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trlProps/ctrlProp1.xml" ContentType="application/vnd.ms-excel.controlproperties+xml"/>
  <Override PartName="/xl/comments2.xml" ContentType="application/vnd.openxmlformats-officedocument.spreadsheetml.comments+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drawings/drawing4.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29"/>
  <workbookPr codeName="ThisWorkbook"/>
  <mc:AlternateContent xmlns:mc="http://schemas.openxmlformats.org/markup-compatibility/2006">
    <mc:Choice Requires="x15">
      <x15ac:absPath xmlns:x15ac="http://schemas.microsoft.com/office/spreadsheetml/2010/11/ac" url="D:\Iron-Force2-resource\Document\Design\Numerical\"/>
    </mc:Choice>
  </mc:AlternateContent>
  <xr:revisionPtr revIDLastSave="0" documentId="13_ncr:1_{554BF3E8-B33A-41BC-9A90-9BAD9C38DA0E}" xr6:coauthVersionLast="45" xr6:coauthVersionMax="45" xr10:uidLastSave="{00000000-0000-0000-0000-000000000000}"/>
  <bookViews>
    <workbookView xWindow="-120" yWindow="-120" windowWidth="29040" windowHeight="17640" tabRatio="856" firstSheet="18" activeTab="33" xr2:uid="{00000000-000D-0000-FFFF-FFFF00000000}"/>
  </bookViews>
  <sheets>
    <sheet name="说明" sheetId="48" r:id="rId1"/>
    <sheet name="标准坦克设计" sheetId="2" r:id="rId2"/>
    <sheet name="基础属性系数" sheetId="1" r:id="rId3"/>
    <sheet name="基础经济系数" sheetId="62" r:id="rId4"/>
    <sheet name="游戏时长规划" sheetId="27" r:id="rId5"/>
    <sheet name="坦克总规划表" sheetId="59" r:id="rId6"/>
    <sheet name="坦克升星消耗" sheetId="58" r:id="rId7"/>
    <sheet name="坦克等级成长" sheetId="7" r:id="rId8"/>
    <sheet name="类型坦克成长数据" sheetId="49" r:id="rId9"/>
    <sheet name="战斗时间模拟" sheetId="50" r:id="rId10"/>
    <sheet name="坦克标准养成属性" sheetId="26" r:id="rId11"/>
    <sheet name="坦克类型系数" sheetId="5" r:id="rId12"/>
    <sheet name="图鉴" sheetId="43" r:id="rId13"/>
    <sheet name="坦克个性化设定" sheetId="6" r:id="rId14"/>
    <sheet name="坦克个性化细分" sheetId="23" r:id="rId15"/>
    <sheet name="坦克属性统计" sheetId="24" r:id="rId16"/>
    <sheet name="坦克属性对比" sheetId="34" r:id="rId17"/>
    <sheet name="坦克部件" sheetId="25" r:id="rId18"/>
    <sheet name="坦克部件养成" sheetId="61" r:id="rId19"/>
    <sheet name="坦克部件养成-填表" sheetId="68" r:id="rId20"/>
    <sheet name="坦克技能" sheetId="39" r:id="rId21"/>
    <sheet name="战斗力计算" sheetId="9" r:id="rId22"/>
    <sheet name="匹配分段" sheetId="35" r:id="rId23"/>
    <sheet name="商店道具" sheetId="10" r:id="rId24"/>
    <sheet name="道具价值" sheetId="32" r:id="rId25"/>
    <sheet name="道具ID" sheetId="40" r:id="rId26"/>
    <sheet name="活动奖励" sheetId="41" r:id="rId27"/>
    <sheet name="游戏付费深度" sheetId="60" r:id="rId28"/>
    <sheet name="推送礼包" sheetId="47" r:id="rId29"/>
    <sheet name="BattlePass" sheetId="51" r:id="rId30"/>
    <sheet name="BattlePass荣耀之星" sheetId="69" r:id="rId31"/>
    <sheet name="BattlePass任务" sheetId="66" r:id="rId32"/>
    <sheet name="成就" sheetId="55" r:id="rId33"/>
    <sheet name="任务设定" sheetId="30" r:id="rId34"/>
    <sheet name="排行榜特权奖励" sheetId="70" r:id="rId35"/>
    <sheet name="名称-id" sheetId="56" r:id="rId36"/>
    <sheet name="宝箱设定" sheetId="63" r:id="rId37"/>
    <sheet name="碎片兑换" sheetId="57" r:id="rId38"/>
    <sheet name="游戏模式" sheetId="65" r:id="rId39"/>
    <sheet name="属性说明" sheetId="4" r:id="rId40"/>
  </sheets>
  <externalReferences>
    <externalReference r:id="rId41"/>
    <externalReference r:id="rId42"/>
  </externalReferences>
  <definedNames>
    <definedName name="_xlnm._FilterDatabase" localSheetId="29" hidden="1">BattlePass任务!$A$1:$M$2</definedName>
    <definedName name="T1低星级">#REF!</definedName>
    <definedName name="T2低星级">#REF!</definedName>
    <definedName name="T2中星级">#REF!</definedName>
    <definedName name="T3低星级">#REF!</definedName>
    <definedName name="T3高星级">#REF!</definedName>
    <definedName name="T3中星级">#REF!</definedName>
    <definedName name="T4低星级">#REF!</definedName>
    <definedName name="T4高星级">#REF!</definedName>
    <definedName name="T4中星级">#REF!</definedName>
    <definedName name="T5低星级">#REF!</definedName>
    <definedName name="T5高星级">#REF!</definedName>
    <definedName name="T5中星级">#REF!</definedName>
    <definedName name="宝箱ID">道具ID!$B$299:$C$476</definedName>
    <definedName name="部件价值">道具价值!$M$99:$P$123</definedName>
    <definedName name="部件价值标头">道具价值!$M$99:$P$99</definedName>
    <definedName name="道具ID" localSheetId="36">[1]道具ID!$L$2:$O$800</definedName>
    <definedName name="道具ID" localSheetId="3">[1]道具ID!$L$2:$O$800</definedName>
    <definedName name="道具ID">道具ID!$L$2:$O$800</definedName>
    <definedName name="货币ID">道具ID!$B$2:$C$10</definedName>
    <definedName name="货币价值">道具价值!$M$71:$Q$96</definedName>
    <definedName name="货币价值标头">道具价值!$M$72:$R$72</definedName>
    <definedName name="加速道具价值">道具价值!$B$62:$J$70</definedName>
    <definedName name="加速道具价值标头">道具价值!$B$62:$J$62</definedName>
    <definedName name="轻坦半自动_阶段属性" localSheetId="36">[1]坦克等级成长!$AE$3:$AK$27</definedName>
    <definedName name="轻坦半自动_阶段属性" localSheetId="3">[1]坦克等级成长!$AE$3:$AK$27</definedName>
    <definedName name="轻坦半自动_阶段属性">坦克等级成长!$AE$3:$AK$27</definedName>
    <definedName name="轻坦半自动成长属性">类型坦克成长数据!$B$2:$Y$74</definedName>
    <definedName name="轻坦半自动生成成长">类型坦克成长数据!$A$79:$E$245</definedName>
    <definedName name="轻坦单发_阶段属性" localSheetId="36">[1]坦克等级成长!$AU$3:$BA$27</definedName>
    <definedName name="轻坦单发_阶段属性" localSheetId="3">[1]坦克等级成长!$AU$3:$BA$27</definedName>
    <definedName name="轻坦单发_阶段属性">坦克等级成长!$AU$3:$BA$27</definedName>
    <definedName name="轻坦单发成长属性">类型坦克成长数据!$AX$2:$BU$74</definedName>
    <definedName name="轻坦单发生成成长">类型坦克成长数据!$K$79:$O$245</definedName>
    <definedName name="轻坦弹夹_阶段属性" localSheetId="36">[1]坦克等级成长!$AM$3:$AS$27</definedName>
    <definedName name="轻坦弹夹_阶段属性" localSheetId="3">[1]坦克等级成长!$AM$3:$AS$27</definedName>
    <definedName name="轻坦弹夹_阶段属性">坦克等级成长!$AM$3:$AS$27</definedName>
    <definedName name="轻坦弹夹成长属性">类型坦克成长数据!$Z$2:$AW$74</definedName>
    <definedName name="轻坦弹夹生成成长">类型坦克成长数据!$F$79:$J$245</definedName>
    <definedName name="属性标头_阶段属性" localSheetId="36">[1]坦克等级成长!$AE$3:$AK$3</definedName>
    <definedName name="属性标头_阶段属性" localSheetId="3">[1]坦克等级成长!$AE$3:$AK$3</definedName>
    <definedName name="属性标头_阶段属性">坦克等级成长!$AE$3:$AK$3</definedName>
    <definedName name="所有坦克升星属性" localSheetId="36">[1]坦克标准养成属性!$BH$3:$BY$309</definedName>
    <definedName name="所有坦克升星属性" localSheetId="3">[1]坦克标准养成属性!$BH$3:$BY$309</definedName>
    <definedName name="所有坦克升星属性">坦克标准养成属性!$BH$3:$BY$309</definedName>
    <definedName name="所有坦克升星属性标头" localSheetId="36">[1]坦克标准养成属性!$BH$3:$BY$3</definedName>
    <definedName name="所有坦克升星属性标头" localSheetId="3">[1]坦克标准养成属性!$BH$3:$BY$3</definedName>
    <definedName name="所有坦克升星属性标头">坦克标准养成属性!$BH$3:$BY$3</definedName>
    <definedName name="坦克ID">道具ID!$B$15:$F$45</definedName>
    <definedName name="坦克价值">道具价值!$M$17:$AQ$42</definedName>
    <definedName name="坦克价值标头">道具价值!$M$18:$AQ$18</definedName>
    <definedName name="坦克属性分配比例" localSheetId="36">[1]坦克标准养成属性!$H$3:$P$15</definedName>
    <definedName name="坦克属性分配比例" localSheetId="3">[1]坦克标准养成属性!$H$3:$P$15</definedName>
    <definedName name="坦克属性分配比例">坦克标准养成属性!$H$3:$P$15</definedName>
    <definedName name="坦克属性分配比例标头" localSheetId="36">[1]坦克标准养成属性!$H$3:$P$3</definedName>
    <definedName name="坦克属性分配比例标头" localSheetId="3">[1]坦克标准养成属性!$H$3:$P$3</definedName>
    <definedName name="坦克属性分配比例标头">坦克标准养成属性!$H$3:$P$3</definedName>
    <definedName name="坦克碎片价值">道具价值!$M$44:$AQ$69</definedName>
    <definedName name="坦克碎片价值标头">道具价值!$M$45:$AQ$45</definedName>
    <definedName name="坦克涂装价值" localSheetId="36">#REF!</definedName>
    <definedName name="坦克涂装价值" localSheetId="3">#REF!</definedName>
    <definedName name="坦克涂装价值">#REF!</definedName>
    <definedName name="坦克涂装价值标头" localSheetId="36">#REF!</definedName>
    <definedName name="坦克涂装价值标头" localSheetId="3">#REF!</definedName>
    <definedName name="坦克涂装价值标头">#REF!</definedName>
    <definedName name="涂装ID">道具ID!$B$47:$D$197</definedName>
    <definedName name="中坦弹夹_阶段属性" localSheetId="36">[1]坦克等级成长!$BC$3:$BI$27</definedName>
    <definedName name="中坦弹夹_阶段属性" localSheetId="3">[1]坦克等级成长!$BC$3:$BI$27</definedName>
    <definedName name="中坦弹夹_阶段属性">坦克等级成长!$BC$3:$BI$27</definedName>
    <definedName name="中坦弹夹成长属性">类型坦克成长数据!$BV$2:$CS$74</definedName>
    <definedName name="中坦弹夹生成成长">类型坦克成长数据!$P$79:$T$245</definedName>
    <definedName name="中坦自动_阶段属性" localSheetId="36">[1]坦克等级成长!$BK$3:$BQ$27</definedName>
    <definedName name="中坦自动_阶段属性" localSheetId="3">[1]坦克等级成长!$BK$3:$BQ$27</definedName>
    <definedName name="中坦自动_阶段属性">坦克等级成长!$BK$3:$BQ$27</definedName>
    <definedName name="中坦自动成长属性">类型坦克成长数据!$CT$2:$DQ$74</definedName>
    <definedName name="中坦自动生成成长">类型坦克成长数据!$U$79:$Y$245</definedName>
    <definedName name="重坦单发_阶段属性" localSheetId="36">[1]坦克等级成长!$CA$3:$CG$27</definedName>
    <definedName name="重坦单发_阶段属性" localSheetId="3">[1]坦克等级成长!$CA$3:$CG$27</definedName>
    <definedName name="重坦单发_阶段属性">坦克等级成长!$CA$3:$CG$27</definedName>
    <definedName name="重坦单发成长属性">类型坦克成长数据!$EP$2:$FM$74</definedName>
    <definedName name="重坦单发生成成长">类型坦克成长数据!$AE$79:$AI$245</definedName>
    <definedName name="重坦自动_阶段属性" localSheetId="36">[1]坦克等级成长!$BS$3:$BY$27</definedName>
    <definedName name="重坦自动_阶段属性" localSheetId="3">[1]坦克等级成长!$BS$3:$BY$27</definedName>
    <definedName name="重坦自动_阶段属性">坦克等级成长!$BS$3:$BY$27</definedName>
    <definedName name="重坦自动成长属性">类型坦克成长数据!$DR$2:$EO$74</definedName>
    <definedName name="重坦自动生成成长">类型坦克成长数据!$Z$79:$AD$245</definedName>
  </definedNames>
  <calcPr calcId="191029"/>
</workbook>
</file>

<file path=xl/calcChain.xml><?xml version="1.0" encoding="utf-8"?>
<calcChain xmlns="http://schemas.openxmlformats.org/spreadsheetml/2006/main">
  <c r="I75" i="41" l="1"/>
  <c r="I76" i="41"/>
  <c r="I77" i="41"/>
  <c r="I78" i="41"/>
  <c r="I79" i="41"/>
  <c r="I80" i="41"/>
  <c r="I81" i="41"/>
  <c r="I82" i="41"/>
  <c r="I83" i="41"/>
  <c r="I84" i="41"/>
  <c r="I85" i="41"/>
  <c r="I86" i="41"/>
  <c r="I87" i="41"/>
  <c r="I88" i="41"/>
  <c r="I89" i="41"/>
  <c r="I90" i="41"/>
  <c r="I91" i="41"/>
  <c r="I92" i="41"/>
  <c r="I93" i="41"/>
  <c r="I94" i="41"/>
  <c r="I95" i="41"/>
  <c r="I96" i="41"/>
  <c r="I97" i="41"/>
  <c r="I98" i="41"/>
  <c r="I99" i="41"/>
  <c r="I100" i="41"/>
  <c r="I101" i="41"/>
  <c r="I102" i="41"/>
  <c r="I74" i="41"/>
  <c r="F355" i="39" l="1"/>
  <c r="H303" i="51" l="1"/>
  <c r="R669" i="40" l="1"/>
  <c r="R670" i="40"/>
  <c r="R671" i="40"/>
  <c r="R42" i="40"/>
  <c r="R74" i="40"/>
  <c r="Y17" i="24" l="1"/>
  <c r="AB403" i="51"/>
  <c r="AC403" i="51"/>
  <c r="AB404" i="51"/>
  <c r="AC404" i="51"/>
  <c r="AB405" i="51"/>
  <c r="AC405" i="51"/>
  <c r="AB406" i="51"/>
  <c r="AC406" i="51"/>
  <c r="AB407" i="51"/>
  <c r="AC407" i="51"/>
  <c r="AB408" i="51"/>
  <c r="AC408" i="51"/>
  <c r="AB409" i="51"/>
  <c r="AC409" i="51"/>
  <c r="AB410" i="51"/>
  <c r="AC410" i="51"/>
  <c r="AB411" i="51"/>
  <c r="AC411" i="51"/>
  <c r="AB412" i="51"/>
  <c r="AC412" i="51"/>
  <c r="AB413" i="51"/>
  <c r="AC413" i="51"/>
  <c r="AB414" i="51"/>
  <c r="AC414" i="51"/>
  <c r="AB415" i="51"/>
  <c r="AC415" i="51"/>
  <c r="AB416" i="51"/>
  <c r="AC416" i="51"/>
  <c r="AB417" i="51"/>
  <c r="AC417" i="51"/>
  <c r="AB418" i="51"/>
  <c r="AC418" i="51"/>
  <c r="AB419" i="51"/>
  <c r="AC419" i="51"/>
  <c r="AB420" i="51"/>
  <c r="AC420" i="51"/>
  <c r="AB421" i="51"/>
  <c r="AC421" i="51"/>
  <c r="AB422" i="51"/>
  <c r="AC422" i="51"/>
  <c r="D403" i="51"/>
  <c r="F403" i="51"/>
  <c r="H403" i="51"/>
  <c r="J403" i="51"/>
  <c r="L403" i="51"/>
  <c r="N403" i="51"/>
  <c r="D404" i="51"/>
  <c r="F404" i="51"/>
  <c r="H404" i="51"/>
  <c r="J404" i="51"/>
  <c r="L404" i="51"/>
  <c r="N404" i="51"/>
  <c r="D405" i="51"/>
  <c r="F405" i="51"/>
  <c r="H405" i="51"/>
  <c r="J405" i="51"/>
  <c r="L405" i="51"/>
  <c r="N405" i="51"/>
  <c r="D406" i="51"/>
  <c r="F406" i="51"/>
  <c r="H406" i="51"/>
  <c r="J406" i="51"/>
  <c r="L406" i="51"/>
  <c r="N406" i="51"/>
  <c r="D407" i="51"/>
  <c r="F407" i="51"/>
  <c r="H407" i="51"/>
  <c r="J407" i="51"/>
  <c r="L407" i="51"/>
  <c r="N407" i="51"/>
  <c r="D408" i="51"/>
  <c r="F408" i="51"/>
  <c r="H408" i="51"/>
  <c r="J408" i="51"/>
  <c r="L408" i="51"/>
  <c r="N408" i="51"/>
  <c r="D409" i="51"/>
  <c r="F409" i="51"/>
  <c r="H409" i="51"/>
  <c r="J409" i="51"/>
  <c r="L409" i="51"/>
  <c r="N409" i="51"/>
  <c r="D410" i="51"/>
  <c r="F410" i="51"/>
  <c r="H410" i="51"/>
  <c r="J410" i="51"/>
  <c r="L410" i="51"/>
  <c r="N410" i="51"/>
  <c r="D411" i="51"/>
  <c r="F411" i="51"/>
  <c r="H411" i="51"/>
  <c r="J411" i="51"/>
  <c r="L411" i="51"/>
  <c r="N411" i="51"/>
  <c r="D412" i="51"/>
  <c r="F412" i="51"/>
  <c r="H412" i="51"/>
  <c r="J412" i="51"/>
  <c r="L412" i="51"/>
  <c r="N412" i="51"/>
  <c r="D413" i="51"/>
  <c r="F413" i="51"/>
  <c r="H413" i="51"/>
  <c r="J413" i="51"/>
  <c r="L413" i="51"/>
  <c r="N413" i="51"/>
  <c r="D414" i="51"/>
  <c r="F414" i="51"/>
  <c r="H414" i="51"/>
  <c r="J414" i="51"/>
  <c r="L414" i="51"/>
  <c r="N414" i="51"/>
  <c r="D415" i="51"/>
  <c r="F415" i="51"/>
  <c r="H415" i="51"/>
  <c r="J415" i="51"/>
  <c r="L415" i="51"/>
  <c r="N415" i="51"/>
  <c r="D416" i="51"/>
  <c r="F416" i="51"/>
  <c r="H416" i="51"/>
  <c r="J416" i="51"/>
  <c r="L416" i="51"/>
  <c r="N416" i="51"/>
  <c r="D417" i="51"/>
  <c r="F417" i="51"/>
  <c r="H417" i="51"/>
  <c r="J417" i="51"/>
  <c r="L417" i="51"/>
  <c r="N417" i="51"/>
  <c r="D418" i="51"/>
  <c r="F418" i="51"/>
  <c r="H418" i="51"/>
  <c r="J418" i="51"/>
  <c r="L418" i="51"/>
  <c r="N418" i="51"/>
  <c r="D419" i="51"/>
  <c r="F419" i="51"/>
  <c r="H419" i="51"/>
  <c r="J419" i="51"/>
  <c r="L419" i="51"/>
  <c r="N419" i="51"/>
  <c r="D420" i="51"/>
  <c r="F420" i="51"/>
  <c r="H420" i="51"/>
  <c r="J420" i="51"/>
  <c r="L420" i="51"/>
  <c r="N420" i="51"/>
  <c r="D421" i="51"/>
  <c r="F421" i="51"/>
  <c r="H421" i="51"/>
  <c r="J421" i="51"/>
  <c r="L421" i="51"/>
  <c r="N421" i="51"/>
  <c r="D422" i="51"/>
  <c r="F422" i="51"/>
  <c r="H422" i="51"/>
  <c r="J422" i="51"/>
  <c r="L422" i="51"/>
  <c r="N422" i="51"/>
  <c r="O416" i="51" l="1"/>
  <c r="O74" i="32"/>
  <c r="O75" i="32"/>
  <c r="O76" i="32"/>
  <c r="O77" i="32"/>
  <c r="O78" i="32"/>
  <c r="O79" i="32"/>
  <c r="O80" i="32"/>
  <c r="O81" i="32"/>
  <c r="O82" i="32"/>
  <c r="O83" i="32"/>
  <c r="O84" i="32"/>
  <c r="O85" i="32"/>
  <c r="O86" i="32"/>
  <c r="O87" i="32"/>
  <c r="O88" i="32"/>
  <c r="O89" i="32"/>
  <c r="O90" i="32"/>
  <c r="O91" i="32"/>
  <c r="O92" i="32"/>
  <c r="O93" i="32"/>
  <c r="O94" i="32"/>
  <c r="O95" i="32"/>
  <c r="O96" i="32"/>
  <c r="O73" i="32"/>
  <c r="L62" i="61" l="1"/>
  <c r="L63" i="61" s="1"/>
  <c r="L64" i="61" s="1"/>
  <c r="L65" i="61" s="1"/>
  <c r="L66" i="61" s="1"/>
  <c r="I62" i="61"/>
  <c r="I63" i="61"/>
  <c r="I64" i="61"/>
  <c r="I65" i="61"/>
  <c r="I66" i="61"/>
  <c r="Z3" i="61"/>
  <c r="Z4" i="61"/>
  <c r="Z5" i="61"/>
  <c r="Z6" i="61"/>
  <c r="Z7" i="61"/>
  <c r="Z8" i="61"/>
  <c r="Z9" i="61"/>
  <c r="Z10" i="61"/>
  <c r="Z11" i="61"/>
  <c r="Z12" i="61"/>
  <c r="Z13" i="61"/>
  <c r="Z14" i="61"/>
  <c r="Z15" i="61"/>
  <c r="Z16" i="61"/>
  <c r="Z17" i="61"/>
  <c r="Z18" i="61"/>
  <c r="Z19" i="61"/>
  <c r="Z20" i="61"/>
  <c r="Z21" i="61"/>
  <c r="Z22" i="61"/>
  <c r="Z23" i="61"/>
  <c r="Z24" i="61"/>
  <c r="Z25" i="61"/>
  <c r="Z26" i="61"/>
  <c r="Z27" i="61"/>
  <c r="Z28" i="61"/>
  <c r="Z29" i="61"/>
  <c r="Z30" i="61"/>
  <c r="Z31" i="61"/>
  <c r="Z2" i="61"/>
  <c r="R63" i="40" l="1"/>
  <c r="AP18" i="30" l="1"/>
  <c r="AP19" i="30"/>
  <c r="AP20" i="30"/>
  <c r="AP21" i="30"/>
  <c r="AP17" i="30"/>
  <c r="AX8" i="30"/>
  <c r="AX9" i="30"/>
  <c r="AX10" i="30"/>
  <c r="AX11" i="30"/>
  <c r="AX12" i="30"/>
  <c r="AX13" i="30"/>
  <c r="I167" i="62" l="1"/>
  <c r="I168" i="62"/>
  <c r="I169" i="62"/>
  <c r="I170" i="62"/>
  <c r="I171" i="62"/>
  <c r="I172" i="62"/>
  <c r="E167" i="62"/>
  <c r="F167" i="62"/>
  <c r="G167" i="62"/>
  <c r="E168" i="62"/>
  <c r="F168" i="62"/>
  <c r="G168" i="62"/>
  <c r="E169" i="62"/>
  <c r="F169" i="62"/>
  <c r="G169" i="62"/>
  <c r="E170" i="62"/>
  <c r="F170" i="62"/>
  <c r="G170" i="62"/>
  <c r="E171" i="62"/>
  <c r="F171" i="62"/>
  <c r="G171" i="62"/>
  <c r="E172" i="62"/>
  <c r="F172" i="62"/>
  <c r="G172" i="62"/>
  <c r="H172" i="62"/>
  <c r="H171" i="62"/>
  <c r="H170" i="62"/>
  <c r="H169" i="62"/>
  <c r="H168" i="62"/>
  <c r="H167" i="62"/>
  <c r="AX3" i="30" l="1"/>
  <c r="AX4" i="30"/>
  <c r="AX5" i="30"/>
  <c r="AX6" i="30"/>
  <c r="AX7" i="30"/>
  <c r="AX14" i="30"/>
  <c r="AX2" i="30"/>
  <c r="AQ5" i="30"/>
  <c r="AQ6" i="30"/>
  <c r="AQ7" i="30"/>
  <c r="AQ8" i="30"/>
  <c r="AQ9" i="30"/>
  <c r="AQ10" i="30"/>
  <c r="AQ4" i="30"/>
  <c r="AN13" i="30"/>
  <c r="AP10" i="30"/>
  <c r="C239" i="62" l="1"/>
  <c r="C243" i="62" s="1"/>
  <c r="C233" i="62"/>
  <c r="C242" i="62" s="1"/>
  <c r="AP8" i="30" l="1"/>
  <c r="AP7" i="30"/>
  <c r="AP6" i="30"/>
  <c r="AP5" i="30"/>
  <c r="E10" i="70" l="1"/>
  <c r="E8" i="70"/>
  <c r="F8" i="70" s="1"/>
  <c r="L3" i="70"/>
  <c r="L4" i="70"/>
  <c r="L5" i="70"/>
  <c r="L2" i="70"/>
  <c r="K3" i="70"/>
  <c r="K4" i="70"/>
  <c r="K5" i="70"/>
  <c r="K2" i="70"/>
  <c r="J3" i="70"/>
  <c r="J4" i="70"/>
  <c r="J5" i="70"/>
  <c r="J2" i="70"/>
  <c r="I3" i="70"/>
  <c r="I4" i="70"/>
  <c r="I5" i="70"/>
  <c r="I2" i="70"/>
  <c r="H3" i="70"/>
  <c r="H4" i="70"/>
  <c r="H5" i="70"/>
  <c r="H2" i="70"/>
  <c r="B5" i="70"/>
  <c r="B4" i="70"/>
  <c r="E2" i="69" l="1"/>
  <c r="E1" i="69" l="1"/>
  <c r="N402" i="51"/>
  <c r="L402" i="51"/>
  <c r="J402" i="51"/>
  <c r="H402" i="51"/>
  <c r="F402" i="51"/>
  <c r="D402" i="51"/>
  <c r="N401" i="51"/>
  <c r="L401" i="51"/>
  <c r="H401" i="51"/>
  <c r="F401" i="51"/>
  <c r="D401" i="51"/>
  <c r="N400" i="51"/>
  <c r="L400" i="51"/>
  <c r="J400" i="51"/>
  <c r="H400" i="51"/>
  <c r="F400" i="51"/>
  <c r="D400" i="51"/>
  <c r="N399" i="51"/>
  <c r="L399" i="51"/>
  <c r="J399" i="51"/>
  <c r="H399" i="51"/>
  <c r="F399" i="51"/>
  <c r="D399" i="51"/>
  <c r="N398" i="51"/>
  <c r="L398" i="51"/>
  <c r="J398" i="51"/>
  <c r="H398" i="51"/>
  <c r="F398" i="51"/>
  <c r="D398" i="51"/>
  <c r="N397" i="51"/>
  <c r="L397" i="51"/>
  <c r="H397" i="51"/>
  <c r="F397" i="51"/>
  <c r="D397" i="51"/>
  <c r="N396" i="51"/>
  <c r="L396" i="51"/>
  <c r="J396" i="51"/>
  <c r="H396" i="51"/>
  <c r="F396" i="51"/>
  <c r="D396" i="51"/>
  <c r="N395" i="51"/>
  <c r="L395" i="51"/>
  <c r="H395" i="51"/>
  <c r="F395" i="51"/>
  <c r="D395" i="51"/>
  <c r="N394" i="51"/>
  <c r="L394" i="51"/>
  <c r="H394" i="51"/>
  <c r="F394" i="51"/>
  <c r="D394" i="51"/>
  <c r="N393" i="51"/>
  <c r="L393" i="51"/>
  <c r="H393" i="51"/>
  <c r="F393" i="51"/>
  <c r="D393" i="51"/>
  <c r="N392" i="51"/>
  <c r="L392" i="51"/>
  <c r="J392" i="51"/>
  <c r="H392" i="51"/>
  <c r="F392" i="51"/>
  <c r="D392" i="51"/>
  <c r="N391" i="51"/>
  <c r="L391" i="51"/>
  <c r="H391" i="51"/>
  <c r="F391" i="51"/>
  <c r="D391" i="51"/>
  <c r="N390" i="51"/>
  <c r="L390" i="51"/>
  <c r="H390" i="51"/>
  <c r="F390" i="51"/>
  <c r="D390" i="51"/>
  <c r="N389" i="51"/>
  <c r="L389" i="51"/>
  <c r="J389" i="51"/>
  <c r="H389" i="51"/>
  <c r="F389" i="51"/>
  <c r="D389" i="51"/>
  <c r="N388" i="51"/>
  <c r="L388" i="51"/>
  <c r="H388" i="51"/>
  <c r="F388" i="51"/>
  <c r="D388" i="51"/>
  <c r="N387" i="51"/>
  <c r="L387" i="51"/>
  <c r="H387" i="51"/>
  <c r="F387" i="51"/>
  <c r="D387" i="51"/>
  <c r="N386" i="51"/>
  <c r="L386" i="51"/>
  <c r="J386" i="51"/>
  <c r="H386" i="51"/>
  <c r="F386" i="51"/>
  <c r="D386" i="51"/>
  <c r="N385" i="51"/>
  <c r="L385" i="51"/>
  <c r="H385" i="51"/>
  <c r="F385" i="51"/>
  <c r="D385" i="51"/>
  <c r="N384" i="51"/>
  <c r="L384" i="51"/>
  <c r="J384" i="51"/>
  <c r="H384" i="51"/>
  <c r="F384" i="51"/>
  <c r="D384" i="51"/>
  <c r="N383" i="51"/>
  <c r="L383" i="51"/>
  <c r="H383" i="51"/>
  <c r="F383" i="51"/>
  <c r="D383" i="51"/>
  <c r="N382" i="51"/>
  <c r="L382" i="51"/>
  <c r="J382" i="51"/>
  <c r="H382" i="51"/>
  <c r="F382" i="51"/>
  <c r="D382" i="51"/>
  <c r="N381" i="51"/>
  <c r="L381" i="51"/>
  <c r="J381" i="51"/>
  <c r="H381" i="51"/>
  <c r="F381" i="51"/>
  <c r="D381" i="51"/>
  <c r="N380" i="51"/>
  <c r="L380" i="51"/>
  <c r="H380" i="51"/>
  <c r="F380" i="51"/>
  <c r="D380" i="51"/>
  <c r="N379" i="51"/>
  <c r="L379" i="51"/>
  <c r="J379" i="51"/>
  <c r="H379" i="51"/>
  <c r="F379" i="51"/>
  <c r="D379" i="51"/>
  <c r="N378" i="51"/>
  <c r="L378" i="51"/>
  <c r="H378" i="51"/>
  <c r="F378" i="51"/>
  <c r="D378" i="51"/>
  <c r="N377" i="51"/>
  <c r="L377" i="51"/>
  <c r="J377" i="51"/>
  <c r="H377" i="51"/>
  <c r="F377" i="51"/>
  <c r="D377" i="51"/>
  <c r="N376" i="51"/>
  <c r="L376" i="51"/>
  <c r="H376" i="51"/>
  <c r="F376" i="51"/>
  <c r="D376" i="51"/>
  <c r="N375" i="51"/>
  <c r="L375" i="51"/>
  <c r="J375" i="51"/>
  <c r="H375" i="51"/>
  <c r="F375" i="51"/>
  <c r="D375" i="51"/>
  <c r="N374" i="51"/>
  <c r="L374" i="51"/>
  <c r="H374" i="51"/>
  <c r="F374" i="51"/>
  <c r="D374" i="51"/>
  <c r="N373" i="51"/>
  <c r="L373" i="51"/>
  <c r="H373" i="51"/>
  <c r="F373" i="51"/>
  <c r="D373" i="51"/>
  <c r="N372" i="51"/>
  <c r="L372" i="51"/>
  <c r="J372" i="51"/>
  <c r="H372" i="51"/>
  <c r="F372" i="51"/>
  <c r="D372" i="51"/>
  <c r="N371" i="51"/>
  <c r="L371" i="51"/>
  <c r="H371" i="51"/>
  <c r="F371" i="51"/>
  <c r="D371" i="51"/>
  <c r="N370" i="51"/>
  <c r="L370" i="51"/>
  <c r="H370" i="51"/>
  <c r="F370" i="51"/>
  <c r="D370" i="51"/>
  <c r="N369" i="51"/>
  <c r="L369" i="51"/>
  <c r="J369" i="51"/>
  <c r="H369" i="51"/>
  <c r="F369" i="51"/>
  <c r="D369" i="51"/>
  <c r="N368" i="51"/>
  <c r="L368" i="51"/>
  <c r="H368" i="51"/>
  <c r="F368" i="51"/>
  <c r="D368" i="51"/>
  <c r="N367" i="51"/>
  <c r="L367" i="51"/>
  <c r="J367" i="51"/>
  <c r="H367" i="51"/>
  <c r="F367" i="51"/>
  <c r="D367" i="51"/>
  <c r="N366" i="51"/>
  <c r="L366" i="51"/>
  <c r="H366" i="51"/>
  <c r="F366" i="51"/>
  <c r="D366" i="51"/>
  <c r="N365" i="51"/>
  <c r="L365" i="51"/>
  <c r="H365" i="51"/>
  <c r="F365" i="51"/>
  <c r="D365" i="51"/>
  <c r="N364" i="51"/>
  <c r="L364" i="51"/>
  <c r="H364" i="51"/>
  <c r="F364" i="51"/>
  <c r="D364" i="51"/>
  <c r="N363" i="51"/>
  <c r="L363" i="51"/>
  <c r="J363" i="51"/>
  <c r="H363" i="51"/>
  <c r="F363" i="51"/>
  <c r="D363" i="51"/>
  <c r="N362" i="51"/>
  <c r="L362" i="51"/>
  <c r="J362" i="51"/>
  <c r="H362" i="51"/>
  <c r="F362" i="51"/>
  <c r="D362" i="51"/>
  <c r="N361" i="51"/>
  <c r="L361" i="51"/>
  <c r="J361" i="51"/>
  <c r="H361" i="51"/>
  <c r="F361" i="51"/>
  <c r="D361" i="51"/>
  <c r="N360" i="51"/>
  <c r="L360" i="51"/>
  <c r="H360" i="51"/>
  <c r="F360" i="51"/>
  <c r="D360" i="51"/>
  <c r="N359" i="51"/>
  <c r="L359" i="51"/>
  <c r="H359" i="51"/>
  <c r="F359" i="51"/>
  <c r="D359" i="51"/>
  <c r="N358" i="51"/>
  <c r="L358" i="51"/>
  <c r="H358" i="51"/>
  <c r="F358" i="51"/>
  <c r="D358" i="51"/>
  <c r="N357" i="51"/>
  <c r="L357" i="51"/>
  <c r="J357" i="51"/>
  <c r="H357" i="51"/>
  <c r="F357" i="51"/>
  <c r="D357" i="51"/>
  <c r="N356" i="51"/>
  <c r="L356" i="51"/>
  <c r="H356" i="51"/>
  <c r="F356" i="51"/>
  <c r="D356" i="51"/>
  <c r="N355" i="51"/>
  <c r="L355" i="51"/>
  <c r="J355" i="51"/>
  <c r="H355" i="51"/>
  <c r="F355" i="51"/>
  <c r="D355" i="51"/>
  <c r="N354" i="51"/>
  <c r="L354" i="51"/>
  <c r="H354" i="51"/>
  <c r="F354" i="51"/>
  <c r="D354" i="51"/>
  <c r="N353" i="51"/>
  <c r="L353" i="51"/>
  <c r="H353" i="51"/>
  <c r="F353" i="51"/>
  <c r="D353" i="51"/>
  <c r="N352" i="51"/>
  <c r="L352" i="51"/>
  <c r="J352" i="51"/>
  <c r="H352" i="51"/>
  <c r="D352" i="51"/>
  <c r="N351" i="51"/>
  <c r="L351" i="51"/>
  <c r="H351" i="51"/>
  <c r="F351" i="51"/>
  <c r="D351" i="51"/>
  <c r="N350" i="51"/>
  <c r="L350" i="51"/>
  <c r="H350" i="51"/>
  <c r="F350" i="51"/>
  <c r="D350" i="51"/>
  <c r="N349" i="51"/>
  <c r="L349" i="51"/>
  <c r="J349" i="51"/>
  <c r="H349" i="51"/>
  <c r="F349" i="51"/>
  <c r="D349" i="51"/>
  <c r="N348" i="51"/>
  <c r="L348" i="51"/>
  <c r="J348" i="51"/>
  <c r="H348" i="51"/>
  <c r="F348" i="51"/>
  <c r="D348" i="51"/>
  <c r="N347" i="51"/>
  <c r="L347" i="51"/>
  <c r="J347" i="51"/>
  <c r="H347" i="51"/>
  <c r="F347" i="51"/>
  <c r="D347" i="51"/>
  <c r="N346" i="51"/>
  <c r="L346" i="51"/>
  <c r="H346" i="51"/>
  <c r="F346" i="51"/>
  <c r="D346" i="51"/>
  <c r="N345" i="51"/>
  <c r="L345" i="51"/>
  <c r="J345" i="51"/>
  <c r="H345" i="51"/>
  <c r="D345" i="51"/>
  <c r="N344" i="51"/>
  <c r="L344" i="51"/>
  <c r="H344" i="51"/>
  <c r="F344" i="51"/>
  <c r="D344" i="51"/>
  <c r="N343" i="51"/>
  <c r="L343" i="51"/>
  <c r="H343" i="51"/>
  <c r="F343" i="51"/>
  <c r="D343" i="51"/>
  <c r="N342" i="51"/>
  <c r="L342" i="51"/>
  <c r="J342" i="51"/>
  <c r="H342" i="51"/>
  <c r="F342" i="51"/>
  <c r="D342" i="51"/>
  <c r="N341" i="51"/>
  <c r="L341" i="51"/>
  <c r="J341" i="51"/>
  <c r="H341" i="51"/>
  <c r="F341" i="51"/>
  <c r="D341" i="51"/>
  <c r="N340" i="51"/>
  <c r="L340" i="51"/>
  <c r="J340" i="51"/>
  <c r="H340" i="51"/>
  <c r="F340" i="51"/>
  <c r="D340" i="51"/>
  <c r="N339" i="51"/>
  <c r="L339" i="51"/>
  <c r="H339" i="51"/>
  <c r="D339" i="51"/>
  <c r="N338" i="51"/>
  <c r="L338" i="51"/>
  <c r="H338" i="51"/>
  <c r="F338" i="51"/>
  <c r="D338" i="51"/>
  <c r="N337" i="51"/>
  <c r="L337" i="51"/>
  <c r="J337" i="51"/>
  <c r="H337" i="51"/>
  <c r="F337" i="51"/>
  <c r="D337" i="51"/>
  <c r="N336" i="51"/>
  <c r="L336" i="51"/>
  <c r="J336" i="51"/>
  <c r="H336" i="51"/>
  <c r="F336" i="51"/>
  <c r="D336" i="51"/>
  <c r="N335" i="51"/>
  <c r="L335" i="51"/>
  <c r="H335" i="51"/>
  <c r="F335" i="51"/>
  <c r="D335" i="51"/>
  <c r="N334" i="51"/>
  <c r="L334" i="51"/>
  <c r="H334" i="51"/>
  <c r="F334" i="51"/>
  <c r="D334" i="51"/>
  <c r="N333" i="51"/>
  <c r="L333" i="51"/>
  <c r="H333" i="51"/>
  <c r="D333" i="51"/>
  <c r="N332" i="51"/>
  <c r="L332" i="51"/>
  <c r="J332" i="51"/>
  <c r="H332" i="51"/>
  <c r="D332" i="51"/>
  <c r="N331" i="51"/>
  <c r="L331" i="51"/>
  <c r="H331" i="51"/>
  <c r="D331" i="51"/>
  <c r="N330" i="51"/>
  <c r="L330" i="51"/>
  <c r="J330" i="51"/>
  <c r="H330" i="51"/>
  <c r="F330" i="51"/>
  <c r="D330" i="51"/>
  <c r="N329" i="51"/>
  <c r="L329" i="51"/>
  <c r="J329" i="51"/>
  <c r="H329" i="51"/>
  <c r="D329" i="51"/>
  <c r="N328" i="51"/>
  <c r="L328" i="51"/>
  <c r="H328" i="51"/>
  <c r="D328" i="51"/>
  <c r="N327" i="51"/>
  <c r="L327" i="51"/>
  <c r="H327" i="51"/>
  <c r="D327" i="51"/>
  <c r="N326" i="51"/>
  <c r="L326" i="51"/>
  <c r="H326" i="51"/>
  <c r="F326" i="51"/>
  <c r="D326" i="51"/>
  <c r="N325" i="51"/>
  <c r="L325" i="51"/>
  <c r="H325" i="51"/>
  <c r="D325" i="51"/>
  <c r="N324" i="51"/>
  <c r="L324" i="51"/>
  <c r="J324" i="51"/>
  <c r="H324" i="51"/>
  <c r="D324" i="51"/>
  <c r="N323" i="51"/>
  <c r="L323" i="51"/>
  <c r="H323" i="51"/>
  <c r="D323" i="51"/>
  <c r="N322" i="51"/>
  <c r="L322" i="51"/>
  <c r="J322" i="51"/>
  <c r="H322" i="51"/>
  <c r="F322" i="51"/>
  <c r="D322" i="51"/>
  <c r="N321" i="51"/>
  <c r="L321" i="51"/>
  <c r="J321" i="51"/>
  <c r="H321" i="51"/>
  <c r="D321" i="51"/>
  <c r="N320" i="51"/>
  <c r="L320" i="51"/>
  <c r="H320" i="51"/>
  <c r="D320" i="51"/>
  <c r="N319" i="51"/>
  <c r="L319" i="51"/>
  <c r="H319" i="51"/>
  <c r="D319" i="51"/>
  <c r="N318" i="51"/>
  <c r="L318" i="51"/>
  <c r="J318" i="51"/>
  <c r="H318" i="51"/>
  <c r="D318" i="51"/>
  <c r="N317" i="51"/>
  <c r="L317" i="51"/>
  <c r="J317" i="51"/>
  <c r="H317" i="51"/>
  <c r="F317" i="51"/>
  <c r="D317" i="51"/>
  <c r="N316" i="51"/>
  <c r="L316" i="51"/>
  <c r="H316" i="51"/>
  <c r="D316" i="51"/>
  <c r="N315" i="51"/>
  <c r="L315" i="51"/>
  <c r="H315" i="51"/>
  <c r="D315" i="51"/>
  <c r="N314" i="51"/>
  <c r="L314" i="51"/>
  <c r="J314" i="51"/>
  <c r="H314" i="51"/>
  <c r="D314" i="51"/>
  <c r="N313" i="51"/>
  <c r="L313" i="51"/>
  <c r="H313" i="51"/>
  <c r="D313" i="51"/>
  <c r="N312" i="51"/>
  <c r="L312" i="51"/>
  <c r="J312" i="51"/>
  <c r="H312" i="51"/>
  <c r="F312" i="51"/>
  <c r="D312" i="51"/>
  <c r="N311" i="51"/>
  <c r="L311" i="51"/>
  <c r="H311" i="51"/>
  <c r="D311" i="51"/>
  <c r="N310" i="51"/>
  <c r="L310" i="51"/>
  <c r="J310" i="51"/>
  <c r="H310" i="51"/>
  <c r="F310" i="51"/>
  <c r="D310" i="51"/>
  <c r="N309" i="51"/>
  <c r="L309" i="51"/>
  <c r="J309" i="51"/>
  <c r="H309" i="51"/>
  <c r="D309" i="51"/>
  <c r="N308" i="51"/>
  <c r="L308" i="51"/>
  <c r="J308" i="51"/>
  <c r="H308" i="51"/>
  <c r="F308" i="51"/>
  <c r="D308" i="51"/>
  <c r="N307" i="51"/>
  <c r="L307" i="51"/>
  <c r="J307" i="51"/>
  <c r="H307" i="51"/>
  <c r="F307" i="51"/>
  <c r="D307" i="51"/>
  <c r="N306" i="51"/>
  <c r="L306" i="51"/>
  <c r="J306" i="51"/>
  <c r="H306" i="51"/>
  <c r="D306" i="51"/>
  <c r="N305" i="51"/>
  <c r="L305" i="51"/>
  <c r="J305" i="51"/>
  <c r="H305" i="51"/>
  <c r="F305" i="51"/>
  <c r="D305" i="51"/>
  <c r="N304" i="51"/>
  <c r="L304" i="51"/>
  <c r="J304" i="51"/>
  <c r="H304" i="51"/>
  <c r="F304" i="51"/>
  <c r="D304" i="51"/>
  <c r="N303" i="51"/>
  <c r="L303" i="51"/>
  <c r="J303" i="51"/>
  <c r="D303" i="51"/>
  <c r="T328" i="51"/>
  <c r="T327" i="51"/>
  <c r="T326" i="51"/>
  <c r="T325" i="51"/>
  <c r="T324" i="51"/>
  <c r="T323" i="51"/>
  <c r="T322" i="51"/>
  <c r="T321" i="51"/>
  <c r="T320" i="51"/>
  <c r="T319" i="51"/>
  <c r="T318" i="51"/>
  <c r="T317" i="51"/>
  <c r="T316" i="51"/>
  <c r="T315" i="51"/>
  <c r="T314" i="51"/>
  <c r="AB398" i="51"/>
  <c r="AC398" i="51"/>
  <c r="AB399" i="51"/>
  <c r="AC399" i="51"/>
  <c r="AB400" i="51"/>
  <c r="AC400" i="51"/>
  <c r="AB401" i="51"/>
  <c r="AC401" i="51"/>
  <c r="AB402" i="51"/>
  <c r="AC402" i="51"/>
  <c r="AB385" i="51"/>
  <c r="AC385" i="51"/>
  <c r="AB386" i="51"/>
  <c r="AC386" i="51"/>
  <c r="AB387" i="51"/>
  <c r="AC387" i="51"/>
  <c r="AB388" i="51"/>
  <c r="AC388" i="51"/>
  <c r="AB389" i="51"/>
  <c r="AC389" i="51"/>
  <c r="AB390" i="51"/>
  <c r="AC390" i="51"/>
  <c r="AB391" i="51"/>
  <c r="AC391" i="51"/>
  <c r="AB392" i="51"/>
  <c r="AC392" i="51"/>
  <c r="AB393" i="51"/>
  <c r="AC393" i="51"/>
  <c r="AB394" i="51"/>
  <c r="AC394" i="51"/>
  <c r="AB395" i="51"/>
  <c r="AC395" i="51"/>
  <c r="AB396" i="51"/>
  <c r="AC396" i="51"/>
  <c r="AB397" i="51"/>
  <c r="AC397" i="51"/>
  <c r="AB359" i="51"/>
  <c r="AC359" i="51"/>
  <c r="AB360" i="51"/>
  <c r="AC360" i="51"/>
  <c r="AB361" i="51"/>
  <c r="AC361" i="51"/>
  <c r="AB362" i="51"/>
  <c r="AC362" i="51"/>
  <c r="AB363" i="51"/>
  <c r="AC363" i="51"/>
  <c r="AB364" i="51"/>
  <c r="AC364" i="51"/>
  <c r="AB365" i="51"/>
  <c r="AC365" i="51"/>
  <c r="AB366" i="51"/>
  <c r="AC366" i="51"/>
  <c r="AB367" i="51"/>
  <c r="AC367" i="51"/>
  <c r="AB368" i="51"/>
  <c r="AC368" i="51"/>
  <c r="AB369" i="51"/>
  <c r="AC369" i="51"/>
  <c r="AB370" i="51"/>
  <c r="AC370" i="51"/>
  <c r="AB371" i="51"/>
  <c r="AC371" i="51"/>
  <c r="AB372" i="51"/>
  <c r="AC372" i="51"/>
  <c r="AB373" i="51"/>
  <c r="AC373" i="51"/>
  <c r="AB374" i="51"/>
  <c r="AC374" i="51"/>
  <c r="AB375" i="51"/>
  <c r="AC375" i="51"/>
  <c r="AB376" i="51"/>
  <c r="AC376" i="51"/>
  <c r="AB377" i="51"/>
  <c r="AC377" i="51"/>
  <c r="AB378" i="51"/>
  <c r="AC378" i="51"/>
  <c r="AB379" i="51"/>
  <c r="AC379" i="51"/>
  <c r="AB380" i="51"/>
  <c r="AC380" i="51"/>
  <c r="AB381" i="51"/>
  <c r="AC381" i="51"/>
  <c r="AB382" i="51"/>
  <c r="AC382" i="51"/>
  <c r="AB383" i="51"/>
  <c r="AC383" i="51"/>
  <c r="AB384" i="51"/>
  <c r="AC384" i="51"/>
  <c r="AB337" i="51"/>
  <c r="AC337" i="51"/>
  <c r="AB338" i="51"/>
  <c r="AC338" i="51"/>
  <c r="AB339" i="51"/>
  <c r="AC339" i="51"/>
  <c r="AB340" i="51"/>
  <c r="AC340" i="51"/>
  <c r="AB341" i="51"/>
  <c r="AC341" i="51"/>
  <c r="AB342" i="51"/>
  <c r="AC342" i="51"/>
  <c r="AB343" i="51"/>
  <c r="AC343" i="51"/>
  <c r="AB344" i="51"/>
  <c r="AC344" i="51"/>
  <c r="AB345" i="51"/>
  <c r="AC345" i="51"/>
  <c r="AB346" i="51"/>
  <c r="AC346" i="51"/>
  <c r="AB347" i="51"/>
  <c r="AC347" i="51"/>
  <c r="AB348" i="51"/>
  <c r="AC348" i="51"/>
  <c r="AB349" i="51"/>
  <c r="AC349" i="51"/>
  <c r="AB350" i="51"/>
  <c r="AC350" i="51"/>
  <c r="AB351" i="51"/>
  <c r="AC351" i="51"/>
  <c r="AB352" i="51"/>
  <c r="AC352" i="51"/>
  <c r="AB353" i="51"/>
  <c r="AC353" i="51"/>
  <c r="AB354" i="51"/>
  <c r="AC354" i="51"/>
  <c r="AB355" i="51"/>
  <c r="AC355" i="51"/>
  <c r="AB356" i="51"/>
  <c r="AC356" i="51"/>
  <c r="AB357" i="51"/>
  <c r="AC357" i="51"/>
  <c r="AB358" i="51"/>
  <c r="AC358" i="51"/>
  <c r="AB303" i="51"/>
  <c r="AC303" i="51"/>
  <c r="AB304" i="51"/>
  <c r="AC304" i="51"/>
  <c r="AB305" i="51"/>
  <c r="AC305" i="51"/>
  <c r="AB306" i="51"/>
  <c r="AC306" i="51"/>
  <c r="AB307" i="51"/>
  <c r="AC307" i="51"/>
  <c r="AB308" i="51"/>
  <c r="AC308" i="51"/>
  <c r="AB309" i="51"/>
  <c r="AC309" i="51"/>
  <c r="AB310" i="51"/>
  <c r="AC310" i="51"/>
  <c r="AB311" i="51"/>
  <c r="AC311" i="51"/>
  <c r="AB312" i="51"/>
  <c r="AC312" i="51"/>
  <c r="AB313" i="51"/>
  <c r="AC313" i="51"/>
  <c r="AB314" i="51"/>
  <c r="AC314" i="51"/>
  <c r="AB315" i="51"/>
  <c r="AC315" i="51"/>
  <c r="AB316" i="51"/>
  <c r="AC316" i="51"/>
  <c r="AB317" i="51"/>
  <c r="AC317" i="51"/>
  <c r="AB318" i="51"/>
  <c r="AC318" i="51"/>
  <c r="AB319" i="51"/>
  <c r="AC319" i="51"/>
  <c r="AB320" i="51"/>
  <c r="AC320" i="51"/>
  <c r="AB321" i="51"/>
  <c r="AC321" i="51"/>
  <c r="AB322" i="51"/>
  <c r="AC322" i="51"/>
  <c r="AB323" i="51"/>
  <c r="AC323" i="51"/>
  <c r="AB324" i="51"/>
  <c r="AC324" i="51"/>
  <c r="AB325" i="51"/>
  <c r="AC325" i="51"/>
  <c r="AB326" i="51"/>
  <c r="AC326" i="51"/>
  <c r="AB327" i="51"/>
  <c r="AC327" i="51"/>
  <c r="AB328" i="51"/>
  <c r="AC328" i="51"/>
  <c r="AB329" i="51"/>
  <c r="AC329" i="51"/>
  <c r="AB330" i="51"/>
  <c r="AC330" i="51"/>
  <c r="AB331" i="51"/>
  <c r="AC331" i="51"/>
  <c r="AB332" i="51"/>
  <c r="AC332" i="51"/>
  <c r="AB333" i="51"/>
  <c r="AC333" i="51"/>
  <c r="AB334" i="51"/>
  <c r="AC334" i="51"/>
  <c r="AB335" i="51"/>
  <c r="AC335" i="51"/>
  <c r="AB336" i="51"/>
  <c r="AC336" i="51"/>
  <c r="L3" i="61" l="1"/>
  <c r="L4" i="61" s="1"/>
  <c r="L5" i="61" s="1"/>
  <c r="L6" i="61" s="1"/>
  <c r="L7" i="61" s="1"/>
  <c r="L8" i="61" s="1"/>
  <c r="L9" i="61" s="1"/>
  <c r="L10" i="61" s="1"/>
  <c r="L11" i="61" s="1"/>
  <c r="L12" i="61" s="1"/>
  <c r="L13" i="61" s="1"/>
  <c r="L14" i="61" s="1"/>
  <c r="L15" i="61" s="1"/>
  <c r="L16" i="61" s="1"/>
  <c r="L17" i="61"/>
  <c r="L18" i="61"/>
  <c r="L19" i="61" s="1"/>
  <c r="L20" i="61" s="1"/>
  <c r="L21" i="61" s="1"/>
  <c r="L22" i="61" s="1"/>
  <c r="L23" i="61" s="1"/>
  <c r="L24" i="61" s="1"/>
  <c r="L25" i="61" s="1"/>
  <c r="L26" i="61" s="1"/>
  <c r="L27" i="61" s="1"/>
  <c r="L28" i="61" s="1"/>
  <c r="L29" i="61" s="1"/>
  <c r="L30" i="61" s="1"/>
  <c r="L31" i="61" s="1"/>
  <c r="L32" i="61" s="1"/>
  <c r="L33" i="61" s="1"/>
  <c r="L34" i="61" s="1"/>
  <c r="L35" i="61" s="1"/>
  <c r="L36" i="61" s="1"/>
  <c r="L37" i="61"/>
  <c r="L38" i="61" s="1"/>
  <c r="L39" i="61" s="1"/>
  <c r="L40" i="61" s="1"/>
  <c r="L41" i="61" s="1"/>
  <c r="L42" i="61" s="1"/>
  <c r="L43" i="61" s="1"/>
  <c r="L44" i="61" s="1"/>
  <c r="L45" i="61" s="1"/>
  <c r="L46" i="61" s="1"/>
  <c r="L47" i="61" s="1"/>
  <c r="L48" i="61" s="1"/>
  <c r="L49" i="61" s="1"/>
  <c r="L50" i="61" s="1"/>
  <c r="L51" i="61" s="1"/>
  <c r="L52" i="61" s="1"/>
  <c r="L53" i="61" s="1"/>
  <c r="L54" i="61" s="1"/>
  <c r="L55" i="61" s="1"/>
  <c r="L56" i="61" s="1"/>
  <c r="L57" i="61" s="1"/>
  <c r="L58" i="61" s="1"/>
  <c r="L59" i="61" s="1"/>
  <c r="L60" i="61" s="1"/>
  <c r="L61" i="61" s="1"/>
  <c r="L2" i="61"/>
  <c r="O124" i="62"/>
  <c r="O125" i="62"/>
  <c r="O126" i="62"/>
  <c r="O127" i="62"/>
  <c r="O128" i="62"/>
  <c r="O129" i="62"/>
  <c r="O130" i="62"/>
  <c r="O131" i="62"/>
  <c r="O132" i="62"/>
  <c r="O133" i="62"/>
  <c r="O134" i="62"/>
  <c r="O135" i="62"/>
  <c r="O136" i="62"/>
  <c r="O137" i="62"/>
  <c r="O138" i="62"/>
  <c r="O139" i="62"/>
  <c r="O140" i="62"/>
  <c r="O141" i="62"/>
  <c r="O142" i="62"/>
  <c r="O143" i="62"/>
  <c r="O144" i="62"/>
  <c r="O145" i="62"/>
  <c r="O146" i="62"/>
  <c r="O147" i="62"/>
  <c r="O148" i="62"/>
  <c r="O149" i="62"/>
  <c r="O150" i="62"/>
  <c r="O151" i="62"/>
  <c r="O152" i="62"/>
  <c r="O153" i="62"/>
  <c r="O123" i="62"/>
  <c r="H195" i="62"/>
  <c r="H196" i="62"/>
  <c r="H197" i="62"/>
  <c r="H198" i="62"/>
  <c r="H199" i="62"/>
  <c r="H200" i="62"/>
  <c r="H201" i="62"/>
  <c r="H202" i="62"/>
  <c r="H203" i="62"/>
  <c r="H204" i="62"/>
  <c r="H205" i="62"/>
  <c r="H206" i="62"/>
  <c r="H207" i="62"/>
  <c r="H208" i="62"/>
  <c r="H209" i="62"/>
  <c r="H210" i="62"/>
  <c r="H211" i="62"/>
  <c r="H212" i="62"/>
  <c r="H213" i="62"/>
  <c r="H214" i="62"/>
  <c r="H215" i="62"/>
  <c r="H216" i="62"/>
  <c r="H217" i="62"/>
  <c r="H218" i="62"/>
  <c r="H219" i="62"/>
  <c r="H220" i="62"/>
  <c r="H221" i="62"/>
  <c r="H194" i="62"/>
  <c r="AL5" i="27"/>
  <c r="AL6" i="27"/>
  <c r="AL7" i="27"/>
  <c r="AL8" i="27"/>
  <c r="AL9" i="27"/>
  <c r="AL10" i="27"/>
  <c r="AL11" i="27"/>
  <c r="AL12" i="27"/>
  <c r="AL13" i="27"/>
  <c r="AL14" i="27"/>
  <c r="AL15" i="27"/>
  <c r="AL16" i="27"/>
  <c r="AL17" i="27"/>
  <c r="AL18" i="27"/>
  <c r="AL19" i="27"/>
  <c r="AL20" i="27"/>
  <c r="AL21" i="27"/>
  <c r="AL22" i="27"/>
  <c r="AL23" i="27"/>
  <c r="AL24" i="27"/>
  <c r="AL25" i="27"/>
  <c r="AL26" i="27"/>
  <c r="AL27" i="27"/>
  <c r="AL28" i="27"/>
  <c r="AL29" i="27"/>
  <c r="AL30" i="27"/>
  <c r="AL31" i="27"/>
  <c r="AL32" i="27"/>
  <c r="AL33" i="27"/>
  <c r="AL4" i="27"/>
  <c r="AE5" i="27"/>
  <c r="AE6" i="27"/>
  <c r="AE7" i="27"/>
  <c r="AE8" i="27"/>
  <c r="AE9" i="27"/>
  <c r="AE10" i="27"/>
  <c r="AE11" i="27"/>
  <c r="AE12" i="27"/>
  <c r="AE13" i="27"/>
  <c r="AE14" i="27"/>
  <c r="AE15" i="27"/>
  <c r="AE16" i="27"/>
  <c r="AE17" i="27"/>
  <c r="AE18" i="27"/>
  <c r="AE19" i="27"/>
  <c r="AE20" i="27"/>
  <c r="AE21" i="27"/>
  <c r="AE22" i="27"/>
  <c r="AE23" i="27"/>
  <c r="AE24" i="27"/>
  <c r="AE25" i="27"/>
  <c r="AE26" i="27"/>
  <c r="AE27" i="27"/>
  <c r="AE28" i="27"/>
  <c r="AE29" i="27"/>
  <c r="AE30" i="27"/>
  <c r="AE31" i="27"/>
  <c r="AE32" i="27"/>
  <c r="AE33" i="27"/>
  <c r="AE4" i="27"/>
  <c r="AK4" i="27"/>
  <c r="AK6" i="27"/>
  <c r="AK7" i="27"/>
  <c r="AK8" i="27"/>
  <c r="AK9" i="27"/>
  <c r="AK10" i="27"/>
  <c r="AK11" i="27"/>
  <c r="AK12" i="27"/>
  <c r="AK13" i="27"/>
  <c r="AK14" i="27"/>
  <c r="AK15" i="27"/>
  <c r="AK16" i="27"/>
  <c r="AK17" i="27"/>
  <c r="AK18" i="27"/>
  <c r="AK19" i="27"/>
  <c r="AK20" i="27"/>
  <c r="AK21" i="27"/>
  <c r="AK22" i="27"/>
  <c r="AK23" i="27"/>
  <c r="AK24" i="27"/>
  <c r="AK25" i="27"/>
  <c r="AK26" i="27"/>
  <c r="AK27" i="27"/>
  <c r="AK28" i="27"/>
  <c r="AK29" i="27"/>
  <c r="AK30" i="27"/>
  <c r="AK31" i="27"/>
  <c r="AK32" i="27"/>
  <c r="AK33" i="27"/>
  <c r="AK5" i="27"/>
  <c r="AJ4" i="27" l="1"/>
  <c r="AF5" i="27"/>
  <c r="AF6" i="27"/>
  <c r="AF7" i="27"/>
  <c r="AF8" i="27"/>
  <c r="AF9" i="27"/>
  <c r="AF10" i="27"/>
  <c r="AF11" i="27"/>
  <c r="AF12" i="27"/>
  <c r="AF13" i="27"/>
  <c r="AF14" i="27"/>
  <c r="AF15" i="27"/>
  <c r="AF16" i="27"/>
  <c r="AF17" i="27"/>
  <c r="AF18" i="27"/>
  <c r="AF19" i="27"/>
  <c r="AF20" i="27"/>
  <c r="AF21" i="27"/>
  <c r="AF22" i="27"/>
  <c r="AF23" i="27"/>
  <c r="AF24" i="27"/>
  <c r="AF25" i="27"/>
  <c r="AF26" i="27"/>
  <c r="AF27" i="27"/>
  <c r="AF28" i="27"/>
  <c r="AF29" i="27"/>
  <c r="AF30" i="27"/>
  <c r="AF31" i="27"/>
  <c r="AF32" i="27"/>
  <c r="AF33" i="27"/>
  <c r="AF4" i="27"/>
  <c r="AH33" i="27"/>
  <c r="AJ33" i="27" s="1"/>
  <c r="AH32" i="27"/>
  <c r="AJ32" i="27" s="1"/>
  <c r="AH31" i="27"/>
  <c r="AJ31" i="27" s="1"/>
  <c r="AH30" i="27"/>
  <c r="AJ30" i="27" s="1"/>
  <c r="AH29" i="27"/>
  <c r="AJ29" i="27" s="1"/>
  <c r="AH28" i="27"/>
  <c r="AJ28" i="27" s="1"/>
  <c r="AH27" i="27"/>
  <c r="AJ27" i="27" s="1"/>
  <c r="AH26" i="27"/>
  <c r="AJ26" i="27" s="1"/>
  <c r="AH25" i="27"/>
  <c r="AJ25" i="27" s="1"/>
  <c r="AH24" i="27"/>
  <c r="AJ24" i="27" s="1"/>
  <c r="AH23" i="27"/>
  <c r="AJ23" i="27" s="1"/>
  <c r="AH22" i="27"/>
  <c r="AJ22" i="27" s="1"/>
  <c r="AH21" i="27"/>
  <c r="AJ21" i="27" s="1"/>
  <c r="AH20" i="27"/>
  <c r="AJ20" i="27" s="1"/>
  <c r="AH19" i="27"/>
  <c r="AJ19" i="27" s="1"/>
  <c r="AH18" i="27"/>
  <c r="AJ18" i="27" s="1"/>
  <c r="AH17" i="27"/>
  <c r="AJ17" i="27" s="1"/>
  <c r="AH16" i="27"/>
  <c r="AJ16" i="27" s="1"/>
  <c r="AH15" i="27"/>
  <c r="AJ15" i="27" s="1"/>
  <c r="AH14" i="27"/>
  <c r="AJ14" i="27" s="1"/>
  <c r="AH13" i="27"/>
  <c r="AJ13" i="27" s="1"/>
  <c r="AH12" i="27"/>
  <c r="AJ12" i="27" s="1"/>
  <c r="AH11" i="27"/>
  <c r="AJ11" i="27" s="1"/>
  <c r="AH10" i="27"/>
  <c r="AJ10" i="27" s="1"/>
  <c r="AH9" i="27"/>
  <c r="AJ9" i="27" s="1"/>
  <c r="AH8" i="27"/>
  <c r="AJ8" i="27" s="1"/>
  <c r="AH7" i="27"/>
  <c r="AJ7" i="27" s="1"/>
  <c r="AH6" i="27"/>
  <c r="AJ6" i="27" s="1"/>
  <c r="AH5" i="27"/>
  <c r="AJ5" i="27" s="1"/>
  <c r="AH4" i="27"/>
  <c r="R46" i="40"/>
  <c r="R47" i="40"/>
  <c r="R48" i="40"/>
  <c r="R49" i="40"/>
  <c r="R50" i="40"/>
  <c r="R51" i="40"/>
  <c r="R52" i="40"/>
  <c r="R53" i="40"/>
  <c r="R54" i="40"/>
  <c r="R55" i="40"/>
  <c r="R56" i="40"/>
  <c r="R57" i="40"/>
  <c r="R58" i="40"/>
  <c r="R59" i="40"/>
  <c r="R60" i="40"/>
  <c r="R61" i="40"/>
  <c r="R62" i="40"/>
  <c r="R64" i="40"/>
  <c r="R65" i="40"/>
  <c r="R66" i="40"/>
  <c r="R67" i="40"/>
  <c r="R68" i="40"/>
  <c r="R69" i="40"/>
  <c r="R70" i="40"/>
  <c r="R71" i="40"/>
  <c r="R72" i="40"/>
  <c r="R73" i="40"/>
  <c r="R75" i="40"/>
  <c r="R76" i="40"/>
  <c r="R77" i="40"/>
  <c r="R78" i="40"/>
  <c r="R79" i="40"/>
  <c r="R80" i="40"/>
  <c r="R81" i="40"/>
  <c r="R82" i="40"/>
  <c r="R83" i="40"/>
  <c r="R84" i="40"/>
  <c r="R85" i="40"/>
  <c r="R86" i="40"/>
  <c r="R87" i="40"/>
  <c r="R88" i="40"/>
  <c r="R89" i="40"/>
  <c r="R90" i="40"/>
  <c r="R91" i="40"/>
  <c r="R92" i="40"/>
  <c r="R93" i="40"/>
  <c r="R94" i="40"/>
  <c r="R95" i="40"/>
  <c r="R96" i="40"/>
  <c r="R97" i="40"/>
  <c r="R98" i="40"/>
  <c r="R99" i="40"/>
  <c r="R100" i="40"/>
  <c r="R101" i="40"/>
  <c r="R102" i="40"/>
  <c r="R103" i="40"/>
  <c r="R104" i="40"/>
  <c r="R105" i="40"/>
  <c r="R106" i="40"/>
  <c r="R107" i="40"/>
  <c r="R108" i="40"/>
  <c r="R109" i="40"/>
  <c r="R110" i="40"/>
  <c r="R111" i="40"/>
  <c r="R112" i="40"/>
  <c r="R113" i="40"/>
  <c r="R114" i="40"/>
  <c r="R115" i="40"/>
  <c r="R116" i="40"/>
  <c r="R117" i="40"/>
  <c r="R118" i="40"/>
  <c r="R119" i="40"/>
  <c r="R120" i="40"/>
  <c r="R121" i="40"/>
  <c r="R122" i="40"/>
  <c r="R123" i="40"/>
  <c r="R124" i="40"/>
  <c r="R125" i="40"/>
  <c r="R126" i="40"/>
  <c r="R127" i="40"/>
  <c r="R128" i="40"/>
  <c r="R129" i="40"/>
  <c r="R130" i="40"/>
  <c r="R131" i="40"/>
  <c r="R132" i="40"/>
  <c r="R133" i="40"/>
  <c r="R134" i="40"/>
  <c r="R135" i="40"/>
  <c r="R136" i="40"/>
  <c r="R137" i="40"/>
  <c r="R138" i="40"/>
  <c r="R139" i="40"/>
  <c r="R140" i="40"/>
  <c r="R141" i="40"/>
  <c r="R142" i="40"/>
  <c r="R143" i="40"/>
  <c r="R144" i="40"/>
  <c r="R145" i="40"/>
  <c r="R146" i="40"/>
  <c r="R147" i="40"/>
  <c r="R148" i="40"/>
  <c r="R149" i="40"/>
  <c r="R150" i="40"/>
  <c r="R151" i="40"/>
  <c r="R152" i="40"/>
  <c r="R153" i="40"/>
  <c r="R154" i="40"/>
  <c r="R155" i="40"/>
  <c r="R156" i="40"/>
  <c r="R157" i="40"/>
  <c r="R158" i="40"/>
  <c r="R159" i="40"/>
  <c r="R160" i="40"/>
  <c r="R161" i="40"/>
  <c r="R162" i="40"/>
  <c r="R163" i="40"/>
  <c r="R164" i="40"/>
  <c r="R165" i="40"/>
  <c r="R166" i="40"/>
  <c r="R167" i="40"/>
  <c r="R168" i="40"/>
  <c r="R169" i="40"/>
  <c r="R170" i="40"/>
  <c r="R171" i="40"/>
  <c r="R172" i="40"/>
  <c r="R173" i="40"/>
  <c r="R174" i="40"/>
  <c r="R175" i="40"/>
  <c r="R176" i="40"/>
  <c r="R177" i="40"/>
  <c r="R178" i="40"/>
  <c r="R179" i="40"/>
  <c r="R180" i="40"/>
  <c r="R181" i="40"/>
  <c r="R182" i="40"/>
  <c r="R183" i="40"/>
  <c r="R184" i="40"/>
  <c r="R185" i="40"/>
  <c r="R186" i="40"/>
  <c r="R187" i="40"/>
  <c r="R188" i="40"/>
  <c r="R189" i="40"/>
  <c r="R190" i="40"/>
  <c r="R191" i="40"/>
  <c r="R192" i="40"/>
  <c r="R193" i="40"/>
  <c r="R194" i="40"/>
  <c r="R195" i="40"/>
  <c r="R196" i="40"/>
  <c r="R197" i="40"/>
  <c r="R198" i="40"/>
  <c r="R199" i="40"/>
  <c r="R200" i="40"/>
  <c r="R201" i="40"/>
  <c r="R202" i="40"/>
  <c r="R203" i="40"/>
  <c r="R204" i="40"/>
  <c r="R205" i="40"/>
  <c r="R206" i="40"/>
  <c r="R207" i="40"/>
  <c r="R208" i="40"/>
  <c r="R209" i="40"/>
  <c r="R210" i="40"/>
  <c r="R211" i="40"/>
  <c r="R212" i="40"/>
  <c r="R213" i="40"/>
  <c r="R214" i="40"/>
  <c r="R215" i="40"/>
  <c r="R216" i="40"/>
  <c r="R217" i="40"/>
  <c r="R218" i="40"/>
  <c r="R219" i="40"/>
  <c r="R220" i="40"/>
  <c r="R221" i="40"/>
  <c r="R222" i="40"/>
  <c r="R223" i="40"/>
  <c r="R224" i="40"/>
  <c r="R225" i="40"/>
  <c r="R226" i="40"/>
  <c r="R227" i="40"/>
  <c r="R228" i="40"/>
  <c r="R229" i="40"/>
  <c r="R230" i="40"/>
  <c r="R231" i="40"/>
  <c r="R232" i="40"/>
  <c r="R233" i="40"/>
  <c r="R234" i="40"/>
  <c r="R235" i="40"/>
  <c r="R236" i="40"/>
  <c r="R237" i="40"/>
  <c r="R238" i="40"/>
  <c r="R239" i="40"/>
  <c r="R240" i="40"/>
  <c r="R241" i="40"/>
  <c r="R242" i="40"/>
  <c r="R243" i="40"/>
  <c r="R244" i="40"/>
  <c r="R245" i="40"/>
  <c r="R246" i="40"/>
  <c r="R247" i="40"/>
  <c r="R248" i="40"/>
  <c r="R249" i="40"/>
  <c r="R250" i="40"/>
  <c r="R251" i="40"/>
  <c r="R252" i="40"/>
  <c r="R253" i="40"/>
  <c r="R254" i="40"/>
  <c r="R255" i="40"/>
  <c r="R256" i="40"/>
  <c r="R257" i="40"/>
  <c r="R258" i="40"/>
  <c r="R259" i="40"/>
  <c r="R260" i="40"/>
  <c r="R261" i="40"/>
  <c r="R262" i="40"/>
  <c r="R263" i="40"/>
  <c r="R264" i="40"/>
  <c r="R265" i="40"/>
  <c r="R266" i="40"/>
  <c r="R267" i="40"/>
  <c r="R268" i="40"/>
  <c r="R269" i="40"/>
  <c r="R270" i="40"/>
  <c r="R271" i="40"/>
  <c r="R272" i="40"/>
  <c r="R273" i="40"/>
  <c r="R274" i="40"/>
  <c r="R275" i="40"/>
  <c r="R276" i="40"/>
  <c r="R277" i="40"/>
  <c r="R278" i="40"/>
  <c r="R279" i="40"/>
  <c r="R280" i="40"/>
  <c r="R281" i="40"/>
  <c r="R282" i="40"/>
  <c r="R283" i="40"/>
  <c r="R284" i="40"/>
  <c r="R285" i="40"/>
  <c r="R286" i="40"/>
  <c r="R287" i="40"/>
  <c r="R288" i="40"/>
  <c r="R289" i="40"/>
  <c r="R290" i="40"/>
  <c r="R291" i="40"/>
  <c r="R292" i="40"/>
  <c r="R293" i="40"/>
  <c r="R294" i="40"/>
  <c r="R295" i="40"/>
  <c r="R296" i="40"/>
  <c r="R297" i="40"/>
  <c r="R298" i="40"/>
  <c r="R299" i="40"/>
  <c r="R300" i="40"/>
  <c r="R301" i="40"/>
  <c r="R302" i="40"/>
  <c r="R303" i="40"/>
  <c r="R304" i="40"/>
  <c r="R305" i="40"/>
  <c r="R306" i="40"/>
  <c r="R307" i="40"/>
  <c r="R308" i="40"/>
  <c r="R309" i="40"/>
  <c r="R310" i="40"/>
  <c r="R311" i="40"/>
  <c r="R312" i="40"/>
  <c r="R313" i="40"/>
  <c r="R314" i="40"/>
  <c r="R315" i="40"/>
  <c r="R316" i="40"/>
  <c r="R317" i="40"/>
  <c r="R318" i="40"/>
  <c r="R319" i="40"/>
  <c r="R320" i="40"/>
  <c r="R321" i="40"/>
  <c r="R322" i="40"/>
  <c r="R323" i="40"/>
  <c r="R324" i="40"/>
  <c r="R325" i="40"/>
  <c r="R326" i="40"/>
  <c r="R327" i="40"/>
  <c r="R328" i="40"/>
  <c r="R329" i="40"/>
  <c r="R330" i="40"/>
  <c r="R331" i="40"/>
  <c r="R332" i="40"/>
  <c r="R333" i="40"/>
  <c r="R334" i="40"/>
  <c r="R335" i="40"/>
  <c r="R336" i="40"/>
  <c r="R337" i="40"/>
  <c r="R338" i="40"/>
  <c r="R339" i="40"/>
  <c r="R340" i="40"/>
  <c r="R341" i="40"/>
  <c r="R342" i="40"/>
  <c r="R343" i="40"/>
  <c r="R344" i="40"/>
  <c r="R345" i="40"/>
  <c r="R346" i="40"/>
  <c r="R347" i="40"/>
  <c r="R348" i="40"/>
  <c r="R349" i="40"/>
  <c r="R350" i="40"/>
  <c r="R351" i="40"/>
  <c r="R352" i="40"/>
  <c r="R353" i="40"/>
  <c r="R354" i="40"/>
  <c r="R355" i="40"/>
  <c r="R356" i="40"/>
  <c r="R357" i="40"/>
  <c r="R358" i="40"/>
  <c r="R359" i="40"/>
  <c r="R360" i="40"/>
  <c r="R361" i="40"/>
  <c r="R362" i="40"/>
  <c r="R363" i="40"/>
  <c r="R364" i="40"/>
  <c r="R365" i="40"/>
  <c r="R366" i="40"/>
  <c r="R367" i="40"/>
  <c r="R368" i="40"/>
  <c r="R369" i="40"/>
  <c r="R370" i="40"/>
  <c r="R371" i="40"/>
  <c r="R372" i="40"/>
  <c r="R373" i="40"/>
  <c r="R374" i="40"/>
  <c r="R375" i="40"/>
  <c r="R376" i="40"/>
  <c r="R377" i="40"/>
  <c r="R378" i="40"/>
  <c r="R379" i="40"/>
  <c r="R380" i="40"/>
  <c r="R381" i="40"/>
  <c r="R382" i="40"/>
  <c r="R383" i="40"/>
  <c r="R384" i="40"/>
  <c r="R385" i="40"/>
  <c r="R386" i="40"/>
  <c r="R387" i="40"/>
  <c r="R388" i="40"/>
  <c r="R389" i="40"/>
  <c r="R390" i="40"/>
  <c r="R391" i="40"/>
  <c r="R392" i="40"/>
  <c r="R393" i="40"/>
  <c r="R394" i="40"/>
  <c r="R395" i="40"/>
  <c r="R396" i="40"/>
  <c r="R397" i="40"/>
  <c r="R398" i="40"/>
  <c r="R399" i="40"/>
  <c r="R400" i="40"/>
  <c r="R401" i="40"/>
  <c r="R402" i="40"/>
  <c r="R403" i="40"/>
  <c r="R404" i="40"/>
  <c r="R405" i="40"/>
  <c r="R406" i="40"/>
  <c r="R407" i="40"/>
  <c r="R408" i="40"/>
  <c r="R409" i="40"/>
  <c r="R410" i="40"/>
  <c r="R411" i="40"/>
  <c r="R412" i="40"/>
  <c r="R413" i="40"/>
  <c r="R414" i="40"/>
  <c r="R415" i="40"/>
  <c r="R416" i="40"/>
  <c r="R417" i="40"/>
  <c r="R418" i="40"/>
  <c r="R419" i="40"/>
  <c r="R420" i="40"/>
  <c r="R421" i="40"/>
  <c r="R422" i="40"/>
  <c r="R423" i="40"/>
  <c r="R424" i="40"/>
  <c r="R425" i="40"/>
  <c r="R426" i="40"/>
  <c r="R427" i="40"/>
  <c r="R428" i="40"/>
  <c r="R429" i="40"/>
  <c r="R430" i="40"/>
  <c r="R431" i="40"/>
  <c r="R432" i="40"/>
  <c r="R433" i="40"/>
  <c r="R434" i="40"/>
  <c r="R435" i="40"/>
  <c r="R436" i="40"/>
  <c r="R437" i="40"/>
  <c r="R438" i="40"/>
  <c r="R439" i="40"/>
  <c r="R440" i="40"/>
  <c r="R441" i="40"/>
  <c r="R442" i="40"/>
  <c r="R443" i="40"/>
  <c r="R444" i="40"/>
  <c r="R445" i="40"/>
  <c r="R446" i="40"/>
  <c r="R447" i="40"/>
  <c r="R448" i="40"/>
  <c r="R449" i="40"/>
  <c r="R450" i="40"/>
  <c r="R451" i="40"/>
  <c r="R452" i="40"/>
  <c r="R453" i="40"/>
  <c r="R454" i="40"/>
  <c r="R455" i="40"/>
  <c r="R456" i="40"/>
  <c r="R457" i="40"/>
  <c r="R458" i="40"/>
  <c r="R459" i="40"/>
  <c r="R460" i="40"/>
  <c r="R461" i="40"/>
  <c r="R462" i="40"/>
  <c r="R463" i="40"/>
  <c r="R464" i="40"/>
  <c r="R465" i="40"/>
  <c r="R466" i="40"/>
  <c r="R467" i="40"/>
  <c r="R468" i="40"/>
  <c r="R469" i="40"/>
  <c r="R470" i="40"/>
  <c r="R471" i="40"/>
  <c r="R472" i="40"/>
  <c r="R473" i="40"/>
  <c r="R474" i="40"/>
  <c r="R475" i="40"/>
  <c r="R476" i="40"/>
  <c r="R477" i="40"/>
  <c r="R478" i="40"/>
  <c r="R479" i="40"/>
  <c r="R480" i="40"/>
  <c r="R481" i="40"/>
  <c r="R482" i="40"/>
  <c r="R483" i="40"/>
  <c r="R484" i="40"/>
  <c r="R485" i="40"/>
  <c r="R486" i="40"/>
  <c r="R487" i="40"/>
  <c r="R488" i="40"/>
  <c r="R489" i="40"/>
  <c r="R490" i="40"/>
  <c r="R491" i="40"/>
  <c r="R492" i="40"/>
  <c r="R493" i="40"/>
  <c r="R494" i="40"/>
  <c r="R495" i="40"/>
  <c r="R496" i="40"/>
  <c r="R497" i="40"/>
  <c r="R498" i="40"/>
  <c r="R499" i="40"/>
  <c r="R500" i="40"/>
  <c r="R501" i="40"/>
  <c r="R502" i="40"/>
  <c r="R503" i="40"/>
  <c r="R504" i="40"/>
  <c r="R505" i="40"/>
  <c r="R506" i="40"/>
  <c r="R507" i="40"/>
  <c r="R508" i="40"/>
  <c r="R509" i="40"/>
  <c r="R510" i="40"/>
  <c r="R511" i="40"/>
  <c r="R512" i="40"/>
  <c r="R513" i="40"/>
  <c r="R514" i="40"/>
  <c r="R515" i="40"/>
  <c r="R516" i="40"/>
  <c r="R517" i="40"/>
  <c r="R518" i="40"/>
  <c r="R519" i="40"/>
  <c r="R520" i="40"/>
  <c r="R521" i="40"/>
  <c r="R522" i="40"/>
  <c r="R523" i="40"/>
  <c r="R524" i="40"/>
  <c r="R525" i="40"/>
  <c r="R526" i="40"/>
  <c r="R527" i="40"/>
  <c r="R528" i="40"/>
  <c r="R529" i="40"/>
  <c r="R530" i="40"/>
  <c r="R531" i="40"/>
  <c r="R532" i="40"/>
  <c r="R533" i="40"/>
  <c r="R534" i="40"/>
  <c r="R535" i="40"/>
  <c r="R536" i="40"/>
  <c r="R537" i="40"/>
  <c r="R538" i="40"/>
  <c r="R539" i="40"/>
  <c r="R540" i="40"/>
  <c r="R541" i="40"/>
  <c r="R542" i="40"/>
  <c r="R543" i="40"/>
  <c r="R544" i="40"/>
  <c r="R545" i="40"/>
  <c r="R546" i="40"/>
  <c r="R547" i="40"/>
  <c r="R548" i="40"/>
  <c r="R549" i="40"/>
  <c r="R550" i="40"/>
  <c r="R551" i="40"/>
  <c r="R552" i="40"/>
  <c r="R553" i="40"/>
  <c r="R554" i="40"/>
  <c r="R555" i="40"/>
  <c r="R556" i="40"/>
  <c r="R557" i="40"/>
  <c r="R558" i="40"/>
  <c r="R559" i="40"/>
  <c r="R560" i="40"/>
  <c r="R561" i="40"/>
  <c r="R562" i="40"/>
  <c r="R563" i="40"/>
  <c r="R564" i="40"/>
  <c r="R565" i="40"/>
  <c r="R566" i="40"/>
  <c r="R567" i="40"/>
  <c r="R568" i="40"/>
  <c r="R569" i="40"/>
  <c r="R570" i="40"/>
  <c r="R571" i="40"/>
  <c r="R572" i="40"/>
  <c r="R573" i="40"/>
  <c r="R574" i="40"/>
  <c r="R575" i="40"/>
  <c r="R576" i="40"/>
  <c r="R577" i="40"/>
  <c r="R578" i="40"/>
  <c r="R579" i="40"/>
  <c r="R580" i="40"/>
  <c r="R581" i="40"/>
  <c r="R582" i="40"/>
  <c r="R583" i="40"/>
  <c r="R584" i="40"/>
  <c r="R585" i="40"/>
  <c r="R586" i="40"/>
  <c r="R587" i="40"/>
  <c r="R588" i="40"/>
  <c r="R589" i="40"/>
  <c r="R590" i="40"/>
  <c r="R591" i="40"/>
  <c r="R592" i="40"/>
  <c r="R593" i="40"/>
  <c r="R594" i="40"/>
  <c r="R595" i="40"/>
  <c r="R596" i="40"/>
  <c r="R597" i="40"/>
  <c r="R598" i="40"/>
  <c r="R599" i="40"/>
  <c r="R600" i="40"/>
  <c r="R601" i="40"/>
  <c r="R602" i="40"/>
  <c r="R603" i="40"/>
  <c r="R604" i="40"/>
  <c r="R605" i="40"/>
  <c r="R606" i="40"/>
  <c r="R607" i="40"/>
  <c r="R608" i="40"/>
  <c r="R609" i="40"/>
  <c r="R610" i="40"/>
  <c r="R611" i="40"/>
  <c r="R612" i="40"/>
  <c r="R613" i="40"/>
  <c r="R614" i="40"/>
  <c r="R615" i="40"/>
  <c r="R616" i="40"/>
  <c r="R617" i="40"/>
  <c r="R618" i="40"/>
  <c r="R619" i="40"/>
  <c r="R620" i="40"/>
  <c r="R621" i="40"/>
  <c r="R622" i="40"/>
  <c r="R623" i="40"/>
  <c r="R624" i="40"/>
  <c r="R625" i="40"/>
  <c r="R626" i="40"/>
  <c r="R627" i="40"/>
  <c r="R628" i="40"/>
  <c r="R629" i="40"/>
  <c r="R630" i="40"/>
  <c r="R631" i="40"/>
  <c r="R632" i="40"/>
  <c r="R633" i="40"/>
  <c r="R634" i="40"/>
  <c r="R635" i="40"/>
  <c r="R636" i="40"/>
  <c r="R637" i="40"/>
  <c r="R638" i="40"/>
  <c r="R639" i="40"/>
  <c r="R640" i="40"/>
  <c r="R641" i="40"/>
  <c r="R642" i="40"/>
  <c r="R643" i="40"/>
  <c r="R644" i="40"/>
  <c r="R645" i="40"/>
  <c r="R646" i="40"/>
  <c r="R647" i="40"/>
  <c r="R648" i="40"/>
  <c r="R649" i="40"/>
  <c r="R650" i="40"/>
  <c r="R651" i="40"/>
  <c r="R652" i="40"/>
  <c r="R653" i="40"/>
  <c r="R654" i="40"/>
  <c r="R655" i="40"/>
  <c r="R656" i="40"/>
  <c r="R657" i="40"/>
  <c r="R658" i="40"/>
  <c r="R659" i="40"/>
  <c r="R660" i="40"/>
  <c r="R661" i="40"/>
  <c r="R662" i="40"/>
  <c r="R663" i="40"/>
  <c r="R664" i="40"/>
  <c r="R665" i="40"/>
  <c r="R666" i="40"/>
  <c r="R667" i="40"/>
  <c r="R668" i="40"/>
  <c r="R3" i="40"/>
  <c r="R4" i="40"/>
  <c r="R5" i="40"/>
  <c r="R6" i="40"/>
  <c r="R7" i="40"/>
  <c r="R8" i="40"/>
  <c r="R9" i="40"/>
  <c r="R10" i="40"/>
  <c r="R11" i="40"/>
  <c r="R12" i="40"/>
  <c r="R13" i="40"/>
  <c r="R14" i="40"/>
  <c r="R15" i="40"/>
  <c r="R16" i="40"/>
  <c r="R17" i="40"/>
  <c r="R18" i="40"/>
  <c r="R19" i="40"/>
  <c r="R20" i="40"/>
  <c r="R21" i="40"/>
  <c r="R22" i="40"/>
  <c r="R23" i="40"/>
  <c r="R24" i="40"/>
  <c r="R25" i="40"/>
  <c r="R26" i="40"/>
  <c r="R27" i="40"/>
  <c r="R28" i="40"/>
  <c r="R29" i="40"/>
  <c r="R30" i="40"/>
  <c r="R31" i="40"/>
  <c r="R32" i="40"/>
  <c r="R33" i="40"/>
  <c r="R34" i="40"/>
  <c r="R35" i="40"/>
  <c r="R36" i="40"/>
  <c r="R37" i="40"/>
  <c r="R38" i="40"/>
  <c r="R39" i="40"/>
  <c r="R40" i="40"/>
  <c r="R41" i="40"/>
  <c r="R43" i="40"/>
  <c r="R44" i="40"/>
  <c r="R45" i="40"/>
  <c r="R2" i="40"/>
  <c r="H9" i="6" l="1"/>
  <c r="H10" i="6"/>
  <c r="H11" i="6"/>
  <c r="H15" i="6"/>
  <c r="J3" i="58" l="1"/>
  <c r="J4" i="58"/>
  <c r="J5" i="58"/>
  <c r="J6" i="58"/>
  <c r="J7" i="58"/>
  <c r="J8" i="58"/>
  <c r="J9" i="58"/>
  <c r="J10" i="58"/>
  <c r="J11" i="58"/>
  <c r="J12" i="58"/>
  <c r="J13" i="58"/>
  <c r="J14" i="58"/>
  <c r="J15" i="58"/>
  <c r="J16" i="58"/>
  <c r="J17" i="58"/>
  <c r="J18" i="58"/>
  <c r="J19" i="58"/>
  <c r="J20" i="58"/>
  <c r="J21" i="58"/>
  <c r="J22" i="58"/>
  <c r="J23" i="58"/>
  <c r="J24" i="58"/>
  <c r="J25" i="58"/>
  <c r="J26" i="58"/>
  <c r="J27" i="58"/>
  <c r="J28" i="58"/>
  <c r="J29" i="58"/>
  <c r="J30" i="58"/>
  <c r="J31" i="58"/>
  <c r="J32" i="58"/>
  <c r="J33" i="58"/>
  <c r="J34" i="58"/>
  <c r="J35" i="58"/>
  <c r="J36" i="58"/>
  <c r="J37" i="58"/>
  <c r="J38" i="58"/>
  <c r="J39" i="58"/>
  <c r="J40" i="58"/>
  <c r="J41" i="58"/>
  <c r="J42" i="58"/>
  <c r="J43" i="58"/>
  <c r="J44" i="58"/>
  <c r="J45" i="58"/>
  <c r="J46" i="58"/>
  <c r="J47" i="58"/>
  <c r="J48" i="58"/>
  <c r="J49" i="58"/>
  <c r="J50" i="58"/>
  <c r="J51" i="58"/>
  <c r="J52" i="58"/>
  <c r="J53" i="58"/>
  <c r="J54" i="58"/>
  <c r="J55" i="58"/>
  <c r="J56" i="58"/>
  <c r="J57" i="58"/>
  <c r="J58" i="58"/>
  <c r="J59" i="58"/>
  <c r="J60" i="58"/>
  <c r="J61" i="58"/>
  <c r="J62" i="58"/>
  <c r="J63" i="58"/>
  <c r="J64" i="58"/>
  <c r="J65" i="58"/>
  <c r="J66" i="58"/>
  <c r="J67" i="58"/>
  <c r="J68" i="58"/>
  <c r="J69" i="58"/>
  <c r="J70" i="58"/>
  <c r="J71" i="58"/>
  <c r="J72" i="58"/>
  <c r="J73" i="58"/>
  <c r="J74" i="58"/>
  <c r="J75" i="58"/>
  <c r="J76" i="58"/>
  <c r="J77" i="58"/>
  <c r="J78" i="58"/>
  <c r="J79" i="58"/>
  <c r="J80" i="58"/>
  <c r="J81" i="58"/>
  <c r="J82" i="58"/>
  <c r="J83" i="58"/>
  <c r="J84" i="58"/>
  <c r="J85" i="58"/>
  <c r="J86" i="58"/>
  <c r="J87" i="58"/>
  <c r="J88" i="58"/>
  <c r="J89" i="58"/>
  <c r="J90" i="58"/>
  <c r="J91" i="58"/>
  <c r="J92" i="58"/>
  <c r="J93" i="58"/>
  <c r="J94" i="58"/>
  <c r="J95" i="58"/>
  <c r="J96" i="58"/>
  <c r="J97" i="58"/>
  <c r="J98" i="58"/>
  <c r="J99" i="58"/>
  <c r="J100" i="58"/>
  <c r="J101" i="58"/>
  <c r="J102" i="58"/>
  <c r="J103" i="58"/>
  <c r="J2" i="58"/>
  <c r="I8" i="58"/>
  <c r="I9" i="58" s="1"/>
  <c r="I10" i="58" s="1"/>
  <c r="I11" i="58" s="1"/>
  <c r="I12" i="58" s="1"/>
  <c r="I13" i="58" s="1"/>
  <c r="I14" i="58" s="1"/>
  <c r="I15" i="58" s="1"/>
  <c r="I16" i="58"/>
  <c r="I17" i="58" s="1"/>
  <c r="I18" i="58" s="1"/>
  <c r="I19" i="58" s="1"/>
  <c r="I20" i="58" s="1"/>
  <c r="I21" i="58" s="1"/>
  <c r="I22" i="58" s="1"/>
  <c r="I23" i="58" s="1"/>
  <c r="I24" i="58"/>
  <c r="I25" i="58"/>
  <c r="I26" i="58"/>
  <c r="I27" i="58" s="1"/>
  <c r="I28" i="58" s="1"/>
  <c r="I29" i="58" s="1"/>
  <c r="I30" i="58" s="1"/>
  <c r="I31" i="58" s="1"/>
  <c r="I32" i="58" s="1"/>
  <c r="I33" i="58" s="1"/>
  <c r="I34" i="58"/>
  <c r="I35" i="58" s="1"/>
  <c r="I36" i="58" s="1"/>
  <c r="I37" i="58" s="1"/>
  <c r="I38" i="58" s="1"/>
  <c r="I39" i="58" s="1"/>
  <c r="I40" i="58" s="1"/>
  <c r="I41" i="58" s="1"/>
  <c r="I42" i="58" s="1"/>
  <c r="I43" i="58" s="1"/>
  <c r="I44" i="58"/>
  <c r="I45" i="58" s="1"/>
  <c r="I46" i="58" s="1"/>
  <c r="I47" i="58" s="1"/>
  <c r="I48" i="58" s="1"/>
  <c r="I49" i="58" s="1"/>
  <c r="I50" i="58" s="1"/>
  <c r="I51" i="58" s="1"/>
  <c r="I52" i="58" s="1"/>
  <c r="I53" i="58" s="1"/>
  <c r="I54" i="58"/>
  <c r="I55" i="58"/>
  <c r="I56" i="58"/>
  <c r="I57" i="58"/>
  <c r="I58" i="58"/>
  <c r="I59" i="58" s="1"/>
  <c r="I60" i="58" s="1"/>
  <c r="I61" i="58" s="1"/>
  <c r="I62" i="58" s="1"/>
  <c r="I63" i="58" s="1"/>
  <c r="I64" i="58" s="1"/>
  <c r="I65" i="58" s="1"/>
  <c r="I66" i="58"/>
  <c r="I67" i="58" s="1"/>
  <c r="I68" i="58" s="1"/>
  <c r="I69" i="58" s="1"/>
  <c r="I70" i="58" s="1"/>
  <c r="I71" i="58" s="1"/>
  <c r="I72" i="58" s="1"/>
  <c r="I73" i="58" s="1"/>
  <c r="I74" i="58" s="1"/>
  <c r="I75" i="58" s="1"/>
  <c r="I76" i="58" s="1"/>
  <c r="I77" i="58" s="1"/>
  <c r="I78" i="58"/>
  <c r="I79" i="58"/>
  <c r="I80" i="58" s="1"/>
  <c r="I81" i="58" s="1"/>
  <c r="I82" i="58" s="1"/>
  <c r="I83" i="58" s="1"/>
  <c r="I84" i="58" s="1"/>
  <c r="I85" i="58" s="1"/>
  <c r="I86" i="58" s="1"/>
  <c r="I87" i="58" s="1"/>
  <c r="I88" i="58" s="1"/>
  <c r="I89" i="58" s="1"/>
  <c r="I90" i="58"/>
  <c r="I91" i="58" s="1"/>
  <c r="I92" i="58" s="1"/>
  <c r="I93" i="58" s="1"/>
  <c r="I94" i="58" s="1"/>
  <c r="I95" i="58" s="1"/>
  <c r="I96" i="58" s="1"/>
  <c r="I97" i="58" s="1"/>
  <c r="I98" i="58" s="1"/>
  <c r="I99" i="58" s="1"/>
  <c r="I100" i="58" s="1"/>
  <c r="I101" i="58" s="1"/>
  <c r="I102" i="58" s="1"/>
  <c r="I103" i="58" s="1"/>
  <c r="I2" i="58"/>
  <c r="I3" i="58" s="1"/>
  <c r="I4" i="58" s="1"/>
  <c r="I5" i="58" s="1"/>
  <c r="I6" i="58" s="1"/>
  <c r="I7" i="58" s="1"/>
  <c r="H9" i="58"/>
  <c r="H10" i="58" s="1"/>
  <c r="H11" i="58" s="1"/>
  <c r="H12" i="58" s="1"/>
  <c r="H13" i="58" s="1"/>
  <c r="H14" i="58" s="1"/>
  <c r="H15" i="58" s="1"/>
  <c r="H16" i="58"/>
  <c r="H17" i="58" s="1"/>
  <c r="H18" i="58" s="1"/>
  <c r="H19" i="58" s="1"/>
  <c r="H20" i="58" s="1"/>
  <c r="H21" i="58" s="1"/>
  <c r="H22" i="58" s="1"/>
  <c r="H23" i="58" s="1"/>
  <c r="H24" i="58"/>
  <c r="H25" i="58" s="1"/>
  <c r="H26" i="58" s="1"/>
  <c r="H27" i="58" s="1"/>
  <c r="H28" i="58" s="1"/>
  <c r="H29" i="58" s="1"/>
  <c r="H30" i="58" s="1"/>
  <c r="H31" i="58" s="1"/>
  <c r="H32" i="58" s="1"/>
  <c r="H33" i="58" s="1"/>
  <c r="H34" i="58"/>
  <c r="H35" i="58" s="1"/>
  <c r="H36" i="58" s="1"/>
  <c r="H37" i="58" s="1"/>
  <c r="H38" i="58" s="1"/>
  <c r="H39" i="58" s="1"/>
  <c r="H40" i="58" s="1"/>
  <c r="H41" i="58" s="1"/>
  <c r="H42" i="58" s="1"/>
  <c r="H43" i="58" s="1"/>
  <c r="H44" i="58"/>
  <c r="H45" i="58" s="1"/>
  <c r="H46" i="58" s="1"/>
  <c r="H47" i="58" s="1"/>
  <c r="H48" i="58" s="1"/>
  <c r="H49" i="58" s="1"/>
  <c r="H50" i="58" s="1"/>
  <c r="H51" i="58" s="1"/>
  <c r="H52" i="58" s="1"/>
  <c r="H53" i="58" s="1"/>
  <c r="H54" i="58"/>
  <c r="H55" i="58"/>
  <c r="H56" i="58" s="1"/>
  <c r="H57" i="58" s="1"/>
  <c r="H58" i="58" s="1"/>
  <c r="H59" i="58" s="1"/>
  <c r="H60" i="58" s="1"/>
  <c r="H61" i="58" s="1"/>
  <c r="H62" i="58" s="1"/>
  <c r="H63" i="58" s="1"/>
  <c r="H64" i="58" s="1"/>
  <c r="H65" i="58" s="1"/>
  <c r="H66" i="58"/>
  <c r="H67" i="58" s="1"/>
  <c r="H68" i="58" s="1"/>
  <c r="H69" i="58" s="1"/>
  <c r="H70" i="58" s="1"/>
  <c r="H71" i="58" s="1"/>
  <c r="H72" i="58" s="1"/>
  <c r="H73" i="58" s="1"/>
  <c r="H74" i="58" s="1"/>
  <c r="H75" i="58" s="1"/>
  <c r="H76" i="58" s="1"/>
  <c r="H77" i="58" s="1"/>
  <c r="H78" i="58"/>
  <c r="H79" i="58"/>
  <c r="H80" i="58"/>
  <c r="H81" i="58" s="1"/>
  <c r="H82" i="58" s="1"/>
  <c r="H83" i="58" s="1"/>
  <c r="H84" i="58" s="1"/>
  <c r="H85" i="58" s="1"/>
  <c r="H86" i="58" s="1"/>
  <c r="H87" i="58" s="1"/>
  <c r="H88" i="58" s="1"/>
  <c r="H89" i="58" s="1"/>
  <c r="H90" i="58"/>
  <c r="H91" i="58" s="1"/>
  <c r="H92" i="58" s="1"/>
  <c r="H93" i="58" s="1"/>
  <c r="H94" i="58" s="1"/>
  <c r="H95" i="58" s="1"/>
  <c r="H96" i="58" s="1"/>
  <c r="H97" i="58" s="1"/>
  <c r="H98" i="58" s="1"/>
  <c r="H99" i="58" s="1"/>
  <c r="H100" i="58" s="1"/>
  <c r="H101" i="58" s="1"/>
  <c r="H102" i="58" s="1"/>
  <c r="H103" i="58" s="1"/>
  <c r="H8" i="58"/>
  <c r="H2" i="58"/>
  <c r="H3" i="58" s="1"/>
  <c r="H4" i="58" s="1"/>
  <c r="H5" i="58" s="1"/>
  <c r="H6" i="58" s="1"/>
  <c r="H7" i="58" s="1"/>
  <c r="E194" i="62" l="1"/>
  <c r="G194" i="62"/>
  <c r="E195" i="62"/>
  <c r="G195" i="62"/>
  <c r="E196" i="62"/>
  <c r="G196" i="62"/>
  <c r="E197" i="62"/>
  <c r="G197" i="62"/>
  <c r="E198" i="62"/>
  <c r="G198" i="62"/>
  <c r="E199" i="62"/>
  <c r="F199" i="62"/>
  <c r="G199" i="62"/>
  <c r="E200" i="62"/>
  <c r="G200" i="62"/>
  <c r="E201" i="62"/>
  <c r="G201" i="62"/>
  <c r="E202" i="62"/>
  <c r="G202" i="62"/>
  <c r="E203" i="62"/>
  <c r="G203" i="62"/>
  <c r="E204" i="62"/>
  <c r="G204" i="62"/>
  <c r="E205" i="62"/>
  <c r="G205" i="62"/>
  <c r="E206" i="62"/>
  <c r="F206" i="62"/>
  <c r="G206" i="62"/>
  <c r="E207" i="62"/>
  <c r="G207" i="62"/>
  <c r="E208" i="62"/>
  <c r="G208" i="62"/>
  <c r="E209" i="62"/>
  <c r="G209" i="62"/>
  <c r="E210" i="62"/>
  <c r="G210" i="62"/>
  <c r="E211" i="62"/>
  <c r="G211" i="62"/>
  <c r="E212" i="62"/>
  <c r="G212" i="62"/>
  <c r="E213" i="62"/>
  <c r="F213" i="62"/>
  <c r="G213" i="62"/>
  <c r="E214" i="62"/>
  <c r="G214" i="62"/>
  <c r="E215" i="62"/>
  <c r="G215" i="62"/>
  <c r="E216" i="62"/>
  <c r="G216" i="62"/>
  <c r="E217" i="62"/>
  <c r="G217" i="62"/>
  <c r="E218" i="62"/>
  <c r="G218" i="62"/>
  <c r="E219" i="62"/>
  <c r="G219" i="62"/>
  <c r="E220" i="62"/>
  <c r="F220" i="62"/>
  <c r="G220" i="62"/>
  <c r="E221" i="62"/>
  <c r="G221" i="62"/>
  <c r="C225" i="62"/>
  <c r="N124" i="62"/>
  <c r="N125" i="62"/>
  <c r="N126" i="62"/>
  <c r="N127" i="62"/>
  <c r="N128" i="62"/>
  <c r="N129" i="62"/>
  <c r="N130" i="62"/>
  <c r="N131" i="62"/>
  <c r="N132" i="62"/>
  <c r="N133" i="62"/>
  <c r="N134" i="62"/>
  <c r="N135" i="62"/>
  <c r="N136" i="62"/>
  <c r="N137" i="62"/>
  <c r="N138" i="62"/>
  <c r="N139" i="62"/>
  <c r="N140" i="62"/>
  <c r="N141" i="62"/>
  <c r="N142" i="62"/>
  <c r="N143" i="62"/>
  <c r="N144" i="62"/>
  <c r="N145" i="62"/>
  <c r="N146" i="62"/>
  <c r="N147" i="62"/>
  <c r="N148" i="62"/>
  <c r="N149" i="62"/>
  <c r="N150" i="62"/>
  <c r="N151" i="62"/>
  <c r="N152" i="62"/>
  <c r="N153" i="62"/>
  <c r="N123" i="62"/>
  <c r="I158" i="62"/>
  <c r="I159" i="62"/>
  <c r="I160" i="62"/>
  <c r="I161" i="62"/>
  <c r="I162" i="62"/>
  <c r="I163" i="62"/>
  <c r="I164" i="62"/>
  <c r="I165" i="62"/>
  <c r="I166" i="62"/>
  <c r="I131" i="62"/>
  <c r="I132" i="62"/>
  <c r="I133" i="62"/>
  <c r="I134" i="62"/>
  <c r="I135" i="62"/>
  <c r="I136" i="62"/>
  <c r="I137" i="62"/>
  <c r="I138" i="62"/>
  <c r="I139" i="62"/>
  <c r="I140" i="62"/>
  <c r="I141" i="62"/>
  <c r="I142" i="62"/>
  <c r="I143" i="62"/>
  <c r="I144" i="62"/>
  <c r="I145" i="62"/>
  <c r="I146" i="62"/>
  <c r="I147" i="62"/>
  <c r="I148" i="62"/>
  <c r="I149" i="62"/>
  <c r="I150" i="62"/>
  <c r="I151" i="62"/>
  <c r="I152" i="62"/>
  <c r="I153" i="62"/>
  <c r="I154" i="62"/>
  <c r="I155" i="62"/>
  <c r="I156" i="62"/>
  <c r="I157" i="62"/>
  <c r="I124" i="62"/>
  <c r="I125" i="62"/>
  <c r="I126" i="62"/>
  <c r="I127" i="62"/>
  <c r="I128" i="62"/>
  <c r="I129" i="62"/>
  <c r="I130" i="62"/>
  <c r="I123" i="62"/>
  <c r="H151" i="62" l="1"/>
  <c r="H152" i="62"/>
  <c r="H153" i="62"/>
  <c r="H154" i="62"/>
  <c r="H155" i="62"/>
  <c r="H156" i="62"/>
  <c r="H157" i="62"/>
  <c r="H158" i="62"/>
  <c r="H159" i="62"/>
  <c r="H160" i="62"/>
  <c r="H161" i="62"/>
  <c r="H162" i="62"/>
  <c r="H163" i="62"/>
  <c r="H164" i="62"/>
  <c r="H165" i="62"/>
  <c r="H166" i="62"/>
  <c r="H124" i="62"/>
  <c r="H125" i="62"/>
  <c r="H126" i="62"/>
  <c r="H127" i="62"/>
  <c r="H128" i="62"/>
  <c r="H129" i="62"/>
  <c r="H130" i="62"/>
  <c r="H131" i="62"/>
  <c r="H132" i="62"/>
  <c r="H133" i="62"/>
  <c r="H134" i="62"/>
  <c r="H135" i="62"/>
  <c r="H136" i="62"/>
  <c r="H137" i="62"/>
  <c r="H138" i="62"/>
  <c r="H139" i="62"/>
  <c r="H140" i="62"/>
  <c r="H141" i="62"/>
  <c r="H142" i="62"/>
  <c r="H143" i="62"/>
  <c r="H144" i="62"/>
  <c r="H145" i="62"/>
  <c r="H146" i="62"/>
  <c r="H147" i="62"/>
  <c r="H148" i="62"/>
  <c r="H149" i="62"/>
  <c r="H150" i="62"/>
  <c r="H123" i="62"/>
  <c r="K18" i="27" l="1"/>
  <c r="K19" i="27"/>
  <c r="K20" i="27"/>
  <c r="K21" i="27"/>
  <c r="K22" i="27"/>
  <c r="K23" i="27"/>
  <c r="K24" i="27"/>
  <c r="K25" i="27"/>
  <c r="K26" i="27"/>
  <c r="K17" i="27"/>
  <c r="L152" i="62" l="1"/>
  <c r="L153" i="62"/>
  <c r="L136" i="62"/>
  <c r="L137" i="62"/>
  <c r="L138" i="62"/>
  <c r="L139" i="62"/>
  <c r="L140" i="62"/>
  <c r="L141" i="62"/>
  <c r="L142" i="62"/>
  <c r="L143" i="62"/>
  <c r="L144" i="62"/>
  <c r="L145" i="62"/>
  <c r="L146" i="62"/>
  <c r="L147" i="62"/>
  <c r="L148" i="62"/>
  <c r="L149" i="62"/>
  <c r="L150" i="62"/>
  <c r="L151" i="62"/>
  <c r="L124" i="62"/>
  <c r="L125" i="62"/>
  <c r="L126" i="62"/>
  <c r="L127" i="62"/>
  <c r="L128" i="62"/>
  <c r="L129" i="62"/>
  <c r="L130" i="62"/>
  <c r="L131" i="62"/>
  <c r="L132" i="62"/>
  <c r="L133" i="62"/>
  <c r="L134" i="62"/>
  <c r="L135" i="62"/>
  <c r="L123" i="62"/>
  <c r="Z279" i="47" l="1"/>
  <c r="Z280" i="47"/>
  <c r="Z281" i="47"/>
  <c r="Z282" i="47"/>
  <c r="Z283" i="47"/>
  <c r="Z284" i="47"/>
  <c r="Z285" i="47"/>
  <c r="Z286" i="47"/>
  <c r="Z287" i="47"/>
  <c r="Z278" i="47"/>
  <c r="L279" i="47"/>
  <c r="L280" i="47"/>
  <c r="L281" i="47"/>
  <c r="L282" i="47"/>
  <c r="L283" i="47"/>
  <c r="L284" i="47"/>
  <c r="L285" i="47"/>
  <c r="L286" i="47"/>
  <c r="L287" i="47"/>
  <c r="L288" i="47"/>
  <c r="L289" i="47"/>
  <c r="L290" i="47"/>
  <c r="L291" i="47"/>
  <c r="L292" i="47"/>
  <c r="L293" i="47"/>
  <c r="L294" i="47"/>
  <c r="L295" i="47"/>
  <c r="L296" i="47"/>
  <c r="L297" i="47"/>
  <c r="L298" i="47"/>
  <c r="L299" i="47"/>
  <c r="L300" i="47"/>
  <c r="L301" i="47"/>
  <c r="L302" i="47"/>
  <c r="L303" i="47"/>
  <c r="L304" i="47"/>
  <c r="L305" i="47"/>
  <c r="L306" i="47"/>
  <c r="L307" i="47"/>
  <c r="L308" i="47"/>
  <c r="L309" i="47"/>
  <c r="L278" i="47"/>
  <c r="C267" i="47" l="1"/>
  <c r="D267" i="47" s="1"/>
  <c r="C268" i="47"/>
  <c r="D268" i="47" s="1"/>
  <c r="C269" i="47"/>
  <c r="D269" i="47" s="1"/>
  <c r="C270" i="47"/>
  <c r="D270" i="47" s="1"/>
  <c r="C271" i="47"/>
  <c r="D271" i="47" s="1"/>
  <c r="C272" i="47"/>
  <c r="D272" i="47" s="1"/>
  <c r="Y279" i="47" l="1"/>
  <c r="Y280" i="47"/>
  <c r="Y281" i="47"/>
  <c r="Y282" i="47"/>
  <c r="Y283" i="47"/>
  <c r="Y284" i="47"/>
  <c r="Y285" i="47"/>
  <c r="Y286" i="47"/>
  <c r="Y287" i="47"/>
  <c r="Y278" i="47"/>
  <c r="K279" i="47"/>
  <c r="K280" i="47"/>
  <c r="K281" i="47"/>
  <c r="K282" i="47"/>
  <c r="K283" i="47"/>
  <c r="K284" i="47"/>
  <c r="K285" i="47"/>
  <c r="K286" i="47"/>
  <c r="K287" i="47"/>
  <c r="K288" i="47"/>
  <c r="K289" i="47"/>
  <c r="K290" i="47"/>
  <c r="K291" i="47"/>
  <c r="K292" i="47"/>
  <c r="K293" i="47"/>
  <c r="K294" i="47"/>
  <c r="K295" i="47"/>
  <c r="K296" i="47"/>
  <c r="K297" i="47"/>
  <c r="K298" i="47"/>
  <c r="K299" i="47"/>
  <c r="K300" i="47"/>
  <c r="K301" i="47"/>
  <c r="K302" i="47"/>
  <c r="K303" i="47"/>
  <c r="K304" i="47"/>
  <c r="K305" i="47"/>
  <c r="K306" i="47"/>
  <c r="K307" i="47"/>
  <c r="K308" i="47"/>
  <c r="K309" i="47"/>
  <c r="K278" i="47"/>
  <c r="M279" i="47"/>
  <c r="M280" i="47"/>
  <c r="M281" i="47"/>
  <c r="M282" i="47"/>
  <c r="M283" i="47"/>
  <c r="M284" i="47"/>
  <c r="M285" i="47"/>
  <c r="M286" i="47"/>
  <c r="M287" i="47"/>
  <c r="M278" i="47"/>
  <c r="A279" i="47"/>
  <c r="A280" i="47"/>
  <c r="A281" i="47"/>
  <c r="A282" i="47"/>
  <c r="A283" i="47"/>
  <c r="A284" i="47"/>
  <c r="A285" i="47"/>
  <c r="A286" i="47"/>
  <c r="A287" i="47"/>
  <c r="A288" i="47"/>
  <c r="A289" i="47"/>
  <c r="A290" i="47"/>
  <c r="A291" i="47"/>
  <c r="A292" i="47"/>
  <c r="A293" i="47"/>
  <c r="A294" i="47"/>
  <c r="A295" i="47"/>
  <c r="A296" i="47"/>
  <c r="A297" i="47"/>
  <c r="A298" i="47"/>
  <c r="A299" i="47"/>
  <c r="A300" i="47"/>
  <c r="A301" i="47"/>
  <c r="A302" i="47"/>
  <c r="A303" i="47"/>
  <c r="A304" i="47"/>
  <c r="A305" i="47"/>
  <c r="A306" i="47"/>
  <c r="A307" i="47"/>
  <c r="A308" i="47"/>
  <c r="A309" i="47"/>
  <c r="A278" i="47"/>
  <c r="F350" i="39" l="1"/>
  <c r="F351" i="39"/>
  <c r="F352" i="39"/>
  <c r="F353" i="39"/>
  <c r="F354" i="39"/>
  <c r="F349" i="39" l="1"/>
  <c r="C266" i="47" l="1"/>
  <c r="D266" i="47" s="1"/>
  <c r="S279" i="47"/>
  <c r="S280" i="47"/>
  <c r="S281" i="47"/>
  <c r="S282" i="47"/>
  <c r="S283" i="47"/>
  <c r="S284" i="47"/>
  <c r="S285" i="47"/>
  <c r="S286" i="47"/>
  <c r="S287" i="47"/>
  <c r="S278" i="47"/>
  <c r="C265" i="47"/>
  <c r="D265" i="47" s="1"/>
  <c r="H292" i="47" l="1"/>
  <c r="J292" i="47" s="1"/>
  <c r="G308" i="47"/>
  <c r="G306" i="47"/>
  <c r="G290" i="47"/>
  <c r="G292" i="47"/>
  <c r="G279" i="47"/>
  <c r="G280" i="47"/>
  <c r="G281" i="47"/>
  <c r="G282" i="47"/>
  <c r="G283" i="47"/>
  <c r="G284" i="47"/>
  <c r="G285" i="47"/>
  <c r="G286" i="47"/>
  <c r="G287" i="47"/>
  <c r="G288" i="47"/>
  <c r="G289" i="47"/>
  <c r="G291" i="47"/>
  <c r="G293" i="47"/>
  <c r="G294" i="47"/>
  <c r="G295" i="47"/>
  <c r="G296" i="47"/>
  <c r="G297" i="47"/>
  <c r="G298" i="47"/>
  <c r="G299" i="47"/>
  <c r="G300" i="47"/>
  <c r="G301" i="47"/>
  <c r="G302" i="47"/>
  <c r="G303" i="47"/>
  <c r="G304" i="47"/>
  <c r="G305" i="47"/>
  <c r="G307" i="47"/>
  <c r="G309" i="47"/>
  <c r="G278" i="47"/>
  <c r="X279" i="47" l="1"/>
  <c r="X280" i="47"/>
  <c r="X281" i="47"/>
  <c r="X282" i="47"/>
  <c r="X283" i="47"/>
  <c r="X284" i="47"/>
  <c r="X285" i="47"/>
  <c r="X286" i="47"/>
  <c r="X287" i="47"/>
  <c r="X278" i="47"/>
  <c r="C262" i="47" l="1"/>
  <c r="C263" i="47"/>
  <c r="C264" i="47"/>
  <c r="H307" i="47"/>
  <c r="J307" i="47" s="1"/>
  <c r="C273" i="47"/>
  <c r="H309" i="47" s="1"/>
  <c r="J309" i="47" s="1"/>
  <c r="H305" i="47" l="1"/>
  <c r="J305" i="47" s="1"/>
  <c r="H306" i="47"/>
  <c r="J306" i="47" s="1"/>
  <c r="H308" i="47"/>
  <c r="J308" i="47" s="1"/>
  <c r="H302" i="47"/>
  <c r="J302" i="47" s="1"/>
  <c r="H301" i="47"/>
  <c r="J301" i="47" s="1"/>
  <c r="H304" i="47"/>
  <c r="J304" i="47" s="1"/>
  <c r="H303" i="47"/>
  <c r="J303" i="47" s="1"/>
  <c r="H297" i="47"/>
  <c r="J297" i="47" s="1"/>
  <c r="H298" i="47"/>
  <c r="J298" i="47" s="1"/>
  <c r="H300" i="47"/>
  <c r="J300" i="47" s="1"/>
  <c r="D273" i="47"/>
  <c r="T286" i="47"/>
  <c r="T287" i="47"/>
  <c r="T285" i="47"/>
  <c r="D264" i="47"/>
  <c r="H286" i="47" s="1"/>
  <c r="J286" i="47" s="1"/>
  <c r="T284" i="47"/>
  <c r="D263" i="47"/>
  <c r="H285" i="47" s="1"/>
  <c r="J285" i="47" s="1"/>
  <c r="T283" i="47"/>
  <c r="D262" i="47"/>
  <c r="T282" i="47"/>
  <c r="T281" i="47"/>
  <c r="C260" i="47"/>
  <c r="H295" i="47" s="1"/>
  <c r="J295" i="47" s="1"/>
  <c r="C261" i="47"/>
  <c r="C259" i="47"/>
  <c r="H294" i="47" s="1"/>
  <c r="J294" i="47" s="1"/>
  <c r="H287" i="47" l="1"/>
  <c r="J287" i="47" s="1"/>
  <c r="H288" i="47"/>
  <c r="J288" i="47" s="1"/>
  <c r="H289" i="47"/>
  <c r="J289" i="47" s="1"/>
  <c r="H290" i="47"/>
  <c r="J290" i="47" s="1"/>
  <c r="H281" i="47"/>
  <c r="J281" i="47" s="1"/>
  <c r="H282" i="47"/>
  <c r="J282" i="47" s="1"/>
  <c r="H284" i="47"/>
  <c r="J284" i="47" s="1"/>
  <c r="H293" i="47"/>
  <c r="J293" i="47" s="1"/>
  <c r="H291" i="47"/>
  <c r="J291" i="47" s="1"/>
  <c r="H296" i="47"/>
  <c r="J296" i="47" s="1"/>
  <c r="H299" i="47"/>
  <c r="J299" i="47" s="1"/>
  <c r="D261" i="47"/>
  <c r="H283" i="47" s="1"/>
  <c r="J283" i="47" s="1"/>
  <c r="T280" i="47"/>
  <c r="D260" i="47"/>
  <c r="T279" i="47"/>
  <c r="U285" i="47"/>
  <c r="U283" i="47"/>
  <c r="D259" i="47"/>
  <c r="T278" i="47"/>
  <c r="U282" i="47"/>
  <c r="U281" i="47"/>
  <c r="U284" i="47"/>
  <c r="U286" i="47"/>
  <c r="U287" i="47"/>
  <c r="AB222" i="51"/>
  <c r="AC222" i="51"/>
  <c r="AB223" i="51"/>
  <c r="AC223" i="51"/>
  <c r="AB224" i="51"/>
  <c r="AC224" i="51"/>
  <c r="AB225" i="51"/>
  <c r="AC225" i="51"/>
  <c r="AB226" i="51"/>
  <c r="AC226" i="51"/>
  <c r="AB227" i="51"/>
  <c r="AC227" i="51"/>
  <c r="AB228" i="51"/>
  <c r="AC228" i="51"/>
  <c r="AB229" i="51"/>
  <c r="AC229" i="51"/>
  <c r="AB230" i="51"/>
  <c r="AC230" i="51"/>
  <c r="AB231" i="51"/>
  <c r="AC231" i="51"/>
  <c r="AB232" i="51"/>
  <c r="AC232" i="51"/>
  <c r="AB233" i="51"/>
  <c r="AC233" i="51"/>
  <c r="AB234" i="51"/>
  <c r="AC234" i="51"/>
  <c r="AB235" i="51"/>
  <c r="AC235" i="51"/>
  <c r="AB236" i="51"/>
  <c r="AC236" i="51"/>
  <c r="AB237" i="51"/>
  <c r="AC237" i="51"/>
  <c r="AB238" i="51"/>
  <c r="AC238" i="51"/>
  <c r="AB239" i="51"/>
  <c r="AC239" i="51"/>
  <c r="AB240" i="51"/>
  <c r="AC240" i="51"/>
  <c r="AB241" i="51"/>
  <c r="AC241" i="51"/>
  <c r="AB242" i="51"/>
  <c r="AC242" i="51"/>
  <c r="AB243" i="51"/>
  <c r="AC243" i="51"/>
  <c r="AB244" i="51"/>
  <c r="AC244" i="51"/>
  <c r="AB245" i="51"/>
  <c r="AC245" i="51"/>
  <c r="AB246" i="51"/>
  <c r="AC246" i="51"/>
  <c r="AB247" i="51"/>
  <c r="AC247" i="51"/>
  <c r="AB248" i="51"/>
  <c r="AC248" i="51"/>
  <c r="AB249" i="51"/>
  <c r="AC249" i="51"/>
  <c r="AB250" i="51"/>
  <c r="AC250" i="51"/>
  <c r="AB251" i="51"/>
  <c r="AC251" i="51"/>
  <c r="AB252" i="51"/>
  <c r="AC252" i="51"/>
  <c r="AB253" i="51"/>
  <c r="AC253" i="51"/>
  <c r="AB254" i="51"/>
  <c r="AC254" i="51"/>
  <c r="AB255" i="51"/>
  <c r="AC255" i="51"/>
  <c r="AB256" i="51"/>
  <c r="AC256" i="51"/>
  <c r="AB257" i="51"/>
  <c r="AC257" i="51"/>
  <c r="AB258" i="51"/>
  <c r="AC258" i="51"/>
  <c r="AB259" i="51"/>
  <c r="AC259" i="51"/>
  <c r="AB260" i="51"/>
  <c r="AC260" i="51"/>
  <c r="AB261" i="51"/>
  <c r="AC261" i="51"/>
  <c r="AB262" i="51"/>
  <c r="AC262" i="51"/>
  <c r="AB263" i="51"/>
  <c r="AC263" i="51"/>
  <c r="AB264" i="51"/>
  <c r="AC264" i="51"/>
  <c r="AB265" i="51"/>
  <c r="AC265" i="51"/>
  <c r="AB266" i="51"/>
  <c r="AC266" i="51"/>
  <c r="AB267" i="51"/>
  <c r="AC267" i="51"/>
  <c r="AB268" i="51"/>
  <c r="AC268" i="51"/>
  <c r="AB269" i="51"/>
  <c r="AC269" i="51"/>
  <c r="AB270" i="51"/>
  <c r="AC270" i="51"/>
  <c r="AB271" i="51"/>
  <c r="AC271" i="51"/>
  <c r="AB272" i="51"/>
  <c r="AC272" i="51"/>
  <c r="AB273" i="51"/>
  <c r="AC273" i="51"/>
  <c r="AB274" i="51"/>
  <c r="AC274" i="51"/>
  <c r="AB275" i="51"/>
  <c r="AC275" i="51"/>
  <c r="AB276" i="51"/>
  <c r="AC276" i="51"/>
  <c r="AB277" i="51"/>
  <c r="AC277" i="51"/>
  <c r="AB278" i="51"/>
  <c r="AC278" i="51"/>
  <c r="AB279" i="51"/>
  <c r="AC279" i="51"/>
  <c r="AB280" i="51"/>
  <c r="AC280" i="51"/>
  <c r="AB281" i="51"/>
  <c r="AC281" i="51"/>
  <c r="AB282" i="51"/>
  <c r="AC282" i="51"/>
  <c r="AB283" i="51"/>
  <c r="AC283" i="51"/>
  <c r="AB284" i="51"/>
  <c r="AC284" i="51"/>
  <c r="AB285" i="51"/>
  <c r="AC285" i="51"/>
  <c r="AB286" i="51"/>
  <c r="AC286" i="51"/>
  <c r="AB287" i="51"/>
  <c r="AC287" i="51"/>
  <c r="AB288" i="51"/>
  <c r="AC288" i="51"/>
  <c r="AB289" i="51"/>
  <c r="AC289" i="51"/>
  <c r="AB290" i="51"/>
  <c r="AC290" i="51"/>
  <c r="AB291" i="51"/>
  <c r="AC291" i="51"/>
  <c r="AB292" i="51"/>
  <c r="AC292" i="51"/>
  <c r="AB293" i="51"/>
  <c r="AC293" i="51"/>
  <c r="AB294" i="51"/>
  <c r="AC294" i="51"/>
  <c r="AB295" i="51"/>
  <c r="AC295" i="51"/>
  <c r="AB296" i="51"/>
  <c r="AC296" i="51"/>
  <c r="AB297" i="51"/>
  <c r="AC297" i="51"/>
  <c r="AB298" i="51"/>
  <c r="AC298" i="51"/>
  <c r="AB299" i="51"/>
  <c r="AC299" i="51"/>
  <c r="AB300" i="51"/>
  <c r="AC300" i="51"/>
  <c r="AB301" i="51"/>
  <c r="AC301" i="51"/>
  <c r="AB302" i="51"/>
  <c r="AC302" i="51"/>
  <c r="AB203" i="51"/>
  <c r="AC203" i="51"/>
  <c r="AB204" i="51"/>
  <c r="AC204" i="51"/>
  <c r="AB205" i="51"/>
  <c r="AC205" i="51"/>
  <c r="AB206" i="51"/>
  <c r="AC206" i="51"/>
  <c r="AB207" i="51"/>
  <c r="AC207" i="51"/>
  <c r="AB208" i="51"/>
  <c r="AC208" i="51"/>
  <c r="AB209" i="51"/>
  <c r="AC209" i="51"/>
  <c r="AB210" i="51"/>
  <c r="AC210" i="51"/>
  <c r="AB211" i="51"/>
  <c r="AC211" i="51"/>
  <c r="AB212" i="51"/>
  <c r="AC212" i="51"/>
  <c r="AB213" i="51"/>
  <c r="AC213" i="51"/>
  <c r="AB214" i="51"/>
  <c r="AC214" i="51"/>
  <c r="AB215" i="51"/>
  <c r="AC215" i="51"/>
  <c r="AB216" i="51"/>
  <c r="AC216" i="51"/>
  <c r="AB217" i="51"/>
  <c r="AC217" i="51"/>
  <c r="AB218" i="51"/>
  <c r="AC218" i="51"/>
  <c r="AB219" i="51"/>
  <c r="AC219" i="51"/>
  <c r="AB220" i="51"/>
  <c r="AC220" i="51"/>
  <c r="AB221" i="51"/>
  <c r="AC221" i="51"/>
  <c r="U279" i="47" l="1"/>
  <c r="H279" i="47"/>
  <c r="J279" i="47" s="1"/>
  <c r="U278" i="47"/>
  <c r="H278" i="47"/>
  <c r="J278" i="47" s="1"/>
  <c r="H280" i="47"/>
  <c r="J280" i="47" s="1"/>
  <c r="U280" i="47"/>
  <c r="AJ48" i="66"/>
  <c r="AJ47" i="66"/>
  <c r="AJ46" i="66"/>
  <c r="AJ45" i="66"/>
  <c r="Q274" i="66" s="1"/>
  <c r="AJ44" i="66"/>
  <c r="AJ43" i="66"/>
  <c r="AJ42" i="66"/>
  <c r="AJ41" i="66"/>
  <c r="AJ40" i="66"/>
  <c r="AJ39" i="66"/>
  <c r="AJ38" i="66"/>
  <c r="AJ37" i="66"/>
  <c r="Q315" i="66"/>
  <c r="O315" i="66"/>
  <c r="P315" i="66" s="1"/>
  <c r="Q314" i="66"/>
  <c r="O314" i="66"/>
  <c r="P314" i="66" s="1"/>
  <c r="Q313" i="66"/>
  <c r="O313" i="66"/>
  <c r="P313" i="66" s="1"/>
  <c r="Q312" i="66"/>
  <c r="O312" i="66"/>
  <c r="P312" i="66" s="1"/>
  <c r="Q311" i="66"/>
  <c r="O311" i="66"/>
  <c r="P311" i="66" s="1"/>
  <c r="Q310" i="66"/>
  <c r="O310" i="66"/>
  <c r="P310" i="66" s="1"/>
  <c r="Q309" i="66"/>
  <c r="O309" i="66"/>
  <c r="P309" i="66" s="1"/>
  <c r="Q308" i="66"/>
  <c r="O308" i="66"/>
  <c r="P308" i="66" s="1"/>
  <c r="Q307" i="66"/>
  <c r="O307" i="66"/>
  <c r="P307" i="66" s="1"/>
  <c r="Q306" i="66"/>
  <c r="O306" i="66"/>
  <c r="P306" i="66" s="1"/>
  <c r="Q305" i="66"/>
  <c r="O305" i="66"/>
  <c r="P305" i="66" s="1"/>
  <c r="Q304" i="66"/>
  <c r="O304" i="66"/>
  <c r="P304" i="66" s="1"/>
  <c r="Q303" i="66"/>
  <c r="O303" i="66"/>
  <c r="P303" i="66" s="1"/>
  <c r="Q302" i="66"/>
  <c r="O302" i="66"/>
  <c r="P302" i="66" s="1"/>
  <c r="Q301" i="66"/>
  <c r="O301" i="66"/>
  <c r="P301" i="66" s="1"/>
  <c r="Q300" i="66"/>
  <c r="O300" i="66"/>
  <c r="P300" i="66" s="1"/>
  <c r="Q299" i="66"/>
  <c r="O299" i="66"/>
  <c r="P299" i="66" s="1"/>
  <c r="Q298" i="66"/>
  <c r="O298" i="66"/>
  <c r="P298" i="66" s="1"/>
  <c r="Q297" i="66"/>
  <c r="O297" i="66"/>
  <c r="P297" i="66" s="1"/>
  <c r="Q296" i="66"/>
  <c r="O296" i="66"/>
  <c r="P296" i="66" s="1"/>
  <c r="Q295" i="66"/>
  <c r="O295" i="66"/>
  <c r="P295" i="66" s="1"/>
  <c r="Q294" i="66"/>
  <c r="O294" i="66"/>
  <c r="P294" i="66" s="1"/>
  <c r="Q293" i="66"/>
  <c r="O293" i="66"/>
  <c r="P293" i="66" s="1"/>
  <c r="Q292" i="66"/>
  <c r="O292" i="66"/>
  <c r="P292" i="66" s="1"/>
  <c r="Q291" i="66"/>
  <c r="O291" i="66"/>
  <c r="P291" i="66" s="1"/>
  <c r="Q290" i="66"/>
  <c r="O290" i="66"/>
  <c r="P290" i="66" s="1"/>
  <c r="Q289" i="66"/>
  <c r="O289" i="66"/>
  <c r="P289" i="66" s="1"/>
  <c r="Q288" i="66"/>
  <c r="O288" i="66"/>
  <c r="P288" i="66" s="1"/>
  <c r="Q287" i="66"/>
  <c r="O287" i="66"/>
  <c r="P287" i="66" s="1"/>
  <c r="Q286" i="66"/>
  <c r="O286" i="66"/>
  <c r="P286" i="66" s="1"/>
  <c r="Q285" i="66"/>
  <c r="O285" i="66"/>
  <c r="P285" i="66" s="1"/>
  <c r="Q284" i="66"/>
  <c r="O284" i="66"/>
  <c r="P284" i="66" s="1"/>
  <c r="Q283" i="66"/>
  <c r="O283" i="66"/>
  <c r="P283" i="66" s="1"/>
  <c r="Q282" i="66"/>
  <c r="O282" i="66"/>
  <c r="P282" i="66" s="1"/>
  <c r="Q281" i="66"/>
  <c r="O281" i="66"/>
  <c r="P281" i="66" s="1"/>
  <c r="Q280" i="66"/>
  <c r="O280" i="66"/>
  <c r="P280" i="66" s="1"/>
  <c r="Q279" i="66"/>
  <c r="O279" i="66"/>
  <c r="P279" i="66" s="1"/>
  <c r="Q278" i="66"/>
  <c r="O278" i="66"/>
  <c r="P278" i="66" s="1"/>
  <c r="Q277" i="66"/>
  <c r="O277" i="66"/>
  <c r="P277" i="66" s="1"/>
  <c r="Q276" i="66"/>
  <c r="O276" i="66"/>
  <c r="P276" i="66" s="1"/>
  <c r="Q275" i="66"/>
  <c r="O275" i="66"/>
  <c r="P275" i="66" s="1"/>
  <c r="O274" i="66"/>
  <c r="P274" i="66" s="1"/>
  <c r="Q273" i="66"/>
  <c r="O273" i="66"/>
  <c r="P273" i="66" s="1"/>
  <c r="Q272" i="66"/>
  <c r="O272" i="66"/>
  <c r="P272" i="66" s="1"/>
  <c r="Q271" i="66"/>
  <c r="O271" i="66"/>
  <c r="P271" i="66" s="1"/>
  <c r="Q270" i="66"/>
  <c r="O270" i="66"/>
  <c r="P270" i="66" s="1"/>
  <c r="Q269" i="66"/>
  <c r="O269" i="66"/>
  <c r="P269" i="66" s="1"/>
  <c r="Q268" i="66"/>
  <c r="O268" i="66"/>
  <c r="P268" i="66" s="1"/>
  <c r="Q267" i="66"/>
  <c r="O267" i="66"/>
  <c r="P267" i="66" s="1"/>
  <c r="Q266" i="66"/>
  <c r="O266" i="66"/>
  <c r="P266" i="66" s="1"/>
  <c r="Q265" i="66"/>
  <c r="O265" i="66"/>
  <c r="P265" i="66" s="1"/>
  <c r="Q264" i="66"/>
  <c r="O264" i="66"/>
  <c r="P264" i="66" s="1"/>
  <c r="Q263" i="66"/>
  <c r="O263" i="66"/>
  <c r="P263" i="66" s="1"/>
  <c r="Q262" i="66"/>
  <c r="O262" i="66"/>
  <c r="P262" i="66" s="1"/>
  <c r="Q261" i="66"/>
  <c r="O261" i="66"/>
  <c r="P261" i="66" s="1"/>
  <c r="Q260" i="66"/>
  <c r="O260" i="66"/>
  <c r="P260" i="66" s="1"/>
  <c r="Q259" i="66"/>
  <c r="O259" i="66"/>
  <c r="P259" i="66" s="1"/>
  <c r="Q258" i="66"/>
  <c r="O258" i="66"/>
  <c r="P258" i="66" s="1"/>
  <c r="Q257" i="66"/>
  <c r="O257" i="66"/>
  <c r="P257" i="66" s="1"/>
  <c r="Q256" i="66"/>
  <c r="O256" i="66"/>
  <c r="P256" i="66" s="1"/>
  <c r="Q255" i="66"/>
  <c r="O255" i="66"/>
  <c r="P255" i="66" s="1"/>
  <c r="Q254" i="66"/>
  <c r="O254" i="66"/>
  <c r="P254" i="66" s="1"/>
  <c r="Q253" i="66"/>
  <c r="O253" i="66"/>
  <c r="P253" i="66" s="1"/>
  <c r="Q252" i="66"/>
  <c r="O252" i="66"/>
  <c r="P252" i="66" s="1"/>
  <c r="Q251" i="66"/>
  <c r="O251" i="66"/>
  <c r="P251" i="66" s="1"/>
  <c r="Q250" i="66"/>
  <c r="O250" i="66"/>
  <c r="P250" i="66" s="1"/>
  <c r="Q249" i="66"/>
  <c r="O249" i="66"/>
  <c r="P249" i="66" s="1"/>
  <c r="Q248" i="66"/>
  <c r="O248" i="66"/>
  <c r="P248" i="66" s="1"/>
  <c r="Q247" i="66"/>
  <c r="O247" i="66"/>
  <c r="P247" i="66" s="1"/>
  <c r="Q246" i="66"/>
  <c r="O246" i="66"/>
  <c r="P246" i="66" s="1"/>
  <c r="Q245" i="66"/>
  <c r="O245" i="66"/>
  <c r="P245" i="66" s="1"/>
  <c r="Q244" i="66"/>
  <c r="O244" i="66"/>
  <c r="P244" i="66" s="1"/>
  <c r="Q243" i="66"/>
  <c r="O243" i="66"/>
  <c r="P243" i="66" s="1"/>
  <c r="Q242" i="66"/>
  <c r="O242" i="66"/>
  <c r="P242" i="66" s="1"/>
  <c r="Q241" i="66"/>
  <c r="O241" i="66"/>
  <c r="P241" i="66" s="1"/>
  <c r="Q240" i="66"/>
  <c r="O240" i="66"/>
  <c r="P240" i="66" s="1"/>
  <c r="Q239" i="66"/>
  <c r="O239" i="66"/>
  <c r="P239" i="66" s="1"/>
  <c r="Q238" i="66"/>
  <c r="O238" i="66"/>
  <c r="P238" i="66" s="1"/>
  <c r="Q237" i="66"/>
  <c r="O237" i="66"/>
  <c r="P237" i="66" s="1"/>
  <c r="Q236" i="66"/>
  <c r="O236" i="66"/>
  <c r="P236" i="66" s="1"/>
  <c r="Q235" i="66"/>
  <c r="O235" i="66"/>
  <c r="P235" i="66" s="1"/>
  <c r="Q234" i="66"/>
  <c r="O234" i="66"/>
  <c r="P234" i="66" s="1"/>
  <c r="Q233" i="66"/>
  <c r="O233" i="66"/>
  <c r="P233" i="66" s="1"/>
  <c r="Q232" i="66"/>
  <c r="O232" i="66"/>
  <c r="P232" i="66" s="1"/>
  <c r="Q231" i="66"/>
  <c r="O231" i="66"/>
  <c r="P231" i="66" s="1"/>
  <c r="Q230" i="66"/>
  <c r="O230" i="66"/>
  <c r="P230" i="66" s="1"/>
  <c r="Q229" i="66"/>
  <c r="O229" i="66"/>
  <c r="P229" i="66" s="1"/>
  <c r="Q228" i="66"/>
  <c r="O228" i="66"/>
  <c r="P228" i="66" s="1"/>
  <c r="Q227" i="66"/>
  <c r="O227" i="66"/>
  <c r="P227" i="66" s="1"/>
  <c r="Q226" i="66"/>
  <c r="O226" i="66"/>
  <c r="P226" i="66" s="1"/>
  <c r="Q225" i="66"/>
  <c r="O225" i="66"/>
  <c r="P225" i="66" s="1"/>
  <c r="Q224" i="66"/>
  <c r="O224" i="66"/>
  <c r="P224" i="66" s="1"/>
  <c r="Q223" i="66"/>
  <c r="O223" i="66"/>
  <c r="P223" i="66" s="1"/>
  <c r="Q222" i="66"/>
  <c r="O222" i="66"/>
  <c r="P222" i="66" s="1"/>
  <c r="Q221" i="66"/>
  <c r="O221" i="66"/>
  <c r="P221" i="66" s="1"/>
  <c r="Q220" i="66"/>
  <c r="O220" i="66"/>
  <c r="P220" i="66" s="1"/>
  <c r="Q219" i="66"/>
  <c r="O219" i="66"/>
  <c r="P219" i="66" s="1"/>
  <c r="Q218" i="66"/>
  <c r="O218" i="66"/>
  <c r="P218" i="66" s="1"/>
  <c r="Q217" i="66"/>
  <c r="O217" i="66"/>
  <c r="P217" i="66" s="1"/>
  <c r="Q216" i="66"/>
  <c r="O216" i="66"/>
  <c r="P216" i="66" s="1"/>
  <c r="Q215" i="66"/>
  <c r="O215" i="66"/>
  <c r="P215" i="66" s="1"/>
  <c r="Q214" i="66"/>
  <c r="O214" i="66"/>
  <c r="P214" i="66" s="1"/>
  <c r="Q213" i="66"/>
  <c r="O213" i="66"/>
  <c r="P213" i="66" s="1"/>
  <c r="Q212" i="66"/>
  <c r="O212" i="66"/>
  <c r="P212" i="66" s="1"/>
  <c r="Q211" i="66"/>
  <c r="O211" i="66"/>
  <c r="P211" i="66" s="1"/>
  <c r="Y159" i="51"/>
  <c r="Y160" i="51"/>
  <c r="T228" i="51"/>
  <c r="T227" i="51"/>
  <c r="T226" i="51"/>
  <c r="T225" i="51"/>
  <c r="T224" i="51"/>
  <c r="T223" i="51"/>
  <c r="T222" i="51"/>
  <c r="T221" i="51"/>
  <c r="T220" i="51"/>
  <c r="T219" i="51"/>
  <c r="T218" i="51"/>
  <c r="T217" i="51"/>
  <c r="T216" i="51"/>
  <c r="T215" i="51"/>
  <c r="T214" i="51"/>
  <c r="N302" i="51"/>
  <c r="L302" i="51"/>
  <c r="J302" i="51"/>
  <c r="H302" i="51"/>
  <c r="F302" i="51"/>
  <c r="D302" i="51"/>
  <c r="N301" i="51"/>
  <c r="L301" i="51"/>
  <c r="H301" i="51"/>
  <c r="F301" i="51"/>
  <c r="D301" i="51"/>
  <c r="N300" i="51"/>
  <c r="L300" i="51"/>
  <c r="J300" i="51"/>
  <c r="H300" i="51"/>
  <c r="F300" i="51"/>
  <c r="D300" i="51"/>
  <c r="N299" i="51"/>
  <c r="L299" i="51"/>
  <c r="J299" i="51"/>
  <c r="H299" i="51"/>
  <c r="F299" i="51"/>
  <c r="D299" i="51"/>
  <c r="N298" i="51"/>
  <c r="L298" i="51"/>
  <c r="J298" i="51"/>
  <c r="H298" i="51"/>
  <c r="F298" i="51"/>
  <c r="D298" i="51"/>
  <c r="N297" i="51"/>
  <c r="L297" i="51"/>
  <c r="H297" i="51"/>
  <c r="F297" i="51"/>
  <c r="D297" i="51"/>
  <c r="N296" i="51"/>
  <c r="L296" i="51"/>
  <c r="J296" i="51"/>
  <c r="H296" i="51"/>
  <c r="F296" i="51"/>
  <c r="D296" i="51"/>
  <c r="N295" i="51"/>
  <c r="L295" i="51"/>
  <c r="H295" i="51"/>
  <c r="F295" i="51"/>
  <c r="D295" i="51"/>
  <c r="N294" i="51"/>
  <c r="L294" i="51"/>
  <c r="H294" i="51"/>
  <c r="F294" i="51"/>
  <c r="D294" i="51"/>
  <c r="N293" i="51"/>
  <c r="L293" i="51"/>
  <c r="H293" i="51"/>
  <c r="F293" i="51"/>
  <c r="D293" i="51"/>
  <c r="N292" i="51"/>
  <c r="L292" i="51"/>
  <c r="J292" i="51"/>
  <c r="H292" i="51"/>
  <c r="F292" i="51"/>
  <c r="D292" i="51"/>
  <c r="N291" i="51"/>
  <c r="L291" i="51"/>
  <c r="H291" i="51"/>
  <c r="F291" i="51"/>
  <c r="D291" i="51"/>
  <c r="N290" i="51"/>
  <c r="L290" i="51"/>
  <c r="H290" i="51"/>
  <c r="F290" i="51"/>
  <c r="D290" i="51"/>
  <c r="N289" i="51"/>
  <c r="L289" i="51"/>
  <c r="J289" i="51"/>
  <c r="H289" i="51"/>
  <c r="F289" i="51"/>
  <c r="D289" i="51"/>
  <c r="N288" i="51"/>
  <c r="L288" i="51"/>
  <c r="H288" i="51"/>
  <c r="F288" i="51"/>
  <c r="D288" i="51"/>
  <c r="N287" i="51"/>
  <c r="L287" i="51"/>
  <c r="H287" i="51"/>
  <c r="F287" i="51"/>
  <c r="D287" i="51"/>
  <c r="N286" i="51"/>
  <c r="L286" i="51"/>
  <c r="J286" i="51"/>
  <c r="H286" i="51"/>
  <c r="F286" i="51"/>
  <c r="D286" i="51"/>
  <c r="N285" i="51"/>
  <c r="L285" i="51"/>
  <c r="H285" i="51"/>
  <c r="F285" i="51"/>
  <c r="D285" i="51"/>
  <c r="N284" i="51"/>
  <c r="L284" i="51"/>
  <c r="J284" i="51"/>
  <c r="H284" i="51"/>
  <c r="F284" i="51"/>
  <c r="D284" i="51"/>
  <c r="N283" i="51"/>
  <c r="L283" i="51"/>
  <c r="H283" i="51"/>
  <c r="F283" i="51"/>
  <c r="D283" i="51"/>
  <c r="N282" i="51"/>
  <c r="L282" i="51"/>
  <c r="J282" i="51"/>
  <c r="H282" i="51"/>
  <c r="F282" i="51"/>
  <c r="D282" i="51"/>
  <c r="N281" i="51"/>
  <c r="L281" i="51"/>
  <c r="J281" i="51"/>
  <c r="H281" i="51"/>
  <c r="F281" i="51"/>
  <c r="D281" i="51"/>
  <c r="N280" i="51"/>
  <c r="L280" i="51"/>
  <c r="H280" i="51"/>
  <c r="F280" i="51"/>
  <c r="D280" i="51"/>
  <c r="N279" i="51"/>
  <c r="L279" i="51"/>
  <c r="J279" i="51"/>
  <c r="H279" i="51"/>
  <c r="F279" i="51"/>
  <c r="D279" i="51"/>
  <c r="N278" i="51"/>
  <c r="L278" i="51"/>
  <c r="H278" i="51"/>
  <c r="F278" i="51"/>
  <c r="D278" i="51"/>
  <c r="N277" i="51"/>
  <c r="L277" i="51"/>
  <c r="J277" i="51"/>
  <c r="H277" i="51"/>
  <c r="F277" i="51"/>
  <c r="D277" i="51"/>
  <c r="N276" i="51"/>
  <c r="L276" i="51"/>
  <c r="H276" i="51"/>
  <c r="F276" i="51"/>
  <c r="D276" i="51"/>
  <c r="N275" i="51"/>
  <c r="L275" i="51"/>
  <c r="J275" i="51"/>
  <c r="H275" i="51"/>
  <c r="F275" i="51"/>
  <c r="D275" i="51"/>
  <c r="N274" i="51"/>
  <c r="L274" i="51"/>
  <c r="H274" i="51"/>
  <c r="F274" i="51"/>
  <c r="D274" i="51"/>
  <c r="N273" i="51"/>
  <c r="L273" i="51"/>
  <c r="H273" i="51"/>
  <c r="F273" i="51"/>
  <c r="D273" i="51"/>
  <c r="N272" i="51"/>
  <c r="L272" i="51"/>
  <c r="J272" i="51"/>
  <c r="H272" i="51"/>
  <c r="F272" i="51"/>
  <c r="D272" i="51"/>
  <c r="N271" i="51"/>
  <c r="L271" i="51"/>
  <c r="H271" i="51"/>
  <c r="F271" i="51"/>
  <c r="D271" i="51"/>
  <c r="N270" i="51"/>
  <c r="L270" i="51"/>
  <c r="H270" i="51"/>
  <c r="F270" i="51"/>
  <c r="D270" i="51"/>
  <c r="N269" i="51"/>
  <c r="L269" i="51"/>
  <c r="J269" i="51"/>
  <c r="H269" i="51"/>
  <c r="F269" i="51"/>
  <c r="D269" i="51"/>
  <c r="N268" i="51"/>
  <c r="L268" i="51"/>
  <c r="H268" i="51"/>
  <c r="F268" i="51"/>
  <c r="D268" i="51"/>
  <c r="N267" i="51"/>
  <c r="L267" i="51"/>
  <c r="J267" i="51"/>
  <c r="H267" i="51"/>
  <c r="F267" i="51"/>
  <c r="D267" i="51"/>
  <c r="N266" i="51"/>
  <c r="L266" i="51"/>
  <c r="H266" i="51"/>
  <c r="F266" i="51"/>
  <c r="D266" i="51"/>
  <c r="N265" i="51"/>
  <c r="L265" i="51"/>
  <c r="H265" i="51"/>
  <c r="F265" i="51"/>
  <c r="D265" i="51"/>
  <c r="N264" i="51"/>
  <c r="L264" i="51"/>
  <c r="H264" i="51"/>
  <c r="F264" i="51"/>
  <c r="D264" i="51"/>
  <c r="N263" i="51"/>
  <c r="L263" i="51"/>
  <c r="J263" i="51"/>
  <c r="H263" i="51"/>
  <c r="F263" i="51"/>
  <c r="D263" i="51"/>
  <c r="N262" i="51"/>
  <c r="L262" i="51"/>
  <c r="J262" i="51"/>
  <c r="H262" i="51"/>
  <c r="F262" i="51"/>
  <c r="D262" i="51"/>
  <c r="N261" i="51"/>
  <c r="L261" i="51"/>
  <c r="J261" i="51"/>
  <c r="H261" i="51"/>
  <c r="F261" i="51"/>
  <c r="D261" i="51"/>
  <c r="N260" i="51"/>
  <c r="L260" i="51"/>
  <c r="H260" i="51"/>
  <c r="F260" i="51"/>
  <c r="D260" i="51"/>
  <c r="N259" i="51"/>
  <c r="L259" i="51"/>
  <c r="H259" i="51"/>
  <c r="F259" i="51"/>
  <c r="D259" i="51"/>
  <c r="N258" i="51"/>
  <c r="L258" i="51"/>
  <c r="H258" i="51"/>
  <c r="F258" i="51"/>
  <c r="D258" i="51"/>
  <c r="N257" i="51"/>
  <c r="L257" i="51"/>
  <c r="J257" i="51"/>
  <c r="H257" i="51"/>
  <c r="F257" i="51"/>
  <c r="D257" i="51"/>
  <c r="N256" i="51"/>
  <c r="L256" i="51"/>
  <c r="H256" i="51"/>
  <c r="F256" i="51"/>
  <c r="D256" i="51"/>
  <c r="N255" i="51"/>
  <c r="L255" i="51"/>
  <c r="J255" i="51"/>
  <c r="H255" i="51"/>
  <c r="F255" i="51"/>
  <c r="D255" i="51"/>
  <c r="N254" i="51"/>
  <c r="L254" i="51"/>
  <c r="H254" i="51"/>
  <c r="F254" i="51"/>
  <c r="D254" i="51"/>
  <c r="N253" i="51"/>
  <c r="L253" i="51"/>
  <c r="H253" i="51"/>
  <c r="F253" i="51"/>
  <c r="D253" i="51"/>
  <c r="N252" i="51"/>
  <c r="L252" i="51"/>
  <c r="J252" i="51"/>
  <c r="H252" i="51"/>
  <c r="D252" i="51"/>
  <c r="N251" i="51"/>
  <c r="L251" i="51"/>
  <c r="H251" i="51"/>
  <c r="F251" i="51"/>
  <c r="D251" i="51"/>
  <c r="N250" i="51"/>
  <c r="L250" i="51"/>
  <c r="H250" i="51"/>
  <c r="F250" i="51"/>
  <c r="D250" i="51"/>
  <c r="N249" i="51"/>
  <c r="L249" i="51"/>
  <c r="J249" i="51"/>
  <c r="H249" i="51"/>
  <c r="F249" i="51"/>
  <c r="D249" i="51"/>
  <c r="N248" i="51"/>
  <c r="L248" i="51"/>
  <c r="J248" i="51"/>
  <c r="H248" i="51"/>
  <c r="F248" i="51"/>
  <c r="D248" i="51"/>
  <c r="N247" i="51"/>
  <c r="L247" i="51"/>
  <c r="J247" i="51"/>
  <c r="H247" i="51"/>
  <c r="F247" i="51"/>
  <c r="D247" i="51"/>
  <c r="N246" i="51"/>
  <c r="L246" i="51"/>
  <c r="H246" i="51"/>
  <c r="F246" i="51"/>
  <c r="D246" i="51"/>
  <c r="N245" i="51"/>
  <c r="L245" i="51"/>
  <c r="J245" i="51"/>
  <c r="H245" i="51"/>
  <c r="D245" i="51"/>
  <c r="N244" i="51"/>
  <c r="L244" i="51"/>
  <c r="H244" i="51"/>
  <c r="F244" i="51"/>
  <c r="D244" i="51"/>
  <c r="N243" i="51"/>
  <c r="L243" i="51"/>
  <c r="H243" i="51"/>
  <c r="F243" i="51"/>
  <c r="D243" i="51"/>
  <c r="N242" i="51"/>
  <c r="L242" i="51"/>
  <c r="J242" i="51"/>
  <c r="H242" i="51"/>
  <c r="F242" i="51"/>
  <c r="D242" i="51"/>
  <c r="N241" i="51"/>
  <c r="L241" i="51"/>
  <c r="J241" i="51"/>
  <c r="H241" i="51"/>
  <c r="F241" i="51"/>
  <c r="D241" i="51"/>
  <c r="N240" i="51"/>
  <c r="L240" i="51"/>
  <c r="J240" i="51"/>
  <c r="H240" i="51"/>
  <c r="F240" i="51"/>
  <c r="D240" i="51"/>
  <c r="N239" i="51"/>
  <c r="L239" i="51"/>
  <c r="H239" i="51"/>
  <c r="D239" i="51"/>
  <c r="N238" i="51"/>
  <c r="L238" i="51"/>
  <c r="H238" i="51"/>
  <c r="F238" i="51"/>
  <c r="D238" i="51"/>
  <c r="N237" i="51"/>
  <c r="L237" i="51"/>
  <c r="J237" i="51"/>
  <c r="H237" i="51"/>
  <c r="F237" i="51"/>
  <c r="D237" i="51"/>
  <c r="N236" i="51"/>
  <c r="L236" i="51"/>
  <c r="J236" i="51"/>
  <c r="H236" i="51"/>
  <c r="F236" i="51"/>
  <c r="D236" i="51"/>
  <c r="N235" i="51"/>
  <c r="L235" i="51"/>
  <c r="H235" i="51"/>
  <c r="F235" i="51"/>
  <c r="D235" i="51"/>
  <c r="N234" i="51"/>
  <c r="L234" i="51"/>
  <c r="H234" i="51"/>
  <c r="F234" i="51"/>
  <c r="D234" i="51"/>
  <c r="N233" i="51"/>
  <c r="L233" i="51"/>
  <c r="H233" i="51"/>
  <c r="D233" i="51"/>
  <c r="N232" i="51"/>
  <c r="L232" i="51"/>
  <c r="J232" i="51"/>
  <c r="H232" i="51"/>
  <c r="D232" i="51"/>
  <c r="N231" i="51"/>
  <c r="L231" i="51"/>
  <c r="H231" i="51"/>
  <c r="D231" i="51"/>
  <c r="N230" i="51"/>
  <c r="L230" i="51"/>
  <c r="J230" i="51"/>
  <c r="H230" i="51"/>
  <c r="F230" i="51"/>
  <c r="D230" i="51"/>
  <c r="N229" i="51"/>
  <c r="L229" i="51"/>
  <c r="J229" i="51"/>
  <c r="H229" i="51"/>
  <c r="D229" i="51"/>
  <c r="N228" i="51"/>
  <c r="L228" i="51"/>
  <c r="H228" i="51"/>
  <c r="D228" i="51"/>
  <c r="N227" i="51"/>
  <c r="L227" i="51"/>
  <c r="H227" i="51"/>
  <c r="D227" i="51"/>
  <c r="N226" i="51"/>
  <c r="L226" i="51"/>
  <c r="H226" i="51"/>
  <c r="F226" i="51"/>
  <c r="D226" i="51"/>
  <c r="N225" i="51"/>
  <c r="L225" i="51"/>
  <c r="H225" i="51"/>
  <c r="D225" i="51"/>
  <c r="N224" i="51"/>
  <c r="L224" i="51"/>
  <c r="J224" i="51"/>
  <c r="H224" i="51"/>
  <c r="D224" i="51"/>
  <c r="N223" i="51"/>
  <c r="L223" i="51"/>
  <c r="H223" i="51"/>
  <c r="D223" i="51"/>
  <c r="N222" i="51"/>
  <c r="L222" i="51"/>
  <c r="J222" i="51"/>
  <c r="H222" i="51"/>
  <c r="F222" i="51"/>
  <c r="D222" i="51"/>
  <c r="N221" i="51"/>
  <c r="L221" i="51"/>
  <c r="J221" i="51"/>
  <c r="H221" i="51"/>
  <c r="D221" i="51"/>
  <c r="N220" i="51"/>
  <c r="L220" i="51"/>
  <c r="H220" i="51"/>
  <c r="D220" i="51"/>
  <c r="N219" i="51"/>
  <c r="L219" i="51"/>
  <c r="H219" i="51"/>
  <c r="D219" i="51"/>
  <c r="N218" i="51"/>
  <c r="L218" i="51"/>
  <c r="J218" i="51"/>
  <c r="H218" i="51"/>
  <c r="D218" i="51"/>
  <c r="N217" i="51"/>
  <c r="L217" i="51"/>
  <c r="J217" i="51"/>
  <c r="H217" i="51"/>
  <c r="F217" i="51"/>
  <c r="D217" i="51"/>
  <c r="N216" i="51"/>
  <c r="L216" i="51"/>
  <c r="H216" i="51"/>
  <c r="D216" i="51"/>
  <c r="N215" i="51"/>
  <c r="L215" i="51"/>
  <c r="H215" i="51"/>
  <c r="D215" i="51"/>
  <c r="N214" i="51"/>
  <c r="L214" i="51"/>
  <c r="J214" i="51"/>
  <c r="H214" i="51"/>
  <c r="D214" i="51"/>
  <c r="N213" i="51"/>
  <c r="L213" i="51"/>
  <c r="H213" i="51"/>
  <c r="D213" i="51"/>
  <c r="N212" i="51"/>
  <c r="L212" i="51"/>
  <c r="J212" i="51"/>
  <c r="H212" i="51"/>
  <c r="F212" i="51"/>
  <c r="D212" i="51"/>
  <c r="N211" i="51"/>
  <c r="L211" i="51"/>
  <c r="H211" i="51"/>
  <c r="D211" i="51"/>
  <c r="N210" i="51"/>
  <c r="L210" i="51"/>
  <c r="J210" i="51"/>
  <c r="H210" i="51"/>
  <c r="F210" i="51"/>
  <c r="D210" i="51"/>
  <c r="N209" i="51"/>
  <c r="L209" i="51"/>
  <c r="J209" i="51"/>
  <c r="H209" i="51"/>
  <c r="D209" i="51"/>
  <c r="N208" i="51"/>
  <c r="L208" i="51"/>
  <c r="J208" i="51"/>
  <c r="H208" i="51"/>
  <c r="F208" i="51"/>
  <c r="D208" i="51"/>
  <c r="N207" i="51"/>
  <c r="L207" i="51"/>
  <c r="J207" i="51"/>
  <c r="H207" i="51"/>
  <c r="F207" i="51"/>
  <c r="D207" i="51"/>
  <c r="N206" i="51"/>
  <c r="L206" i="51"/>
  <c r="J206" i="51"/>
  <c r="H206" i="51"/>
  <c r="D206" i="51"/>
  <c r="L205" i="51"/>
  <c r="J205" i="51"/>
  <c r="H205" i="51"/>
  <c r="F205" i="51"/>
  <c r="D205" i="51"/>
  <c r="N204" i="51"/>
  <c r="L204" i="51"/>
  <c r="J204" i="51"/>
  <c r="H204" i="51"/>
  <c r="F204" i="51"/>
  <c r="D204" i="51"/>
  <c r="N203" i="51"/>
  <c r="L203" i="51"/>
  <c r="J203" i="51"/>
  <c r="H203" i="51"/>
  <c r="D203" i="51"/>
  <c r="Y136" i="51"/>
  <c r="Y137" i="51"/>
  <c r="Y138" i="51"/>
  <c r="Y139" i="51"/>
  <c r="Y140" i="51"/>
  <c r="Y141" i="51"/>
  <c r="Y142" i="51"/>
  <c r="Y143" i="51"/>
  <c r="Y144" i="51"/>
  <c r="Y145" i="51"/>
  <c r="Y146" i="51"/>
  <c r="Y147" i="51"/>
  <c r="Y148" i="51"/>
  <c r="Y149" i="51"/>
  <c r="Y150" i="51"/>
  <c r="Y151" i="51"/>
  <c r="Y152" i="51"/>
  <c r="Y153" i="51"/>
  <c r="Y154" i="51"/>
  <c r="Y155" i="51"/>
  <c r="Y156" i="51"/>
  <c r="Y157" i="51"/>
  <c r="Y158" i="51"/>
  <c r="E343" i="41" l="1"/>
  <c r="D343" i="41"/>
  <c r="E340" i="41" l="1"/>
  <c r="E341" i="41"/>
  <c r="E339" i="41"/>
  <c r="M384" i="41" l="1"/>
  <c r="O384" i="41" s="1"/>
  <c r="M383" i="41"/>
  <c r="O383" i="41" s="1"/>
  <c r="M382" i="41"/>
  <c r="O382" i="41" s="1"/>
  <c r="M381" i="41"/>
  <c r="O381" i="41" s="1"/>
  <c r="M380" i="41"/>
  <c r="O380" i="41" s="1"/>
  <c r="M379" i="41"/>
  <c r="O379" i="41" s="1"/>
  <c r="M378" i="41"/>
  <c r="O378" i="41" s="1"/>
  <c r="M377" i="41"/>
  <c r="O377" i="41" s="1"/>
  <c r="M376" i="41"/>
  <c r="O376" i="41" s="1"/>
  <c r="M375" i="41"/>
  <c r="O375" i="41" s="1"/>
  <c r="M374" i="41"/>
  <c r="O374" i="41" s="1"/>
  <c r="M373" i="41"/>
  <c r="O373" i="41" s="1"/>
  <c r="L307" i="41"/>
  <c r="L308" i="41"/>
  <c r="F398" i="41" l="1"/>
  <c r="E398" i="41"/>
  <c r="D398" i="41"/>
  <c r="C398" i="41"/>
  <c r="I398" i="41" s="1"/>
  <c r="F397" i="41"/>
  <c r="E397" i="41"/>
  <c r="D397" i="41"/>
  <c r="C397" i="41"/>
  <c r="F396" i="41"/>
  <c r="N396" i="41" s="1"/>
  <c r="E396" i="41"/>
  <c r="D396" i="41"/>
  <c r="C396" i="41"/>
  <c r="I396" i="41" s="1"/>
  <c r="F395" i="41"/>
  <c r="E395" i="41"/>
  <c r="D395" i="41"/>
  <c r="C395" i="41"/>
  <c r="E394" i="41"/>
  <c r="D394" i="41"/>
  <c r="N394" i="41" s="1"/>
  <c r="C394" i="41"/>
  <c r="H392" i="41"/>
  <c r="H391" i="41"/>
  <c r="H390" i="41"/>
  <c r="H389" i="41"/>
  <c r="H388" i="41"/>
  <c r="I384" i="41"/>
  <c r="E384" i="41"/>
  <c r="G384" i="41" s="1"/>
  <c r="I383" i="41"/>
  <c r="E383" i="41"/>
  <c r="G383" i="41" s="1"/>
  <c r="I382" i="41"/>
  <c r="E382" i="41"/>
  <c r="G382" i="41" s="1"/>
  <c r="I381" i="41"/>
  <c r="E381" i="41"/>
  <c r="G381" i="41" s="1"/>
  <c r="I380" i="41"/>
  <c r="E380" i="41"/>
  <c r="G380" i="41" s="1"/>
  <c r="I379" i="41"/>
  <c r="E379" i="41"/>
  <c r="G379" i="41" s="1"/>
  <c r="I378" i="41"/>
  <c r="E378" i="41"/>
  <c r="G378" i="41" s="1"/>
  <c r="I377" i="41"/>
  <c r="E377" i="41"/>
  <c r="G377" i="41" s="1"/>
  <c r="I376" i="41"/>
  <c r="E376" i="41"/>
  <c r="G376" i="41" s="1"/>
  <c r="I375" i="41"/>
  <c r="E375" i="41"/>
  <c r="G375" i="41" s="1"/>
  <c r="I374" i="41"/>
  <c r="E374" i="41"/>
  <c r="G374" i="41" s="1"/>
  <c r="I373" i="41"/>
  <c r="E373" i="41"/>
  <c r="G373" i="41" s="1"/>
  <c r="D365" i="41"/>
  <c r="E365" i="41" s="1"/>
  <c r="D364" i="41"/>
  <c r="E364" i="41" s="1"/>
  <c r="D363" i="41"/>
  <c r="E363" i="41" s="1"/>
  <c r="D362" i="41"/>
  <c r="E362" i="41" s="1"/>
  <c r="D358" i="41"/>
  <c r="I358" i="41" s="1"/>
  <c r="D357" i="41"/>
  <c r="I357" i="41" s="1"/>
  <c r="D356" i="41"/>
  <c r="I356" i="41" s="1"/>
  <c r="D355" i="41"/>
  <c r="I355" i="41" s="1"/>
  <c r="D354" i="41"/>
  <c r="I354" i="41" s="1"/>
  <c r="D353" i="41"/>
  <c r="I353" i="41" s="1"/>
  <c r="D352" i="41"/>
  <c r="I352" i="41" s="1"/>
  <c r="D351" i="41"/>
  <c r="I351" i="41" s="1"/>
  <c r="D350" i="41"/>
  <c r="I350" i="41" s="1"/>
  <c r="G349" i="41"/>
  <c r="D349" i="41"/>
  <c r="I349" i="41" s="1"/>
  <c r="G348" i="41"/>
  <c r="D348" i="41"/>
  <c r="I348" i="41" s="1"/>
  <c r="G347" i="41"/>
  <c r="D347" i="41"/>
  <c r="I347" i="41" s="1"/>
  <c r="L341" i="41"/>
  <c r="K341" i="41"/>
  <c r="I341" i="41"/>
  <c r="C343" i="41" s="1"/>
  <c r="C341" i="41"/>
  <c r="J341" i="41" s="1"/>
  <c r="L340" i="41"/>
  <c r="K340" i="41"/>
  <c r="I340" i="41"/>
  <c r="C340" i="41"/>
  <c r="J340" i="41" s="1"/>
  <c r="L339" i="41"/>
  <c r="K339" i="41"/>
  <c r="I339" i="41"/>
  <c r="C339" i="41"/>
  <c r="J339" i="41" s="1"/>
  <c r="G325" i="41"/>
  <c r="E325" i="41"/>
  <c r="F325" i="41" s="1"/>
  <c r="D325" i="41"/>
  <c r="C330" i="41" s="1"/>
  <c r="G324" i="41"/>
  <c r="E324" i="41"/>
  <c r="F324" i="41" s="1"/>
  <c r="D324" i="41"/>
  <c r="C329" i="41" s="1"/>
  <c r="G323" i="41"/>
  <c r="E323" i="41"/>
  <c r="F323" i="41" s="1"/>
  <c r="D323" i="41"/>
  <c r="C328" i="41" s="1"/>
  <c r="G322" i="41"/>
  <c r="E322" i="41"/>
  <c r="F322" i="41" s="1"/>
  <c r="D322" i="41"/>
  <c r="G321" i="41"/>
  <c r="E321" i="41"/>
  <c r="F321" i="41" s="1"/>
  <c r="D321" i="41"/>
  <c r="G320" i="41"/>
  <c r="I320" i="41" s="1"/>
  <c r="E320" i="41"/>
  <c r="F320" i="41" s="1"/>
  <c r="H320" i="41" s="1"/>
  <c r="D320" i="41"/>
  <c r="E316" i="41"/>
  <c r="D316" i="41"/>
  <c r="C316" i="41"/>
  <c r="B316" i="41"/>
  <c r="E315" i="41"/>
  <c r="D315" i="41"/>
  <c r="C315" i="41"/>
  <c r="B315" i="41"/>
  <c r="E314" i="41"/>
  <c r="D314" i="41"/>
  <c r="C314" i="41"/>
  <c r="B314" i="41"/>
  <c r="E313" i="41"/>
  <c r="D313" i="41"/>
  <c r="C313" i="41"/>
  <c r="B313" i="41"/>
  <c r="E312" i="41"/>
  <c r="D312" i="41"/>
  <c r="C312" i="41"/>
  <c r="B312" i="41"/>
  <c r="E311" i="41"/>
  <c r="D311" i="41"/>
  <c r="C311" i="41"/>
  <c r="B311" i="41"/>
  <c r="M308" i="41"/>
  <c r="M307" i="41"/>
  <c r="C286" i="41"/>
  <c r="C288" i="41" s="1"/>
  <c r="L304" i="41" l="1"/>
  <c r="I395" i="41"/>
  <c r="I397" i="41"/>
  <c r="L305" i="41"/>
  <c r="M305" i="41" s="1"/>
  <c r="N398" i="41"/>
  <c r="L303" i="41"/>
  <c r="L306" i="41"/>
  <c r="M398" i="41"/>
  <c r="M395" i="41"/>
  <c r="I394" i="41"/>
  <c r="M394" i="41"/>
  <c r="O385" i="41"/>
  <c r="N395" i="41"/>
  <c r="M397" i="41"/>
  <c r="N339" i="41"/>
  <c r="N340" i="41" s="1"/>
  <c r="N397" i="41"/>
  <c r="O339" i="41"/>
  <c r="O340" i="41" s="1"/>
  <c r="M339" i="41"/>
  <c r="M340" i="41" s="1"/>
  <c r="K394" i="41"/>
  <c r="M396" i="41"/>
  <c r="J320" i="41"/>
  <c r="H321" i="41"/>
  <c r="G385" i="41"/>
  <c r="K320" i="41"/>
  <c r="I321" i="41"/>
  <c r="K395" i="41"/>
  <c r="L395" i="41" s="1"/>
  <c r="K396" i="41"/>
  <c r="L396" i="41" s="1"/>
  <c r="K397" i="41"/>
  <c r="K398" i="41"/>
  <c r="L398" i="41" s="1"/>
  <c r="T206" i="47"/>
  <c r="T207" i="47"/>
  <c r="T208" i="47"/>
  <c r="T209" i="47"/>
  <c r="T210" i="47"/>
  <c r="T211" i="47"/>
  <c r="T212" i="47"/>
  <c r="T213" i="47"/>
  <c r="T214" i="47"/>
  <c r="T215" i="47"/>
  <c r="T216" i="47"/>
  <c r="T217" i="47"/>
  <c r="T218" i="47"/>
  <c r="T219" i="47"/>
  <c r="T220" i="47"/>
  <c r="T221" i="47"/>
  <c r="T222" i="47"/>
  <c r="T223" i="47"/>
  <c r="T224" i="47"/>
  <c r="T225" i="47"/>
  <c r="T226" i="47"/>
  <c r="T227" i="47"/>
  <c r="T228" i="47"/>
  <c r="T229" i="47"/>
  <c r="T230" i="47"/>
  <c r="T231" i="47"/>
  <c r="T232" i="47"/>
  <c r="T233" i="47"/>
  <c r="T234" i="47"/>
  <c r="T235" i="47"/>
  <c r="T236" i="47"/>
  <c r="T237" i="47"/>
  <c r="T238" i="47"/>
  <c r="T239" i="47"/>
  <c r="T240" i="47"/>
  <c r="T241" i="47"/>
  <c r="T242" i="47"/>
  <c r="T243" i="47"/>
  <c r="T244" i="47"/>
  <c r="T245" i="47"/>
  <c r="T246" i="47"/>
  <c r="T247" i="47"/>
  <c r="T248" i="47"/>
  <c r="T249" i="47"/>
  <c r="T250" i="47"/>
  <c r="T251" i="47"/>
  <c r="T252" i="47"/>
  <c r="T253" i="47"/>
  <c r="T205" i="47"/>
  <c r="U205" i="47" s="1"/>
  <c r="U206" i="47" s="1"/>
  <c r="J205" i="47"/>
  <c r="P249" i="47"/>
  <c r="Q249" i="47" s="1"/>
  <c r="P250" i="47"/>
  <c r="Q250" i="47" s="1"/>
  <c r="P251" i="47"/>
  <c r="Q251" i="47" s="1"/>
  <c r="P252" i="47"/>
  <c r="Q252" i="47" s="1"/>
  <c r="P253" i="47"/>
  <c r="Q253" i="47" s="1"/>
  <c r="P233" i="47"/>
  <c r="Q233" i="47" s="1"/>
  <c r="P234" i="47"/>
  <c r="Q234" i="47" s="1"/>
  <c r="P235" i="47"/>
  <c r="Q235" i="47" s="1"/>
  <c r="P236" i="47"/>
  <c r="Q236" i="47" s="1"/>
  <c r="P237" i="47"/>
  <c r="Q237" i="47" s="1"/>
  <c r="P238" i="47"/>
  <c r="Q238" i="47" s="1"/>
  <c r="P239" i="47"/>
  <c r="Q239" i="47" s="1"/>
  <c r="P240" i="47"/>
  <c r="Q240" i="47" s="1"/>
  <c r="P241" i="47"/>
  <c r="Q241" i="47" s="1"/>
  <c r="P242" i="47"/>
  <c r="Q242" i="47" s="1"/>
  <c r="P243" i="47"/>
  <c r="Q243" i="47" s="1"/>
  <c r="P244" i="47"/>
  <c r="Q244" i="47" s="1"/>
  <c r="P245" i="47"/>
  <c r="Q245" i="47" s="1"/>
  <c r="P246" i="47"/>
  <c r="Q246" i="47" s="1"/>
  <c r="P247" i="47"/>
  <c r="Q247" i="47" s="1"/>
  <c r="P248" i="47"/>
  <c r="Q248" i="47" s="1"/>
  <c r="P206" i="47"/>
  <c r="Q206" i="47" s="1"/>
  <c r="P207" i="47"/>
  <c r="Q207" i="47" s="1"/>
  <c r="P208" i="47"/>
  <c r="Q208" i="47" s="1"/>
  <c r="P209" i="47"/>
  <c r="Q209" i="47" s="1"/>
  <c r="P210" i="47"/>
  <c r="Q210" i="47" s="1"/>
  <c r="P211" i="47"/>
  <c r="Q211" i="47" s="1"/>
  <c r="P212" i="47"/>
  <c r="Q212" i="47" s="1"/>
  <c r="P213" i="47"/>
  <c r="Q213" i="47" s="1"/>
  <c r="P214" i="47"/>
  <c r="Q214" i="47" s="1"/>
  <c r="P215" i="47"/>
  <c r="Q215" i="47" s="1"/>
  <c r="P216" i="47"/>
  <c r="Q216" i="47" s="1"/>
  <c r="P217" i="47"/>
  <c r="Q217" i="47" s="1"/>
  <c r="P218" i="47"/>
  <c r="Q218" i="47" s="1"/>
  <c r="P219" i="47"/>
  <c r="Q219" i="47" s="1"/>
  <c r="P220" i="47"/>
  <c r="Q220" i="47" s="1"/>
  <c r="P221" i="47"/>
  <c r="Q221" i="47" s="1"/>
  <c r="P222" i="47"/>
  <c r="Q222" i="47" s="1"/>
  <c r="P223" i="47"/>
  <c r="Q223" i="47" s="1"/>
  <c r="P224" i="47"/>
  <c r="Q224" i="47" s="1"/>
  <c r="P225" i="47"/>
  <c r="Q225" i="47" s="1"/>
  <c r="P226" i="47"/>
  <c r="Q226" i="47" s="1"/>
  <c r="P227" i="47"/>
  <c r="Q227" i="47" s="1"/>
  <c r="P228" i="47"/>
  <c r="Q228" i="47" s="1"/>
  <c r="P229" i="47"/>
  <c r="Q229" i="47" s="1"/>
  <c r="P230" i="47"/>
  <c r="Q230" i="47" s="1"/>
  <c r="P231" i="47"/>
  <c r="Q231" i="47" s="1"/>
  <c r="P232" i="47"/>
  <c r="Q232" i="47" s="1"/>
  <c r="P205" i="47"/>
  <c r="Q205" i="47" s="1"/>
  <c r="U207" i="47" l="1"/>
  <c r="U208" i="47" s="1"/>
  <c r="U209" i="47" s="1"/>
  <c r="U210" i="47" s="1"/>
  <c r="U211" i="47" s="1"/>
  <c r="U212" i="47" s="1"/>
  <c r="U213" i="47" s="1"/>
  <c r="U214" i="47" s="1"/>
  <c r="U215" i="47" s="1"/>
  <c r="U216" i="47" s="1"/>
  <c r="U217" i="47" s="1"/>
  <c r="U218" i="47" s="1"/>
  <c r="U219" i="47" s="1"/>
  <c r="U220" i="47" s="1"/>
  <c r="U221" i="47" s="1"/>
  <c r="U222" i="47" s="1"/>
  <c r="U223" i="47" s="1"/>
  <c r="U224" i="47" s="1"/>
  <c r="U225" i="47" s="1"/>
  <c r="U226" i="47" s="1"/>
  <c r="U227" i="47" s="1"/>
  <c r="U228" i="47" s="1"/>
  <c r="U229" i="47" s="1"/>
  <c r="U230" i="47" s="1"/>
  <c r="U231" i="47" s="1"/>
  <c r="U232" i="47" s="1"/>
  <c r="U233" i="47" s="1"/>
  <c r="U234" i="47" s="1"/>
  <c r="U235" i="47" s="1"/>
  <c r="U236" i="47" s="1"/>
  <c r="U237" i="47" s="1"/>
  <c r="U238" i="47" s="1"/>
  <c r="U239" i="47" s="1"/>
  <c r="U240" i="47" s="1"/>
  <c r="U241" i="47" s="1"/>
  <c r="U242" i="47" s="1"/>
  <c r="U243" i="47" s="1"/>
  <c r="U244" i="47" s="1"/>
  <c r="U245" i="47" s="1"/>
  <c r="U246" i="47" s="1"/>
  <c r="U247" i="47" s="1"/>
  <c r="U248" i="47" s="1"/>
  <c r="U249" i="47" s="1"/>
  <c r="U250" i="47" s="1"/>
  <c r="U251" i="47" s="1"/>
  <c r="U252" i="47" s="1"/>
  <c r="U253" i="47" s="1"/>
  <c r="U254" i="47" s="1"/>
  <c r="L397" i="41"/>
  <c r="L394" i="41"/>
  <c r="K321" i="41"/>
  <c r="I322" i="41"/>
  <c r="J321" i="41"/>
  <c r="H322" i="41"/>
  <c r="D4" i="65"/>
  <c r="D5" i="65"/>
  <c r="D3" i="65"/>
  <c r="F4" i="65"/>
  <c r="F5" i="65"/>
  <c r="F3" i="65"/>
  <c r="E4" i="65"/>
  <c r="E5" i="65"/>
  <c r="E3" i="65"/>
  <c r="J322" i="41" l="1"/>
  <c r="H323" i="41"/>
  <c r="K322" i="41"/>
  <c r="I323" i="41"/>
  <c r="B140" i="65"/>
  <c r="B136" i="65"/>
  <c r="B132" i="65"/>
  <c r="B135" i="65" s="1"/>
  <c r="B137" i="65" s="1"/>
  <c r="H128" i="65"/>
  <c r="G128" i="65"/>
  <c r="F128" i="65"/>
  <c r="H127" i="65"/>
  <c r="G127" i="65"/>
  <c r="F127" i="65"/>
  <c r="H126" i="65"/>
  <c r="G126" i="65"/>
  <c r="F126" i="65"/>
  <c r="H125" i="65"/>
  <c r="G125" i="65"/>
  <c r="F125" i="65"/>
  <c r="H124" i="65"/>
  <c r="G124" i="65"/>
  <c r="F124" i="65"/>
  <c r="H123" i="65"/>
  <c r="G123" i="65"/>
  <c r="F123" i="65"/>
  <c r="H122" i="65"/>
  <c r="G122" i="65"/>
  <c r="F122" i="65"/>
  <c r="H121" i="65"/>
  <c r="G121" i="65"/>
  <c r="F121" i="65"/>
  <c r="H120" i="65"/>
  <c r="G120" i="65"/>
  <c r="F120" i="65"/>
  <c r="H119" i="65"/>
  <c r="G119" i="65"/>
  <c r="F119" i="65"/>
  <c r="H118" i="65"/>
  <c r="G118" i="65"/>
  <c r="F118" i="65"/>
  <c r="H117" i="65"/>
  <c r="G117" i="65"/>
  <c r="F117" i="65"/>
  <c r="B112" i="65"/>
  <c r="D112" i="65" s="1"/>
  <c r="D111" i="65"/>
  <c r="B111" i="65"/>
  <c r="D110" i="65"/>
  <c r="B110" i="65"/>
  <c r="D109" i="65"/>
  <c r="B109" i="65"/>
  <c r="B108" i="65"/>
  <c r="D108" i="65" s="1"/>
  <c r="D107" i="65"/>
  <c r="B107" i="65"/>
  <c r="D106" i="65"/>
  <c r="B106" i="65"/>
  <c r="D105" i="65"/>
  <c r="B105" i="65"/>
  <c r="B104" i="65"/>
  <c r="D104" i="65" s="1"/>
  <c r="D103" i="65"/>
  <c r="B103" i="65"/>
  <c r="F96" i="65"/>
  <c r="D96" i="65"/>
  <c r="C96" i="65"/>
  <c r="B96" i="65"/>
  <c r="D95" i="65"/>
  <c r="C95" i="65"/>
  <c r="B95" i="65"/>
  <c r="F95" i="65" s="1"/>
  <c r="D94" i="65"/>
  <c r="C94" i="65"/>
  <c r="B94" i="65"/>
  <c r="F94" i="65" s="1"/>
  <c r="D93" i="65"/>
  <c r="C93" i="65"/>
  <c r="B93" i="65"/>
  <c r="F93" i="65" s="1"/>
  <c r="F92" i="65"/>
  <c r="D92" i="65"/>
  <c r="C92" i="65"/>
  <c r="B92" i="65"/>
  <c r="D91" i="65"/>
  <c r="C91" i="65"/>
  <c r="B91" i="65"/>
  <c r="F91" i="65" s="1"/>
  <c r="F90" i="65"/>
  <c r="D90" i="65"/>
  <c r="C90" i="65"/>
  <c r="B90" i="65"/>
  <c r="D89" i="65"/>
  <c r="C89" i="65"/>
  <c r="B89" i="65"/>
  <c r="F89" i="65" s="1"/>
  <c r="F88" i="65"/>
  <c r="D88" i="65"/>
  <c r="C88" i="65"/>
  <c r="B88" i="65"/>
  <c r="D87" i="65"/>
  <c r="C87" i="65"/>
  <c r="B87" i="65"/>
  <c r="F87" i="65" s="1"/>
  <c r="D86" i="65"/>
  <c r="C86" i="65"/>
  <c r="B86" i="65"/>
  <c r="F86" i="65" s="1"/>
  <c r="D85" i="65"/>
  <c r="C85" i="65"/>
  <c r="B85" i="65"/>
  <c r="F85" i="65" s="1"/>
  <c r="F84" i="65"/>
  <c r="D84" i="65"/>
  <c r="C84" i="65"/>
  <c r="B84" i="65"/>
  <c r="D83" i="65"/>
  <c r="C83" i="65"/>
  <c r="B83" i="65"/>
  <c r="F83" i="65" s="1"/>
  <c r="F82" i="65"/>
  <c r="D82" i="65"/>
  <c r="C82" i="65"/>
  <c r="B82" i="65"/>
  <c r="D81" i="65"/>
  <c r="C81" i="65"/>
  <c r="B81" i="65"/>
  <c r="F81" i="65" s="1"/>
  <c r="F80" i="65"/>
  <c r="D80" i="65"/>
  <c r="C80" i="65"/>
  <c r="B80" i="65"/>
  <c r="D79" i="65"/>
  <c r="C79" i="65"/>
  <c r="B79" i="65"/>
  <c r="F79" i="65" s="1"/>
  <c r="D78" i="65"/>
  <c r="C78" i="65"/>
  <c r="B78" i="65"/>
  <c r="F78" i="65" s="1"/>
  <c r="D77" i="65"/>
  <c r="C77" i="65"/>
  <c r="B77" i="65"/>
  <c r="F77" i="65" s="1"/>
  <c r="F76" i="65"/>
  <c r="D76" i="65"/>
  <c r="C76" i="65"/>
  <c r="B76" i="65"/>
  <c r="D75" i="65"/>
  <c r="C75" i="65"/>
  <c r="B75" i="65"/>
  <c r="F75" i="65" s="1"/>
  <c r="F74" i="65"/>
  <c r="D74" i="65"/>
  <c r="C74" i="65"/>
  <c r="B74" i="65"/>
  <c r="D73" i="65"/>
  <c r="C73" i="65"/>
  <c r="B73" i="65"/>
  <c r="F73" i="65" s="1"/>
  <c r="G73" i="65" s="1"/>
  <c r="G74" i="65" s="1"/>
  <c r="G68" i="65"/>
  <c r="F68" i="65"/>
  <c r="D68" i="65"/>
  <c r="C68" i="65"/>
  <c r="B68" i="65"/>
  <c r="G67" i="65"/>
  <c r="D67" i="65"/>
  <c r="C67" i="65"/>
  <c r="B67" i="65"/>
  <c r="F67" i="65" s="1"/>
  <c r="F66" i="65"/>
  <c r="D66" i="65"/>
  <c r="C66" i="65"/>
  <c r="B66" i="65"/>
  <c r="G66" i="65" s="1"/>
  <c r="G65" i="65"/>
  <c r="D65" i="65"/>
  <c r="C65" i="65"/>
  <c r="B65" i="65"/>
  <c r="F65" i="65" s="1"/>
  <c r="F64" i="65"/>
  <c r="D64" i="65"/>
  <c r="C64" i="65"/>
  <c r="B64" i="65"/>
  <c r="G64" i="65" s="1"/>
  <c r="G63" i="65"/>
  <c r="D63" i="65"/>
  <c r="C63" i="65"/>
  <c r="B63" i="65"/>
  <c r="F63" i="65" s="1"/>
  <c r="G62" i="65"/>
  <c r="F62" i="65"/>
  <c r="D62" i="65"/>
  <c r="C62" i="65"/>
  <c r="B62" i="65"/>
  <c r="G61" i="65"/>
  <c r="D61" i="65"/>
  <c r="C61" i="65"/>
  <c r="B61" i="65"/>
  <c r="F61" i="65" s="1"/>
  <c r="G60" i="65"/>
  <c r="F60" i="65"/>
  <c r="D60" i="65"/>
  <c r="C60" i="65"/>
  <c r="B60" i="65"/>
  <c r="G59" i="65"/>
  <c r="D59" i="65"/>
  <c r="C59" i="65"/>
  <c r="B59" i="65"/>
  <c r="F59" i="65" s="1"/>
  <c r="F58" i="65"/>
  <c r="D58" i="65"/>
  <c r="C58" i="65"/>
  <c r="B58" i="65"/>
  <c r="G58" i="65" s="1"/>
  <c r="G57" i="65"/>
  <c r="D57" i="65"/>
  <c r="C57" i="65"/>
  <c r="B57" i="65"/>
  <c r="F57" i="65" s="1"/>
  <c r="G56" i="65"/>
  <c r="F56" i="65"/>
  <c r="D56" i="65"/>
  <c r="C56" i="65"/>
  <c r="B56" i="65"/>
  <c r="G55" i="65"/>
  <c r="F55" i="65"/>
  <c r="D55" i="65"/>
  <c r="C55" i="65"/>
  <c r="B55" i="65"/>
  <c r="G54" i="65"/>
  <c r="F54" i="65"/>
  <c r="D54" i="65"/>
  <c r="C54" i="65"/>
  <c r="B54" i="65"/>
  <c r="F53" i="65"/>
  <c r="D53" i="65"/>
  <c r="C53" i="65"/>
  <c r="B53" i="65"/>
  <c r="G53" i="65" s="1"/>
  <c r="G52" i="65"/>
  <c r="F52" i="65"/>
  <c r="D52" i="65"/>
  <c r="C52" i="65"/>
  <c r="B52" i="65"/>
  <c r="F51" i="65"/>
  <c r="D51" i="65"/>
  <c r="C51" i="65"/>
  <c r="B51" i="65"/>
  <c r="G51" i="65" s="1"/>
  <c r="G50" i="65"/>
  <c r="D50" i="65"/>
  <c r="C50" i="65"/>
  <c r="B50" i="65"/>
  <c r="F50" i="65" s="1"/>
  <c r="G49" i="65"/>
  <c r="F49" i="65"/>
  <c r="D49" i="65"/>
  <c r="C49" i="65"/>
  <c r="B49" i="65"/>
  <c r="G48" i="65"/>
  <c r="F48" i="65"/>
  <c r="D48" i="65"/>
  <c r="C48" i="65"/>
  <c r="B48" i="65"/>
  <c r="G47" i="65"/>
  <c r="F47" i="65"/>
  <c r="D47" i="65"/>
  <c r="C47" i="65"/>
  <c r="B47" i="65"/>
  <c r="G46" i="65"/>
  <c r="F46" i="65"/>
  <c r="D46" i="65"/>
  <c r="C46" i="65"/>
  <c r="B46" i="65"/>
  <c r="F45" i="65"/>
  <c r="D45" i="65"/>
  <c r="C45" i="65"/>
  <c r="B45" i="65"/>
  <c r="G45" i="65" s="1"/>
  <c r="G44" i="65"/>
  <c r="F44" i="65"/>
  <c r="D44" i="65"/>
  <c r="C44" i="65"/>
  <c r="B44" i="65"/>
  <c r="G43" i="65"/>
  <c r="D43" i="65"/>
  <c r="C43" i="65"/>
  <c r="B43" i="65"/>
  <c r="F43" i="65" s="1"/>
  <c r="F42" i="65"/>
  <c r="D42" i="65"/>
  <c r="C42" i="65"/>
  <c r="B42" i="65"/>
  <c r="G42" i="65" s="1"/>
  <c r="G41" i="65"/>
  <c r="D41" i="65"/>
  <c r="C41" i="65"/>
  <c r="B41" i="65"/>
  <c r="F41" i="65" s="1"/>
  <c r="F40" i="65"/>
  <c r="D40" i="65"/>
  <c r="C40" i="65"/>
  <c r="B40" i="65"/>
  <c r="G40" i="65" s="1"/>
  <c r="G39" i="65"/>
  <c r="D39" i="65"/>
  <c r="C39" i="65"/>
  <c r="B39" i="65"/>
  <c r="F39" i="65" s="1"/>
  <c r="G38" i="65"/>
  <c r="F38" i="65"/>
  <c r="D38" i="65"/>
  <c r="C38" i="65"/>
  <c r="B38" i="65"/>
  <c r="G37" i="65"/>
  <c r="D37" i="65"/>
  <c r="C37" i="65"/>
  <c r="B37" i="65"/>
  <c r="F37" i="65" s="1"/>
  <c r="G36" i="65"/>
  <c r="F36" i="65"/>
  <c r="D36" i="65"/>
  <c r="C36" i="65"/>
  <c r="B36" i="65"/>
  <c r="G35" i="65"/>
  <c r="D35" i="65"/>
  <c r="C35" i="65"/>
  <c r="B35" i="65"/>
  <c r="F35" i="65" s="1"/>
  <c r="F34" i="65"/>
  <c r="D34" i="65"/>
  <c r="C34" i="65"/>
  <c r="B34" i="65"/>
  <c r="G34" i="65" s="1"/>
  <c r="G33" i="65"/>
  <c r="D33" i="65"/>
  <c r="C33" i="65"/>
  <c r="B33" i="65"/>
  <c r="F33" i="65" s="1"/>
  <c r="G32" i="65"/>
  <c r="F32" i="65"/>
  <c r="D32" i="65"/>
  <c r="C32" i="65"/>
  <c r="B32" i="65"/>
  <c r="G31" i="65"/>
  <c r="F31" i="65"/>
  <c r="D31" i="65"/>
  <c r="C31" i="65"/>
  <c r="B31" i="65"/>
  <c r="G30" i="65"/>
  <c r="F30" i="65"/>
  <c r="D30" i="65"/>
  <c r="C30" i="65"/>
  <c r="B30" i="65"/>
  <c r="F29" i="65"/>
  <c r="D29" i="65"/>
  <c r="C29" i="65"/>
  <c r="B29" i="65"/>
  <c r="G29" i="65" s="1"/>
  <c r="G28" i="65"/>
  <c r="F28" i="65"/>
  <c r="D28" i="65"/>
  <c r="C28" i="65"/>
  <c r="B28" i="65"/>
  <c r="F27" i="65"/>
  <c r="D27" i="65"/>
  <c r="C27" i="65"/>
  <c r="B27" i="65"/>
  <c r="G27" i="65" s="1"/>
  <c r="G26" i="65"/>
  <c r="D26" i="65"/>
  <c r="C26" i="65"/>
  <c r="B26" i="65"/>
  <c r="F26" i="65" s="1"/>
  <c r="G25" i="65"/>
  <c r="F25" i="65"/>
  <c r="D25" i="65"/>
  <c r="C25" i="65"/>
  <c r="B25" i="65"/>
  <c r="G24" i="65"/>
  <c r="F24" i="65"/>
  <c r="D24" i="65"/>
  <c r="C24" i="65"/>
  <c r="B24" i="65"/>
  <c r="G23" i="65"/>
  <c r="F23" i="65"/>
  <c r="D23" i="65"/>
  <c r="C23" i="65"/>
  <c r="B23" i="65"/>
  <c r="G22" i="65"/>
  <c r="F22" i="65"/>
  <c r="D22" i="65"/>
  <c r="C22" i="65"/>
  <c r="B22" i="65"/>
  <c r="F21" i="65"/>
  <c r="D21" i="65"/>
  <c r="C21" i="65"/>
  <c r="B21" i="65"/>
  <c r="G21" i="65" s="1"/>
  <c r="G20" i="65"/>
  <c r="F20" i="65"/>
  <c r="D20" i="65"/>
  <c r="C20" i="65"/>
  <c r="B20" i="65"/>
  <c r="G19" i="65"/>
  <c r="D19" i="65"/>
  <c r="C19" i="65"/>
  <c r="B19" i="65"/>
  <c r="F19" i="65" s="1"/>
  <c r="F18" i="65"/>
  <c r="D18" i="65"/>
  <c r="C18" i="65"/>
  <c r="B18" i="65"/>
  <c r="G18" i="65" s="1"/>
  <c r="G17" i="65"/>
  <c r="D17" i="65"/>
  <c r="C17" i="65"/>
  <c r="B17" i="65"/>
  <c r="F17" i="65" s="1"/>
  <c r="F16" i="65"/>
  <c r="D16" i="65"/>
  <c r="C16" i="65"/>
  <c r="B16" i="65"/>
  <c r="G16" i="65" s="1"/>
  <c r="G15" i="65"/>
  <c r="F15" i="65"/>
  <c r="D15" i="65"/>
  <c r="C15" i="65"/>
  <c r="B15" i="65"/>
  <c r="G14" i="65"/>
  <c r="F14" i="65"/>
  <c r="D14" i="65"/>
  <c r="C14" i="65"/>
  <c r="B14" i="65"/>
  <c r="G13" i="65"/>
  <c r="D13" i="65"/>
  <c r="C13" i="65"/>
  <c r="B13" i="65"/>
  <c r="F13" i="65" s="1"/>
  <c r="F12" i="65"/>
  <c r="D12" i="65"/>
  <c r="C12" i="65"/>
  <c r="B12" i="65"/>
  <c r="G12" i="65" s="1"/>
  <c r="G11" i="65"/>
  <c r="D11" i="65"/>
  <c r="C11" i="65"/>
  <c r="B11" i="65"/>
  <c r="F11" i="65" s="1"/>
  <c r="F10" i="65"/>
  <c r="D10" i="65"/>
  <c r="C10" i="65"/>
  <c r="B10" i="65"/>
  <c r="G10" i="65" s="1"/>
  <c r="I10" i="65" s="1"/>
  <c r="I11" i="65" s="1"/>
  <c r="H9" i="65"/>
  <c r="H10" i="65" s="1"/>
  <c r="G9" i="65"/>
  <c r="F9" i="65"/>
  <c r="D9" i="65"/>
  <c r="C9" i="65"/>
  <c r="B9" i="65"/>
  <c r="AB21" i="57"/>
  <c r="AC20" i="57"/>
  <c r="AB20" i="57"/>
  <c r="AB19" i="57"/>
  <c r="AB18" i="57"/>
  <c r="AB17" i="57"/>
  <c r="AB16" i="57"/>
  <c r="W16" i="57"/>
  <c r="V16" i="57"/>
  <c r="U16" i="57"/>
  <c r="T16" i="57"/>
  <c r="S16" i="57"/>
  <c r="O16" i="57"/>
  <c r="Q16" i="57" s="1"/>
  <c r="R16" i="57" s="1"/>
  <c r="M16" i="57"/>
  <c r="I16" i="57"/>
  <c r="H16" i="57"/>
  <c r="G16" i="57"/>
  <c r="D16" i="57"/>
  <c r="AB15" i="57"/>
  <c r="W15" i="57"/>
  <c r="V15" i="57"/>
  <c r="U15" i="57"/>
  <c r="T15" i="57"/>
  <c r="S15" i="57"/>
  <c r="O15" i="57"/>
  <c r="Q15" i="57" s="1"/>
  <c r="R15" i="57" s="1"/>
  <c r="M15" i="57"/>
  <c r="I15" i="57"/>
  <c r="G15" i="57"/>
  <c r="D15" i="57"/>
  <c r="H15" i="57" s="1"/>
  <c r="AB14" i="57"/>
  <c r="W14" i="57"/>
  <c r="V14" i="57"/>
  <c r="U14" i="57"/>
  <c r="T14" i="57"/>
  <c r="S14" i="57"/>
  <c r="O14" i="57"/>
  <c r="Q14" i="57" s="1"/>
  <c r="R14" i="57" s="1"/>
  <c r="M14" i="57"/>
  <c r="I14" i="57"/>
  <c r="H14" i="57"/>
  <c r="G14" i="57"/>
  <c r="D14" i="57"/>
  <c r="AB13" i="57"/>
  <c r="W13" i="57"/>
  <c r="V13" i="57"/>
  <c r="U13" i="57"/>
  <c r="T13" i="57"/>
  <c r="S13" i="57"/>
  <c r="O13" i="57"/>
  <c r="Q13" i="57" s="1"/>
  <c r="R13" i="57" s="1"/>
  <c r="M13" i="57"/>
  <c r="I13" i="57"/>
  <c r="G13" i="57"/>
  <c r="D13" i="57"/>
  <c r="H13" i="57" s="1"/>
  <c r="AB12" i="57"/>
  <c r="W12" i="57"/>
  <c r="V12" i="57"/>
  <c r="U12" i="57"/>
  <c r="T12" i="57"/>
  <c r="S12" i="57"/>
  <c r="O12" i="57"/>
  <c r="Q12" i="57" s="1"/>
  <c r="R12" i="57" s="1"/>
  <c r="M12" i="57"/>
  <c r="I12" i="57"/>
  <c r="H12" i="57"/>
  <c r="G12" i="57"/>
  <c r="D12" i="57"/>
  <c r="W11" i="57"/>
  <c r="T11" i="57"/>
  <c r="V11" i="57" s="1"/>
  <c r="S11" i="57"/>
  <c r="U11" i="57" s="1"/>
  <c r="O11" i="57"/>
  <c r="Q11" i="57" s="1"/>
  <c r="R11" i="57" s="1"/>
  <c r="M11" i="57"/>
  <c r="I11" i="57"/>
  <c r="G11" i="57"/>
  <c r="D11" i="57"/>
  <c r="H11" i="57" s="1"/>
  <c r="W10" i="57"/>
  <c r="V10" i="57"/>
  <c r="U10" i="57"/>
  <c r="T10" i="57"/>
  <c r="S10" i="57"/>
  <c r="O10" i="57"/>
  <c r="Q10" i="57" s="1"/>
  <c r="R10" i="57" s="1"/>
  <c r="M10" i="57"/>
  <c r="I10" i="57"/>
  <c r="G10" i="57"/>
  <c r="D10" i="57"/>
  <c r="H10" i="57" s="1"/>
  <c r="W9" i="57"/>
  <c r="U9" i="57"/>
  <c r="T9" i="57"/>
  <c r="V9" i="57" s="1"/>
  <c r="S9" i="57"/>
  <c r="O9" i="57"/>
  <c r="Q9" i="57" s="1"/>
  <c r="R9" i="57" s="1"/>
  <c r="M9" i="57"/>
  <c r="I9" i="57"/>
  <c r="G9" i="57"/>
  <c r="D9" i="57"/>
  <c r="W8" i="57"/>
  <c r="T8" i="57"/>
  <c r="V8" i="57" s="1"/>
  <c r="S8" i="57"/>
  <c r="U8" i="57" s="1"/>
  <c r="Q8" i="57"/>
  <c r="R8" i="57" s="1"/>
  <c r="O8" i="57"/>
  <c r="M8" i="57"/>
  <c r="I8" i="57"/>
  <c r="G8" i="57"/>
  <c r="D8" i="57"/>
  <c r="H8" i="57" s="1"/>
  <c r="W7" i="57"/>
  <c r="V7" i="57"/>
  <c r="U7" i="57"/>
  <c r="T7" i="57"/>
  <c r="S7" i="57"/>
  <c r="O7" i="57"/>
  <c r="Q7" i="57" s="1"/>
  <c r="R7" i="57" s="1"/>
  <c r="M7" i="57"/>
  <c r="I7" i="57"/>
  <c r="H7" i="57" s="1"/>
  <c r="G7" i="57"/>
  <c r="D7" i="57"/>
  <c r="W6" i="57"/>
  <c r="T6" i="57"/>
  <c r="V6" i="57" s="1"/>
  <c r="S6" i="57"/>
  <c r="U6" i="57" s="1"/>
  <c r="Q6" i="57"/>
  <c r="R6" i="57" s="1"/>
  <c r="O6" i="57"/>
  <c r="M6" i="57"/>
  <c r="I6" i="57"/>
  <c r="G6" i="57"/>
  <c r="D6" i="57"/>
  <c r="H6" i="57" s="1"/>
  <c r="W5" i="57"/>
  <c r="V5" i="57"/>
  <c r="T5" i="57"/>
  <c r="S5" i="57"/>
  <c r="U5" i="57" s="1"/>
  <c r="Q5" i="57"/>
  <c r="R5" i="57" s="1"/>
  <c r="O5" i="57"/>
  <c r="M5" i="57"/>
  <c r="I5" i="57"/>
  <c r="G5" i="57"/>
  <c r="D5" i="57"/>
  <c r="H5" i="57" s="1"/>
  <c r="W4" i="57"/>
  <c r="V4" i="57"/>
  <c r="U4" i="57"/>
  <c r="T4" i="57"/>
  <c r="S4" i="57"/>
  <c r="Q4" i="57"/>
  <c r="R4" i="57" s="1"/>
  <c r="O4" i="57"/>
  <c r="M4" i="57"/>
  <c r="I4" i="57"/>
  <c r="G4" i="57"/>
  <c r="D4" i="57"/>
  <c r="H4" i="57" s="1"/>
  <c r="W3" i="57"/>
  <c r="U3" i="57"/>
  <c r="T3" i="57"/>
  <c r="V3" i="57" s="1"/>
  <c r="S3" i="57"/>
  <c r="O3" i="57"/>
  <c r="Q3" i="57" s="1"/>
  <c r="R3" i="57" s="1"/>
  <c r="M3" i="57"/>
  <c r="I3" i="57"/>
  <c r="H3" i="57" s="1"/>
  <c r="G3" i="57"/>
  <c r="D3" i="57"/>
  <c r="AA2" i="57"/>
  <c r="AC17" i="57" s="1"/>
  <c r="W2" i="57"/>
  <c r="T2" i="57"/>
  <c r="V2" i="57" s="1"/>
  <c r="S2" i="57"/>
  <c r="U2" i="57" s="1"/>
  <c r="O2" i="57"/>
  <c r="Q2" i="57" s="1"/>
  <c r="M2" i="57"/>
  <c r="I2" i="57"/>
  <c r="G2" i="57"/>
  <c r="D2" i="57"/>
  <c r="H2" i="57" s="1"/>
  <c r="D267" i="63"/>
  <c r="D266" i="63"/>
  <c r="D265" i="63"/>
  <c r="D264" i="63"/>
  <c r="D263" i="63"/>
  <c r="D262" i="63"/>
  <c r="D261" i="63"/>
  <c r="D260" i="63"/>
  <c r="D259" i="63"/>
  <c r="D258" i="63"/>
  <c r="E258" i="63" s="1"/>
  <c r="E259" i="63" s="1"/>
  <c r="E260" i="63" s="1"/>
  <c r="E261" i="63" s="1"/>
  <c r="E262" i="63" s="1"/>
  <c r="E263" i="63" s="1"/>
  <c r="E264" i="63" s="1"/>
  <c r="E265" i="63" s="1"/>
  <c r="E266" i="63" s="1"/>
  <c r="E267" i="63" s="1"/>
  <c r="E268" i="63" s="1"/>
  <c r="E269" i="63" s="1"/>
  <c r="D251" i="63"/>
  <c r="D250" i="63"/>
  <c r="D249" i="63"/>
  <c r="D248" i="63"/>
  <c r="D247" i="63"/>
  <c r="D246" i="63"/>
  <c r="D245" i="63"/>
  <c r="D244" i="63"/>
  <c r="E243" i="63"/>
  <c r="E244" i="63" s="1"/>
  <c r="E245" i="63" s="1"/>
  <c r="E246" i="63" s="1"/>
  <c r="E247" i="63" s="1"/>
  <c r="E248" i="63" s="1"/>
  <c r="E249" i="63" s="1"/>
  <c r="E250" i="63" s="1"/>
  <c r="E251" i="63" s="1"/>
  <c r="E252" i="63" s="1"/>
  <c r="E253" i="63" s="1"/>
  <c r="D243" i="63"/>
  <c r="E242" i="63"/>
  <c r="D242" i="63"/>
  <c r="D235" i="63"/>
  <c r="D234" i="63"/>
  <c r="D233" i="63"/>
  <c r="D232" i="63"/>
  <c r="D231" i="63"/>
  <c r="D230" i="63"/>
  <c r="D229" i="63"/>
  <c r="D228" i="63"/>
  <c r="D227" i="63"/>
  <c r="O226" i="63"/>
  <c r="L226" i="63"/>
  <c r="D226" i="63"/>
  <c r="O225" i="63"/>
  <c r="L225" i="63"/>
  <c r="D225" i="63"/>
  <c r="O224" i="63"/>
  <c r="L224" i="63"/>
  <c r="D224" i="63"/>
  <c r="O223" i="63"/>
  <c r="L223" i="63"/>
  <c r="D223" i="63"/>
  <c r="O222" i="63"/>
  <c r="L222" i="63"/>
  <c r="D222" i="63"/>
  <c r="O221" i="63"/>
  <c r="L221" i="63"/>
  <c r="D221" i="63"/>
  <c r="O220" i="63"/>
  <c r="L220" i="63"/>
  <c r="D220" i="63"/>
  <c r="O219" i="63"/>
  <c r="L219" i="63"/>
  <c r="D219" i="63"/>
  <c r="O218" i="63"/>
  <c r="L218" i="63"/>
  <c r="D218" i="63"/>
  <c r="O217" i="63"/>
  <c r="L217" i="63"/>
  <c r="O216" i="63"/>
  <c r="L216" i="63"/>
  <c r="O215" i="63"/>
  <c r="L215" i="63"/>
  <c r="O214" i="63"/>
  <c r="L214" i="63"/>
  <c r="D214" i="63"/>
  <c r="O213" i="63"/>
  <c r="L213" i="63"/>
  <c r="D213" i="63"/>
  <c r="O212" i="63"/>
  <c r="L212" i="63"/>
  <c r="D212" i="63"/>
  <c r="O211" i="63"/>
  <c r="L211" i="63"/>
  <c r="D211" i="63"/>
  <c r="O210" i="63"/>
  <c r="L210" i="63"/>
  <c r="D210" i="63"/>
  <c r="O209" i="63"/>
  <c r="L209" i="63"/>
  <c r="D209" i="63"/>
  <c r="D208" i="63"/>
  <c r="D207" i="63"/>
  <c r="D206" i="63"/>
  <c r="L205" i="63"/>
  <c r="D205" i="63"/>
  <c r="L204" i="63"/>
  <c r="D204" i="63"/>
  <c r="L203" i="63"/>
  <c r="D203" i="63"/>
  <c r="L202" i="63"/>
  <c r="D202" i="63"/>
  <c r="L201" i="63"/>
  <c r="D201" i="63"/>
  <c r="L200" i="63"/>
  <c r="D200" i="63"/>
  <c r="L199" i="63"/>
  <c r="D199" i="63"/>
  <c r="L198" i="63"/>
  <c r="L197" i="63"/>
  <c r="L196" i="63"/>
  <c r="L195" i="63"/>
  <c r="D195" i="63"/>
  <c r="L194" i="63"/>
  <c r="D194" i="63"/>
  <c r="L193" i="63"/>
  <c r="D193" i="63"/>
  <c r="L192" i="63"/>
  <c r="D192" i="63"/>
  <c r="D191" i="63"/>
  <c r="D190" i="63"/>
  <c r="D189" i="63"/>
  <c r="L188" i="63"/>
  <c r="D188" i="63"/>
  <c r="L187" i="63"/>
  <c r="D187" i="63"/>
  <c r="L186" i="63"/>
  <c r="D186" i="63"/>
  <c r="L185" i="63"/>
  <c r="D185" i="63"/>
  <c r="L184" i="63"/>
  <c r="D184" i="63"/>
  <c r="L183" i="63"/>
  <c r="D183" i="63"/>
  <c r="L182" i="63"/>
  <c r="D182" i="63"/>
  <c r="L181" i="63"/>
  <c r="D181" i="63"/>
  <c r="L180" i="63"/>
  <c r="D180" i="63"/>
  <c r="L179" i="63"/>
  <c r="D179" i="63"/>
  <c r="L178" i="63"/>
  <c r="L177" i="63"/>
  <c r="L176" i="63"/>
  <c r="L175" i="63"/>
  <c r="D175" i="63"/>
  <c r="L174" i="63"/>
  <c r="D174" i="63"/>
  <c r="L173" i="63"/>
  <c r="D173" i="63"/>
  <c r="T172" i="63"/>
  <c r="D172" i="63"/>
  <c r="T171" i="63"/>
  <c r="D171" i="63"/>
  <c r="T170" i="63"/>
  <c r="D170" i="63"/>
  <c r="T169" i="63"/>
  <c r="L169" i="63"/>
  <c r="D169" i="63"/>
  <c r="T168" i="63"/>
  <c r="L168" i="63"/>
  <c r="F168" i="63"/>
  <c r="H168" i="63" s="1"/>
  <c r="D168" i="63"/>
  <c r="T167" i="63"/>
  <c r="L167" i="63"/>
  <c r="D167" i="63"/>
  <c r="T166" i="63"/>
  <c r="L166" i="63"/>
  <c r="D166" i="63"/>
  <c r="T165" i="63"/>
  <c r="L165" i="63"/>
  <c r="D165" i="63"/>
  <c r="T164" i="63"/>
  <c r="L164" i="63"/>
  <c r="D164" i="63"/>
  <c r="L163" i="63"/>
  <c r="D163" i="63"/>
  <c r="L162" i="63"/>
  <c r="D162" i="63"/>
  <c r="L161" i="63"/>
  <c r="D161" i="63"/>
  <c r="T160" i="63"/>
  <c r="L160" i="63"/>
  <c r="V159" i="63"/>
  <c r="X159" i="63" s="1"/>
  <c r="T159" i="63"/>
  <c r="L159" i="63"/>
  <c r="T158" i="63"/>
  <c r="L158" i="63"/>
  <c r="T157" i="63"/>
  <c r="D157" i="63"/>
  <c r="V156" i="63"/>
  <c r="X156" i="63" s="1"/>
  <c r="T156" i="63"/>
  <c r="D156" i="63"/>
  <c r="T155" i="63"/>
  <c r="D155" i="63"/>
  <c r="T154" i="63"/>
  <c r="L154" i="63"/>
  <c r="D154" i="63"/>
  <c r="L153" i="63"/>
  <c r="D153" i="63"/>
  <c r="L152" i="63"/>
  <c r="D152" i="63"/>
  <c r="L151" i="63"/>
  <c r="D151" i="63"/>
  <c r="T150" i="63"/>
  <c r="L150" i="63"/>
  <c r="D150" i="63"/>
  <c r="T149" i="63"/>
  <c r="L149" i="63"/>
  <c r="D149" i="63"/>
  <c r="T148" i="63"/>
  <c r="L148" i="63"/>
  <c r="D148" i="63"/>
  <c r="T147" i="63"/>
  <c r="L147" i="63"/>
  <c r="D147" i="63"/>
  <c r="V146" i="63"/>
  <c r="X146" i="63" s="1"/>
  <c r="T146" i="63"/>
  <c r="L146" i="63"/>
  <c r="D146" i="63"/>
  <c r="T145" i="63"/>
  <c r="L145" i="63"/>
  <c r="D145" i="63"/>
  <c r="T144" i="63"/>
  <c r="L144" i="63"/>
  <c r="D144" i="63"/>
  <c r="T143" i="63"/>
  <c r="L143" i="63"/>
  <c r="D143" i="63"/>
  <c r="T139" i="63"/>
  <c r="L139" i="63"/>
  <c r="D139" i="63"/>
  <c r="V138" i="63"/>
  <c r="X138" i="63" s="1"/>
  <c r="T138" i="63"/>
  <c r="L138" i="63"/>
  <c r="D138" i="63"/>
  <c r="T137" i="63"/>
  <c r="L137" i="63"/>
  <c r="D137" i="63"/>
  <c r="T136" i="63"/>
  <c r="L136" i="63"/>
  <c r="F136" i="63"/>
  <c r="H136" i="63" s="1"/>
  <c r="D136" i="63"/>
  <c r="T135" i="63"/>
  <c r="L135" i="63"/>
  <c r="D135" i="63"/>
  <c r="T134" i="63"/>
  <c r="L134" i="63"/>
  <c r="D134" i="63"/>
  <c r="L133" i="63"/>
  <c r="D133" i="63"/>
  <c r="L132" i="63"/>
  <c r="D132" i="63"/>
  <c r="L131" i="63"/>
  <c r="D131" i="63"/>
  <c r="V130" i="63"/>
  <c r="X130" i="63" s="1"/>
  <c r="T130" i="63"/>
  <c r="L130" i="63"/>
  <c r="D130" i="63"/>
  <c r="T129" i="63"/>
  <c r="L129" i="63"/>
  <c r="D129" i="63"/>
  <c r="T128" i="63"/>
  <c r="L128" i="63"/>
  <c r="D128" i="63"/>
  <c r="T127" i="63"/>
  <c r="L127" i="63"/>
  <c r="D127" i="63"/>
  <c r="T126" i="63"/>
  <c r="L126" i="63"/>
  <c r="D126" i="63"/>
  <c r="T125" i="63"/>
  <c r="L125" i="63"/>
  <c r="D125" i="63"/>
  <c r="T124" i="63"/>
  <c r="L124" i="63"/>
  <c r="D124" i="63"/>
  <c r="T123" i="63"/>
  <c r="L123" i="63"/>
  <c r="D123" i="63"/>
  <c r="V122" i="63"/>
  <c r="T122" i="63"/>
  <c r="L122" i="63"/>
  <c r="D122" i="63"/>
  <c r="T118" i="63"/>
  <c r="L118" i="63"/>
  <c r="D118" i="63"/>
  <c r="T117" i="63"/>
  <c r="L117" i="63"/>
  <c r="D117" i="63"/>
  <c r="T116" i="63"/>
  <c r="L116" i="63"/>
  <c r="D116" i="63"/>
  <c r="T115" i="63"/>
  <c r="L115" i="63"/>
  <c r="D115" i="63"/>
  <c r="V114" i="63"/>
  <c r="X114" i="63" s="1"/>
  <c r="T114" i="63"/>
  <c r="L114" i="63"/>
  <c r="D114" i="63"/>
  <c r="T113" i="63"/>
  <c r="L113" i="63"/>
  <c r="D113" i="63"/>
  <c r="T112" i="63"/>
  <c r="L112" i="63"/>
  <c r="D112" i="63"/>
  <c r="T111" i="63"/>
  <c r="L111" i="63"/>
  <c r="D111" i="63"/>
  <c r="T110" i="63"/>
  <c r="L110" i="63"/>
  <c r="D110" i="63"/>
  <c r="L109" i="63"/>
  <c r="D109" i="63"/>
  <c r="L108" i="63"/>
  <c r="D108" i="63"/>
  <c r="L107" i="63"/>
  <c r="D107" i="63"/>
  <c r="V106" i="63"/>
  <c r="X106" i="63" s="1"/>
  <c r="T106" i="63"/>
  <c r="T105" i="63"/>
  <c r="V104" i="63"/>
  <c r="X104" i="63" s="1"/>
  <c r="T104" i="63"/>
  <c r="T103" i="63"/>
  <c r="L103" i="63"/>
  <c r="D103" i="63"/>
  <c r="T102" i="63"/>
  <c r="L102" i="63"/>
  <c r="D102" i="63"/>
  <c r="T101" i="63"/>
  <c r="N101" i="63"/>
  <c r="P101" i="63" s="1"/>
  <c r="L101" i="63"/>
  <c r="D101" i="63"/>
  <c r="L100" i="63"/>
  <c r="D100" i="63"/>
  <c r="L99" i="63"/>
  <c r="D99" i="63"/>
  <c r="L98" i="63"/>
  <c r="D98" i="63"/>
  <c r="T97" i="63"/>
  <c r="L97" i="63"/>
  <c r="D97" i="63"/>
  <c r="T96" i="63"/>
  <c r="L96" i="63"/>
  <c r="F96" i="63"/>
  <c r="H96" i="63" s="1"/>
  <c r="D96" i="63"/>
  <c r="T95" i="63"/>
  <c r="L95" i="63"/>
  <c r="D95" i="63"/>
  <c r="T94" i="63"/>
  <c r="L94" i="63"/>
  <c r="D94" i="63"/>
  <c r="T93" i="63"/>
  <c r="L93" i="63"/>
  <c r="D93" i="63"/>
  <c r="T92" i="63"/>
  <c r="L92" i="63"/>
  <c r="D92" i="63"/>
  <c r="T91" i="63"/>
  <c r="T90" i="63"/>
  <c r="T89" i="63"/>
  <c r="L88" i="63"/>
  <c r="D88" i="63"/>
  <c r="L87" i="63"/>
  <c r="D87" i="63"/>
  <c r="L86" i="63"/>
  <c r="D86" i="63"/>
  <c r="T85" i="63"/>
  <c r="L85" i="63"/>
  <c r="D85" i="63"/>
  <c r="T84" i="63"/>
  <c r="L84" i="63"/>
  <c r="D84" i="63"/>
  <c r="T83" i="63"/>
  <c r="L83" i="63"/>
  <c r="D83" i="63"/>
  <c r="V82" i="63"/>
  <c r="X82" i="63" s="1"/>
  <c r="T82" i="63"/>
  <c r="L82" i="63"/>
  <c r="D82" i="63"/>
  <c r="T81" i="63"/>
  <c r="L81" i="63"/>
  <c r="D81" i="63"/>
  <c r="T80" i="63"/>
  <c r="L80" i="63"/>
  <c r="F80" i="63"/>
  <c r="D80" i="63"/>
  <c r="T76" i="63"/>
  <c r="L76" i="63"/>
  <c r="D76" i="63"/>
  <c r="T75" i="63"/>
  <c r="L75" i="63"/>
  <c r="D75" i="63"/>
  <c r="V74" i="63"/>
  <c r="X74" i="63" s="1"/>
  <c r="T74" i="63"/>
  <c r="L74" i="63"/>
  <c r="D74" i="63"/>
  <c r="E70" i="63"/>
  <c r="V155" i="63" s="1"/>
  <c r="X155" i="63" s="1"/>
  <c r="E69" i="63"/>
  <c r="E65" i="63"/>
  <c r="B65" i="63"/>
  <c r="E64" i="63"/>
  <c r="B64" i="63"/>
  <c r="E63" i="63"/>
  <c r="K63" i="63" s="1"/>
  <c r="B63" i="63"/>
  <c r="K62" i="63"/>
  <c r="E62" i="63"/>
  <c r="J62" i="63" s="1"/>
  <c r="B62" i="63"/>
  <c r="E61" i="63"/>
  <c r="K61" i="63" s="1"/>
  <c r="B61" i="63"/>
  <c r="E60" i="63"/>
  <c r="J60" i="63" s="1"/>
  <c r="B60" i="63"/>
  <c r="E59" i="63"/>
  <c r="B59" i="63"/>
  <c r="E58" i="63"/>
  <c r="J58" i="63" s="1"/>
  <c r="B58" i="63"/>
  <c r="K57" i="63"/>
  <c r="E57" i="63"/>
  <c r="J57" i="63" s="1"/>
  <c r="B57" i="63"/>
  <c r="E56" i="63"/>
  <c r="J56" i="63" s="1"/>
  <c r="B56" i="63"/>
  <c r="E55" i="63"/>
  <c r="K55" i="63" s="1"/>
  <c r="B55" i="63"/>
  <c r="E54" i="63"/>
  <c r="B54" i="63"/>
  <c r="N50" i="63"/>
  <c r="M50" i="63"/>
  <c r="L50" i="63"/>
  <c r="K50" i="63"/>
  <c r="J50" i="63"/>
  <c r="I50" i="63"/>
  <c r="H50" i="63"/>
  <c r="G50" i="63"/>
  <c r="F50" i="63"/>
  <c r="E50" i="63"/>
  <c r="D50" i="63"/>
  <c r="C50" i="63"/>
  <c r="B50" i="63"/>
  <c r="P50" i="63" s="1"/>
  <c r="N49" i="63"/>
  <c r="M49" i="63"/>
  <c r="L49" i="63"/>
  <c r="K49" i="63"/>
  <c r="J49" i="63"/>
  <c r="I49" i="63"/>
  <c r="H49" i="63"/>
  <c r="G49" i="63"/>
  <c r="F49" i="63"/>
  <c r="E49" i="63"/>
  <c r="D49" i="63"/>
  <c r="C49" i="63"/>
  <c r="B49" i="63"/>
  <c r="P49" i="63" s="1"/>
  <c r="P48" i="63"/>
  <c r="N48" i="63"/>
  <c r="M48" i="63"/>
  <c r="L48" i="63"/>
  <c r="K48" i="63"/>
  <c r="J48" i="63"/>
  <c r="I48" i="63"/>
  <c r="H48" i="63"/>
  <c r="G48" i="63"/>
  <c r="F48" i="63"/>
  <c r="E48" i="63"/>
  <c r="D48" i="63"/>
  <c r="C48" i="63"/>
  <c r="B48" i="63"/>
  <c r="N47" i="63"/>
  <c r="M47" i="63"/>
  <c r="L47" i="63"/>
  <c r="K47" i="63"/>
  <c r="J47" i="63"/>
  <c r="I47" i="63"/>
  <c r="H47" i="63"/>
  <c r="G47" i="63"/>
  <c r="F47" i="63"/>
  <c r="E47" i="63"/>
  <c r="D47" i="63"/>
  <c r="C47" i="63"/>
  <c r="B47" i="63"/>
  <c r="P47" i="63" s="1"/>
  <c r="N46" i="63"/>
  <c r="M46" i="63"/>
  <c r="L46" i="63"/>
  <c r="K46" i="63"/>
  <c r="J46" i="63"/>
  <c r="I46" i="63"/>
  <c r="H46" i="63"/>
  <c r="G46" i="63"/>
  <c r="F46" i="63"/>
  <c r="E46" i="63"/>
  <c r="D46" i="63"/>
  <c r="C46" i="63"/>
  <c r="B46" i="63"/>
  <c r="P46" i="63" s="1"/>
  <c r="N45" i="63"/>
  <c r="M45" i="63"/>
  <c r="L45" i="63"/>
  <c r="K45" i="63"/>
  <c r="J45" i="63"/>
  <c r="I45" i="63"/>
  <c r="H45" i="63"/>
  <c r="G45" i="63"/>
  <c r="F45" i="63"/>
  <c r="E45" i="63"/>
  <c r="D45" i="63"/>
  <c r="C45" i="63"/>
  <c r="B45" i="63"/>
  <c r="P45" i="63" s="1"/>
  <c r="N44" i="63"/>
  <c r="M44" i="63"/>
  <c r="L44" i="63"/>
  <c r="K44" i="63"/>
  <c r="J44" i="63"/>
  <c r="I44" i="63"/>
  <c r="H44" i="63"/>
  <c r="G44" i="63"/>
  <c r="F44" i="63"/>
  <c r="E44" i="63"/>
  <c r="D44" i="63"/>
  <c r="C44" i="63"/>
  <c r="B44" i="63"/>
  <c r="P44" i="63" s="1"/>
  <c r="N43" i="63"/>
  <c r="M43" i="63"/>
  <c r="L43" i="63"/>
  <c r="K43" i="63"/>
  <c r="J43" i="63"/>
  <c r="I43" i="63"/>
  <c r="H43" i="63"/>
  <c r="G43" i="63"/>
  <c r="F43" i="63"/>
  <c r="E43" i="63"/>
  <c r="D43" i="63"/>
  <c r="C43" i="63"/>
  <c r="B43" i="63"/>
  <c r="P43" i="63" s="1"/>
  <c r="N42" i="63"/>
  <c r="M42" i="63"/>
  <c r="L42" i="63"/>
  <c r="K42" i="63"/>
  <c r="J42" i="63"/>
  <c r="I42" i="63"/>
  <c r="H42" i="63"/>
  <c r="G42" i="63"/>
  <c r="F42" i="63"/>
  <c r="E42" i="63"/>
  <c r="D42" i="63"/>
  <c r="C42" i="63"/>
  <c r="B42" i="63"/>
  <c r="P42" i="63" s="1"/>
  <c r="N41" i="63"/>
  <c r="M41" i="63"/>
  <c r="L41" i="63"/>
  <c r="K41" i="63"/>
  <c r="J41" i="63"/>
  <c r="I41" i="63"/>
  <c r="H41" i="63"/>
  <c r="G41" i="63"/>
  <c r="F41" i="63"/>
  <c r="E41" i="63"/>
  <c r="D41" i="63"/>
  <c r="C41" i="63"/>
  <c r="B41" i="63"/>
  <c r="P41" i="63" s="1"/>
  <c r="N40" i="63"/>
  <c r="M40" i="63"/>
  <c r="L40" i="63"/>
  <c r="K40" i="63"/>
  <c r="J40" i="63"/>
  <c r="I40" i="63"/>
  <c r="H40" i="63"/>
  <c r="G40" i="63"/>
  <c r="F40" i="63"/>
  <c r="E40" i="63"/>
  <c r="D40" i="63"/>
  <c r="C40" i="63"/>
  <c r="B40" i="63"/>
  <c r="P40" i="63" s="1"/>
  <c r="I36" i="63"/>
  <c r="H36" i="63"/>
  <c r="G36" i="63"/>
  <c r="I35" i="63"/>
  <c r="H35" i="63"/>
  <c r="G35" i="63"/>
  <c r="I34" i="63"/>
  <c r="H34" i="63"/>
  <c r="G34" i="63"/>
  <c r="I33" i="63"/>
  <c r="H33" i="63"/>
  <c r="G33" i="63"/>
  <c r="I32" i="63"/>
  <c r="H32" i="63"/>
  <c r="G32" i="63"/>
  <c r="I31" i="63"/>
  <c r="H31" i="63"/>
  <c r="G31" i="63"/>
  <c r="I30" i="63"/>
  <c r="H30" i="63"/>
  <c r="G30" i="63"/>
  <c r="I29" i="63"/>
  <c r="H29" i="63"/>
  <c r="G29" i="63"/>
  <c r="I25" i="63"/>
  <c r="H25" i="63"/>
  <c r="G25" i="63"/>
  <c r="I24" i="63"/>
  <c r="H24" i="63"/>
  <c r="G24" i="63"/>
  <c r="I23" i="63"/>
  <c r="H23" i="63"/>
  <c r="G23" i="63"/>
  <c r="I22" i="63"/>
  <c r="H22" i="63"/>
  <c r="G22" i="63"/>
  <c r="I21" i="63"/>
  <c r="H21" i="63"/>
  <c r="G21" i="63"/>
  <c r="I20" i="63"/>
  <c r="H20" i="63"/>
  <c r="G20" i="63"/>
  <c r="I19" i="63"/>
  <c r="H19" i="63"/>
  <c r="G19" i="63"/>
  <c r="I18" i="63"/>
  <c r="H18" i="63"/>
  <c r="G18" i="63"/>
  <c r="I17" i="63"/>
  <c r="H17" i="63"/>
  <c r="G17" i="63"/>
  <c r="G13" i="63"/>
  <c r="H13" i="63" s="1"/>
  <c r="A13" i="63"/>
  <c r="G12" i="63"/>
  <c r="H12" i="63" s="1"/>
  <c r="A12" i="63"/>
  <c r="L11" i="63"/>
  <c r="K11" i="63"/>
  <c r="H11" i="63"/>
  <c r="G11" i="63"/>
  <c r="A11" i="63"/>
  <c r="L10" i="63"/>
  <c r="K10" i="63"/>
  <c r="G10" i="63"/>
  <c r="H10" i="63" s="1"/>
  <c r="A10" i="63"/>
  <c r="L9" i="63"/>
  <c r="K9" i="63"/>
  <c r="H9" i="63"/>
  <c r="G9" i="63"/>
  <c r="A9" i="63"/>
  <c r="L8" i="63"/>
  <c r="K8" i="63"/>
  <c r="F8" i="63"/>
  <c r="G8" i="63" s="1"/>
  <c r="H8" i="63" s="1"/>
  <c r="E8" i="63"/>
  <c r="C8" i="63"/>
  <c r="A8" i="63" s="1"/>
  <c r="L7" i="63"/>
  <c r="K7" i="63"/>
  <c r="F7" i="63"/>
  <c r="E7" i="63"/>
  <c r="C7" i="63"/>
  <c r="A7" i="63" s="1"/>
  <c r="L6" i="63"/>
  <c r="K6" i="63"/>
  <c r="F6" i="63"/>
  <c r="E6" i="63"/>
  <c r="C6" i="63"/>
  <c r="A6" i="63" s="1"/>
  <c r="L5" i="63"/>
  <c r="K5" i="63"/>
  <c r="F5" i="63"/>
  <c r="E5" i="63"/>
  <c r="G5" i="63" s="1"/>
  <c r="H5" i="63" s="1"/>
  <c r="C5" i="63"/>
  <c r="A5" i="63" s="1"/>
  <c r="L4" i="63"/>
  <c r="K4" i="63"/>
  <c r="F4" i="63"/>
  <c r="E4" i="63"/>
  <c r="G4" i="63" s="1"/>
  <c r="H4" i="63" s="1"/>
  <c r="C4" i="63"/>
  <c r="A4" i="63" s="1"/>
  <c r="C115" i="56"/>
  <c r="C114" i="56"/>
  <c r="C113" i="56"/>
  <c r="C112" i="56"/>
  <c r="C111" i="56"/>
  <c r="C110" i="56"/>
  <c r="C109" i="56"/>
  <c r="C108" i="56"/>
  <c r="C107" i="56"/>
  <c r="C106" i="56"/>
  <c r="C105" i="56"/>
  <c r="C104" i="56"/>
  <c r="C103" i="56"/>
  <c r="C102" i="56"/>
  <c r="C101" i="56"/>
  <c r="C100" i="56"/>
  <c r="C99" i="56"/>
  <c r="C98" i="56"/>
  <c r="C97" i="56"/>
  <c r="C96" i="56"/>
  <c r="C95" i="56"/>
  <c r="C94" i="56"/>
  <c r="C93" i="56"/>
  <c r="C92" i="56"/>
  <c r="C91" i="56"/>
  <c r="C90" i="56"/>
  <c r="C89" i="56"/>
  <c r="C88" i="56"/>
  <c r="C87" i="56"/>
  <c r="C86" i="56"/>
  <c r="C85" i="56"/>
  <c r="C84" i="56"/>
  <c r="C83" i="56"/>
  <c r="C82" i="56"/>
  <c r="C81" i="56"/>
  <c r="C80" i="56"/>
  <c r="C79" i="56"/>
  <c r="C78" i="56"/>
  <c r="C77" i="56"/>
  <c r="C76" i="56"/>
  <c r="C75" i="56"/>
  <c r="C74" i="56"/>
  <c r="C73" i="56"/>
  <c r="C72" i="56"/>
  <c r="C71" i="56"/>
  <c r="C70" i="56"/>
  <c r="C69" i="56"/>
  <c r="C68" i="56"/>
  <c r="C67" i="56"/>
  <c r="C66" i="56"/>
  <c r="C65" i="56"/>
  <c r="C64" i="56"/>
  <c r="C63" i="56"/>
  <c r="C62" i="56"/>
  <c r="C61" i="56"/>
  <c r="C60" i="56"/>
  <c r="C59" i="56"/>
  <c r="C58" i="56"/>
  <c r="C57" i="56"/>
  <c r="C56" i="56"/>
  <c r="C55" i="56"/>
  <c r="C54" i="56"/>
  <c r="C53" i="56"/>
  <c r="C52" i="56"/>
  <c r="C51" i="56"/>
  <c r="C50" i="56"/>
  <c r="C49" i="56"/>
  <c r="C48" i="56"/>
  <c r="C47" i="56"/>
  <c r="C46" i="56"/>
  <c r="C45" i="56"/>
  <c r="C44" i="56"/>
  <c r="C43" i="56"/>
  <c r="C42" i="56"/>
  <c r="C41" i="56"/>
  <c r="C40" i="56"/>
  <c r="C39" i="56"/>
  <c r="C38" i="56"/>
  <c r="C37" i="56"/>
  <c r="C36" i="56"/>
  <c r="C35" i="56"/>
  <c r="C34" i="56"/>
  <c r="C33" i="56"/>
  <c r="C32" i="56"/>
  <c r="C31" i="56"/>
  <c r="C30" i="56"/>
  <c r="C29" i="56"/>
  <c r="C28" i="56"/>
  <c r="C27" i="56"/>
  <c r="C26" i="56"/>
  <c r="C25" i="56"/>
  <c r="C24" i="56"/>
  <c r="C23" i="56"/>
  <c r="C22" i="56"/>
  <c r="C21" i="56"/>
  <c r="C20" i="56"/>
  <c r="C19" i="56"/>
  <c r="C18" i="56"/>
  <c r="C17" i="56"/>
  <c r="C16" i="56"/>
  <c r="C15" i="56"/>
  <c r="C14" i="56"/>
  <c r="C13" i="56"/>
  <c r="C12" i="56"/>
  <c r="C11" i="56"/>
  <c r="C10" i="56"/>
  <c r="C9" i="56"/>
  <c r="C8" i="56"/>
  <c r="C7" i="56"/>
  <c r="C6" i="56"/>
  <c r="C5" i="56"/>
  <c r="C4" i="56"/>
  <c r="C3" i="56"/>
  <c r="C2" i="56"/>
  <c r="Q47" i="30"/>
  <c r="P45" i="30"/>
  <c r="O45" i="30"/>
  <c r="Q44" i="30"/>
  <c r="O44" i="30"/>
  <c r="J44" i="30"/>
  <c r="M44" i="30" s="1"/>
  <c r="Q43" i="30"/>
  <c r="Q45" i="30" s="1"/>
  <c r="P43" i="30"/>
  <c r="O43" i="30"/>
  <c r="Q42" i="30"/>
  <c r="Q46" i="30" s="1"/>
  <c r="P42" i="30"/>
  <c r="P44" i="30" s="1"/>
  <c r="O42" i="30"/>
  <c r="Q41" i="30"/>
  <c r="P41" i="30"/>
  <c r="P47" i="30" s="1"/>
  <c r="O41" i="30"/>
  <c r="O47" i="30" s="1"/>
  <c r="R35" i="30"/>
  <c r="R34" i="30"/>
  <c r="R33" i="30"/>
  <c r="R32" i="30"/>
  <c r="R31" i="30"/>
  <c r="R30" i="30"/>
  <c r="R29" i="30"/>
  <c r="R28" i="30"/>
  <c r="AJ27" i="30"/>
  <c r="AI27" i="30"/>
  <c r="R27" i="30"/>
  <c r="R26" i="30"/>
  <c r="AG24" i="30"/>
  <c r="AF24" i="30"/>
  <c r="AG23" i="30"/>
  <c r="AF23" i="30"/>
  <c r="AG22" i="30"/>
  <c r="AF22" i="30"/>
  <c r="AG21" i="30"/>
  <c r="AF21" i="30"/>
  <c r="F21" i="30"/>
  <c r="AG20" i="30"/>
  <c r="AF20" i="30"/>
  <c r="E20" i="30"/>
  <c r="AC17" i="30"/>
  <c r="AC16" i="30"/>
  <c r="AC15" i="30"/>
  <c r="F15" i="30"/>
  <c r="H15" i="30" s="1"/>
  <c r="AC14" i="30"/>
  <c r="I14" i="30"/>
  <c r="K46" i="30" s="1"/>
  <c r="N46" i="30" s="1"/>
  <c r="H14" i="30"/>
  <c r="J46" i="30" s="1"/>
  <c r="M46" i="30" s="1"/>
  <c r="F14" i="30"/>
  <c r="G14" i="30" s="1"/>
  <c r="AC13" i="30"/>
  <c r="H13" i="30"/>
  <c r="F13" i="30"/>
  <c r="AC12" i="30"/>
  <c r="F12" i="30"/>
  <c r="AC11" i="30"/>
  <c r="AC10" i="30"/>
  <c r="AC9" i="30"/>
  <c r="AC8" i="30"/>
  <c r="AC7" i="30"/>
  <c r="AC6" i="30"/>
  <c r="C6" i="30"/>
  <c r="AC5" i="30"/>
  <c r="C5" i="30"/>
  <c r="AC4" i="30"/>
  <c r="C4" i="30"/>
  <c r="AC3" i="30"/>
  <c r="AC2" i="30"/>
  <c r="C2" i="30"/>
  <c r="E21" i="30" s="1"/>
  <c r="O124" i="55"/>
  <c r="K124" i="55"/>
  <c r="O123" i="55"/>
  <c r="K123" i="55"/>
  <c r="F123" i="55" s="1"/>
  <c r="G123" i="55" s="1"/>
  <c r="O122" i="55"/>
  <c r="K122" i="55"/>
  <c r="G122" i="55"/>
  <c r="F122" i="55"/>
  <c r="O121" i="55"/>
  <c r="L121" i="55"/>
  <c r="K121" i="55"/>
  <c r="F121" i="55" s="1"/>
  <c r="G121" i="55"/>
  <c r="O120" i="55"/>
  <c r="L120" i="55"/>
  <c r="K120" i="55"/>
  <c r="O119" i="55"/>
  <c r="L119" i="55"/>
  <c r="K119" i="55"/>
  <c r="F119" i="55" s="1"/>
  <c r="G119" i="55" s="1"/>
  <c r="O118" i="55"/>
  <c r="L118" i="55"/>
  <c r="K118" i="55"/>
  <c r="G118" i="55"/>
  <c r="F118" i="55"/>
  <c r="O117" i="55"/>
  <c r="L117" i="55"/>
  <c r="K117" i="55"/>
  <c r="F117" i="55" s="1"/>
  <c r="G117" i="55" s="1"/>
  <c r="O116" i="55"/>
  <c r="L116" i="55"/>
  <c r="K116" i="55"/>
  <c r="O115" i="55"/>
  <c r="K115" i="55"/>
  <c r="F115" i="55" s="1"/>
  <c r="G115" i="55" s="1"/>
  <c r="O114" i="55"/>
  <c r="K114" i="55"/>
  <c r="G114" i="55"/>
  <c r="F114" i="55"/>
  <c r="O113" i="55"/>
  <c r="K113" i="55"/>
  <c r="F113" i="55" s="1"/>
  <c r="G113" i="55" s="1"/>
  <c r="O112" i="55"/>
  <c r="K112" i="55"/>
  <c r="D112" i="55"/>
  <c r="O111" i="55"/>
  <c r="K111" i="55"/>
  <c r="F111" i="55" s="1"/>
  <c r="G111" i="55" s="1"/>
  <c r="D111" i="55"/>
  <c r="O110" i="55"/>
  <c r="K110" i="55"/>
  <c r="G110" i="55"/>
  <c r="F110" i="55"/>
  <c r="D110" i="55"/>
  <c r="O109" i="55"/>
  <c r="K109" i="55"/>
  <c r="F109" i="55" s="1"/>
  <c r="G109" i="55"/>
  <c r="O108" i="55"/>
  <c r="K108" i="55"/>
  <c r="O107" i="55"/>
  <c r="K107" i="55"/>
  <c r="F107" i="55" s="1"/>
  <c r="G107" i="55" s="1"/>
  <c r="O106" i="55"/>
  <c r="K106" i="55"/>
  <c r="F106" i="55" s="1"/>
  <c r="G106" i="55" s="1"/>
  <c r="O105" i="55"/>
  <c r="K105" i="55"/>
  <c r="F105" i="55" s="1"/>
  <c r="G105" i="55" s="1"/>
  <c r="O104" i="55"/>
  <c r="K104" i="55"/>
  <c r="O103" i="55"/>
  <c r="L103" i="55"/>
  <c r="K103" i="55"/>
  <c r="F103" i="55" s="1"/>
  <c r="G103" i="55" s="1"/>
  <c r="D103" i="55"/>
  <c r="O102" i="55"/>
  <c r="L102" i="55"/>
  <c r="K102" i="55"/>
  <c r="F102" i="55" s="1"/>
  <c r="G102" i="55" s="1"/>
  <c r="D102" i="55"/>
  <c r="O101" i="55"/>
  <c r="L101" i="55"/>
  <c r="K101" i="55"/>
  <c r="F101" i="55" s="1"/>
  <c r="G101" i="55"/>
  <c r="D101" i="55"/>
  <c r="O100" i="55"/>
  <c r="K100" i="55"/>
  <c r="D100" i="55"/>
  <c r="O99" i="55"/>
  <c r="K99" i="55"/>
  <c r="D99" i="55"/>
  <c r="O98" i="55"/>
  <c r="M98" i="55"/>
  <c r="B98" i="55" s="1"/>
  <c r="K98" i="55"/>
  <c r="F98" i="55" s="1"/>
  <c r="G98" i="55" s="1"/>
  <c r="D98" i="55"/>
  <c r="O97" i="55"/>
  <c r="L97" i="55"/>
  <c r="K97" i="55"/>
  <c r="F97" i="55" s="1"/>
  <c r="G97" i="55" s="1"/>
  <c r="D97" i="55"/>
  <c r="O96" i="55"/>
  <c r="K96" i="55"/>
  <c r="D96" i="55"/>
  <c r="O95" i="55"/>
  <c r="K95" i="55"/>
  <c r="D95" i="55"/>
  <c r="O94" i="55"/>
  <c r="L94" i="55"/>
  <c r="K94" i="55"/>
  <c r="F94" i="55" s="1"/>
  <c r="G94" i="55"/>
  <c r="D94" i="55"/>
  <c r="O93" i="55"/>
  <c r="L93" i="55"/>
  <c r="K93" i="55"/>
  <c r="D93" i="55"/>
  <c r="O92" i="55"/>
  <c r="L92" i="55"/>
  <c r="K92" i="55"/>
  <c r="D92" i="55"/>
  <c r="O91" i="55"/>
  <c r="L91" i="55"/>
  <c r="K91" i="55"/>
  <c r="D91" i="55"/>
  <c r="O90" i="55"/>
  <c r="L90" i="55"/>
  <c r="K90" i="55"/>
  <c r="D90" i="55"/>
  <c r="O89" i="55"/>
  <c r="L89" i="55"/>
  <c r="K89" i="55"/>
  <c r="D89" i="55"/>
  <c r="O88" i="55"/>
  <c r="K88" i="55"/>
  <c r="I88" i="55"/>
  <c r="G88" i="55"/>
  <c r="F88" i="55"/>
  <c r="D88" i="55"/>
  <c r="O87" i="55"/>
  <c r="K87" i="55"/>
  <c r="D87" i="55"/>
  <c r="O86" i="55"/>
  <c r="K86" i="55"/>
  <c r="F86" i="55" s="1"/>
  <c r="G86" i="55"/>
  <c r="D86" i="55"/>
  <c r="O85" i="55"/>
  <c r="K85" i="55"/>
  <c r="F85" i="55"/>
  <c r="G85" i="55" s="1"/>
  <c r="D85" i="55"/>
  <c r="O84" i="55"/>
  <c r="K84" i="55"/>
  <c r="G84" i="55"/>
  <c r="F84" i="55"/>
  <c r="D84" i="55"/>
  <c r="O83" i="55"/>
  <c r="K83" i="55"/>
  <c r="F83" i="55" s="1"/>
  <c r="I83" i="55"/>
  <c r="G83" i="55"/>
  <c r="D83" i="55"/>
  <c r="O82" i="55"/>
  <c r="K82" i="55"/>
  <c r="D82" i="55"/>
  <c r="O81" i="55"/>
  <c r="K81" i="55"/>
  <c r="D81" i="55"/>
  <c r="O80" i="55"/>
  <c r="K80" i="55"/>
  <c r="D80" i="55"/>
  <c r="O79" i="55"/>
  <c r="M79" i="55"/>
  <c r="B79" i="55" s="1"/>
  <c r="K79" i="55"/>
  <c r="F79" i="55" s="1"/>
  <c r="G79" i="55" s="1"/>
  <c r="D79" i="55"/>
  <c r="O78" i="55"/>
  <c r="K78" i="55"/>
  <c r="F78" i="55"/>
  <c r="G78" i="55" s="1"/>
  <c r="D78" i="55"/>
  <c r="O77" i="55"/>
  <c r="N77" i="55"/>
  <c r="K77" i="55"/>
  <c r="D77" i="55"/>
  <c r="O76" i="55"/>
  <c r="K76" i="55"/>
  <c r="F76" i="55"/>
  <c r="G76" i="55" s="1"/>
  <c r="D76" i="55"/>
  <c r="O75" i="55"/>
  <c r="K75" i="55"/>
  <c r="F75" i="55" s="1"/>
  <c r="G75" i="55" s="1"/>
  <c r="D75" i="55"/>
  <c r="O74" i="55"/>
  <c r="K74" i="55"/>
  <c r="M74" i="55" s="1"/>
  <c r="B74" i="55" s="1"/>
  <c r="F74" i="55"/>
  <c r="G74" i="55" s="1"/>
  <c r="D74" i="55"/>
  <c r="O73" i="55"/>
  <c r="K73" i="55"/>
  <c r="F73" i="55"/>
  <c r="G73" i="55" s="1"/>
  <c r="D73" i="55"/>
  <c r="O72" i="55"/>
  <c r="K72" i="55"/>
  <c r="D72" i="55"/>
  <c r="O71" i="55"/>
  <c r="K71" i="55"/>
  <c r="D71" i="55"/>
  <c r="O70" i="55"/>
  <c r="K70" i="55"/>
  <c r="O69" i="55"/>
  <c r="K69" i="55"/>
  <c r="F69" i="55" s="1"/>
  <c r="G69" i="55" s="1"/>
  <c r="O68" i="55"/>
  <c r="K68" i="55"/>
  <c r="N68" i="55" s="1"/>
  <c r="F68" i="55"/>
  <c r="G68" i="55" s="1"/>
  <c r="O67" i="55"/>
  <c r="K67" i="55"/>
  <c r="F67" i="55" s="1"/>
  <c r="I67" i="55"/>
  <c r="G67" i="55"/>
  <c r="O66" i="55"/>
  <c r="K66" i="55"/>
  <c r="O65" i="55"/>
  <c r="N65" i="55"/>
  <c r="K65" i="55"/>
  <c r="F65" i="55" s="1"/>
  <c r="G65" i="55" s="1"/>
  <c r="O64" i="55"/>
  <c r="K64" i="55"/>
  <c r="F64" i="55"/>
  <c r="G64" i="55" s="1"/>
  <c r="O63" i="55"/>
  <c r="K63" i="55"/>
  <c r="F63" i="55" s="1"/>
  <c r="G63" i="55" s="1"/>
  <c r="I63" i="55"/>
  <c r="O62" i="55"/>
  <c r="K62" i="55"/>
  <c r="O61" i="55"/>
  <c r="N61" i="55"/>
  <c r="K61" i="55"/>
  <c r="F61" i="55" s="1"/>
  <c r="G61" i="55" s="1"/>
  <c r="O60" i="55"/>
  <c r="M60" i="55"/>
  <c r="B60" i="55" s="1"/>
  <c r="K60" i="55"/>
  <c r="F60" i="55"/>
  <c r="G60" i="55" s="1"/>
  <c r="D60" i="55"/>
  <c r="O59" i="55"/>
  <c r="K59" i="55"/>
  <c r="F59" i="55" s="1"/>
  <c r="G59" i="55"/>
  <c r="O58" i="55"/>
  <c r="K58" i="55"/>
  <c r="O57" i="55"/>
  <c r="N57" i="55"/>
  <c r="K57" i="55"/>
  <c r="F57" i="55" s="1"/>
  <c r="G57" i="55"/>
  <c r="O56" i="55"/>
  <c r="K56" i="55"/>
  <c r="F56" i="55"/>
  <c r="G56" i="55" s="1"/>
  <c r="O55" i="55"/>
  <c r="M55" i="55"/>
  <c r="B55" i="55" s="1"/>
  <c r="K55" i="55"/>
  <c r="F55" i="55" s="1"/>
  <c r="G55" i="55" s="1"/>
  <c r="D55" i="55"/>
  <c r="O54" i="55"/>
  <c r="K54" i="55"/>
  <c r="D54" i="55"/>
  <c r="O53" i="55"/>
  <c r="K53" i="55"/>
  <c r="D53" i="55"/>
  <c r="O52" i="55"/>
  <c r="K52" i="55"/>
  <c r="F52" i="55" s="1"/>
  <c r="G52" i="55" s="1"/>
  <c r="O51" i="55"/>
  <c r="K51" i="55"/>
  <c r="F51" i="55" s="1"/>
  <c r="G51" i="55" s="1"/>
  <c r="O50" i="55"/>
  <c r="K50" i="55"/>
  <c r="O49" i="55"/>
  <c r="K49" i="55"/>
  <c r="F49" i="55" s="1"/>
  <c r="G49" i="55"/>
  <c r="O48" i="55"/>
  <c r="M48" i="55"/>
  <c r="B48" i="55" s="1"/>
  <c r="D48" i="55" s="1"/>
  <c r="K48" i="55"/>
  <c r="F48" i="55" s="1"/>
  <c r="G48" i="55" s="1"/>
  <c r="O47" i="55"/>
  <c r="M47" i="55"/>
  <c r="B47" i="55" s="1"/>
  <c r="D47" i="55" s="1"/>
  <c r="L47" i="55" s="1"/>
  <c r="K47" i="55"/>
  <c r="F47" i="55" s="1"/>
  <c r="I47" i="55"/>
  <c r="G47" i="55"/>
  <c r="O46" i="55"/>
  <c r="K46" i="55"/>
  <c r="O45" i="55"/>
  <c r="K45" i="55"/>
  <c r="F45" i="55" s="1"/>
  <c r="G45" i="55" s="1"/>
  <c r="O44" i="55"/>
  <c r="M44" i="55"/>
  <c r="B44" i="55" s="1"/>
  <c r="D44" i="55" s="1"/>
  <c r="K44" i="55"/>
  <c r="F44" i="55" s="1"/>
  <c r="G44" i="55" s="1"/>
  <c r="AJ43" i="55"/>
  <c r="AI43" i="55"/>
  <c r="O43" i="55"/>
  <c r="M43" i="55"/>
  <c r="B43" i="55" s="1"/>
  <c r="D43" i="55" s="1"/>
  <c r="K43" i="55"/>
  <c r="AJ42" i="55"/>
  <c r="AI42" i="55"/>
  <c r="O42" i="55"/>
  <c r="K42" i="55"/>
  <c r="F42" i="55"/>
  <c r="G42" i="55" s="1"/>
  <c r="AJ41" i="55"/>
  <c r="AI41" i="55"/>
  <c r="O41" i="55"/>
  <c r="K41" i="55"/>
  <c r="AJ40" i="55"/>
  <c r="AI40" i="55"/>
  <c r="O40" i="55"/>
  <c r="K40" i="55"/>
  <c r="F40" i="55"/>
  <c r="G40" i="55" s="1"/>
  <c r="AJ39" i="55"/>
  <c r="AI39" i="55"/>
  <c r="O39" i="55"/>
  <c r="K39" i="55"/>
  <c r="AJ38" i="55"/>
  <c r="AI38" i="55"/>
  <c r="O38" i="55"/>
  <c r="M38" i="55"/>
  <c r="B38" i="55" s="1"/>
  <c r="K38" i="55"/>
  <c r="F38" i="55" s="1"/>
  <c r="G38" i="55" s="1"/>
  <c r="D38" i="55"/>
  <c r="AJ37" i="55"/>
  <c r="AI37" i="55"/>
  <c r="O37" i="55"/>
  <c r="K37" i="55"/>
  <c r="AJ36" i="55"/>
  <c r="AI36" i="55"/>
  <c r="O36" i="55"/>
  <c r="N36" i="55"/>
  <c r="K36" i="55"/>
  <c r="F36" i="55" s="1"/>
  <c r="G36" i="55" s="1"/>
  <c r="I36" i="55"/>
  <c r="AJ35" i="55"/>
  <c r="AI35" i="55"/>
  <c r="O35" i="55"/>
  <c r="N35" i="55"/>
  <c r="K35" i="55"/>
  <c r="F35" i="55" s="1"/>
  <c r="G35" i="55"/>
  <c r="AJ34" i="55"/>
  <c r="AI34" i="55"/>
  <c r="O34" i="55"/>
  <c r="K34" i="55"/>
  <c r="F34" i="55" s="1"/>
  <c r="G34" i="55" s="1"/>
  <c r="AJ33" i="55"/>
  <c r="AI33" i="55"/>
  <c r="O33" i="55"/>
  <c r="K33" i="55"/>
  <c r="F33" i="55" s="1"/>
  <c r="G33" i="55" s="1"/>
  <c r="AJ32" i="55"/>
  <c r="I91" i="55" s="1"/>
  <c r="AI32" i="55"/>
  <c r="O32" i="55"/>
  <c r="K32" i="55"/>
  <c r="M32" i="55" s="1"/>
  <c r="B32" i="55"/>
  <c r="D32" i="55" s="1"/>
  <c r="AJ31" i="55"/>
  <c r="I86" i="55" s="1"/>
  <c r="AI31" i="55"/>
  <c r="O31" i="55"/>
  <c r="M31" i="55"/>
  <c r="B31" i="55" s="1"/>
  <c r="D31" i="55" s="1"/>
  <c r="K31" i="55"/>
  <c r="F31" i="55" s="1"/>
  <c r="G31" i="55" s="1"/>
  <c r="I31" i="55"/>
  <c r="AJ30" i="55"/>
  <c r="AI30" i="55"/>
  <c r="O30" i="55"/>
  <c r="M30" i="55"/>
  <c r="B30" i="55" s="1"/>
  <c r="K30" i="55"/>
  <c r="F30" i="55" s="1"/>
  <c r="G30" i="55" s="1"/>
  <c r="I30" i="55"/>
  <c r="D30" i="55"/>
  <c r="L30" i="55" s="1"/>
  <c r="AJ29" i="55"/>
  <c r="AI29" i="55"/>
  <c r="O29" i="55"/>
  <c r="K29" i="55"/>
  <c r="AJ28" i="55"/>
  <c r="AI28" i="55"/>
  <c r="O28" i="55"/>
  <c r="N28" i="55"/>
  <c r="K28" i="55"/>
  <c r="F28" i="55" s="1"/>
  <c r="G28" i="55" s="1"/>
  <c r="I28" i="55"/>
  <c r="AJ27" i="55"/>
  <c r="AI27" i="55"/>
  <c r="O27" i="55"/>
  <c r="N27" i="55"/>
  <c r="K27" i="55"/>
  <c r="F27" i="55" s="1"/>
  <c r="G27" i="55"/>
  <c r="AJ26" i="55"/>
  <c r="AI26" i="55"/>
  <c r="O26" i="55"/>
  <c r="K26" i="55"/>
  <c r="F26" i="55"/>
  <c r="G26" i="55" s="1"/>
  <c r="AJ25" i="55"/>
  <c r="AI25" i="55"/>
  <c r="O25" i="55"/>
  <c r="K25" i="55"/>
  <c r="F25" i="55" s="1"/>
  <c r="G25" i="55" s="1"/>
  <c r="I25" i="55"/>
  <c r="AJ24" i="55"/>
  <c r="AI24" i="55"/>
  <c r="O24" i="55"/>
  <c r="N24" i="55"/>
  <c r="K24" i="55"/>
  <c r="M24" i="55" s="1"/>
  <c r="B24" i="55"/>
  <c r="D24" i="55" s="1"/>
  <c r="AJ23" i="55"/>
  <c r="AI23" i="55"/>
  <c r="W23" i="55"/>
  <c r="O23" i="55"/>
  <c r="N23" i="55"/>
  <c r="K23" i="55"/>
  <c r="I23" i="55"/>
  <c r="AJ22" i="55"/>
  <c r="AI22" i="55"/>
  <c r="W22" i="55"/>
  <c r="O22" i="55"/>
  <c r="M22" i="55"/>
  <c r="B22" i="55" s="1"/>
  <c r="K22" i="55"/>
  <c r="F22" i="55" s="1"/>
  <c r="G22" i="55" s="1"/>
  <c r="D22" i="55"/>
  <c r="AJ21" i="55"/>
  <c r="AI21" i="55"/>
  <c r="W21" i="55"/>
  <c r="O21" i="55"/>
  <c r="M21" i="55"/>
  <c r="B21" i="55" s="1"/>
  <c r="K21" i="55"/>
  <c r="I21" i="55"/>
  <c r="G21" i="55"/>
  <c r="F21" i="55"/>
  <c r="D21" i="55"/>
  <c r="AJ20" i="55"/>
  <c r="AI20" i="55"/>
  <c r="W20" i="55"/>
  <c r="O20" i="55"/>
  <c r="N20" i="55"/>
  <c r="K20" i="55"/>
  <c r="F20" i="55" s="1"/>
  <c r="G20" i="55" s="1"/>
  <c r="I20" i="55"/>
  <c r="D20" i="55"/>
  <c r="AJ19" i="55"/>
  <c r="AI19" i="55"/>
  <c r="W19" i="55"/>
  <c r="O19" i="55"/>
  <c r="N19" i="55"/>
  <c r="K19" i="55"/>
  <c r="I19" i="55"/>
  <c r="AJ18" i="55"/>
  <c r="I49" i="55" s="1"/>
  <c r="AI18" i="55"/>
  <c r="W18" i="55"/>
  <c r="O18" i="55"/>
  <c r="N18" i="55"/>
  <c r="K18" i="55"/>
  <c r="F18" i="55" s="1"/>
  <c r="G18" i="55"/>
  <c r="AJ17" i="55"/>
  <c r="AI17" i="55"/>
  <c r="W17" i="55"/>
  <c r="O17" i="55"/>
  <c r="K17" i="55"/>
  <c r="I17" i="55"/>
  <c r="AJ16" i="55"/>
  <c r="AI16" i="55"/>
  <c r="W16" i="55"/>
  <c r="N3" i="55" s="1"/>
  <c r="O16" i="55"/>
  <c r="N16" i="55"/>
  <c r="K16" i="55"/>
  <c r="M16" i="55" s="1"/>
  <c r="B16" i="55"/>
  <c r="D16" i="55" s="1"/>
  <c r="L16" i="55" s="1"/>
  <c r="AJ15" i="55"/>
  <c r="I39" i="55" s="1"/>
  <c r="AI15" i="55"/>
  <c r="W15" i="55"/>
  <c r="N21" i="55" s="1"/>
  <c r="O15" i="55"/>
  <c r="N15" i="55"/>
  <c r="K15" i="55"/>
  <c r="I15" i="55"/>
  <c r="AJ14" i="55"/>
  <c r="I35" i="55" s="1"/>
  <c r="AI14" i="55"/>
  <c r="O14" i="55"/>
  <c r="N14" i="55"/>
  <c r="K14" i="55"/>
  <c r="I14" i="55"/>
  <c r="F14" i="55"/>
  <c r="G14" i="55" s="1"/>
  <c r="AJ13" i="55"/>
  <c r="I33" i="55" s="1"/>
  <c r="AI13" i="55"/>
  <c r="O13" i="55"/>
  <c r="K13" i="55"/>
  <c r="I13" i="55"/>
  <c r="L13" i="55" s="1"/>
  <c r="D13" i="55"/>
  <c r="AJ12" i="55"/>
  <c r="I29" i="55" s="1"/>
  <c r="AI12" i="55"/>
  <c r="O12" i="55"/>
  <c r="N12" i="55"/>
  <c r="K12" i="55"/>
  <c r="I12" i="55"/>
  <c r="F12" i="55"/>
  <c r="G12" i="55" s="1"/>
  <c r="AJ11" i="55"/>
  <c r="I27" i="55" s="1"/>
  <c r="AI11" i="55"/>
  <c r="O11" i="55"/>
  <c r="K11" i="55"/>
  <c r="I11" i="55"/>
  <c r="AJ10" i="55"/>
  <c r="I24" i="55" s="1"/>
  <c r="AI10" i="55"/>
  <c r="O10" i="55"/>
  <c r="N10" i="55"/>
  <c r="K10" i="55"/>
  <c r="I10" i="55"/>
  <c r="F10" i="55"/>
  <c r="G10" i="55" s="1"/>
  <c r="AJ9" i="55"/>
  <c r="I22" i="55" s="1"/>
  <c r="AI9" i="55"/>
  <c r="O9" i="55"/>
  <c r="K9" i="55"/>
  <c r="I9" i="55"/>
  <c r="AJ8" i="55"/>
  <c r="I18" i="55" s="1"/>
  <c r="AI8" i="55"/>
  <c r="O8" i="55"/>
  <c r="N8" i="55"/>
  <c r="K8" i="55"/>
  <c r="I8" i="55"/>
  <c r="F8" i="55"/>
  <c r="G8" i="55" s="1"/>
  <c r="AJ7" i="55"/>
  <c r="I16" i="55" s="1"/>
  <c r="AI7" i="55"/>
  <c r="O7" i="55"/>
  <c r="N7" i="55"/>
  <c r="K7" i="55"/>
  <c r="AJ6" i="55"/>
  <c r="AI6" i="55"/>
  <c r="O6" i="55"/>
  <c r="K6" i="55"/>
  <c r="F6" i="55" s="1"/>
  <c r="G6" i="55" s="1"/>
  <c r="AJ5" i="55"/>
  <c r="AI5" i="55"/>
  <c r="O5" i="55"/>
  <c r="N5" i="55"/>
  <c r="M5" i="55"/>
  <c r="B5" i="55" s="1"/>
  <c r="D5" i="55" s="1"/>
  <c r="K5" i="55"/>
  <c r="F5" i="55"/>
  <c r="G5" i="55" s="1"/>
  <c r="AJ4" i="55"/>
  <c r="AI4" i="55"/>
  <c r="O4" i="55"/>
  <c r="K4" i="55"/>
  <c r="I4" i="55"/>
  <c r="AJ3" i="55"/>
  <c r="AI3" i="55"/>
  <c r="O3" i="55"/>
  <c r="K3" i="55"/>
  <c r="I3" i="55"/>
  <c r="G3" i="55"/>
  <c r="F3" i="55"/>
  <c r="O2" i="55"/>
  <c r="N2" i="55"/>
  <c r="M2" i="55"/>
  <c r="B2" i="55" s="1"/>
  <c r="D2" i="55" s="1"/>
  <c r="L2" i="55" s="1"/>
  <c r="K2" i="55"/>
  <c r="I2" i="55"/>
  <c r="F2" i="55"/>
  <c r="G2" i="55" s="1"/>
  <c r="O210" i="66"/>
  <c r="P210" i="66" s="1"/>
  <c r="O209" i="66"/>
  <c r="P209" i="66" s="1"/>
  <c r="O208" i="66"/>
  <c r="P208" i="66" s="1"/>
  <c r="O207" i="66"/>
  <c r="P207" i="66" s="1"/>
  <c r="O206" i="66"/>
  <c r="P206" i="66" s="1"/>
  <c r="O205" i="66"/>
  <c r="P205" i="66" s="1"/>
  <c r="O204" i="66"/>
  <c r="P204" i="66" s="1"/>
  <c r="O203" i="66"/>
  <c r="P203" i="66" s="1"/>
  <c r="O202" i="66"/>
  <c r="P202" i="66" s="1"/>
  <c r="O201" i="66"/>
  <c r="P201" i="66" s="1"/>
  <c r="O200" i="66"/>
  <c r="P200" i="66" s="1"/>
  <c r="O199" i="66"/>
  <c r="P199" i="66" s="1"/>
  <c r="O198" i="66"/>
  <c r="P198" i="66" s="1"/>
  <c r="O197" i="66"/>
  <c r="P197" i="66" s="1"/>
  <c r="O196" i="66"/>
  <c r="P196" i="66" s="1"/>
  <c r="O195" i="66"/>
  <c r="P195" i="66" s="1"/>
  <c r="O194" i="66"/>
  <c r="P194" i="66" s="1"/>
  <c r="O193" i="66"/>
  <c r="P193" i="66" s="1"/>
  <c r="O192" i="66"/>
  <c r="P192" i="66" s="1"/>
  <c r="O191" i="66"/>
  <c r="P191" i="66" s="1"/>
  <c r="O190" i="66"/>
  <c r="P190" i="66" s="1"/>
  <c r="O189" i="66"/>
  <c r="P189" i="66" s="1"/>
  <c r="O188" i="66"/>
  <c r="P188" i="66" s="1"/>
  <c r="O187" i="66"/>
  <c r="P187" i="66" s="1"/>
  <c r="Q186" i="66"/>
  <c r="O186" i="66"/>
  <c r="P186" i="66" s="1"/>
  <c r="O185" i="66"/>
  <c r="P185" i="66" s="1"/>
  <c r="O184" i="66"/>
  <c r="P184" i="66" s="1"/>
  <c r="O183" i="66"/>
  <c r="P183" i="66" s="1"/>
  <c r="O182" i="66"/>
  <c r="P182" i="66" s="1"/>
  <c r="O181" i="66"/>
  <c r="P181" i="66" s="1"/>
  <c r="O180" i="66"/>
  <c r="P180" i="66" s="1"/>
  <c r="O179" i="66"/>
  <c r="P179" i="66" s="1"/>
  <c r="O178" i="66"/>
  <c r="P178" i="66" s="1"/>
  <c r="O177" i="66"/>
  <c r="P177" i="66" s="1"/>
  <c r="O176" i="66"/>
  <c r="P176" i="66" s="1"/>
  <c r="O175" i="66"/>
  <c r="P175" i="66" s="1"/>
  <c r="O174" i="66"/>
  <c r="P174" i="66" s="1"/>
  <c r="O173" i="66"/>
  <c r="P173" i="66" s="1"/>
  <c r="O172" i="66"/>
  <c r="P172" i="66" s="1"/>
  <c r="O171" i="66"/>
  <c r="P171" i="66" s="1"/>
  <c r="O170" i="66"/>
  <c r="P170" i="66" s="1"/>
  <c r="O169" i="66"/>
  <c r="P169" i="66" s="1"/>
  <c r="O168" i="66"/>
  <c r="P168" i="66" s="1"/>
  <c r="O167" i="66"/>
  <c r="P167" i="66" s="1"/>
  <c r="O166" i="66"/>
  <c r="P166" i="66" s="1"/>
  <c r="Q165" i="66"/>
  <c r="O165" i="66"/>
  <c r="P165" i="66" s="1"/>
  <c r="O164" i="66"/>
  <c r="P164" i="66" s="1"/>
  <c r="O163" i="66"/>
  <c r="P163" i="66" s="1"/>
  <c r="O162" i="66"/>
  <c r="P162" i="66" s="1"/>
  <c r="O161" i="66"/>
  <c r="P161" i="66" s="1"/>
  <c r="O160" i="66"/>
  <c r="P160" i="66" s="1"/>
  <c r="O159" i="66"/>
  <c r="P159" i="66" s="1"/>
  <c r="O158" i="66"/>
  <c r="P158" i="66" s="1"/>
  <c r="O157" i="66"/>
  <c r="P157" i="66" s="1"/>
  <c r="O156" i="66"/>
  <c r="P156" i="66" s="1"/>
  <c r="O155" i="66"/>
  <c r="P155" i="66" s="1"/>
  <c r="O154" i="66"/>
  <c r="P154" i="66" s="1"/>
  <c r="O153" i="66"/>
  <c r="P153" i="66" s="1"/>
  <c r="O152" i="66"/>
  <c r="P152" i="66" s="1"/>
  <c r="O151" i="66"/>
  <c r="P151" i="66" s="1"/>
  <c r="O150" i="66"/>
  <c r="P150" i="66" s="1"/>
  <c r="O149" i="66"/>
  <c r="P149" i="66" s="1"/>
  <c r="O148" i="66"/>
  <c r="P148" i="66" s="1"/>
  <c r="O147" i="66"/>
  <c r="P147" i="66" s="1"/>
  <c r="Q146" i="66"/>
  <c r="O146" i="66"/>
  <c r="P146" i="66" s="1"/>
  <c r="O145" i="66"/>
  <c r="P145" i="66" s="1"/>
  <c r="O144" i="66"/>
  <c r="P144" i="66" s="1"/>
  <c r="O143" i="66"/>
  <c r="P143" i="66" s="1"/>
  <c r="O142" i="66"/>
  <c r="P142" i="66" s="1"/>
  <c r="O141" i="66"/>
  <c r="P141" i="66" s="1"/>
  <c r="O140" i="66"/>
  <c r="P140" i="66" s="1"/>
  <c r="O139" i="66"/>
  <c r="P139" i="66" s="1"/>
  <c r="O138" i="66"/>
  <c r="P138" i="66" s="1"/>
  <c r="O137" i="66"/>
  <c r="P137" i="66" s="1"/>
  <c r="O136" i="66"/>
  <c r="P136" i="66" s="1"/>
  <c r="O135" i="66"/>
  <c r="P135" i="66" s="1"/>
  <c r="O134" i="66"/>
  <c r="P134" i="66" s="1"/>
  <c r="O133" i="66"/>
  <c r="P133" i="66" s="1"/>
  <c r="O132" i="66"/>
  <c r="P132" i="66" s="1"/>
  <c r="O131" i="66"/>
  <c r="P131" i="66" s="1"/>
  <c r="O130" i="66"/>
  <c r="P130" i="66" s="1"/>
  <c r="O129" i="66"/>
  <c r="P129" i="66" s="1"/>
  <c r="O128" i="66"/>
  <c r="P128" i="66" s="1"/>
  <c r="O127" i="66"/>
  <c r="P127" i="66" s="1"/>
  <c r="O126" i="66"/>
  <c r="P126" i="66" s="1"/>
  <c r="O125" i="66"/>
  <c r="P125" i="66" s="1"/>
  <c r="O124" i="66"/>
  <c r="P124" i="66" s="1"/>
  <c r="O123" i="66"/>
  <c r="P123" i="66" s="1"/>
  <c r="Q122" i="66"/>
  <c r="O122" i="66"/>
  <c r="P122" i="66" s="1"/>
  <c r="O121" i="66"/>
  <c r="P121" i="66" s="1"/>
  <c r="O120" i="66"/>
  <c r="P120" i="66" s="1"/>
  <c r="O119" i="66"/>
  <c r="P119" i="66" s="1"/>
  <c r="O118" i="66"/>
  <c r="P118" i="66" s="1"/>
  <c r="O117" i="66"/>
  <c r="P117" i="66" s="1"/>
  <c r="O116" i="66"/>
  <c r="P116" i="66" s="1"/>
  <c r="O115" i="66"/>
  <c r="P115" i="66" s="1"/>
  <c r="O114" i="66"/>
  <c r="P114" i="66" s="1"/>
  <c r="O113" i="66"/>
  <c r="P113" i="66" s="1"/>
  <c r="O112" i="66"/>
  <c r="P112" i="66" s="1"/>
  <c r="O111" i="66"/>
  <c r="P111" i="66" s="1"/>
  <c r="O110" i="66"/>
  <c r="P110" i="66" s="1"/>
  <c r="O109" i="66"/>
  <c r="P109" i="66" s="1"/>
  <c r="O108" i="66"/>
  <c r="P108" i="66" s="1"/>
  <c r="Q107" i="66"/>
  <c r="O107" i="66"/>
  <c r="P107" i="66" s="1"/>
  <c r="O106" i="66"/>
  <c r="P106" i="66" s="1"/>
  <c r="P105" i="66"/>
  <c r="P104" i="66"/>
  <c r="P103" i="66"/>
  <c r="P102" i="66"/>
  <c r="P101" i="66"/>
  <c r="P100" i="66"/>
  <c r="P99" i="66"/>
  <c r="P98" i="66"/>
  <c r="P97" i="66"/>
  <c r="P96" i="66"/>
  <c r="P95" i="66"/>
  <c r="P94" i="66"/>
  <c r="P93" i="66"/>
  <c r="P92" i="66"/>
  <c r="Q91" i="66"/>
  <c r="P91" i="66"/>
  <c r="Q90" i="66"/>
  <c r="P90" i="66"/>
  <c r="P89" i="66"/>
  <c r="P88" i="66"/>
  <c r="P87" i="66"/>
  <c r="P86" i="66"/>
  <c r="P85" i="66"/>
  <c r="P84" i="66"/>
  <c r="Q83" i="66"/>
  <c r="P83" i="66"/>
  <c r="P82" i="66"/>
  <c r="P81" i="66"/>
  <c r="P80" i="66"/>
  <c r="P79" i="66"/>
  <c r="P78" i="66"/>
  <c r="P77" i="66"/>
  <c r="P76" i="66"/>
  <c r="P75" i="66"/>
  <c r="P74" i="66"/>
  <c r="P73" i="66"/>
  <c r="AA72" i="66"/>
  <c r="Y72" i="66"/>
  <c r="P72" i="66"/>
  <c r="AA71" i="66"/>
  <c r="Y71" i="66"/>
  <c r="Q71" i="66"/>
  <c r="P71" i="66"/>
  <c r="AA70" i="66"/>
  <c r="Y70" i="66"/>
  <c r="P70" i="66"/>
  <c r="AA69" i="66"/>
  <c r="Y69" i="66"/>
  <c r="P69" i="66"/>
  <c r="AA68" i="66"/>
  <c r="Y68" i="66"/>
  <c r="P68" i="66"/>
  <c r="AA67" i="66"/>
  <c r="Y67" i="66"/>
  <c r="Q67" i="66"/>
  <c r="P67" i="66"/>
  <c r="AA66" i="66"/>
  <c r="Y66" i="66"/>
  <c r="P66" i="66"/>
  <c r="AA65" i="66"/>
  <c r="Y65" i="66"/>
  <c r="P65" i="66"/>
  <c r="AA64" i="66"/>
  <c r="Y64" i="66"/>
  <c r="Q64" i="66"/>
  <c r="P64" i="66"/>
  <c r="AA63" i="66"/>
  <c r="Y63" i="66"/>
  <c r="P63" i="66"/>
  <c r="AA62" i="66"/>
  <c r="Y62" i="66"/>
  <c r="P62" i="66"/>
  <c r="AA61" i="66"/>
  <c r="Y61" i="66"/>
  <c r="Q61" i="66"/>
  <c r="P61" i="66"/>
  <c r="AA60" i="66"/>
  <c r="Y60" i="66"/>
  <c r="Q60" i="66"/>
  <c r="P60" i="66"/>
  <c r="AA59" i="66"/>
  <c r="Y59" i="66"/>
  <c r="P59" i="66"/>
  <c r="AA58" i="66"/>
  <c r="Y58" i="66"/>
  <c r="Q58" i="66"/>
  <c r="P58" i="66"/>
  <c r="AA57" i="66"/>
  <c r="Y57" i="66"/>
  <c r="Q57" i="66"/>
  <c r="P57" i="66"/>
  <c r="AA56" i="66"/>
  <c r="Y56" i="66"/>
  <c r="P56" i="66"/>
  <c r="AA55" i="66"/>
  <c r="Y55" i="66"/>
  <c r="Q55" i="66"/>
  <c r="P55" i="66"/>
  <c r="AA54" i="66"/>
  <c r="Y54" i="66"/>
  <c r="P54" i="66"/>
  <c r="AA53" i="66"/>
  <c r="Y53" i="66"/>
  <c r="P53" i="66"/>
  <c r="AA52" i="66"/>
  <c r="Y52" i="66"/>
  <c r="P52" i="66"/>
  <c r="AA51" i="66"/>
  <c r="Y51" i="66"/>
  <c r="P51" i="66"/>
  <c r="AA50" i="66"/>
  <c r="Y50" i="66"/>
  <c r="Q50" i="66"/>
  <c r="P50" i="66"/>
  <c r="AA49" i="66"/>
  <c r="Y49" i="66"/>
  <c r="P49" i="66"/>
  <c r="AA48" i="66"/>
  <c r="Y48" i="66"/>
  <c r="P48" i="66"/>
  <c r="AA47" i="66"/>
  <c r="Y47" i="66"/>
  <c r="P47" i="66"/>
  <c r="AA46" i="66"/>
  <c r="Y46" i="66"/>
  <c r="P46" i="66"/>
  <c r="AA45" i="66"/>
  <c r="Y45" i="66"/>
  <c r="Q45" i="66"/>
  <c r="P45" i="66"/>
  <c r="AA44" i="66"/>
  <c r="Y44" i="66"/>
  <c r="P44" i="66"/>
  <c r="AA43" i="66"/>
  <c r="Y43" i="66"/>
  <c r="P43" i="66"/>
  <c r="AA42" i="66"/>
  <c r="Y42" i="66"/>
  <c r="P42" i="66"/>
  <c r="AA41" i="66"/>
  <c r="Y41" i="66"/>
  <c r="Q41" i="66"/>
  <c r="P41" i="66"/>
  <c r="AA40" i="66"/>
  <c r="Y40" i="66"/>
  <c r="P40" i="66"/>
  <c r="AA39" i="66"/>
  <c r="Y39" i="66"/>
  <c r="Q39" i="66"/>
  <c r="P39" i="66"/>
  <c r="AA38" i="66"/>
  <c r="Y38" i="66"/>
  <c r="Q38" i="66"/>
  <c r="P38" i="66"/>
  <c r="AA37" i="66"/>
  <c r="Y37" i="66"/>
  <c r="P37" i="66"/>
  <c r="AJ36" i="66"/>
  <c r="Q88" i="66" s="1"/>
  <c r="AA36" i="66"/>
  <c r="Y36" i="66"/>
  <c r="P36" i="66"/>
  <c r="AJ35" i="66"/>
  <c r="Q205" i="66" s="1"/>
  <c r="AA35" i="66"/>
  <c r="Y35" i="66"/>
  <c r="P35" i="66"/>
  <c r="AJ34" i="66"/>
  <c r="Q167" i="66" s="1"/>
  <c r="AA34" i="66"/>
  <c r="Y34" i="66"/>
  <c r="P34" i="66"/>
  <c r="AJ33" i="66"/>
  <c r="AA33" i="66"/>
  <c r="Y33" i="66"/>
  <c r="P33" i="66"/>
  <c r="AJ32" i="66"/>
  <c r="Q209" i="66" s="1"/>
  <c r="AA32" i="66"/>
  <c r="Y32" i="66"/>
  <c r="P32" i="66"/>
  <c r="AJ31" i="66"/>
  <c r="Q93" i="66" s="1"/>
  <c r="AA31" i="66"/>
  <c r="Y31" i="66"/>
  <c r="P31" i="66"/>
  <c r="AJ30" i="66"/>
  <c r="Q197" i="66" s="1"/>
  <c r="AA30" i="66"/>
  <c r="Y30" i="66"/>
  <c r="P30" i="66"/>
  <c r="AJ29" i="66"/>
  <c r="Q144" i="66" s="1"/>
  <c r="AA29" i="66"/>
  <c r="Y29" i="66"/>
  <c r="Q29" i="66"/>
  <c r="P29" i="66"/>
  <c r="AJ28" i="66"/>
  <c r="Q174" i="66" s="1"/>
  <c r="AA28" i="66"/>
  <c r="Y28" i="66"/>
  <c r="P28" i="66"/>
  <c r="AJ27" i="66"/>
  <c r="Q84" i="66" s="1"/>
  <c r="AA27" i="66"/>
  <c r="Y27" i="66"/>
  <c r="P27" i="66"/>
  <c r="AJ26" i="66"/>
  <c r="AA26" i="66"/>
  <c r="Y26" i="66"/>
  <c r="P26" i="66"/>
  <c r="AJ25" i="66"/>
  <c r="AA25" i="66"/>
  <c r="Y25" i="66"/>
  <c r="P25" i="66"/>
  <c r="AJ24" i="66"/>
  <c r="AA24" i="66"/>
  <c r="Y24" i="66"/>
  <c r="P24" i="66"/>
  <c r="AJ23" i="66"/>
  <c r="Q168" i="66" s="1"/>
  <c r="AA23" i="66"/>
  <c r="Y23" i="66"/>
  <c r="Q23" i="66"/>
  <c r="P23" i="66"/>
  <c r="AJ22" i="66"/>
  <c r="Q62" i="66" s="1"/>
  <c r="AA22" i="66"/>
  <c r="Y22" i="66"/>
  <c r="V22" i="66"/>
  <c r="U22" i="66"/>
  <c r="P22" i="66"/>
  <c r="AJ21" i="66"/>
  <c r="Q119" i="66" s="1"/>
  <c r="AA21" i="66"/>
  <c r="Y21" i="66"/>
  <c r="V21" i="66"/>
  <c r="U21" i="66"/>
  <c r="P21" i="66"/>
  <c r="AJ20" i="66"/>
  <c r="Q156" i="66" s="1"/>
  <c r="AA20" i="66"/>
  <c r="Y20" i="66"/>
  <c r="V20" i="66"/>
  <c r="U20" i="66"/>
  <c r="P20" i="66"/>
  <c r="AJ19" i="66"/>
  <c r="Q158" i="66" s="1"/>
  <c r="AA19" i="66"/>
  <c r="Y19" i="66"/>
  <c r="V19" i="66"/>
  <c r="U19" i="66"/>
  <c r="P19" i="66"/>
  <c r="AJ18" i="66"/>
  <c r="AA18" i="66"/>
  <c r="Y18" i="66"/>
  <c r="V18" i="66"/>
  <c r="U18" i="66"/>
  <c r="P18" i="66"/>
  <c r="AJ17" i="66"/>
  <c r="Q149" i="66" s="1"/>
  <c r="AA17" i="66"/>
  <c r="Y17" i="66"/>
  <c r="V17" i="66"/>
  <c r="U17" i="66"/>
  <c r="Q17" i="66"/>
  <c r="P17" i="66"/>
  <c r="AJ16" i="66"/>
  <c r="Q164" i="66" s="1"/>
  <c r="AA16" i="66"/>
  <c r="Y16" i="66"/>
  <c r="V16" i="66"/>
  <c r="U16" i="66"/>
  <c r="Q16" i="66"/>
  <c r="P16" i="66"/>
  <c r="AJ15" i="66"/>
  <c r="Q136" i="66" s="1"/>
  <c r="AA15" i="66"/>
  <c r="Y15" i="66"/>
  <c r="V15" i="66"/>
  <c r="U15" i="66"/>
  <c r="Q15" i="66"/>
  <c r="P15" i="66"/>
  <c r="AJ14" i="66"/>
  <c r="Q131" i="66" s="1"/>
  <c r="AA14" i="66"/>
  <c r="Y14" i="66"/>
  <c r="V14" i="66"/>
  <c r="U14" i="66"/>
  <c r="Q14" i="66"/>
  <c r="P14" i="66"/>
  <c r="AJ13" i="66"/>
  <c r="Q25" i="66" s="1"/>
  <c r="AA13" i="66"/>
  <c r="Y13" i="66"/>
  <c r="V13" i="66"/>
  <c r="U13" i="66"/>
  <c r="P13" i="66"/>
  <c r="AU12" i="66"/>
  <c r="AT12" i="66"/>
  <c r="AJ12" i="66"/>
  <c r="Q34" i="66" s="1"/>
  <c r="AA12" i="66"/>
  <c r="Y12" i="66"/>
  <c r="V12" i="66"/>
  <c r="U12" i="66"/>
  <c r="Q12" i="66"/>
  <c r="P12" i="66"/>
  <c r="AZ11" i="66"/>
  <c r="AU11" i="66"/>
  <c r="AT11" i="66"/>
  <c r="AJ11" i="66"/>
  <c r="Q145" i="66" s="1"/>
  <c r="AA11" i="66"/>
  <c r="Y11" i="66"/>
  <c r="V11" i="66"/>
  <c r="U11" i="66"/>
  <c r="Q11" i="66"/>
  <c r="P11" i="66"/>
  <c r="AZ10" i="66"/>
  <c r="AU10" i="66"/>
  <c r="AT10" i="66"/>
  <c r="AJ10" i="66"/>
  <c r="Q207" i="66" s="1"/>
  <c r="AA10" i="66"/>
  <c r="Y10" i="66"/>
  <c r="V10" i="66"/>
  <c r="U10" i="66"/>
  <c r="P10" i="66"/>
  <c r="AZ9" i="66"/>
  <c r="AU9" i="66"/>
  <c r="AT9" i="66"/>
  <c r="AJ9" i="66"/>
  <c r="Q33" i="66" s="1"/>
  <c r="AA9" i="66"/>
  <c r="Y9" i="66"/>
  <c r="V9" i="66"/>
  <c r="U9" i="66"/>
  <c r="P9" i="66"/>
  <c r="AZ8" i="66"/>
  <c r="AU8" i="66"/>
  <c r="AT8" i="66"/>
  <c r="AJ8" i="66"/>
  <c r="Q9" i="66" s="1"/>
  <c r="AA8" i="66"/>
  <c r="Y8" i="66"/>
  <c r="V8" i="66"/>
  <c r="U8" i="66"/>
  <c r="P8" i="66"/>
  <c r="AZ7" i="66"/>
  <c r="AU7" i="66"/>
  <c r="AT7" i="66"/>
  <c r="AJ7" i="66"/>
  <c r="Q192" i="66" s="1"/>
  <c r="AA7" i="66"/>
  <c r="Y7" i="66"/>
  <c r="V7" i="66"/>
  <c r="U7" i="66"/>
  <c r="Q7" i="66"/>
  <c r="P7" i="66"/>
  <c r="AZ6" i="66"/>
  <c r="AU6" i="66"/>
  <c r="AT6" i="66"/>
  <c r="AJ6" i="66"/>
  <c r="Q99" i="66" s="1"/>
  <c r="AA6" i="66"/>
  <c r="Y6" i="66"/>
  <c r="V6" i="66"/>
  <c r="U6" i="66"/>
  <c r="Q6" i="66"/>
  <c r="P6" i="66"/>
  <c r="AZ5" i="66"/>
  <c r="AU5" i="66"/>
  <c r="AT5" i="66"/>
  <c r="AN5" i="66"/>
  <c r="AJ5" i="66"/>
  <c r="AA5" i="66"/>
  <c r="Y5" i="66"/>
  <c r="V5" i="66"/>
  <c r="U5" i="66"/>
  <c r="Q5" i="66"/>
  <c r="P5" i="66"/>
  <c r="AZ4" i="66"/>
  <c r="AU4" i="66"/>
  <c r="AT4" i="66"/>
  <c r="AJ4" i="66"/>
  <c r="Q113" i="66" s="1"/>
  <c r="AA4" i="66"/>
  <c r="Y4" i="66"/>
  <c r="V4" i="66"/>
  <c r="U4" i="66"/>
  <c r="Q4" i="66"/>
  <c r="P4" i="66"/>
  <c r="AZ3" i="66"/>
  <c r="AU3" i="66"/>
  <c r="AT3" i="66"/>
  <c r="AJ3" i="66"/>
  <c r="AA3" i="66"/>
  <c r="Y3" i="66"/>
  <c r="V3" i="66"/>
  <c r="U3" i="66"/>
  <c r="Q3" i="66"/>
  <c r="P3" i="66"/>
  <c r="AZ2" i="66"/>
  <c r="AC202" i="51"/>
  <c r="AB202" i="51"/>
  <c r="N202" i="51"/>
  <c r="L202" i="51"/>
  <c r="J202" i="51"/>
  <c r="H202" i="51"/>
  <c r="F202" i="51"/>
  <c r="D202" i="51"/>
  <c r="AC201" i="51"/>
  <c r="AB201" i="51"/>
  <c r="N201" i="51"/>
  <c r="L201" i="51"/>
  <c r="H201" i="51"/>
  <c r="F201" i="51"/>
  <c r="D201" i="51"/>
  <c r="AC200" i="51"/>
  <c r="AB200" i="51"/>
  <c r="N200" i="51"/>
  <c r="L200" i="51"/>
  <c r="J200" i="51"/>
  <c r="H200" i="51"/>
  <c r="F200" i="51"/>
  <c r="D200" i="51"/>
  <c r="AC199" i="51"/>
  <c r="AB199" i="51"/>
  <c r="N199" i="51"/>
  <c r="L199" i="51"/>
  <c r="J199" i="51"/>
  <c r="H199" i="51"/>
  <c r="F199" i="51"/>
  <c r="D199" i="51"/>
  <c r="AC198" i="51"/>
  <c r="AB198" i="51"/>
  <c r="N198" i="51"/>
  <c r="L198" i="51"/>
  <c r="J198" i="51"/>
  <c r="H198" i="51"/>
  <c r="F198" i="51"/>
  <c r="D198" i="51"/>
  <c r="AC197" i="51"/>
  <c r="AB197" i="51"/>
  <c r="N197" i="51"/>
  <c r="L197" i="51"/>
  <c r="H197" i="51"/>
  <c r="F197" i="51"/>
  <c r="D197" i="51"/>
  <c r="AC196" i="51"/>
  <c r="AB196" i="51"/>
  <c r="N196" i="51"/>
  <c r="L196" i="51"/>
  <c r="J196" i="51"/>
  <c r="H196" i="51"/>
  <c r="F196" i="51"/>
  <c r="D196" i="51"/>
  <c r="AC195" i="51"/>
  <c r="AB195" i="51"/>
  <c r="N195" i="51"/>
  <c r="L195" i="51"/>
  <c r="H195" i="51"/>
  <c r="F195" i="51"/>
  <c r="D195" i="51"/>
  <c r="AC194" i="51"/>
  <c r="AB194" i="51"/>
  <c r="N194" i="51"/>
  <c r="L194" i="51"/>
  <c r="H194" i="51"/>
  <c r="F194" i="51"/>
  <c r="D194" i="51"/>
  <c r="AC193" i="51"/>
  <c r="AB193" i="51"/>
  <c r="N193" i="51"/>
  <c r="L193" i="51"/>
  <c r="H193" i="51"/>
  <c r="F193" i="51"/>
  <c r="D193" i="51"/>
  <c r="AC192" i="51"/>
  <c r="AB192" i="51"/>
  <c r="N192" i="51"/>
  <c r="L192" i="51"/>
  <c r="J192" i="51"/>
  <c r="H192" i="51"/>
  <c r="F192" i="51"/>
  <c r="D192" i="51"/>
  <c r="AC191" i="51"/>
  <c r="AB191" i="51"/>
  <c r="N191" i="51"/>
  <c r="L191" i="51"/>
  <c r="H191" i="51"/>
  <c r="F191" i="51"/>
  <c r="D191" i="51"/>
  <c r="AC190" i="51"/>
  <c r="AB190" i="51"/>
  <c r="N190" i="51"/>
  <c r="L190" i="51"/>
  <c r="H190" i="51"/>
  <c r="F190" i="51"/>
  <c r="D190" i="51"/>
  <c r="AC189" i="51"/>
  <c r="AB189" i="51"/>
  <c r="N189" i="51"/>
  <c r="L189" i="51"/>
  <c r="J189" i="51"/>
  <c r="H189" i="51"/>
  <c r="F189" i="51"/>
  <c r="D189" i="51"/>
  <c r="AC188" i="51"/>
  <c r="AB188" i="51"/>
  <c r="N188" i="51"/>
  <c r="L188" i="51"/>
  <c r="H188" i="51"/>
  <c r="F188" i="51"/>
  <c r="D188" i="51"/>
  <c r="AC187" i="51"/>
  <c r="AB187" i="51"/>
  <c r="N187" i="51"/>
  <c r="L187" i="51"/>
  <c r="H187" i="51"/>
  <c r="F187" i="51"/>
  <c r="D187" i="51"/>
  <c r="AC186" i="51"/>
  <c r="AB186" i="51"/>
  <c r="N186" i="51"/>
  <c r="L186" i="51"/>
  <c r="J186" i="51"/>
  <c r="H186" i="51"/>
  <c r="F186" i="51"/>
  <c r="D186" i="51"/>
  <c r="AC185" i="51"/>
  <c r="AB185" i="51"/>
  <c r="N185" i="51"/>
  <c r="L185" i="51"/>
  <c r="H185" i="51"/>
  <c r="F185" i="51"/>
  <c r="D185" i="51"/>
  <c r="AC184" i="51"/>
  <c r="AB184" i="51"/>
  <c r="N184" i="51"/>
  <c r="L184" i="51"/>
  <c r="J184" i="51"/>
  <c r="H184" i="51"/>
  <c r="F184" i="51"/>
  <c r="D184" i="51"/>
  <c r="AC183" i="51"/>
  <c r="AB183" i="51"/>
  <c r="N183" i="51"/>
  <c r="L183" i="51"/>
  <c r="H183" i="51"/>
  <c r="F183" i="51"/>
  <c r="D183" i="51"/>
  <c r="AC182" i="51"/>
  <c r="AB182" i="51"/>
  <c r="N182" i="51"/>
  <c r="L182" i="51"/>
  <c r="J182" i="51"/>
  <c r="H182" i="51"/>
  <c r="F182" i="51"/>
  <c r="D182" i="51"/>
  <c r="AC181" i="51"/>
  <c r="AB181" i="51"/>
  <c r="N181" i="51"/>
  <c r="L181" i="51"/>
  <c r="J181" i="51"/>
  <c r="H181" i="51"/>
  <c r="F181" i="51"/>
  <c r="D181" i="51"/>
  <c r="AC180" i="51"/>
  <c r="AB180" i="51"/>
  <c r="N180" i="51"/>
  <c r="L180" i="51"/>
  <c r="H180" i="51"/>
  <c r="F180" i="51"/>
  <c r="D180" i="51"/>
  <c r="AC179" i="51"/>
  <c r="AB179" i="51"/>
  <c r="N179" i="51"/>
  <c r="L179" i="51"/>
  <c r="J179" i="51"/>
  <c r="H179" i="51"/>
  <c r="F179" i="51"/>
  <c r="D179" i="51"/>
  <c r="AC178" i="51"/>
  <c r="AB178" i="51"/>
  <c r="N178" i="51"/>
  <c r="L178" i="51"/>
  <c r="H178" i="51"/>
  <c r="F178" i="51"/>
  <c r="D178" i="51"/>
  <c r="AC177" i="51"/>
  <c r="AB177" i="51"/>
  <c r="N177" i="51"/>
  <c r="L177" i="51"/>
  <c r="J177" i="51"/>
  <c r="H177" i="51"/>
  <c r="F177" i="51"/>
  <c r="D177" i="51"/>
  <c r="AC176" i="51"/>
  <c r="AB176" i="51"/>
  <c r="N176" i="51"/>
  <c r="L176" i="51"/>
  <c r="H176" i="51"/>
  <c r="F176" i="51"/>
  <c r="D176" i="51"/>
  <c r="AC175" i="51"/>
  <c r="AB175" i="51"/>
  <c r="N175" i="51"/>
  <c r="L175" i="51"/>
  <c r="J175" i="51"/>
  <c r="H175" i="51"/>
  <c r="F175" i="51"/>
  <c r="D175" i="51"/>
  <c r="AC174" i="51"/>
  <c r="AB174" i="51"/>
  <c r="N174" i="51"/>
  <c r="L174" i="51"/>
  <c r="H174" i="51"/>
  <c r="F174" i="51"/>
  <c r="D174" i="51"/>
  <c r="AC173" i="51"/>
  <c r="AB173" i="51"/>
  <c r="N173" i="51"/>
  <c r="L173" i="51"/>
  <c r="H173" i="51"/>
  <c r="F173" i="51"/>
  <c r="D173" i="51"/>
  <c r="AC172" i="51"/>
  <c r="AB172" i="51"/>
  <c r="N172" i="51"/>
  <c r="L172" i="51"/>
  <c r="J172" i="51"/>
  <c r="H172" i="51"/>
  <c r="F172" i="51"/>
  <c r="D172" i="51"/>
  <c r="AC171" i="51"/>
  <c r="AB171" i="51"/>
  <c r="N171" i="51"/>
  <c r="L171" i="51"/>
  <c r="H171" i="51"/>
  <c r="F171" i="51"/>
  <c r="D171" i="51"/>
  <c r="AC170" i="51"/>
  <c r="AB170" i="51"/>
  <c r="N170" i="51"/>
  <c r="L170" i="51"/>
  <c r="H170" i="51"/>
  <c r="F170" i="51"/>
  <c r="D170" i="51"/>
  <c r="AC169" i="51"/>
  <c r="AB169" i="51"/>
  <c r="N169" i="51"/>
  <c r="L169" i="51"/>
  <c r="J169" i="51"/>
  <c r="H169" i="51"/>
  <c r="F169" i="51"/>
  <c r="D169" i="51"/>
  <c r="AC168" i="51"/>
  <c r="AB168" i="51"/>
  <c r="N168" i="51"/>
  <c r="L168" i="51"/>
  <c r="H168" i="51"/>
  <c r="F168" i="51"/>
  <c r="D168" i="51"/>
  <c r="AC167" i="51"/>
  <c r="AB167" i="51"/>
  <c r="N167" i="51"/>
  <c r="L167" i="51"/>
  <c r="J167" i="51"/>
  <c r="H167" i="51"/>
  <c r="F167" i="51"/>
  <c r="D167" i="51"/>
  <c r="AC166" i="51"/>
  <c r="AB166" i="51"/>
  <c r="N166" i="51"/>
  <c r="L166" i="51"/>
  <c r="H166" i="51"/>
  <c r="F166" i="51"/>
  <c r="D166" i="51"/>
  <c r="AC165" i="51"/>
  <c r="AB165" i="51"/>
  <c r="N165" i="51"/>
  <c r="L165" i="51"/>
  <c r="H165" i="51"/>
  <c r="F165" i="51"/>
  <c r="D165" i="51"/>
  <c r="AC164" i="51"/>
  <c r="AB164" i="51"/>
  <c r="N164" i="51"/>
  <c r="L164" i="51"/>
  <c r="H164" i="51"/>
  <c r="F164" i="51"/>
  <c r="D164" i="51"/>
  <c r="AC163" i="51"/>
  <c r="AB163" i="51"/>
  <c r="N163" i="51"/>
  <c r="L163" i="51"/>
  <c r="J163" i="51"/>
  <c r="H163" i="51"/>
  <c r="F163" i="51"/>
  <c r="D163" i="51"/>
  <c r="AC162" i="51"/>
  <c r="AB162" i="51"/>
  <c r="N162" i="51"/>
  <c r="L162" i="51"/>
  <c r="J162" i="51"/>
  <c r="H162" i="51"/>
  <c r="F162" i="51"/>
  <c r="D162" i="51"/>
  <c r="AC161" i="51"/>
  <c r="AB161" i="51"/>
  <c r="N161" i="51"/>
  <c r="L161" i="51"/>
  <c r="J161" i="51"/>
  <c r="H161" i="51"/>
  <c r="F161" i="51"/>
  <c r="D161" i="51"/>
  <c r="AC160" i="51"/>
  <c r="AB160" i="51"/>
  <c r="N160" i="51"/>
  <c r="L160" i="51"/>
  <c r="H160" i="51"/>
  <c r="F160" i="51"/>
  <c r="D160" i="51"/>
  <c r="AC159" i="51"/>
  <c r="AB159" i="51"/>
  <c r="N159" i="51"/>
  <c r="L159" i="51"/>
  <c r="H159" i="51"/>
  <c r="F159" i="51"/>
  <c r="D159" i="51"/>
  <c r="AC158" i="51"/>
  <c r="AB158" i="51"/>
  <c r="N158" i="51"/>
  <c r="L158" i="51"/>
  <c r="H158" i="51"/>
  <c r="F158" i="51"/>
  <c r="D158" i="51"/>
  <c r="AC157" i="51"/>
  <c r="AB157" i="51"/>
  <c r="N157" i="51"/>
  <c r="L157" i="51"/>
  <c r="J157" i="51"/>
  <c r="H157" i="51"/>
  <c r="F157" i="51"/>
  <c r="D157" i="51"/>
  <c r="AC156" i="51"/>
  <c r="AB156" i="51"/>
  <c r="N156" i="51"/>
  <c r="L156" i="51"/>
  <c r="H156" i="51"/>
  <c r="F156" i="51"/>
  <c r="D156" i="51"/>
  <c r="AC155" i="51"/>
  <c r="AB155" i="51"/>
  <c r="N155" i="51"/>
  <c r="L155" i="51"/>
  <c r="J155" i="51"/>
  <c r="H155" i="51"/>
  <c r="F155" i="51"/>
  <c r="D155" i="51"/>
  <c r="AC154" i="51"/>
  <c r="AB154" i="51"/>
  <c r="N154" i="51"/>
  <c r="L154" i="51"/>
  <c r="H154" i="51"/>
  <c r="F154" i="51"/>
  <c r="D154" i="51"/>
  <c r="AC153" i="51"/>
  <c r="AB153" i="51"/>
  <c r="N153" i="51"/>
  <c r="L153" i="51"/>
  <c r="H153" i="51"/>
  <c r="F153" i="51"/>
  <c r="D153" i="51"/>
  <c r="AC152" i="51"/>
  <c r="AB152" i="51"/>
  <c r="N152" i="51"/>
  <c r="L152" i="51"/>
  <c r="J152" i="51"/>
  <c r="H152" i="51"/>
  <c r="F152" i="51"/>
  <c r="D152" i="51"/>
  <c r="AC151" i="51"/>
  <c r="AB151" i="51"/>
  <c r="N151" i="51"/>
  <c r="L151" i="51"/>
  <c r="H151" i="51"/>
  <c r="F151" i="51"/>
  <c r="D151" i="51"/>
  <c r="AC150" i="51"/>
  <c r="AB150" i="51"/>
  <c r="N150" i="51"/>
  <c r="L150" i="51"/>
  <c r="H150" i="51"/>
  <c r="F150" i="51"/>
  <c r="D150" i="51"/>
  <c r="AC149" i="51"/>
  <c r="AB149" i="51"/>
  <c r="N149" i="51"/>
  <c r="L149" i="51"/>
  <c r="J149" i="51"/>
  <c r="H149" i="51"/>
  <c r="D149" i="51"/>
  <c r="AC148" i="51"/>
  <c r="AB148" i="51"/>
  <c r="N148" i="51"/>
  <c r="L148" i="51"/>
  <c r="J148" i="51"/>
  <c r="H148" i="51"/>
  <c r="F148" i="51"/>
  <c r="D148" i="51"/>
  <c r="AC147" i="51"/>
  <c r="AB147" i="51"/>
  <c r="N147" i="51"/>
  <c r="L147" i="51"/>
  <c r="J147" i="51"/>
  <c r="H147" i="51"/>
  <c r="F147" i="51"/>
  <c r="D147" i="51"/>
  <c r="AC146" i="51"/>
  <c r="AB146" i="51"/>
  <c r="N146" i="51"/>
  <c r="L146" i="51"/>
  <c r="H146" i="51"/>
  <c r="F146" i="51"/>
  <c r="D146" i="51"/>
  <c r="AC145" i="51"/>
  <c r="AB145" i="51"/>
  <c r="N145" i="51"/>
  <c r="L145" i="51"/>
  <c r="J145" i="51"/>
  <c r="H145" i="51"/>
  <c r="D145" i="51"/>
  <c r="AC144" i="51"/>
  <c r="AB144" i="51"/>
  <c r="N144" i="51"/>
  <c r="L144" i="51"/>
  <c r="H144" i="51"/>
  <c r="F144" i="51"/>
  <c r="D144" i="51"/>
  <c r="AC143" i="51"/>
  <c r="AB143" i="51"/>
  <c r="N143" i="51"/>
  <c r="L143" i="51"/>
  <c r="H143" i="51"/>
  <c r="F143" i="51"/>
  <c r="D143" i="51"/>
  <c r="AC142" i="51"/>
  <c r="AB142" i="51"/>
  <c r="N142" i="51"/>
  <c r="L142" i="51"/>
  <c r="J142" i="51"/>
  <c r="H142" i="51"/>
  <c r="F142" i="51"/>
  <c r="D142" i="51"/>
  <c r="AC141" i="51"/>
  <c r="AB141" i="51"/>
  <c r="N141" i="51"/>
  <c r="L141" i="51"/>
  <c r="J141" i="51"/>
  <c r="H141" i="51"/>
  <c r="F141" i="51"/>
  <c r="D141" i="51"/>
  <c r="AC140" i="51"/>
  <c r="AB140" i="51"/>
  <c r="N140" i="51"/>
  <c r="L140" i="51"/>
  <c r="J140" i="51"/>
  <c r="H140" i="51"/>
  <c r="F140" i="51"/>
  <c r="D140" i="51"/>
  <c r="AC139" i="51"/>
  <c r="AB139" i="51"/>
  <c r="N139" i="51"/>
  <c r="L139" i="51"/>
  <c r="H139" i="51"/>
  <c r="D139" i="51"/>
  <c r="AC138" i="51"/>
  <c r="AB138" i="51"/>
  <c r="N138" i="51"/>
  <c r="L138" i="51"/>
  <c r="H138" i="51"/>
  <c r="F138" i="51"/>
  <c r="D138" i="51"/>
  <c r="AC137" i="51"/>
  <c r="AB137" i="51"/>
  <c r="N137" i="51"/>
  <c r="L137" i="51"/>
  <c r="J137" i="51"/>
  <c r="H137" i="51"/>
  <c r="F137" i="51"/>
  <c r="D137" i="51"/>
  <c r="AC136" i="51"/>
  <c r="AB136" i="51"/>
  <c r="N136" i="51"/>
  <c r="L136" i="51"/>
  <c r="J136" i="51"/>
  <c r="H136" i="51"/>
  <c r="F136" i="51"/>
  <c r="D136" i="51"/>
  <c r="AC135" i="51"/>
  <c r="AB135" i="51"/>
  <c r="Y135" i="51"/>
  <c r="N135" i="51"/>
  <c r="L135" i="51"/>
  <c r="H135" i="51"/>
  <c r="F135" i="51"/>
  <c r="D135" i="51"/>
  <c r="AC134" i="51"/>
  <c r="AB134" i="51"/>
  <c r="Y134" i="51"/>
  <c r="N134" i="51"/>
  <c r="L134" i="51"/>
  <c r="H134" i="51"/>
  <c r="F134" i="51"/>
  <c r="D134" i="51"/>
  <c r="AC133" i="51"/>
  <c r="AB133" i="51"/>
  <c r="Y133" i="51"/>
  <c r="N133" i="51"/>
  <c r="L133" i="51"/>
  <c r="H133" i="51"/>
  <c r="D133" i="51"/>
  <c r="AC132" i="51"/>
  <c r="AB132" i="51"/>
  <c r="Y132" i="51"/>
  <c r="N132" i="51"/>
  <c r="L132" i="51"/>
  <c r="J132" i="51"/>
  <c r="H132" i="51"/>
  <c r="F132" i="51"/>
  <c r="D132" i="51"/>
  <c r="AC131" i="51"/>
  <c r="AB131" i="51"/>
  <c r="Y131" i="51"/>
  <c r="N131" i="51"/>
  <c r="L131" i="51"/>
  <c r="H131" i="51"/>
  <c r="D131" i="51"/>
  <c r="AC130" i="51"/>
  <c r="AB130" i="51"/>
  <c r="Y130" i="51"/>
  <c r="N130" i="51"/>
  <c r="L130" i="51"/>
  <c r="J130" i="51"/>
  <c r="H130" i="51"/>
  <c r="F130" i="51"/>
  <c r="D130" i="51"/>
  <c r="AC129" i="51"/>
  <c r="AB129" i="51"/>
  <c r="Y129" i="51"/>
  <c r="N129" i="51"/>
  <c r="L129" i="51"/>
  <c r="J129" i="51"/>
  <c r="H129" i="51"/>
  <c r="D129" i="51"/>
  <c r="AC128" i="51"/>
  <c r="AB128" i="51"/>
  <c r="Y128" i="51"/>
  <c r="T128" i="51"/>
  <c r="N128" i="51"/>
  <c r="L128" i="51"/>
  <c r="H128" i="51"/>
  <c r="D128" i="51"/>
  <c r="AC127" i="51"/>
  <c r="AB127" i="51"/>
  <c r="Y127" i="51"/>
  <c r="T127" i="51"/>
  <c r="N127" i="51"/>
  <c r="L127" i="51"/>
  <c r="H127" i="51"/>
  <c r="D127" i="51"/>
  <c r="AC126" i="51"/>
  <c r="AB126" i="51"/>
  <c r="Y126" i="51"/>
  <c r="T126" i="51"/>
  <c r="N126" i="51"/>
  <c r="L126" i="51"/>
  <c r="H126" i="51"/>
  <c r="F126" i="51"/>
  <c r="D126" i="51"/>
  <c r="AC125" i="51"/>
  <c r="AB125" i="51"/>
  <c r="Y125" i="51"/>
  <c r="T125" i="51"/>
  <c r="N125" i="51"/>
  <c r="L125" i="51"/>
  <c r="H125" i="51"/>
  <c r="D125" i="51"/>
  <c r="AC124" i="51"/>
  <c r="AB124" i="51"/>
  <c r="Y124" i="51"/>
  <c r="T124" i="51"/>
  <c r="N124" i="51"/>
  <c r="L124" i="51"/>
  <c r="J124" i="51"/>
  <c r="H124" i="51"/>
  <c r="D124" i="51"/>
  <c r="AC123" i="51"/>
  <c r="AB123" i="51"/>
  <c r="Y123" i="51"/>
  <c r="T123" i="51"/>
  <c r="N123" i="51"/>
  <c r="L123" i="51"/>
  <c r="H123" i="51"/>
  <c r="D123" i="51"/>
  <c r="AC122" i="51"/>
  <c r="AB122" i="51"/>
  <c r="Y122" i="51"/>
  <c r="T122" i="51"/>
  <c r="N122" i="51"/>
  <c r="L122" i="51"/>
  <c r="J122" i="51"/>
  <c r="H122" i="51"/>
  <c r="F122" i="51"/>
  <c r="D122" i="51"/>
  <c r="AC121" i="51"/>
  <c r="AB121" i="51"/>
  <c r="Y121" i="51"/>
  <c r="T121" i="51"/>
  <c r="N121" i="51"/>
  <c r="L121" i="51"/>
  <c r="J121" i="51"/>
  <c r="H121" i="51"/>
  <c r="D121" i="51"/>
  <c r="AC120" i="51"/>
  <c r="AB120" i="51"/>
  <c r="Y120" i="51"/>
  <c r="T120" i="51"/>
  <c r="N120" i="51"/>
  <c r="L120" i="51"/>
  <c r="H120" i="51"/>
  <c r="D120" i="51"/>
  <c r="AC119" i="51"/>
  <c r="AB119" i="51"/>
  <c r="Y119" i="51"/>
  <c r="T119" i="51"/>
  <c r="N119" i="51"/>
  <c r="L119" i="51"/>
  <c r="H119" i="51"/>
  <c r="D119" i="51"/>
  <c r="AC118" i="51"/>
  <c r="AB118" i="51"/>
  <c r="Y118" i="51"/>
  <c r="T118" i="51"/>
  <c r="N118" i="51"/>
  <c r="L118" i="51"/>
  <c r="J118" i="51"/>
  <c r="H118" i="51"/>
  <c r="D118" i="51"/>
  <c r="AC117" i="51"/>
  <c r="AB117" i="51"/>
  <c r="Y117" i="51"/>
  <c r="T117" i="51"/>
  <c r="N117" i="51"/>
  <c r="L117" i="51"/>
  <c r="J117" i="51"/>
  <c r="H117" i="51"/>
  <c r="F117" i="51"/>
  <c r="D117" i="51"/>
  <c r="AC116" i="51"/>
  <c r="AB116" i="51"/>
  <c r="Y116" i="51"/>
  <c r="T116" i="51"/>
  <c r="N116" i="51"/>
  <c r="L116" i="51"/>
  <c r="H116" i="51"/>
  <c r="D116" i="51"/>
  <c r="AC115" i="51"/>
  <c r="AB115" i="51"/>
  <c r="Y115" i="51"/>
  <c r="T115" i="51"/>
  <c r="N115" i="51"/>
  <c r="L115" i="51"/>
  <c r="H115" i="51"/>
  <c r="F115" i="51"/>
  <c r="D115" i="51"/>
  <c r="AC114" i="51"/>
  <c r="AB114" i="51"/>
  <c r="Y114" i="51"/>
  <c r="T114" i="51"/>
  <c r="N114" i="51"/>
  <c r="L114" i="51"/>
  <c r="J114" i="51"/>
  <c r="H114" i="51"/>
  <c r="D114" i="51"/>
  <c r="AC113" i="51"/>
  <c r="AB113" i="51"/>
  <c r="Y113" i="51"/>
  <c r="N113" i="51"/>
  <c r="L113" i="51"/>
  <c r="H113" i="51"/>
  <c r="D113" i="51"/>
  <c r="AC112" i="51"/>
  <c r="AB112" i="51"/>
  <c r="Y112" i="51"/>
  <c r="N112" i="51"/>
  <c r="L112" i="51"/>
  <c r="J112" i="51"/>
  <c r="H112" i="51"/>
  <c r="F112" i="51"/>
  <c r="D112" i="51"/>
  <c r="AC111" i="51"/>
  <c r="AB111" i="51"/>
  <c r="Y111" i="51"/>
  <c r="N111" i="51"/>
  <c r="L111" i="51"/>
  <c r="H111" i="51"/>
  <c r="D111" i="51"/>
  <c r="AC110" i="51"/>
  <c r="AB110" i="51"/>
  <c r="Y110" i="51"/>
  <c r="W110" i="51"/>
  <c r="N110" i="51"/>
  <c r="L110" i="51"/>
  <c r="J110" i="51"/>
  <c r="H110" i="51"/>
  <c r="F110" i="51"/>
  <c r="D110" i="51"/>
  <c r="AC109" i="51"/>
  <c r="AB109" i="51"/>
  <c r="Y109" i="51"/>
  <c r="W109" i="51"/>
  <c r="N109" i="51"/>
  <c r="L109" i="51"/>
  <c r="J109" i="51"/>
  <c r="H109" i="51"/>
  <c r="D109" i="51"/>
  <c r="AC108" i="51"/>
  <c r="AB108" i="51"/>
  <c r="Y108" i="51"/>
  <c r="W108" i="51"/>
  <c r="N108" i="51"/>
  <c r="L108" i="51"/>
  <c r="J108" i="51"/>
  <c r="H108" i="51"/>
  <c r="F108" i="51"/>
  <c r="D108" i="51"/>
  <c r="AC107" i="51"/>
  <c r="AB107" i="51"/>
  <c r="Y107" i="51"/>
  <c r="W107" i="51"/>
  <c r="N107" i="51"/>
  <c r="L107" i="51"/>
  <c r="J107" i="51"/>
  <c r="H107" i="51"/>
  <c r="F107" i="51"/>
  <c r="D107" i="51"/>
  <c r="AC106" i="51"/>
  <c r="AB106" i="51"/>
  <c r="Y106" i="51"/>
  <c r="W106" i="51"/>
  <c r="N106" i="51"/>
  <c r="L106" i="51"/>
  <c r="J106" i="51"/>
  <c r="H106" i="51"/>
  <c r="D106" i="51"/>
  <c r="AC105" i="51"/>
  <c r="AB105" i="51"/>
  <c r="Y105" i="51"/>
  <c r="W105" i="51"/>
  <c r="L105" i="51"/>
  <c r="J105" i="51"/>
  <c r="H105" i="51"/>
  <c r="F105" i="51"/>
  <c r="D105" i="51"/>
  <c r="AC104" i="51"/>
  <c r="AB104" i="51"/>
  <c r="Y104" i="51"/>
  <c r="W104" i="51"/>
  <c r="N104" i="51"/>
  <c r="L104" i="51"/>
  <c r="J104" i="51"/>
  <c r="H104" i="51"/>
  <c r="F104" i="51"/>
  <c r="D104" i="51"/>
  <c r="AC103" i="51"/>
  <c r="AB103" i="51"/>
  <c r="Y103" i="51"/>
  <c r="W103" i="51"/>
  <c r="J59" i="51" s="1"/>
  <c r="N103" i="51"/>
  <c r="L103" i="51"/>
  <c r="J103" i="51"/>
  <c r="H103" i="51"/>
  <c r="D103" i="51"/>
  <c r="AC102" i="51"/>
  <c r="AB102" i="51"/>
  <c r="Y102" i="51"/>
  <c r="W102" i="51"/>
  <c r="N102" i="51"/>
  <c r="L102" i="51"/>
  <c r="J102" i="51"/>
  <c r="H102" i="51"/>
  <c r="F102" i="51"/>
  <c r="D102" i="51"/>
  <c r="AC101" i="51"/>
  <c r="AB101" i="51"/>
  <c r="Y101" i="51"/>
  <c r="W101" i="51"/>
  <c r="N101" i="51"/>
  <c r="L101" i="51"/>
  <c r="H101" i="51"/>
  <c r="F101" i="51"/>
  <c r="D101" i="51"/>
  <c r="AC100" i="51"/>
  <c r="AB100" i="51"/>
  <c r="Y100" i="51"/>
  <c r="W100" i="51"/>
  <c r="N100" i="51"/>
  <c r="L100" i="51"/>
  <c r="J100" i="51"/>
  <c r="H100" i="51"/>
  <c r="F100" i="51"/>
  <c r="D100" i="51"/>
  <c r="AC99" i="51"/>
  <c r="AB99" i="51"/>
  <c r="Y99" i="51"/>
  <c r="W99" i="51"/>
  <c r="N99" i="51"/>
  <c r="L99" i="51"/>
  <c r="J99" i="51"/>
  <c r="H99" i="51"/>
  <c r="F99" i="51"/>
  <c r="D99" i="51"/>
  <c r="AC98" i="51"/>
  <c r="AB98" i="51"/>
  <c r="Y98" i="51"/>
  <c r="W98" i="51"/>
  <c r="N98" i="51"/>
  <c r="L98" i="51"/>
  <c r="J98" i="51"/>
  <c r="H98" i="51"/>
  <c r="F98" i="51"/>
  <c r="D98" i="51"/>
  <c r="AC97" i="51"/>
  <c r="AB97" i="51"/>
  <c r="Y97" i="51"/>
  <c r="W97" i="51"/>
  <c r="N97" i="51"/>
  <c r="L97" i="51"/>
  <c r="H97" i="51"/>
  <c r="F97" i="51"/>
  <c r="D97" i="51"/>
  <c r="AC96" i="51"/>
  <c r="AB96" i="51"/>
  <c r="Y96" i="51"/>
  <c r="W96" i="51"/>
  <c r="N96" i="51"/>
  <c r="L96" i="51"/>
  <c r="J96" i="51"/>
  <c r="H96" i="51"/>
  <c r="F96" i="51"/>
  <c r="D96" i="51"/>
  <c r="AC95" i="51"/>
  <c r="AB95" i="51"/>
  <c r="Y95" i="51"/>
  <c r="W95" i="51"/>
  <c r="N95" i="51"/>
  <c r="L95" i="51"/>
  <c r="H95" i="51"/>
  <c r="F95" i="51"/>
  <c r="D95" i="51"/>
  <c r="AC94" i="51"/>
  <c r="AB94" i="51"/>
  <c r="Y94" i="51"/>
  <c r="W94" i="51"/>
  <c r="N94" i="51"/>
  <c r="L94" i="51"/>
  <c r="H94" i="51"/>
  <c r="F94" i="51"/>
  <c r="D94" i="51"/>
  <c r="AC93" i="51"/>
  <c r="AB93" i="51"/>
  <c r="Y93" i="51"/>
  <c r="W93" i="51"/>
  <c r="J193" i="51" s="1"/>
  <c r="N93" i="51"/>
  <c r="L93" i="51"/>
  <c r="H93" i="51"/>
  <c r="F93" i="51"/>
  <c r="D93" i="51"/>
  <c r="AC92" i="51"/>
  <c r="AB92" i="51"/>
  <c r="Y92" i="51"/>
  <c r="W92" i="51"/>
  <c r="N92" i="51"/>
  <c r="L92" i="51"/>
  <c r="J92" i="51"/>
  <c r="H92" i="51"/>
  <c r="F92" i="51"/>
  <c r="D92" i="51"/>
  <c r="AC91" i="51"/>
  <c r="AB91" i="51"/>
  <c r="Y91" i="51"/>
  <c r="W91" i="51"/>
  <c r="N91" i="51"/>
  <c r="L91" i="51"/>
  <c r="H91" i="51"/>
  <c r="F91" i="51"/>
  <c r="D91" i="51"/>
  <c r="AC90" i="51"/>
  <c r="AB90" i="51"/>
  <c r="Y90" i="51"/>
  <c r="W90" i="51"/>
  <c r="N90" i="51"/>
  <c r="L90" i="51"/>
  <c r="H90" i="51"/>
  <c r="F90" i="51"/>
  <c r="D90" i="51"/>
  <c r="AC89" i="51"/>
  <c r="AB89" i="51"/>
  <c r="Y89" i="51"/>
  <c r="W89" i="51"/>
  <c r="N89" i="51"/>
  <c r="L89" i="51"/>
  <c r="J89" i="51"/>
  <c r="H89" i="51"/>
  <c r="F89" i="51"/>
  <c r="D89" i="51"/>
  <c r="AC88" i="51"/>
  <c r="AB88" i="51"/>
  <c r="Y88" i="51"/>
  <c r="W88" i="51"/>
  <c r="N88" i="51"/>
  <c r="L88" i="51"/>
  <c r="H88" i="51"/>
  <c r="F88" i="51"/>
  <c r="D88" i="51"/>
  <c r="AC87" i="51"/>
  <c r="AB87" i="51"/>
  <c r="Y87" i="51"/>
  <c r="W87" i="51"/>
  <c r="N87" i="51"/>
  <c r="L87" i="51"/>
  <c r="H87" i="51"/>
  <c r="F87" i="51"/>
  <c r="D87" i="51"/>
  <c r="AC86" i="51"/>
  <c r="AB86" i="51"/>
  <c r="Y86" i="51"/>
  <c r="W86" i="51"/>
  <c r="N86" i="51"/>
  <c r="L86" i="51"/>
  <c r="J86" i="51"/>
  <c r="H86" i="51"/>
  <c r="F86" i="51"/>
  <c r="D86" i="51"/>
  <c r="AC85" i="51"/>
  <c r="AB85" i="51"/>
  <c r="Y85" i="51"/>
  <c r="W85" i="51"/>
  <c r="N85" i="51"/>
  <c r="L85" i="51"/>
  <c r="H85" i="51"/>
  <c r="F85" i="51"/>
  <c r="D85" i="51"/>
  <c r="AC84" i="51"/>
  <c r="AB84" i="51"/>
  <c r="Y84" i="51"/>
  <c r="W84" i="51"/>
  <c r="N84" i="51"/>
  <c r="L84" i="51"/>
  <c r="J84" i="51"/>
  <c r="H84" i="51"/>
  <c r="F84" i="51"/>
  <c r="D84" i="51"/>
  <c r="AC83" i="51"/>
  <c r="AB83" i="51"/>
  <c r="Y83" i="51"/>
  <c r="W83" i="51"/>
  <c r="F118" i="51" s="1"/>
  <c r="N83" i="51"/>
  <c r="L83" i="51"/>
  <c r="H83" i="51"/>
  <c r="F83" i="51"/>
  <c r="D83" i="51"/>
  <c r="AC82" i="51"/>
  <c r="AB82" i="51"/>
  <c r="Y82" i="51"/>
  <c r="W82" i="51"/>
  <c r="N82" i="51"/>
  <c r="L82" i="51"/>
  <c r="J82" i="51"/>
  <c r="H82" i="51"/>
  <c r="F82" i="51"/>
  <c r="D82" i="51"/>
  <c r="AC81" i="51"/>
  <c r="AB81" i="51"/>
  <c r="Y81" i="51"/>
  <c r="W81" i="51"/>
  <c r="N81" i="51"/>
  <c r="L81" i="51"/>
  <c r="J81" i="51"/>
  <c r="H81" i="51"/>
  <c r="F81" i="51"/>
  <c r="D81" i="51"/>
  <c r="AC80" i="51"/>
  <c r="AB80" i="51"/>
  <c r="Y80" i="51"/>
  <c r="W80" i="51"/>
  <c r="N80" i="51"/>
  <c r="L80" i="51"/>
  <c r="H80" i="51"/>
  <c r="F80" i="51"/>
  <c r="D80" i="51"/>
  <c r="AC79" i="51"/>
  <c r="AB79" i="51"/>
  <c r="Y79" i="51"/>
  <c r="W79" i="51"/>
  <c r="N79" i="51"/>
  <c r="L79" i="51"/>
  <c r="J79" i="51"/>
  <c r="H79" i="51"/>
  <c r="F79" i="51"/>
  <c r="D79" i="51"/>
  <c r="AC78" i="51"/>
  <c r="AB78" i="51"/>
  <c r="Y78" i="51"/>
  <c r="W78" i="51"/>
  <c r="N78" i="51"/>
  <c r="L78" i="51"/>
  <c r="H78" i="51"/>
  <c r="F78" i="51"/>
  <c r="D78" i="51"/>
  <c r="AC77" i="51"/>
  <c r="AB77" i="51"/>
  <c r="Y77" i="51"/>
  <c r="W77" i="51"/>
  <c r="N77" i="51"/>
  <c r="L77" i="51"/>
  <c r="J77" i="51"/>
  <c r="H77" i="51"/>
  <c r="F77" i="51"/>
  <c r="D77" i="51"/>
  <c r="AC76" i="51"/>
  <c r="AB76" i="51"/>
  <c r="Y76" i="51"/>
  <c r="W76" i="51"/>
  <c r="N76" i="51"/>
  <c r="L76" i="51"/>
  <c r="H76" i="51"/>
  <c r="F76" i="51"/>
  <c r="D76" i="51"/>
  <c r="AC75" i="51"/>
  <c r="AB75" i="51"/>
  <c r="Y75" i="51"/>
  <c r="W75" i="51"/>
  <c r="N75" i="51"/>
  <c r="L75" i="51"/>
  <c r="J75" i="51"/>
  <c r="H75" i="51"/>
  <c r="F75" i="51"/>
  <c r="D75" i="51"/>
  <c r="AC74" i="51"/>
  <c r="AB74" i="51"/>
  <c r="Y74" i="51"/>
  <c r="W74" i="51"/>
  <c r="N74" i="51"/>
  <c r="L74" i="51"/>
  <c r="H74" i="51"/>
  <c r="F74" i="51"/>
  <c r="D74" i="51"/>
  <c r="AC73" i="51"/>
  <c r="AB73" i="51"/>
  <c r="Y73" i="51"/>
  <c r="W73" i="51"/>
  <c r="J131" i="51" s="1"/>
  <c r="N73" i="51"/>
  <c r="L73" i="51"/>
  <c r="H73" i="51"/>
  <c r="F73" i="51"/>
  <c r="D73" i="51"/>
  <c r="AC72" i="51"/>
  <c r="AB72" i="51"/>
  <c r="Y72" i="51"/>
  <c r="W72" i="51"/>
  <c r="N72" i="51"/>
  <c r="L72" i="51"/>
  <c r="J72" i="51"/>
  <c r="H72" i="51"/>
  <c r="F72" i="51"/>
  <c r="D72" i="51"/>
  <c r="AC71" i="51"/>
  <c r="AB71" i="51"/>
  <c r="Y71" i="51"/>
  <c r="W71" i="51"/>
  <c r="N71" i="51"/>
  <c r="L71" i="51"/>
  <c r="H71" i="51"/>
  <c r="F71" i="51"/>
  <c r="D71" i="51"/>
  <c r="AC70" i="51"/>
  <c r="AB70" i="51"/>
  <c r="Y70" i="51"/>
  <c r="W70" i="51"/>
  <c r="N70" i="51"/>
  <c r="L70" i="51"/>
  <c r="H70" i="51"/>
  <c r="F70" i="51"/>
  <c r="D70" i="51"/>
  <c r="AC69" i="51"/>
  <c r="AB69" i="51"/>
  <c r="N69" i="51"/>
  <c r="L69" i="51"/>
  <c r="J69" i="51"/>
  <c r="H69" i="51"/>
  <c r="F69" i="51"/>
  <c r="D69" i="51"/>
  <c r="AC68" i="51"/>
  <c r="AB68" i="51"/>
  <c r="N68" i="51"/>
  <c r="L68" i="51"/>
  <c r="H68" i="51"/>
  <c r="F68" i="51"/>
  <c r="D68" i="51"/>
  <c r="AC67" i="51"/>
  <c r="AB67" i="51"/>
  <c r="Y67" i="51"/>
  <c r="N67" i="51"/>
  <c r="L67" i="51"/>
  <c r="J67" i="51"/>
  <c r="H67" i="51"/>
  <c r="F67" i="51"/>
  <c r="D67" i="51"/>
  <c r="AC66" i="51"/>
  <c r="AB66" i="51"/>
  <c r="Y66" i="51"/>
  <c r="N66" i="51"/>
  <c r="L66" i="51"/>
  <c r="H66" i="51"/>
  <c r="F66" i="51"/>
  <c r="D66" i="51"/>
  <c r="AC65" i="51"/>
  <c r="AB65" i="51"/>
  <c r="Y65" i="51"/>
  <c r="N65" i="51"/>
  <c r="L65" i="51"/>
  <c r="H65" i="51"/>
  <c r="F65" i="51"/>
  <c r="D65" i="51"/>
  <c r="AC64" i="51"/>
  <c r="AB64" i="51"/>
  <c r="Y64" i="51"/>
  <c r="N64" i="51"/>
  <c r="L64" i="51"/>
  <c r="H64" i="51"/>
  <c r="F64" i="51"/>
  <c r="D64" i="51"/>
  <c r="AC63" i="51"/>
  <c r="AB63" i="51"/>
  <c r="Y63" i="51"/>
  <c r="N63" i="51"/>
  <c r="L63" i="51"/>
  <c r="J63" i="51"/>
  <c r="H63" i="51"/>
  <c r="F63" i="51"/>
  <c r="D63" i="51"/>
  <c r="AC62" i="51"/>
  <c r="AB62" i="51"/>
  <c r="Y62" i="51"/>
  <c r="N62" i="51"/>
  <c r="L62" i="51"/>
  <c r="J62" i="51"/>
  <c r="H62" i="51"/>
  <c r="F62" i="51"/>
  <c r="D62" i="51"/>
  <c r="AC61" i="51"/>
  <c r="AB61" i="51"/>
  <c r="Y61" i="51"/>
  <c r="N61" i="51"/>
  <c r="L61" i="51"/>
  <c r="J61" i="51"/>
  <c r="H61" i="51"/>
  <c r="F61" i="51"/>
  <c r="D61" i="51"/>
  <c r="AC60" i="51"/>
  <c r="AB60" i="51"/>
  <c r="Y60" i="51"/>
  <c r="N60" i="51"/>
  <c r="L60" i="51"/>
  <c r="H60" i="51"/>
  <c r="F60" i="51"/>
  <c r="D60" i="51"/>
  <c r="AC59" i="51"/>
  <c r="AB59" i="51"/>
  <c r="Y59" i="51"/>
  <c r="N59" i="51"/>
  <c r="L59" i="51"/>
  <c r="H59" i="51"/>
  <c r="F59" i="51"/>
  <c r="D59" i="51"/>
  <c r="AC58" i="51"/>
  <c r="AB58" i="51"/>
  <c r="Y58" i="51"/>
  <c r="N58" i="51"/>
  <c r="L58" i="51"/>
  <c r="H58" i="51"/>
  <c r="F58" i="51"/>
  <c r="D58" i="51"/>
  <c r="AC57" i="51"/>
  <c r="AB57" i="51"/>
  <c r="Y57" i="51"/>
  <c r="N57" i="51"/>
  <c r="L57" i="51"/>
  <c r="J57" i="51"/>
  <c r="H57" i="51"/>
  <c r="F57" i="51"/>
  <c r="D57" i="51"/>
  <c r="AC56" i="51"/>
  <c r="AB56" i="51"/>
  <c r="Y56" i="51"/>
  <c r="N56" i="51"/>
  <c r="L56" i="51"/>
  <c r="H56" i="51"/>
  <c r="F56" i="51"/>
  <c r="D56" i="51"/>
  <c r="AC55" i="51"/>
  <c r="AB55" i="51"/>
  <c r="Y55" i="51"/>
  <c r="N55" i="51"/>
  <c r="L55" i="51"/>
  <c r="J55" i="51"/>
  <c r="H55" i="51"/>
  <c r="F55" i="51"/>
  <c r="D55" i="51"/>
  <c r="AC54" i="51"/>
  <c r="AB54" i="51"/>
  <c r="Y54" i="51"/>
  <c r="N54" i="51"/>
  <c r="L54" i="51"/>
  <c r="H54" i="51"/>
  <c r="F54" i="51"/>
  <c r="D54" i="51"/>
  <c r="AC53" i="51"/>
  <c r="AB53" i="51"/>
  <c r="Y53" i="51"/>
  <c r="N53" i="51"/>
  <c r="L53" i="51"/>
  <c r="H53" i="51"/>
  <c r="F53" i="51"/>
  <c r="D53" i="51"/>
  <c r="AC52" i="51"/>
  <c r="AB52" i="51"/>
  <c r="Y52" i="51"/>
  <c r="N52" i="51"/>
  <c r="L52" i="51"/>
  <c r="J52" i="51"/>
  <c r="H52" i="51"/>
  <c r="F52" i="51"/>
  <c r="D52" i="51"/>
  <c r="AC51" i="51"/>
  <c r="AB51" i="51"/>
  <c r="Y51" i="51"/>
  <c r="N51" i="51"/>
  <c r="L51" i="51"/>
  <c r="H51" i="51"/>
  <c r="F51" i="51"/>
  <c r="D51" i="51"/>
  <c r="AC50" i="51"/>
  <c r="AB50" i="51"/>
  <c r="Y50" i="51"/>
  <c r="N50" i="51"/>
  <c r="L50" i="51"/>
  <c r="H50" i="51"/>
  <c r="F50" i="51"/>
  <c r="D50" i="51"/>
  <c r="AC49" i="51"/>
  <c r="AB49" i="51"/>
  <c r="Y49" i="51"/>
  <c r="N49" i="51"/>
  <c r="L49" i="51"/>
  <c r="H49" i="51"/>
  <c r="D49" i="51"/>
  <c r="AC48" i="51"/>
  <c r="AB48" i="51"/>
  <c r="Y48" i="51"/>
  <c r="N48" i="51"/>
  <c r="L48" i="51"/>
  <c r="J48" i="51"/>
  <c r="H48" i="51"/>
  <c r="F48" i="51"/>
  <c r="D48" i="51"/>
  <c r="AC47" i="51"/>
  <c r="AB47" i="51"/>
  <c r="Y47" i="51"/>
  <c r="N47" i="51"/>
  <c r="L47" i="51"/>
  <c r="J47" i="51"/>
  <c r="H47" i="51"/>
  <c r="F47" i="51"/>
  <c r="D47" i="51"/>
  <c r="AC46" i="51"/>
  <c r="AB46" i="51"/>
  <c r="Y46" i="51"/>
  <c r="N46" i="51"/>
  <c r="L46" i="51"/>
  <c r="H46" i="51"/>
  <c r="F46" i="51"/>
  <c r="D46" i="51"/>
  <c r="AC45" i="51"/>
  <c r="AB45" i="51"/>
  <c r="Y45" i="51"/>
  <c r="N45" i="51"/>
  <c r="L45" i="51"/>
  <c r="J45" i="51"/>
  <c r="H45" i="51"/>
  <c r="D45" i="51"/>
  <c r="AC44" i="51"/>
  <c r="AB44" i="51"/>
  <c r="Y44" i="51"/>
  <c r="N44" i="51"/>
  <c r="L44" i="51"/>
  <c r="H44" i="51"/>
  <c r="F44" i="51"/>
  <c r="D44" i="51"/>
  <c r="AC43" i="51"/>
  <c r="AB43" i="51"/>
  <c r="Y43" i="51"/>
  <c r="N43" i="51"/>
  <c r="L43" i="51"/>
  <c r="H43" i="51"/>
  <c r="F43" i="51"/>
  <c r="D43" i="51"/>
  <c r="AC42" i="51"/>
  <c r="AB42" i="51"/>
  <c r="Y42" i="51"/>
  <c r="N42" i="51"/>
  <c r="L42" i="51"/>
  <c r="J42" i="51"/>
  <c r="H42" i="51"/>
  <c r="F42" i="51"/>
  <c r="D42" i="51"/>
  <c r="AC41" i="51"/>
  <c r="AB41" i="51"/>
  <c r="Y41" i="51"/>
  <c r="N41" i="51"/>
  <c r="L41" i="51"/>
  <c r="J41" i="51"/>
  <c r="H41" i="51"/>
  <c r="F41" i="51"/>
  <c r="D41" i="51"/>
  <c r="AC40" i="51"/>
  <c r="AB40" i="51"/>
  <c r="Y40" i="51"/>
  <c r="N40" i="51"/>
  <c r="L40" i="51"/>
  <c r="J40" i="51"/>
  <c r="H40" i="51"/>
  <c r="F40" i="51"/>
  <c r="D40" i="51"/>
  <c r="AC39" i="51"/>
  <c r="AB39" i="51"/>
  <c r="Y39" i="51"/>
  <c r="N39" i="51"/>
  <c r="L39" i="51"/>
  <c r="H39" i="51"/>
  <c r="D39" i="51"/>
  <c r="AC38" i="51"/>
  <c r="AB38" i="51"/>
  <c r="Y38" i="51"/>
  <c r="N38" i="51"/>
  <c r="L38" i="51"/>
  <c r="H38" i="51"/>
  <c r="F38" i="51"/>
  <c r="D38" i="51"/>
  <c r="AC37" i="51"/>
  <c r="AB37" i="51"/>
  <c r="Y37" i="51"/>
  <c r="N37" i="51"/>
  <c r="L37" i="51"/>
  <c r="J37" i="51"/>
  <c r="H37" i="51"/>
  <c r="F37" i="51"/>
  <c r="D37" i="51"/>
  <c r="AC36" i="51"/>
  <c r="AB36" i="51"/>
  <c r="Y36" i="51"/>
  <c r="N36" i="51"/>
  <c r="L36" i="51"/>
  <c r="J36" i="51"/>
  <c r="H36" i="51"/>
  <c r="F36" i="51"/>
  <c r="D36" i="51"/>
  <c r="AC35" i="51"/>
  <c r="AB35" i="51"/>
  <c r="Y35" i="51"/>
  <c r="N35" i="51"/>
  <c r="L35" i="51"/>
  <c r="H35" i="51"/>
  <c r="F35" i="51"/>
  <c r="D35" i="51"/>
  <c r="AC34" i="51"/>
  <c r="AB34" i="51"/>
  <c r="Y34" i="51"/>
  <c r="N34" i="51"/>
  <c r="L34" i="51"/>
  <c r="H34" i="51"/>
  <c r="F34" i="51"/>
  <c r="D34" i="51"/>
  <c r="AC33" i="51"/>
  <c r="AB33" i="51"/>
  <c r="Y33" i="51"/>
  <c r="N33" i="51"/>
  <c r="L33" i="51"/>
  <c r="H33" i="51"/>
  <c r="F33" i="51"/>
  <c r="D33" i="51"/>
  <c r="AC32" i="51"/>
  <c r="AB32" i="51"/>
  <c r="Y32" i="51"/>
  <c r="N32" i="51"/>
  <c r="L32" i="51"/>
  <c r="J32" i="51"/>
  <c r="H32" i="51"/>
  <c r="F32" i="51"/>
  <c r="D32" i="51"/>
  <c r="AC31" i="51"/>
  <c r="AB31" i="51"/>
  <c r="Y31" i="51"/>
  <c r="N31" i="51"/>
  <c r="L31" i="51"/>
  <c r="J31" i="51"/>
  <c r="H31" i="51"/>
  <c r="D31" i="51"/>
  <c r="AC30" i="51"/>
  <c r="AB30" i="51"/>
  <c r="Y30" i="51"/>
  <c r="N30" i="51"/>
  <c r="L30" i="51"/>
  <c r="J30" i="51"/>
  <c r="H30" i="51"/>
  <c r="F30" i="51"/>
  <c r="D30" i="51"/>
  <c r="AC29" i="51"/>
  <c r="AB29" i="51"/>
  <c r="Y29" i="51"/>
  <c r="N29" i="51"/>
  <c r="L29" i="51"/>
  <c r="J29" i="51"/>
  <c r="H29" i="51"/>
  <c r="D29" i="51"/>
  <c r="AC28" i="51"/>
  <c r="AB28" i="51"/>
  <c r="Y28" i="51"/>
  <c r="N28" i="51"/>
  <c r="L28" i="51"/>
  <c r="H28" i="51"/>
  <c r="D28" i="51"/>
  <c r="AC27" i="51"/>
  <c r="AB27" i="51"/>
  <c r="Y27" i="51"/>
  <c r="T27" i="51"/>
  <c r="N27" i="51"/>
  <c r="L27" i="51"/>
  <c r="H27" i="51"/>
  <c r="D27" i="51"/>
  <c r="AC26" i="51"/>
  <c r="AB26" i="51"/>
  <c r="Y26" i="51"/>
  <c r="T26" i="51"/>
  <c r="N26" i="51"/>
  <c r="L26" i="51"/>
  <c r="H26" i="51"/>
  <c r="F26" i="51"/>
  <c r="D26" i="51"/>
  <c r="AC25" i="51"/>
  <c r="AB25" i="51"/>
  <c r="Y25" i="51"/>
  <c r="T25" i="51"/>
  <c r="N25" i="51"/>
  <c r="L25" i="51"/>
  <c r="H25" i="51"/>
  <c r="D25" i="51"/>
  <c r="AC24" i="51"/>
  <c r="AB24" i="51"/>
  <c r="Y24" i="51"/>
  <c r="T24" i="51"/>
  <c r="N24" i="51"/>
  <c r="L24" i="51"/>
  <c r="J24" i="51"/>
  <c r="H24" i="51"/>
  <c r="D24" i="51"/>
  <c r="AC23" i="51"/>
  <c r="AB23" i="51"/>
  <c r="Y23" i="51"/>
  <c r="T23" i="51"/>
  <c r="N23" i="51"/>
  <c r="L23" i="51"/>
  <c r="H23" i="51"/>
  <c r="D23" i="51"/>
  <c r="AC22" i="51"/>
  <c r="AB22" i="51"/>
  <c r="Y22" i="51"/>
  <c r="T22" i="51"/>
  <c r="N22" i="51"/>
  <c r="L22" i="51"/>
  <c r="J22" i="51"/>
  <c r="H22" i="51"/>
  <c r="F22" i="51"/>
  <c r="D22" i="51"/>
  <c r="AC21" i="51"/>
  <c r="AB21" i="51"/>
  <c r="Y21" i="51"/>
  <c r="T21" i="51"/>
  <c r="N21" i="51"/>
  <c r="L21" i="51"/>
  <c r="J21" i="51"/>
  <c r="H21" i="51"/>
  <c r="D21" i="51"/>
  <c r="AC20" i="51"/>
  <c r="AB20" i="51"/>
  <c r="Y20" i="51"/>
  <c r="T20" i="51"/>
  <c r="N20" i="51"/>
  <c r="L20" i="51"/>
  <c r="H20" i="51"/>
  <c r="D20" i="51"/>
  <c r="AC19" i="51"/>
  <c r="AB19" i="51"/>
  <c r="Y19" i="51"/>
  <c r="T19" i="51"/>
  <c r="N19" i="51"/>
  <c r="L19" i="51"/>
  <c r="J19" i="51"/>
  <c r="H19" i="51"/>
  <c r="D19" i="51"/>
  <c r="AC18" i="51"/>
  <c r="AB18" i="51"/>
  <c r="Y18" i="51"/>
  <c r="T18" i="51"/>
  <c r="N18" i="51"/>
  <c r="L18" i="51"/>
  <c r="J18" i="51"/>
  <c r="H18" i="51"/>
  <c r="F18" i="51"/>
  <c r="D18" i="51"/>
  <c r="AC17" i="51"/>
  <c r="AB17" i="51"/>
  <c r="Y17" i="51"/>
  <c r="T17" i="51"/>
  <c r="N17" i="51"/>
  <c r="L17" i="51"/>
  <c r="J17" i="51"/>
  <c r="H17" i="51"/>
  <c r="F17" i="51"/>
  <c r="D17" i="51"/>
  <c r="AC16" i="51"/>
  <c r="AB16" i="51"/>
  <c r="Y16" i="51"/>
  <c r="T16" i="51"/>
  <c r="N16" i="51"/>
  <c r="L16" i="51"/>
  <c r="H16" i="51"/>
  <c r="D16" i="51"/>
  <c r="AC15" i="51"/>
  <c r="AB15" i="51"/>
  <c r="Y15" i="51"/>
  <c r="T15" i="51"/>
  <c r="N15" i="51"/>
  <c r="L15" i="51"/>
  <c r="H15" i="51"/>
  <c r="D15" i="51"/>
  <c r="AC14" i="51"/>
  <c r="AB14" i="51"/>
  <c r="Y14" i="51"/>
  <c r="T14" i="51"/>
  <c r="N14" i="51"/>
  <c r="L14" i="51"/>
  <c r="J14" i="51"/>
  <c r="H14" i="51"/>
  <c r="D14" i="51"/>
  <c r="AC13" i="51"/>
  <c r="AB13" i="51"/>
  <c r="Y13" i="51"/>
  <c r="N13" i="51"/>
  <c r="L13" i="51"/>
  <c r="H13" i="51"/>
  <c r="D13" i="51"/>
  <c r="AC12" i="51"/>
  <c r="AB12" i="51"/>
  <c r="Y12" i="51"/>
  <c r="N12" i="51"/>
  <c r="L12" i="51"/>
  <c r="J12" i="51"/>
  <c r="H12" i="51"/>
  <c r="F12" i="51"/>
  <c r="D12" i="51"/>
  <c r="AC11" i="51"/>
  <c r="AB11" i="51"/>
  <c r="Y11" i="51"/>
  <c r="N11" i="51"/>
  <c r="L11" i="51"/>
  <c r="H11" i="51"/>
  <c r="D11" i="51"/>
  <c r="AC10" i="51"/>
  <c r="AB10" i="51"/>
  <c r="Y10" i="51"/>
  <c r="N10" i="51"/>
  <c r="L10" i="51"/>
  <c r="J10" i="51"/>
  <c r="H10" i="51"/>
  <c r="F10" i="51"/>
  <c r="D10" i="51"/>
  <c r="AC9" i="51"/>
  <c r="AB9" i="51"/>
  <c r="Y9" i="51"/>
  <c r="N9" i="51"/>
  <c r="L9" i="51"/>
  <c r="J9" i="51"/>
  <c r="H9" i="51"/>
  <c r="D9" i="51"/>
  <c r="AC8" i="51"/>
  <c r="AB8" i="51"/>
  <c r="Y8" i="51"/>
  <c r="N8" i="51"/>
  <c r="L8" i="51"/>
  <c r="J8" i="51"/>
  <c r="H8" i="51"/>
  <c r="F8" i="51"/>
  <c r="D8" i="51"/>
  <c r="AC7" i="51"/>
  <c r="AB7" i="51"/>
  <c r="Y7" i="51"/>
  <c r="N7" i="51"/>
  <c r="L7" i="51"/>
  <c r="J7" i="51"/>
  <c r="H7" i="51"/>
  <c r="F7" i="51"/>
  <c r="D7" i="51"/>
  <c r="AC6" i="51"/>
  <c r="AB6" i="51"/>
  <c r="Y6" i="51"/>
  <c r="N6" i="51"/>
  <c r="L6" i="51"/>
  <c r="J6" i="51"/>
  <c r="H6" i="51"/>
  <c r="F6" i="51"/>
  <c r="D6" i="51"/>
  <c r="AC5" i="51"/>
  <c r="AB5" i="51"/>
  <c r="Y5" i="51"/>
  <c r="L5" i="51"/>
  <c r="J5" i="51"/>
  <c r="H5" i="51"/>
  <c r="F5" i="51"/>
  <c r="D5" i="51"/>
  <c r="AC4" i="51"/>
  <c r="AB4" i="51"/>
  <c r="Y4" i="51"/>
  <c r="N4" i="51"/>
  <c r="L4" i="51"/>
  <c r="J4" i="51"/>
  <c r="H4" i="51"/>
  <c r="F4" i="51"/>
  <c r="D4" i="51"/>
  <c r="AC3" i="51"/>
  <c r="AB3" i="51"/>
  <c r="Y3" i="51"/>
  <c r="N3" i="51"/>
  <c r="L3" i="51"/>
  <c r="J3" i="51"/>
  <c r="H3" i="51"/>
  <c r="D3" i="51"/>
  <c r="K253" i="47"/>
  <c r="J253" i="47"/>
  <c r="I253" i="47"/>
  <c r="H253" i="47"/>
  <c r="K252" i="47"/>
  <c r="J252" i="47"/>
  <c r="I252" i="47"/>
  <c r="H252" i="47"/>
  <c r="K251" i="47"/>
  <c r="J251" i="47"/>
  <c r="I251" i="47"/>
  <c r="H251" i="47"/>
  <c r="K250" i="47"/>
  <c r="J250" i="47"/>
  <c r="I250" i="47"/>
  <c r="H250" i="47"/>
  <c r="K249" i="47"/>
  <c r="J249" i="47"/>
  <c r="I249" i="47"/>
  <c r="H249" i="47"/>
  <c r="K248" i="47"/>
  <c r="J248" i="47"/>
  <c r="I248" i="47"/>
  <c r="H248" i="47"/>
  <c r="K247" i="47"/>
  <c r="J247" i="47"/>
  <c r="I247" i="47"/>
  <c r="H247" i="47"/>
  <c r="K246" i="47"/>
  <c r="J246" i="47"/>
  <c r="I246" i="47"/>
  <c r="H246" i="47"/>
  <c r="K245" i="47"/>
  <c r="J245" i="47"/>
  <c r="I245" i="47"/>
  <c r="H245" i="47"/>
  <c r="K244" i="47"/>
  <c r="J244" i="47"/>
  <c r="I244" i="47"/>
  <c r="H244" i="47"/>
  <c r="K243" i="47"/>
  <c r="J243" i="47"/>
  <c r="I243" i="47"/>
  <c r="H243" i="47"/>
  <c r="K242" i="47"/>
  <c r="J242" i="47"/>
  <c r="I242" i="47"/>
  <c r="H242" i="47"/>
  <c r="K241" i="47"/>
  <c r="J241" i="47"/>
  <c r="I241" i="47"/>
  <c r="H241" i="47"/>
  <c r="K240" i="47"/>
  <c r="J240" i="47"/>
  <c r="I240" i="47"/>
  <c r="H240" i="47"/>
  <c r="K239" i="47"/>
  <c r="J239" i="47"/>
  <c r="I239" i="47"/>
  <c r="H239" i="47"/>
  <c r="K238" i="47"/>
  <c r="J238" i="47"/>
  <c r="I238" i="47"/>
  <c r="H238" i="47"/>
  <c r="K237" i="47"/>
  <c r="J237" i="47"/>
  <c r="I237" i="47"/>
  <c r="H237" i="47"/>
  <c r="K236" i="47"/>
  <c r="J236" i="47"/>
  <c r="I236" i="47"/>
  <c r="H236" i="47"/>
  <c r="K235" i="47"/>
  <c r="J235" i="47"/>
  <c r="I235" i="47"/>
  <c r="H235" i="47"/>
  <c r="K234" i="47"/>
  <c r="J234" i="47"/>
  <c r="I234" i="47"/>
  <c r="H234" i="47"/>
  <c r="K233" i="47"/>
  <c r="J233" i="47"/>
  <c r="I233" i="47"/>
  <c r="H233" i="47"/>
  <c r="K232" i="47"/>
  <c r="J232" i="47"/>
  <c r="I232" i="47"/>
  <c r="H232" i="47"/>
  <c r="K231" i="47"/>
  <c r="J231" i="47"/>
  <c r="I231" i="47"/>
  <c r="H231" i="47"/>
  <c r="K230" i="47"/>
  <c r="J230" i="47"/>
  <c r="I230" i="47"/>
  <c r="H230" i="47"/>
  <c r="K229" i="47"/>
  <c r="J229" i="47"/>
  <c r="I229" i="47"/>
  <c r="H229" i="47"/>
  <c r="K228" i="47"/>
  <c r="J228" i="47"/>
  <c r="I228" i="47"/>
  <c r="H228" i="47"/>
  <c r="K227" i="47"/>
  <c r="J227" i="47"/>
  <c r="I227" i="47"/>
  <c r="H227" i="47"/>
  <c r="K226" i="47"/>
  <c r="J226" i="47"/>
  <c r="I226" i="47"/>
  <c r="H226" i="47"/>
  <c r="K225" i="47"/>
  <c r="J225" i="47"/>
  <c r="I225" i="47"/>
  <c r="H225" i="47"/>
  <c r="K224" i="47"/>
  <c r="J224" i="47"/>
  <c r="I224" i="47"/>
  <c r="H224" i="47"/>
  <c r="K223" i="47"/>
  <c r="J223" i="47"/>
  <c r="I223" i="47"/>
  <c r="H223" i="47"/>
  <c r="K222" i="47"/>
  <c r="J222" i="47"/>
  <c r="I222" i="47"/>
  <c r="H222" i="47"/>
  <c r="K221" i="47"/>
  <c r="J221" i="47"/>
  <c r="I221" i="47"/>
  <c r="H221" i="47"/>
  <c r="K220" i="47"/>
  <c r="J220" i="47"/>
  <c r="I220" i="47"/>
  <c r="H220" i="47"/>
  <c r="K219" i="47"/>
  <c r="J219" i="47"/>
  <c r="I219" i="47"/>
  <c r="H219" i="47"/>
  <c r="K218" i="47"/>
  <c r="J218" i="47"/>
  <c r="I218" i="47"/>
  <c r="H218" i="47"/>
  <c r="K217" i="47"/>
  <c r="J217" i="47"/>
  <c r="I217" i="47"/>
  <c r="H217" i="47"/>
  <c r="K216" i="47"/>
  <c r="J216" i="47"/>
  <c r="I216" i="47"/>
  <c r="H216" i="47"/>
  <c r="K215" i="47"/>
  <c r="J215" i="47"/>
  <c r="I215" i="47"/>
  <c r="H215" i="47"/>
  <c r="K214" i="47"/>
  <c r="J214" i="47"/>
  <c r="I214" i="47"/>
  <c r="H214" i="47"/>
  <c r="K213" i="47"/>
  <c r="J213" i="47"/>
  <c r="I213" i="47"/>
  <c r="H213" i="47"/>
  <c r="K212" i="47"/>
  <c r="J212" i="47"/>
  <c r="I212" i="47"/>
  <c r="H212" i="47"/>
  <c r="K211" i="47"/>
  <c r="J211" i="47"/>
  <c r="I211" i="47"/>
  <c r="H211" i="47"/>
  <c r="K210" i="47"/>
  <c r="J210" i="47"/>
  <c r="I210" i="47"/>
  <c r="H210" i="47"/>
  <c r="K209" i="47"/>
  <c r="J209" i="47"/>
  <c r="I209" i="47"/>
  <c r="H209" i="47"/>
  <c r="K208" i="47"/>
  <c r="J208" i="47"/>
  <c r="I208" i="47"/>
  <c r="H208" i="47"/>
  <c r="K207" i="47"/>
  <c r="J207" i="47"/>
  <c r="I207" i="47"/>
  <c r="H207" i="47"/>
  <c r="K206" i="47"/>
  <c r="J206" i="47"/>
  <c r="I206" i="47"/>
  <c r="H206" i="47"/>
  <c r="M205" i="47"/>
  <c r="K205" i="47"/>
  <c r="N205" i="47" s="1"/>
  <c r="I205" i="47"/>
  <c r="L205" i="47" s="1"/>
  <c r="H205" i="47"/>
  <c r="C199" i="47"/>
  <c r="F181" i="47"/>
  <c r="D181" i="47"/>
  <c r="E178" i="47"/>
  <c r="E177" i="47"/>
  <c r="E175" i="47"/>
  <c r="F170" i="47"/>
  <c r="D170" i="47"/>
  <c r="AO160" i="47"/>
  <c r="AN160" i="47"/>
  <c r="AM160" i="47"/>
  <c r="AL160" i="47"/>
  <c r="AJ160" i="47"/>
  <c r="AH160" i="47"/>
  <c r="AG160" i="47"/>
  <c r="AF160" i="47"/>
  <c r="AE160" i="47"/>
  <c r="AD160" i="47"/>
  <c r="AC160" i="47"/>
  <c r="P160" i="47"/>
  <c r="O160" i="47"/>
  <c r="AO159" i="47"/>
  <c r="AN159" i="47"/>
  <c r="AM159" i="47"/>
  <c r="AL159" i="47"/>
  <c r="AJ159" i="47"/>
  <c r="AH159" i="47"/>
  <c r="AG159" i="47"/>
  <c r="AF159" i="47"/>
  <c r="AE159" i="47"/>
  <c r="AD159" i="47"/>
  <c r="AC159" i="47"/>
  <c r="P159" i="47"/>
  <c r="O159" i="47"/>
  <c r="M159" i="47"/>
  <c r="AO158" i="47"/>
  <c r="AN158" i="47"/>
  <c r="AM158" i="47"/>
  <c r="AL158" i="47"/>
  <c r="AJ158" i="47"/>
  <c r="AH158" i="47"/>
  <c r="AG158" i="47"/>
  <c r="AF158" i="47"/>
  <c r="AE158" i="47"/>
  <c r="AD158" i="47"/>
  <c r="AC158" i="47"/>
  <c r="P158" i="47"/>
  <c r="O158" i="47"/>
  <c r="AO157" i="47"/>
  <c r="AN157" i="47"/>
  <c r="AM157" i="47"/>
  <c r="AL157" i="47"/>
  <c r="AJ157" i="47"/>
  <c r="AH157" i="47"/>
  <c r="AG157" i="47"/>
  <c r="AF157" i="47"/>
  <c r="AE157" i="47"/>
  <c r="AD157" i="47"/>
  <c r="AC157" i="47"/>
  <c r="P157" i="47"/>
  <c r="O157" i="47"/>
  <c r="M157" i="47"/>
  <c r="AO156" i="47"/>
  <c r="AN156" i="47"/>
  <c r="AM156" i="47"/>
  <c r="AL156" i="47"/>
  <c r="AJ156" i="47"/>
  <c r="AH156" i="47"/>
  <c r="AG156" i="47"/>
  <c r="AF156" i="47"/>
  <c r="AE156" i="47"/>
  <c r="AD156" i="47"/>
  <c r="AC156" i="47"/>
  <c r="P156" i="47"/>
  <c r="O156" i="47"/>
  <c r="AO155" i="47"/>
  <c r="AN155" i="47"/>
  <c r="AM155" i="47"/>
  <c r="AL155" i="47"/>
  <c r="AJ155" i="47"/>
  <c r="AH155" i="47"/>
  <c r="AG155" i="47"/>
  <c r="AF155" i="47"/>
  <c r="AE155" i="47"/>
  <c r="AD155" i="47"/>
  <c r="AC155" i="47"/>
  <c r="P155" i="47"/>
  <c r="O155" i="47"/>
  <c r="M155" i="47"/>
  <c r="AO154" i="47"/>
  <c r="AN154" i="47"/>
  <c r="AM154" i="47"/>
  <c r="AL154" i="47"/>
  <c r="AJ154" i="47"/>
  <c r="AH154" i="47"/>
  <c r="AG154" i="47"/>
  <c r="AF154" i="47"/>
  <c r="AE154" i="47"/>
  <c r="AD154" i="47"/>
  <c r="AC154" i="47"/>
  <c r="P154" i="47"/>
  <c r="O154" i="47"/>
  <c r="AO153" i="47"/>
  <c r="AN153" i="47"/>
  <c r="AL153" i="47"/>
  <c r="AJ153" i="47"/>
  <c r="AH153" i="47"/>
  <c r="AG153" i="47"/>
  <c r="AF153" i="47"/>
  <c r="AE153" i="47"/>
  <c r="AD153" i="47"/>
  <c r="AC153" i="47"/>
  <c r="P153" i="47"/>
  <c r="O153" i="47"/>
  <c r="M153" i="47"/>
  <c r="K153" i="47"/>
  <c r="AO152" i="47"/>
  <c r="AN152" i="47"/>
  <c r="AM152" i="47"/>
  <c r="AL152" i="47"/>
  <c r="AJ152" i="47"/>
  <c r="AH152" i="47"/>
  <c r="AG152" i="47"/>
  <c r="AF152" i="47"/>
  <c r="AE152" i="47"/>
  <c r="AD152" i="47"/>
  <c r="AC152" i="47"/>
  <c r="P152" i="47"/>
  <c r="O152" i="47"/>
  <c r="AO151" i="47"/>
  <c r="AN151" i="47"/>
  <c r="AM151" i="47"/>
  <c r="AL151" i="47"/>
  <c r="AJ151" i="47"/>
  <c r="AH151" i="47"/>
  <c r="AG151" i="47"/>
  <c r="AF151" i="47"/>
  <c r="AE151" i="47"/>
  <c r="AD151" i="47"/>
  <c r="AC151" i="47"/>
  <c r="P151" i="47"/>
  <c r="O151" i="47"/>
  <c r="M151" i="47"/>
  <c r="AO150" i="47"/>
  <c r="AN150" i="47"/>
  <c r="AM150" i="47"/>
  <c r="AL150" i="47"/>
  <c r="AJ150" i="47"/>
  <c r="AH150" i="47"/>
  <c r="AG150" i="47"/>
  <c r="AF150" i="47"/>
  <c r="AE150" i="47"/>
  <c r="AD150" i="47"/>
  <c r="AC150" i="47"/>
  <c r="P150" i="47"/>
  <c r="O150" i="47"/>
  <c r="AO149" i="47"/>
  <c r="AN149" i="47"/>
  <c r="AM149" i="47"/>
  <c r="AL149" i="47"/>
  <c r="AJ149" i="47"/>
  <c r="AH149" i="47"/>
  <c r="AG149" i="47"/>
  <c r="AF149" i="47"/>
  <c r="AE149" i="47"/>
  <c r="AD149" i="47"/>
  <c r="AC149" i="47"/>
  <c r="P149" i="47"/>
  <c r="O149" i="47"/>
  <c r="M149" i="47"/>
  <c r="AO148" i="47"/>
  <c r="AN148" i="47"/>
  <c r="AM148" i="47"/>
  <c r="AL148" i="47"/>
  <c r="AJ148" i="47"/>
  <c r="AH148" i="47"/>
  <c r="AG148" i="47"/>
  <c r="AF148" i="47"/>
  <c r="AE148" i="47"/>
  <c r="AD148" i="47"/>
  <c r="AC148" i="47"/>
  <c r="P148" i="47"/>
  <c r="O148" i="47"/>
  <c r="AO147" i="47"/>
  <c r="AN147" i="47"/>
  <c r="AL147" i="47"/>
  <c r="AJ147" i="47"/>
  <c r="AH147" i="47"/>
  <c r="AG147" i="47"/>
  <c r="AF147" i="47"/>
  <c r="AE147" i="47"/>
  <c r="AD147" i="47"/>
  <c r="AC147" i="47"/>
  <c r="P147" i="47"/>
  <c r="O147" i="47"/>
  <c r="M147" i="47"/>
  <c r="K147" i="47"/>
  <c r="S147" i="47" s="1"/>
  <c r="AO146" i="47"/>
  <c r="AN146" i="47"/>
  <c r="AM146" i="47"/>
  <c r="AL146" i="47"/>
  <c r="AJ146" i="47"/>
  <c r="AH146" i="47"/>
  <c r="AG146" i="47"/>
  <c r="AF146" i="47"/>
  <c r="AE146" i="47"/>
  <c r="AD146" i="47"/>
  <c r="AC146" i="47"/>
  <c r="P146" i="47"/>
  <c r="Q146" i="47" s="1"/>
  <c r="O146" i="47"/>
  <c r="AO145" i="47"/>
  <c r="AN145" i="47"/>
  <c r="AM145" i="47"/>
  <c r="AL145" i="47"/>
  <c r="AJ145" i="47"/>
  <c r="AH145" i="47"/>
  <c r="AG145" i="47"/>
  <c r="AF145" i="47"/>
  <c r="AE145" i="47"/>
  <c r="AD145" i="47"/>
  <c r="AC145" i="47"/>
  <c r="P145" i="47"/>
  <c r="O145" i="47"/>
  <c r="M145" i="47"/>
  <c r="AO144" i="47"/>
  <c r="AN144" i="47"/>
  <c r="AM144" i="47"/>
  <c r="AL144" i="47"/>
  <c r="AJ144" i="47"/>
  <c r="AH144" i="47"/>
  <c r="AG144" i="47"/>
  <c r="AF144" i="47"/>
  <c r="AE144" i="47"/>
  <c r="AD144" i="47"/>
  <c r="AC144" i="47"/>
  <c r="P144" i="47"/>
  <c r="O144" i="47"/>
  <c r="AO143" i="47"/>
  <c r="AN143" i="47"/>
  <c r="AM143" i="47"/>
  <c r="AL143" i="47"/>
  <c r="AJ143" i="47"/>
  <c r="AH143" i="47"/>
  <c r="AG143" i="47"/>
  <c r="AF143" i="47"/>
  <c r="AE143" i="47"/>
  <c r="AD143" i="47"/>
  <c r="AC143" i="47"/>
  <c r="P143" i="47"/>
  <c r="O143" i="47"/>
  <c r="M143" i="47"/>
  <c r="AO142" i="47"/>
  <c r="AN142" i="47"/>
  <c r="AM142" i="47"/>
  <c r="AL142" i="47"/>
  <c r="AJ142" i="47"/>
  <c r="AH142" i="47"/>
  <c r="AG142" i="47"/>
  <c r="AF142" i="47"/>
  <c r="AE142" i="47"/>
  <c r="AD142" i="47"/>
  <c r="AC142" i="47"/>
  <c r="P142" i="47"/>
  <c r="O142" i="47"/>
  <c r="Q142" i="47" s="1"/>
  <c r="AO141" i="47"/>
  <c r="AN141" i="47"/>
  <c r="AM141" i="47"/>
  <c r="AL141" i="47"/>
  <c r="AJ141" i="47"/>
  <c r="AH141" i="47"/>
  <c r="AG141" i="47"/>
  <c r="AF141" i="47"/>
  <c r="AE141" i="47"/>
  <c r="AD141" i="47"/>
  <c r="AC141" i="47"/>
  <c r="P141" i="47"/>
  <c r="O141" i="47"/>
  <c r="M141" i="47"/>
  <c r="AO140" i="47"/>
  <c r="AN140" i="47"/>
  <c r="AM140" i="47"/>
  <c r="AL140" i="47"/>
  <c r="AJ140" i="47"/>
  <c r="AH140" i="47"/>
  <c r="AG140" i="47"/>
  <c r="AF140" i="47"/>
  <c r="AE140" i="47"/>
  <c r="AD140" i="47"/>
  <c r="AC140" i="47"/>
  <c r="P140" i="47"/>
  <c r="O140" i="47"/>
  <c r="Q140" i="47" s="1"/>
  <c r="AO139" i="47"/>
  <c r="AN139" i="47"/>
  <c r="AM139" i="47"/>
  <c r="AL139" i="47"/>
  <c r="AJ139" i="47"/>
  <c r="AH139" i="47"/>
  <c r="AG139" i="47"/>
  <c r="AF139" i="47"/>
  <c r="AE139" i="47"/>
  <c r="AD139" i="47"/>
  <c r="AC139" i="47"/>
  <c r="P139" i="47"/>
  <c r="O139" i="47"/>
  <c r="M139" i="47"/>
  <c r="AO138" i="47"/>
  <c r="AN138" i="47"/>
  <c r="AM138" i="47"/>
  <c r="AL138" i="47"/>
  <c r="AJ138" i="47"/>
  <c r="AH138" i="47"/>
  <c r="AG138" i="47"/>
  <c r="AF138" i="47"/>
  <c r="AE138" i="47"/>
  <c r="AD138" i="47"/>
  <c r="AC138" i="47"/>
  <c r="P138" i="47"/>
  <c r="O138" i="47"/>
  <c r="Q138" i="47" s="1"/>
  <c r="AO137" i="47"/>
  <c r="AN137" i="47"/>
  <c r="AM137" i="47"/>
  <c r="AL137" i="47"/>
  <c r="AJ137" i="47"/>
  <c r="AH137" i="47"/>
  <c r="AG137" i="47"/>
  <c r="AF137" i="47"/>
  <c r="AE137" i="47"/>
  <c r="AD137" i="47"/>
  <c r="AC137" i="47"/>
  <c r="P137" i="47"/>
  <c r="O137" i="47"/>
  <c r="M137" i="47"/>
  <c r="AO136" i="47"/>
  <c r="AN136" i="47"/>
  <c r="AM136" i="47"/>
  <c r="AL136" i="47"/>
  <c r="AJ136" i="47"/>
  <c r="AH136" i="47"/>
  <c r="AG136" i="47"/>
  <c r="AF136" i="47"/>
  <c r="AE136" i="47"/>
  <c r="AD136" i="47"/>
  <c r="AC136" i="47"/>
  <c r="P136" i="47"/>
  <c r="O136" i="47"/>
  <c r="AO135" i="47"/>
  <c r="AN135" i="47"/>
  <c r="AM135" i="47"/>
  <c r="AL135" i="47"/>
  <c r="AJ135" i="47"/>
  <c r="AH135" i="47"/>
  <c r="AG135" i="47"/>
  <c r="AF135" i="47"/>
  <c r="AE135" i="47"/>
  <c r="AD135" i="47"/>
  <c r="AC135" i="47"/>
  <c r="P135" i="47"/>
  <c r="O135" i="47"/>
  <c r="M135" i="47"/>
  <c r="AO134" i="47"/>
  <c r="AN134" i="47"/>
  <c r="AM134" i="47"/>
  <c r="AL134" i="47"/>
  <c r="AJ134" i="47"/>
  <c r="AH134" i="47"/>
  <c r="AG134" i="47"/>
  <c r="AF134" i="47"/>
  <c r="AE134" i="47"/>
  <c r="AD134" i="47"/>
  <c r="AC134" i="47"/>
  <c r="P134" i="47"/>
  <c r="O134" i="47"/>
  <c r="AO133" i="47"/>
  <c r="AN133" i="47"/>
  <c r="AL133" i="47"/>
  <c r="AJ133" i="47"/>
  <c r="AH133" i="47"/>
  <c r="AG133" i="47"/>
  <c r="AF133" i="47"/>
  <c r="AE133" i="47"/>
  <c r="AD133" i="47"/>
  <c r="AC133" i="47"/>
  <c r="P133" i="47"/>
  <c r="O133" i="47"/>
  <c r="Q133" i="47" s="1"/>
  <c r="M133" i="47"/>
  <c r="K133" i="47"/>
  <c r="S133" i="47" s="1"/>
  <c r="AO132" i="47"/>
  <c r="AN132" i="47"/>
  <c r="AM132" i="47"/>
  <c r="AL132" i="47"/>
  <c r="AJ132" i="47"/>
  <c r="AH132" i="47"/>
  <c r="AG132" i="47"/>
  <c r="AF132" i="47"/>
  <c r="AE132" i="47"/>
  <c r="AD132" i="47"/>
  <c r="AC132" i="47"/>
  <c r="P132" i="47"/>
  <c r="O132" i="47"/>
  <c r="AO131" i="47"/>
  <c r="AN131" i="47"/>
  <c r="AM131" i="47"/>
  <c r="AL131" i="47"/>
  <c r="AJ131" i="47"/>
  <c r="AH131" i="47"/>
  <c r="AG131" i="47"/>
  <c r="AF131" i="47"/>
  <c r="AE131" i="47"/>
  <c r="AD131" i="47"/>
  <c r="AC131" i="47"/>
  <c r="P131" i="47"/>
  <c r="O131" i="47"/>
  <c r="M131" i="47"/>
  <c r="AO130" i="47"/>
  <c r="AN130" i="47"/>
  <c r="AM130" i="47"/>
  <c r="AL130" i="47"/>
  <c r="AJ130" i="47"/>
  <c r="AH130" i="47"/>
  <c r="AG130" i="47"/>
  <c r="AF130" i="47"/>
  <c r="AE130" i="47"/>
  <c r="AD130" i="47"/>
  <c r="AC130" i="47"/>
  <c r="P130" i="47"/>
  <c r="O130" i="47"/>
  <c r="AO129" i="47"/>
  <c r="AN129" i="47"/>
  <c r="AM129" i="47"/>
  <c r="AL129" i="47"/>
  <c r="AJ129" i="47"/>
  <c r="AH129" i="47"/>
  <c r="AG129" i="47"/>
  <c r="AF129" i="47"/>
  <c r="AE129" i="47"/>
  <c r="AD129" i="47"/>
  <c r="AC129" i="47"/>
  <c r="P129" i="47"/>
  <c r="O129" i="47"/>
  <c r="M129" i="47"/>
  <c r="AO128" i="47"/>
  <c r="AN128" i="47"/>
  <c r="AM128" i="47"/>
  <c r="AL128" i="47"/>
  <c r="AJ128" i="47"/>
  <c r="AH128" i="47"/>
  <c r="AG128" i="47"/>
  <c r="AF128" i="47"/>
  <c r="AE128" i="47"/>
  <c r="AD128" i="47"/>
  <c r="AC128" i="47"/>
  <c r="P128" i="47"/>
  <c r="O128" i="47"/>
  <c r="AO127" i="47"/>
  <c r="AN127" i="47"/>
  <c r="AM127" i="47"/>
  <c r="AL127" i="47"/>
  <c r="AJ127" i="47"/>
  <c r="AH127" i="47"/>
  <c r="AG127" i="47"/>
  <c r="AF127" i="47"/>
  <c r="AE127" i="47"/>
  <c r="AD127" i="47"/>
  <c r="AC127" i="47"/>
  <c r="P127" i="47"/>
  <c r="O127" i="47"/>
  <c r="M127" i="47"/>
  <c r="AO126" i="47"/>
  <c r="AN126" i="47"/>
  <c r="AM126" i="47"/>
  <c r="AL126" i="47"/>
  <c r="AJ126" i="47"/>
  <c r="AH126" i="47"/>
  <c r="AG126" i="47"/>
  <c r="AF126" i="47"/>
  <c r="AE126" i="47"/>
  <c r="AD126" i="47"/>
  <c r="AC126" i="47"/>
  <c r="P126" i="47"/>
  <c r="O126" i="47"/>
  <c r="Q126" i="47" s="1"/>
  <c r="AO125" i="47"/>
  <c r="AN125" i="47"/>
  <c r="AL125" i="47"/>
  <c r="AJ125" i="47"/>
  <c r="AH125" i="47"/>
  <c r="AG125" i="47"/>
  <c r="AF125" i="47"/>
  <c r="AE125" i="47"/>
  <c r="AD125" i="47"/>
  <c r="AC125" i="47"/>
  <c r="Q125" i="47"/>
  <c r="P125" i="47"/>
  <c r="O125" i="47"/>
  <c r="M125" i="47"/>
  <c r="K125" i="47"/>
  <c r="AO124" i="47"/>
  <c r="AN124" i="47"/>
  <c r="AM124" i="47"/>
  <c r="AL124" i="47"/>
  <c r="AJ124" i="47"/>
  <c r="AH124" i="47"/>
  <c r="AG124" i="47"/>
  <c r="AF124" i="47"/>
  <c r="AE124" i="47"/>
  <c r="AD124" i="47"/>
  <c r="AC124" i="47"/>
  <c r="P124" i="47"/>
  <c r="Q124" i="47" s="1"/>
  <c r="O124" i="47"/>
  <c r="AO123" i="47"/>
  <c r="AN123" i="47"/>
  <c r="AM123" i="47"/>
  <c r="AL123" i="47"/>
  <c r="AJ123" i="47"/>
  <c r="AH123" i="47"/>
  <c r="AG123" i="47"/>
  <c r="AF123" i="47"/>
  <c r="AE123" i="47"/>
  <c r="AD123" i="47"/>
  <c r="AC123" i="47"/>
  <c r="P123" i="47"/>
  <c r="O123" i="47"/>
  <c r="M123" i="47"/>
  <c r="AO122" i="47"/>
  <c r="AN122" i="47"/>
  <c r="AM122" i="47"/>
  <c r="AL122" i="47"/>
  <c r="AJ122" i="47"/>
  <c r="AH122" i="47"/>
  <c r="AG122" i="47"/>
  <c r="AF122" i="47"/>
  <c r="AE122" i="47"/>
  <c r="AD122" i="47"/>
  <c r="AC122" i="47"/>
  <c r="P122" i="47"/>
  <c r="O122" i="47"/>
  <c r="AO121" i="47"/>
  <c r="AN121" i="47"/>
  <c r="AM121" i="47"/>
  <c r="AL121" i="47"/>
  <c r="AJ121" i="47"/>
  <c r="AH121" i="47"/>
  <c r="AG121" i="47"/>
  <c r="AF121" i="47"/>
  <c r="AE121" i="47"/>
  <c r="AD121" i="47"/>
  <c r="AC121" i="47"/>
  <c r="P121" i="47"/>
  <c r="O121" i="47"/>
  <c r="M121" i="47"/>
  <c r="AO120" i="47"/>
  <c r="AN120" i="47"/>
  <c r="AM120" i="47"/>
  <c r="AL120" i="47"/>
  <c r="AJ120" i="47"/>
  <c r="AH120" i="47"/>
  <c r="AG120" i="47"/>
  <c r="AF120" i="47"/>
  <c r="AE120" i="47"/>
  <c r="AD120" i="47"/>
  <c r="AC120" i="47"/>
  <c r="P120" i="47"/>
  <c r="O120" i="47"/>
  <c r="Q120" i="47" s="1"/>
  <c r="AO119" i="47"/>
  <c r="AN119" i="47"/>
  <c r="AM119" i="47"/>
  <c r="AL119" i="47"/>
  <c r="AJ119" i="47"/>
  <c r="AH119" i="47"/>
  <c r="AG119" i="47"/>
  <c r="AF119" i="47"/>
  <c r="AE119" i="47"/>
  <c r="AD119" i="47"/>
  <c r="AC119" i="47"/>
  <c r="P119" i="47"/>
  <c r="O119" i="47"/>
  <c r="M119" i="47"/>
  <c r="AO118" i="47"/>
  <c r="AN118" i="47"/>
  <c r="AM118" i="47"/>
  <c r="AL118" i="47"/>
  <c r="AJ118" i="47"/>
  <c r="AH118" i="47"/>
  <c r="AG118" i="47"/>
  <c r="AF118" i="47"/>
  <c r="AE118" i="47"/>
  <c r="AD118" i="47"/>
  <c r="AC118" i="47"/>
  <c r="O118" i="47"/>
  <c r="Q118" i="47" s="1"/>
  <c r="AO117" i="47"/>
  <c r="AN117" i="47"/>
  <c r="AL117" i="47"/>
  <c r="AJ117" i="47"/>
  <c r="AH117" i="47"/>
  <c r="AG117" i="47"/>
  <c r="AF117" i="47"/>
  <c r="AE117" i="47"/>
  <c r="AD117" i="47"/>
  <c r="AC117" i="47"/>
  <c r="O117" i="47"/>
  <c r="Q117" i="47" s="1"/>
  <c r="M117" i="47"/>
  <c r="K117" i="47"/>
  <c r="S117" i="47" s="1"/>
  <c r="AO116" i="47"/>
  <c r="AN116" i="47"/>
  <c r="AM116" i="47"/>
  <c r="AL116" i="47"/>
  <c r="AJ116" i="47"/>
  <c r="AH116" i="47"/>
  <c r="AG116" i="47"/>
  <c r="AF116" i="47"/>
  <c r="AE116" i="47"/>
  <c r="AD116" i="47"/>
  <c r="AC116" i="47"/>
  <c r="O116" i="47"/>
  <c r="Q116" i="47" s="1"/>
  <c r="AO115" i="47"/>
  <c r="AN115" i="47"/>
  <c r="AM115" i="47"/>
  <c r="AL115" i="47"/>
  <c r="AJ115" i="47"/>
  <c r="AH115" i="47"/>
  <c r="AG115" i="47"/>
  <c r="AF115" i="47"/>
  <c r="AE115" i="47"/>
  <c r="AD115" i="47"/>
  <c r="AC115" i="47"/>
  <c r="O115" i="47"/>
  <c r="Q115" i="47" s="1"/>
  <c r="M115" i="47"/>
  <c r="AO114" i="47"/>
  <c r="AN114" i="47"/>
  <c r="AM114" i="47"/>
  <c r="AL114" i="47"/>
  <c r="AJ114" i="47"/>
  <c r="AH114" i="47"/>
  <c r="AG114" i="47"/>
  <c r="AF114" i="47"/>
  <c r="AE114" i="47"/>
  <c r="AD114" i="47"/>
  <c r="AC114" i="47"/>
  <c r="O114" i="47"/>
  <c r="Q114" i="47" s="1"/>
  <c r="AO113" i="47"/>
  <c r="AN113" i="47"/>
  <c r="AM113" i="47"/>
  <c r="AL113" i="47"/>
  <c r="AJ113" i="47"/>
  <c r="AH113" i="47"/>
  <c r="AG113" i="47"/>
  <c r="AF113" i="47"/>
  <c r="AE113" i="47"/>
  <c r="AD113" i="47"/>
  <c r="AC113" i="47"/>
  <c r="O113" i="47"/>
  <c r="Q113" i="47" s="1"/>
  <c r="M113" i="47"/>
  <c r="AO112" i="47"/>
  <c r="AN112" i="47"/>
  <c r="AM112" i="47"/>
  <c r="AL112" i="47"/>
  <c r="AJ112" i="47"/>
  <c r="AH112" i="47"/>
  <c r="AG112" i="47"/>
  <c r="AF112" i="47"/>
  <c r="AE112" i="47"/>
  <c r="AD112" i="47"/>
  <c r="AC112" i="47"/>
  <c r="O112" i="47"/>
  <c r="Q112" i="47" s="1"/>
  <c r="AO111" i="47"/>
  <c r="AN111" i="47"/>
  <c r="AM111" i="47"/>
  <c r="AL111" i="47"/>
  <c r="AJ111" i="47"/>
  <c r="AH111" i="47"/>
  <c r="AG111" i="47"/>
  <c r="AF111" i="47"/>
  <c r="AE111" i="47"/>
  <c r="AD111" i="47"/>
  <c r="AC111" i="47"/>
  <c r="O111" i="47"/>
  <c r="Q111" i="47" s="1"/>
  <c r="M111" i="47"/>
  <c r="AO110" i="47"/>
  <c r="AN110" i="47"/>
  <c r="AM110" i="47"/>
  <c r="AL110" i="47"/>
  <c r="AJ110" i="47"/>
  <c r="AH110" i="47"/>
  <c r="AG110" i="47"/>
  <c r="AF110" i="47"/>
  <c r="AE110" i="47"/>
  <c r="AD110" i="47"/>
  <c r="AC110" i="47"/>
  <c r="O110" i="47"/>
  <c r="Q110" i="47" s="1"/>
  <c r="AO109" i="47"/>
  <c r="AN109" i="47"/>
  <c r="AL109" i="47"/>
  <c r="AJ109" i="47"/>
  <c r="AH109" i="47"/>
  <c r="AG109" i="47"/>
  <c r="AF109" i="47"/>
  <c r="AE109" i="47"/>
  <c r="AD109" i="47"/>
  <c r="AC109" i="47"/>
  <c r="O109" i="47"/>
  <c r="Q109" i="47" s="1"/>
  <c r="M109" i="47"/>
  <c r="K109" i="47"/>
  <c r="AO108" i="47"/>
  <c r="AN108" i="47"/>
  <c r="AM108" i="47"/>
  <c r="AL108" i="47"/>
  <c r="AJ108" i="47"/>
  <c r="AH108" i="47"/>
  <c r="AG108" i="47"/>
  <c r="AF108" i="47"/>
  <c r="AE108" i="47"/>
  <c r="AD108" i="47"/>
  <c r="AC108" i="47"/>
  <c r="O108" i="47"/>
  <c r="Q108" i="47" s="1"/>
  <c r="AO107" i="47"/>
  <c r="AN107" i="47"/>
  <c r="AM107" i="47"/>
  <c r="AL107" i="47"/>
  <c r="AJ107" i="47"/>
  <c r="AH107" i="47"/>
  <c r="AG107" i="47"/>
  <c r="AF107" i="47"/>
  <c r="AE107" i="47"/>
  <c r="AD107" i="47"/>
  <c r="AC107" i="47"/>
  <c r="O107" i="47"/>
  <c r="Q107" i="47" s="1"/>
  <c r="M107" i="47"/>
  <c r="AO106" i="47"/>
  <c r="AN106" i="47"/>
  <c r="AM106" i="47"/>
  <c r="AL106" i="47"/>
  <c r="AJ106" i="47"/>
  <c r="AH106" i="47"/>
  <c r="AG106" i="47"/>
  <c r="AF106" i="47"/>
  <c r="AE106" i="47"/>
  <c r="AD106" i="47"/>
  <c r="AC106" i="47"/>
  <c r="O106" i="47"/>
  <c r="Q106" i="47" s="1"/>
  <c r="AO105" i="47"/>
  <c r="AN105" i="47"/>
  <c r="AM105" i="47"/>
  <c r="AL105" i="47"/>
  <c r="AJ105" i="47"/>
  <c r="AH105" i="47"/>
  <c r="AG105" i="47"/>
  <c r="AF105" i="47"/>
  <c r="AE105" i="47"/>
  <c r="AD105" i="47"/>
  <c r="AC105" i="47"/>
  <c r="O105" i="47"/>
  <c r="Q105" i="47" s="1"/>
  <c r="M105" i="47"/>
  <c r="AO104" i="47"/>
  <c r="AN104" i="47"/>
  <c r="AM104" i="47"/>
  <c r="AL104" i="47"/>
  <c r="AJ104" i="47"/>
  <c r="AH104" i="47"/>
  <c r="AG104" i="47"/>
  <c r="AF104" i="47"/>
  <c r="AE104" i="47"/>
  <c r="AD104" i="47"/>
  <c r="AC104" i="47"/>
  <c r="O104" i="47"/>
  <c r="Q104" i="47" s="1"/>
  <c r="AO103" i="47"/>
  <c r="AN103" i="47"/>
  <c r="AM103" i="47"/>
  <c r="AL103" i="47"/>
  <c r="AJ103" i="47"/>
  <c r="AH103" i="47"/>
  <c r="AG103" i="47"/>
  <c r="AF103" i="47"/>
  <c r="AE103" i="47"/>
  <c r="AD103" i="47"/>
  <c r="AC103" i="47"/>
  <c r="O103" i="47"/>
  <c r="Q103" i="47" s="1"/>
  <c r="M103" i="47"/>
  <c r="AO102" i="47"/>
  <c r="AN102" i="47"/>
  <c r="AM102" i="47"/>
  <c r="AL102" i="47"/>
  <c r="AJ102" i="47"/>
  <c r="AH102" i="47"/>
  <c r="AG102" i="47"/>
  <c r="AF102" i="47"/>
  <c r="AE102" i="47"/>
  <c r="AD102" i="47"/>
  <c r="AC102" i="47"/>
  <c r="O102" i="47"/>
  <c r="Q102" i="47" s="1"/>
  <c r="AO101" i="47"/>
  <c r="AN101" i="47"/>
  <c r="AL101" i="47"/>
  <c r="AJ101" i="47"/>
  <c r="AH101" i="47"/>
  <c r="AG101" i="47"/>
  <c r="AF101" i="47"/>
  <c r="AE101" i="47"/>
  <c r="AD101" i="47"/>
  <c r="AC101" i="47"/>
  <c r="O101" i="47"/>
  <c r="Q101" i="47" s="1"/>
  <c r="M101" i="47"/>
  <c r="K101" i="47"/>
  <c r="S101" i="47" s="1"/>
  <c r="AO100" i="47"/>
  <c r="AN100" i="47"/>
  <c r="AM100" i="47"/>
  <c r="AL100" i="47"/>
  <c r="AJ100" i="47"/>
  <c r="AH100" i="47"/>
  <c r="AG100" i="47"/>
  <c r="AF100" i="47"/>
  <c r="AE100" i="47"/>
  <c r="AD100" i="47"/>
  <c r="AC100" i="47"/>
  <c r="O100" i="47"/>
  <c r="Q100" i="47" s="1"/>
  <c r="AO99" i="47"/>
  <c r="AN99" i="47"/>
  <c r="AL99" i="47"/>
  <c r="AJ99" i="47"/>
  <c r="AH99" i="47"/>
  <c r="AG99" i="47"/>
  <c r="AF99" i="47"/>
  <c r="AE99" i="47"/>
  <c r="AD99" i="47"/>
  <c r="AC99" i="47"/>
  <c r="O99" i="47"/>
  <c r="Q99" i="47" s="1"/>
  <c r="M99" i="47"/>
  <c r="K99" i="47"/>
  <c r="S99" i="47" s="1"/>
  <c r="AO98" i="47"/>
  <c r="AN98" i="47"/>
  <c r="AM98" i="47"/>
  <c r="AL98" i="47"/>
  <c r="AJ98" i="47"/>
  <c r="AH98" i="47"/>
  <c r="AG98" i="47"/>
  <c r="AF98" i="47"/>
  <c r="AE98" i="47"/>
  <c r="AD98" i="47"/>
  <c r="AC98" i="47"/>
  <c r="O98" i="47"/>
  <c r="Q98" i="47" s="1"/>
  <c r="AO97" i="47"/>
  <c r="AN97" i="47"/>
  <c r="AM97" i="47"/>
  <c r="AL97" i="47"/>
  <c r="AJ97" i="47"/>
  <c r="AH97" i="47"/>
  <c r="AG97" i="47"/>
  <c r="AF97" i="47"/>
  <c r="AE97" i="47"/>
  <c r="AD97" i="47"/>
  <c r="AC97" i="47"/>
  <c r="O97" i="47"/>
  <c r="Q97" i="47" s="1"/>
  <c r="M97" i="47"/>
  <c r="AO96" i="47"/>
  <c r="AN96" i="47"/>
  <c r="AM96" i="47"/>
  <c r="AL96" i="47"/>
  <c r="AJ96" i="47"/>
  <c r="AH96" i="47"/>
  <c r="AG96" i="47"/>
  <c r="AF96" i="47"/>
  <c r="AE96" i="47"/>
  <c r="AD96" i="47"/>
  <c r="AC96" i="47"/>
  <c r="O96" i="47"/>
  <c r="Q96" i="47" s="1"/>
  <c r="AO95" i="47"/>
  <c r="AN95" i="47"/>
  <c r="AM95" i="47"/>
  <c r="AL95" i="47"/>
  <c r="AJ95" i="47"/>
  <c r="AH95" i="47"/>
  <c r="AG95" i="47"/>
  <c r="AF95" i="47"/>
  <c r="AE95" i="47"/>
  <c r="AD95" i="47"/>
  <c r="AC95" i="47"/>
  <c r="O95" i="47"/>
  <c r="Q95" i="47" s="1"/>
  <c r="M95" i="47"/>
  <c r="AO94" i="47"/>
  <c r="AN94" i="47"/>
  <c r="AM94" i="47"/>
  <c r="AL94" i="47"/>
  <c r="AJ94" i="47"/>
  <c r="AH94" i="47"/>
  <c r="AG94" i="47"/>
  <c r="AF94" i="47"/>
  <c r="AE94" i="47"/>
  <c r="AD94" i="47"/>
  <c r="AC94" i="47"/>
  <c r="O94" i="47"/>
  <c r="Q94" i="47" s="1"/>
  <c r="AO93" i="47"/>
  <c r="AN93" i="47"/>
  <c r="AM93" i="47"/>
  <c r="AL93" i="47"/>
  <c r="AJ93" i="47"/>
  <c r="AH93" i="47"/>
  <c r="AG93" i="47"/>
  <c r="AF93" i="47"/>
  <c r="AE93" i="47"/>
  <c r="AD93" i="47"/>
  <c r="AC93" i="47"/>
  <c r="O93" i="47"/>
  <c r="Q93" i="47" s="1"/>
  <c r="M93" i="47"/>
  <c r="AO92" i="47"/>
  <c r="AN92" i="47"/>
  <c r="AM92" i="47"/>
  <c r="AL92" i="47"/>
  <c r="AJ92" i="47"/>
  <c r="AH92" i="47"/>
  <c r="AG92" i="47"/>
  <c r="AF92" i="47"/>
  <c r="AE92" i="47"/>
  <c r="AD92" i="47"/>
  <c r="AC92" i="47"/>
  <c r="O92" i="47"/>
  <c r="Q92" i="47" s="1"/>
  <c r="AO91" i="47"/>
  <c r="AN91" i="47"/>
  <c r="AM91" i="47"/>
  <c r="AL91" i="47"/>
  <c r="AJ91" i="47"/>
  <c r="AH91" i="47"/>
  <c r="AG91" i="47"/>
  <c r="AF91" i="47"/>
  <c r="AE91" i="47"/>
  <c r="AD91" i="47"/>
  <c r="AC91" i="47"/>
  <c r="O91" i="47"/>
  <c r="Q91" i="47" s="1"/>
  <c r="M91" i="47"/>
  <c r="AO90" i="47"/>
  <c r="AN90" i="47"/>
  <c r="AM90" i="47"/>
  <c r="AL90" i="47"/>
  <c r="AJ90" i="47"/>
  <c r="AH90" i="47"/>
  <c r="AG90" i="47"/>
  <c r="AF90" i="47"/>
  <c r="AE90" i="47"/>
  <c r="AD90" i="47"/>
  <c r="AC90" i="47"/>
  <c r="O90" i="47"/>
  <c r="Q90" i="47" s="1"/>
  <c r="AO89" i="47"/>
  <c r="AN89" i="47"/>
  <c r="AM89" i="47"/>
  <c r="AL89" i="47"/>
  <c r="AJ89" i="47"/>
  <c r="AH89" i="47"/>
  <c r="AG89" i="47"/>
  <c r="AF89" i="47"/>
  <c r="AE89" i="47"/>
  <c r="AD89" i="47"/>
  <c r="AC89" i="47"/>
  <c r="O89" i="47"/>
  <c r="Q89" i="47" s="1"/>
  <c r="M89" i="47"/>
  <c r="AO88" i="47"/>
  <c r="AN88" i="47"/>
  <c r="AM88" i="47"/>
  <c r="AL88" i="47"/>
  <c r="AJ88" i="47"/>
  <c r="AH88" i="47"/>
  <c r="AG88" i="47"/>
  <c r="AF88" i="47"/>
  <c r="AE88" i="47"/>
  <c r="AD88" i="47"/>
  <c r="AC88" i="47"/>
  <c r="O88" i="47"/>
  <c r="Q88" i="47" s="1"/>
  <c r="AO87" i="47"/>
  <c r="AN87" i="47"/>
  <c r="AM87" i="47"/>
  <c r="AL87" i="47"/>
  <c r="AJ87" i="47"/>
  <c r="AH87" i="47"/>
  <c r="AG87" i="47"/>
  <c r="AF87" i="47"/>
  <c r="AE87" i="47"/>
  <c r="AD87" i="47"/>
  <c r="AC87" i="47"/>
  <c r="O87" i="47"/>
  <c r="Q87" i="47" s="1"/>
  <c r="M87" i="47"/>
  <c r="AO86" i="47"/>
  <c r="AN86" i="47"/>
  <c r="AM86" i="47"/>
  <c r="AL86" i="47"/>
  <c r="AJ86" i="47"/>
  <c r="AH86" i="47"/>
  <c r="AG86" i="47"/>
  <c r="AF86" i="47"/>
  <c r="AE86" i="47"/>
  <c r="AD86" i="47"/>
  <c r="AC86" i="47"/>
  <c r="O86" i="47"/>
  <c r="Q86" i="47" s="1"/>
  <c r="AO85" i="47"/>
  <c r="AN85" i="47"/>
  <c r="AM85" i="47"/>
  <c r="AL85" i="47"/>
  <c r="AJ85" i="47"/>
  <c r="AH85" i="47"/>
  <c r="AG85" i="47"/>
  <c r="AF85" i="47"/>
  <c r="AE85" i="47"/>
  <c r="AD85" i="47"/>
  <c r="AC85" i="47"/>
  <c r="O85" i="47"/>
  <c r="Q85" i="47" s="1"/>
  <c r="M85" i="47"/>
  <c r="AO84" i="47"/>
  <c r="AN84" i="47"/>
  <c r="AM84" i="47"/>
  <c r="AL84" i="47"/>
  <c r="AJ84" i="47"/>
  <c r="AH84" i="47"/>
  <c r="AG84" i="47"/>
  <c r="AF84" i="47"/>
  <c r="AE84" i="47"/>
  <c r="AD84" i="47"/>
  <c r="AC84" i="47"/>
  <c r="O84" i="47"/>
  <c r="Q84" i="47" s="1"/>
  <c r="AO83" i="47"/>
  <c r="AN83" i="47"/>
  <c r="AM83" i="47"/>
  <c r="AL83" i="47"/>
  <c r="AJ83" i="47"/>
  <c r="AH83" i="47"/>
  <c r="AG83" i="47"/>
  <c r="AF83" i="47"/>
  <c r="AE83" i="47"/>
  <c r="AD83" i="47"/>
  <c r="AC83" i="47"/>
  <c r="O83" i="47"/>
  <c r="Q83" i="47" s="1"/>
  <c r="M83" i="47"/>
  <c r="AO82" i="47"/>
  <c r="AN82" i="47"/>
  <c r="AM82" i="47"/>
  <c r="AL82" i="47"/>
  <c r="AJ82" i="47"/>
  <c r="AH82" i="47"/>
  <c r="AG82" i="47"/>
  <c r="AF82" i="47"/>
  <c r="AE82" i="47"/>
  <c r="AD82" i="47"/>
  <c r="AC82" i="47"/>
  <c r="O82" i="47"/>
  <c r="Q82" i="47" s="1"/>
  <c r="AO81" i="47"/>
  <c r="AN81" i="47"/>
  <c r="AM81" i="47"/>
  <c r="AL81" i="47"/>
  <c r="AJ81" i="47"/>
  <c r="AH81" i="47"/>
  <c r="AG81" i="47"/>
  <c r="AF81" i="47"/>
  <c r="AE81" i="47"/>
  <c r="AD81" i="47"/>
  <c r="AC81" i="47"/>
  <c r="O81" i="47"/>
  <c r="Q81" i="47" s="1"/>
  <c r="M81" i="47"/>
  <c r="AO80" i="47"/>
  <c r="AN80" i="47"/>
  <c r="AM80" i="47"/>
  <c r="AL80" i="47"/>
  <c r="AJ80" i="47"/>
  <c r="AH80" i="47"/>
  <c r="AG80" i="47"/>
  <c r="AF80" i="47"/>
  <c r="AE80" i="47"/>
  <c r="AD80" i="47"/>
  <c r="AC80" i="47"/>
  <c r="O80" i="47"/>
  <c r="Q80" i="47" s="1"/>
  <c r="AO79" i="47"/>
  <c r="AN79" i="47"/>
  <c r="AM79" i="47"/>
  <c r="AL79" i="47"/>
  <c r="AJ79" i="47"/>
  <c r="AH79" i="47"/>
  <c r="AG79" i="47"/>
  <c r="AF79" i="47"/>
  <c r="AE79" i="47"/>
  <c r="AD79" i="47"/>
  <c r="AC79" i="47"/>
  <c r="O79" i="47"/>
  <c r="Q79" i="47" s="1"/>
  <c r="M79" i="47"/>
  <c r="AO78" i="47"/>
  <c r="AN78" i="47"/>
  <c r="AM78" i="47"/>
  <c r="AL78" i="47"/>
  <c r="AJ78" i="47"/>
  <c r="AH78" i="47"/>
  <c r="AG78" i="47"/>
  <c r="AF78" i="47"/>
  <c r="AE78" i="47"/>
  <c r="AD78" i="47"/>
  <c r="AC78" i="47"/>
  <c r="O78" i="47"/>
  <c r="Q78" i="47" s="1"/>
  <c r="AO77" i="47"/>
  <c r="AN77" i="47"/>
  <c r="AM77" i="47"/>
  <c r="AL77" i="47"/>
  <c r="AJ77" i="47"/>
  <c r="AH77" i="47"/>
  <c r="AG77" i="47"/>
  <c r="AF77" i="47"/>
  <c r="AE77" i="47"/>
  <c r="AD77" i="47"/>
  <c r="AC77" i="47"/>
  <c r="O77" i="47"/>
  <c r="Q77" i="47" s="1"/>
  <c r="M77" i="47"/>
  <c r="AO76" i="47"/>
  <c r="AN76" i="47"/>
  <c r="AM76" i="47"/>
  <c r="AL76" i="47"/>
  <c r="AJ76" i="47"/>
  <c r="AH76" i="47"/>
  <c r="AG76" i="47"/>
  <c r="AF76" i="47"/>
  <c r="AE76" i="47"/>
  <c r="AD76" i="47"/>
  <c r="AC76" i="47"/>
  <c r="O76" i="47"/>
  <c r="Q76" i="47" s="1"/>
  <c r="AO75" i="47"/>
  <c r="AN75" i="47"/>
  <c r="AM75" i="47"/>
  <c r="AL75" i="47"/>
  <c r="AJ75" i="47"/>
  <c r="AH75" i="47"/>
  <c r="AG75" i="47"/>
  <c r="AF75" i="47"/>
  <c r="AE75" i="47"/>
  <c r="AD75" i="47"/>
  <c r="AC75" i="47"/>
  <c r="O75" i="47"/>
  <c r="Q75" i="47" s="1"/>
  <c r="M75" i="47"/>
  <c r="AO74" i="47"/>
  <c r="AN74" i="47"/>
  <c r="AM74" i="47"/>
  <c r="AL74" i="47"/>
  <c r="AJ74" i="47"/>
  <c r="AH74" i="47"/>
  <c r="AG74" i="47"/>
  <c r="AF74" i="47"/>
  <c r="AE74" i="47"/>
  <c r="AD74" i="47"/>
  <c r="AC74" i="47"/>
  <c r="O74" i="47"/>
  <c r="Q74" i="47" s="1"/>
  <c r="AO73" i="47"/>
  <c r="AN73" i="47"/>
  <c r="AM73" i="47"/>
  <c r="AL73" i="47"/>
  <c r="AJ73" i="47"/>
  <c r="AH73" i="47"/>
  <c r="AG73" i="47"/>
  <c r="AF73" i="47"/>
  <c r="AE73" i="47"/>
  <c r="AD73" i="47"/>
  <c r="AC73" i="47"/>
  <c r="O73" i="47"/>
  <c r="Q73" i="47" s="1"/>
  <c r="M73" i="47"/>
  <c r="AO72" i="47"/>
  <c r="AN72" i="47"/>
  <c r="AM72" i="47"/>
  <c r="AL72" i="47"/>
  <c r="AJ72" i="47"/>
  <c r="AH72" i="47"/>
  <c r="AG72" i="47"/>
  <c r="AF72" i="47"/>
  <c r="AE72" i="47"/>
  <c r="AD72" i="47"/>
  <c r="AC72" i="47"/>
  <c r="O72" i="47"/>
  <c r="Q72" i="47" s="1"/>
  <c r="AO71" i="47"/>
  <c r="AN71" i="47"/>
  <c r="AM71" i="47"/>
  <c r="AL71" i="47"/>
  <c r="AJ71" i="47"/>
  <c r="AH71" i="47"/>
  <c r="AG71" i="47"/>
  <c r="AF71" i="47"/>
  <c r="AE71" i="47"/>
  <c r="AD71" i="47"/>
  <c r="AC71" i="47"/>
  <c r="O71" i="47"/>
  <c r="Q71" i="47" s="1"/>
  <c r="M71" i="47"/>
  <c r="AO70" i="47"/>
  <c r="AN70" i="47"/>
  <c r="AM70" i="47"/>
  <c r="AL70" i="47"/>
  <c r="AJ70" i="47"/>
  <c r="AH70" i="47"/>
  <c r="AG70" i="47"/>
  <c r="AF70" i="47"/>
  <c r="AE70" i="47"/>
  <c r="AD70" i="47"/>
  <c r="AC70" i="47"/>
  <c r="O70" i="47"/>
  <c r="Q70" i="47" s="1"/>
  <c r="AO69" i="47"/>
  <c r="AN69" i="47"/>
  <c r="AM69" i="47"/>
  <c r="AL69" i="47"/>
  <c r="AJ69" i="47"/>
  <c r="AH69" i="47"/>
  <c r="AG69" i="47"/>
  <c r="AF69" i="47"/>
  <c r="AE69" i="47"/>
  <c r="AD69" i="47"/>
  <c r="AC69" i="47"/>
  <c r="O69" i="47"/>
  <c r="Q69" i="47" s="1"/>
  <c r="M69" i="47"/>
  <c r="AO68" i="47"/>
  <c r="AN68" i="47"/>
  <c r="AM68" i="47"/>
  <c r="AL68" i="47"/>
  <c r="AJ68" i="47"/>
  <c r="AH68" i="47"/>
  <c r="AG68" i="47"/>
  <c r="AF68" i="47"/>
  <c r="AE68" i="47"/>
  <c r="AD68" i="47"/>
  <c r="AC68" i="47"/>
  <c r="O68" i="47"/>
  <c r="Q68" i="47" s="1"/>
  <c r="AO67" i="47"/>
  <c r="AN67" i="47"/>
  <c r="AM67" i="47"/>
  <c r="AL67" i="47"/>
  <c r="AJ67" i="47"/>
  <c r="AH67" i="47"/>
  <c r="AG67" i="47"/>
  <c r="AF67" i="47"/>
  <c r="AE67" i="47"/>
  <c r="AD67" i="47"/>
  <c r="AC67" i="47"/>
  <c r="O67" i="47"/>
  <c r="Q67" i="47" s="1"/>
  <c r="M67" i="47"/>
  <c r="AO66" i="47"/>
  <c r="AN66" i="47"/>
  <c r="AM66" i="47"/>
  <c r="AL66" i="47"/>
  <c r="AJ66" i="47"/>
  <c r="AH66" i="47"/>
  <c r="AG66" i="47"/>
  <c r="AF66" i="47"/>
  <c r="AE66" i="47"/>
  <c r="AD66" i="47"/>
  <c r="AC66" i="47"/>
  <c r="O66" i="47"/>
  <c r="Q66" i="47" s="1"/>
  <c r="AO65" i="47"/>
  <c r="AN65" i="47"/>
  <c r="AM65" i="47"/>
  <c r="AL65" i="47"/>
  <c r="AJ65" i="47"/>
  <c r="AH65" i="47"/>
  <c r="AG65" i="47"/>
  <c r="AF65" i="47"/>
  <c r="AE65" i="47"/>
  <c r="AD65" i="47"/>
  <c r="AC65" i="47"/>
  <c r="O65" i="47"/>
  <c r="Q65" i="47" s="1"/>
  <c r="M65" i="47"/>
  <c r="AO64" i="47"/>
  <c r="AN64" i="47"/>
  <c r="AM64" i="47"/>
  <c r="AL64" i="47"/>
  <c r="AJ64" i="47"/>
  <c r="AH64" i="47"/>
  <c r="AG64" i="47"/>
  <c r="AF64" i="47"/>
  <c r="AE64" i="47"/>
  <c r="AD64" i="47"/>
  <c r="AC64" i="47"/>
  <c r="O64" i="47"/>
  <c r="Q64" i="47" s="1"/>
  <c r="AO63" i="47"/>
  <c r="AN63" i="47"/>
  <c r="AM63" i="47"/>
  <c r="AL63" i="47"/>
  <c r="AJ63" i="47"/>
  <c r="AH63" i="47"/>
  <c r="AG63" i="47"/>
  <c r="AF63" i="47"/>
  <c r="AE63" i="47"/>
  <c r="AD63" i="47"/>
  <c r="AC63" i="47"/>
  <c r="O63" i="47"/>
  <c r="Q63" i="47" s="1"/>
  <c r="M63" i="47"/>
  <c r="AO62" i="47"/>
  <c r="AN62" i="47"/>
  <c r="AM62" i="47"/>
  <c r="AL62" i="47"/>
  <c r="AJ62" i="47"/>
  <c r="AH62" i="47"/>
  <c r="AG62" i="47"/>
  <c r="AF62" i="47"/>
  <c r="AE62" i="47"/>
  <c r="AD62" i="47"/>
  <c r="AC62" i="47"/>
  <c r="O62" i="47"/>
  <c r="Q62" i="47" s="1"/>
  <c r="AO61" i="47"/>
  <c r="AN61" i="47"/>
  <c r="AM61" i="47"/>
  <c r="AL61" i="47"/>
  <c r="AJ61" i="47"/>
  <c r="AH61" i="47"/>
  <c r="AG61" i="47"/>
  <c r="AF61" i="47"/>
  <c r="AE61" i="47"/>
  <c r="AD61" i="47"/>
  <c r="AC61" i="47"/>
  <c r="O61" i="47"/>
  <c r="Q61" i="47" s="1"/>
  <c r="M61" i="47"/>
  <c r="AO60" i="47"/>
  <c r="AN60" i="47"/>
  <c r="AM60" i="47"/>
  <c r="AL60" i="47"/>
  <c r="AJ60" i="47"/>
  <c r="AH60" i="47"/>
  <c r="AG60" i="47"/>
  <c r="AF60" i="47"/>
  <c r="AE60" i="47"/>
  <c r="AD60" i="47"/>
  <c r="AC60" i="47"/>
  <c r="O60" i="47"/>
  <c r="Q60" i="47" s="1"/>
  <c r="AO59" i="47"/>
  <c r="AN59" i="47"/>
  <c r="AM59" i="47"/>
  <c r="AL59" i="47"/>
  <c r="AJ59" i="47"/>
  <c r="AH59" i="47"/>
  <c r="AG59" i="47"/>
  <c r="AF59" i="47"/>
  <c r="AE59" i="47"/>
  <c r="AD59" i="47"/>
  <c r="AC59" i="47"/>
  <c r="O59" i="47"/>
  <c r="Q59" i="47" s="1"/>
  <c r="M59" i="47"/>
  <c r="AN58" i="47"/>
  <c r="AM58" i="47"/>
  <c r="AL58" i="47"/>
  <c r="AJ58" i="47"/>
  <c r="AG58" i="47"/>
  <c r="AF58" i="47"/>
  <c r="AD58" i="47"/>
  <c r="AC58" i="47"/>
  <c r="O58" i="47"/>
  <c r="Q58" i="47" s="1"/>
  <c r="L58" i="47"/>
  <c r="AN57" i="47"/>
  <c r="AM57" i="47"/>
  <c r="AL57" i="47"/>
  <c r="AJ57" i="47"/>
  <c r="AG57" i="47"/>
  <c r="AF57" i="47"/>
  <c r="AD57" i="47"/>
  <c r="AC57" i="47"/>
  <c r="O57" i="47"/>
  <c r="Q57" i="47" s="1"/>
  <c r="L57" i="47"/>
  <c r="AN56" i="47"/>
  <c r="AM56" i="47"/>
  <c r="AL56" i="47"/>
  <c r="AJ56" i="47"/>
  <c r="AG56" i="47"/>
  <c r="AF56" i="47"/>
  <c r="AD56" i="47"/>
  <c r="AC56" i="47"/>
  <c r="O56" i="47"/>
  <c r="Q56" i="47" s="1"/>
  <c r="L56" i="47"/>
  <c r="AN55" i="47"/>
  <c r="AM55" i="47"/>
  <c r="AL55" i="47"/>
  <c r="AJ55" i="47"/>
  <c r="AG55" i="47"/>
  <c r="AF55" i="47"/>
  <c r="AD55" i="47"/>
  <c r="AC55" i="47"/>
  <c r="O55" i="47"/>
  <c r="Q55" i="47" s="1"/>
  <c r="L55" i="47"/>
  <c r="AN54" i="47"/>
  <c r="AM54" i="47"/>
  <c r="AL54" i="47"/>
  <c r="AJ54" i="47"/>
  <c r="AG54" i="47"/>
  <c r="AF54" i="47"/>
  <c r="AD54" i="47"/>
  <c r="AC54" i="47"/>
  <c r="O54" i="47"/>
  <c r="Q54" i="47" s="1"/>
  <c r="L54" i="47"/>
  <c r="AN53" i="47"/>
  <c r="AM53" i="47"/>
  <c r="AL53" i="47"/>
  <c r="AJ53" i="47"/>
  <c r="AG53" i="47"/>
  <c r="AF53" i="47"/>
  <c r="AD53" i="47"/>
  <c r="AC53" i="47"/>
  <c r="O53" i="47"/>
  <c r="Q53" i="47" s="1"/>
  <c r="L53" i="47"/>
  <c r="AN52" i="47"/>
  <c r="AM52" i="47"/>
  <c r="AL52" i="47"/>
  <c r="AJ52" i="47"/>
  <c r="AG52" i="47"/>
  <c r="AF52" i="47"/>
  <c r="AD52" i="47"/>
  <c r="AC52" i="47"/>
  <c r="O52" i="47"/>
  <c r="Q52" i="47" s="1"/>
  <c r="L52" i="47"/>
  <c r="AN51" i="47"/>
  <c r="AM51" i="47"/>
  <c r="AL51" i="47"/>
  <c r="AJ51" i="47"/>
  <c r="AG51" i="47"/>
  <c r="AF51" i="47"/>
  <c r="AD51" i="47"/>
  <c r="AC51" i="47"/>
  <c r="O51" i="47"/>
  <c r="Q51" i="47" s="1"/>
  <c r="L51" i="47"/>
  <c r="AN50" i="47"/>
  <c r="AM50" i="47"/>
  <c r="AL50" i="47"/>
  <c r="AJ50" i="47"/>
  <c r="AG50" i="47"/>
  <c r="AF50" i="47"/>
  <c r="AD50" i="47"/>
  <c r="AC50" i="47"/>
  <c r="O50" i="47"/>
  <c r="Q50" i="47" s="1"/>
  <c r="L50" i="47"/>
  <c r="C50" i="47"/>
  <c r="AN49" i="47"/>
  <c r="AM49" i="47"/>
  <c r="AL49" i="47"/>
  <c r="AJ49" i="47"/>
  <c r="AG49" i="47"/>
  <c r="AF49" i="47"/>
  <c r="AD49" i="47"/>
  <c r="AC49" i="47"/>
  <c r="O49" i="47"/>
  <c r="Q49" i="47" s="1"/>
  <c r="L49" i="47"/>
  <c r="C49" i="47"/>
  <c r="AN48" i="47"/>
  <c r="AM48" i="47"/>
  <c r="AL48" i="47"/>
  <c r="AJ48" i="47"/>
  <c r="AG48" i="47"/>
  <c r="AF48" i="47"/>
  <c r="AD48" i="47"/>
  <c r="AC48" i="47"/>
  <c r="O48" i="47"/>
  <c r="Q48" i="47" s="1"/>
  <c r="L48" i="47"/>
  <c r="C48" i="47"/>
  <c r="AN47" i="47"/>
  <c r="AM47" i="47"/>
  <c r="AL47" i="47"/>
  <c r="AJ47" i="47"/>
  <c r="AG47" i="47"/>
  <c r="AF47" i="47"/>
  <c r="AD47" i="47"/>
  <c r="AC47" i="47"/>
  <c r="O47" i="47"/>
  <c r="Q47" i="47" s="1"/>
  <c r="L47" i="47"/>
  <c r="C47" i="47"/>
  <c r="AN46" i="47"/>
  <c r="AM46" i="47"/>
  <c r="AL46" i="47"/>
  <c r="AJ46" i="47"/>
  <c r="AG46" i="47"/>
  <c r="AF46" i="47"/>
  <c r="AD46" i="47"/>
  <c r="AC46" i="47"/>
  <c r="O46" i="47"/>
  <c r="Q46" i="47" s="1"/>
  <c r="L46" i="47"/>
  <c r="C46" i="47"/>
  <c r="AN45" i="47"/>
  <c r="AM45" i="47"/>
  <c r="AL45" i="47"/>
  <c r="AJ45" i="47"/>
  <c r="AG45" i="47"/>
  <c r="AF45" i="47"/>
  <c r="AD45" i="47"/>
  <c r="AC45" i="47"/>
  <c r="O45" i="47"/>
  <c r="Q45" i="47" s="1"/>
  <c r="L45" i="47"/>
  <c r="C45" i="47"/>
  <c r="AN44" i="47"/>
  <c r="AM44" i="47"/>
  <c r="AL44" i="47"/>
  <c r="AJ44" i="47"/>
  <c r="AG44" i="47"/>
  <c r="AF44" i="47"/>
  <c r="AD44" i="47"/>
  <c r="AC44" i="47"/>
  <c r="O44" i="47"/>
  <c r="Q44" i="47" s="1"/>
  <c r="L44" i="47"/>
  <c r="C44" i="47"/>
  <c r="AN43" i="47"/>
  <c r="AM43" i="47"/>
  <c r="AL43" i="47"/>
  <c r="AJ43" i="47"/>
  <c r="AG43" i="47"/>
  <c r="AF43" i="47"/>
  <c r="AD43" i="47"/>
  <c r="AC43" i="47"/>
  <c r="O43" i="47"/>
  <c r="Q43" i="47" s="1"/>
  <c r="L43" i="47"/>
  <c r="C43" i="47"/>
  <c r="AN42" i="47"/>
  <c r="AM42" i="47"/>
  <c r="AL42" i="47"/>
  <c r="AJ42" i="47"/>
  <c r="AG42" i="47"/>
  <c r="AF42" i="47"/>
  <c r="AD42" i="47"/>
  <c r="AC42" i="47"/>
  <c r="O42" i="47"/>
  <c r="Q42" i="47" s="1"/>
  <c r="L42" i="47"/>
  <c r="C42" i="47"/>
  <c r="AN41" i="47"/>
  <c r="AM41" i="47"/>
  <c r="AL41" i="47"/>
  <c r="AJ41" i="47"/>
  <c r="AG41" i="47"/>
  <c r="AF41" i="47"/>
  <c r="AD41" i="47"/>
  <c r="AC41" i="47"/>
  <c r="O41" i="47"/>
  <c r="Q41" i="47" s="1"/>
  <c r="L41" i="47"/>
  <c r="C41" i="47"/>
  <c r="AO40" i="47"/>
  <c r="AN40" i="47"/>
  <c r="AM40" i="47"/>
  <c r="AL40" i="47"/>
  <c r="AJ40" i="47"/>
  <c r="AH40" i="47"/>
  <c r="AG40" i="47"/>
  <c r="AF40" i="47"/>
  <c r="AE40" i="47"/>
  <c r="AD40" i="47"/>
  <c r="AC40" i="47"/>
  <c r="O40" i="47"/>
  <c r="Q40" i="47" s="1"/>
  <c r="AO39" i="47"/>
  <c r="AN39" i="47"/>
  <c r="AM39" i="47"/>
  <c r="AL39" i="47"/>
  <c r="AJ39" i="47"/>
  <c r="AH39" i="47"/>
  <c r="AG39" i="47"/>
  <c r="AF39" i="47"/>
  <c r="AE39" i="47"/>
  <c r="AD39" i="47"/>
  <c r="AC39" i="47"/>
  <c r="O39" i="47"/>
  <c r="Q39" i="47" s="1"/>
  <c r="M39" i="47"/>
  <c r="AO38" i="47"/>
  <c r="AN38" i="47"/>
  <c r="AM38" i="47"/>
  <c r="AL38" i="47"/>
  <c r="AJ38" i="47"/>
  <c r="AH38" i="47"/>
  <c r="AG38" i="47"/>
  <c r="AF38" i="47"/>
  <c r="AE38" i="47"/>
  <c r="AD38" i="47"/>
  <c r="AC38" i="47"/>
  <c r="O38" i="47"/>
  <c r="Q38" i="47" s="1"/>
  <c r="AO37" i="47"/>
  <c r="AN37" i="47"/>
  <c r="AM37" i="47"/>
  <c r="AL37" i="47"/>
  <c r="AJ37" i="47"/>
  <c r="AH37" i="47"/>
  <c r="AG37" i="47"/>
  <c r="AF37" i="47"/>
  <c r="AE37" i="47"/>
  <c r="AD37" i="47"/>
  <c r="AC37" i="47"/>
  <c r="Q37" i="47"/>
  <c r="O37" i="47"/>
  <c r="M37" i="47"/>
  <c r="D37" i="47"/>
  <c r="C37" i="47"/>
  <c r="B37" i="47"/>
  <c r="AO36" i="47"/>
  <c r="AN36" i="47"/>
  <c r="AM36" i="47"/>
  <c r="AL36" i="47"/>
  <c r="AJ36" i="47"/>
  <c r="AH36" i="47"/>
  <c r="AG36" i="47"/>
  <c r="AF36" i="47"/>
  <c r="AE36" i="47"/>
  <c r="AD36" i="47"/>
  <c r="AC36" i="47"/>
  <c r="O36" i="47"/>
  <c r="Q36" i="47" s="1"/>
  <c r="D36" i="47"/>
  <c r="C36" i="47"/>
  <c r="B36" i="47"/>
  <c r="AO35" i="47"/>
  <c r="AN35" i="47"/>
  <c r="AM35" i="47"/>
  <c r="AL35" i="47"/>
  <c r="AJ35" i="47"/>
  <c r="AH35" i="47"/>
  <c r="AG35" i="47"/>
  <c r="AF35" i="47"/>
  <c r="AE35" i="47"/>
  <c r="AD35" i="47"/>
  <c r="AC35" i="47"/>
  <c r="Q35" i="47"/>
  <c r="O35" i="47"/>
  <c r="M35" i="47"/>
  <c r="D35" i="47"/>
  <c r="C35" i="47"/>
  <c r="B35" i="47"/>
  <c r="AO34" i="47"/>
  <c r="AN34" i="47"/>
  <c r="AM34" i="47"/>
  <c r="AL34" i="47"/>
  <c r="AJ34" i="47"/>
  <c r="AH34" i="47"/>
  <c r="AG34" i="47"/>
  <c r="AF34" i="47"/>
  <c r="AE34" i="47"/>
  <c r="AD34" i="47"/>
  <c r="AC34" i="47"/>
  <c r="O34" i="47"/>
  <c r="Q34" i="47" s="1"/>
  <c r="D34" i="47"/>
  <c r="C34" i="47"/>
  <c r="B34" i="47"/>
  <c r="AO33" i="47"/>
  <c r="AN33" i="47"/>
  <c r="AM33" i="47"/>
  <c r="AL33" i="47"/>
  <c r="AJ33" i="47"/>
  <c r="AH33" i="47"/>
  <c r="AG33" i="47"/>
  <c r="AF33" i="47"/>
  <c r="AE33" i="47"/>
  <c r="AD33" i="47"/>
  <c r="AC33" i="47"/>
  <c r="Q33" i="47"/>
  <c r="O33" i="47"/>
  <c r="M33" i="47"/>
  <c r="D33" i="47"/>
  <c r="C33" i="47"/>
  <c r="B33" i="47"/>
  <c r="AO32" i="47"/>
  <c r="AN32" i="47"/>
  <c r="AM32" i="47"/>
  <c r="AL32" i="47"/>
  <c r="AJ32" i="47"/>
  <c r="AH32" i="47"/>
  <c r="AG32" i="47"/>
  <c r="AF32" i="47"/>
  <c r="AE32" i="47"/>
  <c r="AD32" i="47"/>
  <c r="AC32" i="47"/>
  <c r="O32" i="47"/>
  <c r="Q32" i="47" s="1"/>
  <c r="D32" i="47"/>
  <c r="C32" i="47"/>
  <c r="B32" i="47"/>
  <c r="AO31" i="47"/>
  <c r="AN31" i="47"/>
  <c r="AM31" i="47"/>
  <c r="AL31" i="47"/>
  <c r="AJ31" i="47"/>
  <c r="AH31" i="47"/>
  <c r="AG31" i="47"/>
  <c r="AF31" i="47"/>
  <c r="AE31" i="47"/>
  <c r="AD31" i="47"/>
  <c r="AC31" i="47"/>
  <c r="O31" i="47"/>
  <c r="Q31" i="47" s="1"/>
  <c r="M31" i="47"/>
  <c r="D31" i="47"/>
  <c r="C31" i="47"/>
  <c r="B31" i="47"/>
  <c r="AO30" i="47"/>
  <c r="AN30" i="47"/>
  <c r="AM30" i="47"/>
  <c r="AL30" i="47"/>
  <c r="AJ30" i="47"/>
  <c r="AH30" i="47"/>
  <c r="AG30" i="47"/>
  <c r="AF30" i="47"/>
  <c r="AE30" i="47"/>
  <c r="AD30" i="47"/>
  <c r="AC30" i="47"/>
  <c r="Q30" i="47"/>
  <c r="O30" i="47"/>
  <c r="D30" i="47"/>
  <c r="C30" i="47"/>
  <c r="B30" i="47"/>
  <c r="AO29" i="47"/>
  <c r="AN29" i="47"/>
  <c r="AM29" i="47"/>
  <c r="AL29" i="47"/>
  <c r="AJ29" i="47"/>
  <c r="AH29" i="47"/>
  <c r="AG29" i="47"/>
  <c r="AF29" i="47"/>
  <c r="AE29" i="47"/>
  <c r="AD29" i="47"/>
  <c r="AC29" i="47"/>
  <c r="Q29" i="47"/>
  <c r="O29" i="47"/>
  <c r="M29" i="47"/>
  <c r="D29" i="47"/>
  <c r="C29" i="47"/>
  <c r="B29" i="47"/>
  <c r="AO28" i="47"/>
  <c r="AN28" i="47"/>
  <c r="AM28" i="47"/>
  <c r="AL28" i="47"/>
  <c r="AJ28" i="47"/>
  <c r="AH28" i="47"/>
  <c r="AG28" i="47"/>
  <c r="AF28" i="47"/>
  <c r="AE28" i="47"/>
  <c r="AD28" i="47"/>
  <c r="AC28" i="47"/>
  <c r="O28" i="47"/>
  <c r="Q28" i="47" s="1"/>
  <c r="C28" i="47"/>
  <c r="B28" i="47"/>
  <c r="AO27" i="47"/>
  <c r="AN27" i="47"/>
  <c r="AM27" i="47"/>
  <c r="AL27" i="47"/>
  <c r="AJ27" i="47"/>
  <c r="AH27" i="47"/>
  <c r="AG27" i="47"/>
  <c r="AF27" i="47"/>
  <c r="AE27" i="47"/>
  <c r="AD27" i="47"/>
  <c r="AC27" i="47"/>
  <c r="O27" i="47"/>
  <c r="Q27" i="47" s="1"/>
  <c r="M27" i="47"/>
  <c r="AO26" i="47"/>
  <c r="AN26" i="47"/>
  <c r="AM26" i="47"/>
  <c r="AL26" i="47"/>
  <c r="AJ26" i="47"/>
  <c r="AH26" i="47"/>
  <c r="AG26" i="47"/>
  <c r="AF26" i="47"/>
  <c r="AE26" i="47"/>
  <c r="AD26" i="47"/>
  <c r="AC26" i="47"/>
  <c r="O26" i="47"/>
  <c r="Q26" i="47" s="1"/>
  <c r="AO25" i="47"/>
  <c r="AN25" i="47"/>
  <c r="AM25" i="47"/>
  <c r="AL25" i="47"/>
  <c r="AJ25" i="47"/>
  <c r="AH25" i="47"/>
  <c r="AG25" i="47"/>
  <c r="AF25" i="47"/>
  <c r="AE25" i="47"/>
  <c r="AD25" i="47"/>
  <c r="AC25" i="47"/>
  <c r="O25" i="47"/>
  <c r="Q25" i="47" s="1"/>
  <c r="M25" i="47"/>
  <c r="AO24" i="47"/>
  <c r="AN24" i="47"/>
  <c r="AM24" i="47"/>
  <c r="AL24" i="47"/>
  <c r="AJ24" i="47"/>
  <c r="AH24" i="47"/>
  <c r="AG24" i="47"/>
  <c r="AF24" i="47"/>
  <c r="AE24" i="47"/>
  <c r="AD24" i="47"/>
  <c r="AC24" i="47"/>
  <c r="O24" i="47"/>
  <c r="Q24" i="47" s="1"/>
  <c r="D24" i="47"/>
  <c r="C24" i="47"/>
  <c r="B24" i="47"/>
  <c r="AO23" i="47"/>
  <c r="AN23" i="47"/>
  <c r="AM23" i="47"/>
  <c r="AL23" i="47"/>
  <c r="AJ23" i="47"/>
  <c r="AH23" i="47"/>
  <c r="AG23" i="47"/>
  <c r="AF23" i="47"/>
  <c r="AE23" i="47"/>
  <c r="AD23" i="47"/>
  <c r="AC23" i="47"/>
  <c r="Q23" i="47"/>
  <c r="O23" i="47"/>
  <c r="M23" i="47"/>
  <c r="D23" i="47"/>
  <c r="C23" i="47"/>
  <c r="B23" i="47"/>
  <c r="E22" i="47"/>
  <c r="D22" i="47"/>
  <c r="C22" i="47"/>
  <c r="B22" i="47"/>
  <c r="B21" i="47"/>
  <c r="B20" i="47"/>
  <c r="N19" i="47"/>
  <c r="M19" i="47"/>
  <c r="K19" i="47"/>
  <c r="J19" i="47"/>
  <c r="I19" i="47"/>
  <c r="H19" i="47"/>
  <c r="D19" i="47"/>
  <c r="C19" i="47"/>
  <c r="B19" i="47"/>
  <c r="N18" i="47"/>
  <c r="M18" i="47"/>
  <c r="K18" i="47"/>
  <c r="J18" i="47"/>
  <c r="I18" i="47"/>
  <c r="H18" i="47"/>
  <c r="B18" i="47"/>
  <c r="N17" i="47"/>
  <c r="M17" i="47"/>
  <c r="K17" i="47"/>
  <c r="J17" i="47"/>
  <c r="I17" i="47"/>
  <c r="H17" i="47"/>
  <c r="C17" i="47"/>
  <c r="B17" i="47"/>
  <c r="N16" i="47"/>
  <c r="M16" i="47"/>
  <c r="K16" i="47"/>
  <c r="J16" i="47"/>
  <c r="I16" i="47"/>
  <c r="H16" i="47"/>
  <c r="C16" i="47"/>
  <c r="B16" i="47"/>
  <c r="N15" i="47"/>
  <c r="M15" i="47"/>
  <c r="K15" i="47"/>
  <c r="J15" i="47"/>
  <c r="I15" i="47"/>
  <c r="L15" i="47" s="1"/>
  <c r="C77" i="47" s="1"/>
  <c r="H15" i="47"/>
  <c r="C15" i="47"/>
  <c r="B15" i="47"/>
  <c r="N14" i="47"/>
  <c r="M14" i="47"/>
  <c r="K14" i="47"/>
  <c r="J14" i="47"/>
  <c r="I14" i="47"/>
  <c r="H14" i="47"/>
  <c r="N13" i="47"/>
  <c r="M13" i="47"/>
  <c r="K13" i="47"/>
  <c r="J13" i="47"/>
  <c r="I13" i="47"/>
  <c r="H13" i="47"/>
  <c r="N12" i="47"/>
  <c r="M12" i="47"/>
  <c r="K12" i="47"/>
  <c r="J12" i="47"/>
  <c r="I12" i="47"/>
  <c r="H12" i="47"/>
  <c r="N11" i="47"/>
  <c r="M11" i="47"/>
  <c r="K11" i="47"/>
  <c r="J11" i="47"/>
  <c r="I11" i="47"/>
  <c r="H11" i="47"/>
  <c r="N10" i="47"/>
  <c r="M10" i="47"/>
  <c r="K10" i="47"/>
  <c r="J10" i="47"/>
  <c r="I10" i="47"/>
  <c r="H10" i="47"/>
  <c r="N9" i="47"/>
  <c r="M9" i="47"/>
  <c r="K9" i="47"/>
  <c r="J9" i="47"/>
  <c r="I9" i="47"/>
  <c r="H9" i="47"/>
  <c r="N8" i="47"/>
  <c r="M8" i="47"/>
  <c r="K8" i="47"/>
  <c r="J8" i="47"/>
  <c r="I8" i="47"/>
  <c r="H8" i="47"/>
  <c r="N7" i="47"/>
  <c r="M7" i="47"/>
  <c r="K7" i="47"/>
  <c r="J7" i="47"/>
  <c r="I7" i="47"/>
  <c r="H7" i="47"/>
  <c r="N6" i="47"/>
  <c r="M6" i="47"/>
  <c r="K6" i="47"/>
  <c r="J6" i="47"/>
  <c r="I6" i="47"/>
  <c r="H6" i="47"/>
  <c r="N5" i="47"/>
  <c r="M5" i="47"/>
  <c r="K5" i="47"/>
  <c r="J5" i="47"/>
  <c r="I5" i="47"/>
  <c r="H5" i="47"/>
  <c r="N4" i="47"/>
  <c r="M4" i="47"/>
  <c r="K4" i="47"/>
  <c r="J4" i="47"/>
  <c r="I4" i="47"/>
  <c r="H4" i="47"/>
  <c r="N3" i="47"/>
  <c r="M3" i="47"/>
  <c r="K3" i="47"/>
  <c r="J3" i="47"/>
  <c r="I3" i="47"/>
  <c r="H3" i="47"/>
  <c r="F276" i="41"/>
  <c r="E276" i="41"/>
  <c r="D276" i="41"/>
  <c r="C276" i="41"/>
  <c r="F275" i="41"/>
  <c r="E275" i="41"/>
  <c r="K275" i="41" s="1"/>
  <c r="D275" i="41"/>
  <c r="C275" i="41"/>
  <c r="F274" i="41"/>
  <c r="E274" i="41"/>
  <c r="D274" i="41"/>
  <c r="C274" i="41"/>
  <c r="F273" i="41"/>
  <c r="N273" i="41" s="1"/>
  <c r="E273" i="41"/>
  <c r="D273" i="41"/>
  <c r="C273" i="41"/>
  <c r="E272" i="41"/>
  <c r="K272" i="41" s="1"/>
  <c r="D272" i="41"/>
  <c r="N272" i="41" s="1"/>
  <c r="C272" i="41"/>
  <c r="H270" i="41"/>
  <c r="H269" i="41"/>
  <c r="H268" i="41"/>
  <c r="H267" i="41"/>
  <c r="H266" i="41"/>
  <c r="M262" i="41"/>
  <c r="O262" i="41" s="1"/>
  <c r="I262" i="41"/>
  <c r="E262" i="41"/>
  <c r="G262" i="41" s="1"/>
  <c r="M261" i="41"/>
  <c r="O261" i="41" s="1"/>
  <c r="I261" i="41"/>
  <c r="E261" i="41"/>
  <c r="G261" i="41" s="1"/>
  <c r="M260" i="41"/>
  <c r="O260" i="41" s="1"/>
  <c r="I260" i="41"/>
  <c r="E260" i="41"/>
  <c r="G260" i="41" s="1"/>
  <c r="M259" i="41"/>
  <c r="O259" i="41" s="1"/>
  <c r="I259" i="41"/>
  <c r="E259" i="41"/>
  <c r="G259" i="41" s="1"/>
  <c r="M258" i="41"/>
  <c r="O258" i="41" s="1"/>
  <c r="I258" i="41"/>
  <c r="E258" i="41"/>
  <c r="G258" i="41" s="1"/>
  <c r="M257" i="41"/>
  <c r="O257" i="41" s="1"/>
  <c r="I257" i="41"/>
  <c r="E257" i="41"/>
  <c r="G257" i="41" s="1"/>
  <c r="M256" i="41"/>
  <c r="O256" i="41" s="1"/>
  <c r="I256" i="41"/>
  <c r="E256" i="41"/>
  <c r="G256" i="41" s="1"/>
  <c r="M255" i="41"/>
  <c r="O255" i="41" s="1"/>
  <c r="I255" i="41"/>
  <c r="E255" i="41"/>
  <c r="G255" i="41" s="1"/>
  <c r="M254" i="41"/>
  <c r="O254" i="41" s="1"/>
  <c r="I254" i="41"/>
  <c r="E254" i="41"/>
  <c r="G254" i="41" s="1"/>
  <c r="M253" i="41"/>
  <c r="O253" i="41" s="1"/>
  <c r="I253" i="41"/>
  <c r="E253" i="41"/>
  <c r="G253" i="41" s="1"/>
  <c r="M252" i="41"/>
  <c r="O252" i="41" s="1"/>
  <c r="I252" i="41"/>
  <c r="E252" i="41"/>
  <c r="G252" i="41" s="1"/>
  <c r="O251" i="41"/>
  <c r="M251" i="41"/>
  <c r="I251" i="41"/>
  <c r="E251" i="41"/>
  <c r="G251" i="41" s="1"/>
  <c r="D243" i="41"/>
  <c r="D242" i="41"/>
  <c r="D241" i="41"/>
  <c r="D240" i="41"/>
  <c r="D236" i="41"/>
  <c r="I236" i="41" s="1"/>
  <c r="D235" i="41"/>
  <c r="I235" i="41" s="1"/>
  <c r="D234" i="41"/>
  <c r="I234" i="41" s="1"/>
  <c r="D233" i="41"/>
  <c r="I233" i="41" s="1"/>
  <c r="D232" i="41"/>
  <c r="I232" i="41" s="1"/>
  <c r="D231" i="41"/>
  <c r="I231" i="41" s="1"/>
  <c r="D230" i="41"/>
  <c r="I230" i="41" s="1"/>
  <c r="D229" i="41"/>
  <c r="I229" i="41" s="1"/>
  <c r="D228" i="41"/>
  <c r="I228" i="41" s="1"/>
  <c r="G227" i="41"/>
  <c r="D227" i="41"/>
  <c r="I227" i="41" s="1"/>
  <c r="G226" i="41"/>
  <c r="D226" i="41"/>
  <c r="I226" i="41" s="1"/>
  <c r="G225" i="41"/>
  <c r="D225" i="41"/>
  <c r="I225" i="41" s="1"/>
  <c r="L219" i="41"/>
  <c r="K219" i="41"/>
  <c r="E219" i="41"/>
  <c r="I219" i="41" s="1"/>
  <c r="C221" i="41" s="1"/>
  <c r="C219" i="41"/>
  <c r="J219" i="41" s="1"/>
  <c r="L218" i="41"/>
  <c r="K218" i="41"/>
  <c r="E218" i="41"/>
  <c r="I218" i="41" s="1"/>
  <c r="C218" i="41"/>
  <c r="J218" i="41" s="1"/>
  <c r="L217" i="41"/>
  <c r="K217" i="41"/>
  <c r="E217" i="41"/>
  <c r="I217" i="41" s="1"/>
  <c r="C217" i="41"/>
  <c r="J217" i="41" s="1"/>
  <c r="G203" i="41"/>
  <c r="E203" i="41"/>
  <c r="F203" i="41" s="1"/>
  <c r="D203" i="41"/>
  <c r="G202" i="41"/>
  <c r="E202" i="41"/>
  <c r="F202" i="41" s="1"/>
  <c r="D202" i="41"/>
  <c r="G201" i="41"/>
  <c r="E201" i="41"/>
  <c r="F201" i="41" s="1"/>
  <c r="D201" i="41"/>
  <c r="C206" i="41" s="1"/>
  <c r="G200" i="41"/>
  <c r="E200" i="41"/>
  <c r="F200" i="41" s="1"/>
  <c r="D200" i="41"/>
  <c r="G199" i="41"/>
  <c r="E199" i="41"/>
  <c r="F199" i="41" s="1"/>
  <c r="D199" i="41"/>
  <c r="G198" i="41"/>
  <c r="I198" i="41" s="1"/>
  <c r="K198" i="41" s="1"/>
  <c r="E198" i="41"/>
  <c r="F198" i="41" s="1"/>
  <c r="H198" i="41" s="1"/>
  <c r="D198" i="41"/>
  <c r="E194" i="41"/>
  <c r="D194" i="41"/>
  <c r="C194" i="41"/>
  <c r="B194" i="41"/>
  <c r="E193" i="41"/>
  <c r="D193" i="41"/>
  <c r="C193" i="41"/>
  <c r="B193" i="41"/>
  <c r="E192" i="41"/>
  <c r="D192" i="41"/>
  <c r="C192" i="41"/>
  <c r="B192" i="41"/>
  <c r="E191" i="41"/>
  <c r="D191" i="41"/>
  <c r="C191" i="41"/>
  <c r="B191" i="41"/>
  <c r="E190" i="41"/>
  <c r="D190" i="41"/>
  <c r="C190" i="41"/>
  <c r="B190" i="41"/>
  <c r="E189" i="41"/>
  <c r="D189" i="41"/>
  <c r="C189" i="41"/>
  <c r="B189" i="41"/>
  <c r="E188" i="41"/>
  <c r="D188" i="41"/>
  <c r="C188" i="41"/>
  <c r="B188" i="41"/>
  <c r="L185" i="41"/>
  <c r="M185" i="41" s="1"/>
  <c r="L184" i="41"/>
  <c r="M184" i="41" s="1"/>
  <c r="C118" i="41"/>
  <c r="E114" i="41"/>
  <c r="E113" i="41"/>
  <c r="E112" i="41"/>
  <c r="E111" i="41"/>
  <c r="E110" i="41"/>
  <c r="F109" i="41"/>
  <c r="E109" i="41"/>
  <c r="E108" i="41"/>
  <c r="K102" i="41"/>
  <c r="L102" i="41" s="1"/>
  <c r="C102" i="41"/>
  <c r="E102" i="41" s="1"/>
  <c r="G102" i="41" s="1"/>
  <c r="K101" i="41"/>
  <c r="L101" i="41" s="1"/>
  <c r="C101" i="41"/>
  <c r="E101" i="41" s="1"/>
  <c r="G101" i="41" s="1"/>
  <c r="K100" i="41"/>
  <c r="L100" i="41" s="1"/>
  <c r="C100" i="41"/>
  <c r="E100" i="41" s="1"/>
  <c r="G100" i="41" s="1"/>
  <c r="K99" i="41"/>
  <c r="L99" i="41" s="1"/>
  <c r="C99" i="41"/>
  <c r="E99" i="41" s="1"/>
  <c r="G99" i="41" s="1"/>
  <c r="K98" i="41"/>
  <c r="L98" i="41" s="1"/>
  <c r="C98" i="41"/>
  <c r="E98" i="41" s="1"/>
  <c r="G98" i="41" s="1"/>
  <c r="K97" i="41"/>
  <c r="L97" i="41" s="1"/>
  <c r="C97" i="41"/>
  <c r="E97" i="41" s="1"/>
  <c r="G97" i="41" s="1"/>
  <c r="K96" i="41"/>
  <c r="L96" i="41" s="1"/>
  <c r="C96" i="41"/>
  <c r="E96" i="41" s="1"/>
  <c r="G96" i="41" s="1"/>
  <c r="K95" i="41"/>
  <c r="L95" i="41" s="1"/>
  <c r="C95" i="41"/>
  <c r="E95" i="41" s="1"/>
  <c r="G95" i="41" s="1"/>
  <c r="K94" i="41"/>
  <c r="L94" i="41" s="1"/>
  <c r="C94" i="41"/>
  <c r="E94" i="41" s="1"/>
  <c r="G94" i="41" s="1"/>
  <c r="K93" i="41"/>
  <c r="L93" i="41" s="1"/>
  <c r="C93" i="41"/>
  <c r="E93" i="41" s="1"/>
  <c r="G93" i="41" s="1"/>
  <c r="K92" i="41"/>
  <c r="L92" i="41" s="1"/>
  <c r="C92" i="41"/>
  <c r="E92" i="41" s="1"/>
  <c r="G92" i="41" s="1"/>
  <c r="K91" i="41"/>
  <c r="L91" i="41" s="1"/>
  <c r="C91" i="41"/>
  <c r="E91" i="41" s="1"/>
  <c r="G91" i="41" s="1"/>
  <c r="K90" i="41"/>
  <c r="L90" i="41" s="1"/>
  <c r="C90" i="41"/>
  <c r="E90" i="41" s="1"/>
  <c r="G90" i="41" s="1"/>
  <c r="K89" i="41"/>
  <c r="L89" i="41" s="1"/>
  <c r="C89" i="41"/>
  <c r="E89" i="41" s="1"/>
  <c r="G89" i="41" s="1"/>
  <c r="K88" i="41"/>
  <c r="L88" i="41" s="1"/>
  <c r="C88" i="41"/>
  <c r="E88" i="41" s="1"/>
  <c r="G88" i="41" s="1"/>
  <c r="K87" i="41"/>
  <c r="L87" i="41" s="1"/>
  <c r="C87" i="41"/>
  <c r="E87" i="41" s="1"/>
  <c r="G87" i="41" s="1"/>
  <c r="K86" i="41"/>
  <c r="L86" i="41" s="1"/>
  <c r="C86" i="41"/>
  <c r="E86" i="41" s="1"/>
  <c r="G86" i="41" s="1"/>
  <c r="K85" i="41"/>
  <c r="L85" i="41" s="1"/>
  <c r="C85" i="41"/>
  <c r="E85" i="41" s="1"/>
  <c r="G85" i="41" s="1"/>
  <c r="K84" i="41"/>
  <c r="L84" i="41" s="1"/>
  <c r="C84" i="41"/>
  <c r="E84" i="41" s="1"/>
  <c r="G84" i="41" s="1"/>
  <c r="K83" i="41"/>
  <c r="L83" i="41" s="1"/>
  <c r="C83" i="41"/>
  <c r="E83" i="41" s="1"/>
  <c r="G83" i="41" s="1"/>
  <c r="K82" i="41"/>
  <c r="L82" i="41" s="1"/>
  <c r="C82" i="41"/>
  <c r="E82" i="41" s="1"/>
  <c r="G82" i="41" s="1"/>
  <c r="K81" i="41"/>
  <c r="L81" i="41" s="1"/>
  <c r="C81" i="41"/>
  <c r="E81" i="41" s="1"/>
  <c r="G81" i="41" s="1"/>
  <c r="K80" i="41"/>
  <c r="L80" i="41" s="1"/>
  <c r="C80" i="41"/>
  <c r="E80" i="41" s="1"/>
  <c r="G80" i="41" s="1"/>
  <c r="K79" i="41"/>
  <c r="L79" i="41" s="1"/>
  <c r="C79" i="41"/>
  <c r="E79" i="41" s="1"/>
  <c r="G79" i="41" s="1"/>
  <c r="K78" i="41"/>
  <c r="L78" i="41" s="1"/>
  <c r="C78" i="41"/>
  <c r="E78" i="41" s="1"/>
  <c r="G78" i="41" s="1"/>
  <c r="K77" i="41"/>
  <c r="L77" i="41" s="1"/>
  <c r="C77" i="41"/>
  <c r="E77" i="41" s="1"/>
  <c r="G77" i="41" s="1"/>
  <c r="K76" i="41"/>
  <c r="L76" i="41" s="1"/>
  <c r="C76" i="41"/>
  <c r="E76" i="41" s="1"/>
  <c r="G76" i="41" s="1"/>
  <c r="K75" i="41"/>
  <c r="L75" i="41" s="1"/>
  <c r="C75" i="41"/>
  <c r="E75" i="41" s="1"/>
  <c r="G75" i="41" s="1"/>
  <c r="K74" i="41"/>
  <c r="L74" i="41" s="1"/>
  <c r="C74" i="41"/>
  <c r="E74" i="41" s="1"/>
  <c r="G74" i="41" s="1"/>
  <c r="C73" i="41"/>
  <c r="D73" i="41" s="1"/>
  <c r="F73" i="41" s="1"/>
  <c r="W69" i="41"/>
  <c r="M69" i="41" s="1"/>
  <c r="S69" i="41"/>
  <c r="R69" i="41"/>
  <c r="P69" i="41"/>
  <c r="Q69" i="41" s="1"/>
  <c r="W68" i="41"/>
  <c r="S68" i="41"/>
  <c r="R68" i="41"/>
  <c r="P68" i="41"/>
  <c r="Q68" i="41" s="1"/>
  <c r="M68" i="41"/>
  <c r="W67" i="41"/>
  <c r="M63" i="41" s="1"/>
  <c r="S67" i="41"/>
  <c r="R67" i="41"/>
  <c r="P67" i="41"/>
  <c r="Q67" i="41" s="1"/>
  <c r="W66" i="41"/>
  <c r="M58" i="41" s="1"/>
  <c r="S66" i="41"/>
  <c r="R66" i="41"/>
  <c r="P66" i="41"/>
  <c r="Q66" i="41" s="1"/>
  <c r="M66" i="41"/>
  <c r="W65" i="41"/>
  <c r="M53" i="41" s="1"/>
  <c r="S65" i="41"/>
  <c r="R65" i="41"/>
  <c r="P65" i="41"/>
  <c r="Q65" i="41" s="1"/>
  <c r="W64" i="41"/>
  <c r="S64" i="41"/>
  <c r="R64" i="41"/>
  <c r="P64" i="41"/>
  <c r="Q64" i="41" s="1"/>
  <c r="W63" i="41"/>
  <c r="F111" i="41" s="1"/>
  <c r="S63" i="41"/>
  <c r="R63" i="41"/>
  <c r="P63" i="41"/>
  <c r="Q63" i="41" s="1"/>
  <c r="W62" i="41"/>
  <c r="M38" i="41" s="1"/>
  <c r="S62" i="41"/>
  <c r="R62" i="41"/>
  <c r="P62" i="41"/>
  <c r="Q62" i="41" s="1"/>
  <c r="W61" i="41"/>
  <c r="M33" i="41" s="1"/>
  <c r="S61" i="41"/>
  <c r="R61" i="41"/>
  <c r="P61" i="41"/>
  <c r="Q61" i="41" s="1"/>
  <c r="M61" i="41"/>
  <c r="W60" i="41"/>
  <c r="M28" i="41" s="1"/>
  <c r="S60" i="41"/>
  <c r="R60" i="41"/>
  <c r="P60" i="41"/>
  <c r="Q60" i="41" s="1"/>
  <c r="W59" i="41"/>
  <c r="M23" i="41" s="1"/>
  <c r="S59" i="41"/>
  <c r="R59" i="41"/>
  <c r="P59" i="41"/>
  <c r="Q59" i="41" s="1"/>
  <c r="W58" i="41"/>
  <c r="S58" i="41"/>
  <c r="R58" i="41"/>
  <c r="P58" i="41"/>
  <c r="Q58" i="41" s="1"/>
  <c r="W57" i="41"/>
  <c r="M64" i="41" s="1"/>
  <c r="S57" i="41"/>
  <c r="R57" i="41"/>
  <c r="P57" i="41"/>
  <c r="Q57" i="41" s="1"/>
  <c r="W56" i="41"/>
  <c r="M59" i="41" s="1"/>
  <c r="S56" i="41"/>
  <c r="R56" i="41"/>
  <c r="P56" i="41"/>
  <c r="Q56" i="41" s="1"/>
  <c r="M56" i="41"/>
  <c r="W55" i="41"/>
  <c r="S55" i="41"/>
  <c r="R55" i="41"/>
  <c r="P55" i="41"/>
  <c r="Q55" i="41" s="1"/>
  <c r="W54" i="41"/>
  <c r="M49" i="41" s="1"/>
  <c r="S54" i="41"/>
  <c r="R54" i="41"/>
  <c r="P54" i="41"/>
  <c r="Q54" i="41" s="1"/>
  <c r="M54" i="41"/>
  <c r="W53" i="41"/>
  <c r="M44" i="41" s="1"/>
  <c r="S53" i="41"/>
  <c r="R53" i="41"/>
  <c r="P53" i="41"/>
  <c r="Q53" i="41" s="1"/>
  <c r="W52" i="41"/>
  <c r="M39" i="41" s="1"/>
  <c r="S52" i="41"/>
  <c r="R52" i="41"/>
  <c r="P52" i="41"/>
  <c r="Q52" i="41" s="1"/>
  <c r="W51" i="41"/>
  <c r="M34" i="41" s="1"/>
  <c r="S51" i="41"/>
  <c r="R51" i="41"/>
  <c r="P51" i="41"/>
  <c r="Q51" i="41" s="1"/>
  <c r="M51" i="41"/>
  <c r="W50" i="41"/>
  <c r="M29" i="41" s="1"/>
  <c r="S50" i="41"/>
  <c r="R50" i="41"/>
  <c r="P50" i="41"/>
  <c r="Q50" i="41" s="1"/>
  <c r="W49" i="41"/>
  <c r="F221" i="62" s="1"/>
  <c r="S49" i="41"/>
  <c r="R49" i="41"/>
  <c r="P49" i="41"/>
  <c r="Q49" i="41" s="1"/>
  <c r="W48" i="41"/>
  <c r="S48" i="41"/>
  <c r="R48" i="41"/>
  <c r="P48" i="41"/>
  <c r="Q48" i="41" s="1"/>
  <c r="M48" i="41"/>
  <c r="W47" i="41"/>
  <c r="M67" i="41" s="1"/>
  <c r="S47" i="41"/>
  <c r="R47" i="41"/>
  <c r="P47" i="41"/>
  <c r="Q47" i="41" s="1"/>
  <c r="W46" i="41"/>
  <c r="M62" i="41" s="1"/>
  <c r="S46" i="41"/>
  <c r="R46" i="41"/>
  <c r="P46" i="41"/>
  <c r="Q46" i="41" s="1"/>
  <c r="M46" i="41"/>
  <c r="W45" i="41"/>
  <c r="M57" i="41" s="1"/>
  <c r="S45" i="41"/>
  <c r="R45" i="41"/>
  <c r="P45" i="41"/>
  <c r="Q45" i="41" s="1"/>
  <c r="W44" i="41"/>
  <c r="M52" i="41" s="1"/>
  <c r="S44" i="41"/>
  <c r="R44" i="41"/>
  <c r="P44" i="41"/>
  <c r="Q44" i="41" s="1"/>
  <c r="W43" i="41"/>
  <c r="M47" i="41" s="1"/>
  <c r="S43" i="41"/>
  <c r="R43" i="41"/>
  <c r="P43" i="41"/>
  <c r="Q43" i="41" s="1"/>
  <c r="M43" i="41"/>
  <c r="W42" i="41"/>
  <c r="M42" i="41" s="1"/>
  <c r="S42" i="41"/>
  <c r="R42" i="41"/>
  <c r="P42" i="41"/>
  <c r="Q42" i="41" s="1"/>
  <c r="W41" i="41"/>
  <c r="M37" i="41" s="1"/>
  <c r="S41" i="41"/>
  <c r="R41" i="41"/>
  <c r="P41" i="41"/>
  <c r="Q41" i="41" s="1"/>
  <c r="M41" i="41"/>
  <c r="W40" i="41"/>
  <c r="M32" i="41" s="1"/>
  <c r="S40" i="41"/>
  <c r="R40" i="41"/>
  <c r="P40" i="41"/>
  <c r="Q40" i="41" s="1"/>
  <c r="W39" i="41"/>
  <c r="S39" i="41"/>
  <c r="R39" i="41"/>
  <c r="P39" i="41"/>
  <c r="Q39" i="41" s="1"/>
  <c r="W38" i="41"/>
  <c r="S38" i="41"/>
  <c r="R38" i="41"/>
  <c r="P38" i="41"/>
  <c r="Q38" i="41" s="1"/>
  <c r="W37" i="41"/>
  <c r="S37" i="41"/>
  <c r="R37" i="41"/>
  <c r="P37" i="41"/>
  <c r="Q37" i="41" s="1"/>
  <c r="W36" i="41"/>
  <c r="S36" i="41"/>
  <c r="R36" i="41"/>
  <c r="P36" i="41"/>
  <c r="Q36" i="41" s="1"/>
  <c r="M36" i="41"/>
  <c r="W35" i="41"/>
  <c r="S35" i="41"/>
  <c r="R35" i="41"/>
  <c r="P35" i="41"/>
  <c r="Q35" i="41" s="1"/>
  <c r="W34" i="41"/>
  <c r="S34" i="41"/>
  <c r="R34" i="41"/>
  <c r="P34" i="41"/>
  <c r="Q34" i="41" s="1"/>
  <c r="W33" i="41"/>
  <c r="S33" i="41"/>
  <c r="R33" i="41"/>
  <c r="P33" i="41"/>
  <c r="Q33" i="41" s="1"/>
  <c r="W32" i="41"/>
  <c r="S32" i="41"/>
  <c r="R32" i="41"/>
  <c r="P32" i="41"/>
  <c r="Q32" i="41" s="1"/>
  <c r="W31" i="41"/>
  <c r="S31" i="41"/>
  <c r="R31" i="41"/>
  <c r="P31" i="41"/>
  <c r="Q31" i="41" s="1"/>
  <c r="M31" i="41"/>
  <c r="W30" i="41"/>
  <c r="S30" i="41"/>
  <c r="R30" i="41"/>
  <c r="P30" i="41"/>
  <c r="Q30" i="41" s="1"/>
  <c r="W29" i="41"/>
  <c r="F207" i="62" s="1"/>
  <c r="S29" i="41"/>
  <c r="R29" i="41"/>
  <c r="P29" i="41"/>
  <c r="Q29" i="41" s="1"/>
  <c r="W28" i="41"/>
  <c r="S28" i="41"/>
  <c r="R28" i="41"/>
  <c r="P28" i="41"/>
  <c r="Q28" i="41" s="1"/>
  <c r="W27" i="41"/>
  <c r="S27" i="41"/>
  <c r="R27" i="41"/>
  <c r="P27" i="41"/>
  <c r="Q27" i="41" s="1"/>
  <c r="W26" i="41"/>
  <c r="S26" i="41"/>
  <c r="R26" i="41"/>
  <c r="P26" i="41"/>
  <c r="Q26" i="41" s="1"/>
  <c r="M26" i="41"/>
  <c r="S25" i="41"/>
  <c r="R25" i="41"/>
  <c r="P25" i="41"/>
  <c r="Q25" i="41" s="1"/>
  <c r="M25" i="41"/>
  <c r="W24" i="41"/>
  <c r="S24" i="41"/>
  <c r="R24" i="41"/>
  <c r="P24" i="41"/>
  <c r="Q24" i="41" s="1"/>
  <c r="W23" i="41"/>
  <c r="S23" i="41"/>
  <c r="R23" i="41"/>
  <c r="P23" i="41"/>
  <c r="Q23" i="41" s="1"/>
  <c r="C18" i="41"/>
  <c r="E18" i="41" s="1"/>
  <c r="C17" i="41"/>
  <c r="E17" i="41" s="1"/>
  <c r="C16" i="41"/>
  <c r="E16" i="41" s="1"/>
  <c r="C15" i="41"/>
  <c r="E15" i="41" s="1"/>
  <c r="C14" i="41"/>
  <c r="E14" i="41" s="1"/>
  <c r="C13" i="41"/>
  <c r="E13" i="41" s="1"/>
  <c r="C12" i="41"/>
  <c r="E12" i="41" s="1"/>
  <c r="C11" i="41"/>
  <c r="E11" i="41" s="1"/>
  <c r="C10" i="41"/>
  <c r="E10" i="41" s="1"/>
  <c r="C9" i="41"/>
  <c r="E9" i="41" s="1"/>
  <c r="B23" i="41" s="1"/>
  <c r="O495" i="40"/>
  <c r="O494" i="40"/>
  <c r="O493" i="40"/>
  <c r="O492" i="40"/>
  <c r="O491" i="40"/>
  <c r="O490" i="40"/>
  <c r="O489" i="40"/>
  <c r="O488" i="40"/>
  <c r="O487" i="40"/>
  <c r="O486" i="40"/>
  <c r="O485" i="40"/>
  <c r="O484" i="40"/>
  <c r="O483" i="40"/>
  <c r="O482" i="40"/>
  <c r="O481" i="40"/>
  <c r="O480" i="40"/>
  <c r="O479" i="40"/>
  <c r="O478" i="40"/>
  <c r="O477" i="40"/>
  <c r="O476" i="40"/>
  <c r="F45" i="40"/>
  <c r="E45" i="40"/>
  <c r="D45" i="40"/>
  <c r="F44" i="40"/>
  <c r="E44" i="40"/>
  <c r="D44" i="40"/>
  <c r="F43" i="40"/>
  <c r="E43" i="40"/>
  <c r="D43" i="40"/>
  <c r="F42" i="40"/>
  <c r="E42" i="40"/>
  <c r="D42" i="40"/>
  <c r="F41" i="40"/>
  <c r="E41" i="40"/>
  <c r="D41" i="40"/>
  <c r="F40" i="40"/>
  <c r="E40" i="40"/>
  <c r="D40" i="40"/>
  <c r="F39" i="40"/>
  <c r="E39" i="40"/>
  <c r="D39" i="40"/>
  <c r="F38" i="40"/>
  <c r="E38" i="40"/>
  <c r="D38" i="40"/>
  <c r="F37" i="40"/>
  <c r="E37" i="40"/>
  <c r="D37" i="40"/>
  <c r="F36" i="40"/>
  <c r="E36" i="40"/>
  <c r="D36" i="40"/>
  <c r="F35" i="40"/>
  <c r="E35" i="40"/>
  <c r="D35" i="40"/>
  <c r="F34" i="40"/>
  <c r="E34" i="40"/>
  <c r="D34" i="40"/>
  <c r="F33" i="40"/>
  <c r="E33" i="40"/>
  <c r="D33" i="40"/>
  <c r="F32" i="40"/>
  <c r="E32" i="40"/>
  <c r="D32" i="40"/>
  <c r="F31" i="40"/>
  <c r="E31" i="40"/>
  <c r="D31" i="40"/>
  <c r="F30" i="40"/>
  <c r="E30" i="40"/>
  <c r="D30" i="40"/>
  <c r="F29" i="40"/>
  <c r="E29" i="40"/>
  <c r="D29" i="40"/>
  <c r="F28" i="40"/>
  <c r="E28" i="40"/>
  <c r="D28" i="40"/>
  <c r="F27" i="40"/>
  <c r="E27" i="40"/>
  <c r="D27" i="40"/>
  <c r="F26" i="40"/>
  <c r="E26" i="40"/>
  <c r="D26" i="40"/>
  <c r="F25" i="40"/>
  <c r="E25" i="40"/>
  <c r="D25" i="40"/>
  <c r="F24" i="40"/>
  <c r="E24" i="40"/>
  <c r="D24" i="40"/>
  <c r="F23" i="40"/>
  <c r="E23" i="40"/>
  <c r="D23" i="40"/>
  <c r="F22" i="40"/>
  <c r="E22" i="40"/>
  <c r="D22" i="40"/>
  <c r="F21" i="40"/>
  <c r="E21" i="40"/>
  <c r="D21" i="40"/>
  <c r="F20" i="40"/>
  <c r="E20" i="40"/>
  <c r="D20" i="40"/>
  <c r="F19" i="40"/>
  <c r="E19" i="40"/>
  <c r="D19" i="40"/>
  <c r="F18" i="40"/>
  <c r="E18" i="40"/>
  <c r="D18" i="40"/>
  <c r="F17" i="40"/>
  <c r="E17" i="40"/>
  <c r="D17" i="40"/>
  <c r="F16" i="40"/>
  <c r="E16" i="40"/>
  <c r="D16" i="40"/>
  <c r="P96" i="32"/>
  <c r="S96" i="32" s="1"/>
  <c r="N96" i="32"/>
  <c r="R95" i="32"/>
  <c r="N95" i="32"/>
  <c r="P94" i="32"/>
  <c r="S94" i="32" s="1"/>
  <c r="N94" i="32"/>
  <c r="R93" i="32"/>
  <c r="P93" i="32"/>
  <c r="S93" i="32" s="1"/>
  <c r="N93" i="32"/>
  <c r="R92" i="32"/>
  <c r="N92" i="32"/>
  <c r="R91" i="32"/>
  <c r="P91" i="32"/>
  <c r="S91" i="32" s="1"/>
  <c r="N91" i="32"/>
  <c r="R90" i="32"/>
  <c r="N90" i="32"/>
  <c r="R89" i="32"/>
  <c r="P89" i="32"/>
  <c r="S89" i="32" s="1"/>
  <c r="N89" i="32"/>
  <c r="R88" i="32"/>
  <c r="N88" i="32"/>
  <c r="R87" i="32"/>
  <c r="N87" i="32"/>
  <c r="R86" i="32"/>
  <c r="P86" i="32"/>
  <c r="S86" i="32" s="1"/>
  <c r="N86" i="32"/>
  <c r="R85" i="32"/>
  <c r="N85" i="32"/>
  <c r="F85" i="32"/>
  <c r="E85" i="32"/>
  <c r="V84" i="32"/>
  <c r="R84" i="32"/>
  <c r="N84" i="32"/>
  <c r="F84" i="32"/>
  <c r="V83" i="32"/>
  <c r="R83" i="32"/>
  <c r="P83" i="32"/>
  <c r="S83" i="32" s="1"/>
  <c r="N83" i="32"/>
  <c r="V82" i="32"/>
  <c r="P82" i="32"/>
  <c r="S82" i="32" s="1"/>
  <c r="N82" i="32"/>
  <c r="V81" i="32"/>
  <c r="R81" i="32"/>
  <c r="P81" i="32"/>
  <c r="S81" i="32" s="1"/>
  <c r="N81" i="32"/>
  <c r="R80" i="32"/>
  <c r="N80" i="32"/>
  <c r="E80" i="32"/>
  <c r="R79" i="32"/>
  <c r="N79" i="32"/>
  <c r="E79" i="32"/>
  <c r="R78" i="32"/>
  <c r="N78" i="32"/>
  <c r="E78" i="32"/>
  <c r="P77" i="32"/>
  <c r="S77" i="32" s="1"/>
  <c r="N77" i="32"/>
  <c r="E77" i="32"/>
  <c r="AA76" i="32"/>
  <c r="AB76" i="32" s="1"/>
  <c r="R76" i="32"/>
  <c r="N76" i="32"/>
  <c r="E76" i="32"/>
  <c r="AA75" i="32"/>
  <c r="AB75" i="32" s="1"/>
  <c r="P75" i="32"/>
  <c r="S75" i="32" s="1"/>
  <c r="R75" i="32"/>
  <c r="N75" i="32"/>
  <c r="E75" i="32"/>
  <c r="AA74" i="32"/>
  <c r="AB74" i="32" s="1"/>
  <c r="R74" i="32"/>
  <c r="N74" i="32"/>
  <c r="AA73" i="32"/>
  <c r="AB73" i="32" s="1"/>
  <c r="P73" i="32"/>
  <c r="W67" i="51" s="1"/>
  <c r="W65" i="51"/>
  <c r="N73" i="32"/>
  <c r="G70" i="32"/>
  <c r="F70" i="32"/>
  <c r="E70" i="32"/>
  <c r="G69" i="32"/>
  <c r="F69" i="32"/>
  <c r="E69" i="32"/>
  <c r="G68" i="32"/>
  <c r="F68" i="32"/>
  <c r="E68" i="32"/>
  <c r="G67" i="32"/>
  <c r="F67" i="32"/>
  <c r="E67" i="32"/>
  <c r="G66" i="32"/>
  <c r="F66" i="32"/>
  <c r="E66" i="32"/>
  <c r="G65" i="32"/>
  <c r="F65" i="32"/>
  <c r="E65" i="32"/>
  <c r="G64" i="32"/>
  <c r="F64" i="32"/>
  <c r="E64" i="32"/>
  <c r="G63" i="32"/>
  <c r="F63" i="32"/>
  <c r="E63" i="32"/>
  <c r="F59" i="32"/>
  <c r="E59" i="32"/>
  <c r="D59" i="32"/>
  <c r="C59" i="32"/>
  <c r="B59" i="32"/>
  <c r="F58" i="32"/>
  <c r="E58" i="32"/>
  <c r="D58" i="32"/>
  <c r="C58" i="32"/>
  <c r="B58" i="32"/>
  <c r="F57" i="32"/>
  <c r="E57" i="32"/>
  <c r="D57" i="32"/>
  <c r="C57" i="32"/>
  <c r="B57" i="32"/>
  <c r="F56" i="32"/>
  <c r="E56" i="32"/>
  <c r="D56" i="32"/>
  <c r="C56" i="32"/>
  <c r="B56" i="32"/>
  <c r="F55" i="32"/>
  <c r="E55" i="32"/>
  <c r="D55" i="32"/>
  <c r="C55" i="32"/>
  <c r="B55" i="32"/>
  <c r="F54" i="32"/>
  <c r="E54" i="32"/>
  <c r="D54" i="32"/>
  <c r="C54" i="32"/>
  <c r="B54" i="32"/>
  <c r="F53" i="32"/>
  <c r="E53" i="32"/>
  <c r="D53" i="32"/>
  <c r="C53" i="32"/>
  <c r="B53" i="32"/>
  <c r="F52" i="32"/>
  <c r="E52" i="32"/>
  <c r="D52" i="32"/>
  <c r="C52" i="32"/>
  <c r="B52" i="32"/>
  <c r="F51" i="32"/>
  <c r="E51" i="32"/>
  <c r="D51" i="32"/>
  <c r="C51" i="32"/>
  <c r="B51" i="32"/>
  <c r="F50" i="32"/>
  <c r="E50" i="32"/>
  <c r="D50" i="32"/>
  <c r="C50" i="32"/>
  <c r="B50" i="32"/>
  <c r="K33" i="32"/>
  <c r="J33" i="32"/>
  <c r="I33" i="32"/>
  <c r="K32" i="32"/>
  <c r="J32" i="32"/>
  <c r="I32" i="32"/>
  <c r="K31" i="32"/>
  <c r="J31" i="32"/>
  <c r="I31" i="32"/>
  <c r="K30" i="32"/>
  <c r="J30" i="32"/>
  <c r="I30" i="32"/>
  <c r="E30" i="32"/>
  <c r="C30" i="32"/>
  <c r="K29" i="32"/>
  <c r="J29" i="32"/>
  <c r="I29" i="32"/>
  <c r="C29" i="32"/>
  <c r="E29" i="32" s="1"/>
  <c r="K28" i="32"/>
  <c r="J28" i="32"/>
  <c r="I28" i="32"/>
  <c r="C28" i="32"/>
  <c r="N102" i="32" s="1"/>
  <c r="Z27" i="32"/>
  <c r="K27" i="32"/>
  <c r="J27" i="32"/>
  <c r="AK23" i="32" s="1"/>
  <c r="I27" i="32"/>
  <c r="K26" i="32"/>
  <c r="J26" i="32"/>
  <c r="I26" i="32"/>
  <c r="AM25" i="32"/>
  <c r="K25" i="32"/>
  <c r="J25" i="32"/>
  <c r="I25" i="32"/>
  <c r="K24" i="32"/>
  <c r="J24" i="32"/>
  <c r="AH19" i="32" s="1"/>
  <c r="I24" i="32"/>
  <c r="K23" i="32"/>
  <c r="J23" i="32"/>
  <c r="AG30" i="32" s="1"/>
  <c r="I23" i="32"/>
  <c r="Z22" i="32"/>
  <c r="K22" i="32"/>
  <c r="J22" i="32"/>
  <c r="I22" i="32"/>
  <c r="AM21" i="32"/>
  <c r="X21" i="32"/>
  <c r="K21" i="32"/>
  <c r="J21" i="32"/>
  <c r="I21" i="32"/>
  <c r="K20" i="32"/>
  <c r="J20" i="32"/>
  <c r="I20" i="32"/>
  <c r="Z19" i="32"/>
  <c r="K19" i="32"/>
  <c r="J19" i="32"/>
  <c r="I19" i="32"/>
  <c r="K18" i="32"/>
  <c r="J18" i="32"/>
  <c r="I18" i="32"/>
  <c r="K17" i="32"/>
  <c r="J17" i="32"/>
  <c r="AA22" i="32" s="1"/>
  <c r="I17" i="32"/>
  <c r="K16" i="32"/>
  <c r="J16" i="32"/>
  <c r="Z26" i="32" s="1"/>
  <c r="I16" i="32"/>
  <c r="S15" i="32"/>
  <c r="R15" i="32"/>
  <c r="Q15" i="32"/>
  <c r="K15" i="32"/>
  <c r="J15" i="32"/>
  <c r="Y23" i="32" s="1"/>
  <c r="I15" i="32"/>
  <c r="C15" i="32"/>
  <c r="S14" i="32"/>
  <c r="R14" i="32"/>
  <c r="Q14" i="32"/>
  <c r="K14" i="32"/>
  <c r="J14" i="32"/>
  <c r="X24" i="32" s="1"/>
  <c r="I14" i="32"/>
  <c r="C14" i="32"/>
  <c r="S13" i="32"/>
  <c r="R13" i="32"/>
  <c r="Q13" i="32"/>
  <c r="K13" i="32"/>
  <c r="J13" i="32"/>
  <c r="I13" i="32"/>
  <c r="C13" i="32"/>
  <c r="AQ20" i="32" s="1"/>
  <c r="S12" i="32"/>
  <c r="R12" i="32"/>
  <c r="Q12" i="32"/>
  <c r="K12" i="32"/>
  <c r="J12" i="32"/>
  <c r="I12" i="32"/>
  <c r="C12" i="32"/>
  <c r="AF21" i="32" s="1"/>
  <c r="S11" i="32"/>
  <c r="R11" i="32"/>
  <c r="Q11" i="32"/>
  <c r="K11" i="32"/>
  <c r="J11" i="32"/>
  <c r="I11" i="32"/>
  <c r="C11" i="32"/>
  <c r="AE26" i="32" s="1"/>
  <c r="S10" i="32"/>
  <c r="R10" i="32"/>
  <c r="Q10" i="32"/>
  <c r="K10" i="32"/>
  <c r="J10" i="32"/>
  <c r="I10" i="32"/>
  <c r="C10" i="32"/>
  <c r="S9" i="32"/>
  <c r="R9" i="32"/>
  <c r="Q9" i="32"/>
  <c r="K9" i="32"/>
  <c r="J9" i="32"/>
  <c r="I9" i="32"/>
  <c r="C9" i="32"/>
  <c r="S8" i="32"/>
  <c r="R8" i="32"/>
  <c r="Q8" i="32"/>
  <c r="K8" i="32"/>
  <c r="R19" i="32" s="1"/>
  <c r="J8" i="32"/>
  <c r="I8" i="32"/>
  <c r="C8" i="32"/>
  <c r="S7" i="32"/>
  <c r="R7" i="32"/>
  <c r="Q7" i="32"/>
  <c r="K7" i="32"/>
  <c r="J7" i="32"/>
  <c r="I7" i="32"/>
  <c r="C7" i="32"/>
  <c r="S6" i="32"/>
  <c r="R6" i="32"/>
  <c r="Q6" i="32"/>
  <c r="K6" i="32"/>
  <c r="J6" i="32"/>
  <c r="I6" i="32"/>
  <c r="C6" i="32"/>
  <c r="AJ24" i="32" s="1"/>
  <c r="S5" i="32"/>
  <c r="R5" i="32"/>
  <c r="Q5" i="32"/>
  <c r="K5" i="32"/>
  <c r="J5" i="32"/>
  <c r="I5" i="32"/>
  <c r="D5" i="32"/>
  <c r="D6" i="32" s="1"/>
  <c r="D7" i="32" s="1"/>
  <c r="C5" i="32"/>
  <c r="S4" i="32"/>
  <c r="R4" i="32"/>
  <c r="Q4" i="32"/>
  <c r="K4" i="32"/>
  <c r="J4" i="32"/>
  <c r="N22" i="32" s="1"/>
  <c r="I4" i="32"/>
  <c r="E4" i="32"/>
  <c r="C4" i="32"/>
  <c r="C40" i="10"/>
  <c r="G39" i="10"/>
  <c r="F39" i="10"/>
  <c r="E39" i="10"/>
  <c r="D39" i="10"/>
  <c r="G38" i="10"/>
  <c r="F38" i="10"/>
  <c r="E38" i="10"/>
  <c r="D38" i="10"/>
  <c r="I33" i="10"/>
  <c r="D33" i="10"/>
  <c r="E33" i="10" s="1"/>
  <c r="H33" i="10" s="1"/>
  <c r="C33" i="10"/>
  <c r="I32" i="10"/>
  <c r="D32" i="10"/>
  <c r="E32" i="10" s="1"/>
  <c r="H32" i="10" s="1"/>
  <c r="C32" i="10"/>
  <c r="I31" i="10"/>
  <c r="D31" i="10"/>
  <c r="C31" i="10"/>
  <c r="E31" i="10" s="1"/>
  <c r="H31" i="10" s="1"/>
  <c r="I30" i="10"/>
  <c r="D30" i="10"/>
  <c r="C30" i="10"/>
  <c r="E30" i="10" s="1"/>
  <c r="H30" i="10" s="1"/>
  <c r="I29" i="10"/>
  <c r="D29" i="10"/>
  <c r="E29" i="10" s="1"/>
  <c r="H29" i="10" s="1"/>
  <c r="C29" i="10"/>
  <c r="I28" i="10"/>
  <c r="D28" i="10"/>
  <c r="C28" i="10"/>
  <c r="E28" i="10" s="1"/>
  <c r="H28" i="10" s="1"/>
  <c r="I27" i="10"/>
  <c r="D27" i="10"/>
  <c r="C27" i="10"/>
  <c r="I26" i="10"/>
  <c r="D26" i="10"/>
  <c r="C26" i="10"/>
  <c r="E26" i="10" s="1"/>
  <c r="H26" i="10" s="1"/>
  <c r="I25" i="10"/>
  <c r="D25" i="10"/>
  <c r="E25" i="10" s="1"/>
  <c r="H25" i="10" s="1"/>
  <c r="C25" i="10"/>
  <c r="I24" i="10"/>
  <c r="D24" i="10"/>
  <c r="E24" i="10" s="1"/>
  <c r="H24" i="10" s="1"/>
  <c r="C24" i="10"/>
  <c r="H20" i="10"/>
  <c r="G20" i="10"/>
  <c r="F20" i="10"/>
  <c r="E20" i="10"/>
  <c r="D20" i="10"/>
  <c r="C20" i="10"/>
  <c r="H19" i="10"/>
  <c r="G19" i="10"/>
  <c r="F19" i="10"/>
  <c r="E19" i="10"/>
  <c r="D19" i="10"/>
  <c r="C19" i="10"/>
  <c r="H18" i="10"/>
  <c r="G18" i="10"/>
  <c r="F18" i="10"/>
  <c r="E18" i="10"/>
  <c r="D18" i="10"/>
  <c r="C18" i="10"/>
  <c r="H17" i="10"/>
  <c r="G17" i="10"/>
  <c r="F17" i="10"/>
  <c r="E17" i="10"/>
  <c r="D17" i="10"/>
  <c r="C17" i="10"/>
  <c r="H16" i="10"/>
  <c r="G16" i="10"/>
  <c r="F16" i="10"/>
  <c r="E16" i="10"/>
  <c r="D16" i="10"/>
  <c r="C16" i="10"/>
  <c r="H15" i="10"/>
  <c r="G15" i="10"/>
  <c r="F15" i="10"/>
  <c r="E15" i="10"/>
  <c r="D15" i="10"/>
  <c r="C15" i="10"/>
  <c r="H14" i="10"/>
  <c r="G14" i="10"/>
  <c r="F14" i="10"/>
  <c r="E14" i="10"/>
  <c r="D14" i="10"/>
  <c r="C14" i="10"/>
  <c r="H13" i="10"/>
  <c r="G13" i="10"/>
  <c r="F13" i="10"/>
  <c r="E13" i="10"/>
  <c r="D13" i="10"/>
  <c r="C13" i="10"/>
  <c r="H12" i="10"/>
  <c r="G12" i="10"/>
  <c r="F12" i="10"/>
  <c r="E12" i="10"/>
  <c r="D12" i="10"/>
  <c r="C12" i="10"/>
  <c r="H11" i="10"/>
  <c r="G11" i="10"/>
  <c r="F11" i="10"/>
  <c r="E11" i="10"/>
  <c r="D11" i="10"/>
  <c r="C11" i="10"/>
  <c r="H10" i="10"/>
  <c r="G10" i="10"/>
  <c r="F10" i="10"/>
  <c r="E10" i="10"/>
  <c r="D10" i="10"/>
  <c r="C10" i="10"/>
  <c r="BF37" i="35"/>
  <c r="BE37" i="35"/>
  <c r="BD37" i="35"/>
  <c r="AS37" i="35"/>
  <c r="AR37" i="35"/>
  <c r="AQ37" i="35"/>
  <c r="AF37" i="35"/>
  <c r="AE37" i="35"/>
  <c r="AD37" i="35"/>
  <c r="I37" i="35"/>
  <c r="H37" i="35"/>
  <c r="G37" i="35"/>
  <c r="BF36" i="35"/>
  <c r="BE36" i="35"/>
  <c r="BD36" i="35"/>
  <c r="AS36" i="35"/>
  <c r="AR36" i="35"/>
  <c r="AQ36" i="35"/>
  <c r="AF36" i="35"/>
  <c r="AE36" i="35"/>
  <c r="AD36" i="35"/>
  <c r="I36" i="35"/>
  <c r="H36" i="35"/>
  <c r="G36" i="35"/>
  <c r="BF35" i="35"/>
  <c r="BE35" i="35"/>
  <c r="BD35" i="35"/>
  <c r="AS35" i="35"/>
  <c r="AR35" i="35"/>
  <c r="AQ35" i="35"/>
  <c r="AF35" i="35"/>
  <c r="AE35" i="35"/>
  <c r="AD35" i="35"/>
  <c r="I35" i="35"/>
  <c r="H35" i="35"/>
  <c r="G35" i="35"/>
  <c r="BF34" i="35"/>
  <c r="BE34" i="35"/>
  <c r="BD34" i="35"/>
  <c r="AS34" i="35"/>
  <c r="AR34" i="35"/>
  <c r="AQ34" i="35"/>
  <c r="AF34" i="35"/>
  <c r="AE34" i="35"/>
  <c r="AD34" i="35"/>
  <c r="I34" i="35"/>
  <c r="H34" i="35"/>
  <c r="G34" i="35"/>
  <c r="BF33" i="35"/>
  <c r="BE33" i="35"/>
  <c r="BD33" i="35"/>
  <c r="AS33" i="35"/>
  <c r="AR33" i="35"/>
  <c r="AQ33" i="35"/>
  <c r="AF33" i="35"/>
  <c r="AE33" i="35"/>
  <c r="AD33" i="35"/>
  <c r="I33" i="35"/>
  <c r="H33" i="35"/>
  <c r="G33" i="35"/>
  <c r="BF32" i="35"/>
  <c r="BE32" i="35"/>
  <c r="BD32" i="35"/>
  <c r="AS32" i="35"/>
  <c r="AR32" i="35"/>
  <c r="AQ32" i="35"/>
  <c r="AF32" i="35"/>
  <c r="AE32" i="35"/>
  <c r="AD32" i="35"/>
  <c r="I32" i="35"/>
  <c r="H32" i="35"/>
  <c r="G32" i="35"/>
  <c r="BF31" i="35"/>
  <c r="BE31" i="35"/>
  <c r="BD31" i="35"/>
  <c r="AS31" i="35"/>
  <c r="AR31" i="35"/>
  <c r="AQ31" i="35"/>
  <c r="AF31" i="35"/>
  <c r="AE31" i="35"/>
  <c r="AD31" i="35"/>
  <c r="I31" i="35"/>
  <c r="H31" i="35"/>
  <c r="G31" i="35"/>
  <c r="BF30" i="35"/>
  <c r="BE30" i="35"/>
  <c r="BD30" i="35"/>
  <c r="AS30" i="35"/>
  <c r="AR30" i="35"/>
  <c r="AQ30" i="35"/>
  <c r="AF30" i="35"/>
  <c r="AE30" i="35"/>
  <c r="AD30" i="35"/>
  <c r="I30" i="35"/>
  <c r="H30" i="35"/>
  <c r="G30" i="35"/>
  <c r="BF29" i="35"/>
  <c r="BE29" i="35"/>
  <c r="BD29" i="35"/>
  <c r="AS29" i="35"/>
  <c r="AR29" i="35"/>
  <c r="AQ29" i="35"/>
  <c r="AF29" i="35"/>
  <c r="AE29" i="35"/>
  <c r="AD29" i="35"/>
  <c r="I29" i="35"/>
  <c r="H29" i="35"/>
  <c r="G29" i="35"/>
  <c r="BF28" i="35"/>
  <c r="BE28" i="35"/>
  <c r="BD28" i="35"/>
  <c r="AS28" i="35"/>
  <c r="AR28" i="35"/>
  <c r="AQ28" i="35"/>
  <c r="AF28" i="35"/>
  <c r="AE28" i="35"/>
  <c r="AD28" i="35"/>
  <c r="I28" i="35"/>
  <c r="H28" i="35"/>
  <c r="G28" i="35"/>
  <c r="BF27" i="35"/>
  <c r="BE27" i="35"/>
  <c r="BD27" i="35"/>
  <c r="AS27" i="35"/>
  <c r="AR27" i="35"/>
  <c r="AQ27" i="35"/>
  <c r="AF27" i="35"/>
  <c r="AE27" i="35"/>
  <c r="AD27" i="35"/>
  <c r="I27" i="35"/>
  <c r="H27" i="35"/>
  <c r="G27" i="35"/>
  <c r="BF26" i="35"/>
  <c r="BE26" i="35"/>
  <c r="BD26" i="35"/>
  <c r="AS26" i="35"/>
  <c r="AR26" i="35"/>
  <c r="AQ26" i="35"/>
  <c r="AF26" i="35"/>
  <c r="AE26" i="35"/>
  <c r="AD26" i="35"/>
  <c r="I26" i="35"/>
  <c r="H26" i="35"/>
  <c r="G26" i="35"/>
  <c r="BF25" i="35"/>
  <c r="BE25" i="35"/>
  <c r="BD25" i="35"/>
  <c r="AS25" i="35"/>
  <c r="AR25" i="35"/>
  <c r="AQ25" i="35"/>
  <c r="AF25" i="35"/>
  <c r="AE25" i="35"/>
  <c r="AD25" i="35"/>
  <c r="I25" i="35"/>
  <c r="H25" i="35"/>
  <c r="G25" i="35"/>
  <c r="BF24" i="35"/>
  <c r="BE24" i="35"/>
  <c r="BD24" i="35"/>
  <c r="AS24" i="35"/>
  <c r="AR24" i="35"/>
  <c r="AQ24" i="35"/>
  <c r="AF24" i="35"/>
  <c r="AE24" i="35"/>
  <c r="AD24" i="35"/>
  <c r="I24" i="35"/>
  <c r="H24" i="35"/>
  <c r="G24" i="35"/>
  <c r="BF23" i="35"/>
  <c r="BE23" i="35"/>
  <c r="BD23" i="35"/>
  <c r="AS23" i="35"/>
  <c r="AR23" i="35"/>
  <c r="AQ23" i="35"/>
  <c r="AF23" i="35"/>
  <c r="AE23" i="35"/>
  <c r="AD23" i="35"/>
  <c r="I23" i="35"/>
  <c r="H23" i="35"/>
  <c r="G23" i="35"/>
  <c r="BF22" i="35"/>
  <c r="BE22" i="35"/>
  <c r="BD22" i="35"/>
  <c r="AS22" i="35"/>
  <c r="AR22" i="35"/>
  <c r="AQ22" i="35"/>
  <c r="AF22" i="35"/>
  <c r="AE22" i="35"/>
  <c r="AD22" i="35"/>
  <c r="I22" i="35"/>
  <c r="H22" i="35"/>
  <c r="G22" i="35"/>
  <c r="BF21" i="35"/>
  <c r="BE21" i="35"/>
  <c r="BD21" i="35"/>
  <c r="AS21" i="35"/>
  <c r="AR21" i="35"/>
  <c r="AQ21" i="35"/>
  <c r="AF21" i="35"/>
  <c r="AE21" i="35"/>
  <c r="AD21" i="35"/>
  <c r="I21" i="35"/>
  <c r="H21" i="35"/>
  <c r="G21" i="35"/>
  <c r="BF20" i="35"/>
  <c r="BE20" i="35"/>
  <c r="BD20" i="35"/>
  <c r="AS20" i="35"/>
  <c r="AR20" i="35"/>
  <c r="AQ20" i="35"/>
  <c r="AF20" i="35"/>
  <c r="AE20" i="35"/>
  <c r="AD20" i="35"/>
  <c r="I20" i="35"/>
  <c r="H20" i="35"/>
  <c r="G20" i="35"/>
  <c r="BF19" i="35"/>
  <c r="BE19" i="35"/>
  <c r="BD19" i="35"/>
  <c r="AS19" i="35"/>
  <c r="AR19" i="35"/>
  <c r="AQ19" i="35"/>
  <c r="AF19" i="35"/>
  <c r="AE19" i="35"/>
  <c r="AD19" i="35"/>
  <c r="I19" i="35"/>
  <c r="H19" i="35"/>
  <c r="G19" i="35"/>
  <c r="BF18" i="35"/>
  <c r="BE18" i="35"/>
  <c r="BD18" i="35"/>
  <c r="AS18" i="35"/>
  <c r="AR18" i="35"/>
  <c r="AQ18" i="35"/>
  <c r="AF18" i="35"/>
  <c r="AE18" i="35"/>
  <c r="AD18" i="35"/>
  <c r="I18" i="35"/>
  <c r="H18" i="35"/>
  <c r="G18" i="35"/>
  <c r="BF17" i="35"/>
  <c r="BE17" i="35"/>
  <c r="BD17" i="35"/>
  <c r="AS17" i="35"/>
  <c r="AR17" i="35"/>
  <c r="AQ17" i="35"/>
  <c r="AF17" i="35"/>
  <c r="AE17" i="35"/>
  <c r="AD17" i="35"/>
  <c r="I17" i="35"/>
  <c r="H17" i="35"/>
  <c r="G17" i="35"/>
  <c r="BF16" i="35"/>
  <c r="BE16" i="35"/>
  <c r="BD16" i="35"/>
  <c r="AS16" i="35"/>
  <c r="AR16" i="35"/>
  <c r="AQ16" i="35"/>
  <c r="AF16" i="35"/>
  <c r="AE16" i="35"/>
  <c r="AD16" i="35"/>
  <c r="I16" i="35"/>
  <c r="H16" i="35"/>
  <c r="G16" i="35"/>
  <c r="BF15" i="35"/>
  <c r="BE15" i="35"/>
  <c r="BD15" i="35"/>
  <c r="AS15" i="35"/>
  <c r="AR15" i="35"/>
  <c r="AQ15" i="35"/>
  <c r="AF15" i="35"/>
  <c r="AE15" i="35"/>
  <c r="AD15" i="35"/>
  <c r="I15" i="35"/>
  <c r="H15" i="35"/>
  <c r="G15" i="35"/>
  <c r="BF14" i="35"/>
  <c r="BE14" i="35"/>
  <c r="BD14" i="35"/>
  <c r="AS14" i="35"/>
  <c r="AR14" i="35"/>
  <c r="AQ14" i="35"/>
  <c r="AF14" i="35"/>
  <c r="AE14" i="35"/>
  <c r="AD14" i="35"/>
  <c r="I14" i="35"/>
  <c r="H14" i="35"/>
  <c r="G14" i="35"/>
  <c r="BF13" i="35"/>
  <c r="BE13" i="35"/>
  <c r="BD13" i="35"/>
  <c r="AS13" i="35"/>
  <c r="AR13" i="35"/>
  <c r="AQ13" i="35"/>
  <c r="AF13" i="35"/>
  <c r="AE13" i="35"/>
  <c r="AD13" i="35"/>
  <c r="I13" i="35"/>
  <c r="H13" i="35"/>
  <c r="G13" i="35"/>
  <c r="BF12" i="35"/>
  <c r="BE12" i="35"/>
  <c r="BD12" i="35"/>
  <c r="AS12" i="35"/>
  <c r="AR12" i="35"/>
  <c r="AQ12" i="35"/>
  <c r="AF12" i="35"/>
  <c r="AE12" i="35"/>
  <c r="AD12" i="35"/>
  <c r="I12" i="35"/>
  <c r="H12" i="35"/>
  <c r="G12" i="35"/>
  <c r="BF11" i="35"/>
  <c r="BE11" i="35"/>
  <c r="BD11" i="35"/>
  <c r="AS11" i="35"/>
  <c r="AR11" i="35"/>
  <c r="AQ11" i="35"/>
  <c r="AF11" i="35"/>
  <c r="AE11" i="35"/>
  <c r="AD11" i="35"/>
  <c r="I11" i="35"/>
  <c r="H11" i="35"/>
  <c r="G11" i="35"/>
  <c r="BF10" i="35"/>
  <c r="BE10" i="35"/>
  <c r="BD10" i="35"/>
  <c r="AS10" i="35"/>
  <c r="AR10" i="35"/>
  <c r="AQ10" i="35"/>
  <c r="AF10" i="35"/>
  <c r="AE10" i="35"/>
  <c r="AD10" i="35"/>
  <c r="I10" i="35"/>
  <c r="H10" i="35"/>
  <c r="G10" i="35"/>
  <c r="BF9" i="35"/>
  <c r="BE9" i="35"/>
  <c r="BD9" i="35"/>
  <c r="AS9" i="35"/>
  <c r="AR9" i="35"/>
  <c r="AQ9" i="35"/>
  <c r="AF9" i="35"/>
  <c r="AE9" i="35"/>
  <c r="AD9" i="35"/>
  <c r="I9" i="35"/>
  <c r="H9" i="35"/>
  <c r="G9" i="35"/>
  <c r="BF8" i="35"/>
  <c r="BE8" i="35"/>
  <c r="BD8" i="35"/>
  <c r="AS8" i="35"/>
  <c r="AR8" i="35"/>
  <c r="AQ8" i="35"/>
  <c r="AF8" i="35"/>
  <c r="AE8" i="35"/>
  <c r="AD8" i="35"/>
  <c r="I8" i="35"/>
  <c r="H8" i="35"/>
  <c r="G8" i="35"/>
  <c r="BF7" i="35"/>
  <c r="BE7" i="35"/>
  <c r="BD7" i="35"/>
  <c r="AS7" i="35"/>
  <c r="AR7" i="35"/>
  <c r="AQ7" i="35"/>
  <c r="AF7" i="35"/>
  <c r="AE7" i="35"/>
  <c r="AD7" i="35"/>
  <c r="I7" i="35"/>
  <c r="H7" i="35"/>
  <c r="G7" i="35"/>
  <c r="BF6" i="35"/>
  <c r="BE6" i="35"/>
  <c r="BD6" i="35"/>
  <c r="AS6" i="35"/>
  <c r="AR6" i="35"/>
  <c r="AQ6" i="35"/>
  <c r="AF6" i="35"/>
  <c r="AE6" i="35"/>
  <c r="AD6" i="35"/>
  <c r="I6" i="35"/>
  <c r="H6" i="35"/>
  <c r="G6" i="35"/>
  <c r="BF5" i="35"/>
  <c r="BE5" i="35"/>
  <c r="BD5" i="35"/>
  <c r="AS5" i="35"/>
  <c r="AR5" i="35"/>
  <c r="AQ5" i="35"/>
  <c r="AF5" i="35"/>
  <c r="AE5" i="35"/>
  <c r="AD5" i="35"/>
  <c r="I5" i="35"/>
  <c r="H5" i="35"/>
  <c r="G5" i="35"/>
  <c r="BF4" i="35"/>
  <c r="BE4" i="35"/>
  <c r="BD4" i="35"/>
  <c r="AS4" i="35"/>
  <c r="AR4" i="35"/>
  <c r="AQ4" i="35"/>
  <c r="AF4" i="35"/>
  <c r="AE4" i="35"/>
  <c r="AD4" i="35"/>
  <c r="I4" i="35"/>
  <c r="H4" i="35"/>
  <c r="G4" i="35"/>
  <c r="C103" i="9"/>
  <c r="C102" i="9"/>
  <c r="C101" i="9"/>
  <c r="C100" i="9"/>
  <c r="C99" i="9"/>
  <c r="C98" i="9"/>
  <c r="C97" i="9"/>
  <c r="C96" i="9"/>
  <c r="C95" i="9"/>
  <c r="C94" i="9"/>
  <c r="C93" i="9"/>
  <c r="C92" i="9"/>
  <c r="C91" i="9"/>
  <c r="C90" i="9"/>
  <c r="C89" i="9"/>
  <c r="C88" i="9"/>
  <c r="C87" i="9"/>
  <c r="C86" i="9"/>
  <c r="C85" i="9"/>
  <c r="C84" i="9"/>
  <c r="C83" i="9"/>
  <c r="C82" i="9"/>
  <c r="C81" i="9"/>
  <c r="C80" i="9"/>
  <c r="C79" i="9"/>
  <c r="C78" i="9"/>
  <c r="C77" i="9"/>
  <c r="C76" i="9"/>
  <c r="C75" i="9"/>
  <c r="C74" i="9"/>
  <c r="E70" i="9"/>
  <c r="D70" i="9"/>
  <c r="C70" i="9"/>
  <c r="E69" i="9"/>
  <c r="D69" i="9"/>
  <c r="C69" i="9"/>
  <c r="E68" i="9"/>
  <c r="D68" i="9"/>
  <c r="C68" i="9"/>
  <c r="E67" i="9"/>
  <c r="D67" i="9"/>
  <c r="C67" i="9"/>
  <c r="E66" i="9"/>
  <c r="D66" i="9"/>
  <c r="C66" i="9"/>
  <c r="E65" i="9"/>
  <c r="D65" i="9"/>
  <c r="C65" i="9"/>
  <c r="E64" i="9"/>
  <c r="D64" i="9"/>
  <c r="C64" i="9"/>
  <c r="E63" i="9"/>
  <c r="D63" i="9"/>
  <c r="C63" i="9"/>
  <c r="E62" i="9"/>
  <c r="D62" i="9"/>
  <c r="C62" i="9"/>
  <c r="E61" i="9"/>
  <c r="D61" i="9"/>
  <c r="C61" i="9"/>
  <c r="E60" i="9"/>
  <c r="D60" i="9"/>
  <c r="C60" i="9"/>
  <c r="E59" i="9"/>
  <c r="D59" i="9"/>
  <c r="C59" i="9"/>
  <c r="E58" i="9"/>
  <c r="D58" i="9"/>
  <c r="C58" i="9"/>
  <c r="E57" i="9"/>
  <c r="D57" i="9"/>
  <c r="C57" i="9"/>
  <c r="E56" i="9"/>
  <c r="D56" i="9"/>
  <c r="C56" i="9"/>
  <c r="E55" i="9"/>
  <c r="D55" i="9"/>
  <c r="C55" i="9"/>
  <c r="E54" i="9"/>
  <c r="D54" i="9"/>
  <c r="C54" i="9"/>
  <c r="E53" i="9"/>
  <c r="D53" i="9"/>
  <c r="C53" i="9"/>
  <c r="E52" i="9"/>
  <c r="D52" i="9"/>
  <c r="C52" i="9"/>
  <c r="E51" i="9"/>
  <c r="D51" i="9"/>
  <c r="C51" i="9"/>
  <c r="E50" i="9"/>
  <c r="D50" i="9"/>
  <c r="C50" i="9"/>
  <c r="E49" i="9"/>
  <c r="D49" i="9"/>
  <c r="C49" i="9"/>
  <c r="E48" i="9"/>
  <c r="D48" i="9"/>
  <c r="C48" i="9"/>
  <c r="E47" i="9"/>
  <c r="D47" i="9"/>
  <c r="C47" i="9"/>
  <c r="E46" i="9"/>
  <c r="D46" i="9"/>
  <c r="C46" i="9"/>
  <c r="E45" i="9"/>
  <c r="D45" i="9"/>
  <c r="C45" i="9"/>
  <c r="E44" i="9"/>
  <c r="D44" i="9"/>
  <c r="C44" i="9"/>
  <c r="E43" i="9"/>
  <c r="D43" i="9"/>
  <c r="C43" i="9"/>
  <c r="E42" i="9"/>
  <c r="D42" i="9"/>
  <c r="C42" i="9"/>
  <c r="E41" i="9"/>
  <c r="D41" i="9"/>
  <c r="C41" i="9"/>
  <c r="E37" i="9"/>
  <c r="D37" i="9"/>
  <c r="C37" i="9"/>
  <c r="B37" i="9"/>
  <c r="D36" i="9"/>
  <c r="B36" i="9"/>
  <c r="E35" i="9"/>
  <c r="D35" i="9"/>
  <c r="C35" i="9"/>
  <c r="B35" i="9"/>
  <c r="D34" i="9"/>
  <c r="B34" i="9"/>
  <c r="E33" i="9"/>
  <c r="D33" i="9"/>
  <c r="C33" i="9"/>
  <c r="B33" i="9"/>
  <c r="D32" i="9"/>
  <c r="B32" i="9"/>
  <c r="E31" i="9"/>
  <c r="D31" i="9"/>
  <c r="C31" i="9"/>
  <c r="B31" i="9"/>
  <c r="D30" i="9"/>
  <c r="B30" i="9"/>
  <c r="E29" i="9"/>
  <c r="D29" i="9"/>
  <c r="C29" i="9"/>
  <c r="B29" i="9"/>
  <c r="D28" i="9"/>
  <c r="B28" i="9"/>
  <c r="E27" i="9"/>
  <c r="D27" i="9"/>
  <c r="C27" i="9"/>
  <c r="B27" i="9"/>
  <c r="D26" i="9"/>
  <c r="B26" i="9"/>
  <c r="E25" i="9"/>
  <c r="D25" i="9"/>
  <c r="C25" i="9"/>
  <c r="B25" i="9"/>
  <c r="D24" i="9"/>
  <c r="B24" i="9"/>
  <c r="E23" i="9"/>
  <c r="D23" i="9"/>
  <c r="C23" i="9"/>
  <c r="B23" i="9"/>
  <c r="D22" i="9"/>
  <c r="B22" i="9"/>
  <c r="E21" i="9"/>
  <c r="D21" i="9"/>
  <c r="C21" i="9"/>
  <c r="B21" i="9"/>
  <c r="D20" i="9"/>
  <c r="B20" i="9"/>
  <c r="E19" i="9"/>
  <c r="D19" i="9"/>
  <c r="C19" i="9"/>
  <c r="B19" i="9"/>
  <c r="D18" i="9"/>
  <c r="B18" i="9"/>
  <c r="E17" i="9"/>
  <c r="D17" i="9"/>
  <c r="B17" i="9"/>
  <c r="D16" i="9"/>
  <c r="B16" i="9"/>
  <c r="E15" i="9"/>
  <c r="D15" i="9"/>
  <c r="C15" i="9"/>
  <c r="B15" i="9"/>
  <c r="E14" i="9"/>
  <c r="D14" i="9"/>
  <c r="C14" i="9"/>
  <c r="B14" i="9"/>
  <c r="D13" i="9"/>
  <c r="E13" i="9" s="1"/>
  <c r="C13" i="9"/>
  <c r="B13" i="9"/>
  <c r="D12" i="9"/>
  <c r="C12" i="9"/>
  <c r="B12" i="9"/>
  <c r="D11" i="9"/>
  <c r="B11" i="9"/>
  <c r="D10" i="9"/>
  <c r="B10" i="9"/>
  <c r="E9" i="9"/>
  <c r="D9" i="9"/>
  <c r="B9" i="9"/>
  <c r="E8" i="9"/>
  <c r="D8" i="9"/>
  <c r="B8" i="9"/>
  <c r="S340" i="39"/>
  <c r="P340" i="39"/>
  <c r="N340" i="39"/>
  <c r="D340" i="39"/>
  <c r="S339" i="39"/>
  <c r="P339" i="39"/>
  <c r="N339" i="39"/>
  <c r="D339" i="39"/>
  <c r="S338" i="39"/>
  <c r="P338" i="39"/>
  <c r="N338" i="39"/>
  <c r="D338" i="39"/>
  <c r="S337" i="39"/>
  <c r="P337" i="39"/>
  <c r="N337" i="39"/>
  <c r="D337" i="39"/>
  <c r="S336" i="39"/>
  <c r="P336" i="39"/>
  <c r="N336" i="39"/>
  <c r="D336" i="39"/>
  <c r="S335" i="39"/>
  <c r="P335" i="39"/>
  <c r="N335" i="39"/>
  <c r="D335" i="39"/>
  <c r="S334" i="39"/>
  <c r="P334" i="39"/>
  <c r="N334" i="39"/>
  <c r="D334" i="39"/>
  <c r="S333" i="39"/>
  <c r="N333" i="39"/>
  <c r="M333" i="39"/>
  <c r="H333" i="39"/>
  <c r="P333" i="39" s="1"/>
  <c r="D333" i="39"/>
  <c r="S332" i="39"/>
  <c r="N332" i="39"/>
  <c r="M332" i="39"/>
  <c r="H332" i="39"/>
  <c r="P332" i="39" s="1"/>
  <c r="D332" i="39"/>
  <c r="S331" i="39"/>
  <c r="P331" i="39"/>
  <c r="M331" i="39"/>
  <c r="N331" i="39" s="1"/>
  <c r="H331" i="39"/>
  <c r="D331" i="39"/>
  <c r="S330" i="39"/>
  <c r="P330" i="39"/>
  <c r="M330" i="39"/>
  <c r="N330" i="39" s="1"/>
  <c r="H330" i="39"/>
  <c r="D330" i="39"/>
  <c r="S329" i="39"/>
  <c r="N329" i="39"/>
  <c r="M329" i="39"/>
  <c r="H329" i="39"/>
  <c r="P329" i="39" s="1"/>
  <c r="D329" i="39"/>
  <c r="S328" i="39"/>
  <c r="P328" i="39"/>
  <c r="N328" i="39"/>
  <c r="M328" i="39"/>
  <c r="H328" i="39"/>
  <c r="D328" i="39"/>
  <c r="S327" i="39"/>
  <c r="P327" i="39"/>
  <c r="M327" i="39"/>
  <c r="N327" i="39" s="1"/>
  <c r="H327" i="39"/>
  <c r="D327" i="39"/>
  <c r="S326" i="39"/>
  <c r="P326" i="39"/>
  <c r="N326" i="39"/>
  <c r="D326" i="39"/>
  <c r="S325" i="39"/>
  <c r="P325" i="39"/>
  <c r="N325" i="39"/>
  <c r="D325" i="39"/>
  <c r="S324" i="39"/>
  <c r="P324" i="39"/>
  <c r="N324" i="39"/>
  <c r="D324" i="39"/>
  <c r="S323" i="39"/>
  <c r="P323" i="39"/>
  <c r="N323" i="39"/>
  <c r="D323" i="39"/>
  <c r="S322" i="39"/>
  <c r="P322" i="39"/>
  <c r="N322" i="39"/>
  <c r="D322" i="39"/>
  <c r="S321" i="39"/>
  <c r="P321" i="39"/>
  <c r="N321" i="39"/>
  <c r="D321" i="39"/>
  <c r="S320" i="39"/>
  <c r="P320" i="39"/>
  <c r="N320" i="39"/>
  <c r="D320" i="39"/>
  <c r="S319" i="39"/>
  <c r="N319" i="39"/>
  <c r="M319" i="39"/>
  <c r="H319" i="39"/>
  <c r="P319" i="39" s="1"/>
  <c r="D319" i="39"/>
  <c r="S318" i="39"/>
  <c r="P318" i="39"/>
  <c r="M318" i="39"/>
  <c r="N318" i="39" s="1"/>
  <c r="H318" i="39"/>
  <c r="D318" i="39"/>
  <c r="S317" i="39"/>
  <c r="P317" i="39"/>
  <c r="M317" i="39"/>
  <c r="N317" i="39" s="1"/>
  <c r="H317" i="39"/>
  <c r="D317" i="39"/>
  <c r="S316" i="39"/>
  <c r="N316" i="39"/>
  <c r="M316" i="39"/>
  <c r="H316" i="39"/>
  <c r="P316" i="39" s="1"/>
  <c r="D316" i="39"/>
  <c r="S315" i="39"/>
  <c r="P315" i="39"/>
  <c r="N315" i="39"/>
  <c r="M315" i="39"/>
  <c r="H315" i="39"/>
  <c r="D315" i="39"/>
  <c r="S314" i="39"/>
  <c r="P314" i="39"/>
  <c r="M314" i="39"/>
  <c r="N314" i="39" s="1"/>
  <c r="H314" i="39"/>
  <c r="D314" i="39"/>
  <c r="S313" i="39"/>
  <c r="P313" i="39"/>
  <c r="M313" i="39"/>
  <c r="N313" i="39" s="1"/>
  <c r="H313" i="39"/>
  <c r="D313" i="39"/>
  <c r="S312" i="39"/>
  <c r="O312" i="39"/>
  <c r="M312" i="39"/>
  <c r="H312" i="39"/>
  <c r="P312" i="39" s="1"/>
  <c r="D312" i="39"/>
  <c r="S311" i="39"/>
  <c r="O311" i="39"/>
  <c r="M311" i="39"/>
  <c r="H311" i="39"/>
  <c r="P311" i="39" s="1"/>
  <c r="D311" i="39"/>
  <c r="S310" i="39"/>
  <c r="P310" i="39"/>
  <c r="M310" i="39"/>
  <c r="O310" i="39" s="1"/>
  <c r="H310" i="39"/>
  <c r="D310" i="39"/>
  <c r="S309" i="39"/>
  <c r="P309" i="39"/>
  <c r="M309" i="39"/>
  <c r="O309" i="39" s="1"/>
  <c r="H309" i="39"/>
  <c r="D309" i="39"/>
  <c r="S308" i="39"/>
  <c r="O308" i="39"/>
  <c r="M308" i="39"/>
  <c r="H308" i="39"/>
  <c r="P308" i="39" s="1"/>
  <c r="D308" i="39"/>
  <c r="S307" i="39"/>
  <c r="P307" i="39"/>
  <c r="O307" i="39"/>
  <c r="M307" i="39"/>
  <c r="H307" i="39"/>
  <c r="D307" i="39"/>
  <c r="S306" i="39"/>
  <c r="P306" i="39"/>
  <c r="M306" i="39"/>
  <c r="O306" i="39" s="1"/>
  <c r="H306" i="39"/>
  <c r="D306" i="39"/>
  <c r="S305" i="39"/>
  <c r="P305" i="39"/>
  <c r="N305" i="39"/>
  <c r="D305" i="39"/>
  <c r="S304" i="39"/>
  <c r="P304" i="39"/>
  <c r="N304" i="39"/>
  <c r="D304" i="39"/>
  <c r="S303" i="39"/>
  <c r="P303" i="39"/>
  <c r="N303" i="39"/>
  <c r="D303" i="39"/>
  <c r="S302" i="39"/>
  <c r="P302" i="39"/>
  <c r="N302" i="39"/>
  <c r="D302" i="39"/>
  <c r="S301" i="39"/>
  <c r="P301" i="39"/>
  <c r="N301" i="39"/>
  <c r="D301" i="39"/>
  <c r="S300" i="39"/>
  <c r="P300" i="39"/>
  <c r="N300" i="39"/>
  <c r="D300" i="39"/>
  <c r="S299" i="39"/>
  <c r="P299" i="39"/>
  <c r="N299" i="39"/>
  <c r="D299" i="39"/>
  <c r="S298" i="39"/>
  <c r="P298" i="39"/>
  <c r="N298" i="39"/>
  <c r="D298" i="39"/>
  <c r="S297" i="39"/>
  <c r="P297" i="39"/>
  <c r="N297" i="39"/>
  <c r="D297" i="39"/>
  <c r="S296" i="39"/>
  <c r="P296" i="39"/>
  <c r="N296" i="39"/>
  <c r="D296" i="39"/>
  <c r="S295" i="39"/>
  <c r="P295" i="39"/>
  <c r="N295" i="39"/>
  <c r="D295" i="39"/>
  <c r="S294" i="39"/>
  <c r="P294" i="39"/>
  <c r="N294" i="39"/>
  <c r="D294" i="39"/>
  <c r="S293" i="39"/>
  <c r="P293" i="39"/>
  <c r="N293" i="39"/>
  <c r="D293" i="39"/>
  <c r="S292" i="39"/>
  <c r="P292" i="39"/>
  <c r="N292" i="39"/>
  <c r="D292" i="39"/>
  <c r="S291" i="39"/>
  <c r="N291" i="39"/>
  <c r="H291" i="39"/>
  <c r="P291" i="39" s="1"/>
  <c r="D291" i="39"/>
  <c r="S290" i="39"/>
  <c r="N290" i="39"/>
  <c r="H290" i="39"/>
  <c r="P290" i="39" s="1"/>
  <c r="D290" i="39"/>
  <c r="S289" i="39"/>
  <c r="N289" i="39"/>
  <c r="H289" i="39"/>
  <c r="P289" i="39" s="1"/>
  <c r="D289" i="39"/>
  <c r="S288" i="39"/>
  <c r="P288" i="39"/>
  <c r="N288" i="39"/>
  <c r="H288" i="39"/>
  <c r="D288" i="39"/>
  <c r="S287" i="39"/>
  <c r="P287" i="39"/>
  <c r="N287" i="39"/>
  <c r="H287" i="39"/>
  <c r="D287" i="39"/>
  <c r="S286" i="39"/>
  <c r="P286" i="39"/>
  <c r="N286" i="39"/>
  <c r="H286" i="39"/>
  <c r="D286" i="39"/>
  <c r="S285" i="39"/>
  <c r="N285" i="39"/>
  <c r="H285" i="39"/>
  <c r="P285" i="39" s="1"/>
  <c r="D285" i="39"/>
  <c r="S284" i="39"/>
  <c r="O284" i="39"/>
  <c r="N284" i="39"/>
  <c r="I284" i="39"/>
  <c r="H284" i="39"/>
  <c r="D284" i="39"/>
  <c r="S283" i="39"/>
  <c r="P283" i="39"/>
  <c r="O283" i="39"/>
  <c r="N283" i="39"/>
  <c r="I283" i="39"/>
  <c r="H283" i="39"/>
  <c r="D283" i="39"/>
  <c r="S282" i="39"/>
  <c r="O282" i="39"/>
  <c r="N282" i="39"/>
  <c r="I282" i="39"/>
  <c r="P282" i="39" s="1"/>
  <c r="H282" i="39"/>
  <c r="D282" i="39"/>
  <c r="S281" i="39"/>
  <c r="O281" i="39"/>
  <c r="N281" i="39"/>
  <c r="I281" i="39"/>
  <c r="H281" i="39"/>
  <c r="P281" i="39" s="1"/>
  <c r="D281" i="39"/>
  <c r="S280" i="39"/>
  <c r="P280" i="39"/>
  <c r="O280" i="39"/>
  <c r="N280" i="39"/>
  <c r="I280" i="39"/>
  <c r="H280" i="39"/>
  <c r="D280" i="39"/>
  <c r="S279" i="39"/>
  <c r="O279" i="39"/>
  <c r="N279" i="39"/>
  <c r="I279" i="39"/>
  <c r="H279" i="39"/>
  <c r="D279" i="39"/>
  <c r="S278" i="39"/>
  <c r="O278" i="39"/>
  <c r="N278" i="39"/>
  <c r="I278" i="39"/>
  <c r="H278" i="39"/>
  <c r="P278" i="39" s="1"/>
  <c r="D278" i="39"/>
  <c r="S277" i="39"/>
  <c r="P277" i="39"/>
  <c r="N277" i="39"/>
  <c r="H277" i="39"/>
  <c r="D277" i="39"/>
  <c r="S276" i="39"/>
  <c r="P276" i="39"/>
  <c r="N276" i="39"/>
  <c r="H276" i="39"/>
  <c r="D276" i="39"/>
  <c r="S275" i="39"/>
  <c r="N275" i="39"/>
  <c r="H275" i="39"/>
  <c r="P275" i="39" s="1"/>
  <c r="D275" i="39"/>
  <c r="S274" i="39"/>
  <c r="N274" i="39"/>
  <c r="H274" i="39"/>
  <c r="P274" i="39" s="1"/>
  <c r="D274" i="39"/>
  <c r="S273" i="39"/>
  <c r="N273" i="39"/>
  <c r="H273" i="39"/>
  <c r="P273" i="39" s="1"/>
  <c r="D273" i="39"/>
  <c r="S272" i="39"/>
  <c r="N272" i="39"/>
  <c r="H272" i="39"/>
  <c r="P272" i="39" s="1"/>
  <c r="D272" i="39"/>
  <c r="S271" i="39"/>
  <c r="P271" i="39"/>
  <c r="N271" i="39"/>
  <c r="H271" i="39"/>
  <c r="D271" i="39"/>
  <c r="S270" i="39"/>
  <c r="P270" i="39"/>
  <c r="N270" i="39"/>
  <c r="H270" i="39"/>
  <c r="D270" i="39"/>
  <c r="S269" i="39"/>
  <c r="P269" i="39"/>
  <c r="N269" i="39"/>
  <c r="H269" i="39"/>
  <c r="D269" i="39"/>
  <c r="S268" i="39"/>
  <c r="P268" i="39"/>
  <c r="N268" i="39"/>
  <c r="H268" i="39"/>
  <c r="D268" i="39"/>
  <c r="S267" i="39"/>
  <c r="N267" i="39"/>
  <c r="H267" i="39"/>
  <c r="P267" i="39" s="1"/>
  <c r="D267" i="39"/>
  <c r="S266" i="39"/>
  <c r="N266" i="39"/>
  <c r="H266" i="39"/>
  <c r="P266" i="39" s="1"/>
  <c r="D266" i="39"/>
  <c r="S265" i="39"/>
  <c r="N265" i="39"/>
  <c r="H265" i="39"/>
  <c r="P265" i="39" s="1"/>
  <c r="D265" i="39"/>
  <c r="S264" i="39"/>
  <c r="N264" i="39"/>
  <c r="H264" i="39"/>
  <c r="P264" i="39" s="1"/>
  <c r="D264" i="39"/>
  <c r="S263" i="39"/>
  <c r="P263" i="39"/>
  <c r="N263" i="39"/>
  <c r="J263" i="39"/>
  <c r="D263" i="39"/>
  <c r="S262" i="39"/>
  <c r="P262" i="39"/>
  <c r="N262" i="39"/>
  <c r="J262" i="39"/>
  <c r="D262" i="39"/>
  <c r="S261" i="39"/>
  <c r="P261" i="39"/>
  <c r="N261" i="39"/>
  <c r="J261" i="39"/>
  <c r="D261" i="39"/>
  <c r="S260" i="39"/>
  <c r="P260" i="39"/>
  <c r="N260" i="39"/>
  <c r="J260" i="39"/>
  <c r="D260" i="39"/>
  <c r="S259" i="39"/>
  <c r="N259" i="39"/>
  <c r="J259" i="39"/>
  <c r="P259" i="39" s="1"/>
  <c r="D259" i="39"/>
  <c r="S258" i="39"/>
  <c r="N258" i="39"/>
  <c r="J258" i="39"/>
  <c r="P258" i="39" s="1"/>
  <c r="D258" i="39"/>
  <c r="S257" i="39"/>
  <c r="N257" i="39"/>
  <c r="J257" i="39"/>
  <c r="P257" i="39" s="1"/>
  <c r="D257" i="39"/>
  <c r="S256" i="39"/>
  <c r="N256" i="39"/>
  <c r="H256" i="39"/>
  <c r="P256" i="39" s="1"/>
  <c r="D256" i="39"/>
  <c r="S255" i="39"/>
  <c r="P255" i="39"/>
  <c r="N255" i="39"/>
  <c r="H255" i="39"/>
  <c r="D255" i="39"/>
  <c r="S254" i="39"/>
  <c r="P254" i="39"/>
  <c r="N254" i="39"/>
  <c r="H254" i="39"/>
  <c r="D254" i="39"/>
  <c r="S253" i="39"/>
  <c r="P253" i="39"/>
  <c r="N253" i="39"/>
  <c r="H253" i="39"/>
  <c r="D253" i="39"/>
  <c r="S252" i="39"/>
  <c r="P252" i="39"/>
  <c r="N252" i="39"/>
  <c r="H252" i="39"/>
  <c r="D252" i="39"/>
  <c r="S251" i="39"/>
  <c r="N251" i="39"/>
  <c r="H251" i="39"/>
  <c r="P251" i="39" s="1"/>
  <c r="D251" i="39"/>
  <c r="S250" i="39"/>
  <c r="N250" i="39"/>
  <c r="H250" i="39"/>
  <c r="P250" i="39" s="1"/>
  <c r="D250" i="39"/>
  <c r="M222" i="39"/>
  <c r="K222" i="39"/>
  <c r="I222" i="39"/>
  <c r="M221" i="39"/>
  <c r="K221" i="39"/>
  <c r="I221" i="39"/>
  <c r="M220" i="39"/>
  <c r="K220" i="39"/>
  <c r="I220" i="39"/>
  <c r="M219" i="39"/>
  <c r="K219" i="39"/>
  <c r="I219" i="39"/>
  <c r="M218" i="39"/>
  <c r="K218" i="39"/>
  <c r="I218" i="39"/>
  <c r="M217" i="39"/>
  <c r="K217" i="39"/>
  <c r="I217" i="39"/>
  <c r="G211" i="39"/>
  <c r="A211" i="39" s="1"/>
  <c r="F211" i="39"/>
  <c r="E211" i="39"/>
  <c r="D211" i="39"/>
  <c r="G210" i="39"/>
  <c r="F210" i="39"/>
  <c r="E210" i="39"/>
  <c r="D210" i="39"/>
  <c r="A210" i="39"/>
  <c r="G209" i="39"/>
  <c r="F209" i="39"/>
  <c r="E209" i="39"/>
  <c r="D209" i="39"/>
  <c r="A209" i="39"/>
  <c r="G208" i="39"/>
  <c r="F208" i="39"/>
  <c r="E208" i="39"/>
  <c r="D208" i="39"/>
  <c r="A208" i="39"/>
  <c r="G207" i="39"/>
  <c r="F207" i="39"/>
  <c r="E207" i="39"/>
  <c r="D207" i="39"/>
  <c r="A207" i="39"/>
  <c r="G206" i="39"/>
  <c r="A206" i="39" s="1"/>
  <c r="F206" i="39"/>
  <c r="E206" i="39"/>
  <c r="D206" i="39"/>
  <c r="G205" i="39"/>
  <c r="A205" i="39" s="1"/>
  <c r="F205" i="39"/>
  <c r="E205" i="39"/>
  <c r="D205" i="39"/>
  <c r="G204" i="39"/>
  <c r="A204" i="39" s="1"/>
  <c r="F204" i="39"/>
  <c r="E204" i="39"/>
  <c r="D204" i="39"/>
  <c r="G203" i="39"/>
  <c r="A203" i="39" s="1"/>
  <c r="F203" i="39"/>
  <c r="E203" i="39"/>
  <c r="D203" i="39"/>
  <c r="G202" i="39"/>
  <c r="F202" i="39"/>
  <c r="E202" i="39"/>
  <c r="D202" i="39"/>
  <c r="A202" i="39"/>
  <c r="G201" i="39"/>
  <c r="F201" i="39"/>
  <c r="E201" i="39"/>
  <c r="D201" i="39"/>
  <c r="A201" i="39"/>
  <c r="G200" i="39"/>
  <c r="F200" i="39"/>
  <c r="E200" i="39"/>
  <c r="D200" i="39"/>
  <c r="A200" i="39"/>
  <c r="G199" i="39"/>
  <c r="F199" i="39"/>
  <c r="E199" i="39"/>
  <c r="D199" i="39"/>
  <c r="A199" i="39"/>
  <c r="G198" i="39"/>
  <c r="A198" i="39" s="1"/>
  <c r="F198" i="39"/>
  <c r="E198" i="39"/>
  <c r="D198" i="39"/>
  <c r="O197" i="39"/>
  <c r="M197" i="39"/>
  <c r="G197" i="39"/>
  <c r="A197" i="39" s="1"/>
  <c r="F197" i="39"/>
  <c r="E197" i="39"/>
  <c r="D197" i="39"/>
  <c r="G196" i="39"/>
  <c r="F196" i="39"/>
  <c r="E196" i="39"/>
  <c r="D196" i="39"/>
  <c r="A196" i="39"/>
  <c r="G195" i="39"/>
  <c r="F195" i="39"/>
  <c r="E195" i="39"/>
  <c r="D195" i="39"/>
  <c r="A195" i="39"/>
  <c r="G194" i="39"/>
  <c r="F194" i="39"/>
  <c r="E194" i="39"/>
  <c r="D194" i="39"/>
  <c r="A194" i="39"/>
  <c r="G193" i="39"/>
  <c r="F193" i="39"/>
  <c r="E193" i="39"/>
  <c r="D193" i="39"/>
  <c r="A193" i="39"/>
  <c r="G192" i="39"/>
  <c r="N138" i="39" s="1"/>
  <c r="M138" i="39" s="1"/>
  <c r="F192" i="39"/>
  <c r="E192" i="39"/>
  <c r="D192" i="39"/>
  <c r="G191" i="39"/>
  <c r="F191" i="39"/>
  <c r="E191" i="39"/>
  <c r="D191" i="39"/>
  <c r="G190" i="39"/>
  <c r="A190" i="39" s="1"/>
  <c r="F190" i="39"/>
  <c r="E190" i="39"/>
  <c r="D190" i="39"/>
  <c r="G189" i="39"/>
  <c r="A189" i="39" s="1"/>
  <c r="F189" i="39"/>
  <c r="E189" i="39"/>
  <c r="D189" i="39"/>
  <c r="G188" i="39"/>
  <c r="N166" i="39" s="1"/>
  <c r="F188" i="39"/>
  <c r="E188" i="39"/>
  <c r="D188" i="39"/>
  <c r="A188" i="39"/>
  <c r="G187" i="39"/>
  <c r="F187" i="39"/>
  <c r="E187" i="39"/>
  <c r="D187" i="39"/>
  <c r="A187" i="39"/>
  <c r="G186" i="39"/>
  <c r="F186" i="39"/>
  <c r="E186" i="39"/>
  <c r="D186" i="39"/>
  <c r="A186" i="39"/>
  <c r="G185" i="39"/>
  <c r="N142" i="39" s="1"/>
  <c r="F185" i="39"/>
  <c r="E185" i="39"/>
  <c r="D185" i="39"/>
  <c r="A185" i="39"/>
  <c r="G184" i="39"/>
  <c r="A184" i="39" s="1"/>
  <c r="F184" i="39"/>
  <c r="E184" i="39"/>
  <c r="D184" i="39"/>
  <c r="G183" i="39"/>
  <c r="N160" i="39" s="1"/>
  <c r="M160" i="39" s="1"/>
  <c r="F183" i="39"/>
  <c r="E183" i="39"/>
  <c r="D183" i="39"/>
  <c r="G182" i="39"/>
  <c r="A182" i="39" s="1"/>
  <c r="F182" i="39"/>
  <c r="E182" i="39"/>
  <c r="D182" i="39"/>
  <c r="N168" i="39"/>
  <c r="M168" i="39"/>
  <c r="J168" i="39"/>
  <c r="L168" i="39" s="1"/>
  <c r="N167" i="39"/>
  <c r="J167" i="39"/>
  <c r="L167" i="39" s="1"/>
  <c r="J166" i="39"/>
  <c r="L166" i="39" s="1"/>
  <c r="N165" i="39"/>
  <c r="L165" i="39"/>
  <c r="J165" i="39"/>
  <c r="M165" i="39" s="1"/>
  <c r="N164" i="39"/>
  <c r="J164" i="39"/>
  <c r="M164" i="39" s="1"/>
  <c r="N163" i="39"/>
  <c r="L163" i="39"/>
  <c r="J163" i="39"/>
  <c r="N162" i="39"/>
  <c r="M162" i="39" s="1"/>
  <c r="L162" i="39"/>
  <c r="J162" i="39"/>
  <c r="N161" i="39"/>
  <c r="M161" i="39" s="1"/>
  <c r="J161" i="39"/>
  <c r="L161" i="39" s="1"/>
  <c r="J160" i="39"/>
  <c r="L160" i="39" s="1"/>
  <c r="J159" i="39"/>
  <c r="L159" i="39" s="1"/>
  <c r="J158" i="39"/>
  <c r="L158" i="39" s="1"/>
  <c r="J157" i="39"/>
  <c r="N156" i="39"/>
  <c r="J156" i="39"/>
  <c r="M156" i="39" s="1"/>
  <c r="N155" i="39"/>
  <c r="L155" i="39"/>
  <c r="J155" i="39"/>
  <c r="N154" i="39"/>
  <c r="M154" i="39" s="1"/>
  <c r="L154" i="39"/>
  <c r="J154" i="39"/>
  <c r="N153" i="39"/>
  <c r="M153" i="39" s="1"/>
  <c r="J153" i="39"/>
  <c r="L153" i="39" s="1"/>
  <c r="N152" i="39"/>
  <c r="M152" i="39" s="1"/>
  <c r="J152" i="39"/>
  <c r="L152" i="39" s="1"/>
  <c r="J151" i="39"/>
  <c r="L151" i="39" s="1"/>
  <c r="J150" i="39"/>
  <c r="L150" i="39" s="1"/>
  <c r="L149" i="39"/>
  <c r="J149" i="39"/>
  <c r="J148" i="39"/>
  <c r="N147" i="39"/>
  <c r="L147" i="39"/>
  <c r="J147" i="39"/>
  <c r="N146" i="39"/>
  <c r="M146" i="39" s="1"/>
  <c r="L146" i="39"/>
  <c r="J146" i="39"/>
  <c r="N145" i="39"/>
  <c r="M145" i="39" s="1"/>
  <c r="J145" i="39"/>
  <c r="L145" i="39" s="1"/>
  <c r="N144" i="39"/>
  <c r="M144" i="39" s="1"/>
  <c r="J144" i="39"/>
  <c r="L144" i="39" s="1"/>
  <c r="J143" i="39"/>
  <c r="L143" i="39" s="1"/>
  <c r="J142" i="39"/>
  <c r="L142" i="39" s="1"/>
  <c r="L141" i="39"/>
  <c r="J141" i="39"/>
  <c r="J140" i="39"/>
  <c r="N139" i="39"/>
  <c r="L139" i="39"/>
  <c r="J139" i="39"/>
  <c r="L138" i="39"/>
  <c r="J138" i="39"/>
  <c r="K131" i="39"/>
  <c r="D131" i="39"/>
  <c r="C131" i="39"/>
  <c r="B131" i="39"/>
  <c r="N130" i="39"/>
  <c r="D130" i="39"/>
  <c r="C130" i="39"/>
  <c r="B130" i="39"/>
  <c r="N129" i="39"/>
  <c r="D129" i="39"/>
  <c r="C129" i="39"/>
  <c r="B129" i="39"/>
  <c r="N128" i="39"/>
  <c r="M128" i="39"/>
  <c r="J128" i="39"/>
  <c r="D128" i="39"/>
  <c r="K128" i="39" s="1"/>
  <c r="C128" i="39"/>
  <c r="B128" i="39"/>
  <c r="N127" i="39"/>
  <c r="M127" i="39"/>
  <c r="D127" i="39"/>
  <c r="K127" i="39" s="1"/>
  <c r="C127" i="39"/>
  <c r="B127" i="39"/>
  <c r="N126" i="39"/>
  <c r="M126" i="39"/>
  <c r="K126" i="39"/>
  <c r="J126" i="39"/>
  <c r="D126" i="39"/>
  <c r="C126" i="39"/>
  <c r="B126" i="39"/>
  <c r="N125" i="39"/>
  <c r="M125" i="39"/>
  <c r="K125" i="39"/>
  <c r="J125" i="39"/>
  <c r="D125" i="39"/>
  <c r="C125" i="39"/>
  <c r="B125" i="39"/>
  <c r="N124" i="39"/>
  <c r="M124" i="39"/>
  <c r="J124" i="39"/>
  <c r="D124" i="39"/>
  <c r="C124" i="39"/>
  <c r="B124" i="39"/>
  <c r="N123" i="39"/>
  <c r="M123" i="39"/>
  <c r="K123" i="39"/>
  <c r="J123" i="39"/>
  <c r="D123" i="39"/>
  <c r="C123" i="39"/>
  <c r="B123" i="39"/>
  <c r="O122" i="39"/>
  <c r="P122" i="39" s="1"/>
  <c r="N122" i="39"/>
  <c r="M122" i="39"/>
  <c r="L122" i="39"/>
  <c r="J122" i="39"/>
  <c r="D122" i="39"/>
  <c r="K122" i="39" s="1"/>
  <c r="C122" i="39"/>
  <c r="B122" i="39"/>
  <c r="S121" i="39"/>
  <c r="L121" i="39"/>
  <c r="D121" i="39"/>
  <c r="C121" i="39"/>
  <c r="B121" i="39"/>
  <c r="N120" i="39"/>
  <c r="M120" i="39"/>
  <c r="L120" i="39"/>
  <c r="J120" i="39"/>
  <c r="D120" i="39"/>
  <c r="K120" i="39" s="1"/>
  <c r="O120" i="39" s="1"/>
  <c r="P120" i="39" s="1"/>
  <c r="C120" i="39"/>
  <c r="B120" i="39"/>
  <c r="N119" i="39"/>
  <c r="M119" i="39"/>
  <c r="O119" i="39" s="1"/>
  <c r="P119" i="39" s="1"/>
  <c r="L119" i="39"/>
  <c r="J119" i="39"/>
  <c r="D119" i="39"/>
  <c r="K119" i="39" s="1"/>
  <c r="C119" i="39"/>
  <c r="B119" i="39"/>
  <c r="N118" i="39"/>
  <c r="M118" i="39"/>
  <c r="L118" i="39"/>
  <c r="K118" i="39"/>
  <c r="J118" i="39"/>
  <c r="D118" i="39"/>
  <c r="S118" i="39" s="1"/>
  <c r="C118" i="39"/>
  <c r="B118" i="39"/>
  <c r="N117" i="39"/>
  <c r="M117" i="39"/>
  <c r="K117" i="39"/>
  <c r="J117" i="39"/>
  <c r="D117" i="39"/>
  <c r="L117" i="39" s="1"/>
  <c r="C117" i="39"/>
  <c r="B117" i="39"/>
  <c r="N116" i="39"/>
  <c r="M116" i="39"/>
  <c r="D116" i="39"/>
  <c r="S116" i="39" s="1"/>
  <c r="C116" i="39"/>
  <c r="B116" i="39"/>
  <c r="N115" i="39"/>
  <c r="M115" i="39"/>
  <c r="L115" i="39"/>
  <c r="D115" i="39"/>
  <c r="J115" i="39" s="1"/>
  <c r="C115" i="39"/>
  <c r="B115" i="39"/>
  <c r="N114" i="39"/>
  <c r="M114" i="39"/>
  <c r="J114" i="39"/>
  <c r="D114" i="39"/>
  <c r="K114" i="39" s="1"/>
  <c r="C114" i="39"/>
  <c r="B114" i="39"/>
  <c r="S113" i="39"/>
  <c r="N113" i="39"/>
  <c r="M113" i="39"/>
  <c r="J113" i="39"/>
  <c r="D113" i="39"/>
  <c r="K113" i="39" s="1"/>
  <c r="C113" i="39"/>
  <c r="B113" i="39"/>
  <c r="N112" i="39"/>
  <c r="M112" i="39"/>
  <c r="L112" i="39"/>
  <c r="J112" i="39"/>
  <c r="O112" i="39" s="1"/>
  <c r="P112" i="39" s="1"/>
  <c r="D112" i="39"/>
  <c r="K112" i="39" s="1"/>
  <c r="C112" i="39"/>
  <c r="B112" i="39"/>
  <c r="M111" i="39"/>
  <c r="D111" i="39"/>
  <c r="C111" i="39"/>
  <c r="B111" i="39"/>
  <c r="N110" i="39"/>
  <c r="M110" i="39"/>
  <c r="K110" i="39"/>
  <c r="D110" i="39"/>
  <c r="C110" i="39"/>
  <c r="B110" i="39"/>
  <c r="N109" i="39"/>
  <c r="M109" i="39"/>
  <c r="K109" i="39"/>
  <c r="D109" i="39"/>
  <c r="C109" i="39"/>
  <c r="B109" i="39"/>
  <c r="N108" i="39"/>
  <c r="K108" i="39"/>
  <c r="D108" i="39"/>
  <c r="C108" i="39"/>
  <c r="B108" i="39"/>
  <c r="N107" i="39"/>
  <c r="M107" i="39"/>
  <c r="K107" i="39"/>
  <c r="D107" i="39"/>
  <c r="C107" i="39"/>
  <c r="B107" i="39"/>
  <c r="N106" i="39"/>
  <c r="M106" i="39"/>
  <c r="D106" i="39"/>
  <c r="K106" i="39" s="1"/>
  <c r="C106" i="39"/>
  <c r="B106" i="39"/>
  <c r="N105" i="39"/>
  <c r="M105" i="39"/>
  <c r="D105" i="39"/>
  <c r="K105" i="39" s="1"/>
  <c r="C105" i="39"/>
  <c r="B105" i="39"/>
  <c r="N104" i="39"/>
  <c r="M104" i="39"/>
  <c r="J104" i="39"/>
  <c r="D104" i="39"/>
  <c r="K104" i="39" s="1"/>
  <c r="C104" i="39"/>
  <c r="B104" i="39"/>
  <c r="N103" i="39"/>
  <c r="M103" i="39"/>
  <c r="J103" i="39"/>
  <c r="D103" i="39"/>
  <c r="K103" i="39" s="1"/>
  <c r="C103" i="39"/>
  <c r="B103" i="39"/>
  <c r="N102" i="39"/>
  <c r="M102" i="39"/>
  <c r="L102" i="39"/>
  <c r="K102" i="39"/>
  <c r="J102" i="39"/>
  <c r="O102" i="39" s="1"/>
  <c r="P102" i="39" s="1"/>
  <c r="D102" i="39"/>
  <c r="C102" i="39"/>
  <c r="B102" i="39"/>
  <c r="N81" i="39"/>
  <c r="N131" i="39" s="1"/>
  <c r="M81" i="39"/>
  <c r="L81" i="39"/>
  <c r="L126" i="39" s="1"/>
  <c r="K81" i="39"/>
  <c r="J81" i="39"/>
  <c r="N80" i="39"/>
  <c r="M80" i="39"/>
  <c r="L80" i="39"/>
  <c r="L127" i="39" s="1"/>
  <c r="K80" i="39"/>
  <c r="J80" i="39"/>
  <c r="J127" i="39" s="1"/>
  <c r="O127" i="39" s="1"/>
  <c r="P127" i="39" s="1"/>
  <c r="N79" i="39"/>
  <c r="M79" i="39"/>
  <c r="L79" i="39"/>
  <c r="K79" i="39"/>
  <c r="J79" i="39"/>
  <c r="O79" i="39" s="1"/>
  <c r="N78" i="39"/>
  <c r="M78" i="39"/>
  <c r="L78" i="39"/>
  <c r="K78" i="39"/>
  <c r="J78" i="39"/>
  <c r="N77" i="39"/>
  <c r="M77" i="39"/>
  <c r="L77" i="39"/>
  <c r="K77" i="39"/>
  <c r="J77" i="39"/>
  <c r="O77" i="39" s="1"/>
  <c r="N76" i="39"/>
  <c r="M76" i="39"/>
  <c r="L76" i="39"/>
  <c r="K76" i="39"/>
  <c r="J76" i="39"/>
  <c r="J109" i="39" s="1"/>
  <c r="N75" i="39"/>
  <c r="M75" i="39"/>
  <c r="L75" i="39"/>
  <c r="K75" i="39"/>
  <c r="J75" i="39"/>
  <c r="O75" i="39" s="1"/>
  <c r="U65" i="39"/>
  <c r="U64" i="39"/>
  <c r="U63" i="39"/>
  <c r="V61" i="39"/>
  <c r="T61" i="39"/>
  <c r="V60" i="39"/>
  <c r="T60" i="39"/>
  <c r="J58" i="39"/>
  <c r="J57" i="39"/>
  <c r="J56" i="39"/>
  <c r="L22" i="39"/>
  <c r="M22" i="39" s="1"/>
  <c r="K22" i="39"/>
  <c r="K21" i="39"/>
  <c r="K20" i="39"/>
  <c r="Q1083" i="68"/>
  <c r="M1083" i="68"/>
  <c r="Q1082" i="68"/>
  <c r="M1082" i="68"/>
  <c r="Q1081" i="68"/>
  <c r="M1081" i="68"/>
  <c r="Q1080" i="68"/>
  <c r="M1080" i="68"/>
  <c r="Q1079" i="68"/>
  <c r="M1079" i="68"/>
  <c r="Q1078" i="68"/>
  <c r="M1078" i="68"/>
  <c r="Q1077" i="68"/>
  <c r="M1077" i="68"/>
  <c r="Q1076" i="68"/>
  <c r="M1076" i="68"/>
  <c r="Q1075" i="68"/>
  <c r="M1075" i="68"/>
  <c r="Q1074" i="68"/>
  <c r="M1074" i="68"/>
  <c r="Q1073" i="68"/>
  <c r="M1073" i="68"/>
  <c r="Q1072" i="68"/>
  <c r="M1072" i="68"/>
  <c r="Q1071" i="68"/>
  <c r="M1071" i="68"/>
  <c r="Q1070" i="68"/>
  <c r="M1070" i="68"/>
  <c r="Q1069" i="68"/>
  <c r="M1069" i="68"/>
  <c r="Q1068" i="68"/>
  <c r="M1068" i="68"/>
  <c r="Q1067" i="68"/>
  <c r="M1067" i="68"/>
  <c r="Q1066" i="68"/>
  <c r="M1066" i="68"/>
  <c r="Q1065" i="68"/>
  <c r="M1065" i="68"/>
  <c r="Q1064" i="68"/>
  <c r="M1064" i="68"/>
  <c r="Q1063" i="68"/>
  <c r="M1063" i="68"/>
  <c r="Q1062" i="68"/>
  <c r="M1062" i="68"/>
  <c r="Q1061" i="68"/>
  <c r="M1061" i="68"/>
  <c r="Q1060" i="68"/>
  <c r="M1060" i="68"/>
  <c r="Q1059" i="68"/>
  <c r="M1059" i="68"/>
  <c r="Q1058" i="68"/>
  <c r="M1058" i="68"/>
  <c r="Q1057" i="68"/>
  <c r="M1057" i="68"/>
  <c r="Q1056" i="68"/>
  <c r="M1056" i="68"/>
  <c r="Q1055" i="68"/>
  <c r="M1055" i="68"/>
  <c r="Q1054" i="68"/>
  <c r="M1054" i="68"/>
  <c r="Q1053" i="68"/>
  <c r="M1053" i="68"/>
  <c r="Q1052" i="68"/>
  <c r="M1052" i="68"/>
  <c r="Q1051" i="68"/>
  <c r="M1051" i="68"/>
  <c r="Q1050" i="68"/>
  <c r="M1050" i="68"/>
  <c r="Q1049" i="68"/>
  <c r="M1049" i="68"/>
  <c r="Q1048" i="68"/>
  <c r="M1048" i="68"/>
  <c r="Q1047" i="68"/>
  <c r="M1047" i="68"/>
  <c r="Q1046" i="68"/>
  <c r="M1046" i="68"/>
  <c r="Q1045" i="68"/>
  <c r="M1045" i="68"/>
  <c r="Q1044" i="68"/>
  <c r="M1044" i="68"/>
  <c r="Q1043" i="68"/>
  <c r="M1043" i="68"/>
  <c r="Q1042" i="68"/>
  <c r="M1042" i="68"/>
  <c r="Q1041" i="68"/>
  <c r="M1041" i="68"/>
  <c r="Q1040" i="68"/>
  <c r="M1040" i="68"/>
  <c r="Q1039" i="68"/>
  <c r="M1039" i="68"/>
  <c r="Q1038" i="68"/>
  <c r="M1038" i="68"/>
  <c r="Q1037" i="68"/>
  <c r="M1037" i="68"/>
  <c r="Q1036" i="68"/>
  <c r="M1036" i="68"/>
  <c r="Q1035" i="68"/>
  <c r="M1035" i="68"/>
  <c r="Q1034" i="68"/>
  <c r="M1034" i="68"/>
  <c r="Q1033" i="68"/>
  <c r="M1033" i="68"/>
  <c r="Q1032" i="68"/>
  <c r="M1032" i="68"/>
  <c r="Q1031" i="68"/>
  <c r="M1031" i="68"/>
  <c r="Q1030" i="68"/>
  <c r="M1030" i="68"/>
  <c r="Q1029" i="68"/>
  <c r="M1029" i="68"/>
  <c r="Q1028" i="68"/>
  <c r="M1028" i="68"/>
  <c r="Q1027" i="68"/>
  <c r="M1027" i="68"/>
  <c r="Q1026" i="68"/>
  <c r="M1026" i="68"/>
  <c r="Q1025" i="68"/>
  <c r="M1025" i="68"/>
  <c r="Q1024" i="68"/>
  <c r="M1024" i="68"/>
  <c r="Q1023" i="68"/>
  <c r="M1023" i="68"/>
  <c r="Q1022" i="68"/>
  <c r="M1022" i="68"/>
  <c r="Q1021" i="68"/>
  <c r="M1021" i="68"/>
  <c r="Q1020" i="68"/>
  <c r="M1020" i="68"/>
  <c r="Q1019" i="68"/>
  <c r="M1019" i="68"/>
  <c r="Q1018" i="68"/>
  <c r="M1018" i="68"/>
  <c r="Q1017" i="68"/>
  <c r="M1017" i="68"/>
  <c r="Q1016" i="68"/>
  <c r="M1016" i="68"/>
  <c r="Q1015" i="68"/>
  <c r="M1015" i="68"/>
  <c r="Q1014" i="68"/>
  <c r="M1014" i="68"/>
  <c r="Q1013" i="68"/>
  <c r="M1013" i="68"/>
  <c r="Q1012" i="68"/>
  <c r="M1012" i="68"/>
  <c r="Q1011" i="68"/>
  <c r="M1011" i="68"/>
  <c r="Q1010" i="68"/>
  <c r="M1010" i="68"/>
  <c r="Q1009" i="68"/>
  <c r="M1009" i="68"/>
  <c r="Q1008" i="68"/>
  <c r="M1008" i="68"/>
  <c r="Q1007" i="68"/>
  <c r="M1007" i="68"/>
  <c r="Q1006" i="68"/>
  <c r="M1006" i="68"/>
  <c r="Q1005" i="68"/>
  <c r="M1005" i="68"/>
  <c r="Q1004" i="68"/>
  <c r="M1004" i="68"/>
  <c r="Q1003" i="68"/>
  <c r="M1003" i="68"/>
  <c r="Q1002" i="68"/>
  <c r="M1002" i="68"/>
  <c r="Q1001" i="68"/>
  <c r="M1001" i="68"/>
  <c r="Q1000" i="68"/>
  <c r="M1000" i="68"/>
  <c r="Q999" i="68"/>
  <c r="M999" i="68"/>
  <c r="Q998" i="68"/>
  <c r="M998" i="68"/>
  <c r="Q997" i="68"/>
  <c r="M997" i="68"/>
  <c r="Q996" i="68"/>
  <c r="M996" i="68"/>
  <c r="Q995" i="68"/>
  <c r="M995" i="68"/>
  <c r="Q994" i="68"/>
  <c r="M994" i="68"/>
  <c r="Q993" i="68"/>
  <c r="M993" i="68"/>
  <c r="Q992" i="68"/>
  <c r="M992" i="68"/>
  <c r="Q991" i="68"/>
  <c r="M991" i="68"/>
  <c r="Q990" i="68"/>
  <c r="M990" i="68"/>
  <c r="Q989" i="68"/>
  <c r="M989" i="68"/>
  <c r="Q988" i="68"/>
  <c r="M988" i="68"/>
  <c r="Q987" i="68"/>
  <c r="M987" i="68"/>
  <c r="Q986" i="68"/>
  <c r="M986" i="68"/>
  <c r="Q985" i="68"/>
  <c r="M985" i="68"/>
  <c r="Q984" i="68"/>
  <c r="M984" i="68"/>
  <c r="Q983" i="68"/>
  <c r="M983" i="68"/>
  <c r="Q982" i="68"/>
  <c r="M982" i="68"/>
  <c r="Q981" i="68"/>
  <c r="M981" i="68"/>
  <c r="Q980" i="68"/>
  <c r="M980" i="68"/>
  <c r="Q979" i="68"/>
  <c r="M979" i="68"/>
  <c r="Q978" i="68"/>
  <c r="M978" i="68"/>
  <c r="Q977" i="68"/>
  <c r="M977" i="68"/>
  <c r="Q976" i="68"/>
  <c r="M976" i="68"/>
  <c r="Q975" i="68"/>
  <c r="M975" i="68"/>
  <c r="Q974" i="68"/>
  <c r="M974" i="68"/>
  <c r="Q973" i="68"/>
  <c r="M973" i="68"/>
  <c r="Q972" i="68"/>
  <c r="M972" i="68"/>
  <c r="Q971" i="68"/>
  <c r="M971" i="68"/>
  <c r="Q970" i="68"/>
  <c r="M970" i="68"/>
  <c r="Q969" i="68"/>
  <c r="M969" i="68"/>
  <c r="Q968" i="68"/>
  <c r="M968" i="68"/>
  <c r="Q967" i="68"/>
  <c r="M967" i="68"/>
  <c r="Q966" i="68"/>
  <c r="M966" i="68"/>
  <c r="Q965" i="68"/>
  <c r="M965" i="68"/>
  <c r="Q964" i="68"/>
  <c r="M964" i="68"/>
  <c r="Q963" i="68"/>
  <c r="M963" i="68"/>
  <c r="Q962" i="68"/>
  <c r="M962" i="68"/>
  <c r="Q961" i="68"/>
  <c r="M961" i="68"/>
  <c r="Q960" i="68"/>
  <c r="M960" i="68"/>
  <c r="Q959" i="68"/>
  <c r="M959" i="68"/>
  <c r="Q958" i="68"/>
  <c r="M958" i="68"/>
  <c r="Q957" i="68"/>
  <c r="M957" i="68"/>
  <c r="Q956" i="68"/>
  <c r="M956" i="68"/>
  <c r="Q955" i="68"/>
  <c r="M955" i="68"/>
  <c r="Q954" i="68"/>
  <c r="M954" i="68"/>
  <c r="Q953" i="68"/>
  <c r="M953" i="68"/>
  <c r="Q952" i="68"/>
  <c r="M952" i="68"/>
  <c r="Q951" i="68"/>
  <c r="M951" i="68"/>
  <c r="Q950" i="68"/>
  <c r="M950" i="68"/>
  <c r="Q949" i="68"/>
  <c r="M949" i="68"/>
  <c r="Q948" i="68"/>
  <c r="M948" i="68"/>
  <c r="Q947" i="68"/>
  <c r="M947" i="68"/>
  <c r="Q946" i="68"/>
  <c r="M946" i="68"/>
  <c r="Q945" i="68"/>
  <c r="M945" i="68"/>
  <c r="Q944" i="68"/>
  <c r="M944" i="68"/>
  <c r="Q943" i="68"/>
  <c r="M943" i="68"/>
  <c r="Q942" i="68"/>
  <c r="M942" i="68"/>
  <c r="Q941" i="68"/>
  <c r="M941" i="68"/>
  <c r="Q940" i="68"/>
  <c r="M940" i="68"/>
  <c r="Q939" i="68"/>
  <c r="M939" i="68"/>
  <c r="Q938" i="68"/>
  <c r="M938" i="68"/>
  <c r="Q937" i="68"/>
  <c r="M937" i="68"/>
  <c r="Q936" i="68"/>
  <c r="M936" i="68"/>
  <c r="Q935" i="68"/>
  <c r="M935" i="68"/>
  <c r="Q934" i="68"/>
  <c r="M934" i="68"/>
  <c r="Q933" i="68"/>
  <c r="M933" i="68"/>
  <c r="Q932" i="68"/>
  <c r="M932" i="68"/>
  <c r="Q931" i="68"/>
  <c r="M931" i="68"/>
  <c r="Q930" i="68"/>
  <c r="M930" i="68"/>
  <c r="Q929" i="68"/>
  <c r="M929" i="68"/>
  <c r="Q928" i="68"/>
  <c r="M928" i="68"/>
  <c r="Q927" i="68"/>
  <c r="M927" i="68"/>
  <c r="Q926" i="68"/>
  <c r="M926" i="68"/>
  <c r="Q925" i="68"/>
  <c r="M925" i="68"/>
  <c r="Q924" i="68"/>
  <c r="M924" i="68"/>
  <c r="Q923" i="68"/>
  <c r="M923" i="68"/>
  <c r="Q922" i="68"/>
  <c r="M922" i="68"/>
  <c r="Q921" i="68"/>
  <c r="M921" i="68"/>
  <c r="Q920" i="68"/>
  <c r="M920" i="68"/>
  <c r="Q919" i="68"/>
  <c r="M919" i="68"/>
  <c r="Q918" i="68"/>
  <c r="M918" i="68"/>
  <c r="Q917" i="68"/>
  <c r="M917" i="68"/>
  <c r="Q916" i="68"/>
  <c r="M916" i="68"/>
  <c r="Q915" i="68"/>
  <c r="M915" i="68"/>
  <c r="Q914" i="68"/>
  <c r="M914" i="68"/>
  <c r="Q913" i="68"/>
  <c r="M913" i="68"/>
  <c r="Q912" i="68"/>
  <c r="M912" i="68"/>
  <c r="Q911" i="68"/>
  <c r="M911" i="68"/>
  <c r="Q910" i="68"/>
  <c r="M910" i="68"/>
  <c r="Q909" i="68"/>
  <c r="M909" i="68"/>
  <c r="Q908" i="68"/>
  <c r="M908" i="68"/>
  <c r="Q907" i="68"/>
  <c r="M907" i="68"/>
  <c r="Q906" i="68"/>
  <c r="M906" i="68"/>
  <c r="Q905" i="68"/>
  <c r="M905" i="68"/>
  <c r="Q904" i="68"/>
  <c r="M904" i="68"/>
  <c r="Q903" i="68"/>
  <c r="M903" i="68"/>
  <c r="Q902" i="68"/>
  <c r="M902" i="68"/>
  <c r="Q901" i="68"/>
  <c r="M901" i="68"/>
  <c r="Q900" i="68"/>
  <c r="M900" i="68"/>
  <c r="Q899" i="68"/>
  <c r="M899" i="68"/>
  <c r="Q898" i="68"/>
  <c r="M898" i="68"/>
  <c r="Q897" i="68"/>
  <c r="M897" i="68"/>
  <c r="Q896" i="68"/>
  <c r="M896" i="68"/>
  <c r="Q895" i="68"/>
  <c r="M895" i="68"/>
  <c r="Q894" i="68"/>
  <c r="M894" i="68"/>
  <c r="Q893" i="68"/>
  <c r="M893" i="68"/>
  <c r="Q892" i="68"/>
  <c r="M892" i="68"/>
  <c r="Q891" i="68"/>
  <c r="M891" i="68"/>
  <c r="Q890" i="68"/>
  <c r="M890" i="68"/>
  <c r="Q889" i="68"/>
  <c r="M889" i="68"/>
  <c r="Q888" i="68"/>
  <c r="M888" i="68"/>
  <c r="Q887" i="68"/>
  <c r="M887" i="68"/>
  <c r="Q886" i="68"/>
  <c r="M886" i="68"/>
  <c r="Q885" i="68"/>
  <c r="M885" i="68"/>
  <c r="Q884" i="68"/>
  <c r="M884" i="68"/>
  <c r="Q883" i="68"/>
  <c r="M883" i="68"/>
  <c r="Q882" i="68"/>
  <c r="M882" i="68"/>
  <c r="Q881" i="68"/>
  <c r="M881" i="68"/>
  <c r="Q880" i="68"/>
  <c r="M880" i="68"/>
  <c r="Q879" i="68"/>
  <c r="M879" i="68"/>
  <c r="Q878" i="68"/>
  <c r="M878" i="68"/>
  <c r="Q877" i="68"/>
  <c r="M877" i="68"/>
  <c r="Q876" i="68"/>
  <c r="M876" i="68"/>
  <c r="Q875" i="68"/>
  <c r="M875" i="68"/>
  <c r="Q874" i="68"/>
  <c r="M874" i="68"/>
  <c r="Q873" i="68"/>
  <c r="M873" i="68"/>
  <c r="Q872" i="68"/>
  <c r="M872" i="68"/>
  <c r="Q871" i="68"/>
  <c r="M871" i="68"/>
  <c r="Q870" i="68"/>
  <c r="M870" i="68"/>
  <c r="Q869" i="68"/>
  <c r="M869" i="68"/>
  <c r="Q868" i="68"/>
  <c r="M868" i="68"/>
  <c r="Q867" i="68"/>
  <c r="M867" i="68"/>
  <c r="Q866" i="68"/>
  <c r="M866" i="68"/>
  <c r="Q865" i="68"/>
  <c r="M865" i="68"/>
  <c r="Q864" i="68"/>
  <c r="M864" i="68"/>
  <c r="Q863" i="68"/>
  <c r="M863" i="68"/>
  <c r="Q862" i="68"/>
  <c r="M862" i="68"/>
  <c r="Q861" i="68"/>
  <c r="M861" i="68"/>
  <c r="Q860" i="68"/>
  <c r="M860" i="68"/>
  <c r="Q859" i="68"/>
  <c r="M859" i="68"/>
  <c r="Q858" i="68"/>
  <c r="M858" i="68"/>
  <c r="Q857" i="68"/>
  <c r="M857" i="68"/>
  <c r="Q856" i="68"/>
  <c r="M856" i="68"/>
  <c r="Q855" i="68"/>
  <c r="M855" i="68"/>
  <c r="Q854" i="68"/>
  <c r="M854" i="68"/>
  <c r="Q853" i="68"/>
  <c r="M853" i="68"/>
  <c r="Q852" i="68"/>
  <c r="M852" i="68"/>
  <c r="Q851" i="68"/>
  <c r="M851" i="68"/>
  <c r="Q850" i="68"/>
  <c r="M850" i="68"/>
  <c r="Q849" i="68"/>
  <c r="M849" i="68"/>
  <c r="Q848" i="68"/>
  <c r="M848" i="68"/>
  <c r="Q847" i="68"/>
  <c r="M847" i="68"/>
  <c r="Q846" i="68"/>
  <c r="M846" i="68"/>
  <c r="Q845" i="68"/>
  <c r="M845" i="68"/>
  <c r="Q844" i="68"/>
  <c r="M844" i="68"/>
  <c r="Q843" i="68"/>
  <c r="M843" i="68"/>
  <c r="Q842" i="68"/>
  <c r="M842" i="68"/>
  <c r="Q841" i="68"/>
  <c r="M841" i="68"/>
  <c r="Q840" i="68"/>
  <c r="M840" i="68"/>
  <c r="Q839" i="68"/>
  <c r="M839" i="68"/>
  <c r="Q838" i="68"/>
  <c r="M838" i="68"/>
  <c r="Q837" i="68"/>
  <c r="M837" i="68"/>
  <c r="Q836" i="68"/>
  <c r="M836" i="68"/>
  <c r="Q835" i="68"/>
  <c r="M835" i="68"/>
  <c r="Q834" i="68"/>
  <c r="M834" i="68"/>
  <c r="Q833" i="68"/>
  <c r="M833" i="68"/>
  <c r="Q832" i="68"/>
  <c r="M832" i="68"/>
  <c r="Q831" i="68"/>
  <c r="M831" i="68"/>
  <c r="Q830" i="68"/>
  <c r="M830" i="68"/>
  <c r="Q829" i="68"/>
  <c r="M829" i="68"/>
  <c r="Q828" i="68"/>
  <c r="M828" i="68"/>
  <c r="Q827" i="68"/>
  <c r="M827" i="68"/>
  <c r="Q826" i="68"/>
  <c r="M826" i="68"/>
  <c r="Q825" i="68"/>
  <c r="M825" i="68"/>
  <c r="Q824" i="68"/>
  <c r="M824" i="68"/>
  <c r="Q823" i="68"/>
  <c r="M823" i="68"/>
  <c r="Q822" i="68"/>
  <c r="M822" i="68"/>
  <c r="Q821" i="68"/>
  <c r="M821" i="68"/>
  <c r="Q820" i="68"/>
  <c r="M820" i="68"/>
  <c r="Q819" i="68"/>
  <c r="M819" i="68"/>
  <c r="Q818" i="68"/>
  <c r="M818" i="68"/>
  <c r="Q817" i="68"/>
  <c r="M817" i="68"/>
  <c r="Q816" i="68"/>
  <c r="M816" i="68"/>
  <c r="Q815" i="68"/>
  <c r="M815" i="68"/>
  <c r="Q814" i="68"/>
  <c r="M814" i="68"/>
  <c r="Q813" i="68"/>
  <c r="M813" i="68"/>
  <c r="Q812" i="68"/>
  <c r="M812" i="68"/>
  <c r="Q811" i="68"/>
  <c r="M811" i="68"/>
  <c r="Q810" i="68"/>
  <c r="M810" i="68"/>
  <c r="Q809" i="68"/>
  <c r="M809" i="68"/>
  <c r="Q808" i="68"/>
  <c r="M808" i="68"/>
  <c r="Q807" i="68"/>
  <c r="M807" i="68"/>
  <c r="Q806" i="68"/>
  <c r="M806" i="68"/>
  <c r="Q805" i="68"/>
  <c r="M805" i="68"/>
  <c r="Q804" i="68"/>
  <c r="M804" i="68"/>
  <c r="Q803" i="68"/>
  <c r="M803" i="68"/>
  <c r="Q802" i="68"/>
  <c r="M802" i="68"/>
  <c r="Q801" i="68"/>
  <c r="M801" i="68"/>
  <c r="Q800" i="68"/>
  <c r="M800" i="68"/>
  <c r="Q799" i="68"/>
  <c r="M799" i="68"/>
  <c r="Q798" i="68"/>
  <c r="M798" i="68"/>
  <c r="Q797" i="68"/>
  <c r="M797" i="68"/>
  <c r="Q796" i="68"/>
  <c r="M796" i="68"/>
  <c r="Q795" i="68"/>
  <c r="M795" i="68"/>
  <c r="Q794" i="68"/>
  <c r="M794" i="68"/>
  <c r="Q793" i="68"/>
  <c r="M793" i="68"/>
  <c r="Q792" i="68"/>
  <c r="M792" i="68"/>
  <c r="Q791" i="68"/>
  <c r="M791" i="68"/>
  <c r="Q790" i="68"/>
  <c r="M790" i="68"/>
  <c r="Q789" i="68"/>
  <c r="M789" i="68"/>
  <c r="Q788" i="68"/>
  <c r="M788" i="68"/>
  <c r="Q787" i="68"/>
  <c r="M787" i="68"/>
  <c r="Q786" i="68"/>
  <c r="M786" i="68"/>
  <c r="Q785" i="68"/>
  <c r="M785" i="68"/>
  <c r="Q784" i="68"/>
  <c r="M784" i="68"/>
  <c r="Q783" i="68"/>
  <c r="M783" i="68"/>
  <c r="Q782" i="68"/>
  <c r="M782" i="68"/>
  <c r="Q781" i="68"/>
  <c r="M781" i="68"/>
  <c r="Q780" i="68"/>
  <c r="M780" i="68"/>
  <c r="Q779" i="68"/>
  <c r="M779" i="68"/>
  <c r="Q778" i="68"/>
  <c r="M778" i="68"/>
  <c r="Q777" i="68"/>
  <c r="M777" i="68"/>
  <c r="Q776" i="68"/>
  <c r="M776" i="68"/>
  <c r="Q775" i="68"/>
  <c r="M775" i="68"/>
  <c r="Q774" i="68"/>
  <c r="M774" i="68"/>
  <c r="Q773" i="68"/>
  <c r="M773" i="68"/>
  <c r="Q772" i="68"/>
  <c r="M772" i="68"/>
  <c r="Q771" i="68"/>
  <c r="M771" i="68"/>
  <c r="Q770" i="68"/>
  <c r="M770" i="68"/>
  <c r="Q769" i="68"/>
  <c r="M769" i="68"/>
  <c r="Q768" i="68"/>
  <c r="M768" i="68"/>
  <c r="Q767" i="68"/>
  <c r="M767" i="68"/>
  <c r="Q766" i="68"/>
  <c r="M766" i="68"/>
  <c r="Q765" i="68"/>
  <c r="M765" i="68"/>
  <c r="Q764" i="68"/>
  <c r="M764" i="68"/>
  <c r="Q763" i="68"/>
  <c r="M763" i="68"/>
  <c r="Q762" i="68"/>
  <c r="M762" i="68"/>
  <c r="Q761" i="68"/>
  <c r="M761" i="68"/>
  <c r="Q760" i="68"/>
  <c r="M760" i="68"/>
  <c r="Q759" i="68"/>
  <c r="M759" i="68"/>
  <c r="Q758" i="68"/>
  <c r="M758" i="68"/>
  <c r="Q757" i="68"/>
  <c r="M757" i="68"/>
  <c r="Q756" i="68"/>
  <c r="M756" i="68"/>
  <c r="Q755" i="68"/>
  <c r="M755" i="68"/>
  <c r="Q754" i="68"/>
  <c r="M754" i="68"/>
  <c r="Q753" i="68"/>
  <c r="M753" i="68"/>
  <c r="Q752" i="68"/>
  <c r="M752" i="68"/>
  <c r="Q751" i="68"/>
  <c r="M751" i="68"/>
  <c r="Q750" i="68"/>
  <c r="M750" i="68"/>
  <c r="Q749" i="68"/>
  <c r="M749" i="68"/>
  <c r="Q748" i="68"/>
  <c r="M748" i="68"/>
  <c r="Q747" i="68"/>
  <c r="M747" i="68"/>
  <c r="Q746" i="68"/>
  <c r="M746" i="68"/>
  <c r="Q745" i="68"/>
  <c r="M745" i="68"/>
  <c r="Q744" i="68"/>
  <c r="M744" i="68"/>
  <c r="Q743" i="68"/>
  <c r="M743" i="68"/>
  <c r="Q742" i="68"/>
  <c r="M742" i="68"/>
  <c r="Q741" i="68"/>
  <c r="M741" i="68"/>
  <c r="Q740" i="68"/>
  <c r="M740" i="68"/>
  <c r="Q739" i="68"/>
  <c r="M739" i="68"/>
  <c r="Q738" i="68"/>
  <c r="M738" i="68"/>
  <c r="Q737" i="68"/>
  <c r="M737" i="68"/>
  <c r="Q736" i="68"/>
  <c r="M736" i="68"/>
  <c r="Q735" i="68"/>
  <c r="M735" i="68"/>
  <c r="Q734" i="68"/>
  <c r="M734" i="68"/>
  <c r="Q733" i="68"/>
  <c r="M733" i="68"/>
  <c r="Q732" i="68"/>
  <c r="M732" i="68"/>
  <c r="Q731" i="68"/>
  <c r="M731" i="68"/>
  <c r="Q730" i="68"/>
  <c r="M730" i="68"/>
  <c r="Q729" i="68"/>
  <c r="M729" i="68"/>
  <c r="Q728" i="68"/>
  <c r="M728" i="68"/>
  <c r="Q727" i="68"/>
  <c r="M727" i="68"/>
  <c r="Q726" i="68"/>
  <c r="M726" i="68"/>
  <c r="Q725" i="68"/>
  <c r="M725" i="68"/>
  <c r="Q724" i="68"/>
  <c r="M724" i="68"/>
  <c r="Q723" i="68"/>
  <c r="M723" i="68"/>
  <c r="Q722" i="68"/>
  <c r="M722" i="68"/>
  <c r="Q721" i="68"/>
  <c r="M721" i="68"/>
  <c r="Q720" i="68"/>
  <c r="M720" i="68"/>
  <c r="Q719" i="68"/>
  <c r="M719" i="68"/>
  <c r="Q718" i="68"/>
  <c r="M718" i="68"/>
  <c r="Q717" i="68"/>
  <c r="M717" i="68"/>
  <c r="Q716" i="68"/>
  <c r="M716" i="68"/>
  <c r="Q715" i="68"/>
  <c r="M715" i="68"/>
  <c r="Q714" i="68"/>
  <c r="M714" i="68"/>
  <c r="Q713" i="68"/>
  <c r="M713" i="68"/>
  <c r="Q712" i="68"/>
  <c r="M712" i="68"/>
  <c r="Q711" i="68"/>
  <c r="M711" i="68"/>
  <c r="Q710" i="68"/>
  <c r="M710" i="68"/>
  <c r="Q709" i="68"/>
  <c r="M709" i="68"/>
  <c r="Q708" i="68"/>
  <c r="M708" i="68"/>
  <c r="Q707" i="68"/>
  <c r="M707" i="68"/>
  <c r="Q706" i="68"/>
  <c r="M706" i="68"/>
  <c r="Q705" i="68"/>
  <c r="M705" i="68"/>
  <c r="Q704" i="68"/>
  <c r="M704" i="68"/>
  <c r="Q703" i="68"/>
  <c r="M703" i="68"/>
  <c r="Q702" i="68"/>
  <c r="M702" i="68"/>
  <c r="Q701" i="68"/>
  <c r="M701" i="68"/>
  <c r="Q700" i="68"/>
  <c r="M700" i="68"/>
  <c r="Q699" i="68"/>
  <c r="M699" i="68"/>
  <c r="Q698" i="68"/>
  <c r="M698" i="68"/>
  <c r="Q697" i="68"/>
  <c r="M697" i="68"/>
  <c r="Q696" i="68"/>
  <c r="M696" i="68"/>
  <c r="Q695" i="68"/>
  <c r="M695" i="68"/>
  <c r="Q694" i="68"/>
  <c r="M694" i="68"/>
  <c r="Q693" i="68"/>
  <c r="M693" i="68"/>
  <c r="Q692" i="68"/>
  <c r="M692" i="68"/>
  <c r="Q691" i="68"/>
  <c r="M691" i="68"/>
  <c r="Q690" i="68"/>
  <c r="M690" i="68"/>
  <c r="Q689" i="68"/>
  <c r="M689" i="68"/>
  <c r="Q688" i="68"/>
  <c r="M688" i="68"/>
  <c r="Q687" i="68"/>
  <c r="M687" i="68"/>
  <c r="Q686" i="68"/>
  <c r="M686" i="68"/>
  <c r="Q685" i="68"/>
  <c r="M685" i="68"/>
  <c r="Q684" i="68"/>
  <c r="M684" i="68"/>
  <c r="Q683" i="68"/>
  <c r="M683" i="68"/>
  <c r="Q682" i="68"/>
  <c r="M682" i="68"/>
  <c r="Q681" i="68"/>
  <c r="M681" i="68"/>
  <c r="Q680" i="68"/>
  <c r="M680" i="68"/>
  <c r="Q679" i="68"/>
  <c r="M679" i="68"/>
  <c r="Q678" i="68"/>
  <c r="M678" i="68"/>
  <c r="Q677" i="68"/>
  <c r="M677" i="68"/>
  <c r="Q676" i="68"/>
  <c r="M676" i="68"/>
  <c r="Q675" i="68"/>
  <c r="M675" i="68"/>
  <c r="Q674" i="68"/>
  <c r="M674" i="68"/>
  <c r="Q673" i="68"/>
  <c r="M673" i="68"/>
  <c r="Q672" i="68"/>
  <c r="M672" i="68"/>
  <c r="Q671" i="68"/>
  <c r="M671" i="68"/>
  <c r="Q670" i="68"/>
  <c r="M670" i="68"/>
  <c r="Q669" i="68"/>
  <c r="M669" i="68"/>
  <c r="Q668" i="68"/>
  <c r="M668" i="68"/>
  <c r="Q667" i="68"/>
  <c r="M667" i="68"/>
  <c r="Q666" i="68"/>
  <c r="M666" i="68"/>
  <c r="Q665" i="68"/>
  <c r="M665" i="68"/>
  <c r="Q664" i="68"/>
  <c r="M664" i="68"/>
  <c r="Q663" i="68"/>
  <c r="M663" i="68"/>
  <c r="Q662" i="68"/>
  <c r="M662" i="68"/>
  <c r="Q661" i="68"/>
  <c r="M661" i="68"/>
  <c r="Q660" i="68"/>
  <c r="M660" i="68"/>
  <c r="Q659" i="68"/>
  <c r="M659" i="68"/>
  <c r="Q658" i="68"/>
  <c r="M658" i="68"/>
  <c r="Q657" i="68"/>
  <c r="M657" i="68"/>
  <c r="Q656" i="68"/>
  <c r="M656" i="68"/>
  <c r="Q655" i="68"/>
  <c r="M655" i="68"/>
  <c r="Q654" i="68"/>
  <c r="M654" i="68"/>
  <c r="Q653" i="68"/>
  <c r="M653" i="68"/>
  <c r="Q652" i="68"/>
  <c r="M652" i="68"/>
  <c r="Q651" i="68"/>
  <c r="M651" i="68"/>
  <c r="Q650" i="68"/>
  <c r="M650" i="68"/>
  <c r="Q649" i="68"/>
  <c r="M649" i="68"/>
  <c r="Q648" i="68"/>
  <c r="M648" i="68"/>
  <c r="Q647" i="68"/>
  <c r="M647" i="68"/>
  <c r="Q646" i="68"/>
  <c r="M646" i="68"/>
  <c r="Q645" i="68"/>
  <c r="M645" i="68"/>
  <c r="Q644" i="68"/>
  <c r="M644" i="68"/>
  <c r="Q643" i="68"/>
  <c r="M643" i="68"/>
  <c r="Q642" i="68"/>
  <c r="M642" i="68"/>
  <c r="Q641" i="68"/>
  <c r="M641" i="68"/>
  <c r="Q640" i="68"/>
  <c r="M640" i="68"/>
  <c r="Q639" i="68"/>
  <c r="M639" i="68"/>
  <c r="Q638" i="68"/>
  <c r="M638" i="68"/>
  <c r="Q637" i="68"/>
  <c r="M637" i="68"/>
  <c r="Q636" i="68"/>
  <c r="M636" i="68"/>
  <c r="Q635" i="68"/>
  <c r="M635" i="68"/>
  <c r="Q634" i="68"/>
  <c r="M634" i="68"/>
  <c r="Q633" i="68"/>
  <c r="M633" i="68"/>
  <c r="Q632" i="68"/>
  <c r="M632" i="68"/>
  <c r="Q631" i="68"/>
  <c r="M631" i="68"/>
  <c r="Q630" i="68"/>
  <c r="M630" i="68"/>
  <c r="Q629" i="68"/>
  <c r="M629" i="68"/>
  <c r="Q628" i="68"/>
  <c r="M628" i="68"/>
  <c r="Q627" i="68"/>
  <c r="M627" i="68"/>
  <c r="Q626" i="68"/>
  <c r="M626" i="68"/>
  <c r="Q625" i="68"/>
  <c r="M625" i="68"/>
  <c r="Q624" i="68"/>
  <c r="M624" i="68"/>
  <c r="Q623" i="68"/>
  <c r="M623" i="68"/>
  <c r="Q622" i="68"/>
  <c r="M622" i="68"/>
  <c r="Q621" i="68"/>
  <c r="M621" i="68"/>
  <c r="Q620" i="68"/>
  <c r="M620" i="68"/>
  <c r="Q619" i="68"/>
  <c r="M619" i="68"/>
  <c r="Q618" i="68"/>
  <c r="M618" i="68"/>
  <c r="Q617" i="68"/>
  <c r="M617" i="68"/>
  <c r="Q616" i="68"/>
  <c r="M616" i="68"/>
  <c r="Q615" i="68"/>
  <c r="M615" i="68"/>
  <c r="Q614" i="68"/>
  <c r="M614" i="68"/>
  <c r="Q613" i="68"/>
  <c r="M613" i="68"/>
  <c r="Q612" i="68"/>
  <c r="M612" i="68"/>
  <c r="Q611" i="68"/>
  <c r="M611" i="68"/>
  <c r="Q610" i="68"/>
  <c r="M610" i="68"/>
  <c r="Q609" i="68"/>
  <c r="M609" i="68"/>
  <c r="Q608" i="68"/>
  <c r="M608" i="68"/>
  <c r="Q607" i="68"/>
  <c r="M607" i="68"/>
  <c r="Q606" i="68"/>
  <c r="M606" i="68"/>
  <c r="Q605" i="68"/>
  <c r="M605" i="68"/>
  <c r="Q604" i="68"/>
  <c r="M604" i="68"/>
  <c r="Q603" i="68"/>
  <c r="M603" i="68"/>
  <c r="Q602" i="68"/>
  <c r="M602" i="68"/>
  <c r="Q601" i="68"/>
  <c r="M601" i="68"/>
  <c r="Q600" i="68"/>
  <c r="M600" i="68"/>
  <c r="Q599" i="68"/>
  <c r="M599" i="68"/>
  <c r="Q598" i="68"/>
  <c r="M598" i="68"/>
  <c r="Q597" i="68"/>
  <c r="M597" i="68"/>
  <c r="Q596" i="68"/>
  <c r="M596" i="68"/>
  <c r="Q595" i="68"/>
  <c r="M595" i="68"/>
  <c r="Q594" i="68"/>
  <c r="M594" i="68"/>
  <c r="Q593" i="68"/>
  <c r="M593" i="68"/>
  <c r="Q592" i="68"/>
  <c r="M592" i="68"/>
  <c r="Q591" i="68"/>
  <c r="M591" i="68"/>
  <c r="Q590" i="68"/>
  <c r="M590" i="68"/>
  <c r="Q589" i="68"/>
  <c r="M589" i="68"/>
  <c r="Q588" i="68"/>
  <c r="M588" i="68"/>
  <c r="Q587" i="68"/>
  <c r="M587" i="68"/>
  <c r="Q586" i="68"/>
  <c r="M586" i="68"/>
  <c r="Q585" i="68"/>
  <c r="M585" i="68"/>
  <c r="Q584" i="68"/>
  <c r="M584" i="68"/>
  <c r="Q583" i="68"/>
  <c r="M583" i="68"/>
  <c r="Q582" i="68"/>
  <c r="M582" i="68"/>
  <c r="Q581" i="68"/>
  <c r="M581" i="68"/>
  <c r="Q580" i="68"/>
  <c r="M580" i="68"/>
  <c r="Q579" i="68"/>
  <c r="M579" i="68"/>
  <c r="Q578" i="68"/>
  <c r="M578" i="68"/>
  <c r="Q577" i="68"/>
  <c r="M577" i="68"/>
  <c r="Q576" i="68"/>
  <c r="M576" i="68"/>
  <c r="Q575" i="68"/>
  <c r="M575" i="68"/>
  <c r="Q574" i="68"/>
  <c r="M574" i="68"/>
  <c r="Q573" i="68"/>
  <c r="M573" i="68"/>
  <c r="Q572" i="68"/>
  <c r="M572" i="68"/>
  <c r="Q571" i="68"/>
  <c r="M571" i="68"/>
  <c r="Q570" i="68"/>
  <c r="M570" i="68"/>
  <c r="Q569" i="68"/>
  <c r="M569" i="68"/>
  <c r="Q568" i="68"/>
  <c r="M568" i="68"/>
  <c r="Q567" i="68"/>
  <c r="M567" i="68"/>
  <c r="Q566" i="68"/>
  <c r="M566" i="68"/>
  <c r="Q565" i="68"/>
  <c r="M565" i="68"/>
  <c r="Q564" i="68"/>
  <c r="M564" i="68"/>
  <c r="Q563" i="68"/>
  <c r="M563" i="68"/>
  <c r="Q562" i="68"/>
  <c r="M562" i="68"/>
  <c r="Q561" i="68"/>
  <c r="M561" i="68"/>
  <c r="Q560" i="68"/>
  <c r="M560" i="68"/>
  <c r="Q559" i="68"/>
  <c r="M559" i="68"/>
  <c r="Q558" i="68"/>
  <c r="M558" i="68"/>
  <c r="Q557" i="68"/>
  <c r="M557" i="68"/>
  <c r="Q556" i="68"/>
  <c r="M556" i="68"/>
  <c r="Q555" i="68"/>
  <c r="M555" i="68"/>
  <c r="Q554" i="68"/>
  <c r="M554" i="68"/>
  <c r="Q553" i="68"/>
  <c r="M553" i="68"/>
  <c r="Q552" i="68"/>
  <c r="M552" i="68"/>
  <c r="Q551" i="68"/>
  <c r="M551" i="68"/>
  <c r="Q550" i="68"/>
  <c r="M550" i="68"/>
  <c r="Q549" i="68"/>
  <c r="M549" i="68"/>
  <c r="Q548" i="68"/>
  <c r="M548" i="68"/>
  <c r="Q547" i="68"/>
  <c r="M547" i="68"/>
  <c r="Q546" i="68"/>
  <c r="M546" i="68"/>
  <c r="Q545" i="68"/>
  <c r="M545" i="68"/>
  <c r="Q544" i="68"/>
  <c r="M544" i="68"/>
  <c r="Q543" i="68"/>
  <c r="M543" i="68"/>
  <c r="Q542" i="68"/>
  <c r="M542" i="68"/>
  <c r="Q541" i="68"/>
  <c r="M541" i="68"/>
  <c r="Q540" i="68"/>
  <c r="M540" i="68"/>
  <c r="Q539" i="68"/>
  <c r="M539" i="68"/>
  <c r="Q538" i="68"/>
  <c r="M538" i="68"/>
  <c r="Q537" i="68"/>
  <c r="M537" i="68"/>
  <c r="Q536" i="68"/>
  <c r="M536" i="68"/>
  <c r="Q535" i="68"/>
  <c r="M535" i="68"/>
  <c r="Q534" i="68"/>
  <c r="M534" i="68"/>
  <c r="Q533" i="68"/>
  <c r="M533" i="68"/>
  <c r="Q532" i="68"/>
  <c r="M532" i="68"/>
  <c r="Q531" i="68"/>
  <c r="M531" i="68"/>
  <c r="Q530" i="68"/>
  <c r="M530" i="68"/>
  <c r="Q529" i="68"/>
  <c r="M529" i="68"/>
  <c r="Q528" i="68"/>
  <c r="M528" i="68"/>
  <c r="Q527" i="68"/>
  <c r="M527" i="68"/>
  <c r="Q526" i="68"/>
  <c r="M526" i="68"/>
  <c r="Q525" i="68"/>
  <c r="M525" i="68"/>
  <c r="Q524" i="68"/>
  <c r="M524" i="68"/>
  <c r="Q523" i="68"/>
  <c r="M523" i="68"/>
  <c r="Q522" i="68"/>
  <c r="M522" i="68"/>
  <c r="Q521" i="68"/>
  <c r="M521" i="68"/>
  <c r="Q520" i="68"/>
  <c r="M520" i="68"/>
  <c r="Q519" i="68"/>
  <c r="M519" i="68"/>
  <c r="Q518" i="68"/>
  <c r="M518" i="68"/>
  <c r="Q517" i="68"/>
  <c r="M517" i="68"/>
  <c r="Q516" i="68"/>
  <c r="M516" i="68"/>
  <c r="Q515" i="68"/>
  <c r="M515" i="68"/>
  <c r="Q514" i="68"/>
  <c r="M514" i="68"/>
  <c r="Q513" i="68"/>
  <c r="M513" i="68"/>
  <c r="Q512" i="68"/>
  <c r="M512" i="68"/>
  <c r="Q511" i="68"/>
  <c r="M511" i="68"/>
  <c r="Q510" i="68"/>
  <c r="M510" i="68"/>
  <c r="Q509" i="68"/>
  <c r="M509" i="68"/>
  <c r="Q508" i="68"/>
  <c r="M508" i="68"/>
  <c r="Q507" i="68"/>
  <c r="M507" i="68"/>
  <c r="Q506" i="68"/>
  <c r="M506" i="68"/>
  <c r="Q505" i="68"/>
  <c r="M505" i="68"/>
  <c r="Q504" i="68"/>
  <c r="M504" i="68"/>
  <c r="Q503" i="68"/>
  <c r="M503" i="68"/>
  <c r="Q502" i="68"/>
  <c r="M502" i="68"/>
  <c r="Q501" i="68"/>
  <c r="M501" i="68"/>
  <c r="Q500" i="68"/>
  <c r="M500" i="68"/>
  <c r="Q499" i="68"/>
  <c r="M499" i="68"/>
  <c r="Q498" i="68"/>
  <c r="M498" i="68"/>
  <c r="Q497" i="68"/>
  <c r="M497" i="68"/>
  <c r="Q496" i="68"/>
  <c r="M496" i="68"/>
  <c r="Q495" i="68"/>
  <c r="M495" i="68"/>
  <c r="Q494" i="68"/>
  <c r="M494" i="68"/>
  <c r="Q493" i="68"/>
  <c r="M493" i="68"/>
  <c r="Q492" i="68"/>
  <c r="M492" i="68"/>
  <c r="Q491" i="68"/>
  <c r="M491" i="68"/>
  <c r="Q490" i="68"/>
  <c r="M490" i="68"/>
  <c r="Q489" i="68"/>
  <c r="M489" i="68"/>
  <c r="Q488" i="68"/>
  <c r="M488" i="68"/>
  <c r="Q487" i="68"/>
  <c r="M487" i="68"/>
  <c r="Q486" i="68"/>
  <c r="M486" i="68"/>
  <c r="Q485" i="68"/>
  <c r="M485" i="68"/>
  <c r="Q484" i="68"/>
  <c r="M484" i="68"/>
  <c r="Q483" i="68"/>
  <c r="M483" i="68"/>
  <c r="Q482" i="68"/>
  <c r="M482" i="68"/>
  <c r="Q481" i="68"/>
  <c r="M481" i="68"/>
  <c r="Q480" i="68"/>
  <c r="M480" i="68"/>
  <c r="Q479" i="68"/>
  <c r="M479" i="68"/>
  <c r="Q478" i="68"/>
  <c r="M478" i="68"/>
  <c r="Q477" i="68"/>
  <c r="M477" i="68"/>
  <c r="Q476" i="68"/>
  <c r="M476" i="68"/>
  <c r="Q475" i="68"/>
  <c r="M475" i="68"/>
  <c r="Q474" i="68"/>
  <c r="M474" i="68"/>
  <c r="Q473" i="68"/>
  <c r="M473" i="68"/>
  <c r="Q472" i="68"/>
  <c r="M472" i="68"/>
  <c r="Q471" i="68"/>
  <c r="M471" i="68"/>
  <c r="Q470" i="68"/>
  <c r="M470" i="68"/>
  <c r="Q469" i="68"/>
  <c r="M469" i="68"/>
  <c r="Q468" i="68"/>
  <c r="M468" i="68"/>
  <c r="Q467" i="68"/>
  <c r="M467" i="68"/>
  <c r="Q466" i="68"/>
  <c r="M466" i="68"/>
  <c r="Q465" i="68"/>
  <c r="M465" i="68"/>
  <c r="Q464" i="68"/>
  <c r="M464" i="68"/>
  <c r="Q463" i="68"/>
  <c r="M463" i="68"/>
  <c r="Q462" i="68"/>
  <c r="M462" i="68"/>
  <c r="Q461" i="68"/>
  <c r="M461" i="68"/>
  <c r="Q460" i="68"/>
  <c r="M460" i="68"/>
  <c r="Q459" i="68"/>
  <c r="M459" i="68"/>
  <c r="Q458" i="68"/>
  <c r="M458" i="68"/>
  <c r="Q457" i="68"/>
  <c r="M457" i="68"/>
  <c r="Q456" i="68"/>
  <c r="M456" i="68"/>
  <c r="Q455" i="68"/>
  <c r="M455" i="68"/>
  <c r="Q454" i="68"/>
  <c r="M454" i="68"/>
  <c r="Q453" i="68"/>
  <c r="M453" i="68"/>
  <c r="Q452" i="68"/>
  <c r="M452" i="68"/>
  <c r="Q451" i="68"/>
  <c r="M451" i="68"/>
  <c r="Q450" i="68"/>
  <c r="M450" i="68"/>
  <c r="Q449" i="68"/>
  <c r="M449" i="68"/>
  <c r="Q448" i="68"/>
  <c r="M448" i="68"/>
  <c r="Q447" i="68"/>
  <c r="M447" i="68"/>
  <c r="Q446" i="68"/>
  <c r="M446" i="68"/>
  <c r="Q445" i="68"/>
  <c r="M445" i="68"/>
  <c r="Q444" i="68"/>
  <c r="M444" i="68"/>
  <c r="Q443" i="68"/>
  <c r="M443" i="68"/>
  <c r="Q442" i="68"/>
  <c r="M442" i="68"/>
  <c r="Q441" i="68"/>
  <c r="M441" i="68"/>
  <c r="Q440" i="68"/>
  <c r="M440" i="68"/>
  <c r="Q439" i="68"/>
  <c r="M439" i="68"/>
  <c r="Q438" i="68"/>
  <c r="M438" i="68"/>
  <c r="Q437" i="68"/>
  <c r="M437" i="68"/>
  <c r="Q436" i="68"/>
  <c r="M436" i="68"/>
  <c r="Q435" i="68"/>
  <c r="M435" i="68"/>
  <c r="Q434" i="68"/>
  <c r="M434" i="68"/>
  <c r="Q433" i="68"/>
  <c r="M433" i="68"/>
  <c r="Q432" i="68"/>
  <c r="M432" i="68"/>
  <c r="Q431" i="68"/>
  <c r="M431" i="68"/>
  <c r="Q430" i="68"/>
  <c r="M430" i="68"/>
  <c r="Q429" i="68"/>
  <c r="M429" i="68"/>
  <c r="Q428" i="68"/>
  <c r="M428" i="68"/>
  <c r="Q427" i="68"/>
  <c r="M427" i="68"/>
  <c r="Q426" i="68"/>
  <c r="M426" i="68"/>
  <c r="Q425" i="68"/>
  <c r="M425" i="68"/>
  <c r="Q424" i="68"/>
  <c r="M424" i="68"/>
  <c r="Q423" i="68"/>
  <c r="M423" i="68"/>
  <c r="Q422" i="68"/>
  <c r="M422" i="68"/>
  <c r="Q421" i="68"/>
  <c r="M421" i="68"/>
  <c r="Q420" i="68"/>
  <c r="M420" i="68"/>
  <c r="Q419" i="68"/>
  <c r="M419" i="68"/>
  <c r="Q418" i="68"/>
  <c r="M418" i="68"/>
  <c r="Q417" i="68"/>
  <c r="M417" i="68"/>
  <c r="Q416" i="68"/>
  <c r="M416" i="68"/>
  <c r="Q415" i="68"/>
  <c r="M415" i="68"/>
  <c r="Q414" i="68"/>
  <c r="M414" i="68"/>
  <c r="Q413" i="68"/>
  <c r="M413" i="68"/>
  <c r="Q412" i="68"/>
  <c r="M412" i="68"/>
  <c r="Q411" i="68"/>
  <c r="M411" i="68"/>
  <c r="Q410" i="68"/>
  <c r="M410" i="68"/>
  <c r="Q409" i="68"/>
  <c r="M409" i="68"/>
  <c r="Q408" i="68"/>
  <c r="M408" i="68"/>
  <c r="Q407" i="68"/>
  <c r="M407" i="68"/>
  <c r="Q406" i="68"/>
  <c r="M406" i="68"/>
  <c r="Q405" i="68"/>
  <c r="M405" i="68"/>
  <c r="Q404" i="68"/>
  <c r="M404" i="68"/>
  <c r="Q403" i="68"/>
  <c r="M403" i="68"/>
  <c r="Q402" i="68"/>
  <c r="M402" i="68"/>
  <c r="Q401" i="68"/>
  <c r="M401" i="68"/>
  <c r="Q400" i="68"/>
  <c r="M400" i="68"/>
  <c r="Q399" i="68"/>
  <c r="M399" i="68"/>
  <c r="Q398" i="68"/>
  <c r="M398" i="68"/>
  <c r="Q397" i="68"/>
  <c r="M397" i="68"/>
  <c r="Q396" i="68"/>
  <c r="M396" i="68"/>
  <c r="Q395" i="68"/>
  <c r="M395" i="68"/>
  <c r="Q394" i="68"/>
  <c r="M394" i="68"/>
  <c r="Q393" i="68"/>
  <c r="M393" i="68"/>
  <c r="Q392" i="68"/>
  <c r="M392" i="68"/>
  <c r="Q391" i="68"/>
  <c r="M391" i="68"/>
  <c r="Q390" i="68"/>
  <c r="M390" i="68"/>
  <c r="Q389" i="68"/>
  <c r="M389" i="68"/>
  <c r="Q388" i="68"/>
  <c r="M388" i="68"/>
  <c r="Q387" i="68"/>
  <c r="M387" i="68"/>
  <c r="Q386" i="68"/>
  <c r="M386" i="68"/>
  <c r="Q385" i="68"/>
  <c r="M385" i="68"/>
  <c r="Q384" i="68"/>
  <c r="M384" i="68"/>
  <c r="Q383" i="68"/>
  <c r="M383" i="68"/>
  <c r="Q382" i="68"/>
  <c r="M382" i="68"/>
  <c r="Q381" i="68"/>
  <c r="M381" i="68"/>
  <c r="Q380" i="68"/>
  <c r="M380" i="68"/>
  <c r="Q379" i="68"/>
  <c r="M379" i="68"/>
  <c r="Q378" i="68"/>
  <c r="M378" i="68"/>
  <c r="Q377" i="68"/>
  <c r="M377" i="68"/>
  <c r="Q376" i="68"/>
  <c r="M376" i="68"/>
  <c r="Q375" i="68"/>
  <c r="M375" i="68"/>
  <c r="Q374" i="68"/>
  <c r="M374" i="68"/>
  <c r="Q373" i="68"/>
  <c r="M373" i="68"/>
  <c r="Q372" i="68"/>
  <c r="M372" i="68"/>
  <c r="Q371" i="68"/>
  <c r="M371" i="68"/>
  <c r="Q370" i="68"/>
  <c r="M370" i="68"/>
  <c r="Q369" i="68"/>
  <c r="M369" i="68"/>
  <c r="Q368" i="68"/>
  <c r="M368" i="68"/>
  <c r="Q367" i="68"/>
  <c r="M367" i="68"/>
  <c r="Q366" i="68"/>
  <c r="M366" i="68"/>
  <c r="Q365" i="68"/>
  <c r="M365" i="68"/>
  <c r="Q364" i="68"/>
  <c r="M364" i="68"/>
  <c r="Q363" i="68"/>
  <c r="M363" i="68"/>
  <c r="Q362" i="68"/>
  <c r="M362" i="68"/>
  <c r="Q361" i="68"/>
  <c r="M361" i="68"/>
  <c r="Q360" i="68"/>
  <c r="M360" i="68"/>
  <c r="Q359" i="68"/>
  <c r="M359" i="68"/>
  <c r="Q358" i="68"/>
  <c r="M358" i="68"/>
  <c r="Q357" i="68"/>
  <c r="M357" i="68"/>
  <c r="Q356" i="68"/>
  <c r="M356" i="68"/>
  <c r="Q355" i="68"/>
  <c r="M355" i="68"/>
  <c r="Q354" i="68"/>
  <c r="M354" i="68"/>
  <c r="Q353" i="68"/>
  <c r="M353" i="68"/>
  <c r="Q352" i="68"/>
  <c r="M352" i="68"/>
  <c r="Q351" i="68"/>
  <c r="M351" i="68"/>
  <c r="Q350" i="68"/>
  <c r="M350" i="68"/>
  <c r="Q349" i="68"/>
  <c r="M349" i="68"/>
  <c r="Q348" i="68"/>
  <c r="M348" i="68"/>
  <c r="Q347" i="68"/>
  <c r="M347" i="68"/>
  <c r="Q346" i="68"/>
  <c r="M346" i="68"/>
  <c r="Q345" i="68"/>
  <c r="M345" i="68"/>
  <c r="Q344" i="68"/>
  <c r="M344" i="68"/>
  <c r="Q343" i="68"/>
  <c r="M343" i="68"/>
  <c r="Q342" i="68"/>
  <c r="M342" i="68"/>
  <c r="Q341" i="68"/>
  <c r="M341" i="68"/>
  <c r="Q340" i="68"/>
  <c r="M340" i="68"/>
  <c r="Q339" i="68"/>
  <c r="M339" i="68"/>
  <c r="Q338" i="68"/>
  <c r="M338" i="68"/>
  <c r="Q337" i="68"/>
  <c r="M337" i="68"/>
  <c r="Q336" i="68"/>
  <c r="M336" i="68"/>
  <c r="Q335" i="68"/>
  <c r="M335" i="68"/>
  <c r="Q334" i="68"/>
  <c r="M334" i="68"/>
  <c r="Q333" i="68"/>
  <c r="M333" i="68"/>
  <c r="Q332" i="68"/>
  <c r="M332" i="68"/>
  <c r="Q331" i="68"/>
  <c r="M331" i="68"/>
  <c r="Q330" i="68"/>
  <c r="M330" i="68"/>
  <c r="Q329" i="68"/>
  <c r="M329" i="68"/>
  <c r="Q328" i="68"/>
  <c r="M328" i="68"/>
  <c r="Q327" i="68"/>
  <c r="M327" i="68"/>
  <c r="Q326" i="68"/>
  <c r="M326" i="68"/>
  <c r="Q325" i="68"/>
  <c r="M325" i="68"/>
  <c r="Q324" i="68"/>
  <c r="M324" i="68"/>
  <c r="Q323" i="68"/>
  <c r="M323" i="68"/>
  <c r="Q322" i="68"/>
  <c r="M322" i="68"/>
  <c r="Q321" i="68"/>
  <c r="M321" i="68"/>
  <c r="Q320" i="68"/>
  <c r="M320" i="68"/>
  <c r="Q319" i="68"/>
  <c r="M319" i="68"/>
  <c r="Q318" i="68"/>
  <c r="M318" i="68"/>
  <c r="Q317" i="68"/>
  <c r="M317" i="68"/>
  <c r="Q316" i="68"/>
  <c r="M316" i="68"/>
  <c r="Q315" i="68"/>
  <c r="M315" i="68"/>
  <c r="Q314" i="68"/>
  <c r="M314" i="68"/>
  <c r="Q313" i="68"/>
  <c r="M313" i="68"/>
  <c r="Q312" i="68"/>
  <c r="M312" i="68"/>
  <c r="Q311" i="68"/>
  <c r="M311" i="68"/>
  <c r="Q310" i="68"/>
  <c r="M310" i="68"/>
  <c r="Q309" i="68"/>
  <c r="M309" i="68"/>
  <c r="Q308" i="68"/>
  <c r="M308" i="68"/>
  <c r="Q307" i="68"/>
  <c r="M307" i="68"/>
  <c r="Q306" i="68"/>
  <c r="M306" i="68"/>
  <c r="Q305" i="68"/>
  <c r="M305" i="68"/>
  <c r="Q304" i="68"/>
  <c r="M304" i="68"/>
  <c r="Q303" i="68"/>
  <c r="M303" i="68"/>
  <c r="Q302" i="68"/>
  <c r="M302" i="68"/>
  <c r="Q301" i="68"/>
  <c r="M301" i="68"/>
  <c r="Q300" i="68"/>
  <c r="M300" i="68"/>
  <c r="Q299" i="68"/>
  <c r="M299" i="68"/>
  <c r="Q298" i="68"/>
  <c r="M298" i="68"/>
  <c r="Q297" i="68"/>
  <c r="M297" i="68"/>
  <c r="Q296" i="68"/>
  <c r="M296" i="68"/>
  <c r="Q295" i="68"/>
  <c r="M295" i="68"/>
  <c r="Q294" i="68"/>
  <c r="M294" i="68"/>
  <c r="Q293" i="68"/>
  <c r="M293" i="68"/>
  <c r="Q292" i="68"/>
  <c r="M292" i="68"/>
  <c r="Q291" i="68"/>
  <c r="M291" i="68"/>
  <c r="Q290" i="68"/>
  <c r="M290" i="68"/>
  <c r="Q289" i="68"/>
  <c r="M289" i="68"/>
  <c r="Q288" i="68"/>
  <c r="M288" i="68"/>
  <c r="Q287" i="68"/>
  <c r="M287" i="68"/>
  <c r="Q286" i="68"/>
  <c r="M286" i="68"/>
  <c r="Q285" i="68"/>
  <c r="M285" i="68"/>
  <c r="Q284" i="68"/>
  <c r="M284" i="68"/>
  <c r="Q283" i="68"/>
  <c r="M283" i="68"/>
  <c r="Q282" i="68"/>
  <c r="M282" i="68"/>
  <c r="Q281" i="68"/>
  <c r="M281" i="68"/>
  <c r="Q280" i="68"/>
  <c r="M280" i="68"/>
  <c r="Q279" i="68"/>
  <c r="M279" i="68"/>
  <c r="Q278" i="68"/>
  <c r="M278" i="68"/>
  <c r="Q277" i="68"/>
  <c r="M277" i="68"/>
  <c r="Q276" i="68"/>
  <c r="M276" i="68"/>
  <c r="Q275" i="68"/>
  <c r="M275" i="68"/>
  <c r="Q274" i="68"/>
  <c r="M274" i="68"/>
  <c r="Q273" i="68"/>
  <c r="M273" i="68"/>
  <c r="Q272" i="68"/>
  <c r="M272" i="68"/>
  <c r="Q271" i="68"/>
  <c r="M271" i="68"/>
  <c r="Q270" i="68"/>
  <c r="M270" i="68"/>
  <c r="Q269" i="68"/>
  <c r="M269" i="68"/>
  <c r="Q268" i="68"/>
  <c r="M268" i="68"/>
  <c r="Q267" i="68"/>
  <c r="M267" i="68"/>
  <c r="Q266" i="68"/>
  <c r="M266" i="68"/>
  <c r="Q265" i="68"/>
  <c r="M265" i="68"/>
  <c r="Q264" i="68"/>
  <c r="M264" i="68"/>
  <c r="Q263" i="68"/>
  <c r="M263" i="68"/>
  <c r="Q262" i="68"/>
  <c r="M262" i="68"/>
  <c r="Q261" i="68"/>
  <c r="M261" i="68"/>
  <c r="Q260" i="68"/>
  <c r="M260" i="68"/>
  <c r="Q259" i="68"/>
  <c r="M259" i="68"/>
  <c r="Q258" i="68"/>
  <c r="M258" i="68"/>
  <c r="Q257" i="68"/>
  <c r="M257" i="68"/>
  <c r="Q256" i="68"/>
  <c r="M256" i="68"/>
  <c r="Q255" i="68"/>
  <c r="M255" i="68"/>
  <c r="Q254" i="68"/>
  <c r="M254" i="68"/>
  <c r="Q253" i="68"/>
  <c r="M253" i="68"/>
  <c r="Q252" i="68"/>
  <c r="M252" i="68"/>
  <c r="Q251" i="68"/>
  <c r="M251" i="68"/>
  <c r="Q250" i="68"/>
  <c r="M250" i="68"/>
  <c r="Q249" i="68"/>
  <c r="M249" i="68"/>
  <c r="Q248" i="68"/>
  <c r="M248" i="68"/>
  <c r="Q247" i="68"/>
  <c r="M247" i="68"/>
  <c r="Q246" i="68"/>
  <c r="M246" i="68"/>
  <c r="Q245" i="68"/>
  <c r="M245" i="68"/>
  <c r="Q244" i="68"/>
  <c r="M244" i="68"/>
  <c r="Q243" i="68"/>
  <c r="M243" i="68"/>
  <c r="Q242" i="68"/>
  <c r="M242" i="68"/>
  <c r="Q241" i="68"/>
  <c r="M241" i="68"/>
  <c r="Q240" i="68"/>
  <c r="M240" i="68"/>
  <c r="Q239" i="68"/>
  <c r="M239" i="68"/>
  <c r="Q238" i="68"/>
  <c r="M238" i="68"/>
  <c r="Q237" i="68"/>
  <c r="M237" i="68"/>
  <c r="Q236" i="68"/>
  <c r="M236" i="68"/>
  <c r="Q235" i="68"/>
  <c r="M235" i="68"/>
  <c r="Q234" i="68"/>
  <c r="M234" i="68"/>
  <c r="Q233" i="68"/>
  <c r="M233" i="68"/>
  <c r="Q232" i="68"/>
  <c r="M232" i="68"/>
  <c r="Q231" i="68"/>
  <c r="M231" i="68"/>
  <c r="Q230" i="68"/>
  <c r="M230" i="68"/>
  <c r="Q229" i="68"/>
  <c r="M229" i="68"/>
  <c r="Q228" i="68"/>
  <c r="M228" i="68"/>
  <c r="Q227" i="68"/>
  <c r="M227" i="68"/>
  <c r="Q226" i="68"/>
  <c r="M226" i="68"/>
  <c r="Q225" i="68"/>
  <c r="M225" i="68"/>
  <c r="Q224" i="68"/>
  <c r="M224" i="68"/>
  <c r="Q223" i="68"/>
  <c r="M223" i="68"/>
  <c r="Q222" i="68"/>
  <c r="M222" i="68"/>
  <c r="Q221" i="68"/>
  <c r="M221" i="68"/>
  <c r="Q220" i="68"/>
  <c r="M220" i="68"/>
  <c r="Q219" i="68"/>
  <c r="M219" i="68"/>
  <c r="Q218" i="68"/>
  <c r="M218" i="68"/>
  <c r="Q217" i="68"/>
  <c r="M217" i="68"/>
  <c r="Q216" i="68"/>
  <c r="M216" i="68"/>
  <c r="Q215" i="68"/>
  <c r="M215" i="68"/>
  <c r="Q214" i="68"/>
  <c r="M214" i="68"/>
  <c r="Q213" i="68"/>
  <c r="M213" i="68"/>
  <c r="Q212" i="68"/>
  <c r="M212" i="68"/>
  <c r="Q211" i="68"/>
  <c r="M211" i="68"/>
  <c r="Q210" i="68"/>
  <c r="M210" i="68"/>
  <c r="Q209" i="68"/>
  <c r="M209" i="68"/>
  <c r="Q208" i="68"/>
  <c r="M208" i="68"/>
  <c r="Q207" i="68"/>
  <c r="M207" i="68"/>
  <c r="Q206" i="68"/>
  <c r="M206" i="68"/>
  <c r="Q205" i="68"/>
  <c r="M205" i="68"/>
  <c r="Q204" i="68"/>
  <c r="M204" i="68"/>
  <c r="Q203" i="68"/>
  <c r="M203" i="68"/>
  <c r="Q202" i="68"/>
  <c r="M202" i="68"/>
  <c r="Q201" i="68"/>
  <c r="M201" i="68"/>
  <c r="Q200" i="68"/>
  <c r="M200" i="68"/>
  <c r="Q199" i="68"/>
  <c r="M199" i="68"/>
  <c r="Q198" i="68"/>
  <c r="M198" i="68"/>
  <c r="Q197" i="68"/>
  <c r="M197" i="68"/>
  <c r="Q196" i="68"/>
  <c r="M196" i="68"/>
  <c r="Q195" i="68"/>
  <c r="M195" i="68"/>
  <c r="Q194" i="68"/>
  <c r="M194" i="68"/>
  <c r="Q193" i="68"/>
  <c r="M193" i="68"/>
  <c r="Q192" i="68"/>
  <c r="M192" i="68"/>
  <c r="Q191" i="68"/>
  <c r="M191" i="68"/>
  <c r="Q190" i="68"/>
  <c r="M190" i="68"/>
  <c r="Q189" i="68"/>
  <c r="M189" i="68"/>
  <c r="Q188" i="68"/>
  <c r="M188" i="68"/>
  <c r="Q187" i="68"/>
  <c r="M187" i="68"/>
  <c r="Q186" i="68"/>
  <c r="M186" i="68"/>
  <c r="Q185" i="68"/>
  <c r="M185" i="68"/>
  <c r="Q184" i="68"/>
  <c r="M184" i="68"/>
  <c r="Q183" i="68"/>
  <c r="M183" i="68"/>
  <c r="Q182" i="68"/>
  <c r="M182" i="68"/>
  <c r="Q181" i="68"/>
  <c r="M181" i="68"/>
  <c r="Q180" i="68"/>
  <c r="M180" i="68"/>
  <c r="Q179" i="68"/>
  <c r="M179" i="68"/>
  <c r="Q178" i="68"/>
  <c r="M178" i="68"/>
  <c r="Q177" i="68"/>
  <c r="M177" i="68"/>
  <c r="Q176" i="68"/>
  <c r="M176" i="68"/>
  <c r="Q175" i="68"/>
  <c r="M175" i="68"/>
  <c r="Q174" i="68"/>
  <c r="M174" i="68"/>
  <c r="Q173" i="68"/>
  <c r="M173" i="68"/>
  <c r="Q172" i="68"/>
  <c r="M172" i="68"/>
  <c r="Q171" i="68"/>
  <c r="M171" i="68"/>
  <c r="Q170" i="68"/>
  <c r="M170" i="68"/>
  <c r="Q169" i="68"/>
  <c r="M169" i="68"/>
  <c r="Q168" i="68"/>
  <c r="M168" i="68"/>
  <c r="Q167" i="68"/>
  <c r="M167" i="68"/>
  <c r="Q166" i="68"/>
  <c r="M166" i="68"/>
  <c r="Q165" i="68"/>
  <c r="M165" i="68"/>
  <c r="Q164" i="68"/>
  <c r="M164" i="68"/>
  <c r="Q163" i="68"/>
  <c r="M163" i="68"/>
  <c r="Q162" i="68"/>
  <c r="M162" i="68"/>
  <c r="Q161" i="68"/>
  <c r="M161" i="68"/>
  <c r="Q160" i="68"/>
  <c r="M160" i="68"/>
  <c r="Q159" i="68"/>
  <c r="M159" i="68"/>
  <c r="Q158" i="68"/>
  <c r="M158" i="68"/>
  <c r="Q157" i="68"/>
  <c r="M157" i="68"/>
  <c r="Q156" i="68"/>
  <c r="M156" i="68"/>
  <c r="Q155" i="68"/>
  <c r="M155" i="68"/>
  <c r="Q154" i="68"/>
  <c r="M154" i="68"/>
  <c r="Q153" i="68"/>
  <c r="M153" i="68"/>
  <c r="Q152" i="68"/>
  <c r="M152" i="68"/>
  <c r="Q151" i="68"/>
  <c r="M151" i="68"/>
  <c r="Q150" i="68"/>
  <c r="M150" i="68"/>
  <c r="Q149" i="68"/>
  <c r="M149" i="68"/>
  <c r="Q148" i="68"/>
  <c r="M148" i="68"/>
  <c r="Q147" i="68"/>
  <c r="M147" i="68"/>
  <c r="Q146" i="68"/>
  <c r="M146" i="68"/>
  <c r="Q145" i="68"/>
  <c r="M145" i="68"/>
  <c r="Q144" i="68"/>
  <c r="M144" i="68"/>
  <c r="Q143" i="68"/>
  <c r="M143" i="68"/>
  <c r="Q142" i="68"/>
  <c r="M142" i="68"/>
  <c r="Q141" i="68"/>
  <c r="M141" i="68"/>
  <c r="Q140" i="68"/>
  <c r="M140" i="68"/>
  <c r="Q139" i="68"/>
  <c r="M139" i="68"/>
  <c r="Q138" i="68"/>
  <c r="M138" i="68"/>
  <c r="Q137" i="68"/>
  <c r="M137" i="68"/>
  <c r="Q136" i="68"/>
  <c r="M136" i="68"/>
  <c r="Q135" i="68"/>
  <c r="M135" i="68"/>
  <c r="Q134" i="68"/>
  <c r="M134" i="68"/>
  <c r="Q133" i="68"/>
  <c r="M133" i="68"/>
  <c r="Q132" i="68"/>
  <c r="M132" i="68"/>
  <c r="Q131" i="68"/>
  <c r="M131" i="68"/>
  <c r="Q130" i="68"/>
  <c r="M130" i="68"/>
  <c r="Q129" i="68"/>
  <c r="M129" i="68"/>
  <c r="Q128" i="68"/>
  <c r="M128" i="68"/>
  <c r="Q127" i="68"/>
  <c r="M127" i="68"/>
  <c r="Q126" i="68"/>
  <c r="M126" i="68"/>
  <c r="Q125" i="68"/>
  <c r="M125" i="68"/>
  <c r="Q124" i="68"/>
  <c r="M124" i="68"/>
  <c r="Q123" i="68"/>
  <c r="M123" i="68"/>
  <c r="Q122" i="68"/>
  <c r="M122" i="68"/>
  <c r="Q121" i="68"/>
  <c r="M121" i="68"/>
  <c r="Q120" i="68"/>
  <c r="M120" i="68"/>
  <c r="Q119" i="68"/>
  <c r="M119" i="68"/>
  <c r="Q118" i="68"/>
  <c r="M118" i="68"/>
  <c r="Q117" i="68"/>
  <c r="M117" i="68"/>
  <c r="Q116" i="68"/>
  <c r="M116" i="68"/>
  <c r="Q115" i="68"/>
  <c r="M115" i="68"/>
  <c r="Q114" i="68"/>
  <c r="M114" i="68"/>
  <c r="Q113" i="68"/>
  <c r="M113" i="68"/>
  <c r="Q112" i="68"/>
  <c r="M112" i="68"/>
  <c r="Q111" i="68"/>
  <c r="M111" i="68"/>
  <c r="Q110" i="68"/>
  <c r="M110" i="68"/>
  <c r="Q109" i="68"/>
  <c r="M109" i="68"/>
  <c r="Q108" i="68"/>
  <c r="M108" i="68"/>
  <c r="Q107" i="68"/>
  <c r="M107" i="68"/>
  <c r="Q106" i="68"/>
  <c r="M106" i="68"/>
  <c r="Q105" i="68"/>
  <c r="M105" i="68"/>
  <c r="Q104" i="68"/>
  <c r="M104" i="68"/>
  <c r="Q103" i="68"/>
  <c r="M103" i="68"/>
  <c r="Q102" i="68"/>
  <c r="M102" i="68"/>
  <c r="Q101" i="68"/>
  <c r="M101" i="68"/>
  <c r="Q100" i="68"/>
  <c r="M100" i="68"/>
  <c r="Q99" i="68"/>
  <c r="M99" i="68"/>
  <c r="Q98" i="68"/>
  <c r="M98" i="68"/>
  <c r="Q97" i="68"/>
  <c r="M97" i="68"/>
  <c r="Q96" i="68"/>
  <c r="M96" i="68"/>
  <c r="Q95" i="68"/>
  <c r="M95" i="68"/>
  <c r="Q94" i="68"/>
  <c r="M94" i="68"/>
  <c r="Q93" i="68"/>
  <c r="M93" i="68"/>
  <c r="Q92" i="68"/>
  <c r="M92" i="68"/>
  <c r="Q91" i="68"/>
  <c r="M91" i="68"/>
  <c r="Q90" i="68"/>
  <c r="M90" i="68"/>
  <c r="Q89" i="68"/>
  <c r="M89" i="68"/>
  <c r="Q88" i="68"/>
  <c r="M88" i="68"/>
  <c r="Q87" i="68"/>
  <c r="M87" i="68"/>
  <c r="Q86" i="68"/>
  <c r="M86" i="68"/>
  <c r="Q85" i="68"/>
  <c r="M85" i="68"/>
  <c r="Q84" i="68"/>
  <c r="M84" i="68"/>
  <c r="Q83" i="68"/>
  <c r="M83" i="68"/>
  <c r="Q82" i="68"/>
  <c r="M82" i="68"/>
  <c r="Q81" i="68"/>
  <c r="M81" i="68"/>
  <c r="Q80" i="68"/>
  <c r="M80" i="68"/>
  <c r="Q79" i="68"/>
  <c r="M79" i="68"/>
  <c r="Q78" i="68"/>
  <c r="M78" i="68"/>
  <c r="Q77" i="68"/>
  <c r="M77" i="68"/>
  <c r="Q76" i="68"/>
  <c r="M76" i="68"/>
  <c r="Q75" i="68"/>
  <c r="M75" i="68"/>
  <c r="Q74" i="68"/>
  <c r="M74" i="68"/>
  <c r="Q73" i="68"/>
  <c r="M73" i="68"/>
  <c r="Q72" i="68"/>
  <c r="M72" i="68"/>
  <c r="Q71" i="68"/>
  <c r="M71" i="68"/>
  <c r="Q70" i="68"/>
  <c r="M70" i="68"/>
  <c r="Q69" i="68"/>
  <c r="M69" i="68"/>
  <c r="Q68" i="68"/>
  <c r="M68" i="68"/>
  <c r="Q67" i="68"/>
  <c r="M67" i="68"/>
  <c r="Q66" i="68"/>
  <c r="M66" i="68"/>
  <c r="Q65" i="68"/>
  <c r="M65" i="68"/>
  <c r="Q64" i="68"/>
  <c r="M64" i="68"/>
  <c r="Q63" i="68"/>
  <c r="M63" i="68"/>
  <c r="Q62" i="68"/>
  <c r="M62" i="68"/>
  <c r="Q61" i="68"/>
  <c r="M61" i="68"/>
  <c r="Q60" i="68"/>
  <c r="M60" i="68"/>
  <c r="Q59" i="68"/>
  <c r="M59" i="68"/>
  <c r="Q58" i="68"/>
  <c r="M58" i="68"/>
  <c r="Q57" i="68"/>
  <c r="M57" i="68"/>
  <c r="Q56" i="68"/>
  <c r="M56" i="68"/>
  <c r="Q55" i="68"/>
  <c r="M55" i="68"/>
  <c r="Q54" i="68"/>
  <c r="M54" i="68"/>
  <c r="Q53" i="68"/>
  <c r="M53" i="68"/>
  <c r="Q52" i="68"/>
  <c r="M52" i="68"/>
  <c r="V51" i="68"/>
  <c r="Q51" i="68"/>
  <c r="M51" i="68"/>
  <c r="Q50" i="68"/>
  <c r="M50" i="68"/>
  <c r="Q49" i="68"/>
  <c r="M49" i="68"/>
  <c r="Q48" i="68"/>
  <c r="M48" i="68"/>
  <c r="Q47" i="68"/>
  <c r="M47" i="68"/>
  <c r="Q46" i="68"/>
  <c r="M46" i="68"/>
  <c r="Q45" i="68"/>
  <c r="M45" i="68"/>
  <c r="Q44" i="68"/>
  <c r="M44" i="68"/>
  <c r="Q43" i="68"/>
  <c r="M43" i="68"/>
  <c r="Q42" i="68"/>
  <c r="M42" i="68"/>
  <c r="Q41" i="68"/>
  <c r="M41" i="68"/>
  <c r="Q40" i="68"/>
  <c r="M40" i="68"/>
  <c r="Q39" i="68"/>
  <c r="M39" i="68"/>
  <c r="Q38" i="68"/>
  <c r="M38" i="68"/>
  <c r="V37" i="68"/>
  <c r="V43" i="68" s="1"/>
  <c r="V49" i="68" s="1"/>
  <c r="V55" i="68" s="1"/>
  <c r="Q37" i="68"/>
  <c r="M37" i="68"/>
  <c r="Q36" i="68"/>
  <c r="M36" i="68"/>
  <c r="Q35" i="68"/>
  <c r="M35" i="68"/>
  <c r="Q34" i="68"/>
  <c r="M34" i="68"/>
  <c r="Q33" i="68"/>
  <c r="M33" i="68"/>
  <c r="Q32" i="68"/>
  <c r="M32" i="68"/>
  <c r="V31" i="68"/>
  <c r="Q31" i="68"/>
  <c r="M31" i="68"/>
  <c r="Q30" i="68"/>
  <c r="M30" i="68"/>
  <c r="Z29" i="68"/>
  <c r="Z30" i="68" s="1"/>
  <c r="Z31" i="68" s="1"/>
  <c r="Q29" i="68"/>
  <c r="M29" i="68"/>
  <c r="Z28" i="68"/>
  <c r="Q28" i="68"/>
  <c r="M28" i="68"/>
  <c r="Z27" i="68"/>
  <c r="Q27" i="68"/>
  <c r="M27" i="68"/>
  <c r="Q26" i="68"/>
  <c r="M26" i="68"/>
  <c r="Q25" i="68"/>
  <c r="M25" i="68"/>
  <c r="Q24" i="68"/>
  <c r="M24" i="68"/>
  <c r="Q23" i="68"/>
  <c r="M23" i="68"/>
  <c r="Q22" i="68"/>
  <c r="M22" i="68"/>
  <c r="Q21" i="68"/>
  <c r="M21" i="68"/>
  <c r="V20" i="68"/>
  <c r="V26" i="68" s="1"/>
  <c r="V32" i="68" s="1"/>
  <c r="V38" i="68" s="1"/>
  <c r="V44" i="68" s="1"/>
  <c r="V50" i="68" s="1"/>
  <c r="Q20" i="68"/>
  <c r="M20" i="68"/>
  <c r="V19" i="68"/>
  <c r="V25" i="68" s="1"/>
  <c r="Q19" i="68"/>
  <c r="M19" i="68"/>
  <c r="V18" i="68"/>
  <c r="V24" i="68" s="1"/>
  <c r="V30" i="68" s="1"/>
  <c r="V36" i="68" s="1"/>
  <c r="V42" i="68" s="1"/>
  <c r="V48" i="68" s="1"/>
  <c r="V54" i="68" s="1"/>
  <c r="Q18" i="68"/>
  <c r="M18" i="68"/>
  <c r="Q17" i="68"/>
  <c r="M17" i="68"/>
  <c r="Q16" i="68"/>
  <c r="M16" i="68"/>
  <c r="Q15" i="68"/>
  <c r="M15" i="68"/>
  <c r="V14" i="68"/>
  <c r="Q14" i="68"/>
  <c r="M14" i="68"/>
  <c r="V13" i="68"/>
  <c r="Q13" i="68"/>
  <c r="M13" i="68"/>
  <c r="V12" i="68"/>
  <c r="Q12" i="68"/>
  <c r="M12" i="68"/>
  <c r="V11" i="68"/>
  <c r="V17" i="68" s="1"/>
  <c r="V23" i="68" s="1"/>
  <c r="V29" i="68" s="1"/>
  <c r="V35" i="68" s="1"/>
  <c r="V41" i="68" s="1"/>
  <c r="V47" i="68" s="1"/>
  <c r="V53" i="68" s="1"/>
  <c r="Q11" i="68"/>
  <c r="M11" i="68"/>
  <c r="V10" i="68"/>
  <c r="V16" i="68" s="1"/>
  <c r="V22" i="68" s="1"/>
  <c r="V28" i="68" s="1"/>
  <c r="V34" i="68" s="1"/>
  <c r="V40" i="68" s="1"/>
  <c r="V46" i="68" s="1"/>
  <c r="V52" i="68" s="1"/>
  <c r="Q10" i="68"/>
  <c r="M10" i="68"/>
  <c r="V9" i="68"/>
  <c r="V15" i="68" s="1"/>
  <c r="V21" i="68" s="1"/>
  <c r="V27" i="68" s="1"/>
  <c r="V33" i="68" s="1"/>
  <c r="V39" i="68" s="1"/>
  <c r="V45" i="68" s="1"/>
  <c r="Q9" i="68"/>
  <c r="M9" i="68"/>
  <c r="V8" i="68"/>
  <c r="Q8" i="68"/>
  <c r="M8" i="68"/>
  <c r="Q7" i="68"/>
  <c r="M7" i="68"/>
  <c r="Q6" i="68"/>
  <c r="M6" i="68"/>
  <c r="Q5" i="68"/>
  <c r="M5" i="68"/>
  <c r="Q4" i="68"/>
  <c r="M4" i="68"/>
  <c r="I61" i="61"/>
  <c r="I60" i="61"/>
  <c r="I59" i="61"/>
  <c r="I58" i="61"/>
  <c r="I57" i="61"/>
  <c r="I56" i="61"/>
  <c r="I55" i="61"/>
  <c r="I54" i="61"/>
  <c r="I53" i="61"/>
  <c r="I52" i="61"/>
  <c r="I51" i="61"/>
  <c r="I50" i="61"/>
  <c r="I49" i="61"/>
  <c r="I48" i="61"/>
  <c r="I47" i="61"/>
  <c r="I46" i="61"/>
  <c r="I45" i="61"/>
  <c r="I44" i="61"/>
  <c r="I43" i="61"/>
  <c r="I42" i="61"/>
  <c r="I41" i="61"/>
  <c r="I40" i="61"/>
  <c r="I39" i="61"/>
  <c r="I38" i="61"/>
  <c r="I37" i="61"/>
  <c r="I36" i="61"/>
  <c r="I35" i="61"/>
  <c r="I34" i="61"/>
  <c r="I33" i="61"/>
  <c r="I32" i="61"/>
  <c r="W31" i="61"/>
  <c r="V31" i="61"/>
  <c r="I31" i="61"/>
  <c r="W30" i="61"/>
  <c r="V30" i="61"/>
  <c r="I30" i="61"/>
  <c r="W29" i="61"/>
  <c r="V29" i="61"/>
  <c r="I29" i="61"/>
  <c r="W28" i="61"/>
  <c r="V28" i="61"/>
  <c r="U28" i="61"/>
  <c r="U29" i="61" s="1"/>
  <c r="U30" i="61" s="1"/>
  <c r="U31" i="61" s="1"/>
  <c r="I28" i="61"/>
  <c r="W27" i="61"/>
  <c r="V27" i="61"/>
  <c r="U27" i="61"/>
  <c r="I27" i="61"/>
  <c r="W26" i="61"/>
  <c r="V26" i="61"/>
  <c r="I26" i="61"/>
  <c r="W25" i="61"/>
  <c r="V25" i="61"/>
  <c r="I25" i="61"/>
  <c r="W24" i="61"/>
  <c r="V24" i="61"/>
  <c r="I24" i="61"/>
  <c r="W23" i="61"/>
  <c r="V23" i="61"/>
  <c r="I23" i="61"/>
  <c r="W22" i="61"/>
  <c r="V22" i="61"/>
  <c r="I22" i="61"/>
  <c r="W21" i="61"/>
  <c r="V21" i="61"/>
  <c r="I21" i="61"/>
  <c r="W20" i="61"/>
  <c r="V20" i="61"/>
  <c r="I20" i="61"/>
  <c r="W19" i="61"/>
  <c r="V19" i="61"/>
  <c r="I19" i="61"/>
  <c r="W18" i="61"/>
  <c r="V18" i="61"/>
  <c r="I18" i="61"/>
  <c r="W17" i="61"/>
  <c r="V17" i="61"/>
  <c r="I17" i="61"/>
  <c r="Y16" i="61"/>
  <c r="X16" i="61"/>
  <c r="I16" i="61"/>
  <c r="Y15" i="61"/>
  <c r="X15" i="61"/>
  <c r="I15" i="61"/>
  <c r="Y14" i="61"/>
  <c r="X14" i="61"/>
  <c r="I14" i="61"/>
  <c r="Y13" i="61"/>
  <c r="X13" i="61"/>
  <c r="I13" i="61"/>
  <c r="Y12" i="61"/>
  <c r="X12" i="61"/>
  <c r="I12" i="61"/>
  <c r="Y11" i="61"/>
  <c r="X11" i="61"/>
  <c r="I11" i="61"/>
  <c r="Y10" i="61"/>
  <c r="X10" i="61"/>
  <c r="I10" i="61"/>
  <c r="Y9" i="61"/>
  <c r="X9" i="61"/>
  <c r="I9" i="61"/>
  <c r="Y8" i="61"/>
  <c r="X8" i="61"/>
  <c r="I8" i="61"/>
  <c r="Y7" i="61"/>
  <c r="X7" i="61"/>
  <c r="I7" i="61"/>
  <c r="Y6" i="61"/>
  <c r="X6" i="61"/>
  <c r="I6" i="61"/>
  <c r="Y5" i="61"/>
  <c r="X5" i="61"/>
  <c r="I5" i="61"/>
  <c r="Y4" i="61"/>
  <c r="X4" i="61"/>
  <c r="I4" i="61"/>
  <c r="E4" i="61"/>
  <c r="Y3" i="61"/>
  <c r="X3" i="61"/>
  <c r="I3" i="61"/>
  <c r="E3" i="61"/>
  <c r="Y2" i="61"/>
  <c r="X2" i="61"/>
  <c r="I2" i="61"/>
  <c r="E2" i="61"/>
  <c r="AN33" i="25"/>
  <c r="AM33" i="25"/>
  <c r="AL33" i="25"/>
  <c r="AN32" i="25"/>
  <c r="AM32" i="25"/>
  <c r="AL32" i="25"/>
  <c r="AN31" i="25"/>
  <c r="AM31" i="25"/>
  <c r="AL31" i="25"/>
  <c r="C31" i="25"/>
  <c r="AN30" i="25"/>
  <c r="AM30" i="25"/>
  <c r="AL30" i="25"/>
  <c r="J30" i="25"/>
  <c r="C30" i="25"/>
  <c r="AN29" i="25"/>
  <c r="AM29" i="25"/>
  <c r="AL29" i="25"/>
  <c r="C29" i="25"/>
  <c r="AN28" i="25"/>
  <c r="AM28" i="25"/>
  <c r="AL28" i="25"/>
  <c r="G28" i="25"/>
  <c r="C28" i="25"/>
  <c r="I30" i="25" s="1"/>
  <c r="AN27" i="25"/>
  <c r="AM27" i="25"/>
  <c r="AL27" i="25"/>
  <c r="H27" i="25"/>
  <c r="C27" i="25"/>
  <c r="AN26" i="25"/>
  <c r="AM26" i="25"/>
  <c r="AL26" i="25"/>
  <c r="F26" i="25"/>
  <c r="C26" i="25"/>
  <c r="AN25" i="25"/>
  <c r="AM25" i="25"/>
  <c r="AL25" i="25"/>
  <c r="I25" i="25"/>
  <c r="C25" i="25"/>
  <c r="J31" i="25" s="1"/>
  <c r="AN24" i="25"/>
  <c r="AM24" i="25"/>
  <c r="AL24" i="25"/>
  <c r="AN23" i="25"/>
  <c r="AM23" i="25"/>
  <c r="AL23" i="25"/>
  <c r="AN22" i="25"/>
  <c r="AM22" i="25"/>
  <c r="AL22" i="25"/>
  <c r="AN21" i="25"/>
  <c r="AM21" i="25"/>
  <c r="AL21" i="25"/>
  <c r="AN20" i="25"/>
  <c r="AM20" i="25"/>
  <c r="AL20" i="25"/>
  <c r="AN19" i="25"/>
  <c r="AM19" i="25"/>
  <c r="AL19" i="25"/>
  <c r="AN18" i="25"/>
  <c r="AM18" i="25"/>
  <c r="AL18" i="25"/>
  <c r="AN17" i="25"/>
  <c r="AM17" i="25"/>
  <c r="AL17" i="25"/>
  <c r="AN16" i="25"/>
  <c r="AM16" i="25"/>
  <c r="AL16" i="25"/>
  <c r="AN15" i="25"/>
  <c r="AM15" i="25"/>
  <c r="AL15" i="25"/>
  <c r="AN14" i="25"/>
  <c r="AM14" i="25"/>
  <c r="AL14" i="25"/>
  <c r="AN13" i="25"/>
  <c r="AM13" i="25"/>
  <c r="AL13" i="25"/>
  <c r="AN12" i="25"/>
  <c r="AM12" i="25"/>
  <c r="AL12" i="25"/>
  <c r="AN11" i="25"/>
  <c r="AM11" i="25"/>
  <c r="AL11" i="25"/>
  <c r="AN10" i="25"/>
  <c r="AM10" i="25"/>
  <c r="AL10" i="25"/>
  <c r="R10" i="25"/>
  <c r="AN9" i="25"/>
  <c r="AM9" i="25"/>
  <c r="AL9" i="25"/>
  <c r="R9" i="25"/>
  <c r="AN8" i="25"/>
  <c r="AM8" i="25"/>
  <c r="AL8" i="25"/>
  <c r="R8" i="25"/>
  <c r="AN7" i="25"/>
  <c r="AM7" i="25"/>
  <c r="AL7" i="25"/>
  <c r="R7" i="25"/>
  <c r="L7" i="25"/>
  <c r="AN6" i="25"/>
  <c r="AM6" i="25"/>
  <c r="AL6" i="25"/>
  <c r="R6" i="25"/>
  <c r="L6" i="25"/>
  <c r="C6" i="25"/>
  <c r="AN5" i="25"/>
  <c r="AM5" i="25"/>
  <c r="AL5" i="25"/>
  <c r="AG5" i="25"/>
  <c r="AE5" i="25" s="1"/>
  <c r="Z5" i="25"/>
  <c r="R5" i="25"/>
  <c r="L5" i="25"/>
  <c r="G5" i="25"/>
  <c r="G6" i="25" s="1"/>
  <c r="G7" i="25" s="1"/>
  <c r="G8" i="25" s="1"/>
  <c r="C5" i="25"/>
  <c r="AN4" i="25"/>
  <c r="AM4" i="25"/>
  <c r="AL4" i="25"/>
  <c r="AI4" i="25"/>
  <c r="AJ4" i="25" s="1"/>
  <c r="AH4" i="25"/>
  <c r="AG4" i="25"/>
  <c r="AF5" i="25" s="1"/>
  <c r="AJ5" i="25" s="1"/>
  <c r="AE4" i="25"/>
  <c r="AB4" i="25"/>
  <c r="AC4" i="25" s="1"/>
  <c r="T4" i="25"/>
  <c r="AA4" i="25" s="1"/>
  <c r="R4" i="25"/>
  <c r="L4" i="25"/>
  <c r="K5" i="25" s="1"/>
  <c r="E4" i="25"/>
  <c r="C4" i="25"/>
  <c r="G15" i="34"/>
  <c r="F15" i="34"/>
  <c r="D15" i="34"/>
  <c r="C15" i="34"/>
  <c r="G14" i="34"/>
  <c r="F14" i="34"/>
  <c r="D14" i="34"/>
  <c r="C14" i="34"/>
  <c r="G13" i="34"/>
  <c r="F13" i="34"/>
  <c r="D13" i="34"/>
  <c r="C13" i="34"/>
  <c r="G12" i="34"/>
  <c r="F12" i="34"/>
  <c r="D12" i="34"/>
  <c r="C12" i="34"/>
  <c r="G11" i="34"/>
  <c r="F11" i="34"/>
  <c r="D11" i="34"/>
  <c r="C11" i="34"/>
  <c r="G10" i="34"/>
  <c r="F10" i="34"/>
  <c r="D10" i="34"/>
  <c r="C10" i="34"/>
  <c r="G9" i="34"/>
  <c r="F9" i="34"/>
  <c r="D9" i="34"/>
  <c r="C9" i="34"/>
  <c r="G8" i="34"/>
  <c r="F8" i="34"/>
  <c r="D8" i="34"/>
  <c r="C8" i="34"/>
  <c r="G7" i="34"/>
  <c r="F7" i="34"/>
  <c r="D7" i="34"/>
  <c r="C7" i="34"/>
  <c r="G6" i="34"/>
  <c r="F6" i="34"/>
  <c r="D6" i="34"/>
  <c r="C6" i="34"/>
  <c r="G5" i="34"/>
  <c r="F5" i="34"/>
  <c r="D5" i="34"/>
  <c r="C5" i="34"/>
  <c r="M4" i="34"/>
  <c r="G4" i="34"/>
  <c r="F4" i="34"/>
  <c r="D4" i="34"/>
  <c r="C4" i="34"/>
  <c r="L4" i="34" s="1"/>
  <c r="K4" i="34" s="1"/>
  <c r="BY33" i="24"/>
  <c r="CA33" i="24" s="1"/>
  <c r="AX33" i="24" s="1"/>
  <c r="BP33" i="24"/>
  <c r="BI33" i="24"/>
  <c r="BG33" i="24"/>
  <c r="BF33" i="24"/>
  <c r="BE33" i="24"/>
  <c r="BD33" i="24"/>
  <c r="BC33" i="24"/>
  <c r="AZ33" i="24"/>
  <c r="W33" i="24"/>
  <c r="G33" i="24"/>
  <c r="E33" i="24"/>
  <c r="D33" i="24"/>
  <c r="C33" i="24"/>
  <c r="B33" i="24"/>
  <c r="BN33" i="24" s="1"/>
  <c r="BY32" i="24"/>
  <c r="AV32" i="24" s="1"/>
  <c r="BO32" i="24"/>
  <c r="BN32" i="24"/>
  <c r="BI32" i="24"/>
  <c r="BG32" i="24"/>
  <c r="BE32" i="24"/>
  <c r="BD32" i="24"/>
  <c r="BC32" i="24"/>
  <c r="AZ32" i="24"/>
  <c r="W32" i="24"/>
  <c r="G32" i="24"/>
  <c r="E32" i="24"/>
  <c r="D32" i="24"/>
  <c r="BP32" i="24" s="1"/>
  <c r="C32" i="24"/>
  <c r="B32" i="24"/>
  <c r="BH32" i="24" s="1"/>
  <c r="BY31" i="24"/>
  <c r="CA31" i="24" s="1"/>
  <c r="AX31" i="24" s="1"/>
  <c r="AZ31" i="24"/>
  <c r="D31" i="24"/>
  <c r="BP31" i="24" s="1"/>
  <c r="B31" i="24"/>
  <c r="BC31" i="24" s="1"/>
  <c r="BY30" i="24"/>
  <c r="BZ30" i="24" s="1"/>
  <c r="AW30" i="24" s="1"/>
  <c r="BI30" i="24"/>
  <c r="BH30" i="24"/>
  <c r="BF30" i="24"/>
  <c r="AZ30" i="24"/>
  <c r="G30" i="24"/>
  <c r="D30" i="24"/>
  <c r="BP30" i="24" s="1"/>
  <c r="B30" i="24"/>
  <c r="BY29" i="24"/>
  <c r="CA29" i="24" s="1"/>
  <c r="AX29" i="24" s="1"/>
  <c r="BP29" i="24"/>
  <c r="BI29" i="24"/>
  <c r="BG29" i="24"/>
  <c r="BF29" i="24"/>
  <c r="BE29" i="24"/>
  <c r="BD29" i="24"/>
  <c r="BC29" i="24"/>
  <c r="AZ29" i="24"/>
  <c r="W29" i="24"/>
  <c r="G29" i="24"/>
  <c r="E29" i="24"/>
  <c r="D29" i="24"/>
  <c r="C29" i="24"/>
  <c r="B29" i="24"/>
  <c r="BN29" i="24" s="1"/>
  <c r="BY28" i="24"/>
  <c r="AV28" i="24" s="1"/>
  <c r="BO28" i="24"/>
  <c r="BN28" i="24"/>
  <c r="BI28" i="24"/>
  <c r="BG28" i="24"/>
  <c r="BE28" i="24"/>
  <c r="BD28" i="24"/>
  <c r="BC28" i="24"/>
  <c r="AZ28" i="24"/>
  <c r="W28" i="24"/>
  <c r="G28" i="24"/>
  <c r="D28" i="24"/>
  <c r="BP28" i="24" s="1"/>
  <c r="C28" i="24"/>
  <c r="E28" i="24" s="1"/>
  <c r="B28" i="24"/>
  <c r="BH28" i="24" s="1"/>
  <c r="BY27" i="24"/>
  <c r="CA27" i="24" s="1"/>
  <c r="AX27" i="24" s="1"/>
  <c r="AZ27" i="24"/>
  <c r="D27" i="24"/>
  <c r="BP27" i="24" s="1"/>
  <c r="B27" i="24"/>
  <c r="BC27" i="24" s="1"/>
  <c r="BY26" i="24"/>
  <c r="BZ26" i="24" s="1"/>
  <c r="AW26" i="24" s="1"/>
  <c r="BI26" i="24"/>
  <c r="BH26" i="24"/>
  <c r="BF26" i="24"/>
  <c r="BE26" i="24"/>
  <c r="AZ26" i="24"/>
  <c r="G26" i="24"/>
  <c r="D26" i="24"/>
  <c r="BP26" i="24" s="1"/>
  <c r="C26" i="24"/>
  <c r="E26" i="24" s="1"/>
  <c r="B26" i="24"/>
  <c r="BY25" i="24"/>
  <c r="CA25" i="24" s="1"/>
  <c r="AX25" i="24" s="1"/>
  <c r="BP25" i="24"/>
  <c r="BI25" i="24"/>
  <c r="BG25" i="24"/>
  <c r="BF25" i="24"/>
  <c r="BE25" i="24"/>
  <c r="BD25" i="24"/>
  <c r="BC25" i="24"/>
  <c r="AZ25" i="24"/>
  <c r="W25" i="24"/>
  <c r="G25" i="24"/>
  <c r="E25" i="24"/>
  <c r="D25" i="24"/>
  <c r="C25" i="24"/>
  <c r="B25" i="24"/>
  <c r="BN25" i="24" s="1"/>
  <c r="BY24" i="24"/>
  <c r="AV24" i="24" s="1"/>
  <c r="BO24" i="24"/>
  <c r="BN24" i="24"/>
  <c r="BI24" i="24"/>
  <c r="BG24" i="24"/>
  <c r="BE24" i="24"/>
  <c r="BD24" i="24"/>
  <c r="BC24" i="24"/>
  <c r="AZ24" i="24"/>
  <c r="W24" i="24"/>
  <c r="G24" i="24"/>
  <c r="D24" i="24"/>
  <c r="BP24" i="24" s="1"/>
  <c r="C24" i="24"/>
  <c r="E24" i="24" s="1"/>
  <c r="B24" i="24"/>
  <c r="BH24" i="24" s="1"/>
  <c r="BY23" i="24"/>
  <c r="CA23" i="24" s="1"/>
  <c r="AX23" i="24" s="1"/>
  <c r="BN23" i="24"/>
  <c r="BC23" i="24"/>
  <c r="AZ23" i="24"/>
  <c r="G23" i="24"/>
  <c r="D23" i="24"/>
  <c r="BP23" i="24" s="1"/>
  <c r="B23" i="24"/>
  <c r="BY22" i="24"/>
  <c r="BI22" i="24"/>
  <c r="BH22" i="24"/>
  <c r="BG22" i="24"/>
  <c r="BF22" i="24"/>
  <c r="BE22" i="24"/>
  <c r="AZ22" i="24"/>
  <c r="G22" i="24"/>
  <c r="D22" i="24"/>
  <c r="BP22" i="24" s="1"/>
  <c r="C22" i="24"/>
  <c r="E22" i="24" s="1"/>
  <c r="B22" i="24"/>
  <c r="BY21" i="24"/>
  <c r="CA21" i="24" s="1"/>
  <c r="AX21" i="24" s="1"/>
  <c r="BP21" i="24"/>
  <c r="BI21" i="24"/>
  <c r="BG21" i="24"/>
  <c r="BF21" i="24"/>
  <c r="BE21" i="24"/>
  <c r="BD21" i="24"/>
  <c r="BC21" i="24"/>
  <c r="AZ21" i="24"/>
  <c r="W21" i="24"/>
  <c r="G21" i="24"/>
  <c r="D21" i="24"/>
  <c r="C21" i="24"/>
  <c r="E21" i="24" s="1"/>
  <c r="B21" i="24"/>
  <c r="BN21" i="24" s="1"/>
  <c r="BY20" i="24"/>
  <c r="BO20" i="24"/>
  <c r="BN20" i="24"/>
  <c r="BI20" i="24"/>
  <c r="BG20" i="24"/>
  <c r="BE20" i="24"/>
  <c r="BD20" i="24"/>
  <c r="BC20" i="24"/>
  <c r="AZ20" i="24"/>
  <c r="W20" i="24"/>
  <c r="G20" i="24"/>
  <c r="E20" i="24"/>
  <c r="D20" i="24"/>
  <c r="BP20" i="24" s="1"/>
  <c r="C20" i="24"/>
  <c r="B20" i="24"/>
  <c r="BH20" i="24" s="1"/>
  <c r="BY19" i="24"/>
  <c r="CA19" i="24" s="1"/>
  <c r="AX19" i="24" s="1"/>
  <c r="BE19" i="24"/>
  <c r="BC19" i="24"/>
  <c r="AZ19" i="24"/>
  <c r="G19" i="24"/>
  <c r="D19" i="24"/>
  <c r="BP19" i="24" s="1"/>
  <c r="B19" i="24"/>
  <c r="BY18" i="24"/>
  <c r="BZ18" i="24" s="1"/>
  <c r="AW18" i="24" s="1"/>
  <c r="BI18" i="24"/>
  <c r="BH18" i="24"/>
  <c r="BG18" i="24"/>
  <c r="BF18" i="24"/>
  <c r="BE18" i="24"/>
  <c r="AZ18" i="24"/>
  <c r="G18" i="24"/>
  <c r="D18" i="24"/>
  <c r="BP18" i="24" s="1"/>
  <c r="C18" i="24"/>
  <c r="E18" i="24" s="1"/>
  <c r="B18" i="24"/>
  <c r="BY17" i="24"/>
  <c r="CA17" i="24" s="1"/>
  <c r="AX17" i="24" s="1"/>
  <c r="BP17" i="24"/>
  <c r="BI17" i="24"/>
  <c r="BG17" i="24"/>
  <c r="BF17" i="24"/>
  <c r="BE17" i="24"/>
  <c r="BD17" i="24"/>
  <c r="BC17" i="24"/>
  <c r="AZ17" i="24"/>
  <c r="W17" i="24"/>
  <c r="G17" i="24"/>
  <c r="E17" i="24"/>
  <c r="D17" i="24"/>
  <c r="C17" i="24"/>
  <c r="B17" i="24"/>
  <c r="BN17" i="24" s="1"/>
  <c r="BY16" i="24"/>
  <c r="BO16" i="24"/>
  <c r="BN16" i="24"/>
  <c r="BI16" i="24"/>
  <c r="BG16" i="24"/>
  <c r="BE16" i="24"/>
  <c r="BD16" i="24"/>
  <c r="BC16" i="24"/>
  <c r="AZ16" i="24"/>
  <c r="W16" i="24"/>
  <c r="G16" i="24"/>
  <c r="D16" i="24"/>
  <c r="BP16" i="24" s="1"/>
  <c r="C16" i="24"/>
  <c r="E16" i="24" s="1"/>
  <c r="B16" i="24"/>
  <c r="BH16" i="24" s="1"/>
  <c r="BY15" i="24"/>
  <c r="BN15" i="24"/>
  <c r="BI15" i="24"/>
  <c r="BC15" i="24"/>
  <c r="AZ15" i="24"/>
  <c r="G15" i="24"/>
  <c r="D15" i="24"/>
  <c r="BP15" i="24" s="1"/>
  <c r="B15" i="24"/>
  <c r="BY14" i="24"/>
  <c r="BZ14" i="24" s="1"/>
  <c r="AW14" i="24" s="1"/>
  <c r="BP14" i="24"/>
  <c r="BH14" i="24"/>
  <c r="BG14" i="24"/>
  <c r="BF14" i="24"/>
  <c r="BD14" i="24"/>
  <c r="BC14" i="24"/>
  <c r="AZ14" i="24"/>
  <c r="W14" i="24"/>
  <c r="D14" i="24"/>
  <c r="C14" i="24"/>
  <c r="E14" i="24" s="1"/>
  <c r="B14" i="24"/>
  <c r="BY13" i="24"/>
  <c r="CA13" i="24" s="1"/>
  <c r="AX13" i="24" s="1"/>
  <c r="BO13" i="24"/>
  <c r="BN13" i="24"/>
  <c r="BI13" i="24"/>
  <c r="BG13" i="24"/>
  <c r="BF13" i="24"/>
  <c r="BE13" i="24"/>
  <c r="BD13" i="24"/>
  <c r="BC13" i="24"/>
  <c r="AZ13" i="24"/>
  <c r="W13" i="24"/>
  <c r="G13" i="24"/>
  <c r="D13" i="24"/>
  <c r="BP13" i="24" s="1"/>
  <c r="C13" i="24"/>
  <c r="E13" i="24" s="1"/>
  <c r="B13" i="24"/>
  <c r="BH13" i="24" s="1"/>
  <c r="BY12" i="24"/>
  <c r="AV12" i="24" s="1"/>
  <c r="BP12" i="24"/>
  <c r="BN12" i="24"/>
  <c r="BI12" i="24"/>
  <c r="BE12" i="24"/>
  <c r="BD12" i="24"/>
  <c r="BC12" i="24"/>
  <c r="AZ12" i="24"/>
  <c r="W12" i="24"/>
  <c r="G12" i="24"/>
  <c r="D12" i="24"/>
  <c r="B12" i="24"/>
  <c r="BY11" i="24"/>
  <c r="BZ11" i="24" s="1"/>
  <c r="AW11" i="24" s="1"/>
  <c r="BN11" i="24"/>
  <c r="BI11" i="24"/>
  <c r="BF11" i="24"/>
  <c r="AZ11" i="24"/>
  <c r="W11" i="24"/>
  <c r="G11" i="24"/>
  <c r="D11" i="24"/>
  <c r="BP11" i="24" s="1"/>
  <c r="B11" i="24"/>
  <c r="BE11" i="24" s="1"/>
  <c r="BY10" i="24"/>
  <c r="BZ10" i="24" s="1"/>
  <c r="AW10" i="24" s="1"/>
  <c r="BP10" i="24"/>
  <c r="BI10" i="24"/>
  <c r="BH10" i="24"/>
  <c r="BG10" i="24"/>
  <c r="BF10" i="24"/>
  <c r="BD10" i="24"/>
  <c r="BC10" i="24"/>
  <c r="AZ10" i="24"/>
  <c r="W10" i="24"/>
  <c r="D10" i="24"/>
  <c r="C10" i="24"/>
  <c r="E10" i="24" s="1"/>
  <c r="B10" i="24"/>
  <c r="BY9" i="24"/>
  <c r="CA9" i="24" s="1"/>
  <c r="AX9" i="24" s="1"/>
  <c r="BP9" i="24"/>
  <c r="BO9" i="24"/>
  <c r="BN9" i="24"/>
  <c r="BI9" i="24"/>
  <c r="BG9" i="24"/>
  <c r="BF9" i="24"/>
  <c r="BE9" i="24"/>
  <c r="BD9" i="24"/>
  <c r="BC9" i="24"/>
  <c r="AZ9" i="24"/>
  <c r="W9" i="24"/>
  <c r="G9" i="24"/>
  <c r="D9" i="24"/>
  <c r="C9" i="24"/>
  <c r="E9" i="24" s="1"/>
  <c r="B9" i="24"/>
  <c r="BH9" i="24" s="1"/>
  <c r="BY8" i="24"/>
  <c r="AV8" i="24" s="1"/>
  <c r="BP8" i="24"/>
  <c r="BN8" i="24"/>
  <c r="BI8" i="24"/>
  <c r="BE8" i="24"/>
  <c r="BD8" i="24"/>
  <c r="BC8" i="24"/>
  <c r="AZ8" i="24"/>
  <c r="W8" i="24"/>
  <c r="G8" i="24"/>
  <c r="D8" i="24"/>
  <c r="B8" i="24"/>
  <c r="BY7" i="24"/>
  <c r="BN7" i="24"/>
  <c r="BI7" i="24"/>
  <c r="BF7" i="24"/>
  <c r="AZ7" i="24"/>
  <c r="W7" i="24"/>
  <c r="G7" i="24"/>
  <c r="D7" i="24"/>
  <c r="BP7" i="24" s="1"/>
  <c r="B7" i="24"/>
  <c r="BE7" i="24" s="1"/>
  <c r="BY6" i="24"/>
  <c r="BZ6" i="24" s="1"/>
  <c r="AW6" i="24" s="1"/>
  <c r="BP6" i="24"/>
  <c r="BI6" i="24"/>
  <c r="BH6" i="24"/>
  <c r="BG6" i="24"/>
  <c r="BF6" i="24"/>
  <c r="BD6" i="24"/>
  <c r="BC6" i="24"/>
  <c r="AZ6" i="24"/>
  <c r="W6" i="24"/>
  <c r="D6" i="24"/>
  <c r="C6" i="24"/>
  <c r="E6" i="24" s="1"/>
  <c r="B6" i="24"/>
  <c r="BY5" i="24"/>
  <c r="AV5" i="24" s="1"/>
  <c r="BP5" i="24"/>
  <c r="BO5" i="24"/>
  <c r="BN5" i="24"/>
  <c r="BI5" i="24"/>
  <c r="BG5" i="24"/>
  <c r="BF5" i="24"/>
  <c r="BE5" i="24"/>
  <c r="BD5" i="24"/>
  <c r="BC5" i="24"/>
  <c r="AZ5" i="24"/>
  <c r="W5" i="24"/>
  <c r="G5" i="24"/>
  <c r="D5" i="24"/>
  <c r="C5" i="24"/>
  <c r="E5" i="24" s="1"/>
  <c r="B5" i="24"/>
  <c r="BH5" i="24" s="1"/>
  <c r="BY4" i="24"/>
  <c r="AV4" i="24" s="1"/>
  <c r="BN4" i="24"/>
  <c r="BI4" i="24"/>
  <c r="BE4" i="24"/>
  <c r="BD4" i="24"/>
  <c r="BC4" i="24"/>
  <c r="AZ4" i="24"/>
  <c r="W4" i="24"/>
  <c r="G4" i="24"/>
  <c r="D4" i="24"/>
  <c r="BP4" i="24" s="1"/>
  <c r="B4" i="24"/>
  <c r="AA33" i="23"/>
  <c r="AK33" i="23" s="1"/>
  <c r="R33" i="23"/>
  <c r="AA32" i="23"/>
  <c r="AK32" i="23" s="1"/>
  <c r="R32" i="23"/>
  <c r="AA31" i="23"/>
  <c r="R31" i="23"/>
  <c r="AK30" i="23"/>
  <c r="AA30" i="23"/>
  <c r="R30" i="23"/>
  <c r="AA29" i="23"/>
  <c r="AK29" i="23" s="1"/>
  <c r="R29" i="23"/>
  <c r="AK28" i="23"/>
  <c r="AA28" i="23"/>
  <c r="R28" i="23"/>
  <c r="AA27" i="23"/>
  <c r="AK27" i="23" s="1"/>
  <c r="R27" i="23"/>
  <c r="AA26" i="23"/>
  <c r="R26" i="23"/>
  <c r="AA25" i="23"/>
  <c r="AK25" i="23" s="1"/>
  <c r="R25" i="23"/>
  <c r="AK24" i="23"/>
  <c r="AA24" i="23"/>
  <c r="R24" i="23"/>
  <c r="AK23" i="23"/>
  <c r="AA23" i="23"/>
  <c r="R23" i="23"/>
  <c r="AK22" i="23"/>
  <c r="AA22" i="23"/>
  <c r="R22" i="23"/>
  <c r="AA21" i="23"/>
  <c r="AK21" i="23" s="1"/>
  <c r="R21" i="23"/>
  <c r="AA20" i="23"/>
  <c r="AK20" i="23" s="1"/>
  <c r="R20" i="23"/>
  <c r="AA19" i="23"/>
  <c r="AK19" i="23" s="1"/>
  <c r="R19" i="23"/>
  <c r="AK18" i="23"/>
  <c r="AA18" i="23"/>
  <c r="R18" i="23"/>
  <c r="AK17" i="23"/>
  <c r="AA17" i="23"/>
  <c r="R17" i="23"/>
  <c r="AA16" i="23"/>
  <c r="AK16" i="23" s="1"/>
  <c r="R16" i="23"/>
  <c r="AK15" i="23"/>
  <c r="AA15" i="23"/>
  <c r="R15" i="23"/>
  <c r="AK14" i="23"/>
  <c r="AA14" i="23"/>
  <c r="R14" i="23"/>
  <c r="AA13" i="23"/>
  <c r="AK13" i="23" s="1"/>
  <c r="R13" i="23"/>
  <c r="AK12" i="23"/>
  <c r="AA12" i="23"/>
  <c r="R12" i="23"/>
  <c r="C12" i="23"/>
  <c r="AK11" i="23"/>
  <c r="AA11" i="23"/>
  <c r="R11" i="23"/>
  <c r="AK10" i="23"/>
  <c r="AA10" i="23"/>
  <c r="R10" i="23"/>
  <c r="AA9" i="23"/>
  <c r="AK9" i="23" s="1"/>
  <c r="R9" i="23"/>
  <c r="AA8" i="23"/>
  <c r="AK8" i="23" s="1"/>
  <c r="R8" i="23"/>
  <c r="AA7" i="23"/>
  <c r="AK7" i="23" s="1"/>
  <c r="R7" i="23"/>
  <c r="AK6" i="23"/>
  <c r="AA6" i="23"/>
  <c r="R6" i="23"/>
  <c r="AA5" i="23"/>
  <c r="AK5" i="23" s="1"/>
  <c r="R5" i="23"/>
  <c r="AK4" i="23"/>
  <c r="AA4" i="23"/>
  <c r="R4" i="23"/>
  <c r="B114" i="6"/>
  <c r="G114" i="6" s="1"/>
  <c r="G113" i="6"/>
  <c r="B113" i="6"/>
  <c r="G112" i="6"/>
  <c r="B112" i="6"/>
  <c r="B111" i="6"/>
  <c r="G111" i="6" s="1"/>
  <c r="G110" i="6"/>
  <c r="B110" i="6"/>
  <c r="B109" i="6"/>
  <c r="G109" i="6" s="1"/>
  <c r="G108" i="6"/>
  <c r="B108" i="6"/>
  <c r="G107" i="6"/>
  <c r="B107" i="6"/>
  <c r="G106" i="6"/>
  <c r="B106" i="6"/>
  <c r="G105" i="6"/>
  <c r="B105" i="6"/>
  <c r="G104" i="6"/>
  <c r="B104" i="6"/>
  <c r="G103" i="6"/>
  <c r="B103" i="6"/>
  <c r="G102" i="6"/>
  <c r="B102" i="6"/>
  <c r="B101" i="6"/>
  <c r="G101" i="6" s="1"/>
  <c r="B100" i="6"/>
  <c r="G100" i="6" s="1"/>
  <c r="G99" i="6"/>
  <c r="B99" i="6"/>
  <c r="B98" i="6"/>
  <c r="G98" i="6" s="1"/>
  <c r="B97" i="6"/>
  <c r="G97" i="6" s="1"/>
  <c r="G96" i="6"/>
  <c r="B96" i="6"/>
  <c r="B95" i="6"/>
  <c r="G95" i="6" s="1"/>
  <c r="B94" i="6"/>
  <c r="G94" i="6" s="1"/>
  <c r="B93" i="6"/>
  <c r="G93" i="6" s="1"/>
  <c r="B92" i="6"/>
  <c r="G92" i="6" s="1"/>
  <c r="G91" i="6"/>
  <c r="B91" i="6"/>
  <c r="B90" i="6"/>
  <c r="G90" i="6" s="1"/>
  <c r="B89" i="6"/>
  <c r="G89" i="6" s="1"/>
  <c r="G88" i="6"/>
  <c r="B88" i="6"/>
  <c r="B87" i="6"/>
  <c r="G87" i="6" s="1"/>
  <c r="B86" i="6"/>
  <c r="G86" i="6" s="1"/>
  <c r="B85" i="6"/>
  <c r="G85" i="6" s="1"/>
  <c r="O81" i="6"/>
  <c r="D81" i="6"/>
  <c r="C81" i="6"/>
  <c r="B81" i="6"/>
  <c r="L81" i="6" s="1"/>
  <c r="H80" i="6"/>
  <c r="E80" i="6"/>
  <c r="D80" i="6"/>
  <c r="J80" i="6" s="1"/>
  <c r="C80" i="6"/>
  <c r="B80" i="6"/>
  <c r="O80" i="6" s="1"/>
  <c r="E79" i="6"/>
  <c r="D79" i="6"/>
  <c r="C79" i="6"/>
  <c r="B79" i="6"/>
  <c r="O79" i="6" s="1"/>
  <c r="J78" i="6"/>
  <c r="K78" i="6" s="1"/>
  <c r="H78" i="6"/>
  <c r="E78" i="6"/>
  <c r="G78" i="6" s="1"/>
  <c r="V78" i="6" s="1"/>
  <c r="D78" i="6"/>
  <c r="C78" i="6"/>
  <c r="B78" i="6"/>
  <c r="H77" i="6"/>
  <c r="J77" i="6" s="1"/>
  <c r="K77" i="6" s="1"/>
  <c r="E77" i="6"/>
  <c r="G77" i="6" s="1"/>
  <c r="V77" i="6" s="1"/>
  <c r="D77" i="6"/>
  <c r="C77" i="6"/>
  <c r="B77" i="6"/>
  <c r="L77" i="6" s="1"/>
  <c r="E76" i="6"/>
  <c r="G76" i="6" s="1"/>
  <c r="V76" i="6" s="1"/>
  <c r="D76" i="6"/>
  <c r="C76" i="6"/>
  <c r="B76" i="6"/>
  <c r="V75" i="6"/>
  <c r="H75" i="6"/>
  <c r="J75" i="6" s="1"/>
  <c r="D75" i="6"/>
  <c r="E75" i="6" s="1"/>
  <c r="G75" i="6" s="1"/>
  <c r="C75" i="6"/>
  <c r="B75" i="6"/>
  <c r="H74" i="6"/>
  <c r="D74" i="6"/>
  <c r="C74" i="6"/>
  <c r="B74" i="6"/>
  <c r="D73" i="6"/>
  <c r="C73" i="6"/>
  <c r="B73" i="6"/>
  <c r="L73" i="6" s="1"/>
  <c r="D72" i="6"/>
  <c r="C72" i="6"/>
  <c r="B72" i="6"/>
  <c r="L72" i="6" s="1"/>
  <c r="H71" i="6"/>
  <c r="J71" i="6" s="1"/>
  <c r="E71" i="6"/>
  <c r="D71" i="6"/>
  <c r="C71" i="6"/>
  <c r="B71" i="6"/>
  <c r="O71" i="6" s="1"/>
  <c r="L70" i="6"/>
  <c r="F70" i="6"/>
  <c r="D70" i="6"/>
  <c r="H70" i="6" s="1"/>
  <c r="J70" i="6" s="1"/>
  <c r="K70" i="6" s="1"/>
  <c r="C70" i="6"/>
  <c r="B70" i="6"/>
  <c r="F69" i="6"/>
  <c r="D69" i="6"/>
  <c r="C69" i="6"/>
  <c r="B69" i="6"/>
  <c r="E68" i="6"/>
  <c r="D68" i="6"/>
  <c r="C68" i="6"/>
  <c r="B68" i="6"/>
  <c r="H67" i="6"/>
  <c r="F67" i="6"/>
  <c r="D67" i="6"/>
  <c r="C67" i="6"/>
  <c r="B67" i="6"/>
  <c r="L67" i="6" s="1"/>
  <c r="H66" i="6"/>
  <c r="E66" i="6"/>
  <c r="G66" i="6" s="1"/>
  <c r="D66" i="6"/>
  <c r="C66" i="6"/>
  <c r="B66" i="6"/>
  <c r="L66" i="6" s="1"/>
  <c r="H65" i="6"/>
  <c r="J65" i="6" s="1"/>
  <c r="K65" i="6" s="1"/>
  <c r="D65" i="6"/>
  <c r="C65" i="6"/>
  <c r="B65" i="6"/>
  <c r="L65" i="6" s="1"/>
  <c r="V64" i="6"/>
  <c r="E64" i="6"/>
  <c r="G64" i="6" s="1"/>
  <c r="D64" i="6"/>
  <c r="C64" i="6"/>
  <c r="B64" i="6"/>
  <c r="O64" i="6" s="1"/>
  <c r="V63" i="6"/>
  <c r="J63" i="6"/>
  <c r="K63" i="6" s="1"/>
  <c r="H63" i="6"/>
  <c r="P63" i="6"/>
  <c r="E63" i="6"/>
  <c r="G63" i="6" s="1"/>
  <c r="D63" i="6"/>
  <c r="C63" i="6"/>
  <c r="B63" i="6"/>
  <c r="V62" i="6"/>
  <c r="H62" i="6"/>
  <c r="J62" i="6" s="1"/>
  <c r="E62" i="6"/>
  <c r="G62" i="6" s="1"/>
  <c r="D62" i="6"/>
  <c r="C62" i="6"/>
  <c r="B62" i="6"/>
  <c r="L62" i="6" s="1"/>
  <c r="D61" i="6"/>
  <c r="C61" i="6"/>
  <c r="B61" i="6"/>
  <c r="E60" i="6"/>
  <c r="G60" i="6" s="1"/>
  <c r="D60" i="6"/>
  <c r="C60" i="6"/>
  <c r="B60" i="6"/>
  <c r="J59" i="6"/>
  <c r="H59" i="6"/>
  <c r="D59" i="6"/>
  <c r="C59" i="6"/>
  <c r="B59" i="6"/>
  <c r="H58" i="6"/>
  <c r="D58" i="6"/>
  <c r="C58" i="6"/>
  <c r="B58" i="6"/>
  <c r="J57" i="6"/>
  <c r="E57" i="6"/>
  <c r="G57" i="6" s="1"/>
  <c r="D57" i="6"/>
  <c r="C57" i="6"/>
  <c r="B57" i="6"/>
  <c r="O57" i="6" s="1"/>
  <c r="D56" i="6"/>
  <c r="C56" i="6"/>
  <c r="B56" i="6"/>
  <c r="D55" i="6"/>
  <c r="C55" i="6"/>
  <c r="B55" i="6"/>
  <c r="L55" i="6" s="1"/>
  <c r="J54" i="6"/>
  <c r="H54" i="6"/>
  <c r="E54" i="6"/>
  <c r="G54" i="6" s="1"/>
  <c r="D54" i="6"/>
  <c r="C54" i="6"/>
  <c r="B54" i="6"/>
  <c r="E53" i="6"/>
  <c r="G53" i="6" s="1"/>
  <c r="D53" i="6"/>
  <c r="C53" i="6"/>
  <c r="B53" i="6"/>
  <c r="J52" i="6"/>
  <c r="K52" i="6" s="1"/>
  <c r="H52" i="6"/>
  <c r="E52" i="6"/>
  <c r="G52" i="6" s="1"/>
  <c r="V52" i="6" s="1"/>
  <c r="D52" i="6"/>
  <c r="C52" i="6"/>
  <c r="B52" i="6"/>
  <c r="BC48" i="6"/>
  <c r="BB48" i="6"/>
  <c r="BA48" i="6"/>
  <c r="AZ48" i="6"/>
  <c r="AY48" i="6"/>
  <c r="AX48" i="6"/>
  <c r="AW48" i="6"/>
  <c r="AT48" i="6"/>
  <c r="Q33" i="24" s="1"/>
  <c r="AS48" i="6"/>
  <c r="P33" i="24" s="1"/>
  <c r="AR48" i="6"/>
  <c r="O33" i="24" s="1"/>
  <c r="AQ48" i="6"/>
  <c r="K33" i="24" s="1"/>
  <c r="AP48" i="6"/>
  <c r="AF33" i="24" s="1"/>
  <c r="AE48" i="6"/>
  <c r="U48" i="6"/>
  <c r="S48" i="6"/>
  <c r="V33" i="24" s="1"/>
  <c r="H48" i="6"/>
  <c r="G48" i="6"/>
  <c r="I33" i="24" s="1"/>
  <c r="D48" i="6"/>
  <c r="BC47" i="6"/>
  <c r="BB47" i="6"/>
  <c r="BA47" i="6"/>
  <c r="AZ47" i="6"/>
  <c r="AY47" i="6"/>
  <c r="AX47" i="6"/>
  <c r="AW47" i="6"/>
  <c r="AT47" i="6"/>
  <c r="Q32" i="24" s="1"/>
  <c r="AR47" i="6"/>
  <c r="O32" i="24" s="1"/>
  <c r="AQ47" i="6"/>
  <c r="K32" i="24" s="1"/>
  <c r="AP47" i="6"/>
  <c r="AE47" i="6"/>
  <c r="W47" i="6"/>
  <c r="U47" i="6"/>
  <c r="S47" i="6"/>
  <c r="V32" i="24" s="1"/>
  <c r="H47" i="6"/>
  <c r="G47" i="6"/>
  <c r="I32" i="24" s="1"/>
  <c r="D47" i="6"/>
  <c r="BC46" i="6"/>
  <c r="BB46" i="6"/>
  <c r="BA46" i="6"/>
  <c r="AZ46" i="6"/>
  <c r="AY46" i="6"/>
  <c r="AX46" i="6"/>
  <c r="AW46" i="6"/>
  <c r="AQ46" i="6"/>
  <c r="AP46" i="6"/>
  <c r="AE46" i="6"/>
  <c r="U46" i="6"/>
  <c r="S46" i="6"/>
  <c r="H46" i="6"/>
  <c r="G46" i="6"/>
  <c r="D46" i="6"/>
  <c r="BC45" i="6"/>
  <c r="BB45" i="6"/>
  <c r="BA45" i="6"/>
  <c r="AZ45" i="6"/>
  <c r="AY45" i="6"/>
  <c r="AX45" i="6"/>
  <c r="AW45" i="6"/>
  <c r="AT45" i="6"/>
  <c r="Q30" i="24" s="1"/>
  <c r="AR45" i="6"/>
  <c r="O30" i="24" s="1"/>
  <c r="AQ45" i="6"/>
  <c r="AP45" i="6"/>
  <c r="AE45" i="6"/>
  <c r="U45" i="6"/>
  <c r="R30" i="24" s="1"/>
  <c r="S45" i="6"/>
  <c r="O78" i="6" s="1"/>
  <c r="H45" i="6"/>
  <c r="G45" i="6"/>
  <c r="I30" i="24" s="1"/>
  <c r="D45" i="6"/>
  <c r="W45" i="6" s="1"/>
  <c r="BC44" i="6"/>
  <c r="BB44" i="6"/>
  <c r="BA44" i="6"/>
  <c r="AZ44" i="6"/>
  <c r="AY44" i="6"/>
  <c r="AX44" i="6"/>
  <c r="AW44" i="6"/>
  <c r="AT44" i="6"/>
  <c r="Q29" i="24" s="1"/>
  <c r="AR44" i="6"/>
  <c r="O29" i="24" s="1"/>
  <c r="AQ44" i="6"/>
  <c r="K29" i="24" s="1"/>
  <c r="AP44" i="6"/>
  <c r="AF29" i="24" s="1"/>
  <c r="AE44" i="6"/>
  <c r="W44" i="6"/>
  <c r="X29" i="24" s="1"/>
  <c r="U44" i="6"/>
  <c r="S44" i="6"/>
  <c r="V29" i="24" s="1"/>
  <c r="H44" i="6"/>
  <c r="G44" i="6"/>
  <c r="I29" i="24" s="1"/>
  <c r="D44" i="6"/>
  <c r="F29" i="24" s="1"/>
  <c r="BC43" i="6"/>
  <c r="BB43" i="6"/>
  <c r="BA43" i="6"/>
  <c r="AZ43" i="6"/>
  <c r="AY43" i="6"/>
  <c r="AX43" i="6"/>
  <c r="AW43" i="6"/>
  <c r="AT43" i="6"/>
  <c r="Q28" i="24" s="1"/>
  <c r="AQ43" i="6"/>
  <c r="K28" i="24" s="1"/>
  <c r="AP43" i="6"/>
  <c r="AE43" i="6"/>
  <c r="U43" i="6"/>
  <c r="S43" i="6"/>
  <c r="V28" i="24" s="1"/>
  <c r="H43" i="6"/>
  <c r="G43" i="6"/>
  <c r="I28" i="24" s="1"/>
  <c r="D43" i="6"/>
  <c r="F28" i="24" s="1"/>
  <c r="BC42" i="6"/>
  <c r="BB42" i="6"/>
  <c r="BA42" i="6"/>
  <c r="AZ42" i="6"/>
  <c r="AY42" i="6"/>
  <c r="AX42" i="6"/>
  <c r="AW42" i="6"/>
  <c r="AS42" i="6"/>
  <c r="AR42" i="6"/>
  <c r="AQ42" i="6"/>
  <c r="AP42" i="6"/>
  <c r="U42" i="6"/>
  <c r="S42" i="6"/>
  <c r="O75" i="6" s="1"/>
  <c r="H42" i="6"/>
  <c r="J27" i="24" s="1"/>
  <c r="G42" i="6"/>
  <c r="D42" i="6"/>
  <c r="BC41" i="6"/>
  <c r="BB41" i="6"/>
  <c r="BA41" i="6"/>
  <c r="AZ41" i="6"/>
  <c r="AY41" i="6"/>
  <c r="AX41" i="6"/>
  <c r="AW41" i="6"/>
  <c r="AR41" i="6"/>
  <c r="O26" i="24" s="1"/>
  <c r="AQ41" i="6"/>
  <c r="AP41" i="6"/>
  <c r="W41" i="6"/>
  <c r="X26" i="24" s="1"/>
  <c r="U41" i="6"/>
  <c r="R26" i="24" s="1"/>
  <c r="S41" i="6"/>
  <c r="H41" i="6"/>
  <c r="G41" i="6"/>
  <c r="I26" i="24" s="1"/>
  <c r="D41" i="6"/>
  <c r="AT41" i="6" s="1"/>
  <c r="Q26" i="24" s="1"/>
  <c r="BC40" i="6"/>
  <c r="BB40" i="6"/>
  <c r="BA40" i="6"/>
  <c r="AZ40" i="6"/>
  <c r="AY40" i="6"/>
  <c r="AX40" i="6"/>
  <c r="AW40" i="6"/>
  <c r="AQ40" i="6"/>
  <c r="K25" i="24" s="1"/>
  <c r="AP40" i="6"/>
  <c r="AF25" i="24" s="1"/>
  <c r="AE40" i="6"/>
  <c r="U40" i="6"/>
  <c r="S40" i="6"/>
  <c r="V25" i="24" s="1"/>
  <c r="H40" i="6"/>
  <c r="G40" i="6"/>
  <c r="I25" i="24" s="1"/>
  <c r="D40" i="6"/>
  <c r="F25" i="24" s="1"/>
  <c r="BC39" i="6"/>
  <c r="BB39" i="6"/>
  <c r="BA39" i="6"/>
  <c r="AZ39" i="6"/>
  <c r="AY39" i="6"/>
  <c r="AX39" i="6"/>
  <c r="AW39" i="6"/>
  <c r="AT39" i="6"/>
  <c r="Q24" i="24" s="1"/>
  <c r="AR39" i="6"/>
  <c r="O24" i="24" s="1"/>
  <c r="AQ39" i="6"/>
  <c r="K24" i="24" s="1"/>
  <c r="AP39" i="6"/>
  <c r="AE39" i="6"/>
  <c r="U39" i="6"/>
  <c r="S39" i="6"/>
  <c r="V24" i="24" s="1"/>
  <c r="H39" i="6"/>
  <c r="G39" i="6"/>
  <c r="I24" i="24" s="1"/>
  <c r="D39" i="6"/>
  <c r="F24" i="24" s="1"/>
  <c r="BC38" i="6"/>
  <c r="BB38" i="6"/>
  <c r="BA38" i="6"/>
  <c r="AZ38" i="6"/>
  <c r="AY38" i="6"/>
  <c r="AX38" i="6"/>
  <c r="AW38" i="6"/>
  <c r="AT38" i="6"/>
  <c r="AR38" i="6"/>
  <c r="AQ38" i="6"/>
  <c r="K23" i="24" s="1"/>
  <c r="AP38" i="6"/>
  <c r="AE38" i="6"/>
  <c r="W38" i="6"/>
  <c r="U38" i="6"/>
  <c r="R23" i="24" s="1"/>
  <c r="S38" i="6"/>
  <c r="H38" i="6"/>
  <c r="J23" i="24" s="1"/>
  <c r="G38" i="6"/>
  <c r="D38" i="6"/>
  <c r="AS38" i="6" s="1"/>
  <c r="BC37" i="6"/>
  <c r="BB37" i="6"/>
  <c r="BA37" i="6"/>
  <c r="AZ37" i="6"/>
  <c r="AY37" i="6"/>
  <c r="AX37" i="6"/>
  <c r="AW37" i="6"/>
  <c r="AT37" i="6"/>
  <c r="Q22" i="24" s="1"/>
  <c r="AQ37" i="6"/>
  <c r="AP37" i="6"/>
  <c r="AE37" i="6"/>
  <c r="U37" i="6"/>
  <c r="R22" i="24" s="1"/>
  <c r="S37" i="6"/>
  <c r="O70" i="6" s="1"/>
  <c r="H37" i="6"/>
  <c r="G37" i="6"/>
  <c r="I22" i="24" s="1"/>
  <c r="D37" i="6"/>
  <c r="W37" i="6" s="1"/>
  <c r="X22" i="24" s="1"/>
  <c r="BC36" i="6"/>
  <c r="BB36" i="6"/>
  <c r="BA36" i="6"/>
  <c r="AZ36" i="6"/>
  <c r="AY36" i="6"/>
  <c r="AX36" i="6"/>
  <c r="AW36" i="6"/>
  <c r="AQ36" i="6"/>
  <c r="K21" i="24" s="1"/>
  <c r="AP36" i="6"/>
  <c r="AF21" i="24" s="1"/>
  <c r="AE36" i="6"/>
  <c r="W36" i="6"/>
  <c r="X21" i="24" s="1"/>
  <c r="U36" i="6"/>
  <c r="L69" i="6" s="1"/>
  <c r="S36" i="6"/>
  <c r="V21" i="24" s="1"/>
  <c r="H36" i="6"/>
  <c r="G36" i="6"/>
  <c r="I21" i="24" s="1"/>
  <c r="D36" i="6"/>
  <c r="F21" i="24" s="1"/>
  <c r="BC35" i="6"/>
  <c r="BB35" i="6"/>
  <c r="BA35" i="6"/>
  <c r="AZ35" i="6"/>
  <c r="AY35" i="6"/>
  <c r="AX35" i="6"/>
  <c r="AW35" i="6"/>
  <c r="AR35" i="6"/>
  <c r="O20" i="24" s="1"/>
  <c r="AQ35" i="6"/>
  <c r="K20" i="24" s="1"/>
  <c r="AP35" i="6"/>
  <c r="AE35" i="6"/>
  <c r="U35" i="6"/>
  <c r="L68" i="6" s="1"/>
  <c r="S35" i="6"/>
  <c r="V20" i="24" s="1"/>
  <c r="H35" i="6"/>
  <c r="G35" i="6"/>
  <c r="I20" i="24" s="1"/>
  <c r="D35" i="6"/>
  <c r="F20" i="24" s="1"/>
  <c r="BC34" i="6"/>
  <c r="BB34" i="6"/>
  <c r="BA34" i="6"/>
  <c r="AZ34" i="6"/>
  <c r="AY34" i="6"/>
  <c r="AX34" i="6"/>
  <c r="AW34" i="6"/>
  <c r="AT34" i="6"/>
  <c r="AQ34" i="6"/>
  <c r="K19" i="24" s="1"/>
  <c r="AP34" i="6"/>
  <c r="AE34" i="6"/>
  <c r="W34" i="6"/>
  <c r="U34" i="6"/>
  <c r="S34" i="6"/>
  <c r="H34" i="6"/>
  <c r="G34" i="6"/>
  <c r="D34" i="6"/>
  <c r="BC33" i="6"/>
  <c r="BB33" i="6"/>
  <c r="BA33" i="6"/>
  <c r="AZ33" i="6"/>
  <c r="AY33" i="6"/>
  <c r="AX33" i="6"/>
  <c r="AW33" i="6"/>
  <c r="AT33" i="6"/>
  <c r="Q18" i="24" s="1"/>
  <c r="AQ33" i="6"/>
  <c r="AP33" i="6"/>
  <c r="AE33" i="6"/>
  <c r="W33" i="6"/>
  <c r="X18" i="24" s="1"/>
  <c r="U33" i="6"/>
  <c r="R18" i="24" s="1"/>
  <c r="S33" i="6"/>
  <c r="H33" i="6"/>
  <c r="G33" i="6"/>
  <c r="I18" i="24" s="1"/>
  <c r="D33" i="6"/>
  <c r="AS33" i="6" s="1"/>
  <c r="P18" i="24" s="1"/>
  <c r="BC32" i="6"/>
  <c r="BB32" i="6"/>
  <c r="BA32" i="6"/>
  <c r="AZ32" i="6"/>
  <c r="AY32" i="6"/>
  <c r="AX32" i="6"/>
  <c r="AW32" i="6"/>
  <c r="AQ32" i="6"/>
  <c r="K17" i="24" s="1"/>
  <c r="AP32" i="6"/>
  <c r="AF17" i="24" s="1"/>
  <c r="AE32" i="6"/>
  <c r="U32" i="6"/>
  <c r="S32" i="6"/>
  <c r="V17" i="24" s="1"/>
  <c r="H32" i="6"/>
  <c r="G32" i="6"/>
  <c r="I17" i="24" s="1"/>
  <c r="D32" i="6"/>
  <c r="BC31" i="6"/>
  <c r="BB31" i="6"/>
  <c r="BA31" i="6"/>
  <c r="AZ31" i="6"/>
  <c r="AY31" i="6"/>
  <c r="AX31" i="6"/>
  <c r="AW31" i="6"/>
  <c r="AT31" i="6"/>
  <c r="Q16" i="24" s="1"/>
  <c r="AR31" i="6"/>
  <c r="O16" i="24" s="1"/>
  <c r="AQ31" i="6"/>
  <c r="K16" i="24" s="1"/>
  <c r="AP31" i="6"/>
  <c r="AE31" i="6"/>
  <c r="U31" i="6"/>
  <c r="S31" i="6"/>
  <c r="V16" i="24" s="1"/>
  <c r="H31" i="6"/>
  <c r="G31" i="6"/>
  <c r="I16" i="24" s="1"/>
  <c r="D31" i="6"/>
  <c r="F16" i="24" s="1"/>
  <c r="BC30" i="6"/>
  <c r="BB30" i="6"/>
  <c r="BA30" i="6"/>
  <c r="AZ30" i="6"/>
  <c r="AY30" i="6"/>
  <c r="AX30" i="6"/>
  <c r="AW30" i="6"/>
  <c r="AT30" i="6"/>
  <c r="AR30" i="6"/>
  <c r="O15" i="24" s="1"/>
  <c r="AQ30" i="6"/>
  <c r="AP30" i="6"/>
  <c r="AE30" i="6"/>
  <c r="W30" i="6"/>
  <c r="X15" i="24" s="1"/>
  <c r="U30" i="6"/>
  <c r="S30" i="6"/>
  <c r="H30" i="6"/>
  <c r="J15" i="24" s="1"/>
  <c r="G30" i="6"/>
  <c r="D30" i="6"/>
  <c r="AS30" i="6" s="1"/>
  <c r="P15" i="24" s="1"/>
  <c r="BC29" i="6"/>
  <c r="BB29" i="6"/>
  <c r="BA29" i="6"/>
  <c r="AZ29" i="6"/>
  <c r="AY29" i="6"/>
  <c r="AX29" i="6"/>
  <c r="AW29" i="6"/>
  <c r="AQ29" i="6"/>
  <c r="K14" i="24" s="1"/>
  <c r="AP29" i="6"/>
  <c r="AF14" i="24" s="1"/>
  <c r="AE29" i="6"/>
  <c r="U29" i="6"/>
  <c r="R14" i="24" s="1"/>
  <c r="S29" i="6"/>
  <c r="H29" i="6"/>
  <c r="G29" i="6"/>
  <c r="I14" i="24" s="1"/>
  <c r="D29" i="6"/>
  <c r="BC28" i="6"/>
  <c r="BB28" i="6"/>
  <c r="BA28" i="6"/>
  <c r="AZ28" i="6"/>
  <c r="AY28" i="6"/>
  <c r="AX28" i="6"/>
  <c r="AW28" i="6"/>
  <c r="AS28" i="6"/>
  <c r="P13" i="24" s="1"/>
  <c r="AQ28" i="6"/>
  <c r="K13" i="24" s="1"/>
  <c r="AP28" i="6"/>
  <c r="AF13" i="24" s="1"/>
  <c r="AE28" i="6"/>
  <c r="W28" i="6"/>
  <c r="X13" i="24" s="1"/>
  <c r="U28" i="6"/>
  <c r="S28" i="6"/>
  <c r="V13" i="24" s="1"/>
  <c r="H28" i="6"/>
  <c r="G28" i="6"/>
  <c r="I13" i="24" s="1"/>
  <c r="D28" i="6"/>
  <c r="BC27" i="6"/>
  <c r="BB27" i="6"/>
  <c r="BA27" i="6"/>
  <c r="AZ27" i="6"/>
  <c r="AY27" i="6"/>
  <c r="AX27" i="6"/>
  <c r="AW27" i="6"/>
  <c r="AS27" i="6"/>
  <c r="AR27" i="6"/>
  <c r="AQ27" i="6"/>
  <c r="AP27" i="6"/>
  <c r="AE27" i="6"/>
  <c r="U27" i="6"/>
  <c r="S27" i="6"/>
  <c r="V12" i="24" s="1"/>
  <c r="H27" i="6"/>
  <c r="J12" i="24" s="1"/>
  <c r="G27" i="6"/>
  <c r="I12" i="24" s="1"/>
  <c r="D27" i="6"/>
  <c r="BC26" i="6"/>
  <c r="BB26" i="6"/>
  <c r="BA26" i="6"/>
  <c r="AZ26" i="6"/>
  <c r="AY26" i="6"/>
  <c r="AX26" i="6"/>
  <c r="AW26" i="6"/>
  <c r="AT26" i="6"/>
  <c r="AQ26" i="6"/>
  <c r="AP26" i="6"/>
  <c r="AF11" i="24" s="1"/>
  <c r="AE26" i="6"/>
  <c r="W26" i="6"/>
  <c r="X11" i="24" s="1"/>
  <c r="U26" i="6"/>
  <c r="S26" i="6"/>
  <c r="H26" i="6"/>
  <c r="J11" i="24" s="1"/>
  <c r="G26" i="6"/>
  <c r="D26" i="6"/>
  <c r="BC25" i="6"/>
  <c r="BB25" i="6"/>
  <c r="BA25" i="6"/>
  <c r="AZ25" i="6"/>
  <c r="AY25" i="6"/>
  <c r="AX25" i="6"/>
  <c r="AW25" i="6"/>
  <c r="AT25" i="6"/>
  <c r="Q10" i="24" s="1"/>
  <c r="AQ25" i="6"/>
  <c r="K10" i="24" s="1"/>
  <c r="AP25" i="6"/>
  <c r="AF10" i="24" s="1"/>
  <c r="AE25" i="6"/>
  <c r="W25" i="6"/>
  <c r="X10" i="24" s="1"/>
  <c r="U25" i="6"/>
  <c r="R10" i="24" s="1"/>
  <c r="S25" i="6"/>
  <c r="V10" i="24" s="1"/>
  <c r="H25" i="6"/>
  <c r="G25" i="6"/>
  <c r="I10" i="24" s="1"/>
  <c r="D25" i="6"/>
  <c r="F10" i="24" s="1"/>
  <c r="BC24" i="6"/>
  <c r="BB24" i="6"/>
  <c r="BA24" i="6"/>
  <c r="AZ24" i="6"/>
  <c r="AY24" i="6"/>
  <c r="AX24" i="6"/>
  <c r="AW24" i="6"/>
  <c r="AQ24" i="6"/>
  <c r="K9" i="24" s="1"/>
  <c r="AP24" i="6"/>
  <c r="AF9" i="24" s="1"/>
  <c r="AE24" i="6"/>
  <c r="U24" i="6"/>
  <c r="S24" i="6"/>
  <c r="V9" i="24" s="1"/>
  <c r="H24" i="6"/>
  <c r="G24" i="6"/>
  <c r="I9" i="24" s="1"/>
  <c r="D24" i="6"/>
  <c r="AR24" i="6" s="1"/>
  <c r="O9" i="24" s="1"/>
  <c r="BC23" i="6"/>
  <c r="BB23" i="6"/>
  <c r="BA23" i="6"/>
  <c r="AZ23" i="6"/>
  <c r="AY23" i="6"/>
  <c r="AX23" i="6"/>
  <c r="AW23" i="6"/>
  <c r="AT23" i="6"/>
  <c r="Q8" i="24" s="1"/>
  <c r="AR23" i="6"/>
  <c r="AQ23" i="6"/>
  <c r="AP23" i="6"/>
  <c r="AE23" i="6"/>
  <c r="U23" i="6"/>
  <c r="R8" i="24" s="1"/>
  <c r="S23" i="6"/>
  <c r="V8" i="24" s="1"/>
  <c r="H23" i="6"/>
  <c r="J8" i="24" s="1"/>
  <c r="G23" i="6"/>
  <c r="I8" i="24" s="1"/>
  <c r="D23" i="6"/>
  <c r="W23" i="6" s="1"/>
  <c r="BC22" i="6"/>
  <c r="BB22" i="6"/>
  <c r="BA22" i="6"/>
  <c r="AZ22" i="6"/>
  <c r="AY22" i="6"/>
  <c r="AX22" i="6"/>
  <c r="AW22" i="6"/>
  <c r="AT22" i="6"/>
  <c r="AR22" i="6"/>
  <c r="O7" i="24" s="1"/>
  <c r="AQ22" i="6"/>
  <c r="AP22" i="6"/>
  <c r="AF7" i="24" s="1"/>
  <c r="AE22" i="6"/>
  <c r="W22" i="6"/>
  <c r="X7" i="24" s="1"/>
  <c r="U22" i="6"/>
  <c r="S22" i="6"/>
  <c r="O55" i="6" s="1"/>
  <c r="H22" i="6"/>
  <c r="J7" i="24" s="1"/>
  <c r="G22" i="6"/>
  <c r="D22" i="6"/>
  <c r="AS22" i="6" s="1"/>
  <c r="P7" i="24" s="1"/>
  <c r="BC21" i="6"/>
  <c r="BB21" i="6"/>
  <c r="BA21" i="6"/>
  <c r="AZ21" i="6"/>
  <c r="AY21" i="6"/>
  <c r="AX21" i="6"/>
  <c r="AW21" i="6"/>
  <c r="AQ21" i="6"/>
  <c r="K6" i="24" s="1"/>
  <c r="AP21" i="6"/>
  <c r="AF6" i="24" s="1"/>
  <c r="AE21" i="6"/>
  <c r="U21" i="6"/>
  <c r="R6" i="24" s="1"/>
  <c r="S21" i="6"/>
  <c r="H21" i="6"/>
  <c r="G21" i="6"/>
  <c r="I6" i="24" s="1"/>
  <c r="D21" i="6"/>
  <c r="BC20" i="6"/>
  <c r="BB20" i="6"/>
  <c r="BA20" i="6"/>
  <c r="AZ20" i="6"/>
  <c r="AY20" i="6"/>
  <c r="AX20" i="6"/>
  <c r="AW20" i="6"/>
  <c r="AR20" i="6"/>
  <c r="O5" i="24" s="1"/>
  <c r="AQ20" i="6"/>
  <c r="K5" i="24" s="1"/>
  <c r="AP20" i="6"/>
  <c r="AF5" i="24" s="1"/>
  <c r="AE20" i="6"/>
  <c r="U20" i="6"/>
  <c r="S20" i="6"/>
  <c r="H20" i="6"/>
  <c r="G20" i="6"/>
  <c r="I5" i="24" s="1"/>
  <c r="D20" i="6"/>
  <c r="BC19" i="6"/>
  <c r="BB19" i="6"/>
  <c r="BA19" i="6"/>
  <c r="AZ19" i="6"/>
  <c r="AY19" i="6"/>
  <c r="AX19" i="6"/>
  <c r="AW19" i="6"/>
  <c r="AQ19" i="6"/>
  <c r="AP19" i="6"/>
  <c r="AE19" i="6"/>
  <c r="U19" i="6"/>
  <c r="S19" i="6"/>
  <c r="H19" i="6"/>
  <c r="J4" i="24" s="1"/>
  <c r="G19" i="6"/>
  <c r="I4" i="24" s="1"/>
  <c r="D19" i="6"/>
  <c r="J11" i="6"/>
  <c r="F11" i="6"/>
  <c r="G9" i="6"/>
  <c r="I9" i="6" s="1"/>
  <c r="J9" i="6" s="1"/>
  <c r="F9" i="6"/>
  <c r="E9" i="6"/>
  <c r="J8" i="6"/>
  <c r="H8" i="6"/>
  <c r="G8" i="6"/>
  <c r="E8" i="6"/>
  <c r="D8" i="6"/>
  <c r="G7" i="6"/>
  <c r="F7" i="6"/>
  <c r="D7" i="6"/>
  <c r="J6" i="6"/>
  <c r="J7" i="6" s="1"/>
  <c r="I6" i="6"/>
  <c r="I8" i="6" s="1"/>
  <c r="H6" i="6"/>
  <c r="H7" i="6" s="1"/>
  <c r="G6" i="6"/>
  <c r="F6" i="6"/>
  <c r="F8" i="6" s="1"/>
  <c r="E6" i="6"/>
  <c r="E7" i="6" s="1"/>
  <c r="D6" i="6"/>
  <c r="M5" i="6"/>
  <c r="H94" i="43"/>
  <c r="H93" i="43"/>
  <c r="H92" i="43"/>
  <c r="H91" i="43"/>
  <c r="H90" i="43"/>
  <c r="H89" i="43"/>
  <c r="H88" i="43"/>
  <c r="H87" i="43"/>
  <c r="H86" i="43"/>
  <c r="H85" i="43"/>
  <c r="H84" i="43"/>
  <c r="H83" i="43"/>
  <c r="H82" i="43"/>
  <c r="H81" i="43"/>
  <c r="H80" i="43"/>
  <c r="H79" i="43"/>
  <c r="H78" i="43"/>
  <c r="H77" i="43"/>
  <c r="H76" i="43"/>
  <c r="H75" i="43"/>
  <c r="H74" i="43"/>
  <c r="H73" i="43"/>
  <c r="H72" i="43"/>
  <c r="H71" i="43"/>
  <c r="H70" i="43"/>
  <c r="H69" i="43"/>
  <c r="L4" i="43" s="1"/>
  <c r="H68" i="43"/>
  <c r="H67" i="43"/>
  <c r="H66" i="43"/>
  <c r="H65" i="43"/>
  <c r="H64" i="43"/>
  <c r="H63" i="43"/>
  <c r="H62" i="43"/>
  <c r="H61" i="43"/>
  <c r="H60" i="43"/>
  <c r="H59" i="43"/>
  <c r="H58" i="43"/>
  <c r="H57" i="43"/>
  <c r="H56" i="43"/>
  <c r="H55" i="43"/>
  <c r="H54" i="43"/>
  <c r="H53" i="43"/>
  <c r="H52" i="43"/>
  <c r="H51" i="43"/>
  <c r="H50" i="43"/>
  <c r="H49" i="43"/>
  <c r="H48" i="43"/>
  <c r="H47" i="43"/>
  <c r="H46" i="43"/>
  <c r="H45" i="43"/>
  <c r="H44" i="43"/>
  <c r="H43" i="43"/>
  <c r="H42" i="43"/>
  <c r="H41" i="43"/>
  <c r="H40" i="43"/>
  <c r="H39" i="43"/>
  <c r="H38" i="43"/>
  <c r="H37" i="43"/>
  <c r="H36" i="43"/>
  <c r="H35" i="43"/>
  <c r="H34" i="43"/>
  <c r="H33" i="43"/>
  <c r="H32" i="43"/>
  <c r="H31" i="43"/>
  <c r="H30" i="43"/>
  <c r="H29" i="43"/>
  <c r="H28" i="43"/>
  <c r="M27" i="43"/>
  <c r="L27" i="43"/>
  <c r="H27" i="43"/>
  <c r="H26" i="43"/>
  <c r="H25" i="43"/>
  <c r="H24" i="43"/>
  <c r="H23" i="43"/>
  <c r="H22" i="43"/>
  <c r="H21" i="43"/>
  <c r="H20" i="43"/>
  <c r="H19" i="43"/>
  <c r="H18" i="43"/>
  <c r="M17" i="43"/>
  <c r="L17" i="43"/>
  <c r="H17" i="43"/>
  <c r="H16" i="43"/>
  <c r="H15" i="43"/>
  <c r="H14" i="43"/>
  <c r="H13" i="43"/>
  <c r="H12" i="43"/>
  <c r="H11" i="43"/>
  <c r="H10" i="43"/>
  <c r="H9" i="43"/>
  <c r="H8" i="43"/>
  <c r="M7" i="43"/>
  <c r="L7" i="43"/>
  <c r="H7" i="43"/>
  <c r="H6" i="43"/>
  <c r="H5" i="43"/>
  <c r="K4" i="43"/>
  <c r="H4" i="43"/>
  <c r="K3" i="43"/>
  <c r="H3" i="43"/>
  <c r="L2" i="43" s="1"/>
  <c r="K2" i="43"/>
  <c r="H2" i="43"/>
  <c r="G39" i="5"/>
  <c r="F39" i="5"/>
  <c r="J39" i="5" s="1"/>
  <c r="L39" i="5" s="1"/>
  <c r="E39" i="5"/>
  <c r="H39" i="5" s="1"/>
  <c r="D39" i="5"/>
  <c r="C39" i="5"/>
  <c r="G38" i="5"/>
  <c r="F38" i="5"/>
  <c r="I38" i="5" s="1"/>
  <c r="K38" i="5" s="1"/>
  <c r="E38" i="5"/>
  <c r="D38" i="5"/>
  <c r="C38" i="5"/>
  <c r="G37" i="5"/>
  <c r="H37" i="5" s="1"/>
  <c r="F37" i="5"/>
  <c r="J37" i="5" s="1"/>
  <c r="L37" i="5" s="1"/>
  <c r="E37" i="5"/>
  <c r="D37" i="5"/>
  <c r="C37" i="5"/>
  <c r="AA33" i="5"/>
  <c r="U33" i="5"/>
  <c r="AB33" i="5" s="1"/>
  <c r="T33" i="5"/>
  <c r="S33" i="5"/>
  <c r="Z33" i="5" s="1"/>
  <c r="R33" i="5"/>
  <c r="Y33" i="5" s="1"/>
  <c r="I33" i="5"/>
  <c r="W33" i="5" s="1"/>
  <c r="AD33" i="5" s="1"/>
  <c r="F33" i="5"/>
  <c r="U32" i="5"/>
  <c r="AB32" i="5" s="1"/>
  <c r="T32" i="5"/>
  <c r="AA32" i="5" s="1"/>
  <c r="R32" i="5"/>
  <c r="Y32" i="5" s="1"/>
  <c r="I32" i="5"/>
  <c r="F32" i="5"/>
  <c r="I47" i="6" s="1"/>
  <c r="Z31" i="5"/>
  <c r="T31" i="5"/>
  <c r="AA31" i="5" s="1"/>
  <c r="S31" i="5"/>
  <c r="R31" i="5"/>
  <c r="Y31" i="5" s="1"/>
  <c r="I31" i="5"/>
  <c r="F31" i="5"/>
  <c r="I46" i="6" s="1"/>
  <c r="CR30" i="5"/>
  <c r="CE30" i="5"/>
  <c r="CC30" i="5"/>
  <c r="CB30" i="5"/>
  <c r="AB30" i="5"/>
  <c r="S30" i="5"/>
  <c r="Z30" i="5" s="1"/>
  <c r="I30" i="5"/>
  <c r="U30" i="5" s="1"/>
  <c r="F30" i="5"/>
  <c r="CR29" i="5"/>
  <c r="CB29" i="5"/>
  <c r="BB29" i="5"/>
  <c r="I29" i="5"/>
  <c r="F29" i="5"/>
  <c r="I44" i="6" s="1"/>
  <c r="CR28" i="5"/>
  <c r="CF28" i="5"/>
  <c r="CE28" i="5"/>
  <c r="CD28" i="5"/>
  <c r="CC28" i="5"/>
  <c r="CB28" i="5"/>
  <c r="R28" i="5"/>
  <c r="Y28" i="5" s="1"/>
  <c r="I28" i="5"/>
  <c r="T28" i="5" s="1"/>
  <c r="AA28" i="5" s="1"/>
  <c r="F28" i="5"/>
  <c r="I43" i="6" s="1"/>
  <c r="I27" i="5"/>
  <c r="S27" i="5" s="1"/>
  <c r="Z27" i="5" s="1"/>
  <c r="F27" i="5"/>
  <c r="I42" i="6" s="1"/>
  <c r="X26" i="5"/>
  <c r="AE26" i="5" s="1"/>
  <c r="I26" i="5"/>
  <c r="F26" i="5"/>
  <c r="I41" i="6" s="1"/>
  <c r="I25" i="5"/>
  <c r="F25" i="5"/>
  <c r="AK6" i="5" s="1"/>
  <c r="CN24" i="5"/>
  <c r="CL24" i="5"/>
  <c r="CI24" i="5"/>
  <c r="CK24" i="5" s="1"/>
  <c r="CD24" i="5"/>
  <c r="CC24" i="5"/>
  <c r="CB24" i="5"/>
  <c r="CA24" i="5"/>
  <c r="I24" i="5"/>
  <c r="S24" i="5" s="1"/>
  <c r="Z24" i="5" s="1"/>
  <c r="F24" i="5"/>
  <c r="I39" i="6" s="1"/>
  <c r="CL23" i="5"/>
  <c r="CN23" i="5" s="1"/>
  <c r="CK23" i="5"/>
  <c r="AM34" i="6" s="1"/>
  <c r="CI23" i="5"/>
  <c r="CF23" i="5"/>
  <c r="CE23" i="5"/>
  <c r="CD23" i="5"/>
  <c r="CC23" i="5"/>
  <c r="CB23" i="5"/>
  <c r="CA23" i="5"/>
  <c r="AB23" i="5"/>
  <c r="Y23" i="5"/>
  <c r="V23" i="5"/>
  <c r="AC23" i="5" s="1"/>
  <c r="U23" i="5"/>
  <c r="T23" i="5"/>
  <c r="AA23" i="5" s="1"/>
  <c r="S23" i="5"/>
  <c r="Z23" i="5" s="1"/>
  <c r="R23" i="5"/>
  <c r="I23" i="5"/>
  <c r="X23" i="5" s="1"/>
  <c r="AE23" i="5" s="1"/>
  <c r="F23" i="5"/>
  <c r="I38" i="6" s="1"/>
  <c r="CL22" i="5"/>
  <c r="CN22" i="5" s="1"/>
  <c r="CK22" i="5"/>
  <c r="AM23" i="6" s="1"/>
  <c r="M8" i="24" s="1"/>
  <c r="CI22" i="5"/>
  <c r="CC22" i="5"/>
  <c r="CB22" i="5"/>
  <c r="CA22" i="5"/>
  <c r="AI25" i="6" s="1"/>
  <c r="Y22" i="5"/>
  <c r="S22" i="5"/>
  <c r="Z22" i="5" s="1"/>
  <c r="R22" i="5"/>
  <c r="I22" i="5"/>
  <c r="U22" i="5" s="1"/>
  <c r="AB22" i="5" s="1"/>
  <c r="F22" i="5"/>
  <c r="I37" i="6" s="1"/>
  <c r="AA21" i="5"/>
  <c r="U21" i="5"/>
  <c r="AB21" i="5" s="1"/>
  <c r="T21" i="5"/>
  <c r="S21" i="5"/>
  <c r="Z21" i="5" s="1"/>
  <c r="R21" i="5"/>
  <c r="Y21" i="5" s="1"/>
  <c r="I21" i="5"/>
  <c r="W21" i="5" s="1"/>
  <c r="AD21" i="5" s="1"/>
  <c r="F21" i="5"/>
  <c r="I36" i="6" s="1"/>
  <c r="AB20" i="5"/>
  <c r="Y20" i="5"/>
  <c r="V20" i="5"/>
  <c r="AC20" i="5" s="1"/>
  <c r="U20" i="5"/>
  <c r="T20" i="5"/>
  <c r="AA20" i="5" s="1"/>
  <c r="S20" i="5"/>
  <c r="Z20" i="5" s="1"/>
  <c r="R20" i="5"/>
  <c r="I20" i="5"/>
  <c r="X20" i="5" s="1"/>
  <c r="AE20" i="5" s="1"/>
  <c r="F20" i="5"/>
  <c r="I35" i="6" s="1"/>
  <c r="I19" i="5"/>
  <c r="F19" i="5"/>
  <c r="CF18" i="5"/>
  <c r="CF24" i="5" s="1"/>
  <c r="CD18" i="5"/>
  <c r="CE24" i="5" s="1"/>
  <c r="CC18" i="5"/>
  <c r="AJ18" i="5"/>
  <c r="W18" i="5"/>
  <c r="AD18" i="5" s="1"/>
  <c r="I18" i="5"/>
  <c r="X18" i="5" s="1"/>
  <c r="AE18" i="5" s="1"/>
  <c r="F18" i="5"/>
  <c r="CF17" i="5"/>
  <c r="CD17" i="5"/>
  <c r="CC17" i="5"/>
  <c r="AJ17" i="5"/>
  <c r="W17" i="5"/>
  <c r="AD17" i="5" s="1"/>
  <c r="I17" i="5"/>
  <c r="X17" i="5" s="1"/>
  <c r="AE17" i="5" s="1"/>
  <c r="F17" i="5"/>
  <c r="CF16" i="5"/>
  <c r="CF22" i="5" s="1"/>
  <c r="CD16" i="5"/>
  <c r="CE22" i="5" s="1"/>
  <c r="CC16" i="5"/>
  <c r="CD22" i="5" s="1"/>
  <c r="AJ16" i="5"/>
  <c r="I16" i="5"/>
  <c r="F16" i="5"/>
  <c r="I15" i="5"/>
  <c r="X15" i="5" s="1"/>
  <c r="AE15" i="5" s="1"/>
  <c r="F15" i="5"/>
  <c r="I30" i="6" s="1"/>
  <c r="I14" i="5"/>
  <c r="S14" i="5" s="1"/>
  <c r="Z14" i="5" s="1"/>
  <c r="F14" i="5"/>
  <c r="I29" i="6" s="1"/>
  <c r="Y13" i="5"/>
  <c r="S13" i="5"/>
  <c r="Z13" i="5" s="1"/>
  <c r="R13" i="5"/>
  <c r="I13" i="5"/>
  <c r="U13" i="5" s="1"/>
  <c r="AB13" i="5" s="1"/>
  <c r="F13" i="5"/>
  <c r="I28" i="6" s="1"/>
  <c r="CD12" i="5"/>
  <c r="AK12" i="5"/>
  <c r="AJ12" i="5"/>
  <c r="AI12" i="5"/>
  <c r="CA30" i="5" s="1"/>
  <c r="Y12" i="5"/>
  <c r="S12" i="5"/>
  <c r="Z12" i="5" s="1"/>
  <c r="R12" i="5"/>
  <c r="I12" i="5"/>
  <c r="U12" i="5" s="1"/>
  <c r="AB12" i="5" s="1"/>
  <c r="F12" i="5"/>
  <c r="I27" i="6" s="1"/>
  <c r="CD11" i="5"/>
  <c r="AK11" i="5"/>
  <c r="AJ11" i="5"/>
  <c r="AI11" i="5"/>
  <c r="CA29" i="5" s="1"/>
  <c r="Y11" i="5"/>
  <c r="S11" i="5"/>
  <c r="Z11" i="5" s="1"/>
  <c r="R11" i="5"/>
  <c r="I11" i="5"/>
  <c r="U11" i="5" s="1"/>
  <c r="AB11" i="5" s="1"/>
  <c r="F11" i="5"/>
  <c r="I26" i="6" s="1"/>
  <c r="CD10" i="5"/>
  <c r="BE10" i="5"/>
  <c r="BA40" i="5" s="1"/>
  <c r="BC10" i="5"/>
  <c r="BB10" i="5"/>
  <c r="AX10" i="5"/>
  <c r="AV10" i="5"/>
  <c r="AU10" i="5"/>
  <c r="AT10" i="5"/>
  <c r="AK10" i="5"/>
  <c r="AJ10" i="5"/>
  <c r="AU21" i="6" s="1"/>
  <c r="AG6" i="24" s="1"/>
  <c r="AI10" i="5"/>
  <c r="CR4" i="5" s="1"/>
  <c r="AE10" i="5"/>
  <c r="AD10" i="5"/>
  <c r="AC10" i="5"/>
  <c r="Y10" i="5"/>
  <c r="I10" i="5"/>
  <c r="F10" i="5"/>
  <c r="BE9" i="5"/>
  <c r="BA39" i="5" s="1"/>
  <c r="BD9" i="5"/>
  <c r="BA29" i="5" s="1"/>
  <c r="BC9" i="5"/>
  <c r="BB9" i="5"/>
  <c r="AX9" i="5"/>
  <c r="AU9" i="5"/>
  <c r="AV9" i="5" s="1"/>
  <c r="AT9" i="5"/>
  <c r="I9" i="5"/>
  <c r="F9" i="5"/>
  <c r="AK4" i="5" s="1"/>
  <c r="BC8" i="5"/>
  <c r="BE8" i="5" s="1"/>
  <c r="BA38" i="5" s="1"/>
  <c r="BB8" i="5"/>
  <c r="AX8" i="5"/>
  <c r="AV8" i="5"/>
  <c r="AU8" i="5"/>
  <c r="AT8" i="5"/>
  <c r="Y8" i="5"/>
  <c r="S8" i="5"/>
  <c r="Z8" i="5" s="1"/>
  <c r="R8" i="5"/>
  <c r="I8" i="5"/>
  <c r="U8" i="5" s="1"/>
  <c r="AB8" i="5" s="1"/>
  <c r="F8" i="5"/>
  <c r="I23" i="6" s="1"/>
  <c r="BB7" i="5"/>
  <c r="BC7" i="5" s="1"/>
  <c r="AX7" i="5"/>
  <c r="AV7" i="5"/>
  <c r="AU7" i="5"/>
  <c r="AT7" i="5"/>
  <c r="AA7" i="5"/>
  <c r="U7" i="5"/>
  <c r="AB7" i="5" s="1"/>
  <c r="T7" i="5"/>
  <c r="S7" i="5"/>
  <c r="Z7" i="5" s="1"/>
  <c r="R7" i="5"/>
  <c r="Y7" i="5" s="1"/>
  <c r="I7" i="5"/>
  <c r="W7" i="5" s="1"/>
  <c r="AD7" i="5" s="1"/>
  <c r="F7" i="5"/>
  <c r="I22" i="6" s="1"/>
  <c r="DH6" i="5"/>
  <c r="DG6" i="5"/>
  <c r="CB6" i="5"/>
  <c r="BE6" i="5"/>
  <c r="BA36" i="5" s="1"/>
  <c r="BB6" i="5"/>
  <c r="BC6" i="5" s="1"/>
  <c r="AX6" i="5"/>
  <c r="AU6" i="5"/>
  <c r="AV6" i="5" s="1"/>
  <c r="AT6" i="5"/>
  <c r="AJ6" i="5"/>
  <c r="AI6" i="5"/>
  <c r="AA6" i="5"/>
  <c r="U6" i="5"/>
  <c r="AB6" i="5" s="1"/>
  <c r="T6" i="5"/>
  <c r="S6" i="5"/>
  <c r="Z6" i="5" s="1"/>
  <c r="R6" i="5"/>
  <c r="Y6" i="5" s="1"/>
  <c r="I6" i="5"/>
  <c r="W6" i="5" s="1"/>
  <c r="AD6" i="5" s="1"/>
  <c r="F6" i="5"/>
  <c r="I21" i="6" s="1"/>
  <c r="DH5" i="5"/>
  <c r="DG5" i="5"/>
  <c r="CB5" i="5"/>
  <c r="BB5" i="5"/>
  <c r="BC5" i="5" s="1"/>
  <c r="AX5" i="5"/>
  <c r="AU5" i="5"/>
  <c r="AV5" i="5" s="1"/>
  <c r="AT5" i="5"/>
  <c r="AK5" i="5"/>
  <c r="AJ5" i="5"/>
  <c r="AI5" i="5"/>
  <c r="AB5" i="5"/>
  <c r="U5" i="5"/>
  <c r="T5" i="5"/>
  <c r="AA5" i="5" s="1"/>
  <c r="S5" i="5"/>
  <c r="Z5" i="5" s="1"/>
  <c r="R5" i="5"/>
  <c r="Y5" i="5" s="1"/>
  <c r="I5" i="5"/>
  <c r="W5" i="5" s="1"/>
  <c r="AD5" i="5" s="1"/>
  <c r="F5" i="5"/>
  <c r="I20" i="6" s="1"/>
  <c r="DH4" i="5"/>
  <c r="DG4" i="5"/>
  <c r="CB4" i="5"/>
  <c r="BE4" i="5"/>
  <c r="BA34" i="5" s="1"/>
  <c r="BB4" i="5"/>
  <c r="BC4" i="5" s="1"/>
  <c r="BD4" i="5" s="1"/>
  <c r="BA24" i="5" s="1"/>
  <c r="AX4" i="5"/>
  <c r="AU4" i="5"/>
  <c r="AV4" i="5" s="1"/>
  <c r="AT4" i="5"/>
  <c r="AJ4" i="5"/>
  <c r="AI4" i="5"/>
  <c r="AA4" i="5"/>
  <c r="T4" i="5"/>
  <c r="R4" i="5"/>
  <c r="Y4" i="5" s="1"/>
  <c r="I4" i="5"/>
  <c r="F4" i="5"/>
  <c r="I19" i="6" s="1"/>
  <c r="G36" i="26"/>
  <c r="G35" i="26"/>
  <c r="C35" i="26"/>
  <c r="C34" i="26"/>
  <c r="G34" i="26" s="1"/>
  <c r="CB33" i="26"/>
  <c r="CC33" i="26" s="1"/>
  <c r="AR33" i="26"/>
  <c r="AI33" i="26"/>
  <c r="G33" i="26"/>
  <c r="C33" i="26"/>
  <c r="CD32" i="26"/>
  <c r="CC32" i="26"/>
  <c r="CB32" i="26"/>
  <c r="AR32" i="26"/>
  <c r="AI32" i="26"/>
  <c r="C32" i="26"/>
  <c r="G32" i="26" s="1"/>
  <c r="CB31" i="26"/>
  <c r="CC31" i="26" s="1"/>
  <c r="AR31" i="26"/>
  <c r="AI31" i="26"/>
  <c r="G31" i="26"/>
  <c r="C31" i="26"/>
  <c r="AR30" i="26"/>
  <c r="C30" i="26"/>
  <c r="G30" i="26" s="1"/>
  <c r="CD29" i="26"/>
  <c r="CB29" i="26"/>
  <c r="CC29" i="26" s="1"/>
  <c r="AR29" i="26"/>
  <c r="AI29" i="26"/>
  <c r="G29" i="26"/>
  <c r="C29" i="26"/>
  <c r="C28" i="26"/>
  <c r="CD27" i="26"/>
  <c r="CB27" i="26"/>
  <c r="AR27" i="26"/>
  <c r="AI27" i="26"/>
  <c r="G27" i="26"/>
  <c r="C27" i="26"/>
  <c r="C26" i="26"/>
  <c r="CB25" i="26"/>
  <c r="AR25" i="26"/>
  <c r="AI25" i="26"/>
  <c r="G25" i="26"/>
  <c r="C25" i="26"/>
  <c r="C24" i="26"/>
  <c r="CB23" i="26"/>
  <c r="AR23" i="26"/>
  <c r="AI23" i="26"/>
  <c r="G23" i="26"/>
  <c r="C23" i="26"/>
  <c r="AR22" i="26"/>
  <c r="C22" i="26"/>
  <c r="G22" i="26" s="1"/>
  <c r="CB21" i="26"/>
  <c r="AR21" i="26"/>
  <c r="AI21" i="26"/>
  <c r="G21" i="26"/>
  <c r="C21" i="26"/>
  <c r="CB20" i="26"/>
  <c r="AI20" i="26"/>
  <c r="C20" i="26"/>
  <c r="G20" i="26" s="1"/>
  <c r="CB19" i="26"/>
  <c r="CC19" i="26" s="1"/>
  <c r="AR19" i="26"/>
  <c r="AI19" i="26"/>
  <c r="G19" i="26"/>
  <c r="C19" i="26"/>
  <c r="C18" i="26"/>
  <c r="G18" i="26" s="1"/>
  <c r="CB17" i="26"/>
  <c r="CC17" i="26" s="1"/>
  <c r="AR17" i="26"/>
  <c r="AI17" i="26"/>
  <c r="C17" i="26"/>
  <c r="CB15" i="26" s="1"/>
  <c r="AR16" i="26"/>
  <c r="C16" i="26"/>
  <c r="G16" i="26" s="1"/>
  <c r="AR15" i="26"/>
  <c r="AI15" i="26"/>
  <c r="O15" i="26"/>
  <c r="E15" i="34" s="1"/>
  <c r="J15" i="26"/>
  <c r="H15" i="26"/>
  <c r="C15" i="26"/>
  <c r="CB13" i="26" s="1"/>
  <c r="CB14" i="26"/>
  <c r="AR14" i="26"/>
  <c r="AI14" i="26"/>
  <c r="O14" i="26"/>
  <c r="E14" i="34" s="1"/>
  <c r="J14" i="26"/>
  <c r="H14" i="26"/>
  <c r="C14" i="26"/>
  <c r="CB12" i="26" s="1"/>
  <c r="AI13" i="26"/>
  <c r="O13" i="26"/>
  <c r="E13" i="34" s="1"/>
  <c r="J13" i="26"/>
  <c r="H13" i="26"/>
  <c r="G13" i="26"/>
  <c r="C13" i="26"/>
  <c r="AR12" i="26"/>
  <c r="AI12" i="26"/>
  <c r="O12" i="26"/>
  <c r="E12" i="34" s="1"/>
  <c r="J12" i="26"/>
  <c r="H12" i="26"/>
  <c r="G12" i="26"/>
  <c r="C12" i="26"/>
  <c r="CD11" i="26"/>
  <c r="CC11" i="26"/>
  <c r="CB11" i="26"/>
  <c r="AR11" i="26"/>
  <c r="AI11" i="26"/>
  <c r="O11" i="26"/>
  <c r="E11" i="34" s="1"/>
  <c r="J11" i="26"/>
  <c r="H11" i="26"/>
  <c r="C11" i="26"/>
  <c r="G11" i="26" s="1"/>
  <c r="CB10" i="26"/>
  <c r="CC10" i="26" s="1"/>
  <c r="AR10" i="26"/>
  <c r="AI10" i="26"/>
  <c r="O10" i="26"/>
  <c r="E10" i="34" s="1"/>
  <c r="J10" i="26"/>
  <c r="H10" i="26"/>
  <c r="C10" i="26"/>
  <c r="G10" i="26" s="1"/>
  <c r="AI9" i="26"/>
  <c r="X9" i="26"/>
  <c r="X11" i="26" s="1"/>
  <c r="X13" i="26" s="1"/>
  <c r="X15" i="26" s="1"/>
  <c r="X17" i="26" s="1"/>
  <c r="X19" i="26" s="1"/>
  <c r="X21" i="26" s="1"/>
  <c r="X23" i="26" s="1"/>
  <c r="X25" i="26" s="1"/>
  <c r="X27" i="26" s="1"/>
  <c r="X29" i="26" s="1"/>
  <c r="X31" i="26" s="1"/>
  <c r="X33" i="26" s="1"/>
  <c r="X35" i="26" s="1"/>
  <c r="X37" i="26" s="1"/>
  <c r="X39" i="26" s="1"/>
  <c r="X41" i="26" s="1"/>
  <c r="X43" i="26" s="1"/>
  <c r="X45" i="26" s="1"/>
  <c r="X47" i="26" s="1"/>
  <c r="X49" i="26" s="1"/>
  <c r="X51" i="26" s="1"/>
  <c r="X53" i="26" s="1"/>
  <c r="X55" i="26" s="1"/>
  <c r="X57" i="26" s="1"/>
  <c r="X59" i="26" s="1"/>
  <c r="X61" i="26" s="1"/>
  <c r="X63" i="26" s="1"/>
  <c r="O9" i="26"/>
  <c r="E9" i="34" s="1"/>
  <c r="J9" i="26"/>
  <c r="H9" i="26"/>
  <c r="C9" i="26"/>
  <c r="CB7" i="26" s="1"/>
  <c r="CD8" i="26"/>
  <c r="CB8" i="26"/>
  <c r="AR8" i="26"/>
  <c r="AI8" i="26"/>
  <c r="X8" i="26"/>
  <c r="X10" i="26" s="1"/>
  <c r="X12" i="26" s="1"/>
  <c r="X14" i="26" s="1"/>
  <c r="X16" i="26" s="1"/>
  <c r="X18" i="26" s="1"/>
  <c r="X20" i="26" s="1"/>
  <c r="X22" i="26" s="1"/>
  <c r="X24" i="26" s="1"/>
  <c r="X26" i="26" s="1"/>
  <c r="X28" i="26" s="1"/>
  <c r="X30" i="26" s="1"/>
  <c r="X32" i="26" s="1"/>
  <c r="X34" i="26" s="1"/>
  <c r="X36" i="26" s="1"/>
  <c r="X38" i="26" s="1"/>
  <c r="X40" i="26" s="1"/>
  <c r="X42" i="26" s="1"/>
  <c r="X44" i="26" s="1"/>
  <c r="X46" i="26" s="1"/>
  <c r="X48" i="26" s="1"/>
  <c r="X50" i="26" s="1"/>
  <c r="X52" i="26" s="1"/>
  <c r="X54" i="26" s="1"/>
  <c r="X56" i="26" s="1"/>
  <c r="X58" i="26" s="1"/>
  <c r="X60" i="26" s="1"/>
  <c r="X62" i="26" s="1"/>
  <c r="O8" i="26"/>
  <c r="E8" i="34" s="1"/>
  <c r="J8" i="26"/>
  <c r="H8" i="26"/>
  <c r="G8" i="26"/>
  <c r="C8" i="26"/>
  <c r="AR6" i="26" s="1"/>
  <c r="AR7" i="26"/>
  <c r="AI7" i="26"/>
  <c r="X7" i="26"/>
  <c r="O7" i="26"/>
  <c r="E7" i="34" s="1"/>
  <c r="J7" i="26"/>
  <c r="H7" i="26"/>
  <c r="C7" i="26"/>
  <c r="CB5" i="26" s="1"/>
  <c r="CB6" i="26"/>
  <c r="AI6" i="26"/>
  <c r="X6" i="26"/>
  <c r="O6" i="26"/>
  <c r="E6" i="34" s="1"/>
  <c r="J6" i="26"/>
  <c r="H6" i="26"/>
  <c r="C6" i="26"/>
  <c r="AI4" i="26" s="1"/>
  <c r="AI5" i="26"/>
  <c r="O5" i="26"/>
  <c r="E5" i="34" s="1"/>
  <c r="J5" i="26"/>
  <c r="H5" i="26"/>
  <c r="CB4" i="26"/>
  <c r="BJ4" i="26"/>
  <c r="AR4" i="26"/>
  <c r="O4" i="26"/>
  <c r="E4" i="34" s="1"/>
  <c r="J4" i="26"/>
  <c r="H4" i="26"/>
  <c r="A237" i="50"/>
  <c r="A236" i="50"/>
  <c r="A235" i="50"/>
  <c r="A234" i="50"/>
  <c r="A233" i="50"/>
  <c r="A232" i="50"/>
  <c r="A231" i="50"/>
  <c r="A230" i="50"/>
  <c r="A229" i="50"/>
  <c r="A228" i="50"/>
  <c r="A227" i="50"/>
  <c r="A226" i="50"/>
  <c r="A225" i="50"/>
  <c r="A224" i="50"/>
  <c r="A223" i="50"/>
  <c r="A222" i="50"/>
  <c r="A221" i="50"/>
  <c r="A220" i="50"/>
  <c r="A219" i="50"/>
  <c r="A218" i="50"/>
  <c r="A217" i="50"/>
  <c r="A216" i="50"/>
  <c r="A215" i="50"/>
  <c r="A214" i="50"/>
  <c r="A213" i="50"/>
  <c r="A212" i="50"/>
  <c r="A211" i="50"/>
  <c r="A210" i="50"/>
  <c r="A209" i="50"/>
  <c r="A208" i="50"/>
  <c r="A207" i="50"/>
  <c r="A206" i="50"/>
  <c r="A205" i="50"/>
  <c r="A204" i="50"/>
  <c r="A203" i="50"/>
  <c r="A202" i="50"/>
  <c r="A201" i="50"/>
  <c r="A200" i="50"/>
  <c r="A199" i="50"/>
  <c r="A198" i="50"/>
  <c r="A197" i="50"/>
  <c r="A196" i="50"/>
  <c r="A195" i="50"/>
  <c r="A194" i="50"/>
  <c r="A193" i="50"/>
  <c r="A192" i="50"/>
  <c r="A191" i="50"/>
  <c r="A190" i="50"/>
  <c r="A189" i="50"/>
  <c r="A188" i="50"/>
  <c r="A187" i="50"/>
  <c r="A186" i="50"/>
  <c r="A185" i="50"/>
  <c r="A184" i="50"/>
  <c r="A183" i="50"/>
  <c r="A182" i="50"/>
  <c r="A181" i="50"/>
  <c r="A180" i="50"/>
  <c r="A179" i="50"/>
  <c r="A178" i="50"/>
  <c r="A177" i="50"/>
  <c r="A176" i="50"/>
  <c r="A175" i="50"/>
  <c r="A174" i="50"/>
  <c r="A173" i="50"/>
  <c r="A172" i="50"/>
  <c r="A171" i="50"/>
  <c r="A170" i="50"/>
  <c r="A169" i="50"/>
  <c r="A168" i="50"/>
  <c r="A167" i="50"/>
  <c r="A166" i="50"/>
  <c r="A165" i="50"/>
  <c r="A164" i="50"/>
  <c r="A163" i="50"/>
  <c r="A162" i="50"/>
  <c r="A161" i="50"/>
  <c r="A160" i="50"/>
  <c r="A159" i="50"/>
  <c r="A158" i="50"/>
  <c r="A157" i="50"/>
  <c r="A156" i="50"/>
  <c r="A155" i="50"/>
  <c r="A154" i="50"/>
  <c r="A153" i="50"/>
  <c r="A152" i="50"/>
  <c r="A151" i="50"/>
  <c r="A150" i="50"/>
  <c r="A149" i="50"/>
  <c r="A148" i="50"/>
  <c r="A147" i="50"/>
  <c r="A146" i="50"/>
  <c r="A145" i="50"/>
  <c r="A144" i="50"/>
  <c r="A143" i="50"/>
  <c r="A142" i="50"/>
  <c r="A141" i="50"/>
  <c r="A140" i="50"/>
  <c r="A139" i="50"/>
  <c r="A138" i="50"/>
  <c r="A137" i="50"/>
  <c r="A136" i="50"/>
  <c r="A135" i="50"/>
  <c r="A134" i="50"/>
  <c r="A133" i="50"/>
  <c r="A132" i="50"/>
  <c r="A131" i="50"/>
  <c r="A130" i="50"/>
  <c r="A129" i="50"/>
  <c r="A128" i="50"/>
  <c r="A127" i="50"/>
  <c r="A126" i="50"/>
  <c r="A125" i="50"/>
  <c r="A124" i="50"/>
  <c r="A123" i="50"/>
  <c r="A122" i="50"/>
  <c r="A121" i="50"/>
  <c r="A120" i="50"/>
  <c r="A119" i="50"/>
  <c r="A118" i="50"/>
  <c r="A117" i="50"/>
  <c r="A116" i="50"/>
  <c r="A115" i="50"/>
  <c r="A114" i="50"/>
  <c r="A113" i="50"/>
  <c r="A112" i="50"/>
  <c r="A111" i="50"/>
  <c r="A110" i="50"/>
  <c r="A109" i="50"/>
  <c r="A108" i="50"/>
  <c r="A107" i="50"/>
  <c r="A106" i="50"/>
  <c r="A105" i="50"/>
  <c r="A104" i="50"/>
  <c r="A103" i="50"/>
  <c r="A102" i="50"/>
  <c r="A101" i="50"/>
  <c r="A100" i="50"/>
  <c r="A99" i="50"/>
  <c r="A98" i="50"/>
  <c r="A97" i="50"/>
  <c r="A96" i="50"/>
  <c r="A95" i="50"/>
  <c r="A94" i="50"/>
  <c r="A93" i="50"/>
  <c r="A92" i="50"/>
  <c r="A91" i="50"/>
  <c r="A90" i="50"/>
  <c r="A89" i="50"/>
  <c r="A88" i="50"/>
  <c r="A87" i="50"/>
  <c r="A86" i="50"/>
  <c r="A85" i="50"/>
  <c r="A84" i="50"/>
  <c r="A83" i="50"/>
  <c r="A82" i="50"/>
  <c r="A81" i="50"/>
  <c r="A80" i="50"/>
  <c r="A79" i="50"/>
  <c r="A78" i="50"/>
  <c r="A77" i="50"/>
  <c r="A76" i="50"/>
  <c r="A75" i="50"/>
  <c r="A74" i="50"/>
  <c r="A73" i="50"/>
  <c r="FK71" i="50"/>
  <c r="FJ71" i="50"/>
  <c r="FI71" i="50"/>
  <c r="FH71" i="50"/>
  <c r="FG71" i="50"/>
  <c r="FF71" i="50"/>
  <c r="FE71" i="50"/>
  <c r="FD71" i="50"/>
  <c r="FC71" i="50"/>
  <c r="FB71" i="50"/>
  <c r="FA71" i="50"/>
  <c r="EZ71" i="50"/>
  <c r="EY71" i="50"/>
  <c r="EX71" i="50"/>
  <c r="EW71" i="50"/>
  <c r="EV71" i="50"/>
  <c r="EU71" i="50"/>
  <c r="ET71" i="50"/>
  <c r="ES71" i="50"/>
  <c r="ER71" i="50"/>
  <c r="EQ71" i="50"/>
  <c r="EP71" i="50"/>
  <c r="EO71" i="50"/>
  <c r="EN71" i="50"/>
  <c r="EM71" i="50"/>
  <c r="EL71" i="50"/>
  <c r="EK71" i="50"/>
  <c r="EJ71" i="50"/>
  <c r="EI71" i="50"/>
  <c r="EH71" i="50"/>
  <c r="EG71" i="50"/>
  <c r="EF71" i="50"/>
  <c r="EE71" i="50"/>
  <c r="ED71" i="50"/>
  <c r="EC71" i="50"/>
  <c r="EB71" i="50"/>
  <c r="EA71" i="50"/>
  <c r="DZ71" i="50"/>
  <c r="DY71" i="50"/>
  <c r="DX71" i="50"/>
  <c r="DW71" i="50"/>
  <c r="DV71" i="50"/>
  <c r="DU71" i="50"/>
  <c r="DT71" i="50"/>
  <c r="DS71" i="50"/>
  <c r="DR71" i="50"/>
  <c r="DQ71" i="50"/>
  <c r="DP71" i="50"/>
  <c r="DO71" i="50"/>
  <c r="DN71" i="50"/>
  <c r="DM71" i="50"/>
  <c r="DL71" i="50"/>
  <c r="DK71" i="50"/>
  <c r="DJ71" i="50"/>
  <c r="DI71" i="50"/>
  <c r="DH71" i="50"/>
  <c r="DG71" i="50"/>
  <c r="DF71" i="50"/>
  <c r="DE71" i="50"/>
  <c r="DD71" i="50"/>
  <c r="DC71" i="50"/>
  <c r="DB71" i="50"/>
  <c r="DA71" i="50"/>
  <c r="CZ71" i="50"/>
  <c r="CY71" i="50"/>
  <c r="CX71" i="50"/>
  <c r="CW71" i="50"/>
  <c r="CV71" i="50"/>
  <c r="CU71" i="50"/>
  <c r="CT71" i="50"/>
  <c r="CS71" i="50"/>
  <c r="CR71" i="50"/>
  <c r="CQ71" i="50"/>
  <c r="CP71" i="50"/>
  <c r="CO71" i="50"/>
  <c r="CN71" i="50"/>
  <c r="CM71" i="50"/>
  <c r="CL71" i="50"/>
  <c r="CK71" i="50"/>
  <c r="CJ71" i="50"/>
  <c r="CI71" i="50"/>
  <c r="CH71" i="50"/>
  <c r="CG71" i="50"/>
  <c r="CF71" i="50"/>
  <c r="CE71" i="50"/>
  <c r="CD71" i="50"/>
  <c r="CC71" i="50"/>
  <c r="CB71" i="50"/>
  <c r="CA71" i="50"/>
  <c r="BZ71" i="50"/>
  <c r="BY71" i="50"/>
  <c r="BX71" i="50"/>
  <c r="BW71" i="50"/>
  <c r="BV71" i="50"/>
  <c r="BU71" i="50"/>
  <c r="BT71" i="50"/>
  <c r="BS71" i="50"/>
  <c r="BR71" i="50"/>
  <c r="BQ71" i="50"/>
  <c r="BP71" i="50"/>
  <c r="BO71" i="50"/>
  <c r="BN71" i="50"/>
  <c r="BM71" i="50"/>
  <c r="BL71" i="50"/>
  <c r="BK71" i="50"/>
  <c r="BJ71" i="50"/>
  <c r="BI71" i="50"/>
  <c r="BH71" i="50"/>
  <c r="BG71" i="50"/>
  <c r="BF71" i="50"/>
  <c r="BE71" i="50"/>
  <c r="BD71" i="50"/>
  <c r="BC71" i="50"/>
  <c r="BB71" i="50"/>
  <c r="BA71" i="50"/>
  <c r="AZ71" i="50"/>
  <c r="AY71" i="50"/>
  <c r="AX71" i="50"/>
  <c r="AW71" i="50"/>
  <c r="AV71" i="50"/>
  <c r="AU71" i="50"/>
  <c r="AT71" i="50"/>
  <c r="AS71" i="50"/>
  <c r="AR71" i="50"/>
  <c r="AQ71" i="50"/>
  <c r="AP71" i="50"/>
  <c r="AO71" i="50"/>
  <c r="AN71" i="50"/>
  <c r="AM71" i="50"/>
  <c r="AL71" i="50"/>
  <c r="AK71" i="50"/>
  <c r="AJ71" i="50"/>
  <c r="AI71" i="50"/>
  <c r="AH71" i="50"/>
  <c r="AG71" i="50"/>
  <c r="AF71" i="50"/>
  <c r="AE71" i="50"/>
  <c r="AD71" i="50"/>
  <c r="AC71" i="50"/>
  <c r="AB71" i="50"/>
  <c r="AA71" i="50"/>
  <c r="Z71" i="50"/>
  <c r="Y71" i="50"/>
  <c r="X71" i="50"/>
  <c r="W71" i="50"/>
  <c r="V71" i="50"/>
  <c r="U71" i="50"/>
  <c r="T71" i="50"/>
  <c r="S71" i="50"/>
  <c r="R71" i="50"/>
  <c r="Q71" i="50"/>
  <c r="P71" i="50"/>
  <c r="O71" i="50"/>
  <c r="N71" i="50"/>
  <c r="M71" i="50"/>
  <c r="L71" i="50"/>
  <c r="K71" i="50"/>
  <c r="J71" i="50"/>
  <c r="I71" i="50"/>
  <c r="H71" i="50"/>
  <c r="G71" i="50"/>
  <c r="F71" i="50"/>
  <c r="E71" i="50"/>
  <c r="D71" i="50"/>
  <c r="C71" i="50"/>
  <c r="P65" i="50"/>
  <c r="P64" i="50"/>
  <c r="P63" i="50"/>
  <c r="P62" i="50"/>
  <c r="P61" i="50"/>
  <c r="P60" i="50"/>
  <c r="P59" i="50"/>
  <c r="P58" i="50"/>
  <c r="P57" i="50"/>
  <c r="P56" i="50"/>
  <c r="P55" i="50"/>
  <c r="P54" i="50"/>
  <c r="P53" i="50"/>
  <c r="P52" i="50"/>
  <c r="P51" i="50"/>
  <c r="P50" i="50"/>
  <c r="P49" i="50"/>
  <c r="P48" i="50"/>
  <c r="P47" i="50"/>
  <c r="P46" i="50"/>
  <c r="P45" i="50"/>
  <c r="P44" i="50"/>
  <c r="P43" i="50"/>
  <c r="P42" i="50"/>
  <c r="A41" i="50"/>
  <c r="AM40" i="50"/>
  <c r="AL40" i="50"/>
  <c r="AK40" i="50"/>
  <c r="AJ40" i="50"/>
  <c r="AI40" i="50"/>
  <c r="AH40" i="50"/>
  <c r="AG40" i="50"/>
  <c r="AF40" i="50"/>
  <c r="AE40" i="50"/>
  <c r="AD40" i="50"/>
  <c r="AC40" i="50"/>
  <c r="AB40" i="50"/>
  <c r="AA40" i="50"/>
  <c r="Z40" i="50"/>
  <c r="Y40" i="50"/>
  <c r="X40" i="50"/>
  <c r="W40" i="50"/>
  <c r="V40" i="50"/>
  <c r="U40" i="50"/>
  <c r="T40" i="50"/>
  <c r="S40" i="50"/>
  <c r="R40" i="50"/>
  <c r="A40" i="50"/>
  <c r="A39" i="50"/>
  <c r="A38" i="50"/>
  <c r="P37" i="50"/>
  <c r="A37" i="50"/>
  <c r="P36" i="50"/>
  <c r="A36" i="50"/>
  <c r="P35" i="50"/>
  <c r="A35" i="50"/>
  <c r="P34" i="50"/>
  <c r="A34" i="50"/>
  <c r="P33" i="50"/>
  <c r="A33" i="50"/>
  <c r="P32" i="50"/>
  <c r="A32" i="50"/>
  <c r="P31" i="50"/>
  <c r="A31" i="50"/>
  <c r="P30" i="50"/>
  <c r="A30" i="50"/>
  <c r="P29" i="50"/>
  <c r="P28" i="50"/>
  <c r="M28" i="50"/>
  <c r="L28" i="50"/>
  <c r="K28" i="50"/>
  <c r="J28" i="50"/>
  <c r="I28" i="50"/>
  <c r="H28" i="50"/>
  <c r="G28" i="50"/>
  <c r="F28" i="50"/>
  <c r="E28" i="50"/>
  <c r="D28" i="50"/>
  <c r="C28" i="50"/>
  <c r="P27" i="50"/>
  <c r="P26" i="50"/>
  <c r="P25" i="50"/>
  <c r="A25" i="50"/>
  <c r="P24" i="50"/>
  <c r="A24" i="50"/>
  <c r="P23" i="50"/>
  <c r="A23" i="50"/>
  <c r="P22" i="50"/>
  <c r="A22" i="50"/>
  <c r="P21" i="50"/>
  <c r="A21" i="50"/>
  <c r="P20" i="50"/>
  <c r="A20" i="50"/>
  <c r="P19" i="50"/>
  <c r="A19" i="50"/>
  <c r="P18" i="50"/>
  <c r="A18" i="50"/>
  <c r="P17" i="50"/>
  <c r="A17" i="50"/>
  <c r="P16" i="50"/>
  <c r="A16" i="50"/>
  <c r="P15" i="50"/>
  <c r="A15" i="50"/>
  <c r="P14" i="50"/>
  <c r="A14" i="50"/>
  <c r="AM12" i="50"/>
  <c r="AL12" i="50"/>
  <c r="AK12" i="50"/>
  <c r="AJ12" i="50"/>
  <c r="AI12" i="50"/>
  <c r="AH12" i="50"/>
  <c r="AG12" i="50"/>
  <c r="AF12" i="50"/>
  <c r="AE12" i="50"/>
  <c r="AD12" i="50"/>
  <c r="AC12" i="50"/>
  <c r="AB12" i="50"/>
  <c r="AA12" i="50"/>
  <c r="Z12" i="50"/>
  <c r="Y12" i="50"/>
  <c r="X12" i="50"/>
  <c r="W12" i="50"/>
  <c r="V12" i="50"/>
  <c r="U12" i="50"/>
  <c r="T12" i="50"/>
  <c r="S12" i="50"/>
  <c r="R12" i="50"/>
  <c r="M12" i="50"/>
  <c r="L12" i="50"/>
  <c r="K12" i="50"/>
  <c r="J12" i="50"/>
  <c r="I12" i="50"/>
  <c r="H12" i="50"/>
  <c r="G12" i="50"/>
  <c r="F12" i="50"/>
  <c r="E12" i="50"/>
  <c r="D12" i="50"/>
  <c r="C12" i="50"/>
  <c r="F106" i="7"/>
  <c r="D106" i="7"/>
  <c r="D105" i="7"/>
  <c r="D104" i="7"/>
  <c r="D103" i="7"/>
  <c r="D102" i="7"/>
  <c r="D101" i="7"/>
  <c r="K97" i="7"/>
  <c r="O97" i="7" s="1"/>
  <c r="U97" i="7" s="1"/>
  <c r="J97" i="7"/>
  <c r="I97" i="7"/>
  <c r="H97" i="7"/>
  <c r="G97" i="7"/>
  <c r="L97" i="7" s="1"/>
  <c r="F97" i="7"/>
  <c r="D97" i="7"/>
  <c r="C97" i="7"/>
  <c r="O96" i="7"/>
  <c r="U96" i="7" s="1"/>
  <c r="K96" i="7"/>
  <c r="J96" i="7"/>
  <c r="I96" i="7"/>
  <c r="H96" i="7"/>
  <c r="F96" i="7"/>
  <c r="D96" i="7"/>
  <c r="C96" i="7"/>
  <c r="K95" i="7"/>
  <c r="J95" i="7"/>
  <c r="I95" i="7"/>
  <c r="H95" i="7"/>
  <c r="G95" i="7"/>
  <c r="L95" i="7" s="1"/>
  <c r="F95" i="7"/>
  <c r="D95" i="7"/>
  <c r="C95" i="7"/>
  <c r="K94" i="7"/>
  <c r="J94" i="7"/>
  <c r="I94" i="7"/>
  <c r="H94" i="7"/>
  <c r="G94" i="7"/>
  <c r="L94" i="7" s="1"/>
  <c r="E94" i="7"/>
  <c r="D94" i="7"/>
  <c r="C94" i="7"/>
  <c r="K93" i="7"/>
  <c r="J93" i="7"/>
  <c r="I93" i="7"/>
  <c r="H93" i="7"/>
  <c r="G93" i="7"/>
  <c r="L93" i="7" s="1"/>
  <c r="F93" i="7"/>
  <c r="D93" i="7"/>
  <c r="C93" i="7"/>
  <c r="K92" i="7"/>
  <c r="J92" i="7"/>
  <c r="I92" i="7"/>
  <c r="H92" i="7"/>
  <c r="E92" i="7"/>
  <c r="D92" i="7"/>
  <c r="C92" i="7"/>
  <c r="K91" i="7"/>
  <c r="J91" i="7"/>
  <c r="I91" i="7"/>
  <c r="H91" i="7"/>
  <c r="F91" i="7"/>
  <c r="D91" i="7"/>
  <c r="C91" i="7"/>
  <c r="H87" i="7"/>
  <c r="G87" i="7"/>
  <c r="E87" i="7"/>
  <c r="D87" i="7"/>
  <c r="G86" i="7"/>
  <c r="E86" i="7"/>
  <c r="D86" i="7"/>
  <c r="H85" i="7"/>
  <c r="G85" i="7"/>
  <c r="E85" i="7"/>
  <c r="D85" i="7"/>
  <c r="H84" i="7"/>
  <c r="F84" i="7"/>
  <c r="E84" i="7"/>
  <c r="D84" i="7"/>
  <c r="H83" i="7"/>
  <c r="G83" i="7"/>
  <c r="E83" i="7"/>
  <c r="D83" i="7"/>
  <c r="F82" i="7"/>
  <c r="E82" i="7"/>
  <c r="D82" i="7"/>
  <c r="G81" i="7"/>
  <c r="E81" i="7"/>
  <c r="D81" i="7"/>
  <c r="H77" i="7"/>
  <c r="W77" i="7" s="1"/>
  <c r="G77" i="7"/>
  <c r="E77" i="7"/>
  <c r="D77" i="7"/>
  <c r="G76" i="7"/>
  <c r="E76" i="7"/>
  <c r="D76" i="7"/>
  <c r="H75" i="7"/>
  <c r="W75" i="7" s="1"/>
  <c r="G75" i="7"/>
  <c r="E75" i="7"/>
  <c r="D75" i="7"/>
  <c r="H74" i="7"/>
  <c r="W74" i="7" s="1"/>
  <c r="F74" i="7"/>
  <c r="E74" i="7"/>
  <c r="D74" i="7"/>
  <c r="H73" i="7"/>
  <c r="W73" i="7" s="1"/>
  <c r="G73" i="7"/>
  <c r="E73" i="7"/>
  <c r="D73" i="7"/>
  <c r="F72" i="7"/>
  <c r="E72" i="7"/>
  <c r="D72" i="7"/>
  <c r="G71" i="7"/>
  <c r="E71" i="7"/>
  <c r="D71" i="7"/>
  <c r="G67" i="7"/>
  <c r="E67" i="7"/>
  <c r="G66" i="7"/>
  <c r="E66" i="7"/>
  <c r="H65" i="7"/>
  <c r="F65" i="7"/>
  <c r="E65" i="7"/>
  <c r="H64" i="7"/>
  <c r="F64" i="7"/>
  <c r="E64" i="7"/>
  <c r="H63" i="7"/>
  <c r="F63" i="7"/>
  <c r="E63" i="7"/>
  <c r="F62" i="7"/>
  <c r="E62" i="7"/>
  <c r="F61" i="7"/>
  <c r="E61" i="7"/>
  <c r="F60" i="7"/>
  <c r="E60" i="7"/>
  <c r="F59" i="7"/>
  <c r="E59" i="7"/>
  <c r="G58" i="7"/>
  <c r="E58" i="7"/>
  <c r="G57" i="7"/>
  <c r="E57" i="7"/>
  <c r="G56" i="7"/>
  <c r="E56" i="7"/>
  <c r="C38" i="7"/>
  <c r="G38" i="7" s="1"/>
  <c r="DA4" i="49" s="1"/>
  <c r="C37" i="7"/>
  <c r="AA4" i="49" s="1"/>
  <c r="G81" i="49" s="1"/>
  <c r="E36" i="7"/>
  <c r="F46" i="7" s="1"/>
  <c r="C36" i="7"/>
  <c r="G36" i="7" s="1"/>
  <c r="CA27" i="7"/>
  <c r="BS27" i="7"/>
  <c r="BK27" i="7"/>
  <c r="BC27" i="7"/>
  <c r="AU27" i="7"/>
  <c r="AM27" i="7"/>
  <c r="AE27" i="7"/>
  <c r="CA26" i="7"/>
  <c r="BS26" i="7"/>
  <c r="BK26" i="7"/>
  <c r="BC26" i="7"/>
  <c r="AU26" i="7"/>
  <c r="AM26" i="7"/>
  <c r="AE26" i="7"/>
  <c r="CA25" i="7"/>
  <c r="BS25" i="7"/>
  <c r="BK25" i="7"/>
  <c r="BC25" i="7"/>
  <c r="AU25" i="7"/>
  <c r="AM25" i="7"/>
  <c r="AE25" i="7"/>
  <c r="CA24" i="7"/>
  <c r="BS24" i="7"/>
  <c r="BK24" i="7"/>
  <c r="BC24" i="7"/>
  <c r="AU24" i="7"/>
  <c r="AM24" i="7"/>
  <c r="AE24" i="7"/>
  <c r="P24" i="7"/>
  <c r="I24" i="7"/>
  <c r="N24" i="7" s="1"/>
  <c r="E24" i="7"/>
  <c r="L15" i="26" s="1"/>
  <c r="M15" i="26" s="1"/>
  <c r="D24" i="7"/>
  <c r="F24" i="7" s="1"/>
  <c r="CA23" i="7"/>
  <c r="BS23" i="7"/>
  <c r="BK23" i="7"/>
  <c r="BC23" i="7"/>
  <c r="AU23" i="7"/>
  <c r="AM23" i="7"/>
  <c r="AE23" i="7"/>
  <c r="P23" i="7"/>
  <c r="I23" i="7"/>
  <c r="N23" i="7" s="1"/>
  <c r="F23" i="7"/>
  <c r="AE41" i="7" s="1"/>
  <c r="E23" i="7"/>
  <c r="L14" i="26" s="1"/>
  <c r="M14" i="26" s="1"/>
  <c r="N14" i="26" s="1"/>
  <c r="D23" i="7"/>
  <c r="CA22" i="7"/>
  <c r="BS22" i="7"/>
  <c r="BK22" i="7"/>
  <c r="BC22" i="7"/>
  <c r="AU22" i="7"/>
  <c r="AM22" i="7"/>
  <c r="AE22" i="7"/>
  <c r="P22" i="7"/>
  <c r="I22" i="7"/>
  <c r="N22" i="7" s="1"/>
  <c r="E22" i="7"/>
  <c r="L13" i="26" s="1"/>
  <c r="M13" i="26" s="1"/>
  <c r="D22" i="7"/>
  <c r="F22" i="7" s="1"/>
  <c r="CA21" i="7"/>
  <c r="BS21" i="7"/>
  <c r="BK21" i="7"/>
  <c r="BC21" i="7"/>
  <c r="AU21" i="7"/>
  <c r="AM21" i="7"/>
  <c r="AE21" i="7"/>
  <c r="P21" i="7"/>
  <c r="I21" i="7"/>
  <c r="N21" i="7" s="1"/>
  <c r="E21" i="7"/>
  <c r="L12" i="26" s="1"/>
  <c r="M12" i="26" s="1"/>
  <c r="N12" i="26" s="1"/>
  <c r="D21" i="7"/>
  <c r="F21" i="7" s="1"/>
  <c r="CA20" i="7"/>
  <c r="BS20" i="7"/>
  <c r="BK20" i="7"/>
  <c r="BC20" i="7"/>
  <c r="AU20" i="7"/>
  <c r="AM20" i="7"/>
  <c r="AE20" i="7"/>
  <c r="P20" i="7"/>
  <c r="I20" i="7"/>
  <c r="F20" i="7"/>
  <c r="Q20" i="7" s="1"/>
  <c r="E20" i="7"/>
  <c r="L11" i="26" s="1"/>
  <c r="M11" i="26" s="1"/>
  <c r="N11" i="26" s="1"/>
  <c r="D20" i="7"/>
  <c r="CA19" i="7"/>
  <c r="BS19" i="7"/>
  <c r="BK19" i="7"/>
  <c r="BC19" i="7"/>
  <c r="AU19" i="7"/>
  <c r="AM19" i="7"/>
  <c r="AE19" i="7"/>
  <c r="P19" i="7"/>
  <c r="I19" i="7"/>
  <c r="N19" i="7" s="1"/>
  <c r="G19" i="7"/>
  <c r="R19" i="7" s="1"/>
  <c r="F19" i="7"/>
  <c r="Q19" i="7" s="1"/>
  <c r="E19" i="7"/>
  <c r="L10" i="26" s="1"/>
  <c r="M10" i="26" s="1"/>
  <c r="D19" i="7"/>
  <c r="CA18" i="7"/>
  <c r="BS18" i="7"/>
  <c r="BK18" i="7"/>
  <c r="BC18" i="7"/>
  <c r="AU18" i="7"/>
  <c r="AM18" i="7"/>
  <c r="AE18" i="7"/>
  <c r="P18" i="7"/>
  <c r="I18" i="7"/>
  <c r="N18" i="7" s="1"/>
  <c r="F18" i="7"/>
  <c r="AE36" i="7" s="1"/>
  <c r="E18" i="7"/>
  <c r="L9" i="26" s="1"/>
  <c r="M9" i="26" s="1"/>
  <c r="N9" i="26" s="1"/>
  <c r="D18" i="7"/>
  <c r="CA17" i="7"/>
  <c r="BS17" i="7"/>
  <c r="BK17" i="7"/>
  <c r="BC17" i="7"/>
  <c r="AU17" i="7"/>
  <c r="AM17" i="7"/>
  <c r="AE17" i="7"/>
  <c r="T17" i="7"/>
  <c r="P17" i="7"/>
  <c r="I17" i="7"/>
  <c r="N17" i="7" s="1"/>
  <c r="E17" i="7"/>
  <c r="L8" i="26" s="1"/>
  <c r="M8" i="26" s="1"/>
  <c r="D17" i="7"/>
  <c r="F17" i="7" s="1"/>
  <c r="CA16" i="7"/>
  <c r="BS16" i="7"/>
  <c r="BK16" i="7"/>
  <c r="BC16" i="7"/>
  <c r="AU16" i="7"/>
  <c r="AM16" i="7"/>
  <c r="AE16" i="7"/>
  <c r="P16" i="7"/>
  <c r="I16" i="7"/>
  <c r="G16" i="7"/>
  <c r="R16" i="7" s="1"/>
  <c r="E16" i="7"/>
  <c r="L7" i="26" s="1"/>
  <c r="M7" i="26" s="1"/>
  <c r="D16" i="7"/>
  <c r="CA15" i="7"/>
  <c r="BS15" i="7"/>
  <c r="BK15" i="7"/>
  <c r="BC15" i="7"/>
  <c r="AU15" i="7"/>
  <c r="AM15" i="7"/>
  <c r="AE15" i="7"/>
  <c r="P15" i="7"/>
  <c r="I15" i="7"/>
  <c r="N15" i="7" s="1"/>
  <c r="F15" i="7"/>
  <c r="AE33" i="7" s="1"/>
  <c r="E15" i="7"/>
  <c r="L6" i="26" s="1"/>
  <c r="M6" i="26" s="1"/>
  <c r="N6" i="26" s="1"/>
  <c r="D15" i="7"/>
  <c r="CI14" i="7"/>
  <c r="CR14" i="7" s="1"/>
  <c r="DA14" i="7" s="1"/>
  <c r="DJ14" i="7" s="1"/>
  <c r="DS14" i="7" s="1"/>
  <c r="EB14" i="7" s="1"/>
  <c r="EK14" i="7" s="1"/>
  <c r="CA14" i="7"/>
  <c r="BS14" i="7"/>
  <c r="BK14" i="7"/>
  <c r="BC14" i="7"/>
  <c r="AU14" i="7"/>
  <c r="AM14" i="7"/>
  <c r="AE14" i="7"/>
  <c r="P14" i="7"/>
  <c r="I14" i="7"/>
  <c r="N14" i="7" s="1"/>
  <c r="E14" i="7"/>
  <c r="L5" i="26" s="1"/>
  <c r="M5" i="26" s="1"/>
  <c r="D14" i="7"/>
  <c r="CA13" i="7"/>
  <c r="BS13" i="7"/>
  <c r="BK13" i="7"/>
  <c r="BC13" i="7"/>
  <c r="AU13" i="7"/>
  <c r="AM13" i="7"/>
  <c r="AE13" i="7"/>
  <c r="T13" i="7"/>
  <c r="P13" i="7"/>
  <c r="I13" i="7"/>
  <c r="G13" i="7"/>
  <c r="R13" i="7" s="1"/>
  <c r="F13" i="7"/>
  <c r="E13" i="7"/>
  <c r="L4" i="26" s="1"/>
  <c r="M4" i="26" s="1"/>
  <c r="N4" i="26" s="1"/>
  <c r="D13" i="7"/>
  <c r="CA12" i="7"/>
  <c r="BS12" i="7"/>
  <c r="BK12" i="7"/>
  <c r="BC12" i="7"/>
  <c r="AU12" i="7"/>
  <c r="AM12" i="7"/>
  <c r="AE12" i="7"/>
  <c r="CI11" i="7"/>
  <c r="CR11" i="7" s="1"/>
  <c r="DA11" i="7" s="1"/>
  <c r="DJ11" i="7" s="1"/>
  <c r="DS11" i="7" s="1"/>
  <c r="EB11" i="7" s="1"/>
  <c r="EK11" i="7" s="1"/>
  <c r="CA11" i="7"/>
  <c r="BS11" i="7"/>
  <c r="BK11" i="7"/>
  <c r="BC11" i="7"/>
  <c r="AU11" i="7"/>
  <c r="AM11" i="7"/>
  <c r="AE11" i="7"/>
  <c r="CI10" i="7"/>
  <c r="CR10" i="7" s="1"/>
  <c r="DA10" i="7" s="1"/>
  <c r="DJ10" i="7" s="1"/>
  <c r="DS10" i="7" s="1"/>
  <c r="EB10" i="7" s="1"/>
  <c r="EK10" i="7" s="1"/>
  <c r="CA10" i="7"/>
  <c r="BS10" i="7"/>
  <c r="BK10" i="7"/>
  <c r="BC10" i="7"/>
  <c r="AU10" i="7"/>
  <c r="AM10" i="7"/>
  <c r="AE10" i="7"/>
  <c r="CI9" i="7"/>
  <c r="CR9" i="7" s="1"/>
  <c r="DA9" i="7" s="1"/>
  <c r="DJ9" i="7" s="1"/>
  <c r="DS9" i="7" s="1"/>
  <c r="EB9" i="7" s="1"/>
  <c r="EK9" i="7" s="1"/>
  <c r="CA9" i="7"/>
  <c r="BS9" i="7"/>
  <c r="BK9" i="7"/>
  <c r="BC9" i="7"/>
  <c r="AU9" i="7"/>
  <c r="AM9" i="7"/>
  <c r="AE9" i="7"/>
  <c r="Q9" i="7"/>
  <c r="P9" i="7"/>
  <c r="O9" i="7"/>
  <c r="N9" i="7"/>
  <c r="M9" i="7"/>
  <c r="L9" i="7"/>
  <c r="CA8" i="7"/>
  <c r="BS8" i="7"/>
  <c r="BK8" i="7"/>
  <c r="BC8" i="7"/>
  <c r="AU8" i="7"/>
  <c r="AM8" i="7"/>
  <c r="AE8" i="7"/>
  <c r="Q8" i="7"/>
  <c r="P8" i="7"/>
  <c r="O8" i="7"/>
  <c r="N8" i="7"/>
  <c r="H24" i="7" s="1"/>
  <c r="M8" i="7"/>
  <c r="L8" i="7"/>
  <c r="H22" i="7" s="1"/>
  <c r="CJ7" i="7"/>
  <c r="CA7" i="7"/>
  <c r="BS7" i="7"/>
  <c r="BK7" i="7"/>
  <c r="BC7" i="7"/>
  <c r="AU7" i="7"/>
  <c r="AM7" i="7"/>
  <c r="AE7" i="7"/>
  <c r="Q7" i="7"/>
  <c r="P7" i="7"/>
  <c r="O7" i="7"/>
  <c r="N7" i="7"/>
  <c r="H21" i="7" s="1"/>
  <c r="M7" i="7"/>
  <c r="L7" i="7"/>
  <c r="H19" i="7" s="1"/>
  <c r="CI6" i="7"/>
  <c r="CR6" i="7" s="1"/>
  <c r="DA6" i="7" s="1"/>
  <c r="DJ6" i="7" s="1"/>
  <c r="DS6" i="7" s="1"/>
  <c r="EB6" i="7" s="1"/>
  <c r="EK6" i="7" s="1"/>
  <c r="CA6" i="7"/>
  <c r="BS6" i="7"/>
  <c r="BK6" i="7"/>
  <c r="BC6" i="7"/>
  <c r="AU6" i="7"/>
  <c r="AM6" i="7"/>
  <c r="AE6" i="7"/>
  <c r="Q6" i="7"/>
  <c r="P6" i="7"/>
  <c r="O6" i="7"/>
  <c r="N6" i="7"/>
  <c r="H18" i="7" s="1"/>
  <c r="M6" i="7"/>
  <c r="L6" i="7"/>
  <c r="H16" i="7" s="1"/>
  <c r="CA5" i="7"/>
  <c r="BS5" i="7"/>
  <c r="BK5" i="7"/>
  <c r="BC5" i="7"/>
  <c r="AU5" i="7"/>
  <c r="AM5" i="7"/>
  <c r="AE5" i="7"/>
  <c r="P5" i="7"/>
  <c r="O5" i="7"/>
  <c r="M5" i="7"/>
  <c r="H15" i="7" s="1"/>
  <c r="L5" i="7"/>
  <c r="H14" i="7" s="1"/>
  <c r="DA4" i="7"/>
  <c r="DJ4" i="7" s="1"/>
  <c r="DS4" i="7" s="1"/>
  <c r="EB4" i="7" s="1"/>
  <c r="EK4" i="7" s="1"/>
  <c r="CR4" i="7"/>
  <c r="CJ4" i="7"/>
  <c r="CI4" i="7"/>
  <c r="CA4" i="7"/>
  <c r="BS4" i="7"/>
  <c r="BK4" i="7"/>
  <c r="BC4" i="7"/>
  <c r="AU4" i="7"/>
  <c r="AM4" i="7"/>
  <c r="AE4" i="7"/>
  <c r="Z4" i="7"/>
  <c r="O4" i="7"/>
  <c r="L4" i="7"/>
  <c r="E103" i="58"/>
  <c r="D103" i="58"/>
  <c r="E102" i="58"/>
  <c r="D102" i="58"/>
  <c r="E101" i="58"/>
  <c r="D101" i="58"/>
  <c r="E100" i="58"/>
  <c r="D100" i="58"/>
  <c r="E99" i="58"/>
  <c r="D99" i="58"/>
  <c r="E98" i="58"/>
  <c r="D98" i="58"/>
  <c r="E97" i="58"/>
  <c r="D97" i="58"/>
  <c r="E96" i="58"/>
  <c r="D96" i="58"/>
  <c r="E95" i="58"/>
  <c r="D95" i="58"/>
  <c r="E94" i="58"/>
  <c r="D94" i="58"/>
  <c r="E93" i="58"/>
  <c r="D93" i="58"/>
  <c r="E92" i="58"/>
  <c r="D92" i="58"/>
  <c r="E91" i="58"/>
  <c r="D91" i="58"/>
  <c r="E90" i="58"/>
  <c r="D90" i="58"/>
  <c r="E89" i="58"/>
  <c r="D89" i="58"/>
  <c r="E88" i="58"/>
  <c r="D88" i="58"/>
  <c r="E87" i="58"/>
  <c r="D87" i="58"/>
  <c r="E86" i="58"/>
  <c r="D86" i="58"/>
  <c r="E85" i="58"/>
  <c r="D85" i="58"/>
  <c r="E84" i="58"/>
  <c r="D84" i="58"/>
  <c r="E83" i="58"/>
  <c r="D83" i="58"/>
  <c r="E82" i="58"/>
  <c r="D82" i="58"/>
  <c r="E81" i="58"/>
  <c r="D81" i="58"/>
  <c r="E80" i="58"/>
  <c r="D80" i="58"/>
  <c r="E79" i="58"/>
  <c r="D79" i="58"/>
  <c r="E78" i="58"/>
  <c r="D78" i="58"/>
  <c r="E77" i="58"/>
  <c r="D77" i="58"/>
  <c r="E76" i="58"/>
  <c r="D76" i="58"/>
  <c r="E75" i="58"/>
  <c r="D75" i="58"/>
  <c r="E74" i="58"/>
  <c r="D74" i="58"/>
  <c r="E73" i="58"/>
  <c r="D73" i="58"/>
  <c r="E72" i="58"/>
  <c r="D72" i="58"/>
  <c r="E71" i="58"/>
  <c r="D71" i="58"/>
  <c r="E70" i="58"/>
  <c r="D70" i="58"/>
  <c r="E69" i="58"/>
  <c r="D69" i="58"/>
  <c r="E68" i="58"/>
  <c r="D68" i="58"/>
  <c r="E67" i="58"/>
  <c r="D67" i="58"/>
  <c r="E66" i="58"/>
  <c r="D66" i="58"/>
  <c r="E65" i="58"/>
  <c r="D65" i="58"/>
  <c r="E64" i="58"/>
  <c r="D64" i="58"/>
  <c r="E63" i="58"/>
  <c r="D63" i="58"/>
  <c r="E62" i="58"/>
  <c r="D62" i="58"/>
  <c r="E61" i="58"/>
  <c r="D61" i="58"/>
  <c r="E60" i="58"/>
  <c r="D60" i="58"/>
  <c r="E59" i="58"/>
  <c r="D59" i="58"/>
  <c r="E58" i="58"/>
  <c r="D58" i="58"/>
  <c r="E57" i="58"/>
  <c r="D57" i="58"/>
  <c r="E56" i="58"/>
  <c r="D56" i="58"/>
  <c r="E55" i="58"/>
  <c r="D55" i="58"/>
  <c r="E54" i="58"/>
  <c r="D54" i="58"/>
  <c r="E53" i="58"/>
  <c r="D53" i="58"/>
  <c r="E52" i="58"/>
  <c r="D52" i="58"/>
  <c r="E51" i="58"/>
  <c r="D51" i="58"/>
  <c r="E50" i="58"/>
  <c r="D50" i="58"/>
  <c r="E49" i="58"/>
  <c r="D49" i="58"/>
  <c r="E48" i="58"/>
  <c r="D48" i="58"/>
  <c r="E47" i="58"/>
  <c r="D47" i="58"/>
  <c r="E46" i="58"/>
  <c r="D46" i="58"/>
  <c r="E45" i="58"/>
  <c r="D45" i="58"/>
  <c r="E44" i="58"/>
  <c r="D44" i="58"/>
  <c r="E43" i="58"/>
  <c r="D43" i="58"/>
  <c r="E42" i="58"/>
  <c r="D42" i="58"/>
  <c r="E41" i="58"/>
  <c r="D41" i="58"/>
  <c r="E40" i="58"/>
  <c r="D40" i="58"/>
  <c r="E39" i="58"/>
  <c r="D39" i="58"/>
  <c r="E38" i="58"/>
  <c r="D38" i="58"/>
  <c r="E37" i="58"/>
  <c r="D37" i="58"/>
  <c r="E36" i="58"/>
  <c r="D36" i="58"/>
  <c r="E35" i="58"/>
  <c r="D35" i="58"/>
  <c r="E34" i="58"/>
  <c r="D34" i="58"/>
  <c r="E33" i="58"/>
  <c r="D33" i="58"/>
  <c r="E32" i="58"/>
  <c r="G40" i="62" s="1"/>
  <c r="H40" i="62" s="1"/>
  <c r="C23" i="32" s="1"/>
  <c r="D32" i="58"/>
  <c r="E31" i="58"/>
  <c r="D31" i="58"/>
  <c r="E30" i="58"/>
  <c r="D30" i="58"/>
  <c r="E29" i="58"/>
  <c r="D29" i="58"/>
  <c r="E28" i="58"/>
  <c r="D28" i="58"/>
  <c r="E27" i="58"/>
  <c r="D27" i="58"/>
  <c r="E26" i="58"/>
  <c r="D26" i="58"/>
  <c r="E25" i="58"/>
  <c r="D25" i="58"/>
  <c r="E24" i="58"/>
  <c r="D24" i="58"/>
  <c r="E23" i="58"/>
  <c r="D23" i="58"/>
  <c r="E22" i="58"/>
  <c r="D22" i="58"/>
  <c r="E21" i="58"/>
  <c r="D21" i="58"/>
  <c r="E20" i="58"/>
  <c r="D20" i="58"/>
  <c r="E19" i="58"/>
  <c r="D19" i="58"/>
  <c r="E18" i="58"/>
  <c r="D18" i="58"/>
  <c r="E17" i="58"/>
  <c r="D17" i="58"/>
  <c r="E16" i="58"/>
  <c r="D16" i="58"/>
  <c r="E15" i="58"/>
  <c r="D15" i="58"/>
  <c r="O14" i="58"/>
  <c r="E14" i="58"/>
  <c r="D14" i="58"/>
  <c r="O13" i="58"/>
  <c r="E13" i="58"/>
  <c r="D13" i="58"/>
  <c r="O12" i="58"/>
  <c r="E12" i="58"/>
  <c r="D12" i="58"/>
  <c r="O11" i="58"/>
  <c r="E11" i="58"/>
  <c r="D11" i="58"/>
  <c r="O10" i="58"/>
  <c r="E10" i="58"/>
  <c r="D10" i="58"/>
  <c r="O9" i="58"/>
  <c r="E9" i="58"/>
  <c r="D9" i="58"/>
  <c r="O8" i="58"/>
  <c r="E8" i="58"/>
  <c r="D8" i="58"/>
  <c r="C9" i="60" s="1"/>
  <c r="O7" i="58"/>
  <c r="E7" i="58"/>
  <c r="D7" i="58"/>
  <c r="O6" i="58"/>
  <c r="E6" i="58"/>
  <c r="D6" i="58"/>
  <c r="O5" i="58"/>
  <c r="E5" i="58"/>
  <c r="G39" i="62" s="1"/>
  <c r="H39" i="62" s="1"/>
  <c r="C22" i="32" s="1"/>
  <c r="D5" i="58"/>
  <c r="O4" i="58"/>
  <c r="E4" i="58"/>
  <c r="D4" i="58"/>
  <c r="O3" i="58"/>
  <c r="E3" i="58"/>
  <c r="D3" i="58"/>
  <c r="O2" i="58"/>
  <c r="E2" i="58"/>
  <c r="D2" i="58"/>
  <c r="I19" i="60"/>
  <c r="D9" i="60"/>
  <c r="D5" i="60"/>
  <c r="Q4" i="60"/>
  <c r="M4" i="60"/>
  <c r="I21" i="60" s="1"/>
  <c r="Q19" i="60" s="1"/>
  <c r="I4" i="60"/>
  <c r="F22" i="60" s="1"/>
  <c r="M26" i="60" s="1"/>
  <c r="N26" i="60" s="1"/>
  <c r="H4" i="60"/>
  <c r="F21" i="60" s="1"/>
  <c r="Q18" i="60" s="1"/>
  <c r="Q3" i="60"/>
  <c r="M3" i="60"/>
  <c r="I3" i="60"/>
  <c r="H3" i="60"/>
  <c r="M2" i="60"/>
  <c r="I2" i="60"/>
  <c r="H2" i="60"/>
  <c r="F39" i="27"/>
  <c r="E39" i="27"/>
  <c r="F38" i="27"/>
  <c r="E38" i="27"/>
  <c r="F37" i="27"/>
  <c r="E37" i="27"/>
  <c r="AH36" i="27"/>
  <c r="F36" i="27"/>
  <c r="E36" i="27"/>
  <c r="F35" i="27"/>
  <c r="E35" i="27"/>
  <c r="F34" i="27"/>
  <c r="E34" i="27"/>
  <c r="AC33" i="27"/>
  <c r="AB33" i="27"/>
  <c r="AD33" i="27" s="1"/>
  <c r="X33" i="27"/>
  <c r="F33" i="27"/>
  <c r="E33" i="27"/>
  <c r="X32" i="27"/>
  <c r="AC32" i="27" s="1"/>
  <c r="F32" i="27"/>
  <c r="E32" i="27"/>
  <c r="X31" i="27"/>
  <c r="AC31" i="27" s="1"/>
  <c r="F31" i="27"/>
  <c r="E31" i="27"/>
  <c r="AC30" i="27"/>
  <c r="Z30" i="27"/>
  <c r="X30" i="27"/>
  <c r="Z31" i="27" s="1"/>
  <c r="F30" i="27"/>
  <c r="E30" i="27"/>
  <c r="AC29" i="27"/>
  <c r="Z29" i="27"/>
  <c r="X29" i="27"/>
  <c r="Z28" i="27"/>
  <c r="X28" i="27"/>
  <c r="AC28" i="27" s="1"/>
  <c r="Z27" i="27"/>
  <c r="X27" i="27"/>
  <c r="AC26" i="27"/>
  <c r="X26" i="27"/>
  <c r="AC25" i="27"/>
  <c r="X25" i="27"/>
  <c r="Z26" i="27" s="1"/>
  <c r="E25" i="27"/>
  <c r="C187" i="62" s="1"/>
  <c r="Z24" i="27"/>
  <c r="X24" i="27"/>
  <c r="AC23" i="27"/>
  <c r="X23" i="27"/>
  <c r="E23" i="27"/>
  <c r="C185" i="62" s="1"/>
  <c r="X22" i="27"/>
  <c r="AC22" i="27" s="1"/>
  <c r="X21" i="27"/>
  <c r="Z22" i="27" s="1"/>
  <c r="E21" i="27"/>
  <c r="AC20" i="27"/>
  <c r="X20" i="27"/>
  <c r="Z21" i="27" s="1"/>
  <c r="Z19" i="27"/>
  <c r="X19" i="27"/>
  <c r="AC19" i="27" s="1"/>
  <c r="E19" i="27"/>
  <c r="AC18" i="27"/>
  <c r="X18" i="27"/>
  <c r="AC17" i="27"/>
  <c r="X17" i="27"/>
  <c r="Z18" i="27" s="1"/>
  <c r="E17" i="27"/>
  <c r="F17" i="27" s="1"/>
  <c r="D17" i="27"/>
  <c r="C31" i="27" s="1"/>
  <c r="D30" i="27" s="1"/>
  <c r="Z16" i="27"/>
  <c r="X16" i="27"/>
  <c r="AC15" i="27"/>
  <c r="X15" i="27"/>
  <c r="AC14" i="27"/>
  <c r="Z14" i="27"/>
  <c r="X14" i="27"/>
  <c r="Z15" i="27" s="1"/>
  <c r="Z13" i="27"/>
  <c r="X13" i="27"/>
  <c r="AC13" i="27" s="1"/>
  <c r="Z12" i="27"/>
  <c r="X12" i="27"/>
  <c r="T12" i="27"/>
  <c r="S12" i="27"/>
  <c r="R12" i="27"/>
  <c r="O12" i="27"/>
  <c r="I26" i="27" s="1"/>
  <c r="M12" i="27"/>
  <c r="J12" i="27"/>
  <c r="L12" i="27" s="1"/>
  <c r="G26" i="27" s="1"/>
  <c r="I12" i="27"/>
  <c r="E26" i="27" s="1"/>
  <c r="AC11" i="27"/>
  <c r="X11" i="27"/>
  <c r="T11" i="27"/>
  <c r="S11" i="27"/>
  <c r="R11" i="27"/>
  <c r="M11" i="27"/>
  <c r="O11" i="27" s="1"/>
  <c r="I25" i="27" s="1"/>
  <c r="L11" i="27"/>
  <c r="G25" i="27" s="1"/>
  <c r="J11" i="27"/>
  <c r="I11" i="27"/>
  <c r="AC10" i="27"/>
  <c r="Z10" i="27"/>
  <c r="X10" i="27"/>
  <c r="Z11" i="27" s="1"/>
  <c r="S10" i="27"/>
  <c r="R10" i="27"/>
  <c r="T10" i="27" s="1"/>
  <c r="M10" i="27"/>
  <c r="O10" i="27" s="1"/>
  <c r="I24" i="27" s="1"/>
  <c r="J10" i="27"/>
  <c r="L10" i="27" s="1"/>
  <c r="G24" i="27" s="1"/>
  <c r="I10" i="27"/>
  <c r="E24" i="27" s="1"/>
  <c r="Z9" i="27"/>
  <c r="X9" i="27"/>
  <c r="AC9" i="27" s="1"/>
  <c r="T9" i="27"/>
  <c r="S9" i="27"/>
  <c r="R9" i="27"/>
  <c r="M9" i="27"/>
  <c r="O9" i="27" s="1"/>
  <c r="I23" i="27" s="1"/>
  <c r="J9" i="27"/>
  <c r="L9" i="27" s="1"/>
  <c r="G23" i="27" s="1"/>
  <c r="I9" i="27"/>
  <c r="Z8" i="27"/>
  <c r="X8" i="27"/>
  <c r="T8" i="27"/>
  <c r="S8" i="27"/>
  <c r="R8" i="27"/>
  <c r="O8" i="27"/>
  <c r="I22" i="27" s="1"/>
  <c r="M8" i="27"/>
  <c r="J8" i="27"/>
  <c r="L8" i="27" s="1"/>
  <c r="G22" i="27" s="1"/>
  <c r="I8" i="27"/>
  <c r="E22" i="27" s="1"/>
  <c r="AC7" i="27"/>
  <c r="X7" i="27"/>
  <c r="T7" i="27"/>
  <c r="S7" i="27"/>
  <c r="R7" i="27"/>
  <c r="M7" i="27"/>
  <c r="O7" i="27" s="1"/>
  <c r="I21" i="27" s="1"/>
  <c r="L7" i="27"/>
  <c r="G21" i="27" s="1"/>
  <c r="J7" i="27"/>
  <c r="I7" i="27"/>
  <c r="AC6" i="27"/>
  <c r="Z6" i="27"/>
  <c r="X6" i="27"/>
  <c r="Z7" i="27" s="1"/>
  <c r="S6" i="27"/>
  <c r="R6" i="27"/>
  <c r="T6" i="27" s="1"/>
  <c r="M6" i="27"/>
  <c r="O6" i="27" s="1"/>
  <c r="I20" i="27" s="1"/>
  <c r="J6" i="27"/>
  <c r="L6" i="27" s="1"/>
  <c r="G20" i="27" s="1"/>
  <c r="I6" i="27"/>
  <c r="E20" i="27" s="1"/>
  <c r="X5" i="27"/>
  <c r="AC5" i="27" s="1"/>
  <c r="T5" i="27"/>
  <c r="S5" i="27"/>
  <c r="R5" i="27"/>
  <c r="M5" i="27"/>
  <c r="O5" i="27" s="1"/>
  <c r="I19" i="27" s="1"/>
  <c r="J5" i="27"/>
  <c r="L5" i="27" s="1"/>
  <c r="G19" i="27" s="1"/>
  <c r="I5" i="27"/>
  <c r="AA4" i="27"/>
  <c r="X4" i="27"/>
  <c r="S4" i="27"/>
  <c r="T4" i="27" s="1"/>
  <c r="R4" i="27"/>
  <c r="O4" i="27"/>
  <c r="I18" i="27" s="1"/>
  <c r="M4" i="27"/>
  <c r="L4" i="27"/>
  <c r="G18" i="27" s="1"/>
  <c r="J4" i="27"/>
  <c r="I4" i="27"/>
  <c r="E18" i="27" s="1"/>
  <c r="C4" i="27"/>
  <c r="T3" i="27"/>
  <c r="S3" i="27"/>
  <c r="R3" i="27"/>
  <c r="O3" i="27"/>
  <c r="I17" i="27" s="1"/>
  <c r="J17" i="27" s="1"/>
  <c r="M3" i="27"/>
  <c r="J3" i="27"/>
  <c r="L3" i="27" s="1"/>
  <c r="G17" i="27" s="1"/>
  <c r="H17" i="27" s="1"/>
  <c r="I3" i="27"/>
  <c r="F188" i="62"/>
  <c r="E188" i="62"/>
  <c r="D188" i="62"/>
  <c r="F187" i="62"/>
  <c r="E187" i="62"/>
  <c r="D187" i="62"/>
  <c r="F186" i="62"/>
  <c r="E186" i="62"/>
  <c r="D186" i="62"/>
  <c r="F185" i="62"/>
  <c r="E185" i="62"/>
  <c r="D185" i="62"/>
  <c r="F184" i="62"/>
  <c r="E184" i="62"/>
  <c r="D184" i="62"/>
  <c r="F183" i="62"/>
  <c r="E183" i="62"/>
  <c r="D183" i="62"/>
  <c r="C183" i="62"/>
  <c r="F182" i="62"/>
  <c r="E182" i="62"/>
  <c r="D182" i="62"/>
  <c r="F181" i="62"/>
  <c r="E181" i="62"/>
  <c r="D181" i="62"/>
  <c r="C181" i="62"/>
  <c r="F180" i="62"/>
  <c r="E180" i="62"/>
  <c r="D180" i="62"/>
  <c r="F179" i="62"/>
  <c r="E179" i="62"/>
  <c r="D179" i="62"/>
  <c r="G166" i="62"/>
  <c r="F166" i="62"/>
  <c r="E166" i="62"/>
  <c r="G165" i="62"/>
  <c r="F165" i="62"/>
  <c r="E165" i="62"/>
  <c r="G164" i="62"/>
  <c r="F164" i="62"/>
  <c r="E164" i="62"/>
  <c r="G163" i="62"/>
  <c r="F163" i="62"/>
  <c r="E163" i="62"/>
  <c r="G162" i="62"/>
  <c r="F162" i="62"/>
  <c r="E162" i="62"/>
  <c r="G161" i="62"/>
  <c r="F161" i="62"/>
  <c r="E161" i="62"/>
  <c r="G160" i="62"/>
  <c r="F160" i="62"/>
  <c r="E160" i="62"/>
  <c r="G159" i="62"/>
  <c r="F159" i="62"/>
  <c r="E159" i="62"/>
  <c r="G158" i="62"/>
  <c r="F158" i="62"/>
  <c r="E158" i="62"/>
  <c r="G157" i="62"/>
  <c r="F157" i="62"/>
  <c r="E157" i="62"/>
  <c r="G156" i="62"/>
  <c r="F156" i="62"/>
  <c r="E156" i="62"/>
  <c r="G155" i="62"/>
  <c r="F155" i="62"/>
  <c r="E155" i="62"/>
  <c r="G154" i="62"/>
  <c r="F154" i="62"/>
  <c r="E154" i="62"/>
  <c r="G153" i="62"/>
  <c r="F153" i="62"/>
  <c r="E153" i="62"/>
  <c r="G152" i="62"/>
  <c r="F152" i="62"/>
  <c r="E152" i="62"/>
  <c r="G151" i="62"/>
  <c r="F151" i="62"/>
  <c r="E151" i="62"/>
  <c r="G150" i="62"/>
  <c r="F150" i="62"/>
  <c r="E150" i="62"/>
  <c r="G149" i="62"/>
  <c r="F149" i="62"/>
  <c r="E149" i="62"/>
  <c r="G148" i="62"/>
  <c r="F148" i="62"/>
  <c r="E148" i="62"/>
  <c r="G147" i="62"/>
  <c r="F147" i="62"/>
  <c r="E147" i="62"/>
  <c r="G146" i="62"/>
  <c r="F146" i="62"/>
  <c r="E146" i="62"/>
  <c r="G145" i="62"/>
  <c r="F145" i="62"/>
  <c r="E145" i="62"/>
  <c r="G144" i="62"/>
  <c r="F144" i="62"/>
  <c r="E144" i="62"/>
  <c r="G143" i="62"/>
  <c r="F143" i="62"/>
  <c r="E143" i="62"/>
  <c r="G142" i="62"/>
  <c r="F142" i="62"/>
  <c r="E142" i="62"/>
  <c r="G141" i="62"/>
  <c r="F141" i="62"/>
  <c r="E141" i="62"/>
  <c r="G140" i="62"/>
  <c r="F140" i="62"/>
  <c r="E140" i="62"/>
  <c r="G139" i="62"/>
  <c r="F139" i="62"/>
  <c r="E139" i="62"/>
  <c r="G138" i="62"/>
  <c r="F138" i="62"/>
  <c r="E138" i="62"/>
  <c r="G137" i="62"/>
  <c r="F137" i="62"/>
  <c r="E137" i="62"/>
  <c r="G136" i="62"/>
  <c r="F136" i="62"/>
  <c r="E136" i="62"/>
  <c r="G135" i="62"/>
  <c r="F135" i="62"/>
  <c r="E135" i="62"/>
  <c r="G134" i="62"/>
  <c r="F134" i="62"/>
  <c r="E134" i="62"/>
  <c r="G133" i="62"/>
  <c r="F133" i="62"/>
  <c r="E133" i="62"/>
  <c r="G132" i="62"/>
  <c r="F132" i="62"/>
  <c r="E132" i="62"/>
  <c r="G131" i="62"/>
  <c r="F131" i="62"/>
  <c r="E131" i="62"/>
  <c r="G130" i="62"/>
  <c r="F130" i="62"/>
  <c r="E130" i="62"/>
  <c r="G129" i="62"/>
  <c r="F129" i="62"/>
  <c r="E129" i="62"/>
  <c r="G128" i="62"/>
  <c r="F128" i="62"/>
  <c r="E128" i="62"/>
  <c r="G127" i="62"/>
  <c r="F127" i="62"/>
  <c r="E127" i="62"/>
  <c r="G126" i="62"/>
  <c r="F126" i="62"/>
  <c r="E126" i="62"/>
  <c r="G125" i="62"/>
  <c r="F125" i="62"/>
  <c r="E125" i="62"/>
  <c r="G124" i="62"/>
  <c r="F124" i="62"/>
  <c r="E124" i="62"/>
  <c r="G123" i="62"/>
  <c r="F123" i="62"/>
  <c r="E123" i="62"/>
  <c r="C118" i="62"/>
  <c r="I118" i="62" s="1"/>
  <c r="C116" i="62"/>
  <c r="E116" i="62" s="1"/>
  <c r="C114" i="62"/>
  <c r="C112" i="62"/>
  <c r="E112" i="62" s="1"/>
  <c r="C110" i="62"/>
  <c r="N106" i="62"/>
  <c r="M106" i="62"/>
  <c r="F106" i="62"/>
  <c r="E106" i="62"/>
  <c r="M105" i="62"/>
  <c r="N105" i="62" s="1"/>
  <c r="E105" i="62"/>
  <c r="F105" i="62" s="1"/>
  <c r="N104" i="62"/>
  <c r="M104" i="62"/>
  <c r="F104" i="62"/>
  <c r="G104" i="62" s="1"/>
  <c r="E104" i="62"/>
  <c r="M103" i="62"/>
  <c r="N103" i="62" s="1"/>
  <c r="E103" i="62"/>
  <c r="F103" i="62" s="1"/>
  <c r="M102" i="62"/>
  <c r="N102" i="62" s="1"/>
  <c r="F102" i="62"/>
  <c r="G102" i="62" s="1"/>
  <c r="E102" i="62"/>
  <c r="M101" i="62"/>
  <c r="N101" i="62" s="1"/>
  <c r="E101" i="62"/>
  <c r="F101" i="62" s="1"/>
  <c r="N100" i="62"/>
  <c r="M100" i="62"/>
  <c r="E100" i="62"/>
  <c r="F100" i="62" s="1"/>
  <c r="G100" i="62" s="1"/>
  <c r="M99" i="62"/>
  <c r="N99" i="62" s="1"/>
  <c r="E99" i="62"/>
  <c r="F99" i="62" s="1"/>
  <c r="G99" i="62" s="1"/>
  <c r="N98" i="62"/>
  <c r="M98" i="62"/>
  <c r="F98" i="62"/>
  <c r="E98" i="62"/>
  <c r="M97" i="62"/>
  <c r="N97" i="62" s="1"/>
  <c r="E97" i="62"/>
  <c r="F97" i="62" s="1"/>
  <c r="N96" i="62"/>
  <c r="M96" i="62"/>
  <c r="F96" i="62"/>
  <c r="G96" i="62" s="1"/>
  <c r="E96" i="62"/>
  <c r="M95" i="62"/>
  <c r="N95" i="62" s="1"/>
  <c r="G95" i="62"/>
  <c r="J95" i="62" s="1"/>
  <c r="E95" i="62"/>
  <c r="F95" i="62" s="1"/>
  <c r="M94" i="62"/>
  <c r="N94" i="62" s="1"/>
  <c r="J94" i="62"/>
  <c r="G94" i="62"/>
  <c r="F94" i="62"/>
  <c r="E94" i="62"/>
  <c r="M93" i="62"/>
  <c r="N93" i="62" s="1"/>
  <c r="G93" i="62"/>
  <c r="E93" i="62"/>
  <c r="F93" i="62" s="1"/>
  <c r="N92" i="62"/>
  <c r="F92" i="62" s="1"/>
  <c r="M92" i="62"/>
  <c r="J92" i="62"/>
  <c r="G92" i="62"/>
  <c r="E92" i="62"/>
  <c r="M91" i="62"/>
  <c r="N91" i="62" s="1"/>
  <c r="G91" i="62"/>
  <c r="J91" i="62" s="1"/>
  <c r="E91" i="62"/>
  <c r="N90" i="62"/>
  <c r="F90" i="62" s="1"/>
  <c r="M90" i="62"/>
  <c r="J90" i="62"/>
  <c r="G90" i="62"/>
  <c r="E90" i="62"/>
  <c r="M89" i="62"/>
  <c r="N89" i="62" s="1"/>
  <c r="G89" i="62"/>
  <c r="E89" i="62"/>
  <c r="N88" i="62"/>
  <c r="M88" i="62"/>
  <c r="F88" i="62" s="1"/>
  <c r="J88" i="62"/>
  <c r="G88" i="62"/>
  <c r="E88" i="62"/>
  <c r="M87" i="62"/>
  <c r="N87" i="62" s="1"/>
  <c r="G87" i="62"/>
  <c r="J87" i="62" s="1"/>
  <c r="E87" i="62"/>
  <c r="F87" i="62" s="1"/>
  <c r="N86" i="62"/>
  <c r="M86" i="62"/>
  <c r="J86" i="62"/>
  <c r="G86" i="62"/>
  <c r="E86" i="62"/>
  <c r="F86" i="62" s="1"/>
  <c r="M85" i="62"/>
  <c r="N85" i="62" s="1"/>
  <c r="G85" i="62"/>
  <c r="E85" i="62"/>
  <c r="N84" i="62"/>
  <c r="M84" i="62"/>
  <c r="J84" i="62"/>
  <c r="G84" i="62"/>
  <c r="E84" i="62"/>
  <c r="F84" i="62" s="1"/>
  <c r="N83" i="62"/>
  <c r="F83" i="62" s="1"/>
  <c r="G83" i="62"/>
  <c r="J83" i="62" s="1"/>
  <c r="AS79" i="62"/>
  <c r="AR79" i="62"/>
  <c r="AQ79" i="62"/>
  <c r="AP79" i="62"/>
  <c r="AO79" i="62"/>
  <c r="AM79" i="62"/>
  <c r="AK79" i="62"/>
  <c r="AI79" i="62"/>
  <c r="AG79" i="62"/>
  <c r="AS78" i="62"/>
  <c r="AR78" i="62"/>
  <c r="AQ78" i="62"/>
  <c r="AP78" i="62"/>
  <c r="AO78" i="62"/>
  <c r="AM78" i="62"/>
  <c r="AK78" i="62"/>
  <c r="AI78" i="62"/>
  <c r="AG78" i="62"/>
  <c r="AS77" i="62"/>
  <c r="AR77" i="62"/>
  <c r="AQ77" i="62"/>
  <c r="AP77" i="62"/>
  <c r="AO77" i="62"/>
  <c r="AM77" i="62"/>
  <c r="AK77" i="62"/>
  <c r="AI77" i="62"/>
  <c r="AG77" i="62"/>
  <c r="AS76" i="62"/>
  <c r="AR76" i="62"/>
  <c r="AQ76" i="62"/>
  <c r="AP76" i="62"/>
  <c r="AO76" i="62"/>
  <c r="AM76" i="62"/>
  <c r="AK76" i="62"/>
  <c r="AI76" i="62"/>
  <c r="AG76" i="62"/>
  <c r="AS75" i="62"/>
  <c r="AR75" i="62"/>
  <c r="AQ75" i="62"/>
  <c r="AP75" i="62"/>
  <c r="AO75" i="62"/>
  <c r="AM75" i="62"/>
  <c r="AK75" i="62"/>
  <c r="AI75" i="62"/>
  <c r="AG75" i="62"/>
  <c r="AS74" i="62"/>
  <c r="AR74" i="62"/>
  <c r="AQ74" i="62"/>
  <c r="AP74" i="62"/>
  <c r="AO74" i="62"/>
  <c r="AM74" i="62"/>
  <c r="AK74" i="62"/>
  <c r="AI74" i="62"/>
  <c r="AG74" i="62"/>
  <c r="AS73" i="62"/>
  <c r="AR73" i="62"/>
  <c r="AQ73" i="62"/>
  <c r="AP73" i="62"/>
  <c r="AO73" i="62"/>
  <c r="AM73" i="62"/>
  <c r="AK73" i="62"/>
  <c r="AI73" i="62"/>
  <c r="AG73" i="62"/>
  <c r="AS72" i="62"/>
  <c r="AR72" i="62"/>
  <c r="AQ72" i="62"/>
  <c r="AP72" i="62"/>
  <c r="AO72" i="62"/>
  <c r="AM72" i="62"/>
  <c r="AK72" i="62"/>
  <c r="AI72" i="62"/>
  <c r="AG72" i="62"/>
  <c r="AS71" i="62"/>
  <c r="AR71" i="62"/>
  <c r="AQ71" i="62"/>
  <c r="AP71" i="62"/>
  <c r="AO71" i="62"/>
  <c r="AM71" i="62"/>
  <c r="AK71" i="62"/>
  <c r="AI71" i="62"/>
  <c r="AG71" i="62"/>
  <c r="AS70" i="62"/>
  <c r="AR70" i="62"/>
  <c r="AQ70" i="62"/>
  <c r="AP70" i="62"/>
  <c r="AO70" i="62"/>
  <c r="AM70" i="62"/>
  <c r="AK70" i="62"/>
  <c r="AI70" i="62"/>
  <c r="AG70" i="62"/>
  <c r="U65" i="62"/>
  <c r="U64" i="62"/>
  <c r="U61" i="62"/>
  <c r="U59" i="62"/>
  <c r="U58" i="62"/>
  <c r="U57" i="62"/>
  <c r="E53" i="62"/>
  <c r="H53" i="62" s="1"/>
  <c r="H52" i="62"/>
  <c r="E52" i="62"/>
  <c r="G52" i="62" s="1"/>
  <c r="E51" i="62"/>
  <c r="H51" i="62" s="1"/>
  <c r="H50" i="62"/>
  <c r="E50" i="62"/>
  <c r="G50" i="62" s="1"/>
  <c r="E49" i="62"/>
  <c r="H49" i="62" s="1"/>
  <c r="H48" i="62"/>
  <c r="E48" i="62"/>
  <c r="G48" i="62" s="1"/>
  <c r="J44" i="62"/>
  <c r="J43" i="62"/>
  <c r="G43" i="62"/>
  <c r="H43" i="62" s="1"/>
  <c r="C26" i="32" s="1"/>
  <c r="J42" i="62"/>
  <c r="J41" i="62"/>
  <c r="J40" i="62"/>
  <c r="J39" i="62"/>
  <c r="J38" i="62"/>
  <c r="J37" i="62"/>
  <c r="K37" i="62" s="1"/>
  <c r="J36" i="62"/>
  <c r="AP35" i="62"/>
  <c r="AN35" i="62"/>
  <c r="AL35" i="62"/>
  <c r="AJ35" i="62"/>
  <c r="AH35" i="62"/>
  <c r="G35" i="62"/>
  <c r="H35" i="62" s="1"/>
  <c r="C18" i="32" s="1"/>
  <c r="AP34" i="62"/>
  <c r="AN34" i="62"/>
  <c r="AL34" i="62"/>
  <c r="AJ34" i="62"/>
  <c r="AH34" i="62"/>
  <c r="AP33" i="62"/>
  <c r="AN33" i="62"/>
  <c r="AL33" i="62"/>
  <c r="AJ33" i="62"/>
  <c r="AH33" i="62"/>
  <c r="G33" i="62"/>
  <c r="H33" i="62" s="1"/>
  <c r="C16" i="32" s="1"/>
  <c r="AP32" i="62"/>
  <c r="AN32" i="62"/>
  <c r="AL32" i="62"/>
  <c r="AJ32" i="62"/>
  <c r="AH32" i="62"/>
  <c r="AP31" i="62"/>
  <c r="AN31" i="62"/>
  <c r="AL31" i="62"/>
  <c r="AJ31" i="62"/>
  <c r="AH31" i="62"/>
  <c r="AP27" i="62"/>
  <c r="AO27" i="62"/>
  <c r="AN27" i="62"/>
  <c r="C27" i="62"/>
  <c r="AN26" i="62"/>
  <c r="AJ26" i="62"/>
  <c r="AG26" i="62"/>
  <c r="AP24" i="62"/>
  <c r="AO24" i="62"/>
  <c r="AN24" i="62"/>
  <c r="C22" i="62"/>
  <c r="AF18" i="62"/>
  <c r="N17" i="62"/>
  <c r="K95" i="62" s="1"/>
  <c r="C17" i="62"/>
  <c r="M17" i="62" s="1"/>
  <c r="AO16" i="62"/>
  <c r="AM16" i="62"/>
  <c r="AK16" i="62"/>
  <c r="AI16" i="62"/>
  <c r="AG16" i="62"/>
  <c r="S16" i="62"/>
  <c r="C16" i="62"/>
  <c r="M16" i="62" s="1"/>
  <c r="AO15" i="62"/>
  <c r="AM15" i="62"/>
  <c r="AK15" i="62"/>
  <c r="AI15" i="62"/>
  <c r="AG15" i="62"/>
  <c r="S15" i="62"/>
  <c r="C15" i="62"/>
  <c r="M15" i="62" s="1"/>
  <c r="AY13" i="62"/>
  <c r="AW13" i="62"/>
  <c r="AT13" i="62"/>
  <c r="E13" i="62"/>
  <c r="F13" i="62" s="1"/>
  <c r="D13" i="62"/>
  <c r="C13" i="62"/>
  <c r="M13" i="62" s="1"/>
  <c r="N13" i="62" s="1"/>
  <c r="AY7" i="62"/>
  <c r="AW7" i="62"/>
  <c r="AT7" i="62"/>
  <c r="AE7" i="62"/>
  <c r="AP6" i="62"/>
  <c r="AO28" i="62" s="1"/>
  <c r="AN6" i="62"/>
  <c r="AN28" i="62" s="1"/>
  <c r="AL6" i="62"/>
  <c r="AL28" i="62" s="1"/>
  <c r="AJ6" i="62"/>
  <c r="AJ28" i="62" s="1"/>
  <c r="AH6" i="62"/>
  <c r="AG28" i="62" s="1"/>
  <c r="AP5" i="62"/>
  <c r="AN5" i="62"/>
  <c r="AM27" i="62" s="1"/>
  <c r="AL5" i="62"/>
  <c r="AL27" i="62" s="1"/>
  <c r="AJ5" i="62"/>
  <c r="AJ27" i="62" s="1"/>
  <c r="AH5" i="62"/>
  <c r="AH27" i="62" s="1"/>
  <c r="AP4" i="62"/>
  <c r="AP26" i="62" s="1"/>
  <c r="AN4" i="62"/>
  <c r="AM26" i="62" s="1"/>
  <c r="AL4" i="62"/>
  <c r="AL26" i="62" s="1"/>
  <c r="AJ4" i="62"/>
  <c r="AI26" i="62" s="1"/>
  <c r="AH4" i="62"/>
  <c r="AH26" i="62" s="1"/>
  <c r="C4" i="62"/>
  <c r="AP3" i="62"/>
  <c r="AP25" i="62" s="1"/>
  <c r="AN3" i="62"/>
  <c r="AN25" i="62" s="1"/>
  <c r="AL3" i="62"/>
  <c r="AK25" i="62" s="1"/>
  <c r="AJ3" i="62"/>
  <c r="AJ25" i="62" s="1"/>
  <c r="AH3" i="62"/>
  <c r="AH25" i="62" s="1"/>
  <c r="AP2" i="62"/>
  <c r="AN2" i="62"/>
  <c r="AM24" i="62" s="1"/>
  <c r="AL2" i="62"/>
  <c r="AL24" i="62" s="1"/>
  <c r="AJ2" i="62"/>
  <c r="AJ24" i="62" s="1"/>
  <c r="AH2" i="62"/>
  <c r="AH24" i="62" s="1"/>
  <c r="C111" i="1"/>
  <c r="D100" i="1"/>
  <c r="C100" i="1"/>
  <c r="D99" i="1"/>
  <c r="C99" i="1"/>
  <c r="D98" i="1"/>
  <c r="C98" i="1"/>
  <c r="F92" i="1"/>
  <c r="G92" i="1" s="1"/>
  <c r="E92" i="1"/>
  <c r="E91" i="1"/>
  <c r="F91" i="1" s="1"/>
  <c r="G91" i="1" s="1"/>
  <c r="F90" i="1"/>
  <c r="G90" i="1" s="1"/>
  <c r="E90" i="1"/>
  <c r="E89" i="1"/>
  <c r="E88" i="1"/>
  <c r="E87" i="1"/>
  <c r="E86" i="1"/>
  <c r="F86" i="1" s="1"/>
  <c r="F85" i="1"/>
  <c r="G85" i="1" s="1"/>
  <c r="E85" i="1"/>
  <c r="E84" i="1"/>
  <c r="F84" i="1" s="1"/>
  <c r="G84" i="1" s="1"/>
  <c r="F83" i="1"/>
  <c r="G83" i="1" s="1"/>
  <c r="E83" i="1"/>
  <c r="E82" i="1"/>
  <c r="F82" i="1" s="1"/>
  <c r="G82" i="1" s="1"/>
  <c r="E81" i="1"/>
  <c r="E80" i="1"/>
  <c r="F80" i="1" s="1"/>
  <c r="G80" i="1" s="1"/>
  <c r="E79" i="1"/>
  <c r="F79" i="1" s="1"/>
  <c r="F78" i="1"/>
  <c r="G78" i="1" s="1"/>
  <c r="E78" i="1"/>
  <c r="E77" i="1"/>
  <c r="F77" i="1" s="1"/>
  <c r="G77" i="1" s="1"/>
  <c r="F76" i="1"/>
  <c r="G76" i="1" s="1"/>
  <c r="E76" i="1"/>
  <c r="E75" i="1"/>
  <c r="E74" i="1"/>
  <c r="E73" i="1"/>
  <c r="E72" i="1"/>
  <c r="F72" i="1" s="1"/>
  <c r="J68" i="1"/>
  <c r="H68" i="1"/>
  <c r="G68" i="1"/>
  <c r="I68" i="1" s="1"/>
  <c r="K68" i="1" s="1"/>
  <c r="J67" i="1"/>
  <c r="H67" i="1"/>
  <c r="I67" i="1" s="1"/>
  <c r="K67" i="1" s="1"/>
  <c r="G67" i="1"/>
  <c r="J66" i="1"/>
  <c r="I66" i="1"/>
  <c r="K66" i="1" s="1"/>
  <c r="H66" i="1"/>
  <c r="G66" i="1"/>
  <c r="J65" i="1"/>
  <c r="H65" i="1"/>
  <c r="G65" i="1"/>
  <c r="I65" i="1" s="1"/>
  <c r="K65" i="1" s="1"/>
  <c r="B61" i="1"/>
  <c r="H46" i="2"/>
  <c r="E42" i="7" s="1"/>
  <c r="I45" i="2"/>
  <c r="H45" i="2"/>
  <c r="E41" i="7" s="1"/>
  <c r="I44" i="2"/>
  <c r="H44" i="2"/>
  <c r="E40" i="7" s="1"/>
  <c r="H43" i="2"/>
  <c r="E39" i="7" s="1"/>
  <c r="H42" i="2"/>
  <c r="E38" i="7" s="1"/>
  <c r="C42" i="2"/>
  <c r="H41" i="2"/>
  <c r="E37" i="7" s="1"/>
  <c r="C41" i="2"/>
  <c r="D40" i="2"/>
  <c r="E40" i="2" s="1"/>
  <c r="C40" i="2"/>
  <c r="F36" i="2"/>
  <c r="F35" i="2"/>
  <c r="I43" i="2" s="1"/>
  <c r="F34" i="2"/>
  <c r="I42" i="2" s="1"/>
  <c r="Q30" i="2"/>
  <c r="P30" i="2"/>
  <c r="D30" i="2"/>
  <c r="C30" i="2"/>
  <c r="Q29" i="2"/>
  <c r="P29" i="2"/>
  <c r="D29" i="2"/>
  <c r="C29" i="2"/>
  <c r="Q28" i="2"/>
  <c r="P28" i="2"/>
  <c r="D28" i="2"/>
  <c r="C28" i="2"/>
  <c r="Q27" i="2"/>
  <c r="P27" i="2"/>
  <c r="D27" i="2"/>
  <c r="C27" i="2"/>
  <c r="Q26" i="2"/>
  <c r="P26" i="2"/>
  <c r="D26" i="2"/>
  <c r="C26" i="2"/>
  <c r="Q25" i="2"/>
  <c r="P25" i="2"/>
  <c r="D25" i="2"/>
  <c r="C25" i="2"/>
  <c r="D24" i="2"/>
  <c r="C24" i="2"/>
  <c r="K20" i="2"/>
  <c r="F20" i="2"/>
  <c r="H19" i="2"/>
  <c r="F19" i="2"/>
  <c r="F18" i="2"/>
  <c r="G17" i="2"/>
  <c r="F16" i="2"/>
  <c r="H15" i="2"/>
  <c r="G15" i="2"/>
  <c r="J14" i="2"/>
  <c r="I14" i="2"/>
  <c r="H14" i="2"/>
  <c r="F14" i="2"/>
  <c r="G10" i="2"/>
  <c r="F10" i="2"/>
  <c r="G9" i="2"/>
  <c r="F9" i="2"/>
  <c r="G8" i="2"/>
  <c r="F8" i="2"/>
  <c r="G7" i="2"/>
  <c r="F7" i="2"/>
  <c r="G6" i="2"/>
  <c r="F6" i="2"/>
  <c r="G5" i="2"/>
  <c r="F5" i="2"/>
  <c r="G4" i="2"/>
  <c r="F4" i="2"/>
  <c r="T21" i="7" l="1"/>
  <c r="G21" i="7"/>
  <c r="G20" i="7"/>
  <c r="T20" i="7"/>
  <c r="CJ10" i="7"/>
  <c r="CS10" i="7" s="1"/>
  <c r="T19" i="7"/>
  <c r="K15" i="7"/>
  <c r="H6" i="34" s="1"/>
  <c r="N20" i="7"/>
  <c r="AV13" i="24"/>
  <c r="K19" i="7"/>
  <c r="H10" i="34" s="1"/>
  <c r="K24" i="7"/>
  <c r="K15" i="26" s="1"/>
  <c r="G24" i="7"/>
  <c r="AV6" i="24"/>
  <c r="W10" i="9" s="1"/>
  <c r="CA14" i="24"/>
  <c r="AX14" i="24" s="1"/>
  <c r="Y18" i="9" s="1"/>
  <c r="CA4" i="24"/>
  <c r="AX4" i="24" s="1"/>
  <c r="Y8" i="9" s="1"/>
  <c r="BZ5" i="24"/>
  <c r="AW5" i="24" s="1"/>
  <c r="X9" i="9" s="1"/>
  <c r="CA12" i="24"/>
  <c r="AX12" i="24" s="1"/>
  <c r="Y16" i="9" s="1"/>
  <c r="AV14" i="24"/>
  <c r="K14" i="7"/>
  <c r="T23" i="7"/>
  <c r="AV9" i="24"/>
  <c r="W13" i="9" s="1"/>
  <c r="AV10" i="24"/>
  <c r="W14" i="9" s="1"/>
  <c r="CA5" i="24"/>
  <c r="AX5" i="24" s="1"/>
  <c r="Y9" i="9" s="1"/>
  <c r="CA6" i="24"/>
  <c r="AX6" i="24" s="1"/>
  <c r="Y10" i="9" s="1"/>
  <c r="BZ9" i="24"/>
  <c r="AW9" i="24" s="1"/>
  <c r="X13" i="9" s="1"/>
  <c r="BZ13" i="24"/>
  <c r="AW13" i="24" s="1"/>
  <c r="X17" i="9" s="1"/>
  <c r="N16" i="7"/>
  <c r="AI4" i="7"/>
  <c r="CA10" i="24"/>
  <c r="AX10" i="24" s="1"/>
  <c r="Y14" i="9" s="1"/>
  <c r="K16" i="7"/>
  <c r="K7" i="26" s="1"/>
  <c r="K21" i="7"/>
  <c r="H12" i="34" s="1"/>
  <c r="K18" i="7"/>
  <c r="Z22" i="7" s="1"/>
  <c r="AV21" i="24"/>
  <c r="W25" i="9" s="1"/>
  <c r="AV29" i="24"/>
  <c r="K22" i="7"/>
  <c r="CA8" i="24"/>
  <c r="AX8" i="24" s="1"/>
  <c r="Y12" i="9" s="1"/>
  <c r="AV25" i="24"/>
  <c r="W29" i="9" s="1"/>
  <c r="H9" i="57"/>
  <c r="J53" i="51"/>
  <c r="J68" i="51"/>
  <c r="J101" i="51"/>
  <c r="J93" i="51"/>
  <c r="J201" i="51"/>
  <c r="F49" i="51"/>
  <c r="K85" i="62"/>
  <c r="K40" i="62"/>
  <c r="G97" i="62"/>
  <c r="G105" i="62"/>
  <c r="AI25" i="62"/>
  <c r="AO26" i="62"/>
  <c r="AH28" i="62"/>
  <c r="AN36" i="62"/>
  <c r="AP36" i="62"/>
  <c r="AI28" i="62"/>
  <c r="G103" i="62"/>
  <c r="AL36" i="62"/>
  <c r="AG24" i="62"/>
  <c r="AL25" i="62"/>
  <c r="AG27" i="62"/>
  <c r="AK28" i="62"/>
  <c r="G98" i="62"/>
  <c r="G106" i="62"/>
  <c r="AM25" i="62"/>
  <c r="AJ36" i="62"/>
  <c r="AH36" i="62"/>
  <c r="G101" i="62"/>
  <c r="AK24" i="62"/>
  <c r="AK27" i="62"/>
  <c r="AM28" i="62"/>
  <c r="K92" i="62"/>
  <c r="K94" i="62"/>
  <c r="G112" i="62"/>
  <c r="K38" i="62"/>
  <c r="K41" i="62"/>
  <c r="M57" i="63"/>
  <c r="O58" i="63"/>
  <c r="X19" i="32"/>
  <c r="H68" i="32"/>
  <c r="AA25" i="32"/>
  <c r="Y19" i="32"/>
  <c r="X20" i="32"/>
  <c r="AQ22" i="32"/>
  <c r="AQ25" i="32"/>
  <c r="H69" i="32"/>
  <c r="J385" i="51"/>
  <c r="J373" i="51"/>
  <c r="F328" i="51"/>
  <c r="F345" i="51"/>
  <c r="J334" i="51"/>
  <c r="J326" i="51"/>
  <c r="F321" i="51"/>
  <c r="J323" i="51"/>
  <c r="J316" i="51"/>
  <c r="F311" i="51"/>
  <c r="J223" i="51"/>
  <c r="F245" i="51"/>
  <c r="J234" i="51"/>
  <c r="J226" i="51"/>
  <c r="J216" i="51"/>
  <c r="F211" i="51"/>
  <c r="J285" i="51"/>
  <c r="J273" i="51"/>
  <c r="F228" i="51"/>
  <c r="F221" i="51"/>
  <c r="R96" i="32"/>
  <c r="F110" i="41"/>
  <c r="F195" i="62"/>
  <c r="F198" i="62"/>
  <c r="F219" i="62"/>
  <c r="F209" i="62"/>
  <c r="F214" i="62"/>
  <c r="F200" i="62"/>
  <c r="J311" i="51"/>
  <c r="J211" i="51"/>
  <c r="G7" i="63"/>
  <c r="H7" i="63" s="1"/>
  <c r="J146" i="51"/>
  <c r="J346" i="51"/>
  <c r="F315" i="51"/>
  <c r="F215" i="51"/>
  <c r="J246" i="51"/>
  <c r="K89" i="62"/>
  <c r="N28" i="32"/>
  <c r="AK20" i="32"/>
  <c r="AQ21" i="32"/>
  <c r="J378" i="51"/>
  <c r="F313" i="51"/>
  <c r="J343" i="51"/>
  <c r="J339" i="51"/>
  <c r="J388" i="51"/>
  <c r="J320" i="51"/>
  <c r="F319" i="51"/>
  <c r="J243" i="51"/>
  <c r="J239" i="51"/>
  <c r="F213" i="51"/>
  <c r="J288" i="51"/>
  <c r="J220" i="51"/>
  <c r="F219" i="51"/>
  <c r="J278" i="51"/>
  <c r="M60" i="41"/>
  <c r="F202" i="62"/>
  <c r="F212" i="62"/>
  <c r="F205" i="62"/>
  <c r="F216" i="62"/>
  <c r="J46" i="51"/>
  <c r="F133" i="51"/>
  <c r="F333" i="51"/>
  <c r="F233" i="51"/>
  <c r="F149" i="51"/>
  <c r="P74" i="32"/>
  <c r="S74" i="32" s="1"/>
  <c r="R77" i="32"/>
  <c r="AV71" i="62"/>
  <c r="K84" i="62"/>
  <c r="K86" i="62"/>
  <c r="K93" i="62"/>
  <c r="AG19" i="32"/>
  <c r="E28" i="32"/>
  <c r="R73" i="32"/>
  <c r="P76" i="32"/>
  <c r="S76" i="32" s="1"/>
  <c r="P80" i="32"/>
  <c r="S80" i="32" s="1"/>
  <c r="R82" i="32"/>
  <c r="P85" i="32"/>
  <c r="S85" i="32" s="1"/>
  <c r="P90" i="32"/>
  <c r="S90" i="32" s="1"/>
  <c r="P92" i="32"/>
  <c r="S92" i="32" s="1"/>
  <c r="R94" i="32"/>
  <c r="R314" i="51"/>
  <c r="S326" i="51"/>
  <c r="S322" i="51"/>
  <c r="S318" i="51"/>
  <c r="S314" i="51"/>
  <c r="S325" i="51"/>
  <c r="S321" i="51"/>
  <c r="S317" i="51"/>
  <c r="S324" i="51"/>
  <c r="S316" i="51"/>
  <c r="S328" i="51"/>
  <c r="S320" i="51"/>
  <c r="S323" i="51"/>
  <c r="S319" i="51"/>
  <c r="S327" i="51"/>
  <c r="S315" i="51"/>
  <c r="R323" i="51"/>
  <c r="R320" i="51"/>
  <c r="R339" i="51"/>
  <c r="R342" i="51"/>
  <c r="R316" i="51"/>
  <c r="R345" i="51"/>
  <c r="R317" i="51"/>
  <c r="R321" i="51"/>
  <c r="R324" i="51"/>
  <c r="R315" i="51"/>
  <c r="R328" i="51"/>
  <c r="R341" i="51"/>
  <c r="R319" i="51"/>
  <c r="R325" i="51"/>
  <c r="R343" i="51"/>
  <c r="R340" i="51"/>
  <c r="R327" i="51"/>
  <c r="R346" i="51"/>
  <c r="R344" i="51"/>
  <c r="R332" i="51"/>
  <c r="R322" i="51"/>
  <c r="R338" i="51"/>
  <c r="R326" i="51"/>
  <c r="R318" i="51"/>
  <c r="R331" i="51"/>
  <c r="J119" i="51"/>
  <c r="J319" i="51"/>
  <c r="F306" i="51"/>
  <c r="J219" i="51"/>
  <c r="F206" i="51"/>
  <c r="J61" i="63"/>
  <c r="Y28" i="32"/>
  <c r="AA21" i="32"/>
  <c r="AV72" i="62"/>
  <c r="AV73" i="62"/>
  <c r="AG27" i="32"/>
  <c r="Y24" i="32"/>
  <c r="AK30" i="32"/>
  <c r="S73" i="32"/>
  <c r="C62" i="47" s="1"/>
  <c r="P78" i="32"/>
  <c r="S78" i="32" s="1"/>
  <c r="P84" i="32"/>
  <c r="S84" i="32" s="1"/>
  <c r="G6" i="63"/>
  <c r="H6" i="63" s="1"/>
  <c r="F30" i="32"/>
  <c r="AV76" i="62"/>
  <c r="K83" i="62"/>
  <c r="K90" i="62"/>
  <c r="AK28" i="32"/>
  <c r="T21" i="32"/>
  <c r="AK19" i="32"/>
  <c r="N23" i="32"/>
  <c r="Y29" i="32"/>
  <c r="F194" i="62"/>
  <c r="F218" i="62"/>
  <c r="F197" i="62"/>
  <c r="F211" i="62"/>
  <c r="F215" i="62"/>
  <c r="F201" i="62"/>
  <c r="F208" i="62"/>
  <c r="F204" i="62"/>
  <c r="J365" i="51"/>
  <c r="J338" i="51"/>
  <c r="F318" i="51"/>
  <c r="F218" i="51"/>
  <c r="J238" i="51"/>
  <c r="J265" i="51"/>
  <c r="J191" i="51"/>
  <c r="J401" i="51"/>
  <c r="O409" i="51" s="1"/>
  <c r="J393" i="51"/>
  <c r="J353" i="51"/>
  <c r="F332" i="51"/>
  <c r="J391" i="51"/>
  <c r="J368" i="51"/>
  <c r="J291" i="51"/>
  <c r="J268" i="51"/>
  <c r="J301" i="51"/>
  <c r="J293" i="51"/>
  <c r="J253" i="51"/>
  <c r="F232" i="51"/>
  <c r="J359" i="51"/>
  <c r="J380" i="51"/>
  <c r="J259" i="51"/>
  <c r="J280" i="51"/>
  <c r="F106" i="51"/>
  <c r="K58" i="63"/>
  <c r="K59" i="63"/>
  <c r="W81" i="32"/>
  <c r="Y81" i="32" s="1"/>
  <c r="AV70" i="62"/>
  <c r="AV75" i="62"/>
  <c r="K88" i="62"/>
  <c r="AO30" i="32"/>
  <c r="AO31" i="32" s="1"/>
  <c r="AO32" i="32" s="1"/>
  <c r="AO33" i="32" s="1"/>
  <c r="AO34" i="32" s="1"/>
  <c r="AO35" i="32" s="1"/>
  <c r="AO36" i="32" s="1"/>
  <c r="AO37" i="32" s="1"/>
  <c r="AO38" i="32" s="1"/>
  <c r="AO39" i="32" s="1"/>
  <c r="AO40" i="32" s="1"/>
  <c r="AO41" i="32" s="1"/>
  <c r="AO42" i="32" s="1"/>
  <c r="Q73" i="32"/>
  <c r="F210" i="62"/>
  <c r="F203" i="62"/>
  <c r="F217" i="62"/>
  <c r="F196" i="62"/>
  <c r="J331" i="51"/>
  <c r="J231" i="51"/>
  <c r="J91" i="51"/>
  <c r="F352" i="51"/>
  <c r="F252" i="51"/>
  <c r="J54" i="63"/>
  <c r="G116" i="62"/>
  <c r="AH37" i="27"/>
  <c r="L114" i="62" s="1"/>
  <c r="E27" i="10"/>
  <c r="H27" i="10" s="1"/>
  <c r="J118" i="62"/>
  <c r="G44" i="62"/>
  <c r="H44" i="62" s="1"/>
  <c r="C27" i="32" s="1"/>
  <c r="C45" i="32" s="1"/>
  <c r="E45" i="32" s="1"/>
  <c r="C4" i="60"/>
  <c r="C6" i="60"/>
  <c r="C10" i="60"/>
  <c r="G34" i="62"/>
  <c r="H34" i="62" s="1"/>
  <c r="C17" i="32" s="1"/>
  <c r="D4" i="60"/>
  <c r="D6" i="60"/>
  <c r="D10" i="60"/>
  <c r="G37" i="62"/>
  <c r="H37" i="62" s="1"/>
  <c r="C20" i="32" s="1"/>
  <c r="AB57" i="32" s="1"/>
  <c r="AB58" i="32" s="1"/>
  <c r="AB59" i="32" s="1"/>
  <c r="AB60" i="32" s="1"/>
  <c r="AB61" i="32" s="1"/>
  <c r="AB62" i="32" s="1"/>
  <c r="AB63" i="32" s="1"/>
  <c r="AB64" i="32" s="1"/>
  <c r="AB65" i="32" s="1"/>
  <c r="AB66" i="32" s="1"/>
  <c r="AB67" i="32" s="1"/>
  <c r="AB68" i="32" s="1"/>
  <c r="AB69" i="32" s="1"/>
  <c r="G41" i="62"/>
  <c r="H41" i="62" s="1"/>
  <c r="C24" i="32" s="1"/>
  <c r="AF50" i="32" s="1"/>
  <c r="C3" i="60"/>
  <c r="C7" i="60"/>
  <c r="D27" i="60" s="1"/>
  <c r="C11" i="60"/>
  <c r="D3" i="60"/>
  <c r="D7" i="60"/>
  <c r="D11" i="60"/>
  <c r="G38" i="62"/>
  <c r="H38" i="62" s="1"/>
  <c r="C21" i="32" s="1"/>
  <c r="C39" i="32" s="1"/>
  <c r="E39" i="32" s="1"/>
  <c r="G42" i="62"/>
  <c r="H42" i="62" s="1"/>
  <c r="C25" i="32" s="1"/>
  <c r="AQ49" i="32" s="1"/>
  <c r="C8" i="60"/>
  <c r="G36" i="62"/>
  <c r="H36" i="62" s="1"/>
  <c r="C19" i="32" s="1"/>
  <c r="C2" i="60"/>
  <c r="U260" i="47" s="1"/>
  <c r="D8" i="60"/>
  <c r="D2" i="60"/>
  <c r="C5" i="60"/>
  <c r="U262" i="47" s="1"/>
  <c r="U261" i="47"/>
  <c r="U259" i="47"/>
  <c r="H18" i="27"/>
  <c r="G71" i="6"/>
  <c r="V71" i="6" s="1"/>
  <c r="G68" i="6"/>
  <c r="V68" i="6" s="1"/>
  <c r="G80" i="6"/>
  <c r="V80" i="6" s="1"/>
  <c r="O99" i="6"/>
  <c r="AL18" i="24" s="1"/>
  <c r="M94" i="7"/>
  <c r="N94" i="7" s="1"/>
  <c r="P110" i="6"/>
  <c r="G79" i="6"/>
  <c r="V79" i="6" s="1"/>
  <c r="H9" i="24"/>
  <c r="AY15" i="24"/>
  <c r="H19" i="24"/>
  <c r="H32" i="24"/>
  <c r="H7" i="24"/>
  <c r="H13" i="24"/>
  <c r="H16" i="24"/>
  <c r="AY26" i="24"/>
  <c r="AY29" i="24"/>
  <c r="H11" i="24"/>
  <c r="H20" i="24"/>
  <c r="AY25" i="24"/>
  <c r="H28" i="24"/>
  <c r="H12" i="24"/>
  <c r="H24" i="24"/>
  <c r="H18" i="24"/>
  <c r="H5" i="24"/>
  <c r="AY22" i="24"/>
  <c r="AY30" i="24"/>
  <c r="AY33" i="24"/>
  <c r="I37" i="5"/>
  <c r="K37" i="5" s="1"/>
  <c r="Q103" i="6"/>
  <c r="H22" i="24"/>
  <c r="G188" i="62"/>
  <c r="G181" i="62"/>
  <c r="G179" i="62"/>
  <c r="G183" i="62"/>
  <c r="R239" i="51"/>
  <c r="R231" i="51"/>
  <c r="S228" i="51"/>
  <c r="R224" i="51"/>
  <c r="S216" i="51"/>
  <c r="R228" i="51"/>
  <c r="S220" i="51"/>
  <c r="R219" i="51"/>
  <c r="R232" i="51"/>
  <c r="S214" i="51"/>
  <c r="R245" i="51"/>
  <c r="R225" i="51"/>
  <c r="S217" i="51"/>
  <c r="R222" i="51"/>
  <c r="R243" i="51"/>
  <c r="R227" i="51"/>
  <c r="R240" i="51"/>
  <c r="R220" i="51"/>
  <c r="S221" i="51"/>
  <c r="S226" i="51"/>
  <c r="R242" i="51"/>
  <c r="R216" i="51"/>
  <c r="S227" i="51"/>
  <c r="S223" i="51"/>
  <c r="R244" i="51"/>
  <c r="S225" i="51"/>
  <c r="R215" i="51"/>
  <c r="R246" i="51"/>
  <c r="R226" i="51"/>
  <c r="S218" i="51"/>
  <c r="R238" i="51"/>
  <c r="R217" i="51"/>
  <c r="S222" i="51"/>
  <c r="S224" i="51"/>
  <c r="R221" i="51"/>
  <c r="R214" i="51"/>
  <c r="S219" i="51"/>
  <c r="R223" i="51"/>
  <c r="S215" i="51"/>
  <c r="R218" i="51"/>
  <c r="R241" i="51"/>
  <c r="N206" i="47"/>
  <c r="N207" i="47" s="1"/>
  <c r="N208" i="47" s="1"/>
  <c r="N209" i="47" s="1"/>
  <c r="N210" i="47" s="1"/>
  <c r="N211" i="47" s="1"/>
  <c r="N212" i="47" s="1"/>
  <c r="N213" i="47" s="1"/>
  <c r="N214" i="47" s="1"/>
  <c r="N215" i="47" s="1"/>
  <c r="N216" i="47" s="1"/>
  <c r="N217" i="47" s="1"/>
  <c r="N218" i="47" s="1"/>
  <c r="N219" i="47" s="1"/>
  <c r="N220" i="47" s="1"/>
  <c r="N221" i="47" s="1"/>
  <c r="N222" i="47" s="1"/>
  <c r="N223" i="47" s="1"/>
  <c r="N224" i="47" s="1"/>
  <c r="N225" i="47" s="1"/>
  <c r="N226" i="47" s="1"/>
  <c r="N227" i="47" s="1"/>
  <c r="N228" i="47" s="1"/>
  <c r="N229" i="47" s="1"/>
  <c r="N230" i="47" s="1"/>
  <c r="N231" i="47" s="1"/>
  <c r="N232" i="47" s="1"/>
  <c r="N233" i="47" s="1"/>
  <c r="N234" i="47" s="1"/>
  <c r="N235" i="47" s="1"/>
  <c r="N236" i="47" s="1"/>
  <c r="N237" i="47" s="1"/>
  <c r="N238" i="47" s="1"/>
  <c r="N239" i="47" s="1"/>
  <c r="N240" i="47" s="1"/>
  <c r="N241" i="47" s="1"/>
  <c r="N242" i="47" s="1"/>
  <c r="N243" i="47" s="1"/>
  <c r="N244" i="47" s="1"/>
  <c r="N245" i="47" s="1"/>
  <c r="N246" i="47" s="1"/>
  <c r="N247" i="47" s="1"/>
  <c r="N248" i="47" s="1"/>
  <c r="N249" i="47" s="1"/>
  <c r="N250" i="47" s="1"/>
  <c r="N251" i="47" s="1"/>
  <c r="N252" i="47" s="1"/>
  <c r="N253" i="47" s="1"/>
  <c r="N254" i="47" s="1"/>
  <c r="L9" i="47"/>
  <c r="C71" i="47" s="1"/>
  <c r="Q158" i="47"/>
  <c r="Q150" i="47"/>
  <c r="Q156" i="47"/>
  <c r="G182" i="62"/>
  <c r="G184" i="62"/>
  <c r="G180" i="62"/>
  <c r="G187" i="62"/>
  <c r="G185" i="62"/>
  <c r="G186" i="62"/>
  <c r="L206" i="47"/>
  <c r="L207" i="47" s="1"/>
  <c r="L208" i="47" s="1"/>
  <c r="L209" i="47" s="1"/>
  <c r="L210" i="47" s="1"/>
  <c r="L211" i="47" s="1"/>
  <c r="L212" i="47" s="1"/>
  <c r="L213" i="47" s="1"/>
  <c r="L214" i="47" s="1"/>
  <c r="L215" i="47" s="1"/>
  <c r="L216" i="47" s="1"/>
  <c r="L217" i="47" s="1"/>
  <c r="L218" i="47" s="1"/>
  <c r="L219" i="47" s="1"/>
  <c r="L220" i="47" s="1"/>
  <c r="L221" i="47" s="1"/>
  <c r="L222" i="47" s="1"/>
  <c r="L223" i="47" s="1"/>
  <c r="L224" i="47" s="1"/>
  <c r="L225" i="47" s="1"/>
  <c r="L226" i="47" s="1"/>
  <c r="L227" i="47" s="1"/>
  <c r="L228" i="47" s="1"/>
  <c r="L229" i="47" s="1"/>
  <c r="L230" i="47" s="1"/>
  <c r="L231" i="47" s="1"/>
  <c r="L232" i="47" s="1"/>
  <c r="L233" i="47" s="1"/>
  <c r="L234" i="47" s="1"/>
  <c r="L235" i="47" s="1"/>
  <c r="L236" i="47" s="1"/>
  <c r="L237" i="47" s="1"/>
  <c r="L238" i="47" s="1"/>
  <c r="L239" i="47" s="1"/>
  <c r="L240" i="47" s="1"/>
  <c r="L241" i="47" s="1"/>
  <c r="L242" i="47" s="1"/>
  <c r="L243" i="47" s="1"/>
  <c r="L244" i="47" s="1"/>
  <c r="L245" i="47" s="1"/>
  <c r="L246" i="47" s="1"/>
  <c r="L247" i="47" s="1"/>
  <c r="L248" i="47" s="1"/>
  <c r="L249" i="47" s="1"/>
  <c r="L250" i="47" s="1"/>
  <c r="L251" i="47" s="1"/>
  <c r="L252" i="47" s="1"/>
  <c r="L253" i="47" s="1"/>
  <c r="L254" i="47" s="1"/>
  <c r="Q128" i="47"/>
  <c r="Q131" i="47"/>
  <c r="Q134" i="47"/>
  <c r="Q141" i="47"/>
  <c r="Q144" i="47"/>
  <c r="L18" i="47"/>
  <c r="C80" i="47" s="1"/>
  <c r="L14" i="47"/>
  <c r="C76" i="47" s="1"/>
  <c r="K80" i="47" s="1"/>
  <c r="S80" i="47" s="1"/>
  <c r="T80" i="47" s="1"/>
  <c r="Q160" i="47"/>
  <c r="Q130" i="47"/>
  <c r="Q137" i="47"/>
  <c r="L6" i="47"/>
  <c r="C68" i="47" s="1"/>
  <c r="K91" i="47" s="1"/>
  <c r="S91" i="47" s="1"/>
  <c r="T91" i="47" s="1"/>
  <c r="Q159" i="47"/>
  <c r="L4" i="47"/>
  <c r="C66" i="47" s="1"/>
  <c r="L8" i="47"/>
  <c r="C70" i="47" s="1"/>
  <c r="Q119" i="47"/>
  <c r="Q122" i="47"/>
  <c r="Q132" i="47"/>
  <c r="Q145" i="47"/>
  <c r="Q149" i="47"/>
  <c r="Q155" i="47"/>
  <c r="L5" i="47"/>
  <c r="C67" i="47" s="1"/>
  <c r="K63" i="47" s="1"/>
  <c r="L19" i="47"/>
  <c r="C81" i="47" s="1"/>
  <c r="Q139" i="47"/>
  <c r="Q157" i="47"/>
  <c r="L13" i="47"/>
  <c r="C75" i="47" s="1"/>
  <c r="K40" i="47" s="1"/>
  <c r="T133" i="47"/>
  <c r="Q153" i="47"/>
  <c r="Q121" i="47"/>
  <c r="Q148" i="47"/>
  <c r="Q152" i="47"/>
  <c r="T99" i="47"/>
  <c r="T117" i="47"/>
  <c r="Q147" i="47"/>
  <c r="T147" i="47" s="1"/>
  <c r="Q154" i="47"/>
  <c r="K83" i="47"/>
  <c r="S83" i="47" s="1"/>
  <c r="T83" i="47" s="1"/>
  <c r="R27" i="51"/>
  <c r="R19" i="51"/>
  <c r="N217" i="41"/>
  <c r="N218" i="41" s="1"/>
  <c r="AY7" i="24"/>
  <c r="N7" i="43"/>
  <c r="N27" i="43"/>
  <c r="AY11" i="24"/>
  <c r="AY18" i="24"/>
  <c r="N276" i="41"/>
  <c r="F113" i="41"/>
  <c r="I274" i="41"/>
  <c r="I276" i="41"/>
  <c r="AK58" i="47"/>
  <c r="AI49" i="47"/>
  <c r="AI52" i="47"/>
  <c r="AI57" i="47"/>
  <c r="AK54" i="47"/>
  <c r="AK57" i="47"/>
  <c r="AK59" i="47"/>
  <c r="AI120" i="47"/>
  <c r="AI34" i="47"/>
  <c r="AK38" i="47"/>
  <c r="AK41" i="47"/>
  <c r="AK48" i="47"/>
  <c r="AI89" i="47"/>
  <c r="AK96" i="47"/>
  <c r="AK102" i="47"/>
  <c r="AI134" i="47"/>
  <c r="AK139" i="47"/>
  <c r="AK158" i="47"/>
  <c r="AI159" i="47"/>
  <c r="AI47" i="47"/>
  <c r="AI60" i="47"/>
  <c r="AI68" i="47"/>
  <c r="AI88" i="47"/>
  <c r="AI105" i="47"/>
  <c r="AK149" i="47"/>
  <c r="AK39" i="47"/>
  <c r="AI65" i="47"/>
  <c r="AI76" i="47"/>
  <c r="AK47" i="47"/>
  <c r="AI145" i="47"/>
  <c r="AI41" i="47"/>
  <c r="AK45" i="47"/>
  <c r="AI91" i="47"/>
  <c r="AI108" i="47"/>
  <c r="AI117" i="47"/>
  <c r="AK121" i="47"/>
  <c r="AK145" i="47"/>
  <c r="AI148" i="47"/>
  <c r="AK52" i="47"/>
  <c r="AK55" i="47"/>
  <c r="AI56" i="47"/>
  <c r="AI79" i="47"/>
  <c r="AK80" i="47"/>
  <c r="AI85" i="47"/>
  <c r="AI90" i="47"/>
  <c r="AK141" i="47"/>
  <c r="AK53" i="47"/>
  <c r="AI81" i="47"/>
  <c r="AI142" i="47"/>
  <c r="AK143" i="47"/>
  <c r="AK29" i="47"/>
  <c r="AK32" i="47"/>
  <c r="AI39" i="47"/>
  <c r="AI51" i="47"/>
  <c r="AK62" i="47"/>
  <c r="AK65" i="47"/>
  <c r="AK76" i="47"/>
  <c r="AK122" i="47"/>
  <c r="AK130" i="47"/>
  <c r="AK131" i="47"/>
  <c r="AI135" i="47"/>
  <c r="AK23" i="47"/>
  <c r="AK27" i="47"/>
  <c r="AK34" i="47"/>
  <c r="AI44" i="47"/>
  <c r="AK75" i="47"/>
  <c r="AK78" i="47"/>
  <c r="AI106" i="47"/>
  <c r="AK119" i="47"/>
  <c r="AI126" i="47"/>
  <c r="AI140" i="47"/>
  <c r="AK31" i="47"/>
  <c r="AI71" i="47"/>
  <c r="AI82" i="47"/>
  <c r="AK98" i="47"/>
  <c r="AK107" i="47"/>
  <c r="AK150" i="47"/>
  <c r="AI25" i="47"/>
  <c r="AK26" i="47"/>
  <c r="AK36" i="47"/>
  <c r="AI38" i="47"/>
  <c r="AI42" i="47"/>
  <c r="AK46" i="47"/>
  <c r="AI48" i="47"/>
  <c r="AK81" i="47"/>
  <c r="AI92" i="47"/>
  <c r="AK99" i="47"/>
  <c r="AI100" i="47"/>
  <c r="AK157" i="47"/>
  <c r="AK68" i="47"/>
  <c r="AK95" i="47"/>
  <c r="AI103" i="47"/>
  <c r="AK50" i="47"/>
  <c r="AK101" i="47"/>
  <c r="AI147" i="47"/>
  <c r="AI151" i="47"/>
  <c r="M275" i="41"/>
  <c r="AI24" i="47"/>
  <c r="AI32" i="47"/>
  <c r="AK70" i="47"/>
  <c r="AK85" i="47"/>
  <c r="AK88" i="47"/>
  <c r="AI98" i="47"/>
  <c r="AK103" i="47"/>
  <c r="AI132" i="47"/>
  <c r="AK138" i="47"/>
  <c r="AI35" i="47"/>
  <c r="AK49" i="47"/>
  <c r="AI63" i="47"/>
  <c r="AK67" i="47"/>
  <c r="AK73" i="47"/>
  <c r="AK100" i="47"/>
  <c r="AI104" i="47"/>
  <c r="AK108" i="47"/>
  <c r="AI110" i="47"/>
  <c r="AI113" i="47"/>
  <c r="AK117" i="47"/>
  <c r="AI133" i="47"/>
  <c r="AI136" i="47"/>
  <c r="AK147" i="47"/>
  <c r="M65" i="41"/>
  <c r="J110" i="62"/>
  <c r="F114" i="41"/>
  <c r="C207" i="41"/>
  <c r="F9" i="41"/>
  <c r="F10" i="41" s="1"/>
  <c r="F11" i="41" s="1"/>
  <c r="F12" i="41" s="1"/>
  <c r="F13" i="41" s="1"/>
  <c r="F14" i="41" s="1"/>
  <c r="F15" i="41" s="1"/>
  <c r="F16" i="41" s="1"/>
  <c r="F17" i="41" s="1"/>
  <c r="F18" i="41" s="1"/>
  <c r="M27" i="41"/>
  <c r="M35" i="41"/>
  <c r="M40" i="41"/>
  <c r="M45" i="41"/>
  <c r="D76" i="41"/>
  <c r="F76" i="41" s="1"/>
  <c r="D84" i="41"/>
  <c r="F84" i="41" s="1"/>
  <c r="D92" i="41"/>
  <c r="F92" i="41" s="1"/>
  <c r="D100" i="41"/>
  <c r="F100" i="41" s="1"/>
  <c r="J114" i="62"/>
  <c r="M50" i="41"/>
  <c r="I272" i="41"/>
  <c r="L272" i="41" s="1"/>
  <c r="N274" i="41"/>
  <c r="M24" i="41"/>
  <c r="D80" i="41"/>
  <c r="F80" i="41" s="1"/>
  <c r="D88" i="41"/>
  <c r="F88" i="41" s="1"/>
  <c r="D96" i="41"/>
  <c r="F96" i="41" s="1"/>
  <c r="M30" i="41"/>
  <c r="D81" i="41"/>
  <c r="F81" i="41" s="1"/>
  <c r="D89" i="41"/>
  <c r="F89" i="41" s="1"/>
  <c r="D97" i="41"/>
  <c r="F97" i="41" s="1"/>
  <c r="M303" i="41"/>
  <c r="O217" i="41"/>
  <c r="O218" i="41" s="1"/>
  <c r="C208" i="41"/>
  <c r="I275" i="41"/>
  <c r="L275" i="41" s="1"/>
  <c r="K273" i="41"/>
  <c r="AI23" i="47"/>
  <c r="AK35" i="47"/>
  <c r="AI40" i="47"/>
  <c r="AK43" i="47"/>
  <c r="AI58" i="47"/>
  <c r="AI75" i="47"/>
  <c r="AK77" i="47"/>
  <c r="AK86" i="47"/>
  <c r="AK93" i="47"/>
  <c r="AI111" i="47"/>
  <c r="AK114" i="47"/>
  <c r="AI119" i="47"/>
  <c r="AK129" i="47"/>
  <c r="AI146" i="47"/>
  <c r="AI152" i="47"/>
  <c r="AI27" i="47"/>
  <c r="AI28" i="47"/>
  <c r="AI61" i="47"/>
  <c r="AI78" i="47"/>
  <c r="AI87" i="47"/>
  <c r="AK120" i="47"/>
  <c r="AK124" i="47"/>
  <c r="AK136" i="47"/>
  <c r="AI160" i="47"/>
  <c r="AK24" i="47"/>
  <c r="AI29" i="47"/>
  <c r="AI46" i="47"/>
  <c r="AK51" i="47"/>
  <c r="AI54" i="47"/>
  <c r="AK56" i="47"/>
  <c r="AK84" i="47"/>
  <c r="AI97" i="47"/>
  <c r="AI102" i="47"/>
  <c r="AK104" i="47"/>
  <c r="AI107" i="47"/>
  <c r="AI139" i="47"/>
  <c r="AI144" i="47"/>
  <c r="AI155" i="47"/>
  <c r="AK156" i="47"/>
  <c r="M217" i="41"/>
  <c r="M218" i="41" s="1"/>
  <c r="AI26" i="47"/>
  <c r="AK28" i="47"/>
  <c r="AI33" i="47"/>
  <c r="AK44" i="47"/>
  <c r="AK64" i="47"/>
  <c r="AI70" i="47"/>
  <c r="AK72" i="47"/>
  <c r="AI74" i="47"/>
  <c r="AI86" i="47"/>
  <c r="AK91" i="47"/>
  <c r="AK106" i="47"/>
  <c r="AI121" i="47"/>
  <c r="AK134" i="47"/>
  <c r="AI143" i="47"/>
  <c r="AK153" i="47"/>
  <c r="AI158" i="47"/>
  <c r="AK160" i="47"/>
  <c r="M274" i="41"/>
  <c r="AI30" i="47"/>
  <c r="AK42" i="47"/>
  <c r="AI55" i="47"/>
  <c r="AI59" i="47"/>
  <c r="AK60" i="47"/>
  <c r="AI62" i="47"/>
  <c r="AK71" i="47"/>
  <c r="AI73" i="47"/>
  <c r="AK74" i="47"/>
  <c r="AI77" i="47"/>
  <c r="AI80" i="47"/>
  <c r="AK87" i="47"/>
  <c r="AI96" i="47"/>
  <c r="AK97" i="47"/>
  <c r="AI101" i="47"/>
  <c r="AI114" i="47"/>
  <c r="AK115" i="47"/>
  <c r="AK127" i="47"/>
  <c r="AK146" i="47"/>
  <c r="AI149" i="47"/>
  <c r="AK151" i="47"/>
  <c r="AK152" i="47"/>
  <c r="AK155" i="47"/>
  <c r="AI157" i="47"/>
  <c r="I273" i="41"/>
  <c r="AK30" i="47"/>
  <c r="AK33" i="47"/>
  <c r="AI43" i="47"/>
  <c r="AI66" i="47"/>
  <c r="AI99" i="47"/>
  <c r="AK118" i="47"/>
  <c r="AI128" i="47"/>
  <c r="AI129" i="47"/>
  <c r="AK133" i="47"/>
  <c r="AI141" i="47"/>
  <c r="AK144" i="47"/>
  <c r="AI153" i="47"/>
  <c r="AK159" i="47"/>
  <c r="K323" i="41"/>
  <c r="I324" i="41"/>
  <c r="J323" i="41"/>
  <c r="H324" i="41"/>
  <c r="H129" i="65"/>
  <c r="K97" i="62"/>
  <c r="J97" i="62"/>
  <c r="K105" i="62"/>
  <c r="J105" i="62"/>
  <c r="C180" i="62"/>
  <c r="C111" i="62"/>
  <c r="C113" i="62"/>
  <c r="C182" i="62"/>
  <c r="F73" i="1"/>
  <c r="G73" i="1" s="1"/>
  <c r="G79" i="1"/>
  <c r="J85" i="1" s="1"/>
  <c r="K85" i="1" s="1"/>
  <c r="F81" i="1"/>
  <c r="G81" i="1" s="1"/>
  <c r="H85" i="1"/>
  <c r="C37" i="32"/>
  <c r="E37" i="32" s="1"/>
  <c r="C40" i="32"/>
  <c r="E40" i="32" s="1"/>
  <c r="T49" i="32"/>
  <c r="J100" i="62"/>
  <c r="K100" i="62"/>
  <c r="H19" i="27"/>
  <c r="H20" i="27" s="1"/>
  <c r="H21" i="27" s="1"/>
  <c r="H22" i="27" s="1"/>
  <c r="H23" i="27" s="1"/>
  <c r="H24" i="27" s="1"/>
  <c r="C184" i="62"/>
  <c r="C115" i="62"/>
  <c r="H91" i="1"/>
  <c r="H92" i="1"/>
  <c r="K103" i="62"/>
  <c r="J103" i="62"/>
  <c r="C117" i="62"/>
  <c r="L117" i="62" s="1"/>
  <c r="C186" i="62"/>
  <c r="H80" i="1"/>
  <c r="F88" i="1"/>
  <c r="G88" i="1" s="1"/>
  <c r="J92" i="1" s="1"/>
  <c r="K92" i="1" s="1"/>
  <c r="G86" i="1"/>
  <c r="J90" i="1" s="1"/>
  <c r="K90" i="1" s="1"/>
  <c r="F75" i="1"/>
  <c r="G75" i="1" s="1"/>
  <c r="F87" i="1"/>
  <c r="G87" i="1" s="1"/>
  <c r="C41" i="32"/>
  <c r="E41" i="32" s="1"/>
  <c r="K98" i="62"/>
  <c r="J98" i="62"/>
  <c r="J106" i="62"/>
  <c r="K106" i="62"/>
  <c r="J19" i="27"/>
  <c r="J20" i="27" s="1"/>
  <c r="J21" i="27" s="1"/>
  <c r="J22" i="27" s="1"/>
  <c r="J23" i="27" s="1"/>
  <c r="J24" i="27" s="1"/>
  <c r="J25" i="27" s="1"/>
  <c r="J26" i="27" s="1"/>
  <c r="C188" i="62"/>
  <c r="C119" i="62"/>
  <c r="I119" i="62" s="1"/>
  <c r="M32" i="60"/>
  <c r="P26" i="60"/>
  <c r="O26" i="60"/>
  <c r="F74" i="1"/>
  <c r="G74" i="1" s="1"/>
  <c r="G72" i="1"/>
  <c r="J82" i="1"/>
  <c r="K82" i="1" s="1"/>
  <c r="H82" i="1"/>
  <c r="F85" i="62"/>
  <c r="K101" i="62"/>
  <c r="J101" i="62"/>
  <c r="J18" i="27"/>
  <c r="J78" i="1"/>
  <c r="K78" i="1" s="1"/>
  <c r="H78" i="1"/>
  <c r="J76" i="1"/>
  <c r="K76" i="1" s="1"/>
  <c r="H76" i="1"/>
  <c r="F89" i="1"/>
  <c r="G89" i="1" s="1"/>
  <c r="C34" i="32"/>
  <c r="E34" i="32" s="1"/>
  <c r="X47" i="32"/>
  <c r="AH48" i="32"/>
  <c r="J96" i="62"/>
  <c r="K96" i="62"/>
  <c r="J104" i="62"/>
  <c r="K104" i="62"/>
  <c r="J83" i="1"/>
  <c r="K83" i="1" s="1"/>
  <c r="H83" i="1"/>
  <c r="K99" i="62"/>
  <c r="J99" i="62"/>
  <c r="F18" i="27"/>
  <c r="F19" i="27" s="1"/>
  <c r="F20" i="27" s="1"/>
  <c r="F21" i="27" s="1"/>
  <c r="F22" i="27" s="1"/>
  <c r="F23" i="27" s="1"/>
  <c r="F24" i="27" s="1"/>
  <c r="F25" i="27" s="1"/>
  <c r="F26" i="27" s="1"/>
  <c r="L112" i="62"/>
  <c r="L110" i="62"/>
  <c r="J77" i="1"/>
  <c r="K77" i="1" s="1"/>
  <c r="H77" i="1"/>
  <c r="H84" i="1"/>
  <c r="J84" i="1"/>
  <c r="K84" i="1" s="1"/>
  <c r="H90" i="1"/>
  <c r="F89" i="62"/>
  <c r="F91" i="62"/>
  <c r="K102" i="62"/>
  <c r="J102" i="62"/>
  <c r="H82" i="7"/>
  <c r="H60" i="7"/>
  <c r="H72" i="7"/>
  <c r="W72" i="7" s="1"/>
  <c r="G92" i="7"/>
  <c r="L92" i="7" s="1"/>
  <c r="M92" i="7" s="1"/>
  <c r="N92" i="7" s="1"/>
  <c r="H61" i="7"/>
  <c r="H59" i="7"/>
  <c r="H62" i="7"/>
  <c r="G84" i="7"/>
  <c r="W84" i="7" s="1"/>
  <c r="G65" i="7"/>
  <c r="G63" i="7"/>
  <c r="G74" i="7"/>
  <c r="F94" i="7"/>
  <c r="G64" i="7"/>
  <c r="E96" i="7"/>
  <c r="F67" i="7"/>
  <c r="F86" i="7"/>
  <c r="W86" i="7" s="1"/>
  <c r="F66" i="7"/>
  <c r="F76" i="7"/>
  <c r="F71" i="7"/>
  <c r="E91" i="7"/>
  <c r="F57" i="7"/>
  <c r="F81" i="7"/>
  <c r="W81" i="7" s="1"/>
  <c r="F58" i="7"/>
  <c r="F56" i="7"/>
  <c r="J15" i="2"/>
  <c r="J17" i="2"/>
  <c r="I19" i="2"/>
  <c r="D45" i="2" s="1"/>
  <c r="E45" i="2" s="1"/>
  <c r="F48" i="7"/>
  <c r="AY4" i="7" s="1"/>
  <c r="CW4" i="49"/>
  <c r="E48" i="7"/>
  <c r="AX4" i="7" s="1"/>
  <c r="D17" i="62"/>
  <c r="D14" i="62" s="1"/>
  <c r="C14" i="62" s="1"/>
  <c r="F49" i="62"/>
  <c r="F51" i="62"/>
  <c r="F53" i="62"/>
  <c r="J85" i="62"/>
  <c r="J89" i="62"/>
  <c r="J93" i="62"/>
  <c r="D110" i="62"/>
  <c r="H112" i="62"/>
  <c r="D114" i="62"/>
  <c r="H116" i="62"/>
  <c r="D118" i="62"/>
  <c r="AC4" i="27"/>
  <c r="AC8" i="27"/>
  <c r="AC12" i="27"/>
  <c r="AC16" i="27"/>
  <c r="Z23" i="27"/>
  <c r="AC24" i="27"/>
  <c r="AC27" i="27"/>
  <c r="Z33" i="27"/>
  <c r="H5" i="34"/>
  <c r="K5" i="26"/>
  <c r="L10" i="25"/>
  <c r="H15" i="34"/>
  <c r="EC9" i="49"/>
  <c r="BY4" i="49"/>
  <c r="F49" i="7"/>
  <c r="BG4" i="7" s="1"/>
  <c r="E49" i="7"/>
  <c r="BF4" i="7" s="1"/>
  <c r="H71" i="7"/>
  <c r="W71" i="7" s="1"/>
  <c r="G91" i="7"/>
  <c r="L91" i="7" s="1"/>
  <c r="M91" i="7" s="1"/>
  <c r="N91" i="7" s="1"/>
  <c r="H57" i="7"/>
  <c r="H81" i="7"/>
  <c r="H58" i="7"/>
  <c r="H56" i="7"/>
  <c r="K15" i="2"/>
  <c r="K17" i="2"/>
  <c r="J19" i="2"/>
  <c r="S77" i="6" s="1"/>
  <c r="F47" i="7"/>
  <c r="AQ4" i="7" s="1"/>
  <c r="E47" i="7"/>
  <c r="AP4" i="7" s="1"/>
  <c r="AC4" i="49"/>
  <c r="F17" i="62"/>
  <c r="C36" i="32"/>
  <c r="E36" i="32" s="1"/>
  <c r="P47" i="32"/>
  <c r="G49" i="62"/>
  <c r="G51" i="62"/>
  <c r="G53" i="62"/>
  <c r="E110" i="62"/>
  <c r="J112" i="62"/>
  <c r="E114" i="62"/>
  <c r="J116" i="62"/>
  <c r="E118" i="62"/>
  <c r="C179" i="62"/>
  <c r="Z20" i="27"/>
  <c r="AC21" i="27"/>
  <c r="D28" i="60"/>
  <c r="CI8" i="7"/>
  <c r="CR8" i="7" s="1"/>
  <c r="DA8" i="7" s="1"/>
  <c r="DJ8" i="7" s="1"/>
  <c r="DS8" i="7" s="1"/>
  <c r="EB8" i="7" s="1"/>
  <c r="EK8" i="7" s="1"/>
  <c r="AE35" i="7"/>
  <c r="Q17" i="7"/>
  <c r="Z17" i="27"/>
  <c r="Z25" i="27"/>
  <c r="S20" i="7"/>
  <c r="H20" i="7"/>
  <c r="K20" i="7" s="1"/>
  <c r="Z24" i="7" s="1"/>
  <c r="CS7" i="7"/>
  <c r="AM33" i="7"/>
  <c r="AE40" i="7"/>
  <c r="Q22" i="7"/>
  <c r="CI13" i="7"/>
  <c r="CR13" i="7" s="1"/>
  <c r="DA13" i="7" s="1"/>
  <c r="DJ13" i="7" s="1"/>
  <c r="DS13" i="7" s="1"/>
  <c r="EB13" i="7" s="1"/>
  <c r="EK13" i="7" s="1"/>
  <c r="AE42" i="7"/>
  <c r="Q24" i="7"/>
  <c r="CI15" i="7"/>
  <c r="Z5" i="27"/>
  <c r="I4" i="49"/>
  <c r="BE4" i="49"/>
  <c r="F50" i="7"/>
  <c r="BO4" i="7" s="1"/>
  <c r="ES4" i="49"/>
  <c r="E50" i="7"/>
  <c r="BN4" i="7" s="1"/>
  <c r="AP28" i="62"/>
  <c r="I17" i="2"/>
  <c r="D43" i="2" s="1"/>
  <c r="E43" i="2" s="1"/>
  <c r="F73" i="7"/>
  <c r="E93" i="7"/>
  <c r="M93" i="7" s="1"/>
  <c r="N93" i="7" s="1"/>
  <c r="F83" i="7"/>
  <c r="W83" i="7" s="1"/>
  <c r="F75" i="7"/>
  <c r="E95" i="7"/>
  <c r="F85" i="7"/>
  <c r="W85" i="7" s="1"/>
  <c r="I18" i="2"/>
  <c r="D44" i="2" s="1"/>
  <c r="E44" i="2" s="1"/>
  <c r="F77" i="7"/>
  <c r="E97" i="7"/>
  <c r="F87" i="7"/>
  <c r="W87" i="7" s="1"/>
  <c r="F15" i="62"/>
  <c r="C7" i="62" s="1"/>
  <c r="P16" i="62" s="1"/>
  <c r="N16" i="62" s="1"/>
  <c r="AK26" i="62"/>
  <c r="G110" i="62"/>
  <c r="G114" i="62"/>
  <c r="G118" i="62"/>
  <c r="K14" i="2"/>
  <c r="J16" i="2"/>
  <c r="J18" i="2"/>
  <c r="I20" i="2"/>
  <c r="D46" i="2" s="1"/>
  <c r="E46" i="2" s="1"/>
  <c r="F52" i="7"/>
  <c r="CE4" i="7" s="1"/>
  <c r="E52" i="7"/>
  <c r="CD4" i="7" s="1"/>
  <c r="F16" i="62"/>
  <c r="AI24" i="62"/>
  <c r="AG25" i="62"/>
  <c r="AO25" i="62"/>
  <c r="AI27" i="62"/>
  <c r="F48" i="62"/>
  <c r="F50" i="62"/>
  <c r="F52" i="62"/>
  <c r="H110" i="62"/>
  <c r="D112" i="62"/>
  <c r="H114" i="62"/>
  <c r="D116" i="62"/>
  <c r="H118" i="62"/>
  <c r="D29" i="60"/>
  <c r="H17" i="7"/>
  <c r="K17" i="7" s="1"/>
  <c r="S17" i="7"/>
  <c r="C44" i="32"/>
  <c r="E44" i="32" s="1"/>
  <c r="I15" i="2"/>
  <c r="D41" i="2" s="1"/>
  <c r="E41" i="2" s="1"/>
  <c r="H86" i="7"/>
  <c r="H66" i="7"/>
  <c r="H76" i="7"/>
  <c r="W76" i="7" s="1"/>
  <c r="G96" i="7"/>
  <c r="L96" i="7" s="1"/>
  <c r="R96" i="7" s="1"/>
  <c r="H67" i="7"/>
  <c r="F36" i="7"/>
  <c r="BD7" i="49" s="1"/>
  <c r="O84" i="49" s="1"/>
  <c r="F37" i="7"/>
  <c r="AF6" i="49" s="1"/>
  <c r="J83" i="49" s="1"/>
  <c r="F38" i="7"/>
  <c r="CZ6" i="49" s="1"/>
  <c r="Y83" i="49" s="1"/>
  <c r="K19" i="2"/>
  <c r="F39" i="7"/>
  <c r="CJ9" i="49" s="1"/>
  <c r="T126" i="49" s="1"/>
  <c r="F40" i="7"/>
  <c r="EV8" i="49" s="1"/>
  <c r="AI85" i="49" s="1"/>
  <c r="I41" i="2"/>
  <c r="C35" i="32"/>
  <c r="E35" i="32" s="1"/>
  <c r="I16" i="2"/>
  <c r="D42" i="2" s="1"/>
  <c r="E42" i="2" s="1"/>
  <c r="I40" i="2"/>
  <c r="G62" i="7"/>
  <c r="G82" i="7"/>
  <c r="W82" i="7" s="1"/>
  <c r="G60" i="7"/>
  <c r="G72" i="7"/>
  <c r="F92" i="7"/>
  <c r="G61" i="7"/>
  <c r="G59" i="7"/>
  <c r="K16" i="2"/>
  <c r="K18" i="2"/>
  <c r="J20" i="2"/>
  <c r="F41" i="7"/>
  <c r="DX5" i="49" s="1"/>
  <c r="AD82" i="49" s="1"/>
  <c r="F42" i="7"/>
  <c r="G52" i="7" s="1"/>
  <c r="CF4" i="7" s="1"/>
  <c r="F51" i="7"/>
  <c r="BW4" i="7" s="1"/>
  <c r="E51" i="7"/>
  <c r="BV4" i="7" s="1"/>
  <c r="DU4" i="49"/>
  <c r="I46" i="2"/>
  <c r="K87" i="62"/>
  <c r="K91" i="62"/>
  <c r="Q21" i="7"/>
  <c r="CI12" i="7"/>
  <c r="AE39" i="7"/>
  <c r="Z32" i="27"/>
  <c r="H13" i="34"/>
  <c r="L8" i="25"/>
  <c r="K13" i="26"/>
  <c r="D18" i="27"/>
  <c r="S13" i="7"/>
  <c r="H13" i="7"/>
  <c r="K13" i="7" s="1"/>
  <c r="H23" i="7"/>
  <c r="K23" i="7" s="1"/>
  <c r="S23" i="7"/>
  <c r="AM36" i="7"/>
  <c r="AM41" i="7"/>
  <c r="S19" i="7"/>
  <c r="C48" i="7"/>
  <c r="D110" i="7"/>
  <c r="C4" i="49"/>
  <c r="B81" i="49" s="1"/>
  <c r="CU4" i="49"/>
  <c r="V81" i="49" s="1"/>
  <c r="AA5" i="49"/>
  <c r="G82" i="49" s="1"/>
  <c r="BA5" i="49"/>
  <c r="ES5" i="49"/>
  <c r="AY6" i="49"/>
  <c r="L83" i="49" s="1"/>
  <c r="BY6" i="49"/>
  <c r="E7" i="49"/>
  <c r="CW7" i="49"/>
  <c r="C8" i="49"/>
  <c r="B85" i="49" s="1"/>
  <c r="AC8" i="49"/>
  <c r="CU8" i="49"/>
  <c r="V85" i="49" s="1"/>
  <c r="DU8" i="49"/>
  <c r="K9" i="49"/>
  <c r="B126" i="49" s="1"/>
  <c r="AC9" i="49"/>
  <c r="BG9" i="49"/>
  <c r="L126" i="49" s="1"/>
  <c r="BY9" i="49"/>
  <c r="DC9" i="49"/>
  <c r="V126" i="49" s="1"/>
  <c r="DU9" i="49"/>
  <c r="CS4" i="7"/>
  <c r="G18" i="7"/>
  <c r="S18" i="7"/>
  <c r="O94" i="7"/>
  <c r="Q96" i="7"/>
  <c r="V97" i="7"/>
  <c r="I6" i="49"/>
  <c r="DA6" i="49"/>
  <c r="BE8" i="49"/>
  <c r="Q15" i="7"/>
  <c r="F16" i="7"/>
  <c r="G17" i="7"/>
  <c r="T18" i="7"/>
  <c r="Z19" i="7"/>
  <c r="Q23" i="7"/>
  <c r="C47" i="7"/>
  <c r="O92" i="7"/>
  <c r="Q94" i="7"/>
  <c r="M97" i="7"/>
  <c r="N97" i="7" s="1"/>
  <c r="D107" i="7"/>
  <c r="D111" i="7"/>
  <c r="E4" i="49"/>
  <c r="C5" i="49"/>
  <c r="B82" i="49" s="1"/>
  <c r="AC5" i="49"/>
  <c r="CU5" i="49"/>
  <c r="V82" i="49" s="1"/>
  <c r="DU5" i="49"/>
  <c r="EV5" i="49"/>
  <c r="AI82" i="49" s="1"/>
  <c r="AA6" i="49"/>
  <c r="G83" i="49" s="1"/>
  <c r="BA6" i="49"/>
  <c r="ES6" i="49"/>
  <c r="AY7" i="49"/>
  <c r="L84" i="49" s="1"/>
  <c r="BY7" i="49"/>
  <c r="E8" i="49"/>
  <c r="CW8" i="49"/>
  <c r="C9" i="49"/>
  <c r="B86" i="49" s="1"/>
  <c r="M9" i="49"/>
  <c r="AY9" i="49"/>
  <c r="L86" i="49" s="1"/>
  <c r="BI9" i="49"/>
  <c r="CU9" i="49"/>
  <c r="V86" i="49" s="1"/>
  <c r="DE9" i="49"/>
  <c r="FA9" i="49"/>
  <c r="AO12" i="25"/>
  <c r="AO30" i="25"/>
  <c r="AO4" i="25"/>
  <c r="AO28" i="25"/>
  <c r="S16" i="7"/>
  <c r="Z18" i="7"/>
  <c r="S24" i="7"/>
  <c r="AE38" i="7"/>
  <c r="Q92" i="7"/>
  <c r="R92" i="7" s="1"/>
  <c r="R94" i="7"/>
  <c r="S94" i="7" s="1"/>
  <c r="M95" i="7"/>
  <c r="N95" i="7" s="1"/>
  <c r="F107" i="7"/>
  <c r="D118" i="7"/>
  <c r="BE5" i="49"/>
  <c r="I7" i="49"/>
  <c r="DA7" i="49"/>
  <c r="Q13" i="7"/>
  <c r="F14" i="7"/>
  <c r="G15" i="7"/>
  <c r="S15" i="7"/>
  <c r="T16" i="7"/>
  <c r="AO17" i="25" s="1"/>
  <c r="Z17" i="7"/>
  <c r="G23" i="7"/>
  <c r="T24" i="7"/>
  <c r="G37" i="7"/>
  <c r="AG4" i="49" s="1"/>
  <c r="C46" i="7"/>
  <c r="D108" i="7"/>
  <c r="D112" i="7"/>
  <c r="F118" i="7"/>
  <c r="AY4" i="49"/>
  <c r="L81" i="49" s="1"/>
  <c r="E5" i="49"/>
  <c r="CW5" i="49"/>
  <c r="C6" i="49"/>
  <c r="B83" i="49" s="1"/>
  <c r="AC6" i="49"/>
  <c r="CU6" i="49"/>
  <c r="V83" i="49" s="1"/>
  <c r="DU6" i="49"/>
  <c r="EV6" i="49"/>
  <c r="AI83" i="49" s="1"/>
  <c r="AA7" i="49"/>
  <c r="G84" i="49" s="1"/>
  <c r="BA7" i="49"/>
  <c r="ES7" i="49"/>
  <c r="AY8" i="49"/>
  <c r="L85" i="49" s="1"/>
  <c r="BY8" i="49"/>
  <c r="E9" i="49"/>
  <c r="AI9" i="49"/>
  <c r="G126" i="49" s="1"/>
  <c r="BA9" i="49"/>
  <c r="CW9" i="49"/>
  <c r="ES9" i="49"/>
  <c r="FD9" i="49"/>
  <c r="AI126" i="49" s="1"/>
  <c r="G14" i="7"/>
  <c r="S14" i="7"/>
  <c r="T15" i="7"/>
  <c r="AO26" i="25" s="1"/>
  <c r="G22" i="7"/>
  <c r="Z23" i="7" s="1"/>
  <c r="S22" i="7"/>
  <c r="AE31" i="7"/>
  <c r="AE37" i="7"/>
  <c r="U94" i="7"/>
  <c r="O95" i="7"/>
  <c r="U95" i="7" s="1"/>
  <c r="V95" i="7" s="1"/>
  <c r="V96" i="7"/>
  <c r="Q97" i="7"/>
  <c r="R97" i="7" s="1"/>
  <c r="H118" i="7"/>
  <c r="BE6" i="49"/>
  <c r="I8" i="49"/>
  <c r="DA8" i="49"/>
  <c r="Q9" i="49"/>
  <c r="BM9" i="49"/>
  <c r="DI9" i="49"/>
  <c r="T14" i="7"/>
  <c r="AO5" i="25" s="1"/>
  <c r="S21" i="7"/>
  <c r="T22" i="7"/>
  <c r="AO23" i="25" s="1"/>
  <c r="E46" i="7"/>
  <c r="AH4" i="7" s="1"/>
  <c r="O91" i="7"/>
  <c r="U91" i="7" s="1"/>
  <c r="V91" i="7" s="1"/>
  <c r="U92" i="7"/>
  <c r="V92" i="7" s="1"/>
  <c r="O93" i="7"/>
  <c r="Q93" i="7" s="1"/>
  <c r="V94" i="7"/>
  <c r="Q95" i="7"/>
  <c r="R95" i="7" s="1"/>
  <c r="D109" i="7"/>
  <c r="BA4" i="49"/>
  <c r="AY5" i="49"/>
  <c r="L82" i="49" s="1"/>
  <c r="BY5" i="49"/>
  <c r="E6" i="49"/>
  <c r="CW6" i="49"/>
  <c r="C7" i="49"/>
  <c r="B84" i="49" s="1"/>
  <c r="AC7" i="49"/>
  <c r="CU7" i="49"/>
  <c r="V84" i="49" s="1"/>
  <c r="DU7" i="49"/>
  <c r="AA8" i="49"/>
  <c r="G85" i="49" s="1"/>
  <c r="BA8" i="49"/>
  <c r="ES8" i="49"/>
  <c r="AA9" i="49"/>
  <c r="G86" i="49" s="1"/>
  <c r="AK9" i="49"/>
  <c r="CG9" i="49"/>
  <c r="EV9" i="49"/>
  <c r="AI86" i="49" s="1"/>
  <c r="Z14" i="7"/>
  <c r="Q18" i="7"/>
  <c r="I5" i="49"/>
  <c r="DA5" i="49"/>
  <c r="BE7" i="49"/>
  <c r="I9" i="49"/>
  <c r="BE9" i="49"/>
  <c r="DA9" i="49"/>
  <c r="N7" i="26"/>
  <c r="N8" i="26"/>
  <c r="CD13" i="26"/>
  <c r="CC13" i="26"/>
  <c r="CC15" i="26"/>
  <c r="CD15" i="26"/>
  <c r="CD12" i="26"/>
  <c r="CC12" i="26"/>
  <c r="N15" i="26"/>
  <c r="N5" i="26"/>
  <c r="CD5" i="26"/>
  <c r="CC5" i="26"/>
  <c r="CD7" i="26"/>
  <c r="CC7" i="26"/>
  <c r="N10" i="26"/>
  <c r="N13" i="26"/>
  <c r="BK4" i="26"/>
  <c r="CC4" i="26"/>
  <c r="G6" i="26"/>
  <c r="CD10" i="26"/>
  <c r="G14" i="26"/>
  <c r="AR18" i="26"/>
  <c r="CD19" i="26"/>
  <c r="CC23" i="26"/>
  <c r="CC25" i="26"/>
  <c r="F68" i="9"/>
  <c r="F60" i="9"/>
  <c r="F52" i="9"/>
  <c r="F44" i="9"/>
  <c r="F66" i="9"/>
  <c r="F58" i="9"/>
  <c r="F50" i="9"/>
  <c r="F42" i="9"/>
  <c r="U4" i="26"/>
  <c r="BL4" i="26"/>
  <c r="CD4" i="26"/>
  <c r="AR5" i="26"/>
  <c r="CC8" i="26"/>
  <c r="G9" i="26"/>
  <c r="AR13" i="26"/>
  <c r="AI16" i="26"/>
  <c r="CB16" i="26"/>
  <c r="G17" i="26"/>
  <c r="AR20" i="26"/>
  <c r="CD23" i="26"/>
  <c r="CD25" i="26"/>
  <c r="G28" i="26"/>
  <c r="AI26" i="26"/>
  <c r="AR26" i="26"/>
  <c r="CB26" i="26"/>
  <c r="AI18" i="26"/>
  <c r="CB18" i="26"/>
  <c r="CC21" i="26"/>
  <c r="BV4" i="26"/>
  <c r="CC6" i="26"/>
  <c r="G7" i="26"/>
  <c r="CB9" i="26"/>
  <c r="CC14" i="26"/>
  <c r="G15" i="26"/>
  <c r="CD21" i="26"/>
  <c r="CD6" i="26"/>
  <c r="CD14" i="26"/>
  <c r="CC20" i="26"/>
  <c r="G26" i="26"/>
  <c r="AI24" i="26"/>
  <c r="AR24" i="26"/>
  <c r="CB24" i="26"/>
  <c r="AR9" i="26"/>
  <c r="CD20" i="26"/>
  <c r="G24" i="26"/>
  <c r="AI22" i="26"/>
  <c r="CB22" i="26"/>
  <c r="CC27" i="26"/>
  <c r="K165" i="39"/>
  <c r="K157" i="39"/>
  <c r="K149" i="39"/>
  <c r="K141" i="39"/>
  <c r="K163" i="39"/>
  <c r="K155" i="39"/>
  <c r="K147" i="39"/>
  <c r="K139" i="39"/>
  <c r="K166" i="39"/>
  <c r="K158" i="39"/>
  <c r="K150" i="39"/>
  <c r="K142" i="39"/>
  <c r="K164" i="39"/>
  <c r="K156" i="39"/>
  <c r="K148" i="39"/>
  <c r="K140" i="39"/>
  <c r="K159" i="39"/>
  <c r="K161" i="39"/>
  <c r="K151" i="39"/>
  <c r="K143" i="39"/>
  <c r="K168" i="39"/>
  <c r="K153" i="39"/>
  <c r="K145" i="39"/>
  <c r="K160" i="39"/>
  <c r="K167" i="39"/>
  <c r="K162" i="39"/>
  <c r="K152" i="39"/>
  <c r="K144" i="39"/>
  <c r="K154" i="39"/>
  <c r="K146" i="39"/>
  <c r="K138" i="39"/>
  <c r="CD17" i="26"/>
  <c r="CD31" i="26"/>
  <c r="CD33" i="26"/>
  <c r="CB28" i="26"/>
  <c r="CB30" i="26"/>
  <c r="AR28" i="26"/>
  <c r="CT4" i="5"/>
  <c r="CR10" i="5" s="1"/>
  <c r="AK16" i="5"/>
  <c r="M23" i="6" s="1"/>
  <c r="AI28" i="26"/>
  <c r="AI30" i="26"/>
  <c r="AK18" i="5"/>
  <c r="BF34" i="5" s="1"/>
  <c r="W4" i="5"/>
  <c r="AD4" i="5" s="1"/>
  <c r="V4" i="5"/>
  <c r="AC4" i="5" s="1"/>
  <c r="K23" i="6"/>
  <c r="C89" i="6" s="1"/>
  <c r="S9" i="5"/>
  <c r="Z9" i="5" s="1"/>
  <c r="X25" i="5"/>
  <c r="AE25" i="5" s="1"/>
  <c r="CA28" i="5"/>
  <c r="AF23" i="6"/>
  <c r="BB24" i="5"/>
  <c r="AF33" i="6"/>
  <c r="AF38" i="6"/>
  <c r="J104" i="6" s="1"/>
  <c r="M23" i="23" s="1"/>
  <c r="AJ23" i="24" s="1"/>
  <c r="AF30" i="6"/>
  <c r="J96" i="6" s="1"/>
  <c r="M15" i="23" s="1"/>
  <c r="AF36" i="6"/>
  <c r="J102" i="6" s="1"/>
  <c r="M21" i="23" s="1"/>
  <c r="BD6" i="5"/>
  <c r="BA26" i="5" s="1"/>
  <c r="BA16" i="5"/>
  <c r="K22" i="6"/>
  <c r="C88" i="6" s="1"/>
  <c r="I33" i="6"/>
  <c r="K33" i="6" s="1"/>
  <c r="C99" i="6" s="1"/>
  <c r="V18" i="5"/>
  <c r="AC18" i="5" s="1"/>
  <c r="U18" i="5"/>
  <c r="AB18" i="5" s="1"/>
  <c r="T18" i="5"/>
  <c r="AA18" i="5" s="1"/>
  <c r="S18" i="5"/>
  <c r="Z18" i="5" s="1"/>
  <c r="R18" i="5"/>
  <c r="Y18" i="5" s="1"/>
  <c r="AN22" i="6"/>
  <c r="AN23" i="6"/>
  <c r="N8" i="24" s="1"/>
  <c r="AN26" i="6"/>
  <c r="W25" i="5"/>
  <c r="AD25" i="5" s="1"/>
  <c r="U29" i="5"/>
  <c r="AB29" i="5" s="1"/>
  <c r="X29" i="5"/>
  <c r="AE29" i="5" s="1"/>
  <c r="W29" i="5"/>
  <c r="AD29" i="5" s="1"/>
  <c r="V29" i="5"/>
  <c r="AC29" i="5" s="1"/>
  <c r="T29" i="5"/>
  <c r="AA29" i="5" s="1"/>
  <c r="S29" i="5"/>
  <c r="Z29" i="5" s="1"/>
  <c r="S4" i="5"/>
  <c r="Z4" i="5" s="1"/>
  <c r="BD34" i="5"/>
  <c r="BB34" i="5"/>
  <c r="AF22" i="6"/>
  <c r="J88" i="6" s="1"/>
  <c r="M7" i="23" s="1"/>
  <c r="AJ7" i="24" s="1"/>
  <c r="AF25" i="6"/>
  <c r="AF28" i="6"/>
  <c r="BE36" i="5"/>
  <c r="BB36" i="5"/>
  <c r="BD36" i="5"/>
  <c r="W9" i="5"/>
  <c r="AD9" i="5" s="1"/>
  <c r="K28" i="6"/>
  <c r="C94" i="6" s="1"/>
  <c r="AJ23" i="6"/>
  <c r="AB8" i="24" s="1"/>
  <c r="AJ22" i="6"/>
  <c r="AB7" i="24" s="1"/>
  <c r="AL44" i="6"/>
  <c r="AD29" i="24" s="1"/>
  <c r="AL47" i="6"/>
  <c r="AD32" i="24" s="1"/>
  <c r="AL48" i="6"/>
  <c r="AD33" i="24" s="1"/>
  <c r="AL43" i="6"/>
  <c r="AD28" i="24" s="1"/>
  <c r="AL45" i="6"/>
  <c r="AL39" i="6"/>
  <c r="AD24" i="24" s="1"/>
  <c r="AJ45" i="6"/>
  <c r="AJ39" i="6"/>
  <c r="AB24" i="24" s="1"/>
  <c r="AJ42" i="6"/>
  <c r="AJ44" i="6"/>
  <c r="AJ41" i="6"/>
  <c r="AJ47" i="6"/>
  <c r="AB32" i="24" s="1"/>
  <c r="AJ48" i="6"/>
  <c r="AN20" i="6"/>
  <c r="N5" i="24" s="1"/>
  <c r="N52" i="6"/>
  <c r="S4" i="24" s="1"/>
  <c r="N55" i="6"/>
  <c r="S7" i="24" s="1"/>
  <c r="N54" i="6"/>
  <c r="BA15" i="5"/>
  <c r="BD5" i="5"/>
  <c r="BA25" i="5" s="1"/>
  <c r="K21" i="6"/>
  <c r="C87" i="6" s="1"/>
  <c r="BF39" i="5"/>
  <c r="BE39" i="5"/>
  <c r="BD39" i="5"/>
  <c r="BB39" i="5"/>
  <c r="V16" i="5"/>
  <c r="AC16" i="5" s="1"/>
  <c r="U16" i="5"/>
  <c r="AB16" i="5" s="1"/>
  <c r="I31" i="6"/>
  <c r="K31" i="6" s="1"/>
  <c r="C97" i="6" s="1"/>
  <c r="T16" i="5"/>
  <c r="AA16" i="5" s="1"/>
  <c r="S16" i="5"/>
  <c r="Z16" i="5" s="1"/>
  <c r="R16" i="5"/>
  <c r="Y16" i="5" s="1"/>
  <c r="AL33" i="6"/>
  <c r="AL38" i="6"/>
  <c r="N104" i="6" s="1"/>
  <c r="AL30" i="6"/>
  <c r="N96" i="6" s="1"/>
  <c r="AL34" i="6"/>
  <c r="AL31" i="6"/>
  <c r="AD16" i="24" s="1"/>
  <c r="AL37" i="6"/>
  <c r="N103" i="6" s="1"/>
  <c r="AM44" i="6"/>
  <c r="M29" i="24" s="1"/>
  <c r="AM41" i="6"/>
  <c r="M26" i="24" s="1"/>
  <c r="AM48" i="6"/>
  <c r="M33" i="24" s="1"/>
  <c r="AM45" i="6"/>
  <c r="AM39" i="6"/>
  <c r="M24" i="24" s="1"/>
  <c r="AM42" i="6"/>
  <c r="U4" i="5"/>
  <c r="AB4" i="5" s="1"/>
  <c r="K20" i="6"/>
  <c r="C86" i="6" s="1"/>
  <c r="BE5" i="5"/>
  <c r="BA35" i="5" s="1"/>
  <c r="BD38" i="5"/>
  <c r="BB38" i="5"/>
  <c r="BF38" i="5"/>
  <c r="BE38" i="5"/>
  <c r="K26" i="6"/>
  <c r="C92" i="6" s="1"/>
  <c r="AV34" i="6"/>
  <c r="AH19" i="24" s="1"/>
  <c r="AV36" i="6"/>
  <c r="AH21" i="24" s="1"/>
  <c r="AV38" i="6"/>
  <c r="AH23" i="24" s="1"/>
  <c r="AV30" i="6"/>
  <c r="AH15" i="24" s="1"/>
  <c r="AV31" i="6"/>
  <c r="AH16" i="24" s="1"/>
  <c r="BA14" i="5"/>
  <c r="X16" i="5"/>
  <c r="AE16" i="5" s="1"/>
  <c r="AL21" i="6"/>
  <c r="AD6" i="24" s="1"/>
  <c r="AL23" i="6"/>
  <c r="AL26" i="6"/>
  <c r="AL22" i="6"/>
  <c r="N88" i="6" s="1"/>
  <c r="AL25" i="6"/>
  <c r="AD10" i="24" s="1"/>
  <c r="I34" i="6"/>
  <c r="K34" i="6" s="1"/>
  <c r="C100" i="6" s="1"/>
  <c r="V19" i="5"/>
  <c r="AC19" i="5" s="1"/>
  <c r="U19" i="5"/>
  <c r="AB19" i="5" s="1"/>
  <c r="T19" i="5"/>
  <c r="AA19" i="5" s="1"/>
  <c r="S19" i="5"/>
  <c r="Z19" i="5" s="1"/>
  <c r="R19" i="5"/>
  <c r="Y19" i="5" s="1"/>
  <c r="X4" i="5"/>
  <c r="AE4" i="5" s="1"/>
  <c r="CE12" i="5"/>
  <c r="CC6" i="5"/>
  <c r="E30" i="2" s="1"/>
  <c r="CF12" i="5"/>
  <c r="N66" i="6"/>
  <c r="N63" i="6"/>
  <c r="N71" i="6"/>
  <c r="BD7" i="5"/>
  <c r="BA27" i="5" s="1"/>
  <c r="BA17" i="5"/>
  <c r="BE7" i="5"/>
  <c r="BA37" i="5" s="1"/>
  <c r="CR16" i="5"/>
  <c r="CU4" i="5"/>
  <c r="CU16" i="5" s="1"/>
  <c r="N79" i="6"/>
  <c r="BD10" i="5"/>
  <c r="BA30" i="5" s="1"/>
  <c r="BA20" i="5"/>
  <c r="W16" i="5"/>
  <c r="AD16" i="5" s="1"/>
  <c r="X19" i="5"/>
  <c r="AE19" i="5" s="1"/>
  <c r="CC29" i="5"/>
  <c r="CE29" i="5"/>
  <c r="CD29" i="5"/>
  <c r="CF29" i="5"/>
  <c r="I25" i="6"/>
  <c r="K25" i="6" s="1"/>
  <c r="C91" i="6" s="1"/>
  <c r="U10" i="5"/>
  <c r="AB10" i="5" s="1"/>
  <c r="T10" i="5"/>
  <c r="AA10" i="5" s="1"/>
  <c r="S10" i="5"/>
  <c r="Z10" i="5" s="1"/>
  <c r="AF10" i="5" s="1"/>
  <c r="BD40" i="5"/>
  <c r="BF40" i="5"/>
  <c r="BE40" i="5"/>
  <c r="BB40" i="5"/>
  <c r="I32" i="6"/>
  <c r="K32" i="6" s="1"/>
  <c r="C98" i="6" s="1"/>
  <c r="V17" i="5"/>
  <c r="AC17" i="5" s="1"/>
  <c r="U17" i="5"/>
  <c r="AB17" i="5" s="1"/>
  <c r="T17" i="5"/>
  <c r="AA17" i="5" s="1"/>
  <c r="S17" i="5"/>
  <c r="Z17" i="5" s="1"/>
  <c r="R17" i="5"/>
  <c r="Y17" i="5" s="1"/>
  <c r="W19" i="5"/>
  <c r="AD19" i="5" s="1"/>
  <c r="K36" i="6"/>
  <c r="C102" i="6" s="1"/>
  <c r="AK28" i="6"/>
  <c r="AC13" i="24" s="1"/>
  <c r="AK19" i="6"/>
  <c r="AK27" i="6"/>
  <c r="AN34" i="6"/>
  <c r="AN36" i="6"/>
  <c r="N21" i="24" s="1"/>
  <c r="AN38" i="6"/>
  <c r="AN30" i="6"/>
  <c r="AN31" i="6"/>
  <c r="N16" i="24" s="1"/>
  <c r="W26" i="5"/>
  <c r="AD26" i="5" s="1"/>
  <c r="V26" i="5"/>
  <c r="AC26" i="5" s="1"/>
  <c r="U26" i="5"/>
  <c r="AB26" i="5" s="1"/>
  <c r="T26" i="5"/>
  <c r="AA26" i="5" s="1"/>
  <c r="S26" i="5"/>
  <c r="Z26" i="5" s="1"/>
  <c r="K19" i="6"/>
  <c r="C85" i="6" s="1"/>
  <c r="CE10" i="5"/>
  <c r="CC4" i="5"/>
  <c r="E24" i="2" s="1"/>
  <c r="CF10" i="5"/>
  <c r="AK17" i="5"/>
  <c r="BE24" i="5" s="1"/>
  <c r="CE11" i="5"/>
  <c r="CC5" i="5"/>
  <c r="E27" i="2" s="1"/>
  <c r="CF11" i="5"/>
  <c r="AF48" i="6"/>
  <c r="AF42" i="6"/>
  <c r="J108" i="6" s="1"/>
  <c r="M27" i="23" s="1"/>
  <c r="N27" i="23" s="1"/>
  <c r="AU27" i="26" s="1"/>
  <c r="AF44" i="6"/>
  <c r="R9" i="5"/>
  <c r="Y9" i="5" s="1"/>
  <c r="I24" i="6"/>
  <c r="K24" i="6" s="1"/>
  <c r="C90" i="6" s="1"/>
  <c r="AV22" i="6"/>
  <c r="AH7" i="24" s="1"/>
  <c r="AV23" i="6"/>
  <c r="AH8" i="24" s="1"/>
  <c r="AV19" i="6"/>
  <c r="AH4" i="24" s="1"/>
  <c r="AV28" i="6"/>
  <c r="AH13" i="24" s="1"/>
  <c r="AV26" i="6"/>
  <c r="AH11" i="24" s="1"/>
  <c r="K27" i="6"/>
  <c r="C93" i="6" s="1"/>
  <c r="AV45" i="6"/>
  <c r="AH30" i="24" s="1"/>
  <c r="AV39" i="6"/>
  <c r="AH24" i="24" s="1"/>
  <c r="AV42" i="6"/>
  <c r="AH27" i="24" s="1"/>
  <c r="AV44" i="6"/>
  <c r="AH29" i="24" s="1"/>
  <c r="W15" i="5"/>
  <c r="AD15" i="5" s="1"/>
  <c r="V15" i="5"/>
  <c r="AC15" i="5" s="1"/>
  <c r="U15" i="5"/>
  <c r="AB15" i="5" s="1"/>
  <c r="T15" i="5"/>
  <c r="AA15" i="5" s="1"/>
  <c r="S15" i="5"/>
  <c r="Z15" i="5" s="1"/>
  <c r="I40" i="6"/>
  <c r="K40" i="6" s="1"/>
  <c r="C106" i="6" s="1"/>
  <c r="V25" i="5"/>
  <c r="AC25" i="5" s="1"/>
  <c r="U25" i="5"/>
  <c r="AB25" i="5" s="1"/>
  <c r="T25" i="5"/>
  <c r="AA25" i="5" s="1"/>
  <c r="S25" i="5"/>
  <c r="Z25" i="5" s="1"/>
  <c r="R25" i="5"/>
  <c r="Y25" i="5" s="1"/>
  <c r="AL29" i="6"/>
  <c r="AD14" i="24" s="1"/>
  <c r="X5" i="5"/>
  <c r="AE5" i="5" s="1"/>
  <c r="CR5" i="5"/>
  <c r="CT5" i="5" s="1"/>
  <c r="X6" i="5"/>
  <c r="AE6" i="5" s="1"/>
  <c r="CR6" i="5"/>
  <c r="CT6" i="5" s="1"/>
  <c r="X7" i="5"/>
  <c r="AE7" i="5" s="1"/>
  <c r="V8" i="5"/>
  <c r="AC8" i="5" s="1"/>
  <c r="T9" i="5"/>
  <c r="AA9" i="5" s="1"/>
  <c r="V11" i="5"/>
  <c r="AC11" i="5" s="1"/>
  <c r="V12" i="5"/>
  <c r="AC12" i="5" s="1"/>
  <c r="V13" i="5"/>
  <c r="AC13" i="5" s="1"/>
  <c r="T14" i="5"/>
  <c r="AA14" i="5" s="1"/>
  <c r="X21" i="5"/>
  <c r="AE21" i="5" s="1"/>
  <c r="V22" i="5"/>
  <c r="AC22" i="5" s="1"/>
  <c r="AI34" i="6"/>
  <c r="AI31" i="6"/>
  <c r="AI33" i="6"/>
  <c r="AI35" i="6"/>
  <c r="T24" i="5"/>
  <c r="AA24" i="5" s="1"/>
  <c r="T27" i="5"/>
  <c r="AA27" i="5" s="1"/>
  <c r="U28" i="5"/>
  <c r="AB28" i="5" s="1"/>
  <c r="V30" i="5"/>
  <c r="AC30" i="5" s="1"/>
  <c r="K46" i="6"/>
  <c r="C112" i="6" s="1"/>
  <c r="X31" i="5"/>
  <c r="AE31" i="5" s="1"/>
  <c r="K47" i="6"/>
  <c r="C113" i="6" s="1"/>
  <c r="X32" i="5"/>
  <c r="AE32" i="5" s="1"/>
  <c r="I48" i="6"/>
  <c r="K48" i="6" s="1"/>
  <c r="C114" i="6" s="1"/>
  <c r="X33" i="5"/>
  <c r="AE33" i="5" s="1"/>
  <c r="I39" i="5"/>
  <c r="K39" i="5" s="1"/>
  <c r="AA20" i="6"/>
  <c r="Y5" i="24" s="1"/>
  <c r="AM20" i="6"/>
  <c r="M5" i="24" s="1"/>
  <c r="AV20" i="6"/>
  <c r="AH5" i="24" s="1"/>
  <c r="F6" i="24"/>
  <c r="AV21" i="6"/>
  <c r="AH6" i="24" s="1"/>
  <c r="AN21" i="6"/>
  <c r="N6" i="24" s="1"/>
  <c r="AI21" i="6"/>
  <c r="V6" i="24"/>
  <c r="O54" i="6"/>
  <c r="X6" i="23" s="1"/>
  <c r="AE6" i="23" s="1"/>
  <c r="AF6" i="23" s="1"/>
  <c r="AI22" i="6"/>
  <c r="K88" i="6" s="1"/>
  <c r="O7" i="23" s="1"/>
  <c r="AA24" i="6"/>
  <c r="Y9" i="24" s="1"/>
  <c r="AN24" i="6"/>
  <c r="N9" i="24" s="1"/>
  <c r="AU26" i="6"/>
  <c r="AG11" i="24" s="1"/>
  <c r="AU29" i="6"/>
  <c r="AG14" i="24" s="1"/>
  <c r="AI38" i="6"/>
  <c r="K104" i="6" s="1"/>
  <c r="O23" i="23" s="1"/>
  <c r="AK23" i="24" s="1"/>
  <c r="V57" i="6"/>
  <c r="K75" i="6"/>
  <c r="U27" i="23" s="1"/>
  <c r="R75" i="6"/>
  <c r="M94" i="6"/>
  <c r="J94" i="6"/>
  <c r="M13" i="23" s="1"/>
  <c r="K100" i="6"/>
  <c r="O19" i="23" s="1"/>
  <c r="N100" i="6"/>
  <c r="R114" i="6"/>
  <c r="J114" i="6"/>
  <c r="M33" i="23" s="1"/>
  <c r="N114" i="6"/>
  <c r="L114" i="6"/>
  <c r="W8" i="5"/>
  <c r="AD8" i="5" s="1"/>
  <c r="BD8" i="5"/>
  <c r="BA28" i="5" s="1"/>
  <c r="U9" i="5"/>
  <c r="AB9" i="5" s="1"/>
  <c r="W11" i="5"/>
  <c r="AD11" i="5" s="1"/>
  <c r="W12" i="5"/>
  <c r="AD12" i="5" s="1"/>
  <c r="W13" i="5"/>
  <c r="AD13" i="5" s="1"/>
  <c r="U14" i="5"/>
  <c r="AB14" i="5" s="1"/>
  <c r="BA18" i="5"/>
  <c r="K37" i="6"/>
  <c r="C103" i="6" s="1"/>
  <c r="W22" i="5"/>
  <c r="AD22" i="5" s="1"/>
  <c r="U24" i="5"/>
  <c r="AB24" i="5" s="1"/>
  <c r="U27" i="5"/>
  <c r="AB27" i="5" s="1"/>
  <c r="V28" i="5"/>
  <c r="AC28" i="5" s="1"/>
  <c r="W30" i="5"/>
  <c r="AD30" i="5" s="1"/>
  <c r="U31" i="5"/>
  <c r="AB31" i="5" s="1"/>
  <c r="S32" i="5"/>
  <c r="Z32" i="5" s="1"/>
  <c r="AT19" i="6"/>
  <c r="Q4" i="24" s="1"/>
  <c r="AL19" i="6"/>
  <c r="AF19" i="6"/>
  <c r="V4" i="24"/>
  <c r="O52" i="6"/>
  <c r="R85" i="6" s="1"/>
  <c r="AR19" i="6"/>
  <c r="AF21" i="6"/>
  <c r="AU22" i="6"/>
  <c r="AG7" i="24" s="1"/>
  <c r="AI26" i="6"/>
  <c r="AU27" i="6"/>
  <c r="AG12" i="24" s="1"/>
  <c r="AM27" i="6"/>
  <c r="M12" i="24" s="1"/>
  <c r="AT27" i="6"/>
  <c r="Q12" i="24" s="1"/>
  <c r="AL27" i="6"/>
  <c r="W27" i="6"/>
  <c r="AF27" i="6"/>
  <c r="R12" i="24"/>
  <c r="L60" i="6"/>
  <c r="V12" i="23" s="1"/>
  <c r="AC12" i="23" s="1"/>
  <c r="AM12" i="23" s="1"/>
  <c r="AX12" i="26" s="1"/>
  <c r="AN27" i="6"/>
  <c r="N12" i="24" s="1"/>
  <c r="V14" i="24"/>
  <c r="O62" i="6"/>
  <c r="M62" i="6" s="1"/>
  <c r="AK29" i="6"/>
  <c r="AF34" i="6"/>
  <c r="J100" i="6" s="1"/>
  <c r="M19" i="23" s="1"/>
  <c r="AF39" i="6"/>
  <c r="G4" i="23"/>
  <c r="AN4" i="24" s="1"/>
  <c r="Q85" i="6"/>
  <c r="O56" i="6"/>
  <c r="X8" i="23" s="1"/>
  <c r="AE8" i="23" s="1"/>
  <c r="AF8" i="23" s="1"/>
  <c r="L61" i="6"/>
  <c r="V13" i="23" s="1"/>
  <c r="AC13" i="23" s="1"/>
  <c r="AM13" i="23" s="1"/>
  <c r="AX13" i="26" s="1"/>
  <c r="R62" i="6"/>
  <c r="P62" i="6"/>
  <c r="Q62" i="6" s="1"/>
  <c r="K62" i="6"/>
  <c r="Q95" i="6" s="1"/>
  <c r="K71" i="6"/>
  <c r="Q104" i="6" s="1"/>
  <c r="R71" i="6"/>
  <c r="P95" i="6"/>
  <c r="M95" i="6"/>
  <c r="O95" i="6"/>
  <c r="AL14" i="24" s="1"/>
  <c r="N95" i="6"/>
  <c r="X16" i="23"/>
  <c r="AE16" i="23" s="1"/>
  <c r="AF16" i="23" s="1"/>
  <c r="X8" i="5"/>
  <c r="AE8" i="5" s="1"/>
  <c r="V9" i="5"/>
  <c r="AC9" i="5" s="1"/>
  <c r="N75" i="6"/>
  <c r="N76" i="6"/>
  <c r="N80" i="6"/>
  <c r="X11" i="5"/>
  <c r="AE11" i="5" s="1"/>
  <c r="X12" i="5"/>
  <c r="AE12" i="5" s="1"/>
  <c r="X13" i="5"/>
  <c r="AE13" i="5" s="1"/>
  <c r="V14" i="5"/>
  <c r="AC14" i="5" s="1"/>
  <c r="X22" i="5"/>
  <c r="AE22" i="5" s="1"/>
  <c r="V24" i="5"/>
  <c r="AC24" i="5" s="1"/>
  <c r="AI45" i="6"/>
  <c r="AI39" i="6"/>
  <c r="AI44" i="6"/>
  <c r="AI41" i="6"/>
  <c r="AI47" i="6"/>
  <c r="AI48" i="6"/>
  <c r="K114" i="6" s="1"/>
  <c r="O33" i="23" s="1"/>
  <c r="V27" i="5"/>
  <c r="AC27" i="5" s="1"/>
  <c r="K43" i="6"/>
  <c r="C109" i="6" s="1"/>
  <c r="W28" i="5"/>
  <c r="AD28" i="5" s="1"/>
  <c r="I45" i="6"/>
  <c r="K45" i="6" s="1"/>
  <c r="C111" i="6" s="1"/>
  <c r="X30" i="5"/>
  <c r="AE30" i="5" s="1"/>
  <c r="N17" i="43"/>
  <c r="L52" i="6"/>
  <c r="R52" i="6" s="1"/>
  <c r="R4" i="24"/>
  <c r="AI19" i="6"/>
  <c r="K85" i="6" s="1"/>
  <c r="O4" i="23" s="1"/>
  <c r="AS19" i="6"/>
  <c r="AR21" i="6"/>
  <c r="O6" i="24" s="1"/>
  <c r="AI23" i="6"/>
  <c r="K89" i="6" s="1"/>
  <c r="O8" i="23" s="1"/>
  <c r="L53" i="6"/>
  <c r="N65" i="6"/>
  <c r="N68" i="6"/>
  <c r="N89" i="6"/>
  <c r="L89" i="6"/>
  <c r="J89" i="6"/>
  <c r="M8" i="23" s="1"/>
  <c r="K29" i="6"/>
  <c r="C95" i="6" s="1"/>
  <c r="W14" i="5"/>
  <c r="AD14" i="5" s="1"/>
  <c r="AJ31" i="6"/>
  <c r="AB16" i="24" s="1"/>
  <c r="AJ38" i="6"/>
  <c r="AB23" i="24" s="1"/>
  <c r="AJ30" i="6"/>
  <c r="K39" i="6"/>
  <c r="C105" i="6" s="1"/>
  <c r="W24" i="5"/>
  <c r="AD24" i="5" s="1"/>
  <c r="AN45" i="6"/>
  <c r="AN39" i="6"/>
  <c r="N24" i="24" s="1"/>
  <c r="AN42" i="6"/>
  <c r="AN44" i="6"/>
  <c r="N29" i="24" s="1"/>
  <c r="K42" i="6"/>
  <c r="C108" i="6" s="1"/>
  <c r="W27" i="5"/>
  <c r="AD27" i="5" s="1"/>
  <c r="X28" i="5"/>
  <c r="AE28" i="5" s="1"/>
  <c r="J38" i="5"/>
  <c r="L38" i="5" s="1"/>
  <c r="W19" i="6"/>
  <c r="AJ19" i="6"/>
  <c r="AU19" i="6"/>
  <c r="AG4" i="24" s="1"/>
  <c r="W21" i="6"/>
  <c r="X6" i="24" s="1"/>
  <c r="AJ21" i="6"/>
  <c r="AS21" i="6"/>
  <c r="AM22" i="6"/>
  <c r="M7" i="24" s="1"/>
  <c r="L59" i="6"/>
  <c r="V11" i="23" s="1"/>
  <c r="AC11" i="23" s="1"/>
  <c r="AM26" i="6"/>
  <c r="M11" i="24" s="1"/>
  <c r="AF29" i="6"/>
  <c r="J95" i="6" s="1"/>
  <c r="M14" i="23" s="1"/>
  <c r="AV29" i="6"/>
  <c r="AH14" i="24" s="1"/>
  <c r="AN29" i="6"/>
  <c r="N14" i="24" s="1"/>
  <c r="AR29" i="6"/>
  <c r="AJ29" i="6"/>
  <c r="L95" i="6" s="1"/>
  <c r="AI29" i="6"/>
  <c r="K95" i="6" s="1"/>
  <c r="O14" i="23" s="1"/>
  <c r="W29" i="6"/>
  <c r="X14" i="24" s="1"/>
  <c r="AM29" i="6"/>
  <c r="M14" i="24" s="1"/>
  <c r="AI30" i="6"/>
  <c r="K96" i="6" s="1"/>
  <c r="O15" i="23" s="1"/>
  <c r="F17" i="24"/>
  <c r="AF32" i="6"/>
  <c r="AV32" i="6"/>
  <c r="AN32" i="6"/>
  <c r="N17" i="24" s="1"/>
  <c r="AU32" i="6"/>
  <c r="AG17" i="24" s="1"/>
  <c r="AM32" i="6"/>
  <c r="M17" i="24" s="1"/>
  <c r="AT32" i="6"/>
  <c r="Q17" i="24" s="1"/>
  <c r="AL32" i="6"/>
  <c r="AD17" i="24" s="1"/>
  <c r="AR32" i="6"/>
  <c r="O17" i="24" s="1"/>
  <c r="AJ32" i="6"/>
  <c r="AI32" i="6"/>
  <c r="W32" i="6"/>
  <c r="X17" i="24" s="1"/>
  <c r="M32" i="6"/>
  <c r="AK32" i="6"/>
  <c r="AC17" i="24" s="1"/>
  <c r="AF45" i="6"/>
  <c r="J111" i="6" s="1"/>
  <c r="M30" i="23" s="1"/>
  <c r="S56" i="6"/>
  <c r="N61" i="6"/>
  <c r="O63" i="6"/>
  <c r="R96" i="6" s="1"/>
  <c r="N81" i="6"/>
  <c r="R90" i="6"/>
  <c r="P90" i="6"/>
  <c r="O90" i="6"/>
  <c r="AL9" i="24" s="1"/>
  <c r="K90" i="6"/>
  <c r="O9" i="23" s="1"/>
  <c r="P111" i="6"/>
  <c r="Q111" i="6"/>
  <c r="O111" i="6"/>
  <c r="AL30" i="24" s="1"/>
  <c r="N111" i="6"/>
  <c r="L111" i="6"/>
  <c r="K111" i="6"/>
  <c r="O30" i="23" s="1"/>
  <c r="P30" i="23" s="1"/>
  <c r="AV30" i="26" s="1"/>
  <c r="R111" i="6"/>
  <c r="X9" i="5"/>
  <c r="AE9" i="5" s="1"/>
  <c r="AU38" i="6"/>
  <c r="AG23" i="24" s="1"/>
  <c r="AU30" i="6"/>
  <c r="AG15" i="24" s="1"/>
  <c r="AU31" i="6"/>
  <c r="AG16" i="24" s="1"/>
  <c r="AU44" i="6"/>
  <c r="AG29" i="24" s="1"/>
  <c r="AU41" i="6"/>
  <c r="AU48" i="6"/>
  <c r="AG33" i="24" s="1"/>
  <c r="AU47" i="6"/>
  <c r="AG32" i="24" s="1"/>
  <c r="AU45" i="6"/>
  <c r="AG30" i="24" s="1"/>
  <c r="AU39" i="6"/>
  <c r="AG24" i="24" s="1"/>
  <c r="AU42" i="6"/>
  <c r="AG27" i="24" s="1"/>
  <c r="X14" i="5"/>
  <c r="AE14" i="5" s="1"/>
  <c r="K30" i="6"/>
  <c r="C96" i="6" s="1"/>
  <c r="X24" i="5"/>
  <c r="AE24" i="5" s="1"/>
  <c r="AK42" i="6"/>
  <c r="AK48" i="6"/>
  <c r="AC33" i="24" s="1"/>
  <c r="K41" i="6"/>
  <c r="C107" i="6" s="1"/>
  <c r="X27" i="5"/>
  <c r="AE27" i="5" s="1"/>
  <c r="K44" i="6"/>
  <c r="C110" i="6" s="1"/>
  <c r="R30" i="5"/>
  <c r="Y30" i="5" s="1"/>
  <c r="CD30" i="5"/>
  <c r="AI20" i="6"/>
  <c r="F5" i="24"/>
  <c r="AT20" i="6"/>
  <c r="Q5" i="24" s="1"/>
  <c r="AL20" i="6"/>
  <c r="AD5" i="24" s="1"/>
  <c r="V5" i="24"/>
  <c r="O53" i="6"/>
  <c r="X5" i="23" s="1"/>
  <c r="AE5" i="23" s="1"/>
  <c r="AF5" i="23" s="1"/>
  <c r="AF20" i="6"/>
  <c r="AA21" i="6"/>
  <c r="AK21" i="6"/>
  <c r="AT21" i="6"/>
  <c r="Q6" i="24" s="1"/>
  <c r="AU23" i="6"/>
  <c r="AG8" i="24" s="1"/>
  <c r="AF24" i="6"/>
  <c r="J90" i="6" s="1"/>
  <c r="M9" i="23" s="1"/>
  <c r="AF26" i="6"/>
  <c r="L64" i="6"/>
  <c r="M64" i="6" s="1"/>
  <c r="AI42" i="6"/>
  <c r="K54" i="6"/>
  <c r="Q87" i="6" s="1"/>
  <c r="N58" i="6"/>
  <c r="N72" i="6"/>
  <c r="N97" i="6"/>
  <c r="K97" i="6"/>
  <c r="O16" i="23" s="1"/>
  <c r="O97" i="6"/>
  <c r="AL16" i="24" s="1"/>
  <c r="L97" i="6"/>
  <c r="R97" i="6"/>
  <c r="AJ14" i="23"/>
  <c r="AM19" i="6"/>
  <c r="M4" i="24" s="1"/>
  <c r="F9" i="24"/>
  <c r="AU24" i="6"/>
  <c r="AG9" i="24" s="1"/>
  <c r="AM24" i="6"/>
  <c r="M9" i="24" s="1"/>
  <c r="AI24" i="6"/>
  <c r="W24" i="6"/>
  <c r="X9" i="24" s="1"/>
  <c r="AJ24" i="6"/>
  <c r="AB9" i="24" s="1"/>
  <c r="AS24" i="6"/>
  <c r="P9" i="24" s="1"/>
  <c r="AF31" i="6"/>
  <c r="J97" i="6" s="1"/>
  <c r="M16" i="23" s="1"/>
  <c r="AU34" i="6"/>
  <c r="AG19" i="24" s="1"/>
  <c r="AJ35" i="6"/>
  <c r="AB20" i="24" s="1"/>
  <c r="N64" i="6"/>
  <c r="M98" i="6"/>
  <c r="J98" i="6"/>
  <c r="M17" i="23" s="1"/>
  <c r="AJ17" i="24" s="1"/>
  <c r="Q98" i="6"/>
  <c r="P98" i="6"/>
  <c r="N98" i="6"/>
  <c r="L98" i="6"/>
  <c r="K98" i="6"/>
  <c r="O17" i="23" s="1"/>
  <c r="K107" i="6"/>
  <c r="O26" i="23" s="1"/>
  <c r="V5" i="5"/>
  <c r="AC5" i="5" s="1"/>
  <c r="AF5" i="5" s="1"/>
  <c r="V6" i="5"/>
  <c r="AC6" i="5" s="1"/>
  <c r="AF6" i="5" s="1"/>
  <c r="V7" i="5"/>
  <c r="AC7" i="5" s="1"/>
  <c r="AF7" i="5" s="1"/>
  <c r="T8" i="5"/>
  <c r="AA8" i="5" s="1"/>
  <c r="AF8" i="5" s="1"/>
  <c r="T11" i="5"/>
  <c r="AA11" i="5" s="1"/>
  <c r="AF11" i="5" s="1"/>
  <c r="T12" i="5"/>
  <c r="AA12" i="5" s="1"/>
  <c r="AF12" i="5" s="1"/>
  <c r="T13" i="5"/>
  <c r="AA13" i="5" s="1"/>
  <c r="R14" i="5"/>
  <c r="Y14" i="5" s="1"/>
  <c r="K35" i="6"/>
  <c r="C101" i="6" s="1"/>
  <c r="W20" i="5"/>
  <c r="AD20" i="5" s="1"/>
  <c r="AF20" i="5" s="1"/>
  <c r="V21" i="5"/>
  <c r="AC21" i="5" s="1"/>
  <c r="T22" i="5"/>
  <c r="AA22" i="5" s="1"/>
  <c r="K38" i="6"/>
  <c r="C104" i="6" s="1"/>
  <c r="W23" i="5"/>
  <c r="AD23" i="5" s="1"/>
  <c r="AF23" i="5" s="1"/>
  <c r="R24" i="5"/>
  <c r="Y24" i="5" s="1"/>
  <c r="R27" i="5"/>
  <c r="Y27" i="5" s="1"/>
  <c r="S28" i="5"/>
  <c r="Z28" i="5" s="1"/>
  <c r="T30" i="5"/>
  <c r="AA30" i="5" s="1"/>
  <c r="CF30" i="5"/>
  <c r="V31" i="5"/>
  <c r="AC31" i="5" s="1"/>
  <c r="V32" i="5"/>
  <c r="AC32" i="5" s="1"/>
  <c r="V33" i="5"/>
  <c r="AC33" i="5" s="1"/>
  <c r="AF33" i="5" s="1"/>
  <c r="L3" i="43"/>
  <c r="AN19" i="6"/>
  <c r="N4" i="24" s="1"/>
  <c r="AJ20" i="6"/>
  <c r="AB5" i="24" s="1"/>
  <c r="AS20" i="6"/>
  <c r="P5" i="24" s="1"/>
  <c r="AM21" i="6"/>
  <c r="M6" i="24" s="1"/>
  <c r="AK24" i="6"/>
  <c r="AC9" i="24" s="1"/>
  <c r="AT24" i="6"/>
  <c r="Q9" i="24" s="1"/>
  <c r="AI27" i="6"/>
  <c r="AV27" i="6"/>
  <c r="AH12" i="24" s="1"/>
  <c r="F13" i="24"/>
  <c r="AR28" i="6"/>
  <c r="O13" i="24" s="1"/>
  <c r="AJ28" i="6"/>
  <c r="AB13" i="24" s="1"/>
  <c r="AA28" i="6"/>
  <c r="Y13" i="24" s="1"/>
  <c r="AI28" i="6"/>
  <c r="K94" i="6" s="1"/>
  <c r="O13" i="23" s="1"/>
  <c r="AU28" i="6"/>
  <c r="AG13" i="24" s="1"/>
  <c r="AM28" i="6"/>
  <c r="M13" i="24" s="1"/>
  <c r="AT28" i="6"/>
  <c r="Q13" i="24" s="1"/>
  <c r="AL28" i="6"/>
  <c r="AD13" i="24" s="1"/>
  <c r="AN28" i="6"/>
  <c r="N13" i="24" s="1"/>
  <c r="M29" i="6"/>
  <c r="AS29" i="6"/>
  <c r="AS32" i="6"/>
  <c r="P17" i="24" s="1"/>
  <c r="AV47" i="6"/>
  <c r="V53" i="6"/>
  <c r="R80" i="6"/>
  <c r="K80" i="6"/>
  <c r="Q113" i="6" s="1"/>
  <c r="N86" i="6"/>
  <c r="O86" i="6"/>
  <c r="AL5" i="24" s="1"/>
  <c r="M86" i="6"/>
  <c r="L86" i="6"/>
  <c r="K86" i="6"/>
  <c r="O5" i="23" s="1"/>
  <c r="AL5" i="26" s="1"/>
  <c r="J86" i="6"/>
  <c r="M5" i="23" s="1"/>
  <c r="H86" i="6"/>
  <c r="K92" i="6"/>
  <c r="O11" i="23" s="1"/>
  <c r="P92" i="6"/>
  <c r="N92" i="6"/>
  <c r="J92" i="6"/>
  <c r="M11" i="23" s="1"/>
  <c r="AJ11" i="24" s="1"/>
  <c r="X31" i="23"/>
  <c r="AE31" i="23" s="1"/>
  <c r="AF31" i="23" s="1"/>
  <c r="R15" i="5"/>
  <c r="Y15" i="5" s="1"/>
  <c r="BA19" i="5"/>
  <c r="AM38" i="6"/>
  <c r="AM30" i="6"/>
  <c r="M15" i="24" s="1"/>
  <c r="AM31" i="6"/>
  <c r="M16" i="24" s="1"/>
  <c r="R26" i="5"/>
  <c r="Y26" i="5" s="1"/>
  <c r="AF26" i="5" s="1"/>
  <c r="R29" i="5"/>
  <c r="Y29" i="5" s="1"/>
  <c r="W31" i="5"/>
  <c r="AD31" i="5" s="1"/>
  <c r="W32" i="5"/>
  <c r="AD32" i="5" s="1"/>
  <c r="H38" i="5"/>
  <c r="I7" i="6"/>
  <c r="W20" i="6"/>
  <c r="X5" i="24" s="1"/>
  <c r="AK20" i="6"/>
  <c r="AC5" i="24" s="1"/>
  <c r="AU20" i="6"/>
  <c r="AG5" i="24" s="1"/>
  <c r="AL24" i="6"/>
  <c r="AD9" i="24" s="1"/>
  <c r="AV24" i="6"/>
  <c r="AJ27" i="6"/>
  <c r="AB12" i="24" s="1"/>
  <c r="AT29" i="6"/>
  <c r="Q14" i="24" s="1"/>
  <c r="AF46" i="6"/>
  <c r="J112" i="6" s="1"/>
  <c r="M31" i="23" s="1"/>
  <c r="N31" i="23" s="1"/>
  <c r="AU31" i="26" s="1"/>
  <c r="N57" i="6"/>
  <c r="S9" i="24" s="1"/>
  <c r="Q63" i="6"/>
  <c r="W63" i="6"/>
  <c r="N73" i="6"/>
  <c r="P87" i="6"/>
  <c r="H87" i="6"/>
  <c r="M87" i="6"/>
  <c r="J87" i="6"/>
  <c r="M6" i="23" s="1"/>
  <c r="AJ6" i="24" s="1"/>
  <c r="O87" i="6"/>
  <c r="AL6" i="24" s="1"/>
  <c r="N87" i="6"/>
  <c r="L87" i="6"/>
  <c r="K87" i="6"/>
  <c r="O6" i="23" s="1"/>
  <c r="M93" i="6"/>
  <c r="P113" i="6"/>
  <c r="AK23" i="6"/>
  <c r="M89" i="6" s="1"/>
  <c r="AS23" i="6"/>
  <c r="AM25" i="6"/>
  <c r="M10" i="24" s="1"/>
  <c r="AU25" i="6"/>
  <c r="AG10" i="24" s="1"/>
  <c r="AA26" i="6"/>
  <c r="Y11" i="24" s="1"/>
  <c r="AJ26" i="6"/>
  <c r="AB11" i="24" s="1"/>
  <c r="AR26" i="6"/>
  <c r="O11" i="24" s="1"/>
  <c r="AK31" i="6"/>
  <c r="AC16" i="24" s="1"/>
  <c r="AS31" i="6"/>
  <c r="AM33" i="6"/>
  <c r="M18" i="24" s="1"/>
  <c r="AU33" i="6"/>
  <c r="AG18" i="24" s="1"/>
  <c r="AJ34" i="6"/>
  <c r="AB19" i="24" s="1"/>
  <c r="AR34" i="6"/>
  <c r="AF35" i="6"/>
  <c r="AL36" i="6"/>
  <c r="AD21" i="24" s="1"/>
  <c r="AT36" i="6"/>
  <c r="Q21" i="24" s="1"/>
  <c r="AI37" i="6"/>
  <c r="K103" i="6" s="1"/>
  <c r="O22" i="23" s="1"/>
  <c r="AK39" i="6"/>
  <c r="AC24" i="24" s="1"/>
  <c r="AS39" i="6"/>
  <c r="M40" i="6"/>
  <c r="W40" i="6"/>
  <c r="X25" i="24" s="1"/>
  <c r="AN41" i="6"/>
  <c r="AV41" i="6"/>
  <c r="AH26" i="24" s="1"/>
  <c r="AL42" i="6"/>
  <c r="AT42" i="6"/>
  <c r="AI43" i="6"/>
  <c r="AK45" i="6"/>
  <c r="AC30" i="24" s="1"/>
  <c r="AS45" i="6"/>
  <c r="M46" i="6"/>
  <c r="W46" i="6"/>
  <c r="AF47" i="6"/>
  <c r="J55" i="6"/>
  <c r="J56" i="6"/>
  <c r="P89" i="6" s="1"/>
  <c r="E58" i="6"/>
  <c r="G58" i="6" s="1"/>
  <c r="O91" i="6" s="1"/>
  <c r="AL10" i="24" s="1"/>
  <c r="E59" i="6"/>
  <c r="N59" i="6"/>
  <c r="R63" i="6"/>
  <c r="H64" i="6"/>
  <c r="E65" i="6"/>
  <c r="R66" i="6"/>
  <c r="J66" i="6"/>
  <c r="O66" i="6"/>
  <c r="M66" i="6" s="1"/>
  <c r="S69" i="6"/>
  <c r="O74" i="6"/>
  <c r="R107" i="6" s="1"/>
  <c r="N74" i="6"/>
  <c r="P75" i="6"/>
  <c r="Y27" i="23" s="1"/>
  <c r="AL27" i="23" s="1"/>
  <c r="H76" i="6"/>
  <c r="J76" i="6" s="1"/>
  <c r="P76" i="6" s="1"/>
  <c r="P77" i="6"/>
  <c r="Q77" i="6" s="1"/>
  <c r="H79" i="6"/>
  <c r="J79" i="6" s="1"/>
  <c r="M85" i="6"/>
  <c r="N91" i="6"/>
  <c r="L93" i="6"/>
  <c r="K101" i="6"/>
  <c r="O20" i="23" s="1"/>
  <c r="AL20" i="26" s="1"/>
  <c r="O108" i="6"/>
  <c r="AL27" i="24" s="1"/>
  <c r="AJ4" i="23"/>
  <c r="AO4" i="26" s="1"/>
  <c r="AJ6" i="23"/>
  <c r="X9" i="23"/>
  <c r="AE9" i="23" s="1"/>
  <c r="AF9" i="23" s="1"/>
  <c r="T11" i="23"/>
  <c r="G14" i="23"/>
  <c r="AN14" i="24" s="1"/>
  <c r="T17" i="23"/>
  <c r="U17" i="23"/>
  <c r="AK26" i="23"/>
  <c r="S27" i="23"/>
  <c r="AB27" i="23" s="1"/>
  <c r="T27" i="23"/>
  <c r="AJ27" i="23"/>
  <c r="AO27" i="26" s="1"/>
  <c r="S32" i="23"/>
  <c r="AB32" i="23" s="1"/>
  <c r="AJ32" i="23"/>
  <c r="AN25" i="6"/>
  <c r="N10" i="24" s="1"/>
  <c r="AV25" i="6"/>
  <c r="AH10" i="24" s="1"/>
  <c r="AK26" i="6"/>
  <c r="M92" i="6" s="1"/>
  <c r="AS26" i="6"/>
  <c r="P11" i="24" s="1"/>
  <c r="AN33" i="6"/>
  <c r="AV33" i="6"/>
  <c r="AH18" i="24" s="1"/>
  <c r="AK34" i="6"/>
  <c r="M100" i="6" s="1"/>
  <c r="AS34" i="6"/>
  <c r="M35" i="6"/>
  <c r="W35" i="6"/>
  <c r="X20" i="24" s="1"/>
  <c r="AM36" i="6"/>
  <c r="M21" i="24" s="1"/>
  <c r="AU36" i="6"/>
  <c r="AG21" i="24" s="1"/>
  <c r="AJ37" i="6"/>
  <c r="L103" i="6" s="1"/>
  <c r="AR37" i="6"/>
  <c r="O22" i="24" s="1"/>
  <c r="AI40" i="6"/>
  <c r="K106" i="6" s="1"/>
  <c r="O25" i="23" s="1"/>
  <c r="AF41" i="6"/>
  <c r="J107" i="6" s="1"/>
  <c r="M26" i="23" s="1"/>
  <c r="N26" i="23" s="1"/>
  <c r="AJ43" i="6"/>
  <c r="AB28" i="24" s="1"/>
  <c r="AR43" i="6"/>
  <c r="O28" i="24" s="1"/>
  <c r="AI46" i="6"/>
  <c r="K112" i="6" s="1"/>
  <c r="O31" i="23" s="1"/>
  <c r="H53" i="6"/>
  <c r="N53" i="6"/>
  <c r="H57" i="6"/>
  <c r="K57" i="6" s="1"/>
  <c r="Q90" i="6" s="1"/>
  <c r="J64" i="6"/>
  <c r="K64" i="6" s="1"/>
  <c r="Q97" i="6" s="1"/>
  <c r="S64" i="6"/>
  <c r="N67" i="6"/>
  <c r="E67" i="6"/>
  <c r="O67" i="6"/>
  <c r="R100" i="6" s="1"/>
  <c r="O69" i="6"/>
  <c r="X21" i="23" s="1"/>
  <c r="AE21" i="23" s="1"/>
  <c r="AF21" i="23" s="1"/>
  <c r="L71" i="6"/>
  <c r="M71" i="6" s="1"/>
  <c r="R77" i="6"/>
  <c r="R78" i="6"/>
  <c r="J85" i="6"/>
  <c r="M4" i="23" s="1"/>
  <c r="O85" i="6"/>
  <c r="AL4" i="24" s="1"/>
  <c r="N85" i="6"/>
  <c r="N99" i="6"/>
  <c r="L101" i="6"/>
  <c r="K109" i="6"/>
  <c r="O28" i="23" s="1"/>
  <c r="O110" i="6"/>
  <c r="AL29" i="24" s="1"/>
  <c r="O113" i="6"/>
  <c r="AL32" i="24" s="1"/>
  <c r="T8" i="23"/>
  <c r="S9" i="23"/>
  <c r="AB9" i="23" s="1"/>
  <c r="S15" i="23"/>
  <c r="AB15" i="23" s="1"/>
  <c r="AJ18" i="23"/>
  <c r="U22" i="23"/>
  <c r="AJ22" i="23"/>
  <c r="X23" i="23"/>
  <c r="AE23" i="23" s="1"/>
  <c r="AF23" i="23" s="1"/>
  <c r="S23" i="23"/>
  <c r="AB23" i="23" s="1"/>
  <c r="G30" i="23"/>
  <c r="AN30" i="24" s="1"/>
  <c r="AJ30" i="23"/>
  <c r="AK37" i="6"/>
  <c r="AC22" i="24" s="1"/>
  <c r="AS37" i="6"/>
  <c r="P22" i="24" s="1"/>
  <c r="AJ40" i="6"/>
  <c r="L106" i="6" s="1"/>
  <c r="AR40" i="6"/>
  <c r="O25" i="24" s="1"/>
  <c r="AK43" i="6"/>
  <c r="AS43" i="6"/>
  <c r="AJ46" i="6"/>
  <c r="AR46" i="6"/>
  <c r="L54" i="6"/>
  <c r="L56" i="6"/>
  <c r="V8" i="23" s="1"/>
  <c r="AC8" i="23" s="1"/>
  <c r="S60" i="6"/>
  <c r="N60" i="6"/>
  <c r="S12" i="24" s="1"/>
  <c r="L63" i="6"/>
  <c r="S68" i="6"/>
  <c r="O68" i="6"/>
  <c r="M68" i="6" s="1"/>
  <c r="O73" i="6"/>
  <c r="R106" i="6" s="1"/>
  <c r="J74" i="6"/>
  <c r="K74" i="6" s="1"/>
  <c r="U26" i="23" s="1"/>
  <c r="E74" i="6"/>
  <c r="L79" i="6"/>
  <c r="M79" i="6" s="1"/>
  <c r="L80" i="6"/>
  <c r="V32" i="23" s="1"/>
  <c r="AC32" i="23" s="1"/>
  <c r="AM32" i="23" s="1"/>
  <c r="AX32" i="26" s="1"/>
  <c r="P85" i="6"/>
  <c r="P88" i="6"/>
  <c r="J93" i="6"/>
  <c r="M12" i="23" s="1"/>
  <c r="O93" i="6"/>
  <c r="AL12" i="24" s="1"/>
  <c r="N93" i="6"/>
  <c r="N102" i="6"/>
  <c r="N105" i="6"/>
  <c r="K105" i="6"/>
  <c r="O24" i="23" s="1"/>
  <c r="K108" i="6"/>
  <c r="O27" i="23" s="1"/>
  <c r="P27" i="23" s="1"/>
  <c r="AV27" i="26" s="1"/>
  <c r="P108" i="6"/>
  <c r="R108" i="6"/>
  <c r="S4" i="23"/>
  <c r="AB4" i="23" s="1"/>
  <c r="S5" i="23"/>
  <c r="AB5" i="23" s="1"/>
  <c r="S6" i="23"/>
  <c r="AB6" i="23" s="1"/>
  <c r="V7" i="23"/>
  <c r="AC7" i="23" s="1"/>
  <c r="AM7" i="23" s="1"/>
  <c r="AX7" i="26" s="1"/>
  <c r="F9" i="23"/>
  <c r="AM9" i="24" s="1"/>
  <c r="T9" i="23"/>
  <c r="T15" i="23"/>
  <c r="V17" i="23"/>
  <c r="AC17" i="23" s="1"/>
  <c r="AJ17" i="23"/>
  <c r="V22" i="23"/>
  <c r="AC22" i="23" s="1"/>
  <c r="AM22" i="23" s="1"/>
  <c r="T23" i="23"/>
  <c r="V24" i="23"/>
  <c r="AC24" i="23" s="1"/>
  <c r="AM24" i="23" s="1"/>
  <c r="T28" i="23"/>
  <c r="F32" i="23"/>
  <c r="AM32" i="24" s="1"/>
  <c r="X32" i="23"/>
  <c r="AE32" i="23" s="1"/>
  <c r="AF32" i="23" s="1"/>
  <c r="H8" i="24"/>
  <c r="AY8" i="24"/>
  <c r="AK40" i="6"/>
  <c r="AC25" i="24" s="1"/>
  <c r="AS40" i="6"/>
  <c r="P25" i="24" s="1"/>
  <c r="AK46" i="6"/>
  <c r="M112" i="6" s="1"/>
  <c r="AS46" i="6"/>
  <c r="O60" i="6"/>
  <c r="X12" i="23" s="1"/>
  <c r="AE12" i="23" s="1"/>
  <c r="AF12" i="23" s="1"/>
  <c r="H61" i="6"/>
  <c r="O61" i="6"/>
  <c r="R94" i="6" s="1"/>
  <c r="O72" i="6"/>
  <c r="R105" i="6" s="1"/>
  <c r="P96" i="6"/>
  <c r="P99" i="6"/>
  <c r="J101" i="6"/>
  <c r="M20" i="23" s="1"/>
  <c r="O101" i="6"/>
  <c r="AL20" i="24" s="1"/>
  <c r="Q110" i="6"/>
  <c r="N110" i="6"/>
  <c r="N113" i="6"/>
  <c r="K113" i="6"/>
  <c r="O32" i="23" s="1"/>
  <c r="T4" i="23"/>
  <c r="T6" i="23"/>
  <c r="T7" i="23"/>
  <c r="F8" i="23"/>
  <c r="AM8" i="24" s="1"/>
  <c r="G15" i="23"/>
  <c r="AN15" i="24" s="1"/>
  <c r="F17" i="23"/>
  <c r="AM17" i="24" s="1"/>
  <c r="V19" i="23"/>
  <c r="AC19" i="23" s="1"/>
  <c r="AM19" i="23" s="1"/>
  <c r="AX19" i="26" s="1"/>
  <c r="G22" i="23"/>
  <c r="AN22" i="24" s="1"/>
  <c r="X22" i="23"/>
  <c r="AE22" i="23" s="1"/>
  <c r="AF22" i="23" s="1"/>
  <c r="X27" i="23"/>
  <c r="AE27" i="23" s="1"/>
  <c r="AF27" i="23" s="1"/>
  <c r="G32" i="23"/>
  <c r="AN32" i="24" s="1"/>
  <c r="AK35" i="6"/>
  <c r="AC20" i="24" s="1"/>
  <c r="AS35" i="6"/>
  <c r="AM37" i="6"/>
  <c r="M22" i="24" s="1"/>
  <c r="AU37" i="6"/>
  <c r="AG22" i="24" s="1"/>
  <c r="AL40" i="6"/>
  <c r="AT40" i="6"/>
  <c r="Q25" i="24" s="1"/>
  <c r="AM43" i="6"/>
  <c r="M28" i="24" s="1"/>
  <c r="AU43" i="6"/>
  <c r="AG28" i="24" s="1"/>
  <c r="AL46" i="6"/>
  <c r="N112" i="6" s="1"/>
  <c r="AT46" i="6"/>
  <c r="S55" i="6"/>
  <c r="N56" i="6"/>
  <c r="S8" i="24" s="1"/>
  <c r="L57" i="6"/>
  <c r="V9" i="23" s="1"/>
  <c r="AC9" i="23" s="1"/>
  <c r="L58" i="6"/>
  <c r="V10" i="23" s="1"/>
  <c r="AC10" i="23" s="1"/>
  <c r="E61" i="6"/>
  <c r="E69" i="6"/>
  <c r="N69" i="6"/>
  <c r="E73" i="6"/>
  <c r="L78" i="6"/>
  <c r="M78" i="6" s="1"/>
  <c r="R88" i="6"/>
  <c r="O96" i="6"/>
  <c r="AL15" i="24" s="1"/>
  <c r="Q96" i="6"/>
  <c r="L99" i="6"/>
  <c r="P104" i="6"/>
  <c r="P107" i="6"/>
  <c r="O109" i="6"/>
  <c r="AL28" i="24" s="1"/>
  <c r="N109" i="6"/>
  <c r="R113" i="6"/>
  <c r="U4" i="23"/>
  <c r="F7" i="23"/>
  <c r="AM7" i="24" s="1"/>
  <c r="AJ9" i="23"/>
  <c r="T14" i="23"/>
  <c r="G17" i="23"/>
  <c r="AN17" i="24" s="1"/>
  <c r="S18" i="23"/>
  <c r="AB18" i="23" s="1"/>
  <c r="S20" i="23"/>
  <c r="AB20" i="23" s="1"/>
  <c r="AB15" i="24"/>
  <c r="AK22" i="6"/>
  <c r="M88" i="6" s="1"/>
  <c r="AA25" i="6"/>
  <c r="H91" i="6" s="1"/>
  <c r="AJ25" i="6"/>
  <c r="L91" i="6" s="1"/>
  <c r="AR25" i="6"/>
  <c r="O10" i="24" s="1"/>
  <c r="AK30" i="6"/>
  <c r="M31" i="6"/>
  <c r="W31" i="6"/>
  <c r="X16" i="24" s="1"/>
  <c r="AJ33" i="6"/>
  <c r="AR33" i="6"/>
  <c r="O18" i="24" s="1"/>
  <c r="AL35" i="6"/>
  <c r="AD20" i="24" s="1"/>
  <c r="AT35" i="6"/>
  <c r="Q20" i="24" s="1"/>
  <c r="AI36" i="6"/>
  <c r="AN37" i="6"/>
  <c r="AV37" i="6"/>
  <c r="AH22" i="24" s="1"/>
  <c r="AK38" i="6"/>
  <c r="M104" i="6" s="1"/>
  <c r="M39" i="6"/>
  <c r="W39" i="6"/>
  <c r="AM40" i="6"/>
  <c r="M25" i="24" s="1"/>
  <c r="AU40" i="6"/>
  <c r="AG25" i="24" s="1"/>
  <c r="AK41" i="6"/>
  <c r="AS41" i="6"/>
  <c r="P26" i="24" s="1"/>
  <c r="M42" i="6"/>
  <c r="W42" i="6"/>
  <c r="X27" i="24" s="1"/>
  <c r="AN43" i="6"/>
  <c r="N28" i="24" s="1"/>
  <c r="AV43" i="6"/>
  <c r="AH28" i="24" s="1"/>
  <c r="AK44" i="6"/>
  <c r="AC29" i="24" s="1"/>
  <c r="AS44" i="6"/>
  <c r="P29" i="24" s="1"/>
  <c r="M45" i="6"/>
  <c r="AM46" i="6"/>
  <c r="AU46" i="6"/>
  <c r="AG31" i="24" s="1"/>
  <c r="AM47" i="6"/>
  <c r="M32" i="24" s="1"/>
  <c r="F33" i="24"/>
  <c r="W48" i="6"/>
  <c r="X33" i="24" s="1"/>
  <c r="M48" i="6"/>
  <c r="AN48" i="6"/>
  <c r="N33" i="24" s="1"/>
  <c r="AV48" i="6"/>
  <c r="AH33" i="24" s="1"/>
  <c r="H69" i="9"/>
  <c r="H53" i="9"/>
  <c r="H46" i="9"/>
  <c r="H55" i="9"/>
  <c r="H47" i="9"/>
  <c r="H64" i="9"/>
  <c r="H65" i="9"/>
  <c r="H57" i="9"/>
  <c r="H49" i="9"/>
  <c r="H41" i="9"/>
  <c r="H66" i="9"/>
  <c r="H42" i="9"/>
  <c r="H67" i="9"/>
  <c r="H51" i="9"/>
  <c r="H43" i="9"/>
  <c r="H68" i="9"/>
  <c r="H60" i="9"/>
  <c r="H52" i="9"/>
  <c r="S33" i="24"/>
  <c r="S25" i="24"/>
  <c r="S21" i="24"/>
  <c r="S17" i="24"/>
  <c r="G29" i="23"/>
  <c r="AN29" i="24" s="1"/>
  <c r="F28" i="23"/>
  <c r="AM28" i="24" s="1"/>
  <c r="S26" i="24"/>
  <c r="S32" i="24"/>
  <c r="S28" i="24"/>
  <c r="S24" i="24"/>
  <c r="S20" i="24"/>
  <c r="S16" i="24"/>
  <c r="S18" i="24"/>
  <c r="V33" i="23"/>
  <c r="AC33" i="23" s="1"/>
  <c r="AM33" i="23" s="1"/>
  <c r="AX33" i="26" s="1"/>
  <c r="F27" i="23"/>
  <c r="AM27" i="24" s="1"/>
  <c r="V18" i="23"/>
  <c r="AC18" i="23" s="1"/>
  <c r="AM18" i="23" s="1"/>
  <c r="G16" i="23"/>
  <c r="AN16" i="24" s="1"/>
  <c r="Y15" i="23"/>
  <c r="AL15" i="23" s="1"/>
  <c r="S13" i="24"/>
  <c r="U32" i="23"/>
  <c r="F30" i="23"/>
  <c r="AM30" i="24" s="1"/>
  <c r="S28" i="23"/>
  <c r="AB28" i="23" s="1"/>
  <c r="F23" i="23"/>
  <c r="AM23" i="24" s="1"/>
  <c r="F18" i="23"/>
  <c r="AM18" i="24" s="1"/>
  <c r="U15" i="23"/>
  <c r="F11" i="23"/>
  <c r="AM11" i="24" s="1"/>
  <c r="F4" i="23"/>
  <c r="AM4" i="24" s="1"/>
  <c r="T32" i="23"/>
  <c r="S15" i="24"/>
  <c r="S11" i="24"/>
  <c r="F29" i="23"/>
  <c r="AM29" i="24" s="1"/>
  <c r="F22" i="23"/>
  <c r="AM22" i="24" s="1"/>
  <c r="F15" i="23"/>
  <c r="AM15" i="24" s="1"/>
  <c r="F6" i="23"/>
  <c r="AM6" i="24" s="1"/>
  <c r="J53" i="6"/>
  <c r="S53" i="6"/>
  <c r="E55" i="6"/>
  <c r="E56" i="6"/>
  <c r="G56" i="6" s="1"/>
  <c r="O59" i="6"/>
  <c r="X11" i="23" s="1"/>
  <c r="AE11" i="23" s="1"/>
  <c r="AF11" i="23" s="1"/>
  <c r="S63" i="6"/>
  <c r="V66" i="6"/>
  <c r="J67" i="6"/>
  <c r="P100" i="6" s="1"/>
  <c r="S67" i="6"/>
  <c r="H68" i="6"/>
  <c r="S71" i="6"/>
  <c r="P71" i="6"/>
  <c r="E72" i="6"/>
  <c r="S73" i="6"/>
  <c r="P80" i="6"/>
  <c r="E81" i="6"/>
  <c r="J91" i="6"/>
  <c r="M10" i="23" s="1"/>
  <c r="K102" i="6"/>
  <c r="O21" i="23" s="1"/>
  <c r="O104" i="6"/>
  <c r="AL23" i="24" s="1"/>
  <c r="J105" i="6"/>
  <c r="M24" i="23" s="1"/>
  <c r="L107" i="6"/>
  <c r="L108" i="6"/>
  <c r="P109" i="6"/>
  <c r="J110" i="6"/>
  <c r="M29" i="23" s="1"/>
  <c r="S12" i="23"/>
  <c r="AB12" i="23" s="1"/>
  <c r="S14" i="23"/>
  <c r="AB14" i="23" s="1"/>
  <c r="S16" i="23"/>
  <c r="AB16" i="23" s="1"/>
  <c r="T16" i="23"/>
  <c r="T18" i="23"/>
  <c r="V21" i="23"/>
  <c r="AC21" i="23" s="1"/>
  <c r="AM21" i="23" s="1"/>
  <c r="AX21" i="26" s="1"/>
  <c r="G23" i="23"/>
  <c r="AN23" i="24" s="1"/>
  <c r="AJ23" i="23"/>
  <c r="U29" i="23"/>
  <c r="AJ29" i="23"/>
  <c r="T30" i="23"/>
  <c r="X30" i="23"/>
  <c r="AE30" i="23" s="1"/>
  <c r="AF30" i="23" s="1"/>
  <c r="S30" i="23"/>
  <c r="AB30" i="23" s="1"/>
  <c r="H4" i="24"/>
  <c r="AY4" i="24"/>
  <c r="BO7" i="24"/>
  <c r="AK25" i="6"/>
  <c r="AS25" i="6"/>
  <c r="AK33" i="6"/>
  <c r="AC18" i="24" s="1"/>
  <c r="AM35" i="6"/>
  <c r="M20" i="24" s="1"/>
  <c r="AU35" i="6"/>
  <c r="AG20" i="24" s="1"/>
  <c r="AJ36" i="6"/>
  <c r="AR36" i="6"/>
  <c r="O21" i="24" s="1"/>
  <c r="AF37" i="6"/>
  <c r="J103" i="6" s="1"/>
  <c r="M22" i="23" s="1"/>
  <c r="AN40" i="6"/>
  <c r="N25" i="24" s="1"/>
  <c r="AV40" i="6"/>
  <c r="AH25" i="24" s="1"/>
  <c r="AL41" i="6"/>
  <c r="N107" i="6" s="1"/>
  <c r="AF43" i="6"/>
  <c r="J109" i="6" s="1"/>
  <c r="M28" i="23" s="1"/>
  <c r="AN46" i="6"/>
  <c r="AV46" i="6"/>
  <c r="AH31" i="24" s="1"/>
  <c r="F32" i="24"/>
  <c r="AS47" i="6"/>
  <c r="AK47" i="6"/>
  <c r="AC32" i="24" s="1"/>
  <c r="AN47" i="6"/>
  <c r="N32" i="24" s="1"/>
  <c r="H60" i="6"/>
  <c r="J61" i="6"/>
  <c r="S61" i="6"/>
  <c r="P64" i="6"/>
  <c r="Q64" i="6" s="1"/>
  <c r="J68" i="6"/>
  <c r="F20" i="23" s="1"/>
  <c r="AM20" i="24" s="1"/>
  <c r="N70" i="6"/>
  <c r="S22" i="24" s="1"/>
  <c r="E70" i="6"/>
  <c r="G70" i="6" s="1"/>
  <c r="O103" i="6" s="1"/>
  <c r="AL22" i="24" s="1"/>
  <c r="S70" i="6"/>
  <c r="H72" i="6"/>
  <c r="J72" i="6" s="1"/>
  <c r="S72" i="6"/>
  <c r="H73" i="6"/>
  <c r="J73" i="6" s="1"/>
  <c r="L74" i="6"/>
  <c r="V26" i="23" s="1"/>
  <c r="AC26" i="23" s="1"/>
  <c r="AM26" i="23" s="1"/>
  <c r="L76" i="6"/>
  <c r="V28" i="23" s="1"/>
  <c r="AC28" i="23" s="1"/>
  <c r="AM28" i="23" s="1"/>
  <c r="S79" i="6"/>
  <c r="S81" i="6"/>
  <c r="K91" i="6"/>
  <c r="O10" i="23" s="1"/>
  <c r="J99" i="6"/>
  <c r="M18" i="23" s="1"/>
  <c r="L102" i="6"/>
  <c r="R104" i="6"/>
  <c r="L105" i="6"/>
  <c r="M108" i="6"/>
  <c r="K110" i="6"/>
  <c r="O29" i="23" s="1"/>
  <c r="O112" i="6"/>
  <c r="AL31" i="24" s="1"/>
  <c r="J113" i="6"/>
  <c r="M32" i="23" s="1"/>
  <c r="X7" i="23"/>
  <c r="AE7" i="23" s="1"/>
  <c r="AF7" i="23" s="1"/>
  <c r="U14" i="23"/>
  <c r="AJ15" i="23"/>
  <c r="U16" i="23"/>
  <c r="V20" i="23"/>
  <c r="AC20" i="23" s="1"/>
  <c r="AN20" i="26" s="1"/>
  <c r="V25" i="23"/>
  <c r="AC25" i="23" s="1"/>
  <c r="AM25" i="23" s="1"/>
  <c r="AX25" i="26" s="1"/>
  <c r="AJ28" i="23"/>
  <c r="V29" i="23"/>
  <c r="AC29" i="23" s="1"/>
  <c r="U30" i="23"/>
  <c r="X33" i="23"/>
  <c r="AE33" i="23" s="1"/>
  <c r="AF33" i="23" s="1"/>
  <c r="AN35" i="6"/>
  <c r="N20" i="24" s="1"/>
  <c r="AV35" i="6"/>
  <c r="AH20" i="24" s="1"/>
  <c r="AK36" i="6"/>
  <c r="AC21" i="24" s="1"/>
  <c r="AS36" i="6"/>
  <c r="P21" i="24" s="1"/>
  <c r="M37" i="6"/>
  <c r="AF40" i="6"/>
  <c r="M43" i="6"/>
  <c r="W43" i="6"/>
  <c r="H55" i="6"/>
  <c r="H56" i="6"/>
  <c r="J58" i="6"/>
  <c r="K58" i="6" s="1"/>
  <c r="Q91" i="6" s="1"/>
  <c r="O58" i="6"/>
  <c r="J60" i="6"/>
  <c r="K60" i="6" s="1"/>
  <c r="Q93" i="6" s="1"/>
  <c r="O65" i="6"/>
  <c r="H69" i="6"/>
  <c r="J69" i="6" s="1"/>
  <c r="L75" i="6"/>
  <c r="V27" i="23" s="1"/>
  <c r="AC27" i="23" s="1"/>
  <c r="O76" i="6"/>
  <c r="R109" i="6" s="1"/>
  <c r="O77" i="6"/>
  <c r="M77" i="6" s="1"/>
  <c r="P78" i="6"/>
  <c r="Q78" i="6" s="1"/>
  <c r="H81" i="6"/>
  <c r="J81" i="6" s="1"/>
  <c r="M91" i="6"/>
  <c r="K93" i="6"/>
  <c r="O12" i="23" s="1"/>
  <c r="K99" i="6"/>
  <c r="O18" i="23" s="1"/>
  <c r="M102" i="6"/>
  <c r="P103" i="6"/>
  <c r="M103" i="6"/>
  <c r="R103" i="6"/>
  <c r="M105" i="6"/>
  <c r="M106" i="6"/>
  <c r="J106" i="6"/>
  <c r="M25" i="23" s="1"/>
  <c r="N108" i="6"/>
  <c r="L110" i="6"/>
  <c r="R112" i="6"/>
  <c r="L113" i="6"/>
  <c r="F14" i="23"/>
  <c r="AM14" i="24" s="1"/>
  <c r="V14" i="23"/>
  <c r="AC14" i="23" s="1"/>
  <c r="AJ16" i="23"/>
  <c r="S31" i="23"/>
  <c r="AB31" i="23" s="1"/>
  <c r="AK31" i="23"/>
  <c r="S5" i="24"/>
  <c r="BZ7" i="24"/>
  <c r="AW7" i="24" s="1"/>
  <c r="X11" i="9" s="1"/>
  <c r="CA7" i="24"/>
  <c r="AX7" i="24" s="1"/>
  <c r="AV7" i="24"/>
  <c r="N62" i="6"/>
  <c r="N77" i="6"/>
  <c r="S29" i="24" s="1"/>
  <c r="S78" i="6"/>
  <c r="L88" i="6"/>
  <c r="L96" i="6"/>
  <c r="L104" i="6"/>
  <c r="L112" i="6"/>
  <c r="S22" i="23"/>
  <c r="AB22" i="23" s="1"/>
  <c r="T29" i="23"/>
  <c r="C4" i="24"/>
  <c r="E4" i="24" s="1"/>
  <c r="AD4" i="24"/>
  <c r="BH4" i="24"/>
  <c r="AY5" i="24"/>
  <c r="G6" i="24"/>
  <c r="P6" i="24"/>
  <c r="Y6" i="24"/>
  <c r="I7" i="24"/>
  <c r="R7" i="24"/>
  <c r="C8" i="24"/>
  <c r="E8" i="24" s="1"/>
  <c r="AD8" i="24"/>
  <c r="BH8" i="24"/>
  <c r="AY9" i="24"/>
  <c r="G10" i="24"/>
  <c r="P10" i="24"/>
  <c r="I11" i="24"/>
  <c r="R11" i="24"/>
  <c r="C12" i="24"/>
  <c r="E12" i="24" s="1"/>
  <c r="AD12" i="24"/>
  <c r="BH12" i="24"/>
  <c r="AY13" i="24"/>
  <c r="G14" i="24"/>
  <c r="P14" i="24"/>
  <c r="I15" i="24"/>
  <c r="R15" i="24"/>
  <c r="S19" i="24"/>
  <c r="BZ22" i="24"/>
  <c r="AW22" i="24" s="1"/>
  <c r="X26" i="9" s="1"/>
  <c r="AV22" i="24"/>
  <c r="W26" i="9" s="1"/>
  <c r="BD7" i="24"/>
  <c r="AD7" i="24"/>
  <c r="V7" i="24"/>
  <c r="N7" i="24"/>
  <c r="F7" i="24"/>
  <c r="K7" i="24"/>
  <c r="AC7" i="24"/>
  <c r="BG7" i="24"/>
  <c r="BD11" i="24"/>
  <c r="AD11" i="24"/>
  <c r="V11" i="24"/>
  <c r="N11" i="24"/>
  <c r="F11" i="24"/>
  <c r="K11" i="24"/>
  <c r="AC11" i="24"/>
  <c r="AV11" i="24"/>
  <c r="BG11" i="24"/>
  <c r="AY12" i="24"/>
  <c r="BD15" i="24"/>
  <c r="BG15" i="24"/>
  <c r="AD15" i="24"/>
  <c r="V15" i="24"/>
  <c r="N15" i="24"/>
  <c r="F15" i="24"/>
  <c r="BH15" i="24"/>
  <c r="W15" i="24"/>
  <c r="K15" i="24"/>
  <c r="AF15" i="24"/>
  <c r="BE15" i="24"/>
  <c r="BZ15" i="24"/>
  <c r="AW15" i="24" s="1"/>
  <c r="X19" i="9" s="1"/>
  <c r="AV15" i="24"/>
  <c r="W19" i="9" s="1"/>
  <c r="BZ17" i="24"/>
  <c r="AW17" i="24" s="1"/>
  <c r="X21" i="9" s="1"/>
  <c r="I19" i="24"/>
  <c r="AY19" i="24"/>
  <c r="AY21" i="24"/>
  <c r="H21" i="24"/>
  <c r="CA22" i="24"/>
  <c r="AX22" i="24" s="1"/>
  <c r="Y26" i="9" s="1"/>
  <c r="N78" i="6"/>
  <c r="S30" i="24" s="1"/>
  <c r="F4" i="24"/>
  <c r="O4" i="24"/>
  <c r="BO4" i="24"/>
  <c r="BZ4" i="24"/>
  <c r="AW4" i="24" s="1"/>
  <c r="X8" i="9" s="1"/>
  <c r="BN6" i="24"/>
  <c r="AB6" i="24"/>
  <c r="J6" i="24"/>
  <c r="S6" i="24"/>
  <c r="AC6" i="24"/>
  <c r="BE6" i="24"/>
  <c r="C7" i="24"/>
  <c r="E7" i="24" s="1"/>
  <c r="BH7" i="24"/>
  <c r="F8" i="24"/>
  <c r="O8" i="24"/>
  <c r="BO8" i="24"/>
  <c r="BZ8" i="24"/>
  <c r="AW8" i="24" s="1"/>
  <c r="X12" i="9" s="1"/>
  <c r="BN10" i="24"/>
  <c r="AB10" i="24"/>
  <c r="J10" i="24"/>
  <c r="S10" i="24"/>
  <c r="AC10" i="24"/>
  <c r="BE10" i="24"/>
  <c r="C11" i="24"/>
  <c r="E11" i="24" s="1"/>
  <c r="BH11" i="24"/>
  <c r="F12" i="24"/>
  <c r="O12" i="24"/>
  <c r="BO12" i="24"/>
  <c r="BZ12" i="24"/>
  <c r="AW12" i="24" s="1"/>
  <c r="X16" i="9" s="1"/>
  <c r="BN14" i="24"/>
  <c r="AB14" i="24"/>
  <c r="J14" i="24"/>
  <c r="S14" i="24"/>
  <c r="AC14" i="24"/>
  <c r="BE14" i="24"/>
  <c r="C15" i="24"/>
  <c r="E15" i="24" s="1"/>
  <c r="BF15" i="24"/>
  <c r="CA15" i="24"/>
  <c r="AX15" i="24" s="1"/>
  <c r="Y19" i="9" s="1"/>
  <c r="AV17" i="24"/>
  <c r="W21" i="9" s="1"/>
  <c r="J19" i="24"/>
  <c r="W19" i="24"/>
  <c r="AC23" i="24"/>
  <c r="AY17" i="24"/>
  <c r="H17" i="24"/>
  <c r="AV19" i="24"/>
  <c r="BZ19" i="24"/>
  <c r="AW19" i="24" s="1"/>
  <c r="X23" i="9" s="1"/>
  <c r="AV20" i="24"/>
  <c r="W24" i="9" s="1"/>
  <c r="BZ20" i="24"/>
  <c r="AW20" i="24" s="1"/>
  <c r="X24" i="9" s="1"/>
  <c r="CA20" i="24"/>
  <c r="AX20" i="24" s="1"/>
  <c r="Y24" i="9" s="1"/>
  <c r="CA18" i="24"/>
  <c r="AX18" i="24" s="1"/>
  <c r="Y22" i="9" s="1"/>
  <c r="BO21" i="24"/>
  <c r="H23" i="24"/>
  <c r="AY23" i="24"/>
  <c r="AO15" i="25"/>
  <c r="BO11" i="24"/>
  <c r="CA11" i="24"/>
  <c r="AX11" i="24" s="1"/>
  <c r="Y15" i="9" s="1"/>
  <c r="BO15" i="24"/>
  <c r="AV16" i="24"/>
  <c r="W20" i="9" s="1"/>
  <c r="BZ16" i="24"/>
  <c r="AW16" i="24" s="1"/>
  <c r="X20" i="9" s="1"/>
  <c r="CA16" i="24"/>
  <c r="AX16" i="24" s="1"/>
  <c r="AV18" i="24"/>
  <c r="BF19" i="24"/>
  <c r="AF19" i="24"/>
  <c r="X19" i="24"/>
  <c r="P19" i="24"/>
  <c r="BD19" i="24"/>
  <c r="AD19" i="24"/>
  <c r="V19" i="24"/>
  <c r="N19" i="24"/>
  <c r="F19" i="24"/>
  <c r="BG19" i="24"/>
  <c r="M19" i="24"/>
  <c r="C19" i="24"/>
  <c r="E19" i="24" s="1"/>
  <c r="BH19" i="24"/>
  <c r="O19" i="24"/>
  <c r="Q19" i="24"/>
  <c r="AC19" i="24"/>
  <c r="BI19" i="24"/>
  <c r="BZ21" i="24"/>
  <c r="AW21" i="24" s="1"/>
  <c r="X25" i="9" s="1"/>
  <c r="T22" i="23"/>
  <c r="S29" i="23"/>
  <c r="AB29" i="23" s="1"/>
  <c r="X15" i="9"/>
  <c r="Y37" i="9"/>
  <c r="I37" i="9"/>
  <c r="Y35" i="9"/>
  <c r="Y33" i="9"/>
  <c r="I33" i="9"/>
  <c r="Y31" i="9"/>
  <c r="Y29" i="9"/>
  <c r="I29" i="9"/>
  <c r="Y27" i="9"/>
  <c r="Y25" i="9"/>
  <c r="I25" i="9"/>
  <c r="Y23" i="9"/>
  <c r="Y21" i="9"/>
  <c r="I21" i="9"/>
  <c r="I14" i="9"/>
  <c r="W12" i="9"/>
  <c r="H27" i="9"/>
  <c r="Y11" i="9"/>
  <c r="W11" i="9"/>
  <c r="Y13" i="9"/>
  <c r="W9" i="9"/>
  <c r="X14" i="9"/>
  <c r="I12" i="9"/>
  <c r="W17" i="9"/>
  <c r="I13" i="9"/>
  <c r="H14" i="9"/>
  <c r="BF4" i="24"/>
  <c r="AF4" i="24"/>
  <c r="X4" i="24"/>
  <c r="P4" i="24"/>
  <c r="K4" i="24"/>
  <c r="AC4" i="24"/>
  <c r="BG4" i="24"/>
  <c r="Q7" i="24"/>
  <c r="BC7" i="24"/>
  <c r="BF8" i="24"/>
  <c r="AF8" i="24"/>
  <c r="X8" i="24"/>
  <c r="P8" i="24"/>
  <c r="K8" i="24"/>
  <c r="AC8" i="24"/>
  <c r="BG8" i="24"/>
  <c r="Q11" i="24"/>
  <c r="BC11" i="24"/>
  <c r="BF12" i="24"/>
  <c r="AF12" i="24"/>
  <c r="X12" i="24"/>
  <c r="P12" i="24"/>
  <c r="K12" i="24"/>
  <c r="AC12" i="24"/>
  <c r="BG12" i="24"/>
  <c r="F14" i="24"/>
  <c r="O14" i="24"/>
  <c r="BI14" i="24"/>
  <c r="H15" i="24"/>
  <c r="Q15" i="24"/>
  <c r="BO17" i="24"/>
  <c r="R19" i="24"/>
  <c r="BN19" i="24"/>
  <c r="AY16" i="24"/>
  <c r="BD18" i="24"/>
  <c r="AD18" i="24"/>
  <c r="V18" i="24"/>
  <c r="N18" i="24"/>
  <c r="F18" i="24"/>
  <c r="BN18" i="24"/>
  <c r="AB18" i="24"/>
  <c r="K18" i="24"/>
  <c r="W18" i="24"/>
  <c r="BC18" i="24"/>
  <c r="AY20" i="24"/>
  <c r="BD22" i="24"/>
  <c r="AD22" i="24"/>
  <c r="V22" i="24"/>
  <c r="N22" i="24"/>
  <c r="F22" i="24"/>
  <c r="BN22" i="24"/>
  <c r="AB22" i="24"/>
  <c r="K22" i="24"/>
  <c r="W22" i="24"/>
  <c r="BC22" i="24"/>
  <c r="O23" i="24"/>
  <c r="BH23" i="24"/>
  <c r="AY24" i="24"/>
  <c r="CA24" i="24"/>
  <c r="AX24" i="24" s="1"/>
  <c r="Y28" i="9" s="1"/>
  <c r="BD26" i="24"/>
  <c r="AD26" i="24"/>
  <c r="V26" i="24"/>
  <c r="N26" i="24"/>
  <c r="F26" i="24"/>
  <c r="BN26" i="24"/>
  <c r="AB26" i="24"/>
  <c r="K26" i="24"/>
  <c r="W26" i="24"/>
  <c r="AG26" i="24"/>
  <c r="BC26" i="24"/>
  <c r="O27" i="24"/>
  <c r="BH27" i="24"/>
  <c r="AY28" i="24"/>
  <c r="CA28" i="24"/>
  <c r="AX28" i="24" s="1"/>
  <c r="Y32" i="9" s="1"/>
  <c r="BD30" i="24"/>
  <c r="AD30" i="24"/>
  <c r="V30" i="24"/>
  <c r="N30" i="24"/>
  <c r="F30" i="24"/>
  <c r="BN30" i="24"/>
  <c r="AB30" i="24"/>
  <c r="K30" i="24"/>
  <c r="W30" i="24"/>
  <c r="BC30" i="24"/>
  <c r="O31" i="24"/>
  <c r="BH31" i="24"/>
  <c r="AY32" i="24"/>
  <c r="CA32" i="24"/>
  <c r="AX32" i="24" s="1"/>
  <c r="Y36" i="9" s="1"/>
  <c r="AO18" i="25"/>
  <c r="J26" i="25"/>
  <c r="F25" i="25"/>
  <c r="G29" i="25"/>
  <c r="J27" i="25"/>
  <c r="H26" i="25"/>
  <c r="E25" i="25"/>
  <c r="G31" i="25"/>
  <c r="J29" i="25"/>
  <c r="E28" i="25"/>
  <c r="H25" i="25"/>
  <c r="Q23" i="24"/>
  <c r="BI23" i="24"/>
  <c r="AV23" i="24"/>
  <c r="BZ23" i="24"/>
  <c r="AW23" i="24" s="1"/>
  <c r="X27" i="9" s="1"/>
  <c r="Q27" i="24"/>
  <c r="BI27" i="24"/>
  <c r="AV27" i="24"/>
  <c r="W31" i="9" s="1"/>
  <c r="BZ27" i="24"/>
  <c r="AW27" i="24" s="1"/>
  <c r="X31" i="9" s="1"/>
  <c r="C30" i="24"/>
  <c r="E30" i="24" s="1"/>
  <c r="M30" i="24"/>
  <c r="X30" i="24"/>
  <c r="BE30" i="24"/>
  <c r="Q31" i="24"/>
  <c r="BI31" i="24"/>
  <c r="AV31" i="24"/>
  <c r="W35" i="9" s="1"/>
  <c r="BZ31" i="24"/>
  <c r="AW31" i="24" s="1"/>
  <c r="X35" i="9" s="1"/>
  <c r="AO7" i="25"/>
  <c r="AO14" i="25"/>
  <c r="G30" i="25"/>
  <c r="I31" i="25"/>
  <c r="AO32" i="25"/>
  <c r="G27" i="24"/>
  <c r="R27" i="24"/>
  <c r="AB27" i="24"/>
  <c r="BN27" i="24"/>
  <c r="G31" i="24"/>
  <c r="R31" i="24"/>
  <c r="AB31" i="24"/>
  <c r="BN31" i="24"/>
  <c r="J5" i="34"/>
  <c r="AO20" i="25"/>
  <c r="I23" i="24"/>
  <c r="S23" i="24"/>
  <c r="BO23" i="24"/>
  <c r="AV26" i="24"/>
  <c r="W30" i="9" s="1"/>
  <c r="BG26" i="24"/>
  <c r="I27" i="24"/>
  <c r="S27" i="24"/>
  <c r="AC27" i="24"/>
  <c r="P30" i="24"/>
  <c r="AV30" i="24"/>
  <c r="W34" i="9" s="1"/>
  <c r="BG30" i="24"/>
  <c r="I31" i="24"/>
  <c r="S31" i="24"/>
  <c r="AC31" i="24"/>
  <c r="T5" i="25"/>
  <c r="K6" i="25"/>
  <c r="AO8" i="25"/>
  <c r="AO13" i="25"/>
  <c r="E31" i="25"/>
  <c r="E27" i="25"/>
  <c r="J28" i="25"/>
  <c r="E29" i="25"/>
  <c r="J31" i="24"/>
  <c r="Z6" i="25"/>
  <c r="AA5" i="25"/>
  <c r="AB5" i="25"/>
  <c r="AC5" i="25" s="1"/>
  <c r="H26" i="24"/>
  <c r="CA26" i="24"/>
  <c r="AX26" i="24" s="1"/>
  <c r="K27" i="24"/>
  <c r="H30" i="24"/>
  <c r="CA30" i="24"/>
  <c r="AX30" i="24" s="1"/>
  <c r="Y34" i="9" s="1"/>
  <c r="K31" i="24"/>
  <c r="AV33" i="24"/>
  <c r="W37" i="9" s="1"/>
  <c r="BZ33" i="24"/>
  <c r="AW33" i="24" s="1"/>
  <c r="X37" i="9" s="1"/>
  <c r="AO19" i="25"/>
  <c r="BF23" i="24"/>
  <c r="AF23" i="24"/>
  <c r="X23" i="24"/>
  <c r="P23" i="24"/>
  <c r="BD23" i="24"/>
  <c r="AD23" i="24"/>
  <c r="V23" i="24"/>
  <c r="N23" i="24"/>
  <c r="F23" i="24"/>
  <c r="W23" i="24"/>
  <c r="BE23" i="24"/>
  <c r="BZ25" i="24"/>
  <c r="AW25" i="24" s="1"/>
  <c r="X29" i="9" s="1"/>
  <c r="BF27" i="24"/>
  <c r="AF27" i="24"/>
  <c r="P27" i="24"/>
  <c r="BD27" i="24"/>
  <c r="AD27" i="24"/>
  <c r="V27" i="24"/>
  <c r="N27" i="24"/>
  <c r="F27" i="24"/>
  <c r="W27" i="24"/>
  <c r="BE27" i="24"/>
  <c r="BZ29" i="24"/>
  <c r="AW29" i="24" s="1"/>
  <c r="X33" i="9" s="1"/>
  <c r="BF31" i="24"/>
  <c r="AF31" i="24"/>
  <c r="X31" i="24"/>
  <c r="P31" i="24"/>
  <c r="BD31" i="24"/>
  <c r="AD31" i="24"/>
  <c r="V31" i="24"/>
  <c r="N31" i="24"/>
  <c r="F31" i="24"/>
  <c r="W31" i="24"/>
  <c r="BE31" i="24"/>
  <c r="AG6" i="25"/>
  <c r="AO9" i="25"/>
  <c r="AO10" i="25"/>
  <c r="AO27" i="25"/>
  <c r="J5" i="24"/>
  <c r="R5" i="24"/>
  <c r="J9" i="24"/>
  <c r="R9" i="24"/>
  <c r="AH9" i="24"/>
  <c r="J13" i="24"/>
  <c r="R13" i="24"/>
  <c r="J18" i="24"/>
  <c r="AF18" i="24"/>
  <c r="J22" i="24"/>
  <c r="AF22" i="24"/>
  <c r="C23" i="24"/>
  <c r="E23" i="24" s="1"/>
  <c r="M23" i="24"/>
  <c r="BG23" i="24"/>
  <c r="BZ24" i="24"/>
  <c r="AW24" i="24" s="1"/>
  <c r="X28" i="9" s="1"/>
  <c r="H25" i="24"/>
  <c r="BO25" i="24"/>
  <c r="J26" i="24"/>
  <c r="AF26" i="24"/>
  <c r="C27" i="24"/>
  <c r="E27" i="24" s="1"/>
  <c r="M27" i="24"/>
  <c r="BG27" i="24"/>
  <c r="BZ28" i="24"/>
  <c r="AW28" i="24" s="1"/>
  <c r="X32" i="9" s="1"/>
  <c r="H29" i="24"/>
  <c r="BO29" i="24"/>
  <c r="J30" i="24"/>
  <c r="AF30" i="24"/>
  <c r="C31" i="24"/>
  <c r="E31" i="24" s="1"/>
  <c r="M31" i="24"/>
  <c r="BG31" i="24"/>
  <c r="BZ32" i="24"/>
  <c r="AW32" i="24" s="1"/>
  <c r="X36" i="9" s="1"/>
  <c r="H33" i="24"/>
  <c r="BO33" i="24"/>
  <c r="AH5" i="25"/>
  <c r="AF6" i="25" s="1"/>
  <c r="AO21" i="25"/>
  <c r="AO29" i="25"/>
  <c r="AO24" i="25"/>
  <c r="L105" i="39"/>
  <c r="J107" i="39"/>
  <c r="M108" i="39"/>
  <c r="L108" i="39"/>
  <c r="J108" i="39"/>
  <c r="L114" i="39"/>
  <c r="O114" i="39" s="1"/>
  <c r="P114" i="39" s="1"/>
  <c r="K115" i="39"/>
  <c r="K116" i="39"/>
  <c r="O117" i="39"/>
  <c r="P117" i="39" s="1"/>
  <c r="O118" i="39"/>
  <c r="P118" i="39" s="1"/>
  <c r="L164" i="39"/>
  <c r="F46" i="9"/>
  <c r="F54" i="9"/>
  <c r="F62" i="9"/>
  <c r="L111" i="39"/>
  <c r="L110" i="39"/>
  <c r="L106" i="39"/>
  <c r="N121" i="39"/>
  <c r="M121" i="39"/>
  <c r="K121" i="39"/>
  <c r="F41" i="9"/>
  <c r="F49" i="9"/>
  <c r="F57" i="9"/>
  <c r="F65" i="9"/>
  <c r="P16" i="24"/>
  <c r="AF16" i="24"/>
  <c r="BF16" i="24"/>
  <c r="J17" i="24"/>
  <c r="R17" i="24"/>
  <c r="AH17" i="24"/>
  <c r="BH17" i="24"/>
  <c r="P20" i="24"/>
  <c r="AF20" i="24"/>
  <c r="BF20" i="24"/>
  <c r="J21" i="24"/>
  <c r="R21" i="24"/>
  <c r="BH21" i="24"/>
  <c r="P24" i="24"/>
  <c r="X24" i="24"/>
  <c r="AF24" i="24"/>
  <c r="BF24" i="24"/>
  <c r="J25" i="24"/>
  <c r="R25" i="24"/>
  <c r="BH25" i="24"/>
  <c r="P28" i="24"/>
  <c r="X28" i="24"/>
  <c r="AF28" i="24"/>
  <c r="BF28" i="24"/>
  <c r="J29" i="24"/>
  <c r="R29" i="24"/>
  <c r="BH29" i="24"/>
  <c r="P32" i="24"/>
  <c r="X32" i="24"/>
  <c r="AF32" i="24"/>
  <c r="BF32" i="24"/>
  <c r="J33" i="24"/>
  <c r="R33" i="24"/>
  <c r="BH33" i="24"/>
  <c r="AO11" i="25"/>
  <c r="H28" i="25"/>
  <c r="F30" i="25"/>
  <c r="O78" i="39"/>
  <c r="O80" i="39"/>
  <c r="S122" i="39" s="1"/>
  <c r="L107" i="39"/>
  <c r="J121" i="39"/>
  <c r="O121" i="39" s="1"/>
  <c r="P121" i="39" s="1"/>
  <c r="L124" i="39"/>
  <c r="J131" i="39"/>
  <c r="M131" i="39"/>
  <c r="L157" i="39"/>
  <c r="M167" i="39"/>
  <c r="P279" i="39"/>
  <c r="P284" i="39"/>
  <c r="F47" i="9"/>
  <c r="F55" i="9"/>
  <c r="F63" i="9"/>
  <c r="O81" i="39"/>
  <c r="S131" i="39" s="1"/>
  <c r="L125" i="39"/>
  <c r="M129" i="39"/>
  <c r="K129" i="39"/>
  <c r="M130" i="39"/>
  <c r="K130" i="39"/>
  <c r="J130" i="39"/>
  <c r="M139" i="39"/>
  <c r="M147" i="39"/>
  <c r="M155" i="39"/>
  <c r="A191" i="39"/>
  <c r="N157" i="39"/>
  <c r="M157" i="39" s="1"/>
  <c r="W8" i="9"/>
  <c r="C8" i="9"/>
  <c r="W27" i="9"/>
  <c r="J16" i="24"/>
  <c r="R16" i="24"/>
  <c r="AB17" i="24"/>
  <c r="J20" i="24"/>
  <c r="R20" i="24"/>
  <c r="AB21" i="24"/>
  <c r="J24" i="24"/>
  <c r="R24" i="24"/>
  <c r="AB25" i="24"/>
  <c r="J28" i="24"/>
  <c r="R28" i="24"/>
  <c r="AB29" i="24"/>
  <c r="J32" i="24"/>
  <c r="R32" i="24"/>
  <c r="AH32" i="24"/>
  <c r="AB33" i="24"/>
  <c r="AO6" i="25"/>
  <c r="AO16" i="25"/>
  <c r="E26" i="25"/>
  <c r="G27" i="25"/>
  <c r="O76" i="39"/>
  <c r="S104" i="39" s="1"/>
  <c r="S105" i="39"/>
  <c r="S108" i="39"/>
  <c r="S114" i="39"/>
  <c r="S115" i="39"/>
  <c r="L123" i="39"/>
  <c r="O123" i="39" s="1"/>
  <c r="P123" i="39" s="1"/>
  <c r="K124" i="39"/>
  <c r="O124" i="39" s="1"/>
  <c r="P124" i="39" s="1"/>
  <c r="O125" i="39"/>
  <c r="P125" i="39" s="1"/>
  <c r="O126" i="39"/>
  <c r="P126" i="39" s="1"/>
  <c r="J129" i="39"/>
  <c r="L130" i="39"/>
  <c r="L131" i="39"/>
  <c r="M142" i="39"/>
  <c r="M163" i="39"/>
  <c r="C9" i="9"/>
  <c r="F45" i="9"/>
  <c r="F53" i="9"/>
  <c r="F61" i="9"/>
  <c r="F69" i="9"/>
  <c r="L128" i="39"/>
  <c r="O128" i="39" s="1"/>
  <c r="P128" i="39" s="1"/>
  <c r="L129" i="39"/>
  <c r="C10" i="9"/>
  <c r="X10" i="9"/>
  <c r="H10" i="9"/>
  <c r="E10" i="9"/>
  <c r="AO25" i="25"/>
  <c r="AO31" i="25"/>
  <c r="L103" i="39"/>
  <c r="O103" i="39" s="1"/>
  <c r="P103" i="39" s="1"/>
  <c r="S110" i="39"/>
  <c r="N111" i="39"/>
  <c r="I16" i="9"/>
  <c r="W16" i="9"/>
  <c r="E16" i="9"/>
  <c r="C16" i="9"/>
  <c r="F48" i="9"/>
  <c r="F56" i="9"/>
  <c r="F64" i="9"/>
  <c r="AO22" i="25"/>
  <c r="G25" i="25"/>
  <c r="I29" i="25"/>
  <c r="F31" i="25"/>
  <c r="AO33" i="25"/>
  <c r="O109" i="39"/>
  <c r="P109" i="39" s="1"/>
  <c r="L104" i="39"/>
  <c r="O104" i="39" s="1"/>
  <c r="P104" i="39" s="1"/>
  <c r="J105" i="39"/>
  <c r="O105" i="39" s="1"/>
  <c r="P105" i="39" s="1"/>
  <c r="J106" i="39"/>
  <c r="O106" i="39" s="1"/>
  <c r="P106" i="39" s="1"/>
  <c r="L109" i="39"/>
  <c r="J110" i="39"/>
  <c r="O110" i="39" s="1"/>
  <c r="P110" i="39" s="1"/>
  <c r="J111" i="39"/>
  <c r="L113" i="39"/>
  <c r="O113" i="39" s="1"/>
  <c r="P113" i="39" s="1"/>
  <c r="O115" i="39"/>
  <c r="P115" i="39" s="1"/>
  <c r="L116" i="39"/>
  <c r="J116" i="39"/>
  <c r="S130" i="39"/>
  <c r="L140" i="39"/>
  <c r="L148" i="39"/>
  <c r="L156" i="39"/>
  <c r="M166" i="39"/>
  <c r="A183" i="39"/>
  <c r="N150" i="39"/>
  <c r="M150" i="39" s="1"/>
  <c r="N140" i="39"/>
  <c r="M140" i="39" s="1"/>
  <c r="N159" i="39"/>
  <c r="M159" i="39" s="1"/>
  <c r="N149" i="39"/>
  <c r="M149" i="39" s="1"/>
  <c r="N158" i="39"/>
  <c r="M158" i="39" s="1"/>
  <c r="N148" i="39"/>
  <c r="M148" i="39" s="1"/>
  <c r="A192" i="39"/>
  <c r="W23" i="9"/>
  <c r="W33" i="9"/>
  <c r="F43" i="9"/>
  <c r="F51" i="9"/>
  <c r="F59" i="9"/>
  <c r="F67" i="9"/>
  <c r="E18" i="9"/>
  <c r="E20" i="9"/>
  <c r="E22" i="9"/>
  <c r="E24" i="9"/>
  <c r="E26" i="9"/>
  <c r="E28" i="9"/>
  <c r="E30" i="9"/>
  <c r="E32" i="9"/>
  <c r="E34" i="9"/>
  <c r="E36" i="9"/>
  <c r="J25" i="25"/>
  <c r="G26" i="25"/>
  <c r="I28" i="25"/>
  <c r="F29" i="25"/>
  <c r="H31" i="25"/>
  <c r="S103" i="39"/>
  <c r="S111" i="39"/>
  <c r="S119" i="39"/>
  <c r="S127" i="39"/>
  <c r="N141" i="39"/>
  <c r="M141" i="39" s="1"/>
  <c r="C11" i="9"/>
  <c r="H12" i="9"/>
  <c r="W15" i="9"/>
  <c r="I17" i="9"/>
  <c r="Y17" i="9"/>
  <c r="F70" i="9"/>
  <c r="W18" i="9"/>
  <c r="W22" i="9"/>
  <c r="W28" i="9"/>
  <c r="W32" i="9"/>
  <c r="W36" i="9"/>
  <c r="I26" i="25"/>
  <c r="F27" i="25"/>
  <c r="H29" i="25"/>
  <c r="E30" i="25"/>
  <c r="S109" i="39"/>
  <c r="K111" i="39"/>
  <c r="S117" i="39"/>
  <c r="S125" i="39"/>
  <c r="N143" i="39"/>
  <c r="M143" i="39" s="1"/>
  <c r="N151" i="39"/>
  <c r="M151" i="39" s="1"/>
  <c r="E11" i="9"/>
  <c r="C17" i="9"/>
  <c r="H18" i="9"/>
  <c r="X18" i="9"/>
  <c r="H22" i="9"/>
  <c r="X22" i="9"/>
  <c r="H26" i="9"/>
  <c r="H30" i="9"/>
  <c r="X30" i="9"/>
  <c r="H34" i="9"/>
  <c r="X34" i="9"/>
  <c r="S112" i="39"/>
  <c r="S120" i="39"/>
  <c r="S128" i="39"/>
  <c r="I20" i="9"/>
  <c r="Y20" i="9"/>
  <c r="I24" i="9"/>
  <c r="I28" i="9"/>
  <c r="Y30" i="9"/>
  <c r="I32" i="9"/>
  <c r="I36" i="9"/>
  <c r="I27" i="25"/>
  <c r="F28" i="25"/>
  <c r="H30" i="25"/>
  <c r="E12" i="9"/>
  <c r="C18" i="9"/>
  <c r="C20" i="9"/>
  <c r="C22" i="9"/>
  <c r="C24" i="9"/>
  <c r="C26" i="9"/>
  <c r="C28" i="9"/>
  <c r="C30" i="9"/>
  <c r="C32" i="9"/>
  <c r="C34" i="9"/>
  <c r="C36" i="9"/>
  <c r="D8" i="32"/>
  <c r="D9" i="32" s="1"/>
  <c r="E7" i="32"/>
  <c r="F7" i="32" s="1"/>
  <c r="Q56" i="32"/>
  <c r="AD46" i="32"/>
  <c r="O56" i="32"/>
  <c r="O50" i="32"/>
  <c r="O52" i="32"/>
  <c r="O57" i="32"/>
  <c r="O58" i="32" s="1"/>
  <c r="O59" i="32" s="1"/>
  <c r="O60" i="32" s="1"/>
  <c r="O61" i="32" s="1"/>
  <c r="O62" i="32" s="1"/>
  <c r="O63" i="32" s="1"/>
  <c r="O64" i="32" s="1"/>
  <c r="O65" i="32" s="1"/>
  <c r="O66" i="32" s="1"/>
  <c r="O67" i="32" s="1"/>
  <c r="O68" i="32" s="1"/>
  <c r="O69" i="32" s="1"/>
  <c r="O55" i="32"/>
  <c r="O53" i="32"/>
  <c r="O47" i="32"/>
  <c r="O24" i="32"/>
  <c r="O29" i="32"/>
  <c r="O27" i="32"/>
  <c r="O48" i="32"/>
  <c r="O22" i="32"/>
  <c r="O49" i="32"/>
  <c r="O20" i="32"/>
  <c r="O30" i="32"/>
  <c r="O31" i="32" s="1"/>
  <c r="O32" i="32" s="1"/>
  <c r="O33" i="32" s="1"/>
  <c r="O34" i="32" s="1"/>
  <c r="O35" i="32" s="1"/>
  <c r="O36" i="32" s="1"/>
  <c r="O37" i="32" s="1"/>
  <c r="O38" i="32" s="1"/>
  <c r="O39" i="32" s="1"/>
  <c r="O40" i="32" s="1"/>
  <c r="O41" i="32" s="1"/>
  <c r="O42" i="32" s="1"/>
  <c r="O28" i="32"/>
  <c r="O23" i="32"/>
  <c r="O46" i="32"/>
  <c r="E8" i="32"/>
  <c r="F8" i="32" s="1"/>
  <c r="U54" i="32"/>
  <c r="U56" i="32"/>
  <c r="U57" i="32"/>
  <c r="U58" i="32" s="1"/>
  <c r="U59" i="32" s="1"/>
  <c r="U60" i="32" s="1"/>
  <c r="U61" i="32" s="1"/>
  <c r="U62" i="32" s="1"/>
  <c r="U63" i="32" s="1"/>
  <c r="U64" i="32" s="1"/>
  <c r="U65" i="32" s="1"/>
  <c r="U66" i="32" s="1"/>
  <c r="U67" i="32" s="1"/>
  <c r="U68" i="32" s="1"/>
  <c r="U69" i="32" s="1"/>
  <c r="U46" i="32"/>
  <c r="U26" i="32"/>
  <c r="U21" i="32"/>
  <c r="U47" i="32"/>
  <c r="U24" i="32"/>
  <c r="U52" i="32"/>
  <c r="U51" i="32"/>
  <c r="U55" i="32"/>
  <c r="U53" i="32"/>
  <c r="U48" i="32"/>
  <c r="U22" i="32"/>
  <c r="U25" i="32"/>
  <c r="U49" i="32"/>
  <c r="V51" i="32"/>
  <c r="V53" i="32"/>
  <c r="V55" i="32"/>
  <c r="V21" i="32"/>
  <c r="V47" i="32"/>
  <c r="V24" i="32"/>
  <c r="V29" i="32"/>
  <c r="V27" i="32"/>
  <c r="V19" i="32"/>
  <c r="V54" i="32"/>
  <c r="V48" i="32"/>
  <c r="V56" i="32"/>
  <c r="V25" i="32"/>
  <c r="V49" i="32"/>
  <c r="V20" i="32"/>
  <c r="V50" i="32"/>
  <c r="V30" i="32"/>
  <c r="V31" i="32" s="1"/>
  <c r="V32" i="32" s="1"/>
  <c r="V33" i="32" s="1"/>
  <c r="V34" i="32" s="1"/>
  <c r="V35" i="32" s="1"/>
  <c r="V36" i="32" s="1"/>
  <c r="V37" i="32" s="1"/>
  <c r="V38" i="32" s="1"/>
  <c r="V39" i="32" s="1"/>
  <c r="V40" i="32" s="1"/>
  <c r="V41" i="32" s="1"/>
  <c r="V42" i="32" s="1"/>
  <c r="AB51" i="32"/>
  <c r="AB30" i="32"/>
  <c r="AB31" i="32" s="1"/>
  <c r="AB32" i="32" s="1"/>
  <c r="AB33" i="32" s="1"/>
  <c r="AB34" i="32" s="1"/>
  <c r="AB35" i="32" s="1"/>
  <c r="AB36" i="32" s="1"/>
  <c r="AB37" i="32" s="1"/>
  <c r="AB38" i="32" s="1"/>
  <c r="AB39" i="32" s="1"/>
  <c r="AB40" i="32" s="1"/>
  <c r="AB41" i="32" s="1"/>
  <c r="AB42" i="32" s="1"/>
  <c r="AB28" i="32"/>
  <c r="AB23" i="32"/>
  <c r="AB26" i="32"/>
  <c r="AB21" i="32"/>
  <c r="AB29" i="32"/>
  <c r="AB27" i="32"/>
  <c r="AB19" i="32"/>
  <c r="AB48" i="32"/>
  <c r="AB22" i="32"/>
  <c r="AC21" i="32"/>
  <c r="AB20" i="32"/>
  <c r="AB25" i="32"/>
  <c r="O19" i="32"/>
  <c r="AC20" i="32"/>
  <c r="AC23" i="32"/>
  <c r="AB24" i="32"/>
  <c r="AI52" i="32"/>
  <c r="AI57" i="32"/>
  <c r="AI58" i="32" s="1"/>
  <c r="AI59" i="32" s="1"/>
  <c r="AI60" i="32" s="1"/>
  <c r="AI61" i="32" s="1"/>
  <c r="AI62" i="32" s="1"/>
  <c r="AI63" i="32" s="1"/>
  <c r="AI64" i="32" s="1"/>
  <c r="AI65" i="32" s="1"/>
  <c r="AI66" i="32" s="1"/>
  <c r="AI67" i="32" s="1"/>
  <c r="AI68" i="32" s="1"/>
  <c r="AI69" i="32" s="1"/>
  <c r="AI54" i="32"/>
  <c r="AI56" i="32"/>
  <c r="AI20" i="32"/>
  <c r="AI30" i="32"/>
  <c r="AI31" i="32" s="1"/>
  <c r="AI32" i="32" s="1"/>
  <c r="AI33" i="32" s="1"/>
  <c r="AI34" i="32" s="1"/>
  <c r="AI35" i="32" s="1"/>
  <c r="AI36" i="32" s="1"/>
  <c r="AI37" i="32" s="1"/>
  <c r="AI38" i="32" s="1"/>
  <c r="AI39" i="32" s="1"/>
  <c r="AI40" i="32" s="1"/>
  <c r="AI41" i="32" s="1"/>
  <c r="AI42" i="32" s="1"/>
  <c r="AI28" i="32"/>
  <c r="AI23" i="32"/>
  <c r="AI51" i="32"/>
  <c r="AI49" i="32"/>
  <c r="AI46" i="32"/>
  <c r="AI26" i="32"/>
  <c r="AI53" i="32"/>
  <c r="AI55" i="32"/>
  <c r="AI50" i="32"/>
  <c r="AI47" i="32"/>
  <c r="AI24" i="32"/>
  <c r="AI29" i="32"/>
  <c r="AI27" i="32"/>
  <c r="AI19" i="32"/>
  <c r="AI48" i="32"/>
  <c r="AE25" i="32"/>
  <c r="AD26" i="32"/>
  <c r="AC27" i="32"/>
  <c r="AC28" i="32"/>
  <c r="Z29" i="32"/>
  <c r="V57" i="32"/>
  <c r="V58" i="32" s="1"/>
  <c r="V59" i="32" s="1"/>
  <c r="V60" i="32" s="1"/>
  <c r="V61" i="32" s="1"/>
  <c r="V62" i="32" s="1"/>
  <c r="V63" i="32" s="1"/>
  <c r="V64" i="32" s="1"/>
  <c r="V65" i="32" s="1"/>
  <c r="V66" i="32" s="1"/>
  <c r="V67" i="32" s="1"/>
  <c r="V68" i="32" s="1"/>
  <c r="V69" i="32" s="1"/>
  <c r="P54" i="32"/>
  <c r="W56" i="32"/>
  <c r="W50" i="32"/>
  <c r="W52" i="32"/>
  <c r="W57" i="32"/>
  <c r="W58" i="32" s="1"/>
  <c r="W59" i="32" s="1"/>
  <c r="W60" i="32" s="1"/>
  <c r="W61" i="32" s="1"/>
  <c r="W62" i="32" s="1"/>
  <c r="W63" i="32" s="1"/>
  <c r="W64" i="32" s="1"/>
  <c r="W65" i="32" s="1"/>
  <c r="W66" i="32" s="1"/>
  <c r="W67" i="32" s="1"/>
  <c r="W68" i="32" s="1"/>
  <c r="W69" i="32" s="1"/>
  <c r="W47" i="32"/>
  <c r="W24" i="32"/>
  <c r="W29" i="32"/>
  <c r="W27" i="32"/>
  <c r="W54" i="32"/>
  <c r="W51" i="32"/>
  <c r="W48" i="32"/>
  <c r="W22" i="32"/>
  <c r="W55" i="32"/>
  <c r="W53" i="32"/>
  <c r="W49" i="32"/>
  <c r="W20" i="32"/>
  <c r="W30" i="32"/>
  <c r="W31" i="32" s="1"/>
  <c r="W32" i="32" s="1"/>
  <c r="W33" i="32" s="1"/>
  <c r="W34" i="32" s="1"/>
  <c r="W35" i="32" s="1"/>
  <c r="W36" i="32" s="1"/>
  <c r="W37" i="32" s="1"/>
  <c r="W38" i="32" s="1"/>
  <c r="W39" i="32" s="1"/>
  <c r="W40" i="32" s="1"/>
  <c r="W41" i="32" s="1"/>
  <c r="W42" i="32" s="1"/>
  <c r="W28" i="32"/>
  <c r="W23" i="32"/>
  <c r="W46" i="32"/>
  <c r="P19" i="32"/>
  <c r="AC19" i="32"/>
  <c r="AD51" i="32"/>
  <c r="AD53" i="32"/>
  <c r="AD55" i="32"/>
  <c r="AD50" i="32"/>
  <c r="AD21" i="32"/>
  <c r="AD47" i="32"/>
  <c r="AD24" i="32"/>
  <c r="AD29" i="32"/>
  <c r="AD27" i="32"/>
  <c r="AD19" i="32"/>
  <c r="AD48" i="32"/>
  <c r="AD57" i="32"/>
  <c r="AD58" i="32" s="1"/>
  <c r="AD59" i="32" s="1"/>
  <c r="AD60" i="32" s="1"/>
  <c r="AD61" i="32" s="1"/>
  <c r="AD62" i="32" s="1"/>
  <c r="AD63" i="32" s="1"/>
  <c r="AD64" i="32" s="1"/>
  <c r="AD65" i="32" s="1"/>
  <c r="AD66" i="32" s="1"/>
  <c r="AD67" i="32" s="1"/>
  <c r="AD68" i="32" s="1"/>
  <c r="AD69" i="32" s="1"/>
  <c r="AD25" i="32"/>
  <c r="AD52" i="32"/>
  <c r="AD20" i="32"/>
  <c r="AD54" i="32"/>
  <c r="AD49" i="32"/>
  <c r="AD30" i="32"/>
  <c r="AD31" i="32" s="1"/>
  <c r="AD32" i="32" s="1"/>
  <c r="AD33" i="32" s="1"/>
  <c r="AD34" i="32" s="1"/>
  <c r="AD35" i="32" s="1"/>
  <c r="AD36" i="32" s="1"/>
  <c r="AD37" i="32" s="1"/>
  <c r="AD38" i="32" s="1"/>
  <c r="AD39" i="32" s="1"/>
  <c r="AD40" i="32" s="1"/>
  <c r="AD41" i="32" s="1"/>
  <c r="AD42" i="32" s="1"/>
  <c r="AF20" i="32"/>
  <c r="AE21" i="32"/>
  <c r="AF56" i="32"/>
  <c r="AD22" i="32"/>
  <c r="AD23" i="32"/>
  <c r="AH55" i="32"/>
  <c r="AH57" i="32"/>
  <c r="AH58" i="32" s="1"/>
  <c r="AH59" i="32" s="1"/>
  <c r="AH60" i="32" s="1"/>
  <c r="AH61" i="32" s="1"/>
  <c r="AH62" i="32" s="1"/>
  <c r="AH63" i="32" s="1"/>
  <c r="AH64" i="32" s="1"/>
  <c r="AH65" i="32" s="1"/>
  <c r="AH66" i="32" s="1"/>
  <c r="AH67" i="32" s="1"/>
  <c r="AH68" i="32" s="1"/>
  <c r="AH69" i="32" s="1"/>
  <c r="AH49" i="32"/>
  <c r="AH51" i="32"/>
  <c r="AH56" i="32"/>
  <c r="AH25" i="32"/>
  <c r="AH20" i="32"/>
  <c r="AH30" i="32"/>
  <c r="AH31" i="32" s="1"/>
  <c r="AH32" i="32" s="1"/>
  <c r="AH33" i="32" s="1"/>
  <c r="AH34" i="32" s="1"/>
  <c r="AH35" i="32" s="1"/>
  <c r="AH36" i="32" s="1"/>
  <c r="AH37" i="32" s="1"/>
  <c r="AH38" i="32" s="1"/>
  <c r="AH39" i="32" s="1"/>
  <c r="AH40" i="32" s="1"/>
  <c r="AH41" i="32" s="1"/>
  <c r="AH42" i="32" s="1"/>
  <c r="AH28" i="32"/>
  <c r="AH23" i="32"/>
  <c r="AH54" i="32"/>
  <c r="AH52" i="32"/>
  <c r="AH46" i="32"/>
  <c r="AH53" i="32"/>
  <c r="AH21" i="32"/>
  <c r="AH50" i="32"/>
  <c r="AH47" i="32"/>
  <c r="AH24" i="32"/>
  <c r="AF24" i="32"/>
  <c r="AI25" i="32"/>
  <c r="AD28" i="32"/>
  <c r="AC29" i="32"/>
  <c r="AN50" i="32"/>
  <c r="U50" i="32"/>
  <c r="O51" i="32"/>
  <c r="N52" i="32"/>
  <c r="Q53" i="32"/>
  <c r="O54" i="32"/>
  <c r="Q55" i="32"/>
  <c r="Q52" i="32"/>
  <c r="Q54" i="32"/>
  <c r="Q48" i="32"/>
  <c r="Q22" i="32"/>
  <c r="Q25" i="32"/>
  <c r="Q57" i="32"/>
  <c r="Q58" i="32" s="1"/>
  <c r="Q59" i="32" s="1"/>
  <c r="Q60" i="32" s="1"/>
  <c r="Q61" i="32" s="1"/>
  <c r="Q62" i="32" s="1"/>
  <c r="Q63" i="32" s="1"/>
  <c r="Q64" i="32" s="1"/>
  <c r="Q65" i="32" s="1"/>
  <c r="Q66" i="32" s="1"/>
  <c r="Q67" i="32" s="1"/>
  <c r="Q68" i="32" s="1"/>
  <c r="Q69" i="32" s="1"/>
  <c r="Q49" i="32"/>
  <c r="Q20" i="32"/>
  <c r="Q50" i="32"/>
  <c r="Q46" i="32"/>
  <c r="Q26" i="32"/>
  <c r="Q51" i="32"/>
  <c r="Q21" i="32"/>
  <c r="Q47" i="32"/>
  <c r="R55" i="32"/>
  <c r="R57" i="32"/>
  <c r="R58" i="32" s="1"/>
  <c r="R59" i="32" s="1"/>
  <c r="R60" i="32" s="1"/>
  <c r="R61" i="32" s="1"/>
  <c r="R62" i="32" s="1"/>
  <c r="R63" i="32" s="1"/>
  <c r="R64" i="32" s="1"/>
  <c r="R65" i="32" s="1"/>
  <c r="R66" i="32" s="1"/>
  <c r="R67" i="32" s="1"/>
  <c r="R68" i="32" s="1"/>
  <c r="R69" i="32" s="1"/>
  <c r="R25" i="32"/>
  <c r="R20" i="32"/>
  <c r="R50" i="32"/>
  <c r="R30" i="32"/>
  <c r="R31" i="32" s="1"/>
  <c r="R32" i="32" s="1"/>
  <c r="R33" i="32" s="1"/>
  <c r="R34" i="32" s="1"/>
  <c r="R35" i="32" s="1"/>
  <c r="R36" i="32" s="1"/>
  <c r="R37" i="32" s="1"/>
  <c r="R38" i="32" s="1"/>
  <c r="R39" i="32" s="1"/>
  <c r="R40" i="32" s="1"/>
  <c r="R41" i="32" s="1"/>
  <c r="R42" i="32" s="1"/>
  <c r="R28" i="32"/>
  <c r="R23" i="32"/>
  <c r="R46" i="32"/>
  <c r="R21" i="32"/>
  <c r="R47" i="32"/>
  <c r="R24" i="32"/>
  <c r="R56" i="32"/>
  <c r="R53" i="32"/>
  <c r="Q19" i="32"/>
  <c r="AJ20" i="32"/>
  <c r="AH22" i="32"/>
  <c r="AG22" i="32"/>
  <c r="AG20" i="32"/>
  <c r="AG23" i="32"/>
  <c r="AG24" i="32"/>
  <c r="O25" i="32"/>
  <c r="AJ25" i="32"/>
  <c r="N26" i="32"/>
  <c r="AH26" i="32"/>
  <c r="AK26" i="32"/>
  <c r="AK21" i="32"/>
  <c r="AK24" i="32"/>
  <c r="AK22" i="32"/>
  <c r="AK25" i="32"/>
  <c r="AK31" i="32"/>
  <c r="AH27" i="32"/>
  <c r="AL21" i="32"/>
  <c r="AL24" i="32"/>
  <c r="AL19" i="32"/>
  <c r="AL20" i="32"/>
  <c r="AL30" i="32"/>
  <c r="AL31" i="32" s="1"/>
  <c r="AL32" i="32" s="1"/>
  <c r="AL33" i="32" s="1"/>
  <c r="AL34" i="32" s="1"/>
  <c r="AL35" i="32" s="1"/>
  <c r="AL36" i="32" s="1"/>
  <c r="AL37" i="32" s="1"/>
  <c r="AL38" i="32" s="1"/>
  <c r="AL39" i="32" s="1"/>
  <c r="AL40" i="32" s="1"/>
  <c r="AL41" i="32" s="1"/>
  <c r="AL42" i="32" s="1"/>
  <c r="AG28" i="32"/>
  <c r="AM30" i="32"/>
  <c r="AM31" i="32" s="1"/>
  <c r="AM32" i="32" s="1"/>
  <c r="AM33" i="32" s="1"/>
  <c r="AM34" i="32" s="1"/>
  <c r="AM35" i="32" s="1"/>
  <c r="AM36" i="32" s="1"/>
  <c r="AM37" i="32" s="1"/>
  <c r="AM38" i="32" s="1"/>
  <c r="AM39" i="32" s="1"/>
  <c r="AM40" i="32" s="1"/>
  <c r="AM41" i="32" s="1"/>
  <c r="AM42" i="32" s="1"/>
  <c r="AG29" i="32"/>
  <c r="AN29" i="32"/>
  <c r="AN27" i="32"/>
  <c r="AN19" i="32"/>
  <c r="AN22" i="32"/>
  <c r="AN25" i="32"/>
  <c r="AN23" i="32"/>
  <c r="AN26" i="32"/>
  <c r="AC49" i="32"/>
  <c r="AA51" i="32"/>
  <c r="AB52" i="32"/>
  <c r="AC53" i="32"/>
  <c r="AB54" i="32"/>
  <c r="AC55" i="32"/>
  <c r="AD56" i="32"/>
  <c r="AE19" i="32"/>
  <c r="P20" i="32"/>
  <c r="O21" i="32"/>
  <c r="AI21" i="32"/>
  <c r="AI22" i="32"/>
  <c r="P24" i="32"/>
  <c r="S25" i="32"/>
  <c r="O26" i="32"/>
  <c r="AL26" i="32"/>
  <c r="Q27" i="32"/>
  <c r="AK27" i="32"/>
  <c r="AM24" i="32"/>
  <c r="AM29" i="32"/>
  <c r="AM27" i="32"/>
  <c r="AM19" i="32"/>
  <c r="AM22" i="32"/>
  <c r="AM20" i="32"/>
  <c r="AM23" i="32"/>
  <c r="AH29" i="32"/>
  <c r="Q30" i="32"/>
  <c r="Q31" i="32" s="1"/>
  <c r="Q32" i="32" s="1"/>
  <c r="Q33" i="32" s="1"/>
  <c r="Q34" i="32" s="1"/>
  <c r="Q35" i="32" s="1"/>
  <c r="Q36" i="32" s="1"/>
  <c r="Q37" i="32" s="1"/>
  <c r="Q38" i="32" s="1"/>
  <c r="Q39" i="32" s="1"/>
  <c r="Q40" i="32" s="1"/>
  <c r="Q41" i="32" s="1"/>
  <c r="Q42" i="32" s="1"/>
  <c r="AO52" i="32"/>
  <c r="AO54" i="32"/>
  <c r="AO57" i="32"/>
  <c r="AO58" i="32" s="1"/>
  <c r="AO59" i="32" s="1"/>
  <c r="AO60" i="32" s="1"/>
  <c r="AO61" i="32" s="1"/>
  <c r="AO62" i="32" s="1"/>
  <c r="AO63" i="32" s="1"/>
  <c r="AO64" i="32" s="1"/>
  <c r="AO65" i="32" s="1"/>
  <c r="AO66" i="32" s="1"/>
  <c r="AO67" i="32" s="1"/>
  <c r="AO68" i="32" s="1"/>
  <c r="AO69" i="32" s="1"/>
  <c r="AO55" i="32"/>
  <c r="AO53" i="32"/>
  <c r="AO50" i="32"/>
  <c r="AO48" i="32"/>
  <c r="AO22" i="32"/>
  <c r="AO56" i="32"/>
  <c r="AO25" i="32"/>
  <c r="AO20" i="32"/>
  <c r="AO49" i="32"/>
  <c r="AO46" i="32"/>
  <c r="AO26" i="32"/>
  <c r="AO21" i="32"/>
  <c r="AO51" i="32"/>
  <c r="AO47" i="32"/>
  <c r="AL49" i="32"/>
  <c r="AN51" i="32"/>
  <c r="AN52" i="32"/>
  <c r="AN54" i="32"/>
  <c r="E5" i="32"/>
  <c r="F5" i="32" s="1"/>
  <c r="AJ23" i="32"/>
  <c r="AJ21" i="32"/>
  <c r="AJ19" i="32"/>
  <c r="AJ22" i="32"/>
  <c r="S52" i="32"/>
  <c r="S54" i="32"/>
  <c r="S56" i="32"/>
  <c r="S49" i="32"/>
  <c r="S20" i="32"/>
  <c r="S57" i="32"/>
  <c r="S58" i="32" s="1"/>
  <c r="S59" i="32" s="1"/>
  <c r="S60" i="32" s="1"/>
  <c r="S61" i="32" s="1"/>
  <c r="S62" i="32" s="1"/>
  <c r="S63" i="32" s="1"/>
  <c r="S64" i="32" s="1"/>
  <c r="S65" i="32" s="1"/>
  <c r="S66" i="32" s="1"/>
  <c r="S67" i="32" s="1"/>
  <c r="S68" i="32" s="1"/>
  <c r="S69" i="32" s="1"/>
  <c r="S50" i="32"/>
  <c r="S30" i="32"/>
  <c r="S31" i="32" s="1"/>
  <c r="S32" i="32" s="1"/>
  <c r="S33" i="32" s="1"/>
  <c r="S34" i="32" s="1"/>
  <c r="S35" i="32" s="1"/>
  <c r="S36" i="32" s="1"/>
  <c r="S37" i="32" s="1"/>
  <c r="S38" i="32" s="1"/>
  <c r="S39" i="32" s="1"/>
  <c r="S40" i="32" s="1"/>
  <c r="S41" i="32" s="1"/>
  <c r="S42" i="32" s="1"/>
  <c r="S28" i="32"/>
  <c r="S23" i="32"/>
  <c r="S46" i="32"/>
  <c r="S26" i="32"/>
  <c r="S51" i="32"/>
  <c r="S47" i="32"/>
  <c r="S24" i="32"/>
  <c r="S53" i="32"/>
  <c r="S29" i="32"/>
  <c r="S27" i="32"/>
  <c r="S19" i="32"/>
  <c r="S55" i="32"/>
  <c r="S48" i="32"/>
  <c r="AF19" i="32"/>
  <c r="AF22" i="32"/>
  <c r="AP20" i="32"/>
  <c r="AP29" i="32"/>
  <c r="Y52" i="32"/>
  <c r="Y54" i="32"/>
  <c r="Y51" i="32"/>
  <c r="Y48" i="32"/>
  <c r="Y22" i="32"/>
  <c r="Y25" i="32"/>
  <c r="Y56" i="32"/>
  <c r="Y55" i="32"/>
  <c r="Y53" i="32"/>
  <c r="M30" i="60" s="1"/>
  <c r="Y49" i="32"/>
  <c r="Y20" i="32"/>
  <c r="Y50" i="32"/>
  <c r="Y46" i="32"/>
  <c r="Y26" i="32"/>
  <c r="Y21" i="32"/>
  <c r="Y57" i="32"/>
  <c r="Y58" i="32" s="1"/>
  <c r="Y59" i="32" s="1"/>
  <c r="Y60" i="32" s="1"/>
  <c r="Y61" i="32" s="1"/>
  <c r="Y62" i="32" s="1"/>
  <c r="Y63" i="32" s="1"/>
  <c r="Y64" i="32" s="1"/>
  <c r="Y65" i="32" s="1"/>
  <c r="Y66" i="32" s="1"/>
  <c r="Y67" i="32" s="1"/>
  <c r="Y68" i="32" s="1"/>
  <c r="Y69" i="32" s="1"/>
  <c r="Y47" i="32"/>
  <c r="Z55" i="32"/>
  <c r="Z57" i="32"/>
  <c r="Z58" i="32" s="1"/>
  <c r="Z59" i="32" s="1"/>
  <c r="Z60" i="32" s="1"/>
  <c r="Z61" i="32" s="1"/>
  <c r="Z62" i="32" s="1"/>
  <c r="Z63" i="32" s="1"/>
  <c r="Z64" i="32" s="1"/>
  <c r="Z65" i="32" s="1"/>
  <c r="Z66" i="32" s="1"/>
  <c r="Z67" i="32" s="1"/>
  <c r="Z68" i="32" s="1"/>
  <c r="Z69" i="32" s="1"/>
  <c r="Z49" i="32"/>
  <c r="Z51" i="32"/>
  <c r="Z54" i="32"/>
  <c r="Z52" i="32"/>
  <c r="Z25" i="32"/>
  <c r="Z56" i="32"/>
  <c r="Z53" i="32"/>
  <c r="Z20" i="32"/>
  <c r="Z30" i="32"/>
  <c r="Z31" i="32" s="1"/>
  <c r="Z32" i="32" s="1"/>
  <c r="Z33" i="32" s="1"/>
  <c r="Z34" i="32" s="1"/>
  <c r="Z35" i="32" s="1"/>
  <c r="Z36" i="32" s="1"/>
  <c r="Z37" i="32" s="1"/>
  <c r="Z38" i="32" s="1"/>
  <c r="Z39" i="32" s="1"/>
  <c r="Z40" i="32" s="1"/>
  <c r="Z41" i="32" s="1"/>
  <c r="Z42" i="32" s="1"/>
  <c r="Z28" i="32"/>
  <c r="Z23" i="32"/>
  <c r="Z50" i="32"/>
  <c r="Z46" i="32"/>
  <c r="Z21" i="32"/>
  <c r="Z47" i="32"/>
  <c r="Z24" i="32"/>
  <c r="U19" i="32"/>
  <c r="T20" i="32"/>
  <c r="AN20" i="32"/>
  <c r="P21" i="32"/>
  <c r="R22" i="32"/>
  <c r="AL22" i="32"/>
  <c r="Q23" i="32"/>
  <c r="AL23" i="32"/>
  <c r="Q24" i="32"/>
  <c r="AN24" i="32"/>
  <c r="T25" i="32"/>
  <c r="R26" i="32"/>
  <c r="AM26" i="32"/>
  <c r="R27" i="32"/>
  <c r="AO27" i="32"/>
  <c r="Q28" i="32"/>
  <c r="AL28" i="32"/>
  <c r="Q29" i="32"/>
  <c r="AK29" i="32"/>
  <c r="U30" i="32"/>
  <c r="U31" i="32" s="1"/>
  <c r="U32" i="32" s="1"/>
  <c r="U33" i="32" s="1"/>
  <c r="U34" i="32" s="1"/>
  <c r="U35" i="32" s="1"/>
  <c r="U36" i="32" s="1"/>
  <c r="U37" i="32" s="1"/>
  <c r="U38" i="32" s="1"/>
  <c r="U39" i="32" s="1"/>
  <c r="U40" i="32" s="1"/>
  <c r="U41" i="32" s="1"/>
  <c r="U42" i="32" s="1"/>
  <c r="AQ48" i="32"/>
  <c r="AN47" i="32"/>
  <c r="N53" i="32"/>
  <c r="N55" i="32"/>
  <c r="N54" i="32"/>
  <c r="N51" i="32"/>
  <c r="N21" i="32"/>
  <c r="N56" i="32"/>
  <c r="N47" i="32"/>
  <c r="N24" i="32"/>
  <c r="N29" i="32"/>
  <c r="N27" i="32"/>
  <c r="N19" i="32"/>
  <c r="N57" i="32"/>
  <c r="N58" i="32" s="1"/>
  <c r="N59" i="32" s="1"/>
  <c r="N60" i="32" s="1"/>
  <c r="N61" i="32" s="1"/>
  <c r="N62" i="32" s="1"/>
  <c r="N63" i="32" s="1"/>
  <c r="N64" i="32" s="1"/>
  <c r="N65" i="32" s="1"/>
  <c r="N66" i="32" s="1"/>
  <c r="N67" i="32" s="1"/>
  <c r="N68" i="32" s="1"/>
  <c r="N69" i="32" s="1"/>
  <c r="N48" i="32"/>
  <c r="N25" i="32"/>
  <c r="N50" i="32"/>
  <c r="N49" i="32"/>
  <c r="N20" i="32"/>
  <c r="N30" i="32"/>
  <c r="N31" i="32" s="1"/>
  <c r="N32" i="32" s="1"/>
  <c r="N33" i="32" s="1"/>
  <c r="N34" i="32" s="1"/>
  <c r="N35" i="32" s="1"/>
  <c r="N36" i="32" s="1"/>
  <c r="N37" i="32" s="1"/>
  <c r="N38" i="32" s="1"/>
  <c r="N39" i="32" s="1"/>
  <c r="N40" i="32" s="1"/>
  <c r="N41" i="32" s="1"/>
  <c r="N42" i="32" s="1"/>
  <c r="W19" i="32"/>
  <c r="AO19" i="32"/>
  <c r="U20" i="32"/>
  <c r="S21" i="32"/>
  <c r="AN21" i="32"/>
  <c r="S22" i="32"/>
  <c r="AP22" i="32"/>
  <c r="U23" i="32"/>
  <c r="AO23" i="32"/>
  <c r="T24" i="32"/>
  <c r="AO24" i="32"/>
  <c r="W25" i="32"/>
  <c r="V26" i="32"/>
  <c r="AP26" i="32"/>
  <c r="U27" i="32"/>
  <c r="AP27" i="32"/>
  <c r="U28" i="32"/>
  <c r="AO28" i="32"/>
  <c r="R29" i="32"/>
  <c r="AO29" i="32"/>
  <c r="Y30" i="32"/>
  <c r="Y31" i="32" s="1"/>
  <c r="Y32" i="32" s="1"/>
  <c r="Y33" i="32" s="1"/>
  <c r="Y34" i="32" s="1"/>
  <c r="Y35" i="32" s="1"/>
  <c r="Y36" i="32" s="1"/>
  <c r="Y37" i="32" s="1"/>
  <c r="Y38" i="32" s="1"/>
  <c r="Y39" i="32" s="1"/>
  <c r="Y40" i="32" s="1"/>
  <c r="Y41" i="32" s="1"/>
  <c r="Y42" i="32" s="1"/>
  <c r="N46" i="32"/>
  <c r="R48" i="32"/>
  <c r="E6" i="32"/>
  <c r="F6" i="32" s="1"/>
  <c r="AC57" i="32"/>
  <c r="AC58" i="32" s="1"/>
  <c r="AC59" i="32" s="1"/>
  <c r="AC60" i="32" s="1"/>
  <c r="AC61" i="32" s="1"/>
  <c r="AC62" i="32" s="1"/>
  <c r="AC63" i="32" s="1"/>
  <c r="AC64" i="32" s="1"/>
  <c r="AC65" i="32" s="1"/>
  <c r="AC66" i="32" s="1"/>
  <c r="AC67" i="32" s="1"/>
  <c r="AC68" i="32" s="1"/>
  <c r="AC69" i="32" s="1"/>
  <c r="AP19" i="32"/>
  <c r="W21" i="32"/>
  <c r="V22" i="32"/>
  <c r="V23" i="32"/>
  <c r="W26" i="32"/>
  <c r="Y27" i="32"/>
  <c r="V28" i="32"/>
  <c r="U29" i="32"/>
  <c r="AC30" i="32"/>
  <c r="AC31" i="32" s="1"/>
  <c r="AC32" i="32" s="1"/>
  <c r="AC33" i="32" s="1"/>
  <c r="AC34" i="32" s="1"/>
  <c r="AC35" i="32" s="1"/>
  <c r="AC36" i="32" s="1"/>
  <c r="AC37" i="32" s="1"/>
  <c r="AC38" i="32" s="1"/>
  <c r="AC39" i="32" s="1"/>
  <c r="AC40" i="32" s="1"/>
  <c r="AC41" i="32" s="1"/>
  <c r="AC42" i="32" s="1"/>
  <c r="V46" i="32"/>
  <c r="Z48" i="32"/>
  <c r="AP55" i="32"/>
  <c r="AP57" i="32"/>
  <c r="AP58" i="32" s="1"/>
  <c r="AP59" i="32" s="1"/>
  <c r="AP60" i="32" s="1"/>
  <c r="AP61" i="32" s="1"/>
  <c r="AP62" i="32" s="1"/>
  <c r="AP63" i="32" s="1"/>
  <c r="AP64" i="32" s="1"/>
  <c r="AP65" i="32" s="1"/>
  <c r="AP66" i="32" s="1"/>
  <c r="AP67" i="32" s="1"/>
  <c r="AP68" i="32" s="1"/>
  <c r="AP69" i="32" s="1"/>
  <c r="AP49" i="32"/>
  <c r="AP51" i="32"/>
  <c r="AP56" i="32"/>
  <c r="AE46" i="32"/>
  <c r="AM46" i="32"/>
  <c r="AG47" i="32"/>
  <c r="AA48" i="32"/>
  <c r="AM49" i="32"/>
  <c r="AG50" i="32"/>
  <c r="AQ50" i="32"/>
  <c r="P51" i="32"/>
  <c r="AC51" i="32"/>
  <c r="P52" i="32"/>
  <c r="AC52" i="32"/>
  <c r="AP52" i="32"/>
  <c r="AE53" i="32"/>
  <c r="AQ53" i="32"/>
  <c r="AP54" i="32"/>
  <c r="AE55" i="32"/>
  <c r="H70" i="32"/>
  <c r="H93" i="32"/>
  <c r="I93" i="32" s="1"/>
  <c r="H92" i="32"/>
  <c r="I92" i="32" s="1"/>
  <c r="H91" i="32"/>
  <c r="I91" i="32" s="1"/>
  <c r="H90" i="32"/>
  <c r="I90" i="32" s="1"/>
  <c r="J198" i="47"/>
  <c r="K198" i="47" s="1"/>
  <c r="M198" i="47" s="1"/>
  <c r="W64" i="51"/>
  <c r="J197" i="47"/>
  <c r="K197" i="47" s="1"/>
  <c r="M197" i="47" s="1"/>
  <c r="W100" i="32"/>
  <c r="Y100" i="32" s="1"/>
  <c r="P53" i="32"/>
  <c r="P55" i="32"/>
  <c r="P57" i="32"/>
  <c r="P58" i="32" s="1"/>
  <c r="P59" i="32" s="1"/>
  <c r="P60" i="32" s="1"/>
  <c r="P61" i="32" s="1"/>
  <c r="P62" i="32" s="1"/>
  <c r="P63" i="32" s="1"/>
  <c r="P64" i="32" s="1"/>
  <c r="P65" i="32" s="1"/>
  <c r="P66" i="32" s="1"/>
  <c r="P67" i="32" s="1"/>
  <c r="P68" i="32" s="1"/>
  <c r="P69" i="32" s="1"/>
  <c r="T57" i="32"/>
  <c r="T58" i="32" s="1"/>
  <c r="T59" i="32" s="1"/>
  <c r="T60" i="32" s="1"/>
  <c r="T61" i="32" s="1"/>
  <c r="T62" i="32" s="1"/>
  <c r="T63" i="32" s="1"/>
  <c r="T64" i="32" s="1"/>
  <c r="T65" i="32" s="1"/>
  <c r="T66" i="32" s="1"/>
  <c r="T67" i="32" s="1"/>
  <c r="T68" i="32" s="1"/>
  <c r="T69" i="32" s="1"/>
  <c r="T51" i="32"/>
  <c r="T53" i="32"/>
  <c r="X53" i="32"/>
  <c r="X55" i="32"/>
  <c r="X57" i="32"/>
  <c r="X58" i="32" s="1"/>
  <c r="X59" i="32" s="1"/>
  <c r="X60" i="32" s="1"/>
  <c r="X61" i="32" s="1"/>
  <c r="X62" i="32" s="1"/>
  <c r="X63" i="32" s="1"/>
  <c r="X64" i="32" s="1"/>
  <c r="X65" i="32" s="1"/>
  <c r="X66" i="32" s="1"/>
  <c r="X67" i="32" s="1"/>
  <c r="X68" i="32" s="1"/>
  <c r="X69" i="32" s="1"/>
  <c r="AA19" i="32"/>
  <c r="AQ19" i="32"/>
  <c r="AG21" i="32"/>
  <c r="AF53" i="32"/>
  <c r="AF55" i="32"/>
  <c r="AF57" i="32"/>
  <c r="AF58" i="32" s="1"/>
  <c r="AF59" i="32" s="1"/>
  <c r="AF60" i="32" s="1"/>
  <c r="AF61" i="32" s="1"/>
  <c r="AF62" i="32" s="1"/>
  <c r="AF63" i="32" s="1"/>
  <c r="AF64" i="32" s="1"/>
  <c r="AF65" i="32" s="1"/>
  <c r="AF66" i="32" s="1"/>
  <c r="AF67" i="32" s="1"/>
  <c r="AF68" i="32" s="1"/>
  <c r="AF69" i="32" s="1"/>
  <c r="T22" i="32"/>
  <c r="AE23" i="32"/>
  <c r="AP24" i="32"/>
  <c r="AC25" i="32"/>
  <c r="P26" i="32"/>
  <c r="X26" i="32"/>
  <c r="AF26" i="32"/>
  <c r="AA27" i="32"/>
  <c r="AQ27" i="32"/>
  <c r="AE28" i="32"/>
  <c r="AM28" i="32"/>
  <c r="AA29" i="32"/>
  <c r="AQ29" i="32"/>
  <c r="AE30" i="32"/>
  <c r="AE31" i="32" s="1"/>
  <c r="AE32" i="32" s="1"/>
  <c r="AE33" i="32" s="1"/>
  <c r="AE34" i="32" s="1"/>
  <c r="AE35" i="32" s="1"/>
  <c r="AE36" i="32" s="1"/>
  <c r="AE37" i="32" s="1"/>
  <c r="AE38" i="32" s="1"/>
  <c r="AE39" i="32" s="1"/>
  <c r="AE40" i="32" s="1"/>
  <c r="AE41" i="32" s="1"/>
  <c r="AE42" i="32" s="1"/>
  <c r="AK32" i="32"/>
  <c r="AK33" i="32" s="1"/>
  <c r="AK34" i="32" s="1"/>
  <c r="AK35" i="32" s="1"/>
  <c r="AK36" i="32" s="1"/>
  <c r="AK37" i="32" s="1"/>
  <c r="AK38" i="32" s="1"/>
  <c r="AK39" i="32" s="1"/>
  <c r="AK40" i="32" s="1"/>
  <c r="AK41" i="32" s="1"/>
  <c r="AK42" i="32" s="1"/>
  <c r="AQ52" i="32"/>
  <c r="AQ57" i="32"/>
  <c r="AQ58" i="32" s="1"/>
  <c r="AQ59" i="32" s="1"/>
  <c r="AQ60" i="32" s="1"/>
  <c r="AQ61" i="32" s="1"/>
  <c r="AQ62" i="32" s="1"/>
  <c r="AQ63" i="32" s="1"/>
  <c r="AQ64" i="32" s="1"/>
  <c r="AQ65" i="32" s="1"/>
  <c r="AQ66" i="32" s="1"/>
  <c r="AQ67" i="32" s="1"/>
  <c r="AQ68" i="32" s="1"/>
  <c r="AQ69" i="32" s="1"/>
  <c r="AQ54" i="32"/>
  <c r="AQ56" i="32"/>
  <c r="P46" i="32"/>
  <c r="X46" i="32"/>
  <c r="AF46" i="32"/>
  <c r="AN46" i="32"/>
  <c r="AP47" i="32"/>
  <c r="T48" i="32"/>
  <c r="AJ48" i="32"/>
  <c r="AE49" i="32"/>
  <c r="AN49" i="32"/>
  <c r="X50" i="32"/>
  <c r="AE51" i="32"/>
  <c r="AQ51" i="32"/>
  <c r="AG53" i="32"/>
  <c r="AE54" i="32"/>
  <c r="T55" i="32"/>
  <c r="AG55" i="32"/>
  <c r="T56" i="32"/>
  <c r="AG56" i="32"/>
  <c r="I70" i="32"/>
  <c r="AC54" i="32"/>
  <c r="AC56" i="32"/>
  <c r="AC50" i="32"/>
  <c r="T19" i="32"/>
  <c r="AE20" i="32"/>
  <c r="AP21" i="32"/>
  <c r="AC22" i="32"/>
  <c r="P23" i="32"/>
  <c r="X23" i="32"/>
  <c r="AF23" i="32"/>
  <c r="AA24" i="32"/>
  <c r="AQ24" i="32"/>
  <c r="AL25" i="32"/>
  <c r="AG26" i="32"/>
  <c r="AK54" i="32"/>
  <c r="AK56" i="32"/>
  <c r="AK50" i="32"/>
  <c r="T27" i="32"/>
  <c r="AJ27" i="32"/>
  <c r="N107" i="32"/>
  <c r="N105" i="32"/>
  <c r="N103" i="32"/>
  <c r="N110" i="32"/>
  <c r="N108" i="32"/>
  <c r="N100" i="32"/>
  <c r="N106" i="32"/>
  <c r="N104" i="32"/>
  <c r="N101" i="32"/>
  <c r="N111" i="32"/>
  <c r="N112" i="32" s="1"/>
  <c r="N113" i="32" s="1"/>
  <c r="N114" i="32" s="1"/>
  <c r="N115" i="32" s="1"/>
  <c r="N116" i="32" s="1"/>
  <c r="N117" i="32" s="1"/>
  <c r="N118" i="32" s="1"/>
  <c r="N119" i="32" s="1"/>
  <c r="N120" i="32" s="1"/>
  <c r="N121" i="32" s="1"/>
  <c r="N122" i="32" s="1"/>
  <c r="N123" i="32" s="1"/>
  <c r="P28" i="32"/>
  <c r="X28" i="32"/>
  <c r="AF28" i="32"/>
  <c r="AN28" i="32"/>
  <c r="AM56" i="32"/>
  <c r="AM50" i="32"/>
  <c r="AM52" i="32"/>
  <c r="AM57" i="32"/>
  <c r="AM58" i="32" s="1"/>
  <c r="AM59" i="32" s="1"/>
  <c r="AM60" i="32" s="1"/>
  <c r="AM61" i="32" s="1"/>
  <c r="AM62" i="32" s="1"/>
  <c r="AM63" i="32" s="1"/>
  <c r="AM64" i="32" s="1"/>
  <c r="AM65" i="32" s="1"/>
  <c r="AM66" i="32" s="1"/>
  <c r="AM67" i="32" s="1"/>
  <c r="AM68" i="32" s="1"/>
  <c r="AM69" i="32" s="1"/>
  <c r="T29" i="32"/>
  <c r="AJ29" i="32"/>
  <c r="P105" i="32"/>
  <c r="P101" i="32"/>
  <c r="P110" i="32"/>
  <c r="P108" i="32"/>
  <c r="P106" i="32"/>
  <c r="P100" i="32"/>
  <c r="P104" i="32"/>
  <c r="W102" i="32"/>
  <c r="Y102" i="32" s="1"/>
  <c r="P111" i="32"/>
  <c r="P112" i="32" s="1"/>
  <c r="P109" i="32"/>
  <c r="P102" i="32"/>
  <c r="P107" i="32"/>
  <c r="P30" i="32"/>
  <c r="P31" i="32" s="1"/>
  <c r="P32" i="32" s="1"/>
  <c r="P33" i="32" s="1"/>
  <c r="P34" i="32" s="1"/>
  <c r="P35" i="32" s="1"/>
  <c r="P36" i="32" s="1"/>
  <c r="P37" i="32" s="1"/>
  <c r="P38" i="32" s="1"/>
  <c r="P39" i="32" s="1"/>
  <c r="P40" i="32" s="1"/>
  <c r="P41" i="32" s="1"/>
  <c r="P42" i="32" s="1"/>
  <c r="X30" i="32"/>
  <c r="X31" i="32" s="1"/>
  <c r="X32" i="32" s="1"/>
  <c r="X33" i="32" s="1"/>
  <c r="X34" i="32" s="1"/>
  <c r="X35" i="32" s="1"/>
  <c r="X36" i="32" s="1"/>
  <c r="X37" i="32" s="1"/>
  <c r="X38" i="32" s="1"/>
  <c r="X39" i="32" s="1"/>
  <c r="X40" i="32" s="1"/>
  <c r="X41" i="32" s="1"/>
  <c r="X42" i="32" s="1"/>
  <c r="AF30" i="32"/>
  <c r="AF31" i="32" s="1"/>
  <c r="AF32" i="32" s="1"/>
  <c r="AF33" i="32" s="1"/>
  <c r="AF34" i="32" s="1"/>
  <c r="AF35" i="32" s="1"/>
  <c r="AF36" i="32" s="1"/>
  <c r="AF37" i="32" s="1"/>
  <c r="AF38" i="32" s="1"/>
  <c r="AF39" i="32" s="1"/>
  <c r="AF40" i="32" s="1"/>
  <c r="AF41" i="32" s="1"/>
  <c r="AF42" i="32" s="1"/>
  <c r="AN30" i="32"/>
  <c r="AN31" i="32" s="1"/>
  <c r="AN32" i="32" s="1"/>
  <c r="AN33" i="32" s="1"/>
  <c r="AN34" i="32" s="1"/>
  <c r="AN35" i="32" s="1"/>
  <c r="AN36" i="32" s="1"/>
  <c r="AN37" i="32" s="1"/>
  <c r="AN38" i="32" s="1"/>
  <c r="AN39" i="32" s="1"/>
  <c r="AN40" i="32" s="1"/>
  <c r="AN41" i="32" s="1"/>
  <c r="AN42" i="32" s="1"/>
  <c r="AG46" i="32"/>
  <c r="AA47" i="32"/>
  <c r="AQ47" i="32"/>
  <c r="AC48" i="32"/>
  <c r="AK48" i="32"/>
  <c r="AF49" i="32"/>
  <c r="P50" i="32"/>
  <c r="AF51" i="32"/>
  <c r="T52" i="32"/>
  <c r="AF52" i="32"/>
  <c r="I67" i="32"/>
  <c r="H64" i="32"/>
  <c r="I68" i="32"/>
  <c r="K68" i="32" s="1"/>
  <c r="I69" i="32"/>
  <c r="K69" i="32" s="1"/>
  <c r="T54" i="32"/>
  <c r="AF54" i="32"/>
  <c r="AJ56" i="32"/>
  <c r="H67" i="32"/>
  <c r="P103" i="32"/>
  <c r="AP46" i="32"/>
  <c r="T47" i="32"/>
  <c r="AJ47" i="32"/>
  <c r="AL48" i="32"/>
  <c r="P49" i="32"/>
  <c r="X49" i="32"/>
  <c r="AG49" i="32"/>
  <c r="AJ50" i="32"/>
  <c r="AG51" i="32"/>
  <c r="AJ55" i="32"/>
  <c r="X56" i="32"/>
  <c r="AL56" i="32"/>
  <c r="AG57" i="32"/>
  <c r="AG58" i="32" s="1"/>
  <c r="AG59" i="32" s="1"/>
  <c r="AG60" i="32" s="1"/>
  <c r="AG61" i="32" s="1"/>
  <c r="AG62" i="32" s="1"/>
  <c r="AG63" i="32" s="1"/>
  <c r="AG64" i="32" s="1"/>
  <c r="AG65" i="32" s="1"/>
  <c r="AG66" i="32" s="1"/>
  <c r="AG67" i="32" s="1"/>
  <c r="AG68" i="32" s="1"/>
  <c r="AG69" i="32" s="1"/>
  <c r="H63" i="32"/>
  <c r="I65" i="32"/>
  <c r="I66" i="32"/>
  <c r="O105" i="32"/>
  <c r="AA52" i="32"/>
  <c r="AA57" i="32"/>
  <c r="AA58" i="32" s="1"/>
  <c r="AA59" i="32" s="1"/>
  <c r="AA60" i="32" s="1"/>
  <c r="AA61" i="32" s="1"/>
  <c r="AA62" i="32" s="1"/>
  <c r="AA63" i="32" s="1"/>
  <c r="AA64" i="32" s="1"/>
  <c r="AA65" i="32" s="1"/>
  <c r="AA66" i="32" s="1"/>
  <c r="AA67" i="32" s="1"/>
  <c r="AA68" i="32" s="1"/>
  <c r="AA69" i="32" s="1"/>
  <c r="AA54" i="32"/>
  <c r="AA56" i="32"/>
  <c r="AE56" i="32"/>
  <c r="AE50" i="32"/>
  <c r="AE52" i="32"/>
  <c r="AE57" i="32"/>
  <c r="AE58" i="32" s="1"/>
  <c r="AE59" i="32" s="1"/>
  <c r="AE60" i="32" s="1"/>
  <c r="AE61" i="32" s="1"/>
  <c r="AE62" i="32" s="1"/>
  <c r="AE63" i="32" s="1"/>
  <c r="AE64" i="32" s="1"/>
  <c r="AE65" i="32" s="1"/>
  <c r="AE66" i="32" s="1"/>
  <c r="AE67" i="32" s="1"/>
  <c r="AE68" i="32" s="1"/>
  <c r="AE69" i="32" s="1"/>
  <c r="AE22" i="32"/>
  <c r="AP23" i="32"/>
  <c r="AC24" i="32"/>
  <c r="P25" i="32"/>
  <c r="X25" i="32"/>
  <c r="AF25" i="32"/>
  <c r="AA26" i="32"/>
  <c r="AQ26" i="32"/>
  <c r="AL27" i="32"/>
  <c r="AP28" i="32"/>
  <c r="AL29" i="32"/>
  <c r="AP30" i="32"/>
  <c r="AP31" i="32" s="1"/>
  <c r="AP32" i="32" s="1"/>
  <c r="AP33" i="32" s="1"/>
  <c r="AP34" i="32" s="1"/>
  <c r="AP35" i="32" s="1"/>
  <c r="AP36" i="32" s="1"/>
  <c r="AP37" i="32" s="1"/>
  <c r="AP38" i="32" s="1"/>
  <c r="AP39" i="32" s="1"/>
  <c r="AP40" i="32" s="1"/>
  <c r="AP41" i="32" s="1"/>
  <c r="AP42" i="32" s="1"/>
  <c r="AG31" i="32"/>
  <c r="AG32" i="32" s="1"/>
  <c r="AG33" i="32" s="1"/>
  <c r="AG34" i="32" s="1"/>
  <c r="AG35" i="32" s="1"/>
  <c r="AG36" i="32" s="1"/>
  <c r="AG37" i="32" s="1"/>
  <c r="AG38" i="32" s="1"/>
  <c r="AG39" i="32" s="1"/>
  <c r="AG40" i="32" s="1"/>
  <c r="AG41" i="32" s="1"/>
  <c r="AG42" i="32" s="1"/>
  <c r="AA46" i="32"/>
  <c r="AQ46" i="32"/>
  <c r="AC47" i="32"/>
  <c r="AK47" i="32"/>
  <c r="AE48" i="32"/>
  <c r="AM48" i="32"/>
  <c r="AA50" i="32"/>
  <c r="AL50" i="32"/>
  <c r="AJ52" i="32"/>
  <c r="AK53" i="32"/>
  <c r="AJ54" i="32"/>
  <c r="AK55" i="32"/>
  <c r="AN56" i="32"/>
  <c r="AK57" i="32"/>
  <c r="AK58" i="32" s="1"/>
  <c r="AK59" i="32" s="1"/>
  <c r="AK60" i="32" s="1"/>
  <c r="AK61" i="32" s="1"/>
  <c r="AK62" i="32" s="1"/>
  <c r="AK63" i="32" s="1"/>
  <c r="AK64" i="32" s="1"/>
  <c r="AK65" i="32" s="1"/>
  <c r="AK66" i="32" s="1"/>
  <c r="AK67" i="32" s="1"/>
  <c r="AK68" i="32" s="1"/>
  <c r="AK69" i="32" s="1"/>
  <c r="I63" i="32"/>
  <c r="I64" i="32"/>
  <c r="H65" i="32"/>
  <c r="H66" i="32"/>
  <c r="O107" i="32"/>
  <c r="Q107" i="32" s="1"/>
  <c r="F23" i="41"/>
  <c r="P22" i="32"/>
  <c r="X22" i="32"/>
  <c r="AA23" i="32"/>
  <c r="AQ23" i="32"/>
  <c r="AG25" i="32"/>
  <c r="AJ57" i="32"/>
  <c r="AJ58" i="32" s="1"/>
  <c r="AJ59" i="32" s="1"/>
  <c r="AJ60" i="32" s="1"/>
  <c r="AJ61" i="32" s="1"/>
  <c r="AJ62" i="32" s="1"/>
  <c r="AJ63" i="32" s="1"/>
  <c r="AJ64" i="32" s="1"/>
  <c r="AJ65" i="32" s="1"/>
  <c r="AJ66" i="32" s="1"/>
  <c r="AJ67" i="32" s="1"/>
  <c r="AJ68" i="32" s="1"/>
  <c r="AJ69" i="32" s="1"/>
  <c r="AJ51" i="32"/>
  <c r="AJ53" i="32"/>
  <c r="T26" i="32"/>
  <c r="AJ26" i="32"/>
  <c r="AE27" i="32"/>
  <c r="AA28" i="32"/>
  <c r="AQ28" i="32"/>
  <c r="AE29" i="32"/>
  <c r="AA30" i="32"/>
  <c r="AA31" i="32" s="1"/>
  <c r="AA32" i="32" s="1"/>
  <c r="AA33" i="32" s="1"/>
  <c r="AA34" i="32" s="1"/>
  <c r="AA35" i="32" s="1"/>
  <c r="AA36" i="32" s="1"/>
  <c r="AA37" i="32" s="1"/>
  <c r="AA38" i="32" s="1"/>
  <c r="AA39" i="32" s="1"/>
  <c r="AA40" i="32" s="1"/>
  <c r="AA41" i="32" s="1"/>
  <c r="AA42" i="32" s="1"/>
  <c r="AQ30" i="32"/>
  <c r="AQ31" i="32" s="1"/>
  <c r="AQ32" i="32" s="1"/>
  <c r="AQ33" i="32" s="1"/>
  <c r="AQ34" i="32" s="1"/>
  <c r="AQ35" i="32" s="1"/>
  <c r="AQ36" i="32" s="1"/>
  <c r="AQ37" i="32" s="1"/>
  <c r="AQ38" i="32" s="1"/>
  <c r="AQ39" i="32" s="1"/>
  <c r="AQ40" i="32" s="1"/>
  <c r="AQ41" i="32" s="1"/>
  <c r="AQ42" i="32" s="1"/>
  <c r="T46" i="32"/>
  <c r="AJ46" i="32"/>
  <c r="AL47" i="32"/>
  <c r="P48" i="32"/>
  <c r="X48" i="32"/>
  <c r="AF48" i="32"/>
  <c r="AN48" i="32"/>
  <c r="AA49" i="32"/>
  <c r="AJ49" i="32"/>
  <c r="X51" i="32"/>
  <c r="AK51" i="32"/>
  <c r="X52" i="32"/>
  <c r="AK52" i="32"/>
  <c r="AM53" i="32"/>
  <c r="X54" i="32"/>
  <c r="AL54" i="32"/>
  <c r="AA55" i="32"/>
  <c r="AM55" i="32"/>
  <c r="AL57" i="32"/>
  <c r="AL58" i="32" s="1"/>
  <c r="AL59" i="32" s="1"/>
  <c r="AL60" i="32" s="1"/>
  <c r="AL61" i="32" s="1"/>
  <c r="AL62" i="32" s="1"/>
  <c r="AL63" i="32" s="1"/>
  <c r="AL64" i="32" s="1"/>
  <c r="AL65" i="32" s="1"/>
  <c r="AL66" i="32" s="1"/>
  <c r="AL67" i="32" s="1"/>
  <c r="AL68" i="32" s="1"/>
  <c r="AL69" i="32" s="1"/>
  <c r="N109" i="32"/>
  <c r="AA20" i="32"/>
  <c r="AG52" i="32"/>
  <c r="AG54" i="32"/>
  <c r="T23" i="32"/>
  <c r="AE24" i="32"/>
  <c r="AP25" i="32"/>
  <c r="AC26" i="32"/>
  <c r="P27" i="32"/>
  <c r="X27" i="32"/>
  <c r="AF27" i="32"/>
  <c r="AL51" i="32"/>
  <c r="AL53" i="32"/>
  <c r="AL55" i="32"/>
  <c r="T28" i="32"/>
  <c r="AJ28" i="32"/>
  <c r="O110" i="32"/>
  <c r="O100" i="32"/>
  <c r="O103" i="32"/>
  <c r="W101" i="32"/>
  <c r="Y101" i="32" s="1"/>
  <c r="O108" i="32"/>
  <c r="O106" i="32"/>
  <c r="O104" i="32"/>
  <c r="O101" i="32"/>
  <c r="O111" i="32"/>
  <c r="O109" i="32"/>
  <c r="O102" i="32"/>
  <c r="Q102" i="32" s="1"/>
  <c r="P29" i="32"/>
  <c r="X29" i="32"/>
  <c r="AF29" i="32"/>
  <c r="AN53" i="32"/>
  <c r="AN55" i="32"/>
  <c r="AN57" i="32"/>
  <c r="AN58" i="32" s="1"/>
  <c r="AN59" i="32" s="1"/>
  <c r="AN60" i="32" s="1"/>
  <c r="AN61" i="32" s="1"/>
  <c r="AN62" i="32" s="1"/>
  <c r="AN63" i="32" s="1"/>
  <c r="AN64" i="32" s="1"/>
  <c r="AN65" i="32" s="1"/>
  <c r="AN66" i="32" s="1"/>
  <c r="AN67" i="32" s="1"/>
  <c r="AN68" i="32" s="1"/>
  <c r="AN69" i="32" s="1"/>
  <c r="T30" i="32"/>
  <c r="T31" i="32" s="1"/>
  <c r="T32" i="32" s="1"/>
  <c r="T33" i="32" s="1"/>
  <c r="T34" i="32" s="1"/>
  <c r="T35" i="32" s="1"/>
  <c r="T36" i="32" s="1"/>
  <c r="T37" i="32" s="1"/>
  <c r="T38" i="32" s="1"/>
  <c r="T39" i="32" s="1"/>
  <c r="T40" i="32" s="1"/>
  <c r="T41" i="32" s="1"/>
  <c r="T42" i="32" s="1"/>
  <c r="AJ30" i="32"/>
  <c r="AJ31" i="32" s="1"/>
  <c r="AJ32" i="32" s="1"/>
  <c r="AJ33" i="32" s="1"/>
  <c r="AJ34" i="32" s="1"/>
  <c r="AJ35" i="32" s="1"/>
  <c r="AJ36" i="32" s="1"/>
  <c r="AJ37" i="32" s="1"/>
  <c r="AJ38" i="32" s="1"/>
  <c r="AJ39" i="32" s="1"/>
  <c r="AJ40" i="32" s="1"/>
  <c r="AJ41" i="32" s="1"/>
  <c r="AJ42" i="32" s="1"/>
  <c r="AC46" i="32"/>
  <c r="AK46" i="32"/>
  <c r="AE47" i="32"/>
  <c r="AM47" i="32"/>
  <c r="AG48" i="32"/>
  <c r="AK49" i="32"/>
  <c r="T50" i="32"/>
  <c r="AM51" i="32"/>
  <c r="AL52" i="32"/>
  <c r="AA53" i="32"/>
  <c r="AM54" i="32"/>
  <c r="P56" i="32"/>
  <c r="Q83" i="32"/>
  <c r="Q82" i="32"/>
  <c r="Q81" i="32"/>
  <c r="Q95" i="32"/>
  <c r="Q88" i="32"/>
  <c r="Q85" i="32"/>
  <c r="Q79" i="32"/>
  <c r="Q75" i="32"/>
  <c r="W73" i="32" s="1"/>
  <c r="Y73" i="32" s="1"/>
  <c r="Q96" i="32"/>
  <c r="Q93" i="32"/>
  <c r="Q92" i="32"/>
  <c r="Q91" i="32"/>
  <c r="Q90" i="32"/>
  <c r="Q89" i="32"/>
  <c r="Q84" i="32"/>
  <c r="Q80" i="32"/>
  <c r="Q74" i="32"/>
  <c r="K59" i="47"/>
  <c r="K67" i="47"/>
  <c r="K61" i="47"/>
  <c r="K69" i="47"/>
  <c r="L158" i="47"/>
  <c r="V158" i="47" s="1"/>
  <c r="W158" i="47" s="1"/>
  <c r="L138" i="47"/>
  <c r="V138" i="47" s="1"/>
  <c r="W138" i="47" s="1"/>
  <c r="L132" i="47"/>
  <c r="V132" i="47" s="1"/>
  <c r="L126" i="47"/>
  <c r="V126" i="47" s="1"/>
  <c r="W126" i="47" s="1"/>
  <c r="L146" i="47"/>
  <c r="V146" i="47" s="1"/>
  <c r="W146" i="47" s="1"/>
  <c r="L150" i="47"/>
  <c r="V150" i="47" s="1"/>
  <c r="W150" i="47" s="1"/>
  <c r="L148" i="47"/>
  <c r="V148" i="47" s="1"/>
  <c r="W148" i="47" s="1"/>
  <c r="L122" i="47"/>
  <c r="V122" i="47" s="1"/>
  <c r="L114" i="47"/>
  <c r="V114" i="47" s="1"/>
  <c r="W114" i="47" s="1"/>
  <c r="L100" i="47"/>
  <c r="V100" i="47" s="1"/>
  <c r="W100" i="47" s="1"/>
  <c r="L98" i="47"/>
  <c r="V98" i="47" s="1"/>
  <c r="W98" i="47" s="1"/>
  <c r="L62" i="47"/>
  <c r="V62" i="47" s="1"/>
  <c r="W62" i="47" s="1"/>
  <c r="L160" i="47"/>
  <c r="V160" i="47" s="1"/>
  <c r="L124" i="47"/>
  <c r="V124" i="47" s="1"/>
  <c r="W124" i="47" s="1"/>
  <c r="L120" i="47"/>
  <c r="V120" i="47" s="1"/>
  <c r="W120" i="47" s="1"/>
  <c r="L78" i="47"/>
  <c r="V78" i="47" s="1"/>
  <c r="W78" i="47" s="1"/>
  <c r="L70" i="47"/>
  <c r="V70" i="47" s="1"/>
  <c r="W70" i="47" s="1"/>
  <c r="L156" i="47"/>
  <c r="V156" i="47" s="1"/>
  <c r="W156" i="47" s="1"/>
  <c r="L130" i="47"/>
  <c r="V130" i="47" s="1"/>
  <c r="L128" i="47"/>
  <c r="V128" i="47" s="1"/>
  <c r="L116" i="47"/>
  <c r="V116" i="47" s="1"/>
  <c r="W116" i="47" s="1"/>
  <c r="L110" i="47"/>
  <c r="V110" i="47" s="1"/>
  <c r="W110" i="47" s="1"/>
  <c r="L96" i="47"/>
  <c r="V96" i="47" s="1"/>
  <c r="W96" i="47" s="1"/>
  <c r="L94" i="47"/>
  <c r="V94" i="47" s="1"/>
  <c r="W94" i="47" s="1"/>
  <c r="L84" i="47"/>
  <c r="V84" i="47" s="1"/>
  <c r="W84" i="47" s="1"/>
  <c r="L38" i="47"/>
  <c r="V38" i="47" s="1"/>
  <c r="W38" i="47" s="1"/>
  <c r="L136" i="47"/>
  <c r="V136" i="47" s="1"/>
  <c r="L118" i="47"/>
  <c r="V118" i="47" s="1"/>
  <c r="W118" i="47" s="1"/>
  <c r="L142" i="47"/>
  <c r="V142" i="47" s="1"/>
  <c r="W142" i="47" s="1"/>
  <c r="L86" i="47"/>
  <c r="V86" i="47" s="1"/>
  <c r="W86" i="47" s="1"/>
  <c r="L104" i="47"/>
  <c r="V104" i="47" s="1"/>
  <c r="W104" i="47" s="1"/>
  <c r="L92" i="47"/>
  <c r="V92" i="47" s="1"/>
  <c r="W92" i="47" s="1"/>
  <c r="L74" i="47"/>
  <c r="V74" i="47" s="1"/>
  <c r="W74" i="47" s="1"/>
  <c r="L34" i="47"/>
  <c r="V34" i="47" s="1"/>
  <c r="W34" i="47" s="1"/>
  <c r="L24" i="47"/>
  <c r="V24" i="47" s="1"/>
  <c r="W24" i="47" s="1"/>
  <c r="L154" i="47"/>
  <c r="V154" i="47" s="1"/>
  <c r="L152" i="47"/>
  <c r="V152" i="47" s="1"/>
  <c r="W152" i="47" s="1"/>
  <c r="L64" i="47"/>
  <c r="V64" i="47" s="1"/>
  <c r="W64" i="47" s="1"/>
  <c r="L140" i="47"/>
  <c r="V140" i="47" s="1"/>
  <c r="W140" i="47" s="1"/>
  <c r="L112" i="47"/>
  <c r="V112" i="47" s="1"/>
  <c r="W112" i="47" s="1"/>
  <c r="L102" i="47"/>
  <c r="V102" i="47" s="1"/>
  <c r="W102" i="47" s="1"/>
  <c r="L90" i="47"/>
  <c r="V90" i="47" s="1"/>
  <c r="W90" i="47" s="1"/>
  <c r="L60" i="47"/>
  <c r="V60" i="47" s="1"/>
  <c r="W60" i="47" s="1"/>
  <c r="L108" i="47"/>
  <c r="V108" i="47" s="1"/>
  <c r="W108" i="47" s="1"/>
  <c r="L82" i="47"/>
  <c r="V82" i="47" s="1"/>
  <c r="W82" i="47" s="1"/>
  <c r="L72" i="47"/>
  <c r="V72" i="47" s="1"/>
  <c r="W72" i="47" s="1"/>
  <c r="L36" i="47"/>
  <c r="V36" i="47" s="1"/>
  <c r="W36" i="47" s="1"/>
  <c r="L144" i="47"/>
  <c r="V144" i="47" s="1"/>
  <c r="W144" i="47" s="1"/>
  <c r="L68" i="47"/>
  <c r="V68" i="47" s="1"/>
  <c r="W68" i="47" s="1"/>
  <c r="L26" i="47"/>
  <c r="V26" i="47" s="1"/>
  <c r="W26" i="47" s="1"/>
  <c r="L134" i="47"/>
  <c r="V134" i="47" s="1"/>
  <c r="L106" i="47"/>
  <c r="V106" i="47" s="1"/>
  <c r="W106" i="47" s="1"/>
  <c r="L88" i="47"/>
  <c r="V88" i="47" s="1"/>
  <c r="W88" i="47" s="1"/>
  <c r="L80" i="47"/>
  <c r="V80" i="47" s="1"/>
  <c r="W80" i="47" s="1"/>
  <c r="L66" i="47"/>
  <c r="V66" i="47" s="1"/>
  <c r="W66" i="47" s="1"/>
  <c r="L30" i="47"/>
  <c r="V30" i="47" s="1"/>
  <c r="W30" i="47" s="1"/>
  <c r="L76" i="47"/>
  <c r="V76" i="47" s="1"/>
  <c r="W76" i="47" s="1"/>
  <c r="L32" i="47"/>
  <c r="V32" i="47" s="1"/>
  <c r="W32" i="47" s="1"/>
  <c r="L40" i="47"/>
  <c r="V40" i="47" s="1"/>
  <c r="W40" i="47" s="1"/>
  <c r="P79" i="32"/>
  <c r="S79" i="32" s="1"/>
  <c r="W82" i="32"/>
  <c r="Y82" i="32" s="1"/>
  <c r="P88" i="32"/>
  <c r="S88" i="32" s="1"/>
  <c r="D78" i="41"/>
  <c r="F78" i="41" s="1"/>
  <c r="D86" i="41"/>
  <c r="F86" i="41" s="1"/>
  <c r="D94" i="41"/>
  <c r="F94" i="41" s="1"/>
  <c r="D102" i="41"/>
  <c r="F102" i="41" s="1"/>
  <c r="K104" i="47"/>
  <c r="K96" i="47"/>
  <c r="K114" i="47"/>
  <c r="K98" i="47"/>
  <c r="K112" i="47"/>
  <c r="K106" i="47"/>
  <c r="W83" i="32"/>
  <c r="Y83" i="32" s="1"/>
  <c r="P95" i="32"/>
  <c r="S95" i="32" s="1"/>
  <c r="AM117" i="47"/>
  <c r="AM101" i="47"/>
  <c r="AM99" i="47"/>
  <c r="AM109" i="47"/>
  <c r="E73" i="41"/>
  <c r="G73" i="41" s="1"/>
  <c r="D75" i="41"/>
  <c r="F75" i="41" s="1"/>
  <c r="D83" i="41"/>
  <c r="F83" i="41" s="1"/>
  <c r="D91" i="41"/>
  <c r="F91" i="41" s="1"/>
  <c r="D99" i="41"/>
  <c r="F99" i="41" s="1"/>
  <c r="L179" i="41"/>
  <c r="M179" i="41" s="1"/>
  <c r="K36" i="47"/>
  <c r="AM133" i="47"/>
  <c r="AM125" i="47"/>
  <c r="G263" i="41"/>
  <c r="Q94" i="32"/>
  <c r="Q86" i="32"/>
  <c r="Q77" i="32"/>
  <c r="W76" i="32" s="1"/>
  <c r="Y76" i="32" s="1"/>
  <c r="Q76" i="32"/>
  <c r="Q78" i="32"/>
  <c r="O193" i="47"/>
  <c r="Q193" i="47" s="1"/>
  <c r="O188" i="47"/>
  <c r="Q188" i="47" s="1"/>
  <c r="O192" i="47"/>
  <c r="Q192" i="47" s="1"/>
  <c r="O189" i="47"/>
  <c r="Q189" i="47" s="1"/>
  <c r="O194" i="47"/>
  <c r="Q194" i="47" s="1"/>
  <c r="O187" i="47"/>
  <c r="Q187" i="47" s="1"/>
  <c r="O186" i="47"/>
  <c r="Q186" i="47" s="1"/>
  <c r="O190" i="47"/>
  <c r="Q190" i="47" s="1"/>
  <c r="F179" i="47"/>
  <c r="O191" i="47"/>
  <c r="Q191" i="47" s="1"/>
  <c r="C159" i="41"/>
  <c r="C161" i="41" s="1"/>
  <c r="P87" i="32"/>
  <c r="S87" i="32" s="1"/>
  <c r="AM153" i="47"/>
  <c r="AM147" i="47"/>
  <c r="D77" i="41"/>
  <c r="F77" i="41" s="1"/>
  <c r="D85" i="41"/>
  <c r="F85" i="41" s="1"/>
  <c r="D93" i="41"/>
  <c r="F93" i="41" s="1"/>
  <c r="D101" i="41"/>
  <c r="F101" i="41" s="1"/>
  <c r="J185" i="51"/>
  <c r="J116" i="51"/>
  <c r="J134" i="51"/>
  <c r="J126" i="51"/>
  <c r="J34" i="51"/>
  <c r="J26" i="51"/>
  <c r="J173" i="51"/>
  <c r="J123" i="51"/>
  <c r="F111" i="51"/>
  <c r="F145" i="51"/>
  <c r="F121" i="51"/>
  <c r="J49" i="51"/>
  <c r="F21" i="51"/>
  <c r="J73" i="51"/>
  <c r="J85" i="51"/>
  <c r="J16" i="51"/>
  <c r="F11" i="51"/>
  <c r="F128" i="51"/>
  <c r="F28" i="51"/>
  <c r="J23" i="51"/>
  <c r="F45" i="51"/>
  <c r="Q87" i="32"/>
  <c r="D74" i="41"/>
  <c r="F74" i="41" s="1"/>
  <c r="D82" i="41"/>
  <c r="F82" i="41" s="1"/>
  <c r="D90" i="41"/>
  <c r="F90" i="41" s="1"/>
  <c r="D98" i="41"/>
  <c r="F98" i="41" s="1"/>
  <c r="J198" i="41"/>
  <c r="H199" i="41"/>
  <c r="L28" i="47"/>
  <c r="V28" i="47" s="1"/>
  <c r="W28" i="47" s="1"/>
  <c r="J188" i="51"/>
  <c r="J120" i="51"/>
  <c r="J178" i="51"/>
  <c r="J139" i="51"/>
  <c r="F119" i="51"/>
  <c r="J143" i="51"/>
  <c r="F113" i="51"/>
  <c r="J78" i="51"/>
  <c r="J39" i="51"/>
  <c r="F19" i="51"/>
  <c r="J43" i="51"/>
  <c r="J20" i="51"/>
  <c r="F13" i="51"/>
  <c r="J88" i="51"/>
  <c r="D79" i="41"/>
  <c r="F79" i="41" s="1"/>
  <c r="D87" i="41"/>
  <c r="F87" i="41" s="1"/>
  <c r="D95" i="41"/>
  <c r="F95" i="41" s="1"/>
  <c r="F108" i="41"/>
  <c r="F112" i="41"/>
  <c r="O263" i="41"/>
  <c r="M272" i="41"/>
  <c r="M273" i="41"/>
  <c r="M276" i="41"/>
  <c r="K276" i="41"/>
  <c r="L276" i="41" s="1"/>
  <c r="L10" i="47"/>
  <c r="C72" i="47" s="1"/>
  <c r="I199" i="41"/>
  <c r="K39" i="47"/>
  <c r="K37" i="47"/>
  <c r="K29" i="47"/>
  <c r="K71" i="47"/>
  <c r="K31" i="47"/>
  <c r="K33" i="47"/>
  <c r="S109" i="47"/>
  <c r="T109" i="47" s="1"/>
  <c r="K121" i="47"/>
  <c r="K87" i="47"/>
  <c r="AK37" i="47"/>
  <c r="M55" i="41"/>
  <c r="N275" i="41"/>
  <c r="L3" i="47"/>
  <c r="C65" i="47" s="1"/>
  <c r="L16" i="47"/>
  <c r="C78" i="47" s="1"/>
  <c r="L17" i="47"/>
  <c r="C79" i="47" s="1"/>
  <c r="AK61" i="47"/>
  <c r="L12" i="47"/>
  <c r="C74" i="47" s="1"/>
  <c r="AK25" i="47"/>
  <c r="K35" i="47"/>
  <c r="AI36" i="47"/>
  <c r="K92" i="47"/>
  <c r="K88" i="47"/>
  <c r="K76" i="47"/>
  <c r="K68" i="47"/>
  <c r="K62" i="47"/>
  <c r="K78" i="47"/>
  <c r="K66" i="47"/>
  <c r="K86" i="47"/>
  <c r="K84" i="47"/>
  <c r="K74" i="47"/>
  <c r="K64" i="47"/>
  <c r="K90" i="47"/>
  <c r="K60" i="47"/>
  <c r="K72" i="47"/>
  <c r="K94" i="47"/>
  <c r="K274" i="41"/>
  <c r="L7" i="47"/>
  <c r="C69" i="47" s="1"/>
  <c r="L11" i="47"/>
  <c r="C73" i="47" s="1"/>
  <c r="AI31" i="47"/>
  <c r="R14" i="51"/>
  <c r="AI37" i="47"/>
  <c r="AI50" i="47"/>
  <c r="AK63" i="47"/>
  <c r="AI83" i="47"/>
  <c r="AK89" i="47"/>
  <c r="AK94" i="47"/>
  <c r="AI95" i="47"/>
  <c r="AI109" i="47"/>
  <c r="AK116" i="47"/>
  <c r="AK128" i="47"/>
  <c r="AK137" i="47"/>
  <c r="AI45" i="47"/>
  <c r="AK66" i="47"/>
  <c r="AI69" i="47"/>
  <c r="AI72" i="47"/>
  <c r="AK92" i="47"/>
  <c r="T101" i="47"/>
  <c r="AK111" i="47"/>
  <c r="AI123" i="47"/>
  <c r="AI125" i="47"/>
  <c r="AK132" i="47"/>
  <c r="S125" i="47"/>
  <c r="T125" i="47" s="1"/>
  <c r="AI64" i="47"/>
  <c r="AK83" i="47"/>
  <c r="AI84" i="47"/>
  <c r="AI93" i="47"/>
  <c r="AK109" i="47"/>
  <c r="AI127" i="47"/>
  <c r="S153" i="47"/>
  <c r="AK40" i="47"/>
  <c r="AI67" i="47"/>
  <c r="AK69" i="47"/>
  <c r="AK79" i="47"/>
  <c r="AK125" i="47"/>
  <c r="AK126" i="47"/>
  <c r="AK135" i="47"/>
  <c r="S24" i="51"/>
  <c r="AI53" i="47"/>
  <c r="AK82" i="47"/>
  <c r="AK90" i="47"/>
  <c r="AI94" i="47"/>
  <c r="AK105" i="47"/>
  <c r="AK112" i="47"/>
  <c r="AI118" i="47"/>
  <c r="S14" i="51"/>
  <c r="R16" i="51"/>
  <c r="S18" i="51"/>
  <c r="R39" i="51"/>
  <c r="S116" i="51"/>
  <c r="AK110" i="47"/>
  <c r="AI115" i="47"/>
  <c r="AI124" i="47"/>
  <c r="AI150" i="47"/>
  <c r="S16" i="51"/>
  <c r="R24" i="51"/>
  <c r="S123" i="51"/>
  <c r="J111" i="51"/>
  <c r="J11" i="51"/>
  <c r="R22" i="51"/>
  <c r="R44" i="51"/>
  <c r="Q193" i="66"/>
  <c r="Q152" i="66"/>
  <c r="Q128" i="66"/>
  <c r="Q94" i="66"/>
  <c r="Q53" i="66"/>
  <c r="Q22" i="66"/>
  <c r="AI112" i="47"/>
  <c r="AK113" i="47"/>
  <c r="AK123" i="47"/>
  <c r="Q136" i="47"/>
  <c r="AI138" i="47"/>
  <c r="AK148" i="47"/>
  <c r="R17" i="51"/>
  <c r="R20" i="51"/>
  <c r="S22" i="51"/>
  <c r="R25" i="51"/>
  <c r="R41" i="51"/>
  <c r="AI116" i="47"/>
  <c r="Q135" i="47"/>
  <c r="AI137" i="47"/>
  <c r="AK154" i="47"/>
  <c r="E179" i="47"/>
  <c r="G179" i="47" s="1"/>
  <c r="S20" i="51"/>
  <c r="R32" i="51"/>
  <c r="J38" i="51"/>
  <c r="J165" i="51"/>
  <c r="J138" i="51"/>
  <c r="J65" i="51"/>
  <c r="R120" i="51"/>
  <c r="R126" i="51"/>
  <c r="Q127" i="47"/>
  <c r="Q129" i="47"/>
  <c r="AI131" i="47"/>
  <c r="AK140" i="47"/>
  <c r="AK142" i="47"/>
  <c r="Q151" i="47"/>
  <c r="AI156" i="47"/>
  <c r="R15" i="51"/>
  <c r="Q123" i="47"/>
  <c r="AI130" i="47"/>
  <c r="M206" i="47"/>
  <c r="M207" i="47" s="1"/>
  <c r="M208" i="47" s="1"/>
  <c r="M209" i="47" s="1"/>
  <c r="M210" i="47" s="1"/>
  <c r="M211" i="47" s="1"/>
  <c r="M212" i="47" s="1"/>
  <c r="M213" i="47" s="1"/>
  <c r="M214" i="47" s="1"/>
  <c r="M215" i="47" s="1"/>
  <c r="M216" i="47" s="1"/>
  <c r="M217" i="47" s="1"/>
  <c r="M218" i="47" s="1"/>
  <c r="M219" i="47" s="1"/>
  <c r="M220" i="47" s="1"/>
  <c r="M221" i="47" s="1"/>
  <c r="M222" i="47" s="1"/>
  <c r="M223" i="47" s="1"/>
  <c r="M224" i="47" s="1"/>
  <c r="M225" i="47" s="1"/>
  <c r="M226" i="47" s="1"/>
  <c r="M227" i="47" s="1"/>
  <c r="M228" i="47" s="1"/>
  <c r="M229" i="47" s="1"/>
  <c r="M230" i="47" s="1"/>
  <c r="M231" i="47" s="1"/>
  <c r="M232" i="47" s="1"/>
  <c r="M233" i="47" s="1"/>
  <c r="M234" i="47" s="1"/>
  <c r="M235" i="47" s="1"/>
  <c r="M236" i="47" s="1"/>
  <c r="M237" i="47" s="1"/>
  <c r="M238" i="47" s="1"/>
  <c r="M239" i="47" s="1"/>
  <c r="M240" i="47" s="1"/>
  <c r="M241" i="47" s="1"/>
  <c r="M242" i="47" s="1"/>
  <c r="M243" i="47" s="1"/>
  <c r="M244" i="47" s="1"/>
  <c r="M245" i="47" s="1"/>
  <c r="M246" i="47" s="1"/>
  <c r="M247" i="47" s="1"/>
  <c r="M248" i="47" s="1"/>
  <c r="M249" i="47" s="1"/>
  <c r="M250" i="47" s="1"/>
  <c r="M251" i="47" s="1"/>
  <c r="M252" i="47" s="1"/>
  <c r="M253" i="47" s="1"/>
  <c r="M254" i="47" s="1"/>
  <c r="R144" i="51"/>
  <c r="R139" i="51"/>
  <c r="R127" i="51"/>
  <c r="R125" i="51"/>
  <c r="R123" i="51"/>
  <c r="S121" i="51"/>
  <c r="S119" i="51"/>
  <c r="S117" i="51"/>
  <c r="S115" i="51"/>
  <c r="R131" i="51"/>
  <c r="S125" i="51"/>
  <c r="S118" i="51"/>
  <c r="R116" i="51"/>
  <c r="R43" i="51"/>
  <c r="S27" i="51"/>
  <c r="S25" i="51"/>
  <c r="S23" i="51"/>
  <c r="S127" i="51"/>
  <c r="R118" i="51"/>
  <c r="R141" i="51"/>
  <c r="R138" i="51"/>
  <c r="S122" i="51"/>
  <c r="S120" i="51"/>
  <c r="R115" i="51"/>
  <c r="R132" i="51"/>
  <c r="R122" i="51"/>
  <c r="R142" i="51"/>
  <c r="S128" i="51"/>
  <c r="R119" i="51"/>
  <c r="R128" i="51"/>
  <c r="R31" i="51"/>
  <c r="S26" i="51"/>
  <c r="R146" i="51"/>
  <c r="S124" i="51"/>
  <c r="S114" i="51"/>
  <c r="R38" i="51"/>
  <c r="R26" i="51"/>
  <c r="R145" i="51"/>
  <c r="R140" i="51"/>
  <c r="R124" i="51"/>
  <c r="R121" i="51"/>
  <c r="R117" i="51"/>
  <c r="R114" i="51"/>
  <c r="R42" i="51"/>
  <c r="R40" i="51"/>
  <c r="R23" i="51"/>
  <c r="S21" i="51"/>
  <c r="S19" i="51"/>
  <c r="S17" i="51"/>
  <c r="S15" i="51"/>
  <c r="R143" i="51"/>
  <c r="S126" i="51"/>
  <c r="R18" i="51"/>
  <c r="R21" i="51"/>
  <c r="J80" i="51"/>
  <c r="J180" i="51"/>
  <c r="J159" i="51"/>
  <c r="AI122" i="47"/>
  <c r="Q143" i="47"/>
  <c r="AI154" i="47"/>
  <c r="Q190" i="66"/>
  <c r="Q109" i="66"/>
  <c r="Q48" i="66"/>
  <c r="Q108" i="66"/>
  <c r="Q27" i="66"/>
  <c r="Q151" i="66"/>
  <c r="Q129" i="66"/>
  <c r="Q110" i="66"/>
  <c r="Q10" i="66"/>
  <c r="J153" i="51"/>
  <c r="J168" i="51"/>
  <c r="Q182" i="66"/>
  <c r="Q160" i="66"/>
  <c r="Q121" i="66"/>
  <c r="Q59" i="66"/>
  <c r="Q37" i="66"/>
  <c r="Q100" i="66"/>
  <c r="Q203" i="66"/>
  <c r="Q139" i="66"/>
  <c r="Q18" i="66"/>
  <c r="Q79" i="66"/>
  <c r="Q201" i="66"/>
  <c r="Q181" i="66"/>
  <c r="Q31" i="66"/>
  <c r="Q75" i="66"/>
  <c r="Q87" i="66"/>
  <c r="Q95" i="66"/>
  <c r="Q103" i="66"/>
  <c r="Q135" i="66"/>
  <c r="Q157" i="66"/>
  <c r="Q194" i="66"/>
  <c r="I58" i="55"/>
  <c r="I57" i="55"/>
  <c r="I56" i="55"/>
  <c r="I61" i="55"/>
  <c r="I60" i="55"/>
  <c r="I59" i="55"/>
  <c r="L24" i="55"/>
  <c r="I74" i="55"/>
  <c r="I76" i="55"/>
  <c r="I75" i="55"/>
  <c r="F29" i="55"/>
  <c r="G29" i="55" s="1"/>
  <c r="N29" i="55"/>
  <c r="M29" i="55"/>
  <c r="B29" i="55" s="1"/>
  <c r="D29" i="55" s="1"/>
  <c r="L29" i="55" s="1"/>
  <c r="L60" i="55"/>
  <c r="F62" i="55"/>
  <c r="G62" i="55" s="1"/>
  <c r="N62" i="55"/>
  <c r="M62" i="55"/>
  <c r="B62" i="55" s="1"/>
  <c r="D62" i="55" s="1"/>
  <c r="AA5" i="57"/>
  <c r="R2" i="57"/>
  <c r="Q24" i="66"/>
  <c r="Q188" i="66"/>
  <c r="Q169" i="66"/>
  <c r="Q208" i="66"/>
  <c r="Q32" i="66"/>
  <c r="Q153" i="66"/>
  <c r="Q142" i="66"/>
  <c r="Q189" i="66"/>
  <c r="Q125" i="66"/>
  <c r="Q154" i="66"/>
  <c r="F4" i="55"/>
  <c r="G4" i="55" s="1"/>
  <c r="M4" i="55"/>
  <c r="B4" i="55" s="1"/>
  <c r="D4" i="55" s="1"/>
  <c r="L4" i="55" s="1"/>
  <c r="F17" i="55"/>
  <c r="G17" i="55" s="1"/>
  <c r="M17" i="55"/>
  <c r="B17" i="55" s="1"/>
  <c r="D17" i="55" s="1"/>
  <c r="L17" i="55" s="1"/>
  <c r="L22" i="55"/>
  <c r="I97" i="55"/>
  <c r="I96" i="55"/>
  <c r="I95" i="55"/>
  <c r="L95" i="55" s="1"/>
  <c r="F39" i="55"/>
  <c r="G39" i="55" s="1"/>
  <c r="M39" i="55"/>
  <c r="B39" i="55" s="1"/>
  <c r="D39" i="55" s="1"/>
  <c r="L39" i="55" s="1"/>
  <c r="F46" i="55"/>
  <c r="G46" i="55" s="1"/>
  <c r="N46" i="55"/>
  <c r="M46" i="55"/>
  <c r="B46" i="55" s="1"/>
  <c r="D46" i="55" s="1"/>
  <c r="F53" i="55"/>
  <c r="G53" i="55" s="1"/>
  <c r="N53" i="55"/>
  <c r="M53" i="55"/>
  <c r="B53" i="55" s="1"/>
  <c r="F70" i="55"/>
  <c r="G70" i="55" s="1"/>
  <c r="N70" i="55"/>
  <c r="M70" i="55"/>
  <c r="B70" i="55" s="1"/>
  <c r="D70" i="55" s="1"/>
  <c r="F81" i="55"/>
  <c r="G81" i="55" s="1"/>
  <c r="N81" i="55"/>
  <c r="M81" i="55"/>
  <c r="B81" i="55" s="1"/>
  <c r="J43" i="30"/>
  <c r="M43" i="30" s="1"/>
  <c r="J45" i="30"/>
  <c r="M45" i="30" s="1"/>
  <c r="Q180" i="66"/>
  <c r="Q118" i="66"/>
  <c r="Q148" i="66"/>
  <c r="Q126" i="66"/>
  <c r="Q13" i="66"/>
  <c r="Q196" i="66"/>
  <c r="Q185" i="66"/>
  <c r="Q176" i="66"/>
  <c r="Q21" i="66"/>
  <c r="Q166" i="66"/>
  <c r="Q134" i="66"/>
  <c r="Q112" i="66"/>
  <c r="Q76" i="66"/>
  <c r="Q80" i="66"/>
  <c r="Q92" i="66"/>
  <c r="Q96" i="66"/>
  <c r="Q104" i="66"/>
  <c r="Q116" i="66"/>
  <c r="Q143" i="66"/>
  <c r="Q147" i="66"/>
  <c r="Q162" i="66"/>
  <c r="Q178" i="66"/>
  <c r="Q195" i="66"/>
  <c r="Q199" i="66"/>
  <c r="N4" i="55"/>
  <c r="F15" i="55"/>
  <c r="G15" i="55" s="1"/>
  <c r="M15" i="55"/>
  <c r="B15" i="55" s="1"/>
  <c r="D15" i="55" s="1"/>
  <c r="L15" i="55" s="1"/>
  <c r="N17" i="55"/>
  <c r="F23" i="55"/>
  <c r="G23" i="55" s="1"/>
  <c r="M23" i="55"/>
  <c r="B23" i="55" s="1"/>
  <c r="D23" i="55" s="1"/>
  <c r="L23" i="55" s="1"/>
  <c r="I73" i="55"/>
  <c r="I71" i="55"/>
  <c r="L71" i="55" s="1"/>
  <c r="I72" i="55"/>
  <c r="N39" i="55"/>
  <c r="I124" i="55"/>
  <c r="I123" i="55"/>
  <c r="I122" i="55"/>
  <c r="F89" i="55"/>
  <c r="G89" i="55" s="1"/>
  <c r="N89" i="55"/>
  <c r="M89" i="55"/>
  <c r="B89" i="55" s="1"/>
  <c r="Q172" i="66"/>
  <c r="Q132" i="66"/>
  <c r="Q150" i="66"/>
  <c r="Q200" i="66"/>
  <c r="Q26" i="66"/>
  <c r="Q184" i="66"/>
  <c r="Q173" i="66"/>
  <c r="Q123" i="66"/>
  <c r="Q155" i="66"/>
  <c r="Q170" i="66"/>
  <c r="Q187" i="66"/>
  <c r="Q191" i="66"/>
  <c r="F11" i="55"/>
  <c r="G11" i="55" s="1"/>
  <c r="M11" i="55"/>
  <c r="B11" i="55" s="1"/>
  <c r="D11" i="55" s="1"/>
  <c r="L11" i="55" s="1"/>
  <c r="F13" i="55"/>
  <c r="G13" i="55" s="1"/>
  <c r="M13" i="55"/>
  <c r="B13" i="55" s="1"/>
  <c r="L54" i="55"/>
  <c r="P58" i="63"/>
  <c r="Q204" i="66"/>
  <c r="Q140" i="66"/>
  <c r="Q19" i="66"/>
  <c r="Q35" i="66"/>
  <c r="Q73" i="66"/>
  <c r="Q77" i="66"/>
  <c r="Q81" i="66"/>
  <c r="Q85" i="66"/>
  <c r="Q89" i="66"/>
  <c r="Q97" i="66"/>
  <c r="Q101" i="66"/>
  <c r="Q105" i="66"/>
  <c r="Q133" i="66"/>
  <c r="Q137" i="66"/>
  <c r="Q159" i="66"/>
  <c r="Q163" i="66"/>
  <c r="Q179" i="66"/>
  <c r="Q183" i="66"/>
  <c r="F9" i="55"/>
  <c r="G9" i="55" s="1"/>
  <c r="M9" i="55"/>
  <c r="B9" i="55" s="1"/>
  <c r="D9" i="55" s="1"/>
  <c r="L9" i="55" s="1"/>
  <c r="N11" i="55"/>
  <c r="N13" i="55"/>
  <c r="F41" i="55"/>
  <c r="G41" i="55" s="1"/>
  <c r="N41" i="55"/>
  <c r="M41" i="55"/>
  <c r="B41" i="55" s="1"/>
  <c r="D41" i="55" s="1"/>
  <c r="F116" i="55"/>
  <c r="G116" i="55" s="1"/>
  <c r="N116" i="55"/>
  <c r="M116" i="55"/>
  <c r="B116" i="55" s="1"/>
  <c r="D116" i="55" s="1"/>
  <c r="Q8" i="66"/>
  <c r="Q28" i="66"/>
  <c r="Q36" i="66"/>
  <c r="Q72" i="66"/>
  <c r="Q111" i="66"/>
  <c r="Q114" i="66"/>
  <c r="Q117" i="66"/>
  <c r="Q130" i="66"/>
  <c r="Q171" i="66"/>
  <c r="Q175" i="66"/>
  <c r="I7" i="55"/>
  <c r="I5" i="55"/>
  <c r="L5" i="55" s="1"/>
  <c r="I6" i="55"/>
  <c r="F7" i="55"/>
  <c r="G7" i="55" s="1"/>
  <c r="M7" i="55"/>
  <c r="B7" i="55" s="1"/>
  <c r="D7" i="55" s="1"/>
  <c r="L7" i="55" s="1"/>
  <c r="N9" i="55"/>
  <c r="L31" i="55"/>
  <c r="Q161" i="66"/>
  <c r="Q120" i="66"/>
  <c r="Q40" i="66"/>
  <c r="Q42" i="66"/>
  <c r="Q43" i="66"/>
  <c r="Q44" i="66"/>
  <c r="Q46" i="66"/>
  <c r="Q47" i="66"/>
  <c r="Q49" i="66"/>
  <c r="Q51" i="66"/>
  <c r="Q52" i="66"/>
  <c r="Q54" i="66"/>
  <c r="Q56" i="66"/>
  <c r="Q63" i="66"/>
  <c r="Q65" i="66"/>
  <c r="Q66" i="66"/>
  <c r="Q68" i="66"/>
  <c r="Q69" i="66"/>
  <c r="Q70" i="66"/>
  <c r="Q74" i="66"/>
  <c r="Q78" i="66"/>
  <c r="Q82" i="66"/>
  <c r="Q86" i="66"/>
  <c r="Q98" i="66"/>
  <c r="Q102" i="66"/>
  <c r="Q124" i="66"/>
  <c r="Q127" i="66"/>
  <c r="Q141" i="66"/>
  <c r="Q210" i="66"/>
  <c r="I54" i="55"/>
  <c r="I53" i="55"/>
  <c r="I55" i="55"/>
  <c r="L55" i="55" s="1"/>
  <c r="N34" i="55"/>
  <c r="M34" i="55"/>
  <c r="B34" i="55" s="1"/>
  <c r="D34" i="55" s="1"/>
  <c r="Q20" i="66"/>
  <c r="Q30" i="66"/>
  <c r="Q177" i="66"/>
  <c r="Q206" i="66"/>
  <c r="Q198" i="66"/>
  <c r="Q106" i="66"/>
  <c r="Q115" i="66"/>
  <c r="Q138" i="66"/>
  <c r="Q202" i="66"/>
  <c r="N6" i="55"/>
  <c r="M6" i="55"/>
  <c r="B6" i="55" s="1"/>
  <c r="D6" i="55" s="1"/>
  <c r="I43" i="55"/>
  <c r="L43" i="55" s="1"/>
  <c r="I41" i="55"/>
  <c r="I42" i="55"/>
  <c r="L20" i="55"/>
  <c r="L21" i="55"/>
  <c r="N26" i="55"/>
  <c r="M26" i="55"/>
  <c r="B26" i="55" s="1"/>
  <c r="D26" i="55" s="1"/>
  <c r="L26" i="55" s="1"/>
  <c r="I100" i="55"/>
  <c r="I99" i="55"/>
  <c r="I98" i="55"/>
  <c r="L98" i="55" s="1"/>
  <c r="F37" i="55"/>
  <c r="G37" i="55" s="1"/>
  <c r="N37" i="55"/>
  <c r="M37" i="55"/>
  <c r="B37" i="55" s="1"/>
  <c r="D37" i="55" s="1"/>
  <c r="L37" i="55" s="1"/>
  <c r="N40" i="55"/>
  <c r="M40" i="55"/>
  <c r="B40" i="55" s="1"/>
  <c r="D40" i="55" s="1"/>
  <c r="L40" i="55" s="1"/>
  <c r="M19" i="55"/>
  <c r="B19" i="55" s="1"/>
  <c r="D19" i="55" s="1"/>
  <c r="L19" i="55" s="1"/>
  <c r="M25" i="55"/>
  <c r="B25" i="55" s="1"/>
  <c r="D25" i="55" s="1"/>
  <c r="L25" i="55" s="1"/>
  <c r="I82" i="55"/>
  <c r="L82" i="55" s="1"/>
  <c r="I80" i="55"/>
  <c r="L80" i="55" s="1"/>
  <c r="N30" i="55"/>
  <c r="M33" i="55"/>
  <c r="B33" i="55" s="1"/>
  <c r="D33" i="55" s="1"/>
  <c r="L33" i="55" s="1"/>
  <c r="I104" i="55"/>
  <c r="I106" i="55"/>
  <c r="I105" i="55"/>
  <c r="N38" i="55"/>
  <c r="I116" i="55"/>
  <c r="I118" i="55"/>
  <c r="I117" i="55"/>
  <c r="M51" i="55"/>
  <c r="B51" i="55" s="1"/>
  <c r="D51" i="55" s="1"/>
  <c r="L53" i="55"/>
  <c r="F54" i="55"/>
  <c r="G54" i="55" s="1"/>
  <c r="N54" i="55"/>
  <c r="M54" i="55"/>
  <c r="B54" i="55" s="1"/>
  <c r="M68" i="55"/>
  <c r="B68" i="55" s="1"/>
  <c r="D68" i="55" s="1"/>
  <c r="L68" i="55" s="1"/>
  <c r="L74" i="55"/>
  <c r="L76" i="55"/>
  <c r="L83" i="55"/>
  <c r="N96" i="55"/>
  <c r="F96" i="55"/>
  <c r="G96" i="55" s="1"/>
  <c r="F100" i="55"/>
  <c r="G100" i="55" s="1"/>
  <c r="N100" i="55"/>
  <c r="F104" i="55"/>
  <c r="G104" i="55" s="1"/>
  <c r="N104" i="55"/>
  <c r="M104" i="55"/>
  <c r="B104" i="55" s="1"/>
  <c r="D104" i="55" s="1"/>
  <c r="F120" i="55"/>
  <c r="G120" i="55" s="1"/>
  <c r="N120" i="55"/>
  <c r="M120" i="55"/>
  <c r="B120" i="55" s="1"/>
  <c r="D120" i="55" s="1"/>
  <c r="H80" i="63"/>
  <c r="F16" i="55"/>
  <c r="G16" i="55" s="1"/>
  <c r="F24" i="55"/>
  <c r="G24" i="55" s="1"/>
  <c r="I66" i="55"/>
  <c r="I65" i="55"/>
  <c r="N25" i="55"/>
  <c r="I26" i="55"/>
  <c r="M28" i="55"/>
  <c r="B28" i="55" s="1"/>
  <c r="D28" i="55" s="1"/>
  <c r="L28" i="55" s="1"/>
  <c r="F32" i="55"/>
  <c r="G32" i="55" s="1"/>
  <c r="I90" i="55"/>
  <c r="I89" i="55"/>
  <c r="N33" i="55"/>
  <c r="I34" i="55"/>
  <c r="M36" i="55"/>
  <c r="B36" i="55" s="1"/>
  <c r="D36" i="55" s="1"/>
  <c r="L36" i="55" s="1"/>
  <c r="I37" i="55"/>
  <c r="I40" i="55"/>
  <c r="I120" i="55"/>
  <c r="I119" i="55"/>
  <c r="I121" i="55"/>
  <c r="F50" i="55"/>
  <c r="G50" i="55" s="1"/>
  <c r="N50" i="55"/>
  <c r="M50" i="55"/>
  <c r="B50" i="55" s="1"/>
  <c r="D50" i="55" s="1"/>
  <c r="L50" i="55" s="1"/>
  <c r="M57" i="55"/>
  <c r="B57" i="55" s="1"/>
  <c r="D57" i="55" s="1"/>
  <c r="L57" i="55" s="1"/>
  <c r="N60" i="55"/>
  <c r="M65" i="55"/>
  <c r="B65" i="55" s="1"/>
  <c r="D65" i="55" s="1"/>
  <c r="L65" i="55" s="1"/>
  <c r="I81" i="55"/>
  <c r="L81" i="55" s="1"/>
  <c r="F91" i="55"/>
  <c r="G91" i="55" s="1"/>
  <c r="N91" i="55"/>
  <c r="M91" i="55"/>
  <c r="B91" i="55" s="1"/>
  <c r="M96" i="55"/>
  <c r="B96" i="55" s="1"/>
  <c r="M100" i="55"/>
  <c r="B100" i="55" s="1"/>
  <c r="M3" i="55"/>
  <c r="B3" i="55" s="1"/>
  <c r="D3" i="55" s="1"/>
  <c r="L3" i="55" s="1"/>
  <c r="I85" i="55"/>
  <c r="L85" i="55" s="1"/>
  <c r="I84" i="55"/>
  <c r="L84" i="55" s="1"/>
  <c r="N31" i="55"/>
  <c r="I32" i="55"/>
  <c r="L32" i="55" s="1"/>
  <c r="I108" i="55"/>
  <c r="I107" i="55"/>
  <c r="I109" i="55"/>
  <c r="N56" i="55"/>
  <c r="F93" i="55"/>
  <c r="G93" i="55" s="1"/>
  <c r="N93" i="55"/>
  <c r="M93" i="55"/>
  <c r="B93" i="55" s="1"/>
  <c r="N122" i="55"/>
  <c r="N118" i="55"/>
  <c r="N114" i="55"/>
  <c r="N110" i="55"/>
  <c r="N106" i="55"/>
  <c r="N102" i="55"/>
  <c r="N98" i="55"/>
  <c r="M122" i="55"/>
  <c r="B122" i="55" s="1"/>
  <c r="D122" i="55" s="1"/>
  <c r="M118" i="55"/>
  <c r="B118" i="55" s="1"/>
  <c r="D118" i="55" s="1"/>
  <c r="M114" i="55"/>
  <c r="B114" i="55" s="1"/>
  <c r="D114" i="55" s="1"/>
  <c r="L114" i="55" s="1"/>
  <c r="M110" i="55"/>
  <c r="B110" i="55" s="1"/>
  <c r="M106" i="55"/>
  <c r="B106" i="55" s="1"/>
  <c r="D106" i="55" s="1"/>
  <c r="M102" i="55"/>
  <c r="B102" i="55" s="1"/>
  <c r="M119" i="55"/>
  <c r="B119" i="55" s="1"/>
  <c r="D119" i="55" s="1"/>
  <c r="M103" i="55"/>
  <c r="B103" i="55" s="1"/>
  <c r="M76" i="55"/>
  <c r="B76" i="55" s="1"/>
  <c r="M123" i="55"/>
  <c r="B123" i="55" s="1"/>
  <c r="D123" i="55" s="1"/>
  <c r="L123" i="55" s="1"/>
  <c r="M115" i="55"/>
  <c r="B115" i="55" s="1"/>
  <c r="D115" i="55" s="1"/>
  <c r="N74" i="55"/>
  <c r="M99" i="55"/>
  <c r="B99" i="55" s="1"/>
  <c r="N94" i="55"/>
  <c r="M87" i="55"/>
  <c r="B87" i="55" s="1"/>
  <c r="M86" i="55"/>
  <c r="B86" i="55" s="1"/>
  <c r="M85" i="55"/>
  <c r="B85" i="55" s="1"/>
  <c r="M83" i="55"/>
  <c r="B83" i="55" s="1"/>
  <c r="M73" i="55"/>
  <c r="B73" i="55" s="1"/>
  <c r="M72" i="55"/>
  <c r="B72" i="55" s="1"/>
  <c r="M67" i="55"/>
  <c r="B67" i="55" s="1"/>
  <c r="D67" i="55" s="1"/>
  <c r="L67" i="55" s="1"/>
  <c r="M63" i="55"/>
  <c r="B63" i="55" s="1"/>
  <c r="D63" i="55" s="1"/>
  <c r="L63" i="55" s="1"/>
  <c r="M94" i="55"/>
  <c r="B94" i="55" s="1"/>
  <c r="M107" i="55"/>
  <c r="B107" i="55" s="1"/>
  <c r="D107" i="55" s="1"/>
  <c r="N22" i="55"/>
  <c r="I70" i="55"/>
  <c r="I69" i="55"/>
  <c r="I68" i="55"/>
  <c r="I94" i="55"/>
  <c r="I93" i="55"/>
  <c r="M49" i="55"/>
  <c r="B49" i="55" s="1"/>
  <c r="D49" i="55" s="1"/>
  <c r="L49" i="55" s="1"/>
  <c r="N52" i="55"/>
  <c r="M56" i="55"/>
  <c r="B56" i="55" s="1"/>
  <c r="D56" i="55" s="1"/>
  <c r="L56" i="55" s="1"/>
  <c r="N64" i="55"/>
  <c r="M69" i="55"/>
  <c r="B69" i="55" s="1"/>
  <c r="D69" i="55" s="1"/>
  <c r="L69" i="55" s="1"/>
  <c r="F71" i="55"/>
  <c r="G71" i="55" s="1"/>
  <c r="N71" i="55"/>
  <c r="M71" i="55"/>
  <c r="B71" i="55" s="1"/>
  <c r="M78" i="55"/>
  <c r="B78" i="55" s="1"/>
  <c r="N85" i="55"/>
  <c r="I87" i="55"/>
  <c r="L87" i="55" s="1"/>
  <c r="F90" i="55"/>
  <c r="G90" i="55" s="1"/>
  <c r="N90" i="55"/>
  <c r="M90" i="55"/>
  <c r="B90" i="55" s="1"/>
  <c r="F95" i="55"/>
  <c r="G95" i="55" s="1"/>
  <c r="N95" i="55"/>
  <c r="M95" i="55"/>
  <c r="B95" i="55" s="1"/>
  <c r="M111" i="55"/>
  <c r="B111" i="55" s="1"/>
  <c r="M8" i="55"/>
  <c r="B8" i="55" s="1"/>
  <c r="D8" i="55" s="1"/>
  <c r="L8" i="55" s="1"/>
  <c r="M10" i="55"/>
  <c r="B10" i="55" s="1"/>
  <c r="D10" i="55" s="1"/>
  <c r="L10" i="55" s="1"/>
  <c r="M12" i="55"/>
  <c r="B12" i="55" s="1"/>
  <c r="D12" i="55" s="1"/>
  <c r="L12" i="55" s="1"/>
  <c r="M14" i="55"/>
  <c r="B14" i="55" s="1"/>
  <c r="D14" i="55" s="1"/>
  <c r="L14" i="55" s="1"/>
  <c r="M18" i="55"/>
  <c r="B18" i="55" s="1"/>
  <c r="D18" i="55" s="1"/>
  <c r="L18" i="55" s="1"/>
  <c r="F19" i="55"/>
  <c r="G19" i="55" s="1"/>
  <c r="M20" i="55"/>
  <c r="B20" i="55" s="1"/>
  <c r="I78" i="55"/>
  <c r="L78" i="55" s="1"/>
  <c r="I79" i="55"/>
  <c r="L79" i="55" s="1"/>
  <c r="I77" i="55"/>
  <c r="I103" i="55"/>
  <c r="I102" i="55"/>
  <c r="I101" i="55"/>
  <c r="I38" i="55"/>
  <c r="L38" i="55" s="1"/>
  <c r="I112" i="55"/>
  <c r="L112" i="55" s="1"/>
  <c r="I111" i="55"/>
  <c r="I110" i="55"/>
  <c r="L110" i="55" s="1"/>
  <c r="N42" i="55"/>
  <c r="F43" i="55"/>
  <c r="G43" i="55" s="1"/>
  <c r="N43" i="55"/>
  <c r="M45" i="55"/>
  <c r="B45" i="55" s="1"/>
  <c r="D45" i="55" s="1"/>
  <c r="N49" i="55"/>
  <c r="M52" i="55"/>
  <c r="B52" i="55" s="1"/>
  <c r="D52" i="55" s="1"/>
  <c r="L52" i="55" s="1"/>
  <c r="M59" i="55"/>
  <c r="B59" i="55" s="1"/>
  <c r="D59" i="55" s="1"/>
  <c r="L59" i="55" s="1"/>
  <c r="M64" i="55"/>
  <c r="B64" i="55" s="1"/>
  <c r="D64" i="55" s="1"/>
  <c r="F66" i="55"/>
  <c r="G66" i="55" s="1"/>
  <c r="N66" i="55"/>
  <c r="M66" i="55"/>
  <c r="B66" i="55" s="1"/>
  <c r="D66" i="55" s="1"/>
  <c r="L66" i="55" s="1"/>
  <c r="N69" i="55"/>
  <c r="L75" i="55"/>
  <c r="N78" i="55"/>
  <c r="N80" i="55"/>
  <c r="F80" i="55"/>
  <c r="G80" i="55" s="1"/>
  <c r="M80" i="55"/>
  <c r="B80" i="55" s="1"/>
  <c r="I92" i="55"/>
  <c r="I46" i="55"/>
  <c r="I45" i="55"/>
  <c r="I44" i="55"/>
  <c r="L44" i="55" s="1"/>
  <c r="I50" i="55"/>
  <c r="I52" i="55"/>
  <c r="I62" i="55"/>
  <c r="I64" i="55"/>
  <c r="M27" i="55"/>
  <c r="B27" i="55" s="1"/>
  <c r="D27" i="55" s="1"/>
  <c r="L27" i="55" s="1"/>
  <c r="N32" i="55"/>
  <c r="M35" i="55"/>
  <c r="B35" i="55" s="1"/>
  <c r="D35" i="55" s="1"/>
  <c r="L35" i="55" s="1"/>
  <c r="I115" i="55"/>
  <c r="I114" i="55"/>
  <c r="I113" i="55"/>
  <c r="M42" i="55"/>
  <c r="B42" i="55" s="1"/>
  <c r="D42" i="55" s="1"/>
  <c r="N44" i="55"/>
  <c r="N45" i="55"/>
  <c r="N48" i="55"/>
  <c r="I51" i="55"/>
  <c r="F58" i="55"/>
  <c r="G58" i="55" s="1"/>
  <c r="N58" i="55"/>
  <c r="M58" i="55"/>
  <c r="B58" i="55" s="1"/>
  <c r="D58" i="55" s="1"/>
  <c r="L58" i="55" s="1"/>
  <c r="M61" i="55"/>
  <c r="B61" i="55" s="1"/>
  <c r="D61" i="55" s="1"/>
  <c r="L61" i="55" s="1"/>
  <c r="L72" i="55"/>
  <c r="N73" i="55"/>
  <c r="M77" i="55"/>
  <c r="B77" i="55" s="1"/>
  <c r="F82" i="55"/>
  <c r="G82" i="55" s="1"/>
  <c r="N82" i="55"/>
  <c r="M82" i="55"/>
  <c r="B82" i="55" s="1"/>
  <c r="L86" i="55"/>
  <c r="N92" i="55"/>
  <c r="F92" i="55"/>
  <c r="G92" i="55" s="1"/>
  <c r="M92" i="55"/>
  <c r="B92" i="55" s="1"/>
  <c r="N97" i="55"/>
  <c r="F124" i="55"/>
  <c r="G124" i="55" s="1"/>
  <c r="N124" i="55"/>
  <c r="M124" i="55"/>
  <c r="B124" i="55" s="1"/>
  <c r="D124" i="55" s="1"/>
  <c r="L124" i="55" s="1"/>
  <c r="N72" i="55"/>
  <c r="L77" i="55"/>
  <c r="N79" i="55"/>
  <c r="F87" i="55"/>
  <c r="G87" i="55" s="1"/>
  <c r="N87" i="55"/>
  <c r="N88" i="55"/>
  <c r="L99" i="55"/>
  <c r="I48" i="55"/>
  <c r="L48" i="55" s="1"/>
  <c r="F77" i="55"/>
  <c r="G77" i="55" s="1"/>
  <c r="N84" i="55"/>
  <c r="M88" i="55"/>
  <c r="B88" i="55" s="1"/>
  <c r="F99" i="55"/>
  <c r="G99" i="55" s="1"/>
  <c r="N99" i="55"/>
  <c r="F112" i="55"/>
  <c r="G112" i="55" s="1"/>
  <c r="N112" i="55"/>
  <c r="M112" i="55"/>
  <c r="B112" i="55" s="1"/>
  <c r="J47" i="30"/>
  <c r="M47" i="30" s="1"/>
  <c r="J41" i="30"/>
  <c r="M41" i="30" s="1"/>
  <c r="F231" i="63"/>
  <c r="H231" i="63" s="1"/>
  <c r="N226" i="63"/>
  <c r="P226" i="63" s="1"/>
  <c r="F223" i="63"/>
  <c r="H223" i="63" s="1"/>
  <c r="N218" i="63"/>
  <c r="P218" i="63" s="1"/>
  <c r="N215" i="63"/>
  <c r="P215" i="63" s="1"/>
  <c r="N210" i="63"/>
  <c r="P210" i="63" s="1"/>
  <c r="F204" i="63"/>
  <c r="H204" i="63" s="1"/>
  <c r="F200" i="63"/>
  <c r="H200" i="63" s="1"/>
  <c r="N196" i="63"/>
  <c r="P196" i="63" s="1"/>
  <c r="F192" i="63"/>
  <c r="H192" i="63" s="1"/>
  <c r="F188" i="63"/>
  <c r="H188" i="63" s="1"/>
  <c r="F184" i="63"/>
  <c r="H184" i="63" s="1"/>
  <c r="F180" i="63"/>
  <c r="H180" i="63" s="1"/>
  <c r="N176" i="63"/>
  <c r="P176" i="63" s="1"/>
  <c r="F167" i="63"/>
  <c r="N164" i="63"/>
  <c r="P164" i="63" s="1"/>
  <c r="F228" i="63"/>
  <c r="H228" i="63" s="1"/>
  <c r="F224" i="63"/>
  <c r="H224" i="63" s="1"/>
  <c r="N219" i="63"/>
  <c r="P219" i="63" s="1"/>
  <c r="N211" i="63"/>
  <c r="P211" i="63" s="1"/>
  <c r="F207" i="63"/>
  <c r="H207" i="63" s="1"/>
  <c r="N202" i="63"/>
  <c r="P202" i="63" s="1"/>
  <c r="N198" i="63"/>
  <c r="P198" i="63" s="1"/>
  <c r="N194" i="63"/>
  <c r="P194" i="63" s="1"/>
  <c r="N186" i="63"/>
  <c r="P186" i="63" s="1"/>
  <c r="N182" i="63"/>
  <c r="P182" i="63" s="1"/>
  <c r="N178" i="63"/>
  <c r="P178" i="63" s="1"/>
  <c r="N174" i="63"/>
  <c r="P174" i="63" s="1"/>
  <c r="F172" i="63"/>
  <c r="H172" i="63" s="1"/>
  <c r="F166" i="63"/>
  <c r="H165" i="63" s="1"/>
  <c r="F233" i="63"/>
  <c r="H233" i="63" s="1"/>
  <c r="F225" i="63"/>
  <c r="H225" i="63" s="1"/>
  <c r="N220" i="63"/>
  <c r="P220" i="63" s="1"/>
  <c r="N212" i="63"/>
  <c r="P212" i="63" s="1"/>
  <c r="F209" i="63"/>
  <c r="H209" i="63" s="1"/>
  <c r="F205" i="63"/>
  <c r="H205" i="63" s="1"/>
  <c r="F201" i="63"/>
  <c r="H201" i="63" s="1"/>
  <c r="F193" i="63"/>
  <c r="H193" i="63" s="1"/>
  <c r="F189" i="63"/>
  <c r="H189" i="63" s="1"/>
  <c r="F185" i="63"/>
  <c r="H185" i="63" s="1"/>
  <c r="F181" i="63"/>
  <c r="H181" i="63" s="1"/>
  <c r="F173" i="63"/>
  <c r="H173" i="63" s="1"/>
  <c r="F230" i="63"/>
  <c r="H230" i="63" s="1"/>
  <c r="F226" i="63"/>
  <c r="H226" i="63" s="1"/>
  <c r="N221" i="63"/>
  <c r="P221" i="63" s="1"/>
  <c r="F218" i="63"/>
  <c r="N213" i="63"/>
  <c r="P213" i="63" s="1"/>
  <c r="F210" i="63"/>
  <c r="H210" i="63" s="1"/>
  <c r="N203" i="63"/>
  <c r="P203" i="63" s="1"/>
  <c r="N199" i="63"/>
  <c r="P199" i="63" s="1"/>
  <c r="N195" i="63"/>
  <c r="P195" i="63" s="1"/>
  <c r="N187" i="63"/>
  <c r="P187" i="63" s="1"/>
  <c r="N183" i="63"/>
  <c r="P183" i="63" s="1"/>
  <c r="N179" i="63"/>
  <c r="P179" i="63" s="1"/>
  <c r="N175" i="63"/>
  <c r="P175" i="63" s="1"/>
  <c r="N169" i="63"/>
  <c r="P169" i="63" s="1"/>
  <c r="F164" i="63"/>
  <c r="H163" i="63" s="1"/>
  <c r="N161" i="63"/>
  <c r="P161" i="63" s="1"/>
  <c r="F235" i="63"/>
  <c r="H235" i="63" s="1"/>
  <c r="F227" i="63"/>
  <c r="H227" i="63" s="1"/>
  <c r="N222" i="63"/>
  <c r="P222" i="63" s="1"/>
  <c r="F219" i="63"/>
  <c r="H219" i="63" s="1"/>
  <c r="N216" i="63"/>
  <c r="P216" i="63" s="1"/>
  <c r="N214" i="63"/>
  <c r="P214" i="63" s="1"/>
  <c r="F211" i="63"/>
  <c r="H211" i="63" s="1"/>
  <c r="F206" i="63"/>
  <c r="H206" i="63" s="1"/>
  <c r="F202" i="63"/>
  <c r="H202" i="63" s="1"/>
  <c r="F194" i="63"/>
  <c r="H194" i="63" s="1"/>
  <c r="F191" i="63"/>
  <c r="H191" i="63" s="1"/>
  <c r="F186" i="63"/>
  <c r="H186" i="63" s="1"/>
  <c r="F182" i="63"/>
  <c r="H182" i="63" s="1"/>
  <c r="F174" i="63"/>
  <c r="H174" i="63" s="1"/>
  <c r="N168" i="63"/>
  <c r="P168" i="63" s="1"/>
  <c r="F232" i="63"/>
  <c r="H232" i="63" s="1"/>
  <c r="N223" i="63"/>
  <c r="P223" i="63" s="1"/>
  <c r="F220" i="63"/>
  <c r="H220" i="63" s="1"/>
  <c r="F212" i="63"/>
  <c r="H212" i="63" s="1"/>
  <c r="N204" i="63"/>
  <c r="P204" i="63" s="1"/>
  <c r="N200" i="63"/>
  <c r="P200" i="63" s="1"/>
  <c r="N197" i="63"/>
  <c r="P197" i="63" s="1"/>
  <c r="N192" i="63"/>
  <c r="P192" i="63" s="1"/>
  <c r="N188" i="63"/>
  <c r="P188" i="63" s="1"/>
  <c r="N184" i="63"/>
  <c r="P184" i="63" s="1"/>
  <c r="N180" i="63"/>
  <c r="P180" i="63" s="1"/>
  <c r="N177" i="63"/>
  <c r="P177" i="63" s="1"/>
  <c r="F170" i="63"/>
  <c r="H170" i="63" s="1"/>
  <c r="N167" i="63"/>
  <c r="P167" i="63" s="1"/>
  <c r="N162" i="63"/>
  <c r="P162" i="63" s="1"/>
  <c r="F229" i="63"/>
  <c r="H229" i="63" s="1"/>
  <c r="N224" i="63"/>
  <c r="P224" i="63" s="1"/>
  <c r="F221" i="63"/>
  <c r="H221" i="63" s="1"/>
  <c r="F213" i="63"/>
  <c r="H213" i="63" s="1"/>
  <c r="F208" i="63"/>
  <c r="H208" i="63" s="1"/>
  <c r="F203" i="63"/>
  <c r="H203" i="63" s="1"/>
  <c r="F199" i="63"/>
  <c r="F195" i="63"/>
  <c r="H195" i="63" s="1"/>
  <c r="F187" i="63"/>
  <c r="H187" i="63" s="1"/>
  <c r="F183" i="63"/>
  <c r="H183" i="63" s="1"/>
  <c r="F179" i="63"/>
  <c r="F175" i="63"/>
  <c r="H175" i="63" s="1"/>
  <c r="F169" i="63"/>
  <c r="H169" i="63" s="1"/>
  <c r="N166" i="63"/>
  <c r="P166" i="63" s="1"/>
  <c r="F161" i="63"/>
  <c r="F156" i="63"/>
  <c r="H156" i="63" s="1"/>
  <c r="F234" i="63"/>
  <c r="H234" i="63" s="1"/>
  <c r="N225" i="63"/>
  <c r="P225" i="63" s="1"/>
  <c r="F222" i="63"/>
  <c r="H222" i="63" s="1"/>
  <c r="N217" i="63"/>
  <c r="P217" i="63" s="1"/>
  <c r="F214" i="63"/>
  <c r="H214" i="63" s="1"/>
  <c r="N209" i="63"/>
  <c r="P209" i="63" s="1"/>
  <c r="F151" i="63"/>
  <c r="H151" i="63" s="1"/>
  <c r="N148" i="63"/>
  <c r="P148" i="63" s="1"/>
  <c r="F143" i="63"/>
  <c r="F135" i="63"/>
  <c r="H135" i="63" s="1"/>
  <c r="F133" i="63"/>
  <c r="H133" i="63" s="1"/>
  <c r="F127" i="63"/>
  <c r="H127" i="63" s="1"/>
  <c r="N124" i="63"/>
  <c r="P124" i="63" s="1"/>
  <c r="N116" i="63"/>
  <c r="P116" i="63" s="1"/>
  <c r="F111" i="63"/>
  <c r="H111" i="63" s="1"/>
  <c r="F109" i="63"/>
  <c r="H109" i="63" s="1"/>
  <c r="F103" i="63"/>
  <c r="H103" i="63" s="1"/>
  <c r="F95" i="63"/>
  <c r="H95" i="63" s="1"/>
  <c r="N92" i="63"/>
  <c r="P92" i="63" s="1"/>
  <c r="N87" i="63"/>
  <c r="P87" i="63" s="1"/>
  <c r="N84" i="63"/>
  <c r="P84" i="63" s="1"/>
  <c r="N76" i="63"/>
  <c r="P76" i="63" s="1"/>
  <c r="N205" i="63"/>
  <c r="P205" i="63" s="1"/>
  <c r="F150" i="63"/>
  <c r="H150" i="63" s="1"/>
  <c r="N147" i="63"/>
  <c r="P147" i="63" s="1"/>
  <c r="N139" i="63"/>
  <c r="P139" i="63" s="1"/>
  <c r="F134" i="63"/>
  <c r="H134" i="63" s="1"/>
  <c r="N131" i="63"/>
  <c r="P131" i="63" s="1"/>
  <c r="F126" i="63"/>
  <c r="H126" i="63" s="1"/>
  <c r="N123" i="63"/>
  <c r="P123" i="63" s="1"/>
  <c r="F118" i="63"/>
  <c r="H118" i="63" s="1"/>
  <c r="N115" i="63"/>
  <c r="P115" i="63" s="1"/>
  <c r="F110" i="63"/>
  <c r="H110" i="63" s="1"/>
  <c r="N107" i="63"/>
  <c r="P107" i="63" s="1"/>
  <c r="Q106" i="63" s="1"/>
  <c r="F102" i="63"/>
  <c r="H102" i="63" s="1"/>
  <c r="F100" i="63"/>
  <c r="H100" i="63" s="1"/>
  <c r="F94" i="63"/>
  <c r="H94" i="63" s="1"/>
  <c r="F86" i="63"/>
  <c r="H86" i="63" s="1"/>
  <c r="N83" i="63"/>
  <c r="P83" i="63" s="1"/>
  <c r="N75" i="63"/>
  <c r="P75" i="63" s="1"/>
  <c r="F190" i="63"/>
  <c r="H190" i="63" s="1"/>
  <c r="N165" i="63"/>
  <c r="P165" i="63" s="1"/>
  <c r="N159" i="63"/>
  <c r="P159" i="63" s="1"/>
  <c r="N153" i="63"/>
  <c r="P153" i="63" s="1"/>
  <c r="F152" i="63"/>
  <c r="H152" i="63" s="1"/>
  <c r="F149" i="63"/>
  <c r="H149" i="63" s="1"/>
  <c r="N146" i="63"/>
  <c r="P146" i="63" s="1"/>
  <c r="N138" i="63"/>
  <c r="P138" i="63" s="1"/>
  <c r="N130" i="63"/>
  <c r="P130" i="63" s="1"/>
  <c r="F125" i="63"/>
  <c r="H125" i="63" s="1"/>
  <c r="N122" i="63"/>
  <c r="P122" i="63" s="1"/>
  <c r="F117" i="63"/>
  <c r="H117" i="63" s="1"/>
  <c r="N114" i="63"/>
  <c r="P114" i="63" s="1"/>
  <c r="F101" i="63"/>
  <c r="H101" i="63" s="1"/>
  <c r="N98" i="63"/>
  <c r="P98" i="63" s="1"/>
  <c r="F93" i="63"/>
  <c r="H93" i="63" s="1"/>
  <c r="N88" i="63"/>
  <c r="P88" i="63" s="1"/>
  <c r="F85" i="63"/>
  <c r="H85" i="63" s="1"/>
  <c r="N82" i="63"/>
  <c r="P82" i="63" s="1"/>
  <c r="N74" i="63"/>
  <c r="P74" i="63" s="1"/>
  <c r="N201" i="63"/>
  <c r="P201" i="63" s="1"/>
  <c r="N193" i="63"/>
  <c r="P193" i="63" s="1"/>
  <c r="F162" i="63"/>
  <c r="H162" i="63" s="1"/>
  <c r="N154" i="63"/>
  <c r="P154" i="63" s="1"/>
  <c r="F148" i="63"/>
  <c r="H148" i="63" s="1"/>
  <c r="N145" i="63"/>
  <c r="P145" i="63" s="1"/>
  <c r="N137" i="63"/>
  <c r="P137" i="63" s="1"/>
  <c r="N132" i="63"/>
  <c r="P132" i="63" s="1"/>
  <c r="N129" i="63"/>
  <c r="P129" i="63" s="1"/>
  <c r="F124" i="63"/>
  <c r="H124" i="63" s="1"/>
  <c r="F116" i="63"/>
  <c r="H116" i="63" s="1"/>
  <c r="N113" i="63"/>
  <c r="P113" i="63" s="1"/>
  <c r="N108" i="63"/>
  <c r="P108" i="63" s="1"/>
  <c r="N97" i="63"/>
  <c r="P97" i="63" s="1"/>
  <c r="F92" i="63"/>
  <c r="F87" i="63"/>
  <c r="H87" i="63" s="1"/>
  <c r="F84" i="63"/>
  <c r="H84" i="63" s="1"/>
  <c r="N81" i="63"/>
  <c r="P81" i="63" s="1"/>
  <c r="F76" i="63"/>
  <c r="H76" i="63" s="1"/>
  <c r="N185" i="63"/>
  <c r="P185" i="63" s="1"/>
  <c r="F165" i="63"/>
  <c r="H164" i="63" s="1"/>
  <c r="N163" i="63"/>
  <c r="P163" i="63" s="1"/>
  <c r="N160" i="63"/>
  <c r="P160" i="63" s="1"/>
  <c r="F157" i="63"/>
  <c r="H157" i="63" s="1"/>
  <c r="F147" i="63"/>
  <c r="H147" i="63" s="1"/>
  <c r="N144" i="63"/>
  <c r="P144" i="63" s="1"/>
  <c r="F139" i="63"/>
  <c r="H139" i="63" s="1"/>
  <c r="N136" i="63"/>
  <c r="P136" i="63" s="1"/>
  <c r="F131" i="63"/>
  <c r="H131" i="63" s="1"/>
  <c r="N128" i="63"/>
  <c r="P128" i="63" s="1"/>
  <c r="F123" i="63"/>
  <c r="H123" i="63" s="1"/>
  <c r="F115" i="63"/>
  <c r="H115" i="63" s="1"/>
  <c r="N112" i="63"/>
  <c r="P112" i="63" s="1"/>
  <c r="F107" i="63"/>
  <c r="N99" i="63"/>
  <c r="P99" i="63" s="1"/>
  <c r="N96" i="63"/>
  <c r="P96" i="63" s="1"/>
  <c r="F83" i="63"/>
  <c r="H83" i="63" s="1"/>
  <c r="N80" i="63"/>
  <c r="P80" i="63" s="1"/>
  <c r="Q79" i="63" s="1"/>
  <c r="F75" i="63"/>
  <c r="H75" i="63" s="1"/>
  <c r="F171" i="63"/>
  <c r="H171" i="63" s="1"/>
  <c r="F153" i="63"/>
  <c r="H153" i="63" s="1"/>
  <c r="N151" i="63"/>
  <c r="P151" i="63" s="1"/>
  <c r="F146" i="63"/>
  <c r="H146" i="63" s="1"/>
  <c r="N143" i="63"/>
  <c r="P143" i="63" s="1"/>
  <c r="F138" i="63"/>
  <c r="H138" i="63" s="1"/>
  <c r="N135" i="63"/>
  <c r="P135" i="63" s="1"/>
  <c r="N133" i="63"/>
  <c r="P133" i="63" s="1"/>
  <c r="F130" i="63"/>
  <c r="H130" i="63" s="1"/>
  <c r="N127" i="63"/>
  <c r="P127" i="63" s="1"/>
  <c r="F122" i="63"/>
  <c r="F114" i="63"/>
  <c r="H114" i="63" s="1"/>
  <c r="N111" i="63"/>
  <c r="P111" i="63" s="1"/>
  <c r="N109" i="63"/>
  <c r="P109" i="63" s="1"/>
  <c r="N103" i="63"/>
  <c r="P103" i="63" s="1"/>
  <c r="F98" i="63"/>
  <c r="H98" i="63" s="1"/>
  <c r="N95" i="63"/>
  <c r="P95" i="63" s="1"/>
  <c r="F88" i="63"/>
  <c r="H88" i="63" s="1"/>
  <c r="F82" i="63"/>
  <c r="H82" i="63" s="1"/>
  <c r="F74" i="63"/>
  <c r="N181" i="63"/>
  <c r="P181" i="63" s="1"/>
  <c r="N173" i="63"/>
  <c r="P173" i="63" s="1"/>
  <c r="F163" i="63"/>
  <c r="N158" i="63"/>
  <c r="P158" i="63" s="1"/>
  <c r="F155" i="63"/>
  <c r="H155" i="63" s="1"/>
  <c r="F154" i="63"/>
  <c r="H154" i="63" s="1"/>
  <c r="N150" i="63"/>
  <c r="P150" i="63" s="1"/>
  <c r="F145" i="63"/>
  <c r="H145" i="63" s="1"/>
  <c r="F137" i="63"/>
  <c r="H137" i="63" s="1"/>
  <c r="N134" i="63"/>
  <c r="P134" i="63" s="1"/>
  <c r="F132" i="63"/>
  <c r="H132" i="63" s="1"/>
  <c r="F129" i="63"/>
  <c r="H129" i="63" s="1"/>
  <c r="N126" i="63"/>
  <c r="P126" i="63" s="1"/>
  <c r="N118" i="63"/>
  <c r="P118" i="63" s="1"/>
  <c r="F113" i="63"/>
  <c r="H113" i="63" s="1"/>
  <c r="N110" i="63"/>
  <c r="P110" i="63" s="1"/>
  <c r="F108" i="63"/>
  <c r="H108" i="63" s="1"/>
  <c r="N102" i="63"/>
  <c r="P102" i="63" s="1"/>
  <c r="N100" i="63"/>
  <c r="P100" i="63" s="1"/>
  <c r="F97" i="63"/>
  <c r="H97" i="63" s="1"/>
  <c r="N94" i="63"/>
  <c r="P94" i="63" s="1"/>
  <c r="N86" i="63"/>
  <c r="P86" i="63" s="1"/>
  <c r="F81" i="63"/>
  <c r="H81" i="63" s="1"/>
  <c r="N149" i="63"/>
  <c r="P149" i="63" s="1"/>
  <c r="F128" i="63"/>
  <c r="H128" i="63" s="1"/>
  <c r="N93" i="63"/>
  <c r="P93" i="63" s="1"/>
  <c r="F112" i="63"/>
  <c r="H112" i="63" s="1"/>
  <c r="N125" i="63"/>
  <c r="P125" i="63" s="1"/>
  <c r="N85" i="63"/>
  <c r="P85" i="63" s="1"/>
  <c r="F144" i="63"/>
  <c r="H144" i="63" s="1"/>
  <c r="F99" i="63"/>
  <c r="H99" i="63" s="1"/>
  <c r="N152" i="63"/>
  <c r="P152" i="63" s="1"/>
  <c r="N117" i="63"/>
  <c r="P117" i="63" s="1"/>
  <c r="L96" i="55"/>
  <c r="F108" i="55"/>
  <c r="G108" i="55" s="1"/>
  <c r="N108" i="55"/>
  <c r="M108" i="55"/>
  <c r="B108" i="55" s="1"/>
  <c r="D108" i="55" s="1"/>
  <c r="N47" i="55"/>
  <c r="N51" i="55"/>
  <c r="N55" i="55"/>
  <c r="N59" i="55"/>
  <c r="N63" i="55"/>
  <c r="N67" i="55"/>
  <c r="N76" i="55"/>
  <c r="N83" i="55"/>
  <c r="M84" i="55"/>
  <c r="B84" i="55" s="1"/>
  <c r="N86" i="55"/>
  <c r="I44" i="30"/>
  <c r="L44" i="30" s="1"/>
  <c r="G13" i="30"/>
  <c r="I46" i="30"/>
  <c r="L46" i="30" s="1"/>
  <c r="I42" i="30"/>
  <c r="L42" i="30" s="1"/>
  <c r="R42" i="30" s="1"/>
  <c r="G15" i="30"/>
  <c r="N61" i="63"/>
  <c r="M75" i="55"/>
  <c r="B75" i="55" s="1"/>
  <c r="L88" i="55"/>
  <c r="L100" i="55"/>
  <c r="L111" i="55"/>
  <c r="O61" i="63"/>
  <c r="M61" i="63"/>
  <c r="F72" i="55"/>
  <c r="G72" i="55" s="1"/>
  <c r="L73" i="55"/>
  <c r="N75" i="55"/>
  <c r="M97" i="55"/>
  <c r="B97" i="55" s="1"/>
  <c r="N103" i="55"/>
  <c r="N107" i="55"/>
  <c r="N111" i="55"/>
  <c r="N115" i="55"/>
  <c r="N119" i="55"/>
  <c r="N123" i="55"/>
  <c r="I13" i="30"/>
  <c r="K44" i="30"/>
  <c r="N44" i="30" s="1"/>
  <c r="O46" i="30"/>
  <c r="K56" i="63"/>
  <c r="N56" i="63" s="1"/>
  <c r="J59" i="63"/>
  <c r="K65" i="63"/>
  <c r="P46" i="30"/>
  <c r="U67" i="63"/>
  <c r="X122" i="63"/>
  <c r="I15" i="30"/>
  <c r="F20" i="30"/>
  <c r="K54" i="63"/>
  <c r="N55" i="63" s="1"/>
  <c r="K64" i="63"/>
  <c r="M101" i="55"/>
  <c r="B101" i="55" s="1"/>
  <c r="M105" i="55"/>
  <c r="B105" i="55" s="1"/>
  <c r="D105" i="55" s="1"/>
  <c r="L105" i="55" s="1"/>
  <c r="M109" i="55"/>
  <c r="B109" i="55" s="1"/>
  <c r="D109" i="55" s="1"/>
  <c r="L109" i="55" s="1"/>
  <c r="M113" i="55"/>
  <c r="B113" i="55" s="1"/>
  <c r="D113" i="55" s="1"/>
  <c r="L113" i="55" s="1"/>
  <c r="M117" i="55"/>
  <c r="B117" i="55" s="1"/>
  <c r="D117" i="55" s="1"/>
  <c r="M121" i="55"/>
  <c r="B121" i="55" s="1"/>
  <c r="D121" i="55" s="1"/>
  <c r="E22" i="30"/>
  <c r="J42" i="30"/>
  <c r="M42" i="30" s="1"/>
  <c r="M58" i="63"/>
  <c r="K60" i="63"/>
  <c r="N60" i="63" s="1"/>
  <c r="N101" i="55"/>
  <c r="N105" i="55"/>
  <c r="N109" i="55"/>
  <c r="N113" i="55"/>
  <c r="N117" i="55"/>
  <c r="N121" i="55"/>
  <c r="K42" i="30"/>
  <c r="N42" i="30" s="1"/>
  <c r="M60" i="63"/>
  <c r="O62" i="63"/>
  <c r="C7" i="30"/>
  <c r="G21" i="30" s="1"/>
  <c r="P62" i="63"/>
  <c r="N62" i="63"/>
  <c r="E19" i="30"/>
  <c r="M62" i="63"/>
  <c r="V75" i="63"/>
  <c r="V83" i="63"/>
  <c r="X83" i="63" s="1"/>
  <c r="V89" i="63"/>
  <c r="V91" i="63"/>
  <c r="X91" i="63" s="1"/>
  <c r="V115" i="63"/>
  <c r="X115" i="63" s="1"/>
  <c r="V123" i="63"/>
  <c r="X123" i="63" s="1"/>
  <c r="V139" i="63"/>
  <c r="X139" i="63" s="1"/>
  <c r="V147" i="63"/>
  <c r="X147" i="63" s="1"/>
  <c r="V76" i="63"/>
  <c r="X76" i="63" s="1"/>
  <c r="V84" i="63"/>
  <c r="X84" i="63" s="1"/>
  <c r="V92" i="63"/>
  <c r="X92" i="63" s="1"/>
  <c r="V116" i="63"/>
  <c r="X116" i="63" s="1"/>
  <c r="V124" i="63"/>
  <c r="X124" i="63" s="1"/>
  <c r="V148" i="63"/>
  <c r="X148" i="63" s="1"/>
  <c r="I12" i="65"/>
  <c r="I13" i="65" s="1"/>
  <c r="I14" i="65" s="1"/>
  <c r="I15" i="65" s="1"/>
  <c r="I16" i="65" s="1"/>
  <c r="I17" i="65" s="1"/>
  <c r="I18" i="65" s="1"/>
  <c r="I19" i="65" s="1"/>
  <c r="I20" i="65" s="1"/>
  <c r="I21" i="65" s="1"/>
  <c r="I22" i="65" s="1"/>
  <c r="I23" i="65" s="1"/>
  <c r="I24" i="65" s="1"/>
  <c r="I25" i="65" s="1"/>
  <c r="I26" i="65" s="1"/>
  <c r="I27" i="65" s="1"/>
  <c r="I28" i="65" s="1"/>
  <c r="I29" i="65" s="1"/>
  <c r="I30" i="65" s="1"/>
  <c r="I31" i="65" s="1"/>
  <c r="I32" i="65" s="1"/>
  <c r="I33" i="65" s="1"/>
  <c r="I34" i="65" s="1"/>
  <c r="I35" i="65" s="1"/>
  <c r="I36" i="65" s="1"/>
  <c r="I37" i="65" s="1"/>
  <c r="I38" i="65" s="1"/>
  <c r="I39" i="65" s="1"/>
  <c r="I40" i="65" s="1"/>
  <c r="I41" i="65" s="1"/>
  <c r="I42" i="65" s="1"/>
  <c r="I43" i="65" s="1"/>
  <c r="I44" i="65" s="1"/>
  <c r="I45" i="65" s="1"/>
  <c r="I46" i="65" s="1"/>
  <c r="I47" i="65" s="1"/>
  <c r="I48" i="65" s="1"/>
  <c r="I49" i="65" s="1"/>
  <c r="I50" i="65" s="1"/>
  <c r="I51" i="65" s="1"/>
  <c r="I52" i="65" s="1"/>
  <c r="I53" i="65" s="1"/>
  <c r="I54" i="65" s="1"/>
  <c r="I55" i="65" s="1"/>
  <c r="I56" i="65" s="1"/>
  <c r="I57" i="65" s="1"/>
  <c r="I58" i="65" s="1"/>
  <c r="I59" i="65" s="1"/>
  <c r="I60" i="65" s="1"/>
  <c r="I61" i="65" s="1"/>
  <c r="I62" i="65" s="1"/>
  <c r="I63" i="65" s="1"/>
  <c r="I64" i="65" s="1"/>
  <c r="I65" i="65" s="1"/>
  <c r="I66" i="65" s="1"/>
  <c r="I67" i="65" s="1"/>
  <c r="I68" i="65" s="1"/>
  <c r="I69" i="65" s="1"/>
  <c r="V85" i="63"/>
  <c r="X85" i="63" s="1"/>
  <c r="V93" i="63"/>
  <c r="X93" i="63" s="1"/>
  <c r="V101" i="63"/>
  <c r="V105" i="63"/>
  <c r="X105" i="63" s="1"/>
  <c r="V117" i="63"/>
  <c r="X117" i="63" s="1"/>
  <c r="V125" i="63"/>
  <c r="X125" i="63" s="1"/>
  <c r="V149" i="63"/>
  <c r="X149" i="63" s="1"/>
  <c r="V90" i="63"/>
  <c r="X90" i="63" s="1"/>
  <c r="V94" i="63"/>
  <c r="X94" i="63" s="1"/>
  <c r="V102" i="63"/>
  <c r="X102" i="63" s="1"/>
  <c r="V110" i="63"/>
  <c r="V118" i="63"/>
  <c r="X118" i="63" s="1"/>
  <c r="V126" i="63"/>
  <c r="X126" i="63" s="1"/>
  <c r="V134" i="63"/>
  <c r="V150" i="63"/>
  <c r="X150" i="63" s="1"/>
  <c r="V169" i="63"/>
  <c r="X169" i="63" s="1"/>
  <c r="V168" i="63"/>
  <c r="X168" i="63" s="1"/>
  <c r="V170" i="63"/>
  <c r="X170" i="63" s="1"/>
  <c r="V167" i="63"/>
  <c r="X167" i="63" s="1"/>
  <c r="V166" i="63"/>
  <c r="X166" i="63" s="1"/>
  <c r="V171" i="63"/>
  <c r="X171" i="63" s="1"/>
  <c r="V172" i="63"/>
  <c r="X172" i="63" s="1"/>
  <c r="V164" i="63"/>
  <c r="V158" i="63"/>
  <c r="X158" i="63" s="1"/>
  <c r="V95" i="63"/>
  <c r="X95" i="63" s="1"/>
  <c r="V103" i="63"/>
  <c r="X103" i="63" s="1"/>
  <c r="V111" i="63"/>
  <c r="X111" i="63" s="1"/>
  <c r="V127" i="63"/>
  <c r="X127" i="63" s="1"/>
  <c r="V135" i="63"/>
  <c r="X135" i="63" s="1"/>
  <c r="V143" i="63"/>
  <c r="H12" i="65"/>
  <c r="H13" i="65" s="1"/>
  <c r="H14" i="65" s="1"/>
  <c r="H15" i="65" s="1"/>
  <c r="H16" i="65" s="1"/>
  <c r="H17" i="65" s="1"/>
  <c r="H18" i="65" s="1"/>
  <c r="H19" i="65" s="1"/>
  <c r="H20" i="65" s="1"/>
  <c r="H21" i="65" s="1"/>
  <c r="H22" i="65" s="1"/>
  <c r="H23" i="65" s="1"/>
  <c r="H24" i="65" s="1"/>
  <c r="H25" i="65" s="1"/>
  <c r="H26" i="65" s="1"/>
  <c r="H27" i="65" s="1"/>
  <c r="H28" i="65" s="1"/>
  <c r="H29" i="65" s="1"/>
  <c r="H30" i="65" s="1"/>
  <c r="H31" i="65" s="1"/>
  <c r="H32" i="65" s="1"/>
  <c r="H33" i="65" s="1"/>
  <c r="H34" i="65" s="1"/>
  <c r="H35" i="65" s="1"/>
  <c r="H36" i="65" s="1"/>
  <c r="H37" i="65" s="1"/>
  <c r="H38" i="65" s="1"/>
  <c r="H39" i="65" s="1"/>
  <c r="H40" i="65" s="1"/>
  <c r="H41" i="65" s="1"/>
  <c r="H42" i="65" s="1"/>
  <c r="H43" i="65" s="1"/>
  <c r="H44" i="65" s="1"/>
  <c r="H45" i="65" s="1"/>
  <c r="H46" i="65" s="1"/>
  <c r="H47" i="65" s="1"/>
  <c r="H48" i="65" s="1"/>
  <c r="H49" i="65" s="1"/>
  <c r="H50" i="65" s="1"/>
  <c r="H51" i="65" s="1"/>
  <c r="H52" i="65" s="1"/>
  <c r="H53" i="65" s="1"/>
  <c r="H54" i="65" s="1"/>
  <c r="H55" i="65" s="1"/>
  <c r="H56" i="65" s="1"/>
  <c r="H57" i="65" s="1"/>
  <c r="H58" i="65" s="1"/>
  <c r="H59" i="65" s="1"/>
  <c r="H60" i="65" s="1"/>
  <c r="H61" i="65" s="1"/>
  <c r="H62" i="65" s="1"/>
  <c r="H63" i="65" s="1"/>
  <c r="H64" i="65" s="1"/>
  <c r="H65" i="65" s="1"/>
  <c r="H66" i="65" s="1"/>
  <c r="H67" i="65" s="1"/>
  <c r="H68" i="65" s="1"/>
  <c r="H69" i="65" s="1"/>
  <c r="J55" i="63"/>
  <c r="M55" i="63" s="1"/>
  <c r="J63" i="63"/>
  <c r="J64" i="63"/>
  <c r="J65" i="63"/>
  <c r="V80" i="63"/>
  <c r="V96" i="63"/>
  <c r="X96" i="63" s="1"/>
  <c r="V112" i="63"/>
  <c r="X112" i="63" s="1"/>
  <c r="V128" i="63"/>
  <c r="X128" i="63" s="1"/>
  <c r="V136" i="63"/>
  <c r="X136" i="63" s="1"/>
  <c r="V144" i="63"/>
  <c r="X144" i="63" s="1"/>
  <c r="V157" i="63"/>
  <c r="X157" i="63" s="1"/>
  <c r="V160" i="63"/>
  <c r="X160" i="63" s="1"/>
  <c r="H11" i="65"/>
  <c r="B138" i="65"/>
  <c r="V81" i="63"/>
  <c r="X81" i="63" s="1"/>
  <c r="V97" i="63"/>
  <c r="X97" i="63" s="1"/>
  <c r="V113" i="63"/>
  <c r="X113" i="63" s="1"/>
  <c r="V129" i="63"/>
  <c r="X129" i="63" s="1"/>
  <c r="V137" i="63"/>
  <c r="X137" i="63" s="1"/>
  <c r="V145" i="63"/>
  <c r="X145" i="63" s="1"/>
  <c r="V154" i="63"/>
  <c r="V165" i="63"/>
  <c r="X165" i="63" s="1"/>
  <c r="G75" i="65"/>
  <c r="G76" i="65" s="1"/>
  <c r="G77" i="65" s="1"/>
  <c r="G78" i="65" s="1"/>
  <c r="G79" i="65" s="1"/>
  <c r="G80" i="65" s="1"/>
  <c r="G81" i="65" s="1"/>
  <c r="G82" i="65" s="1"/>
  <c r="G83" i="65" s="1"/>
  <c r="G84" i="65" s="1"/>
  <c r="G85" i="65" s="1"/>
  <c r="G86" i="65" s="1"/>
  <c r="G87" i="65" s="1"/>
  <c r="G88" i="65" s="1"/>
  <c r="G89" i="65" s="1"/>
  <c r="G90" i="65" s="1"/>
  <c r="G91" i="65" s="1"/>
  <c r="G92" i="65" s="1"/>
  <c r="G93" i="65" s="1"/>
  <c r="G94" i="65" s="1"/>
  <c r="G95" i="65" s="1"/>
  <c r="G96" i="65" s="1"/>
  <c r="G97" i="65" s="1"/>
  <c r="AA4" i="57"/>
  <c r="AC18" i="57"/>
  <c r="AC21" i="57"/>
  <c r="AC12" i="57"/>
  <c r="AC13" i="57"/>
  <c r="AC14" i="57"/>
  <c r="AC15" i="57"/>
  <c r="AC16" i="57"/>
  <c r="AC19" i="57"/>
  <c r="K12" i="26" l="1"/>
  <c r="K6" i="26"/>
  <c r="K9" i="26"/>
  <c r="H9" i="34"/>
  <c r="R21" i="7"/>
  <c r="CJ12" i="7"/>
  <c r="CS12" i="7" s="1"/>
  <c r="DB12" i="7" s="1"/>
  <c r="DK12" i="7" s="1"/>
  <c r="DT12" i="7" s="1"/>
  <c r="EC12" i="7" s="1"/>
  <c r="EL12" i="7" s="1"/>
  <c r="K10" i="26"/>
  <c r="R20" i="7"/>
  <c r="CJ11" i="7"/>
  <c r="CS11" i="7" s="1"/>
  <c r="H7" i="34"/>
  <c r="R24" i="7"/>
  <c r="CJ15" i="7"/>
  <c r="CS15" i="7" s="1"/>
  <c r="Z15" i="7"/>
  <c r="BN15" i="7" s="1"/>
  <c r="R236" i="51"/>
  <c r="T236" i="51" s="1"/>
  <c r="R336" i="51"/>
  <c r="T336" i="51" s="1"/>
  <c r="L274" i="41"/>
  <c r="R235" i="51"/>
  <c r="S235" i="51" s="1"/>
  <c r="J397" i="51"/>
  <c r="F329" i="51"/>
  <c r="J394" i="51"/>
  <c r="J350" i="51"/>
  <c r="F339" i="51"/>
  <c r="J333" i="51"/>
  <c r="F309" i="51"/>
  <c r="J374" i="51"/>
  <c r="O382" i="51" s="1"/>
  <c r="J364" i="51"/>
  <c r="J360" i="51"/>
  <c r="J325" i="51"/>
  <c r="F324" i="51"/>
  <c r="J313" i="51"/>
  <c r="J371" i="51"/>
  <c r="J344" i="51"/>
  <c r="F316" i="51"/>
  <c r="J354" i="51"/>
  <c r="F331" i="51"/>
  <c r="J328" i="51"/>
  <c r="F325" i="51"/>
  <c r="F303" i="51"/>
  <c r="O312" i="51" s="1"/>
  <c r="J358" i="51"/>
  <c r="J335" i="51"/>
  <c r="F314" i="51"/>
  <c r="J383" i="51"/>
  <c r="J376" i="51"/>
  <c r="J387" i="51"/>
  <c r="J366" i="51"/>
  <c r="F323" i="51"/>
  <c r="F320" i="51"/>
  <c r="J315" i="51"/>
  <c r="J258" i="51"/>
  <c r="J283" i="51"/>
  <c r="J276" i="51"/>
  <c r="J235" i="51"/>
  <c r="F214" i="51"/>
  <c r="J287" i="51"/>
  <c r="J266" i="51"/>
  <c r="F223" i="51"/>
  <c r="F220" i="51"/>
  <c r="J215" i="51"/>
  <c r="J297" i="51"/>
  <c r="F229" i="51"/>
  <c r="J294" i="51"/>
  <c r="J250" i="51"/>
  <c r="F239" i="51"/>
  <c r="J233" i="51"/>
  <c r="F209" i="51"/>
  <c r="R208" i="51" s="1"/>
  <c r="J274" i="51"/>
  <c r="O282" i="51" s="1"/>
  <c r="J264" i="51"/>
  <c r="J260" i="51"/>
  <c r="J225" i="51"/>
  <c r="F224" i="51"/>
  <c r="J213" i="51"/>
  <c r="J271" i="51"/>
  <c r="J244" i="51"/>
  <c r="F216" i="51"/>
  <c r="J254" i="51"/>
  <c r="F231" i="51"/>
  <c r="J228" i="51"/>
  <c r="F225" i="51"/>
  <c r="N205" i="51"/>
  <c r="F203" i="51"/>
  <c r="R335" i="51"/>
  <c r="T335" i="51" s="1"/>
  <c r="R233" i="51"/>
  <c r="T233" i="51" s="1"/>
  <c r="V52" i="32"/>
  <c r="AP48" i="32"/>
  <c r="AF47" i="32"/>
  <c r="AB50" i="32"/>
  <c r="AP50" i="32"/>
  <c r="C38" i="32"/>
  <c r="E38" i="32" s="1"/>
  <c r="AQ55" i="32"/>
  <c r="AB47" i="32"/>
  <c r="AB49" i="32"/>
  <c r="AP53" i="32"/>
  <c r="AB55" i="32"/>
  <c r="C42" i="32"/>
  <c r="E42" i="32" s="1"/>
  <c r="R52" i="32"/>
  <c r="AB56" i="32"/>
  <c r="R54" i="32"/>
  <c r="R49" i="32"/>
  <c r="AB46" i="32"/>
  <c r="AB53" i="32"/>
  <c r="AL46" i="32"/>
  <c r="R51" i="32"/>
  <c r="C43" i="32"/>
  <c r="E43" i="32" s="1"/>
  <c r="BF36" i="5"/>
  <c r="BE34" i="5"/>
  <c r="BF24" i="5"/>
  <c r="S339" i="51"/>
  <c r="T339" i="51"/>
  <c r="P61" i="63"/>
  <c r="T340" i="51"/>
  <c r="S340" i="51"/>
  <c r="R348" i="51"/>
  <c r="C223" i="62"/>
  <c r="C224" i="62" s="1"/>
  <c r="T338" i="51"/>
  <c r="S338" i="51"/>
  <c r="S343" i="51"/>
  <c r="T343" i="51"/>
  <c r="C64" i="47"/>
  <c r="F4" i="32"/>
  <c r="F28" i="32"/>
  <c r="T332" i="51"/>
  <c r="S332" i="51"/>
  <c r="T345" i="51"/>
  <c r="S345" i="51"/>
  <c r="F29" i="32"/>
  <c r="T331" i="51"/>
  <c r="S331" i="51"/>
  <c r="T344" i="51"/>
  <c r="S344" i="51"/>
  <c r="S341" i="51"/>
  <c r="T341" i="51"/>
  <c r="W84" i="32"/>
  <c r="Y84" i="32" s="1"/>
  <c r="T346" i="51"/>
  <c r="S346" i="51"/>
  <c r="S342" i="51"/>
  <c r="T342" i="51"/>
  <c r="H25" i="27"/>
  <c r="H26" i="27" s="1"/>
  <c r="L116" i="62"/>
  <c r="L113" i="62"/>
  <c r="L111" i="62"/>
  <c r="L118" i="62"/>
  <c r="L119" i="62"/>
  <c r="AN9" i="49"/>
  <c r="J126" i="49" s="1"/>
  <c r="AF7" i="49"/>
  <c r="J84" i="49" s="1"/>
  <c r="AG5" i="49"/>
  <c r="H90" i="6"/>
  <c r="DX8" i="49"/>
  <c r="AD85" i="49" s="1"/>
  <c r="DX6" i="49"/>
  <c r="AD83" i="49" s="1"/>
  <c r="U263" i="47"/>
  <c r="U264" i="47"/>
  <c r="Q17" i="60"/>
  <c r="Q20" i="60" s="1"/>
  <c r="M31" i="60" s="1"/>
  <c r="Q103" i="32"/>
  <c r="K82" i="47"/>
  <c r="S82" i="47" s="1"/>
  <c r="T82" i="47" s="1"/>
  <c r="Z82" i="47" s="1"/>
  <c r="Y82" i="47" s="1"/>
  <c r="K70" i="47"/>
  <c r="AF15" i="5"/>
  <c r="AF22" i="5"/>
  <c r="AF28" i="5"/>
  <c r="R87" i="6"/>
  <c r="AF27" i="5"/>
  <c r="AF14" i="5"/>
  <c r="AF24" i="5"/>
  <c r="AF13" i="5"/>
  <c r="K72" i="6"/>
  <c r="Q105" i="6" s="1"/>
  <c r="F24" i="23"/>
  <c r="AM24" i="24" s="1"/>
  <c r="N28" i="9" s="1"/>
  <c r="P70" i="6"/>
  <c r="Q70" i="6" s="1"/>
  <c r="G73" i="6"/>
  <c r="G72" i="6"/>
  <c r="H61" i="9" s="1"/>
  <c r="W71" i="6"/>
  <c r="G69" i="6"/>
  <c r="V65" i="6"/>
  <c r="G65" i="6"/>
  <c r="M96" i="7"/>
  <c r="N96" i="7" s="1"/>
  <c r="G55" i="6"/>
  <c r="O88" i="6" s="1"/>
  <c r="AL7" i="24" s="1"/>
  <c r="G61" i="6"/>
  <c r="V61" i="6" s="1"/>
  <c r="F26" i="23"/>
  <c r="AM26" i="24" s="1"/>
  <c r="V67" i="6"/>
  <c r="G67" i="6"/>
  <c r="K53" i="6"/>
  <c r="AJ5" i="23" s="1"/>
  <c r="AO5" i="26" s="1"/>
  <c r="G74" i="6"/>
  <c r="G81" i="6"/>
  <c r="S33" i="23" s="1"/>
  <c r="AB33" i="23" s="1"/>
  <c r="O92" i="6"/>
  <c r="AL11" i="24" s="1"/>
  <c r="AG30" i="35" s="1"/>
  <c r="G59" i="6"/>
  <c r="W94" i="7"/>
  <c r="Y94" i="7" s="1"/>
  <c r="G11" i="6" s="1"/>
  <c r="M65" i="6"/>
  <c r="W80" i="6"/>
  <c r="R93" i="7"/>
  <c r="R86" i="6"/>
  <c r="T71" i="6"/>
  <c r="H16" i="9"/>
  <c r="Y10" i="24"/>
  <c r="M24" i="6"/>
  <c r="O24" i="6" s="1"/>
  <c r="M21" i="6"/>
  <c r="M27" i="6"/>
  <c r="M20" i="6"/>
  <c r="CB8" i="49"/>
  <c r="T85" i="49" s="1"/>
  <c r="CB6" i="49"/>
  <c r="T83" i="49" s="1"/>
  <c r="P52" i="6"/>
  <c r="Q52" i="6" s="1"/>
  <c r="N27" i="9"/>
  <c r="AF9" i="49"/>
  <c r="J86" i="49" s="1"/>
  <c r="DH9" i="49"/>
  <c r="Y126" i="49" s="1"/>
  <c r="AF5" i="49"/>
  <c r="J82" i="49" s="1"/>
  <c r="AG6" i="49"/>
  <c r="CZ9" i="49"/>
  <c r="Y86" i="49" s="1"/>
  <c r="CZ5" i="49"/>
  <c r="Y82" i="49" s="1"/>
  <c r="H6" i="49"/>
  <c r="E83" i="49" s="1"/>
  <c r="CZ8" i="49"/>
  <c r="Y85" i="49" s="1"/>
  <c r="AF8" i="49"/>
  <c r="J85" i="49" s="1"/>
  <c r="CZ7" i="49"/>
  <c r="Y84" i="49" s="1"/>
  <c r="H25" i="9"/>
  <c r="H21" i="9"/>
  <c r="I35" i="9"/>
  <c r="I27" i="9"/>
  <c r="I34" i="9"/>
  <c r="I15" i="9"/>
  <c r="I11" i="9"/>
  <c r="M27" i="9"/>
  <c r="N32" i="9"/>
  <c r="O21" i="9"/>
  <c r="O19" i="9"/>
  <c r="AG17" i="35"/>
  <c r="AG11" i="35"/>
  <c r="K21" i="9"/>
  <c r="H32" i="9"/>
  <c r="H29" i="9"/>
  <c r="I22" i="9"/>
  <c r="AT34" i="35"/>
  <c r="N34" i="9"/>
  <c r="O33" i="9"/>
  <c r="N12" i="9"/>
  <c r="N36" i="9"/>
  <c r="O34" i="9"/>
  <c r="M14" i="9"/>
  <c r="BG27" i="35"/>
  <c r="H33" i="9"/>
  <c r="H13" i="9"/>
  <c r="H31" i="9"/>
  <c r="I23" i="9"/>
  <c r="N24" i="9"/>
  <c r="O27" i="9"/>
  <c r="O36" i="9"/>
  <c r="N13" i="9"/>
  <c r="K10" i="9"/>
  <c r="I10" i="9"/>
  <c r="K11" i="9"/>
  <c r="H20" i="9"/>
  <c r="H37" i="9"/>
  <c r="AT24" i="35"/>
  <c r="N8" i="9"/>
  <c r="N11" i="9"/>
  <c r="AG6" i="35"/>
  <c r="I9" i="9"/>
  <c r="I18" i="9"/>
  <c r="L27" i="9"/>
  <c r="H28" i="9"/>
  <c r="I31" i="9"/>
  <c r="N18" i="9"/>
  <c r="N10" i="9"/>
  <c r="N15" i="9"/>
  <c r="I8" i="9"/>
  <c r="H36" i="9"/>
  <c r="H9" i="9"/>
  <c r="I26" i="9"/>
  <c r="I19" i="9"/>
  <c r="N19" i="9"/>
  <c r="O20" i="9"/>
  <c r="O26" i="9"/>
  <c r="M33" i="9"/>
  <c r="BG21" i="35"/>
  <c r="M13" i="9"/>
  <c r="K27" i="9"/>
  <c r="H35" i="9"/>
  <c r="H19" i="9"/>
  <c r="H15" i="9"/>
  <c r="N26" i="9"/>
  <c r="N22" i="9"/>
  <c r="K15" i="9"/>
  <c r="H24" i="9"/>
  <c r="H17" i="9"/>
  <c r="I30" i="9"/>
  <c r="H23" i="9"/>
  <c r="O8" i="9"/>
  <c r="H11" i="9"/>
  <c r="BG32" i="35"/>
  <c r="N33" i="9"/>
  <c r="N31" i="9"/>
  <c r="N21" i="9"/>
  <c r="O18" i="9"/>
  <c r="H8" i="9"/>
  <c r="Q101" i="32"/>
  <c r="Q111" i="32"/>
  <c r="Q108" i="32"/>
  <c r="Q110" i="32"/>
  <c r="Q105" i="32"/>
  <c r="Q104" i="32"/>
  <c r="Q109" i="32"/>
  <c r="Q106" i="32"/>
  <c r="O112" i="32"/>
  <c r="Q112" i="32" s="1"/>
  <c r="Q100" i="32"/>
  <c r="AF29" i="5"/>
  <c r="AF21" i="5"/>
  <c r="AF30" i="5"/>
  <c r="AF31" i="5"/>
  <c r="AF32" i="5"/>
  <c r="AF4" i="5"/>
  <c r="U6" i="23"/>
  <c r="U23" i="23"/>
  <c r="Q108" i="6"/>
  <c r="R54" i="6"/>
  <c r="G27" i="23"/>
  <c r="AN27" i="24" s="1"/>
  <c r="G6" i="23"/>
  <c r="AN6" i="24" s="1"/>
  <c r="G26" i="23"/>
  <c r="AN26" i="24" s="1"/>
  <c r="U12" i="23"/>
  <c r="G12" i="23"/>
  <c r="AN12" i="24" s="1"/>
  <c r="Q107" i="6"/>
  <c r="G9" i="23"/>
  <c r="AN9" i="24" s="1"/>
  <c r="H50" i="9"/>
  <c r="K61" i="6"/>
  <c r="G13" i="23" s="1"/>
  <c r="AN13" i="24" s="1"/>
  <c r="V4" i="23"/>
  <c r="AC4" i="23" s="1"/>
  <c r="AX4" i="26" s="1"/>
  <c r="DX7" i="49"/>
  <c r="AD84" i="49" s="1"/>
  <c r="DX9" i="49"/>
  <c r="AD86" i="49" s="1"/>
  <c r="CB5" i="49"/>
  <c r="T82" i="49" s="1"/>
  <c r="CB7" i="49"/>
  <c r="T84" i="49" s="1"/>
  <c r="CB9" i="49"/>
  <c r="T86" i="49" s="1"/>
  <c r="V16" i="23"/>
  <c r="AC16" i="23" s="1"/>
  <c r="AM16" i="23" s="1"/>
  <c r="AX16" i="26" s="1"/>
  <c r="Y14" i="23"/>
  <c r="AL14" i="23" s="1"/>
  <c r="AN14" i="23" s="1"/>
  <c r="AP14" i="23" s="1"/>
  <c r="AY14" i="26" s="1"/>
  <c r="W77" i="6"/>
  <c r="W62" i="6"/>
  <c r="AG8" i="35"/>
  <c r="M54" i="6"/>
  <c r="S87" i="6" s="1"/>
  <c r="V30" i="23"/>
  <c r="AC30" i="23" s="1"/>
  <c r="AM30" i="23" s="1"/>
  <c r="AX30" i="26" s="1"/>
  <c r="AG13" i="35"/>
  <c r="M9" i="9"/>
  <c r="AG10" i="35"/>
  <c r="M53" i="6"/>
  <c r="T5" i="24" s="1"/>
  <c r="N33" i="23"/>
  <c r="AU33" i="26" s="1"/>
  <c r="AJ33" i="24"/>
  <c r="AT19" i="35"/>
  <c r="M20" i="9"/>
  <c r="AT18" i="35"/>
  <c r="AT6" i="35"/>
  <c r="AT4" i="35"/>
  <c r="T63" i="6"/>
  <c r="M63" i="6"/>
  <c r="S96" i="6" s="1"/>
  <c r="T96" i="6" s="1"/>
  <c r="X15" i="23"/>
  <c r="AE15" i="23" s="1"/>
  <c r="AF15" i="23" s="1"/>
  <c r="W75" i="6"/>
  <c r="Q75" i="6"/>
  <c r="X14" i="23"/>
  <c r="AE14" i="23" s="1"/>
  <c r="AF14" i="23" s="1"/>
  <c r="V5" i="23"/>
  <c r="AC5" i="23" s="1"/>
  <c r="AM5" i="23" s="1"/>
  <c r="AX5" i="26" s="1"/>
  <c r="R53" i="6"/>
  <c r="T53" i="6" s="1"/>
  <c r="AJ31" i="24"/>
  <c r="V23" i="23"/>
  <c r="AC23" i="23" s="1"/>
  <c r="AM23" i="23" s="1"/>
  <c r="AX23" i="26" s="1"/>
  <c r="V31" i="23"/>
  <c r="AC31" i="23" s="1"/>
  <c r="AM31" i="23" s="1"/>
  <c r="AX31" i="26" s="1"/>
  <c r="M57" i="6"/>
  <c r="S90" i="6" s="1"/>
  <c r="T90" i="6" s="1"/>
  <c r="H189" i="62"/>
  <c r="W134" i="47"/>
  <c r="K89" i="47"/>
  <c r="S89" i="47" s="1"/>
  <c r="T89" i="47" s="1"/>
  <c r="K149" i="47"/>
  <c r="S149" i="47" s="1"/>
  <c r="T149" i="47" s="1"/>
  <c r="K81" i="47"/>
  <c r="K105" i="47"/>
  <c r="S105" i="47" s="1"/>
  <c r="T105" i="47" s="1"/>
  <c r="K77" i="47"/>
  <c r="S77" i="47" s="1"/>
  <c r="T77" i="47" s="1"/>
  <c r="K155" i="47"/>
  <c r="S155" i="47" s="1"/>
  <c r="T155" i="47" s="1"/>
  <c r="T153" i="47"/>
  <c r="K111" i="47"/>
  <c r="K119" i="47"/>
  <c r="S119" i="47" s="1"/>
  <c r="T119" i="47" s="1"/>
  <c r="K79" i="47"/>
  <c r="S79" i="47" s="1"/>
  <c r="T79" i="47" s="1"/>
  <c r="K113" i="47"/>
  <c r="S113" i="47" s="1"/>
  <c r="T113" i="47" s="1"/>
  <c r="K143" i="47"/>
  <c r="S143" i="47" s="1"/>
  <c r="T143" i="47" s="1"/>
  <c r="K93" i="47"/>
  <c r="S93" i="47" s="1"/>
  <c r="T93" i="47" s="1"/>
  <c r="K85" i="47"/>
  <c r="S85" i="47" s="1"/>
  <c r="T85" i="47" s="1"/>
  <c r="K129" i="47"/>
  <c r="S129" i="47" s="1"/>
  <c r="T129" i="47" s="1"/>
  <c r="K137" i="47"/>
  <c r="S137" i="47" s="1"/>
  <c r="T137" i="47" s="1"/>
  <c r="K103" i="47"/>
  <c r="S103" i="47" s="1"/>
  <c r="T103" i="47" s="1"/>
  <c r="K135" i="47"/>
  <c r="S135" i="47" s="1"/>
  <c r="T135" i="47" s="1"/>
  <c r="K127" i="47"/>
  <c r="W122" i="47"/>
  <c r="K65" i="47"/>
  <c r="S65" i="47" s="1"/>
  <c r="T65" i="47" s="1"/>
  <c r="K73" i="47"/>
  <c r="S73" i="47" s="1"/>
  <c r="T73" i="47" s="1"/>
  <c r="K75" i="47"/>
  <c r="S75" i="47" s="1"/>
  <c r="T75" i="47" s="1"/>
  <c r="W160" i="47"/>
  <c r="W128" i="47"/>
  <c r="W130" i="47"/>
  <c r="W132" i="47"/>
  <c r="K30" i="47"/>
  <c r="K34" i="47"/>
  <c r="K32" i="47"/>
  <c r="S32" i="47" s="1"/>
  <c r="T32" i="47" s="1"/>
  <c r="Z32" i="47" s="1"/>
  <c r="Y32" i="47" s="1"/>
  <c r="K38" i="47"/>
  <c r="W154" i="47"/>
  <c r="Z80" i="47"/>
  <c r="Y80" i="47" s="1"/>
  <c r="AB14" i="66"/>
  <c r="AB32" i="66"/>
  <c r="AB54" i="66"/>
  <c r="AB62" i="66"/>
  <c r="AB11" i="66"/>
  <c r="AB15" i="66"/>
  <c r="AB24" i="66"/>
  <c r="AB25" i="66"/>
  <c r="AB72" i="66"/>
  <c r="AB63" i="66"/>
  <c r="AB52" i="66"/>
  <c r="AB41" i="66"/>
  <c r="AB19" i="66"/>
  <c r="AB9" i="66"/>
  <c r="AB42" i="66"/>
  <c r="AB13" i="66"/>
  <c r="AB47" i="66"/>
  <c r="AB23" i="66"/>
  <c r="AB43" i="66"/>
  <c r="AB57" i="66"/>
  <c r="T238" i="51"/>
  <c r="S238" i="51"/>
  <c r="S242" i="51"/>
  <c r="T242" i="51"/>
  <c r="S243" i="51"/>
  <c r="T243" i="51"/>
  <c r="T246" i="51"/>
  <c r="S246" i="51"/>
  <c r="T240" i="51"/>
  <c r="S240" i="51"/>
  <c r="R248" i="51"/>
  <c r="S239" i="51"/>
  <c r="T239" i="51"/>
  <c r="T244" i="51"/>
  <c r="S244" i="51"/>
  <c r="T245" i="51"/>
  <c r="S245" i="51"/>
  <c r="S231" i="51"/>
  <c r="T231" i="51"/>
  <c r="T241" i="51"/>
  <c r="S241" i="51"/>
  <c r="S232" i="51"/>
  <c r="T232" i="51"/>
  <c r="R33" i="51"/>
  <c r="S33" i="51" s="1"/>
  <c r="R36" i="51"/>
  <c r="S36" i="51" s="1"/>
  <c r="R136" i="51"/>
  <c r="S136" i="51" s="1"/>
  <c r="R35" i="51"/>
  <c r="T35" i="51" s="1"/>
  <c r="R135" i="51"/>
  <c r="S135" i="51" s="1"/>
  <c r="R133" i="51"/>
  <c r="S133" i="51" s="1"/>
  <c r="AN15" i="23"/>
  <c r="AP15" i="23" s="1"/>
  <c r="AY15" i="26" s="1"/>
  <c r="AT8" i="35"/>
  <c r="AT9" i="35"/>
  <c r="AT7" i="35"/>
  <c r="X24" i="23"/>
  <c r="AE24" i="23" s="1"/>
  <c r="AF24" i="23" s="1"/>
  <c r="AK27" i="24"/>
  <c r="M18" i="9"/>
  <c r="AT17" i="35"/>
  <c r="AG9" i="35"/>
  <c r="X20" i="23"/>
  <c r="AE20" i="23" s="1"/>
  <c r="AF20" i="23" s="1"/>
  <c r="AT20" i="35"/>
  <c r="R101" i="6"/>
  <c r="M26" i="9"/>
  <c r="AG12" i="35"/>
  <c r="AG32" i="35"/>
  <c r="M16" i="9"/>
  <c r="X29" i="23"/>
  <c r="AE29" i="23" s="1"/>
  <c r="AF29" i="23" s="1"/>
  <c r="AT5" i="35"/>
  <c r="AT10" i="35"/>
  <c r="AJ27" i="24"/>
  <c r="R102" i="6"/>
  <c r="M8" i="9"/>
  <c r="P19" i="23"/>
  <c r="AV19" i="26" s="1"/>
  <c r="AK19" i="24"/>
  <c r="AT14" i="35"/>
  <c r="M19" i="9"/>
  <c r="AT15" i="35"/>
  <c r="AK30" i="24"/>
  <c r="M58" i="6"/>
  <c r="W10" i="23" s="1"/>
  <c r="AD10" i="23" s="1"/>
  <c r="V6" i="23"/>
  <c r="AC6" i="23" s="1"/>
  <c r="AM6" i="23" s="1"/>
  <c r="AX6" i="26" s="1"/>
  <c r="R99" i="6"/>
  <c r="X25" i="23"/>
  <c r="AE25" i="23" s="1"/>
  <c r="AF25" i="23" s="1"/>
  <c r="R89" i="6"/>
  <c r="AJ26" i="24"/>
  <c r="R58" i="6"/>
  <c r="X18" i="23"/>
  <c r="AE18" i="23" s="1"/>
  <c r="AF18" i="23" s="1"/>
  <c r="M34" i="9"/>
  <c r="P31" i="23"/>
  <c r="AV31" i="26" s="1"/>
  <c r="AK31" i="24"/>
  <c r="AT12" i="35"/>
  <c r="AT11" i="35"/>
  <c r="X19" i="23"/>
  <c r="AE19" i="23" s="1"/>
  <c r="AF19" i="23" s="1"/>
  <c r="AT13" i="35"/>
  <c r="W78" i="6"/>
  <c r="Y29" i="23"/>
  <c r="AL29" i="23" s="1"/>
  <c r="AN29" i="23" s="1"/>
  <c r="AG9" i="49"/>
  <c r="M59" i="6"/>
  <c r="W11" i="23" s="1"/>
  <c r="AD11" i="23" s="1"/>
  <c r="AO9" i="49"/>
  <c r="N21" i="23"/>
  <c r="AU21" i="26" s="1"/>
  <c r="AJ21" i="24"/>
  <c r="P15" i="23"/>
  <c r="AV15" i="26" s="1"/>
  <c r="AK15" i="24"/>
  <c r="AG20" i="35"/>
  <c r="AG15" i="35"/>
  <c r="H5" i="49"/>
  <c r="E82" i="49" s="1"/>
  <c r="M10" i="9"/>
  <c r="AG16" i="35"/>
  <c r="AG19" i="35"/>
  <c r="M74" i="6"/>
  <c r="S107" i="6" s="1"/>
  <c r="T107" i="6" s="1"/>
  <c r="X4" i="23"/>
  <c r="AE4" i="23" s="1"/>
  <c r="AF4" i="23" s="1"/>
  <c r="M80" i="6"/>
  <c r="S113" i="6" s="1"/>
  <c r="T113" i="6" s="1"/>
  <c r="P58" i="6"/>
  <c r="W58" i="6" s="1"/>
  <c r="T78" i="6"/>
  <c r="BL9" i="49"/>
  <c r="O126" i="49" s="1"/>
  <c r="H8" i="49"/>
  <c r="E85" i="49" s="1"/>
  <c r="BD6" i="49"/>
  <c r="O83" i="49" s="1"/>
  <c r="AT16" i="35"/>
  <c r="AG18" i="35"/>
  <c r="AG14" i="35"/>
  <c r="X26" i="23"/>
  <c r="AE26" i="23" s="1"/>
  <c r="AF26" i="23" s="1"/>
  <c r="BD9" i="49"/>
  <c r="O86" i="49" s="1"/>
  <c r="EV7" i="49"/>
  <c r="AI84" i="49" s="1"/>
  <c r="H7" i="49"/>
  <c r="E84" i="49" s="1"/>
  <c r="BD5" i="49"/>
  <c r="O82" i="49" s="1"/>
  <c r="AG26" i="35"/>
  <c r="M52" i="6"/>
  <c r="W4" i="23" s="1"/>
  <c r="AD4" i="23" s="1"/>
  <c r="M22" i="9"/>
  <c r="AG25" i="35"/>
  <c r="P9" i="49"/>
  <c r="E126" i="49" s="1"/>
  <c r="BD8" i="49"/>
  <c r="O85" i="49" s="1"/>
  <c r="V15" i="23"/>
  <c r="AC15" i="23" s="1"/>
  <c r="AX15" i="26" s="1"/>
  <c r="H9" i="49"/>
  <c r="E86" i="49" s="1"/>
  <c r="AG7" i="49"/>
  <c r="L273" i="41"/>
  <c r="L182" i="41"/>
  <c r="M182" i="41" s="1"/>
  <c r="M306" i="41"/>
  <c r="L181" i="41"/>
  <c r="M181" i="41" s="1"/>
  <c r="M304" i="41"/>
  <c r="L183" i="41"/>
  <c r="M183" i="41" s="1"/>
  <c r="L180" i="41"/>
  <c r="M180" i="41" s="1"/>
  <c r="J324" i="41"/>
  <c r="H325" i="41"/>
  <c r="J325" i="41" s="1"/>
  <c r="K324" i="41"/>
  <c r="I325" i="41"/>
  <c r="K325" i="41" s="1"/>
  <c r="T29" i="24"/>
  <c r="S110" i="6"/>
  <c r="W29" i="23"/>
  <c r="AD29" i="23" s="1"/>
  <c r="AK29" i="24"/>
  <c r="P29" i="23"/>
  <c r="AV29" i="26" s="1"/>
  <c r="AL29" i="26"/>
  <c r="AK21" i="24"/>
  <c r="P21" i="23"/>
  <c r="AV21" i="26" s="1"/>
  <c r="AL21" i="26"/>
  <c r="AM9" i="23"/>
  <c r="AX9" i="26" s="1"/>
  <c r="AN9" i="26"/>
  <c r="AJ20" i="24"/>
  <c r="N20" i="23"/>
  <c r="AU20" i="26" s="1"/>
  <c r="AK20" i="26"/>
  <c r="AJ12" i="24"/>
  <c r="N12" i="23"/>
  <c r="AU12" i="26" s="1"/>
  <c r="AK12" i="26"/>
  <c r="BG37" i="35"/>
  <c r="BG36" i="35"/>
  <c r="BG35" i="35"/>
  <c r="M36" i="9"/>
  <c r="BG34" i="35"/>
  <c r="AP5" i="25"/>
  <c r="M32" i="9"/>
  <c r="BG24" i="35"/>
  <c r="BG25" i="35"/>
  <c r="T30" i="24"/>
  <c r="W30" i="23"/>
  <c r="AD30" i="23" s="1"/>
  <c r="AM30" i="26" s="1"/>
  <c r="S111" i="6"/>
  <c r="T111" i="6" s="1"/>
  <c r="W20" i="23"/>
  <c r="AD20" i="23" s="1"/>
  <c r="S101" i="6"/>
  <c r="T20" i="24"/>
  <c r="AJ9" i="24"/>
  <c r="N9" i="23"/>
  <c r="AU9" i="26" s="1"/>
  <c r="AK9" i="26"/>
  <c r="W14" i="23"/>
  <c r="AD14" i="23" s="1"/>
  <c r="T14" i="24"/>
  <c r="S95" i="6"/>
  <c r="CR12" i="5"/>
  <c r="N25" i="23"/>
  <c r="AU25" i="26" s="1"/>
  <c r="AK25" i="26"/>
  <c r="AJ25" i="24"/>
  <c r="AK18" i="24"/>
  <c r="P18" i="23"/>
  <c r="AV18" i="26" s="1"/>
  <c r="N22" i="23"/>
  <c r="AU22" i="26" s="1"/>
  <c r="AJ22" i="24"/>
  <c r="N10" i="23"/>
  <c r="AU10" i="26" s="1"/>
  <c r="AK10" i="26"/>
  <c r="AJ10" i="24"/>
  <c r="AK24" i="24"/>
  <c r="P24" i="23"/>
  <c r="AV24" i="26" s="1"/>
  <c r="AK28" i="24"/>
  <c r="P28" i="23"/>
  <c r="AV28" i="26" s="1"/>
  <c r="N14" i="23"/>
  <c r="AU14" i="26" s="1"/>
  <c r="AK14" i="26"/>
  <c r="AJ14" i="24"/>
  <c r="AK8" i="24"/>
  <c r="P8" i="23"/>
  <c r="AV8" i="26" s="1"/>
  <c r="AL8" i="26"/>
  <c r="AK12" i="24"/>
  <c r="P12" i="23"/>
  <c r="AV12" i="26" s="1"/>
  <c r="AL12" i="26"/>
  <c r="AM27" i="23"/>
  <c r="AX27" i="26" s="1"/>
  <c r="AN27" i="26"/>
  <c r="K73" i="6"/>
  <c r="P106" i="6"/>
  <c r="R73" i="6"/>
  <c r="T73" i="6" s="1"/>
  <c r="F25" i="23"/>
  <c r="AM25" i="24" s="1"/>
  <c r="P73" i="6"/>
  <c r="T25" i="23"/>
  <c r="AJ25" i="23"/>
  <c r="AG29" i="35"/>
  <c r="N16" i="23"/>
  <c r="AU16" i="26" s="1"/>
  <c r="AJ16" i="24"/>
  <c r="N30" i="23"/>
  <c r="AU30" i="26" s="1"/>
  <c r="AJ30" i="24"/>
  <c r="CR11" i="5"/>
  <c r="AJ24" i="24"/>
  <c r="N24" i="23"/>
  <c r="AU24" i="26" s="1"/>
  <c r="S112" i="6"/>
  <c r="T112" i="6" s="1"/>
  <c r="W31" i="23"/>
  <c r="AD31" i="23" s="1"/>
  <c r="T31" i="24"/>
  <c r="S99" i="6"/>
  <c r="T18" i="24"/>
  <c r="W18" i="23"/>
  <c r="AD18" i="23" s="1"/>
  <c r="AK13" i="24"/>
  <c r="P13" i="23"/>
  <c r="AV13" i="26" s="1"/>
  <c r="AL13" i="26"/>
  <c r="AP26" i="25"/>
  <c r="H87" i="62"/>
  <c r="H95" i="62"/>
  <c r="H91" i="62"/>
  <c r="H93" i="62"/>
  <c r="H89" i="62"/>
  <c r="H85" i="62"/>
  <c r="Q16" i="62"/>
  <c r="H98" i="62"/>
  <c r="H84" i="62"/>
  <c r="H103" i="62"/>
  <c r="H96" i="62"/>
  <c r="H86" i="62"/>
  <c r="H105" i="62"/>
  <c r="H106" i="62"/>
  <c r="H90" i="62"/>
  <c r="H100" i="62"/>
  <c r="H101" i="62"/>
  <c r="H92" i="62"/>
  <c r="H104" i="62"/>
  <c r="H102" i="62"/>
  <c r="H94" i="62"/>
  <c r="H97" i="62"/>
  <c r="H88" i="62"/>
  <c r="H83" i="62"/>
  <c r="H99" i="62"/>
  <c r="O30" i="60"/>
  <c r="N30" i="60"/>
  <c r="AJ6" i="25"/>
  <c r="AH6" i="25"/>
  <c r="K81" i="6"/>
  <c r="F33" i="23"/>
  <c r="AM33" i="24" s="1"/>
  <c r="T33" i="23"/>
  <c r="R81" i="6"/>
  <c r="T81" i="6" s="1"/>
  <c r="P81" i="6"/>
  <c r="P114" i="6"/>
  <c r="AJ33" i="23"/>
  <c r="N18" i="23"/>
  <c r="AU18" i="26" s="1"/>
  <c r="AJ18" i="24"/>
  <c r="N29" i="23"/>
  <c r="AU29" i="26" s="1"/>
  <c r="AK29" i="26"/>
  <c r="AJ29" i="24"/>
  <c r="W23" i="23"/>
  <c r="AD23" i="23" s="1"/>
  <c r="T23" i="24"/>
  <c r="S104" i="6"/>
  <c r="T104" i="6" s="1"/>
  <c r="K79" i="6"/>
  <c r="R79" i="6"/>
  <c r="T79" i="6" s="1"/>
  <c r="P112" i="6"/>
  <c r="P79" i="6"/>
  <c r="F31" i="23"/>
  <c r="AM31" i="24" s="1"/>
  <c r="AJ31" i="23"/>
  <c r="T31" i="23"/>
  <c r="AK14" i="24"/>
  <c r="P14" i="23"/>
  <c r="AV14" i="26" s="1"/>
  <c r="AL14" i="26"/>
  <c r="AP23" i="25"/>
  <c r="AP17" i="25"/>
  <c r="S93" i="7"/>
  <c r="K69" i="6"/>
  <c r="T21" i="23"/>
  <c r="AJ21" i="23"/>
  <c r="R69" i="6"/>
  <c r="T69" i="6" s="1"/>
  <c r="P102" i="6"/>
  <c r="P69" i="6"/>
  <c r="F21" i="23"/>
  <c r="AM21" i="24" s="1"/>
  <c r="AJ32" i="24"/>
  <c r="N32" i="23"/>
  <c r="AU32" i="26" s="1"/>
  <c r="AK32" i="26"/>
  <c r="AJ28" i="24"/>
  <c r="N28" i="23"/>
  <c r="AU28" i="26" s="1"/>
  <c r="AK33" i="24"/>
  <c r="P33" i="23"/>
  <c r="AV33" i="26" s="1"/>
  <c r="AL33" i="26"/>
  <c r="P113" i="32"/>
  <c r="S98" i="6"/>
  <c r="W17" i="23"/>
  <c r="AD17" i="23" s="1"/>
  <c r="T17" i="24"/>
  <c r="AT26" i="35"/>
  <c r="AT27" i="35"/>
  <c r="M24" i="9"/>
  <c r="AT28" i="35"/>
  <c r="Y28" i="23"/>
  <c r="AL28" i="23" s="1"/>
  <c r="AN28" i="23" s="1"/>
  <c r="Q76" i="6"/>
  <c r="W76" i="6"/>
  <c r="T16" i="24"/>
  <c r="W16" i="23"/>
  <c r="AD16" i="23" s="1"/>
  <c r="AM16" i="26" s="1"/>
  <c r="S97" i="6"/>
  <c r="T97" i="6" s="1"/>
  <c r="N19" i="23"/>
  <c r="AU19" i="26" s="1"/>
  <c r="AJ19" i="24"/>
  <c r="AK19" i="26"/>
  <c r="V67" i="63"/>
  <c r="Y121" i="63"/>
  <c r="K47" i="30"/>
  <c r="N47" i="30" s="1"/>
  <c r="K41" i="30"/>
  <c r="N41" i="30" s="1"/>
  <c r="I47" i="30"/>
  <c r="L47" i="30" s="1"/>
  <c r="I41" i="30"/>
  <c r="L41" i="30" s="1"/>
  <c r="R41" i="30" s="1"/>
  <c r="Q172" i="63"/>
  <c r="S63" i="63"/>
  <c r="L41" i="55"/>
  <c r="AB34" i="66"/>
  <c r="AB36" i="66"/>
  <c r="AB49" i="66"/>
  <c r="AB70" i="66"/>
  <c r="AB26" i="66"/>
  <c r="AB28" i="66"/>
  <c r="AB53" i="66"/>
  <c r="AB21" i="66"/>
  <c r="T38" i="51"/>
  <c r="S38" i="51"/>
  <c r="R46" i="51"/>
  <c r="T144" i="51"/>
  <c r="S144" i="51"/>
  <c r="T44" i="51"/>
  <c r="S44" i="51"/>
  <c r="S84" i="47"/>
  <c r="T84" i="47" s="1"/>
  <c r="Z84" i="47" s="1"/>
  <c r="Y84" i="47" s="1"/>
  <c r="S88" i="47"/>
  <c r="T88" i="47" s="1"/>
  <c r="Z88" i="47" s="1"/>
  <c r="Y88" i="47" s="1"/>
  <c r="S29" i="47"/>
  <c r="T29" i="47" s="1"/>
  <c r="S114" i="47"/>
  <c r="T114" i="47" s="1"/>
  <c r="Z114" i="47" s="1"/>
  <c r="Y114" i="47" s="1"/>
  <c r="S63" i="47"/>
  <c r="T63" i="47" s="1"/>
  <c r="K65" i="32"/>
  <c r="J65" i="32"/>
  <c r="C56" i="47" s="1"/>
  <c r="R103" i="32"/>
  <c r="J69" i="32"/>
  <c r="C60" i="47" s="1"/>
  <c r="O116" i="39"/>
  <c r="P116" i="39" s="1"/>
  <c r="AP25" i="25"/>
  <c r="O130" i="39"/>
  <c r="P130" i="39" s="1"/>
  <c r="S102" i="39"/>
  <c r="AR24" i="25"/>
  <c r="Z28" i="9" s="1"/>
  <c r="AP24" i="25"/>
  <c r="S124" i="39"/>
  <c r="BO22" i="24"/>
  <c r="BO18" i="24"/>
  <c r="BO19" i="24"/>
  <c r="AT23" i="35"/>
  <c r="AT35" i="35"/>
  <c r="T12" i="23"/>
  <c r="M70" i="6"/>
  <c r="V70" i="6"/>
  <c r="R60" i="6"/>
  <c r="T60" i="6" s="1"/>
  <c r="Y30" i="23"/>
  <c r="AL30" i="23" s="1"/>
  <c r="Q80" i="6"/>
  <c r="Q71" i="6"/>
  <c r="H44" i="9"/>
  <c r="O48" i="6"/>
  <c r="AC26" i="24"/>
  <c r="M107" i="6"/>
  <c r="P101" i="6"/>
  <c r="P61" i="6"/>
  <c r="Y32" i="23"/>
  <c r="AL32" i="23" s="1"/>
  <c r="AN32" i="23" s="1"/>
  <c r="AO32" i="23" s="1"/>
  <c r="S24" i="23"/>
  <c r="AB24" i="23" s="1"/>
  <c r="F19" i="23"/>
  <c r="AM19" i="24" s="1"/>
  <c r="AJ13" i="23"/>
  <c r="U10" i="23"/>
  <c r="AC28" i="24"/>
  <c r="M109" i="6"/>
  <c r="N7" i="23"/>
  <c r="AU7" i="26" s="1"/>
  <c r="AK7" i="26"/>
  <c r="N11" i="23"/>
  <c r="AU11" i="26" s="1"/>
  <c r="AK11" i="26"/>
  <c r="M61" i="6"/>
  <c r="O35" i="6"/>
  <c r="Q35" i="6" s="1"/>
  <c r="S10" i="23"/>
  <c r="AB10" i="23" s="1"/>
  <c r="M113" i="6"/>
  <c r="K66" i="6"/>
  <c r="P66" i="6"/>
  <c r="P60" i="6"/>
  <c r="R98" i="6"/>
  <c r="O32" i="6"/>
  <c r="Q32" i="6" s="1"/>
  <c r="BD28" i="5"/>
  <c r="BF28" i="5"/>
  <c r="BE28" i="5"/>
  <c r="BB28" i="5"/>
  <c r="AF9" i="5"/>
  <c r="BE37" i="5"/>
  <c r="BF37" i="5"/>
  <c r="BD37" i="5"/>
  <c r="BB37" i="5"/>
  <c r="BD29" i="5"/>
  <c r="AK28" i="26"/>
  <c r="AN28" i="26"/>
  <c r="AX28" i="26"/>
  <c r="AO28" i="26"/>
  <c r="AL28" i="26"/>
  <c r="CD28" i="26"/>
  <c r="CC28" i="26"/>
  <c r="CD24" i="26"/>
  <c r="CC24" i="26"/>
  <c r="T5" i="26"/>
  <c r="U5" i="26" s="1"/>
  <c r="W4" i="26"/>
  <c r="Y4" i="26" s="1"/>
  <c r="V4" i="26"/>
  <c r="S4" i="26"/>
  <c r="D83" i="49"/>
  <c r="F6" i="49"/>
  <c r="S85" i="49"/>
  <c r="BZ8" i="49"/>
  <c r="AE32" i="7"/>
  <c r="Z10" i="7"/>
  <c r="CI5" i="7"/>
  <c r="CR5" i="7" s="1"/>
  <c r="DA5" i="7" s="1"/>
  <c r="DJ5" i="7" s="1"/>
  <c r="DS5" i="7" s="1"/>
  <c r="EB5" i="7" s="1"/>
  <c r="EK5" i="7" s="1"/>
  <c r="Z9" i="7"/>
  <c r="Z8" i="7"/>
  <c r="Z7" i="7"/>
  <c r="Z6" i="7"/>
  <c r="Z5" i="7"/>
  <c r="Q14" i="7"/>
  <c r="Z12" i="7"/>
  <c r="Z11" i="7"/>
  <c r="AG8" i="49"/>
  <c r="AP28" i="25"/>
  <c r="DB11" i="7"/>
  <c r="DK11" i="7" s="1"/>
  <c r="DT11" i="7" s="1"/>
  <c r="EC11" i="7" s="1"/>
  <c r="EL11" i="7" s="1"/>
  <c r="D85" i="49"/>
  <c r="F8" i="49"/>
  <c r="U93" i="7"/>
  <c r="V93" i="7" s="1"/>
  <c r="W93" i="7" s="1"/>
  <c r="CI7" i="7"/>
  <c r="Q16" i="7"/>
  <c r="AE34" i="7"/>
  <c r="DB4" i="7"/>
  <c r="DK4" i="7" s="1"/>
  <c r="DT4" i="7" s="1"/>
  <c r="EC4" i="7" s="1"/>
  <c r="EL4" i="7" s="1"/>
  <c r="AC86" i="49"/>
  <c r="DV9" i="49"/>
  <c r="AH82" i="49"/>
  <c r="ET5" i="49"/>
  <c r="AV25" i="7"/>
  <c r="AV22" i="7"/>
  <c r="AV14" i="7"/>
  <c r="AV23" i="7"/>
  <c r="AV15" i="7"/>
  <c r="AV10" i="7"/>
  <c r="AV36" i="7" s="1"/>
  <c r="AV4" i="7"/>
  <c r="H48" i="7"/>
  <c r="BA4" i="7" s="1"/>
  <c r="AV24" i="7"/>
  <c r="AV16" i="7"/>
  <c r="AV17" i="7"/>
  <c r="AV9" i="7"/>
  <c r="AV8" i="7"/>
  <c r="AV7" i="7"/>
  <c r="AV6" i="7"/>
  <c r="AV33" i="7" s="1"/>
  <c r="AV5" i="7"/>
  <c r="AV27" i="7"/>
  <c r="AV18" i="7"/>
  <c r="AV41" i="7" s="1"/>
  <c r="AV19" i="7"/>
  <c r="AV12" i="7"/>
  <c r="AV26" i="7"/>
  <c r="AV20" i="7"/>
  <c r="AV21" i="7"/>
  <c r="AV13" i="7"/>
  <c r="AV11" i="7"/>
  <c r="S92" i="7"/>
  <c r="W92" i="7"/>
  <c r="Y92" i="7" s="1"/>
  <c r="E11" i="6" s="1"/>
  <c r="J72" i="1"/>
  <c r="K72" i="1" s="1"/>
  <c r="H72" i="1"/>
  <c r="E119" i="62"/>
  <c r="D119" i="62"/>
  <c r="G119" i="62"/>
  <c r="J119" i="62"/>
  <c r="H119" i="62"/>
  <c r="H87" i="1"/>
  <c r="J87" i="1"/>
  <c r="K87" i="1" s="1"/>
  <c r="H143" i="63"/>
  <c r="S67" i="63"/>
  <c r="Q191" i="63"/>
  <c r="U68" i="63"/>
  <c r="X134" i="63"/>
  <c r="X75" i="63"/>
  <c r="U62" i="63"/>
  <c r="M56" i="63"/>
  <c r="R44" i="30"/>
  <c r="Q142" i="63"/>
  <c r="L45" i="55"/>
  <c r="L106" i="55"/>
  <c r="I79" i="63"/>
  <c r="T63" i="63"/>
  <c r="AB44" i="66"/>
  <c r="AB65" i="66"/>
  <c r="AB27" i="66"/>
  <c r="AB48" i="66"/>
  <c r="AB8" i="66"/>
  <c r="AC8" i="66" s="1"/>
  <c r="AD8" i="66" s="1"/>
  <c r="AE8" i="66" s="1"/>
  <c r="AB10" i="66"/>
  <c r="S39" i="51"/>
  <c r="T39" i="51"/>
  <c r="S94" i="47"/>
  <c r="T94" i="47" s="1"/>
  <c r="Z94" i="47" s="1"/>
  <c r="Y94" i="47" s="1"/>
  <c r="S86" i="47"/>
  <c r="T86" i="47" s="1"/>
  <c r="Z86" i="47" s="1"/>
  <c r="Y86" i="47" s="1"/>
  <c r="S92" i="47"/>
  <c r="T92" i="47" s="1"/>
  <c r="Z92" i="47" s="1"/>
  <c r="Y92" i="47" s="1"/>
  <c r="K158" i="47"/>
  <c r="K150" i="47"/>
  <c r="K142" i="47"/>
  <c r="K134" i="47"/>
  <c r="K126" i="47"/>
  <c r="K152" i="47"/>
  <c r="K120" i="47"/>
  <c r="K108" i="47"/>
  <c r="K100" i="47"/>
  <c r="K154" i="47"/>
  <c r="K144" i="47"/>
  <c r="K140" i="47"/>
  <c r="K146" i="47"/>
  <c r="K148" i="47"/>
  <c r="K122" i="47"/>
  <c r="K160" i="47"/>
  <c r="K124" i="47"/>
  <c r="K156" i="47"/>
  <c r="K138" i="47"/>
  <c r="K136" i="47"/>
  <c r="K110" i="47"/>
  <c r="K130" i="47"/>
  <c r="K118" i="47"/>
  <c r="K102" i="47"/>
  <c r="K116" i="47"/>
  <c r="K128" i="47"/>
  <c r="K132" i="47"/>
  <c r="S37" i="47"/>
  <c r="T37" i="47" s="1"/>
  <c r="S96" i="47"/>
  <c r="T96" i="47" s="1"/>
  <c r="Z96" i="47" s="1"/>
  <c r="Y96" i="47" s="1"/>
  <c r="W136" i="47"/>
  <c r="S67" i="47"/>
  <c r="T67" i="47" s="1"/>
  <c r="R107" i="32"/>
  <c r="R2" i="55"/>
  <c r="AP29" i="25"/>
  <c r="AP27" i="25"/>
  <c r="AP13" i="25"/>
  <c r="AG4" i="35"/>
  <c r="M31" i="9"/>
  <c r="BG30" i="35"/>
  <c r="BG29" i="35"/>
  <c r="AG33" i="35"/>
  <c r="AT37" i="35"/>
  <c r="N13" i="23"/>
  <c r="AU13" i="26" s="1"/>
  <c r="AJ13" i="24"/>
  <c r="AJ5" i="24"/>
  <c r="N5" i="23"/>
  <c r="AU5" i="26" s="1"/>
  <c r="N17" i="23"/>
  <c r="AU17" i="26" s="1"/>
  <c r="AK17" i="26"/>
  <c r="X28" i="23"/>
  <c r="AE28" i="23" s="1"/>
  <c r="AF28" i="23" s="1"/>
  <c r="O23" i="6"/>
  <c r="X10" i="23"/>
  <c r="AE10" i="23" s="1"/>
  <c r="AF10" i="23" s="1"/>
  <c r="U13" i="23"/>
  <c r="P93" i="6"/>
  <c r="P25" i="23"/>
  <c r="AV25" i="26" s="1"/>
  <c r="AK25" i="24"/>
  <c r="G10" i="23"/>
  <c r="AN10" i="24" s="1"/>
  <c r="X13" i="23"/>
  <c r="AE13" i="23" s="1"/>
  <c r="AF13" i="23" s="1"/>
  <c r="AK9" i="24"/>
  <c r="P9" i="23"/>
  <c r="AV9" i="26" s="1"/>
  <c r="T26" i="23"/>
  <c r="X17" i="23"/>
  <c r="AE17" i="23" s="1"/>
  <c r="AF17" i="23" s="1"/>
  <c r="U9" i="23"/>
  <c r="V59" i="6"/>
  <c r="T10" i="23"/>
  <c r="Q86" i="6"/>
  <c r="O21" i="6"/>
  <c r="O89" i="6"/>
  <c r="AL8" i="24" s="1"/>
  <c r="P105" i="6"/>
  <c r="R95" i="6"/>
  <c r="L100" i="6"/>
  <c r="P94" i="6"/>
  <c r="O94" i="6"/>
  <c r="AL13" i="24" s="1"/>
  <c r="P57" i="6"/>
  <c r="W57" i="6" s="1"/>
  <c r="AF25" i="5"/>
  <c r="BF17" i="5"/>
  <c r="BD17" i="5"/>
  <c r="BB17" i="5"/>
  <c r="BE17" i="5"/>
  <c r="BE29" i="5"/>
  <c r="CW4" i="5"/>
  <c r="AN32" i="26"/>
  <c r="AK21" i="26"/>
  <c r="AX20" i="26"/>
  <c r="AK13" i="26"/>
  <c r="AL15" i="26"/>
  <c r="CD9" i="26"/>
  <c r="CC9" i="26"/>
  <c r="AK16" i="26"/>
  <c r="AO16" i="26"/>
  <c r="AL16" i="26"/>
  <c r="AN13" i="26"/>
  <c r="AH85" i="49"/>
  <c r="ET8" i="49"/>
  <c r="AC83" i="49"/>
  <c r="DV6" i="49"/>
  <c r="AH126" i="49"/>
  <c r="FB9" i="49"/>
  <c r="N83" i="49"/>
  <c r="BB6" i="49"/>
  <c r="D81" i="49"/>
  <c r="F4" i="49"/>
  <c r="Z26" i="7"/>
  <c r="AC85" i="49"/>
  <c r="DV8" i="49"/>
  <c r="Z21" i="7"/>
  <c r="H4" i="34"/>
  <c r="N4" i="34" s="1"/>
  <c r="K4" i="26"/>
  <c r="CZ4" i="49"/>
  <c r="Y81" i="49" s="1"/>
  <c r="G48" i="7"/>
  <c r="AZ4" i="7" s="1"/>
  <c r="AH81" i="49"/>
  <c r="ET4" i="49"/>
  <c r="AU33" i="7"/>
  <c r="BC33" i="7" s="1"/>
  <c r="Q91" i="7"/>
  <c r="R91" i="7" s="1"/>
  <c r="W91" i="7" s="1"/>
  <c r="Y91" i="7" s="1"/>
  <c r="D11" i="6" s="1"/>
  <c r="T77" i="6"/>
  <c r="J74" i="1"/>
  <c r="K74" i="1" s="1"/>
  <c r="H74" i="1"/>
  <c r="J75" i="1"/>
  <c r="K75" i="1" s="1"/>
  <c r="H75" i="1"/>
  <c r="H113" i="62"/>
  <c r="J113" i="62"/>
  <c r="D113" i="62"/>
  <c r="G113" i="62"/>
  <c r="E113" i="62"/>
  <c r="X154" i="63"/>
  <c r="U70" i="63"/>
  <c r="H74" i="63"/>
  <c r="S62" i="63"/>
  <c r="H161" i="63"/>
  <c r="S68" i="63"/>
  <c r="H199" i="63"/>
  <c r="S70" i="63"/>
  <c r="H166" i="63"/>
  <c r="H167" i="63"/>
  <c r="L6" i="55"/>
  <c r="V6" i="55" s="1"/>
  <c r="AB31" i="66"/>
  <c r="L46" i="55"/>
  <c r="L62" i="55"/>
  <c r="AB68" i="66"/>
  <c r="AB39" i="66"/>
  <c r="AB58" i="66"/>
  <c r="AB67" i="66"/>
  <c r="AB69" i="66"/>
  <c r="AB66" i="66"/>
  <c r="K119" i="62"/>
  <c r="K116" i="62"/>
  <c r="K112" i="62"/>
  <c r="K114" i="62"/>
  <c r="K117" i="62"/>
  <c r="K113" i="62"/>
  <c r="K110" i="62"/>
  <c r="K118" i="62"/>
  <c r="K115" i="62"/>
  <c r="K111" i="62"/>
  <c r="S72" i="47"/>
  <c r="T72" i="47" s="1"/>
  <c r="Z72" i="47" s="1"/>
  <c r="Y72" i="47" s="1"/>
  <c r="S66" i="47"/>
  <c r="T66" i="47" s="1"/>
  <c r="Z66" i="47" s="1"/>
  <c r="Y66" i="47" s="1"/>
  <c r="K27" i="47"/>
  <c r="K25" i="47"/>
  <c r="K23" i="47"/>
  <c r="S87" i="47"/>
  <c r="T87" i="47" s="1"/>
  <c r="S121" i="47"/>
  <c r="T121" i="47" s="1"/>
  <c r="S39" i="47"/>
  <c r="T39" i="47" s="1"/>
  <c r="S104" i="47"/>
  <c r="T104" i="47" s="1"/>
  <c r="Z104" i="47" s="1"/>
  <c r="Y104" i="47" s="1"/>
  <c r="K67" i="32"/>
  <c r="J67" i="32"/>
  <c r="C58" i="47" s="1"/>
  <c r="K64" i="32"/>
  <c r="J64" i="32"/>
  <c r="R104" i="32"/>
  <c r="J70" i="32"/>
  <c r="C61" i="47" s="1"/>
  <c r="K70" i="32"/>
  <c r="O129" i="39"/>
  <c r="P129" i="39" s="1"/>
  <c r="AP21" i="25"/>
  <c r="AP10" i="25"/>
  <c r="AP8" i="25"/>
  <c r="H31" i="24"/>
  <c r="AY31" i="24"/>
  <c r="S129" i="39"/>
  <c r="BG22" i="35"/>
  <c r="AT33" i="35"/>
  <c r="BG28" i="35"/>
  <c r="AG7" i="35"/>
  <c r="AT36" i="35"/>
  <c r="BO6" i="24"/>
  <c r="AK6" i="24"/>
  <c r="P6" i="23"/>
  <c r="AV6" i="26" s="1"/>
  <c r="AL6" i="26"/>
  <c r="O43" i="6"/>
  <c r="P10" i="23"/>
  <c r="AV10" i="26" s="1"/>
  <c r="AK10" i="24"/>
  <c r="N6" i="23"/>
  <c r="AU6" i="26" s="1"/>
  <c r="AK6" i="26"/>
  <c r="H45" i="9"/>
  <c r="R91" i="6"/>
  <c r="U24" i="23"/>
  <c r="T13" i="23"/>
  <c r="R93" i="6"/>
  <c r="Y23" i="23"/>
  <c r="AL23" i="23" s="1"/>
  <c r="AN23" i="23" s="1"/>
  <c r="AP23" i="23" s="1"/>
  <c r="AY23" i="26" s="1"/>
  <c r="S13" i="23"/>
  <c r="AB13" i="23" s="1"/>
  <c r="M110" i="6"/>
  <c r="O102" i="6"/>
  <c r="AL21" i="24" s="1"/>
  <c r="R70" i="6"/>
  <c r="T70" i="6" s="1"/>
  <c r="P65" i="6"/>
  <c r="O46" i="6"/>
  <c r="W52" i="6"/>
  <c r="R92" i="6"/>
  <c r="H92" i="6"/>
  <c r="O98" i="6"/>
  <c r="AL17" i="24" s="1"/>
  <c r="P91" i="6"/>
  <c r="P54" i="6"/>
  <c r="M101" i="6"/>
  <c r="BF18" i="5"/>
  <c r="BD18" i="5"/>
  <c r="BB18" i="5"/>
  <c r="BE18" i="5"/>
  <c r="N94" i="6"/>
  <c r="CR18" i="5"/>
  <c r="CU6" i="5"/>
  <c r="AF17" i="5"/>
  <c r="BE20" i="5"/>
  <c r="BD20" i="5"/>
  <c r="BB20" i="5"/>
  <c r="BF20" i="5"/>
  <c r="BE27" i="5"/>
  <c r="BD27" i="5"/>
  <c r="BB27" i="5"/>
  <c r="BF27" i="5"/>
  <c r="BB14" i="5"/>
  <c r="BF14" i="5"/>
  <c r="BE14" i="5"/>
  <c r="BD14" i="5"/>
  <c r="M26" i="6"/>
  <c r="BN24" i="5"/>
  <c r="AK24" i="5"/>
  <c r="AJ24" i="5"/>
  <c r="M19" i="6"/>
  <c r="BN14" i="5"/>
  <c r="M28" i="6"/>
  <c r="M25" i="6"/>
  <c r="M22" i="6"/>
  <c r="BN25" i="5"/>
  <c r="BN26" i="5"/>
  <c r="BN16" i="5"/>
  <c r="BN5" i="5"/>
  <c r="AI24" i="5"/>
  <c r="BN4" i="5"/>
  <c r="BN6" i="5"/>
  <c r="BN15" i="5"/>
  <c r="CD22" i="26"/>
  <c r="CC22" i="26"/>
  <c r="AK24" i="26"/>
  <c r="AN24" i="26"/>
  <c r="AX24" i="26"/>
  <c r="AL24" i="26"/>
  <c r="I84" i="49"/>
  <c r="AD7" i="49"/>
  <c r="AM37" i="7"/>
  <c r="N86" i="49"/>
  <c r="BB9" i="49"/>
  <c r="D82" i="49"/>
  <c r="F5" i="49"/>
  <c r="R23" i="7"/>
  <c r="CJ14" i="7"/>
  <c r="D126" i="49"/>
  <c r="N9" i="49"/>
  <c r="AG14" i="49"/>
  <c r="DX14" i="49"/>
  <c r="AD91" i="49" s="1"/>
  <c r="CU14" i="49"/>
  <c r="V91" i="49" s="1"/>
  <c r="CB14" i="49"/>
  <c r="T91" i="49" s="1"/>
  <c r="AY14" i="49"/>
  <c r="L91" i="49" s="1"/>
  <c r="AF14" i="49"/>
  <c r="J91" i="49" s="1"/>
  <c r="C14" i="49"/>
  <c r="B91" i="49" s="1"/>
  <c r="DU14" i="49"/>
  <c r="BY14" i="49"/>
  <c r="AC14" i="49"/>
  <c r="DA14" i="49"/>
  <c r="BE14" i="49"/>
  <c r="I14" i="49"/>
  <c r="EV14" i="49"/>
  <c r="AI91" i="49" s="1"/>
  <c r="CZ14" i="49"/>
  <c r="Y91" i="49" s="1"/>
  <c r="BD14" i="49"/>
  <c r="O91" i="49" s="1"/>
  <c r="AA14" i="49"/>
  <c r="G91" i="49" s="1"/>
  <c r="H14" i="49"/>
  <c r="E91" i="49" s="1"/>
  <c r="ES14" i="49"/>
  <c r="CW14" i="49"/>
  <c r="BA14" i="49"/>
  <c r="E14" i="49"/>
  <c r="Z20" i="7"/>
  <c r="D84" i="49"/>
  <c r="F7" i="49"/>
  <c r="AC81" i="49"/>
  <c r="DV4" i="49"/>
  <c r="G47" i="7"/>
  <c r="AR4" i="7" s="1"/>
  <c r="AF4" i="49"/>
  <c r="J81" i="49" s="1"/>
  <c r="AM40" i="7"/>
  <c r="DB7" i="7"/>
  <c r="DK7" i="7" s="1"/>
  <c r="DT7" i="7" s="1"/>
  <c r="EC7" i="7" s="1"/>
  <c r="EL7" i="7" s="1"/>
  <c r="E28" i="2"/>
  <c r="G111" i="62"/>
  <c r="D111" i="62"/>
  <c r="E111" i="62"/>
  <c r="J111" i="62"/>
  <c r="H111" i="62"/>
  <c r="U71" i="63"/>
  <c r="X164" i="63"/>
  <c r="L115" i="55"/>
  <c r="AB22" i="66"/>
  <c r="L70" i="55"/>
  <c r="AB37" i="66"/>
  <c r="AB56" i="66"/>
  <c r="AB12" i="66"/>
  <c r="AB60" i="66"/>
  <c r="AB16" i="66"/>
  <c r="AB64" i="66"/>
  <c r="AB71" i="66"/>
  <c r="AB61" i="66"/>
  <c r="AB4" i="66"/>
  <c r="AC4" i="66" s="1"/>
  <c r="AD4" i="66" s="1"/>
  <c r="AE4" i="66" s="1"/>
  <c r="T146" i="51"/>
  <c r="S146" i="51"/>
  <c r="T138" i="51"/>
  <c r="S138" i="51"/>
  <c r="T43" i="51"/>
  <c r="S43" i="51"/>
  <c r="S70" i="47"/>
  <c r="T70" i="47" s="1"/>
  <c r="Z70" i="47" s="1"/>
  <c r="Y70" i="47" s="1"/>
  <c r="S81" i="47"/>
  <c r="T81" i="47" s="1"/>
  <c r="K199" i="41"/>
  <c r="I200" i="41"/>
  <c r="S127" i="47"/>
  <c r="T127" i="47" s="1"/>
  <c r="R102" i="32"/>
  <c r="R100" i="32"/>
  <c r="J187" i="51"/>
  <c r="J183" i="51"/>
  <c r="J135" i="51"/>
  <c r="J133" i="51"/>
  <c r="J150" i="51"/>
  <c r="J76" i="51"/>
  <c r="J64" i="51"/>
  <c r="J50" i="51"/>
  <c r="J28" i="51"/>
  <c r="N5" i="51"/>
  <c r="J176" i="51"/>
  <c r="J174" i="51"/>
  <c r="J128" i="51"/>
  <c r="F124" i="51"/>
  <c r="F109" i="51"/>
  <c r="F103" i="51"/>
  <c r="J171" i="51"/>
  <c r="J166" i="51"/>
  <c r="J164" i="51"/>
  <c r="J160" i="51"/>
  <c r="J158" i="51"/>
  <c r="J154" i="51"/>
  <c r="J113" i="51"/>
  <c r="J94" i="51"/>
  <c r="J197" i="51"/>
  <c r="J194" i="51"/>
  <c r="J87" i="51"/>
  <c r="J83" i="51"/>
  <c r="J71" i="51"/>
  <c r="J66" i="51"/>
  <c r="F131" i="51"/>
  <c r="F114" i="51"/>
  <c r="J74" i="51"/>
  <c r="J58" i="51"/>
  <c r="F139" i="51"/>
  <c r="F123" i="51"/>
  <c r="F25" i="51"/>
  <c r="F129" i="51"/>
  <c r="J125" i="51"/>
  <c r="F120" i="51"/>
  <c r="F116" i="51"/>
  <c r="J115" i="51"/>
  <c r="N105" i="51"/>
  <c r="F39" i="51"/>
  <c r="F31" i="51"/>
  <c r="J13" i="51"/>
  <c r="F9" i="51"/>
  <c r="J33" i="51"/>
  <c r="F14" i="51"/>
  <c r="J54" i="51"/>
  <c r="F29" i="51"/>
  <c r="F24" i="51"/>
  <c r="F16" i="51"/>
  <c r="J15" i="51"/>
  <c r="J97" i="51"/>
  <c r="J35" i="51"/>
  <c r="J25" i="51"/>
  <c r="J144" i="51"/>
  <c r="F125" i="51"/>
  <c r="J60" i="51"/>
  <c r="J44" i="51"/>
  <c r="F20" i="51"/>
  <c r="F3" i="51"/>
  <c r="F23" i="51"/>
  <c r="AP33" i="25"/>
  <c r="S107" i="39"/>
  <c r="S106" i="39"/>
  <c r="O108" i="39"/>
  <c r="P108" i="39" s="1"/>
  <c r="AP9" i="25"/>
  <c r="T7" i="25"/>
  <c r="K7" i="25"/>
  <c r="AP20" i="25"/>
  <c r="BO27" i="24"/>
  <c r="AP32" i="25"/>
  <c r="BO26" i="24"/>
  <c r="M35" i="9"/>
  <c r="BG31" i="35"/>
  <c r="AG5" i="35"/>
  <c r="AG36" i="35"/>
  <c r="AG35" i="35"/>
  <c r="AG31" i="35"/>
  <c r="AJ24" i="23"/>
  <c r="AO24" i="26" s="1"/>
  <c r="N4" i="23"/>
  <c r="AU4" i="26" s="1"/>
  <c r="AJ4" i="24"/>
  <c r="M76" i="6"/>
  <c r="R61" i="6"/>
  <c r="T61" i="6" s="1"/>
  <c r="H70" i="9"/>
  <c r="O31" i="6"/>
  <c r="Q31" i="6" s="1"/>
  <c r="M72" i="6"/>
  <c r="AJ10" i="23"/>
  <c r="N101" i="6"/>
  <c r="M73" i="6"/>
  <c r="AJ19" i="23"/>
  <c r="AJ12" i="23"/>
  <c r="T19" i="23"/>
  <c r="AK17" i="24"/>
  <c r="P17" i="23"/>
  <c r="AV17" i="26" s="1"/>
  <c r="AL17" i="26"/>
  <c r="AK26" i="24"/>
  <c r="P26" i="23"/>
  <c r="AV26" i="26" s="1"/>
  <c r="R57" i="6"/>
  <c r="F16" i="23"/>
  <c r="AM16" i="24" s="1"/>
  <c r="M75" i="6"/>
  <c r="AJ26" i="23"/>
  <c r="AO26" i="26" s="1"/>
  <c r="L85" i="6"/>
  <c r="AB4" i="24"/>
  <c r="O27" i="6"/>
  <c r="M114" i="6"/>
  <c r="H94" i="6"/>
  <c r="M55" i="6"/>
  <c r="BF30" i="5"/>
  <c r="BD30" i="5"/>
  <c r="BB30" i="5"/>
  <c r="BE30" i="5"/>
  <c r="AF18" i="5"/>
  <c r="BD24" i="5"/>
  <c r="AN33" i="26"/>
  <c r="AA23" i="6"/>
  <c r="AA19" i="6"/>
  <c r="AA27" i="6"/>
  <c r="AA22" i="6"/>
  <c r="AK33" i="26"/>
  <c r="AL25" i="26"/>
  <c r="AK22" i="26"/>
  <c r="AN22" i="26"/>
  <c r="AO22" i="26"/>
  <c r="AL22" i="26"/>
  <c r="AX22" i="26"/>
  <c r="AN12" i="26"/>
  <c r="CD18" i="26"/>
  <c r="CC18" i="26"/>
  <c r="CD26" i="26"/>
  <c r="CC26" i="26"/>
  <c r="AL19" i="26"/>
  <c r="AL10" i="26"/>
  <c r="S126" i="49"/>
  <c r="CH9" i="49"/>
  <c r="S82" i="49"/>
  <c r="BZ5" i="49"/>
  <c r="AM31" i="7"/>
  <c r="AI31" i="7"/>
  <c r="AH31" i="7"/>
  <c r="R14" i="7"/>
  <c r="CJ5" i="7"/>
  <c r="AH84" i="49"/>
  <c r="ET7" i="49"/>
  <c r="AY17" i="7"/>
  <c r="AP17" i="7"/>
  <c r="BG17" i="7"/>
  <c r="AX17" i="7"/>
  <c r="BO17" i="7"/>
  <c r="BF17" i="7"/>
  <c r="CF17" i="7"/>
  <c r="BW17" i="7"/>
  <c r="BN17" i="7"/>
  <c r="CE17" i="7"/>
  <c r="BV17" i="7"/>
  <c r="CD17" i="7"/>
  <c r="AI17" i="7"/>
  <c r="AI40" i="7" s="1"/>
  <c r="AQ17" i="7"/>
  <c r="AH17" i="7"/>
  <c r="AH40" i="7" s="1"/>
  <c r="AM38" i="7"/>
  <c r="S84" i="49"/>
  <c r="BZ7" i="49"/>
  <c r="AG10" i="49"/>
  <c r="DX10" i="49"/>
  <c r="AD87" i="49" s="1"/>
  <c r="CU10" i="49"/>
  <c r="V87" i="49" s="1"/>
  <c r="CB10" i="49"/>
  <c r="T87" i="49" s="1"/>
  <c r="AY10" i="49"/>
  <c r="L87" i="49" s="1"/>
  <c r="AF10" i="49"/>
  <c r="J87" i="49" s="1"/>
  <c r="C10" i="49"/>
  <c r="B87" i="49" s="1"/>
  <c r="DU10" i="49"/>
  <c r="BY10" i="49"/>
  <c r="AC10" i="49"/>
  <c r="DA10" i="49"/>
  <c r="BE10" i="49"/>
  <c r="I10" i="49"/>
  <c r="EV10" i="49"/>
  <c r="AI87" i="49" s="1"/>
  <c r="CZ10" i="49"/>
  <c r="Y87" i="49" s="1"/>
  <c r="BD10" i="49"/>
  <c r="O87" i="49" s="1"/>
  <c r="AA10" i="49"/>
  <c r="G87" i="49" s="1"/>
  <c r="H10" i="49"/>
  <c r="E87" i="49" s="1"/>
  <c r="ES10" i="49"/>
  <c r="CW10" i="49"/>
  <c r="BA10" i="49"/>
  <c r="E10" i="49"/>
  <c r="H47" i="7"/>
  <c r="AS4" i="7" s="1"/>
  <c r="AN23" i="7"/>
  <c r="AN15" i="7"/>
  <c r="AN24" i="7"/>
  <c r="AN16" i="7"/>
  <c r="AN17" i="7"/>
  <c r="AN9" i="7"/>
  <c r="AN8" i="7"/>
  <c r="AN7" i="7"/>
  <c r="AN6" i="7"/>
  <c r="AN33" i="7" s="1"/>
  <c r="AN5" i="7"/>
  <c r="AN27" i="7"/>
  <c r="AN18" i="7"/>
  <c r="AN41" i="7" s="1"/>
  <c r="AN19" i="7"/>
  <c r="AN12" i="7"/>
  <c r="AN26" i="7"/>
  <c r="AN20" i="7"/>
  <c r="AN21" i="7"/>
  <c r="AN13" i="7"/>
  <c r="AN11" i="7"/>
  <c r="AN25" i="7"/>
  <c r="AN22" i="7"/>
  <c r="AN14" i="7"/>
  <c r="AN10" i="7"/>
  <c r="AN36" i="7" s="1"/>
  <c r="AN4" i="7"/>
  <c r="S86" i="49"/>
  <c r="BZ9" i="49"/>
  <c r="N82" i="49"/>
  <c r="BB5" i="49"/>
  <c r="Z13" i="7"/>
  <c r="D19" i="27"/>
  <c r="C32" i="27"/>
  <c r="D31" i="27" s="1"/>
  <c r="AM39" i="7"/>
  <c r="H4" i="49"/>
  <c r="E81" i="49" s="1"/>
  <c r="BD4" i="49"/>
  <c r="O81" i="49" s="1"/>
  <c r="G46" i="7"/>
  <c r="AJ4" i="7" s="1"/>
  <c r="AJ31" i="7" s="1"/>
  <c r="H8" i="34"/>
  <c r="K8" i="26"/>
  <c r="S66" i="6"/>
  <c r="T66" i="6" s="1"/>
  <c r="S65" i="6"/>
  <c r="S62" i="6"/>
  <c r="T62" i="6" s="1"/>
  <c r="AA32" i="27"/>
  <c r="AB31" i="27" s="1"/>
  <c r="AD31" i="27" s="1"/>
  <c r="AA21" i="27"/>
  <c r="AB20" i="27" s="1"/>
  <c r="AD20" i="27" s="1"/>
  <c r="AA27" i="27"/>
  <c r="AB26" i="27" s="1"/>
  <c r="AD26" i="27" s="1"/>
  <c r="AA24" i="27"/>
  <c r="AB23" i="27" s="1"/>
  <c r="AD23" i="27" s="1"/>
  <c r="AA16" i="27"/>
  <c r="AB15" i="27" s="1"/>
  <c r="AD15" i="27" s="1"/>
  <c r="AA12" i="27"/>
  <c r="AB11" i="27" s="1"/>
  <c r="AD11" i="27" s="1"/>
  <c r="AA8" i="27"/>
  <c r="AB7" i="27" s="1"/>
  <c r="AD7" i="27" s="1"/>
  <c r="AA31" i="27"/>
  <c r="AB30" i="27" s="1"/>
  <c r="AD30" i="27" s="1"/>
  <c r="AA19" i="27"/>
  <c r="AB18" i="27" s="1"/>
  <c r="AD18" i="27" s="1"/>
  <c r="AA28" i="27"/>
  <c r="AB27" i="27" s="1"/>
  <c r="AD27" i="27" s="1"/>
  <c r="AA22" i="27"/>
  <c r="AB21" i="27" s="1"/>
  <c r="AD21" i="27" s="1"/>
  <c r="AA13" i="27"/>
  <c r="AB12" i="27" s="1"/>
  <c r="AD12" i="27" s="1"/>
  <c r="AA9" i="27"/>
  <c r="AB8" i="27" s="1"/>
  <c r="AD8" i="27" s="1"/>
  <c r="AA5" i="27"/>
  <c r="AB4" i="27" s="1"/>
  <c r="AD4" i="27" s="1"/>
  <c r="AA30" i="27"/>
  <c r="AB29" i="27" s="1"/>
  <c r="AD29" i="27" s="1"/>
  <c r="AA25" i="27"/>
  <c r="AB24" i="27" s="1"/>
  <c r="AD24" i="27" s="1"/>
  <c r="AA17" i="27"/>
  <c r="AB16" i="27" s="1"/>
  <c r="AD16" i="27" s="1"/>
  <c r="AA29" i="27"/>
  <c r="AB28" i="27" s="1"/>
  <c r="AD28" i="27" s="1"/>
  <c r="AA20" i="27"/>
  <c r="AB19" i="27" s="1"/>
  <c r="AD19" i="27" s="1"/>
  <c r="AA14" i="27"/>
  <c r="AB13" i="27" s="1"/>
  <c r="AD13" i="27" s="1"/>
  <c r="AA10" i="27"/>
  <c r="AB9" i="27" s="1"/>
  <c r="AD9" i="27" s="1"/>
  <c r="AA6" i="27"/>
  <c r="AB5" i="27" s="1"/>
  <c r="AD5" i="27" s="1"/>
  <c r="AA33" i="27"/>
  <c r="AB32" i="27" s="1"/>
  <c r="AD32" i="27" s="1"/>
  <c r="AA23" i="27"/>
  <c r="AB22" i="27" s="1"/>
  <c r="AD22" i="27" s="1"/>
  <c r="AA26" i="27"/>
  <c r="AB25" i="27" s="1"/>
  <c r="AD25" i="27" s="1"/>
  <c r="AA18" i="27"/>
  <c r="AB17" i="27" s="1"/>
  <c r="AD17" i="27" s="1"/>
  <c r="AA15" i="27"/>
  <c r="AB14" i="27" s="1"/>
  <c r="AD14" i="27" s="1"/>
  <c r="AA11" i="27"/>
  <c r="AB10" i="27" s="1"/>
  <c r="AD10" i="27" s="1"/>
  <c r="AA7" i="27"/>
  <c r="AB6" i="27" s="1"/>
  <c r="AD6" i="27" s="1"/>
  <c r="H11" i="34"/>
  <c r="K11" i="26"/>
  <c r="AM35" i="7"/>
  <c r="F14" i="62"/>
  <c r="M14" i="62"/>
  <c r="N14" i="62" s="1"/>
  <c r="S59" i="6"/>
  <c r="S52" i="6"/>
  <c r="T52" i="6" s="1"/>
  <c r="S58" i="6"/>
  <c r="S57" i="6"/>
  <c r="S54" i="6"/>
  <c r="T54" i="6" s="1"/>
  <c r="X89" i="63"/>
  <c r="U64" i="63"/>
  <c r="L42" i="55"/>
  <c r="AB35" i="66"/>
  <c r="AB51" i="66"/>
  <c r="AB55" i="66"/>
  <c r="AB59" i="66"/>
  <c r="S142" i="51"/>
  <c r="T142" i="51"/>
  <c r="T141" i="51"/>
  <c r="S141" i="51"/>
  <c r="S60" i="47"/>
  <c r="T60" i="47" s="1"/>
  <c r="Z60" i="47" s="1"/>
  <c r="Y60" i="47" s="1"/>
  <c r="S78" i="47"/>
  <c r="T78" i="47" s="1"/>
  <c r="Z78" i="47" s="1"/>
  <c r="Y78" i="47" s="1"/>
  <c r="S35" i="47"/>
  <c r="T35" i="47" s="1"/>
  <c r="S40" i="47"/>
  <c r="T40" i="47" s="1"/>
  <c r="Z40" i="47" s="1"/>
  <c r="Y40" i="47" s="1"/>
  <c r="S59" i="47"/>
  <c r="T59" i="47" s="1"/>
  <c r="R109" i="32"/>
  <c r="R106" i="32"/>
  <c r="R101" i="32"/>
  <c r="J68" i="32"/>
  <c r="C59" i="47" s="1"/>
  <c r="D10" i="32"/>
  <c r="E9" i="32"/>
  <c r="F9" i="32" s="1"/>
  <c r="O111" i="39"/>
  <c r="P111" i="39" s="1"/>
  <c r="O131" i="39"/>
  <c r="P131" i="39" s="1"/>
  <c r="AF7" i="25"/>
  <c r="AI6" i="25"/>
  <c r="AE6" i="25"/>
  <c r="AG7" i="25"/>
  <c r="S123" i="39"/>
  <c r="L5" i="34"/>
  <c r="M5" i="34"/>
  <c r="J6" i="34" s="1"/>
  <c r="AG37" i="35"/>
  <c r="AG34" i="35"/>
  <c r="BG33" i="35"/>
  <c r="AY6" i="24"/>
  <c r="H6" i="24"/>
  <c r="N23" i="23"/>
  <c r="AU23" i="26" s="1"/>
  <c r="AK23" i="26"/>
  <c r="AK4" i="24"/>
  <c r="P4" i="23"/>
  <c r="AV4" i="26" s="1"/>
  <c r="O37" i="6"/>
  <c r="AJ8" i="24"/>
  <c r="N8" i="23"/>
  <c r="AU8" i="26" s="1"/>
  <c r="K68" i="6"/>
  <c r="P68" i="6"/>
  <c r="R68" i="6"/>
  <c r="T68" i="6" s="1"/>
  <c r="AJ20" i="23"/>
  <c r="AC15" i="24"/>
  <c r="M96" i="6"/>
  <c r="F13" i="23"/>
  <c r="AM13" i="24" s="1"/>
  <c r="G5" i="23"/>
  <c r="AN5" i="24" s="1"/>
  <c r="P72" i="6"/>
  <c r="T20" i="23"/>
  <c r="R110" i="6"/>
  <c r="T24" i="23"/>
  <c r="S8" i="23"/>
  <c r="AB8" i="23" s="1"/>
  <c r="T5" i="23"/>
  <c r="AK7" i="24"/>
  <c r="P7" i="23"/>
  <c r="AV7" i="26" s="1"/>
  <c r="M99" i="6"/>
  <c r="K76" i="6"/>
  <c r="R76" i="6"/>
  <c r="R64" i="6"/>
  <c r="T64" i="6" s="1"/>
  <c r="O29" i="6"/>
  <c r="Q29" i="6" s="1"/>
  <c r="M67" i="6"/>
  <c r="AO14" i="26"/>
  <c r="K59" i="6"/>
  <c r="R59" i="6" s="1"/>
  <c r="L109" i="6"/>
  <c r="O100" i="6"/>
  <c r="AL19" i="24" s="1"/>
  <c r="Q94" i="6"/>
  <c r="CR17" i="5"/>
  <c r="CU5" i="5"/>
  <c r="BF25" i="5"/>
  <c r="BE25" i="5"/>
  <c r="BB25" i="5"/>
  <c r="BD25" i="5"/>
  <c r="BF16" i="5"/>
  <c r="BD16" i="5"/>
  <c r="BB16" i="5"/>
  <c r="BE16" i="5"/>
  <c r="AK31" i="26"/>
  <c r="BB31" i="26" s="1"/>
  <c r="AK18" i="26"/>
  <c r="AO18" i="26"/>
  <c r="AN18" i="26"/>
  <c r="AX18" i="26"/>
  <c r="AL18" i="26"/>
  <c r="AU26" i="26"/>
  <c r="AL9" i="26"/>
  <c r="AK4" i="26"/>
  <c r="AK8" i="26"/>
  <c r="N85" i="49"/>
  <c r="BB8" i="49"/>
  <c r="BG24" i="7"/>
  <c r="AX24" i="7"/>
  <c r="BO24" i="7"/>
  <c r="BF24" i="7"/>
  <c r="CF24" i="7"/>
  <c r="BW24" i="7"/>
  <c r="BN24" i="7"/>
  <c r="CE24" i="7"/>
  <c r="BV24" i="7"/>
  <c r="CD24" i="7"/>
  <c r="AI24" i="7"/>
  <c r="AQ24" i="7"/>
  <c r="AH24" i="7"/>
  <c r="AY24" i="7"/>
  <c r="AP24" i="7"/>
  <c r="AH86" i="49"/>
  <c r="ET9" i="49"/>
  <c r="I83" i="49"/>
  <c r="AD6" i="49"/>
  <c r="BM21" i="49"/>
  <c r="F119" i="7"/>
  <c r="FD21" i="49"/>
  <c r="AI138" i="49" s="1"/>
  <c r="DC21" i="49"/>
  <c r="V138" i="49" s="1"/>
  <c r="CG21" i="49"/>
  <c r="BL21" i="49"/>
  <c r="O138" i="49" s="1"/>
  <c r="K21" i="49"/>
  <c r="B138" i="49" s="1"/>
  <c r="AO21" i="49"/>
  <c r="FA21" i="49"/>
  <c r="EF21" i="49"/>
  <c r="AD138" i="49" s="1"/>
  <c r="BI21" i="49"/>
  <c r="AN21" i="49"/>
  <c r="J138" i="49" s="1"/>
  <c r="DI21" i="49"/>
  <c r="Q21" i="49"/>
  <c r="EC21" i="49"/>
  <c r="DH21" i="49"/>
  <c r="Y138" i="49" s="1"/>
  <c r="BG21" i="49"/>
  <c r="L138" i="49" s="1"/>
  <c r="AK21" i="49"/>
  <c r="P21" i="49"/>
  <c r="E138" i="49" s="1"/>
  <c r="DE21" i="49"/>
  <c r="CJ21" i="49"/>
  <c r="T138" i="49" s="1"/>
  <c r="AI21" i="49"/>
  <c r="G138" i="49" s="1"/>
  <c r="M21" i="49"/>
  <c r="AG21" i="49"/>
  <c r="D122" i="7"/>
  <c r="ES21" i="49"/>
  <c r="DX21" i="49"/>
  <c r="AD93" i="49" s="1"/>
  <c r="BA21" i="49"/>
  <c r="AF21" i="49"/>
  <c r="J93" i="49" s="1"/>
  <c r="D119" i="7"/>
  <c r="DA21" i="49"/>
  <c r="I21" i="49"/>
  <c r="D124" i="7"/>
  <c r="DU21" i="49"/>
  <c r="CZ21" i="49"/>
  <c r="Y93" i="49" s="1"/>
  <c r="AY21" i="49"/>
  <c r="L93" i="49" s="1"/>
  <c r="AC21" i="49"/>
  <c r="H21" i="49"/>
  <c r="E93" i="49" s="1"/>
  <c r="H133" i="7"/>
  <c r="D121" i="7"/>
  <c r="F133" i="7"/>
  <c r="D126" i="7"/>
  <c r="CW21" i="49"/>
  <c r="CB21" i="49"/>
  <c r="T93" i="49" s="1"/>
  <c r="AA21" i="49"/>
  <c r="G93" i="49" s="1"/>
  <c r="E21" i="49"/>
  <c r="D133" i="7"/>
  <c r="D123" i="7"/>
  <c r="BE21" i="49"/>
  <c r="D120" i="7"/>
  <c r="EV21" i="49"/>
  <c r="AI93" i="49" s="1"/>
  <c r="CU21" i="49"/>
  <c r="V93" i="49" s="1"/>
  <c r="BY21" i="49"/>
  <c r="BD21" i="49"/>
  <c r="O93" i="49" s="1"/>
  <c r="C21" i="49"/>
  <c r="B93" i="49" s="1"/>
  <c r="D125" i="7"/>
  <c r="Z27" i="7"/>
  <c r="AP4" i="25"/>
  <c r="AR4" i="25"/>
  <c r="Z8" i="9" s="1"/>
  <c r="X126" i="49"/>
  <c r="DF9" i="49"/>
  <c r="AC82" i="49"/>
  <c r="DV5" i="49"/>
  <c r="S97" i="7"/>
  <c r="W97" i="7"/>
  <c r="R18" i="7"/>
  <c r="CJ9" i="7"/>
  <c r="I85" i="49"/>
  <c r="AD8" i="49"/>
  <c r="AU41" i="7"/>
  <c r="BC41" i="7" s="1"/>
  <c r="CR12" i="7"/>
  <c r="C53" i="47"/>
  <c r="C52" i="47"/>
  <c r="C51" i="47"/>
  <c r="S81" i="49"/>
  <c r="BZ4" i="49"/>
  <c r="Z25" i="7"/>
  <c r="J89" i="1"/>
  <c r="K89" i="1" s="1"/>
  <c r="H89" i="1"/>
  <c r="H117" i="62"/>
  <c r="J117" i="62"/>
  <c r="D117" i="62"/>
  <c r="G117" i="62"/>
  <c r="E117" i="62"/>
  <c r="H122" i="63"/>
  <c r="S66" i="63"/>
  <c r="H218" i="63"/>
  <c r="S71" i="63"/>
  <c r="X80" i="63"/>
  <c r="U63" i="63"/>
  <c r="X101" i="63"/>
  <c r="U65" i="63"/>
  <c r="I43" i="30"/>
  <c r="L43" i="30" s="1"/>
  <c r="I45" i="30"/>
  <c r="L45" i="30" s="1"/>
  <c r="L108" i="55"/>
  <c r="Q73" i="63"/>
  <c r="L64" i="55"/>
  <c r="L122" i="55"/>
  <c r="L104" i="55"/>
  <c r="L51" i="55"/>
  <c r="N58" i="63"/>
  <c r="AB29" i="66"/>
  <c r="AB46" i="66"/>
  <c r="AB50" i="66"/>
  <c r="AB40" i="66"/>
  <c r="R148" i="51"/>
  <c r="T140" i="51"/>
  <c r="S140" i="51"/>
  <c r="T31" i="51"/>
  <c r="S31" i="51"/>
  <c r="S90" i="47"/>
  <c r="T90" i="47" s="1"/>
  <c r="Z90" i="47" s="1"/>
  <c r="Y90" i="47" s="1"/>
  <c r="S62" i="47"/>
  <c r="T62" i="47" s="1"/>
  <c r="Z62" i="47" s="1"/>
  <c r="Y62" i="47" s="1"/>
  <c r="S33" i="47"/>
  <c r="T33" i="47" s="1"/>
  <c r="S36" i="47"/>
  <c r="T36" i="47" s="1"/>
  <c r="Z36" i="47" s="1"/>
  <c r="Y36" i="47" s="1"/>
  <c r="S106" i="47"/>
  <c r="T106" i="47" s="1"/>
  <c r="Z106" i="47" s="1"/>
  <c r="Y106" i="47" s="1"/>
  <c r="S69" i="47"/>
  <c r="T69" i="47" s="1"/>
  <c r="R105" i="32"/>
  <c r="S126" i="39"/>
  <c r="AP11" i="25"/>
  <c r="AI5" i="25"/>
  <c r="BG23" i="35"/>
  <c r="BG26" i="35"/>
  <c r="AP15" i="25"/>
  <c r="AR15" i="25"/>
  <c r="Z19" i="9" s="1"/>
  <c r="AA19" i="9" s="1"/>
  <c r="BO10" i="24"/>
  <c r="AY14" i="24"/>
  <c r="H14" i="24"/>
  <c r="AY10" i="24"/>
  <c r="H10" i="24"/>
  <c r="AM10" i="23"/>
  <c r="AX10" i="26" s="1"/>
  <c r="AN10" i="26"/>
  <c r="AM29" i="23"/>
  <c r="AX29" i="26" s="1"/>
  <c r="AN29" i="26"/>
  <c r="G24" i="23"/>
  <c r="AN24" i="24" s="1"/>
  <c r="O39" i="6"/>
  <c r="AM8" i="23"/>
  <c r="AX8" i="26" s="1"/>
  <c r="AN8" i="26"/>
  <c r="AK16" i="24"/>
  <c r="P16" i="23"/>
  <c r="AV16" i="26" s="1"/>
  <c r="U5" i="23"/>
  <c r="S7" i="23"/>
  <c r="AB7" i="23" s="1"/>
  <c r="AK20" i="24"/>
  <c r="P20" i="23"/>
  <c r="AV20" i="26" s="1"/>
  <c r="BC20" i="26" s="1"/>
  <c r="AO6" i="26"/>
  <c r="K56" i="6"/>
  <c r="W64" i="6"/>
  <c r="L92" i="6"/>
  <c r="M60" i="6"/>
  <c r="M97" i="6"/>
  <c r="L90" i="6"/>
  <c r="CD5" i="5"/>
  <c r="CT12" i="5"/>
  <c r="CT11" i="5"/>
  <c r="CT10" i="5"/>
  <c r="AF19" i="5"/>
  <c r="BF35" i="5"/>
  <c r="BE35" i="5"/>
  <c r="BD35" i="5"/>
  <c r="BB35" i="5"/>
  <c r="BB15" i="5"/>
  <c r="BF15" i="5"/>
  <c r="BE15" i="5"/>
  <c r="BD15" i="5"/>
  <c r="BF26" i="5"/>
  <c r="BD26" i="5"/>
  <c r="BB26" i="5"/>
  <c r="BE26" i="5"/>
  <c r="CD30" i="26"/>
  <c r="CC30" i="26"/>
  <c r="AO17" i="26"/>
  <c r="AK5" i="26"/>
  <c r="AK26" i="26"/>
  <c r="AN26" i="26"/>
  <c r="AL26" i="26"/>
  <c r="AX26" i="26"/>
  <c r="AL4" i="26"/>
  <c r="AN7" i="26"/>
  <c r="CF22" i="7"/>
  <c r="BW22" i="7"/>
  <c r="BN22" i="7"/>
  <c r="CE22" i="7"/>
  <c r="BV22" i="7"/>
  <c r="CD22" i="7"/>
  <c r="AI22" i="7"/>
  <c r="AQ22" i="7"/>
  <c r="AH22" i="7"/>
  <c r="AY22" i="7"/>
  <c r="AP22" i="7"/>
  <c r="BG22" i="7"/>
  <c r="AX22" i="7"/>
  <c r="BO22" i="7"/>
  <c r="BF22" i="7"/>
  <c r="X83" i="49"/>
  <c r="CX6" i="49"/>
  <c r="DM21" i="49"/>
  <c r="CR21" i="49"/>
  <c r="T192" i="49" s="1"/>
  <c r="AQ21" i="49"/>
  <c r="G192" i="49" s="1"/>
  <c r="U21" i="49"/>
  <c r="BU21" i="49"/>
  <c r="FL21" i="49"/>
  <c r="AI192" i="49" s="1"/>
  <c r="DK21" i="49"/>
  <c r="V192" i="49" s="1"/>
  <c r="CO21" i="49"/>
  <c r="BT21" i="49"/>
  <c r="O192" i="49" s="1"/>
  <c r="S21" i="49"/>
  <c r="B192" i="49" s="1"/>
  <c r="AW21" i="49"/>
  <c r="FI21" i="49"/>
  <c r="EN21" i="49"/>
  <c r="AD192" i="49" s="1"/>
  <c r="BQ21" i="49"/>
  <c r="AV21" i="49"/>
  <c r="J192" i="49" s="1"/>
  <c r="DQ21" i="49"/>
  <c r="Y21" i="49"/>
  <c r="EK21" i="49"/>
  <c r="DP21" i="49"/>
  <c r="Y192" i="49" s="1"/>
  <c r="BO21" i="49"/>
  <c r="L192" i="49" s="1"/>
  <c r="AS21" i="49"/>
  <c r="X21" i="49"/>
  <c r="E192" i="49" s="1"/>
  <c r="H119" i="7"/>
  <c r="D86" i="49"/>
  <c r="F9" i="49"/>
  <c r="DA15" i="49"/>
  <c r="BE15" i="49"/>
  <c r="I15" i="49"/>
  <c r="EV15" i="49"/>
  <c r="AI92" i="49" s="1"/>
  <c r="CZ15" i="49"/>
  <c r="Y92" i="49" s="1"/>
  <c r="BD15" i="49"/>
  <c r="O92" i="49" s="1"/>
  <c r="AA15" i="49"/>
  <c r="G92" i="49" s="1"/>
  <c r="H15" i="49"/>
  <c r="E92" i="49" s="1"/>
  <c r="ES15" i="49"/>
  <c r="CW15" i="49"/>
  <c r="BA15" i="49"/>
  <c r="E15" i="49"/>
  <c r="AG15" i="49"/>
  <c r="DX15" i="49"/>
  <c r="AD92" i="49" s="1"/>
  <c r="CU15" i="49"/>
  <c r="V92" i="49" s="1"/>
  <c r="CB15" i="49"/>
  <c r="T92" i="49" s="1"/>
  <c r="AY15" i="49"/>
  <c r="L92" i="49" s="1"/>
  <c r="AF15" i="49"/>
  <c r="J92" i="49" s="1"/>
  <c r="C15" i="49"/>
  <c r="B92" i="49" s="1"/>
  <c r="DU15" i="49"/>
  <c r="BY15" i="49"/>
  <c r="AC15" i="49"/>
  <c r="FA10" i="49"/>
  <c r="DE10" i="49"/>
  <c r="BI10" i="49"/>
  <c r="M10" i="49"/>
  <c r="AO10" i="49"/>
  <c r="F108" i="7"/>
  <c r="EF10" i="49"/>
  <c r="AD127" i="49" s="1"/>
  <c r="DC10" i="49"/>
  <c r="V127" i="49" s="1"/>
  <c r="CJ10" i="49"/>
  <c r="T127" i="49" s="1"/>
  <c r="BG10" i="49"/>
  <c r="L127" i="49" s="1"/>
  <c r="AN10" i="49"/>
  <c r="J127" i="49" s="1"/>
  <c r="K10" i="49"/>
  <c r="B127" i="49" s="1"/>
  <c r="EC10" i="49"/>
  <c r="CG10" i="49"/>
  <c r="AK10" i="49"/>
  <c r="DI10" i="49"/>
  <c r="BM10" i="49"/>
  <c r="Q10" i="49"/>
  <c r="FD10" i="49"/>
  <c r="AI127" i="49" s="1"/>
  <c r="DH10" i="49"/>
  <c r="Y127" i="49" s="1"/>
  <c r="BL10" i="49"/>
  <c r="O127" i="49" s="1"/>
  <c r="AI10" i="49"/>
  <c r="G127" i="49" s="1"/>
  <c r="P10" i="49"/>
  <c r="E127" i="49" s="1"/>
  <c r="AP30" i="25"/>
  <c r="X85" i="49"/>
  <c r="CX8" i="49"/>
  <c r="AI19" i="7"/>
  <c r="AI42" i="7" s="1"/>
  <c r="AQ19" i="7"/>
  <c r="AH19" i="7"/>
  <c r="AH42" i="7" s="1"/>
  <c r="AY19" i="7"/>
  <c r="AP19" i="7"/>
  <c r="BG19" i="7"/>
  <c r="AX19" i="7"/>
  <c r="BO19" i="7"/>
  <c r="BF19" i="7"/>
  <c r="CF19" i="7"/>
  <c r="BW19" i="7"/>
  <c r="BN19" i="7"/>
  <c r="CE19" i="7"/>
  <c r="BV19" i="7"/>
  <c r="CD19" i="7"/>
  <c r="DB15" i="7"/>
  <c r="DK15" i="7" s="1"/>
  <c r="DT15" i="7" s="1"/>
  <c r="EC15" i="7" s="1"/>
  <c r="EL15" i="7" s="1"/>
  <c r="S83" i="49"/>
  <c r="BZ6" i="49"/>
  <c r="AU36" i="7"/>
  <c r="BC36" i="7" s="1"/>
  <c r="CR15" i="7"/>
  <c r="DA15" i="7" s="1"/>
  <c r="DJ15" i="7" s="1"/>
  <c r="DS15" i="7" s="1"/>
  <c r="EB15" i="7" s="1"/>
  <c r="EK15" i="7" s="1"/>
  <c r="AC126" i="49"/>
  <c r="ED9" i="49"/>
  <c r="X81" i="49"/>
  <c r="CX4" i="49"/>
  <c r="H86" i="1"/>
  <c r="J86" i="1"/>
  <c r="K86" i="1" s="1"/>
  <c r="J91" i="1"/>
  <c r="K91" i="1" s="1"/>
  <c r="J81" i="1"/>
  <c r="K81" i="1" s="1"/>
  <c r="H81" i="1"/>
  <c r="G19" i="30"/>
  <c r="F19" i="30"/>
  <c r="H107" i="63"/>
  <c r="S65" i="63"/>
  <c r="Q208" i="63"/>
  <c r="X143" i="63"/>
  <c r="U69" i="63"/>
  <c r="U66" i="63"/>
  <c r="X110" i="63"/>
  <c r="G22" i="30"/>
  <c r="F22" i="30"/>
  <c r="N57" i="63"/>
  <c r="K43" i="30"/>
  <c r="N43" i="30" s="1"/>
  <c r="K45" i="30"/>
  <c r="N45" i="30" s="1"/>
  <c r="R46" i="30"/>
  <c r="G20" i="30"/>
  <c r="Q157" i="63"/>
  <c r="H92" i="63"/>
  <c r="S64" i="63"/>
  <c r="Q121" i="63"/>
  <c r="Q91" i="63"/>
  <c r="H179" i="63"/>
  <c r="S69" i="63"/>
  <c r="L107" i="55"/>
  <c r="R3" i="55" s="1"/>
  <c r="L34" i="55"/>
  <c r="V4" i="55" s="1"/>
  <c r="AB30" i="66"/>
  <c r="AB45" i="66"/>
  <c r="T40" i="51"/>
  <c r="S40" i="51"/>
  <c r="S145" i="51"/>
  <c r="T145" i="51"/>
  <c r="S132" i="51"/>
  <c r="T132" i="51"/>
  <c r="T32" i="51"/>
  <c r="S32" i="51"/>
  <c r="S41" i="51"/>
  <c r="T41" i="51"/>
  <c r="S64" i="47"/>
  <c r="T64" i="47" s="1"/>
  <c r="Z64" i="47" s="1"/>
  <c r="Y64" i="47" s="1"/>
  <c r="S68" i="47"/>
  <c r="T68" i="47" s="1"/>
  <c r="Z68" i="47" s="1"/>
  <c r="Y68" i="47" s="1"/>
  <c r="K26" i="47"/>
  <c r="K28" i="47"/>
  <c r="K24" i="47"/>
  <c r="S31" i="47"/>
  <c r="T31" i="47" s="1"/>
  <c r="C116" i="41"/>
  <c r="C117" i="41" s="1"/>
  <c r="S112" i="47"/>
  <c r="T112" i="47" s="1"/>
  <c r="Z112" i="47" s="1"/>
  <c r="Y112" i="47" s="1"/>
  <c r="S61" i="47"/>
  <c r="T61" i="47" s="1"/>
  <c r="J66" i="32"/>
  <c r="C57" i="47" s="1"/>
  <c r="K66" i="32"/>
  <c r="R108" i="32"/>
  <c r="AR16" i="25"/>
  <c r="Z20" i="9" s="1"/>
  <c r="AP16" i="25"/>
  <c r="O107" i="39"/>
  <c r="P107" i="39" s="1"/>
  <c r="BO31" i="24"/>
  <c r="AR14" i="25"/>
  <c r="Z18" i="9" s="1"/>
  <c r="AP14" i="25"/>
  <c r="AP18" i="25"/>
  <c r="BO30" i="24"/>
  <c r="T6" i="25"/>
  <c r="AK32" i="24"/>
  <c r="P32" i="23"/>
  <c r="AV32" i="26" s="1"/>
  <c r="AL32" i="26"/>
  <c r="AK22" i="24"/>
  <c r="P22" i="23"/>
  <c r="AV22" i="26" s="1"/>
  <c r="AO15" i="26"/>
  <c r="AJ15" i="24"/>
  <c r="N15" i="23"/>
  <c r="AU15" i="26" s="1"/>
  <c r="AK15" i="26"/>
  <c r="R72" i="6"/>
  <c r="T72" i="6" s="1"/>
  <c r="F12" i="23"/>
  <c r="AM12" i="24" s="1"/>
  <c r="H59" i="9"/>
  <c r="O42" i="6"/>
  <c r="M81" i="6"/>
  <c r="AD25" i="24"/>
  <c r="N106" i="6"/>
  <c r="F5" i="23"/>
  <c r="AM5" i="24" s="1"/>
  <c r="M69" i="6"/>
  <c r="AN17" i="26"/>
  <c r="AX17" i="26"/>
  <c r="P23" i="23"/>
  <c r="AV23" i="26" s="1"/>
  <c r="AL23" i="26"/>
  <c r="P5" i="23"/>
  <c r="AV5" i="26" s="1"/>
  <c r="BC5" i="26" s="1"/>
  <c r="AK5" i="24"/>
  <c r="K55" i="6"/>
  <c r="O40" i="6"/>
  <c r="BF19" i="5"/>
  <c r="BE19" i="5"/>
  <c r="BD19" i="5"/>
  <c r="BB19" i="5"/>
  <c r="P86" i="6"/>
  <c r="P53" i="6"/>
  <c r="P97" i="6"/>
  <c r="N90" i="6"/>
  <c r="CD4" i="5"/>
  <c r="CS12" i="5"/>
  <c r="CS11" i="5"/>
  <c r="CS10" i="5"/>
  <c r="E25" i="2"/>
  <c r="AF16" i="5"/>
  <c r="AK30" i="26"/>
  <c r="AO30" i="26"/>
  <c r="AL30" i="26"/>
  <c r="BC30" i="26" s="1"/>
  <c r="AL31" i="26"/>
  <c r="AO9" i="26"/>
  <c r="AL7" i="26"/>
  <c r="AO23" i="26"/>
  <c r="AO29" i="26"/>
  <c r="AN25" i="26"/>
  <c r="AN21" i="26"/>
  <c r="I126" i="49"/>
  <c r="AL9" i="49"/>
  <c r="N81" i="49"/>
  <c r="BB4" i="49"/>
  <c r="BO23" i="7"/>
  <c r="BF23" i="7"/>
  <c r="CF23" i="7"/>
  <c r="BW23" i="7"/>
  <c r="BN23" i="7"/>
  <c r="CE23" i="7"/>
  <c r="BV23" i="7"/>
  <c r="CD23" i="7"/>
  <c r="AI23" i="7"/>
  <c r="AQ23" i="7"/>
  <c r="AH23" i="7"/>
  <c r="AY23" i="7"/>
  <c r="AP23" i="7"/>
  <c r="BG23" i="7"/>
  <c r="AX23" i="7"/>
  <c r="R22" i="7"/>
  <c r="CJ13" i="7"/>
  <c r="N84" i="49"/>
  <c r="BB7" i="49"/>
  <c r="DA11" i="49"/>
  <c r="BE11" i="49"/>
  <c r="I11" i="49"/>
  <c r="EV11" i="49"/>
  <c r="AI88" i="49" s="1"/>
  <c r="CZ11" i="49"/>
  <c r="Y88" i="49" s="1"/>
  <c r="BD11" i="49"/>
  <c r="O88" i="49" s="1"/>
  <c r="AA11" i="49"/>
  <c r="G88" i="49" s="1"/>
  <c r="H11" i="49"/>
  <c r="E88" i="49" s="1"/>
  <c r="ES11" i="49"/>
  <c r="CW11" i="49"/>
  <c r="BA11" i="49"/>
  <c r="E11" i="49"/>
  <c r="AG11" i="49"/>
  <c r="DX11" i="49"/>
  <c r="AD88" i="49" s="1"/>
  <c r="CU11" i="49"/>
  <c r="V88" i="49" s="1"/>
  <c r="CB11" i="49"/>
  <c r="T88" i="49" s="1"/>
  <c r="AY11" i="49"/>
  <c r="L88" i="49" s="1"/>
  <c r="AF11" i="49"/>
  <c r="J88" i="49" s="1"/>
  <c r="C11" i="49"/>
  <c r="B88" i="49" s="1"/>
  <c r="DU11" i="49"/>
  <c r="BY11" i="49"/>
  <c r="AC11" i="49"/>
  <c r="W95" i="7"/>
  <c r="S95" i="7"/>
  <c r="AQ18" i="7"/>
  <c r="AQ41" i="7" s="1"/>
  <c r="AH18" i="7"/>
  <c r="AH41" i="7" s="1"/>
  <c r="AY18" i="7"/>
  <c r="AY41" i="7" s="1"/>
  <c r="AP18" i="7"/>
  <c r="AP41" i="7" s="1"/>
  <c r="BG18" i="7"/>
  <c r="AX18" i="7"/>
  <c r="AX41" i="7" s="1"/>
  <c r="BO18" i="7"/>
  <c r="BF18" i="7"/>
  <c r="CF18" i="7"/>
  <c r="BW18" i="7"/>
  <c r="BN18" i="7"/>
  <c r="CE18" i="7"/>
  <c r="BV18" i="7"/>
  <c r="CD18" i="7"/>
  <c r="AR18" i="7"/>
  <c r="AR41" i="7" s="1"/>
  <c r="AI18" i="7"/>
  <c r="AI41" i="7" s="1"/>
  <c r="AP12" i="25"/>
  <c r="AH83" i="49"/>
  <c r="ET6" i="49"/>
  <c r="I86" i="49"/>
  <c r="AD9" i="49"/>
  <c r="W96" i="7"/>
  <c r="Y96" i="7" s="1"/>
  <c r="I11" i="6" s="1"/>
  <c r="S96" i="7"/>
  <c r="G51" i="7"/>
  <c r="BX4" i="7" s="1"/>
  <c r="DX4" i="49"/>
  <c r="AD81" i="49" s="1"/>
  <c r="EV4" i="49"/>
  <c r="AI81" i="49" s="1"/>
  <c r="G50" i="7"/>
  <c r="BP4" i="7" s="1"/>
  <c r="I81" i="49"/>
  <c r="AD4" i="49"/>
  <c r="E26" i="2"/>
  <c r="O32" i="60"/>
  <c r="N32" i="60"/>
  <c r="J88" i="1"/>
  <c r="K88" i="1" s="1"/>
  <c r="H88" i="1"/>
  <c r="G115" i="62"/>
  <c r="D115" i="62"/>
  <c r="E115" i="62"/>
  <c r="H115" i="62"/>
  <c r="J115" i="62"/>
  <c r="H79" i="1"/>
  <c r="I79" i="1" s="1"/>
  <c r="E99" i="1" s="1"/>
  <c r="J79" i="1"/>
  <c r="K79" i="1" s="1"/>
  <c r="AB5" i="66"/>
  <c r="AC5" i="66" s="1"/>
  <c r="AD5" i="66" s="1"/>
  <c r="AE5" i="66" s="1"/>
  <c r="AB3" i="66"/>
  <c r="AC3" i="66" s="1"/>
  <c r="AD3" i="66" s="1"/>
  <c r="AE3" i="66" s="1"/>
  <c r="AB6" i="66"/>
  <c r="AC6" i="66" s="1"/>
  <c r="AD6" i="66" s="1"/>
  <c r="AE6" i="66" s="1"/>
  <c r="AB7" i="66"/>
  <c r="AC7" i="66" s="1"/>
  <c r="AD7" i="66" s="1"/>
  <c r="AE7" i="66" s="1"/>
  <c r="AD19" i="57"/>
  <c r="AD16" i="57"/>
  <c r="AD15" i="57"/>
  <c r="AD14" i="57"/>
  <c r="AD13" i="57"/>
  <c r="AD12" i="57"/>
  <c r="AD21" i="57"/>
  <c r="AD18" i="57"/>
  <c r="AD20" i="57"/>
  <c r="AD17" i="57"/>
  <c r="AB33" i="66"/>
  <c r="AB38" i="66"/>
  <c r="AB18" i="66"/>
  <c r="AB20" i="66"/>
  <c r="AB17" i="66"/>
  <c r="T143" i="51"/>
  <c r="S143" i="51"/>
  <c r="T42" i="51"/>
  <c r="S42" i="51"/>
  <c r="T131" i="51"/>
  <c r="S131" i="51"/>
  <c r="S139" i="51"/>
  <c r="T139" i="51"/>
  <c r="K139" i="47"/>
  <c r="K151" i="47"/>
  <c r="K141" i="47"/>
  <c r="K145" i="47"/>
  <c r="K159" i="47"/>
  <c r="K123" i="47"/>
  <c r="K115" i="47"/>
  <c r="K97" i="47"/>
  <c r="K157" i="47"/>
  <c r="K131" i="47"/>
  <c r="K107" i="47"/>
  <c r="K95" i="47"/>
  <c r="S74" i="47"/>
  <c r="T74" i="47" s="1"/>
  <c r="Z74" i="47" s="1"/>
  <c r="Y74" i="47" s="1"/>
  <c r="S76" i="47"/>
  <c r="T76" i="47" s="1"/>
  <c r="Z76" i="47" s="1"/>
  <c r="Y76" i="47" s="1"/>
  <c r="S111" i="47"/>
  <c r="T111" i="47" s="1"/>
  <c r="S71" i="47"/>
  <c r="T71" i="47" s="1"/>
  <c r="J199" i="41"/>
  <c r="H200" i="41"/>
  <c r="W75" i="32"/>
  <c r="Y75" i="32" s="1"/>
  <c r="W74" i="32"/>
  <c r="Y74" i="32" s="1"/>
  <c r="S98" i="47"/>
  <c r="T98" i="47" s="1"/>
  <c r="Z98" i="47" s="1"/>
  <c r="Y98" i="47" s="1"/>
  <c r="K63" i="32"/>
  <c r="J63" i="32"/>
  <c r="R111" i="32"/>
  <c r="R110" i="32"/>
  <c r="AP22" i="25"/>
  <c r="AP31" i="25"/>
  <c r="AR6" i="25"/>
  <c r="Z10" i="9" s="1"/>
  <c r="AA10" i="9" s="1"/>
  <c r="AB10" i="9" s="1"/>
  <c r="AP6" i="25"/>
  <c r="AP19" i="25"/>
  <c r="AB6" i="25"/>
  <c r="AC6" i="25" s="1"/>
  <c r="Z7" i="25"/>
  <c r="AA6" i="25"/>
  <c r="H27" i="24"/>
  <c r="AY27" i="24"/>
  <c r="AP7" i="25"/>
  <c r="AT25" i="35"/>
  <c r="BO14" i="24"/>
  <c r="AM14" i="23"/>
  <c r="AX14" i="26" s="1"/>
  <c r="AN14" i="26"/>
  <c r="K67" i="6"/>
  <c r="R67" i="6"/>
  <c r="T67" i="6" s="1"/>
  <c r="P67" i="6"/>
  <c r="M56" i="6"/>
  <c r="V56" i="6"/>
  <c r="AM11" i="23"/>
  <c r="AX11" i="26" s="1"/>
  <c r="AN11" i="26"/>
  <c r="O45" i="6"/>
  <c r="Q45" i="6" s="1"/>
  <c r="AK11" i="24"/>
  <c r="P11" i="23"/>
  <c r="AV11" i="26" s="1"/>
  <c r="AL11" i="26"/>
  <c r="Y16" i="23"/>
  <c r="AL16" i="23" s="1"/>
  <c r="AN16" i="23" s="1"/>
  <c r="AO16" i="23" s="1"/>
  <c r="F10" i="23"/>
  <c r="AM10" i="24" s="1"/>
  <c r="AO32" i="26"/>
  <c r="O105" i="6"/>
  <c r="AL24" i="24" s="1"/>
  <c r="M111" i="6"/>
  <c r="M90" i="6"/>
  <c r="P74" i="6"/>
  <c r="O20" i="6"/>
  <c r="O114" i="6"/>
  <c r="AL33" i="24" s="1"/>
  <c r="L94" i="6"/>
  <c r="M34" i="6"/>
  <c r="M36" i="6"/>
  <c r="M38" i="6"/>
  <c r="BN27" i="5"/>
  <c r="AI25" i="5"/>
  <c r="M30" i="6"/>
  <c r="BN28" i="5"/>
  <c r="M33" i="6"/>
  <c r="AK25" i="5"/>
  <c r="BN7" i="5"/>
  <c r="AJ25" i="5"/>
  <c r="BN18" i="5"/>
  <c r="BN17" i="5"/>
  <c r="BN8" i="5"/>
  <c r="CD6" i="5"/>
  <c r="CU12" i="5"/>
  <c r="CU11" i="5"/>
  <c r="CU10" i="5"/>
  <c r="E29" i="2"/>
  <c r="BF29" i="5"/>
  <c r="M47" i="6"/>
  <c r="M41" i="6"/>
  <c r="M44" i="6"/>
  <c r="AK27" i="5"/>
  <c r="AJ26" i="5"/>
  <c r="BN20" i="5"/>
  <c r="AJ27" i="5"/>
  <c r="AI26" i="5"/>
  <c r="BN19" i="5"/>
  <c r="BN10" i="5"/>
  <c r="BN29" i="5"/>
  <c r="BN30" i="5"/>
  <c r="AK26" i="5"/>
  <c r="AI27" i="5"/>
  <c r="BN9" i="5"/>
  <c r="AK27" i="26"/>
  <c r="BB27" i="26" s="1"/>
  <c r="AL27" i="26"/>
  <c r="BC27" i="26" s="1"/>
  <c r="CD16" i="26"/>
  <c r="CC16" i="26"/>
  <c r="BI5" i="26"/>
  <c r="BJ5" i="26" s="1"/>
  <c r="BH4" i="26"/>
  <c r="AN19" i="26"/>
  <c r="CF14" i="7"/>
  <c r="BW14" i="7"/>
  <c r="BN14" i="7"/>
  <c r="CE14" i="7"/>
  <c r="BV14" i="7"/>
  <c r="CD14" i="7"/>
  <c r="AI14" i="7"/>
  <c r="AI39" i="7" s="1"/>
  <c r="AQ14" i="7"/>
  <c r="AH14" i="7"/>
  <c r="AH39" i="7" s="1"/>
  <c r="AY14" i="7"/>
  <c r="AP14" i="7"/>
  <c r="BG14" i="7"/>
  <c r="AX14" i="7"/>
  <c r="BO14" i="7"/>
  <c r="BF14" i="7"/>
  <c r="AC84" i="49"/>
  <c r="DV7" i="49"/>
  <c r="AG12" i="49"/>
  <c r="DX12" i="49"/>
  <c r="AD89" i="49" s="1"/>
  <c r="CU12" i="49"/>
  <c r="V89" i="49" s="1"/>
  <c r="CB12" i="49"/>
  <c r="T89" i="49" s="1"/>
  <c r="AY12" i="49"/>
  <c r="L89" i="49" s="1"/>
  <c r="AF12" i="49"/>
  <c r="J89" i="49" s="1"/>
  <c r="C12" i="49"/>
  <c r="B89" i="49" s="1"/>
  <c r="DU12" i="49"/>
  <c r="BY12" i="49"/>
  <c r="AC12" i="49"/>
  <c r="DA12" i="49"/>
  <c r="BE12" i="49"/>
  <c r="I12" i="49"/>
  <c r="EV12" i="49"/>
  <c r="AI89" i="49" s="1"/>
  <c r="CZ12" i="49"/>
  <c r="Y89" i="49" s="1"/>
  <c r="BD12" i="49"/>
  <c r="O89" i="49" s="1"/>
  <c r="AA12" i="49"/>
  <c r="G89" i="49" s="1"/>
  <c r="H12" i="49"/>
  <c r="E89" i="49" s="1"/>
  <c r="ES12" i="49"/>
  <c r="CW12" i="49"/>
  <c r="BA12" i="49"/>
  <c r="E12" i="49"/>
  <c r="Z16" i="7"/>
  <c r="X86" i="49"/>
  <c r="CX9" i="49"/>
  <c r="X82" i="49"/>
  <c r="CX5" i="49"/>
  <c r="AF24" i="7"/>
  <c r="AF16" i="7"/>
  <c r="AF17" i="7"/>
  <c r="AF40" i="7" s="1"/>
  <c r="AF9" i="7"/>
  <c r="AF35" i="7" s="1"/>
  <c r="AF8" i="7"/>
  <c r="AF7" i="7"/>
  <c r="AF6" i="7"/>
  <c r="AF33" i="7" s="1"/>
  <c r="AF5" i="7"/>
  <c r="AF27" i="7"/>
  <c r="AF18" i="7"/>
  <c r="AF41" i="7" s="1"/>
  <c r="AF19" i="7"/>
  <c r="AF42" i="7" s="1"/>
  <c r="AF12" i="7"/>
  <c r="AF37" i="7" s="1"/>
  <c r="AF26" i="7"/>
  <c r="AF20" i="7"/>
  <c r="AF21" i="7"/>
  <c r="AF13" i="7"/>
  <c r="AF38" i="7" s="1"/>
  <c r="AF11" i="7"/>
  <c r="H46" i="7"/>
  <c r="AK4" i="7" s="1"/>
  <c r="AK31" i="7" s="1"/>
  <c r="AF25" i="7"/>
  <c r="AF22" i="7"/>
  <c r="AF14" i="7"/>
  <c r="AF39" i="7" s="1"/>
  <c r="AF23" i="7"/>
  <c r="AF15" i="7"/>
  <c r="AF10" i="7"/>
  <c r="AF36" i="7" s="1"/>
  <c r="AF4" i="7"/>
  <c r="AF31" i="7" s="1"/>
  <c r="R15" i="7"/>
  <c r="CJ6" i="7"/>
  <c r="N126" i="49"/>
  <c r="BJ9" i="49"/>
  <c r="I82" i="49"/>
  <c r="AD5" i="49"/>
  <c r="R17" i="7"/>
  <c r="CJ8" i="7"/>
  <c r="DB10" i="7"/>
  <c r="DK10" i="7" s="1"/>
  <c r="DT10" i="7" s="1"/>
  <c r="EC10" i="7" s="1"/>
  <c r="EL10" i="7" s="1"/>
  <c r="EF9" i="49"/>
  <c r="AD126" i="49" s="1"/>
  <c r="X84" i="49"/>
  <c r="CX7" i="49"/>
  <c r="DA13" i="49"/>
  <c r="BE13" i="49"/>
  <c r="I13" i="49"/>
  <c r="EV13" i="49"/>
  <c r="AI90" i="49" s="1"/>
  <c r="CZ13" i="49"/>
  <c r="Y90" i="49" s="1"/>
  <c r="BD13" i="49"/>
  <c r="O90" i="49" s="1"/>
  <c r="AA13" i="49"/>
  <c r="G90" i="49" s="1"/>
  <c r="H13" i="49"/>
  <c r="E90" i="49" s="1"/>
  <c r="ES13" i="49"/>
  <c r="CW13" i="49"/>
  <c r="BA13" i="49"/>
  <c r="E13" i="49"/>
  <c r="AG13" i="49"/>
  <c r="DX13" i="49"/>
  <c r="AD90" i="49" s="1"/>
  <c r="CU13" i="49"/>
  <c r="V90" i="49" s="1"/>
  <c r="CB13" i="49"/>
  <c r="T90" i="49" s="1"/>
  <c r="AY13" i="49"/>
  <c r="L90" i="49" s="1"/>
  <c r="AF13" i="49"/>
  <c r="J90" i="49" s="1"/>
  <c r="C13" i="49"/>
  <c r="B90" i="49" s="1"/>
  <c r="DU13" i="49"/>
  <c r="BY13" i="49"/>
  <c r="AC13" i="49"/>
  <c r="H14" i="34"/>
  <c r="L9" i="25"/>
  <c r="K14" i="26"/>
  <c r="S80" i="6"/>
  <c r="T80" i="6" s="1"/>
  <c r="S75" i="6"/>
  <c r="T75" i="6" s="1"/>
  <c r="S74" i="6"/>
  <c r="S76" i="6"/>
  <c r="CB4" i="49"/>
  <c r="T81" i="49" s="1"/>
  <c r="G49" i="7"/>
  <c r="BH4" i="7" s="1"/>
  <c r="AM42" i="7"/>
  <c r="L115" i="62"/>
  <c r="J80" i="1"/>
  <c r="K80" i="1" s="1"/>
  <c r="J73" i="1"/>
  <c r="K73" i="1" s="1"/>
  <c r="H73" i="1"/>
  <c r="AH15" i="7" l="1"/>
  <c r="AY15" i="7"/>
  <c r="BW15" i="7"/>
  <c r="CF15" i="7"/>
  <c r="AQ15" i="7"/>
  <c r="BF15" i="7"/>
  <c r="AI15" i="7"/>
  <c r="BO15" i="7"/>
  <c r="CD15" i="7"/>
  <c r="AX15" i="7"/>
  <c r="BV15" i="7"/>
  <c r="BG15" i="7"/>
  <c r="CE15" i="7"/>
  <c r="AP15" i="7"/>
  <c r="AC19" i="9"/>
  <c r="AC18" i="9"/>
  <c r="K5" i="34"/>
  <c r="O242" i="51"/>
  <c r="R308" i="51"/>
  <c r="S308" i="51" s="1"/>
  <c r="S336" i="51"/>
  <c r="O222" i="51"/>
  <c r="R234" i="51"/>
  <c r="O322" i="51"/>
  <c r="O342" i="51"/>
  <c r="O212" i="51"/>
  <c r="R334" i="51"/>
  <c r="AC32" i="9"/>
  <c r="T9" i="24"/>
  <c r="S335" i="51"/>
  <c r="Y4" i="23"/>
  <c r="AL4" i="23" s="1"/>
  <c r="AN4" i="23" s="1"/>
  <c r="AO4" i="23" s="1"/>
  <c r="T348" i="51"/>
  <c r="S348" i="51"/>
  <c r="M118" i="47"/>
  <c r="AA118" i="47" s="1"/>
  <c r="AB118" i="47" s="1"/>
  <c r="M124" i="47"/>
  <c r="M126" i="47"/>
  <c r="AA126" i="47" s="1"/>
  <c r="AB126" i="47" s="1"/>
  <c r="M104" i="47"/>
  <c r="AA104" i="47" s="1"/>
  <c r="AB104" i="47" s="1"/>
  <c r="M82" i="47"/>
  <c r="AA82" i="47" s="1"/>
  <c r="AB82" i="47" s="1"/>
  <c r="M106" i="47"/>
  <c r="AA106" i="47" s="1"/>
  <c r="AB106" i="47" s="1"/>
  <c r="M28" i="47"/>
  <c r="M112" i="47"/>
  <c r="AA112" i="47" s="1"/>
  <c r="AB112" i="47" s="1"/>
  <c r="M116" i="47"/>
  <c r="AA116" i="47" s="1"/>
  <c r="AB116" i="47" s="1"/>
  <c r="M78" i="47"/>
  <c r="AA78" i="47" s="1"/>
  <c r="AB78" i="47" s="1"/>
  <c r="M80" i="47"/>
  <c r="AA80" i="47" s="1"/>
  <c r="AB80" i="47" s="1"/>
  <c r="M92" i="47"/>
  <c r="AA92" i="47" s="1"/>
  <c r="AB92" i="47" s="1"/>
  <c r="M36" i="47"/>
  <c r="AA36" i="47" s="1"/>
  <c r="AB36" i="47" s="1"/>
  <c r="M100" i="47"/>
  <c r="AA100" i="47" s="1"/>
  <c r="AB100" i="47" s="1"/>
  <c r="M32" i="47"/>
  <c r="AA32" i="47" s="1"/>
  <c r="AB32" i="47" s="1"/>
  <c r="M152" i="47"/>
  <c r="AA152" i="47" s="1"/>
  <c r="AB152" i="47" s="1"/>
  <c r="M130" i="47"/>
  <c r="AA130" i="47" s="1"/>
  <c r="AB130" i="47" s="1"/>
  <c r="M68" i="47"/>
  <c r="AA68" i="47" s="1"/>
  <c r="AB68" i="47" s="1"/>
  <c r="M160" i="47"/>
  <c r="AA160" i="47" s="1"/>
  <c r="AB160" i="47" s="1"/>
  <c r="M156" i="47"/>
  <c r="AA156" i="47" s="1"/>
  <c r="AB156" i="47" s="1"/>
  <c r="M70" i="47"/>
  <c r="AA70" i="47" s="1"/>
  <c r="AB70" i="47" s="1"/>
  <c r="M72" i="47"/>
  <c r="AA72" i="47" s="1"/>
  <c r="AB72" i="47" s="1"/>
  <c r="M74" i="47"/>
  <c r="AA74" i="47" s="1"/>
  <c r="AB74" i="47" s="1"/>
  <c r="M98" i="47"/>
  <c r="AA98" i="47" s="1"/>
  <c r="AB98" i="47" s="1"/>
  <c r="M88" i="47"/>
  <c r="AA88" i="47" s="1"/>
  <c r="AB88" i="47" s="1"/>
  <c r="M62" i="47"/>
  <c r="AA62" i="47" s="1"/>
  <c r="AB62" i="47" s="1"/>
  <c r="M144" i="47"/>
  <c r="AA144" i="47" s="1"/>
  <c r="AB144" i="47" s="1"/>
  <c r="M150" i="47"/>
  <c r="M110" i="47"/>
  <c r="AA110" i="47" s="1"/>
  <c r="AB110" i="47" s="1"/>
  <c r="M34" i="47"/>
  <c r="AA34" i="47" s="1"/>
  <c r="AB34" i="47" s="1"/>
  <c r="M102" i="47"/>
  <c r="AA102" i="47" s="1"/>
  <c r="AB102" i="47" s="1"/>
  <c r="M26" i="47"/>
  <c r="AA26" i="47" s="1"/>
  <c r="AB26" i="47" s="1"/>
  <c r="M76" i="47"/>
  <c r="AA76" i="47" s="1"/>
  <c r="AB76" i="47" s="1"/>
  <c r="M24" i="47"/>
  <c r="M64" i="47"/>
  <c r="AA64" i="47" s="1"/>
  <c r="AB64" i="47" s="1"/>
  <c r="M38" i="47"/>
  <c r="AA38" i="47" s="1"/>
  <c r="AB38" i="47" s="1"/>
  <c r="M136" i="47"/>
  <c r="AA136" i="47" s="1"/>
  <c r="AB136" i="47" s="1"/>
  <c r="M148" i="47"/>
  <c r="AA148" i="47" s="1"/>
  <c r="AB148" i="47" s="1"/>
  <c r="M96" i="47"/>
  <c r="AA96" i="47" s="1"/>
  <c r="AB96" i="47" s="1"/>
  <c r="M154" i="47"/>
  <c r="AA154" i="47" s="1"/>
  <c r="AB154" i="47" s="1"/>
  <c r="M90" i="47"/>
  <c r="AA90" i="47" s="1"/>
  <c r="AB90" i="47" s="1"/>
  <c r="M146" i="47"/>
  <c r="AA146" i="47" s="1"/>
  <c r="AB146" i="47" s="1"/>
  <c r="M66" i="47"/>
  <c r="AA66" i="47" s="1"/>
  <c r="AB66" i="47" s="1"/>
  <c r="M86" i="47"/>
  <c r="AA86" i="47" s="1"/>
  <c r="AB86" i="47" s="1"/>
  <c r="M158" i="47"/>
  <c r="AA158" i="47" s="1"/>
  <c r="AB158" i="47" s="1"/>
  <c r="M132" i="47"/>
  <c r="AA132" i="47" s="1"/>
  <c r="AB132" i="47" s="1"/>
  <c r="M128" i="47"/>
  <c r="AA128" i="47" s="1"/>
  <c r="AB128" i="47" s="1"/>
  <c r="M122" i="47"/>
  <c r="AA122" i="47" s="1"/>
  <c r="AB122" i="47" s="1"/>
  <c r="M94" i="47"/>
  <c r="AA94" i="47" s="1"/>
  <c r="AB94" i="47" s="1"/>
  <c r="M142" i="47"/>
  <c r="AA142" i="47" s="1"/>
  <c r="AB142" i="47" s="1"/>
  <c r="M60" i="47"/>
  <c r="AA60" i="47" s="1"/>
  <c r="AB60" i="47" s="1"/>
  <c r="M138" i="47"/>
  <c r="AA138" i="47" s="1"/>
  <c r="AB138" i="47" s="1"/>
  <c r="M40" i="47"/>
  <c r="AA40" i="47" s="1"/>
  <c r="AB40" i="47" s="1"/>
  <c r="M120" i="47"/>
  <c r="AA120" i="47" s="1"/>
  <c r="AB120" i="47" s="1"/>
  <c r="M114" i="47"/>
  <c r="AA114" i="47" s="1"/>
  <c r="AB114" i="47" s="1"/>
  <c r="M84" i="47"/>
  <c r="AA84" i="47" s="1"/>
  <c r="AB84" i="47" s="1"/>
  <c r="M140" i="47"/>
  <c r="M108" i="47"/>
  <c r="AA108" i="47" s="1"/>
  <c r="AB108" i="47" s="1"/>
  <c r="M134" i="47"/>
  <c r="AA134" i="47" s="1"/>
  <c r="AB134" i="47" s="1"/>
  <c r="M30" i="47"/>
  <c r="AA30" i="47" s="1"/>
  <c r="AB30" i="47" s="1"/>
  <c r="AC27" i="9"/>
  <c r="Y22" i="23"/>
  <c r="AL22" i="23" s="1"/>
  <c r="AN22" i="23" s="1"/>
  <c r="AP22" i="23" s="1"/>
  <c r="AY22" i="26" s="1"/>
  <c r="W70" i="6"/>
  <c r="AG28" i="35"/>
  <c r="AG27" i="35"/>
  <c r="AC24" i="9"/>
  <c r="M15" i="9"/>
  <c r="AS22" i="7"/>
  <c r="Q46" i="6"/>
  <c r="AN4" i="26"/>
  <c r="BX4" i="26" s="1"/>
  <c r="AH5" i="35" s="1"/>
  <c r="Q20" i="6"/>
  <c r="Q24" i="6"/>
  <c r="AC33" i="9"/>
  <c r="W15" i="23"/>
  <c r="AD15" i="23" s="1"/>
  <c r="AG15" i="23" s="1"/>
  <c r="AI15" i="23" s="1"/>
  <c r="AW15" i="26" s="1"/>
  <c r="T15" i="24"/>
  <c r="T87" i="6"/>
  <c r="AJ18" i="7"/>
  <c r="AJ41" i="7" s="1"/>
  <c r="S30" i="47"/>
  <c r="T30" i="47" s="1"/>
  <c r="Z30" i="47" s="1"/>
  <c r="Y30" i="47" s="1"/>
  <c r="AC22" i="9"/>
  <c r="N30" i="9"/>
  <c r="AC34" i="9"/>
  <c r="M11" i="9"/>
  <c r="AG22" i="35"/>
  <c r="AG21" i="35"/>
  <c r="V81" i="6"/>
  <c r="W72" i="6"/>
  <c r="R74" i="6"/>
  <c r="T74" i="6" s="1"/>
  <c r="S26" i="23"/>
  <c r="AB26" i="23" s="1"/>
  <c r="O107" i="6"/>
  <c r="AL26" i="24" s="1"/>
  <c r="H63" i="9"/>
  <c r="V74" i="6"/>
  <c r="V72" i="6"/>
  <c r="W61" i="6"/>
  <c r="S25" i="23"/>
  <c r="AB25" i="23" s="1"/>
  <c r="H62" i="9"/>
  <c r="O106" i="6"/>
  <c r="AL25" i="24" s="1"/>
  <c r="H56" i="9"/>
  <c r="S19" i="23"/>
  <c r="AB19" i="23" s="1"/>
  <c r="H54" i="9"/>
  <c r="R65" i="6"/>
  <c r="T65" i="6" s="1"/>
  <c r="S17" i="23"/>
  <c r="AB17" i="23" s="1"/>
  <c r="V73" i="6"/>
  <c r="W73" i="6" s="1"/>
  <c r="H48" i="9"/>
  <c r="S11" i="23"/>
  <c r="AB11" i="23" s="1"/>
  <c r="H58" i="9"/>
  <c r="S21" i="23"/>
  <c r="AB21" i="23" s="1"/>
  <c r="V69" i="6"/>
  <c r="Q37" i="6"/>
  <c r="BA14" i="7"/>
  <c r="BA39" i="7" s="1"/>
  <c r="AZ22" i="7"/>
  <c r="BA15" i="7"/>
  <c r="BA18" i="7"/>
  <c r="BA41" i="7" s="1"/>
  <c r="AZ17" i="7"/>
  <c r="AZ40" i="7" s="1"/>
  <c r="AC26" i="9"/>
  <c r="W9" i="23"/>
  <c r="AD9" i="23" s="1"/>
  <c r="AG9" i="23" s="1"/>
  <c r="AI9" i="23" s="1"/>
  <c r="AW9" i="26" s="1"/>
  <c r="Q21" i="6"/>
  <c r="BA23" i="7"/>
  <c r="W6" i="23"/>
  <c r="AD6" i="23" s="1"/>
  <c r="AG6" i="23" s="1"/>
  <c r="AI6" i="23" s="1"/>
  <c r="AW6" i="26" s="1"/>
  <c r="AC8" i="9"/>
  <c r="T6" i="24"/>
  <c r="G10" i="9" s="1"/>
  <c r="AC36" i="9"/>
  <c r="AC31" i="9"/>
  <c r="AR23" i="7"/>
  <c r="AR22" i="7"/>
  <c r="AR24" i="7"/>
  <c r="AR19" i="7"/>
  <c r="AR42" i="7" s="1"/>
  <c r="AR14" i="7"/>
  <c r="AR39" i="7" s="1"/>
  <c r="CT10" i="7"/>
  <c r="N14" i="9"/>
  <c r="N16" i="9"/>
  <c r="L29" i="9"/>
  <c r="DC15" i="7"/>
  <c r="N23" i="9"/>
  <c r="L37" i="9"/>
  <c r="K22" i="9"/>
  <c r="K26" i="9"/>
  <c r="L35" i="9"/>
  <c r="M37" i="9"/>
  <c r="L17" i="9"/>
  <c r="L28" i="9"/>
  <c r="O13" i="9"/>
  <c r="AC13" i="9" s="1"/>
  <c r="N9" i="9"/>
  <c r="L36" i="9"/>
  <c r="L20" i="9"/>
  <c r="O9" i="9"/>
  <c r="AC9" i="9" s="1"/>
  <c r="L30" i="9"/>
  <c r="K32" i="9"/>
  <c r="L18" i="9"/>
  <c r="L12" i="9"/>
  <c r="K24" i="9"/>
  <c r="L33" i="9"/>
  <c r="L19" i="9"/>
  <c r="L9" i="9"/>
  <c r="L11" i="9"/>
  <c r="N17" i="9"/>
  <c r="K12" i="9"/>
  <c r="L10" i="9"/>
  <c r="K9" i="9"/>
  <c r="K28" i="9"/>
  <c r="K18" i="9"/>
  <c r="L22" i="9"/>
  <c r="L34" i="9"/>
  <c r="K31" i="9"/>
  <c r="O16" i="9"/>
  <c r="AC16" i="9" s="1"/>
  <c r="L15" i="9"/>
  <c r="K19" i="9"/>
  <c r="K8" i="9"/>
  <c r="K17" i="9"/>
  <c r="K29" i="9"/>
  <c r="K25" i="9"/>
  <c r="L31" i="9"/>
  <c r="K37" i="9"/>
  <c r="L21" i="9"/>
  <c r="L13" i="9"/>
  <c r="K36" i="9"/>
  <c r="N35" i="9"/>
  <c r="AC35" i="9" s="1"/>
  <c r="K33" i="9"/>
  <c r="K34" i="9"/>
  <c r="K14" i="9"/>
  <c r="K13" i="9"/>
  <c r="K30" i="9"/>
  <c r="O30" i="9"/>
  <c r="L24" i="9"/>
  <c r="M23" i="9"/>
  <c r="L8" i="9"/>
  <c r="L14" i="9"/>
  <c r="K23" i="9"/>
  <c r="N25" i="9"/>
  <c r="K35" i="9"/>
  <c r="O10" i="9"/>
  <c r="AC10" i="9" s="1"/>
  <c r="L26" i="9"/>
  <c r="O28" i="9"/>
  <c r="N20" i="9"/>
  <c r="AC20" i="9" s="1"/>
  <c r="M17" i="9"/>
  <c r="O14" i="9"/>
  <c r="AC14" i="9" s="1"/>
  <c r="N37" i="9"/>
  <c r="K20" i="9"/>
  <c r="N29" i="9"/>
  <c r="L16" i="9"/>
  <c r="L32" i="9"/>
  <c r="K16" i="9"/>
  <c r="L25" i="9"/>
  <c r="L23" i="9"/>
  <c r="O17" i="9"/>
  <c r="O31" i="9"/>
  <c r="O113" i="32"/>
  <c r="R112" i="32"/>
  <c r="AN23" i="26"/>
  <c r="BB33" i="26"/>
  <c r="AN30" i="26"/>
  <c r="AN30" i="23"/>
  <c r="AP30" i="23" s="1"/>
  <c r="AY30" i="26" s="1"/>
  <c r="T99" i="6"/>
  <c r="Q40" i="6"/>
  <c r="AN16" i="26"/>
  <c r="BC16" i="26"/>
  <c r="DC10" i="7"/>
  <c r="BX14" i="7"/>
  <c r="AS19" i="7"/>
  <c r="AS42" i="7" s="1"/>
  <c r="AS18" i="7"/>
  <c r="AS41" i="7" s="1"/>
  <c r="AS14" i="7"/>
  <c r="AS39" i="7" s="1"/>
  <c r="AS24" i="7"/>
  <c r="AO15" i="23"/>
  <c r="CT15" i="7"/>
  <c r="AS23" i="7"/>
  <c r="AZ14" i="7"/>
  <c r="AZ39" i="7" s="1"/>
  <c r="AZ15" i="7"/>
  <c r="AZ18" i="7"/>
  <c r="AZ41" i="7" s="1"/>
  <c r="CT11" i="7"/>
  <c r="AZ23" i="7"/>
  <c r="AZ19" i="7"/>
  <c r="AZ42" i="7" s="1"/>
  <c r="AZ24" i="7"/>
  <c r="BA17" i="7"/>
  <c r="BA40" i="7" s="1"/>
  <c r="W5" i="23"/>
  <c r="AD5" i="23" s="1"/>
  <c r="BA24" i="7"/>
  <c r="S86" i="6"/>
  <c r="T86" i="6" s="1"/>
  <c r="BA22" i="7"/>
  <c r="BP14" i="7"/>
  <c r="BA19" i="7"/>
  <c r="BA42" i="7" s="1"/>
  <c r="AN15" i="26"/>
  <c r="DC4" i="7"/>
  <c r="Q39" i="6"/>
  <c r="BC15" i="26"/>
  <c r="AO14" i="23"/>
  <c r="AN31" i="26"/>
  <c r="AM18" i="26"/>
  <c r="AN5" i="26"/>
  <c r="AN6" i="26"/>
  <c r="BU4" i="26"/>
  <c r="BB21" i="26"/>
  <c r="T58" i="6"/>
  <c r="S34" i="47"/>
  <c r="T34" i="47" s="1"/>
  <c r="Z34" i="47" s="1"/>
  <c r="Y34" i="47" s="1"/>
  <c r="S38" i="47"/>
  <c r="T38" i="47" s="1"/>
  <c r="Z38" i="47" s="1"/>
  <c r="Y38" i="47" s="1"/>
  <c r="AC10" i="66"/>
  <c r="AD10" i="66" s="1"/>
  <c r="AE10" i="66" s="1"/>
  <c r="AC14" i="66"/>
  <c r="AD14" i="66" s="1"/>
  <c r="AE14" i="66" s="1"/>
  <c r="AC12" i="66"/>
  <c r="AD12" i="66" s="1"/>
  <c r="AE12" i="66" s="1"/>
  <c r="AC15" i="66"/>
  <c r="AD15" i="66" s="1"/>
  <c r="AE15" i="66" s="1"/>
  <c r="AC13" i="66"/>
  <c r="AD13" i="66" s="1"/>
  <c r="AE13" i="66" s="1"/>
  <c r="AC11" i="66"/>
  <c r="AD11" i="66" s="1"/>
  <c r="AE11" i="66" s="1"/>
  <c r="AC9" i="66"/>
  <c r="AD9" i="66" s="1"/>
  <c r="AE9" i="66" s="1"/>
  <c r="AC18" i="66"/>
  <c r="AD18" i="66" s="1"/>
  <c r="AE18" i="66" s="1"/>
  <c r="S236" i="51"/>
  <c r="T235" i="51"/>
  <c r="S233" i="51"/>
  <c r="S248" i="51"/>
  <c r="T248" i="51"/>
  <c r="S35" i="51"/>
  <c r="T36" i="51"/>
  <c r="T133" i="51"/>
  <c r="T33" i="51"/>
  <c r="T135" i="51"/>
  <c r="T136" i="51"/>
  <c r="O182" i="51"/>
  <c r="O142" i="51"/>
  <c r="O12" i="51"/>
  <c r="Q58" i="6"/>
  <c r="Y10" i="23"/>
  <c r="AL10" i="23" s="1"/>
  <c r="AN10" i="23" s="1"/>
  <c r="AP10" i="23" s="1"/>
  <c r="AY10" i="26" s="1"/>
  <c r="T101" i="6"/>
  <c r="BB20" i="26"/>
  <c r="BT4" i="26"/>
  <c r="BC6" i="26"/>
  <c r="Q42" i="6"/>
  <c r="BE22" i="26"/>
  <c r="BC13" i="26"/>
  <c r="BC19" i="26"/>
  <c r="BC22" i="26"/>
  <c r="BC31" i="26"/>
  <c r="BC33" i="26"/>
  <c r="BB29" i="26"/>
  <c r="BC8" i="26"/>
  <c r="S91" i="6"/>
  <c r="T91" i="6" s="1"/>
  <c r="BB13" i="26"/>
  <c r="BB9" i="26"/>
  <c r="T10" i="24"/>
  <c r="AP32" i="23"/>
  <c r="AY32" i="26" s="1"/>
  <c r="BB23" i="26"/>
  <c r="AO29" i="23"/>
  <c r="AP29" i="23"/>
  <c r="AY29" i="26" s="1"/>
  <c r="AS17" i="7"/>
  <c r="AS40" i="7" s="1"/>
  <c r="AO6" i="24"/>
  <c r="BB7" i="26"/>
  <c r="BB12" i="26"/>
  <c r="S92" i="6"/>
  <c r="T92" i="6" s="1"/>
  <c r="T11" i="24"/>
  <c r="BC18" i="26"/>
  <c r="AR17" i="7"/>
  <c r="AR40" i="7" s="1"/>
  <c r="Q23" i="6"/>
  <c r="Q48" i="6"/>
  <c r="AO5" i="24"/>
  <c r="G9" i="9"/>
  <c r="AJ23" i="7"/>
  <c r="BB15" i="26"/>
  <c r="W32" i="23"/>
  <c r="AD32" i="23" s="1"/>
  <c r="T32" i="24"/>
  <c r="AJ14" i="7"/>
  <c r="AJ39" i="7" s="1"/>
  <c r="BC23" i="26"/>
  <c r="AJ22" i="7"/>
  <c r="BB11" i="26"/>
  <c r="BB14" i="26"/>
  <c r="T76" i="6"/>
  <c r="CK12" i="7"/>
  <c r="BH14" i="7"/>
  <c r="CT4" i="7"/>
  <c r="AJ17" i="7"/>
  <c r="AJ40" i="7" s="1"/>
  <c r="W26" i="23"/>
  <c r="AD26" i="23" s="1"/>
  <c r="T26" i="24"/>
  <c r="BP18" i="7"/>
  <c r="AJ24" i="7"/>
  <c r="BB18" i="26"/>
  <c r="BE23" i="26"/>
  <c r="BC17" i="26"/>
  <c r="DC11" i="7"/>
  <c r="BB28" i="26"/>
  <c r="BB19" i="26"/>
  <c r="BC14" i="26"/>
  <c r="BP23" i="7"/>
  <c r="BE15" i="26"/>
  <c r="AO23" i="23"/>
  <c r="S85" i="6"/>
  <c r="T85" i="6" s="1"/>
  <c r="T4" i="24"/>
  <c r="AJ19" i="7"/>
  <c r="AJ42" i="7" s="1"/>
  <c r="AO28" i="23"/>
  <c r="AP28" i="23"/>
  <c r="AY28" i="26" s="1"/>
  <c r="BC29" i="5"/>
  <c r="BG29" i="5" s="1"/>
  <c r="BC30" i="5"/>
  <c r="BG30" i="5" s="1"/>
  <c r="O34" i="6"/>
  <c r="Q34" i="6" s="1"/>
  <c r="O44" i="6"/>
  <c r="O33" i="6"/>
  <c r="BC11" i="26"/>
  <c r="S89" i="6"/>
  <c r="T89" i="6" s="1"/>
  <c r="T8" i="24"/>
  <c r="W8" i="23"/>
  <c r="AD8" i="23" s="1"/>
  <c r="AB7" i="25"/>
  <c r="AC7" i="25" s="1"/>
  <c r="Z8" i="25"/>
  <c r="AA7" i="25"/>
  <c r="S95" i="47"/>
  <c r="T95" i="47" s="1"/>
  <c r="S145" i="47"/>
  <c r="T145" i="47" s="1"/>
  <c r="L79" i="1"/>
  <c r="AH88" i="49"/>
  <c r="ET11" i="49"/>
  <c r="S26" i="47"/>
  <c r="T26" i="47" s="1"/>
  <c r="Z26" i="47" s="1"/>
  <c r="Y26" i="47" s="1"/>
  <c r="I106" i="63"/>
  <c r="T65" i="63"/>
  <c r="I127" i="49"/>
  <c r="AL10" i="49"/>
  <c r="AC92" i="49"/>
  <c r="DV15" i="49"/>
  <c r="N92" i="49"/>
  <c r="BB15" i="49"/>
  <c r="AC192" i="49"/>
  <c r="EL21" i="49"/>
  <c r="S192" i="49"/>
  <c r="CP21" i="49"/>
  <c r="R45" i="30"/>
  <c r="CW23" i="49"/>
  <c r="CB23" i="49"/>
  <c r="T95" i="49" s="1"/>
  <c r="AA23" i="49"/>
  <c r="G95" i="49" s="1"/>
  <c r="E23" i="49"/>
  <c r="BE23" i="49"/>
  <c r="EV23" i="49"/>
  <c r="AI95" i="49" s="1"/>
  <c r="CU23" i="49"/>
  <c r="V95" i="49" s="1"/>
  <c r="BY23" i="49"/>
  <c r="BD23" i="49"/>
  <c r="O95" i="49" s="1"/>
  <c r="C23" i="49"/>
  <c r="B95" i="49" s="1"/>
  <c r="AG23" i="49"/>
  <c r="ES23" i="49"/>
  <c r="DX23" i="49"/>
  <c r="AD95" i="49" s="1"/>
  <c r="BA23" i="49"/>
  <c r="AF23" i="49"/>
  <c r="J95" i="49" s="1"/>
  <c r="DA23" i="49"/>
  <c r="I23" i="49"/>
  <c r="DU23" i="49"/>
  <c r="CZ23" i="49"/>
  <c r="Y95" i="49" s="1"/>
  <c r="AY23" i="49"/>
  <c r="L95" i="49" s="1"/>
  <c r="AC23" i="49"/>
  <c r="H23" i="49"/>
  <c r="E95" i="49" s="1"/>
  <c r="N93" i="49"/>
  <c r="BB21" i="49"/>
  <c r="D138" i="49"/>
  <c r="N21" i="49"/>
  <c r="P37" i="6"/>
  <c r="U22" i="24"/>
  <c r="M6" i="34"/>
  <c r="J7" i="34" s="1"/>
  <c r="L6" i="34"/>
  <c r="K6" i="34" s="1"/>
  <c r="T57" i="6"/>
  <c r="BH17" i="7"/>
  <c r="Y7" i="24"/>
  <c r="H88" i="6"/>
  <c r="AO10" i="26"/>
  <c r="T28" i="24"/>
  <c r="W28" i="23"/>
  <c r="AD28" i="23" s="1"/>
  <c r="S109" i="6"/>
  <c r="T109" i="6" s="1"/>
  <c r="R8" i="51"/>
  <c r="R34" i="51"/>
  <c r="O122" i="51"/>
  <c r="N91" i="49"/>
  <c r="BB14" i="49"/>
  <c r="AR15" i="7"/>
  <c r="BO6" i="5"/>
  <c r="BP6" i="5" s="1"/>
  <c r="BR6" i="5"/>
  <c r="O25" i="6"/>
  <c r="Q25" i="6" s="1"/>
  <c r="BB6" i="26"/>
  <c r="C55" i="47"/>
  <c r="I198" i="63"/>
  <c r="T70" i="63"/>
  <c r="R4" i="55"/>
  <c r="S110" i="47"/>
  <c r="T110" i="47" s="1"/>
  <c r="Z110" i="47" s="1"/>
  <c r="Y110" i="47" s="1"/>
  <c r="S146" i="47"/>
  <c r="T146" i="47" s="1"/>
  <c r="Z146" i="47" s="1"/>
  <c r="Y146" i="47" s="1"/>
  <c r="S126" i="47"/>
  <c r="T126" i="47" s="1"/>
  <c r="Z126" i="47" s="1"/>
  <c r="Y126" i="47" s="1"/>
  <c r="V5" i="55"/>
  <c r="V68" i="63"/>
  <c r="Y133" i="63"/>
  <c r="CR7" i="7"/>
  <c r="CK7" i="7"/>
  <c r="BP5" i="7"/>
  <c r="BG5" i="7"/>
  <c r="AX5" i="7"/>
  <c r="BX5" i="7"/>
  <c r="BO5" i="7"/>
  <c r="BF5" i="7"/>
  <c r="CF5" i="7"/>
  <c r="BW5" i="7"/>
  <c r="BN5" i="7"/>
  <c r="CD5" i="7"/>
  <c r="AS5" i="7"/>
  <c r="AJ5" i="7"/>
  <c r="AJ32" i="7" s="1"/>
  <c r="BA5" i="7"/>
  <c r="AR5" i="7"/>
  <c r="AI5" i="7"/>
  <c r="AI32" i="7" s="1"/>
  <c r="AZ5" i="7"/>
  <c r="AQ5" i="7"/>
  <c r="AH5" i="7"/>
  <c r="AH32" i="7" s="1"/>
  <c r="AK5" i="7"/>
  <c r="AK32" i="7" s="1"/>
  <c r="BH5" i="7"/>
  <c r="CE5" i="7"/>
  <c r="BV5" i="7"/>
  <c r="AY5" i="7"/>
  <c r="AP5" i="7"/>
  <c r="Q66" i="6"/>
  <c r="Y18" i="23"/>
  <c r="AL18" i="23" s="1"/>
  <c r="AN18" i="23" s="1"/>
  <c r="AC30" i="66"/>
  <c r="AD30" i="66" s="1"/>
  <c r="AE30" i="66" s="1"/>
  <c r="AC24" i="66"/>
  <c r="AD24" i="66" s="1"/>
  <c r="AE24" i="66" s="1"/>
  <c r="AC22" i="66"/>
  <c r="AD22" i="66" s="1"/>
  <c r="AE22" i="66" s="1"/>
  <c r="AC34" i="66"/>
  <c r="AD34" i="66" s="1"/>
  <c r="AE34" i="66" s="1"/>
  <c r="AC23" i="66"/>
  <c r="AD23" i="66" s="1"/>
  <c r="AE23" i="66" s="1"/>
  <c r="AC36" i="66"/>
  <c r="AD36" i="66" s="1"/>
  <c r="AE36" i="66" s="1"/>
  <c r="AC32" i="66"/>
  <c r="AD32" i="66" s="1"/>
  <c r="AE32" i="66" s="1"/>
  <c r="Q69" i="6"/>
  <c r="Y21" i="23"/>
  <c r="AL21" i="23" s="1"/>
  <c r="Q112" i="6"/>
  <c r="U31" i="23"/>
  <c r="G31" i="23"/>
  <c r="AN31" i="24" s="1"/>
  <c r="V2" i="55"/>
  <c r="AG18" i="23"/>
  <c r="AI18" i="23" s="1"/>
  <c r="AW18" i="26" s="1"/>
  <c r="AG31" i="23"/>
  <c r="AI31" i="23" s="1"/>
  <c r="AW31" i="26" s="1"/>
  <c r="AM31" i="26"/>
  <c r="BB16" i="26"/>
  <c r="Y25" i="23"/>
  <c r="AL25" i="23" s="1"/>
  <c r="Q73" i="6"/>
  <c r="BC12" i="26"/>
  <c r="BB22" i="26"/>
  <c r="BB25" i="26"/>
  <c r="AG14" i="23"/>
  <c r="AI14" i="23" s="1"/>
  <c r="AW14" i="26" s="1"/>
  <c r="AM14" i="26"/>
  <c r="AG20" i="23"/>
  <c r="AI20" i="23" s="1"/>
  <c r="AW20" i="26" s="1"/>
  <c r="AM20" i="26"/>
  <c r="AG29" i="23"/>
  <c r="AI29" i="23" s="1"/>
  <c r="AW29" i="26" s="1"/>
  <c r="AM29" i="26"/>
  <c r="AH90" i="49"/>
  <c r="ET13" i="49"/>
  <c r="BG8" i="35"/>
  <c r="BG7" i="35"/>
  <c r="BG6" i="35"/>
  <c r="M28" i="9"/>
  <c r="AC28" i="9" s="1"/>
  <c r="BG10" i="35"/>
  <c r="BG13" i="35"/>
  <c r="BG9" i="35"/>
  <c r="BG11" i="35"/>
  <c r="BG12" i="35"/>
  <c r="BG5" i="35"/>
  <c r="BG4" i="35"/>
  <c r="S159" i="47"/>
  <c r="T159" i="47" s="1"/>
  <c r="BO10" i="5"/>
  <c r="BP10" i="5" s="1"/>
  <c r="BR10" i="5"/>
  <c r="O41" i="6"/>
  <c r="Q41" i="6" s="1"/>
  <c r="Q67" i="6"/>
  <c r="W67" i="6"/>
  <c r="Y19" i="23"/>
  <c r="AL19" i="23" s="1"/>
  <c r="S107" i="47"/>
  <c r="T107" i="47" s="1"/>
  <c r="S141" i="47"/>
  <c r="T141" i="47" s="1"/>
  <c r="J22" i="5"/>
  <c r="J21" i="5"/>
  <c r="J23" i="5"/>
  <c r="J20" i="5"/>
  <c r="J14" i="5"/>
  <c r="J17" i="5"/>
  <c r="J15" i="5"/>
  <c r="J16" i="5"/>
  <c r="J19" i="5"/>
  <c r="J18" i="5"/>
  <c r="CN13" i="7"/>
  <c r="CM13" i="7"/>
  <c r="CK13" i="7"/>
  <c r="CS13" i="7"/>
  <c r="AK23" i="7"/>
  <c r="Y5" i="23"/>
  <c r="AL5" i="23" s="1"/>
  <c r="AN5" i="23" s="1"/>
  <c r="Q53" i="6"/>
  <c r="U7" i="23"/>
  <c r="Q88" i="6"/>
  <c r="R55" i="6"/>
  <c r="T55" i="6" s="1"/>
  <c r="G7" i="23"/>
  <c r="AN7" i="24" s="1"/>
  <c r="AJ7" i="23"/>
  <c r="P42" i="6"/>
  <c r="U27" i="24"/>
  <c r="I91" i="63"/>
  <c r="T64" i="63"/>
  <c r="BX19" i="7"/>
  <c r="S127" i="49"/>
  <c r="CH10" i="49"/>
  <c r="X92" i="49"/>
  <c r="CX15" i="49"/>
  <c r="BP22" i="7"/>
  <c r="U24" i="24"/>
  <c r="P39" i="6"/>
  <c r="T148" i="51"/>
  <c r="S148" i="51"/>
  <c r="R43" i="30"/>
  <c r="I121" i="63"/>
  <c r="T66" i="63"/>
  <c r="AZ27" i="7"/>
  <c r="AQ27" i="7"/>
  <c r="CW15" i="7" s="1"/>
  <c r="AH27" i="7"/>
  <c r="CM15" i="7" s="1"/>
  <c r="BH27" i="7"/>
  <c r="AY27" i="7"/>
  <c r="DF15" i="7" s="1"/>
  <c r="AP27" i="7"/>
  <c r="CV15" i="7" s="1"/>
  <c r="BP27" i="7"/>
  <c r="BG27" i="7"/>
  <c r="DO15" i="7" s="1"/>
  <c r="AX27" i="7"/>
  <c r="DE15" i="7" s="1"/>
  <c r="BX27" i="7"/>
  <c r="BO27" i="7"/>
  <c r="DX15" i="7" s="1"/>
  <c r="BF27" i="7"/>
  <c r="DN15" i="7" s="1"/>
  <c r="CF27" i="7"/>
  <c r="EQ15" i="7" s="1"/>
  <c r="BW27" i="7"/>
  <c r="EG15" i="7" s="1"/>
  <c r="BN27" i="7"/>
  <c r="DW15" i="7" s="1"/>
  <c r="CE27" i="7"/>
  <c r="EP15" i="7" s="1"/>
  <c r="BV27" i="7"/>
  <c r="EF15" i="7" s="1"/>
  <c r="AK27" i="7"/>
  <c r="CD27" i="7"/>
  <c r="EO15" i="7" s="1"/>
  <c r="AS27" i="7"/>
  <c r="AJ27" i="7"/>
  <c r="BA27" i="7"/>
  <c r="AR27" i="7"/>
  <c r="AI27" i="7"/>
  <c r="CN15" i="7" s="1"/>
  <c r="DA24" i="49"/>
  <c r="I24" i="49"/>
  <c r="DU24" i="49"/>
  <c r="CZ24" i="49"/>
  <c r="Y96" i="49" s="1"/>
  <c r="AY24" i="49"/>
  <c r="L96" i="49" s="1"/>
  <c r="AC24" i="49"/>
  <c r="H24" i="49"/>
  <c r="E96" i="49" s="1"/>
  <c r="CW24" i="49"/>
  <c r="CB24" i="49"/>
  <c r="T96" i="49" s="1"/>
  <c r="AA24" i="49"/>
  <c r="G96" i="49" s="1"/>
  <c r="E24" i="49"/>
  <c r="BE24" i="49"/>
  <c r="EV24" i="49"/>
  <c r="AI96" i="49" s="1"/>
  <c r="CU24" i="49"/>
  <c r="V96" i="49" s="1"/>
  <c r="BY24" i="49"/>
  <c r="BD24" i="49"/>
  <c r="O96" i="49" s="1"/>
  <c r="C24" i="49"/>
  <c r="B96" i="49" s="1"/>
  <c r="AG24" i="49"/>
  <c r="ES24" i="49"/>
  <c r="DX24" i="49"/>
  <c r="AD96" i="49" s="1"/>
  <c r="BA24" i="49"/>
  <c r="AF24" i="49"/>
  <c r="J96" i="49" s="1"/>
  <c r="CW27" i="49"/>
  <c r="CB27" i="49"/>
  <c r="T99" i="49" s="1"/>
  <c r="AA27" i="49"/>
  <c r="G99" i="49" s="1"/>
  <c r="E27" i="49"/>
  <c r="BE27" i="49"/>
  <c r="EV27" i="49"/>
  <c r="AI99" i="49" s="1"/>
  <c r="CU27" i="49"/>
  <c r="V99" i="49" s="1"/>
  <c r="BY27" i="49"/>
  <c r="BD27" i="49"/>
  <c r="O99" i="49" s="1"/>
  <c r="C27" i="49"/>
  <c r="B99" i="49" s="1"/>
  <c r="AG27" i="49"/>
  <c r="ES27" i="49"/>
  <c r="DX27" i="49"/>
  <c r="AD99" i="49" s="1"/>
  <c r="BA27" i="49"/>
  <c r="AF27" i="49"/>
  <c r="J99" i="49" s="1"/>
  <c r="DA27" i="49"/>
  <c r="I27" i="49"/>
  <c r="DU27" i="49"/>
  <c r="CZ27" i="49"/>
  <c r="Y99" i="49" s="1"/>
  <c r="AY27" i="49"/>
  <c r="L99" i="49" s="1"/>
  <c r="AC27" i="49"/>
  <c r="H27" i="49"/>
  <c r="E99" i="49" s="1"/>
  <c r="I138" i="49"/>
  <c r="AL21" i="49"/>
  <c r="AK24" i="7"/>
  <c r="BP24" i="7"/>
  <c r="BB5" i="26"/>
  <c r="H93" i="6"/>
  <c r="Y12" i="24"/>
  <c r="W24" i="23"/>
  <c r="AD24" i="23" s="1"/>
  <c r="T24" i="24"/>
  <c r="S105" i="6"/>
  <c r="T105" i="6" s="1"/>
  <c r="Y163" i="63"/>
  <c r="V71" i="63"/>
  <c r="X91" i="49"/>
  <c r="CX14" i="49"/>
  <c r="I91" i="49"/>
  <c r="AD14" i="49"/>
  <c r="BH15" i="7"/>
  <c r="BO4" i="5"/>
  <c r="BP4" i="5" s="1"/>
  <c r="BR4" i="5"/>
  <c r="O28" i="6"/>
  <c r="Q28" i="6" s="1"/>
  <c r="AT22" i="35"/>
  <c r="M21" i="9"/>
  <c r="AC21" i="9" s="1"/>
  <c r="AT21" i="35"/>
  <c r="AT29" i="35"/>
  <c r="M25" i="9"/>
  <c r="AT31" i="35"/>
  <c r="AT32" i="35"/>
  <c r="AT30" i="35"/>
  <c r="S23" i="47"/>
  <c r="T23" i="47" s="1"/>
  <c r="BB24" i="26"/>
  <c r="CV10" i="5"/>
  <c r="CY4" i="5"/>
  <c r="M12" i="9"/>
  <c r="AG24" i="35"/>
  <c r="AG23" i="35"/>
  <c r="BC25" i="26"/>
  <c r="S136" i="47"/>
  <c r="T136" i="47" s="1"/>
  <c r="Z136" i="47" s="1"/>
  <c r="Y136" i="47" s="1"/>
  <c r="S140" i="47"/>
  <c r="T140" i="47" s="1"/>
  <c r="Z140" i="47" s="1"/>
  <c r="Y140" i="47" s="1"/>
  <c r="AA140" i="47"/>
  <c r="AB140" i="47" s="1"/>
  <c r="S134" i="47"/>
  <c r="T134" i="47" s="1"/>
  <c r="Z134" i="47" s="1"/>
  <c r="Y134" i="47" s="1"/>
  <c r="BP6" i="7"/>
  <c r="BG6" i="7"/>
  <c r="BG33" i="7" s="1"/>
  <c r="AX6" i="7"/>
  <c r="AX33" i="7" s="1"/>
  <c r="BX6" i="7"/>
  <c r="BO6" i="7"/>
  <c r="BF6" i="7"/>
  <c r="BF33" i="7" s="1"/>
  <c r="CF6" i="7"/>
  <c r="BW6" i="7"/>
  <c r="BN6" i="7"/>
  <c r="CD6" i="7"/>
  <c r="AS6" i="7"/>
  <c r="AS33" i="7" s="1"/>
  <c r="AJ6" i="7"/>
  <c r="AJ33" i="7" s="1"/>
  <c r="BA6" i="7"/>
  <c r="BA33" i="7" s="1"/>
  <c r="AR6" i="7"/>
  <c r="AR33" i="7" s="1"/>
  <c r="AI6" i="7"/>
  <c r="AI33" i="7" s="1"/>
  <c r="AZ6" i="7"/>
  <c r="AZ33" i="7" s="1"/>
  <c r="AQ6" i="7"/>
  <c r="AQ33" i="7" s="1"/>
  <c r="AH6" i="7"/>
  <c r="AH33" i="7" s="1"/>
  <c r="BV6" i="7"/>
  <c r="AY6" i="7"/>
  <c r="AY33" i="7" s="1"/>
  <c r="AP6" i="7"/>
  <c r="AP33" i="7" s="1"/>
  <c r="AK6" i="7"/>
  <c r="AK33" i="7" s="1"/>
  <c r="BH6" i="7"/>
  <c r="BH33" i="7" s="1"/>
  <c r="CE6" i="7"/>
  <c r="S5" i="26"/>
  <c r="W5" i="26"/>
  <c r="Y5" i="26" s="1"/>
  <c r="T6" i="26"/>
  <c r="U6" i="26" s="1"/>
  <c r="V5" i="26"/>
  <c r="G18" i="23"/>
  <c r="AN18" i="24" s="1"/>
  <c r="Q99" i="6"/>
  <c r="U18" i="23"/>
  <c r="T22" i="24"/>
  <c r="W22" i="23"/>
  <c r="AD22" i="23" s="1"/>
  <c r="S103" i="6"/>
  <c r="T103" i="6" s="1"/>
  <c r="AO17" i="24"/>
  <c r="G21" i="9"/>
  <c r="AC28" i="66"/>
  <c r="AD28" i="66" s="1"/>
  <c r="AE28" i="66" s="1"/>
  <c r="AC17" i="66"/>
  <c r="AD17" i="66" s="1"/>
  <c r="AE17" i="66" s="1"/>
  <c r="AC26" i="66"/>
  <c r="AD26" i="66" s="1"/>
  <c r="AE26" i="66" s="1"/>
  <c r="AC69" i="66"/>
  <c r="AD69" i="66" s="1"/>
  <c r="AE69" i="66" s="1"/>
  <c r="AC20" i="66"/>
  <c r="AD20" i="66" s="1"/>
  <c r="AE20" i="66" s="1"/>
  <c r="AC25" i="66"/>
  <c r="AD25" i="66" s="1"/>
  <c r="AE25" i="66" s="1"/>
  <c r="G33" i="23"/>
  <c r="AN33" i="24" s="1"/>
  <c r="U33" i="23"/>
  <c r="Q114" i="6"/>
  <c r="V3" i="55"/>
  <c r="AO18" i="24"/>
  <c r="G22" i="9"/>
  <c r="T110" i="6"/>
  <c r="I90" i="49"/>
  <c r="AD13" i="49"/>
  <c r="CK15" i="7"/>
  <c r="CK4" i="7"/>
  <c r="BP16" i="7"/>
  <c r="BG16" i="7"/>
  <c r="AX16" i="7"/>
  <c r="BX16" i="7"/>
  <c r="BO16" i="7"/>
  <c r="BF16" i="7"/>
  <c r="CF16" i="7"/>
  <c r="BW16" i="7"/>
  <c r="BN16" i="7"/>
  <c r="CE16" i="7"/>
  <c r="BV16" i="7"/>
  <c r="AK16" i="7"/>
  <c r="CD16" i="7"/>
  <c r="AS16" i="7"/>
  <c r="AJ16" i="7"/>
  <c r="BA16" i="7"/>
  <c r="AR16" i="7"/>
  <c r="AI16" i="7"/>
  <c r="CN6" i="7" s="1"/>
  <c r="AZ16" i="7"/>
  <c r="AQ16" i="7"/>
  <c r="AH16" i="7"/>
  <c r="CM6" i="7" s="1"/>
  <c r="BH16" i="7"/>
  <c r="AY16" i="7"/>
  <c r="AP16" i="7"/>
  <c r="AI4" i="35"/>
  <c r="AI5" i="35"/>
  <c r="BO19" i="5"/>
  <c r="BP19" i="5" s="1"/>
  <c r="BR19" i="5"/>
  <c r="O47" i="6"/>
  <c r="Q47" i="6" s="1"/>
  <c r="BR8" i="5"/>
  <c r="BO8" i="5"/>
  <c r="BP8" i="5" s="1"/>
  <c r="O30" i="6"/>
  <c r="Q30" i="6" s="1"/>
  <c r="S131" i="47"/>
  <c r="T131" i="47" s="1"/>
  <c r="S151" i="47"/>
  <c r="T151" i="47" s="1"/>
  <c r="BX18" i="7"/>
  <c r="W21" i="23"/>
  <c r="AD21" i="23" s="1"/>
  <c r="S102" i="6"/>
  <c r="T102" i="6" s="1"/>
  <c r="T21" i="24"/>
  <c r="BC32" i="26"/>
  <c r="V66" i="63"/>
  <c r="Y109" i="63"/>
  <c r="AC127" i="49"/>
  <c r="ED10" i="49"/>
  <c r="F109" i="7"/>
  <c r="EC11" i="49"/>
  <c r="CG11" i="49"/>
  <c r="AK11" i="49"/>
  <c r="DI11" i="49"/>
  <c r="BM11" i="49"/>
  <c r="Q11" i="49"/>
  <c r="FD11" i="49"/>
  <c r="AI128" i="49" s="1"/>
  <c r="DH11" i="49"/>
  <c r="Y128" i="49" s="1"/>
  <c r="BL11" i="49"/>
  <c r="O128" i="49" s="1"/>
  <c r="AI11" i="49"/>
  <c r="G128" i="49" s="1"/>
  <c r="P11" i="49"/>
  <c r="E128" i="49" s="1"/>
  <c r="FA11" i="49"/>
  <c r="DE11" i="49"/>
  <c r="BI11" i="49"/>
  <c r="M11" i="49"/>
  <c r="AO11" i="49"/>
  <c r="EF11" i="49"/>
  <c r="AD128" i="49" s="1"/>
  <c r="DC11" i="49"/>
  <c r="V128" i="49" s="1"/>
  <c r="CJ11" i="49"/>
  <c r="T128" i="49" s="1"/>
  <c r="BG11" i="49"/>
  <c r="L128" i="49" s="1"/>
  <c r="AN11" i="49"/>
  <c r="J128" i="49" s="1"/>
  <c r="K11" i="49"/>
  <c r="B128" i="49" s="1"/>
  <c r="D127" i="49"/>
  <c r="N10" i="49"/>
  <c r="AH92" i="49"/>
  <c r="ET15" i="49"/>
  <c r="AH192" i="49"/>
  <c r="FJ21" i="49"/>
  <c r="X192" i="49"/>
  <c r="DN21" i="49"/>
  <c r="CF25" i="7"/>
  <c r="EQ12" i="7" s="1"/>
  <c r="BW25" i="7"/>
  <c r="EG12" i="7" s="1"/>
  <c r="BN25" i="7"/>
  <c r="DW12" i="7" s="1"/>
  <c r="CE25" i="7"/>
  <c r="EP12" i="7" s="1"/>
  <c r="BV25" i="7"/>
  <c r="EF12" i="7" s="1"/>
  <c r="AK25" i="7"/>
  <c r="CD25" i="7"/>
  <c r="EO12" i="7" s="1"/>
  <c r="AS25" i="7"/>
  <c r="AJ25" i="7"/>
  <c r="BA25" i="7"/>
  <c r="AR25" i="7"/>
  <c r="AI25" i="7"/>
  <c r="CN12" i="7" s="1"/>
  <c r="AZ25" i="7"/>
  <c r="AQ25" i="7"/>
  <c r="CW12" i="7" s="1"/>
  <c r="AH25" i="7"/>
  <c r="CM12" i="7" s="1"/>
  <c r="BH25" i="7"/>
  <c r="AY25" i="7"/>
  <c r="DF12" i="7" s="1"/>
  <c r="AP25" i="7"/>
  <c r="CV12" i="7" s="1"/>
  <c r="BP25" i="7"/>
  <c r="BG25" i="7"/>
  <c r="DO12" i="7" s="1"/>
  <c r="AX25" i="7"/>
  <c r="DE12" i="7" s="1"/>
  <c r="BX25" i="7"/>
  <c r="BO25" i="7"/>
  <c r="DX12" i="7" s="1"/>
  <c r="BF25" i="7"/>
  <c r="DN12" i="7" s="1"/>
  <c r="DA28" i="49"/>
  <c r="I28" i="49"/>
  <c r="DU28" i="49"/>
  <c r="CZ28" i="49"/>
  <c r="Y100" i="49" s="1"/>
  <c r="AY28" i="49"/>
  <c r="L100" i="49" s="1"/>
  <c r="AC28" i="49"/>
  <c r="H28" i="49"/>
  <c r="E100" i="49" s="1"/>
  <c r="CW28" i="49"/>
  <c r="CB28" i="49"/>
  <c r="T100" i="49" s="1"/>
  <c r="AA28" i="49"/>
  <c r="G100" i="49" s="1"/>
  <c r="E28" i="49"/>
  <c r="BE28" i="49"/>
  <c r="EV28" i="49"/>
  <c r="AI100" i="49" s="1"/>
  <c r="CU28" i="49"/>
  <c r="V100" i="49" s="1"/>
  <c r="BY28" i="49"/>
  <c r="BD28" i="49"/>
  <c r="O100" i="49" s="1"/>
  <c r="C28" i="49"/>
  <c r="B100" i="49" s="1"/>
  <c r="AG28" i="49"/>
  <c r="ES28" i="49"/>
  <c r="DX28" i="49"/>
  <c r="AD100" i="49" s="1"/>
  <c r="BA28" i="49"/>
  <c r="AF28" i="49"/>
  <c r="J100" i="49" s="1"/>
  <c r="X93" i="49"/>
  <c r="CX21" i="49"/>
  <c r="DQ36" i="49"/>
  <c r="Y36" i="49"/>
  <c r="EK36" i="49"/>
  <c r="DP36" i="49"/>
  <c r="Y207" i="49" s="1"/>
  <c r="BO36" i="49"/>
  <c r="L207" i="49" s="1"/>
  <c r="AS36" i="49"/>
  <c r="X36" i="49"/>
  <c r="E207" i="49" s="1"/>
  <c r="DM36" i="49"/>
  <c r="CR36" i="49"/>
  <c r="T207" i="49" s="1"/>
  <c r="BU36" i="49"/>
  <c r="FL36" i="49"/>
  <c r="AI207" i="49" s="1"/>
  <c r="DK36" i="49"/>
  <c r="V207" i="49" s="1"/>
  <c r="CO36" i="49"/>
  <c r="BT36" i="49"/>
  <c r="O207" i="49" s="1"/>
  <c r="S36" i="49"/>
  <c r="B207" i="49" s="1"/>
  <c r="AW36" i="49"/>
  <c r="FI36" i="49"/>
  <c r="EN36" i="49"/>
  <c r="AD207" i="49" s="1"/>
  <c r="H134" i="7"/>
  <c r="AV36" i="49"/>
  <c r="J207" i="49" s="1"/>
  <c r="AQ36" i="49"/>
  <c r="G207" i="49" s="1"/>
  <c r="BQ36" i="49"/>
  <c r="U36" i="49"/>
  <c r="CU17" i="5"/>
  <c r="CW5" i="5"/>
  <c r="BE14" i="26"/>
  <c r="G28" i="23"/>
  <c r="AN28" i="24" s="1"/>
  <c r="U28" i="23"/>
  <c r="Q109" i="6"/>
  <c r="Q68" i="6"/>
  <c r="Y20" i="23"/>
  <c r="AL20" i="23" s="1"/>
  <c r="AN20" i="23" s="1"/>
  <c r="AP20" i="23" s="1"/>
  <c r="AY20" i="26" s="1"/>
  <c r="W68" i="6"/>
  <c r="BC4" i="26"/>
  <c r="N5" i="34"/>
  <c r="O2" i="43"/>
  <c r="Q2" i="43" s="1"/>
  <c r="L8" i="43" s="1"/>
  <c r="L9" i="43" s="1"/>
  <c r="L10" i="43" s="1"/>
  <c r="L11" i="43" s="1"/>
  <c r="L12" i="43" s="1"/>
  <c r="L13" i="43" s="1"/>
  <c r="L14" i="43" s="1"/>
  <c r="L15" i="43" s="1"/>
  <c r="L16" i="43" s="1"/>
  <c r="AN38" i="7"/>
  <c r="AV38" i="7"/>
  <c r="AU38" i="7"/>
  <c r="BC38" i="7" s="1"/>
  <c r="AY31" i="7"/>
  <c r="AP31" i="7"/>
  <c r="AX31" i="7"/>
  <c r="AN31" i="7"/>
  <c r="AV31" i="7"/>
  <c r="AU31" i="7"/>
  <c r="BC31" i="7" s="1"/>
  <c r="AS31" i="7"/>
  <c r="BA31" i="7"/>
  <c r="AR31" i="7"/>
  <c r="AZ31" i="7"/>
  <c r="AQ31" i="7"/>
  <c r="H85" i="6"/>
  <c r="Y4" i="24"/>
  <c r="K8" i="25"/>
  <c r="T8" i="25" s="1"/>
  <c r="AH91" i="49"/>
  <c r="ET14" i="49"/>
  <c r="S91" i="49"/>
  <c r="BZ14" i="49"/>
  <c r="BX15" i="7"/>
  <c r="BC14" i="5"/>
  <c r="BG14" i="5" s="1"/>
  <c r="BC16" i="5"/>
  <c r="BG16" i="5" s="1"/>
  <c r="BS15" i="5"/>
  <c r="BS5" i="5"/>
  <c r="BS4" i="5"/>
  <c r="BC15" i="5"/>
  <c r="BG15" i="5" s="1"/>
  <c r="BS14" i="5"/>
  <c r="C61" i="1"/>
  <c r="D61" i="1" s="1"/>
  <c r="BR14" i="5"/>
  <c r="BO24" i="5" s="1"/>
  <c r="BO14" i="5"/>
  <c r="BP14" i="5" s="1"/>
  <c r="S25" i="47"/>
  <c r="T25" i="47" s="1"/>
  <c r="I160" i="63"/>
  <c r="T68" i="63"/>
  <c r="CD26" i="7"/>
  <c r="AS26" i="7"/>
  <c r="AJ26" i="7"/>
  <c r="BA26" i="7"/>
  <c r="AR26" i="7"/>
  <c r="AI26" i="7"/>
  <c r="CN14" i="7" s="1"/>
  <c r="AZ26" i="7"/>
  <c r="AQ26" i="7"/>
  <c r="AH26" i="7"/>
  <c r="BH26" i="7"/>
  <c r="AY26" i="7"/>
  <c r="AP26" i="7"/>
  <c r="BP26" i="7"/>
  <c r="BG26" i="7"/>
  <c r="AX26" i="7"/>
  <c r="BX26" i="7"/>
  <c r="BO26" i="7"/>
  <c r="BF26" i="7"/>
  <c r="CF26" i="7"/>
  <c r="BW26" i="7"/>
  <c r="BN26" i="7"/>
  <c r="CE26" i="7"/>
  <c r="BV26" i="7"/>
  <c r="AK26" i="7"/>
  <c r="S132" i="47"/>
  <c r="T132" i="47" s="1"/>
  <c r="Z132" i="47" s="1"/>
  <c r="Y132" i="47" s="1"/>
  <c r="S138" i="47"/>
  <c r="T138" i="47" s="1"/>
  <c r="Z138" i="47" s="1"/>
  <c r="Y138" i="47" s="1"/>
  <c r="S144" i="47"/>
  <c r="T144" i="47" s="1"/>
  <c r="Z144" i="47" s="1"/>
  <c r="Y144" i="47" s="1"/>
  <c r="S142" i="47"/>
  <c r="T142" i="47" s="1"/>
  <c r="Z142" i="47" s="1"/>
  <c r="Y142" i="47" s="1"/>
  <c r="S91" i="7"/>
  <c r="BP7" i="7"/>
  <c r="DY4" i="7" s="1"/>
  <c r="BG7" i="7"/>
  <c r="DO4" i="7" s="1"/>
  <c r="AX7" i="7"/>
  <c r="DE4" i="7" s="1"/>
  <c r="BX7" i="7"/>
  <c r="EH4" i="7" s="1"/>
  <c r="BO7" i="7"/>
  <c r="DX4" i="7" s="1"/>
  <c r="BF7" i="7"/>
  <c r="DN4" i="7" s="1"/>
  <c r="CF7" i="7"/>
  <c r="EQ4" i="7" s="1"/>
  <c r="BW7" i="7"/>
  <c r="EG4" i="7" s="1"/>
  <c r="BN7" i="7"/>
  <c r="DW4" i="7" s="1"/>
  <c r="CD7" i="7"/>
  <c r="EO4" i="7" s="1"/>
  <c r="AS7" i="7"/>
  <c r="CY4" i="7" s="1"/>
  <c r="AJ7" i="7"/>
  <c r="CO4" i="7" s="1"/>
  <c r="BA7" i="7"/>
  <c r="DH4" i="7" s="1"/>
  <c r="AR7" i="7"/>
  <c r="CX4" i="7" s="1"/>
  <c r="AI7" i="7"/>
  <c r="CN4" i="7" s="1"/>
  <c r="AZ7" i="7"/>
  <c r="DG4" i="7" s="1"/>
  <c r="AQ7" i="7"/>
  <c r="CW4" i="7" s="1"/>
  <c r="AH7" i="7"/>
  <c r="CM4" i="7" s="1"/>
  <c r="CE7" i="7"/>
  <c r="EP4" i="7" s="1"/>
  <c r="BV7" i="7"/>
  <c r="EF4" i="7" s="1"/>
  <c r="AY7" i="7"/>
  <c r="DF4" i="7" s="1"/>
  <c r="AP7" i="7"/>
  <c r="CV4" i="7" s="1"/>
  <c r="AK7" i="7"/>
  <c r="CP4" i="7" s="1"/>
  <c r="BH7" i="7"/>
  <c r="DP4" i="7" s="1"/>
  <c r="U17" i="24"/>
  <c r="P32" i="6"/>
  <c r="R32" i="6" s="1"/>
  <c r="P55" i="6"/>
  <c r="R47" i="30"/>
  <c r="AG17" i="23"/>
  <c r="AI17" i="23" s="1"/>
  <c r="AW17" i="26" s="1"/>
  <c r="AM17" i="26"/>
  <c r="AC66" i="66"/>
  <c r="AD66" i="66" s="1"/>
  <c r="AE66" i="66" s="1"/>
  <c r="AC65" i="66"/>
  <c r="AD65" i="66" s="1"/>
  <c r="AE65" i="66" s="1"/>
  <c r="AC64" i="66"/>
  <c r="AD64" i="66" s="1"/>
  <c r="AE64" i="66" s="1"/>
  <c r="AC71" i="66"/>
  <c r="AD71" i="66" s="1"/>
  <c r="AE71" i="66" s="1"/>
  <c r="AC70" i="66"/>
  <c r="AD70" i="66" s="1"/>
  <c r="AE70" i="66" s="1"/>
  <c r="AC61" i="66"/>
  <c r="AD61" i="66" s="1"/>
  <c r="AE61" i="66" s="1"/>
  <c r="AC33" i="66"/>
  <c r="AD33" i="66" s="1"/>
  <c r="AE33" i="66" s="1"/>
  <c r="AC67" i="66"/>
  <c r="AD67" i="66" s="1"/>
  <c r="AE67" i="66" s="1"/>
  <c r="AO23" i="24"/>
  <c r="G27" i="9"/>
  <c r="AG30" i="23"/>
  <c r="AI30" i="23" s="1"/>
  <c r="AW30" i="26" s="1"/>
  <c r="AR5" i="25"/>
  <c r="Z9" i="9" s="1"/>
  <c r="AO29" i="24"/>
  <c r="G33" i="9"/>
  <c r="D90" i="49"/>
  <c r="F13" i="49"/>
  <c r="CK6" i="7"/>
  <c r="CS6" i="7"/>
  <c r="CK10" i="7"/>
  <c r="D89" i="49"/>
  <c r="F12" i="49"/>
  <c r="AK14" i="7"/>
  <c r="AK39" i="7" s="1"/>
  <c r="BC35" i="5"/>
  <c r="BG35" i="5" s="1"/>
  <c r="BC34" i="5"/>
  <c r="BG34" i="5" s="1"/>
  <c r="BC36" i="5"/>
  <c r="BG36" i="5" s="1"/>
  <c r="BR17" i="5"/>
  <c r="BO17" i="5"/>
  <c r="BP17" i="5" s="1"/>
  <c r="BC25" i="5"/>
  <c r="BG25" i="5" s="1"/>
  <c r="BS16" i="5"/>
  <c r="BC26" i="5"/>
  <c r="BG26" i="5" s="1"/>
  <c r="BC24" i="5"/>
  <c r="BG24" i="5" s="1"/>
  <c r="BS6" i="5"/>
  <c r="U5" i="24"/>
  <c r="P20" i="6"/>
  <c r="Q100" i="6"/>
  <c r="U19" i="23"/>
  <c r="G19" i="23"/>
  <c r="AN19" i="24" s="1"/>
  <c r="S157" i="47"/>
  <c r="T157" i="47" s="1"/>
  <c r="S139" i="47"/>
  <c r="T139" i="47" s="1"/>
  <c r="BH23" i="7"/>
  <c r="BH19" i="7"/>
  <c r="N127" i="49"/>
  <c r="BJ10" i="49"/>
  <c r="DQ22" i="49"/>
  <c r="Y22" i="49"/>
  <c r="EK22" i="49"/>
  <c r="DP22" i="49"/>
  <c r="Y193" i="49" s="1"/>
  <c r="BO22" i="49"/>
  <c r="L193" i="49" s="1"/>
  <c r="AS22" i="49"/>
  <c r="X22" i="49"/>
  <c r="E193" i="49" s="1"/>
  <c r="DM22" i="49"/>
  <c r="CR22" i="49"/>
  <c r="T193" i="49" s="1"/>
  <c r="AQ22" i="49"/>
  <c r="G193" i="49" s="1"/>
  <c r="U22" i="49"/>
  <c r="BU22" i="49"/>
  <c r="H120" i="7"/>
  <c r="FL22" i="49"/>
  <c r="AI193" i="49" s="1"/>
  <c r="DK22" i="49"/>
  <c r="V193" i="49" s="1"/>
  <c r="CO22" i="49"/>
  <c r="BT22" i="49"/>
  <c r="O193" i="49" s="1"/>
  <c r="S22" i="49"/>
  <c r="B193" i="49" s="1"/>
  <c r="AW22" i="49"/>
  <c r="FI22" i="49"/>
  <c r="EN22" i="49"/>
  <c r="AD193" i="49" s="1"/>
  <c r="BQ22" i="49"/>
  <c r="AV22" i="49"/>
  <c r="J193" i="49" s="1"/>
  <c r="W12" i="23"/>
  <c r="AD12" i="23" s="1"/>
  <c r="T12" i="24"/>
  <c r="S93" i="6"/>
  <c r="T93" i="6" s="1"/>
  <c r="Y100" i="63"/>
  <c r="V65" i="63"/>
  <c r="AH93" i="49"/>
  <c r="ET21" i="49"/>
  <c r="X138" i="49"/>
  <c r="DF21" i="49"/>
  <c r="N138" i="49"/>
  <c r="BJ21" i="49"/>
  <c r="BH24" i="7"/>
  <c r="BC26" i="26"/>
  <c r="AO20" i="26"/>
  <c r="U20" i="23"/>
  <c r="Q101" i="6"/>
  <c r="G20" i="23"/>
  <c r="AN20" i="24" s="1"/>
  <c r="T59" i="6"/>
  <c r="D87" i="49"/>
  <c r="F10" i="49"/>
  <c r="AK17" i="7"/>
  <c r="AK40" i="7" s="1"/>
  <c r="BP17" i="7"/>
  <c r="H89" i="6"/>
  <c r="Y8" i="24"/>
  <c r="W7" i="23"/>
  <c r="AD7" i="23" s="1"/>
  <c r="S88" i="6"/>
  <c r="T88" i="6" s="1"/>
  <c r="T7" i="24"/>
  <c r="AC91" i="49"/>
  <c r="DV14" i="49"/>
  <c r="AJ15" i="7"/>
  <c r="BO5" i="5"/>
  <c r="BP5" i="5" s="1"/>
  <c r="BR5" i="5"/>
  <c r="O19" i="6"/>
  <c r="Q19" i="6" s="1"/>
  <c r="S27" i="47"/>
  <c r="T27" i="47" s="1"/>
  <c r="Q57" i="6"/>
  <c r="Y9" i="23"/>
  <c r="AL9" i="23" s="1"/>
  <c r="AN9" i="23" s="1"/>
  <c r="U6" i="24"/>
  <c r="P21" i="6"/>
  <c r="Q113" i="32"/>
  <c r="O114" i="32"/>
  <c r="S128" i="47"/>
  <c r="T128" i="47" s="1"/>
  <c r="Z128" i="47" s="1"/>
  <c r="Y128" i="47" s="1"/>
  <c r="S156" i="47"/>
  <c r="T156" i="47" s="1"/>
  <c r="Z156" i="47" s="1"/>
  <c r="Y156" i="47" s="1"/>
  <c r="S154" i="47"/>
  <c r="T154" i="47" s="1"/>
  <c r="Z154" i="47" s="1"/>
  <c r="Y154" i="47" s="1"/>
  <c r="AA150" i="47"/>
  <c r="AB150" i="47" s="1"/>
  <c r="S150" i="47"/>
  <c r="T150" i="47" s="1"/>
  <c r="Z150" i="47" s="1"/>
  <c r="Y150" i="47" s="1"/>
  <c r="BP8" i="7"/>
  <c r="BG8" i="7"/>
  <c r="AX8" i="7"/>
  <c r="BX8" i="7"/>
  <c r="BO8" i="7"/>
  <c r="BF8" i="7"/>
  <c r="CF8" i="7"/>
  <c r="BW8" i="7"/>
  <c r="BN8" i="7"/>
  <c r="CD8" i="7"/>
  <c r="AS8" i="7"/>
  <c r="AJ8" i="7"/>
  <c r="AJ34" i="7" s="1"/>
  <c r="BA8" i="7"/>
  <c r="AR8" i="7"/>
  <c r="AI8" i="7"/>
  <c r="AZ8" i="7"/>
  <c r="AQ8" i="7"/>
  <c r="AH8" i="7"/>
  <c r="CM7" i="7" s="1"/>
  <c r="AK8" i="7"/>
  <c r="AK34" i="7" s="1"/>
  <c r="BH8" i="7"/>
  <c r="CE8" i="7"/>
  <c r="BV8" i="7"/>
  <c r="AY8" i="7"/>
  <c r="AP8" i="7"/>
  <c r="Q61" i="6"/>
  <c r="Y13" i="23"/>
  <c r="AL13" i="23" s="1"/>
  <c r="AN13" i="23" s="1"/>
  <c r="AO13" i="23" s="1"/>
  <c r="W66" i="6"/>
  <c r="AA28" i="9"/>
  <c r="S46" i="51"/>
  <c r="T46" i="51"/>
  <c r="T98" i="6"/>
  <c r="AC58" i="66"/>
  <c r="AD58" i="66" s="1"/>
  <c r="AE58" i="66" s="1"/>
  <c r="AC57" i="66"/>
  <c r="AD57" i="66" s="1"/>
  <c r="AE57" i="66" s="1"/>
  <c r="AC56" i="66"/>
  <c r="AD56" i="66" s="1"/>
  <c r="AE56" i="66" s="1"/>
  <c r="AC63" i="66"/>
  <c r="AD63" i="66" s="1"/>
  <c r="AE63" i="66" s="1"/>
  <c r="AC62" i="66"/>
  <c r="AD62" i="66" s="1"/>
  <c r="AE62" i="66" s="1"/>
  <c r="AC53" i="66"/>
  <c r="AD53" i="66" s="1"/>
  <c r="AE53" i="66" s="1"/>
  <c r="AC68" i="66"/>
  <c r="AD68" i="66" s="1"/>
  <c r="AE68" i="66" s="1"/>
  <c r="AC59" i="66"/>
  <c r="AD59" i="66" s="1"/>
  <c r="AE59" i="66" s="1"/>
  <c r="AO21" i="26"/>
  <c r="AO31" i="26"/>
  <c r="AG23" i="23"/>
  <c r="AI23" i="23" s="1"/>
  <c r="AW23" i="26" s="1"/>
  <c r="AM23" i="26"/>
  <c r="AO33" i="26"/>
  <c r="W69" i="6"/>
  <c r="W53" i="6"/>
  <c r="AG10" i="23"/>
  <c r="AI10" i="23" s="1"/>
  <c r="AW10" i="26" s="1"/>
  <c r="AM10" i="26"/>
  <c r="AO30" i="24"/>
  <c r="G34" i="9"/>
  <c r="BC21" i="26"/>
  <c r="AQ42" i="7"/>
  <c r="AY42" i="7"/>
  <c r="AP42" i="7"/>
  <c r="AX42" i="7"/>
  <c r="AN42" i="7"/>
  <c r="AV42" i="7"/>
  <c r="AU42" i="7"/>
  <c r="BC42" i="7" s="1"/>
  <c r="S90" i="49"/>
  <c r="BZ13" i="49"/>
  <c r="AC90" i="49"/>
  <c r="DV13" i="49"/>
  <c r="N90" i="49"/>
  <c r="BB13" i="49"/>
  <c r="N89" i="49"/>
  <c r="BB12" i="49"/>
  <c r="BO9" i="5"/>
  <c r="BP9" i="5" s="1"/>
  <c r="BR9" i="5"/>
  <c r="BR18" i="5"/>
  <c r="BO18" i="5"/>
  <c r="BP18" i="5" s="1"/>
  <c r="Q74" i="6"/>
  <c r="Y26" i="23"/>
  <c r="AL26" i="23" s="1"/>
  <c r="W74" i="6"/>
  <c r="P45" i="6"/>
  <c r="R45" i="6" s="1"/>
  <c r="U30" i="24"/>
  <c r="C54" i="47"/>
  <c r="J200" i="41"/>
  <c r="H201" i="41"/>
  <c r="S97" i="47"/>
  <c r="T97" i="47" s="1"/>
  <c r="BH18" i="7"/>
  <c r="BH41" i="7" s="1"/>
  <c r="I88" i="49"/>
  <c r="AD11" i="49"/>
  <c r="BX23" i="7"/>
  <c r="X127" i="49"/>
  <c r="DF10" i="49"/>
  <c r="BX22" i="7"/>
  <c r="AK22" i="7"/>
  <c r="AB19" i="9"/>
  <c r="DA12" i="7"/>
  <c r="DJ12" i="7" s="1"/>
  <c r="DS12" i="7" s="1"/>
  <c r="EB12" i="7" s="1"/>
  <c r="EK12" i="7" s="1"/>
  <c r="CT12" i="7"/>
  <c r="DC12" i="7"/>
  <c r="BG41" i="7"/>
  <c r="BF41" i="7"/>
  <c r="BK41" i="7"/>
  <c r="AG29" i="49"/>
  <c r="ES29" i="49"/>
  <c r="DX29" i="49"/>
  <c r="AD101" i="49" s="1"/>
  <c r="BA29" i="49"/>
  <c r="AF29" i="49"/>
  <c r="J101" i="49" s="1"/>
  <c r="DA29" i="49"/>
  <c r="I29" i="49"/>
  <c r="DU29" i="49"/>
  <c r="CZ29" i="49"/>
  <c r="Y101" i="49" s="1"/>
  <c r="AY29" i="49"/>
  <c r="L101" i="49" s="1"/>
  <c r="AC29" i="49"/>
  <c r="H29" i="49"/>
  <c r="E101" i="49" s="1"/>
  <c r="CW29" i="49"/>
  <c r="CB29" i="49"/>
  <c r="T101" i="49" s="1"/>
  <c r="AA29" i="49"/>
  <c r="G101" i="49" s="1"/>
  <c r="E29" i="49"/>
  <c r="BE29" i="49"/>
  <c r="EV29" i="49"/>
  <c r="AI101" i="49" s="1"/>
  <c r="CU29" i="49"/>
  <c r="V101" i="49" s="1"/>
  <c r="BY29" i="49"/>
  <c r="BD29" i="49"/>
  <c r="O101" i="49" s="1"/>
  <c r="C29" i="49"/>
  <c r="B101" i="49" s="1"/>
  <c r="I93" i="49"/>
  <c r="AD21" i="49"/>
  <c r="AG25" i="49"/>
  <c r="ES25" i="49"/>
  <c r="DX25" i="49"/>
  <c r="AD97" i="49" s="1"/>
  <c r="BA25" i="49"/>
  <c r="AF25" i="49"/>
  <c r="J97" i="49" s="1"/>
  <c r="DA25" i="49"/>
  <c r="I25" i="49"/>
  <c r="DU25" i="49"/>
  <c r="CZ25" i="49"/>
  <c r="Y97" i="49" s="1"/>
  <c r="AY25" i="49"/>
  <c r="L97" i="49" s="1"/>
  <c r="AC25" i="49"/>
  <c r="H25" i="49"/>
  <c r="E97" i="49" s="1"/>
  <c r="CW25" i="49"/>
  <c r="CB25" i="49"/>
  <c r="T97" i="49" s="1"/>
  <c r="AA25" i="49"/>
  <c r="G97" i="49" s="1"/>
  <c r="E25" i="49"/>
  <c r="BE25" i="49"/>
  <c r="EV25" i="49"/>
  <c r="AI97" i="49" s="1"/>
  <c r="CU25" i="49"/>
  <c r="V97" i="49" s="1"/>
  <c r="BY25" i="49"/>
  <c r="BD25" i="49"/>
  <c r="O97" i="49" s="1"/>
  <c r="C25" i="49"/>
  <c r="B97" i="49" s="1"/>
  <c r="AC138" i="49"/>
  <c r="ED21" i="49"/>
  <c r="S138" i="49"/>
  <c r="CH21" i="49"/>
  <c r="BX24" i="7"/>
  <c r="U9" i="24"/>
  <c r="P24" i="6"/>
  <c r="R24" i="6" s="1"/>
  <c r="BC7" i="26"/>
  <c r="AP16" i="23"/>
  <c r="AY16" i="26" s="1"/>
  <c r="AE7" i="25"/>
  <c r="I104" i="62"/>
  <c r="L104" i="62" s="1"/>
  <c r="I100" i="62"/>
  <c r="I96" i="62"/>
  <c r="L96" i="62" s="1"/>
  <c r="I92" i="62"/>
  <c r="L92" i="62" s="1"/>
  <c r="I88" i="62"/>
  <c r="L88" i="62" s="1"/>
  <c r="I84" i="62"/>
  <c r="L84" i="62" s="1"/>
  <c r="I83" i="62"/>
  <c r="L83" i="62" s="1"/>
  <c r="I103" i="62"/>
  <c r="I99" i="62"/>
  <c r="I95" i="62"/>
  <c r="I91" i="62"/>
  <c r="L91" i="62" s="1"/>
  <c r="I87" i="62"/>
  <c r="L87" i="62" s="1"/>
  <c r="I106" i="62"/>
  <c r="L106" i="62" s="1"/>
  <c r="I102" i="62"/>
  <c r="L102" i="62" s="1"/>
  <c r="I98" i="62"/>
  <c r="L98" i="62" s="1"/>
  <c r="I94" i="62"/>
  <c r="L94" i="62" s="1"/>
  <c r="I90" i="62"/>
  <c r="I86" i="62"/>
  <c r="L86" i="62" s="1"/>
  <c r="I105" i="62"/>
  <c r="L105" i="62" s="1"/>
  <c r="I101" i="62"/>
  <c r="L101" i="62" s="1"/>
  <c r="I97" i="62"/>
  <c r="L97" i="62" s="1"/>
  <c r="I93" i="62"/>
  <c r="L93" i="62" s="1"/>
  <c r="I89" i="62"/>
  <c r="L89" i="62" s="1"/>
  <c r="I85" i="62"/>
  <c r="L85" i="62" s="1"/>
  <c r="C26" i="62"/>
  <c r="AU39" i="7"/>
  <c r="BC39" i="7" s="1"/>
  <c r="AQ39" i="7"/>
  <c r="AY39" i="7"/>
  <c r="AP39" i="7"/>
  <c r="AX39" i="7"/>
  <c r="AN39" i="7"/>
  <c r="AV39" i="7"/>
  <c r="C33" i="27"/>
  <c r="D32" i="27" s="1"/>
  <c r="D20" i="27"/>
  <c r="N87" i="49"/>
  <c r="BB10" i="49"/>
  <c r="CK5" i="7"/>
  <c r="CS5" i="7"/>
  <c r="AO12" i="26"/>
  <c r="U16" i="24"/>
  <c r="P31" i="6"/>
  <c r="R31" i="6" s="1"/>
  <c r="BB4" i="26"/>
  <c r="O112" i="51"/>
  <c r="CM14" i="7"/>
  <c r="CK14" i="7"/>
  <c r="CS14" i="7"/>
  <c r="BP15" i="7"/>
  <c r="AS15" i="7"/>
  <c r="BR16" i="5"/>
  <c r="BO16" i="5"/>
  <c r="BP16" i="5" s="1"/>
  <c r="BC18" i="5"/>
  <c r="BG18" i="5" s="1"/>
  <c r="BC17" i="5"/>
  <c r="BG17" i="5" s="1"/>
  <c r="I73" i="63"/>
  <c r="T62" i="63"/>
  <c r="BB17" i="26"/>
  <c r="S116" i="47"/>
  <c r="T116" i="47" s="1"/>
  <c r="Z116" i="47" s="1"/>
  <c r="Y116" i="47" s="1"/>
  <c r="S124" i="47"/>
  <c r="T124" i="47" s="1"/>
  <c r="Z124" i="47" s="1"/>
  <c r="Y124" i="47" s="1"/>
  <c r="AA124" i="47"/>
  <c r="AB124" i="47" s="1"/>
  <c r="S100" i="47"/>
  <c r="T100" i="47" s="1"/>
  <c r="Z100" i="47" s="1"/>
  <c r="Y100" i="47" s="1"/>
  <c r="S158" i="47"/>
  <c r="T158" i="47" s="1"/>
  <c r="Z158" i="47" s="1"/>
  <c r="Y158" i="47" s="1"/>
  <c r="I142" i="63"/>
  <c r="T67" i="63"/>
  <c r="BP9" i="7"/>
  <c r="BG9" i="7"/>
  <c r="AX9" i="7"/>
  <c r="AX35" i="7" s="1"/>
  <c r="BX9" i="7"/>
  <c r="BO9" i="7"/>
  <c r="BF9" i="7"/>
  <c r="CF9" i="7"/>
  <c r="BW9" i="7"/>
  <c r="BN9" i="7"/>
  <c r="CD9" i="7"/>
  <c r="AS9" i="7"/>
  <c r="AS35" i="7" s="1"/>
  <c r="AJ9" i="7"/>
  <c r="AJ35" i="7" s="1"/>
  <c r="BA9" i="7"/>
  <c r="BA35" i="7" s="1"/>
  <c r="AR9" i="7"/>
  <c r="AR35" i="7" s="1"/>
  <c r="AI9" i="7"/>
  <c r="AI35" i="7" s="1"/>
  <c r="AZ9" i="7"/>
  <c r="AZ35" i="7" s="1"/>
  <c r="AQ9" i="7"/>
  <c r="AQ35" i="7" s="1"/>
  <c r="AH9" i="7"/>
  <c r="AH35" i="7" s="1"/>
  <c r="BV9" i="7"/>
  <c r="AY9" i="7"/>
  <c r="AY35" i="7" s="1"/>
  <c r="AP9" i="7"/>
  <c r="AP35" i="7" s="1"/>
  <c r="AK9" i="7"/>
  <c r="AK35" i="7" s="1"/>
  <c r="BH9" i="7"/>
  <c r="CE9" i="7"/>
  <c r="BC28" i="26"/>
  <c r="AC50" i="66"/>
  <c r="AD50" i="66" s="1"/>
  <c r="AE50" i="66" s="1"/>
  <c r="AC49" i="66"/>
  <c r="AD49" i="66" s="1"/>
  <c r="AE49" i="66" s="1"/>
  <c r="AC48" i="66"/>
  <c r="AD48" i="66" s="1"/>
  <c r="AE48" i="66" s="1"/>
  <c r="AC55" i="66"/>
  <c r="AD55" i="66" s="1"/>
  <c r="AE55" i="66" s="1"/>
  <c r="AC54" i="66"/>
  <c r="AD54" i="66" s="1"/>
  <c r="AE54" i="66" s="1"/>
  <c r="AC45" i="66"/>
  <c r="AD45" i="66" s="1"/>
  <c r="AE45" i="66" s="1"/>
  <c r="AC60" i="66"/>
  <c r="AD60" i="66" s="1"/>
  <c r="AE60" i="66" s="1"/>
  <c r="AC51" i="66"/>
  <c r="AD51" i="66" s="1"/>
  <c r="AE51" i="66" s="1"/>
  <c r="L103" i="62"/>
  <c r="L95" i="62"/>
  <c r="AA31" i="6"/>
  <c r="AA38" i="6"/>
  <c r="AA30" i="6"/>
  <c r="AA35" i="6"/>
  <c r="AA29" i="6"/>
  <c r="AA32" i="6"/>
  <c r="AA37" i="6"/>
  <c r="AA36" i="6"/>
  <c r="AA34" i="6"/>
  <c r="AA33" i="6"/>
  <c r="U25" i="23"/>
  <c r="Q106" i="6"/>
  <c r="G25" i="23"/>
  <c r="AN25" i="24" s="1"/>
  <c r="AN27" i="23"/>
  <c r="CK8" i="7"/>
  <c r="CS8" i="7"/>
  <c r="CK11" i="7"/>
  <c r="X89" i="49"/>
  <c r="CX12" i="49"/>
  <c r="I89" i="49"/>
  <c r="AD12" i="49"/>
  <c r="BV5" i="26"/>
  <c r="BL5" i="26"/>
  <c r="BK5" i="26"/>
  <c r="BR20" i="5"/>
  <c r="BO20" i="5"/>
  <c r="BP20" i="5" s="1"/>
  <c r="BS8" i="5"/>
  <c r="BC28" i="5"/>
  <c r="BG28" i="5" s="1"/>
  <c r="BS18" i="5"/>
  <c r="BS17" i="5"/>
  <c r="BC27" i="5"/>
  <c r="BG27" i="5" s="1"/>
  <c r="BS7" i="5"/>
  <c r="O38" i="6"/>
  <c r="S115" i="47"/>
  <c r="T115" i="47" s="1"/>
  <c r="S88" i="49"/>
  <c r="BZ11" i="49"/>
  <c r="D88" i="49"/>
  <c r="F11" i="49"/>
  <c r="AA20" i="9"/>
  <c r="I178" i="63"/>
  <c r="T69" i="63"/>
  <c r="Y142" i="63"/>
  <c r="V69" i="63"/>
  <c r="AH127" i="49"/>
  <c r="FB10" i="49"/>
  <c r="I192" i="49"/>
  <c r="AT21" i="49"/>
  <c r="AG4" i="23"/>
  <c r="AI4" i="23" s="1"/>
  <c r="AW4" i="26" s="1"/>
  <c r="AM4" i="26"/>
  <c r="Y79" i="63"/>
  <c r="V63" i="63"/>
  <c r="K56" i="47"/>
  <c r="K53" i="47"/>
  <c r="K50" i="47"/>
  <c r="K47" i="47"/>
  <c r="K41" i="47"/>
  <c r="K44" i="47"/>
  <c r="S93" i="49"/>
  <c r="BZ21" i="49"/>
  <c r="BE26" i="49"/>
  <c r="EV26" i="49"/>
  <c r="AI98" i="49" s="1"/>
  <c r="CU26" i="49"/>
  <c r="V98" i="49" s="1"/>
  <c r="BY26" i="49"/>
  <c r="BD26" i="49"/>
  <c r="O98" i="49" s="1"/>
  <c r="C26" i="49"/>
  <c r="B98" i="49" s="1"/>
  <c r="AG26" i="49"/>
  <c r="ES26" i="49"/>
  <c r="DX26" i="49"/>
  <c r="AD98" i="49" s="1"/>
  <c r="BA26" i="49"/>
  <c r="AF26" i="49"/>
  <c r="J98" i="49" s="1"/>
  <c r="DA26" i="49"/>
  <c r="I26" i="49"/>
  <c r="DU26" i="49"/>
  <c r="CZ26" i="49"/>
  <c r="Y98" i="49" s="1"/>
  <c r="AY26" i="49"/>
  <c r="L98" i="49" s="1"/>
  <c r="AC26" i="49"/>
  <c r="H26" i="49"/>
  <c r="E98" i="49" s="1"/>
  <c r="CW26" i="49"/>
  <c r="CB26" i="49"/>
  <c r="T98" i="49" s="1"/>
  <c r="AA26" i="49"/>
  <c r="G98" i="49" s="1"/>
  <c r="E26" i="49"/>
  <c r="DE36" i="49"/>
  <c r="CJ36" i="49"/>
  <c r="T153" i="49" s="1"/>
  <c r="AI36" i="49"/>
  <c r="G153" i="49" s="1"/>
  <c r="M36" i="49"/>
  <c r="BM36" i="49"/>
  <c r="FD36" i="49"/>
  <c r="AI153" i="49" s="1"/>
  <c r="DC36" i="49"/>
  <c r="V153" i="49" s="1"/>
  <c r="CG36" i="49"/>
  <c r="AO36" i="49"/>
  <c r="FA36" i="49"/>
  <c r="EF36" i="49"/>
  <c r="AD153" i="49" s="1"/>
  <c r="BI36" i="49"/>
  <c r="AN36" i="49"/>
  <c r="J153" i="49" s="1"/>
  <c r="DI36" i="49"/>
  <c r="Q36" i="49"/>
  <c r="EC36" i="49"/>
  <c r="DH36" i="49"/>
  <c r="Y153" i="49" s="1"/>
  <c r="K36" i="49"/>
  <c r="B153" i="49" s="1"/>
  <c r="F134" i="7"/>
  <c r="AK36" i="49"/>
  <c r="BL36" i="49"/>
  <c r="O153" i="49" s="1"/>
  <c r="BG36" i="49"/>
  <c r="L153" i="49" s="1"/>
  <c r="P36" i="49"/>
  <c r="E153" i="49" s="1"/>
  <c r="T19" i="24"/>
  <c r="W19" i="23"/>
  <c r="AD19" i="23" s="1"/>
  <c r="S100" i="6"/>
  <c r="T100" i="6" s="1"/>
  <c r="D11" i="32"/>
  <c r="E10" i="32"/>
  <c r="F10" i="32" s="1"/>
  <c r="CE13" i="7"/>
  <c r="EP11" i="7" s="1"/>
  <c r="BV13" i="7"/>
  <c r="EF11" i="7" s="1"/>
  <c r="AK13" i="7"/>
  <c r="AK38" i="7" s="1"/>
  <c r="CD13" i="7"/>
  <c r="EO11" i="7" s="1"/>
  <c r="AS13" i="7"/>
  <c r="AJ13" i="7"/>
  <c r="AJ38" i="7" s="1"/>
  <c r="BA13" i="7"/>
  <c r="AR13" i="7"/>
  <c r="AI13" i="7"/>
  <c r="AI38" i="7" s="1"/>
  <c r="AZ13" i="7"/>
  <c r="AZ38" i="7" s="1"/>
  <c r="AQ13" i="7"/>
  <c r="AQ38" i="7" s="1"/>
  <c r="AH13" i="7"/>
  <c r="AH38" i="7" s="1"/>
  <c r="BH13" i="7"/>
  <c r="AY13" i="7"/>
  <c r="AY38" i="7" s="1"/>
  <c r="AP13" i="7"/>
  <c r="CV11" i="7" s="1"/>
  <c r="BP13" i="7"/>
  <c r="BG13" i="7"/>
  <c r="DO11" i="7" s="1"/>
  <c r="AX13" i="7"/>
  <c r="DE11" i="7" s="1"/>
  <c r="BX13" i="7"/>
  <c r="BO13" i="7"/>
  <c r="DX11" i="7" s="1"/>
  <c r="BF13" i="7"/>
  <c r="DN11" i="7" s="1"/>
  <c r="CF13" i="7"/>
  <c r="EQ11" i="7" s="1"/>
  <c r="BW13" i="7"/>
  <c r="EG11" i="7" s="1"/>
  <c r="BN13" i="7"/>
  <c r="DW11" i="7" s="1"/>
  <c r="X87" i="49"/>
  <c r="CX10" i="49"/>
  <c r="I87" i="49"/>
  <c r="AD10" i="49"/>
  <c r="AO19" i="26"/>
  <c r="K200" i="41"/>
  <c r="I201" i="41"/>
  <c r="AN40" i="7"/>
  <c r="AV40" i="7"/>
  <c r="AU40" i="7"/>
  <c r="BC40" i="7" s="1"/>
  <c r="AQ40" i="7"/>
  <c r="AY40" i="7"/>
  <c r="AP40" i="7"/>
  <c r="AX40" i="7"/>
  <c r="BC20" i="5"/>
  <c r="BG20" i="5" s="1"/>
  <c r="BC19" i="5"/>
  <c r="BG19" i="5" s="1"/>
  <c r="P46" i="6"/>
  <c r="U31" i="24"/>
  <c r="BC10" i="26"/>
  <c r="BK33" i="7"/>
  <c r="BC24" i="26"/>
  <c r="S102" i="47"/>
  <c r="T102" i="47" s="1"/>
  <c r="Z102" i="47" s="1"/>
  <c r="Y102" i="47" s="1"/>
  <c r="S160" i="47"/>
  <c r="T160" i="47" s="1"/>
  <c r="Z160" i="47" s="1"/>
  <c r="Y160" i="47" s="1"/>
  <c r="S108" i="47"/>
  <c r="T108" i="47" s="1"/>
  <c r="Z108" i="47" s="1"/>
  <c r="Y108" i="47" s="1"/>
  <c r="CE11" i="7"/>
  <c r="BV11" i="7"/>
  <c r="AK11" i="7"/>
  <c r="CD11" i="7"/>
  <c r="AS11" i="7"/>
  <c r="AJ11" i="7"/>
  <c r="BA11" i="7"/>
  <c r="AR11" i="7"/>
  <c r="AI11" i="7"/>
  <c r="AZ11" i="7"/>
  <c r="AQ11" i="7"/>
  <c r="AH11" i="7"/>
  <c r="BH11" i="7"/>
  <c r="AY11" i="7"/>
  <c r="AP11" i="7"/>
  <c r="BP11" i="7"/>
  <c r="BG11" i="7"/>
  <c r="AX11" i="7"/>
  <c r="BX11" i="7"/>
  <c r="BO11" i="7"/>
  <c r="BF11" i="7"/>
  <c r="CF11" i="7"/>
  <c r="BW11" i="7"/>
  <c r="BN11" i="7"/>
  <c r="U20" i="24"/>
  <c r="P35" i="6"/>
  <c r="R35" i="6" s="1"/>
  <c r="AR25" i="25"/>
  <c r="Z29" i="9" s="1"/>
  <c r="AC42" i="66"/>
  <c r="AD42" i="66" s="1"/>
  <c r="AE42" i="66" s="1"/>
  <c r="AC41" i="66"/>
  <c r="AD41" i="66" s="1"/>
  <c r="AE41" i="66" s="1"/>
  <c r="AC40" i="66"/>
  <c r="AD40" i="66" s="1"/>
  <c r="AE40" i="66" s="1"/>
  <c r="AC47" i="66"/>
  <c r="AD47" i="66" s="1"/>
  <c r="AE47" i="66" s="1"/>
  <c r="AC46" i="66"/>
  <c r="AD46" i="66" s="1"/>
  <c r="AE46" i="66" s="1"/>
  <c r="AC37" i="66"/>
  <c r="AD37" i="66" s="1"/>
  <c r="AE37" i="66" s="1"/>
  <c r="AC52" i="66"/>
  <c r="AD52" i="66" s="1"/>
  <c r="AE52" i="66" s="1"/>
  <c r="AC43" i="66"/>
  <c r="AD43" i="66" s="1"/>
  <c r="AE43" i="66" s="1"/>
  <c r="BB32" i="26"/>
  <c r="Q102" i="6"/>
  <c r="U21" i="23"/>
  <c r="G21" i="23"/>
  <c r="AN21" i="24" s="1"/>
  <c r="Q79" i="6"/>
  <c r="W79" i="6"/>
  <c r="Y31" i="23"/>
  <c r="AL31" i="23" s="1"/>
  <c r="AN31" i="23" s="1"/>
  <c r="AO31" i="23" s="1"/>
  <c r="Y33" i="23"/>
  <c r="AL33" i="23" s="1"/>
  <c r="AN33" i="23" s="1"/>
  <c r="AO33" i="23" s="1"/>
  <c r="Q81" i="6"/>
  <c r="L99" i="62"/>
  <c r="AA45" i="6"/>
  <c r="AA42" i="6"/>
  <c r="AA39" i="6"/>
  <c r="AA47" i="6"/>
  <c r="AA44" i="6"/>
  <c r="AA48" i="6"/>
  <c r="AA43" i="6"/>
  <c r="AA46" i="6"/>
  <c r="AA40" i="6"/>
  <c r="AA41" i="6"/>
  <c r="AH89" i="49"/>
  <c r="ET12" i="49"/>
  <c r="S89" i="49"/>
  <c r="BZ12" i="49"/>
  <c r="BC39" i="5"/>
  <c r="BG39" i="5" s="1"/>
  <c r="BS20" i="5"/>
  <c r="BC40" i="5"/>
  <c r="BG40" i="5" s="1"/>
  <c r="BS19" i="5"/>
  <c r="BS10" i="5"/>
  <c r="BS9" i="5"/>
  <c r="BC38" i="5"/>
  <c r="BG38" i="5" s="1"/>
  <c r="BC37" i="5"/>
  <c r="BG37" i="5" s="1"/>
  <c r="BR7" i="5"/>
  <c r="BO7" i="5"/>
  <c r="BP7" i="5" s="1"/>
  <c r="O36" i="6"/>
  <c r="S123" i="47"/>
  <c r="T123" i="47" s="1"/>
  <c r="AC88" i="49"/>
  <c r="DV11" i="49"/>
  <c r="N88" i="49"/>
  <c r="BB11" i="49"/>
  <c r="AA18" i="9"/>
  <c r="S24" i="47"/>
  <c r="T24" i="47" s="1"/>
  <c r="Z24" i="47" s="1"/>
  <c r="Y24" i="47" s="1"/>
  <c r="AA24" i="47"/>
  <c r="AB24" i="47" s="1"/>
  <c r="L86" i="1"/>
  <c r="AK19" i="7"/>
  <c r="AK42" i="7" s="1"/>
  <c r="BP19" i="7"/>
  <c r="I92" i="49"/>
  <c r="AD15" i="49"/>
  <c r="BH22" i="7"/>
  <c r="G8" i="23"/>
  <c r="AN8" i="24" s="1"/>
  <c r="AJ8" i="23"/>
  <c r="R56" i="6"/>
  <c r="T56" i="6" s="1"/>
  <c r="Q89" i="6"/>
  <c r="U8" i="23"/>
  <c r="K48" i="47"/>
  <c r="K51" i="47"/>
  <c r="K42" i="47"/>
  <c r="K45" i="47"/>
  <c r="K54" i="47"/>
  <c r="K57" i="47"/>
  <c r="CK9" i="7"/>
  <c r="CS9" i="7"/>
  <c r="AA8" i="9"/>
  <c r="BE36" i="49"/>
  <c r="EV36" i="49"/>
  <c r="AI102" i="49" s="1"/>
  <c r="CU36" i="49"/>
  <c r="V102" i="49" s="1"/>
  <c r="BY36" i="49"/>
  <c r="BD36" i="49"/>
  <c r="O102" i="49" s="1"/>
  <c r="C36" i="49"/>
  <c r="B102" i="49" s="1"/>
  <c r="AG36" i="49"/>
  <c r="ES36" i="49"/>
  <c r="DX36" i="49"/>
  <c r="AD102" i="49" s="1"/>
  <c r="DA36" i="49"/>
  <c r="I36" i="49"/>
  <c r="DU36" i="49"/>
  <c r="CZ36" i="49"/>
  <c r="Y102" i="49" s="1"/>
  <c r="AY36" i="49"/>
  <c r="L102" i="49" s="1"/>
  <c r="AC36" i="49"/>
  <c r="H36" i="49"/>
  <c r="E102" i="49" s="1"/>
  <c r="BA36" i="49"/>
  <c r="D140" i="7"/>
  <c r="CW36" i="49"/>
  <c r="E36" i="49"/>
  <c r="D137" i="7"/>
  <c r="D142" i="7"/>
  <c r="D134" i="7"/>
  <c r="CB36" i="49"/>
  <c r="T102" i="49" s="1"/>
  <c r="D139" i="7"/>
  <c r="AF36" i="49"/>
  <c r="J102" i="49" s="1"/>
  <c r="H151" i="7"/>
  <c r="D136" i="7"/>
  <c r="AA36" i="49"/>
  <c r="G102" i="49" s="1"/>
  <c r="F151" i="7"/>
  <c r="D141" i="7"/>
  <c r="D151" i="7"/>
  <c r="D138" i="7"/>
  <c r="D143" i="7"/>
  <c r="D135" i="7"/>
  <c r="BE22" i="49"/>
  <c r="EV22" i="49"/>
  <c r="AI94" i="49" s="1"/>
  <c r="CU22" i="49"/>
  <c r="V94" i="49" s="1"/>
  <c r="BY22" i="49"/>
  <c r="BD22" i="49"/>
  <c r="O94" i="49" s="1"/>
  <c r="C22" i="49"/>
  <c r="B94" i="49" s="1"/>
  <c r="AG22" i="49"/>
  <c r="ES22" i="49"/>
  <c r="DX22" i="49"/>
  <c r="AD94" i="49" s="1"/>
  <c r="BA22" i="49"/>
  <c r="AF22" i="49"/>
  <c r="J94" i="49" s="1"/>
  <c r="DA22" i="49"/>
  <c r="I22" i="49"/>
  <c r="DU22" i="49"/>
  <c r="CZ22" i="49"/>
  <c r="Y94" i="49" s="1"/>
  <c r="AY22" i="49"/>
  <c r="L94" i="49" s="1"/>
  <c r="AC22" i="49"/>
  <c r="H22" i="49"/>
  <c r="E94" i="49" s="1"/>
  <c r="CW22" i="49"/>
  <c r="CB22" i="49"/>
  <c r="T94" i="49" s="1"/>
  <c r="AA22" i="49"/>
  <c r="G94" i="49" s="1"/>
  <c r="E22" i="49"/>
  <c r="AH138" i="49"/>
  <c r="FB21" i="49"/>
  <c r="Y24" i="23"/>
  <c r="AL24" i="23" s="1"/>
  <c r="AN24" i="23" s="1"/>
  <c r="AO24" i="23" s="1"/>
  <c r="Q72" i="6"/>
  <c r="BB8" i="26"/>
  <c r="Y88" i="63"/>
  <c r="V64" i="63"/>
  <c r="AU35" i="7"/>
  <c r="BC35" i="7" s="1"/>
  <c r="AN35" i="7"/>
  <c r="AV35" i="7"/>
  <c r="AH87" i="49"/>
  <c r="ET10" i="49"/>
  <c r="S87" i="49"/>
  <c r="BZ10" i="49"/>
  <c r="BX17" i="7"/>
  <c r="P27" i="6"/>
  <c r="U12" i="24"/>
  <c r="S108" i="6"/>
  <c r="T108" i="6" s="1"/>
  <c r="W27" i="23"/>
  <c r="AD27" i="23" s="1"/>
  <c r="T27" i="24"/>
  <c r="W25" i="23"/>
  <c r="AD25" i="23" s="1"/>
  <c r="S106" i="6"/>
  <c r="T106" i="6" s="1"/>
  <c r="T25" i="24"/>
  <c r="AO9" i="24"/>
  <c r="G13" i="9"/>
  <c r="O82" i="51"/>
  <c r="CD20" i="7"/>
  <c r="AS20" i="7"/>
  <c r="AJ20" i="7"/>
  <c r="BA20" i="7"/>
  <c r="AR20" i="7"/>
  <c r="AI20" i="7"/>
  <c r="AZ20" i="7"/>
  <c r="AQ20" i="7"/>
  <c r="AH20" i="7"/>
  <c r="BH20" i="7"/>
  <c r="AY20" i="7"/>
  <c r="AP20" i="7"/>
  <c r="BP20" i="7"/>
  <c r="BG20" i="7"/>
  <c r="AX20" i="7"/>
  <c r="BX20" i="7"/>
  <c r="BO20" i="7"/>
  <c r="BF20" i="7"/>
  <c r="CF20" i="7"/>
  <c r="BW20" i="7"/>
  <c r="BN20" i="7"/>
  <c r="CE20" i="7"/>
  <c r="BV20" i="7"/>
  <c r="AK20" i="7"/>
  <c r="AN37" i="7"/>
  <c r="AV37" i="7"/>
  <c r="AU37" i="7"/>
  <c r="BC37" i="7" s="1"/>
  <c r="CU18" i="5"/>
  <c r="CW6" i="5"/>
  <c r="U28" i="24"/>
  <c r="P43" i="6"/>
  <c r="Y153" i="63"/>
  <c r="V70" i="63"/>
  <c r="BC9" i="26"/>
  <c r="S118" i="47"/>
  <c r="T118" i="47" s="1"/>
  <c r="Z118" i="47" s="1"/>
  <c r="Y118" i="47" s="1"/>
  <c r="S122" i="47"/>
  <c r="T122" i="47" s="1"/>
  <c r="Z122" i="47" s="1"/>
  <c r="Y122" i="47" s="1"/>
  <c r="S120" i="47"/>
  <c r="T120" i="47" s="1"/>
  <c r="Z120" i="47" s="1"/>
  <c r="Y120" i="47" s="1"/>
  <c r="I72" i="1"/>
  <c r="E98" i="1" s="1"/>
  <c r="AM34" i="7"/>
  <c r="AF34" i="7"/>
  <c r="BA12" i="7"/>
  <c r="BA37" i="7" s="1"/>
  <c r="AR12" i="7"/>
  <c r="AR37" i="7" s="1"/>
  <c r="AI12" i="7"/>
  <c r="AI37" i="7" s="1"/>
  <c r="AZ12" i="7"/>
  <c r="AZ37" i="7" s="1"/>
  <c r="AQ12" i="7"/>
  <c r="AQ37" i="7" s="1"/>
  <c r="AH12" i="7"/>
  <c r="AH37" i="7" s="1"/>
  <c r="BH12" i="7"/>
  <c r="AY12" i="7"/>
  <c r="AY37" i="7" s="1"/>
  <c r="AP12" i="7"/>
  <c r="AP37" i="7" s="1"/>
  <c r="BP12" i="7"/>
  <c r="BG12" i="7"/>
  <c r="AX12" i="7"/>
  <c r="AX37" i="7" s="1"/>
  <c r="BX12" i="7"/>
  <c r="BO12" i="7"/>
  <c r="BF12" i="7"/>
  <c r="CF12" i="7"/>
  <c r="BW12" i="7"/>
  <c r="BN12" i="7"/>
  <c r="CE12" i="7"/>
  <c r="BV12" i="7"/>
  <c r="AK12" i="7"/>
  <c r="AK37" i="7" s="1"/>
  <c r="CD12" i="7"/>
  <c r="AS12" i="7"/>
  <c r="AS37" i="7" s="1"/>
  <c r="AJ12" i="7"/>
  <c r="AJ37" i="7" s="1"/>
  <c r="CF10" i="7"/>
  <c r="BW10" i="7"/>
  <c r="BN10" i="7"/>
  <c r="CE10" i="7"/>
  <c r="BV10" i="7"/>
  <c r="AK10" i="7"/>
  <c r="AK36" i="7" s="1"/>
  <c r="CD10" i="7"/>
  <c r="AS10" i="7"/>
  <c r="AS36" i="7" s="1"/>
  <c r="AJ10" i="7"/>
  <c r="AJ36" i="7" s="1"/>
  <c r="AZ10" i="7"/>
  <c r="AZ36" i="7" s="1"/>
  <c r="AQ10" i="7"/>
  <c r="AQ36" i="7" s="1"/>
  <c r="AH10" i="7"/>
  <c r="AH36" i="7" s="1"/>
  <c r="BH10" i="7"/>
  <c r="BH36" i="7" s="1"/>
  <c r="AY10" i="7"/>
  <c r="AY36" i="7" s="1"/>
  <c r="AP10" i="7"/>
  <c r="AP36" i="7" s="1"/>
  <c r="BP10" i="7"/>
  <c r="BG10" i="7"/>
  <c r="BG36" i="7" s="1"/>
  <c r="AX10" i="7"/>
  <c r="AX36" i="7" s="1"/>
  <c r="BX10" i="7"/>
  <c r="AR10" i="7"/>
  <c r="AR36" i="7" s="1"/>
  <c r="BO10" i="7"/>
  <c r="BF10" i="7"/>
  <c r="BF36" i="7" s="1"/>
  <c r="AI10" i="7"/>
  <c r="AI36" i="7" s="1"/>
  <c r="BA10" i="7"/>
  <c r="BA36" i="7" s="1"/>
  <c r="AG16" i="23"/>
  <c r="AI16" i="23" s="1"/>
  <c r="AW16" i="26" s="1"/>
  <c r="AC21" i="66"/>
  <c r="AD21" i="66" s="1"/>
  <c r="AE21" i="66" s="1"/>
  <c r="AC72" i="66"/>
  <c r="AD72" i="66" s="1"/>
  <c r="AE72" i="66" s="1"/>
  <c r="AC39" i="66"/>
  <c r="AD39" i="66" s="1"/>
  <c r="AE39" i="66" s="1"/>
  <c r="AC38" i="66"/>
  <c r="AD38" i="66" s="1"/>
  <c r="AE38" i="66" s="1"/>
  <c r="AC27" i="66"/>
  <c r="AD27" i="66" s="1"/>
  <c r="AE27" i="66" s="1"/>
  <c r="AC44" i="66"/>
  <c r="AD44" i="66" s="1"/>
  <c r="AE44" i="66" s="1"/>
  <c r="AC29" i="66"/>
  <c r="AD29" i="66" s="1"/>
  <c r="AE29" i="66" s="1"/>
  <c r="L100" i="62"/>
  <c r="AR26" i="25"/>
  <c r="Z30" i="9" s="1"/>
  <c r="AO15" i="24"/>
  <c r="G19" i="9"/>
  <c r="BB30" i="26"/>
  <c r="AO25" i="26"/>
  <c r="BB10" i="26"/>
  <c r="T95" i="6"/>
  <c r="AO20" i="24"/>
  <c r="G24" i="9"/>
  <c r="BC29" i="26"/>
  <c r="X90" i="49"/>
  <c r="CX13" i="49"/>
  <c r="AC89" i="49"/>
  <c r="DV12" i="49"/>
  <c r="BO30" i="5"/>
  <c r="AK18" i="7"/>
  <c r="AK41" i="7" s="1"/>
  <c r="X88" i="49"/>
  <c r="CX11" i="49"/>
  <c r="U25" i="24"/>
  <c r="P40" i="6"/>
  <c r="S114" i="6"/>
  <c r="T114" i="6" s="1"/>
  <c r="T33" i="24"/>
  <c r="W33" i="23"/>
  <c r="AD33" i="23" s="1"/>
  <c r="S28" i="47"/>
  <c r="T28" i="47" s="1"/>
  <c r="Z28" i="47" s="1"/>
  <c r="Y28" i="47" s="1"/>
  <c r="AA28" i="47"/>
  <c r="AB28" i="47" s="1"/>
  <c r="I86" i="1"/>
  <c r="E100" i="1" s="1"/>
  <c r="BK36" i="7"/>
  <c r="S92" i="49"/>
  <c r="BZ15" i="49"/>
  <c r="D92" i="49"/>
  <c r="F15" i="49"/>
  <c r="N192" i="49"/>
  <c r="BR21" i="49"/>
  <c r="D192" i="49"/>
  <c r="V21" i="49"/>
  <c r="I217" i="63"/>
  <c r="T71" i="63"/>
  <c r="K43" i="47"/>
  <c r="K58" i="47"/>
  <c r="K55" i="47"/>
  <c r="K52" i="47"/>
  <c r="K49" i="47"/>
  <c r="K46" i="47"/>
  <c r="D93" i="49"/>
  <c r="F21" i="49"/>
  <c r="AC93" i="49"/>
  <c r="DV21" i="49"/>
  <c r="DE22" i="49"/>
  <c r="CJ22" i="49"/>
  <c r="T139" i="49" s="1"/>
  <c r="AI22" i="49"/>
  <c r="G139" i="49" s="1"/>
  <c r="M22" i="49"/>
  <c r="BM22" i="49"/>
  <c r="FD22" i="49"/>
  <c r="AI139" i="49" s="1"/>
  <c r="DC22" i="49"/>
  <c r="V139" i="49" s="1"/>
  <c r="CG22" i="49"/>
  <c r="BL22" i="49"/>
  <c r="O139" i="49" s="1"/>
  <c r="K22" i="49"/>
  <c r="B139" i="49" s="1"/>
  <c r="AO22" i="49"/>
  <c r="FA22" i="49"/>
  <c r="EF22" i="49"/>
  <c r="AD139" i="49" s="1"/>
  <c r="BI22" i="49"/>
  <c r="AN22" i="49"/>
  <c r="J139" i="49" s="1"/>
  <c r="F120" i="7"/>
  <c r="DI22" i="49"/>
  <c r="Q22" i="49"/>
  <c r="EC22" i="49"/>
  <c r="DH22" i="49"/>
  <c r="Y139" i="49" s="1"/>
  <c r="BG22" i="49"/>
  <c r="L139" i="49" s="1"/>
  <c r="AK22" i="49"/>
  <c r="P22" i="49"/>
  <c r="E139" i="49" s="1"/>
  <c r="BB26" i="26"/>
  <c r="G11" i="23"/>
  <c r="AN11" i="24" s="1"/>
  <c r="AJ11" i="23"/>
  <c r="U11" i="23"/>
  <c r="Q92" i="6"/>
  <c r="P59" i="6"/>
  <c r="W59" i="6" s="1"/>
  <c r="U14" i="24"/>
  <c r="P29" i="6"/>
  <c r="R29" i="6" s="1"/>
  <c r="AH7" i="25"/>
  <c r="AF8" i="25" s="1"/>
  <c r="AJ7" i="25"/>
  <c r="AC87" i="49"/>
  <c r="DV10" i="49"/>
  <c r="Q27" i="6"/>
  <c r="O42" i="51"/>
  <c r="R108" i="51"/>
  <c r="R134" i="51"/>
  <c r="D91" i="49"/>
  <c r="F14" i="49"/>
  <c r="AK15" i="7"/>
  <c r="BO15" i="5"/>
  <c r="BP15" i="5" s="1"/>
  <c r="BR15" i="5"/>
  <c r="BO25" i="5" s="1"/>
  <c r="O22" i="6"/>
  <c r="Q22" i="6" s="1"/>
  <c r="O26" i="6"/>
  <c r="Q26" i="6" s="1"/>
  <c r="Q54" i="6"/>
  <c r="W54" i="6"/>
  <c r="Y6" i="23"/>
  <c r="AL6" i="23" s="1"/>
  <c r="AN6" i="23" s="1"/>
  <c r="Q65" i="6"/>
  <c r="Y17" i="23"/>
  <c r="AL17" i="23" s="1"/>
  <c r="W65" i="6"/>
  <c r="Q43" i="6"/>
  <c r="CE21" i="7"/>
  <c r="BV21" i="7"/>
  <c r="AK21" i="7"/>
  <c r="CD21" i="7"/>
  <c r="AS21" i="7"/>
  <c r="AJ21" i="7"/>
  <c r="BA21" i="7"/>
  <c r="AR21" i="7"/>
  <c r="AI21" i="7"/>
  <c r="AZ21" i="7"/>
  <c r="AQ21" i="7"/>
  <c r="AH21" i="7"/>
  <c r="BH21" i="7"/>
  <c r="AY21" i="7"/>
  <c r="AP21" i="7"/>
  <c r="BP21" i="7"/>
  <c r="BG21" i="7"/>
  <c r="AX21" i="7"/>
  <c r="BX21" i="7"/>
  <c r="BO21" i="7"/>
  <c r="BF21" i="7"/>
  <c r="CF21" i="7"/>
  <c r="BW21" i="7"/>
  <c r="BN21" i="7"/>
  <c r="P23" i="6"/>
  <c r="U8" i="24"/>
  <c r="AG11" i="23"/>
  <c r="AI11" i="23" s="1"/>
  <c r="AW11" i="26" s="1"/>
  <c r="AM11" i="26"/>
  <c r="S130" i="47"/>
  <c r="T130" i="47" s="1"/>
  <c r="Z130" i="47" s="1"/>
  <c r="Y130" i="47" s="1"/>
  <c r="S148" i="47"/>
  <c r="T148" i="47" s="1"/>
  <c r="Z148" i="47" s="1"/>
  <c r="Y148" i="47" s="1"/>
  <c r="S152" i="47"/>
  <c r="T152" i="47" s="1"/>
  <c r="Z152" i="47" s="1"/>
  <c r="Y152" i="47" s="1"/>
  <c r="Y73" i="63"/>
  <c r="V62" i="63"/>
  <c r="L72" i="1"/>
  <c r="AF32" i="7"/>
  <c r="AM32" i="7"/>
  <c r="W60" i="6"/>
  <c r="Y12" i="23"/>
  <c r="AL12" i="23" s="1"/>
  <c r="AN12" i="23" s="1"/>
  <c r="AO12" i="23" s="1"/>
  <c r="Q60" i="6"/>
  <c r="S94" i="6"/>
  <c r="T94" i="6" s="1"/>
  <c r="T13" i="24"/>
  <c r="W13" i="23"/>
  <c r="AD13" i="23" s="1"/>
  <c r="AO13" i="26"/>
  <c r="U33" i="24"/>
  <c r="P48" i="6"/>
  <c r="O31" i="60"/>
  <c r="S32" i="60" s="1"/>
  <c r="N31" i="60"/>
  <c r="S31" i="60" s="1"/>
  <c r="AO16" i="24"/>
  <c r="G20" i="9"/>
  <c r="R113" i="32"/>
  <c r="P114" i="32"/>
  <c r="AC31" i="66"/>
  <c r="AD31" i="66" s="1"/>
  <c r="AE31" i="66" s="1"/>
  <c r="AC16" i="66"/>
  <c r="AD16" i="66" s="1"/>
  <c r="AE16" i="66" s="1"/>
  <c r="AC19" i="66"/>
  <c r="AD19" i="66" s="1"/>
  <c r="AE19" i="66" s="1"/>
  <c r="AC35" i="66"/>
  <c r="AD35" i="66" s="1"/>
  <c r="AE35" i="66" s="1"/>
  <c r="L90" i="62"/>
  <c r="AO31" i="24"/>
  <c r="G35" i="9"/>
  <c r="W81" i="6"/>
  <c r="AO14" i="24"/>
  <c r="G18" i="9"/>
  <c r="P56" i="6"/>
  <c r="AD4" i="26"/>
  <c r="AB4" i="26"/>
  <c r="AC4" i="26"/>
  <c r="AE4" i="26"/>
  <c r="Z4" i="26"/>
  <c r="CN7" i="7" l="1"/>
  <c r="CP8" i="7"/>
  <c r="BU5" i="26"/>
  <c r="CY11" i="7"/>
  <c r="DH12" i="7"/>
  <c r="DY12" i="7"/>
  <c r="BT5" i="26"/>
  <c r="CX15" i="7"/>
  <c r="CX12" i="7"/>
  <c r="BI6" i="26"/>
  <c r="BJ6" i="26" s="1"/>
  <c r="BV6" i="26" s="1"/>
  <c r="N6" i="34"/>
  <c r="BX5" i="26"/>
  <c r="T308" i="51"/>
  <c r="S334" i="51"/>
  <c r="T334" i="51"/>
  <c r="AP4" i="23"/>
  <c r="AY4" i="26" s="1"/>
  <c r="R20" i="6"/>
  <c r="AH4" i="35"/>
  <c r="AO22" i="23"/>
  <c r="J390" i="51"/>
  <c r="O392" i="51" s="1"/>
  <c r="J370" i="51"/>
  <c r="J395" i="51"/>
  <c r="O402" i="51" s="1"/>
  <c r="J351" i="51"/>
  <c r="O352" i="51" s="1"/>
  <c r="J327" i="51"/>
  <c r="J356" i="51"/>
  <c r="O362" i="51" s="1"/>
  <c r="F327" i="51"/>
  <c r="J295" i="51"/>
  <c r="O302" i="51" s="1"/>
  <c r="J251" i="51"/>
  <c r="O252" i="51" s="1"/>
  <c r="J227" i="51"/>
  <c r="J256" i="51"/>
  <c r="O262" i="51" s="1"/>
  <c r="F227" i="51"/>
  <c r="J290" i="51"/>
  <c r="O292" i="51" s="1"/>
  <c r="J270" i="51"/>
  <c r="O272" i="51" s="1"/>
  <c r="R46" i="6"/>
  <c r="AH34" i="7"/>
  <c r="CO5" i="7"/>
  <c r="AN19" i="23"/>
  <c r="AO19" i="23" s="1"/>
  <c r="AN21" i="23"/>
  <c r="AO21" i="23" s="1"/>
  <c r="AM15" i="26"/>
  <c r="BD15" i="26" s="1"/>
  <c r="EH12" i="7"/>
  <c r="DG12" i="7"/>
  <c r="CX11" i="7"/>
  <c r="CO14" i="7"/>
  <c r="CY12" i="7"/>
  <c r="BO26" i="5"/>
  <c r="AN26" i="23"/>
  <c r="AP26" i="23" s="1"/>
  <c r="AY26" i="26" s="1"/>
  <c r="BE26" i="26" s="1"/>
  <c r="AC25" i="9"/>
  <c r="R37" i="6"/>
  <c r="AN17" i="23"/>
  <c r="AN25" i="23"/>
  <c r="AP25" i="23" s="1"/>
  <c r="AY25" i="26" s="1"/>
  <c r="R40" i="6"/>
  <c r="AM6" i="26"/>
  <c r="BD6" i="26" s="1"/>
  <c r="BG20" i="35"/>
  <c r="BG19" i="35"/>
  <c r="M30" i="9"/>
  <c r="AC30" i="9" s="1"/>
  <c r="BG16" i="35"/>
  <c r="M29" i="9"/>
  <c r="AC29" i="9" s="1"/>
  <c r="BG17" i="35"/>
  <c r="BG15" i="35"/>
  <c r="BG18" i="35"/>
  <c r="BG14" i="35"/>
  <c r="AC37" i="9"/>
  <c r="AM9" i="26"/>
  <c r="BD9" i="26" s="1"/>
  <c r="BO29" i="5"/>
  <c r="R21" i="6"/>
  <c r="CP7" i="7"/>
  <c r="AC23" i="9"/>
  <c r="CN5" i="7"/>
  <c r="DH11" i="7"/>
  <c r="G14" i="9"/>
  <c r="AO10" i="24"/>
  <c r="AO30" i="23"/>
  <c r="CY15" i="7"/>
  <c r="P20" i="9"/>
  <c r="P19" i="9"/>
  <c r="F35" i="9"/>
  <c r="O29" i="9"/>
  <c r="BE16" i="26"/>
  <c r="O24" i="9"/>
  <c r="BD30" i="26"/>
  <c r="O35" i="9"/>
  <c r="P10" i="9"/>
  <c r="BE4" i="26"/>
  <c r="O15" i="9"/>
  <c r="AC15" i="9" s="1"/>
  <c r="P24" i="9"/>
  <c r="F9" i="9"/>
  <c r="P14" i="9"/>
  <c r="F21" i="9"/>
  <c r="P22" i="9"/>
  <c r="O11" i="9"/>
  <c r="AC11" i="9" s="1"/>
  <c r="F13" i="9"/>
  <c r="F34" i="9"/>
  <c r="F10" i="9"/>
  <c r="O32" i="9"/>
  <c r="BE29" i="26"/>
  <c r="F12" i="9"/>
  <c r="F32" i="9"/>
  <c r="F16" i="9"/>
  <c r="O12" i="9"/>
  <c r="AC12" i="9" s="1"/>
  <c r="F20" i="9"/>
  <c r="P27" i="9"/>
  <c r="O22" i="9"/>
  <c r="BE30" i="26"/>
  <c r="P18" i="9"/>
  <c r="F37" i="9"/>
  <c r="F18" i="9"/>
  <c r="BD16" i="26"/>
  <c r="P13" i="9"/>
  <c r="F24" i="9"/>
  <c r="F26" i="9"/>
  <c r="BE28" i="26"/>
  <c r="P35" i="9"/>
  <c r="O23" i="9"/>
  <c r="P33" i="9"/>
  <c r="O37" i="9"/>
  <c r="P21" i="9"/>
  <c r="F28" i="9"/>
  <c r="F29" i="9"/>
  <c r="O25" i="9"/>
  <c r="P34" i="9"/>
  <c r="F31" i="9"/>
  <c r="P9" i="9"/>
  <c r="BE32" i="26"/>
  <c r="AC17" i="9"/>
  <c r="R42" i="6"/>
  <c r="BD18" i="26"/>
  <c r="AO20" i="23"/>
  <c r="CN8" i="7"/>
  <c r="CO15" i="7"/>
  <c r="CO13" i="7"/>
  <c r="CO8" i="7"/>
  <c r="DH15" i="7"/>
  <c r="EH15" i="7"/>
  <c r="DG15" i="7"/>
  <c r="DP12" i="7"/>
  <c r="CO12" i="7"/>
  <c r="R39" i="6"/>
  <c r="BW5" i="26"/>
  <c r="BW4" i="26"/>
  <c r="AJ4" i="35" s="1"/>
  <c r="CP6" i="7"/>
  <c r="BE10" i="26"/>
  <c r="AM5" i="26"/>
  <c r="AG5" i="23"/>
  <c r="AI5" i="23" s="1"/>
  <c r="AW5" i="26" s="1"/>
  <c r="CM8" i="7"/>
  <c r="AI34" i="7"/>
  <c r="CM5" i="7"/>
  <c r="CO6" i="7"/>
  <c r="CX10" i="7"/>
  <c r="CP5" i="7"/>
  <c r="AP13" i="23"/>
  <c r="AY13" i="26" s="1"/>
  <c r="S234" i="51"/>
  <c r="T234" i="51"/>
  <c r="S208" i="51"/>
  <c r="T208" i="51"/>
  <c r="BD20" i="26"/>
  <c r="BD14" i="26"/>
  <c r="R48" i="6"/>
  <c r="R23" i="6"/>
  <c r="BE20" i="26"/>
  <c r="DF10" i="7"/>
  <c r="AO11" i="24"/>
  <c r="G15" i="9"/>
  <c r="CO10" i="7"/>
  <c r="BD31" i="26"/>
  <c r="AO32" i="24"/>
  <c r="G36" i="9"/>
  <c r="DN10" i="7"/>
  <c r="AG32" i="23"/>
  <c r="AI32" i="23" s="1"/>
  <c r="AW32" i="26" s="1"/>
  <c r="AM32" i="26"/>
  <c r="DE10" i="7"/>
  <c r="DG10" i="7"/>
  <c r="BD23" i="26"/>
  <c r="G30" i="9"/>
  <c r="AO26" i="24"/>
  <c r="CO7" i="7"/>
  <c r="AM26" i="26"/>
  <c r="AG26" i="23"/>
  <c r="AI26" i="23" s="1"/>
  <c r="AW26" i="26" s="1"/>
  <c r="BD10" i="26"/>
  <c r="DP15" i="7"/>
  <c r="AO4" i="24"/>
  <c r="G8" i="9"/>
  <c r="EG10" i="7"/>
  <c r="BD17" i="26"/>
  <c r="BW4" i="24"/>
  <c r="AT4" i="24" s="1"/>
  <c r="BX4" i="24"/>
  <c r="AU4" i="24" s="1"/>
  <c r="BS4" i="24"/>
  <c r="AP4" i="24" s="1"/>
  <c r="BU4" i="24"/>
  <c r="AR4" i="24" s="1"/>
  <c r="BV4" i="24"/>
  <c r="AS4" i="24" s="1"/>
  <c r="BT25" i="5"/>
  <c r="BS25" i="5"/>
  <c r="BQ25" i="5"/>
  <c r="BX25" i="5"/>
  <c r="BP25" i="5"/>
  <c r="BW25" i="5"/>
  <c r="BV25" i="5"/>
  <c r="BU25" i="5"/>
  <c r="BR25" i="5"/>
  <c r="BS29" i="5"/>
  <c r="BT29" i="5"/>
  <c r="BR29" i="5"/>
  <c r="BP29" i="5"/>
  <c r="BX29" i="5"/>
  <c r="BW29" i="5"/>
  <c r="BV29" i="5"/>
  <c r="BU29" i="5"/>
  <c r="BQ29" i="5"/>
  <c r="AP6" i="23"/>
  <c r="AY6" i="26" s="1"/>
  <c r="AO6" i="23"/>
  <c r="BD4" i="26"/>
  <c r="BY5" i="26"/>
  <c r="AJ8" i="25"/>
  <c r="AH8" i="25"/>
  <c r="CX36" i="49"/>
  <c r="X102" i="49"/>
  <c r="CN9" i="7"/>
  <c r="S54" i="47"/>
  <c r="T54" i="47" s="1"/>
  <c r="W54" i="47" s="1"/>
  <c r="V54" i="47" s="1"/>
  <c r="AA54" i="47"/>
  <c r="AB54" i="47" s="1"/>
  <c r="AD38" i="6"/>
  <c r="AA23" i="24" s="1"/>
  <c r="AD30" i="6"/>
  <c r="AA15" i="24" s="1"/>
  <c r="AD35" i="6"/>
  <c r="AA20" i="24" s="1"/>
  <c r="AD32" i="6"/>
  <c r="AA17" i="24" s="1"/>
  <c r="AD37" i="6"/>
  <c r="AA22" i="24" s="1"/>
  <c r="AD31" i="6"/>
  <c r="AA16" i="24" s="1"/>
  <c r="AD36" i="6"/>
  <c r="AA21" i="24" s="1"/>
  <c r="AD33" i="6"/>
  <c r="AA18" i="24" s="1"/>
  <c r="AD34" i="6"/>
  <c r="AA19" i="24" s="1"/>
  <c r="BU7" i="5"/>
  <c r="AD29" i="6"/>
  <c r="AA14" i="24" s="1"/>
  <c r="BT7" i="5"/>
  <c r="BV7" i="5"/>
  <c r="H112" i="6"/>
  <c r="Y31" i="24"/>
  <c r="BO33" i="7"/>
  <c r="BN33" i="7"/>
  <c r="BS33" i="7"/>
  <c r="BP33" i="7"/>
  <c r="CM11" i="7"/>
  <c r="AC153" i="49"/>
  <c r="ED36" i="49"/>
  <c r="X153" i="49"/>
  <c r="DF36" i="49"/>
  <c r="X98" i="49"/>
  <c r="CX26" i="49"/>
  <c r="N98" i="49"/>
  <c r="BB26" i="49"/>
  <c r="U23" i="24"/>
  <c r="P38" i="6"/>
  <c r="DH8" i="7"/>
  <c r="CY8" i="7"/>
  <c r="EQ8" i="7"/>
  <c r="EH8" i="7"/>
  <c r="DY8" i="7"/>
  <c r="DP8" i="7"/>
  <c r="DG8" i="7"/>
  <c r="CX8" i="7"/>
  <c r="EO8" i="7"/>
  <c r="EF8" i="7"/>
  <c r="DW8" i="7"/>
  <c r="DN8" i="7"/>
  <c r="DE8" i="7"/>
  <c r="CV8" i="7"/>
  <c r="DC8" i="7"/>
  <c r="CT8" i="7"/>
  <c r="DX8" i="7"/>
  <c r="DO8" i="7"/>
  <c r="EP8" i="7"/>
  <c r="DF8" i="7"/>
  <c r="DB8" i="7"/>
  <c r="DK8" i="7" s="1"/>
  <c r="DT8" i="7" s="1"/>
  <c r="EC8" i="7" s="1"/>
  <c r="EL8" i="7" s="1"/>
  <c r="EG8" i="7"/>
  <c r="CW8" i="7"/>
  <c r="H98" i="6"/>
  <c r="AH97" i="49"/>
  <c r="ET25" i="49"/>
  <c r="S101" i="49"/>
  <c r="BZ29" i="49"/>
  <c r="I101" i="49"/>
  <c r="AD29" i="49"/>
  <c r="J201" i="41"/>
  <c r="H202" i="41"/>
  <c r="AR38" i="7"/>
  <c r="CY5" i="5"/>
  <c r="CV11" i="5"/>
  <c r="AC207" i="49"/>
  <c r="EL36" i="49"/>
  <c r="N128" i="49"/>
  <c r="BJ11" i="49"/>
  <c r="T7" i="26"/>
  <c r="U7" i="26" s="1"/>
  <c r="W6" i="26"/>
  <c r="Y6" i="26" s="1"/>
  <c r="V6" i="26"/>
  <c r="S6" i="26"/>
  <c r="AO24" i="24"/>
  <c r="G28" i="9"/>
  <c r="CP11" i="7"/>
  <c r="AC99" i="49"/>
  <c r="DV27" i="49"/>
  <c r="S99" i="49"/>
  <c r="BZ27" i="49"/>
  <c r="N96" i="49"/>
  <c r="BB24" i="49"/>
  <c r="D96" i="49"/>
  <c r="F24" i="49"/>
  <c r="EP13" i="7"/>
  <c r="EG13" i="7"/>
  <c r="DX13" i="7"/>
  <c r="DO13" i="7"/>
  <c r="DF13" i="7"/>
  <c r="CW13" i="7"/>
  <c r="EO13" i="7"/>
  <c r="EF13" i="7"/>
  <c r="DW13" i="7"/>
  <c r="DN13" i="7"/>
  <c r="DE13" i="7"/>
  <c r="CV13" i="7"/>
  <c r="DC13" i="7"/>
  <c r="CT13" i="7"/>
  <c r="DB13" i="7"/>
  <c r="DK13" i="7" s="1"/>
  <c r="DT13" i="7" s="1"/>
  <c r="EC13" i="7" s="1"/>
  <c r="EL13" i="7" s="1"/>
  <c r="DH13" i="7"/>
  <c r="CY13" i="7"/>
  <c r="EQ13" i="7"/>
  <c r="EH13" i="7"/>
  <c r="DY13" i="7"/>
  <c r="DP13" i="7"/>
  <c r="DG13" i="7"/>
  <c r="CX13" i="7"/>
  <c r="AO10" i="23"/>
  <c r="AH95" i="49"/>
  <c r="ET23" i="49"/>
  <c r="X95" i="49"/>
  <c r="CX23" i="49"/>
  <c r="AB8" i="25"/>
  <c r="AC8" i="25" s="1"/>
  <c r="W4" i="25" s="1"/>
  <c r="AA8" i="25"/>
  <c r="Z9" i="25"/>
  <c r="U29" i="24"/>
  <c r="P44" i="6"/>
  <c r="R114" i="32"/>
  <c r="P115" i="32"/>
  <c r="L30" i="2"/>
  <c r="J28" i="2"/>
  <c r="I27" i="2"/>
  <c r="L24" i="2"/>
  <c r="J30" i="2"/>
  <c r="I29" i="2"/>
  <c r="N26" i="2"/>
  <c r="J24" i="2"/>
  <c r="N27" i="2"/>
  <c r="N30" i="2"/>
  <c r="I25" i="2"/>
  <c r="M30" i="2"/>
  <c r="L29" i="2"/>
  <c r="K28" i="2"/>
  <c r="J27" i="2"/>
  <c r="M24" i="2"/>
  <c r="J29" i="2"/>
  <c r="N25" i="2"/>
  <c r="M25" i="2"/>
  <c r="L25" i="2"/>
  <c r="I24" i="2"/>
  <c r="M29" i="2"/>
  <c r="L28" i="2"/>
  <c r="K27" i="2"/>
  <c r="J26" i="2"/>
  <c r="N24" i="2"/>
  <c r="N28" i="2"/>
  <c r="L26" i="2"/>
  <c r="I26" i="2"/>
  <c r="N29" i="2"/>
  <c r="T29" i="2" s="1"/>
  <c r="L27" i="2"/>
  <c r="J25" i="2"/>
  <c r="I28" i="2"/>
  <c r="M28" i="2"/>
  <c r="M26" i="2"/>
  <c r="K25" i="2"/>
  <c r="I30" i="2"/>
  <c r="K29" i="2"/>
  <c r="M27" i="2"/>
  <c r="K30" i="2"/>
  <c r="K24" i="2"/>
  <c r="K26" i="2"/>
  <c r="S55" i="47"/>
  <c r="T55" i="47" s="1"/>
  <c r="W55" i="47" s="1"/>
  <c r="V55" i="47" s="1"/>
  <c r="AA55" i="47"/>
  <c r="AB55" i="47" s="1"/>
  <c r="AO25" i="24"/>
  <c r="G29" i="9"/>
  <c r="AO11" i="26"/>
  <c r="AC139" i="49"/>
  <c r="ED22" i="49"/>
  <c r="N139" i="49"/>
  <c r="BJ22" i="49"/>
  <c r="D139" i="49"/>
  <c r="N22" i="49"/>
  <c r="AA58" i="47"/>
  <c r="AB58" i="47" s="1"/>
  <c r="S58" i="47"/>
  <c r="T58" i="47" s="1"/>
  <c r="W58" i="47" s="1"/>
  <c r="V58" i="47" s="1"/>
  <c r="AG33" i="23"/>
  <c r="AI33" i="23" s="1"/>
  <c r="AW33" i="26" s="1"/>
  <c r="AM33" i="26"/>
  <c r="BW30" i="5"/>
  <c r="BV30" i="5"/>
  <c r="BU30" i="5"/>
  <c r="BS30" i="5"/>
  <c r="BR30" i="5"/>
  <c r="BQ30" i="5"/>
  <c r="BP30" i="5"/>
  <c r="BX30" i="5"/>
  <c r="BT30" i="5"/>
  <c r="AA30" i="9"/>
  <c r="EF10" i="7"/>
  <c r="DX10" i="7"/>
  <c r="EO10" i="7"/>
  <c r="AH94" i="49"/>
  <c r="ET22" i="49"/>
  <c r="CW41" i="49"/>
  <c r="CB41" i="49"/>
  <c r="T107" i="49" s="1"/>
  <c r="AA41" i="49"/>
  <c r="G107" i="49" s="1"/>
  <c r="E41" i="49"/>
  <c r="BE41" i="49"/>
  <c r="EV41" i="49"/>
  <c r="AI107" i="49" s="1"/>
  <c r="CU41" i="49"/>
  <c r="V107" i="49" s="1"/>
  <c r="BY41" i="49"/>
  <c r="BD41" i="49"/>
  <c r="O107" i="49" s="1"/>
  <c r="C41" i="49"/>
  <c r="B107" i="49" s="1"/>
  <c r="AG41" i="49"/>
  <c r="ES41" i="49"/>
  <c r="DX41" i="49"/>
  <c r="AD107" i="49" s="1"/>
  <c r="BA41" i="49"/>
  <c r="AF41" i="49"/>
  <c r="J107" i="49" s="1"/>
  <c r="DA41" i="49"/>
  <c r="I41" i="49"/>
  <c r="DU41" i="49"/>
  <c r="CZ41" i="49"/>
  <c r="Y107" i="49" s="1"/>
  <c r="AY41" i="49"/>
  <c r="L107" i="49" s="1"/>
  <c r="AC41" i="49"/>
  <c r="H41" i="49"/>
  <c r="E107" i="49" s="1"/>
  <c r="AG43" i="49"/>
  <c r="ES43" i="49"/>
  <c r="DX43" i="49"/>
  <c r="AD109" i="49" s="1"/>
  <c r="BA43" i="49"/>
  <c r="AF43" i="49"/>
  <c r="J109" i="49" s="1"/>
  <c r="DA43" i="49"/>
  <c r="I43" i="49"/>
  <c r="DU43" i="49"/>
  <c r="CZ43" i="49"/>
  <c r="Y109" i="49" s="1"/>
  <c r="AY43" i="49"/>
  <c r="L109" i="49" s="1"/>
  <c r="AC43" i="49"/>
  <c r="H43" i="49"/>
  <c r="E109" i="49" s="1"/>
  <c r="CW43" i="49"/>
  <c r="CB43" i="49"/>
  <c r="T109" i="49" s="1"/>
  <c r="AA43" i="49"/>
  <c r="G109" i="49" s="1"/>
  <c r="E43" i="49"/>
  <c r="BE43" i="49"/>
  <c r="EV43" i="49"/>
  <c r="AI109" i="49" s="1"/>
  <c r="CU43" i="49"/>
  <c r="V109" i="49" s="1"/>
  <c r="BY43" i="49"/>
  <c r="BD43" i="49"/>
  <c r="O109" i="49" s="1"/>
  <c r="C43" i="49"/>
  <c r="B109" i="49" s="1"/>
  <c r="ET36" i="49"/>
  <c r="AH102" i="49"/>
  <c r="DH9" i="7"/>
  <c r="CY9" i="7"/>
  <c r="EQ9" i="7"/>
  <c r="EH9" i="7"/>
  <c r="DY9" i="7"/>
  <c r="DP9" i="7"/>
  <c r="DG9" i="7"/>
  <c r="CX9" i="7"/>
  <c r="EO9" i="7"/>
  <c r="EF9" i="7"/>
  <c r="DW9" i="7"/>
  <c r="DN9" i="7"/>
  <c r="DE9" i="7"/>
  <c r="CV9" i="7"/>
  <c r="DC9" i="7"/>
  <c r="CT9" i="7"/>
  <c r="DB9" i="7"/>
  <c r="DK9" i="7" s="1"/>
  <c r="DT9" i="7" s="1"/>
  <c r="EC9" i="7" s="1"/>
  <c r="EL9" i="7" s="1"/>
  <c r="EG9" i="7"/>
  <c r="CW9" i="7"/>
  <c r="DX9" i="7"/>
  <c r="DO9" i="7"/>
  <c r="EP9" i="7"/>
  <c r="DF9" i="7"/>
  <c r="S45" i="47"/>
  <c r="T45" i="47" s="1"/>
  <c r="W45" i="47" s="1"/>
  <c r="V45" i="47" s="1"/>
  <c r="AA45" i="47"/>
  <c r="AB45" i="47" s="1"/>
  <c r="AO8" i="26"/>
  <c r="Y28" i="24"/>
  <c r="H109" i="6"/>
  <c r="BF40" i="7"/>
  <c r="BK40" i="7"/>
  <c r="BH40" i="7"/>
  <c r="BG40" i="7"/>
  <c r="AC98" i="49"/>
  <c r="DV26" i="49"/>
  <c r="S98" i="49"/>
  <c r="BZ26" i="49"/>
  <c r="AB20" i="9"/>
  <c r="Q38" i="6"/>
  <c r="AO46" i="6"/>
  <c r="AE31" i="24" s="1"/>
  <c r="AO40" i="6"/>
  <c r="AE25" i="24" s="1"/>
  <c r="AO39" i="6"/>
  <c r="AE24" i="24" s="1"/>
  <c r="AO44" i="6"/>
  <c r="AE29" i="24" s="1"/>
  <c r="BV20" i="5"/>
  <c r="BT20" i="5"/>
  <c r="BU20" i="5"/>
  <c r="H95" i="6"/>
  <c r="Y14" i="24"/>
  <c r="CP14" i="7"/>
  <c r="BK39" i="7"/>
  <c r="BH39" i="7"/>
  <c r="BG39" i="7"/>
  <c r="BF39" i="7"/>
  <c r="BO27" i="5"/>
  <c r="DP11" i="7"/>
  <c r="BA38" i="7"/>
  <c r="CV17" i="5"/>
  <c r="CW17" i="5" s="1"/>
  <c r="DB17" i="5"/>
  <c r="DC17" i="5" s="1"/>
  <c r="CY17" i="5"/>
  <c r="CZ17" i="5" s="1"/>
  <c r="AH207" i="49"/>
  <c r="FJ36" i="49"/>
  <c r="N100" i="49"/>
  <c r="BB28" i="49"/>
  <c r="D100" i="49"/>
  <c r="F28" i="49"/>
  <c r="X128" i="49"/>
  <c r="DF11" i="49"/>
  <c r="I128" i="49"/>
  <c r="AL11" i="49"/>
  <c r="AO47" i="6"/>
  <c r="AE32" i="24" s="1"/>
  <c r="AO48" i="6"/>
  <c r="AE33" i="24" s="1"/>
  <c r="AO43" i="6"/>
  <c r="AE28" i="24" s="1"/>
  <c r="AO45" i="6"/>
  <c r="AE30" i="24" s="1"/>
  <c r="AO42" i="6"/>
  <c r="AE27" i="24" s="1"/>
  <c r="AO41" i="6"/>
  <c r="AE26" i="24" s="1"/>
  <c r="BU19" i="5"/>
  <c r="BT19" i="5"/>
  <c r="BV19" i="5"/>
  <c r="AG22" i="23"/>
  <c r="AI22" i="23" s="1"/>
  <c r="AW22" i="26" s="1"/>
  <c r="AM22" i="26"/>
  <c r="AG24" i="23"/>
  <c r="AI24" i="23" s="1"/>
  <c r="AW24" i="26" s="1"/>
  <c r="AM24" i="26"/>
  <c r="CN11" i="7"/>
  <c r="S96" i="49"/>
  <c r="BZ24" i="49"/>
  <c r="I96" i="49"/>
  <c r="AD24" i="49"/>
  <c r="AD44" i="6"/>
  <c r="AA29" i="24" s="1"/>
  <c r="AD46" i="6"/>
  <c r="AA31" i="24" s="1"/>
  <c r="AD40" i="6"/>
  <c r="AA25" i="24" s="1"/>
  <c r="AD39" i="6"/>
  <c r="AA24" i="24" s="1"/>
  <c r="BU10" i="5"/>
  <c r="BT10" i="5"/>
  <c r="BV10" i="5"/>
  <c r="M7" i="34"/>
  <c r="J8" i="34" s="1"/>
  <c r="L7" i="34"/>
  <c r="Q44" i="6"/>
  <c r="DF11" i="7"/>
  <c r="P22" i="6"/>
  <c r="R22" i="6" s="1"/>
  <c r="U7" i="24"/>
  <c r="BV24" i="5"/>
  <c r="BU24" i="5"/>
  <c r="BS24" i="5"/>
  <c r="BR24" i="5"/>
  <c r="BQ24" i="5"/>
  <c r="BX24" i="5"/>
  <c r="BP24" i="5"/>
  <c r="BW24" i="5"/>
  <c r="BT24" i="5"/>
  <c r="Q56" i="6"/>
  <c r="Y8" i="23"/>
  <c r="AL8" i="23" s="1"/>
  <c r="AN8" i="23" s="1"/>
  <c r="AO8" i="23" s="1"/>
  <c r="AO26" i="6"/>
  <c r="AE11" i="24" s="1"/>
  <c r="AO27" i="6"/>
  <c r="AE12" i="24" s="1"/>
  <c r="AO19" i="6"/>
  <c r="AE4" i="24" s="1"/>
  <c r="AO28" i="6"/>
  <c r="AE13" i="24" s="1"/>
  <c r="AO23" i="6"/>
  <c r="AE8" i="24" s="1"/>
  <c r="AO21" i="6"/>
  <c r="AE6" i="24" s="1"/>
  <c r="AO22" i="6"/>
  <c r="AE7" i="24" s="1"/>
  <c r="BV15" i="5"/>
  <c r="BU15" i="5"/>
  <c r="AO20" i="6"/>
  <c r="AE5" i="24" s="1"/>
  <c r="BT15" i="5"/>
  <c r="AO25" i="6"/>
  <c r="AE10" i="24" s="1"/>
  <c r="AO24" i="6"/>
  <c r="AE9" i="24" s="1"/>
  <c r="S108" i="51"/>
  <c r="T108" i="51"/>
  <c r="S139" i="49"/>
  <c r="CH22" i="49"/>
  <c r="AA43" i="47"/>
  <c r="AB43" i="47" s="1"/>
  <c r="S43" i="47"/>
  <c r="T43" i="47" s="1"/>
  <c r="W43" i="47" s="1"/>
  <c r="V43" i="47" s="1"/>
  <c r="BO36" i="7"/>
  <c r="BN36" i="7"/>
  <c r="BS36" i="7"/>
  <c r="BP36" i="7"/>
  <c r="AO33" i="24"/>
  <c r="G37" i="9"/>
  <c r="EP10" i="7"/>
  <c r="EH10" i="7"/>
  <c r="CV10" i="7"/>
  <c r="CN10" i="7"/>
  <c r="AG25" i="23"/>
  <c r="AI25" i="23" s="1"/>
  <c r="AW25" i="26" s="1"/>
  <c r="AM25" i="26"/>
  <c r="BK35" i="7"/>
  <c r="BH35" i="7"/>
  <c r="BG35" i="7"/>
  <c r="BF35" i="7"/>
  <c r="CW54" i="49"/>
  <c r="CB54" i="49"/>
  <c r="T113" i="49" s="1"/>
  <c r="AA54" i="49"/>
  <c r="G113" i="49" s="1"/>
  <c r="E54" i="49"/>
  <c r="BE54" i="49"/>
  <c r="EV54" i="49"/>
  <c r="AI113" i="49" s="1"/>
  <c r="CU54" i="49"/>
  <c r="V113" i="49" s="1"/>
  <c r="BY54" i="49"/>
  <c r="BD54" i="49"/>
  <c r="O113" i="49" s="1"/>
  <c r="C54" i="49"/>
  <c r="B113" i="49" s="1"/>
  <c r="AG54" i="49"/>
  <c r="ES54" i="49"/>
  <c r="DX54" i="49"/>
  <c r="AD113" i="49" s="1"/>
  <c r="BA54" i="49"/>
  <c r="AF54" i="49"/>
  <c r="J113" i="49" s="1"/>
  <c r="DA54" i="49"/>
  <c r="I54" i="49"/>
  <c r="DU54" i="49"/>
  <c r="CZ54" i="49"/>
  <c r="Y113" i="49" s="1"/>
  <c r="AY54" i="49"/>
  <c r="L113" i="49" s="1"/>
  <c r="AC54" i="49"/>
  <c r="H54" i="49"/>
  <c r="E113" i="49" s="1"/>
  <c r="D161" i="7"/>
  <c r="D153" i="7"/>
  <c r="D158" i="7"/>
  <c r="D163" i="7"/>
  <c r="D155" i="7"/>
  <c r="D160" i="7"/>
  <c r="D152" i="7"/>
  <c r="D157" i="7"/>
  <c r="D162" i="7"/>
  <c r="D154" i="7"/>
  <c r="D159" i="7"/>
  <c r="D156" i="7"/>
  <c r="DA42" i="49"/>
  <c r="I42" i="49"/>
  <c r="DU42" i="49"/>
  <c r="CZ42" i="49"/>
  <c r="Y108" i="49" s="1"/>
  <c r="AY42" i="49"/>
  <c r="L108" i="49" s="1"/>
  <c r="AC42" i="49"/>
  <c r="H42" i="49"/>
  <c r="E108" i="49" s="1"/>
  <c r="CW42" i="49"/>
  <c r="CB42" i="49"/>
  <c r="T108" i="49" s="1"/>
  <c r="AA42" i="49"/>
  <c r="G108" i="49" s="1"/>
  <c r="E42" i="49"/>
  <c r="BE42" i="49"/>
  <c r="EV42" i="49"/>
  <c r="AI108" i="49" s="1"/>
  <c r="CU42" i="49"/>
  <c r="V108" i="49" s="1"/>
  <c r="BY42" i="49"/>
  <c r="BD42" i="49"/>
  <c r="O108" i="49" s="1"/>
  <c r="C42" i="49"/>
  <c r="B108" i="49" s="1"/>
  <c r="AG42" i="49"/>
  <c r="ES42" i="49"/>
  <c r="DX42" i="49"/>
  <c r="AD108" i="49" s="1"/>
  <c r="BA42" i="49"/>
  <c r="AF42" i="49"/>
  <c r="J108" i="49" s="1"/>
  <c r="BB36" i="49"/>
  <c r="N102" i="49"/>
  <c r="AC102" i="49"/>
  <c r="DV36" i="49"/>
  <c r="AA42" i="47"/>
  <c r="AB42" i="47" s="1"/>
  <c r="S42" i="47"/>
  <c r="T42" i="47" s="1"/>
  <c r="W42" i="47" s="1"/>
  <c r="V42" i="47" s="1"/>
  <c r="Y33" i="24"/>
  <c r="H114" i="6"/>
  <c r="D12" i="32"/>
  <c r="E11" i="32"/>
  <c r="F11" i="32" s="1"/>
  <c r="AH153" i="49"/>
  <c r="FB36" i="49"/>
  <c r="S44" i="47"/>
  <c r="T44" i="47" s="1"/>
  <c r="W44" i="47" s="1"/>
  <c r="V44" i="47" s="1"/>
  <c r="AA44" i="47"/>
  <c r="AB44" i="47" s="1"/>
  <c r="Y20" i="24"/>
  <c r="H101" i="6"/>
  <c r="EQ14" i="7"/>
  <c r="EH14" i="7"/>
  <c r="DY14" i="7"/>
  <c r="DP14" i="7"/>
  <c r="DG14" i="7"/>
  <c r="CX14" i="7"/>
  <c r="EP14" i="7"/>
  <c r="EG14" i="7"/>
  <c r="DX14" i="7"/>
  <c r="DO14" i="7"/>
  <c r="DF14" i="7"/>
  <c r="CW14" i="7"/>
  <c r="EO14" i="7"/>
  <c r="EF14" i="7"/>
  <c r="DW14" i="7"/>
  <c r="DN14" i="7"/>
  <c r="DE14" i="7"/>
  <c r="CV14" i="7"/>
  <c r="DC14" i="7"/>
  <c r="CT14" i="7"/>
  <c r="DB14" i="7"/>
  <c r="DK14" i="7" s="1"/>
  <c r="DT14" i="7" s="1"/>
  <c r="EC14" i="7" s="1"/>
  <c r="EL14" i="7" s="1"/>
  <c r="DH14" i="7"/>
  <c r="CY14" i="7"/>
  <c r="F21" i="62"/>
  <c r="C28" i="62"/>
  <c r="F22" i="62"/>
  <c r="D97" i="49"/>
  <c r="F25" i="49"/>
  <c r="X101" i="49"/>
  <c r="CX29" i="49"/>
  <c r="N101" i="49"/>
  <c r="BB29" i="49"/>
  <c r="BP41" i="7"/>
  <c r="BO41" i="7"/>
  <c r="BN41" i="7"/>
  <c r="BS41" i="7"/>
  <c r="BK42" i="7"/>
  <c r="BH42" i="7"/>
  <c r="BG42" i="7"/>
  <c r="BF42" i="7"/>
  <c r="AP31" i="23"/>
  <c r="AY31" i="26" s="1"/>
  <c r="AP9" i="23"/>
  <c r="AY9" i="26" s="1"/>
  <c r="AO9" i="23"/>
  <c r="P19" i="6"/>
  <c r="R19" i="6" s="1"/>
  <c r="U4" i="24"/>
  <c r="N193" i="49"/>
  <c r="BR22" i="49"/>
  <c r="AO32" i="6"/>
  <c r="AE17" i="24" s="1"/>
  <c r="AO37" i="6"/>
  <c r="AE22" i="24" s="1"/>
  <c r="AO29" i="6"/>
  <c r="AE14" i="24" s="1"/>
  <c r="AO34" i="6"/>
  <c r="AE19" i="24" s="1"/>
  <c r="AO31" i="6"/>
  <c r="AE16" i="24" s="1"/>
  <c r="AO33" i="6"/>
  <c r="AE18" i="24" s="1"/>
  <c r="AO38" i="6"/>
  <c r="AE23" i="24" s="1"/>
  <c r="AO30" i="6"/>
  <c r="AE15" i="24" s="1"/>
  <c r="AO35" i="6"/>
  <c r="AE20" i="24" s="1"/>
  <c r="BV17" i="5"/>
  <c r="BU17" i="5"/>
  <c r="AO36" i="6"/>
  <c r="AE21" i="24" s="1"/>
  <c r="BT17" i="5"/>
  <c r="D207" i="49"/>
  <c r="V36" i="49"/>
  <c r="S100" i="49"/>
  <c r="BZ28" i="49"/>
  <c r="I100" i="49"/>
  <c r="AD28" i="49"/>
  <c r="AH128" i="49"/>
  <c r="FB11" i="49"/>
  <c r="S128" i="49"/>
  <c r="CH11" i="49"/>
  <c r="AO22" i="24"/>
  <c r="G26" i="9"/>
  <c r="CZ28" i="5"/>
  <c r="CV28" i="5"/>
  <c r="AC26" i="6"/>
  <c r="Z11" i="24" s="1"/>
  <c r="AC23" i="6"/>
  <c r="Z8" i="24" s="1"/>
  <c r="AC25" i="6"/>
  <c r="Z10" i="24" s="1"/>
  <c r="AC22" i="6"/>
  <c r="Z7" i="24" s="1"/>
  <c r="DA28" i="5"/>
  <c r="CY28" i="5"/>
  <c r="CX28" i="5"/>
  <c r="CW28" i="5"/>
  <c r="AC24" i="6"/>
  <c r="Z9" i="24" s="1"/>
  <c r="CG34" i="5"/>
  <c r="AC21" i="6"/>
  <c r="Z6" i="24" s="1"/>
  <c r="AC28" i="6"/>
  <c r="Z13" i="24" s="1"/>
  <c r="AC27" i="6"/>
  <c r="Z12" i="24" s="1"/>
  <c r="AC20" i="6"/>
  <c r="Z5" i="24" s="1"/>
  <c r="CJ34" i="5"/>
  <c r="AC19" i="6"/>
  <c r="Z4" i="24" s="1"/>
  <c r="CA34" i="5"/>
  <c r="CB34" i="5"/>
  <c r="CC34" i="5"/>
  <c r="CM34" i="5"/>
  <c r="CF34" i="5"/>
  <c r="CE34" i="5"/>
  <c r="CN34" i="5"/>
  <c r="DB16" i="5"/>
  <c r="DC16" i="5" s="1"/>
  <c r="CL34" i="5"/>
  <c r="CY16" i="5"/>
  <c r="CZ16" i="5" s="1"/>
  <c r="CU22" i="5"/>
  <c r="CU28" i="5" s="1"/>
  <c r="CS22" i="5"/>
  <c r="CS28" i="5" s="1"/>
  <c r="CO34" i="5"/>
  <c r="CI34" i="5"/>
  <c r="CB42" i="5" s="1"/>
  <c r="CB48" i="5" s="1"/>
  <c r="CK34" i="5"/>
  <c r="CT22" i="5"/>
  <c r="CT28" i="5" s="1"/>
  <c r="CS16" i="5"/>
  <c r="CT16" i="5" s="1"/>
  <c r="CV16" i="5"/>
  <c r="CW16" i="5" s="1"/>
  <c r="CD34" i="5"/>
  <c r="CH34" i="5"/>
  <c r="U13" i="24"/>
  <c r="P28" i="6"/>
  <c r="R28" i="6" s="1"/>
  <c r="AH99" i="49"/>
  <c r="ET27" i="49"/>
  <c r="X99" i="49"/>
  <c r="CX27" i="49"/>
  <c r="CP15" i="7"/>
  <c r="DY15" i="7"/>
  <c r="DA7" i="7"/>
  <c r="DJ7" i="7" s="1"/>
  <c r="DS7" i="7" s="1"/>
  <c r="EB7" i="7" s="1"/>
  <c r="EK7" i="7" s="1"/>
  <c r="EH7" i="7"/>
  <c r="DN7" i="7"/>
  <c r="EP7" i="7"/>
  <c r="DY7" i="7"/>
  <c r="DE7" i="7"/>
  <c r="DF7" i="7"/>
  <c r="DP7" i="7"/>
  <c r="CV7" i="7"/>
  <c r="DG7" i="7"/>
  <c r="EG7" i="7"/>
  <c r="CX7" i="7"/>
  <c r="CW7" i="7"/>
  <c r="DH7" i="7"/>
  <c r="EO7" i="7"/>
  <c r="DC7" i="7"/>
  <c r="DX7" i="7"/>
  <c r="CY7" i="7"/>
  <c r="EF7" i="7"/>
  <c r="CT7" i="7"/>
  <c r="EQ7" i="7"/>
  <c r="DW7" i="7"/>
  <c r="DO7" i="7"/>
  <c r="U10" i="24"/>
  <c r="P25" i="6"/>
  <c r="R25" i="6" s="1"/>
  <c r="AG8" i="23"/>
  <c r="AI8" i="23" s="1"/>
  <c r="AW8" i="26" s="1"/>
  <c r="AM8" i="26"/>
  <c r="BE44" i="49"/>
  <c r="EV44" i="49"/>
  <c r="AI110" i="49" s="1"/>
  <c r="CU44" i="49"/>
  <c r="V110" i="49" s="1"/>
  <c r="BY44" i="49"/>
  <c r="BD44" i="49"/>
  <c r="O110" i="49" s="1"/>
  <c r="C44" i="49"/>
  <c r="B110" i="49" s="1"/>
  <c r="AG44" i="49"/>
  <c r="ES44" i="49"/>
  <c r="DX44" i="49"/>
  <c r="AD110" i="49" s="1"/>
  <c r="BA44" i="49"/>
  <c r="AF44" i="49"/>
  <c r="J110" i="49" s="1"/>
  <c r="DA44" i="49"/>
  <c r="I44" i="49"/>
  <c r="DU44" i="49"/>
  <c r="CZ44" i="49"/>
  <c r="Y110" i="49" s="1"/>
  <c r="AY44" i="49"/>
  <c r="L110" i="49" s="1"/>
  <c r="AC44" i="49"/>
  <c r="H44" i="49"/>
  <c r="E110" i="49" s="1"/>
  <c r="CW44" i="49"/>
  <c r="CB44" i="49"/>
  <c r="T110" i="49" s="1"/>
  <c r="AA44" i="49"/>
  <c r="G110" i="49" s="1"/>
  <c r="E44" i="49"/>
  <c r="AA51" i="47"/>
  <c r="AB51" i="47" s="1"/>
  <c r="S51" i="47"/>
  <c r="T51" i="47" s="1"/>
  <c r="W51" i="47" s="1"/>
  <c r="V51" i="47" s="1"/>
  <c r="Y29" i="24"/>
  <c r="H110" i="6"/>
  <c r="AA29" i="9"/>
  <c r="AP24" i="23"/>
  <c r="AY24" i="26" s="1"/>
  <c r="AH98" i="49"/>
  <c r="ET26" i="49"/>
  <c r="S41" i="47"/>
  <c r="T41" i="47" s="1"/>
  <c r="W41" i="47" s="1"/>
  <c r="V41" i="47" s="1"/>
  <c r="AA41" i="47"/>
  <c r="AB41" i="47" s="1"/>
  <c r="Y15" i="24"/>
  <c r="H96" i="6"/>
  <c r="DH5" i="7"/>
  <c r="CY5" i="7"/>
  <c r="EQ5" i="7"/>
  <c r="EH5" i="7"/>
  <c r="DY5" i="7"/>
  <c r="DP5" i="7"/>
  <c r="DG5" i="7"/>
  <c r="CX5" i="7"/>
  <c r="EO5" i="7"/>
  <c r="EF5" i="7"/>
  <c r="DW5" i="7"/>
  <c r="DN5" i="7"/>
  <c r="DE5" i="7"/>
  <c r="CV5" i="7"/>
  <c r="DC5" i="7"/>
  <c r="CT5" i="7"/>
  <c r="DX5" i="7"/>
  <c r="DO5" i="7"/>
  <c r="EP5" i="7"/>
  <c r="DF5" i="7"/>
  <c r="DB5" i="7"/>
  <c r="DK5" i="7" s="1"/>
  <c r="DT5" i="7" s="1"/>
  <c r="EC5" i="7" s="1"/>
  <c r="EL5" i="7" s="1"/>
  <c r="EG5" i="7"/>
  <c r="CW5" i="7"/>
  <c r="D21" i="27"/>
  <c r="C34" i="27"/>
  <c r="S97" i="49"/>
  <c r="BZ25" i="49"/>
  <c r="I97" i="49"/>
  <c r="AD25" i="49"/>
  <c r="AC101" i="49"/>
  <c r="DV29" i="49"/>
  <c r="J190" i="51"/>
  <c r="O192" i="51" s="1"/>
  <c r="J151" i="51"/>
  <c r="O152" i="51" s="1"/>
  <c r="J95" i="51"/>
  <c r="O102" i="51" s="1"/>
  <c r="J170" i="51"/>
  <c r="O172" i="51" s="1"/>
  <c r="J156" i="51"/>
  <c r="O162" i="51" s="1"/>
  <c r="J195" i="51"/>
  <c r="F127" i="51"/>
  <c r="J51" i="51"/>
  <c r="O52" i="51" s="1"/>
  <c r="J90" i="51"/>
  <c r="O92" i="51" s="1"/>
  <c r="J70" i="51"/>
  <c r="O72" i="51" s="1"/>
  <c r="J27" i="51"/>
  <c r="J56" i="51"/>
  <c r="O62" i="51" s="1"/>
  <c r="F27" i="51"/>
  <c r="J127" i="51"/>
  <c r="F15" i="51"/>
  <c r="BV18" i="5"/>
  <c r="BU18" i="5"/>
  <c r="BT18" i="5"/>
  <c r="AD27" i="6"/>
  <c r="AA12" i="24" s="1"/>
  <c r="AD24" i="6"/>
  <c r="AA9" i="24" s="1"/>
  <c r="AD28" i="6"/>
  <c r="AA13" i="24" s="1"/>
  <c r="AD25" i="6"/>
  <c r="AA10" i="24" s="1"/>
  <c r="AD26" i="6"/>
  <c r="AA11" i="24" s="1"/>
  <c r="AD23" i="6"/>
  <c r="AA8" i="24" s="1"/>
  <c r="AD21" i="6"/>
  <c r="AA6" i="24" s="1"/>
  <c r="AD19" i="6"/>
  <c r="AA4" i="24" s="1"/>
  <c r="AD22" i="6"/>
  <c r="AA7" i="24" s="1"/>
  <c r="BV5" i="5"/>
  <c r="AD20" i="6"/>
  <c r="AA5" i="24" s="1"/>
  <c r="BT5" i="5"/>
  <c r="BU5" i="5"/>
  <c r="S193" i="49"/>
  <c r="CP22" i="49"/>
  <c r="D193" i="49"/>
  <c r="V22" i="49"/>
  <c r="AX38" i="7"/>
  <c r="N207" i="49"/>
  <c r="BR36" i="49"/>
  <c r="AC128" i="49"/>
  <c r="ED11" i="49"/>
  <c r="AO21" i="24"/>
  <c r="G25" i="9"/>
  <c r="P30" i="6"/>
  <c r="R30" i="6" s="1"/>
  <c r="U15" i="24"/>
  <c r="AB21" i="6"/>
  <c r="I87" i="6" s="1"/>
  <c r="K6" i="23" s="1"/>
  <c r="AB27" i="6"/>
  <c r="I93" i="6" s="1"/>
  <c r="K12" i="23" s="1"/>
  <c r="AB28" i="6"/>
  <c r="I94" i="6" s="1"/>
  <c r="K13" i="23" s="1"/>
  <c r="AB20" i="6"/>
  <c r="I86" i="6" s="1"/>
  <c r="K5" i="23" s="1"/>
  <c r="AB24" i="6"/>
  <c r="I90" i="6" s="1"/>
  <c r="K9" i="23" s="1"/>
  <c r="AB22" i="6"/>
  <c r="I88" i="6" s="1"/>
  <c r="K7" i="23" s="1"/>
  <c r="AB25" i="6"/>
  <c r="I91" i="6" s="1"/>
  <c r="K10" i="23" s="1"/>
  <c r="AB19" i="6"/>
  <c r="I85" i="6" s="1"/>
  <c r="K4" i="23" s="1"/>
  <c r="AB23" i="6"/>
  <c r="I89" i="6" s="1"/>
  <c r="K8" i="23" s="1"/>
  <c r="AB26" i="6"/>
  <c r="I92" i="6" s="1"/>
  <c r="K11" i="23" s="1"/>
  <c r="CX10" i="5"/>
  <c r="CY10" i="5"/>
  <c r="CW10" i="5"/>
  <c r="BT4" i="5"/>
  <c r="BV4" i="5"/>
  <c r="BU4" i="5"/>
  <c r="AH96" i="49"/>
  <c r="ET24" i="49"/>
  <c r="X96" i="49"/>
  <c r="CX24" i="49"/>
  <c r="AP5" i="23"/>
  <c r="AY5" i="26" s="1"/>
  <c r="AO5" i="23"/>
  <c r="I95" i="49"/>
  <c r="AD23" i="49"/>
  <c r="AO8" i="24"/>
  <c r="G12" i="9"/>
  <c r="AO27" i="24"/>
  <c r="G31" i="9"/>
  <c r="D94" i="49"/>
  <c r="F22" i="49"/>
  <c r="AO13" i="24"/>
  <c r="G17" i="9"/>
  <c r="AH139" i="49"/>
  <c r="FB22" i="49"/>
  <c r="X139" i="49"/>
  <c r="DF22" i="49"/>
  <c r="BE25" i="26"/>
  <c r="R43" i="6"/>
  <c r="DW10" i="7"/>
  <c r="DP10" i="7"/>
  <c r="DH10" i="7"/>
  <c r="AG27" i="23"/>
  <c r="AI27" i="23" s="1"/>
  <c r="AW27" i="26" s="1"/>
  <c r="AM27" i="26"/>
  <c r="I94" i="49"/>
  <c r="AD22" i="49"/>
  <c r="DI54" i="49"/>
  <c r="Q54" i="49"/>
  <c r="EC54" i="49"/>
  <c r="DH54" i="49"/>
  <c r="Y171" i="49" s="1"/>
  <c r="BG54" i="49"/>
  <c r="L171" i="49" s="1"/>
  <c r="AK54" i="49"/>
  <c r="P54" i="49"/>
  <c r="E171" i="49" s="1"/>
  <c r="DE54" i="49"/>
  <c r="CJ54" i="49"/>
  <c r="T171" i="49" s="1"/>
  <c r="AI54" i="49"/>
  <c r="G171" i="49" s="1"/>
  <c r="M54" i="49"/>
  <c r="BM54" i="49"/>
  <c r="FD54" i="49"/>
  <c r="AI171" i="49" s="1"/>
  <c r="DC54" i="49"/>
  <c r="V171" i="49" s="1"/>
  <c r="CG54" i="49"/>
  <c r="BL54" i="49"/>
  <c r="O171" i="49" s="1"/>
  <c r="K54" i="49"/>
  <c r="B171" i="49" s="1"/>
  <c r="AO54" i="49"/>
  <c r="FA54" i="49"/>
  <c r="EF54" i="49"/>
  <c r="AD171" i="49" s="1"/>
  <c r="BI54" i="49"/>
  <c r="AN54" i="49"/>
  <c r="J171" i="49" s="1"/>
  <c r="F152" i="7"/>
  <c r="CW37" i="49"/>
  <c r="CB37" i="49"/>
  <c r="T103" i="49" s="1"/>
  <c r="AA37" i="49"/>
  <c r="G103" i="49" s="1"/>
  <c r="E37" i="49"/>
  <c r="BE37" i="49"/>
  <c r="EV37" i="49"/>
  <c r="AI103" i="49" s="1"/>
  <c r="CU37" i="49"/>
  <c r="V103" i="49" s="1"/>
  <c r="BY37" i="49"/>
  <c r="BD37" i="49"/>
  <c r="O103" i="49" s="1"/>
  <c r="C37" i="49"/>
  <c r="B103" i="49" s="1"/>
  <c r="AG37" i="49"/>
  <c r="ES37" i="49"/>
  <c r="DX37" i="49"/>
  <c r="AD103" i="49" s="1"/>
  <c r="BA37" i="49"/>
  <c r="AF37" i="49"/>
  <c r="J103" i="49" s="1"/>
  <c r="DA37" i="49"/>
  <c r="I37" i="49"/>
  <c r="DU37" i="49"/>
  <c r="CZ37" i="49"/>
  <c r="Y103" i="49" s="1"/>
  <c r="AY37" i="49"/>
  <c r="L103" i="49" s="1"/>
  <c r="AC37" i="49"/>
  <c r="H37" i="49"/>
  <c r="E103" i="49" s="1"/>
  <c r="CM9" i="7"/>
  <c r="AA48" i="47"/>
  <c r="AB48" i="47" s="1"/>
  <c r="S48" i="47"/>
  <c r="T48" i="47" s="1"/>
  <c r="W48" i="47" s="1"/>
  <c r="V48" i="47" s="1"/>
  <c r="Y32" i="24"/>
  <c r="H113" i="6"/>
  <c r="AG19" i="23"/>
  <c r="AI19" i="23" s="1"/>
  <c r="AW19" i="26" s="1"/>
  <c r="AM19" i="26"/>
  <c r="I153" i="49"/>
  <c r="AL36" i="49"/>
  <c r="S47" i="47"/>
  <c r="T47" i="47" s="1"/>
  <c r="W47" i="47" s="1"/>
  <c r="V47" i="47" s="1"/>
  <c r="AA47" i="47"/>
  <c r="AB47" i="47" s="1"/>
  <c r="BY4" i="26"/>
  <c r="BH5" i="26"/>
  <c r="Y18" i="24"/>
  <c r="H99" i="6"/>
  <c r="H104" i="6"/>
  <c r="Y23" i="24"/>
  <c r="BV16" i="5"/>
  <c r="BU16" i="5"/>
  <c r="BT16" i="5"/>
  <c r="AG8" i="25"/>
  <c r="EH11" i="7"/>
  <c r="AP33" i="23"/>
  <c r="AY33" i="26" s="1"/>
  <c r="Q114" i="32"/>
  <c r="O115" i="32"/>
  <c r="AO7" i="24"/>
  <c r="G11" i="9"/>
  <c r="I193" i="49"/>
  <c r="AT22" i="49"/>
  <c r="BK6" i="5"/>
  <c r="DH6" i="7"/>
  <c r="CY6" i="7"/>
  <c r="EQ6" i="7"/>
  <c r="EH6" i="7"/>
  <c r="DY6" i="7"/>
  <c r="DP6" i="7"/>
  <c r="DG6" i="7"/>
  <c r="CX6" i="7"/>
  <c r="EO6" i="7"/>
  <c r="EF6" i="7"/>
  <c r="DW6" i="7"/>
  <c r="DN6" i="7"/>
  <c r="DE6" i="7"/>
  <c r="CV6" i="7"/>
  <c r="DC6" i="7"/>
  <c r="CT6" i="7"/>
  <c r="DB6" i="7"/>
  <c r="DK6" i="7" s="1"/>
  <c r="DT6" i="7" s="1"/>
  <c r="EC6" i="7" s="1"/>
  <c r="EL6" i="7" s="1"/>
  <c r="EG6" i="7"/>
  <c r="CW6" i="7"/>
  <c r="DX6" i="7"/>
  <c r="DO6" i="7"/>
  <c r="EP6" i="7"/>
  <c r="DF6" i="7"/>
  <c r="BV14" i="5"/>
  <c r="BU14" i="5"/>
  <c r="BT14" i="5"/>
  <c r="BK4" i="5"/>
  <c r="AP38" i="7"/>
  <c r="AH100" i="49"/>
  <c r="ET28" i="49"/>
  <c r="X100" i="49"/>
  <c r="CX28" i="49"/>
  <c r="FA12" i="49"/>
  <c r="DE12" i="49"/>
  <c r="BI12" i="49"/>
  <c r="M12" i="49"/>
  <c r="AO12" i="49"/>
  <c r="EF12" i="49"/>
  <c r="AD129" i="49" s="1"/>
  <c r="DC12" i="49"/>
  <c r="V129" i="49" s="1"/>
  <c r="CJ12" i="49"/>
  <c r="T129" i="49" s="1"/>
  <c r="BG12" i="49"/>
  <c r="L129" i="49" s="1"/>
  <c r="AN12" i="49"/>
  <c r="J129" i="49" s="1"/>
  <c r="K12" i="49"/>
  <c r="B129" i="49" s="1"/>
  <c r="EC12" i="49"/>
  <c r="CG12" i="49"/>
  <c r="AK12" i="49"/>
  <c r="DI12" i="49"/>
  <c r="BM12" i="49"/>
  <c r="Q12" i="49"/>
  <c r="F110" i="7"/>
  <c r="FD12" i="49"/>
  <c r="AI129" i="49" s="1"/>
  <c r="DH12" i="49"/>
  <c r="Y129" i="49" s="1"/>
  <c r="BL12" i="49"/>
  <c r="O129" i="49" s="1"/>
  <c r="AI12" i="49"/>
  <c r="G129" i="49" s="1"/>
  <c r="P12" i="49"/>
  <c r="E129" i="49" s="1"/>
  <c r="AC96" i="49"/>
  <c r="DV24" i="49"/>
  <c r="BV6" i="5"/>
  <c r="BT6" i="5"/>
  <c r="BU6" i="5"/>
  <c r="AG28" i="23"/>
  <c r="AI28" i="23" s="1"/>
  <c r="AW28" i="26" s="1"/>
  <c r="AM28" i="26"/>
  <c r="CW11" i="7"/>
  <c r="BD11" i="26"/>
  <c r="AA46" i="47"/>
  <c r="AB46" i="47" s="1"/>
  <c r="S46" i="47"/>
  <c r="T46" i="47" s="1"/>
  <c r="W46" i="47" s="1"/>
  <c r="V46" i="47" s="1"/>
  <c r="AV34" i="7"/>
  <c r="AU34" i="7"/>
  <c r="BC34" i="7" s="1"/>
  <c r="AS34" i="7"/>
  <c r="BA34" i="7"/>
  <c r="AR34" i="7"/>
  <c r="AZ34" i="7"/>
  <c r="AQ34" i="7"/>
  <c r="AY34" i="7"/>
  <c r="AP34" i="7"/>
  <c r="AX34" i="7"/>
  <c r="AN34" i="7"/>
  <c r="CW45" i="49"/>
  <c r="CB45" i="49"/>
  <c r="T111" i="49" s="1"/>
  <c r="AA45" i="49"/>
  <c r="G111" i="49" s="1"/>
  <c r="E45" i="49"/>
  <c r="BE45" i="49"/>
  <c r="EV45" i="49"/>
  <c r="AI111" i="49" s="1"/>
  <c r="CU45" i="49"/>
  <c r="V111" i="49" s="1"/>
  <c r="BY45" i="49"/>
  <c r="BD45" i="49"/>
  <c r="O111" i="49" s="1"/>
  <c r="C45" i="49"/>
  <c r="B111" i="49" s="1"/>
  <c r="AG45" i="49"/>
  <c r="ES45" i="49"/>
  <c r="DX45" i="49"/>
  <c r="AD111" i="49" s="1"/>
  <c r="BA45" i="49"/>
  <c r="AF45" i="49"/>
  <c r="J111" i="49" s="1"/>
  <c r="DA45" i="49"/>
  <c r="I45" i="49"/>
  <c r="DU45" i="49"/>
  <c r="CZ45" i="49"/>
  <c r="Y111" i="49" s="1"/>
  <c r="AY45" i="49"/>
  <c r="L111" i="49" s="1"/>
  <c r="AC45" i="49"/>
  <c r="H45" i="49"/>
  <c r="E111" i="49" s="1"/>
  <c r="CO9" i="7"/>
  <c r="AB18" i="9"/>
  <c r="U21" i="24"/>
  <c r="P36" i="6"/>
  <c r="Y24" i="24"/>
  <c r="H105" i="6"/>
  <c r="I202" i="41"/>
  <c r="K201" i="41"/>
  <c r="AO19" i="24"/>
  <c r="G23" i="9"/>
  <c r="DI37" i="49"/>
  <c r="Q37" i="49"/>
  <c r="EC37" i="49"/>
  <c r="DH37" i="49"/>
  <c r="Y154" i="49" s="1"/>
  <c r="BG37" i="49"/>
  <c r="L154" i="49" s="1"/>
  <c r="AK37" i="49"/>
  <c r="P37" i="49"/>
  <c r="E154" i="49" s="1"/>
  <c r="DE37" i="49"/>
  <c r="CJ37" i="49"/>
  <c r="T154" i="49" s="1"/>
  <c r="AI37" i="49"/>
  <c r="G154" i="49" s="1"/>
  <c r="M37" i="49"/>
  <c r="BM37" i="49"/>
  <c r="FD37" i="49"/>
  <c r="AI154" i="49" s="1"/>
  <c r="DC37" i="49"/>
  <c r="V154" i="49" s="1"/>
  <c r="CG37" i="49"/>
  <c r="BL37" i="49"/>
  <c r="O154" i="49" s="1"/>
  <c r="K37" i="49"/>
  <c r="B154" i="49" s="1"/>
  <c r="AO37" i="49"/>
  <c r="FA37" i="49"/>
  <c r="EF37" i="49"/>
  <c r="AD154" i="49" s="1"/>
  <c r="BI37" i="49"/>
  <c r="AN37" i="49"/>
  <c r="J154" i="49" s="1"/>
  <c r="F135" i="7"/>
  <c r="D153" i="49"/>
  <c r="N36" i="49"/>
  <c r="D98" i="49"/>
  <c r="F26" i="49"/>
  <c r="S50" i="47"/>
  <c r="T50" i="47" s="1"/>
  <c r="W50" i="47" s="1"/>
  <c r="V50" i="47" s="1"/>
  <c r="AA50" i="47"/>
  <c r="AB50" i="47" s="1"/>
  <c r="H100" i="6"/>
  <c r="Y19" i="24"/>
  <c r="Y16" i="24"/>
  <c r="H97" i="6"/>
  <c r="AI7" i="25"/>
  <c r="X97" i="49"/>
  <c r="CX25" i="49"/>
  <c r="N97" i="49"/>
  <c r="BB25" i="49"/>
  <c r="AH101" i="49"/>
  <c r="ET29" i="49"/>
  <c r="AH193" i="49"/>
  <c r="FJ22" i="49"/>
  <c r="BK5" i="5"/>
  <c r="BH31" i="7"/>
  <c r="BG31" i="7"/>
  <c r="BF31" i="7"/>
  <c r="BK31" i="7"/>
  <c r="AS38" i="7"/>
  <c r="I207" i="49"/>
  <c r="AT36" i="49"/>
  <c r="AC100" i="49"/>
  <c r="DV28" i="49"/>
  <c r="AG21" i="23"/>
  <c r="AI21" i="23" s="1"/>
  <c r="AW21" i="26" s="1"/>
  <c r="AM21" i="26"/>
  <c r="I99" i="49"/>
  <c r="AD27" i="49"/>
  <c r="AO7" i="26"/>
  <c r="BD29" i="26"/>
  <c r="F119" i="62"/>
  <c r="M119" i="62" s="1"/>
  <c r="F118" i="62"/>
  <c r="M118" i="62" s="1"/>
  <c r="F116" i="62"/>
  <c r="M116" i="62" s="1"/>
  <c r="F112" i="62"/>
  <c r="M112" i="62" s="1"/>
  <c r="F115" i="62"/>
  <c r="M115" i="62" s="1"/>
  <c r="F111" i="62"/>
  <c r="M111" i="62" s="1"/>
  <c r="F114" i="62"/>
  <c r="M114" i="62" s="1"/>
  <c r="F110" i="62"/>
  <c r="M110" i="62" s="1"/>
  <c r="F117" i="62"/>
  <c r="M117" i="62" s="1"/>
  <c r="F113" i="62"/>
  <c r="M113" i="62" s="1"/>
  <c r="L155" i="47"/>
  <c r="L147" i="47"/>
  <c r="L139" i="47"/>
  <c r="L131" i="47"/>
  <c r="L123" i="47"/>
  <c r="L117" i="47"/>
  <c r="L113" i="47"/>
  <c r="L151" i="47"/>
  <c r="L145" i="47"/>
  <c r="L119" i="47"/>
  <c r="L157" i="47"/>
  <c r="L159" i="47"/>
  <c r="L149" i="47"/>
  <c r="L115" i="47"/>
  <c r="L99" i="47"/>
  <c r="L85" i="47"/>
  <c r="L81" i="47"/>
  <c r="L73" i="47"/>
  <c r="L65" i="47"/>
  <c r="L121" i="47"/>
  <c r="L97" i="47"/>
  <c r="L59" i="47"/>
  <c r="L129" i="47"/>
  <c r="L127" i="47"/>
  <c r="L125" i="47"/>
  <c r="L95" i="47"/>
  <c r="L75" i="47"/>
  <c r="L67" i="47"/>
  <c r="L31" i="47"/>
  <c r="L135" i="47"/>
  <c r="L153" i="47"/>
  <c r="L101" i="47"/>
  <c r="L89" i="47"/>
  <c r="L39" i="47"/>
  <c r="L107" i="47"/>
  <c r="L63" i="47"/>
  <c r="L141" i="47"/>
  <c r="L133" i="47"/>
  <c r="L29" i="47"/>
  <c r="L105" i="47"/>
  <c r="L93" i="47"/>
  <c r="L87" i="47"/>
  <c r="L71" i="47"/>
  <c r="L27" i="47"/>
  <c r="L61" i="47"/>
  <c r="L79" i="47"/>
  <c r="L69" i="47"/>
  <c r="L33" i="47"/>
  <c r="L109" i="47"/>
  <c r="L103" i="47"/>
  <c r="L91" i="47"/>
  <c r="L83" i="47"/>
  <c r="L35" i="47"/>
  <c r="L23" i="47"/>
  <c r="L111" i="47"/>
  <c r="L77" i="47"/>
  <c r="L25" i="47"/>
  <c r="L37" i="47"/>
  <c r="L143" i="47"/>
  <c r="L137" i="47"/>
  <c r="S34" i="51"/>
  <c r="T34" i="51"/>
  <c r="AO28" i="24"/>
  <c r="G32" i="9"/>
  <c r="N95" i="49"/>
  <c r="BB23" i="49"/>
  <c r="D95" i="49"/>
  <c r="F23" i="49"/>
  <c r="DG11" i="7"/>
  <c r="AP17" i="23"/>
  <c r="AY17" i="26" s="1"/>
  <c r="AO17" i="23"/>
  <c r="AX32" i="7"/>
  <c r="AN32" i="7"/>
  <c r="AV32" i="7"/>
  <c r="AU32" i="7"/>
  <c r="BC32" i="7" s="1"/>
  <c r="AS32" i="7"/>
  <c r="BA32" i="7"/>
  <c r="AR32" i="7"/>
  <c r="AZ32" i="7"/>
  <c r="AQ32" i="7"/>
  <c r="AY32" i="7"/>
  <c r="AP32" i="7"/>
  <c r="P26" i="6"/>
  <c r="R26" i="6" s="1"/>
  <c r="U11" i="24"/>
  <c r="Q59" i="6"/>
  <c r="Y11" i="23"/>
  <c r="AL11" i="23" s="1"/>
  <c r="AN11" i="23" s="1"/>
  <c r="AO11" i="23" s="1"/>
  <c r="I139" i="49"/>
  <c r="AL22" i="49"/>
  <c r="AA49" i="47"/>
  <c r="AB49" i="47" s="1"/>
  <c r="S49" i="47"/>
  <c r="T49" i="47" s="1"/>
  <c r="W49" i="47" s="1"/>
  <c r="V49" i="47" s="1"/>
  <c r="J32" i="5"/>
  <c r="J31" i="5"/>
  <c r="J27" i="5"/>
  <c r="J24" i="5"/>
  <c r="J25" i="5"/>
  <c r="J28" i="5"/>
  <c r="J26" i="5"/>
  <c r="J33" i="5"/>
  <c r="J30" i="5"/>
  <c r="J29" i="5"/>
  <c r="J13" i="5"/>
  <c r="J12" i="5"/>
  <c r="J11" i="5"/>
  <c r="J7" i="5"/>
  <c r="J6" i="5"/>
  <c r="J5" i="5"/>
  <c r="J4" i="5"/>
  <c r="J8" i="5"/>
  <c r="J9" i="5"/>
  <c r="J10" i="5"/>
  <c r="CY6" i="5"/>
  <c r="CV18" i="5" s="1"/>
  <c r="CW18" i="5" s="1"/>
  <c r="CV12" i="5"/>
  <c r="EQ10" i="7"/>
  <c r="DO10" i="7"/>
  <c r="CM10" i="7"/>
  <c r="X94" i="49"/>
  <c r="CX22" i="49"/>
  <c r="N94" i="49"/>
  <c r="BB22" i="49"/>
  <c r="DA38" i="49"/>
  <c r="I38" i="49"/>
  <c r="DU38" i="49"/>
  <c r="CZ38" i="49"/>
  <c r="Y104" i="49" s="1"/>
  <c r="AY38" i="49"/>
  <c r="L104" i="49" s="1"/>
  <c r="AC38" i="49"/>
  <c r="H38" i="49"/>
  <c r="E104" i="49" s="1"/>
  <c r="CW38" i="49"/>
  <c r="CB38" i="49"/>
  <c r="T104" i="49" s="1"/>
  <c r="AA38" i="49"/>
  <c r="G104" i="49" s="1"/>
  <c r="E38" i="49"/>
  <c r="BE38" i="49"/>
  <c r="EV38" i="49"/>
  <c r="AI104" i="49" s="1"/>
  <c r="CU38" i="49"/>
  <c r="V104" i="49" s="1"/>
  <c r="BY38" i="49"/>
  <c r="BD38" i="49"/>
  <c r="O104" i="49" s="1"/>
  <c r="C38" i="49"/>
  <c r="B104" i="49" s="1"/>
  <c r="AG38" i="49"/>
  <c r="ES38" i="49"/>
  <c r="DX38" i="49"/>
  <c r="AD104" i="49" s="1"/>
  <c r="BA38" i="49"/>
  <c r="AF38" i="49"/>
  <c r="J104" i="49" s="1"/>
  <c r="AG39" i="49"/>
  <c r="ES39" i="49"/>
  <c r="DX39" i="49"/>
  <c r="AD105" i="49" s="1"/>
  <c r="BA39" i="49"/>
  <c r="AF39" i="49"/>
  <c r="J105" i="49" s="1"/>
  <c r="DA39" i="49"/>
  <c r="I39" i="49"/>
  <c r="DU39" i="49"/>
  <c r="CZ39" i="49"/>
  <c r="Y105" i="49" s="1"/>
  <c r="AY39" i="49"/>
  <c r="L105" i="49" s="1"/>
  <c r="AC39" i="49"/>
  <c r="H39" i="49"/>
  <c r="E105" i="49" s="1"/>
  <c r="CW39" i="49"/>
  <c r="CB39" i="49"/>
  <c r="T105" i="49" s="1"/>
  <c r="AA39" i="49"/>
  <c r="G105" i="49" s="1"/>
  <c r="E39" i="49"/>
  <c r="BE39" i="49"/>
  <c r="EV39" i="49"/>
  <c r="AI105" i="49" s="1"/>
  <c r="CU39" i="49"/>
  <c r="V105" i="49" s="1"/>
  <c r="BY39" i="49"/>
  <c r="BD39" i="49"/>
  <c r="O105" i="49" s="1"/>
  <c r="C39" i="49"/>
  <c r="B105" i="49" s="1"/>
  <c r="BE40" i="49"/>
  <c r="EV40" i="49"/>
  <c r="AI106" i="49" s="1"/>
  <c r="CU40" i="49"/>
  <c r="V106" i="49" s="1"/>
  <c r="BY40" i="49"/>
  <c r="BD40" i="49"/>
  <c r="O106" i="49" s="1"/>
  <c r="C40" i="49"/>
  <c r="B106" i="49" s="1"/>
  <c r="AG40" i="49"/>
  <c r="ES40" i="49"/>
  <c r="DX40" i="49"/>
  <c r="AD106" i="49" s="1"/>
  <c r="BA40" i="49"/>
  <c r="AF40" i="49"/>
  <c r="J106" i="49" s="1"/>
  <c r="DA40" i="49"/>
  <c r="I40" i="49"/>
  <c r="DU40" i="49"/>
  <c r="CZ40" i="49"/>
  <c r="Y106" i="49" s="1"/>
  <c r="AY40" i="49"/>
  <c r="L106" i="49" s="1"/>
  <c r="AC40" i="49"/>
  <c r="H40" i="49"/>
  <c r="E106" i="49" s="1"/>
  <c r="CW40" i="49"/>
  <c r="CB40" i="49"/>
  <c r="T106" i="49" s="1"/>
  <c r="AA40" i="49"/>
  <c r="G106" i="49" s="1"/>
  <c r="E40" i="49"/>
  <c r="CP9" i="7"/>
  <c r="Q36" i="6"/>
  <c r="Y26" i="24"/>
  <c r="H107" i="6"/>
  <c r="H108" i="6"/>
  <c r="Y27" i="24"/>
  <c r="BU26" i="5"/>
  <c r="BT26" i="5"/>
  <c r="BR26" i="5"/>
  <c r="BQ26" i="5"/>
  <c r="BX26" i="5"/>
  <c r="BP26" i="5"/>
  <c r="BW26" i="5"/>
  <c r="BV26" i="5"/>
  <c r="BS26" i="5"/>
  <c r="S153" i="49"/>
  <c r="CH36" i="49"/>
  <c r="I98" i="49"/>
  <c r="AD26" i="49"/>
  <c r="AA53" i="47"/>
  <c r="AB53" i="47" s="1"/>
  <c r="S53" i="47"/>
  <c r="T53" i="47" s="1"/>
  <c r="W53" i="47" s="1"/>
  <c r="V53" i="47" s="1"/>
  <c r="AP27" i="23"/>
  <c r="AY27" i="26" s="1"/>
  <c r="AO27" i="23"/>
  <c r="Y21" i="24"/>
  <c r="H102" i="6"/>
  <c r="AP12" i="23"/>
  <c r="AY12" i="26" s="1"/>
  <c r="AC97" i="49"/>
  <c r="DV25" i="49"/>
  <c r="AG7" i="23"/>
  <c r="AI7" i="23" s="1"/>
  <c r="AW7" i="26" s="1"/>
  <c r="AM7" i="26"/>
  <c r="AO12" i="24"/>
  <c r="G16" i="9"/>
  <c r="AW23" i="49"/>
  <c r="FI23" i="49"/>
  <c r="EN23" i="49"/>
  <c r="AD194" i="49" s="1"/>
  <c r="BQ23" i="49"/>
  <c r="AV23" i="49"/>
  <c r="J194" i="49" s="1"/>
  <c r="H121" i="7"/>
  <c r="DQ23" i="49"/>
  <c r="Y23" i="49"/>
  <c r="EK23" i="49"/>
  <c r="DP23" i="49"/>
  <c r="Y194" i="49" s="1"/>
  <c r="BO23" i="49"/>
  <c r="L194" i="49" s="1"/>
  <c r="AS23" i="49"/>
  <c r="X23" i="49"/>
  <c r="E194" i="49" s="1"/>
  <c r="DM23" i="49"/>
  <c r="CR23" i="49"/>
  <c r="T194" i="49" s="1"/>
  <c r="AQ23" i="49"/>
  <c r="G194" i="49" s="1"/>
  <c r="U23" i="49"/>
  <c r="BU23" i="49"/>
  <c r="FL23" i="49"/>
  <c r="AI194" i="49" s="1"/>
  <c r="DK23" i="49"/>
  <c r="V194" i="49" s="1"/>
  <c r="CO23" i="49"/>
  <c r="BT23" i="49"/>
  <c r="O194" i="49" s="1"/>
  <c r="S23" i="49"/>
  <c r="B194" i="49" s="1"/>
  <c r="X193" i="49"/>
  <c r="DN22" i="49"/>
  <c r="AA9" i="9"/>
  <c r="BK38" i="7"/>
  <c r="BH38" i="7"/>
  <c r="BG38" i="7"/>
  <c r="BF38" i="7"/>
  <c r="CP12" i="7"/>
  <c r="BV8" i="5"/>
  <c r="BU8" i="5"/>
  <c r="BT8" i="5"/>
  <c r="BO28" i="5"/>
  <c r="W56" i="6"/>
  <c r="T8" i="51"/>
  <c r="S8" i="51"/>
  <c r="AC95" i="49"/>
  <c r="DV23" i="49"/>
  <c r="S95" i="49"/>
  <c r="BZ23" i="49"/>
  <c r="P33" i="6"/>
  <c r="U18" i="24"/>
  <c r="P34" i="6"/>
  <c r="R34" i="6" s="1"/>
  <c r="U19" i="24"/>
  <c r="S134" i="51"/>
  <c r="T134" i="51"/>
  <c r="AG13" i="23"/>
  <c r="AI13" i="23" s="1"/>
  <c r="AW13" i="26" s="1"/>
  <c r="AM13" i="26"/>
  <c r="DI23" i="49"/>
  <c r="Q23" i="49"/>
  <c r="EC23" i="49"/>
  <c r="DH23" i="49"/>
  <c r="Y140" i="49" s="1"/>
  <c r="BG23" i="49"/>
  <c r="L140" i="49" s="1"/>
  <c r="AK23" i="49"/>
  <c r="P23" i="49"/>
  <c r="E140" i="49" s="1"/>
  <c r="F121" i="7"/>
  <c r="DE23" i="49"/>
  <c r="CJ23" i="49"/>
  <c r="T140" i="49" s="1"/>
  <c r="AI23" i="49"/>
  <c r="G140" i="49" s="1"/>
  <c r="M23" i="49"/>
  <c r="BM23" i="49"/>
  <c r="FD23" i="49"/>
  <c r="AI140" i="49" s="1"/>
  <c r="DC23" i="49"/>
  <c r="V140" i="49" s="1"/>
  <c r="CG23" i="49"/>
  <c r="BL23" i="49"/>
  <c r="O140" i="49" s="1"/>
  <c r="K23" i="49"/>
  <c r="B140" i="49" s="1"/>
  <c r="AO23" i="49"/>
  <c r="FA23" i="49"/>
  <c r="EF23" i="49"/>
  <c r="AD140" i="49" s="1"/>
  <c r="BI23" i="49"/>
  <c r="AN23" i="49"/>
  <c r="J140" i="49" s="1"/>
  <c r="S52" i="47"/>
  <c r="T52" i="47" s="1"/>
  <c r="W52" i="47" s="1"/>
  <c r="V52" i="47" s="1"/>
  <c r="AA52" i="47"/>
  <c r="AB52" i="47" s="1"/>
  <c r="CY18" i="5"/>
  <c r="CZ18" i="5" s="1"/>
  <c r="BH37" i="7"/>
  <c r="BG37" i="7"/>
  <c r="BF37" i="7"/>
  <c r="BK37" i="7"/>
  <c r="CP10" i="7"/>
  <c r="DY10" i="7"/>
  <c r="CW10" i="7"/>
  <c r="CY10" i="7"/>
  <c r="R27" i="6"/>
  <c r="AC94" i="49"/>
  <c r="DV22" i="49"/>
  <c r="S94" i="49"/>
  <c r="BZ22" i="49"/>
  <c r="DA46" i="49"/>
  <c r="I46" i="49"/>
  <c r="DU46" i="49"/>
  <c r="CZ46" i="49"/>
  <c r="Y112" i="49" s="1"/>
  <c r="AY46" i="49"/>
  <c r="L112" i="49" s="1"/>
  <c r="AC46" i="49"/>
  <c r="H46" i="49"/>
  <c r="E112" i="49" s="1"/>
  <c r="CW46" i="49"/>
  <c r="CB46" i="49"/>
  <c r="T112" i="49" s="1"/>
  <c r="AA46" i="49"/>
  <c r="G112" i="49" s="1"/>
  <c r="E46" i="49"/>
  <c r="BE46" i="49"/>
  <c r="EV46" i="49"/>
  <c r="AI112" i="49" s="1"/>
  <c r="CU46" i="49"/>
  <c r="V112" i="49" s="1"/>
  <c r="BY46" i="49"/>
  <c r="BD46" i="49"/>
  <c r="O112" i="49" s="1"/>
  <c r="C46" i="49"/>
  <c r="B112" i="49" s="1"/>
  <c r="AG46" i="49"/>
  <c r="ES46" i="49"/>
  <c r="DX46" i="49"/>
  <c r="AD112" i="49" s="1"/>
  <c r="BA46" i="49"/>
  <c r="AF46" i="49"/>
  <c r="J112" i="49" s="1"/>
  <c r="AW54" i="49"/>
  <c r="FI54" i="49"/>
  <c r="EN54" i="49"/>
  <c r="AD225" i="49" s="1"/>
  <c r="BQ54" i="49"/>
  <c r="AV54" i="49"/>
  <c r="J225" i="49" s="1"/>
  <c r="DQ54" i="49"/>
  <c r="Y54" i="49"/>
  <c r="EK54" i="49"/>
  <c r="DP54" i="49"/>
  <c r="Y225" i="49" s="1"/>
  <c r="BO54" i="49"/>
  <c r="L225" i="49" s="1"/>
  <c r="AS54" i="49"/>
  <c r="X54" i="49"/>
  <c r="E225" i="49" s="1"/>
  <c r="DM54" i="49"/>
  <c r="CR54" i="49"/>
  <c r="T225" i="49" s="1"/>
  <c r="AQ54" i="49"/>
  <c r="G225" i="49" s="1"/>
  <c r="U54" i="49"/>
  <c r="BU54" i="49"/>
  <c r="FL54" i="49"/>
  <c r="AI225" i="49" s="1"/>
  <c r="DK54" i="49"/>
  <c r="V225" i="49" s="1"/>
  <c r="CO54" i="49"/>
  <c r="BT54" i="49"/>
  <c r="O225" i="49" s="1"/>
  <c r="S54" i="49"/>
  <c r="B225" i="49" s="1"/>
  <c r="H152" i="7"/>
  <c r="F36" i="49"/>
  <c r="D102" i="49"/>
  <c r="I102" i="49"/>
  <c r="AD36" i="49"/>
  <c r="BZ36" i="49"/>
  <c r="S102" i="49"/>
  <c r="AB8" i="9"/>
  <c r="S57" i="47"/>
  <c r="T57" i="47" s="1"/>
  <c r="W57" i="47" s="1"/>
  <c r="V57" i="47" s="1"/>
  <c r="AA57" i="47"/>
  <c r="AB57" i="47" s="1"/>
  <c r="Y25" i="24"/>
  <c r="H106" i="6"/>
  <c r="Y30" i="24"/>
  <c r="H111" i="6"/>
  <c r="CO11" i="7"/>
  <c r="N153" i="49"/>
  <c r="BJ36" i="49"/>
  <c r="AA56" i="47"/>
  <c r="AB56" i="47" s="1"/>
  <c r="S56" i="47"/>
  <c r="T56" i="47" s="1"/>
  <c r="W56" i="47" s="1"/>
  <c r="V56" i="47" s="1"/>
  <c r="Y22" i="24"/>
  <c r="H103" i="6"/>
  <c r="D101" i="49"/>
  <c r="F29" i="49"/>
  <c r="AD47" i="6"/>
  <c r="AA32" i="24" s="1"/>
  <c r="AD48" i="6"/>
  <c r="AA33" i="24" s="1"/>
  <c r="AD43" i="6"/>
  <c r="AA28" i="24" s="1"/>
  <c r="AD45" i="6"/>
  <c r="AA30" i="24" s="1"/>
  <c r="AD42" i="6"/>
  <c r="AA27" i="24" s="1"/>
  <c r="AD41" i="6"/>
  <c r="AA26" i="24" s="1"/>
  <c r="BV9" i="5"/>
  <c r="BT9" i="5"/>
  <c r="BU9" i="5"/>
  <c r="AB28" i="9"/>
  <c r="AG12" i="23"/>
  <c r="AI12" i="23" s="1"/>
  <c r="AW12" i="26" s="1"/>
  <c r="AM12" i="26"/>
  <c r="AC193" i="49"/>
  <c r="EL22" i="49"/>
  <c r="W55" i="6"/>
  <c r="Q55" i="6"/>
  <c r="Y7" i="23"/>
  <c r="AL7" i="23" s="1"/>
  <c r="AN7" i="23" s="1"/>
  <c r="AP7" i="23" s="1"/>
  <c r="AY7" i="26" s="1"/>
  <c r="K9" i="25"/>
  <c r="T9" i="25" s="1"/>
  <c r="AR29" i="25"/>
  <c r="Z33" i="9" s="1"/>
  <c r="AR27" i="25"/>
  <c r="Z31" i="9" s="1"/>
  <c r="AR9" i="25"/>
  <c r="Z13" i="9" s="1"/>
  <c r="AR7" i="25"/>
  <c r="Z11" i="9" s="1"/>
  <c r="AR17" i="25"/>
  <c r="Z21" i="9" s="1"/>
  <c r="AR18" i="25"/>
  <c r="Z22" i="9" s="1"/>
  <c r="AR19" i="25"/>
  <c r="Z23" i="9" s="1"/>
  <c r="AR28" i="25"/>
  <c r="Z32" i="9" s="1"/>
  <c r="AR8" i="25"/>
  <c r="Z12" i="9" s="1"/>
  <c r="AW37" i="49"/>
  <c r="FI37" i="49"/>
  <c r="EN37" i="49"/>
  <c r="AD208" i="49" s="1"/>
  <c r="BQ37" i="49"/>
  <c r="AV37" i="49"/>
  <c r="J208" i="49" s="1"/>
  <c r="DQ37" i="49"/>
  <c r="Y37" i="49"/>
  <c r="EK37" i="49"/>
  <c r="DP37" i="49"/>
  <c r="Y208" i="49" s="1"/>
  <c r="BO37" i="49"/>
  <c r="L208" i="49" s="1"/>
  <c r="AS37" i="49"/>
  <c r="X37" i="49"/>
  <c r="E208" i="49" s="1"/>
  <c r="DM37" i="49"/>
  <c r="CR37" i="49"/>
  <c r="T208" i="49" s="1"/>
  <c r="AQ37" i="49"/>
  <c r="G208" i="49" s="1"/>
  <c r="U37" i="49"/>
  <c r="BU37" i="49"/>
  <c r="FL37" i="49"/>
  <c r="AI208" i="49" s="1"/>
  <c r="DK37" i="49"/>
  <c r="V208" i="49" s="1"/>
  <c r="CO37" i="49"/>
  <c r="BT37" i="49"/>
  <c r="O208" i="49" s="1"/>
  <c r="S37" i="49"/>
  <c r="B208" i="49" s="1"/>
  <c r="H135" i="7"/>
  <c r="S207" i="49"/>
  <c r="CP36" i="49"/>
  <c r="X207" i="49"/>
  <c r="DN36" i="49"/>
  <c r="D128" i="49"/>
  <c r="N11" i="49"/>
  <c r="U32" i="24"/>
  <c r="P47" i="6"/>
  <c r="R47" i="6" s="1"/>
  <c r="DY11" i="7"/>
  <c r="N99" i="49"/>
  <c r="BB27" i="49"/>
  <c r="D99" i="49"/>
  <c r="F27" i="49"/>
  <c r="CP13" i="7"/>
  <c r="P41" i="6"/>
  <c r="R41" i="6" s="1"/>
  <c r="U26" i="24"/>
  <c r="AO18" i="23"/>
  <c r="AP18" i="23"/>
  <c r="AY18" i="26" s="1"/>
  <c r="Q33" i="6"/>
  <c r="AE5" i="26"/>
  <c r="AC5" i="26"/>
  <c r="Z5" i="26"/>
  <c r="AB5" i="26"/>
  <c r="AD5" i="26"/>
  <c r="BK6" i="26" l="1"/>
  <c r="BT6" i="26" s="1"/>
  <c r="BL6" i="26"/>
  <c r="BH6" i="26" s="1"/>
  <c r="AK4" i="35"/>
  <c r="BW6" i="26"/>
  <c r="K7" i="34"/>
  <c r="O372" i="51"/>
  <c r="R333" i="51"/>
  <c r="R337" i="51"/>
  <c r="R304" i="51"/>
  <c r="O332" i="51"/>
  <c r="R305" i="51"/>
  <c r="R237" i="51"/>
  <c r="R249" i="51" s="1"/>
  <c r="R204" i="51"/>
  <c r="O232" i="51"/>
  <c r="R205" i="51"/>
  <c r="AO26" i="23"/>
  <c r="AP21" i="23"/>
  <c r="AY21" i="26" s="1"/>
  <c r="BE21" i="26" s="1"/>
  <c r="AP19" i="23"/>
  <c r="AY19" i="26" s="1"/>
  <c r="BE19" i="26" s="1"/>
  <c r="CC41" i="5"/>
  <c r="CC47" i="5" s="1"/>
  <c r="CD41" i="5"/>
  <c r="CD47" i="5" s="1"/>
  <c r="CC40" i="5"/>
  <c r="CC46" i="5" s="1"/>
  <c r="CA41" i="5"/>
  <c r="CA47" i="5" s="1"/>
  <c r="CB41" i="5"/>
  <c r="CB47" i="5" s="1"/>
  <c r="CD40" i="5"/>
  <c r="CD46" i="5" s="1"/>
  <c r="CA40" i="5"/>
  <c r="CA46" i="5" s="1"/>
  <c r="AO25" i="23"/>
  <c r="DB18" i="5"/>
  <c r="DC18" i="5" s="1"/>
  <c r="CC42" i="5"/>
  <c r="CC48" i="5" s="1"/>
  <c r="P12" i="9"/>
  <c r="P16" i="9"/>
  <c r="BE33" i="26"/>
  <c r="F19" i="9"/>
  <c r="F17" i="9"/>
  <c r="P26" i="9"/>
  <c r="P15" i="9"/>
  <c r="BE13" i="26"/>
  <c r="BE31" i="26"/>
  <c r="F23" i="9"/>
  <c r="BE27" i="26"/>
  <c r="P32" i="9"/>
  <c r="P17" i="9"/>
  <c r="F14" i="9"/>
  <c r="BE6" i="26"/>
  <c r="BE17" i="26"/>
  <c r="BE24" i="26"/>
  <c r="F8" i="9"/>
  <c r="P37" i="9"/>
  <c r="P29" i="9"/>
  <c r="F33" i="9"/>
  <c r="F27" i="9"/>
  <c r="P30" i="9"/>
  <c r="F22" i="9"/>
  <c r="F25" i="9"/>
  <c r="BE5" i="26"/>
  <c r="P25" i="9"/>
  <c r="F36" i="9"/>
  <c r="BE18" i="26"/>
  <c r="F15" i="9"/>
  <c r="T28" i="2"/>
  <c r="K85" i="7" s="1"/>
  <c r="P28" i="9"/>
  <c r="P8" i="9"/>
  <c r="P36" i="9"/>
  <c r="F30" i="9"/>
  <c r="BE12" i="26"/>
  <c r="P23" i="9"/>
  <c r="P11" i="9"/>
  <c r="P31" i="9"/>
  <c r="BE9" i="26"/>
  <c r="F11" i="9"/>
  <c r="T8" i="9"/>
  <c r="S8" i="9"/>
  <c r="Q8" i="9"/>
  <c r="V8" i="9"/>
  <c r="BD19" i="26"/>
  <c r="AJ5" i="35"/>
  <c r="AK5" i="35" s="1"/>
  <c r="BD5" i="26"/>
  <c r="T24" i="2"/>
  <c r="O202" i="51"/>
  <c r="BD21" i="26"/>
  <c r="BD8" i="26"/>
  <c r="BD22" i="26"/>
  <c r="BE7" i="26"/>
  <c r="BD7" i="26"/>
  <c r="BD24" i="26"/>
  <c r="BD33" i="26"/>
  <c r="BD25" i="26"/>
  <c r="BD26" i="26"/>
  <c r="BD32" i="26"/>
  <c r="BD27" i="26"/>
  <c r="BD13" i="26"/>
  <c r="U8" i="9"/>
  <c r="P41" i="9"/>
  <c r="BQ4" i="26"/>
  <c r="BQ5" i="26"/>
  <c r="CI4" i="26"/>
  <c r="BR5" i="26"/>
  <c r="L41" i="9"/>
  <c r="BM5" i="26"/>
  <c r="CE4" i="26"/>
  <c r="BM6" i="26"/>
  <c r="BM4" i="26"/>
  <c r="N41" i="9"/>
  <c r="CG4" i="26"/>
  <c r="BO5" i="26"/>
  <c r="AA7" i="35" s="1"/>
  <c r="BO4" i="26"/>
  <c r="O41" i="9"/>
  <c r="BP5" i="26"/>
  <c r="AB6" i="35" s="1"/>
  <c r="CH4" i="26"/>
  <c r="BP6" i="26"/>
  <c r="BP4" i="26"/>
  <c r="BO6" i="26"/>
  <c r="BU38" i="49"/>
  <c r="FL38" i="49"/>
  <c r="AI209" i="49" s="1"/>
  <c r="DK38" i="49"/>
  <c r="V209" i="49" s="1"/>
  <c r="CO38" i="49"/>
  <c r="BT38" i="49"/>
  <c r="O209" i="49" s="1"/>
  <c r="S38" i="49"/>
  <c r="B209" i="49" s="1"/>
  <c r="AW38" i="49"/>
  <c r="FI38" i="49"/>
  <c r="EN38" i="49"/>
  <c r="AD209" i="49" s="1"/>
  <c r="BQ38" i="49"/>
  <c r="AV38" i="49"/>
  <c r="J209" i="49" s="1"/>
  <c r="DQ38" i="49"/>
  <c r="Y38" i="49"/>
  <c r="EK38" i="49"/>
  <c r="DP38" i="49"/>
  <c r="Y209" i="49" s="1"/>
  <c r="BO38" i="49"/>
  <c r="L209" i="49" s="1"/>
  <c r="AS38" i="49"/>
  <c r="X38" i="49"/>
  <c r="E209" i="49" s="1"/>
  <c r="DM38" i="49"/>
  <c r="CR38" i="49"/>
  <c r="T209" i="49" s="1"/>
  <c r="AQ38" i="49"/>
  <c r="G209" i="49" s="1"/>
  <c r="U38" i="49"/>
  <c r="H136" i="7"/>
  <c r="AH208" i="49"/>
  <c r="FJ37" i="49"/>
  <c r="AA21" i="9"/>
  <c r="X225" i="49"/>
  <c r="DN54" i="49"/>
  <c r="N225" i="49"/>
  <c r="BR54" i="49"/>
  <c r="N112" i="49"/>
  <c r="BB46" i="49"/>
  <c r="F46" i="49"/>
  <c r="D112" i="49"/>
  <c r="N140" i="49"/>
  <c r="BJ23" i="49"/>
  <c r="D140" i="49"/>
  <c r="N23" i="49"/>
  <c r="AB9" i="9"/>
  <c r="AC194" i="49"/>
  <c r="EL23" i="49"/>
  <c r="N194" i="49"/>
  <c r="BR23" i="49"/>
  <c r="ET40" i="49"/>
  <c r="AH106" i="49"/>
  <c r="V35" i="47"/>
  <c r="W35" i="47" s="1"/>
  <c r="Z35" i="47" s="1"/>
  <c r="Y35" i="47" s="1"/>
  <c r="AA35" i="47"/>
  <c r="AB35" i="47" s="1"/>
  <c r="V61" i="47"/>
  <c r="W61" i="47" s="1"/>
  <c r="Z61" i="47" s="1"/>
  <c r="Y61" i="47" s="1"/>
  <c r="AA61" i="47"/>
  <c r="AB61" i="47" s="1"/>
  <c r="V141" i="47"/>
  <c r="W141" i="47" s="1"/>
  <c r="Z141" i="47" s="1"/>
  <c r="Y141" i="47" s="1"/>
  <c r="AA141" i="47"/>
  <c r="AB141" i="47" s="1"/>
  <c r="V31" i="47"/>
  <c r="W31" i="47" s="1"/>
  <c r="Z31" i="47" s="1"/>
  <c r="Y31" i="47" s="1"/>
  <c r="AA31" i="47"/>
  <c r="AB31" i="47" s="1"/>
  <c r="V97" i="47"/>
  <c r="W97" i="47" s="1"/>
  <c r="Z97" i="47" s="1"/>
  <c r="Y97" i="47" s="1"/>
  <c r="AA97" i="47"/>
  <c r="AB97" i="47" s="1"/>
  <c r="V149" i="47"/>
  <c r="W149" i="47" s="1"/>
  <c r="Z149" i="47" s="1"/>
  <c r="Y149" i="47" s="1"/>
  <c r="AA149" i="47"/>
  <c r="AB149" i="47" s="1"/>
  <c r="V123" i="47"/>
  <c r="W123" i="47" s="1"/>
  <c r="Z123" i="47" s="1"/>
  <c r="Y123" i="47" s="1"/>
  <c r="AA123" i="47"/>
  <c r="AB123" i="47" s="1"/>
  <c r="BI7" i="26"/>
  <c r="BJ7" i="26" s="1"/>
  <c r="N103" i="49"/>
  <c r="BB37" i="49"/>
  <c r="F37" i="49"/>
  <c r="D103" i="49"/>
  <c r="AO55" i="49"/>
  <c r="FA55" i="49"/>
  <c r="EF55" i="49"/>
  <c r="AD172" i="49" s="1"/>
  <c r="BI55" i="49"/>
  <c r="AN55" i="49"/>
  <c r="J172" i="49" s="1"/>
  <c r="DI55" i="49"/>
  <c r="Q55" i="49"/>
  <c r="EC55" i="49"/>
  <c r="DH55" i="49"/>
  <c r="Y172" i="49" s="1"/>
  <c r="BG55" i="49"/>
  <c r="L172" i="49" s="1"/>
  <c r="AK55" i="49"/>
  <c r="P55" i="49"/>
  <c r="E172" i="49" s="1"/>
  <c r="DE55" i="49"/>
  <c r="CJ55" i="49"/>
  <c r="T172" i="49" s="1"/>
  <c r="AI55" i="49"/>
  <c r="G172" i="49" s="1"/>
  <c r="M55" i="49"/>
  <c r="BM55" i="49"/>
  <c r="FD55" i="49"/>
  <c r="AI172" i="49" s="1"/>
  <c r="DC55" i="49"/>
  <c r="V172" i="49" s="1"/>
  <c r="CG55" i="49"/>
  <c r="BL55" i="49"/>
  <c r="O172" i="49" s="1"/>
  <c r="K55" i="49"/>
  <c r="B172" i="49" s="1"/>
  <c r="F153" i="7"/>
  <c r="L7" i="23"/>
  <c r="AT7" i="26" s="1"/>
  <c r="AI7" i="24"/>
  <c r="AJ7" i="26"/>
  <c r="R37" i="51"/>
  <c r="R4" i="51"/>
  <c r="O22" i="51"/>
  <c r="R137" i="51"/>
  <c r="R104" i="51"/>
  <c r="CD42" i="5"/>
  <c r="CD48" i="5" s="1"/>
  <c r="CA42" i="5"/>
  <c r="CA48" i="5" s="1"/>
  <c r="DA59" i="49"/>
  <c r="I59" i="49"/>
  <c r="DU59" i="49"/>
  <c r="CZ59" i="49"/>
  <c r="Y118" i="49" s="1"/>
  <c r="AY59" i="49"/>
  <c r="L118" i="49" s="1"/>
  <c r="AC59" i="49"/>
  <c r="H59" i="49"/>
  <c r="E118" i="49" s="1"/>
  <c r="CW59" i="49"/>
  <c r="CB59" i="49"/>
  <c r="T118" i="49" s="1"/>
  <c r="AA59" i="49"/>
  <c r="G118" i="49" s="1"/>
  <c r="E59" i="49"/>
  <c r="BE59" i="49"/>
  <c r="EV59" i="49"/>
  <c r="AI118" i="49" s="1"/>
  <c r="CU59" i="49"/>
  <c r="V118" i="49" s="1"/>
  <c r="BY59" i="49"/>
  <c r="BD59" i="49"/>
  <c r="O118" i="49" s="1"/>
  <c r="C59" i="49"/>
  <c r="B118" i="49" s="1"/>
  <c r="AG59" i="49"/>
  <c r="ES59" i="49"/>
  <c r="DX59" i="49"/>
  <c r="AD118" i="49" s="1"/>
  <c r="BA59" i="49"/>
  <c r="AF59" i="49"/>
  <c r="J118" i="49" s="1"/>
  <c r="CW66" i="49"/>
  <c r="CB66" i="49"/>
  <c r="T125" i="49" s="1"/>
  <c r="AA66" i="49"/>
  <c r="G125" i="49" s="1"/>
  <c r="E66" i="49"/>
  <c r="BE66" i="49"/>
  <c r="EV66" i="49"/>
  <c r="AI125" i="49" s="1"/>
  <c r="CU66" i="49"/>
  <c r="V125" i="49" s="1"/>
  <c r="BY66" i="49"/>
  <c r="BD66" i="49"/>
  <c r="O125" i="49" s="1"/>
  <c r="C66" i="49"/>
  <c r="B125" i="49" s="1"/>
  <c r="AG66" i="49"/>
  <c r="ES66" i="49"/>
  <c r="DX66" i="49"/>
  <c r="AD125" i="49" s="1"/>
  <c r="BA66" i="49"/>
  <c r="AF66" i="49"/>
  <c r="J125" i="49" s="1"/>
  <c r="DA66" i="49"/>
  <c r="I66" i="49"/>
  <c r="DU66" i="49"/>
  <c r="CZ66" i="49"/>
  <c r="Y125" i="49" s="1"/>
  <c r="AY66" i="49"/>
  <c r="L125" i="49" s="1"/>
  <c r="AC66" i="49"/>
  <c r="H66" i="49"/>
  <c r="E125" i="49" s="1"/>
  <c r="AC113" i="49"/>
  <c r="DV54" i="49"/>
  <c r="S113" i="49"/>
  <c r="BZ54" i="49"/>
  <c r="BS39" i="7"/>
  <c r="BP39" i="7"/>
  <c r="BO39" i="7"/>
  <c r="BN39" i="7"/>
  <c r="AH109" i="49"/>
  <c r="ET43" i="49"/>
  <c r="AC107" i="49"/>
  <c r="DV41" i="49"/>
  <c r="BZ41" i="49"/>
  <c r="S107" i="49"/>
  <c r="S26" i="2"/>
  <c r="S25" i="2"/>
  <c r="S24" i="2"/>
  <c r="AA9" i="25"/>
  <c r="AB9" i="25"/>
  <c r="AC9" i="25" s="1"/>
  <c r="Z10" i="25"/>
  <c r="AA11" i="9"/>
  <c r="S140" i="49"/>
  <c r="CH23" i="49"/>
  <c r="X105" i="49"/>
  <c r="CX39" i="49"/>
  <c r="BB39" i="49"/>
  <c r="N105" i="49"/>
  <c r="BB38" i="49"/>
  <c r="N104" i="49"/>
  <c r="F38" i="49"/>
  <c r="D104" i="49"/>
  <c r="V137" i="47"/>
  <c r="W137" i="47" s="1"/>
  <c r="Z137" i="47" s="1"/>
  <c r="Y137" i="47" s="1"/>
  <c r="AA137" i="47"/>
  <c r="AB137" i="47" s="1"/>
  <c r="V83" i="47"/>
  <c r="W83" i="47" s="1"/>
  <c r="Z83" i="47" s="1"/>
  <c r="Y83" i="47" s="1"/>
  <c r="AA83" i="47"/>
  <c r="AB83" i="47" s="1"/>
  <c r="V27" i="47"/>
  <c r="W27" i="47" s="1"/>
  <c r="Z27" i="47" s="1"/>
  <c r="Y27" i="47" s="1"/>
  <c r="AA27" i="47"/>
  <c r="AB27" i="47" s="1"/>
  <c r="V63" i="47"/>
  <c r="W63" i="47" s="1"/>
  <c r="Z63" i="47" s="1"/>
  <c r="Y63" i="47" s="1"/>
  <c r="AA63" i="47"/>
  <c r="AB63" i="47" s="1"/>
  <c r="V67" i="47"/>
  <c r="W67" i="47" s="1"/>
  <c r="Z67" i="47" s="1"/>
  <c r="Y67" i="47" s="1"/>
  <c r="AA67" i="47"/>
  <c r="AB67" i="47" s="1"/>
  <c r="V121" i="47"/>
  <c r="W121" i="47" s="1"/>
  <c r="Z121" i="47" s="1"/>
  <c r="Y121" i="47" s="1"/>
  <c r="AA121" i="47"/>
  <c r="AB121" i="47" s="1"/>
  <c r="V159" i="47"/>
  <c r="W159" i="47" s="1"/>
  <c r="Z159" i="47" s="1"/>
  <c r="Y159" i="47" s="1"/>
  <c r="AA159" i="47"/>
  <c r="AB159" i="47" s="1"/>
  <c r="V131" i="47"/>
  <c r="W131" i="47" s="1"/>
  <c r="Z131" i="47" s="1"/>
  <c r="Y131" i="47" s="1"/>
  <c r="AA131" i="47"/>
  <c r="AB131" i="47" s="1"/>
  <c r="BP31" i="7"/>
  <c r="BO31" i="7"/>
  <c r="BN31" i="7"/>
  <c r="BS31" i="7"/>
  <c r="AH154" i="49"/>
  <c r="FB37" i="49"/>
  <c r="X154" i="49"/>
  <c r="DF37" i="49"/>
  <c r="AH111" i="49"/>
  <c r="ET45" i="49"/>
  <c r="X111" i="49"/>
  <c r="CX45" i="49"/>
  <c r="BK34" i="7"/>
  <c r="BH34" i="7"/>
  <c r="BG34" i="7"/>
  <c r="BF34" i="7"/>
  <c r="DV37" i="49"/>
  <c r="AC103" i="49"/>
  <c r="BZ37" i="49"/>
  <c r="S103" i="49"/>
  <c r="AI9" i="24"/>
  <c r="L9" i="23"/>
  <c r="AT9" i="26" s="1"/>
  <c r="AJ9" i="26"/>
  <c r="O132" i="51"/>
  <c r="R105" i="51"/>
  <c r="D110" i="49"/>
  <c r="F44" i="49"/>
  <c r="CZ22" i="5"/>
  <c r="CY22" i="5"/>
  <c r="CX22" i="5"/>
  <c r="CW22" i="5"/>
  <c r="CV22" i="5"/>
  <c r="DA22" i="5"/>
  <c r="AH108" i="49"/>
  <c r="ET42" i="49"/>
  <c r="CX42" i="49"/>
  <c r="X108" i="49"/>
  <c r="CW62" i="49"/>
  <c r="CB62" i="49"/>
  <c r="T121" i="49" s="1"/>
  <c r="AA62" i="49"/>
  <c r="G121" i="49" s="1"/>
  <c r="E62" i="49"/>
  <c r="BE62" i="49"/>
  <c r="EV62" i="49"/>
  <c r="AI121" i="49" s="1"/>
  <c r="CU62" i="49"/>
  <c r="V121" i="49" s="1"/>
  <c r="BY62" i="49"/>
  <c r="BD62" i="49"/>
  <c r="O121" i="49" s="1"/>
  <c r="C62" i="49"/>
  <c r="B121" i="49" s="1"/>
  <c r="AG62" i="49"/>
  <c r="ES62" i="49"/>
  <c r="DX62" i="49"/>
  <c r="AD121" i="49" s="1"/>
  <c r="BA62" i="49"/>
  <c r="AF62" i="49"/>
  <c r="J121" i="49" s="1"/>
  <c r="DA62" i="49"/>
  <c r="I62" i="49"/>
  <c r="DU62" i="49"/>
  <c r="CZ62" i="49"/>
  <c r="Y121" i="49" s="1"/>
  <c r="AY62" i="49"/>
  <c r="L121" i="49" s="1"/>
  <c r="AC62" i="49"/>
  <c r="H62" i="49"/>
  <c r="E121" i="49" s="1"/>
  <c r="BE61" i="49"/>
  <c r="EV61" i="49"/>
  <c r="AI120" i="49" s="1"/>
  <c r="CU61" i="49"/>
  <c r="V120" i="49" s="1"/>
  <c r="BY61" i="49"/>
  <c r="BD61" i="49"/>
  <c r="O120" i="49" s="1"/>
  <c r="C61" i="49"/>
  <c r="B120" i="49" s="1"/>
  <c r="AG61" i="49"/>
  <c r="ES61" i="49"/>
  <c r="DX61" i="49"/>
  <c r="AD120" i="49" s="1"/>
  <c r="BA61" i="49"/>
  <c r="AF61" i="49"/>
  <c r="J120" i="49" s="1"/>
  <c r="DA61" i="49"/>
  <c r="I61" i="49"/>
  <c r="DU61" i="49"/>
  <c r="CZ61" i="49"/>
  <c r="Y120" i="49" s="1"/>
  <c r="AY61" i="49"/>
  <c r="L120" i="49" s="1"/>
  <c r="AC61" i="49"/>
  <c r="H61" i="49"/>
  <c r="E120" i="49" s="1"/>
  <c r="CW61" i="49"/>
  <c r="CB61" i="49"/>
  <c r="T120" i="49" s="1"/>
  <c r="AA61" i="49"/>
  <c r="G120" i="49" s="1"/>
  <c r="E61" i="49"/>
  <c r="BX36" i="7"/>
  <c r="BW36" i="7"/>
  <c r="BV36" i="7"/>
  <c r="CA36" i="7"/>
  <c r="AA22" i="9"/>
  <c r="D208" i="49"/>
  <c r="V37" i="49"/>
  <c r="AA13" i="9"/>
  <c r="I140" i="49"/>
  <c r="AL23" i="49"/>
  <c r="BW28" i="5"/>
  <c r="BR28" i="5"/>
  <c r="BQ28" i="5"/>
  <c r="BX28" i="5"/>
  <c r="BV28" i="5"/>
  <c r="BU28" i="5"/>
  <c r="BT28" i="5"/>
  <c r="BS28" i="5"/>
  <c r="BP28" i="5"/>
  <c r="F40" i="49"/>
  <c r="D106" i="49"/>
  <c r="DV39" i="49"/>
  <c r="AC105" i="49"/>
  <c r="S104" i="49"/>
  <c r="BZ38" i="49"/>
  <c r="AD38" i="49"/>
  <c r="I104" i="49"/>
  <c r="AB48" i="6"/>
  <c r="I114" i="6" s="1"/>
  <c r="K33" i="23" s="1"/>
  <c r="AB46" i="6"/>
  <c r="I112" i="6" s="1"/>
  <c r="K31" i="23" s="1"/>
  <c r="AB41" i="6"/>
  <c r="I107" i="6" s="1"/>
  <c r="K26" i="23" s="1"/>
  <c r="AB47" i="6"/>
  <c r="I113" i="6" s="1"/>
  <c r="K32" i="23" s="1"/>
  <c r="AB45" i="6"/>
  <c r="I111" i="6" s="1"/>
  <c r="K30" i="23" s="1"/>
  <c r="AB42" i="6"/>
  <c r="I108" i="6" s="1"/>
  <c r="K27" i="23" s="1"/>
  <c r="AB44" i="6"/>
  <c r="I110" i="6" s="1"/>
  <c r="K29" i="23" s="1"/>
  <c r="AB39" i="6"/>
  <c r="I105" i="6" s="1"/>
  <c r="K24" i="23" s="1"/>
  <c r="AB43" i="6"/>
  <c r="I109" i="6" s="1"/>
  <c r="K28" i="23" s="1"/>
  <c r="AB40" i="6"/>
  <c r="I106" i="6" s="1"/>
  <c r="K25" i="23" s="1"/>
  <c r="CX12" i="5"/>
  <c r="CW12" i="5"/>
  <c r="CY12" i="5"/>
  <c r="V143" i="47"/>
  <c r="W143" i="47" s="1"/>
  <c r="Z143" i="47" s="1"/>
  <c r="Y143" i="47" s="1"/>
  <c r="AA143" i="47"/>
  <c r="AB143" i="47" s="1"/>
  <c r="V91" i="47"/>
  <c r="W91" i="47" s="1"/>
  <c r="Z91" i="47" s="1"/>
  <c r="Y91" i="47" s="1"/>
  <c r="AA91" i="47"/>
  <c r="AB91" i="47" s="1"/>
  <c r="V71" i="47"/>
  <c r="W71" i="47" s="1"/>
  <c r="Z71" i="47" s="1"/>
  <c r="Y71" i="47" s="1"/>
  <c r="AA71" i="47"/>
  <c r="AB71" i="47" s="1"/>
  <c r="V107" i="47"/>
  <c r="W107" i="47" s="1"/>
  <c r="Z107" i="47" s="1"/>
  <c r="Y107" i="47" s="1"/>
  <c r="AA107" i="47"/>
  <c r="AB107" i="47" s="1"/>
  <c r="V75" i="47"/>
  <c r="W75" i="47" s="1"/>
  <c r="Z75" i="47" s="1"/>
  <c r="Y75" i="47" s="1"/>
  <c r="AA75" i="47"/>
  <c r="AB75" i="47" s="1"/>
  <c r="V65" i="47"/>
  <c r="W65" i="47" s="1"/>
  <c r="Z65" i="47" s="1"/>
  <c r="Y65" i="47" s="1"/>
  <c r="AA65" i="47"/>
  <c r="AB65" i="47" s="1"/>
  <c r="V157" i="47"/>
  <c r="W157" i="47" s="1"/>
  <c r="Z157" i="47" s="1"/>
  <c r="Y157" i="47" s="1"/>
  <c r="AA157" i="47"/>
  <c r="AB157" i="47" s="1"/>
  <c r="V139" i="47"/>
  <c r="W139" i="47" s="1"/>
  <c r="Z139" i="47" s="1"/>
  <c r="Y139" i="47" s="1"/>
  <c r="AA139" i="47"/>
  <c r="AB139" i="47" s="1"/>
  <c r="AC154" i="49"/>
  <c r="ED37" i="49"/>
  <c r="BD28" i="26"/>
  <c r="EC13" i="49"/>
  <c r="CG13" i="49"/>
  <c r="AK13" i="49"/>
  <c r="DI13" i="49"/>
  <c r="BM13" i="49"/>
  <c r="Q13" i="49"/>
  <c r="FD13" i="49"/>
  <c r="AI130" i="49" s="1"/>
  <c r="DH13" i="49"/>
  <c r="Y130" i="49" s="1"/>
  <c r="BL13" i="49"/>
  <c r="O130" i="49" s="1"/>
  <c r="AI13" i="49"/>
  <c r="G130" i="49" s="1"/>
  <c r="P13" i="49"/>
  <c r="E130" i="49" s="1"/>
  <c r="F111" i="7"/>
  <c r="FA13" i="49"/>
  <c r="DE13" i="49"/>
  <c r="BI13" i="49"/>
  <c r="M13" i="49"/>
  <c r="AO13" i="49"/>
  <c r="EF13" i="49"/>
  <c r="AD130" i="49" s="1"/>
  <c r="DC13" i="49"/>
  <c r="V130" i="49" s="1"/>
  <c r="CJ13" i="49"/>
  <c r="T130" i="49" s="1"/>
  <c r="BG13" i="49"/>
  <c r="L130" i="49" s="1"/>
  <c r="AN13" i="49"/>
  <c r="J130" i="49" s="1"/>
  <c r="K13" i="49"/>
  <c r="B130" i="49" s="1"/>
  <c r="I129" i="49"/>
  <c r="AL12" i="49"/>
  <c r="N171" i="49"/>
  <c r="BJ54" i="49"/>
  <c r="D171" i="49"/>
  <c r="N54" i="49"/>
  <c r="AI5" i="24"/>
  <c r="L5" i="23"/>
  <c r="AT5" i="26" s="1"/>
  <c r="AJ5" i="26"/>
  <c r="I110" i="49"/>
  <c r="AD44" i="49"/>
  <c r="AC108" i="49"/>
  <c r="DV42" i="49"/>
  <c r="BE57" i="49"/>
  <c r="EV57" i="49"/>
  <c r="AI116" i="49" s="1"/>
  <c r="CU57" i="49"/>
  <c r="V116" i="49" s="1"/>
  <c r="BY57" i="49"/>
  <c r="BD57" i="49"/>
  <c r="O116" i="49" s="1"/>
  <c r="C57" i="49"/>
  <c r="B116" i="49" s="1"/>
  <c r="AG57" i="49"/>
  <c r="ES57" i="49"/>
  <c r="DX57" i="49"/>
  <c r="AD116" i="49" s="1"/>
  <c r="BA57" i="49"/>
  <c r="AF57" i="49"/>
  <c r="J116" i="49" s="1"/>
  <c r="DA57" i="49"/>
  <c r="I57" i="49"/>
  <c r="DU57" i="49"/>
  <c r="CZ57" i="49"/>
  <c r="Y116" i="49" s="1"/>
  <c r="AY57" i="49"/>
  <c r="L116" i="49" s="1"/>
  <c r="AC57" i="49"/>
  <c r="H57" i="49"/>
  <c r="E116" i="49" s="1"/>
  <c r="CW57" i="49"/>
  <c r="CB57" i="49"/>
  <c r="T116" i="49" s="1"/>
  <c r="AA57" i="49"/>
  <c r="G116" i="49" s="1"/>
  <c r="E57" i="49"/>
  <c r="AG56" i="49"/>
  <c r="ES56" i="49"/>
  <c r="DX56" i="49"/>
  <c r="AD115" i="49" s="1"/>
  <c r="BA56" i="49"/>
  <c r="AF56" i="49"/>
  <c r="J115" i="49" s="1"/>
  <c r="DA56" i="49"/>
  <c r="I56" i="49"/>
  <c r="DU56" i="49"/>
  <c r="CZ56" i="49"/>
  <c r="Y115" i="49" s="1"/>
  <c r="AY56" i="49"/>
  <c r="L115" i="49" s="1"/>
  <c r="AC56" i="49"/>
  <c r="H56" i="49"/>
  <c r="E115" i="49" s="1"/>
  <c r="CW56" i="49"/>
  <c r="CB56" i="49"/>
  <c r="T115" i="49" s="1"/>
  <c r="AA56" i="49"/>
  <c r="G115" i="49" s="1"/>
  <c r="E56" i="49"/>
  <c r="BE56" i="49"/>
  <c r="EV56" i="49"/>
  <c r="AI115" i="49" s="1"/>
  <c r="CU56" i="49"/>
  <c r="V115" i="49" s="1"/>
  <c r="BY56" i="49"/>
  <c r="BD56" i="49"/>
  <c r="O115" i="49" s="1"/>
  <c r="C56" i="49"/>
  <c r="B115" i="49" s="1"/>
  <c r="AH113" i="49"/>
  <c r="ET54" i="49"/>
  <c r="X113" i="49"/>
  <c r="CX54" i="49"/>
  <c r="M8" i="34"/>
  <c r="J9" i="34" s="1"/>
  <c r="L8" i="34"/>
  <c r="BV27" i="5"/>
  <c r="BU27" i="5"/>
  <c r="BS27" i="5"/>
  <c r="BR27" i="5"/>
  <c r="BQ27" i="5"/>
  <c r="BX27" i="5"/>
  <c r="BP27" i="5"/>
  <c r="BW27" i="5"/>
  <c r="BT27" i="5"/>
  <c r="D109" i="49"/>
  <c r="F43" i="49"/>
  <c r="ET41" i="49"/>
  <c r="AH107" i="49"/>
  <c r="CX41" i="49"/>
  <c r="X107" i="49"/>
  <c r="K81" i="7"/>
  <c r="K58" i="7"/>
  <c r="K56" i="7"/>
  <c r="K71" i="7"/>
  <c r="K57" i="7"/>
  <c r="T25" i="2"/>
  <c r="T30" i="2"/>
  <c r="R28" i="2"/>
  <c r="AC225" i="49"/>
  <c r="EL54" i="49"/>
  <c r="S112" i="49"/>
  <c r="BZ46" i="49"/>
  <c r="I112" i="49"/>
  <c r="AD46" i="49"/>
  <c r="S208" i="49"/>
  <c r="CP37" i="49"/>
  <c r="I208" i="49"/>
  <c r="AT37" i="49"/>
  <c r="AA31" i="9"/>
  <c r="BU55" i="49"/>
  <c r="FL55" i="49"/>
  <c r="AI226" i="49" s="1"/>
  <c r="DK55" i="49"/>
  <c r="V226" i="49" s="1"/>
  <c r="CO55" i="49"/>
  <c r="BT55" i="49"/>
  <c r="O226" i="49" s="1"/>
  <c r="S55" i="49"/>
  <c r="B226" i="49" s="1"/>
  <c r="AW55" i="49"/>
  <c r="FI55" i="49"/>
  <c r="EN55" i="49"/>
  <c r="AD226" i="49" s="1"/>
  <c r="BQ55" i="49"/>
  <c r="AV55" i="49"/>
  <c r="J226" i="49" s="1"/>
  <c r="DQ55" i="49"/>
  <c r="Y55" i="49"/>
  <c r="EK55" i="49"/>
  <c r="DP55" i="49"/>
  <c r="Y226" i="49" s="1"/>
  <c r="BO55" i="49"/>
  <c r="L226" i="49" s="1"/>
  <c r="AS55" i="49"/>
  <c r="X55" i="49"/>
  <c r="E226" i="49" s="1"/>
  <c r="DM55" i="49"/>
  <c r="CR55" i="49"/>
  <c r="T226" i="49" s="1"/>
  <c r="AQ55" i="49"/>
  <c r="G226" i="49" s="1"/>
  <c r="U55" i="49"/>
  <c r="H153" i="7"/>
  <c r="AH225" i="49"/>
  <c r="FJ54" i="49"/>
  <c r="AH112" i="49"/>
  <c r="ET46" i="49"/>
  <c r="X112" i="49"/>
  <c r="CX46" i="49"/>
  <c r="AH140" i="49"/>
  <c r="FB23" i="49"/>
  <c r="X140" i="49"/>
  <c r="DF23" i="49"/>
  <c r="AH194" i="49"/>
  <c r="FJ23" i="49"/>
  <c r="I106" i="49"/>
  <c r="AD40" i="49"/>
  <c r="AC41" i="6"/>
  <c r="Z26" i="24" s="1"/>
  <c r="AC44" i="6"/>
  <c r="Z29" i="24" s="1"/>
  <c r="CZ30" i="5"/>
  <c r="AC48" i="6"/>
  <c r="Z33" i="24" s="1"/>
  <c r="AC43" i="6"/>
  <c r="Z28" i="24" s="1"/>
  <c r="AC45" i="6"/>
  <c r="Z30" i="24" s="1"/>
  <c r="AC42" i="6"/>
  <c r="Z27" i="24" s="1"/>
  <c r="AC39" i="6"/>
  <c r="Z24" i="24" s="1"/>
  <c r="DA30" i="5"/>
  <c r="CY30" i="5"/>
  <c r="CX30" i="5"/>
  <c r="CW30" i="5"/>
  <c r="CV30" i="5"/>
  <c r="AC40" i="6"/>
  <c r="Z25" i="24" s="1"/>
  <c r="AC47" i="6"/>
  <c r="Z32" i="24" s="1"/>
  <c r="AC46" i="6"/>
  <c r="Z31" i="24" s="1"/>
  <c r="CM36" i="5"/>
  <c r="CT24" i="5"/>
  <c r="CT30" i="5" s="1"/>
  <c r="CH36" i="5"/>
  <c r="CJ41" i="5" s="1"/>
  <c r="CJ47" i="5" s="1"/>
  <c r="CC36" i="5"/>
  <c r="CO36" i="5"/>
  <c r="CG36" i="5"/>
  <c r="CI36" i="5"/>
  <c r="CL36" i="5"/>
  <c r="CK42" i="5" s="1"/>
  <c r="CK48" i="5" s="1"/>
  <c r="CF36" i="5"/>
  <c r="CI42" i="5" s="1"/>
  <c r="CI48" i="5" s="1"/>
  <c r="CU24" i="5"/>
  <c r="CU30" i="5" s="1"/>
  <c r="CJ36" i="5"/>
  <c r="CB36" i="5"/>
  <c r="CK36" i="5"/>
  <c r="CK41" i="5" s="1"/>
  <c r="CK47" i="5" s="1"/>
  <c r="CS24" i="5"/>
  <c r="CS30" i="5" s="1"/>
  <c r="CD36" i="5"/>
  <c r="CE36" i="5"/>
  <c r="CI41" i="5" s="1"/>
  <c r="CI47" i="5" s="1"/>
  <c r="CN36" i="5"/>
  <c r="CL41" i="5" s="1"/>
  <c r="CL47" i="5" s="1"/>
  <c r="CA36" i="5"/>
  <c r="CS18" i="5"/>
  <c r="CT18" i="5" s="1"/>
  <c r="V37" i="47"/>
  <c r="W37" i="47" s="1"/>
  <c r="Z37" i="47" s="1"/>
  <c r="Y37" i="47" s="1"/>
  <c r="AA37" i="47"/>
  <c r="AB37" i="47" s="1"/>
  <c r="V103" i="47"/>
  <c r="W103" i="47" s="1"/>
  <c r="Z103" i="47" s="1"/>
  <c r="Y103" i="47" s="1"/>
  <c r="AA103" i="47"/>
  <c r="AB103" i="47" s="1"/>
  <c r="V87" i="47"/>
  <c r="W87" i="47" s="1"/>
  <c r="Z87" i="47" s="1"/>
  <c r="Y87" i="47" s="1"/>
  <c r="AA87" i="47"/>
  <c r="AB87" i="47" s="1"/>
  <c r="V39" i="47"/>
  <c r="W39" i="47" s="1"/>
  <c r="Z39" i="47" s="1"/>
  <c r="Y39" i="47" s="1"/>
  <c r="AA39" i="47"/>
  <c r="AB39" i="47" s="1"/>
  <c r="V95" i="47"/>
  <c r="W95" i="47" s="1"/>
  <c r="Z95" i="47" s="1"/>
  <c r="Y95" i="47" s="1"/>
  <c r="AA95" i="47"/>
  <c r="AB95" i="47" s="1"/>
  <c r="V73" i="47"/>
  <c r="W73" i="47" s="1"/>
  <c r="Z73" i="47" s="1"/>
  <c r="Y73" i="47" s="1"/>
  <c r="AA73" i="47"/>
  <c r="AB73" i="47" s="1"/>
  <c r="V119" i="47"/>
  <c r="W119" i="47" s="1"/>
  <c r="Z119" i="47" s="1"/>
  <c r="Y119" i="47" s="1"/>
  <c r="AA119" i="47"/>
  <c r="AB119" i="47" s="1"/>
  <c r="AA147" i="47"/>
  <c r="AB147" i="47" s="1"/>
  <c r="V147" i="47"/>
  <c r="W147" i="47" s="1"/>
  <c r="Z147" i="47" s="1"/>
  <c r="Y147" i="47" s="1"/>
  <c r="AO7" i="23"/>
  <c r="I203" i="41"/>
  <c r="K203" i="41" s="1"/>
  <c r="K202" i="41"/>
  <c r="S129" i="49"/>
  <c r="CH12" i="49"/>
  <c r="D129" i="49"/>
  <c r="N12" i="49"/>
  <c r="Q115" i="32"/>
  <c r="O116" i="32"/>
  <c r="BQ6" i="26"/>
  <c r="BU6" i="26"/>
  <c r="AH103" i="49"/>
  <c r="ET37" i="49"/>
  <c r="CX37" i="49"/>
  <c r="X103" i="49"/>
  <c r="S171" i="49"/>
  <c r="CH54" i="49"/>
  <c r="I171" i="49"/>
  <c r="AL54" i="49"/>
  <c r="AI13" i="24"/>
  <c r="L13" i="23"/>
  <c r="AT13" i="26" s="1"/>
  <c r="AJ13" i="26"/>
  <c r="CB40" i="5"/>
  <c r="CB46" i="5" s="1"/>
  <c r="D13" i="32"/>
  <c r="E12" i="32"/>
  <c r="F12" i="32" s="1"/>
  <c r="BE65" i="49"/>
  <c r="EV65" i="49"/>
  <c r="AI124" i="49" s="1"/>
  <c r="CU65" i="49"/>
  <c r="V124" i="49" s="1"/>
  <c r="BY65" i="49"/>
  <c r="BD65" i="49"/>
  <c r="O124" i="49" s="1"/>
  <c r="C65" i="49"/>
  <c r="B124" i="49" s="1"/>
  <c r="AG65" i="49"/>
  <c r="ES65" i="49"/>
  <c r="DX65" i="49"/>
  <c r="AD124" i="49" s="1"/>
  <c r="BA65" i="49"/>
  <c r="AF65" i="49"/>
  <c r="J124" i="49" s="1"/>
  <c r="DA65" i="49"/>
  <c r="I65" i="49"/>
  <c r="DU65" i="49"/>
  <c r="CZ65" i="49"/>
  <c r="Y124" i="49" s="1"/>
  <c r="AY65" i="49"/>
  <c r="L124" i="49" s="1"/>
  <c r="AC65" i="49"/>
  <c r="H65" i="49"/>
  <c r="E124" i="49" s="1"/>
  <c r="CW65" i="49"/>
  <c r="CB65" i="49"/>
  <c r="T124" i="49" s="1"/>
  <c r="AA65" i="49"/>
  <c r="G124" i="49" s="1"/>
  <c r="E65" i="49"/>
  <c r="AG64" i="49"/>
  <c r="ES64" i="49"/>
  <c r="DX64" i="49"/>
  <c r="AD123" i="49" s="1"/>
  <c r="BA64" i="49"/>
  <c r="AF64" i="49"/>
  <c r="J123" i="49" s="1"/>
  <c r="DA64" i="49"/>
  <c r="I64" i="49"/>
  <c r="DU64" i="49"/>
  <c r="CZ64" i="49"/>
  <c r="Y123" i="49" s="1"/>
  <c r="AY64" i="49"/>
  <c r="L123" i="49" s="1"/>
  <c r="AC64" i="49"/>
  <c r="H64" i="49"/>
  <c r="E123" i="49" s="1"/>
  <c r="CW64" i="49"/>
  <c r="CB64" i="49"/>
  <c r="T123" i="49" s="1"/>
  <c r="AA64" i="49"/>
  <c r="G123" i="49" s="1"/>
  <c r="E64" i="49"/>
  <c r="BE64" i="49"/>
  <c r="EV64" i="49"/>
  <c r="AI123" i="49" s="1"/>
  <c r="CU64" i="49"/>
  <c r="V123" i="49" s="1"/>
  <c r="BY64" i="49"/>
  <c r="BD64" i="49"/>
  <c r="O123" i="49" s="1"/>
  <c r="C64" i="49"/>
  <c r="B123" i="49" s="1"/>
  <c r="N7" i="34"/>
  <c r="S109" i="49"/>
  <c r="BZ43" i="49"/>
  <c r="AD43" i="49"/>
  <c r="I109" i="49"/>
  <c r="AP11" i="23"/>
  <c r="AY11" i="26" s="1"/>
  <c r="R26" i="2"/>
  <c r="R29" i="2"/>
  <c r="T27" i="2"/>
  <c r="S30" i="2"/>
  <c r="AA33" i="9"/>
  <c r="AC112" i="49"/>
  <c r="DV46" i="49"/>
  <c r="BP37" i="7"/>
  <c r="BO37" i="7"/>
  <c r="BN37" i="7"/>
  <c r="BS37" i="7"/>
  <c r="D194" i="49"/>
  <c r="V23" i="49"/>
  <c r="ET39" i="49"/>
  <c r="AH105" i="49"/>
  <c r="ET38" i="49"/>
  <c r="AH104" i="49"/>
  <c r="CX38" i="49"/>
  <c r="X104" i="49"/>
  <c r="V25" i="47"/>
  <c r="W25" i="47" s="1"/>
  <c r="Z25" i="47" s="1"/>
  <c r="Y25" i="47" s="1"/>
  <c r="AA25" i="47"/>
  <c r="AB25" i="47" s="1"/>
  <c r="V109" i="47"/>
  <c r="W109" i="47" s="1"/>
  <c r="Z109" i="47" s="1"/>
  <c r="Y109" i="47" s="1"/>
  <c r="AA109" i="47"/>
  <c r="AB109" i="47" s="1"/>
  <c r="V93" i="47"/>
  <c r="W93" i="47" s="1"/>
  <c r="Z93" i="47" s="1"/>
  <c r="Y93" i="47" s="1"/>
  <c r="AA93" i="47"/>
  <c r="AB93" i="47" s="1"/>
  <c r="V89" i="47"/>
  <c r="W89" i="47" s="1"/>
  <c r="Z89" i="47" s="1"/>
  <c r="Y89" i="47" s="1"/>
  <c r="AA89" i="47"/>
  <c r="AB89" i="47" s="1"/>
  <c r="V125" i="47"/>
  <c r="W125" i="47" s="1"/>
  <c r="Z125" i="47" s="1"/>
  <c r="Y125" i="47" s="1"/>
  <c r="AA125" i="47"/>
  <c r="AB125" i="47" s="1"/>
  <c r="V81" i="47"/>
  <c r="W81" i="47" s="1"/>
  <c r="Z81" i="47" s="1"/>
  <c r="Y81" i="47" s="1"/>
  <c r="AA81" i="47"/>
  <c r="AB81" i="47" s="1"/>
  <c r="V145" i="47"/>
  <c r="W145" i="47" s="1"/>
  <c r="Z145" i="47" s="1"/>
  <c r="Y145" i="47" s="1"/>
  <c r="AA145" i="47"/>
  <c r="AB145" i="47" s="1"/>
  <c r="V155" i="47"/>
  <c r="W155" i="47" s="1"/>
  <c r="Z155" i="47" s="1"/>
  <c r="Y155" i="47" s="1"/>
  <c r="AA155" i="47"/>
  <c r="AB155" i="47" s="1"/>
  <c r="AO38" i="49"/>
  <c r="FA38" i="49"/>
  <c r="EF38" i="49"/>
  <c r="AD155" i="49" s="1"/>
  <c r="BI38" i="49"/>
  <c r="AN38" i="49"/>
  <c r="J155" i="49" s="1"/>
  <c r="DI38" i="49"/>
  <c r="Q38" i="49"/>
  <c r="EC38" i="49"/>
  <c r="DH38" i="49"/>
  <c r="Y155" i="49" s="1"/>
  <c r="BG38" i="49"/>
  <c r="L155" i="49" s="1"/>
  <c r="AK38" i="49"/>
  <c r="P38" i="49"/>
  <c r="E155" i="49" s="1"/>
  <c r="DE38" i="49"/>
  <c r="CJ38" i="49"/>
  <c r="T155" i="49" s="1"/>
  <c r="AI38" i="49"/>
  <c r="G155" i="49" s="1"/>
  <c r="M38" i="49"/>
  <c r="BM38" i="49"/>
  <c r="FD38" i="49"/>
  <c r="AI155" i="49" s="1"/>
  <c r="DC38" i="49"/>
  <c r="V155" i="49" s="1"/>
  <c r="CG38" i="49"/>
  <c r="BL38" i="49"/>
  <c r="O155" i="49" s="1"/>
  <c r="K38" i="49"/>
  <c r="B155" i="49" s="1"/>
  <c r="F136" i="7"/>
  <c r="I111" i="49"/>
  <c r="AD45" i="49"/>
  <c r="AC129" i="49"/>
  <c r="ED12" i="49"/>
  <c r="N129" i="49"/>
  <c r="BJ12" i="49"/>
  <c r="X26" i="6"/>
  <c r="L11" i="24" s="1"/>
  <c r="X23" i="6"/>
  <c r="L8" i="24" s="1"/>
  <c r="X19" i="6"/>
  <c r="L4" i="24" s="1"/>
  <c r="X25" i="6"/>
  <c r="L10" i="24" s="1"/>
  <c r="X22" i="6"/>
  <c r="L7" i="24" s="1"/>
  <c r="X21" i="6"/>
  <c r="L6" i="24" s="1"/>
  <c r="X27" i="6"/>
  <c r="L12" i="24" s="1"/>
  <c r="X24" i="6"/>
  <c r="L9" i="24" s="1"/>
  <c r="X28" i="6"/>
  <c r="L13" i="24" s="1"/>
  <c r="X20" i="6"/>
  <c r="L5" i="24" s="1"/>
  <c r="BY6" i="26"/>
  <c r="L11" i="23"/>
  <c r="AT11" i="26" s="1"/>
  <c r="AJ11" i="26"/>
  <c r="AI11" i="24"/>
  <c r="AI12" i="24"/>
  <c r="L12" i="23"/>
  <c r="AT12" i="26" s="1"/>
  <c r="AJ12" i="26"/>
  <c r="O32" i="51"/>
  <c r="R5" i="51"/>
  <c r="AB29" i="9"/>
  <c r="X110" i="49"/>
  <c r="CX44" i="49"/>
  <c r="BB44" i="49"/>
  <c r="N110" i="49"/>
  <c r="I21" i="62"/>
  <c r="C29" i="62"/>
  <c r="I22" i="62" s="1"/>
  <c r="AG60" i="49"/>
  <c r="ES60" i="49"/>
  <c r="DX60" i="49"/>
  <c r="AD119" i="49" s="1"/>
  <c r="BA60" i="49"/>
  <c r="AF60" i="49"/>
  <c r="J119" i="49" s="1"/>
  <c r="DA60" i="49"/>
  <c r="I60" i="49"/>
  <c r="DU60" i="49"/>
  <c r="CZ60" i="49"/>
  <c r="Y119" i="49" s="1"/>
  <c r="AY60" i="49"/>
  <c r="L119" i="49" s="1"/>
  <c r="AC60" i="49"/>
  <c r="H60" i="49"/>
  <c r="E119" i="49" s="1"/>
  <c r="CW60" i="49"/>
  <c r="CB60" i="49"/>
  <c r="T119" i="49" s="1"/>
  <c r="AA60" i="49"/>
  <c r="G119" i="49" s="1"/>
  <c r="E60" i="49"/>
  <c r="BE60" i="49"/>
  <c r="EV60" i="49"/>
  <c r="AI119" i="49" s="1"/>
  <c r="CU60" i="49"/>
  <c r="V119" i="49" s="1"/>
  <c r="BY60" i="49"/>
  <c r="BD60" i="49"/>
  <c r="O119" i="49" s="1"/>
  <c r="C60" i="49"/>
  <c r="B119" i="49" s="1"/>
  <c r="BS35" i="7"/>
  <c r="BP35" i="7"/>
  <c r="BO35" i="7"/>
  <c r="BN35" i="7"/>
  <c r="R25" i="2"/>
  <c r="R24" i="2"/>
  <c r="R115" i="32"/>
  <c r="P116" i="32"/>
  <c r="AB29" i="6"/>
  <c r="I95" i="6" s="1"/>
  <c r="K14" i="23" s="1"/>
  <c r="AB32" i="6"/>
  <c r="I98" i="6" s="1"/>
  <c r="K17" i="23" s="1"/>
  <c r="AB37" i="6"/>
  <c r="I103" i="6" s="1"/>
  <c r="K22" i="23" s="1"/>
  <c r="AB38" i="6"/>
  <c r="I104" i="6" s="1"/>
  <c r="K23" i="23" s="1"/>
  <c r="AB36" i="6"/>
  <c r="I102" i="6" s="1"/>
  <c r="K21" i="23" s="1"/>
  <c r="AB30" i="6"/>
  <c r="I96" i="6" s="1"/>
  <c r="K15" i="23" s="1"/>
  <c r="AB35" i="6"/>
  <c r="I101" i="6" s="1"/>
  <c r="K20" i="23" s="1"/>
  <c r="AB34" i="6"/>
  <c r="I100" i="6" s="1"/>
  <c r="K19" i="23" s="1"/>
  <c r="AB31" i="6"/>
  <c r="I97" i="6" s="1"/>
  <c r="K16" i="23" s="1"/>
  <c r="AB33" i="6"/>
  <c r="I99" i="6" s="1"/>
  <c r="K18" i="23" s="1"/>
  <c r="CX11" i="5"/>
  <c r="CY11" i="5"/>
  <c r="CW11" i="5"/>
  <c r="BX33" i="7"/>
  <c r="BW33" i="7"/>
  <c r="BV33" i="7"/>
  <c r="CA33" i="7"/>
  <c r="AA12" i="9"/>
  <c r="X208" i="49"/>
  <c r="DN37" i="49"/>
  <c r="N208" i="49"/>
  <c r="BR37" i="49"/>
  <c r="AA32" i="9"/>
  <c r="K10" i="25"/>
  <c r="AR10" i="25" s="1"/>
  <c r="Z14" i="9" s="1"/>
  <c r="AR21" i="25"/>
  <c r="Z25" i="9" s="1"/>
  <c r="D225" i="49"/>
  <c r="V54" i="49"/>
  <c r="AO24" i="49"/>
  <c r="FA24" i="49"/>
  <c r="EF24" i="49"/>
  <c r="AD141" i="49" s="1"/>
  <c r="BI24" i="49"/>
  <c r="AN24" i="49"/>
  <c r="J141" i="49" s="1"/>
  <c r="DI24" i="49"/>
  <c r="Q24" i="49"/>
  <c r="EC24" i="49"/>
  <c r="DH24" i="49"/>
  <c r="Y141" i="49" s="1"/>
  <c r="BG24" i="49"/>
  <c r="L141" i="49" s="1"/>
  <c r="AK24" i="49"/>
  <c r="P24" i="49"/>
  <c r="E141" i="49" s="1"/>
  <c r="DE24" i="49"/>
  <c r="CJ24" i="49"/>
  <c r="T141" i="49" s="1"/>
  <c r="AI24" i="49"/>
  <c r="G141" i="49" s="1"/>
  <c r="M24" i="49"/>
  <c r="BM24" i="49"/>
  <c r="FD24" i="49"/>
  <c r="AI141" i="49" s="1"/>
  <c r="DC24" i="49"/>
  <c r="V141" i="49" s="1"/>
  <c r="CG24" i="49"/>
  <c r="BL24" i="49"/>
  <c r="O141" i="49" s="1"/>
  <c r="K24" i="49"/>
  <c r="B141" i="49" s="1"/>
  <c r="F122" i="7"/>
  <c r="AC140" i="49"/>
  <c r="ED23" i="49"/>
  <c r="S194" i="49"/>
  <c r="CP23" i="49"/>
  <c r="I194" i="49"/>
  <c r="AT23" i="49"/>
  <c r="CX40" i="49"/>
  <c r="X106" i="49"/>
  <c r="BB40" i="49"/>
  <c r="N106" i="49"/>
  <c r="DV38" i="49"/>
  <c r="AC104" i="49"/>
  <c r="V77" i="47"/>
  <c r="W77" i="47" s="1"/>
  <c r="Z77" i="47" s="1"/>
  <c r="Y77" i="47" s="1"/>
  <c r="AA77" i="47"/>
  <c r="AB77" i="47" s="1"/>
  <c r="V33" i="47"/>
  <c r="W33" i="47" s="1"/>
  <c r="Z33" i="47" s="1"/>
  <c r="Y33" i="47" s="1"/>
  <c r="AA33" i="47"/>
  <c r="AB33" i="47" s="1"/>
  <c r="V105" i="47"/>
  <c r="W105" i="47" s="1"/>
  <c r="Z105" i="47" s="1"/>
  <c r="Y105" i="47" s="1"/>
  <c r="AA105" i="47"/>
  <c r="AB105" i="47" s="1"/>
  <c r="V101" i="47"/>
  <c r="W101" i="47" s="1"/>
  <c r="Z101" i="47" s="1"/>
  <c r="Y101" i="47" s="1"/>
  <c r="AA101" i="47"/>
  <c r="AB101" i="47" s="1"/>
  <c r="V127" i="47"/>
  <c r="W127" i="47" s="1"/>
  <c r="Z127" i="47" s="1"/>
  <c r="Y127" i="47" s="1"/>
  <c r="AA127" i="47"/>
  <c r="AB127" i="47" s="1"/>
  <c r="V85" i="47"/>
  <c r="W85" i="47" s="1"/>
  <c r="Z85" i="47" s="1"/>
  <c r="Y85" i="47" s="1"/>
  <c r="AA85" i="47"/>
  <c r="AB85" i="47" s="1"/>
  <c r="V151" i="47"/>
  <c r="W151" i="47" s="1"/>
  <c r="Z151" i="47" s="1"/>
  <c r="Y151" i="47" s="1"/>
  <c r="AA151" i="47"/>
  <c r="AB151" i="47" s="1"/>
  <c r="X129" i="49"/>
  <c r="DF12" i="49"/>
  <c r="X45" i="6"/>
  <c r="L30" i="24" s="1"/>
  <c r="X42" i="6"/>
  <c r="L27" i="24" s="1"/>
  <c r="X39" i="6"/>
  <c r="L24" i="24" s="1"/>
  <c r="X41" i="6"/>
  <c r="L26" i="24" s="1"/>
  <c r="X47" i="6"/>
  <c r="L32" i="24" s="1"/>
  <c r="X44" i="6"/>
  <c r="L29" i="24" s="1"/>
  <c r="X48" i="6"/>
  <c r="L33" i="24" s="1"/>
  <c r="X43" i="6"/>
  <c r="L28" i="24" s="1"/>
  <c r="X46" i="6"/>
  <c r="L31" i="24" s="1"/>
  <c r="X40" i="6"/>
  <c r="L25" i="24" s="1"/>
  <c r="BR6" i="26"/>
  <c r="AH171" i="49"/>
  <c r="FB54" i="49"/>
  <c r="X171" i="49"/>
  <c r="DF54" i="49"/>
  <c r="AI8" i="24"/>
  <c r="L8" i="23"/>
  <c r="AT8" i="26" s="1"/>
  <c r="AJ8" i="26"/>
  <c r="L6" i="23"/>
  <c r="AT6" i="26" s="1"/>
  <c r="AI6" i="24"/>
  <c r="AJ6" i="26"/>
  <c r="D33" i="27"/>
  <c r="C23" i="41"/>
  <c r="DV44" i="49"/>
  <c r="AC110" i="49"/>
  <c r="BZ44" i="49"/>
  <c r="S110" i="49"/>
  <c r="BS42" i="7"/>
  <c r="BP42" i="7"/>
  <c r="BO42" i="7"/>
  <c r="BN42" i="7"/>
  <c r="DA55" i="49"/>
  <c r="I55" i="49"/>
  <c r="DU55" i="49"/>
  <c r="CZ55" i="49"/>
  <c r="Y114" i="49" s="1"/>
  <c r="AY55" i="49"/>
  <c r="L114" i="49" s="1"/>
  <c r="AC55" i="49"/>
  <c r="H55" i="49"/>
  <c r="E114" i="49" s="1"/>
  <c r="CW55" i="49"/>
  <c r="CB55" i="49"/>
  <c r="T114" i="49" s="1"/>
  <c r="AA55" i="49"/>
  <c r="G114" i="49" s="1"/>
  <c r="E55" i="49"/>
  <c r="BE55" i="49"/>
  <c r="EV55" i="49"/>
  <c r="AI114" i="49" s="1"/>
  <c r="CU55" i="49"/>
  <c r="V114" i="49" s="1"/>
  <c r="BY55" i="49"/>
  <c r="BD55" i="49"/>
  <c r="O114" i="49" s="1"/>
  <c r="C55" i="49"/>
  <c r="B114" i="49" s="1"/>
  <c r="AG55" i="49"/>
  <c r="ES55" i="49"/>
  <c r="DX55" i="49"/>
  <c r="AD114" i="49" s="1"/>
  <c r="BA55" i="49"/>
  <c r="AF55" i="49"/>
  <c r="J114" i="49" s="1"/>
  <c r="AD54" i="49"/>
  <c r="I113" i="49"/>
  <c r="CX43" i="49"/>
  <c r="X109" i="49"/>
  <c r="BB43" i="49"/>
  <c r="N109" i="49"/>
  <c r="AD41" i="49"/>
  <c r="I107" i="49"/>
  <c r="AB30" i="9"/>
  <c r="S27" i="2"/>
  <c r="S28" i="2"/>
  <c r="R27" i="2"/>
  <c r="T26" i="2"/>
  <c r="AC33" i="6"/>
  <c r="Z18" i="24" s="1"/>
  <c r="AC38" i="6"/>
  <c r="Z23" i="24" s="1"/>
  <c r="AC30" i="6"/>
  <c r="Z15" i="24" s="1"/>
  <c r="CV29" i="5"/>
  <c r="AC34" i="6"/>
  <c r="Z19" i="24" s="1"/>
  <c r="AC31" i="6"/>
  <c r="Z16" i="24" s="1"/>
  <c r="CY29" i="5"/>
  <c r="CX29" i="5"/>
  <c r="AC29" i="6"/>
  <c r="Z14" i="24" s="1"/>
  <c r="AC37" i="6"/>
  <c r="Z22" i="24" s="1"/>
  <c r="DA29" i="5"/>
  <c r="CZ29" i="5"/>
  <c r="CW29" i="5"/>
  <c r="AC32" i="6"/>
  <c r="Z17" i="24" s="1"/>
  <c r="AC36" i="6"/>
  <c r="Z21" i="24" s="1"/>
  <c r="AC35" i="6"/>
  <c r="Z20" i="24" s="1"/>
  <c r="CM35" i="5"/>
  <c r="CL35" i="5"/>
  <c r="CD35" i="5"/>
  <c r="CE40" i="5" s="1"/>
  <c r="CE46" i="5" s="1"/>
  <c r="CO35" i="5"/>
  <c r="CG35" i="5"/>
  <c r="CF35" i="5"/>
  <c r="CJ35" i="5"/>
  <c r="CI35" i="5"/>
  <c r="CU23" i="5"/>
  <c r="CU29" i="5" s="1"/>
  <c r="CC35" i="5"/>
  <c r="CT23" i="5"/>
  <c r="CT29" i="5" s="1"/>
  <c r="CA35" i="5"/>
  <c r="CK35" i="5"/>
  <c r="CS23" i="5"/>
  <c r="CS29" i="5" s="1"/>
  <c r="CH35" i="5"/>
  <c r="CF41" i="5" s="1"/>
  <c r="CF47" i="5" s="1"/>
  <c r="CB35" i="5"/>
  <c r="CE35" i="5"/>
  <c r="CE41" i="5" s="1"/>
  <c r="CE47" i="5" s="1"/>
  <c r="CN35" i="5"/>
  <c r="CH41" i="5" s="1"/>
  <c r="CH47" i="5" s="1"/>
  <c r="CS17" i="5"/>
  <c r="CT17" i="5" s="1"/>
  <c r="AC208" i="49"/>
  <c r="EL37" i="49"/>
  <c r="AA23" i="9"/>
  <c r="BD12" i="26"/>
  <c r="S225" i="49"/>
  <c r="CP54" i="49"/>
  <c r="I225" i="49"/>
  <c r="AT54" i="49"/>
  <c r="BS38" i="7"/>
  <c r="BP38" i="7"/>
  <c r="BO38" i="7"/>
  <c r="BN38" i="7"/>
  <c r="BU24" i="49"/>
  <c r="FL24" i="49"/>
  <c r="AI195" i="49" s="1"/>
  <c r="DK24" i="49"/>
  <c r="V195" i="49" s="1"/>
  <c r="CO24" i="49"/>
  <c r="BT24" i="49"/>
  <c r="O195" i="49" s="1"/>
  <c r="S24" i="49"/>
  <c r="B195" i="49" s="1"/>
  <c r="AW24" i="49"/>
  <c r="FI24" i="49"/>
  <c r="EN24" i="49"/>
  <c r="AD195" i="49" s="1"/>
  <c r="BQ24" i="49"/>
  <c r="AV24" i="49"/>
  <c r="J195" i="49" s="1"/>
  <c r="DQ24" i="49"/>
  <c r="Y24" i="49"/>
  <c r="EK24" i="49"/>
  <c r="DP24" i="49"/>
  <c r="Y195" i="49" s="1"/>
  <c r="BO24" i="49"/>
  <c r="L195" i="49" s="1"/>
  <c r="AS24" i="49"/>
  <c r="X24" i="49"/>
  <c r="E195" i="49" s="1"/>
  <c r="H122" i="7"/>
  <c r="DM24" i="49"/>
  <c r="CR24" i="49"/>
  <c r="T195" i="49" s="1"/>
  <c r="AQ24" i="49"/>
  <c r="G195" i="49" s="1"/>
  <c r="U24" i="49"/>
  <c r="AC106" i="49"/>
  <c r="DV40" i="49"/>
  <c r="BZ40" i="49"/>
  <c r="S106" i="49"/>
  <c r="D105" i="49"/>
  <c r="F39" i="49"/>
  <c r="V111" i="47"/>
  <c r="W111" i="47" s="1"/>
  <c r="Z111" i="47" s="1"/>
  <c r="Y111" i="47" s="1"/>
  <c r="AA111" i="47"/>
  <c r="AB111" i="47" s="1"/>
  <c r="V69" i="47"/>
  <c r="W69" i="47" s="1"/>
  <c r="Z69" i="47" s="1"/>
  <c r="Y69" i="47" s="1"/>
  <c r="AA69" i="47"/>
  <c r="AB69" i="47" s="1"/>
  <c r="V29" i="47"/>
  <c r="W29" i="47" s="1"/>
  <c r="Z29" i="47" s="1"/>
  <c r="Y29" i="47" s="1"/>
  <c r="AA29" i="47"/>
  <c r="AB29" i="47" s="1"/>
  <c r="V153" i="47"/>
  <c r="W153" i="47" s="1"/>
  <c r="Z153" i="47" s="1"/>
  <c r="Y153" i="47" s="1"/>
  <c r="AA153" i="47"/>
  <c r="AB153" i="47" s="1"/>
  <c r="V129" i="47"/>
  <c r="W129" i="47" s="1"/>
  <c r="Z129" i="47" s="1"/>
  <c r="Y129" i="47" s="1"/>
  <c r="AA129" i="47"/>
  <c r="AB129" i="47" s="1"/>
  <c r="V99" i="47"/>
  <c r="W99" i="47" s="1"/>
  <c r="Z99" i="47" s="1"/>
  <c r="Y99" i="47" s="1"/>
  <c r="AA99" i="47"/>
  <c r="AB99" i="47" s="1"/>
  <c r="V113" i="47"/>
  <c r="W113" i="47" s="1"/>
  <c r="Z113" i="47" s="1"/>
  <c r="Y113" i="47" s="1"/>
  <c r="AA113" i="47"/>
  <c r="AB113" i="47" s="1"/>
  <c r="N154" i="49"/>
  <c r="BJ37" i="49"/>
  <c r="D154" i="49"/>
  <c r="N37" i="49"/>
  <c r="R36" i="6"/>
  <c r="N111" i="49"/>
  <c r="BB45" i="49"/>
  <c r="F45" i="49"/>
  <c r="D111" i="49"/>
  <c r="AH129" i="49"/>
  <c r="FB12" i="49"/>
  <c r="AD37" i="49"/>
  <c r="I103" i="49"/>
  <c r="AC171" i="49"/>
  <c r="ED54" i="49"/>
  <c r="L4" i="23"/>
  <c r="AT4" i="26" s="1"/>
  <c r="AI4" i="24"/>
  <c r="AJ4" i="26"/>
  <c r="D22" i="27"/>
  <c r="C35" i="27"/>
  <c r="D34" i="27" s="1"/>
  <c r="CA41" i="7"/>
  <c r="BX41" i="7"/>
  <c r="BW41" i="7"/>
  <c r="BV41" i="7"/>
  <c r="N108" i="49"/>
  <c r="BB42" i="49"/>
  <c r="D108" i="49"/>
  <c r="F42" i="49"/>
  <c r="DA63" i="49"/>
  <c r="I63" i="49"/>
  <c r="DU63" i="49"/>
  <c r="CZ63" i="49"/>
  <c r="Y122" i="49" s="1"/>
  <c r="AY63" i="49"/>
  <c r="L122" i="49" s="1"/>
  <c r="AC63" i="49"/>
  <c r="H63" i="49"/>
  <c r="E122" i="49" s="1"/>
  <c r="CW63" i="49"/>
  <c r="CB63" i="49"/>
  <c r="T122" i="49" s="1"/>
  <c r="AA63" i="49"/>
  <c r="G122" i="49" s="1"/>
  <c r="E63" i="49"/>
  <c r="BE63" i="49"/>
  <c r="EV63" i="49"/>
  <c r="AI122" i="49" s="1"/>
  <c r="CU63" i="49"/>
  <c r="V122" i="49" s="1"/>
  <c r="BY63" i="49"/>
  <c r="BD63" i="49"/>
  <c r="O122" i="49" s="1"/>
  <c r="C63" i="49"/>
  <c r="B122" i="49" s="1"/>
  <c r="AG63" i="49"/>
  <c r="ES63" i="49"/>
  <c r="DX63" i="49"/>
  <c r="AD122" i="49" s="1"/>
  <c r="BA63" i="49"/>
  <c r="AF63" i="49"/>
  <c r="J122" i="49" s="1"/>
  <c r="AP8" i="23"/>
  <c r="AY8" i="26" s="1"/>
  <c r="DV43" i="49"/>
  <c r="AC109" i="49"/>
  <c r="K76" i="7"/>
  <c r="K67" i="7"/>
  <c r="K86" i="7"/>
  <c r="K66" i="7"/>
  <c r="R44" i="6"/>
  <c r="T8" i="26"/>
  <c r="U8" i="26" s="1"/>
  <c r="W7" i="26"/>
  <c r="V7" i="26"/>
  <c r="S7" i="26"/>
  <c r="Y7" i="26"/>
  <c r="R33" i="6"/>
  <c r="X194" i="49"/>
  <c r="DN23" i="49"/>
  <c r="BZ39" i="49"/>
  <c r="S105" i="49"/>
  <c r="AD39" i="49"/>
  <c r="I105" i="49"/>
  <c r="BG32" i="7"/>
  <c r="BF32" i="7"/>
  <c r="BK32" i="7"/>
  <c r="BH32" i="7"/>
  <c r="V23" i="47"/>
  <c r="W23" i="47" s="1"/>
  <c r="Z23" i="47" s="1"/>
  <c r="Y23" i="47" s="1"/>
  <c r="AA23" i="47"/>
  <c r="AB23" i="47" s="1"/>
  <c r="V79" i="47"/>
  <c r="W79" i="47" s="1"/>
  <c r="Z79" i="47" s="1"/>
  <c r="Y79" i="47" s="1"/>
  <c r="AA79" i="47"/>
  <c r="AB79" i="47" s="1"/>
  <c r="V133" i="47"/>
  <c r="W133" i="47" s="1"/>
  <c r="Z133" i="47" s="1"/>
  <c r="Y133" i="47" s="1"/>
  <c r="AA133" i="47"/>
  <c r="AB133" i="47" s="1"/>
  <c r="V135" i="47"/>
  <c r="W135" i="47" s="1"/>
  <c r="Z135" i="47" s="1"/>
  <c r="Y135" i="47" s="1"/>
  <c r="AA135" i="47"/>
  <c r="AB135" i="47" s="1"/>
  <c r="V59" i="47"/>
  <c r="W59" i="47" s="1"/>
  <c r="Z59" i="47" s="1"/>
  <c r="Y59" i="47" s="1"/>
  <c r="AA59" i="47"/>
  <c r="AB59" i="47" s="1"/>
  <c r="V115" i="47"/>
  <c r="W115" i="47" s="1"/>
  <c r="Z115" i="47" s="1"/>
  <c r="Y115" i="47" s="1"/>
  <c r="AA115" i="47"/>
  <c r="AB115" i="47" s="1"/>
  <c r="V117" i="47"/>
  <c r="W117" i="47" s="1"/>
  <c r="Z117" i="47" s="1"/>
  <c r="Y117" i="47" s="1"/>
  <c r="AA117" i="47"/>
  <c r="AB117" i="47" s="1"/>
  <c r="X34" i="6"/>
  <c r="L19" i="24" s="1"/>
  <c r="X31" i="6"/>
  <c r="L16" i="24" s="1"/>
  <c r="X33" i="6"/>
  <c r="L18" i="24" s="1"/>
  <c r="X35" i="6"/>
  <c r="L20" i="24" s="1"/>
  <c r="X38" i="6"/>
  <c r="L23" i="24" s="1"/>
  <c r="X30" i="6"/>
  <c r="L15" i="24" s="1"/>
  <c r="X29" i="6"/>
  <c r="L14" i="24" s="1"/>
  <c r="X37" i="6"/>
  <c r="L22" i="24" s="1"/>
  <c r="X36" i="6"/>
  <c r="L21" i="24" s="1"/>
  <c r="X32" i="6"/>
  <c r="L17" i="24" s="1"/>
  <c r="S154" i="49"/>
  <c r="CH37" i="49"/>
  <c r="I154" i="49"/>
  <c r="AL37" i="49"/>
  <c r="AC111" i="49"/>
  <c r="DV45" i="49"/>
  <c r="BZ45" i="49"/>
  <c r="S111" i="49"/>
  <c r="AG9" i="25"/>
  <c r="AI8" i="25"/>
  <c r="AF9" i="25"/>
  <c r="AE8" i="25"/>
  <c r="AH7" i="35"/>
  <c r="AI6" i="35"/>
  <c r="AH6" i="35"/>
  <c r="AJ6" i="35"/>
  <c r="AJ7" i="35"/>
  <c r="AI7" i="35"/>
  <c r="AI10" i="24"/>
  <c r="L10" i="23"/>
  <c r="AT10" i="26" s="1"/>
  <c r="AJ10" i="26"/>
  <c r="ET44" i="49"/>
  <c r="AH110" i="49"/>
  <c r="BZ42" i="49"/>
  <c r="S108" i="49"/>
  <c r="AD42" i="49"/>
  <c r="I108" i="49"/>
  <c r="CW58" i="49"/>
  <c r="CB58" i="49"/>
  <c r="T117" i="49" s="1"/>
  <c r="AA58" i="49"/>
  <c r="G117" i="49" s="1"/>
  <c r="E58" i="49"/>
  <c r="BE58" i="49"/>
  <c r="EV58" i="49"/>
  <c r="AI117" i="49" s="1"/>
  <c r="CU58" i="49"/>
  <c r="V117" i="49" s="1"/>
  <c r="BY58" i="49"/>
  <c r="BD58" i="49"/>
  <c r="O117" i="49" s="1"/>
  <c r="C58" i="49"/>
  <c r="B117" i="49" s="1"/>
  <c r="AG58" i="49"/>
  <c r="ES58" i="49"/>
  <c r="DX58" i="49"/>
  <c r="AD117" i="49" s="1"/>
  <c r="BA58" i="49"/>
  <c r="AF58" i="49"/>
  <c r="J117" i="49" s="1"/>
  <c r="DA58" i="49"/>
  <c r="I58" i="49"/>
  <c r="DU58" i="49"/>
  <c r="CZ58" i="49"/>
  <c r="Y117" i="49" s="1"/>
  <c r="AY58" i="49"/>
  <c r="L117" i="49" s="1"/>
  <c r="AC58" i="49"/>
  <c r="H58" i="49"/>
  <c r="E117" i="49" s="1"/>
  <c r="N113" i="49"/>
  <c r="BB54" i="49"/>
  <c r="D113" i="49"/>
  <c r="F54" i="49"/>
  <c r="BO40" i="7"/>
  <c r="BN40" i="7"/>
  <c r="BS40" i="7"/>
  <c r="BP40" i="7"/>
  <c r="N107" i="49"/>
  <c r="BB41" i="49"/>
  <c r="F41" i="49"/>
  <c r="D107" i="49"/>
  <c r="S29" i="2"/>
  <c r="R30" i="2"/>
  <c r="J202" i="41"/>
  <c r="H203" i="41"/>
  <c r="J203" i="41" s="1"/>
  <c r="R38" i="6"/>
  <c r="AE6" i="26"/>
  <c r="AB6" i="26"/>
  <c r="AD6" i="26"/>
  <c r="Z6" i="26"/>
  <c r="AC6" i="26"/>
  <c r="AR12" i="25" l="1"/>
  <c r="Z16" i="9" s="1"/>
  <c r="AR11" i="25"/>
  <c r="Z15" i="9" s="1"/>
  <c r="AR32" i="25"/>
  <c r="Z36" i="9" s="1"/>
  <c r="BX6" i="26"/>
  <c r="AR30" i="25"/>
  <c r="Z34" i="9" s="1"/>
  <c r="AR22" i="25"/>
  <c r="Z26" i="9" s="1"/>
  <c r="AA26" i="9" s="1"/>
  <c r="AR31" i="25"/>
  <c r="Z35" i="9" s="1"/>
  <c r="AA35" i="9" s="1"/>
  <c r="AR20" i="25"/>
  <c r="Z24" i="9" s="1"/>
  <c r="AA24" i="9" s="1"/>
  <c r="K8" i="34"/>
  <c r="N8" i="34"/>
  <c r="S333" i="51"/>
  <c r="T333" i="51"/>
  <c r="CJ42" i="5"/>
  <c r="CJ48" i="5" s="1"/>
  <c r="CL42" i="5"/>
  <c r="CL48" i="5" s="1"/>
  <c r="CG41" i="5"/>
  <c r="CG47" i="5" s="1"/>
  <c r="CM47" i="5" s="1"/>
  <c r="S237" i="51"/>
  <c r="T237" i="51"/>
  <c r="S204" i="51"/>
  <c r="T204" i="51"/>
  <c r="T305" i="51"/>
  <c r="S305" i="51"/>
  <c r="S304" i="51"/>
  <c r="T304" i="51"/>
  <c r="R306" i="51"/>
  <c r="T337" i="51"/>
  <c r="S337" i="51"/>
  <c r="R349" i="51"/>
  <c r="CE42" i="5"/>
  <c r="CE48" i="5" s="1"/>
  <c r="J16" i="9"/>
  <c r="J12" i="9"/>
  <c r="J15" i="9"/>
  <c r="AJ8" i="9"/>
  <c r="AN8" i="9" s="1"/>
  <c r="J14" i="9"/>
  <c r="BE8" i="26"/>
  <c r="K75" i="7"/>
  <c r="J8" i="9"/>
  <c r="J13" i="9"/>
  <c r="J11" i="9"/>
  <c r="J10" i="9"/>
  <c r="J9" i="9"/>
  <c r="J17" i="9"/>
  <c r="BE11" i="26"/>
  <c r="BA4" i="26"/>
  <c r="T249" i="51"/>
  <c r="S249" i="51"/>
  <c r="S205" i="51"/>
  <c r="T205" i="51"/>
  <c r="R206" i="51"/>
  <c r="C36" i="2"/>
  <c r="BA8" i="26"/>
  <c r="BA9" i="26"/>
  <c r="AC6" i="35"/>
  <c r="AC7" i="35"/>
  <c r="AA6" i="35"/>
  <c r="Y6" i="35"/>
  <c r="Y7" i="35"/>
  <c r="AB7" i="35"/>
  <c r="BU5" i="24"/>
  <c r="AR5" i="24" s="1"/>
  <c r="BV5" i="24"/>
  <c r="AS5" i="24" s="1"/>
  <c r="BW5" i="24"/>
  <c r="AT5" i="24" s="1"/>
  <c r="BX5" i="24"/>
  <c r="AU5" i="24" s="1"/>
  <c r="BS5" i="24"/>
  <c r="AP5" i="24" s="1"/>
  <c r="BS4" i="26"/>
  <c r="BS5" i="26"/>
  <c r="BS6" i="26"/>
  <c r="I195" i="49"/>
  <c r="AT24" i="49"/>
  <c r="CA38" i="7"/>
  <c r="BX38" i="7"/>
  <c r="BW38" i="7"/>
  <c r="BV38" i="7"/>
  <c r="CF40" i="5"/>
  <c r="CF46" i="5" s="1"/>
  <c r="J74" i="7"/>
  <c r="J64" i="7"/>
  <c r="J84" i="7"/>
  <c r="J65" i="7"/>
  <c r="J63" i="7"/>
  <c r="AC114" i="49"/>
  <c r="DV55" i="49"/>
  <c r="S141" i="49"/>
  <c r="CH24" i="49"/>
  <c r="I141" i="49"/>
  <c r="AL24" i="49"/>
  <c r="AA16" i="9"/>
  <c r="AI18" i="24"/>
  <c r="L18" i="23"/>
  <c r="AT18" i="26" s="1"/>
  <c r="AJ18" i="26"/>
  <c r="AI17" i="24"/>
  <c r="L17" i="23"/>
  <c r="AT17" i="26" s="1"/>
  <c r="AJ17" i="26"/>
  <c r="S119" i="49"/>
  <c r="BZ60" i="49"/>
  <c r="I119" i="49"/>
  <c r="AD60" i="49"/>
  <c r="BA11" i="26"/>
  <c r="X155" i="49"/>
  <c r="DF38" i="49"/>
  <c r="N155" i="49"/>
  <c r="BJ38" i="49"/>
  <c r="CA37" i="7"/>
  <c r="BX37" i="7"/>
  <c r="BW37" i="7"/>
  <c r="BV37" i="7"/>
  <c r="D123" i="49"/>
  <c r="F64" i="49"/>
  <c r="AH124" i="49"/>
  <c r="ET65" i="49"/>
  <c r="CL40" i="5"/>
  <c r="CL46" i="5" s="1"/>
  <c r="D226" i="49"/>
  <c r="V55" i="49"/>
  <c r="K87" i="7"/>
  <c r="K77" i="7"/>
  <c r="D115" i="49"/>
  <c r="F56" i="49"/>
  <c r="AH116" i="49"/>
  <c r="ET57" i="49"/>
  <c r="AI29" i="24"/>
  <c r="L29" i="23"/>
  <c r="AT29" i="26" s="1"/>
  <c r="AJ29" i="26"/>
  <c r="AC121" i="49"/>
  <c r="DV62" i="49"/>
  <c r="S121" i="49"/>
  <c r="BZ62" i="49"/>
  <c r="BN34" i="7"/>
  <c r="BS34" i="7"/>
  <c r="BP34" i="7"/>
  <c r="BO34" i="7"/>
  <c r="D172" i="49"/>
  <c r="N55" i="49"/>
  <c r="I209" i="49"/>
  <c r="AT38" i="49"/>
  <c r="I87" i="7"/>
  <c r="I77" i="7"/>
  <c r="U30" i="2"/>
  <c r="F46" i="2" s="1"/>
  <c r="X117" i="49"/>
  <c r="CX58" i="49"/>
  <c r="J66" i="7"/>
  <c r="J76" i="7"/>
  <c r="J67" i="7"/>
  <c r="J86" i="7"/>
  <c r="AK7" i="35"/>
  <c r="AJ9" i="25"/>
  <c r="AH9" i="25"/>
  <c r="N122" i="49"/>
  <c r="BB63" i="49"/>
  <c r="D122" i="49"/>
  <c r="F63" i="49"/>
  <c r="X195" i="49"/>
  <c r="DN24" i="49"/>
  <c r="CH42" i="5"/>
  <c r="CH48" i="5" s="1"/>
  <c r="D23" i="41"/>
  <c r="AA15" i="9"/>
  <c r="AI16" i="24"/>
  <c r="L16" i="23"/>
  <c r="AT16" i="26" s="1"/>
  <c r="AJ16" i="26"/>
  <c r="AI14" i="24"/>
  <c r="L14" i="23"/>
  <c r="AT14" i="26" s="1"/>
  <c r="AJ14" i="26"/>
  <c r="S5" i="51"/>
  <c r="T5" i="51"/>
  <c r="AC155" i="49"/>
  <c r="ED38" i="49"/>
  <c r="S123" i="49"/>
  <c r="BZ64" i="49"/>
  <c r="I123" i="49"/>
  <c r="AD64" i="49"/>
  <c r="BA13" i="26"/>
  <c r="I226" i="49"/>
  <c r="AT55" i="49"/>
  <c r="K60" i="7"/>
  <c r="K72" i="7"/>
  <c r="K61" i="7"/>
  <c r="K59" i="7"/>
  <c r="K62" i="7"/>
  <c r="K82" i="7"/>
  <c r="M9" i="34"/>
  <c r="J10" i="34" s="1"/>
  <c r="L9" i="34"/>
  <c r="S115" i="49"/>
  <c r="BZ56" i="49"/>
  <c r="I115" i="49"/>
  <c r="AD56" i="49"/>
  <c r="D130" i="49"/>
  <c r="N13" i="49"/>
  <c r="L27" i="23"/>
  <c r="AT27" i="26" s="1"/>
  <c r="AI27" i="24"/>
  <c r="AJ27" i="26"/>
  <c r="D120" i="49"/>
  <c r="F61" i="49"/>
  <c r="N125" i="49"/>
  <c r="BB66" i="49"/>
  <c r="D125" i="49"/>
  <c r="F66" i="49"/>
  <c r="R6" i="51"/>
  <c r="T4" i="51"/>
  <c r="S4" i="51"/>
  <c r="S172" i="49"/>
  <c r="CH55" i="49"/>
  <c r="I172" i="49"/>
  <c r="AL55" i="49"/>
  <c r="AB4" i="35"/>
  <c r="AB5" i="35"/>
  <c r="I117" i="49"/>
  <c r="AD58" i="49"/>
  <c r="S122" i="49"/>
  <c r="BZ63" i="49"/>
  <c r="I122" i="49"/>
  <c r="AD63" i="49"/>
  <c r="N195" i="49"/>
  <c r="BR24" i="49"/>
  <c r="X141" i="49"/>
  <c r="DF24" i="49"/>
  <c r="N141" i="49"/>
  <c r="BJ24" i="49"/>
  <c r="AA36" i="9"/>
  <c r="L19" i="23"/>
  <c r="AT19" i="26" s="1"/>
  <c r="AJ19" i="26"/>
  <c r="AI19" i="24"/>
  <c r="R116" i="32"/>
  <c r="P117" i="32"/>
  <c r="X119" i="49"/>
  <c r="CX60" i="49"/>
  <c r="N119" i="49"/>
  <c r="BB60" i="49"/>
  <c r="AB33" i="9"/>
  <c r="D124" i="49"/>
  <c r="F65" i="49"/>
  <c r="CI40" i="5"/>
  <c r="CI46" i="5" s="1"/>
  <c r="D116" i="49"/>
  <c r="F57" i="49"/>
  <c r="N130" i="49"/>
  <c r="BJ13" i="49"/>
  <c r="AI30" i="24"/>
  <c r="L30" i="23"/>
  <c r="AT30" i="26" s="1"/>
  <c r="AJ30" i="26"/>
  <c r="I120" i="49"/>
  <c r="AD61" i="49"/>
  <c r="AH121" i="49"/>
  <c r="ET62" i="49"/>
  <c r="X121" i="49"/>
  <c r="CX62" i="49"/>
  <c r="J57" i="7"/>
  <c r="J81" i="7"/>
  <c r="J58" i="7"/>
  <c r="J56" i="7"/>
  <c r="J71" i="7"/>
  <c r="C35" i="2"/>
  <c r="AC125" i="49"/>
  <c r="DV66" i="49"/>
  <c r="S125" i="49"/>
  <c r="BZ66" i="49"/>
  <c r="N118" i="49"/>
  <c r="BB59" i="49"/>
  <c r="D118" i="49"/>
  <c r="F59" i="49"/>
  <c r="S37" i="51"/>
  <c r="T37" i="51"/>
  <c r="R47" i="51"/>
  <c r="X209" i="49"/>
  <c r="DN38" i="49"/>
  <c r="N209" i="49"/>
  <c r="BR38" i="49"/>
  <c r="AH117" i="49"/>
  <c r="ET58" i="49"/>
  <c r="AF10" i="25"/>
  <c r="AE9" i="25"/>
  <c r="AG10" i="25"/>
  <c r="AI9" i="25"/>
  <c r="DM25" i="49"/>
  <c r="CR25" i="49"/>
  <c r="T196" i="49" s="1"/>
  <c r="AQ25" i="49"/>
  <c r="G196" i="49" s="1"/>
  <c r="U25" i="49"/>
  <c r="BU25" i="49"/>
  <c r="FL25" i="49"/>
  <c r="AI196" i="49" s="1"/>
  <c r="DK25" i="49"/>
  <c r="V196" i="49" s="1"/>
  <c r="CO25" i="49"/>
  <c r="BT25" i="49"/>
  <c r="O196" i="49" s="1"/>
  <c r="S25" i="49"/>
  <c r="B196" i="49" s="1"/>
  <c r="H123" i="7"/>
  <c r="AW25" i="49"/>
  <c r="FI25" i="49"/>
  <c r="EN25" i="49"/>
  <c r="AD196" i="49" s="1"/>
  <c r="BQ25" i="49"/>
  <c r="AV25" i="49"/>
  <c r="J196" i="49" s="1"/>
  <c r="DQ25" i="49"/>
  <c r="Y25" i="49"/>
  <c r="EK25" i="49"/>
  <c r="DP25" i="49"/>
  <c r="Y196" i="49" s="1"/>
  <c r="BO25" i="49"/>
  <c r="L196" i="49" s="1"/>
  <c r="AS25" i="49"/>
  <c r="X25" i="49"/>
  <c r="E196" i="49" s="1"/>
  <c r="AC195" i="49"/>
  <c r="EL24" i="49"/>
  <c r="S195" i="49"/>
  <c r="CP24" i="49"/>
  <c r="CG42" i="5"/>
  <c r="CG48" i="5" s="1"/>
  <c r="AC141" i="49"/>
  <c r="ED24" i="49"/>
  <c r="AA34" i="9"/>
  <c r="AA25" i="9"/>
  <c r="AI20" i="24"/>
  <c r="L20" i="23"/>
  <c r="AT20" i="26" s="1"/>
  <c r="AJ20" i="26"/>
  <c r="BV35" i="7"/>
  <c r="CA35" i="7"/>
  <c r="BX35" i="7"/>
  <c r="BW35" i="7"/>
  <c r="AC119" i="49"/>
  <c r="DV60" i="49"/>
  <c r="BM39" i="49"/>
  <c r="FD39" i="49"/>
  <c r="AI156" i="49" s="1"/>
  <c r="DC39" i="49"/>
  <c r="V156" i="49" s="1"/>
  <c r="CG39" i="49"/>
  <c r="BL39" i="49"/>
  <c r="O156" i="49" s="1"/>
  <c r="K39" i="49"/>
  <c r="B156" i="49" s="1"/>
  <c r="AO39" i="49"/>
  <c r="FA39" i="49"/>
  <c r="EF39" i="49"/>
  <c r="AD156" i="49" s="1"/>
  <c r="BI39" i="49"/>
  <c r="AN39" i="49"/>
  <c r="J156" i="49" s="1"/>
  <c r="DI39" i="49"/>
  <c r="Q39" i="49"/>
  <c r="EC39" i="49"/>
  <c r="DH39" i="49"/>
  <c r="Y156" i="49" s="1"/>
  <c r="BG39" i="49"/>
  <c r="L156" i="49" s="1"/>
  <c r="AK39" i="49"/>
  <c r="P39" i="49"/>
  <c r="E156" i="49" s="1"/>
  <c r="DE39" i="49"/>
  <c r="CJ39" i="49"/>
  <c r="T156" i="49" s="1"/>
  <c r="AI39" i="49"/>
  <c r="G156" i="49" s="1"/>
  <c r="M39" i="49"/>
  <c r="F137" i="7"/>
  <c r="AH155" i="49"/>
  <c r="FB38" i="49"/>
  <c r="X123" i="49"/>
  <c r="CX64" i="49"/>
  <c r="N123" i="49"/>
  <c r="BB64" i="49"/>
  <c r="I124" i="49"/>
  <c r="AD65" i="49"/>
  <c r="CV24" i="5"/>
  <c r="DA24" i="5"/>
  <c r="CZ24" i="5"/>
  <c r="CY24" i="5"/>
  <c r="CX24" i="5"/>
  <c r="CW24" i="5"/>
  <c r="CJ40" i="5"/>
  <c r="CJ46" i="5" s="1"/>
  <c r="X226" i="49"/>
  <c r="DN55" i="49"/>
  <c r="N226" i="49"/>
  <c r="BR55" i="49"/>
  <c r="X115" i="49"/>
  <c r="CX56" i="49"/>
  <c r="N115" i="49"/>
  <c r="BB56" i="49"/>
  <c r="I116" i="49"/>
  <c r="AD57" i="49"/>
  <c r="BA5" i="26"/>
  <c r="X130" i="49"/>
  <c r="DF13" i="49"/>
  <c r="AI32" i="24"/>
  <c r="L32" i="23"/>
  <c r="AT32" i="26" s="1"/>
  <c r="AJ32" i="26"/>
  <c r="AB13" i="9"/>
  <c r="CF36" i="7"/>
  <c r="CE36" i="7"/>
  <c r="CD36" i="7"/>
  <c r="T105" i="51"/>
  <c r="S105" i="51"/>
  <c r="J60" i="7"/>
  <c r="J72" i="7"/>
  <c r="J61" i="7"/>
  <c r="J59" i="7"/>
  <c r="J62" i="7"/>
  <c r="J82" i="7"/>
  <c r="S118" i="49"/>
  <c r="BZ59" i="49"/>
  <c r="I118" i="49"/>
  <c r="AD59" i="49"/>
  <c r="X172" i="49"/>
  <c r="DF55" i="49"/>
  <c r="N172" i="49"/>
  <c r="BJ55" i="49"/>
  <c r="AB21" i="9"/>
  <c r="AC209" i="49"/>
  <c r="EL38" i="49"/>
  <c r="S209" i="49"/>
  <c r="CP38" i="49"/>
  <c r="N117" i="49"/>
  <c r="BB58" i="49"/>
  <c r="D117" i="49"/>
  <c r="F58" i="49"/>
  <c r="BA10" i="26"/>
  <c r="AH122" i="49"/>
  <c r="ET63" i="49"/>
  <c r="X122" i="49"/>
  <c r="CX63" i="49"/>
  <c r="CH40" i="5"/>
  <c r="CH46" i="5" s="1"/>
  <c r="N114" i="49"/>
  <c r="BB55" i="49"/>
  <c r="D114" i="49"/>
  <c r="F55" i="49"/>
  <c r="CA42" i="7"/>
  <c r="BX42" i="7"/>
  <c r="BW42" i="7"/>
  <c r="BV42" i="7"/>
  <c r="AR23" i="25"/>
  <c r="Z27" i="9" s="1"/>
  <c r="AR33" i="25"/>
  <c r="Z37" i="9" s="1"/>
  <c r="AR13" i="25"/>
  <c r="Z17" i="9" s="1"/>
  <c r="AI15" i="24"/>
  <c r="L15" i="23"/>
  <c r="AT15" i="26" s="1"/>
  <c r="AJ15" i="26"/>
  <c r="I57" i="7"/>
  <c r="I81" i="7"/>
  <c r="I58" i="7"/>
  <c r="I56" i="7"/>
  <c r="I71" i="7"/>
  <c r="U24" i="2"/>
  <c r="F40" i="2" s="1"/>
  <c r="C34" i="2"/>
  <c r="BA12" i="26"/>
  <c r="J87" i="7"/>
  <c r="J77" i="7"/>
  <c r="AC123" i="49"/>
  <c r="DV64" i="49"/>
  <c r="AC226" i="49"/>
  <c r="EL55" i="49"/>
  <c r="S226" i="49"/>
  <c r="CP55" i="49"/>
  <c r="AB31" i="9"/>
  <c r="AC115" i="49"/>
  <c r="DV56" i="49"/>
  <c r="AH130" i="49"/>
  <c r="FB13" i="49"/>
  <c r="I130" i="49"/>
  <c r="AL13" i="49"/>
  <c r="AI26" i="24"/>
  <c r="L26" i="23"/>
  <c r="AT26" i="26" s="1"/>
  <c r="AJ26" i="26"/>
  <c r="X120" i="49"/>
  <c r="CX61" i="49"/>
  <c r="N120" i="49"/>
  <c r="BB61" i="49"/>
  <c r="CA31" i="7"/>
  <c r="BX31" i="7"/>
  <c r="BW31" i="7"/>
  <c r="BV31" i="7"/>
  <c r="J83" i="7"/>
  <c r="J73" i="7"/>
  <c r="AH125" i="49"/>
  <c r="ET66" i="49"/>
  <c r="X125" i="49"/>
  <c r="CX66" i="49"/>
  <c r="AC172" i="49"/>
  <c r="ED55" i="49"/>
  <c r="Y5" i="35"/>
  <c r="Y4" i="35"/>
  <c r="BX40" i="7"/>
  <c r="BW40" i="7"/>
  <c r="BV40" i="7"/>
  <c r="CA40" i="7"/>
  <c r="AC117" i="49"/>
  <c r="DV58" i="49"/>
  <c r="S117" i="49"/>
  <c r="BZ58" i="49"/>
  <c r="AC122" i="49"/>
  <c r="DV63" i="49"/>
  <c r="CF41" i="7"/>
  <c r="CE41" i="7"/>
  <c r="CD41" i="7"/>
  <c r="AH195" i="49"/>
  <c r="FJ24" i="49"/>
  <c r="CF42" i="5"/>
  <c r="CF48" i="5" s="1"/>
  <c r="K83" i="7"/>
  <c r="K73" i="7"/>
  <c r="S114" i="49"/>
  <c r="BZ55" i="49"/>
  <c r="I114" i="49"/>
  <c r="AD55" i="49"/>
  <c r="BA6" i="26"/>
  <c r="BM25" i="49"/>
  <c r="FD25" i="49"/>
  <c r="AI142" i="49" s="1"/>
  <c r="DC25" i="49"/>
  <c r="V142" i="49" s="1"/>
  <c r="CG25" i="49"/>
  <c r="BL25" i="49"/>
  <c r="O142" i="49" s="1"/>
  <c r="K25" i="49"/>
  <c r="B142" i="49" s="1"/>
  <c r="AO25" i="49"/>
  <c r="FA25" i="49"/>
  <c r="EF25" i="49"/>
  <c r="AD142" i="49" s="1"/>
  <c r="BI25" i="49"/>
  <c r="AN25" i="49"/>
  <c r="J142" i="49" s="1"/>
  <c r="DI25" i="49"/>
  <c r="Q25" i="49"/>
  <c r="F123" i="7"/>
  <c r="EC25" i="49"/>
  <c r="DH25" i="49"/>
  <c r="Y142" i="49" s="1"/>
  <c r="BG25" i="49"/>
  <c r="L142" i="49" s="1"/>
  <c r="AK25" i="49"/>
  <c r="P25" i="49"/>
  <c r="E142" i="49" s="1"/>
  <c r="DE25" i="49"/>
  <c r="CJ25" i="49"/>
  <c r="T142" i="49" s="1"/>
  <c r="AI25" i="49"/>
  <c r="G142" i="49" s="1"/>
  <c r="M25" i="49"/>
  <c r="AH141" i="49"/>
  <c r="FB24" i="49"/>
  <c r="T10" i="25"/>
  <c r="AB12" i="9"/>
  <c r="AI21" i="24"/>
  <c r="L21" i="23"/>
  <c r="AT21" i="26" s="1"/>
  <c r="AJ21" i="26"/>
  <c r="I60" i="7"/>
  <c r="I72" i="7"/>
  <c r="I61" i="7"/>
  <c r="I59" i="7"/>
  <c r="I62" i="7"/>
  <c r="I82" i="7"/>
  <c r="U25" i="2"/>
  <c r="F41" i="2" s="1"/>
  <c r="AH119" i="49"/>
  <c r="ET60" i="49"/>
  <c r="D155" i="49"/>
  <c r="N38" i="49"/>
  <c r="K74" i="7"/>
  <c r="K64" i="7"/>
  <c r="K84" i="7"/>
  <c r="K65" i="7"/>
  <c r="K63" i="7"/>
  <c r="X124" i="49"/>
  <c r="CX65" i="49"/>
  <c r="N124" i="49"/>
  <c r="BB65" i="49"/>
  <c r="Q116" i="32"/>
  <c r="O117" i="32"/>
  <c r="X116" i="49"/>
  <c r="CX57" i="49"/>
  <c r="N116" i="49"/>
  <c r="BB57" i="49"/>
  <c r="FA14" i="49"/>
  <c r="DE14" i="49"/>
  <c r="BI14" i="49"/>
  <c r="M14" i="49"/>
  <c r="AO14" i="49"/>
  <c r="F112" i="7"/>
  <c r="EF14" i="49"/>
  <c r="AD131" i="49" s="1"/>
  <c r="DC14" i="49"/>
  <c r="V131" i="49" s="1"/>
  <c r="CJ14" i="49"/>
  <c r="T131" i="49" s="1"/>
  <c r="BG14" i="49"/>
  <c r="L131" i="49" s="1"/>
  <c r="AN14" i="49"/>
  <c r="J131" i="49" s="1"/>
  <c r="K14" i="49"/>
  <c r="B131" i="49" s="1"/>
  <c r="EC14" i="49"/>
  <c r="CG14" i="49"/>
  <c r="AK14" i="49"/>
  <c r="DI14" i="49"/>
  <c r="BM14" i="49"/>
  <c r="Q14" i="49"/>
  <c r="FD14" i="49"/>
  <c r="AI131" i="49" s="1"/>
  <c r="DH14" i="49"/>
  <c r="Y131" i="49" s="1"/>
  <c r="BL14" i="49"/>
  <c r="O131" i="49" s="1"/>
  <c r="AI14" i="49"/>
  <c r="G131" i="49" s="1"/>
  <c r="P14" i="49"/>
  <c r="E131" i="49" s="1"/>
  <c r="S130" i="49"/>
  <c r="CH13" i="49"/>
  <c r="AI25" i="24"/>
  <c r="L25" i="23"/>
  <c r="AT25" i="26" s="1"/>
  <c r="AJ25" i="26"/>
  <c r="L31" i="23"/>
  <c r="AT31" i="26" s="1"/>
  <c r="AJ31" i="26"/>
  <c r="AI31" i="24"/>
  <c r="AC120" i="49"/>
  <c r="DV61" i="49"/>
  <c r="S120" i="49"/>
  <c r="BZ61" i="49"/>
  <c r="I121" i="49"/>
  <c r="AD62" i="49"/>
  <c r="AH118" i="49"/>
  <c r="ET59" i="49"/>
  <c r="X118" i="49"/>
  <c r="CX59" i="49"/>
  <c r="BA7" i="26"/>
  <c r="AH209" i="49"/>
  <c r="FJ38" i="49"/>
  <c r="AC5" i="35"/>
  <c r="AC4" i="35"/>
  <c r="AK6" i="35"/>
  <c r="BP32" i="7"/>
  <c r="BO32" i="7"/>
  <c r="BN32" i="7"/>
  <c r="BS32" i="7"/>
  <c r="D195" i="49"/>
  <c r="V24" i="49"/>
  <c r="CG40" i="5"/>
  <c r="CG46" i="5" s="1"/>
  <c r="I63" i="7"/>
  <c r="I74" i="7"/>
  <c r="I64" i="7"/>
  <c r="I84" i="7"/>
  <c r="I65" i="7"/>
  <c r="U27" i="2"/>
  <c r="F43" i="2" s="1"/>
  <c r="AA14" i="9"/>
  <c r="L23" i="23"/>
  <c r="AT23" i="26" s="1"/>
  <c r="AI23" i="24"/>
  <c r="AJ23" i="26"/>
  <c r="S155" i="49"/>
  <c r="CH38" i="49"/>
  <c r="I155" i="49"/>
  <c r="AL38" i="49"/>
  <c r="I66" i="7"/>
  <c r="I76" i="7"/>
  <c r="I67" i="7"/>
  <c r="I86" i="7"/>
  <c r="U29" i="2"/>
  <c r="F45" i="2" s="1"/>
  <c r="AH123" i="49"/>
  <c r="ET64" i="49"/>
  <c r="AC124" i="49"/>
  <c r="DV65" i="49"/>
  <c r="S124" i="49"/>
  <c r="BZ65" i="49"/>
  <c r="E13" i="32"/>
  <c r="F13" i="32" s="1"/>
  <c r="D14" i="32"/>
  <c r="CK40" i="5"/>
  <c r="CK46" i="5" s="1"/>
  <c r="AH226" i="49"/>
  <c r="FJ55" i="49"/>
  <c r="AH115" i="49"/>
  <c r="ET56" i="49"/>
  <c r="AC116" i="49"/>
  <c r="DV57" i="49"/>
  <c r="S116" i="49"/>
  <c r="BZ57" i="49"/>
  <c r="AC130" i="49"/>
  <c r="ED13" i="49"/>
  <c r="AI28" i="24"/>
  <c r="L28" i="23"/>
  <c r="AT28" i="26" s="1"/>
  <c r="AJ28" i="26"/>
  <c r="AI33" i="24"/>
  <c r="L33" i="23"/>
  <c r="AT33" i="26" s="1"/>
  <c r="AJ33" i="26"/>
  <c r="AB11" i="9"/>
  <c r="AC118" i="49"/>
  <c r="DV59" i="49"/>
  <c r="R106" i="51"/>
  <c r="T104" i="51"/>
  <c r="S104" i="51"/>
  <c r="BM56" i="49"/>
  <c r="FD56" i="49"/>
  <c r="AI173" i="49" s="1"/>
  <c r="DC56" i="49"/>
  <c r="V173" i="49" s="1"/>
  <c r="CG56" i="49"/>
  <c r="BL56" i="49"/>
  <c r="O173" i="49" s="1"/>
  <c r="K56" i="49"/>
  <c r="B173" i="49" s="1"/>
  <c r="AO56" i="49"/>
  <c r="FA56" i="49"/>
  <c r="EF56" i="49"/>
  <c r="AD173" i="49" s="1"/>
  <c r="BI56" i="49"/>
  <c r="AN56" i="49"/>
  <c r="J173" i="49" s="1"/>
  <c r="DI56" i="49"/>
  <c r="Q56" i="49"/>
  <c r="EC56" i="49"/>
  <c r="DH56" i="49"/>
  <c r="Y173" i="49" s="1"/>
  <c r="BG56" i="49"/>
  <c r="L173" i="49" s="1"/>
  <c r="AK56" i="49"/>
  <c r="P56" i="49"/>
  <c r="E173" i="49" s="1"/>
  <c r="DE56" i="49"/>
  <c r="CJ56" i="49"/>
  <c r="T173" i="49" s="1"/>
  <c r="AI56" i="49"/>
  <c r="G173" i="49" s="1"/>
  <c r="M56" i="49"/>
  <c r="F154" i="7"/>
  <c r="AH172" i="49"/>
  <c r="FB55" i="49"/>
  <c r="BL7" i="26"/>
  <c r="BK7" i="26"/>
  <c r="BV7" i="26"/>
  <c r="DM39" i="49"/>
  <c r="CR39" i="49"/>
  <c r="T210" i="49" s="1"/>
  <c r="AQ39" i="49"/>
  <c r="G210" i="49" s="1"/>
  <c r="U39" i="49"/>
  <c r="BU39" i="49"/>
  <c r="FL39" i="49"/>
  <c r="AI210" i="49" s="1"/>
  <c r="DK39" i="49"/>
  <c r="V210" i="49" s="1"/>
  <c r="CO39" i="49"/>
  <c r="BT39" i="49"/>
  <c r="O210" i="49" s="1"/>
  <c r="S39" i="49"/>
  <c r="B210" i="49" s="1"/>
  <c r="AW39" i="49"/>
  <c r="FI39" i="49"/>
  <c r="EN39" i="49"/>
  <c r="AD210" i="49" s="1"/>
  <c r="BQ39" i="49"/>
  <c r="AV39" i="49"/>
  <c r="J210" i="49" s="1"/>
  <c r="DQ39" i="49"/>
  <c r="Y39" i="49"/>
  <c r="EK39" i="49"/>
  <c r="DP39" i="49"/>
  <c r="Y210" i="49" s="1"/>
  <c r="BO39" i="49"/>
  <c r="L210" i="49" s="1"/>
  <c r="AS39" i="49"/>
  <c r="X39" i="49"/>
  <c r="E210" i="49" s="1"/>
  <c r="H137" i="7"/>
  <c r="S8" i="26"/>
  <c r="T9" i="26"/>
  <c r="U9" i="26" s="1"/>
  <c r="W8" i="26"/>
  <c r="Y8" i="26" s="1"/>
  <c r="V8" i="26"/>
  <c r="C36" i="27"/>
  <c r="D35" i="27" s="1"/>
  <c r="D23" i="27"/>
  <c r="AB23" i="9"/>
  <c r="CX23" i="5"/>
  <c r="CW23" i="5"/>
  <c r="DA23" i="5"/>
  <c r="CZ23" i="5"/>
  <c r="CY23" i="5"/>
  <c r="CV23" i="5"/>
  <c r="J85" i="7"/>
  <c r="J75" i="7"/>
  <c r="AH114" i="49"/>
  <c r="ET55" i="49"/>
  <c r="X114" i="49"/>
  <c r="CX55" i="49"/>
  <c r="D141" i="49"/>
  <c r="N24" i="49"/>
  <c r="AB32" i="9"/>
  <c r="CF33" i="7"/>
  <c r="CE33" i="7"/>
  <c r="CD33" i="7"/>
  <c r="AI22" i="24"/>
  <c r="L22" i="23"/>
  <c r="AT22" i="26" s="1"/>
  <c r="AJ22" i="26"/>
  <c r="D119" i="49"/>
  <c r="F60" i="49"/>
  <c r="I83" i="7"/>
  <c r="I73" i="7"/>
  <c r="U26" i="2"/>
  <c r="DM56" i="49"/>
  <c r="CR56" i="49"/>
  <c r="T227" i="49" s="1"/>
  <c r="AQ56" i="49"/>
  <c r="G227" i="49" s="1"/>
  <c r="U56" i="49"/>
  <c r="BU56" i="49"/>
  <c r="FL56" i="49"/>
  <c r="AI227" i="49" s="1"/>
  <c r="DK56" i="49"/>
  <c r="V227" i="49" s="1"/>
  <c r="CO56" i="49"/>
  <c r="BT56" i="49"/>
  <c r="O227" i="49" s="1"/>
  <c r="S56" i="49"/>
  <c r="B227" i="49" s="1"/>
  <c r="AW56" i="49"/>
  <c r="FI56" i="49"/>
  <c r="EN56" i="49"/>
  <c r="AD227" i="49" s="1"/>
  <c r="BQ56" i="49"/>
  <c r="AV56" i="49"/>
  <c r="J227" i="49" s="1"/>
  <c r="DQ56" i="49"/>
  <c r="Y56" i="49"/>
  <c r="EK56" i="49"/>
  <c r="DP56" i="49"/>
  <c r="Y227" i="49" s="1"/>
  <c r="BO56" i="49"/>
  <c r="L227" i="49" s="1"/>
  <c r="AS56" i="49"/>
  <c r="X56" i="49"/>
  <c r="E227" i="49" s="1"/>
  <c r="H154" i="7"/>
  <c r="I85" i="7"/>
  <c r="I75" i="7"/>
  <c r="U28" i="2"/>
  <c r="AI24" i="24"/>
  <c r="L24" i="23"/>
  <c r="AT24" i="26" s="1"/>
  <c r="AJ24" i="26"/>
  <c r="AB22" i="9"/>
  <c r="AH120" i="49"/>
  <c r="ET61" i="49"/>
  <c r="N121" i="49"/>
  <c r="BB62" i="49"/>
  <c r="D121" i="49"/>
  <c r="F62" i="49"/>
  <c r="Z11" i="25"/>
  <c r="AB10" i="25"/>
  <c r="AC10" i="25" s="1"/>
  <c r="AA10" i="25"/>
  <c r="BV39" i="7"/>
  <c r="CA39" i="7"/>
  <c r="BX39" i="7"/>
  <c r="BW39" i="7"/>
  <c r="I125" i="49"/>
  <c r="AD66" i="49"/>
  <c r="T137" i="51"/>
  <c r="S137" i="51"/>
  <c r="R149" i="51"/>
  <c r="D209" i="49"/>
  <c r="V38" i="49"/>
  <c r="AA5" i="35"/>
  <c r="AA4" i="35"/>
  <c r="AD7" i="26"/>
  <c r="Z7" i="26"/>
  <c r="AE7" i="26"/>
  <c r="AB7" i="26"/>
  <c r="AC7" i="26"/>
  <c r="BY7" i="26" l="1"/>
  <c r="BM7" i="26"/>
  <c r="BU7" i="26"/>
  <c r="BQ7" i="26"/>
  <c r="BS7" i="26"/>
  <c r="BW7" i="26"/>
  <c r="BI8" i="26"/>
  <c r="BJ8" i="26" s="1"/>
  <c r="BV8" i="26" s="1"/>
  <c r="BH7" i="26"/>
  <c r="BT7" i="26"/>
  <c r="BP7" i="26"/>
  <c r="K9" i="34"/>
  <c r="BX7" i="26"/>
  <c r="N9" i="34"/>
  <c r="H12" i="6"/>
  <c r="G12" i="6"/>
  <c r="T349" i="51"/>
  <c r="S349" i="51"/>
  <c r="T306" i="51"/>
  <c r="T309" i="51" s="1"/>
  <c r="S306" i="51"/>
  <c r="S309" i="51" s="1"/>
  <c r="R311" i="51"/>
  <c r="R309" i="51"/>
  <c r="CM48" i="5"/>
  <c r="CM46" i="5"/>
  <c r="J32" i="9"/>
  <c r="J25" i="9"/>
  <c r="J30" i="9"/>
  <c r="J24" i="9"/>
  <c r="J33" i="9"/>
  <c r="J22" i="9"/>
  <c r="J18" i="9"/>
  <c r="J29" i="9"/>
  <c r="J19" i="9"/>
  <c r="BA30" i="26"/>
  <c r="J23" i="9"/>
  <c r="J31" i="9"/>
  <c r="BA22" i="26"/>
  <c r="J26" i="9"/>
  <c r="J37" i="9"/>
  <c r="J36" i="9"/>
  <c r="J34" i="9"/>
  <c r="BA27" i="26"/>
  <c r="J20" i="9"/>
  <c r="J28" i="9"/>
  <c r="J27" i="9"/>
  <c r="J35" i="9"/>
  <c r="J21" i="9"/>
  <c r="S9" i="9"/>
  <c r="Q9" i="9"/>
  <c r="V9" i="9"/>
  <c r="U9" i="9"/>
  <c r="T9" i="9"/>
  <c r="BA21" i="26"/>
  <c r="BA26" i="26"/>
  <c r="BA20" i="26"/>
  <c r="BA16" i="26"/>
  <c r="R209" i="51"/>
  <c r="S206" i="51"/>
  <c r="S209" i="51" s="1"/>
  <c r="R211" i="51"/>
  <c r="T206" i="51"/>
  <c r="T209" i="51" s="1"/>
  <c r="BA14" i="26"/>
  <c r="BA17" i="26"/>
  <c r="BA25" i="26"/>
  <c r="BA19" i="26"/>
  <c r="CH5" i="26"/>
  <c r="O42" i="9"/>
  <c r="CI5" i="26"/>
  <c r="P42" i="9"/>
  <c r="CE5" i="26"/>
  <c r="L42" i="9"/>
  <c r="N42" i="9"/>
  <c r="CG5" i="26"/>
  <c r="J12" i="6"/>
  <c r="I12" i="6"/>
  <c r="F12" i="6"/>
  <c r="E12" i="6"/>
  <c r="D12" i="6"/>
  <c r="S149" i="51"/>
  <c r="T149" i="51"/>
  <c r="Z12" i="25"/>
  <c r="AB11" i="25"/>
  <c r="AC11" i="25" s="1"/>
  <c r="AA11" i="25"/>
  <c r="I210" i="49"/>
  <c r="AT39" i="49"/>
  <c r="X173" i="49"/>
  <c r="DF56" i="49"/>
  <c r="N173" i="49"/>
  <c r="BJ56" i="49"/>
  <c r="BA33" i="26"/>
  <c r="D15" i="32"/>
  <c r="E14" i="32"/>
  <c r="F14" i="32" s="1"/>
  <c r="I5" i="6"/>
  <c r="G45" i="2"/>
  <c r="AB14" i="9"/>
  <c r="S131" i="49"/>
  <c r="CH14" i="49"/>
  <c r="E5" i="6"/>
  <c r="G41" i="2"/>
  <c r="AH142" i="49"/>
  <c r="FB25" i="49"/>
  <c r="AA17" i="9"/>
  <c r="I156" i="49"/>
  <c r="AL39" i="49"/>
  <c r="X196" i="49"/>
  <c r="DN25" i="49"/>
  <c r="BW34" i="7"/>
  <c r="BV34" i="7"/>
  <c r="CA34" i="7"/>
  <c r="BX34" i="7"/>
  <c r="AC173" i="49"/>
  <c r="ED56" i="49"/>
  <c r="S173" i="49"/>
  <c r="CH56" i="49"/>
  <c r="G5" i="6"/>
  <c r="G43" i="2"/>
  <c r="AC131" i="49"/>
  <c r="ED14" i="49"/>
  <c r="EC15" i="49"/>
  <c r="CG15" i="49"/>
  <c r="AK15" i="49"/>
  <c r="F113" i="7"/>
  <c r="DI15" i="49"/>
  <c r="BM15" i="49"/>
  <c r="Q15" i="49"/>
  <c r="FD15" i="49"/>
  <c r="AI132" i="49" s="1"/>
  <c r="DH15" i="49"/>
  <c r="Y132" i="49" s="1"/>
  <c r="BL15" i="49"/>
  <c r="O132" i="49" s="1"/>
  <c r="AI15" i="49"/>
  <c r="G132" i="49" s="1"/>
  <c r="P15" i="49"/>
  <c r="E132" i="49" s="1"/>
  <c r="FA15" i="49"/>
  <c r="DE15" i="49"/>
  <c r="BI15" i="49"/>
  <c r="M15" i="49"/>
  <c r="AO15" i="49"/>
  <c r="EF15" i="49"/>
  <c r="AD132" i="49" s="1"/>
  <c r="DC15" i="49"/>
  <c r="V132" i="49" s="1"/>
  <c r="CJ15" i="49"/>
  <c r="T132" i="49" s="1"/>
  <c r="BG15" i="49"/>
  <c r="L132" i="49" s="1"/>
  <c r="AN15" i="49"/>
  <c r="J132" i="49" s="1"/>
  <c r="K15" i="49"/>
  <c r="B132" i="49" s="1"/>
  <c r="D131" i="49"/>
  <c r="N14" i="49"/>
  <c r="Q117" i="32"/>
  <c r="O118" i="32"/>
  <c r="D142" i="49"/>
  <c r="N25" i="49"/>
  <c r="AA37" i="9"/>
  <c r="AB34" i="9"/>
  <c r="S6" i="51"/>
  <c r="S9" i="51" s="1"/>
  <c r="R11" i="51"/>
  <c r="T6" i="51"/>
  <c r="T9" i="51" s="1"/>
  <c r="R9" i="51"/>
  <c r="BA29" i="26"/>
  <c r="AB16" i="9"/>
  <c r="Y9" i="26"/>
  <c r="T10" i="26"/>
  <c r="U10" i="26" s="1"/>
  <c r="W9" i="26"/>
  <c r="V9" i="26"/>
  <c r="S9" i="26"/>
  <c r="N210" i="49"/>
  <c r="BR39" i="49"/>
  <c r="D210" i="49"/>
  <c r="V39" i="49"/>
  <c r="R111" i="51"/>
  <c r="T106" i="51"/>
  <c r="T109" i="51" s="1"/>
  <c r="S106" i="51"/>
  <c r="S109" i="51" s="1"/>
  <c r="R109" i="51"/>
  <c r="N131" i="49"/>
  <c r="BJ14" i="49"/>
  <c r="I142" i="49"/>
  <c r="AL25" i="49"/>
  <c r="AA27" i="9"/>
  <c r="CF42" i="7"/>
  <c r="CE42" i="7"/>
  <c r="CD42" i="7"/>
  <c r="X156" i="49"/>
  <c r="DF39" i="49"/>
  <c r="N156" i="49"/>
  <c r="BJ39" i="49"/>
  <c r="I196" i="49"/>
  <c r="AT25" i="49"/>
  <c r="AC210" i="49"/>
  <c r="EL39" i="49"/>
  <c r="S210" i="49"/>
  <c r="CP39" i="49"/>
  <c r="AH173" i="49"/>
  <c r="FB56" i="49"/>
  <c r="BA28" i="26"/>
  <c r="BX32" i="7"/>
  <c r="BW32" i="7"/>
  <c r="BV32" i="7"/>
  <c r="CA32" i="7"/>
  <c r="BA31" i="26"/>
  <c r="X131" i="49"/>
  <c r="DF14" i="49"/>
  <c r="AC156" i="49"/>
  <c r="ED39" i="49"/>
  <c r="S156" i="49"/>
  <c r="CH39" i="49"/>
  <c r="DQ26" i="49"/>
  <c r="Y26" i="49"/>
  <c r="H124" i="7"/>
  <c r="EK26" i="49"/>
  <c r="DP26" i="49"/>
  <c r="Y197" i="49" s="1"/>
  <c r="BO26" i="49"/>
  <c r="L197" i="49" s="1"/>
  <c r="AS26" i="49"/>
  <c r="X26" i="49"/>
  <c r="E197" i="49" s="1"/>
  <c r="DM26" i="49"/>
  <c r="CR26" i="49"/>
  <c r="T197" i="49" s="1"/>
  <c r="AQ26" i="49"/>
  <c r="G197" i="49" s="1"/>
  <c r="U26" i="49"/>
  <c r="BU26" i="49"/>
  <c r="FL26" i="49"/>
  <c r="AI197" i="49" s="1"/>
  <c r="DK26" i="49"/>
  <c r="V197" i="49" s="1"/>
  <c r="CO26" i="49"/>
  <c r="BT26" i="49"/>
  <c r="O197" i="49" s="1"/>
  <c r="S26" i="49"/>
  <c r="B197" i="49" s="1"/>
  <c r="AW26" i="49"/>
  <c r="FI26" i="49"/>
  <c r="EN26" i="49"/>
  <c r="AD197" i="49" s="1"/>
  <c r="BQ26" i="49"/>
  <c r="AV26" i="49"/>
  <c r="J197" i="49" s="1"/>
  <c r="AB36" i="9"/>
  <c r="M10" i="34"/>
  <c r="J11" i="34" s="1"/>
  <c r="L10" i="34"/>
  <c r="AB15" i="9"/>
  <c r="CF38" i="7"/>
  <c r="CE38" i="7"/>
  <c r="CD38" i="7"/>
  <c r="I227" i="49"/>
  <c r="AT56" i="49"/>
  <c r="S227" i="49"/>
  <c r="CP56" i="49"/>
  <c r="DE57" i="49"/>
  <c r="CJ57" i="49"/>
  <c r="T174" i="49" s="1"/>
  <c r="AI57" i="49"/>
  <c r="G174" i="49" s="1"/>
  <c r="M57" i="49"/>
  <c r="BM57" i="49"/>
  <c r="FD57" i="49"/>
  <c r="AI174" i="49" s="1"/>
  <c r="DC57" i="49"/>
  <c r="V174" i="49" s="1"/>
  <c r="CG57" i="49"/>
  <c r="BL57" i="49"/>
  <c r="O174" i="49" s="1"/>
  <c r="K57" i="49"/>
  <c r="B174" i="49" s="1"/>
  <c r="AO57" i="49"/>
  <c r="FA57" i="49"/>
  <c r="EF57" i="49"/>
  <c r="AD174" i="49" s="1"/>
  <c r="BI57" i="49"/>
  <c r="AN57" i="49"/>
  <c r="J174" i="49" s="1"/>
  <c r="DI57" i="49"/>
  <c r="Q57" i="49"/>
  <c r="EC57" i="49"/>
  <c r="DH57" i="49"/>
  <c r="Y174" i="49" s="1"/>
  <c r="BG57" i="49"/>
  <c r="L174" i="49" s="1"/>
  <c r="AK57" i="49"/>
  <c r="P57" i="49"/>
  <c r="E174" i="49" s="1"/>
  <c r="F155" i="7"/>
  <c r="AH131" i="49"/>
  <c r="FB14" i="49"/>
  <c r="X142" i="49"/>
  <c r="DF25" i="49"/>
  <c r="CF40" i="7"/>
  <c r="CE40" i="7"/>
  <c r="CD40" i="7"/>
  <c r="CF31" i="7"/>
  <c r="CE31" i="7"/>
  <c r="CD31" i="7"/>
  <c r="AB24" i="9"/>
  <c r="N196" i="49"/>
  <c r="BR25" i="49"/>
  <c r="AE10" i="25"/>
  <c r="E23" i="41"/>
  <c r="B24" i="41" s="1"/>
  <c r="H23" i="41"/>
  <c r="AH37" i="6"/>
  <c r="D103" i="6" s="1"/>
  <c r="AH34" i="6"/>
  <c r="D100" i="6" s="1"/>
  <c r="AH31" i="6"/>
  <c r="D97" i="6" s="1"/>
  <c r="AH36" i="6"/>
  <c r="D102" i="6" s="1"/>
  <c r="AH38" i="6"/>
  <c r="D104" i="6" s="1"/>
  <c r="AH35" i="6"/>
  <c r="D101" i="6" s="1"/>
  <c r="AH32" i="6"/>
  <c r="D98" i="6" s="1"/>
  <c r="AH33" i="6"/>
  <c r="D99" i="6" s="1"/>
  <c r="AH30" i="6"/>
  <c r="D96" i="6" s="1"/>
  <c r="AH29" i="6"/>
  <c r="D95" i="6" s="1"/>
  <c r="CE39" i="7"/>
  <c r="CD39" i="7"/>
  <c r="CF39" i="7"/>
  <c r="N227" i="49"/>
  <c r="BR56" i="49"/>
  <c r="AC227" i="49"/>
  <c r="EL56" i="49"/>
  <c r="AB26" i="9"/>
  <c r="AH210" i="49"/>
  <c r="FJ39" i="49"/>
  <c r="X210" i="49"/>
  <c r="DN39" i="49"/>
  <c r="BR7" i="26"/>
  <c r="D173" i="49"/>
  <c r="N56" i="49"/>
  <c r="AC142" i="49"/>
  <c r="ED25" i="49"/>
  <c r="N142" i="49"/>
  <c r="BJ25" i="49"/>
  <c r="AH156" i="49"/>
  <c r="FB39" i="49"/>
  <c r="AC196" i="49"/>
  <c r="EL25" i="49"/>
  <c r="D196" i="49"/>
  <c r="V25" i="49"/>
  <c r="T47" i="51"/>
  <c r="S47" i="51"/>
  <c r="R117" i="32"/>
  <c r="P118" i="32"/>
  <c r="BA24" i="26"/>
  <c r="D227" i="49"/>
  <c r="V56" i="49"/>
  <c r="F42" i="2"/>
  <c r="W61" i="39"/>
  <c r="F44" i="2"/>
  <c r="W60" i="39"/>
  <c r="AH227" i="49"/>
  <c r="FJ56" i="49"/>
  <c r="X227" i="49"/>
  <c r="DN56" i="49"/>
  <c r="D24" i="27"/>
  <c r="C37" i="27"/>
  <c r="D36" i="27" s="1"/>
  <c r="DQ40" i="49"/>
  <c r="Y40" i="49"/>
  <c r="EK40" i="49"/>
  <c r="DP40" i="49"/>
  <c r="Y211" i="49" s="1"/>
  <c r="BO40" i="49"/>
  <c r="L211" i="49" s="1"/>
  <c r="AS40" i="49"/>
  <c r="X40" i="49"/>
  <c r="E211" i="49" s="1"/>
  <c r="DM40" i="49"/>
  <c r="CR40" i="49"/>
  <c r="T211" i="49" s="1"/>
  <c r="AQ40" i="49"/>
  <c r="G211" i="49" s="1"/>
  <c r="U40" i="49"/>
  <c r="BU40" i="49"/>
  <c r="FL40" i="49"/>
  <c r="AI211" i="49" s="1"/>
  <c r="DK40" i="49"/>
  <c r="V211" i="49" s="1"/>
  <c r="CO40" i="49"/>
  <c r="BT40" i="49"/>
  <c r="O211" i="49" s="1"/>
  <c r="S40" i="49"/>
  <c r="B211" i="49" s="1"/>
  <c r="AW40" i="49"/>
  <c r="FI40" i="49"/>
  <c r="EN40" i="49"/>
  <c r="AD211" i="49" s="1"/>
  <c r="BQ40" i="49"/>
  <c r="AV40" i="49"/>
  <c r="J211" i="49" s="1"/>
  <c r="H138" i="7"/>
  <c r="BO7" i="26"/>
  <c r="I173" i="49"/>
  <c r="AL56" i="49"/>
  <c r="BA23" i="26"/>
  <c r="AB35" i="9"/>
  <c r="S142" i="49"/>
  <c r="CH25" i="49"/>
  <c r="D36" i="2"/>
  <c r="D35" i="2"/>
  <c r="BA15" i="26"/>
  <c r="DE40" i="49"/>
  <c r="CJ40" i="49"/>
  <c r="T157" i="49" s="1"/>
  <c r="AI40" i="49"/>
  <c r="G157" i="49" s="1"/>
  <c r="M40" i="49"/>
  <c r="BM40" i="49"/>
  <c r="FD40" i="49"/>
  <c r="AI157" i="49" s="1"/>
  <c r="DC40" i="49"/>
  <c r="V157" i="49" s="1"/>
  <c r="CG40" i="49"/>
  <c r="BL40" i="49"/>
  <c r="O157" i="49" s="1"/>
  <c r="K40" i="49"/>
  <c r="B157" i="49" s="1"/>
  <c r="AO40" i="49"/>
  <c r="FA40" i="49"/>
  <c r="EF40" i="49"/>
  <c r="AD157" i="49" s="1"/>
  <c r="BI40" i="49"/>
  <c r="AN40" i="49"/>
  <c r="J157" i="49" s="1"/>
  <c r="DI40" i="49"/>
  <c r="Q40" i="49"/>
  <c r="EC40" i="49"/>
  <c r="DH40" i="49"/>
  <c r="Y157" i="49" s="1"/>
  <c r="BG40" i="49"/>
  <c r="L157" i="49" s="1"/>
  <c r="AK40" i="49"/>
  <c r="P40" i="49"/>
  <c r="E157" i="49" s="1"/>
  <c r="F138" i="7"/>
  <c r="S196" i="49"/>
  <c r="CP25" i="49"/>
  <c r="AH10" i="25"/>
  <c r="AF11" i="25" s="1"/>
  <c r="AJ10" i="25"/>
  <c r="J5" i="6"/>
  <c r="G46" i="2"/>
  <c r="BA18" i="26"/>
  <c r="DQ57" i="49"/>
  <c r="Y57" i="49"/>
  <c r="EK57" i="49"/>
  <c r="DP57" i="49"/>
  <c r="Y228" i="49" s="1"/>
  <c r="BO57" i="49"/>
  <c r="L228" i="49" s="1"/>
  <c r="AS57" i="49"/>
  <c r="X57" i="49"/>
  <c r="E228" i="49" s="1"/>
  <c r="DM57" i="49"/>
  <c r="CR57" i="49"/>
  <c r="T228" i="49" s="1"/>
  <c r="AQ57" i="49"/>
  <c r="G228" i="49" s="1"/>
  <c r="U57" i="49"/>
  <c r="BU57" i="49"/>
  <c r="FL57" i="49"/>
  <c r="AI228" i="49" s="1"/>
  <c r="DK57" i="49"/>
  <c r="V228" i="49" s="1"/>
  <c r="CO57" i="49"/>
  <c r="BT57" i="49"/>
  <c r="O228" i="49" s="1"/>
  <c r="S57" i="49"/>
  <c r="B228" i="49" s="1"/>
  <c r="AW57" i="49"/>
  <c r="FI57" i="49"/>
  <c r="EN57" i="49"/>
  <c r="AD228" i="49" s="1"/>
  <c r="BQ57" i="49"/>
  <c r="AV57" i="49"/>
  <c r="J228" i="49" s="1"/>
  <c r="H155" i="7"/>
  <c r="I131" i="49"/>
  <c r="AL14" i="49"/>
  <c r="DE26" i="49"/>
  <c r="CJ26" i="49"/>
  <c r="T143" i="49" s="1"/>
  <c r="AI26" i="49"/>
  <c r="G143" i="49" s="1"/>
  <c r="M26" i="49"/>
  <c r="F124" i="7"/>
  <c r="BM26" i="49"/>
  <c r="FD26" i="49"/>
  <c r="AI143" i="49" s="1"/>
  <c r="DC26" i="49"/>
  <c r="V143" i="49" s="1"/>
  <c r="CG26" i="49"/>
  <c r="BL26" i="49"/>
  <c r="O143" i="49" s="1"/>
  <c r="K26" i="49"/>
  <c r="B143" i="49" s="1"/>
  <c r="AO26" i="49"/>
  <c r="FA26" i="49"/>
  <c r="EF26" i="49"/>
  <c r="AD143" i="49" s="1"/>
  <c r="BI26" i="49"/>
  <c r="AN26" i="49"/>
  <c r="J143" i="49" s="1"/>
  <c r="DI26" i="49"/>
  <c r="Q26" i="49"/>
  <c r="EC26" i="49"/>
  <c r="DH26" i="49"/>
  <c r="Y143" i="49" s="1"/>
  <c r="BG26" i="49"/>
  <c r="L143" i="49" s="1"/>
  <c r="AK26" i="49"/>
  <c r="P26" i="49"/>
  <c r="E143" i="49" s="1"/>
  <c r="D5" i="6"/>
  <c r="G40" i="2"/>
  <c r="BA32" i="26"/>
  <c r="D156" i="49"/>
  <c r="N39" i="49"/>
  <c r="CE35" i="7"/>
  <c r="CD35" i="7"/>
  <c r="CF35" i="7"/>
  <c r="AB25" i="9"/>
  <c r="AH196" i="49"/>
  <c r="FJ25" i="49"/>
  <c r="CF37" i="7"/>
  <c r="CE37" i="7"/>
  <c r="CD37" i="7"/>
  <c r="Z8" i="26"/>
  <c r="AE8" i="26"/>
  <c r="AD8" i="26"/>
  <c r="AB8" i="26"/>
  <c r="AC8" i="26"/>
  <c r="BK8" i="26" l="1"/>
  <c r="BL8" i="26"/>
  <c r="N10" i="34"/>
  <c r="BO8" i="26"/>
  <c r="S311" i="51"/>
  <c r="T311" i="51"/>
  <c r="O7" i="2"/>
  <c r="N7" i="2"/>
  <c r="P7" i="2" s="1"/>
  <c r="J43" i="2"/>
  <c r="O5" i="2"/>
  <c r="J41" i="2"/>
  <c r="N5" i="2"/>
  <c r="P5" i="2" s="1"/>
  <c r="J40" i="2"/>
  <c r="O4" i="2"/>
  <c r="N4" i="2"/>
  <c r="P4" i="2" s="1"/>
  <c r="N10" i="2"/>
  <c r="O10" i="2"/>
  <c r="J46" i="2"/>
  <c r="N9" i="2"/>
  <c r="J45" i="2"/>
  <c r="O9" i="2"/>
  <c r="AJ9" i="9"/>
  <c r="AN9" i="9" s="1"/>
  <c r="S211" i="51"/>
  <c r="T211" i="51"/>
  <c r="BX6" i="24"/>
  <c r="AU6" i="24" s="1"/>
  <c r="BS6" i="24"/>
  <c r="AP6" i="24" s="1"/>
  <c r="BU6" i="24"/>
  <c r="AR6" i="24" s="1"/>
  <c r="BV6" i="24"/>
  <c r="AS6" i="24" s="1"/>
  <c r="BW6" i="24"/>
  <c r="AT6" i="24" s="1"/>
  <c r="AH11" i="25"/>
  <c r="AJ11" i="25"/>
  <c r="AH143" i="49"/>
  <c r="FB26" i="49"/>
  <c r="AC228" i="49"/>
  <c r="EL57" i="49"/>
  <c r="AC211" i="49"/>
  <c r="EL40" i="49"/>
  <c r="AH174" i="49"/>
  <c r="FB57" i="49"/>
  <c r="X174" i="49"/>
  <c r="DF57" i="49"/>
  <c r="AH132" i="49"/>
  <c r="FB15" i="49"/>
  <c r="I132" i="49"/>
  <c r="AL15" i="49"/>
  <c r="CF34" i="7"/>
  <c r="CE34" i="7"/>
  <c r="CD34" i="7"/>
  <c r="D16" i="32"/>
  <c r="E15" i="32"/>
  <c r="F15" i="32" s="1"/>
  <c r="BS8" i="26"/>
  <c r="BW8" i="26"/>
  <c r="X143" i="49"/>
  <c r="DF26" i="49"/>
  <c r="N157" i="49"/>
  <c r="BJ40" i="49"/>
  <c r="D157" i="49"/>
  <c r="N40" i="49"/>
  <c r="F5" i="6"/>
  <c r="G42" i="2"/>
  <c r="DI58" i="49"/>
  <c r="Q58" i="49"/>
  <c r="EC58" i="49"/>
  <c r="DH58" i="49"/>
  <c r="Y175" i="49" s="1"/>
  <c r="BG58" i="49"/>
  <c r="L175" i="49" s="1"/>
  <c r="AK58" i="49"/>
  <c r="P58" i="49"/>
  <c r="E175" i="49" s="1"/>
  <c r="DE58" i="49"/>
  <c r="CJ58" i="49"/>
  <c r="T175" i="49" s="1"/>
  <c r="AI58" i="49"/>
  <c r="G175" i="49" s="1"/>
  <c r="M58" i="49"/>
  <c r="BM58" i="49"/>
  <c r="FD58" i="49"/>
  <c r="AI175" i="49" s="1"/>
  <c r="DC58" i="49"/>
  <c r="V175" i="49" s="1"/>
  <c r="CG58" i="49"/>
  <c r="BL58" i="49"/>
  <c r="O175" i="49" s="1"/>
  <c r="K58" i="49"/>
  <c r="B175" i="49" s="1"/>
  <c r="AO58" i="49"/>
  <c r="FA58" i="49"/>
  <c r="EF58" i="49"/>
  <c r="AD175" i="49" s="1"/>
  <c r="BI58" i="49"/>
  <c r="AN58" i="49"/>
  <c r="J175" i="49" s="1"/>
  <c r="F156" i="7"/>
  <c r="K10" i="34"/>
  <c r="AW27" i="49"/>
  <c r="FI27" i="49"/>
  <c r="EN27" i="49"/>
  <c r="AD198" i="49" s="1"/>
  <c r="BQ27" i="49"/>
  <c r="AV27" i="49"/>
  <c r="J198" i="49" s="1"/>
  <c r="DQ27" i="49"/>
  <c r="Y27" i="49"/>
  <c r="EK27" i="49"/>
  <c r="DP27" i="49"/>
  <c r="Y198" i="49" s="1"/>
  <c r="BO27" i="49"/>
  <c r="L198" i="49" s="1"/>
  <c r="AS27" i="49"/>
  <c r="X27" i="49"/>
  <c r="E198" i="49" s="1"/>
  <c r="DM27" i="49"/>
  <c r="CR27" i="49"/>
  <c r="T198" i="49" s="1"/>
  <c r="AQ27" i="49"/>
  <c r="G198" i="49" s="1"/>
  <c r="U27" i="49"/>
  <c r="H125" i="7"/>
  <c r="BU27" i="49"/>
  <c r="FL27" i="49"/>
  <c r="AI198" i="49" s="1"/>
  <c r="DK27" i="49"/>
  <c r="V198" i="49" s="1"/>
  <c r="CO27" i="49"/>
  <c r="BT27" i="49"/>
  <c r="O198" i="49" s="1"/>
  <c r="S27" i="49"/>
  <c r="B198" i="49" s="1"/>
  <c r="S132" i="49"/>
  <c r="CH15" i="49"/>
  <c r="BI9" i="26"/>
  <c r="BJ9" i="26" s="1"/>
  <c r="BH8" i="26"/>
  <c r="AH26" i="6"/>
  <c r="D92" i="6" s="1"/>
  <c r="AH23" i="6"/>
  <c r="D89" i="6" s="1"/>
  <c r="AH27" i="6"/>
  <c r="D93" i="6" s="1"/>
  <c r="AH24" i="6"/>
  <c r="D90" i="6" s="1"/>
  <c r="AH22" i="6"/>
  <c r="D88" i="6" s="1"/>
  <c r="AH25" i="6"/>
  <c r="D91" i="6" s="1"/>
  <c r="AH20" i="6"/>
  <c r="D86" i="6" s="1"/>
  <c r="AH28" i="6"/>
  <c r="D94" i="6" s="1"/>
  <c r="AH21" i="6"/>
  <c r="D87" i="6" s="1"/>
  <c r="AH19" i="6"/>
  <c r="D85" i="6" s="1"/>
  <c r="AW58" i="49"/>
  <c r="FI58" i="49"/>
  <c r="EN58" i="49"/>
  <c r="AD229" i="49" s="1"/>
  <c r="BQ58" i="49"/>
  <c r="AV58" i="49"/>
  <c r="J229" i="49" s="1"/>
  <c r="DQ58" i="49"/>
  <c r="Y58" i="49"/>
  <c r="EK58" i="49"/>
  <c r="DP58" i="49"/>
  <c r="Y229" i="49" s="1"/>
  <c r="BO58" i="49"/>
  <c r="L229" i="49" s="1"/>
  <c r="AS58" i="49"/>
  <c r="X58" i="49"/>
  <c r="E229" i="49" s="1"/>
  <c r="DM58" i="49"/>
  <c r="CR58" i="49"/>
  <c r="T229" i="49" s="1"/>
  <c r="AQ58" i="49"/>
  <c r="G229" i="49" s="1"/>
  <c r="U58" i="49"/>
  <c r="BU58" i="49"/>
  <c r="FL58" i="49"/>
  <c r="AI229" i="49" s="1"/>
  <c r="DK58" i="49"/>
  <c r="V229" i="49" s="1"/>
  <c r="CO58" i="49"/>
  <c r="BT58" i="49"/>
  <c r="O229" i="49" s="1"/>
  <c r="S58" i="49"/>
  <c r="B229" i="49" s="1"/>
  <c r="H156" i="7"/>
  <c r="AC157" i="49"/>
  <c r="ED40" i="49"/>
  <c r="S157" i="49"/>
  <c r="CH40" i="49"/>
  <c r="AW41" i="49"/>
  <c r="FI41" i="49"/>
  <c r="EN41" i="49"/>
  <c r="AD212" i="49" s="1"/>
  <c r="BQ41" i="49"/>
  <c r="AV41" i="49"/>
  <c r="J212" i="49" s="1"/>
  <c r="DQ41" i="49"/>
  <c r="Y41" i="49"/>
  <c r="EK41" i="49"/>
  <c r="DP41" i="49"/>
  <c r="Y212" i="49" s="1"/>
  <c r="BO41" i="49"/>
  <c r="L212" i="49" s="1"/>
  <c r="AS41" i="49"/>
  <c r="X41" i="49"/>
  <c r="E212" i="49" s="1"/>
  <c r="DM41" i="49"/>
  <c r="CR41" i="49"/>
  <c r="T212" i="49" s="1"/>
  <c r="AQ41" i="49"/>
  <c r="G212" i="49" s="1"/>
  <c r="U41" i="49"/>
  <c r="BU41" i="49"/>
  <c r="FL41" i="49"/>
  <c r="AI212" i="49" s="1"/>
  <c r="DK41" i="49"/>
  <c r="V212" i="49" s="1"/>
  <c r="CO41" i="49"/>
  <c r="BT41" i="49"/>
  <c r="O212" i="49" s="1"/>
  <c r="S41" i="49"/>
  <c r="B212" i="49" s="1"/>
  <c r="H139" i="7"/>
  <c r="S111" i="51"/>
  <c r="T111" i="51"/>
  <c r="V10" i="26"/>
  <c r="S10" i="26"/>
  <c r="T11" i="26"/>
  <c r="U11" i="26" s="1"/>
  <c r="W10" i="26"/>
  <c r="Y10" i="26" s="1"/>
  <c r="AC132" i="49"/>
  <c r="ED15" i="49"/>
  <c r="BT8" i="26"/>
  <c r="BP8" i="26"/>
  <c r="C58" i="7"/>
  <c r="L58" i="7" s="1"/>
  <c r="C81" i="7"/>
  <c r="L81" i="7" s="1"/>
  <c r="C56" i="7"/>
  <c r="L56" i="7" s="1"/>
  <c r="D36" i="7"/>
  <c r="L58" i="49" s="1"/>
  <c r="C175" i="49" s="1"/>
  <c r="C71" i="7"/>
  <c r="C57" i="7"/>
  <c r="L57" i="7" s="1"/>
  <c r="C50" i="2"/>
  <c r="F50" i="2"/>
  <c r="I143" i="49"/>
  <c r="AL26" i="49"/>
  <c r="AG11" i="25"/>
  <c r="I174" i="49"/>
  <c r="AL57" i="49"/>
  <c r="L11" i="34"/>
  <c r="M11" i="34"/>
  <c r="J12" i="34" s="1"/>
  <c r="N197" i="49"/>
  <c r="BR26" i="49"/>
  <c r="D197" i="49"/>
  <c r="V26" i="49"/>
  <c r="T11" i="51"/>
  <c r="S11" i="51"/>
  <c r="Q118" i="32"/>
  <c r="O119" i="32"/>
  <c r="BM8" i="26"/>
  <c r="BX8" i="26"/>
  <c r="N228" i="49"/>
  <c r="BR57" i="49"/>
  <c r="D228" i="49"/>
  <c r="V57" i="49"/>
  <c r="D42" i="7"/>
  <c r="D52" i="7" s="1"/>
  <c r="C87" i="7"/>
  <c r="L87" i="7" s="1"/>
  <c r="C77" i="7"/>
  <c r="F56" i="2"/>
  <c r="C56" i="2"/>
  <c r="AH157" i="49"/>
  <c r="FB40" i="49"/>
  <c r="X157" i="49"/>
  <c r="DF40" i="49"/>
  <c r="C39" i="7"/>
  <c r="CE16" i="49" s="1"/>
  <c r="Q133" i="49" s="1"/>
  <c r="C40" i="7"/>
  <c r="EY27" i="49" s="1"/>
  <c r="AF144" i="49" s="1"/>
  <c r="D55" i="2"/>
  <c r="D51" i="2"/>
  <c r="D52" i="2"/>
  <c r="G56" i="2"/>
  <c r="G53" i="2"/>
  <c r="D56" i="2"/>
  <c r="G50" i="2"/>
  <c r="C43" i="2"/>
  <c r="D50" i="2"/>
  <c r="G52" i="2"/>
  <c r="D53" i="2"/>
  <c r="C44" i="2"/>
  <c r="G55" i="2"/>
  <c r="G51" i="2"/>
  <c r="N211" i="49"/>
  <c r="BR40" i="49"/>
  <c r="D211" i="49"/>
  <c r="V40" i="49"/>
  <c r="AI10" i="25"/>
  <c r="S197" i="49"/>
  <c r="CP26" i="49"/>
  <c r="I197" i="49"/>
  <c r="AT26" i="49"/>
  <c r="AB27" i="9"/>
  <c r="BU8" i="26"/>
  <c r="BQ8" i="26"/>
  <c r="AH39" i="6"/>
  <c r="D105" i="6" s="1"/>
  <c r="AH44" i="6"/>
  <c r="D110" i="6" s="1"/>
  <c r="AH46" i="6"/>
  <c r="D112" i="6" s="1"/>
  <c r="AH40" i="6"/>
  <c r="D106" i="6" s="1"/>
  <c r="N143" i="49"/>
  <c r="BJ26" i="49"/>
  <c r="DI27" i="49"/>
  <c r="Q27" i="49"/>
  <c r="EC27" i="49"/>
  <c r="DH27" i="49"/>
  <c r="Y144" i="49" s="1"/>
  <c r="BG27" i="49"/>
  <c r="L144" i="49" s="1"/>
  <c r="AK27" i="49"/>
  <c r="P27" i="49"/>
  <c r="E144" i="49" s="1"/>
  <c r="DE27" i="49"/>
  <c r="CJ27" i="49"/>
  <c r="T144" i="49" s="1"/>
  <c r="AI27" i="49"/>
  <c r="G144" i="49" s="1"/>
  <c r="M27" i="49"/>
  <c r="BM27" i="49"/>
  <c r="FD27" i="49"/>
  <c r="AI144" i="49" s="1"/>
  <c r="DC27" i="49"/>
  <c r="V144" i="49" s="1"/>
  <c r="CG27" i="49"/>
  <c r="BL27" i="49"/>
  <c r="O144" i="49" s="1"/>
  <c r="K27" i="49"/>
  <c r="B144" i="49" s="1"/>
  <c r="AO27" i="49"/>
  <c r="F125" i="7"/>
  <c r="FA27" i="49"/>
  <c r="EF27" i="49"/>
  <c r="AD144" i="49" s="1"/>
  <c r="CE27" i="49"/>
  <c r="Q144" i="49" s="1"/>
  <c r="BI27" i="49"/>
  <c r="AN27" i="49"/>
  <c r="J144" i="49" s="1"/>
  <c r="S228" i="49"/>
  <c r="CP57" i="49"/>
  <c r="I228" i="49"/>
  <c r="AT57" i="49"/>
  <c r="DI41" i="49"/>
  <c r="Q41" i="49"/>
  <c r="EC41" i="49"/>
  <c r="DH41" i="49"/>
  <c r="Y158" i="49" s="1"/>
  <c r="BG41" i="49"/>
  <c r="L158" i="49" s="1"/>
  <c r="AK41" i="49"/>
  <c r="P41" i="49"/>
  <c r="E158" i="49" s="1"/>
  <c r="DE41" i="49"/>
  <c r="CJ41" i="49"/>
  <c r="T158" i="49" s="1"/>
  <c r="AI41" i="49"/>
  <c r="G158" i="49" s="1"/>
  <c r="M41" i="49"/>
  <c r="BM41" i="49"/>
  <c r="FD41" i="49"/>
  <c r="AI158" i="49" s="1"/>
  <c r="DC41" i="49"/>
  <c r="V158" i="49" s="1"/>
  <c r="CG41" i="49"/>
  <c r="BL41" i="49"/>
  <c r="O158" i="49" s="1"/>
  <c r="K41" i="49"/>
  <c r="B158" i="49" s="1"/>
  <c r="AO41" i="49"/>
  <c r="FA41" i="49"/>
  <c r="EF41" i="49"/>
  <c r="AD158" i="49" s="1"/>
  <c r="BI41" i="49"/>
  <c r="AN41" i="49"/>
  <c r="J158" i="49" s="1"/>
  <c r="F139" i="7"/>
  <c r="C42" i="7"/>
  <c r="C41" i="7"/>
  <c r="EI27" i="49" s="1"/>
  <c r="AA198" i="49" s="1"/>
  <c r="H53" i="2"/>
  <c r="H56" i="2"/>
  <c r="H52" i="2"/>
  <c r="C46" i="2"/>
  <c r="E51" i="2"/>
  <c r="E56" i="2"/>
  <c r="E52" i="2"/>
  <c r="H50" i="2"/>
  <c r="E53" i="2"/>
  <c r="E55" i="2"/>
  <c r="H55" i="2"/>
  <c r="H51" i="2"/>
  <c r="E50" i="2"/>
  <c r="C45" i="2"/>
  <c r="S211" i="49"/>
  <c r="CP40" i="49"/>
  <c r="I211" i="49"/>
  <c r="AT40" i="49"/>
  <c r="N174" i="49"/>
  <c r="BJ57" i="49"/>
  <c r="D174" i="49"/>
  <c r="N57" i="49"/>
  <c r="CF32" i="7"/>
  <c r="CE32" i="7"/>
  <c r="CD32" i="7"/>
  <c r="D132" i="49"/>
  <c r="N15" i="49"/>
  <c r="C74" i="7"/>
  <c r="C64" i="7"/>
  <c r="L64" i="7" s="1"/>
  <c r="D39" i="7"/>
  <c r="CF58" i="49" s="1"/>
  <c r="R175" i="49" s="1"/>
  <c r="C65" i="7"/>
  <c r="L65" i="7" s="1"/>
  <c r="C84" i="7"/>
  <c r="L84" i="7" s="1"/>
  <c r="C63" i="7"/>
  <c r="L63" i="7" s="1"/>
  <c r="F53" i="2"/>
  <c r="C53" i="2"/>
  <c r="C76" i="7"/>
  <c r="C67" i="7"/>
  <c r="L67" i="7" s="1"/>
  <c r="C86" i="7"/>
  <c r="L86" i="7" s="1"/>
  <c r="C66" i="7"/>
  <c r="L66" i="7" s="1"/>
  <c r="D41" i="7"/>
  <c r="EB58" i="49" s="1"/>
  <c r="AB175" i="49" s="1"/>
  <c r="C55" i="2"/>
  <c r="F55" i="2"/>
  <c r="BY8" i="26"/>
  <c r="AA12" i="25"/>
  <c r="AB12" i="25"/>
  <c r="AC12" i="25" s="1"/>
  <c r="Z13" i="25"/>
  <c r="AH48" i="6"/>
  <c r="D114" i="6" s="1"/>
  <c r="AH43" i="6"/>
  <c r="D109" i="6" s="1"/>
  <c r="AH45" i="6"/>
  <c r="D111" i="6" s="1"/>
  <c r="AH42" i="6"/>
  <c r="D108" i="6" s="1"/>
  <c r="AH41" i="6"/>
  <c r="D107" i="6" s="1"/>
  <c r="AH47" i="6"/>
  <c r="D113" i="6" s="1"/>
  <c r="AC143" i="49"/>
  <c r="ED26" i="49"/>
  <c r="S143" i="49"/>
  <c r="CH26" i="49"/>
  <c r="D143" i="49"/>
  <c r="N26" i="49"/>
  <c r="I23" i="41"/>
  <c r="K23" i="41" s="1"/>
  <c r="J23" i="41"/>
  <c r="L23" i="41" s="1"/>
  <c r="AC174" i="49"/>
  <c r="ED57" i="49"/>
  <c r="S174" i="49"/>
  <c r="CH57" i="49"/>
  <c r="AH197" i="49"/>
  <c r="FJ26" i="49"/>
  <c r="X197" i="49"/>
  <c r="DN26" i="49"/>
  <c r="N132" i="49"/>
  <c r="BJ15" i="49"/>
  <c r="AB17" i="9"/>
  <c r="C72" i="7"/>
  <c r="C61" i="7"/>
  <c r="L61" i="7" s="1"/>
  <c r="C59" i="7"/>
  <c r="L59" i="7" s="1"/>
  <c r="C62" i="7"/>
  <c r="L62" i="7" s="1"/>
  <c r="C82" i="7"/>
  <c r="L82" i="7" s="1"/>
  <c r="D37" i="7"/>
  <c r="AJ16" i="49" s="1"/>
  <c r="H133" i="49" s="1"/>
  <c r="C60" i="7"/>
  <c r="L60" i="7" s="1"/>
  <c r="C51" i="2"/>
  <c r="F51" i="2"/>
  <c r="BR8" i="26"/>
  <c r="AH228" i="49"/>
  <c r="FJ57" i="49"/>
  <c r="X228" i="49"/>
  <c r="DN57" i="49"/>
  <c r="I157" i="49"/>
  <c r="AL40" i="49"/>
  <c r="AH211" i="49"/>
  <c r="FJ40" i="49"/>
  <c r="X211" i="49"/>
  <c r="DN40" i="49"/>
  <c r="C38" i="27"/>
  <c r="D37" i="27" s="1"/>
  <c r="D25" i="27"/>
  <c r="H5" i="6"/>
  <c r="G44" i="2"/>
  <c r="R118" i="32"/>
  <c r="P119" i="32"/>
  <c r="C24" i="41"/>
  <c r="D24" i="41" s="1"/>
  <c r="F24" i="41"/>
  <c r="AC197" i="49"/>
  <c r="EL26" i="49"/>
  <c r="AB37" i="9"/>
  <c r="X132" i="49"/>
  <c r="DF15" i="49"/>
  <c r="BM16" i="49"/>
  <c r="L16" i="49"/>
  <c r="C133" i="49" s="1"/>
  <c r="F114" i="7"/>
  <c r="FD16" i="49"/>
  <c r="AI133" i="49" s="1"/>
  <c r="EC16" i="49"/>
  <c r="DC16" i="49"/>
  <c r="V133" i="49" s="1"/>
  <c r="BL16" i="49"/>
  <c r="O133" i="49" s="1"/>
  <c r="AK16" i="49"/>
  <c r="K16" i="49"/>
  <c r="B133" i="49" s="1"/>
  <c r="FA16" i="49"/>
  <c r="CJ16" i="49"/>
  <c r="T133" i="49" s="1"/>
  <c r="BI16" i="49"/>
  <c r="AI16" i="49"/>
  <c r="G133" i="49" s="1"/>
  <c r="DI16" i="49"/>
  <c r="BH16" i="49"/>
  <c r="M133" i="49" s="1"/>
  <c r="Q16" i="49"/>
  <c r="DH16" i="49"/>
  <c r="Y133" i="49" s="1"/>
  <c r="CG16" i="49"/>
  <c r="BG16" i="49"/>
  <c r="L133" i="49" s="1"/>
  <c r="P16" i="49"/>
  <c r="E133" i="49" s="1"/>
  <c r="AO16" i="49"/>
  <c r="EF16" i="49"/>
  <c r="AD133" i="49" s="1"/>
  <c r="DE16" i="49"/>
  <c r="AN16" i="49"/>
  <c r="J133" i="49" s="1"/>
  <c r="M16" i="49"/>
  <c r="AC9" i="26"/>
  <c r="Z9" i="26"/>
  <c r="AE9" i="26"/>
  <c r="AD9" i="26"/>
  <c r="AB9" i="26"/>
  <c r="N11" i="34" l="1"/>
  <c r="P10" i="2"/>
  <c r="H54" i="2"/>
  <c r="O8" i="2"/>
  <c r="N8" i="2"/>
  <c r="P8" i="2" s="1"/>
  <c r="J44" i="2"/>
  <c r="BH27" i="49"/>
  <c r="M144" i="49" s="1"/>
  <c r="BH41" i="49"/>
  <c r="M158" i="49" s="1"/>
  <c r="L27" i="49"/>
  <c r="C144" i="49" s="1"/>
  <c r="J42" i="2"/>
  <c r="O6" i="2"/>
  <c r="N6" i="2"/>
  <c r="P6" i="2" s="1"/>
  <c r="L41" i="49"/>
  <c r="C158" i="49" s="1"/>
  <c r="P9" i="2"/>
  <c r="EA16" i="49"/>
  <c r="AA133" i="49" s="1"/>
  <c r="EB16" i="49"/>
  <c r="AB133" i="49" s="1"/>
  <c r="T10" i="9"/>
  <c r="S10" i="9"/>
  <c r="Q10" i="9"/>
  <c r="V10" i="9"/>
  <c r="CE41" i="49"/>
  <c r="Q158" i="49" s="1"/>
  <c r="CF16" i="49"/>
  <c r="R133" i="49" s="1"/>
  <c r="EY16" i="49"/>
  <c r="AF133" i="49" s="1"/>
  <c r="EY41" i="49"/>
  <c r="AF158" i="49" s="1"/>
  <c r="EB41" i="49"/>
  <c r="AB158" i="49" s="1"/>
  <c r="O67" i="7"/>
  <c r="H24" i="41"/>
  <c r="J24" i="41" s="1"/>
  <c r="L24" i="41" s="1"/>
  <c r="P43" i="9"/>
  <c r="AH133" i="49"/>
  <c r="FB16" i="49"/>
  <c r="AC133" i="49"/>
  <c r="ED16" i="49"/>
  <c r="P86" i="7"/>
  <c r="T86" i="7"/>
  <c r="O65" i="7"/>
  <c r="O64" i="7"/>
  <c r="E54" i="2"/>
  <c r="CF42" i="49"/>
  <c r="R159" i="49" s="1"/>
  <c r="AO42" i="49"/>
  <c r="FA42" i="49"/>
  <c r="EF42" i="49"/>
  <c r="AD159" i="49" s="1"/>
  <c r="CE42" i="49"/>
  <c r="Q159" i="49" s="1"/>
  <c r="BI42" i="49"/>
  <c r="AN42" i="49"/>
  <c r="J159" i="49" s="1"/>
  <c r="DI42" i="49"/>
  <c r="BH42" i="49"/>
  <c r="M159" i="49" s="1"/>
  <c r="Q42" i="49"/>
  <c r="EY42" i="49"/>
  <c r="AF159" i="49" s="1"/>
  <c r="EC42" i="49"/>
  <c r="DH42" i="49"/>
  <c r="Y159" i="49" s="1"/>
  <c r="BG42" i="49"/>
  <c r="L159" i="49" s="1"/>
  <c r="AK42" i="49"/>
  <c r="P42" i="49"/>
  <c r="E159" i="49" s="1"/>
  <c r="EB42" i="49"/>
  <c r="AB159" i="49" s="1"/>
  <c r="AJ42" i="49"/>
  <c r="H159" i="49" s="1"/>
  <c r="EA42" i="49"/>
  <c r="AA159" i="49" s="1"/>
  <c r="DE42" i="49"/>
  <c r="CJ42" i="49"/>
  <c r="T159" i="49" s="1"/>
  <c r="AI42" i="49"/>
  <c r="G159" i="49" s="1"/>
  <c r="M42" i="49"/>
  <c r="BM42" i="49"/>
  <c r="L42" i="49"/>
  <c r="C159" i="49" s="1"/>
  <c r="FD42" i="49"/>
  <c r="AI159" i="49" s="1"/>
  <c r="DC42" i="49"/>
  <c r="V159" i="49" s="1"/>
  <c r="CG42" i="49"/>
  <c r="BL42" i="49"/>
  <c r="O159" i="49" s="1"/>
  <c r="K42" i="49"/>
  <c r="B159" i="49" s="1"/>
  <c r="F140" i="7"/>
  <c r="G40" i="7"/>
  <c r="FE17" i="49" s="1"/>
  <c r="EQ4" i="49"/>
  <c r="AF81" i="49" s="1"/>
  <c r="C50" i="7"/>
  <c r="EY9" i="49"/>
  <c r="AF126" i="49" s="1"/>
  <c r="EQ8" i="49"/>
  <c r="AF85" i="49" s="1"/>
  <c r="EQ6" i="49"/>
  <c r="AF83" i="49" s="1"/>
  <c r="EQ9" i="49"/>
  <c r="AF86" i="49" s="1"/>
  <c r="EQ7" i="49"/>
  <c r="AF84" i="49" s="1"/>
  <c r="EQ5" i="49"/>
  <c r="AF82" i="49" s="1"/>
  <c r="EQ15" i="49"/>
  <c r="AF92" i="49" s="1"/>
  <c r="EQ10" i="49"/>
  <c r="AF87" i="49" s="1"/>
  <c r="EQ12" i="49"/>
  <c r="AF89" i="49" s="1"/>
  <c r="EY21" i="49"/>
  <c r="AF138" i="49" s="1"/>
  <c r="EQ11" i="49"/>
  <c r="AF88" i="49" s="1"/>
  <c r="EQ13" i="49"/>
  <c r="AF90" i="49" s="1"/>
  <c r="EQ14" i="49"/>
  <c r="AF91" i="49" s="1"/>
  <c r="FG21" i="49"/>
  <c r="AF192" i="49" s="1"/>
  <c r="EY10" i="49"/>
  <c r="AF127" i="49" s="1"/>
  <c r="EQ21" i="49"/>
  <c r="AF93" i="49" s="1"/>
  <c r="EQ23" i="49"/>
  <c r="AF95" i="49" s="1"/>
  <c r="EY11" i="49"/>
  <c r="AF128" i="49" s="1"/>
  <c r="EQ25" i="49"/>
  <c r="AF97" i="49" s="1"/>
  <c r="EQ28" i="49"/>
  <c r="AF100" i="49" s="1"/>
  <c r="EQ24" i="49"/>
  <c r="AF96" i="49" s="1"/>
  <c r="EQ29" i="49"/>
  <c r="AF101" i="49" s="1"/>
  <c r="EQ36" i="49"/>
  <c r="AF102" i="49" s="1"/>
  <c r="EQ26" i="49"/>
  <c r="AF98" i="49" s="1"/>
  <c r="EY22" i="49"/>
  <c r="AF139" i="49" s="1"/>
  <c r="EQ27" i="49"/>
  <c r="AF99" i="49" s="1"/>
  <c r="FG36" i="49"/>
  <c r="AF207" i="49" s="1"/>
  <c r="EY36" i="49"/>
  <c r="AF153" i="49" s="1"/>
  <c r="FG22" i="49"/>
  <c r="AF193" i="49" s="1"/>
  <c r="EQ22" i="49"/>
  <c r="AF94" i="49" s="1"/>
  <c r="EQ43" i="49"/>
  <c r="AF109" i="49" s="1"/>
  <c r="EY54" i="49"/>
  <c r="AF171" i="49" s="1"/>
  <c r="EQ40" i="49"/>
  <c r="AF106" i="49" s="1"/>
  <c r="EQ44" i="49"/>
  <c r="AF110" i="49" s="1"/>
  <c r="EQ38" i="49"/>
  <c r="AF104" i="49" s="1"/>
  <c r="EY23" i="49"/>
  <c r="AF140" i="49" s="1"/>
  <c r="EQ46" i="49"/>
  <c r="AF112" i="49" s="1"/>
  <c r="FG37" i="49"/>
  <c r="AF208" i="49" s="1"/>
  <c r="EQ42" i="49"/>
  <c r="AF108" i="49" s="1"/>
  <c r="EY12" i="49"/>
  <c r="AF129" i="49" s="1"/>
  <c r="EY37" i="49"/>
  <c r="AF154" i="49" s="1"/>
  <c r="EQ39" i="49"/>
  <c r="AF105" i="49" s="1"/>
  <c r="EQ37" i="49"/>
  <c r="AF103" i="49" s="1"/>
  <c r="FG54" i="49"/>
  <c r="AF225" i="49" s="1"/>
  <c r="EQ41" i="49"/>
  <c r="AF107" i="49" s="1"/>
  <c r="EQ54" i="49"/>
  <c r="AF113" i="49" s="1"/>
  <c r="FG23" i="49"/>
  <c r="AF194" i="49" s="1"/>
  <c r="EQ45" i="49"/>
  <c r="AF111" i="49" s="1"/>
  <c r="EQ59" i="49"/>
  <c r="AF118" i="49" s="1"/>
  <c r="EQ57" i="49"/>
  <c r="AF116" i="49" s="1"/>
  <c r="EQ65" i="49"/>
  <c r="AF124" i="49" s="1"/>
  <c r="EQ61" i="49"/>
  <c r="AF120" i="49" s="1"/>
  <c r="EQ63" i="49"/>
  <c r="AF122" i="49" s="1"/>
  <c r="EQ58" i="49"/>
  <c r="AF117" i="49" s="1"/>
  <c r="EY55" i="49"/>
  <c r="AF172" i="49" s="1"/>
  <c r="EQ56" i="49"/>
  <c r="AF115" i="49" s="1"/>
  <c r="FG55" i="49"/>
  <c r="AF226" i="49" s="1"/>
  <c r="EQ64" i="49"/>
  <c r="AF123" i="49" s="1"/>
  <c r="FG38" i="49"/>
  <c r="AF209" i="49" s="1"/>
  <c r="EQ60" i="49"/>
  <c r="AF119" i="49" s="1"/>
  <c r="EY24" i="49"/>
  <c r="AF141" i="49" s="1"/>
  <c r="FG24" i="49"/>
  <c r="AF195" i="49" s="1"/>
  <c r="EQ66" i="49"/>
  <c r="AF125" i="49" s="1"/>
  <c r="EY38" i="49"/>
  <c r="AF155" i="49" s="1"/>
  <c r="EQ62" i="49"/>
  <c r="AF121" i="49" s="1"/>
  <c r="EY13" i="49"/>
  <c r="AF130" i="49" s="1"/>
  <c r="EQ55" i="49"/>
  <c r="AF114" i="49" s="1"/>
  <c r="FG25" i="49"/>
  <c r="AF196" i="49" s="1"/>
  <c r="EY25" i="49"/>
  <c r="AF142" i="49" s="1"/>
  <c r="FG56" i="49"/>
  <c r="AF227" i="49" s="1"/>
  <c r="EY39" i="49"/>
  <c r="AF156" i="49" s="1"/>
  <c r="FG39" i="49"/>
  <c r="AF210" i="49" s="1"/>
  <c r="EY56" i="49"/>
  <c r="AF173" i="49" s="1"/>
  <c r="EY14" i="49"/>
  <c r="AF131" i="49" s="1"/>
  <c r="EY57" i="49"/>
  <c r="AF174" i="49" s="1"/>
  <c r="EY26" i="49"/>
  <c r="AF143" i="49" s="1"/>
  <c r="EY15" i="49"/>
  <c r="AF132" i="49" s="1"/>
  <c r="EY40" i="49"/>
  <c r="AF157" i="49" s="1"/>
  <c r="FG40" i="49"/>
  <c r="AF211" i="49" s="1"/>
  <c r="FG57" i="49"/>
  <c r="AF228" i="49" s="1"/>
  <c r="FG26" i="49"/>
  <c r="AF197" i="49" s="1"/>
  <c r="L77" i="7"/>
  <c r="T77" i="7" s="1"/>
  <c r="K11" i="34"/>
  <c r="S212" i="49"/>
  <c r="CP41" i="49"/>
  <c r="I212" i="49"/>
  <c r="AT41" i="49"/>
  <c r="S229" i="49"/>
  <c r="CP58" i="49"/>
  <c r="I229" i="49"/>
  <c r="AT58" i="49"/>
  <c r="S198" i="49"/>
  <c r="CP27" i="49"/>
  <c r="D198" i="49"/>
  <c r="V27" i="49"/>
  <c r="CN27" i="49"/>
  <c r="R198" i="49" s="1"/>
  <c r="AH175" i="49"/>
  <c r="FB58" i="49"/>
  <c r="X175" i="49"/>
  <c r="DF58" i="49"/>
  <c r="D26" i="27"/>
  <c r="C39" i="27"/>
  <c r="AB4" i="49"/>
  <c r="H81" i="49" s="1"/>
  <c r="D47" i="7"/>
  <c r="AB6" i="49"/>
  <c r="H83" i="49" s="1"/>
  <c r="AB7" i="49"/>
  <c r="H84" i="49" s="1"/>
  <c r="AJ9" i="49"/>
  <c r="H126" i="49" s="1"/>
  <c r="AB5" i="49"/>
  <c r="H82" i="49" s="1"/>
  <c r="AB8" i="49"/>
  <c r="H85" i="49" s="1"/>
  <c r="AB9" i="49"/>
  <c r="H86" i="49" s="1"/>
  <c r="AB10" i="49"/>
  <c r="H87" i="49" s="1"/>
  <c r="AB13" i="49"/>
  <c r="H90" i="49" s="1"/>
  <c r="AB21" i="49"/>
  <c r="H93" i="49" s="1"/>
  <c r="AJ21" i="49"/>
  <c r="H138" i="49" s="1"/>
  <c r="AR21" i="49"/>
  <c r="H192" i="49" s="1"/>
  <c r="AB14" i="49"/>
  <c r="H91" i="49" s="1"/>
  <c r="AB15" i="49"/>
  <c r="H92" i="49" s="1"/>
  <c r="AJ10" i="49"/>
  <c r="H127" i="49" s="1"/>
  <c r="AB11" i="49"/>
  <c r="H88" i="49" s="1"/>
  <c r="AB12" i="49"/>
  <c r="H89" i="49" s="1"/>
  <c r="AB25" i="49"/>
  <c r="H97" i="49" s="1"/>
  <c r="AB28" i="49"/>
  <c r="H100" i="49" s="1"/>
  <c r="AJ22" i="49"/>
  <c r="H139" i="49" s="1"/>
  <c r="AB24" i="49"/>
  <c r="H96" i="49" s="1"/>
  <c r="AB27" i="49"/>
  <c r="H99" i="49" s="1"/>
  <c r="AB29" i="49"/>
  <c r="H101" i="49" s="1"/>
  <c r="AJ11" i="49"/>
  <c r="H128" i="49" s="1"/>
  <c r="AB36" i="49"/>
  <c r="H102" i="49" s="1"/>
  <c r="AB23" i="49"/>
  <c r="H95" i="49" s="1"/>
  <c r="AB26" i="49"/>
  <c r="H98" i="49" s="1"/>
  <c r="AJ36" i="49"/>
  <c r="H153" i="49" s="1"/>
  <c r="AR36" i="49"/>
  <c r="H207" i="49" s="1"/>
  <c r="AB22" i="49"/>
  <c r="H94" i="49" s="1"/>
  <c r="AR22" i="49"/>
  <c r="H193" i="49" s="1"/>
  <c r="AB43" i="49"/>
  <c r="H109" i="49" s="1"/>
  <c r="AJ54" i="49"/>
  <c r="H171" i="49" s="1"/>
  <c r="AB40" i="49"/>
  <c r="H106" i="49" s="1"/>
  <c r="AB44" i="49"/>
  <c r="H110" i="49" s="1"/>
  <c r="AB38" i="49"/>
  <c r="H104" i="49" s="1"/>
  <c r="AJ23" i="49"/>
  <c r="H140" i="49" s="1"/>
  <c r="AB37" i="49"/>
  <c r="H103" i="49" s="1"/>
  <c r="AB46" i="49"/>
  <c r="H112" i="49" s="1"/>
  <c r="AB41" i="49"/>
  <c r="H107" i="49" s="1"/>
  <c r="AB54" i="49"/>
  <c r="H113" i="49" s="1"/>
  <c r="AJ12" i="49"/>
  <c r="H129" i="49" s="1"/>
  <c r="AB42" i="49"/>
  <c r="H108" i="49" s="1"/>
  <c r="AB45" i="49"/>
  <c r="H111" i="49" s="1"/>
  <c r="AJ37" i="49"/>
  <c r="H154" i="49" s="1"/>
  <c r="AB39" i="49"/>
  <c r="H105" i="49" s="1"/>
  <c r="AR54" i="49"/>
  <c r="H225" i="49" s="1"/>
  <c r="AR23" i="49"/>
  <c r="H194" i="49" s="1"/>
  <c r="AR37" i="49"/>
  <c r="H208" i="49" s="1"/>
  <c r="AB59" i="49"/>
  <c r="H118" i="49" s="1"/>
  <c r="AB57" i="49"/>
  <c r="H116" i="49" s="1"/>
  <c r="AB65" i="49"/>
  <c r="H124" i="49" s="1"/>
  <c r="AB66" i="49"/>
  <c r="H125" i="49" s="1"/>
  <c r="AB61" i="49"/>
  <c r="H120" i="49" s="1"/>
  <c r="AJ13" i="49"/>
  <c r="H130" i="49" s="1"/>
  <c r="AB63" i="49"/>
  <c r="H122" i="49" s="1"/>
  <c r="AJ55" i="49"/>
  <c r="H172" i="49" s="1"/>
  <c r="AB56" i="49"/>
  <c r="H115" i="49" s="1"/>
  <c r="AR55" i="49"/>
  <c r="H226" i="49" s="1"/>
  <c r="AB64" i="49"/>
  <c r="H123" i="49" s="1"/>
  <c r="AR38" i="49"/>
  <c r="H209" i="49" s="1"/>
  <c r="AB62" i="49"/>
  <c r="H121" i="49" s="1"/>
  <c r="AB60" i="49"/>
  <c r="H119" i="49" s="1"/>
  <c r="AJ24" i="49"/>
  <c r="H141" i="49" s="1"/>
  <c r="AR24" i="49"/>
  <c r="H195" i="49" s="1"/>
  <c r="AJ38" i="49"/>
  <c r="H155" i="49" s="1"/>
  <c r="AB55" i="49"/>
  <c r="H114" i="49" s="1"/>
  <c r="AB58" i="49"/>
  <c r="H117" i="49" s="1"/>
  <c r="AR39" i="49"/>
  <c r="H210" i="49" s="1"/>
  <c r="AJ25" i="49"/>
  <c r="H142" i="49" s="1"/>
  <c r="AJ39" i="49"/>
  <c r="H156" i="49" s="1"/>
  <c r="AR25" i="49"/>
  <c r="H196" i="49" s="1"/>
  <c r="AJ56" i="49"/>
  <c r="H173" i="49" s="1"/>
  <c r="AJ14" i="49"/>
  <c r="H131" i="49" s="1"/>
  <c r="AR56" i="49"/>
  <c r="H227" i="49" s="1"/>
  <c r="AJ40" i="49"/>
  <c r="H157" i="49" s="1"/>
  <c r="AJ26" i="49"/>
  <c r="H143" i="49" s="1"/>
  <c r="AJ57" i="49"/>
  <c r="H174" i="49" s="1"/>
  <c r="AJ15" i="49"/>
  <c r="H132" i="49" s="1"/>
  <c r="AR40" i="49"/>
  <c r="H211" i="49" s="1"/>
  <c r="AR57" i="49"/>
  <c r="H228" i="49" s="1"/>
  <c r="AR26" i="49"/>
  <c r="H197" i="49" s="1"/>
  <c r="P84" i="7"/>
  <c r="T84" i="7"/>
  <c r="N144" i="49"/>
  <c r="BJ27" i="49"/>
  <c r="EB27" i="49"/>
  <c r="AB144" i="49" s="1"/>
  <c r="C49" i="7"/>
  <c r="BW4" i="49"/>
  <c r="Q81" i="49" s="1"/>
  <c r="G39" i="7"/>
  <c r="BW8" i="49"/>
  <c r="Q85" i="49" s="1"/>
  <c r="BW6" i="49"/>
  <c r="Q83" i="49" s="1"/>
  <c r="BW9" i="49"/>
  <c r="Q86" i="49" s="1"/>
  <c r="BW7" i="49"/>
  <c r="Q84" i="49" s="1"/>
  <c r="BW5" i="49"/>
  <c r="Q82" i="49" s="1"/>
  <c r="CE9" i="49"/>
  <c r="Q126" i="49" s="1"/>
  <c r="BW14" i="49"/>
  <c r="Q91" i="49" s="1"/>
  <c r="BW15" i="49"/>
  <c r="Q92" i="49" s="1"/>
  <c r="CE10" i="49"/>
  <c r="Q127" i="49" s="1"/>
  <c r="CE21" i="49"/>
  <c r="Q138" i="49" s="1"/>
  <c r="BW11" i="49"/>
  <c r="Q88" i="49" s="1"/>
  <c r="BW10" i="49"/>
  <c r="Q87" i="49" s="1"/>
  <c r="BW12" i="49"/>
  <c r="Q89" i="49" s="1"/>
  <c r="BW13" i="49"/>
  <c r="Q90" i="49" s="1"/>
  <c r="BW21" i="49"/>
  <c r="Q93" i="49" s="1"/>
  <c r="CM21" i="49"/>
  <c r="Q192" i="49" s="1"/>
  <c r="BW22" i="49"/>
  <c r="Q94" i="49" s="1"/>
  <c r="BW23" i="49"/>
  <c r="Q95" i="49" s="1"/>
  <c r="CE11" i="49"/>
  <c r="Q128" i="49" s="1"/>
  <c r="BW25" i="49"/>
  <c r="Q97" i="49" s="1"/>
  <c r="CM36" i="49"/>
  <c r="Q207" i="49" s="1"/>
  <c r="CM22" i="49"/>
  <c r="Q193" i="49" s="1"/>
  <c r="BW29" i="49"/>
  <c r="Q101" i="49" s="1"/>
  <c r="BW28" i="49"/>
  <c r="Q100" i="49" s="1"/>
  <c r="CE22" i="49"/>
  <c r="Q139" i="49" s="1"/>
  <c r="BW24" i="49"/>
  <c r="Q96" i="49" s="1"/>
  <c r="BW26" i="49"/>
  <c r="Q98" i="49" s="1"/>
  <c r="BW36" i="49"/>
  <c r="Q102" i="49" s="1"/>
  <c r="BW27" i="49"/>
  <c r="Q99" i="49" s="1"/>
  <c r="CE36" i="49"/>
  <c r="Q153" i="49" s="1"/>
  <c r="BW42" i="49"/>
  <c r="Q108" i="49" s="1"/>
  <c r="BW45" i="49"/>
  <c r="Q111" i="49" s="1"/>
  <c r="CE37" i="49"/>
  <c r="Q154" i="49" s="1"/>
  <c r="BW43" i="49"/>
  <c r="Q109" i="49" s="1"/>
  <c r="CE12" i="49"/>
  <c r="Q129" i="49" s="1"/>
  <c r="BW40" i="49"/>
  <c r="Q106" i="49" s="1"/>
  <c r="CM37" i="49"/>
  <c r="Q208" i="49" s="1"/>
  <c r="BW44" i="49"/>
  <c r="Q110" i="49" s="1"/>
  <c r="CE54" i="49"/>
  <c r="Q171" i="49" s="1"/>
  <c r="BW38" i="49"/>
  <c r="Q104" i="49" s="1"/>
  <c r="BW39" i="49"/>
  <c r="Q105" i="49" s="1"/>
  <c r="BW46" i="49"/>
  <c r="Q112" i="49" s="1"/>
  <c r="BW37" i="49"/>
  <c r="Q103" i="49" s="1"/>
  <c r="CM23" i="49"/>
  <c r="Q194" i="49" s="1"/>
  <c r="CE23" i="49"/>
  <c r="Q140" i="49" s="1"/>
  <c r="CM54" i="49"/>
  <c r="Q225" i="49" s="1"/>
  <c r="BW41" i="49"/>
  <c r="Q107" i="49" s="1"/>
  <c r="BW54" i="49"/>
  <c r="Q113" i="49" s="1"/>
  <c r="BW57" i="49"/>
  <c r="Q116" i="49" s="1"/>
  <c r="BW65" i="49"/>
  <c r="Q124" i="49" s="1"/>
  <c r="BW61" i="49"/>
  <c r="Q120" i="49" s="1"/>
  <c r="BW55" i="49"/>
  <c r="Q114" i="49" s="1"/>
  <c r="BW58" i="49"/>
  <c r="Q117" i="49" s="1"/>
  <c r="CE55" i="49"/>
  <c r="Q172" i="49" s="1"/>
  <c r="BW56" i="49"/>
  <c r="Q115" i="49" s="1"/>
  <c r="CM55" i="49"/>
  <c r="Q226" i="49" s="1"/>
  <c r="BW64" i="49"/>
  <c r="Q123" i="49" s="1"/>
  <c r="CM38" i="49"/>
  <c r="Q209" i="49" s="1"/>
  <c r="BW59" i="49"/>
  <c r="Q118" i="49" s="1"/>
  <c r="BW60" i="49"/>
  <c r="Q119" i="49" s="1"/>
  <c r="CE24" i="49"/>
  <c r="Q141" i="49" s="1"/>
  <c r="CM24" i="49"/>
  <c r="Q195" i="49" s="1"/>
  <c r="BW66" i="49"/>
  <c r="Q125" i="49" s="1"/>
  <c r="BW63" i="49"/>
  <c r="Q122" i="49" s="1"/>
  <c r="CE13" i="49"/>
  <c r="Q130" i="49" s="1"/>
  <c r="CE38" i="49"/>
  <c r="Q155" i="49" s="1"/>
  <c r="BW62" i="49"/>
  <c r="Q121" i="49" s="1"/>
  <c r="CE25" i="49"/>
  <c r="Q142" i="49" s="1"/>
  <c r="CM56" i="49"/>
  <c r="Q227" i="49" s="1"/>
  <c r="CM25" i="49"/>
  <c r="Q196" i="49" s="1"/>
  <c r="CE14" i="49"/>
  <c r="Q131" i="49" s="1"/>
  <c r="CE39" i="49"/>
  <c r="Q156" i="49" s="1"/>
  <c r="CM39" i="49"/>
  <c r="Q210" i="49" s="1"/>
  <c r="CE56" i="49"/>
  <c r="Q173" i="49" s="1"/>
  <c r="CE57" i="49"/>
  <c r="Q174" i="49" s="1"/>
  <c r="CE26" i="49"/>
  <c r="Q143" i="49" s="1"/>
  <c r="CM40" i="49"/>
  <c r="Q211" i="49" s="1"/>
  <c r="CM57" i="49"/>
  <c r="Q228" i="49" s="1"/>
  <c r="CE15" i="49"/>
  <c r="Q132" i="49" s="1"/>
  <c r="CM26" i="49"/>
  <c r="Q197" i="49" s="1"/>
  <c r="CE40" i="49"/>
  <c r="Q157" i="49" s="1"/>
  <c r="T87" i="7"/>
  <c r="P87" i="7"/>
  <c r="I198" i="49"/>
  <c r="AT27" i="49"/>
  <c r="EA58" i="49"/>
  <c r="AA175" i="49" s="1"/>
  <c r="AC175" i="49"/>
  <c r="ED58" i="49"/>
  <c r="EB17" i="49"/>
  <c r="AB134" i="49" s="1"/>
  <c r="CK17" i="49"/>
  <c r="AJ17" i="49"/>
  <c r="H134" i="49" s="1"/>
  <c r="FA17" i="49"/>
  <c r="EA17" i="49"/>
  <c r="AA134" i="49" s="1"/>
  <c r="CJ17" i="49"/>
  <c r="T134" i="49" s="1"/>
  <c r="BI17" i="49"/>
  <c r="AI17" i="49"/>
  <c r="G134" i="49" s="1"/>
  <c r="DI17" i="49"/>
  <c r="BH17" i="49"/>
  <c r="M134" i="49" s="1"/>
  <c r="Q17" i="49"/>
  <c r="EY17" i="49"/>
  <c r="AF134" i="49" s="1"/>
  <c r="DH17" i="49"/>
  <c r="Y134" i="49" s="1"/>
  <c r="CG17" i="49"/>
  <c r="BG17" i="49"/>
  <c r="L134" i="49" s="1"/>
  <c r="P17" i="49"/>
  <c r="E134" i="49" s="1"/>
  <c r="CF17" i="49"/>
  <c r="R134" i="49" s="1"/>
  <c r="AO17" i="49"/>
  <c r="EF17" i="49"/>
  <c r="AD134" i="49" s="1"/>
  <c r="DE17" i="49"/>
  <c r="CE17" i="49"/>
  <c r="Q134" i="49" s="1"/>
  <c r="AN17" i="49"/>
  <c r="J134" i="49" s="1"/>
  <c r="M17" i="49"/>
  <c r="BM17" i="49"/>
  <c r="L17" i="49"/>
  <c r="C134" i="49" s="1"/>
  <c r="FD17" i="49"/>
  <c r="AI134" i="49" s="1"/>
  <c r="EC17" i="49"/>
  <c r="DC17" i="49"/>
  <c r="V134" i="49" s="1"/>
  <c r="BL17" i="49"/>
  <c r="O134" i="49" s="1"/>
  <c r="AK17" i="49"/>
  <c r="K17" i="49"/>
  <c r="B134" i="49" s="1"/>
  <c r="F115" i="7"/>
  <c r="E24" i="41"/>
  <c r="B25" i="41" s="1"/>
  <c r="P82" i="7"/>
  <c r="T82" i="7"/>
  <c r="L76" i="7"/>
  <c r="P76" i="7" s="1"/>
  <c r="N158" i="49"/>
  <c r="BJ41" i="49"/>
  <c r="D158" i="49"/>
  <c r="N41" i="49"/>
  <c r="D144" i="49"/>
  <c r="N27" i="49"/>
  <c r="D54" i="2"/>
  <c r="CC4" i="7"/>
  <c r="CC31" i="7" s="1"/>
  <c r="CC22" i="7"/>
  <c r="CC17" i="7"/>
  <c r="CC40" i="7" s="1"/>
  <c r="CC14" i="7"/>
  <c r="CC39" i="7" s="1"/>
  <c r="CC24" i="7"/>
  <c r="CC19" i="7"/>
  <c r="CC42" i="7" s="1"/>
  <c r="CC23" i="7"/>
  <c r="CC15" i="7"/>
  <c r="CC18" i="7"/>
  <c r="CC41" i="7" s="1"/>
  <c r="CC13" i="7"/>
  <c r="CC38" i="7" s="1"/>
  <c r="CC12" i="7"/>
  <c r="CC37" i="7" s="1"/>
  <c r="CC27" i="7"/>
  <c r="CC20" i="7"/>
  <c r="CC21" i="7"/>
  <c r="CC6" i="7"/>
  <c r="CC33" i="7" s="1"/>
  <c r="CC7" i="7"/>
  <c r="CC11" i="7"/>
  <c r="CC10" i="7"/>
  <c r="CC36" i="7" s="1"/>
  <c r="CC5" i="7"/>
  <c r="CC32" i="7" s="1"/>
  <c r="CC25" i="7"/>
  <c r="EN12" i="7" s="1"/>
  <c r="CC26" i="7"/>
  <c r="CC16" i="7"/>
  <c r="CC8" i="7"/>
  <c r="CC34" i="7" s="1"/>
  <c r="CC9" i="7"/>
  <c r="CC35" i="7" s="1"/>
  <c r="L71" i="7"/>
  <c r="P71" i="7" s="1"/>
  <c r="X212" i="49"/>
  <c r="DN41" i="49"/>
  <c r="N212" i="49"/>
  <c r="BR41" i="49"/>
  <c r="X229" i="49"/>
  <c r="DN58" i="49"/>
  <c r="N229" i="49"/>
  <c r="BR58" i="49"/>
  <c r="AJ58" i="49"/>
  <c r="H175" i="49" s="1"/>
  <c r="EY58" i="49"/>
  <c r="AF175" i="49" s="1"/>
  <c r="D17" i="32"/>
  <c r="E16" i="32"/>
  <c r="F16" i="32" s="1"/>
  <c r="D49" i="7"/>
  <c r="BX4" i="49"/>
  <c r="R81" i="49" s="1"/>
  <c r="BX8" i="49"/>
  <c r="R85" i="49" s="1"/>
  <c r="BX9" i="49"/>
  <c r="R86" i="49" s="1"/>
  <c r="BX7" i="49"/>
  <c r="R84" i="49" s="1"/>
  <c r="BX5" i="49"/>
  <c r="R82" i="49" s="1"/>
  <c r="CF9" i="49"/>
  <c r="R126" i="49" s="1"/>
  <c r="BX6" i="49"/>
  <c r="R83" i="49" s="1"/>
  <c r="BX21" i="49"/>
  <c r="R93" i="49" s="1"/>
  <c r="BX14" i="49"/>
  <c r="R91" i="49" s="1"/>
  <c r="BX15" i="49"/>
  <c r="R92" i="49" s="1"/>
  <c r="CN21" i="49"/>
  <c r="R192" i="49" s="1"/>
  <c r="CF10" i="49"/>
  <c r="R127" i="49" s="1"/>
  <c r="BX11" i="49"/>
  <c r="R88" i="49" s="1"/>
  <c r="BX12" i="49"/>
  <c r="R89" i="49" s="1"/>
  <c r="BX10" i="49"/>
  <c r="R87" i="49" s="1"/>
  <c r="BX13" i="49"/>
  <c r="R90" i="49" s="1"/>
  <c r="CF21" i="49"/>
  <c r="R138" i="49" s="1"/>
  <c r="CN22" i="49"/>
  <c r="R193" i="49" s="1"/>
  <c r="BX29" i="49"/>
  <c r="R101" i="49" s="1"/>
  <c r="BX28" i="49"/>
  <c r="R100" i="49" s="1"/>
  <c r="CF22" i="49"/>
  <c r="R139" i="49" s="1"/>
  <c r="BX24" i="49"/>
  <c r="R96" i="49" s="1"/>
  <c r="CF11" i="49"/>
  <c r="R128" i="49" s="1"/>
  <c r="BX26" i="49"/>
  <c r="R98" i="49" s="1"/>
  <c r="BX27" i="49"/>
  <c r="R99" i="49" s="1"/>
  <c r="CF36" i="49"/>
  <c r="R153" i="49" s="1"/>
  <c r="CN36" i="49"/>
  <c r="R207" i="49" s="1"/>
  <c r="BX36" i="49"/>
  <c r="R102" i="49" s="1"/>
  <c r="BX22" i="49"/>
  <c r="R94" i="49" s="1"/>
  <c r="BX23" i="49"/>
  <c r="R95" i="49" s="1"/>
  <c r="BX25" i="49"/>
  <c r="R97" i="49" s="1"/>
  <c r="CF54" i="49"/>
  <c r="R171" i="49" s="1"/>
  <c r="CF12" i="49"/>
  <c r="R129" i="49" s="1"/>
  <c r="BX38" i="49"/>
  <c r="R104" i="49" s="1"/>
  <c r="BX39" i="49"/>
  <c r="R105" i="49" s="1"/>
  <c r="BX37" i="49"/>
  <c r="R103" i="49" s="1"/>
  <c r="CN23" i="49"/>
  <c r="R194" i="49" s="1"/>
  <c r="CF23" i="49"/>
  <c r="R140" i="49" s="1"/>
  <c r="BX46" i="49"/>
  <c r="R112" i="49" s="1"/>
  <c r="CN54" i="49"/>
  <c r="R225" i="49" s="1"/>
  <c r="BX41" i="49"/>
  <c r="R107" i="49" s="1"/>
  <c r="BX54" i="49"/>
  <c r="R113" i="49" s="1"/>
  <c r="BX42" i="49"/>
  <c r="R108" i="49" s="1"/>
  <c r="BX45" i="49"/>
  <c r="R111" i="49" s="1"/>
  <c r="CF37" i="49"/>
  <c r="R154" i="49" s="1"/>
  <c r="BX43" i="49"/>
  <c r="R109" i="49" s="1"/>
  <c r="BX40" i="49"/>
  <c r="R106" i="49" s="1"/>
  <c r="CN37" i="49"/>
  <c r="R208" i="49" s="1"/>
  <c r="BX44" i="49"/>
  <c r="R110" i="49" s="1"/>
  <c r="CN38" i="49"/>
  <c r="R209" i="49" s="1"/>
  <c r="BX59" i="49"/>
  <c r="R118" i="49" s="1"/>
  <c r="BX60" i="49"/>
  <c r="R119" i="49" s="1"/>
  <c r="CF24" i="49"/>
  <c r="R141" i="49" s="1"/>
  <c r="CN24" i="49"/>
  <c r="R195" i="49" s="1"/>
  <c r="BX66" i="49"/>
  <c r="R125" i="49" s="1"/>
  <c r="BX63" i="49"/>
  <c r="R122" i="49" s="1"/>
  <c r="CF38" i="49"/>
  <c r="R155" i="49" s="1"/>
  <c r="BX62" i="49"/>
  <c r="R121" i="49" s="1"/>
  <c r="BX57" i="49"/>
  <c r="R116" i="49" s="1"/>
  <c r="BX65" i="49"/>
  <c r="R124" i="49" s="1"/>
  <c r="BX61" i="49"/>
  <c r="R120" i="49" s="1"/>
  <c r="BX55" i="49"/>
  <c r="R114" i="49" s="1"/>
  <c r="BX58" i="49"/>
  <c r="R117" i="49" s="1"/>
  <c r="CF55" i="49"/>
  <c r="R172" i="49" s="1"/>
  <c r="CF13" i="49"/>
  <c r="R130" i="49" s="1"/>
  <c r="BX56" i="49"/>
  <c r="R115" i="49" s="1"/>
  <c r="CN55" i="49"/>
  <c r="R226" i="49" s="1"/>
  <c r="BX64" i="49"/>
  <c r="R123" i="49" s="1"/>
  <c r="CF39" i="49"/>
  <c r="R156" i="49" s="1"/>
  <c r="CN39" i="49"/>
  <c r="R210" i="49" s="1"/>
  <c r="CF56" i="49"/>
  <c r="R173" i="49" s="1"/>
  <c r="CF14" i="49"/>
  <c r="R131" i="49" s="1"/>
  <c r="CF25" i="49"/>
  <c r="R142" i="49" s="1"/>
  <c r="CN25" i="49"/>
  <c r="R196" i="49" s="1"/>
  <c r="CN56" i="49"/>
  <c r="R227" i="49" s="1"/>
  <c r="CF40" i="49"/>
  <c r="R157" i="49" s="1"/>
  <c r="CF15" i="49"/>
  <c r="R132" i="49" s="1"/>
  <c r="CF57" i="49"/>
  <c r="R174" i="49" s="1"/>
  <c r="CF26" i="49"/>
  <c r="R143" i="49" s="1"/>
  <c r="CN40" i="49"/>
  <c r="R211" i="49" s="1"/>
  <c r="CN57" i="49"/>
  <c r="R228" i="49" s="1"/>
  <c r="CN26" i="49"/>
  <c r="R197" i="49" s="1"/>
  <c r="S158" i="49"/>
  <c r="CH41" i="49"/>
  <c r="I158" i="49"/>
  <c r="AL41" i="49"/>
  <c r="S144" i="49"/>
  <c r="CH27" i="49"/>
  <c r="I144" i="49"/>
  <c r="AL27" i="49"/>
  <c r="AZ4" i="49"/>
  <c r="M81" i="49" s="1"/>
  <c r="D46" i="7"/>
  <c r="D4" i="49"/>
  <c r="C81" i="49" s="1"/>
  <c r="D7" i="49"/>
  <c r="C84" i="49" s="1"/>
  <c r="L9" i="49"/>
  <c r="C126" i="49" s="1"/>
  <c r="D9" i="49"/>
  <c r="C86" i="49" s="1"/>
  <c r="BH9" i="49"/>
  <c r="M126" i="49" s="1"/>
  <c r="D5" i="49"/>
  <c r="C82" i="49" s="1"/>
  <c r="AZ7" i="49"/>
  <c r="M84" i="49" s="1"/>
  <c r="AZ9" i="49"/>
  <c r="M86" i="49" s="1"/>
  <c r="AZ5" i="49"/>
  <c r="M82" i="49" s="1"/>
  <c r="D8" i="49"/>
  <c r="C85" i="49" s="1"/>
  <c r="D6" i="49"/>
  <c r="C83" i="49" s="1"/>
  <c r="AZ8" i="49"/>
  <c r="M85" i="49" s="1"/>
  <c r="AZ6" i="49"/>
  <c r="M83" i="49" s="1"/>
  <c r="D10" i="49"/>
  <c r="C87" i="49" s="1"/>
  <c r="BH21" i="49"/>
  <c r="M138" i="49" s="1"/>
  <c r="D11" i="49"/>
  <c r="C88" i="49" s="1"/>
  <c r="AZ14" i="49"/>
  <c r="M91" i="49" s="1"/>
  <c r="BH10" i="49"/>
  <c r="M127" i="49" s="1"/>
  <c r="D13" i="49"/>
  <c r="C90" i="49" s="1"/>
  <c r="AZ13" i="49"/>
  <c r="M90" i="49" s="1"/>
  <c r="D14" i="49"/>
  <c r="C91" i="49" s="1"/>
  <c r="AZ21" i="49"/>
  <c r="M93" i="49" s="1"/>
  <c r="T21" i="49"/>
  <c r="C192" i="49" s="1"/>
  <c r="BP21" i="49"/>
  <c r="M192" i="49" s="1"/>
  <c r="L10" i="49"/>
  <c r="C127" i="49" s="1"/>
  <c r="AZ15" i="49"/>
  <c r="M92" i="49" s="1"/>
  <c r="AZ12" i="49"/>
  <c r="M89" i="49" s="1"/>
  <c r="AZ10" i="49"/>
  <c r="M87" i="49" s="1"/>
  <c r="D21" i="49"/>
  <c r="C93" i="49" s="1"/>
  <c r="D12" i="49"/>
  <c r="C89" i="49" s="1"/>
  <c r="L21" i="49"/>
  <c r="C138" i="49" s="1"/>
  <c r="D15" i="49"/>
  <c r="C92" i="49" s="1"/>
  <c r="AZ11" i="49"/>
  <c r="M88" i="49" s="1"/>
  <c r="AZ24" i="49"/>
  <c r="M96" i="49" s="1"/>
  <c r="T22" i="49"/>
  <c r="C193" i="49" s="1"/>
  <c r="AZ29" i="49"/>
  <c r="M101" i="49" s="1"/>
  <c r="D25" i="49"/>
  <c r="C97" i="49" s="1"/>
  <c r="L22" i="49"/>
  <c r="C139" i="49" s="1"/>
  <c r="D28" i="49"/>
  <c r="C100" i="49" s="1"/>
  <c r="AZ36" i="49"/>
  <c r="M102" i="49" s="1"/>
  <c r="D24" i="49"/>
  <c r="C96" i="49" s="1"/>
  <c r="D26" i="49"/>
  <c r="C98" i="49" s="1"/>
  <c r="AZ26" i="49"/>
  <c r="M98" i="49" s="1"/>
  <c r="BH22" i="49"/>
  <c r="M139" i="49" s="1"/>
  <c r="D27" i="49"/>
  <c r="C99" i="49" s="1"/>
  <c r="AZ27" i="49"/>
  <c r="M99" i="49" s="1"/>
  <c r="BP36" i="49"/>
  <c r="M207" i="49" s="1"/>
  <c r="D29" i="49"/>
  <c r="C101" i="49" s="1"/>
  <c r="BH36" i="49"/>
  <c r="M153" i="49" s="1"/>
  <c r="BH11" i="49"/>
  <c r="M128" i="49" s="1"/>
  <c r="T36" i="49"/>
  <c r="C207" i="49" s="1"/>
  <c r="BP22" i="49"/>
  <c r="M193" i="49" s="1"/>
  <c r="D36" i="49"/>
  <c r="C102" i="49" s="1"/>
  <c r="D22" i="49"/>
  <c r="C94" i="49" s="1"/>
  <c r="AZ22" i="49"/>
  <c r="M94" i="49" s="1"/>
  <c r="D23" i="49"/>
  <c r="C95" i="49" s="1"/>
  <c r="AZ23" i="49"/>
  <c r="M95" i="49" s="1"/>
  <c r="AZ25" i="49"/>
  <c r="M97" i="49" s="1"/>
  <c r="L36" i="49"/>
  <c r="C153" i="49" s="1"/>
  <c r="L11" i="49"/>
  <c r="C128" i="49" s="1"/>
  <c r="AZ28" i="49"/>
  <c r="M100" i="49" s="1"/>
  <c r="AZ46" i="49"/>
  <c r="M112" i="49" s="1"/>
  <c r="D43" i="49"/>
  <c r="C109" i="49" s="1"/>
  <c r="L54" i="49"/>
  <c r="C171" i="49" s="1"/>
  <c r="BH12" i="49"/>
  <c r="M129" i="49" s="1"/>
  <c r="T37" i="49"/>
  <c r="C208" i="49" s="1"/>
  <c r="AZ42" i="49"/>
  <c r="M108" i="49" s="1"/>
  <c r="BH37" i="49"/>
  <c r="M154" i="49" s="1"/>
  <c r="D38" i="49"/>
  <c r="C104" i="49" s="1"/>
  <c r="AZ39" i="49"/>
  <c r="M105" i="49" s="1"/>
  <c r="D37" i="49"/>
  <c r="C103" i="49" s="1"/>
  <c r="AZ37" i="49"/>
  <c r="M103" i="49" s="1"/>
  <c r="L12" i="49"/>
  <c r="C129" i="49" s="1"/>
  <c r="L23" i="49"/>
  <c r="C140" i="49" s="1"/>
  <c r="D46" i="49"/>
  <c r="C112" i="49" s="1"/>
  <c r="BP54" i="49"/>
  <c r="M225" i="49" s="1"/>
  <c r="D41" i="49"/>
  <c r="C107" i="49" s="1"/>
  <c r="AZ41" i="49"/>
  <c r="M107" i="49" s="1"/>
  <c r="D54" i="49"/>
  <c r="C113" i="49" s="1"/>
  <c r="AZ54" i="49"/>
  <c r="M113" i="49" s="1"/>
  <c r="BP23" i="49"/>
  <c r="M194" i="49" s="1"/>
  <c r="D42" i="49"/>
  <c r="C108" i="49" s="1"/>
  <c r="D45" i="49"/>
  <c r="C111" i="49" s="1"/>
  <c r="AZ45" i="49"/>
  <c r="M111" i="49" s="1"/>
  <c r="L37" i="49"/>
  <c r="C154" i="49" s="1"/>
  <c r="D39" i="49"/>
  <c r="C105" i="49" s="1"/>
  <c r="T54" i="49"/>
  <c r="C225" i="49" s="1"/>
  <c r="AZ43" i="49"/>
  <c r="M109" i="49" s="1"/>
  <c r="BH54" i="49"/>
  <c r="M171" i="49" s="1"/>
  <c r="D40" i="49"/>
  <c r="C106" i="49" s="1"/>
  <c r="AZ40" i="49"/>
  <c r="M106" i="49" s="1"/>
  <c r="BP37" i="49"/>
  <c r="M208" i="49" s="1"/>
  <c r="D44" i="49"/>
  <c r="C110" i="49" s="1"/>
  <c r="AZ44" i="49"/>
  <c r="M110" i="49" s="1"/>
  <c r="AZ38" i="49"/>
  <c r="M104" i="49" s="1"/>
  <c r="T23" i="49"/>
  <c r="C194" i="49" s="1"/>
  <c r="BH23" i="49"/>
  <c r="M140" i="49" s="1"/>
  <c r="BH55" i="49"/>
  <c r="M172" i="49" s="1"/>
  <c r="AZ56" i="49"/>
  <c r="M115" i="49" s="1"/>
  <c r="T55" i="49"/>
  <c r="C226" i="49" s="1"/>
  <c r="BP55" i="49"/>
  <c r="M226" i="49" s="1"/>
  <c r="AZ64" i="49"/>
  <c r="M123" i="49" s="1"/>
  <c r="T38" i="49"/>
  <c r="C209" i="49" s="1"/>
  <c r="BP38" i="49"/>
  <c r="M209" i="49" s="1"/>
  <c r="D59" i="49"/>
  <c r="C118" i="49" s="1"/>
  <c r="AZ60" i="49"/>
  <c r="M119" i="49" s="1"/>
  <c r="BH24" i="49"/>
  <c r="M141" i="49" s="1"/>
  <c r="T24" i="49"/>
  <c r="C195" i="49" s="1"/>
  <c r="BP24" i="49"/>
  <c r="M195" i="49" s="1"/>
  <c r="D66" i="49"/>
  <c r="C125" i="49" s="1"/>
  <c r="AZ66" i="49"/>
  <c r="M125" i="49" s="1"/>
  <c r="D63" i="49"/>
  <c r="C122" i="49" s="1"/>
  <c r="L55" i="49"/>
  <c r="C172" i="49" s="1"/>
  <c r="BH13" i="49"/>
  <c r="M130" i="49" s="1"/>
  <c r="D56" i="49"/>
  <c r="C115" i="49" s="1"/>
  <c r="D64" i="49"/>
  <c r="C123" i="49" s="1"/>
  <c r="BH38" i="49"/>
  <c r="M155" i="49" s="1"/>
  <c r="D62" i="49"/>
  <c r="C121" i="49" s="1"/>
  <c r="AZ62" i="49"/>
  <c r="M121" i="49" s="1"/>
  <c r="D60" i="49"/>
  <c r="C119" i="49" s="1"/>
  <c r="L24" i="49"/>
  <c r="C141" i="49" s="1"/>
  <c r="AZ55" i="49"/>
  <c r="M114" i="49" s="1"/>
  <c r="L13" i="49"/>
  <c r="C130" i="49" s="1"/>
  <c r="AZ59" i="49"/>
  <c r="M118" i="49" s="1"/>
  <c r="D57" i="49"/>
  <c r="C116" i="49" s="1"/>
  <c r="AZ57" i="49"/>
  <c r="M116" i="49" s="1"/>
  <c r="D65" i="49"/>
  <c r="C124" i="49" s="1"/>
  <c r="AZ65" i="49"/>
  <c r="M124" i="49" s="1"/>
  <c r="L38" i="49"/>
  <c r="C155" i="49" s="1"/>
  <c r="D61" i="49"/>
  <c r="C120" i="49" s="1"/>
  <c r="AZ61" i="49"/>
  <c r="M120" i="49" s="1"/>
  <c r="D55" i="49"/>
  <c r="C114" i="49" s="1"/>
  <c r="AZ63" i="49"/>
  <c r="M122" i="49" s="1"/>
  <c r="D58" i="49"/>
  <c r="C117" i="49" s="1"/>
  <c r="AZ58" i="49"/>
  <c r="M117" i="49" s="1"/>
  <c r="T56" i="49"/>
  <c r="C227" i="49" s="1"/>
  <c r="BP56" i="49"/>
  <c r="M227" i="49" s="1"/>
  <c r="L39" i="49"/>
  <c r="C156" i="49" s="1"/>
  <c r="BH39" i="49"/>
  <c r="M156" i="49" s="1"/>
  <c r="T39" i="49"/>
  <c r="C210" i="49" s="1"/>
  <c r="BP39" i="49"/>
  <c r="M210" i="49" s="1"/>
  <c r="BH14" i="49"/>
  <c r="M131" i="49" s="1"/>
  <c r="L56" i="49"/>
  <c r="C173" i="49" s="1"/>
  <c r="BH56" i="49"/>
  <c r="M173" i="49" s="1"/>
  <c r="L14" i="49"/>
  <c r="C131" i="49" s="1"/>
  <c r="T25" i="49"/>
  <c r="C196" i="49" s="1"/>
  <c r="L25" i="49"/>
  <c r="C142" i="49" s="1"/>
  <c r="BH25" i="49"/>
  <c r="M142" i="49" s="1"/>
  <c r="BP25" i="49"/>
  <c r="M196" i="49" s="1"/>
  <c r="T26" i="49"/>
  <c r="C197" i="49" s="1"/>
  <c r="L15" i="49"/>
  <c r="C132" i="49" s="1"/>
  <c r="L40" i="49"/>
  <c r="C157" i="49" s="1"/>
  <c r="BH40" i="49"/>
  <c r="M157" i="49" s="1"/>
  <c r="BP26" i="49"/>
  <c r="M197" i="49" s="1"/>
  <c r="BP40" i="49"/>
  <c r="M211" i="49" s="1"/>
  <c r="BP57" i="49"/>
  <c r="M228" i="49" s="1"/>
  <c r="L57" i="49"/>
  <c r="C174" i="49" s="1"/>
  <c r="BH57" i="49"/>
  <c r="M174" i="49" s="1"/>
  <c r="L26" i="49"/>
  <c r="C143" i="49" s="1"/>
  <c r="BH26" i="49"/>
  <c r="M143" i="49" s="1"/>
  <c r="BH15" i="49"/>
  <c r="M132" i="49" s="1"/>
  <c r="T40" i="49"/>
  <c r="C211" i="49" s="1"/>
  <c r="T57" i="49"/>
  <c r="C228" i="49" s="1"/>
  <c r="T41" i="49"/>
  <c r="C212" i="49" s="1"/>
  <c r="EI41" i="49"/>
  <c r="AA212" i="49" s="1"/>
  <c r="AC212" i="49"/>
  <c r="EL41" i="49"/>
  <c r="CM41" i="49"/>
  <c r="Q212" i="49" s="1"/>
  <c r="T58" i="49"/>
  <c r="C229" i="49" s="1"/>
  <c r="EI58" i="49"/>
  <c r="AA229" i="49" s="1"/>
  <c r="AC229" i="49"/>
  <c r="EL58" i="49"/>
  <c r="CM58" i="49"/>
  <c r="Q229" i="49" s="1"/>
  <c r="T27" i="49"/>
  <c r="C198" i="49" s="1"/>
  <c r="X198" i="49"/>
  <c r="DN27" i="49"/>
  <c r="N198" i="49"/>
  <c r="BR27" i="49"/>
  <c r="CF59" i="49"/>
  <c r="R176" i="49" s="1"/>
  <c r="AO59" i="49"/>
  <c r="FA59" i="49"/>
  <c r="EF59" i="49"/>
  <c r="AD176" i="49" s="1"/>
  <c r="CE59" i="49"/>
  <c r="Q176" i="49" s="1"/>
  <c r="BI59" i="49"/>
  <c r="AN59" i="49"/>
  <c r="J176" i="49" s="1"/>
  <c r="DI59" i="49"/>
  <c r="BH59" i="49"/>
  <c r="M176" i="49" s="1"/>
  <c r="Q59" i="49"/>
  <c r="EY59" i="49"/>
  <c r="AF176" i="49" s="1"/>
  <c r="EC59" i="49"/>
  <c r="DH59" i="49"/>
  <c r="Y176" i="49" s="1"/>
  <c r="BG59" i="49"/>
  <c r="L176" i="49" s="1"/>
  <c r="AK59" i="49"/>
  <c r="P59" i="49"/>
  <c r="E176" i="49" s="1"/>
  <c r="EB59" i="49"/>
  <c r="AB176" i="49" s="1"/>
  <c r="CK59" i="49"/>
  <c r="AJ59" i="49"/>
  <c r="H176" i="49" s="1"/>
  <c r="EA59" i="49"/>
  <c r="AA176" i="49" s="1"/>
  <c r="DE59" i="49"/>
  <c r="CJ59" i="49"/>
  <c r="T176" i="49" s="1"/>
  <c r="AI59" i="49"/>
  <c r="G176" i="49" s="1"/>
  <c r="M59" i="49"/>
  <c r="BM59" i="49"/>
  <c r="L59" i="49"/>
  <c r="C176" i="49" s="1"/>
  <c r="FD59" i="49"/>
  <c r="AI176" i="49" s="1"/>
  <c r="DC59" i="49"/>
  <c r="V176" i="49" s="1"/>
  <c r="CG59" i="49"/>
  <c r="BL59" i="49"/>
  <c r="O176" i="49" s="1"/>
  <c r="K59" i="49"/>
  <c r="B176" i="49" s="1"/>
  <c r="F157" i="7"/>
  <c r="O62" i="7"/>
  <c r="O60" i="7"/>
  <c r="O61" i="7"/>
  <c r="AH144" i="49"/>
  <c r="FB27" i="49"/>
  <c r="G54" i="2"/>
  <c r="AG12" i="25"/>
  <c r="AI11" i="25"/>
  <c r="AF12" i="25"/>
  <c r="AE11" i="25"/>
  <c r="O57" i="7"/>
  <c r="O58" i="7"/>
  <c r="AR41" i="49"/>
  <c r="H212" i="49" s="1"/>
  <c r="FG41" i="49"/>
  <c r="AF212" i="49" s="1"/>
  <c r="AR58" i="49"/>
  <c r="H229" i="49" s="1"/>
  <c r="FG58" i="49"/>
  <c r="AF229" i="49" s="1"/>
  <c r="BV9" i="26"/>
  <c r="BL9" i="26"/>
  <c r="BH9" i="26" s="1"/>
  <c r="BK9" i="26"/>
  <c r="BO9" i="26"/>
  <c r="AC198" i="49"/>
  <c r="EL27" i="49"/>
  <c r="CM27" i="49"/>
  <c r="Q198" i="49" s="1"/>
  <c r="BH58" i="49"/>
  <c r="M175" i="49" s="1"/>
  <c r="S133" i="49"/>
  <c r="CH16" i="49"/>
  <c r="I133" i="49"/>
  <c r="AL16" i="49"/>
  <c r="R119" i="32"/>
  <c r="P120" i="32"/>
  <c r="L74" i="7"/>
  <c r="T74" i="7" s="1"/>
  <c r="AH158" i="49"/>
  <c r="FB41" i="49"/>
  <c r="X158" i="49"/>
  <c r="DF41" i="49"/>
  <c r="CF28" i="49"/>
  <c r="R145" i="49" s="1"/>
  <c r="AO28" i="49"/>
  <c r="FA28" i="49"/>
  <c r="EF28" i="49"/>
  <c r="AD145" i="49" s="1"/>
  <c r="CE28" i="49"/>
  <c r="Q145" i="49" s="1"/>
  <c r="BI28" i="49"/>
  <c r="AN28" i="49"/>
  <c r="J145" i="49" s="1"/>
  <c r="DI28" i="49"/>
  <c r="BH28" i="49"/>
  <c r="M145" i="49" s="1"/>
  <c r="Q28" i="49"/>
  <c r="EY28" i="49"/>
  <c r="AF145" i="49" s="1"/>
  <c r="EC28" i="49"/>
  <c r="DH28" i="49"/>
  <c r="Y145" i="49" s="1"/>
  <c r="BG28" i="49"/>
  <c r="L145" i="49" s="1"/>
  <c r="AK28" i="49"/>
  <c r="P28" i="49"/>
  <c r="E145" i="49" s="1"/>
  <c r="F126" i="7"/>
  <c r="EB28" i="49"/>
  <c r="AB145" i="49" s="1"/>
  <c r="CK28" i="49"/>
  <c r="AJ28" i="49"/>
  <c r="H145" i="49" s="1"/>
  <c r="EA28" i="49"/>
  <c r="AA145" i="49" s="1"/>
  <c r="DE28" i="49"/>
  <c r="CJ28" i="49"/>
  <c r="T145" i="49" s="1"/>
  <c r="AI28" i="49"/>
  <c r="G145" i="49" s="1"/>
  <c r="M28" i="49"/>
  <c r="BM28" i="49"/>
  <c r="L28" i="49"/>
  <c r="C145" i="49" s="1"/>
  <c r="FD28" i="49"/>
  <c r="AI145" i="49" s="1"/>
  <c r="DC28" i="49"/>
  <c r="V145" i="49" s="1"/>
  <c r="CG28" i="49"/>
  <c r="BL28" i="49"/>
  <c r="O145" i="49" s="1"/>
  <c r="K28" i="49"/>
  <c r="B145" i="49" s="1"/>
  <c r="X144" i="49"/>
  <c r="DF27" i="49"/>
  <c r="Q119" i="32"/>
  <c r="O120" i="32"/>
  <c r="T81" i="7"/>
  <c r="P81" i="7"/>
  <c r="BU42" i="49"/>
  <c r="T42" i="49"/>
  <c r="C213" i="49" s="1"/>
  <c r="FL42" i="49"/>
  <c r="AI213" i="49" s="1"/>
  <c r="DK42" i="49"/>
  <c r="V213" i="49" s="1"/>
  <c r="CO42" i="49"/>
  <c r="BT42" i="49"/>
  <c r="O213" i="49" s="1"/>
  <c r="S42" i="49"/>
  <c r="B213" i="49" s="1"/>
  <c r="CN42" i="49"/>
  <c r="R213" i="49" s="1"/>
  <c r="AW42" i="49"/>
  <c r="FI42" i="49"/>
  <c r="EN42" i="49"/>
  <c r="AD213" i="49" s="1"/>
  <c r="CM42" i="49"/>
  <c r="Q213" i="49" s="1"/>
  <c r="BQ42" i="49"/>
  <c r="AV42" i="49"/>
  <c r="J213" i="49" s="1"/>
  <c r="DQ42" i="49"/>
  <c r="BP42" i="49"/>
  <c r="M213" i="49" s="1"/>
  <c r="Y42" i="49"/>
  <c r="FG42" i="49"/>
  <c r="AF213" i="49" s="1"/>
  <c r="EK42" i="49"/>
  <c r="DP42" i="49"/>
  <c r="Y213" i="49" s="1"/>
  <c r="BO42" i="49"/>
  <c r="L213" i="49" s="1"/>
  <c r="AS42" i="49"/>
  <c r="X42" i="49"/>
  <c r="E213" i="49" s="1"/>
  <c r="EJ42" i="49"/>
  <c r="AB213" i="49" s="1"/>
  <c r="CS42" i="49"/>
  <c r="AR42" i="49"/>
  <c r="H213" i="49" s="1"/>
  <c r="EI42" i="49"/>
  <c r="AA213" i="49" s="1"/>
  <c r="DM42" i="49"/>
  <c r="CR42" i="49"/>
  <c r="T213" i="49" s="1"/>
  <c r="AQ42" i="49"/>
  <c r="G213" i="49" s="1"/>
  <c r="U42" i="49"/>
  <c r="H140" i="7"/>
  <c r="AH212" i="49"/>
  <c r="FJ41" i="49"/>
  <c r="BU59" i="49"/>
  <c r="T59" i="49"/>
  <c r="C230" i="49" s="1"/>
  <c r="FL59" i="49"/>
  <c r="AI230" i="49" s="1"/>
  <c r="DK59" i="49"/>
  <c r="V230" i="49" s="1"/>
  <c r="CO59" i="49"/>
  <c r="BT59" i="49"/>
  <c r="O230" i="49" s="1"/>
  <c r="S59" i="49"/>
  <c r="B230" i="49" s="1"/>
  <c r="CN59" i="49"/>
  <c r="R230" i="49" s="1"/>
  <c r="AW59" i="49"/>
  <c r="FI59" i="49"/>
  <c r="EN59" i="49"/>
  <c r="AD230" i="49" s="1"/>
  <c r="CM59" i="49"/>
  <c r="Q230" i="49" s="1"/>
  <c r="BQ59" i="49"/>
  <c r="AV59" i="49"/>
  <c r="J230" i="49" s="1"/>
  <c r="DQ59" i="49"/>
  <c r="BP59" i="49"/>
  <c r="M230" i="49" s="1"/>
  <c r="Y59" i="49"/>
  <c r="FG59" i="49"/>
  <c r="AF230" i="49" s="1"/>
  <c r="EK59" i="49"/>
  <c r="DP59" i="49"/>
  <c r="Y230" i="49" s="1"/>
  <c r="BO59" i="49"/>
  <c r="L230" i="49" s="1"/>
  <c r="AS59" i="49"/>
  <c r="X59" i="49"/>
  <c r="E230" i="49" s="1"/>
  <c r="EJ59" i="49"/>
  <c r="AB230" i="49" s="1"/>
  <c r="CS59" i="49"/>
  <c r="AR59" i="49"/>
  <c r="H230" i="49" s="1"/>
  <c r="EI59" i="49"/>
  <c r="AA230" i="49" s="1"/>
  <c r="DM59" i="49"/>
  <c r="CR59" i="49"/>
  <c r="T230" i="49" s="1"/>
  <c r="AQ59" i="49"/>
  <c r="G230" i="49" s="1"/>
  <c r="U59" i="49"/>
  <c r="H157" i="7"/>
  <c r="AH229" i="49"/>
  <c r="FJ58" i="49"/>
  <c r="AR27" i="49"/>
  <c r="H198" i="49" s="1"/>
  <c r="FG27" i="49"/>
  <c r="AF198" i="49" s="1"/>
  <c r="N175" i="49"/>
  <c r="BJ58" i="49"/>
  <c r="D175" i="49"/>
  <c r="N58" i="49"/>
  <c r="D133" i="49"/>
  <c r="N16" i="49"/>
  <c r="N133" i="49"/>
  <c r="BJ16" i="49"/>
  <c r="X133" i="49"/>
  <c r="DF16" i="49"/>
  <c r="L72" i="7"/>
  <c r="T72" i="7" s="1"/>
  <c r="DT4" i="49"/>
  <c r="AB81" i="49" s="1"/>
  <c r="D51" i="7"/>
  <c r="DT6" i="49"/>
  <c r="AB83" i="49" s="1"/>
  <c r="DT9" i="49"/>
  <c r="AB86" i="49" s="1"/>
  <c r="DT7" i="49"/>
  <c r="AB84" i="49" s="1"/>
  <c r="DT8" i="49"/>
  <c r="AB85" i="49" s="1"/>
  <c r="DT5" i="49"/>
  <c r="AB82" i="49" s="1"/>
  <c r="EB9" i="49"/>
  <c r="AB126" i="49" s="1"/>
  <c r="DT14" i="49"/>
  <c r="AB91" i="49" s="1"/>
  <c r="EB21" i="49"/>
  <c r="AB138" i="49" s="1"/>
  <c r="DT15" i="49"/>
  <c r="AB92" i="49" s="1"/>
  <c r="EJ21" i="49"/>
  <c r="AB192" i="49" s="1"/>
  <c r="EB10" i="49"/>
  <c r="AB127" i="49" s="1"/>
  <c r="DT11" i="49"/>
  <c r="AB88" i="49" s="1"/>
  <c r="DT13" i="49"/>
  <c r="AB90" i="49" s="1"/>
  <c r="DT10" i="49"/>
  <c r="AB87" i="49" s="1"/>
  <c r="DT12" i="49"/>
  <c r="AB89" i="49" s="1"/>
  <c r="DT21" i="49"/>
  <c r="AB93" i="49" s="1"/>
  <c r="DT24" i="49"/>
  <c r="AB96" i="49" s="1"/>
  <c r="EB11" i="49"/>
  <c r="AB128" i="49" s="1"/>
  <c r="DT27" i="49"/>
  <c r="AB99" i="49" s="1"/>
  <c r="DT29" i="49"/>
  <c r="AB101" i="49" s="1"/>
  <c r="EB22" i="49"/>
  <c r="AB139" i="49" s="1"/>
  <c r="DT36" i="49"/>
  <c r="AB102" i="49" s="1"/>
  <c r="DT23" i="49"/>
  <c r="AB95" i="49" s="1"/>
  <c r="DT26" i="49"/>
  <c r="AB98" i="49" s="1"/>
  <c r="EB36" i="49"/>
  <c r="AB153" i="49" s="1"/>
  <c r="EJ36" i="49"/>
  <c r="AB207" i="49" s="1"/>
  <c r="EJ22" i="49"/>
  <c r="AB193" i="49" s="1"/>
  <c r="DT22" i="49"/>
  <c r="AB94" i="49" s="1"/>
  <c r="DT25" i="49"/>
  <c r="AB97" i="49" s="1"/>
  <c r="DT28" i="49"/>
  <c r="AB100" i="49" s="1"/>
  <c r="DT37" i="49"/>
  <c r="AB103" i="49" s="1"/>
  <c r="DT46" i="49"/>
  <c r="AB112" i="49" s="1"/>
  <c r="DT41" i="49"/>
  <c r="AB107" i="49" s="1"/>
  <c r="DT54" i="49"/>
  <c r="AB113" i="49" s="1"/>
  <c r="EJ37" i="49"/>
  <c r="AB208" i="49" s="1"/>
  <c r="DT42" i="49"/>
  <c r="AB108" i="49" s="1"/>
  <c r="DT45" i="49"/>
  <c r="AB111" i="49" s="1"/>
  <c r="EB37" i="49"/>
  <c r="AB154" i="49" s="1"/>
  <c r="DT39" i="49"/>
  <c r="AB105" i="49" s="1"/>
  <c r="EJ54" i="49"/>
  <c r="AB225" i="49" s="1"/>
  <c r="EJ23" i="49"/>
  <c r="AB194" i="49" s="1"/>
  <c r="DT43" i="49"/>
  <c r="AB109" i="49" s="1"/>
  <c r="EB54" i="49"/>
  <c r="AB171" i="49" s="1"/>
  <c r="DT40" i="49"/>
  <c r="AB106" i="49" s="1"/>
  <c r="DT44" i="49"/>
  <c r="AB110" i="49" s="1"/>
  <c r="EB12" i="49"/>
  <c r="AB129" i="49" s="1"/>
  <c r="DT38" i="49"/>
  <c r="AB104" i="49" s="1"/>
  <c r="EB23" i="49"/>
  <c r="AB140" i="49" s="1"/>
  <c r="EB55" i="49"/>
  <c r="AB172" i="49" s="1"/>
  <c r="DT56" i="49"/>
  <c r="AB115" i="49" s="1"/>
  <c r="EJ55" i="49"/>
  <c r="AB226" i="49" s="1"/>
  <c r="DT64" i="49"/>
  <c r="AB123" i="49" s="1"/>
  <c r="EJ38" i="49"/>
  <c r="AB209" i="49" s="1"/>
  <c r="DT62" i="49"/>
  <c r="AB121" i="49" s="1"/>
  <c r="DT60" i="49"/>
  <c r="AB119" i="49" s="1"/>
  <c r="EB24" i="49"/>
  <c r="AB141" i="49" s="1"/>
  <c r="EJ24" i="49"/>
  <c r="AB195" i="49" s="1"/>
  <c r="EB38" i="49"/>
  <c r="AB155" i="49" s="1"/>
  <c r="DT55" i="49"/>
  <c r="AB114" i="49" s="1"/>
  <c r="DT58" i="49"/>
  <c r="AB117" i="49" s="1"/>
  <c r="EB13" i="49"/>
  <c r="AB130" i="49" s="1"/>
  <c r="DT59" i="49"/>
  <c r="AB118" i="49" s="1"/>
  <c r="DT57" i="49"/>
  <c r="AB116" i="49" s="1"/>
  <c r="DT65" i="49"/>
  <c r="AB124" i="49" s="1"/>
  <c r="DT66" i="49"/>
  <c r="AB125" i="49" s="1"/>
  <c r="DT61" i="49"/>
  <c r="AB120" i="49" s="1"/>
  <c r="DT63" i="49"/>
  <c r="AB122" i="49" s="1"/>
  <c r="EJ56" i="49"/>
  <c r="AB227" i="49" s="1"/>
  <c r="EB39" i="49"/>
  <c r="AB156" i="49" s="1"/>
  <c r="EB14" i="49"/>
  <c r="AB131" i="49" s="1"/>
  <c r="EJ25" i="49"/>
  <c r="AB196" i="49" s="1"/>
  <c r="EB56" i="49"/>
  <c r="AB173" i="49" s="1"/>
  <c r="EJ39" i="49"/>
  <c r="AB210" i="49" s="1"/>
  <c r="EB25" i="49"/>
  <c r="AB142" i="49" s="1"/>
  <c r="EB15" i="49"/>
  <c r="AB132" i="49" s="1"/>
  <c r="EB26" i="49"/>
  <c r="AB143" i="49" s="1"/>
  <c r="EB57" i="49"/>
  <c r="AB174" i="49" s="1"/>
  <c r="EJ40" i="49"/>
  <c r="AB211" i="49" s="1"/>
  <c r="EJ57" i="49"/>
  <c r="AB228" i="49" s="1"/>
  <c r="EJ26" i="49"/>
  <c r="AB197" i="49" s="1"/>
  <c r="EB40" i="49"/>
  <c r="AB157" i="49" s="1"/>
  <c r="DS4" i="49"/>
  <c r="AA81" i="49" s="1"/>
  <c r="G41" i="7"/>
  <c r="EG59" i="49" s="1"/>
  <c r="C51" i="7"/>
  <c r="DS6" i="49"/>
  <c r="AA83" i="49" s="1"/>
  <c r="EA9" i="49"/>
  <c r="AA126" i="49" s="1"/>
  <c r="DS7" i="49"/>
  <c r="AA84" i="49" s="1"/>
  <c r="DS8" i="49"/>
  <c r="AA85" i="49" s="1"/>
  <c r="DS5" i="49"/>
  <c r="AA82" i="49" s="1"/>
  <c r="DS9" i="49"/>
  <c r="AA86" i="49" s="1"/>
  <c r="EA10" i="49"/>
  <c r="AA127" i="49" s="1"/>
  <c r="DS11" i="49"/>
  <c r="AA88" i="49" s="1"/>
  <c r="DS10" i="49"/>
  <c r="AA87" i="49" s="1"/>
  <c r="EA21" i="49"/>
  <c r="AA138" i="49" s="1"/>
  <c r="DS12" i="49"/>
  <c r="AA89" i="49" s="1"/>
  <c r="DS13" i="49"/>
  <c r="AA90" i="49" s="1"/>
  <c r="DS21" i="49"/>
  <c r="AA93" i="49" s="1"/>
  <c r="EI21" i="49"/>
  <c r="AA192" i="49" s="1"/>
  <c r="DS14" i="49"/>
  <c r="AA91" i="49" s="1"/>
  <c r="DS15" i="49"/>
  <c r="AA92" i="49" s="1"/>
  <c r="EI22" i="49"/>
  <c r="AA193" i="49" s="1"/>
  <c r="DS22" i="49"/>
  <c r="AA94" i="49" s="1"/>
  <c r="DS25" i="49"/>
  <c r="AA97" i="49" s="1"/>
  <c r="EA22" i="49"/>
  <c r="AA139" i="49" s="1"/>
  <c r="DS28" i="49"/>
  <c r="AA100" i="49" s="1"/>
  <c r="DS24" i="49"/>
  <c r="AA96" i="49" s="1"/>
  <c r="DS27" i="49"/>
  <c r="AA99" i="49" s="1"/>
  <c r="DS29" i="49"/>
  <c r="AA101" i="49" s="1"/>
  <c r="DS23" i="49"/>
  <c r="AA95" i="49" s="1"/>
  <c r="DS26" i="49"/>
  <c r="AA98" i="49" s="1"/>
  <c r="EA36" i="49"/>
  <c r="AA153" i="49" s="1"/>
  <c r="DS36" i="49"/>
  <c r="AA102" i="49" s="1"/>
  <c r="EA11" i="49"/>
  <c r="AA128" i="49" s="1"/>
  <c r="EI36" i="49"/>
  <c r="AA207" i="49" s="1"/>
  <c r="DS43" i="49"/>
  <c r="AA109" i="49" s="1"/>
  <c r="EA54" i="49"/>
  <c r="AA171" i="49" s="1"/>
  <c r="DS40" i="49"/>
  <c r="AA106" i="49" s="1"/>
  <c r="EI37" i="49"/>
  <c r="AA208" i="49" s="1"/>
  <c r="DS44" i="49"/>
  <c r="AA110" i="49" s="1"/>
  <c r="DS38" i="49"/>
  <c r="AA104" i="49" s="1"/>
  <c r="DS37" i="49"/>
  <c r="AA103" i="49" s="1"/>
  <c r="EA23" i="49"/>
  <c r="AA140" i="49" s="1"/>
  <c r="DS46" i="49"/>
  <c r="AA112" i="49" s="1"/>
  <c r="DS41" i="49"/>
  <c r="AA107" i="49" s="1"/>
  <c r="DS54" i="49"/>
  <c r="AA113" i="49" s="1"/>
  <c r="DS42" i="49"/>
  <c r="AA108" i="49" s="1"/>
  <c r="DS45" i="49"/>
  <c r="AA111" i="49" s="1"/>
  <c r="EA37" i="49"/>
  <c r="AA154" i="49" s="1"/>
  <c r="DS39" i="49"/>
  <c r="AA105" i="49" s="1"/>
  <c r="EI54" i="49"/>
  <c r="AA225" i="49" s="1"/>
  <c r="EA12" i="49"/>
  <c r="AA129" i="49" s="1"/>
  <c r="EI23" i="49"/>
  <c r="AA194" i="49" s="1"/>
  <c r="DS59" i="49"/>
  <c r="AA118" i="49" s="1"/>
  <c r="DS57" i="49"/>
  <c r="AA116" i="49" s="1"/>
  <c r="DS65" i="49"/>
  <c r="AA124" i="49" s="1"/>
  <c r="DS66" i="49"/>
  <c r="AA125" i="49" s="1"/>
  <c r="DS61" i="49"/>
  <c r="AA120" i="49" s="1"/>
  <c r="DS63" i="49"/>
  <c r="AA122" i="49" s="1"/>
  <c r="EA55" i="49"/>
  <c r="AA172" i="49" s="1"/>
  <c r="DS56" i="49"/>
  <c r="AA115" i="49" s="1"/>
  <c r="EI55" i="49"/>
  <c r="AA226" i="49" s="1"/>
  <c r="DS64" i="49"/>
  <c r="AA123" i="49" s="1"/>
  <c r="EI38" i="49"/>
  <c r="AA209" i="49" s="1"/>
  <c r="DS62" i="49"/>
  <c r="AA121" i="49" s="1"/>
  <c r="EA13" i="49"/>
  <c r="AA130" i="49" s="1"/>
  <c r="DS60" i="49"/>
  <c r="AA119" i="49" s="1"/>
  <c r="EA24" i="49"/>
  <c r="AA141" i="49" s="1"/>
  <c r="EI24" i="49"/>
  <c r="AA195" i="49" s="1"/>
  <c r="EA38" i="49"/>
  <c r="AA155" i="49" s="1"/>
  <c r="DS55" i="49"/>
  <c r="AA114" i="49" s="1"/>
  <c r="DS58" i="49"/>
  <c r="AA117" i="49" s="1"/>
  <c r="EI56" i="49"/>
  <c r="AA227" i="49" s="1"/>
  <c r="EA14" i="49"/>
  <c r="AA131" i="49" s="1"/>
  <c r="EI39" i="49"/>
  <c r="AA210" i="49" s="1"/>
  <c r="EA25" i="49"/>
  <c r="AA142" i="49" s="1"/>
  <c r="EA39" i="49"/>
  <c r="AA156" i="49" s="1"/>
  <c r="EI25" i="49"/>
  <c r="AA196" i="49" s="1"/>
  <c r="EA56" i="49"/>
  <c r="AA173" i="49" s="1"/>
  <c r="EI26" i="49"/>
  <c r="AA197" i="49" s="1"/>
  <c r="EA15" i="49"/>
  <c r="AA132" i="49" s="1"/>
  <c r="EA40" i="49"/>
  <c r="AA157" i="49" s="1"/>
  <c r="EA26" i="49"/>
  <c r="AA143" i="49" s="1"/>
  <c r="EA57" i="49"/>
  <c r="AA174" i="49" s="1"/>
  <c r="EI40" i="49"/>
  <c r="AA211" i="49" s="1"/>
  <c r="EI57" i="49"/>
  <c r="AA228" i="49" s="1"/>
  <c r="EA41" i="49"/>
  <c r="AA158" i="49" s="1"/>
  <c r="AC158" i="49"/>
  <c r="ED41" i="49"/>
  <c r="EA27" i="49"/>
  <c r="AA144" i="49" s="1"/>
  <c r="AC144" i="49"/>
  <c r="ED27" i="49"/>
  <c r="L12" i="34"/>
  <c r="M12" i="34"/>
  <c r="J13" i="34" s="1"/>
  <c r="EJ41" i="49"/>
  <c r="AB212" i="49" s="1"/>
  <c r="BP41" i="49"/>
  <c r="M212" i="49" s="1"/>
  <c r="EJ58" i="49"/>
  <c r="AB229" i="49" s="1"/>
  <c r="BP58" i="49"/>
  <c r="M229" i="49" s="1"/>
  <c r="AH198" i="49"/>
  <c r="FJ27" i="49"/>
  <c r="CE58" i="49"/>
  <c r="Q175" i="49" s="1"/>
  <c r="S175" i="49"/>
  <c r="CH58" i="49"/>
  <c r="I175" i="49"/>
  <c r="AL58" i="49"/>
  <c r="C85" i="7"/>
  <c r="L85" i="7" s="1"/>
  <c r="D40" i="7"/>
  <c r="FH59" i="49" s="1"/>
  <c r="AG230" i="49" s="1"/>
  <c r="C75" i="7"/>
  <c r="C54" i="2"/>
  <c r="F54" i="2"/>
  <c r="AA13" i="25"/>
  <c r="Z14" i="25"/>
  <c r="AB13" i="25"/>
  <c r="AC13" i="25" s="1"/>
  <c r="W5" i="25" s="1"/>
  <c r="G42" i="7"/>
  <c r="C52" i="7"/>
  <c r="CF41" i="49"/>
  <c r="R158" i="49" s="1"/>
  <c r="AJ41" i="49"/>
  <c r="H158" i="49" s="1"/>
  <c r="CF27" i="49"/>
  <c r="R144" i="49" s="1"/>
  <c r="AJ27" i="49"/>
  <c r="H144" i="49" s="1"/>
  <c r="S11" i="26"/>
  <c r="T12" i="26"/>
  <c r="U12" i="26" s="1"/>
  <c r="W11" i="26"/>
  <c r="Y11" i="26" s="1"/>
  <c r="V11" i="26"/>
  <c r="D212" i="49"/>
  <c r="V41" i="49"/>
  <c r="CN41" i="49"/>
  <c r="R212" i="49" s="1"/>
  <c r="D229" i="49"/>
  <c r="V58" i="49"/>
  <c r="CN58" i="49"/>
  <c r="R229" i="49" s="1"/>
  <c r="BU28" i="49"/>
  <c r="T28" i="49"/>
  <c r="C199" i="49" s="1"/>
  <c r="FL28" i="49"/>
  <c r="AI199" i="49" s="1"/>
  <c r="DK28" i="49"/>
  <c r="V199" i="49" s="1"/>
  <c r="CO28" i="49"/>
  <c r="BT28" i="49"/>
  <c r="O199" i="49" s="1"/>
  <c r="S28" i="49"/>
  <c r="B199" i="49" s="1"/>
  <c r="CN28" i="49"/>
  <c r="R199" i="49" s="1"/>
  <c r="AW28" i="49"/>
  <c r="H126" i="7"/>
  <c r="FI28" i="49"/>
  <c r="EN28" i="49"/>
  <c r="AD199" i="49" s="1"/>
  <c r="CM28" i="49"/>
  <c r="Q199" i="49" s="1"/>
  <c r="BQ28" i="49"/>
  <c r="AV28" i="49"/>
  <c r="J199" i="49" s="1"/>
  <c r="DQ28" i="49"/>
  <c r="BP28" i="49"/>
  <c r="M199" i="49" s="1"/>
  <c r="Y28" i="49"/>
  <c r="FG28" i="49"/>
  <c r="AF199" i="49" s="1"/>
  <c r="EK28" i="49"/>
  <c r="DP28" i="49"/>
  <c r="Y199" i="49" s="1"/>
  <c r="BO28" i="49"/>
  <c r="L199" i="49" s="1"/>
  <c r="AS28" i="49"/>
  <c r="X28" i="49"/>
  <c r="E199" i="49" s="1"/>
  <c r="EJ28" i="49"/>
  <c r="AB199" i="49" s="1"/>
  <c r="CS28" i="49"/>
  <c r="AR28" i="49"/>
  <c r="H199" i="49" s="1"/>
  <c r="EI28" i="49"/>
  <c r="AA199" i="49" s="1"/>
  <c r="DM28" i="49"/>
  <c r="CR28" i="49"/>
  <c r="T199" i="49" s="1"/>
  <c r="AQ28" i="49"/>
  <c r="G199" i="49" s="1"/>
  <c r="U28" i="49"/>
  <c r="EJ27" i="49"/>
  <c r="AB198" i="49" s="1"/>
  <c r="BP27" i="49"/>
  <c r="M198" i="49" s="1"/>
  <c r="D38" i="7"/>
  <c r="C83" i="7"/>
  <c r="L83" i="7" s="1"/>
  <c r="C73" i="7"/>
  <c r="F52" i="2"/>
  <c r="C52" i="2"/>
  <c r="BT9" i="26" l="1"/>
  <c r="N12" i="34"/>
  <c r="BW9" i="26"/>
  <c r="BP9" i="26"/>
  <c r="BR9" i="26"/>
  <c r="BS9" i="26"/>
  <c r="I24" i="41"/>
  <c r="K24" i="41" s="1"/>
  <c r="EN5" i="7"/>
  <c r="EN13" i="7"/>
  <c r="EN6" i="7"/>
  <c r="EN15" i="7"/>
  <c r="FH28" i="49"/>
  <c r="AG199" i="49" s="1"/>
  <c r="EO28" i="49"/>
  <c r="EN10" i="7"/>
  <c r="FM59" i="49"/>
  <c r="FE28" i="49"/>
  <c r="FM42" i="49"/>
  <c r="FE59" i="49"/>
  <c r="FM28" i="49"/>
  <c r="P77" i="7"/>
  <c r="T76" i="7"/>
  <c r="EN4" i="7"/>
  <c r="EN14" i="7"/>
  <c r="P74" i="7"/>
  <c r="CB27" i="7"/>
  <c r="CB18" i="7"/>
  <c r="CB41" i="7" s="1"/>
  <c r="CB19" i="7"/>
  <c r="CB42" i="7" s="1"/>
  <c r="CB12" i="7"/>
  <c r="CB37" i="7" s="1"/>
  <c r="H52" i="7"/>
  <c r="CB26" i="7"/>
  <c r="CB20" i="7"/>
  <c r="CB21" i="7"/>
  <c r="CB13" i="7"/>
  <c r="CB38" i="7" s="1"/>
  <c r="CB11" i="7"/>
  <c r="CB25" i="7"/>
  <c r="CB22" i="7"/>
  <c r="CB14" i="7"/>
  <c r="CB39" i="7" s="1"/>
  <c r="CB23" i="7"/>
  <c r="CB15" i="7"/>
  <c r="CB10" i="7"/>
  <c r="CB36" i="7" s="1"/>
  <c r="CB4" i="7"/>
  <c r="CB31" i="7" s="1"/>
  <c r="CB24" i="7"/>
  <c r="EM11" i="7" s="1"/>
  <c r="CB16" i="7"/>
  <c r="CB17" i="7"/>
  <c r="CB40" i="7" s="1"/>
  <c r="CB9" i="7"/>
  <c r="CB35" i="7" s="1"/>
  <c r="CB8" i="7"/>
  <c r="CB34" i="7" s="1"/>
  <c r="CB7" i="7"/>
  <c r="CB6" i="7"/>
  <c r="CB33" i="7" s="1"/>
  <c r="CB5" i="7"/>
  <c r="CB32" i="7" s="1"/>
  <c r="AC230" i="49"/>
  <c r="EL59" i="49"/>
  <c r="S230" i="49"/>
  <c r="CP59" i="49"/>
  <c r="AH213" i="49"/>
  <c r="FJ42" i="49"/>
  <c r="N145" i="49"/>
  <c r="BJ28" i="49"/>
  <c r="X176" i="49"/>
  <c r="DF59" i="49"/>
  <c r="N176" i="49"/>
  <c r="BJ59" i="49"/>
  <c r="EN11" i="7"/>
  <c r="AC134" i="49"/>
  <c r="ED17" i="49"/>
  <c r="S134" i="49"/>
  <c r="CH17" i="49"/>
  <c r="N134" i="49"/>
  <c r="BJ17" i="49"/>
  <c r="AO4" i="7"/>
  <c r="AO24" i="7"/>
  <c r="AO22" i="7"/>
  <c r="AO14" i="7"/>
  <c r="AO39" i="7" s="1"/>
  <c r="AO18" i="7"/>
  <c r="AO41" i="7" s="1"/>
  <c r="AO19" i="7"/>
  <c r="AO42" i="7" s="1"/>
  <c r="AO23" i="7"/>
  <c r="AO15" i="7"/>
  <c r="AO17" i="7"/>
  <c r="AO40" i="7" s="1"/>
  <c r="AO5" i="7"/>
  <c r="AO27" i="7"/>
  <c r="AO8" i="7"/>
  <c r="AO9" i="7"/>
  <c r="AO35" i="7" s="1"/>
  <c r="AO13" i="7"/>
  <c r="AO38" i="7" s="1"/>
  <c r="AO12" i="7"/>
  <c r="AO37" i="7" s="1"/>
  <c r="AO20" i="7"/>
  <c r="AO21" i="7"/>
  <c r="AO6" i="7"/>
  <c r="AO16" i="7"/>
  <c r="AO11" i="7"/>
  <c r="AO10" i="7"/>
  <c r="AO36" i="7" s="1"/>
  <c r="AO7" i="7"/>
  <c r="AO25" i="7"/>
  <c r="AO26" i="7"/>
  <c r="S159" i="49"/>
  <c r="CH42" i="49"/>
  <c r="I159" i="49"/>
  <c r="AL42" i="49"/>
  <c r="EZ42" i="49"/>
  <c r="AG159" i="49" s="1"/>
  <c r="EG42" i="49"/>
  <c r="EJ29" i="49"/>
  <c r="AB200" i="49" s="1"/>
  <c r="CS29" i="49"/>
  <c r="AR29" i="49"/>
  <c r="H200" i="49" s="1"/>
  <c r="H127" i="7"/>
  <c r="EI29" i="49"/>
  <c r="AA200" i="49" s="1"/>
  <c r="DM29" i="49"/>
  <c r="CR29" i="49"/>
  <c r="T200" i="49" s="1"/>
  <c r="AQ29" i="49"/>
  <c r="G200" i="49" s="1"/>
  <c r="U29" i="49"/>
  <c r="FM29" i="49"/>
  <c r="DL29" i="49"/>
  <c r="W200" i="49" s="1"/>
  <c r="BU29" i="49"/>
  <c r="T29" i="49"/>
  <c r="C200" i="49" s="1"/>
  <c r="FL29" i="49"/>
  <c r="AI200" i="49" s="1"/>
  <c r="DK29" i="49"/>
  <c r="V200" i="49" s="1"/>
  <c r="CO29" i="49"/>
  <c r="BT29" i="49"/>
  <c r="O200" i="49" s="1"/>
  <c r="S29" i="49"/>
  <c r="B200" i="49" s="1"/>
  <c r="EO29" i="49"/>
  <c r="CN29" i="49"/>
  <c r="R200" i="49" s="1"/>
  <c r="AW29" i="49"/>
  <c r="FI29" i="49"/>
  <c r="EN29" i="49"/>
  <c r="AD200" i="49" s="1"/>
  <c r="CM29" i="49"/>
  <c r="Q200" i="49" s="1"/>
  <c r="BQ29" i="49"/>
  <c r="AV29" i="49"/>
  <c r="J200" i="49" s="1"/>
  <c r="FH29" i="49"/>
  <c r="AG200" i="49" s="1"/>
  <c r="DQ29" i="49"/>
  <c r="BP29" i="49"/>
  <c r="M200" i="49" s="1"/>
  <c r="Y29" i="49"/>
  <c r="FG29" i="49"/>
  <c r="AF200" i="49" s="1"/>
  <c r="EK29" i="49"/>
  <c r="DP29" i="49"/>
  <c r="Y200" i="49" s="1"/>
  <c r="BO29" i="49"/>
  <c r="L200" i="49" s="1"/>
  <c r="AS29" i="49"/>
  <c r="X29" i="49"/>
  <c r="E200" i="49" s="1"/>
  <c r="X199" i="49"/>
  <c r="DN28" i="49"/>
  <c r="T13" i="26"/>
  <c r="U13" i="26" s="1"/>
  <c r="W12" i="26"/>
  <c r="Y12" i="26" s="1"/>
  <c r="V12" i="26"/>
  <c r="S12" i="26"/>
  <c r="EJ43" i="49"/>
  <c r="AB214" i="49" s="1"/>
  <c r="CS43" i="49"/>
  <c r="AR43" i="49"/>
  <c r="H214" i="49" s="1"/>
  <c r="EI43" i="49"/>
  <c r="AA214" i="49" s="1"/>
  <c r="DM43" i="49"/>
  <c r="CR43" i="49"/>
  <c r="T214" i="49" s="1"/>
  <c r="AQ43" i="49"/>
  <c r="G214" i="49" s="1"/>
  <c r="U43" i="49"/>
  <c r="FM43" i="49"/>
  <c r="DL43" i="49"/>
  <c r="W214" i="49" s="1"/>
  <c r="BU43" i="49"/>
  <c r="T43" i="49"/>
  <c r="C214" i="49" s="1"/>
  <c r="FL43" i="49"/>
  <c r="AI214" i="49" s="1"/>
  <c r="DK43" i="49"/>
  <c r="V214" i="49" s="1"/>
  <c r="CO43" i="49"/>
  <c r="BT43" i="49"/>
  <c r="O214" i="49" s="1"/>
  <c r="S43" i="49"/>
  <c r="B214" i="49" s="1"/>
  <c r="EO43" i="49"/>
  <c r="CN43" i="49"/>
  <c r="R214" i="49" s="1"/>
  <c r="AW43" i="49"/>
  <c r="FI43" i="49"/>
  <c r="EN43" i="49"/>
  <c r="AD214" i="49" s="1"/>
  <c r="CM43" i="49"/>
  <c r="Q214" i="49" s="1"/>
  <c r="BQ43" i="49"/>
  <c r="AV43" i="49"/>
  <c r="J214" i="49" s="1"/>
  <c r="FH43" i="49"/>
  <c r="AG214" i="49" s="1"/>
  <c r="DQ43" i="49"/>
  <c r="BP43" i="49"/>
  <c r="M214" i="49" s="1"/>
  <c r="Y43" i="49"/>
  <c r="FG43" i="49"/>
  <c r="AF214" i="49" s="1"/>
  <c r="EK43" i="49"/>
  <c r="DP43" i="49"/>
  <c r="Y214" i="49" s="1"/>
  <c r="BO43" i="49"/>
  <c r="L214" i="49" s="1"/>
  <c r="AS43" i="49"/>
  <c r="X43" i="49"/>
  <c r="E214" i="49" s="1"/>
  <c r="H141" i="7"/>
  <c r="AC145" i="49"/>
  <c r="ED28" i="49"/>
  <c r="BX9" i="26"/>
  <c r="BM9" i="26"/>
  <c r="AC176" i="49"/>
  <c r="ED59" i="49"/>
  <c r="I41" i="9"/>
  <c r="X134" i="49"/>
  <c r="DF17" i="49"/>
  <c r="CC4" i="49"/>
  <c r="CC6" i="49"/>
  <c r="CC7" i="49"/>
  <c r="CC5" i="49"/>
  <c r="CK9" i="49"/>
  <c r="CC8" i="49"/>
  <c r="CC9" i="49"/>
  <c r="CC21" i="49"/>
  <c r="CC14" i="49"/>
  <c r="CK21" i="49"/>
  <c r="CK10" i="49"/>
  <c r="CS21" i="49"/>
  <c r="CC15" i="49"/>
  <c r="CC10" i="49"/>
  <c r="CC12" i="49"/>
  <c r="CC11" i="49"/>
  <c r="CC13" i="49"/>
  <c r="CC28" i="49"/>
  <c r="CK22" i="49"/>
  <c r="CC24" i="49"/>
  <c r="CC27" i="49"/>
  <c r="CC29" i="49"/>
  <c r="CC36" i="49"/>
  <c r="CC23" i="49"/>
  <c r="CK11" i="49"/>
  <c r="CC26" i="49"/>
  <c r="CK36" i="49"/>
  <c r="CS36" i="49"/>
  <c r="CS22" i="49"/>
  <c r="CC22" i="49"/>
  <c r="CC25" i="49"/>
  <c r="CC44" i="49"/>
  <c r="CK12" i="49"/>
  <c r="CC38" i="49"/>
  <c r="CK23" i="49"/>
  <c r="CC37" i="49"/>
  <c r="CC46" i="49"/>
  <c r="CC41" i="49"/>
  <c r="CC54" i="49"/>
  <c r="CC42" i="49"/>
  <c r="CC45" i="49"/>
  <c r="CK37" i="49"/>
  <c r="CC39" i="49"/>
  <c r="CS54" i="49"/>
  <c r="CS23" i="49"/>
  <c r="CC43" i="49"/>
  <c r="CK54" i="49"/>
  <c r="CC40" i="49"/>
  <c r="CS37" i="49"/>
  <c r="CC66" i="49"/>
  <c r="CC61" i="49"/>
  <c r="CC63" i="49"/>
  <c r="CK55" i="49"/>
  <c r="CC56" i="49"/>
  <c r="CS55" i="49"/>
  <c r="CC64" i="49"/>
  <c r="CS38" i="49"/>
  <c r="CC62" i="49"/>
  <c r="CK13" i="49"/>
  <c r="CC60" i="49"/>
  <c r="CK24" i="49"/>
  <c r="CS24" i="49"/>
  <c r="CK38" i="49"/>
  <c r="CC55" i="49"/>
  <c r="CC58" i="49"/>
  <c r="CC59" i="49"/>
  <c r="CC57" i="49"/>
  <c r="CC65" i="49"/>
  <c r="CK25" i="49"/>
  <c r="CK39" i="49"/>
  <c r="CK14" i="49"/>
  <c r="CS25" i="49"/>
  <c r="CK56" i="49"/>
  <c r="CS39" i="49"/>
  <c r="CS56" i="49"/>
  <c r="CK40" i="49"/>
  <c r="CK26" i="49"/>
  <c r="CK57" i="49"/>
  <c r="CS40" i="49"/>
  <c r="CS57" i="49"/>
  <c r="CK15" i="49"/>
  <c r="CS26" i="49"/>
  <c r="CS27" i="49"/>
  <c r="CS58" i="49"/>
  <c r="CS41" i="49"/>
  <c r="CK16" i="49"/>
  <c r="CK58" i="49"/>
  <c r="CK27" i="49"/>
  <c r="CK41" i="49"/>
  <c r="L73" i="7"/>
  <c r="P73" i="7" s="1"/>
  <c r="N199" i="49"/>
  <c r="BR28" i="49"/>
  <c r="T83" i="7"/>
  <c r="P83" i="7"/>
  <c r="AC199" i="49"/>
  <c r="EL28" i="49"/>
  <c r="CV4" i="49"/>
  <c r="W81" i="49" s="1"/>
  <c r="D48" i="7"/>
  <c r="CV6" i="49"/>
  <c r="W83" i="49" s="1"/>
  <c r="CV7" i="49"/>
  <c r="W84" i="49" s="1"/>
  <c r="DD9" i="49"/>
  <c r="W126" i="49" s="1"/>
  <c r="CV5" i="49"/>
  <c r="W82" i="49" s="1"/>
  <c r="CV9" i="49"/>
  <c r="W86" i="49" s="1"/>
  <c r="CV8" i="49"/>
  <c r="W85" i="49" s="1"/>
  <c r="CV14" i="49"/>
  <c r="W91" i="49" s="1"/>
  <c r="DD10" i="49"/>
  <c r="W127" i="49" s="1"/>
  <c r="DL21" i="49"/>
  <c r="W192" i="49" s="1"/>
  <c r="CV15" i="49"/>
  <c r="W92" i="49" s="1"/>
  <c r="CV10" i="49"/>
  <c r="W87" i="49" s="1"/>
  <c r="CV21" i="49"/>
  <c r="W93" i="49" s="1"/>
  <c r="CV12" i="49"/>
  <c r="W89" i="49" s="1"/>
  <c r="DD21" i="49"/>
  <c r="W138" i="49" s="1"/>
  <c r="CV11" i="49"/>
  <c r="W88" i="49" s="1"/>
  <c r="CV13" i="49"/>
  <c r="W90" i="49" s="1"/>
  <c r="CV28" i="49"/>
  <c r="W100" i="49" s="1"/>
  <c r="DD22" i="49"/>
  <c r="W139" i="49" s="1"/>
  <c r="CV24" i="49"/>
  <c r="W96" i="49" s="1"/>
  <c r="CV26" i="49"/>
  <c r="W98" i="49" s="1"/>
  <c r="CV27" i="49"/>
  <c r="W99" i="49" s="1"/>
  <c r="CV29" i="49"/>
  <c r="W101" i="49" s="1"/>
  <c r="DD11" i="49"/>
  <c r="W128" i="49" s="1"/>
  <c r="DL36" i="49"/>
  <c r="W207" i="49" s="1"/>
  <c r="CV36" i="49"/>
  <c r="W102" i="49" s="1"/>
  <c r="CV22" i="49"/>
  <c r="W94" i="49" s="1"/>
  <c r="CV23" i="49"/>
  <c r="W95" i="49" s="1"/>
  <c r="DD36" i="49"/>
  <c r="W153" i="49" s="1"/>
  <c r="DL22" i="49"/>
  <c r="W193" i="49" s="1"/>
  <c r="CV25" i="49"/>
  <c r="W97" i="49" s="1"/>
  <c r="CV38" i="49"/>
  <c r="W104" i="49" s="1"/>
  <c r="CV37" i="49"/>
  <c r="W103" i="49" s="1"/>
  <c r="DD23" i="49"/>
  <c r="W140" i="49" s="1"/>
  <c r="CV46" i="49"/>
  <c r="W112" i="49" s="1"/>
  <c r="CV41" i="49"/>
  <c r="W107" i="49" s="1"/>
  <c r="CV54" i="49"/>
  <c r="W113" i="49" s="1"/>
  <c r="CV42" i="49"/>
  <c r="W108" i="49" s="1"/>
  <c r="CV45" i="49"/>
  <c r="W111" i="49" s="1"/>
  <c r="DD37" i="49"/>
  <c r="W154" i="49" s="1"/>
  <c r="CV39" i="49"/>
  <c r="W105" i="49" s="1"/>
  <c r="CV40" i="49"/>
  <c r="W106" i="49" s="1"/>
  <c r="DL54" i="49"/>
  <c r="W225" i="49" s="1"/>
  <c r="CV44" i="49"/>
  <c r="W110" i="49" s="1"/>
  <c r="DL23" i="49"/>
  <c r="W194" i="49" s="1"/>
  <c r="CV43" i="49"/>
  <c r="W109" i="49" s="1"/>
  <c r="DD54" i="49"/>
  <c r="W171" i="49" s="1"/>
  <c r="DD12" i="49"/>
  <c r="W129" i="49" s="1"/>
  <c r="DL37" i="49"/>
  <c r="W208" i="49" s="1"/>
  <c r="CV66" i="49"/>
  <c r="W125" i="49" s="1"/>
  <c r="CV63" i="49"/>
  <c r="W122" i="49" s="1"/>
  <c r="DD55" i="49"/>
  <c r="W172" i="49" s="1"/>
  <c r="DD13" i="49"/>
  <c r="W130" i="49" s="1"/>
  <c r="CV56" i="49"/>
  <c r="W115" i="49" s="1"/>
  <c r="CV64" i="49"/>
  <c r="W123" i="49" s="1"/>
  <c r="CV62" i="49"/>
  <c r="W121" i="49" s="1"/>
  <c r="CV60" i="49"/>
  <c r="W119" i="49" s="1"/>
  <c r="DD24" i="49"/>
  <c r="W141" i="49" s="1"/>
  <c r="CV57" i="49"/>
  <c r="W116" i="49" s="1"/>
  <c r="CV65" i="49"/>
  <c r="W124" i="49" s="1"/>
  <c r="DD38" i="49"/>
  <c r="W155" i="49" s="1"/>
  <c r="CV61" i="49"/>
  <c r="W120" i="49" s="1"/>
  <c r="CV55" i="49"/>
  <c r="W114" i="49" s="1"/>
  <c r="CV58" i="49"/>
  <c r="W117" i="49" s="1"/>
  <c r="DL55" i="49"/>
  <c r="W226" i="49" s="1"/>
  <c r="DL38" i="49"/>
  <c r="W209" i="49" s="1"/>
  <c r="CV59" i="49"/>
  <c r="W118" i="49" s="1"/>
  <c r="DL24" i="49"/>
  <c r="W195" i="49" s="1"/>
  <c r="DL56" i="49"/>
  <c r="W227" i="49" s="1"/>
  <c r="DD14" i="49"/>
  <c r="W131" i="49" s="1"/>
  <c r="DD56" i="49"/>
  <c r="W173" i="49" s="1"/>
  <c r="DL25" i="49"/>
  <c r="W196" i="49" s="1"/>
  <c r="DD25" i="49"/>
  <c r="W142" i="49" s="1"/>
  <c r="DD39" i="49"/>
  <c r="W156" i="49" s="1"/>
  <c r="DL39" i="49"/>
  <c r="W210" i="49" s="1"/>
  <c r="DD40" i="49"/>
  <c r="W157" i="49" s="1"/>
  <c r="DD57" i="49"/>
  <c r="W174" i="49" s="1"/>
  <c r="DD26" i="49"/>
  <c r="W143" i="49" s="1"/>
  <c r="DD15" i="49"/>
  <c r="W132" i="49" s="1"/>
  <c r="DL40" i="49"/>
  <c r="W211" i="49" s="1"/>
  <c r="DL57" i="49"/>
  <c r="W228" i="49" s="1"/>
  <c r="DL26" i="49"/>
  <c r="W197" i="49" s="1"/>
  <c r="DD16" i="49"/>
  <c r="W133" i="49" s="1"/>
  <c r="DL27" i="49"/>
  <c r="W198" i="49" s="1"/>
  <c r="DL58" i="49"/>
  <c r="W229" i="49" s="1"/>
  <c r="DL41" i="49"/>
  <c r="W212" i="49" s="1"/>
  <c r="DD58" i="49"/>
  <c r="W175" i="49" s="1"/>
  <c r="DD27" i="49"/>
  <c r="W144" i="49" s="1"/>
  <c r="DD41" i="49"/>
  <c r="W158" i="49" s="1"/>
  <c r="S199" i="49"/>
  <c r="CP28" i="49"/>
  <c r="BU4" i="7"/>
  <c r="BU24" i="7"/>
  <c r="BU23" i="7"/>
  <c r="BU15" i="7"/>
  <c r="BU18" i="7"/>
  <c r="BU41" i="7" s="1"/>
  <c r="BU19" i="7"/>
  <c r="BU42" i="7" s="1"/>
  <c r="BU22" i="7"/>
  <c r="BU17" i="7"/>
  <c r="BU40" i="7" s="1"/>
  <c r="BU14" i="7"/>
  <c r="BU39" i="7" s="1"/>
  <c r="BU6" i="7"/>
  <c r="BU33" i="7" s="1"/>
  <c r="BU7" i="7"/>
  <c r="BU11" i="7"/>
  <c r="BU12" i="7"/>
  <c r="BU37" i="7" s="1"/>
  <c r="BU5" i="7"/>
  <c r="BU32" i="7" s="1"/>
  <c r="BU25" i="7"/>
  <c r="BU26" i="7"/>
  <c r="BU16" i="7"/>
  <c r="BU8" i="7"/>
  <c r="BU34" i="7" s="1"/>
  <c r="BU9" i="7"/>
  <c r="BU35" i="7" s="1"/>
  <c r="BU13" i="7"/>
  <c r="BU38" i="7" s="1"/>
  <c r="BU10" i="7"/>
  <c r="BU36" i="7" s="1"/>
  <c r="BU20" i="7"/>
  <c r="BU21" i="7"/>
  <c r="BU27" i="7"/>
  <c r="P72" i="7"/>
  <c r="AH230" i="49"/>
  <c r="FJ59" i="49"/>
  <c r="D213" i="49"/>
  <c r="V42" i="49"/>
  <c r="DD28" i="49"/>
  <c r="W145" i="49" s="1"/>
  <c r="BQ9" i="26"/>
  <c r="BU9" i="26"/>
  <c r="C25" i="41"/>
  <c r="F25" i="41"/>
  <c r="AG4" i="7"/>
  <c r="AG31" i="7" s="1"/>
  <c r="AG15" i="7"/>
  <c r="AG17" i="7"/>
  <c r="AG40" i="7" s="1"/>
  <c r="AG22" i="7"/>
  <c r="AG14" i="7"/>
  <c r="AG39" i="7" s="1"/>
  <c r="AG18" i="7"/>
  <c r="AG41" i="7" s="1"/>
  <c r="AG24" i="7"/>
  <c r="AG19" i="7"/>
  <c r="AG42" i="7" s="1"/>
  <c r="AG23" i="7"/>
  <c r="AG11" i="7"/>
  <c r="AG10" i="7"/>
  <c r="AG36" i="7" s="1"/>
  <c r="AG5" i="7"/>
  <c r="AG32" i="7" s="1"/>
  <c r="AG6" i="7"/>
  <c r="AG33" i="7" s="1"/>
  <c r="AG25" i="7"/>
  <c r="AG26" i="7"/>
  <c r="AG8" i="7"/>
  <c r="AG34" i="7" s="1"/>
  <c r="AG27" i="7"/>
  <c r="AG16" i="7"/>
  <c r="AG7" i="7"/>
  <c r="AG13" i="7"/>
  <c r="AG38" i="7" s="1"/>
  <c r="AG12" i="7"/>
  <c r="AG37" i="7" s="1"/>
  <c r="AG9" i="7"/>
  <c r="AG35" i="7" s="1"/>
  <c r="AG20" i="7"/>
  <c r="AG21" i="7"/>
  <c r="T71" i="7"/>
  <c r="D39" i="27"/>
  <c r="D38" i="27"/>
  <c r="BL26" i="7"/>
  <c r="BL20" i="7"/>
  <c r="BL21" i="7"/>
  <c r="BL13" i="7"/>
  <c r="BL38" i="7" s="1"/>
  <c r="BL11" i="7"/>
  <c r="BL25" i="7"/>
  <c r="BL22" i="7"/>
  <c r="BL14" i="7"/>
  <c r="BL39" i="7" s="1"/>
  <c r="BL23" i="7"/>
  <c r="BL15" i="7"/>
  <c r="BL10" i="7"/>
  <c r="BL36" i="7" s="1"/>
  <c r="BL4" i="7"/>
  <c r="BL24" i="7"/>
  <c r="BL16" i="7"/>
  <c r="BL17" i="7"/>
  <c r="BL40" i="7" s="1"/>
  <c r="BL9" i="7"/>
  <c r="BL35" i="7" s="1"/>
  <c r="BL8" i="7"/>
  <c r="BL34" i="7" s="1"/>
  <c r="BL7" i="7"/>
  <c r="BL6" i="7"/>
  <c r="BL33" i="7" s="1"/>
  <c r="BL5" i="7"/>
  <c r="BL32" i="7" s="1"/>
  <c r="H50" i="7"/>
  <c r="BL27" i="7"/>
  <c r="BL18" i="7"/>
  <c r="BL41" i="7" s="1"/>
  <c r="BL19" i="7"/>
  <c r="BL42" i="7" s="1"/>
  <c r="BL12" i="7"/>
  <c r="BL37" i="7" s="1"/>
  <c r="X159" i="49"/>
  <c r="DF42" i="49"/>
  <c r="N159" i="49"/>
  <c r="BJ42" i="49"/>
  <c r="AH199" i="49"/>
  <c r="FJ28" i="49"/>
  <c r="Z15" i="25"/>
  <c r="AB14" i="25"/>
  <c r="AC14" i="25" s="1"/>
  <c r="AA14" i="25"/>
  <c r="EJ60" i="49"/>
  <c r="AB231" i="49" s="1"/>
  <c r="CS60" i="49"/>
  <c r="AR60" i="49"/>
  <c r="H231" i="49" s="1"/>
  <c r="EI60" i="49"/>
  <c r="AA231" i="49" s="1"/>
  <c r="DM60" i="49"/>
  <c r="CR60" i="49"/>
  <c r="T231" i="49" s="1"/>
  <c r="AQ60" i="49"/>
  <c r="G231" i="49" s="1"/>
  <c r="U60" i="49"/>
  <c r="FM60" i="49"/>
  <c r="DL60" i="49"/>
  <c r="W231" i="49" s="1"/>
  <c r="BU60" i="49"/>
  <c r="T60" i="49"/>
  <c r="C231" i="49" s="1"/>
  <c r="FL60" i="49"/>
  <c r="AI231" i="49" s="1"/>
  <c r="DK60" i="49"/>
  <c r="V231" i="49" s="1"/>
  <c r="CO60" i="49"/>
  <c r="BT60" i="49"/>
  <c r="O231" i="49" s="1"/>
  <c r="S60" i="49"/>
  <c r="B231" i="49" s="1"/>
  <c r="EO60" i="49"/>
  <c r="CN60" i="49"/>
  <c r="R231" i="49" s="1"/>
  <c r="AW60" i="49"/>
  <c r="FI60" i="49"/>
  <c r="EN60" i="49"/>
  <c r="AD231" i="49" s="1"/>
  <c r="CM60" i="49"/>
  <c r="Q231" i="49" s="1"/>
  <c r="BQ60" i="49"/>
  <c r="AV60" i="49"/>
  <c r="J231" i="49" s="1"/>
  <c r="FH60" i="49"/>
  <c r="AG231" i="49" s="1"/>
  <c r="DQ60" i="49"/>
  <c r="BP60" i="49"/>
  <c r="M231" i="49" s="1"/>
  <c r="Y60" i="49"/>
  <c r="FG60" i="49"/>
  <c r="AF231" i="49" s="1"/>
  <c r="EK60" i="49"/>
  <c r="DP60" i="49"/>
  <c r="Y231" i="49" s="1"/>
  <c r="BO60" i="49"/>
  <c r="L231" i="49" s="1"/>
  <c r="AS60" i="49"/>
  <c r="X60" i="49"/>
  <c r="E231" i="49" s="1"/>
  <c r="H158" i="7"/>
  <c r="I213" i="49"/>
  <c r="AT42" i="49"/>
  <c r="FH42" i="49"/>
  <c r="AG213" i="49" s="1"/>
  <c r="EO42" i="49"/>
  <c r="DL42" i="49"/>
  <c r="W213" i="49" s="1"/>
  <c r="AH145" i="49"/>
  <c r="FB28" i="49"/>
  <c r="R120" i="32"/>
  <c r="P121" i="32"/>
  <c r="BY9" i="26"/>
  <c r="FE60" i="49"/>
  <c r="DD60" i="49"/>
  <c r="W177" i="49" s="1"/>
  <c r="BM60" i="49"/>
  <c r="L60" i="49"/>
  <c r="C177" i="49" s="1"/>
  <c r="FD60" i="49"/>
  <c r="AI177" i="49" s="1"/>
  <c r="DC60" i="49"/>
  <c r="V177" i="49" s="1"/>
  <c r="CG60" i="49"/>
  <c r="BL60" i="49"/>
  <c r="O177" i="49" s="1"/>
  <c r="K60" i="49"/>
  <c r="B177" i="49" s="1"/>
  <c r="EG60" i="49"/>
  <c r="CF60" i="49"/>
  <c r="R177" i="49" s="1"/>
  <c r="AO60" i="49"/>
  <c r="FA60" i="49"/>
  <c r="EF60" i="49"/>
  <c r="AD177" i="49" s="1"/>
  <c r="CE60" i="49"/>
  <c r="Q177" i="49" s="1"/>
  <c r="BI60" i="49"/>
  <c r="AN60" i="49"/>
  <c r="J177" i="49" s="1"/>
  <c r="EZ60" i="49"/>
  <c r="AG177" i="49" s="1"/>
  <c r="DI60" i="49"/>
  <c r="BH60" i="49"/>
  <c r="M177" i="49" s="1"/>
  <c r="Q60" i="49"/>
  <c r="EY60" i="49"/>
  <c r="AF177" i="49" s="1"/>
  <c r="EC60" i="49"/>
  <c r="DH60" i="49"/>
  <c r="Y177" i="49" s="1"/>
  <c r="BG60" i="49"/>
  <c r="L177" i="49" s="1"/>
  <c r="AK60" i="49"/>
  <c r="P60" i="49"/>
  <c r="E177" i="49" s="1"/>
  <c r="EB60" i="49"/>
  <c r="AB177" i="49" s="1"/>
  <c r="CK60" i="49"/>
  <c r="AJ60" i="49"/>
  <c r="H177" i="49" s="1"/>
  <c r="EA60" i="49"/>
  <c r="AA177" i="49" s="1"/>
  <c r="DE60" i="49"/>
  <c r="CJ60" i="49"/>
  <c r="T177" i="49" s="1"/>
  <c r="AI60" i="49"/>
  <c r="G177" i="49" s="1"/>
  <c r="M60" i="49"/>
  <c r="F158" i="7"/>
  <c r="DD59" i="49"/>
  <c r="W176" i="49" s="1"/>
  <c r="AH176" i="49"/>
  <c r="FB59" i="49"/>
  <c r="EN9" i="7"/>
  <c r="EZ18" i="49"/>
  <c r="AG135" i="49" s="1"/>
  <c r="DI18" i="49"/>
  <c r="BH18" i="49"/>
  <c r="M135" i="49" s="1"/>
  <c r="Q18" i="49"/>
  <c r="EY18" i="49"/>
  <c r="AF135" i="49" s="1"/>
  <c r="DH18" i="49"/>
  <c r="Y135" i="49" s="1"/>
  <c r="CG18" i="49"/>
  <c r="BG18" i="49"/>
  <c r="L135" i="49" s="1"/>
  <c r="P18" i="49"/>
  <c r="E135" i="49" s="1"/>
  <c r="EG18" i="49"/>
  <c r="CF18" i="49"/>
  <c r="R135" i="49" s="1"/>
  <c r="AO18" i="49"/>
  <c r="EF18" i="49"/>
  <c r="AD135" i="49" s="1"/>
  <c r="DE18" i="49"/>
  <c r="CE18" i="49"/>
  <c r="Q135" i="49" s="1"/>
  <c r="AN18" i="49"/>
  <c r="J135" i="49" s="1"/>
  <c r="M18" i="49"/>
  <c r="FE18" i="49"/>
  <c r="DD18" i="49"/>
  <c r="W135" i="49" s="1"/>
  <c r="BM18" i="49"/>
  <c r="L18" i="49"/>
  <c r="C135" i="49" s="1"/>
  <c r="FD18" i="49"/>
  <c r="AI135" i="49" s="1"/>
  <c r="EC18" i="49"/>
  <c r="DC18" i="49"/>
  <c r="V135" i="49" s="1"/>
  <c r="BL18" i="49"/>
  <c r="O135" i="49" s="1"/>
  <c r="AK18" i="49"/>
  <c r="K18" i="49"/>
  <c r="B135" i="49" s="1"/>
  <c r="EB18" i="49"/>
  <c r="AB135" i="49" s="1"/>
  <c r="CK18" i="49"/>
  <c r="AJ18" i="49"/>
  <c r="H135" i="49" s="1"/>
  <c r="F116" i="7"/>
  <c r="FA18" i="49"/>
  <c r="EA18" i="49"/>
  <c r="AA135" i="49" s="1"/>
  <c r="CJ18" i="49"/>
  <c r="T135" i="49" s="1"/>
  <c r="BI18" i="49"/>
  <c r="AI18" i="49"/>
  <c r="G135" i="49" s="1"/>
  <c r="AH134" i="49"/>
  <c r="FB17" i="49"/>
  <c r="M61" i="7"/>
  <c r="M56" i="7"/>
  <c r="BD21" i="7"/>
  <c r="BD13" i="7"/>
  <c r="BD38" i="7" s="1"/>
  <c r="BD11" i="7"/>
  <c r="M64" i="7"/>
  <c r="M59" i="7"/>
  <c r="BD25" i="7"/>
  <c r="BD22" i="7"/>
  <c r="BD14" i="7"/>
  <c r="BD39" i="7" s="1"/>
  <c r="M67" i="7"/>
  <c r="M62" i="7"/>
  <c r="BD23" i="7"/>
  <c r="BD15" i="7"/>
  <c r="BD10" i="7"/>
  <c r="BD36" i="7" s="1"/>
  <c r="BD4" i="7"/>
  <c r="BD31" i="7" s="1"/>
  <c r="M86" i="7"/>
  <c r="M84" i="7"/>
  <c r="M82" i="7"/>
  <c r="M77" i="7"/>
  <c r="Q77" i="7" s="1"/>
  <c r="M75" i="7"/>
  <c r="Q75" i="7" s="1"/>
  <c r="M73" i="7"/>
  <c r="U73" i="7" s="1"/>
  <c r="M71" i="7"/>
  <c r="Q71" i="7" s="1"/>
  <c r="M65" i="7"/>
  <c r="BD24" i="7"/>
  <c r="BD16" i="7"/>
  <c r="M63" i="7"/>
  <c r="H49" i="7"/>
  <c r="BD17" i="7"/>
  <c r="BD40" i="7" s="1"/>
  <c r="M66" i="7"/>
  <c r="M57" i="7"/>
  <c r="BD27" i="7"/>
  <c r="BD18" i="7"/>
  <c r="BD41" i="7" s="1"/>
  <c r="M60" i="7"/>
  <c r="BD19" i="7"/>
  <c r="BD42" i="7" s="1"/>
  <c r="BD12" i="7"/>
  <c r="BD37" i="7" s="1"/>
  <c r="M87" i="7"/>
  <c r="M85" i="7"/>
  <c r="M83" i="7"/>
  <c r="M81" i="7"/>
  <c r="M76" i="7"/>
  <c r="U76" i="7" s="1"/>
  <c r="M74" i="7"/>
  <c r="U74" i="7" s="1"/>
  <c r="M72" i="7"/>
  <c r="U72" i="7" s="1"/>
  <c r="M58" i="7"/>
  <c r="BD26" i="7"/>
  <c r="BD20" i="7"/>
  <c r="BD7" i="7"/>
  <c r="BD8" i="7"/>
  <c r="BD34" i="7" s="1"/>
  <c r="BD5" i="7"/>
  <c r="BD32" i="7" s="1"/>
  <c r="BD9" i="7"/>
  <c r="BD35" i="7" s="1"/>
  <c r="BD6" i="7"/>
  <c r="BD33" i="7" s="1"/>
  <c r="AC159" i="49"/>
  <c r="ED42" i="49"/>
  <c r="D230" i="49"/>
  <c r="V59" i="49"/>
  <c r="D145" i="49"/>
  <c r="N28" i="49"/>
  <c r="FE29" i="49"/>
  <c r="DD29" i="49"/>
  <c r="W146" i="49" s="1"/>
  <c r="BM29" i="49"/>
  <c r="L29" i="49"/>
  <c r="C146" i="49" s="1"/>
  <c r="FD29" i="49"/>
  <c r="AI146" i="49" s="1"/>
  <c r="DC29" i="49"/>
  <c r="V146" i="49" s="1"/>
  <c r="CG29" i="49"/>
  <c r="BL29" i="49"/>
  <c r="O146" i="49" s="1"/>
  <c r="K29" i="49"/>
  <c r="B146" i="49" s="1"/>
  <c r="F127" i="7"/>
  <c r="EG29" i="49"/>
  <c r="CF29" i="49"/>
  <c r="R146" i="49" s="1"/>
  <c r="AO29" i="49"/>
  <c r="FA29" i="49"/>
  <c r="EF29" i="49"/>
  <c r="AD146" i="49" s="1"/>
  <c r="CE29" i="49"/>
  <c r="Q146" i="49" s="1"/>
  <c r="BI29" i="49"/>
  <c r="AN29" i="49"/>
  <c r="J146" i="49" s="1"/>
  <c r="EZ29" i="49"/>
  <c r="AG146" i="49" s="1"/>
  <c r="DI29" i="49"/>
  <c r="BH29" i="49"/>
  <c r="M146" i="49" s="1"/>
  <c r="Q29" i="49"/>
  <c r="EY29" i="49"/>
  <c r="AF146" i="49" s="1"/>
  <c r="EC29" i="49"/>
  <c r="DH29" i="49"/>
  <c r="Y146" i="49" s="1"/>
  <c r="BG29" i="49"/>
  <c r="L146" i="49" s="1"/>
  <c r="AK29" i="49"/>
  <c r="P29" i="49"/>
  <c r="E146" i="49" s="1"/>
  <c r="EB29" i="49"/>
  <c r="AB146" i="49" s="1"/>
  <c r="CK29" i="49"/>
  <c r="AJ29" i="49"/>
  <c r="H146" i="49" s="1"/>
  <c r="EA29" i="49"/>
  <c r="AA146" i="49" s="1"/>
  <c r="DE29" i="49"/>
  <c r="CJ29" i="49"/>
  <c r="T146" i="49" s="1"/>
  <c r="AI29" i="49"/>
  <c r="G146" i="49" s="1"/>
  <c r="M29" i="49"/>
  <c r="AJ12" i="25"/>
  <c r="AH12" i="25"/>
  <c r="DD17" i="49"/>
  <c r="W134" i="49" s="1"/>
  <c r="EW4" i="49"/>
  <c r="EW7" i="49"/>
  <c r="EW8" i="49"/>
  <c r="EW6" i="49"/>
  <c r="EW9" i="49"/>
  <c r="EW5" i="49"/>
  <c r="FE9" i="49"/>
  <c r="FE10" i="49"/>
  <c r="FM21" i="49"/>
  <c r="EW11" i="49"/>
  <c r="EW10" i="49"/>
  <c r="EW21" i="49"/>
  <c r="EW12" i="49"/>
  <c r="EW13" i="49"/>
  <c r="FE21" i="49"/>
  <c r="EW14" i="49"/>
  <c r="EW15" i="49"/>
  <c r="EW24" i="49"/>
  <c r="EW26" i="49"/>
  <c r="FE22" i="49"/>
  <c r="EW27" i="49"/>
  <c r="EW29" i="49"/>
  <c r="FM36" i="49"/>
  <c r="EW36" i="49"/>
  <c r="EW22" i="49"/>
  <c r="EW23" i="49"/>
  <c r="FE36" i="49"/>
  <c r="FM22" i="49"/>
  <c r="EW25" i="49"/>
  <c r="FE11" i="49"/>
  <c r="EW28" i="49"/>
  <c r="EW37" i="49"/>
  <c r="FE23" i="49"/>
  <c r="EW46" i="49"/>
  <c r="EW41" i="49"/>
  <c r="EW54" i="49"/>
  <c r="EW42" i="49"/>
  <c r="EW45" i="49"/>
  <c r="FE37" i="49"/>
  <c r="EW39" i="49"/>
  <c r="EW40" i="49"/>
  <c r="FM54" i="49"/>
  <c r="EW44" i="49"/>
  <c r="FM23" i="49"/>
  <c r="FM37" i="49"/>
  <c r="EW43" i="49"/>
  <c r="FE54" i="49"/>
  <c r="FE12" i="49"/>
  <c r="EW38" i="49"/>
  <c r="FE55" i="49"/>
  <c r="EW56" i="49"/>
  <c r="EW64" i="49"/>
  <c r="EW62" i="49"/>
  <c r="EW60" i="49"/>
  <c r="FE24" i="49"/>
  <c r="EW58" i="49"/>
  <c r="EW57" i="49"/>
  <c r="EW65" i="49"/>
  <c r="FE38" i="49"/>
  <c r="EW61" i="49"/>
  <c r="FE13" i="49"/>
  <c r="EW55" i="49"/>
  <c r="FM55" i="49"/>
  <c r="FM38" i="49"/>
  <c r="EW59" i="49"/>
  <c r="FM24" i="49"/>
  <c r="EW66" i="49"/>
  <c r="EW63" i="49"/>
  <c r="FE56" i="49"/>
  <c r="FE14" i="49"/>
  <c r="FM25" i="49"/>
  <c r="FE25" i="49"/>
  <c r="FE39" i="49"/>
  <c r="FM39" i="49"/>
  <c r="FM56" i="49"/>
  <c r="FE15" i="49"/>
  <c r="FE57" i="49"/>
  <c r="FE26" i="49"/>
  <c r="FM40" i="49"/>
  <c r="FM57" i="49"/>
  <c r="FM26" i="49"/>
  <c r="FE40" i="49"/>
  <c r="FM27" i="49"/>
  <c r="FM58" i="49"/>
  <c r="FM41" i="49"/>
  <c r="FE16" i="49"/>
  <c r="FE58" i="49"/>
  <c r="FE27" i="49"/>
  <c r="FE41" i="49"/>
  <c r="L75" i="7"/>
  <c r="P75" i="7" s="1"/>
  <c r="L13" i="34"/>
  <c r="M13" i="34"/>
  <c r="J14" i="34" s="1"/>
  <c r="I230" i="49"/>
  <c r="AT59" i="49"/>
  <c r="EO59" i="49"/>
  <c r="DL59" i="49"/>
  <c r="W230" i="49" s="1"/>
  <c r="X213" i="49"/>
  <c r="DN42" i="49"/>
  <c r="N213" i="49"/>
  <c r="BR42" i="49"/>
  <c r="S145" i="49"/>
  <c r="CH28" i="49"/>
  <c r="D176" i="49"/>
  <c r="N59" i="49"/>
  <c r="EN7" i="7"/>
  <c r="I134" i="49"/>
  <c r="AL17" i="49"/>
  <c r="EG17" i="49"/>
  <c r="FE43" i="49"/>
  <c r="DD43" i="49"/>
  <c r="W160" i="49" s="1"/>
  <c r="BM43" i="49"/>
  <c r="L43" i="49"/>
  <c r="C160" i="49" s="1"/>
  <c r="FD43" i="49"/>
  <c r="AI160" i="49" s="1"/>
  <c r="DC43" i="49"/>
  <c r="V160" i="49" s="1"/>
  <c r="CG43" i="49"/>
  <c r="BL43" i="49"/>
  <c r="O160" i="49" s="1"/>
  <c r="K43" i="49"/>
  <c r="B160" i="49" s="1"/>
  <c r="EG43" i="49"/>
  <c r="CF43" i="49"/>
  <c r="R160" i="49" s="1"/>
  <c r="AO43" i="49"/>
  <c r="FA43" i="49"/>
  <c r="EF43" i="49"/>
  <c r="AD160" i="49" s="1"/>
  <c r="CE43" i="49"/>
  <c r="Q160" i="49" s="1"/>
  <c r="BI43" i="49"/>
  <c r="AN43" i="49"/>
  <c r="J160" i="49" s="1"/>
  <c r="EZ43" i="49"/>
  <c r="AG160" i="49" s="1"/>
  <c r="DI43" i="49"/>
  <c r="BH43" i="49"/>
  <c r="M160" i="49" s="1"/>
  <c r="Q43" i="49"/>
  <c r="EY43" i="49"/>
  <c r="AF160" i="49" s="1"/>
  <c r="EC43" i="49"/>
  <c r="DH43" i="49"/>
  <c r="Y160" i="49" s="1"/>
  <c r="BG43" i="49"/>
  <c r="L160" i="49" s="1"/>
  <c r="AK43" i="49"/>
  <c r="P43" i="49"/>
  <c r="E160" i="49" s="1"/>
  <c r="EB43" i="49"/>
  <c r="AB160" i="49" s="1"/>
  <c r="CK43" i="49"/>
  <c r="AJ43" i="49"/>
  <c r="H160" i="49" s="1"/>
  <c r="EA43" i="49"/>
  <c r="AA160" i="49" s="1"/>
  <c r="DE43" i="49"/>
  <c r="CJ43" i="49"/>
  <c r="T160" i="49" s="1"/>
  <c r="AI43" i="49"/>
  <c r="G160" i="49" s="1"/>
  <c r="M43" i="49"/>
  <c r="F141" i="7"/>
  <c r="DD42" i="49"/>
  <c r="W159" i="49" s="1"/>
  <c r="CK42" i="49"/>
  <c r="AH159" i="49"/>
  <c r="FB42" i="49"/>
  <c r="D199" i="49"/>
  <c r="V28" i="49"/>
  <c r="I199" i="49"/>
  <c r="AT28" i="49"/>
  <c r="ER4" i="49"/>
  <c r="AG81" i="49" s="1"/>
  <c r="D50" i="7"/>
  <c r="ER9" i="49"/>
  <c r="AG86" i="49" s="1"/>
  <c r="ER8" i="49"/>
  <c r="AG85" i="49" s="1"/>
  <c r="ER6" i="49"/>
  <c r="AG83" i="49" s="1"/>
  <c r="ER5" i="49"/>
  <c r="AG82" i="49" s="1"/>
  <c r="ER7" i="49"/>
  <c r="AG84" i="49" s="1"/>
  <c r="EZ9" i="49"/>
  <c r="AG126" i="49" s="1"/>
  <c r="ER15" i="49"/>
  <c r="AG92" i="49" s="1"/>
  <c r="ER10" i="49"/>
  <c r="AG87" i="49" s="1"/>
  <c r="ER21" i="49"/>
  <c r="AG93" i="49" s="1"/>
  <c r="FH21" i="49"/>
  <c r="AG192" i="49" s="1"/>
  <c r="ER12" i="49"/>
  <c r="AG89" i="49" s="1"/>
  <c r="ER11" i="49"/>
  <c r="AG88" i="49" s="1"/>
  <c r="ER13" i="49"/>
  <c r="AG90" i="49" s="1"/>
  <c r="ER14" i="49"/>
  <c r="AG91" i="49" s="1"/>
  <c r="EZ21" i="49"/>
  <c r="AG138" i="49" s="1"/>
  <c r="EZ10" i="49"/>
  <c r="AG127" i="49" s="1"/>
  <c r="ER36" i="49"/>
  <c r="AG102" i="49" s="1"/>
  <c r="EZ11" i="49"/>
  <c r="AG128" i="49" s="1"/>
  <c r="ER26" i="49"/>
  <c r="AG98" i="49" s="1"/>
  <c r="EZ22" i="49"/>
  <c r="AG139" i="49" s="1"/>
  <c r="ER27" i="49"/>
  <c r="AG99" i="49" s="1"/>
  <c r="FH36" i="49"/>
  <c r="AG207" i="49" s="1"/>
  <c r="EZ36" i="49"/>
  <c r="AG153" i="49" s="1"/>
  <c r="FH22" i="49"/>
  <c r="AG193" i="49" s="1"/>
  <c r="ER22" i="49"/>
  <c r="AG94" i="49" s="1"/>
  <c r="ER23" i="49"/>
  <c r="AG95" i="49" s="1"/>
  <c r="ER25" i="49"/>
  <c r="AG97" i="49" s="1"/>
  <c r="ER28" i="49"/>
  <c r="AG100" i="49" s="1"/>
  <c r="ER24" i="49"/>
  <c r="AG96" i="49" s="1"/>
  <c r="ER29" i="49"/>
  <c r="AG101" i="49" s="1"/>
  <c r="ER42" i="49"/>
  <c r="AG108" i="49" s="1"/>
  <c r="EZ37" i="49"/>
  <c r="AG154" i="49" s="1"/>
  <c r="ER39" i="49"/>
  <c r="AG105" i="49" s="1"/>
  <c r="ER37" i="49"/>
  <c r="AG103" i="49" s="1"/>
  <c r="FH54" i="49"/>
  <c r="AG225" i="49" s="1"/>
  <c r="ER41" i="49"/>
  <c r="AG107" i="49" s="1"/>
  <c r="ER54" i="49"/>
  <c r="AG113" i="49" s="1"/>
  <c r="FH23" i="49"/>
  <c r="AG194" i="49" s="1"/>
  <c r="ER45" i="49"/>
  <c r="AG111" i="49" s="1"/>
  <c r="ER43" i="49"/>
  <c r="AG109" i="49" s="1"/>
  <c r="EZ54" i="49"/>
  <c r="AG171" i="49" s="1"/>
  <c r="ER40" i="49"/>
  <c r="AG106" i="49" s="1"/>
  <c r="FH37" i="49"/>
  <c r="AG208" i="49" s="1"/>
  <c r="ER46" i="49"/>
  <c r="AG112" i="49" s="1"/>
  <c r="ER44" i="49"/>
  <c r="AG110" i="49" s="1"/>
  <c r="EZ12" i="49"/>
  <c r="AG129" i="49" s="1"/>
  <c r="ER38" i="49"/>
  <c r="AG104" i="49" s="1"/>
  <c r="EZ23" i="49"/>
  <c r="AG140" i="49" s="1"/>
  <c r="ER66" i="49"/>
  <c r="AG125" i="49" s="1"/>
  <c r="EZ38" i="49"/>
  <c r="AG155" i="49" s="1"/>
  <c r="ER62" i="49"/>
  <c r="AG121" i="49" s="1"/>
  <c r="ER55" i="49"/>
  <c r="AG114" i="49" s="1"/>
  <c r="ER59" i="49"/>
  <c r="AG118" i="49" s="1"/>
  <c r="ER57" i="49"/>
  <c r="AG116" i="49" s="1"/>
  <c r="ER65" i="49"/>
  <c r="AG124" i="49" s="1"/>
  <c r="ER61" i="49"/>
  <c r="AG120" i="49" s="1"/>
  <c r="ER63" i="49"/>
  <c r="AG122" i="49" s="1"/>
  <c r="ER58" i="49"/>
  <c r="AG117" i="49" s="1"/>
  <c r="EZ55" i="49"/>
  <c r="AG172" i="49" s="1"/>
  <c r="ER56" i="49"/>
  <c r="AG115" i="49" s="1"/>
  <c r="FH55" i="49"/>
  <c r="AG226" i="49" s="1"/>
  <c r="ER64" i="49"/>
  <c r="AG123" i="49" s="1"/>
  <c r="FH38" i="49"/>
  <c r="AG209" i="49" s="1"/>
  <c r="EZ13" i="49"/>
  <c r="AG130" i="49" s="1"/>
  <c r="ER60" i="49"/>
  <c r="AG119" i="49" s="1"/>
  <c r="EZ24" i="49"/>
  <c r="AG141" i="49" s="1"/>
  <c r="FH24" i="49"/>
  <c r="AG195" i="49" s="1"/>
  <c r="EZ56" i="49"/>
  <c r="AG173" i="49" s="1"/>
  <c r="EZ25" i="49"/>
  <c r="AG142" i="49" s="1"/>
  <c r="FH56" i="49"/>
  <c r="AG227" i="49" s="1"/>
  <c r="FH25" i="49"/>
  <c r="AG196" i="49" s="1"/>
  <c r="EZ39" i="49"/>
  <c r="AG156" i="49" s="1"/>
  <c r="EZ14" i="49"/>
  <c r="AG131" i="49" s="1"/>
  <c r="FH39" i="49"/>
  <c r="AG210" i="49" s="1"/>
  <c r="EZ40" i="49"/>
  <c r="AG157" i="49" s="1"/>
  <c r="FH26" i="49"/>
  <c r="AG197" i="49" s="1"/>
  <c r="FH40" i="49"/>
  <c r="AG211" i="49" s="1"/>
  <c r="FH57" i="49"/>
  <c r="AG228" i="49" s="1"/>
  <c r="EZ15" i="49"/>
  <c r="AG132" i="49" s="1"/>
  <c r="EZ57" i="49"/>
  <c r="AG174" i="49" s="1"/>
  <c r="EZ26" i="49"/>
  <c r="AG143" i="49" s="1"/>
  <c r="EZ58" i="49"/>
  <c r="AG175" i="49" s="1"/>
  <c r="EZ16" i="49"/>
  <c r="AG133" i="49" s="1"/>
  <c r="EZ27" i="49"/>
  <c r="AG144" i="49" s="1"/>
  <c r="EZ41" i="49"/>
  <c r="AG158" i="49" s="1"/>
  <c r="FH27" i="49"/>
  <c r="AG198" i="49" s="1"/>
  <c r="FH58" i="49"/>
  <c r="AG229" i="49" s="1"/>
  <c r="FH41" i="49"/>
  <c r="AG212" i="49" s="1"/>
  <c r="K12" i="34"/>
  <c r="N64" i="7"/>
  <c r="N59" i="7"/>
  <c r="H51" i="7"/>
  <c r="BT19" i="7"/>
  <c r="BT42" i="7" s="1"/>
  <c r="BT12" i="7"/>
  <c r="BT37" i="7" s="1"/>
  <c r="N67" i="7"/>
  <c r="N62" i="7"/>
  <c r="BT26" i="7"/>
  <c r="BT20" i="7"/>
  <c r="N86" i="7"/>
  <c r="N84" i="7"/>
  <c r="N82" i="7"/>
  <c r="N77" i="7"/>
  <c r="V77" i="7" s="1"/>
  <c r="N75" i="7"/>
  <c r="V75" i="7" s="1"/>
  <c r="N73" i="7"/>
  <c r="V73" i="7" s="1"/>
  <c r="N71" i="7"/>
  <c r="V71" i="7" s="1"/>
  <c r="N65" i="7"/>
  <c r="BT21" i="7"/>
  <c r="BT13" i="7"/>
  <c r="BT38" i="7" s="1"/>
  <c r="BT11" i="7"/>
  <c r="N63" i="7"/>
  <c r="BT25" i="7"/>
  <c r="BT22" i="7"/>
  <c r="BT14" i="7"/>
  <c r="BT39" i="7" s="1"/>
  <c r="N66" i="7"/>
  <c r="N57" i="7"/>
  <c r="BT23" i="7"/>
  <c r="BT15" i="7"/>
  <c r="N60" i="7"/>
  <c r="BT24" i="7"/>
  <c r="BT16" i="7"/>
  <c r="N87" i="7"/>
  <c r="N85" i="7"/>
  <c r="N83" i="7"/>
  <c r="N81" i="7"/>
  <c r="N76" i="7"/>
  <c r="R76" i="7" s="1"/>
  <c r="N74" i="7"/>
  <c r="V74" i="7" s="1"/>
  <c r="N72" i="7"/>
  <c r="R72" i="7" s="1"/>
  <c r="N58" i="7"/>
  <c r="BT17" i="7"/>
  <c r="BT40" i="7" s="1"/>
  <c r="BT9" i="7"/>
  <c r="BT35" i="7" s="1"/>
  <c r="BT8" i="7"/>
  <c r="BT34" i="7" s="1"/>
  <c r="BT7" i="7"/>
  <c r="BT6" i="7"/>
  <c r="BT33" i="7" s="1"/>
  <c r="BT5" i="7"/>
  <c r="BT32" i="7" s="1"/>
  <c r="N61" i="7"/>
  <c r="N56" i="7"/>
  <c r="BT27" i="7"/>
  <c r="BT18" i="7"/>
  <c r="BT41" i="7" s="1"/>
  <c r="BT10" i="7"/>
  <c r="BT36" i="7" s="1"/>
  <c r="BT4" i="7"/>
  <c r="AC213" i="49"/>
  <c r="EL42" i="49"/>
  <c r="S213" i="49"/>
  <c r="CP42" i="49"/>
  <c r="I145" i="49"/>
  <c r="AL28" i="49"/>
  <c r="EZ28" i="49"/>
  <c r="AG145" i="49" s="1"/>
  <c r="EG28" i="49"/>
  <c r="AG13" i="25"/>
  <c r="AI12" i="25"/>
  <c r="AF13" i="25"/>
  <c r="AE12" i="25"/>
  <c r="S176" i="49"/>
  <c r="CH59" i="49"/>
  <c r="I176" i="49"/>
  <c r="AL59" i="49"/>
  <c r="EZ59" i="49"/>
  <c r="AG176" i="49" s="1"/>
  <c r="J41" i="9"/>
  <c r="D134" i="49"/>
  <c r="N17" i="49"/>
  <c r="EZ17" i="49"/>
  <c r="AG134" i="49" s="1"/>
  <c r="FE42" i="49"/>
  <c r="DL28" i="49"/>
  <c r="W199" i="49" s="1"/>
  <c r="T85" i="7"/>
  <c r="P85" i="7"/>
  <c r="DY4" i="49"/>
  <c r="DY8" i="49"/>
  <c r="DY6" i="49"/>
  <c r="DY7" i="49"/>
  <c r="DY5" i="49"/>
  <c r="EG9" i="49"/>
  <c r="DY9" i="49"/>
  <c r="DY21" i="49"/>
  <c r="EO21" i="49"/>
  <c r="DY15" i="49"/>
  <c r="DY10" i="49"/>
  <c r="DY12" i="49"/>
  <c r="DY11" i="49"/>
  <c r="DY13" i="49"/>
  <c r="EG21" i="49"/>
  <c r="DY14" i="49"/>
  <c r="EG10" i="49"/>
  <c r="DY28" i="49"/>
  <c r="EG22" i="49"/>
  <c r="DY24" i="49"/>
  <c r="DY26" i="49"/>
  <c r="DY27" i="49"/>
  <c r="EG11" i="49"/>
  <c r="EG36" i="49"/>
  <c r="EO36" i="49"/>
  <c r="DY36" i="49"/>
  <c r="DY22" i="49"/>
  <c r="DY23" i="49"/>
  <c r="DY25" i="49"/>
  <c r="EO22" i="49"/>
  <c r="DY29" i="49"/>
  <c r="DY38" i="49"/>
  <c r="DY39" i="49"/>
  <c r="DY37" i="49"/>
  <c r="EO23" i="49"/>
  <c r="EG23" i="49"/>
  <c r="DY46" i="49"/>
  <c r="EO54" i="49"/>
  <c r="DY41" i="49"/>
  <c r="DY54" i="49"/>
  <c r="DY42" i="49"/>
  <c r="DY45" i="49"/>
  <c r="EG37" i="49"/>
  <c r="DY43" i="49"/>
  <c r="DY40" i="49"/>
  <c r="EO37" i="49"/>
  <c r="DY44" i="49"/>
  <c r="EG12" i="49"/>
  <c r="EG54" i="49"/>
  <c r="DY66" i="49"/>
  <c r="EG13" i="49"/>
  <c r="DY63" i="49"/>
  <c r="EG38" i="49"/>
  <c r="DY62" i="49"/>
  <c r="DY57" i="49"/>
  <c r="DY65" i="49"/>
  <c r="DY61" i="49"/>
  <c r="DY55" i="49"/>
  <c r="DY58" i="49"/>
  <c r="EG55" i="49"/>
  <c r="DY56" i="49"/>
  <c r="EO55" i="49"/>
  <c r="DY64" i="49"/>
  <c r="EO38" i="49"/>
  <c r="DY59" i="49"/>
  <c r="DY60" i="49"/>
  <c r="EG24" i="49"/>
  <c r="EO24" i="49"/>
  <c r="EG14" i="49"/>
  <c r="EG56" i="49"/>
  <c r="EO56" i="49"/>
  <c r="EG25" i="49"/>
  <c r="EO25" i="49"/>
  <c r="EG39" i="49"/>
  <c r="EO39" i="49"/>
  <c r="EG40" i="49"/>
  <c r="EG15" i="49"/>
  <c r="EG57" i="49"/>
  <c r="EG26" i="49"/>
  <c r="EO40" i="49"/>
  <c r="EO57" i="49"/>
  <c r="EO26" i="49"/>
  <c r="EG58" i="49"/>
  <c r="EG16" i="49"/>
  <c r="EO27" i="49"/>
  <c r="EO58" i="49"/>
  <c r="EO41" i="49"/>
  <c r="EG27" i="49"/>
  <c r="EG41" i="49"/>
  <c r="X230" i="49"/>
  <c r="DN59" i="49"/>
  <c r="N230" i="49"/>
  <c r="BR59" i="49"/>
  <c r="Q120" i="32"/>
  <c r="O121" i="32"/>
  <c r="X145" i="49"/>
  <c r="DF28" i="49"/>
  <c r="BI10" i="26"/>
  <c r="BJ10" i="26" s="1"/>
  <c r="BE4" i="7"/>
  <c r="BE31" i="7" s="1"/>
  <c r="BE17" i="7"/>
  <c r="BE40" i="7" s="1"/>
  <c r="BE24" i="7"/>
  <c r="BE23" i="7"/>
  <c r="BE15" i="7"/>
  <c r="BE18" i="7"/>
  <c r="BE41" i="7" s="1"/>
  <c r="BE19" i="7"/>
  <c r="BE42" i="7" s="1"/>
  <c r="BE14" i="7"/>
  <c r="BE39" i="7" s="1"/>
  <c r="BE22" i="7"/>
  <c r="BE26" i="7"/>
  <c r="BE5" i="7"/>
  <c r="BE32" i="7" s="1"/>
  <c r="BE27" i="7"/>
  <c r="BE8" i="7"/>
  <c r="BE34" i="7" s="1"/>
  <c r="BE9" i="7"/>
  <c r="BE35" i="7" s="1"/>
  <c r="BE13" i="7"/>
  <c r="BE38" i="7" s="1"/>
  <c r="BE21" i="7"/>
  <c r="BE12" i="7"/>
  <c r="BE37" i="7" s="1"/>
  <c r="BE20" i="7"/>
  <c r="BE25" i="7"/>
  <c r="BE10" i="7"/>
  <c r="BE36" i="7" s="1"/>
  <c r="BE6" i="7"/>
  <c r="BE33" i="7" s="1"/>
  <c r="BE16" i="7"/>
  <c r="BE11" i="7"/>
  <c r="BE7" i="7"/>
  <c r="D18" i="32"/>
  <c r="E17" i="32"/>
  <c r="F17" i="32" s="1"/>
  <c r="EN8" i="7"/>
  <c r="D159" i="49"/>
  <c r="N42" i="49"/>
  <c r="CU14" i="7" l="1"/>
  <c r="CL9" i="7"/>
  <c r="EE10" i="7"/>
  <c r="EM4" i="7"/>
  <c r="CU12" i="7"/>
  <c r="DL4" i="7"/>
  <c r="EE8" i="7"/>
  <c r="R73" i="7"/>
  <c r="DL10" i="7"/>
  <c r="DM10" i="7"/>
  <c r="T75" i="7"/>
  <c r="DU4" i="7"/>
  <c r="EE12" i="7"/>
  <c r="R71" i="7"/>
  <c r="U75" i="7"/>
  <c r="U77" i="7"/>
  <c r="DU8" i="7"/>
  <c r="EE15" i="7"/>
  <c r="EE14" i="7"/>
  <c r="CU13" i="7"/>
  <c r="EM12" i="7"/>
  <c r="ED15" i="7"/>
  <c r="DL11" i="7"/>
  <c r="EM15" i="7"/>
  <c r="DU15" i="7"/>
  <c r="DU12" i="7"/>
  <c r="CL13" i="7"/>
  <c r="EE13" i="7"/>
  <c r="ED10" i="7"/>
  <c r="EM10" i="7"/>
  <c r="DM14" i="7"/>
  <c r="EM13" i="7"/>
  <c r="EM14" i="7"/>
  <c r="DM5" i="7"/>
  <c r="ED7" i="7"/>
  <c r="DL9" i="7"/>
  <c r="R74" i="7"/>
  <c r="EE6" i="7"/>
  <c r="R75" i="7"/>
  <c r="P67" i="7"/>
  <c r="DM15" i="7"/>
  <c r="R77" i="7"/>
  <c r="DL14" i="7"/>
  <c r="U71" i="7"/>
  <c r="CL7" i="7"/>
  <c r="CL15" i="7"/>
  <c r="EE4" i="7"/>
  <c r="EM8" i="7"/>
  <c r="DM9" i="7"/>
  <c r="ED4" i="7"/>
  <c r="ED13" i="7"/>
  <c r="DL13" i="7"/>
  <c r="DL5" i="7"/>
  <c r="DU11" i="7"/>
  <c r="DM8" i="7"/>
  <c r="CL14" i="7"/>
  <c r="EM7" i="7"/>
  <c r="ED8" i="7"/>
  <c r="DU7" i="7"/>
  <c r="EE9" i="7"/>
  <c r="CU8" i="7"/>
  <c r="CU10" i="7"/>
  <c r="CU7" i="7"/>
  <c r="ED9" i="7"/>
  <c r="T73" i="7"/>
  <c r="DU9" i="7"/>
  <c r="CL6" i="7"/>
  <c r="CL5" i="7"/>
  <c r="EE5" i="7"/>
  <c r="EE7" i="7"/>
  <c r="DU6" i="7"/>
  <c r="V84" i="7"/>
  <c r="R84" i="7"/>
  <c r="BY4" i="7"/>
  <c r="BY31" i="7" s="1"/>
  <c r="BY19" i="7"/>
  <c r="BY42" i="7" s="1"/>
  <c r="BY23" i="7"/>
  <c r="BY15" i="7"/>
  <c r="BY17" i="7"/>
  <c r="BY40" i="7" s="1"/>
  <c r="BY24" i="7"/>
  <c r="BY22" i="7"/>
  <c r="BY14" i="7"/>
  <c r="BY39" i="7" s="1"/>
  <c r="BY18" i="7"/>
  <c r="BY41" i="7" s="1"/>
  <c r="BY6" i="7"/>
  <c r="BY33" i="7" s="1"/>
  <c r="BY16" i="7"/>
  <c r="BY11" i="7"/>
  <c r="BY10" i="7"/>
  <c r="BY36" i="7" s="1"/>
  <c r="BY7" i="7"/>
  <c r="BY25" i="7"/>
  <c r="BY26" i="7"/>
  <c r="BY5" i="7"/>
  <c r="BY32" i="7" s="1"/>
  <c r="BY27" i="7"/>
  <c r="EI15" i="7" s="1"/>
  <c r="BY8" i="7"/>
  <c r="BY34" i="7" s="1"/>
  <c r="BY9" i="7"/>
  <c r="BY35" i="7" s="1"/>
  <c r="BY13" i="7"/>
  <c r="BY38" i="7" s="1"/>
  <c r="BY20" i="7"/>
  <c r="BY21" i="7"/>
  <c r="BY12" i="7"/>
  <c r="BY37" i="7" s="1"/>
  <c r="AH160" i="49"/>
  <c r="FB43" i="49"/>
  <c r="EZ30" i="49"/>
  <c r="AG147" i="49" s="1"/>
  <c r="EG30" i="49"/>
  <c r="DD30" i="49"/>
  <c r="W147" i="49" s="1"/>
  <c r="CK30" i="49"/>
  <c r="BH30" i="49"/>
  <c r="M147" i="49" s="1"/>
  <c r="AO30" i="49"/>
  <c r="L30" i="49"/>
  <c r="C147" i="49" s="1"/>
  <c r="EY30" i="49"/>
  <c r="AF147" i="49" s="1"/>
  <c r="EF30" i="49"/>
  <c r="AD147" i="49" s="1"/>
  <c r="DC30" i="49"/>
  <c r="V147" i="49" s="1"/>
  <c r="CJ30" i="49"/>
  <c r="T147" i="49" s="1"/>
  <c r="BG30" i="49"/>
  <c r="L147" i="49" s="1"/>
  <c r="AN30" i="49"/>
  <c r="J147" i="49" s="1"/>
  <c r="K30" i="49"/>
  <c r="B147" i="49" s="1"/>
  <c r="EC30" i="49"/>
  <c r="CG30" i="49"/>
  <c r="AK30" i="49"/>
  <c r="FE30" i="49"/>
  <c r="EB30" i="49"/>
  <c r="AB147" i="49" s="1"/>
  <c r="DI30" i="49"/>
  <c r="CF30" i="49"/>
  <c r="R147" i="49" s="1"/>
  <c r="BM30" i="49"/>
  <c r="AJ30" i="49"/>
  <c r="H147" i="49" s="1"/>
  <c r="Q30" i="49"/>
  <c r="FD30" i="49"/>
  <c r="AI147" i="49" s="1"/>
  <c r="EA30" i="49"/>
  <c r="AA147" i="49" s="1"/>
  <c r="DH30" i="49"/>
  <c r="Y147" i="49" s="1"/>
  <c r="CE30" i="49"/>
  <c r="Q147" i="49" s="1"/>
  <c r="BL30" i="49"/>
  <c r="O147" i="49" s="1"/>
  <c r="AI30" i="49"/>
  <c r="G147" i="49" s="1"/>
  <c r="P30" i="49"/>
  <c r="E147" i="49" s="1"/>
  <c r="FA30" i="49"/>
  <c r="DE30" i="49"/>
  <c r="BI30" i="49"/>
  <c r="M30" i="49"/>
  <c r="F128" i="7"/>
  <c r="DL6" i="7"/>
  <c r="Q84" i="7"/>
  <c r="U84" i="7"/>
  <c r="EG19" i="49"/>
  <c r="CF19" i="49"/>
  <c r="R136" i="49" s="1"/>
  <c r="AO19" i="49"/>
  <c r="EF19" i="49"/>
  <c r="AD136" i="49" s="1"/>
  <c r="DE19" i="49"/>
  <c r="CE19" i="49"/>
  <c r="Q136" i="49" s="1"/>
  <c r="AN19" i="49"/>
  <c r="J136" i="49" s="1"/>
  <c r="M19" i="49"/>
  <c r="FE19" i="49"/>
  <c r="DD19" i="49"/>
  <c r="W136" i="49" s="1"/>
  <c r="BM19" i="49"/>
  <c r="L19" i="49"/>
  <c r="C136" i="49" s="1"/>
  <c r="FD19" i="49"/>
  <c r="AI136" i="49" s="1"/>
  <c r="EC19" i="49"/>
  <c r="DC19" i="49"/>
  <c r="V136" i="49" s="1"/>
  <c r="BL19" i="49"/>
  <c r="O136" i="49" s="1"/>
  <c r="AK19" i="49"/>
  <c r="K19" i="49"/>
  <c r="B136" i="49" s="1"/>
  <c r="EB19" i="49"/>
  <c r="AB136" i="49" s="1"/>
  <c r="CK19" i="49"/>
  <c r="AJ19" i="49"/>
  <c r="H136" i="49" s="1"/>
  <c r="FA19" i="49"/>
  <c r="EA19" i="49"/>
  <c r="AA136" i="49" s="1"/>
  <c r="CJ19" i="49"/>
  <c r="T136" i="49" s="1"/>
  <c r="BI19" i="49"/>
  <c r="AI19" i="49"/>
  <c r="G136" i="49" s="1"/>
  <c r="F117" i="7"/>
  <c r="EZ19" i="49"/>
  <c r="AG136" i="49" s="1"/>
  <c r="DI19" i="49"/>
  <c r="BH19" i="49"/>
  <c r="M136" i="49" s="1"/>
  <c r="Q19" i="49"/>
  <c r="EY19" i="49"/>
  <c r="AF136" i="49" s="1"/>
  <c r="DH19" i="49"/>
  <c r="Y136" i="49" s="1"/>
  <c r="CG19" i="49"/>
  <c r="BG19" i="49"/>
  <c r="L136" i="49" s="1"/>
  <c r="P19" i="49"/>
  <c r="E136" i="49" s="1"/>
  <c r="AC135" i="49"/>
  <c r="ED18" i="49"/>
  <c r="S135" i="49"/>
  <c r="CH18" i="49"/>
  <c r="AC177" i="49"/>
  <c r="ED60" i="49"/>
  <c r="S177" i="49"/>
  <c r="CH60" i="49"/>
  <c r="Z16" i="25"/>
  <c r="AA15" i="25"/>
  <c r="AB15" i="25"/>
  <c r="AC15" i="25" s="1"/>
  <c r="AH214" i="49"/>
  <c r="FJ43" i="49"/>
  <c r="X214" i="49"/>
  <c r="DN43" i="49"/>
  <c r="AC200" i="49"/>
  <c r="EL29" i="49"/>
  <c r="S200" i="49"/>
  <c r="CP29" i="49"/>
  <c r="CU4" i="7"/>
  <c r="AJ13" i="25"/>
  <c r="AH13" i="25"/>
  <c r="Q57" i="7"/>
  <c r="Q58" i="7"/>
  <c r="V81" i="7"/>
  <c r="R81" i="7"/>
  <c r="V86" i="7"/>
  <c r="R86" i="7"/>
  <c r="Q60" i="7"/>
  <c r="Q61" i="7"/>
  <c r="Q62" i="7"/>
  <c r="EB44" i="49"/>
  <c r="AB161" i="49" s="1"/>
  <c r="CK44" i="49"/>
  <c r="AJ44" i="49"/>
  <c r="H161" i="49" s="1"/>
  <c r="EA44" i="49"/>
  <c r="AA161" i="49" s="1"/>
  <c r="DE44" i="49"/>
  <c r="CJ44" i="49"/>
  <c r="T161" i="49" s="1"/>
  <c r="AI44" i="49"/>
  <c r="G161" i="49" s="1"/>
  <c r="M44" i="49"/>
  <c r="FE44" i="49"/>
  <c r="DD44" i="49"/>
  <c r="W161" i="49" s="1"/>
  <c r="BM44" i="49"/>
  <c r="L44" i="49"/>
  <c r="C161" i="49" s="1"/>
  <c r="FD44" i="49"/>
  <c r="AI161" i="49" s="1"/>
  <c r="DC44" i="49"/>
  <c r="V161" i="49" s="1"/>
  <c r="CG44" i="49"/>
  <c r="BL44" i="49"/>
  <c r="O161" i="49" s="1"/>
  <c r="K44" i="49"/>
  <c r="B161" i="49" s="1"/>
  <c r="EG44" i="49"/>
  <c r="CF44" i="49"/>
  <c r="R161" i="49" s="1"/>
  <c r="AO44" i="49"/>
  <c r="FA44" i="49"/>
  <c r="EF44" i="49"/>
  <c r="AD161" i="49" s="1"/>
  <c r="CE44" i="49"/>
  <c r="Q161" i="49" s="1"/>
  <c r="BI44" i="49"/>
  <c r="AN44" i="49"/>
  <c r="J161" i="49" s="1"/>
  <c r="EZ44" i="49"/>
  <c r="AG161" i="49" s="1"/>
  <c r="DI44" i="49"/>
  <c r="BH44" i="49"/>
  <c r="M161" i="49" s="1"/>
  <c r="Q44" i="49"/>
  <c r="EY44" i="49"/>
  <c r="AF161" i="49" s="1"/>
  <c r="EC44" i="49"/>
  <c r="DH44" i="49"/>
  <c r="Y161" i="49" s="1"/>
  <c r="BG44" i="49"/>
  <c r="L161" i="49" s="1"/>
  <c r="AK44" i="49"/>
  <c r="P44" i="49"/>
  <c r="E161" i="49" s="1"/>
  <c r="F142" i="7"/>
  <c r="M14" i="34"/>
  <c r="J15" i="34" s="1"/>
  <c r="L14" i="34"/>
  <c r="X146" i="49"/>
  <c r="DF29" i="49"/>
  <c r="N146" i="49"/>
  <c r="BJ29" i="49"/>
  <c r="Q86" i="7"/>
  <c r="U86" i="7"/>
  <c r="X86" i="7" s="1"/>
  <c r="I10" i="6" s="1"/>
  <c r="X135" i="49"/>
  <c r="DF18" i="49"/>
  <c r="R121" i="32"/>
  <c r="P122" i="32"/>
  <c r="AH231" i="49"/>
  <c r="FJ60" i="49"/>
  <c r="X231" i="49"/>
  <c r="DN60" i="49"/>
  <c r="FH44" i="49"/>
  <c r="AG215" i="49" s="1"/>
  <c r="DQ44" i="49"/>
  <c r="BP44" i="49"/>
  <c r="M215" i="49" s="1"/>
  <c r="Y44" i="49"/>
  <c r="FG44" i="49"/>
  <c r="AF215" i="49" s="1"/>
  <c r="EK44" i="49"/>
  <c r="DP44" i="49"/>
  <c r="Y215" i="49" s="1"/>
  <c r="BO44" i="49"/>
  <c r="L215" i="49" s="1"/>
  <c r="AS44" i="49"/>
  <c r="X44" i="49"/>
  <c r="E215" i="49" s="1"/>
  <c r="EJ44" i="49"/>
  <c r="AB215" i="49" s="1"/>
  <c r="CS44" i="49"/>
  <c r="AR44" i="49"/>
  <c r="H215" i="49" s="1"/>
  <c r="EI44" i="49"/>
  <c r="AA215" i="49" s="1"/>
  <c r="DM44" i="49"/>
  <c r="CR44" i="49"/>
  <c r="T215" i="49" s="1"/>
  <c r="AQ44" i="49"/>
  <c r="G215" i="49" s="1"/>
  <c r="U44" i="49"/>
  <c r="FM44" i="49"/>
  <c r="DL44" i="49"/>
  <c r="W215" i="49" s="1"/>
  <c r="BU44" i="49"/>
  <c r="T44" i="49"/>
  <c r="C215" i="49" s="1"/>
  <c r="FL44" i="49"/>
  <c r="AI215" i="49" s="1"/>
  <c r="DK44" i="49"/>
  <c r="V215" i="49" s="1"/>
  <c r="CO44" i="49"/>
  <c r="BT44" i="49"/>
  <c r="O215" i="49" s="1"/>
  <c r="S44" i="49"/>
  <c r="B215" i="49" s="1"/>
  <c r="EO44" i="49"/>
  <c r="CN44" i="49"/>
  <c r="R215" i="49" s="1"/>
  <c r="AW44" i="49"/>
  <c r="FI44" i="49"/>
  <c r="EN44" i="49"/>
  <c r="AD215" i="49" s="1"/>
  <c r="CM44" i="49"/>
  <c r="Q215" i="49" s="1"/>
  <c r="BQ44" i="49"/>
  <c r="AV44" i="49"/>
  <c r="J215" i="49" s="1"/>
  <c r="H142" i="7"/>
  <c r="S13" i="26"/>
  <c r="T14" i="26"/>
  <c r="U14" i="26" s="1"/>
  <c r="W13" i="26"/>
  <c r="Y13" i="26" s="1"/>
  <c r="V13" i="26"/>
  <c r="D19" i="32"/>
  <c r="E18" i="32"/>
  <c r="F18" i="32" s="1"/>
  <c r="V83" i="7"/>
  <c r="R83" i="7"/>
  <c r="ED12" i="7"/>
  <c r="D160" i="49"/>
  <c r="N43" i="49"/>
  <c r="K13" i="34"/>
  <c r="AC146" i="49"/>
  <c r="ED29" i="49"/>
  <c r="DL12" i="7"/>
  <c r="DL8" i="7"/>
  <c r="AH177" i="49"/>
  <c r="FB60" i="49"/>
  <c r="FH61" i="49"/>
  <c r="AG232" i="49" s="1"/>
  <c r="DQ61" i="49"/>
  <c r="BP61" i="49"/>
  <c r="M232" i="49" s="1"/>
  <c r="Y61" i="49"/>
  <c r="FG61" i="49"/>
  <c r="AF232" i="49" s="1"/>
  <c r="EK61" i="49"/>
  <c r="DP61" i="49"/>
  <c r="Y232" i="49" s="1"/>
  <c r="BO61" i="49"/>
  <c r="L232" i="49" s="1"/>
  <c r="AS61" i="49"/>
  <c r="X61" i="49"/>
  <c r="E232" i="49" s="1"/>
  <c r="EJ61" i="49"/>
  <c r="AB232" i="49" s="1"/>
  <c r="CS61" i="49"/>
  <c r="AR61" i="49"/>
  <c r="H232" i="49" s="1"/>
  <c r="EI61" i="49"/>
  <c r="AA232" i="49" s="1"/>
  <c r="DM61" i="49"/>
  <c r="CR61" i="49"/>
  <c r="T232" i="49" s="1"/>
  <c r="AQ61" i="49"/>
  <c r="G232" i="49" s="1"/>
  <c r="U61" i="49"/>
  <c r="FM61" i="49"/>
  <c r="DL61" i="49"/>
  <c r="W232" i="49" s="1"/>
  <c r="BU61" i="49"/>
  <c r="T61" i="49"/>
  <c r="C232" i="49" s="1"/>
  <c r="FL61" i="49"/>
  <c r="AI232" i="49" s="1"/>
  <c r="DK61" i="49"/>
  <c r="V232" i="49" s="1"/>
  <c r="CO61" i="49"/>
  <c r="BT61" i="49"/>
  <c r="O232" i="49" s="1"/>
  <c r="S61" i="49"/>
  <c r="B232" i="49" s="1"/>
  <c r="EO61" i="49"/>
  <c r="CN61" i="49"/>
  <c r="R232" i="49" s="1"/>
  <c r="AW61" i="49"/>
  <c r="FI61" i="49"/>
  <c r="EN61" i="49"/>
  <c r="AD232" i="49" s="1"/>
  <c r="CM61" i="49"/>
  <c r="Q232" i="49" s="1"/>
  <c r="BQ61" i="49"/>
  <c r="AV61" i="49"/>
  <c r="J232" i="49" s="1"/>
  <c r="H159" i="7"/>
  <c r="BQ4" i="7"/>
  <c r="BQ31" i="7" s="1"/>
  <c r="BQ22" i="7"/>
  <c r="BQ14" i="7"/>
  <c r="BQ39" i="7" s="1"/>
  <c r="BQ18" i="7"/>
  <c r="BQ41" i="7" s="1"/>
  <c r="BQ24" i="7"/>
  <c r="BQ19" i="7"/>
  <c r="BQ42" i="7" s="1"/>
  <c r="BQ23" i="7"/>
  <c r="BQ15" i="7"/>
  <c r="BQ17" i="7"/>
  <c r="BQ40" i="7" s="1"/>
  <c r="BQ13" i="7"/>
  <c r="BQ38" i="7" s="1"/>
  <c r="BQ9" i="7"/>
  <c r="BQ35" i="7" s="1"/>
  <c r="BQ12" i="7"/>
  <c r="BQ37" i="7" s="1"/>
  <c r="BQ21" i="7"/>
  <c r="BQ20" i="7"/>
  <c r="BQ10" i="7"/>
  <c r="BQ36" i="7" s="1"/>
  <c r="BQ11" i="7"/>
  <c r="BQ5" i="7"/>
  <c r="BQ32" i="7" s="1"/>
  <c r="BQ6" i="7"/>
  <c r="BQ33" i="7" s="1"/>
  <c r="BQ25" i="7"/>
  <c r="DZ12" i="7" s="1"/>
  <c r="BQ26" i="7"/>
  <c r="DZ14" i="7" s="1"/>
  <c r="BQ8" i="7"/>
  <c r="BQ34" i="7" s="1"/>
  <c r="BQ27" i="7"/>
  <c r="DZ15" i="7" s="1"/>
  <c r="BQ16" i="7"/>
  <c r="BQ7" i="7"/>
  <c r="DU5" i="7"/>
  <c r="CL8" i="7"/>
  <c r="EE11" i="7"/>
  <c r="AH200" i="49"/>
  <c r="FJ29" i="49"/>
  <c r="X200" i="49"/>
  <c r="DN29" i="49"/>
  <c r="CU5" i="7"/>
  <c r="AO34" i="7"/>
  <c r="CG4" i="7"/>
  <c r="CG31" i="7" s="1"/>
  <c r="CG17" i="7"/>
  <c r="CG40" i="7" s="1"/>
  <c r="CG24" i="7"/>
  <c r="CG22" i="7"/>
  <c r="CG23" i="7"/>
  <c r="CG14" i="7"/>
  <c r="CG39" i="7" s="1"/>
  <c r="CG15" i="7"/>
  <c r="CG18" i="7"/>
  <c r="CG41" i="7" s="1"/>
  <c r="CG19" i="7"/>
  <c r="CG42" i="7" s="1"/>
  <c r="CG25" i="7"/>
  <c r="CG26" i="7"/>
  <c r="CG5" i="7"/>
  <c r="CG32" i="7" s="1"/>
  <c r="CG27" i="7"/>
  <c r="CG21" i="7"/>
  <c r="CG8" i="7"/>
  <c r="CG34" i="7" s="1"/>
  <c r="CG9" i="7"/>
  <c r="CG35" i="7" s="1"/>
  <c r="CG13" i="7"/>
  <c r="CG38" i="7" s="1"/>
  <c r="CG10" i="7"/>
  <c r="CG36" i="7" s="1"/>
  <c r="CG12" i="7"/>
  <c r="CG37" i="7" s="1"/>
  <c r="CG20" i="7"/>
  <c r="CG6" i="7"/>
  <c r="CG33" i="7" s="1"/>
  <c r="CG16" i="7"/>
  <c r="CG11" i="7"/>
  <c r="CG7" i="7"/>
  <c r="BK10" i="26"/>
  <c r="BV10" i="26"/>
  <c r="BL10" i="26"/>
  <c r="AE13" i="25"/>
  <c r="AI13" i="25"/>
  <c r="V85" i="7"/>
  <c r="R85" i="7"/>
  <c r="Q67" i="7"/>
  <c r="Q64" i="7"/>
  <c r="Q65" i="7"/>
  <c r="ED14" i="7"/>
  <c r="V72" i="7"/>
  <c r="I160" i="49"/>
  <c r="AL43" i="49"/>
  <c r="N13" i="34"/>
  <c r="S146" i="49"/>
  <c r="CH29" i="49"/>
  <c r="U81" i="7"/>
  <c r="X81" i="7" s="1"/>
  <c r="D10" i="6" s="1"/>
  <c r="Q81" i="7"/>
  <c r="DL15" i="7"/>
  <c r="BI4" i="7"/>
  <c r="BI31" i="7" s="1"/>
  <c r="BI15" i="7"/>
  <c r="BI22" i="7"/>
  <c r="BI17" i="7"/>
  <c r="BI40" i="7" s="1"/>
  <c r="BI14" i="7"/>
  <c r="BI39" i="7" s="1"/>
  <c r="BI18" i="7"/>
  <c r="BI41" i="7" s="1"/>
  <c r="BI24" i="7"/>
  <c r="BI19" i="7"/>
  <c r="BI42" i="7" s="1"/>
  <c r="BI23" i="7"/>
  <c r="BI7" i="7"/>
  <c r="BI11" i="7"/>
  <c r="BI10" i="7"/>
  <c r="BI36" i="7" s="1"/>
  <c r="BI5" i="7"/>
  <c r="BI32" i="7" s="1"/>
  <c r="BI25" i="7"/>
  <c r="BI26" i="7"/>
  <c r="BI27" i="7"/>
  <c r="DQ15" i="7" s="1"/>
  <c r="BI16" i="7"/>
  <c r="BI8" i="7"/>
  <c r="BI34" i="7" s="1"/>
  <c r="BI9" i="7"/>
  <c r="BI35" i="7" s="1"/>
  <c r="BI13" i="7"/>
  <c r="BI38" i="7" s="1"/>
  <c r="BI12" i="7"/>
  <c r="BI37" i="7" s="1"/>
  <c r="BI20" i="7"/>
  <c r="BI21" i="7"/>
  <c r="BI6" i="7"/>
  <c r="BI33" i="7" s="1"/>
  <c r="P60" i="7"/>
  <c r="P61" i="7"/>
  <c r="P62" i="7"/>
  <c r="P57" i="7"/>
  <c r="P58" i="7"/>
  <c r="EB61" i="49"/>
  <c r="AB178" i="49" s="1"/>
  <c r="CK61" i="49"/>
  <c r="AJ61" i="49"/>
  <c r="H178" i="49" s="1"/>
  <c r="EA61" i="49"/>
  <c r="AA178" i="49" s="1"/>
  <c r="DE61" i="49"/>
  <c r="CJ61" i="49"/>
  <c r="T178" i="49" s="1"/>
  <c r="AI61" i="49"/>
  <c r="G178" i="49" s="1"/>
  <c r="M61" i="49"/>
  <c r="FE61" i="49"/>
  <c r="DD61" i="49"/>
  <c r="W178" i="49" s="1"/>
  <c r="BM61" i="49"/>
  <c r="L61" i="49"/>
  <c r="C178" i="49" s="1"/>
  <c r="FD61" i="49"/>
  <c r="AI178" i="49" s="1"/>
  <c r="DC61" i="49"/>
  <c r="V178" i="49" s="1"/>
  <c r="CG61" i="49"/>
  <c r="BL61" i="49"/>
  <c r="O178" i="49" s="1"/>
  <c r="K61" i="49"/>
  <c r="B178" i="49" s="1"/>
  <c r="EG61" i="49"/>
  <c r="CF61" i="49"/>
  <c r="R178" i="49" s="1"/>
  <c r="AO61" i="49"/>
  <c r="FA61" i="49"/>
  <c r="EF61" i="49"/>
  <c r="AD178" i="49" s="1"/>
  <c r="CE61" i="49"/>
  <c r="Q178" i="49" s="1"/>
  <c r="BI61" i="49"/>
  <c r="AN61" i="49"/>
  <c r="J178" i="49" s="1"/>
  <c r="EZ61" i="49"/>
  <c r="AG178" i="49" s="1"/>
  <c r="DI61" i="49"/>
  <c r="BH61" i="49"/>
  <c r="M178" i="49" s="1"/>
  <c r="Q61" i="49"/>
  <c r="EY61" i="49"/>
  <c r="AF178" i="49" s="1"/>
  <c r="EC61" i="49"/>
  <c r="DH61" i="49"/>
  <c r="Y178" i="49" s="1"/>
  <c r="BG61" i="49"/>
  <c r="L178" i="49" s="1"/>
  <c r="AK61" i="49"/>
  <c r="P61" i="49"/>
  <c r="E178" i="49" s="1"/>
  <c r="F159" i="7"/>
  <c r="O3" i="43"/>
  <c r="Q3" i="43" s="1"/>
  <c r="L18" i="43" s="1"/>
  <c r="L19" i="43" s="1"/>
  <c r="L20" i="43" s="1"/>
  <c r="L21" i="43" s="1"/>
  <c r="L22" i="43" s="1"/>
  <c r="L23" i="43" s="1"/>
  <c r="L24" i="43" s="1"/>
  <c r="L25" i="43" s="1"/>
  <c r="L26" i="43" s="1"/>
  <c r="BL31" i="7"/>
  <c r="CL10" i="7"/>
  <c r="CL11" i="7"/>
  <c r="D25" i="41"/>
  <c r="H25" i="41" s="1"/>
  <c r="P4" i="43"/>
  <c r="R4" i="43" s="1"/>
  <c r="M28" i="43" s="1"/>
  <c r="BU31" i="7"/>
  <c r="I214" i="49"/>
  <c r="AT43" i="49"/>
  <c r="CU6" i="7"/>
  <c r="CU15" i="7"/>
  <c r="CU9" i="7"/>
  <c r="EM9" i="7"/>
  <c r="DM4" i="7"/>
  <c r="DM6" i="7"/>
  <c r="V87" i="7"/>
  <c r="R87" i="7"/>
  <c r="AH146" i="49"/>
  <c r="FB29" i="49"/>
  <c r="U83" i="7"/>
  <c r="X83" i="7" s="1"/>
  <c r="F10" i="6" s="1"/>
  <c r="Q83" i="7"/>
  <c r="P65" i="7"/>
  <c r="P64" i="7"/>
  <c r="DL7" i="7"/>
  <c r="N135" i="49"/>
  <c r="BJ18" i="49"/>
  <c r="D177" i="49"/>
  <c r="N60" i="49"/>
  <c r="I231" i="49"/>
  <c r="AT60" i="49"/>
  <c r="CL12" i="7"/>
  <c r="FI30" i="49"/>
  <c r="DM30" i="49"/>
  <c r="BQ30" i="49"/>
  <c r="U30" i="49"/>
  <c r="FH30" i="49"/>
  <c r="AG201" i="49" s="1"/>
  <c r="EO30" i="49"/>
  <c r="DL30" i="49"/>
  <c r="W201" i="49" s="1"/>
  <c r="CS30" i="49"/>
  <c r="BP30" i="49"/>
  <c r="M201" i="49" s="1"/>
  <c r="AW30" i="49"/>
  <c r="T30" i="49"/>
  <c r="C201" i="49" s="1"/>
  <c r="FG30" i="49"/>
  <c r="AF201" i="49" s="1"/>
  <c r="EN30" i="49"/>
  <c r="AD201" i="49" s="1"/>
  <c r="DK30" i="49"/>
  <c r="V201" i="49" s="1"/>
  <c r="CR30" i="49"/>
  <c r="T201" i="49" s="1"/>
  <c r="BO30" i="49"/>
  <c r="L201" i="49" s="1"/>
  <c r="AV30" i="49"/>
  <c r="J201" i="49" s="1"/>
  <c r="S30" i="49"/>
  <c r="B201" i="49" s="1"/>
  <c r="EK30" i="49"/>
  <c r="CO30" i="49"/>
  <c r="AS30" i="49"/>
  <c r="FM30" i="49"/>
  <c r="EJ30" i="49"/>
  <c r="AB201" i="49" s="1"/>
  <c r="DQ30" i="49"/>
  <c r="CN30" i="49"/>
  <c r="R201" i="49" s="1"/>
  <c r="BU30" i="49"/>
  <c r="AR30" i="49"/>
  <c r="H201" i="49" s="1"/>
  <c r="Y30" i="49"/>
  <c r="H128" i="7"/>
  <c r="FL30" i="49"/>
  <c r="AI201" i="49" s="1"/>
  <c r="EI30" i="49"/>
  <c r="AA201" i="49" s="1"/>
  <c r="DP30" i="49"/>
  <c r="Y201" i="49" s="1"/>
  <c r="CM30" i="49"/>
  <c r="Q201" i="49" s="1"/>
  <c r="BT30" i="49"/>
  <c r="O201" i="49" s="1"/>
  <c r="AQ30" i="49"/>
  <c r="G201" i="49" s="1"/>
  <c r="X30" i="49"/>
  <c r="E201" i="49" s="1"/>
  <c r="AO33" i="7"/>
  <c r="AO32" i="7"/>
  <c r="CU11" i="7"/>
  <c r="EM6" i="7"/>
  <c r="DM7" i="7"/>
  <c r="O4" i="43"/>
  <c r="Q4" i="43" s="1"/>
  <c r="L28" i="43" s="1"/>
  <c r="L29" i="43" s="1"/>
  <c r="L30" i="43" s="1"/>
  <c r="L31" i="43" s="1"/>
  <c r="L32" i="43" s="1"/>
  <c r="L33" i="43" s="1"/>
  <c r="L34" i="43" s="1"/>
  <c r="L35" i="43" s="1"/>
  <c r="L36" i="43" s="1"/>
  <c r="BT31" i="7"/>
  <c r="ED6" i="7"/>
  <c r="V76" i="7"/>
  <c r="X160" i="49"/>
  <c r="DF43" i="49"/>
  <c r="N160" i="49"/>
  <c r="BJ43" i="49"/>
  <c r="U85" i="7"/>
  <c r="X85" i="7" s="1"/>
  <c r="Q85" i="7"/>
  <c r="Q72" i="7"/>
  <c r="I135" i="49"/>
  <c r="AL18" i="49"/>
  <c r="I177" i="49"/>
  <c r="AL60" i="49"/>
  <c r="DU10" i="7"/>
  <c r="N214" i="49"/>
  <c r="BR43" i="49"/>
  <c r="D214" i="49"/>
  <c r="V43" i="49"/>
  <c r="I200" i="49"/>
  <c r="AT29" i="49"/>
  <c r="P2" i="43"/>
  <c r="R2" i="43" s="1"/>
  <c r="M8" i="43" s="1"/>
  <c r="AO31" i="7"/>
  <c r="EM5" i="7"/>
  <c r="DM13" i="7"/>
  <c r="Q121" i="32"/>
  <c r="O122" i="32"/>
  <c r="ED11" i="7"/>
  <c r="AC160" i="49"/>
  <c r="ED43" i="49"/>
  <c r="S160" i="49"/>
  <c r="CH43" i="49"/>
  <c r="D146" i="49"/>
  <c r="N29" i="49"/>
  <c r="U87" i="7"/>
  <c r="Q87" i="7"/>
  <c r="Q74" i="7"/>
  <c r="X74" i="7" s="1"/>
  <c r="G15" i="6" s="1"/>
  <c r="Q73" i="7"/>
  <c r="D135" i="49"/>
  <c r="N18" i="49"/>
  <c r="N231" i="49"/>
  <c r="BR60" i="49"/>
  <c r="D231" i="49"/>
  <c r="V60" i="49"/>
  <c r="DU13" i="7"/>
  <c r="DU14" i="7"/>
  <c r="AW4" i="7"/>
  <c r="AW31" i="7" s="1"/>
  <c r="AW15" i="7"/>
  <c r="AW18" i="7"/>
  <c r="AW41" i="7" s="1"/>
  <c r="AW19" i="7"/>
  <c r="AW42" i="7" s="1"/>
  <c r="AW17" i="7"/>
  <c r="AW40" i="7" s="1"/>
  <c r="AW24" i="7"/>
  <c r="AW22" i="7"/>
  <c r="AW23" i="7"/>
  <c r="AW14" i="7"/>
  <c r="AW39" i="7" s="1"/>
  <c r="AW20" i="7"/>
  <c r="AW21" i="7"/>
  <c r="AW6" i="7"/>
  <c r="AW33" i="7" s="1"/>
  <c r="AW16" i="7"/>
  <c r="AW11" i="7"/>
  <c r="AW7" i="7"/>
  <c r="AW25" i="7"/>
  <c r="AW26" i="7"/>
  <c r="AW5" i="7"/>
  <c r="AW32" i="7" s="1"/>
  <c r="AW27" i="7"/>
  <c r="AW12" i="7"/>
  <c r="AW37" i="7" s="1"/>
  <c r="AW8" i="7"/>
  <c r="AW34" i="7" s="1"/>
  <c r="AW9" i="7"/>
  <c r="AW35" i="7" s="1"/>
  <c r="AW13" i="7"/>
  <c r="AW38" i="7" s="1"/>
  <c r="AW10" i="7"/>
  <c r="AW36" i="7" s="1"/>
  <c r="AC214" i="49"/>
  <c r="EL43" i="49"/>
  <c r="S214" i="49"/>
  <c r="CP43" i="49"/>
  <c r="DM12" i="7"/>
  <c r="DM11" i="7"/>
  <c r="ED5" i="7"/>
  <c r="V82" i="7"/>
  <c r="R82" i="7"/>
  <c r="BM4" i="7"/>
  <c r="BM19" i="7"/>
  <c r="BM42" i="7" s="1"/>
  <c r="BM22" i="7"/>
  <c r="BM17" i="7"/>
  <c r="BM40" i="7" s="1"/>
  <c r="BM14" i="7"/>
  <c r="BM39" i="7" s="1"/>
  <c r="BM24" i="7"/>
  <c r="BM23" i="7"/>
  <c r="BM15" i="7"/>
  <c r="BM18" i="7"/>
  <c r="BM41" i="7" s="1"/>
  <c r="BM25" i="7"/>
  <c r="BM21" i="7"/>
  <c r="BM16" i="7"/>
  <c r="BM7" i="7"/>
  <c r="BM13" i="7"/>
  <c r="BM38" i="7" s="1"/>
  <c r="BM10" i="7"/>
  <c r="BM36" i="7" s="1"/>
  <c r="BM26" i="7"/>
  <c r="BM9" i="7"/>
  <c r="BM35" i="7" s="1"/>
  <c r="BM27" i="7"/>
  <c r="DV15" i="7" s="1"/>
  <c r="BM20" i="7"/>
  <c r="BM5" i="7"/>
  <c r="BM32" i="7" s="1"/>
  <c r="BM11" i="7"/>
  <c r="BM12" i="7"/>
  <c r="BM37" i="7" s="1"/>
  <c r="BM6" i="7"/>
  <c r="BM33" i="7" s="1"/>
  <c r="BM8" i="7"/>
  <c r="BM34" i="7" s="1"/>
  <c r="I146" i="49"/>
  <c r="AL29" i="49"/>
  <c r="Q76" i="7"/>
  <c r="Q82" i="7"/>
  <c r="U82" i="7"/>
  <c r="AH135" i="49"/>
  <c r="FB18" i="49"/>
  <c r="X177" i="49"/>
  <c r="DF60" i="49"/>
  <c r="N177" i="49"/>
  <c r="BJ60" i="49"/>
  <c r="AC231" i="49"/>
  <c r="EL60" i="49"/>
  <c r="S231" i="49"/>
  <c r="CP60" i="49"/>
  <c r="CL4" i="7"/>
  <c r="N200" i="49"/>
  <c r="BR29" i="49"/>
  <c r="D200" i="49"/>
  <c r="V29" i="49"/>
  <c r="BO10" i="26" l="1"/>
  <c r="BX10" i="26"/>
  <c r="BS10" i="26"/>
  <c r="X77" i="7"/>
  <c r="J15" i="6" s="1"/>
  <c r="EI12" i="7"/>
  <c r="X71" i="7"/>
  <c r="D15" i="6" s="1"/>
  <c r="DZ6" i="7"/>
  <c r="EI8" i="7"/>
  <c r="ER5" i="7"/>
  <c r="X84" i="7"/>
  <c r="G10" i="6" s="1"/>
  <c r="X73" i="7"/>
  <c r="F15" i="6" s="1"/>
  <c r="DD12" i="7"/>
  <c r="X75" i="7"/>
  <c r="V33" i="6" s="1"/>
  <c r="EI10" i="7"/>
  <c r="EI13" i="7"/>
  <c r="ER14" i="7"/>
  <c r="X82" i="7"/>
  <c r="E10" i="6" s="1"/>
  <c r="X87" i="7"/>
  <c r="J10" i="6" s="1"/>
  <c r="ER12" i="7"/>
  <c r="ER4" i="7"/>
  <c r="ER15" i="7"/>
  <c r="DV5" i="7"/>
  <c r="DD11" i="7"/>
  <c r="DV13" i="7"/>
  <c r="DD13" i="7"/>
  <c r="EI4" i="7"/>
  <c r="DD4" i="7"/>
  <c r="DD15" i="7"/>
  <c r="DD10" i="7"/>
  <c r="DZ4" i="7"/>
  <c r="DQ13" i="7"/>
  <c r="ER8" i="7"/>
  <c r="DQ8" i="7"/>
  <c r="EI14" i="7"/>
  <c r="DQ14" i="7"/>
  <c r="DD14" i="7"/>
  <c r="EI6" i="7"/>
  <c r="EI11" i="7"/>
  <c r="DV14" i="7"/>
  <c r="DQ5" i="7"/>
  <c r="EI5" i="7"/>
  <c r="DZ5" i="7"/>
  <c r="DD5" i="7"/>
  <c r="DQ6" i="7"/>
  <c r="DZ13" i="7"/>
  <c r="X72" i="7"/>
  <c r="E15" i="6" s="1"/>
  <c r="V19" i="6" s="1"/>
  <c r="DV4" i="7"/>
  <c r="DV8" i="7"/>
  <c r="DZ8" i="7"/>
  <c r="X76" i="7"/>
  <c r="I15" i="6" s="1"/>
  <c r="V44" i="6" s="1"/>
  <c r="DQ10" i="7"/>
  <c r="DQ12" i="7"/>
  <c r="EI9" i="7"/>
  <c r="J25" i="41"/>
  <c r="L25" i="41" s="1"/>
  <c r="I25" i="41"/>
  <c r="K25" i="41" s="1"/>
  <c r="DV7" i="7"/>
  <c r="AC201" i="49"/>
  <c r="EL30" i="49"/>
  <c r="N201" i="49"/>
  <c r="BR30" i="49"/>
  <c r="AC178" i="49"/>
  <c r="ED61" i="49"/>
  <c r="S178" i="49"/>
  <c r="CH61" i="49"/>
  <c r="BU10" i="26"/>
  <c r="BQ10" i="26"/>
  <c r="ER13" i="7"/>
  <c r="D20" i="32"/>
  <c r="E19" i="32"/>
  <c r="F19" i="32" s="1"/>
  <c r="N215" i="49"/>
  <c r="BR44" i="49"/>
  <c r="D215" i="49"/>
  <c r="V44" i="49"/>
  <c r="R122" i="32"/>
  <c r="P123" i="32"/>
  <c r="Z17" i="25"/>
  <c r="AB16" i="25"/>
  <c r="AC16" i="25" s="1"/>
  <c r="AA16" i="25"/>
  <c r="X136" i="49"/>
  <c r="DF19" i="49"/>
  <c r="FE31" i="49"/>
  <c r="EB31" i="49"/>
  <c r="AB148" i="49" s="1"/>
  <c r="DI31" i="49"/>
  <c r="CF31" i="49"/>
  <c r="R148" i="49" s="1"/>
  <c r="BM31" i="49"/>
  <c r="AJ31" i="49"/>
  <c r="H148" i="49" s="1"/>
  <c r="Q31" i="49"/>
  <c r="FD31" i="49"/>
  <c r="AI148" i="49" s="1"/>
  <c r="EA31" i="49"/>
  <c r="AA148" i="49" s="1"/>
  <c r="DH31" i="49"/>
  <c r="Y148" i="49" s="1"/>
  <c r="CE31" i="49"/>
  <c r="Q148" i="49" s="1"/>
  <c r="BL31" i="49"/>
  <c r="O148" i="49" s="1"/>
  <c r="AI31" i="49"/>
  <c r="G148" i="49" s="1"/>
  <c r="P31" i="49"/>
  <c r="E148" i="49" s="1"/>
  <c r="FA31" i="49"/>
  <c r="DE31" i="49"/>
  <c r="BI31" i="49"/>
  <c r="M31" i="49"/>
  <c r="EZ31" i="49"/>
  <c r="AG148" i="49" s="1"/>
  <c r="EG31" i="49"/>
  <c r="DD31" i="49"/>
  <c r="W148" i="49" s="1"/>
  <c r="CK31" i="49"/>
  <c r="BH31" i="49"/>
  <c r="M148" i="49" s="1"/>
  <c r="AO31" i="49"/>
  <c r="L31" i="49"/>
  <c r="C148" i="49" s="1"/>
  <c r="EY31" i="49"/>
  <c r="AF148" i="49" s="1"/>
  <c r="EF31" i="49"/>
  <c r="AD148" i="49" s="1"/>
  <c r="DC31" i="49"/>
  <c r="V148" i="49" s="1"/>
  <c r="CJ31" i="49"/>
  <c r="T148" i="49" s="1"/>
  <c r="BG31" i="49"/>
  <c r="L148" i="49" s="1"/>
  <c r="AN31" i="49"/>
  <c r="J148" i="49" s="1"/>
  <c r="K31" i="49"/>
  <c r="B148" i="49" s="1"/>
  <c r="F129" i="7"/>
  <c r="EC31" i="49"/>
  <c r="CG31" i="49"/>
  <c r="AK31" i="49"/>
  <c r="V43" i="6"/>
  <c r="V41" i="6"/>
  <c r="V47" i="6"/>
  <c r="V48" i="6"/>
  <c r="V42" i="6"/>
  <c r="V45" i="6"/>
  <c r="V29" i="6"/>
  <c r="V35" i="6"/>
  <c r="X201" i="49"/>
  <c r="DN30" i="49"/>
  <c r="DQ9" i="7"/>
  <c r="BY10" i="26"/>
  <c r="ER10" i="7"/>
  <c r="ER9" i="7"/>
  <c r="DZ10" i="7"/>
  <c r="N232" i="49"/>
  <c r="BR61" i="49"/>
  <c r="D232" i="49"/>
  <c r="V61" i="49"/>
  <c r="S215" i="49"/>
  <c r="CP44" i="49"/>
  <c r="I215" i="49"/>
  <c r="AT44" i="49"/>
  <c r="N161" i="49"/>
  <c r="BJ44" i="49"/>
  <c r="D161" i="49"/>
  <c r="N44" i="49"/>
  <c r="D147" i="49"/>
  <c r="N30" i="49"/>
  <c r="DV11" i="7"/>
  <c r="DD9" i="7"/>
  <c r="M9" i="43"/>
  <c r="N8" i="43"/>
  <c r="AH201" i="49"/>
  <c r="FJ30" i="49"/>
  <c r="AH178" i="49"/>
  <c r="FB61" i="49"/>
  <c r="X178" i="49"/>
  <c r="DF61" i="49"/>
  <c r="DQ4" i="7"/>
  <c r="DQ7" i="7"/>
  <c r="BR10" i="26"/>
  <c r="ER11" i="7"/>
  <c r="DZ11" i="7"/>
  <c r="S232" i="49"/>
  <c r="CP61" i="49"/>
  <c r="I232" i="49"/>
  <c r="AT61" i="49"/>
  <c r="K14" i="34"/>
  <c r="AC161" i="49"/>
  <c r="ED44" i="49"/>
  <c r="S161" i="49"/>
  <c r="CH44" i="49"/>
  <c r="FE20" i="49"/>
  <c r="DD20" i="49"/>
  <c r="W137" i="49" s="1"/>
  <c r="BM20" i="49"/>
  <c r="L20" i="49"/>
  <c r="C137" i="49" s="1"/>
  <c r="FD20" i="49"/>
  <c r="AI137" i="49" s="1"/>
  <c r="EC20" i="49"/>
  <c r="DC20" i="49"/>
  <c r="V137" i="49" s="1"/>
  <c r="BL20" i="49"/>
  <c r="O137" i="49" s="1"/>
  <c r="AK20" i="49"/>
  <c r="K20" i="49"/>
  <c r="B137" i="49" s="1"/>
  <c r="EB20" i="49"/>
  <c r="AB137" i="49" s="1"/>
  <c r="CK20" i="49"/>
  <c r="AJ20" i="49"/>
  <c r="H137" i="49" s="1"/>
  <c r="FA20" i="49"/>
  <c r="EA20" i="49"/>
  <c r="AA137" i="49" s="1"/>
  <c r="CJ20" i="49"/>
  <c r="T137" i="49" s="1"/>
  <c r="BI20" i="49"/>
  <c r="AI20" i="49"/>
  <c r="G137" i="49" s="1"/>
  <c r="EZ20" i="49"/>
  <c r="AG137" i="49" s="1"/>
  <c r="DI20" i="49"/>
  <c r="BH20" i="49"/>
  <c r="M137" i="49" s="1"/>
  <c r="Q20" i="49"/>
  <c r="EY20" i="49"/>
  <c r="AF137" i="49" s="1"/>
  <c r="DH20" i="49"/>
  <c r="Y137" i="49" s="1"/>
  <c r="CG20" i="49"/>
  <c r="BG20" i="49"/>
  <c r="L137" i="49" s="1"/>
  <c r="P20" i="49"/>
  <c r="E137" i="49" s="1"/>
  <c r="EG20" i="49"/>
  <c r="CF20" i="49"/>
  <c r="R137" i="49" s="1"/>
  <c r="AO20" i="49"/>
  <c r="EF20" i="49"/>
  <c r="AD137" i="49" s="1"/>
  <c r="DE20" i="49"/>
  <c r="CE20" i="49"/>
  <c r="Q137" i="49" s="1"/>
  <c r="AN20" i="49"/>
  <c r="J137" i="49" s="1"/>
  <c r="M20" i="49"/>
  <c r="N147" i="49"/>
  <c r="BJ30" i="49"/>
  <c r="EI7" i="7"/>
  <c r="EZ62" i="49"/>
  <c r="AG179" i="49" s="1"/>
  <c r="DI62" i="49"/>
  <c r="BH62" i="49"/>
  <c r="M179" i="49" s="1"/>
  <c r="Q62" i="49"/>
  <c r="EY62" i="49"/>
  <c r="AF179" i="49" s="1"/>
  <c r="EC62" i="49"/>
  <c r="DH62" i="49"/>
  <c r="Y179" i="49" s="1"/>
  <c r="BG62" i="49"/>
  <c r="L179" i="49" s="1"/>
  <c r="AK62" i="49"/>
  <c r="P62" i="49"/>
  <c r="E179" i="49" s="1"/>
  <c r="EB62" i="49"/>
  <c r="AB179" i="49" s="1"/>
  <c r="CK62" i="49"/>
  <c r="AJ62" i="49"/>
  <c r="H179" i="49" s="1"/>
  <c r="EA62" i="49"/>
  <c r="AA179" i="49" s="1"/>
  <c r="DE62" i="49"/>
  <c r="CJ62" i="49"/>
  <c r="T179" i="49" s="1"/>
  <c r="AI62" i="49"/>
  <c r="G179" i="49" s="1"/>
  <c r="M62" i="49"/>
  <c r="FE62" i="49"/>
  <c r="DD62" i="49"/>
  <c r="W179" i="49" s="1"/>
  <c r="BM62" i="49"/>
  <c r="L62" i="49"/>
  <c r="C179" i="49" s="1"/>
  <c r="FD62" i="49"/>
  <c r="AI179" i="49" s="1"/>
  <c r="DC62" i="49"/>
  <c r="V179" i="49" s="1"/>
  <c r="CG62" i="49"/>
  <c r="BL62" i="49"/>
  <c r="O179" i="49" s="1"/>
  <c r="K62" i="49"/>
  <c r="B179" i="49" s="1"/>
  <c r="EG62" i="49"/>
  <c r="CF62" i="49"/>
  <c r="R179" i="49" s="1"/>
  <c r="AO62" i="49"/>
  <c r="FA62" i="49"/>
  <c r="EF62" i="49"/>
  <c r="AD179" i="49" s="1"/>
  <c r="CE62" i="49"/>
  <c r="Q179" i="49" s="1"/>
  <c r="BI62" i="49"/>
  <c r="AN62" i="49"/>
  <c r="J179" i="49" s="1"/>
  <c r="F160" i="7"/>
  <c r="Y14" i="26"/>
  <c r="T15" i="26"/>
  <c r="U15" i="26" s="1"/>
  <c r="W14" i="26"/>
  <c r="V14" i="26"/>
  <c r="S14" i="26"/>
  <c r="AH215" i="49"/>
  <c r="FJ44" i="49"/>
  <c r="X215" i="49"/>
  <c r="DN44" i="49"/>
  <c r="M15" i="34"/>
  <c r="J16" i="34" s="1"/>
  <c r="L15" i="34"/>
  <c r="S136" i="49"/>
  <c r="CH19" i="49"/>
  <c r="X147" i="49"/>
  <c r="DF30" i="49"/>
  <c r="I147" i="49"/>
  <c r="AL30" i="49"/>
  <c r="DV6" i="7"/>
  <c r="DD6" i="7"/>
  <c r="BW10" i="26"/>
  <c r="AH232" i="49"/>
  <c r="FJ61" i="49"/>
  <c r="X232" i="49"/>
  <c r="DN61" i="49"/>
  <c r="AC215" i="49"/>
  <c r="EL44" i="49"/>
  <c r="N14" i="34"/>
  <c r="AH161" i="49"/>
  <c r="FB44" i="49"/>
  <c r="X161" i="49"/>
  <c r="DF44" i="49"/>
  <c r="N136" i="49"/>
  <c r="BJ19" i="49"/>
  <c r="I136" i="49"/>
  <c r="AL19" i="49"/>
  <c r="AH147" i="49"/>
  <c r="FB30" i="49"/>
  <c r="S147" i="49"/>
  <c r="CH30" i="49"/>
  <c r="DV9" i="7"/>
  <c r="Q122" i="32"/>
  <c r="O123" i="32"/>
  <c r="Q123" i="32" s="1"/>
  <c r="M29" i="43"/>
  <c r="N28" i="43"/>
  <c r="I178" i="49"/>
  <c r="AL61" i="49"/>
  <c r="DQ11" i="7"/>
  <c r="BI11" i="26"/>
  <c r="BJ11" i="26" s="1"/>
  <c r="BH10" i="26"/>
  <c r="DZ9" i="7"/>
  <c r="AC232" i="49"/>
  <c r="EL61" i="49"/>
  <c r="EZ45" i="49"/>
  <c r="AG162" i="49" s="1"/>
  <c r="DI45" i="49"/>
  <c r="BH45" i="49"/>
  <c r="M162" i="49" s="1"/>
  <c r="Q45" i="49"/>
  <c r="EY45" i="49"/>
  <c r="AF162" i="49" s="1"/>
  <c r="EC45" i="49"/>
  <c r="DH45" i="49"/>
  <c r="Y162" i="49" s="1"/>
  <c r="BG45" i="49"/>
  <c r="L162" i="49" s="1"/>
  <c r="AK45" i="49"/>
  <c r="P45" i="49"/>
  <c r="E162" i="49" s="1"/>
  <c r="EB45" i="49"/>
  <c r="AB162" i="49" s="1"/>
  <c r="CK45" i="49"/>
  <c r="AJ45" i="49"/>
  <c r="H162" i="49" s="1"/>
  <c r="EA45" i="49"/>
  <c r="AA162" i="49" s="1"/>
  <c r="DE45" i="49"/>
  <c r="CJ45" i="49"/>
  <c r="T162" i="49" s="1"/>
  <c r="AI45" i="49"/>
  <c r="G162" i="49" s="1"/>
  <c r="M45" i="49"/>
  <c r="FE45" i="49"/>
  <c r="DD45" i="49"/>
  <c r="W162" i="49" s="1"/>
  <c r="BM45" i="49"/>
  <c r="L45" i="49"/>
  <c r="C162" i="49" s="1"/>
  <c r="FD45" i="49"/>
  <c r="AI162" i="49" s="1"/>
  <c r="DC45" i="49"/>
  <c r="V162" i="49" s="1"/>
  <c r="CG45" i="49"/>
  <c r="BL45" i="49"/>
  <c r="O162" i="49" s="1"/>
  <c r="K45" i="49"/>
  <c r="B162" i="49" s="1"/>
  <c r="EG45" i="49"/>
  <c r="CF45" i="49"/>
  <c r="R162" i="49" s="1"/>
  <c r="AO45" i="49"/>
  <c r="FA45" i="49"/>
  <c r="EF45" i="49"/>
  <c r="AD162" i="49" s="1"/>
  <c r="CE45" i="49"/>
  <c r="Q162" i="49" s="1"/>
  <c r="BI45" i="49"/>
  <c r="AN45" i="49"/>
  <c r="J162" i="49" s="1"/>
  <c r="F143" i="7"/>
  <c r="D136" i="49"/>
  <c r="N19" i="49"/>
  <c r="AC147" i="49"/>
  <c r="ED30" i="49"/>
  <c r="DV12" i="7"/>
  <c r="DD8" i="7"/>
  <c r="EK31" i="49"/>
  <c r="CO31" i="49"/>
  <c r="AS31" i="49"/>
  <c r="FM31" i="49"/>
  <c r="EJ31" i="49"/>
  <c r="AB202" i="49" s="1"/>
  <c r="DQ31" i="49"/>
  <c r="CN31" i="49"/>
  <c r="R202" i="49" s="1"/>
  <c r="BU31" i="49"/>
  <c r="AR31" i="49"/>
  <c r="H202" i="49" s="1"/>
  <c r="Y31" i="49"/>
  <c r="FL31" i="49"/>
  <c r="AI202" i="49" s="1"/>
  <c r="EI31" i="49"/>
  <c r="AA202" i="49" s="1"/>
  <c r="DP31" i="49"/>
  <c r="Y202" i="49" s="1"/>
  <c r="CM31" i="49"/>
  <c r="Q202" i="49" s="1"/>
  <c r="BT31" i="49"/>
  <c r="O202" i="49" s="1"/>
  <c r="AQ31" i="49"/>
  <c r="G202" i="49" s="1"/>
  <c r="X31" i="49"/>
  <c r="E202" i="49" s="1"/>
  <c r="H129" i="7"/>
  <c r="FI31" i="49"/>
  <c r="DM31" i="49"/>
  <c r="BQ31" i="49"/>
  <c r="U31" i="49"/>
  <c r="FH31" i="49"/>
  <c r="AG202" i="49" s="1"/>
  <c r="EO31" i="49"/>
  <c r="DL31" i="49"/>
  <c r="W202" i="49" s="1"/>
  <c r="CS31" i="49"/>
  <c r="BP31" i="49"/>
  <c r="M202" i="49" s="1"/>
  <c r="AW31" i="49"/>
  <c r="T31" i="49"/>
  <c r="C202" i="49" s="1"/>
  <c r="FG31" i="49"/>
  <c r="AF202" i="49" s="1"/>
  <c r="EN31" i="49"/>
  <c r="AD202" i="49" s="1"/>
  <c r="DK31" i="49"/>
  <c r="V202" i="49" s="1"/>
  <c r="CR31" i="49"/>
  <c r="T202" i="49" s="1"/>
  <c r="BO31" i="49"/>
  <c r="L202" i="49" s="1"/>
  <c r="AV31" i="49"/>
  <c r="J202" i="49" s="1"/>
  <c r="S31" i="49"/>
  <c r="B202" i="49" s="1"/>
  <c r="I201" i="49"/>
  <c r="AT30" i="49"/>
  <c r="E25" i="41"/>
  <c r="B26" i="41" s="1"/>
  <c r="BT10" i="26"/>
  <c r="BP10" i="26"/>
  <c r="ER7" i="7"/>
  <c r="EO45" i="49"/>
  <c r="CN45" i="49"/>
  <c r="R216" i="49" s="1"/>
  <c r="AW45" i="49"/>
  <c r="FI45" i="49"/>
  <c r="EN45" i="49"/>
  <c r="AD216" i="49" s="1"/>
  <c r="CM45" i="49"/>
  <c r="Q216" i="49" s="1"/>
  <c r="BQ45" i="49"/>
  <c r="AV45" i="49"/>
  <c r="J216" i="49" s="1"/>
  <c r="FH45" i="49"/>
  <c r="AG216" i="49" s="1"/>
  <c r="DQ45" i="49"/>
  <c r="BP45" i="49"/>
  <c r="M216" i="49" s="1"/>
  <c r="Y45" i="49"/>
  <c r="FG45" i="49"/>
  <c r="AF216" i="49" s="1"/>
  <c r="EK45" i="49"/>
  <c r="DP45" i="49"/>
  <c r="Y216" i="49" s="1"/>
  <c r="BO45" i="49"/>
  <c r="L216" i="49" s="1"/>
  <c r="AS45" i="49"/>
  <c r="X45" i="49"/>
  <c r="E216" i="49" s="1"/>
  <c r="EJ45" i="49"/>
  <c r="AB216" i="49" s="1"/>
  <c r="CS45" i="49"/>
  <c r="AR45" i="49"/>
  <c r="H216" i="49" s="1"/>
  <c r="EI45" i="49"/>
  <c r="AA216" i="49" s="1"/>
  <c r="DM45" i="49"/>
  <c r="CR45" i="49"/>
  <c r="T216" i="49" s="1"/>
  <c r="AQ45" i="49"/>
  <c r="G216" i="49" s="1"/>
  <c r="U45" i="49"/>
  <c r="FM45" i="49"/>
  <c r="DL45" i="49"/>
  <c r="W216" i="49" s="1"/>
  <c r="BU45" i="49"/>
  <c r="T45" i="49"/>
  <c r="C216" i="49" s="1"/>
  <c r="FL45" i="49"/>
  <c r="AI216" i="49" s="1"/>
  <c r="DK45" i="49"/>
  <c r="V216" i="49" s="1"/>
  <c r="CO45" i="49"/>
  <c r="BT45" i="49"/>
  <c r="O216" i="49" s="1"/>
  <c r="S45" i="49"/>
  <c r="B216" i="49" s="1"/>
  <c r="H143" i="7"/>
  <c r="DV10" i="7"/>
  <c r="P3" i="43"/>
  <c r="R3" i="43" s="1"/>
  <c r="M18" i="43" s="1"/>
  <c r="BM31" i="7"/>
  <c r="DD7" i="7"/>
  <c r="S201" i="49"/>
  <c r="CP30" i="49"/>
  <c r="D201" i="49"/>
  <c r="V30" i="49"/>
  <c r="N178" i="49"/>
  <c r="BJ61" i="49"/>
  <c r="D178" i="49"/>
  <c r="N61" i="49"/>
  <c r="BM10" i="26"/>
  <c r="ER6" i="7"/>
  <c r="DZ7" i="7"/>
  <c r="EO62" i="49"/>
  <c r="CN62" i="49"/>
  <c r="R233" i="49" s="1"/>
  <c r="AW62" i="49"/>
  <c r="FI62" i="49"/>
  <c r="EN62" i="49"/>
  <c r="AD233" i="49" s="1"/>
  <c r="CM62" i="49"/>
  <c r="Q233" i="49" s="1"/>
  <c r="BQ62" i="49"/>
  <c r="AV62" i="49"/>
  <c r="J233" i="49" s="1"/>
  <c r="FH62" i="49"/>
  <c r="AG233" i="49" s="1"/>
  <c r="DQ62" i="49"/>
  <c r="BP62" i="49"/>
  <c r="M233" i="49" s="1"/>
  <c r="Y62" i="49"/>
  <c r="FG62" i="49"/>
  <c r="AF233" i="49" s="1"/>
  <c r="EK62" i="49"/>
  <c r="DP62" i="49"/>
  <c r="Y233" i="49" s="1"/>
  <c r="BO62" i="49"/>
  <c r="L233" i="49" s="1"/>
  <c r="AS62" i="49"/>
  <c r="X62" i="49"/>
  <c r="E233" i="49" s="1"/>
  <c r="EJ62" i="49"/>
  <c r="AB233" i="49" s="1"/>
  <c r="CS62" i="49"/>
  <c r="AR62" i="49"/>
  <c r="H233" i="49" s="1"/>
  <c r="EI62" i="49"/>
  <c r="AA233" i="49" s="1"/>
  <c r="DM62" i="49"/>
  <c r="CR62" i="49"/>
  <c r="T233" i="49" s="1"/>
  <c r="AQ62" i="49"/>
  <c r="G233" i="49" s="1"/>
  <c r="U62" i="49"/>
  <c r="FM62" i="49"/>
  <c r="DL62" i="49"/>
  <c r="W233" i="49" s="1"/>
  <c r="BU62" i="49"/>
  <c r="T62" i="49"/>
  <c r="C233" i="49" s="1"/>
  <c r="FL62" i="49"/>
  <c r="AI233" i="49" s="1"/>
  <c r="DK62" i="49"/>
  <c r="V233" i="49" s="1"/>
  <c r="CO62" i="49"/>
  <c r="BT62" i="49"/>
  <c r="O233" i="49" s="1"/>
  <c r="S62" i="49"/>
  <c r="B233" i="49" s="1"/>
  <c r="H160" i="7"/>
  <c r="I161" i="49"/>
  <c r="AL44" i="49"/>
  <c r="AH136" i="49"/>
  <c r="FB19" i="49"/>
  <c r="AC136" i="49"/>
  <c r="ED19" i="49"/>
  <c r="N15" i="34" l="1"/>
  <c r="K15" i="34"/>
  <c r="V37" i="6"/>
  <c r="V34" i="6"/>
  <c r="V32" i="6"/>
  <c r="V31" i="6"/>
  <c r="V36" i="6"/>
  <c r="V30" i="6"/>
  <c r="V38" i="6"/>
  <c r="V25" i="6"/>
  <c r="V40" i="6"/>
  <c r="V21" i="6"/>
  <c r="V23" i="6"/>
  <c r="V28" i="6"/>
  <c r="V27" i="6"/>
  <c r="V20" i="6"/>
  <c r="V22" i="6"/>
  <c r="V24" i="6"/>
  <c r="V26" i="6"/>
  <c r="V46" i="6"/>
  <c r="V39" i="6"/>
  <c r="FM63" i="49"/>
  <c r="DL63" i="49"/>
  <c r="W234" i="49" s="1"/>
  <c r="BU63" i="49"/>
  <c r="T63" i="49"/>
  <c r="C234" i="49" s="1"/>
  <c r="FL63" i="49"/>
  <c r="AI234" i="49" s="1"/>
  <c r="DK63" i="49"/>
  <c r="V234" i="49" s="1"/>
  <c r="CO63" i="49"/>
  <c r="BT63" i="49"/>
  <c r="O234" i="49" s="1"/>
  <c r="S63" i="49"/>
  <c r="B234" i="49" s="1"/>
  <c r="EO63" i="49"/>
  <c r="CN63" i="49"/>
  <c r="R234" i="49" s="1"/>
  <c r="AW63" i="49"/>
  <c r="FI63" i="49"/>
  <c r="EN63" i="49"/>
  <c r="AD234" i="49" s="1"/>
  <c r="CM63" i="49"/>
  <c r="Q234" i="49" s="1"/>
  <c r="BQ63" i="49"/>
  <c r="AV63" i="49"/>
  <c r="J234" i="49" s="1"/>
  <c r="FH63" i="49"/>
  <c r="AG234" i="49" s="1"/>
  <c r="DQ63" i="49"/>
  <c r="BP63" i="49"/>
  <c r="M234" i="49" s="1"/>
  <c r="Y63" i="49"/>
  <c r="FG63" i="49"/>
  <c r="AF234" i="49" s="1"/>
  <c r="EK63" i="49"/>
  <c r="DP63" i="49"/>
  <c r="Y234" i="49" s="1"/>
  <c r="BO63" i="49"/>
  <c r="L234" i="49" s="1"/>
  <c r="AS63" i="49"/>
  <c r="X63" i="49"/>
  <c r="E234" i="49" s="1"/>
  <c r="EJ63" i="49"/>
  <c r="AB234" i="49" s="1"/>
  <c r="CS63" i="49"/>
  <c r="AR63" i="49"/>
  <c r="H234" i="49" s="1"/>
  <c r="EI63" i="49"/>
  <c r="AA234" i="49" s="1"/>
  <c r="DM63" i="49"/>
  <c r="CR63" i="49"/>
  <c r="T234" i="49" s="1"/>
  <c r="AQ63" i="49"/>
  <c r="G234" i="49" s="1"/>
  <c r="U63" i="49"/>
  <c r="H161" i="7"/>
  <c r="AH233" i="49"/>
  <c r="FJ62" i="49"/>
  <c r="D216" i="49"/>
  <c r="V45" i="49"/>
  <c r="N162" i="49"/>
  <c r="BJ45" i="49"/>
  <c r="D162" i="49"/>
  <c r="N45" i="49"/>
  <c r="N16" i="34"/>
  <c r="M16" i="34"/>
  <c r="J17" i="34" s="1"/>
  <c r="L16" i="34"/>
  <c r="AH179" i="49"/>
  <c r="FB62" i="49"/>
  <c r="X179" i="49"/>
  <c r="DF62" i="49"/>
  <c r="X137" i="49"/>
  <c r="DF20" i="49"/>
  <c r="I148" i="49"/>
  <c r="AL31" i="49"/>
  <c r="AB17" i="25"/>
  <c r="AC17" i="25" s="1"/>
  <c r="Z18" i="25"/>
  <c r="AA17" i="25"/>
  <c r="D21" i="32"/>
  <c r="E20" i="32"/>
  <c r="F20" i="32" s="1"/>
  <c r="S216" i="49"/>
  <c r="CP45" i="49"/>
  <c r="I216" i="49"/>
  <c r="AT45" i="49"/>
  <c r="D202" i="49"/>
  <c r="V31" i="49"/>
  <c r="S162" i="49"/>
  <c r="CH45" i="49"/>
  <c r="I162" i="49"/>
  <c r="AL45" i="49"/>
  <c r="W15" i="26"/>
  <c r="Y15" i="26" s="1"/>
  <c r="T16" i="26"/>
  <c r="U16" i="26" s="1"/>
  <c r="V15" i="26"/>
  <c r="S15" i="26"/>
  <c r="AC179" i="49"/>
  <c r="ED62" i="49"/>
  <c r="S148" i="49"/>
  <c r="CH31" i="49"/>
  <c r="R123" i="32"/>
  <c r="N202" i="49"/>
  <c r="BR31" i="49"/>
  <c r="AH137" i="49"/>
  <c r="FB20" i="49"/>
  <c r="AC137" i="49"/>
  <c r="ED20" i="49"/>
  <c r="AC148" i="49"/>
  <c r="ED31" i="49"/>
  <c r="D148" i="49"/>
  <c r="N31" i="49"/>
  <c r="S233" i="49"/>
  <c r="CP62" i="49"/>
  <c r="X216" i="49"/>
  <c r="DN45" i="49"/>
  <c r="N216" i="49"/>
  <c r="BR45" i="49"/>
  <c r="X202" i="49"/>
  <c r="DN31" i="49"/>
  <c r="AH162" i="49"/>
  <c r="FB45" i="49"/>
  <c r="X162" i="49"/>
  <c r="DF45" i="49"/>
  <c r="N29" i="43"/>
  <c r="M30" i="43"/>
  <c r="EG63" i="49"/>
  <c r="CF63" i="49"/>
  <c r="R180" i="49" s="1"/>
  <c r="AO63" i="49"/>
  <c r="FA63" i="49"/>
  <c r="EF63" i="49"/>
  <c r="AD180" i="49" s="1"/>
  <c r="CE63" i="49"/>
  <c r="Q180" i="49" s="1"/>
  <c r="BI63" i="49"/>
  <c r="AN63" i="49"/>
  <c r="J180" i="49" s="1"/>
  <c r="EZ63" i="49"/>
  <c r="AG180" i="49" s="1"/>
  <c r="DI63" i="49"/>
  <c r="BH63" i="49"/>
  <c r="M180" i="49" s="1"/>
  <c r="Q63" i="49"/>
  <c r="EY63" i="49"/>
  <c r="AF180" i="49" s="1"/>
  <c r="EC63" i="49"/>
  <c r="DH63" i="49"/>
  <c r="Y180" i="49" s="1"/>
  <c r="BG63" i="49"/>
  <c r="L180" i="49" s="1"/>
  <c r="AK63" i="49"/>
  <c r="P63" i="49"/>
  <c r="E180" i="49" s="1"/>
  <c r="EB63" i="49"/>
  <c r="AB180" i="49" s="1"/>
  <c r="CK63" i="49"/>
  <c r="AJ63" i="49"/>
  <c r="H180" i="49" s="1"/>
  <c r="EA63" i="49"/>
  <c r="AA180" i="49" s="1"/>
  <c r="DE63" i="49"/>
  <c r="CJ63" i="49"/>
  <c r="T180" i="49" s="1"/>
  <c r="AI63" i="49"/>
  <c r="G180" i="49" s="1"/>
  <c r="M63" i="49"/>
  <c r="FE63" i="49"/>
  <c r="DD63" i="49"/>
  <c r="W180" i="49" s="1"/>
  <c r="BM63" i="49"/>
  <c r="L63" i="49"/>
  <c r="C180" i="49" s="1"/>
  <c r="FD63" i="49"/>
  <c r="AI180" i="49" s="1"/>
  <c r="DC63" i="49"/>
  <c r="V180" i="49" s="1"/>
  <c r="CG63" i="49"/>
  <c r="BL63" i="49"/>
  <c r="O180" i="49" s="1"/>
  <c r="K63" i="49"/>
  <c r="B180" i="49" s="1"/>
  <c r="F161" i="7"/>
  <c r="EZ32" i="49"/>
  <c r="AG149" i="49" s="1"/>
  <c r="EG32" i="49"/>
  <c r="DD32" i="49"/>
  <c r="W149" i="49" s="1"/>
  <c r="CK32" i="49"/>
  <c r="BH32" i="49"/>
  <c r="M149" i="49" s="1"/>
  <c r="AO32" i="49"/>
  <c r="EY32" i="49"/>
  <c r="AF149" i="49" s="1"/>
  <c r="EF32" i="49"/>
  <c r="AD149" i="49" s="1"/>
  <c r="DC32" i="49"/>
  <c r="V149" i="49" s="1"/>
  <c r="CJ32" i="49"/>
  <c r="T149" i="49" s="1"/>
  <c r="BG32" i="49"/>
  <c r="L149" i="49" s="1"/>
  <c r="FE32" i="49"/>
  <c r="EB32" i="49"/>
  <c r="AB149" i="49" s="1"/>
  <c r="DI32" i="49"/>
  <c r="CF32" i="49"/>
  <c r="R149" i="49" s="1"/>
  <c r="FD32" i="49"/>
  <c r="AI149" i="49" s="1"/>
  <c r="EA32" i="49"/>
  <c r="AA149" i="49" s="1"/>
  <c r="DH32" i="49"/>
  <c r="Y149" i="49" s="1"/>
  <c r="CE32" i="49"/>
  <c r="Q149" i="49" s="1"/>
  <c r="BL32" i="49"/>
  <c r="O149" i="49" s="1"/>
  <c r="AJ32" i="49"/>
  <c r="H149" i="49" s="1"/>
  <c r="L32" i="49"/>
  <c r="C149" i="49" s="1"/>
  <c r="DE32" i="49"/>
  <c r="BI32" i="49"/>
  <c r="AI32" i="49"/>
  <c r="G149" i="49" s="1"/>
  <c r="K32" i="49"/>
  <c r="B149" i="49" s="1"/>
  <c r="FA32" i="49"/>
  <c r="F130" i="7"/>
  <c r="CG32" i="49"/>
  <c r="Q32" i="49"/>
  <c r="EC32" i="49"/>
  <c r="AN32" i="49"/>
  <c r="J149" i="49" s="1"/>
  <c r="P32" i="49"/>
  <c r="E149" i="49" s="1"/>
  <c r="BM32" i="49"/>
  <c r="AK32" i="49"/>
  <c r="M32" i="49"/>
  <c r="N148" i="49"/>
  <c r="BJ31" i="49"/>
  <c r="I233" i="49"/>
  <c r="AT62" i="49"/>
  <c r="AC216" i="49"/>
  <c r="EL45" i="49"/>
  <c r="AH202" i="49"/>
  <c r="FJ31" i="49"/>
  <c r="I202" i="49"/>
  <c r="AT31" i="49"/>
  <c r="AC162" i="49"/>
  <c r="ED45" i="49"/>
  <c r="X148" i="49"/>
  <c r="DF31" i="49"/>
  <c r="D233" i="49"/>
  <c r="V62" i="49"/>
  <c r="X233" i="49"/>
  <c r="DN62" i="49"/>
  <c r="N233" i="49"/>
  <c r="BR62" i="49"/>
  <c r="FI32" i="49"/>
  <c r="DM32" i="49"/>
  <c r="BQ32" i="49"/>
  <c r="FH32" i="49"/>
  <c r="AG203" i="49" s="1"/>
  <c r="EO32" i="49"/>
  <c r="DL32" i="49"/>
  <c r="W203" i="49" s="1"/>
  <c r="CS32" i="49"/>
  <c r="BP32" i="49"/>
  <c r="M203" i="49" s="1"/>
  <c r="AW32" i="49"/>
  <c r="T32" i="49"/>
  <c r="C203" i="49" s="1"/>
  <c r="EK32" i="49"/>
  <c r="CO32" i="49"/>
  <c r="FM32" i="49"/>
  <c r="EJ32" i="49"/>
  <c r="AB203" i="49" s="1"/>
  <c r="DQ32" i="49"/>
  <c r="CN32" i="49"/>
  <c r="R203" i="49" s="1"/>
  <c r="BU32" i="49"/>
  <c r="AR32" i="49"/>
  <c r="H203" i="49" s="1"/>
  <c r="Y32" i="49"/>
  <c r="DK32" i="49"/>
  <c r="V203" i="49" s="1"/>
  <c r="FL32" i="49"/>
  <c r="AI203" i="49" s="1"/>
  <c r="FG32" i="49"/>
  <c r="AF203" i="49" s="1"/>
  <c r="CR32" i="49"/>
  <c r="T203" i="49" s="1"/>
  <c r="AV32" i="49"/>
  <c r="J203" i="49" s="1"/>
  <c r="X32" i="49"/>
  <c r="E203" i="49" s="1"/>
  <c r="H130" i="7"/>
  <c r="CM32" i="49"/>
  <c r="Q203" i="49" s="1"/>
  <c r="U32" i="49"/>
  <c r="EN32" i="49"/>
  <c r="AD203" i="49" s="1"/>
  <c r="AS32" i="49"/>
  <c r="S32" i="49"/>
  <c r="B203" i="49" s="1"/>
  <c r="EI32" i="49"/>
  <c r="AA203" i="49" s="1"/>
  <c r="BT32" i="49"/>
  <c r="O203" i="49" s="1"/>
  <c r="AQ32" i="49"/>
  <c r="G203" i="49" s="1"/>
  <c r="BO32" i="49"/>
  <c r="L203" i="49" s="1"/>
  <c r="DP32" i="49"/>
  <c r="Y203" i="49" s="1"/>
  <c r="S202" i="49"/>
  <c r="CP31" i="49"/>
  <c r="N179" i="49"/>
  <c r="BJ62" i="49"/>
  <c r="D179" i="49"/>
  <c r="N62" i="49"/>
  <c r="D137" i="49"/>
  <c r="N20" i="49"/>
  <c r="M10" i="43"/>
  <c r="N9" i="43"/>
  <c r="AH148" i="49"/>
  <c r="FB31" i="49"/>
  <c r="FM46" i="49"/>
  <c r="DL46" i="49"/>
  <c r="W217" i="49" s="1"/>
  <c r="BU46" i="49"/>
  <c r="T46" i="49"/>
  <c r="C217" i="49" s="1"/>
  <c r="FL46" i="49"/>
  <c r="AI217" i="49" s="1"/>
  <c r="DK46" i="49"/>
  <c r="V217" i="49" s="1"/>
  <c r="CO46" i="49"/>
  <c r="BT46" i="49"/>
  <c r="O217" i="49" s="1"/>
  <c r="S46" i="49"/>
  <c r="B217" i="49" s="1"/>
  <c r="EO46" i="49"/>
  <c r="CN46" i="49"/>
  <c r="R217" i="49" s="1"/>
  <c r="AW46" i="49"/>
  <c r="FI46" i="49"/>
  <c r="EN46" i="49"/>
  <c r="AD217" i="49" s="1"/>
  <c r="CM46" i="49"/>
  <c r="Q217" i="49" s="1"/>
  <c r="BQ46" i="49"/>
  <c r="AV46" i="49"/>
  <c r="J217" i="49" s="1"/>
  <c r="FH46" i="49"/>
  <c r="AG217" i="49" s="1"/>
  <c r="DQ46" i="49"/>
  <c r="BP46" i="49"/>
  <c r="M217" i="49" s="1"/>
  <c r="Y46" i="49"/>
  <c r="FG46" i="49"/>
  <c r="AF217" i="49" s="1"/>
  <c r="EK46" i="49"/>
  <c r="DP46" i="49"/>
  <c r="Y217" i="49" s="1"/>
  <c r="BO46" i="49"/>
  <c r="L217" i="49" s="1"/>
  <c r="AS46" i="49"/>
  <c r="X46" i="49"/>
  <c r="E217" i="49" s="1"/>
  <c r="EJ46" i="49"/>
  <c r="AB217" i="49" s="1"/>
  <c r="CS46" i="49"/>
  <c r="AR46" i="49"/>
  <c r="H217" i="49" s="1"/>
  <c r="EI46" i="49"/>
  <c r="AA217" i="49" s="1"/>
  <c r="DM46" i="49"/>
  <c r="CR46" i="49"/>
  <c r="T217" i="49" s="1"/>
  <c r="AQ46" i="49"/>
  <c r="G217" i="49" s="1"/>
  <c r="U46" i="49"/>
  <c r="H144" i="7"/>
  <c r="AH216" i="49"/>
  <c r="FJ45" i="49"/>
  <c r="AC202" i="49"/>
  <c r="EL31" i="49"/>
  <c r="EG46" i="49"/>
  <c r="CF46" i="49"/>
  <c r="R163" i="49" s="1"/>
  <c r="AO46" i="49"/>
  <c r="FA46" i="49"/>
  <c r="EF46" i="49"/>
  <c r="AD163" i="49" s="1"/>
  <c r="CE46" i="49"/>
  <c r="Q163" i="49" s="1"/>
  <c r="BI46" i="49"/>
  <c r="AN46" i="49"/>
  <c r="J163" i="49" s="1"/>
  <c r="EZ46" i="49"/>
  <c r="AG163" i="49" s="1"/>
  <c r="DI46" i="49"/>
  <c r="BH46" i="49"/>
  <c r="M163" i="49" s="1"/>
  <c r="Q46" i="49"/>
  <c r="EY46" i="49"/>
  <c r="AF163" i="49" s="1"/>
  <c r="EC46" i="49"/>
  <c r="DH46" i="49"/>
  <c r="Y163" i="49" s="1"/>
  <c r="BG46" i="49"/>
  <c r="L163" i="49" s="1"/>
  <c r="AK46" i="49"/>
  <c r="P46" i="49"/>
  <c r="E163" i="49" s="1"/>
  <c r="EB46" i="49"/>
  <c r="AB163" i="49" s="1"/>
  <c r="CK46" i="49"/>
  <c r="AJ46" i="49"/>
  <c r="H163" i="49" s="1"/>
  <c r="EA46" i="49"/>
  <c r="AA163" i="49" s="1"/>
  <c r="DE46" i="49"/>
  <c r="CJ46" i="49"/>
  <c r="T163" i="49" s="1"/>
  <c r="AI46" i="49"/>
  <c r="G163" i="49" s="1"/>
  <c r="M46" i="49"/>
  <c r="FE46" i="49"/>
  <c r="DD46" i="49"/>
  <c r="W163" i="49" s="1"/>
  <c r="BM46" i="49"/>
  <c r="L46" i="49"/>
  <c r="C163" i="49" s="1"/>
  <c r="FD46" i="49"/>
  <c r="AI163" i="49" s="1"/>
  <c r="DC46" i="49"/>
  <c r="V163" i="49" s="1"/>
  <c r="CG46" i="49"/>
  <c r="BL46" i="49"/>
  <c r="O163" i="49" s="1"/>
  <c r="K46" i="49"/>
  <c r="B163" i="49" s="1"/>
  <c r="F144" i="7"/>
  <c r="BV11" i="26"/>
  <c r="BL11" i="26"/>
  <c r="BK11" i="26"/>
  <c r="BX11" i="26" s="1"/>
  <c r="S179" i="49"/>
  <c r="CH62" i="49"/>
  <c r="I179" i="49"/>
  <c r="AL62" i="49"/>
  <c r="M19" i="43"/>
  <c r="N18" i="43"/>
  <c r="AC233" i="49"/>
  <c r="EL62" i="49"/>
  <c r="F26" i="41"/>
  <c r="C26" i="41"/>
  <c r="D26" i="41" s="1"/>
  <c r="S137" i="49"/>
  <c r="CH20" i="49"/>
  <c r="N137" i="49"/>
  <c r="BJ20" i="49"/>
  <c r="I137" i="49"/>
  <c r="AL20" i="49"/>
  <c r="BY11" i="26" l="1"/>
  <c r="BQ11" i="26"/>
  <c r="BU11" i="26"/>
  <c r="K16" i="34"/>
  <c r="BW11" i="26"/>
  <c r="E26" i="41"/>
  <c r="EC47" i="49"/>
  <c r="CG47" i="49"/>
  <c r="AK47" i="49"/>
  <c r="FE47" i="49"/>
  <c r="EB47" i="49"/>
  <c r="AB164" i="49" s="1"/>
  <c r="DI47" i="49"/>
  <c r="CF47" i="49"/>
  <c r="R164" i="49" s="1"/>
  <c r="BM47" i="49"/>
  <c r="AJ47" i="49"/>
  <c r="H164" i="49" s="1"/>
  <c r="Q47" i="49"/>
  <c r="FD47" i="49"/>
  <c r="AI164" i="49" s="1"/>
  <c r="EA47" i="49"/>
  <c r="AA164" i="49" s="1"/>
  <c r="DH47" i="49"/>
  <c r="Y164" i="49" s="1"/>
  <c r="CE47" i="49"/>
  <c r="Q164" i="49" s="1"/>
  <c r="BL47" i="49"/>
  <c r="O164" i="49" s="1"/>
  <c r="AI47" i="49"/>
  <c r="G164" i="49" s="1"/>
  <c r="P47" i="49"/>
  <c r="E164" i="49" s="1"/>
  <c r="FA47" i="49"/>
  <c r="DE47" i="49"/>
  <c r="BI47" i="49"/>
  <c r="M47" i="49"/>
  <c r="EZ47" i="49"/>
  <c r="AG164" i="49" s="1"/>
  <c r="EG47" i="49"/>
  <c r="DD47" i="49"/>
  <c r="W164" i="49" s="1"/>
  <c r="CK47" i="49"/>
  <c r="BH47" i="49"/>
  <c r="M164" i="49" s="1"/>
  <c r="AO47" i="49"/>
  <c r="L47" i="49"/>
  <c r="C164" i="49" s="1"/>
  <c r="EY47" i="49"/>
  <c r="AF164" i="49" s="1"/>
  <c r="EF47" i="49"/>
  <c r="AD164" i="49" s="1"/>
  <c r="DC47" i="49"/>
  <c r="V164" i="49" s="1"/>
  <c r="CJ47" i="49"/>
  <c r="T164" i="49" s="1"/>
  <c r="BG47" i="49"/>
  <c r="L164" i="49" s="1"/>
  <c r="AN47" i="49"/>
  <c r="J164" i="49" s="1"/>
  <c r="K47" i="49"/>
  <c r="B164" i="49" s="1"/>
  <c r="F145" i="7"/>
  <c r="AC203" i="49"/>
  <c r="EL32" i="49"/>
  <c r="N180" i="49"/>
  <c r="BJ63" i="49"/>
  <c r="AC234" i="49"/>
  <c r="EL63" i="49"/>
  <c r="S234" i="49"/>
  <c r="CP63" i="49"/>
  <c r="M20" i="43"/>
  <c r="N19" i="43"/>
  <c r="I149" i="49"/>
  <c r="AL32" i="49"/>
  <c r="D163" i="49"/>
  <c r="N46" i="49"/>
  <c r="I217" i="49"/>
  <c r="AT46" i="49"/>
  <c r="EK33" i="49"/>
  <c r="CO33" i="49"/>
  <c r="AS33" i="49"/>
  <c r="FM33" i="49"/>
  <c r="EJ33" i="49"/>
  <c r="AB204" i="49" s="1"/>
  <c r="DQ33" i="49"/>
  <c r="CN33" i="49"/>
  <c r="R204" i="49" s="1"/>
  <c r="BU33" i="49"/>
  <c r="AR33" i="49"/>
  <c r="H204" i="49" s="1"/>
  <c r="Y33" i="49"/>
  <c r="FI33" i="49"/>
  <c r="DM33" i="49"/>
  <c r="BQ33" i="49"/>
  <c r="U33" i="49"/>
  <c r="FH33" i="49"/>
  <c r="AG204" i="49" s="1"/>
  <c r="EO33" i="49"/>
  <c r="DL33" i="49"/>
  <c r="W204" i="49" s="1"/>
  <c r="CS33" i="49"/>
  <c r="BP33" i="49"/>
  <c r="M204" i="49" s="1"/>
  <c r="AW33" i="49"/>
  <c r="T33" i="49"/>
  <c r="C204" i="49" s="1"/>
  <c r="EI33" i="49"/>
  <c r="AA204" i="49" s="1"/>
  <c r="BT33" i="49"/>
  <c r="O204" i="49" s="1"/>
  <c r="H131" i="7"/>
  <c r="BO33" i="49"/>
  <c r="L204" i="49" s="1"/>
  <c r="DP33" i="49"/>
  <c r="Y204" i="49" s="1"/>
  <c r="DK33" i="49"/>
  <c r="V204" i="49" s="1"/>
  <c r="AV33" i="49"/>
  <c r="J204" i="49" s="1"/>
  <c r="FL33" i="49"/>
  <c r="AI204" i="49" s="1"/>
  <c r="AQ33" i="49"/>
  <c r="G204" i="49" s="1"/>
  <c r="FG33" i="49"/>
  <c r="AF204" i="49" s="1"/>
  <c r="CR33" i="49"/>
  <c r="T204" i="49" s="1"/>
  <c r="CM33" i="49"/>
  <c r="Q204" i="49" s="1"/>
  <c r="X33" i="49"/>
  <c r="E204" i="49" s="1"/>
  <c r="EN33" i="49"/>
  <c r="AD204" i="49" s="1"/>
  <c r="S33" i="49"/>
  <c r="B204" i="49" s="1"/>
  <c r="X203" i="49"/>
  <c r="DN32" i="49"/>
  <c r="AC180" i="49"/>
  <c r="ED63" i="49"/>
  <c r="L17" i="34"/>
  <c r="M17" i="34"/>
  <c r="J18" i="34" s="1"/>
  <c r="D217" i="49"/>
  <c r="V46" i="49"/>
  <c r="AH149" i="49"/>
  <c r="FB32" i="49"/>
  <c r="X180" i="49"/>
  <c r="DF63" i="49"/>
  <c r="BO11" i="26"/>
  <c r="S163" i="49"/>
  <c r="CH46" i="49"/>
  <c r="I163" i="49"/>
  <c r="AL46" i="49"/>
  <c r="AH203" i="49"/>
  <c r="FJ32" i="49"/>
  <c r="AH234" i="49"/>
  <c r="FJ63" i="49"/>
  <c r="X217" i="49"/>
  <c r="DN46" i="49"/>
  <c r="N217" i="49"/>
  <c r="BR46" i="49"/>
  <c r="N149" i="49"/>
  <c r="BJ32" i="49"/>
  <c r="FE64" i="49"/>
  <c r="DD64" i="49"/>
  <c r="W181" i="49" s="1"/>
  <c r="BM64" i="49"/>
  <c r="L64" i="49"/>
  <c r="C181" i="49" s="1"/>
  <c r="FD64" i="49"/>
  <c r="AI181" i="49" s="1"/>
  <c r="DC64" i="49"/>
  <c r="V181" i="49" s="1"/>
  <c r="CG64" i="49"/>
  <c r="BL64" i="49"/>
  <c r="O181" i="49" s="1"/>
  <c r="K64" i="49"/>
  <c r="B181" i="49" s="1"/>
  <c r="EG64" i="49"/>
  <c r="CF64" i="49"/>
  <c r="R181" i="49" s="1"/>
  <c r="AO64" i="49"/>
  <c r="FA64" i="49"/>
  <c r="EF64" i="49"/>
  <c r="AD181" i="49" s="1"/>
  <c r="CE64" i="49"/>
  <c r="Q181" i="49" s="1"/>
  <c r="BI64" i="49"/>
  <c r="AN64" i="49"/>
  <c r="J181" i="49" s="1"/>
  <c r="EZ64" i="49"/>
  <c r="AG181" i="49" s="1"/>
  <c r="DI64" i="49"/>
  <c r="BH64" i="49"/>
  <c r="M181" i="49" s="1"/>
  <c r="Q64" i="49"/>
  <c r="EY64" i="49"/>
  <c r="AF181" i="49" s="1"/>
  <c r="EC64" i="49"/>
  <c r="DH64" i="49"/>
  <c r="Y181" i="49" s="1"/>
  <c r="BG64" i="49"/>
  <c r="L181" i="49" s="1"/>
  <c r="AK64" i="49"/>
  <c r="P64" i="49"/>
  <c r="E181" i="49" s="1"/>
  <c r="EB64" i="49"/>
  <c r="AB181" i="49" s="1"/>
  <c r="CK64" i="49"/>
  <c r="AJ64" i="49"/>
  <c r="H181" i="49" s="1"/>
  <c r="EA64" i="49"/>
  <c r="AA181" i="49" s="1"/>
  <c r="DE64" i="49"/>
  <c r="CJ64" i="49"/>
  <c r="T181" i="49" s="1"/>
  <c r="AI64" i="49"/>
  <c r="G181" i="49" s="1"/>
  <c r="M64" i="49"/>
  <c r="F162" i="7"/>
  <c r="AH180" i="49"/>
  <c r="FB63" i="49"/>
  <c r="EJ64" i="49"/>
  <c r="AB235" i="49" s="1"/>
  <c r="CS64" i="49"/>
  <c r="AR64" i="49"/>
  <c r="H235" i="49" s="1"/>
  <c r="EI64" i="49"/>
  <c r="AA235" i="49" s="1"/>
  <c r="DM64" i="49"/>
  <c r="CR64" i="49"/>
  <c r="T235" i="49" s="1"/>
  <c r="AQ64" i="49"/>
  <c r="G235" i="49" s="1"/>
  <c r="U64" i="49"/>
  <c r="FM64" i="49"/>
  <c r="DL64" i="49"/>
  <c r="W235" i="49" s="1"/>
  <c r="BU64" i="49"/>
  <c r="T64" i="49"/>
  <c r="C235" i="49" s="1"/>
  <c r="FL64" i="49"/>
  <c r="AI235" i="49" s="1"/>
  <c r="DK64" i="49"/>
  <c r="V235" i="49" s="1"/>
  <c r="CO64" i="49"/>
  <c r="BT64" i="49"/>
  <c r="O235" i="49" s="1"/>
  <c r="S64" i="49"/>
  <c r="B235" i="49" s="1"/>
  <c r="EO64" i="49"/>
  <c r="CN64" i="49"/>
  <c r="R235" i="49" s="1"/>
  <c r="AW64" i="49"/>
  <c r="FI64" i="49"/>
  <c r="EN64" i="49"/>
  <c r="AD235" i="49" s="1"/>
  <c r="CM64" i="49"/>
  <c r="Q235" i="49" s="1"/>
  <c r="BQ64" i="49"/>
  <c r="AV64" i="49"/>
  <c r="J235" i="49" s="1"/>
  <c r="FH64" i="49"/>
  <c r="AG235" i="49" s="1"/>
  <c r="DQ64" i="49"/>
  <c r="BP64" i="49"/>
  <c r="M235" i="49" s="1"/>
  <c r="Y64" i="49"/>
  <c r="FG64" i="49"/>
  <c r="AF235" i="49" s="1"/>
  <c r="EK64" i="49"/>
  <c r="DP64" i="49"/>
  <c r="Y235" i="49" s="1"/>
  <c r="BO64" i="49"/>
  <c r="L235" i="49" s="1"/>
  <c r="AS64" i="49"/>
  <c r="X64" i="49"/>
  <c r="E235" i="49" s="1"/>
  <c r="H162" i="7"/>
  <c r="FH47" i="49"/>
  <c r="AG218" i="49" s="1"/>
  <c r="EO47" i="49"/>
  <c r="DL47" i="49"/>
  <c r="W218" i="49" s="1"/>
  <c r="CS47" i="49"/>
  <c r="BP47" i="49"/>
  <c r="M218" i="49" s="1"/>
  <c r="AW47" i="49"/>
  <c r="T47" i="49"/>
  <c r="C218" i="49" s="1"/>
  <c r="FG47" i="49"/>
  <c r="AF218" i="49" s="1"/>
  <c r="EN47" i="49"/>
  <c r="AD218" i="49" s="1"/>
  <c r="DK47" i="49"/>
  <c r="V218" i="49" s="1"/>
  <c r="CR47" i="49"/>
  <c r="T218" i="49" s="1"/>
  <c r="BO47" i="49"/>
  <c r="L218" i="49" s="1"/>
  <c r="AV47" i="49"/>
  <c r="J218" i="49" s="1"/>
  <c r="S47" i="49"/>
  <c r="B218" i="49" s="1"/>
  <c r="EK47" i="49"/>
  <c r="CO47" i="49"/>
  <c r="AS47" i="49"/>
  <c r="FM47" i="49"/>
  <c r="EJ47" i="49"/>
  <c r="AB218" i="49" s="1"/>
  <c r="DQ47" i="49"/>
  <c r="CN47" i="49"/>
  <c r="R218" i="49" s="1"/>
  <c r="BU47" i="49"/>
  <c r="AR47" i="49"/>
  <c r="H218" i="49" s="1"/>
  <c r="Y47" i="49"/>
  <c r="FL47" i="49"/>
  <c r="AI218" i="49" s="1"/>
  <c r="EI47" i="49"/>
  <c r="AA218" i="49" s="1"/>
  <c r="DP47" i="49"/>
  <c r="Y218" i="49" s="1"/>
  <c r="CM47" i="49"/>
  <c r="Q218" i="49" s="1"/>
  <c r="BT47" i="49"/>
  <c r="O218" i="49" s="1"/>
  <c r="AQ47" i="49"/>
  <c r="G218" i="49" s="1"/>
  <c r="X47" i="49"/>
  <c r="E218" i="49" s="1"/>
  <c r="FI47" i="49"/>
  <c r="DM47" i="49"/>
  <c r="BQ47" i="49"/>
  <c r="U47" i="49"/>
  <c r="H145" i="7"/>
  <c r="H26" i="41"/>
  <c r="BS11" i="26"/>
  <c r="BI12" i="26"/>
  <c r="BJ12" i="26" s="1"/>
  <c r="BH11" i="26"/>
  <c r="X163" i="49"/>
  <c r="DF46" i="49"/>
  <c r="N163" i="49"/>
  <c r="BJ46" i="49"/>
  <c r="AC217" i="49"/>
  <c r="EL46" i="49"/>
  <c r="S217" i="49"/>
  <c r="CP46" i="49"/>
  <c r="AC149" i="49"/>
  <c r="ED32" i="49"/>
  <c r="X149" i="49"/>
  <c r="DF32" i="49"/>
  <c r="D22" i="32"/>
  <c r="E21" i="32"/>
  <c r="F21" i="32" s="1"/>
  <c r="D234" i="49"/>
  <c r="V63" i="49"/>
  <c r="B27" i="41"/>
  <c r="BR11" i="26"/>
  <c r="BT11" i="26"/>
  <c r="BP11" i="26"/>
  <c r="AC163" i="49"/>
  <c r="ED46" i="49"/>
  <c r="I203" i="49"/>
  <c r="AT32" i="49"/>
  <c r="D180" i="49"/>
  <c r="N63" i="49"/>
  <c r="I234" i="49"/>
  <c r="AT63" i="49"/>
  <c r="N203" i="49"/>
  <c r="BR32" i="49"/>
  <c r="BM11" i="26"/>
  <c r="AH217" i="49"/>
  <c r="FJ46" i="49"/>
  <c r="M11" i="43"/>
  <c r="N10" i="43"/>
  <c r="S149" i="49"/>
  <c r="CH32" i="49"/>
  <c r="S180" i="49"/>
  <c r="CH63" i="49"/>
  <c r="I180" i="49"/>
  <c r="AL63" i="49"/>
  <c r="Z19" i="25"/>
  <c r="AB18" i="25"/>
  <c r="AC18" i="25" s="1"/>
  <c r="W6" i="25" s="1"/>
  <c r="AA18" i="25"/>
  <c r="AH163" i="49"/>
  <c r="FB46" i="49"/>
  <c r="D203" i="49"/>
  <c r="V32" i="49"/>
  <c r="S203" i="49"/>
  <c r="CP32" i="49"/>
  <c r="D149" i="49"/>
  <c r="N32" i="49"/>
  <c r="FE33" i="49"/>
  <c r="EB33" i="49"/>
  <c r="AB150" i="49" s="1"/>
  <c r="DI33" i="49"/>
  <c r="CF33" i="49"/>
  <c r="R150" i="49" s="1"/>
  <c r="BM33" i="49"/>
  <c r="AJ33" i="49"/>
  <c r="H150" i="49" s="1"/>
  <c r="Q33" i="49"/>
  <c r="FD33" i="49"/>
  <c r="AI150" i="49" s="1"/>
  <c r="EA33" i="49"/>
  <c r="AA150" i="49" s="1"/>
  <c r="DH33" i="49"/>
  <c r="Y150" i="49" s="1"/>
  <c r="CE33" i="49"/>
  <c r="Q150" i="49" s="1"/>
  <c r="BL33" i="49"/>
  <c r="O150" i="49" s="1"/>
  <c r="AI33" i="49"/>
  <c r="G150" i="49" s="1"/>
  <c r="P33" i="49"/>
  <c r="E150" i="49" s="1"/>
  <c r="EZ33" i="49"/>
  <c r="AG150" i="49" s="1"/>
  <c r="EG33" i="49"/>
  <c r="DD33" i="49"/>
  <c r="W150" i="49" s="1"/>
  <c r="CK33" i="49"/>
  <c r="BH33" i="49"/>
  <c r="M150" i="49" s="1"/>
  <c r="AO33" i="49"/>
  <c r="L33" i="49"/>
  <c r="C150" i="49" s="1"/>
  <c r="EY33" i="49"/>
  <c r="AF150" i="49" s="1"/>
  <c r="EF33" i="49"/>
  <c r="AD150" i="49" s="1"/>
  <c r="DC33" i="49"/>
  <c r="V150" i="49" s="1"/>
  <c r="CJ33" i="49"/>
  <c r="T150" i="49" s="1"/>
  <c r="BG33" i="49"/>
  <c r="L150" i="49" s="1"/>
  <c r="AN33" i="49"/>
  <c r="J150" i="49" s="1"/>
  <c r="K33" i="49"/>
  <c r="B150" i="49" s="1"/>
  <c r="M33" i="49"/>
  <c r="EC33" i="49"/>
  <c r="F131" i="7"/>
  <c r="BI33" i="49"/>
  <c r="DE33" i="49"/>
  <c r="AK33" i="49"/>
  <c r="FA33" i="49"/>
  <c r="CG33" i="49"/>
  <c r="M31" i="43"/>
  <c r="N30" i="43"/>
  <c r="S16" i="26"/>
  <c r="T17" i="26"/>
  <c r="U17" i="26" s="1"/>
  <c r="Y16" i="26"/>
  <c r="W16" i="26"/>
  <c r="V16" i="26"/>
  <c r="X234" i="49"/>
  <c r="DN63" i="49"/>
  <c r="N234" i="49"/>
  <c r="BR63" i="49"/>
  <c r="K17" i="34" l="1"/>
  <c r="V17" i="26"/>
  <c r="T18" i="26"/>
  <c r="U18" i="26" s="1"/>
  <c r="W17" i="26"/>
  <c r="Y17" i="26" s="1"/>
  <c r="S17" i="26"/>
  <c r="AQ4" i="25"/>
  <c r="AS4" i="25" s="1"/>
  <c r="AQ14" i="25"/>
  <c r="AS14" i="25" s="1"/>
  <c r="AQ24" i="25"/>
  <c r="AS24" i="25" s="1"/>
  <c r="D218" i="49"/>
  <c r="V47" i="49"/>
  <c r="AC235" i="49"/>
  <c r="EL64" i="49"/>
  <c r="S235" i="49"/>
  <c r="CP64" i="49"/>
  <c r="AH181" i="49"/>
  <c r="FB64" i="49"/>
  <c r="FA48" i="49"/>
  <c r="DE48" i="49"/>
  <c r="BI48" i="49"/>
  <c r="M48" i="49"/>
  <c r="EZ48" i="49"/>
  <c r="AG165" i="49" s="1"/>
  <c r="EG48" i="49"/>
  <c r="DD48" i="49"/>
  <c r="W165" i="49" s="1"/>
  <c r="CK48" i="49"/>
  <c r="BH48" i="49"/>
  <c r="M165" i="49" s="1"/>
  <c r="AO48" i="49"/>
  <c r="L48" i="49"/>
  <c r="C165" i="49" s="1"/>
  <c r="EY48" i="49"/>
  <c r="AF165" i="49" s="1"/>
  <c r="EF48" i="49"/>
  <c r="AD165" i="49" s="1"/>
  <c r="DC48" i="49"/>
  <c r="V165" i="49" s="1"/>
  <c r="CJ48" i="49"/>
  <c r="T165" i="49" s="1"/>
  <c r="BG48" i="49"/>
  <c r="L165" i="49" s="1"/>
  <c r="AN48" i="49"/>
  <c r="J165" i="49" s="1"/>
  <c r="K48" i="49"/>
  <c r="B165" i="49" s="1"/>
  <c r="EC48" i="49"/>
  <c r="CG48" i="49"/>
  <c r="AK48" i="49"/>
  <c r="FE48" i="49"/>
  <c r="EB48" i="49"/>
  <c r="AB165" i="49" s="1"/>
  <c r="DI48" i="49"/>
  <c r="CF48" i="49"/>
  <c r="R165" i="49" s="1"/>
  <c r="BM48" i="49"/>
  <c r="AJ48" i="49"/>
  <c r="H165" i="49" s="1"/>
  <c r="Q48" i="49"/>
  <c r="FD48" i="49"/>
  <c r="AI165" i="49" s="1"/>
  <c r="EA48" i="49"/>
  <c r="AA165" i="49" s="1"/>
  <c r="DH48" i="49"/>
  <c r="Y165" i="49" s="1"/>
  <c r="CE48" i="49"/>
  <c r="Q165" i="49" s="1"/>
  <c r="BL48" i="49"/>
  <c r="O165" i="49" s="1"/>
  <c r="AI48" i="49"/>
  <c r="G165" i="49" s="1"/>
  <c r="P48" i="49"/>
  <c r="E165" i="49" s="1"/>
  <c r="F146" i="7"/>
  <c r="N164" i="49"/>
  <c r="BJ47" i="49"/>
  <c r="Z20" i="25"/>
  <c r="AA19" i="25"/>
  <c r="AB19" i="25"/>
  <c r="AC19" i="25" s="1"/>
  <c r="N11" i="43"/>
  <c r="M12" i="43"/>
  <c r="N218" i="49"/>
  <c r="BR47" i="49"/>
  <c r="EB65" i="49"/>
  <c r="AB182" i="49" s="1"/>
  <c r="CK65" i="49"/>
  <c r="AJ65" i="49"/>
  <c r="H182" i="49" s="1"/>
  <c r="EA65" i="49"/>
  <c r="AA182" i="49" s="1"/>
  <c r="DE65" i="49"/>
  <c r="CJ65" i="49"/>
  <c r="T182" i="49" s="1"/>
  <c r="AI65" i="49"/>
  <c r="G182" i="49" s="1"/>
  <c r="M65" i="49"/>
  <c r="FE65" i="49"/>
  <c r="DD65" i="49"/>
  <c r="W182" i="49" s="1"/>
  <c r="BM65" i="49"/>
  <c r="L65" i="49"/>
  <c r="C182" i="49" s="1"/>
  <c r="FD65" i="49"/>
  <c r="AI182" i="49" s="1"/>
  <c r="DC65" i="49"/>
  <c r="V182" i="49" s="1"/>
  <c r="CG65" i="49"/>
  <c r="BL65" i="49"/>
  <c r="O182" i="49" s="1"/>
  <c r="K65" i="49"/>
  <c r="B182" i="49" s="1"/>
  <c r="EG65" i="49"/>
  <c r="CF65" i="49"/>
  <c r="R182" i="49" s="1"/>
  <c r="AO65" i="49"/>
  <c r="FA65" i="49"/>
  <c r="EF65" i="49"/>
  <c r="AD182" i="49" s="1"/>
  <c r="CE65" i="49"/>
  <c r="Q182" i="49" s="1"/>
  <c r="BI65" i="49"/>
  <c r="AN65" i="49"/>
  <c r="J182" i="49" s="1"/>
  <c r="EZ65" i="49"/>
  <c r="AG182" i="49" s="1"/>
  <c r="DI65" i="49"/>
  <c r="BH65" i="49"/>
  <c r="M182" i="49" s="1"/>
  <c r="Q65" i="49"/>
  <c r="EY65" i="49"/>
  <c r="AF182" i="49" s="1"/>
  <c r="EC65" i="49"/>
  <c r="DH65" i="49"/>
  <c r="Y182" i="49" s="1"/>
  <c r="BG65" i="49"/>
  <c r="L182" i="49" s="1"/>
  <c r="AK65" i="49"/>
  <c r="P65" i="49"/>
  <c r="E182" i="49" s="1"/>
  <c r="F163" i="7"/>
  <c r="D204" i="49"/>
  <c r="V33" i="49"/>
  <c r="X164" i="49"/>
  <c r="DF47" i="49"/>
  <c r="I164" i="49"/>
  <c r="AL47" i="49"/>
  <c r="EZ34" i="49"/>
  <c r="AG151" i="49" s="1"/>
  <c r="EG34" i="49"/>
  <c r="DD34" i="49"/>
  <c r="W151" i="49" s="1"/>
  <c r="CK34" i="49"/>
  <c r="BH34" i="49"/>
  <c r="M151" i="49" s="1"/>
  <c r="AO34" i="49"/>
  <c r="L34" i="49"/>
  <c r="C151" i="49" s="1"/>
  <c r="EY34" i="49"/>
  <c r="AF151" i="49" s="1"/>
  <c r="EF34" i="49"/>
  <c r="AD151" i="49" s="1"/>
  <c r="DC34" i="49"/>
  <c r="V151" i="49" s="1"/>
  <c r="CJ34" i="49"/>
  <c r="T151" i="49" s="1"/>
  <c r="BG34" i="49"/>
  <c r="L151" i="49" s="1"/>
  <c r="AN34" i="49"/>
  <c r="J151" i="49" s="1"/>
  <c r="K34" i="49"/>
  <c r="B151" i="49" s="1"/>
  <c r="FE34" i="49"/>
  <c r="EB34" i="49"/>
  <c r="AB151" i="49" s="1"/>
  <c r="DI34" i="49"/>
  <c r="CF34" i="49"/>
  <c r="R151" i="49" s="1"/>
  <c r="BM34" i="49"/>
  <c r="AJ34" i="49"/>
  <c r="H151" i="49" s="1"/>
  <c r="Q34" i="49"/>
  <c r="FD34" i="49"/>
  <c r="AI151" i="49" s="1"/>
  <c r="EA34" i="49"/>
  <c r="AA151" i="49" s="1"/>
  <c r="DH34" i="49"/>
  <c r="Y151" i="49" s="1"/>
  <c r="CE34" i="49"/>
  <c r="Q151" i="49" s="1"/>
  <c r="BL34" i="49"/>
  <c r="O151" i="49" s="1"/>
  <c r="AI34" i="49"/>
  <c r="G151" i="49" s="1"/>
  <c r="P34" i="49"/>
  <c r="E151" i="49" s="1"/>
  <c r="AK34" i="49"/>
  <c r="FA34" i="49"/>
  <c r="CG34" i="49"/>
  <c r="M34" i="49"/>
  <c r="EC34" i="49"/>
  <c r="BI34" i="49"/>
  <c r="DE34" i="49"/>
  <c r="F132" i="7"/>
  <c r="AC150" i="49"/>
  <c r="ED33" i="49"/>
  <c r="M32" i="43"/>
  <c r="N31" i="43"/>
  <c r="D150" i="49"/>
  <c r="N33" i="49"/>
  <c r="F27" i="41"/>
  <c r="C27" i="41"/>
  <c r="X218" i="49"/>
  <c r="DN47" i="49"/>
  <c r="I218" i="49"/>
  <c r="AT47" i="49"/>
  <c r="AH235" i="49"/>
  <c r="FJ64" i="49"/>
  <c r="X235" i="49"/>
  <c r="DN64" i="49"/>
  <c r="D181" i="49"/>
  <c r="N64" i="49"/>
  <c r="L18" i="34"/>
  <c r="M18" i="34"/>
  <c r="J19" i="34" s="1"/>
  <c r="N18" i="34"/>
  <c r="N204" i="49"/>
  <c r="BR33" i="49"/>
  <c r="AH164" i="49"/>
  <c r="FB47" i="49"/>
  <c r="S164" i="49"/>
  <c r="CH47" i="49"/>
  <c r="S150" i="49"/>
  <c r="CH33" i="49"/>
  <c r="AH218" i="49"/>
  <c r="FJ47" i="49"/>
  <c r="S218" i="49"/>
  <c r="CP47" i="49"/>
  <c r="FH65" i="49"/>
  <c r="AG236" i="49" s="1"/>
  <c r="DQ65" i="49"/>
  <c r="BP65" i="49"/>
  <c r="M236" i="49" s="1"/>
  <c r="Y65" i="49"/>
  <c r="FG65" i="49"/>
  <c r="AF236" i="49" s="1"/>
  <c r="EK65" i="49"/>
  <c r="DP65" i="49"/>
  <c r="Y236" i="49" s="1"/>
  <c r="BO65" i="49"/>
  <c r="L236" i="49" s="1"/>
  <c r="AS65" i="49"/>
  <c r="X65" i="49"/>
  <c r="E236" i="49" s="1"/>
  <c r="EJ65" i="49"/>
  <c r="AB236" i="49" s="1"/>
  <c r="CS65" i="49"/>
  <c r="AR65" i="49"/>
  <c r="H236" i="49" s="1"/>
  <c r="EI65" i="49"/>
  <c r="AA236" i="49" s="1"/>
  <c r="DM65" i="49"/>
  <c r="CR65" i="49"/>
  <c r="T236" i="49" s="1"/>
  <c r="AQ65" i="49"/>
  <c r="G236" i="49" s="1"/>
  <c r="U65" i="49"/>
  <c r="FM65" i="49"/>
  <c r="DL65" i="49"/>
  <c r="W236" i="49" s="1"/>
  <c r="BU65" i="49"/>
  <c r="T65" i="49"/>
  <c r="C236" i="49" s="1"/>
  <c r="FL65" i="49"/>
  <c r="AI236" i="49" s="1"/>
  <c r="DK65" i="49"/>
  <c r="V236" i="49" s="1"/>
  <c r="CO65" i="49"/>
  <c r="BT65" i="49"/>
  <c r="O236" i="49" s="1"/>
  <c r="S65" i="49"/>
  <c r="B236" i="49" s="1"/>
  <c r="EO65" i="49"/>
  <c r="CN65" i="49"/>
  <c r="R236" i="49" s="1"/>
  <c r="AW65" i="49"/>
  <c r="FI65" i="49"/>
  <c r="EN65" i="49"/>
  <c r="AD236" i="49" s="1"/>
  <c r="CM65" i="49"/>
  <c r="Q236" i="49" s="1"/>
  <c r="BQ65" i="49"/>
  <c r="AV65" i="49"/>
  <c r="J236" i="49" s="1"/>
  <c r="H163" i="7"/>
  <c r="I181" i="49"/>
  <c r="AL64" i="49"/>
  <c r="X204" i="49"/>
  <c r="DN33" i="49"/>
  <c r="AC164" i="49"/>
  <c r="ED47" i="49"/>
  <c r="AH150" i="49"/>
  <c r="FB33" i="49"/>
  <c r="BL12" i="26"/>
  <c r="BK12" i="26"/>
  <c r="BM12" i="26" s="1"/>
  <c r="BV12" i="26"/>
  <c r="AC218" i="49"/>
  <c r="EL47" i="49"/>
  <c r="N17" i="34"/>
  <c r="AH204" i="49"/>
  <c r="FJ33" i="49"/>
  <c r="I204" i="49"/>
  <c r="AT33" i="49"/>
  <c r="J26" i="41"/>
  <c r="L26" i="41" s="1"/>
  <c r="I26" i="41"/>
  <c r="K26" i="41" s="1"/>
  <c r="I150" i="49"/>
  <c r="AL33" i="49"/>
  <c r="I235" i="49"/>
  <c r="AT64" i="49"/>
  <c r="X181" i="49"/>
  <c r="DF64" i="49"/>
  <c r="N181" i="49"/>
  <c r="BJ64" i="49"/>
  <c r="S204" i="49"/>
  <c r="CP33" i="49"/>
  <c r="X150" i="49"/>
  <c r="DF33" i="49"/>
  <c r="AC181" i="49"/>
  <c r="ED64" i="49"/>
  <c r="S181" i="49"/>
  <c r="CH64" i="49"/>
  <c r="AC204" i="49"/>
  <c r="EL33" i="49"/>
  <c r="M21" i="43"/>
  <c r="N20" i="43"/>
  <c r="D23" i="32"/>
  <c r="E22" i="32"/>
  <c r="F22" i="32" s="1"/>
  <c r="N150" i="49"/>
  <c r="BJ33" i="49"/>
  <c r="FM48" i="49"/>
  <c r="EJ48" i="49"/>
  <c r="AB219" i="49" s="1"/>
  <c r="DQ48" i="49"/>
  <c r="CN48" i="49"/>
  <c r="R219" i="49" s="1"/>
  <c r="BU48" i="49"/>
  <c r="AR48" i="49"/>
  <c r="H219" i="49" s="1"/>
  <c r="Y48" i="49"/>
  <c r="FL48" i="49"/>
  <c r="AI219" i="49" s="1"/>
  <c r="EI48" i="49"/>
  <c r="AA219" i="49" s="1"/>
  <c r="DP48" i="49"/>
  <c r="Y219" i="49" s="1"/>
  <c r="CM48" i="49"/>
  <c r="Q219" i="49" s="1"/>
  <c r="BT48" i="49"/>
  <c r="O219" i="49" s="1"/>
  <c r="AQ48" i="49"/>
  <c r="G219" i="49" s="1"/>
  <c r="X48" i="49"/>
  <c r="E219" i="49" s="1"/>
  <c r="FI48" i="49"/>
  <c r="DM48" i="49"/>
  <c r="BQ48" i="49"/>
  <c r="U48" i="49"/>
  <c r="FH48" i="49"/>
  <c r="AG219" i="49" s="1"/>
  <c r="EO48" i="49"/>
  <c r="DL48" i="49"/>
  <c r="W219" i="49" s="1"/>
  <c r="CS48" i="49"/>
  <c r="BP48" i="49"/>
  <c r="M219" i="49" s="1"/>
  <c r="AW48" i="49"/>
  <c r="T48" i="49"/>
  <c r="C219" i="49" s="1"/>
  <c r="FG48" i="49"/>
  <c r="AF219" i="49" s="1"/>
  <c r="EN48" i="49"/>
  <c r="AD219" i="49" s="1"/>
  <c r="DK48" i="49"/>
  <c r="V219" i="49" s="1"/>
  <c r="CR48" i="49"/>
  <c r="T219" i="49" s="1"/>
  <c r="BO48" i="49"/>
  <c r="L219" i="49" s="1"/>
  <c r="AV48" i="49"/>
  <c r="J219" i="49" s="1"/>
  <c r="S48" i="49"/>
  <c r="B219" i="49" s="1"/>
  <c r="EK48" i="49"/>
  <c r="CO48" i="49"/>
  <c r="AS48" i="49"/>
  <c r="H146" i="7"/>
  <c r="N235" i="49"/>
  <c r="BR64" i="49"/>
  <c r="D235" i="49"/>
  <c r="V64" i="49"/>
  <c r="FI34" i="49"/>
  <c r="DM34" i="49"/>
  <c r="BQ34" i="49"/>
  <c r="U34" i="49"/>
  <c r="FH34" i="49"/>
  <c r="AG205" i="49" s="1"/>
  <c r="EO34" i="49"/>
  <c r="DL34" i="49"/>
  <c r="W205" i="49" s="1"/>
  <c r="CS34" i="49"/>
  <c r="BP34" i="49"/>
  <c r="M205" i="49" s="1"/>
  <c r="AW34" i="49"/>
  <c r="T34" i="49"/>
  <c r="C205" i="49" s="1"/>
  <c r="EK34" i="49"/>
  <c r="CO34" i="49"/>
  <c r="AS34" i="49"/>
  <c r="FM34" i="49"/>
  <c r="EJ34" i="49"/>
  <c r="AB205" i="49" s="1"/>
  <c r="DQ34" i="49"/>
  <c r="CN34" i="49"/>
  <c r="R205" i="49" s="1"/>
  <c r="BU34" i="49"/>
  <c r="AR34" i="49"/>
  <c r="H205" i="49" s="1"/>
  <c r="Y34" i="49"/>
  <c r="FG34" i="49"/>
  <c r="AF205" i="49" s="1"/>
  <c r="CR34" i="49"/>
  <c r="T205" i="49" s="1"/>
  <c r="CM34" i="49"/>
  <c r="Q205" i="49" s="1"/>
  <c r="X34" i="49"/>
  <c r="E205" i="49" s="1"/>
  <c r="EN34" i="49"/>
  <c r="AD205" i="49" s="1"/>
  <c r="S34" i="49"/>
  <c r="B205" i="49" s="1"/>
  <c r="EI34" i="49"/>
  <c r="AA205" i="49" s="1"/>
  <c r="BT34" i="49"/>
  <c r="O205" i="49" s="1"/>
  <c r="BO34" i="49"/>
  <c r="L205" i="49" s="1"/>
  <c r="DP34" i="49"/>
  <c r="Y205" i="49" s="1"/>
  <c r="DK34" i="49"/>
  <c r="V205" i="49" s="1"/>
  <c r="AV34" i="49"/>
  <c r="J205" i="49" s="1"/>
  <c r="H132" i="7"/>
  <c r="FL34" i="49"/>
  <c r="AI205" i="49" s="1"/>
  <c r="AQ34" i="49"/>
  <c r="G205" i="49" s="1"/>
  <c r="D164" i="49"/>
  <c r="N47" i="49"/>
  <c r="BW12" i="26" l="1"/>
  <c r="BP12" i="26"/>
  <c r="BQ12" i="26"/>
  <c r="BY12" i="26"/>
  <c r="BS12" i="26"/>
  <c r="BI13" i="26"/>
  <c r="BJ13" i="26" s="1"/>
  <c r="BV13" i="26" s="1"/>
  <c r="BH12" i="26"/>
  <c r="BT12" i="26"/>
  <c r="BX12" i="26"/>
  <c r="BU12" i="26"/>
  <c r="AH219" i="49"/>
  <c r="FJ48" i="49"/>
  <c r="AC205" i="49"/>
  <c r="EL34" i="49"/>
  <c r="EO66" i="49"/>
  <c r="CN66" i="49"/>
  <c r="R237" i="49" s="1"/>
  <c r="AW66" i="49"/>
  <c r="FI66" i="49"/>
  <c r="EN66" i="49"/>
  <c r="AD237" i="49" s="1"/>
  <c r="CM66" i="49"/>
  <c r="Q237" i="49" s="1"/>
  <c r="BQ66" i="49"/>
  <c r="AV66" i="49"/>
  <c r="J237" i="49" s="1"/>
  <c r="FH66" i="49"/>
  <c r="AG237" i="49" s="1"/>
  <c r="DQ66" i="49"/>
  <c r="BP66" i="49"/>
  <c r="M237" i="49" s="1"/>
  <c r="Y66" i="49"/>
  <c r="FG66" i="49"/>
  <c r="AF237" i="49" s="1"/>
  <c r="EK66" i="49"/>
  <c r="DP66" i="49"/>
  <c r="Y237" i="49" s="1"/>
  <c r="BO66" i="49"/>
  <c r="L237" i="49" s="1"/>
  <c r="AS66" i="49"/>
  <c r="X66" i="49"/>
  <c r="E237" i="49" s="1"/>
  <c r="EJ66" i="49"/>
  <c r="AB237" i="49" s="1"/>
  <c r="CS66" i="49"/>
  <c r="AR66" i="49"/>
  <c r="H237" i="49" s="1"/>
  <c r="EI66" i="49"/>
  <c r="AA237" i="49" s="1"/>
  <c r="DM66" i="49"/>
  <c r="CR66" i="49"/>
  <c r="T237" i="49" s="1"/>
  <c r="AQ66" i="49"/>
  <c r="G237" i="49" s="1"/>
  <c r="U66" i="49"/>
  <c r="FM66" i="49"/>
  <c r="DL66" i="49"/>
  <c r="W237" i="49" s="1"/>
  <c r="BU66" i="49"/>
  <c r="T66" i="49"/>
  <c r="C237" i="49" s="1"/>
  <c r="FL66" i="49"/>
  <c r="AI237" i="49" s="1"/>
  <c r="DK66" i="49"/>
  <c r="V237" i="49" s="1"/>
  <c r="CO66" i="49"/>
  <c r="BT66" i="49"/>
  <c r="O237" i="49" s="1"/>
  <c r="S66" i="49"/>
  <c r="B237" i="49" s="1"/>
  <c r="H164" i="7"/>
  <c r="K18" i="34"/>
  <c r="D151" i="49"/>
  <c r="N34" i="49"/>
  <c r="I182" i="49"/>
  <c r="AL65" i="49"/>
  <c r="Z21" i="25"/>
  <c r="AB20" i="25"/>
  <c r="AC20" i="25" s="1"/>
  <c r="AA20" i="25"/>
  <c r="FH49" i="49"/>
  <c r="AG220" i="49" s="1"/>
  <c r="EO49" i="49"/>
  <c r="DL49" i="49"/>
  <c r="W220" i="49" s="1"/>
  <c r="CS49" i="49"/>
  <c r="BP49" i="49"/>
  <c r="M220" i="49" s="1"/>
  <c r="AW49" i="49"/>
  <c r="T49" i="49"/>
  <c r="C220" i="49" s="1"/>
  <c r="FG49" i="49"/>
  <c r="AF220" i="49" s="1"/>
  <c r="EN49" i="49"/>
  <c r="AD220" i="49" s="1"/>
  <c r="DK49" i="49"/>
  <c r="V220" i="49" s="1"/>
  <c r="CR49" i="49"/>
  <c r="T220" i="49" s="1"/>
  <c r="BO49" i="49"/>
  <c r="L220" i="49" s="1"/>
  <c r="AV49" i="49"/>
  <c r="J220" i="49" s="1"/>
  <c r="S49" i="49"/>
  <c r="B220" i="49" s="1"/>
  <c r="EK49" i="49"/>
  <c r="CO49" i="49"/>
  <c r="AS49" i="49"/>
  <c r="FM49" i="49"/>
  <c r="EJ49" i="49"/>
  <c r="AB220" i="49" s="1"/>
  <c r="DQ49" i="49"/>
  <c r="CN49" i="49"/>
  <c r="R220" i="49" s="1"/>
  <c r="BU49" i="49"/>
  <c r="AR49" i="49"/>
  <c r="H220" i="49" s="1"/>
  <c r="Y49" i="49"/>
  <c r="FL49" i="49"/>
  <c r="AI220" i="49" s="1"/>
  <c r="EI49" i="49"/>
  <c r="AA220" i="49" s="1"/>
  <c r="DP49" i="49"/>
  <c r="Y220" i="49" s="1"/>
  <c r="CM49" i="49"/>
  <c r="Q220" i="49" s="1"/>
  <c r="BT49" i="49"/>
  <c r="O220" i="49" s="1"/>
  <c r="AQ49" i="49"/>
  <c r="G220" i="49" s="1"/>
  <c r="X49" i="49"/>
  <c r="E220" i="49" s="1"/>
  <c r="FI49" i="49"/>
  <c r="DM49" i="49"/>
  <c r="BQ49" i="49"/>
  <c r="U49" i="49"/>
  <c r="H147" i="7"/>
  <c r="N205" i="49"/>
  <c r="BR34" i="49"/>
  <c r="I219" i="49"/>
  <c r="AT48" i="49"/>
  <c r="N21" i="43"/>
  <c r="M22" i="43"/>
  <c r="BR12" i="26"/>
  <c r="M33" i="43"/>
  <c r="N32" i="43"/>
  <c r="S151" i="49"/>
  <c r="CH34" i="49"/>
  <c r="D205" i="49"/>
  <c r="V34" i="49"/>
  <c r="EK35" i="49"/>
  <c r="CO35" i="49"/>
  <c r="AS35" i="49"/>
  <c r="FM35" i="49"/>
  <c r="EJ35" i="49"/>
  <c r="AB206" i="49" s="1"/>
  <c r="DQ35" i="49"/>
  <c r="CN35" i="49"/>
  <c r="R206" i="49" s="1"/>
  <c r="BU35" i="49"/>
  <c r="AR35" i="49"/>
  <c r="H206" i="49" s="1"/>
  <c r="Y35" i="49"/>
  <c r="FI35" i="49"/>
  <c r="DM35" i="49"/>
  <c r="BQ35" i="49"/>
  <c r="U35" i="49"/>
  <c r="FH35" i="49"/>
  <c r="AG206" i="49" s="1"/>
  <c r="EO35" i="49"/>
  <c r="DL35" i="49"/>
  <c r="W206" i="49" s="1"/>
  <c r="CS35" i="49"/>
  <c r="BP35" i="49"/>
  <c r="M206" i="49" s="1"/>
  <c r="AW35" i="49"/>
  <c r="T35" i="49"/>
  <c r="C206" i="49" s="1"/>
  <c r="DP35" i="49"/>
  <c r="Y206" i="49" s="1"/>
  <c r="DK35" i="49"/>
  <c r="V206" i="49" s="1"/>
  <c r="AV35" i="49"/>
  <c r="J206" i="49" s="1"/>
  <c r="FL35" i="49"/>
  <c r="AI206" i="49" s="1"/>
  <c r="AQ35" i="49"/>
  <c r="G206" i="49" s="1"/>
  <c r="FG35" i="49"/>
  <c r="AF206" i="49" s="1"/>
  <c r="CR35" i="49"/>
  <c r="T206" i="49" s="1"/>
  <c r="CM35" i="49"/>
  <c r="Q206" i="49" s="1"/>
  <c r="X35" i="49"/>
  <c r="E206" i="49" s="1"/>
  <c r="EN35" i="49"/>
  <c r="AD206" i="49" s="1"/>
  <c r="S35" i="49"/>
  <c r="B206" i="49" s="1"/>
  <c r="EI35" i="49"/>
  <c r="AA206" i="49" s="1"/>
  <c r="BT35" i="49"/>
  <c r="O206" i="49" s="1"/>
  <c r="BO35" i="49"/>
  <c r="L206" i="49" s="1"/>
  <c r="X205" i="49"/>
  <c r="DN34" i="49"/>
  <c r="S219" i="49"/>
  <c r="CP48" i="49"/>
  <c r="D219" i="49"/>
  <c r="V48" i="49"/>
  <c r="BO12" i="26"/>
  <c r="N236" i="49"/>
  <c r="BR65" i="49"/>
  <c r="D236" i="49"/>
  <c r="V65" i="49"/>
  <c r="AH151" i="49"/>
  <c r="FB34" i="49"/>
  <c r="N182" i="49"/>
  <c r="BJ65" i="49"/>
  <c r="D182" i="49"/>
  <c r="N65" i="49"/>
  <c r="I165" i="49"/>
  <c r="AL48" i="49"/>
  <c r="AC219" i="49"/>
  <c r="EL48" i="49"/>
  <c r="N219" i="49"/>
  <c r="BR48" i="49"/>
  <c r="S236" i="49"/>
  <c r="CP65" i="49"/>
  <c r="I236" i="49"/>
  <c r="AT65" i="49"/>
  <c r="I151" i="49"/>
  <c r="AL34" i="49"/>
  <c r="AC182" i="49"/>
  <c r="ED65" i="49"/>
  <c r="S182" i="49"/>
  <c r="CH65" i="49"/>
  <c r="EC49" i="49"/>
  <c r="CG49" i="49"/>
  <c r="AK49" i="49"/>
  <c r="FE49" i="49"/>
  <c r="EB49" i="49"/>
  <c r="AB166" i="49" s="1"/>
  <c r="DI49" i="49"/>
  <c r="CF49" i="49"/>
  <c r="R166" i="49" s="1"/>
  <c r="BM49" i="49"/>
  <c r="AJ49" i="49"/>
  <c r="H166" i="49" s="1"/>
  <c r="Q49" i="49"/>
  <c r="FD49" i="49"/>
  <c r="AI166" i="49" s="1"/>
  <c r="EA49" i="49"/>
  <c r="AA166" i="49" s="1"/>
  <c r="DH49" i="49"/>
  <c r="Y166" i="49" s="1"/>
  <c r="CE49" i="49"/>
  <c r="Q166" i="49" s="1"/>
  <c r="BL49" i="49"/>
  <c r="O166" i="49" s="1"/>
  <c r="AI49" i="49"/>
  <c r="G166" i="49" s="1"/>
  <c r="P49" i="49"/>
  <c r="E166" i="49" s="1"/>
  <c r="FA49" i="49"/>
  <c r="DE49" i="49"/>
  <c r="BI49" i="49"/>
  <c r="M49" i="49"/>
  <c r="EZ49" i="49"/>
  <c r="AG166" i="49" s="1"/>
  <c r="EG49" i="49"/>
  <c r="DD49" i="49"/>
  <c r="W166" i="49" s="1"/>
  <c r="CK49" i="49"/>
  <c r="BH49" i="49"/>
  <c r="M166" i="49" s="1"/>
  <c r="AO49" i="49"/>
  <c r="L49" i="49"/>
  <c r="C166" i="49" s="1"/>
  <c r="EY49" i="49"/>
  <c r="AF166" i="49" s="1"/>
  <c r="EF49" i="49"/>
  <c r="AD166" i="49" s="1"/>
  <c r="DC49" i="49"/>
  <c r="V166" i="49" s="1"/>
  <c r="CJ49" i="49"/>
  <c r="T166" i="49" s="1"/>
  <c r="BG49" i="49"/>
  <c r="L166" i="49" s="1"/>
  <c r="AN49" i="49"/>
  <c r="J166" i="49" s="1"/>
  <c r="K49" i="49"/>
  <c r="B166" i="49" s="1"/>
  <c r="F147" i="7"/>
  <c r="S165" i="49"/>
  <c r="CH48" i="49"/>
  <c r="D165" i="49"/>
  <c r="N48" i="49"/>
  <c r="AH205" i="49"/>
  <c r="FJ34" i="49"/>
  <c r="X219" i="49"/>
  <c r="DN48" i="49"/>
  <c r="BK13" i="26"/>
  <c r="D27" i="41"/>
  <c r="H27" i="41" s="1"/>
  <c r="FE35" i="49"/>
  <c r="EB35" i="49"/>
  <c r="AB152" i="49" s="1"/>
  <c r="DI35" i="49"/>
  <c r="CF35" i="49"/>
  <c r="R152" i="49" s="1"/>
  <c r="BM35" i="49"/>
  <c r="AJ35" i="49"/>
  <c r="H152" i="49" s="1"/>
  <c r="Q35" i="49"/>
  <c r="FD35" i="49"/>
  <c r="AI152" i="49" s="1"/>
  <c r="EA35" i="49"/>
  <c r="AA152" i="49" s="1"/>
  <c r="DH35" i="49"/>
  <c r="Y152" i="49" s="1"/>
  <c r="CE35" i="49"/>
  <c r="Q152" i="49" s="1"/>
  <c r="BL35" i="49"/>
  <c r="O152" i="49" s="1"/>
  <c r="AI35" i="49"/>
  <c r="G152" i="49" s="1"/>
  <c r="P35" i="49"/>
  <c r="E152" i="49" s="1"/>
  <c r="EZ35" i="49"/>
  <c r="AG152" i="49" s="1"/>
  <c r="EG35" i="49"/>
  <c r="DD35" i="49"/>
  <c r="W152" i="49" s="1"/>
  <c r="CK35" i="49"/>
  <c r="BH35" i="49"/>
  <c r="M152" i="49" s="1"/>
  <c r="AO35" i="49"/>
  <c r="L35" i="49"/>
  <c r="C152" i="49" s="1"/>
  <c r="EY35" i="49"/>
  <c r="AF152" i="49" s="1"/>
  <c r="EF35" i="49"/>
  <c r="AD152" i="49" s="1"/>
  <c r="DC35" i="49"/>
  <c r="V152" i="49" s="1"/>
  <c r="CJ35" i="49"/>
  <c r="T152" i="49" s="1"/>
  <c r="BG35" i="49"/>
  <c r="L152" i="49" s="1"/>
  <c r="AN35" i="49"/>
  <c r="J152" i="49" s="1"/>
  <c r="K35" i="49"/>
  <c r="B152" i="49" s="1"/>
  <c r="BI35" i="49"/>
  <c r="DE35" i="49"/>
  <c r="AK35" i="49"/>
  <c r="FA35" i="49"/>
  <c r="CG35" i="49"/>
  <c r="M35" i="49"/>
  <c r="EC35" i="49"/>
  <c r="M13" i="43"/>
  <c r="N12" i="43"/>
  <c r="AC165" i="49"/>
  <c r="ED48" i="49"/>
  <c r="N165" i="49"/>
  <c r="BJ48" i="49"/>
  <c r="AH236" i="49"/>
  <c r="FJ65" i="49"/>
  <c r="X236" i="49"/>
  <c r="DN65" i="49"/>
  <c r="X151" i="49"/>
  <c r="DF34" i="49"/>
  <c r="AH182" i="49"/>
  <c r="FB65" i="49"/>
  <c r="X182" i="49"/>
  <c r="DF65" i="49"/>
  <c r="X165" i="49"/>
  <c r="DF48" i="49"/>
  <c r="S18" i="26"/>
  <c r="T19" i="26"/>
  <c r="U19" i="26" s="1"/>
  <c r="W18" i="26"/>
  <c r="Y18" i="26" s="1"/>
  <c r="V18" i="26"/>
  <c r="AC236" i="49"/>
  <c r="EL65" i="49"/>
  <c r="N151" i="49"/>
  <c r="BJ34" i="49"/>
  <c r="EZ66" i="49"/>
  <c r="AG183" i="49" s="1"/>
  <c r="DI66" i="49"/>
  <c r="BH66" i="49"/>
  <c r="M183" i="49" s="1"/>
  <c r="Q66" i="49"/>
  <c r="EY66" i="49"/>
  <c r="AF183" i="49" s="1"/>
  <c r="EC66" i="49"/>
  <c r="DH66" i="49"/>
  <c r="Y183" i="49" s="1"/>
  <c r="BG66" i="49"/>
  <c r="L183" i="49" s="1"/>
  <c r="AK66" i="49"/>
  <c r="P66" i="49"/>
  <c r="E183" i="49" s="1"/>
  <c r="EB66" i="49"/>
  <c r="AB183" i="49" s="1"/>
  <c r="CK66" i="49"/>
  <c r="AJ66" i="49"/>
  <c r="H183" i="49" s="1"/>
  <c r="EA66" i="49"/>
  <c r="AA183" i="49" s="1"/>
  <c r="DE66" i="49"/>
  <c r="CJ66" i="49"/>
  <c r="T183" i="49" s="1"/>
  <c r="AI66" i="49"/>
  <c r="G183" i="49" s="1"/>
  <c r="M66" i="49"/>
  <c r="FE66" i="49"/>
  <c r="DD66" i="49"/>
  <c r="W183" i="49" s="1"/>
  <c r="BM66" i="49"/>
  <c r="L66" i="49"/>
  <c r="C183" i="49" s="1"/>
  <c r="FD66" i="49"/>
  <c r="AI183" i="49" s="1"/>
  <c r="DC66" i="49"/>
  <c r="V183" i="49" s="1"/>
  <c r="CG66" i="49"/>
  <c r="BL66" i="49"/>
  <c r="O183" i="49" s="1"/>
  <c r="K66" i="49"/>
  <c r="B183" i="49" s="1"/>
  <c r="EG66" i="49"/>
  <c r="CF66" i="49"/>
  <c r="R183" i="49" s="1"/>
  <c r="AO66" i="49"/>
  <c r="FA66" i="49"/>
  <c r="EF66" i="49"/>
  <c r="AD183" i="49" s="1"/>
  <c r="CE66" i="49"/>
  <c r="Q183" i="49" s="1"/>
  <c r="BI66" i="49"/>
  <c r="AN66" i="49"/>
  <c r="J183" i="49" s="1"/>
  <c r="F164" i="7"/>
  <c r="AH165" i="49"/>
  <c r="FB48" i="49"/>
  <c r="I205" i="49"/>
  <c r="AT34" i="49"/>
  <c r="S205" i="49"/>
  <c r="CP34" i="49"/>
  <c r="D24" i="32"/>
  <c r="E23" i="32"/>
  <c r="F23" i="32" s="1"/>
  <c r="L19" i="34"/>
  <c r="M19" i="34"/>
  <c r="J20" i="34" s="1"/>
  <c r="AC151" i="49"/>
  <c r="ED34" i="49"/>
  <c r="BL13" i="26" l="1"/>
  <c r="BR13" i="26" s="1"/>
  <c r="BM13" i="26"/>
  <c r="BW13" i="26"/>
  <c r="BS13" i="26"/>
  <c r="BO13" i="26"/>
  <c r="J27" i="41"/>
  <c r="L27" i="41" s="1"/>
  <c r="I27" i="41"/>
  <c r="K27" i="41" s="1"/>
  <c r="I152" i="49"/>
  <c r="AL35" i="49"/>
  <c r="FA50" i="49"/>
  <c r="DE50" i="49"/>
  <c r="BI50" i="49"/>
  <c r="M50" i="49"/>
  <c r="EZ50" i="49"/>
  <c r="AG167" i="49" s="1"/>
  <c r="EG50" i="49"/>
  <c r="DD50" i="49"/>
  <c r="W167" i="49" s="1"/>
  <c r="CK50" i="49"/>
  <c r="BH50" i="49"/>
  <c r="M167" i="49" s="1"/>
  <c r="AO50" i="49"/>
  <c r="L50" i="49"/>
  <c r="C167" i="49" s="1"/>
  <c r="EY50" i="49"/>
  <c r="AF167" i="49" s="1"/>
  <c r="EF50" i="49"/>
  <c r="AD167" i="49" s="1"/>
  <c r="DC50" i="49"/>
  <c r="V167" i="49" s="1"/>
  <c r="CJ50" i="49"/>
  <c r="T167" i="49" s="1"/>
  <c r="BG50" i="49"/>
  <c r="L167" i="49" s="1"/>
  <c r="AN50" i="49"/>
  <c r="J167" i="49" s="1"/>
  <c r="K50" i="49"/>
  <c r="B167" i="49" s="1"/>
  <c r="EC50" i="49"/>
  <c r="CG50" i="49"/>
  <c r="AK50" i="49"/>
  <c r="FE50" i="49"/>
  <c r="EB50" i="49"/>
  <c r="AB167" i="49" s="1"/>
  <c r="DI50" i="49"/>
  <c r="CF50" i="49"/>
  <c r="R167" i="49" s="1"/>
  <c r="BM50" i="49"/>
  <c r="AJ50" i="49"/>
  <c r="H167" i="49" s="1"/>
  <c r="Q50" i="49"/>
  <c r="FD50" i="49"/>
  <c r="AI167" i="49" s="1"/>
  <c r="EA50" i="49"/>
  <c r="AA167" i="49" s="1"/>
  <c r="DH50" i="49"/>
  <c r="Y167" i="49" s="1"/>
  <c r="CE50" i="49"/>
  <c r="Q167" i="49" s="1"/>
  <c r="BL50" i="49"/>
  <c r="O167" i="49" s="1"/>
  <c r="AI50" i="49"/>
  <c r="G167" i="49" s="1"/>
  <c r="P50" i="49"/>
  <c r="E167" i="49" s="1"/>
  <c r="F148" i="7"/>
  <c r="N166" i="49"/>
  <c r="BJ49" i="49"/>
  <c r="AC206" i="49"/>
  <c r="EL35" i="49"/>
  <c r="M23" i="43"/>
  <c r="N22" i="43"/>
  <c r="N220" i="49"/>
  <c r="BR49" i="49"/>
  <c r="AC237" i="49"/>
  <c r="EL66" i="49"/>
  <c r="X183" i="49"/>
  <c r="DF66" i="49"/>
  <c r="X166" i="49"/>
  <c r="DF49" i="49"/>
  <c r="I166" i="49"/>
  <c r="AL49" i="49"/>
  <c r="X220" i="49"/>
  <c r="DN49" i="49"/>
  <c r="I220" i="49"/>
  <c r="AT49" i="49"/>
  <c r="V19" i="26"/>
  <c r="W19" i="26"/>
  <c r="Y19" i="26" s="1"/>
  <c r="S19" i="26"/>
  <c r="T20" i="26"/>
  <c r="U20" i="26" s="1"/>
  <c r="N19" i="34"/>
  <c r="AC183" i="49"/>
  <c r="ED66" i="49"/>
  <c r="N152" i="49"/>
  <c r="BJ35" i="49"/>
  <c r="BI14" i="26"/>
  <c r="BJ14" i="26" s="1"/>
  <c r="BH13" i="26"/>
  <c r="AH166" i="49"/>
  <c r="FB49" i="49"/>
  <c r="S166" i="49"/>
  <c r="CH49" i="49"/>
  <c r="AH220" i="49"/>
  <c r="FJ49" i="49"/>
  <c r="S220" i="49"/>
  <c r="CP49" i="49"/>
  <c r="EK67" i="49"/>
  <c r="CO67" i="49"/>
  <c r="AS67" i="49"/>
  <c r="FM67" i="49"/>
  <c r="EJ67" i="49"/>
  <c r="AB238" i="49" s="1"/>
  <c r="DQ67" i="49"/>
  <c r="CN67" i="49"/>
  <c r="R238" i="49" s="1"/>
  <c r="BU67" i="49"/>
  <c r="AR67" i="49"/>
  <c r="H238" i="49" s="1"/>
  <c r="Y67" i="49"/>
  <c r="FL67" i="49"/>
  <c r="AI238" i="49" s="1"/>
  <c r="EI67" i="49"/>
  <c r="AA238" i="49" s="1"/>
  <c r="DP67" i="49"/>
  <c r="Y238" i="49" s="1"/>
  <c r="CM67" i="49"/>
  <c r="Q238" i="49" s="1"/>
  <c r="BT67" i="49"/>
  <c r="O238" i="49" s="1"/>
  <c r="AQ67" i="49"/>
  <c r="G238" i="49" s="1"/>
  <c r="X67" i="49"/>
  <c r="E238" i="49" s="1"/>
  <c r="FI67" i="49"/>
  <c r="DM67" i="49"/>
  <c r="BQ67" i="49"/>
  <c r="U67" i="49"/>
  <c r="FH67" i="49"/>
  <c r="AG238" i="49" s="1"/>
  <c r="EO67" i="49"/>
  <c r="DL67" i="49"/>
  <c r="W238" i="49" s="1"/>
  <c r="CS67" i="49"/>
  <c r="BP67" i="49"/>
  <c r="M238" i="49" s="1"/>
  <c r="AW67" i="49"/>
  <c r="T67" i="49"/>
  <c r="C238" i="49" s="1"/>
  <c r="FG67" i="49"/>
  <c r="AF238" i="49" s="1"/>
  <c r="EN67" i="49"/>
  <c r="AD238" i="49" s="1"/>
  <c r="DK67" i="49"/>
  <c r="V238" i="49" s="1"/>
  <c r="CR67" i="49"/>
  <c r="T238" i="49" s="1"/>
  <c r="BO67" i="49"/>
  <c r="L238" i="49" s="1"/>
  <c r="AV67" i="49"/>
  <c r="J238" i="49" s="1"/>
  <c r="S67" i="49"/>
  <c r="B238" i="49" s="1"/>
  <c r="H165" i="7"/>
  <c r="AH237" i="49"/>
  <c r="FJ66" i="49"/>
  <c r="AH152" i="49"/>
  <c r="FB35" i="49"/>
  <c r="K19" i="34"/>
  <c r="M14" i="43"/>
  <c r="N13" i="43"/>
  <c r="BT13" i="26"/>
  <c r="BP13" i="26"/>
  <c r="AC166" i="49"/>
  <c r="ED49" i="49"/>
  <c r="D206" i="49"/>
  <c r="V35" i="49"/>
  <c r="AC220" i="49"/>
  <c r="EL49" i="49"/>
  <c r="I183" i="49"/>
  <c r="AL66" i="49"/>
  <c r="E27" i="41"/>
  <c r="B28" i="41" s="1"/>
  <c r="FE67" i="49"/>
  <c r="EB67" i="49"/>
  <c r="AB184" i="49" s="1"/>
  <c r="DI67" i="49"/>
  <c r="CF67" i="49"/>
  <c r="R184" i="49" s="1"/>
  <c r="BM67" i="49"/>
  <c r="AJ67" i="49"/>
  <c r="H184" i="49" s="1"/>
  <c r="Q67" i="49"/>
  <c r="FD67" i="49"/>
  <c r="AI184" i="49" s="1"/>
  <c r="EA67" i="49"/>
  <c r="AA184" i="49" s="1"/>
  <c r="DH67" i="49"/>
  <c r="Y184" i="49" s="1"/>
  <c r="CE67" i="49"/>
  <c r="Q184" i="49" s="1"/>
  <c r="BL67" i="49"/>
  <c r="O184" i="49" s="1"/>
  <c r="AI67" i="49"/>
  <c r="G184" i="49" s="1"/>
  <c r="P67" i="49"/>
  <c r="E184" i="49" s="1"/>
  <c r="FA67" i="49"/>
  <c r="DE67" i="49"/>
  <c r="BI67" i="49"/>
  <c r="M67" i="49"/>
  <c r="EZ67" i="49"/>
  <c r="AG184" i="49" s="1"/>
  <c r="EG67" i="49"/>
  <c r="DD67" i="49"/>
  <c r="W184" i="49" s="1"/>
  <c r="CK67" i="49"/>
  <c r="BH67" i="49"/>
  <c r="M184" i="49" s="1"/>
  <c r="AO67" i="49"/>
  <c r="L67" i="49"/>
  <c r="C184" i="49" s="1"/>
  <c r="EY67" i="49"/>
  <c r="AF184" i="49" s="1"/>
  <c r="EF67" i="49"/>
  <c r="AD184" i="49" s="1"/>
  <c r="DC67" i="49"/>
  <c r="V184" i="49" s="1"/>
  <c r="CJ67" i="49"/>
  <c r="T184" i="49" s="1"/>
  <c r="BG67" i="49"/>
  <c r="L184" i="49" s="1"/>
  <c r="AN67" i="49"/>
  <c r="J184" i="49" s="1"/>
  <c r="K67" i="49"/>
  <c r="B184" i="49" s="1"/>
  <c r="EC67" i="49"/>
  <c r="CG67" i="49"/>
  <c r="AK67" i="49"/>
  <c r="F165" i="7"/>
  <c r="AC152" i="49"/>
  <c r="ED35" i="49"/>
  <c r="BX13" i="26"/>
  <c r="N206" i="49"/>
  <c r="BR35" i="49"/>
  <c r="AB21" i="25"/>
  <c r="AC21" i="25" s="1"/>
  <c r="AA21" i="25"/>
  <c r="Z22" i="25"/>
  <c r="D237" i="49"/>
  <c r="V66" i="49"/>
  <c r="S183" i="49"/>
  <c r="CH66" i="49"/>
  <c r="AH183" i="49"/>
  <c r="FB66" i="49"/>
  <c r="D25" i="32"/>
  <c r="E24" i="32"/>
  <c r="F24" i="32" s="1"/>
  <c r="D152" i="49"/>
  <c r="N35" i="49"/>
  <c r="BU13" i="26"/>
  <c r="BQ13" i="26"/>
  <c r="X206" i="49"/>
  <c r="DN35" i="49"/>
  <c r="S237" i="49"/>
  <c r="CP66" i="49"/>
  <c r="I237" i="49"/>
  <c r="AT66" i="49"/>
  <c r="M20" i="34"/>
  <c r="J21" i="34" s="1"/>
  <c r="L20" i="34"/>
  <c r="X152" i="49"/>
  <c r="DF35" i="49"/>
  <c r="N183" i="49"/>
  <c r="BJ66" i="49"/>
  <c r="D183" i="49"/>
  <c r="N66" i="49"/>
  <c r="S152" i="49"/>
  <c r="CH35" i="49"/>
  <c r="BY13" i="26"/>
  <c r="AH206" i="49"/>
  <c r="FJ35" i="49"/>
  <c r="I206" i="49"/>
  <c r="AT35" i="49"/>
  <c r="M34" i="43"/>
  <c r="N33" i="43"/>
  <c r="FM50" i="49"/>
  <c r="EJ50" i="49"/>
  <c r="AB221" i="49" s="1"/>
  <c r="DQ50" i="49"/>
  <c r="CN50" i="49"/>
  <c r="R221" i="49" s="1"/>
  <c r="BU50" i="49"/>
  <c r="AR50" i="49"/>
  <c r="H221" i="49" s="1"/>
  <c r="Y50" i="49"/>
  <c r="FL50" i="49"/>
  <c r="AI221" i="49" s="1"/>
  <c r="EI50" i="49"/>
  <c r="AA221" i="49" s="1"/>
  <c r="DP50" i="49"/>
  <c r="Y221" i="49" s="1"/>
  <c r="CM50" i="49"/>
  <c r="Q221" i="49" s="1"/>
  <c r="BT50" i="49"/>
  <c r="O221" i="49" s="1"/>
  <c r="AQ50" i="49"/>
  <c r="G221" i="49" s="1"/>
  <c r="X50" i="49"/>
  <c r="E221" i="49" s="1"/>
  <c r="FI50" i="49"/>
  <c r="DM50" i="49"/>
  <c r="BQ50" i="49"/>
  <c r="U50" i="49"/>
  <c r="FH50" i="49"/>
  <c r="AG221" i="49" s="1"/>
  <c r="EO50" i="49"/>
  <c r="DL50" i="49"/>
  <c r="W221" i="49" s="1"/>
  <c r="CS50" i="49"/>
  <c r="BP50" i="49"/>
  <c r="M221" i="49" s="1"/>
  <c r="AW50" i="49"/>
  <c r="T50" i="49"/>
  <c r="C221" i="49" s="1"/>
  <c r="FG50" i="49"/>
  <c r="AF221" i="49" s="1"/>
  <c r="EN50" i="49"/>
  <c r="AD221" i="49" s="1"/>
  <c r="DK50" i="49"/>
  <c r="V221" i="49" s="1"/>
  <c r="CR50" i="49"/>
  <c r="T221" i="49" s="1"/>
  <c r="BO50" i="49"/>
  <c r="L221" i="49" s="1"/>
  <c r="AV50" i="49"/>
  <c r="J221" i="49" s="1"/>
  <c r="S50" i="49"/>
  <c r="B221" i="49" s="1"/>
  <c r="EK50" i="49"/>
  <c r="CO50" i="49"/>
  <c r="AS50" i="49"/>
  <c r="H148" i="7"/>
  <c r="D166" i="49"/>
  <c r="N49" i="49"/>
  <c r="S206" i="49"/>
  <c r="CP35" i="49"/>
  <c r="D220" i="49"/>
  <c r="V49" i="49"/>
  <c r="X237" i="49"/>
  <c r="DN66" i="49"/>
  <c r="N237" i="49"/>
  <c r="BR66" i="49"/>
  <c r="N20" i="34" l="1"/>
  <c r="FH51" i="49"/>
  <c r="AG222" i="49" s="1"/>
  <c r="EO51" i="49"/>
  <c r="DL51" i="49"/>
  <c r="W222" i="49" s="1"/>
  <c r="CS51" i="49"/>
  <c r="BP51" i="49"/>
  <c r="M222" i="49" s="1"/>
  <c r="AW51" i="49"/>
  <c r="T51" i="49"/>
  <c r="C222" i="49" s="1"/>
  <c r="FG51" i="49"/>
  <c r="AF222" i="49" s="1"/>
  <c r="EN51" i="49"/>
  <c r="AD222" i="49" s="1"/>
  <c r="DK51" i="49"/>
  <c r="V222" i="49" s="1"/>
  <c r="CR51" i="49"/>
  <c r="T222" i="49" s="1"/>
  <c r="BO51" i="49"/>
  <c r="L222" i="49" s="1"/>
  <c r="AV51" i="49"/>
  <c r="J222" i="49" s="1"/>
  <c r="S51" i="49"/>
  <c r="B222" i="49" s="1"/>
  <c r="EK51" i="49"/>
  <c r="CO51" i="49"/>
  <c r="AS51" i="49"/>
  <c r="FM51" i="49"/>
  <c r="EJ51" i="49"/>
  <c r="AB222" i="49" s="1"/>
  <c r="DQ51" i="49"/>
  <c r="CN51" i="49"/>
  <c r="R222" i="49" s="1"/>
  <c r="BU51" i="49"/>
  <c r="AR51" i="49"/>
  <c r="H222" i="49" s="1"/>
  <c r="Y51" i="49"/>
  <c r="FL51" i="49"/>
  <c r="AI222" i="49" s="1"/>
  <c r="EI51" i="49"/>
  <c r="AA222" i="49" s="1"/>
  <c r="DP51" i="49"/>
  <c r="Y222" i="49" s="1"/>
  <c r="CM51" i="49"/>
  <c r="Q222" i="49" s="1"/>
  <c r="BT51" i="49"/>
  <c r="O222" i="49" s="1"/>
  <c r="AQ51" i="49"/>
  <c r="G222" i="49" s="1"/>
  <c r="X51" i="49"/>
  <c r="E222" i="49" s="1"/>
  <c r="FI51" i="49"/>
  <c r="DM51" i="49"/>
  <c r="BQ51" i="49"/>
  <c r="U51" i="49"/>
  <c r="H149" i="7"/>
  <c r="S20" i="26"/>
  <c r="T21" i="26"/>
  <c r="U21" i="26" s="1"/>
  <c r="W20" i="26"/>
  <c r="Y20" i="26" s="1"/>
  <c r="V20" i="26"/>
  <c r="EC51" i="49"/>
  <c r="CG51" i="49"/>
  <c r="AK51" i="49"/>
  <c r="FE51" i="49"/>
  <c r="EB51" i="49"/>
  <c r="AB168" i="49" s="1"/>
  <c r="DI51" i="49"/>
  <c r="CF51" i="49"/>
  <c r="R168" i="49" s="1"/>
  <c r="BM51" i="49"/>
  <c r="AJ51" i="49"/>
  <c r="H168" i="49" s="1"/>
  <c r="Q51" i="49"/>
  <c r="FD51" i="49"/>
  <c r="AI168" i="49" s="1"/>
  <c r="EA51" i="49"/>
  <c r="AA168" i="49" s="1"/>
  <c r="DH51" i="49"/>
  <c r="Y168" i="49" s="1"/>
  <c r="CE51" i="49"/>
  <c r="Q168" i="49" s="1"/>
  <c r="BL51" i="49"/>
  <c r="O168" i="49" s="1"/>
  <c r="AI51" i="49"/>
  <c r="G168" i="49" s="1"/>
  <c r="P51" i="49"/>
  <c r="E168" i="49" s="1"/>
  <c r="FA51" i="49"/>
  <c r="DE51" i="49"/>
  <c r="BI51" i="49"/>
  <c r="M51" i="49"/>
  <c r="EZ51" i="49"/>
  <c r="AG168" i="49" s="1"/>
  <c r="EG51" i="49"/>
  <c r="DD51" i="49"/>
  <c r="W168" i="49" s="1"/>
  <c r="CK51" i="49"/>
  <c r="BH51" i="49"/>
  <c r="M168" i="49" s="1"/>
  <c r="AO51" i="49"/>
  <c r="L51" i="49"/>
  <c r="C168" i="49" s="1"/>
  <c r="EY51" i="49"/>
  <c r="AF168" i="49" s="1"/>
  <c r="EF51" i="49"/>
  <c r="AD168" i="49" s="1"/>
  <c r="DC51" i="49"/>
  <c r="V168" i="49" s="1"/>
  <c r="CJ51" i="49"/>
  <c r="T168" i="49" s="1"/>
  <c r="BG51" i="49"/>
  <c r="L168" i="49" s="1"/>
  <c r="AN51" i="49"/>
  <c r="J168" i="49" s="1"/>
  <c r="K51" i="49"/>
  <c r="B168" i="49" s="1"/>
  <c r="F149" i="7"/>
  <c r="S167" i="49"/>
  <c r="CH50" i="49"/>
  <c r="D167" i="49"/>
  <c r="N50" i="49"/>
  <c r="I221" i="49"/>
  <c r="AT50" i="49"/>
  <c r="Z23" i="25"/>
  <c r="AB22" i="25"/>
  <c r="AC22" i="25" s="1"/>
  <c r="AA22" i="25"/>
  <c r="EZ68" i="49"/>
  <c r="AG185" i="49" s="1"/>
  <c r="EG68" i="49"/>
  <c r="DD68" i="49"/>
  <c r="W185" i="49" s="1"/>
  <c r="CK68" i="49"/>
  <c r="BH68" i="49"/>
  <c r="M185" i="49" s="1"/>
  <c r="AO68" i="49"/>
  <c r="L68" i="49"/>
  <c r="C185" i="49" s="1"/>
  <c r="EY68" i="49"/>
  <c r="AF185" i="49" s="1"/>
  <c r="EF68" i="49"/>
  <c r="AD185" i="49" s="1"/>
  <c r="DC68" i="49"/>
  <c r="V185" i="49" s="1"/>
  <c r="CJ68" i="49"/>
  <c r="T185" i="49" s="1"/>
  <c r="BG68" i="49"/>
  <c r="L185" i="49" s="1"/>
  <c r="AN68" i="49"/>
  <c r="J185" i="49" s="1"/>
  <c r="K68" i="49"/>
  <c r="B185" i="49" s="1"/>
  <c r="EC68" i="49"/>
  <c r="CG68" i="49"/>
  <c r="AK68" i="49"/>
  <c r="FE68" i="49"/>
  <c r="EB68" i="49"/>
  <c r="AB185" i="49" s="1"/>
  <c r="DI68" i="49"/>
  <c r="CF68" i="49"/>
  <c r="R185" i="49" s="1"/>
  <c r="BM68" i="49"/>
  <c r="AJ68" i="49"/>
  <c r="H185" i="49" s="1"/>
  <c r="Q68" i="49"/>
  <c r="FD68" i="49"/>
  <c r="AI185" i="49" s="1"/>
  <c r="EA68" i="49"/>
  <c r="AA185" i="49" s="1"/>
  <c r="DH68" i="49"/>
  <c r="Y185" i="49" s="1"/>
  <c r="CE68" i="49"/>
  <c r="Q185" i="49" s="1"/>
  <c r="BL68" i="49"/>
  <c r="O185" i="49" s="1"/>
  <c r="AI68" i="49"/>
  <c r="G185" i="49" s="1"/>
  <c r="P68" i="49"/>
  <c r="E185" i="49" s="1"/>
  <c r="FA68" i="49"/>
  <c r="DE68" i="49"/>
  <c r="BI68" i="49"/>
  <c r="M68" i="49"/>
  <c r="F166" i="7"/>
  <c r="C28" i="41"/>
  <c r="D28" i="41" s="1"/>
  <c r="F28" i="41"/>
  <c r="BV14" i="26"/>
  <c r="BL14" i="26"/>
  <c r="BK14" i="26"/>
  <c r="AC167" i="49"/>
  <c r="ED50" i="49"/>
  <c r="N167" i="49"/>
  <c r="BJ50" i="49"/>
  <c r="S221" i="49"/>
  <c r="CP50" i="49"/>
  <c r="D221" i="49"/>
  <c r="V50" i="49"/>
  <c r="D26" i="32"/>
  <c r="E25" i="32"/>
  <c r="F25" i="32" s="1"/>
  <c r="I184" i="49"/>
  <c r="AL67" i="49"/>
  <c r="X167" i="49"/>
  <c r="DF50" i="49"/>
  <c r="S184" i="49"/>
  <c r="CH67" i="49"/>
  <c r="D184" i="49"/>
  <c r="N67" i="49"/>
  <c r="D238" i="49"/>
  <c r="V67" i="49"/>
  <c r="M24" i="43"/>
  <c r="N23" i="43"/>
  <c r="AH167" i="49"/>
  <c r="FB50" i="49"/>
  <c r="AC221" i="49"/>
  <c r="EL50" i="49"/>
  <c r="X221" i="49"/>
  <c r="DN50" i="49"/>
  <c r="K20" i="34"/>
  <c r="AC184" i="49"/>
  <c r="ED67" i="49"/>
  <c r="N184" i="49"/>
  <c r="BJ67" i="49"/>
  <c r="FI68" i="49"/>
  <c r="DM68" i="49"/>
  <c r="BQ68" i="49"/>
  <c r="U68" i="49"/>
  <c r="FH68" i="49"/>
  <c r="AG239" i="49" s="1"/>
  <c r="EO68" i="49"/>
  <c r="DL68" i="49"/>
  <c r="W239" i="49" s="1"/>
  <c r="CS68" i="49"/>
  <c r="BP68" i="49"/>
  <c r="M239" i="49" s="1"/>
  <c r="AW68" i="49"/>
  <c r="T68" i="49"/>
  <c r="C239" i="49" s="1"/>
  <c r="FG68" i="49"/>
  <c r="AF239" i="49" s="1"/>
  <c r="EN68" i="49"/>
  <c r="AD239" i="49" s="1"/>
  <c r="DK68" i="49"/>
  <c r="V239" i="49" s="1"/>
  <c r="CR68" i="49"/>
  <c r="T239" i="49" s="1"/>
  <c r="BO68" i="49"/>
  <c r="L239" i="49" s="1"/>
  <c r="AV68" i="49"/>
  <c r="J239" i="49" s="1"/>
  <c r="S68" i="49"/>
  <c r="B239" i="49" s="1"/>
  <c r="EK68" i="49"/>
  <c r="CO68" i="49"/>
  <c r="AS68" i="49"/>
  <c r="FM68" i="49"/>
  <c r="EJ68" i="49"/>
  <c r="AB239" i="49" s="1"/>
  <c r="DQ68" i="49"/>
  <c r="CN68" i="49"/>
  <c r="R239" i="49" s="1"/>
  <c r="BU68" i="49"/>
  <c r="AR68" i="49"/>
  <c r="H239" i="49" s="1"/>
  <c r="Y68" i="49"/>
  <c r="FL68" i="49"/>
  <c r="AI239" i="49" s="1"/>
  <c r="EI68" i="49"/>
  <c r="AA239" i="49" s="1"/>
  <c r="DP68" i="49"/>
  <c r="Y239" i="49" s="1"/>
  <c r="CM68" i="49"/>
  <c r="Q239" i="49" s="1"/>
  <c r="BT68" i="49"/>
  <c r="O239" i="49" s="1"/>
  <c r="AQ68" i="49"/>
  <c r="G239" i="49" s="1"/>
  <c r="X68" i="49"/>
  <c r="E239" i="49" s="1"/>
  <c r="H166" i="7"/>
  <c r="N238" i="49"/>
  <c r="BR67" i="49"/>
  <c r="X184" i="49"/>
  <c r="DF67" i="49"/>
  <c r="X238" i="49"/>
  <c r="DN67" i="49"/>
  <c r="I238" i="49"/>
  <c r="AT67" i="49"/>
  <c r="N221" i="49"/>
  <c r="BR50" i="49"/>
  <c r="AH221" i="49"/>
  <c r="FJ50" i="49"/>
  <c r="AH184" i="49"/>
  <c r="FB67" i="49"/>
  <c r="M15" i="43"/>
  <c r="N14" i="43"/>
  <c r="AH238" i="49"/>
  <c r="FJ67" i="49"/>
  <c r="S238" i="49"/>
  <c r="CP67" i="49"/>
  <c r="M35" i="43"/>
  <c r="N34" i="43"/>
  <c r="M21" i="34"/>
  <c r="J22" i="34" s="1"/>
  <c r="L21" i="34"/>
  <c r="K21" i="34" s="1"/>
  <c r="AC238" i="49"/>
  <c r="EL67" i="49"/>
  <c r="I167" i="49"/>
  <c r="AL50" i="49"/>
  <c r="N21" i="34" l="1"/>
  <c r="BS14" i="26"/>
  <c r="BI15" i="26"/>
  <c r="BJ15" i="26" s="1"/>
  <c r="BK15" i="26" s="1"/>
  <c r="BW14" i="26"/>
  <c r="BH14" i="26"/>
  <c r="EK69" i="49"/>
  <c r="CO69" i="49"/>
  <c r="AS69" i="49"/>
  <c r="FM69" i="49"/>
  <c r="EJ69" i="49"/>
  <c r="AB240" i="49" s="1"/>
  <c r="DQ69" i="49"/>
  <c r="CN69" i="49"/>
  <c r="R240" i="49" s="1"/>
  <c r="BU69" i="49"/>
  <c r="AR69" i="49"/>
  <c r="H240" i="49" s="1"/>
  <c r="Y69" i="49"/>
  <c r="FL69" i="49"/>
  <c r="AI240" i="49" s="1"/>
  <c r="EI69" i="49"/>
  <c r="AA240" i="49" s="1"/>
  <c r="DP69" i="49"/>
  <c r="Y240" i="49" s="1"/>
  <c r="CM69" i="49"/>
  <c r="Q240" i="49" s="1"/>
  <c r="BT69" i="49"/>
  <c r="O240" i="49" s="1"/>
  <c r="AQ69" i="49"/>
  <c r="G240" i="49" s="1"/>
  <c r="X69" i="49"/>
  <c r="E240" i="49" s="1"/>
  <c r="FI69" i="49"/>
  <c r="DM69" i="49"/>
  <c r="BQ69" i="49"/>
  <c r="U69" i="49"/>
  <c r="FH69" i="49"/>
  <c r="AG240" i="49" s="1"/>
  <c r="EO69" i="49"/>
  <c r="DL69" i="49"/>
  <c r="W240" i="49" s="1"/>
  <c r="CS69" i="49"/>
  <c r="BP69" i="49"/>
  <c r="M240" i="49" s="1"/>
  <c r="AW69" i="49"/>
  <c r="T69" i="49"/>
  <c r="C240" i="49" s="1"/>
  <c r="FG69" i="49"/>
  <c r="AF240" i="49" s="1"/>
  <c r="EN69" i="49"/>
  <c r="AD240" i="49" s="1"/>
  <c r="DK69" i="49"/>
  <c r="V240" i="49" s="1"/>
  <c r="CR69" i="49"/>
  <c r="T240" i="49" s="1"/>
  <c r="BO69" i="49"/>
  <c r="L240" i="49" s="1"/>
  <c r="AV69" i="49"/>
  <c r="J240" i="49" s="1"/>
  <c r="S69" i="49"/>
  <c r="B240" i="49" s="1"/>
  <c r="H167" i="7"/>
  <c r="S239" i="49"/>
  <c r="CP68" i="49"/>
  <c r="D239" i="49"/>
  <c r="V68" i="49"/>
  <c r="M25" i="43"/>
  <c r="N24" i="43"/>
  <c r="BQ14" i="26"/>
  <c r="BU14" i="26"/>
  <c r="FE69" i="49"/>
  <c r="EB69" i="49"/>
  <c r="AB186" i="49" s="1"/>
  <c r="DI69" i="49"/>
  <c r="CF69" i="49"/>
  <c r="R186" i="49" s="1"/>
  <c r="BM69" i="49"/>
  <c r="AJ69" i="49"/>
  <c r="H186" i="49" s="1"/>
  <c r="Q69" i="49"/>
  <c r="FD69" i="49"/>
  <c r="AI186" i="49" s="1"/>
  <c r="EA69" i="49"/>
  <c r="AA186" i="49" s="1"/>
  <c r="DH69" i="49"/>
  <c r="Y186" i="49" s="1"/>
  <c r="CE69" i="49"/>
  <c r="Q186" i="49" s="1"/>
  <c r="BL69" i="49"/>
  <c r="O186" i="49" s="1"/>
  <c r="AI69" i="49"/>
  <c r="G186" i="49" s="1"/>
  <c r="P69" i="49"/>
  <c r="E186" i="49" s="1"/>
  <c r="FA69" i="49"/>
  <c r="DE69" i="49"/>
  <c r="BI69" i="49"/>
  <c r="M69" i="49"/>
  <c r="EZ69" i="49"/>
  <c r="AG186" i="49" s="1"/>
  <c r="EG69" i="49"/>
  <c r="DD69" i="49"/>
  <c r="W186" i="49" s="1"/>
  <c r="CK69" i="49"/>
  <c r="BH69" i="49"/>
  <c r="M186" i="49" s="1"/>
  <c r="AO69" i="49"/>
  <c r="L69" i="49"/>
  <c r="C186" i="49" s="1"/>
  <c r="EY69" i="49"/>
  <c r="AF186" i="49" s="1"/>
  <c r="EF69" i="49"/>
  <c r="AD186" i="49" s="1"/>
  <c r="DC69" i="49"/>
  <c r="V186" i="49" s="1"/>
  <c r="CJ69" i="49"/>
  <c r="T186" i="49" s="1"/>
  <c r="BG69" i="49"/>
  <c r="L186" i="49" s="1"/>
  <c r="AN69" i="49"/>
  <c r="J186" i="49" s="1"/>
  <c r="K69" i="49"/>
  <c r="B186" i="49" s="1"/>
  <c r="EC69" i="49"/>
  <c r="CG69" i="49"/>
  <c r="AK69" i="49"/>
  <c r="F167" i="7"/>
  <c r="AC168" i="49"/>
  <c r="ED51" i="49"/>
  <c r="N222" i="49"/>
  <c r="BR51" i="49"/>
  <c r="M22" i="34"/>
  <c r="J23" i="34" s="1"/>
  <c r="L22" i="34"/>
  <c r="M16" i="43"/>
  <c r="N16" i="43" s="1"/>
  <c r="N15" i="43"/>
  <c r="AC239" i="49"/>
  <c r="EL68" i="49"/>
  <c r="N239" i="49"/>
  <c r="BR68" i="49"/>
  <c r="BY14" i="26"/>
  <c r="D185" i="49"/>
  <c r="N68" i="49"/>
  <c r="X222" i="49"/>
  <c r="DN51" i="49"/>
  <c r="I222" i="49"/>
  <c r="AT51" i="49"/>
  <c r="X239" i="49"/>
  <c r="DN68" i="49"/>
  <c r="BR14" i="26"/>
  <c r="N185" i="49"/>
  <c r="BJ68" i="49"/>
  <c r="AH222" i="49"/>
  <c r="FJ51" i="49"/>
  <c r="S222" i="49"/>
  <c r="CP51" i="49"/>
  <c r="M36" i="43"/>
  <c r="N36" i="43" s="1"/>
  <c r="N35" i="43"/>
  <c r="AH239" i="49"/>
  <c r="FJ68" i="49"/>
  <c r="BO14" i="26"/>
  <c r="X185" i="49"/>
  <c r="DF68" i="49"/>
  <c r="I185" i="49"/>
  <c r="AL68" i="49"/>
  <c r="AC222" i="49"/>
  <c r="EL51" i="49"/>
  <c r="AH185" i="49"/>
  <c r="FB68" i="49"/>
  <c r="S185" i="49"/>
  <c r="CH68" i="49"/>
  <c r="D168" i="49"/>
  <c r="N51" i="49"/>
  <c r="V21" i="26"/>
  <c r="Y21" i="26"/>
  <c r="W21" i="26"/>
  <c r="S21" i="26"/>
  <c r="T22" i="26"/>
  <c r="U22" i="26" s="1"/>
  <c r="BL15" i="26"/>
  <c r="E28" i="41"/>
  <c r="B29" i="41" s="1"/>
  <c r="AC185" i="49"/>
  <c r="ED68" i="49"/>
  <c r="FA52" i="49"/>
  <c r="DE52" i="49"/>
  <c r="BI52" i="49"/>
  <c r="M52" i="49"/>
  <c r="EZ52" i="49"/>
  <c r="AG169" i="49" s="1"/>
  <c r="EG52" i="49"/>
  <c r="DD52" i="49"/>
  <c r="W169" i="49" s="1"/>
  <c r="CK52" i="49"/>
  <c r="BH52" i="49"/>
  <c r="M169" i="49" s="1"/>
  <c r="AO52" i="49"/>
  <c r="L52" i="49"/>
  <c r="C169" i="49" s="1"/>
  <c r="EY52" i="49"/>
  <c r="AF169" i="49" s="1"/>
  <c r="EF52" i="49"/>
  <c r="AD169" i="49" s="1"/>
  <c r="DC52" i="49"/>
  <c r="V169" i="49" s="1"/>
  <c r="CJ52" i="49"/>
  <c r="T169" i="49" s="1"/>
  <c r="BG52" i="49"/>
  <c r="L169" i="49" s="1"/>
  <c r="AN52" i="49"/>
  <c r="J169" i="49" s="1"/>
  <c r="K52" i="49"/>
  <c r="B169" i="49" s="1"/>
  <c r="EC52" i="49"/>
  <c r="CG52" i="49"/>
  <c r="AK52" i="49"/>
  <c r="FE52" i="49"/>
  <c r="EB52" i="49"/>
  <c r="AB169" i="49" s="1"/>
  <c r="DI52" i="49"/>
  <c r="CF52" i="49"/>
  <c r="R169" i="49" s="1"/>
  <c r="BM52" i="49"/>
  <c r="AJ52" i="49"/>
  <c r="H169" i="49" s="1"/>
  <c r="Q52" i="49"/>
  <c r="FD52" i="49"/>
  <c r="AI169" i="49" s="1"/>
  <c r="EA52" i="49"/>
  <c r="AA169" i="49" s="1"/>
  <c r="DH52" i="49"/>
  <c r="Y169" i="49" s="1"/>
  <c r="CE52" i="49"/>
  <c r="Q169" i="49" s="1"/>
  <c r="BL52" i="49"/>
  <c r="O169" i="49" s="1"/>
  <c r="AI52" i="49"/>
  <c r="G169" i="49" s="1"/>
  <c r="P52" i="49"/>
  <c r="E169" i="49" s="1"/>
  <c r="F150" i="7"/>
  <c r="N168" i="49"/>
  <c r="BJ51" i="49"/>
  <c r="D27" i="32"/>
  <c r="E27" i="32" s="1"/>
  <c r="F27" i="32" s="1"/>
  <c r="E26" i="32"/>
  <c r="F26" i="32" s="1"/>
  <c r="BP14" i="26"/>
  <c r="BT14" i="26"/>
  <c r="H28" i="41"/>
  <c r="Z24" i="25"/>
  <c r="AA23" i="25"/>
  <c r="AB23" i="25"/>
  <c r="AC23" i="25" s="1"/>
  <c r="W7" i="25" s="1"/>
  <c r="X168" i="49"/>
  <c r="DF51" i="49"/>
  <c r="I168" i="49"/>
  <c r="AL51" i="49"/>
  <c r="FM52" i="49"/>
  <c r="EJ52" i="49"/>
  <c r="AB223" i="49" s="1"/>
  <c r="DQ52" i="49"/>
  <c r="CN52" i="49"/>
  <c r="R223" i="49" s="1"/>
  <c r="BU52" i="49"/>
  <c r="AR52" i="49"/>
  <c r="H223" i="49" s="1"/>
  <c r="Y52" i="49"/>
  <c r="FL52" i="49"/>
  <c r="AI223" i="49" s="1"/>
  <c r="EI52" i="49"/>
  <c r="AA223" i="49" s="1"/>
  <c r="DP52" i="49"/>
  <c r="Y223" i="49" s="1"/>
  <c r="CM52" i="49"/>
  <c r="Q223" i="49" s="1"/>
  <c r="BT52" i="49"/>
  <c r="O223" i="49" s="1"/>
  <c r="AQ52" i="49"/>
  <c r="G223" i="49" s="1"/>
  <c r="X52" i="49"/>
  <c r="E223" i="49" s="1"/>
  <c r="FI52" i="49"/>
  <c r="DM52" i="49"/>
  <c r="BQ52" i="49"/>
  <c r="U52" i="49"/>
  <c r="FH52" i="49"/>
  <c r="AG223" i="49" s="1"/>
  <c r="EO52" i="49"/>
  <c r="DL52" i="49"/>
  <c r="W223" i="49" s="1"/>
  <c r="CS52" i="49"/>
  <c r="BP52" i="49"/>
  <c r="M223" i="49" s="1"/>
  <c r="AW52" i="49"/>
  <c r="T52" i="49"/>
  <c r="C223" i="49" s="1"/>
  <c r="FG52" i="49"/>
  <c r="AF223" i="49" s="1"/>
  <c r="EN52" i="49"/>
  <c r="AD223" i="49" s="1"/>
  <c r="DK52" i="49"/>
  <c r="V223" i="49" s="1"/>
  <c r="CR52" i="49"/>
  <c r="T223" i="49" s="1"/>
  <c r="BO52" i="49"/>
  <c r="L223" i="49" s="1"/>
  <c r="AV52" i="49"/>
  <c r="J223" i="49" s="1"/>
  <c r="S52" i="49"/>
  <c r="B223" i="49" s="1"/>
  <c r="EK52" i="49"/>
  <c r="CO52" i="49"/>
  <c r="AS52" i="49"/>
  <c r="H150" i="7"/>
  <c r="I239" i="49"/>
  <c r="AT68" i="49"/>
  <c r="BX14" i="26"/>
  <c r="BM14" i="26"/>
  <c r="AH168" i="49"/>
  <c r="FB51" i="49"/>
  <c r="S168" i="49"/>
  <c r="CH51" i="49"/>
  <c r="D222" i="49"/>
  <c r="V51" i="49"/>
  <c r="BO15" i="26" l="1"/>
  <c r="BV15" i="26"/>
  <c r="BW15" i="26"/>
  <c r="BY15" i="26"/>
  <c r="BX15" i="26"/>
  <c r="BQ15" i="26"/>
  <c r="BM15" i="26"/>
  <c r="K22" i="34"/>
  <c r="BU15" i="26"/>
  <c r="BH15" i="26"/>
  <c r="BS15" i="26"/>
  <c r="FH53" i="49"/>
  <c r="AG224" i="49" s="1"/>
  <c r="EO53" i="49"/>
  <c r="DL53" i="49"/>
  <c r="W224" i="49" s="1"/>
  <c r="CS53" i="49"/>
  <c r="BP53" i="49"/>
  <c r="M224" i="49" s="1"/>
  <c r="AW53" i="49"/>
  <c r="T53" i="49"/>
  <c r="C224" i="49" s="1"/>
  <c r="FG53" i="49"/>
  <c r="AF224" i="49" s="1"/>
  <c r="EN53" i="49"/>
  <c r="AD224" i="49" s="1"/>
  <c r="DK53" i="49"/>
  <c r="V224" i="49" s="1"/>
  <c r="CR53" i="49"/>
  <c r="T224" i="49" s="1"/>
  <c r="BO53" i="49"/>
  <c r="L224" i="49" s="1"/>
  <c r="AV53" i="49"/>
  <c r="J224" i="49" s="1"/>
  <c r="S53" i="49"/>
  <c r="B224" i="49" s="1"/>
  <c r="EK53" i="49"/>
  <c r="CO53" i="49"/>
  <c r="AS53" i="49"/>
  <c r="FM53" i="49"/>
  <c r="EJ53" i="49"/>
  <c r="AB224" i="49" s="1"/>
  <c r="DQ53" i="49"/>
  <c r="CN53" i="49"/>
  <c r="R224" i="49" s="1"/>
  <c r="BU53" i="49"/>
  <c r="AR53" i="49"/>
  <c r="H224" i="49" s="1"/>
  <c r="Y53" i="49"/>
  <c r="FL53" i="49"/>
  <c r="AI224" i="49" s="1"/>
  <c r="EI53" i="49"/>
  <c r="AA224" i="49" s="1"/>
  <c r="DP53" i="49"/>
  <c r="Y224" i="49" s="1"/>
  <c r="CM53" i="49"/>
  <c r="Q224" i="49" s="1"/>
  <c r="BT53" i="49"/>
  <c r="O224" i="49" s="1"/>
  <c r="AQ53" i="49"/>
  <c r="G224" i="49" s="1"/>
  <c r="X53" i="49"/>
  <c r="E224" i="49" s="1"/>
  <c r="FI53" i="49"/>
  <c r="DM53" i="49"/>
  <c r="BQ53" i="49"/>
  <c r="U53" i="49"/>
  <c r="AQ25" i="25"/>
  <c r="AS25" i="25" s="1"/>
  <c r="AQ16" i="25"/>
  <c r="AS16" i="25" s="1"/>
  <c r="AQ15" i="25"/>
  <c r="AS15" i="25" s="1"/>
  <c r="AQ6" i="25"/>
  <c r="AS6" i="25" s="1"/>
  <c r="AQ5" i="25"/>
  <c r="AS5" i="25" s="1"/>
  <c r="AQ26" i="25"/>
  <c r="AS26" i="25" s="1"/>
  <c r="AH240" i="49"/>
  <c r="FJ69" i="49"/>
  <c r="S240" i="49"/>
  <c r="CP69" i="49"/>
  <c r="N223" i="49"/>
  <c r="BR52" i="49"/>
  <c r="I223" i="49"/>
  <c r="AT52" i="49"/>
  <c r="I169" i="49"/>
  <c r="AL52" i="49"/>
  <c r="BR15" i="26"/>
  <c r="M26" i="43"/>
  <c r="N26" i="43" s="1"/>
  <c r="N25" i="43"/>
  <c r="AC240" i="49"/>
  <c r="EL69" i="49"/>
  <c r="D223" i="49"/>
  <c r="V52" i="49"/>
  <c r="AB24" i="25"/>
  <c r="AC24" i="25" s="1"/>
  <c r="Z25" i="25"/>
  <c r="AA24" i="25"/>
  <c r="EC53" i="49"/>
  <c r="CG53" i="49"/>
  <c r="AK53" i="49"/>
  <c r="FE53" i="49"/>
  <c r="EB53" i="49"/>
  <c r="AB170" i="49" s="1"/>
  <c r="DI53" i="49"/>
  <c r="CF53" i="49"/>
  <c r="R170" i="49" s="1"/>
  <c r="BM53" i="49"/>
  <c r="AJ53" i="49"/>
  <c r="H170" i="49" s="1"/>
  <c r="Q53" i="49"/>
  <c r="FD53" i="49"/>
  <c r="AI170" i="49" s="1"/>
  <c r="EA53" i="49"/>
  <c r="AA170" i="49" s="1"/>
  <c r="DH53" i="49"/>
  <c r="Y170" i="49" s="1"/>
  <c r="CE53" i="49"/>
  <c r="Q170" i="49" s="1"/>
  <c r="BL53" i="49"/>
  <c r="O170" i="49" s="1"/>
  <c r="AI53" i="49"/>
  <c r="G170" i="49" s="1"/>
  <c r="P53" i="49"/>
  <c r="E170" i="49" s="1"/>
  <c r="FA53" i="49"/>
  <c r="DE53" i="49"/>
  <c r="BI53" i="49"/>
  <c r="M53" i="49"/>
  <c r="EZ53" i="49"/>
  <c r="AG170" i="49" s="1"/>
  <c r="EG53" i="49"/>
  <c r="DD53" i="49"/>
  <c r="W170" i="49" s="1"/>
  <c r="CK53" i="49"/>
  <c r="BH53" i="49"/>
  <c r="M170" i="49" s="1"/>
  <c r="AO53" i="49"/>
  <c r="L53" i="49"/>
  <c r="C170" i="49" s="1"/>
  <c r="EY53" i="49"/>
  <c r="AF170" i="49" s="1"/>
  <c r="EF53" i="49"/>
  <c r="AD170" i="49" s="1"/>
  <c r="DC53" i="49"/>
  <c r="V170" i="49" s="1"/>
  <c r="CJ53" i="49"/>
  <c r="T170" i="49" s="1"/>
  <c r="BG53" i="49"/>
  <c r="L170" i="49" s="1"/>
  <c r="AN53" i="49"/>
  <c r="J170" i="49" s="1"/>
  <c r="K53" i="49"/>
  <c r="B170" i="49" s="1"/>
  <c r="S169" i="49"/>
  <c r="CH52" i="49"/>
  <c r="D169" i="49"/>
  <c r="N52" i="49"/>
  <c r="EZ70" i="49"/>
  <c r="AG187" i="49" s="1"/>
  <c r="EG70" i="49"/>
  <c r="DD70" i="49"/>
  <c r="W187" i="49" s="1"/>
  <c r="CK70" i="49"/>
  <c r="BH70" i="49"/>
  <c r="M187" i="49" s="1"/>
  <c r="AO70" i="49"/>
  <c r="L70" i="49"/>
  <c r="C187" i="49" s="1"/>
  <c r="EY70" i="49"/>
  <c r="AF187" i="49" s="1"/>
  <c r="EF70" i="49"/>
  <c r="AD187" i="49" s="1"/>
  <c r="DC70" i="49"/>
  <c r="V187" i="49" s="1"/>
  <c r="CJ70" i="49"/>
  <c r="T187" i="49" s="1"/>
  <c r="BG70" i="49"/>
  <c r="L187" i="49" s="1"/>
  <c r="AN70" i="49"/>
  <c r="J187" i="49" s="1"/>
  <c r="K70" i="49"/>
  <c r="B187" i="49" s="1"/>
  <c r="EC70" i="49"/>
  <c r="CG70" i="49"/>
  <c r="AK70" i="49"/>
  <c r="FE70" i="49"/>
  <c r="EB70" i="49"/>
  <c r="AB187" i="49" s="1"/>
  <c r="DI70" i="49"/>
  <c r="CF70" i="49"/>
  <c r="R187" i="49" s="1"/>
  <c r="BM70" i="49"/>
  <c r="AJ70" i="49"/>
  <c r="H187" i="49" s="1"/>
  <c r="Q70" i="49"/>
  <c r="FD70" i="49"/>
  <c r="AI187" i="49" s="1"/>
  <c r="EA70" i="49"/>
  <c r="AA187" i="49" s="1"/>
  <c r="DH70" i="49"/>
  <c r="Y187" i="49" s="1"/>
  <c r="CE70" i="49"/>
  <c r="Q187" i="49" s="1"/>
  <c r="BL70" i="49"/>
  <c r="O187" i="49" s="1"/>
  <c r="AI70" i="49"/>
  <c r="G187" i="49" s="1"/>
  <c r="P70" i="49"/>
  <c r="E187" i="49" s="1"/>
  <c r="FA70" i="49"/>
  <c r="DE70" i="49"/>
  <c r="BI70" i="49"/>
  <c r="M70" i="49"/>
  <c r="F168" i="7"/>
  <c r="AC223" i="49"/>
  <c r="EL52" i="49"/>
  <c r="AC169" i="49"/>
  <c r="ED52" i="49"/>
  <c r="N169" i="49"/>
  <c r="BJ52" i="49"/>
  <c r="I186" i="49"/>
  <c r="AL69" i="49"/>
  <c r="F29" i="41"/>
  <c r="C29" i="41"/>
  <c r="D29" i="41" s="1"/>
  <c r="X223" i="49"/>
  <c r="DN52" i="49"/>
  <c r="X169" i="49"/>
  <c r="DF52" i="49"/>
  <c r="BI16" i="26"/>
  <c r="BJ16" i="26" s="1"/>
  <c r="N22" i="34"/>
  <c r="S186" i="49"/>
  <c r="CH69" i="49"/>
  <c r="D186" i="49"/>
  <c r="N69" i="49"/>
  <c r="J28" i="41"/>
  <c r="L28" i="41" s="1"/>
  <c r="I28" i="41"/>
  <c r="K28" i="41" s="1"/>
  <c r="AH223" i="49"/>
  <c r="FJ52" i="49"/>
  <c r="AH169" i="49"/>
  <c r="FB52" i="49"/>
  <c r="BP15" i="26"/>
  <c r="BT15" i="26"/>
  <c r="M23" i="34"/>
  <c r="J24" i="34" s="1"/>
  <c r="L23" i="34"/>
  <c r="AC186" i="49"/>
  <c r="ED69" i="49"/>
  <c r="N186" i="49"/>
  <c r="BJ69" i="49"/>
  <c r="D240" i="49"/>
  <c r="V69" i="49"/>
  <c r="T23" i="26"/>
  <c r="U23" i="26" s="1"/>
  <c r="Y22" i="26"/>
  <c r="W22" i="26"/>
  <c r="V22" i="26"/>
  <c r="S22" i="26"/>
  <c r="X186" i="49"/>
  <c r="DF69" i="49"/>
  <c r="FI70" i="49"/>
  <c r="DM70" i="49"/>
  <c r="BQ70" i="49"/>
  <c r="U70" i="49"/>
  <c r="FH70" i="49"/>
  <c r="AG241" i="49" s="1"/>
  <c r="EO70" i="49"/>
  <c r="DL70" i="49"/>
  <c r="W241" i="49" s="1"/>
  <c r="CS70" i="49"/>
  <c r="BP70" i="49"/>
  <c r="M241" i="49" s="1"/>
  <c r="AW70" i="49"/>
  <c r="T70" i="49"/>
  <c r="C241" i="49" s="1"/>
  <c r="FG70" i="49"/>
  <c r="AF241" i="49" s="1"/>
  <c r="EN70" i="49"/>
  <c r="AD241" i="49" s="1"/>
  <c r="DK70" i="49"/>
  <c r="V241" i="49" s="1"/>
  <c r="CR70" i="49"/>
  <c r="T241" i="49" s="1"/>
  <c r="BO70" i="49"/>
  <c r="L241" i="49" s="1"/>
  <c r="AV70" i="49"/>
  <c r="J241" i="49" s="1"/>
  <c r="S70" i="49"/>
  <c r="B241" i="49" s="1"/>
  <c r="EK70" i="49"/>
  <c r="CO70" i="49"/>
  <c r="AS70" i="49"/>
  <c r="FM70" i="49"/>
  <c r="EJ70" i="49"/>
  <c r="AB241" i="49" s="1"/>
  <c r="DQ70" i="49"/>
  <c r="CN70" i="49"/>
  <c r="R241" i="49" s="1"/>
  <c r="BU70" i="49"/>
  <c r="AR70" i="49"/>
  <c r="H241" i="49" s="1"/>
  <c r="Y70" i="49"/>
  <c r="FL70" i="49"/>
  <c r="AI241" i="49" s="1"/>
  <c r="EI70" i="49"/>
  <c r="AA241" i="49" s="1"/>
  <c r="DP70" i="49"/>
  <c r="Y241" i="49" s="1"/>
  <c r="CM70" i="49"/>
  <c r="Q241" i="49" s="1"/>
  <c r="BT70" i="49"/>
  <c r="O241" i="49" s="1"/>
  <c r="AQ70" i="49"/>
  <c r="G241" i="49" s="1"/>
  <c r="X70" i="49"/>
  <c r="E241" i="49" s="1"/>
  <c r="H168" i="7"/>
  <c r="N240" i="49"/>
  <c r="BR69" i="49"/>
  <c r="S223" i="49"/>
  <c r="CP52" i="49"/>
  <c r="AH186" i="49"/>
  <c r="FB69" i="49"/>
  <c r="X240" i="49"/>
  <c r="DN69" i="49"/>
  <c r="I240" i="49"/>
  <c r="AT69" i="49"/>
  <c r="N23" i="34" l="1"/>
  <c r="K23" i="34"/>
  <c r="E29" i="41"/>
  <c r="B30" i="41" s="1"/>
  <c r="EK71" i="49"/>
  <c r="CO71" i="49"/>
  <c r="AS71" i="49"/>
  <c r="FM71" i="49"/>
  <c r="EJ71" i="49"/>
  <c r="AB242" i="49" s="1"/>
  <c r="DQ71" i="49"/>
  <c r="CN71" i="49"/>
  <c r="R242" i="49" s="1"/>
  <c r="BU71" i="49"/>
  <c r="AR71" i="49"/>
  <c r="H242" i="49" s="1"/>
  <c r="Y71" i="49"/>
  <c r="FL71" i="49"/>
  <c r="AI242" i="49" s="1"/>
  <c r="EI71" i="49"/>
  <c r="AA242" i="49" s="1"/>
  <c r="DP71" i="49"/>
  <c r="Y242" i="49" s="1"/>
  <c r="CM71" i="49"/>
  <c r="Q242" i="49" s="1"/>
  <c r="BT71" i="49"/>
  <c r="O242" i="49" s="1"/>
  <c r="AQ71" i="49"/>
  <c r="G242" i="49" s="1"/>
  <c r="X71" i="49"/>
  <c r="E242" i="49" s="1"/>
  <c r="FI71" i="49"/>
  <c r="DM71" i="49"/>
  <c r="BQ71" i="49"/>
  <c r="U71" i="49"/>
  <c r="FH71" i="49"/>
  <c r="AG242" i="49" s="1"/>
  <c r="EO71" i="49"/>
  <c r="DL71" i="49"/>
  <c r="W242" i="49" s="1"/>
  <c r="CS71" i="49"/>
  <c r="BP71" i="49"/>
  <c r="M242" i="49" s="1"/>
  <c r="AW71" i="49"/>
  <c r="T71" i="49"/>
  <c r="C242" i="49" s="1"/>
  <c r="FG71" i="49"/>
  <c r="AF242" i="49" s="1"/>
  <c r="EN71" i="49"/>
  <c r="AD242" i="49" s="1"/>
  <c r="DK71" i="49"/>
  <c r="V242" i="49" s="1"/>
  <c r="CR71" i="49"/>
  <c r="T242" i="49" s="1"/>
  <c r="BO71" i="49"/>
  <c r="L242" i="49" s="1"/>
  <c r="AV71" i="49"/>
  <c r="J242" i="49" s="1"/>
  <c r="S71" i="49"/>
  <c r="B242" i="49" s="1"/>
  <c r="H169" i="7"/>
  <c r="S241" i="49"/>
  <c r="CP70" i="49"/>
  <c r="D241" i="49"/>
  <c r="V70" i="49"/>
  <c r="N170" i="49"/>
  <c r="BJ53" i="49"/>
  <c r="AH224" i="49"/>
  <c r="FJ53" i="49"/>
  <c r="S224" i="49"/>
  <c r="CP53" i="49"/>
  <c r="N241" i="49"/>
  <c r="BR70" i="49"/>
  <c r="BV16" i="26"/>
  <c r="BL16" i="26"/>
  <c r="BH16" i="26" s="1"/>
  <c r="BK16" i="26"/>
  <c r="BQ16" i="26" s="1"/>
  <c r="FE71" i="49"/>
  <c r="EB71" i="49"/>
  <c r="AB188" i="49" s="1"/>
  <c r="DI71" i="49"/>
  <c r="CF71" i="49"/>
  <c r="R188" i="49" s="1"/>
  <c r="BM71" i="49"/>
  <c r="AJ71" i="49"/>
  <c r="H188" i="49" s="1"/>
  <c r="Q71" i="49"/>
  <c r="FD71" i="49"/>
  <c r="AI188" i="49" s="1"/>
  <c r="EA71" i="49"/>
  <c r="AA188" i="49" s="1"/>
  <c r="DH71" i="49"/>
  <c r="Y188" i="49" s="1"/>
  <c r="CE71" i="49"/>
  <c r="Q188" i="49" s="1"/>
  <c r="BL71" i="49"/>
  <c r="O188" i="49" s="1"/>
  <c r="AI71" i="49"/>
  <c r="G188" i="49" s="1"/>
  <c r="P71" i="49"/>
  <c r="E188" i="49" s="1"/>
  <c r="FA71" i="49"/>
  <c r="DE71" i="49"/>
  <c r="BI71" i="49"/>
  <c r="M71" i="49"/>
  <c r="EZ71" i="49"/>
  <c r="AG188" i="49" s="1"/>
  <c r="EG71" i="49"/>
  <c r="DD71" i="49"/>
  <c r="W188" i="49" s="1"/>
  <c r="CK71" i="49"/>
  <c r="BH71" i="49"/>
  <c r="M188" i="49" s="1"/>
  <c r="AO71" i="49"/>
  <c r="L71" i="49"/>
  <c r="C188" i="49" s="1"/>
  <c r="EY71" i="49"/>
  <c r="AF188" i="49" s="1"/>
  <c r="EF71" i="49"/>
  <c r="AD188" i="49" s="1"/>
  <c r="DC71" i="49"/>
  <c r="V188" i="49" s="1"/>
  <c r="CJ71" i="49"/>
  <c r="T188" i="49" s="1"/>
  <c r="BG71" i="49"/>
  <c r="L188" i="49" s="1"/>
  <c r="AN71" i="49"/>
  <c r="J188" i="49" s="1"/>
  <c r="K71" i="49"/>
  <c r="B188" i="49" s="1"/>
  <c r="EC71" i="49"/>
  <c r="CG71" i="49"/>
  <c r="AK71" i="49"/>
  <c r="F169" i="7"/>
  <c r="X170" i="49"/>
  <c r="DF53" i="49"/>
  <c r="I170" i="49"/>
  <c r="AL53" i="49"/>
  <c r="AC224" i="49"/>
  <c r="EL53" i="49"/>
  <c r="V23" i="26"/>
  <c r="T24" i="26"/>
  <c r="U24" i="26" s="1"/>
  <c r="W23" i="26"/>
  <c r="Y23" i="26" s="1"/>
  <c r="S23" i="26"/>
  <c r="M24" i="34"/>
  <c r="J25" i="34" s="1"/>
  <c r="L24" i="34"/>
  <c r="D187" i="49"/>
  <c r="N70" i="49"/>
  <c r="AH170" i="49"/>
  <c r="FB53" i="49"/>
  <c r="S170" i="49"/>
  <c r="CH53" i="49"/>
  <c r="AH241" i="49"/>
  <c r="FJ70" i="49"/>
  <c r="N187" i="49"/>
  <c r="BJ70" i="49"/>
  <c r="AC170" i="49"/>
  <c r="ED53" i="49"/>
  <c r="X241" i="49"/>
  <c r="DN70" i="49"/>
  <c r="X187" i="49"/>
  <c r="DF70" i="49"/>
  <c r="I187" i="49"/>
  <c r="AL70" i="49"/>
  <c r="AH187" i="49"/>
  <c r="FB70" i="49"/>
  <c r="S187" i="49"/>
  <c r="CH70" i="49"/>
  <c r="AA25" i="25"/>
  <c r="Z26" i="25"/>
  <c r="AB25" i="25"/>
  <c r="AC25" i="25" s="1"/>
  <c r="D224" i="49"/>
  <c r="V53" i="49"/>
  <c r="AC241" i="49"/>
  <c r="EL70" i="49"/>
  <c r="AC187" i="49"/>
  <c r="ED70" i="49"/>
  <c r="N224" i="49"/>
  <c r="BR53" i="49"/>
  <c r="I241" i="49"/>
  <c r="AT70" i="49"/>
  <c r="H29" i="41"/>
  <c r="D170" i="49"/>
  <c r="N53" i="49"/>
  <c r="X224" i="49"/>
  <c r="DN53" i="49"/>
  <c r="I224" i="49"/>
  <c r="AT53" i="49"/>
  <c r="K24" i="34" l="1"/>
  <c r="BX16" i="26"/>
  <c r="EZ72" i="49"/>
  <c r="AG189" i="49" s="1"/>
  <c r="EG72" i="49"/>
  <c r="DD72" i="49"/>
  <c r="W189" i="49" s="1"/>
  <c r="CK72" i="49"/>
  <c r="BH72" i="49"/>
  <c r="M189" i="49" s="1"/>
  <c r="AO72" i="49"/>
  <c r="L72" i="49"/>
  <c r="C189" i="49" s="1"/>
  <c r="EY72" i="49"/>
  <c r="AF189" i="49" s="1"/>
  <c r="EF72" i="49"/>
  <c r="AD189" i="49" s="1"/>
  <c r="DC72" i="49"/>
  <c r="V189" i="49" s="1"/>
  <c r="CJ72" i="49"/>
  <c r="T189" i="49" s="1"/>
  <c r="BG72" i="49"/>
  <c r="L189" i="49" s="1"/>
  <c r="AN72" i="49"/>
  <c r="J189" i="49" s="1"/>
  <c r="K72" i="49"/>
  <c r="B189" i="49" s="1"/>
  <c r="EC72" i="49"/>
  <c r="CG72" i="49"/>
  <c r="AK72" i="49"/>
  <c r="FE72" i="49"/>
  <c r="EB72" i="49"/>
  <c r="AB189" i="49" s="1"/>
  <c r="DI72" i="49"/>
  <c r="CF72" i="49"/>
  <c r="R189" i="49" s="1"/>
  <c r="BM72" i="49"/>
  <c r="AJ72" i="49"/>
  <c r="H189" i="49" s="1"/>
  <c r="Q72" i="49"/>
  <c r="FD72" i="49"/>
  <c r="AI189" i="49" s="1"/>
  <c r="EA72" i="49"/>
  <c r="AA189" i="49" s="1"/>
  <c r="DH72" i="49"/>
  <c r="Y189" i="49" s="1"/>
  <c r="CE72" i="49"/>
  <c r="Q189" i="49" s="1"/>
  <c r="BL72" i="49"/>
  <c r="O189" i="49" s="1"/>
  <c r="AI72" i="49"/>
  <c r="G189" i="49" s="1"/>
  <c r="P72" i="49"/>
  <c r="E189" i="49" s="1"/>
  <c r="FA72" i="49"/>
  <c r="DE72" i="49"/>
  <c r="BI72" i="49"/>
  <c r="M72" i="49"/>
  <c r="F170" i="7"/>
  <c r="BR16" i="26"/>
  <c r="AH242" i="49"/>
  <c r="FJ71" i="49"/>
  <c r="S242" i="49"/>
  <c r="CP71" i="49"/>
  <c r="I188" i="49"/>
  <c r="AL71" i="49"/>
  <c r="BS16" i="26"/>
  <c r="AC242" i="49"/>
  <c r="EL71" i="49"/>
  <c r="S188" i="49"/>
  <c r="CH71" i="49"/>
  <c r="D188" i="49"/>
  <c r="N71" i="49"/>
  <c r="BO16" i="26"/>
  <c r="AC188" i="49"/>
  <c r="ED71" i="49"/>
  <c r="N188" i="49"/>
  <c r="BJ71" i="49"/>
  <c r="BT16" i="26"/>
  <c r="BW16" i="26"/>
  <c r="F30" i="41"/>
  <c r="C30" i="41"/>
  <c r="D30" i="41" s="1"/>
  <c r="N24" i="34"/>
  <c r="X188" i="49"/>
  <c r="DF71" i="49"/>
  <c r="BP16" i="26"/>
  <c r="BI17" i="26"/>
  <c r="BJ17" i="26" s="1"/>
  <c r="L25" i="34"/>
  <c r="K25" i="34" s="1"/>
  <c r="M25" i="34"/>
  <c r="J26" i="34" s="1"/>
  <c r="J29" i="41"/>
  <c r="L29" i="41" s="1"/>
  <c r="I29" i="41"/>
  <c r="K29" i="41" s="1"/>
  <c r="AH188" i="49"/>
  <c r="FB71" i="49"/>
  <c r="BY16" i="26"/>
  <c r="BU16" i="26"/>
  <c r="D242" i="49"/>
  <c r="V71" i="49"/>
  <c r="AA26" i="25"/>
  <c r="Z27" i="25"/>
  <c r="AB26" i="25"/>
  <c r="AC26" i="25" s="1"/>
  <c r="BM16" i="26"/>
  <c r="FI72" i="49"/>
  <c r="DM72" i="49"/>
  <c r="BQ72" i="49"/>
  <c r="U72" i="49"/>
  <c r="FH72" i="49"/>
  <c r="AG243" i="49" s="1"/>
  <c r="EO72" i="49"/>
  <c r="DL72" i="49"/>
  <c r="W243" i="49" s="1"/>
  <c r="CS72" i="49"/>
  <c r="BP72" i="49"/>
  <c r="M243" i="49" s="1"/>
  <c r="AW72" i="49"/>
  <c r="T72" i="49"/>
  <c r="C243" i="49" s="1"/>
  <c r="FG72" i="49"/>
  <c r="AF243" i="49" s="1"/>
  <c r="EN72" i="49"/>
  <c r="AD243" i="49" s="1"/>
  <c r="DK72" i="49"/>
  <c r="V243" i="49" s="1"/>
  <c r="CR72" i="49"/>
  <c r="T243" i="49" s="1"/>
  <c r="BO72" i="49"/>
  <c r="L243" i="49" s="1"/>
  <c r="AV72" i="49"/>
  <c r="J243" i="49" s="1"/>
  <c r="S72" i="49"/>
  <c r="B243" i="49" s="1"/>
  <c r="EK72" i="49"/>
  <c r="CO72" i="49"/>
  <c r="AS72" i="49"/>
  <c r="FM72" i="49"/>
  <c r="EJ72" i="49"/>
  <c r="AB243" i="49" s="1"/>
  <c r="DQ72" i="49"/>
  <c r="CN72" i="49"/>
  <c r="R243" i="49" s="1"/>
  <c r="BU72" i="49"/>
  <c r="AR72" i="49"/>
  <c r="H243" i="49" s="1"/>
  <c r="Y72" i="49"/>
  <c r="FL72" i="49"/>
  <c r="AI243" i="49" s="1"/>
  <c r="EI72" i="49"/>
  <c r="AA243" i="49" s="1"/>
  <c r="DP72" i="49"/>
  <c r="Y243" i="49" s="1"/>
  <c r="CM72" i="49"/>
  <c r="Q243" i="49" s="1"/>
  <c r="BT72" i="49"/>
  <c r="O243" i="49" s="1"/>
  <c r="AQ72" i="49"/>
  <c r="G243" i="49" s="1"/>
  <c r="X72" i="49"/>
  <c r="E243" i="49" s="1"/>
  <c r="H170" i="7"/>
  <c r="N242" i="49"/>
  <c r="BR71" i="49"/>
  <c r="T25" i="26"/>
  <c r="U25" i="26" s="1"/>
  <c r="S24" i="26"/>
  <c r="Y24" i="26"/>
  <c r="W24" i="26"/>
  <c r="V24" i="26"/>
  <c r="X242" i="49"/>
  <c r="DN71" i="49"/>
  <c r="I242" i="49"/>
  <c r="AT71" i="49"/>
  <c r="E30" i="41" l="1"/>
  <c r="B31" i="41" s="1"/>
  <c r="AH243" i="49"/>
  <c r="FJ72" i="49"/>
  <c r="BK17" i="26"/>
  <c r="BV17" i="26"/>
  <c r="BL17" i="26"/>
  <c r="N189" i="49"/>
  <c r="BJ72" i="49"/>
  <c r="X189" i="49"/>
  <c r="DF72" i="49"/>
  <c r="I189" i="49"/>
  <c r="AL72" i="49"/>
  <c r="V25" i="26"/>
  <c r="S25" i="26"/>
  <c r="T26" i="26"/>
  <c r="U26" i="26" s="1"/>
  <c r="W25" i="26"/>
  <c r="Y25" i="26" s="1"/>
  <c r="AH189" i="49"/>
  <c r="FB72" i="49"/>
  <c r="S189" i="49"/>
  <c r="CH72" i="49"/>
  <c r="Z28" i="25"/>
  <c r="AA27" i="25"/>
  <c r="AB27" i="25"/>
  <c r="AC27" i="25" s="1"/>
  <c r="AC189" i="49"/>
  <c r="ED72" i="49"/>
  <c r="I243" i="49"/>
  <c r="AT72" i="49"/>
  <c r="EK73" i="49"/>
  <c r="CO73" i="49"/>
  <c r="AS73" i="49"/>
  <c r="FM73" i="49"/>
  <c r="EJ73" i="49"/>
  <c r="AB244" i="49" s="1"/>
  <c r="DQ73" i="49"/>
  <c r="CN73" i="49"/>
  <c r="R244" i="49" s="1"/>
  <c r="BU73" i="49"/>
  <c r="AR73" i="49"/>
  <c r="H244" i="49" s="1"/>
  <c r="Y73" i="49"/>
  <c r="FL73" i="49"/>
  <c r="AI244" i="49" s="1"/>
  <c r="EI73" i="49"/>
  <c r="AA244" i="49" s="1"/>
  <c r="DP73" i="49"/>
  <c r="Y244" i="49" s="1"/>
  <c r="CM73" i="49"/>
  <c r="Q244" i="49" s="1"/>
  <c r="BT73" i="49"/>
  <c r="O244" i="49" s="1"/>
  <c r="AQ73" i="49"/>
  <c r="G244" i="49" s="1"/>
  <c r="X73" i="49"/>
  <c r="E244" i="49" s="1"/>
  <c r="FI73" i="49"/>
  <c r="DM73" i="49"/>
  <c r="BQ73" i="49"/>
  <c r="U73" i="49"/>
  <c r="FH73" i="49"/>
  <c r="AG244" i="49" s="1"/>
  <c r="EO73" i="49"/>
  <c r="DL73" i="49"/>
  <c r="W244" i="49" s="1"/>
  <c r="CS73" i="49"/>
  <c r="BP73" i="49"/>
  <c r="M244" i="49" s="1"/>
  <c r="AW73" i="49"/>
  <c r="T73" i="49"/>
  <c r="C244" i="49" s="1"/>
  <c r="FG73" i="49"/>
  <c r="AF244" i="49" s="1"/>
  <c r="EN73" i="49"/>
  <c r="AD244" i="49" s="1"/>
  <c r="DK73" i="49"/>
  <c r="V244" i="49" s="1"/>
  <c r="CR73" i="49"/>
  <c r="T244" i="49" s="1"/>
  <c r="BO73" i="49"/>
  <c r="L244" i="49" s="1"/>
  <c r="AV73" i="49"/>
  <c r="J244" i="49" s="1"/>
  <c r="S73" i="49"/>
  <c r="B244" i="49" s="1"/>
  <c r="H171" i="7"/>
  <c r="S243" i="49"/>
  <c r="CP72" i="49"/>
  <c r="D243" i="49"/>
  <c r="V72" i="49"/>
  <c r="L26" i="34"/>
  <c r="M26" i="34"/>
  <c r="J27" i="34" s="1"/>
  <c r="FE73" i="49"/>
  <c r="EB73" i="49"/>
  <c r="AB190" i="49" s="1"/>
  <c r="DI73" i="49"/>
  <c r="CF73" i="49"/>
  <c r="R190" i="49" s="1"/>
  <c r="BM73" i="49"/>
  <c r="AJ73" i="49"/>
  <c r="H190" i="49" s="1"/>
  <c r="Q73" i="49"/>
  <c r="FD73" i="49"/>
  <c r="AI190" i="49" s="1"/>
  <c r="EA73" i="49"/>
  <c r="AA190" i="49" s="1"/>
  <c r="DH73" i="49"/>
  <c r="Y190" i="49" s="1"/>
  <c r="CE73" i="49"/>
  <c r="Q190" i="49" s="1"/>
  <c r="BL73" i="49"/>
  <c r="O190" i="49" s="1"/>
  <c r="AI73" i="49"/>
  <c r="G190" i="49" s="1"/>
  <c r="P73" i="49"/>
  <c r="E190" i="49" s="1"/>
  <c r="FA73" i="49"/>
  <c r="DE73" i="49"/>
  <c r="BI73" i="49"/>
  <c r="M73" i="49"/>
  <c r="EZ73" i="49"/>
  <c r="AG190" i="49" s="1"/>
  <c r="EG73" i="49"/>
  <c r="DD73" i="49"/>
  <c r="W190" i="49" s="1"/>
  <c r="CK73" i="49"/>
  <c r="BH73" i="49"/>
  <c r="M190" i="49" s="1"/>
  <c r="AO73" i="49"/>
  <c r="L73" i="49"/>
  <c r="C190" i="49" s="1"/>
  <c r="EY73" i="49"/>
  <c r="AF190" i="49" s="1"/>
  <c r="EF73" i="49"/>
  <c r="AD190" i="49" s="1"/>
  <c r="DC73" i="49"/>
  <c r="V190" i="49" s="1"/>
  <c r="CJ73" i="49"/>
  <c r="T190" i="49" s="1"/>
  <c r="BG73" i="49"/>
  <c r="L190" i="49" s="1"/>
  <c r="AN73" i="49"/>
  <c r="J190" i="49" s="1"/>
  <c r="K73" i="49"/>
  <c r="B190" i="49" s="1"/>
  <c r="EC73" i="49"/>
  <c r="CG73" i="49"/>
  <c r="AK73" i="49"/>
  <c r="F171" i="7"/>
  <c r="AC243" i="49"/>
  <c r="EL72" i="49"/>
  <c r="N243" i="49"/>
  <c r="BR72" i="49"/>
  <c r="X243" i="49"/>
  <c r="DN72" i="49"/>
  <c r="N25" i="34"/>
  <c r="H30" i="41"/>
  <c r="D189" i="49"/>
  <c r="N72" i="49"/>
  <c r="BX17" i="26" l="1"/>
  <c r="K26" i="34"/>
  <c r="BW17" i="26"/>
  <c r="BM17" i="26"/>
  <c r="N244" i="49"/>
  <c r="BR73" i="49"/>
  <c r="N26" i="34"/>
  <c r="AH244" i="49"/>
  <c r="FJ73" i="49"/>
  <c r="S244" i="49"/>
  <c r="CP73" i="49"/>
  <c r="Z29" i="25"/>
  <c r="AA28" i="25"/>
  <c r="AB28" i="25"/>
  <c r="AC28" i="25" s="1"/>
  <c r="W8" i="25" s="1"/>
  <c r="BT17" i="26"/>
  <c r="AC244" i="49"/>
  <c r="EL73" i="49"/>
  <c r="BI18" i="26"/>
  <c r="BJ18" i="26" s="1"/>
  <c r="BP17" i="26"/>
  <c r="EZ74" i="49"/>
  <c r="AG191" i="49" s="1"/>
  <c r="EG74" i="49"/>
  <c r="DD74" i="49"/>
  <c r="W191" i="49" s="1"/>
  <c r="CK74" i="49"/>
  <c r="BH74" i="49"/>
  <c r="M191" i="49" s="1"/>
  <c r="AO74" i="49"/>
  <c r="L74" i="49"/>
  <c r="C191" i="49" s="1"/>
  <c r="EY74" i="49"/>
  <c r="AF191" i="49" s="1"/>
  <c r="EF74" i="49"/>
  <c r="AD191" i="49" s="1"/>
  <c r="DC74" i="49"/>
  <c r="V191" i="49" s="1"/>
  <c r="CJ74" i="49"/>
  <c r="T191" i="49" s="1"/>
  <c r="BG74" i="49"/>
  <c r="L191" i="49" s="1"/>
  <c r="AN74" i="49"/>
  <c r="J191" i="49" s="1"/>
  <c r="K74" i="49"/>
  <c r="B191" i="49" s="1"/>
  <c r="EC74" i="49"/>
  <c r="CG74" i="49"/>
  <c r="AK74" i="49"/>
  <c r="FE74" i="49"/>
  <c r="EB74" i="49"/>
  <c r="AB191" i="49" s="1"/>
  <c r="DI74" i="49"/>
  <c r="CF74" i="49"/>
  <c r="R191" i="49" s="1"/>
  <c r="BM74" i="49"/>
  <c r="AJ74" i="49"/>
  <c r="H191" i="49" s="1"/>
  <c r="Q74" i="49"/>
  <c r="FD74" i="49"/>
  <c r="AI191" i="49" s="1"/>
  <c r="EA74" i="49"/>
  <c r="AA191" i="49" s="1"/>
  <c r="DH74" i="49"/>
  <c r="Y191" i="49" s="1"/>
  <c r="CE74" i="49"/>
  <c r="Q191" i="49" s="1"/>
  <c r="BL74" i="49"/>
  <c r="O191" i="49" s="1"/>
  <c r="AI74" i="49"/>
  <c r="G191" i="49" s="1"/>
  <c r="P74" i="49"/>
  <c r="E191" i="49" s="1"/>
  <c r="FA74" i="49"/>
  <c r="DE74" i="49"/>
  <c r="BI74" i="49"/>
  <c r="M74" i="49"/>
  <c r="BU17" i="26"/>
  <c r="BY17" i="26"/>
  <c r="X190" i="49"/>
  <c r="DF73" i="49"/>
  <c r="I190" i="49"/>
  <c r="AL73" i="49"/>
  <c r="BH17" i="26"/>
  <c r="C31" i="41"/>
  <c r="D31" i="41" s="1"/>
  <c r="F31" i="41"/>
  <c r="J30" i="41"/>
  <c r="L30" i="41" s="1"/>
  <c r="I30" i="41"/>
  <c r="K30" i="41" s="1"/>
  <c r="S190" i="49"/>
  <c r="CH73" i="49"/>
  <c r="D190" i="49"/>
  <c r="N73" i="49"/>
  <c r="BQ17" i="26"/>
  <c r="FI74" i="49"/>
  <c r="DM74" i="49"/>
  <c r="BQ74" i="49"/>
  <c r="U74" i="49"/>
  <c r="FH74" i="49"/>
  <c r="AG245" i="49" s="1"/>
  <c r="EO74" i="49"/>
  <c r="DL74" i="49"/>
  <c r="W245" i="49" s="1"/>
  <c r="CS74" i="49"/>
  <c r="BP74" i="49"/>
  <c r="M245" i="49" s="1"/>
  <c r="AW74" i="49"/>
  <c r="T74" i="49"/>
  <c r="C245" i="49" s="1"/>
  <c r="FG74" i="49"/>
  <c r="AF245" i="49" s="1"/>
  <c r="EN74" i="49"/>
  <c r="AD245" i="49" s="1"/>
  <c r="DK74" i="49"/>
  <c r="V245" i="49" s="1"/>
  <c r="CR74" i="49"/>
  <c r="T245" i="49" s="1"/>
  <c r="BO74" i="49"/>
  <c r="L245" i="49" s="1"/>
  <c r="AV74" i="49"/>
  <c r="J245" i="49" s="1"/>
  <c r="S74" i="49"/>
  <c r="B245" i="49" s="1"/>
  <c r="EK74" i="49"/>
  <c r="CO74" i="49"/>
  <c r="AS74" i="49"/>
  <c r="FM74" i="49"/>
  <c r="EJ74" i="49"/>
  <c r="AB245" i="49" s="1"/>
  <c r="DQ74" i="49"/>
  <c r="CN74" i="49"/>
  <c r="R245" i="49" s="1"/>
  <c r="BU74" i="49"/>
  <c r="AR74" i="49"/>
  <c r="H245" i="49" s="1"/>
  <c r="Y74" i="49"/>
  <c r="FL74" i="49"/>
  <c r="AI245" i="49" s="1"/>
  <c r="EI74" i="49"/>
  <c r="AA245" i="49" s="1"/>
  <c r="DP74" i="49"/>
  <c r="Y245" i="49" s="1"/>
  <c r="CM74" i="49"/>
  <c r="Q245" i="49" s="1"/>
  <c r="BT74" i="49"/>
  <c r="O245" i="49" s="1"/>
  <c r="AQ74" i="49"/>
  <c r="G245" i="49" s="1"/>
  <c r="X74" i="49"/>
  <c r="E245" i="49" s="1"/>
  <c r="AC190" i="49"/>
  <c r="ED73" i="49"/>
  <c r="N190" i="49"/>
  <c r="BJ73" i="49"/>
  <c r="D244" i="49"/>
  <c r="V73" i="49"/>
  <c r="BR17" i="26"/>
  <c r="T27" i="26"/>
  <c r="U27" i="26" s="1"/>
  <c r="W26" i="26"/>
  <c r="V26" i="26"/>
  <c r="S26" i="26"/>
  <c r="Y26" i="26"/>
  <c r="AH190" i="49"/>
  <c r="FB73" i="49"/>
  <c r="L27" i="34"/>
  <c r="M27" i="34"/>
  <c r="J28" i="34" s="1"/>
  <c r="X244" i="49"/>
  <c r="DN73" i="49"/>
  <c r="I244" i="49"/>
  <c r="AT73" i="49"/>
  <c r="BO17" i="26"/>
  <c r="BS17" i="26"/>
  <c r="K27" i="34" l="1"/>
  <c r="N27" i="34"/>
  <c r="H31" i="41"/>
  <c r="J31" i="41" s="1"/>
  <c r="L31" i="41" s="1"/>
  <c r="D191" i="49"/>
  <c r="N74" i="49"/>
  <c r="AQ8" i="25"/>
  <c r="AS8" i="25" s="1"/>
  <c r="AQ27" i="25"/>
  <c r="AS27" i="25" s="1"/>
  <c r="AQ9" i="25"/>
  <c r="AS9" i="25" s="1"/>
  <c r="AQ17" i="25"/>
  <c r="AS17" i="25" s="1"/>
  <c r="AQ19" i="25"/>
  <c r="AS19" i="25" s="1"/>
  <c r="AQ28" i="25"/>
  <c r="AS28" i="25" s="1"/>
  <c r="AQ7" i="25"/>
  <c r="AS7" i="25" s="1"/>
  <c r="AQ18" i="25"/>
  <c r="AS18" i="25" s="1"/>
  <c r="AQ29" i="25"/>
  <c r="AS29" i="25" s="1"/>
  <c r="N191" i="49"/>
  <c r="BJ74" i="49"/>
  <c r="M28" i="34"/>
  <c r="J29" i="34" s="1"/>
  <c r="L28" i="34"/>
  <c r="I245" i="49"/>
  <c r="AT74" i="49"/>
  <c r="X191" i="49"/>
  <c r="DF74" i="49"/>
  <c r="I191" i="49"/>
  <c r="AL74" i="49"/>
  <c r="Z30" i="25"/>
  <c r="AB29" i="25"/>
  <c r="AC29" i="25" s="1"/>
  <c r="AA29" i="25"/>
  <c r="V27" i="26"/>
  <c r="S27" i="26"/>
  <c r="W27" i="26"/>
  <c r="Y27" i="26" s="1"/>
  <c r="T28" i="26"/>
  <c r="U28" i="26" s="1"/>
  <c r="S245" i="49"/>
  <c r="CP74" i="49"/>
  <c r="D245" i="49"/>
  <c r="V74" i="49"/>
  <c r="AH191" i="49"/>
  <c r="FB74" i="49"/>
  <c r="S191" i="49"/>
  <c r="CH74" i="49"/>
  <c r="AC245" i="49"/>
  <c r="EL74" i="49"/>
  <c r="N245" i="49"/>
  <c r="BR74" i="49"/>
  <c r="AC191" i="49"/>
  <c r="ED74" i="49"/>
  <c r="BW18" i="26"/>
  <c r="BO18" i="26"/>
  <c r="BV18" i="26"/>
  <c r="BM18" i="26"/>
  <c r="BL18" i="26"/>
  <c r="BH18" i="26" s="1"/>
  <c r="BK18" i="26"/>
  <c r="BR18" i="26"/>
  <c r="BQ18" i="26"/>
  <c r="X245" i="49"/>
  <c r="DN74" i="49"/>
  <c r="AH245" i="49"/>
  <c r="FJ74" i="49"/>
  <c r="E31" i="41"/>
  <c r="B32" i="41" s="1"/>
  <c r="I31" i="41"/>
  <c r="K31" i="41" s="1"/>
  <c r="BI19" i="26" l="1"/>
  <c r="BJ19" i="26" s="1"/>
  <c r="BK19" i="26" s="1"/>
  <c r="BS18" i="26"/>
  <c r="K28" i="34"/>
  <c r="C32" i="41"/>
  <c r="F32" i="41"/>
  <c r="BP18" i="26"/>
  <c r="BY18" i="26"/>
  <c r="BU18" i="26"/>
  <c r="AB30" i="25"/>
  <c r="AC30" i="25" s="1"/>
  <c r="AA30" i="25"/>
  <c r="Z31" i="25"/>
  <c r="N28" i="34"/>
  <c r="T29" i="26"/>
  <c r="U29" i="26" s="1"/>
  <c r="W28" i="26"/>
  <c r="Y28" i="26" s="1"/>
  <c r="V28" i="26"/>
  <c r="S28" i="26"/>
  <c r="M29" i="34"/>
  <c r="J30" i="34" s="1"/>
  <c r="L29" i="34"/>
  <c r="BX18" i="26"/>
  <c r="BT18" i="26"/>
  <c r="BL19" i="26" l="1"/>
  <c r="BM19" i="26"/>
  <c r="BV19" i="26"/>
  <c r="BT19" i="26"/>
  <c r="BO19" i="26"/>
  <c r="BW19" i="26"/>
  <c r="BX19" i="26"/>
  <c r="BR19" i="26"/>
  <c r="BS19" i="26"/>
  <c r="BI20" i="26"/>
  <c r="BJ20" i="26" s="1"/>
  <c r="BL20" i="26" s="1"/>
  <c r="K29" i="34"/>
  <c r="BU19" i="26"/>
  <c r="BY19" i="26"/>
  <c r="BH19" i="26"/>
  <c r="N29" i="34"/>
  <c r="AB31" i="25"/>
  <c r="AC31" i="25" s="1"/>
  <c r="Z32" i="25"/>
  <c r="AA31" i="25"/>
  <c r="D32" i="41"/>
  <c r="BQ19" i="26"/>
  <c r="M30" i="34"/>
  <c r="J31" i="34" s="1"/>
  <c r="L30" i="34"/>
  <c r="BP19" i="26"/>
  <c r="V29" i="26"/>
  <c r="S29" i="26"/>
  <c r="Y29" i="26"/>
  <c r="T30" i="26"/>
  <c r="U30" i="26" s="1"/>
  <c r="W29" i="26"/>
  <c r="BK20" i="26" l="1"/>
  <c r="BP20" i="26"/>
  <c r="BV20" i="26"/>
  <c r="BI21" i="26"/>
  <c r="BJ21" i="26" s="1"/>
  <c r="BK21" i="26" s="1"/>
  <c r="N30" i="34"/>
  <c r="BX20" i="26"/>
  <c r="BT20" i="26"/>
  <c r="K30" i="34"/>
  <c r="E32" i="41"/>
  <c r="B33" i="41" s="1"/>
  <c r="BY20" i="26"/>
  <c r="BU20" i="26"/>
  <c r="BH20" i="26"/>
  <c r="BO20" i="26"/>
  <c r="AA32" i="25"/>
  <c r="AB32" i="25"/>
  <c r="AC32" i="25" s="1"/>
  <c r="Z33" i="25"/>
  <c r="BW20" i="26"/>
  <c r="BQ20" i="26"/>
  <c r="H32" i="41"/>
  <c r="BM20" i="26"/>
  <c r="BR20" i="26"/>
  <c r="BS20" i="26"/>
  <c r="T31" i="26"/>
  <c r="U31" i="26" s="1"/>
  <c r="W30" i="26"/>
  <c r="Y30" i="26" s="1"/>
  <c r="S30" i="26"/>
  <c r="V30" i="26"/>
  <c r="L31" i="34"/>
  <c r="M31" i="34"/>
  <c r="J32" i="34" s="1"/>
  <c r="BL21" i="26" l="1"/>
  <c r="BV21" i="26"/>
  <c r="BU21" i="26"/>
  <c r="BW21" i="26"/>
  <c r="BO21" i="26"/>
  <c r="K31" i="34"/>
  <c r="N31" i="34"/>
  <c r="BY21" i="26"/>
  <c r="BQ21" i="26"/>
  <c r="BH21" i="26"/>
  <c r="BP21" i="26"/>
  <c r="J32" i="41"/>
  <c r="L32" i="41" s="1"/>
  <c r="I32" i="41"/>
  <c r="K32" i="41" s="1"/>
  <c r="BR21" i="26"/>
  <c r="BS21" i="26"/>
  <c r="BM21" i="26"/>
  <c r="BT21" i="26"/>
  <c r="V31" i="26"/>
  <c r="S31" i="26"/>
  <c r="T32" i="26"/>
  <c r="U32" i="26" s="1"/>
  <c r="W31" i="26"/>
  <c r="Y31" i="26" s="1"/>
  <c r="AB33" i="25"/>
  <c r="AC33" i="25" s="1"/>
  <c r="W9" i="25" s="1"/>
  <c r="Z34" i="25"/>
  <c r="AA33" i="25"/>
  <c r="BX21" i="26"/>
  <c r="M32" i="34"/>
  <c r="J33" i="34" s="1"/>
  <c r="L32" i="34"/>
  <c r="BI22" i="26"/>
  <c r="BJ22" i="26" s="1"/>
  <c r="C33" i="41"/>
  <c r="D33" i="41" s="1"/>
  <c r="F33" i="41"/>
  <c r="N32" i="34" l="1"/>
  <c r="K32" i="34"/>
  <c r="E33" i="41"/>
  <c r="B34" i="41" s="1"/>
  <c r="H33" i="41"/>
  <c r="AA34" i="25"/>
  <c r="Z35" i="25"/>
  <c r="AB34" i="25"/>
  <c r="AC34" i="25" s="1"/>
  <c r="T33" i="26"/>
  <c r="U33" i="26" s="1"/>
  <c r="W32" i="26"/>
  <c r="Y32" i="26" s="1"/>
  <c r="V32" i="26"/>
  <c r="S32" i="26"/>
  <c r="BV22" i="26"/>
  <c r="BL22" i="26"/>
  <c r="BK22" i="26"/>
  <c r="L33" i="34"/>
  <c r="M33" i="34"/>
  <c r="J34" i="34" s="1"/>
  <c r="BS22" i="26" l="1"/>
  <c r="BW22" i="26"/>
  <c r="K33" i="34"/>
  <c r="N33" i="34"/>
  <c r="BU22" i="26"/>
  <c r="BH22" i="26"/>
  <c r="J33" i="41"/>
  <c r="L33" i="41" s="1"/>
  <c r="I33" i="41"/>
  <c r="K33" i="41" s="1"/>
  <c r="F34" i="41"/>
  <c r="C34" i="41"/>
  <c r="V33" i="26"/>
  <c r="S33" i="26"/>
  <c r="T34" i="26"/>
  <c r="U34" i="26" s="1"/>
  <c r="W33" i="26"/>
  <c r="Y33" i="26" s="1"/>
  <c r="BX22" i="26"/>
  <c r="BT22" i="26"/>
  <c r="BY22" i="26"/>
  <c r="BR22" i="26"/>
  <c r="BM22" i="26"/>
  <c r="L34" i="34"/>
  <c r="M34" i="34"/>
  <c r="J35" i="34" s="1"/>
  <c r="BP22" i="26"/>
  <c r="BI23" i="26"/>
  <c r="BJ23" i="26" s="1"/>
  <c r="BQ22" i="26"/>
  <c r="BO22" i="26"/>
  <c r="AB35" i="25"/>
  <c r="AC35" i="25" s="1"/>
  <c r="AA35" i="25"/>
  <c r="Z36" i="25"/>
  <c r="K34" i="34" l="1"/>
  <c r="W34" i="26"/>
  <c r="Y34" i="26" s="1"/>
  <c r="V34" i="26"/>
  <c r="T35" i="26"/>
  <c r="U35" i="26" s="1"/>
  <c r="S34" i="26"/>
  <c r="BK23" i="26"/>
  <c r="BM23" i="26" s="1"/>
  <c r="BQ23" i="26"/>
  <c r="BV23" i="26"/>
  <c r="BL23" i="26"/>
  <c r="BR23" i="26"/>
  <c r="BP23" i="26"/>
  <c r="D34" i="41"/>
  <c r="H34" i="41" s="1"/>
  <c r="L35" i="34"/>
  <c r="M35" i="34"/>
  <c r="J36" i="34" s="1"/>
  <c r="AA36" i="25"/>
  <c r="AB36" i="25"/>
  <c r="AC36" i="25" s="1"/>
  <c r="Z37" i="25"/>
  <c r="N34" i="34"/>
  <c r="BW23" i="26" l="1"/>
  <c r="BS23" i="26"/>
  <c r="BT23" i="26"/>
  <c r="BH23" i="26"/>
  <c r="BU23" i="26"/>
  <c r="K35" i="34"/>
  <c r="BY23" i="26"/>
  <c r="M36" i="34"/>
  <c r="J37" i="34" s="1"/>
  <c r="L36" i="34"/>
  <c r="K36" i="34" s="1"/>
  <c r="N35" i="34"/>
  <c r="J34" i="41"/>
  <c r="L34" i="41" s="1"/>
  <c r="I34" i="41"/>
  <c r="K34" i="41" s="1"/>
  <c r="E34" i="41"/>
  <c r="B35" i="41" s="1"/>
  <c r="BI24" i="26"/>
  <c r="BJ24" i="26" s="1"/>
  <c r="AB37" i="25"/>
  <c r="AC37" i="25" s="1"/>
  <c r="Z38" i="25"/>
  <c r="AA37" i="25"/>
  <c r="BO23" i="26"/>
  <c r="BX23" i="26"/>
  <c r="W35" i="26"/>
  <c r="Y35" i="26" s="1"/>
  <c r="V35" i="26"/>
  <c r="T36" i="26"/>
  <c r="U36" i="26" s="1"/>
  <c r="S35" i="26"/>
  <c r="N36" i="34" l="1"/>
  <c r="W36" i="26"/>
  <c r="Y36" i="26" s="1"/>
  <c r="V36" i="26"/>
  <c r="T37" i="26"/>
  <c r="U37" i="26" s="1"/>
  <c r="S36" i="26"/>
  <c r="BW24" i="26"/>
  <c r="BL24" i="26"/>
  <c r="BO24" i="26" s="1"/>
  <c r="BV24" i="26"/>
  <c r="BK24" i="26"/>
  <c r="F35" i="41"/>
  <c r="C35" i="41"/>
  <c r="D35" i="41" s="1"/>
  <c r="AA38" i="25"/>
  <c r="AB38" i="25"/>
  <c r="AC38" i="25" s="1"/>
  <c r="W10" i="25" s="1"/>
  <c r="M37" i="34"/>
  <c r="J38" i="34" s="1"/>
  <c r="N37" i="34"/>
  <c r="L37" i="34"/>
  <c r="K37" i="34" s="1"/>
  <c r="BY24" i="26" l="1"/>
  <c r="AQ32" i="25"/>
  <c r="AS32" i="25" s="1"/>
  <c r="AQ12" i="25"/>
  <c r="AS12" i="25" s="1"/>
  <c r="AQ22" i="25"/>
  <c r="AS22" i="25" s="1"/>
  <c r="AQ31" i="25"/>
  <c r="AS31" i="25" s="1"/>
  <c r="AQ21" i="25"/>
  <c r="AS21" i="25" s="1"/>
  <c r="AQ11" i="25"/>
  <c r="AS11" i="25" s="1"/>
  <c r="AQ20" i="25"/>
  <c r="AS20" i="25" s="1"/>
  <c r="AQ10" i="25"/>
  <c r="AS10" i="25" s="1"/>
  <c r="AQ30" i="25"/>
  <c r="AS30" i="25" s="1"/>
  <c r="BS24" i="26"/>
  <c r="BH24" i="26"/>
  <c r="E35" i="41"/>
  <c r="B36" i="41" s="1"/>
  <c r="BT24" i="26"/>
  <c r="BM24" i="26"/>
  <c r="BX24" i="26"/>
  <c r="BP24" i="26"/>
  <c r="BU24" i="26"/>
  <c r="AQ23" i="25"/>
  <c r="AS23" i="25" s="1"/>
  <c r="AQ33" i="25"/>
  <c r="AS33" i="25" s="1"/>
  <c r="AQ13" i="25"/>
  <c r="AS13" i="25" s="1"/>
  <c r="BQ24" i="26"/>
  <c r="W37" i="26"/>
  <c r="Y37" i="26" s="1"/>
  <c r="V37" i="26"/>
  <c r="T38" i="26"/>
  <c r="U38" i="26" s="1"/>
  <c r="S37" i="26"/>
  <c r="H35" i="41"/>
  <c r="BR24" i="26"/>
  <c r="M38" i="34"/>
  <c r="J39" i="34" s="1"/>
  <c r="L38" i="34"/>
  <c r="BI25" i="26"/>
  <c r="BJ25" i="26" s="1"/>
  <c r="M39" i="34" l="1"/>
  <c r="J40" i="34" s="1"/>
  <c r="L39" i="34"/>
  <c r="K38" i="34"/>
  <c r="N38" i="34"/>
  <c r="C36" i="41"/>
  <c r="F36" i="41"/>
  <c r="J35" i="41"/>
  <c r="L35" i="41" s="1"/>
  <c r="I35" i="41"/>
  <c r="K35" i="41" s="1"/>
  <c r="T39" i="26"/>
  <c r="U39" i="26" s="1"/>
  <c r="S38" i="26"/>
  <c r="W38" i="26"/>
  <c r="Y38" i="26" s="1"/>
  <c r="V38" i="26"/>
  <c r="BK25" i="26"/>
  <c r="BM25" i="26" s="1"/>
  <c r="BQ25" i="26"/>
  <c r="BV25" i="26"/>
  <c r="BW25" i="26"/>
  <c r="BL25" i="26"/>
  <c r="BY25" i="26" l="1"/>
  <c r="BS25" i="26"/>
  <c r="BT25" i="26"/>
  <c r="BU25" i="26"/>
  <c r="M40" i="34"/>
  <c r="J41" i="34" s="1"/>
  <c r="L40" i="34"/>
  <c r="N39" i="34"/>
  <c r="BI26" i="26"/>
  <c r="BJ26" i="26" s="1"/>
  <c r="D36" i="41"/>
  <c r="BP25" i="26"/>
  <c r="BH25" i="26"/>
  <c r="BO25" i="26"/>
  <c r="BR25" i="26"/>
  <c r="BX25" i="26"/>
  <c r="T40" i="26"/>
  <c r="U40" i="26" s="1"/>
  <c r="S39" i="26"/>
  <c r="W39" i="26"/>
  <c r="Y39" i="26" s="1"/>
  <c r="V39" i="26"/>
  <c r="K39" i="34"/>
  <c r="L41" i="34" l="1"/>
  <c r="M41" i="34"/>
  <c r="J42" i="34" s="1"/>
  <c r="T41" i="26"/>
  <c r="U41" i="26" s="1"/>
  <c r="S40" i="26"/>
  <c r="W40" i="26"/>
  <c r="Y40" i="26" s="1"/>
  <c r="V40" i="26"/>
  <c r="E36" i="41"/>
  <c r="B37" i="41" s="1"/>
  <c r="N40" i="34"/>
  <c r="BW26" i="26"/>
  <c r="BL26" i="26"/>
  <c r="BU26" i="26" s="1"/>
  <c r="BK26" i="26"/>
  <c r="BS26" i="26" s="1"/>
  <c r="BV26" i="26"/>
  <c r="H36" i="41"/>
  <c r="K40" i="34"/>
  <c r="K41" i="34" l="1"/>
  <c r="BH26" i="26"/>
  <c r="BX26" i="26"/>
  <c r="BT26" i="26"/>
  <c r="N41" i="34"/>
  <c r="F37" i="41"/>
  <c r="C37" i="41"/>
  <c r="D37" i="41" s="1"/>
  <c r="J36" i="41"/>
  <c r="L36" i="41" s="1"/>
  <c r="I36" i="41"/>
  <c r="K36" i="41" s="1"/>
  <c r="BY26" i="26"/>
  <c r="BI27" i="26"/>
  <c r="BJ27" i="26" s="1"/>
  <c r="V41" i="26"/>
  <c r="T42" i="26"/>
  <c r="U42" i="26" s="1"/>
  <c r="S41" i="26"/>
  <c r="W41" i="26"/>
  <c r="Y41" i="26" s="1"/>
  <c r="L42" i="34"/>
  <c r="M42" i="34"/>
  <c r="J43" i="34" s="1"/>
  <c r="N42" i="34" l="1"/>
  <c r="K42" i="34"/>
  <c r="H37" i="41"/>
  <c r="E37" i="41"/>
  <c r="B38" i="41" s="1"/>
  <c r="W42" i="26"/>
  <c r="Y42" i="26" s="1"/>
  <c r="V42" i="26"/>
  <c r="T43" i="26"/>
  <c r="U43" i="26" s="1"/>
  <c r="S42" i="26"/>
  <c r="L43" i="34"/>
  <c r="M43" i="34"/>
  <c r="J44" i="34" s="1"/>
  <c r="BK27" i="26"/>
  <c r="BV27" i="26"/>
  <c r="BL27" i="26"/>
  <c r="BW27" i="26"/>
  <c r="BI28" i="26" l="1"/>
  <c r="BJ28" i="26" s="1"/>
  <c r="BV28" i="26" s="1"/>
  <c r="W43" i="26"/>
  <c r="Y43" i="26" s="1"/>
  <c r="V43" i="26"/>
  <c r="T44" i="26"/>
  <c r="U44" i="26" s="1"/>
  <c r="S43" i="26"/>
  <c r="J37" i="41"/>
  <c r="L37" i="41" s="1"/>
  <c r="I37" i="41"/>
  <c r="K37" i="41" s="1"/>
  <c r="BL28" i="26"/>
  <c r="BH28" i="26" s="1"/>
  <c r="BK28" i="26"/>
  <c r="BY27" i="26"/>
  <c r="M44" i="34"/>
  <c r="J45" i="34" s="1"/>
  <c r="N44" i="34"/>
  <c r="L44" i="34"/>
  <c r="K44" i="34" s="1"/>
  <c r="BH27" i="26"/>
  <c r="N43" i="34"/>
  <c r="F38" i="41"/>
  <c r="C38" i="41"/>
  <c r="D38" i="41" s="1"/>
  <c r="BS27" i="26"/>
  <c r="K43" i="34"/>
  <c r="BT27" i="26"/>
  <c r="BU27" i="26"/>
  <c r="BX27" i="26"/>
  <c r="BY28" i="26" l="1"/>
  <c r="BU28" i="26"/>
  <c r="M45" i="34"/>
  <c r="J46" i="34" s="1"/>
  <c r="L45" i="34"/>
  <c r="BW28" i="26"/>
  <c r="BS28" i="26"/>
  <c r="H38" i="41"/>
  <c r="E38" i="41"/>
  <c r="B39" i="41" s="1"/>
  <c r="BI29" i="26"/>
  <c r="BJ29" i="26" s="1"/>
  <c r="BX28" i="26"/>
  <c r="BT28" i="26"/>
  <c r="W44" i="26"/>
  <c r="Y44" i="26" s="1"/>
  <c r="V44" i="26"/>
  <c r="T45" i="26"/>
  <c r="U45" i="26" s="1"/>
  <c r="S44" i="26"/>
  <c r="C39" i="41" l="1"/>
  <c r="F39" i="41"/>
  <c r="J38" i="41"/>
  <c r="L38" i="41" s="1"/>
  <c r="I38" i="41"/>
  <c r="K38" i="41" s="1"/>
  <c r="M46" i="34"/>
  <c r="J47" i="34" s="1"/>
  <c r="N46" i="34"/>
  <c r="L46" i="34"/>
  <c r="K46" i="34" s="1"/>
  <c r="BK29" i="26"/>
  <c r="BW29" i="26" s="1"/>
  <c r="BV29" i="26"/>
  <c r="BL29" i="26"/>
  <c r="BH29" i="26" s="1"/>
  <c r="K45" i="34"/>
  <c r="Y45" i="26"/>
  <c r="W45" i="26"/>
  <c r="V45" i="26"/>
  <c r="T46" i="26"/>
  <c r="U46" i="26" s="1"/>
  <c r="S45" i="26"/>
  <c r="N45" i="34"/>
  <c r="BI30" i="26" l="1"/>
  <c r="BJ30" i="26" s="1"/>
  <c r="BX29" i="26"/>
  <c r="M47" i="34"/>
  <c r="J48" i="34" s="1"/>
  <c r="L47" i="34"/>
  <c r="K47" i="34" s="1"/>
  <c r="T47" i="26"/>
  <c r="U47" i="26" s="1"/>
  <c r="S46" i="26"/>
  <c r="W46" i="26"/>
  <c r="Y46" i="26" s="1"/>
  <c r="V46" i="26"/>
  <c r="BT29" i="26"/>
  <c r="BY29" i="26"/>
  <c r="BS29" i="26"/>
  <c r="BU29" i="26"/>
  <c r="D39" i="41"/>
  <c r="M48" i="34" l="1"/>
  <c r="J49" i="34" s="1"/>
  <c r="L48" i="34"/>
  <c r="N47" i="34"/>
  <c r="E39" i="41"/>
  <c r="B40" i="41" s="1"/>
  <c r="BV30" i="26"/>
  <c r="BL30" i="26"/>
  <c r="BK30" i="26"/>
  <c r="T48" i="26"/>
  <c r="U48" i="26" s="1"/>
  <c r="S47" i="26"/>
  <c r="W47" i="26"/>
  <c r="Y47" i="26" s="1"/>
  <c r="V47" i="26"/>
  <c r="H39" i="41"/>
  <c r="BY30" i="26" l="1"/>
  <c r="BT30" i="26"/>
  <c r="N48" i="34"/>
  <c r="L49" i="34"/>
  <c r="M49" i="34"/>
  <c r="J50" i="34" s="1"/>
  <c r="J39" i="41"/>
  <c r="L39" i="41" s="1"/>
  <c r="I39" i="41"/>
  <c r="K39" i="41" s="1"/>
  <c r="BI31" i="26"/>
  <c r="BJ31" i="26" s="1"/>
  <c r="BH30" i="26"/>
  <c r="BU30" i="26"/>
  <c r="F40" i="41"/>
  <c r="C40" i="41"/>
  <c r="BX30" i="26"/>
  <c r="T49" i="26"/>
  <c r="U49" i="26" s="1"/>
  <c r="S48" i="26"/>
  <c r="W48" i="26"/>
  <c r="Y48" i="26" s="1"/>
  <c r="V48" i="26"/>
  <c r="BS30" i="26"/>
  <c r="BW30" i="26"/>
  <c r="K48" i="34"/>
  <c r="K49" i="34" l="1"/>
  <c r="V49" i="26"/>
  <c r="T50" i="26"/>
  <c r="U50" i="26" s="1"/>
  <c r="S49" i="26"/>
  <c r="W49" i="26"/>
  <c r="Y49" i="26" s="1"/>
  <c r="BK31" i="26"/>
  <c r="BW31" i="26" s="1"/>
  <c r="BV31" i="26"/>
  <c r="BL31" i="26"/>
  <c r="D40" i="41"/>
  <c r="L50" i="34"/>
  <c r="M50" i="34"/>
  <c r="J51" i="34" s="1"/>
  <c r="N49" i="34"/>
  <c r="BU31" i="26" l="1"/>
  <c r="K50" i="34"/>
  <c r="N50" i="34"/>
  <c r="BI32" i="26"/>
  <c r="BJ32" i="26" s="1"/>
  <c r="BK32" i="26" s="1"/>
  <c r="W50" i="26"/>
  <c r="Y50" i="26" s="1"/>
  <c r="V50" i="26"/>
  <c r="T51" i="26"/>
  <c r="U51" i="26" s="1"/>
  <c r="S50" i="26"/>
  <c r="E40" i="41"/>
  <c r="B41" i="41" s="1"/>
  <c r="H40" i="41"/>
  <c r="BS31" i="26"/>
  <c r="BY31" i="26"/>
  <c r="BT31" i="26"/>
  <c r="BH31" i="26"/>
  <c r="L51" i="34"/>
  <c r="M51" i="34"/>
  <c r="J52" i="34" s="1"/>
  <c r="BX31" i="26"/>
  <c r="BL32" i="26" l="1"/>
  <c r="BI33" i="26" s="1"/>
  <c r="BJ33" i="26" s="1"/>
  <c r="BK33" i="26" s="1"/>
  <c r="BV32" i="26"/>
  <c r="BW32" i="26"/>
  <c r="BH32" i="26"/>
  <c r="F41" i="41"/>
  <c r="C41" i="41"/>
  <c r="BT32" i="26"/>
  <c r="BX32" i="26"/>
  <c r="BU32" i="26"/>
  <c r="M52" i="34"/>
  <c r="J53" i="34" s="1"/>
  <c r="L52" i="34"/>
  <c r="BY32" i="26"/>
  <c r="J40" i="41"/>
  <c r="L40" i="41" s="1"/>
  <c r="I40" i="41"/>
  <c r="K40" i="41" s="1"/>
  <c r="N51" i="34"/>
  <c r="K51" i="34"/>
  <c r="W51" i="26"/>
  <c r="Y51" i="26" s="1"/>
  <c r="V51" i="26"/>
  <c r="T52" i="26"/>
  <c r="U52" i="26" s="1"/>
  <c r="S51" i="26"/>
  <c r="BW33" i="26" l="1"/>
  <c r="BL33" i="26"/>
  <c r="BS33" i="26" s="1"/>
  <c r="BT33" i="26"/>
  <c r="BV33" i="26"/>
  <c r="BS32" i="26"/>
  <c r="M53" i="34"/>
  <c r="J54" i="34" s="1"/>
  <c r="L53" i="34"/>
  <c r="BU33" i="26"/>
  <c r="W52" i="26"/>
  <c r="Y52" i="26" s="1"/>
  <c r="V52" i="26"/>
  <c r="T53" i="26"/>
  <c r="U53" i="26" s="1"/>
  <c r="S52" i="26"/>
  <c r="K52" i="34"/>
  <c r="N52" i="34"/>
  <c r="BI34" i="26"/>
  <c r="BJ34" i="26" s="1"/>
  <c r="D41" i="41"/>
  <c r="H41" i="41" s="1"/>
  <c r="BH33" i="26" l="1"/>
  <c r="BY33" i="26"/>
  <c r="BX33" i="26"/>
  <c r="J41" i="41"/>
  <c r="L41" i="41" s="1"/>
  <c r="I41" i="41"/>
  <c r="K41" i="41" s="1"/>
  <c r="M54" i="34"/>
  <c r="J55" i="34" s="1"/>
  <c r="L54" i="34"/>
  <c r="K54" i="34" s="1"/>
  <c r="N54" i="34"/>
  <c r="BV34" i="26"/>
  <c r="BL34" i="26"/>
  <c r="BK34" i="26"/>
  <c r="W53" i="26"/>
  <c r="Y53" i="26" s="1"/>
  <c r="V53" i="26"/>
  <c r="T54" i="26"/>
  <c r="U54" i="26" s="1"/>
  <c r="S53" i="26"/>
  <c r="E41" i="41"/>
  <c r="B42" i="41" s="1"/>
  <c r="K53" i="34"/>
  <c r="N53" i="34"/>
  <c r="BW34" i="26" l="1"/>
  <c r="BS34" i="26"/>
  <c r="F42" i="41"/>
  <c r="C42" i="41"/>
  <c r="D42" i="41" s="1"/>
  <c r="BT34" i="26"/>
  <c r="T55" i="26"/>
  <c r="U55" i="26" s="1"/>
  <c r="S54" i="26"/>
  <c r="W54" i="26"/>
  <c r="Y54" i="26" s="1"/>
  <c r="V54" i="26"/>
  <c r="BX34" i="26"/>
  <c r="BU34" i="26"/>
  <c r="BY34" i="26"/>
  <c r="BI35" i="26"/>
  <c r="BJ35" i="26" s="1"/>
  <c r="BH34" i="26"/>
  <c r="M55" i="34"/>
  <c r="J56" i="34" s="1"/>
  <c r="L55" i="34"/>
  <c r="K55" i="34" s="1"/>
  <c r="M56" i="34" l="1"/>
  <c r="J57" i="34" s="1"/>
  <c r="L56" i="34"/>
  <c r="N55" i="34"/>
  <c r="E42" i="41"/>
  <c r="B43" i="41" s="1"/>
  <c r="BV35" i="26"/>
  <c r="BL35" i="26"/>
  <c r="BK35" i="26"/>
  <c r="BW35" i="26" s="1"/>
  <c r="H42" i="41"/>
  <c r="T56" i="26"/>
  <c r="U56" i="26" s="1"/>
  <c r="S55" i="26"/>
  <c r="W55" i="26"/>
  <c r="Y55" i="26" s="1"/>
  <c r="V55" i="26"/>
  <c r="L57" i="34" l="1"/>
  <c r="M57" i="34"/>
  <c r="J58" i="34" s="1"/>
  <c r="N56" i="34"/>
  <c r="F43" i="41"/>
  <c r="C43" i="41"/>
  <c r="BI36" i="26"/>
  <c r="BJ36" i="26" s="1"/>
  <c r="BH35" i="26"/>
  <c r="BT35" i="26"/>
  <c r="BX35" i="26"/>
  <c r="BS35" i="26"/>
  <c r="BU35" i="26"/>
  <c r="T57" i="26"/>
  <c r="U57" i="26" s="1"/>
  <c r="S56" i="26"/>
  <c r="W56" i="26"/>
  <c r="Y56" i="26" s="1"/>
  <c r="V56" i="26"/>
  <c r="J42" i="41"/>
  <c r="L42" i="41" s="1"/>
  <c r="I42" i="41"/>
  <c r="K42" i="41" s="1"/>
  <c r="BY35" i="26"/>
  <c r="K56" i="34"/>
  <c r="K57" i="34" l="1"/>
  <c r="N57" i="34"/>
  <c r="V57" i="26"/>
  <c r="T58" i="26"/>
  <c r="U58" i="26" s="1"/>
  <c r="S57" i="26"/>
  <c r="W57" i="26"/>
  <c r="Y57" i="26" s="1"/>
  <c r="BW36" i="26"/>
  <c r="BV36" i="26"/>
  <c r="BL36" i="26"/>
  <c r="BK36" i="26"/>
  <c r="D43" i="41"/>
  <c r="L58" i="34"/>
  <c r="M58" i="34"/>
  <c r="J59" i="34" s="1"/>
  <c r="BI37" i="26" l="1"/>
  <c r="BJ37" i="26" s="1"/>
  <c r="BK37" i="26" s="1"/>
  <c r="BS36" i="26"/>
  <c r="W58" i="26"/>
  <c r="Y58" i="26" s="1"/>
  <c r="V58" i="26"/>
  <c r="T59" i="26"/>
  <c r="U59" i="26" s="1"/>
  <c r="S58" i="26"/>
  <c r="N58" i="34"/>
  <c r="E43" i="41"/>
  <c r="B44" i="41" s="1"/>
  <c r="BX36" i="26"/>
  <c r="BV37" i="26"/>
  <c r="BH36" i="26"/>
  <c r="BU36" i="26"/>
  <c r="L59" i="34"/>
  <c r="M59" i="34"/>
  <c r="J60" i="34" s="1"/>
  <c r="K58" i="34"/>
  <c r="BT36" i="26"/>
  <c r="H43" i="41"/>
  <c r="BY36" i="26"/>
  <c r="BL37" i="26" l="1"/>
  <c r="BI38" i="26" s="1"/>
  <c r="BJ38" i="26" s="1"/>
  <c r="BK38" i="26" s="1"/>
  <c r="K59" i="34"/>
  <c r="BT37" i="26"/>
  <c r="BX37" i="26"/>
  <c r="M60" i="34"/>
  <c r="J61" i="34" s="1"/>
  <c r="L60" i="34"/>
  <c r="BH37" i="26"/>
  <c r="BU37" i="26"/>
  <c r="C44" i="41"/>
  <c r="D44" i="41" s="1"/>
  <c r="F44" i="41"/>
  <c r="BY37" i="26"/>
  <c r="J43" i="41"/>
  <c r="L43" i="41" s="1"/>
  <c r="I43" i="41"/>
  <c r="K43" i="41" s="1"/>
  <c r="N59" i="34"/>
  <c r="BS37" i="26"/>
  <c r="BW37" i="26"/>
  <c r="W59" i="26"/>
  <c r="V59" i="26"/>
  <c r="T60" i="26"/>
  <c r="U60" i="26" s="1"/>
  <c r="S59" i="26"/>
  <c r="Y59" i="26"/>
  <c r="K60" i="34" l="1"/>
  <c r="N60" i="34"/>
  <c r="BL38" i="26"/>
  <c r="BV38" i="26"/>
  <c r="BX38" i="26"/>
  <c r="BY38" i="26"/>
  <c r="E44" i="41"/>
  <c r="B45" i="41" s="1"/>
  <c r="BW38" i="26"/>
  <c r="BS38" i="26"/>
  <c r="W60" i="26"/>
  <c r="Y60" i="26" s="1"/>
  <c r="V60" i="26"/>
  <c r="T61" i="26"/>
  <c r="U61" i="26" s="1"/>
  <c r="S60" i="26"/>
  <c r="M61" i="34"/>
  <c r="J62" i="34" s="1"/>
  <c r="L61" i="34"/>
  <c r="BI39" i="26"/>
  <c r="BJ39" i="26" s="1"/>
  <c r="BH38" i="26"/>
  <c r="BT38" i="26"/>
  <c r="BU38" i="26"/>
  <c r="H44" i="41"/>
  <c r="N61" i="34" l="1"/>
  <c r="F45" i="41"/>
  <c r="C45" i="41"/>
  <c r="D45" i="41" s="1"/>
  <c r="J44" i="41"/>
  <c r="L44" i="41" s="1"/>
  <c r="I44" i="41"/>
  <c r="K44" i="41" s="1"/>
  <c r="M62" i="34"/>
  <c r="J63" i="34" s="1"/>
  <c r="N62" i="34"/>
  <c r="L62" i="34"/>
  <c r="K62" i="34" s="1"/>
  <c r="BL39" i="26"/>
  <c r="BK39" i="26"/>
  <c r="BW39" i="26"/>
  <c r="BV39" i="26"/>
  <c r="K61" i="34"/>
  <c r="W61" i="26"/>
  <c r="Y61" i="26" s="1"/>
  <c r="V61" i="26"/>
  <c r="T62" i="26"/>
  <c r="U62" i="26" s="1"/>
  <c r="S61" i="26"/>
  <c r="BI40" i="26" l="1"/>
  <c r="BJ40" i="26" s="1"/>
  <c r="BK40" i="26" s="1"/>
  <c r="BH39" i="26"/>
  <c r="E45" i="41"/>
  <c r="B46" i="41" s="1"/>
  <c r="H45" i="41"/>
  <c r="BT39" i="26"/>
  <c r="T63" i="26"/>
  <c r="U63" i="26" s="1"/>
  <c r="S62" i="26"/>
  <c r="W62" i="26"/>
  <c r="Y62" i="26" s="1"/>
  <c r="V62" i="26"/>
  <c r="BX39" i="26"/>
  <c r="BU39" i="26"/>
  <c r="BY39" i="26"/>
  <c r="N63" i="34"/>
  <c r="M63" i="34"/>
  <c r="J64" i="34" s="1"/>
  <c r="L63" i="34"/>
  <c r="K63" i="34" s="1"/>
  <c r="BS39" i="26"/>
  <c r="BV40" i="26" l="1"/>
  <c r="BW40" i="26"/>
  <c r="BL40" i="26"/>
  <c r="BH40" i="26" s="1"/>
  <c r="S63" i="26"/>
  <c r="W63" i="26"/>
  <c r="Y63" i="26" s="1"/>
  <c r="V63" i="26"/>
  <c r="BT40" i="26"/>
  <c r="BX40" i="26"/>
  <c r="J45" i="41"/>
  <c r="L45" i="41" s="1"/>
  <c r="I45" i="41"/>
  <c r="K45" i="41" s="1"/>
  <c r="BU40" i="26"/>
  <c r="BY40" i="26"/>
  <c r="M64" i="34"/>
  <c r="J65" i="34" s="1"/>
  <c r="L64" i="34"/>
  <c r="F46" i="41"/>
  <c r="C46" i="41"/>
  <c r="D46" i="41" s="1"/>
  <c r="BS40" i="26"/>
  <c r="BI41" i="26" l="1"/>
  <c r="BJ41" i="26" s="1"/>
  <c r="BV41" i="26" s="1"/>
  <c r="K64" i="34"/>
  <c r="N64" i="34"/>
  <c r="L65" i="34"/>
  <c r="M65" i="34"/>
  <c r="J66" i="34" s="1"/>
  <c r="H46" i="41"/>
  <c r="E46" i="41"/>
  <c r="B47" i="41" s="1"/>
  <c r="BL41" i="26" l="1"/>
  <c r="BX41" i="26" s="1"/>
  <c r="BW41" i="26"/>
  <c r="BK41" i="26"/>
  <c r="BT41" i="26" s="1"/>
  <c r="K65" i="34"/>
  <c r="BS41" i="26"/>
  <c r="BY41" i="26"/>
  <c r="BU41" i="26"/>
  <c r="BH41" i="26"/>
  <c r="BR4" i="26"/>
  <c r="CI6" i="26"/>
  <c r="CG6" i="26"/>
  <c r="CH6" i="26"/>
  <c r="CE6" i="26"/>
  <c r="L43" i="9"/>
  <c r="N43" i="9"/>
  <c r="O43" i="9"/>
  <c r="J46" i="41"/>
  <c r="L46" i="41" s="1"/>
  <c r="I46" i="41"/>
  <c r="K46" i="41" s="1"/>
  <c r="L66" i="34"/>
  <c r="M66" i="34"/>
  <c r="J67" i="34" s="1"/>
  <c r="F47" i="41"/>
  <c r="C47" i="41"/>
  <c r="D47" i="41" s="1"/>
  <c r="N65" i="34"/>
  <c r="BI42" i="26" l="1"/>
  <c r="BJ42" i="26" s="1"/>
  <c r="K66" i="34"/>
  <c r="N66" i="34"/>
  <c r="E47" i="41"/>
  <c r="B48" i="41" s="1"/>
  <c r="H47" i="41"/>
  <c r="L67" i="34"/>
  <c r="N67" i="34"/>
  <c r="M67" i="34"/>
  <c r="J68" i="34" s="1"/>
  <c r="U10" i="9"/>
  <c r="BV42" i="26" l="1"/>
  <c r="BL42" i="26"/>
  <c r="BK42" i="26"/>
  <c r="BW42" i="26" s="1"/>
  <c r="K67" i="34"/>
  <c r="AJ10" i="9"/>
  <c r="J47" i="41"/>
  <c r="L47" i="41" s="1"/>
  <c r="I47" i="41"/>
  <c r="K47" i="41" s="1"/>
  <c r="C48" i="41"/>
  <c r="D48" i="41" s="1"/>
  <c r="F48" i="41"/>
  <c r="M68" i="34"/>
  <c r="J69" i="34" s="1"/>
  <c r="N68" i="34"/>
  <c r="L68" i="34"/>
  <c r="K68" i="34" s="1"/>
  <c r="BH42" i="26" l="1"/>
  <c r="BI43" i="26"/>
  <c r="BJ43" i="26" s="1"/>
  <c r="BX42" i="26"/>
  <c r="BU42" i="26"/>
  <c r="BY42" i="26"/>
  <c r="BT42" i="26"/>
  <c r="BS42" i="26"/>
  <c r="E48" i="41"/>
  <c r="B49" i="41" s="1"/>
  <c r="M69" i="34"/>
  <c r="J70" i="34" s="1"/>
  <c r="L69" i="34"/>
  <c r="K69" i="34" s="1"/>
  <c r="AN10" i="9"/>
  <c r="H48" i="41"/>
  <c r="BV43" i="26" l="1"/>
  <c r="BL43" i="26"/>
  <c r="BK43" i="26"/>
  <c r="BY43" i="26"/>
  <c r="BU43" i="26"/>
  <c r="BH43" i="26"/>
  <c r="BW43" i="26"/>
  <c r="BS43" i="26"/>
  <c r="BX43" i="26"/>
  <c r="BT43" i="26"/>
  <c r="N69" i="34"/>
  <c r="F49" i="41"/>
  <c r="C49" i="41"/>
  <c r="D49" i="41" s="1"/>
  <c r="J48" i="41"/>
  <c r="L48" i="41" s="1"/>
  <c r="I48" i="41"/>
  <c r="K48" i="41" s="1"/>
  <c r="M70" i="34"/>
  <c r="J71" i="34" s="1"/>
  <c r="L70" i="34"/>
  <c r="BI44" i="26" l="1"/>
  <c r="BJ44" i="26" s="1"/>
  <c r="E49" i="41"/>
  <c r="B50" i="41" s="1"/>
  <c r="M71" i="34"/>
  <c r="J72" i="34" s="1"/>
  <c r="L71" i="34"/>
  <c r="K70" i="34"/>
  <c r="N70" i="34"/>
  <c r="H49" i="41"/>
  <c r="BW44" i="26" l="1"/>
  <c r="BK44" i="26"/>
  <c r="BL44" i="26"/>
  <c r="BV44" i="26"/>
  <c r="BX44" i="26"/>
  <c r="L72" i="34"/>
  <c r="M72" i="34"/>
  <c r="J73" i="34" s="1"/>
  <c r="N71" i="34"/>
  <c r="C50" i="41"/>
  <c r="F50" i="41"/>
  <c r="J49" i="41"/>
  <c r="L49" i="41" s="1"/>
  <c r="I49" i="41"/>
  <c r="K49" i="41" s="1"/>
  <c r="K71" i="34"/>
  <c r="BS44" i="26" l="1"/>
  <c r="BI45" i="26"/>
  <c r="BJ45" i="26" s="1"/>
  <c r="BY44" i="26"/>
  <c r="K72" i="34"/>
  <c r="BH44" i="26"/>
  <c r="BU44" i="26"/>
  <c r="BT44" i="26"/>
  <c r="L73" i="34"/>
  <c r="M73" i="34"/>
  <c r="J74" i="34" s="1"/>
  <c r="D50" i="41"/>
  <c r="N72" i="34"/>
  <c r="BK45" i="26" l="1"/>
  <c r="BW45" i="26" s="1"/>
  <c r="BV45" i="26"/>
  <c r="BL45" i="26"/>
  <c r="BH45" i="26"/>
  <c r="BY45" i="26"/>
  <c r="K73" i="34"/>
  <c r="E50" i="41"/>
  <c r="B51" i="41" s="1"/>
  <c r="N73" i="34"/>
  <c r="L74" i="34"/>
  <c r="M74" i="34"/>
  <c r="J75" i="34" s="1"/>
  <c r="H50" i="41"/>
  <c r="BT45" i="26" l="1"/>
  <c r="BU45" i="26"/>
  <c r="BX45" i="26"/>
  <c r="BS45" i="26"/>
  <c r="BI46" i="26"/>
  <c r="BJ46" i="26" s="1"/>
  <c r="J50" i="41"/>
  <c r="L50" i="41" s="1"/>
  <c r="I50" i="41"/>
  <c r="K50" i="41" s="1"/>
  <c r="N74" i="34"/>
  <c r="L75" i="34"/>
  <c r="M75" i="34"/>
  <c r="J76" i="34" s="1"/>
  <c r="K74" i="34"/>
  <c r="F51" i="41"/>
  <c r="C51" i="41"/>
  <c r="D51" i="41" s="1"/>
  <c r="BV46" i="26" l="1"/>
  <c r="BL46" i="26"/>
  <c r="BK46" i="26"/>
  <c r="BW46" i="26"/>
  <c r="BU46" i="26"/>
  <c r="BY46" i="26"/>
  <c r="BT46" i="26"/>
  <c r="BX46" i="26"/>
  <c r="BS46" i="26"/>
  <c r="K75" i="34"/>
  <c r="E51" i="41"/>
  <c r="B52" i="41" s="1"/>
  <c r="M76" i="34"/>
  <c r="J77" i="34" s="1"/>
  <c r="N76" i="34"/>
  <c r="L76" i="34"/>
  <c r="K76" i="34" s="1"/>
  <c r="N75" i="34"/>
  <c r="H51" i="41"/>
  <c r="BH46" i="26" l="1"/>
  <c r="BI47" i="26"/>
  <c r="BJ47" i="26" s="1"/>
  <c r="C52" i="41"/>
  <c r="D52" i="41" s="1"/>
  <c r="F52" i="41"/>
  <c r="J51" i="41"/>
  <c r="L51" i="41" s="1"/>
  <c r="I51" i="41"/>
  <c r="K51" i="41" s="1"/>
  <c r="M77" i="34"/>
  <c r="J78" i="34" s="1"/>
  <c r="L77" i="34"/>
  <c r="K77" i="34" s="1"/>
  <c r="N77" i="34"/>
  <c r="BL47" i="26" l="1"/>
  <c r="BW47" i="26"/>
  <c r="BK47" i="26"/>
  <c r="BU47" i="26" s="1"/>
  <c r="BV47" i="26"/>
  <c r="BS47" i="26"/>
  <c r="BT47" i="26"/>
  <c r="BX47" i="26"/>
  <c r="BY47" i="26"/>
  <c r="E52" i="41"/>
  <c r="B53" i="41" s="1"/>
  <c r="M78" i="34"/>
  <c r="J79" i="34" s="1"/>
  <c r="N78" i="34"/>
  <c r="L78" i="34"/>
  <c r="H52" i="41"/>
  <c r="BH47" i="26" l="1"/>
  <c r="BI48" i="26"/>
  <c r="BJ48" i="26" s="1"/>
  <c r="F53" i="41"/>
  <c r="C53" i="41"/>
  <c r="M79" i="34"/>
  <c r="J80" i="34" s="1"/>
  <c r="L79" i="34"/>
  <c r="K79" i="34" s="1"/>
  <c r="J52" i="41"/>
  <c r="L52" i="41" s="1"/>
  <c r="I52" i="41"/>
  <c r="K52" i="41" s="1"/>
  <c r="K78" i="34"/>
  <c r="BK48" i="26" l="1"/>
  <c r="BV48" i="26"/>
  <c r="BL48" i="26"/>
  <c r="BS48" i="26"/>
  <c r="BH48" i="26"/>
  <c r="BX48" i="26"/>
  <c r="BY48" i="26"/>
  <c r="BU48" i="26"/>
  <c r="BT48" i="26"/>
  <c r="M80" i="34"/>
  <c r="J81" i="34" s="1"/>
  <c r="L80" i="34"/>
  <c r="K80" i="34" s="1"/>
  <c r="N79" i="34"/>
  <c r="D53" i="41"/>
  <c r="H53" i="41" s="1"/>
  <c r="BW48" i="26" l="1"/>
  <c r="BI49" i="26"/>
  <c r="BJ49" i="26" s="1"/>
  <c r="J53" i="41"/>
  <c r="L53" i="41" s="1"/>
  <c r="I53" i="41"/>
  <c r="K53" i="41" s="1"/>
  <c r="E53" i="41"/>
  <c r="B54" i="41" s="1"/>
  <c r="L81" i="34"/>
  <c r="M81" i="34"/>
  <c r="J82" i="34" s="1"/>
  <c r="N80" i="34"/>
  <c r="BK49" i="26" l="1"/>
  <c r="BW49" i="26"/>
  <c r="BL49" i="26"/>
  <c r="BI50" i="26" s="1"/>
  <c r="BJ50" i="26" s="1"/>
  <c r="BV49" i="26"/>
  <c r="BY49" i="26"/>
  <c r="BX49" i="26"/>
  <c r="BU49" i="26"/>
  <c r="BH49" i="26"/>
  <c r="BT49" i="26"/>
  <c r="BS49" i="26"/>
  <c r="F54" i="41"/>
  <c r="C54" i="41"/>
  <c r="D54" i="41" s="1"/>
  <c r="L82" i="34"/>
  <c r="M82" i="34"/>
  <c r="J83" i="34" s="1"/>
  <c r="N82" i="34"/>
  <c r="K81" i="34"/>
  <c r="N81" i="34"/>
  <c r="BK50" i="26" l="1"/>
  <c r="BW50" i="26"/>
  <c r="BV50" i="26"/>
  <c r="BL50" i="26"/>
  <c r="E54" i="41"/>
  <c r="B55" i="41" s="1"/>
  <c r="K82" i="34"/>
  <c r="L83" i="34"/>
  <c r="M83" i="34"/>
  <c r="J84" i="34" s="1"/>
  <c r="H54" i="41"/>
  <c r="BX50" i="26" l="1"/>
  <c r="BI51" i="26"/>
  <c r="BJ51" i="26" s="1"/>
  <c r="BT50" i="26"/>
  <c r="BY50" i="26"/>
  <c r="BS50" i="26"/>
  <c r="BH50" i="26"/>
  <c r="BU50" i="26"/>
  <c r="K83" i="34"/>
  <c r="J54" i="41"/>
  <c r="L54" i="41" s="1"/>
  <c r="I54" i="41"/>
  <c r="K54" i="41" s="1"/>
  <c r="M84" i="34"/>
  <c r="J85" i="34" s="1"/>
  <c r="N84" i="34"/>
  <c r="L84" i="34"/>
  <c r="F55" i="41"/>
  <c r="C55" i="41"/>
  <c r="N83" i="34"/>
  <c r="BV51" i="26" l="1"/>
  <c r="BK51" i="26"/>
  <c r="BS51" i="26" s="1"/>
  <c r="BL51" i="26"/>
  <c r="D55" i="41"/>
  <c r="H55" i="41" s="1"/>
  <c r="K84" i="34"/>
  <c r="M85" i="34"/>
  <c r="J86" i="34" s="1"/>
  <c r="L85" i="34"/>
  <c r="K85" i="34" s="1"/>
  <c r="BH51" i="26" l="1"/>
  <c r="BU51" i="26"/>
  <c r="BY51" i="26"/>
  <c r="BI52" i="26"/>
  <c r="BJ52" i="26" s="1"/>
  <c r="BT51" i="26"/>
  <c r="BX51" i="26"/>
  <c r="BW51" i="26"/>
  <c r="J55" i="41"/>
  <c r="L55" i="41" s="1"/>
  <c r="I55" i="41"/>
  <c r="K55" i="41" s="1"/>
  <c r="N85" i="34"/>
  <c r="M86" i="34"/>
  <c r="J87" i="34" s="1"/>
  <c r="N86" i="34"/>
  <c r="L86" i="34"/>
  <c r="E55" i="41"/>
  <c r="B56" i="41" s="1"/>
  <c r="BL52" i="26" l="1"/>
  <c r="BI53" i="26" s="1"/>
  <c r="BJ53" i="26" s="1"/>
  <c r="BV52" i="26"/>
  <c r="BK52" i="26"/>
  <c r="BW52" i="26" s="1"/>
  <c r="BY52" i="26"/>
  <c r="BT52" i="26"/>
  <c r="BH52" i="26"/>
  <c r="BU52" i="26"/>
  <c r="BS52" i="26"/>
  <c r="BX52" i="26"/>
  <c r="K86" i="34"/>
  <c r="F56" i="41"/>
  <c r="C56" i="41"/>
  <c r="D56" i="41" s="1"/>
  <c r="M87" i="34"/>
  <c r="J88" i="34" s="1"/>
  <c r="L87" i="34"/>
  <c r="BW53" i="26" l="1"/>
  <c r="BK53" i="26"/>
  <c r="BL53" i="26"/>
  <c r="BV53" i="26"/>
  <c r="K87" i="34"/>
  <c r="BS53" i="26"/>
  <c r="BH53" i="26"/>
  <c r="M88" i="34"/>
  <c r="J89" i="34" s="1"/>
  <c r="L88" i="34"/>
  <c r="K88" i="34" s="1"/>
  <c r="N87" i="34"/>
  <c r="BX53" i="26"/>
  <c r="BU53" i="26"/>
  <c r="BI54" i="26"/>
  <c r="BJ54" i="26" s="1"/>
  <c r="BT53" i="26"/>
  <c r="H56" i="41"/>
  <c r="BY53" i="26"/>
  <c r="E56" i="41"/>
  <c r="B57" i="41" s="1"/>
  <c r="F57" i="41" l="1"/>
  <c r="C57" i="41"/>
  <c r="D57" i="41" s="1"/>
  <c r="J56" i="41"/>
  <c r="L56" i="41" s="1"/>
  <c r="I56" i="41"/>
  <c r="K56" i="41" s="1"/>
  <c r="L89" i="34"/>
  <c r="K89" i="34" s="1"/>
  <c r="M89" i="34"/>
  <c r="J90" i="34" s="1"/>
  <c r="N88" i="34"/>
  <c r="BK54" i="26"/>
  <c r="BW54" i="26" s="1"/>
  <c r="BV54" i="26"/>
  <c r="BL54" i="26"/>
  <c r="BI55" i="26" l="1"/>
  <c r="BJ55" i="26" s="1"/>
  <c r="BT54" i="26"/>
  <c r="BU54" i="26"/>
  <c r="BX54" i="26"/>
  <c r="BY54" i="26"/>
  <c r="E57" i="41"/>
  <c r="B58" i="41" s="1"/>
  <c r="L90" i="34"/>
  <c r="M90" i="34"/>
  <c r="J91" i="34" s="1"/>
  <c r="N89" i="34"/>
  <c r="BS54" i="26"/>
  <c r="BL55" i="26"/>
  <c r="BK55" i="26"/>
  <c r="BS55" i="26" s="1"/>
  <c r="BV55" i="26"/>
  <c r="BH54" i="26"/>
  <c r="H57" i="41"/>
  <c r="BU55" i="26" l="1"/>
  <c r="K90" i="34"/>
  <c r="BY55" i="26"/>
  <c r="BH55" i="26"/>
  <c r="N90" i="34"/>
  <c r="BX55" i="26"/>
  <c r="BW55" i="26"/>
  <c r="BT55" i="26"/>
  <c r="F58" i="41"/>
  <c r="C58" i="41"/>
  <c r="J57" i="41"/>
  <c r="L57" i="41" s="1"/>
  <c r="I57" i="41"/>
  <c r="K57" i="41" s="1"/>
  <c r="BI56" i="26"/>
  <c r="BJ56" i="26" s="1"/>
  <c r="L91" i="34"/>
  <c r="M91" i="34"/>
  <c r="J92" i="34" s="1"/>
  <c r="K91" i="34" l="1"/>
  <c r="N91" i="34"/>
  <c r="BL56" i="26"/>
  <c r="BK56" i="26"/>
  <c r="BW56" i="26"/>
  <c r="BV56" i="26"/>
  <c r="D58" i="41"/>
  <c r="H58" i="41" s="1"/>
  <c r="M92" i="34"/>
  <c r="J93" i="34" s="1"/>
  <c r="L92" i="34"/>
  <c r="N92" i="34" l="1"/>
  <c r="K92" i="34"/>
  <c r="BY56" i="26"/>
  <c r="BS56" i="26"/>
  <c r="BI57" i="26"/>
  <c r="BJ57" i="26" s="1"/>
  <c r="BH56" i="26"/>
  <c r="BT56" i="26"/>
  <c r="E58" i="41"/>
  <c r="B59" i="41" s="1"/>
  <c r="J58" i="41"/>
  <c r="L58" i="41" s="1"/>
  <c r="I58" i="41"/>
  <c r="K58" i="41" s="1"/>
  <c r="M93" i="34"/>
  <c r="J94" i="34" s="1"/>
  <c r="N93" i="34"/>
  <c r="L93" i="34"/>
  <c r="BX56" i="26"/>
  <c r="BU56" i="26"/>
  <c r="BV57" i="26" l="1"/>
  <c r="BL57" i="26"/>
  <c r="BK57" i="26"/>
  <c r="BW57" i="26"/>
  <c r="K93" i="34"/>
  <c r="M94" i="34"/>
  <c r="J95" i="34" s="1"/>
  <c r="L94" i="34"/>
  <c r="K94" i="34" s="1"/>
  <c r="F59" i="41"/>
  <c r="C59" i="41"/>
  <c r="N94" i="34" l="1"/>
  <c r="BS57" i="26"/>
  <c r="BI58" i="26"/>
  <c r="BJ58" i="26" s="1"/>
  <c r="BH57" i="26"/>
  <c r="BT57" i="26"/>
  <c r="BX57" i="26"/>
  <c r="BU57" i="26"/>
  <c r="D59" i="41"/>
  <c r="L95" i="34"/>
  <c r="M95" i="34"/>
  <c r="J96" i="34" s="1"/>
  <c r="BY57" i="26"/>
  <c r="M96" i="34" l="1"/>
  <c r="J97" i="34" s="1"/>
  <c r="L96" i="34"/>
  <c r="K96" i="34" s="1"/>
  <c r="K95" i="34"/>
  <c r="N95" i="34"/>
  <c r="E59" i="41"/>
  <c r="B60" i="41" s="1"/>
  <c r="H59" i="41"/>
  <c r="BW58" i="26"/>
  <c r="BV58" i="26"/>
  <c r="BL58" i="26"/>
  <c r="BK58" i="26"/>
  <c r="C60" i="41" l="1"/>
  <c r="D60" i="41" s="1"/>
  <c r="F60" i="41"/>
  <c r="BI59" i="26"/>
  <c r="BJ59" i="26" s="1"/>
  <c r="J59" i="41"/>
  <c r="L59" i="41" s="1"/>
  <c r="I59" i="41"/>
  <c r="K59" i="41" s="1"/>
  <c r="BS58" i="26"/>
  <c r="L97" i="34"/>
  <c r="M97" i="34"/>
  <c r="J98" i="34" s="1"/>
  <c r="BY58" i="26"/>
  <c r="BH58" i="26"/>
  <c r="BT58" i="26"/>
  <c r="BX58" i="26"/>
  <c r="BU58" i="26"/>
  <c r="N96" i="34"/>
  <c r="E60" i="41" l="1"/>
  <c r="B61" i="41" s="1"/>
  <c r="BW59" i="26"/>
  <c r="BV59" i="26"/>
  <c r="BL59" i="26"/>
  <c r="BK59" i="26"/>
  <c r="BS59" i="26" s="1"/>
  <c r="K97" i="34"/>
  <c r="L98" i="34"/>
  <c r="K98" i="34" s="1"/>
  <c r="M98" i="34"/>
  <c r="J99" i="34" s="1"/>
  <c r="N97" i="34"/>
  <c r="H60" i="41"/>
  <c r="N98" i="34" l="1"/>
  <c r="BT59" i="26"/>
  <c r="J60" i="41"/>
  <c r="L60" i="41" s="1"/>
  <c r="I60" i="41"/>
  <c r="K60" i="41" s="1"/>
  <c r="BX59" i="26"/>
  <c r="BU59" i="26"/>
  <c r="F61" i="41"/>
  <c r="C61" i="41"/>
  <c r="D61" i="41" s="1"/>
  <c r="BY59" i="26"/>
  <c r="L99" i="34"/>
  <c r="M99" i="34"/>
  <c r="J100" i="34" s="1"/>
  <c r="BI60" i="26"/>
  <c r="BJ60" i="26" s="1"/>
  <c r="BH59" i="26"/>
  <c r="M100" i="34" l="1"/>
  <c r="J101" i="34" s="1"/>
  <c r="L100" i="34"/>
  <c r="K99" i="34"/>
  <c r="BV60" i="26"/>
  <c r="BL60" i="26"/>
  <c r="BK60" i="26"/>
  <c r="H61" i="41"/>
  <c r="E61" i="41"/>
  <c r="B62" i="41" s="1"/>
  <c r="N99" i="34"/>
  <c r="N100" i="34" l="1"/>
  <c r="K100" i="34"/>
  <c r="BS60" i="26"/>
  <c r="BW60" i="26"/>
  <c r="F62" i="41"/>
  <c r="C62" i="41"/>
  <c r="D62" i="41" s="1"/>
  <c r="BX60" i="26"/>
  <c r="BU60" i="26"/>
  <c r="J61" i="41"/>
  <c r="L61" i="41" s="1"/>
  <c r="I61" i="41"/>
  <c r="K61" i="41" s="1"/>
  <c r="BY60" i="26"/>
  <c r="BI61" i="26"/>
  <c r="BJ61" i="26" s="1"/>
  <c r="BH60" i="26"/>
  <c r="BT60" i="26"/>
  <c r="M101" i="34"/>
  <c r="J102" i="34" s="1"/>
  <c r="L101" i="34"/>
  <c r="E107" i="50"/>
  <c r="AF16" i="50"/>
  <c r="Y220" i="50"/>
  <c r="E113" i="50"/>
  <c r="D95" i="50"/>
  <c r="DP223" i="50"/>
  <c r="DP202" i="50"/>
  <c r="CO152" i="50"/>
  <c r="L79" i="50"/>
  <c r="BI86" i="50"/>
  <c r="AN81" i="50"/>
  <c r="CQ96" i="50"/>
  <c r="AI145" i="50"/>
  <c r="AF218" i="50"/>
  <c r="K122" i="50"/>
  <c r="CQ122" i="50"/>
  <c r="AB90" i="50"/>
  <c r="EQ131" i="50"/>
  <c r="M220" i="50"/>
  <c r="ED109" i="50"/>
  <c r="BJ199" i="50"/>
  <c r="C82" i="50"/>
  <c r="AD103" i="50"/>
  <c r="AJ145" i="50"/>
  <c r="P118" i="50"/>
  <c r="BK145" i="50"/>
  <c r="AO107" i="50"/>
  <c r="S202" i="50"/>
  <c r="DN218" i="50"/>
  <c r="BA118" i="50"/>
  <c r="AP97" i="50"/>
  <c r="H82" i="50"/>
  <c r="AC203" i="50"/>
  <c r="AD18" i="50"/>
  <c r="AR220" i="50"/>
  <c r="DM82" i="50"/>
  <c r="Q116" i="50"/>
  <c r="L94" i="50"/>
  <c r="AU166" i="50"/>
  <c r="EA187" i="50"/>
  <c r="CS82" i="50"/>
  <c r="DO167" i="50"/>
  <c r="AL185" i="50"/>
  <c r="E166" i="50"/>
  <c r="CC125" i="50"/>
  <c r="AQ105" i="50"/>
  <c r="EA110" i="50"/>
  <c r="BZ92" i="50"/>
  <c r="BB204" i="50"/>
  <c r="AR151" i="50"/>
  <c r="ES120" i="50"/>
  <c r="AO102" i="50"/>
  <c r="BA103" i="50"/>
  <c r="AR136" i="50"/>
  <c r="AR202" i="50"/>
  <c r="AH116" i="50"/>
  <c r="EW149" i="50"/>
  <c r="R204" i="50"/>
  <c r="BH98" i="50"/>
  <c r="AG121" i="50"/>
  <c r="D135" i="50"/>
  <c r="EV199" i="50"/>
  <c r="AM122" i="50"/>
  <c r="E103" i="50"/>
  <c r="ET201" i="50"/>
  <c r="BD186" i="50"/>
  <c r="ER94" i="50"/>
  <c r="AP89" i="50"/>
  <c r="BI136" i="50"/>
  <c r="U106" i="50"/>
  <c r="AY79" i="50"/>
  <c r="BA114" i="50"/>
  <c r="Q203" i="50"/>
  <c r="V81" i="50"/>
  <c r="CO104" i="50"/>
  <c r="DL137" i="50"/>
  <c r="BC102" i="50"/>
  <c r="DJ136" i="50"/>
  <c r="G185" i="50"/>
  <c r="G202" i="50"/>
  <c r="CT112" i="50"/>
  <c r="BP204" i="50"/>
  <c r="AN78" i="50"/>
  <c r="DL74" i="50"/>
  <c r="AN74" i="50"/>
  <c r="X82" i="50"/>
  <c r="BN89" i="50"/>
  <c r="AX79" i="50"/>
  <c r="DY86" i="50"/>
  <c r="BF199" i="50"/>
  <c r="EU78" i="50"/>
  <c r="EB83" i="50"/>
  <c r="CB204" i="50"/>
  <c r="H131" i="50"/>
  <c r="I148" i="50"/>
  <c r="BI204" i="50"/>
  <c r="S42" i="50"/>
  <c r="AV134" i="50"/>
  <c r="J96" i="50"/>
  <c r="BW147" i="50"/>
  <c r="AJ75" i="50"/>
  <c r="AW132" i="50"/>
  <c r="L204" i="50"/>
  <c r="EW80" i="50"/>
  <c r="T199" i="50"/>
  <c r="CC118" i="50"/>
  <c r="DP135" i="50"/>
  <c r="AU107" i="50"/>
  <c r="CV146" i="50"/>
  <c r="CE138" i="50"/>
  <c r="U56" i="50"/>
  <c r="EQ146" i="50"/>
  <c r="BD115" i="50"/>
  <c r="I83" i="50"/>
  <c r="EV152" i="50"/>
  <c r="AK190" i="50"/>
  <c r="AE119" i="50"/>
  <c r="BC202" i="50"/>
  <c r="BZ78" i="50"/>
  <c r="W204" i="50"/>
  <c r="ET103" i="50"/>
  <c r="U220" i="50"/>
  <c r="G21" i="50"/>
  <c r="CC201" i="50"/>
  <c r="AF189" i="50"/>
  <c r="G133" i="50"/>
  <c r="AW218" i="50"/>
  <c r="AT132" i="50"/>
  <c r="ET202" i="50"/>
  <c r="CA220" i="50"/>
  <c r="AZ80" i="50"/>
  <c r="AL23" i="50"/>
  <c r="AE44" i="50"/>
  <c r="AG101" i="50"/>
  <c r="AJ122" i="50"/>
  <c r="AM107" i="50"/>
  <c r="W96" i="50"/>
  <c r="X165" i="50"/>
  <c r="DP151" i="50"/>
  <c r="T42" i="50"/>
  <c r="DK127" i="50"/>
  <c r="CA115" i="50"/>
  <c r="ET145" i="50"/>
  <c r="J21" i="50"/>
  <c r="EA204" i="50"/>
  <c r="O101" i="50"/>
  <c r="E31" i="50"/>
  <c r="EC204" i="50"/>
  <c r="BB107" i="50"/>
  <c r="CP102" i="50"/>
  <c r="ES146" i="50"/>
  <c r="CR134" i="50"/>
  <c r="BY107" i="50"/>
  <c r="CA94" i="50"/>
  <c r="DR116" i="50"/>
  <c r="BY78" i="50"/>
  <c r="EW116" i="50"/>
  <c r="V96" i="50"/>
  <c r="DN118" i="50"/>
  <c r="BL131" i="50"/>
  <c r="AM94" i="50"/>
  <c r="X123" i="50"/>
  <c r="E118" i="50"/>
  <c r="F34" i="50"/>
  <c r="G79" i="50"/>
  <c r="BX82" i="50"/>
  <c r="AQ137" i="50"/>
  <c r="BN107" i="50"/>
  <c r="DZ74" i="50"/>
  <c r="CV106" i="50"/>
  <c r="BJ127" i="50"/>
  <c r="AY108" i="50"/>
  <c r="BX187" i="50"/>
  <c r="AN77" i="50"/>
  <c r="BK202" i="50"/>
  <c r="BX96" i="50"/>
  <c r="ET146" i="50"/>
  <c r="V123" i="50"/>
  <c r="W186" i="50"/>
  <c r="E88" i="50"/>
  <c r="EV114" i="50"/>
  <c r="AZ134" i="50"/>
  <c r="AX94" i="50"/>
  <c r="DY108" i="50"/>
  <c r="DJ75" i="50"/>
  <c r="AV218" i="50"/>
  <c r="EE93" i="50"/>
  <c r="DQ200" i="50"/>
  <c r="X185" i="50"/>
  <c r="C146" i="50"/>
  <c r="BX204" i="50"/>
  <c r="EC94" i="50"/>
  <c r="AH104" i="50"/>
  <c r="AE82" i="50"/>
  <c r="DO117" i="50"/>
  <c r="I85" i="50"/>
  <c r="BY199" i="50"/>
  <c r="AY78" i="50"/>
  <c r="AZ187" i="50"/>
  <c r="BL108" i="50"/>
  <c r="CV87" i="50"/>
  <c r="E16" i="50"/>
  <c r="EA84" i="50"/>
  <c r="Z93" i="50"/>
  <c r="DL223" i="50"/>
  <c r="Y111" i="50"/>
  <c r="F17" i="50"/>
  <c r="F115" i="50"/>
  <c r="AG202" i="50"/>
  <c r="X24" i="50"/>
  <c r="AD92" i="50"/>
  <c r="DJ82" i="50"/>
  <c r="EC146" i="50"/>
  <c r="AR126" i="50"/>
  <c r="Y185" i="50"/>
  <c r="AO104" i="50"/>
  <c r="U101" i="50"/>
  <c r="CO116" i="50"/>
  <c r="BI166" i="50"/>
  <c r="DO204" i="50"/>
  <c r="J134" i="50"/>
  <c r="X134" i="50"/>
  <c r="AJ187" i="50"/>
  <c r="AR118" i="50"/>
  <c r="DS205" i="50"/>
  <c r="Y106" i="50"/>
  <c r="BZ201" i="50"/>
  <c r="DN110" i="50"/>
  <c r="AB77" i="50"/>
  <c r="EQ78" i="50"/>
  <c r="K93" i="50"/>
  <c r="CS116" i="50"/>
  <c r="L188" i="50"/>
  <c r="CT222" i="50"/>
  <c r="CQ165" i="50"/>
  <c r="AY202" i="50"/>
  <c r="BK119" i="50"/>
  <c r="DP201" i="50"/>
  <c r="DY117" i="50"/>
  <c r="I17" i="50"/>
  <c r="AH108" i="50"/>
  <c r="CP74" i="50"/>
  <c r="DP221" i="50"/>
  <c r="EU188" i="50"/>
  <c r="CC78" i="50"/>
  <c r="M24" i="50"/>
  <c r="CO145" i="50"/>
  <c r="BO87" i="50"/>
  <c r="O75" i="50"/>
  <c r="BB219" i="50"/>
  <c r="AC82" i="50"/>
  <c r="S85" i="50"/>
  <c r="AX74" i="50"/>
  <c r="EE185" i="50"/>
  <c r="DK202" i="50"/>
  <c r="DL107" i="50"/>
  <c r="DO115" i="50"/>
  <c r="Z46" i="50"/>
  <c r="CA138" i="50"/>
  <c r="AW115" i="50"/>
  <c r="BK163" i="50"/>
  <c r="R102" i="50"/>
  <c r="J75" i="50"/>
  <c r="AN165" i="50"/>
  <c r="H133" i="50"/>
  <c r="AS73" i="50"/>
  <c r="AP116" i="50"/>
  <c r="AE117" i="50"/>
  <c r="Z91" i="50"/>
  <c r="CB90" i="50"/>
  <c r="AL166" i="50"/>
  <c r="CO86" i="50"/>
  <c r="AH92" i="50"/>
  <c r="EV190" i="50"/>
  <c r="BW220" i="50"/>
  <c r="H122" i="50"/>
  <c r="AM134" i="50"/>
  <c r="AO135" i="50"/>
  <c r="CU112" i="50"/>
  <c r="CT189" i="50"/>
  <c r="ET134" i="50"/>
  <c r="CC135" i="50"/>
  <c r="H199" i="50"/>
  <c r="AN204" i="50"/>
  <c r="AM124" i="50"/>
  <c r="M107" i="50"/>
  <c r="AD48" i="50"/>
  <c r="CA97" i="50"/>
  <c r="EA99" i="50"/>
  <c r="CS204" i="50"/>
  <c r="K91" i="50"/>
  <c r="EF217" i="50"/>
  <c r="ED79" i="50"/>
  <c r="BX107" i="50"/>
  <c r="AD30" i="50"/>
  <c r="DM118" i="50"/>
  <c r="AE78" i="50"/>
  <c r="AE126" i="50"/>
  <c r="AK186" i="50"/>
  <c r="U131" i="50"/>
  <c r="BJ76" i="50"/>
  <c r="DY107" i="50"/>
  <c r="CC192" i="50"/>
  <c r="AO148" i="50"/>
  <c r="R92" i="50"/>
  <c r="AX78" i="50"/>
  <c r="S104" i="50"/>
  <c r="ED204" i="50"/>
  <c r="P166" i="50"/>
  <c r="ET138" i="50"/>
  <c r="ED95" i="50"/>
  <c r="E15" i="50"/>
  <c r="BA111" i="50"/>
  <c r="BY167" i="50"/>
  <c r="BQ218" i="50"/>
  <c r="AQ146" i="50"/>
  <c r="BA122" i="50"/>
  <c r="ED201" i="50"/>
  <c r="L217" i="50"/>
  <c r="AA53" i="50"/>
  <c r="AB184" i="50"/>
  <c r="ED83" i="50"/>
  <c r="AH101" i="50"/>
  <c r="Q165" i="50"/>
  <c r="BJ85" i="50"/>
  <c r="U120" i="50"/>
  <c r="BN189" i="50"/>
  <c r="AG136" i="50"/>
  <c r="T51" i="50"/>
  <c r="DN151" i="50"/>
  <c r="CT190" i="50"/>
  <c r="BM167" i="50"/>
  <c r="AL131" i="50"/>
  <c r="F185" i="50"/>
  <c r="G124" i="50"/>
  <c r="CC109" i="50"/>
  <c r="EA75" i="50"/>
  <c r="CR147" i="50"/>
  <c r="CB117" i="50"/>
  <c r="CV75" i="50"/>
  <c r="AS78" i="50"/>
  <c r="R119" i="50"/>
  <c r="Y187" i="50"/>
  <c r="Z185" i="50"/>
  <c r="DL85" i="50"/>
  <c r="AA220" i="50"/>
  <c r="AK122" i="50"/>
  <c r="H19" i="50"/>
  <c r="M94" i="50"/>
  <c r="EG104" i="50"/>
  <c r="BQ83" i="50"/>
  <c r="AJ166" i="50"/>
  <c r="BI118" i="50"/>
  <c r="AR103" i="50"/>
  <c r="DN136" i="50"/>
  <c r="CR218" i="50"/>
  <c r="S166" i="50"/>
  <c r="AO138" i="50"/>
  <c r="R42" i="50"/>
  <c r="AI75" i="50"/>
  <c r="AK109" i="50"/>
  <c r="AN145" i="50"/>
  <c r="P199" i="50"/>
  <c r="BX75" i="50"/>
  <c r="BQ138" i="50"/>
  <c r="S58" i="50"/>
  <c r="AQ220" i="50"/>
  <c r="BC103" i="50"/>
  <c r="Z86" i="50"/>
  <c r="ED78" i="50"/>
  <c r="U75" i="50"/>
  <c r="U167" i="50"/>
  <c r="AI88" i="50"/>
  <c r="EQ184" i="50"/>
  <c r="DZ203" i="50"/>
  <c r="L74" i="50"/>
  <c r="L134" i="50"/>
  <c r="BM81" i="50"/>
  <c r="U16" i="50"/>
  <c r="AI95" i="50"/>
  <c r="CB132" i="50"/>
  <c r="AB201" i="50"/>
  <c r="ED145" i="50"/>
  <c r="CO106" i="50"/>
  <c r="I74" i="50"/>
  <c r="G24" i="50"/>
  <c r="BD200" i="50"/>
  <c r="P108" i="50"/>
  <c r="AD94" i="50"/>
  <c r="W190" i="50"/>
  <c r="CS145" i="50"/>
  <c r="G19" i="50"/>
  <c r="CR131" i="50"/>
  <c r="J76" i="50"/>
  <c r="M86" i="50"/>
  <c r="CO218" i="50"/>
  <c r="CP185" i="50"/>
  <c r="N112" i="50"/>
  <c r="AR79" i="50"/>
  <c r="EQ122" i="50"/>
  <c r="K185" i="50"/>
  <c r="R86" i="50"/>
  <c r="BF127" i="50"/>
  <c r="ET91" i="50"/>
  <c r="Y120" i="50"/>
  <c r="AO221" i="50"/>
  <c r="BX164" i="50"/>
  <c r="EC81" i="50"/>
  <c r="CO204" i="50"/>
  <c r="CT131" i="50"/>
  <c r="I111" i="50"/>
  <c r="CP111" i="50"/>
  <c r="DK220" i="50"/>
  <c r="EV93" i="50"/>
  <c r="BK99" i="50"/>
  <c r="CP104" i="50"/>
  <c r="E84" i="50"/>
  <c r="AL117" i="50"/>
  <c r="BL217" i="50"/>
  <c r="BH106" i="50"/>
  <c r="BD147" i="50"/>
  <c r="DO199" i="50"/>
  <c r="EG116" i="50"/>
  <c r="CO108" i="50"/>
  <c r="T80" i="50"/>
  <c r="BI79" i="50"/>
  <c r="EQ109" i="50"/>
  <c r="CQ107" i="50"/>
  <c r="BA99" i="50"/>
  <c r="CC200" i="50"/>
  <c r="ET204" i="50"/>
  <c r="EW148" i="50"/>
  <c r="AA148" i="50"/>
  <c r="S146" i="50"/>
  <c r="BJ220" i="50"/>
  <c r="ET220" i="50"/>
  <c r="F117" i="50"/>
  <c r="X114" i="50"/>
  <c r="F124" i="50"/>
  <c r="DP120" i="50"/>
  <c r="I80" i="50"/>
  <c r="EE100" i="50"/>
  <c r="AL191" i="50"/>
  <c r="AR199" i="50"/>
  <c r="BD145" i="50"/>
  <c r="ER87" i="50"/>
  <c r="CQ134" i="50"/>
  <c r="BN115" i="50"/>
  <c r="G86" i="50"/>
  <c r="W94" i="50"/>
  <c r="EV135" i="50"/>
  <c r="BX145" i="50"/>
  <c r="BK118" i="50"/>
  <c r="AC134" i="50"/>
  <c r="DM136" i="50"/>
  <c r="AM89" i="50"/>
  <c r="AM205" i="50"/>
  <c r="AC94" i="50"/>
  <c r="BA130" i="50"/>
  <c r="BX105" i="50"/>
  <c r="J19" i="50"/>
  <c r="AR134" i="50"/>
  <c r="AK92" i="50"/>
  <c r="BB120" i="50"/>
  <c r="EV92" i="50"/>
  <c r="BE104" i="50"/>
  <c r="AS148" i="50"/>
  <c r="V191" i="50"/>
  <c r="AK187" i="50"/>
  <c r="O102" i="50"/>
  <c r="U44" i="50"/>
  <c r="J94" i="50"/>
  <c r="H97" i="50"/>
  <c r="AX111" i="50"/>
  <c r="Y204" i="50"/>
  <c r="BW199" i="50"/>
  <c r="EV122" i="50"/>
  <c r="DM134" i="50"/>
  <c r="T57" i="50"/>
  <c r="AG120" i="50"/>
  <c r="BW97" i="50"/>
  <c r="AB78" i="50"/>
  <c r="EC102" i="50"/>
  <c r="V24" i="50"/>
  <c r="BD199" i="50"/>
  <c r="AS93" i="50"/>
  <c r="C167" i="50"/>
  <c r="EV102" i="50"/>
  <c r="Q106" i="50"/>
  <c r="G126" i="50"/>
  <c r="C136" i="50"/>
  <c r="O96" i="50"/>
  <c r="BL202" i="50"/>
  <c r="AX89" i="50"/>
  <c r="BY75" i="50"/>
  <c r="AZ131" i="50"/>
  <c r="BN104" i="50"/>
  <c r="T106" i="50"/>
  <c r="BH221" i="50"/>
  <c r="EU189" i="50"/>
  <c r="BJ91" i="50"/>
  <c r="BA217" i="50"/>
  <c r="EU108" i="50"/>
  <c r="AE218" i="50"/>
  <c r="DP86" i="50"/>
  <c r="ER204" i="50"/>
  <c r="DY101" i="50"/>
  <c r="ER106" i="50"/>
  <c r="W49" i="50"/>
  <c r="Q134" i="50"/>
  <c r="AJ24" i="50"/>
  <c r="AF23" i="50"/>
  <c r="C24" i="50"/>
  <c r="CR136" i="50"/>
  <c r="D149" i="50"/>
  <c r="T34" i="50"/>
  <c r="DK150" i="50"/>
  <c r="EV80" i="50"/>
  <c r="AS202" i="50"/>
  <c r="D106" i="50"/>
  <c r="AY113" i="50"/>
  <c r="W166" i="50"/>
  <c r="H146" i="50"/>
  <c r="BY120" i="50"/>
  <c r="CP221" i="50"/>
  <c r="DZ185" i="50"/>
  <c r="EU102" i="50"/>
  <c r="CB84" i="50"/>
  <c r="AK75" i="50"/>
  <c r="AS115" i="50"/>
  <c r="AK112" i="50"/>
  <c r="L19" i="50"/>
  <c r="BD92" i="50"/>
  <c r="AB109" i="50"/>
  <c r="T219" i="50"/>
  <c r="N111" i="50"/>
  <c r="U85" i="50"/>
  <c r="BK117" i="50"/>
  <c r="DY127" i="50"/>
  <c r="BD114" i="50"/>
  <c r="CB107" i="50"/>
  <c r="BI187" i="50"/>
  <c r="DO103" i="50"/>
  <c r="U58" i="50"/>
  <c r="CS85" i="50"/>
  <c r="DY75" i="50"/>
  <c r="BD104" i="50"/>
  <c r="AQ118" i="50"/>
  <c r="BZ134" i="50"/>
  <c r="P85" i="50"/>
  <c r="S45" i="50"/>
  <c r="CS199" i="50"/>
  <c r="CT75" i="50"/>
  <c r="AX109" i="50"/>
  <c r="AR107" i="50"/>
  <c r="N223" i="50"/>
  <c r="AA130" i="50"/>
  <c r="BD109" i="50"/>
  <c r="BX97" i="50"/>
  <c r="D24" i="50"/>
  <c r="CC199" i="50"/>
  <c r="AX85" i="50"/>
  <c r="CT101" i="50"/>
  <c r="AN133" i="50"/>
  <c r="EB74" i="50"/>
  <c r="AT164" i="50"/>
  <c r="AL94" i="50"/>
  <c r="EE124" i="50"/>
  <c r="AC187" i="50"/>
  <c r="M185" i="50"/>
  <c r="U74" i="50"/>
  <c r="BB104" i="50"/>
  <c r="N192" i="50"/>
  <c r="AA73" i="50"/>
  <c r="CO82" i="50"/>
  <c r="AM146" i="50"/>
  <c r="BN145" i="50"/>
  <c r="ES115" i="50"/>
  <c r="CB115" i="50"/>
  <c r="ED151" i="50"/>
  <c r="BJ145" i="50"/>
  <c r="C96" i="50"/>
  <c r="DZ202" i="50"/>
  <c r="AK166" i="50"/>
  <c r="U130" i="50"/>
  <c r="BH201" i="50"/>
  <c r="AN119" i="50"/>
  <c r="R21" i="50"/>
  <c r="BF200" i="50"/>
  <c r="AK108" i="50"/>
  <c r="BH82" i="50"/>
  <c r="T108" i="50"/>
  <c r="Y26" i="50"/>
  <c r="AV201" i="50"/>
  <c r="CB186" i="50"/>
  <c r="AH21" i="50"/>
  <c r="CD151" i="50"/>
  <c r="AJ124" i="50"/>
  <c r="AT163" i="50"/>
  <c r="CP75" i="50"/>
  <c r="DJ102" i="50"/>
  <c r="DN134" i="50"/>
  <c r="ET85" i="50"/>
  <c r="BM78" i="50"/>
  <c r="I90" i="50"/>
  <c r="AS134" i="50"/>
  <c r="ER103" i="50"/>
  <c r="AT117" i="50"/>
  <c r="AN111" i="50"/>
  <c r="CT97" i="50"/>
  <c r="BY83" i="50"/>
  <c r="AK220" i="50"/>
  <c r="EV120" i="50"/>
  <c r="X74" i="50"/>
  <c r="BJ103" i="50"/>
  <c r="S28" i="50"/>
  <c r="BK94" i="50"/>
  <c r="N145" i="50"/>
  <c r="ER82" i="50"/>
  <c r="AX188" i="50"/>
  <c r="DO136" i="50"/>
  <c r="BL81" i="50"/>
  <c r="ES135" i="50"/>
  <c r="EV104" i="50"/>
  <c r="M111" i="50"/>
  <c r="AR116" i="50"/>
  <c r="CA118" i="50"/>
  <c r="CC77" i="50"/>
  <c r="AZ97" i="50"/>
  <c r="U200" i="50"/>
  <c r="CS89" i="50"/>
  <c r="V104" i="50"/>
  <c r="AC115" i="50"/>
  <c r="AT92" i="50"/>
  <c r="CO92" i="50"/>
  <c r="CO80" i="50"/>
  <c r="CS102" i="50"/>
  <c r="BX136" i="50"/>
  <c r="ET79" i="50"/>
  <c r="CC122" i="50"/>
  <c r="AG146" i="50"/>
  <c r="BX132" i="50"/>
  <c r="AL97" i="50"/>
  <c r="BD110" i="50"/>
  <c r="BK108" i="50"/>
  <c r="ED92" i="50"/>
  <c r="CS187" i="50"/>
  <c r="X48" i="50"/>
  <c r="ER89" i="50"/>
  <c r="AD184" i="50"/>
  <c r="C86" i="50"/>
  <c r="DQ90" i="50"/>
  <c r="V136" i="50"/>
  <c r="AG148" i="50"/>
  <c r="AV87" i="50"/>
  <c r="BA105" i="50"/>
  <c r="K103" i="50"/>
  <c r="DO106" i="50"/>
  <c r="CC134" i="50"/>
  <c r="AQ117" i="50"/>
  <c r="DO108" i="50"/>
  <c r="CC119" i="50"/>
  <c r="AB15" i="50"/>
  <c r="BM150" i="50"/>
  <c r="W187" i="50"/>
  <c r="AY98" i="50"/>
  <c r="T18" i="50"/>
  <c r="AN134" i="50"/>
  <c r="CP120" i="50"/>
  <c r="AG117" i="50"/>
  <c r="H89" i="50"/>
  <c r="U99" i="50"/>
  <c r="EB75" i="50"/>
  <c r="G164" i="50"/>
  <c r="BB201" i="50"/>
  <c r="AM98" i="50"/>
  <c r="EE112" i="50"/>
  <c r="R121" i="50"/>
  <c r="CO94" i="50"/>
  <c r="DQ83" i="50"/>
  <c r="CP95" i="50"/>
  <c r="AK123" i="50"/>
  <c r="AI146" i="50"/>
  <c r="G184" i="50"/>
  <c r="M163" i="50"/>
  <c r="C165" i="50"/>
  <c r="X199" i="50"/>
  <c r="DO82" i="50"/>
  <c r="AF86" i="50"/>
  <c r="I187" i="50"/>
  <c r="DY167" i="50"/>
  <c r="BZ107" i="50"/>
  <c r="BZ136" i="50"/>
  <c r="EU104" i="50"/>
  <c r="AG220" i="50"/>
  <c r="BJ204" i="50"/>
  <c r="CB99" i="50"/>
  <c r="BO221" i="50"/>
  <c r="AJ136" i="50"/>
  <c r="CS77" i="50"/>
  <c r="T124" i="50"/>
  <c r="DY82" i="50"/>
  <c r="DN105" i="50"/>
  <c r="N103" i="50"/>
  <c r="BW78" i="50"/>
  <c r="AW146" i="50"/>
  <c r="CQ113" i="50"/>
  <c r="AX152" i="50"/>
  <c r="V103" i="50"/>
  <c r="AH26" i="50"/>
  <c r="BL106" i="50"/>
  <c r="BK106" i="50"/>
  <c r="DK118" i="50"/>
  <c r="S201" i="50"/>
  <c r="AQ199" i="50"/>
  <c r="DJ109" i="50"/>
  <c r="BD97" i="50"/>
  <c r="AP145" i="50"/>
  <c r="BW136" i="50"/>
  <c r="AD79" i="50"/>
  <c r="F15" i="50"/>
  <c r="C102" i="50"/>
  <c r="ED166" i="50"/>
  <c r="CS166" i="50"/>
  <c r="H109" i="50"/>
  <c r="AL190" i="50"/>
  <c r="BI202" i="50"/>
  <c r="AC189" i="50"/>
  <c r="AT83" i="50"/>
  <c r="AM106" i="50"/>
  <c r="AV75" i="50"/>
  <c r="BX98" i="50"/>
  <c r="P136" i="50"/>
  <c r="DZ163" i="50"/>
  <c r="ES78" i="50"/>
  <c r="BH79" i="50"/>
  <c r="V131" i="50"/>
  <c r="AF106" i="50"/>
  <c r="W26" i="50"/>
  <c r="AV187" i="50"/>
  <c r="AV99" i="50"/>
  <c r="M145" i="50"/>
  <c r="CU104" i="50"/>
  <c r="Q79" i="50"/>
  <c r="AZ101" i="50"/>
  <c r="Z164" i="50"/>
  <c r="AO81" i="50"/>
  <c r="Z121" i="50"/>
  <c r="EG131" i="50"/>
  <c r="CC204" i="50"/>
  <c r="AE100" i="50"/>
  <c r="BC189" i="50"/>
  <c r="BK204" i="50"/>
  <c r="AO91" i="50"/>
  <c r="AO116" i="50"/>
  <c r="AA163" i="50"/>
  <c r="EQ89" i="50"/>
  <c r="AX107" i="50"/>
  <c r="AL16" i="50"/>
  <c r="I104" i="50"/>
  <c r="AS204" i="50"/>
  <c r="AQ106" i="50"/>
  <c r="J86" i="50"/>
  <c r="AR145" i="50"/>
  <c r="AI166" i="50"/>
  <c r="DL189" i="50"/>
  <c r="O107" i="50"/>
  <c r="AR82" i="50"/>
  <c r="AI98" i="50"/>
  <c r="D75" i="50"/>
  <c r="AY100" i="50"/>
  <c r="BA199" i="50"/>
  <c r="AC192" i="50"/>
  <c r="CO76" i="50"/>
  <c r="C199" i="50"/>
  <c r="G206" i="50"/>
  <c r="V85" i="50"/>
  <c r="DL99" i="50"/>
  <c r="AD58" i="50"/>
  <c r="CD131" i="50"/>
  <c r="AD81" i="50"/>
  <c r="AL186" i="50"/>
  <c r="AS106" i="50"/>
  <c r="N219" i="50"/>
  <c r="O98" i="50"/>
  <c r="AP189" i="50"/>
  <c r="DM122" i="50"/>
  <c r="AO220" i="50"/>
  <c r="DZ218" i="50"/>
  <c r="CD147" i="50"/>
  <c r="CP103" i="50"/>
  <c r="EA82" i="50"/>
  <c r="C130" i="50"/>
  <c r="R83" i="50"/>
  <c r="O134" i="50"/>
  <c r="CU105" i="50"/>
  <c r="CP99" i="50"/>
  <c r="BI115" i="50"/>
  <c r="BM95" i="50"/>
  <c r="CO117" i="50"/>
  <c r="AY106" i="50"/>
  <c r="CS103" i="50"/>
  <c r="D217" i="50"/>
  <c r="CR73" i="50"/>
  <c r="P99" i="50"/>
  <c r="EV113" i="50"/>
  <c r="C184" i="50"/>
  <c r="ER134" i="50"/>
  <c r="AK105" i="50"/>
  <c r="Z89" i="50"/>
  <c r="G220" i="50"/>
  <c r="DJ150" i="50"/>
  <c r="AE114" i="50"/>
  <c r="AC10" i="26"/>
  <c r="AW102" i="50"/>
  <c r="BM115" i="50"/>
  <c r="AD16" i="50"/>
  <c r="AX104" i="50"/>
  <c r="T49" i="50"/>
  <c r="CR185" i="50"/>
  <c r="S134" i="50"/>
  <c r="CC149" i="50"/>
  <c r="BY204" i="50"/>
  <c r="DL120" i="50"/>
  <c r="AO75" i="50"/>
  <c r="I149" i="50"/>
  <c r="AR86" i="50"/>
  <c r="CR109" i="50"/>
  <c r="DM97" i="50"/>
  <c r="BD221" i="50"/>
  <c r="AD34" i="50"/>
  <c r="T85" i="50"/>
  <c r="DL186" i="50"/>
  <c r="AU81" i="50"/>
  <c r="ED203" i="50"/>
  <c r="BZ118" i="50"/>
  <c r="I200" i="50"/>
  <c r="AU122" i="50"/>
  <c r="BM96" i="50"/>
  <c r="EQ83" i="50"/>
  <c r="Y145" i="50"/>
  <c r="W75" i="50"/>
  <c r="CC184" i="50"/>
  <c r="Q187" i="50"/>
  <c r="E165" i="50"/>
  <c r="BO119" i="50"/>
  <c r="AE134" i="50"/>
  <c r="T150" i="50"/>
  <c r="DP107" i="50"/>
  <c r="EB145" i="50"/>
  <c r="AH97" i="50"/>
  <c r="AW145" i="50"/>
  <c r="BA75" i="50"/>
  <c r="AM117" i="50"/>
  <c r="R150" i="50"/>
  <c r="BH102" i="50"/>
  <c r="W202" i="50"/>
  <c r="T110" i="50"/>
  <c r="BD94" i="50"/>
  <c r="BY81" i="50"/>
  <c r="AR89" i="50"/>
  <c r="AO189" i="50"/>
  <c r="AW165" i="50"/>
  <c r="G203" i="50"/>
  <c r="T91" i="50"/>
  <c r="I150" i="50"/>
  <c r="P112" i="50"/>
  <c r="EA220" i="50"/>
  <c r="E97" i="50"/>
  <c r="W23" i="50"/>
  <c r="AB185" i="50"/>
  <c r="Y136" i="50"/>
  <c r="D88" i="50"/>
  <c r="U91" i="50"/>
  <c r="AL133" i="50"/>
  <c r="AQ136" i="50"/>
  <c r="BQ223" i="50"/>
  <c r="AA204" i="50"/>
  <c r="H189" i="50"/>
  <c r="BN190" i="50"/>
  <c r="AY204" i="50"/>
  <c r="CD107" i="50"/>
  <c r="CB199" i="50"/>
  <c r="AM200" i="50"/>
  <c r="W88" i="50"/>
  <c r="AL21" i="50"/>
  <c r="BW103" i="50"/>
  <c r="Y86" i="50"/>
  <c r="DZ114" i="50"/>
  <c r="CA104" i="50"/>
  <c r="AA89" i="50"/>
  <c r="AN110" i="50"/>
  <c r="AC135" i="50"/>
  <c r="W120" i="50"/>
  <c r="AL199" i="50"/>
  <c r="AO127" i="50"/>
  <c r="CT136" i="50"/>
  <c r="AN117" i="50"/>
  <c r="BC133" i="50"/>
  <c r="R16" i="50"/>
  <c r="AH199" i="50"/>
  <c r="CC79" i="50"/>
  <c r="BB75" i="50"/>
  <c r="R218" i="50"/>
  <c r="BI189" i="50"/>
  <c r="BJ104" i="50"/>
  <c r="CT135" i="50"/>
  <c r="AE205" i="50"/>
  <c r="CA130" i="50"/>
  <c r="AB75" i="50"/>
  <c r="CO101" i="50"/>
  <c r="T109" i="50"/>
  <c r="AE94" i="50"/>
  <c r="DK75" i="50"/>
  <c r="BM184" i="50"/>
  <c r="BC74" i="50"/>
  <c r="DL146" i="50"/>
  <c r="S78" i="50"/>
  <c r="AD97" i="50"/>
  <c r="T82" i="50"/>
  <c r="CO103" i="50"/>
  <c r="CC221" i="50"/>
  <c r="EC82" i="50"/>
  <c r="BP131" i="50"/>
  <c r="BD150" i="50"/>
  <c r="CT221" i="50"/>
  <c r="AA138" i="50"/>
  <c r="AC108" i="50"/>
  <c r="W105" i="50"/>
  <c r="AB96" i="50"/>
  <c r="W83" i="50"/>
  <c r="Z106" i="50"/>
  <c r="DO86" i="50"/>
  <c r="W52" i="50"/>
  <c r="DZ219" i="50"/>
  <c r="EE105" i="50"/>
  <c r="CA218" i="50"/>
  <c r="AD21" i="50"/>
  <c r="AL124" i="50"/>
  <c r="AM188" i="50"/>
  <c r="BY115" i="50"/>
  <c r="CS74" i="50"/>
  <c r="X103" i="50"/>
  <c r="BW89" i="50"/>
  <c r="CO78" i="50"/>
  <c r="BA136" i="50"/>
  <c r="AI106" i="50"/>
  <c r="I202" i="50"/>
  <c r="BW92" i="50"/>
  <c r="CU149" i="50"/>
  <c r="BE200" i="50"/>
  <c r="L189" i="50"/>
  <c r="DZ188" i="50"/>
  <c r="BN163" i="50"/>
  <c r="AZ204" i="50"/>
  <c r="J185" i="50"/>
  <c r="BW145" i="50"/>
  <c r="CT165" i="50"/>
  <c r="AF34" i="50"/>
  <c r="AO199" i="50"/>
  <c r="F166" i="50"/>
  <c r="J136" i="50"/>
  <c r="BA125" i="50"/>
  <c r="R94" i="50"/>
  <c r="DZ103" i="50"/>
  <c r="DN89" i="50"/>
  <c r="EC79" i="50"/>
  <c r="DM130" i="50"/>
  <c r="H115" i="50"/>
  <c r="DZ86" i="50"/>
  <c r="K106" i="50"/>
  <c r="DK131" i="50"/>
  <c r="AZ145" i="50"/>
  <c r="AH86" i="50"/>
  <c r="AH118" i="50"/>
  <c r="R187" i="50"/>
  <c r="EV95" i="50"/>
  <c r="AF32" i="50"/>
  <c r="BL114" i="50"/>
  <c r="D81" i="50"/>
  <c r="BO149" i="50"/>
  <c r="CC87" i="50"/>
  <c r="BK122" i="50"/>
  <c r="AF26" i="50"/>
  <c r="AJ107" i="50"/>
  <c r="ED104" i="50"/>
  <c r="V112" i="50"/>
  <c r="AU78" i="50"/>
  <c r="BZ82" i="50"/>
  <c r="AN75" i="50"/>
  <c r="K187" i="50"/>
  <c r="H112" i="50"/>
  <c r="N166" i="50"/>
  <c r="AS188" i="50"/>
  <c r="AT185" i="50"/>
  <c r="CA165" i="50"/>
  <c r="J92" i="50"/>
  <c r="CP220" i="50"/>
  <c r="K123" i="50"/>
  <c r="D14" i="50"/>
  <c r="AZ85" i="50"/>
  <c r="AK89" i="50"/>
  <c r="CT127" i="50"/>
  <c r="BX190" i="50"/>
  <c r="CQ117" i="50"/>
  <c r="Y92" i="50"/>
  <c r="M87" i="50"/>
  <c r="BB119" i="50"/>
  <c r="EV149" i="50"/>
  <c r="DK136" i="50"/>
  <c r="BZ102" i="50"/>
  <c r="G20" i="50"/>
  <c r="DP185" i="50"/>
  <c r="S91" i="50"/>
  <c r="T151" i="50"/>
  <c r="BL113" i="50"/>
  <c r="AE83" i="50"/>
  <c r="AE55" i="50"/>
  <c r="AG115" i="50"/>
  <c r="AO134" i="50"/>
  <c r="S80" i="50"/>
  <c r="DP87" i="50"/>
  <c r="BI191" i="50"/>
  <c r="Q146" i="50"/>
  <c r="R199" i="50"/>
  <c r="ET74" i="50"/>
  <c r="ED101" i="50"/>
  <c r="CB89" i="50"/>
  <c r="ER187" i="50"/>
  <c r="AJ19" i="50"/>
  <c r="DN82" i="50"/>
  <c r="DJ165" i="50"/>
  <c r="BH132" i="50"/>
  <c r="CB102" i="50"/>
  <c r="G85" i="50"/>
  <c r="AO95" i="50"/>
  <c r="AB47" i="50"/>
  <c r="AW83" i="50"/>
  <c r="BW99" i="50"/>
  <c r="EE219" i="50"/>
  <c r="AP102" i="50"/>
  <c r="AX130" i="50"/>
  <c r="R122" i="50"/>
  <c r="DJ107" i="50"/>
  <c r="EF199" i="50"/>
  <c r="S118" i="50"/>
  <c r="S103" i="50"/>
  <c r="ED218" i="50"/>
  <c r="AV97" i="50"/>
  <c r="AO133" i="50"/>
  <c r="ES151" i="50"/>
  <c r="BC91" i="50"/>
  <c r="Y108" i="50"/>
  <c r="AI78" i="50"/>
  <c r="DO218" i="50"/>
  <c r="I189" i="50"/>
  <c r="DK74" i="50"/>
  <c r="BQ126" i="50"/>
  <c r="DL92" i="50"/>
  <c r="BZ104" i="50"/>
  <c r="O120" i="50"/>
  <c r="D92" i="50"/>
  <c r="BY118" i="50"/>
  <c r="EF223" i="50"/>
  <c r="BW191" i="50"/>
  <c r="Z58" i="50"/>
  <c r="BI83" i="50"/>
  <c r="DN124" i="50"/>
  <c r="AT103" i="50"/>
  <c r="EG118" i="50"/>
  <c r="ES165" i="50"/>
  <c r="BA206" i="50"/>
  <c r="BW81" i="50"/>
  <c r="BM205" i="50"/>
  <c r="W200" i="50"/>
  <c r="N81" i="50"/>
  <c r="L115" i="50"/>
  <c r="AT86" i="50"/>
  <c r="W135" i="50"/>
  <c r="BK81" i="50"/>
  <c r="DY187" i="50"/>
  <c r="T201" i="50"/>
  <c r="CT217" i="50"/>
  <c r="EV88" i="50"/>
  <c r="DM78" i="50"/>
  <c r="DJ104" i="50"/>
  <c r="AR104" i="50"/>
  <c r="BA131" i="50"/>
  <c r="BF222" i="50"/>
  <c r="Y83" i="50"/>
  <c r="CT121" i="50"/>
  <c r="AZ86" i="50"/>
  <c r="CC120" i="50"/>
  <c r="CS113" i="50"/>
  <c r="AI92" i="50"/>
  <c r="K85" i="50"/>
  <c r="AJ96" i="50"/>
  <c r="AT110" i="50"/>
  <c r="R82" i="50"/>
  <c r="BF190" i="50"/>
  <c r="AS131" i="50"/>
  <c r="AJ204" i="50"/>
  <c r="DK97" i="50"/>
  <c r="E77" i="50"/>
  <c r="W145" i="50"/>
  <c r="AY73" i="50"/>
  <c r="BP186" i="50"/>
  <c r="BL116" i="50"/>
  <c r="ER120" i="50"/>
  <c r="AU117" i="50"/>
  <c r="BB89" i="50"/>
  <c r="BW188" i="50"/>
  <c r="CE184" i="50"/>
  <c r="AF89" i="50"/>
  <c r="AH24" i="50"/>
  <c r="ES91" i="50"/>
  <c r="AJ118" i="50"/>
  <c r="ES204" i="50"/>
  <c r="BM146" i="50"/>
  <c r="Z51" i="50"/>
  <c r="M150" i="50"/>
  <c r="AE146" i="50"/>
  <c r="E21" i="50"/>
  <c r="AV202" i="50"/>
  <c r="W123" i="50"/>
  <c r="AZ218" i="50"/>
  <c r="AJ111" i="50"/>
  <c r="BW222" i="50"/>
  <c r="F188" i="50"/>
  <c r="AF103" i="50"/>
  <c r="W118" i="50"/>
  <c r="C201" i="50"/>
  <c r="G168" i="50"/>
  <c r="CQ109" i="50"/>
  <c r="BA124" i="50"/>
  <c r="BD122" i="50"/>
  <c r="AL75" i="50"/>
  <c r="BA146" i="50"/>
  <c r="CC167" i="50"/>
  <c r="DK135" i="50"/>
  <c r="BL122" i="50"/>
  <c r="BJ148" i="50"/>
  <c r="EB116" i="50"/>
  <c r="AG204" i="50"/>
  <c r="BW98" i="50"/>
  <c r="E24" i="50"/>
  <c r="C15" i="50"/>
  <c r="BX124" i="50"/>
  <c r="CQ86" i="50"/>
  <c r="I82" i="50"/>
  <c r="M166" i="50"/>
  <c r="X119" i="50"/>
  <c r="N82" i="50"/>
  <c r="AH98" i="50"/>
  <c r="Q137" i="50"/>
  <c r="X43" i="50"/>
  <c r="AD166" i="50"/>
  <c r="BY125" i="50"/>
  <c r="AQ78" i="50"/>
  <c r="AH23" i="50"/>
  <c r="AF204" i="50"/>
  <c r="AC89" i="50"/>
  <c r="W220" i="50"/>
  <c r="I97" i="50"/>
  <c r="DL125" i="50"/>
  <c r="AA79" i="50"/>
  <c r="DZ117" i="50"/>
  <c r="U15" i="50"/>
  <c r="AF199" i="50"/>
  <c r="CC166" i="50"/>
  <c r="AV95" i="50"/>
  <c r="ET165" i="50"/>
  <c r="T111" i="50"/>
  <c r="BM106" i="50"/>
  <c r="BY103" i="50"/>
  <c r="DK223" i="50"/>
  <c r="U24" i="50"/>
  <c r="AM91" i="50"/>
  <c r="ER83" i="50"/>
  <c r="BI131" i="50"/>
  <c r="AI163" i="50"/>
  <c r="DO221" i="50"/>
  <c r="W80" i="50"/>
  <c r="AL222" i="50"/>
  <c r="AI138" i="50"/>
  <c r="CA131" i="50"/>
  <c r="BN121" i="50"/>
  <c r="I81" i="50"/>
  <c r="AH187" i="50"/>
  <c r="BI134" i="50"/>
  <c r="BO134" i="50"/>
  <c r="AK96" i="50"/>
  <c r="BJ202" i="50"/>
  <c r="E204" i="50"/>
  <c r="AD116" i="50"/>
  <c r="DY218" i="50"/>
  <c r="V88" i="50"/>
  <c r="DR89" i="50"/>
  <c r="BZ220" i="50"/>
  <c r="AT138" i="50"/>
  <c r="BM107" i="50"/>
  <c r="CA132" i="50"/>
  <c r="G115" i="50"/>
  <c r="ET199" i="50"/>
  <c r="EX131" i="50"/>
  <c r="CD94" i="50"/>
  <c r="EE106" i="50"/>
  <c r="F16" i="50"/>
  <c r="AE77" i="50"/>
  <c r="Z47" i="50"/>
  <c r="DL89" i="50"/>
  <c r="AU120" i="50"/>
  <c r="BI199" i="50"/>
  <c r="AO118" i="50"/>
  <c r="AZ92" i="50"/>
  <c r="AK91" i="50"/>
  <c r="BO186" i="50"/>
  <c r="BN81" i="50"/>
  <c r="K87" i="50"/>
  <c r="I136" i="50"/>
  <c r="Y16" i="50"/>
  <c r="AN112" i="50"/>
  <c r="AJ26" i="50"/>
  <c r="M106" i="50"/>
  <c r="EV105" i="50"/>
  <c r="K111" i="50"/>
  <c r="AF75" i="50"/>
  <c r="AP118" i="50"/>
  <c r="E131" i="50"/>
  <c r="K80" i="50"/>
  <c r="CU82" i="50"/>
  <c r="E199" i="50"/>
  <c r="V91" i="50"/>
  <c r="CV79" i="50"/>
  <c r="BH220" i="50"/>
  <c r="AQ96" i="50"/>
  <c r="BM89" i="50"/>
  <c r="EQ150" i="50"/>
  <c r="BB185" i="50"/>
  <c r="CT200" i="50"/>
  <c r="AH136" i="50"/>
  <c r="AA99" i="50"/>
  <c r="T187" i="50"/>
  <c r="AL202" i="50"/>
  <c r="BD124" i="50"/>
  <c r="BC218" i="50"/>
  <c r="DR151" i="50"/>
  <c r="AK145" i="50"/>
  <c r="AX220" i="50"/>
  <c r="EC85" i="50"/>
  <c r="AF219" i="50"/>
  <c r="AM136" i="50"/>
  <c r="BH75" i="50"/>
  <c r="CO122" i="50"/>
  <c r="S106" i="50"/>
  <c r="DP91" i="50"/>
  <c r="BB79" i="50"/>
  <c r="CB106" i="50"/>
  <c r="L185" i="50"/>
  <c r="E184" i="50"/>
  <c r="U145" i="50"/>
  <c r="AW217" i="50"/>
  <c r="CR122" i="50"/>
  <c r="DS167" i="50"/>
  <c r="BD131" i="50"/>
  <c r="L113" i="50"/>
  <c r="L135" i="50"/>
  <c r="K24" i="50"/>
  <c r="R190" i="50"/>
  <c r="BK220" i="50"/>
  <c r="AF21" i="50"/>
  <c r="D118" i="50"/>
  <c r="L20" i="50"/>
  <c r="BH115" i="50"/>
  <c r="EC145" i="50"/>
  <c r="AO166" i="50"/>
  <c r="U46" i="50"/>
  <c r="AI94" i="50"/>
  <c r="EB93" i="50"/>
  <c r="AF134" i="50"/>
  <c r="CC112" i="50"/>
  <c r="U108" i="50"/>
  <c r="AC131" i="50"/>
  <c r="T56" i="50"/>
  <c r="Y47" i="50"/>
  <c r="L24" i="50"/>
  <c r="ES222" i="50"/>
  <c r="J79" i="50"/>
  <c r="BA83" i="50"/>
  <c r="AB22" i="50"/>
  <c r="CC75" i="50"/>
  <c r="CQ103" i="50"/>
  <c r="AB108" i="50"/>
  <c r="AK204" i="50"/>
  <c r="DL93" i="50"/>
  <c r="BO145" i="50"/>
  <c r="AU91" i="50"/>
  <c r="C163" i="50"/>
  <c r="EV185" i="50"/>
  <c r="DL185" i="50"/>
  <c r="AB86" i="50"/>
  <c r="CC123" i="50"/>
  <c r="K130" i="50"/>
  <c r="AV104" i="50"/>
  <c r="AC221" i="50"/>
  <c r="M99" i="50"/>
  <c r="AE96" i="50"/>
  <c r="AP223" i="50"/>
  <c r="AJ185" i="50"/>
  <c r="DP97" i="50"/>
  <c r="R136" i="50"/>
  <c r="N96" i="50"/>
  <c r="V14" i="50"/>
  <c r="AI90" i="50"/>
  <c r="BA110" i="50"/>
  <c r="AH78" i="50"/>
  <c r="DP130" i="50"/>
  <c r="AU75" i="50"/>
  <c r="AV120" i="50"/>
  <c r="S109" i="50"/>
  <c r="EE203" i="50"/>
  <c r="AD189" i="50"/>
  <c r="AH88" i="50"/>
  <c r="T52" i="50"/>
  <c r="L116" i="50"/>
  <c r="BN102" i="50"/>
  <c r="J106" i="50"/>
  <c r="BN221" i="50"/>
  <c r="DJ96" i="50"/>
  <c r="BL218" i="50"/>
  <c r="DR166" i="50"/>
  <c r="EE220" i="50"/>
  <c r="L101" i="50"/>
  <c r="R78" i="50"/>
  <c r="Q184" i="50"/>
  <c r="DY190" i="50"/>
  <c r="BB82" i="50"/>
  <c r="CS101" i="50"/>
  <c r="AE89" i="50"/>
  <c r="CD150" i="50"/>
  <c r="BQ185" i="50"/>
  <c r="DK146" i="50"/>
  <c r="M89" i="50"/>
  <c r="AA105" i="50"/>
  <c r="L80" i="50"/>
  <c r="CB190" i="50"/>
  <c r="DS116" i="50"/>
  <c r="AO121" i="50"/>
  <c r="CT166" i="50"/>
  <c r="DJ218" i="50"/>
  <c r="CT147" i="50"/>
  <c r="AM204" i="50"/>
  <c r="CV95" i="50"/>
  <c r="AA136" i="50"/>
  <c r="DL166" i="50"/>
  <c r="BJ102" i="50"/>
  <c r="EA134" i="50"/>
  <c r="DS136" i="50"/>
  <c r="R185" i="50"/>
  <c r="AT89" i="50"/>
  <c r="EV167" i="50"/>
  <c r="DL102" i="50"/>
  <c r="AZ136" i="50"/>
  <c r="BI113" i="50"/>
  <c r="AH218" i="50"/>
  <c r="CD121" i="50"/>
  <c r="AU185" i="50"/>
  <c r="AZ105" i="50"/>
  <c r="DY150" i="50"/>
  <c r="X113" i="50"/>
  <c r="EC185" i="50"/>
  <c r="O167" i="50"/>
  <c r="CA120" i="50"/>
  <c r="EU119" i="50"/>
  <c r="CA85" i="50"/>
  <c r="EA109" i="50"/>
  <c r="BC113" i="50"/>
  <c r="ES86" i="50"/>
  <c r="CT186" i="50"/>
  <c r="EB82" i="50"/>
  <c r="DL122" i="50"/>
  <c r="EB120" i="50"/>
  <c r="CU164" i="50"/>
  <c r="BL118" i="50"/>
  <c r="H104" i="50"/>
  <c r="AZ95" i="50"/>
  <c r="BL146" i="50"/>
  <c r="BD117" i="50"/>
  <c r="AM119" i="50"/>
  <c r="F131" i="50"/>
  <c r="CR167" i="50"/>
  <c r="T190" i="50"/>
  <c r="DN150" i="50"/>
  <c r="AA86" i="50"/>
  <c r="AL120" i="50"/>
  <c r="BX99" i="50"/>
  <c r="AM95" i="50"/>
  <c r="AP103" i="50"/>
  <c r="AI120" i="50"/>
  <c r="EV97" i="50"/>
  <c r="AA217" i="50"/>
  <c r="CT87" i="50"/>
  <c r="BN218" i="50"/>
  <c r="AX82" i="50"/>
  <c r="AM99" i="50"/>
  <c r="D146" i="50"/>
  <c r="AK218" i="50"/>
  <c r="AI113" i="50"/>
  <c r="E185" i="50"/>
  <c r="CR204" i="50"/>
  <c r="R110" i="50"/>
  <c r="AW89" i="50"/>
  <c r="BZ86" i="50"/>
  <c r="AJ73" i="50"/>
  <c r="U118" i="50"/>
  <c r="CC107" i="50"/>
  <c r="BH122" i="50"/>
  <c r="BE204" i="50"/>
  <c r="BW115" i="50"/>
  <c r="P146" i="50"/>
  <c r="CU116" i="50"/>
  <c r="CS73" i="50"/>
  <c r="AI103" i="50"/>
  <c r="Z22" i="50"/>
  <c r="AX165" i="50"/>
  <c r="BB146" i="50"/>
  <c r="AQ115" i="50"/>
  <c r="CP145" i="50"/>
  <c r="AC190" i="50"/>
  <c r="BL136" i="50"/>
  <c r="EB102" i="50"/>
  <c r="EV150" i="50"/>
  <c r="M184" i="50"/>
  <c r="DY145" i="50"/>
  <c r="CV83" i="50"/>
  <c r="EC131" i="50"/>
  <c r="AC48" i="50"/>
  <c r="AH80" i="50"/>
  <c r="DY131" i="50"/>
  <c r="CE97" i="50"/>
  <c r="AL96" i="50"/>
  <c r="CE115" i="50"/>
  <c r="AP115" i="50"/>
  <c r="M104" i="50"/>
  <c r="CB87" i="50"/>
  <c r="CO105" i="50"/>
  <c r="AF96" i="50"/>
  <c r="DP74" i="50"/>
  <c r="AD47" i="50"/>
  <c r="DM109" i="50"/>
  <c r="X46" i="50"/>
  <c r="DJ124" i="50"/>
  <c r="BN220" i="50"/>
  <c r="D167" i="50"/>
  <c r="EC121" i="50"/>
  <c r="BE75" i="50"/>
  <c r="DJ77" i="50"/>
  <c r="ER108" i="50"/>
  <c r="H23" i="50"/>
  <c r="CP165" i="50"/>
  <c r="H21" i="50"/>
  <c r="Y119" i="50"/>
  <c r="AU192" i="50"/>
  <c r="AR130" i="50"/>
  <c r="Q118" i="50"/>
  <c r="BD204" i="50"/>
  <c r="BL201" i="50"/>
  <c r="ED116" i="50"/>
  <c r="BO111" i="50"/>
  <c r="AZ75" i="50"/>
  <c r="V167" i="50"/>
  <c r="CS120" i="50"/>
  <c r="BH145" i="50"/>
  <c r="CB94" i="50"/>
  <c r="EA192" i="50"/>
  <c r="AV145" i="50"/>
  <c r="AN113" i="50"/>
  <c r="L93" i="50"/>
  <c r="BN217" i="50"/>
  <c r="Y107" i="50"/>
  <c r="CR79" i="50"/>
  <c r="BP114" i="50"/>
  <c r="DO87" i="50"/>
  <c r="S108" i="50"/>
  <c r="EB89" i="50"/>
  <c r="BA78" i="50"/>
  <c r="P86" i="50"/>
  <c r="EV189" i="50"/>
  <c r="EA165" i="50"/>
  <c r="EG103" i="50"/>
  <c r="F146" i="50"/>
  <c r="AJ17" i="50"/>
  <c r="BH218" i="50"/>
  <c r="DN166" i="50"/>
  <c r="AI199" i="50"/>
  <c r="EE81" i="50"/>
  <c r="CO120" i="50"/>
  <c r="DR152" i="50"/>
  <c r="AM100" i="50"/>
  <c r="EQ165" i="50"/>
  <c r="K92" i="50"/>
  <c r="EV83" i="50"/>
  <c r="G100" i="50"/>
  <c r="CS136" i="50"/>
  <c r="BJ115" i="50"/>
  <c r="EB104" i="50"/>
  <c r="DP166" i="50"/>
  <c r="EE74" i="50"/>
  <c r="BK88" i="50"/>
  <c r="Q167" i="50"/>
  <c r="D136" i="50"/>
  <c r="I115" i="50"/>
  <c r="CR103" i="50"/>
  <c r="W149" i="50"/>
  <c r="F220" i="50"/>
  <c r="BQ169" i="50"/>
  <c r="CQ186" i="50"/>
  <c r="AS138" i="50"/>
  <c r="AE105" i="50"/>
  <c r="O187" i="50"/>
  <c r="C120" i="50"/>
  <c r="CC189" i="50"/>
  <c r="EW77" i="50"/>
  <c r="Z118" i="50"/>
  <c r="AY118" i="50"/>
  <c r="AB130" i="50"/>
  <c r="BH96" i="50"/>
  <c r="K94" i="50"/>
  <c r="DO200" i="50"/>
  <c r="CB145" i="50"/>
  <c r="CA125" i="50"/>
  <c r="CC102" i="50"/>
  <c r="O85" i="50"/>
  <c r="DK185" i="50"/>
  <c r="DZ146" i="50"/>
  <c r="EF94" i="50"/>
  <c r="L124" i="50"/>
  <c r="BM145" i="50"/>
  <c r="C83" i="50"/>
  <c r="CR84" i="50"/>
  <c r="AI165" i="50"/>
  <c r="X204" i="50"/>
  <c r="BJ81" i="50"/>
  <c r="EV76" i="50"/>
  <c r="DZ115" i="50"/>
  <c r="AT94" i="50"/>
  <c r="AB102" i="50"/>
  <c r="AH85" i="50"/>
  <c r="DY118" i="50"/>
  <c r="AU204" i="50"/>
  <c r="Q83" i="50"/>
  <c r="AU206" i="50"/>
  <c r="AW91" i="50"/>
  <c r="AW199" i="50"/>
  <c r="AM218" i="50"/>
  <c r="CQ102" i="50"/>
  <c r="AL85" i="50"/>
  <c r="BW122" i="50"/>
  <c r="AW202" i="50"/>
  <c r="CA99" i="50"/>
  <c r="F119" i="50"/>
  <c r="Y93" i="50"/>
  <c r="BX220" i="50"/>
  <c r="S74" i="50"/>
  <c r="AD118" i="50"/>
  <c r="AK100" i="50"/>
  <c r="CQ123" i="50"/>
  <c r="D117" i="50"/>
  <c r="M204" i="50"/>
  <c r="BH94" i="50"/>
  <c r="AE47" i="50"/>
  <c r="DM131" i="50"/>
  <c r="Y147" i="50"/>
  <c r="C90" i="50"/>
  <c r="CT130" i="50"/>
  <c r="I94" i="50"/>
  <c r="AF192" i="50"/>
  <c r="BW130" i="50"/>
  <c r="ER115" i="50"/>
  <c r="BH185" i="50"/>
  <c r="AT75" i="50"/>
  <c r="BK131" i="50"/>
  <c r="CS131" i="50"/>
  <c r="AR218" i="50"/>
  <c r="DZ99" i="50"/>
  <c r="BE199" i="50"/>
  <c r="DP94" i="50"/>
  <c r="AD202" i="50"/>
  <c r="BL184" i="50"/>
  <c r="AC185" i="50"/>
  <c r="EV188" i="50"/>
  <c r="BQ219" i="50"/>
  <c r="N84" i="50"/>
  <c r="CS125" i="50"/>
  <c r="BB134" i="50"/>
  <c r="BA126" i="50"/>
  <c r="BM185" i="50"/>
  <c r="L83" i="50"/>
  <c r="E34" i="50"/>
  <c r="ES80" i="50"/>
  <c r="AJ82" i="50"/>
  <c r="AE46" i="50"/>
  <c r="I93" i="50"/>
  <c r="AG118" i="50"/>
  <c r="D124" i="50"/>
  <c r="BI74" i="50"/>
  <c r="I218" i="50"/>
  <c r="DM119" i="50"/>
  <c r="AH20" i="50"/>
  <c r="T116" i="50"/>
  <c r="AC107" i="50"/>
  <c r="ES101" i="50"/>
  <c r="Y96" i="50"/>
  <c r="ER186" i="50"/>
  <c r="BY202" i="50"/>
  <c r="DK166" i="50"/>
  <c r="DK101" i="50"/>
  <c r="BN169" i="50"/>
  <c r="C103" i="50"/>
  <c r="CE165" i="50"/>
  <c r="AU219" i="50"/>
  <c r="BJ201" i="50"/>
  <c r="CQ94" i="50"/>
  <c r="R53" i="50"/>
  <c r="AC118" i="50"/>
  <c r="AB49" i="50"/>
  <c r="EQ145" i="50"/>
  <c r="BM220" i="50"/>
  <c r="EC83" i="50"/>
  <c r="AK94" i="50"/>
  <c r="AR78" i="50"/>
  <c r="ET92" i="50"/>
  <c r="BP87" i="50"/>
  <c r="AX110" i="50"/>
  <c r="DJ185" i="50"/>
  <c r="N86" i="50"/>
  <c r="EG120" i="50"/>
  <c r="EB187" i="50"/>
  <c r="BA93" i="50"/>
  <c r="O136" i="50"/>
  <c r="N76" i="50"/>
  <c r="EV85" i="50"/>
  <c r="CO81" i="50"/>
  <c r="Q107" i="50"/>
  <c r="W21" i="50"/>
  <c r="BZ111" i="50"/>
  <c r="BW108" i="50"/>
  <c r="DQ76" i="50"/>
  <c r="AW106" i="50"/>
  <c r="V89" i="50"/>
  <c r="CR107" i="50"/>
  <c r="EB106" i="50"/>
  <c r="W86" i="50"/>
  <c r="G163" i="50"/>
  <c r="AR75" i="50"/>
  <c r="DN80" i="50"/>
  <c r="AD90" i="50"/>
  <c r="AG122" i="50"/>
  <c r="DN84" i="50"/>
  <c r="CC98" i="50"/>
  <c r="DM89" i="50"/>
  <c r="AT189" i="50"/>
  <c r="BH192" i="50"/>
  <c r="T46" i="50"/>
  <c r="AN136" i="50"/>
  <c r="AB18" i="50"/>
  <c r="T78" i="50"/>
  <c r="DJ81" i="50"/>
  <c r="BC82" i="50"/>
  <c r="H148" i="50"/>
  <c r="AV89" i="50"/>
  <c r="CP115" i="50"/>
  <c r="DK105" i="50"/>
  <c r="W130" i="50"/>
  <c r="AF145" i="50"/>
  <c r="EB115" i="50"/>
  <c r="CA112" i="50"/>
  <c r="EW185" i="50"/>
  <c r="AY88" i="50"/>
  <c r="E117" i="50"/>
  <c r="AM147" i="50"/>
  <c r="CP100" i="50"/>
  <c r="CO220" i="50"/>
  <c r="DN187" i="50"/>
  <c r="CP123" i="50"/>
  <c r="O145" i="50"/>
  <c r="DJ131" i="50"/>
  <c r="H107" i="50"/>
  <c r="BI185" i="50"/>
  <c r="BX103" i="50"/>
  <c r="AJ121" i="50"/>
  <c r="F167" i="50"/>
  <c r="CC185" i="50"/>
  <c r="AS98" i="50"/>
  <c r="AU104" i="50"/>
  <c r="AZ91" i="50"/>
  <c r="O97" i="50"/>
  <c r="DM85" i="50"/>
  <c r="AY122" i="50"/>
  <c r="AD191" i="50"/>
  <c r="AE43" i="50"/>
  <c r="AT133" i="50"/>
  <c r="H15" i="50"/>
  <c r="R95" i="50"/>
  <c r="BB105" i="50"/>
  <c r="CC147" i="50"/>
  <c r="DO74" i="50"/>
  <c r="AT107" i="50"/>
  <c r="N204" i="50"/>
  <c r="U202" i="50"/>
  <c r="AH81" i="50"/>
  <c r="AA107" i="50"/>
  <c r="CQ189" i="50"/>
  <c r="EA118" i="50"/>
  <c r="BK192" i="50"/>
  <c r="V222" i="50"/>
  <c r="BW165" i="50"/>
  <c r="AU190" i="50"/>
  <c r="DK107" i="50"/>
  <c r="AH149" i="50"/>
  <c r="R118" i="50"/>
  <c r="BA184" i="50"/>
  <c r="AE165" i="50"/>
  <c r="BA82" i="50"/>
  <c r="EA122" i="50"/>
  <c r="AE51" i="50"/>
  <c r="AN108" i="50"/>
  <c r="AW186" i="50"/>
  <c r="EV204" i="50"/>
  <c r="DZ217" i="50"/>
  <c r="ET82" i="50"/>
  <c r="EA80" i="50"/>
  <c r="S24" i="50"/>
  <c r="W16" i="50"/>
  <c r="K206" i="50"/>
  <c r="BC77" i="50"/>
  <c r="DZ95" i="50"/>
  <c r="BE77" i="50"/>
  <c r="I24" i="50"/>
  <c r="ET102" i="50"/>
  <c r="AV186" i="50"/>
  <c r="BN96" i="50"/>
  <c r="X131" i="50"/>
  <c r="EA219" i="50"/>
  <c r="DL130" i="50"/>
  <c r="AO97" i="50"/>
  <c r="AF83" i="50"/>
  <c r="CA136" i="50"/>
  <c r="EA119" i="50"/>
  <c r="ES199" i="50"/>
  <c r="H24" i="50"/>
  <c r="CR113" i="50"/>
  <c r="F83" i="50"/>
  <c r="EE95" i="50"/>
  <c r="AA131" i="50"/>
  <c r="P114" i="50"/>
  <c r="DM102" i="50"/>
  <c r="BA91" i="50"/>
  <c r="DL94" i="50"/>
  <c r="M95" i="50"/>
  <c r="BD99" i="50"/>
  <c r="DM199" i="50"/>
  <c r="EX220" i="50"/>
  <c r="BC201" i="50"/>
  <c r="DL111" i="50"/>
  <c r="AI135" i="50"/>
  <c r="U81" i="50"/>
  <c r="U185" i="50"/>
  <c r="AD134" i="50"/>
  <c r="K108" i="50"/>
  <c r="DN202" i="50"/>
  <c r="EC165" i="50"/>
  <c r="AO147" i="50"/>
  <c r="BH202" i="50"/>
  <c r="AB26" i="50"/>
  <c r="S14" i="50"/>
  <c r="AQ109" i="50"/>
  <c r="BE221" i="50"/>
  <c r="AZ190" i="50"/>
  <c r="CP83" i="50"/>
  <c r="AU88" i="50"/>
  <c r="EE150" i="50"/>
  <c r="AF203" i="50"/>
  <c r="EB103" i="50"/>
  <c r="AM108" i="50"/>
  <c r="AN94" i="50"/>
  <c r="Y32" i="50"/>
  <c r="AT73" i="50"/>
  <c r="CQ106" i="50"/>
  <c r="AQ99" i="50"/>
  <c r="CQ84" i="50"/>
  <c r="BJ163" i="50"/>
  <c r="EC206" i="50"/>
  <c r="AJ218" i="50"/>
  <c r="P151" i="50"/>
  <c r="AF206" i="50"/>
  <c r="BX219" i="50"/>
  <c r="CQ116" i="50"/>
  <c r="X92" i="50"/>
  <c r="AL90" i="50"/>
  <c r="AQ130" i="50"/>
  <c r="BY116" i="50"/>
  <c r="CA79" i="50"/>
  <c r="CD191" i="50"/>
  <c r="AM202" i="50"/>
  <c r="BD83" i="50"/>
  <c r="AB221" i="50"/>
  <c r="ER75" i="50"/>
  <c r="AV199" i="50"/>
  <c r="K112" i="50"/>
  <c r="N97" i="50"/>
  <c r="CQ81" i="50"/>
  <c r="DL119" i="50"/>
  <c r="I87" i="50"/>
  <c r="BM74" i="50"/>
  <c r="AG82" i="50"/>
  <c r="BK120" i="50"/>
  <c r="EE107" i="50"/>
  <c r="DQ97" i="50"/>
  <c r="EV131" i="50"/>
  <c r="CO136" i="50"/>
  <c r="AD10" i="26"/>
  <c r="EU74" i="50"/>
  <c r="AP190" i="50"/>
  <c r="S150" i="50"/>
  <c r="AW103" i="50"/>
  <c r="T77" i="50"/>
  <c r="T103" i="50"/>
  <c r="Y52" i="50"/>
  <c r="BY124" i="50"/>
  <c r="L15" i="50"/>
  <c r="EF84" i="50"/>
  <c r="DY97" i="50"/>
  <c r="EE217" i="50"/>
  <c r="L75" i="50"/>
  <c r="AZ192" i="50"/>
  <c r="P113" i="50"/>
  <c r="Z92" i="50"/>
  <c r="DZ199" i="50"/>
  <c r="C107" i="50"/>
  <c r="BH112" i="50"/>
  <c r="BA135" i="50"/>
  <c r="AF124" i="50"/>
  <c r="AH122" i="50"/>
  <c r="AM103" i="50"/>
  <c r="BC131" i="50"/>
  <c r="U73" i="50"/>
  <c r="EB94" i="50"/>
  <c r="Q121" i="50"/>
  <c r="CB93" i="50"/>
  <c r="EC98" i="50"/>
  <c r="M115" i="50"/>
  <c r="F19" i="50"/>
  <c r="EB97" i="50"/>
  <c r="AI188" i="50"/>
  <c r="D25" i="50"/>
  <c r="EQ79" i="50"/>
  <c r="G89" i="50"/>
  <c r="AQ135" i="50"/>
  <c r="AG185" i="50"/>
  <c r="AG73" i="50"/>
  <c r="BY102" i="50"/>
  <c r="Q90" i="50"/>
  <c r="EA223" i="50"/>
  <c r="AK97" i="50"/>
  <c r="AC93" i="50"/>
  <c r="EX105" i="50"/>
  <c r="AF90" i="50"/>
  <c r="AR100" i="50"/>
  <c r="AJ77" i="50"/>
  <c r="BK91" i="50"/>
  <c r="BO121" i="50"/>
  <c r="BO112" i="50"/>
  <c r="BO202" i="50"/>
  <c r="BD165" i="50"/>
  <c r="AQ114" i="50"/>
  <c r="AM92" i="50"/>
  <c r="EC167" i="50"/>
  <c r="BZ199" i="50"/>
  <c r="D218" i="50"/>
  <c r="DO130" i="50"/>
  <c r="EV87" i="50"/>
  <c r="DN116" i="50"/>
  <c r="AY110" i="50"/>
  <c r="EC106" i="50"/>
  <c r="AQ116" i="50"/>
  <c r="BY122" i="50"/>
  <c r="N220" i="50"/>
  <c r="AF94" i="50"/>
  <c r="AU147" i="50"/>
  <c r="AM121" i="50"/>
  <c r="BN150" i="50"/>
  <c r="O92" i="50"/>
  <c r="AW99" i="50"/>
  <c r="R109" i="50"/>
  <c r="AM199" i="50"/>
  <c r="BW192" i="50"/>
  <c r="X187" i="50"/>
  <c r="EG217" i="50"/>
  <c r="CO191" i="50"/>
  <c r="CA91" i="50"/>
  <c r="AO109" i="50"/>
  <c r="BZ113" i="50"/>
  <c r="AR222" i="50"/>
  <c r="CA81" i="50"/>
  <c r="AJ34" i="50"/>
  <c r="D199" i="50"/>
  <c r="BX112" i="50"/>
  <c r="BB135" i="50"/>
  <c r="W138" i="50"/>
  <c r="J15" i="50"/>
  <c r="AL91" i="50"/>
  <c r="BY134" i="50"/>
  <c r="CQ89" i="50"/>
  <c r="BI218" i="50"/>
  <c r="AA108" i="50"/>
  <c r="V83" i="50"/>
  <c r="BH146" i="50"/>
  <c r="AI130" i="50"/>
  <c r="C92" i="50"/>
  <c r="BL115" i="50"/>
  <c r="EQ185" i="50"/>
  <c r="DY126" i="50"/>
  <c r="G25" i="50"/>
  <c r="Q114" i="50"/>
  <c r="O202" i="50"/>
  <c r="BW79" i="50"/>
  <c r="BL187" i="50"/>
  <c r="BF218" i="50"/>
  <c r="CT138" i="50"/>
  <c r="AF17" i="50"/>
  <c r="EA85" i="50"/>
  <c r="CC113" i="50"/>
  <c r="AW111" i="50"/>
  <c r="I103" i="50"/>
  <c r="DJ78" i="50"/>
  <c r="BM130" i="50"/>
  <c r="R101" i="50"/>
  <c r="DK103" i="50"/>
  <c r="BQ217" i="50"/>
  <c r="DY124" i="50"/>
  <c r="BX122" i="50"/>
  <c r="AN86" i="50"/>
  <c r="EV123" i="50"/>
  <c r="G150" i="50"/>
  <c r="Q130" i="50"/>
  <c r="EW146" i="50"/>
  <c r="EX223" i="50"/>
  <c r="BX83" i="50"/>
  <c r="BW90" i="50"/>
  <c r="AB149" i="50"/>
  <c r="AZ78" i="50"/>
  <c r="CB147" i="50"/>
  <c r="DM146" i="50"/>
  <c r="AY95" i="50"/>
  <c r="AO188" i="50"/>
  <c r="CR117" i="50"/>
  <c r="CS189" i="50"/>
  <c r="CC99" i="50"/>
  <c r="Z24" i="50"/>
  <c r="ET109" i="50"/>
  <c r="DJ106" i="50"/>
  <c r="AF118" i="50"/>
  <c r="EE96" i="50"/>
  <c r="AE147" i="50"/>
  <c r="EG96" i="50"/>
  <c r="DS223" i="50"/>
  <c r="AG109" i="50"/>
  <c r="H185" i="50"/>
  <c r="BY74" i="50"/>
  <c r="BD113" i="50"/>
  <c r="X21" i="50"/>
  <c r="BP146" i="50"/>
  <c r="BY99" i="50"/>
  <c r="AJ133" i="50"/>
  <c r="AW164" i="50"/>
  <c r="AD75" i="50"/>
  <c r="H94" i="50"/>
  <c r="BW218" i="50"/>
  <c r="CP96" i="50"/>
  <c r="CO110" i="50"/>
  <c r="DN107" i="50"/>
  <c r="T99" i="50"/>
  <c r="CB127" i="50"/>
  <c r="DY169" i="50"/>
  <c r="L107" i="50"/>
  <c r="EF113" i="50"/>
  <c r="DJ123" i="50"/>
  <c r="AZ133" i="50"/>
  <c r="EA191" i="50"/>
  <c r="BM94" i="50"/>
  <c r="AX202" i="50"/>
  <c r="AI169" i="50"/>
  <c r="AJ108" i="50"/>
  <c r="CE189" i="50"/>
  <c r="AD137" i="50"/>
  <c r="AC220" i="50"/>
  <c r="EV111" i="50"/>
  <c r="CR199" i="50"/>
  <c r="D189" i="50"/>
  <c r="BB220" i="50"/>
  <c r="BH81" i="50"/>
  <c r="X95" i="50"/>
  <c r="EU122" i="50"/>
  <c r="EB186" i="50"/>
  <c r="BW151" i="50"/>
  <c r="Y75" i="50"/>
  <c r="CT220" i="50"/>
  <c r="M16" i="50"/>
  <c r="AT78" i="50"/>
  <c r="BL133" i="50"/>
  <c r="F99" i="50"/>
  <c r="G104" i="50"/>
  <c r="BB136" i="50"/>
  <c r="DO134" i="50"/>
  <c r="EA115" i="50"/>
  <c r="BH120" i="50"/>
  <c r="DN79" i="50"/>
  <c r="AC124" i="50"/>
  <c r="CR202" i="50"/>
  <c r="BL205" i="50"/>
  <c r="DO166" i="50"/>
  <c r="ED75" i="50"/>
  <c r="AK117" i="50"/>
  <c r="BD166" i="50"/>
  <c r="AU103" i="50"/>
  <c r="EB166" i="50"/>
  <c r="AL95" i="50"/>
  <c r="AE187" i="50"/>
  <c r="CA134" i="50"/>
  <c r="AZ221" i="50"/>
  <c r="AN122" i="50"/>
  <c r="CS122" i="50"/>
  <c r="X49" i="50"/>
  <c r="BX137" i="50"/>
  <c r="F95" i="50"/>
  <c r="EC219" i="50"/>
  <c r="EA218" i="50"/>
  <c r="AM201" i="50"/>
  <c r="N83" i="50"/>
  <c r="CS88" i="50"/>
  <c r="L104" i="50"/>
  <c r="AV91" i="50"/>
  <c r="I18" i="50"/>
  <c r="EB220" i="50"/>
  <c r="Q124" i="50"/>
  <c r="AU94" i="50"/>
  <c r="W90" i="50"/>
  <c r="C186" i="50"/>
  <c r="EB80" i="50"/>
  <c r="ED135" i="50"/>
  <c r="AN199" i="50"/>
  <c r="BJ89" i="50"/>
  <c r="AJ165" i="50"/>
  <c r="AK199" i="50"/>
  <c r="G120" i="50"/>
  <c r="AB54" i="50"/>
  <c r="EV217" i="50"/>
  <c r="E217" i="50"/>
  <c r="AL82" i="50"/>
  <c r="AF76" i="50"/>
  <c r="AX96" i="50"/>
  <c r="BA107" i="50"/>
  <c r="BL82" i="50"/>
  <c r="EB85" i="50"/>
  <c r="EV202" i="50"/>
  <c r="AQ124" i="50"/>
  <c r="P132" i="50"/>
  <c r="D165" i="50"/>
  <c r="BI184" i="50"/>
  <c r="AC51" i="50"/>
  <c r="BO108" i="50"/>
  <c r="CT119" i="50"/>
  <c r="Y18" i="50"/>
  <c r="U147" i="50"/>
  <c r="BZ115" i="50"/>
  <c r="AJ131" i="50"/>
  <c r="AL83" i="50"/>
  <c r="L120" i="50"/>
  <c r="AL115" i="50"/>
  <c r="BZ218" i="50"/>
  <c r="AH103" i="50"/>
  <c r="ET86" i="50"/>
  <c r="AP120" i="50"/>
  <c r="M97" i="50"/>
  <c r="DK145" i="50"/>
  <c r="AB24" i="50"/>
  <c r="EC137" i="50"/>
  <c r="AJ219" i="50"/>
  <c r="CQ112" i="50"/>
  <c r="D122" i="50"/>
  <c r="DL100" i="50"/>
  <c r="AY120" i="50"/>
  <c r="AY103" i="50"/>
  <c r="J78" i="50"/>
  <c r="BM75" i="50"/>
  <c r="EV118" i="50"/>
  <c r="D166" i="50"/>
  <c r="CP82" i="50"/>
  <c r="BC191" i="50"/>
  <c r="CP79" i="50"/>
  <c r="Z218" i="50"/>
  <c r="AA185" i="50"/>
  <c r="DK151" i="50"/>
  <c r="CD80" i="50"/>
  <c r="W191" i="50"/>
  <c r="X166" i="50"/>
  <c r="AI220" i="50"/>
  <c r="BH131" i="50"/>
  <c r="DS74" i="50"/>
  <c r="AI131" i="50"/>
  <c r="CA107" i="50"/>
  <c r="BC185" i="50"/>
  <c r="U21" i="50"/>
  <c r="AF200" i="50"/>
  <c r="DY109" i="50"/>
  <c r="M103" i="50"/>
  <c r="AD203" i="50"/>
  <c r="M83" i="50"/>
  <c r="BN192" i="50"/>
  <c r="ET218" i="50"/>
  <c r="F97" i="50"/>
  <c r="P76" i="50"/>
  <c r="DQ152" i="50"/>
  <c r="T118" i="50"/>
  <c r="EC115" i="50"/>
  <c r="AD199" i="50"/>
  <c r="BD203" i="50"/>
  <c r="BD220" i="50"/>
  <c r="AJ167" i="50"/>
  <c r="CS81" i="50"/>
  <c r="Z20" i="50"/>
  <c r="ET122" i="50"/>
  <c r="BJ114" i="50"/>
  <c r="DP116" i="50"/>
  <c r="DJ117" i="50"/>
  <c r="D103" i="50"/>
  <c r="DY166" i="50"/>
  <c r="AI184" i="50"/>
  <c r="CR106" i="50"/>
  <c r="BJ134" i="50"/>
  <c r="AB116" i="50"/>
  <c r="CD124" i="50"/>
  <c r="EU118" i="50"/>
  <c r="DM219" i="50"/>
  <c r="BB85" i="50"/>
  <c r="R106" i="50"/>
  <c r="E25" i="50"/>
  <c r="ET117" i="50"/>
  <c r="AE85" i="50"/>
  <c r="BJ78" i="50"/>
  <c r="AF202" i="50"/>
  <c r="Q82" i="50"/>
  <c r="CV168" i="50"/>
  <c r="AA113" i="50"/>
  <c r="N98" i="50"/>
  <c r="DM111" i="50"/>
  <c r="AX167" i="50"/>
  <c r="CS201" i="50"/>
  <c r="BE124" i="50"/>
  <c r="AR164" i="50"/>
  <c r="U189" i="50"/>
  <c r="C202" i="50"/>
  <c r="Y77" i="50"/>
  <c r="BJ99" i="50"/>
  <c r="EW109" i="50"/>
  <c r="BJ120" i="50"/>
  <c r="BC88" i="50"/>
  <c r="T166" i="50"/>
  <c r="BO205" i="50"/>
  <c r="AD106" i="50"/>
  <c r="BY80" i="50"/>
  <c r="DY164" i="50"/>
  <c r="DL115" i="50"/>
  <c r="CC94" i="50"/>
  <c r="DP168" i="50"/>
  <c r="V106" i="50"/>
  <c r="DY185" i="50"/>
  <c r="CO131" i="50"/>
  <c r="BD112" i="50"/>
  <c r="BB130" i="50"/>
  <c r="S34" i="50"/>
  <c r="BY201" i="50"/>
  <c r="Y73" i="50"/>
  <c r="J190" i="50"/>
  <c r="R120" i="50"/>
  <c r="J116" i="50"/>
  <c r="EW97" i="50"/>
  <c r="ES189" i="50"/>
  <c r="DY122" i="50"/>
  <c r="AW80" i="50"/>
  <c r="AN124" i="50"/>
  <c r="V58" i="50"/>
  <c r="ER104" i="50"/>
  <c r="R57" i="50"/>
  <c r="DY151" i="50"/>
  <c r="CA78" i="50"/>
  <c r="Q151" i="50"/>
  <c r="AN202" i="50"/>
  <c r="CP184" i="50"/>
  <c r="CB110" i="50"/>
  <c r="BI146" i="50"/>
  <c r="AF51" i="50"/>
  <c r="AR95" i="50"/>
  <c r="EA79" i="50"/>
  <c r="BN187" i="50"/>
  <c r="ED127" i="50"/>
  <c r="AJ81" i="50"/>
  <c r="EC122" i="50"/>
  <c r="EW105" i="50"/>
  <c r="Z87" i="50"/>
  <c r="N222" i="50"/>
  <c r="BD87" i="50"/>
  <c r="AC80" i="50"/>
  <c r="EF169" i="50"/>
  <c r="EC148" i="50"/>
  <c r="EU221" i="50"/>
  <c r="Y80" i="50"/>
  <c r="BJ94" i="50"/>
  <c r="EG205" i="50"/>
  <c r="AJ83" i="50"/>
  <c r="AC96" i="50"/>
  <c r="DS201" i="50"/>
  <c r="P205" i="50"/>
  <c r="S73" i="50"/>
  <c r="CC84" i="50"/>
  <c r="AA52" i="50"/>
  <c r="EB107" i="50"/>
  <c r="DP146" i="50"/>
  <c r="AC74" i="50"/>
  <c r="EQ116" i="50"/>
  <c r="G146" i="50"/>
  <c r="V30" i="50"/>
  <c r="ES116" i="50"/>
  <c r="DS185" i="50"/>
  <c r="AE190" i="50"/>
  <c r="DQ125" i="50"/>
  <c r="U57" i="50"/>
  <c r="O74" i="50"/>
  <c r="AH73" i="50"/>
  <c r="AH32" i="50"/>
  <c r="O78" i="50"/>
  <c r="BN132" i="50"/>
  <c r="AU82" i="50"/>
  <c r="Z34" i="50"/>
  <c r="V52" i="50"/>
  <c r="BW80" i="50"/>
  <c r="AY127" i="50"/>
  <c r="CQ115" i="50"/>
  <c r="BL80" i="50"/>
  <c r="AM192" i="50"/>
  <c r="CB220" i="50"/>
  <c r="AC111" i="50"/>
  <c r="DN83" i="50"/>
  <c r="K15" i="50"/>
  <c r="BA222" i="50"/>
  <c r="AX217" i="50"/>
  <c r="DY78" i="50"/>
  <c r="M202" i="50"/>
  <c r="DN94" i="50"/>
  <c r="L118" i="50"/>
  <c r="U218" i="50"/>
  <c r="AL116" i="50"/>
  <c r="BN136" i="50"/>
  <c r="AB97" i="50"/>
  <c r="M218" i="50"/>
  <c r="N85" i="50"/>
  <c r="CP187" i="50"/>
  <c r="Z79" i="50"/>
  <c r="U136" i="50"/>
  <c r="BL112" i="50"/>
  <c r="I166" i="50"/>
  <c r="CQ108" i="50"/>
  <c r="L187" i="50"/>
  <c r="CQ74" i="50"/>
  <c r="AE48" i="50"/>
  <c r="BL94" i="50"/>
  <c r="AF44" i="50"/>
  <c r="DZ204" i="50"/>
  <c r="DP103" i="50"/>
  <c r="Y186" i="50"/>
  <c r="CE219" i="50"/>
  <c r="DM133" i="50"/>
  <c r="CC117" i="50"/>
  <c r="AA219" i="50"/>
  <c r="DM145" i="50"/>
  <c r="K169" i="50"/>
  <c r="DP79" i="50"/>
  <c r="CS112" i="50"/>
  <c r="AI204" i="50"/>
  <c r="CB77" i="50"/>
  <c r="T220" i="50"/>
  <c r="DY102" i="50"/>
  <c r="L87" i="50"/>
  <c r="BE166" i="50"/>
  <c r="P117" i="50"/>
  <c r="S185" i="50"/>
  <c r="AC191" i="50"/>
  <c r="AP138" i="50"/>
  <c r="V28" i="50"/>
  <c r="EW121" i="50"/>
  <c r="EU125" i="50"/>
  <c r="U107" i="50"/>
  <c r="CT148" i="50"/>
  <c r="BJ121" i="50"/>
  <c r="X87" i="50"/>
  <c r="Z99" i="50"/>
  <c r="S82" i="50"/>
  <c r="P185" i="50"/>
  <c r="AR81" i="50"/>
  <c r="BI145" i="50"/>
  <c r="EU220" i="50"/>
  <c r="BX205" i="50"/>
  <c r="BD75" i="50"/>
  <c r="AB84" i="50"/>
  <c r="AC126" i="50"/>
  <c r="ED136" i="50"/>
  <c r="CD166" i="50"/>
  <c r="CA146" i="50"/>
  <c r="AD50" i="50"/>
  <c r="DZ166" i="50"/>
  <c r="AQ85" i="50"/>
  <c r="BW106" i="50"/>
  <c r="DL91" i="50"/>
  <c r="BX189" i="50"/>
  <c r="K86" i="50"/>
  <c r="DN106" i="50"/>
  <c r="AN114" i="50"/>
  <c r="I221" i="50"/>
  <c r="EQ94" i="50"/>
  <c r="H218" i="50"/>
  <c r="DP187" i="50"/>
  <c r="Z83" i="50"/>
  <c r="EV108" i="50"/>
  <c r="AZ79" i="50"/>
  <c r="G114" i="50"/>
  <c r="T186" i="50"/>
  <c r="AZ109" i="50"/>
  <c r="F107" i="50"/>
  <c r="BY91" i="50"/>
  <c r="BJ186" i="50"/>
  <c r="I15" i="50"/>
  <c r="AY218" i="50"/>
  <c r="BY146" i="50"/>
  <c r="S147" i="50"/>
  <c r="AC133" i="50"/>
  <c r="EG80" i="50"/>
  <c r="AR117" i="50"/>
  <c r="BX134" i="50"/>
  <c r="BX113" i="50"/>
  <c r="DN100" i="50"/>
  <c r="AR96" i="50"/>
  <c r="DK219" i="50"/>
  <c r="G189" i="50"/>
  <c r="W104" i="50"/>
  <c r="EC78" i="50"/>
  <c r="AN118" i="50"/>
  <c r="X99" i="50"/>
  <c r="DN189" i="50"/>
  <c r="AE115" i="50"/>
  <c r="EW79" i="50"/>
  <c r="AG99" i="50"/>
  <c r="CC188" i="50"/>
  <c r="BA185" i="50"/>
  <c r="G92" i="50"/>
  <c r="AJ201" i="50"/>
  <c r="DP217" i="50"/>
  <c r="CE84" i="50"/>
  <c r="AS82" i="50"/>
  <c r="BN91" i="50"/>
  <c r="J222" i="50"/>
  <c r="M217" i="50"/>
  <c r="U223" i="50"/>
  <c r="CU113" i="50"/>
  <c r="AV96" i="50"/>
  <c r="CP150" i="50"/>
  <c r="EQ202" i="50"/>
  <c r="CQ188" i="50"/>
  <c r="BP105" i="50"/>
  <c r="AE185" i="50"/>
  <c r="AN89" i="50"/>
  <c r="AY75" i="50"/>
  <c r="F191" i="50"/>
  <c r="S136" i="50"/>
  <c r="AD150" i="50"/>
  <c r="M88" i="50"/>
  <c r="DO165" i="50"/>
  <c r="AF187" i="50"/>
  <c r="F21" i="50"/>
  <c r="CU101" i="50"/>
  <c r="Z49" i="50"/>
  <c r="ER206" i="50"/>
  <c r="ES220" i="50"/>
  <c r="CT103" i="50"/>
  <c r="BB149" i="50"/>
  <c r="H14" i="50"/>
  <c r="EE86" i="50"/>
  <c r="CQ132" i="50"/>
  <c r="I109" i="50"/>
  <c r="BA221" i="50"/>
  <c r="AL74" i="50"/>
  <c r="BY97" i="50"/>
  <c r="AQ123" i="50"/>
  <c r="DZ97" i="50"/>
  <c r="ED164" i="50"/>
  <c r="CU168" i="50"/>
  <c r="CQ166" i="50"/>
  <c r="CC127" i="50"/>
  <c r="CC80" i="50"/>
  <c r="BP109" i="50"/>
  <c r="AW86" i="50"/>
  <c r="V44" i="50"/>
  <c r="DL204" i="50"/>
  <c r="CS192" i="50"/>
  <c r="Z94" i="50"/>
  <c r="Z130" i="50"/>
  <c r="AD146" i="50"/>
  <c r="BX135" i="50"/>
  <c r="BH95" i="50"/>
  <c r="DZ122" i="50"/>
  <c r="F204" i="50"/>
  <c r="AD218" i="50"/>
  <c r="D120" i="50"/>
  <c r="DN95" i="50"/>
  <c r="BI97" i="50"/>
  <c r="CP118" i="50"/>
  <c r="BL78" i="50"/>
  <c r="BM134" i="50"/>
  <c r="BC204" i="50"/>
  <c r="H204" i="50"/>
  <c r="EW163" i="50"/>
  <c r="AB220" i="50"/>
  <c r="AB83" i="50"/>
  <c r="E33" i="50"/>
  <c r="AG89" i="50"/>
  <c r="DN77" i="50"/>
  <c r="M189" i="50"/>
  <c r="BL120" i="50"/>
  <c r="CU148" i="50"/>
  <c r="J24" i="50"/>
  <c r="BB97" i="50"/>
  <c r="DZ205" i="50"/>
  <c r="ES87" i="50"/>
  <c r="ED97" i="50"/>
  <c r="AR109" i="50"/>
  <c r="T149" i="50"/>
  <c r="AH91" i="50"/>
  <c r="AG103" i="50"/>
  <c r="EC99" i="50"/>
  <c r="BD189" i="50"/>
  <c r="R124" i="50"/>
  <c r="AM74" i="50"/>
  <c r="BA104" i="50"/>
  <c r="AF48" i="50"/>
  <c r="CS127" i="50"/>
  <c r="DL81" i="50"/>
  <c r="W17" i="50"/>
  <c r="D133" i="50"/>
  <c r="AG107" i="50"/>
  <c r="ED167" i="50"/>
  <c r="AF53" i="50"/>
  <c r="CC111" i="50"/>
  <c r="DM220" i="50"/>
  <c r="U152" i="50"/>
  <c r="AR84" i="50"/>
  <c r="N137" i="50"/>
  <c r="DY204" i="50"/>
  <c r="ES126" i="50"/>
  <c r="CP133" i="50"/>
  <c r="BF204" i="50"/>
  <c r="EV117" i="50"/>
  <c r="W34" i="50"/>
  <c r="BF150" i="50"/>
  <c r="AR94" i="50"/>
  <c r="AE127" i="50"/>
  <c r="F75" i="50"/>
  <c r="T44" i="50"/>
  <c r="BA96" i="50"/>
  <c r="K200" i="50"/>
  <c r="DS90" i="50"/>
  <c r="BK79" i="50"/>
  <c r="DN74" i="50"/>
  <c r="K102" i="50"/>
  <c r="EB73" i="50"/>
  <c r="Y24" i="50"/>
  <c r="AC87" i="50"/>
  <c r="BK147" i="50"/>
  <c r="Y30" i="50"/>
  <c r="EE108" i="50"/>
  <c r="EU185" i="50"/>
  <c r="CB108" i="50"/>
  <c r="BZ105" i="50"/>
  <c r="Z221" i="50"/>
  <c r="AF135" i="50"/>
  <c r="AW113" i="50"/>
  <c r="BH80" i="50"/>
  <c r="BP108" i="50"/>
  <c r="DN219" i="50"/>
  <c r="AW78" i="50"/>
  <c r="G223" i="50"/>
  <c r="CE199" i="50"/>
  <c r="AS184" i="50"/>
  <c r="AF127" i="50"/>
  <c r="BD116" i="50"/>
  <c r="AP106" i="50"/>
  <c r="BL148" i="50"/>
  <c r="AA96" i="50"/>
  <c r="T145" i="50"/>
  <c r="K146" i="50"/>
  <c r="CC73" i="50"/>
  <c r="AQ134" i="50"/>
  <c r="EV73" i="50"/>
  <c r="DK190" i="50"/>
  <c r="BW185" i="50"/>
  <c r="EU92" i="50"/>
  <c r="G101" i="50"/>
  <c r="AJ20" i="50"/>
  <c r="E85" i="50"/>
  <c r="AK113" i="50"/>
  <c r="BL203" i="50"/>
  <c r="R116" i="50"/>
  <c r="CD218" i="50"/>
  <c r="C75" i="50"/>
  <c r="BJ151" i="50"/>
  <c r="EX110" i="50"/>
  <c r="EU120" i="50"/>
  <c r="AC49" i="50"/>
  <c r="AF217" i="50"/>
  <c r="R104" i="50"/>
  <c r="DL87" i="50"/>
  <c r="EC97" i="50"/>
  <c r="CS203" i="50"/>
  <c r="AY87" i="50"/>
  <c r="AJ74" i="50"/>
  <c r="AD120" i="50"/>
  <c r="N134" i="50"/>
  <c r="EA145" i="50"/>
  <c r="BL85" i="50"/>
  <c r="AE87" i="50"/>
  <c r="AB105" i="50"/>
  <c r="AE113" i="50"/>
  <c r="V47" i="50"/>
  <c r="AL103" i="50"/>
  <c r="BL110" i="50"/>
  <c r="DK109" i="50"/>
  <c r="AF104" i="50"/>
  <c r="R191" i="50"/>
  <c r="CC100" i="50"/>
  <c r="AY187" i="50"/>
  <c r="CA202" i="50"/>
  <c r="V16" i="50"/>
  <c r="CP204" i="50"/>
  <c r="EC75" i="50"/>
  <c r="BW189" i="50"/>
  <c r="AA85" i="50"/>
  <c r="AV135" i="50"/>
  <c r="AX204" i="50"/>
  <c r="V166" i="50"/>
  <c r="N107" i="50"/>
  <c r="BX185" i="50"/>
  <c r="AT120" i="50"/>
  <c r="P150" i="50"/>
  <c r="BK85" i="50"/>
  <c r="AG145" i="50"/>
  <c r="AI164" i="50"/>
  <c r="DO85" i="50"/>
  <c r="V17" i="50"/>
  <c r="BO192" i="50"/>
  <c r="BO125" i="50"/>
  <c r="W99" i="50"/>
  <c r="AO99" i="50"/>
  <c r="EA92" i="50"/>
  <c r="BH187" i="50"/>
  <c r="CR97" i="50"/>
  <c r="Y169" i="50"/>
  <c r="J115" i="50"/>
  <c r="I102" i="50"/>
  <c r="CQ92" i="50"/>
  <c r="DZ147" i="50"/>
  <c r="T95" i="50"/>
  <c r="DQ150" i="50"/>
  <c r="I108" i="50"/>
  <c r="ET112" i="50"/>
  <c r="BL151" i="50"/>
  <c r="AC43" i="50"/>
  <c r="AD105" i="50"/>
  <c r="V147" i="50"/>
  <c r="DZ104" i="50"/>
  <c r="AO101" i="50"/>
  <c r="T24" i="50"/>
  <c r="ET89" i="50"/>
  <c r="AA145" i="50"/>
  <c r="BW91" i="50"/>
  <c r="U117" i="50"/>
  <c r="DO95" i="50"/>
  <c r="CS108" i="50"/>
  <c r="N149" i="50"/>
  <c r="P75" i="50"/>
  <c r="AK85" i="50"/>
  <c r="AD200" i="50"/>
  <c r="DP220" i="50"/>
  <c r="CP202" i="50"/>
  <c r="EE135" i="50"/>
  <c r="DN78" i="50"/>
  <c r="CO89" i="50"/>
  <c r="S76" i="50"/>
  <c r="AG76" i="50"/>
  <c r="AX127" i="50"/>
  <c r="DQ136" i="50"/>
  <c r="DQ78" i="50"/>
  <c r="R75" i="50"/>
  <c r="CA74" i="50"/>
  <c r="Y88" i="50"/>
  <c r="ES103" i="50"/>
  <c r="G93" i="50"/>
  <c r="CB223" i="50"/>
  <c r="AX124" i="50"/>
  <c r="DO135" i="50"/>
  <c r="EX132" i="50"/>
  <c r="BI119" i="50"/>
  <c r="AD222" i="50"/>
  <c r="BB83" i="50"/>
  <c r="AW126" i="50"/>
  <c r="U52" i="50"/>
  <c r="AN107" i="50"/>
  <c r="BP165" i="50"/>
  <c r="AB148" i="50"/>
  <c r="Y105" i="50"/>
  <c r="M127" i="50"/>
  <c r="AA186" i="50"/>
  <c r="AI219" i="50"/>
  <c r="BP88" i="50"/>
  <c r="AI104" i="50"/>
  <c r="Y149" i="50"/>
  <c r="DZ92" i="50"/>
  <c r="BL125" i="50"/>
  <c r="AJ120" i="50"/>
  <c r="Q89" i="50"/>
  <c r="AW82" i="50"/>
  <c r="AB112" i="50"/>
  <c r="U103" i="50"/>
  <c r="AN168" i="50"/>
  <c r="BY185" i="50"/>
  <c r="CS218" i="50"/>
  <c r="ED120" i="50"/>
  <c r="CA169" i="50"/>
  <c r="DN103" i="50"/>
  <c r="ED82" i="50"/>
  <c r="K77" i="50"/>
  <c r="BJ218" i="50"/>
  <c r="CP223" i="50"/>
  <c r="BC138" i="50"/>
  <c r="DK222" i="50"/>
  <c r="AZ90" i="50"/>
  <c r="BH204" i="50"/>
  <c r="CT76" i="50"/>
  <c r="I185" i="50"/>
  <c r="BP220" i="50"/>
  <c r="EA147" i="50"/>
  <c r="BF88" i="50"/>
  <c r="K98" i="50"/>
  <c r="AT150" i="50"/>
  <c r="DR186" i="50"/>
  <c r="Z53" i="50"/>
  <c r="DS104" i="50"/>
  <c r="BZ84" i="50"/>
  <c r="AF166" i="50"/>
  <c r="DY76" i="50"/>
  <c r="AX145" i="50"/>
  <c r="DN199" i="50"/>
  <c r="BF219" i="50"/>
  <c r="AB82" i="50"/>
  <c r="W42" i="50"/>
  <c r="BC94" i="50"/>
  <c r="EC199" i="50"/>
  <c r="DN121" i="50"/>
  <c r="EV147" i="50"/>
  <c r="V36" i="50"/>
  <c r="EA104" i="50"/>
  <c r="AB88" i="50"/>
  <c r="CT95" i="50"/>
  <c r="BI102" i="50"/>
  <c r="AQ190" i="50"/>
  <c r="I19" i="50"/>
  <c r="U34" i="50"/>
  <c r="DQ201" i="50"/>
  <c r="CP73" i="50"/>
  <c r="AV167" i="50"/>
  <c r="BZ146" i="50"/>
  <c r="AO115" i="50"/>
  <c r="EW78" i="50"/>
  <c r="R30" i="50"/>
  <c r="CP200" i="50"/>
  <c r="AN135" i="50"/>
  <c r="AQ86" i="50"/>
  <c r="BZ203" i="50"/>
  <c r="S20" i="50"/>
  <c r="CC89" i="50"/>
  <c r="AA98" i="50"/>
  <c r="AB217" i="50"/>
  <c r="AR97" i="50"/>
  <c r="DR132" i="50"/>
  <c r="E115" i="50"/>
  <c r="CA77" i="50"/>
  <c r="EE118" i="50"/>
  <c r="CP199" i="50"/>
  <c r="AO119" i="50"/>
  <c r="CT164" i="50"/>
  <c r="BB74" i="50"/>
  <c r="V206" i="50"/>
  <c r="AM84" i="50"/>
  <c r="W76" i="50"/>
  <c r="AU102" i="50"/>
  <c r="I16" i="50"/>
  <c r="EE92" i="50"/>
  <c r="AA124" i="50"/>
  <c r="CU145" i="50"/>
  <c r="CS221" i="50"/>
  <c r="EX91" i="50"/>
  <c r="P134" i="50"/>
  <c r="DS79" i="50"/>
  <c r="DY206" i="50"/>
  <c r="Y22" i="50"/>
  <c r="DJ120" i="50"/>
  <c r="BH74" i="50"/>
  <c r="I106" i="50"/>
  <c r="S96" i="50"/>
  <c r="ES134" i="50"/>
  <c r="X149" i="50"/>
  <c r="DS84" i="50"/>
  <c r="AH223" i="50"/>
  <c r="S86" i="50"/>
  <c r="T104" i="50"/>
  <c r="EV168" i="50"/>
  <c r="BC145" i="50"/>
  <c r="ET73" i="50"/>
  <c r="D221" i="50"/>
  <c r="EF77" i="50"/>
  <c r="AF223" i="50"/>
  <c r="AX75" i="50"/>
  <c r="ED106" i="50"/>
  <c r="O91" i="50"/>
  <c r="DN104" i="50"/>
  <c r="BL102" i="50"/>
  <c r="AT81" i="50"/>
  <c r="AQ165" i="50"/>
  <c r="BZ122" i="50"/>
  <c r="EX96" i="50"/>
  <c r="R219" i="50"/>
  <c r="K135" i="50"/>
  <c r="W134" i="50"/>
  <c r="CA102" i="50"/>
  <c r="BZ223" i="50"/>
  <c r="AV127" i="50"/>
  <c r="EF185" i="50"/>
  <c r="BL103" i="50"/>
  <c r="BI126" i="50"/>
  <c r="AP109" i="50"/>
  <c r="DM166" i="50"/>
  <c r="P89" i="50"/>
  <c r="AM167" i="50"/>
  <c r="U94" i="50"/>
  <c r="EQ123" i="50"/>
  <c r="BM111" i="50"/>
  <c r="U201" i="50"/>
  <c r="AC79" i="50"/>
  <c r="AJ199" i="50"/>
  <c r="AG85" i="50"/>
  <c r="AN93" i="50"/>
  <c r="CB151" i="50"/>
  <c r="EV130" i="50"/>
  <c r="DK199" i="50"/>
  <c r="N190" i="50"/>
  <c r="AP94" i="50"/>
  <c r="ER218" i="50"/>
  <c r="AS217" i="50"/>
  <c r="AK114" i="50"/>
  <c r="CA190" i="50"/>
  <c r="CB113" i="50"/>
  <c r="EV99" i="50"/>
  <c r="ET222" i="50"/>
  <c r="P80" i="50"/>
  <c r="EA203" i="50"/>
  <c r="AY217" i="50"/>
  <c r="X98" i="50"/>
  <c r="AG147" i="50"/>
  <c r="ES117" i="50"/>
  <c r="BN191" i="50"/>
  <c r="R130" i="50"/>
  <c r="N108" i="50"/>
  <c r="DY148" i="50"/>
  <c r="K136" i="50"/>
  <c r="AH106" i="50"/>
  <c r="AA94" i="50"/>
  <c r="EU80" i="50"/>
  <c r="AU125" i="50"/>
  <c r="DM218" i="50"/>
  <c r="DP132" i="50"/>
  <c r="EG86" i="50"/>
  <c r="S16" i="50"/>
  <c r="S21" i="50"/>
  <c r="L122" i="50"/>
  <c r="ER98" i="50"/>
  <c r="ER199" i="50"/>
  <c r="DZ83" i="50"/>
  <c r="CS137" i="50"/>
  <c r="BK83" i="50"/>
  <c r="L95" i="50"/>
  <c r="AE120" i="50"/>
  <c r="BL219" i="50"/>
  <c r="EB134" i="50"/>
  <c r="DO122" i="50"/>
  <c r="BK123" i="50"/>
  <c r="BH130" i="50"/>
  <c r="CO74" i="50"/>
  <c r="CB130" i="50"/>
  <c r="BD146" i="50"/>
  <c r="BK107" i="50"/>
  <c r="DO99" i="50"/>
  <c r="V151" i="50"/>
  <c r="T76" i="50"/>
  <c r="DP149" i="50"/>
  <c r="EA137" i="50"/>
  <c r="CB167" i="50"/>
  <c r="AA120" i="50"/>
  <c r="Q96" i="50"/>
  <c r="BN106" i="50"/>
  <c r="BF107" i="50"/>
  <c r="AY134" i="50"/>
  <c r="CV112" i="50"/>
  <c r="EU138" i="50"/>
  <c r="CC146" i="50"/>
  <c r="AE107" i="50"/>
  <c r="L168" i="50"/>
  <c r="D83" i="50"/>
  <c r="E108" i="50"/>
  <c r="AN163" i="50"/>
  <c r="BF104" i="50"/>
  <c r="EG126" i="50"/>
  <c r="V82" i="50"/>
  <c r="BM116" i="50"/>
  <c r="DN99" i="50"/>
  <c r="S168" i="50"/>
  <c r="BQ130" i="50"/>
  <c r="CR123" i="50"/>
  <c r="CB104" i="50"/>
  <c r="Z75" i="50"/>
  <c r="AU106" i="50"/>
  <c r="E223" i="50"/>
  <c r="EX164" i="50"/>
  <c r="AQ98" i="50"/>
  <c r="J137" i="50"/>
  <c r="BC187" i="50"/>
  <c r="AK189" i="50"/>
  <c r="BZ200" i="50"/>
  <c r="AU220" i="50"/>
  <c r="EQ84" i="50"/>
  <c r="CP105" i="50"/>
  <c r="C80" i="50"/>
  <c r="CA80" i="50"/>
  <c r="AB135" i="50"/>
  <c r="AN221" i="50"/>
  <c r="M130" i="50"/>
  <c r="Z152" i="50"/>
  <c r="ER80" i="50"/>
  <c r="AU133" i="50"/>
  <c r="CT85" i="50"/>
  <c r="BB169" i="50"/>
  <c r="AF24" i="50"/>
  <c r="AP185" i="50"/>
  <c r="BD132" i="50"/>
  <c r="DJ89" i="50"/>
  <c r="AB164" i="50"/>
  <c r="AG106" i="50"/>
  <c r="AS220" i="50"/>
  <c r="EG109" i="50"/>
  <c r="R44" i="50"/>
  <c r="DO150" i="50"/>
  <c r="BM110" i="50"/>
  <c r="EQ187" i="50"/>
  <c r="AV82" i="50"/>
  <c r="T79" i="50"/>
  <c r="AO131" i="50"/>
  <c r="EB101" i="50"/>
  <c r="BJ223" i="50"/>
  <c r="AB34" i="50"/>
  <c r="EV96" i="50"/>
  <c r="CV76" i="50"/>
  <c r="AB127" i="50"/>
  <c r="D202" i="50"/>
  <c r="AG116" i="50"/>
  <c r="ED131" i="50"/>
  <c r="BZ120" i="50"/>
  <c r="EV133" i="50"/>
  <c r="DP102" i="50"/>
  <c r="W57" i="50"/>
  <c r="BB122" i="50"/>
  <c r="AN105" i="50"/>
  <c r="DY202" i="50"/>
  <c r="DY104" i="50"/>
  <c r="ES104" i="50"/>
  <c r="BP136" i="50"/>
  <c r="T205" i="50"/>
  <c r="CQ118" i="50"/>
  <c r="BI217" i="50"/>
  <c r="AF205" i="50"/>
  <c r="K204" i="50"/>
  <c r="AZ146" i="50"/>
  <c r="AJ113" i="50"/>
  <c r="DR93" i="50"/>
  <c r="T28" i="50"/>
  <c r="E218" i="50"/>
  <c r="EA102" i="50"/>
  <c r="AG199" i="50"/>
  <c r="BM73" i="50"/>
  <c r="C31" i="50"/>
  <c r="EG114" i="50"/>
  <c r="AM145" i="50"/>
  <c r="W78" i="50"/>
  <c r="AB28" i="50"/>
  <c r="EA123" i="50"/>
  <c r="AK163" i="50"/>
  <c r="AI134" i="50"/>
  <c r="AI81" i="50"/>
  <c r="E75" i="50"/>
  <c r="AB115" i="50"/>
  <c r="DZ131" i="50"/>
  <c r="DP99" i="50"/>
  <c r="AR101" i="50"/>
  <c r="DL199" i="50"/>
  <c r="AL148" i="50"/>
  <c r="AW107" i="50"/>
  <c r="CO100" i="50"/>
  <c r="BP218" i="50"/>
  <c r="AW120" i="50"/>
  <c r="AV148" i="50"/>
  <c r="AW84" i="50"/>
  <c r="EX111" i="50"/>
  <c r="H83" i="50"/>
  <c r="BC146" i="50"/>
  <c r="DL105" i="50"/>
  <c r="AX134" i="50"/>
  <c r="EU136" i="50"/>
  <c r="EV116" i="50"/>
  <c r="F136" i="50"/>
  <c r="EU89" i="50"/>
  <c r="AH90" i="50"/>
  <c r="AQ81" i="50"/>
  <c r="ES166" i="50"/>
  <c r="R47" i="50"/>
  <c r="CS118" i="50"/>
  <c r="CR186" i="50"/>
  <c r="AS99" i="50"/>
  <c r="CR77" i="50"/>
  <c r="M80" i="50"/>
  <c r="AZ120" i="50"/>
  <c r="AJ80" i="50"/>
  <c r="AC113" i="50"/>
  <c r="BA117" i="50"/>
  <c r="DK204" i="50"/>
  <c r="AI167" i="50"/>
  <c r="W77" i="50"/>
  <c r="AB199" i="50"/>
  <c r="AD82" i="50"/>
  <c r="BO84" i="50"/>
  <c r="AA192" i="50"/>
  <c r="CV117" i="50"/>
  <c r="DQ203" i="50"/>
  <c r="AT122" i="50"/>
  <c r="R97" i="50"/>
  <c r="BB187" i="50"/>
  <c r="AM75" i="50"/>
  <c r="L206" i="50"/>
  <c r="AC57" i="50"/>
  <c r="AJ123" i="50"/>
  <c r="J23" i="50"/>
  <c r="J165" i="50"/>
  <c r="BI148" i="50"/>
  <c r="AC184" i="50"/>
  <c r="AL187" i="50"/>
  <c r="BB81" i="50"/>
  <c r="DM88" i="50"/>
  <c r="C148" i="50"/>
  <c r="EC127" i="50"/>
  <c r="EE167" i="50"/>
  <c r="DL136" i="50"/>
  <c r="S218" i="50"/>
  <c r="ER97" i="50"/>
  <c r="AO108" i="50"/>
  <c r="Z135" i="50"/>
  <c r="BL149" i="50"/>
  <c r="AJ127" i="50"/>
  <c r="AE111" i="50"/>
  <c r="DN185" i="50"/>
  <c r="AI136" i="50"/>
  <c r="EB146" i="50"/>
  <c r="BX91" i="50"/>
  <c r="J99" i="50"/>
  <c r="V218" i="50"/>
  <c r="W150" i="50"/>
  <c r="AY145" i="50"/>
  <c r="V26" i="50"/>
  <c r="F219" i="50"/>
  <c r="CP106" i="50"/>
  <c r="BE184" i="50"/>
  <c r="Q168" i="50"/>
  <c r="W14" i="50"/>
  <c r="BQ137" i="50"/>
  <c r="AR108" i="50"/>
  <c r="W82" i="50"/>
  <c r="AN120" i="50"/>
  <c r="AQ131" i="50"/>
  <c r="K97" i="50"/>
  <c r="AW79" i="50"/>
  <c r="EE120" i="50"/>
  <c r="BE106" i="50"/>
  <c r="X163" i="50"/>
  <c r="AO187" i="50"/>
  <c r="AH184" i="50"/>
  <c r="AC85" i="50"/>
  <c r="BD108" i="50"/>
  <c r="AV106" i="50"/>
  <c r="W95" i="50"/>
  <c r="AQ120" i="50"/>
  <c r="BK166" i="50"/>
  <c r="Q115" i="50"/>
  <c r="AO114" i="50"/>
  <c r="DO89" i="50"/>
  <c r="BZ96" i="50"/>
  <c r="CC202" i="50"/>
  <c r="M14" i="50"/>
  <c r="BK110" i="50"/>
  <c r="CP148" i="50"/>
  <c r="DK73" i="50"/>
  <c r="I134" i="50"/>
  <c r="BZ205" i="50"/>
  <c r="S116" i="50"/>
  <c r="AL28" i="50"/>
  <c r="AP146" i="50"/>
  <c r="DM93" i="50"/>
  <c r="V20" i="50"/>
  <c r="AI221" i="50"/>
  <c r="EA100" i="50"/>
  <c r="AY89" i="50"/>
  <c r="AO122" i="50"/>
  <c r="G135" i="50"/>
  <c r="AL99" i="50"/>
  <c r="AT127" i="50"/>
  <c r="R220" i="50"/>
  <c r="AK134" i="50"/>
  <c r="AA134" i="50"/>
  <c r="DO97" i="50"/>
  <c r="AK95" i="50"/>
  <c r="EE202" i="50"/>
  <c r="BL185" i="50"/>
  <c r="CR82" i="50"/>
  <c r="CT123" i="50"/>
  <c r="DO187" i="50"/>
  <c r="AS221" i="50"/>
  <c r="AO137" i="50"/>
  <c r="AY83" i="50"/>
  <c r="BB168" i="50"/>
  <c r="AU99" i="50"/>
  <c r="BY219" i="50"/>
  <c r="J103" i="50"/>
  <c r="AV102" i="50"/>
  <c r="EB119" i="50"/>
  <c r="CP122" i="50"/>
  <c r="CQ127" i="50"/>
  <c r="AX199" i="50"/>
  <c r="EW138" i="50"/>
  <c r="DQ81" i="50"/>
  <c r="EB199" i="50"/>
  <c r="DS130" i="50"/>
  <c r="ER99" i="50"/>
  <c r="BL167" i="50"/>
  <c r="S49" i="50"/>
  <c r="BA106" i="50"/>
  <c r="BI103" i="50"/>
  <c r="O106" i="50"/>
  <c r="EU117" i="50"/>
  <c r="BY106" i="50"/>
  <c r="BQ149" i="50"/>
  <c r="CV118" i="50"/>
  <c r="U217" i="50"/>
  <c r="AN115" i="50"/>
  <c r="AA47" i="50"/>
  <c r="BA220" i="50"/>
  <c r="AL107" i="50"/>
  <c r="BI130" i="50"/>
  <c r="DM147" i="50"/>
  <c r="AL80" i="50"/>
  <c r="C147" i="50"/>
  <c r="CV116" i="50"/>
  <c r="CC133" i="50"/>
  <c r="J189" i="50"/>
  <c r="BC96" i="50"/>
  <c r="AV109" i="50"/>
  <c r="T122" i="50"/>
  <c r="DZ133" i="50"/>
  <c r="BI220" i="50"/>
  <c r="AJ97" i="50"/>
  <c r="BA86" i="50"/>
  <c r="AP107" i="50"/>
  <c r="AU96" i="50"/>
  <c r="BL199" i="50"/>
  <c r="I152" i="50"/>
  <c r="EA83" i="50"/>
  <c r="DZ184" i="50"/>
  <c r="EB111" i="50"/>
  <c r="DL76" i="50"/>
  <c r="BB166" i="50"/>
  <c r="K220" i="50"/>
  <c r="AH164" i="50"/>
  <c r="BF93" i="50"/>
  <c r="K137" i="50"/>
  <c r="AX103" i="50"/>
  <c r="DN204" i="50"/>
  <c r="AS166" i="50"/>
  <c r="BJ185" i="50"/>
  <c r="D85" i="50"/>
  <c r="EG117" i="50"/>
  <c r="D20" i="50"/>
  <c r="C218" i="50"/>
  <c r="EC186" i="50"/>
  <c r="AZ118" i="50"/>
  <c r="O205" i="50"/>
  <c r="EE85" i="50"/>
  <c r="F218" i="50"/>
  <c r="BK95" i="50"/>
  <c r="DZ93" i="50"/>
  <c r="AB222" i="50"/>
  <c r="AS102" i="50"/>
  <c r="CT145" i="50"/>
  <c r="AM186" i="50"/>
  <c r="EV103" i="50"/>
  <c r="CT187" i="50"/>
  <c r="H92" i="50"/>
  <c r="BW131" i="50"/>
  <c r="BE190" i="50"/>
  <c r="DP100" i="50"/>
  <c r="EV151" i="50"/>
  <c r="Z98" i="50"/>
  <c r="BI85" i="50"/>
  <c r="EG91" i="50"/>
  <c r="C78" i="50"/>
  <c r="AI83" i="50"/>
  <c r="BC168" i="50"/>
  <c r="DJ76" i="50"/>
  <c r="L102" i="50"/>
  <c r="O185" i="50"/>
  <c r="AY82" i="50"/>
  <c r="CT74" i="50"/>
  <c r="DM108" i="50"/>
  <c r="EU191" i="50"/>
  <c r="BB218" i="50"/>
  <c r="N201" i="50"/>
  <c r="DJ91" i="50"/>
  <c r="EE200" i="50"/>
  <c r="AH75" i="50"/>
  <c r="BW201" i="50"/>
  <c r="AW118" i="50"/>
  <c r="BF108" i="50"/>
  <c r="E221" i="50"/>
  <c r="AE136" i="50"/>
  <c r="T21" i="50"/>
  <c r="AM82" i="50"/>
  <c r="J164" i="50"/>
  <c r="EU163" i="50"/>
  <c r="AA218" i="50"/>
  <c r="AL165" i="50"/>
  <c r="Q76" i="50"/>
  <c r="G118" i="50"/>
  <c r="BF220" i="50"/>
  <c r="J16" i="50"/>
  <c r="H120" i="50"/>
  <c r="ET99" i="50"/>
  <c r="O83" i="50"/>
  <c r="BB106" i="50"/>
  <c r="EW205" i="50"/>
  <c r="EV218" i="50"/>
  <c r="AD188" i="50"/>
  <c r="Z76" i="50"/>
  <c r="AE42" i="50"/>
  <c r="CU135" i="50"/>
  <c r="DY120" i="50"/>
  <c r="EX203" i="50"/>
  <c r="Q84" i="50"/>
  <c r="CA124" i="50"/>
  <c r="CT219" i="50"/>
  <c r="EE187" i="50"/>
  <c r="DQ127" i="50"/>
  <c r="AX146" i="50"/>
  <c r="H220" i="50"/>
  <c r="K113" i="50"/>
  <c r="AC92" i="50"/>
  <c r="BD135" i="50"/>
  <c r="T88" i="50"/>
  <c r="BA116" i="50"/>
  <c r="AE135" i="50"/>
  <c r="J74" i="50"/>
  <c r="D96" i="50"/>
  <c r="EB219" i="50"/>
  <c r="BW75" i="50"/>
  <c r="C106" i="50"/>
  <c r="CR75" i="50"/>
  <c r="AH205" i="50"/>
  <c r="DJ167" i="50"/>
  <c r="ET80" i="50"/>
  <c r="H201" i="50"/>
  <c r="AI109" i="50"/>
  <c r="EQ168" i="50"/>
  <c r="M15" i="50"/>
  <c r="CV109" i="50"/>
  <c r="AG104" i="50"/>
  <c r="AU109" i="50"/>
  <c r="CV145" i="50"/>
  <c r="EG222" i="50"/>
  <c r="S47" i="50"/>
  <c r="AT82" i="50"/>
  <c r="BX116" i="50"/>
  <c r="DM116" i="50"/>
  <c r="AE151" i="50"/>
  <c r="CT151" i="50"/>
  <c r="U98" i="50"/>
  <c r="U19" i="50"/>
  <c r="CC136" i="50"/>
  <c r="CV96" i="50"/>
  <c r="EV163" i="50"/>
  <c r="AT136" i="50"/>
  <c r="ED108" i="50"/>
  <c r="ES149" i="50"/>
  <c r="AC52" i="50"/>
  <c r="BE99" i="50"/>
  <c r="BZ145" i="50"/>
  <c r="AK119" i="50"/>
  <c r="BF73" i="50"/>
  <c r="AR74" i="50"/>
  <c r="CU90" i="50"/>
  <c r="X192" i="50"/>
  <c r="AH121" i="50"/>
  <c r="BJ96" i="50"/>
  <c r="BX106" i="50"/>
  <c r="AE52" i="50"/>
  <c r="AM113" i="50"/>
  <c r="X57" i="50"/>
  <c r="Y51" i="50"/>
  <c r="BF123" i="50"/>
  <c r="BF113" i="50"/>
  <c r="AE91" i="50"/>
  <c r="DK218" i="50"/>
  <c r="CT199" i="50"/>
  <c r="BC199" i="50"/>
  <c r="M149" i="50"/>
  <c r="EQ220" i="50"/>
  <c r="CV202" i="50"/>
  <c r="BY136" i="50"/>
  <c r="I191" i="50"/>
  <c r="T90" i="50"/>
  <c r="CR108" i="50"/>
  <c r="BY137" i="50"/>
  <c r="L96" i="50"/>
  <c r="AO120" i="50"/>
  <c r="BQ96" i="50"/>
  <c r="EC96" i="50"/>
  <c r="L92" i="50"/>
  <c r="U89" i="50"/>
  <c r="AY132" i="50"/>
  <c r="AH202" i="50"/>
  <c r="G192" i="50"/>
  <c r="AB204" i="50"/>
  <c r="EE91" i="50"/>
  <c r="M192" i="50"/>
  <c r="EV201" i="50"/>
  <c r="CO202" i="50"/>
  <c r="EF104" i="50"/>
  <c r="DS98" i="50"/>
  <c r="AK101" i="50"/>
  <c r="AU134" i="50"/>
  <c r="X78" i="50"/>
  <c r="J85" i="50"/>
  <c r="E78" i="50"/>
  <c r="EV91" i="50"/>
  <c r="AO204" i="50"/>
  <c r="AZ94" i="50"/>
  <c r="BO97" i="50"/>
  <c r="BM221" i="50"/>
  <c r="EW103" i="50"/>
  <c r="R93" i="50"/>
  <c r="BQ112" i="50"/>
  <c r="DP186" i="50"/>
  <c r="EX150" i="50"/>
  <c r="C104" i="50"/>
  <c r="AT221" i="50"/>
  <c r="F122" i="50"/>
  <c r="AC83" i="50"/>
  <c r="BM136" i="50"/>
  <c r="EX118" i="50"/>
  <c r="W36" i="50"/>
  <c r="AD114" i="50"/>
  <c r="CP121" i="50"/>
  <c r="AZ103" i="50"/>
  <c r="BX79" i="50"/>
  <c r="AE11" i="26"/>
  <c r="AX118" i="50"/>
  <c r="AD108" i="50"/>
  <c r="W30" i="50"/>
  <c r="BJ147" i="50"/>
  <c r="CT117" i="50"/>
  <c r="BI100" i="50"/>
  <c r="AB119" i="50"/>
  <c r="AP167" i="50"/>
  <c r="BD201" i="50"/>
  <c r="CP80" i="50"/>
  <c r="CQ131" i="50"/>
  <c r="E220" i="50"/>
  <c r="AO82" i="50"/>
  <c r="DL123" i="50"/>
  <c r="AD54" i="50"/>
  <c r="BE192" i="50"/>
  <c r="F33" i="50"/>
  <c r="AR83" i="50"/>
  <c r="AF105" i="50"/>
  <c r="EW219" i="50"/>
  <c r="AB43" i="50"/>
  <c r="CD220" i="50"/>
  <c r="ER219" i="50"/>
  <c r="BI99" i="50"/>
  <c r="AU116" i="50"/>
  <c r="AP164" i="50"/>
  <c r="AB150" i="50"/>
  <c r="CP219" i="50"/>
  <c r="BQ98" i="50"/>
  <c r="BX102" i="50"/>
  <c r="EB87" i="50"/>
  <c r="EW98" i="50"/>
  <c r="AQ108" i="50"/>
  <c r="DP136" i="50"/>
  <c r="AN138" i="50"/>
  <c r="R23" i="50"/>
  <c r="CV188" i="50"/>
  <c r="EX80" i="50"/>
  <c r="M109" i="50"/>
  <c r="AH146" i="50"/>
  <c r="K99" i="50"/>
  <c r="BL220" i="50"/>
  <c r="ET223" i="50"/>
  <c r="F89" i="50"/>
  <c r="CB150" i="50"/>
  <c r="EE134" i="50"/>
  <c r="CU118" i="50"/>
  <c r="EF206" i="50"/>
  <c r="AK202" i="50"/>
  <c r="L91" i="50"/>
  <c r="AH115" i="50"/>
  <c r="O150" i="50"/>
  <c r="J97" i="50"/>
  <c r="EU199" i="50"/>
  <c r="I21" i="50"/>
  <c r="EB81" i="50"/>
  <c r="DK94" i="50"/>
  <c r="CQ119" i="50"/>
  <c r="AG97" i="50"/>
  <c r="AH17" i="50"/>
  <c r="AL188" i="50"/>
  <c r="AO89" i="50"/>
  <c r="AP135" i="50"/>
  <c r="DY146" i="50"/>
  <c r="BH200" i="50"/>
  <c r="AH185" i="50"/>
  <c r="K107" i="50"/>
  <c r="AR204" i="50"/>
  <c r="AK120" i="50"/>
  <c r="EE73" i="50"/>
  <c r="BF102" i="50"/>
  <c r="N80" i="50"/>
  <c r="EC109" i="50"/>
  <c r="CO187" i="50"/>
  <c r="DQ133" i="50"/>
  <c r="EV86" i="50"/>
  <c r="AA83" i="50"/>
  <c r="U135" i="50"/>
  <c r="AI82" i="50"/>
  <c r="BZ164" i="50"/>
  <c r="AK78" i="50"/>
  <c r="ED169" i="50"/>
  <c r="BP103" i="50"/>
  <c r="AG137" i="50"/>
  <c r="AG192" i="50"/>
  <c r="EG107" i="50"/>
  <c r="H221" i="50"/>
  <c r="AU85" i="50"/>
  <c r="Q199" i="50"/>
  <c r="AY146" i="50"/>
  <c r="G187" i="50"/>
  <c r="J101" i="50"/>
  <c r="DN115" i="50"/>
  <c r="EG125" i="50"/>
  <c r="ET78" i="50"/>
  <c r="AS191" i="50"/>
  <c r="BP166" i="50"/>
  <c r="BD111" i="50"/>
  <c r="X148" i="50"/>
  <c r="CU165" i="50"/>
  <c r="AX115" i="50"/>
  <c r="Q91" i="50"/>
  <c r="BC75" i="50"/>
  <c r="AX222" i="50"/>
  <c r="E122" i="50"/>
  <c r="T89" i="50"/>
  <c r="C187" i="50"/>
  <c r="CR130" i="50"/>
  <c r="Q185" i="50"/>
  <c r="AH126" i="50"/>
  <c r="AA91" i="50"/>
  <c r="ES184" i="50"/>
  <c r="AG83" i="50"/>
  <c r="N151" i="50"/>
  <c r="DJ204" i="50"/>
  <c r="AU184" i="50"/>
  <c r="V45" i="50"/>
  <c r="DK110" i="50"/>
  <c r="DO222" i="50"/>
  <c r="BB167" i="50"/>
  <c r="AZ83" i="50"/>
  <c r="CC130" i="50"/>
  <c r="S23" i="50"/>
  <c r="AG125" i="50"/>
  <c r="I184" i="50"/>
  <c r="DZ79" i="50"/>
  <c r="AV165" i="50"/>
  <c r="BM166" i="50"/>
  <c r="AD98" i="50"/>
  <c r="V188" i="50"/>
  <c r="AF114" i="50"/>
  <c r="BX95" i="50"/>
  <c r="CS106" i="50"/>
  <c r="N136" i="50"/>
  <c r="R45" i="50"/>
  <c r="U133" i="50"/>
  <c r="DM204" i="50"/>
  <c r="DN122" i="50"/>
  <c r="CO115" i="50"/>
  <c r="BO217" i="50"/>
  <c r="BH83" i="50"/>
  <c r="AS97" i="50"/>
  <c r="DR120" i="50"/>
  <c r="V114" i="50"/>
  <c r="AL109" i="50"/>
  <c r="BO100" i="50"/>
  <c r="AK191" i="50"/>
  <c r="X145" i="50"/>
  <c r="V34" i="50"/>
  <c r="R81" i="50"/>
  <c r="CA95" i="50"/>
  <c r="I137" i="50"/>
  <c r="DS221" i="50"/>
  <c r="BW166" i="50"/>
  <c r="AM86" i="50"/>
  <c r="BN103" i="50"/>
  <c r="AT187" i="50"/>
  <c r="BY94" i="50"/>
  <c r="BF109" i="50"/>
  <c r="AR102" i="50"/>
  <c r="DP218" i="50"/>
  <c r="R111" i="50"/>
  <c r="CA86" i="50"/>
  <c r="BA108" i="50"/>
  <c r="AM109" i="50"/>
  <c r="BN116" i="50"/>
  <c r="BX119" i="50"/>
  <c r="AT204" i="50"/>
  <c r="ET118" i="50"/>
  <c r="BA102" i="50"/>
  <c r="J187" i="50"/>
  <c r="BI108" i="50"/>
  <c r="ED192" i="50"/>
  <c r="AZ168" i="50"/>
  <c r="Y104" i="50"/>
  <c r="T115" i="50"/>
  <c r="AB165" i="50"/>
  <c r="AR137" i="50"/>
  <c r="CO97" i="50"/>
  <c r="AD149" i="50"/>
  <c r="AS103" i="50"/>
  <c r="CC85" i="50"/>
  <c r="AB91" i="50"/>
  <c r="AB23" i="50"/>
  <c r="BC107" i="50"/>
  <c r="CQ97" i="50"/>
  <c r="BJ83" i="50"/>
  <c r="Y55" i="50"/>
  <c r="BL130" i="50"/>
  <c r="G99" i="50"/>
  <c r="AQ204" i="50"/>
  <c r="CV78" i="50"/>
  <c r="ET81" i="50"/>
  <c r="U204" i="50"/>
  <c r="J17" i="50"/>
  <c r="DP190" i="50"/>
  <c r="BY130" i="50"/>
  <c r="AS79" i="50"/>
  <c r="ET126" i="50"/>
  <c r="Q111" i="50"/>
  <c r="AC55" i="50"/>
  <c r="Q166" i="50"/>
  <c r="CS123" i="50"/>
  <c r="AZ111" i="50"/>
  <c r="EC86" i="50"/>
  <c r="V138" i="50"/>
  <c r="AB110" i="50"/>
  <c r="CS151" i="50"/>
  <c r="AF184" i="50"/>
  <c r="ES118" i="50"/>
  <c r="ET186" i="50"/>
  <c r="DR201" i="50"/>
  <c r="CU77" i="50"/>
  <c r="BM118" i="50"/>
  <c r="EW86" i="50"/>
  <c r="AZ135" i="50"/>
  <c r="R52" i="50"/>
  <c r="DJ94" i="50"/>
  <c r="AG79" i="50"/>
  <c r="AA112" i="50"/>
  <c r="DJ145" i="50"/>
  <c r="CO107" i="50"/>
  <c r="CE152" i="50"/>
  <c r="AO145" i="50"/>
  <c r="AU84" i="50"/>
  <c r="EB201" i="50"/>
  <c r="DZ149" i="50"/>
  <c r="AI101" i="50"/>
  <c r="CO126" i="50"/>
  <c r="C185" i="50"/>
  <c r="AJ30" i="50"/>
  <c r="AC206" i="50"/>
  <c r="AQ97" i="50"/>
  <c r="L89" i="50"/>
  <c r="AU97" i="50"/>
  <c r="AC125" i="50"/>
  <c r="DP101" i="50"/>
  <c r="AA49" i="50"/>
  <c r="CP168" i="50"/>
  <c r="AJ114" i="50"/>
  <c r="BB95" i="50"/>
  <c r="CP93" i="50"/>
  <c r="BQ188" i="50"/>
  <c r="AN126" i="50"/>
  <c r="AX87" i="50"/>
  <c r="BL137" i="50"/>
  <c r="AA168" i="50"/>
  <c r="L16" i="50"/>
  <c r="BD152" i="50"/>
  <c r="C109" i="50"/>
  <c r="BB147" i="50"/>
  <c r="CB74" i="50"/>
  <c r="J219" i="50"/>
  <c r="DO73" i="50"/>
  <c r="AK131" i="50"/>
  <c r="D152" i="50"/>
  <c r="ED98" i="50"/>
  <c r="W136" i="50"/>
  <c r="AJ149" i="50"/>
  <c r="CU121" i="50"/>
  <c r="T81" i="50"/>
  <c r="CP166" i="50"/>
  <c r="M190" i="50"/>
  <c r="K17" i="50"/>
  <c r="AD204" i="50"/>
  <c r="CD134" i="50"/>
  <c r="AJ132" i="50"/>
  <c r="AE56" i="50"/>
  <c r="DL168" i="50"/>
  <c r="AK185" i="50"/>
  <c r="ED100" i="50"/>
  <c r="BC123" i="50"/>
  <c r="AF22" i="50"/>
  <c r="ES96" i="50"/>
  <c r="BO126" i="50"/>
  <c r="CR164" i="50"/>
  <c r="AB44" i="50"/>
  <c r="ES203" i="50"/>
  <c r="AY86" i="50"/>
  <c r="C118" i="50"/>
  <c r="BY123" i="50"/>
  <c r="EC200" i="50"/>
  <c r="H81" i="50"/>
  <c r="AB85" i="50"/>
  <c r="CP97" i="50"/>
  <c r="V99" i="50"/>
  <c r="DQ108" i="50"/>
  <c r="CC91" i="50"/>
  <c r="AM217" i="50"/>
  <c r="T107" i="50"/>
  <c r="I118" i="50"/>
  <c r="Q109" i="50"/>
  <c r="DN112" i="50"/>
  <c r="BC220" i="50"/>
  <c r="DY81" i="50"/>
  <c r="AX97" i="50"/>
  <c r="BB115" i="50"/>
  <c r="BI120" i="50"/>
  <c r="DJ103" i="50"/>
  <c r="BJ75" i="50"/>
  <c r="BI188" i="50"/>
  <c r="CE119" i="50"/>
  <c r="CT107" i="50"/>
  <c r="BK104" i="50"/>
  <c r="BY151" i="50"/>
  <c r="AR87" i="50"/>
  <c r="BA148" i="50"/>
  <c r="ED121" i="50"/>
  <c r="R84" i="50"/>
  <c r="ET83" i="50"/>
  <c r="G166" i="50"/>
  <c r="AR85" i="50"/>
  <c r="CS163" i="50"/>
  <c r="EC134" i="50"/>
  <c r="BY187" i="50"/>
  <c r="L219" i="50"/>
  <c r="AD85" i="50"/>
  <c r="M21" i="50"/>
  <c r="CR93" i="50"/>
  <c r="BI96" i="50"/>
  <c r="E94" i="50"/>
  <c r="DS145" i="50"/>
  <c r="EB164" i="50"/>
  <c r="CC103" i="50"/>
  <c r="BC135" i="50"/>
  <c r="AG78" i="50"/>
  <c r="DN190" i="50"/>
  <c r="AC217" i="50"/>
  <c r="CA192" i="50"/>
  <c r="ET105" i="50"/>
  <c r="E76" i="50"/>
  <c r="EG115" i="50"/>
  <c r="EU76" i="50"/>
  <c r="Y121" i="50"/>
  <c r="F110" i="50"/>
  <c r="DY103" i="50"/>
  <c r="S55" i="50"/>
  <c r="BL132" i="50"/>
  <c r="BP130" i="50"/>
  <c r="E100" i="50"/>
  <c r="AF100" i="50"/>
  <c r="Z165" i="50"/>
  <c r="Y148" i="50"/>
  <c r="EB138" i="50"/>
  <c r="EG147" i="50"/>
  <c r="DK148" i="50"/>
  <c r="AI150" i="50"/>
  <c r="Z50" i="50"/>
  <c r="BQ88" i="50"/>
  <c r="DS83" i="50"/>
  <c r="R146" i="50"/>
  <c r="DQ74" i="50"/>
  <c r="AM152" i="50"/>
  <c r="BB116" i="50"/>
  <c r="U79" i="50"/>
  <c r="AB16" i="50"/>
  <c r="T87" i="50"/>
  <c r="Q222" i="50"/>
  <c r="AJ103" i="50"/>
  <c r="AT121" i="50"/>
  <c r="AZ93" i="50"/>
  <c r="AA43" i="50"/>
  <c r="C91" i="50"/>
  <c r="CS191" i="50"/>
  <c r="BY100" i="50"/>
  <c r="P91" i="50"/>
  <c r="AE201" i="50"/>
  <c r="AR189" i="50"/>
  <c r="AZ185" i="50"/>
  <c r="EX100" i="50"/>
  <c r="Q125" i="50"/>
  <c r="BQ111" i="50"/>
  <c r="R113" i="50"/>
  <c r="EC73" i="50"/>
  <c r="Z96" i="50"/>
  <c r="AG95" i="50"/>
  <c r="AI108" i="50"/>
  <c r="CC95" i="50"/>
  <c r="AO168" i="50"/>
  <c r="U149" i="50"/>
  <c r="AE131" i="50"/>
  <c r="DZ134" i="50"/>
  <c r="H85" i="50"/>
  <c r="EV166" i="50"/>
  <c r="D105" i="50"/>
  <c r="L81" i="50"/>
  <c r="AX135" i="50"/>
  <c r="ED122" i="50"/>
  <c r="CA151" i="50"/>
  <c r="V148" i="50"/>
  <c r="BB217" i="50"/>
  <c r="BI125" i="50"/>
  <c r="BX202" i="50"/>
  <c r="V204" i="50"/>
  <c r="DO220" i="50"/>
  <c r="BJ136" i="50"/>
  <c r="AW187" i="50"/>
  <c r="EU105" i="50"/>
  <c r="BJ117" i="50"/>
  <c r="CB118" i="50"/>
  <c r="CR124" i="50"/>
  <c r="Y125" i="50"/>
  <c r="BW187" i="50"/>
  <c r="AH124" i="50"/>
  <c r="AN166" i="50"/>
  <c r="AO126" i="50"/>
  <c r="AH221" i="50"/>
  <c r="AT125" i="50"/>
  <c r="AE202" i="50"/>
  <c r="AL192" i="50"/>
  <c r="AA74" i="50"/>
  <c r="D123" i="50"/>
  <c r="AS147" i="50"/>
  <c r="P123" i="50"/>
  <c r="AI200" i="50"/>
  <c r="AR88" i="50"/>
  <c r="AL111" i="50"/>
  <c r="E119" i="50"/>
  <c r="AT114" i="50"/>
  <c r="DQ199" i="50"/>
  <c r="BM131" i="50"/>
  <c r="BL221" i="50"/>
  <c r="AB120" i="50"/>
  <c r="AV124" i="50"/>
  <c r="AU110" i="50"/>
  <c r="H169" i="50"/>
  <c r="BL166" i="50"/>
  <c r="BQ122" i="50"/>
  <c r="CQ184" i="50"/>
  <c r="K149" i="50"/>
  <c r="BN100" i="50"/>
  <c r="BM82" i="50"/>
  <c r="W50" i="50"/>
  <c r="AQ75" i="50"/>
  <c r="CA199" i="50"/>
  <c r="ES185" i="50"/>
  <c r="BZ108" i="50"/>
  <c r="AF85" i="50"/>
  <c r="EA81" i="50"/>
  <c r="ER146" i="50"/>
  <c r="BJ119" i="50"/>
  <c r="BW152" i="50"/>
  <c r="DR119" i="50"/>
  <c r="CU100" i="50"/>
  <c r="P111" i="50"/>
  <c r="BH136" i="50"/>
  <c r="BY166" i="50"/>
  <c r="DS150" i="50"/>
  <c r="AU167" i="50"/>
  <c r="EQ86" i="50"/>
  <c r="O204" i="50"/>
  <c r="AZ74" i="50"/>
  <c r="AL134" i="50"/>
  <c r="AX83" i="50"/>
  <c r="BX125" i="50"/>
  <c r="Y202" i="50"/>
  <c r="BH124" i="50"/>
  <c r="CV102" i="50"/>
  <c r="BE169" i="50"/>
  <c r="DR219" i="50"/>
  <c r="Y43" i="50"/>
  <c r="ER188" i="50"/>
  <c r="BW112" i="50"/>
  <c r="C126" i="50"/>
  <c r="EQ199" i="50"/>
  <c r="EU134" i="50"/>
  <c r="EU82" i="50"/>
  <c r="DZ190" i="50"/>
  <c r="D97" i="50"/>
  <c r="EW94" i="50"/>
  <c r="AD24" i="50"/>
  <c r="AH123" i="50"/>
  <c r="AP187" i="50"/>
  <c r="BB189" i="50"/>
  <c r="AH148" i="50"/>
  <c r="BP219" i="50"/>
  <c r="L131" i="50"/>
  <c r="AZ121" i="50"/>
  <c r="DN76" i="50"/>
  <c r="K189" i="50"/>
  <c r="BM92" i="50"/>
  <c r="AP150" i="50"/>
  <c r="AW85" i="50"/>
  <c r="EV107" i="50"/>
  <c r="H108" i="50"/>
  <c r="Z201" i="50"/>
  <c r="EA94" i="50"/>
  <c r="I73" i="50"/>
  <c r="AF123" i="50"/>
  <c r="AA51" i="50"/>
  <c r="K120" i="50"/>
  <c r="CQ223" i="50"/>
  <c r="CE83" i="50"/>
  <c r="DN200" i="50"/>
  <c r="AW112" i="50"/>
  <c r="AT96" i="50"/>
  <c r="AZ82" i="50"/>
  <c r="DR108" i="50"/>
  <c r="U86" i="50"/>
  <c r="X116" i="50"/>
  <c r="W20" i="50"/>
  <c r="BN185" i="50"/>
  <c r="AO136" i="50"/>
  <c r="EU133" i="50"/>
  <c r="AH125" i="50"/>
  <c r="AN91" i="50"/>
  <c r="ES200" i="50"/>
  <c r="BL145" i="50"/>
  <c r="EE132" i="50"/>
  <c r="BI122" i="50"/>
  <c r="CU133" i="50"/>
  <c r="AO73" i="50"/>
  <c r="BJ106" i="50"/>
  <c r="L112" i="50"/>
  <c r="K190" i="50"/>
  <c r="Y46" i="50"/>
  <c r="DM73" i="50"/>
  <c r="CB218" i="50"/>
  <c r="R43" i="50"/>
  <c r="J118" i="50"/>
  <c r="V57" i="50"/>
  <c r="Z57" i="50"/>
  <c r="CR201" i="50"/>
  <c r="CS202" i="50"/>
  <c r="BE86" i="50"/>
  <c r="AH83" i="50"/>
  <c r="AY91" i="50"/>
  <c r="ER76" i="50"/>
  <c r="BD89" i="50"/>
  <c r="T164" i="50"/>
  <c r="BI137" i="50"/>
  <c r="EE152" i="50"/>
  <c r="DJ130" i="50"/>
  <c r="U125" i="50"/>
  <c r="BK89" i="50"/>
  <c r="AU92" i="50"/>
  <c r="AO110" i="50"/>
  <c r="EU167" i="50"/>
  <c r="DN223" i="50"/>
  <c r="D94" i="50"/>
  <c r="EW137" i="50"/>
  <c r="U92" i="50"/>
  <c r="Q117" i="50"/>
  <c r="AL145" i="50"/>
  <c r="BK218" i="50"/>
  <c r="DJ110" i="50"/>
  <c r="BD163" i="50"/>
  <c r="AF120" i="50"/>
  <c r="BC100" i="50"/>
  <c r="CE79" i="50"/>
  <c r="EE82" i="50"/>
  <c r="AL73" i="50"/>
  <c r="EQ91" i="50"/>
  <c r="AM138" i="50"/>
  <c r="J105" i="50"/>
  <c r="AN95" i="50"/>
  <c r="DQ106" i="50"/>
  <c r="Z126" i="50"/>
  <c r="H80" i="50"/>
  <c r="L82" i="50"/>
  <c r="AF220" i="50"/>
  <c r="DP108" i="50"/>
  <c r="DM192" i="50"/>
  <c r="AB218" i="50"/>
  <c r="AU87" i="50"/>
  <c r="DS164" i="50"/>
  <c r="O110" i="50"/>
  <c r="O103" i="50"/>
  <c r="CR78" i="50"/>
  <c r="I169" i="50"/>
  <c r="K145" i="50"/>
  <c r="AI107" i="50"/>
  <c r="BZ131" i="50"/>
  <c r="AQ163" i="50"/>
  <c r="K104" i="50"/>
  <c r="EE188" i="50"/>
  <c r="CP114" i="50"/>
  <c r="DM92" i="50"/>
  <c r="V93" i="50"/>
  <c r="AE150" i="50"/>
  <c r="J121" i="50"/>
  <c r="EF220" i="50"/>
  <c r="N116" i="50"/>
  <c r="P100" i="50"/>
  <c r="BN117" i="50"/>
  <c r="BK112" i="50"/>
  <c r="EA136" i="50"/>
  <c r="DQ223" i="50"/>
  <c r="CT167" i="50"/>
  <c r="ES75" i="50"/>
  <c r="CU120" i="50"/>
  <c r="Y123" i="50"/>
  <c r="CT108" i="50"/>
  <c r="AZ132" i="50"/>
  <c r="BO77" i="50"/>
  <c r="CP189" i="50"/>
  <c r="AT99" i="50"/>
  <c r="K88" i="50"/>
  <c r="BP74" i="50"/>
  <c r="EX125" i="50"/>
  <c r="AT186" i="50"/>
  <c r="BA145" i="50"/>
  <c r="BO107" i="50"/>
  <c r="U43" i="50"/>
  <c r="BI90" i="50"/>
  <c r="BC86" i="50"/>
  <c r="AU115" i="50"/>
  <c r="BA187" i="50"/>
  <c r="M118" i="50"/>
  <c r="DP119" i="50"/>
  <c r="DS200" i="50"/>
  <c r="DZ80" i="50"/>
  <c r="S188" i="50"/>
  <c r="BI89" i="50"/>
  <c r="EU115" i="50"/>
  <c r="AV122" i="50"/>
  <c r="DP115" i="50"/>
  <c r="S138" i="50"/>
  <c r="AR125" i="50"/>
  <c r="ED76" i="50"/>
  <c r="ER118" i="50"/>
  <c r="CC131" i="50"/>
  <c r="AY186" i="50"/>
  <c r="AT91" i="50"/>
  <c r="Q112" i="50"/>
  <c r="AS206" i="50"/>
  <c r="AP117" i="50"/>
  <c r="DY205" i="50"/>
  <c r="H149" i="50"/>
  <c r="CA185" i="50"/>
  <c r="BD149" i="50"/>
  <c r="CO192" i="50"/>
  <c r="EV98" i="50"/>
  <c r="AC169" i="50"/>
  <c r="R20" i="50"/>
  <c r="DJ184" i="50"/>
  <c r="DL80" i="50"/>
  <c r="EX151" i="50"/>
  <c r="BM117" i="50"/>
  <c r="D132" i="50"/>
  <c r="BL73" i="50"/>
  <c r="X86" i="50"/>
  <c r="AE191" i="50"/>
  <c r="CB203" i="50"/>
  <c r="CA111" i="50"/>
  <c r="G110" i="50"/>
  <c r="AR99" i="50"/>
  <c r="BB86" i="50"/>
  <c r="CQ101" i="50"/>
  <c r="AM97" i="50"/>
  <c r="F189" i="50"/>
  <c r="AU199" i="50"/>
  <c r="CA100" i="50"/>
  <c r="CO111" i="50"/>
  <c r="W185" i="50"/>
  <c r="O116" i="50"/>
  <c r="EE123" i="50"/>
  <c r="EV219" i="50"/>
  <c r="EV82" i="50"/>
  <c r="AG100" i="50"/>
  <c r="BN186" i="50"/>
  <c r="BE146" i="50"/>
  <c r="CS90" i="50"/>
  <c r="AK188" i="50"/>
  <c r="DY200" i="50"/>
  <c r="CB79" i="50"/>
  <c r="CT82" i="50"/>
  <c r="CR91" i="50"/>
  <c r="AS113" i="50"/>
  <c r="DN114" i="50"/>
  <c r="BD107" i="50"/>
  <c r="ER203" i="50"/>
  <c r="BJ101" i="50"/>
  <c r="BM104" i="50"/>
  <c r="E152" i="50"/>
  <c r="EA149" i="50"/>
  <c r="BZ91" i="50"/>
  <c r="BM223" i="50"/>
  <c r="EF115" i="50"/>
  <c r="BP102" i="50"/>
  <c r="AT97" i="50"/>
  <c r="DL220" i="50"/>
  <c r="BC108" i="50"/>
  <c r="DR204" i="50"/>
  <c r="AM123" i="50"/>
  <c r="Z188" i="50"/>
  <c r="DO185" i="50"/>
  <c r="CB185" i="50"/>
  <c r="U115" i="50"/>
  <c r="DP89" i="50"/>
  <c r="AH120" i="50"/>
  <c r="I110" i="50"/>
  <c r="CB103" i="50"/>
  <c r="EB117" i="50"/>
  <c r="F186" i="50"/>
  <c r="Z190" i="50"/>
  <c r="AO218" i="50"/>
  <c r="G17" i="50"/>
  <c r="M169" i="50"/>
  <c r="BJ111" i="50"/>
  <c r="BK150" i="50"/>
  <c r="EQ93" i="50"/>
  <c r="C30" i="50"/>
  <c r="M85" i="50"/>
  <c r="AS132" i="50"/>
  <c r="AV115" i="50"/>
  <c r="AD28" i="50"/>
  <c r="E116" i="50"/>
  <c r="AY117" i="50"/>
  <c r="AT202" i="50"/>
  <c r="AW125" i="50"/>
  <c r="AP184" i="50"/>
  <c r="DO83" i="50"/>
  <c r="U82" i="50"/>
  <c r="BW104" i="50"/>
  <c r="I127" i="50"/>
  <c r="BI150" i="50"/>
  <c r="AD36" i="50"/>
  <c r="AL17" i="50"/>
  <c r="AC136" i="50"/>
  <c r="H135" i="50"/>
  <c r="L125" i="50"/>
  <c r="EX187" i="50"/>
  <c r="AP205" i="50"/>
  <c r="EV84" i="50"/>
  <c r="BI107" i="50"/>
  <c r="ES94" i="50"/>
  <c r="EW192" i="50"/>
  <c r="BC76" i="50"/>
  <c r="EV101" i="50"/>
  <c r="R205" i="50"/>
  <c r="EU137" i="50"/>
  <c r="CQ168" i="50"/>
  <c r="D102" i="50"/>
  <c r="CR203" i="50"/>
  <c r="EG204" i="50"/>
  <c r="BC118" i="50"/>
  <c r="S223" i="50"/>
  <c r="E83" i="50"/>
  <c r="J166" i="50"/>
  <c r="V78" i="50"/>
  <c r="EG119" i="50"/>
  <c r="AV168" i="50"/>
  <c r="DP203" i="50"/>
  <c r="AS108" i="50"/>
  <c r="AI218" i="50"/>
  <c r="AJ164" i="50"/>
  <c r="DZ220" i="50"/>
  <c r="ET147" i="50"/>
  <c r="AW114" i="50"/>
  <c r="AZ104" i="50"/>
  <c r="EV81" i="50"/>
  <c r="BN135" i="50"/>
  <c r="AV163" i="50"/>
  <c r="DY99" i="50"/>
  <c r="AN201" i="50"/>
  <c r="BZ97" i="50"/>
  <c r="CC83" i="50"/>
  <c r="ED74" i="50"/>
  <c r="F151" i="50"/>
  <c r="BY223" i="50"/>
  <c r="AI115" i="50"/>
  <c r="DL109" i="50"/>
  <c r="T200" i="50"/>
  <c r="AC90" i="50"/>
  <c r="BI151" i="50"/>
  <c r="AY185" i="50"/>
  <c r="CS146" i="50"/>
  <c r="CC132" i="50"/>
  <c r="I147" i="50"/>
  <c r="BQ184" i="50"/>
  <c r="EF96" i="50"/>
  <c r="BY184" i="50"/>
  <c r="ES145" i="50"/>
  <c r="S107" i="50"/>
  <c r="ED86" i="50"/>
  <c r="BC117" i="50"/>
  <c r="AO93" i="50"/>
  <c r="BD73" i="50"/>
  <c r="AX136" i="50"/>
  <c r="AJ87" i="50"/>
  <c r="BO218" i="50"/>
  <c r="BI78" i="50"/>
  <c r="CU74" i="50"/>
  <c r="BQ190" i="50"/>
  <c r="S220" i="50"/>
  <c r="R24" i="50"/>
  <c r="CO119" i="50"/>
  <c r="ED138" i="50"/>
  <c r="H101" i="50"/>
  <c r="AK99" i="50"/>
  <c r="BB103" i="50"/>
  <c r="Z114" i="50"/>
  <c r="DM105" i="50"/>
  <c r="K74" i="50"/>
  <c r="DQ184" i="50"/>
  <c r="AJ91" i="50"/>
  <c r="CS94" i="50"/>
  <c r="D113" i="50"/>
  <c r="V94" i="50"/>
  <c r="E112" i="50"/>
  <c r="AB136" i="50"/>
  <c r="DK77" i="50"/>
  <c r="DP133" i="50"/>
  <c r="U88" i="50"/>
  <c r="AD91" i="50"/>
  <c r="BK87" i="50"/>
  <c r="CD83" i="50"/>
  <c r="BD123" i="50"/>
  <c r="DM104" i="50"/>
  <c r="BL186" i="50"/>
  <c r="EW90" i="50"/>
  <c r="P73" i="50"/>
  <c r="DS125" i="50"/>
  <c r="CD111" i="50"/>
  <c r="X101" i="50"/>
  <c r="BP189" i="50"/>
  <c r="AH203" i="50"/>
  <c r="AC145" i="50"/>
  <c r="Y54" i="50"/>
  <c r="DL150" i="50"/>
  <c r="AA122" i="50"/>
  <c r="AY130" i="50"/>
  <c r="EG84" i="50"/>
  <c r="AP82" i="50"/>
  <c r="AD132" i="50"/>
  <c r="AJ116" i="50"/>
  <c r="F130" i="50"/>
  <c r="BP77" i="50"/>
  <c r="CE95" i="50"/>
  <c r="EA146" i="50"/>
  <c r="AO112" i="50"/>
  <c r="D15" i="50"/>
  <c r="ED107" i="50"/>
  <c r="Q97" i="50"/>
  <c r="BM113" i="50"/>
  <c r="V217" i="50"/>
  <c r="AU118" i="50"/>
  <c r="AI185" i="50"/>
  <c r="BD217" i="50"/>
  <c r="R203" i="50"/>
  <c r="AY203" i="50"/>
  <c r="BK165" i="50"/>
  <c r="E219" i="50"/>
  <c r="AA78" i="50"/>
  <c r="EB133" i="50"/>
  <c r="BI132" i="50"/>
  <c r="EB88" i="50"/>
  <c r="CB166" i="50"/>
  <c r="R166" i="50"/>
  <c r="BZ77" i="50"/>
  <c r="AC11" i="26"/>
  <c r="DR95" i="50"/>
  <c r="AM165" i="50"/>
  <c r="BJ87" i="50"/>
  <c r="AC109" i="50"/>
  <c r="J138" i="50"/>
  <c r="DO112" i="50"/>
  <c r="EB113" i="50"/>
  <c r="BB145" i="50"/>
  <c r="R50" i="50"/>
  <c r="DZ169" i="50"/>
  <c r="K201" i="50"/>
  <c r="O95" i="50"/>
  <c r="CC186" i="50"/>
  <c r="R135" i="50"/>
  <c r="AT220" i="50"/>
  <c r="BM99" i="50"/>
  <c r="BN118" i="50"/>
  <c r="DR85" i="50"/>
  <c r="S122" i="50"/>
  <c r="DJ86" i="50"/>
  <c r="X85" i="50"/>
  <c r="EV110" i="50"/>
  <c r="AQ186" i="50"/>
  <c r="W100" i="50"/>
  <c r="AU163" i="50"/>
  <c r="V118" i="50"/>
  <c r="DR76" i="50"/>
  <c r="AG131" i="50"/>
  <c r="DQ192" i="50"/>
  <c r="CB152" i="50"/>
  <c r="BY87" i="50"/>
  <c r="AP201" i="50"/>
  <c r="P74" i="50"/>
  <c r="EA107" i="50"/>
  <c r="AP204" i="50"/>
  <c r="AO205" i="50"/>
  <c r="D23" i="50"/>
  <c r="ER117" i="50"/>
  <c r="EX123" i="50"/>
  <c r="AD12" i="26"/>
  <c r="AN88" i="50"/>
  <c r="BI109" i="50"/>
  <c r="DM75" i="50"/>
  <c r="CD77" i="50"/>
  <c r="S126" i="50"/>
  <c r="DY219" i="50"/>
  <c r="DS117" i="50"/>
  <c r="EU85" i="50"/>
  <c r="ER78" i="50"/>
  <c r="W51" i="50"/>
  <c r="AA88" i="50"/>
  <c r="F87" i="50"/>
  <c r="AD122" i="50"/>
  <c r="AL122" i="50"/>
  <c r="EU86" i="50"/>
  <c r="BZ168" i="50"/>
  <c r="DJ115" i="50"/>
  <c r="BZ187" i="50"/>
  <c r="AK82" i="50"/>
  <c r="AU148" i="50"/>
  <c r="ET123" i="50"/>
  <c r="AV100" i="50"/>
  <c r="AV76" i="50"/>
  <c r="EF99" i="50"/>
  <c r="AP104" i="50"/>
  <c r="CQ136" i="50"/>
  <c r="E86" i="50"/>
  <c r="AY84" i="50"/>
  <c r="AD119" i="50"/>
  <c r="G134" i="50"/>
  <c r="DK147" i="50"/>
  <c r="DJ108" i="50"/>
  <c r="DL202" i="50"/>
  <c r="N185" i="50"/>
  <c r="DJ74" i="50"/>
  <c r="DR223" i="50"/>
  <c r="AN185" i="50"/>
  <c r="CV127" i="50"/>
  <c r="DR185" i="50"/>
  <c r="CB109" i="50"/>
  <c r="EF186" i="50"/>
  <c r="BQ147" i="50"/>
  <c r="X44" i="50"/>
  <c r="BX78" i="50"/>
  <c r="AV200" i="50"/>
  <c r="EV112" i="50"/>
  <c r="ET187" i="50"/>
  <c r="EG83" i="50"/>
  <c r="BW190" i="50"/>
  <c r="CR118" i="50"/>
  <c r="EG220" i="50"/>
  <c r="CD149" i="50"/>
  <c r="ED205" i="50"/>
  <c r="U165" i="50"/>
  <c r="M138" i="50"/>
  <c r="DZ94" i="50"/>
  <c r="DK83" i="50"/>
  <c r="CS91" i="50"/>
  <c r="BZ148" i="50"/>
  <c r="DJ118" i="50"/>
  <c r="C204" i="50"/>
  <c r="DZ96" i="50"/>
  <c r="K165" i="50"/>
  <c r="W44" i="50"/>
  <c r="S167" i="50"/>
  <c r="ED80" i="50"/>
  <c r="W131" i="50"/>
  <c r="P130" i="50"/>
  <c r="F23" i="50"/>
  <c r="CA114" i="50"/>
  <c r="CU202" i="50"/>
  <c r="AL151" i="50"/>
  <c r="CB122" i="50"/>
  <c r="DO164" i="50"/>
  <c r="H96" i="50"/>
  <c r="V219" i="50"/>
  <c r="R149" i="50"/>
  <c r="AR146" i="50"/>
  <c r="EF152" i="50"/>
  <c r="AF78" i="50"/>
  <c r="AG186" i="50"/>
  <c r="AZ148" i="50"/>
  <c r="U121" i="50"/>
  <c r="CQ99" i="50"/>
  <c r="BD91" i="50"/>
  <c r="BF91" i="50"/>
  <c r="AU83" i="50"/>
  <c r="AP87" i="50"/>
  <c r="Z88" i="50"/>
  <c r="AR106" i="50"/>
  <c r="BE164" i="50"/>
  <c r="AC219" i="50"/>
  <c r="AU90" i="50"/>
  <c r="CS121" i="50"/>
  <c r="DL96" i="50"/>
  <c r="DQ89" i="50"/>
  <c r="Y118" i="50"/>
  <c r="BA109" i="50"/>
  <c r="AO79" i="50"/>
  <c r="AM220" i="50"/>
  <c r="CS109" i="50"/>
  <c r="EV121" i="50"/>
  <c r="BM108" i="50"/>
  <c r="DZ107" i="50"/>
  <c r="CD97" i="50"/>
  <c r="EE104" i="50"/>
  <c r="AB32" i="50"/>
  <c r="BN120" i="50"/>
  <c r="AE86" i="50"/>
  <c r="H17" i="50"/>
  <c r="EG166" i="50"/>
  <c r="EE125" i="50"/>
  <c r="J104" i="50"/>
  <c r="EE163" i="50"/>
  <c r="DL114" i="50"/>
  <c r="AX151" i="50"/>
  <c r="ED184" i="50"/>
  <c r="AJ78" i="50"/>
  <c r="AT101" i="50"/>
  <c r="BW134" i="50"/>
  <c r="X47" i="50"/>
  <c r="AR73" i="50"/>
  <c r="CC101" i="50"/>
  <c r="DP75" i="50"/>
  <c r="CQ201" i="50"/>
  <c r="W97" i="50"/>
  <c r="V21" i="50"/>
  <c r="C87" i="50"/>
  <c r="ER77" i="50"/>
  <c r="DZ109" i="50"/>
  <c r="Y95" i="50"/>
  <c r="X184" i="50"/>
  <c r="EG169" i="50"/>
  <c r="BL98" i="50"/>
  <c r="W28" i="50"/>
  <c r="AE106" i="50"/>
  <c r="S131" i="50"/>
  <c r="AY115" i="50"/>
  <c r="AH99" i="50"/>
  <c r="BK127" i="50"/>
  <c r="AA118" i="50"/>
  <c r="AO192" i="50"/>
  <c r="CE203" i="50"/>
  <c r="CV221" i="50"/>
  <c r="Y117" i="50"/>
  <c r="H20" i="50"/>
  <c r="BQ93" i="50"/>
  <c r="W115" i="50"/>
  <c r="N147" i="50"/>
  <c r="AG130" i="50"/>
  <c r="AP202" i="50"/>
  <c r="G102" i="50"/>
  <c r="BA121" i="50"/>
  <c r="DK104" i="50"/>
  <c r="EE218" i="50"/>
  <c r="BQ73" i="50"/>
  <c r="CQ200" i="50"/>
  <c r="EB99" i="50"/>
  <c r="BB77" i="50"/>
  <c r="AT131" i="50"/>
  <c r="DM217" i="50"/>
  <c r="BZ116" i="50"/>
  <c r="BI77" i="50"/>
  <c r="DR80" i="50"/>
  <c r="DO190" i="50"/>
  <c r="BD167" i="50"/>
  <c r="AW117" i="50"/>
  <c r="AK115" i="50"/>
  <c r="AS186" i="50"/>
  <c r="AT166" i="50"/>
  <c r="ER220" i="50"/>
  <c r="AS107" i="50"/>
  <c r="AT191" i="50"/>
  <c r="DZ111" i="50"/>
  <c r="ES218" i="50"/>
  <c r="AS137" i="50"/>
  <c r="EE79" i="50"/>
  <c r="I188" i="50"/>
  <c r="AX223" i="50"/>
  <c r="BJ112" i="50"/>
  <c r="EQ167" i="50"/>
  <c r="BZ138" i="50"/>
  <c r="AE58" i="50"/>
  <c r="L23" i="50"/>
  <c r="BN110" i="50"/>
  <c r="CD148" i="50"/>
  <c r="CR95" i="50"/>
  <c r="AS136" i="50"/>
  <c r="X109" i="50"/>
  <c r="AD130" i="50"/>
  <c r="L167" i="50"/>
  <c r="AU137" i="50"/>
  <c r="S75" i="50"/>
  <c r="ED114" i="50"/>
  <c r="BZ80" i="50"/>
  <c r="EC108" i="50"/>
  <c r="AS152" i="50"/>
  <c r="DR164" i="50"/>
  <c r="DL165" i="50"/>
  <c r="K148" i="50"/>
  <c r="BO146" i="50"/>
  <c r="BM187" i="50"/>
  <c r="ET149" i="50"/>
  <c r="AL184" i="50"/>
  <c r="BQ186" i="50"/>
  <c r="AL78" i="50"/>
  <c r="AT74" i="50"/>
  <c r="D74" i="50"/>
  <c r="AX122" i="50"/>
  <c r="X26" i="50"/>
  <c r="EF191" i="50"/>
  <c r="P168" i="50"/>
  <c r="S190" i="50"/>
  <c r="AE118" i="50"/>
  <c r="AZ87" i="50"/>
  <c r="DZ223" i="50"/>
  <c r="V111" i="50"/>
  <c r="F24" i="50"/>
  <c r="BQ167" i="50"/>
  <c r="DO145" i="50"/>
  <c r="CR151" i="50"/>
  <c r="CR120" i="50"/>
  <c r="AB76" i="50"/>
  <c r="CP76" i="50"/>
  <c r="AQ122" i="50"/>
  <c r="DZ106" i="50"/>
  <c r="U77" i="50"/>
  <c r="BO99" i="50"/>
  <c r="C110" i="50"/>
  <c r="F118" i="50"/>
  <c r="D114" i="50"/>
  <c r="BO88" i="50"/>
  <c r="AF102" i="50"/>
  <c r="AD145" i="50"/>
  <c r="BJ146" i="50"/>
  <c r="ER81" i="50"/>
  <c r="EG164" i="50"/>
  <c r="R145" i="50"/>
  <c r="M120" i="50"/>
  <c r="AN84" i="50"/>
  <c r="AH110" i="50"/>
  <c r="BM90" i="50"/>
  <c r="E19" i="50"/>
  <c r="DO163" i="50"/>
  <c r="DK89" i="50"/>
  <c r="EG97" i="50"/>
  <c r="BX93" i="50"/>
  <c r="BD185" i="50"/>
  <c r="T221" i="50"/>
  <c r="BX86" i="50"/>
  <c r="AH201" i="50"/>
  <c r="ED187" i="50"/>
  <c r="DY138" i="50"/>
  <c r="DS123" i="50"/>
  <c r="EU112" i="50"/>
  <c r="AF133" i="50"/>
  <c r="EQ219" i="50"/>
  <c r="EX78" i="50"/>
  <c r="AY99" i="50"/>
  <c r="W151" i="50"/>
  <c r="AB188" i="50"/>
  <c r="BB200" i="50"/>
  <c r="EQ221" i="50"/>
  <c r="BM101" i="50"/>
  <c r="DR73" i="50"/>
  <c r="DK85" i="50"/>
  <c r="CV167" i="50"/>
  <c r="DN123" i="50"/>
  <c r="BX218" i="50"/>
  <c r="CO146" i="50"/>
  <c r="ES123" i="50"/>
  <c r="CQ95" i="50"/>
  <c r="E169" i="50"/>
  <c r="CV104" i="50"/>
  <c r="EE90" i="50"/>
  <c r="DK114" i="50"/>
  <c r="C22" i="50"/>
  <c r="T121" i="50"/>
  <c r="EC88" i="50"/>
  <c r="AM102" i="50"/>
  <c r="BC119" i="50"/>
  <c r="BW114" i="50"/>
  <c r="CR96" i="50"/>
  <c r="BC89" i="50"/>
  <c r="AB223" i="50"/>
  <c r="CO118" i="50"/>
  <c r="X164" i="50"/>
  <c r="BC165" i="50"/>
  <c r="ES133" i="50"/>
  <c r="BH151" i="50"/>
  <c r="F202" i="50"/>
  <c r="H113" i="50"/>
  <c r="BW184" i="50"/>
  <c r="BD79" i="50"/>
  <c r="D73" i="50"/>
  <c r="O82" i="50"/>
  <c r="L205" i="50"/>
  <c r="N115" i="50"/>
  <c r="AD84" i="50"/>
  <c r="AH166" i="50"/>
  <c r="AA119" i="50"/>
  <c r="AQ79" i="50"/>
  <c r="BO166" i="50"/>
  <c r="BN122" i="50"/>
  <c r="BZ73" i="50"/>
  <c r="R103" i="50"/>
  <c r="DY125" i="50"/>
  <c r="AV184" i="50"/>
  <c r="DS73" i="50"/>
  <c r="EW217" i="50"/>
  <c r="AS117" i="50"/>
  <c r="BL90" i="50"/>
  <c r="AZ151" i="50"/>
  <c r="EE145" i="50"/>
  <c r="ER189" i="50"/>
  <c r="EF164" i="50"/>
  <c r="V221" i="50"/>
  <c r="BO132" i="50"/>
  <c r="BL168" i="50"/>
  <c r="CR94" i="50"/>
  <c r="AH222" i="50"/>
  <c r="CP107" i="50"/>
  <c r="AU222" i="50"/>
  <c r="AY93" i="50"/>
  <c r="BN88" i="50"/>
  <c r="X202" i="50"/>
  <c r="AF88" i="50"/>
  <c r="EF118" i="50"/>
  <c r="BB92" i="50"/>
  <c r="DJ97" i="50"/>
  <c r="G14" i="50"/>
  <c r="ED149" i="50"/>
  <c r="DP95" i="50"/>
  <c r="BM186" i="50"/>
  <c r="BO223" i="50"/>
  <c r="CQ91" i="50"/>
  <c r="AB187" i="50"/>
  <c r="DL84" i="50"/>
  <c r="AQ167" i="50"/>
  <c r="H130" i="50"/>
  <c r="DZ132" i="50"/>
  <c r="BY148" i="50"/>
  <c r="BF90" i="50"/>
  <c r="AT118" i="50"/>
  <c r="EU169" i="50"/>
  <c r="DL187" i="50"/>
  <c r="BQ164" i="50"/>
  <c r="EC218" i="50"/>
  <c r="BF130" i="50"/>
  <c r="AA81" i="50"/>
  <c r="ES124" i="50"/>
  <c r="DP204" i="50"/>
  <c r="L88" i="50"/>
  <c r="DJ200" i="50"/>
  <c r="V48" i="50"/>
  <c r="BA167" i="50"/>
  <c r="BK184" i="50"/>
  <c r="AL88" i="50"/>
  <c r="BO120" i="50"/>
  <c r="K19" i="50"/>
  <c r="BF217" i="50"/>
  <c r="CT120" i="50"/>
  <c r="CD167" i="50"/>
  <c r="G167" i="50"/>
  <c r="EW169" i="50"/>
  <c r="AM80" i="50"/>
  <c r="CA93" i="50"/>
  <c r="DQ75" i="50"/>
  <c r="S124" i="50"/>
  <c r="F203" i="50"/>
  <c r="AV189" i="50"/>
  <c r="Y89" i="50"/>
  <c r="E79" i="50"/>
  <c r="BB96" i="50"/>
  <c r="DR133" i="50"/>
  <c r="CU152" i="50"/>
  <c r="AH133" i="50"/>
  <c r="Y122" i="50"/>
  <c r="AV119" i="50"/>
  <c r="BN74" i="50"/>
  <c r="C93" i="50"/>
  <c r="BB203" i="50"/>
  <c r="R105" i="50"/>
  <c r="AB99" i="50"/>
  <c r="AO130" i="50"/>
  <c r="BZ81" i="50"/>
  <c r="AF108" i="50"/>
  <c r="DL206" i="50"/>
  <c r="EG81" i="50"/>
  <c r="AS145" i="50"/>
  <c r="AA103" i="50"/>
  <c r="EA169" i="50"/>
  <c r="AD80" i="50"/>
  <c r="S98" i="50"/>
  <c r="BQ192" i="50"/>
  <c r="DP73" i="50"/>
  <c r="AZ167" i="50"/>
  <c r="DY106" i="50"/>
  <c r="BK80" i="50"/>
  <c r="E90" i="50"/>
  <c r="BM103" i="50"/>
  <c r="ET100" i="50"/>
  <c r="Y84" i="50"/>
  <c r="BP135" i="50"/>
  <c r="W114" i="50"/>
  <c r="M98" i="50"/>
  <c r="EU205" i="50"/>
  <c r="AA121" i="50"/>
  <c r="AU132" i="50"/>
  <c r="EA117" i="50"/>
  <c r="BP217" i="50"/>
  <c r="ET185" i="50"/>
  <c r="AY165" i="50"/>
  <c r="CU137" i="50"/>
  <c r="Z30" i="50"/>
  <c r="AX131" i="50"/>
  <c r="F73" i="50"/>
  <c r="EB204" i="50"/>
  <c r="AA149" i="50"/>
  <c r="Y218" i="50"/>
  <c r="D76" i="50"/>
  <c r="CA117" i="50"/>
  <c r="EG90" i="50"/>
  <c r="EG79" i="50"/>
  <c r="ER137" i="50"/>
  <c r="AG90" i="50"/>
  <c r="V46" i="50"/>
  <c r="M221" i="50"/>
  <c r="EC120" i="50"/>
  <c r="CS186" i="50"/>
  <c r="BC121" i="50"/>
  <c r="EA168" i="50"/>
  <c r="CV97" i="50"/>
  <c r="ER79" i="50"/>
  <c r="ET75" i="50"/>
  <c r="BW164" i="50"/>
  <c r="BW120" i="50"/>
  <c r="BO79" i="50"/>
  <c r="D99" i="50"/>
  <c r="DK200" i="50"/>
  <c r="DZ120" i="50"/>
  <c r="EX120" i="50"/>
  <c r="EB218" i="50"/>
  <c r="CO138" i="50"/>
  <c r="EE147" i="50"/>
  <c r="F104" i="50"/>
  <c r="AZ219" i="50"/>
  <c r="EG145" i="50"/>
  <c r="BE126" i="50"/>
  <c r="AZ115" i="50"/>
  <c r="CR110" i="50"/>
  <c r="V92" i="50"/>
  <c r="F25" i="50"/>
  <c r="AD20" i="50"/>
  <c r="BD184" i="50"/>
  <c r="AR188" i="50"/>
  <c r="ER95" i="50"/>
  <c r="BQ117" i="50"/>
  <c r="L191" i="50"/>
  <c r="BY218" i="50"/>
  <c r="AW97" i="50"/>
  <c r="DL117" i="50"/>
  <c r="L199" i="50"/>
  <c r="BB121" i="50"/>
  <c r="CU117" i="50"/>
  <c r="EW114" i="50"/>
  <c r="N165" i="50"/>
  <c r="CO109" i="50"/>
  <c r="BZ189" i="50"/>
  <c r="DO118" i="50"/>
  <c r="ET93" i="50"/>
  <c r="E187" i="50"/>
  <c r="BN111" i="50"/>
  <c r="AV74" i="50"/>
  <c r="ES119" i="50"/>
  <c r="G130" i="50"/>
  <c r="H87" i="50"/>
  <c r="DR103" i="50"/>
  <c r="CB163" i="50"/>
  <c r="EG201" i="50"/>
  <c r="R48" i="50"/>
  <c r="BC205" i="50"/>
  <c r="AK223" i="50"/>
  <c r="AI77" i="50"/>
  <c r="O119" i="50"/>
  <c r="C149" i="50"/>
  <c r="V42" i="50"/>
  <c r="AW98" i="50"/>
  <c r="J107" i="50"/>
  <c r="EQ108" i="50"/>
  <c r="EF98" i="50"/>
  <c r="BJ131" i="50"/>
  <c r="G107" i="50"/>
  <c r="H93" i="50"/>
  <c r="V74" i="50"/>
  <c r="I135" i="50"/>
  <c r="CC222" i="50"/>
  <c r="CT93" i="50"/>
  <c r="I222" i="50"/>
  <c r="U100" i="50"/>
  <c r="G137" i="50"/>
  <c r="BL107" i="50"/>
  <c r="CE220" i="50"/>
  <c r="BE93" i="50"/>
  <c r="W18" i="50"/>
  <c r="AQ223" i="50"/>
  <c r="K191" i="50"/>
  <c r="DL201" i="50"/>
  <c r="AQ104" i="50"/>
  <c r="CQ121" i="50"/>
  <c r="EA120" i="50"/>
  <c r="DR125" i="50"/>
  <c r="AN83" i="50"/>
  <c r="BF83" i="50"/>
  <c r="BX163" i="50"/>
  <c r="EW133" i="50"/>
  <c r="AQ102" i="50"/>
  <c r="AF185" i="50"/>
  <c r="AI111" i="50"/>
  <c r="K188" i="50"/>
  <c r="W102" i="50"/>
  <c r="AM149" i="50"/>
  <c r="BX121" i="50"/>
  <c r="CQ218" i="50"/>
  <c r="CO199" i="50"/>
  <c r="F120" i="50"/>
  <c r="EF149" i="50"/>
  <c r="S199" i="50"/>
  <c r="CP218" i="50"/>
  <c r="Z203" i="50"/>
  <c r="DR205" i="50"/>
  <c r="BI106" i="50"/>
  <c r="O113" i="50"/>
  <c r="EG135" i="50"/>
  <c r="AF188" i="50"/>
  <c r="AE92" i="50"/>
  <c r="Y110" i="50"/>
  <c r="BZ185" i="50"/>
  <c r="BI94" i="50"/>
  <c r="BI121" i="50"/>
  <c r="AV222" i="50"/>
  <c r="BN202" i="50"/>
  <c r="BW125" i="50"/>
  <c r="K16" i="50"/>
  <c r="DK169" i="50"/>
  <c r="AU202" i="50"/>
  <c r="BI80" i="50"/>
  <c r="AQ188" i="50"/>
  <c r="CU93" i="50"/>
  <c r="AX99" i="50"/>
  <c r="BQ146" i="50"/>
  <c r="P109" i="50"/>
  <c r="AH220" i="50"/>
  <c r="AA80" i="50"/>
  <c r="CB219" i="50"/>
  <c r="BO110" i="50"/>
  <c r="EU147" i="50"/>
  <c r="BI135" i="50"/>
  <c r="O123" i="50"/>
  <c r="CV190" i="50"/>
  <c r="H186" i="50"/>
  <c r="X222" i="50"/>
  <c r="AM116" i="50"/>
  <c r="AF36" i="50"/>
  <c r="AP79" i="50"/>
  <c r="AP217" i="50"/>
  <c r="DZ78" i="50"/>
  <c r="EU79" i="50"/>
  <c r="AQ219" i="50"/>
  <c r="EV203" i="50"/>
  <c r="U150" i="50"/>
  <c r="CV147" i="50"/>
  <c r="AO94" i="50"/>
  <c r="DN111" i="50"/>
  <c r="CR104" i="50"/>
  <c r="EE191" i="50"/>
  <c r="CQ78" i="50"/>
  <c r="ED85" i="50"/>
  <c r="AK118" i="50"/>
  <c r="J192" i="50"/>
  <c r="BW73" i="50"/>
  <c r="DS94" i="50"/>
  <c r="S203" i="50"/>
  <c r="AL18" i="50"/>
  <c r="BQ125" i="50"/>
  <c r="DQ145" i="50"/>
  <c r="F125" i="50"/>
  <c r="O192" i="50"/>
  <c r="CR133" i="50"/>
  <c r="AX149" i="50"/>
  <c r="BO188" i="50"/>
  <c r="AB104" i="50"/>
  <c r="EG105" i="50"/>
  <c r="AH117" i="50"/>
  <c r="BC81" i="50"/>
  <c r="BE133" i="50"/>
  <c r="S205" i="50"/>
  <c r="Z23" i="50"/>
  <c r="EB77" i="50"/>
  <c r="C135" i="50"/>
  <c r="CC165" i="50"/>
  <c r="BM222" i="50"/>
  <c r="E189" i="50"/>
  <c r="ES76" i="50"/>
  <c r="M112" i="50"/>
  <c r="EF107" i="50"/>
  <c r="EX89" i="50"/>
  <c r="M102" i="50"/>
  <c r="J184" i="50"/>
  <c r="BK151" i="50"/>
  <c r="AA48" i="50"/>
  <c r="Z120" i="50"/>
  <c r="CE112" i="50"/>
  <c r="CE85" i="50"/>
  <c r="CS164" i="50"/>
  <c r="DJ99" i="50"/>
  <c r="AT134" i="50"/>
  <c r="BZ221" i="50"/>
  <c r="BA97" i="50"/>
  <c r="AY150" i="50"/>
  <c r="AH93" i="50"/>
  <c r="G113" i="50"/>
  <c r="EE98" i="50"/>
  <c r="W91" i="50"/>
  <c r="CV114" i="50"/>
  <c r="AW105" i="50"/>
  <c r="J91" i="50"/>
  <c r="DR87" i="50"/>
  <c r="CP136" i="50"/>
  <c r="AF146" i="50"/>
  <c r="L218" i="50"/>
  <c r="EA131" i="50"/>
  <c r="BN125" i="50"/>
  <c r="CQ150" i="50"/>
  <c r="BE110" i="50"/>
  <c r="K184" i="50"/>
  <c r="EW220" i="50"/>
  <c r="AN188" i="50"/>
  <c r="AS95" i="50"/>
  <c r="EX222" i="50"/>
  <c r="AT84" i="50"/>
  <c r="AN205" i="50"/>
  <c r="BX111" i="50"/>
  <c r="AD43" i="50"/>
  <c r="ER90" i="50"/>
  <c r="BY77" i="50"/>
  <c r="L200" i="50"/>
  <c r="Q205" i="50"/>
  <c r="DZ148" i="50"/>
  <c r="BH88" i="50"/>
  <c r="EX104" i="50"/>
  <c r="H121" i="50"/>
  <c r="P223" i="50"/>
  <c r="AF42" i="50"/>
  <c r="F164" i="50"/>
  <c r="AA95" i="50"/>
  <c r="AA123" i="50"/>
  <c r="AM110" i="50"/>
  <c r="DN163" i="50"/>
  <c r="AQ222" i="50"/>
  <c r="DN203" i="50"/>
  <c r="BY135" i="50"/>
  <c r="M135" i="50"/>
  <c r="V135" i="50"/>
  <c r="DL83" i="50"/>
  <c r="DS152" i="50"/>
  <c r="P119" i="50"/>
  <c r="EX122" i="50"/>
  <c r="DN149" i="50"/>
  <c r="BN138" i="50"/>
  <c r="Y206" i="50"/>
  <c r="AA165" i="50"/>
  <c r="CB124" i="50"/>
  <c r="I220" i="50"/>
  <c r="CP110" i="50"/>
  <c r="DK108" i="50"/>
  <c r="AH77" i="50"/>
  <c r="I165" i="50"/>
  <c r="U148" i="50"/>
  <c r="DL192" i="50"/>
  <c r="BW126" i="50"/>
  <c r="BM189" i="50"/>
  <c r="CT125" i="50"/>
  <c r="BZ191" i="50"/>
  <c r="ES191" i="50"/>
  <c r="ER113" i="50"/>
  <c r="DN120" i="50"/>
  <c r="AB93" i="50"/>
  <c r="K83" i="50"/>
  <c r="I99" i="50"/>
  <c r="AV203" i="50"/>
  <c r="ER109" i="50"/>
  <c r="EA87" i="50"/>
  <c r="ET150" i="50"/>
  <c r="AZ73" i="50"/>
  <c r="F96" i="50"/>
  <c r="CU108" i="50"/>
  <c r="AO88" i="50"/>
  <c r="AH150" i="50"/>
  <c r="CE151" i="50"/>
  <c r="EF184" i="50"/>
  <c r="AE123" i="50"/>
  <c r="DZ118" i="50"/>
  <c r="EF105" i="50"/>
  <c r="DL169" i="50"/>
  <c r="C33" i="50"/>
  <c r="DN191" i="50"/>
  <c r="EB136" i="50"/>
  <c r="T217" i="50"/>
  <c r="CA222" i="50"/>
  <c r="DP163" i="50"/>
  <c r="BM97" i="50"/>
  <c r="AP127" i="50"/>
  <c r="T47" i="50"/>
  <c r="BI169" i="50"/>
  <c r="DQ103" i="50"/>
  <c r="L151" i="50"/>
  <c r="DJ190" i="50"/>
  <c r="AK135" i="50"/>
  <c r="AL22" i="50"/>
  <c r="AQ83" i="50"/>
  <c r="C98" i="50"/>
  <c r="CT88" i="50"/>
  <c r="AP191" i="50"/>
  <c r="CE217" i="50"/>
  <c r="L21" i="50"/>
  <c r="EU223" i="50"/>
  <c r="AG168" i="50"/>
  <c r="AZ96" i="50"/>
  <c r="EE102" i="50"/>
  <c r="CS148" i="50"/>
  <c r="X19" i="50"/>
  <c r="DZ90" i="50"/>
  <c r="BZ74" i="50"/>
  <c r="DJ146" i="50"/>
  <c r="AH190" i="50"/>
  <c r="BQ76" i="50"/>
  <c r="DM187" i="50"/>
  <c r="CQ151" i="50"/>
  <c r="S92" i="50"/>
  <c r="F103" i="50"/>
  <c r="AY136" i="50"/>
  <c r="DN131" i="50"/>
  <c r="EQ121" i="50"/>
  <c r="AD86" i="50"/>
  <c r="Z21" i="50"/>
  <c r="AF58" i="50"/>
  <c r="EV134" i="50"/>
  <c r="EC136" i="50"/>
  <c r="M78" i="50"/>
  <c r="R127" i="50"/>
  <c r="DQ80" i="50"/>
  <c r="BJ125" i="50"/>
  <c r="O90" i="50"/>
  <c r="AE219" i="50"/>
  <c r="J149" i="50"/>
  <c r="BB132" i="50"/>
  <c r="O148" i="50"/>
  <c r="AO83" i="50"/>
  <c r="U55" i="50"/>
  <c r="AD186" i="50"/>
  <c r="AZ130" i="50"/>
  <c r="CR137" i="50"/>
  <c r="AS203" i="50"/>
  <c r="CB114" i="50"/>
  <c r="BD127" i="50"/>
  <c r="BM132" i="50"/>
  <c r="BF77" i="50"/>
  <c r="BJ190" i="50"/>
  <c r="ET87" i="50"/>
  <c r="AK87" i="50"/>
  <c r="BL84" i="50"/>
  <c r="L201" i="50"/>
  <c r="H91" i="50"/>
  <c r="AS75" i="50"/>
  <c r="BP120" i="50"/>
  <c r="AW206" i="50"/>
  <c r="BB111" i="50"/>
  <c r="AB21" i="50"/>
  <c r="J114" i="50"/>
  <c r="AY201" i="50"/>
  <c r="ED220" i="50"/>
  <c r="BZ117" i="50"/>
  <c r="BA223" i="50"/>
  <c r="O79" i="50"/>
  <c r="V201" i="50"/>
  <c r="BC130" i="50"/>
  <c r="BJ86" i="50"/>
  <c r="R73" i="50"/>
  <c r="F132" i="50"/>
  <c r="I98" i="50"/>
  <c r="T36" i="50"/>
  <c r="AC86" i="50"/>
  <c r="H16" i="50"/>
  <c r="BC122" i="50"/>
  <c r="BH164" i="50"/>
  <c r="DS76" i="50"/>
  <c r="CP167" i="50"/>
  <c r="N89" i="50"/>
  <c r="Y109" i="50"/>
  <c r="AA110" i="50"/>
  <c r="AA203" i="50"/>
  <c r="DO191" i="50"/>
  <c r="R163" i="50"/>
  <c r="AW76" i="50"/>
  <c r="DS110" i="50"/>
  <c r="DQ191" i="50"/>
  <c r="BP138" i="50"/>
  <c r="Y126" i="50"/>
  <c r="CU146" i="50"/>
  <c r="BX152" i="50"/>
  <c r="EX94" i="50"/>
  <c r="E125" i="50"/>
  <c r="W189" i="50"/>
  <c r="R117" i="50"/>
  <c r="AI91" i="50"/>
  <c r="AL86" i="50"/>
  <c r="AK106" i="50"/>
  <c r="EQ218" i="50"/>
  <c r="AB55" i="50"/>
  <c r="BJ95" i="50"/>
  <c r="AT165" i="50"/>
  <c r="BX199" i="50"/>
  <c r="CA123" i="50"/>
  <c r="BL96" i="50"/>
  <c r="DS146" i="50"/>
  <c r="AX219" i="50"/>
  <c r="J127" i="50"/>
  <c r="CT111" i="50"/>
  <c r="AH14" i="50"/>
  <c r="I206" i="50"/>
  <c r="N150" i="50"/>
  <c r="O200" i="50"/>
  <c r="S115" i="50"/>
  <c r="DO114" i="50"/>
  <c r="DN165" i="50"/>
  <c r="AN76" i="50"/>
  <c r="BJ192" i="50"/>
  <c r="C138" i="50"/>
  <c r="BH100" i="50"/>
  <c r="BF125" i="50"/>
  <c r="BP97" i="50"/>
  <c r="CU223" i="50"/>
  <c r="BB100" i="50"/>
  <c r="AK79" i="50"/>
  <c r="AJ79" i="50"/>
  <c r="H79" i="50"/>
  <c r="I130" i="50"/>
  <c r="DM76" i="50"/>
  <c r="X147" i="50"/>
  <c r="BO73" i="50"/>
  <c r="AC78" i="50"/>
  <c r="DO84" i="50"/>
  <c r="AW123" i="50"/>
  <c r="AI99" i="50"/>
  <c r="CV137" i="50"/>
  <c r="AE108" i="50"/>
  <c r="EA126" i="50"/>
  <c r="CB82" i="50"/>
  <c r="K223" i="50"/>
  <c r="BX192" i="50"/>
  <c r="Q190" i="50"/>
  <c r="BC206" i="50"/>
  <c r="EW206" i="50"/>
  <c r="AN116" i="50"/>
  <c r="K105" i="50"/>
  <c r="BN95" i="50"/>
  <c r="AH84" i="50"/>
  <c r="DL101" i="50"/>
  <c r="DK88" i="50"/>
  <c r="AL119" i="50"/>
  <c r="P200" i="50"/>
  <c r="EW107" i="50"/>
  <c r="K14" i="50"/>
  <c r="BE120" i="50"/>
  <c r="S36" i="50"/>
  <c r="AS94" i="50"/>
  <c r="V53" i="50"/>
  <c r="BW96" i="50"/>
  <c r="AV114" i="50"/>
  <c r="AJ134" i="50"/>
  <c r="CE167" i="50"/>
  <c r="W108" i="50"/>
  <c r="AR92" i="50"/>
  <c r="EF132" i="50"/>
  <c r="AZ123" i="50"/>
  <c r="AQ192" i="50"/>
  <c r="R85" i="50"/>
  <c r="AT79" i="50"/>
  <c r="EQ113" i="50"/>
  <c r="DJ135" i="50"/>
  <c r="BO150" i="50"/>
  <c r="X106" i="50"/>
  <c r="AC91" i="50"/>
  <c r="DJ199" i="50"/>
  <c r="CQ125" i="50"/>
  <c r="M92" i="50"/>
  <c r="BX201" i="50"/>
  <c r="CE117" i="50"/>
  <c r="AT190" i="50"/>
  <c r="EU217" i="50"/>
  <c r="W117" i="50"/>
  <c r="V95" i="50"/>
  <c r="EU190" i="50"/>
  <c r="Z48" i="50"/>
  <c r="E104" i="50"/>
  <c r="AU191" i="50"/>
  <c r="BL117" i="50"/>
  <c r="AB118" i="50"/>
  <c r="BY131" i="50"/>
  <c r="Z145" i="50"/>
  <c r="Q95" i="50"/>
  <c r="U30" i="50"/>
  <c r="BA201" i="50"/>
  <c r="AI132" i="50"/>
  <c r="J202" i="50"/>
  <c r="CS105" i="50"/>
  <c r="F113" i="50"/>
  <c r="DY134" i="50"/>
  <c r="EC133" i="50"/>
  <c r="EE169" i="50"/>
  <c r="AQ95" i="50"/>
  <c r="AV131" i="50"/>
  <c r="BJ126" i="50"/>
  <c r="CU96" i="50"/>
  <c r="DP147" i="50"/>
  <c r="AN220" i="50"/>
  <c r="EE149" i="50"/>
  <c r="BP127" i="50"/>
  <c r="DK187" i="50"/>
  <c r="CT86" i="50"/>
  <c r="EV138" i="50"/>
  <c r="O135" i="50"/>
  <c r="C124" i="50"/>
  <c r="BH150" i="50"/>
  <c r="ER164" i="50"/>
  <c r="X50" i="50"/>
  <c r="P96" i="50"/>
  <c r="ER190" i="50"/>
  <c r="AG114" i="50"/>
  <c r="H117" i="50"/>
  <c r="O111" i="50"/>
  <c r="N117" i="50"/>
  <c r="EF187" i="50"/>
  <c r="AJ205" i="50"/>
  <c r="BQ191" i="50"/>
  <c r="BP117" i="50"/>
  <c r="EQ100" i="50"/>
  <c r="BC132" i="50"/>
  <c r="E89" i="50"/>
  <c r="E191" i="50"/>
  <c r="I107" i="50"/>
  <c r="BX223" i="50"/>
  <c r="K219" i="50"/>
  <c r="AB42" i="50"/>
  <c r="BB148" i="50"/>
  <c r="AS88" i="50"/>
  <c r="DJ149" i="50"/>
  <c r="W110" i="50"/>
  <c r="AP112" i="50"/>
  <c r="BO137" i="50"/>
  <c r="O169" i="50"/>
  <c r="AB131" i="50"/>
  <c r="ET217" i="50"/>
  <c r="EQ114" i="50"/>
  <c r="AX191" i="50"/>
  <c r="F169" i="50"/>
  <c r="AE152" i="50"/>
  <c r="AE49" i="50"/>
  <c r="AF50" i="50"/>
  <c r="I203" i="50"/>
  <c r="AS96" i="50"/>
  <c r="AP152" i="50"/>
  <c r="EW191" i="50"/>
  <c r="N123" i="50"/>
  <c r="CR190" i="50"/>
  <c r="AZ220" i="50"/>
  <c r="BJ217" i="50"/>
  <c r="ES92" i="50"/>
  <c r="C21" i="50"/>
  <c r="EE186" i="50"/>
  <c r="BL86" i="50"/>
  <c r="K124" i="50"/>
  <c r="P187" i="50"/>
  <c r="AT203" i="50"/>
  <c r="AK203" i="50"/>
  <c r="AI79" i="50"/>
  <c r="AY101" i="50"/>
  <c r="BP118" i="50"/>
  <c r="EA202" i="50"/>
  <c r="BK199" i="50"/>
  <c r="AT85" i="50"/>
  <c r="AY116" i="50"/>
  <c r="BP119" i="50"/>
  <c r="CO79" i="50"/>
  <c r="AG149" i="50"/>
  <c r="J205" i="50"/>
  <c r="BX76" i="50"/>
  <c r="CC121" i="50"/>
  <c r="EE222" i="50"/>
  <c r="AO186" i="50"/>
  <c r="DY217" i="50"/>
  <c r="I20" i="50"/>
  <c r="BJ84" i="50"/>
  <c r="U168" i="50"/>
  <c r="E14" i="50"/>
  <c r="AT108" i="50"/>
  <c r="BM168" i="50"/>
  <c r="BX126" i="50"/>
  <c r="EF127" i="50"/>
  <c r="K202" i="50"/>
  <c r="J20" i="50"/>
  <c r="DZ189" i="50"/>
  <c r="R91" i="50"/>
  <c r="ED165" i="50"/>
  <c r="W106" i="50"/>
  <c r="ES84" i="50"/>
  <c r="DS184" i="50"/>
  <c r="F133" i="50"/>
  <c r="CU187" i="50"/>
  <c r="BF110" i="50"/>
  <c r="V164" i="50"/>
  <c r="BW118" i="50"/>
  <c r="DP165" i="50"/>
  <c r="CA219" i="50"/>
  <c r="AM88" i="50"/>
  <c r="AJ104" i="50"/>
  <c r="T167" i="50"/>
  <c r="P220" i="50"/>
  <c r="AI189" i="50"/>
  <c r="BH84" i="50"/>
  <c r="I88" i="50"/>
  <c r="EE116" i="50"/>
  <c r="ER91" i="50"/>
  <c r="DJ114" i="50"/>
  <c r="AH130" i="50"/>
  <c r="AJ95" i="50"/>
  <c r="AZ169" i="50"/>
  <c r="AW108" i="50"/>
  <c r="DP152" i="50"/>
  <c r="BE94" i="50"/>
  <c r="EA105" i="50"/>
  <c r="AL204" i="50"/>
  <c r="CO137" i="50"/>
  <c r="AS130" i="50"/>
  <c r="K75" i="50"/>
  <c r="EG113" i="50"/>
  <c r="BZ106" i="50"/>
  <c r="CP109" i="50"/>
  <c r="AZ202" i="50"/>
  <c r="N104" i="50"/>
  <c r="CO73" i="50"/>
  <c r="CO147" i="50"/>
  <c r="BK92" i="50"/>
  <c r="W132" i="50"/>
  <c r="BJ219" i="50"/>
  <c r="AC47" i="50"/>
  <c r="CQ105" i="50"/>
  <c r="Q123" i="50"/>
  <c r="AU131" i="50"/>
  <c r="DY147" i="50"/>
  <c r="J150" i="50"/>
  <c r="BJ74" i="50"/>
  <c r="EB168" i="50"/>
  <c r="DP131" i="50"/>
  <c r="BA134" i="50"/>
  <c r="S184" i="50"/>
  <c r="AS120" i="50"/>
  <c r="Z132" i="50"/>
  <c r="D79" i="50"/>
  <c r="AM105" i="50"/>
  <c r="AR135" i="50"/>
  <c r="AF20" i="50"/>
  <c r="EX133" i="50"/>
  <c r="BY114" i="50"/>
  <c r="Y127" i="50"/>
  <c r="CE166" i="50"/>
  <c r="EQ166" i="50"/>
  <c r="G82" i="50"/>
  <c r="BH167" i="50"/>
  <c r="DO151" i="50"/>
  <c r="D109" i="50"/>
  <c r="Q87" i="50"/>
  <c r="U146" i="50"/>
  <c r="AU200" i="50"/>
  <c r="AJ105" i="50"/>
  <c r="U184" i="50"/>
  <c r="BQ136" i="50"/>
  <c r="EW120" i="50"/>
  <c r="P222" i="50"/>
  <c r="BA90" i="50"/>
  <c r="H75" i="50"/>
  <c r="AC56" i="50"/>
  <c r="EV126" i="50"/>
  <c r="EA188" i="50"/>
  <c r="AY149" i="50"/>
  <c r="T192" i="50"/>
  <c r="DY91" i="50"/>
  <c r="G77" i="50"/>
  <c r="CD104" i="50"/>
  <c r="EW164" i="50"/>
  <c r="EA190" i="50"/>
  <c r="EQ112" i="50"/>
  <c r="DO120" i="50"/>
  <c r="AZ222" i="50"/>
  <c r="EF219" i="50"/>
  <c r="U45" i="50"/>
  <c r="R201" i="50"/>
  <c r="AD169" i="50"/>
  <c r="ET206" i="50"/>
  <c r="E202" i="50"/>
  <c r="CA221" i="50"/>
  <c r="DY220" i="50"/>
  <c r="W109" i="50"/>
  <c r="AQ132" i="50"/>
  <c r="M79" i="50"/>
  <c r="EU107" i="50"/>
  <c r="BH123" i="50"/>
  <c r="AT115" i="50"/>
  <c r="V75" i="50"/>
  <c r="AI100" i="50"/>
  <c r="CR152" i="50"/>
  <c r="DY165" i="50"/>
  <c r="BO104" i="50"/>
  <c r="CD115" i="50"/>
  <c r="D219" i="50"/>
  <c r="BK217" i="50"/>
  <c r="G200" i="50"/>
  <c r="EX95" i="50"/>
  <c r="EG134" i="50"/>
  <c r="AF110" i="50"/>
  <c r="U192" i="50"/>
  <c r="DY83" i="50"/>
  <c r="DJ152" i="50"/>
  <c r="M137" i="50"/>
  <c r="M90" i="50"/>
  <c r="Y134" i="50"/>
  <c r="CC219" i="50"/>
  <c r="AI147" i="50"/>
  <c r="ET136" i="50"/>
  <c r="DJ166" i="50"/>
  <c r="AS135" i="50"/>
  <c r="AQ92" i="50"/>
  <c r="BF76" i="50"/>
  <c r="ES82" i="50"/>
  <c r="ES217" i="50"/>
  <c r="J151" i="50"/>
  <c r="DP106" i="50"/>
  <c r="BA138" i="50"/>
  <c r="AB52" i="50"/>
  <c r="CU166" i="50"/>
  <c r="CD206" i="50"/>
  <c r="D116" i="50"/>
  <c r="AZ184" i="50"/>
  <c r="F217" i="50"/>
  <c r="BD120" i="50"/>
  <c r="CE96" i="50"/>
  <c r="AK86" i="50"/>
  <c r="U104" i="50"/>
  <c r="J217" i="50"/>
  <c r="AH131" i="50"/>
  <c r="BX217" i="50"/>
  <c r="BM199" i="50"/>
  <c r="ER107" i="50"/>
  <c r="ES136" i="50"/>
  <c r="EU166" i="50"/>
  <c r="AT135" i="50"/>
  <c r="AP80" i="50"/>
  <c r="AA223" i="50"/>
  <c r="J203" i="50"/>
  <c r="AE223" i="50"/>
  <c r="AO78" i="50"/>
  <c r="AB205" i="50"/>
  <c r="P122" i="50"/>
  <c r="CD89" i="50"/>
  <c r="BP112" i="50"/>
  <c r="X188" i="50"/>
  <c r="BX118" i="50"/>
  <c r="AN132" i="50"/>
  <c r="ES106" i="50"/>
  <c r="AH200" i="50"/>
  <c r="ES100" i="50"/>
  <c r="DQ115" i="50"/>
  <c r="DZ82" i="50"/>
  <c r="CE92" i="50"/>
  <c r="CC86" i="50"/>
  <c r="EG190" i="50"/>
  <c r="BP92" i="50"/>
  <c r="CU192" i="50"/>
  <c r="BP201" i="50"/>
  <c r="ES89" i="50"/>
  <c r="AT80" i="50"/>
  <c r="AW219" i="50"/>
  <c r="BL192" i="50"/>
  <c r="CT109" i="50"/>
  <c r="DL126" i="50"/>
  <c r="AP101" i="50"/>
  <c r="CQ185" i="50"/>
  <c r="BX115" i="50"/>
  <c r="X132" i="50"/>
  <c r="AU127" i="50"/>
  <c r="BM164" i="50"/>
  <c r="CB221" i="50"/>
  <c r="BA120" i="50"/>
  <c r="CO190" i="50"/>
  <c r="D98" i="50"/>
  <c r="ET116" i="50"/>
  <c r="AJ200" i="50"/>
  <c r="CS134" i="50"/>
  <c r="AU89" i="50"/>
  <c r="S132" i="50"/>
  <c r="E134" i="50"/>
  <c r="I124" i="50"/>
  <c r="AT76" i="50"/>
  <c r="DN184" i="50"/>
  <c r="W24" i="50"/>
  <c r="AH22" i="50"/>
  <c r="CR150" i="50"/>
  <c r="BW87" i="50"/>
  <c r="AD88" i="50"/>
  <c r="S110" i="50"/>
  <c r="AA104" i="50"/>
  <c r="N217" i="50"/>
  <c r="ES205" i="50"/>
  <c r="CE86" i="50"/>
  <c r="J135" i="50"/>
  <c r="BH121" i="50"/>
  <c r="T83" i="50"/>
  <c r="C205" i="50"/>
  <c r="EB190" i="50"/>
  <c r="K21" i="50"/>
  <c r="DN102" i="50"/>
  <c r="X18" i="50"/>
  <c r="AI73" i="50"/>
  <c r="ER138" i="50"/>
  <c r="M205" i="50"/>
  <c r="AQ82" i="50"/>
  <c r="BI114" i="50"/>
  <c r="AD78" i="50"/>
  <c r="W113" i="50"/>
  <c r="DQ114" i="50"/>
  <c r="BL152" i="50"/>
  <c r="BH223" i="50"/>
  <c r="BY169" i="50"/>
  <c r="R34" i="50"/>
  <c r="DO146" i="50"/>
  <c r="E73" i="50"/>
  <c r="EV124" i="50"/>
  <c r="X125" i="50"/>
  <c r="EW92" i="50"/>
  <c r="R133" i="50"/>
  <c r="EG189" i="50"/>
  <c r="D111" i="50"/>
  <c r="AF82" i="50"/>
  <c r="BL77" i="50"/>
  <c r="EA125" i="50"/>
  <c r="W43" i="50"/>
  <c r="BY101" i="50"/>
  <c r="T114" i="50"/>
  <c r="BW200" i="50"/>
  <c r="BJ108" i="50"/>
  <c r="G222" i="50"/>
  <c r="BF185" i="50"/>
  <c r="U119" i="50"/>
  <c r="CR205" i="50"/>
  <c r="DL104" i="50"/>
  <c r="EW147" i="50"/>
  <c r="CD222" i="50"/>
  <c r="Z78" i="50"/>
  <c r="EV164" i="50"/>
  <c r="AF46" i="50"/>
  <c r="N218" i="50"/>
  <c r="CP119" i="50"/>
  <c r="CC116" i="50"/>
  <c r="DS88" i="50"/>
  <c r="BL190" i="50"/>
  <c r="U166" i="50"/>
  <c r="O86" i="50"/>
  <c r="DR115" i="50"/>
  <c r="BZ167" i="50"/>
  <c r="BP84" i="50"/>
  <c r="AQ110" i="50"/>
  <c r="AL136" i="50"/>
  <c r="EA148" i="50"/>
  <c r="CV100" i="50"/>
  <c r="AW95" i="50"/>
  <c r="DS101" i="50"/>
  <c r="Q100" i="50"/>
  <c r="CB92" i="50"/>
  <c r="AX205" i="50"/>
  <c r="DO147" i="50"/>
  <c r="CT98" i="50"/>
  <c r="DP126" i="50"/>
  <c r="EA106" i="50"/>
  <c r="BA113" i="50"/>
  <c r="BP91" i="50"/>
  <c r="Y167" i="50"/>
  <c r="J186" i="50"/>
  <c r="CR166" i="50"/>
  <c r="AD45" i="50"/>
  <c r="DM106" i="50"/>
  <c r="L165" i="50"/>
  <c r="O190" i="50"/>
  <c r="DP88" i="50"/>
  <c r="BD96" i="50"/>
  <c r="D119" i="50"/>
  <c r="V113" i="50"/>
  <c r="U105" i="50"/>
  <c r="D205" i="50"/>
  <c r="AT184" i="50"/>
  <c r="M167" i="50"/>
  <c r="AJ92" i="50"/>
  <c r="CO163" i="50"/>
  <c r="BE108" i="50"/>
  <c r="EB110" i="50"/>
  <c r="Z223" i="50"/>
  <c r="BN133" i="50"/>
  <c r="L138" i="50"/>
  <c r="CD116" i="50"/>
  <c r="AU136" i="50"/>
  <c r="DP222" i="50"/>
  <c r="BP137" i="50"/>
  <c r="BM88" i="50"/>
  <c r="DK134" i="50"/>
  <c r="EX145" i="50"/>
  <c r="Q149" i="50"/>
  <c r="AJ148" i="50"/>
  <c r="BK149" i="50"/>
  <c r="EE223" i="50"/>
  <c r="P107" i="50"/>
  <c r="AG113" i="50"/>
  <c r="DP167" i="50"/>
  <c r="AR190" i="50"/>
  <c r="CV134" i="50"/>
  <c r="CS75" i="50"/>
  <c r="D104" i="50"/>
  <c r="D107" i="50"/>
  <c r="AE166" i="50"/>
  <c r="AA184" i="50"/>
  <c r="BN86" i="50"/>
  <c r="Y138" i="50"/>
  <c r="DN87" i="50"/>
  <c r="BM119" i="50"/>
  <c r="BW202" i="50"/>
  <c r="BZ125" i="50"/>
  <c r="AH87" i="50"/>
  <c r="BE145" i="50"/>
  <c r="EE205" i="50"/>
  <c r="AG151" i="50"/>
  <c r="AT100" i="50"/>
  <c r="L152" i="50"/>
  <c r="AP85" i="50"/>
  <c r="AJ223" i="50"/>
  <c r="BO138" i="50"/>
  <c r="AY124" i="50"/>
  <c r="AQ107" i="50"/>
  <c r="DY186" i="50"/>
  <c r="BE217" i="50"/>
  <c r="EB124" i="50"/>
  <c r="AK76" i="50"/>
  <c r="CQ202" i="50"/>
  <c r="BE88" i="50"/>
  <c r="AW167" i="50"/>
  <c r="EW223" i="50"/>
  <c r="AN100" i="50"/>
  <c r="C100" i="50"/>
  <c r="U203" i="50"/>
  <c r="AI187" i="50"/>
  <c r="CU123" i="50"/>
  <c r="K118" i="50"/>
  <c r="CU94" i="50"/>
  <c r="X16" i="50"/>
  <c r="BA98" i="50"/>
  <c r="ED89" i="50"/>
  <c r="AE99" i="50"/>
  <c r="DK91" i="50"/>
  <c r="AF164" i="50"/>
  <c r="AF15" i="50"/>
  <c r="T105" i="50"/>
  <c r="BP85" i="50"/>
  <c r="BE122" i="50"/>
  <c r="EW222" i="50"/>
  <c r="BH219" i="50"/>
  <c r="AU189" i="50"/>
  <c r="DK87" i="50"/>
  <c r="EV127" i="50"/>
  <c r="AL218" i="50"/>
  <c r="BJ100" i="50"/>
  <c r="T16" i="50"/>
  <c r="BQ77" i="50"/>
  <c r="CB75" i="50"/>
  <c r="U96" i="50"/>
  <c r="C113" i="50"/>
  <c r="CE106" i="50"/>
  <c r="CV93" i="50"/>
  <c r="BY88" i="50"/>
  <c r="X58" i="50"/>
  <c r="AR112" i="50"/>
  <c r="CU191" i="50"/>
  <c r="K109" i="50"/>
  <c r="AY121" i="50"/>
  <c r="AL149" i="50"/>
  <c r="EC123" i="50"/>
  <c r="BE218" i="50"/>
  <c r="CO113" i="50"/>
  <c r="BK152" i="50"/>
  <c r="AG91" i="50"/>
  <c r="DQ119" i="50"/>
  <c r="Z167" i="50"/>
  <c r="L108" i="50"/>
  <c r="AT106" i="50"/>
  <c r="BI93" i="50"/>
  <c r="BJ184" i="50"/>
  <c r="AX133" i="50"/>
  <c r="BA127" i="50"/>
  <c r="BD133" i="50"/>
  <c r="DP118" i="50"/>
  <c r="F152" i="50"/>
  <c r="T23" i="50"/>
  <c r="BA95" i="50"/>
  <c r="Y79" i="50"/>
  <c r="AZ217" i="50"/>
  <c r="V87" i="50"/>
  <c r="EA96" i="50"/>
  <c r="AY85" i="50"/>
  <c r="O132" i="50"/>
  <c r="EF90" i="50"/>
  <c r="CR111" i="50"/>
  <c r="AH163" i="50"/>
  <c r="AD44" i="50"/>
  <c r="H88" i="50"/>
  <c r="EW96" i="50"/>
  <c r="BY89" i="50"/>
  <c r="EG89" i="50"/>
  <c r="CS115" i="50"/>
  <c r="DR135" i="50"/>
  <c r="AS164" i="50"/>
  <c r="DK117" i="50"/>
  <c r="BX166" i="50"/>
  <c r="S217" i="50"/>
  <c r="ES125" i="50"/>
  <c r="DK82" i="50"/>
  <c r="D201" i="50"/>
  <c r="BI221" i="50"/>
  <c r="AA8" i="26"/>
  <c r="AS205" i="50"/>
  <c r="DL78" i="50"/>
  <c r="CB201" i="50"/>
  <c r="AC119" i="50"/>
  <c r="J123" i="50"/>
  <c r="BW95" i="50"/>
  <c r="AG138" i="50"/>
  <c r="BL87" i="50"/>
  <c r="O203" i="50"/>
  <c r="DS119" i="50"/>
  <c r="BJ222" i="50"/>
  <c r="CE103" i="50"/>
  <c r="EX106" i="50"/>
  <c r="BQ150" i="50"/>
  <c r="C18" i="50"/>
  <c r="DK191" i="50"/>
  <c r="ER201" i="50"/>
  <c r="DJ101" i="50"/>
  <c r="Z148" i="50"/>
  <c r="BC105" i="50"/>
  <c r="BH189" i="50"/>
  <c r="AL167" i="50"/>
  <c r="P217" i="50"/>
  <c r="BJ137" i="50"/>
  <c r="AG167" i="50"/>
  <c r="CV148" i="50"/>
  <c r="EX134" i="50"/>
  <c r="CD186" i="50"/>
  <c r="AA42" i="50"/>
  <c r="DZ110" i="50"/>
  <c r="CS150" i="50"/>
  <c r="DQ134" i="50"/>
  <c r="AK217" i="50"/>
  <c r="CT106" i="50"/>
  <c r="EB217" i="50"/>
  <c r="Z82" i="50"/>
  <c r="AL130" i="50"/>
  <c r="BE130" i="50"/>
  <c r="ET90" i="50"/>
  <c r="E81" i="50"/>
  <c r="EQ101" i="50"/>
  <c r="ES147" i="50"/>
  <c r="DP122" i="50"/>
  <c r="L97" i="50"/>
  <c r="CC168" i="50"/>
  <c r="AQ76" i="50"/>
  <c r="BH203" i="50"/>
  <c r="BZ130" i="50"/>
  <c r="EU218" i="50"/>
  <c r="BF84" i="50"/>
  <c r="DS127" i="50"/>
  <c r="J218" i="50"/>
  <c r="BZ192" i="50"/>
  <c r="BA133" i="50"/>
  <c r="DS131" i="50"/>
  <c r="ET96" i="50"/>
  <c r="AF45" i="50"/>
  <c r="BY200" i="50"/>
  <c r="AO152" i="50"/>
  <c r="AD111" i="50"/>
  <c r="BQ78" i="50"/>
  <c r="DM80" i="50"/>
  <c r="DP93" i="50"/>
  <c r="W201" i="50"/>
  <c r="CE80" i="50"/>
  <c r="E99" i="50"/>
  <c r="X137" i="50"/>
  <c r="ES81" i="50"/>
  <c r="BK221" i="50"/>
  <c r="CR126" i="50"/>
  <c r="AO132" i="50"/>
  <c r="O94" i="50"/>
  <c r="DY132" i="50"/>
  <c r="AX184" i="50"/>
  <c r="BX131" i="50"/>
  <c r="AX116" i="50"/>
  <c r="EX165" i="50"/>
  <c r="G94" i="50"/>
  <c r="N94" i="50"/>
  <c r="AH18" i="50"/>
  <c r="CD200" i="50"/>
  <c r="BB223" i="50"/>
  <c r="EX166" i="50"/>
  <c r="F74" i="50"/>
  <c r="BN94" i="50"/>
  <c r="DZ124" i="50"/>
  <c r="AZ164" i="50"/>
  <c r="DY89" i="50"/>
  <c r="AE104" i="50"/>
  <c r="CC218" i="50"/>
  <c r="BL97" i="50"/>
  <c r="DS112" i="50"/>
  <c r="U113" i="50"/>
  <c r="BQ202" i="50"/>
  <c r="AG163" i="50"/>
  <c r="C206" i="50"/>
  <c r="BC90" i="50"/>
  <c r="T146" i="50"/>
  <c r="D31" i="50"/>
  <c r="BO98" i="50"/>
  <c r="EG127" i="50"/>
  <c r="AA84" i="50"/>
  <c r="DS132" i="50"/>
  <c r="T204" i="50"/>
  <c r="T184" i="50"/>
  <c r="AA190" i="50"/>
  <c r="V126" i="50"/>
  <c r="BZ100" i="50"/>
  <c r="AL24" i="50"/>
  <c r="BI88" i="50"/>
  <c r="DS114" i="50"/>
  <c r="ED146" i="50"/>
  <c r="T206" i="50"/>
  <c r="EC114" i="50"/>
  <c r="DO93" i="50"/>
  <c r="AH94" i="50"/>
  <c r="CU81" i="50"/>
  <c r="ET113" i="50"/>
  <c r="BA80" i="50"/>
  <c r="BD130" i="50"/>
  <c r="F134" i="50"/>
  <c r="CS96" i="50"/>
  <c r="EX124" i="50"/>
  <c r="V223" i="50"/>
  <c r="BN134" i="50"/>
  <c r="CC126" i="50"/>
  <c r="O93" i="50"/>
  <c r="BY152" i="50"/>
  <c r="BW107" i="50"/>
  <c r="EA222" i="50"/>
  <c r="AY148" i="50"/>
  <c r="BN200" i="50"/>
  <c r="W164" i="50"/>
  <c r="CA113" i="50"/>
  <c r="AX80" i="50"/>
  <c r="X152" i="50"/>
  <c r="BM219" i="50"/>
  <c r="AD126" i="50"/>
  <c r="AZ113" i="50"/>
  <c r="DM114" i="50"/>
  <c r="BP82" i="50"/>
  <c r="BE111" i="50"/>
  <c r="DR167" i="50"/>
  <c r="EA135" i="50"/>
  <c r="BH110" i="50"/>
  <c r="BZ204" i="50"/>
  <c r="EC189" i="50"/>
  <c r="BP187" i="50"/>
  <c r="P102" i="50"/>
  <c r="BO83" i="50"/>
  <c r="CA88" i="50"/>
  <c r="EB118" i="50"/>
  <c r="AK104" i="50"/>
  <c r="I101" i="50"/>
  <c r="DN221" i="50"/>
  <c r="EA113" i="50"/>
  <c r="S101" i="50"/>
  <c r="DP77" i="50"/>
  <c r="K110" i="50"/>
  <c r="CU131" i="50"/>
  <c r="AJ18" i="50"/>
  <c r="DK111" i="50"/>
  <c r="EQ96" i="50"/>
  <c r="CU206" i="50"/>
  <c r="F145" i="50"/>
  <c r="EU151" i="50"/>
  <c r="DN113" i="50"/>
  <c r="DS75" i="50"/>
  <c r="S219" i="50"/>
  <c r="EG123" i="50"/>
  <c r="Q189" i="50"/>
  <c r="AW148" i="50"/>
  <c r="CU78" i="50"/>
  <c r="CP112" i="50"/>
  <c r="DR217" i="50"/>
  <c r="EC104" i="50"/>
  <c r="AL220" i="50"/>
  <c r="M82" i="50"/>
  <c r="BI84" i="50"/>
  <c r="EW111" i="50"/>
  <c r="I91" i="50"/>
  <c r="AI89" i="50"/>
  <c r="AD89" i="50"/>
  <c r="CS205" i="50"/>
  <c r="AA146" i="50"/>
  <c r="CV217" i="50"/>
  <c r="L145" i="50"/>
  <c r="AV83" i="50"/>
  <c r="DQ112" i="50"/>
  <c r="CT122" i="50"/>
  <c r="BY82" i="50"/>
  <c r="O188" i="50"/>
  <c r="CV149" i="50"/>
  <c r="AI133" i="50"/>
  <c r="BW74" i="50"/>
  <c r="BP125" i="50"/>
  <c r="J84" i="50"/>
  <c r="R79" i="50"/>
  <c r="EW127" i="50"/>
  <c r="AC186" i="50"/>
  <c r="DL145" i="50"/>
  <c r="AF81" i="50"/>
  <c r="J131" i="50"/>
  <c r="EV206" i="50"/>
  <c r="BD187" i="50"/>
  <c r="AA115" i="50"/>
  <c r="AS118" i="50"/>
  <c r="H123" i="50"/>
  <c r="EG206" i="50"/>
  <c r="BP134" i="50"/>
  <c r="CO219" i="50"/>
  <c r="AX86" i="50"/>
  <c r="CV120" i="50"/>
  <c r="BH135" i="50"/>
  <c r="D22" i="50"/>
  <c r="X117" i="50"/>
  <c r="ED221" i="50"/>
  <c r="CC203" i="50"/>
  <c r="BZ114" i="50"/>
  <c r="AZ76" i="50"/>
  <c r="CB95" i="50"/>
  <c r="DR127" i="50"/>
  <c r="M151" i="50"/>
  <c r="AQ87" i="50"/>
  <c r="EW135" i="50"/>
  <c r="AO74" i="50"/>
  <c r="DM120" i="50"/>
  <c r="EE97" i="50"/>
  <c r="O89" i="50"/>
  <c r="AB151" i="50"/>
  <c r="DP92" i="50"/>
  <c r="E146" i="50"/>
  <c r="AP81" i="50"/>
  <c r="AE189" i="50"/>
  <c r="EG133" i="50"/>
  <c r="F137" i="50"/>
  <c r="CB136" i="50"/>
  <c r="BB80" i="50"/>
  <c r="BF147" i="50"/>
  <c r="ED84" i="50"/>
  <c r="BF191" i="50"/>
  <c r="BH165" i="50"/>
  <c r="AQ149" i="50"/>
  <c r="H125" i="50"/>
  <c r="EB121" i="50"/>
  <c r="BB112" i="50"/>
  <c r="AS201" i="50"/>
  <c r="CR200" i="50"/>
  <c r="BH169" i="50"/>
  <c r="AF109" i="50"/>
  <c r="ER125" i="50"/>
  <c r="I186" i="50"/>
  <c r="E127" i="50"/>
  <c r="BH217" i="50"/>
  <c r="DN201" i="50"/>
  <c r="CD102" i="50"/>
  <c r="ER149" i="50"/>
  <c r="ES223" i="50"/>
  <c r="AU130" i="50"/>
  <c r="Y168" i="50"/>
  <c r="AE220" i="50"/>
  <c r="AB190" i="50"/>
  <c r="BL222" i="50"/>
  <c r="EC80" i="50"/>
  <c r="CD219" i="50"/>
  <c r="AO151" i="50"/>
  <c r="BY165" i="50"/>
  <c r="EG75" i="50"/>
  <c r="Z187" i="50"/>
  <c r="Z81" i="50"/>
  <c r="N77" i="50"/>
  <c r="AF152" i="50"/>
  <c r="BK116" i="50"/>
  <c r="EG191" i="50"/>
  <c r="AV103" i="50"/>
  <c r="F187" i="50"/>
  <c r="AB117" i="50"/>
  <c r="D110" i="50"/>
  <c r="DQ105" i="50"/>
  <c r="X52" i="50"/>
  <c r="AE124" i="50"/>
  <c r="EV109" i="50"/>
  <c r="DK165" i="50"/>
  <c r="P147" i="50"/>
  <c r="DR146" i="50"/>
  <c r="BY192" i="50"/>
  <c r="E102" i="50"/>
  <c r="AS90" i="50"/>
  <c r="EG221" i="50"/>
  <c r="DJ219" i="50"/>
  <c r="E147" i="50"/>
  <c r="S19" i="50"/>
  <c r="BH188" i="50"/>
  <c r="AJ168" i="50"/>
  <c r="J167" i="50"/>
  <c r="X34" i="50"/>
  <c r="BE107" i="50"/>
  <c r="CD108" i="50"/>
  <c r="BX108" i="50"/>
  <c r="Z36" i="50"/>
  <c r="R19" i="50"/>
  <c r="AV151" i="50"/>
  <c r="AY133" i="50"/>
  <c r="BY98" i="50"/>
  <c r="CT191" i="50"/>
  <c r="CP186" i="50"/>
  <c r="DQ167" i="50"/>
  <c r="U186" i="50"/>
  <c r="Y91" i="50"/>
  <c r="AA132" i="50"/>
  <c r="H136" i="50"/>
  <c r="BX117" i="50"/>
  <c r="R88" i="50"/>
  <c r="AB103" i="50"/>
  <c r="P101" i="50"/>
  <c r="BN79" i="50"/>
  <c r="BC111" i="50"/>
  <c r="D91" i="50"/>
  <c r="AF115" i="50"/>
  <c r="BH104" i="50"/>
  <c r="EQ98" i="50"/>
  <c r="T74" i="50"/>
  <c r="EA116" i="50"/>
  <c r="U164" i="50"/>
  <c r="DK92" i="50"/>
  <c r="AU113" i="50"/>
  <c r="AC104" i="50"/>
  <c r="EQ85" i="50"/>
  <c r="BQ75" i="50"/>
  <c r="EF222" i="50"/>
  <c r="AH74" i="50"/>
  <c r="BF152" i="50"/>
  <c r="AT77" i="50"/>
  <c r="Q223" i="50"/>
  <c r="BJ168" i="50"/>
  <c r="BX221" i="50"/>
  <c r="AC110" i="50"/>
  <c r="AW152" i="50"/>
  <c r="DY137" i="50"/>
  <c r="H188" i="50"/>
  <c r="CP81" i="50"/>
  <c r="EQ99" i="50"/>
  <c r="E190" i="50"/>
  <c r="N131" i="50"/>
  <c r="EC112" i="50"/>
  <c r="AN80" i="50"/>
  <c r="AL200" i="50"/>
  <c r="CE200" i="50"/>
  <c r="DQ126" i="50"/>
  <c r="EF166" i="50"/>
  <c r="N152" i="50"/>
  <c r="AS86" i="50"/>
  <c r="BK84" i="50"/>
  <c r="AL217" i="50"/>
  <c r="Y201" i="50"/>
  <c r="M147" i="50"/>
  <c r="V107" i="50"/>
  <c r="BD90" i="50"/>
  <c r="W84" i="50"/>
  <c r="G119" i="50"/>
  <c r="AU145" i="50"/>
  <c r="DR99" i="50"/>
  <c r="ET108" i="50"/>
  <c r="V134" i="50"/>
  <c r="AZ117" i="50"/>
  <c r="H206" i="50"/>
  <c r="AQ127" i="50"/>
  <c r="V108" i="50"/>
  <c r="EB147" i="50"/>
  <c r="DN147" i="50"/>
  <c r="M164" i="50"/>
  <c r="BM122" i="50"/>
  <c r="EQ200" i="50"/>
  <c r="AB107" i="50"/>
  <c r="BW85" i="50"/>
  <c r="DN164" i="50"/>
  <c r="AR152" i="50"/>
  <c r="P221" i="50"/>
  <c r="AZ166" i="50"/>
  <c r="BE117" i="50"/>
  <c r="EG132" i="50"/>
  <c r="DS106" i="50"/>
  <c r="DL79" i="50"/>
  <c r="DY98" i="50"/>
  <c r="BB221" i="50"/>
  <c r="AW90" i="50"/>
  <c r="BD148" i="50"/>
  <c r="ER114" i="50"/>
  <c r="AK84" i="50"/>
  <c r="CO102" i="50"/>
  <c r="AN96" i="50"/>
  <c r="EF79" i="50"/>
  <c r="H127" i="50"/>
  <c r="U54" i="50"/>
  <c r="S53" i="50"/>
  <c r="W85" i="50"/>
  <c r="CO84" i="50"/>
  <c r="AF57" i="50"/>
  <c r="DZ81" i="50"/>
  <c r="P218" i="50"/>
  <c r="AV90" i="50"/>
  <c r="DM83" i="50"/>
  <c r="H114" i="50"/>
  <c r="CQ199" i="50"/>
  <c r="EB95" i="50"/>
  <c r="CE192" i="50"/>
  <c r="DY112" i="50"/>
  <c r="AU165" i="50"/>
  <c r="ED152" i="50"/>
  <c r="DO105" i="50"/>
  <c r="BP96" i="50"/>
  <c r="AL102" i="50"/>
  <c r="AY81" i="50"/>
  <c r="L100" i="50"/>
  <c r="AQ202" i="50"/>
  <c r="BE136" i="50"/>
  <c r="BW77" i="50"/>
  <c r="DK149" i="50"/>
  <c r="AQ93" i="50"/>
  <c r="EG124" i="50"/>
  <c r="J82" i="50"/>
  <c r="ED115" i="50"/>
  <c r="BQ108" i="50"/>
  <c r="DQ85" i="50"/>
  <c r="AR115" i="50"/>
  <c r="CO166" i="50"/>
  <c r="AX163" i="50"/>
  <c r="P135" i="50"/>
  <c r="AV79" i="50"/>
  <c r="ER116" i="50"/>
  <c r="BY92" i="50"/>
  <c r="EF120" i="50"/>
  <c r="CD96" i="50"/>
  <c r="AQ89" i="50"/>
  <c r="D84" i="50"/>
  <c r="BX104" i="50"/>
  <c r="CV88" i="50"/>
  <c r="EC89" i="50"/>
  <c r="DR130" i="50"/>
  <c r="T97" i="50"/>
  <c r="AJ151" i="50"/>
  <c r="EC220" i="50"/>
  <c r="D164" i="50"/>
  <c r="BD95" i="50"/>
  <c r="BA166" i="50"/>
  <c r="CD113" i="50"/>
  <c r="BH127" i="50"/>
  <c r="CC97" i="50"/>
  <c r="P82" i="50"/>
  <c r="F86" i="50"/>
  <c r="DK188" i="50"/>
  <c r="AX81" i="50"/>
  <c r="BQ80" i="50"/>
  <c r="AW73" i="50"/>
  <c r="P203" i="50"/>
  <c r="DZ89" i="50"/>
  <c r="AU149" i="50"/>
  <c r="AB167" i="50"/>
  <c r="BZ206" i="50"/>
  <c r="CD189" i="50"/>
  <c r="AC58" i="50"/>
  <c r="P115" i="50"/>
  <c r="ET106" i="50"/>
  <c r="BN77" i="50"/>
  <c r="DK84" i="50"/>
  <c r="EQ118" i="50"/>
  <c r="BK102" i="50"/>
  <c r="AP218" i="50"/>
  <c r="AH119" i="50"/>
  <c r="EF112" i="50"/>
  <c r="AW75" i="50"/>
  <c r="F78" i="50"/>
  <c r="AV217" i="50"/>
  <c r="X75" i="50"/>
  <c r="AA90" i="50"/>
  <c r="EQ223" i="50"/>
  <c r="V200" i="50"/>
  <c r="Z101" i="50"/>
  <c r="CA167" i="50"/>
  <c r="Y131" i="50"/>
  <c r="CB165" i="50"/>
  <c r="EG219" i="50"/>
  <c r="AF125" i="50"/>
  <c r="AZ106" i="50"/>
  <c r="BN199" i="50"/>
  <c r="AB57" i="50"/>
  <c r="EX202" i="50"/>
  <c r="DL138" i="50"/>
  <c r="W103" i="50"/>
  <c r="K164" i="50"/>
  <c r="Q191" i="50"/>
  <c r="BF82" i="50"/>
  <c r="AG77" i="50"/>
  <c r="BN206" i="50"/>
  <c r="BA165" i="50"/>
  <c r="EF151" i="50"/>
  <c r="EX101" i="50"/>
  <c r="AL81" i="50"/>
  <c r="BK185" i="50"/>
  <c r="CB168" i="50"/>
  <c r="AG75" i="50"/>
  <c r="AD83" i="50"/>
  <c r="EV119" i="50"/>
  <c r="BO124" i="50"/>
  <c r="AD49" i="50"/>
  <c r="AX125" i="50"/>
  <c r="AD11" i="26"/>
  <c r="BH184" i="50"/>
  <c r="I192" i="50"/>
  <c r="S163" i="50"/>
  <c r="M75" i="50"/>
  <c r="BD125" i="50"/>
  <c r="BM201" i="50"/>
  <c r="CT204" i="50"/>
  <c r="DQ189" i="50"/>
  <c r="AK133" i="50"/>
  <c r="D168" i="50"/>
  <c r="S89" i="50"/>
  <c r="T126" i="50"/>
  <c r="R18" i="50"/>
  <c r="EF74" i="50"/>
  <c r="EF200" i="50"/>
  <c r="DL77" i="50"/>
  <c r="R87" i="50"/>
  <c r="AA166" i="50"/>
  <c r="DS199" i="50"/>
  <c r="DN75" i="50"/>
  <c r="DM202" i="50"/>
  <c r="N125" i="50"/>
  <c r="EG100" i="50"/>
  <c r="D134" i="50"/>
  <c r="Z95" i="50"/>
  <c r="CQ203" i="50"/>
  <c r="AX150" i="50"/>
  <c r="EC91" i="50"/>
  <c r="EC202" i="50"/>
  <c r="AB124" i="50"/>
  <c r="BJ122" i="50"/>
  <c r="CQ221" i="50"/>
  <c r="F149" i="50"/>
  <c r="BM79" i="50"/>
  <c r="DS190" i="50"/>
  <c r="EW221" i="50"/>
  <c r="CP217" i="50"/>
  <c r="E124" i="50"/>
  <c r="DQ104" i="50"/>
  <c r="AP95" i="50"/>
  <c r="CS219" i="50"/>
  <c r="ES111" i="50"/>
  <c r="AO80" i="50"/>
  <c r="CP84" i="50"/>
  <c r="AM191" i="50"/>
  <c r="AK201" i="50"/>
  <c r="BP122" i="50"/>
  <c r="CE104" i="50"/>
  <c r="Z151" i="50"/>
  <c r="CR135" i="50"/>
  <c r="ET130" i="50"/>
  <c r="U138" i="50"/>
  <c r="S83" i="50"/>
  <c r="R89" i="50"/>
  <c r="AD110" i="50"/>
  <c r="BQ101" i="50"/>
  <c r="AL137" i="50"/>
  <c r="EA201" i="50"/>
  <c r="L164" i="50"/>
  <c r="CR76" i="50"/>
  <c r="EX103" i="50"/>
  <c r="Q113" i="50"/>
  <c r="AD32" i="50"/>
  <c r="AJ102" i="50"/>
  <c r="AC202" i="50"/>
  <c r="DM152" i="50"/>
  <c r="L123" i="50"/>
  <c r="AY147" i="50"/>
  <c r="EC126" i="50"/>
  <c r="AC165" i="50"/>
  <c r="BD81" i="50"/>
  <c r="AI97" i="50"/>
  <c r="AE184" i="50"/>
  <c r="BW167" i="50"/>
  <c r="AS133" i="50"/>
  <c r="CU204" i="50"/>
  <c r="BC116" i="50"/>
  <c r="G75" i="50"/>
  <c r="BQ82" i="50"/>
  <c r="CV103" i="50"/>
  <c r="DZ187" i="50"/>
  <c r="AQ206" i="50"/>
  <c r="AP133" i="50"/>
  <c r="K23" i="50"/>
  <c r="AD51" i="50"/>
  <c r="EC101" i="50"/>
  <c r="CA133" i="50"/>
  <c r="Z12" i="26"/>
  <c r="H132" i="50"/>
  <c r="G169" i="50"/>
  <c r="EU150" i="50"/>
  <c r="EC119" i="50"/>
  <c r="AA151" i="50"/>
  <c r="CU167" i="50"/>
  <c r="S149" i="50"/>
  <c r="Z16" i="50"/>
  <c r="CV152" i="50"/>
  <c r="AL201" i="50"/>
  <c r="DQ86" i="50"/>
  <c r="C101" i="50"/>
  <c r="I146" i="50"/>
  <c r="AG166" i="50"/>
  <c r="EA74" i="50"/>
  <c r="ER135" i="50"/>
  <c r="DK99" i="50"/>
  <c r="DK112" i="50"/>
  <c r="V145" i="50"/>
  <c r="BO75" i="50"/>
  <c r="AL169" i="50"/>
  <c r="AB10" i="26"/>
  <c r="DN135" i="50"/>
  <c r="X22" i="50"/>
  <c r="D131" i="50"/>
  <c r="P145" i="50"/>
  <c r="N102" i="50"/>
  <c r="EQ125" i="50"/>
  <c r="CQ104" i="50"/>
  <c r="CU107" i="50"/>
  <c r="CO185" i="50"/>
  <c r="BD103" i="50"/>
  <c r="BQ109" i="50"/>
  <c r="V86" i="50"/>
  <c r="X45" i="50"/>
  <c r="BH149" i="50"/>
  <c r="BP188" i="50"/>
  <c r="AN125" i="50"/>
  <c r="W87" i="50"/>
  <c r="AD117" i="50"/>
  <c r="ES187" i="50"/>
  <c r="BM105" i="50"/>
  <c r="DP82" i="50"/>
  <c r="DJ122" i="50"/>
  <c r="H191" i="50"/>
  <c r="AJ85" i="50"/>
  <c r="L184" i="50"/>
  <c r="AW168" i="50"/>
  <c r="AT152" i="50"/>
  <c r="W48" i="50"/>
  <c r="BW121" i="50"/>
  <c r="I217" i="50"/>
  <c r="ES163" i="50"/>
  <c r="N186" i="50"/>
  <c r="AY109" i="50"/>
  <c r="U219" i="50"/>
  <c r="DO132" i="50"/>
  <c r="DQ169" i="50"/>
  <c r="BB192" i="50"/>
  <c r="CE187" i="50"/>
  <c r="BB165" i="50"/>
  <c r="BM114" i="50"/>
  <c r="DQ135" i="50"/>
  <c r="DY114" i="50"/>
  <c r="AB192" i="50"/>
  <c r="EU192" i="50"/>
  <c r="EB123" i="50"/>
  <c r="CC104" i="50"/>
  <c r="DS138" i="50"/>
  <c r="EV191" i="50"/>
  <c r="AS119" i="50"/>
  <c r="BD219" i="50"/>
  <c r="R223" i="50"/>
  <c r="ES112" i="50"/>
  <c r="CT202" i="50"/>
  <c r="BY205" i="50"/>
  <c r="AP200" i="50"/>
  <c r="CQ83" i="50"/>
  <c r="L149" i="50"/>
  <c r="AO223" i="50"/>
  <c r="EV100" i="50"/>
  <c r="O191" i="50"/>
  <c r="BA84" i="50"/>
  <c r="EF111" i="50"/>
  <c r="H84" i="50"/>
  <c r="EF87" i="50"/>
  <c r="CV84" i="50"/>
  <c r="G97" i="50"/>
  <c r="DQ130" i="50"/>
  <c r="AS168" i="50"/>
  <c r="AK110" i="50"/>
  <c r="DM123" i="50"/>
  <c r="DP84" i="50"/>
  <c r="EC92" i="50"/>
  <c r="DM81" i="50"/>
  <c r="AD152" i="50"/>
  <c r="BL206" i="50"/>
  <c r="Z55" i="50"/>
  <c r="AT217" i="50"/>
  <c r="I112" i="50"/>
  <c r="C217" i="50"/>
  <c r="DN186" i="50"/>
  <c r="AF79" i="50"/>
  <c r="F135" i="50"/>
  <c r="Z97" i="50"/>
  <c r="AS92" i="50"/>
  <c r="Z73" i="50"/>
  <c r="AE101" i="50"/>
  <c r="J163" i="50"/>
  <c r="EW150" i="50"/>
  <c r="EA138" i="50"/>
  <c r="G201" i="50"/>
  <c r="AP105" i="50"/>
  <c r="BL119" i="50"/>
  <c r="BP90" i="50"/>
  <c r="BF223" i="50"/>
  <c r="DZ167" i="50"/>
  <c r="ET104" i="50"/>
  <c r="L78" i="50"/>
  <c r="BX191" i="50"/>
  <c r="C132" i="50"/>
  <c r="M191" i="50"/>
  <c r="BC221" i="50"/>
  <c r="ER101" i="50"/>
  <c r="BD188" i="50"/>
  <c r="BF112" i="50"/>
  <c r="Z32" i="50"/>
  <c r="AB137" i="50"/>
  <c r="EF108" i="50"/>
  <c r="ES164" i="50"/>
  <c r="BN99" i="50"/>
  <c r="E164" i="50"/>
  <c r="EE117" i="50"/>
  <c r="BO74" i="50"/>
  <c r="BL93" i="50"/>
  <c r="DR147" i="50"/>
  <c r="EB202" i="50"/>
  <c r="DS222" i="50"/>
  <c r="BZ149" i="50"/>
  <c r="Q164" i="50"/>
  <c r="BM190" i="50"/>
  <c r="DP127" i="50"/>
  <c r="X130" i="50"/>
  <c r="BA87" i="50"/>
  <c r="BE113" i="50"/>
  <c r="EW202" i="50"/>
  <c r="AC200" i="50"/>
  <c r="DS192" i="50"/>
  <c r="AN104" i="50"/>
  <c r="BP185" i="50"/>
  <c r="EG130" i="50"/>
  <c r="Q219" i="50"/>
  <c r="CU217" i="50"/>
  <c r="J110" i="50"/>
  <c r="CC169" i="50"/>
  <c r="DL203" i="50"/>
  <c r="BD105" i="50"/>
  <c r="AP96" i="50"/>
  <c r="R202" i="50"/>
  <c r="AY131" i="50"/>
  <c r="CD169" i="50"/>
  <c r="DO91" i="50"/>
  <c r="I100" i="50"/>
  <c r="BQ127" i="50"/>
  <c r="EE94" i="50"/>
  <c r="CC93" i="50"/>
  <c r="AP113" i="50"/>
  <c r="AB45" i="50"/>
  <c r="S165" i="50"/>
  <c r="EE127" i="50"/>
  <c r="L130" i="50"/>
  <c r="AM187" i="50"/>
  <c r="AV137" i="50"/>
  <c r="AB51" i="50"/>
  <c r="AD165" i="50"/>
  <c r="M17" i="50"/>
  <c r="AB48" i="50"/>
  <c r="EQ104" i="50"/>
  <c r="EU146" i="50"/>
  <c r="BQ199" i="50"/>
  <c r="Y146" i="50"/>
  <c r="DJ126" i="50"/>
  <c r="E205" i="50"/>
  <c r="CQ206" i="50"/>
  <c r="DN217" i="50"/>
  <c r="BW133" i="50"/>
  <c r="CS84" i="50"/>
  <c r="EB112" i="50"/>
  <c r="EU97" i="50"/>
  <c r="CR184" i="50"/>
  <c r="CE202" i="50"/>
  <c r="DO131" i="50"/>
  <c r="ER126" i="50"/>
  <c r="R56" i="50"/>
  <c r="BJ90" i="50"/>
  <c r="CB83" i="50"/>
  <c r="F126" i="50"/>
  <c r="BB127" i="50"/>
  <c r="CA205" i="50"/>
  <c r="CT218" i="50"/>
  <c r="DR92" i="50"/>
  <c r="AN186" i="50"/>
  <c r="BN85" i="50"/>
  <c r="CD146" i="50"/>
  <c r="CR146" i="50"/>
  <c r="BD202" i="50"/>
  <c r="CV204" i="50"/>
  <c r="AL219" i="50"/>
  <c r="Y19" i="50"/>
  <c r="BD82" i="50"/>
  <c r="ES114" i="50"/>
  <c r="AL26" i="50"/>
  <c r="BI164" i="50"/>
  <c r="AZ147" i="50"/>
  <c r="AG150" i="50"/>
  <c r="DK126" i="50"/>
  <c r="G186" i="50"/>
  <c r="DY152" i="50"/>
  <c r="AI202" i="50"/>
  <c r="DM117" i="50"/>
  <c r="AB19" i="50"/>
  <c r="DS91" i="50"/>
  <c r="BP124" i="50"/>
  <c r="AY199" i="50"/>
  <c r="EW110" i="50"/>
  <c r="AH188" i="50"/>
  <c r="C152" i="50"/>
  <c r="EE130" i="50"/>
  <c r="G204" i="50"/>
  <c r="Z43" i="50"/>
  <c r="EE77" i="50"/>
  <c r="CO91" i="50"/>
  <c r="J95" i="50"/>
  <c r="AG203" i="50"/>
  <c r="C127" i="50"/>
  <c r="EA112" i="50"/>
  <c r="AK167" i="50"/>
  <c r="L18" i="50"/>
  <c r="EF221" i="50"/>
  <c r="CP116" i="50"/>
  <c r="AU126" i="50"/>
  <c r="EX184" i="50"/>
  <c r="EV223" i="50"/>
  <c r="P201" i="50"/>
  <c r="T117" i="50"/>
  <c r="AD135" i="50"/>
  <c r="DN98" i="50"/>
  <c r="BJ205" i="50"/>
  <c r="K147" i="50"/>
  <c r="AX76" i="50"/>
  <c r="AP220" i="50"/>
  <c r="CP222" i="50"/>
  <c r="BB88" i="50"/>
  <c r="AA199" i="50"/>
  <c r="AP136" i="50"/>
  <c r="EW113" i="50"/>
  <c r="DQ221" i="50"/>
  <c r="N78" i="50"/>
  <c r="AQ164" i="50"/>
  <c r="EA121" i="50"/>
  <c r="EG85" i="50"/>
  <c r="DQ99" i="50"/>
  <c r="D108" i="50"/>
  <c r="AA135" i="50"/>
  <c r="DQ149" i="50"/>
  <c r="BJ116" i="50"/>
  <c r="O87" i="50"/>
  <c r="EG202" i="50"/>
  <c r="BI116" i="50"/>
  <c r="F106" i="50"/>
  <c r="K20" i="50"/>
  <c r="CB200" i="50"/>
  <c r="S169" i="50"/>
  <c r="K121" i="50"/>
  <c r="Y192" i="50"/>
  <c r="S84" i="50"/>
  <c r="Q93" i="50"/>
  <c r="DL205" i="50"/>
  <c r="AR200" i="50"/>
  <c r="AJ112" i="50"/>
  <c r="AW163" i="50"/>
  <c r="AV220" i="50"/>
  <c r="AQ168" i="50"/>
  <c r="BB117" i="50"/>
  <c r="CA89" i="50"/>
  <c r="CE133" i="50"/>
  <c r="AU124" i="50"/>
  <c r="U28" i="50"/>
  <c r="R206" i="50"/>
  <c r="CV81" i="50"/>
  <c r="C203" i="50"/>
  <c r="AK116" i="50"/>
  <c r="EQ103" i="50"/>
  <c r="O105" i="50"/>
  <c r="AJ163" i="50"/>
  <c r="EB152" i="50"/>
  <c r="W146" i="50"/>
  <c r="CE137" i="50"/>
  <c r="Y42" i="50"/>
  <c r="AS199" i="50"/>
  <c r="CP86" i="50"/>
  <c r="AW184" i="50"/>
  <c r="BX80" i="50"/>
  <c r="DL133" i="50"/>
  <c r="R15" i="50"/>
  <c r="P204" i="50"/>
  <c r="EW152" i="50"/>
  <c r="BP113" i="50"/>
  <c r="BN151" i="50"/>
  <c r="AD52" i="50"/>
  <c r="EE199" i="50"/>
  <c r="DR149" i="50"/>
  <c r="BP167" i="50"/>
  <c r="BP75" i="50"/>
  <c r="BO80" i="50"/>
  <c r="S222" i="50"/>
  <c r="BW186" i="50"/>
  <c r="Y103" i="50"/>
  <c r="S127" i="50"/>
  <c r="EV222" i="50"/>
  <c r="BK132" i="50"/>
  <c r="CU106" i="50"/>
  <c r="AW200" i="50"/>
  <c r="BC92" i="50"/>
  <c r="CR222" i="50"/>
  <c r="BB124" i="50"/>
  <c r="AD127" i="50"/>
  <c r="Q119" i="50"/>
  <c r="AO111" i="50"/>
  <c r="AO200" i="50"/>
  <c r="K134" i="50"/>
  <c r="AQ203" i="50"/>
  <c r="O163" i="50"/>
  <c r="EF78" i="50"/>
  <c r="U93" i="50"/>
  <c r="CP169" i="50"/>
  <c r="I22" i="50"/>
  <c r="X168" i="50"/>
  <c r="ES88" i="50"/>
  <c r="AR77" i="50"/>
  <c r="AU77" i="50"/>
  <c r="DS107" i="50"/>
  <c r="BI127" i="50"/>
  <c r="DP189" i="50"/>
  <c r="O152" i="50"/>
  <c r="ES202" i="50"/>
  <c r="AT205" i="50"/>
  <c r="DN205" i="50"/>
  <c r="AV86" i="50"/>
  <c r="BW94" i="50"/>
  <c r="AE164" i="50"/>
  <c r="S95" i="50"/>
  <c r="CR87" i="50"/>
  <c r="AC166" i="50"/>
  <c r="DO137" i="50"/>
  <c r="DO217" i="50"/>
  <c r="EQ137" i="50"/>
  <c r="EG106" i="50"/>
  <c r="EC191" i="50"/>
  <c r="CS95" i="50"/>
  <c r="CS114" i="50"/>
  <c r="DZ138" i="50"/>
  <c r="EX204" i="50"/>
  <c r="N124" i="50"/>
  <c r="EG187" i="50"/>
  <c r="EB79" i="50"/>
  <c r="G103" i="50"/>
  <c r="AC149" i="50"/>
  <c r="H165" i="50"/>
  <c r="AX164" i="50"/>
  <c r="BX100" i="50"/>
  <c r="CE118" i="50"/>
  <c r="AP130" i="50"/>
  <c r="Y20" i="50"/>
  <c r="N109" i="50"/>
  <c r="CU103" i="50"/>
  <c r="EX147" i="50"/>
  <c r="DQ123" i="50"/>
  <c r="AM203" i="50"/>
  <c r="ED111" i="50"/>
  <c r="AK149" i="50"/>
  <c r="AS163" i="50"/>
  <c r="EB135" i="50"/>
  <c r="CS133" i="50"/>
  <c r="AN101" i="50"/>
  <c r="BX88" i="50"/>
  <c r="E201" i="50"/>
  <c r="AA150" i="50"/>
  <c r="BP222" i="50"/>
  <c r="DS87" i="50"/>
  <c r="BZ93" i="50"/>
  <c r="AN150" i="50"/>
  <c r="D191" i="50"/>
  <c r="AH147" i="50"/>
  <c r="CS100" i="50"/>
  <c r="DS166" i="50"/>
  <c r="CV110" i="50"/>
  <c r="EC105" i="50"/>
  <c r="J111" i="50"/>
  <c r="M133" i="50"/>
  <c r="CD82" i="50"/>
  <c r="CR80" i="50"/>
  <c r="O127" i="50"/>
  <c r="U76" i="50"/>
  <c r="BY189" i="50"/>
  <c r="R99" i="50"/>
  <c r="AS116" i="50"/>
  <c r="EU127" i="50"/>
  <c r="BF126" i="50"/>
  <c r="BZ184" i="50"/>
  <c r="EU126" i="50"/>
  <c r="ER163" i="50"/>
  <c r="AK150" i="50"/>
  <c r="DL110" i="50"/>
  <c r="CQ114" i="50"/>
  <c r="AP108" i="50"/>
  <c r="BK219" i="50"/>
  <c r="P87" i="50"/>
  <c r="AT188" i="50"/>
  <c r="O201" i="50"/>
  <c r="I95" i="50"/>
  <c r="BB206" i="50"/>
  <c r="CQ149" i="50"/>
  <c r="F109" i="50"/>
  <c r="BQ135" i="50"/>
  <c r="CT192" i="50"/>
  <c r="EX109" i="50"/>
  <c r="EX188" i="50"/>
  <c r="BN114" i="50"/>
  <c r="AG123" i="50"/>
  <c r="AL87" i="50"/>
  <c r="BC110" i="50"/>
  <c r="CU189" i="50"/>
  <c r="T84" i="50"/>
  <c r="EF136" i="50"/>
  <c r="J124" i="50"/>
  <c r="E105" i="50"/>
  <c r="ED150" i="50"/>
  <c r="AV92" i="50"/>
  <c r="S111" i="50"/>
  <c r="BH206" i="50"/>
  <c r="Q202" i="50"/>
  <c r="DO92" i="50"/>
  <c r="DN85" i="50"/>
  <c r="CT102" i="50"/>
  <c r="AX190" i="50"/>
  <c r="DO77" i="50"/>
  <c r="AX123" i="50"/>
  <c r="ES73" i="50"/>
  <c r="BK189" i="50"/>
  <c r="V203" i="50"/>
  <c r="AQ100" i="50"/>
  <c r="T136" i="50"/>
  <c r="CA96" i="50"/>
  <c r="DK80" i="50"/>
  <c r="AP92" i="50"/>
  <c r="DR105" i="50"/>
  <c r="D187" i="50"/>
  <c r="AW110" i="50"/>
  <c r="EX190" i="50"/>
  <c r="C32" i="50"/>
  <c r="T218" i="50"/>
  <c r="AW116" i="50"/>
  <c r="AF221" i="50"/>
  <c r="BF146" i="50"/>
  <c r="AF107" i="50"/>
  <c r="EX169" i="50"/>
  <c r="C112" i="50"/>
  <c r="AW77" i="50"/>
  <c r="CD125" i="50"/>
  <c r="G145" i="50"/>
  <c r="AI118" i="50"/>
  <c r="BM218" i="50"/>
  <c r="C145" i="50"/>
  <c r="EG94" i="50"/>
  <c r="T132" i="50"/>
  <c r="DR97" i="50"/>
  <c r="S187" i="50"/>
  <c r="EQ106" i="50"/>
  <c r="T120" i="50"/>
  <c r="BD84" i="50"/>
  <c r="AT223" i="50"/>
  <c r="D115" i="50"/>
  <c r="AV169" i="50"/>
  <c r="AX98" i="50"/>
  <c r="BN146" i="50"/>
  <c r="AA200" i="50"/>
  <c r="AM221" i="50"/>
  <c r="X122" i="50"/>
  <c r="D34" i="50"/>
  <c r="Y130" i="50"/>
  <c r="ED112" i="50"/>
  <c r="AY166" i="50"/>
  <c r="S112" i="50"/>
  <c r="X218" i="50"/>
  <c r="CC145" i="50"/>
  <c r="V199" i="50"/>
  <c r="AG187" i="50"/>
  <c r="BC169" i="50"/>
  <c r="CO127" i="50"/>
  <c r="DK217" i="50"/>
  <c r="H95" i="50"/>
  <c r="Q201" i="50"/>
  <c r="BC223" i="50"/>
  <c r="EU91" i="50"/>
  <c r="AC152" i="50"/>
  <c r="DS99" i="50"/>
  <c r="X88" i="50"/>
  <c r="CD127" i="50"/>
  <c r="DQ101" i="50"/>
  <c r="AM96" i="50"/>
  <c r="DY130" i="50"/>
  <c r="BL126" i="50"/>
  <c r="BZ137" i="50"/>
  <c r="BK103" i="50"/>
  <c r="DJ113" i="50"/>
  <c r="BK90" i="50"/>
  <c r="BM85" i="50"/>
  <c r="AI124" i="50"/>
  <c r="W125" i="50"/>
  <c r="AJ106" i="50"/>
  <c r="Z17" i="50"/>
  <c r="AN73" i="50"/>
  <c r="V120" i="50"/>
  <c r="CC138" i="50"/>
  <c r="E74" i="50"/>
  <c r="N87" i="50"/>
  <c r="T54" i="50"/>
  <c r="AB166" i="50"/>
  <c r="CR88" i="50"/>
  <c r="DK90" i="50"/>
  <c r="H99" i="50"/>
  <c r="BD80" i="50"/>
  <c r="DS204" i="50"/>
  <c r="P103" i="50"/>
  <c r="BW105" i="50"/>
  <c r="CO88" i="50"/>
  <c r="CS190" i="50"/>
  <c r="DY111" i="50"/>
  <c r="BH114" i="50"/>
  <c r="EQ205" i="50"/>
  <c r="C192" i="50"/>
  <c r="EE89" i="50"/>
  <c r="CA126" i="50"/>
  <c r="BO190" i="50"/>
  <c r="AW124" i="50"/>
  <c r="ES168" i="50"/>
  <c r="EF148" i="50"/>
  <c r="I78" i="50"/>
  <c r="CV85" i="50"/>
  <c r="EX138" i="50"/>
  <c r="AQ187" i="50"/>
  <c r="BN105" i="50"/>
  <c r="EF91" i="50"/>
  <c r="BK191" i="50"/>
  <c r="AV205" i="50"/>
  <c r="DL108" i="50"/>
  <c r="CP206" i="50"/>
  <c r="V187" i="50"/>
  <c r="CV132" i="50"/>
  <c r="CR168" i="50"/>
  <c r="DY87" i="50"/>
  <c r="BF79" i="50"/>
  <c r="EE83" i="50"/>
  <c r="CD203" i="50"/>
  <c r="CD185" i="50"/>
  <c r="EF138" i="50"/>
  <c r="E120" i="50"/>
  <c r="AZ112" i="50"/>
  <c r="DL184" i="50"/>
  <c r="AY151" i="50"/>
  <c r="BI138" i="50"/>
  <c r="AJ191" i="50"/>
  <c r="DK203" i="50"/>
  <c r="Z222" i="50"/>
  <c r="P126" i="50"/>
  <c r="X111" i="50"/>
  <c r="CD81" i="50"/>
  <c r="CA149" i="50"/>
  <c r="AG134" i="50"/>
  <c r="BK109" i="50"/>
  <c r="AE53" i="50"/>
  <c r="AW189" i="50"/>
  <c r="F20" i="50"/>
  <c r="F88" i="50"/>
  <c r="DQ188" i="50"/>
  <c r="AS190" i="50"/>
  <c r="BQ134" i="50"/>
  <c r="BN98" i="50"/>
  <c r="AV81" i="50"/>
  <c r="CV131" i="50"/>
  <c r="ER202" i="50"/>
  <c r="DS109" i="50"/>
  <c r="S117" i="50"/>
  <c r="CE163" i="50"/>
  <c r="BI133" i="50"/>
  <c r="AB95" i="50"/>
  <c r="K116" i="50"/>
  <c r="Q218" i="50"/>
  <c r="G81" i="50"/>
  <c r="W74" i="50"/>
  <c r="N113" i="50"/>
  <c r="O168" i="50"/>
  <c r="DO203" i="50"/>
  <c r="I120" i="50"/>
  <c r="CU130" i="50"/>
  <c r="DK86" i="50"/>
  <c r="CV185" i="50"/>
  <c r="EQ186" i="50"/>
  <c r="EU149" i="50"/>
  <c r="BE186" i="50"/>
  <c r="M117" i="50"/>
  <c r="CU80" i="50"/>
  <c r="BE138" i="50"/>
  <c r="BY150" i="50"/>
  <c r="AA50" i="50"/>
  <c r="EU202" i="50"/>
  <c r="AJ117" i="50"/>
  <c r="BN92" i="50"/>
  <c r="E130" i="50"/>
  <c r="S97" i="50"/>
  <c r="AV121" i="50"/>
  <c r="ET119" i="50"/>
  <c r="AP137" i="50"/>
  <c r="EF190" i="50"/>
  <c r="BE135" i="50"/>
  <c r="EX92" i="50"/>
  <c r="EC76" i="50"/>
  <c r="AQ113" i="50"/>
  <c r="CO167" i="50"/>
  <c r="BL138" i="50"/>
  <c r="BE222" i="50"/>
  <c r="AC54" i="50"/>
  <c r="DR187" i="50"/>
  <c r="EQ190" i="50"/>
  <c r="CS97" i="50"/>
  <c r="Q120" i="50"/>
  <c r="I133" i="50"/>
  <c r="AB12" i="26"/>
  <c r="CB126" i="50"/>
  <c r="CU220" i="50"/>
  <c r="BC97" i="50"/>
  <c r="P121" i="50"/>
  <c r="CR115" i="50"/>
  <c r="CT77" i="50"/>
  <c r="AD14" i="50"/>
  <c r="AF55" i="50"/>
  <c r="G132" i="50"/>
  <c r="H77" i="50"/>
  <c r="O223" i="50"/>
  <c r="DJ222" i="50"/>
  <c r="EB223" i="50"/>
  <c r="AD109" i="50"/>
  <c r="R74" i="50"/>
  <c r="CE149" i="50"/>
  <c r="BF205" i="50"/>
  <c r="BD169" i="50"/>
  <c r="CB73" i="50"/>
  <c r="R165" i="50"/>
  <c r="AD190" i="50"/>
  <c r="ER136" i="50"/>
  <c r="AK77" i="50"/>
  <c r="AC147" i="50"/>
  <c r="CO99" i="50"/>
  <c r="DK81" i="50"/>
  <c r="DM138" i="50"/>
  <c r="EA124" i="50"/>
  <c r="BW86" i="50"/>
  <c r="DS80" i="50"/>
  <c r="I119" i="50"/>
  <c r="C151" i="50"/>
  <c r="BM165" i="50"/>
  <c r="ES107" i="50"/>
  <c r="AF147" i="50"/>
  <c r="EU152" i="50"/>
  <c r="D169" i="50"/>
  <c r="T93" i="50"/>
  <c r="AW93" i="50"/>
  <c r="F93" i="50"/>
  <c r="C14" i="50"/>
  <c r="CU132" i="50"/>
  <c r="AY94" i="50"/>
  <c r="AG200" i="50"/>
  <c r="O81" i="50"/>
  <c r="ER111" i="50"/>
  <c r="AR184" i="50"/>
  <c r="BX222" i="50"/>
  <c r="BP190" i="50"/>
  <c r="BP86" i="50"/>
  <c r="BD106" i="50"/>
  <c r="Y132" i="50"/>
  <c r="AE54" i="50"/>
  <c r="CO123" i="50"/>
  <c r="EC217" i="50"/>
  <c r="BQ95" i="50"/>
  <c r="BP200" i="50"/>
  <c r="U221" i="50"/>
  <c r="R148" i="50"/>
  <c r="P206" i="50"/>
  <c r="BZ90" i="50"/>
  <c r="M122" i="50"/>
  <c r="AC75" i="50"/>
  <c r="BW110" i="50"/>
  <c r="DO94" i="50"/>
  <c r="BC166" i="50"/>
  <c r="AY119" i="50"/>
  <c r="N164" i="50"/>
  <c r="EW131" i="50"/>
  <c r="DO81" i="50"/>
  <c r="AB56" i="50"/>
  <c r="DR165" i="50"/>
  <c r="X120" i="50"/>
  <c r="ED185" i="50"/>
  <c r="DQ120" i="50"/>
  <c r="AS104" i="50"/>
  <c r="DS103" i="50"/>
  <c r="AR223" i="50"/>
  <c r="S22" i="50"/>
  <c r="BE152" i="50"/>
  <c r="AN189" i="50"/>
  <c r="BW83" i="50"/>
  <c r="AD168" i="50"/>
  <c r="EC113" i="50"/>
  <c r="BF78" i="50"/>
  <c r="Y44" i="50"/>
  <c r="BO127" i="50"/>
  <c r="CB149" i="50"/>
  <c r="H78" i="50"/>
  <c r="BZ124" i="50"/>
  <c r="ER73" i="50"/>
  <c r="CE135" i="50"/>
  <c r="R55" i="50"/>
  <c r="T203" i="50"/>
  <c r="V115" i="50"/>
  <c r="AW201" i="50"/>
  <c r="BQ132" i="50"/>
  <c r="EA166" i="50"/>
  <c r="CU79" i="50"/>
  <c r="ER112" i="50"/>
  <c r="BP98" i="50"/>
  <c r="X126" i="50"/>
  <c r="AZ199" i="50"/>
  <c r="BX169" i="50"/>
  <c r="AV204" i="50"/>
  <c r="EQ107" i="50"/>
  <c r="BA168" i="50"/>
  <c r="AZ77" i="50"/>
  <c r="D78" i="50"/>
  <c r="K218" i="50"/>
  <c r="BK121" i="50"/>
  <c r="AT124" i="50"/>
  <c r="DR88" i="50"/>
  <c r="EF168" i="50"/>
  <c r="AF119" i="50"/>
  <c r="AJ93" i="50"/>
  <c r="AJ86" i="50"/>
  <c r="CE114" i="50"/>
  <c r="AY135" i="50"/>
  <c r="AE10" i="26"/>
  <c r="I14" i="50"/>
  <c r="DL191" i="50"/>
  <c r="AS77" i="50"/>
  <c r="CQ152" i="50"/>
  <c r="BB138" i="50"/>
  <c r="EF85" i="50"/>
  <c r="BB152" i="50"/>
  <c r="DN101" i="50"/>
  <c r="E22" i="50"/>
  <c r="EU75" i="50"/>
  <c r="AQ126" i="50"/>
  <c r="F121" i="50"/>
  <c r="W112" i="50"/>
  <c r="N184" i="50"/>
  <c r="U111" i="50"/>
  <c r="BJ93" i="50"/>
  <c r="EC192" i="50"/>
  <c r="BH191" i="50"/>
  <c r="AB191" i="50"/>
  <c r="Q152" i="50"/>
  <c r="DQ151" i="50"/>
  <c r="CA184" i="50"/>
  <c r="I121" i="50"/>
  <c r="DS134" i="50"/>
  <c r="D33" i="50"/>
  <c r="EW204" i="50"/>
  <c r="AG152" i="50"/>
  <c r="EW136" i="50"/>
  <c r="BO189" i="50"/>
  <c r="S133" i="50"/>
  <c r="CT99" i="50"/>
  <c r="G116" i="50"/>
  <c r="Y23" i="50"/>
  <c r="T127" i="50"/>
  <c r="CO165" i="50"/>
  <c r="BW169" i="50"/>
  <c r="DP199" i="50"/>
  <c r="H103" i="50"/>
  <c r="EW99" i="50"/>
  <c r="BI165" i="50"/>
  <c r="DQ163" i="50"/>
  <c r="AR127" i="50"/>
  <c r="G16" i="50"/>
  <c r="AX148" i="50"/>
  <c r="DR124" i="50"/>
  <c r="DM185" i="50"/>
  <c r="V189" i="50"/>
  <c r="V76" i="50"/>
  <c r="Q131" i="50"/>
  <c r="CO169" i="50"/>
  <c r="L220" i="50"/>
  <c r="BJ132" i="50"/>
  <c r="DM74" i="50"/>
  <c r="CT116" i="50"/>
  <c r="K78" i="50"/>
  <c r="CT185" i="50"/>
  <c r="AC88" i="50"/>
  <c r="AA187" i="50"/>
  <c r="EA163" i="50"/>
  <c r="BO85" i="50"/>
  <c r="ER133" i="50"/>
  <c r="X23" i="50"/>
  <c r="DN97" i="50"/>
  <c r="DS82" i="50"/>
  <c r="DL86" i="50"/>
  <c r="V15" i="50"/>
  <c r="AG94" i="50"/>
  <c r="X15" i="50"/>
  <c r="CT169" i="50"/>
  <c r="DZ126" i="50"/>
  <c r="BJ166" i="50"/>
  <c r="EW122" i="50"/>
  <c r="M119" i="50"/>
  <c r="AB122" i="50"/>
  <c r="CO96" i="50"/>
  <c r="CA82" i="50"/>
  <c r="AJ76" i="50"/>
  <c r="EU84" i="50"/>
  <c r="R108" i="50"/>
  <c r="BE116" i="50"/>
  <c r="U127" i="50"/>
  <c r="CR86" i="50"/>
  <c r="C188" i="50"/>
  <c r="X133" i="50"/>
  <c r="BJ80" i="50"/>
  <c r="S57" i="50"/>
  <c r="EW200" i="50"/>
  <c r="AX120" i="50"/>
  <c r="X76" i="50"/>
  <c r="DM95" i="50"/>
  <c r="H187" i="50"/>
  <c r="DM98" i="50"/>
  <c r="AZ119" i="50"/>
  <c r="BQ103" i="50"/>
  <c r="I151" i="50"/>
  <c r="E138" i="50"/>
  <c r="DR190" i="50"/>
  <c r="D100" i="50"/>
  <c r="CR81" i="50"/>
  <c r="E95" i="50"/>
  <c r="CO95" i="50"/>
  <c r="BQ201" i="50"/>
  <c r="BC80" i="50"/>
  <c r="EV90" i="50"/>
  <c r="DL135" i="50"/>
  <c r="L203" i="50"/>
  <c r="CS200" i="50"/>
  <c r="EX146" i="50"/>
  <c r="EX102" i="50"/>
  <c r="DN188" i="50"/>
  <c r="AV110" i="50"/>
  <c r="BX168" i="50"/>
  <c r="CB169" i="50"/>
  <c r="K217" i="50"/>
  <c r="EE133" i="50"/>
  <c r="M18" i="50"/>
  <c r="U97" i="50"/>
  <c r="EG122" i="50"/>
  <c r="T96" i="50"/>
  <c r="EU111" i="50"/>
  <c r="DZ98" i="50"/>
  <c r="BL200" i="50"/>
  <c r="DL112" i="50"/>
  <c r="T94" i="50"/>
  <c r="CD109" i="50"/>
  <c r="AC188" i="50"/>
  <c r="AB123" i="50"/>
  <c r="CA83" i="50"/>
  <c r="CE221" i="50"/>
  <c r="Y98" i="50"/>
  <c r="G78" i="50"/>
  <c r="U102" i="50"/>
  <c r="EX167" i="50"/>
  <c r="CE150" i="50"/>
  <c r="ES148" i="50"/>
  <c r="CO223" i="50"/>
  <c r="Q73" i="50"/>
  <c r="E30" i="50"/>
  <c r="EA77" i="50"/>
  <c r="CT73" i="50"/>
  <c r="CA145" i="50"/>
  <c r="AO124" i="50"/>
  <c r="AY184" i="50"/>
  <c r="CT105" i="50"/>
  <c r="EG218" i="50"/>
  <c r="L22" i="50"/>
  <c r="AF52" i="50"/>
  <c r="DS165" i="50"/>
  <c r="BZ112" i="50"/>
  <c r="DY116" i="50"/>
  <c r="AP111" i="50"/>
  <c r="DP112" i="50"/>
  <c r="BJ169" i="50"/>
  <c r="U14" i="50"/>
  <c r="AM76" i="50"/>
  <c r="AU223" i="50"/>
  <c r="S204" i="50"/>
  <c r="EW184" i="50"/>
  <c r="BC79" i="50"/>
  <c r="DJ98" i="50"/>
  <c r="EC110" i="50"/>
  <c r="BJ77" i="50"/>
  <c r="BY220" i="50"/>
  <c r="DO75" i="50"/>
  <c r="I123" i="50"/>
  <c r="DM165" i="50"/>
  <c r="BH205" i="50"/>
  <c r="ET114" i="50"/>
  <c r="CV130" i="50"/>
  <c r="AE132" i="50"/>
  <c r="S77" i="50"/>
  <c r="AS189" i="50"/>
  <c r="DY74" i="50"/>
  <c r="Y100" i="50"/>
  <c r="O108" i="50"/>
  <c r="AF137" i="50"/>
  <c r="AO185" i="50"/>
  <c r="DQ110" i="50"/>
  <c r="DK76" i="50"/>
  <c r="DN169" i="50"/>
  <c r="K115" i="50"/>
  <c r="DZ186" i="50"/>
  <c r="BL189" i="50"/>
  <c r="C108" i="50"/>
  <c r="AL223" i="50"/>
  <c r="ES93" i="50"/>
  <c r="BM202" i="50"/>
  <c r="CC88" i="50"/>
  <c r="EF123" i="50"/>
  <c r="AA57" i="50"/>
  <c r="AL168" i="50"/>
  <c r="AZ201" i="50"/>
  <c r="H25" i="50"/>
  <c r="U95" i="50"/>
  <c r="AD46" i="50"/>
  <c r="AZ137" i="50"/>
  <c r="AM223" i="50"/>
  <c r="Z134" i="50"/>
  <c r="DY77" i="50"/>
  <c r="CD184" i="50"/>
  <c r="G96" i="50"/>
  <c r="BW93" i="50"/>
  <c r="EB127" i="50"/>
  <c r="EF103" i="50"/>
  <c r="CU151" i="50"/>
  <c r="CS184" i="50"/>
  <c r="BX77" i="50"/>
  <c r="BE201" i="50"/>
  <c r="BB191" i="50"/>
  <c r="CB119" i="50"/>
  <c r="AS114" i="50"/>
  <c r="BQ165" i="50"/>
  <c r="AG84" i="50"/>
  <c r="Y205" i="50"/>
  <c r="ER150" i="50"/>
  <c r="O131" i="50"/>
  <c r="DR110" i="50"/>
  <c r="AP206" i="50"/>
  <c r="CD79" i="50"/>
  <c r="S54" i="50"/>
  <c r="DO188" i="50"/>
  <c r="Q163" i="50"/>
  <c r="P110" i="50"/>
  <c r="EE137" i="50"/>
  <c r="I145" i="50"/>
  <c r="BY221" i="50"/>
  <c r="AR167" i="50"/>
  <c r="DQ84" i="50"/>
  <c r="ER148" i="50"/>
  <c r="U51" i="50"/>
  <c r="AC120" i="50"/>
  <c r="BZ87" i="50"/>
  <c r="CB184" i="50"/>
  <c r="AX113" i="50"/>
  <c r="DL132" i="50"/>
  <c r="BH113" i="50"/>
  <c r="AE81" i="50"/>
  <c r="AL114" i="50"/>
  <c r="AJ186" i="50"/>
  <c r="X151" i="50"/>
  <c r="D82" i="50"/>
  <c r="BK222" i="50"/>
  <c r="AA102" i="50"/>
  <c r="BO219" i="50"/>
  <c r="BB102" i="50"/>
  <c r="BB205" i="50"/>
  <c r="BX89" i="50"/>
  <c r="Y82" i="50"/>
  <c r="AN82" i="50"/>
  <c r="T55" i="50"/>
  <c r="K84" i="50"/>
  <c r="AD147" i="50"/>
  <c r="AR191" i="50"/>
  <c r="AD125" i="50"/>
  <c r="F127" i="50"/>
  <c r="BY95" i="50"/>
  <c r="EU83" i="50"/>
  <c r="CB86" i="50"/>
  <c r="AB89" i="50"/>
  <c r="BO115" i="50"/>
  <c r="BM80" i="50"/>
  <c r="L202" i="50"/>
  <c r="L111" i="50"/>
  <c r="BE115" i="50"/>
  <c r="ER165" i="50"/>
  <c r="AB138" i="50"/>
  <c r="AW151" i="50"/>
  <c r="AT90" i="50"/>
  <c r="CR99" i="50"/>
  <c r="BK187" i="50"/>
  <c r="AL32" i="50"/>
  <c r="DP169" i="50"/>
  <c r="BO86" i="50"/>
  <c r="CC223" i="50"/>
  <c r="AR187" i="50"/>
  <c r="EA91" i="50"/>
  <c r="AP168" i="50"/>
  <c r="BI87" i="50"/>
  <c r="AC146" i="50"/>
  <c r="CQ130" i="50"/>
  <c r="DZ76" i="50"/>
  <c r="BQ124" i="50"/>
  <c r="AM185" i="50"/>
  <c r="CV220" i="50"/>
  <c r="K79" i="50"/>
  <c r="DZ91" i="50"/>
  <c r="EF81" i="50"/>
  <c r="AR124" i="50"/>
  <c r="EF106" i="50"/>
  <c r="T30" i="50"/>
  <c r="AV105" i="50"/>
  <c r="AP78" i="50"/>
  <c r="I190" i="50"/>
  <c r="AY97" i="50"/>
  <c r="ER147" i="50"/>
  <c r="CD74" i="50"/>
  <c r="DO219" i="50"/>
  <c r="F108" i="50"/>
  <c r="CR191" i="50"/>
  <c r="AE199" i="50"/>
  <c r="CS169" i="50"/>
  <c r="BH147" i="50"/>
  <c r="BP221" i="50"/>
  <c r="DR136" i="50"/>
  <c r="U134" i="50"/>
  <c r="U18" i="50"/>
  <c r="DL221" i="50"/>
  <c r="CO121" i="50"/>
  <c r="AB152" i="50"/>
  <c r="U188" i="50"/>
  <c r="AU205" i="50"/>
  <c r="AT148" i="50"/>
  <c r="T130" i="50"/>
  <c r="W116" i="50"/>
  <c r="V121" i="50"/>
  <c r="AH169" i="50"/>
  <c r="AQ138" i="50"/>
  <c r="EG102" i="50"/>
  <c r="EX87" i="50"/>
  <c r="EC203" i="50"/>
  <c r="AY222" i="50"/>
  <c r="CA119" i="50"/>
  <c r="DN126" i="50"/>
  <c r="BC83" i="50"/>
  <c r="K131" i="50"/>
  <c r="AY74" i="50"/>
  <c r="DZ136" i="50"/>
  <c r="CD201" i="50"/>
  <c r="CD205" i="50"/>
  <c r="CB191" i="50"/>
  <c r="BL188" i="50"/>
  <c r="E106" i="50"/>
  <c r="EF102" i="50"/>
  <c r="BI101" i="50"/>
  <c r="AJ220" i="50"/>
  <c r="CV201" i="50"/>
  <c r="AM77" i="50"/>
  <c r="CB125" i="50"/>
  <c r="K22" i="50"/>
  <c r="AT200" i="50"/>
  <c r="AP219" i="50"/>
  <c r="BP94" i="50"/>
  <c r="EU96" i="50"/>
  <c r="BF167" i="50"/>
  <c r="BX184" i="50"/>
  <c r="CO133" i="50"/>
  <c r="BM126" i="50"/>
  <c r="CP192" i="50"/>
  <c r="CB78" i="50"/>
  <c r="Q186" i="50"/>
  <c r="DL106" i="50"/>
  <c r="EF110" i="50"/>
  <c r="DJ125" i="50"/>
  <c r="I126" i="50"/>
  <c r="V150" i="50"/>
  <c r="DL149" i="50"/>
  <c r="DJ205" i="50"/>
  <c r="CV89" i="50"/>
  <c r="AJ146" i="50"/>
  <c r="DO149" i="50"/>
  <c r="CP124" i="50"/>
  <c r="EQ135" i="50"/>
  <c r="V163" i="50"/>
  <c r="AQ152" i="50"/>
  <c r="AR98" i="50"/>
  <c r="AJ32" i="50"/>
  <c r="K73" i="50"/>
  <c r="AG111" i="50"/>
  <c r="S105" i="50"/>
  <c r="CS76" i="50"/>
  <c r="BX133" i="50"/>
  <c r="S102" i="50"/>
  <c r="D90" i="50"/>
  <c r="L117" i="50"/>
  <c r="EQ192" i="50"/>
  <c r="EQ90" i="50"/>
  <c r="DY115" i="50"/>
  <c r="DS78" i="50"/>
  <c r="CA204" i="50"/>
  <c r="BK113" i="50"/>
  <c r="AA56" i="50"/>
  <c r="CV135" i="50"/>
  <c r="DR106" i="50"/>
  <c r="AX93" i="50"/>
  <c r="CQ148" i="50"/>
  <c r="C116" i="50"/>
  <c r="BE92" i="50"/>
  <c r="D126" i="50"/>
  <c r="AT137" i="50"/>
  <c r="O73" i="50"/>
  <c r="AC117" i="50"/>
  <c r="AR120" i="50"/>
  <c r="AU169" i="50"/>
  <c r="L77" i="50"/>
  <c r="AG169" i="50"/>
  <c r="BF85" i="50"/>
  <c r="F30" i="50"/>
  <c r="BC219" i="50"/>
  <c r="DY184" i="50"/>
  <c r="G149" i="50"/>
  <c r="O114" i="50"/>
  <c r="H105" i="50"/>
  <c r="BF206" i="50"/>
  <c r="T101" i="50"/>
  <c r="Z123" i="50"/>
  <c r="DL151" i="50"/>
  <c r="CQ138" i="50"/>
  <c r="AJ150" i="50"/>
  <c r="R14" i="50"/>
  <c r="S81" i="50"/>
  <c r="EA217" i="50"/>
  <c r="BB93" i="50"/>
  <c r="K89" i="50"/>
  <c r="AR110" i="50"/>
  <c r="BQ106" i="50"/>
  <c r="BE219" i="50"/>
  <c r="AZ200" i="50"/>
  <c r="AN127" i="50"/>
  <c r="EA205" i="50"/>
  <c r="AM126" i="50"/>
  <c r="ED88" i="50"/>
  <c r="AJ203" i="50"/>
  <c r="BP206" i="50"/>
  <c r="EF203" i="50"/>
  <c r="EQ124" i="50"/>
  <c r="CR83" i="50"/>
  <c r="DQ94" i="50"/>
  <c r="AC150" i="50"/>
  <c r="L146" i="50"/>
  <c r="DL124" i="50"/>
  <c r="AG86" i="50"/>
  <c r="BF138" i="50"/>
  <c r="DR123" i="50"/>
  <c r="E17" i="50"/>
  <c r="BK75" i="50"/>
  <c r="R54" i="50"/>
  <c r="Z136" i="50"/>
  <c r="M223" i="50"/>
  <c r="E87" i="50"/>
  <c r="BW206" i="50"/>
  <c r="AP199" i="50"/>
  <c r="BD101" i="50"/>
  <c r="CO134" i="50"/>
  <c r="ET101" i="50"/>
  <c r="U48" i="50"/>
  <c r="BE123" i="50"/>
  <c r="DP164" i="50"/>
  <c r="BO164" i="50"/>
  <c r="DS187" i="50"/>
  <c r="EB191" i="50"/>
  <c r="CT90" i="50"/>
  <c r="AH135" i="50"/>
  <c r="AV191" i="50"/>
  <c r="BF188" i="50"/>
  <c r="DQ92" i="50"/>
  <c r="BM135" i="50"/>
  <c r="E93" i="50"/>
  <c r="BY206" i="50"/>
  <c r="K132" i="50"/>
  <c r="Y99" i="50"/>
  <c r="DO116" i="50"/>
  <c r="CS87" i="50"/>
  <c r="BC137" i="50"/>
  <c r="CT91" i="50"/>
  <c r="C73" i="50"/>
  <c r="BB76" i="50"/>
  <c r="AN121" i="50"/>
  <c r="Y94" i="50"/>
  <c r="AY92" i="50"/>
  <c r="BB131" i="50"/>
  <c r="T148" i="50"/>
  <c r="EF163" i="50"/>
  <c r="BC104" i="50"/>
  <c r="AS101" i="50"/>
  <c r="W111" i="50"/>
  <c r="AQ111" i="50"/>
  <c r="T45" i="50"/>
  <c r="CD132" i="50"/>
  <c r="DR131" i="50"/>
  <c r="AF131" i="50"/>
  <c r="AH186" i="50"/>
  <c r="AQ185" i="50"/>
  <c r="AW203" i="50"/>
  <c r="AB101" i="50"/>
  <c r="AI186" i="50"/>
  <c r="P219" i="50"/>
  <c r="V73" i="50"/>
  <c r="AU93" i="50"/>
  <c r="BP205" i="50"/>
  <c r="M23" i="50"/>
  <c r="BO122" i="50"/>
  <c r="P186" i="50"/>
  <c r="AP134" i="50"/>
  <c r="EE204" i="50"/>
  <c r="CB187" i="50"/>
  <c r="R98" i="50"/>
  <c r="AB111" i="50"/>
  <c r="Q169" i="50"/>
  <c r="AF163" i="50"/>
  <c r="EQ164" i="50"/>
  <c r="Q108" i="50"/>
  <c r="N189" i="50"/>
  <c r="D145" i="50"/>
  <c r="EA89" i="50"/>
  <c r="AN87" i="50"/>
  <c r="AP166" i="50"/>
  <c r="BL76" i="50"/>
  <c r="BH73" i="50"/>
  <c r="ER145" i="50"/>
  <c r="AM166" i="50"/>
  <c r="BJ98" i="50"/>
  <c r="DQ116" i="50"/>
  <c r="AF28" i="50"/>
  <c r="BK203" i="50"/>
  <c r="H145" i="50"/>
  <c r="BC147" i="50"/>
  <c r="BP83" i="50"/>
  <c r="AP91" i="50"/>
  <c r="H98" i="50"/>
  <c r="BO200" i="50"/>
  <c r="AB53" i="50"/>
  <c r="CC205" i="50"/>
  <c r="V124" i="50"/>
  <c r="AB189" i="50"/>
  <c r="ES127" i="50"/>
  <c r="AW222" i="50"/>
  <c r="M96" i="50"/>
  <c r="BN165" i="50"/>
  <c r="AK83" i="50"/>
  <c r="L221" i="50"/>
  <c r="AY104" i="50"/>
  <c r="AJ126" i="50"/>
  <c r="I105" i="50"/>
  <c r="EU184" i="50"/>
  <c r="BC200" i="50"/>
  <c r="Q204" i="50"/>
  <c r="AR105" i="50"/>
  <c r="M148" i="50"/>
  <c r="CD204" i="50"/>
  <c r="O189" i="50"/>
  <c r="BH87" i="50"/>
  <c r="CR188" i="50"/>
  <c r="DM201" i="50"/>
  <c r="X79" i="50"/>
  <c r="H118" i="50"/>
  <c r="W47" i="50"/>
  <c r="EB137" i="50"/>
  <c r="V97" i="50"/>
  <c r="CE73" i="50"/>
  <c r="AE84" i="50"/>
  <c r="N105" i="50"/>
  <c r="AJ192" i="50"/>
  <c r="CC96" i="50"/>
  <c r="I89" i="50"/>
  <c r="AU123" i="50"/>
  <c r="EF167" i="50"/>
  <c r="BP223" i="50"/>
  <c r="DY221" i="50"/>
  <c r="CO206" i="50"/>
  <c r="AI122" i="50"/>
  <c r="AA46" i="50"/>
  <c r="CC106" i="50"/>
  <c r="DJ151" i="50"/>
  <c r="T138" i="50"/>
  <c r="ED123" i="50"/>
  <c r="DM206" i="50"/>
  <c r="DZ130" i="50"/>
  <c r="Y133" i="50"/>
  <c r="N90" i="50"/>
  <c r="Z56" i="50"/>
  <c r="M188" i="50"/>
  <c r="ES186" i="50"/>
  <c r="BQ220" i="50"/>
  <c r="BD119" i="50"/>
  <c r="AC148" i="50"/>
  <c r="BM109" i="50"/>
  <c r="AB106" i="50"/>
  <c r="AS223" i="50"/>
  <c r="AZ189" i="50"/>
  <c r="AE148" i="50"/>
  <c r="AK73" i="50"/>
  <c r="CV99" i="50"/>
  <c r="G18" i="50"/>
  <c r="AG190" i="50"/>
  <c r="P131" i="50"/>
  <c r="CC110" i="50"/>
  <c r="BX94" i="50"/>
  <c r="AT105" i="50"/>
  <c r="EC152" i="50"/>
  <c r="EW88" i="50"/>
  <c r="R77" i="50"/>
  <c r="ES108" i="50"/>
  <c r="BI73" i="50"/>
  <c r="BJ92" i="50"/>
  <c r="DS168" i="50"/>
  <c r="Q127" i="50"/>
  <c r="AI201" i="50"/>
  <c r="AZ89" i="50"/>
  <c r="AB219" i="50"/>
  <c r="DZ119" i="50"/>
  <c r="BQ74" i="50"/>
  <c r="DP184" i="50"/>
  <c r="V43" i="50"/>
  <c r="T58" i="50"/>
  <c r="CA150" i="50"/>
  <c r="AP192" i="50"/>
  <c r="M74" i="50"/>
  <c r="EB131" i="50"/>
  <c r="H219" i="50"/>
  <c r="N135" i="50"/>
  <c r="DS85" i="50"/>
  <c r="BE148" i="50"/>
  <c r="L73" i="50"/>
  <c r="AM130" i="50"/>
  <c r="AD102" i="50"/>
  <c r="BJ165" i="50"/>
  <c r="BE150" i="50"/>
  <c r="EA78" i="50"/>
  <c r="AN203" i="50"/>
  <c r="BA137" i="50"/>
  <c r="ER168" i="50"/>
  <c r="DR118" i="50"/>
  <c r="Q133" i="50"/>
  <c r="AI85" i="50"/>
  <c r="CC217" i="50"/>
  <c r="EU131" i="50"/>
  <c r="T26" i="50"/>
  <c r="D192" i="50"/>
  <c r="CC164" i="50"/>
  <c r="CD92" i="50"/>
  <c r="EA98" i="50"/>
  <c r="BO152" i="50"/>
  <c r="BJ152" i="50"/>
  <c r="R169" i="50"/>
  <c r="AE186" i="50"/>
  <c r="Q94" i="50"/>
  <c r="Z112" i="50"/>
  <c r="AW185" i="50"/>
  <c r="AN190" i="50"/>
  <c r="W121" i="50"/>
  <c r="EA108" i="50"/>
  <c r="AA101" i="50"/>
  <c r="CS117" i="50"/>
  <c r="DM125" i="50"/>
  <c r="N191" i="50"/>
  <c r="CP191" i="50"/>
  <c r="DY119" i="50"/>
  <c r="EC111" i="50"/>
  <c r="CO77" i="50"/>
  <c r="BM206" i="50"/>
  <c r="EV169" i="50"/>
  <c r="BP133" i="50"/>
  <c r="W58" i="50"/>
  <c r="W15" i="50"/>
  <c r="AD95" i="50"/>
  <c r="BL164" i="50"/>
  <c r="CU89" i="50"/>
  <c r="H116" i="50"/>
  <c r="AK165" i="50"/>
  <c r="N120" i="50"/>
  <c r="DZ84" i="50"/>
  <c r="ES130" i="50"/>
  <c r="CS206" i="50"/>
  <c r="U84" i="50"/>
  <c r="M201" i="50"/>
  <c r="EF109" i="50"/>
  <c r="AN123" i="50"/>
  <c r="AQ121" i="50"/>
  <c r="AM111" i="50"/>
  <c r="BC186" i="50"/>
  <c r="AJ101" i="50"/>
  <c r="CO200" i="50"/>
  <c r="Y115" i="50"/>
  <c r="BN82" i="50"/>
  <c r="DK95" i="50"/>
  <c r="DJ133" i="50"/>
  <c r="CT203" i="50"/>
  <c r="C88" i="50"/>
  <c r="AJ28" i="50"/>
  <c r="EF116" i="50"/>
  <c r="AA188" i="50"/>
  <c r="ET97" i="50"/>
  <c r="DP192" i="50"/>
  <c r="AB14" i="50"/>
  <c r="P106" i="50"/>
  <c r="BW109" i="50"/>
  <c r="AI116" i="50"/>
  <c r="BQ120" i="50"/>
  <c r="ED217" i="50"/>
  <c r="AY152" i="50"/>
  <c r="AG221" i="50"/>
  <c r="BN127" i="50"/>
  <c r="CT134" i="50"/>
  <c r="AB121" i="50"/>
  <c r="BD191" i="50"/>
  <c r="V79" i="50"/>
  <c r="BY79" i="50"/>
  <c r="AS149" i="50"/>
  <c r="G111" i="50"/>
  <c r="BN126" i="50"/>
  <c r="BO109" i="50"/>
  <c r="AY107" i="50"/>
  <c r="Y81" i="50"/>
  <c r="Q145" i="50"/>
  <c r="P97" i="50"/>
  <c r="CA147" i="50"/>
  <c r="DQ111" i="50"/>
  <c r="M131" i="50"/>
  <c r="EX163" i="50"/>
  <c r="N99" i="50"/>
  <c r="EA151" i="50"/>
  <c r="BA151" i="50"/>
  <c r="AU151" i="50"/>
  <c r="H86" i="50"/>
  <c r="ER110" i="50"/>
  <c r="AD74" i="50"/>
  <c r="BL147" i="50"/>
  <c r="AH28" i="50"/>
  <c r="BX150" i="50"/>
  <c r="O104" i="50"/>
  <c r="V32" i="50"/>
  <c r="CT168" i="50"/>
  <c r="ES99" i="50"/>
  <c r="Z111" i="50"/>
  <c r="DQ146" i="50"/>
  <c r="J169" i="50"/>
  <c r="BQ133" i="50"/>
  <c r="DM221" i="50"/>
  <c r="CB137" i="50"/>
  <c r="T223" i="50"/>
  <c r="AE98" i="50"/>
  <c r="AU98" i="50"/>
  <c r="AL164" i="50"/>
  <c r="AC84" i="50"/>
  <c r="BQ100" i="50"/>
  <c r="EG108" i="50"/>
  <c r="AK103" i="50"/>
  <c r="EA221" i="50"/>
  <c r="AC105" i="50"/>
  <c r="BJ188" i="50"/>
  <c r="BK96" i="50"/>
  <c r="CC92" i="50"/>
  <c r="CV101" i="50"/>
  <c r="ET190" i="50"/>
  <c r="K167" i="50"/>
  <c r="CU221" i="50"/>
  <c r="EB108" i="50"/>
  <c r="E200" i="50"/>
  <c r="CV123" i="50"/>
  <c r="AP119" i="50"/>
  <c r="CD152" i="50"/>
  <c r="K82" i="50"/>
  <c r="BK186" i="50"/>
  <c r="G87" i="50"/>
  <c r="BB186" i="50"/>
  <c r="AG87" i="50"/>
  <c r="DJ163" i="50"/>
  <c r="F84" i="50"/>
  <c r="DJ83" i="50"/>
  <c r="CP77" i="50"/>
  <c r="AL206" i="50"/>
  <c r="AL34" i="50"/>
  <c r="N92" i="50"/>
  <c r="F184" i="50"/>
  <c r="Y112" i="50"/>
  <c r="AU217" i="50"/>
  <c r="EC222" i="50"/>
  <c r="BE206" i="50"/>
  <c r="AE167" i="50"/>
  <c r="N121" i="50"/>
  <c r="EQ81" i="50"/>
  <c r="DR104" i="50"/>
  <c r="EF76" i="50"/>
  <c r="AK148" i="50"/>
  <c r="CV73" i="50"/>
  <c r="BN123" i="50"/>
  <c r="CQ220" i="50"/>
  <c r="CU138" i="50"/>
  <c r="AF77" i="50"/>
  <c r="DL113" i="50"/>
  <c r="AH114" i="50"/>
  <c r="Y101" i="50"/>
  <c r="U20" i="50"/>
  <c r="EV132" i="50"/>
  <c r="EW83" i="50"/>
  <c r="EX90" i="50"/>
  <c r="DQ87" i="50"/>
  <c r="E126" i="50"/>
  <c r="EG186" i="50"/>
  <c r="H22" i="50"/>
  <c r="O133" i="50"/>
  <c r="O137" i="50"/>
  <c r="DZ112" i="50"/>
  <c r="AA6" i="26"/>
  <c r="CC137" i="50"/>
  <c r="AD205" i="50"/>
  <c r="BD223" i="50"/>
  <c r="DR199" i="50"/>
  <c r="EU206" i="50"/>
  <c r="BY188" i="50"/>
  <c r="DZ145" i="50"/>
  <c r="BC188" i="50"/>
  <c r="Z220" i="50"/>
  <c r="AD221" i="50"/>
  <c r="AJ125" i="50"/>
  <c r="J109" i="50"/>
  <c r="AP90" i="50"/>
  <c r="Y34" i="50"/>
  <c r="C34" i="50"/>
  <c r="DR102" i="50"/>
  <c r="EX137" i="50"/>
  <c r="BC99" i="50"/>
  <c r="CP125" i="50"/>
  <c r="EB92" i="50"/>
  <c r="BE102" i="50"/>
  <c r="CD187" i="50"/>
  <c r="BH138" i="50"/>
  <c r="W206" i="50"/>
  <c r="AP76" i="50"/>
  <c r="X108" i="50"/>
  <c r="BL191" i="50"/>
  <c r="AZ114" i="50"/>
  <c r="DR81" i="50"/>
  <c r="AC123" i="50"/>
  <c r="EU87" i="50"/>
  <c r="G125" i="50"/>
  <c r="ER96" i="50"/>
  <c r="BK100" i="50"/>
  <c r="W205" i="50"/>
  <c r="E114" i="50"/>
  <c r="F81" i="50"/>
  <c r="AM184" i="50"/>
  <c r="EF201" i="50"/>
  <c r="CS98" i="50"/>
  <c r="CA137" i="50"/>
  <c r="AY221" i="50"/>
  <c r="BF201" i="50"/>
  <c r="DQ164" i="50"/>
  <c r="L186" i="50"/>
  <c r="T19" i="50"/>
  <c r="DZ165" i="50"/>
  <c r="DJ79" i="50"/>
  <c r="P169" i="50"/>
  <c r="D138" i="50"/>
  <c r="EX77" i="50"/>
  <c r="AL147" i="50"/>
  <c r="CT133" i="50"/>
  <c r="AO85" i="50"/>
  <c r="BQ116" i="50"/>
  <c r="DR107" i="50"/>
  <c r="BH86" i="50"/>
  <c r="R186" i="50"/>
  <c r="DS93" i="50"/>
  <c r="E188" i="50"/>
  <c r="CB206" i="50"/>
  <c r="BM76" i="50"/>
  <c r="H163" i="50"/>
  <c r="K119" i="50"/>
  <c r="N205" i="50"/>
  <c r="W73" i="50"/>
  <c r="CE110" i="50"/>
  <c r="V50" i="50"/>
  <c r="E123" i="50"/>
  <c r="AA5" i="26"/>
  <c r="AF151" i="50"/>
  <c r="CR90" i="50"/>
  <c r="CB96" i="50"/>
  <c r="L133" i="50"/>
  <c r="AL92" i="50"/>
  <c r="BO123" i="50"/>
  <c r="CV122" i="50"/>
  <c r="AM104" i="50"/>
  <c r="O165" i="50"/>
  <c r="DS202" i="50"/>
  <c r="BH105" i="50"/>
  <c r="C117" i="50"/>
  <c r="BC126" i="50"/>
  <c r="DK184" i="50"/>
  <c r="AB133" i="50"/>
  <c r="W89" i="50"/>
  <c r="V185" i="50"/>
  <c r="AY220" i="50"/>
  <c r="Y189" i="50"/>
  <c r="DM99" i="50"/>
  <c r="CA103" i="50"/>
  <c r="AF92" i="50"/>
  <c r="BF87" i="50"/>
  <c r="EV221" i="50"/>
  <c r="F168" i="50"/>
  <c r="BH103" i="50"/>
  <c r="AW127" i="50"/>
  <c r="DS126" i="50"/>
  <c r="BW221" i="50"/>
  <c r="BD134" i="50"/>
  <c r="BE85" i="50"/>
  <c r="BO222" i="50"/>
  <c r="AP147" i="50"/>
  <c r="C114" i="50"/>
  <c r="EC107" i="50"/>
  <c r="S56" i="50"/>
  <c r="P191" i="50"/>
  <c r="DS77" i="50"/>
  <c r="AL126" i="50"/>
  <c r="BI91" i="50"/>
  <c r="BM152" i="50"/>
  <c r="J102" i="50"/>
  <c r="BB126" i="50"/>
  <c r="ET191" i="50"/>
  <c r="ED133" i="50"/>
  <c r="DM110" i="50"/>
  <c r="EX221" i="50"/>
  <c r="CS92" i="50"/>
  <c r="BP151" i="50"/>
  <c r="E101" i="50"/>
  <c r="AL104" i="50"/>
  <c r="DK98" i="50"/>
  <c r="BN83" i="50"/>
  <c r="EX149" i="50"/>
  <c r="AN187" i="50"/>
  <c r="AY90" i="50"/>
  <c r="AE80" i="50"/>
  <c r="AE169" i="50"/>
  <c r="ER85" i="50"/>
  <c r="ET188" i="50"/>
  <c r="AW220" i="50"/>
  <c r="DM87" i="50"/>
  <c r="AH109" i="50"/>
  <c r="T147" i="50"/>
  <c r="CP85" i="50"/>
  <c r="EG163" i="50"/>
  <c r="EX185" i="50"/>
  <c r="DJ187" i="50"/>
  <c r="H76" i="50"/>
  <c r="EU219" i="50"/>
  <c r="V137" i="50"/>
  <c r="C122" i="50"/>
  <c r="U83" i="50"/>
  <c r="BY109" i="50"/>
  <c r="DY188" i="50"/>
  <c r="BZ109" i="50"/>
  <c r="DQ91" i="50"/>
  <c r="CB146" i="50"/>
  <c r="AQ205" i="50"/>
  <c r="AZ108" i="50"/>
  <c r="CQ167" i="50"/>
  <c r="T43" i="50"/>
  <c r="BY104" i="50"/>
  <c r="AJ22" i="50"/>
  <c r="BA74" i="50"/>
  <c r="AB79" i="50"/>
  <c r="EU106" i="50"/>
  <c r="AC199" i="50"/>
  <c r="R100" i="50"/>
  <c r="DY163" i="50"/>
  <c r="BX186" i="50"/>
  <c r="O166" i="50"/>
  <c r="X201" i="50"/>
  <c r="U151" i="50"/>
  <c r="BF97" i="50"/>
  <c r="M22" i="50"/>
  <c r="U50" i="50"/>
  <c r="CT113" i="50"/>
  <c r="BE132" i="50"/>
  <c r="CO150" i="50"/>
  <c r="AZ206" i="50"/>
  <c r="V23" i="50"/>
  <c r="DM186" i="50"/>
  <c r="W22" i="50"/>
  <c r="DO202" i="50"/>
  <c r="DQ222" i="50"/>
  <c r="CS86" i="50"/>
  <c r="DZ222" i="50"/>
  <c r="AD56" i="50"/>
  <c r="DL167" i="50"/>
  <c r="BO169" i="50"/>
  <c r="AO96" i="50"/>
  <c r="CT79" i="50"/>
  <c r="BB123" i="50"/>
  <c r="AH96" i="50"/>
  <c r="CV98" i="50"/>
  <c r="BL79" i="50"/>
  <c r="AX77" i="50"/>
  <c r="BQ115" i="50"/>
  <c r="CV108" i="50"/>
  <c r="AE97" i="50"/>
  <c r="M20" i="50"/>
  <c r="AL89" i="50"/>
  <c r="CA191" i="50"/>
  <c r="R96" i="50"/>
  <c r="BJ203" i="50"/>
  <c r="CE98" i="50"/>
  <c r="CQ80" i="50"/>
  <c r="Z205" i="50"/>
  <c r="Z122" i="50"/>
  <c r="BK73" i="50"/>
  <c r="O125" i="50"/>
  <c r="S151" i="50"/>
  <c r="DR111" i="50"/>
  <c r="CT115" i="50"/>
  <c r="BY117" i="50"/>
  <c r="BC150" i="50"/>
  <c r="BD78" i="50"/>
  <c r="DM203" i="50"/>
  <c r="CQ145" i="50"/>
  <c r="V132" i="50"/>
  <c r="AO191" i="50"/>
  <c r="H223" i="50"/>
  <c r="EE190" i="50"/>
  <c r="AG126" i="50"/>
  <c r="EE131" i="50"/>
  <c r="AS105" i="50"/>
  <c r="EW81" i="50"/>
  <c r="Z137" i="50"/>
  <c r="K138" i="50"/>
  <c r="DQ131" i="50"/>
  <c r="S32" i="50"/>
  <c r="AW88" i="50"/>
  <c r="H137" i="50"/>
  <c r="X167" i="50"/>
  <c r="CE130" i="50"/>
  <c r="AC204" i="50"/>
  <c r="C121" i="50"/>
  <c r="DS115" i="50"/>
  <c r="BI92" i="50"/>
  <c r="AV107" i="50"/>
  <c r="D186" i="50"/>
  <c r="AV113" i="50"/>
  <c r="BN152" i="50"/>
  <c r="AP93" i="50"/>
  <c r="BE163" i="50"/>
  <c r="CV115" i="50"/>
  <c r="CA186" i="50"/>
  <c r="DS92" i="50"/>
  <c r="Z113" i="50"/>
  <c r="R167" i="50"/>
  <c r="AV146" i="50"/>
  <c r="CC124" i="50"/>
  <c r="BE95" i="50"/>
  <c r="P94" i="50"/>
  <c r="EW82" i="50"/>
  <c r="AP88" i="50"/>
  <c r="AN223" i="50"/>
  <c r="CU222" i="50"/>
  <c r="X80" i="50"/>
  <c r="I84" i="50"/>
  <c r="Y217" i="50"/>
  <c r="EW93" i="50"/>
  <c r="AE122" i="50"/>
  <c r="N75" i="50"/>
  <c r="CB134" i="50"/>
  <c r="BH126" i="50"/>
  <c r="EX113" i="50"/>
  <c r="U114" i="50"/>
  <c r="BF133" i="50"/>
  <c r="AC73" i="50"/>
  <c r="DR220" i="50"/>
  <c r="N91" i="50"/>
  <c r="ET77" i="50"/>
  <c r="BX200" i="50"/>
  <c r="Q77" i="50"/>
  <c r="X97" i="50"/>
  <c r="CU127" i="50"/>
  <c r="EB203" i="50"/>
  <c r="CV133" i="50"/>
  <c r="CA135" i="50"/>
  <c r="AI102" i="50"/>
  <c r="ET111" i="50"/>
  <c r="BD93" i="50"/>
  <c r="AG205" i="50"/>
  <c r="CC115" i="50"/>
  <c r="AD151" i="50"/>
  <c r="BF187" i="50"/>
  <c r="BM217" i="50"/>
  <c r="BA85" i="50"/>
  <c r="EE84" i="50"/>
  <c r="BH93" i="50"/>
  <c r="CD133" i="50"/>
  <c r="V152" i="50"/>
  <c r="AT206" i="50"/>
  <c r="EE119" i="50"/>
  <c r="EA111" i="50"/>
  <c r="AG81" i="50"/>
  <c r="DL222" i="50"/>
  <c r="Y221" i="50"/>
  <c r="EC93" i="50"/>
  <c r="J112" i="50"/>
  <c r="CC81" i="50"/>
  <c r="CR217" i="50"/>
  <c r="S79" i="50"/>
  <c r="DQ185" i="50"/>
  <c r="BI104" i="50"/>
  <c r="AR80" i="50"/>
  <c r="CV90" i="50"/>
  <c r="O218" i="50"/>
  <c r="CR145" i="50"/>
  <c r="W46" i="50"/>
  <c r="DP205" i="50"/>
  <c r="P116" i="50"/>
  <c r="CA101" i="50"/>
  <c r="DP121" i="50"/>
  <c r="DR109" i="50"/>
  <c r="BM100" i="50"/>
  <c r="C191" i="50"/>
  <c r="DS149" i="50"/>
  <c r="O80" i="50"/>
  <c r="EV79" i="50"/>
  <c r="DR134" i="50"/>
  <c r="AL135" i="50"/>
  <c r="BN80" i="50"/>
  <c r="CD105" i="50"/>
  <c r="H150" i="50"/>
  <c r="BF114" i="50"/>
  <c r="AY105" i="50"/>
  <c r="T92" i="50"/>
  <c r="Z15" i="50"/>
  <c r="AB163" i="50"/>
  <c r="BM87" i="50"/>
  <c r="BA218" i="50"/>
  <c r="EB98" i="50"/>
  <c r="DP85" i="50"/>
  <c r="C200" i="50"/>
  <c r="DO90" i="50"/>
  <c r="AL36" i="50"/>
  <c r="AF98" i="50"/>
  <c r="Q110" i="50"/>
  <c r="CB189" i="50"/>
  <c r="BQ222" i="50"/>
  <c r="U112" i="50"/>
  <c r="C125" i="50"/>
  <c r="CD114" i="50"/>
  <c r="M101" i="50"/>
  <c r="AI137" i="50"/>
  <c r="EX121" i="50"/>
  <c r="O217" i="50"/>
  <c r="EX186" i="50"/>
  <c r="BK133" i="50"/>
  <c r="CQ135" i="50"/>
  <c r="DN117" i="50"/>
  <c r="AJ21" i="50"/>
  <c r="H205" i="50"/>
  <c r="DO184" i="50"/>
  <c r="R138" i="50"/>
  <c r="DQ100" i="50"/>
  <c r="DR137" i="50"/>
  <c r="AI105" i="50"/>
  <c r="X20" i="50"/>
  <c r="J206" i="50"/>
  <c r="W19" i="50"/>
  <c r="AF14" i="50"/>
  <c r="AJ147" i="50"/>
  <c r="BO220" i="50"/>
  <c r="BC78" i="50"/>
  <c r="AK136" i="50"/>
  <c r="O219" i="50"/>
  <c r="R22" i="50"/>
  <c r="W152" i="50"/>
  <c r="S191" i="50"/>
  <c r="AL30" i="50"/>
  <c r="AU146" i="50"/>
  <c r="CV138" i="50"/>
  <c r="BW119" i="50"/>
  <c r="AV206" i="50"/>
  <c r="AC81" i="50"/>
  <c r="K117" i="50"/>
  <c r="DS151" i="50"/>
  <c r="EU123" i="50"/>
  <c r="S87" i="50"/>
  <c r="AD217" i="50"/>
  <c r="W107" i="50"/>
  <c r="CV105" i="50"/>
  <c r="EE184" i="50"/>
  <c r="EW84" i="50"/>
  <c r="EU109" i="50"/>
  <c r="Y116" i="50"/>
  <c r="CU205" i="50"/>
  <c r="S189" i="50"/>
  <c r="AO163" i="50"/>
  <c r="ED223" i="50"/>
  <c r="CQ192" i="50"/>
  <c r="AU201" i="50"/>
  <c r="BE165" i="50"/>
  <c r="D89" i="50"/>
  <c r="BI95" i="50"/>
  <c r="EX76" i="50"/>
  <c r="Z74" i="50"/>
  <c r="BA200" i="50"/>
  <c r="AN92" i="50"/>
  <c r="ED125" i="50"/>
  <c r="AN164" i="50"/>
  <c r="BD102" i="50"/>
  <c r="AJ190" i="50"/>
  <c r="Z127" i="50"/>
  <c r="BA189" i="50"/>
  <c r="CA148" i="50"/>
  <c r="AT168" i="50"/>
  <c r="CQ222" i="50"/>
  <c r="AQ101" i="50"/>
  <c r="DZ221" i="50"/>
  <c r="CR132" i="50"/>
  <c r="AG119" i="50"/>
  <c r="Q138" i="50"/>
  <c r="BO89" i="50"/>
  <c r="DR121" i="50"/>
  <c r="G22" i="50"/>
  <c r="P133" i="50"/>
  <c r="ER167" i="50"/>
  <c r="Y90" i="50"/>
  <c r="EA103" i="50"/>
  <c r="AY102" i="50"/>
  <c r="R49" i="50"/>
  <c r="P77" i="50"/>
  <c r="AL101" i="50"/>
  <c r="DJ220" i="50"/>
  <c r="AX119" i="50"/>
  <c r="BL99" i="50"/>
  <c r="BL123" i="50"/>
  <c r="DJ137" i="50"/>
  <c r="ER92" i="50"/>
  <c r="EF124" i="50"/>
  <c r="BP168" i="50"/>
  <c r="BX148" i="50"/>
  <c r="AD148" i="50"/>
  <c r="T165" i="50"/>
  <c r="H102" i="50"/>
  <c r="C79" i="50"/>
  <c r="AJ115" i="50"/>
  <c r="AJ221" i="50"/>
  <c r="BB87" i="50"/>
  <c r="DM96" i="50"/>
  <c r="DR82" i="50"/>
  <c r="G105" i="50"/>
  <c r="AI117" i="50"/>
  <c r="K96" i="50"/>
  <c r="K125" i="50"/>
  <c r="DN125" i="50"/>
  <c r="BF116" i="50"/>
  <c r="Y222" i="50"/>
  <c r="AM79" i="50"/>
  <c r="Q150" i="50"/>
  <c r="V133" i="50"/>
  <c r="AO76" i="50"/>
  <c r="EE75" i="50"/>
  <c r="BL74" i="50"/>
  <c r="BE80" i="50"/>
  <c r="BC87" i="50"/>
  <c r="H222" i="50"/>
  <c r="I168" i="50"/>
  <c r="AG223" i="50"/>
  <c r="Z133" i="50"/>
  <c r="K101" i="50"/>
  <c r="BZ85" i="50"/>
  <c r="BY163" i="50"/>
  <c r="BL204" i="50"/>
  <c r="G74" i="50"/>
  <c r="AJ90" i="50"/>
  <c r="BH108" i="50"/>
  <c r="O118" i="50"/>
  <c r="AE149" i="50"/>
  <c r="F90" i="50"/>
  <c r="BY126" i="50"/>
  <c r="BN93" i="50"/>
  <c r="P184" i="50"/>
  <c r="BW123" i="50"/>
  <c r="G199" i="50"/>
  <c r="AB50" i="50"/>
  <c r="BA205" i="50"/>
  <c r="BZ101" i="50"/>
  <c r="F205" i="50"/>
  <c r="AD192" i="50"/>
  <c r="CD199" i="50"/>
  <c r="I96" i="50"/>
  <c r="S43" i="50"/>
  <c r="ES79" i="50"/>
  <c r="AC53" i="50"/>
  <c r="BK124" i="50"/>
  <c r="EC187" i="50"/>
  <c r="AP114" i="50"/>
  <c r="BB94" i="50"/>
  <c r="CR74" i="50"/>
  <c r="E136" i="50"/>
  <c r="DM223" i="50"/>
  <c r="CP134" i="50"/>
  <c r="DR202" i="50"/>
  <c r="ER119" i="50"/>
  <c r="L25" i="50"/>
  <c r="BM191" i="50"/>
  <c r="EQ152" i="50"/>
  <c r="DS118" i="50"/>
  <c r="BQ94" i="50"/>
  <c r="EX201" i="50"/>
  <c r="BI82" i="50"/>
  <c r="C23" i="50"/>
  <c r="CP164" i="50"/>
  <c r="BF189" i="50"/>
  <c r="AR165" i="50"/>
  <c r="BQ87" i="50"/>
  <c r="BB164" i="50"/>
  <c r="CQ219" i="50"/>
  <c r="EC205" i="50"/>
  <c r="EU100" i="50"/>
  <c r="CA187" i="50"/>
  <c r="ET200" i="50"/>
  <c r="J221" i="50"/>
  <c r="CE204" i="50"/>
  <c r="AG188" i="50"/>
  <c r="EU204" i="50"/>
  <c r="AX91" i="50"/>
  <c r="CU99" i="50"/>
  <c r="T112" i="50"/>
  <c r="Q80" i="50"/>
  <c r="J204" i="50"/>
  <c r="AG80" i="50"/>
  <c r="BP126" i="50"/>
  <c r="DM115" i="50"/>
  <c r="AM125" i="50"/>
  <c r="EC190" i="50"/>
  <c r="ET94" i="50"/>
  <c r="BW163" i="50"/>
  <c r="DR148" i="50"/>
  <c r="Y200" i="50"/>
  <c r="EQ102" i="50"/>
  <c r="AE95" i="50"/>
  <c r="I167" i="50"/>
  <c r="D21" i="50"/>
  <c r="DZ137" i="50"/>
  <c r="BY113" i="50"/>
  <c r="Y137" i="50"/>
  <c r="CU199" i="50"/>
  <c r="DS108" i="50"/>
  <c r="S93" i="50"/>
  <c r="Q104" i="50"/>
  <c r="N132" i="50"/>
  <c r="M84" i="50"/>
  <c r="AV123" i="50"/>
  <c r="AH132" i="50"/>
  <c r="CV126" i="50"/>
  <c r="AT98" i="50"/>
  <c r="CQ110" i="50"/>
  <c r="BF163" i="50"/>
  <c r="AB87" i="50"/>
  <c r="DN222" i="50"/>
  <c r="DP110" i="50"/>
  <c r="EG78" i="50"/>
  <c r="H164" i="50"/>
  <c r="EB126" i="50"/>
  <c r="Y152" i="50"/>
  <c r="DS102" i="50"/>
  <c r="BC167" i="50"/>
  <c r="CB88" i="50"/>
  <c r="DR203" i="50"/>
  <c r="J89" i="50"/>
  <c r="AC12" i="26"/>
  <c r="CA109" i="50"/>
  <c r="DY110" i="50"/>
  <c r="CA206" i="50"/>
  <c r="CT84" i="50"/>
  <c r="DZ105" i="50"/>
  <c r="AZ100" i="50"/>
  <c r="AG98" i="50"/>
  <c r="AG88" i="50"/>
  <c r="BA150" i="50"/>
  <c r="EG76" i="50"/>
  <c r="BM91" i="50"/>
  <c r="BN112" i="50"/>
  <c r="AZ127" i="50"/>
  <c r="BQ131" i="50"/>
  <c r="AP131" i="50"/>
  <c r="BJ73" i="50"/>
  <c r="BI205" i="50"/>
  <c r="D130" i="50"/>
  <c r="DR222" i="50"/>
  <c r="CU122" i="50"/>
  <c r="AV147" i="50"/>
  <c r="BK125" i="50"/>
  <c r="BA163" i="50"/>
  <c r="E148" i="50"/>
  <c r="BW148" i="50"/>
  <c r="Z138" i="50"/>
  <c r="BA89" i="50"/>
  <c r="DP137" i="50"/>
  <c r="BL111" i="50"/>
  <c r="M19" i="50"/>
  <c r="AQ84" i="50"/>
  <c r="BO113" i="50"/>
  <c r="EE122" i="50"/>
  <c r="AQ112" i="50"/>
  <c r="BO95" i="50"/>
  <c r="AO86" i="50"/>
  <c r="AJ206" i="50"/>
  <c r="AZ81" i="50"/>
  <c r="AA77" i="50"/>
  <c r="EE221" i="50"/>
  <c r="ET151" i="50"/>
  <c r="DP81" i="50"/>
  <c r="BH163" i="50"/>
  <c r="DN88" i="50"/>
  <c r="M100" i="50"/>
  <c r="DZ77" i="50"/>
  <c r="AB125" i="50"/>
  <c r="CU98" i="50"/>
  <c r="EB76" i="50"/>
  <c r="CP163" i="50"/>
  <c r="EB109" i="50"/>
  <c r="EF134" i="50"/>
  <c r="DS95" i="50"/>
  <c r="R137" i="50"/>
  <c r="EB163" i="50"/>
  <c r="ED117" i="50"/>
  <c r="C111" i="50"/>
  <c r="EE166" i="50"/>
  <c r="DL95" i="50"/>
  <c r="CR189" i="50"/>
  <c r="DM94" i="50"/>
  <c r="AF132" i="50"/>
  <c r="AV88" i="50"/>
  <c r="W217" i="50"/>
  <c r="CD221" i="50"/>
  <c r="C168" i="50"/>
  <c r="AX218" i="50"/>
  <c r="T123" i="50"/>
  <c r="AO117" i="50"/>
  <c r="AH34" i="50"/>
  <c r="BX123" i="50"/>
  <c r="W221" i="50"/>
  <c r="Q102" i="50"/>
  <c r="CR114" i="50"/>
  <c r="K163" i="50"/>
  <c r="AK130" i="50"/>
  <c r="X190" i="50"/>
  <c r="EU186" i="50"/>
  <c r="D112" i="50"/>
  <c r="I163" i="50"/>
  <c r="X96" i="50"/>
  <c r="CA105" i="50"/>
  <c r="K152" i="50"/>
  <c r="EF97" i="50"/>
  <c r="CS168" i="50"/>
  <c r="N114" i="50"/>
  <c r="CE145" i="50"/>
  <c r="BA81" i="50"/>
  <c r="BN164" i="50"/>
  <c r="CO149" i="50"/>
  <c r="CB131" i="50"/>
  <c r="Z77" i="50"/>
  <c r="BF165" i="50"/>
  <c r="BD118" i="50"/>
  <c r="X102" i="50"/>
  <c r="EQ111" i="50"/>
  <c r="AT218" i="50"/>
  <c r="BW127" i="50"/>
  <c r="AD115" i="50"/>
  <c r="EG151" i="50"/>
  <c r="AR113" i="50"/>
  <c r="I75" i="50"/>
  <c r="E167" i="50"/>
  <c r="EV146" i="50"/>
  <c r="AS122" i="50"/>
  <c r="AA109" i="50"/>
  <c r="T185" i="50"/>
  <c r="AY77" i="50"/>
  <c r="CA189" i="50"/>
  <c r="L106" i="50"/>
  <c r="AF97" i="50"/>
  <c r="W219" i="50"/>
  <c r="EX206" i="50"/>
  <c r="AO164" i="50"/>
  <c r="BB151" i="50"/>
  <c r="CB123" i="50"/>
  <c r="AA93" i="50"/>
  <c r="CS130" i="50"/>
  <c r="EQ222" i="50"/>
  <c r="I77" i="50"/>
  <c r="BM102" i="50"/>
  <c r="DS135" i="50"/>
  <c r="BE114" i="50"/>
  <c r="ES167" i="50"/>
  <c r="EB205" i="50"/>
  <c r="CD188" i="50"/>
  <c r="E149" i="50"/>
  <c r="AP163" i="50"/>
  <c r="DJ88" i="50"/>
  <c r="EE121" i="50"/>
  <c r="ED134" i="50"/>
  <c r="AL205" i="50"/>
  <c r="CQ93" i="50"/>
  <c r="CU190" i="50"/>
  <c r="AN103" i="50"/>
  <c r="AZ98" i="50"/>
  <c r="AC137" i="50"/>
  <c r="CA106" i="50"/>
  <c r="AI112" i="50"/>
  <c r="BQ102" i="50"/>
  <c r="ET152" i="50"/>
  <c r="AE133" i="50"/>
  <c r="AB132" i="50"/>
  <c r="BW76" i="50"/>
  <c r="ER166" i="50"/>
  <c r="AK168" i="50"/>
  <c r="BZ169" i="50"/>
  <c r="Z44" i="50"/>
  <c r="AB58" i="50"/>
  <c r="ED103" i="50"/>
  <c r="ED199" i="50"/>
  <c r="CD118" i="50"/>
  <c r="U190" i="50"/>
  <c r="I86" i="50"/>
  <c r="AE109" i="50"/>
  <c r="CD101" i="50"/>
  <c r="N199" i="50"/>
  <c r="EV94" i="50"/>
  <c r="O121" i="50"/>
  <c r="EX191" i="50"/>
  <c r="DY136" i="50"/>
  <c r="CR85" i="50"/>
  <c r="EU130" i="50"/>
  <c r="EX135" i="50"/>
  <c r="CU102" i="50"/>
  <c r="Q148" i="50"/>
  <c r="AX147" i="50"/>
  <c r="G136" i="50"/>
  <c r="AM78" i="50"/>
  <c r="V169" i="50"/>
  <c r="BC127" i="50"/>
  <c r="CB112" i="50"/>
  <c r="CV189" i="50"/>
  <c r="ER122" i="50"/>
  <c r="AJ222" i="50"/>
  <c r="BP101" i="50"/>
  <c r="AW149" i="50"/>
  <c r="AO92" i="50"/>
  <c r="DR77" i="50"/>
  <c r="BO91" i="50"/>
  <c r="R51" i="50"/>
  <c r="BL92" i="50"/>
  <c r="R192" i="50"/>
  <c r="DR83" i="50"/>
  <c r="CU125" i="50"/>
  <c r="DJ169" i="50"/>
  <c r="BA204" i="50"/>
  <c r="K205" i="50"/>
  <c r="AW205" i="50"/>
  <c r="CC187" i="50"/>
  <c r="DY191" i="50"/>
  <c r="BA73" i="50"/>
  <c r="EG165" i="50"/>
  <c r="AP188" i="50"/>
  <c r="S135" i="50"/>
  <c r="AL106" i="50"/>
  <c r="ER88" i="50"/>
  <c r="DY223" i="50"/>
  <c r="AD124" i="50"/>
  <c r="BQ118" i="50"/>
  <c r="C17" i="50"/>
  <c r="AS121" i="50"/>
  <c r="BI111" i="50"/>
  <c r="AU152" i="50"/>
  <c r="AH112" i="50"/>
  <c r="T163" i="50"/>
  <c r="DQ190" i="50"/>
  <c r="AT146" i="50"/>
  <c r="BQ189" i="50"/>
  <c r="BM149" i="50"/>
  <c r="DZ164" i="50"/>
  <c r="M152" i="50"/>
  <c r="AH76" i="50"/>
  <c r="AE110" i="50"/>
  <c r="BF117" i="50"/>
  <c r="S48" i="50"/>
  <c r="BW219" i="50"/>
  <c r="J88" i="50"/>
  <c r="AL221" i="50"/>
  <c r="AH206" i="50"/>
  <c r="BC115" i="50"/>
  <c r="AF111" i="50"/>
  <c r="BL91" i="50"/>
  <c r="EA199" i="50"/>
  <c r="AV94" i="50"/>
  <c r="AL98" i="50"/>
  <c r="AM137" i="50"/>
  <c r="AH95" i="50"/>
  <c r="DL121" i="50"/>
  <c r="AR133" i="50"/>
  <c r="Z191" i="50"/>
  <c r="EG184" i="50"/>
  <c r="W199" i="50"/>
  <c r="EF218" i="50"/>
  <c r="DM126" i="50"/>
  <c r="AM93" i="50"/>
  <c r="L99" i="50"/>
  <c r="Z146" i="50"/>
  <c r="BF119" i="50"/>
  <c r="AM190" i="50"/>
  <c r="AM189" i="50"/>
  <c r="AO146" i="50"/>
  <c r="DL118" i="50"/>
  <c r="E163" i="50"/>
  <c r="BO133" i="50"/>
  <c r="CV124" i="50"/>
  <c r="AV125" i="50"/>
  <c r="CA127" i="50"/>
  <c r="CC190" i="50"/>
  <c r="AP149" i="50"/>
  <c r="X32" i="50"/>
  <c r="EV74" i="50"/>
  <c r="H124" i="50"/>
  <c r="AG189" i="50"/>
  <c r="BN203" i="50"/>
  <c r="EE164" i="50"/>
  <c r="Q122" i="50"/>
  <c r="O100" i="50"/>
  <c r="BI112" i="50"/>
  <c r="AF121" i="50"/>
  <c r="AW188" i="50"/>
  <c r="CQ73" i="50"/>
  <c r="F31" i="50"/>
  <c r="BQ145" i="50"/>
  <c r="H217" i="50"/>
  <c r="EC130" i="50"/>
  <c r="CV113" i="50"/>
  <c r="AB17" i="50"/>
  <c r="AM222" i="50"/>
  <c r="BW116" i="50"/>
  <c r="EQ117" i="50"/>
  <c r="EQ127" i="50"/>
  <c r="N163" i="50"/>
  <c r="EU148" i="50"/>
  <c r="AI205" i="50"/>
  <c r="EA133" i="50"/>
  <c r="DS219" i="50"/>
  <c r="AC97" i="50"/>
  <c r="DJ201" i="50"/>
  <c r="AY76" i="50"/>
  <c r="AQ151" i="50"/>
  <c r="I116" i="50"/>
  <c r="AR121" i="50"/>
  <c r="CP138" i="50"/>
  <c r="AU135" i="50"/>
  <c r="AX138" i="50"/>
  <c r="BN222" i="50"/>
  <c r="BC98" i="50"/>
  <c r="Q220" i="50"/>
  <c r="L84" i="50"/>
  <c r="ER169" i="50"/>
  <c r="R123" i="50"/>
  <c r="T53" i="50"/>
  <c r="DK138" i="50"/>
  <c r="EE136" i="50"/>
  <c r="M222" i="50"/>
  <c r="CO148" i="50"/>
  <c r="DQ107" i="50"/>
  <c r="ET88" i="50"/>
  <c r="I76" i="50"/>
  <c r="CT188" i="50"/>
  <c r="DM184" i="50"/>
  <c r="AI119" i="50"/>
  <c r="G205" i="50"/>
  <c r="CB188" i="50"/>
  <c r="BB91" i="50"/>
  <c r="EA93" i="50"/>
  <c r="EC116" i="50"/>
  <c r="BN109" i="50"/>
  <c r="S148" i="50"/>
  <c r="AZ205" i="50"/>
  <c r="DY88" i="50"/>
  <c r="X56" i="50"/>
  <c r="Q85" i="50"/>
  <c r="AX101" i="50"/>
  <c r="DR150" i="50"/>
  <c r="W126" i="50"/>
  <c r="BK169" i="50"/>
  <c r="EE109" i="50"/>
  <c r="CD135" i="50"/>
  <c r="AE88" i="50"/>
  <c r="AA4" i="26"/>
  <c r="DM90" i="50"/>
  <c r="AP123" i="50"/>
  <c r="DQ93" i="50"/>
  <c r="CP78" i="50"/>
  <c r="BO191" i="50"/>
  <c r="DJ93" i="50"/>
  <c r="CR187" i="50"/>
  <c r="CO114" i="50"/>
  <c r="AH105" i="50"/>
  <c r="CA163" i="50"/>
  <c r="CO112" i="50"/>
  <c r="BX146" i="50"/>
  <c r="BZ98" i="50"/>
  <c r="EG148" i="50"/>
  <c r="BZ147" i="50"/>
  <c r="BQ107" i="50"/>
  <c r="AL127" i="50"/>
  <c r="BI203" i="50"/>
  <c r="AF73" i="50"/>
  <c r="BK137" i="50"/>
  <c r="Y36" i="50"/>
  <c r="BX188" i="50"/>
  <c r="AL76" i="50"/>
  <c r="DJ191" i="50"/>
  <c r="DJ203" i="50"/>
  <c r="X28" i="50"/>
  <c r="DJ127" i="50"/>
  <c r="EF137" i="50"/>
  <c r="ET121" i="50"/>
  <c r="AV111" i="50"/>
  <c r="CC108" i="50"/>
  <c r="AF30" i="50"/>
  <c r="DZ191" i="50"/>
  <c r="G112" i="50"/>
  <c r="AN99" i="50"/>
  <c r="L14" i="50"/>
  <c r="S186" i="50"/>
  <c r="EQ92" i="50"/>
  <c r="AN149" i="50"/>
  <c r="AE203" i="50"/>
  <c r="BL88" i="50"/>
  <c r="E18" i="50"/>
  <c r="AF116" i="50"/>
  <c r="CD106" i="50"/>
  <c r="J146" i="50"/>
  <c r="R132" i="50"/>
  <c r="Q188" i="50"/>
  <c r="DS124" i="50"/>
  <c r="ED132" i="50"/>
  <c r="DR112" i="50"/>
  <c r="AD107" i="50"/>
  <c r="EE189" i="50"/>
  <c r="EU101" i="50"/>
  <c r="EA184" i="50"/>
  <c r="BC192" i="50"/>
  <c r="AC44" i="50"/>
  <c r="Z169" i="50"/>
  <c r="AF80" i="50"/>
  <c r="DP124" i="50"/>
  <c r="BO201" i="50"/>
  <c r="BE147" i="50"/>
  <c r="Z186" i="50"/>
  <c r="T189" i="50"/>
  <c r="DR86" i="50"/>
  <c r="DM222" i="50"/>
  <c r="M125" i="50"/>
  <c r="BB109" i="50"/>
  <c r="AX185" i="50"/>
  <c r="CD88" i="50"/>
  <c r="L98" i="50"/>
  <c r="BE79" i="50"/>
  <c r="ED105" i="50"/>
  <c r="ER130" i="50"/>
  <c r="EC138" i="50"/>
  <c r="N100" i="50"/>
  <c r="O206" i="50"/>
  <c r="EA127" i="50"/>
  <c r="L150" i="50"/>
  <c r="AK125" i="50"/>
  <c r="AB168" i="50"/>
  <c r="DY79" i="50"/>
  <c r="T32" i="50"/>
  <c r="BD98" i="50"/>
  <c r="BO165" i="50"/>
  <c r="AQ91" i="50"/>
  <c r="CT94" i="50"/>
  <c r="AK219" i="50"/>
  <c r="AT149" i="50"/>
  <c r="AP75" i="50"/>
  <c r="AC151" i="50"/>
  <c r="CU85" i="50"/>
  <c r="R46" i="50"/>
  <c r="S206" i="50"/>
  <c r="BK188" i="50"/>
  <c r="EG73" i="50"/>
  <c r="S145" i="50"/>
  <c r="CT205" i="50"/>
  <c r="EF75" i="50"/>
  <c r="AT222" i="50"/>
  <c r="EW100" i="50"/>
  <c r="BO82" i="50"/>
  <c r="DK152" i="50"/>
  <c r="DS218" i="50"/>
  <c r="BE98" i="50"/>
  <c r="Q147" i="50"/>
  <c r="E111" i="50"/>
  <c r="M206" i="50"/>
  <c r="DZ73" i="50"/>
  <c r="AG110" i="50"/>
  <c r="EF147" i="50"/>
  <c r="BE131" i="50"/>
  <c r="V80" i="50"/>
  <c r="BM86" i="50"/>
  <c r="AC130" i="50"/>
  <c r="DL147" i="50"/>
  <c r="AB74" i="50"/>
  <c r="T15" i="50"/>
  <c r="EQ75" i="50"/>
  <c r="ET166" i="50"/>
  <c r="AO105" i="50"/>
  <c r="DL82" i="50"/>
  <c r="CP147" i="50"/>
  <c r="AP151" i="50"/>
  <c r="AN109" i="50"/>
  <c r="CD165" i="50"/>
  <c r="BE91" i="50"/>
  <c r="EV78" i="50"/>
  <c r="DM169" i="50"/>
  <c r="BQ84" i="50"/>
  <c r="X42" i="50"/>
  <c r="AD55" i="50"/>
  <c r="R76" i="50"/>
  <c r="EX98" i="50"/>
  <c r="CO217" i="50"/>
  <c r="BF75" i="50"/>
  <c r="DR191" i="50"/>
  <c r="Q200" i="50"/>
  <c r="AR186" i="50"/>
  <c r="AB169" i="50"/>
  <c r="AJ188" i="50"/>
  <c r="EU116" i="50"/>
  <c r="CS104" i="50"/>
  <c r="V190" i="50"/>
  <c r="AT113" i="50"/>
  <c r="C190" i="50"/>
  <c r="J98" i="50"/>
  <c r="AL113" i="50"/>
  <c r="BL83" i="50"/>
  <c r="BL124" i="50"/>
  <c r="AV98" i="50"/>
  <c r="AE221" i="50"/>
  <c r="CE76" i="50"/>
  <c r="DP80" i="50"/>
  <c r="C189" i="50"/>
  <c r="DO110" i="50"/>
  <c r="DJ84" i="50"/>
  <c r="I199" i="50"/>
  <c r="AJ88" i="50"/>
  <c r="M91" i="50"/>
  <c r="BY73" i="50"/>
  <c r="BZ165" i="50"/>
  <c r="AJ109" i="50"/>
  <c r="Y57" i="50"/>
  <c r="AI74" i="50"/>
  <c r="CD217" i="50"/>
  <c r="AT102" i="50"/>
  <c r="DR79" i="50"/>
  <c r="EE103" i="50"/>
  <c r="AW204" i="50"/>
  <c r="BA79" i="50"/>
  <c r="V119" i="50"/>
  <c r="BB188" i="50"/>
  <c r="AI152" i="50"/>
  <c r="CT137" i="50"/>
  <c r="BZ190" i="50"/>
  <c r="AC222" i="50"/>
  <c r="DY222" i="50"/>
  <c r="P152" i="50"/>
  <c r="ET169" i="50"/>
  <c r="S192" i="50"/>
  <c r="BI81" i="50"/>
  <c r="CO186" i="50"/>
  <c r="CA168" i="50"/>
  <c r="N127" i="50"/>
  <c r="DO104" i="50"/>
  <c r="AJ189" i="50"/>
  <c r="U22" i="50"/>
  <c r="I132" i="50"/>
  <c r="EC125" i="50"/>
  <c r="DO189" i="50"/>
  <c r="BE187" i="50"/>
  <c r="BY86" i="50"/>
  <c r="X121" i="50"/>
  <c r="T131" i="50"/>
  <c r="DQ220" i="50"/>
  <c r="BM77" i="50"/>
  <c r="BH190" i="50"/>
  <c r="V102" i="50"/>
  <c r="CB116" i="50"/>
  <c r="DY100" i="50"/>
  <c r="DY96" i="50"/>
  <c r="CT146" i="50"/>
  <c r="AX108" i="50"/>
  <c r="L136" i="50"/>
  <c r="C164" i="50"/>
  <c r="Q217" i="50"/>
  <c r="D101" i="50"/>
  <c r="BI200" i="50"/>
  <c r="L110" i="50"/>
  <c r="DK163" i="50"/>
  <c r="EV137" i="50"/>
  <c r="DM121" i="50"/>
  <c r="E96" i="50"/>
  <c r="K81" i="50"/>
  <c r="F100" i="50"/>
  <c r="BK164" i="50"/>
  <c r="AM206" i="50"/>
  <c r="AY137" i="50"/>
  <c r="DP148" i="50"/>
  <c r="BP163" i="50"/>
  <c r="EC164" i="50"/>
  <c r="Q135" i="50"/>
  <c r="Y76" i="50"/>
  <c r="AJ98" i="50"/>
  <c r="BF124" i="50"/>
  <c r="DO192" i="50"/>
  <c r="Q103" i="50"/>
  <c r="Z166" i="50"/>
  <c r="BC85" i="50"/>
  <c r="BJ138" i="50"/>
  <c r="CB164" i="50"/>
  <c r="BM83" i="50"/>
  <c r="BF74" i="50"/>
  <c r="AL77" i="50"/>
  <c r="EA97" i="50"/>
  <c r="AK200" i="50"/>
  <c r="U122" i="50"/>
  <c r="BE185" i="50"/>
  <c r="EC90" i="50"/>
  <c r="CV205" i="50"/>
  <c r="CO221" i="50"/>
  <c r="EF101" i="50"/>
  <c r="AE76" i="50"/>
  <c r="AZ84" i="50"/>
  <c r="ES95" i="50"/>
  <c r="BL165" i="50"/>
  <c r="ET115" i="50"/>
  <c r="AM127" i="50"/>
  <c r="M132" i="50"/>
  <c r="BP104" i="50"/>
  <c r="AJ110" i="50"/>
  <c r="R126" i="50"/>
  <c r="BL100" i="50"/>
  <c r="CO168" i="50"/>
  <c r="EQ151" i="50"/>
  <c r="AA147" i="50"/>
  <c r="G95" i="50"/>
  <c r="BM120" i="50"/>
  <c r="D86" i="50"/>
  <c r="CO189" i="50"/>
  <c r="AU86" i="50"/>
  <c r="U26" i="50"/>
  <c r="EE78" i="50"/>
  <c r="CR101" i="50"/>
  <c r="BN87" i="50"/>
  <c r="BE105" i="50"/>
  <c r="DS97" i="50"/>
  <c r="G152" i="50"/>
  <c r="AB147" i="50"/>
  <c r="BA203" i="50"/>
  <c r="O222" i="50"/>
  <c r="AZ107" i="50"/>
  <c r="J223" i="50"/>
  <c r="BM93" i="50"/>
  <c r="AO100" i="50"/>
  <c r="CA87" i="50"/>
  <c r="BZ135" i="50"/>
  <c r="T191" i="50"/>
  <c r="AV126" i="50"/>
  <c r="ER124" i="50"/>
  <c r="AZ165" i="50"/>
  <c r="AB73" i="50"/>
  <c r="AS87" i="50"/>
  <c r="AU112" i="50"/>
  <c r="CB81" i="50"/>
  <c r="F82" i="50"/>
  <c r="ES98" i="50"/>
  <c r="EV89" i="50"/>
  <c r="EQ105" i="50"/>
  <c r="BK167" i="50"/>
  <c r="DJ87" i="50"/>
  <c r="AY138" i="50"/>
  <c r="R131" i="50"/>
  <c r="AE145" i="50"/>
  <c r="BJ130" i="50"/>
  <c r="F79" i="50"/>
  <c r="AR132" i="50"/>
  <c r="AO217" i="50"/>
  <c r="BO96" i="50"/>
  <c r="F221" i="50"/>
  <c r="EW124" i="50"/>
  <c r="BY108" i="50"/>
  <c r="C221" i="50"/>
  <c r="D93" i="50"/>
  <c r="DN148" i="50"/>
  <c r="H90" i="50"/>
  <c r="DQ79" i="50"/>
  <c r="CE111" i="50"/>
  <c r="EQ76" i="50"/>
  <c r="R26" i="50"/>
  <c r="AQ90" i="50"/>
  <c r="AQ94" i="50"/>
  <c r="J200" i="50"/>
  <c r="AQ119" i="50"/>
  <c r="CE190" i="50"/>
  <c r="AN219" i="50"/>
  <c r="BE74" i="50"/>
  <c r="BO117" i="50"/>
  <c r="AM115" i="50"/>
  <c r="CD163" i="50"/>
  <c r="BZ79" i="50"/>
  <c r="N202" i="50"/>
  <c r="EF119" i="50"/>
  <c r="AK121" i="50"/>
  <c r="CR138" i="50"/>
  <c r="DO126" i="50"/>
  <c r="CS152" i="50"/>
  <c r="ED118" i="50"/>
  <c r="DJ112" i="50"/>
  <c r="BO92" i="50"/>
  <c r="BZ188" i="50"/>
  <c r="N130" i="50"/>
  <c r="F92" i="50"/>
  <c r="M116" i="50"/>
  <c r="Q75" i="50"/>
  <c r="AH168" i="50"/>
  <c r="BY105" i="50"/>
  <c r="AP125" i="50"/>
  <c r="AV78" i="50"/>
  <c r="EQ189" i="50"/>
  <c r="AA111" i="50"/>
  <c r="DR100" i="50"/>
  <c r="EX136" i="50"/>
  <c r="CV184" i="50"/>
  <c r="ES113" i="50"/>
  <c r="D87" i="50"/>
  <c r="I204" i="50"/>
  <c r="DQ122" i="50"/>
  <c r="CD145" i="50"/>
  <c r="AS112" i="50"/>
  <c r="CR163" i="50"/>
  <c r="EF189" i="50"/>
  <c r="AT201" i="50"/>
  <c r="C169" i="50"/>
  <c r="EX117" i="50"/>
  <c r="AZ102" i="50"/>
  <c r="AE50" i="50"/>
  <c r="AF169" i="50"/>
  <c r="AP165" i="50"/>
  <c r="AX168" i="50"/>
  <c r="AS81" i="50"/>
  <c r="N138" i="50"/>
  <c r="AE74" i="50"/>
  <c r="AY205" i="50"/>
  <c r="T137" i="50"/>
  <c r="BQ92" i="50"/>
  <c r="BM151" i="50"/>
  <c r="CT100" i="50"/>
  <c r="AN218" i="50"/>
  <c r="BW88" i="50"/>
  <c r="BA101" i="50"/>
  <c r="DK123" i="50"/>
  <c r="V205" i="50"/>
  <c r="DJ168" i="50"/>
  <c r="CS80" i="50"/>
  <c r="DY84" i="50"/>
  <c r="EA189" i="50"/>
  <c r="AM163" i="50"/>
  <c r="BL89" i="50"/>
  <c r="EB84" i="50"/>
  <c r="BH90" i="50"/>
  <c r="AZ152" i="50"/>
  <c r="BD151" i="50"/>
  <c r="P189" i="50"/>
  <c r="AA114" i="50"/>
  <c r="X112" i="50"/>
  <c r="BO102" i="50"/>
  <c r="DM150" i="50"/>
  <c r="CV192" i="50"/>
  <c r="DZ150" i="50"/>
  <c r="AY163" i="50"/>
  <c r="AH102" i="50"/>
  <c r="AX92" i="50"/>
  <c r="DK130" i="50"/>
  <c r="H152" i="50"/>
  <c r="AC46" i="50"/>
  <c r="BO93" i="50"/>
  <c r="CD130" i="50"/>
  <c r="S52" i="50"/>
  <c r="CT96" i="50"/>
  <c r="AA75" i="50"/>
  <c r="BB90" i="50"/>
  <c r="EB151" i="50"/>
  <c r="AQ217" i="50"/>
  <c r="CD87" i="50"/>
  <c r="AV152" i="50"/>
  <c r="CQ87" i="50"/>
  <c r="ES138" i="50"/>
  <c r="E203" i="50"/>
  <c r="F85" i="50"/>
  <c r="EC221" i="50"/>
  <c r="F147" i="50"/>
  <c r="S30" i="50"/>
  <c r="BZ163" i="50"/>
  <c r="EC135" i="50"/>
  <c r="AB113" i="50"/>
  <c r="S17" i="50"/>
  <c r="V168" i="50"/>
  <c r="CP98" i="50"/>
  <c r="AV185" i="50"/>
  <c r="BF121" i="50"/>
  <c r="F190" i="50"/>
  <c r="EG223" i="50"/>
  <c r="BJ110" i="50"/>
  <c r="CC220" i="50"/>
  <c r="EV200" i="50"/>
  <c r="L103" i="50"/>
  <c r="BE90" i="50"/>
  <c r="E145" i="50"/>
  <c r="AR201" i="50"/>
  <c r="BN131" i="50"/>
  <c r="Z100" i="50"/>
  <c r="AQ103" i="50"/>
  <c r="BY76" i="50"/>
  <c r="BX127" i="50"/>
  <c r="AR221" i="50"/>
  <c r="BN148" i="50"/>
  <c r="BB133" i="50"/>
  <c r="DK78" i="50"/>
  <c r="E186" i="50"/>
  <c r="L76" i="50"/>
  <c r="DJ192" i="50"/>
  <c r="DR98" i="50"/>
  <c r="AD76" i="50"/>
  <c r="DK122" i="50"/>
  <c r="AK80" i="50"/>
  <c r="ES85" i="50"/>
  <c r="AG184" i="50"/>
  <c r="S200" i="50"/>
  <c r="W119" i="50"/>
  <c r="CV186" i="50"/>
  <c r="ET184" i="50"/>
  <c r="CA92" i="50"/>
  <c r="EG95" i="50"/>
  <c r="ET131" i="50"/>
  <c r="EA185" i="50"/>
  <c r="EV205" i="50"/>
  <c r="Z107" i="50"/>
  <c r="CT114" i="50"/>
  <c r="DK168" i="50"/>
  <c r="Z85" i="50"/>
  <c r="DQ82" i="50"/>
  <c r="E80" i="50"/>
  <c r="ED73" i="50"/>
  <c r="Y85" i="50"/>
  <c r="AD77" i="50"/>
  <c r="AH134" i="50"/>
  <c r="C97" i="50"/>
  <c r="G88" i="50"/>
  <c r="CO151" i="50"/>
  <c r="DJ111" i="50"/>
  <c r="S51" i="50"/>
  <c r="AO123" i="50"/>
  <c r="AC112" i="50"/>
  <c r="DS169" i="50"/>
  <c r="DP98" i="50"/>
  <c r="AD19" i="50"/>
  <c r="AM83" i="50"/>
  <c r="P84" i="50"/>
  <c r="O99" i="50"/>
  <c r="CU88" i="50"/>
  <c r="BH91" i="50"/>
  <c r="EQ74" i="50"/>
  <c r="CQ187" i="50"/>
  <c r="BO130" i="50"/>
  <c r="M124" i="50"/>
  <c r="CV191" i="50"/>
  <c r="P88" i="50"/>
  <c r="CE131" i="50"/>
  <c r="BF202" i="50"/>
  <c r="CO203" i="50"/>
  <c r="CP190" i="50"/>
  <c r="CD192" i="50"/>
  <c r="EW125" i="50"/>
  <c r="EQ120" i="50"/>
  <c r="CC206" i="50"/>
  <c r="BJ105" i="50"/>
  <c r="R115" i="50"/>
  <c r="J113" i="50"/>
  <c r="P149" i="50"/>
  <c r="AP132" i="50"/>
  <c r="DS133" i="50"/>
  <c r="AY167" i="50"/>
  <c r="CE82" i="50"/>
  <c r="BB125" i="50"/>
  <c r="DO100" i="50"/>
  <c r="BM137" i="50"/>
  <c r="AW147" i="50"/>
  <c r="L132" i="50"/>
  <c r="AU76" i="50"/>
  <c r="DY92" i="50"/>
  <c r="Z192" i="50"/>
  <c r="DM163" i="50"/>
  <c r="AE192" i="50"/>
  <c r="CU200" i="50"/>
  <c r="P163" i="50"/>
  <c r="AD123" i="50"/>
  <c r="BF111" i="50"/>
  <c r="AO219" i="50"/>
  <c r="R168" i="50"/>
  <c r="AJ89" i="50"/>
  <c r="U80" i="50"/>
  <c r="AZ110" i="50"/>
  <c r="CR192" i="50"/>
  <c r="CQ163" i="50"/>
  <c r="CR206" i="50"/>
  <c r="W188" i="50"/>
  <c r="AF186" i="50"/>
  <c r="J18" i="50"/>
  <c r="P188" i="50"/>
  <c r="CP151" i="50"/>
  <c r="EB222" i="50"/>
  <c r="CV164" i="50"/>
  <c r="AH111" i="50"/>
  <c r="CT83" i="50"/>
  <c r="C16" i="50"/>
  <c r="AM87" i="50"/>
  <c r="L147" i="50"/>
  <c r="EG93" i="50"/>
  <c r="AE163" i="50"/>
  <c r="BY133" i="50"/>
  <c r="DM86" i="50"/>
  <c r="Z110" i="50"/>
  <c r="AO222" i="50"/>
  <c r="R134" i="50"/>
  <c r="BD205" i="50"/>
  <c r="CO164" i="50"/>
  <c r="AQ74" i="50"/>
  <c r="BP73" i="50"/>
  <c r="AR185" i="50"/>
  <c r="CB217" i="50"/>
  <c r="CB222" i="50"/>
  <c r="BJ189" i="50"/>
  <c r="AH219" i="50"/>
  <c r="AQ73" i="50"/>
  <c r="EV186" i="50"/>
  <c r="CD78" i="50"/>
  <c r="CU150" i="50"/>
  <c r="DL98" i="50"/>
  <c r="W127" i="50"/>
  <c r="CO124" i="50"/>
  <c r="EW186" i="50"/>
  <c r="W98" i="50"/>
  <c r="X146" i="50"/>
  <c r="W218" i="50"/>
  <c r="R80" i="50"/>
  <c r="AL152" i="50"/>
  <c r="BE97" i="50"/>
  <c r="ET76" i="50"/>
  <c r="BC120" i="50"/>
  <c r="CD137" i="50"/>
  <c r="AD164" i="50"/>
  <c r="BA164" i="50"/>
  <c r="CE81" i="50"/>
  <c r="AT111" i="50"/>
  <c r="Y166" i="50"/>
  <c r="CE75" i="50"/>
  <c r="BH133" i="50"/>
  <c r="EQ147" i="50"/>
  <c r="Z10" i="26"/>
  <c r="AE79" i="50"/>
  <c r="CE122" i="50"/>
  <c r="BF132" i="50"/>
  <c r="CD119" i="50"/>
  <c r="BW149" i="50"/>
  <c r="AA117" i="50"/>
  <c r="X51" i="50"/>
  <c r="EE88" i="50"/>
  <c r="Y219" i="50"/>
  <c r="P148" i="50"/>
  <c r="C94" i="50"/>
  <c r="CB100" i="50"/>
  <c r="EA86" i="50"/>
  <c r="AK132" i="50"/>
  <c r="CT132" i="50"/>
  <c r="AV77" i="50"/>
  <c r="BN119" i="50"/>
  <c r="K199" i="50"/>
  <c r="EX200" i="50"/>
  <c r="BC125" i="50"/>
  <c r="EA130" i="50"/>
  <c r="BF149" i="50"/>
  <c r="BH118" i="50"/>
  <c r="CB138" i="50"/>
  <c r="DR74" i="50"/>
  <c r="S137" i="50"/>
  <c r="BN113" i="50"/>
  <c r="BC217" i="50"/>
  <c r="AA127" i="50"/>
  <c r="AE75" i="50"/>
  <c r="M113" i="50"/>
  <c r="G83" i="50"/>
  <c r="V125" i="50"/>
  <c r="EU124" i="50"/>
  <c r="EX74" i="50"/>
  <c r="AL150" i="50"/>
  <c r="EW151" i="50"/>
  <c r="AW166" i="50"/>
  <c r="DQ137" i="50"/>
  <c r="AT147" i="50"/>
  <c r="L223" i="50"/>
  <c r="AG222" i="50"/>
  <c r="BC164" i="50"/>
  <c r="BD86" i="50"/>
  <c r="EU135" i="50"/>
  <c r="CR98" i="50"/>
  <c r="AF19" i="50"/>
  <c r="E109" i="50"/>
  <c r="T119" i="50"/>
  <c r="U132" i="50"/>
  <c r="EC124" i="50"/>
  <c r="BO163" i="50"/>
  <c r="AI126" i="50"/>
  <c r="Z204" i="50"/>
  <c r="CS222" i="50"/>
  <c r="BH85" i="50"/>
  <c r="AU218" i="50"/>
  <c r="EX99" i="50"/>
  <c r="EF135" i="50"/>
  <c r="CE218" i="50"/>
  <c r="BE101" i="50"/>
  <c r="CQ169" i="50"/>
  <c r="N118" i="50"/>
  <c r="Z28" i="50"/>
  <c r="BI98" i="50"/>
  <c r="AH100" i="50"/>
  <c r="I138" i="50"/>
  <c r="M81" i="50"/>
  <c r="V192" i="50"/>
  <c r="CQ79" i="50"/>
  <c r="EB114" i="50"/>
  <c r="T14" i="50"/>
  <c r="BH125" i="50"/>
  <c r="AD131" i="50"/>
  <c r="EQ126" i="50"/>
  <c r="Z184" i="50"/>
  <c r="AX100" i="50"/>
  <c r="H190" i="50"/>
  <c r="Z102" i="50"/>
  <c r="ER192" i="50"/>
  <c r="BK135" i="50"/>
  <c r="EQ110" i="50"/>
  <c r="BD136" i="50"/>
  <c r="AI86" i="50"/>
  <c r="DQ186" i="50"/>
  <c r="EF117" i="50"/>
  <c r="F138" i="50"/>
  <c r="AZ126" i="50"/>
  <c r="BL101" i="50"/>
  <c r="EW74" i="50"/>
  <c r="EW89" i="50"/>
  <c r="DO79" i="50"/>
  <c r="W133" i="50"/>
  <c r="CP146" i="50"/>
  <c r="ED200" i="50"/>
  <c r="AS150" i="50"/>
  <c r="DZ152" i="50"/>
  <c r="CE168" i="50"/>
  <c r="AV117" i="50"/>
  <c r="DR113" i="50"/>
  <c r="CE201" i="50"/>
  <c r="CR102" i="50"/>
  <c r="M123" i="50"/>
  <c r="AC201" i="50"/>
  <c r="BC109" i="50"/>
  <c r="BW150" i="50"/>
  <c r="ES132" i="50"/>
  <c r="CV94" i="50"/>
  <c r="P104" i="50"/>
  <c r="AM164" i="50"/>
  <c r="AK169" i="50"/>
  <c r="CB120" i="50"/>
  <c r="AC100" i="50"/>
  <c r="DS120" i="50"/>
  <c r="CU84" i="50"/>
  <c r="K127" i="50"/>
  <c r="CC74" i="50"/>
  <c r="EU203" i="50"/>
  <c r="DK106" i="50"/>
  <c r="I219" i="50"/>
  <c r="DZ85" i="50"/>
  <c r="BY168" i="50"/>
  <c r="BC84" i="50"/>
  <c r="AM114" i="50"/>
  <c r="AS146" i="50"/>
  <c r="AW81" i="50"/>
  <c r="AC164" i="50"/>
  <c r="DO109" i="50"/>
  <c r="V90" i="50"/>
  <c r="AE121" i="50"/>
  <c r="EG74" i="50"/>
  <c r="EQ203" i="50"/>
  <c r="AL132" i="50"/>
  <c r="AD96" i="50"/>
  <c r="EU168" i="50"/>
  <c r="AN97" i="50"/>
  <c r="ET164" i="50"/>
  <c r="CD123" i="50"/>
  <c r="BN205" i="50"/>
  <c r="BE134" i="50"/>
  <c r="BY85" i="50"/>
  <c r="AJ16" i="50"/>
  <c r="CO184" i="50"/>
  <c r="E133" i="50"/>
  <c r="DJ85" i="50"/>
  <c r="BZ150" i="50"/>
  <c r="CP92" i="50"/>
  <c r="EQ133" i="50"/>
  <c r="AZ116" i="50"/>
  <c r="AQ221" i="50"/>
  <c r="BW100" i="50"/>
  <c r="BY84" i="50"/>
  <c r="BA192" i="50"/>
  <c r="EQ217" i="50"/>
  <c r="ET168" i="50"/>
  <c r="AD100" i="50"/>
  <c r="EA164" i="50"/>
  <c r="W93" i="50"/>
  <c r="AN192" i="50"/>
  <c r="AI192" i="50"/>
  <c r="BE100" i="50"/>
  <c r="BY127" i="50"/>
  <c r="CU76" i="50"/>
  <c r="X169" i="50"/>
  <c r="AO149" i="50"/>
  <c r="L85" i="50"/>
  <c r="AM148" i="50"/>
  <c r="EG98" i="50"/>
  <c r="O77" i="50"/>
  <c r="BA147" i="50"/>
  <c r="EC132" i="50"/>
  <c r="AH145" i="50"/>
  <c r="V55" i="50"/>
  <c r="X191" i="50"/>
  <c r="C89" i="50"/>
  <c r="DK201" i="50"/>
  <c r="ED96" i="50"/>
  <c r="EQ119" i="50"/>
  <c r="DZ113" i="50"/>
  <c r="AU164" i="50"/>
  <c r="L169" i="50"/>
  <c r="EX86" i="50"/>
  <c r="N95" i="50"/>
  <c r="DM124" i="50"/>
  <c r="DN91" i="50"/>
  <c r="AG132" i="50"/>
  <c r="EX192" i="50"/>
  <c r="DN86" i="50"/>
  <c r="D184" i="50"/>
  <c r="AU203" i="50"/>
  <c r="X83" i="50"/>
  <c r="G218" i="50"/>
  <c r="AE57" i="50"/>
  <c r="M126" i="50"/>
  <c r="EU81" i="50"/>
  <c r="AX102" i="50"/>
  <c r="AD23" i="50"/>
  <c r="AP221" i="50"/>
  <c r="X90" i="50"/>
  <c r="AS125" i="50"/>
  <c r="DO80" i="50"/>
  <c r="CQ191" i="50"/>
  <c r="BP99" i="50"/>
  <c r="EQ115" i="50"/>
  <c r="BJ82" i="50"/>
  <c r="AY169" i="50"/>
  <c r="BP95" i="50"/>
  <c r="EG121" i="50"/>
  <c r="EQ130" i="50"/>
  <c r="DR200" i="50"/>
  <c r="ER121" i="50"/>
  <c r="W122" i="50"/>
  <c r="BM123" i="50"/>
  <c r="BO101" i="50"/>
  <c r="DR206" i="50"/>
  <c r="DN119" i="50"/>
  <c r="BP100" i="50"/>
  <c r="AZ186" i="50"/>
  <c r="AE200" i="50"/>
  <c r="EF86" i="50"/>
  <c r="E135" i="50"/>
  <c r="Y102" i="50"/>
  <c r="AF130" i="50"/>
  <c r="CT152" i="50"/>
  <c r="D18" i="50"/>
  <c r="EQ80" i="50"/>
  <c r="T152" i="50"/>
  <c r="F101" i="50"/>
  <c r="I125" i="50"/>
  <c r="DR122" i="50"/>
  <c r="BO168" i="50"/>
  <c r="EC201" i="50"/>
  <c r="CV136" i="50"/>
  <c r="CE102" i="50"/>
  <c r="BO147" i="50"/>
  <c r="BO185" i="50"/>
  <c r="O130" i="50"/>
  <c r="EW102" i="50"/>
  <c r="BJ167" i="50"/>
  <c r="DK79" i="50"/>
  <c r="AR111" i="50"/>
  <c r="EC95" i="50"/>
  <c r="DR218" i="50"/>
  <c r="Z109" i="50"/>
  <c r="DS186" i="50"/>
  <c r="CU186" i="50"/>
  <c r="W79" i="50"/>
  <c r="BE118" i="50"/>
  <c r="G191" i="50"/>
  <c r="BE205" i="50"/>
  <c r="F123" i="50"/>
  <c r="AS187" i="50"/>
  <c r="EW167" i="50"/>
  <c r="ED110" i="50"/>
  <c r="EU99" i="50"/>
  <c r="ED202" i="50"/>
  <c r="C76" i="50"/>
  <c r="CB148" i="50"/>
  <c r="E98" i="50"/>
  <c r="AI84" i="50"/>
  <c r="EQ148" i="50"/>
  <c r="BA92" i="50"/>
  <c r="U109" i="50"/>
  <c r="F163" i="50"/>
  <c r="Z163" i="50"/>
  <c r="EX81" i="50"/>
  <c r="N187" i="50"/>
  <c r="I131" i="50"/>
  <c r="EX79" i="50"/>
  <c r="DP111" i="50"/>
  <c r="H74" i="50"/>
  <c r="Z54" i="50"/>
  <c r="Z189" i="50"/>
  <c r="AN222" i="50"/>
  <c r="DK206" i="50"/>
  <c r="AV101" i="50"/>
  <c r="AJ23" i="50"/>
  <c r="BO136" i="50"/>
  <c r="EB169" i="50"/>
  <c r="AS111" i="50"/>
  <c r="ED90" i="50"/>
  <c r="AB92" i="50"/>
  <c r="AX126" i="50"/>
  <c r="DM137" i="50"/>
  <c r="CB105" i="50"/>
  <c r="AY200" i="50"/>
  <c r="BP192" i="50"/>
  <c r="AL79" i="50"/>
  <c r="BK126" i="50"/>
  <c r="DL103" i="50"/>
  <c r="AM112" i="50"/>
  <c r="F150" i="50"/>
  <c r="CC152" i="50"/>
  <c r="AM118" i="50"/>
  <c r="BI223" i="50"/>
  <c r="AN85" i="50"/>
  <c r="DZ123" i="50"/>
  <c r="BA152" i="50"/>
  <c r="AL163" i="50"/>
  <c r="Z19" i="50"/>
  <c r="AB36" i="50"/>
  <c r="DR96" i="50"/>
  <c r="AL121" i="50"/>
  <c r="Y184" i="50"/>
  <c r="AZ124" i="50"/>
  <c r="AC106" i="50"/>
  <c r="CD202" i="50"/>
  <c r="CT223" i="50"/>
  <c r="BZ166" i="50"/>
  <c r="BA219" i="50"/>
  <c r="K168" i="50"/>
  <c r="BP115" i="50"/>
  <c r="EV187" i="50"/>
  <c r="AH82" i="50"/>
  <c r="AP84" i="50"/>
  <c r="BQ204" i="50"/>
  <c r="DM189" i="50"/>
  <c r="AC122" i="50"/>
  <c r="AD133" i="50"/>
  <c r="CQ205" i="50"/>
  <c r="F18" i="50"/>
  <c r="E91" i="50"/>
  <c r="E222" i="50"/>
  <c r="X53" i="50"/>
  <c r="BE89" i="50"/>
  <c r="DM84" i="50"/>
  <c r="CV200" i="50"/>
  <c r="L190" i="50"/>
  <c r="AR192" i="50"/>
  <c r="EW201" i="50"/>
  <c r="BP191" i="50"/>
  <c r="EC74" i="50"/>
  <c r="BK101" i="50"/>
  <c r="DM107" i="50"/>
  <c r="U90" i="50"/>
  <c r="BP149" i="50"/>
  <c r="Y45" i="50"/>
  <c r="S15" i="50"/>
  <c r="CT124" i="50"/>
  <c r="U124" i="50"/>
  <c r="BN149" i="50"/>
  <c r="EU164" i="50"/>
  <c r="EE168" i="50"/>
  <c r="H202" i="50"/>
  <c r="DK164" i="50"/>
  <c r="CR223" i="50"/>
  <c r="BX87" i="50"/>
  <c r="AR149" i="50"/>
  <c r="AK138" i="50"/>
  <c r="U47" i="50"/>
  <c r="CE146" i="50"/>
  <c r="AL15" i="50"/>
  <c r="BH116" i="50"/>
  <c r="DQ96" i="50"/>
  <c r="EC151" i="50"/>
  <c r="AT145" i="50"/>
  <c r="EU110" i="50"/>
  <c r="I117" i="50"/>
  <c r="BZ103" i="50"/>
  <c r="BJ79" i="50"/>
  <c r="V149" i="50"/>
  <c r="EE113" i="50"/>
  <c r="DO205" i="50"/>
  <c r="AN191" i="50"/>
  <c r="P192" i="50"/>
  <c r="AD87" i="50"/>
  <c r="AV149" i="50"/>
  <c r="CC163" i="50"/>
  <c r="DZ168" i="50"/>
  <c r="AQ218" i="50"/>
  <c r="AA44" i="50"/>
  <c r="DK120" i="50"/>
  <c r="EE165" i="50"/>
  <c r="BH117" i="50"/>
  <c r="BO103" i="50"/>
  <c r="EC118" i="50"/>
  <c r="ED168" i="50"/>
  <c r="DM135" i="50"/>
  <c r="CU124" i="50"/>
  <c r="O115" i="50"/>
  <c r="DP188" i="50"/>
  <c r="BA132" i="50"/>
  <c r="BE73" i="50"/>
  <c r="F148" i="50"/>
  <c r="DL134" i="50"/>
  <c r="AU187" i="50"/>
  <c r="BB110" i="50"/>
  <c r="BN84" i="50"/>
  <c r="EB125" i="50"/>
  <c r="CT149" i="50"/>
  <c r="DM79" i="50"/>
  <c r="DY192" i="50"/>
  <c r="H134" i="50"/>
  <c r="AL84" i="50"/>
  <c r="M76" i="50"/>
  <c r="BB150" i="50"/>
  <c r="U53" i="50"/>
  <c r="Z119" i="50"/>
  <c r="T22" i="50"/>
  <c r="BL223" i="50"/>
  <c r="AL110" i="50"/>
  <c r="J14" i="50"/>
  <c r="CQ77" i="50"/>
  <c r="CQ76" i="50"/>
  <c r="BN108" i="50"/>
  <c r="Q101" i="50"/>
  <c r="S120" i="50"/>
  <c r="AB81" i="50"/>
  <c r="K150" i="50"/>
  <c r="BF106" i="50"/>
  <c r="G117" i="50"/>
  <c r="ES131" i="50"/>
  <c r="Q98" i="50"/>
  <c r="AJ119" i="50"/>
  <c r="AG74" i="50"/>
  <c r="DL164" i="50"/>
  <c r="AS83" i="50"/>
  <c r="EB122" i="50"/>
  <c r="ED163" i="50"/>
  <c r="DN220" i="50"/>
  <c r="CU86" i="50"/>
  <c r="BY90" i="50"/>
  <c r="BN76" i="50"/>
  <c r="BO199" i="50"/>
  <c r="DY94" i="50"/>
  <c r="ER205" i="50"/>
  <c r="DQ206" i="50"/>
  <c r="CD168" i="50"/>
  <c r="DY85" i="50"/>
  <c r="X124" i="50"/>
  <c r="EA95" i="50"/>
  <c r="CS138" i="50"/>
  <c r="AW169" i="50"/>
  <c r="J168" i="50"/>
  <c r="L119" i="50"/>
  <c r="AB100" i="50"/>
  <c r="Y114" i="50"/>
  <c r="CD164" i="50"/>
  <c r="BN166" i="50"/>
  <c r="EG199" i="50"/>
  <c r="CQ88" i="50"/>
  <c r="BQ166" i="50"/>
  <c r="R90" i="50"/>
  <c r="BF137" i="50"/>
  <c r="G219" i="50"/>
  <c r="BK105" i="50"/>
  <c r="AV190" i="50"/>
  <c r="D121" i="50"/>
  <c r="M110" i="50"/>
  <c r="C19" i="50"/>
  <c r="DS105" i="50"/>
  <c r="CU114" i="50"/>
  <c r="CV107" i="50"/>
  <c r="E121" i="50"/>
  <c r="H167" i="50"/>
  <c r="ES102" i="50"/>
  <c r="C25" i="50"/>
  <c r="T134" i="50"/>
  <c r="EF205" i="50"/>
  <c r="ED99" i="50"/>
  <c r="CB97" i="50"/>
  <c r="EB91" i="50"/>
  <c r="U222" i="50"/>
  <c r="BZ95" i="50"/>
  <c r="AA201" i="50"/>
  <c r="AA45" i="50"/>
  <c r="CD85" i="50"/>
  <c r="J73" i="50"/>
  <c r="EQ82" i="50"/>
  <c r="DN168" i="50"/>
  <c r="AZ138" i="50"/>
  <c r="CD112" i="50"/>
  <c r="BF80" i="50"/>
  <c r="BB73" i="50"/>
  <c r="CT81" i="50"/>
  <c r="BE76" i="50"/>
  <c r="AH30" i="50"/>
  <c r="BE151" i="50"/>
  <c r="BZ152" i="50"/>
  <c r="AX112" i="50"/>
  <c r="CE113" i="50"/>
  <c r="CD99" i="50"/>
  <c r="CU87" i="50"/>
  <c r="DJ116" i="50"/>
  <c r="AB202" i="50"/>
  <c r="BK200" i="50"/>
  <c r="EW87" i="50"/>
  <c r="Q126" i="50"/>
  <c r="BY149" i="50"/>
  <c r="BK130" i="50"/>
  <c r="AI80" i="50"/>
  <c r="CC148" i="50"/>
  <c r="M25" i="50"/>
  <c r="BE202" i="50"/>
  <c r="AA125" i="50"/>
  <c r="CV86" i="50"/>
  <c r="EA73" i="50"/>
  <c r="L148" i="50"/>
  <c r="EF83" i="50"/>
  <c r="DJ189" i="50"/>
  <c r="AX189" i="50"/>
  <c r="BJ149" i="50"/>
  <c r="AK221" i="50"/>
  <c r="D200" i="50"/>
  <c r="V84" i="50"/>
  <c r="BP93" i="50"/>
  <c r="ES77" i="50"/>
  <c r="CB205" i="50"/>
  <c r="BF95" i="50"/>
  <c r="U205" i="50"/>
  <c r="EA206" i="50"/>
  <c r="O186" i="50"/>
  <c r="EX130" i="50"/>
  <c r="BN90" i="50"/>
  <c r="CB91" i="50"/>
  <c r="CT104" i="50"/>
  <c r="AZ122" i="50"/>
  <c r="BD77" i="50"/>
  <c r="AP126" i="50"/>
  <c r="AD201" i="50"/>
  <c r="CE120" i="50"/>
  <c r="BY119" i="50"/>
  <c r="AZ99" i="50"/>
  <c r="EX127" i="50"/>
  <c r="S125" i="50"/>
  <c r="CE205" i="50"/>
  <c r="BC152" i="50"/>
  <c r="AH15" i="50"/>
  <c r="EC163" i="50"/>
  <c r="BM203" i="50"/>
  <c r="AQ184" i="50"/>
  <c r="DP104" i="50"/>
  <c r="AD22" i="50"/>
  <c r="BW117" i="50"/>
  <c r="ER132" i="50"/>
  <c r="AI114" i="50"/>
  <c r="DR221" i="50"/>
  <c r="CV165" i="50"/>
  <c r="AR90" i="50"/>
  <c r="DO206" i="50"/>
  <c r="AH192" i="50"/>
  <c r="S123" i="50"/>
  <c r="AR163" i="50"/>
  <c r="K18" i="50"/>
  <c r="AX203" i="50"/>
  <c r="F114" i="50"/>
  <c r="ER100" i="50"/>
  <c r="CV119" i="50"/>
  <c r="E32" i="50"/>
  <c r="EE115" i="50"/>
  <c r="BK201" i="50"/>
  <c r="AG92" i="50"/>
  <c r="BP148" i="50"/>
  <c r="BI147" i="50"/>
  <c r="AJ130" i="50"/>
  <c r="DS81" i="50"/>
  <c r="EV145" i="50"/>
  <c r="DP76" i="50"/>
  <c r="BN184" i="50"/>
  <c r="DQ202" i="50"/>
  <c r="AE90" i="50"/>
  <c r="Z108" i="50"/>
  <c r="EE76" i="50"/>
  <c r="EV148" i="50"/>
  <c r="AG102" i="50"/>
  <c r="EX73" i="50"/>
  <c r="AV112" i="50"/>
  <c r="AY123" i="50"/>
  <c r="DR169" i="50"/>
  <c r="AB20" i="50"/>
  <c r="Z104" i="50"/>
  <c r="EF92" i="50"/>
  <c r="DN130" i="50"/>
  <c r="O109" i="50"/>
  <c r="X115" i="50"/>
  <c r="AS76" i="50"/>
  <c r="DJ164" i="50"/>
  <c r="AR114" i="50"/>
  <c r="O84" i="50"/>
  <c r="BP80" i="50"/>
  <c r="AE138" i="50"/>
  <c r="E23" i="50"/>
  <c r="AD99" i="50"/>
  <c r="AW135" i="50"/>
  <c r="X36" i="50"/>
  <c r="DY135" i="50"/>
  <c r="R107" i="50"/>
  <c r="CA223" i="50"/>
  <c r="CV169" i="50"/>
  <c r="C74" i="50"/>
  <c r="W165" i="50"/>
  <c r="BH92" i="50"/>
  <c r="AW137" i="50"/>
  <c r="X14" i="50"/>
  <c r="ET95" i="50"/>
  <c r="BZ88" i="50"/>
  <c r="AK102" i="50"/>
  <c r="EC84" i="50"/>
  <c r="AW94" i="50"/>
  <c r="ET163" i="50"/>
  <c r="W92" i="50"/>
  <c r="EB78" i="50"/>
  <c r="CQ204" i="50"/>
  <c r="P138" i="50"/>
  <c r="EX108" i="50"/>
  <c r="AD206" i="50"/>
  <c r="AN217" i="50"/>
  <c r="EW101" i="50"/>
  <c r="DN92" i="50"/>
  <c r="T202" i="50"/>
  <c r="EC117" i="50"/>
  <c r="BJ133" i="50"/>
  <c r="O184" i="50"/>
  <c r="CE186" i="50"/>
  <c r="BI186" i="50"/>
  <c r="EB132" i="50"/>
  <c r="AO90" i="50"/>
  <c r="EX168" i="50"/>
  <c r="DK205" i="50"/>
  <c r="BQ151" i="50"/>
  <c r="BP106" i="50"/>
  <c r="AQ133" i="50"/>
  <c r="Y188" i="50"/>
  <c r="CE91" i="50"/>
  <c r="AF167" i="50"/>
  <c r="AK126" i="50"/>
  <c r="BD126" i="50"/>
  <c r="EC149" i="50"/>
  <c r="AR122" i="50"/>
  <c r="CC150" i="50"/>
  <c r="AC95" i="50"/>
  <c r="BE119" i="50"/>
  <c r="CE148" i="50"/>
  <c r="BK190" i="50"/>
  <c r="DY168" i="50"/>
  <c r="BQ205" i="50"/>
  <c r="F105" i="50"/>
  <c r="ES206" i="50"/>
  <c r="G80" i="50"/>
  <c r="P125" i="50"/>
  <c r="DR189" i="50"/>
  <c r="AK74" i="50"/>
  <c r="AP99" i="50"/>
  <c r="BQ168" i="50"/>
  <c r="AN90" i="50"/>
  <c r="AV150" i="50"/>
  <c r="AX84" i="50"/>
  <c r="CR119" i="50"/>
  <c r="CA201" i="50"/>
  <c r="AF148" i="50"/>
  <c r="BW204" i="50"/>
  <c r="BW113" i="50"/>
  <c r="Y78" i="50"/>
  <c r="EG185" i="50"/>
  <c r="V54" i="50"/>
  <c r="BE203" i="50"/>
  <c r="AD113" i="50"/>
  <c r="BW82" i="50"/>
  <c r="D188" i="50"/>
  <c r="BN137" i="50"/>
  <c r="DS100" i="50"/>
  <c r="BE81" i="50"/>
  <c r="AQ191" i="50"/>
  <c r="ER221" i="50"/>
  <c r="BA115" i="50"/>
  <c r="AC218" i="50"/>
  <c r="EG152" i="50"/>
  <c r="D220" i="50"/>
  <c r="ET124" i="50"/>
  <c r="DZ116" i="50"/>
  <c r="N146" i="50"/>
  <c r="D151" i="50"/>
  <c r="D30" i="50"/>
  <c r="F165" i="50"/>
  <c r="Y28" i="50"/>
  <c r="DK96" i="50"/>
  <c r="BM127" i="50"/>
  <c r="AT119" i="50"/>
  <c r="BM124" i="50"/>
  <c r="AE130" i="50"/>
  <c r="AJ94" i="50"/>
  <c r="F223" i="50"/>
  <c r="AB146" i="50"/>
  <c r="AW121" i="50"/>
  <c r="CD122" i="50"/>
  <c r="EG137" i="50"/>
  <c r="BX81" i="50"/>
  <c r="Y150" i="50"/>
  <c r="N73" i="50"/>
  <c r="BZ76" i="50"/>
  <c r="DO121" i="50"/>
  <c r="AJ36" i="50"/>
  <c r="AF149" i="50"/>
  <c r="BQ85" i="50"/>
  <c r="AM131" i="50"/>
  <c r="AS219" i="50"/>
  <c r="EB184" i="50"/>
  <c r="W222" i="50"/>
  <c r="ET148" i="50"/>
  <c r="DQ204" i="50"/>
  <c r="AA76" i="50"/>
  <c r="D148" i="50"/>
  <c r="M136" i="50"/>
  <c r="EW218" i="50"/>
  <c r="AW150" i="50"/>
  <c r="EA167" i="50"/>
  <c r="ET133" i="50"/>
  <c r="DQ102" i="50"/>
  <c r="T73" i="50"/>
  <c r="EW132" i="50"/>
  <c r="X54" i="50"/>
  <c r="BD218" i="50"/>
  <c r="ES137" i="50"/>
  <c r="Z206" i="50"/>
  <c r="BI124" i="50"/>
  <c r="BB163" i="50"/>
  <c r="H151" i="50"/>
  <c r="G98" i="50"/>
  <c r="DS148" i="50"/>
  <c r="DN206" i="50"/>
  <c r="AI151" i="50"/>
  <c r="X200" i="50"/>
  <c r="BY111" i="50"/>
  <c r="C131" i="50"/>
  <c r="CS132" i="50"/>
  <c r="AK206" i="50"/>
  <c r="AN167" i="50"/>
  <c r="F32" i="50"/>
  <c r="EU95" i="50"/>
  <c r="EW91" i="50"/>
  <c r="AM81" i="50"/>
  <c r="AP121" i="50"/>
  <c r="CO93" i="50"/>
  <c r="BX120" i="50"/>
  <c r="ET120" i="50"/>
  <c r="ES221" i="50"/>
  <c r="AQ88" i="50"/>
  <c r="J125" i="50"/>
  <c r="BB98" i="50"/>
  <c r="Z117" i="50"/>
  <c r="BB202" i="50"/>
  <c r="AV138" i="50"/>
  <c r="BJ124" i="50"/>
  <c r="G151" i="50"/>
  <c r="Q132" i="50"/>
  <c r="BH119" i="50"/>
  <c r="X94" i="50"/>
  <c r="X93" i="50"/>
  <c r="EF88" i="50"/>
  <c r="DQ98" i="50"/>
  <c r="CD73" i="50"/>
  <c r="CV91" i="50"/>
  <c r="H166" i="50"/>
  <c r="ER184" i="50"/>
  <c r="BZ119" i="50"/>
  <c r="I205" i="50"/>
  <c r="AD121" i="50"/>
  <c r="BF166" i="50"/>
  <c r="AO190" i="50"/>
  <c r="DJ138" i="50"/>
  <c r="DY95" i="50"/>
  <c r="N168" i="50"/>
  <c r="H111" i="50"/>
  <c r="CE90" i="50"/>
  <c r="EX114" i="50"/>
  <c r="AQ166" i="50"/>
  <c r="EV136" i="50"/>
  <c r="BJ107" i="50"/>
  <c r="BI201" i="50"/>
  <c r="DK125" i="50"/>
  <c r="EU187" i="50"/>
  <c r="BL134" i="50"/>
  <c r="AF47" i="50"/>
  <c r="DQ147" i="50"/>
  <c r="AX221" i="50"/>
  <c r="AG124" i="50"/>
  <c r="BI123" i="50"/>
  <c r="DY105" i="50"/>
  <c r="V77" i="50"/>
  <c r="T86" i="50"/>
  <c r="G127" i="50"/>
  <c r="DR184" i="50"/>
  <c r="BQ79" i="50"/>
  <c r="Q192" i="50"/>
  <c r="AI190" i="50"/>
  <c r="AK152" i="50"/>
  <c r="BF136" i="50"/>
  <c r="BB137" i="50"/>
  <c r="AK192" i="50"/>
  <c r="CV203" i="50"/>
  <c r="DM200" i="50"/>
  <c r="W56" i="50"/>
  <c r="DQ187" i="50"/>
  <c r="CE105" i="50"/>
  <c r="AD53" i="50"/>
  <c r="BZ222" i="50"/>
  <c r="D19" i="50"/>
  <c r="AB11" i="26"/>
  <c r="DO76" i="50"/>
  <c r="BH222" i="50"/>
  <c r="DY121" i="50"/>
  <c r="P92" i="50"/>
  <c r="J145" i="50"/>
  <c r="CE121" i="50"/>
  <c r="AX95" i="50"/>
  <c r="W203" i="50"/>
  <c r="BJ109" i="50"/>
  <c r="BM204" i="50"/>
  <c r="CS126" i="50"/>
  <c r="AV166" i="50"/>
  <c r="CE136" i="50"/>
  <c r="AK124" i="50"/>
  <c r="EF133" i="50"/>
  <c r="EQ136" i="50"/>
  <c r="DS189" i="50"/>
  <c r="M187" i="50"/>
  <c r="BD85" i="50"/>
  <c r="BI149" i="50"/>
  <c r="ES105" i="50"/>
  <c r="C133" i="50"/>
  <c r="AG164" i="50"/>
  <c r="AN106" i="50"/>
  <c r="EG188" i="50"/>
  <c r="BF169" i="50"/>
  <c r="DK221" i="50"/>
  <c r="BX85" i="50"/>
  <c r="AA9" i="26"/>
  <c r="CR221" i="50"/>
  <c r="BZ110" i="50"/>
  <c r="AU100" i="50"/>
  <c r="DL219" i="50"/>
  <c r="BJ135" i="50"/>
  <c r="BC136" i="50"/>
  <c r="CS147" i="50"/>
  <c r="EW126" i="50"/>
  <c r="AF91" i="50"/>
  <c r="BL109" i="50"/>
  <c r="AK164" i="50"/>
  <c r="S18" i="50"/>
  <c r="DR101" i="50"/>
  <c r="AE137" i="50"/>
  <c r="DM132" i="50"/>
  <c r="EG149" i="50"/>
  <c r="BY147" i="50"/>
  <c r="N221" i="50"/>
  <c r="CD190" i="50"/>
  <c r="AN98" i="50"/>
  <c r="ES190" i="50"/>
  <c r="AV93" i="50"/>
  <c r="AW96" i="50"/>
  <c r="DN145" i="50"/>
  <c r="DP125" i="50"/>
  <c r="AN206" i="50"/>
  <c r="DM113" i="50"/>
  <c r="AB80" i="50"/>
  <c r="AB94" i="50"/>
  <c r="DZ127" i="50"/>
  <c r="AS200" i="50"/>
  <c r="P165" i="50"/>
  <c r="D163" i="50"/>
  <c r="BB184" i="50"/>
  <c r="G90" i="50"/>
  <c r="EA114" i="50"/>
  <c r="EX126" i="50"/>
  <c r="AB200" i="50"/>
  <c r="AK107" i="50"/>
  <c r="DO186" i="50"/>
  <c r="AP98" i="50"/>
  <c r="BK148" i="50"/>
  <c r="BW223" i="50"/>
  <c r="V100" i="50"/>
  <c r="DO78" i="50"/>
  <c r="CU147" i="50"/>
  <c r="AR131" i="50"/>
  <c r="EX75" i="50"/>
  <c r="BP150" i="50"/>
  <c r="V117" i="50"/>
  <c r="G15" i="50"/>
  <c r="DM101" i="50"/>
  <c r="BP203" i="50"/>
  <c r="AL118" i="50"/>
  <c r="AS100" i="50"/>
  <c r="CR220" i="50"/>
  <c r="CO201" i="50"/>
  <c r="BP76" i="50"/>
  <c r="DM168" i="50"/>
  <c r="EB200" i="50"/>
  <c r="EX97" i="50"/>
  <c r="BO116" i="50"/>
  <c r="CV150" i="50"/>
  <c r="AO206" i="50"/>
  <c r="S119" i="50"/>
  <c r="X221" i="50"/>
  <c r="U110" i="50"/>
  <c r="AP122" i="50"/>
  <c r="DO223" i="50"/>
  <c r="BB84" i="50"/>
  <c r="AA202" i="50"/>
  <c r="V49" i="50"/>
  <c r="BC222" i="50"/>
  <c r="CC151" i="50"/>
  <c r="AG112" i="50"/>
  <c r="G23" i="50"/>
  <c r="J199" i="50"/>
  <c r="AF101" i="50"/>
  <c r="N122" i="50"/>
  <c r="DJ223" i="50"/>
  <c r="W54" i="50"/>
  <c r="BZ151" i="50"/>
  <c r="DS217" i="50"/>
  <c r="AF190" i="50"/>
  <c r="DM164" i="50"/>
  <c r="CP131" i="50"/>
  <c r="CU97" i="50"/>
  <c r="Z80" i="50"/>
  <c r="CU136" i="50"/>
  <c r="BC114" i="50"/>
  <c r="X223" i="50"/>
  <c r="AF99" i="50"/>
  <c r="U78" i="50"/>
  <c r="DK93" i="50"/>
  <c r="AI93" i="50"/>
  <c r="DR94" i="50"/>
  <c r="BY203" i="50"/>
  <c r="AC103" i="50"/>
  <c r="AN151" i="50"/>
  <c r="C150" i="50"/>
  <c r="AF165" i="50"/>
  <c r="CE124" i="50"/>
  <c r="BK97" i="50"/>
  <c r="W137" i="50"/>
  <c r="EV192" i="50"/>
  <c r="BF145" i="50"/>
  <c r="AD73" i="50"/>
  <c r="CE223" i="50"/>
  <c r="EQ132" i="50"/>
  <c r="EB185" i="50"/>
  <c r="W101" i="50"/>
  <c r="AP110" i="50"/>
  <c r="Y15" i="50"/>
  <c r="ED148" i="50"/>
  <c r="DZ102" i="50"/>
  <c r="EX219" i="50"/>
  <c r="EB165" i="50"/>
  <c r="BK168" i="50"/>
  <c r="X219" i="50"/>
  <c r="ET137" i="50"/>
  <c r="DO148" i="50"/>
  <c r="CS167" i="50"/>
  <c r="D185" i="50"/>
  <c r="AD185" i="50"/>
  <c r="W45" i="50"/>
  <c r="AA87" i="50"/>
  <c r="BF96" i="50"/>
  <c r="Z90" i="50"/>
  <c r="C77" i="50"/>
  <c r="EB206" i="50"/>
  <c r="BX138" i="50"/>
  <c r="CE94" i="50"/>
  <c r="EG101" i="50"/>
  <c r="DP78" i="50"/>
  <c r="BP110" i="50"/>
  <c r="EU165" i="50"/>
  <c r="I25" i="50"/>
  <c r="EC150" i="50"/>
  <c r="AH137" i="50"/>
  <c r="DS163" i="50"/>
  <c r="AI149" i="50"/>
  <c r="CA116" i="50"/>
  <c r="BI168" i="50"/>
  <c r="BH101" i="50"/>
  <c r="BN97" i="50"/>
  <c r="AM135" i="50"/>
  <c r="BI76" i="50"/>
  <c r="AH113" i="50"/>
  <c r="BX147" i="50"/>
  <c r="W148" i="50"/>
  <c r="CP90" i="50"/>
  <c r="CD91" i="50"/>
  <c r="EA101" i="50"/>
  <c r="BO81" i="50"/>
  <c r="ES121" i="50"/>
  <c r="CP89" i="50"/>
  <c r="AX169" i="50"/>
  <c r="O88" i="50"/>
  <c r="EA150" i="50"/>
  <c r="AE125" i="50"/>
  <c r="R32" i="50"/>
  <c r="BN223" i="50"/>
  <c r="Z84" i="50"/>
  <c r="CD120" i="50"/>
  <c r="CE206" i="50"/>
  <c r="ED94" i="50"/>
  <c r="BP116" i="50"/>
  <c r="CS220" i="50"/>
  <c r="AS169" i="50"/>
  <c r="E82" i="50"/>
  <c r="DZ151" i="50"/>
  <c r="EW190" i="50"/>
  <c r="F199" i="50"/>
  <c r="BE83" i="50"/>
  <c r="DO113" i="50"/>
  <c r="Z219" i="50"/>
  <c r="C222" i="50"/>
  <c r="ER84" i="50"/>
  <c r="AC138" i="50"/>
  <c r="EE138" i="50"/>
  <c r="AR205" i="50"/>
  <c r="ER217" i="50"/>
  <c r="CE88" i="50"/>
  <c r="Z168" i="50"/>
  <c r="E150" i="50"/>
  <c r="AK151" i="50"/>
  <c r="EA90" i="50"/>
  <c r="AU101" i="50"/>
  <c r="AY223" i="50"/>
  <c r="BD168" i="50"/>
  <c r="AE73" i="50"/>
  <c r="O122" i="50"/>
  <c r="G121" i="50"/>
  <c r="EF121" i="50"/>
  <c r="CB76" i="50"/>
  <c r="BE112" i="50"/>
  <c r="DZ200" i="50"/>
  <c r="R189" i="50"/>
  <c r="AB145" i="50"/>
  <c r="AJ100" i="50"/>
  <c r="N88" i="50"/>
  <c r="BN73" i="50"/>
  <c r="G148" i="50"/>
  <c r="D80" i="50"/>
  <c r="AC98" i="50"/>
  <c r="BL95" i="50"/>
  <c r="EW203" i="50"/>
  <c r="X206" i="50"/>
  <c r="AN148" i="50"/>
  <c r="CQ217" i="50"/>
  <c r="O149" i="50"/>
  <c r="BA112" i="50"/>
  <c r="BX203" i="50"/>
  <c r="V165" i="50"/>
  <c r="AX206" i="50"/>
  <c r="AR91" i="50"/>
  <c r="I114" i="50"/>
  <c r="Z14" i="50"/>
  <c r="AO201" i="50"/>
  <c r="J130" i="50"/>
  <c r="I23" i="50"/>
  <c r="T50" i="50"/>
  <c r="AI127" i="50"/>
  <c r="AF74" i="50"/>
  <c r="AM85" i="50"/>
  <c r="CU169" i="50"/>
  <c r="EG111" i="50"/>
  <c r="EX85" i="50"/>
  <c r="P79" i="50"/>
  <c r="Z105" i="50"/>
  <c r="AK93" i="50"/>
  <c r="I201" i="50"/>
  <c r="AH165" i="50"/>
  <c r="AS192" i="50"/>
  <c r="H106" i="50"/>
  <c r="G221" i="50"/>
  <c r="BJ221" i="50"/>
  <c r="BO118" i="50"/>
  <c r="BW168" i="50"/>
  <c r="AI222" i="50"/>
  <c r="BI163" i="50"/>
  <c r="BO131" i="50"/>
  <c r="BN130" i="50"/>
  <c r="DJ100" i="50"/>
  <c r="N79" i="50"/>
  <c r="K186" i="50"/>
  <c r="V184" i="50"/>
  <c r="BW146" i="50"/>
  <c r="ER152" i="50"/>
  <c r="AC42" i="50"/>
  <c r="BP111" i="50"/>
  <c r="EQ97" i="50"/>
  <c r="W32" i="50"/>
  <c r="CD110" i="50"/>
  <c r="AU186" i="50"/>
  <c r="AZ88" i="50"/>
  <c r="Q206" i="50"/>
  <c r="BB222" i="50"/>
  <c r="D204" i="50"/>
  <c r="BQ200" i="50"/>
  <c r="BA123" i="50"/>
  <c r="EW85" i="50"/>
  <c r="BX130" i="50"/>
  <c r="DL152" i="50"/>
  <c r="AT109" i="50"/>
  <c r="C166" i="50"/>
  <c r="BF105" i="50"/>
  <c r="AI96" i="50"/>
  <c r="Q99" i="50"/>
  <c r="AW74" i="50"/>
  <c r="EG150" i="50"/>
  <c r="CD103" i="50"/>
  <c r="EC147" i="50"/>
  <c r="G106" i="50"/>
  <c r="DJ217" i="50"/>
  <c r="V202" i="50"/>
  <c r="ET189" i="50"/>
  <c r="AC127" i="50"/>
  <c r="O138" i="50"/>
  <c r="BZ99" i="50"/>
  <c r="ED91" i="50"/>
  <c r="CO75" i="50"/>
  <c r="EW108" i="50"/>
  <c r="DM103" i="50"/>
  <c r="D125" i="50"/>
  <c r="C119" i="50"/>
  <c r="DP219" i="50"/>
  <c r="CT118" i="50"/>
  <c r="CC114" i="50"/>
  <c r="DR188" i="50"/>
  <c r="BD192" i="50"/>
  <c r="EA132" i="50"/>
  <c r="CV166" i="50"/>
  <c r="BF101" i="50"/>
  <c r="BH186" i="50"/>
  <c r="X203" i="50"/>
  <c r="BZ83" i="50"/>
  <c r="CS124" i="50"/>
  <c r="CE134" i="50"/>
  <c r="AY191" i="50"/>
  <c r="K222" i="50"/>
  <c r="CU184" i="50"/>
  <c r="BM192" i="50"/>
  <c r="DO102" i="50"/>
  <c r="AI168" i="50"/>
  <c r="X104" i="50"/>
  <c r="BP78" i="50"/>
  <c r="EG99" i="50"/>
  <c r="P105" i="50"/>
  <c r="Y164" i="50"/>
  <c r="AC114" i="50"/>
  <c r="DL73" i="50"/>
  <c r="AV118" i="50"/>
  <c r="AX192" i="50"/>
  <c r="DM190" i="50"/>
  <c r="BE137" i="50"/>
  <c r="EX83" i="50"/>
  <c r="T169" i="50"/>
  <c r="DQ109" i="50"/>
  <c r="DZ87" i="50"/>
  <c r="X30" i="50"/>
  <c r="EF146" i="50"/>
  <c r="DJ206" i="50"/>
  <c r="DJ95" i="50"/>
  <c r="H18" i="50"/>
  <c r="U206" i="50"/>
  <c r="E110" i="50"/>
  <c r="DS203" i="50"/>
  <c r="BW203" i="50"/>
  <c r="BH99" i="50"/>
  <c r="AR93" i="50"/>
  <c r="S221" i="50"/>
  <c r="AE12" i="26"/>
  <c r="F206" i="50"/>
  <c r="DR126" i="50"/>
  <c r="DM91" i="50"/>
  <c r="EE87" i="50"/>
  <c r="N167" i="50"/>
  <c r="BA100" i="50"/>
  <c r="T102" i="50"/>
  <c r="AC205" i="50"/>
  <c r="CP152" i="50"/>
  <c r="AQ125" i="50"/>
  <c r="DK121" i="50"/>
  <c r="BC149" i="50"/>
  <c r="BI219" i="50"/>
  <c r="DM188" i="50"/>
  <c r="AF191" i="50"/>
  <c r="DP191" i="50"/>
  <c r="F116" i="50"/>
  <c r="AE103" i="50"/>
  <c r="AS126" i="50"/>
  <c r="P83" i="50"/>
  <c r="AK90" i="50"/>
  <c r="AZ163" i="50"/>
  <c r="CR165" i="50"/>
  <c r="BZ186" i="50"/>
  <c r="R217" i="50"/>
  <c r="AI110" i="50"/>
  <c r="CV187" i="50"/>
  <c r="S99" i="50"/>
  <c r="AO167" i="50"/>
  <c r="CP126" i="50"/>
  <c r="AN184" i="50"/>
  <c r="AI217" i="50"/>
  <c r="BA191" i="50"/>
  <c r="BZ219" i="50"/>
  <c r="EV115" i="50"/>
  <c r="AY126" i="50"/>
  <c r="F14" i="50"/>
  <c r="BO105" i="50"/>
  <c r="R147" i="50"/>
  <c r="AN131" i="50"/>
  <c r="DY90" i="50"/>
  <c r="W169" i="50"/>
  <c r="R28" i="50"/>
  <c r="H200" i="50"/>
  <c r="U199" i="50"/>
  <c r="ER185" i="50"/>
  <c r="BH89" i="50"/>
  <c r="EF125" i="50"/>
  <c r="CT150" i="50"/>
  <c r="EB86" i="50"/>
  <c r="EU98" i="50"/>
  <c r="DO152" i="50"/>
  <c r="BF120" i="50"/>
  <c r="U123" i="50"/>
  <c r="EW115" i="50"/>
  <c r="U23" i="50"/>
  <c r="C223" i="50"/>
  <c r="S88" i="50"/>
  <c r="CQ146" i="50"/>
  <c r="AE112" i="50"/>
  <c r="AN102" i="50"/>
  <c r="AK184" i="50"/>
  <c r="DZ108" i="50"/>
  <c r="BH148" i="50"/>
  <c r="EG136" i="50"/>
  <c r="EX148" i="50"/>
  <c r="EB192" i="50"/>
  <c r="BP147" i="50"/>
  <c r="AU111" i="50"/>
  <c r="EU114" i="50"/>
  <c r="N206" i="50"/>
  <c r="EB96" i="50"/>
  <c r="K133" i="50"/>
  <c r="CE99" i="50"/>
  <c r="AK222" i="50"/>
  <c r="AC76" i="50"/>
  <c r="ES152" i="50"/>
  <c r="BH134" i="50"/>
  <c r="EG88" i="50"/>
  <c r="CD126" i="50"/>
  <c r="CP87" i="50"/>
  <c r="Y199" i="50"/>
  <c r="AO77" i="50"/>
  <c r="DN127" i="50"/>
  <c r="CS135" i="50"/>
  <c r="Z124" i="50"/>
  <c r="EW199" i="50"/>
  <c r="BJ200" i="50"/>
  <c r="DJ73" i="50"/>
  <c r="AK81" i="50"/>
  <c r="AR206" i="50"/>
  <c r="EG138" i="50"/>
  <c r="T125" i="50"/>
  <c r="BM98" i="50"/>
  <c r="CV163" i="50"/>
  <c r="CP94" i="50"/>
  <c r="DL97" i="50"/>
  <c r="V18" i="50"/>
  <c r="H147" i="50"/>
  <c r="AL19" i="50"/>
  <c r="CO222" i="50"/>
  <c r="BA77" i="50"/>
  <c r="CE126" i="50"/>
  <c r="CP117" i="50"/>
  <c r="J119" i="50"/>
  <c r="EB105" i="50"/>
  <c r="X84" i="50"/>
  <c r="BB199" i="50"/>
  <c r="EW165" i="50"/>
  <c r="BZ132" i="50"/>
  <c r="AT192" i="50"/>
  <c r="J117" i="50"/>
  <c r="Q74" i="50"/>
  <c r="F80" i="50"/>
  <c r="DS121" i="50"/>
  <c r="BJ88" i="50"/>
  <c r="BH111" i="50"/>
  <c r="AT199" i="50"/>
  <c r="CA84" i="50"/>
  <c r="AQ148" i="50"/>
  <c r="M73" i="50"/>
  <c r="AA7" i="26"/>
  <c r="DP150" i="50"/>
  <c r="BF89" i="50"/>
  <c r="Z149" i="50"/>
  <c r="CB111" i="50"/>
  <c r="CQ126" i="50"/>
  <c r="DR168" i="50"/>
  <c r="CU110" i="50"/>
  <c r="CS110" i="50"/>
  <c r="EU222" i="50"/>
  <c r="DR138" i="50"/>
  <c r="Y48" i="50"/>
  <c r="AT112" i="50"/>
  <c r="G188" i="50"/>
  <c r="CD223" i="50"/>
  <c r="BE82" i="50"/>
  <c r="AP148" i="50"/>
  <c r="M77" i="50"/>
  <c r="ER191" i="50"/>
  <c r="EW117" i="50"/>
  <c r="ET107" i="50"/>
  <c r="EW73" i="50"/>
  <c r="U187" i="50"/>
  <c r="CE164" i="50"/>
  <c r="V110" i="50"/>
  <c r="EW130" i="50"/>
  <c r="EQ77" i="50"/>
  <c r="J22" i="50"/>
  <c r="L86" i="50"/>
  <c r="BD88" i="50"/>
  <c r="CE108" i="50"/>
  <c r="DL200" i="50"/>
  <c r="DP200" i="50"/>
  <c r="J191" i="50"/>
  <c r="CV219" i="50"/>
  <c r="BI117" i="50"/>
  <c r="AM90" i="50"/>
  <c r="T75" i="50"/>
  <c r="V220" i="50"/>
  <c r="CT92" i="50"/>
  <c r="W167" i="50"/>
  <c r="BK205" i="50"/>
  <c r="AD57" i="50"/>
  <c r="BL121" i="50"/>
  <c r="EW188" i="50"/>
  <c r="DP117" i="50"/>
  <c r="V105" i="50"/>
  <c r="DQ219" i="50"/>
  <c r="ER223" i="50"/>
  <c r="DS147" i="50"/>
  <c r="DP83" i="50"/>
  <c r="EX107" i="50"/>
  <c r="T98" i="50"/>
  <c r="EE201" i="50"/>
  <c r="E20" i="50"/>
  <c r="AD136" i="50"/>
  <c r="EF165" i="50"/>
  <c r="DL217" i="50"/>
  <c r="EF130" i="50"/>
  <c r="J126" i="50"/>
  <c r="Z200" i="50"/>
  <c r="DO124" i="50"/>
  <c r="EX88" i="50"/>
  <c r="BX109" i="50"/>
  <c r="AW104" i="50"/>
  <c r="BA149" i="50"/>
  <c r="AY190" i="50"/>
  <c r="AT95" i="50"/>
  <c r="EF95" i="50"/>
  <c r="BO184" i="50"/>
  <c r="CE74" i="50"/>
  <c r="BB118" i="50"/>
  <c r="M168" i="50"/>
  <c r="CR121" i="50"/>
  <c r="N169" i="50"/>
  <c r="N200" i="50"/>
  <c r="CO130" i="50"/>
  <c r="AK137" i="50"/>
  <c r="AD112" i="50"/>
  <c r="Y124" i="50"/>
  <c r="BE188" i="50"/>
  <c r="CO125" i="50"/>
  <c r="G108" i="50"/>
  <c r="BK93" i="50"/>
  <c r="S113" i="50"/>
  <c r="AA152" i="50"/>
  <c r="CS149" i="50"/>
  <c r="CV199" i="50"/>
  <c r="F91" i="50"/>
  <c r="DK132" i="50"/>
  <c r="CE169" i="50"/>
  <c r="AB206" i="50"/>
  <c r="BA188" i="50"/>
  <c r="CB85" i="50"/>
  <c r="AD93" i="50"/>
  <c r="AC101" i="50"/>
  <c r="EF150" i="50"/>
  <c r="CE87" i="50"/>
  <c r="DP114" i="50"/>
  <c r="V101" i="50"/>
  <c r="DK189" i="50"/>
  <c r="BF203" i="50"/>
  <c r="CC82" i="50"/>
  <c r="CQ120" i="50"/>
  <c r="AN137" i="50"/>
  <c r="C115" i="50"/>
  <c r="BZ126" i="50"/>
  <c r="ES122" i="50"/>
  <c r="BF221" i="50"/>
  <c r="EF131" i="50"/>
  <c r="R17" i="50"/>
  <c r="AU188" i="50"/>
  <c r="EG110" i="50"/>
  <c r="BH78" i="50"/>
  <c r="CP108" i="50"/>
  <c r="BY121" i="50"/>
  <c r="X118" i="50"/>
  <c r="CO188" i="50"/>
  <c r="BK74" i="50"/>
  <c r="ED102" i="50"/>
  <c r="BP123" i="50"/>
  <c r="AY96" i="50"/>
  <c r="BA94" i="50"/>
  <c r="DP134" i="50"/>
  <c r="CS185" i="50"/>
  <c r="BA190" i="50"/>
  <c r="DZ206" i="50"/>
  <c r="BX92" i="50"/>
  <c r="AL14" i="50"/>
  <c r="AB186" i="50"/>
  <c r="DM151" i="50"/>
  <c r="CQ133" i="50"/>
  <c r="AE102" i="50"/>
  <c r="ES90" i="50"/>
  <c r="DP123" i="50"/>
  <c r="BI222" i="50"/>
  <c r="CA76" i="50"/>
  <c r="CD84" i="50"/>
  <c r="EB221" i="50"/>
  <c r="EV75" i="50"/>
  <c r="CE188" i="50"/>
  <c r="DZ88" i="50"/>
  <c r="ED147" i="50"/>
  <c r="F94" i="50"/>
  <c r="BN168" i="50"/>
  <c r="H192" i="50"/>
  <c r="DM205" i="50"/>
  <c r="DM167" i="50"/>
  <c r="H126" i="50"/>
  <c r="AS124" i="50"/>
  <c r="AW130" i="50"/>
  <c r="BH109" i="50"/>
  <c r="Y135" i="50"/>
  <c r="AF54" i="50"/>
  <c r="DP145" i="50"/>
  <c r="CP130" i="50"/>
  <c r="BF115" i="50"/>
  <c r="EQ188" i="50"/>
  <c r="AC163" i="50"/>
  <c r="ET110" i="50"/>
  <c r="U49" i="50"/>
  <c r="AF138" i="50"/>
  <c r="DO96" i="50"/>
  <c r="F22" i="50"/>
  <c r="Y203" i="50"/>
  <c r="BN147" i="50"/>
  <c r="X220" i="50"/>
  <c r="CP113" i="50"/>
  <c r="BM200" i="50"/>
  <c r="W53" i="50"/>
  <c r="DN108" i="50"/>
  <c r="BF131" i="50"/>
  <c r="DR78" i="50"/>
  <c r="AD101" i="50"/>
  <c r="EA186" i="50"/>
  <c r="EX82" i="50"/>
  <c r="CB135" i="50"/>
  <c r="BZ89" i="50"/>
  <c r="P93" i="50"/>
  <c r="D77" i="50"/>
  <c r="EX93" i="50"/>
  <c r="O146" i="50"/>
  <c r="BK77" i="50"/>
  <c r="BQ148" i="50"/>
  <c r="DZ101" i="50"/>
  <c r="AG219" i="50"/>
  <c r="Y87" i="50"/>
  <c r="BM148" i="50"/>
  <c r="DK113" i="50"/>
  <c r="CQ137" i="50"/>
  <c r="AA206" i="50"/>
  <c r="AJ169" i="50"/>
  <c r="I223" i="50"/>
  <c r="DS113" i="50"/>
  <c r="AX166" i="50"/>
  <c r="AA10" i="26"/>
  <c r="CD98" i="50"/>
  <c r="DK100" i="50"/>
  <c r="BP121" i="50"/>
  <c r="DS89" i="50"/>
  <c r="S114" i="50"/>
  <c r="D32" i="50"/>
  <c r="BY145" i="50"/>
  <c r="C81" i="50"/>
  <c r="CP201" i="50"/>
  <c r="BC184" i="50"/>
  <c r="CE78" i="50"/>
  <c r="J120" i="50"/>
  <c r="E92" i="50"/>
  <c r="CU185" i="50"/>
  <c r="L17" i="50"/>
  <c r="EW75" i="50"/>
  <c r="DM148" i="50"/>
  <c r="DJ134" i="50"/>
  <c r="EF114" i="50"/>
  <c r="BD121" i="50"/>
  <c r="AN146" i="50"/>
  <c r="ES83" i="50"/>
  <c r="CO132" i="50"/>
  <c r="X105" i="50"/>
  <c r="EV165" i="50"/>
  <c r="AO103" i="50"/>
  <c r="CO90" i="50"/>
  <c r="BB78" i="50"/>
  <c r="CS119" i="50"/>
  <c r="AR168" i="50"/>
  <c r="CC191" i="50"/>
  <c r="EU145" i="50"/>
  <c r="Z116" i="50"/>
  <c r="AY192" i="50"/>
  <c r="AE217" i="50"/>
  <c r="EF73" i="50"/>
  <c r="CD90" i="50"/>
  <c r="AO169" i="50"/>
  <c r="CA122" i="50"/>
  <c r="EX152" i="50"/>
  <c r="S164" i="50"/>
  <c r="AS85" i="50"/>
  <c r="EX218" i="50"/>
  <c r="K192" i="50"/>
  <c r="W168" i="50"/>
  <c r="AL112" i="50"/>
  <c r="BD76" i="50"/>
  <c r="BB108" i="50"/>
  <c r="F102" i="50"/>
  <c r="AS222" i="50"/>
  <c r="BC95" i="50"/>
  <c r="AX114" i="50"/>
  <c r="DJ147" i="50"/>
  <c r="AH19" i="50"/>
  <c r="ES97" i="50"/>
  <c r="CV125" i="50"/>
  <c r="AI125" i="50"/>
  <c r="X205" i="50"/>
  <c r="P81" i="50"/>
  <c r="EW134" i="50"/>
  <c r="O117" i="50"/>
  <c r="G131" i="50"/>
  <c r="DN96" i="50"/>
  <c r="Y50" i="50"/>
  <c r="AK98" i="50"/>
  <c r="Z150" i="50"/>
  <c r="BP79" i="50"/>
  <c r="EU201" i="50"/>
  <c r="BY138" i="50"/>
  <c r="DO133" i="50"/>
  <c r="AX73" i="50"/>
  <c r="AC99" i="50"/>
  <c r="CT206" i="50"/>
  <c r="DZ125" i="50"/>
  <c r="L126" i="50"/>
  <c r="AS84" i="50"/>
  <c r="F112" i="50"/>
  <c r="CA217" i="50"/>
  <c r="Y163" i="50"/>
  <c r="AB30" i="50"/>
  <c r="AC102" i="50"/>
  <c r="AQ201" i="50"/>
  <c r="BF168" i="50"/>
  <c r="CP135" i="50"/>
  <c r="L137" i="50"/>
  <c r="AW101" i="50"/>
  <c r="T168" i="50"/>
  <c r="K90" i="50"/>
  <c r="BX84" i="50"/>
  <c r="D16" i="50"/>
  <c r="ED191" i="50"/>
  <c r="BI75" i="50"/>
  <c r="Y190" i="50"/>
  <c r="BZ133" i="50"/>
  <c r="DK167" i="50"/>
  <c r="X100" i="50"/>
  <c r="EQ149" i="50"/>
  <c r="BK146" i="50"/>
  <c r="AR123" i="50"/>
  <c r="EQ88" i="50"/>
  <c r="AA169" i="50"/>
  <c r="P120" i="50"/>
  <c r="CA90" i="50"/>
  <c r="AA191" i="50"/>
  <c r="AU150" i="50"/>
  <c r="AW122" i="50"/>
  <c r="AB46" i="50"/>
  <c r="W184" i="50"/>
  <c r="BO148" i="50"/>
  <c r="AL100" i="50"/>
  <c r="DO88" i="50"/>
  <c r="AH151" i="50"/>
  <c r="AU221" i="50"/>
  <c r="BL105" i="50"/>
  <c r="BY110" i="50"/>
  <c r="DM149" i="50"/>
  <c r="CQ100" i="50"/>
  <c r="DQ166" i="50"/>
  <c r="AZ191" i="50"/>
  <c r="BA88" i="50"/>
  <c r="Y53" i="50"/>
  <c r="V130" i="50"/>
  <c r="BE96" i="50"/>
  <c r="DL116" i="50"/>
  <c r="AT126" i="50"/>
  <c r="EQ73" i="50"/>
  <c r="EB100" i="50"/>
  <c r="CR148" i="50"/>
  <c r="F192" i="50"/>
  <c r="AT87" i="50"/>
  <c r="AC168" i="50"/>
  <c r="W223" i="50"/>
  <c r="AA221" i="50"/>
  <c r="K126" i="50"/>
  <c r="CD117" i="50"/>
  <c r="S50" i="50"/>
  <c r="CA203" i="50"/>
  <c r="EB150" i="50"/>
  <c r="EE192" i="50"/>
  <c r="AQ77" i="50"/>
  <c r="CE123" i="50"/>
  <c r="K151" i="50"/>
  <c r="AK88" i="50"/>
  <c r="AU95" i="50"/>
  <c r="BD138" i="50"/>
  <c r="CQ85" i="50"/>
  <c r="BP132" i="50"/>
  <c r="D206" i="50"/>
  <c r="AO113" i="50"/>
  <c r="AV188" i="50"/>
  <c r="BX151" i="50"/>
  <c r="AN130" i="50"/>
  <c r="N93" i="50"/>
  <c r="BK76" i="50"/>
  <c r="P95" i="50"/>
  <c r="CR169" i="50"/>
  <c r="CA73" i="50"/>
  <c r="BK111" i="50"/>
  <c r="D17" i="50"/>
  <c r="BA76" i="50"/>
  <c r="BM112" i="50"/>
  <c r="AM133" i="50"/>
  <c r="DO125" i="50"/>
  <c r="EE146" i="50"/>
  <c r="CS93" i="50"/>
  <c r="C123" i="50"/>
  <c r="CT163" i="50"/>
  <c r="AR203" i="50"/>
  <c r="BO90" i="50"/>
  <c r="J148" i="50"/>
  <c r="AV130" i="50"/>
  <c r="DN192" i="50"/>
  <c r="BF151" i="50"/>
  <c r="CU95" i="50"/>
  <c r="CD95" i="50"/>
  <c r="V186" i="50"/>
  <c r="DL75" i="50"/>
  <c r="ED189" i="50"/>
  <c r="AM151" i="50"/>
  <c r="ER74" i="50"/>
  <c r="W124" i="50"/>
  <c r="AU80" i="50"/>
  <c r="X77" i="50"/>
  <c r="CS165" i="50"/>
  <c r="CD136" i="50"/>
  <c r="BH107" i="50"/>
  <c r="AF168" i="50"/>
  <c r="BW137" i="50"/>
  <c r="J83" i="50"/>
  <c r="DQ168" i="50"/>
  <c r="CE89" i="50"/>
  <c r="EQ95" i="50"/>
  <c r="AX137" i="50"/>
  <c r="CU219" i="50"/>
  <c r="EB149" i="50"/>
  <c r="K114" i="50"/>
  <c r="AS74" i="50"/>
  <c r="DZ135" i="50"/>
  <c r="CP132" i="50"/>
  <c r="CA110" i="50"/>
  <c r="BK82" i="50"/>
  <c r="EG168" i="50"/>
  <c r="AC77" i="50"/>
  <c r="BK98" i="50"/>
  <c r="AO184" i="50"/>
  <c r="CV218" i="50"/>
  <c r="CV92" i="50"/>
  <c r="CV151" i="50"/>
  <c r="BF184" i="50"/>
  <c r="BF135" i="50"/>
  <c r="CE185" i="50"/>
  <c r="AD26" i="50"/>
  <c r="AG127" i="50"/>
  <c r="O76" i="50"/>
  <c r="Z202" i="50"/>
  <c r="CS111" i="50"/>
  <c r="EG167" i="50"/>
  <c r="AW138" i="50"/>
  <c r="ES74" i="50"/>
  <c r="EA152" i="50"/>
  <c r="EQ169" i="50"/>
  <c r="BF103" i="50"/>
  <c r="BO206" i="50"/>
  <c r="AX90" i="50"/>
  <c r="X89" i="50"/>
  <c r="CU92" i="50"/>
  <c r="D137" i="50"/>
  <c r="AZ150" i="50"/>
  <c r="AG165" i="50"/>
  <c r="AH79" i="50"/>
  <c r="S94" i="50"/>
  <c r="CO85" i="50"/>
  <c r="BH152" i="50"/>
  <c r="CP205" i="50"/>
  <c r="P137" i="50"/>
  <c r="Y151" i="50"/>
  <c r="DZ100" i="50"/>
  <c r="AG191" i="50"/>
  <c r="DQ77" i="50"/>
  <c r="K221" i="50"/>
  <c r="O199" i="50"/>
  <c r="AY164" i="50"/>
  <c r="CV121" i="50"/>
  <c r="EX115" i="50"/>
  <c r="AG206" i="50"/>
  <c r="AI148" i="50"/>
  <c r="EW189" i="50"/>
  <c r="BQ121" i="50"/>
  <c r="DK137" i="50"/>
  <c r="BQ110" i="50"/>
  <c r="V127" i="50"/>
  <c r="EE80" i="50"/>
  <c r="AF222" i="50"/>
  <c r="DR192" i="50"/>
  <c r="BN124" i="50"/>
  <c r="EG77" i="50"/>
  <c r="AG201" i="50"/>
  <c r="CB121" i="50"/>
  <c r="J133" i="50"/>
  <c r="AT169" i="50"/>
  <c r="DQ113" i="50"/>
  <c r="CO135" i="50"/>
  <c r="ED81" i="50"/>
  <c r="AX121" i="50"/>
  <c r="ED219" i="50"/>
  <c r="AF122" i="50"/>
  <c r="CT80" i="50"/>
  <c r="AL138" i="50"/>
  <c r="Y191" i="50"/>
  <c r="DZ75" i="50"/>
  <c r="ET135" i="50"/>
  <c r="AN200" i="50"/>
  <c r="ED77" i="50"/>
  <c r="O221" i="50"/>
  <c r="AD167" i="50"/>
  <c r="L222" i="50"/>
  <c r="AN79" i="50"/>
  <c r="M146" i="50"/>
  <c r="AW133" i="50"/>
  <c r="BL135" i="50"/>
  <c r="AP74" i="50"/>
  <c r="U17" i="50"/>
  <c r="AK146" i="50"/>
  <c r="AI191" i="50"/>
  <c r="BX149" i="50"/>
  <c r="DJ121" i="50"/>
  <c r="BI110" i="50"/>
  <c r="AY219" i="50"/>
  <c r="CT110" i="50"/>
  <c r="AX106" i="50"/>
  <c r="AA222" i="50"/>
  <c r="H119" i="50"/>
  <c r="Y165" i="50"/>
  <c r="DO169" i="50"/>
  <c r="AC132" i="50"/>
  <c r="CR92" i="50"/>
  <c r="N119" i="50"/>
  <c r="AP86" i="50"/>
  <c r="AA137" i="50"/>
  <c r="I164" i="50"/>
  <c r="AK111" i="50"/>
  <c r="BJ113" i="50"/>
  <c r="ER86" i="50"/>
  <c r="AW221" i="50"/>
  <c r="AA97" i="50"/>
  <c r="DO111" i="50"/>
  <c r="AK127" i="50"/>
  <c r="H110" i="50"/>
  <c r="BW84" i="50"/>
  <c r="AT130" i="50"/>
  <c r="S46" i="50"/>
  <c r="N148" i="50"/>
  <c r="Y49" i="50"/>
  <c r="O124" i="50"/>
  <c r="EB188" i="50"/>
  <c r="BD206" i="50"/>
  <c r="AS185" i="50"/>
  <c r="CT126" i="50"/>
  <c r="AV80" i="50"/>
  <c r="DQ205" i="50"/>
  <c r="BB113" i="50"/>
  <c r="BC112" i="50"/>
  <c r="AX187" i="50"/>
  <c r="EQ204" i="50"/>
  <c r="EU103" i="50"/>
  <c r="CP101" i="50"/>
  <c r="M108" i="50"/>
  <c r="CU115" i="50"/>
  <c r="BE125" i="50"/>
  <c r="BQ152" i="50"/>
  <c r="M199" i="50"/>
  <c r="BJ150" i="50"/>
  <c r="I92" i="50"/>
  <c r="BY222" i="50"/>
  <c r="BX90" i="50"/>
  <c r="J77" i="50"/>
  <c r="AS165" i="50"/>
  <c r="T48" i="50"/>
  <c r="CP188" i="50"/>
  <c r="AP203" i="50"/>
  <c r="EA200" i="50"/>
  <c r="ET84" i="50"/>
  <c r="J201" i="50"/>
  <c r="DP138" i="50"/>
  <c r="V56" i="50"/>
  <c r="BE103" i="50"/>
  <c r="AM132" i="50"/>
  <c r="S44" i="50"/>
  <c r="AF49" i="50"/>
  <c r="S152" i="50"/>
  <c r="BF186" i="50"/>
  <c r="BJ97" i="50"/>
  <c r="DY189" i="50"/>
  <c r="AU79" i="50"/>
  <c r="CS79" i="50"/>
  <c r="BZ121" i="50"/>
  <c r="DM127" i="50"/>
  <c r="CB80" i="50"/>
  <c r="V22" i="50"/>
  <c r="ED206" i="50"/>
  <c r="EW187" i="50"/>
  <c r="BX74" i="50"/>
  <c r="X17" i="50"/>
  <c r="T135" i="50"/>
  <c r="Q78" i="50"/>
  <c r="BM121" i="50"/>
  <c r="AG133" i="50"/>
  <c r="BZ202" i="50"/>
  <c r="AQ189" i="50"/>
  <c r="AL108" i="50"/>
  <c r="AG217" i="50"/>
  <c r="AQ147" i="50"/>
  <c r="CR127" i="50"/>
  <c r="ET219" i="50"/>
  <c r="CQ111" i="50"/>
  <c r="CE107" i="50"/>
  <c r="DS111" i="50"/>
  <c r="ER222" i="50"/>
  <c r="Z26" i="50"/>
  <c r="AU138" i="50"/>
  <c r="P190" i="50"/>
  <c r="S121" i="50"/>
  <c r="CE109" i="50"/>
  <c r="CQ164" i="50"/>
  <c r="EB167" i="50"/>
  <c r="J81" i="50"/>
  <c r="AR119" i="50"/>
  <c r="AL20" i="50"/>
  <c r="BF94" i="50"/>
  <c r="AY80" i="50"/>
  <c r="CS78" i="50"/>
  <c r="CE127" i="50"/>
  <c r="BM138" i="50"/>
  <c r="U42" i="50"/>
  <c r="AJ217" i="50"/>
  <c r="J122" i="50"/>
  <c r="BD137" i="50"/>
  <c r="AS123" i="50"/>
  <c r="AH189" i="50"/>
  <c r="BY186" i="50"/>
  <c r="BW132" i="50"/>
  <c r="AD104" i="50"/>
  <c r="BO106" i="50"/>
  <c r="DP105" i="50"/>
  <c r="BA169" i="50"/>
  <c r="BP169" i="50"/>
  <c r="BY132" i="50"/>
  <c r="M93" i="50"/>
  <c r="EE99" i="50"/>
  <c r="EF89" i="50"/>
  <c r="AW109" i="50"/>
  <c r="AL105" i="50"/>
  <c r="CU188" i="50"/>
  <c r="DR90" i="50"/>
  <c r="AO106" i="50"/>
  <c r="Y74" i="50"/>
  <c r="J25" i="50"/>
  <c r="BI206" i="50"/>
  <c r="M186" i="50"/>
  <c r="EC168" i="50"/>
  <c r="DQ118" i="50"/>
  <c r="ET221" i="50"/>
  <c r="BH137" i="50"/>
  <c r="AW119" i="50"/>
  <c r="AH89" i="50"/>
  <c r="S26" i="50"/>
  <c r="X91" i="50"/>
  <c r="DP109" i="50"/>
  <c r="AV116" i="50"/>
  <c r="AR219" i="50"/>
  <c r="AC116" i="50"/>
  <c r="CT201" i="50"/>
  <c r="BN101" i="50"/>
  <c r="H100" i="50"/>
  <c r="AX105" i="50"/>
  <c r="DP96" i="50"/>
  <c r="J147" i="50"/>
  <c r="Z45" i="50"/>
  <c r="K25" i="50"/>
  <c r="BE168" i="50"/>
  <c r="BY164" i="50"/>
  <c r="CD76" i="50"/>
  <c r="AU74" i="50"/>
  <c r="CD75" i="50"/>
  <c r="G109" i="50"/>
  <c r="BN167" i="50"/>
  <c r="BJ164" i="50"/>
  <c r="ED188" i="50"/>
  <c r="EF80" i="50"/>
  <c r="BC73" i="50"/>
  <c r="AJ184" i="50"/>
  <c r="ER200" i="50"/>
  <c r="F111" i="50"/>
  <c r="BX73" i="50"/>
  <c r="BW135" i="50"/>
  <c r="CA108" i="50"/>
  <c r="DJ202" i="50"/>
  <c r="ED93" i="50"/>
  <c r="CQ90" i="50"/>
  <c r="AU105" i="50"/>
  <c r="DY113" i="50"/>
  <c r="Y58" i="50"/>
  <c r="AH204" i="50"/>
  <c r="AS91" i="50"/>
  <c r="AA82" i="50"/>
  <c r="AA58" i="50"/>
  <c r="T133" i="50"/>
  <c r="EB148" i="50"/>
  <c r="AO150" i="50"/>
  <c r="DN81" i="50"/>
  <c r="BI105" i="50"/>
  <c r="BC148" i="50"/>
  <c r="ER131" i="50"/>
  <c r="AH217" i="50"/>
  <c r="CO83" i="50"/>
  <c r="G190" i="50"/>
  <c r="ES109" i="50"/>
  <c r="J108" i="50"/>
  <c r="EW118" i="50"/>
  <c r="M121" i="50"/>
  <c r="R188" i="50"/>
  <c r="BW111" i="50"/>
  <c r="DQ148" i="50"/>
  <c r="C220" i="50"/>
  <c r="BY191" i="50"/>
  <c r="BQ90" i="50"/>
  <c r="BL150" i="50"/>
  <c r="E151" i="50"/>
  <c r="AA116" i="50"/>
  <c r="EB189" i="50"/>
  <c r="DN90" i="50"/>
  <c r="Q92" i="50"/>
  <c r="EF202" i="50"/>
  <c r="CT184" i="50"/>
  <c r="DS96" i="50"/>
  <c r="DS191" i="50"/>
  <c r="AW134" i="50"/>
  <c r="R152" i="50"/>
  <c r="Y21" i="50"/>
  <c r="BM188" i="50"/>
  <c r="AS151" i="50"/>
  <c r="ES110" i="50"/>
  <c r="ET167" i="50"/>
  <c r="EB90" i="50"/>
  <c r="AZ223" i="50"/>
  <c r="U36" i="50"/>
  <c r="P164" i="50"/>
  <c r="EX119" i="50"/>
  <c r="AC50" i="50"/>
  <c r="ET132" i="50"/>
  <c r="H184" i="50"/>
  <c r="AM219" i="50"/>
  <c r="BH76" i="50"/>
  <c r="CQ147" i="50"/>
  <c r="DR145" i="50"/>
  <c r="AW223" i="50"/>
  <c r="DQ138" i="50"/>
  <c r="AR76" i="50"/>
  <c r="AW131" i="50"/>
  <c r="EA76" i="50"/>
  <c r="DS188" i="50"/>
  <c r="AT151" i="50"/>
  <c r="BE121" i="50"/>
  <c r="R112" i="50"/>
  <c r="C137" i="50"/>
  <c r="AF56" i="50"/>
  <c r="AN152" i="50"/>
  <c r="BQ187" i="50"/>
  <c r="BM169" i="50"/>
  <c r="CS99" i="50"/>
  <c r="H73" i="50"/>
  <c r="DY199" i="50"/>
  <c r="AH127" i="50"/>
  <c r="DL148" i="50"/>
  <c r="EU77" i="50"/>
  <c r="DR114" i="50"/>
  <c r="DL218" i="50"/>
  <c r="T17" i="50"/>
  <c r="BM147" i="50"/>
  <c r="DK119" i="50"/>
  <c r="EV125" i="50"/>
  <c r="EX205" i="50"/>
  <c r="T20" i="50"/>
  <c r="AF87" i="50"/>
  <c r="U163" i="50"/>
  <c r="Z147" i="50"/>
  <c r="BI152" i="50"/>
  <c r="C105" i="50"/>
  <c r="CQ98" i="50"/>
  <c r="EX199" i="50"/>
  <c r="AL93" i="50"/>
  <c r="CS83" i="50"/>
  <c r="Z42" i="50"/>
  <c r="AA12" i="26"/>
  <c r="CP91" i="50"/>
  <c r="Q88" i="50"/>
  <c r="DY123" i="50"/>
  <c r="V98" i="50"/>
  <c r="D223" i="50"/>
  <c r="AJ202" i="50"/>
  <c r="EE126" i="50"/>
  <c r="CO205" i="50"/>
  <c r="ED222" i="50"/>
  <c r="G84" i="50"/>
  <c r="BF81" i="50"/>
  <c r="CB133" i="50"/>
  <c r="ET98" i="50"/>
  <c r="EE114" i="50"/>
  <c r="AT88" i="50"/>
  <c r="DM191" i="50"/>
  <c r="EF93" i="50"/>
  <c r="P202" i="50"/>
  <c r="AM150" i="50"/>
  <c r="M200" i="50"/>
  <c r="K95" i="50"/>
  <c r="CE125" i="50"/>
  <c r="BN188" i="50"/>
  <c r="L109" i="50"/>
  <c r="D127" i="50"/>
  <c r="I122" i="50"/>
  <c r="CE132" i="50"/>
  <c r="L105" i="50"/>
  <c r="CP203" i="50"/>
  <c r="AD42" i="50"/>
  <c r="BB114" i="50"/>
  <c r="CS107" i="50"/>
  <c r="CE101" i="50"/>
  <c r="AD223" i="50"/>
  <c r="AY206" i="50"/>
  <c r="DM112" i="50"/>
  <c r="AY168" i="50"/>
  <c r="W81" i="50"/>
  <c r="CA166" i="50"/>
  <c r="ER102" i="50"/>
  <c r="BJ187" i="50"/>
  <c r="AZ125" i="50"/>
  <c r="DL131" i="50"/>
  <c r="CQ75" i="50"/>
  <c r="BB190" i="50"/>
  <c r="DN137" i="50"/>
  <c r="DQ95" i="50"/>
  <c r="M203" i="50"/>
  <c r="AV136" i="50"/>
  <c r="AC45" i="50"/>
  <c r="AG108" i="50"/>
  <c r="AO98" i="50"/>
  <c r="BN75" i="50"/>
  <c r="BD222" i="50"/>
  <c r="BD100" i="50"/>
  <c r="BC151" i="50"/>
  <c r="DO98" i="50"/>
  <c r="AU114" i="50"/>
  <c r="R125" i="50"/>
  <c r="CQ82" i="50"/>
  <c r="EQ163" i="50"/>
  <c r="BE84" i="50"/>
  <c r="EB130" i="50"/>
  <c r="AU108" i="50"/>
  <c r="EV220" i="50"/>
  <c r="EW168" i="50"/>
  <c r="EW166" i="50"/>
  <c r="BP107" i="50"/>
  <c r="ES188" i="50"/>
  <c r="AD138" i="50"/>
  <c r="AH16" i="50"/>
  <c r="EG203" i="50"/>
  <c r="BL169" i="50"/>
  <c r="G147" i="50"/>
  <c r="AP83" i="50"/>
  <c r="ED124" i="50"/>
  <c r="J132" i="50"/>
  <c r="AT93" i="50"/>
  <c r="CU218" i="50"/>
  <c r="ET125" i="50"/>
  <c r="M114" i="50"/>
  <c r="AO125" i="50"/>
  <c r="BP184" i="50"/>
  <c r="EU94" i="50"/>
  <c r="BE223" i="50"/>
  <c r="BN78" i="50"/>
  <c r="BK223" i="50"/>
  <c r="DO101" i="50"/>
  <c r="DJ188" i="50"/>
  <c r="DY93" i="50"/>
  <c r="L121" i="50"/>
  <c r="AQ169" i="50"/>
  <c r="EF82" i="50"/>
  <c r="I79" i="50"/>
  <c r="W147" i="50"/>
  <c r="EE148" i="50"/>
  <c r="R36" i="50"/>
  <c r="AH138" i="50"/>
  <c r="DJ105" i="50"/>
  <c r="CV82" i="50"/>
  <c r="ER105" i="50"/>
  <c r="BP164" i="50"/>
  <c r="AP169" i="50"/>
  <c r="BQ104" i="50"/>
  <c r="EX112" i="50"/>
  <c r="AS109" i="50"/>
  <c r="O147" i="50"/>
  <c r="T100" i="50"/>
  <c r="EW119" i="50"/>
  <c r="G122" i="50"/>
  <c r="DY73" i="50"/>
  <c r="K203" i="50"/>
  <c r="AM120" i="50"/>
  <c r="AA55" i="50"/>
  <c r="ES192" i="50"/>
  <c r="AJ138" i="50"/>
  <c r="AQ150" i="50"/>
  <c r="N203" i="50"/>
  <c r="CU126" i="50"/>
  <c r="AY112" i="50"/>
  <c r="CT78" i="50"/>
  <c r="AW100" i="50"/>
  <c r="C84" i="50"/>
  <c r="BE127" i="50"/>
  <c r="BI192" i="50"/>
  <c r="AA100" i="50"/>
  <c r="Y17" i="50"/>
  <c r="CS188" i="50"/>
  <c r="Z125" i="50"/>
  <c r="CQ124" i="50"/>
  <c r="ED87" i="50"/>
  <c r="BN201" i="50"/>
  <c r="BP202" i="50"/>
  <c r="AS110" i="50"/>
  <c r="G217" i="50"/>
  <c r="AB134" i="50"/>
  <c r="AF117" i="50"/>
  <c r="BW138" i="50"/>
  <c r="BP199" i="50"/>
  <c r="AI123" i="50"/>
  <c r="DY80" i="50"/>
  <c r="S90" i="50"/>
  <c r="AW192" i="50"/>
  <c r="BF92" i="50"/>
  <c r="AE204" i="50"/>
  <c r="BK136" i="50"/>
  <c r="BZ75" i="50"/>
  <c r="AV223" i="50"/>
  <c r="AB126" i="50"/>
  <c r="AA189" i="50"/>
  <c r="J80" i="50"/>
  <c r="CD86" i="50"/>
  <c r="EC223" i="50"/>
  <c r="DR75" i="50"/>
  <c r="DR117" i="50"/>
  <c r="AF113" i="50"/>
  <c r="AP73" i="50"/>
  <c r="BQ91" i="50"/>
  <c r="AE116" i="50"/>
  <c r="AH36" i="50"/>
  <c r="J188" i="50"/>
  <c r="AE222" i="50"/>
  <c r="BY96" i="50"/>
  <c r="J100" i="50"/>
  <c r="BY93" i="50"/>
  <c r="EE110" i="50"/>
  <c r="DR84" i="50"/>
  <c r="BQ206" i="50"/>
  <c r="EG200" i="50"/>
  <c r="BZ127" i="50"/>
  <c r="BE78" i="50"/>
  <c r="C99" i="50"/>
  <c r="Y113" i="50"/>
  <c r="AF93" i="50"/>
  <c r="EE206" i="50"/>
  <c r="AM101" i="50"/>
  <c r="BA202" i="50"/>
  <c r="CR149" i="50"/>
  <c r="EG92" i="50"/>
  <c r="AP222" i="50"/>
  <c r="AV132" i="50"/>
  <c r="AO202" i="50"/>
  <c r="AJ135" i="50"/>
  <c r="F201" i="50"/>
  <c r="AA133" i="50"/>
  <c r="CE147" i="50"/>
  <c r="AA106" i="50"/>
  <c r="BX165" i="50"/>
  <c r="AR148" i="50"/>
  <c r="BI167" i="50"/>
  <c r="H168" i="50"/>
  <c r="BX206" i="50"/>
  <c r="CB202" i="50"/>
  <c r="J87" i="50"/>
  <c r="BF148" i="50"/>
  <c r="X135" i="50"/>
  <c r="BH166" i="50"/>
  <c r="EQ87" i="50"/>
  <c r="AS89" i="50"/>
  <c r="ES219" i="50"/>
  <c r="AK205" i="50"/>
  <c r="EC166" i="50"/>
  <c r="BL104" i="50"/>
  <c r="AV84" i="50"/>
  <c r="BY217" i="50"/>
  <c r="Q221" i="50"/>
  <c r="S100" i="50"/>
  <c r="BW101" i="50"/>
  <c r="CA200" i="50"/>
  <c r="DS206" i="50"/>
  <c r="CE100" i="50"/>
  <c r="P127" i="50"/>
  <c r="AT167" i="50"/>
  <c r="AA11" i="26"/>
  <c r="CD100" i="50"/>
  <c r="AV192" i="50"/>
  <c r="EW123" i="50"/>
  <c r="G91" i="50"/>
  <c r="BQ81" i="50"/>
  <c r="X55" i="50"/>
  <c r="U126" i="50"/>
  <c r="AH107" i="50"/>
  <c r="ED130" i="50"/>
  <c r="Z18" i="50"/>
  <c r="Y97" i="50"/>
  <c r="BD164" i="50"/>
  <c r="CS223" i="50"/>
  <c r="EG82" i="50"/>
  <c r="AR138" i="50"/>
  <c r="AW190" i="50"/>
  <c r="DQ121" i="50"/>
  <c r="CR219" i="50"/>
  <c r="EU73" i="50"/>
  <c r="DK186" i="50"/>
  <c r="BW124" i="50"/>
  <c r="EW106" i="50"/>
  <c r="M105" i="50"/>
  <c r="H138" i="50"/>
  <c r="O220" i="50"/>
  <c r="U87" i="50"/>
  <c r="EC77" i="50"/>
  <c r="DJ221" i="50"/>
  <c r="CC76" i="50"/>
  <c r="G138" i="50"/>
  <c r="EG146" i="50"/>
  <c r="L192" i="50"/>
  <c r="AZ203" i="50"/>
  <c r="DO123" i="50"/>
  <c r="EF192" i="50"/>
  <c r="AS218" i="50"/>
  <c r="CU75" i="50"/>
  <c r="AB114" i="50"/>
  <c r="AE93" i="50"/>
  <c r="Z52" i="50"/>
  <c r="BW217" i="50"/>
  <c r="J90" i="50"/>
  <c r="DZ192" i="50"/>
  <c r="ET203" i="50"/>
  <c r="BJ118" i="50"/>
  <c r="CU119" i="50"/>
  <c r="R222" i="50"/>
  <c r="DL163" i="50"/>
  <c r="AZ188" i="50"/>
  <c r="AF95" i="50"/>
  <c r="DQ165" i="50"/>
  <c r="DN109" i="50"/>
  <c r="AC167" i="50"/>
  <c r="DJ186" i="50"/>
  <c r="DJ119" i="50"/>
  <c r="CU163" i="50"/>
  <c r="DQ218" i="50"/>
  <c r="U32" i="50"/>
  <c r="U137" i="50"/>
  <c r="DN167" i="50"/>
  <c r="N188" i="50"/>
  <c r="ED137" i="50"/>
  <c r="L114" i="50"/>
  <c r="Y223" i="50"/>
  <c r="DY149" i="50"/>
  <c r="AE206" i="50"/>
  <c r="CA121" i="50"/>
  <c r="W192" i="50"/>
  <c r="D190" i="50"/>
  <c r="BH199" i="50"/>
  <c r="ET127" i="50"/>
  <c r="CR112" i="50"/>
  <c r="DN138" i="50"/>
  <c r="AF136" i="50"/>
  <c r="AF201" i="50"/>
  <c r="AX117" i="50"/>
  <c r="AO87" i="50"/>
  <c r="Z131" i="50"/>
  <c r="ET205" i="50"/>
  <c r="X127" i="50"/>
  <c r="BP81" i="50"/>
  <c r="DN146" i="50"/>
  <c r="EF122" i="50"/>
  <c r="AJ14" i="50"/>
  <c r="BF99" i="50"/>
  <c r="EX189" i="50"/>
  <c r="AO203" i="50"/>
  <c r="U191" i="50"/>
  <c r="AQ80" i="50"/>
  <c r="AD220" i="50"/>
  <c r="AR147" i="50"/>
  <c r="BF192" i="50"/>
  <c r="AO84" i="50"/>
  <c r="AI76" i="50"/>
  <c r="DJ132" i="50"/>
  <c r="CC105" i="50"/>
  <c r="X136" i="50"/>
  <c r="P78" i="50"/>
  <c r="AQ145" i="50"/>
  <c r="N106" i="50"/>
  <c r="EQ138" i="50"/>
  <c r="Y56" i="50"/>
  <c r="DL88" i="50"/>
  <c r="AH191" i="50"/>
  <c r="AG218" i="50"/>
  <c r="AB98" i="50"/>
  <c r="R200" i="50"/>
  <c r="BZ123" i="50"/>
  <c r="BK206" i="50"/>
  <c r="BY112" i="50"/>
  <c r="DK192" i="50"/>
  <c r="EC100" i="50"/>
  <c r="DK124" i="50"/>
  <c r="ES150" i="50"/>
  <c r="AY114" i="50"/>
  <c r="AX186" i="50"/>
  <c r="EV106" i="50"/>
  <c r="DO138" i="50"/>
  <c r="DQ217" i="50"/>
  <c r="AP77" i="50"/>
  <c r="ER123" i="50"/>
  <c r="AQ200" i="50"/>
  <c r="AW87" i="50"/>
  <c r="AD15" i="50"/>
  <c r="BF134" i="50"/>
  <c r="C20" i="50"/>
  <c r="AN147" i="50"/>
  <c r="DO119" i="50"/>
  <c r="O126" i="50"/>
  <c r="BC93" i="50"/>
  <c r="AG96" i="50"/>
  <c r="DL188" i="50"/>
  <c r="EC184" i="50"/>
  <c r="AB203" i="50"/>
  <c r="EU121" i="50"/>
  <c r="AG135" i="50"/>
  <c r="DN93" i="50"/>
  <c r="EX84" i="50"/>
  <c r="W163" i="50"/>
  <c r="E168" i="50"/>
  <c r="BH168" i="50"/>
  <c r="AI121" i="50"/>
  <c r="R114" i="50"/>
  <c r="EX217" i="50"/>
  <c r="EQ134" i="50"/>
  <c r="BX110" i="50"/>
  <c r="BX114" i="50"/>
  <c r="DO107" i="50"/>
  <c r="BZ94" i="50"/>
  <c r="EV77" i="50"/>
  <c r="G123" i="50"/>
  <c r="AY189" i="50"/>
  <c r="AD17" i="50"/>
  <c r="BF98" i="50"/>
  <c r="EE101" i="50"/>
  <c r="BP89" i="50"/>
  <c r="AI203" i="50"/>
  <c r="BC101" i="50"/>
  <c r="N126" i="50"/>
  <c r="BD74" i="50"/>
  <c r="CD138" i="50"/>
  <c r="AG105" i="50"/>
  <c r="EF145" i="50"/>
  <c r="CA164" i="50"/>
  <c r="AV221" i="50"/>
  <c r="BC106" i="50"/>
  <c r="C95" i="50"/>
  <c r="DL190" i="50"/>
  <c r="AP100" i="50"/>
  <c r="CP137" i="50"/>
  <c r="L163" i="50"/>
  <c r="AJ99" i="50"/>
  <c r="C85" i="50"/>
  <c r="BJ206" i="50"/>
  <c r="X73" i="50"/>
  <c r="CR116" i="50"/>
  <c r="S130" i="50"/>
  <c r="BN204" i="50"/>
  <c r="AD187" i="50"/>
  <c r="CB98" i="50"/>
  <c r="AR217" i="50"/>
  <c r="CB101" i="50"/>
  <c r="DN73" i="50"/>
  <c r="ED113" i="50"/>
  <c r="AJ137" i="50"/>
  <c r="AY188" i="50"/>
  <c r="DZ201" i="50"/>
  <c r="F222" i="50"/>
  <c r="AR169" i="50"/>
  <c r="AV85" i="50"/>
  <c r="AT104" i="50"/>
  <c r="AJ152" i="50"/>
  <c r="T222" i="50"/>
  <c r="AZ149" i="50"/>
  <c r="EQ191" i="50"/>
  <c r="BQ105" i="50"/>
  <c r="U116" i="50"/>
  <c r="BC190" i="50"/>
  <c r="BA186" i="50"/>
  <c r="CU134" i="50"/>
  <c r="X189" i="50"/>
  <c r="DP113" i="50"/>
  <c r="BO203" i="50"/>
  <c r="X150" i="50"/>
  <c r="CV74" i="50"/>
  <c r="CA98" i="50"/>
  <c r="K100" i="50"/>
  <c r="EE111" i="50"/>
  <c r="AV73" i="50"/>
  <c r="AI206" i="50"/>
  <c r="C219" i="50"/>
  <c r="AW92" i="50"/>
  <c r="BQ86" i="50"/>
  <c r="BK138" i="50"/>
  <c r="AI87" i="50"/>
  <c r="M219" i="50"/>
  <c r="BM84" i="50"/>
  <c r="BN219" i="50"/>
  <c r="BM125" i="50"/>
  <c r="BQ221" i="50"/>
  <c r="CE191" i="50"/>
  <c r="J93" i="50"/>
  <c r="AS167" i="50"/>
  <c r="DS86" i="50"/>
  <c r="CA75" i="50"/>
  <c r="CR105" i="50"/>
  <c r="ED119" i="50"/>
  <c r="DY203" i="50"/>
  <c r="AA54" i="50"/>
  <c r="Z11" i="26"/>
  <c r="BO167" i="50"/>
  <c r="L90" i="50"/>
  <c r="V116" i="50"/>
  <c r="BO76" i="50"/>
  <c r="BP152" i="50"/>
  <c r="BF86" i="50"/>
  <c r="BB101" i="50"/>
  <c r="EU200" i="50"/>
  <c r="P167" i="50"/>
  <c r="DN152" i="50"/>
  <c r="BK78" i="50"/>
  <c r="CT89" i="50"/>
  <c r="J152" i="50"/>
  <c r="CE116" i="50"/>
  <c r="V109" i="50"/>
  <c r="DJ148" i="50"/>
  <c r="DN133" i="50"/>
  <c r="BA119" i="50"/>
  <c r="P124" i="50"/>
  <c r="AD163" i="50"/>
  <c r="DM77" i="50"/>
  <c r="BL127" i="50"/>
  <c r="DK133" i="50"/>
  <c r="AC223" i="50"/>
  <c r="CR89" i="50"/>
  <c r="AE45" i="50"/>
  <c r="AR150" i="50"/>
  <c r="EC188" i="50"/>
  <c r="DY201" i="50"/>
  <c r="EG112" i="50"/>
  <c r="DO168" i="50"/>
  <c r="CV223" i="50"/>
  <c r="BX167" i="50"/>
  <c r="AS80" i="50"/>
  <c r="Q136" i="50"/>
  <c r="BE87" i="50"/>
  <c r="Z199" i="50"/>
  <c r="ES169" i="50"/>
  <c r="N110" i="50"/>
  <c r="EU113" i="50"/>
  <c r="T113" i="50"/>
  <c r="DP90" i="50"/>
  <c r="EG192" i="50"/>
  <c r="BW205" i="50"/>
  <c r="EG87" i="50"/>
  <c r="CV222" i="50"/>
  <c r="EC87" i="50"/>
  <c r="BE149" i="50"/>
  <c r="J220" i="50"/>
  <c r="BE220" i="50"/>
  <c r="AK147" i="50"/>
  <c r="DO127" i="50"/>
  <c r="AU168" i="50"/>
  <c r="X107" i="50"/>
  <c r="O151" i="50"/>
  <c r="EC103" i="50"/>
  <c r="AX201" i="50"/>
  <c r="Z217" i="50"/>
  <c r="CP127" i="50"/>
  <c r="BQ114" i="50"/>
  <c r="AT219" i="50"/>
  <c r="AC121" i="50"/>
  <c r="AU73" i="50"/>
  <c r="AW191" i="50"/>
  <c r="BF100" i="50"/>
  <c r="EQ201" i="50"/>
  <c r="BQ97" i="50"/>
  <c r="CU203" i="50"/>
  <c r="CS217" i="50"/>
  <c r="X217" i="50"/>
  <c r="EW95" i="50"/>
  <c r="EA88" i="50"/>
  <c r="EU88" i="50"/>
  <c r="F77" i="50"/>
  <c r="BO135" i="50"/>
  <c r="DK102" i="50"/>
  <c r="BY190" i="50"/>
  <c r="CB192" i="50"/>
  <c r="AO165" i="50"/>
  <c r="CD93" i="50"/>
  <c r="N133" i="50"/>
  <c r="DS220" i="50"/>
  <c r="BC124" i="50"/>
  <c r="E206" i="50"/>
  <c r="BK115" i="50"/>
  <c r="Y14" i="50"/>
  <c r="AF18" i="50"/>
  <c r="AG93" i="50"/>
  <c r="P98" i="50"/>
  <c r="DK115" i="50"/>
  <c r="R184" i="50"/>
  <c r="BL163" i="50"/>
  <c r="BO114" i="50"/>
  <c r="F98" i="50"/>
  <c r="DJ90" i="50"/>
  <c r="AI223" i="50"/>
  <c r="AE168" i="50"/>
  <c r="AR166" i="50"/>
  <c r="BF118" i="50"/>
  <c r="DY133" i="50"/>
  <c r="C134" i="50"/>
  <c r="AV219" i="50"/>
  <c r="CU201" i="50"/>
  <c r="R58" i="50"/>
  <c r="AY125" i="50"/>
  <c r="AM169" i="50"/>
  <c r="DQ73" i="50"/>
  <c r="ET192" i="50"/>
  <c r="BM163" i="50"/>
  <c r="DL127" i="50"/>
  <c r="DQ88" i="50"/>
  <c r="CO98" i="50"/>
  <c r="D147" i="50"/>
  <c r="CA152" i="50"/>
  <c r="F76" i="50"/>
  <c r="BQ113" i="50"/>
  <c r="T188" i="50"/>
  <c r="O112" i="50"/>
  <c r="DP206" i="50"/>
  <c r="CU83" i="50"/>
  <c r="BI190" i="50"/>
  <c r="BP145" i="50"/>
  <c r="AE188" i="50"/>
  <c r="X81" i="50"/>
  <c r="V122" i="50"/>
  <c r="I113" i="50"/>
  <c r="EF188" i="50"/>
  <c r="K166" i="50"/>
  <c r="G73" i="50"/>
  <c r="X110" i="50"/>
  <c r="CO87" i="50"/>
  <c r="BE191" i="50"/>
  <c r="EU93" i="50"/>
  <c r="BQ123" i="50"/>
  <c r="AN169" i="50"/>
  <c r="AV108" i="50"/>
  <c r="K76" i="50"/>
  <c r="BO204" i="50"/>
  <c r="DM100" i="50"/>
  <c r="BC203" i="50"/>
  <c r="AF84" i="50"/>
  <c r="D150" i="50"/>
  <c r="AJ84" i="50"/>
  <c r="AT116" i="50"/>
  <c r="CU73" i="50"/>
  <c r="AX132" i="50"/>
  <c r="AU121" i="50"/>
  <c r="E192" i="50"/>
  <c r="CV206" i="50"/>
  <c r="Q81" i="50"/>
  <c r="DR91" i="50"/>
  <c r="DR163" i="50"/>
  <c r="EE151" i="50"/>
  <c r="AL146" i="50"/>
  <c r="DL90" i="50"/>
  <c r="AU119" i="50"/>
  <c r="AH167" i="50"/>
  <c r="L166" i="50"/>
  <c r="AL203" i="50"/>
  <c r="CV77" i="50"/>
  <c r="R151" i="50"/>
  <c r="CQ190" i="50"/>
  <c r="BK114" i="50"/>
  <c r="DQ132" i="50"/>
  <c r="D203" i="50"/>
  <c r="BQ119" i="50"/>
  <c r="BJ191" i="50"/>
  <c r="AP124" i="50"/>
  <c r="ER127" i="50"/>
  <c r="EQ206" i="50"/>
  <c r="EF204" i="50"/>
  <c r="DQ124" i="50"/>
  <c r="N74" i="50"/>
  <c r="AX88" i="50"/>
  <c r="AV164" i="50"/>
  <c r="CR100" i="50"/>
  <c r="DO201" i="50"/>
  <c r="AP186" i="50"/>
  <c r="DS122" i="50"/>
  <c r="X186" i="50"/>
  <c r="CR125" i="50"/>
  <c r="AS127" i="50"/>
  <c r="DK116" i="50"/>
  <c r="W55" i="50"/>
  <c r="ED186" i="50"/>
  <c r="M134" i="50"/>
  <c r="G165" i="50"/>
  <c r="BJ123" i="50"/>
  <c r="DS137" i="50"/>
  <c r="BF164" i="50"/>
  <c r="F200" i="50"/>
  <c r="EC169" i="50"/>
  <c r="N101" i="50"/>
  <c r="BQ99" i="50"/>
  <c r="DN132" i="50"/>
  <c r="P90" i="50"/>
  <c r="CV80" i="50"/>
  <c r="AF150" i="50"/>
  <c r="DJ80" i="50"/>
  <c r="AV133" i="50"/>
  <c r="BO187" i="50"/>
  <c r="EX116" i="50"/>
  <c r="ED190" i="50"/>
  <c r="AM168" i="50"/>
  <c r="V146" i="50"/>
  <c r="AF126" i="50"/>
  <c r="CE222" i="50"/>
  <c r="AF43" i="50"/>
  <c r="EW104" i="50"/>
  <c r="BQ163" i="50"/>
  <c r="ER151" i="50"/>
  <c r="Z115" i="50"/>
  <c r="Q86" i="50"/>
  <c r="U169" i="50"/>
  <c r="CU109" i="50"/>
  <c r="CC90" i="50"/>
  <c r="D222" i="50"/>
  <c r="AA205" i="50"/>
  <c r="BK86" i="50"/>
  <c r="AH152" i="50"/>
  <c r="ED126" i="50"/>
  <c r="AA164" i="50"/>
  <c r="BD190" i="50"/>
  <c r="BW102" i="50"/>
  <c r="DZ121" i="50"/>
  <c r="BC134" i="50"/>
  <c r="BE167" i="50"/>
  <c r="V19" i="50"/>
  <c r="E132" i="50"/>
  <c r="AW136" i="50"/>
  <c r="AA126" i="50"/>
  <c r="BL75" i="50"/>
  <c r="AJ15" i="50"/>
  <c r="AL123" i="50"/>
  <c r="CV111" i="50"/>
  <c r="EF126" i="50"/>
  <c r="BQ203" i="50"/>
  <c r="BZ217" i="50"/>
  <c r="DJ92" i="50"/>
  <c r="BQ89" i="50"/>
  <c r="BE189" i="50"/>
  <c r="CP149" i="50"/>
  <c r="EW145" i="50"/>
  <c r="AM73" i="50"/>
  <c r="CU111" i="50"/>
  <c r="CP88" i="50"/>
  <c r="CE93" i="50"/>
  <c r="BX101" i="50"/>
  <c r="H203" i="50"/>
  <c r="BB99" i="50"/>
  <c r="AT123" i="50"/>
  <c r="EV184" i="50"/>
  <c r="BC163" i="50"/>
  <c r="BO78" i="50"/>
  <c r="BK134" i="50"/>
  <c r="BE109" i="50"/>
  <c r="CU91" i="50"/>
  <c r="AY111" i="50"/>
  <c r="CA188" i="50"/>
  <c r="BH77" i="50"/>
  <c r="CE77" i="50"/>
  <c r="AL125" i="50"/>
  <c r="M165" i="50"/>
  <c r="AF112" i="50"/>
  <c r="ER93" i="50"/>
  <c r="AD219" i="50"/>
  <c r="AA92" i="50"/>
  <c r="L127" i="50"/>
  <c r="AA167" i="50"/>
  <c r="BM133" i="50"/>
  <c r="G76" i="50"/>
  <c r="EF100" i="50"/>
  <c r="AX200" i="50"/>
  <c r="O164" i="50"/>
  <c r="R164" i="50"/>
  <c r="EW112" i="50"/>
  <c r="BF122" i="50"/>
  <c r="BO94" i="50"/>
  <c r="E137" i="50"/>
  <c r="AL189" i="50"/>
  <c r="Q105" i="50"/>
  <c r="R221" i="50"/>
  <c r="BO151" i="50"/>
  <c r="EW76" i="50"/>
  <c r="X138" i="50"/>
  <c r="DQ117" i="50"/>
  <c r="EU132" i="50"/>
  <c r="ES201" i="50"/>
  <c r="EU90" i="50"/>
  <c r="Z103" i="50"/>
  <c r="BH97" i="50"/>
  <c r="V51" i="50"/>
  <c r="CE7" i="26" l="1"/>
  <c r="L44" i="9"/>
  <c r="CF7" i="26"/>
  <c r="M44" i="9"/>
  <c r="BT8" i="24"/>
  <c r="AQ8" i="24" s="1"/>
  <c r="R12" i="9" s="1"/>
  <c r="AG12" i="9" s="1"/>
  <c r="BN26" i="26"/>
  <c r="BN35" i="26"/>
  <c r="BN33" i="26"/>
  <c r="BN29" i="26"/>
  <c r="BN31" i="26"/>
  <c r="BN32" i="26"/>
  <c r="BN30" i="26"/>
  <c r="BT7" i="24"/>
  <c r="AQ7" i="24" s="1"/>
  <c r="R11" i="9" s="1"/>
  <c r="AG11" i="9" s="1"/>
  <c r="BN28" i="26"/>
  <c r="BN34" i="26"/>
  <c r="BN27" i="26"/>
  <c r="M42" i="9"/>
  <c r="CF5" i="26"/>
  <c r="BX8" i="24"/>
  <c r="AU8" i="24" s="1"/>
  <c r="V12" i="9" s="1"/>
  <c r="M43" i="9"/>
  <c r="CF6" i="26"/>
  <c r="CG7" i="26"/>
  <c r="N44" i="9"/>
  <c r="BM28" i="26"/>
  <c r="BM27" i="26"/>
  <c r="BS7" i="24"/>
  <c r="AP7" i="24" s="1"/>
  <c r="Q11" i="9" s="1"/>
  <c r="AI11" i="9" s="1"/>
  <c r="BM31" i="26"/>
  <c r="BM33" i="26"/>
  <c r="BM35" i="26"/>
  <c r="BM30" i="26"/>
  <c r="BM34" i="26"/>
  <c r="BM29" i="26"/>
  <c r="BM26" i="26"/>
  <c r="BM32" i="26"/>
  <c r="BN5" i="26"/>
  <c r="BN9" i="26"/>
  <c r="BN8" i="26"/>
  <c r="BN7" i="26"/>
  <c r="BN6" i="26"/>
  <c r="BT4" i="24"/>
  <c r="AQ4" i="24" s="1"/>
  <c r="R8" i="9" s="1"/>
  <c r="BN4" i="26"/>
  <c r="BV8" i="24"/>
  <c r="AS8" i="24" s="1"/>
  <c r="T12" i="9" s="1"/>
  <c r="M41" i="9"/>
  <c r="CF4" i="26"/>
  <c r="BN11" i="26"/>
  <c r="BN13" i="26"/>
  <c r="BT5" i="24"/>
  <c r="AQ5" i="24" s="1"/>
  <c r="R9" i="9" s="1"/>
  <c r="BN16" i="26"/>
  <c r="BN12" i="26"/>
  <c r="BN17" i="26"/>
  <c r="BN10" i="26"/>
  <c r="BN14" i="26"/>
  <c r="BN15" i="26"/>
  <c r="BR28" i="26"/>
  <c r="BR26" i="26"/>
  <c r="BR33" i="26"/>
  <c r="BR32" i="26"/>
  <c r="BR31" i="26"/>
  <c r="BR34" i="26"/>
  <c r="BR35" i="26"/>
  <c r="BR29" i="26"/>
  <c r="BR27" i="26"/>
  <c r="BR30" i="26"/>
  <c r="BX7" i="24"/>
  <c r="AU7" i="24" s="1"/>
  <c r="V11" i="9" s="1"/>
  <c r="BU8" i="24"/>
  <c r="AR8" i="24" s="1"/>
  <c r="S12" i="9" s="1"/>
  <c r="BO35" i="26"/>
  <c r="BO30" i="26"/>
  <c r="BO26" i="26"/>
  <c r="BU7" i="24"/>
  <c r="AR7" i="24" s="1"/>
  <c r="S11" i="9" s="1"/>
  <c r="BO33" i="26"/>
  <c r="BO28" i="26"/>
  <c r="BO32" i="26"/>
  <c r="BO31" i="26"/>
  <c r="BO29" i="26"/>
  <c r="BO27" i="26"/>
  <c r="BO34" i="26"/>
  <c r="BS8" i="24"/>
  <c r="AP8" i="24" s="1"/>
  <c r="Q12" i="9" s="1"/>
  <c r="P44" i="9"/>
  <c r="CI7" i="26"/>
  <c r="BN22" i="26"/>
  <c r="BT6" i="24"/>
  <c r="AQ6" i="24" s="1"/>
  <c r="R10" i="9" s="1"/>
  <c r="AG10" i="9" s="1"/>
  <c r="BN23" i="26"/>
  <c r="BN21" i="26"/>
  <c r="BN18" i="26"/>
  <c r="BN19" i="26"/>
  <c r="BN20" i="26"/>
  <c r="BN25" i="26"/>
  <c r="BN24" i="26"/>
  <c r="BW8" i="24"/>
  <c r="AT8" i="24" s="1"/>
  <c r="U12" i="9" s="1"/>
  <c r="CH7" i="26"/>
  <c r="O44" i="9"/>
  <c r="BQ28" i="26"/>
  <c r="BQ31" i="26"/>
  <c r="BQ33" i="26"/>
  <c r="BQ27" i="26"/>
  <c r="BQ29" i="26"/>
  <c r="BQ35" i="26"/>
  <c r="BQ34" i="26"/>
  <c r="BW7" i="24"/>
  <c r="AT7" i="24" s="1"/>
  <c r="U11" i="9" s="1"/>
  <c r="BQ32" i="26"/>
  <c r="BQ26" i="26"/>
  <c r="BQ30" i="26"/>
  <c r="BP30" i="26"/>
  <c r="BV7" i="24"/>
  <c r="AS7" i="24" s="1"/>
  <c r="T11" i="9" s="1"/>
  <c r="AJ11" i="9" s="1"/>
  <c r="BP27" i="26"/>
  <c r="BP32" i="26"/>
  <c r="BP35" i="26"/>
  <c r="BP34" i="26"/>
  <c r="BP31" i="26"/>
  <c r="BP29" i="26"/>
  <c r="BP33" i="26"/>
  <c r="BP28" i="26"/>
  <c r="BP26" i="26"/>
  <c r="AI12" i="9"/>
  <c r="AL12" i="9" s="1"/>
  <c r="AJ12" i="9"/>
  <c r="AN12" i="9" s="1"/>
  <c r="AF12" i="9"/>
  <c r="AR12" i="9" s="1"/>
  <c r="Z5" i="35"/>
  <c r="V5" i="35" s="1"/>
  <c r="C5" i="35" s="1"/>
  <c r="Z4" i="35"/>
  <c r="V4" i="35" s="1"/>
  <c r="C4" i="35" s="1"/>
  <c r="AI10" i="9"/>
  <c r="AF10" i="9"/>
  <c r="Z6" i="35"/>
  <c r="V6" i="35" s="1"/>
  <c r="C6" i="35" s="1"/>
  <c r="Z7" i="35"/>
  <c r="V7" i="35" s="1"/>
  <c r="C7" i="35" s="1"/>
  <c r="AL11" i="9"/>
  <c r="E62" i="41"/>
  <c r="B63" i="41" s="1"/>
  <c r="M102" i="34"/>
  <c r="J103" i="34" s="1"/>
  <c r="L102" i="34"/>
  <c r="BW61" i="26"/>
  <c r="BV61" i="26"/>
  <c r="BL61" i="26"/>
  <c r="BK61" i="26"/>
  <c r="K101" i="34"/>
  <c r="N101" i="34"/>
  <c r="H62" i="41"/>
  <c r="AM12" i="9" l="1"/>
  <c r="AN11" i="9"/>
  <c r="AK11" i="9"/>
  <c r="AF9" i="9"/>
  <c r="AG9" i="9"/>
  <c r="AI9" i="9"/>
  <c r="AF11" i="9"/>
  <c r="AR11" i="9" s="1"/>
  <c r="AG8" i="9"/>
  <c r="AF8" i="9"/>
  <c r="AI8" i="9"/>
  <c r="AK12" i="9"/>
  <c r="AM11" i="9"/>
  <c r="D78" i="9"/>
  <c r="D76" i="9"/>
  <c r="AR10" i="9"/>
  <c r="AK10" i="9"/>
  <c r="AM10" i="9"/>
  <c r="AL10" i="9"/>
  <c r="N102" i="34"/>
  <c r="BI62" i="26"/>
  <c r="BJ62" i="26" s="1"/>
  <c r="BH61" i="26"/>
  <c r="L103" i="34"/>
  <c r="M103" i="34"/>
  <c r="J104" i="34" s="1"/>
  <c r="BS61" i="26"/>
  <c r="BT61" i="26"/>
  <c r="J62" i="41"/>
  <c r="L62" i="41" s="1"/>
  <c r="I62" i="41"/>
  <c r="K62" i="41" s="1"/>
  <c r="BX61" i="26"/>
  <c r="BU61" i="26"/>
  <c r="F63" i="41"/>
  <c r="C63" i="41"/>
  <c r="D63" i="41" s="1"/>
  <c r="BY61" i="26"/>
  <c r="K102" i="34"/>
  <c r="AR8" i="9" l="1"/>
  <c r="D74" i="9"/>
  <c r="AL9" i="9"/>
  <c r="AK9" i="9"/>
  <c r="AM9" i="9"/>
  <c r="AR9" i="9"/>
  <c r="D75" i="9"/>
  <c r="D77" i="9"/>
  <c r="AL8" i="9"/>
  <c r="AK8" i="9"/>
  <c r="AM8" i="9"/>
  <c r="K103" i="34"/>
  <c r="E63" i="41"/>
  <c r="B64" i="41" s="1"/>
  <c r="H63" i="41"/>
  <c r="L104" i="34"/>
  <c r="K104" i="34" s="1"/>
  <c r="M104" i="34"/>
  <c r="J105" i="34" s="1"/>
  <c r="N103" i="34"/>
  <c r="BK62" i="26"/>
  <c r="BW62" i="26"/>
  <c r="BV62" i="26"/>
  <c r="BL62" i="26"/>
  <c r="BX62" i="26" l="1"/>
  <c r="F64" i="41"/>
  <c r="C64" i="41"/>
  <c r="BY62" i="26"/>
  <c r="BS62" i="26"/>
  <c r="L105" i="34"/>
  <c r="M105" i="34"/>
  <c r="J106" i="34" s="1"/>
  <c r="BH62" i="26"/>
  <c r="J63" i="41"/>
  <c r="L63" i="41" s="1"/>
  <c r="I63" i="41"/>
  <c r="K63" i="41" s="1"/>
  <c r="BI63" i="26"/>
  <c r="BJ63" i="26" s="1"/>
  <c r="BT62" i="26"/>
  <c r="BU62" i="26"/>
  <c r="N104" i="34"/>
  <c r="BL63" i="26" l="1"/>
  <c r="BH63" i="26" s="1"/>
  <c r="BK63" i="26"/>
  <c r="BW63" i="26"/>
  <c r="BV63" i="26"/>
  <c r="K105" i="34"/>
  <c r="L106" i="34"/>
  <c r="M106" i="34"/>
  <c r="J107" i="34" s="1"/>
  <c r="N105" i="34"/>
  <c r="D64" i="41"/>
  <c r="H64" i="41" s="1"/>
  <c r="DV146" i="50"/>
  <c r="FK150" i="50"/>
  <c r="AG228" i="50"/>
  <c r="CY149" i="50"/>
  <c r="AZ226" i="50"/>
  <c r="P171" i="50"/>
  <c r="AT171" i="50"/>
  <c r="EY141" i="50"/>
  <c r="BS77" i="50"/>
  <c r="FA80" i="50"/>
  <c r="CF100" i="50"/>
  <c r="DG148" i="50"/>
  <c r="BT124" i="50"/>
  <c r="BO172" i="50"/>
  <c r="DJ157" i="50"/>
  <c r="X210" i="50"/>
  <c r="BM153" i="50"/>
  <c r="FE83" i="50"/>
  <c r="EK191" i="50"/>
  <c r="CW216" i="50"/>
  <c r="BV80" i="50"/>
  <c r="L233" i="50"/>
  <c r="AS225" i="50"/>
  <c r="CQ211" i="50"/>
  <c r="AI157" i="50"/>
  <c r="CZ93" i="50"/>
  <c r="EZ83" i="50"/>
  <c r="AU197" i="50"/>
  <c r="EE233" i="50"/>
  <c r="DU115" i="50"/>
  <c r="CH235" i="50"/>
  <c r="FB179" i="50"/>
  <c r="DX232" i="50"/>
  <c r="C226" i="50"/>
  <c r="BV152" i="50"/>
  <c r="W154" i="50"/>
  <c r="DU185" i="50"/>
  <c r="CZ108" i="50"/>
  <c r="FE108" i="50"/>
  <c r="ES207" i="50"/>
  <c r="AW175" i="50"/>
  <c r="AT140" i="50"/>
  <c r="FI168" i="50"/>
  <c r="EH222" i="50"/>
  <c r="BI155" i="50"/>
  <c r="CZ104" i="50"/>
  <c r="EI155" i="50"/>
  <c r="CW213" i="50"/>
  <c r="F161" i="50"/>
  <c r="EN115" i="50"/>
  <c r="DT147" i="50"/>
  <c r="AR157" i="50"/>
  <c r="AG237" i="50"/>
  <c r="FA189" i="50"/>
  <c r="FC98" i="50"/>
  <c r="DP230" i="50"/>
  <c r="AO153" i="50"/>
  <c r="CG207" i="50"/>
  <c r="CV142" i="50"/>
  <c r="EY195" i="50"/>
  <c r="DW141" i="50"/>
  <c r="BI153" i="50"/>
  <c r="EH184" i="50"/>
  <c r="EQ154" i="50"/>
  <c r="BX227" i="50"/>
  <c r="BR140" i="50"/>
  <c r="BS185" i="50"/>
  <c r="BQ211" i="50"/>
  <c r="FJ113" i="50"/>
  <c r="BS225" i="50"/>
  <c r="EJ105" i="50"/>
  <c r="ED129" i="50"/>
  <c r="K193" i="50"/>
  <c r="J170" i="50"/>
  <c r="FC107" i="50"/>
  <c r="EI147" i="50"/>
  <c r="AI20" i="50"/>
  <c r="AH58" i="50"/>
  <c r="AH55" i="50"/>
  <c r="EN127" i="50"/>
  <c r="FJ222" i="50"/>
  <c r="BZ209" i="50"/>
  <c r="BI160" i="50"/>
  <c r="FB167" i="50"/>
  <c r="CZ138" i="50"/>
  <c r="CN202" i="50"/>
  <c r="AS159" i="50"/>
  <c r="CS139" i="50"/>
  <c r="AC30" i="50"/>
  <c r="CX107" i="50"/>
  <c r="CM106" i="50"/>
  <c r="AT154" i="50"/>
  <c r="BU220" i="50"/>
  <c r="FJ233" i="50"/>
  <c r="FD187" i="50"/>
  <c r="DZ143" i="50"/>
  <c r="X226" i="50"/>
  <c r="BE128" i="50"/>
  <c r="CJ206" i="50"/>
  <c r="DF164" i="50"/>
  <c r="CF91" i="50"/>
  <c r="DQ226" i="50"/>
  <c r="I224" i="50"/>
  <c r="BZ207" i="50"/>
  <c r="EY81" i="50"/>
  <c r="AC208" i="50"/>
  <c r="CJ182" i="50"/>
  <c r="EY89" i="50"/>
  <c r="CY185" i="50"/>
  <c r="AP225" i="50"/>
  <c r="DW90" i="50"/>
  <c r="X182" i="50"/>
  <c r="BR199" i="50"/>
  <c r="EL89" i="50"/>
  <c r="AE22" i="26"/>
  <c r="CG86" i="50"/>
  <c r="EK219" i="50"/>
  <c r="BG87" i="50"/>
  <c r="FB88" i="50"/>
  <c r="M142" i="50"/>
  <c r="AV173" i="50"/>
  <c r="EJ186" i="50"/>
  <c r="DX80" i="50"/>
  <c r="AE129" i="50"/>
  <c r="CH188" i="50"/>
  <c r="DX88" i="50"/>
  <c r="AY143" i="50"/>
  <c r="DB109" i="50"/>
  <c r="CG82" i="50"/>
  <c r="ER156" i="50"/>
  <c r="AE23" i="50"/>
  <c r="DC236" i="50"/>
  <c r="EK87" i="50"/>
  <c r="DU194" i="50"/>
  <c r="DV207" i="50"/>
  <c r="CV215" i="50"/>
  <c r="CQ171" i="50"/>
  <c r="BS212" i="50"/>
  <c r="CQ174" i="50"/>
  <c r="U25" i="50"/>
  <c r="EH181" i="50"/>
  <c r="AU172" i="50"/>
  <c r="AB170" i="50"/>
  <c r="AL224" i="50"/>
  <c r="CI175" i="50"/>
  <c r="BG196" i="50"/>
  <c r="CE142" i="50"/>
  <c r="DV217" i="50"/>
  <c r="EP80" i="50"/>
  <c r="I144" i="50"/>
  <c r="DB128" i="50"/>
  <c r="CO176" i="50"/>
  <c r="J171" i="50"/>
  <c r="CX118" i="50"/>
  <c r="DA157" i="50"/>
  <c r="H158" i="50"/>
  <c r="CG102" i="50"/>
  <c r="FB151" i="50"/>
  <c r="FC131" i="50"/>
  <c r="FF100" i="50"/>
  <c r="EK91" i="50"/>
  <c r="R162" i="50"/>
  <c r="Q179" i="50"/>
  <c r="EH188" i="50"/>
  <c r="C178" i="50"/>
  <c r="CS179" i="50"/>
  <c r="CV154" i="50"/>
  <c r="BS100" i="50"/>
  <c r="EB128" i="50"/>
  <c r="DB165" i="50"/>
  <c r="DV149" i="50"/>
  <c r="CX83" i="50"/>
  <c r="BQ228" i="50"/>
  <c r="CM118" i="50"/>
  <c r="BW178" i="50"/>
  <c r="DX154" i="50"/>
  <c r="AD62" i="50"/>
  <c r="FK165" i="50"/>
  <c r="DG159" i="50"/>
  <c r="AA13" i="26"/>
  <c r="AB157" i="50"/>
  <c r="BT172" i="50"/>
  <c r="BS84" i="50"/>
  <c r="EJ197" i="50"/>
  <c r="U172" i="50"/>
  <c r="CD139" i="50"/>
  <c r="EH150" i="50"/>
  <c r="CX121" i="50"/>
  <c r="AQ211" i="50"/>
  <c r="K139" i="50"/>
  <c r="EJ140" i="50"/>
  <c r="CX96" i="50"/>
  <c r="BQ212" i="50"/>
  <c r="AB171" i="50"/>
  <c r="ER141" i="50"/>
  <c r="DL233" i="50"/>
  <c r="FI163" i="50"/>
  <c r="CI141" i="50"/>
  <c r="BF214" i="50"/>
  <c r="DN226" i="50"/>
  <c r="EJ199" i="50"/>
  <c r="BM208" i="50"/>
  <c r="EL169" i="50"/>
  <c r="EI81" i="50"/>
  <c r="EI204" i="50"/>
  <c r="AS155" i="50"/>
  <c r="FF78" i="50"/>
  <c r="DZ170" i="50"/>
  <c r="DH91" i="50"/>
  <c r="DA99" i="50"/>
  <c r="EJ95" i="50"/>
  <c r="CN140" i="50"/>
  <c r="CG96" i="50"/>
  <c r="EY193" i="50"/>
  <c r="AK155" i="50"/>
  <c r="FE201" i="50"/>
  <c r="EL223" i="50"/>
  <c r="CX87" i="50"/>
  <c r="EQ224" i="50"/>
  <c r="BH229" i="50"/>
  <c r="EM112" i="50"/>
  <c r="N157" i="50"/>
  <c r="DN143" i="50"/>
  <c r="EM82" i="50"/>
  <c r="DW126" i="50"/>
  <c r="BG228" i="50"/>
  <c r="CA235" i="50"/>
  <c r="BR151" i="50"/>
  <c r="BF172" i="50"/>
  <c r="CH170" i="50"/>
  <c r="BD139" i="50"/>
  <c r="EX236" i="50"/>
  <c r="AJ195" i="50"/>
  <c r="CJ78" i="50"/>
  <c r="T224" i="50"/>
  <c r="CZ209" i="50"/>
  <c r="DX169" i="50"/>
  <c r="BC175" i="50"/>
  <c r="BZ236" i="50"/>
  <c r="T160" i="50"/>
  <c r="BZ170" i="50"/>
  <c r="CF202" i="50"/>
  <c r="CM131" i="50"/>
  <c r="EV207" i="50"/>
  <c r="R211" i="50"/>
  <c r="BU101" i="50"/>
  <c r="N143" i="50"/>
  <c r="CP196" i="50"/>
  <c r="N172" i="50"/>
  <c r="EH168" i="50"/>
  <c r="FE224" i="50"/>
  <c r="DM158" i="50"/>
  <c r="CI215" i="50"/>
  <c r="DA203" i="50"/>
  <c r="AG172" i="50"/>
  <c r="BR174" i="50"/>
  <c r="BT156" i="50"/>
  <c r="DC196" i="50"/>
  <c r="CX122" i="50"/>
  <c r="BS227" i="50"/>
  <c r="EJ80" i="50"/>
  <c r="CV128" i="50"/>
  <c r="BG188" i="50"/>
  <c r="AM173" i="50"/>
  <c r="AC23" i="50"/>
  <c r="CW155" i="50"/>
  <c r="DT149" i="50"/>
  <c r="EP101" i="50"/>
  <c r="AV161" i="50"/>
  <c r="EI202" i="50"/>
  <c r="CE193" i="50"/>
  <c r="BT84" i="50"/>
  <c r="DS194" i="50"/>
  <c r="Z208" i="50"/>
  <c r="BQ194" i="50"/>
  <c r="G159" i="50"/>
  <c r="BS108" i="50"/>
  <c r="CH118" i="50"/>
  <c r="CZ218" i="50"/>
  <c r="BU191" i="50"/>
  <c r="BR117" i="50"/>
  <c r="AZ225" i="50"/>
  <c r="EZ80" i="50"/>
  <c r="DR160" i="50"/>
  <c r="DZ197" i="50"/>
  <c r="DH193" i="50"/>
  <c r="DU168" i="50"/>
  <c r="EL221" i="50"/>
  <c r="BS97" i="50"/>
  <c r="AH173" i="50"/>
  <c r="CR180" i="50"/>
  <c r="CQ175" i="50"/>
  <c r="ET139" i="50"/>
  <c r="DD155" i="50"/>
  <c r="DI209" i="50"/>
  <c r="CL78" i="50"/>
  <c r="FA207" i="50"/>
  <c r="CN80" i="50"/>
  <c r="BU97" i="50"/>
  <c r="CQ229" i="50"/>
  <c r="DW79" i="50"/>
  <c r="FA185" i="50"/>
  <c r="Q128" i="50"/>
  <c r="BZ234" i="50"/>
  <c r="F216" i="50"/>
  <c r="BN154" i="50"/>
  <c r="DU117" i="50"/>
  <c r="CF188" i="50"/>
  <c r="DD104" i="50"/>
  <c r="CC229" i="50"/>
  <c r="BV149" i="50"/>
  <c r="CE129" i="50"/>
  <c r="CL169" i="50"/>
  <c r="CG234" i="50"/>
  <c r="DE163" i="50"/>
  <c r="CB158" i="50"/>
  <c r="DE140" i="50"/>
  <c r="EZ101" i="50"/>
  <c r="CA196" i="50"/>
  <c r="CH200" i="50"/>
  <c r="BU143" i="50"/>
  <c r="DS157" i="50"/>
  <c r="EO174" i="50"/>
  <c r="FA95" i="50"/>
  <c r="AB39" i="26"/>
  <c r="EB194" i="50"/>
  <c r="M215" i="50"/>
  <c r="AD209" i="50"/>
  <c r="CX212" i="50"/>
  <c r="DO162" i="50"/>
  <c r="BY214" i="50"/>
  <c r="FC150" i="50"/>
  <c r="DD173" i="50"/>
  <c r="FE117" i="50"/>
  <c r="CE154" i="50"/>
  <c r="CY134" i="50"/>
  <c r="DV221" i="50"/>
  <c r="CK234" i="50"/>
  <c r="AB20" i="26"/>
  <c r="EY131" i="50"/>
  <c r="DZ232" i="50"/>
  <c r="ET229" i="50"/>
  <c r="FG160" i="50"/>
  <c r="AI183" i="50"/>
  <c r="EY78" i="50"/>
  <c r="N139" i="50"/>
  <c r="CW150" i="50"/>
  <c r="AN179" i="50"/>
  <c r="FA109" i="50"/>
  <c r="CG160" i="50"/>
  <c r="DC89" i="50"/>
  <c r="CY214" i="50"/>
  <c r="AV157" i="50"/>
  <c r="BG231" i="50"/>
  <c r="BB207" i="50"/>
  <c r="CP172" i="50"/>
  <c r="BU202" i="50"/>
  <c r="CK105" i="50"/>
  <c r="CT128" i="50"/>
  <c r="AZ224" i="50"/>
  <c r="BJ226" i="50"/>
  <c r="DJ140" i="50"/>
  <c r="BR214" i="50"/>
  <c r="J225" i="50"/>
  <c r="C128" i="50"/>
  <c r="CI207" i="50"/>
  <c r="DY140" i="50"/>
  <c r="FA179" i="50"/>
  <c r="DH131" i="50"/>
  <c r="P233" i="50"/>
  <c r="BL160" i="50"/>
  <c r="AG224" i="50"/>
  <c r="BG84" i="50"/>
  <c r="D225" i="50"/>
  <c r="CF132" i="50"/>
  <c r="DI223" i="50"/>
  <c r="CT208" i="50"/>
  <c r="BH179" i="50"/>
  <c r="AK142" i="50"/>
  <c r="Z27" i="26"/>
  <c r="BR220" i="50"/>
  <c r="CJ198" i="50"/>
  <c r="W226" i="50"/>
  <c r="DH101" i="50"/>
  <c r="H35" i="50"/>
  <c r="EN169" i="50"/>
  <c r="FI109" i="50"/>
  <c r="DV127" i="50"/>
  <c r="CH137" i="50"/>
  <c r="EM234" i="50"/>
  <c r="AY140" i="50"/>
  <c r="H215" i="50"/>
  <c r="FG80" i="50"/>
  <c r="EK81" i="50"/>
  <c r="DT77" i="50"/>
  <c r="ET233" i="50"/>
  <c r="DU124" i="50"/>
  <c r="L140" i="50"/>
  <c r="P181" i="50"/>
  <c r="DE134" i="50"/>
  <c r="EA227" i="50"/>
  <c r="EI91" i="50"/>
  <c r="FC76" i="50"/>
  <c r="FC106" i="50"/>
  <c r="CJ133" i="50"/>
  <c r="BR181" i="50"/>
  <c r="BO182" i="50"/>
  <c r="CJ121" i="50"/>
  <c r="CM165" i="50"/>
  <c r="EG171" i="50"/>
  <c r="AP228" i="50"/>
  <c r="DW161" i="50"/>
  <c r="DS156" i="50"/>
  <c r="CY164" i="50"/>
  <c r="CW164" i="50"/>
  <c r="CX188" i="50"/>
  <c r="FB95" i="50"/>
  <c r="EZ207" i="50"/>
  <c r="AX237" i="50"/>
  <c r="CN179" i="50"/>
  <c r="CF116" i="50"/>
  <c r="AZ211" i="50"/>
  <c r="AJ55" i="50"/>
  <c r="DZ227" i="50"/>
  <c r="EM76" i="50"/>
  <c r="BO143" i="50"/>
  <c r="CH202" i="50"/>
  <c r="CS173" i="50"/>
  <c r="EH85" i="50"/>
  <c r="AP196" i="50"/>
  <c r="BR225" i="50"/>
  <c r="Z157" i="50"/>
  <c r="CI90" i="50"/>
  <c r="BS80" i="50"/>
  <c r="CU177" i="50"/>
  <c r="FK151" i="50"/>
  <c r="EX142" i="50"/>
  <c r="DU170" i="50"/>
  <c r="CJ194" i="50"/>
  <c r="DV132" i="50"/>
  <c r="CD226" i="50"/>
  <c r="DU116" i="50"/>
  <c r="DH88" i="50"/>
  <c r="FC114" i="50"/>
  <c r="E180" i="50"/>
  <c r="AH162" i="50"/>
  <c r="BR152" i="50"/>
  <c r="CF121" i="50"/>
  <c r="AD193" i="50"/>
  <c r="AS173" i="50"/>
  <c r="CF219" i="50"/>
  <c r="L207" i="50"/>
  <c r="K33" i="50"/>
  <c r="Y157" i="50"/>
  <c r="ET224" i="50"/>
  <c r="BJ140" i="50"/>
  <c r="DD180" i="50"/>
  <c r="DM211" i="50"/>
  <c r="AE193" i="50"/>
  <c r="CC180" i="50"/>
  <c r="BU185" i="50"/>
  <c r="EL189" i="50"/>
  <c r="CW127" i="50"/>
  <c r="DW167" i="50"/>
  <c r="DW75" i="50"/>
  <c r="CY175" i="50"/>
  <c r="CD129" i="50"/>
  <c r="CX116" i="50"/>
  <c r="FJ198" i="50"/>
  <c r="BE193" i="50"/>
  <c r="AR142" i="50"/>
  <c r="CB225" i="50"/>
  <c r="BW209" i="50"/>
  <c r="CY83" i="50"/>
  <c r="FJ106" i="50"/>
  <c r="CM151" i="50"/>
  <c r="FB112" i="50"/>
  <c r="BW160" i="50"/>
  <c r="EM138" i="50"/>
  <c r="FA220" i="50"/>
  <c r="CF187" i="50"/>
  <c r="CV141" i="50"/>
  <c r="V236" i="50"/>
  <c r="AV213" i="50"/>
  <c r="CK141" i="50"/>
  <c r="CH94" i="50"/>
  <c r="N140" i="50"/>
  <c r="AK208" i="50"/>
  <c r="DP195" i="50"/>
  <c r="V174" i="50"/>
  <c r="AA233" i="50"/>
  <c r="CS196" i="50"/>
  <c r="DI82" i="50"/>
  <c r="CJ124" i="50"/>
  <c r="EL117" i="50"/>
  <c r="DY209" i="50"/>
  <c r="I170" i="50"/>
  <c r="J157" i="50"/>
  <c r="AB15" i="26"/>
  <c r="AR139" i="50"/>
  <c r="DN139" i="50"/>
  <c r="AO160" i="50"/>
  <c r="EN160" i="50"/>
  <c r="BD156" i="50"/>
  <c r="K194" i="50"/>
  <c r="BX194" i="50"/>
  <c r="T179" i="50"/>
  <c r="DB224" i="50"/>
  <c r="ES210" i="50"/>
  <c r="BG110" i="50"/>
  <c r="CX170" i="50"/>
  <c r="EY117" i="50"/>
  <c r="FA118" i="50"/>
  <c r="BL139" i="50"/>
  <c r="FD131" i="50"/>
  <c r="DU157" i="50"/>
  <c r="DA202" i="50"/>
  <c r="DX226" i="50"/>
  <c r="BT97" i="50"/>
  <c r="EK161" i="50"/>
  <c r="EO120" i="50"/>
  <c r="AT156" i="50"/>
  <c r="CI75" i="50"/>
  <c r="AI53" i="50"/>
  <c r="EZ135" i="50"/>
  <c r="BM224" i="50"/>
  <c r="EJ123" i="50"/>
  <c r="EY94" i="50"/>
  <c r="FI211" i="50"/>
  <c r="CG209" i="50"/>
  <c r="BF170" i="50"/>
  <c r="BR97" i="50"/>
  <c r="CE143" i="50"/>
  <c r="CR155" i="50"/>
  <c r="DE165" i="50"/>
  <c r="BY128" i="50"/>
  <c r="CJ200" i="50"/>
  <c r="K195" i="50"/>
  <c r="BP209" i="50"/>
  <c r="BY158" i="50"/>
  <c r="DK230" i="50"/>
  <c r="FK170" i="50"/>
  <c r="AF225" i="50"/>
  <c r="EK196" i="50"/>
  <c r="DH170" i="50"/>
  <c r="DB73" i="50"/>
  <c r="EY191" i="50"/>
  <c r="EZ93" i="50"/>
  <c r="BS205" i="50"/>
  <c r="FD88" i="50"/>
  <c r="CY114" i="50"/>
  <c r="EK154" i="50"/>
  <c r="AB236" i="50"/>
  <c r="EJ138" i="50"/>
  <c r="EI207" i="50"/>
  <c r="AL154" i="50"/>
  <c r="CP179" i="50"/>
  <c r="FF93" i="50"/>
  <c r="BE213" i="50"/>
  <c r="G39" i="50"/>
  <c r="AZ207" i="50"/>
  <c r="AN231" i="50"/>
  <c r="BN143" i="50"/>
  <c r="EK139" i="50"/>
  <c r="CH153" i="50"/>
  <c r="AT170" i="50"/>
  <c r="FJ109" i="50"/>
  <c r="EN132" i="50"/>
  <c r="EL218" i="50"/>
  <c r="BN174" i="50"/>
  <c r="AT237" i="50"/>
  <c r="K161" i="50"/>
  <c r="BT111" i="50"/>
  <c r="DN235" i="50"/>
  <c r="DQ196" i="50"/>
  <c r="BI210" i="50"/>
  <c r="DB135" i="50"/>
  <c r="BS94" i="50"/>
  <c r="CY121" i="50"/>
  <c r="AO143" i="50"/>
  <c r="AG209" i="50"/>
  <c r="T156" i="50"/>
  <c r="CZ206" i="50"/>
  <c r="X211" i="50"/>
  <c r="DL226" i="50"/>
  <c r="FA196" i="50"/>
  <c r="BG192" i="50"/>
  <c r="EQ153" i="50"/>
  <c r="CI209" i="50"/>
  <c r="W156" i="50"/>
  <c r="FK93" i="50"/>
  <c r="BR91" i="50"/>
  <c r="BT152" i="50"/>
  <c r="DG196" i="50"/>
  <c r="BR202" i="50"/>
  <c r="DI77" i="50"/>
  <c r="EN129" i="50"/>
  <c r="EO221" i="50"/>
  <c r="CJ156" i="50"/>
  <c r="FJ118" i="50"/>
  <c r="J160" i="50"/>
  <c r="U175" i="50"/>
  <c r="AO129" i="50"/>
  <c r="Z197" i="50"/>
  <c r="AK161" i="50"/>
  <c r="DI228" i="50"/>
  <c r="DZ234" i="50"/>
  <c r="S161" i="50"/>
  <c r="AX154" i="50"/>
  <c r="AB47" i="26"/>
  <c r="BL156" i="50"/>
  <c r="AJ58" i="50"/>
  <c r="FI233" i="50"/>
  <c r="EI133" i="50"/>
  <c r="BG126" i="50"/>
  <c r="BL179" i="50"/>
  <c r="AI22" i="50"/>
  <c r="AH213" i="50"/>
  <c r="DS172" i="50"/>
  <c r="ET195" i="50"/>
  <c r="BB128" i="50"/>
  <c r="DY212" i="50"/>
  <c r="FK188" i="50"/>
  <c r="AY153" i="50"/>
  <c r="AH25" i="50"/>
  <c r="AL227" i="50"/>
  <c r="CO172" i="50"/>
  <c r="DR234" i="50"/>
  <c r="CQ193" i="50"/>
  <c r="EI192" i="50"/>
  <c r="BR230" i="50"/>
  <c r="EO99" i="50"/>
  <c r="K153" i="50"/>
  <c r="BV227" i="50"/>
  <c r="DR233" i="50"/>
  <c r="FI161" i="50"/>
  <c r="EG214" i="50"/>
  <c r="CF167" i="50"/>
  <c r="AQ162" i="50"/>
  <c r="BO175" i="50"/>
  <c r="CI164" i="50"/>
  <c r="FK121" i="50"/>
  <c r="E234" i="50"/>
  <c r="S174" i="50"/>
  <c r="CI219" i="50"/>
  <c r="DV150" i="50"/>
  <c r="AI43" i="50"/>
  <c r="T25" i="50"/>
  <c r="DB189" i="50"/>
  <c r="N213" i="50"/>
  <c r="DF131" i="50"/>
  <c r="BS232" i="50"/>
  <c r="EW226" i="50"/>
  <c r="DA91" i="50"/>
  <c r="AU142" i="50"/>
  <c r="CS195" i="50"/>
  <c r="CZ221" i="50"/>
  <c r="CY104" i="50"/>
  <c r="CA158" i="50"/>
  <c r="FH198" i="50"/>
  <c r="BT161" i="50"/>
  <c r="AY154" i="50"/>
  <c r="BG115" i="50"/>
  <c r="EU212" i="50"/>
  <c r="AA160" i="50"/>
  <c r="U158" i="50"/>
  <c r="BC140" i="50"/>
  <c r="FE202" i="50"/>
  <c r="BH228" i="50"/>
  <c r="BV132" i="50"/>
  <c r="O173" i="50"/>
  <c r="AV170" i="50"/>
  <c r="AG198" i="50"/>
  <c r="AJ162" i="50"/>
  <c r="DB228" i="50"/>
  <c r="BC144" i="50"/>
  <c r="BN230" i="50"/>
  <c r="BY160" i="50"/>
  <c r="AJ143" i="50"/>
  <c r="BU203" i="50"/>
  <c r="DX228" i="50"/>
  <c r="FA165" i="50"/>
  <c r="CI223" i="50"/>
  <c r="DD149" i="50"/>
  <c r="CH208" i="50"/>
  <c r="L30" i="50"/>
  <c r="DE84" i="50"/>
  <c r="DT184" i="50"/>
  <c r="DU209" i="50"/>
  <c r="W210" i="50"/>
  <c r="EK205" i="50"/>
  <c r="CJ128" i="50"/>
  <c r="EG154" i="50"/>
  <c r="AS156" i="50"/>
  <c r="R153" i="50"/>
  <c r="FI85" i="50"/>
  <c r="FG158" i="50"/>
  <c r="CA228" i="50"/>
  <c r="DU175" i="50"/>
  <c r="EO208" i="50"/>
  <c r="EH151" i="50"/>
  <c r="CW96" i="50"/>
  <c r="BR84" i="50"/>
  <c r="AB177" i="50"/>
  <c r="EJ106" i="50"/>
  <c r="FD125" i="50"/>
  <c r="BZ228" i="50"/>
  <c r="DB133" i="50"/>
  <c r="EF155" i="50"/>
  <c r="DC109" i="50"/>
  <c r="D194" i="50"/>
  <c r="FC225" i="50"/>
  <c r="EY106" i="50"/>
  <c r="EL212" i="50"/>
  <c r="DD203" i="50"/>
  <c r="DZ208" i="50"/>
  <c r="BK208" i="50"/>
  <c r="BT96" i="50"/>
  <c r="DT73" i="50"/>
  <c r="DQ212" i="50"/>
  <c r="CH88" i="50"/>
  <c r="EZ174" i="50"/>
  <c r="G225" i="50"/>
  <c r="CF140" i="50"/>
  <c r="DG137" i="50"/>
  <c r="DE173" i="50"/>
  <c r="CX207" i="50"/>
  <c r="CY210" i="50"/>
  <c r="BU156" i="50"/>
  <c r="CH191" i="50"/>
  <c r="U176" i="50"/>
  <c r="BQ214" i="50"/>
  <c r="CB230" i="50"/>
  <c r="CX234" i="50"/>
  <c r="K158" i="50"/>
  <c r="DE190" i="50"/>
  <c r="DW203" i="50"/>
  <c r="EE232" i="50"/>
  <c r="Q176" i="50"/>
  <c r="M172" i="50"/>
  <c r="BG113" i="50"/>
  <c r="BH158" i="50"/>
  <c r="EI160" i="50"/>
  <c r="S154" i="50"/>
  <c r="DP144" i="50"/>
  <c r="AK183" i="50"/>
  <c r="DS197" i="50"/>
  <c r="BG149" i="50"/>
  <c r="EM189" i="50"/>
  <c r="DD204" i="50"/>
  <c r="EL213" i="50"/>
  <c r="FJ101" i="50"/>
  <c r="EH174" i="50"/>
  <c r="FB77" i="50"/>
  <c r="BR234" i="50"/>
  <c r="K156" i="50"/>
  <c r="CK193" i="50"/>
  <c r="EM126" i="50"/>
  <c r="EO97" i="50"/>
  <c r="CI136" i="50"/>
  <c r="EA172" i="50"/>
  <c r="BG139" i="50"/>
  <c r="AV195" i="50"/>
  <c r="CG122" i="50"/>
  <c r="AJ177" i="50"/>
  <c r="AB64" i="50"/>
  <c r="DG121" i="50"/>
  <c r="FB202" i="50"/>
  <c r="BG162" i="50"/>
  <c r="EI80" i="50"/>
  <c r="AH157" i="50"/>
  <c r="AM216" i="50"/>
  <c r="H155" i="50"/>
  <c r="DG221" i="50"/>
  <c r="DU118" i="50"/>
  <c r="EV193" i="50"/>
  <c r="EI106" i="50"/>
  <c r="BF157" i="50"/>
  <c r="DU154" i="50"/>
  <c r="L215" i="50"/>
  <c r="FB152" i="50"/>
  <c r="CF230" i="50"/>
  <c r="BR133" i="50"/>
  <c r="AR196" i="50"/>
  <c r="EM191" i="50"/>
  <c r="AV224" i="50"/>
  <c r="EH195" i="50"/>
  <c r="AD143" i="50"/>
  <c r="EY138" i="50"/>
  <c r="FF228" i="50"/>
  <c r="EY149" i="50"/>
  <c r="N193" i="50"/>
  <c r="BX211" i="50"/>
  <c r="DV216" i="50"/>
  <c r="AE16" i="50"/>
  <c r="O236" i="50"/>
  <c r="CH197" i="50"/>
  <c r="Q193" i="50"/>
  <c r="EM183" i="50"/>
  <c r="DX176" i="50"/>
  <c r="AA64" i="50"/>
  <c r="FB209" i="50"/>
  <c r="FE214" i="50"/>
  <c r="FB188" i="50"/>
  <c r="EK225" i="50"/>
  <c r="AQ172" i="50"/>
  <c r="AA237" i="50"/>
  <c r="CS143" i="50"/>
  <c r="FI202" i="50"/>
  <c r="BW237" i="50"/>
  <c r="CZ75" i="50"/>
  <c r="FA192" i="50"/>
  <c r="W140" i="50"/>
  <c r="CD171" i="50"/>
  <c r="ER140" i="50"/>
  <c r="DM209" i="50"/>
  <c r="AS231" i="50"/>
  <c r="Y33" i="50"/>
  <c r="CL133" i="50"/>
  <c r="AB59" i="26"/>
  <c r="EZ124" i="50"/>
  <c r="BW194" i="50"/>
  <c r="DG156" i="50"/>
  <c r="AB27" i="26"/>
  <c r="DU85" i="50"/>
  <c r="DX220" i="50"/>
  <c r="I231" i="50"/>
  <c r="BN207" i="50"/>
  <c r="G207" i="50"/>
  <c r="CH97" i="50"/>
  <c r="DH89" i="50"/>
  <c r="CK202" i="50"/>
  <c r="EP104" i="50"/>
  <c r="DY156" i="50"/>
  <c r="BD196" i="50"/>
  <c r="DP181" i="50"/>
  <c r="BA224" i="50"/>
  <c r="EN222" i="50"/>
  <c r="BV162" i="50"/>
  <c r="FJ214" i="50"/>
  <c r="DM234" i="50"/>
  <c r="EM86" i="50"/>
  <c r="EY187" i="50"/>
  <c r="EB224" i="50"/>
  <c r="BS197" i="50"/>
  <c r="CK112" i="50"/>
  <c r="EL125" i="50"/>
  <c r="CH212" i="50"/>
  <c r="EL130" i="50"/>
  <c r="CY138" i="50"/>
  <c r="CH135" i="50"/>
  <c r="FG126" i="50"/>
  <c r="DV98" i="50"/>
  <c r="CF83" i="50"/>
  <c r="DA217" i="50"/>
  <c r="BU99" i="50"/>
  <c r="ED208" i="50"/>
  <c r="EI185" i="50"/>
  <c r="BW212" i="50"/>
  <c r="BB208" i="50"/>
  <c r="AF31" i="50"/>
  <c r="FA100" i="50"/>
  <c r="CI92" i="50"/>
  <c r="DL128" i="50"/>
  <c r="DO158" i="50"/>
  <c r="DU126" i="50"/>
  <c r="FD145" i="50"/>
  <c r="DW168" i="50"/>
  <c r="BL208" i="50"/>
  <c r="K196" i="50"/>
  <c r="DR142" i="50"/>
  <c r="CX192" i="50"/>
  <c r="FC194" i="50"/>
  <c r="BP144" i="50"/>
  <c r="CJ143" i="50"/>
  <c r="EH169" i="50"/>
  <c r="H178" i="50"/>
  <c r="BK176" i="50"/>
  <c r="AA26" i="50"/>
  <c r="AX157" i="50"/>
  <c r="CN90" i="50"/>
  <c r="DB220" i="50"/>
  <c r="CX99" i="50"/>
  <c r="CW121" i="50"/>
  <c r="FJ98" i="50"/>
  <c r="FA93" i="50"/>
  <c r="DT207" i="50"/>
  <c r="DV210" i="50"/>
  <c r="EY170" i="50"/>
  <c r="BP236" i="50"/>
  <c r="CJ102" i="50"/>
  <c r="CJ146" i="50"/>
  <c r="AI51" i="50"/>
  <c r="CL167" i="50"/>
  <c r="CX126" i="50"/>
  <c r="CH201" i="50"/>
  <c r="BU187" i="50"/>
  <c r="CA140" i="50"/>
  <c r="FH190" i="50"/>
  <c r="U29" i="50"/>
  <c r="Y230" i="50"/>
  <c r="FA168" i="50"/>
  <c r="AX156" i="50"/>
  <c r="CH105" i="50"/>
  <c r="AU140" i="50"/>
  <c r="H210" i="50"/>
  <c r="X207" i="50"/>
  <c r="DF97" i="50"/>
  <c r="CA214" i="50"/>
  <c r="DA104" i="50"/>
  <c r="R207" i="50"/>
  <c r="DW229" i="50"/>
  <c r="EH97" i="50"/>
  <c r="AP155" i="50"/>
  <c r="EM91" i="50"/>
  <c r="AK171" i="50"/>
  <c r="EP148" i="50"/>
  <c r="AL231" i="50"/>
  <c r="EP224" i="50"/>
  <c r="BI141" i="50"/>
  <c r="CH217" i="50"/>
  <c r="CX218" i="50"/>
  <c r="DU132" i="50"/>
  <c r="AB160" i="50"/>
  <c r="FJ213" i="50"/>
  <c r="CC181" i="50"/>
  <c r="BZ176" i="50"/>
  <c r="DR193" i="50"/>
  <c r="EH86" i="50"/>
  <c r="CO128" i="50"/>
  <c r="AK15" i="50"/>
  <c r="O215" i="50"/>
  <c r="AH171" i="50"/>
  <c r="DW214" i="50"/>
  <c r="BW214" i="50"/>
  <c r="EE207" i="50"/>
  <c r="DR211" i="50"/>
  <c r="DQ156" i="50"/>
  <c r="AG128" i="50"/>
  <c r="BE129" i="50"/>
  <c r="CN95" i="50"/>
  <c r="CB196" i="50"/>
  <c r="BM210" i="50"/>
  <c r="DO226" i="50"/>
  <c r="FB83" i="50"/>
  <c r="AK198" i="50"/>
  <c r="U182" i="50"/>
  <c r="CG187" i="50"/>
  <c r="AO144" i="50"/>
  <c r="BD208" i="50"/>
  <c r="EH204" i="50"/>
  <c r="V61" i="50"/>
  <c r="BD207" i="50"/>
  <c r="EI224" i="50"/>
  <c r="R172" i="50"/>
  <c r="EM175" i="50"/>
  <c r="EY150" i="50"/>
  <c r="FD225" i="50"/>
  <c r="M159" i="50"/>
  <c r="S196" i="50"/>
  <c r="AC29" i="50"/>
  <c r="CF109" i="50"/>
  <c r="CG137" i="50"/>
  <c r="E211" i="50"/>
  <c r="BF171" i="50"/>
  <c r="CX194" i="50"/>
  <c r="BH197" i="50"/>
  <c r="BG127" i="50"/>
  <c r="CH205" i="50"/>
  <c r="EW228" i="50"/>
  <c r="EL123" i="50"/>
  <c r="BZ143" i="50"/>
  <c r="DX187" i="50"/>
  <c r="CJ201" i="50"/>
  <c r="CZ77" i="50"/>
  <c r="AV210" i="50"/>
  <c r="CJ127" i="50"/>
  <c r="CW101" i="50"/>
  <c r="BU78" i="50"/>
  <c r="DF87" i="50"/>
  <c r="D213" i="50"/>
  <c r="DW87" i="50"/>
  <c r="EJ229" i="50"/>
  <c r="DR213" i="50"/>
  <c r="AU228" i="50"/>
  <c r="CT210" i="50"/>
  <c r="EE129" i="50"/>
  <c r="CH234" i="50"/>
  <c r="CZ128" i="50"/>
  <c r="DL143" i="50"/>
  <c r="BS93" i="50"/>
  <c r="FB89" i="50"/>
  <c r="AS175" i="50"/>
  <c r="BS147" i="50"/>
  <c r="CC214" i="50"/>
  <c r="AK176" i="50"/>
  <c r="DU171" i="50"/>
  <c r="W229" i="50"/>
  <c r="CM236" i="50"/>
  <c r="DU93" i="50"/>
  <c r="AN173" i="50"/>
  <c r="DV103" i="50"/>
  <c r="L211" i="50"/>
  <c r="CD157" i="50"/>
  <c r="EO189" i="50"/>
  <c r="CX175" i="50"/>
  <c r="BT100" i="50"/>
  <c r="CL217" i="50"/>
  <c r="AA176" i="50"/>
  <c r="FC181" i="50"/>
  <c r="DW182" i="50"/>
  <c r="EU229" i="50"/>
  <c r="CX140" i="50"/>
  <c r="AI156" i="50"/>
  <c r="EI129" i="50"/>
  <c r="EM131" i="50"/>
  <c r="Z233" i="50"/>
  <c r="DA170" i="50"/>
  <c r="BL226" i="50"/>
  <c r="ED173" i="50"/>
  <c r="DM173" i="50"/>
  <c r="CR173" i="50"/>
  <c r="FG150" i="50"/>
  <c r="DE202" i="50"/>
  <c r="CX75" i="50"/>
  <c r="DP174" i="50"/>
  <c r="DZ207" i="50"/>
  <c r="CS128" i="50"/>
  <c r="EJ226" i="50"/>
  <c r="AF177" i="50"/>
  <c r="EO151" i="50"/>
  <c r="CG190" i="50"/>
  <c r="CJ158" i="50"/>
  <c r="FB219" i="50"/>
  <c r="BR135" i="50"/>
  <c r="C233" i="50"/>
  <c r="DI86" i="50"/>
  <c r="BR162" i="50"/>
  <c r="DU231" i="50"/>
  <c r="DJ175" i="50"/>
  <c r="CH199" i="50"/>
  <c r="AW226" i="50"/>
  <c r="X209" i="50"/>
  <c r="EI167" i="50"/>
  <c r="EK151" i="50"/>
  <c r="AZ195" i="50"/>
  <c r="BN229" i="50"/>
  <c r="K225" i="50"/>
  <c r="DA174" i="50"/>
  <c r="CI169" i="50"/>
  <c r="FG189" i="50"/>
  <c r="O175" i="50"/>
  <c r="CW221" i="50"/>
  <c r="BI128" i="50"/>
  <c r="E224" i="50"/>
  <c r="EY217" i="50"/>
  <c r="CJ122" i="50"/>
  <c r="BS128" i="50"/>
  <c r="EH199" i="50"/>
  <c r="FE104" i="50"/>
  <c r="BA207" i="50"/>
  <c r="DA149" i="50"/>
  <c r="EH209" i="50"/>
  <c r="DD189" i="50"/>
  <c r="EJ125" i="50"/>
  <c r="BR102" i="50"/>
  <c r="FB91" i="50"/>
  <c r="BA233" i="50"/>
  <c r="CV236" i="50"/>
  <c r="BV154" i="50"/>
  <c r="CI157" i="50"/>
  <c r="CN79" i="50"/>
  <c r="FC209" i="50"/>
  <c r="AF227" i="50"/>
  <c r="BU118" i="50"/>
  <c r="BM140" i="50"/>
  <c r="CT156" i="50"/>
  <c r="EI110" i="50"/>
  <c r="FD209" i="50"/>
  <c r="CO207" i="50"/>
  <c r="BU232" i="50"/>
  <c r="BN171" i="50"/>
  <c r="AD59" i="50"/>
  <c r="DH105" i="50"/>
  <c r="BJ196" i="50"/>
  <c r="DV99" i="50"/>
  <c r="BE195" i="50"/>
  <c r="L214" i="50"/>
  <c r="CC129" i="50"/>
  <c r="AJ37" i="50"/>
  <c r="AF155" i="50"/>
  <c r="BU110" i="50"/>
  <c r="CD234" i="50"/>
  <c r="AQ140" i="50"/>
  <c r="CS233" i="50"/>
  <c r="DT94" i="50"/>
  <c r="DA152" i="50"/>
  <c r="AC174" i="50"/>
  <c r="R181" i="50"/>
  <c r="BG205" i="50"/>
  <c r="DK153" i="50"/>
  <c r="N177" i="50"/>
  <c r="EH217" i="50"/>
  <c r="EQ210" i="50"/>
  <c r="AN157" i="50"/>
  <c r="FD204" i="50"/>
  <c r="BR227" i="50"/>
  <c r="AG51" i="50"/>
  <c r="EJ149" i="50"/>
  <c r="EC212" i="50"/>
  <c r="E156" i="50"/>
  <c r="CG87" i="50"/>
  <c r="CH233" i="50"/>
  <c r="BP228" i="50"/>
  <c r="AK194" i="50"/>
  <c r="CQ198" i="50"/>
  <c r="DG169" i="50"/>
  <c r="FC83" i="50"/>
  <c r="BJ210" i="50"/>
  <c r="BF161" i="50"/>
  <c r="CP140" i="50"/>
  <c r="T35" i="50"/>
  <c r="CX127" i="50"/>
  <c r="EF154" i="50"/>
  <c r="BO174" i="50"/>
  <c r="DS227" i="50"/>
  <c r="DW200" i="50"/>
  <c r="CJ141" i="50"/>
  <c r="FK104" i="50"/>
  <c r="EB234" i="50"/>
  <c r="BU114" i="50"/>
  <c r="FD163" i="50"/>
  <c r="EP118" i="50"/>
  <c r="AE14" i="26"/>
  <c r="AA27" i="26"/>
  <c r="BR103" i="50"/>
  <c r="EJ121" i="50"/>
  <c r="K237" i="50"/>
  <c r="CH152" i="50"/>
  <c r="EY97" i="50"/>
  <c r="BE174" i="50"/>
  <c r="CG130" i="50"/>
  <c r="EI136" i="50"/>
  <c r="CX158" i="50"/>
  <c r="BU225" i="50"/>
  <c r="DX102" i="50"/>
  <c r="CI189" i="50"/>
  <c r="CK191" i="50"/>
  <c r="W162" i="50"/>
  <c r="BB156" i="50"/>
  <c r="CV196" i="50"/>
  <c r="AC226" i="50"/>
  <c r="CZ170" i="50"/>
  <c r="CY190" i="50"/>
  <c r="CW90" i="50"/>
  <c r="EK104" i="50"/>
  <c r="DM142" i="50"/>
  <c r="AZ162" i="50"/>
  <c r="EG196" i="50"/>
  <c r="CF185" i="50"/>
  <c r="DK156" i="50"/>
  <c r="BV94" i="50"/>
  <c r="EK138" i="50"/>
  <c r="EP89" i="50"/>
  <c r="CY157" i="50"/>
  <c r="EK116" i="50"/>
  <c r="DV152" i="50"/>
  <c r="U64" i="50"/>
  <c r="EA178" i="50"/>
  <c r="P224" i="50"/>
  <c r="CE198" i="50"/>
  <c r="DA124" i="50"/>
  <c r="CC140" i="50"/>
  <c r="EK78" i="50"/>
  <c r="DB83" i="50"/>
  <c r="EP218" i="50"/>
  <c r="EI165" i="50"/>
  <c r="DU152" i="50"/>
  <c r="CV183" i="50"/>
  <c r="EH197" i="50"/>
  <c r="DI218" i="50"/>
  <c r="FE181" i="50"/>
  <c r="C224" i="50"/>
  <c r="Q155" i="50"/>
  <c r="BT88" i="50"/>
  <c r="K178" i="50"/>
  <c r="BQ156" i="50"/>
  <c r="EL208" i="50"/>
  <c r="CA142" i="50"/>
  <c r="CX119" i="50"/>
  <c r="DM198" i="50"/>
  <c r="DH118" i="50"/>
  <c r="CY145" i="50"/>
  <c r="AJ60" i="50"/>
  <c r="EG198" i="50"/>
  <c r="EI203" i="50"/>
  <c r="DD233" i="50"/>
  <c r="D40" i="50"/>
  <c r="DJ142" i="50"/>
  <c r="FC113" i="50"/>
  <c r="CB153" i="50"/>
  <c r="BG173" i="50"/>
  <c r="BI129" i="50"/>
  <c r="EO215" i="50"/>
  <c r="CJ151" i="50"/>
  <c r="E171" i="50"/>
  <c r="BX180" i="50"/>
  <c r="EF129" i="50"/>
  <c r="CQ210" i="50"/>
  <c r="H144" i="50"/>
  <c r="DN156" i="50"/>
  <c r="DS195" i="50"/>
  <c r="BV166" i="50"/>
  <c r="CM152" i="50"/>
  <c r="EJ118" i="50"/>
  <c r="ET158" i="50"/>
  <c r="DV138" i="50"/>
  <c r="DX156" i="50"/>
  <c r="BH226" i="50"/>
  <c r="DA113" i="50"/>
  <c r="DO153" i="50"/>
  <c r="FG135" i="50"/>
  <c r="DW232" i="50"/>
  <c r="CI81" i="50"/>
  <c r="BZ180" i="50"/>
  <c r="CZ123" i="50"/>
  <c r="DL140" i="50"/>
  <c r="EO75" i="50"/>
  <c r="FH124" i="50"/>
  <c r="BE170" i="50"/>
  <c r="BR121" i="50"/>
  <c r="CZ97" i="50"/>
  <c r="CN116" i="50"/>
  <c r="DE155" i="50"/>
  <c r="ET197" i="50"/>
  <c r="DF212" i="50"/>
  <c r="AL42" i="50"/>
  <c r="S60" i="50"/>
  <c r="CG167" i="50"/>
  <c r="CH113" i="50"/>
  <c r="DH186" i="50"/>
  <c r="CV174" i="50"/>
  <c r="BW233" i="50"/>
  <c r="N173" i="50"/>
  <c r="CG149" i="50"/>
  <c r="BL140" i="50"/>
  <c r="AZ229" i="50"/>
  <c r="CV155" i="50"/>
  <c r="BI154" i="50"/>
  <c r="DK233" i="50"/>
  <c r="BL212" i="50"/>
  <c r="DC98" i="50"/>
  <c r="F229" i="50"/>
  <c r="DA215" i="50"/>
  <c r="FF170" i="50"/>
  <c r="EP129" i="50"/>
  <c r="DW129" i="50"/>
  <c r="FG194" i="50"/>
  <c r="FG102" i="50"/>
  <c r="EL143" i="50"/>
  <c r="DV174" i="50"/>
  <c r="Z141" i="50"/>
  <c r="D208" i="50"/>
  <c r="BT225" i="50"/>
  <c r="FI136" i="50"/>
  <c r="DU136" i="50"/>
  <c r="DT143" i="50"/>
  <c r="DX153" i="50"/>
  <c r="EK214" i="50"/>
  <c r="AD170" i="50"/>
  <c r="EC196" i="50"/>
  <c r="FD156" i="50"/>
  <c r="CG168" i="50"/>
  <c r="DH147" i="50"/>
  <c r="H139" i="50"/>
  <c r="ET156" i="50"/>
  <c r="EI188" i="50"/>
  <c r="CX81" i="50"/>
  <c r="DI215" i="50"/>
  <c r="AA28" i="50"/>
  <c r="FK191" i="50"/>
  <c r="CG110" i="50"/>
  <c r="BZ154" i="50"/>
  <c r="DI135" i="50"/>
  <c r="BT75" i="50"/>
  <c r="DF75" i="50"/>
  <c r="EN117" i="50"/>
  <c r="EX208" i="50"/>
  <c r="CY141" i="50"/>
  <c r="CH160" i="50"/>
  <c r="EL93" i="50"/>
  <c r="EB226" i="50"/>
  <c r="EZ224" i="50"/>
  <c r="L231" i="50"/>
  <c r="BV214" i="50"/>
  <c r="EK118" i="50"/>
  <c r="ED224" i="50"/>
  <c r="DC80" i="50"/>
  <c r="AJ211" i="50"/>
  <c r="AC154" i="50"/>
  <c r="BW208" i="50"/>
  <c r="BR75" i="50"/>
  <c r="BE224" i="50"/>
  <c r="EP226" i="50"/>
  <c r="CN164" i="50"/>
  <c r="BP129" i="50"/>
  <c r="CI125" i="50"/>
  <c r="EJ150" i="50"/>
  <c r="J153" i="50"/>
  <c r="EE193" i="50"/>
  <c r="CW200" i="50"/>
  <c r="AW174" i="50"/>
  <c r="DT83" i="50"/>
  <c r="AA20" i="50"/>
  <c r="EI97" i="50"/>
  <c r="FG83" i="50"/>
  <c r="CX180" i="50"/>
  <c r="EH137" i="50"/>
  <c r="DV116" i="50"/>
  <c r="DN153" i="50"/>
  <c r="AC231" i="50"/>
  <c r="CW198" i="50"/>
  <c r="W234" i="50"/>
  <c r="EI135" i="50"/>
  <c r="ER211" i="50"/>
  <c r="CF85" i="50"/>
  <c r="AH195" i="50"/>
  <c r="DB161" i="50"/>
  <c r="FA191" i="50"/>
  <c r="AZ215" i="50"/>
  <c r="DX195" i="50"/>
  <c r="EU198" i="50"/>
  <c r="CF203" i="50"/>
  <c r="H172" i="50"/>
  <c r="AA44" i="26"/>
  <c r="AX226" i="50"/>
  <c r="AK179" i="50"/>
  <c r="AU208" i="50"/>
  <c r="BT211" i="50"/>
  <c r="DU191" i="50"/>
  <c r="BH140" i="50"/>
  <c r="AA212" i="50"/>
  <c r="DT179" i="50"/>
  <c r="DC92" i="50"/>
  <c r="DJ128" i="50"/>
  <c r="EA235" i="50"/>
  <c r="AG45" i="50"/>
  <c r="AN225" i="50"/>
  <c r="CZ90" i="50"/>
  <c r="ES216" i="50"/>
  <c r="FC141" i="50"/>
  <c r="CF168" i="50"/>
  <c r="CX104" i="50"/>
  <c r="DC229" i="50"/>
  <c r="CN214" i="50"/>
  <c r="CY126" i="50"/>
  <c r="DD170" i="50"/>
  <c r="BS85" i="50"/>
  <c r="K182" i="50"/>
  <c r="DK211" i="50"/>
  <c r="ED212" i="50"/>
  <c r="CL75" i="50"/>
  <c r="Z25" i="50"/>
  <c r="FI187" i="50"/>
  <c r="BG109" i="50"/>
  <c r="AG208" i="50"/>
  <c r="EK221" i="50"/>
  <c r="EZ86" i="50"/>
  <c r="AL142" i="50"/>
  <c r="EO198" i="50"/>
  <c r="BT104" i="50"/>
  <c r="CH79" i="50"/>
  <c r="DT168" i="50"/>
  <c r="AM180" i="50"/>
  <c r="AJ174" i="50"/>
  <c r="I213" i="50"/>
  <c r="AQ227" i="50"/>
  <c r="CI104" i="50"/>
  <c r="EG175" i="50"/>
  <c r="EH80" i="50"/>
  <c r="EJ207" i="50"/>
  <c r="CF112" i="50"/>
  <c r="EA224" i="50"/>
  <c r="FA110" i="50"/>
  <c r="DK182" i="50"/>
  <c r="CF205" i="50"/>
  <c r="CX115" i="50"/>
  <c r="CH108" i="50"/>
  <c r="D154" i="50"/>
  <c r="AT175" i="50"/>
  <c r="BV197" i="50"/>
  <c r="BT171" i="50"/>
  <c r="CN143" i="50"/>
  <c r="FA221" i="50"/>
  <c r="BS102" i="50"/>
  <c r="AL232" i="50"/>
  <c r="DV193" i="50"/>
  <c r="EI166" i="50"/>
  <c r="CR231" i="50"/>
  <c r="CK101" i="50"/>
  <c r="CG112" i="50"/>
  <c r="BK228" i="50"/>
  <c r="AS143" i="50"/>
  <c r="AR143" i="50"/>
  <c r="BE233" i="50"/>
  <c r="AH140" i="50"/>
  <c r="AL37" i="50"/>
  <c r="BC210" i="50"/>
  <c r="Z170" i="50"/>
  <c r="CG156" i="50"/>
  <c r="V170" i="50"/>
  <c r="CY202" i="50"/>
  <c r="AM22" i="50"/>
  <c r="BM162" i="50"/>
  <c r="DB90" i="50"/>
  <c r="BS218" i="50"/>
  <c r="BI197" i="50"/>
  <c r="DK128" i="50"/>
  <c r="FC164" i="50"/>
  <c r="EI170" i="50"/>
  <c r="DZ140" i="50"/>
  <c r="BB197" i="50"/>
  <c r="DW85" i="50"/>
  <c r="DL207" i="50"/>
  <c r="ER198" i="50"/>
  <c r="AJ63" i="50"/>
  <c r="AU155" i="50"/>
  <c r="FJ215" i="50"/>
  <c r="DA161" i="50"/>
  <c r="CY222" i="50"/>
  <c r="EI206" i="50"/>
  <c r="CY131" i="50"/>
  <c r="EH179" i="50"/>
  <c r="DR141" i="50"/>
  <c r="BC209" i="50"/>
  <c r="BV79" i="50"/>
  <c r="J179" i="50"/>
  <c r="BJ139" i="50"/>
  <c r="BJ179" i="50"/>
  <c r="EP198" i="50"/>
  <c r="CB224" i="50"/>
  <c r="CT153" i="50"/>
  <c r="EC142" i="50"/>
  <c r="BT229" i="50"/>
  <c r="BQ195" i="50"/>
  <c r="CM163" i="50"/>
  <c r="EK132" i="50"/>
  <c r="DT142" i="50"/>
  <c r="Z216" i="50"/>
  <c r="EP156" i="50"/>
  <c r="AB226" i="50"/>
  <c r="DB158" i="50"/>
  <c r="AN212" i="50"/>
  <c r="BF141" i="50"/>
  <c r="DW111" i="50"/>
  <c r="DY153" i="50"/>
  <c r="AL139" i="50"/>
  <c r="DI207" i="50"/>
  <c r="CW193" i="50"/>
  <c r="BT142" i="50"/>
  <c r="BC196" i="50"/>
  <c r="FG129" i="50"/>
  <c r="L174" i="50"/>
  <c r="DX166" i="50"/>
  <c r="EK226" i="50"/>
  <c r="CR141" i="50"/>
  <c r="AN180" i="50"/>
  <c r="BT98" i="50"/>
  <c r="DU221" i="50"/>
  <c r="AU226" i="50"/>
  <c r="CL227" i="50"/>
  <c r="DD130" i="50"/>
  <c r="BG80" i="50"/>
  <c r="EZ82" i="50"/>
  <c r="EK120" i="50"/>
  <c r="EZ96" i="50"/>
  <c r="CE161" i="50"/>
  <c r="EH81" i="50"/>
  <c r="CH218" i="50"/>
  <c r="FC96" i="50"/>
  <c r="DJ154" i="50"/>
  <c r="CF102" i="50"/>
  <c r="BE171" i="50"/>
  <c r="FJ90" i="50"/>
  <c r="AB18" i="26"/>
  <c r="EI212" i="50"/>
  <c r="BV163" i="50"/>
  <c r="AG157" i="50"/>
  <c r="EP87" i="50"/>
  <c r="K142" i="50"/>
  <c r="DG176" i="50"/>
  <c r="FF217" i="50"/>
  <c r="DU146" i="50"/>
  <c r="BY224" i="50"/>
  <c r="DW186" i="50"/>
  <c r="DS170" i="50"/>
  <c r="DF182" i="50"/>
  <c r="CW132" i="50"/>
  <c r="CW116" i="50"/>
  <c r="BT160" i="50"/>
  <c r="CH101" i="50"/>
  <c r="DG128" i="50"/>
  <c r="CM84" i="50"/>
  <c r="EH165" i="50"/>
  <c r="BO179" i="50"/>
  <c r="CY82" i="50"/>
  <c r="Z23" i="26"/>
  <c r="BW128" i="50"/>
  <c r="DB202" i="50"/>
  <c r="FF154" i="50"/>
  <c r="FD223" i="50"/>
  <c r="EN138" i="50"/>
  <c r="BV142" i="50"/>
  <c r="AK233" i="50"/>
  <c r="EJ151" i="50"/>
  <c r="CG224" i="50"/>
  <c r="CG233" i="50"/>
  <c r="DC169" i="50"/>
  <c r="AP227" i="50"/>
  <c r="FB218" i="50"/>
  <c r="EP192" i="50"/>
  <c r="DH207" i="50"/>
  <c r="BV137" i="50"/>
  <c r="AC232" i="50"/>
  <c r="BS111" i="50"/>
  <c r="AF25" i="50"/>
  <c r="CT237" i="50"/>
  <c r="BY195" i="50"/>
  <c r="BT151" i="50"/>
  <c r="E193" i="50"/>
  <c r="CT215" i="50"/>
  <c r="H236" i="50"/>
  <c r="CI167" i="50"/>
  <c r="AZ171" i="50"/>
  <c r="DL215" i="50"/>
  <c r="EA142" i="50"/>
  <c r="AE45" i="26"/>
  <c r="CT196" i="50"/>
  <c r="CZ236" i="50"/>
  <c r="DH74" i="50"/>
  <c r="V140" i="50"/>
  <c r="EJ83" i="50"/>
  <c r="BK227" i="50"/>
  <c r="EM226" i="50"/>
  <c r="E214" i="50"/>
  <c r="BV184" i="50"/>
  <c r="U129" i="50"/>
  <c r="BV82" i="50"/>
  <c r="DU165" i="50"/>
  <c r="BT138" i="50"/>
  <c r="BY197" i="50"/>
  <c r="AM30" i="50"/>
  <c r="FG186" i="50"/>
  <c r="AR210" i="50"/>
  <c r="EX229" i="50"/>
  <c r="AM154" i="50"/>
  <c r="BU98" i="50"/>
  <c r="BB210" i="50"/>
  <c r="EK74" i="50"/>
  <c r="AE23" i="26"/>
  <c r="CZ216" i="50"/>
  <c r="EI193" i="50"/>
  <c r="AU177" i="50"/>
  <c r="ES158" i="50"/>
  <c r="BV102" i="50"/>
  <c r="CL226" i="50"/>
  <c r="EY111" i="50"/>
  <c r="DT203" i="50"/>
  <c r="BA172" i="50"/>
  <c r="CM212" i="50"/>
  <c r="CE227" i="50"/>
  <c r="BZ232" i="50"/>
  <c r="BY213" i="50"/>
  <c r="AA153" i="50"/>
  <c r="DW198" i="50"/>
  <c r="AF139" i="50"/>
  <c r="EV196" i="50"/>
  <c r="BT105" i="50"/>
  <c r="CX128" i="50"/>
  <c r="BM157" i="50"/>
  <c r="Y178" i="50"/>
  <c r="FK223" i="50"/>
  <c r="AO139" i="50"/>
  <c r="BU137" i="50"/>
  <c r="FF127" i="50"/>
  <c r="CO181" i="50"/>
  <c r="CH124" i="50"/>
  <c r="BR169" i="50"/>
  <c r="E142" i="50"/>
  <c r="AD140" i="50"/>
  <c r="CJ177" i="50"/>
  <c r="BG187" i="50"/>
  <c r="EH191" i="50"/>
  <c r="EA153" i="50"/>
  <c r="CX97" i="50"/>
  <c r="AH59" i="50"/>
  <c r="FB92" i="50"/>
  <c r="DB118" i="50"/>
  <c r="CT216" i="50"/>
  <c r="BV151" i="50"/>
  <c r="AM196" i="50"/>
  <c r="FF106" i="50"/>
  <c r="DP143" i="50"/>
  <c r="FA135" i="50"/>
  <c r="EI94" i="50"/>
  <c r="BA229" i="50"/>
  <c r="Z59" i="50"/>
  <c r="AI175" i="50"/>
  <c r="CZ200" i="50"/>
  <c r="FD173" i="50"/>
  <c r="DI96" i="50"/>
  <c r="FA169" i="50"/>
  <c r="EK110" i="50"/>
  <c r="EH167" i="50"/>
  <c r="EK194" i="50"/>
  <c r="CV228" i="50"/>
  <c r="EM102" i="50"/>
  <c r="BS189" i="50"/>
  <c r="DW136" i="50"/>
  <c r="EK153" i="50"/>
  <c r="X197" i="50"/>
  <c r="DL142" i="50"/>
  <c r="CK120" i="50"/>
  <c r="CN98" i="50"/>
  <c r="BS196" i="50"/>
  <c r="DT133" i="50"/>
  <c r="CL102" i="50"/>
  <c r="DA211" i="50"/>
  <c r="BO140" i="50"/>
  <c r="BR87" i="50"/>
  <c r="Z22" i="26"/>
  <c r="EJ79" i="50"/>
  <c r="AD40" i="26"/>
  <c r="AK195" i="50"/>
  <c r="EJ172" i="50"/>
  <c r="BF156" i="50"/>
  <c r="DJ176" i="50"/>
  <c r="DZ142" i="50"/>
  <c r="EK122" i="50"/>
  <c r="DR227" i="50"/>
  <c r="BD224" i="50"/>
  <c r="CZ86" i="50"/>
  <c r="CQ128" i="50"/>
  <c r="EN171" i="50"/>
  <c r="FB74" i="50"/>
  <c r="DU95" i="50"/>
  <c r="DM228" i="50"/>
  <c r="C36" i="50"/>
  <c r="EJ161" i="50"/>
  <c r="DR225" i="50"/>
  <c r="EI119" i="50"/>
  <c r="AC172" i="50"/>
  <c r="EP105" i="50"/>
  <c r="I209" i="50"/>
  <c r="DG103" i="50"/>
  <c r="EM134" i="50"/>
  <c r="V209" i="50"/>
  <c r="BO208" i="50"/>
  <c r="BH182" i="50"/>
  <c r="CH168" i="50"/>
  <c r="H225" i="50"/>
  <c r="DO172" i="50"/>
  <c r="DZ144" i="50"/>
  <c r="AL178" i="50"/>
  <c r="EO167" i="50"/>
  <c r="DV157" i="50"/>
  <c r="CH73" i="50"/>
  <c r="BF139" i="50"/>
  <c r="EY98" i="50"/>
  <c r="FC81" i="50"/>
  <c r="EJ144" i="50"/>
  <c r="BL142" i="50"/>
  <c r="BS116" i="50"/>
  <c r="BB194" i="50"/>
  <c r="CY198" i="50"/>
  <c r="BQ207" i="50"/>
  <c r="U196" i="50"/>
  <c r="AS172" i="50"/>
  <c r="FE188" i="50"/>
  <c r="CY110" i="50"/>
  <c r="EL161" i="50"/>
  <c r="DA119" i="50"/>
  <c r="EH218" i="50"/>
  <c r="EG179" i="50"/>
  <c r="BL153" i="50"/>
  <c r="CG132" i="50"/>
  <c r="Z15" i="26"/>
  <c r="CW147" i="50"/>
  <c r="BH235" i="50"/>
  <c r="DE201" i="50"/>
  <c r="DU206" i="50"/>
  <c r="EW193" i="50"/>
  <c r="FB166" i="50"/>
  <c r="CB227" i="50"/>
  <c r="CV140" i="50"/>
  <c r="Z158" i="50"/>
  <c r="BW155" i="50"/>
  <c r="AC26" i="26"/>
  <c r="CO156" i="50"/>
  <c r="AB194" i="50"/>
  <c r="CI88" i="50"/>
  <c r="BG89" i="50"/>
  <c r="BS76" i="50"/>
  <c r="DF173" i="50"/>
  <c r="CL205" i="50"/>
  <c r="EJ166" i="50"/>
  <c r="Y176" i="50"/>
  <c r="E213" i="50"/>
  <c r="BU124" i="50"/>
  <c r="FF143" i="50"/>
  <c r="CX145" i="50"/>
  <c r="DH179" i="50"/>
  <c r="FH143" i="50"/>
  <c r="EE210" i="50"/>
  <c r="BQ181" i="50"/>
  <c r="BK155" i="50"/>
  <c r="DH197" i="50"/>
  <c r="CS209" i="50"/>
  <c r="CU156" i="50"/>
  <c r="Y162" i="50"/>
  <c r="DW213" i="50"/>
  <c r="AI155" i="50"/>
  <c r="ED155" i="50"/>
  <c r="BQ183" i="50"/>
  <c r="DL170" i="50"/>
  <c r="AF140" i="50"/>
  <c r="DO195" i="50"/>
  <c r="Z156" i="50"/>
  <c r="BR155" i="50"/>
  <c r="DA137" i="50"/>
  <c r="AS170" i="50"/>
  <c r="CH142" i="50"/>
  <c r="CG218" i="50"/>
  <c r="DW185" i="50"/>
  <c r="AE176" i="50"/>
  <c r="DR172" i="50"/>
  <c r="DI114" i="50"/>
  <c r="AG16" i="50"/>
  <c r="FA175" i="50"/>
  <c r="DA184" i="50"/>
  <c r="ER139" i="50"/>
  <c r="EH201" i="50"/>
  <c r="H39" i="50"/>
  <c r="BP207" i="50"/>
  <c r="CW210" i="50"/>
  <c r="DZ177" i="50"/>
  <c r="AE194" i="50"/>
  <c r="BR201" i="50"/>
  <c r="FB79" i="50"/>
  <c r="CY97" i="50"/>
  <c r="AF35" i="50"/>
  <c r="Q213" i="50"/>
  <c r="FB133" i="50"/>
  <c r="AT129" i="50"/>
  <c r="EK145" i="50"/>
  <c r="FE172" i="50"/>
  <c r="CG148" i="50"/>
  <c r="AW154" i="50"/>
  <c r="N156" i="50"/>
  <c r="DV188" i="50"/>
  <c r="U173" i="50"/>
  <c r="CR140" i="50"/>
  <c r="U154" i="50"/>
  <c r="EY99" i="50"/>
  <c r="CO175" i="50"/>
  <c r="R227" i="50"/>
  <c r="AH229" i="50"/>
  <c r="DJ197" i="50"/>
  <c r="EQ229" i="50"/>
  <c r="BR139" i="50"/>
  <c r="CT230" i="50"/>
  <c r="EP127" i="50"/>
  <c r="BV130" i="50"/>
  <c r="EF212" i="50"/>
  <c r="EY202" i="50"/>
  <c r="DX151" i="50"/>
  <c r="CJ106" i="50"/>
  <c r="AZ160" i="50"/>
  <c r="EX153" i="50"/>
  <c r="Q170" i="50"/>
  <c r="AQ194" i="50"/>
  <c r="BN176" i="50"/>
  <c r="BU121" i="50"/>
  <c r="DL194" i="50"/>
  <c r="CY197" i="50"/>
  <c r="CH187" i="50"/>
  <c r="ET214" i="50"/>
  <c r="FF223" i="50"/>
  <c r="EM152" i="50"/>
  <c r="FF233" i="50"/>
  <c r="CO237" i="50"/>
  <c r="DF235" i="50"/>
  <c r="CN83" i="50"/>
  <c r="AN195" i="50"/>
  <c r="CV175" i="50"/>
  <c r="EZ111" i="50"/>
  <c r="BS130" i="50"/>
  <c r="AN171" i="50"/>
  <c r="EJ198" i="50"/>
  <c r="DV135" i="50"/>
  <c r="CE174" i="50"/>
  <c r="EI131" i="50"/>
  <c r="BI175" i="50"/>
  <c r="CG164" i="50"/>
  <c r="AN232" i="50"/>
  <c r="AK49" i="50"/>
  <c r="AT198" i="50"/>
  <c r="CP128" i="50"/>
  <c r="P194" i="50"/>
  <c r="EI114" i="50"/>
  <c r="BG134" i="50"/>
  <c r="BV165" i="50"/>
  <c r="CP154" i="50"/>
  <c r="AS158" i="50"/>
  <c r="AE17" i="26"/>
  <c r="CH154" i="50"/>
  <c r="DT223" i="50"/>
  <c r="CX84" i="50"/>
  <c r="X139" i="50"/>
  <c r="FB155" i="50"/>
  <c r="CI216" i="50"/>
  <c r="Z24" i="26"/>
  <c r="FC165" i="50"/>
  <c r="C41" i="50"/>
  <c r="FK179" i="50"/>
  <c r="CK218" i="50"/>
  <c r="AW195" i="50"/>
  <c r="DW154" i="50"/>
  <c r="L229" i="50"/>
  <c r="AS211" i="50"/>
  <c r="CS171" i="50"/>
  <c r="EK202" i="50"/>
  <c r="O161" i="50"/>
  <c r="EL136" i="50"/>
  <c r="EK224" i="50"/>
  <c r="DX201" i="50"/>
  <c r="DJ207" i="50"/>
  <c r="D35" i="50"/>
  <c r="DX224" i="50"/>
  <c r="CP207" i="50"/>
  <c r="DD74" i="50"/>
  <c r="AE14" i="50"/>
  <c r="AZ173" i="50"/>
  <c r="EN114" i="50"/>
  <c r="EY145" i="50"/>
  <c r="W61" i="50"/>
  <c r="DI146" i="50"/>
  <c r="FG173" i="50"/>
  <c r="BL225" i="50"/>
  <c r="AH46" i="50"/>
  <c r="CW185" i="50"/>
  <c r="DF101" i="50"/>
  <c r="AU212" i="50"/>
  <c r="DE101" i="50"/>
  <c r="CX204" i="50"/>
  <c r="DX110" i="50"/>
  <c r="CF77" i="50"/>
  <c r="DT210" i="50"/>
  <c r="BU107" i="50"/>
  <c r="DG167" i="50"/>
  <c r="BX196" i="50"/>
  <c r="DK170" i="50"/>
  <c r="BS190" i="50"/>
  <c r="FF177" i="50"/>
  <c r="FD152" i="50"/>
  <c r="AG153" i="50"/>
  <c r="DW178" i="50"/>
  <c r="EX158" i="50"/>
  <c r="U195" i="50"/>
  <c r="CI201" i="50"/>
  <c r="EM154" i="50"/>
  <c r="I129" i="50"/>
  <c r="CV198" i="50"/>
  <c r="EP86" i="50"/>
  <c r="DG152" i="50"/>
  <c r="DR176" i="50"/>
  <c r="EN209" i="50"/>
  <c r="V175" i="50"/>
  <c r="CE194" i="50"/>
  <c r="AF162" i="50"/>
  <c r="AN153" i="50"/>
  <c r="EE153" i="50"/>
  <c r="BU84" i="50"/>
  <c r="DI98" i="50"/>
  <c r="DZ230" i="50"/>
  <c r="CC211" i="50"/>
  <c r="CT194" i="50"/>
  <c r="T180" i="50"/>
  <c r="AD37" i="50"/>
  <c r="BO216" i="50"/>
  <c r="AF157" i="50"/>
  <c r="ED160" i="50"/>
  <c r="DO207" i="50"/>
  <c r="CH221" i="50"/>
  <c r="DV229" i="50"/>
  <c r="DH134" i="50"/>
  <c r="P156" i="50"/>
  <c r="FG161" i="50"/>
  <c r="CW136" i="50"/>
  <c r="AG207" i="50"/>
  <c r="DC82" i="50"/>
  <c r="BS87" i="50"/>
  <c r="X195" i="50"/>
  <c r="Z49" i="26"/>
  <c r="DY193" i="50"/>
  <c r="DV76" i="50"/>
  <c r="K37" i="50"/>
  <c r="EE171" i="50"/>
  <c r="S193" i="50"/>
  <c r="FG224" i="50"/>
  <c r="EJ224" i="50"/>
  <c r="BE139" i="50"/>
  <c r="CJ233" i="50"/>
  <c r="DY210" i="50"/>
  <c r="AG229" i="50"/>
  <c r="EV182" i="50"/>
  <c r="S158" i="50"/>
  <c r="CH128" i="50"/>
  <c r="BH215" i="50"/>
  <c r="AP174" i="50"/>
  <c r="EK105" i="50"/>
  <c r="CZ122" i="50"/>
  <c r="CW89" i="50"/>
  <c r="DH152" i="50"/>
  <c r="Z211" i="50"/>
  <c r="CZ190" i="50"/>
  <c r="EK195" i="50"/>
  <c r="EB139" i="50"/>
  <c r="EZ201" i="50"/>
  <c r="AT139" i="50"/>
  <c r="CW236" i="50"/>
  <c r="CF81" i="50"/>
  <c r="AX171" i="50"/>
  <c r="AM177" i="50"/>
  <c r="BT208" i="50"/>
  <c r="Y181" i="50"/>
  <c r="CL219" i="50"/>
  <c r="BQ174" i="50"/>
  <c r="T197" i="50"/>
  <c r="EZ140" i="50"/>
  <c r="DT193" i="50"/>
  <c r="CR225" i="50"/>
  <c r="CZ222" i="50"/>
  <c r="AE210" i="50"/>
  <c r="EM78" i="50"/>
  <c r="AN170" i="50"/>
  <c r="BX172" i="50"/>
  <c r="X176" i="50"/>
  <c r="FC197" i="50"/>
  <c r="AN214" i="50"/>
  <c r="DT91" i="50"/>
  <c r="EY92" i="50"/>
  <c r="CC195" i="50"/>
  <c r="EN133" i="50"/>
  <c r="BV88" i="50"/>
  <c r="FB82" i="50"/>
  <c r="DB151" i="50"/>
  <c r="CC159" i="50"/>
  <c r="DG215" i="50"/>
  <c r="BT178" i="50"/>
  <c r="BU154" i="50"/>
  <c r="FA140" i="50"/>
  <c r="Y159" i="50"/>
  <c r="CL135" i="50"/>
  <c r="EY103" i="50"/>
  <c r="AE171" i="50"/>
  <c r="BP225" i="50"/>
  <c r="DE176" i="50"/>
  <c r="BR158" i="50"/>
  <c r="AQ213" i="50"/>
  <c r="AE63" i="50"/>
  <c r="EC129" i="50"/>
  <c r="AE17" i="50"/>
  <c r="EI205" i="50"/>
  <c r="D171" i="50"/>
  <c r="U213" i="50"/>
  <c r="BO171" i="50"/>
  <c r="EV158" i="50"/>
  <c r="EO213" i="50"/>
  <c r="DE161" i="50"/>
  <c r="DJ232" i="50"/>
  <c r="FH136" i="50"/>
  <c r="EL101" i="50"/>
  <c r="DX125" i="50"/>
  <c r="DI177" i="50"/>
  <c r="FB85" i="50"/>
  <c r="CW103" i="50"/>
  <c r="BB211" i="50"/>
  <c r="Y155" i="50"/>
  <c r="FF146" i="50"/>
  <c r="EY90" i="50"/>
  <c r="FF235" i="50"/>
  <c r="FE126" i="50"/>
  <c r="T209" i="50"/>
  <c r="AI21" i="50"/>
  <c r="CR227" i="50"/>
  <c r="AC33" i="50"/>
  <c r="N224" i="50"/>
  <c r="FH146" i="50"/>
  <c r="CM234" i="50"/>
  <c r="CA207" i="50"/>
  <c r="EW143" i="50"/>
  <c r="CP153" i="50"/>
  <c r="AT193" i="50"/>
  <c r="DU140" i="50"/>
  <c r="FC75" i="50"/>
  <c r="T144" i="50"/>
  <c r="EJ94" i="50"/>
  <c r="F193" i="50"/>
  <c r="BK174" i="50"/>
  <c r="DB112" i="50"/>
  <c r="EQ207" i="50"/>
  <c r="FI214" i="50"/>
  <c r="FC163" i="50"/>
  <c r="FG199" i="50"/>
  <c r="DN234" i="50"/>
  <c r="EJ205" i="50"/>
  <c r="AA42" i="26"/>
  <c r="AN129" i="50"/>
  <c r="BQ144" i="50"/>
  <c r="DA100" i="50"/>
  <c r="G162" i="50"/>
  <c r="FF113" i="50"/>
  <c r="DT206" i="50"/>
  <c r="BN158" i="50"/>
  <c r="CY163" i="50"/>
  <c r="DV171" i="50"/>
  <c r="EW144" i="50"/>
  <c r="AZ141" i="50"/>
  <c r="R180" i="50"/>
  <c r="BA237" i="50"/>
  <c r="DF229" i="50"/>
  <c r="BI171" i="50"/>
  <c r="FF200" i="50"/>
  <c r="EO200" i="50"/>
  <c r="BU158" i="50"/>
  <c r="CI114" i="50"/>
  <c r="DS208" i="50"/>
  <c r="EL154" i="50"/>
  <c r="EG216" i="50"/>
  <c r="EY82" i="50"/>
  <c r="DX128" i="50"/>
  <c r="AH143" i="50"/>
  <c r="DM157" i="50"/>
  <c r="X153" i="50"/>
  <c r="DX152" i="50"/>
  <c r="EH205" i="50"/>
  <c r="CJ174" i="50"/>
  <c r="CU216" i="50"/>
  <c r="CG128" i="50"/>
  <c r="EI134" i="50"/>
  <c r="DK161" i="50"/>
  <c r="AE216" i="50"/>
  <c r="EK109" i="50"/>
  <c r="DV129" i="50"/>
  <c r="FC219" i="50"/>
  <c r="BU198" i="50"/>
  <c r="BS143" i="50"/>
  <c r="BV108" i="50"/>
  <c r="W208" i="50"/>
  <c r="BU102" i="50"/>
  <c r="DB199" i="50"/>
  <c r="CY230" i="50"/>
  <c r="DU123" i="50"/>
  <c r="FD86" i="50"/>
  <c r="BR81" i="50"/>
  <c r="FA177" i="50"/>
  <c r="CQ170" i="50"/>
  <c r="AH154" i="50"/>
  <c r="CY158" i="50"/>
  <c r="FJ116" i="50"/>
  <c r="BT81" i="50"/>
  <c r="EM160" i="50"/>
  <c r="BT219" i="50"/>
  <c r="Z172" i="50"/>
  <c r="EU176" i="50"/>
  <c r="FB145" i="50"/>
  <c r="CG119" i="50"/>
  <c r="BJ178" i="50"/>
  <c r="DA98" i="50"/>
  <c r="BE211" i="50"/>
  <c r="CG115" i="50"/>
  <c r="BR106" i="50"/>
  <c r="DL232" i="50"/>
  <c r="BM178" i="50"/>
  <c r="DN154" i="50"/>
  <c r="EK207" i="50"/>
  <c r="AL170" i="50"/>
  <c r="AD16" i="26"/>
  <c r="FA229" i="50"/>
  <c r="ET141" i="50"/>
  <c r="BO170" i="50"/>
  <c r="DL230" i="50"/>
  <c r="AP234" i="50"/>
  <c r="Z29" i="26"/>
  <c r="CF92" i="50"/>
  <c r="AE208" i="50"/>
  <c r="BV156" i="50"/>
  <c r="G140" i="50"/>
  <c r="FC143" i="50"/>
  <c r="EO89" i="50"/>
  <c r="FI108" i="50"/>
  <c r="EL185" i="50"/>
  <c r="AH234" i="50"/>
  <c r="FG100" i="50"/>
  <c r="CI181" i="50"/>
  <c r="CD224" i="50"/>
  <c r="CW110" i="50"/>
  <c r="BJ129" i="50"/>
  <c r="DR197" i="50"/>
  <c r="FE213" i="50"/>
  <c r="BK178" i="50"/>
  <c r="BJ154" i="50"/>
  <c r="FH151" i="50"/>
  <c r="BK195" i="50"/>
  <c r="CU232" i="50"/>
  <c r="DA158" i="50"/>
  <c r="DM161" i="50"/>
  <c r="CF171" i="50"/>
  <c r="FA133" i="50"/>
  <c r="BT174" i="50"/>
  <c r="BQ158" i="50"/>
  <c r="CY105" i="50"/>
  <c r="FD85" i="50"/>
  <c r="CI79" i="50"/>
  <c r="AY129" i="50"/>
  <c r="R214" i="50"/>
  <c r="AM226" i="50"/>
  <c r="CZ158" i="50"/>
  <c r="DQ175" i="50"/>
  <c r="BB224" i="50"/>
  <c r="FC126" i="50"/>
  <c r="AA196" i="50"/>
  <c r="CI171" i="50"/>
  <c r="AD141" i="50"/>
  <c r="EY79" i="50"/>
  <c r="EZ219" i="50"/>
  <c r="BS234" i="50"/>
  <c r="EL177" i="50"/>
  <c r="FF157" i="50"/>
  <c r="BA161" i="50"/>
  <c r="CX182" i="50"/>
  <c r="CI73" i="50"/>
  <c r="D170" i="50"/>
  <c r="AW139" i="50"/>
  <c r="EF156" i="50"/>
  <c r="BN144" i="50"/>
  <c r="DY154" i="50"/>
  <c r="DT151" i="50"/>
  <c r="EN80" i="50"/>
  <c r="ED214" i="50"/>
  <c r="CL194" i="50"/>
  <c r="DH146" i="50"/>
  <c r="EY155" i="50"/>
  <c r="FF215" i="50"/>
  <c r="L194" i="50"/>
  <c r="I181" i="50"/>
  <c r="BG145" i="50"/>
  <c r="BK170" i="50"/>
  <c r="FJ127" i="50"/>
  <c r="FD232" i="50"/>
  <c r="DT188" i="50"/>
  <c r="DY182" i="50"/>
  <c r="BS105" i="50"/>
  <c r="BU170" i="50"/>
  <c r="AC180" i="50"/>
  <c r="EB225" i="50"/>
  <c r="BL174" i="50"/>
  <c r="FC217" i="50"/>
  <c r="DV154" i="50"/>
  <c r="AE61" i="50"/>
  <c r="AH158" i="50"/>
  <c r="EY147" i="50"/>
  <c r="DB152" i="50"/>
  <c r="Y31" i="50"/>
  <c r="AT216" i="50"/>
  <c r="BS119" i="50"/>
  <c r="M213" i="50"/>
  <c r="DC231" i="50"/>
  <c r="DJ193" i="50"/>
  <c r="FC127" i="50"/>
  <c r="BB230" i="50"/>
  <c r="AA162" i="50"/>
  <c r="S153" i="50"/>
  <c r="CI163" i="50"/>
  <c r="DA138" i="50"/>
  <c r="EC193" i="50"/>
  <c r="BS126" i="50"/>
  <c r="AD231" i="50"/>
  <c r="DT81" i="50"/>
  <c r="CH155" i="50"/>
  <c r="CH229" i="50"/>
  <c r="CE178" i="50"/>
  <c r="DC145" i="50"/>
  <c r="R183" i="50"/>
  <c r="DD228" i="50"/>
  <c r="G171" i="50"/>
  <c r="AU209" i="50"/>
  <c r="CK186" i="50"/>
  <c r="DT155" i="50"/>
  <c r="DD235" i="50"/>
  <c r="DX237" i="50"/>
  <c r="U236" i="50"/>
  <c r="EN120" i="50"/>
  <c r="Y156" i="50"/>
  <c r="Q172" i="50"/>
  <c r="CI188" i="50"/>
  <c r="CL187" i="50"/>
  <c r="BN129" i="50"/>
  <c r="AH156" i="50"/>
  <c r="AI34" i="50"/>
  <c r="DD230" i="50"/>
  <c r="EZ156" i="50"/>
  <c r="DB170" i="50"/>
  <c r="D193" i="50"/>
  <c r="CX225" i="50"/>
  <c r="DE143" i="50"/>
  <c r="BT221" i="50"/>
  <c r="CZ114" i="50"/>
  <c r="DU200" i="50"/>
  <c r="AJ53" i="50"/>
  <c r="DT125" i="50"/>
  <c r="EJ222" i="50"/>
  <c r="BV178" i="50"/>
  <c r="AD41" i="26"/>
  <c r="BR77" i="50"/>
  <c r="FE235" i="50"/>
  <c r="BD142" i="50"/>
  <c r="DU207" i="50"/>
  <c r="EA209" i="50"/>
  <c r="FB200" i="50"/>
  <c r="EB207" i="50"/>
  <c r="DY158" i="50"/>
  <c r="DE89" i="50"/>
  <c r="FB216" i="50"/>
  <c r="FI152" i="50"/>
  <c r="EP166" i="50"/>
  <c r="AF60" i="50"/>
  <c r="DS213" i="50"/>
  <c r="CK147" i="50"/>
  <c r="CI222" i="50"/>
  <c r="EI210" i="50"/>
  <c r="CA213" i="50"/>
  <c r="DZ180" i="50"/>
  <c r="AI48" i="50"/>
  <c r="CG206" i="50"/>
  <c r="DA168" i="50"/>
  <c r="V194" i="50"/>
  <c r="BV179" i="50"/>
  <c r="CL156" i="50"/>
  <c r="CZ197" i="50"/>
  <c r="AX139" i="50"/>
  <c r="BS106" i="50"/>
  <c r="BH128" i="50"/>
  <c r="AJ227" i="50"/>
  <c r="L170" i="50"/>
  <c r="DD76" i="50"/>
  <c r="BL198" i="50"/>
  <c r="EN153" i="50"/>
  <c r="DP129" i="50"/>
  <c r="DV160" i="50"/>
  <c r="U171" i="50"/>
  <c r="DE146" i="50"/>
  <c r="EK208" i="50"/>
  <c r="FJ170" i="50"/>
  <c r="BV81" i="50"/>
  <c r="FF101" i="50"/>
  <c r="U216" i="50"/>
  <c r="DA192" i="50"/>
  <c r="CK148" i="50"/>
  <c r="AK193" i="50"/>
  <c r="DR235" i="50"/>
  <c r="CY184" i="50"/>
  <c r="BY183" i="50"/>
  <c r="EM205" i="50"/>
  <c r="CY206" i="50"/>
  <c r="DI100" i="50"/>
  <c r="DG84" i="50"/>
  <c r="AV155" i="50"/>
  <c r="FD135" i="50"/>
  <c r="H179" i="50"/>
  <c r="CD172" i="50"/>
  <c r="DV130" i="50"/>
  <c r="CW88" i="50"/>
  <c r="FE143" i="50"/>
  <c r="FE206" i="50"/>
  <c r="CI108" i="50"/>
  <c r="DK216" i="50"/>
  <c r="DA153" i="50"/>
  <c r="CK117" i="50"/>
  <c r="DH202" i="50"/>
  <c r="CG158" i="50"/>
  <c r="AD52" i="26"/>
  <c r="N227" i="50"/>
  <c r="DB142" i="50"/>
  <c r="DV117" i="50"/>
  <c r="EZ181" i="50"/>
  <c r="E228" i="50"/>
  <c r="EJ102" i="50"/>
  <c r="EJ143" i="50"/>
  <c r="FI124" i="50"/>
  <c r="ER142" i="50"/>
  <c r="EP83" i="50"/>
  <c r="L139" i="50"/>
  <c r="DE92" i="50"/>
  <c r="BT155" i="50"/>
  <c r="FF194" i="50"/>
  <c r="ED207" i="50"/>
  <c r="EJ155" i="50"/>
  <c r="H37" i="50"/>
  <c r="DW226" i="50"/>
  <c r="EN235" i="50"/>
  <c r="AW159" i="50"/>
  <c r="BR116" i="50"/>
  <c r="DN155" i="50"/>
  <c r="AA32" i="50"/>
  <c r="DW179" i="50"/>
  <c r="DX143" i="50"/>
  <c r="AL172" i="50"/>
  <c r="F143" i="50"/>
  <c r="V25" i="50"/>
  <c r="EK230" i="50"/>
  <c r="AI63" i="50"/>
  <c r="CU157" i="50"/>
  <c r="BR219" i="50"/>
  <c r="BO198" i="50"/>
  <c r="CI159" i="50"/>
  <c r="EH166" i="50"/>
  <c r="BD181" i="50"/>
  <c r="EJ101" i="50"/>
  <c r="CL157" i="50"/>
  <c r="EP173" i="50"/>
  <c r="Q211" i="50"/>
  <c r="BP181" i="50"/>
  <c r="DL129" i="50"/>
  <c r="EN161" i="50"/>
  <c r="CB140" i="50"/>
  <c r="AW143" i="50"/>
  <c r="EY167" i="50"/>
  <c r="BL195" i="50"/>
  <c r="CT175" i="50"/>
  <c r="FB129" i="50"/>
  <c r="D212" i="50"/>
  <c r="BS208" i="50"/>
  <c r="AB183" i="50"/>
  <c r="DI188" i="50"/>
  <c r="CX210" i="50"/>
  <c r="CF189" i="50"/>
  <c r="E231" i="50"/>
  <c r="EQ211" i="50"/>
  <c r="BR124" i="50"/>
  <c r="E177" i="50"/>
  <c r="EM178" i="50"/>
  <c r="CP224" i="50"/>
  <c r="DV232" i="50"/>
  <c r="BW173" i="50"/>
  <c r="Y143" i="50"/>
  <c r="EI73" i="50"/>
  <c r="BS184" i="50"/>
  <c r="CD159" i="50"/>
  <c r="FB142" i="50"/>
  <c r="EO79" i="50"/>
  <c r="AA156" i="50"/>
  <c r="DR210" i="50"/>
  <c r="EF234" i="50"/>
  <c r="DG210" i="50"/>
  <c r="EI176" i="50"/>
  <c r="DW140" i="50"/>
  <c r="EL120" i="50"/>
  <c r="CX205" i="50"/>
  <c r="BU163" i="50"/>
  <c r="DD98" i="50"/>
  <c r="EK211" i="50"/>
  <c r="CD144" i="50"/>
  <c r="CP157" i="50"/>
  <c r="N210" i="50"/>
  <c r="CW231" i="50"/>
  <c r="H207" i="50"/>
  <c r="EH110" i="50"/>
  <c r="BU139" i="50"/>
  <c r="EI146" i="50"/>
  <c r="AA183" i="50"/>
  <c r="AD194" i="50"/>
  <c r="CF73" i="50"/>
  <c r="BD231" i="50"/>
  <c r="EN134" i="50"/>
  <c r="FC207" i="50"/>
  <c r="J129" i="50"/>
  <c r="AH53" i="50"/>
  <c r="BT182" i="50"/>
  <c r="CP230" i="50"/>
  <c r="BK144" i="50"/>
  <c r="CC144" i="50"/>
  <c r="CG85" i="50"/>
  <c r="CJ105" i="50"/>
  <c r="BR195" i="50"/>
  <c r="AA15" i="26"/>
  <c r="EI102" i="50"/>
  <c r="AE157" i="50"/>
  <c r="CU142" i="50"/>
  <c r="DV123" i="50"/>
  <c r="DX87" i="50"/>
  <c r="DU224" i="50"/>
  <c r="DF148" i="50"/>
  <c r="CY130" i="50"/>
  <c r="EY181" i="50"/>
  <c r="CM179" i="50"/>
  <c r="AC170" i="50"/>
  <c r="EN100" i="50"/>
  <c r="BC142" i="50"/>
  <c r="DQ153" i="50"/>
  <c r="AM65" i="50"/>
  <c r="EN198" i="50"/>
  <c r="CW85" i="50"/>
  <c r="BT93" i="50"/>
  <c r="BM198" i="50"/>
  <c r="EQ141" i="50"/>
  <c r="FH131" i="50"/>
  <c r="EC141" i="50"/>
  <c r="EM142" i="50"/>
  <c r="FB174" i="50"/>
  <c r="AX155" i="50"/>
  <c r="EY224" i="50"/>
  <c r="EY196" i="50"/>
  <c r="EH223" i="50"/>
  <c r="AB19" i="26"/>
  <c r="CV226" i="50"/>
  <c r="FC138" i="50"/>
  <c r="EK228" i="50"/>
  <c r="DT85" i="50"/>
  <c r="AE20" i="26"/>
  <c r="DV186" i="50"/>
  <c r="AM237" i="50"/>
  <c r="DX101" i="50"/>
  <c r="DR214" i="50"/>
  <c r="AL160" i="50"/>
  <c r="CR237" i="50"/>
  <c r="BF195" i="50"/>
  <c r="DW130" i="50"/>
  <c r="Q171" i="50"/>
  <c r="CL86" i="50"/>
  <c r="AA234" i="50"/>
  <c r="ER195" i="50"/>
  <c r="EN226" i="50"/>
  <c r="BQ173" i="50"/>
  <c r="AN233" i="50"/>
  <c r="EH193" i="50"/>
  <c r="DA77" i="50"/>
  <c r="V214" i="50"/>
  <c r="DC232" i="50"/>
  <c r="BX129" i="50"/>
  <c r="DB155" i="50"/>
  <c r="DV145" i="50"/>
  <c r="BJ207" i="50"/>
  <c r="CL132" i="50"/>
  <c r="G33" i="50"/>
  <c r="D155" i="50"/>
  <c r="FA120" i="50"/>
  <c r="EO136" i="50"/>
  <c r="DW132" i="50"/>
  <c r="CF170" i="50"/>
  <c r="BK179" i="50"/>
  <c r="W27" i="50"/>
  <c r="BS230" i="50"/>
  <c r="BS180" i="50"/>
  <c r="DW230" i="50"/>
  <c r="BU226" i="50"/>
  <c r="DF140" i="50"/>
  <c r="DE111" i="50"/>
  <c r="DW107" i="50"/>
  <c r="DR177" i="50"/>
  <c r="DZ129" i="50"/>
  <c r="Z35" i="50"/>
  <c r="J226" i="50"/>
  <c r="EL88" i="50"/>
  <c r="CG185" i="50"/>
  <c r="FJ120" i="50"/>
  <c r="U35" i="50"/>
  <c r="CC142" i="50"/>
  <c r="DB91" i="50"/>
  <c r="AN155" i="50"/>
  <c r="AD15" i="26"/>
  <c r="DT176" i="50"/>
  <c r="T196" i="50"/>
  <c r="CK236" i="50"/>
  <c r="BT131" i="50"/>
  <c r="AB209" i="50"/>
  <c r="EL149" i="50"/>
  <c r="W62" i="50"/>
  <c r="AI47" i="50"/>
  <c r="DO139" i="50"/>
  <c r="CM94" i="50"/>
  <c r="DS196" i="50"/>
  <c r="P155" i="50"/>
  <c r="DE76" i="50"/>
  <c r="AE29" i="50"/>
  <c r="DG199" i="50"/>
  <c r="AU198" i="50"/>
  <c r="CX109" i="50"/>
  <c r="CL81" i="50"/>
  <c r="DQ209" i="50"/>
  <c r="BG138" i="50"/>
  <c r="Q196" i="50"/>
  <c r="FF178" i="50"/>
  <c r="EY123" i="50"/>
  <c r="EW174" i="50"/>
  <c r="BG160" i="50"/>
  <c r="CI105" i="50"/>
  <c r="DJ210" i="50"/>
  <c r="EZ109" i="50"/>
  <c r="CJ142" i="50"/>
  <c r="T157" i="50"/>
  <c r="CZ173" i="50"/>
  <c r="BZ212" i="50"/>
  <c r="DY230" i="50"/>
  <c r="DD80" i="50"/>
  <c r="DX173" i="50"/>
  <c r="DR154" i="50"/>
  <c r="BD141" i="50"/>
  <c r="AV227" i="50"/>
  <c r="CB236" i="50"/>
  <c r="FD102" i="50"/>
  <c r="BA171" i="50"/>
  <c r="DV122" i="50"/>
  <c r="CF177" i="50"/>
  <c r="C194" i="50"/>
  <c r="DA139" i="50"/>
  <c r="CM168" i="50"/>
  <c r="DX155" i="50"/>
  <c r="FA82" i="50"/>
  <c r="BX197" i="50"/>
  <c r="CF196" i="50"/>
  <c r="CN119" i="50"/>
  <c r="AK154" i="50"/>
  <c r="BG226" i="50"/>
  <c r="EO172" i="50"/>
  <c r="DT166" i="50"/>
  <c r="CZ105" i="50"/>
  <c r="FJ111" i="50"/>
  <c r="DD221" i="50"/>
  <c r="CC212" i="50"/>
  <c r="CM117" i="50"/>
  <c r="CA230" i="50"/>
  <c r="AU235" i="50"/>
  <c r="DF186" i="50"/>
  <c r="DG185" i="50"/>
  <c r="AT209" i="50"/>
  <c r="DX230" i="50"/>
  <c r="CE153" i="50"/>
  <c r="BS96" i="50"/>
  <c r="BT169" i="50"/>
  <c r="BS178" i="50"/>
  <c r="FH233" i="50"/>
  <c r="FC153" i="50"/>
  <c r="BJ211" i="50"/>
  <c r="BP180" i="50"/>
  <c r="DE132" i="50"/>
  <c r="CK145" i="50"/>
  <c r="EQ226" i="50"/>
  <c r="FG200" i="50"/>
  <c r="BG209" i="50"/>
  <c r="AL216" i="50"/>
  <c r="AI172" i="50"/>
  <c r="FD121" i="50"/>
  <c r="EH187" i="50"/>
  <c r="DH104" i="50"/>
  <c r="EG232" i="50"/>
  <c r="AA62" i="26"/>
  <c r="Y63" i="50"/>
  <c r="D229" i="50"/>
  <c r="BU213" i="50"/>
  <c r="ED143" i="50"/>
  <c r="FH161" i="50"/>
  <c r="CX103" i="50"/>
  <c r="EL122" i="50"/>
  <c r="AE142" i="50"/>
  <c r="CH89" i="50"/>
  <c r="DF237" i="50"/>
  <c r="EL227" i="50"/>
  <c r="CH176" i="50"/>
  <c r="D236" i="50"/>
  <c r="EZ200" i="50"/>
  <c r="FI166" i="50"/>
  <c r="CU129" i="50"/>
  <c r="DA92" i="50"/>
  <c r="EH207" i="50"/>
  <c r="EJ128" i="50"/>
  <c r="CF208" i="50"/>
  <c r="DA80" i="50"/>
  <c r="EO119" i="50"/>
  <c r="DV175" i="50"/>
  <c r="FE179" i="50"/>
  <c r="FB172" i="50"/>
  <c r="DI192" i="50"/>
  <c r="BH194" i="50"/>
  <c r="C129" i="50"/>
  <c r="FG88" i="50"/>
  <c r="CZ187" i="50"/>
  <c r="D177" i="50"/>
  <c r="BR148" i="50"/>
  <c r="EI174" i="50"/>
  <c r="EJ89" i="50"/>
  <c r="V213" i="50"/>
  <c r="CF126" i="50"/>
  <c r="DV102" i="50"/>
  <c r="AY156" i="50"/>
  <c r="FC119" i="50"/>
  <c r="DZ157" i="50"/>
  <c r="CX117" i="50"/>
  <c r="CI212" i="50"/>
  <c r="FA101" i="50"/>
  <c r="DW149" i="50"/>
  <c r="BP213" i="50"/>
  <c r="AQ195" i="50"/>
  <c r="CV210" i="50"/>
  <c r="CJ118" i="50"/>
  <c r="DN197" i="50"/>
  <c r="CK129" i="50"/>
  <c r="BU133" i="50"/>
  <c r="U211" i="50"/>
  <c r="X183" i="50"/>
  <c r="BM225" i="50"/>
  <c r="BO231" i="50"/>
  <c r="Z225" i="50"/>
  <c r="AO141" i="50"/>
  <c r="CY193" i="50"/>
  <c r="Y225" i="50"/>
  <c r="BN210" i="50"/>
  <c r="BS201" i="50"/>
  <c r="DR229" i="50"/>
  <c r="CM73" i="50"/>
  <c r="BA178" i="50"/>
  <c r="FB228" i="50"/>
  <c r="AF174" i="50"/>
  <c r="DF208" i="50"/>
  <c r="CB173" i="50"/>
  <c r="EQ196" i="50"/>
  <c r="DB97" i="50"/>
  <c r="EH120" i="50"/>
  <c r="CZ121" i="50"/>
  <c r="AA14" i="50"/>
  <c r="BJ208" i="50"/>
  <c r="DQ210" i="50"/>
  <c r="L160" i="50"/>
  <c r="AE13" i="26"/>
  <c r="FA122" i="50"/>
  <c r="EI215" i="50"/>
  <c r="EH83" i="50"/>
  <c r="FC172" i="50"/>
  <c r="AY198" i="50"/>
  <c r="BE156" i="50"/>
  <c r="CA193" i="50"/>
  <c r="DX223" i="50"/>
  <c r="CJ210" i="50"/>
  <c r="EI96" i="50"/>
  <c r="EW183" i="50"/>
  <c r="EO137" i="50"/>
  <c r="DB119" i="50"/>
  <c r="EH75" i="50"/>
  <c r="AB159" i="50"/>
  <c r="CF212" i="50"/>
  <c r="CH80" i="50"/>
  <c r="AC227" i="50"/>
  <c r="I227" i="50"/>
  <c r="AA23" i="50"/>
  <c r="BS150" i="50"/>
  <c r="BG79" i="50"/>
  <c r="CJ134" i="50"/>
  <c r="EY129" i="50"/>
  <c r="EU172" i="50"/>
  <c r="BV205" i="50"/>
  <c r="CM119" i="50"/>
  <c r="AR212" i="50"/>
  <c r="EY144" i="50"/>
  <c r="DV90" i="50"/>
  <c r="DF197" i="50"/>
  <c r="AD139" i="50"/>
  <c r="FB169" i="50"/>
  <c r="DT131" i="50"/>
  <c r="DT145" i="50"/>
  <c r="O193" i="50"/>
  <c r="EN191" i="50"/>
  <c r="BS198" i="50"/>
  <c r="AE231" i="50"/>
  <c r="EW154" i="50"/>
  <c r="EI219" i="50"/>
  <c r="EQ171" i="50"/>
  <c r="DA228" i="50"/>
  <c r="CW83" i="50"/>
  <c r="DR226" i="50"/>
  <c r="EF215" i="50"/>
  <c r="BZ195" i="50"/>
  <c r="EH133" i="50"/>
  <c r="S181" i="50"/>
  <c r="DA180" i="50"/>
  <c r="BJ155" i="50"/>
  <c r="T159" i="50"/>
  <c r="BD198" i="50"/>
  <c r="AB35" i="26"/>
  <c r="FA81" i="50"/>
  <c r="CN78" i="50"/>
  <c r="CG74" i="50"/>
  <c r="CH198" i="50"/>
  <c r="AF209" i="50"/>
  <c r="CN225" i="50"/>
  <c r="BU113" i="50"/>
  <c r="I228" i="50"/>
  <c r="CW125" i="50"/>
  <c r="BR150" i="50"/>
  <c r="DP176" i="50"/>
  <c r="FK181" i="50"/>
  <c r="CD183" i="50"/>
  <c r="BF226" i="50"/>
  <c r="V128" i="50"/>
  <c r="DI168" i="50"/>
  <c r="ER143" i="50"/>
  <c r="S224" i="50"/>
  <c r="BS153" i="50"/>
  <c r="AF141" i="50"/>
  <c r="EH96" i="50"/>
  <c r="AD56" i="26"/>
  <c r="AP157" i="50"/>
  <c r="ER196" i="50"/>
  <c r="EC195" i="50"/>
  <c r="BW158" i="50"/>
  <c r="CW229" i="50"/>
  <c r="BU234" i="50"/>
  <c r="FF107" i="50"/>
  <c r="EB236" i="50"/>
  <c r="DZ196" i="50"/>
  <c r="FH93" i="50"/>
  <c r="FI169" i="50"/>
  <c r="CO227" i="50"/>
  <c r="G155" i="50"/>
  <c r="BV145" i="50"/>
  <c r="DA76" i="50"/>
  <c r="ED232" i="50"/>
  <c r="CN224" i="50"/>
  <c r="ET208" i="50"/>
  <c r="EQ139" i="50"/>
  <c r="CN207" i="50"/>
  <c r="CI217" i="50"/>
  <c r="BU192" i="50"/>
  <c r="DI109" i="50"/>
  <c r="FB97" i="50"/>
  <c r="DB225" i="50"/>
  <c r="BU221" i="50"/>
  <c r="BX233" i="50"/>
  <c r="BZ139" i="50"/>
  <c r="AY155" i="50"/>
  <c r="CF146" i="50"/>
  <c r="EN221" i="50"/>
  <c r="CG171" i="50"/>
  <c r="DZ213" i="50"/>
  <c r="U143" i="50"/>
  <c r="BG223" i="50"/>
  <c r="FB99" i="50"/>
  <c r="BA210" i="50"/>
  <c r="Z207" i="50"/>
  <c r="ES195" i="50"/>
  <c r="AB173" i="50"/>
  <c r="CL222" i="50"/>
  <c r="DE144" i="50"/>
  <c r="FE84" i="50"/>
  <c r="AM141" i="50"/>
  <c r="BG171" i="50"/>
  <c r="FK225" i="50"/>
  <c r="AG195" i="50"/>
  <c r="BR204" i="50"/>
  <c r="BV210" i="50"/>
  <c r="CF105" i="50"/>
  <c r="CM77" i="50"/>
  <c r="EY133" i="50"/>
  <c r="CK230" i="50"/>
  <c r="CW214" i="50"/>
  <c r="BU147" i="50"/>
  <c r="DJ229" i="50"/>
  <c r="M195" i="50"/>
  <c r="EK124" i="50"/>
  <c r="AC237" i="50"/>
  <c r="DR236" i="50"/>
  <c r="AJ154" i="50"/>
  <c r="CJ90" i="50"/>
  <c r="ED215" i="50"/>
  <c r="CX101" i="50"/>
  <c r="EZ155" i="50"/>
  <c r="BC160" i="50"/>
  <c r="AI141" i="50"/>
  <c r="DG99" i="50"/>
  <c r="CX172" i="50"/>
  <c r="BT196" i="50"/>
  <c r="DK237" i="50"/>
  <c r="AA193" i="50"/>
  <c r="H209" i="50"/>
  <c r="X160" i="50"/>
  <c r="EH175" i="50"/>
  <c r="CA139" i="50"/>
  <c r="DP157" i="50"/>
  <c r="DB92" i="50"/>
  <c r="DH82" i="50"/>
  <c r="EI144" i="50"/>
  <c r="AE175" i="50"/>
  <c r="EO195" i="50"/>
  <c r="CK177" i="50"/>
  <c r="CV225" i="50"/>
  <c r="DI211" i="50"/>
  <c r="CW225" i="50"/>
  <c r="S25" i="50"/>
  <c r="EK101" i="50"/>
  <c r="ES226" i="50"/>
  <c r="L196" i="50"/>
  <c r="K154" i="50"/>
  <c r="EO153" i="50"/>
  <c r="C142" i="50"/>
  <c r="FB224" i="50"/>
  <c r="BZ140" i="50"/>
  <c r="EP204" i="50"/>
  <c r="AO182" i="50"/>
  <c r="FI119" i="50"/>
  <c r="BH153" i="50"/>
  <c r="BT130" i="50"/>
  <c r="CB212" i="50"/>
  <c r="AI210" i="50"/>
  <c r="FC198" i="50"/>
  <c r="EM188" i="50"/>
  <c r="BV231" i="50"/>
  <c r="BR222" i="50"/>
  <c r="DB207" i="50"/>
  <c r="BZ155" i="50"/>
  <c r="BG230" i="50"/>
  <c r="BT168" i="50"/>
  <c r="CW91" i="50"/>
  <c r="FB143" i="50"/>
  <c r="DC172" i="50"/>
  <c r="DY178" i="50"/>
  <c r="EN157" i="50"/>
  <c r="DN177" i="50"/>
  <c r="S157" i="50"/>
  <c r="DU74" i="50"/>
  <c r="CO173" i="50"/>
  <c r="EL157" i="50"/>
  <c r="DG203" i="50"/>
  <c r="DX162" i="50"/>
  <c r="BR93" i="50"/>
  <c r="EC226" i="50"/>
  <c r="DO227" i="50"/>
  <c r="Q139" i="50"/>
  <c r="DV195" i="50"/>
  <c r="CD211" i="50"/>
  <c r="AS154" i="50"/>
  <c r="CJ144" i="50"/>
  <c r="CK135" i="50"/>
  <c r="DA210" i="50"/>
  <c r="CZ144" i="50"/>
  <c r="AU128" i="50"/>
  <c r="AE35" i="50"/>
  <c r="EK86" i="50"/>
  <c r="EX233" i="50"/>
  <c r="AC181" i="50"/>
  <c r="BE207" i="50"/>
  <c r="H196" i="50"/>
  <c r="CS153" i="50"/>
  <c r="AM33" i="50"/>
  <c r="CF150" i="50"/>
  <c r="Y226" i="50"/>
  <c r="M227" i="50"/>
  <c r="DU164" i="50"/>
  <c r="DI156" i="50"/>
  <c r="AD153" i="50"/>
  <c r="FF94" i="50"/>
  <c r="CR139" i="50"/>
  <c r="DW94" i="50"/>
  <c r="FF117" i="50"/>
  <c r="DH144" i="50"/>
  <c r="BG107" i="50"/>
  <c r="EJ146" i="50"/>
  <c r="CR175" i="50"/>
  <c r="EL80" i="50"/>
  <c r="EW227" i="50"/>
  <c r="CW75" i="50"/>
  <c r="EN155" i="50"/>
  <c r="DD115" i="50"/>
  <c r="C159" i="50"/>
  <c r="BS164" i="50"/>
  <c r="BH172" i="50"/>
  <c r="CI84" i="50"/>
  <c r="BT202" i="50"/>
  <c r="F160" i="50"/>
  <c r="BG100" i="50"/>
  <c r="AL171" i="50"/>
  <c r="Q129" i="50"/>
  <c r="FF204" i="50"/>
  <c r="FE115" i="50"/>
  <c r="BH216" i="50"/>
  <c r="BU81" i="50"/>
  <c r="FI133" i="50"/>
  <c r="CG109" i="50"/>
  <c r="P140" i="50"/>
  <c r="EM228" i="50"/>
  <c r="EL225" i="50"/>
  <c r="DH217" i="50"/>
  <c r="DX115" i="50"/>
  <c r="CN86" i="50"/>
  <c r="CX85" i="50"/>
  <c r="AL49" i="50"/>
  <c r="CH186" i="50"/>
  <c r="DJ172" i="50"/>
  <c r="EF225" i="50"/>
  <c r="EJ73" i="50"/>
  <c r="S235" i="50"/>
  <c r="T176" i="50"/>
  <c r="EZ118" i="50"/>
  <c r="DP173" i="50"/>
  <c r="CL221" i="50"/>
  <c r="FH87" i="50"/>
  <c r="Z140" i="50"/>
  <c r="EK175" i="50"/>
  <c r="H211" i="50"/>
  <c r="EI121" i="50"/>
  <c r="EQ159" i="50"/>
  <c r="AK58" i="50"/>
  <c r="BG155" i="50"/>
  <c r="BC170" i="50"/>
  <c r="BM159" i="50"/>
  <c r="DD175" i="50"/>
  <c r="CO155" i="50"/>
  <c r="FB196" i="50"/>
  <c r="AX215" i="50"/>
  <c r="EL175" i="50"/>
  <c r="DC204" i="50"/>
  <c r="AX193" i="50"/>
  <c r="EK178" i="50"/>
  <c r="CG172" i="50"/>
  <c r="S143" i="50"/>
  <c r="AT128" i="50"/>
  <c r="BO211" i="50"/>
  <c r="C227" i="50"/>
  <c r="O172" i="50"/>
  <c r="EK234" i="50"/>
  <c r="CG91" i="50"/>
  <c r="AY225" i="50"/>
  <c r="EJ163" i="50"/>
  <c r="EV227" i="50"/>
  <c r="CA179" i="50"/>
  <c r="AK230" i="50"/>
  <c r="AK48" i="50"/>
  <c r="DV94" i="50"/>
  <c r="ES213" i="50"/>
  <c r="CN130" i="50"/>
  <c r="EI161" i="50"/>
  <c r="BW207" i="50"/>
  <c r="CP139" i="50"/>
  <c r="AH172" i="50"/>
  <c r="EP119" i="50"/>
  <c r="CX125" i="50"/>
  <c r="DU79" i="50"/>
  <c r="AK44" i="50"/>
  <c r="FF173" i="50"/>
  <c r="AN140" i="50"/>
  <c r="Y233" i="50"/>
  <c r="BP214" i="50"/>
  <c r="DD207" i="50"/>
  <c r="M236" i="50"/>
  <c r="BS142" i="50"/>
  <c r="BK142" i="50"/>
  <c r="BT120" i="50"/>
  <c r="CY226" i="50"/>
  <c r="EY148" i="50"/>
  <c r="BD228" i="50"/>
  <c r="FA178" i="50"/>
  <c r="EK79" i="50"/>
  <c r="EP229" i="50"/>
  <c r="AQ228" i="50"/>
  <c r="CH90" i="50"/>
  <c r="EH113" i="50"/>
  <c r="EG208" i="50"/>
  <c r="AW207" i="50"/>
  <c r="FH142" i="50"/>
  <c r="CH119" i="50"/>
  <c r="CJ77" i="50"/>
  <c r="DW118" i="50"/>
  <c r="CY232" i="50"/>
  <c r="BW182" i="50"/>
  <c r="X35" i="50"/>
  <c r="D141" i="50"/>
  <c r="DT186" i="50"/>
  <c r="AR158" i="50"/>
  <c r="T162" i="50"/>
  <c r="BO209" i="50"/>
  <c r="CM127" i="50"/>
  <c r="BZ194" i="50"/>
  <c r="AJ44" i="50"/>
  <c r="AQ143" i="50"/>
  <c r="EM124" i="50"/>
  <c r="F128" i="50"/>
  <c r="BK229" i="50"/>
  <c r="BQ162" i="50"/>
  <c r="AZ156" i="50"/>
  <c r="DU111" i="50"/>
  <c r="DV168" i="50"/>
  <c r="CY109" i="50"/>
  <c r="DS160" i="50"/>
  <c r="D172" i="50"/>
  <c r="EH190" i="50"/>
  <c r="CG117" i="50"/>
  <c r="DX142" i="50"/>
  <c r="CM78" i="50"/>
  <c r="FD165" i="50"/>
  <c r="CV224" i="50"/>
  <c r="P175" i="50"/>
  <c r="ET155" i="50"/>
  <c r="DR209" i="50"/>
  <c r="DW221" i="50"/>
  <c r="ES172" i="50"/>
  <c r="EM87" i="50"/>
  <c r="FB212" i="50"/>
  <c r="DY194" i="50"/>
  <c r="AR209" i="50"/>
  <c r="CI213" i="50"/>
  <c r="CW177" i="50"/>
  <c r="O231" i="50"/>
  <c r="BL173" i="50"/>
  <c r="EE172" i="50"/>
  <c r="CE181" i="50"/>
  <c r="G170" i="50"/>
  <c r="FD199" i="50"/>
  <c r="FC132" i="50"/>
  <c r="AW172" i="50"/>
  <c r="AG162" i="50"/>
  <c r="FJ77" i="50"/>
  <c r="CJ95" i="50"/>
  <c r="AC234" i="50"/>
  <c r="N158" i="50"/>
  <c r="BV173" i="50"/>
  <c r="DM215" i="50"/>
  <c r="DB203" i="50"/>
  <c r="CC226" i="50"/>
  <c r="BU105" i="50"/>
  <c r="BV140" i="50"/>
  <c r="AV193" i="50"/>
  <c r="FD167" i="50"/>
  <c r="I235" i="50"/>
  <c r="EK173" i="50"/>
  <c r="DD190" i="50"/>
  <c r="BR85" i="50"/>
  <c r="EQ194" i="50"/>
  <c r="O128" i="50"/>
  <c r="AD17" i="26"/>
  <c r="EI76" i="50"/>
  <c r="EM235" i="50"/>
  <c r="AQ225" i="50"/>
  <c r="EF173" i="50"/>
  <c r="CN216" i="50"/>
  <c r="BQ198" i="50"/>
  <c r="DC111" i="50"/>
  <c r="DA179" i="50"/>
  <c r="AX197" i="50"/>
  <c r="CW123" i="50"/>
  <c r="CA234" i="50"/>
  <c r="EJ167" i="50"/>
  <c r="AI27" i="50"/>
  <c r="DG123" i="50"/>
  <c r="BV200" i="50"/>
  <c r="BV219" i="50"/>
  <c r="CR228" i="50"/>
  <c r="DC224" i="50"/>
  <c r="FA141" i="50"/>
  <c r="CG186" i="50"/>
  <c r="AH196" i="50"/>
  <c r="FG228" i="50"/>
  <c r="EZ132" i="50"/>
  <c r="CW205" i="50"/>
  <c r="CW191" i="50"/>
  <c r="AF224" i="50"/>
  <c r="CF214" i="50"/>
  <c r="DO157" i="50"/>
  <c r="S155" i="50"/>
  <c r="CZ139" i="50"/>
  <c r="FJ167" i="50"/>
  <c r="ED181" i="50"/>
  <c r="R225" i="50"/>
  <c r="W230" i="50"/>
  <c r="FG112" i="50"/>
  <c r="DU177" i="50"/>
  <c r="CY199" i="50"/>
  <c r="DA109" i="50"/>
  <c r="EM79" i="50"/>
  <c r="EK187" i="50"/>
  <c r="CM221" i="50"/>
  <c r="CY215" i="50"/>
  <c r="CW131" i="50"/>
  <c r="CK124" i="50"/>
  <c r="CL130" i="50"/>
  <c r="CH122" i="50"/>
  <c r="BB212" i="50"/>
  <c r="EH102" i="50"/>
  <c r="ED229" i="50"/>
  <c r="DL162" i="50"/>
  <c r="AA174" i="50"/>
  <c r="DQ197" i="50"/>
  <c r="EV198" i="50"/>
  <c r="CX149" i="50"/>
  <c r="D157" i="50"/>
  <c r="BI209" i="50"/>
  <c r="BK140" i="50"/>
  <c r="EQ234" i="50"/>
  <c r="FA123" i="50"/>
  <c r="DF218" i="50"/>
  <c r="AG62" i="50"/>
  <c r="FE158" i="50"/>
  <c r="AL211" i="50"/>
  <c r="BR89" i="50"/>
  <c r="EX174" i="50"/>
  <c r="BS216" i="50"/>
  <c r="X233" i="50"/>
  <c r="EL148" i="50"/>
  <c r="T60" i="50"/>
  <c r="CQ224" i="50"/>
  <c r="FI80" i="50"/>
  <c r="BH176" i="50"/>
  <c r="DG166" i="50"/>
  <c r="CG116" i="50"/>
  <c r="AI211" i="50"/>
  <c r="DX131" i="50"/>
  <c r="AB196" i="50"/>
  <c r="EI232" i="50"/>
  <c r="BL211" i="50"/>
  <c r="DW77" i="50"/>
  <c r="CC172" i="50"/>
  <c r="I155" i="50"/>
  <c r="CF89" i="50"/>
  <c r="DE107" i="50"/>
  <c r="AR235" i="50"/>
  <c r="CH236" i="50"/>
  <c r="AC235" i="50"/>
  <c r="X231" i="50"/>
  <c r="AF212" i="50"/>
  <c r="AA14" i="26"/>
  <c r="L128" i="50"/>
  <c r="DJ209" i="50"/>
  <c r="CI150" i="50"/>
  <c r="AU139" i="50"/>
  <c r="BT201" i="50"/>
  <c r="J174" i="50"/>
  <c r="AP236" i="50"/>
  <c r="BT204" i="50"/>
  <c r="AB128" i="50"/>
  <c r="CO195" i="50"/>
  <c r="FB159" i="50"/>
  <c r="BF225" i="50"/>
  <c r="FC89" i="50"/>
  <c r="AP158" i="50"/>
  <c r="CN109" i="50"/>
  <c r="DW174" i="50"/>
  <c r="CO139" i="50"/>
  <c r="AO140" i="50"/>
  <c r="BS186" i="50"/>
  <c r="EU139" i="50"/>
  <c r="AL129" i="50"/>
  <c r="FD227" i="50"/>
  <c r="EN183" i="50"/>
  <c r="AL174" i="50"/>
  <c r="AA15" i="50"/>
  <c r="DC88" i="50"/>
  <c r="BJ176" i="50"/>
  <c r="EX226" i="50"/>
  <c r="EK152" i="50"/>
  <c r="DT103" i="50"/>
  <c r="T140" i="50"/>
  <c r="CR208" i="50"/>
  <c r="DT158" i="50"/>
  <c r="DE207" i="50"/>
  <c r="EP144" i="50"/>
  <c r="CZ172" i="50"/>
  <c r="V129" i="50"/>
  <c r="DA116" i="50"/>
  <c r="CP195" i="50"/>
  <c r="DT195" i="50"/>
  <c r="DV191" i="50"/>
  <c r="ED140" i="50"/>
  <c r="O208" i="50"/>
  <c r="DL177" i="50"/>
  <c r="CK139" i="50"/>
  <c r="EJ137" i="50"/>
  <c r="FB187" i="50"/>
  <c r="I214" i="50"/>
  <c r="DS174" i="50"/>
  <c r="AX178" i="50"/>
  <c r="CH150" i="50"/>
  <c r="FB190" i="50"/>
  <c r="EJ204" i="50"/>
  <c r="BQ154" i="50"/>
  <c r="BY140" i="50"/>
  <c r="EH143" i="50"/>
  <c r="BL175" i="50"/>
  <c r="E194" i="50"/>
  <c r="BP141" i="50"/>
  <c r="DF149" i="50"/>
  <c r="EY168" i="50"/>
  <c r="FC199" i="50"/>
  <c r="EJ210" i="50"/>
  <c r="CK226" i="50"/>
  <c r="CX200" i="50"/>
  <c r="CX202" i="50"/>
  <c r="BU151" i="50"/>
  <c r="AM32" i="50"/>
  <c r="FI216" i="50"/>
  <c r="EA171" i="50"/>
  <c r="EW234" i="50"/>
  <c r="AD157" i="50"/>
  <c r="AZ153" i="50"/>
  <c r="BM139" i="50"/>
  <c r="CI200" i="50"/>
  <c r="EW231" i="50"/>
  <c r="AK225" i="50"/>
  <c r="EY180" i="50"/>
  <c r="BZ225" i="50"/>
  <c r="DB88" i="50"/>
  <c r="EN136" i="50"/>
  <c r="BF183" i="50"/>
  <c r="AD23" i="26"/>
  <c r="DY233" i="50"/>
  <c r="FB128" i="50"/>
  <c r="EC224" i="50"/>
  <c r="DG122" i="50"/>
  <c r="DH81" i="50"/>
  <c r="BY230" i="50"/>
  <c r="DZ155" i="50"/>
  <c r="AR226" i="50"/>
  <c r="BO197" i="50"/>
  <c r="CK164" i="50"/>
  <c r="AY236" i="50"/>
  <c r="FH94" i="50"/>
  <c r="EY174" i="50"/>
  <c r="EN137" i="50"/>
  <c r="BH233" i="50"/>
  <c r="FA145" i="50"/>
  <c r="CA232" i="50"/>
  <c r="EK220" i="50"/>
  <c r="DV234" i="50"/>
  <c r="ES173" i="50"/>
  <c r="EM119" i="50"/>
  <c r="FF77" i="50"/>
  <c r="X29" i="50"/>
  <c r="EV142" i="50"/>
  <c r="EY73" i="50"/>
  <c r="F194" i="50"/>
  <c r="BU145" i="50"/>
  <c r="FD155" i="50"/>
  <c r="FA84" i="50"/>
  <c r="BR210" i="50"/>
  <c r="EO143" i="50"/>
  <c r="AV128" i="50"/>
  <c r="FK201" i="50"/>
  <c r="BS152" i="50"/>
  <c r="CF193" i="50"/>
  <c r="P236" i="50"/>
  <c r="CI87" i="50"/>
  <c r="FB100" i="50"/>
  <c r="BQ210" i="50"/>
  <c r="FD114" i="50"/>
  <c r="EJ228" i="50"/>
  <c r="K176" i="50"/>
  <c r="EJ188" i="50"/>
  <c r="DI167" i="50"/>
  <c r="EL134" i="50"/>
  <c r="U207" i="50"/>
  <c r="EY166" i="50"/>
  <c r="AH139" i="50"/>
  <c r="AA198" i="50"/>
  <c r="DX129" i="50"/>
  <c r="AI180" i="50"/>
  <c r="D162" i="50"/>
  <c r="BV123" i="50"/>
  <c r="BL228" i="50"/>
  <c r="DT110" i="50"/>
  <c r="BT89" i="50"/>
  <c r="Y160" i="50"/>
  <c r="DQ211" i="50"/>
  <c r="CZ111" i="50"/>
  <c r="FE227" i="50"/>
  <c r="EB143" i="50"/>
  <c r="CA157" i="50"/>
  <c r="FA180" i="50"/>
  <c r="CY86" i="50"/>
  <c r="DQ155" i="50"/>
  <c r="FI113" i="50"/>
  <c r="CW211" i="50"/>
  <c r="CZ213" i="50"/>
  <c r="C154" i="50"/>
  <c r="EF143" i="50"/>
  <c r="AF173" i="50"/>
  <c r="DT232" i="50"/>
  <c r="O216" i="50"/>
  <c r="DA87" i="50"/>
  <c r="M139" i="50"/>
  <c r="AZ157" i="50"/>
  <c r="DW212" i="50"/>
  <c r="V153" i="50"/>
  <c r="J182" i="50"/>
  <c r="FB94" i="50"/>
  <c r="FB157" i="50"/>
  <c r="AD155" i="50"/>
  <c r="Z237" i="50"/>
  <c r="AR155" i="50"/>
  <c r="CW207" i="50"/>
  <c r="DE212" i="50"/>
  <c r="DC209" i="50"/>
  <c r="BJ215" i="50"/>
  <c r="BX143" i="50"/>
  <c r="EA229" i="50"/>
  <c r="AI64" i="50"/>
  <c r="BT166" i="50"/>
  <c r="BO159" i="50"/>
  <c r="AK211" i="50"/>
  <c r="AL158" i="50"/>
  <c r="FF104" i="50"/>
  <c r="CG227" i="50"/>
  <c r="FE82" i="50"/>
  <c r="V37" i="50"/>
  <c r="FC142" i="50"/>
  <c r="AZ159" i="50"/>
  <c r="CN156" i="50"/>
  <c r="CH171" i="50"/>
  <c r="Z54" i="26"/>
  <c r="EQ129" i="50"/>
  <c r="FG124" i="50"/>
  <c r="FG149" i="50"/>
  <c r="EZ193" i="50"/>
  <c r="H153" i="50"/>
  <c r="AB156" i="50"/>
  <c r="CO143" i="50"/>
  <c r="DU83" i="50"/>
  <c r="FA217" i="50"/>
  <c r="CF204" i="50"/>
  <c r="CG140" i="50"/>
  <c r="DV202" i="50"/>
  <c r="EH129" i="50"/>
  <c r="CO224" i="50"/>
  <c r="AG156" i="50"/>
  <c r="DD148" i="50"/>
  <c r="BY171" i="50"/>
  <c r="CJ120" i="50"/>
  <c r="F181" i="50"/>
  <c r="ET212" i="50"/>
  <c r="CI155" i="50"/>
  <c r="C212" i="50"/>
  <c r="CO226" i="50"/>
  <c r="ED178" i="50"/>
  <c r="BV150" i="50"/>
  <c r="AB35" i="50"/>
  <c r="Y144" i="50"/>
  <c r="FB195" i="50"/>
  <c r="DF138" i="50"/>
  <c r="EE181" i="50"/>
  <c r="BF224" i="50"/>
  <c r="DM212" i="50"/>
  <c r="EM147" i="50"/>
  <c r="EE182" i="50"/>
  <c r="AH128" i="50"/>
  <c r="DA126" i="50"/>
  <c r="BR76" i="50"/>
  <c r="DB196" i="50"/>
  <c r="EO82" i="50"/>
  <c r="CQ197" i="50"/>
  <c r="CY144" i="50"/>
  <c r="FB136" i="50"/>
  <c r="U215" i="50"/>
  <c r="BO226" i="50"/>
  <c r="BI156" i="50"/>
  <c r="EO204" i="50"/>
  <c r="DV165" i="50"/>
  <c r="BT217" i="50"/>
  <c r="DU203" i="50"/>
  <c r="BO139" i="50"/>
  <c r="CH82" i="50"/>
  <c r="E170" i="50"/>
  <c r="DW131" i="50"/>
  <c r="DW91" i="50"/>
  <c r="EU170" i="50"/>
  <c r="EM155" i="50"/>
  <c r="G31" i="50"/>
  <c r="EN94" i="50"/>
  <c r="FJ122" i="50"/>
  <c r="CS182" i="50"/>
  <c r="CE172" i="50"/>
  <c r="DG146" i="50"/>
  <c r="CW197" i="50"/>
  <c r="CT178" i="50"/>
  <c r="AY194" i="50"/>
  <c r="AH210" i="50"/>
  <c r="AM227" i="50"/>
  <c r="BJ195" i="50"/>
  <c r="AL208" i="50"/>
  <c r="AE37" i="26"/>
  <c r="BB227" i="50"/>
  <c r="CY98" i="50"/>
  <c r="BA225" i="50"/>
  <c r="DU186" i="50"/>
  <c r="CW118" i="50"/>
  <c r="CK176" i="50"/>
  <c r="CG174" i="50"/>
  <c r="DU160" i="50"/>
  <c r="AX196" i="50"/>
  <c r="FE75" i="50"/>
  <c r="EA233" i="50"/>
  <c r="AD211" i="50"/>
  <c r="FD78" i="50"/>
  <c r="AC207" i="50"/>
  <c r="CU153" i="50"/>
  <c r="FG94" i="50"/>
  <c r="C156" i="50"/>
  <c r="CK182" i="50"/>
  <c r="EP96" i="50"/>
  <c r="FA126" i="50"/>
  <c r="AC19" i="50"/>
  <c r="V228" i="50"/>
  <c r="DK196" i="50"/>
  <c r="Z26" i="26"/>
  <c r="FC227" i="50"/>
  <c r="FE134" i="50"/>
  <c r="BU167" i="50"/>
  <c r="P157" i="50"/>
  <c r="CF84" i="50"/>
  <c r="CR209" i="50"/>
  <c r="G30" i="50"/>
  <c r="EH152" i="50"/>
  <c r="EZ225" i="50"/>
  <c r="AD144" i="50"/>
  <c r="AB14" i="26"/>
  <c r="CS193" i="50"/>
  <c r="EV160" i="50"/>
  <c r="EK128" i="50"/>
  <c r="X224" i="50"/>
  <c r="BS129" i="50"/>
  <c r="CB207" i="50"/>
  <c r="EL194" i="50"/>
  <c r="DB124" i="50"/>
  <c r="CZ226" i="50"/>
  <c r="U63" i="50"/>
  <c r="AG28" i="50"/>
  <c r="CZ233" i="50"/>
  <c r="G129" i="50"/>
  <c r="CQ153" i="50"/>
  <c r="BD154" i="50"/>
  <c r="EB210" i="50"/>
  <c r="CK168" i="50"/>
  <c r="AN227" i="50"/>
  <c r="CU143" i="50"/>
  <c r="EN74" i="50"/>
  <c r="EU178" i="50"/>
  <c r="BR104" i="50"/>
  <c r="FG101" i="50"/>
  <c r="X154" i="50"/>
  <c r="AI54" i="50"/>
  <c r="DT201" i="50"/>
  <c r="FI204" i="50"/>
  <c r="K155" i="50"/>
  <c r="BV187" i="50"/>
  <c r="EZ168" i="50"/>
  <c r="EM145" i="50"/>
  <c r="BN141" i="50"/>
  <c r="EH114" i="50"/>
  <c r="AP176" i="50"/>
  <c r="EH82" i="50"/>
  <c r="T139" i="50"/>
  <c r="CP212" i="50"/>
  <c r="ES193" i="50"/>
  <c r="DT123" i="50"/>
  <c r="EF142" i="50"/>
  <c r="BL197" i="50"/>
  <c r="EE196" i="50"/>
  <c r="BN153" i="50"/>
  <c r="EL196" i="50"/>
  <c r="EX170" i="50"/>
  <c r="BN195" i="50"/>
  <c r="E183" i="50"/>
  <c r="E153" i="50"/>
  <c r="FD94" i="50"/>
  <c r="FJ142" i="50"/>
  <c r="FD76" i="50"/>
  <c r="Q231" i="50"/>
  <c r="J173" i="50"/>
  <c r="L141" i="50"/>
  <c r="CJ217" i="50"/>
  <c r="AH209" i="50"/>
  <c r="EO138" i="50"/>
  <c r="CR179" i="50"/>
  <c r="AX228" i="50"/>
  <c r="BZ129" i="50"/>
  <c r="Q207" i="50"/>
  <c r="AV208" i="50"/>
  <c r="DM180" i="50"/>
  <c r="DZ224" i="50"/>
  <c r="ER144" i="50"/>
  <c r="BE237" i="50"/>
  <c r="BT163" i="50"/>
  <c r="M171" i="50"/>
  <c r="BV122" i="50"/>
  <c r="AG144" i="50"/>
  <c r="DM235" i="50"/>
  <c r="EO182" i="50"/>
  <c r="CY178" i="50"/>
  <c r="BR138" i="50"/>
  <c r="BG118" i="50"/>
  <c r="F178" i="50"/>
  <c r="AZ235" i="50"/>
  <c r="DV198" i="50"/>
  <c r="BA154" i="50"/>
  <c r="DO237" i="50"/>
  <c r="BV114" i="50"/>
  <c r="AQ178" i="50"/>
  <c r="BY153" i="50"/>
  <c r="CU158" i="50"/>
  <c r="FI220" i="50"/>
  <c r="FD180" i="50"/>
  <c r="DU102" i="50"/>
  <c r="AA21" i="26"/>
  <c r="BT220" i="50"/>
  <c r="EU230" i="50"/>
  <c r="EO88" i="50"/>
  <c r="BY211" i="50"/>
  <c r="EV210" i="50"/>
  <c r="EL106" i="50"/>
  <c r="EZ92" i="50"/>
  <c r="BL193" i="50"/>
  <c r="D153" i="50"/>
  <c r="L212" i="50"/>
  <c r="DD227" i="50"/>
  <c r="DI137" i="50"/>
  <c r="BQ153" i="50"/>
  <c r="EK126" i="50"/>
  <c r="EY218" i="50"/>
  <c r="EE143" i="50"/>
  <c r="BU169" i="50"/>
  <c r="CY208" i="50"/>
  <c r="DD205" i="50"/>
  <c r="K212" i="50"/>
  <c r="FE89" i="50"/>
  <c r="DB80" i="50"/>
  <c r="CZ89" i="50"/>
  <c r="FC211" i="50"/>
  <c r="DU145" i="50"/>
  <c r="AG158" i="50"/>
  <c r="AM195" i="50"/>
  <c r="CZ78" i="50"/>
  <c r="CI195" i="50"/>
  <c r="DL159" i="50"/>
  <c r="EH234" i="50"/>
  <c r="CM162" i="50"/>
  <c r="CJ104" i="50"/>
  <c r="AX225" i="50"/>
  <c r="BZ226" i="50"/>
  <c r="DO211" i="50"/>
  <c r="BF193" i="50"/>
  <c r="CK183" i="50"/>
  <c r="ER170" i="50"/>
  <c r="FA92" i="50"/>
  <c r="Z60" i="50"/>
  <c r="EG224" i="50"/>
  <c r="EZ222" i="50"/>
  <c r="FF136" i="50"/>
  <c r="AJ54" i="50"/>
  <c r="AT176" i="50"/>
  <c r="AR144" i="50"/>
  <c r="S176" i="50"/>
  <c r="AA34" i="26"/>
  <c r="C196" i="50"/>
  <c r="DS232" i="50"/>
  <c r="BV126" i="50"/>
  <c r="EZ125" i="50"/>
  <c r="CZ179" i="50"/>
  <c r="DG232" i="50"/>
  <c r="CG139" i="50"/>
  <c r="BS154" i="50"/>
  <c r="AI214" i="50"/>
  <c r="FB101" i="50"/>
  <c r="BT150" i="50"/>
  <c r="CT179" i="50"/>
  <c r="FA206" i="50"/>
  <c r="FB207" i="50"/>
  <c r="BS210" i="50"/>
  <c r="I208" i="50"/>
  <c r="X178" i="50"/>
  <c r="DA234" i="50"/>
  <c r="FB199" i="50"/>
  <c r="M237" i="50"/>
  <c r="CW124" i="50"/>
  <c r="AP229" i="50"/>
  <c r="CK111" i="50"/>
  <c r="EM90" i="50"/>
  <c r="DQ142" i="50"/>
  <c r="EY96" i="50"/>
  <c r="AJ51" i="50"/>
  <c r="CL90" i="50"/>
  <c r="DA121" i="50"/>
  <c r="EY199" i="50"/>
  <c r="AH155" i="50"/>
  <c r="CX77" i="50"/>
  <c r="BY162" i="50"/>
  <c r="EK96" i="50"/>
  <c r="CV212" i="50"/>
  <c r="AM172" i="50"/>
  <c r="FI229" i="50"/>
  <c r="DU179" i="50"/>
  <c r="CM88" i="50"/>
  <c r="H171" i="50"/>
  <c r="L230" i="50"/>
  <c r="EK98" i="50"/>
  <c r="DI229" i="50"/>
  <c r="BQ229" i="50"/>
  <c r="DV177" i="50"/>
  <c r="BS127" i="50"/>
  <c r="CJ187" i="50"/>
  <c r="T128" i="50"/>
  <c r="DN227" i="50"/>
  <c r="FF207" i="50"/>
  <c r="DI220" i="50"/>
  <c r="CJ168" i="50"/>
  <c r="Y27" i="50"/>
  <c r="CM125" i="50"/>
  <c r="FE102" i="50"/>
  <c r="DB169" i="50"/>
  <c r="DT117" i="50"/>
  <c r="EB140" i="50"/>
  <c r="FK196" i="50"/>
  <c r="BT107" i="50"/>
  <c r="EN163" i="50"/>
  <c r="CY165" i="50"/>
  <c r="DX197" i="50"/>
  <c r="CJ87" i="50"/>
  <c r="BT157" i="50"/>
  <c r="AA62" i="50"/>
  <c r="CW206" i="50"/>
  <c r="K230" i="50"/>
  <c r="DY226" i="50"/>
  <c r="EQ178" i="50"/>
  <c r="CM193" i="50"/>
  <c r="CI82" i="50"/>
  <c r="ER194" i="50"/>
  <c r="AK129" i="50"/>
  <c r="CM113" i="50"/>
  <c r="ES230" i="50"/>
  <c r="CK113" i="50"/>
  <c r="CK133" i="50"/>
  <c r="AK172" i="50"/>
  <c r="EI195" i="50"/>
  <c r="EL228" i="50"/>
  <c r="CT180" i="50"/>
  <c r="AM228" i="50"/>
  <c r="DS176" i="50"/>
  <c r="EE198" i="50"/>
  <c r="CZ103" i="50"/>
  <c r="BI212" i="50"/>
  <c r="DZ171" i="50"/>
  <c r="DN229" i="50"/>
  <c r="FE120" i="50"/>
  <c r="CG146" i="50"/>
  <c r="BI159" i="50"/>
  <c r="DT162" i="50"/>
  <c r="Z27" i="50"/>
  <c r="DO194" i="50"/>
  <c r="CJ82" i="50"/>
  <c r="DG171" i="50"/>
  <c r="DV115" i="50"/>
  <c r="FD118" i="50"/>
  <c r="BV97" i="50"/>
  <c r="AW210" i="50"/>
  <c r="CL84" i="50"/>
  <c r="EK213" i="50"/>
  <c r="FC118" i="50"/>
  <c r="EL201" i="50"/>
  <c r="DF221" i="50"/>
  <c r="F195" i="50"/>
  <c r="CK187" i="50"/>
  <c r="EL147" i="50"/>
  <c r="DH163" i="50"/>
  <c r="DG127" i="50"/>
  <c r="FF114" i="50"/>
  <c r="CC236" i="50"/>
  <c r="CH78" i="50"/>
  <c r="DB176" i="50"/>
  <c r="FI157" i="50"/>
  <c r="T174" i="50"/>
  <c r="H32" i="50"/>
  <c r="ES229" i="50"/>
  <c r="Z52" i="26"/>
  <c r="CQ140" i="50"/>
  <c r="W237" i="50"/>
  <c r="FJ206" i="50"/>
  <c r="DC186" i="50"/>
  <c r="FE187" i="50"/>
  <c r="FG195" i="50"/>
  <c r="EC162" i="50"/>
  <c r="CZ164" i="50"/>
  <c r="BV175" i="50"/>
  <c r="DA221" i="50"/>
  <c r="CB172" i="50"/>
  <c r="CL142" i="50"/>
  <c r="DU78" i="50"/>
  <c r="DA169" i="50"/>
  <c r="DT187" i="50"/>
  <c r="AS198" i="50"/>
  <c r="EO170" i="50"/>
  <c r="AV178" i="50"/>
  <c r="AN159" i="50"/>
  <c r="AA141" i="50"/>
  <c r="EM227" i="50"/>
  <c r="CA237" i="50"/>
  <c r="BR110" i="50"/>
  <c r="BW211" i="50"/>
  <c r="EP95" i="50"/>
  <c r="M39" i="50"/>
  <c r="DB175" i="50"/>
  <c r="CX147" i="50"/>
  <c r="DF190" i="50"/>
  <c r="BC139" i="50"/>
  <c r="BU214" i="50"/>
  <c r="AT158" i="50"/>
  <c r="CJ185" i="50"/>
  <c r="C207" i="50"/>
  <c r="EE237" i="50"/>
  <c r="CJ163" i="50"/>
  <c r="W176" i="50"/>
  <c r="BY233" i="50"/>
  <c r="DW115" i="50"/>
  <c r="BE140" i="50"/>
  <c r="AC214" i="50"/>
  <c r="CQ226" i="50"/>
  <c r="DW135" i="50"/>
  <c r="DV182" i="50"/>
  <c r="BW197" i="50"/>
  <c r="ES224" i="50"/>
  <c r="EG142" i="50"/>
  <c r="O233" i="50"/>
  <c r="CT129" i="50"/>
  <c r="BI140" i="50"/>
  <c r="EV197" i="50"/>
  <c r="DQ143" i="50"/>
  <c r="BR100" i="50"/>
  <c r="DC78" i="50"/>
  <c r="DY139" i="50"/>
  <c r="EX156" i="50"/>
  <c r="BR79" i="50"/>
  <c r="FG147" i="50"/>
  <c r="EQ216" i="50"/>
  <c r="AZ232" i="50"/>
  <c r="ER213" i="50"/>
  <c r="DC216" i="50"/>
  <c r="ES178" i="50"/>
  <c r="AA60" i="26"/>
  <c r="EG139" i="50"/>
  <c r="EO157" i="50"/>
  <c r="FF123" i="50"/>
  <c r="CJ147" i="50"/>
  <c r="CJ160" i="50"/>
  <c r="DA79" i="50"/>
  <c r="DZ160" i="50"/>
  <c r="EO236" i="50"/>
  <c r="DG174" i="50"/>
  <c r="CM142" i="50"/>
  <c r="AD55" i="26"/>
  <c r="BP179" i="50"/>
  <c r="BE214" i="50"/>
  <c r="AH141" i="50"/>
  <c r="EP236" i="50"/>
  <c r="CI146" i="50"/>
  <c r="DA193" i="50"/>
  <c r="DT106" i="50"/>
  <c r="CZ81" i="50"/>
  <c r="R226" i="50"/>
  <c r="CT141" i="50"/>
  <c r="AS140" i="50"/>
  <c r="AA232" i="50"/>
  <c r="EY188" i="50"/>
  <c r="EZ117" i="50"/>
  <c r="EI228" i="50"/>
  <c r="EO142" i="50"/>
  <c r="CU141" i="50"/>
  <c r="D231" i="50"/>
  <c r="CJ231" i="50"/>
  <c r="EN121" i="50"/>
  <c r="CY203" i="50"/>
  <c r="AC173" i="50"/>
  <c r="DW81" i="50"/>
  <c r="EG231" i="50"/>
  <c r="EC197" i="50"/>
  <c r="AR128" i="50"/>
  <c r="CX143" i="50"/>
  <c r="AP231" i="50"/>
  <c r="BA208" i="50"/>
  <c r="BP210" i="50"/>
  <c r="CJ219" i="50"/>
  <c r="DE137" i="50"/>
  <c r="DV133" i="50"/>
  <c r="AO154" i="50"/>
  <c r="CS129" i="50"/>
  <c r="DD113" i="50"/>
  <c r="EZ87" i="50"/>
  <c r="AY210" i="50"/>
  <c r="CN87" i="50"/>
  <c r="CH157" i="50"/>
  <c r="O176" i="50"/>
  <c r="S62" i="50"/>
  <c r="AF182" i="50"/>
  <c r="DX111" i="50"/>
  <c r="DI73" i="50"/>
  <c r="DJ231" i="50"/>
  <c r="R160" i="50"/>
  <c r="S237" i="50"/>
  <c r="BW143" i="50"/>
  <c r="FJ194" i="50"/>
  <c r="FI106" i="50"/>
  <c r="FD98" i="50"/>
  <c r="AR233" i="50"/>
  <c r="CZ224" i="50"/>
  <c r="DE205" i="50"/>
  <c r="ER178" i="50"/>
  <c r="BN233" i="50"/>
  <c r="DF79" i="50"/>
  <c r="Z31" i="26"/>
  <c r="EF141" i="50"/>
  <c r="BD236" i="50"/>
  <c r="EB229" i="50"/>
  <c r="EZ175" i="50"/>
  <c r="EC229" i="50"/>
  <c r="AK51" i="50"/>
  <c r="FC179" i="50"/>
  <c r="F225" i="50"/>
  <c r="CJ208" i="50"/>
  <c r="DC150" i="50"/>
  <c r="BV133" i="50"/>
  <c r="DZ176" i="50"/>
  <c r="EJ201" i="50"/>
  <c r="AI30" i="50"/>
  <c r="AA36" i="50"/>
  <c r="EI143" i="50"/>
  <c r="FB160" i="50"/>
  <c r="CX226" i="50"/>
  <c r="ET216" i="50"/>
  <c r="DD184" i="50"/>
  <c r="BK196" i="50"/>
  <c r="FD171" i="50"/>
  <c r="FB140" i="50"/>
  <c r="BM143" i="50"/>
  <c r="FC167" i="50"/>
  <c r="CT236" i="50"/>
  <c r="EV144" i="50"/>
  <c r="AM174" i="50"/>
  <c r="DF77" i="50"/>
  <c r="CL223" i="50"/>
  <c r="DU195" i="50"/>
  <c r="CV197" i="50"/>
  <c r="BV99" i="50"/>
  <c r="AQ234" i="50"/>
  <c r="FH148" i="50"/>
  <c r="CF161" i="50"/>
  <c r="DE129" i="50"/>
  <c r="BC195" i="50"/>
  <c r="DE131" i="50"/>
  <c r="FG184" i="50"/>
  <c r="Q209" i="50"/>
  <c r="DW121" i="50"/>
  <c r="DP196" i="50"/>
  <c r="G156" i="50"/>
  <c r="EO229" i="50"/>
  <c r="DQ216" i="50"/>
  <c r="DO154" i="50"/>
  <c r="CX215" i="50"/>
  <c r="CZ157" i="50"/>
  <c r="CF156" i="50"/>
  <c r="FA91" i="50"/>
  <c r="EM110" i="50"/>
  <c r="CH140" i="50"/>
  <c r="ET142" i="50"/>
  <c r="FB181" i="50"/>
  <c r="AD181" i="50"/>
  <c r="EY118" i="50"/>
  <c r="FE154" i="50"/>
  <c r="DX145" i="50"/>
  <c r="CH146" i="50"/>
  <c r="T237" i="50"/>
  <c r="M209" i="50"/>
  <c r="CG126" i="50"/>
  <c r="EO235" i="50"/>
  <c r="CC139" i="50"/>
  <c r="DQ157" i="50"/>
  <c r="CX100" i="50"/>
  <c r="BQ213" i="50"/>
  <c r="DV222" i="50"/>
  <c r="CW73" i="50"/>
  <c r="EB197" i="50"/>
  <c r="BS118" i="50"/>
  <c r="CB143" i="50"/>
  <c r="EN188" i="50"/>
  <c r="BT115" i="50"/>
  <c r="EJ183" i="50"/>
  <c r="BU176" i="50"/>
  <c r="CJ181" i="50"/>
  <c r="EM118" i="50"/>
  <c r="ET172" i="50"/>
  <c r="AK139" i="50"/>
  <c r="BR136" i="50"/>
  <c r="FG133" i="50"/>
  <c r="AL225" i="50"/>
  <c r="CX173" i="50"/>
  <c r="DZ193" i="50"/>
  <c r="DP236" i="50"/>
  <c r="AM194" i="50"/>
  <c r="BH156" i="50"/>
  <c r="BN208" i="50"/>
  <c r="CY182" i="50"/>
  <c r="CN173" i="50"/>
  <c r="CF172" i="50"/>
  <c r="BS155" i="50"/>
  <c r="EZ84" i="50"/>
  <c r="EH123" i="50"/>
  <c r="BD233" i="50"/>
  <c r="DB221" i="50"/>
  <c r="BM234" i="50"/>
  <c r="CN196" i="50"/>
  <c r="AB42" i="26"/>
  <c r="CW228" i="50"/>
  <c r="DP182" i="50"/>
  <c r="DX146" i="50"/>
  <c r="Q154" i="50"/>
  <c r="FJ184" i="50"/>
  <c r="AS162" i="50"/>
  <c r="FB221" i="50"/>
  <c r="AR181" i="50"/>
  <c r="CB141" i="50"/>
  <c r="EF227" i="50"/>
  <c r="EY229" i="50"/>
  <c r="DW76" i="50"/>
  <c r="BU224" i="50"/>
  <c r="BL207" i="50"/>
  <c r="FK149" i="50"/>
  <c r="CD153" i="50"/>
  <c r="BU179" i="50"/>
  <c r="S180" i="50"/>
  <c r="DH117" i="50"/>
  <c r="CR182" i="50"/>
  <c r="BX156" i="50"/>
  <c r="AS183" i="50"/>
  <c r="AL230" i="50"/>
  <c r="AD35" i="26"/>
  <c r="DY208" i="50"/>
  <c r="AR180" i="50"/>
  <c r="EY200" i="50"/>
  <c r="CU193" i="50"/>
  <c r="CX148" i="50"/>
  <c r="P227" i="50"/>
  <c r="DV214" i="50"/>
  <c r="Y229" i="50"/>
  <c r="K171" i="50"/>
  <c r="CK137" i="50"/>
  <c r="E237" i="50"/>
  <c r="DM177" i="50"/>
  <c r="FJ123" i="50"/>
  <c r="EG161" i="50"/>
  <c r="FG203" i="50"/>
  <c r="AZ155" i="50"/>
  <c r="EW196" i="50"/>
  <c r="AH208" i="50"/>
  <c r="CY187" i="50"/>
  <c r="DV199" i="50"/>
  <c r="DL144" i="50"/>
  <c r="CM186" i="50"/>
  <c r="BV74" i="50"/>
  <c r="BP157" i="50"/>
  <c r="CV171" i="50"/>
  <c r="DA195" i="50"/>
  <c r="DP233" i="50"/>
  <c r="CI210" i="50"/>
  <c r="AD172" i="50"/>
  <c r="AM14" i="50"/>
  <c r="CF90" i="50"/>
  <c r="DF130" i="50"/>
  <c r="CS211" i="50"/>
  <c r="EV159" i="50"/>
  <c r="FD146" i="50"/>
  <c r="DV212" i="50"/>
  <c r="DD163" i="50"/>
  <c r="EB173" i="50"/>
  <c r="BZ128" i="50"/>
  <c r="CV231" i="50"/>
  <c r="AI143" i="50"/>
  <c r="DD236" i="50"/>
  <c r="BT112" i="50"/>
  <c r="DI159" i="50"/>
  <c r="FC154" i="50"/>
  <c r="FI110" i="50"/>
  <c r="DX180" i="50"/>
  <c r="DG109" i="50"/>
  <c r="BA235" i="50"/>
  <c r="EF208" i="50"/>
  <c r="Y153" i="50"/>
  <c r="EK117" i="50"/>
  <c r="BQ139" i="50"/>
  <c r="BG159" i="50"/>
  <c r="CW138" i="50"/>
  <c r="EH159" i="50"/>
  <c r="EX143" i="50"/>
  <c r="K224" i="50"/>
  <c r="D230" i="50"/>
  <c r="AE35" i="26"/>
  <c r="BW196" i="50"/>
  <c r="AK43" i="50"/>
  <c r="EX128" i="50"/>
  <c r="DX229" i="50"/>
  <c r="DF163" i="50"/>
  <c r="Z59" i="26"/>
  <c r="CT232" i="50"/>
  <c r="DT112" i="50"/>
  <c r="CG100" i="50"/>
  <c r="BN160" i="50"/>
  <c r="EG181" i="50"/>
  <c r="BL233" i="50"/>
  <c r="EZ113" i="50"/>
  <c r="FE95" i="50"/>
  <c r="CT211" i="50"/>
  <c r="EY137" i="50"/>
  <c r="FE226" i="50"/>
  <c r="BG195" i="50"/>
  <c r="EL103" i="50"/>
  <c r="CJ137" i="50"/>
  <c r="AD232" i="50"/>
  <c r="BU100" i="50"/>
  <c r="O180" i="50"/>
  <c r="L180" i="50"/>
  <c r="CT144" i="50"/>
  <c r="FF220" i="50"/>
  <c r="G128" i="50"/>
  <c r="FE156" i="50"/>
  <c r="EU158" i="50"/>
  <c r="J196" i="50"/>
  <c r="CL73" i="50"/>
  <c r="AK237" i="50"/>
  <c r="DX158" i="50"/>
  <c r="W182" i="50"/>
  <c r="EX177" i="50"/>
  <c r="FC220" i="50"/>
  <c r="DV80" i="50"/>
  <c r="DW122" i="50"/>
  <c r="O237" i="50"/>
  <c r="AN226" i="50"/>
  <c r="AD63" i="26"/>
  <c r="CY124" i="50"/>
  <c r="CT193" i="50"/>
  <c r="AT195" i="50"/>
  <c r="DV204" i="50"/>
  <c r="DH174" i="50"/>
  <c r="DV155" i="50"/>
  <c r="CH149" i="50"/>
  <c r="CY204" i="50"/>
  <c r="FC73" i="50"/>
  <c r="EL166" i="50"/>
  <c r="BA230" i="50"/>
  <c r="DF195" i="50"/>
  <c r="CP171" i="50"/>
  <c r="AC38" i="26"/>
  <c r="CL172" i="50"/>
  <c r="CP216" i="50"/>
  <c r="C171" i="50"/>
  <c r="CF166" i="50"/>
  <c r="AB25" i="26"/>
  <c r="G231" i="50"/>
  <c r="CH77" i="50"/>
  <c r="EN76" i="50"/>
  <c r="DF113" i="50"/>
  <c r="FC93" i="50"/>
  <c r="BY157" i="50"/>
  <c r="AK210" i="50"/>
  <c r="I226" i="50"/>
  <c r="DB236" i="50"/>
  <c r="DG205" i="50"/>
  <c r="DW157" i="50"/>
  <c r="CA174" i="50"/>
  <c r="DF123" i="50"/>
  <c r="CW235" i="50"/>
  <c r="DO234" i="50"/>
  <c r="AW227" i="50"/>
  <c r="AH56" i="50"/>
  <c r="AZ231" i="50"/>
  <c r="EX129" i="50"/>
  <c r="M211" i="50"/>
  <c r="FA143" i="50"/>
  <c r="CJ213" i="50"/>
  <c r="BU205" i="50"/>
  <c r="FJ112" i="50"/>
  <c r="DF160" i="50"/>
  <c r="AA236" i="50"/>
  <c r="CK196" i="50"/>
  <c r="CP232" i="50"/>
  <c r="CW163" i="50"/>
  <c r="AF233" i="50"/>
  <c r="AZ158" i="50"/>
  <c r="DN213" i="50"/>
  <c r="BU222" i="50"/>
  <c r="CF206" i="50"/>
  <c r="DU86" i="50"/>
  <c r="FK169" i="50"/>
  <c r="EY102" i="50"/>
  <c r="CR224" i="50"/>
  <c r="FA194" i="50"/>
  <c r="DM156" i="50"/>
  <c r="FI224" i="50"/>
  <c r="CQ207" i="50"/>
  <c r="AB25" i="50"/>
  <c r="CL109" i="50"/>
  <c r="ES140" i="50"/>
  <c r="AE143" i="50"/>
  <c r="BM216" i="50"/>
  <c r="AA43" i="26"/>
  <c r="DT236" i="50"/>
  <c r="O183" i="50"/>
  <c r="DI130" i="50"/>
  <c r="Q227" i="50"/>
  <c r="BV203" i="50"/>
  <c r="G172" i="50"/>
  <c r="V31" i="50"/>
  <c r="DQ170" i="50"/>
  <c r="AK65" i="50"/>
  <c r="CQ227" i="50"/>
  <c r="EX160" i="50"/>
  <c r="CD197" i="50"/>
  <c r="EM173" i="50"/>
  <c r="EA212" i="50"/>
  <c r="EY210" i="50"/>
  <c r="P213" i="50"/>
  <c r="ES209" i="50"/>
  <c r="DH90" i="50"/>
  <c r="CW220" i="50"/>
  <c r="O209" i="50"/>
  <c r="AI65" i="50"/>
  <c r="AC46" i="26"/>
  <c r="CI193" i="50"/>
  <c r="EI187" i="50"/>
  <c r="CZ135" i="50"/>
  <c r="AX208" i="50"/>
  <c r="AX194" i="50"/>
  <c r="EL144" i="50"/>
  <c r="FG148" i="50"/>
  <c r="H193" i="50"/>
  <c r="CI103" i="50"/>
  <c r="EL179" i="50"/>
  <c r="AW129" i="50"/>
  <c r="EO171" i="50"/>
  <c r="AJ212" i="50"/>
  <c r="AY207" i="50"/>
  <c r="FJ159" i="50"/>
  <c r="DC212" i="50"/>
  <c r="EK76" i="50"/>
  <c r="AI215" i="50"/>
  <c r="AA225" i="50"/>
  <c r="FG191" i="50"/>
  <c r="I174" i="50"/>
  <c r="CN180" i="50"/>
  <c r="BF177" i="50"/>
  <c r="E176" i="50"/>
  <c r="DW199" i="50"/>
  <c r="H234" i="50"/>
  <c r="EV233" i="50"/>
  <c r="BX144" i="50"/>
  <c r="BS124" i="50"/>
  <c r="AF181" i="50"/>
  <c r="AQ156" i="50"/>
  <c r="EY231" i="50"/>
  <c r="D178" i="50"/>
  <c r="AP142" i="50"/>
  <c r="EC236" i="50"/>
  <c r="EL135" i="50"/>
  <c r="BS207" i="50"/>
  <c r="ET154" i="50"/>
  <c r="FK210" i="50"/>
  <c r="EK186" i="50"/>
  <c r="DD112" i="50"/>
  <c r="CW74" i="50"/>
  <c r="CX197" i="50"/>
  <c r="AI229" i="50"/>
  <c r="CS234" i="50"/>
  <c r="DX175" i="50"/>
  <c r="ES231" i="50"/>
  <c r="ER225" i="50"/>
  <c r="DA73" i="50"/>
  <c r="EJ134" i="50"/>
  <c r="DF178" i="50"/>
  <c r="FE182" i="50"/>
  <c r="DB216" i="50"/>
  <c r="BS161" i="50"/>
  <c r="DE166" i="50"/>
  <c r="BK175" i="50"/>
  <c r="L40" i="50"/>
  <c r="S171" i="50"/>
  <c r="EO193" i="50"/>
  <c r="EL76" i="50"/>
  <c r="Q177" i="50"/>
  <c r="T177" i="50"/>
  <c r="CU207" i="50"/>
  <c r="R179" i="50"/>
  <c r="CZ76" i="50"/>
  <c r="FB80" i="50"/>
  <c r="DV180" i="50"/>
  <c r="DV200" i="50"/>
  <c r="EI227" i="50"/>
  <c r="DL156" i="50"/>
  <c r="CS226" i="50"/>
  <c r="FF227" i="50"/>
  <c r="AE180" i="50"/>
  <c r="Z35" i="26"/>
  <c r="AM15" i="50"/>
  <c r="EI191" i="50"/>
  <c r="DU181" i="50"/>
  <c r="DT167" i="50"/>
  <c r="CH194" i="50"/>
  <c r="EV224" i="50"/>
  <c r="AE230" i="50"/>
  <c r="EG193" i="50"/>
  <c r="CQ162" i="50"/>
  <c r="U235" i="50"/>
  <c r="AC210" i="50"/>
  <c r="BG135" i="50"/>
  <c r="DD216" i="50"/>
  <c r="FA94" i="50"/>
  <c r="CG144" i="50"/>
  <c r="DC123" i="50"/>
  <c r="EF174" i="50"/>
  <c r="DJ228" i="50"/>
  <c r="EM187" i="50"/>
  <c r="CO213" i="50"/>
  <c r="DO144" i="50"/>
  <c r="DP193" i="50"/>
  <c r="CO235" i="50"/>
  <c r="CG147" i="50"/>
  <c r="EN130" i="50"/>
  <c r="CH156" i="50"/>
  <c r="DE179" i="50"/>
  <c r="AV175" i="50"/>
  <c r="FH104" i="50"/>
  <c r="DG170" i="50"/>
  <c r="AB17" i="26"/>
  <c r="AF195" i="50"/>
  <c r="AB59" i="50"/>
  <c r="BV201" i="50"/>
  <c r="BN236" i="50"/>
  <c r="EN218" i="50"/>
  <c r="AB193" i="50"/>
  <c r="FH118" i="50"/>
  <c r="BT91" i="50"/>
  <c r="AC54" i="26"/>
  <c r="CN91" i="50"/>
  <c r="EO192" i="50"/>
  <c r="EI85" i="50"/>
  <c r="DZ195" i="50"/>
  <c r="BT154" i="50"/>
  <c r="FH75" i="50"/>
  <c r="P129" i="50"/>
  <c r="CL115" i="50"/>
  <c r="EP230" i="50"/>
  <c r="DH194" i="50"/>
  <c r="AN230" i="50"/>
  <c r="DD178" i="50"/>
  <c r="AV154" i="50"/>
  <c r="FA76" i="50"/>
  <c r="AM156" i="50"/>
  <c r="FH203" i="50"/>
  <c r="CY162" i="50"/>
  <c r="CS141" i="50"/>
  <c r="CZ113" i="50"/>
  <c r="Z17" i="26"/>
  <c r="DF227" i="50"/>
  <c r="I143" i="50"/>
  <c r="EM122" i="50"/>
  <c r="EH200" i="50"/>
  <c r="EK189" i="50"/>
  <c r="CZ147" i="50"/>
  <c r="BY176" i="50"/>
  <c r="CP170" i="50"/>
  <c r="AC18" i="26"/>
  <c r="J211" i="50"/>
  <c r="FF202" i="50"/>
  <c r="DW104" i="50"/>
  <c r="DW156" i="50"/>
  <c r="BK198" i="50"/>
  <c r="DL155" i="50"/>
  <c r="CC183" i="50"/>
  <c r="X198" i="50"/>
  <c r="CG184" i="50"/>
  <c r="DW138" i="50"/>
  <c r="U197" i="50"/>
  <c r="CO194" i="50"/>
  <c r="FH135" i="50"/>
  <c r="CX113" i="50"/>
  <c r="DM174" i="50"/>
  <c r="CV227" i="50"/>
  <c r="BD128" i="50"/>
  <c r="BS107" i="50"/>
  <c r="EU142" i="50"/>
  <c r="DA89" i="50"/>
  <c r="AM26" i="50"/>
  <c r="AD62" i="26"/>
  <c r="DD200" i="50"/>
  <c r="EL167" i="50"/>
  <c r="DB188" i="50"/>
  <c r="CK157" i="50"/>
  <c r="EW129" i="50"/>
  <c r="BM215" i="50"/>
  <c r="CI95" i="50"/>
  <c r="C232" i="50"/>
  <c r="CH133" i="50"/>
  <c r="W193" i="50"/>
  <c r="AL214" i="50"/>
  <c r="EJ76" i="50"/>
  <c r="DV144" i="50"/>
  <c r="EA155" i="50"/>
  <c r="EJ218" i="50"/>
  <c r="FJ108" i="50"/>
  <c r="U209" i="50"/>
  <c r="V233" i="50"/>
  <c r="FK123" i="50"/>
  <c r="DU229" i="50"/>
  <c r="EM73" i="50"/>
  <c r="Y172" i="50"/>
  <c r="CK100" i="50"/>
  <c r="AF228" i="50"/>
  <c r="FJ164" i="50"/>
  <c r="EK163" i="50"/>
  <c r="AY174" i="50"/>
  <c r="FK110" i="50"/>
  <c r="CT143" i="50"/>
  <c r="CP159" i="50"/>
  <c r="EO210" i="50"/>
  <c r="CL99" i="50"/>
  <c r="DT79" i="50"/>
  <c r="BY237" i="50"/>
  <c r="O170" i="50"/>
  <c r="DW114" i="50"/>
  <c r="AM171" i="50"/>
  <c r="CO140" i="50"/>
  <c r="AV140" i="50"/>
  <c r="R142" i="50"/>
  <c r="CG133" i="50"/>
  <c r="H173" i="50"/>
  <c r="AH63" i="50"/>
  <c r="DM170" i="50"/>
  <c r="BT140" i="50"/>
  <c r="CG219" i="50"/>
  <c r="BF174" i="50"/>
  <c r="CE140" i="50"/>
  <c r="CX186" i="50"/>
  <c r="AD29" i="26"/>
  <c r="EB172" i="50"/>
  <c r="CA153" i="50"/>
  <c r="Z196" i="50"/>
  <c r="EI148" i="50"/>
  <c r="FF74" i="50"/>
  <c r="CW168" i="50"/>
  <c r="EL172" i="50"/>
  <c r="G176" i="50"/>
  <c r="AF156" i="50"/>
  <c r="BU112" i="50"/>
  <c r="CY152" i="50"/>
  <c r="EZ97" i="50"/>
  <c r="M157" i="50"/>
  <c r="EN110" i="50"/>
  <c r="BF210" i="50"/>
  <c r="AE173" i="50"/>
  <c r="G35" i="50"/>
  <c r="DX184" i="50"/>
  <c r="AE128" i="50"/>
  <c r="DA120" i="50"/>
  <c r="ET143" i="50"/>
  <c r="AE59" i="50"/>
  <c r="AA170" i="50"/>
  <c r="EN147" i="50"/>
  <c r="BV169" i="50"/>
  <c r="Y62" i="50"/>
  <c r="BJ162" i="50"/>
  <c r="CL95" i="50"/>
  <c r="DB138" i="50"/>
  <c r="FE105" i="50"/>
  <c r="P172" i="50"/>
  <c r="S225" i="50"/>
  <c r="EP206" i="50"/>
  <c r="CF157" i="50"/>
  <c r="DU122" i="50"/>
  <c r="AB232" i="50"/>
  <c r="AO234" i="50"/>
  <c r="EK180" i="50"/>
  <c r="EU226" i="50"/>
  <c r="BI207" i="50"/>
  <c r="BU166" i="50"/>
  <c r="FB104" i="50"/>
  <c r="BT165" i="50"/>
  <c r="BR231" i="50"/>
  <c r="EC158" i="50"/>
  <c r="DE228" i="50"/>
  <c r="EZ151" i="50"/>
  <c r="DN171" i="50"/>
  <c r="CY211" i="50"/>
  <c r="CF74" i="50"/>
  <c r="FJ126" i="50"/>
  <c r="BA175" i="50"/>
  <c r="CI98" i="50"/>
  <c r="DZ156" i="50"/>
  <c r="BU88" i="50"/>
  <c r="AC17" i="50"/>
  <c r="DU163" i="50"/>
  <c r="EG210" i="50"/>
  <c r="BR221" i="50"/>
  <c r="DI133" i="50"/>
  <c r="DJ171" i="50"/>
  <c r="AP141" i="50"/>
  <c r="FH237" i="50"/>
  <c r="BZ182" i="50"/>
  <c r="AE141" i="50"/>
  <c r="AM198" i="50"/>
  <c r="DM141" i="50"/>
  <c r="CK198" i="50"/>
  <c r="CI143" i="50"/>
  <c r="DA145" i="50"/>
  <c r="AE226" i="50"/>
  <c r="AT178" i="50"/>
  <c r="DC177" i="50"/>
  <c r="DG92" i="50"/>
  <c r="D233" i="50"/>
  <c r="DK236" i="50"/>
  <c r="EZ149" i="50"/>
  <c r="EF153" i="50"/>
  <c r="CX168" i="50"/>
  <c r="FK167" i="50"/>
  <c r="DD101" i="50"/>
  <c r="CT154" i="50"/>
  <c r="FD166" i="50"/>
  <c r="DK174" i="50"/>
  <c r="K214" i="50"/>
  <c r="AA159" i="50"/>
  <c r="BV139" i="50"/>
  <c r="EF195" i="50"/>
  <c r="FD92" i="50"/>
  <c r="FA150" i="50"/>
  <c r="FJ178" i="50"/>
  <c r="BF129" i="50"/>
  <c r="EZ211" i="50"/>
  <c r="EE195" i="50"/>
  <c r="ET196" i="50"/>
  <c r="CF93" i="50"/>
  <c r="Z19" i="26"/>
  <c r="AJ45" i="50"/>
  <c r="CF195" i="50"/>
  <c r="DF124" i="50"/>
  <c r="FE205" i="50"/>
  <c r="DN140" i="50"/>
  <c r="AA207" i="50"/>
  <c r="CZ210" i="50"/>
  <c r="BH196" i="50"/>
  <c r="BG122" i="50"/>
  <c r="EN192" i="50"/>
  <c r="DC97" i="50"/>
  <c r="DB218" i="50"/>
  <c r="K235" i="50"/>
  <c r="EB156" i="50"/>
  <c r="FB162" i="50"/>
  <c r="CL214" i="50"/>
  <c r="BK207" i="50"/>
  <c r="CR212" i="50"/>
  <c r="EU171" i="50"/>
  <c r="CJ138" i="50"/>
  <c r="BQ231" i="50"/>
  <c r="DV161" i="50"/>
  <c r="CX76" i="50"/>
  <c r="FC82" i="50"/>
  <c r="DU217" i="50"/>
  <c r="EZ189" i="50"/>
  <c r="BC230" i="50"/>
  <c r="FK139" i="50"/>
  <c r="EE230" i="50"/>
  <c r="CA156" i="50"/>
  <c r="BS78" i="50"/>
  <c r="P179" i="50"/>
  <c r="FH139" i="50"/>
  <c r="DE188" i="50"/>
  <c r="DA223" i="50"/>
  <c r="DA75" i="50"/>
  <c r="DJ180" i="50"/>
  <c r="CE226" i="50"/>
  <c r="EI145" i="50"/>
  <c r="DG135" i="50"/>
  <c r="EM169" i="50"/>
  <c r="FC91" i="50"/>
  <c r="CM195" i="50"/>
  <c r="BG206" i="50"/>
  <c r="DO159" i="50"/>
  <c r="EO184" i="50"/>
  <c r="Q194" i="50"/>
  <c r="FI134" i="50"/>
  <c r="CX90" i="50"/>
  <c r="F210" i="50"/>
  <c r="CX151" i="50"/>
  <c r="R170" i="50"/>
  <c r="CO198" i="50"/>
  <c r="DS128" i="50"/>
  <c r="CZ129" i="50"/>
  <c r="EX182" i="50"/>
  <c r="FB175" i="50"/>
  <c r="AC229" i="50"/>
  <c r="BG131" i="50"/>
  <c r="FB93" i="50"/>
  <c r="EH119" i="50"/>
  <c r="DN173" i="50"/>
  <c r="BH173" i="50"/>
  <c r="CG89" i="50"/>
  <c r="EZ106" i="50"/>
  <c r="BP172" i="50"/>
  <c r="CW160" i="50"/>
  <c r="EJ213" i="50"/>
  <c r="CH224" i="50"/>
  <c r="FK138" i="50"/>
  <c r="AX231" i="50"/>
  <c r="DC160" i="50"/>
  <c r="AC63" i="50"/>
  <c r="DU201" i="50"/>
  <c r="DK231" i="50"/>
  <c r="FE175" i="50"/>
  <c r="DB235" i="50"/>
  <c r="DA95" i="50"/>
  <c r="DN230" i="50"/>
  <c r="X156" i="50"/>
  <c r="EZ186" i="50"/>
  <c r="DB100" i="50"/>
  <c r="DT202" i="50"/>
  <c r="FC108" i="50"/>
  <c r="AY195" i="50"/>
  <c r="DV86" i="50"/>
  <c r="BP174" i="50"/>
  <c r="AU224" i="50"/>
  <c r="Y208" i="50"/>
  <c r="AE172" i="50"/>
  <c r="AF213" i="50"/>
  <c r="C183" i="50"/>
  <c r="EK130" i="50"/>
  <c r="T210" i="50"/>
  <c r="D214" i="50"/>
  <c r="EY184" i="50"/>
  <c r="CH148" i="50"/>
  <c r="AC26" i="50"/>
  <c r="DI180" i="50"/>
  <c r="BA198" i="50"/>
  <c r="FK84" i="50"/>
  <c r="AT155" i="50"/>
  <c r="EW153" i="50"/>
  <c r="DP215" i="50"/>
  <c r="D215" i="50"/>
  <c r="CA226" i="50"/>
  <c r="AM31" i="50"/>
  <c r="AB197" i="50"/>
  <c r="EX230" i="50"/>
  <c r="AC20" i="26"/>
  <c r="X225" i="50"/>
  <c r="AA33" i="50"/>
  <c r="CD158" i="50"/>
  <c r="EP207" i="50"/>
  <c r="DX227" i="50"/>
  <c r="I225" i="50"/>
  <c r="FD170" i="50"/>
  <c r="EP122" i="50"/>
  <c r="CL170" i="50"/>
  <c r="BZ210" i="50"/>
  <c r="N154" i="50"/>
  <c r="FA187" i="50"/>
  <c r="BS188" i="50"/>
  <c r="FC101" i="50"/>
  <c r="FD126" i="50"/>
  <c r="AW230" i="50"/>
  <c r="ET140" i="50"/>
  <c r="E233" i="50"/>
  <c r="FH162" i="50"/>
  <c r="V224" i="50"/>
  <c r="EV154" i="50"/>
  <c r="P225" i="50"/>
  <c r="EP221" i="50"/>
  <c r="DG87" i="50"/>
  <c r="F154" i="50"/>
  <c r="CL201" i="50"/>
  <c r="CE210" i="50"/>
  <c r="DV218" i="50"/>
  <c r="L172" i="50"/>
  <c r="AC155" i="50"/>
  <c r="DJ196" i="50"/>
  <c r="AL43" i="50"/>
  <c r="DW224" i="50"/>
  <c r="F171" i="50"/>
  <c r="AJ144" i="50"/>
  <c r="CD155" i="50"/>
  <c r="FI112" i="50"/>
  <c r="EI99" i="50"/>
  <c r="BR191" i="50"/>
  <c r="BG111" i="50"/>
  <c r="BI213" i="50"/>
  <c r="DT170" i="50"/>
  <c r="EQ172" i="50"/>
  <c r="EZ98" i="50"/>
  <c r="FF132" i="50"/>
  <c r="EI86" i="50"/>
  <c r="DY214" i="50"/>
  <c r="EZ190" i="50"/>
  <c r="AP170" i="50"/>
  <c r="E198" i="50"/>
  <c r="CH228" i="50"/>
  <c r="O226" i="50"/>
  <c r="AA211" i="50"/>
  <c r="AI170" i="50"/>
  <c r="AF183" i="50"/>
  <c r="DZ225" i="50"/>
  <c r="BT79" i="50"/>
  <c r="T211" i="50"/>
  <c r="ER172" i="50"/>
  <c r="EY153" i="50"/>
  <c r="AA208" i="50"/>
  <c r="EH121" i="50"/>
  <c r="DB76" i="50"/>
  <c r="DA146" i="50"/>
  <c r="CU198" i="50"/>
  <c r="AZ129" i="50"/>
  <c r="AB65" i="50"/>
  <c r="EL176" i="50"/>
  <c r="EK210" i="50"/>
  <c r="EK94" i="50"/>
  <c r="FB168" i="50"/>
  <c r="EK108" i="50"/>
  <c r="CW133" i="50"/>
  <c r="CC208" i="50"/>
  <c r="FB227" i="50"/>
  <c r="FG123" i="50"/>
  <c r="EZ152" i="50"/>
  <c r="EH79" i="50"/>
  <c r="CW195" i="50"/>
  <c r="BW210" i="50"/>
  <c r="CJ195" i="50"/>
  <c r="BA140" i="50"/>
  <c r="N216" i="50"/>
  <c r="DM225" i="50"/>
  <c r="FA163" i="50"/>
  <c r="DT164" i="50"/>
  <c r="AB140" i="50"/>
  <c r="M156" i="50"/>
  <c r="FC215" i="50"/>
  <c r="O232" i="50"/>
  <c r="EO150" i="50"/>
  <c r="AG175" i="50"/>
  <c r="AE22" i="50"/>
  <c r="X27" i="50"/>
  <c r="DW93" i="50"/>
  <c r="EZ196" i="50"/>
  <c r="EY91" i="50"/>
  <c r="CH117" i="50"/>
  <c r="DH230" i="50"/>
  <c r="CH203" i="50"/>
  <c r="G157" i="50"/>
  <c r="EO92" i="50"/>
  <c r="EI220" i="50"/>
  <c r="U233" i="50"/>
  <c r="ET227" i="50"/>
  <c r="BG212" i="50"/>
  <c r="CW165" i="50"/>
  <c r="DP142" i="50"/>
  <c r="DP228" i="50"/>
  <c r="BE232" i="50"/>
  <c r="EH202" i="50"/>
  <c r="CN182" i="50"/>
  <c r="DI110" i="50"/>
  <c r="CD198" i="50"/>
  <c r="DJ213" i="50"/>
  <c r="EN95" i="50"/>
  <c r="EL200" i="50"/>
  <c r="CL203" i="50"/>
  <c r="EY83" i="50"/>
  <c r="Z47" i="26"/>
  <c r="BS141" i="50"/>
  <c r="DB148" i="50"/>
  <c r="CW189" i="50"/>
  <c r="BZ177" i="50"/>
  <c r="AZ193" i="50"/>
  <c r="FK125" i="50"/>
  <c r="BG81" i="50"/>
  <c r="BX208" i="50"/>
  <c r="DD218" i="50"/>
  <c r="C179" i="50"/>
  <c r="Y196" i="50"/>
  <c r="EM161" i="50"/>
  <c r="DZ172" i="50"/>
  <c r="CL83" i="50"/>
  <c r="FB210" i="50"/>
  <c r="CR207" i="50"/>
  <c r="CS140" i="50"/>
  <c r="CI89" i="50"/>
  <c r="EX155" i="50"/>
  <c r="H212" i="50"/>
  <c r="EZ197" i="50"/>
  <c r="DA164" i="50"/>
  <c r="CZ143" i="50"/>
  <c r="DN179" i="50"/>
  <c r="BG141" i="50"/>
  <c r="EX215" i="50"/>
  <c r="EW213" i="50"/>
  <c r="Z38" i="26"/>
  <c r="DI196" i="50"/>
  <c r="EJ203" i="50"/>
  <c r="EL109" i="50"/>
  <c r="CL228" i="50"/>
  <c r="EI216" i="50"/>
  <c r="CY91" i="50"/>
  <c r="FC169" i="50"/>
  <c r="FJ154" i="50"/>
  <c r="CL202" i="50"/>
  <c r="AT153" i="50"/>
  <c r="BU135" i="50"/>
  <c r="FK218" i="50"/>
  <c r="CS214" i="50"/>
  <c r="BG161" i="50"/>
  <c r="CC182" i="50"/>
  <c r="DX202" i="50"/>
  <c r="H227" i="50"/>
  <c r="CA210" i="50"/>
  <c r="Y212" i="50"/>
  <c r="BQ193" i="50"/>
  <c r="FI155" i="50"/>
  <c r="AQ174" i="50"/>
  <c r="AI171" i="50"/>
  <c r="BI181" i="50"/>
  <c r="AV174" i="50"/>
  <c r="EX232" i="50"/>
  <c r="CW122" i="50"/>
  <c r="EJ231" i="50"/>
  <c r="EJ127" i="50"/>
  <c r="K233" i="50"/>
  <c r="N234" i="50"/>
  <c r="CT229" i="50"/>
  <c r="BG175" i="50"/>
  <c r="AC142" i="50"/>
  <c r="X215" i="50"/>
  <c r="AC128" i="50"/>
  <c r="BK194" i="50"/>
  <c r="CP198" i="50"/>
  <c r="EI115" i="50"/>
  <c r="CW203" i="50"/>
  <c r="FK120" i="50"/>
  <c r="AB179" i="50"/>
  <c r="CR159" i="50"/>
  <c r="FG236" i="50"/>
  <c r="ER209" i="50"/>
  <c r="EU140" i="50"/>
  <c r="DA206" i="50"/>
  <c r="BB173" i="50"/>
  <c r="CI110" i="50"/>
  <c r="CE225" i="50"/>
  <c r="AC156" i="50"/>
  <c r="DU178" i="50"/>
  <c r="EP190" i="50"/>
  <c r="BA129" i="50"/>
  <c r="DR216" i="50"/>
  <c r="DX95" i="50"/>
  <c r="CM75" i="50"/>
  <c r="G180" i="50"/>
  <c r="DE139" i="50"/>
  <c r="FJ229" i="50"/>
  <c r="DX130" i="50"/>
  <c r="DU197" i="50"/>
  <c r="EH161" i="50"/>
  <c r="FB231" i="50"/>
  <c r="EX210" i="50"/>
  <c r="CN168" i="50"/>
  <c r="X194" i="50"/>
  <c r="CA209" i="50"/>
  <c r="BN173" i="50"/>
  <c r="AP140" i="50"/>
  <c r="K179" i="50"/>
  <c r="DB177" i="50"/>
  <c r="BG152" i="50"/>
  <c r="EH154" i="50"/>
  <c r="CM92" i="50"/>
  <c r="EC213" i="50"/>
  <c r="AZ230" i="50"/>
  <c r="DN209" i="50"/>
  <c r="BP155" i="50"/>
  <c r="DT172" i="50"/>
  <c r="H197" i="50"/>
  <c r="AG154" i="50"/>
  <c r="DU77" i="50"/>
  <c r="EQ155" i="50"/>
  <c r="CD142" i="50"/>
  <c r="Z195" i="50"/>
  <c r="L237" i="50"/>
  <c r="BQ226" i="50"/>
  <c r="BT141" i="50"/>
  <c r="EJ190" i="50"/>
  <c r="V63" i="50"/>
  <c r="DE198" i="50"/>
  <c r="ED175" i="50"/>
  <c r="CX102" i="50"/>
  <c r="BE162" i="50"/>
  <c r="EK155" i="50"/>
  <c r="BX139" i="50"/>
  <c r="CX179" i="50"/>
  <c r="CW106" i="50"/>
  <c r="EG128" i="50"/>
  <c r="EH128" i="50"/>
  <c r="FH133" i="50"/>
  <c r="FC95" i="50"/>
  <c r="CJ101" i="50"/>
  <c r="DM207" i="50"/>
  <c r="EO217" i="50"/>
  <c r="BV221" i="50"/>
  <c r="AB33" i="50"/>
  <c r="AL207" i="50"/>
  <c r="DD199" i="50"/>
  <c r="BR218" i="50"/>
  <c r="P177" i="50"/>
  <c r="AS177" i="50"/>
  <c r="AO173" i="50"/>
  <c r="CH102" i="50"/>
  <c r="CX227" i="50"/>
  <c r="EI75" i="50"/>
  <c r="W171" i="50"/>
  <c r="CT181" i="50"/>
  <c r="BC224" i="50"/>
  <c r="DA97" i="50"/>
  <c r="F139" i="50"/>
  <c r="DE128" i="50"/>
  <c r="U139" i="50"/>
  <c r="AH161" i="50"/>
  <c r="DU172" i="50"/>
  <c r="AE59" i="26"/>
  <c r="EP149" i="50"/>
  <c r="AJ196" i="50"/>
  <c r="BZ233" i="50"/>
  <c r="FE199" i="50"/>
  <c r="DU89" i="50"/>
  <c r="O207" i="50"/>
  <c r="FG223" i="50"/>
  <c r="AN174" i="50"/>
  <c r="EK149" i="50"/>
  <c r="DX161" i="50"/>
  <c r="BH230" i="50"/>
  <c r="CQ156" i="50"/>
  <c r="AA235" i="50"/>
  <c r="CY74" i="50"/>
  <c r="CJ232" i="50"/>
  <c r="FC183" i="50"/>
  <c r="BT209" i="50"/>
  <c r="AG227" i="50"/>
  <c r="DG234" i="50"/>
  <c r="CZ80" i="50"/>
  <c r="DC90" i="50"/>
  <c r="BS95" i="50"/>
  <c r="BG83" i="50"/>
  <c r="FC74" i="50"/>
  <c r="BV110" i="50"/>
  <c r="EW207" i="50"/>
  <c r="BV76" i="50"/>
  <c r="AE139" i="50"/>
  <c r="DA198" i="50"/>
  <c r="BI195" i="50"/>
  <c r="EV209" i="50"/>
  <c r="EJ116" i="50"/>
  <c r="CZ154" i="50"/>
  <c r="AC212" i="50"/>
  <c r="AJ140" i="50"/>
  <c r="BO207" i="50"/>
  <c r="AK207" i="50"/>
  <c r="CI226" i="50"/>
  <c r="U208" i="50"/>
  <c r="AO210" i="50"/>
  <c r="BU199" i="50"/>
  <c r="Q175" i="50"/>
  <c r="AU157" i="50"/>
  <c r="BD182" i="50"/>
  <c r="CV233" i="50"/>
  <c r="AT174" i="50"/>
  <c r="AO225" i="50"/>
  <c r="CB180" i="50"/>
  <c r="DY155" i="50"/>
  <c r="DF110" i="50"/>
  <c r="CY87" i="50"/>
  <c r="FC195" i="50"/>
  <c r="DF121" i="50"/>
  <c r="DF170" i="50"/>
  <c r="H129" i="50"/>
  <c r="CW162" i="50"/>
  <c r="DU112" i="50"/>
  <c r="DV134" i="50"/>
  <c r="DD85" i="50"/>
  <c r="EL205" i="50"/>
  <c r="CV211" i="50"/>
  <c r="CZ189" i="50"/>
  <c r="BK156" i="50"/>
  <c r="AZ176" i="50"/>
  <c r="DL227" i="50"/>
  <c r="FA225" i="50"/>
  <c r="CI117" i="50"/>
  <c r="FF76" i="50"/>
  <c r="EP135" i="50"/>
  <c r="BT223" i="50"/>
  <c r="DH161" i="50"/>
  <c r="DX234" i="50"/>
  <c r="AM233" i="50"/>
  <c r="CS175" i="50"/>
  <c r="BS162" i="50"/>
  <c r="CH175" i="50"/>
  <c r="AM212" i="50"/>
  <c r="P178" i="50"/>
  <c r="CZ198" i="50"/>
  <c r="BU86" i="50"/>
  <c r="EJ220" i="50"/>
  <c r="EI226" i="50"/>
  <c r="DD208" i="50"/>
  <c r="DL174" i="50"/>
  <c r="BS121" i="50"/>
  <c r="CC233" i="50"/>
  <c r="AV139" i="50"/>
  <c r="CY146" i="50"/>
  <c r="U62" i="50"/>
  <c r="EZ89" i="50"/>
  <c r="BC178" i="50"/>
  <c r="DC218" i="50"/>
  <c r="DG83" i="50"/>
  <c r="AT225" i="50"/>
  <c r="DA225" i="50"/>
  <c r="BO228" i="50"/>
  <c r="DE109" i="50"/>
  <c r="DQ128" i="50"/>
  <c r="AY173" i="50"/>
  <c r="CN121" i="50"/>
  <c r="FH106" i="50"/>
  <c r="DB237" i="50"/>
  <c r="EW198" i="50"/>
  <c r="BB140" i="50"/>
  <c r="CF97" i="50"/>
  <c r="FH184" i="50"/>
  <c r="BP153" i="50"/>
  <c r="DI102" i="50"/>
  <c r="CU212" i="50"/>
  <c r="EK85" i="50"/>
  <c r="BB170" i="50"/>
  <c r="DX104" i="50"/>
  <c r="BT74" i="50"/>
  <c r="AJ209" i="50"/>
  <c r="Q208" i="50"/>
  <c r="BG200" i="50"/>
  <c r="EH106" i="50"/>
  <c r="DI172" i="50"/>
  <c r="BG124" i="50"/>
  <c r="EO212" i="50"/>
  <c r="ES180" i="50"/>
  <c r="BR209" i="50"/>
  <c r="FF138" i="50"/>
  <c r="CF107" i="50"/>
  <c r="K173" i="50"/>
  <c r="R25" i="50"/>
  <c r="DP225" i="50"/>
  <c r="AV162" i="50"/>
  <c r="EG129" i="50"/>
  <c r="DF143" i="50"/>
  <c r="DY170" i="50"/>
  <c r="DZ228" i="50"/>
  <c r="DA118" i="50"/>
  <c r="CL178" i="50"/>
  <c r="BQ180" i="50"/>
  <c r="CQ233" i="50"/>
  <c r="CB129" i="50"/>
  <c r="DA187" i="50"/>
  <c r="CF133" i="50"/>
  <c r="FG170" i="50"/>
  <c r="BY182" i="50"/>
  <c r="FA137" i="50"/>
  <c r="BK158" i="50"/>
  <c r="CM207" i="50"/>
  <c r="FI205" i="50"/>
  <c r="CP197" i="50"/>
  <c r="EI128" i="50"/>
  <c r="CJ135" i="50"/>
  <c r="AR225" i="50"/>
  <c r="FE216" i="50"/>
  <c r="FJ140" i="50"/>
  <c r="CH158" i="50"/>
  <c r="EK92" i="50"/>
  <c r="EO87" i="50"/>
  <c r="R35" i="50"/>
  <c r="W157" i="50"/>
  <c r="CF75" i="50"/>
  <c r="EP193" i="50"/>
  <c r="FB163" i="50"/>
  <c r="BN179" i="50"/>
  <c r="CN142" i="50"/>
  <c r="CZ95" i="50"/>
  <c r="DC167" i="50"/>
  <c r="FK180" i="50"/>
  <c r="BV117" i="50"/>
  <c r="DS226" i="50"/>
  <c r="DM224" i="50"/>
  <c r="BQ171" i="50"/>
  <c r="ES197" i="50"/>
  <c r="Q174" i="50"/>
  <c r="BG96" i="50"/>
  <c r="L178" i="50"/>
  <c r="EJ211" i="50"/>
  <c r="BG215" i="50"/>
  <c r="AA157" i="50"/>
  <c r="CH103" i="50"/>
  <c r="CX184" i="50"/>
  <c r="CZ227" i="50"/>
  <c r="AB155" i="50"/>
  <c r="EF237" i="50"/>
  <c r="AI213" i="50"/>
  <c r="CL122" i="50"/>
  <c r="CB171" i="50"/>
  <c r="BY155" i="50"/>
  <c r="EP182" i="50"/>
  <c r="EK142" i="50"/>
  <c r="EV231" i="50"/>
  <c r="EA128" i="50"/>
  <c r="BT188" i="50"/>
  <c r="BJ183" i="50"/>
  <c r="AA161" i="50"/>
  <c r="FF90" i="50"/>
  <c r="DV124" i="50"/>
  <c r="DF150" i="50"/>
  <c r="AQ170" i="50"/>
  <c r="EI177" i="50"/>
  <c r="CX142" i="50"/>
  <c r="DQ154" i="50"/>
  <c r="DE127" i="50"/>
  <c r="EO77" i="50"/>
  <c r="BU184" i="50"/>
  <c r="DN215" i="50"/>
  <c r="AE33" i="26"/>
  <c r="DA230" i="50"/>
  <c r="EC180" i="50"/>
  <c r="BS145" i="50"/>
  <c r="CR143" i="50"/>
  <c r="AD215" i="50"/>
  <c r="BR192" i="50"/>
  <c r="EF197" i="50"/>
  <c r="X63" i="50"/>
  <c r="CK185" i="50"/>
  <c r="EZ85" i="50"/>
  <c r="BD232" i="50"/>
  <c r="BV131" i="50"/>
  <c r="AZ227" i="50"/>
  <c r="CJ205" i="50"/>
  <c r="EZ141" i="50"/>
  <c r="CW156" i="50"/>
  <c r="FF145" i="50"/>
  <c r="DJ143" i="50"/>
  <c r="EA196" i="50"/>
  <c r="EN165" i="50"/>
  <c r="FA107" i="50"/>
  <c r="FF81" i="50"/>
  <c r="EK90" i="50"/>
  <c r="FK214" i="50"/>
  <c r="FA73" i="50"/>
  <c r="D181" i="50"/>
  <c r="EH216" i="50"/>
  <c r="AP153" i="50"/>
  <c r="S197" i="50"/>
  <c r="CH75" i="50"/>
  <c r="BP208" i="50"/>
  <c r="EA237" i="50"/>
  <c r="BR205" i="50"/>
  <c r="BF182" i="50"/>
  <c r="BW171" i="50"/>
  <c r="DD153" i="50"/>
  <c r="BU207" i="50"/>
  <c r="AN162" i="50"/>
  <c r="EZ99" i="50"/>
  <c r="CK99" i="50"/>
  <c r="FE78" i="50"/>
  <c r="DW190" i="50"/>
  <c r="EZ115" i="50"/>
  <c r="BQ155" i="50"/>
  <c r="FI144" i="50"/>
  <c r="DT183" i="50"/>
  <c r="BU119" i="50"/>
  <c r="I210" i="50"/>
  <c r="EP167" i="50"/>
  <c r="CL96" i="50"/>
  <c r="EP90" i="50"/>
  <c r="AV181" i="50"/>
  <c r="DE185" i="50"/>
  <c r="BR165" i="50"/>
  <c r="C144" i="50"/>
  <c r="R235" i="50"/>
  <c r="CR194" i="50"/>
  <c r="DL225" i="50"/>
  <c r="AQ176" i="50"/>
  <c r="CL236" i="50"/>
  <c r="CL199" i="50"/>
  <c r="AL31" i="50"/>
  <c r="BC234" i="50"/>
  <c r="EU213" i="50"/>
  <c r="BD234" i="50"/>
  <c r="EI197" i="50"/>
  <c r="CJ100" i="50"/>
  <c r="BO196" i="50"/>
  <c r="CA143" i="50"/>
  <c r="CK98" i="50"/>
  <c r="FK101" i="50"/>
  <c r="CW192" i="50"/>
  <c r="CF130" i="50"/>
  <c r="DW89" i="50"/>
  <c r="DA235" i="50"/>
  <c r="EO84" i="50"/>
  <c r="BD155" i="50"/>
  <c r="FK194" i="50"/>
  <c r="DT148" i="50"/>
  <c r="CY140" i="50"/>
  <c r="FE77" i="50"/>
  <c r="EM101" i="50"/>
  <c r="EN142" i="50"/>
  <c r="BV148" i="50"/>
  <c r="O227" i="50"/>
  <c r="FD230" i="50"/>
  <c r="CY136" i="50"/>
  <c r="ER235" i="50"/>
  <c r="C198" i="50"/>
  <c r="CO141" i="50"/>
  <c r="BU117" i="50"/>
  <c r="AV156" i="50"/>
  <c r="DW228" i="50"/>
  <c r="EP217" i="50"/>
  <c r="L228" i="50"/>
  <c r="EZ110" i="50"/>
  <c r="EJ107" i="50"/>
  <c r="AL195" i="50"/>
  <c r="FD150" i="50"/>
  <c r="EO233" i="50"/>
  <c r="AK143" i="50"/>
  <c r="DO230" i="50"/>
  <c r="CN133" i="50"/>
  <c r="DU100" i="50"/>
  <c r="CC198" i="50"/>
  <c r="CP226" i="50"/>
  <c r="AI24" i="50"/>
  <c r="BW213" i="50"/>
  <c r="DB178" i="50"/>
  <c r="CG88" i="50"/>
  <c r="DM196" i="50"/>
  <c r="DE153" i="50"/>
  <c r="X208" i="50"/>
  <c r="FK78" i="50"/>
  <c r="DG188" i="50"/>
  <c r="DQ227" i="50"/>
  <c r="AB129" i="50"/>
  <c r="CS154" i="50"/>
  <c r="DN157" i="50"/>
  <c r="DV96" i="50"/>
  <c r="AC17" i="26"/>
  <c r="BB157" i="50"/>
  <c r="CZ163" i="50"/>
  <c r="DI89" i="50"/>
  <c r="L39" i="50"/>
  <c r="BD153" i="50"/>
  <c r="AX233" i="50"/>
  <c r="E140" i="50"/>
  <c r="CZ166" i="50"/>
  <c r="CI218" i="50"/>
  <c r="DT89" i="50"/>
  <c r="CN218" i="50"/>
  <c r="AA142" i="50"/>
  <c r="AX160" i="50"/>
  <c r="BT122" i="50"/>
  <c r="EC209" i="50"/>
  <c r="EU141" i="50"/>
  <c r="FI118" i="50"/>
  <c r="AJ47" i="50"/>
  <c r="BF229" i="50"/>
  <c r="F172" i="50"/>
  <c r="CK155" i="50"/>
  <c r="CQ172" i="50"/>
  <c r="CW104" i="50"/>
  <c r="D196" i="50"/>
  <c r="CZ99" i="50"/>
  <c r="BG102" i="50"/>
  <c r="AU179" i="50"/>
  <c r="FH175" i="50"/>
  <c r="DC174" i="50"/>
  <c r="EM94" i="50"/>
  <c r="AC64" i="50"/>
  <c r="EG172" i="50"/>
  <c r="AG27" i="50"/>
  <c r="AU225" i="50"/>
  <c r="W214" i="50"/>
  <c r="CH85" i="50"/>
  <c r="CR171" i="50"/>
  <c r="EZ160" i="50"/>
  <c r="FG218" i="50"/>
  <c r="BT236" i="50"/>
  <c r="FG168" i="50"/>
  <c r="AJ172" i="50"/>
  <c r="CH180" i="50"/>
  <c r="DL154" i="50"/>
  <c r="DU90" i="50"/>
  <c r="CY127" i="50"/>
  <c r="CD160" i="50"/>
  <c r="EU175" i="50"/>
  <c r="AF64" i="50"/>
  <c r="EJ187" i="50"/>
  <c r="FE204" i="50"/>
  <c r="AE161" i="50"/>
  <c r="CW107" i="50"/>
  <c r="AZ209" i="50"/>
  <c r="Q226" i="50"/>
  <c r="FI140" i="50"/>
  <c r="FC231" i="50"/>
  <c r="AJ156" i="50"/>
  <c r="DY229" i="50"/>
  <c r="CJ193" i="50"/>
  <c r="DS237" i="50"/>
  <c r="EH148" i="50"/>
  <c r="R237" i="50"/>
  <c r="DE231" i="50"/>
  <c r="D140" i="50"/>
  <c r="AA24" i="50"/>
  <c r="DF174" i="50"/>
  <c r="FF180" i="50"/>
  <c r="DM159" i="50"/>
  <c r="DS224" i="50"/>
  <c r="CM227" i="50"/>
  <c r="DO224" i="50"/>
  <c r="DA150" i="50"/>
  <c r="BG218" i="50"/>
  <c r="FC152" i="50"/>
  <c r="BF194" i="50"/>
  <c r="DG114" i="50"/>
  <c r="T61" i="50"/>
  <c r="DC81" i="50"/>
  <c r="CH114" i="50"/>
  <c r="CL105" i="50"/>
  <c r="CW76" i="50"/>
  <c r="BJ181" i="50"/>
  <c r="AG54" i="50"/>
  <c r="Q212" i="50"/>
  <c r="DG191" i="50"/>
  <c r="DN196" i="50"/>
  <c r="R31" i="50"/>
  <c r="BU82" i="50"/>
  <c r="P128" i="50"/>
  <c r="CF215" i="50"/>
  <c r="BV195" i="50"/>
  <c r="BT190" i="50"/>
  <c r="EU161" i="50"/>
  <c r="DZ154" i="50"/>
  <c r="FF218" i="50"/>
  <c r="CO162" i="50"/>
  <c r="DA220" i="50"/>
  <c r="EU182" i="50"/>
  <c r="DE217" i="50"/>
  <c r="CG114" i="50"/>
  <c r="AF237" i="50"/>
  <c r="DH136" i="50"/>
  <c r="CG111" i="50"/>
  <c r="DH141" i="50"/>
  <c r="AV235" i="50"/>
  <c r="BS220" i="50"/>
  <c r="L177" i="50"/>
  <c r="BG182" i="50"/>
  <c r="AM129" i="50"/>
  <c r="DD201" i="50"/>
  <c r="DU92" i="50"/>
  <c r="EF139" i="50"/>
  <c r="DD75" i="50"/>
  <c r="CN203" i="50"/>
  <c r="CY139" i="50"/>
  <c r="BL181" i="50"/>
  <c r="FE114" i="50"/>
  <c r="DP198" i="50"/>
  <c r="AT172" i="50"/>
  <c r="BR154" i="50"/>
  <c r="FK168" i="50"/>
  <c r="BN228" i="50"/>
  <c r="AA175" i="50"/>
  <c r="DG206" i="50"/>
  <c r="AL212" i="50"/>
  <c r="CN126" i="50"/>
  <c r="CN200" i="50"/>
  <c r="CC225" i="50"/>
  <c r="FA113" i="50"/>
  <c r="CO209" i="50"/>
  <c r="P160" i="50"/>
  <c r="CK190" i="50"/>
  <c r="EH156" i="50"/>
  <c r="EY80" i="50"/>
  <c r="N230" i="50"/>
  <c r="DH178" i="50"/>
  <c r="FK140" i="50"/>
  <c r="W158" i="50"/>
  <c r="FE164" i="50"/>
  <c r="EH73" i="50"/>
  <c r="FC213" i="50"/>
  <c r="CW102" i="50"/>
  <c r="DE232" i="50"/>
  <c r="BU122" i="50"/>
  <c r="DA114" i="50"/>
  <c r="C160" i="50"/>
  <c r="CW126" i="50"/>
  <c r="BT76" i="50"/>
  <c r="AK227" i="50"/>
  <c r="EI139" i="50"/>
  <c r="EG226" i="50"/>
  <c r="AJ170" i="50"/>
  <c r="FC87" i="50"/>
  <c r="CN89" i="50"/>
  <c r="DB159" i="50"/>
  <c r="CF86" i="50"/>
  <c r="EJ103" i="50"/>
  <c r="EI150" i="50"/>
  <c r="DT74" i="50"/>
  <c r="ER183" i="50"/>
  <c r="DA107" i="50"/>
  <c r="D174" i="50"/>
  <c r="P153" i="50"/>
  <c r="EV157" i="50"/>
  <c r="H36" i="50"/>
  <c r="CI142" i="50"/>
  <c r="DF96" i="50"/>
  <c r="CQ237" i="50"/>
  <c r="BX226" i="50"/>
  <c r="BO178" i="50"/>
  <c r="AV234" i="50"/>
  <c r="DD136" i="50"/>
  <c r="FE103" i="50"/>
  <c r="FE230" i="50"/>
  <c r="EQ160" i="50"/>
  <c r="AD35" i="50"/>
  <c r="EC208" i="50"/>
  <c r="DS177" i="50"/>
  <c r="CJ211" i="50"/>
  <c r="FC151" i="50"/>
  <c r="AC140" i="50"/>
  <c r="BH212" i="50"/>
  <c r="BF155" i="50"/>
  <c r="EK156" i="50"/>
  <c r="DG162" i="50"/>
  <c r="CT209" i="50"/>
  <c r="DY179" i="50"/>
  <c r="S35" i="50"/>
  <c r="DI175" i="50"/>
  <c r="DX194" i="50"/>
  <c r="DG164" i="50"/>
  <c r="EN89" i="50"/>
  <c r="CB229" i="50"/>
  <c r="CG150" i="50"/>
  <c r="AN128" i="50"/>
  <c r="FK157" i="50"/>
  <c r="CY88" i="50"/>
  <c r="EN122" i="50"/>
  <c r="EO155" i="50"/>
  <c r="Z159" i="50"/>
  <c r="BR80" i="50"/>
  <c r="ET225" i="50"/>
  <c r="AE182" i="50"/>
  <c r="EK166" i="50"/>
  <c r="DV81" i="50"/>
  <c r="DA229" i="50"/>
  <c r="BR188" i="50"/>
  <c r="FH101" i="50"/>
  <c r="EM159" i="50"/>
  <c r="BC215" i="50"/>
  <c r="BS112" i="50"/>
  <c r="AW180" i="50"/>
  <c r="EY159" i="50"/>
  <c r="DV118" i="50"/>
  <c r="CY78" i="50"/>
  <c r="FB192" i="50"/>
  <c r="EI74" i="50"/>
  <c r="FF110" i="50"/>
  <c r="FI175" i="50"/>
  <c r="EE215" i="50"/>
  <c r="AD20" i="26"/>
  <c r="FF83" i="50"/>
  <c r="BS229" i="50"/>
  <c r="FB205" i="50"/>
  <c r="EZ195" i="50"/>
  <c r="ES211" i="50"/>
  <c r="DF216" i="50"/>
  <c r="CI237" i="50"/>
  <c r="BT205" i="50"/>
  <c r="CD195" i="50"/>
  <c r="BG220" i="50"/>
  <c r="DW116" i="50"/>
  <c r="BT73" i="50"/>
  <c r="AV129" i="50"/>
  <c r="EL233" i="50"/>
  <c r="EM195" i="50"/>
  <c r="CN75" i="50"/>
  <c r="DB192" i="50"/>
  <c r="FF105" i="50"/>
  <c r="EZ170" i="50"/>
  <c r="FB141" i="50"/>
  <c r="N194" i="50"/>
  <c r="W195" i="50"/>
  <c r="CX112" i="50"/>
  <c r="FI121" i="50"/>
  <c r="EH124" i="50"/>
  <c r="EO227" i="50"/>
  <c r="EP91" i="50"/>
  <c r="CY231" i="50"/>
  <c r="DQ233" i="50"/>
  <c r="BE178" i="50"/>
  <c r="FA98" i="50"/>
  <c r="EN199" i="50"/>
  <c r="D232" i="50"/>
  <c r="CM191" i="50"/>
  <c r="CO196" i="50"/>
  <c r="DE235" i="50"/>
  <c r="BM212" i="50"/>
  <c r="BG108" i="50"/>
  <c r="I141" i="50"/>
  <c r="DH222" i="50"/>
  <c r="DT189" i="50"/>
  <c r="AE51" i="26"/>
  <c r="FF214" i="50"/>
  <c r="EL118" i="50"/>
  <c r="EO78" i="50"/>
  <c r="EI93" i="50"/>
  <c r="DD165" i="50"/>
  <c r="EC172" i="50"/>
  <c r="DG94" i="50"/>
  <c r="CN96" i="50"/>
  <c r="EY124" i="50"/>
  <c r="CP143" i="50"/>
  <c r="CX153" i="50"/>
  <c r="BS163" i="50"/>
  <c r="EU162" i="50"/>
  <c r="CJ92" i="50"/>
  <c r="FJ235" i="50"/>
  <c r="AJ234" i="50"/>
  <c r="AG139" i="50"/>
  <c r="ES237" i="50"/>
  <c r="DA151" i="50"/>
  <c r="BS91" i="50"/>
  <c r="CY103" i="50"/>
  <c r="AH177" i="50"/>
  <c r="CY92" i="50"/>
  <c r="EK150" i="50"/>
  <c r="BY207" i="50"/>
  <c r="EE227" i="50"/>
  <c r="FA237" i="50"/>
  <c r="AY226" i="50"/>
  <c r="FK80" i="50"/>
  <c r="EM115" i="50"/>
  <c r="AK47" i="50"/>
  <c r="DX141" i="50"/>
  <c r="CN209" i="50"/>
  <c r="EZ167" i="50"/>
  <c r="CT233" i="50"/>
  <c r="EG178" i="50"/>
  <c r="BA143" i="50"/>
  <c r="EP222" i="50"/>
  <c r="DI219" i="50"/>
  <c r="CM76" i="50"/>
  <c r="BT146" i="50"/>
  <c r="DV121" i="50"/>
  <c r="FE123" i="50"/>
  <c r="DH164" i="50"/>
  <c r="EJ165" i="50"/>
  <c r="EA144" i="50"/>
  <c r="BU208" i="50"/>
  <c r="DN214" i="50"/>
  <c r="AC24" i="50"/>
  <c r="CY102" i="50"/>
  <c r="L198" i="50"/>
  <c r="DC108" i="50"/>
  <c r="FE234" i="50"/>
  <c r="CP213" i="50"/>
  <c r="BU146" i="50"/>
  <c r="EG209" i="50"/>
  <c r="AO158" i="50"/>
  <c r="BP170" i="50"/>
  <c r="BS136" i="50"/>
  <c r="BK143" i="50"/>
  <c r="K229" i="50"/>
  <c r="ES212" i="50"/>
  <c r="DA190" i="50"/>
  <c r="FH234" i="50"/>
  <c r="CY119" i="50"/>
  <c r="DV77" i="50"/>
  <c r="EX141" i="50"/>
  <c r="EZ137" i="50"/>
  <c r="CX74" i="50"/>
  <c r="CG220" i="50"/>
  <c r="FI146" i="50"/>
  <c r="CK229" i="50"/>
  <c r="AK144" i="50"/>
  <c r="J144" i="50"/>
  <c r="DI236" i="50"/>
  <c r="DM237" i="50"/>
  <c r="EL82" i="50"/>
  <c r="CY128" i="50"/>
  <c r="FC236" i="50"/>
  <c r="FG177" i="50"/>
  <c r="DQ194" i="50"/>
  <c r="FH117" i="50"/>
  <c r="EH164" i="50"/>
  <c r="DT228" i="50"/>
  <c r="EH213" i="50"/>
  <c r="FJ225" i="50"/>
  <c r="G216" i="50"/>
  <c r="EM184" i="50"/>
  <c r="CY93" i="50"/>
  <c r="EU224" i="50"/>
  <c r="FG187" i="50"/>
  <c r="DT152" i="50"/>
  <c r="DH150" i="50"/>
  <c r="BV158" i="50"/>
  <c r="EP112" i="50"/>
  <c r="EW172" i="50"/>
  <c r="EC143" i="50"/>
  <c r="BH210" i="50"/>
  <c r="CN161" i="50"/>
  <c r="DN211" i="50"/>
  <c r="CZ116" i="50"/>
  <c r="R154" i="50"/>
  <c r="L193" i="50"/>
  <c r="CK216" i="50"/>
  <c r="DQ228" i="50"/>
  <c r="C208" i="50"/>
  <c r="AM215" i="50"/>
  <c r="FC175" i="50"/>
  <c r="EE144" i="50"/>
  <c r="FI139" i="50"/>
  <c r="EK231" i="50"/>
  <c r="X214" i="50"/>
  <c r="ED231" i="50"/>
  <c r="CI185" i="50"/>
  <c r="G36" i="50"/>
  <c r="DH132" i="50"/>
  <c r="AW141" i="50"/>
  <c r="CA195" i="50"/>
  <c r="BM193" i="50"/>
  <c r="DY228" i="50"/>
  <c r="EA231" i="50"/>
  <c r="EP133" i="50"/>
  <c r="EI175" i="50"/>
  <c r="EJ232" i="50"/>
  <c r="AM144" i="50"/>
  <c r="FB131" i="50"/>
  <c r="FG219" i="50"/>
  <c r="L37" i="50"/>
  <c r="DD95" i="50"/>
  <c r="C229" i="50"/>
  <c r="CX187" i="50"/>
  <c r="EH210" i="50"/>
  <c r="FB132" i="50"/>
  <c r="EE175" i="50"/>
  <c r="EI118" i="50"/>
  <c r="DI169" i="50"/>
  <c r="CD231" i="50"/>
  <c r="DE168" i="50"/>
  <c r="BK233" i="50"/>
  <c r="DG192" i="50"/>
  <c r="Z160" i="50"/>
  <c r="FB173" i="50"/>
  <c r="FI93" i="50"/>
  <c r="DV173" i="50"/>
  <c r="DA163" i="50"/>
  <c r="DV128" i="50"/>
  <c r="EL77" i="50"/>
  <c r="ET183" i="50"/>
  <c r="Y182" i="50"/>
  <c r="FC180" i="50"/>
  <c r="FB217" i="50"/>
  <c r="DF145" i="50"/>
  <c r="BT86" i="50"/>
  <c r="AB60" i="50"/>
  <c r="FD233" i="50"/>
  <c r="DV83" i="50"/>
  <c r="EK115" i="50"/>
  <c r="BU177" i="50"/>
  <c r="DQ144" i="50"/>
  <c r="FC134" i="50"/>
  <c r="AW173" i="50"/>
  <c r="FB198" i="50"/>
  <c r="CM181" i="50"/>
  <c r="N228" i="50"/>
  <c r="EZ206" i="50"/>
  <c r="BR147" i="50"/>
  <c r="CM109" i="50"/>
  <c r="CZ201" i="50"/>
  <c r="AR156" i="50"/>
  <c r="BH237" i="50"/>
  <c r="BX198" i="50"/>
  <c r="DI147" i="50"/>
  <c r="BR144" i="50"/>
  <c r="BM214" i="50"/>
  <c r="CX165" i="50"/>
  <c r="AD60" i="26"/>
  <c r="CF139" i="50"/>
  <c r="AV231" i="50"/>
  <c r="CV177" i="50"/>
  <c r="EY75" i="50"/>
  <c r="CV235" i="50"/>
  <c r="BJ174" i="50"/>
  <c r="BZ156" i="50"/>
  <c r="CN198" i="50"/>
  <c r="DA189" i="50"/>
  <c r="AP173" i="50"/>
  <c r="BT181" i="50"/>
  <c r="CM141" i="50"/>
  <c r="BE143" i="50"/>
  <c r="FJ228" i="50"/>
  <c r="CZ150" i="50"/>
  <c r="EJ191" i="50"/>
  <c r="DT175" i="50"/>
  <c r="AI237" i="50"/>
  <c r="DF127" i="50"/>
  <c r="AK158" i="50"/>
  <c r="DG184" i="50"/>
  <c r="EC155" i="50"/>
  <c r="DX196" i="50"/>
  <c r="DE135" i="50"/>
  <c r="T231" i="50"/>
  <c r="AT236" i="50"/>
  <c r="EL168" i="50"/>
  <c r="EO173" i="50"/>
  <c r="FK198" i="50"/>
  <c r="FF126" i="50"/>
  <c r="FJ157" i="50"/>
  <c r="BE175" i="50"/>
  <c r="DU237" i="50"/>
  <c r="CQ178" i="50"/>
  <c r="Y180" i="50"/>
  <c r="CY81" i="50"/>
  <c r="BR206" i="50"/>
  <c r="EI184" i="50"/>
  <c r="EL215" i="50"/>
  <c r="G232" i="50"/>
  <c r="DB205" i="50"/>
  <c r="CD225" i="50"/>
  <c r="ET213" i="50"/>
  <c r="CW143" i="50"/>
  <c r="DD135" i="50"/>
  <c r="EY115" i="50"/>
  <c r="V142" i="50"/>
  <c r="BU186" i="50"/>
  <c r="AC41" i="26"/>
  <c r="DO142" i="50"/>
  <c r="AB24" i="26"/>
  <c r="AD43" i="26"/>
  <c r="DS144" i="50"/>
  <c r="AB53" i="26"/>
  <c r="AK173" i="50"/>
  <c r="DU99" i="50"/>
  <c r="DK228" i="50"/>
  <c r="BT139" i="50"/>
  <c r="AZ233" i="50"/>
  <c r="AB154" i="50"/>
  <c r="ER224" i="50"/>
  <c r="BC197" i="50"/>
  <c r="CI220" i="50"/>
  <c r="Q233" i="50"/>
  <c r="CM83" i="50"/>
  <c r="EA141" i="50"/>
  <c r="BM144" i="50"/>
  <c r="AW236" i="50"/>
  <c r="BV182" i="50"/>
  <c r="EM129" i="50"/>
  <c r="EA140" i="50"/>
  <c r="AJ160" i="50"/>
  <c r="EZ176" i="50"/>
  <c r="AL25" i="50"/>
  <c r="BG221" i="50"/>
  <c r="CC230" i="50"/>
  <c r="AW212" i="50"/>
  <c r="BT173" i="50"/>
  <c r="BZ216" i="50"/>
  <c r="DC192" i="50"/>
  <c r="FG174" i="50"/>
  <c r="EH189" i="50"/>
  <c r="FF172" i="50"/>
  <c r="FH182" i="50"/>
  <c r="AL155" i="50"/>
  <c r="EZ120" i="50"/>
  <c r="DW96" i="50"/>
  <c r="EW176" i="50"/>
  <c r="AZ182" i="50"/>
  <c r="FD83" i="50"/>
  <c r="AL183" i="50"/>
  <c r="ED210" i="50"/>
  <c r="CN88" i="50"/>
  <c r="DO156" i="50"/>
  <c r="AY161" i="50"/>
  <c r="BG232" i="50"/>
  <c r="BQ234" i="50"/>
  <c r="EP175" i="50"/>
  <c r="EI78" i="50"/>
  <c r="CG75" i="50"/>
  <c r="BX178" i="50"/>
  <c r="DM129" i="50"/>
  <c r="CQ179" i="50"/>
  <c r="L36" i="50"/>
  <c r="EI153" i="50"/>
  <c r="V198" i="50"/>
  <c r="EO222" i="50"/>
  <c r="FB149" i="50"/>
  <c r="BH209" i="50"/>
  <c r="FJ180" i="50"/>
  <c r="EZ73" i="50"/>
  <c r="FK130" i="50"/>
  <c r="DE195" i="50"/>
  <c r="CL143" i="50"/>
  <c r="BR90" i="50"/>
  <c r="DJ225" i="50"/>
  <c r="EL78" i="50"/>
  <c r="EY122" i="50"/>
  <c r="BG156" i="50"/>
  <c r="EK114" i="50"/>
  <c r="CK211" i="50"/>
  <c r="FC84" i="50"/>
  <c r="CJ166" i="50"/>
  <c r="CK76" i="50"/>
  <c r="BC212" i="50"/>
  <c r="EL97" i="50"/>
  <c r="EA143" i="50"/>
  <c r="AW211" i="50"/>
  <c r="DG165" i="50"/>
  <c r="AM44" i="50"/>
  <c r="L209" i="50"/>
  <c r="AO174" i="50"/>
  <c r="DB103" i="50"/>
  <c r="EQ143" i="50"/>
  <c r="CW94" i="50"/>
  <c r="EP164" i="50"/>
  <c r="AC62" i="26"/>
  <c r="FA193" i="50"/>
  <c r="EW225" i="50"/>
  <c r="DB232" i="50"/>
  <c r="DE116" i="50"/>
  <c r="BH155" i="50"/>
  <c r="FK160" i="50"/>
  <c r="DI123" i="50"/>
  <c r="FE228" i="50"/>
  <c r="DV156" i="50"/>
  <c r="AJ64" i="50"/>
  <c r="AW181" i="50"/>
  <c r="J172" i="50"/>
  <c r="AM42" i="50"/>
  <c r="FH110" i="50"/>
  <c r="CN160" i="50"/>
  <c r="FB108" i="50"/>
  <c r="EZ232" i="50"/>
  <c r="EN73" i="50"/>
  <c r="BD193" i="50"/>
  <c r="DX236" i="50"/>
  <c r="AW213" i="50"/>
  <c r="CH182" i="50"/>
  <c r="AM50" i="50"/>
  <c r="CZ184" i="50"/>
  <c r="BS202" i="50"/>
  <c r="DW148" i="50"/>
  <c r="BH214" i="50"/>
  <c r="CS236" i="50"/>
  <c r="DD181" i="50"/>
  <c r="AG48" i="50"/>
  <c r="FK73" i="50"/>
  <c r="BR99" i="50"/>
  <c r="FG113" i="50"/>
  <c r="AS171" i="50"/>
  <c r="FI77" i="50"/>
  <c r="BQ157" i="50"/>
  <c r="BC162" i="50"/>
  <c r="EJ200" i="50"/>
  <c r="DQ193" i="50"/>
  <c r="CJ164" i="50"/>
  <c r="AS128" i="50"/>
  <c r="BE181" i="50"/>
  <c r="FA208" i="50"/>
  <c r="CM124" i="50"/>
  <c r="BQ196" i="50"/>
  <c r="EP197" i="50"/>
  <c r="BS209" i="50"/>
  <c r="FG235" i="50"/>
  <c r="FI230" i="50"/>
  <c r="DH206" i="50"/>
  <c r="CL171" i="50"/>
  <c r="AE57" i="26"/>
  <c r="X37" i="50"/>
  <c r="DQ234" i="50"/>
  <c r="BT222" i="50"/>
  <c r="Z57" i="26"/>
  <c r="DJ211" i="50"/>
  <c r="ER193" i="50"/>
  <c r="BG170" i="50"/>
  <c r="FK76" i="50"/>
  <c r="AD196" i="50"/>
  <c r="DW234" i="50"/>
  <c r="F209" i="50"/>
  <c r="FG108" i="50"/>
  <c r="BD211" i="50"/>
  <c r="DU225" i="50"/>
  <c r="FI181" i="50"/>
  <c r="CX95" i="50"/>
  <c r="FA142" i="50"/>
  <c r="BL143" i="50"/>
  <c r="CI204" i="50"/>
  <c r="DD147" i="50"/>
  <c r="FH84" i="50"/>
  <c r="DI141" i="50"/>
  <c r="FB73" i="50"/>
  <c r="AT230" i="50"/>
  <c r="EO106" i="50"/>
  <c r="CM132" i="50"/>
  <c r="DD152" i="50"/>
  <c r="FA130" i="50"/>
  <c r="M34" i="50"/>
  <c r="BU218" i="50"/>
  <c r="CZ215" i="50"/>
  <c r="AM47" i="50"/>
  <c r="I38" i="50"/>
  <c r="AO229" i="50"/>
  <c r="EJ219" i="50"/>
  <c r="EY77" i="50"/>
  <c r="DI124" i="50"/>
  <c r="EY156" i="50"/>
  <c r="DE83" i="50"/>
  <c r="S226" i="50"/>
  <c r="C172" i="50"/>
  <c r="X140" i="50"/>
  <c r="CU140" i="50"/>
  <c r="DI162" i="50"/>
  <c r="DP208" i="50"/>
  <c r="DC129" i="50"/>
  <c r="DI93" i="50"/>
  <c r="CE232" i="50"/>
  <c r="ER237" i="50"/>
  <c r="BR190" i="50"/>
  <c r="M32" i="50"/>
  <c r="CM80" i="50"/>
  <c r="CU160" i="50"/>
  <c r="BH234" i="50"/>
  <c r="DV178" i="50"/>
  <c r="CJ178" i="50"/>
  <c r="DL160" i="50"/>
  <c r="FB113" i="50"/>
  <c r="CN204" i="50"/>
  <c r="DD161" i="50"/>
  <c r="BS177" i="50"/>
  <c r="EA129" i="50"/>
  <c r="I175" i="50"/>
  <c r="DX233" i="50"/>
  <c r="AA59" i="50"/>
  <c r="DE237" i="50"/>
  <c r="AC230" i="50"/>
  <c r="AA53" i="26"/>
  <c r="FF142" i="50"/>
  <c r="DU227" i="50"/>
  <c r="AC58" i="26"/>
  <c r="W141" i="50"/>
  <c r="DE82" i="50"/>
  <c r="AC62" i="50"/>
  <c r="CZ228" i="50"/>
  <c r="AO211" i="50"/>
  <c r="DE99" i="50"/>
  <c r="AI59" i="50"/>
  <c r="AF65" i="50"/>
  <c r="CB174" i="50"/>
  <c r="DD107" i="50"/>
  <c r="BU144" i="50"/>
  <c r="C153" i="50"/>
  <c r="FA236" i="50"/>
  <c r="EK77" i="50"/>
  <c r="AL27" i="50"/>
  <c r="AB153" i="50"/>
  <c r="DS143" i="50"/>
  <c r="EV226" i="50"/>
  <c r="FE93" i="50"/>
  <c r="DS139" i="50"/>
  <c r="BE153" i="50"/>
  <c r="AD171" i="50"/>
  <c r="EZ133" i="50"/>
  <c r="CN151" i="50"/>
  <c r="FJ237" i="50"/>
  <c r="FD221" i="50"/>
  <c r="FE100" i="50"/>
  <c r="BD177" i="50"/>
  <c r="CB215" i="50"/>
  <c r="BE228" i="50"/>
  <c r="DE105" i="50"/>
  <c r="CB154" i="50"/>
  <c r="DW225" i="50"/>
  <c r="CH220" i="50"/>
  <c r="CN147" i="50"/>
  <c r="DT130" i="50"/>
  <c r="AG37" i="50"/>
  <c r="CG236" i="50"/>
  <c r="U227" i="50"/>
  <c r="EP184" i="50"/>
  <c r="Y236" i="50"/>
  <c r="EU179" i="50"/>
  <c r="DZ229" i="50"/>
  <c r="CY173" i="50"/>
  <c r="DU167" i="50"/>
  <c r="FG137" i="50"/>
  <c r="EI151" i="50"/>
  <c r="J224" i="50"/>
  <c r="H229" i="50"/>
  <c r="FI171" i="50"/>
  <c r="EJ133" i="50"/>
  <c r="BU95" i="50"/>
  <c r="CJ86" i="50"/>
  <c r="H160" i="50"/>
  <c r="CY176" i="50"/>
  <c r="FA184" i="50"/>
  <c r="BG178" i="50"/>
  <c r="BR184" i="50"/>
  <c r="Z33" i="50"/>
  <c r="AJ176" i="50"/>
  <c r="BX183" i="50"/>
  <c r="CH179" i="50"/>
  <c r="CI124" i="50"/>
  <c r="CJ226" i="50"/>
  <c r="EP116" i="50"/>
  <c r="AU173" i="50"/>
  <c r="FF203" i="50"/>
  <c r="DF136" i="50"/>
  <c r="BR164" i="50"/>
  <c r="EO152" i="50"/>
  <c r="BK210" i="50"/>
  <c r="CW151" i="50"/>
  <c r="EJ124" i="50"/>
  <c r="EK165" i="50"/>
  <c r="CN137" i="50"/>
  <c r="CH174" i="50"/>
  <c r="EI109" i="50"/>
  <c r="AU227" i="50"/>
  <c r="EE231" i="50"/>
  <c r="EP183" i="50"/>
  <c r="EV194" i="50"/>
  <c r="DG168" i="50"/>
  <c r="FK205" i="50"/>
  <c r="FI170" i="50"/>
  <c r="X229" i="50"/>
  <c r="DE191" i="50"/>
  <c r="AE159" i="50"/>
  <c r="AX128" i="50"/>
  <c r="CF165" i="50"/>
  <c r="BP194" i="50"/>
  <c r="DK157" i="50"/>
  <c r="FH228" i="50"/>
  <c r="EM220" i="50"/>
  <c r="BC129" i="50"/>
  <c r="AB63" i="50"/>
  <c r="EP137" i="50"/>
  <c r="AE56" i="26"/>
  <c r="CK172" i="50"/>
  <c r="AC37" i="26"/>
  <c r="AM208" i="50"/>
  <c r="DA140" i="50"/>
  <c r="DW173" i="50"/>
  <c r="DT211" i="50"/>
  <c r="EQ232" i="50"/>
  <c r="EE180" i="50"/>
  <c r="DQ174" i="50"/>
  <c r="EA193" i="50"/>
  <c r="AE153" i="50"/>
  <c r="CV172" i="50"/>
  <c r="FE190" i="50"/>
  <c r="ER228" i="50"/>
  <c r="BF234" i="50"/>
  <c r="AN237" i="50"/>
  <c r="FJ148" i="50"/>
  <c r="EY151" i="50"/>
  <c r="CV237" i="50"/>
  <c r="DK129" i="50"/>
  <c r="CI227" i="50"/>
  <c r="G234" i="50"/>
  <c r="EL182" i="50"/>
  <c r="EE158" i="50"/>
  <c r="CZ117" i="50"/>
  <c r="BH143" i="50"/>
  <c r="AN139" i="50"/>
  <c r="BR233" i="50"/>
  <c r="CF175" i="50"/>
  <c r="BQ129" i="50"/>
  <c r="I180" i="50"/>
  <c r="Y177" i="50"/>
  <c r="DJ139" i="50"/>
  <c r="EI168" i="50"/>
  <c r="FF196" i="50"/>
  <c r="S59" i="50"/>
  <c r="DT88" i="50"/>
  <c r="CP156" i="50"/>
  <c r="AL128" i="50"/>
  <c r="W198" i="50"/>
  <c r="AB215" i="50"/>
  <c r="DG226" i="50"/>
  <c r="BU132" i="50"/>
  <c r="FJ199" i="50"/>
  <c r="EN166" i="50"/>
  <c r="EJ114" i="50"/>
  <c r="DC124" i="50"/>
  <c r="EZ194" i="50"/>
  <c r="BL231" i="50"/>
  <c r="R193" i="50"/>
  <c r="BF128" i="50"/>
  <c r="EX175" i="50"/>
  <c r="BM158" i="50"/>
  <c r="G32" i="50"/>
  <c r="CF115" i="50"/>
  <c r="S173" i="50"/>
  <c r="BF231" i="50"/>
  <c r="EN187" i="50"/>
  <c r="CZ217" i="50"/>
  <c r="AI55" i="50"/>
  <c r="CW174" i="50"/>
  <c r="CG181" i="50"/>
  <c r="DU161" i="50"/>
  <c r="DA132" i="50"/>
  <c r="CY95" i="50"/>
  <c r="DG90" i="50"/>
  <c r="BV185" i="50"/>
  <c r="BM229" i="50"/>
  <c r="CS183" i="50"/>
  <c r="AF171" i="50"/>
  <c r="EN219" i="50"/>
  <c r="R33" i="50"/>
  <c r="BX157" i="50"/>
  <c r="AI19" i="50"/>
  <c r="BT108" i="50"/>
  <c r="CJ196" i="50"/>
  <c r="DW166" i="50"/>
  <c r="V234" i="50"/>
  <c r="EZ237" i="50"/>
  <c r="FC223" i="50"/>
  <c r="CI165" i="50"/>
  <c r="EZ235" i="50"/>
  <c r="M226" i="50"/>
  <c r="AS141" i="50"/>
  <c r="CI228" i="50"/>
  <c r="DT104" i="50"/>
  <c r="X227" i="50"/>
  <c r="DC135" i="50"/>
  <c r="CP161" i="50"/>
  <c r="BK160" i="50"/>
  <c r="AB37" i="26"/>
  <c r="DI99" i="50"/>
  <c r="AU154" i="50"/>
  <c r="BR112" i="50"/>
  <c r="EY84" i="50"/>
  <c r="CZ208" i="50"/>
  <c r="DT105" i="50"/>
  <c r="BX207" i="50"/>
  <c r="AC178" i="50"/>
  <c r="CI116" i="50"/>
  <c r="AN236" i="50"/>
  <c r="DS141" i="50"/>
  <c r="EV128" i="50"/>
  <c r="AJ43" i="50"/>
  <c r="EL152" i="50"/>
  <c r="CO180" i="50"/>
  <c r="AR213" i="50"/>
  <c r="FA108" i="50"/>
  <c r="CZ205" i="50"/>
  <c r="DB134" i="50"/>
  <c r="DG187" i="50"/>
  <c r="EJ153" i="50"/>
  <c r="EQ144" i="50"/>
  <c r="DC91" i="50"/>
  <c r="BT116" i="50"/>
  <c r="AX227" i="50"/>
  <c r="O225" i="50"/>
  <c r="FE178" i="50"/>
  <c r="Z183" i="50"/>
  <c r="CY107" i="50"/>
  <c r="EJ145" i="50"/>
  <c r="CU195" i="50"/>
  <c r="BT210" i="50"/>
  <c r="J235" i="50"/>
  <c r="V171" i="50"/>
  <c r="DY142" i="50"/>
  <c r="Y35" i="50"/>
  <c r="CL176" i="50"/>
  <c r="BT77" i="50"/>
  <c r="AE209" i="50"/>
  <c r="DF204" i="50"/>
  <c r="O144" i="50"/>
  <c r="DJ162" i="50"/>
  <c r="EV177" i="50"/>
  <c r="FH73" i="50"/>
  <c r="DU109" i="50"/>
  <c r="CQ176" i="50"/>
  <c r="CF163" i="50"/>
  <c r="BT126" i="50"/>
  <c r="BE194" i="50"/>
  <c r="BA173" i="50"/>
  <c r="DN237" i="50"/>
  <c r="CZ133" i="50"/>
  <c r="FE128" i="50"/>
  <c r="DO161" i="50"/>
  <c r="FJ130" i="50"/>
  <c r="EE141" i="50"/>
  <c r="ET170" i="50"/>
  <c r="CK85" i="50"/>
  <c r="FB111" i="50"/>
  <c r="S61" i="50"/>
  <c r="EK136" i="50"/>
  <c r="CG151" i="50"/>
  <c r="CJ172" i="50"/>
  <c r="FA162" i="50"/>
  <c r="P226" i="50"/>
  <c r="CK166" i="50"/>
  <c r="FB184" i="50"/>
  <c r="EO169" i="50"/>
  <c r="EY230" i="50"/>
  <c r="CR216" i="50"/>
  <c r="DA205" i="50"/>
  <c r="J140" i="50"/>
  <c r="DK194" i="50"/>
  <c r="EX225" i="50"/>
  <c r="CF233" i="50"/>
  <c r="EZ184" i="50"/>
  <c r="CH109" i="50"/>
  <c r="FH167" i="50"/>
  <c r="DD169" i="50"/>
  <c r="CB232" i="50"/>
  <c r="EC170" i="50"/>
  <c r="AM17" i="50"/>
  <c r="FG82" i="50"/>
  <c r="S29" i="50"/>
  <c r="CY191" i="50"/>
  <c r="DB137" i="50"/>
  <c r="EY154" i="50"/>
  <c r="CF192" i="50"/>
  <c r="AV177" i="50"/>
  <c r="CK84" i="50"/>
  <c r="FF147" i="50"/>
  <c r="BD214" i="50"/>
  <c r="EO107" i="50"/>
  <c r="CK225" i="50"/>
  <c r="DV176" i="50"/>
  <c r="FH141" i="50"/>
  <c r="DN170" i="50"/>
  <c r="BV216" i="50"/>
  <c r="CA208" i="50"/>
  <c r="CZ91" i="50"/>
  <c r="EI236" i="50"/>
  <c r="AF229" i="50"/>
  <c r="DL228" i="50"/>
  <c r="CL147" i="50"/>
  <c r="CY159" i="50"/>
  <c r="AC171" i="50"/>
  <c r="O229" i="50"/>
  <c r="ET129" i="50"/>
  <c r="G160" i="50"/>
  <c r="EB175" i="50"/>
  <c r="FI120" i="50"/>
  <c r="CF184" i="50"/>
  <c r="EF213" i="50"/>
  <c r="DY196" i="50"/>
  <c r="AI36" i="50"/>
  <c r="EL140" i="50"/>
  <c r="DS162" i="50"/>
  <c r="FI131" i="50"/>
  <c r="DT146" i="50"/>
  <c r="EW197" i="50"/>
  <c r="DE159" i="50"/>
  <c r="BR193" i="50"/>
  <c r="DL224" i="50"/>
  <c r="FE111" i="50"/>
  <c r="BV186" i="50"/>
  <c r="FK219" i="50"/>
  <c r="S233" i="50"/>
  <c r="CL77" i="50"/>
  <c r="DW223" i="50"/>
  <c r="DL214" i="50"/>
  <c r="EY135" i="50"/>
  <c r="FG89" i="50"/>
  <c r="EL165" i="50"/>
  <c r="EP160" i="50"/>
  <c r="BV144" i="50"/>
  <c r="FE219" i="50"/>
  <c r="Z229" i="50"/>
  <c r="AG57" i="50"/>
  <c r="CT161" i="50"/>
  <c r="DR194" i="50"/>
  <c r="DF206" i="50"/>
  <c r="AC211" i="50"/>
  <c r="CM204" i="50"/>
  <c r="CZ84" i="50"/>
  <c r="CH104" i="50"/>
  <c r="FA148" i="50"/>
  <c r="CE155" i="50"/>
  <c r="DB126" i="50"/>
  <c r="DQ236" i="50"/>
  <c r="DU233" i="50"/>
  <c r="DT237" i="50"/>
  <c r="BI170" i="50"/>
  <c r="EC234" i="50"/>
  <c r="EK121" i="50"/>
  <c r="E236" i="50"/>
  <c r="EK143" i="50"/>
  <c r="H128" i="50"/>
  <c r="CJ80" i="50"/>
  <c r="CK161" i="50"/>
  <c r="EB196" i="50"/>
  <c r="ES162" i="50"/>
  <c r="DT86" i="50"/>
  <c r="DI184" i="50"/>
  <c r="AE48" i="26"/>
  <c r="EN82" i="50"/>
  <c r="DS231" i="50"/>
  <c r="FJ220" i="50"/>
  <c r="AN234" i="50"/>
  <c r="CN186" i="50"/>
  <c r="DB147" i="50"/>
  <c r="ES161" i="50"/>
  <c r="AB198" i="50"/>
  <c r="FC234" i="50"/>
  <c r="FG105" i="50"/>
  <c r="DF115" i="50"/>
  <c r="DN161" i="50"/>
  <c r="EH94" i="50"/>
  <c r="BV222" i="50"/>
  <c r="CY195" i="50"/>
  <c r="DG209" i="50"/>
  <c r="DU153" i="50"/>
  <c r="EH221" i="50"/>
  <c r="AS178" i="50"/>
  <c r="AR171" i="50"/>
  <c r="CN237" i="50"/>
  <c r="AS176" i="50"/>
  <c r="EI105" i="50"/>
  <c r="EZ209" i="50"/>
  <c r="J30" i="50"/>
  <c r="CI134" i="50"/>
  <c r="DA108" i="50"/>
  <c r="EL217" i="50"/>
  <c r="DF234" i="50"/>
  <c r="AK22" i="50"/>
  <c r="J227" i="50"/>
  <c r="CQ216" i="50"/>
  <c r="W211" i="50"/>
  <c r="FG84" i="50"/>
  <c r="BL214" i="50"/>
  <c r="E41" i="50"/>
  <c r="CT157" i="50"/>
  <c r="CN99" i="50"/>
  <c r="EC198" i="50"/>
  <c r="AW235" i="50"/>
  <c r="ET176" i="50"/>
  <c r="DD160" i="50"/>
  <c r="AA22" i="50"/>
  <c r="BB226" i="50"/>
  <c r="EP191" i="50"/>
  <c r="CM211" i="50"/>
  <c r="C197" i="50"/>
  <c r="FC182" i="50"/>
  <c r="T175" i="50"/>
  <c r="G154" i="50"/>
  <c r="DB162" i="50"/>
  <c r="L195" i="50"/>
  <c r="AB33" i="26"/>
  <c r="AD61" i="50"/>
  <c r="DW103" i="50"/>
  <c r="EV235" i="50"/>
  <c r="DV230" i="50"/>
  <c r="DW172" i="50"/>
  <c r="X129" i="50"/>
  <c r="EK223" i="50"/>
  <c r="CN157" i="50"/>
  <c r="Q141" i="50"/>
  <c r="DV142" i="50"/>
  <c r="DW144" i="50"/>
  <c r="DX109" i="50"/>
  <c r="EI79" i="50"/>
  <c r="CN223" i="50"/>
  <c r="DI194" i="50"/>
  <c r="FJ205" i="50"/>
  <c r="AA226" i="50"/>
  <c r="H216" i="50"/>
  <c r="DH211" i="50"/>
  <c r="AT229" i="50"/>
  <c r="CW134" i="50"/>
  <c r="BV92" i="50"/>
  <c r="CW175" i="50"/>
  <c r="CK197" i="50"/>
  <c r="FJ224" i="50"/>
  <c r="DW143" i="50"/>
  <c r="CZ101" i="50"/>
  <c r="AE15" i="26"/>
  <c r="AD59" i="26"/>
  <c r="EP188" i="50"/>
  <c r="CW114" i="50"/>
  <c r="CX78" i="50"/>
  <c r="F231" i="50"/>
  <c r="BV91" i="50"/>
  <c r="AK23" i="50"/>
  <c r="CH204" i="50"/>
  <c r="AN177" i="50"/>
  <c r="EY112" i="50"/>
  <c r="FC102" i="50"/>
  <c r="F234" i="50"/>
  <c r="BN227" i="50"/>
  <c r="AD175" i="50"/>
  <c r="N180" i="50"/>
  <c r="BC231" i="50"/>
  <c r="BU233" i="50"/>
  <c r="FK102" i="50"/>
  <c r="DY161" i="50"/>
  <c r="FB156" i="50"/>
  <c r="DG216" i="50"/>
  <c r="FA214" i="50"/>
  <c r="EN101" i="50"/>
  <c r="EV229" i="50"/>
  <c r="EY160" i="50"/>
  <c r="DC101" i="50"/>
  <c r="EH162" i="50"/>
  <c r="DW237" i="50"/>
  <c r="W183" i="50"/>
  <c r="CG195" i="50"/>
  <c r="AM53" i="50"/>
  <c r="ES196" i="50"/>
  <c r="FA160" i="50"/>
  <c r="F227" i="50"/>
  <c r="EV212" i="50"/>
  <c r="EZ212" i="50"/>
  <c r="G183" i="50"/>
  <c r="EI214" i="50"/>
  <c r="AW225" i="50"/>
  <c r="BL155" i="50"/>
  <c r="FI153" i="50"/>
  <c r="EM215" i="50"/>
  <c r="DF80" i="50"/>
  <c r="FH78" i="50"/>
  <c r="CX80" i="50"/>
  <c r="AK216" i="50"/>
  <c r="BK193" i="50"/>
  <c r="AK56" i="50"/>
  <c r="Y216" i="50"/>
  <c r="BY234" i="50"/>
  <c r="AH129" i="50"/>
  <c r="CR214" i="50"/>
  <c r="BV120" i="50"/>
  <c r="CN100" i="50"/>
  <c r="S175" i="50"/>
  <c r="FD198" i="50"/>
  <c r="AC224" i="50"/>
  <c r="EY165" i="50"/>
  <c r="DW125" i="50"/>
  <c r="AK16" i="50"/>
  <c r="DE226" i="50"/>
  <c r="EL206" i="50"/>
  <c r="EI230" i="50"/>
  <c r="D197" i="50"/>
  <c r="DJ234" i="50"/>
  <c r="CF199" i="50"/>
  <c r="BT101" i="50"/>
  <c r="EL102" i="50"/>
  <c r="BY235" i="50"/>
  <c r="DX132" i="50"/>
  <c r="EI179" i="50"/>
  <c r="EH88" i="50"/>
  <c r="CU174" i="50"/>
  <c r="BD216" i="50"/>
  <c r="DD213" i="50"/>
  <c r="AF33" i="50"/>
  <c r="CW115" i="50"/>
  <c r="AW198" i="50"/>
  <c r="CL164" i="50"/>
  <c r="EP208" i="50"/>
  <c r="U162" i="50"/>
  <c r="CZ148" i="50"/>
  <c r="DG86" i="50"/>
  <c r="CY186" i="50"/>
  <c r="CL200" i="50"/>
  <c r="CH83" i="50"/>
  <c r="DC114" i="50"/>
  <c r="BG82" i="50"/>
  <c r="ES181" i="50"/>
  <c r="DU193" i="50"/>
  <c r="FA232" i="50"/>
  <c r="AQ196" i="50"/>
  <c r="EX171" i="50"/>
  <c r="CX235" i="50"/>
  <c r="DT234" i="50"/>
  <c r="CT195" i="50"/>
  <c r="DT126" i="50"/>
  <c r="BA231" i="50"/>
  <c r="CD176" i="50"/>
  <c r="CF229" i="50"/>
  <c r="FD205" i="50"/>
  <c r="CF76" i="50"/>
  <c r="DR128" i="50"/>
  <c r="AC153" i="50"/>
  <c r="BG98" i="50"/>
  <c r="R129" i="50"/>
  <c r="EA173" i="50"/>
  <c r="CZ131" i="50"/>
  <c r="AM52" i="50"/>
  <c r="AX224" i="50"/>
  <c r="EL155" i="50"/>
  <c r="AJ194" i="50"/>
  <c r="CY188" i="50"/>
  <c r="R128" i="50"/>
  <c r="EV173" i="50"/>
  <c r="BS99" i="50"/>
  <c r="BY210" i="50"/>
  <c r="E158" i="50"/>
  <c r="CZ146" i="50"/>
  <c r="BS83" i="50"/>
  <c r="DW235" i="50"/>
  <c r="FH111" i="50"/>
  <c r="BD215" i="50"/>
  <c r="CR197" i="50"/>
  <c r="J207" i="50"/>
  <c r="EY206" i="50"/>
  <c r="EY104" i="50"/>
  <c r="EZ154" i="50"/>
  <c r="BR160" i="50"/>
  <c r="BR98" i="50"/>
  <c r="CJ79" i="50"/>
  <c r="CI91" i="50"/>
  <c r="FG205" i="50"/>
  <c r="I237" i="50"/>
  <c r="CZ237" i="50"/>
  <c r="EU193" i="50"/>
  <c r="FJ161" i="50"/>
  <c r="FF151" i="50"/>
  <c r="BU164" i="50"/>
  <c r="AK45" i="50"/>
  <c r="S211" i="50"/>
  <c r="DD108" i="50"/>
  <c r="EY232" i="50"/>
  <c r="T216" i="50"/>
  <c r="BT207" i="50"/>
  <c r="AV153" i="50"/>
  <c r="AC55" i="26"/>
  <c r="CW219" i="50"/>
  <c r="P158" i="50"/>
  <c r="AI154" i="50"/>
  <c r="H226" i="50"/>
  <c r="H143" i="50"/>
  <c r="EN149" i="50"/>
  <c r="CM130" i="50"/>
  <c r="BL178" i="50"/>
  <c r="BR211" i="50"/>
  <c r="DF207" i="50"/>
  <c r="FE129" i="50"/>
  <c r="AD128" i="50"/>
  <c r="EM192" i="50"/>
  <c r="BR145" i="50"/>
  <c r="FA176" i="50"/>
  <c r="EJ234" i="50"/>
  <c r="FE173" i="50"/>
  <c r="FB153" i="50"/>
  <c r="EI84" i="50"/>
  <c r="DJ178" i="50"/>
  <c r="DE230" i="50"/>
  <c r="BS151" i="50"/>
  <c r="BN139" i="50"/>
  <c r="M193" i="50"/>
  <c r="ES208" i="50"/>
  <c r="EL84" i="50"/>
  <c r="FK227" i="50"/>
  <c r="AJ228" i="50"/>
  <c r="BB216" i="50"/>
  <c r="DU135" i="50"/>
  <c r="DC175" i="50"/>
  <c r="FE146" i="50"/>
  <c r="CN138" i="50"/>
  <c r="BW170" i="50"/>
  <c r="BV90" i="50"/>
  <c r="EM114" i="50"/>
  <c r="DT144" i="50"/>
  <c r="EL171" i="50"/>
  <c r="CJ136" i="50"/>
  <c r="Z65" i="50"/>
  <c r="EU225" i="50"/>
  <c r="EH132" i="50"/>
  <c r="CL198" i="50"/>
  <c r="DS234" i="50"/>
  <c r="FF188" i="50"/>
  <c r="FD105" i="50"/>
  <c r="DS198" i="50"/>
  <c r="FK109" i="50"/>
  <c r="FE110" i="50"/>
  <c r="T171" i="50"/>
  <c r="FH120" i="50"/>
  <c r="BR197" i="50"/>
  <c r="EJ180" i="50"/>
  <c r="E154" i="50"/>
  <c r="BT78" i="50"/>
  <c r="DT205" i="50"/>
  <c r="DT171" i="50"/>
  <c r="BG144" i="50"/>
  <c r="CB226" i="50"/>
  <c r="DM216" i="50"/>
  <c r="ED176" i="50"/>
  <c r="DI230" i="50"/>
  <c r="FH215" i="50"/>
  <c r="S178" i="50"/>
  <c r="EC216" i="50"/>
  <c r="EZ147" i="50"/>
  <c r="BM194" i="50"/>
  <c r="CW97" i="50"/>
  <c r="D36" i="50"/>
  <c r="AG234" i="50"/>
  <c r="FD101" i="50"/>
  <c r="CU210" i="50"/>
  <c r="DW109" i="50"/>
  <c r="P208" i="50"/>
  <c r="DH192" i="50"/>
  <c r="ET226" i="50"/>
  <c r="EJ78" i="50"/>
  <c r="EH131" i="50"/>
  <c r="CX159" i="50"/>
  <c r="BV237" i="50"/>
  <c r="CR183" i="50"/>
  <c r="BN213" i="50"/>
  <c r="BV192" i="50"/>
  <c r="ER155" i="50"/>
  <c r="BE216" i="50"/>
  <c r="CN153" i="50"/>
  <c r="DS225" i="50"/>
  <c r="DE156" i="50"/>
  <c r="EN176" i="50"/>
  <c r="DH102" i="50"/>
  <c r="DA81" i="50"/>
  <c r="DV119" i="50"/>
  <c r="EN196" i="50"/>
  <c r="CL129" i="50"/>
  <c r="CX141" i="50"/>
  <c r="BG85" i="50"/>
  <c r="DI125" i="50"/>
  <c r="DM236" i="50"/>
  <c r="DW88" i="50"/>
  <c r="EI172" i="50"/>
  <c r="DB194" i="50"/>
  <c r="FH100" i="50"/>
  <c r="DJ174" i="50"/>
  <c r="D180" i="50"/>
  <c r="FA164" i="50"/>
  <c r="CE230" i="50"/>
  <c r="CM205" i="50"/>
  <c r="DV73" i="50"/>
  <c r="DU236" i="50"/>
  <c r="EJ158" i="50"/>
  <c r="EZ163" i="50"/>
  <c r="AK64" i="50"/>
  <c r="EK212" i="50"/>
  <c r="ED211" i="50"/>
  <c r="CH87" i="50"/>
  <c r="AE177" i="50"/>
  <c r="FG121" i="50"/>
  <c r="DP177" i="50"/>
  <c r="CL186" i="50"/>
  <c r="EN233" i="50"/>
  <c r="CZ171" i="50"/>
  <c r="EJ206" i="50"/>
  <c r="FH109" i="50"/>
  <c r="I233" i="50"/>
  <c r="EI127" i="50"/>
  <c r="T208" i="50"/>
  <c r="CH181" i="50"/>
  <c r="EP120" i="50"/>
  <c r="BT92" i="50"/>
  <c r="AW156" i="50"/>
  <c r="DX209" i="50"/>
  <c r="CI83" i="50"/>
  <c r="DH139" i="50"/>
  <c r="EP233" i="50"/>
  <c r="DA103" i="50"/>
  <c r="AW215" i="50"/>
  <c r="DC199" i="50"/>
  <c r="DZ211" i="50"/>
  <c r="DO196" i="50"/>
  <c r="FF89" i="50"/>
  <c r="AM21" i="50"/>
  <c r="BX195" i="50"/>
  <c r="BQ140" i="50"/>
  <c r="DX84" i="50"/>
  <c r="DT75" i="50"/>
  <c r="BV155" i="50"/>
  <c r="BG123" i="50"/>
  <c r="H230" i="50"/>
  <c r="AM158" i="50"/>
  <c r="BP227" i="50"/>
  <c r="CK130" i="50"/>
  <c r="EQ212" i="50"/>
  <c r="BE161" i="50"/>
  <c r="DS229" i="50"/>
  <c r="DV93" i="50"/>
  <c r="BG97" i="50"/>
  <c r="CI176" i="50"/>
  <c r="BV229" i="50"/>
  <c r="CL204" i="50"/>
  <c r="BB179" i="50"/>
  <c r="EJ90" i="50"/>
  <c r="AF236" i="50"/>
  <c r="FJ125" i="50"/>
  <c r="O141" i="50"/>
  <c r="DC211" i="50"/>
  <c r="FE161" i="50"/>
  <c r="BT199" i="50"/>
  <c r="DW78" i="50"/>
  <c r="AO237" i="50"/>
  <c r="DU141" i="50"/>
  <c r="BY196" i="50"/>
  <c r="CZ212" i="50"/>
  <c r="CT162" i="50"/>
  <c r="EW162" i="50"/>
  <c r="BM230" i="50"/>
  <c r="CG94" i="50"/>
  <c r="CX232" i="50"/>
  <c r="EH130" i="50"/>
  <c r="EH227" i="50"/>
  <c r="AE24" i="50"/>
  <c r="BV84" i="50"/>
  <c r="FB114" i="50"/>
  <c r="CC234" i="50"/>
  <c r="AS234" i="50"/>
  <c r="EH170" i="50"/>
  <c r="CL146" i="50"/>
  <c r="O171" i="50"/>
  <c r="DD129" i="50"/>
  <c r="EX183" i="50"/>
  <c r="EV172" i="50"/>
  <c r="EY209" i="50"/>
  <c r="BY172" i="50"/>
  <c r="FE203" i="50"/>
  <c r="CQ234" i="50"/>
  <c r="AA24" i="26"/>
  <c r="K40" i="50"/>
  <c r="DJ227" i="50"/>
  <c r="DD91" i="50"/>
  <c r="AR193" i="50"/>
  <c r="FG130" i="50"/>
  <c r="FJ168" i="50"/>
  <c r="CL181" i="50"/>
  <c r="T230" i="50"/>
  <c r="CM208" i="50"/>
  <c r="EV211" i="50"/>
  <c r="DI204" i="50"/>
  <c r="ER180" i="50"/>
  <c r="DC136" i="50"/>
  <c r="BP161" i="50"/>
  <c r="CO231" i="50"/>
  <c r="EE224" i="50"/>
  <c r="CW78" i="50"/>
  <c r="CN81" i="50"/>
  <c r="DH133" i="50"/>
  <c r="DD124" i="50"/>
  <c r="DF184" i="50"/>
  <c r="ET161" i="50"/>
  <c r="BT132" i="50"/>
  <c r="EI130" i="50"/>
  <c r="CK126" i="50"/>
  <c r="BO177" i="50"/>
  <c r="BY139" i="50"/>
  <c r="DU103" i="50"/>
  <c r="AX153" i="50"/>
  <c r="EY223" i="50"/>
  <c r="CW224" i="50"/>
  <c r="EH140" i="50"/>
  <c r="BH198" i="50"/>
  <c r="DF118" i="50"/>
  <c r="DC198" i="50"/>
  <c r="CA161" i="50"/>
  <c r="DX137" i="50"/>
  <c r="CN85" i="50"/>
  <c r="AI26" i="50"/>
  <c r="EH236" i="50"/>
  <c r="CI133" i="50"/>
  <c r="W31" i="50"/>
  <c r="L129" i="50"/>
  <c r="BP183" i="50"/>
  <c r="FH98" i="50"/>
  <c r="EU237" i="50"/>
  <c r="FA89" i="50"/>
  <c r="CY205" i="50"/>
  <c r="BI225" i="50"/>
  <c r="DZ174" i="50"/>
  <c r="CB178" i="50"/>
  <c r="CE144" i="50"/>
  <c r="BD173" i="50"/>
  <c r="AJ214" i="50"/>
  <c r="EO202" i="50"/>
  <c r="EG230" i="50"/>
  <c r="EZ157" i="50"/>
  <c r="DP162" i="50"/>
  <c r="AM197" i="50"/>
  <c r="EN180" i="50"/>
  <c r="DX134" i="50"/>
  <c r="DI134" i="50"/>
  <c r="FD107" i="50"/>
  <c r="FH89" i="50"/>
  <c r="AI142" i="50"/>
  <c r="BR111" i="50"/>
  <c r="AX141" i="50"/>
  <c r="DP154" i="50"/>
  <c r="K128" i="50"/>
  <c r="P141" i="50"/>
  <c r="DC195" i="50"/>
  <c r="CG153" i="50"/>
  <c r="DZ209" i="50"/>
  <c r="AP194" i="50"/>
  <c r="EJ215" i="50"/>
  <c r="BG189" i="50"/>
  <c r="AS224" i="50"/>
  <c r="CG199" i="50"/>
  <c r="AA18" i="26"/>
  <c r="DV227" i="50"/>
  <c r="FF171" i="50"/>
  <c r="AD180" i="50"/>
  <c r="EP174" i="50"/>
  <c r="P231" i="50"/>
  <c r="DE115" i="50"/>
  <c r="ED209" i="50"/>
  <c r="Y209" i="50"/>
  <c r="S170" i="50"/>
  <c r="EK119" i="50"/>
  <c r="CG134" i="50"/>
  <c r="AZ180" i="50"/>
  <c r="CW99" i="50"/>
  <c r="FH199" i="50"/>
  <c r="Y140" i="50"/>
  <c r="CI107" i="50"/>
  <c r="DA82" i="50"/>
  <c r="DI95" i="50"/>
  <c r="CK149" i="50"/>
  <c r="FB215" i="50"/>
  <c r="BV106" i="50"/>
  <c r="DB74" i="50"/>
  <c r="CM235" i="50"/>
  <c r="DU215" i="50"/>
  <c r="AD214" i="50"/>
  <c r="ER154" i="50"/>
  <c r="DF125" i="50"/>
  <c r="DA112" i="50"/>
  <c r="DT208" i="50"/>
  <c r="DS140" i="50"/>
  <c r="EY113" i="50"/>
  <c r="AJ213" i="50"/>
  <c r="FI199" i="50"/>
  <c r="AK42" i="50"/>
  <c r="DT127" i="50"/>
  <c r="AI15" i="50"/>
  <c r="AR129" i="50"/>
  <c r="R194" i="50"/>
  <c r="AO157" i="50"/>
  <c r="AM36" i="50"/>
  <c r="BQ128" i="50"/>
  <c r="DX206" i="50"/>
  <c r="BZ193" i="50"/>
  <c r="FD208" i="50"/>
  <c r="DF210" i="50"/>
  <c r="AY197" i="50"/>
  <c r="CG84" i="50"/>
  <c r="CE229" i="50"/>
  <c r="DK193" i="50"/>
  <c r="DU143" i="50"/>
  <c r="AQ229" i="50"/>
  <c r="BV85" i="50"/>
  <c r="CS181" i="50"/>
  <c r="CF198" i="50"/>
  <c r="BG94" i="50"/>
  <c r="CL121" i="50"/>
  <c r="FF129" i="50"/>
  <c r="DF108" i="50"/>
  <c r="DQ180" i="50"/>
  <c r="DA160" i="50"/>
  <c r="DO180" i="50"/>
  <c r="R178" i="50"/>
  <c r="AG213" i="50"/>
  <c r="DE141" i="50"/>
  <c r="BJ213" i="50"/>
  <c r="BO234" i="50"/>
  <c r="Y210" i="50"/>
  <c r="FG188" i="50"/>
  <c r="DC181" i="50"/>
  <c r="CI180" i="50"/>
  <c r="DA196" i="50"/>
  <c r="CY156" i="50"/>
  <c r="BD195" i="50"/>
  <c r="FF112" i="50"/>
  <c r="BV223" i="50"/>
  <c r="AD174" i="50"/>
  <c r="DH83" i="50"/>
  <c r="AC53" i="26"/>
  <c r="CY90" i="50"/>
  <c r="CI160" i="50"/>
  <c r="DO232" i="50"/>
  <c r="AF215" i="50"/>
  <c r="AY215" i="50"/>
  <c r="CM190" i="50"/>
  <c r="BM183" i="50"/>
  <c r="AC16" i="50"/>
  <c r="DF213" i="50"/>
  <c r="V208" i="50"/>
  <c r="DD172" i="50"/>
  <c r="BP140" i="50"/>
  <c r="CK181" i="50"/>
  <c r="CJ149" i="50"/>
  <c r="EJ109" i="50"/>
  <c r="CL196" i="50"/>
  <c r="CR229" i="50"/>
  <c r="EI111" i="50"/>
  <c r="FC92" i="50"/>
  <c r="P235" i="50"/>
  <c r="DG153" i="50"/>
  <c r="FC212" i="50"/>
  <c r="DM182" i="50"/>
  <c r="DI183" i="50"/>
  <c r="AK234" i="50"/>
  <c r="EB129" i="50"/>
  <c r="DI226" i="50"/>
  <c r="CN199" i="50"/>
  <c r="CZ181" i="50"/>
  <c r="CS224" i="50"/>
  <c r="AI176" i="50"/>
  <c r="DD231" i="50"/>
  <c r="FD149" i="50"/>
  <c r="DT102" i="50"/>
  <c r="CY200" i="50"/>
  <c r="FG180" i="50"/>
  <c r="BE198" i="50"/>
  <c r="CZ100" i="50"/>
  <c r="DG118" i="50"/>
  <c r="DG110" i="50"/>
  <c r="FH137" i="50"/>
  <c r="EQ174" i="50"/>
  <c r="DG160" i="50"/>
  <c r="BK224" i="50"/>
  <c r="CV156" i="50"/>
  <c r="EA215" i="50"/>
  <c r="FK106" i="50"/>
  <c r="BE235" i="50"/>
  <c r="BR177" i="50"/>
  <c r="CN229" i="50"/>
  <c r="FG115" i="50"/>
  <c r="CN108" i="50"/>
  <c r="FD111" i="50"/>
  <c r="CS162" i="50"/>
  <c r="AK162" i="50"/>
  <c r="BU79" i="50"/>
  <c r="AQ236" i="50"/>
  <c r="P142" i="50"/>
  <c r="DD87" i="50"/>
  <c r="AC21" i="50"/>
  <c r="CB176" i="50"/>
  <c r="AT144" i="50"/>
  <c r="CZ188" i="50"/>
  <c r="DZ141" i="50"/>
  <c r="EG162" i="50"/>
  <c r="DX100" i="50"/>
  <c r="AB207" i="50"/>
  <c r="Y175" i="50"/>
  <c r="BA176" i="50"/>
  <c r="BQ176" i="50"/>
  <c r="EO139" i="50"/>
  <c r="FA129" i="50"/>
  <c r="EO113" i="50"/>
  <c r="AA194" i="50"/>
  <c r="AI236" i="50"/>
  <c r="FH211" i="50"/>
  <c r="CQ154" i="50"/>
  <c r="BP160" i="50"/>
  <c r="DJ236" i="50"/>
  <c r="DM193" i="50"/>
  <c r="FI147" i="50"/>
  <c r="DX231" i="50"/>
  <c r="FG164" i="50"/>
  <c r="AS212" i="50"/>
  <c r="R37" i="50"/>
  <c r="AZ228" i="50"/>
  <c r="CN104" i="50"/>
  <c r="FI210" i="50"/>
  <c r="DH235" i="50"/>
  <c r="EH139" i="50"/>
  <c r="EP189" i="50"/>
  <c r="DI142" i="50"/>
  <c r="CL104" i="50"/>
  <c r="CS232" i="50"/>
  <c r="D156" i="50"/>
  <c r="BV211" i="50"/>
  <c r="EU207" i="50"/>
  <c r="DH173" i="50"/>
  <c r="EC207" i="50"/>
  <c r="EQ228" i="50"/>
  <c r="CP233" i="50"/>
  <c r="I162" i="50"/>
  <c r="DX164" i="50"/>
  <c r="FD216" i="50"/>
  <c r="BN156" i="50"/>
  <c r="DJ129" i="50"/>
  <c r="CI149" i="50"/>
  <c r="AN213" i="50"/>
  <c r="I212" i="50"/>
  <c r="CI179" i="50"/>
  <c r="CY183" i="50"/>
  <c r="DV113" i="50"/>
  <c r="DE90" i="50"/>
  <c r="DF153" i="50"/>
  <c r="BO153" i="50"/>
  <c r="CA224" i="50"/>
  <c r="CI100" i="50"/>
  <c r="AV144" i="50"/>
  <c r="CN101" i="50"/>
  <c r="DM128" i="50"/>
  <c r="EX207" i="50"/>
  <c r="AP195" i="50"/>
  <c r="CG120" i="50"/>
  <c r="AR178" i="50"/>
  <c r="AO228" i="50"/>
  <c r="BH207" i="50"/>
  <c r="EK141" i="50"/>
  <c r="ET171" i="50"/>
  <c r="BC225" i="50"/>
  <c r="BS103" i="50"/>
  <c r="CF124" i="50"/>
  <c r="FB222" i="50"/>
  <c r="EF196" i="50"/>
  <c r="CL80" i="50"/>
  <c r="AQ198" i="50"/>
  <c r="CM192" i="50"/>
  <c r="EW173" i="50"/>
  <c r="T183" i="50"/>
  <c r="EK229" i="50"/>
  <c r="FE118" i="50"/>
  <c r="BN183" i="50"/>
  <c r="DX108" i="50"/>
  <c r="CH121" i="50"/>
  <c r="CL191" i="50"/>
  <c r="DM178" i="50"/>
  <c r="FK127" i="50"/>
  <c r="BD210" i="50"/>
  <c r="FE237" i="50"/>
  <c r="FE177" i="50"/>
  <c r="AE50" i="26"/>
  <c r="FI197" i="50"/>
  <c r="DZ226" i="50"/>
  <c r="AQ160" i="50"/>
  <c r="CJ93" i="50"/>
  <c r="AU141" i="50"/>
  <c r="BV202" i="50"/>
  <c r="DF201" i="50"/>
  <c r="DT225" i="50"/>
  <c r="EM222" i="50"/>
  <c r="ES129" i="50"/>
  <c r="DX193" i="50"/>
  <c r="FA170" i="50"/>
  <c r="FB115" i="50"/>
  <c r="DW119" i="50"/>
  <c r="AN178" i="50"/>
  <c r="BH193" i="50"/>
  <c r="AQ208" i="50"/>
  <c r="EK200" i="50"/>
  <c r="AS129" i="50"/>
  <c r="DJ230" i="50"/>
  <c r="DD167" i="50"/>
  <c r="DE183" i="50"/>
  <c r="DJ235" i="50"/>
  <c r="CP176" i="50"/>
  <c r="DC155" i="50"/>
  <c r="EY213" i="50"/>
  <c r="DD109" i="50"/>
  <c r="AN172" i="50"/>
  <c r="DC234" i="50"/>
  <c r="L157" i="50"/>
  <c r="BM177" i="50"/>
  <c r="CG211" i="50"/>
  <c r="DB184" i="50"/>
  <c r="AP182" i="50"/>
  <c r="EU211" i="50"/>
  <c r="EZ218" i="50"/>
  <c r="G209" i="50"/>
  <c r="EI95" i="50"/>
  <c r="EV170" i="50"/>
  <c r="CL190" i="50"/>
  <c r="BX228" i="50"/>
  <c r="V158" i="50"/>
  <c r="FC136" i="50"/>
  <c r="K144" i="50"/>
  <c r="FB144" i="50"/>
  <c r="BM195" i="50"/>
  <c r="BR175" i="50"/>
  <c r="CH129" i="50"/>
  <c r="AH175" i="50"/>
  <c r="DL210" i="50"/>
  <c r="BG105" i="50"/>
  <c r="CY129" i="50"/>
  <c r="DT230" i="50"/>
  <c r="DX167" i="50"/>
  <c r="AK60" i="50"/>
  <c r="FE140" i="50"/>
  <c r="CV230" i="50"/>
  <c r="BT228" i="50"/>
  <c r="EU210" i="50"/>
  <c r="Q159" i="50"/>
  <c r="EP139" i="50"/>
  <c r="CT226" i="50"/>
  <c r="Y65" i="50"/>
  <c r="CK95" i="50"/>
  <c r="FG172" i="50"/>
  <c r="W153" i="50"/>
  <c r="DS209" i="50"/>
  <c r="FI88" i="50"/>
  <c r="DL182" i="50"/>
  <c r="CJ222" i="50"/>
  <c r="CC177" i="50"/>
  <c r="I41" i="50"/>
  <c r="Q157" i="50"/>
  <c r="CS198" i="50"/>
  <c r="BC154" i="50"/>
  <c r="EA226" i="50"/>
  <c r="BP128" i="50"/>
  <c r="DF111" i="50"/>
  <c r="BU130" i="50"/>
  <c r="EN139" i="50"/>
  <c r="AG49" i="50"/>
  <c r="BV136" i="50"/>
  <c r="AJ233" i="50"/>
  <c r="CY101" i="50"/>
  <c r="EA160" i="50"/>
  <c r="EJ236" i="50"/>
  <c r="AK46" i="50"/>
  <c r="AC143" i="50"/>
  <c r="DF142" i="50"/>
  <c r="AI197" i="50"/>
  <c r="F207" i="50"/>
  <c r="BU193" i="50"/>
  <c r="DK143" i="50"/>
  <c r="DE103" i="50"/>
  <c r="EH77" i="50"/>
  <c r="CB155" i="50"/>
  <c r="CO171" i="50"/>
  <c r="CN134" i="50"/>
  <c r="EQ177" i="50"/>
  <c r="CW181" i="50"/>
  <c r="DD78" i="50"/>
  <c r="FK185" i="50"/>
  <c r="EZ227" i="50"/>
  <c r="DB166" i="50"/>
  <c r="CH193" i="50"/>
  <c r="BT85" i="50"/>
  <c r="DD110" i="50"/>
  <c r="BU173" i="50"/>
  <c r="EU214" i="50"/>
  <c r="CP142" i="50"/>
  <c r="DK155" i="50"/>
  <c r="BU77" i="50"/>
  <c r="V172" i="50"/>
  <c r="FH99" i="50"/>
  <c r="DQ158" i="50"/>
  <c r="EK171" i="50"/>
  <c r="EZ138" i="50"/>
  <c r="AS209" i="50"/>
  <c r="FF125" i="50"/>
  <c r="EZ185" i="50"/>
  <c r="DM155" i="50"/>
  <c r="DI76" i="50"/>
  <c r="DW202" i="50"/>
  <c r="DG129" i="50"/>
  <c r="FE163" i="50"/>
  <c r="FF98" i="50"/>
  <c r="AU193" i="50"/>
  <c r="CZ107" i="50"/>
  <c r="BT200" i="50"/>
  <c r="EY235" i="50"/>
  <c r="DS154" i="50"/>
  <c r="DB206" i="50"/>
  <c r="ED161" i="50"/>
  <c r="BJ161" i="50"/>
  <c r="EO211" i="50"/>
  <c r="EX237" i="50"/>
  <c r="BN194" i="50"/>
  <c r="EU232" i="50"/>
  <c r="EF172" i="50"/>
  <c r="FK213" i="50"/>
  <c r="U160" i="50"/>
  <c r="FF164" i="50"/>
  <c r="ED156" i="50"/>
  <c r="FC77" i="50"/>
  <c r="K31" i="50"/>
  <c r="CH132" i="50"/>
  <c r="C141" i="50"/>
  <c r="AY212" i="50"/>
  <c r="EP130" i="50"/>
  <c r="FG202" i="50"/>
  <c r="J228" i="50"/>
  <c r="ET232" i="50"/>
  <c r="EY107" i="50"/>
  <c r="FE169" i="50"/>
  <c r="BC172" i="50"/>
  <c r="DI179" i="50"/>
  <c r="BT148" i="50"/>
  <c r="AA210" i="50"/>
  <c r="AQ179" i="50"/>
  <c r="FC155" i="50"/>
  <c r="DF189" i="50"/>
  <c r="FC193" i="50"/>
  <c r="DI117" i="50"/>
  <c r="BA216" i="50"/>
  <c r="CF106" i="50"/>
  <c r="EY164" i="50"/>
  <c r="P162" i="50"/>
  <c r="EM199" i="50"/>
  <c r="DC214" i="50"/>
  <c r="EK135" i="50"/>
  <c r="K216" i="50"/>
  <c r="AA49" i="26"/>
  <c r="FD224" i="50"/>
  <c r="AM57" i="50"/>
  <c r="DU101" i="50"/>
  <c r="AE36" i="26"/>
  <c r="EJ126" i="50"/>
  <c r="EG207" i="50"/>
  <c r="BM209" i="50"/>
  <c r="EZ203" i="50"/>
  <c r="EY108" i="50"/>
  <c r="AD27" i="50"/>
  <c r="AI174" i="50"/>
  <c r="AQ237" i="50"/>
  <c r="R224" i="50"/>
  <c r="FI132" i="50"/>
  <c r="ET157" i="50"/>
  <c r="DH216" i="50"/>
  <c r="CA128" i="50"/>
  <c r="AN194" i="50"/>
  <c r="ES144" i="50"/>
  <c r="BP177" i="50"/>
  <c r="CS215" i="50"/>
  <c r="AA16" i="50"/>
  <c r="EO183" i="50"/>
  <c r="DB105" i="50"/>
  <c r="CL93" i="50"/>
  <c r="EN207" i="50"/>
  <c r="AE174" i="50"/>
  <c r="DW171" i="50"/>
  <c r="EC144" i="50"/>
  <c r="DW73" i="50"/>
  <c r="DA111" i="50"/>
  <c r="G224" i="50"/>
  <c r="EO178" i="50"/>
  <c r="CE235" i="50"/>
  <c r="DD122" i="50"/>
  <c r="BC226" i="50"/>
  <c r="CU227" i="50"/>
  <c r="FJ146" i="50"/>
  <c r="DD81" i="50"/>
  <c r="FF167" i="50"/>
  <c r="AE25" i="50"/>
  <c r="EM207" i="50"/>
  <c r="CK88" i="50"/>
  <c r="CR172" i="50"/>
  <c r="DG194" i="50"/>
  <c r="CF147" i="50"/>
  <c r="AF160" i="50"/>
  <c r="AV141" i="50"/>
  <c r="AD178" i="50"/>
  <c r="CB210" i="50"/>
  <c r="EN107" i="50"/>
  <c r="FD178" i="50"/>
  <c r="CY73" i="50"/>
  <c r="BV116" i="50"/>
  <c r="CJ225" i="50"/>
  <c r="FJ150" i="50"/>
  <c r="ES232" i="50"/>
  <c r="DF95" i="50"/>
  <c r="EG195" i="50"/>
  <c r="AA129" i="50"/>
  <c r="EO91" i="50"/>
  <c r="CJ114" i="50"/>
  <c r="CG202" i="50"/>
  <c r="BO214" i="50"/>
  <c r="DZ159" i="50"/>
  <c r="DC127" i="50"/>
  <c r="CI76" i="50"/>
  <c r="AK32" i="50"/>
  <c r="BW228" i="50"/>
  <c r="BG181" i="50"/>
  <c r="DD103" i="50"/>
  <c r="BG172" i="50"/>
  <c r="F155" i="50"/>
  <c r="AW233" i="50"/>
  <c r="BH236" i="50"/>
  <c r="DD223" i="50"/>
  <c r="ER171" i="50"/>
  <c r="BT235" i="50"/>
  <c r="AA195" i="50"/>
  <c r="CM101" i="50"/>
  <c r="EH144" i="50"/>
  <c r="BO236" i="50"/>
  <c r="C140" i="50"/>
  <c r="EW237" i="50"/>
  <c r="DD138" i="50"/>
  <c r="DH120" i="50"/>
  <c r="CK214" i="50"/>
  <c r="AA41" i="26"/>
  <c r="DF180" i="50"/>
  <c r="AA179" i="50"/>
  <c r="DE234" i="50"/>
  <c r="BJ128" i="50"/>
  <c r="EC235" i="50"/>
  <c r="FD158" i="50"/>
  <c r="CC170" i="50"/>
  <c r="EL163" i="50"/>
  <c r="DJ155" i="50"/>
  <c r="AL51" i="50"/>
  <c r="P196" i="50"/>
  <c r="CI151" i="50"/>
  <c r="FD190" i="50"/>
  <c r="BR159" i="50"/>
  <c r="EK185" i="50"/>
  <c r="D179" i="50"/>
  <c r="DS193" i="50"/>
  <c r="AA143" i="50"/>
  <c r="CQ236" i="50"/>
  <c r="CZ149" i="50"/>
  <c r="CJ126" i="50"/>
  <c r="BU211" i="50"/>
  <c r="BS221" i="50"/>
  <c r="EJ212" i="50"/>
  <c r="CX176" i="50"/>
  <c r="CO144" i="50"/>
  <c r="EV155" i="50"/>
  <c r="EB154" i="50"/>
  <c r="F196" i="50"/>
  <c r="EN93" i="50"/>
  <c r="DT217" i="50"/>
  <c r="BU217" i="50"/>
  <c r="CG188" i="50"/>
  <c r="FK174" i="50"/>
  <c r="Y173" i="50"/>
  <c r="CE216" i="50"/>
  <c r="D159" i="50"/>
  <c r="T143" i="50"/>
  <c r="CM170" i="50"/>
  <c r="DK234" i="50"/>
  <c r="BM228" i="50"/>
  <c r="CN150" i="50"/>
  <c r="FJ131" i="50"/>
  <c r="DA200" i="50"/>
  <c r="CM137" i="50"/>
  <c r="AM35" i="50"/>
  <c r="EB144" i="50"/>
  <c r="EN112" i="50"/>
  <c r="FK88" i="50"/>
  <c r="BS73" i="50"/>
  <c r="EO111" i="50"/>
  <c r="EN78" i="50"/>
  <c r="CL212" i="50"/>
  <c r="AI224" i="50"/>
  <c r="CX106" i="50"/>
  <c r="EF236" i="50"/>
  <c r="DE219" i="50"/>
  <c r="DN231" i="50"/>
  <c r="FJ232" i="50"/>
  <c r="CJ123" i="50"/>
  <c r="EV174" i="50"/>
  <c r="BN224" i="50"/>
  <c r="FG156" i="50"/>
  <c r="EP185" i="50"/>
  <c r="CH227" i="50"/>
  <c r="FG182" i="50"/>
  <c r="F175" i="50"/>
  <c r="Y232" i="50"/>
  <c r="EX154" i="50"/>
  <c r="DB81" i="50"/>
  <c r="CG235" i="50"/>
  <c r="CY217" i="50"/>
  <c r="FD210" i="50"/>
  <c r="BA183" i="50"/>
  <c r="H195" i="50"/>
  <c r="EO73" i="50"/>
  <c r="ED162" i="50"/>
  <c r="DG233" i="50"/>
  <c r="DB79" i="50"/>
  <c r="CA180" i="50"/>
  <c r="DB210" i="50"/>
  <c r="AM153" i="50"/>
  <c r="DT221" i="50"/>
  <c r="CM184" i="50"/>
  <c r="CD154" i="50"/>
  <c r="DH190" i="50"/>
  <c r="BG146" i="50"/>
  <c r="BU210" i="50"/>
  <c r="AT227" i="50"/>
  <c r="Z144" i="50"/>
  <c r="AB44" i="26"/>
  <c r="EF194" i="50"/>
  <c r="AL62" i="50"/>
  <c r="EA207" i="50"/>
  <c r="EY163" i="50"/>
  <c r="AJ197" i="50"/>
  <c r="AW155" i="50"/>
  <c r="DE158" i="50"/>
  <c r="EP163" i="50"/>
  <c r="AI228" i="50"/>
  <c r="DC76" i="50"/>
  <c r="EO164" i="50"/>
  <c r="FC128" i="50"/>
  <c r="FJ83" i="50"/>
  <c r="DO176" i="50"/>
  <c r="BO233" i="50"/>
  <c r="AB63" i="26"/>
  <c r="FB220" i="50"/>
  <c r="DR139" i="50"/>
  <c r="DP194" i="50"/>
  <c r="I173" i="50"/>
  <c r="DG145" i="50"/>
  <c r="EP177" i="50"/>
  <c r="BV109" i="50"/>
  <c r="CM86" i="50"/>
  <c r="AE36" i="50"/>
  <c r="FI87" i="50"/>
  <c r="BP154" i="50"/>
  <c r="S159" i="50"/>
  <c r="FC204" i="50"/>
  <c r="AA32" i="26"/>
  <c r="AC56" i="26"/>
  <c r="CI225" i="50"/>
  <c r="BR95" i="50"/>
  <c r="CY120" i="50"/>
  <c r="L35" i="50"/>
  <c r="EM89" i="50"/>
  <c r="CJ209" i="50"/>
  <c r="DH158" i="50"/>
  <c r="DF126" i="50"/>
  <c r="EP214" i="50"/>
  <c r="EP111" i="50"/>
  <c r="CR234" i="50"/>
  <c r="Q235" i="50"/>
  <c r="DN180" i="50"/>
  <c r="AE198" i="50"/>
  <c r="AM210" i="50"/>
  <c r="FF135" i="50"/>
  <c r="DI174" i="50"/>
  <c r="FG157" i="50"/>
  <c r="DE200" i="50"/>
  <c r="DA83" i="50"/>
  <c r="U210" i="50"/>
  <c r="DD159" i="50"/>
  <c r="FK90" i="50"/>
  <c r="CO230" i="50"/>
  <c r="CC209" i="50"/>
  <c r="CX154" i="50"/>
  <c r="CZ175" i="50"/>
  <c r="FJ79" i="50"/>
  <c r="R61" i="50"/>
  <c r="DM195" i="50"/>
  <c r="Q158" i="50"/>
  <c r="S210" i="50"/>
  <c r="BE157" i="50"/>
  <c r="W59" i="50"/>
  <c r="CQ195" i="50"/>
  <c r="DG195" i="50"/>
  <c r="EB193" i="50"/>
  <c r="EW158" i="50"/>
  <c r="CX208" i="50"/>
  <c r="O228" i="50"/>
  <c r="AH65" i="50"/>
  <c r="EK137" i="50"/>
  <c r="FG229" i="50"/>
  <c r="AE62" i="50"/>
  <c r="AG43" i="50"/>
  <c r="AD213" i="50"/>
  <c r="FG193" i="50"/>
  <c r="CO229" i="50"/>
  <c r="BG222" i="50"/>
  <c r="FG132" i="50"/>
  <c r="CK94" i="50"/>
  <c r="ER129" i="50"/>
  <c r="EX227" i="50"/>
  <c r="EA195" i="50"/>
  <c r="FG139" i="50"/>
  <c r="FK144" i="50"/>
  <c r="CW142" i="50"/>
  <c r="BN140" i="50"/>
  <c r="DT139" i="50"/>
  <c r="EY140" i="50"/>
  <c r="CC155" i="50"/>
  <c r="F162" i="50"/>
  <c r="BU96" i="50"/>
  <c r="EF232" i="50"/>
  <c r="T215" i="50"/>
  <c r="DT220" i="50"/>
  <c r="J128" i="50"/>
  <c r="Z32" i="26"/>
  <c r="AB234" i="50"/>
  <c r="AZ212" i="50"/>
  <c r="CS237" i="50"/>
  <c r="AQ197" i="50"/>
  <c r="DH80" i="50"/>
  <c r="BL237" i="50"/>
  <c r="EV225" i="50"/>
  <c r="EM109" i="50"/>
  <c r="DB187" i="50"/>
  <c r="CK82" i="50"/>
  <c r="AV236" i="50"/>
  <c r="DS207" i="50"/>
  <c r="CK92" i="50"/>
  <c r="CD209" i="50"/>
  <c r="CA197" i="50"/>
  <c r="CY77" i="50"/>
  <c r="EE162" i="50"/>
  <c r="Z37" i="26"/>
  <c r="FI97" i="50"/>
  <c r="EL207" i="50"/>
  <c r="EK188" i="50"/>
  <c r="CC228" i="50"/>
  <c r="EW178" i="50"/>
  <c r="DU158" i="50"/>
  <c r="FA96" i="50"/>
  <c r="DT124" i="50"/>
  <c r="DB174" i="50"/>
  <c r="E173" i="50"/>
  <c r="Z62" i="50"/>
  <c r="DC116" i="50"/>
  <c r="CN232" i="50"/>
  <c r="EN208" i="50"/>
  <c r="FJ230" i="50"/>
  <c r="DB208" i="50"/>
  <c r="EL94" i="50"/>
  <c r="EX139" i="50"/>
  <c r="BV86" i="50"/>
  <c r="FH218" i="50"/>
  <c r="CS208" i="50"/>
  <c r="CY218" i="50"/>
  <c r="EN220" i="50"/>
  <c r="EY197" i="50"/>
  <c r="BT117" i="50"/>
  <c r="DD197" i="50"/>
  <c r="J35" i="50"/>
  <c r="AK14" i="50"/>
  <c r="EY119" i="50"/>
  <c r="CI161" i="50"/>
  <c r="DD237" i="50"/>
  <c r="DA167" i="50"/>
  <c r="DD134" i="50"/>
  <c r="BX154" i="50"/>
  <c r="FA124" i="50"/>
  <c r="BT215" i="50"/>
  <c r="AI32" i="50"/>
  <c r="DS235" i="50"/>
  <c r="DT118" i="50"/>
  <c r="FA128" i="50"/>
  <c r="ER231" i="50"/>
  <c r="E196" i="50"/>
  <c r="BP195" i="50"/>
  <c r="ER179" i="50"/>
  <c r="EN203" i="50"/>
  <c r="EY169" i="50"/>
  <c r="J178" i="50"/>
  <c r="AW196" i="50"/>
  <c r="DT84" i="50"/>
  <c r="FA153" i="50"/>
  <c r="CG77" i="50"/>
  <c r="CD141" i="50"/>
  <c r="D175" i="50"/>
  <c r="CS210" i="50"/>
  <c r="AE16" i="26"/>
  <c r="E174" i="50"/>
  <c r="BI174" i="50"/>
  <c r="AP211" i="50"/>
  <c r="K39" i="50"/>
  <c r="EY101" i="50"/>
  <c r="CX111" i="50"/>
  <c r="V197" i="50"/>
  <c r="EK177" i="50"/>
  <c r="BD161" i="50"/>
  <c r="BE141" i="50"/>
  <c r="AM236" i="50"/>
  <c r="CM99" i="50"/>
  <c r="E179" i="50"/>
  <c r="C35" i="50"/>
  <c r="BI193" i="50"/>
  <c r="DF119" i="50"/>
  <c r="CE179" i="50"/>
  <c r="BV115" i="50"/>
  <c r="DB197" i="50"/>
  <c r="CP234" i="50"/>
  <c r="BA236" i="50"/>
  <c r="CF119" i="50"/>
  <c r="EK222" i="50"/>
  <c r="BS140" i="50"/>
  <c r="H233" i="50"/>
  <c r="BS166" i="50"/>
  <c r="BG119" i="50"/>
  <c r="Y29" i="50"/>
  <c r="U59" i="50"/>
  <c r="CN103" i="50"/>
  <c r="CF190" i="50"/>
  <c r="N179" i="50"/>
  <c r="CL211" i="50"/>
  <c r="CN193" i="50"/>
  <c r="CN122" i="50"/>
  <c r="V231" i="50"/>
  <c r="AH226" i="50"/>
  <c r="CJ192" i="50"/>
  <c r="EH125" i="50"/>
  <c r="BA181" i="50"/>
  <c r="FE85" i="50"/>
  <c r="EB171" i="50"/>
  <c r="BC180" i="50"/>
  <c r="DV169" i="50"/>
  <c r="CF96" i="50"/>
  <c r="V227" i="50"/>
  <c r="BE197" i="50"/>
  <c r="DF196" i="50"/>
  <c r="FH92" i="50"/>
  <c r="I193" i="50"/>
  <c r="BT83" i="50"/>
  <c r="EJ111" i="50"/>
  <c r="DQ237" i="50"/>
  <c r="AD33" i="26"/>
  <c r="BI157" i="50"/>
  <c r="D209" i="50"/>
  <c r="BN177" i="50"/>
  <c r="AA48" i="26"/>
  <c r="FH152" i="50"/>
  <c r="FK113" i="50"/>
  <c r="EJ170" i="50"/>
  <c r="CY150" i="50"/>
  <c r="AE144" i="50"/>
  <c r="EZ182" i="50"/>
  <c r="DY224" i="50"/>
  <c r="ES194" i="50"/>
  <c r="I153" i="50"/>
  <c r="EG215" i="50"/>
  <c r="AY208" i="50"/>
  <c r="AC162" i="50"/>
  <c r="EE225" i="50"/>
  <c r="CZ159" i="50"/>
  <c r="DB141" i="50"/>
  <c r="CK144" i="50"/>
  <c r="BM226" i="50"/>
  <c r="DY227" i="50"/>
  <c r="BU168" i="50"/>
  <c r="DV143" i="50"/>
  <c r="CJ173" i="50"/>
  <c r="AG181" i="50"/>
  <c r="AA230" i="50"/>
  <c r="AJ159" i="50"/>
  <c r="CC235" i="50"/>
  <c r="DO214" i="50"/>
  <c r="BO180" i="50"/>
  <c r="DI85" i="50"/>
  <c r="FA77" i="50"/>
  <c r="BI208" i="50"/>
  <c r="BM207" i="50"/>
  <c r="CW95" i="50"/>
  <c r="BW176" i="50"/>
  <c r="W25" i="50"/>
  <c r="DD114" i="50"/>
  <c r="BU80" i="50"/>
  <c r="CG78" i="50"/>
  <c r="G194" i="50"/>
  <c r="FA86" i="50"/>
  <c r="CX216" i="50"/>
  <c r="EU173" i="50"/>
  <c r="CW82" i="50"/>
  <c r="CG170" i="50"/>
  <c r="BD171" i="50"/>
  <c r="AB161" i="50"/>
  <c r="CY155" i="50"/>
  <c r="X143" i="50"/>
  <c r="CX169" i="50"/>
  <c r="EX140" i="50"/>
  <c r="AS227" i="50"/>
  <c r="CC173" i="50"/>
  <c r="DA144" i="50"/>
  <c r="DZ210" i="50"/>
  <c r="DW145" i="50"/>
  <c r="AT160" i="50"/>
  <c r="BT135" i="50"/>
  <c r="EM165" i="50"/>
  <c r="EA236" i="50"/>
  <c r="BG176" i="50"/>
  <c r="DH157" i="50"/>
  <c r="CI194" i="50"/>
  <c r="DA171" i="50"/>
  <c r="AC176" i="50"/>
  <c r="AL156" i="50"/>
  <c r="FD207" i="50"/>
  <c r="AO231" i="50"/>
  <c r="FE168" i="50"/>
  <c r="CR193" i="50"/>
  <c r="CH120" i="50"/>
  <c r="BR167" i="50"/>
  <c r="CF154" i="50"/>
  <c r="EH109" i="50"/>
  <c r="BN155" i="50"/>
  <c r="AU196" i="50"/>
  <c r="EQ173" i="50"/>
  <c r="G227" i="50"/>
  <c r="CN93" i="50"/>
  <c r="EK99" i="50"/>
  <c r="EM201" i="50"/>
  <c r="BA155" i="50"/>
  <c r="BB228" i="50"/>
  <c r="BT234" i="50"/>
  <c r="EZ187" i="50"/>
  <c r="CD128" i="50"/>
  <c r="CE209" i="50"/>
  <c r="T235" i="50"/>
  <c r="Y237" i="50"/>
  <c r="BT177" i="50"/>
  <c r="DI166" i="50"/>
  <c r="FC116" i="50"/>
  <c r="BN237" i="50"/>
  <c r="EU160" i="50"/>
  <c r="DD121" i="50"/>
  <c r="AA20" i="26"/>
  <c r="AB32" i="26"/>
  <c r="CY207" i="50"/>
  <c r="EQ183" i="50"/>
  <c r="AC209" i="50"/>
  <c r="CB195" i="50"/>
  <c r="ED153" i="50"/>
  <c r="BL230" i="50"/>
  <c r="AI25" i="50"/>
  <c r="AD32" i="26"/>
  <c r="BT227" i="50"/>
  <c r="DX140" i="50"/>
  <c r="DF230" i="50"/>
  <c r="BK154" i="50"/>
  <c r="FB229" i="50"/>
  <c r="X159" i="50"/>
  <c r="BN159" i="50"/>
  <c r="AF197" i="50"/>
  <c r="FD159" i="50"/>
  <c r="D161" i="50"/>
  <c r="CK134" i="50"/>
  <c r="EH104" i="50"/>
  <c r="EW233" i="50"/>
  <c r="AX212" i="50"/>
  <c r="FA102" i="50"/>
  <c r="EJ156" i="50"/>
  <c r="DO141" i="50"/>
  <c r="DF137" i="50"/>
  <c r="BD143" i="50"/>
  <c r="AJ65" i="50"/>
  <c r="BD230" i="50"/>
  <c r="CH184" i="50"/>
  <c r="EL234" i="50"/>
  <c r="AX129" i="50"/>
  <c r="ES156" i="50"/>
  <c r="DX210" i="50"/>
  <c r="AG211" i="50"/>
  <c r="BX162" i="50"/>
  <c r="EN205" i="50"/>
  <c r="AI196" i="50"/>
  <c r="X155" i="50"/>
  <c r="CI233" i="50"/>
  <c r="AA158" i="50"/>
  <c r="BV146" i="50"/>
  <c r="CC210" i="50"/>
  <c r="EJ132" i="50"/>
  <c r="BJ229" i="50"/>
  <c r="CI187" i="50"/>
  <c r="DT153" i="50"/>
  <c r="FK152" i="50"/>
  <c r="EJ162" i="50"/>
  <c r="G215" i="50"/>
  <c r="CZ177" i="50"/>
  <c r="DX208" i="50"/>
  <c r="U37" i="50"/>
  <c r="DB180" i="50"/>
  <c r="AZ177" i="50"/>
  <c r="CW111" i="50"/>
  <c r="FA127" i="50"/>
  <c r="EC237" i="50"/>
  <c r="BB213" i="50"/>
  <c r="DV75" i="50"/>
  <c r="FE112" i="50"/>
  <c r="AA33" i="26"/>
  <c r="AK19" i="50"/>
  <c r="DY211" i="50"/>
  <c r="EH157" i="50"/>
  <c r="AE18" i="50"/>
  <c r="AF142" i="50"/>
  <c r="CI199" i="50"/>
  <c r="BJ216" i="50"/>
  <c r="EM172" i="50"/>
  <c r="AD229" i="50"/>
  <c r="DE145" i="50"/>
  <c r="CW105" i="50"/>
  <c r="CU194" i="50"/>
  <c r="CZ182" i="50"/>
  <c r="DW83" i="50"/>
  <c r="DE149" i="50"/>
  <c r="DB230" i="50"/>
  <c r="AA155" i="50"/>
  <c r="DG212" i="50"/>
  <c r="BI226" i="50"/>
  <c r="FF192" i="50"/>
  <c r="DE73" i="50"/>
  <c r="FG119" i="50"/>
  <c r="BG177" i="50"/>
  <c r="CZ115" i="50"/>
  <c r="C162" i="50"/>
  <c r="L224" i="50"/>
  <c r="FC85" i="50"/>
  <c r="DH227" i="50"/>
  <c r="AX182" i="50"/>
  <c r="EE213" i="50"/>
  <c r="DO173" i="50"/>
  <c r="FC161" i="50"/>
  <c r="DD222" i="50"/>
  <c r="Q225" i="50"/>
  <c r="DX147" i="50"/>
  <c r="EY85" i="50"/>
  <c r="CY225" i="50"/>
  <c r="BH211" i="50"/>
  <c r="AG26" i="50"/>
  <c r="FA182" i="50"/>
  <c r="EP97" i="50"/>
  <c r="R233" i="50"/>
  <c r="AW232" i="50"/>
  <c r="DR156" i="50"/>
  <c r="AE44" i="26"/>
  <c r="CX92" i="50"/>
  <c r="FC121" i="50"/>
  <c r="CN183" i="50"/>
  <c r="FG86" i="50"/>
  <c r="J31" i="50"/>
  <c r="BV93" i="50"/>
  <c r="FD191" i="50"/>
  <c r="AL29" i="50"/>
  <c r="BO224" i="50"/>
  <c r="BW142" i="50"/>
  <c r="FA155" i="50"/>
  <c r="AL237" i="50"/>
  <c r="FE79" i="50"/>
  <c r="CN213" i="50"/>
  <c r="DV187" i="50"/>
  <c r="CL111" i="50"/>
  <c r="FE192" i="50"/>
  <c r="DU97" i="50"/>
  <c r="U212" i="50"/>
  <c r="Z29" i="50"/>
  <c r="CI144" i="50"/>
  <c r="DU182" i="50"/>
  <c r="EW236" i="50"/>
  <c r="EF128" i="50"/>
  <c r="X236" i="50"/>
  <c r="AA227" i="50"/>
  <c r="Z53" i="26"/>
  <c r="AH224" i="50"/>
  <c r="DM175" i="50"/>
  <c r="CW226" i="50"/>
  <c r="BC183" i="50"/>
  <c r="AE235" i="50"/>
  <c r="EO118" i="50"/>
  <c r="CZ231" i="50"/>
  <c r="AA182" i="50"/>
  <c r="AE60" i="50"/>
  <c r="BB235" i="50"/>
  <c r="CD212" i="50"/>
  <c r="DD97" i="50"/>
  <c r="DF147" i="50"/>
  <c r="AV142" i="50"/>
  <c r="DH126" i="50"/>
  <c r="AG215" i="50"/>
  <c r="EZ76" i="50"/>
  <c r="AD36" i="26"/>
  <c r="FK141" i="50"/>
  <c r="EQ197" i="50"/>
  <c r="AD38" i="26"/>
  <c r="EW139" i="50"/>
  <c r="BF216" i="50"/>
  <c r="EB198" i="50"/>
  <c r="CG223" i="50"/>
  <c r="EM214" i="50"/>
  <c r="CK77" i="50"/>
  <c r="CL161" i="50"/>
  <c r="CI147" i="50"/>
  <c r="FK229" i="50"/>
  <c r="CN84" i="50"/>
  <c r="DA207" i="50"/>
  <c r="CL117" i="50"/>
  <c r="CY167" i="50"/>
  <c r="DA188" i="50"/>
  <c r="EG173" i="50"/>
  <c r="EP124" i="50"/>
  <c r="DU149" i="50"/>
  <c r="DW184" i="50"/>
  <c r="BC229" i="50"/>
  <c r="EM182" i="50"/>
  <c r="DV74" i="50"/>
  <c r="EU143" i="50"/>
  <c r="DE170" i="50"/>
  <c r="DU91" i="50"/>
  <c r="BO158" i="50"/>
  <c r="P215" i="50"/>
  <c r="AX232" i="50"/>
  <c r="FG79" i="50"/>
  <c r="H228" i="50"/>
  <c r="CM90" i="50"/>
  <c r="AA139" i="50"/>
  <c r="DU223" i="50"/>
  <c r="FD201" i="50"/>
  <c r="DI157" i="50"/>
  <c r="EM237" i="50"/>
  <c r="BG165" i="50"/>
  <c r="ES214" i="50"/>
  <c r="DT219" i="50"/>
  <c r="AD224" i="50"/>
  <c r="AW197" i="50"/>
  <c r="BC141" i="50"/>
  <c r="EV232" i="50"/>
  <c r="BJ193" i="50"/>
  <c r="CK106" i="50"/>
  <c r="AG19" i="50"/>
  <c r="CZ112" i="50"/>
  <c r="DC142" i="50"/>
  <c r="BR161" i="50"/>
  <c r="CS178" i="50"/>
  <c r="DT114" i="50"/>
  <c r="CL85" i="50"/>
  <c r="R62" i="50"/>
  <c r="AK17" i="50"/>
  <c r="DW164" i="50"/>
  <c r="FC202" i="50"/>
  <c r="CH147" i="50"/>
  <c r="DB179" i="50"/>
  <c r="EI159" i="50"/>
  <c r="DE102" i="50"/>
  <c r="DB217" i="50"/>
  <c r="FC86" i="50"/>
  <c r="Z64" i="50"/>
  <c r="EH108" i="50"/>
  <c r="AO233" i="50"/>
  <c r="DW147" i="50"/>
  <c r="F198" i="50"/>
  <c r="DA147" i="50"/>
  <c r="DB96" i="50"/>
  <c r="ET160" i="50"/>
  <c r="K34" i="50"/>
  <c r="CG213" i="50"/>
  <c r="L143" i="50"/>
  <c r="DA194" i="50"/>
  <c r="ED157" i="50"/>
  <c r="BC235" i="50"/>
  <c r="H140" i="50"/>
  <c r="EY236" i="50"/>
  <c r="BS115" i="50"/>
  <c r="D216" i="50"/>
  <c r="BO155" i="50"/>
  <c r="T181" i="50"/>
  <c r="DC165" i="50"/>
  <c r="AO213" i="50"/>
  <c r="FE76" i="50"/>
  <c r="CI182" i="50"/>
  <c r="P159" i="50"/>
  <c r="DH113" i="50"/>
  <c r="AQ233" i="50"/>
  <c r="O212" i="50"/>
  <c r="R229" i="50"/>
  <c r="AR198" i="50"/>
  <c r="DG139" i="50"/>
  <c r="DX74" i="50"/>
  <c r="AM234" i="50"/>
  <c r="FF128" i="50"/>
  <c r="CI122" i="50"/>
  <c r="BH224" i="50"/>
  <c r="AI128" i="50"/>
  <c r="X196" i="50"/>
  <c r="AQ182" i="50"/>
  <c r="ES139" i="50"/>
  <c r="EJ136" i="50"/>
  <c r="EH146" i="50"/>
  <c r="DF99" i="50"/>
  <c r="CW92" i="50"/>
  <c r="FK133" i="50"/>
  <c r="DI116" i="50"/>
  <c r="DE215" i="50"/>
  <c r="CF160" i="50"/>
  <c r="I31" i="50"/>
  <c r="AU129" i="50"/>
  <c r="DP210" i="50"/>
  <c r="AA36" i="26"/>
  <c r="FD236" i="50"/>
  <c r="CF194" i="50"/>
  <c r="CA154" i="50"/>
  <c r="DB168" i="50"/>
  <c r="AK26" i="50"/>
  <c r="BK129" i="50"/>
  <c r="CK163" i="50"/>
  <c r="CF143" i="50"/>
  <c r="CX185" i="50"/>
  <c r="BF196" i="50"/>
  <c r="BA159" i="50"/>
  <c r="CM178" i="50"/>
  <c r="EG211" i="50"/>
  <c r="AH47" i="50"/>
  <c r="I196" i="50"/>
  <c r="AQ157" i="50"/>
  <c r="DW128" i="50"/>
  <c r="BT145" i="50"/>
  <c r="BV138" i="50"/>
  <c r="AE162" i="50"/>
  <c r="EZ100" i="50"/>
  <c r="DC87" i="50"/>
  <c r="BO215" i="50"/>
  <c r="CJ165" i="50"/>
  <c r="FF216" i="50"/>
  <c r="AJ25" i="50"/>
  <c r="AA38" i="26"/>
  <c r="DY171" i="50"/>
  <c r="FJ179" i="50"/>
  <c r="EZ236" i="50"/>
  <c r="J177" i="50"/>
  <c r="BU90" i="50"/>
  <c r="EP223" i="50"/>
  <c r="AA31" i="26"/>
  <c r="M179" i="50"/>
  <c r="Z198" i="50"/>
  <c r="K35" i="50"/>
  <c r="EH95" i="50"/>
  <c r="AK33" i="50"/>
  <c r="EI173" i="50"/>
  <c r="AE140" i="50"/>
  <c r="FA216" i="50"/>
  <c r="CX120" i="50"/>
  <c r="CG83" i="50"/>
  <c r="BD226" i="50"/>
  <c r="DV120" i="50"/>
  <c r="EL111" i="50"/>
  <c r="DW92" i="50"/>
  <c r="EY120" i="50"/>
  <c r="DV104" i="50"/>
  <c r="DN233" i="50"/>
  <c r="I128" i="50"/>
  <c r="DT137" i="50"/>
  <c r="EE170" i="50"/>
  <c r="CG175" i="50"/>
  <c r="DW180" i="50"/>
  <c r="BR96" i="50"/>
  <c r="EM209" i="50"/>
  <c r="D237" i="50"/>
  <c r="BV234" i="50"/>
  <c r="EL236" i="50"/>
  <c r="DP160" i="50"/>
  <c r="CK203" i="50"/>
  <c r="EU234" i="50"/>
  <c r="BT192" i="50"/>
  <c r="I178" i="50"/>
  <c r="CT214" i="50"/>
  <c r="G141" i="50"/>
  <c r="CD237" i="50"/>
  <c r="O153" i="50"/>
  <c r="CH167" i="50"/>
  <c r="EX144" i="50"/>
  <c r="AC15" i="26"/>
  <c r="CT234" i="50"/>
  <c r="K174" i="50"/>
  <c r="EJ148" i="50"/>
  <c r="DY175" i="50"/>
  <c r="Y211" i="50"/>
  <c r="FJ188" i="50"/>
  <c r="CG136" i="50"/>
  <c r="FK190" i="50"/>
  <c r="BR92" i="50"/>
  <c r="BQ179" i="50"/>
  <c r="I140" i="50"/>
  <c r="CJ220" i="50"/>
  <c r="S215" i="50"/>
  <c r="FF141" i="50"/>
  <c r="FA173" i="50"/>
  <c r="DM154" i="50"/>
  <c r="AD154" i="50"/>
  <c r="AM34" i="50"/>
  <c r="ET228" i="50"/>
  <c r="DQ225" i="50"/>
  <c r="FC111" i="50"/>
  <c r="AS214" i="50"/>
  <c r="CR129" i="50"/>
  <c r="EY203" i="50"/>
  <c r="AK30" i="50"/>
  <c r="EN184" i="50"/>
  <c r="CY143" i="50"/>
  <c r="AC32" i="50"/>
  <c r="CZ127" i="50"/>
  <c r="DJ216" i="50"/>
  <c r="BE225" i="50"/>
  <c r="DF106" i="50"/>
  <c r="AC21" i="26"/>
  <c r="CW129" i="50"/>
  <c r="AQ183" i="50"/>
  <c r="DR215" i="50"/>
  <c r="BG193" i="50"/>
  <c r="EL183" i="50"/>
  <c r="CI80" i="50"/>
  <c r="DS158" i="50"/>
  <c r="DJ181" i="50"/>
  <c r="EZ112" i="50"/>
  <c r="Y170" i="50"/>
  <c r="EJ117" i="50"/>
  <c r="DF88" i="50"/>
  <c r="BL170" i="50"/>
  <c r="BU125" i="50"/>
  <c r="N128" i="50"/>
  <c r="EI231" i="50"/>
  <c r="EZ146" i="50"/>
  <c r="BX235" i="50"/>
  <c r="DD145" i="50"/>
  <c r="AB13" i="26"/>
  <c r="DV89" i="50"/>
  <c r="CY133" i="50"/>
  <c r="EF140" i="50"/>
  <c r="DX136" i="50"/>
  <c r="EJ86" i="50"/>
  <c r="EF193" i="50"/>
  <c r="DC162" i="50"/>
  <c r="AJ173" i="50"/>
  <c r="FB130" i="50"/>
  <c r="N232" i="50"/>
  <c r="BO213" i="50"/>
  <c r="FJ156" i="50"/>
  <c r="EX180" i="50"/>
  <c r="FA159" i="50"/>
  <c r="DN183" i="50"/>
  <c r="FJ75" i="50"/>
  <c r="CZ167" i="50"/>
  <c r="CT159" i="50"/>
  <c r="FA83" i="50"/>
  <c r="CE224" i="50"/>
  <c r="BC177" i="50"/>
  <c r="DU104" i="50"/>
  <c r="DK177" i="50"/>
  <c r="CI208" i="50"/>
  <c r="AZ139" i="50"/>
  <c r="AO156" i="50"/>
  <c r="DC156" i="50"/>
  <c r="BJ228" i="50"/>
  <c r="FF199" i="50"/>
  <c r="AM128" i="50"/>
  <c r="BT184" i="50"/>
  <c r="DB125" i="50"/>
  <c r="DS180" i="50"/>
  <c r="CR233" i="50"/>
  <c r="P210" i="50"/>
  <c r="AM179" i="50"/>
  <c r="DG231" i="50"/>
  <c r="BS173" i="50"/>
  <c r="CX163" i="50"/>
  <c r="FB158" i="50"/>
  <c r="EL124" i="50"/>
  <c r="CW190" i="50"/>
  <c r="AK226" i="50"/>
  <c r="DE75" i="50"/>
  <c r="CN145" i="50"/>
  <c r="CM74" i="50"/>
  <c r="DD217" i="50"/>
  <c r="AE28" i="50"/>
  <c r="BS168" i="50"/>
  <c r="BS156" i="50"/>
  <c r="DC182" i="50"/>
  <c r="CZ214" i="50"/>
  <c r="EZ116" i="50"/>
  <c r="EH194" i="50"/>
  <c r="V60" i="50"/>
  <c r="EJ202" i="50"/>
  <c r="CO193" i="50"/>
  <c r="FF163" i="50"/>
  <c r="DW74" i="50"/>
  <c r="CY236" i="50"/>
  <c r="CM121" i="50"/>
  <c r="P154" i="50"/>
  <c r="DE80" i="50"/>
  <c r="BX224" i="50"/>
  <c r="DH96" i="50"/>
  <c r="DI105" i="50"/>
  <c r="DB215" i="50"/>
  <c r="DF129" i="50"/>
  <c r="BR196" i="50"/>
  <c r="EP210" i="50"/>
  <c r="BR125" i="50"/>
  <c r="EW128" i="50"/>
  <c r="DG131" i="50"/>
  <c r="EI217" i="50"/>
  <c r="DZ237" i="50"/>
  <c r="BK197" i="50"/>
  <c r="DV148" i="50"/>
  <c r="BZ198" i="50"/>
  <c r="DO215" i="50"/>
  <c r="CJ130" i="50"/>
  <c r="EE140" i="50"/>
  <c r="EE159" i="50"/>
  <c r="EH212" i="50"/>
  <c r="CN128" i="50"/>
  <c r="AH33" i="50"/>
  <c r="AL44" i="50"/>
  <c r="DQ198" i="50"/>
  <c r="FG233" i="50"/>
  <c r="DG157" i="50"/>
  <c r="BT206" i="50"/>
  <c r="DN224" i="50"/>
  <c r="FB203" i="50"/>
  <c r="G193" i="50"/>
  <c r="AJ56" i="50"/>
  <c r="BU120" i="50"/>
  <c r="DQ173" i="50"/>
  <c r="FE218" i="50"/>
  <c r="BF198" i="50"/>
  <c r="AI153" i="50"/>
  <c r="BA128" i="50"/>
  <c r="CM161" i="50"/>
  <c r="FJ92" i="50"/>
  <c r="EI101" i="50"/>
  <c r="DC131" i="50"/>
  <c r="AG53" i="50"/>
  <c r="X144" i="50"/>
  <c r="EY186" i="50"/>
  <c r="AA19" i="50"/>
  <c r="BT232" i="50"/>
  <c r="CE207" i="50"/>
  <c r="AR208" i="50"/>
  <c r="EU153" i="50"/>
  <c r="EP159" i="50"/>
  <c r="EK100" i="50"/>
  <c r="AE195" i="50"/>
  <c r="K175" i="50"/>
  <c r="BL194" i="50"/>
  <c r="M233" i="50"/>
  <c r="DB75" i="50"/>
  <c r="AD210" i="50"/>
  <c r="FE73" i="50"/>
  <c r="Z42" i="26"/>
  <c r="DC152" i="50"/>
  <c r="BV193" i="50"/>
  <c r="K232" i="50"/>
  <c r="CK162" i="50"/>
  <c r="CN172" i="50"/>
  <c r="AR154" i="50"/>
  <c r="AG52" i="50"/>
  <c r="BW224" i="50"/>
  <c r="AG59" i="50"/>
  <c r="K30" i="50"/>
  <c r="DW207" i="50"/>
  <c r="AG214" i="50"/>
  <c r="EH111" i="50"/>
  <c r="AH181" i="50"/>
  <c r="BU215" i="50"/>
  <c r="BM172" i="50"/>
  <c r="R141" i="50"/>
  <c r="CH207" i="50"/>
  <c r="BC179" i="50"/>
  <c r="BL210" i="50"/>
  <c r="CK86" i="50"/>
  <c r="DX75" i="50"/>
  <c r="CG169" i="50"/>
  <c r="FF87" i="50"/>
  <c r="EG180" i="50"/>
  <c r="D211" i="50"/>
  <c r="EA181" i="50"/>
  <c r="EK227" i="50"/>
  <c r="FE90" i="50"/>
  <c r="O224" i="50"/>
  <c r="AS208" i="50"/>
  <c r="FI135" i="50"/>
  <c r="BZ161" i="50"/>
  <c r="DQ230" i="50"/>
  <c r="FB102" i="50"/>
  <c r="BS200" i="50"/>
  <c r="AA35" i="50"/>
  <c r="EB208" i="50"/>
  <c r="AF143" i="50"/>
  <c r="CC153" i="50"/>
  <c r="ET177" i="50"/>
  <c r="W159" i="50"/>
  <c r="Z155" i="50"/>
  <c r="DI74" i="50"/>
  <c r="AF214" i="50"/>
  <c r="DK159" i="50"/>
  <c r="FC146" i="50"/>
  <c r="EY126" i="50"/>
  <c r="BX237" i="50"/>
  <c r="AT215" i="50"/>
  <c r="L213" i="50"/>
  <c r="AJ229" i="50"/>
  <c r="CV216" i="50"/>
  <c r="X179" i="50"/>
  <c r="FD151" i="50"/>
  <c r="FC123" i="50"/>
  <c r="CM107" i="50"/>
  <c r="K226" i="50"/>
  <c r="DX172" i="50"/>
  <c r="FG217" i="50"/>
  <c r="ED144" i="50"/>
  <c r="BC214" i="50"/>
  <c r="H161" i="50"/>
  <c r="FD116" i="50"/>
  <c r="FA85" i="50"/>
  <c r="EO220" i="50"/>
  <c r="EK176" i="50"/>
  <c r="AD197" i="50"/>
  <c r="CI111" i="50"/>
  <c r="F41" i="50"/>
  <c r="FK114" i="50"/>
  <c r="CU180" i="50"/>
  <c r="AB45" i="26"/>
  <c r="BG208" i="50"/>
  <c r="CH98" i="50"/>
  <c r="EJ194" i="50"/>
  <c r="CJ109" i="50"/>
  <c r="AW214" i="50"/>
  <c r="AY229" i="50"/>
  <c r="EJ77" i="50"/>
  <c r="CA141" i="50"/>
  <c r="DG120" i="50"/>
  <c r="AN228" i="50"/>
  <c r="CW208" i="50"/>
  <c r="DG150" i="50"/>
  <c r="CI154" i="50"/>
  <c r="CF223" i="50"/>
  <c r="BW157" i="50"/>
  <c r="BQ175" i="50"/>
  <c r="EZ166" i="50"/>
  <c r="CR144" i="50"/>
  <c r="FI194" i="50"/>
  <c r="AN196" i="50"/>
  <c r="EV176" i="50"/>
  <c r="CB170" i="50"/>
  <c r="DM231" i="50"/>
  <c r="DU76" i="50"/>
  <c r="DC113" i="50"/>
  <c r="DO212" i="50"/>
  <c r="X25" i="50"/>
  <c r="CL184" i="50"/>
  <c r="AF158" i="50"/>
  <c r="FD164" i="50"/>
  <c r="DE118" i="50"/>
  <c r="AH235" i="50"/>
  <c r="ES179" i="50"/>
  <c r="EH232" i="50"/>
  <c r="BT158" i="50"/>
  <c r="AO236" i="50"/>
  <c r="CS235" i="50"/>
  <c r="EV162" i="50"/>
  <c r="H175" i="50"/>
  <c r="DV109" i="50"/>
  <c r="DF73" i="50"/>
  <c r="BY141" i="50"/>
  <c r="DD131" i="50"/>
  <c r="FC222" i="50"/>
  <c r="BF237" i="50"/>
  <c r="BU103" i="50"/>
  <c r="AH48" i="50"/>
  <c r="CA211" i="50"/>
  <c r="CF125" i="50"/>
  <c r="AJ224" i="50"/>
  <c r="CU173" i="50"/>
  <c r="DW188" i="50"/>
  <c r="AK229" i="50"/>
  <c r="EA216" i="50"/>
  <c r="AK212" i="50"/>
  <c r="EJ75" i="50"/>
  <c r="FI190" i="50"/>
  <c r="AR160" i="50"/>
  <c r="DZ179" i="50"/>
  <c r="E195" i="50"/>
  <c r="CV193" i="50"/>
  <c r="EN106" i="50"/>
  <c r="CH111" i="50"/>
  <c r="BB237" i="50"/>
  <c r="EN194" i="50"/>
  <c r="FB103" i="50"/>
  <c r="DC74" i="50"/>
  <c r="FJ200" i="50"/>
  <c r="BP198" i="50"/>
  <c r="EZ172" i="50"/>
  <c r="ED227" i="50"/>
  <c r="BG78" i="50"/>
  <c r="ER176" i="50"/>
  <c r="FI102" i="50"/>
  <c r="DQ213" i="50"/>
  <c r="AE53" i="26"/>
  <c r="CI214" i="50"/>
  <c r="EY146" i="50"/>
  <c r="CH169" i="50"/>
  <c r="EM157" i="50"/>
  <c r="DD88" i="50"/>
  <c r="I215" i="50"/>
  <c r="CR195" i="50"/>
  <c r="DD92" i="50"/>
  <c r="DC115" i="50"/>
  <c r="FH122" i="50"/>
  <c r="BU93" i="50"/>
  <c r="BR126" i="50"/>
  <c r="BT94" i="50"/>
  <c r="CN233" i="50"/>
  <c r="BE236" i="50"/>
  <c r="DH205" i="50"/>
  <c r="H224" i="50"/>
  <c r="FI128" i="50"/>
  <c r="CF155" i="50"/>
  <c r="EU129" i="50"/>
  <c r="CM95" i="50"/>
  <c r="DX96" i="50"/>
  <c r="FG114" i="50"/>
  <c r="DG225" i="50"/>
  <c r="FE166" i="50"/>
  <c r="BK234" i="50"/>
  <c r="CW166" i="50"/>
  <c r="BR168" i="50"/>
  <c r="X65" i="50"/>
  <c r="BJ180" i="50"/>
  <c r="BK236" i="50"/>
  <c r="CY168" i="50"/>
  <c r="FK199" i="50"/>
  <c r="CW130" i="50"/>
  <c r="CK231" i="50"/>
  <c r="FA152" i="50"/>
  <c r="U198" i="50"/>
  <c r="AR215" i="50"/>
  <c r="X128" i="50"/>
  <c r="EC227" i="50"/>
  <c r="BL176" i="50"/>
  <c r="CK188" i="50"/>
  <c r="AD47" i="26"/>
  <c r="FF165" i="50"/>
  <c r="EK216" i="50"/>
  <c r="DH73" i="50"/>
  <c r="FF88" i="50"/>
  <c r="BW195" i="50"/>
  <c r="CQ232" i="50"/>
  <c r="DW80" i="50"/>
  <c r="DK142" i="50"/>
  <c r="EO207" i="50"/>
  <c r="AZ208" i="50"/>
  <c r="DI151" i="50"/>
  <c r="BA153" i="50"/>
  <c r="M158" i="50"/>
  <c r="DB181" i="50"/>
  <c r="EJ195" i="50"/>
  <c r="CX174" i="50"/>
  <c r="AD65" i="50"/>
  <c r="EO187" i="50"/>
  <c r="FA79" i="50"/>
  <c r="EF177" i="50"/>
  <c r="EL173" i="50"/>
  <c r="AD159" i="50"/>
  <c r="CX183" i="50"/>
  <c r="DY176" i="50"/>
  <c r="DS212" i="50"/>
  <c r="BR217" i="50"/>
  <c r="CW117" i="50"/>
  <c r="EZ121" i="50"/>
  <c r="DX73" i="50"/>
  <c r="EO175" i="50"/>
  <c r="DW208" i="50"/>
  <c r="D142" i="50"/>
  <c r="EJ100" i="50"/>
  <c r="O182" i="50"/>
  <c r="EV140" i="50"/>
  <c r="EX194" i="50"/>
  <c r="H182" i="50"/>
  <c r="DR158" i="50"/>
  <c r="CN175" i="50"/>
  <c r="EG212" i="50"/>
  <c r="R234" i="50"/>
  <c r="AN183" i="50"/>
  <c r="CW140" i="50"/>
  <c r="EN223" i="50"/>
  <c r="CA129" i="50"/>
  <c r="DX200" i="50"/>
  <c r="DA125" i="50"/>
  <c r="BB154" i="50"/>
  <c r="EP128" i="50"/>
  <c r="CL216" i="50"/>
  <c r="DT182" i="50"/>
  <c r="BJ237" i="50"/>
  <c r="FA75" i="50"/>
  <c r="DV114" i="50"/>
  <c r="BC211" i="50"/>
  <c r="BN198" i="50"/>
  <c r="AC161" i="50"/>
  <c r="BV89" i="50"/>
  <c r="AB174" i="50"/>
  <c r="DH92" i="50"/>
  <c r="DP172" i="50"/>
  <c r="EZ220" i="50"/>
  <c r="BE179" i="50"/>
  <c r="CI78" i="50"/>
  <c r="EO108" i="50"/>
  <c r="CV180" i="50"/>
  <c r="DI107" i="50"/>
  <c r="EZ178" i="50"/>
  <c r="AA154" i="50"/>
  <c r="FJ105" i="50"/>
  <c r="AR211" i="50"/>
  <c r="CF183" i="50"/>
  <c r="BS219" i="50"/>
  <c r="U181" i="50"/>
  <c r="AB213" i="50"/>
  <c r="CX139" i="50"/>
  <c r="CT198" i="50"/>
  <c r="EP142" i="50"/>
  <c r="M235" i="50"/>
  <c r="EK164" i="50"/>
  <c r="CG93" i="50"/>
  <c r="CJ113" i="50"/>
  <c r="FH126" i="50"/>
  <c r="DE122" i="50"/>
  <c r="AR170" i="50"/>
  <c r="P230" i="50"/>
  <c r="BT194" i="50"/>
  <c r="AD235" i="50"/>
  <c r="DL181" i="50"/>
  <c r="CB197" i="50"/>
  <c r="F183" i="50"/>
  <c r="BH142" i="50"/>
  <c r="BM170" i="50"/>
  <c r="BV213" i="50"/>
  <c r="EH198" i="50"/>
  <c r="FI100" i="50"/>
  <c r="DR224" i="50"/>
  <c r="BR149" i="50"/>
  <c r="FC196" i="50"/>
  <c r="T229" i="50"/>
  <c r="S141" i="50"/>
  <c r="DI189" i="50"/>
  <c r="EA180" i="50"/>
  <c r="FE124" i="50"/>
  <c r="DX168" i="50"/>
  <c r="FJ227" i="50"/>
  <c r="Y171" i="50"/>
  <c r="DN232" i="50"/>
  <c r="EK218" i="50"/>
  <c r="L226" i="50"/>
  <c r="EN230" i="50"/>
  <c r="CZ225" i="50"/>
  <c r="AS226" i="50"/>
  <c r="BX140" i="50"/>
  <c r="AL196" i="50"/>
  <c r="DA232" i="50"/>
  <c r="AG171" i="50"/>
  <c r="FA119" i="50"/>
  <c r="FI203" i="50"/>
  <c r="AH228" i="50"/>
  <c r="DC176" i="50"/>
  <c r="DC221" i="50"/>
  <c r="BS175" i="50"/>
  <c r="EH141" i="50"/>
  <c r="EY142" i="50"/>
  <c r="AK224" i="50"/>
  <c r="EK133" i="50"/>
  <c r="Y198" i="50"/>
  <c r="AZ128" i="50"/>
  <c r="FB139" i="50"/>
  <c r="BI182" i="50"/>
  <c r="BC232" i="50"/>
  <c r="M40" i="50"/>
  <c r="DM172" i="50"/>
  <c r="AS153" i="50"/>
  <c r="N229" i="50"/>
  <c r="FF209" i="50"/>
  <c r="EY86" i="50"/>
  <c r="EA213" i="50"/>
  <c r="DS214" i="50"/>
  <c r="AC13" i="26"/>
  <c r="CX160" i="50"/>
  <c r="BG104" i="50"/>
  <c r="FG216" i="50"/>
  <c r="DG172" i="50"/>
  <c r="Q214" i="50"/>
  <c r="CM169" i="50"/>
  <c r="BC198" i="50"/>
  <c r="Q216" i="50"/>
  <c r="FA186" i="50"/>
  <c r="EJ230" i="50"/>
  <c r="EP176" i="50"/>
  <c r="DH226" i="50"/>
  <c r="EZ79" i="50"/>
  <c r="FF225" i="50"/>
  <c r="AK197" i="50"/>
  <c r="DS178" i="50"/>
  <c r="Y142" i="50"/>
  <c r="AV183" i="50"/>
  <c r="CF128" i="50"/>
  <c r="U153" i="50"/>
  <c r="E40" i="50"/>
  <c r="DB139" i="50"/>
  <c r="DC100" i="50"/>
  <c r="W227" i="50"/>
  <c r="FD154" i="50"/>
  <c r="FK87" i="50"/>
  <c r="T153" i="50"/>
  <c r="L144" i="50"/>
  <c r="F142" i="50"/>
  <c r="AE211" i="50"/>
  <c r="AL197" i="50"/>
  <c r="BS101" i="50"/>
  <c r="EO176" i="50"/>
  <c r="AU213" i="50"/>
  <c r="DB185" i="50"/>
  <c r="K143" i="50"/>
  <c r="AX176" i="50"/>
  <c r="CH185" i="50"/>
  <c r="CJ234" i="50"/>
  <c r="CN74" i="50"/>
  <c r="FF219" i="50"/>
  <c r="N215" i="50"/>
  <c r="AY209" i="50"/>
  <c r="CK222" i="50"/>
  <c r="BV189" i="50"/>
  <c r="AJ52" i="50"/>
  <c r="CX164" i="50"/>
  <c r="DF222" i="50"/>
  <c r="DB150" i="50"/>
  <c r="CW120" i="50"/>
  <c r="N171" i="50"/>
  <c r="AD156" i="50"/>
  <c r="DU218" i="50"/>
  <c r="DA135" i="50"/>
  <c r="EZ104" i="50"/>
  <c r="DY225" i="50"/>
  <c r="P182" i="50"/>
  <c r="EI132" i="50"/>
  <c r="FC187" i="50"/>
  <c r="EZ188" i="50"/>
  <c r="FK202" i="50"/>
  <c r="EL81" i="50"/>
  <c r="EO110" i="50"/>
  <c r="CD193" i="50"/>
  <c r="CL229" i="50"/>
  <c r="EZ91" i="50"/>
  <c r="DC203" i="50"/>
  <c r="DE77" i="50"/>
  <c r="FB90" i="50"/>
  <c r="DA93" i="50"/>
  <c r="CJ216" i="50"/>
  <c r="FG214" i="50"/>
  <c r="FK173" i="50"/>
  <c r="BT187" i="50"/>
  <c r="BU83" i="50"/>
  <c r="EI122" i="50"/>
  <c r="FH82" i="50"/>
  <c r="CF191" i="50"/>
  <c r="ES174" i="50"/>
  <c r="C174" i="50"/>
  <c r="EK93" i="50"/>
  <c r="DU214" i="50"/>
  <c r="AL144" i="50"/>
  <c r="CJ159" i="50"/>
  <c r="FF184" i="50"/>
  <c r="DA122" i="50"/>
  <c r="EM130" i="50"/>
  <c r="DP214" i="50"/>
  <c r="EJ235" i="50"/>
  <c r="F232" i="50"/>
  <c r="EN151" i="50"/>
  <c r="DH142" i="50"/>
  <c r="CM171" i="50"/>
  <c r="AJ128" i="50"/>
  <c r="FF231" i="50"/>
  <c r="CM79" i="50"/>
  <c r="CU144" i="50"/>
  <c r="EX224" i="50"/>
  <c r="DF94" i="50"/>
  <c r="EL119" i="50"/>
  <c r="DX135" i="50"/>
  <c r="EY171" i="50"/>
  <c r="DD202" i="50"/>
  <c r="FI125" i="50"/>
  <c r="AR231" i="50"/>
  <c r="CH164" i="50"/>
  <c r="Y234" i="50"/>
  <c r="O177" i="50"/>
  <c r="CN117" i="50"/>
  <c r="DW165" i="50"/>
  <c r="FF190" i="50"/>
  <c r="AH176" i="50"/>
  <c r="BV77" i="50"/>
  <c r="BC207" i="50"/>
  <c r="EI100" i="50"/>
  <c r="FI234" i="50"/>
  <c r="EY198" i="50"/>
  <c r="CG191" i="50"/>
  <c r="CU213" i="50"/>
  <c r="J236" i="50"/>
  <c r="FC166" i="50"/>
  <c r="AX207" i="50"/>
  <c r="Z43" i="26"/>
  <c r="DF109" i="50"/>
  <c r="EA176" i="50"/>
  <c r="Q215" i="50"/>
  <c r="EL129" i="50"/>
  <c r="DT111" i="50"/>
  <c r="FJ132" i="50"/>
  <c r="CU175" i="50"/>
  <c r="Z214" i="50"/>
  <c r="FC124" i="50"/>
  <c r="BY143" i="50"/>
  <c r="C157" i="50"/>
  <c r="BC143" i="50"/>
  <c r="EE157" i="50"/>
  <c r="CD235" i="50"/>
  <c r="DI170" i="50"/>
  <c r="FK216" i="50"/>
  <c r="AG23" i="50"/>
  <c r="AO194" i="50"/>
  <c r="DG107" i="50"/>
  <c r="FB189" i="50"/>
  <c r="CF99" i="50"/>
  <c r="DV91" i="50"/>
  <c r="BB142" i="50"/>
  <c r="CE195" i="50"/>
  <c r="FF236" i="50"/>
  <c r="DF120" i="50"/>
  <c r="EC128" i="50"/>
  <c r="P143" i="50"/>
  <c r="AE34" i="50"/>
  <c r="ED142" i="50"/>
  <c r="FF120" i="50"/>
  <c r="P234" i="50"/>
  <c r="AZ140" i="50"/>
  <c r="ET237" i="50"/>
  <c r="CL134" i="50"/>
  <c r="M197" i="50"/>
  <c r="BV141" i="50"/>
  <c r="FJ231" i="50"/>
  <c r="AI177" i="50"/>
  <c r="CF149" i="50"/>
  <c r="DV213" i="50"/>
  <c r="BR94" i="50"/>
  <c r="EN152" i="50"/>
  <c r="CB231" i="50"/>
  <c r="CI166" i="50"/>
  <c r="T198" i="50"/>
  <c r="CX146" i="50"/>
  <c r="AY158" i="50"/>
  <c r="FH181" i="50"/>
  <c r="EJ159" i="50"/>
  <c r="CW209" i="50"/>
  <c r="CF217" i="50"/>
  <c r="AN207" i="50"/>
  <c r="AG31" i="50"/>
  <c r="EM176" i="50"/>
  <c r="DA101" i="50"/>
  <c r="AA180" i="50"/>
  <c r="BF175" i="50"/>
  <c r="CR215" i="50"/>
  <c r="DU138" i="50"/>
  <c r="BG163" i="50"/>
  <c r="FI237" i="50"/>
  <c r="Z227" i="50"/>
  <c r="DU82" i="50"/>
  <c r="F35" i="50"/>
  <c r="F208" i="50"/>
  <c r="CI113" i="50"/>
  <c r="FH232" i="50"/>
  <c r="BR186" i="50"/>
  <c r="AY160" i="50"/>
  <c r="AY227" i="50"/>
  <c r="CA225" i="50"/>
  <c r="FD237" i="50"/>
  <c r="EJ74" i="50"/>
  <c r="DG73" i="50"/>
  <c r="DB85" i="50"/>
  <c r="CW215" i="50"/>
  <c r="EZ103" i="50"/>
  <c r="AP160" i="50"/>
  <c r="BB174" i="50"/>
  <c r="CI230" i="50"/>
  <c r="BG114" i="50"/>
  <c r="AA46" i="26"/>
  <c r="I30" i="50"/>
  <c r="DD133" i="50"/>
  <c r="EH186" i="50"/>
  <c r="BU131" i="50"/>
  <c r="DV140" i="50"/>
  <c r="CG192" i="50"/>
  <c r="AX210" i="50"/>
  <c r="K215" i="50"/>
  <c r="DX219" i="50"/>
  <c r="CB157" i="50"/>
  <c r="BB177" i="50"/>
  <c r="CL220" i="50"/>
  <c r="AL141" i="50"/>
  <c r="CE158" i="50"/>
  <c r="DF141" i="50"/>
  <c r="BG166" i="50"/>
  <c r="DA231" i="50"/>
  <c r="DL237" i="50"/>
  <c r="EM162" i="50"/>
  <c r="I230" i="50"/>
  <c r="CZ211" i="50"/>
  <c r="DP226" i="50"/>
  <c r="CH237" i="50"/>
  <c r="EK181" i="50"/>
  <c r="BI224" i="50"/>
  <c r="AQ232" i="50"/>
  <c r="BB183" i="50"/>
  <c r="ED174" i="50"/>
  <c r="CH134" i="50"/>
  <c r="CS155" i="50"/>
  <c r="FG104" i="50"/>
  <c r="J142" i="50"/>
  <c r="DF169" i="50"/>
  <c r="EZ127" i="50"/>
  <c r="BT186" i="50"/>
  <c r="AM143" i="50"/>
  <c r="CC161" i="50"/>
  <c r="FB126" i="50"/>
  <c r="EA197" i="50"/>
  <c r="CS212" i="50"/>
  <c r="EO85" i="50"/>
  <c r="AY179" i="50"/>
  <c r="EL193" i="50"/>
  <c r="FF150" i="50"/>
  <c r="CJ153" i="50"/>
  <c r="CK74" i="50"/>
  <c r="EP171" i="50"/>
  <c r="DT156" i="50"/>
  <c r="CZ106" i="50"/>
  <c r="BA141" i="50"/>
  <c r="FG77" i="50"/>
  <c r="DD192" i="50"/>
  <c r="R198" i="50"/>
  <c r="AY172" i="50"/>
  <c r="DW97" i="50"/>
  <c r="CS158" i="50"/>
  <c r="BS122" i="50"/>
  <c r="EL222" i="50"/>
  <c r="DN193" i="50"/>
  <c r="CE215" i="50"/>
  <c r="BM128" i="50"/>
  <c r="AQ224" i="50"/>
  <c r="EN116" i="50"/>
  <c r="BP175" i="50"/>
  <c r="EV214" i="50"/>
  <c r="AE34" i="26"/>
  <c r="EC153" i="50"/>
  <c r="EY192" i="50"/>
  <c r="CI168" i="50"/>
  <c r="DD188" i="50"/>
  <c r="EP213" i="50"/>
  <c r="DE94" i="50"/>
  <c r="CD194" i="50"/>
  <c r="EL186" i="50"/>
  <c r="EW216" i="50"/>
  <c r="CZ204" i="50"/>
  <c r="EL85" i="50"/>
  <c r="U142" i="50"/>
  <c r="FI75" i="50"/>
  <c r="M231" i="50"/>
  <c r="F153" i="50"/>
  <c r="U155" i="50"/>
  <c r="P180" i="50"/>
  <c r="CN221" i="50"/>
  <c r="Y224" i="50"/>
  <c r="BB231" i="50"/>
  <c r="AJ141" i="50"/>
  <c r="BG140" i="50"/>
  <c r="BM232" i="50"/>
  <c r="I183" i="50"/>
  <c r="FB178" i="50"/>
  <c r="W170" i="50"/>
  <c r="AW171" i="50"/>
  <c r="BR131" i="50"/>
  <c r="CI96" i="50"/>
  <c r="EP228" i="50"/>
  <c r="BD176" i="50"/>
  <c r="BC193" i="50"/>
  <c r="N161" i="50"/>
  <c r="DG89" i="50"/>
  <c r="EO163" i="50"/>
  <c r="AA30" i="26"/>
  <c r="CD173" i="50"/>
  <c r="EC175" i="50"/>
  <c r="DE225" i="50"/>
  <c r="CX228" i="50"/>
  <c r="AV196" i="50"/>
  <c r="CU139" i="50"/>
  <c r="DW206" i="50"/>
  <c r="EJ82" i="50"/>
  <c r="DC170" i="50"/>
  <c r="DE108" i="50"/>
  <c r="EM95" i="50"/>
  <c r="DV147" i="50"/>
  <c r="CJ150" i="50"/>
  <c r="C193" i="50"/>
  <c r="CK97" i="50"/>
  <c r="E229" i="50"/>
  <c r="EI189" i="50"/>
  <c r="FB127" i="50"/>
  <c r="DF112" i="50"/>
  <c r="DE233" i="50"/>
  <c r="AX229" i="50"/>
  <c r="DH209" i="50"/>
  <c r="AW170" i="50"/>
  <c r="DV194" i="50"/>
  <c r="FI183" i="50"/>
  <c r="BT216" i="50"/>
  <c r="CM222" i="50"/>
  <c r="DE196" i="50"/>
  <c r="FG153" i="50"/>
  <c r="AG193" i="50"/>
  <c r="CH141" i="50"/>
  <c r="AK140" i="50"/>
  <c r="CW137" i="50"/>
  <c r="DB95" i="50"/>
  <c r="EJ119" i="50"/>
  <c r="EU233" i="50"/>
  <c r="CM217" i="50"/>
  <c r="EP115" i="50"/>
  <c r="CR213" i="50"/>
  <c r="CT213" i="50"/>
  <c r="FJ217" i="50"/>
  <c r="CX135" i="50"/>
  <c r="Z213" i="50"/>
  <c r="BI229" i="50"/>
  <c r="CX196" i="50"/>
  <c r="AJ208" i="50"/>
  <c r="DK181" i="50"/>
  <c r="FK154" i="50"/>
  <c r="AC35" i="50"/>
  <c r="Z180" i="50"/>
  <c r="ES157" i="50"/>
  <c r="EX195" i="50"/>
  <c r="CC207" i="50"/>
  <c r="BV212" i="50"/>
  <c r="EJ154" i="50"/>
  <c r="EL133" i="50"/>
  <c r="FD112" i="50"/>
  <c r="DL172" i="50"/>
  <c r="CX105" i="50"/>
  <c r="CD232" i="50"/>
  <c r="BG73" i="50"/>
  <c r="DB94" i="50"/>
  <c r="BR134" i="50"/>
  <c r="EC154" i="50"/>
  <c r="DC120" i="50"/>
  <c r="EF175" i="50"/>
  <c r="BY208" i="50"/>
  <c r="DN142" i="50"/>
  <c r="Y128" i="50"/>
  <c r="FD143" i="50"/>
  <c r="FJ80" i="50"/>
  <c r="CG95" i="50"/>
  <c r="G211" i="50"/>
  <c r="AG216" i="50"/>
  <c r="FH207" i="50"/>
  <c r="FH210" i="50"/>
  <c r="CQ143" i="50"/>
  <c r="BR74" i="50"/>
  <c r="DL178" i="50"/>
  <c r="CM136" i="50"/>
  <c r="EQ209" i="50"/>
  <c r="DA178" i="50"/>
  <c r="FB119" i="50"/>
  <c r="DC117" i="50"/>
  <c r="DW137" i="50"/>
  <c r="CY113" i="50"/>
  <c r="AC183" i="50"/>
  <c r="DU121" i="50"/>
  <c r="Z193" i="50"/>
  <c r="BN197" i="50"/>
  <c r="AT226" i="50"/>
  <c r="DV141" i="50"/>
  <c r="FB233" i="50"/>
  <c r="CK228" i="50"/>
  <c r="BP139" i="50"/>
  <c r="DH103" i="50"/>
  <c r="AZ194" i="50"/>
  <c r="DW218" i="50"/>
  <c r="FF144" i="50"/>
  <c r="EY130" i="50"/>
  <c r="DH160" i="50"/>
  <c r="AD63" i="50"/>
  <c r="DU156" i="50"/>
  <c r="BU129" i="50"/>
  <c r="EK148" i="50"/>
  <c r="V139" i="50"/>
  <c r="CK156" i="50"/>
  <c r="AL35" i="50"/>
  <c r="FF139" i="50"/>
  <c r="FD122" i="50"/>
  <c r="EL151" i="50"/>
  <c r="FI96" i="50"/>
  <c r="DH167" i="50"/>
  <c r="F179" i="50"/>
  <c r="AP215" i="50"/>
  <c r="CX124" i="50"/>
  <c r="AD53" i="26"/>
  <c r="AT228" i="50"/>
  <c r="CW183" i="50"/>
  <c r="BH174" i="50"/>
  <c r="DC219" i="50"/>
  <c r="DH149" i="50"/>
  <c r="BH144" i="50"/>
  <c r="CI128" i="50"/>
  <c r="CJ188" i="50"/>
  <c r="EZ217" i="50"/>
  <c r="CJ74" i="50"/>
  <c r="EG156" i="50"/>
  <c r="AK209" i="50"/>
  <c r="D39" i="50"/>
  <c r="AK59" i="50"/>
  <c r="FK119" i="50"/>
  <c r="BK213" i="50"/>
  <c r="AB22" i="26"/>
  <c r="Z234" i="50"/>
  <c r="EU197" i="50"/>
  <c r="DV233" i="50"/>
  <c r="DJ173" i="50"/>
  <c r="DC168" i="50"/>
  <c r="DX91" i="50"/>
  <c r="BJ235" i="50"/>
  <c r="N209" i="50"/>
  <c r="EA174" i="50"/>
  <c r="AP207" i="50"/>
  <c r="DT204" i="50"/>
  <c r="BU148" i="50"/>
  <c r="AB230" i="50"/>
  <c r="CK158" i="50"/>
  <c r="CU196" i="50"/>
  <c r="CW170" i="50"/>
  <c r="CR161" i="50"/>
  <c r="FD234" i="50"/>
  <c r="FI173" i="50"/>
  <c r="AG170" i="50"/>
  <c r="EZ229" i="50"/>
  <c r="CP155" i="50"/>
  <c r="U156" i="50"/>
  <c r="AE21" i="50"/>
  <c r="CH84" i="50"/>
  <c r="BJ212" i="50"/>
  <c r="FC170" i="50"/>
  <c r="K207" i="50"/>
  <c r="EH160" i="50"/>
  <c r="AM45" i="50"/>
  <c r="G173" i="50"/>
  <c r="EK174" i="50"/>
  <c r="CI126" i="50"/>
  <c r="L154" i="50"/>
  <c r="BX229" i="50"/>
  <c r="AJ46" i="50"/>
  <c r="DR207" i="50"/>
  <c r="CE156" i="50"/>
  <c r="DT119" i="50"/>
  <c r="DI208" i="50"/>
  <c r="EM80" i="50"/>
  <c r="DG229" i="50"/>
  <c r="ES233" i="50"/>
  <c r="EY173" i="50"/>
  <c r="CJ175" i="50"/>
  <c r="ER175" i="50"/>
  <c r="CJ73" i="50"/>
  <c r="BR156" i="50"/>
  <c r="DC119" i="50"/>
  <c r="FA144" i="50"/>
  <c r="EM99" i="50"/>
  <c r="X162" i="50"/>
  <c r="BN196" i="50"/>
  <c r="O139" i="50"/>
  <c r="CP193" i="50"/>
  <c r="BS167" i="50"/>
  <c r="ES160" i="50"/>
  <c r="FE147" i="50"/>
  <c r="CJ99" i="50"/>
  <c r="AK53" i="50"/>
  <c r="DP153" i="50"/>
  <c r="EI237" i="50"/>
  <c r="AU181" i="50"/>
  <c r="FF182" i="50"/>
  <c r="DA226" i="50"/>
  <c r="CO142" i="50"/>
  <c r="AS196" i="50"/>
  <c r="X158" i="50"/>
  <c r="DI103" i="50"/>
  <c r="AG21" i="50"/>
  <c r="E181" i="50"/>
  <c r="FA112" i="50"/>
  <c r="CY213" i="50"/>
  <c r="CY174" i="50"/>
  <c r="DQ139" i="50"/>
  <c r="L181" i="50"/>
  <c r="BZ215" i="50"/>
  <c r="DG88" i="50"/>
  <c r="AB60" i="26"/>
  <c r="AM29" i="50"/>
  <c r="W35" i="50"/>
  <c r="BG211" i="50"/>
  <c r="CL210" i="50"/>
  <c r="FE225" i="50"/>
  <c r="DT173" i="50"/>
  <c r="AB227" i="50"/>
  <c r="CN206" i="50"/>
  <c r="AE155" i="50"/>
  <c r="K228" i="50"/>
  <c r="DE104" i="50"/>
  <c r="DD116" i="50"/>
  <c r="DI187" i="50"/>
  <c r="CQ155" i="50"/>
  <c r="CR178" i="50"/>
  <c r="AG14" i="50"/>
  <c r="CF136" i="50"/>
  <c r="EK125" i="50"/>
  <c r="U161" i="50"/>
  <c r="AV172" i="50"/>
  <c r="AE170" i="50"/>
  <c r="DX106" i="50"/>
  <c r="AY231" i="50"/>
  <c r="AT194" i="50"/>
  <c r="CI177" i="50"/>
  <c r="C237" i="50"/>
  <c r="DY177" i="50"/>
  <c r="F215" i="50"/>
  <c r="E157" i="50"/>
  <c r="CO157" i="50"/>
  <c r="FG196" i="50"/>
  <c r="CZ82" i="50"/>
  <c r="ER207" i="50"/>
  <c r="EH215" i="50"/>
  <c r="EH172" i="50"/>
  <c r="EO148" i="50"/>
  <c r="AG183" i="50"/>
  <c r="BD144" i="50"/>
  <c r="FJ197" i="50"/>
  <c r="FK81" i="50"/>
  <c r="CV153" i="50"/>
  <c r="DZ158" i="50"/>
  <c r="DU134" i="50"/>
  <c r="CB182" i="50"/>
  <c r="BK172" i="50"/>
  <c r="CJ131" i="50"/>
  <c r="DG193" i="50"/>
  <c r="EP155" i="50"/>
  <c r="DJ179" i="50"/>
  <c r="DB234" i="50"/>
  <c r="FF175" i="50"/>
  <c r="FB226" i="50"/>
  <c r="DG228" i="50"/>
  <c r="AP179" i="50"/>
  <c r="BG184" i="50"/>
  <c r="CW146" i="50"/>
  <c r="DB145" i="50"/>
  <c r="DG161" i="50"/>
  <c r="CS156" i="50"/>
  <c r="CK194" i="50"/>
  <c r="DV106" i="50"/>
  <c r="DP235" i="50"/>
  <c r="DC173" i="50"/>
  <c r="AC44" i="26"/>
  <c r="DJ198" i="50"/>
  <c r="Q142" i="50"/>
  <c r="DT192" i="50"/>
  <c r="FD217" i="50"/>
  <c r="CX133" i="50"/>
  <c r="EA156" i="50"/>
  <c r="CG104" i="50"/>
  <c r="DU133" i="50"/>
  <c r="CL126" i="50"/>
  <c r="EO149" i="50"/>
  <c r="BO128" i="50"/>
  <c r="H33" i="50"/>
  <c r="AR228" i="50"/>
  <c r="EM219" i="50"/>
  <c r="CL197" i="50"/>
  <c r="BS144" i="50"/>
  <c r="AS229" i="50"/>
  <c r="AK20" i="50"/>
  <c r="DG189" i="50"/>
  <c r="DH232" i="50"/>
  <c r="BF159" i="50"/>
  <c r="EU194" i="50"/>
  <c r="AI42" i="50"/>
  <c r="CF87" i="50"/>
  <c r="FB135" i="50"/>
  <c r="BG191" i="50"/>
  <c r="EN225" i="50"/>
  <c r="DK229" i="50"/>
  <c r="EN154" i="50"/>
  <c r="BP159" i="50"/>
  <c r="BH180" i="50"/>
  <c r="DY216" i="50"/>
  <c r="AT180" i="50"/>
  <c r="CK167" i="50"/>
  <c r="W180" i="50"/>
  <c r="DT227" i="50"/>
  <c r="L227" i="50"/>
  <c r="CB175" i="50"/>
  <c r="CF141" i="50"/>
  <c r="DF187" i="50"/>
  <c r="BR176" i="50"/>
  <c r="CJ111" i="50"/>
  <c r="AZ216" i="50"/>
  <c r="AN208" i="50"/>
  <c r="AJ193" i="50"/>
  <c r="EV216" i="50"/>
  <c r="BR137" i="50"/>
  <c r="AE41" i="26"/>
  <c r="EI149" i="50"/>
  <c r="BA214" i="50"/>
  <c r="DG198" i="50"/>
  <c r="T214" i="50"/>
  <c r="F177" i="50"/>
  <c r="FC117" i="50"/>
  <c r="CG127" i="50"/>
  <c r="DN212" i="50"/>
  <c r="L161" i="50"/>
  <c r="DN195" i="50"/>
  <c r="DX118" i="50"/>
  <c r="L171" i="50"/>
  <c r="BF233" i="50"/>
  <c r="Q181" i="50"/>
  <c r="CN222" i="50"/>
  <c r="DH86" i="50"/>
  <c r="DE162" i="50"/>
  <c r="AE213" i="50"/>
  <c r="X171" i="50"/>
  <c r="FB122" i="50"/>
  <c r="EL75" i="50"/>
  <c r="DO182" i="50"/>
  <c r="AW237" i="50"/>
  <c r="DC184" i="50"/>
  <c r="AF179" i="50"/>
  <c r="DW95" i="50"/>
  <c r="EN237" i="50"/>
  <c r="EJ131" i="50"/>
  <c r="BM235" i="50"/>
  <c r="EQ225" i="50"/>
  <c r="DE223" i="50"/>
  <c r="DX192" i="50"/>
  <c r="E162" i="50"/>
  <c r="BV230" i="50"/>
  <c r="AI14" i="50"/>
  <c r="BX175" i="50"/>
  <c r="BF227" i="50"/>
  <c r="AY171" i="50"/>
  <c r="AY178" i="50"/>
  <c r="DQ231" i="50"/>
  <c r="EH122" i="50"/>
  <c r="EZ142" i="50"/>
  <c r="FH166" i="50"/>
  <c r="FF221" i="50"/>
  <c r="F213" i="50"/>
  <c r="DW86" i="50"/>
  <c r="P211" i="50"/>
  <c r="CW158" i="50"/>
  <c r="BG90" i="50"/>
  <c r="EG158" i="50"/>
  <c r="EW180" i="50"/>
  <c r="DH78" i="50"/>
  <c r="Z173" i="50"/>
  <c r="CW218" i="50"/>
  <c r="AS197" i="50"/>
  <c r="R216" i="50"/>
  <c r="CL148" i="50"/>
  <c r="AQ142" i="50"/>
  <c r="CQ209" i="50"/>
  <c r="EM81" i="50"/>
  <c r="BX173" i="50"/>
  <c r="AZ234" i="50"/>
  <c r="BE209" i="50"/>
  <c r="DU226" i="50"/>
  <c r="CM123" i="50"/>
  <c r="DK207" i="50"/>
  <c r="AG226" i="50"/>
  <c r="AD14" i="26"/>
  <c r="FD79" i="50"/>
  <c r="DH171" i="50"/>
  <c r="DY162" i="50"/>
  <c r="FG185" i="50"/>
  <c r="DH112" i="50"/>
  <c r="BT128" i="50"/>
  <c r="BT224" i="50"/>
  <c r="AE28" i="26"/>
  <c r="DB200" i="50"/>
  <c r="CO215" i="50"/>
  <c r="CD162" i="50"/>
  <c r="AE63" i="26"/>
  <c r="AP180" i="50"/>
  <c r="R171" i="50"/>
  <c r="FI150" i="50"/>
  <c r="U179" i="50"/>
  <c r="BZ172" i="50"/>
  <c r="AY176" i="50"/>
  <c r="S231" i="50"/>
  <c r="EL146" i="50"/>
  <c r="FH188" i="50"/>
  <c r="DF191" i="50"/>
  <c r="EV178" i="50"/>
  <c r="AI33" i="50"/>
  <c r="Z224" i="50"/>
  <c r="BW225" i="50"/>
  <c r="BM175" i="50"/>
  <c r="AX214" i="50"/>
  <c r="T213" i="50"/>
  <c r="BS226" i="50"/>
  <c r="BM237" i="50"/>
  <c r="AC48" i="26"/>
  <c r="J233" i="50"/>
  <c r="DH231" i="50"/>
  <c r="BM171" i="50"/>
  <c r="DB219" i="50"/>
  <c r="EU177" i="50"/>
  <c r="EY114" i="50"/>
  <c r="FC80" i="50"/>
  <c r="CN139" i="50"/>
  <c r="G153" i="50"/>
  <c r="CM150" i="50"/>
  <c r="AD208" i="50"/>
  <c r="CM114" i="50"/>
  <c r="CJ161" i="50"/>
  <c r="AG230" i="50"/>
  <c r="DF179" i="50"/>
  <c r="AG65" i="50"/>
  <c r="FF195" i="50"/>
  <c r="DK209" i="50"/>
  <c r="EI218" i="50"/>
  <c r="DG163" i="50"/>
  <c r="DL234" i="50"/>
  <c r="BV104" i="50"/>
  <c r="AG233" i="50"/>
  <c r="FE210" i="50"/>
  <c r="DV163" i="50"/>
  <c r="DF171" i="50"/>
  <c r="O178" i="50"/>
  <c r="CH159" i="50"/>
  <c r="FI91" i="50"/>
  <c r="EU209" i="50"/>
  <c r="CE228" i="50"/>
  <c r="DW191" i="50"/>
  <c r="CZ98" i="50"/>
  <c r="EP93" i="50"/>
  <c r="DC200" i="50"/>
  <c r="AP183" i="50"/>
  <c r="AW224" i="50"/>
  <c r="CY179" i="50"/>
  <c r="FH235" i="50"/>
  <c r="DX203" i="50"/>
  <c r="FC103" i="50"/>
  <c r="CN197" i="50"/>
  <c r="I159" i="50"/>
  <c r="BD178" i="50"/>
  <c r="CW154" i="50"/>
  <c r="AA29" i="50"/>
  <c r="DE171" i="50"/>
  <c r="CG203" i="50"/>
  <c r="O196" i="50"/>
  <c r="K177" i="50"/>
  <c r="AC177" i="50"/>
  <c r="CU228" i="50"/>
  <c r="BS98" i="50"/>
  <c r="BS182" i="50"/>
  <c r="BR132" i="50"/>
  <c r="DG132" i="50"/>
  <c r="BR171" i="50"/>
  <c r="S229" i="50"/>
  <c r="DN158" i="50"/>
  <c r="EW141" i="50"/>
  <c r="FI167" i="50"/>
  <c r="AL56" i="50"/>
  <c r="DV164" i="50"/>
  <c r="BM233" i="50"/>
  <c r="CH145" i="50"/>
  <c r="DF92" i="50"/>
  <c r="K172" i="50"/>
  <c r="AJ57" i="50"/>
  <c r="AK36" i="50"/>
  <c r="EZ153" i="50"/>
  <c r="AA61" i="26"/>
  <c r="DT134" i="50"/>
  <c r="AH160" i="50"/>
  <c r="AH61" i="50"/>
  <c r="CK102" i="50"/>
  <c r="FH223" i="50"/>
  <c r="CU233" i="50"/>
  <c r="AA17" i="50"/>
  <c r="DX78" i="50"/>
  <c r="ED230" i="50"/>
  <c r="CK199" i="50"/>
  <c r="EO132" i="50"/>
  <c r="EG235" i="50"/>
  <c r="CM177" i="50"/>
  <c r="CH126" i="50"/>
  <c r="CY116" i="50"/>
  <c r="CM185" i="50"/>
  <c r="BJ234" i="50"/>
  <c r="DM227" i="50"/>
  <c r="AJ155" i="50"/>
  <c r="AY162" i="50"/>
  <c r="DW139" i="50"/>
  <c r="BL172" i="50"/>
  <c r="Y231" i="50"/>
  <c r="DT80" i="50"/>
  <c r="DG208" i="50"/>
  <c r="DL213" i="50"/>
  <c r="EP92" i="50"/>
  <c r="CE180" i="50"/>
  <c r="FC191" i="50"/>
  <c r="EO125" i="50"/>
  <c r="AL153" i="50"/>
  <c r="DD86" i="50"/>
  <c r="AV194" i="50"/>
  <c r="M35" i="50"/>
  <c r="BF232" i="50"/>
  <c r="EZ234" i="50"/>
  <c r="M170" i="50"/>
  <c r="AQ175" i="50"/>
  <c r="FC177" i="50"/>
  <c r="J36" i="50"/>
  <c r="FI186" i="50"/>
  <c r="FD95" i="50"/>
  <c r="T129" i="50"/>
  <c r="Z28" i="26"/>
  <c r="AP159" i="50"/>
  <c r="CX201" i="50"/>
  <c r="FK228" i="50"/>
  <c r="DX114" i="50"/>
  <c r="L182" i="50"/>
  <c r="DE106" i="50"/>
  <c r="DX157" i="50"/>
  <c r="CR170" i="50"/>
  <c r="AM175" i="50"/>
  <c r="U234" i="50"/>
  <c r="BV107" i="50"/>
  <c r="BE234" i="50"/>
  <c r="FI81" i="50"/>
  <c r="EP81" i="50"/>
  <c r="EN79" i="50"/>
  <c r="FI107" i="50"/>
  <c r="EP165" i="50"/>
  <c r="CZ180" i="50"/>
  <c r="AY139" i="50"/>
  <c r="DR195" i="50"/>
  <c r="CN110" i="50"/>
  <c r="AU158" i="50"/>
  <c r="V35" i="50"/>
  <c r="EF183" i="50"/>
  <c r="FD90" i="50"/>
  <c r="DD220" i="50"/>
  <c r="BE183" i="50"/>
  <c r="AO170" i="50"/>
  <c r="ET207" i="50"/>
  <c r="BS117" i="50"/>
  <c r="EW160" i="50"/>
  <c r="I156" i="50"/>
  <c r="DD211" i="50"/>
  <c r="FC144" i="50"/>
  <c r="DH77" i="50"/>
  <c r="CD214" i="50"/>
  <c r="FC230" i="50"/>
  <c r="EK235" i="50"/>
  <c r="DL183" i="50"/>
  <c r="FB183" i="50"/>
  <c r="BV157" i="50"/>
  <c r="FF168" i="50"/>
  <c r="AW182" i="50"/>
  <c r="CG217" i="50"/>
  <c r="DE177" i="50"/>
  <c r="DT181" i="50"/>
  <c r="FD137" i="50"/>
  <c r="EO191" i="50"/>
  <c r="E182" i="50"/>
  <c r="AM27" i="50"/>
  <c r="DG235" i="50"/>
  <c r="BT193" i="50"/>
  <c r="CF153" i="50"/>
  <c r="DI216" i="50"/>
  <c r="Y60" i="50"/>
  <c r="EG140" i="50"/>
  <c r="FI179" i="50"/>
  <c r="I161" i="50"/>
  <c r="AQ129" i="50"/>
  <c r="CX89" i="50"/>
  <c r="BM142" i="50"/>
  <c r="EJ178" i="50"/>
  <c r="AW194" i="50"/>
  <c r="CH99" i="50"/>
  <c r="BO162" i="50"/>
  <c r="CM144" i="50"/>
  <c r="DT107" i="50"/>
  <c r="DA156" i="50"/>
  <c r="DB193" i="50"/>
  <c r="CS172" i="50"/>
  <c r="BG91" i="50"/>
  <c r="DX139" i="50"/>
  <c r="AB233" i="50"/>
  <c r="BU141" i="50"/>
  <c r="FE195" i="50"/>
  <c r="AC51" i="26"/>
  <c r="DI155" i="50"/>
  <c r="DB214" i="50"/>
  <c r="AT207" i="50"/>
  <c r="AK181" i="50"/>
  <c r="BV124" i="50"/>
  <c r="EE197" i="50"/>
  <c r="AD207" i="50"/>
  <c r="CZ195" i="50"/>
  <c r="DD141" i="50"/>
  <c r="CE214" i="50"/>
  <c r="FD103" i="50"/>
  <c r="Z181" i="50"/>
  <c r="CR156" i="50"/>
  <c r="DG183" i="50"/>
  <c r="BX213" i="50"/>
  <c r="M214" i="50"/>
  <c r="DC137" i="50"/>
  <c r="ER160" i="50"/>
  <c r="BG158" i="50"/>
  <c r="EY185" i="50"/>
  <c r="BK173" i="50"/>
  <c r="AC35" i="26"/>
  <c r="D227" i="50"/>
  <c r="CA159" i="50"/>
  <c r="AG44" i="50"/>
  <c r="FK222" i="50"/>
  <c r="CZ199" i="50"/>
  <c r="DG201" i="50"/>
  <c r="EH91" i="50"/>
  <c r="EK169" i="50"/>
  <c r="CN185" i="50"/>
  <c r="BU178" i="50"/>
  <c r="DE218" i="50"/>
  <c r="CX214" i="50"/>
  <c r="CC237" i="50"/>
  <c r="CL139" i="50"/>
  <c r="DM143" i="50"/>
  <c r="FF79" i="50"/>
  <c r="DZ194" i="50"/>
  <c r="AI225" i="50"/>
  <c r="EN190" i="50"/>
  <c r="AJ49" i="50"/>
  <c r="AL234" i="50"/>
  <c r="BS133" i="50"/>
  <c r="EI158" i="50"/>
  <c r="EI137" i="50"/>
  <c r="CG183" i="50"/>
  <c r="DT161" i="50"/>
  <c r="DE220" i="50"/>
  <c r="DT120" i="50"/>
  <c r="Z48" i="26"/>
  <c r="CG197" i="50"/>
  <c r="DQ171" i="50"/>
  <c r="BU128" i="50"/>
  <c r="AO215" i="50"/>
  <c r="DQ181" i="50"/>
  <c r="DI182" i="50"/>
  <c r="CJ218" i="50"/>
  <c r="FH76" i="50"/>
  <c r="DH100" i="50"/>
  <c r="EI126" i="50"/>
  <c r="FH159" i="50"/>
  <c r="S183" i="50"/>
  <c r="T31" i="50"/>
  <c r="FD73" i="50"/>
  <c r="CY108" i="50"/>
  <c r="CI139" i="50"/>
  <c r="FJ201" i="50"/>
  <c r="CR158" i="50"/>
  <c r="EM83" i="50"/>
  <c r="DA182" i="50"/>
  <c r="FH164" i="50"/>
  <c r="FB236" i="50"/>
  <c r="CI138" i="50"/>
  <c r="EO237" i="50"/>
  <c r="BR224" i="50"/>
  <c r="Y174" i="50"/>
  <c r="DN194" i="50"/>
  <c r="FA88" i="50"/>
  <c r="CG107" i="50"/>
  <c r="G210" i="50"/>
  <c r="EF171" i="50"/>
  <c r="BV105" i="50"/>
  <c r="AD13" i="26"/>
  <c r="G37" i="50"/>
  <c r="BT147" i="50"/>
  <c r="CB193" i="50"/>
  <c r="EN189" i="50"/>
  <c r="AT173" i="50"/>
  <c r="AE47" i="26"/>
  <c r="CH232" i="50"/>
  <c r="AF154" i="50"/>
  <c r="BT123" i="50"/>
  <c r="ED182" i="50"/>
  <c r="EY212" i="50"/>
  <c r="AW128" i="50"/>
  <c r="DI94" i="50"/>
  <c r="DG237" i="50"/>
  <c r="E172" i="50"/>
  <c r="J156" i="50"/>
  <c r="BE208" i="50"/>
  <c r="AU236" i="50"/>
  <c r="DT140" i="50"/>
  <c r="EJ142" i="50"/>
  <c r="AW140" i="50"/>
  <c r="I195" i="50"/>
  <c r="FK206" i="50"/>
  <c r="DC122" i="50"/>
  <c r="EJ182" i="50"/>
  <c r="EI120" i="50"/>
  <c r="V211" i="50"/>
  <c r="EL220" i="50"/>
  <c r="DO177" i="50"/>
  <c r="CY115" i="50"/>
  <c r="DE113" i="50"/>
  <c r="FA231" i="50"/>
  <c r="CN177" i="50"/>
  <c r="DB195" i="50"/>
  <c r="DV237" i="50"/>
  <c r="FD175" i="50"/>
  <c r="BO227" i="50"/>
  <c r="BU76" i="50"/>
  <c r="EL138" i="50"/>
  <c r="DJ153" i="50"/>
  <c r="BE160" i="50"/>
  <c r="EM88" i="50"/>
  <c r="CW108" i="50"/>
  <c r="FB117" i="50"/>
  <c r="CR232" i="50"/>
  <c r="BR73" i="50"/>
  <c r="DX181" i="50"/>
  <c r="DW211" i="50"/>
  <c r="Z209" i="50"/>
  <c r="EN216" i="50"/>
  <c r="CF182" i="50"/>
  <c r="FG227" i="50"/>
  <c r="D182" i="50"/>
  <c r="EO123" i="50"/>
  <c r="AY232" i="50"/>
  <c r="BV171" i="50"/>
  <c r="DV172" i="50"/>
  <c r="DF155" i="50"/>
  <c r="AC61" i="50"/>
  <c r="CL137" i="50"/>
  <c r="EP134" i="50"/>
  <c r="S230" i="50"/>
  <c r="EM193" i="50"/>
  <c r="AN235" i="50"/>
  <c r="EP78" i="50"/>
  <c r="H141" i="50"/>
  <c r="DE96" i="50"/>
  <c r="EM85" i="50"/>
  <c r="AH45" i="50"/>
  <c r="AY211" i="50"/>
  <c r="FC145" i="50"/>
  <c r="BT87" i="50"/>
  <c r="FJ216" i="50"/>
  <c r="FG103" i="50"/>
  <c r="BS192" i="50"/>
  <c r="EE154" i="50"/>
  <c r="EA228" i="50"/>
  <c r="EY201" i="50"/>
  <c r="BA227" i="50"/>
  <c r="AN141" i="50"/>
  <c r="AB231" i="50"/>
  <c r="CB233" i="50"/>
  <c r="DO208" i="50"/>
  <c r="AH231" i="50"/>
  <c r="AY224" i="50"/>
  <c r="CU208" i="50"/>
  <c r="ED170" i="50"/>
  <c r="O157" i="50"/>
  <c r="V226" i="50"/>
  <c r="DX133" i="50"/>
  <c r="CD175" i="50"/>
  <c r="DP140" i="50"/>
  <c r="BA212" i="50"/>
  <c r="DR180" i="50"/>
  <c r="DH172" i="50"/>
  <c r="BJ158" i="50"/>
  <c r="EX209" i="50"/>
  <c r="W179" i="50"/>
  <c r="BS233" i="50"/>
  <c r="DT194" i="50"/>
  <c r="CM188" i="50"/>
  <c r="EP125" i="50"/>
  <c r="BR226" i="50"/>
  <c r="DO193" i="50"/>
  <c r="AA224" i="50"/>
  <c r="DG78" i="50"/>
  <c r="BY229" i="50"/>
  <c r="ET128" i="50"/>
  <c r="DD77" i="50"/>
  <c r="BV177" i="50"/>
  <c r="DU137" i="50"/>
  <c r="BC237" i="50"/>
  <c r="CG73" i="50"/>
  <c r="CV234" i="50"/>
  <c r="FB194" i="50"/>
  <c r="CK227" i="50"/>
  <c r="BV198" i="50"/>
  <c r="EH211" i="50"/>
  <c r="BM227" i="50"/>
  <c r="EQ157" i="50"/>
  <c r="CD156" i="50"/>
  <c r="BR179" i="50"/>
  <c r="FK132" i="50"/>
  <c r="CJ180" i="50"/>
  <c r="DB129" i="50"/>
  <c r="FE97" i="50"/>
  <c r="DT224" i="50"/>
  <c r="M234" i="50"/>
  <c r="EN98" i="50"/>
  <c r="CR230" i="50"/>
  <c r="BM197" i="50"/>
  <c r="BS138" i="50"/>
  <c r="FK235" i="50"/>
  <c r="DE194" i="50"/>
  <c r="DM171" i="50"/>
  <c r="DN128" i="50"/>
  <c r="FK115" i="50"/>
  <c r="AF194" i="50"/>
  <c r="EL214" i="50"/>
  <c r="BA196" i="50"/>
  <c r="EE178" i="50"/>
  <c r="AV237" i="50"/>
  <c r="BB193" i="50"/>
  <c r="BY231" i="50"/>
  <c r="P183" i="50"/>
  <c r="AM58" i="50"/>
  <c r="DF232" i="50"/>
  <c r="N212" i="50"/>
  <c r="EY222" i="50"/>
  <c r="BG92" i="50"/>
  <c r="BQ235" i="50"/>
  <c r="AM178" i="50"/>
  <c r="S207" i="50"/>
  <c r="AE30" i="26"/>
  <c r="M196" i="50"/>
  <c r="FC168" i="50"/>
  <c r="CG162" i="50"/>
  <c r="EY93" i="50"/>
  <c r="H231" i="50"/>
  <c r="CN113" i="50"/>
  <c r="BZ211" i="50"/>
  <c r="DG207" i="50"/>
  <c r="EQ233" i="50"/>
  <c r="T141" i="50"/>
  <c r="K180" i="50"/>
  <c r="EV236" i="50"/>
  <c r="CK131" i="50"/>
  <c r="AP197" i="50"/>
  <c r="DD126" i="50"/>
  <c r="FG207" i="50"/>
  <c r="EQ175" i="50"/>
  <c r="DN182" i="50"/>
  <c r="AD46" i="26"/>
  <c r="DU228" i="50"/>
  <c r="C195" i="50"/>
  <c r="DH129" i="50"/>
  <c r="FH186" i="50"/>
  <c r="FF153" i="50"/>
  <c r="DX179" i="50"/>
  <c r="EI182" i="50"/>
  <c r="CS197" i="50"/>
  <c r="ES159" i="50"/>
  <c r="DU142" i="50"/>
  <c r="BV96" i="50"/>
  <c r="BO154" i="50"/>
  <c r="U229" i="50"/>
  <c r="DY234" i="50"/>
  <c r="EI103" i="50"/>
  <c r="DE206" i="50"/>
  <c r="R27" i="50"/>
  <c r="AI52" i="50"/>
  <c r="DX165" i="50"/>
  <c r="BU195" i="50"/>
  <c r="BM174" i="50"/>
  <c r="CM196" i="50"/>
  <c r="AE31" i="50"/>
  <c r="BC208" i="50"/>
  <c r="CU154" i="50"/>
  <c r="ED233" i="50"/>
  <c r="AU216" i="50"/>
  <c r="FI149" i="50"/>
  <c r="CV179" i="50"/>
  <c r="FF160" i="50"/>
  <c r="AJ207" i="50"/>
  <c r="BY144" i="50"/>
  <c r="FC173" i="50"/>
  <c r="DI140" i="50"/>
  <c r="DB204" i="50"/>
  <c r="CH183" i="50"/>
  <c r="DH169" i="50"/>
  <c r="DR162" i="50"/>
  <c r="AA231" i="50"/>
  <c r="EL128" i="50"/>
  <c r="DL211" i="50"/>
  <c r="DX190" i="50"/>
  <c r="CM128" i="50"/>
  <c r="BV103" i="50"/>
  <c r="BU74" i="50"/>
  <c r="CT170" i="50"/>
  <c r="BI236" i="50"/>
  <c r="Q183" i="50"/>
  <c r="R182" i="50"/>
  <c r="DC233" i="50"/>
  <c r="CK237" i="50"/>
  <c r="AB237" i="50"/>
  <c r="E209" i="50"/>
  <c r="U128" i="50"/>
  <c r="V27" i="50"/>
  <c r="CN191" i="50"/>
  <c r="AR140" i="50"/>
  <c r="EJ92" i="50"/>
  <c r="FJ155" i="50"/>
  <c r="DC190" i="50"/>
  <c r="BV217" i="50"/>
  <c r="AO155" i="50"/>
  <c r="DF236" i="50"/>
  <c r="AC193" i="50"/>
  <c r="AC144" i="50"/>
  <c r="DF85" i="50"/>
  <c r="EF231" i="50"/>
  <c r="BT106" i="50"/>
  <c r="EL192" i="50"/>
  <c r="AC57" i="26"/>
  <c r="EA175" i="50"/>
  <c r="BA179" i="50"/>
  <c r="CJ176" i="50"/>
  <c r="AW229" i="50"/>
  <c r="DT115" i="50"/>
  <c r="CU155" i="50"/>
  <c r="CP182" i="50"/>
  <c r="BT127" i="50"/>
  <c r="AT231" i="50"/>
  <c r="BY212" i="50"/>
  <c r="CX236" i="50"/>
  <c r="CW204" i="50"/>
  <c r="DH233" i="50"/>
  <c r="CJ119" i="50"/>
  <c r="Z37" i="50"/>
  <c r="BG157" i="50"/>
  <c r="CO182" i="50"/>
  <c r="BL196" i="50"/>
  <c r="BQ141" i="50"/>
  <c r="DP161" i="50"/>
  <c r="BY129" i="50"/>
  <c r="AK55" i="50"/>
  <c r="AQ155" i="50"/>
  <c r="Z18" i="26"/>
  <c r="DA85" i="50"/>
  <c r="DE192" i="50"/>
  <c r="X62" i="50"/>
  <c r="CE211" i="50"/>
  <c r="DU84" i="50"/>
  <c r="AD29" i="50"/>
  <c r="CJ91" i="50"/>
  <c r="BU190" i="50"/>
  <c r="FK204" i="50"/>
  <c r="BH183" i="50"/>
  <c r="AO176" i="50"/>
  <c r="BS74" i="50"/>
  <c r="BN193" i="50"/>
  <c r="DH97" i="50"/>
  <c r="FJ144" i="50"/>
  <c r="DC158" i="50"/>
  <c r="AF230" i="50"/>
  <c r="FA197" i="50"/>
  <c r="CJ227" i="50"/>
  <c r="AX174" i="50"/>
  <c r="EQ176" i="50"/>
  <c r="J159" i="50"/>
  <c r="CC196" i="50"/>
  <c r="W37" i="50"/>
  <c r="BG185" i="50"/>
  <c r="AT197" i="50"/>
  <c r="BG112" i="50"/>
  <c r="FJ189" i="50"/>
  <c r="AX144" i="50"/>
  <c r="FD133" i="50"/>
  <c r="BM213" i="50"/>
  <c r="CN226" i="50"/>
  <c r="FC206" i="50"/>
  <c r="N159" i="50"/>
  <c r="CF88" i="50"/>
  <c r="DQ224" i="50"/>
  <c r="EF176" i="50"/>
  <c r="AL182" i="50"/>
  <c r="FB225" i="50"/>
  <c r="E212" i="50"/>
  <c r="BV153" i="50"/>
  <c r="ED228" i="50"/>
  <c r="EL219" i="50"/>
  <c r="CN154" i="50"/>
  <c r="CP181" i="50"/>
  <c r="FI215" i="50"/>
  <c r="CY84" i="50"/>
  <c r="AG176" i="50"/>
  <c r="AK28" i="50"/>
  <c r="W232" i="50"/>
  <c r="DF224" i="50"/>
  <c r="EN170" i="50"/>
  <c r="EY207" i="50"/>
  <c r="CD177" i="50"/>
  <c r="CF176" i="50"/>
  <c r="D210" i="50"/>
  <c r="AW161" i="50"/>
  <c r="AJ179" i="50"/>
  <c r="DV184" i="50"/>
  <c r="BK231" i="50"/>
  <c r="AU232" i="50"/>
  <c r="W63" i="50"/>
  <c r="CJ190" i="50"/>
  <c r="AY144" i="50"/>
  <c r="AJ235" i="50"/>
  <c r="BH227" i="50"/>
  <c r="BM236" i="50"/>
  <c r="FA195" i="50"/>
  <c r="AB195" i="50"/>
  <c r="EL96" i="50"/>
  <c r="EZ198" i="50"/>
  <c r="DY160" i="50"/>
  <c r="DB78" i="50"/>
  <c r="ER157" i="50"/>
  <c r="EC182" i="50"/>
  <c r="EK146" i="50"/>
  <c r="AL194" i="50"/>
  <c r="EH226" i="50"/>
  <c r="AA173" i="50"/>
  <c r="AL61" i="50"/>
  <c r="BQ224" i="50"/>
  <c r="FD218" i="50"/>
  <c r="DT87" i="50"/>
  <c r="EW140" i="50"/>
  <c r="FI231" i="50"/>
  <c r="EC230" i="50"/>
  <c r="EW214" i="50"/>
  <c r="CO236" i="50"/>
  <c r="BS231" i="50"/>
  <c r="FD93" i="50"/>
  <c r="BL180" i="50"/>
  <c r="AD60" i="50"/>
  <c r="DI176" i="50"/>
  <c r="FE144" i="50"/>
  <c r="DD117" i="50"/>
  <c r="DV78" i="50"/>
  <c r="EN232" i="50"/>
  <c r="AM193" i="50"/>
  <c r="DV88" i="50"/>
  <c r="CM97" i="50"/>
  <c r="DA90" i="50"/>
  <c r="EC139" i="50"/>
  <c r="AR159" i="50"/>
  <c r="CU181" i="50"/>
  <c r="FG176" i="50"/>
  <c r="FD110" i="50"/>
  <c r="DF144" i="50"/>
  <c r="AC43" i="26"/>
  <c r="EI233" i="50"/>
  <c r="AD212" i="50"/>
  <c r="AM59" i="50"/>
  <c r="AA229" i="50"/>
  <c r="DF211" i="50"/>
  <c r="FC105" i="50"/>
  <c r="CS161" i="50"/>
  <c r="EH78" i="50"/>
  <c r="AE236" i="50"/>
  <c r="EM156" i="50"/>
  <c r="BJ173" i="50"/>
  <c r="DI171" i="50"/>
  <c r="AB43" i="26"/>
  <c r="AY213" i="50"/>
  <c r="EH206" i="50"/>
  <c r="CI162" i="50"/>
  <c r="CI234" i="50"/>
  <c r="CN144" i="50"/>
  <c r="DB123" i="50"/>
  <c r="CW196" i="50"/>
  <c r="FF102" i="50"/>
  <c r="FH85" i="50"/>
  <c r="DT76" i="50"/>
  <c r="DX186" i="50"/>
  <c r="DW233" i="50"/>
  <c r="BE210" i="50"/>
  <c r="C213" i="50"/>
  <c r="DD234" i="50"/>
  <c r="CR236" i="50"/>
  <c r="FF191" i="50"/>
  <c r="AM48" i="50"/>
  <c r="CG216" i="50"/>
  <c r="EZ223" i="50"/>
  <c r="CN129" i="50"/>
  <c r="DR155" i="50"/>
  <c r="AC49" i="26"/>
  <c r="G197" i="50"/>
  <c r="FK163" i="50"/>
  <c r="BJ170" i="50"/>
  <c r="BT214" i="50"/>
  <c r="DU148" i="50"/>
  <c r="EK215" i="50"/>
  <c r="FK224" i="50"/>
  <c r="CV176" i="50"/>
  <c r="AF161" i="50"/>
  <c r="CZ193" i="50"/>
  <c r="CI123" i="50"/>
  <c r="DC121" i="50"/>
  <c r="DH196" i="50"/>
  <c r="DH183" i="50"/>
  <c r="BG210" i="50"/>
  <c r="AD228" i="50"/>
  <c r="CL218" i="50"/>
  <c r="CG141" i="50"/>
  <c r="AM142" i="50"/>
  <c r="EH107" i="50"/>
  <c r="DW105" i="50"/>
  <c r="FC208" i="50"/>
  <c r="H156" i="50"/>
  <c r="CG200" i="50"/>
  <c r="EE139" i="50"/>
  <c r="EI171" i="50"/>
  <c r="EG170" i="50"/>
  <c r="CN163" i="50"/>
  <c r="CI174" i="50"/>
  <c r="AP209" i="50"/>
  <c r="Q229" i="50"/>
  <c r="CM189" i="50"/>
  <c r="EQ227" i="50"/>
  <c r="CC171" i="50"/>
  <c r="EZ173" i="50"/>
  <c r="BA182" i="50"/>
  <c r="DI237" i="50"/>
  <c r="DI152" i="50"/>
  <c r="BT197" i="50"/>
  <c r="EU208" i="50"/>
  <c r="CW113" i="50"/>
  <c r="CD161" i="50"/>
  <c r="R156" i="50"/>
  <c r="FD91" i="50"/>
  <c r="U31" i="50"/>
  <c r="AA54" i="26"/>
  <c r="CG97" i="50"/>
  <c r="BQ216" i="50"/>
  <c r="EO185" i="50"/>
  <c r="DJ170" i="50"/>
  <c r="AU159" i="50"/>
  <c r="AO178" i="50"/>
  <c r="DR159" i="50"/>
  <c r="AO177" i="50"/>
  <c r="DO236" i="50"/>
  <c r="DN162" i="50"/>
  <c r="F39" i="50"/>
  <c r="EG236" i="50"/>
  <c r="FB206" i="50"/>
  <c r="AF61" i="50"/>
  <c r="M144" i="50"/>
  <c r="DN159" i="50"/>
  <c r="BR212" i="50"/>
  <c r="AX195" i="50"/>
  <c r="T232" i="50"/>
  <c r="AC50" i="26"/>
  <c r="CN136" i="50"/>
  <c r="CD174" i="50"/>
  <c r="CH110" i="50"/>
  <c r="DI138" i="50"/>
  <c r="CF201" i="50"/>
  <c r="DH76" i="50"/>
  <c r="BR146" i="50"/>
  <c r="AA28" i="26"/>
  <c r="CY219" i="50"/>
  <c r="FD196" i="50"/>
  <c r="FA90" i="50"/>
  <c r="CI109" i="50"/>
  <c r="AU214" i="50"/>
  <c r="CO233" i="50"/>
  <c r="AE227" i="50"/>
  <c r="E178" i="50"/>
  <c r="CK116" i="50"/>
  <c r="FH178" i="50"/>
  <c r="DD224" i="50"/>
  <c r="AE58" i="26"/>
  <c r="DH221" i="50"/>
  <c r="Y207" i="50"/>
  <c r="DI112" i="50"/>
  <c r="CB144" i="50"/>
  <c r="CL114" i="50"/>
  <c r="CY166" i="50"/>
  <c r="CG189" i="50"/>
  <c r="EP199" i="50"/>
  <c r="CD227" i="50"/>
  <c r="DB191" i="50"/>
  <c r="ER162" i="50"/>
  <c r="CM81" i="50"/>
  <c r="FI148" i="50"/>
  <c r="DX77" i="50"/>
  <c r="AA56" i="26"/>
  <c r="BC182" i="50"/>
  <c r="AA29" i="26"/>
  <c r="AC29" i="26"/>
  <c r="ET144" i="50"/>
  <c r="EY175" i="50"/>
  <c r="O142" i="50"/>
  <c r="FH197" i="50"/>
  <c r="EP162" i="50"/>
  <c r="EH103" i="50"/>
  <c r="CI85" i="50"/>
  <c r="FD219" i="50"/>
  <c r="DW151" i="50"/>
  <c r="BI227" i="50"/>
  <c r="N231" i="50"/>
  <c r="FD138" i="50"/>
  <c r="FI116" i="50"/>
  <c r="DI203" i="50"/>
  <c r="O129" i="50"/>
  <c r="ES155" i="50"/>
  <c r="EM125" i="50"/>
  <c r="AP224" i="50"/>
  <c r="DG224" i="50"/>
  <c r="DX92" i="50"/>
  <c r="N197" i="50"/>
  <c r="AP156" i="50"/>
  <c r="FK226" i="50"/>
  <c r="AG46" i="50"/>
  <c r="AB50" i="26"/>
  <c r="AI159" i="50"/>
  <c r="DT113" i="50"/>
  <c r="AN158" i="50"/>
  <c r="F40" i="50"/>
  <c r="Z174" i="50"/>
  <c r="FD140" i="50"/>
  <c r="CG166" i="50"/>
  <c r="DI173" i="50"/>
  <c r="EY172" i="50"/>
  <c r="CC178" i="50"/>
  <c r="EQ193" i="50"/>
  <c r="Z31" i="50"/>
  <c r="EJ208" i="50"/>
  <c r="CH107" i="50"/>
  <c r="BU91" i="50"/>
  <c r="N153" i="50"/>
  <c r="C211" i="50"/>
  <c r="DV181" i="50"/>
  <c r="FB96" i="50"/>
  <c r="AE15" i="50"/>
  <c r="AW183" i="50"/>
  <c r="EM97" i="50"/>
  <c r="E139" i="50"/>
  <c r="FG97" i="50"/>
  <c r="F211" i="50"/>
  <c r="BK141" i="50"/>
  <c r="EW215" i="50"/>
  <c r="FH160" i="50"/>
  <c r="EL226" i="50"/>
  <c r="FA210" i="50"/>
  <c r="DG211" i="50"/>
  <c r="BS149" i="50"/>
  <c r="AT196" i="50"/>
  <c r="CC176" i="50"/>
  <c r="BY198" i="50"/>
  <c r="EW179" i="50"/>
  <c r="DB190" i="50"/>
  <c r="FK209" i="50"/>
  <c r="BQ160" i="50"/>
  <c r="DS175" i="50"/>
  <c r="CY147" i="50"/>
  <c r="T233" i="50"/>
  <c r="D158" i="50"/>
  <c r="CF225" i="50"/>
  <c r="CN165" i="50"/>
  <c r="CN127" i="50"/>
  <c r="AY234" i="50"/>
  <c r="DI139" i="50"/>
  <c r="FJ209" i="50"/>
  <c r="DZ233" i="50"/>
  <c r="BT175" i="50"/>
  <c r="CL87" i="50"/>
  <c r="DW196" i="50"/>
  <c r="CH209" i="50"/>
  <c r="EH163" i="50"/>
  <c r="AA216" i="50"/>
  <c r="FA198" i="50"/>
  <c r="K234" i="50"/>
  <c r="DD183" i="50"/>
  <c r="DV208" i="50"/>
  <c r="CM220" i="50"/>
  <c r="DG133" i="50"/>
  <c r="BN215" i="50"/>
  <c r="BU159" i="50"/>
  <c r="AE39" i="26"/>
  <c r="BD159" i="50"/>
  <c r="FH187" i="50"/>
  <c r="AN216" i="50"/>
  <c r="BI142" i="50"/>
  <c r="DU169" i="50"/>
  <c r="AI194" i="50"/>
  <c r="AL53" i="50"/>
  <c r="EK160" i="50"/>
  <c r="FE149" i="50"/>
  <c r="CW194" i="50"/>
  <c r="DX189" i="50"/>
  <c r="EC156" i="50"/>
  <c r="DD157" i="50"/>
  <c r="FJ89" i="50"/>
  <c r="EJ139" i="50"/>
  <c r="CI86" i="50"/>
  <c r="EA179" i="50"/>
  <c r="X232" i="50"/>
  <c r="EN90" i="50"/>
  <c r="EG159" i="50"/>
  <c r="BY236" i="50"/>
  <c r="FK233" i="50"/>
  <c r="AU229" i="50"/>
  <c r="K213" i="50"/>
  <c r="AP216" i="50"/>
  <c r="EI178" i="50"/>
  <c r="S195" i="50"/>
  <c r="DW175" i="50"/>
  <c r="BG194" i="50"/>
  <c r="FB86" i="50"/>
  <c r="CP180" i="50"/>
  <c r="CX177" i="50"/>
  <c r="DA129" i="50"/>
  <c r="CZ140" i="50"/>
  <c r="H174" i="50"/>
  <c r="FF230" i="50"/>
  <c r="AC175" i="50"/>
  <c r="AQ226" i="50"/>
  <c r="DN129" i="50"/>
  <c r="DH214" i="50"/>
  <c r="CT176" i="50"/>
  <c r="DI81" i="50"/>
  <c r="BG95" i="50"/>
  <c r="FH185" i="50"/>
  <c r="Z171" i="50"/>
  <c r="N182" i="50"/>
  <c r="CA216" i="50"/>
  <c r="CI173" i="50"/>
  <c r="BW216" i="50"/>
  <c r="X33" i="50"/>
  <c r="FG178" i="50"/>
  <c r="EO83" i="50"/>
  <c r="FE200" i="50"/>
  <c r="CK132" i="50"/>
  <c r="U193" i="50"/>
  <c r="DE114" i="50"/>
  <c r="BP231" i="50"/>
  <c r="AA18" i="50"/>
  <c r="CU172" i="50"/>
  <c r="EK172" i="50"/>
  <c r="AL193" i="50"/>
  <c r="BD227" i="50"/>
  <c r="CT139" i="50"/>
  <c r="T59" i="50"/>
  <c r="AR179" i="50"/>
  <c r="DX159" i="50"/>
  <c r="DW189" i="50"/>
  <c r="FF174" i="50"/>
  <c r="CY153" i="50"/>
  <c r="BE180" i="50"/>
  <c r="AE32" i="26"/>
  <c r="EH237" i="50"/>
  <c r="CZ119" i="50"/>
  <c r="CL230" i="50"/>
  <c r="DQ160" i="50"/>
  <c r="ET211" i="50"/>
  <c r="FA190" i="50"/>
  <c r="CM134" i="50"/>
  <c r="X142" i="50"/>
  <c r="AX158" i="50"/>
  <c r="BG151" i="50"/>
  <c r="ES225" i="50"/>
  <c r="CZ220" i="50"/>
  <c r="FH217" i="50"/>
  <c r="CL237" i="50"/>
  <c r="J230" i="50"/>
  <c r="AZ172" i="50"/>
  <c r="FB223" i="50"/>
  <c r="EW181" i="50"/>
  <c r="FE221" i="50"/>
  <c r="FK137" i="50"/>
  <c r="I35" i="50"/>
  <c r="DI227" i="50"/>
  <c r="BJ231" i="50"/>
  <c r="FK98" i="50"/>
  <c r="CZ79" i="50"/>
  <c r="I176" i="50"/>
  <c r="CU234" i="50"/>
  <c r="AZ170" i="50"/>
  <c r="EB155" i="50"/>
  <c r="CL151" i="50"/>
  <c r="CN141" i="50"/>
  <c r="DD195" i="50"/>
  <c r="EU156" i="50"/>
  <c r="EM141" i="50"/>
  <c r="EG153" i="50"/>
  <c r="EJ120" i="50"/>
  <c r="DU88" i="50"/>
  <c r="BT80" i="50"/>
  <c r="FI196" i="50"/>
  <c r="AZ197" i="50"/>
  <c r="V173" i="50"/>
  <c r="FD206" i="50"/>
  <c r="J193" i="50"/>
  <c r="M176" i="50"/>
  <c r="EP140" i="50"/>
  <c r="EU144" i="50"/>
  <c r="CX155" i="50"/>
  <c r="AL180" i="50"/>
  <c r="DV166" i="50"/>
  <c r="EZ77" i="50"/>
  <c r="EA170" i="50"/>
  <c r="EM107" i="50"/>
  <c r="ET235" i="50"/>
  <c r="DE126" i="50"/>
  <c r="DG202" i="50"/>
  <c r="DB222" i="50"/>
  <c r="FJ162" i="50"/>
  <c r="EN213" i="50"/>
  <c r="CJ103" i="50"/>
  <c r="J38" i="50"/>
  <c r="EY95" i="50"/>
  <c r="AS237" i="50"/>
  <c r="CR154" i="50"/>
  <c r="S27" i="50"/>
  <c r="FH220" i="50"/>
  <c r="Q144" i="50"/>
  <c r="Q156" i="50"/>
  <c r="AM139" i="50"/>
  <c r="CW179" i="50"/>
  <c r="AO226" i="50"/>
  <c r="EZ202" i="50"/>
  <c r="FB182" i="50"/>
  <c r="EK107" i="50"/>
  <c r="BA142" i="50"/>
  <c r="DU128" i="50"/>
  <c r="F141" i="50"/>
  <c r="CZ145" i="50"/>
  <c r="AL52" i="50"/>
  <c r="DL176" i="50"/>
  <c r="FJ103" i="50"/>
  <c r="AO230" i="50"/>
  <c r="DA128" i="50"/>
  <c r="AH197" i="50"/>
  <c r="AV158" i="50"/>
  <c r="AY170" i="50"/>
  <c r="EG157" i="50"/>
  <c r="EL229" i="50"/>
  <c r="DF128" i="50"/>
  <c r="Y129" i="50"/>
  <c r="BR127" i="50"/>
  <c r="P195" i="50"/>
  <c r="DP212" i="50"/>
  <c r="DX126" i="50"/>
  <c r="L175" i="50"/>
  <c r="CT174" i="50"/>
  <c r="CR142" i="50"/>
  <c r="AA51" i="26"/>
  <c r="CG201" i="50"/>
  <c r="FF91" i="50"/>
  <c r="FB235" i="50"/>
  <c r="DT92" i="50"/>
  <c r="AE54" i="26"/>
  <c r="EK183" i="50"/>
  <c r="EO223" i="50"/>
  <c r="EQ128" i="50"/>
  <c r="AU175" i="50"/>
  <c r="FE215" i="50"/>
  <c r="FK237" i="50"/>
  <c r="DC215" i="50"/>
  <c r="AM176" i="50"/>
  <c r="AS182" i="50"/>
  <c r="AQ161" i="50"/>
  <c r="EX235" i="50"/>
  <c r="EN214" i="50"/>
  <c r="CN152" i="50"/>
  <c r="DB127" i="50"/>
  <c r="BR236" i="50"/>
  <c r="BX216" i="50"/>
  <c r="FC156" i="50"/>
  <c r="DT212" i="50"/>
  <c r="DA186" i="50"/>
  <c r="EN109" i="50"/>
  <c r="F36" i="50"/>
  <c r="AE64" i="50"/>
  <c r="EL110" i="50"/>
  <c r="L208" i="50"/>
  <c r="DZ215" i="50"/>
  <c r="FJ143" i="50"/>
  <c r="CG165" i="50"/>
  <c r="AH144" i="50"/>
  <c r="FK153" i="50"/>
  <c r="FI84" i="50"/>
  <c r="BS159" i="50"/>
  <c r="AK18" i="50"/>
  <c r="DE85" i="50"/>
  <c r="EO141" i="50"/>
  <c r="AM23" i="50"/>
  <c r="R64" i="50"/>
  <c r="DC126" i="50"/>
  <c r="EL224" i="50"/>
  <c r="BD235" i="50"/>
  <c r="CI127" i="50"/>
  <c r="CY172" i="50"/>
  <c r="AP175" i="50"/>
  <c r="CD182" i="50"/>
  <c r="BU149" i="50"/>
  <c r="DC140" i="50"/>
  <c r="FA121" i="50"/>
  <c r="FD160" i="50"/>
  <c r="EG155" i="50"/>
  <c r="DF162" i="50"/>
  <c r="H176" i="50"/>
  <c r="DI191" i="50"/>
  <c r="FD100" i="50"/>
  <c r="BD237" i="50"/>
  <c r="EP113" i="50"/>
  <c r="EN181" i="50"/>
  <c r="BW162" i="50"/>
  <c r="DX216" i="50"/>
  <c r="BY174" i="50"/>
  <c r="BT231" i="50"/>
  <c r="DG95" i="50"/>
  <c r="EW182" i="50"/>
  <c r="AM155" i="50"/>
  <c r="DK214" i="50"/>
  <c r="DD186" i="50"/>
  <c r="EY226" i="50"/>
  <c r="CZ87" i="50"/>
  <c r="CK212" i="50"/>
  <c r="FF181" i="50"/>
  <c r="CN190" i="50"/>
  <c r="CL145" i="50"/>
  <c r="CS213" i="50"/>
  <c r="DT154" i="50"/>
  <c r="DT122" i="50"/>
  <c r="FG234" i="50"/>
  <c r="DS211" i="50"/>
  <c r="BD183" i="50"/>
  <c r="AH27" i="50"/>
  <c r="DC104" i="50"/>
  <c r="F237" i="50"/>
  <c r="CZ137" i="50"/>
  <c r="AM214" i="50"/>
  <c r="CH92" i="50"/>
  <c r="BK216" i="50"/>
  <c r="EK217" i="50"/>
  <c r="CY96" i="50"/>
  <c r="AI50" i="50"/>
  <c r="AA213" i="50"/>
  <c r="AM159" i="50"/>
  <c r="FG144" i="50"/>
  <c r="CO170" i="50"/>
  <c r="FH163" i="50"/>
  <c r="C176" i="50"/>
  <c r="FF186" i="50"/>
  <c r="FJ96" i="50"/>
  <c r="CJ140" i="50"/>
  <c r="AA21" i="50"/>
  <c r="DU159" i="50"/>
  <c r="O230" i="50"/>
  <c r="BN128" i="50"/>
  <c r="Q140" i="50"/>
  <c r="EM202" i="50"/>
  <c r="CI178" i="50"/>
  <c r="EZ81" i="50"/>
  <c r="BT237" i="50"/>
  <c r="DX174" i="50"/>
  <c r="AK180" i="50"/>
  <c r="EJ160" i="50"/>
  <c r="AB30" i="26"/>
  <c r="Z25" i="26"/>
  <c r="EP109" i="50"/>
  <c r="DE214" i="50"/>
  <c r="CP194" i="50"/>
  <c r="EZ105" i="50"/>
  <c r="AC63" i="26"/>
  <c r="BT121" i="50"/>
  <c r="BJ159" i="50"/>
  <c r="FC233" i="50"/>
  <c r="AZ154" i="50"/>
  <c r="FF149" i="50"/>
  <c r="AS215" i="50"/>
  <c r="DC207" i="50"/>
  <c r="EH153" i="50"/>
  <c r="CG80" i="50"/>
  <c r="DT157" i="50"/>
  <c r="AW158" i="50"/>
  <c r="DL153" i="50"/>
  <c r="BY170" i="50"/>
  <c r="CC128" i="50"/>
  <c r="AB143" i="50"/>
  <c r="BH175" i="50"/>
  <c r="FJ95" i="50"/>
  <c r="EP201" i="50"/>
  <c r="BG125" i="50"/>
  <c r="EI112" i="50"/>
  <c r="AB142" i="50"/>
  <c r="BF173" i="50"/>
  <c r="EO122" i="50"/>
  <c r="DA86" i="50"/>
  <c r="FG211" i="50"/>
  <c r="DN144" i="50"/>
  <c r="BJ153" i="50"/>
  <c r="AQ154" i="50"/>
  <c r="EL199" i="50"/>
  <c r="I139" i="50"/>
  <c r="CF94" i="50"/>
  <c r="DB144" i="50"/>
  <c r="BV125" i="50"/>
  <c r="DH175" i="50"/>
  <c r="EI77" i="50"/>
  <c r="AG15" i="50"/>
  <c r="AH29" i="50"/>
  <c r="DX138" i="50"/>
  <c r="CB198" i="50"/>
  <c r="J216" i="50"/>
  <c r="EH147" i="50"/>
  <c r="EM108" i="50"/>
  <c r="AJ171" i="50"/>
  <c r="EJ192" i="50"/>
  <c r="AC40" i="26"/>
  <c r="AE158" i="50"/>
  <c r="CE196" i="50"/>
  <c r="BJ232" i="50"/>
  <c r="EJ196" i="50"/>
  <c r="DS161" i="50"/>
  <c r="CI235" i="50"/>
  <c r="CI102" i="50"/>
  <c r="Q153" i="50"/>
  <c r="DI235" i="50"/>
  <c r="DI201" i="50"/>
  <c r="DM229" i="50"/>
  <c r="FH194" i="50"/>
  <c r="DJ183" i="50"/>
  <c r="CI118" i="50"/>
  <c r="BG204" i="50"/>
  <c r="DR175" i="50"/>
  <c r="CK174" i="50"/>
  <c r="FK146" i="50"/>
  <c r="EY157" i="50"/>
  <c r="DD146" i="50"/>
  <c r="J154" i="50"/>
  <c r="DH75" i="50"/>
  <c r="DL158" i="50"/>
  <c r="BF143" i="50"/>
  <c r="EP169" i="50"/>
  <c r="DX183" i="50"/>
  <c r="DT209" i="50"/>
  <c r="DG182" i="50"/>
  <c r="EH235" i="50"/>
  <c r="AU207" i="50"/>
  <c r="FE233" i="50"/>
  <c r="BA215" i="50"/>
  <c r="AC139" i="50"/>
  <c r="Y141" i="50"/>
  <c r="W181" i="50"/>
  <c r="CG79" i="50"/>
  <c r="FB148" i="50"/>
  <c r="FJ84" i="50"/>
  <c r="FH140" i="50"/>
  <c r="DE74" i="50"/>
  <c r="DU216" i="50"/>
  <c r="FJ135" i="50"/>
  <c r="ES236" i="50"/>
  <c r="BC155" i="50"/>
  <c r="CD233" i="50"/>
  <c r="DZ178" i="50"/>
  <c r="CN120" i="50"/>
  <c r="AI209" i="50"/>
  <c r="DB111" i="50"/>
  <c r="EW157" i="50"/>
  <c r="DD100" i="50"/>
  <c r="CG90" i="50"/>
  <c r="BV100" i="50"/>
  <c r="BI194" i="50"/>
  <c r="X235" i="50"/>
  <c r="EX197" i="50"/>
  <c r="BV208" i="50"/>
  <c r="DW133" i="50"/>
  <c r="EC173" i="50"/>
  <c r="E39" i="50"/>
  <c r="FK172" i="50"/>
  <c r="M194" i="50"/>
  <c r="EZ180" i="50"/>
  <c r="CB179" i="50"/>
  <c r="EC140" i="50"/>
  <c r="CD181" i="50"/>
  <c r="FK100" i="50"/>
  <c r="EW208" i="50"/>
  <c r="FH209" i="50"/>
  <c r="CH210" i="50"/>
  <c r="CS227" i="50"/>
  <c r="CA172" i="50"/>
  <c r="DO174" i="50"/>
  <c r="EI225" i="50"/>
  <c r="CF110" i="50"/>
  <c r="CG106" i="50"/>
  <c r="BP143" i="50"/>
  <c r="CX79" i="50"/>
  <c r="FK96" i="50"/>
  <c r="Q198" i="50"/>
  <c r="EK209" i="50"/>
  <c r="FI154" i="50"/>
  <c r="BO195" i="50"/>
  <c r="EI229" i="50"/>
  <c r="R29" i="50"/>
  <c r="CH172" i="50"/>
  <c r="EM210" i="50"/>
  <c r="J34" i="50"/>
  <c r="AA34" i="50"/>
  <c r="DS171" i="50"/>
  <c r="S160" i="50"/>
  <c r="FA103" i="50"/>
  <c r="DV201" i="50"/>
  <c r="BV87" i="50"/>
  <c r="FD99" i="50"/>
  <c r="BS81" i="50"/>
  <c r="EW195" i="50"/>
  <c r="EP84" i="50"/>
  <c r="ES182" i="50"/>
  <c r="AI140" i="50"/>
  <c r="CI156" i="50"/>
  <c r="FG118" i="50"/>
  <c r="CE159" i="50"/>
  <c r="CH195" i="50"/>
  <c r="V229" i="50"/>
  <c r="V196" i="50"/>
  <c r="EP153" i="50"/>
  <c r="AE21" i="26"/>
  <c r="EO206" i="50"/>
  <c r="FH193" i="50"/>
  <c r="EO147" i="50"/>
  <c r="BC173" i="50"/>
  <c r="BR114" i="50"/>
  <c r="EL156" i="50"/>
  <c r="CW159" i="50"/>
  <c r="CK109" i="50"/>
  <c r="BU209" i="50"/>
  <c r="CR177" i="50"/>
  <c r="ED180" i="50"/>
  <c r="FE88" i="50"/>
  <c r="EL83" i="50"/>
  <c r="CY123" i="50"/>
  <c r="N175" i="50"/>
  <c r="Z13" i="26"/>
  <c r="EX176" i="50"/>
  <c r="AO212" i="50"/>
  <c r="BS195" i="50"/>
  <c r="AU230" i="50"/>
  <c r="DX94" i="50"/>
  <c r="CG231" i="50"/>
  <c r="AY128" i="50"/>
  <c r="Z226" i="50"/>
  <c r="CF207" i="50"/>
  <c r="CG98" i="50"/>
  <c r="CM230" i="50"/>
  <c r="CZ165" i="50"/>
  <c r="BH231" i="50"/>
  <c r="CQ142" i="50"/>
  <c r="FK155" i="50"/>
  <c r="T226" i="50"/>
  <c r="CV159" i="50"/>
  <c r="BE177" i="50"/>
  <c r="DY198" i="50"/>
  <c r="FC112" i="50"/>
  <c r="EX178" i="50"/>
  <c r="CF235" i="50"/>
  <c r="CB214" i="50"/>
  <c r="ED216" i="50"/>
  <c r="CX161" i="50"/>
  <c r="AR195" i="50"/>
  <c r="CP129" i="50"/>
  <c r="BK182" i="50"/>
  <c r="DT101" i="50"/>
  <c r="BS199" i="50"/>
  <c r="AA39" i="26"/>
  <c r="FE141" i="50"/>
  <c r="DF107" i="50"/>
  <c r="AF176" i="50"/>
  <c r="BS160" i="50"/>
  <c r="AT179" i="50"/>
  <c r="EH76" i="50"/>
  <c r="CM187" i="50"/>
  <c r="M210" i="50"/>
  <c r="F214" i="50"/>
  <c r="BS137" i="50"/>
  <c r="CK104" i="50"/>
  <c r="BU236" i="50"/>
  <c r="CY135" i="50"/>
  <c r="EN193" i="50"/>
  <c r="L33" i="50"/>
  <c r="DV101" i="50"/>
  <c r="M183" i="50"/>
  <c r="CN94" i="50"/>
  <c r="EV179" i="50"/>
  <c r="FJ102" i="50"/>
  <c r="FB154" i="50"/>
  <c r="FI222" i="50"/>
  <c r="CK125" i="50"/>
  <c r="BR223" i="50"/>
  <c r="X175" i="50"/>
  <c r="CM176" i="50"/>
  <c r="AW178" i="50"/>
  <c r="CM145" i="50"/>
  <c r="BW230" i="50"/>
  <c r="DU234" i="50"/>
  <c r="DH84" i="50"/>
  <c r="EP98" i="50"/>
  <c r="CW178" i="50"/>
  <c r="BU223" i="50"/>
  <c r="DH219" i="50"/>
  <c r="EM143" i="50"/>
  <c r="DV107" i="50"/>
  <c r="P170" i="50"/>
  <c r="CN124" i="50"/>
  <c r="CB181" i="50"/>
  <c r="EZ94" i="50"/>
  <c r="AT213" i="50"/>
  <c r="FI138" i="50"/>
  <c r="EO216" i="50"/>
  <c r="EJ216" i="50"/>
  <c r="CU226" i="50"/>
  <c r="DE229" i="50"/>
  <c r="AC198" i="50"/>
  <c r="CJ230" i="50"/>
  <c r="O156" i="50"/>
  <c r="DS181" i="50"/>
  <c r="CN76" i="50"/>
  <c r="DU183" i="50"/>
  <c r="EZ169" i="50"/>
  <c r="CG212" i="50"/>
  <c r="DU150" i="50"/>
  <c r="EP232" i="50"/>
  <c r="EH208" i="50"/>
  <c r="CY132" i="50"/>
  <c r="BZ159" i="50"/>
  <c r="CF120" i="50"/>
  <c r="CM225" i="50"/>
  <c r="BR153" i="50"/>
  <c r="DS210" i="50"/>
  <c r="FH115" i="50"/>
  <c r="H159" i="50"/>
  <c r="EB231" i="50"/>
  <c r="CY79" i="50"/>
  <c r="CZ178" i="50"/>
  <c r="EJ168" i="50"/>
  <c r="AE225" i="50"/>
  <c r="DC225" i="50"/>
  <c r="EO135" i="50"/>
  <c r="FG145" i="50"/>
  <c r="FK112" i="50"/>
  <c r="EV153" i="50"/>
  <c r="EP141" i="50"/>
  <c r="DT163" i="50"/>
  <c r="AZ214" i="50"/>
  <c r="FI117" i="50"/>
  <c r="AF193" i="50"/>
  <c r="C234" i="50"/>
  <c r="G208" i="50"/>
  <c r="M224" i="50"/>
  <c r="BU206" i="50"/>
  <c r="DD198" i="50"/>
  <c r="EM151" i="50"/>
  <c r="FI145" i="50"/>
  <c r="BS89" i="50"/>
  <c r="EP131" i="50"/>
  <c r="EC174" i="50"/>
  <c r="AC25" i="50"/>
  <c r="BV190" i="50"/>
  <c r="AG32" i="50"/>
  <c r="ED177" i="50"/>
  <c r="CW139" i="50"/>
  <c r="AE32" i="50"/>
  <c r="BJ141" i="50"/>
  <c r="EN210" i="50"/>
  <c r="BE154" i="50"/>
  <c r="CY192" i="50"/>
  <c r="DA213" i="50"/>
  <c r="CX138" i="50"/>
  <c r="BU152" i="50"/>
  <c r="BU127" i="50"/>
  <c r="DU80" i="50"/>
  <c r="AB178" i="50"/>
  <c r="EO190" i="50"/>
  <c r="DK140" i="50"/>
  <c r="EN85" i="50"/>
  <c r="BY215" i="50"/>
  <c r="CU170" i="50"/>
  <c r="DW82" i="50"/>
  <c r="FC158" i="50"/>
  <c r="FK92" i="50"/>
  <c r="CC194" i="50"/>
  <c r="AO179" i="50"/>
  <c r="FH147" i="50"/>
  <c r="EV195" i="50"/>
  <c r="BK226" i="50"/>
  <c r="DP213" i="50"/>
  <c r="BU216" i="50"/>
  <c r="Y179" i="50"/>
  <c r="BR207" i="50"/>
  <c r="CH216" i="50"/>
  <c r="CX231" i="50"/>
  <c r="FD142" i="50"/>
  <c r="CX237" i="50"/>
  <c r="CL116" i="50"/>
  <c r="AW176" i="50"/>
  <c r="AQ207" i="50"/>
  <c r="AG177" i="50"/>
  <c r="DX150" i="50"/>
  <c r="AD45" i="26"/>
  <c r="DH203" i="50"/>
  <c r="BM161" i="50"/>
  <c r="EK89" i="50"/>
  <c r="EM212" i="50"/>
  <c r="BO235" i="50"/>
  <c r="AT232" i="50"/>
  <c r="AW231" i="50"/>
  <c r="CA160" i="50"/>
  <c r="W194" i="50"/>
  <c r="AF208" i="50"/>
  <c r="BC194" i="50"/>
  <c r="CG232" i="50"/>
  <c r="CG194" i="50"/>
  <c r="CE160" i="50"/>
  <c r="EO226" i="50"/>
  <c r="BU229" i="50"/>
  <c r="DX218" i="50"/>
  <c r="ET175" i="50"/>
  <c r="FG78" i="50"/>
  <c r="EM197" i="50"/>
  <c r="DQ161" i="50"/>
  <c r="BI214" i="50"/>
  <c r="CV207" i="50"/>
  <c r="FH127" i="50"/>
  <c r="DU196" i="50"/>
  <c r="BR129" i="50"/>
  <c r="BR203" i="50"/>
  <c r="EJ179" i="50"/>
  <c r="EC160" i="50"/>
  <c r="DA102" i="50"/>
  <c r="DB114" i="50"/>
  <c r="BK214" i="50"/>
  <c r="DK197" i="50"/>
  <c r="DV108" i="50"/>
  <c r="CN125" i="50"/>
  <c r="EI198" i="50"/>
  <c r="DH151" i="50"/>
  <c r="DC206" i="50"/>
  <c r="FI115" i="50"/>
  <c r="BH141" i="50"/>
  <c r="U230" i="50"/>
  <c r="AQ193" i="50"/>
  <c r="CZ196" i="50"/>
  <c r="DA237" i="50"/>
  <c r="O158" i="50"/>
  <c r="CE197" i="50"/>
  <c r="N174" i="50"/>
  <c r="BY175" i="50"/>
  <c r="BI177" i="50"/>
  <c r="BJ224" i="50"/>
  <c r="DL235" i="50"/>
  <c r="EO101" i="50"/>
  <c r="DB173" i="50"/>
  <c r="CN170" i="50"/>
  <c r="M38" i="50"/>
  <c r="EV143" i="50"/>
  <c r="DA218" i="50"/>
  <c r="DP139" i="50"/>
  <c r="DI224" i="50"/>
  <c r="L236" i="50"/>
  <c r="V215" i="50"/>
  <c r="AO159" i="50"/>
  <c r="BW144" i="50"/>
  <c r="FB105" i="50"/>
  <c r="DD177" i="50"/>
  <c r="EI82" i="50"/>
  <c r="BA158" i="50"/>
  <c r="Z231" i="50"/>
  <c r="DI165" i="50"/>
  <c r="EN126" i="50"/>
  <c r="EJ129" i="50"/>
  <c r="EJ223" i="50"/>
  <c r="AJ153" i="50"/>
  <c r="CV139" i="50"/>
  <c r="H194" i="50"/>
  <c r="BX179" i="50"/>
  <c r="DB98" i="50"/>
  <c r="EM132" i="50"/>
  <c r="FD168" i="50"/>
  <c r="DU144" i="50"/>
  <c r="K162" i="50"/>
  <c r="EE183" i="50"/>
  <c r="DP170" i="50"/>
  <c r="Z45" i="26"/>
  <c r="CC154" i="50"/>
  <c r="CF123" i="50"/>
  <c r="DX214" i="50"/>
  <c r="AF37" i="50"/>
  <c r="DC110" i="50"/>
  <c r="EL195" i="50"/>
  <c r="CG221" i="50"/>
  <c r="AF175" i="50"/>
  <c r="AE183" i="50"/>
  <c r="CH173" i="50"/>
  <c r="DO178" i="50"/>
  <c r="DP141" i="50"/>
  <c r="CG237" i="50"/>
  <c r="BS134" i="50"/>
  <c r="EO95" i="50"/>
  <c r="CX199" i="50"/>
  <c r="DT177" i="50"/>
  <c r="EJ108" i="50"/>
  <c r="CV182" i="50"/>
  <c r="FF84" i="50"/>
  <c r="AJ42" i="50"/>
  <c r="BM196" i="50"/>
  <c r="BA213" i="50"/>
  <c r="FH116" i="50"/>
  <c r="DT116" i="50"/>
  <c r="AG42" i="50"/>
  <c r="V157" i="50"/>
  <c r="D228" i="50"/>
  <c r="DW98" i="50"/>
  <c r="EN91" i="50"/>
  <c r="CF211" i="50"/>
  <c r="BU161" i="50"/>
  <c r="CW87" i="50"/>
  <c r="AG225" i="50"/>
  <c r="EI164" i="50"/>
  <c r="FD231" i="50"/>
  <c r="EY225" i="50"/>
  <c r="FG192" i="50"/>
  <c r="DD154" i="50"/>
  <c r="CD179" i="50"/>
  <c r="CL107" i="50"/>
  <c r="BG117" i="50"/>
  <c r="DB108" i="50"/>
  <c r="ET230" i="50"/>
  <c r="F158" i="50"/>
  <c r="AF234" i="50"/>
  <c r="BS204" i="50"/>
  <c r="S162" i="50"/>
  <c r="DD99" i="50"/>
  <c r="L216" i="50"/>
  <c r="FH216" i="50"/>
  <c r="CQ139" i="50"/>
  <c r="DS183" i="50"/>
  <c r="EF160" i="50"/>
  <c r="FA166" i="50"/>
  <c r="G34" i="50"/>
  <c r="BU123" i="50"/>
  <c r="CZ207" i="50"/>
  <c r="DJ214" i="50"/>
  <c r="DR182" i="50"/>
  <c r="FH86" i="50"/>
  <c r="DH229" i="50"/>
  <c r="DJ159" i="50"/>
  <c r="AK213" i="50"/>
  <c r="CS160" i="50"/>
  <c r="BN157" i="50"/>
  <c r="EM103" i="50"/>
  <c r="DB186" i="50"/>
  <c r="CY209" i="50"/>
  <c r="DJ215" i="50"/>
  <c r="EO98" i="50"/>
  <c r="CJ183" i="50"/>
  <c r="CV208" i="50"/>
  <c r="DE148" i="50"/>
  <c r="EK162" i="50"/>
  <c r="BD194" i="50"/>
  <c r="FG91" i="50"/>
  <c r="EH99" i="50"/>
  <c r="DA94" i="50"/>
  <c r="DI101" i="50"/>
  <c r="EU155" i="50"/>
  <c r="EL174" i="50"/>
  <c r="R140" i="50"/>
  <c r="BK232" i="50"/>
  <c r="CH192" i="50"/>
  <c r="DC159" i="50"/>
  <c r="S232" i="50"/>
  <c r="DP231" i="50"/>
  <c r="G174" i="50"/>
  <c r="BB198" i="50"/>
  <c r="CX132" i="50"/>
  <c r="DQ214" i="50"/>
  <c r="BX225" i="50"/>
  <c r="DB107" i="50"/>
  <c r="EP123" i="50"/>
  <c r="AK24" i="50"/>
  <c r="EU128" i="50"/>
  <c r="F173" i="50"/>
  <c r="CZ230" i="50"/>
  <c r="BT226" i="50"/>
  <c r="EJ130" i="50"/>
  <c r="DB209" i="50"/>
  <c r="EI88" i="50"/>
  <c r="EM171" i="50"/>
  <c r="F170" i="50"/>
  <c r="AT161" i="50"/>
  <c r="DP155" i="50"/>
  <c r="BO212" i="50"/>
  <c r="DB231" i="50"/>
  <c r="DT97" i="50"/>
  <c r="EN113" i="50"/>
  <c r="AM232" i="50"/>
  <c r="CP215" i="50"/>
  <c r="BG101" i="50"/>
  <c r="EK103" i="50"/>
  <c r="BW229" i="50"/>
  <c r="DI178" i="50"/>
  <c r="FE207" i="50"/>
  <c r="AC157" i="50"/>
  <c r="BM176" i="50"/>
  <c r="DD94" i="50"/>
  <c r="EI141" i="50"/>
  <c r="FC176" i="50"/>
  <c r="BI198" i="50"/>
  <c r="CI121" i="50"/>
  <c r="Y193" i="50"/>
  <c r="CK115" i="50"/>
  <c r="DX163" i="50"/>
  <c r="CX230" i="50"/>
  <c r="F180" i="50"/>
  <c r="EJ98" i="50"/>
  <c r="EQ158" i="50"/>
  <c r="DG76" i="50"/>
  <c r="FD117" i="50"/>
  <c r="EW170" i="50"/>
  <c r="CK103" i="50"/>
  <c r="FC133" i="50"/>
  <c r="DV224" i="50"/>
  <c r="CV162" i="50"/>
  <c r="H31" i="50"/>
  <c r="AL177" i="50"/>
  <c r="DC143" i="50"/>
  <c r="DB223" i="50"/>
  <c r="FK220" i="50"/>
  <c r="FK203" i="50"/>
  <c r="FG213" i="50"/>
  <c r="CP141" i="50"/>
  <c r="FB161" i="50"/>
  <c r="CZ130" i="50"/>
  <c r="DX215" i="50"/>
  <c r="AE43" i="26"/>
  <c r="FH172" i="50"/>
  <c r="BH225" i="50"/>
  <c r="FK164" i="50"/>
  <c r="CJ129" i="50"/>
  <c r="FG163" i="50"/>
  <c r="AR161" i="50"/>
  <c r="AO183" i="50"/>
  <c r="FF212" i="50"/>
  <c r="J209" i="50"/>
  <c r="FE174" i="50"/>
  <c r="CR174" i="50"/>
  <c r="AE234" i="50"/>
  <c r="AB181" i="50"/>
  <c r="DI136" i="50"/>
  <c r="FK85" i="50"/>
  <c r="EP103" i="50"/>
  <c r="AT182" i="50"/>
  <c r="CG229" i="50"/>
  <c r="CS176" i="50"/>
  <c r="EA182" i="50"/>
  <c r="H213" i="50"/>
  <c r="EJ88" i="50"/>
  <c r="BX153" i="50"/>
  <c r="BT183" i="50"/>
  <c r="AR182" i="50"/>
  <c r="EM116" i="50"/>
  <c r="CL158" i="50"/>
  <c r="Z162" i="50"/>
  <c r="EF228" i="50"/>
  <c r="AJ232" i="50"/>
  <c r="AC160" i="50"/>
  <c r="FF134" i="50"/>
  <c r="EN177" i="50"/>
  <c r="EG144" i="50"/>
  <c r="AH183" i="50"/>
  <c r="DX121" i="50"/>
  <c r="FJ124" i="50"/>
  <c r="EN103" i="50"/>
  <c r="BB215" i="50"/>
  <c r="EF235" i="50"/>
  <c r="CK140" i="50"/>
  <c r="AC216" i="50"/>
  <c r="EL114" i="50"/>
  <c r="EG225" i="50"/>
  <c r="BD213" i="50"/>
  <c r="EX162" i="50"/>
  <c r="C158" i="50"/>
  <c r="DF158" i="50"/>
  <c r="BK212" i="50"/>
  <c r="CH214" i="50"/>
  <c r="DU98" i="50"/>
  <c r="EE234" i="50"/>
  <c r="EM200" i="50"/>
  <c r="L235" i="50"/>
  <c r="S129" i="50"/>
  <c r="BU138" i="50"/>
  <c r="DB157" i="50"/>
  <c r="EK203" i="50"/>
  <c r="BZ153" i="50"/>
  <c r="EP237" i="50"/>
  <c r="CU197" i="50"/>
  <c r="BV235" i="50"/>
  <c r="DE178" i="50"/>
  <c r="BM156" i="50"/>
  <c r="AG143" i="50"/>
  <c r="EK129" i="50"/>
  <c r="CW176" i="50"/>
  <c r="FA115" i="50"/>
  <c r="DZ173" i="50"/>
  <c r="AL140" i="50"/>
  <c r="FC192" i="50"/>
  <c r="EA177" i="50"/>
  <c r="EZ130" i="50"/>
  <c r="CM140" i="50"/>
  <c r="CJ112" i="50"/>
  <c r="FJ117" i="50"/>
  <c r="DZ214" i="50"/>
  <c r="AG174" i="50"/>
  <c r="CY94" i="50"/>
  <c r="M141" i="50"/>
  <c r="W144" i="50"/>
  <c r="CZ155" i="50"/>
  <c r="C40" i="50"/>
  <c r="AB29" i="50"/>
  <c r="BI215" i="50"/>
  <c r="AB172" i="50"/>
  <c r="FG169" i="50"/>
  <c r="CG125" i="50"/>
  <c r="AL58" i="50"/>
  <c r="EF161" i="50"/>
  <c r="AO142" i="50"/>
  <c r="EM168" i="50"/>
  <c r="W161" i="50"/>
  <c r="DD79" i="50"/>
  <c r="ET234" i="50"/>
  <c r="K157" i="50"/>
  <c r="DH140" i="50"/>
  <c r="EA154" i="50"/>
  <c r="EY128" i="50"/>
  <c r="AX161" i="50"/>
  <c r="DB201" i="50"/>
  <c r="BD174" i="50"/>
  <c r="DU213" i="50"/>
  <c r="BG153" i="50"/>
  <c r="AC37" i="50"/>
  <c r="G228" i="50"/>
  <c r="BI216" i="50"/>
  <c r="DG117" i="50"/>
  <c r="T172" i="50"/>
  <c r="BR113" i="50"/>
  <c r="CK171" i="50"/>
  <c r="EY215" i="50"/>
  <c r="BZ144" i="50"/>
  <c r="C228" i="50"/>
  <c r="AB57" i="26"/>
  <c r="CZ186" i="50"/>
  <c r="EZ164" i="50"/>
  <c r="AJ161" i="50"/>
  <c r="DO183" i="50"/>
  <c r="DO143" i="50"/>
  <c r="CM232" i="50"/>
  <c r="EF224" i="50"/>
  <c r="Z20" i="26"/>
  <c r="BG142" i="50"/>
  <c r="V176" i="50"/>
  <c r="CH189" i="50"/>
  <c r="EV181" i="50"/>
  <c r="Z182" i="50"/>
  <c r="BR82" i="50"/>
  <c r="DM214" i="50"/>
  <c r="AC22" i="50"/>
  <c r="CF179" i="50"/>
  <c r="EO109" i="50"/>
  <c r="BS146" i="50"/>
  <c r="J37" i="50"/>
  <c r="AF210" i="50"/>
  <c r="CQ228" i="50"/>
  <c r="AL209" i="50"/>
  <c r="CH222" i="50"/>
  <c r="CZ169" i="50"/>
  <c r="EL162" i="50"/>
  <c r="EJ147" i="50"/>
  <c r="H180" i="50"/>
  <c r="DJ160" i="50"/>
  <c r="CI101" i="50"/>
  <c r="EG182" i="50"/>
  <c r="DV219" i="50"/>
  <c r="BP235" i="50"/>
  <c r="CZ120" i="50"/>
  <c r="BU196" i="50"/>
  <c r="EO168" i="50"/>
  <c r="Z230" i="50"/>
  <c r="EQ195" i="50"/>
  <c r="DC112" i="50"/>
  <c r="BV119" i="50"/>
  <c r="AE30" i="50"/>
  <c r="C173" i="50"/>
  <c r="E175" i="50"/>
  <c r="DU105" i="50"/>
  <c r="S177" i="50"/>
  <c r="CZ118" i="50"/>
  <c r="AL229" i="50"/>
  <c r="FD192" i="50"/>
  <c r="EZ114" i="50"/>
  <c r="CZ125" i="50"/>
  <c r="EF144" i="50"/>
  <c r="CI186" i="50"/>
  <c r="FE191" i="50"/>
  <c r="FA172" i="50"/>
  <c r="FD127" i="50"/>
  <c r="CD143" i="50"/>
  <c r="BH171" i="50"/>
  <c r="EN179" i="50"/>
  <c r="CH196" i="50"/>
  <c r="DH135" i="50"/>
  <c r="AO216" i="50"/>
  <c r="CL103" i="50"/>
  <c r="CK165" i="50"/>
  <c r="AE224" i="50"/>
  <c r="BJ175" i="50"/>
  <c r="CG123" i="50"/>
  <c r="CL206" i="50"/>
  <c r="BY209" i="50"/>
  <c r="CK93" i="50"/>
  <c r="BN211" i="50"/>
  <c r="CC232" i="50"/>
  <c r="FC171" i="50"/>
  <c r="DI149" i="50"/>
  <c r="AB34" i="26"/>
  <c r="CH219" i="50"/>
  <c r="AV211" i="50"/>
  <c r="BT218" i="50"/>
  <c r="FJ99" i="50"/>
  <c r="BK225" i="50"/>
  <c r="DF100" i="50"/>
  <c r="EY227" i="50"/>
  <c r="DV82" i="50"/>
  <c r="CH95" i="50"/>
  <c r="FA209" i="50"/>
  <c r="EZ158" i="50"/>
  <c r="FG159" i="50"/>
  <c r="EP216" i="50"/>
  <c r="FD194" i="50"/>
  <c r="CS159" i="50"/>
  <c r="EZ162" i="50"/>
  <c r="V59" i="50"/>
  <c r="BR198" i="50"/>
  <c r="BB182" i="50"/>
  <c r="EX193" i="50"/>
  <c r="CP227" i="50"/>
  <c r="CS225" i="50"/>
  <c r="ET162" i="50"/>
  <c r="CY169" i="50"/>
  <c r="CJ94" i="50"/>
  <c r="CH125" i="50"/>
  <c r="AZ143" i="50"/>
  <c r="BP224" i="50"/>
  <c r="DA127" i="50"/>
  <c r="FH196" i="50"/>
  <c r="F224" i="50"/>
  <c r="AH230" i="50"/>
  <c r="I198" i="50"/>
  <c r="CZ141" i="50"/>
  <c r="AT181" i="50"/>
  <c r="EU180" i="50"/>
  <c r="DX113" i="50"/>
  <c r="CJ203" i="50"/>
  <c r="CX229" i="50"/>
  <c r="AZ175" i="50"/>
  <c r="BN225" i="50"/>
  <c r="AG142" i="50"/>
  <c r="DX123" i="50"/>
  <c r="EE128" i="50"/>
  <c r="CG113" i="50"/>
  <c r="FI86" i="50"/>
  <c r="FJ82" i="50"/>
  <c r="CN188" i="50"/>
  <c r="AM24" i="50"/>
  <c r="DR231" i="50"/>
  <c r="EM231" i="50"/>
  <c r="CO161" i="50"/>
  <c r="AD237" i="50"/>
  <c r="BO156" i="50"/>
  <c r="FD193" i="50"/>
  <c r="EO224" i="50"/>
  <c r="AC18" i="50"/>
  <c r="AL162" i="50"/>
  <c r="V159" i="50"/>
  <c r="DM208" i="50"/>
  <c r="AY175" i="50"/>
  <c r="AF231" i="50"/>
  <c r="AP213" i="50"/>
  <c r="DV92" i="50"/>
  <c r="DL171" i="50"/>
  <c r="EJ173" i="50"/>
  <c r="FJ218" i="50"/>
  <c r="DC237" i="50"/>
  <c r="FJ97" i="50"/>
  <c r="CB183" i="50"/>
  <c r="BO229" i="50"/>
  <c r="V161" i="50"/>
  <c r="M143" i="50"/>
  <c r="AC16" i="26"/>
  <c r="CQ182" i="50"/>
  <c r="BS193" i="50"/>
  <c r="CK184" i="50"/>
  <c r="DY213" i="50"/>
  <c r="FB81" i="50"/>
  <c r="CB235" i="50"/>
  <c r="DV206" i="50"/>
  <c r="AL45" i="50"/>
  <c r="AW228" i="50"/>
  <c r="CZ203" i="50"/>
  <c r="AG194" i="50"/>
  <c r="AD22" i="26"/>
  <c r="BT159" i="50"/>
  <c r="R173" i="50"/>
  <c r="R177" i="50"/>
  <c r="EO146" i="50"/>
  <c r="CC156" i="50"/>
  <c r="DE160" i="50"/>
  <c r="FI141" i="50"/>
  <c r="AH60" i="50"/>
  <c r="FF137" i="50"/>
  <c r="BV127" i="50"/>
  <c r="AM181" i="50"/>
  <c r="EP178" i="50"/>
  <c r="CE171" i="50"/>
  <c r="DU184" i="50"/>
  <c r="AU176" i="50"/>
  <c r="FB125" i="50"/>
  <c r="DB167" i="50"/>
  <c r="AA37" i="26"/>
  <c r="DP227" i="50"/>
  <c r="FG181" i="50"/>
  <c r="BB195" i="50"/>
  <c r="FG90" i="50"/>
  <c r="CC158" i="50"/>
  <c r="EB182" i="50"/>
  <c r="EK106" i="50"/>
  <c r="FE217" i="50"/>
  <c r="EW194" i="50"/>
  <c r="AE19" i="50"/>
  <c r="C231" i="50"/>
  <c r="BT114" i="50"/>
  <c r="DI158" i="50"/>
  <c r="EK184" i="50"/>
  <c r="AW216" i="50"/>
  <c r="BT213" i="50"/>
  <c r="EJ175" i="50"/>
  <c r="FA87" i="50"/>
  <c r="F212" i="50"/>
  <c r="R230" i="50"/>
  <c r="DJ158" i="50"/>
  <c r="BL235" i="50"/>
  <c r="EY179" i="50"/>
  <c r="CK173" i="50"/>
  <c r="BM155" i="50"/>
  <c r="EN206" i="50"/>
  <c r="DX99" i="50"/>
  <c r="AZ213" i="50"/>
  <c r="AG60" i="50"/>
  <c r="CW184" i="50"/>
  <c r="AD37" i="26"/>
  <c r="CO178" i="50"/>
  <c r="H183" i="50"/>
  <c r="EO205" i="50"/>
  <c r="EH171" i="50"/>
  <c r="M225" i="50"/>
  <c r="EO177" i="50"/>
  <c r="Z62" i="26"/>
  <c r="DA185" i="50"/>
  <c r="AC15" i="50"/>
  <c r="BV233" i="50"/>
  <c r="DR196" i="50"/>
  <c r="AE33" i="50"/>
  <c r="AA197" i="50"/>
  <c r="FK77" i="50"/>
  <c r="AC34" i="50"/>
  <c r="FI159" i="50"/>
  <c r="CN166" i="50"/>
  <c r="CX114" i="50"/>
  <c r="FH74" i="50"/>
  <c r="AR214" i="50"/>
  <c r="CW81" i="50"/>
  <c r="CX86" i="50"/>
  <c r="EF210" i="50"/>
  <c r="FH227" i="50"/>
  <c r="AC236" i="50"/>
  <c r="DS159" i="50"/>
  <c r="DI88" i="50"/>
  <c r="CM105" i="50"/>
  <c r="DW187" i="50"/>
  <c r="FE91" i="50"/>
  <c r="CU176" i="50"/>
  <c r="EM100" i="50"/>
  <c r="FK95" i="50"/>
  <c r="AQ214" i="50"/>
  <c r="EW212" i="50"/>
  <c r="DF159" i="50"/>
  <c r="W65" i="50"/>
  <c r="AE212" i="50"/>
  <c r="CP158" i="50"/>
  <c r="EN175" i="50"/>
  <c r="EZ205" i="50"/>
  <c r="DB164" i="50"/>
  <c r="CR211" i="50"/>
  <c r="CB139" i="50"/>
  <c r="DF233" i="50"/>
  <c r="DX83" i="50"/>
  <c r="BX182" i="50"/>
  <c r="FC203" i="50"/>
  <c r="EX179" i="50"/>
  <c r="BE226" i="50"/>
  <c r="DI78" i="50"/>
  <c r="BP196" i="50"/>
  <c r="FI207" i="50"/>
  <c r="FK197" i="50"/>
  <c r="AM60" i="50"/>
  <c r="BU237" i="50"/>
  <c r="FF148" i="50"/>
  <c r="DF81" i="50"/>
  <c r="I33" i="50"/>
  <c r="DH109" i="50"/>
  <c r="FH195" i="50"/>
  <c r="CY118" i="50"/>
  <c r="DI206" i="50"/>
  <c r="CS142" i="50"/>
  <c r="AN209" i="50"/>
  <c r="DG236" i="50"/>
  <c r="DS236" i="50"/>
  <c r="W142" i="50"/>
  <c r="BT102" i="50"/>
  <c r="BS158" i="50"/>
  <c r="FH90" i="50"/>
  <c r="T227" i="50"/>
  <c r="EP205" i="50"/>
  <c r="DI214" i="50"/>
  <c r="EO214" i="50"/>
  <c r="BK215" i="50"/>
  <c r="DT108" i="50"/>
  <c r="CM87" i="50"/>
  <c r="BK183" i="50"/>
  <c r="EX172" i="50"/>
  <c r="FH130" i="50"/>
  <c r="W129" i="50"/>
  <c r="FJ204" i="50"/>
  <c r="BT109" i="50"/>
  <c r="CJ214" i="50"/>
  <c r="CH151" i="50"/>
  <c r="EI142" i="50"/>
  <c r="V232" i="50"/>
  <c r="AL236" i="50"/>
  <c r="DI115" i="50"/>
  <c r="CF79" i="50"/>
  <c r="EM111" i="50"/>
  <c r="BZ227" i="50"/>
  <c r="EI162" i="50"/>
  <c r="BT233" i="50"/>
  <c r="AI45" i="50"/>
  <c r="BG93" i="50"/>
  <c r="DB132" i="50"/>
  <c r="FD202" i="50"/>
  <c r="BK230" i="50"/>
  <c r="AA55" i="26"/>
  <c r="FH157" i="50"/>
  <c r="BY232" i="50"/>
  <c r="BV128" i="50"/>
  <c r="DP178" i="50"/>
  <c r="DJ208" i="50"/>
  <c r="CU214" i="50"/>
  <c r="DX112" i="50"/>
  <c r="EL230" i="50"/>
  <c r="BX171" i="50"/>
  <c r="FB76" i="50"/>
  <c r="CF145" i="50"/>
  <c r="AC215" i="50"/>
  <c r="CQ159" i="50"/>
  <c r="DL212" i="50"/>
  <c r="EJ112" i="50"/>
  <c r="V212" i="50"/>
  <c r="AA63" i="50"/>
  <c r="CF228" i="50"/>
  <c r="BR118" i="50"/>
  <c r="DC178" i="50"/>
  <c r="AZ179" i="50"/>
  <c r="BB178" i="50"/>
  <c r="CL89" i="50"/>
  <c r="ER232" i="50"/>
  <c r="CQ213" i="50"/>
  <c r="AI179" i="50"/>
  <c r="S208" i="50"/>
  <c r="Z63" i="26"/>
  <c r="AR224" i="50"/>
  <c r="EH173" i="50"/>
  <c r="CI198" i="50"/>
  <c r="FJ119" i="50"/>
  <c r="EF170" i="50"/>
  <c r="FK91" i="50"/>
  <c r="DW181" i="50"/>
  <c r="CN174" i="50"/>
  <c r="CK210" i="50"/>
  <c r="H181" i="50"/>
  <c r="DD232" i="50"/>
  <c r="EH178" i="50"/>
  <c r="AR207" i="50"/>
  <c r="EK73" i="50"/>
  <c r="EL137" i="50"/>
  <c r="DO233" i="50"/>
  <c r="FJ207" i="50"/>
  <c r="DG143" i="50"/>
  <c r="CX144" i="50"/>
  <c r="AP161" i="50"/>
  <c r="CN118" i="50"/>
  <c r="FD183" i="50"/>
  <c r="DU230" i="50"/>
  <c r="U183" i="50"/>
  <c r="BU230" i="50"/>
  <c r="CC157" i="50"/>
  <c r="AH236" i="50"/>
  <c r="DN225" i="50"/>
  <c r="EO203" i="50"/>
  <c r="ER212" i="50"/>
  <c r="EZ226" i="50"/>
  <c r="CE213" i="50"/>
  <c r="AI181" i="50"/>
  <c r="DE184" i="50"/>
  <c r="DO210" i="50"/>
  <c r="EN156" i="50"/>
  <c r="EY177" i="50"/>
  <c r="DH116" i="50"/>
  <c r="BK177" i="50"/>
  <c r="CL152" i="50"/>
  <c r="EW161" i="50"/>
  <c r="DQ159" i="50"/>
  <c r="W172" i="50"/>
  <c r="BX141" i="50"/>
  <c r="FJ211" i="50"/>
  <c r="BS228" i="50"/>
  <c r="AD51" i="26"/>
  <c r="FB138" i="50"/>
  <c r="EN197" i="50"/>
  <c r="EM204" i="50"/>
  <c r="BV176" i="50"/>
  <c r="FD139" i="50"/>
  <c r="EZ122" i="50"/>
  <c r="CP144" i="50"/>
  <c r="T234" i="50"/>
  <c r="BM182" i="50"/>
  <c r="Y228" i="50"/>
  <c r="BZ160" i="50"/>
  <c r="DR212" i="50"/>
  <c r="DZ183" i="50"/>
  <c r="FD77" i="50"/>
  <c r="EH228" i="50"/>
  <c r="AK182" i="50"/>
  <c r="EP215" i="50"/>
  <c r="BL144" i="50"/>
  <c r="CL209" i="50"/>
  <c r="DL173" i="50"/>
  <c r="DH115" i="50"/>
  <c r="BS213" i="50"/>
  <c r="CW173" i="50"/>
  <c r="O140" i="50"/>
  <c r="BL129" i="50"/>
  <c r="CL112" i="50"/>
  <c r="BH232" i="50"/>
  <c r="AX143" i="50"/>
  <c r="CJ197" i="50"/>
  <c r="AB28" i="26"/>
  <c r="BA228" i="50"/>
  <c r="BM154" i="50"/>
  <c r="EP79" i="50"/>
  <c r="N142" i="50"/>
  <c r="DN141" i="50"/>
  <c r="EM170" i="50"/>
  <c r="FC115" i="50"/>
  <c r="DZ153" i="50"/>
  <c r="C216" i="50"/>
  <c r="BZ237" i="50"/>
  <c r="AA172" i="50"/>
  <c r="FF201" i="50"/>
  <c r="FD182" i="50"/>
  <c r="EP151" i="50"/>
  <c r="CP160" i="50"/>
  <c r="AP208" i="50"/>
  <c r="FD189" i="50"/>
  <c r="CJ167" i="50"/>
  <c r="AL233" i="50"/>
  <c r="FG81" i="50"/>
  <c r="CJ81" i="50"/>
  <c r="BT167" i="50"/>
  <c r="CN158" i="50"/>
  <c r="CG138" i="50"/>
  <c r="EM144" i="50"/>
  <c r="BU136" i="50"/>
  <c r="X212" i="50"/>
  <c r="DI80" i="50"/>
  <c r="ED172" i="50"/>
  <c r="AH211" i="50"/>
  <c r="AR175" i="50"/>
  <c r="DB156" i="50"/>
  <c r="CL233" i="50"/>
  <c r="BV194" i="50"/>
  <c r="DE130" i="50"/>
  <c r="BG169" i="50"/>
  <c r="FD130" i="50"/>
  <c r="FG96" i="50"/>
  <c r="BS191" i="50"/>
  <c r="BX128" i="50"/>
  <c r="DK227" i="50"/>
  <c r="FA156" i="50"/>
  <c r="DF146" i="50"/>
  <c r="BX161" i="50"/>
  <c r="CW202" i="50"/>
  <c r="DA181" i="50"/>
  <c r="EC215" i="50"/>
  <c r="DX116" i="50"/>
  <c r="AB216" i="50"/>
  <c r="FE122" i="50"/>
  <c r="DW110" i="50"/>
  <c r="P207" i="50"/>
  <c r="EO103" i="50"/>
  <c r="FH81" i="50"/>
  <c r="EM96" i="50"/>
  <c r="T228" i="50"/>
  <c r="CJ228" i="50"/>
  <c r="AJ236" i="50"/>
  <c r="EJ157" i="50"/>
  <c r="CM143" i="50"/>
  <c r="AV209" i="50"/>
  <c r="J231" i="50"/>
  <c r="CK235" i="50"/>
  <c r="CM198" i="50"/>
  <c r="S63" i="50"/>
  <c r="BR78" i="50"/>
  <c r="DO225" i="50"/>
  <c r="DX122" i="50"/>
  <c r="E197" i="50"/>
  <c r="S179" i="50"/>
  <c r="AA45" i="26"/>
  <c r="FE155" i="50"/>
  <c r="AG140" i="50"/>
  <c r="DU220" i="50"/>
  <c r="CJ229" i="50"/>
  <c r="CH138" i="50"/>
  <c r="EO112" i="50"/>
  <c r="EI211" i="50"/>
  <c r="DF103" i="50"/>
  <c r="FD203" i="50"/>
  <c r="FC139" i="50"/>
  <c r="FA158" i="50"/>
  <c r="FE86" i="50"/>
  <c r="EF226" i="50"/>
  <c r="EO94" i="50"/>
  <c r="CE175" i="50"/>
  <c r="AE156" i="50"/>
  <c r="AE26" i="26"/>
  <c r="W29" i="50"/>
  <c r="S64" i="50"/>
  <c r="AQ235" i="50"/>
  <c r="DU174" i="50"/>
  <c r="DH212" i="50"/>
  <c r="DH124" i="50"/>
  <c r="DB87" i="50"/>
  <c r="BQ209" i="50"/>
  <c r="FE208" i="50"/>
  <c r="AD173" i="50"/>
  <c r="BW129" i="50"/>
  <c r="DR237" i="50"/>
  <c r="DT132" i="50"/>
  <c r="CY151" i="50"/>
  <c r="CX198" i="50"/>
  <c r="CK127" i="50"/>
  <c r="H142" i="50"/>
  <c r="CL159" i="50"/>
  <c r="FF234" i="50"/>
  <c r="AC129" i="50"/>
  <c r="H30" i="50"/>
  <c r="W155" i="50"/>
  <c r="AK50" i="50"/>
  <c r="BL209" i="50"/>
  <c r="BF207" i="50"/>
  <c r="DU127" i="50"/>
  <c r="CO154" i="50"/>
  <c r="AF170" i="50"/>
  <c r="FK232" i="50"/>
  <c r="DE182" i="50"/>
  <c r="H235" i="50"/>
  <c r="BU227" i="50"/>
  <c r="DW120" i="50"/>
  <c r="AY157" i="50"/>
  <c r="EE229" i="50"/>
  <c r="CW98" i="50"/>
  <c r="CG179" i="50"/>
  <c r="DL180" i="50"/>
  <c r="CJ224" i="50"/>
  <c r="DE112" i="50"/>
  <c r="DR198" i="50"/>
  <c r="AQ158" i="50"/>
  <c r="DX119" i="50"/>
  <c r="EP74" i="50"/>
  <c r="FF206" i="50"/>
  <c r="FH156" i="50"/>
  <c r="AG36" i="50"/>
  <c r="G198" i="50"/>
  <c r="M33" i="50"/>
  <c r="AA128" i="50"/>
  <c r="DS179" i="50"/>
  <c r="AF235" i="50"/>
  <c r="BP176" i="50"/>
  <c r="CJ223" i="50"/>
  <c r="EW230" i="50"/>
  <c r="AC182" i="50"/>
  <c r="EO231" i="50"/>
  <c r="DV159" i="50"/>
  <c r="CH91" i="50"/>
  <c r="BN182" i="50"/>
  <c r="FI201" i="50"/>
  <c r="AR197" i="50"/>
  <c r="AD25" i="50"/>
  <c r="CN132" i="50"/>
  <c r="BU171" i="50"/>
  <c r="FG197" i="50"/>
  <c r="AD49" i="26"/>
  <c r="FE106" i="50"/>
  <c r="Y195" i="50"/>
  <c r="EG177" i="50"/>
  <c r="BV95" i="50"/>
  <c r="DX103" i="50"/>
  <c r="DI181" i="50"/>
  <c r="DX185" i="50"/>
  <c r="DE123" i="50"/>
  <c r="CO228" i="50"/>
  <c r="DV215" i="50"/>
  <c r="AX209" i="50"/>
  <c r="CF158" i="50"/>
  <c r="DU119" i="50"/>
  <c r="EU195" i="50"/>
  <c r="AA35" i="26"/>
  <c r="AM160" i="50"/>
  <c r="AB144" i="50"/>
  <c r="FI195" i="50"/>
  <c r="DE88" i="50"/>
  <c r="AK160" i="50"/>
  <c r="DA224" i="50"/>
  <c r="DI75" i="50"/>
  <c r="FK186" i="50"/>
  <c r="T195" i="50"/>
  <c r="AB141" i="50"/>
  <c r="BG217" i="50"/>
  <c r="DK195" i="50"/>
  <c r="CJ191" i="50"/>
  <c r="CY154" i="50"/>
  <c r="EI140" i="50"/>
  <c r="FK159" i="50"/>
  <c r="DI144" i="50"/>
  <c r="AI60" i="50"/>
  <c r="D234" i="50"/>
  <c r="BR183" i="50"/>
  <c r="DZ198" i="50"/>
  <c r="C39" i="50"/>
  <c r="AG33" i="50"/>
  <c r="BE144" i="50"/>
  <c r="DV189" i="50"/>
  <c r="P197" i="50"/>
  <c r="BI237" i="50"/>
  <c r="DB140" i="50"/>
  <c r="DO229" i="50"/>
  <c r="V216" i="50"/>
  <c r="K140" i="50"/>
  <c r="EM150" i="50"/>
  <c r="AH64" i="50"/>
  <c r="EX196" i="50"/>
  <c r="FC100" i="50"/>
  <c r="AT143" i="50"/>
  <c r="DX85" i="50"/>
  <c r="BI161" i="50"/>
  <c r="Q178" i="50"/>
  <c r="AD183" i="50"/>
  <c r="EE160" i="50"/>
  <c r="CW135" i="50"/>
  <c r="CI206" i="50"/>
  <c r="CQ141" i="50"/>
  <c r="CZ194" i="50"/>
  <c r="FK111" i="50"/>
  <c r="DI111" i="50"/>
  <c r="BL161" i="50"/>
  <c r="CN211" i="50"/>
  <c r="FE209" i="50"/>
  <c r="EP154" i="50"/>
  <c r="D37" i="50"/>
  <c r="DE221" i="50"/>
  <c r="DH210" i="50"/>
  <c r="AX177" i="50"/>
  <c r="CW222" i="50"/>
  <c r="AL55" i="50"/>
  <c r="BZ173" i="50"/>
  <c r="CY142" i="50"/>
  <c r="J194" i="50"/>
  <c r="DD123" i="50"/>
  <c r="CL74" i="50"/>
  <c r="DE216" i="50"/>
  <c r="EM113" i="50"/>
  <c r="DP156" i="50"/>
  <c r="FI208" i="50"/>
  <c r="DE197" i="50"/>
  <c r="CX167" i="50"/>
  <c r="AD225" i="50"/>
  <c r="G142" i="50"/>
  <c r="AC59" i="50"/>
  <c r="CE236" i="50"/>
  <c r="K209" i="50"/>
  <c r="BW177" i="50"/>
  <c r="FE87" i="50"/>
  <c r="DM232" i="50"/>
  <c r="G195" i="50"/>
  <c r="DF209" i="50"/>
  <c r="AC19" i="26"/>
  <c r="CG198" i="50"/>
  <c r="EA208" i="50"/>
  <c r="FG76" i="50"/>
  <c r="DH148" i="50"/>
  <c r="O235" i="50"/>
  <c r="BS236" i="50"/>
  <c r="EI183" i="50"/>
  <c r="BF140" i="50"/>
  <c r="AB40" i="26"/>
  <c r="AN160" i="50"/>
  <c r="CA177" i="50"/>
  <c r="DD84" i="50"/>
  <c r="FK147" i="50"/>
  <c r="CV178" i="50"/>
  <c r="DG217" i="50"/>
  <c r="DU211" i="50"/>
  <c r="BY226" i="50"/>
  <c r="V225" i="50"/>
  <c r="AP233" i="50"/>
  <c r="CP228" i="50"/>
  <c r="DZ235" i="50"/>
  <c r="DL139" i="50"/>
  <c r="FE157" i="50"/>
  <c r="CG92" i="50"/>
  <c r="EV230" i="50"/>
  <c r="CC231" i="50"/>
  <c r="DD176" i="50"/>
  <c r="FG73" i="50"/>
  <c r="EO158" i="50"/>
  <c r="EQ237" i="50"/>
  <c r="EH220" i="50"/>
  <c r="M181" i="50"/>
  <c r="EK170" i="50"/>
  <c r="CL149" i="50"/>
  <c r="EO102" i="50"/>
  <c r="DB131" i="50"/>
  <c r="AT235" i="50"/>
  <c r="DX149" i="50"/>
  <c r="EK127" i="50"/>
  <c r="BA144" i="50"/>
  <c r="CE233" i="50"/>
  <c r="CE208" i="50"/>
  <c r="DE172" i="50"/>
  <c r="CT235" i="50"/>
  <c r="AR194" i="50"/>
  <c r="DC222" i="50"/>
  <c r="CG196" i="50"/>
  <c r="DC94" i="50"/>
  <c r="AM51" i="50"/>
  <c r="BY227" i="50"/>
  <c r="I158" i="50"/>
  <c r="CG81" i="50"/>
  <c r="FK148" i="50"/>
  <c r="U232" i="50"/>
  <c r="R63" i="50"/>
  <c r="CK107" i="50"/>
  <c r="CP237" i="50"/>
  <c r="CZ110" i="50"/>
  <c r="AK61" i="50"/>
  <c r="AI62" i="50"/>
  <c r="J180" i="50"/>
  <c r="FB201" i="50"/>
  <c r="AR177" i="50"/>
  <c r="FF226" i="50"/>
  <c r="AD198" i="50"/>
  <c r="BC233" i="50"/>
  <c r="K170" i="50"/>
  <c r="EJ122" i="50"/>
  <c r="EX231" i="50"/>
  <c r="CX209" i="50"/>
  <c r="CK96" i="50"/>
  <c r="CR157" i="50"/>
  <c r="EY110" i="50"/>
  <c r="DE91" i="50"/>
  <c r="FA235" i="50"/>
  <c r="H34" i="50"/>
  <c r="DC213" i="50"/>
  <c r="AA57" i="26"/>
  <c r="CO179" i="50"/>
  <c r="CM93" i="50"/>
  <c r="EE176" i="50"/>
  <c r="AM211" i="50"/>
  <c r="W231" i="50"/>
  <c r="DC106" i="50"/>
  <c r="FD169" i="50"/>
  <c r="EL232" i="50"/>
  <c r="CL150" i="50"/>
  <c r="CI192" i="50"/>
  <c r="EN227" i="50"/>
  <c r="BR182" i="50"/>
  <c r="EH233" i="50"/>
  <c r="CJ189" i="50"/>
  <c r="FI151" i="50"/>
  <c r="EY139" i="50"/>
  <c r="AT211" i="50"/>
  <c r="AI31" i="50"/>
  <c r="BN161" i="50"/>
  <c r="DJ224" i="50"/>
  <c r="BU231" i="50"/>
  <c r="U61" i="50"/>
  <c r="AF207" i="50"/>
  <c r="FB121" i="50"/>
  <c r="DB116" i="50"/>
  <c r="DN172" i="50"/>
  <c r="CN176" i="50"/>
  <c r="BX234" i="50"/>
  <c r="BT180" i="50"/>
  <c r="EZ148" i="50"/>
  <c r="AE55" i="26"/>
  <c r="EB158" i="50"/>
  <c r="DE169" i="50"/>
  <c r="AA30" i="50"/>
  <c r="DX127" i="50"/>
  <c r="R213" i="50"/>
  <c r="EN140" i="50"/>
  <c r="BK209" i="50"/>
  <c r="FK82" i="50"/>
  <c r="CX166" i="50"/>
  <c r="BB196" i="50"/>
  <c r="BO141" i="50"/>
  <c r="FB164" i="50"/>
  <c r="FD195" i="50"/>
  <c r="FE222" i="50"/>
  <c r="BL224" i="50"/>
  <c r="FA111" i="50"/>
  <c r="T161" i="50"/>
  <c r="DU202" i="50"/>
  <c r="U141" i="50"/>
  <c r="E36" i="50"/>
  <c r="EV237" i="50"/>
  <c r="BV111" i="50"/>
  <c r="DV126" i="50"/>
  <c r="BU94" i="50"/>
  <c r="EB230" i="50"/>
  <c r="D144" i="50"/>
  <c r="EB170" i="50"/>
  <c r="DS153" i="50"/>
  <c r="FC140" i="50"/>
  <c r="CX150" i="50"/>
  <c r="FA134" i="50"/>
  <c r="CV229" i="50"/>
  <c r="FB109" i="50"/>
  <c r="U237" i="50"/>
  <c r="FE183" i="50"/>
  <c r="CH215" i="50"/>
  <c r="DB89" i="50"/>
  <c r="I160" i="50"/>
  <c r="BG148" i="50"/>
  <c r="Z30" i="26"/>
  <c r="AG47" i="50"/>
  <c r="BG216" i="50"/>
  <c r="DK210" i="50"/>
  <c r="DP237" i="50"/>
  <c r="AX198" i="50"/>
  <c r="AU161" i="50"/>
  <c r="CK75" i="50"/>
  <c r="AC59" i="26"/>
  <c r="DF105" i="50"/>
  <c r="AI29" i="50"/>
  <c r="DB77" i="50"/>
  <c r="BL128" i="50"/>
  <c r="EZ126" i="50"/>
  <c r="CZ96" i="50"/>
  <c r="BM129" i="50"/>
  <c r="EG141" i="50"/>
  <c r="FB78" i="50"/>
  <c r="EF179" i="50"/>
  <c r="BP171" i="50"/>
  <c r="FK187" i="50"/>
  <c r="AS181" i="50"/>
  <c r="DT96" i="50"/>
  <c r="BQ182" i="50"/>
  <c r="AB51" i="26"/>
  <c r="CL189" i="50"/>
  <c r="DD194" i="50"/>
  <c r="W216" i="50"/>
  <c r="CK215" i="50"/>
  <c r="CK213" i="50"/>
  <c r="BP230" i="50"/>
  <c r="AM62" i="50"/>
  <c r="BX236" i="50"/>
  <c r="EY127" i="50"/>
  <c r="AH51" i="50"/>
  <c r="DE147" i="50"/>
  <c r="CL153" i="50"/>
  <c r="AX235" i="50"/>
  <c r="CM110" i="50"/>
  <c r="DV183" i="50"/>
  <c r="EB153" i="50"/>
  <c r="CI183" i="50"/>
  <c r="CP162" i="50"/>
  <c r="DG147" i="50"/>
  <c r="EZ192" i="50"/>
  <c r="DA136" i="50"/>
  <c r="M173" i="50"/>
  <c r="CK192" i="50"/>
  <c r="DI90" i="50"/>
  <c r="EZ134" i="50"/>
  <c r="FG131" i="50"/>
  <c r="DR181" i="50"/>
  <c r="DU130" i="50"/>
  <c r="BG77" i="50"/>
  <c r="FB118" i="50"/>
  <c r="AD18" i="26"/>
  <c r="DI154" i="50"/>
  <c r="FD148" i="50"/>
  <c r="CO212" i="50"/>
  <c r="EK232" i="50"/>
  <c r="V156" i="50"/>
  <c r="FI174" i="50"/>
  <c r="EH185" i="50"/>
  <c r="CG76" i="50"/>
  <c r="CN236" i="50"/>
  <c r="CI97" i="50"/>
  <c r="Z61" i="50"/>
  <c r="EP209" i="50"/>
  <c r="FD226" i="50"/>
  <c r="BG224" i="50"/>
  <c r="CK118" i="50"/>
  <c r="AK27" i="50"/>
  <c r="EP225" i="50"/>
  <c r="EW209" i="50"/>
  <c r="AJ183" i="50"/>
  <c r="AU211" i="50"/>
  <c r="CL138" i="50"/>
  <c r="Q234" i="50"/>
  <c r="O234" i="50"/>
  <c r="D207" i="50"/>
  <c r="AZ161" i="50"/>
  <c r="EQ180" i="50"/>
  <c r="BS123" i="50"/>
  <c r="EO188" i="50"/>
  <c r="BN180" i="50"/>
  <c r="FA201" i="50"/>
  <c r="FE150" i="50"/>
  <c r="EB174" i="50"/>
  <c r="I142" i="50"/>
  <c r="FD212" i="50"/>
  <c r="DV139" i="50"/>
  <c r="EI200" i="50"/>
  <c r="FC186" i="50"/>
  <c r="DN216" i="50"/>
  <c r="V181" i="50"/>
  <c r="CW187" i="50"/>
  <c r="CK160" i="50"/>
  <c r="EJ177" i="50"/>
  <c r="AG155" i="50"/>
  <c r="FI228" i="50"/>
  <c r="AK157" i="50"/>
  <c r="CF237" i="50"/>
  <c r="EY132" i="50"/>
  <c r="CN148" i="50"/>
  <c r="E38" i="50"/>
  <c r="EK198" i="50"/>
  <c r="EG143" i="50"/>
  <c r="FK129" i="50"/>
  <c r="AH225" i="50"/>
  <c r="EH149" i="50"/>
  <c r="CW171" i="50"/>
  <c r="FD81" i="50"/>
  <c r="DI92" i="50"/>
  <c r="FJ114" i="50"/>
  <c r="AS193" i="50"/>
  <c r="DL208" i="50"/>
  <c r="AR237" i="50"/>
  <c r="AC61" i="26"/>
  <c r="BD172" i="50"/>
  <c r="EZ231" i="50"/>
  <c r="DV84" i="50"/>
  <c r="L232" i="50"/>
  <c r="R159" i="50"/>
  <c r="DF135" i="50"/>
  <c r="EL209" i="50"/>
  <c r="ED213" i="50"/>
  <c r="EN75" i="50"/>
  <c r="DV131" i="50"/>
  <c r="DK224" i="50"/>
  <c r="FA149" i="50"/>
  <c r="BG227" i="50"/>
  <c r="S234" i="50"/>
  <c r="DG142" i="50"/>
  <c r="EL181" i="50"/>
  <c r="BW153" i="50"/>
  <c r="CT212" i="50"/>
  <c r="AC27" i="26"/>
  <c r="M208" i="50"/>
  <c r="DK225" i="50"/>
  <c r="D41" i="50"/>
  <c r="AK177" i="50"/>
  <c r="DO231" i="50"/>
  <c r="CM231" i="50"/>
  <c r="V180" i="50"/>
  <c r="CF101" i="50"/>
  <c r="CL225" i="50"/>
  <c r="CL154" i="50"/>
  <c r="DW113" i="50"/>
  <c r="EO154" i="50"/>
  <c r="CK221" i="50"/>
  <c r="FG151" i="50"/>
  <c r="BN170" i="50"/>
  <c r="CU128" i="50"/>
  <c r="DF89" i="50"/>
  <c r="FH171" i="50"/>
  <c r="CR160" i="50"/>
  <c r="EK88" i="50"/>
  <c r="CG105" i="50"/>
  <c r="FF99" i="50"/>
  <c r="FK215" i="50"/>
  <c r="BS203" i="50"/>
  <c r="CE170" i="50"/>
  <c r="X60" i="50"/>
  <c r="BD162" i="50"/>
  <c r="BT185" i="50"/>
  <c r="AT159" i="50"/>
  <c r="DU212" i="50"/>
  <c r="AC60" i="26"/>
  <c r="FF187" i="50"/>
  <c r="CY122" i="50"/>
  <c r="CF164" i="50"/>
  <c r="FJ234" i="50"/>
  <c r="EF158" i="50"/>
  <c r="FA212" i="50"/>
  <c r="AZ181" i="50"/>
  <c r="CL120" i="50"/>
  <c r="DM226" i="50"/>
  <c r="BM211" i="50"/>
  <c r="CH165" i="50"/>
  <c r="CJ171" i="50"/>
  <c r="CA182" i="50"/>
  <c r="AF129" i="50"/>
  <c r="BS237" i="50"/>
  <c r="W197" i="50"/>
  <c r="ER197" i="50"/>
  <c r="CJ202" i="50"/>
  <c r="EP106" i="50"/>
  <c r="CF104" i="50"/>
  <c r="DX90" i="50"/>
  <c r="EP172" i="50"/>
  <c r="FE220" i="50"/>
  <c r="BI180" i="50"/>
  <c r="BR237" i="50"/>
  <c r="DV231" i="50"/>
  <c r="EW175" i="50"/>
  <c r="FG171" i="50"/>
  <c r="O155" i="50"/>
  <c r="AD19" i="26"/>
  <c r="AS179" i="50"/>
  <c r="AG179" i="50"/>
  <c r="EK147" i="50"/>
  <c r="AZ178" i="50"/>
  <c r="CM229" i="50"/>
  <c r="EY162" i="50"/>
  <c r="J197" i="50"/>
  <c r="DG140" i="50"/>
  <c r="T29" i="50"/>
  <c r="BM160" i="50"/>
  <c r="EJ209" i="50"/>
  <c r="EJ169" i="50"/>
  <c r="W143" i="50"/>
  <c r="DY157" i="50"/>
  <c r="Z34" i="26"/>
  <c r="EI152" i="50"/>
  <c r="BE196" i="50"/>
  <c r="O174" i="50"/>
  <c r="FD124" i="50"/>
  <c r="EO86" i="50"/>
  <c r="CW201" i="50"/>
  <c r="DE204" i="50"/>
  <c r="EZ191" i="50"/>
  <c r="FD74" i="50"/>
  <c r="AQ177" i="50"/>
  <c r="BV121" i="50"/>
  <c r="BI162" i="50"/>
  <c r="FG225" i="50"/>
  <c r="N162" i="50"/>
  <c r="DP128" i="50"/>
  <c r="G161" i="50"/>
  <c r="FF224" i="50"/>
  <c r="BT90" i="50"/>
  <c r="DC95" i="50"/>
  <c r="AJ62" i="50"/>
  <c r="BQ159" i="50"/>
  <c r="CV232" i="50"/>
  <c r="FI83" i="50"/>
  <c r="ES142" i="50"/>
  <c r="DX213" i="50"/>
  <c r="F144" i="50"/>
  <c r="ED139" i="50"/>
  <c r="AG210" i="50"/>
  <c r="N214" i="50"/>
  <c r="I37" i="50"/>
  <c r="CM147" i="50"/>
  <c r="CK142" i="50"/>
  <c r="BF154" i="50"/>
  <c r="BQ236" i="50"/>
  <c r="BY142" i="50"/>
  <c r="EH138" i="50"/>
  <c r="DI83" i="50"/>
  <c r="CL173" i="50"/>
  <c r="BL158" i="50"/>
  <c r="DG178" i="50"/>
  <c r="CA212" i="50"/>
  <c r="BV196" i="50"/>
  <c r="EZ183" i="50"/>
  <c r="DA143" i="50"/>
  <c r="AV226" i="50"/>
  <c r="BN234" i="50"/>
  <c r="EC214" i="50"/>
  <c r="BP211" i="50"/>
  <c r="DN198" i="50"/>
  <c r="I194" i="50"/>
  <c r="ED225" i="50"/>
  <c r="CQ225" i="50"/>
  <c r="E230" i="50"/>
  <c r="FC232" i="50"/>
  <c r="CA194" i="50"/>
  <c r="DG85" i="50"/>
  <c r="BG137" i="50"/>
  <c r="FE96" i="50"/>
  <c r="FK124" i="50"/>
  <c r="EV228" i="50"/>
  <c r="FG136" i="50"/>
  <c r="DH168" i="50"/>
  <c r="BE158" i="50"/>
  <c r="CM108" i="50"/>
  <c r="DL197" i="50"/>
  <c r="DX188" i="50"/>
  <c r="EW142" i="50"/>
  <c r="BZ174" i="50"/>
  <c r="CC227" i="50"/>
  <c r="AD30" i="26"/>
  <c r="X173" i="50"/>
  <c r="BG116" i="50"/>
  <c r="BG74" i="50"/>
  <c r="BC171" i="50"/>
  <c r="EL216" i="50"/>
  <c r="DR157" i="50"/>
  <c r="AN211" i="50"/>
  <c r="DT128" i="50"/>
  <c r="V183" i="50"/>
  <c r="G214" i="50"/>
  <c r="ED234" i="50"/>
  <c r="AZ236" i="50"/>
  <c r="N208" i="50"/>
  <c r="BZ141" i="50"/>
  <c r="E207" i="50"/>
  <c r="FJ158" i="50"/>
  <c r="BW140" i="50"/>
  <c r="FI191" i="50"/>
  <c r="AJ181" i="50"/>
  <c r="DU204" i="50"/>
  <c r="AY183" i="50"/>
  <c r="CG108" i="50"/>
  <c r="W174" i="50"/>
  <c r="CH162" i="50"/>
  <c r="CY106" i="50"/>
  <c r="EL170" i="50"/>
  <c r="FC88" i="50"/>
  <c r="AB224" i="50"/>
  <c r="AR174" i="50"/>
  <c r="E210" i="50"/>
  <c r="DV197" i="50"/>
  <c r="EM186" i="50"/>
  <c r="BO142" i="50"/>
  <c r="AE29" i="26"/>
  <c r="BT136" i="50"/>
  <c r="FK122" i="50"/>
  <c r="EB176" i="50"/>
  <c r="BD160" i="50"/>
  <c r="DQ235" i="50"/>
  <c r="FK83" i="50"/>
  <c r="FF119" i="50"/>
  <c r="CM166" i="50"/>
  <c r="DI197" i="50"/>
  <c r="CH213" i="50"/>
  <c r="DA115" i="50"/>
  <c r="AI23" i="50"/>
  <c r="CH76" i="50"/>
  <c r="BW226" i="50"/>
  <c r="BA174" i="50"/>
  <c r="EH224" i="50"/>
  <c r="DL209" i="50"/>
  <c r="DC197" i="50"/>
  <c r="EP102" i="50"/>
  <c r="Y64" i="50"/>
  <c r="EM164" i="50"/>
  <c r="AA65" i="50"/>
  <c r="DB99" i="50"/>
  <c r="CF227" i="50"/>
  <c r="FA78" i="50"/>
  <c r="CU225" i="50"/>
  <c r="DK208" i="50"/>
  <c r="BZ229" i="50"/>
  <c r="EO179" i="50"/>
  <c r="CB228" i="50"/>
  <c r="BP142" i="50"/>
  <c r="BE142" i="50"/>
  <c r="CX91" i="50"/>
  <c r="EL180" i="50"/>
  <c r="AP177" i="50"/>
  <c r="CX131" i="50"/>
  <c r="AF62" i="50"/>
  <c r="CX88" i="50"/>
  <c r="CL106" i="50"/>
  <c r="CN159" i="50"/>
  <c r="EC194" i="50"/>
  <c r="FF197" i="50"/>
  <c r="EZ145" i="50"/>
  <c r="FG222" i="50"/>
  <c r="DR230" i="50"/>
  <c r="CW148" i="50"/>
  <c r="EM211" i="50"/>
  <c r="EJ99" i="50"/>
  <c r="CK114" i="50"/>
  <c r="W64" i="50"/>
  <c r="CX224" i="50"/>
  <c r="BQ237" i="50"/>
  <c r="FC221" i="50"/>
  <c r="DU125" i="50"/>
  <c r="M182" i="50"/>
  <c r="CK189" i="50"/>
  <c r="DT200" i="50"/>
  <c r="CW93" i="50"/>
  <c r="E129" i="50"/>
  <c r="EW155" i="50"/>
  <c r="BU200" i="50"/>
  <c r="CI202" i="50"/>
  <c r="FA228" i="50"/>
  <c r="CJ88" i="50"/>
  <c r="DT233" i="50"/>
  <c r="Z177" i="50"/>
  <c r="FD220" i="50"/>
  <c r="EI124" i="50"/>
  <c r="AM37" i="50"/>
  <c r="FE185" i="50"/>
  <c r="EN173" i="50"/>
  <c r="DG81" i="50"/>
  <c r="CK178" i="50"/>
  <c r="EX211" i="50"/>
  <c r="DG93" i="50"/>
  <c r="DE211" i="50"/>
  <c r="BA234" i="50"/>
  <c r="FD109" i="50"/>
  <c r="EN83" i="50"/>
  <c r="CM218" i="50"/>
  <c r="CH127" i="50"/>
  <c r="CB234" i="50"/>
  <c r="CI172" i="50"/>
  <c r="CY80" i="50"/>
  <c r="BT95" i="50"/>
  <c r="CM233" i="50"/>
  <c r="AM157" i="50"/>
  <c r="AH194" i="50"/>
  <c r="CG142" i="50"/>
  <c r="BL229" i="50"/>
  <c r="FA74" i="50"/>
  <c r="W175" i="50"/>
  <c r="DG158" i="50"/>
  <c r="FG93" i="50"/>
  <c r="BS88" i="50"/>
  <c r="O213" i="50"/>
  <c r="CZ136" i="50"/>
  <c r="EP126" i="50"/>
  <c r="EO218" i="50"/>
  <c r="DH185" i="50"/>
  <c r="AQ210" i="50"/>
  <c r="T194" i="50"/>
  <c r="CL231" i="50"/>
  <c r="P139" i="50"/>
  <c r="AD44" i="26"/>
  <c r="CH211" i="50"/>
  <c r="T236" i="50"/>
  <c r="BS181" i="50"/>
  <c r="DH79" i="50"/>
  <c r="AW179" i="50"/>
  <c r="EM133" i="50"/>
  <c r="EN158" i="50"/>
  <c r="FH103" i="50"/>
  <c r="DH213" i="50"/>
  <c r="EN182" i="50"/>
  <c r="CN194" i="50"/>
  <c r="F140" i="50"/>
  <c r="DV162" i="50"/>
  <c r="BF142" i="50"/>
  <c r="EP202" i="50"/>
  <c r="CM82" i="50"/>
  <c r="EB235" i="50"/>
  <c r="AN156" i="50"/>
  <c r="M41" i="50"/>
  <c r="DC153" i="50"/>
  <c r="CQ231" i="50"/>
  <c r="BU115" i="50"/>
  <c r="EN86" i="50"/>
  <c r="EI186" i="50"/>
  <c r="FD134" i="50"/>
  <c r="BF176" i="50"/>
  <c r="DH184" i="50"/>
  <c r="DF122" i="50"/>
  <c r="BO210" i="50"/>
  <c r="AN198" i="50"/>
  <c r="T64" i="50"/>
  <c r="BU109" i="50"/>
  <c r="EZ215" i="50"/>
  <c r="FK116" i="50"/>
  <c r="ED128" i="50"/>
  <c r="AD179" i="50"/>
  <c r="EA159" i="50"/>
  <c r="CF117" i="50"/>
  <c r="FG142" i="50"/>
  <c r="CF82" i="50"/>
  <c r="DW106" i="50"/>
  <c r="FH206" i="50"/>
  <c r="AA50" i="26"/>
  <c r="BB143" i="50"/>
  <c r="DX204" i="50"/>
  <c r="AI235" i="50"/>
  <c r="CI115" i="50"/>
  <c r="AU153" i="50"/>
  <c r="DU129" i="50"/>
  <c r="CO234" i="50"/>
  <c r="FI217" i="50"/>
  <c r="CC216" i="50"/>
  <c r="AT224" i="50"/>
  <c r="EH116" i="50"/>
  <c r="CY75" i="50"/>
  <c r="CY161" i="50"/>
  <c r="DF83" i="50"/>
  <c r="CZ202" i="50"/>
  <c r="K32" i="50"/>
  <c r="CF181" i="50"/>
  <c r="FI101" i="50"/>
  <c r="J176" i="50"/>
  <c r="ET182" i="50"/>
  <c r="CK136" i="50"/>
  <c r="FJ145" i="50"/>
  <c r="AG178" i="50"/>
  <c r="AF27" i="50"/>
  <c r="FH230" i="50"/>
  <c r="CW186" i="50"/>
  <c r="BU181" i="50"/>
  <c r="DH218" i="50"/>
  <c r="EO93" i="50"/>
  <c r="AJ216" i="50"/>
  <c r="AJ180" i="50"/>
  <c r="AJ142" i="50"/>
  <c r="R143" i="50"/>
  <c r="E144" i="50"/>
  <c r="AO128" i="50"/>
  <c r="AN175" i="50"/>
  <c r="DP229" i="50"/>
  <c r="AN176" i="50"/>
  <c r="DX178" i="50"/>
  <c r="DT215" i="50"/>
  <c r="FI82" i="50"/>
  <c r="AN224" i="50"/>
  <c r="DT231" i="50"/>
  <c r="BU153" i="50"/>
  <c r="AO196" i="50"/>
  <c r="FD119" i="50"/>
  <c r="DB86" i="50"/>
  <c r="BR180" i="50"/>
  <c r="CJ96" i="50"/>
  <c r="AM18" i="50"/>
  <c r="DK179" i="50"/>
  <c r="CI190" i="50"/>
  <c r="CF213" i="50"/>
  <c r="J198" i="50"/>
  <c r="EL90" i="50"/>
  <c r="DY232" i="50"/>
  <c r="EH230" i="50"/>
  <c r="FI123" i="50"/>
  <c r="DN175" i="50"/>
  <c r="CM160" i="50"/>
  <c r="R196" i="50"/>
  <c r="AJ231" i="50"/>
  <c r="E216" i="50"/>
  <c r="DQ207" i="50"/>
  <c r="ED196" i="50"/>
  <c r="CU183" i="50"/>
  <c r="AB61" i="26"/>
  <c r="FF124" i="50"/>
  <c r="CC174" i="50"/>
  <c r="BJ198" i="50"/>
  <c r="BG207" i="50"/>
  <c r="CI148" i="50"/>
  <c r="DM213" i="50"/>
  <c r="FJ87" i="50"/>
  <c r="AH232" i="50"/>
  <c r="DT190" i="50"/>
  <c r="DS216" i="50"/>
  <c r="AG56" i="50"/>
  <c r="CQ235" i="50"/>
  <c r="V162" i="50"/>
  <c r="BH162" i="50"/>
  <c r="DB171" i="50"/>
  <c r="CS228" i="50"/>
  <c r="FC224" i="50"/>
  <c r="AK174" i="50"/>
  <c r="FA161" i="50"/>
  <c r="G144" i="50"/>
  <c r="CF221" i="50"/>
  <c r="P173" i="50"/>
  <c r="BV232" i="50"/>
  <c r="BR216" i="50"/>
  <c r="FK99" i="50"/>
  <c r="CK233" i="50"/>
  <c r="ED158" i="50"/>
  <c r="DW170" i="50"/>
  <c r="EL197" i="50"/>
  <c r="BS82" i="50"/>
  <c r="DF90" i="50"/>
  <c r="EY211" i="50"/>
  <c r="BF208" i="50"/>
  <c r="AB158" i="50"/>
  <c r="AE40" i="26"/>
  <c r="EL105" i="50"/>
  <c r="DA173" i="50"/>
  <c r="AL65" i="50"/>
  <c r="CU182" i="50"/>
  <c r="CJ157" i="50"/>
  <c r="FG116" i="50"/>
  <c r="AW144" i="50"/>
  <c r="V195" i="50"/>
  <c r="X170" i="50"/>
  <c r="EK95" i="50"/>
  <c r="Z176" i="50"/>
  <c r="AK228" i="50"/>
  <c r="FA97" i="50"/>
  <c r="AE19" i="26"/>
  <c r="FH119" i="50"/>
  <c r="AU194" i="50"/>
  <c r="CX233" i="50"/>
  <c r="CL224" i="50"/>
  <c r="DK144" i="50"/>
  <c r="DU87" i="50"/>
  <c r="BU108" i="50"/>
  <c r="FH83" i="50"/>
  <c r="AN210" i="50"/>
  <c r="DL195" i="50"/>
  <c r="BX212" i="50"/>
  <c r="BA194" i="50"/>
  <c r="FK79" i="50"/>
  <c r="EY216" i="50"/>
  <c r="FG110" i="50"/>
  <c r="FA136" i="50"/>
  <c r="CN187" i="50"/>
  <c r="EP180" i="50"/>
  <c r="AD28" i="26"/>
  <c r="BW179" i="50"/>
  <c r="EJ176" i="50"/>
  <c r="BU174" i="50"/>
  <c r="BR115" i="50"/>
  <c r="T37" i="50"/>
  <c r="DX107" i="50"/>
  <c r="CS174" i="50"/>
  <c r="AC65" i="50"/>
  <c r="Z235" i="50"/>
  <c r="EB178" i="50"/>
  <c r="G139" i="50"/>
  <c r="K159" i="50"/>
  <c r="BU194" i="50"/>
  <c r="N237" i="50"/>
  <c r="BO173" i="50"/>
  <c r="M198" i="50"/>
  <c r="C177" i="50"/>
  <c r="DY236" i="50"/>
  <c r="DH137" i="50"/>
  <c r="S128" i="50"/>
  <c r="CU237" i="50"/>
  <c r="EK97" i="50"/>
  <c r="FC97" i="50"/>
  <c r="EP186" i="50"/>
  <c r="CG121" i="50"/>
  <c r="FK86" i="50"/>
  <c r="EM217" i="50"/>
  <c r="EB214" i="50"/>
  <c r="AG212" i="50"/>
  <c r="FC159" i="50"/>
  <c r="AA25" i="50"/>
  <c r="CI184" i="50"/>
  <c r="FE80" i="50"/>
  <c r="FD84" i="50"/>
  <c r="AD162" i="50"/>
  <c r="FB180" i="50"/>
  <c r="BF153" i="50"/>
  <c r="DA166" i="50"/>
  <c r="DB115" i="50"/>
  <c r="BS206" i="50"/>
  <c r="BR187" i="50"/>
  <c r="DW162" i="50"/>
  <c r="C235" i="50"/>
  <c r="DB84" i="50"/>
  <c r="EI113" i="50"/>
  <c r="DF161" i="50"/>
  <c r="EF159" i="50"/>
  <c r="BS148" i="50"/>
  <c r="FK162" i="50"/>
  <c r="CJ83" i="50"/>
  <c r="DW177" i="50"/>
  <c r="EM98" i="50"/>
  <c r="EJ91" i="50"/>
  <c r="X172" i="50"/>
  <c r="AM140" i="50"/>
  <c r="I179" i="50"/>
  <c r="BB233" i="50"/>
  <c r="F129" i="50"/>
  <c r="K227" i="50"/>
  <c r="FE184" i="50"/>
  <c r="BG234" i="50"/>
  <c r="DR178" i="50"/>
  <c r="FK182" i="50"/>
  <c r="FB134" i="50"/>
  <c r="DE151" i="50"/>
  <c r="FB106" i="50"/>
  <c r="AY177" i="50"/>
  <c r="Z16" i="26"/>
  <c r="DT100" i="50"/>
  <c r="FB193" i="50"/>
  <c r="EO165" i="50"/>
  <c r="CE173" i="50"/>
  <c r="AS139" i="50"/>
  <c r="EY134" i="50"/>
  <c r="AL213" i="50"/>
  <c r="M174" i="50"/>
  <c r="CS170" i="50"/>
  <c r="EJ104" i="50"/>
  <c r="EE214" i="50"/>
  <c r="AL179" i="50"/>
  <c r="CL118" i="50"/>
  <c r="BG199" i="50"/>
  <c r="CH93" i="50"/>
  <c r="DT90" i="50"/>
  <c r="AI158" i="50"/>
  <c r="CL166" i="50"/>
  <c r="DV170" i="50"/>
  <c r="EN217" i="50"/>
  <c r="FB146" i="50"/>
  <c r="FJ187" i="50"/>
  <c r="DC84" i="50"/>
  <c r="CW77" i="50"/>
  <c r="CX190" i="50"/>
  <c r="CL76" i="50"/>
  <c r="EZ129" i="50"/>
  <c r="FE121" i="50"/>
  <c r="FF222" i="50"/>
  <c r="CU178" i="50"/>
  <c r="DA201" i="50"/>
  <c r="E128" i="50"/>
  <c r="AF196" i="50"/>
  <c r="BA139" i="50"/>
  <c r="CF151" i="50"/>
  <c r="G212" i="50"/>
  <c r="FA211" i="50"/>
  <c r="AF198" i="50"/>
  <c r="FG99" i="50"/>
  <c r="CW188" i="50"/>
  <c r="CF178" i="50"/>
  <c r="AF128" i="50"/>
  <c r="AU171" i="50"/>
  <c r="AX180" i="50"/>
  <c r="FF156" i="50"/>
  <c r="DF183" i="50"/>
  <c r="AU237" i="50"/>
  <c r="BF212" i="50"/>
  <c r="CX123" i="50"/>
  <c r="CM129" i="50"/>
  <c r="EH89" i="50"/>
  <c r="FC110" i="50"/>
  <c r="BP178" i="50"/>
  <c r="EM177" i="50"/>
  <c r="EP108" i="50"/>
  <c r="EN200" i="50"/>
  <c r="EZ221" i="50"/>
  <c r="CF173" i="50"/>
  <c r="AG17" i="50"/>
  <c r="AG63" i="50"/>
  <c r="BD170" i="50"/>
  <c r="CZ156" i="50"/>
  <c r="CH226" i="50"/>
  <c r="AR172" i="50"/>
  <c r="FH179" i="50"/>
  <c r="EL153" i="50"/>
  <c r="AY230" i="50"/>
  <c r="EF214" i="50"/>
  <c r="DI104" i="50"/>
  <c r="D226" i="50"/>
  <c r="FD97" i="50"/>
  <c r="L225" i="50"/>
  <c r="L159" i="50"/>
  <c r="L234" i="50"/>
  <c r="ED195" i="50"/>
  <c r="DB211" i="50"/>
  <c r="EF162" i="50"/>
  <c r="FE139" i="50"/>
  <c r="EH74" i="50"/>
  <c r="R174" i="50"/>
  <c r="FG198" i="50"/>
  <c r="FH191" i="50"/>
  <c r="EC177" i="50"/>
  <c r="C180" i="50"/>
  <c r="DF188" i="50"/>
  <c r="CK146" i="50"/>
  <c r="G179" i="50"/>
  <c r="FJ110" i="50"/>
  <c r="CL207" i="50"/>
  <c r="DM140" i="50"/>
  <c r="CS144" i="50"/>
  <c r="FF159" i="50"/>
  <c r="W228" i="50"/>
  <c r="AR229" i="50"/>
  <c r="I177" i="50"/>
  <c r="DH199" i="50"/>
  <c r="EE212" i="50"/>
  <c r="ER210" i="50"/>
  <c r="DC227" i="50"/>
  <c r="CY235" i="50"/>
  <c r="CZ192" i="50"/>
  <c r="DX177" i="50"/>
  <c r="CX156" i="50"/>
  <c r="FC178" i="50"/>
  <c r="AP178" i="50"/>
  <c r="CJ117" i="50"/>
  <c r="DL196" i="50"/>
  <c r="EJ237" i="50"/>
  <c r="DO140" i="50"/>
  <c r="AD50" i="26"/>
  <c r="FC237" i="50"/>
  <c r="FB232" i="50"/>
  <c r="K198" i="50"/>
  <c r="H232" i="50"/>
  <c r="AJ198" i="50"/>
  <c r="Y215" i="50"/>
  <c r="FH149" i="50"/>
  <c r="EG229" i="50"/>
  <c r="EL73" i="50"/>
  <c r="AV214" i="50"/>
  <c r="FB214" i="50"/>
  <c r="CJ110" i="50"/>
  <c r="CL79" i="50"/>
  <c r="DD214" i="50"/>
  <c r="FC218" i="50"/>
  <c r="W60" i="50"/>
  <c r="BX174" i="50"/>
  <c r="DL179" i="50"/>
  <c r="ES171" i="50"/>
  <c r="CN131" i="50"/>
  <c r="CY228" i="50"/>
  <c r="DH162" i="50"/>
  <c r="T65" i="50"/>
  <c r="EB212" i="50"/>
  <c r="CW167" i="50"/>
  <c r="FH77" i="50"/>
  <c r="EL100" i="50"/>
  <c r="CV209" i="50"/>
  <c r="CB160" i="50"/>
  <c r="EI123" i="50"/>
  <c r="EA225" i="50"/>
  <c r="DW209" i="50"/>
  <c r="FI218" i="50"/>
  <c r="Z178" i="50"/>
  <c r="FK135" i="50"/>
  <c r="AB211" i="50"/>
  <c r="EH126" i="50"/>
  <c r="DU113" i="50"/>
  <c r="AT233" i="50"/>
  <c r="DT216" i="50"/>
  <c r="CB161" i="50"/>
  <c r="AC36" i="26"/>
  <c r="AK153" i="50"/>
  <c r="AO172" i="50"/>
  <c r="EM163" i="50"/>
  <c r="FF95" i="50"/>
  <c r="FF232" i="50"/>
  <c r="CD140" i="50"/>
  <c r="W178" i="50"/>
  <c r="AL226" i="50"/>
  <c r="W224" i="50"/>
  <c r="AC228" i="50"/>
  <c r="BO129" i="50"/>
  <c r="DU222" i="50"/>
  <c r="DD106" i="50"/>
  <c r="EI138" i="50"/>
  <c r="FJ152" i="50"/>
  <c r="CB159" i="50"/>
  <c r="DH114" i="50"/>
  <c r="J208" i="50"/>
  <c r="EM167" i="50"/>
  <c r="CL124" i="50"/>
  <c r="BU197" i="50"/>
  <c r="BN231" i="50"/>
  <c r="CM180" i="50"/>
  <c r="DD193" i="50"/>
  <c r="CR128" i="50"/>
  <c r="CC213" i="50"/>
  <c r="DE110" i="50"/>
  <c r="AG58" i="50"/>
  <c r="BK171" i="50"/>
  <c r="CC160" i="50"/>
  <c r="CT177" i="50"/>
  <c r="CT158" i="50"/>
  <c r="FJ192" i="50"/>
  <c r="AH207" i="50"/>
  <c r="DH159" i="50"/>
  <c r="AJ61" i="50"/>
  <c r="FI90" i="50"/>
  <c r="BD140" i="50"/>
  <c r="X174" i="50"/>
  <c r="Z215" i="50"/>
  <c r="CP235" i="50"/>
  <c r="DF152" i="50"/>
  <c r="BP215" i="50"/>
  <c r="DC79" i="50"/>
  <c r="ES128" i="50"/>
  <c r="CL98" i="50"/>
  <c r="FE198" i="50"/>
  <c r="AJ178" i="50"/>
  <c r="DD206" i="50"/>
  <c r="CM103" i="50"/>
  <c r="Y154" i="50"/>
  <c r="CD213" i="50"/>
  <c r="BX215" i="50"/>
  <c r="DW123" i="50"/>
  <c r="CM197" i="50"/>
  <c r="CF210" i="50"/>
  <c r="BW181" i="50"/>
  <c r="R175" i="50"/>
  <c r="P176" i="50"/>
  <c r="CI112" i="50"/>
  <c r="AM61" i="50"/>
  <c r="DG112" i="50"/>
  <c r="FD176" i="50"/>
  <c r="CF129" i="50"/>
  <c r="FD174" i="50"/>
  <c r="BU235" i="50"/>
  <c r="BR86" i="50"/>
  <c r="CG225" i="50"/>
  <c r="ET193" i="50"/>
  <c r="BS139" i="50"/>
  <c r="CL101" i="50"/>
  <c r="EL187" i="50"/>
  <c r="DK158" i="50"/>
  <c r="EM218" i="50"/>
  <c r="AM28" i="50"/>
  <c r="DA177" i="50"/>
  <c r="AU156" i="50"/>
  <c r="FE98" i="50"/>
  <c r="EN231" i="50"/>
  <c r="EK140" i="50"/>
  <c r="BW234" i="50"/>
  <c r="FK189" i="50"/>
  <c r="DV209" i="50"/>
  <c r="EZ102" i="50"/>
  <c r="FK166" i="50"/>
  <c r="BT82" i="50"/>
  <c r="FK107" i="50"/>
  <c r="CN231" i="50"/>
  <c r="FK208" i="50"/>
  <c r="DM144" i="50"/>
  <c r="EI221" i="50"/>
  <c r="AK57" i="50"/>
  <c r="CY117" i="50"/>
  <c r="EJ110" i="50"/>
  <c r="DC96" i="50"/>
  <c r="AG173" i="50"/>
  <c r="E208" i="50"/>
  <c r="DB226" i="50"/>
  <c r="CV181" i="50"/>
  <c r="CF148" i="50"/>
  <c r="CM224" i="50"/>
  <c r="G237" i="50"/>
  <c r="CF78" i="50"/>
  <c r="FD113" i="50"/>
  <c r="EB142" i="50"/>
  <c r="CL82" i="50"/>
  <c r="BJ157" i="50"/>
  <c r="EQ181" i="50"/>
  <c r="DV110" i="50"/>
  <c r="FJ174" i="50"/>
  <c r="CQ173" i="50"/>
  <c r="EL74" i="50"/>
  <c r="AG61" i="50"/>
  <c r="DF139" i="50"/>
  <c r="BG164" i="50"/>
  <c r="CZ102" i="50"/>
  <c r="CM226" i="50"/>
  <c r="CX181" i="50"/>
  <c r="DS129" i="50"/>
  <c r="BY180" i="50"/>
  <c r="FE92" i="50"/>
  <c r="DR153" i="50"/>
  <c r="J158" i="50"/>
  <c r="DC125" i="50"/>
  <c r="AI57" i="50"/>
  <c r="DX79" i="50"/>
  <c r="DX148" i="50"/>
  <c r="CM172" i="50"/>
  <c r="CK79" i="50"/>
  <c r="AE38" i="26"/>
  <c r="BR141" i="50"/>
  <c r="EZ107" i="50"/>
  <c r="CK89" i="50"/>
  <c r="DX105" i="50"/>
  <c r="CL160" i="50"/>
  <c r="CV195" i="50"/>
  <c r="FA202" i="50"/>
  <c r="CZ109" i="50"/>
  <c r="CP177" i="50"/>
  <c r="DB113" i="50"/>
  <c r="BT176" i="50"/>
  <c r="DT135" i="50"/>
  <c r="FB186" i="50"/>
  <c r="DW101" i="50"/>
  <c r="ES198" i="50"/>
  <c r="BT110" i="50"/>
  <c r="BI183" i="50"/>
  <c r="CY160" i="50"/>
  <c r="Z50" i="26"/>
  <c r="EF233" i="50"/>
  <c r="CR235" i="50"/>
  <c r="CM209" i="50"/>
  <c r="EI125" i="50"/>
  <c r="FG141" i="50"/>
  <c r="DY159" i="50"/>
  <c r="DD182" i="50"/>
  <c r="AH215" i="50"/>
  <c r="K236" i="50"/>
  <c r="BF213" i="50"/>
  <c r="AB182" i="50"/>
  <c r="J143" i="50"/>
  <c r="BC176" i="50"/>
  <c r="BR232" i="50"/>
  <c r="AG159" i="50"/>
  <c r="BU116" i="50"/>
  <c r="FE130" i="50"/>
  <c r="DV228" i="50"/>
  <c r="DU187" i="50"/>
  <c r="EJ227" i="50"/>
  <c r="Q162" i="50"/>
  <c r="AD129" i="50"/>
  <c r="CK175" i="50"/>
  <c r="DB154" i="50"/>
  <c r="R215" i="50"/>
  <c r="FE232" i="50"/>
  <c r="FG125" i="50"/>
  <c r="BS113" i="50"/>
  <c r="BB141" i="50"/>
  <c r="CH100" i="50"/>
  <c r="FK161" i="50"/>
  <c r="AA140" i="50"/>
  <c r="FJ76" i="50"/>
  <c r="DG91" i="50"/>
  <c r="DU180" i="50"/>
  <c r="FE119" i="50"/>
  <c r="BC216" i="50"/>
  <c r="FG175" i="50"/>
  <c r="C230" i="50"/>
  <c r="J213" i="50"/>
  <c r="FK103" i="50"/>
  <c r="ER216" i="50"/>
  <c r="AP210" i="50"/>
  <c r="AJ230" i="50"/>
  <c r="DD89" i="50"/>
  <c r="DB212" i="50"/>
  <c r="FE159" i="50"/>
  <c r="CN112" i="50"/>
  <c r="CV214" i="50"/>
  <c r="D129" i="50"/>
  <c r="BV78" i="50"/>
  <c r="CK121" i="50"/>
  <c r="DU106" i="50"/>
  <c r="EY219" i="50"/>
  <c r="U140" i="50"/>
  <c r="DG222" i="50"/>
  <c r="DG180" i="50"/>
  <c r="FI111" i="50"/>
  <c r="BG143" i="50"/>
  <c r="CW109" i="50"/>
  <c r="DV211" i="50"/>
  <c r="EU216" i="50"/>
  <c r="AG182" i="50"/>
  <c r="EK157" i="50"/>
  <c r="BM180" i="50"/>
  <c r="DG125" i="50"/>
  <c r="BB176" i="50"/>
  <c r="FB204" i="50"/>
  <c r="FI164" i="50"/>
  <c r="J237" i="50"/>
  <c r="CX223" i="50"/>
  <c r="DR183" i="50"/>
  <c r="BY159" i="50"/>
  <c r="DO170" i="50"/>
  <c r="ER173" i="50"/>
  <c r="EZ143" i="50"/>
  <c r="EF157" i="50"/>
  <c r="EP196" i="50"/>
  <c r="J215" i="50"/>
  <c r="DL157" i="50"/>
  <c r="FE107" i="50"/>
  <c r="FF152" i="50"/>
  <c r="AD161" i="50"/>
  <c r="BF179" i="50"/>
  <c r="EM224" i="50"/>
  <c r="BN142" i="50"/>
  <c r="AU182" i="50"/>
  <c r="CV144" i="50"/>
  <c r="EP99" i="50"/>
  <c r="DF220" i="50"/>
  <c r="M207" i="50"/>
  <c r="CG154" i="50"/>
  <c r="BC157" i="50"/>
  <c r="CA175" i="50"/>
  <c r="BF178" i="50"/>
  <c r="BH178" i="50"/>
  <c r="EY158" i="50"/>
  <c r="CT197" i="50"/>
  <c r="AM161" i="50"/>
  <c r="DH234" i="50"/>
  <c r="Q236" i="50"/>
  <c r="BI144" i="50"/>
  <c r="CN105" i="50"/>
  <c r="BW156" i="50"/>
  <c r="EH136" i="50"/>
  <c r="EC179" i="50"/>
  <c r="FJ147" i="50"/>
  <c r="EH84" i="50"/>
  <c r="DD226" i="50"/>
  <c r="CF138" i="50"/>
  <c r="CG101" i="50"/>
  <c r="CK78" i="50"/>
  <c r="BJ142" i="50"/>
  <c r="DT138" i="50"/>
  <c r="DH128" i="50"/>
  <c r="FG226" i="50"/>
  <c r="BV161" i="50"/>
  <c r="BP234" i="50"/>
  <c r="FF92" i="50"/>
  <c r="CF127" i="50"/>
  <c r="FG143" i="50"/>
  <c r="BY179" i="50"/>
  <c r="FG212" i="50"/>
  <c r="W33" i="50"/>
  <c r="DX97" i="50"/>
  <c r="CL136" i="50"/>
  <c r="AG30" i="50"/>
  <c r="CJ221" i="50"/>
  <c r="CL193" i="50"/>
  <c r="DL229" i="50"/>
  <c r="EA210" i="50"/>
  <c r="I32" i="50"/>
  <c r="CI170" i="50"/>
  <c r="DG105" i="50"/>
  <c r="AE214" i="50"/>
  <c r="BT125" i="50"/>
  <c r="BW161" i="50"/>
  <c r="FH153" i="50"/>
  <c r="DK226" i="50"/>
  <c r="X230" i="50"/>
  <c r="ES235" i="50"/>
  <c r="DF151" i="50"/>
  <c r="DF82" i="50"/>
  <c r="EP181" i="50"/>
  <c r="EW211" i="50"/>
  <c r="BR194" i="50"/>
  <c r="DX191" i="50"/>
  <c r="DW169" i="50"/>
  <c r="EN212" i="50"/>
  <c r="DF114" i="50"/>
  <c r="BC158" i="50"/>
  <c r="BX159" i="50"/>
  <c r="AQ153" i="50"/>
  <c r="CW86" i="50"/>
  <c r="AB214" i="50"/>
  <c r="T154" i="50"/>
  <c r="EM203" i="50"/>
  <c r="FK97" i="50"/>
  <c r="EO161" i="50"/>
  <c r="DX199" i="50"/>
  <c r="Y158" i="50"/>
  <c r="FB191" i="50"/>
  <c r="EI89" i="50"/>
  <c r="DI163" i="50"/>
  <c r="BU142" i="50"/>
  <c r="J32" i="50"/>
  <c r="BX210" i="50"/>
  <c r="CI120" i="50"/>
  <c r="BQ143" i="50"/>
  <c r="EO129" i="50"/>
  <c r="CF174" i="50"/>
  <c r="EH177" i="50"/>
  <c r="AS210" i="50"/>
  <c r="EO81" i="50"/>
  <c r="AF63" i="50"/>
  <c r="CF209" i="50"/>
  <c r="EM146" i="50"/>
  <c r="DF74" i="50"/>
  <c r="BR83" i="50"/>
  <c r="CM202" i="50"/>
  <c r="AS160" i="50"/>
  <c r="BN209" i="50"/>
  <c r="ES175" i="50"/>
  <c r="ER174" i="50"/>
  <c r="FF97" i="50"/>
  <c r="FG220" i="50"/>
  <c r="EI116" i="50"/>
  <c r="EQ156" i="50"/>
  <c r="CP225" i="50"/>
  <c r="CK128" i="50"/>
  <c r="DH145" i="50"/>
  <c r="CV143" i="50"/>
  <c r="EN167" i="50"/>
  <c r="EA194" i="50"/>
  <c r="CL88" i="50"/>
  <c r="FD172" i="50"/>
  <c r="FE94" i="50"/>
  <c r="BH213" i="50"/>
  <c r="CN212" i="50"/>
  <c r="DH237" i="50"/>
  <c r="CL195" i="50"/>
  <c r="EZ216" i="50"/>
  <c r="N211" i="50"/>
  <c r="FA139" i="50"/>
  <c r="AK34" i="50"/>
  <c r="DT165" i="50"/>
  <c r="CH115" i="50"/>
  <c r="BR109" i="50"/>
  <c r="EA161" i="50"/>
  <c r="AL54" i="50"/>
  <c r="Z236" i="50"/>
  <c r="Y183" i="50"/>
  <c r="CY112" i="50"/>
  <c r="AI216" i="50"/>
  <c r="BT129" i="50"/>
  <c r="CT140" i="50"/>
  <c r="BG167" i="50"/>
  <c r="N235" i="50"/>
  <c r="EH100" i="50"/>
  <c r="DR174" i="50"/>
  <c r="DH155" i="50"/>
  <c r="DU151" i="50"/>
  <c r="EN84" i="50"/>
  <c r="CW112" i="50"/>
  <c r="CN217" i="50"/>
  <c r="FE162" i="50"/>
  <c r="CC179" i="50"/>
  <c r="DF172" i="50"/>
  <c r="BS214" i="50"/>
  <c r="FB98" i="50"/>
  <c r="BJ214" i="50"/>
  <c r="CN146" i="50"/>
  <c r="DW159" i="50"/>
  <c r="BA170" i="50"/>
  <c r="J234" i="50"/>
  <c r="DE81" i="50"/>
  <c r="FH107" i="50"/>
  <c r="EP143" i="50"/>
  <c r="EV208" i="50"/>
  <c r="BZ235" i="50"/>
  <c r="DD127" i="50"/>
  <c r="V230" i="50"/>
  <c r="FJ196" i="50"/>
  <c r="S172" i="50"/>
  <c r="DB198" i="50"/>
  <c r="AB29" i="26"/>
  <c r="DF185" i="50"/>
  <c r="BH195" i="50"/>
  <c r="FH95" i="50"/>
  <c r="J181" i="50"/>
  <c r="DT174" i="50"/>
  <c r="BR170" i="50"/>
  <c r="CI74" i="50"/>
  <c r="EE216" i="50"/>
  <c r="AR230" i="50"/>
  <c r="G229" i="50"/>
  <c r="AP144" i="50"/>
  <c r="CF169" i="50"/>
  <c r="DS155" i="50"/>
  <c r="CJ154" i="50"/>
  <c r="EN162" i="50"/>
  <c r="EU159" i="50"/>
  <c r="EM92" i="50"/>
  <c r="K197" i="50"/>
  <c r="DW217" i="50"/>
  <c r="EI190" i="50"/>
  <c r="FC109" i="50"/>
  <c r="AL181" i="50"/>
  <c r="R158" i="50"/>
  <c r="DG223" i="50"/>
  <c r="DG77" i="50"/>
  <c r="CM167" i="50"/>
  <c r="FK207" i="50"/>
  <c r="CM173" i="50"/>
  <c r="EZ199" i="50"/>
  <c r="AD177" i="50"/>
  <c r="EO134" i="50"/>
  <c r="EQ213" i="50"/>
  <c r="CI94" i="50"/>
  <c r="CX73" i="50"/>
  <c r="EB180" i="50"/>
  <c r="FK195" i="50"/>
  <c r="DK232" i="50"/>
  <c r="V141" i="50"/>
  <c r="AB48" i="26"/>
  <c r="EM84" i="50"/>
  <c r="DG102" i="50"/>
  <c r="BP233" i="50"/>
  <c r="AV197" i="50"/>
  <c r="DX117" i="50"/>
  <c r="T63" i="50"/>
  <c r="CN115" i="50"/>
  <c r="DE187" i="50"/>
  <c r="AH159" i="50"/>
  <c r="FD177" i="50"/>
  <c r="DW192" i="50"/>
  <c r="ED159" i="50"/>
  <c r="M129" i="50"/>
  <c r="CW232" i="50"/>
  <c r="CI203" i="50"/>
  <c r="AM170" i="50"/>
  <c r="BG136" i="50"/>
  <c r="AV215" i="50"/>
  <c r="AA22" i="26"/>
  <c r="EC178" i="50"/>
  <c r="DH153" i="50"/>
  <c r="DH130" i="50"/>
  <c r="DN176" i="50"/>
  <c r="EP203" i="50"/>
  <c r="CF108" i="50"/>
  <c r="AV159" i="50"/>
  <c r="E143" i="50"/>
  <c r="CL177" i="50"/>
  <c r="DF91" i="50"/>
  <c r="EP231" i="50"/>
  <c r="FE137" i="50"/>
  <c r="CH177" i="50"/>
  <c r="ET215" i="50"/>
  <c r="DV203" i="50"/>
  <c r="E160" i="50"/>
  <c r="CU231" i="50"/>
  <c r="FB107" i="50"/>
  <c r="DJ144" i="50"/>
  <c r="EN143" i="50"/>
  <c r="EE235" i="50"/>
  <c r="AE215" i="50"/>
  <c r="FK234" i="50"/>
  <c r="CZ223" i="50"/>
  <c r="Y213" i="50"/>
  <c r="M175" i="50"/>
  <c r="AQ144" i="50"/>
  <c r="DH208" i="50"/>
  <c r="T33" i="50"/>
  <c r="BH139" i="50"/>
  <c r="FB185" i="50"/>
  <c r="EI234" i="50"/>
  <c r="AC31" i="50"/>
  <c r="DI87" i="50"/>
  <c r="AL198" i="50"/>
  <c r="FE211" i="50"/>
  <c r="CZ94" i="50"/>
  <c r="EV180" i="50"/>
  <c r="CX221" i="50"/>
  <c r="CY170" i="50"/>
  <c r="J175" i="50"/>
  <c r="FI165" i="50"/>
  <c r="DD225" i="50"/>
  <c r="AR176" i="50"/>
  <c r="CM153" i="50"/>
  <c r="DP224" i="50"/>
  <c r="DY207" i="50"/>
  <c r="FK131" i="50"/>
  <c r="FD80" i="50"/>
  <c r="I207" i="50"/>
  <c r="EQ235" i="50"/>
  <c r="CN189" i="50"/>
  <c r="CG161" i="50"/>
  <c r="EE179" i="50"/>
  <c r="BO160" i="50"/>
  <c r="X59" i="50"/>
  <c r="FG237" i="50"/>
  <c r="DR143" i="50"/>
  <c r="EL127" i="50"/>
  <c r="FI236" i="50"/>
  <c r="Y235" i="50"/>
  <c r="EX159" i="50"/>
  <c r="M162" i="50"/>
  <c r="BU162" i="50"/>
  <c r="DX160" i="50"/>
  <c r="FG167" i="50"/>
  <c r="EJ135" i="50"/>
  <c r="AM235" i="50"/>
  <c r="CN227" i="50"/>
  <c r="FE132" i="50"/>
  <c r="EO225" i="50"/>
  <c r="BO225" i="50"/>
  <c r="CB213" i="50"/>
  <c r="CJ116" i="50"/>
  <c r="CX134" i="50"/>
  <c r="FF161" i="50"/>
  <c r="CK179" i="50"/>
  <c r="CH86" i="50"/>
  <c r="BX170" i="50"/>
  <c r="DB233" i="50"/>
  <c r="CZ134" i="50"/>
  <c r="DZ162" i="50"/>
  <c r="DF223" i="50"/>
  <c r="FH97" i="50"/>
  <c r="AB58" i="26"/>
  <c r="AT162" i="50"/>
  <c r="CF234" i="50"/>
  <c r="DV179" i="50"/>
  <c r="BV75" i="50"/>
  <c r="DC133" i="50"/>
  <c r="EN111" i="50"/>
  <c r="AM64" i="50"/>
  <c r="EF198" i="50"/>
  <c r="DH87" i="50"/>
  <c r="CF222" i="50"/>
  <c r="BH208" i="50"/>
  <c r="EH182" i="50"/>
  <c r="AG55" i="50"/>
  <c r="ED154" i="50"/>
  <c r="FH212" i="50"/>
  <c r="DH189" i="50"/>
  <c r="BI233" i="50"/>
  <c r="DW117" i="50"/>
  <c r="ES141" i="50"/>
  <c r="DE125" i="50"/>
  <c r="EF230" i="50"/>
  <c r="I34" i="50"/>
  <c r="EJ84" i="50"/>
  <c r="CG210" i="50"/>
  <c r="AK196" i="50"/>
  <c r="ER230" i="50"/>
  <c r="CM156" i="50"/>
  <c r="S37" i="50"/>
  <c r="BS174" i="50"/>
  <c r="V144" i="50"/>
  <c r="FD129" i="50"/>
  <c r="DO197" i="50"/>
  <c r="CS216" i="50"/>
  <c r="FD136" i="50"/>
  <c r="ET198" i="50"/>
  <c r="DN210" i="50"/>
  <c r="CW84" i="50"/>
  <c r="M154" i="50"/>
  <c r="FJ185" i="50"/>
  <c r="DY181" i="50"/>
  <c r="DP180" i="50"/>
  <c r="CG155" i="50"/>
  <c r="CK83" i="50"/>
  <c r="W139" i="50"/>
  <c r="CR153" i="50"/>
  <c r="EH192" i="50"/>
  <c r="BX231" i="50"/>
  <c r="DT229" i="50"/>
  <c r="CX129" i="50"/>
  <c r="EL95" i="50"/>
  <c r="EC228" i="50"/>
  <c r="D139" i="50"/>
  <c r="BW193" i="50"/>
  <c r="EA198" i="50"/>
  <c r="EL87" i="50"/>
  <c r="CX171" i="50"/>
  <c r="K210" i="50"/>
  <c r="EL188" i="50"/>
  <c r="DX211" i="50"/>
  <c r="EK144" i="50"/>
  <c r="BJ227" i="50"/>
  <c r="F228" i="50"/>
  <c r="K183" i="50"/>
  <c r="FG232" i="50"/>
  <c r="DU208" i="50"/>
  <c r="FE160" i="50"/>
  <c r="L41" i="50"/>
  <c r="M180" i="50"/>
  <c r="EV161" i="50"/>
  <c r="DB149" i="50"/>
  <c r="DH228" i="50"/>
  <c r="DB213" i="50"/>
  <c r="DB120" i="50"/>
  <c r="EZ95" i="50"/>
  <c r="AU183" i="50"/>
  <c r="DB82" i="50"/>
  <c r="AJ35" i="50"/>
  <c r="AK52" i="50"/>
  <c r="EO133" i="50"/>
  <c r="AK170" i="50"/>
  <c r="FA114" i="50"/>
  <c r="FJ81" i="50"/>
  <c r="DE208" i="50"/>
  <c r="AE20" i="50"/>
  <c r="CI93" i="50"/>
  <c r="BI179" i="50"/>
  <c r="AN193" i="50"/>
  <c r="EO74" i="50"/>
  <c r="CK154" i="50"/>
  <c r="FK177" i="50"/>
  <c r="CY171" i="50"/>
  <c r="FH177" i="50"/>
  <c r="EU215" i="50"/>
  <c r="CH190" i="50"/>
  <c r="CE162" i="50"/>
  <c r="DK176" i="50"/>
  <c r="BN216" i="50"/>
  <c r="EN168" i="50"/>
  <c r="AE229" i="50"/>
  <c r="DG101" i="50"/>
  <c r="P228" i="50"/>
  <c r="EE194" i="50"/>
  <c r="CX195" i="50"/>
  <c r="AD27" i="26"/>
  <c r="AE61" i="26"/>
  <c r="DT197" i="50"/>
  <c r="CA181" i="50"/>
  <c r="AE52" i="26"/>
  <c r="BA195" i="50"/>
  <c r="DD215" i="50"/>
  <c r="DM153" i="50"/>
  <c r="AD195" i="50"/>
  <c r="CM201" i="50"/>
  <c r="EY237" i="50"/>
  <c r="FE135" i="50"/>
  <c r="DD93" i="50"/>
  <c r="CD236" i="50"/>
  <c r="EP219" i="50"/>
  <c r="DF177" i="50"/>
  <c r="R231" i="50"/>
  <c r="EM77" i="50"/>
  <c r="FF133" i="50"/>
  <c r="BJ197" i="50"/>
  <c r="Z21" i="26"/>
  <c r="BV209" i="50"/>
  <c r="BB172" i="50"/>
  <c r="DA134" i="50"/>
  <c r="FH125" i="50"/>
  <c r="DB136" i="50"/>
  <c r="DQ179" i="50"/>
  <c r="BK159" i="50"/>
  <c r="BG76" i="50"/>
  <c r="FA227" i="50"/>
  <c r="CM138" i="50"/>
  <c r="FJ169" i="50"/>
  <c r="BQ170" i="50"/>
  <c r="DB172" i="50"/>
  <c r="AG160" i="50"/>
  <c r="AW208" i="50"/>
  <c r="EB213" i="50"/>
  <c r="EK80" i="50"/>
  <c r="AL210" i="50"/>
  <c r="DF166" i="50"/>
  <c r="BW232" i="50"/>
  <c r="CQ160" i="50"/>
  <c r="EE156" i="50"/>
  <c r="DY231" i="50"/>
  <c r="CW233" i="50"/>
  <c r="CH139" i="50"/>
  <c r="BS223" i="50"/>
  <c r="DI129" i="50"/>
  <c r="DZ139" i="50"/>
  <c r="AX172" i="50"/>
  <c r="EI223" i="50"/>
  <c r="EZ150" i="50"/>
  <c r="FI129" i="50"/>
  <c r="FJ172" i="50"/>
  <c r="DZ231" i="50"/>
  <c r="CK170" i="50"/>
  <c r="AY142" i="50"/>
  <c r="M230" i="50"/>
  <c r="EX228" i="50"/>
  <c r="C225" i="50"/>
  <c r="CM96" i="50"/>
  <c r="FG155" i="50"/>
  <c r="DY215" i="50"/>
  <c r="C170" i="50"/>
  <c r="K211" i="50"/>
  <c r="EZ230" i="50"/>
  <c r="DK212" i="50"/>
  <c r="AV160" i="50"/>
  <c r="EL104" i="50"/>
  <c r="AF211" i="50"/>
  <c r="CG129" i="50"/>
  <c r="CC143" i="50"/>
  <c r="AH180" i="50"/>
  <c r="FA215" i="50"/>
  <c r="DF84" i="50"/>
  <c r="BV170" i="50"/>
  <c r="DI106" i="50"/>
  <c r="EL198" i="50"/>
  <c r="AG24" i="50"/>
  <c r="G38" i="50"/>
  <c r="DD185" i="50"/>
  <c r="FI232" i="50"/>
  <c r="AX159" i="50"/>
  <c r="EH112" i="50"/>
  <c r="CM115" i="50"/>
  <c r="FA234" i="50"/>
  <c r="EE142" i="50"/>
  <c r="FG74" i="50"/>
  <c r="EX173" i="50"/>
  <c r="AC47" i="26"/>
  <c r="CT227" i="50"/>
  <c r="FJ210" i="50"/>
  <c r="CH116" i="50"/>
  <c r="AA214" i="50"/>
  <c r="FJ193" i="50"/>
  <c r="DB106" i="50"/>
  <c r="DF168" i="50"/>
  <c r="BG229" i="50"/>
  <c r="DA227" i="50"/>
  <c r="BU183" i="50"/>
  <c r="FE189" i="50"/>
  <c r="CP174" i="50"/>
  <c r="W235" i="50"/>
  <c r="AK232" i="50"/>
  <c r="DC103" i="50"/>
  <c r="ER153" i="50"/>
  <c r="BO232" i="50"/>
  <c r="DE100" i="50"/>
  <c r="FA224" i="50"/>
  <c r="FI114" i="50"/>
  <c r="EZ228" i="50"/>
  <c r="AC28" i="50"/>
  <c r="DU219" i="50"/>
  <c r="FF213" i="50"/>
  <c r="DA130" i="50"/>
  <c r="AL46" i="50"/>
  <c r="DK213" i="50"/>
  <c r="BF197" i="50"/>
  <c r="AG64" i="50"/>
  <c r="CI232" i="50"/>
  <c r="DA214" i="50"/>
  <c r="DP216" i="50"/>
  <c r="BI139" i="50"/>
  <c r="FA157" i="50"/>
  <c r="FG87" i="50"/>
  <c r="BH161" i="50"/>
  <c r="BO193" i="50"/>
  <c r="EY76" i="50"/>
  <c r="E235" i="50"/>
  <c r="CP178" i="50"/>
  <c r="EY87" i="50"/>
  <c r="DG204" i="50"/>
  <c r="FA174" i="50"/>
  <c r="L31" i="50"/>
  <c r="EY152" i="50"/>
  <c r="BH181" i="50"/>
  <c r="FC130" i="50"/>
  <c r="CK122" i="50"/>
  <c r="J214" i="50"/>
  <c r="AM209" i="50"/>
  <c r="D38" i="50"/>
  <c r="AV229" i="50"/>
  <c r="CZ92" i="50"/>
  <c r="AI17" i="50"/>
  <c r="BU189" i="50"/>
  <c r="BZ208" i="50"/>
  <c r="FB84" i="50"/>
  <c r="AE160" i="50"/>
  <c r="AX173" i="50"/>
  <c r="CC141" i="50"/>
  <c r="FJ128" i="50"/>
  <c r="AE232" i="50"/>
  <c r="DH187" i="50"/>
  <c r="BS132" i="50"/>
  <c r="BB175" i="50"/>
  <c r="AP129" i="50"/>
  <c r="BB153" i="50"/>
  <c r="AC141" i="50"/>
  <c r="CJ152" i="50"/>
  <c r="CY85" i="50"/>
  <c r="FI206" i="50"/>
  <c r="R209" i="50"/>
  <c r="DA172" i="50"/>
  <c r="AI129" i="50"/>
  <c r="DH220" i="50"/>
  <c r="CM182" i="50"/>
  <c r="CO225" i="50"/>
  <c r="CY201" i="50"/>
  <c r="BP182" i="50"/>
  <c r="AB46" i="26"/>
  <c r="M36" i="50"/>
  <c r="DI160" i="50"/>
  <c r="AI193" i="50"/>
  <c r="EP152" i="50"/>
  <c r="DD128" i="50"/>
  <c r="Z46" i="26"/>
  <c r="FJ74" i="50"/>
  <c r="DO181" i="50"/>
  <c r="BS79" i="50"/>
  <c r="DC138" i="50"/>
  <c r="EH229" i="50"/>
  <c r="BS172" i="50"/>
  <c r="W196" i="50"/>
  <c r="DI198" i="50"/>
  <c r="AK235" i="50"/>
  <c r="FG208" i="50"/>
  <c r="AW157" i="50"/>
  <c r="I211" i="50"/>
  <c r="DR208" i="50"/>
  <c r="AE60" i="26"/>
  <c r="FH144" i="50"/>
  <c r="K41" i="50"/>
  <c r="DF192" i="50"/>
  <c r="BS157" i="50"/>
  <c r="P214" i="50"/>
  <c r="CS194" i="50"/>
  <c r="EC161" i="50"/>
  <c r="DI143" i="50"/>
  <c r="CN114" i="50"/>
  <c r="BR172" i="50"/>
  <c r="BZ142" i="50"/>
  <c r="AO197" i="50"/>
  <c r="AS142" i="50"/>
  <c r="CL235" i="50"/>
  <c r="EN224" i="50"/>
  <c r="N160" i="50"/>
  <c r="AU162" i="50"/>
  <c r="BB209" i="50"/>
  <c r="AP143" i="50"/>
  <c r="FD96" i="50"/>
  <c r="EV215" i="50"/>
  <c r="DA208" i="50"/>
  <c r="FJ141" i="50"/>
  <c r="S140" i="50"/>
  <c r="BV147" i="50"/>
  <c r="Y197" i="50"/>
  <c r="CG99" i="50"/>
  <c r="DR129" i="50"/>
  <c r="DF76" i="50"/>
  <c r="CM223" i="50"/>
  <c r="DN228" i="50"/>
  <c r="BS169" i="50"/>
  <c r="G177" i="50"/>
  <c r="DD73" i="50"/>
  <c r="EY109" i="50"/>
  <c r="L183" i="50"/>
  <c r="BV112" i="50"/>
  <c r="FH213" i="50"/>
  <c r="CJ170" i="50"/>
  <c r="BF236" i="50"/>
  <c r="EQ231" i="50"/>
  <c r="AD230" i="50"/>
  <c r="FF140" i="50"/>
  <c r="DW108" i="50"/>
  <c r="CN82" i="50"/>
  <c r="DB122" i="50"/>
  <c r="CK220" i="50"/>
  <c r="AQ159" i="50"/>
  <c r="AC159" i="50"/>
  <c r="BS86" i="50"/>
  <c r="CM200" i="50"/>
  <c r="FH219" i="50"/>
  <c r="FC190" i="50"/>
  <c r="BH154" i="50"/>
  <c r="EI181" i="50"/>
  <c r="CF231" i="50"/>
  <c r="Z232" i="50"/>
  <c r="I234" i="50"/>
  <c r="AM230" i="50"/>
  <c r="DS173" i="50"/>
  <c r="BY181" i="50"/>
  <c r="AB225" i="50"/>
  <c r="FI221" i="50"/>
  <c r="FH229" i="50"/>
  <c r="BS224" i="50"/>
  <c r="EN159" i="50"/>
  <c r="BL141" i="50"/>
  <c r="BL159" i="50"/>
  <c r="BS110" i="50"/>
  <c r="EJ97" i="50"/>
  <c r="CG145" i="50"/>
  <c r="FJ221" i="50"/>
  <c r="M212" i="50"/>
  <c r="AN229" i="50"/>
  <c r="EG194" i="50"/>
  <c r="D160" i="50"/>
  <c r="DG230" i="50"/>
  <c r="CK91" i="50"/>
  <c r="AM182" i="50"/>
  <c r="EV171" i="50"/>
  <c r="P237" i="50"/>
  <c r="CK80" i="50"/>
  <c r="AD21" i="26"/>
  <c r="CX211" i="50"/>
  <c r="ES170" i="50"/>
  <c r="AL50" i="50"/>
  <c r="CF114" i="50"/>
  <c r="S228" i="50"/>
  <c r="EL184" i="50"/>
  <c r="CN162" i="50"/>
  <c r="FD185" i="50"/>
  <c r="BS114" i="50"/>
  <c r="EN211" i="50"/>
  <c r="O198" i="50"/>
  <c r="DC164" i="50"/>
  <c r="FH154" i="50"/>
  <c r="EP82" i="50"/>
  <c r="AC225" i="50"/>
  <c r="CO210" i="50"/>
  <c r="EN195" i="50"/>
  <c r="BL157" i="50"/>
  <c r="FK193" i="50"/>
  <c r="CK206" i="50"/>
  <c r="DE117" i="50"/>
  <c r="FF111" i="50"/>
  <c r="FH113" i="50"/>
  <c r="BE212" i="50"/>
  <c r="DW99" i="50"/>
  <c r="CX178" i="50"/>
  <c r="BQ197" i="50"/>
  <c r="C209" i="50"/>
  <c r="CF162" i="50"/>
  <c r="DI222" i="50"/>
  <c r="AK159" i="50"/>
  <c r="DI132" i="50"/>
  <c r="EC225" i="50"/>
  <c r="BR101" i="50"/>
  <c r="Z154" i="50"/>
  <c r="F226" i="50"/>
  <c r="FF115" i="50"/>
  <c r="FI200" i="50"/>
  <c r="CM116" i="50"/>
  <c r="DO155" i="50"/>
  <c r="BL236" i="50"/>
  <c r="DG214" i="50"/>
  <c r="BT170" i="50"/>
  <c r="ED197" i="50"/>
  <c r="BC153" i="50"/>
  <c r="FB75" i="50"/>
  <c r="AG161" i="50"/>
  <c r="Y161" i="50"/>
  <c r="CK217" i="50"/>
  <c r="EC159" i="50"/>
  <c r="DO235" i="50"/>
  <c r="AJ210" i="50"/>
  <c r="AK62" i="50"/>
  <c r="EE211" i="50"/>
  <c r="DA155" i="50"/>
  <c r="EX216" i="50"/>
  <c r="FI188" i="50"/>
  <c r="AC28" i="26"/>
  <c r="N196" i="50"/>
  <c r="CZ152" i="50"/>
  <c r="EN102" i="50"/>
  <c r="AL175" i="50"/>
  <c r="FJ129" i="50"/>
  <c r="BR166" i="50"/>
  <c r="Z128" i="50"/>
  <c r="FD128" i="50"/>
  <c r="DD212" i="50"/>
  <c r="EI196" i="50"/>
  <c r="CK208" i="50"/>
  <c r="EB183" i="50"/>
  <c r="DB183" i="50"/>
  <c r="FF162" i="50"/>
  <c r="AE62" i="26"/>
  <c r="DA96" i="50"/>
  <c r="DD111" i="50"/>
  <c r="DP209" i="50"/>
  <c r="DI213" i="50"/>
  <c r="DA165" i="50"/>
  <c r="FA147" i="50"/>
  <c r="FJ195" i="50"/>
  <c r="CH231" i="50"/>
  <c r="J161" i="50"/>
  <c r="BO230" i="50"/>
  <c r="CQ129" i="50"/>
  <c r="CE177" i="50"/>
  <c r="CZ88" i="50"/>
  <c r="N225" i="50"/>
  <c r="DP179" i="50"/>
  <c r="Q232" i="50"/>
  <c r="EO159" i="50"/>
  <c r="N233" i="50"/>
  <c r="CT171" i="50"/>
  <c r="AS236" i="50"/>
  <c r="BU134" i="50"/>
  <c r="EZ108" i="50"/>
  <c r="W225" i="50"/>
  <c r="DH127" i="50"/>
  <c r="CV160" i="50"/>
  <c r="T173" i="50"/>
  <c r="BJ182" i="50"/>
  <c r="CJ139" i="50"/>
  <c r="ES215" i="50"/>
  <c r="BA226" i="50"/>
  <c r="FF73" i="50"/>
  <c r="BU201" i="50"/>
  <c r="DZ216" i="50"/>
  <c r="DG218" i="50"/>
  <c r="EL108" i="50"/>
  <c r="Z33" i="26"/>
  <c r="DC154" i="50"/>
  <c r="AH153" i="50"/>
  <c r="CM126" i="50"/>
  <c r="DG219" i="50"/>
  <c r="DS182" i="50"/>
  <c r="Y227" i="50"/>
  <c r="CZ73" i="50"/>
  <c r="X61" i="50"/>
  <c r="AQ215" i="50"/>
  <c r="BV174" i="50"/>
  <c r="FE194" i="50"/>
  <c r="CW230" i="50"/>
  <c r="FI78" i="50"/>
  <c r="EI222" i="50"/>
  <c r="EH176" i="50"/>
  <c r="EO116" i="50"/>
  <c r="CZ235" i="50"/>
  <c r="FJ78" i="50"/>
  <c r="EN185" i="50"/>
  <c r="EB159" i="50"/>
  <c r="AI230" i="50"/>
  <c r="CG143" i="50"/>
  <c r="AK54" i="50"/>
  <c r="AD58" i="26"/>
  <c r="AA17" i="26"/>
  <c r="CI211" i="50"/>
  <c r="FB165" i="50"/>
  <c r="FI156" i="50"/>
  <c r="U65" i="50"/>
  <c r="CQ196" i="50"/>
  <c r="FF211" i="50"/>
  <c r="P212" i="50"/>
  <c r="FJ176" i="50"/>
  <c r="CS180" i="50"/>
  <c r="BX214" i="50"/>
  <c r="BS104" i="50"/>
  <c r="CP173" i="50"/>
  <c r="AD160" i="50"/>
  <c r="EK204" i="50"/>
  <c r="ED194" i="50"/>
  <c r="CL213" i="50"/>
  <c r="F233" i="50"/>
  <c r="V193" i="50"/>
  <c r="AD57" i="26"/>
  <c r="DX198" i="50"/>
  <c r="EG174" i="50"/>
  <c r="EJ185" i="50"/>
  <c r="CH112" i="50"/>
  <c r="X234" i="50"/>
  <c r="DE210" i="50"/>
  <c r="X64" i="50"/>
  <c r="DR144" i="50"/>
  <c r="DP232" i="50"/>
  <c r="F176" i="50"/>
  <c r="ED141" i="50"/>
  <c r="CN195" i="50"/>
  <c r="BL215" i="50"/>
  <c r="EI156" i="50"/>
  <c r="CW100" i="50"/>
  <c r="CL180" i="50"/>
  <c r="I40" i="50"/>
  <c r="G213" i="50"/>
  <c r="BU87" i="50"/>
  <c r="S139" i="50"/>
  <c r="DE97" i="50"/>
  <c r="ET209" i="50"/>
  <c r="CB237" i="50"/>
  <c r="FG183" i="50"/>
  <c r="AC197" i="50"/>
  <c r="DH225" i="50"/>
  <c r="DC130" i="50"/>
  <c r="AN197" i="50"/>
  <c r="FE236" i="50"/>
  <c r="U180" i="50"/>
  <c r="FD108" i="50"/>
  <c r="BQ215" i="50"/>
  <c r="DF86" i="50"/>
  <c r="FD115" i="50"/>
  <c r="DA110" i="50"/>
  <c r="CL165" i="50"/>
  <c r="CZ132" i="50"/>
  <c r="AF172" i="50"/>
  <c r="EM180" i="50"/>
  <c r="DV236" i="50"/>
  <c r="BB162" i="50"/>
  <c r="AI56" i="50"/>
  <c r="FJ163" i="50"/>
  <c r="EH231" i="50"/>
  <c r="AV180" i="50"/>
  <c r="D176" i="50"/>
  <c r="FJ86" i="50"/>
  <c r="BS183" i="50"/>
  <c r="DW176" i="50"/>
  <c r="AB139" i="50"/>
  <c r="EI104" i="50"/>
  <c r="FJ138" i="50"/>
  <c r="CD196" i="50"/>
  <c r="AG231" i="50"/>
  <c r="S227" i="50"/>
  <c r="CO211" i="50"/>
  <c r="ET231" i="50"/>
  <c r="EK102" i="50"/>
  <c r="FB237" i="50"/>
  <c r="AN143" i="50"/>
  <c r="CE212" i="50"/>
  <c r="DJ195" i="50"/>
  <c r="BG154" i="50"/>
  <c r="Z129" i="50"/>
  <c r="AU210" i="50"/>
  <c r="CX222" i="50"/>
  <c r="EN201" i="50"/>
  <c r="L142" i="50"/>
  <c r="Y37" i="50"/>
  <c r="EO230" i="50"/>
  <c r="J141" i="50"/>
  <c r="CN92" i="50"/>
  <c r="U194" i="50"/>
  <c r="FI182" i="50"/>
  <c r="BM231" i="50"/>
  <c r="AI227" i="50"/>
  <c r="G40" i="50"/>
  <c r="AC32" i="26"/>
  <c r="FC189" i="50"/>
  <c r="FA223" i="50"/>
  <c r="CM91" i="50"/>
  <c r="EI92" i="50"/>
  <c r="DG173" i="50"/>
  <c r="AY196" i="50"/>
  <c r="FB116" i="50"/>
  <c r="FD215" i="50"/>
  <c r="EM105" i="50"/>
  <c r="DG141" i="50"/>
  <c r="DW219" i="50"/>
  <c r="BG198" i="50"/>
  <c r="CP209" i="50"/>
  <c r="DW84" i="50"/>
  <c r="FI104" i="50"/>
  <c r="EU174" i="50"/>
  <c r="W209" i="50"/>
  <c r="EM148" i="50"/>
  <c r="DE174" i="50"/>
  <c r="DI225" i="50"/>
  <c r="CZ83" i="50"/>
  <c r="DV85" i="50"/>
  <c r="F159" i="50"/>
  <c r="S156" i="50"/>
  <c r="CK119" i="50"/>
  <c r="EI169" i="50"/>
  <c r="CL97" i="50"/>
  <c r="DY173" i="50"/>
  <c r="CP214" i="50"/>
  <c r="D173" i="50"/>
  <c r="ER229" i="50"/>
  <c r="CW182" i="50"/>
  <c r="CL110" i="50"/>
  <c r="FK183" i="50"/>
  <c r="EL79" i="50"/>
  <c r="DM181" i="50"/>
  <c r="BV83" i="50"/>
  <c r="AE154" i="50"/>
  <c r="BW236" i="50"/>
  <c r="BW227" i="50"/>
  <c r="CZ126" i="50"/>
  <c r="M161" i="50"/>
  <c r="DF205" i="50"/>
  <c r="CN178" i="50"/>
  <c r="CW141" i="50"/>
  <c r="K141" i="50"/>
  <c r="CE234" i="50"/>
  <c r="FI235" i="50"/>
  <c r="S31" i="50"/>
  <c r="J139" i="50"/>
  <c r="FI193" i="50"/>
  <c r="N207" i="50"/>
  <c r="BV183" i="50"/>
  <c r="EN96" i="50"/>
  <c r="FH225" i="50"/>
  <c r="AI18" i="50"/>
  <c r="M177" i="50"/>
  <c r="DI231" i="50"/>
  <c r="DE181" i="50"/>
  <c r="AC33" i="26"/>
  <c r="BT149" i="50"/>
  <c r="EB161" i="50"/>
  <c r="AP226" i="50"/>
  <c r="DD139" i="50"/>
  <c r="EL145" i="50"/>
  <c r="EB160" i="50"/>
  <c r="DA84" i="50"/>
  <c r="CV173" i="50"/>
  <c r="DY143" i="50"/>
  <c r="BF211" i="50"/>
  <c r="CY229" i="50"/>
  <c r="CL119" i="50"/>
  <c r="CJ115" i="50"/>
  <c r="U60" i="50"/>
  <c r="AP181" i="50"/>
  <c r="EM221" i="50"/>
  <c r="EB177" i="50"/>
  <c r="DZ182" i="50"/>
  <c r="EN125" i="50"/>
  <c r="FH150" i="50"/>
  <c r="DL193" i="50"/>
  <c r="AO161" i="50"/>
  <c r="CN192" i="50"/>
  <c r="BG174" i="50"/>
  <c r="AI198" i="50"/>
  <c r="BR105" i="50"/>
  <c r="EM127" i="50"/>
  <c r="CI140" i="50"/>
  <c r="EQ170" i="50"/>
  <c r="AX234" i="50"/>
  <c r="EJ113" i="50"/>
  <c r="BT134" i="50"/>
  <c r="BW141" i="50"/>
  <c r="FG230" i="50"/>
  <c r="EP157" i="50"/>
  <c r="FK178" i="50"/>
  <c r="CG176" i="50"/>
  <c r="BO144" i="50"/>
  <c r="DC77" i="50"/>
  <c r="AY141" i="50"/>
  <c r="BV204" i="50"/>
  <c r="DY174" i="50"/>
  <c r="J183" i="50"/>
  <c r="CX137" i="50"/>
  <c r="O195" i="50"/>
  <c r="DW160" i="50"/>
  <c r="BS222" i="50"/>
  <c r="FJ186" i="50"/>
  <c r="CJ132" i="50"/>
  <c r="DU199" i="50"/>
  <c r="CY216" i="50"/>
  <c r="DA175" i="50"/>
  <c r="BW172" i="50"/>
  <c r="AJ50" i="50"/>
  <c r="FA154" i="50"/>
  <c r="BH129" i="50"/>
  <c r="BL232" i="50"/>
  <c r="FJ104" i="50"/>
  <c r="CD210" i="50"/>
  <c r="BG150" i="50"/>
  <c r="BO194" i="50"/>
  <c r="BT113" i="50"/>
  <c r="ET179" i="50"/>
  <c r="DM139" i="50"/>
  <c r="BV159" i="50"/>
  <c r="EZ131" i="50"/>
  <c r="CL92" i="50"/>
  <c r="FG201" i="50"/>
  <c r="EU227" i="50"/>
  <c r="FA117" i="50"/>
  <c r="DV158" i="50"/>
  <c r="CU230" i="50"/>
  <c r="BN175" i="50"/>
  <c r="BG168" i="50"/>
  <c r="CY99" i="50"/>
  <c r="CH106" i="50"/>
  <c r="EQ230" i="50"/>
  <c r="AC36" i="50"/>
  <c r="C181" i="50"/>
  <c r="BV172" i="50"/>
  <c r="DD156" i="50"/>
  <c r="DL175" i="50"/>
  <c r="R65" i="50"/>
  <c r="G143" i="50"/>
  <c r="DV192" i="50"/>
  <c r="DX81" i="50"/>
  <c r="ES154" i="50"/>
  <c r="FC214" i="50"/>
  <c r="L34" i="50"/>
  <c r="U27" i="50"/>
  <c r="CO158" i="50"/>
  <c r="CJ107" i="50"/>
  <c r="DG190" i="50"/>
  <c r="DI126" i="50"/>
  <c r="EJ214" i="50"/>
  <c r="BT230" i="50"/>
  <c r="CT182" i="50"/>
  <c r="BU182" i="50"/>
  <c r="U170" i="50"/>
  <c r="DI97" i="50"/>
  <c r="DE152" i="50"/>
  <c r="EM135" i="50"/>
  <c r="EJ217" i="50"/>
  <c r="DU188" i="50"/>
  <c r="BG103" i="50"/>
  <c r="AF29" i="50"/>
  <c r="CY196" i="50"/>
  <c r="AB36" i="26"/>
  <c r="DW205" i="50"/>
  <c r="DB117" i="50"/>
  <c r="EL116" i="50"/>
  <c r="CL182" i="50"/>
  <c r="CM158" i="50"/>
  <c r="FA105" i="50"/>
  <c r="EB157" i="50"/>
  <c r="CL100" i="50"/>
  <c r="CY89" i="50"/>
  <c r="CJ155" i="50"/>
  <c r="DX89" i="50"/>
  <c r="FJ173" i="50"/>
  <c r="CM206" i="50"/>
  <c r="BI228" i="50"/>
  <c r="DD164" i="50"/>
  <c r="ET174" i="50"/>
  <c r="CJ84" i="50"/>
  <c r="AC52" i="26"/>
  <c r="EJ189" i="50"/>
  <c r="DW194" i="50"/>
  <c r="BK139" i="50"/>
  <c r="DB153" i="50"/>
  <c r="DP234" i="50"/>
  <c r="BD225" i="50"/>
  <c r="FD222" i="50"/>
  <c r="DI233" i="50"/>
  <c r="CM102" i="50"/>
  <c r="FC149" i="50"/>
  <c r="DT199" i="50"/>
  <c r="ES153" i="50"/>
  <c r="CM139" i="50"/>
  <c r="BD229" i="50"/>
  <c r="AF144" i="50"/>
  <c r="DS142" i="50"/>
  <c r="P229" i="50"/>
  <c r="DB110" i="50"/>
  <c r="AD26" i="26"/>
  <c r="DA191" i="50"/>
  <c r="DV220" i="50"/>
  <c r="BS165" i="50"/>
  <c r="EC171" i="50"/>
  <c r="DA74" i="50"/>
  <c r="EN128" i="50"/>
  <c r="DI120" i="50"/>
  <c r="BV226" i="50"/>
  <c r="EM75" i="50"/>
  <c r="CM149" i="50"/>
  <c r="DQ183" i="50"/>
  <c r="AC20" i="50"/>
  <c r="BS170" i="50"/>
  <c r="AI208" i="50"/>
  <c r="DW201" i="50"/>
  <c r="CX191" i="50"/>
  <c r="BI176" i="50"/>
  <c r="DT196" i="50"/>
  <c r="BC228" i="50"/>
  <c r="DH236" i="50"/>
  <c r="CB156" i="50"/>
  <c r="DX124" i="50"/>
  <c r="DF219" i="50"/>
  <c r="BT198" i="50"/>
  <c r="CT155" i="50"/>
  <c r="DC205" i="50"/>
  <c r="FH214" i="50"/>
  <c r="AE179" i="50"/>
  <c r="BV206" i="50"/>
  <c r="BW174" i="50"/>
  <c r="DI122" i="50"/>
  <c r="L176" i="50"/>
  <c r="CY212" i="50"/>
  <c r="AE237" i="50"/>
  <c r="ED171" i="50"/>
  <c r="AB176" i="50"/>
  <c r="BV181" i="50"/>
  <c r="DU81" i="50"/>
  <c r="BF215" i="50"/>
  <c r="BR107" i="50"/>
  <c r="T170" i="50"/>
  <c r="BG219" i="50"/>
  <c r="CE176" i="50"/>
  <c r="CV157" i="50"/>
  <c r="FJ137" i="50"/>
  <c r="AX211" i="50"/>
  <c r="DX82" i="50"/>
  <c r="BJ171" i="50"/>
  <c r="AY181" i="50"/>
  <c r="DK171" i="50"/>
  <c r="AC34" i="26"/>
  <c r="CK108" i="50"/>
  <c r="DY128" i="50"/>
  <c r="CM98" i="50"/>
  <c r="EE236" i="50"/>
  <c r="Q210" i="50"/>
  <c r="AL235" i="50"/>
  <c r="AG235" i="50"/>
  <c r="FK175" i="50"/>
  <c r="DE193" i="50"/>
  <c r="DD191" i="50"/>
  <c r="CW227" i="50"/>
  <c r="DI232" i="50"/>
  <c r="FC201" i="50"/>
  <c r="CF95" i="50"/>
  <c r="AV176" i="50"/>
  <c r="AJ182" i="50"/>
  <c r="DN160" i="50"/>
  <c r="BH170" i="50"/>
  <c r="DA148" i="50"/>
  <c r="BZ158" i="50"/>
  <c r="FC162" i="50"/>
  <c r="DC151" i="50"/>
  <c r="T212" i="50"/>
  <c r="R208" i="50"/>
  <c r="BN235" i="50"/>
  <c r="CX217" i="50"/>
  <c r="EV234" i="50"/>
  <c r="EM232" i="50"/>
  <c r="AH214" i="50"/>
  <c r="DK154" i="50"/>
  <c r="CM216" i="50"/>
  <c r="DE203" i="50"/>
  <c r="CZ161" i="50"/>
  <c r="DH110" i="50"/>
  <c r="BQ227" i="50"/>
  <c r="AR236" i="50"/>
  <c r="FF118" i="50"/>
  <c r="FJ136" i="50"/>
  <c r="AK35" i="50"/>
  <c r="EN123" i="50"/>
  <c r="BD157" i="50"/>
  <c r="CW157" i="50"/>
  <c r="BP158" i="50"/>
  <c r="CF137" i="50"/>
  <c r="FF108" i="50"/>
  <c r="EY194" i="50"/>
  <c r="CZ151" i="50"/>
  <c r="FJ183" i="50"/>
  <c r="DA236" i="50"/>
  <c r="AP214" i="50"/>
  <c r="BQ230" i="50"/>
  <c r="H38" i="50"/>
  <c r="DL216" i="50"/>
  <c r="EN146" i="50"/>
  <c r="AH31" i="50"/>
  <c r="BQ172" i="50"/>
  <c r="FA226" i="50"/>
  <c r="FD197" i="50"/>
  <c r="EM181" i="50"/>
  <c r="AB208" i="50"/>
  <c r="DG154" i="50"/>
  <c r="DH95" i="50"/>
  <c r="CF118" i="50"/>
  <c r="Z14" i="26"/>
  <c r="K208" i="50"/>
  <c r="BE230" i="50"/>
  <c r="DB102" i="50"/>
  <c r="ER181" i="50"/>
  <c r="BS176" i="50"/>
  <c r="EJ81" i="50"/>
  <c r="EH115" i="50"/>
  <c r="K129" i="50"/>
  <c r="AI232" i="50"/>
  <c r="FK184" i="50"/>
  <c r="H41" i="50"/>
  <c r="AX181" i="50"/>
  <c r="FB176" i="50"/>
  <c r="BB144" i="50"/>
  <c r="Z63" i="50"/>
  <c r="P174" i="50"/>
  <c r="EF178" i="50"/>
  <c r="AS144" i="50"/>
  <c r="EL107" i="50"/>
  <c r="AD48" i="26"/>
  <c r="FF237" i="50"/>
  <c r="CN102" i="50"/>
  <c r="EO228" i="50"/>
  <c r="AT157" i="50"/>
  <c r="AT177" i="50"/>
  <c r="G181" i="50"/>
  <c r="DR179" i="50"/>
  <c r="BR208" i="50"/>
  <c r="DE236" i="50"/>
  <c r="DS230" i="50"/>
  <c r="FG146" i="50"/>
  <c r="AB235" i="50"/>
  <c r="FE148" i="50"/>
  <c r="FA171" i="50"/>
  <c r="BW154" i="50"/>
  <c r="EU196" i="50"/>
  <c r="DH176" i="50"/>
  <c r="EI199" i="50"/>
  <c r="I39" i="50"/>
  <c r="CF142" i="50"/>
  <c r="AB37" i="50"/>
  <c r="AU234" i="50"/>
  <c r="FI98" i="50"/>
  <c r="S209" i="50"/>
  <c r="FA146" i="50"/>
  <c r="EZ144" i="50"/>
  <c r="CG228" i="50"/>
  <c r="EL99" i="50"/>
  <c r="CV129" i="50"/>
  <c r="CB128" i="50"/>
  <c r="X157" i="50"/>
  <c r="R232" i="50"/>
  <c r="CH74" i="50"/>
  <c r="EV139" i="50"/>
  <c r="EP145" i="50"/>
  <c r="CF200" i="50"/>
  <c r="AQ181" i="50"/>
  <c r="AE197" i="50"/>
  <c r="I154" i="50"/>
  <c r="DG80" i="50"/>
  <c r="EO114" i="50"/>
  <c r="Z161" i="50"/>
  <c r="AD61" i="26"/>
  <c r="FH169" i="50"/>
  <c r="BB160" i="50"/>
  <c r="CU224" i="50"/>
  <c r="BV143" i="50"/>
  <c r="BH160" i="50"/>
  <c r="BD179" i="50"/>
  <c r="AH237" i="50"/>
  <c r="V62" i="50"/>
  <c r="FH174" i="50"/>
  <c r="D183" i="50"/>
  <c r="BL183" i="50"/>
  <c r="CA171" i="50"/>
  <c r="EK236" i="50"/>
  <c r="BZ162" i="50"/>
  <c r="AH50" i="50"/>
  <c r="EM153" i="50"/>
  <c r="I157" i="50"/>
  <c r="DT93" i="50"/>
  <c r="DK175" i="50"/>
  <c r="CX108" i="50"/>
  <c r="DC105" i="50"/>
  <c r="FK134" i="50"/>
  <c r="M128" i="50"/>
  <c r="BV168" i="50"/>
  <c r="DB227" i="50"/>
  <c r="FC90" i="50"/>
  <c r="DO216" i="50"/>
  <c r="BJ177" i="50"/>
  <c r="EK131" i="50"/>
  <c r="AH182" i="50"/>
  <c r="Y61" i="50"/>
  <c r="AS213" i="50"/>
  <c r="CQ230" i="50"/>
  <c r="AL59" i="50"/>
  <c r="DI185" i="50"/>
  <c r="CK138" i="50"/>
  <c r="EK193" i="50"/>
  <c r="FC137" i="50"/>
  <c r="DM183" i="50"/>
  <c r="DG155" i="50"/>
  <c r="EY121" i="50"/>
  <c r="FJ153" i="50"/>
  <c r="EN97" i="50"/>
  <c r="DE175" i="50"/>
  <c r="DF215" i="50"/>
  <c r="CG222" i="50"/>
  <c r="DE164" i="50"/>
  <c r="DR173" i="50"/>
  <c r="AB26" i="26"/>
  <c r="FJ191" i="50"/>
  <c r="H208" i="50"/>
  <c r="FH121" i="50"/>
  <c r="FI226" i="50"/>
  <c r="EC157" i="50"/>
  <c r="CJ212" i="50"/>
  <c r="FJ91" i="50"/>
  <c r="DU210" i="50"/>
  <c r="BP229" i="50"/>
  <c r="O179" i="50"/>
  <c r="CX203" i="50"/>
  <c r="DE209" i="50"/>
  <c r="DW227" i="50"/>
  <c r="AE196" i="50"/>
  <c r="EN228" i="50"/>
  <c r="FE74" i="50"/>
  <c r="S194" i="50"/>
  <c r="DW231" i="50"/>
  <c r="EE161" i="50"/>
  <c r="AE178" i="50"/>
  <c r="L156" i="50"/>
  <c r="BG88" i="50"/>
  <c r="EM137" i="50"/>
  <c r="Y59" i="50"/>
  <c r="FA199" i="50"/>
  <c r="DM162" i="50"/>
  <c r="FD235" i="50"/>
  <c r="DF176" i="50"/>
  <c r="CI221" i="50"/>
  <c r="AI162" i="50"/>
  <c r="AZ210" i="50"/>
  <c r="CM133" i="50"/>
  <c r="FF229" i="50"/>
  <c r="BM181" i="50"/>
  <c r="CJ98" i="50"/>
  <c r="AI173" i="50"/>
  <c r="CT173" i="50"/>
  <c r="DF202" i="50"/>
  <c r="EN145" i="50"/>
  <c r="FI103" i="50"/>
  <c r="ED179" i="50"/>
  <c r="BB139" i="50"/>
  <c r="DZ175" i="50"/>
  <c r="AD142" i="50"/>
  <c r="BK235" i="50"/>
  <c r="FE151" i="50"/>
  <c r="FI185" i="50"/>
  <c r="FI176" i="50"/>
  <c r="AG29" i="50"/>
  <c r="AI226" i="50"/>
  <c r="U178" i="50"/>
  <c r="FD213" i="50"/>
  <c r="DK160" i="50"/>
  <c r="BG225" i="50"/>
  <c r="ED183" i="50"/>
  <c r="DC220" i="50"/>
  <c r="G196" i="50"/>
  <c r="BB181" i="50"/>
  <c r="CK150" i="50"/>
  <c r="CA170" i="50"/>
  <c r="EC176" i="50"/>
  <c r="FF130" i="50"/>
  <c r="AB49" i="26"/>
  <c r="EY176" i="50"/>
  <c r="AX216" i="50"/>
  <c r="BR157" i="50"/>
  <c r="EH127" i="50"/>
  <c r="EQ182" i="50"/>
  <c r="BF181" i="50"/>
  <c r="CH166" i="50"/>
  <c r="E215" i="50"/>
  <c r="Q161" i="50"/>
  <c r="EI180" i="50"/>
  <c r="AH193" i="50"/>
  <c r="EM190" i="50"/>
  <c r="AM43" i="50"/>
  <c r="CD178" i="50"/>
  <c r="AW177" i="50"/>
  <c r="DW158" i="50"/>
  <c r="DC223" i="50"/>
  <c r="CY137" i="50"/>
  <c r="BC213" i="50"/>
  <c r="FD87" i="50"/>
  <c r="AO162" i="50"/>
  <c r="EY74" i="50"/>
  <c r="FG95" i="50"/>
  <c r="DF156" i="50"/>
  <c r="EL178" i="50"/>
  <c r="EB209" i="50"/>
  <c r="AQ173" i="50"/>
  <c r="BD158" i="50"/>
  <c r="EM233" i="50"/>
  <c r="AN215" i="50"/>
  <c r="FF198" i="50"/>
  <c r="Q224" i="50"/>
  <c r="FA183" i="50"/>
  <c r="DD168" i="50"/>
  <c r="EZ165" i="50"/>
  <c r="EE155" i="50"/>
  <c r="CL183" i="50"/>
  <c r="BU150" i="50"/>
  <c r="I197" i="50"/>
  <c r="CB208" i="50"/>
  <c r="FE197" i="50"/>
  <c r="FI94" i="50"/>
  <c r="AE37" i="50"/>
  <c r="DC171" i="50"/>
  <c r="X213" i="50"/>
  <c r="DI199" i="50"/>
  <c r="CC215" i="50"/>
  <c r="CA198" i="50"/>
  <c r="CP231" i="50"/>
  <c r="AL48" i="50"/>
  <c r="FK118" i="50"/>
  <c r="AI58" i="50"/>
  <c r="DC189" i="50"/>
  <c r="CM237" i="50"/>
  <c r="EP195" i="50"/>
  <c r="EK179" i="50"/>
  <c r="FJ212" i="50"/>
  <c r="DV205" i="50"/>
  <c r="CL162" i="50"/>
  <c r="G235" i="50"/>
  <c r="AP171" i="50"/>
  <c r="BV228" i="50"/>
  <c r="FG204" i="50"/>
  <c r="FF122" i="50"/>
  <c r="DB182" i="50"/>
  <c r="CF113" i="50"/>
  <c r="W177" i="50"/>
  <c r="CA229" i="50"/>
  <c r="EL190" i="50"/>
  <c r="EO115" i="50"/>
  <c r="V177" i="50"/>
  <c r="Q180" i="50"/>
  <c r="BS194" i="50"/>
  <c r="BV199" i="50"/>
  <c r="CO177" i="50"/>
  <c r="Q237" i="50"/>
  <c r="EC232" i="50"/>
  <c r="CL131" i="50"/>
  <c r="AX140" i="50"/>
  <c r="CM100" i="50"/>
  <c r="V64" i="50"/>
  <c r="AH62" i="50"/>
  <c r="CW223" i="50"/>
  <c r="FK156" i="50"/>
  <c r="FA188" i="50"/>
  <c r="CB194" i="50"/>
  <c r="BI235" i="50"/>
  <c r="L158" i="50"/>
  <c r="EL235" i="50"/>
  <c r="EJ164" i="50"/>
  <c r="BY216" i="50"/>
  <c r="EU157" i="50"/>
  <c r="R210" i="50"/>
  <c r="EK192" i="50"/>
  <c r="FH221" i="50"/>
  <c r="DD132" i="50"/>
  <c r="EZ177" i="50"/>
  <c r="BA197" i="50"/>
  <c r="BG179" i="50"/>
  <c r="DV125" i="50"/>
  <c r="EY220" i="50"/>
  <c r="BQ233" i="50"/>
  <c r="EN87" i="50"/>
  <c r="EX214" i="50"/>
  <c r="Z175" i="50"/>
  <c r="BP193" i="50"/>
  <c r="AY237" i="50"/>
  <c r="H162" i="50"/>
  <c r="DV100" i="50"/>
  <c r="CG118" i="50"/>
  <c r="DC144" i="50"/>
  <c r="BD209" i="50"/>
  <c r="FI198" i="50"/>
  <c r="AL63" i="50"/>
  <c r="AE46" i="26"/>
  <c r="DX120" i="50"/>
  <c r="EP94" i="50"/>
  <c r="CS231" i="50"/>
  <c r="CZ191" i="50"/>
  <c r="DI161" i="50"/>
  <c r="BT179" i="50"/>
  <c r="FI184" i="50"/>
  <c r="EZ214" i="50"/>
  <c r="EL191" i="50"/>
  <c r="CM175" i="50"/>
  <c r="AU170" i="50"/>
  <c r="CM122" i="50"/>
  <c r="CI119" i="50"/>
  <c r="DG98" i="50"/>
  <c r="DW197" i="50"/>
  <c r="AP139" i="50"/>
  <c r="S236" i="50"/>
  <c r="CX193" i="50"/>
  <c r="DC226" i="50"/>
  <c r="DZ236" i="50"/>
  <c r="FD132" i="50"/>
  <c r="BT189" i="50"/>
  <c r="DG186" i="50"/>
  <c r="AT141" i="50"/>
  <c r="CO129" i="50"/>
  <c r="DK235" i="50"/>
  <c r="F174" i="50"/>
  <c r="DI221" i="50"/>
  <c r="X193" i="50"/>
  <c r="FH204" i="50"/>
  <c r="CY227" i="50"/>
  <c r="AQ212" i="50"/>
  <c r="CJ204" i="50"/>
  <c r="W215" i="50"/>
  <c r="EY228" i="50"/>
  <c r="AV225" i="50"/>
  <c r="DF199" i="50"/>
  <c r="DG149" i="50"/>
  <c r="CM183" i="50"/>
  <c r="FK94" i="50"/>
  <c r="EP220" i="50"/>
  <c r="CT228" i="50"/>
  <c r="CM148" i="50"/>
  <c r="BV135" i="50"/>
  <c r="FK230" i="50"/>
  <c r="AB31" i="26"/>
  <c r="DH107" i="50"/>
  <c r="FK74" i="50"/>
  <c r="CZ74" i="50"/>
  <c r="FA106" i="50"/>
  <c r="EJ181" i="50"/>
  <c r="DI164" i="50"/>
  <c r="FK105" i="50"/>
  <c r="FB170" i="50"/>
  <c r="DN207" i="50"/>
  <c r="S182" i="50"/>
  <c r="DI148" i="50"/>
  <c r="DW215" i="50"/>
  <c r="U214" i="50"/>
  <c r="EL204" i="50"/>
  <c r="EH183" i="50"/>
  <c r="FI142" i="50"/>
  <c r="AC213" i="50"/>
  <c r="AU160" i="50"/>
  <c r="BG237" i="50"/>
  <c r="EK168" i="50"/>
  <c r="AI178" i="50"/>
  <c r="CF220" i="50"/>
  <c r="BP156" i="50"/>
  <c r="DX182" i="50"/>
  <c r="BT144" i="50"/>
  <c r="CM104" i="50"/>
  <c r="CM219" i="50"/>
  <c r="EK113" i="50"/>
  <c r="EO117" i="50"/>
  <c r="EL86" i="50"/>
  <c r="EP132" i="50"/>
  <c r="EW235" i="50"/>
  <c r="AI161" i="50"/>
  <c r="AB61" i="50"/>
  <c r="EJ87" i="50"/>
  <c r="BB229" i="50"/>
  <c r="CW199" i="50"/>
  <c r="BR235" i="50"/>
  <c r="BF209" i="50"/>
  <c r="DM230" i="50"/>
  <c r="AM19" i="50"/>
  <c r="CG215" i="50"/>
  <c r="F38" i="50"/>
  <c r="I216" i="50"/>
  <c r="BB225" i="50"/>
  <c r="CJ97" i="50"/>
  <c r="FJ88" i="50"/>
  <c r="BI158" i="50"/>
  <c r="CM194" i="50"/>
  <c r="E161" i="50"/>
  <c r="O210" i="50"/>
  <c r="DW127" i="50"/>
  <c r="AD33" i="50"/>
  <c r="AD34" i="26"/>
  <c r="BE231" i="50"/>
  <c r="BG133" i="50"/>
  <c r="AD227" i="50"/>
  <c r="CK73" i="50"/>
  <c r="CF186" i="50"/>
  <c r="CH144" i="50"/>
  <c r="CH178" i="50"/>
  <c r="BA193" i="50"/>
  <c r="AQ180" i="50"/>
  <c r="FD153" i="50"/>
  <c r="CH161" i="50"/>
  <c r="FG111" i="50"/>
  <c r="FA222" i="50"/>
  <c r="FI160" i="50"/>
  <c r="BX177" i="50"/>
  <c r="U231" i="50"/>
  <c r="BG183" i="50"/>
  <c r="AA209" i="50"/>
  <c r="AY214" i="50"/>
  <c r="AU195" i="50"/>
  <c r="AL173" i="50"/>
  <c r="FD181" i="50"/>
  <c r="DX221" i="50"/>
  <c r="CA233" i="50"/>
  <c r="CG214" i="50"/>
  <c r="EB195" i="50"/>
  <c r="Z41" i="26"/>
  <c r="AA19" i="26"/>
  <c r="DW124" i="50"/>
  <c r="R155" i="50"/>
  <c r="DC208" i="50"/>
  <c r="AF178" i="50"/>
  <c r="EH90" i="50"/>
  <c r="CG173" i="50"/>
  <c r="O160" i="50"/>
  <c r="ES234" i="50"/>
  <c r="EL98" i="50"/>
  <c r="EM120" i="50"/>
  <c r="BW215" i="50"/>
  <c r="AA181" i="50"/>
  <c r="FD147" i="50"/>
  <c r="BE173" i="50"/>
  <c r="DJ141" i="50"/>
  <c r="J229" i="50"/>
  <c r="CO160" i="50"/>
  <c r="DG200" i="50"/>
  <c r="AO198" i="50"/>
  <c r="DC157" i="50"/>
  <c r="Z228" i="50"/>
  <c r="EZ179" i="50"/>
  <c r="CG226" i="50"/>
  <c r="FF155" i="50"/>
  <c r="BG128" i="50"/>
  <c r="BE227" i="50"/>
  <c r="DO128" i="50"/>
  <c r="AS161" i="50"/>
  <c r="AS232" i="50"/>
  <c r="BK181" i="50"/>
  <c r="DT82" i="50"/>
  <c r="DC235" i="50"/>
  <c r="BH159" i="50"/>
  <c r="AP172" i="50"/>
  <c r="DA142" i="50"/>
  <c r="E226" i="50"/>
  <c r="BV218" i="50"/>
  <c r="J155" i="50"/>
  <c r="CC224" i="50"/>
  <c r="AA23" i="26"/>
  <c r="EN99" i="50"/>
  <c r="DF134" i="50"/>
  <c r="EZ159" i="50"/>
  <c r="C175" i="50"/>
  <c r="CP236" i="50"/>
  <c r="DA216" i="50"/>
  <c r="EK237" i="50"/>
  <c r="BE172" i="50"/>
  <c r="FB234" i="50"/>
  <c r="BV191" i="50"/>
  <c r="AO207" i="50"/>
  <c r="AH43" i="50"/>
  <c r="AP198" i="50"/>
  <c r="DC139" i="50"/>
  <c r="ED235" i="50"/>
  <c r="EE174" i="50"/>
  <c r="EJ174" i="50"/>
  <c r="FA230" i="50"/>
  <c r="EY178" i="50"/>
  <c r="FE170" i="50"/>
  <c r="CM174" i="50"/>
  <c r="AJ59" i="50"/>
  <c r="DD179" i="50"/>
  <c r="BS75" i="50"/>
  <c r="EN135" i="50"/>
  <c r="DO160" i="50"/>
  <c r="AW234" i="50"/>
  <c r="Z210" i="50"/>
  <c r="AX183" i="50"/>
  <c r="AJ29" i="50"/>
  <c r="EO156" i="50"/>
  <c r="U144" i="50"/>
  <c r="BG213" i="50"/>
  <c r="DD150" i="50"/>
  <c r="CL128" i="50"/>
  <c r="FC147" i="50"/>
  <c r="FE229" i="50"/>
  <c r="EM225" i="50"/>
  <c r="DE120" i="50"/>
  <c r="CX98" i="50"/>
  <c r="BL234" i="50"/>
  <c r="BW175" i="50"/>
  <c r="BL162" i="50"/>
  <c r="AH227" i="50"/>
  <c r="AA177" i="50"/>
  <c r="BU104" i="50"/>
  <c r="DA106" i="50"/>
  <c r="CN201" i="50"/>
  <c r="BR173" i="50"/>
  <c r="AA52" i="26"/>
  <c r="BS217" i="50"/>
  <c r="FJ171" i="50"/>
  <c r="DX205" i="50"/>
  <c r="DV223" i="50"/>
  <c r="DS215" i="50"/>
  <c r="CJ145" i="50"/>
  <c r="EQ208" i="50"/>
  <c r="FH102" i="50"/>
  <c r="CY177" i="50"/>
  <c r="DB160" i="50"/>
  <c r="AC233" i="50"/>
  <c r="EN92" i="50"/>
  <c r="EO181" i="50"/>
  <c r="DT121" i="50"/>
  <c r="AK63" i="50"/>
  <c r="G233" i="50"/>
  <c r="EE173" i="50"/>
  <c r="DU75" i="50"/>
  <c r="BU228" i="50"/>
  <c r="BL227" i="50"/>
  <c r="ES183" i="50"/>
  <c r="BB155" i="50"/>
  <c r="FI95" i="50"/>
  <c r="DI153" i="50"/>
  <c r="AJ48" i="50"/>
  <c r="AT183" i="50"/>
  <c r="CL174" i="50"/>
  <c r="AA31" i="50"/>
  <c r="AJ215" i="50"/>
  <c r="CF144" i="50"/>
  <c r="EZ74" i="50"/>
  <c r="AI44" i="50"/>
  <c r="CH96" i="50"/>
  <c r="FF210" i="50"/>
  <c r="DD82" i="50"/>
  <c r="P198" i="50"/>
  <c r="EK190" i="50"/>
  <c r="AB175" i="50"/>
  <c r="DU205" i="50"/>
  <c r="BT99" i="50"/>
  <c r="H214" i="50"/>
  <c r="EY189" i="50"/>
  <c r="EZ210" i="50"/>
  <c r="AC42" i="26"/>
  <c r="EF180" i="50"/>
  <c r="EL164" i="50"/>
  <c r="D198" i="50"/>
  <c r="DD83" i="50"/>
  <c r="AE25" i="26"/>
  <c r="EN172" i="50"/>
  <c r="BG236" i="50"/>
  <c r="P232" i="50"/>
  <c r="DQ195" i="50"/>
  <c r="DM160" i="50"/>
  <c r="DV136" i="50"/>
  <c r="EH93" i="50"/>
  <c r="DU114" i="50"/>
  <c r="FH183" i="50"/>
  <c r="DW142" i="50"/>
  <c r="L155" i="50"/>
  <c r="AW209" i="50"/>
  <c r="AC22" i="26"/>
  <c r="T142" i="50"/>
  <c r="DW146" i="50"/>
  <c r="FJ208" i="50"/>
  <c r="FA200" i="50"/>
  <c r="J195" i="50"/>
  <c r="BU212" i="50"/>
  <c r="EO127" i="50"/>
  <c r="BV160" i="50"/>
  <c r="DW112" i="50"/>
  <c r="BY161" i="50"/>
  <c r="CR181" i="50"/>
  <c r="DY172" i="50"/>
  <c r="AC25" i="26"/>
  <c r="DU73" i="50"/>
  <c r="FI212" i="50"/>
  <c r="FF176" i="50"/>
  <c r="FE99" i="50"/>
  <c r="EI108" i="50"/>
  <c r="Z58" i="26"/>
  <c r="AK31" i="50"/>
  <c r="BW183" i="50"/>
  <c r="FF116" i="50"/>
  <c r="FC160" i="50"/>
  <c r="EL160" i="50"/>
  <c r="AS230" i="50"/>
  <c r="EF182" i="50"/>
  <c r="FF86" i="50"/>
  <c r="ER236" i="50"/>
  <c r="BU175" i="50"/>
  <c r="AU174" i="50"/>
  <c r="EA157" i="50"/>
  <c r="DG74" i="50"/>
  <c r="DI200" i="50"/>
  <c r="AO232" i="50"/>
  <c r="N178" i="50"/>
  <c r="FA218" i="50"/>
  <c r="FB123" i="50"/>
  <c r="BB236" i="50"/>
  <c r="AF153" i="50"/>
  <c r="CN230" i="50"/>
  <c r="T207" i="50"/>
  <c r="CY111" i="50"/>
  <c r="DN181" i="50"/>
  <c r="EI87" i="50"/>
  <c r="AO175" i="50"/>
  <c r="FB171" i="50"/>
  <c r="BV224" i="50"/>
  <c r="FH114" i="50"/>
  <c r="DD158" i="50"/>
  <c r="V143" i="50"/>
  <c r="DJ237" i="50"/>
  <c r="DN174" i="50"/>
  <c r="DH182" i="50"/>
  <c r="EA232" i="50"/>
  <c r="FG85" i="50"/>
  <c r="BM179" i="50"/>
  <c r="CN219" i="50"/>
  <c r="CN123" i="50"/>
  <c r="BJ209" i="50"/>
  <c r="FH91" i="50"/>
  <c r="BZ196" i="50"/>
  <c r="AH142" i="50"/>
  <c r="BX176" i="50"/>
  <c r="AX179" i="50"/>
  <c r="EW156" i="50"/>
  <c r="DI190" i="50"/>
  <c r="BJ233" i="50"/>
  <c r="DD144" i="50"/>
  <c r="EG183" i="50"/>
  <c r="DI119" i="50"/>
  <c r="Z194" i="50"/>
  <c r="AG197" i="50"/>
  <c r="EN215" i="50"/>
  <c r="N144" i="50"/>
  <c r="CE182" i="50"/>
  <c r="DG136" i="50"/>
  <c r="ER234" i="50"/>
  <c r="DK173" i="50"/>
  <c r="BP232" i="50"/>
  <c r="BV167" i="50"/>
  <c r="CZ168" i="50"/>
  <c r="EI194" i="50"/>
  <c r="AH44" i="50"/>
  <c r="CO153" i="50"/>
  <c r="CN107" i="50"/>
  <c r="DV185" i="50"/>
  <c r="BU155" i="50"/>
  <c r="Z61" i="26"/>
  <c r="AI144" i="50"/>
  <c r="FE113" i="50"/>
  <c r="T225" i="50"/>
  <c r="AE26" i="50"/>
  <c r="BR123" i="50"/>
  <c r="DA133" i="50"/>
  <c r="AO208" i="50"/>
  <c r="Q182" i="50"/>
  <c r="P161" i="50"/>
  <c r="CL123" i="50"/>
  <c r="DG197" i="50"/>
  <c r="DA78" i="50"/>
  <c r="EV175" i="50"/>
  <c r="BT119" i="50"/>
  <c r="FA204" i="50"/>
  <c r="FD82" i="50"/>
  <c r="EF181" i="50"/>
  <c r="EO131" i="50"/>
  <c r="U174" i="50"/>
  <c r="AV179" i="50"/>
  <c r="AV198" i="50"/>
  <c r="CI196" i="50"/>
  <c r="DE86" i="50"/>
  <c r="FB120" i="50"/>
  <c r="U226" i="50"/>
  <c r="DF217" i="50"/>
  <c r="CK151" i="50"/>
  <c r="J162" i="50"/>
  <c r="AA26" i="26"/>
  <c r="FC120" i="50"/>
  <c r="AM49" i="50"/>
  <c r="EY116" i="50"/>
  <c r="DD171" i="50"/>
  <c r="AH198" i="50"/>
  <c r="CO159" i="50"/>
  <c r="EV183" i="50"/>
  <c r="O143" i="50"/>
  <c r="AG232" i="50"/>
  <c r="BV207" i="50"/>
  <c r="DW210" i="50"/>
  <c r="Z142" i="50"/>
  <c r="FE212" i="50"/>
  <c r="FH180" i="50"/>
  <c r="EO196" i="50"/>
  <c r="DN178" i="50"/>
  <c r="BP173" i="50"/>
  <c r="EL210" i="50"/>
  <c r="R157" i="50"/>
  <c r="R176" i="50"/>
  <c r="EZ123" i="50"/>
  <c r="EC183" i="50"/>
  <c r="CX136" i="50"/>
  <c r="AC179" i="50"/>
  <c r="EH180" i="50"/>
  <c r="DT136" i="50"/>
  <c r="DY141" i="50"/>
  <c r="AQ128" i="50"/>
  <c r="AC194" i="50"/>
  <c r="EA234" i="50"/>
  <c r="CP211" i="50"/>
  <c r="DD174" i="50"/>
  <c r="DH223" i="50"/>
  <c r="FH208" i="50"/>
  <c r="BT203" i="50"/>
  <c r="AB162" i="50"/>
  <c r="AB16" i="26"/>
  <c r="AR153" i="50"/>
  <c r="FB87" i="50"/>
  <c r="DU110" i="50"/>
  <c r="DT95" i="50"/>
  <c r="DR170" i="50"/>
  <c r="DV97" i="50"/>
  <c r="FA132" i="50"/>
  <c r="AB38" i="26"/>
  <c r="CU236" i="50"/>
  <c r="L38" i="50"/>
  <c r="EL113" i="50"/>
  <c r="EZ213" i="50"/>
  <c r="AG141" i="50"/>
  <c r="AB52" i="26"/>
  <c r="CM89" i="50"/>
  <c r="FG117" i="50"/>
  <c r="DQ162" i="50"/>
  <c r="Q160" i="50"/>
  <c r="BB234" i="50"/>
  <c r="DC102" i="50"/>
  <c r="DM179" i="50"/>
  <c r="FC135" i="50"/>
  <c r="EN204" i="50"/>
  <c r="EL91" i="50"/>
  <c r="EO145" i="50"/>
  <c r="G226" i="50"/>
  <c r="BX158" i="50"/>
  <c r="M37" i="50"/>
  <c r="FH138" i="50"/>
  <c r="EP161" i="50"/>
  <c r="H198" i="50"/>
  <c r="BP197" i="50"/>
  <c r="EF229" i="50"/>
  <c r="DD143" i="50"/>
  <c r="AL143" i="50"/>
  <c r="DV87" i="50"/>
  <c r="AC30" i="26"/>
  <c r="T155" i="50"/>
  <c r="S212" i="50"/>
  <c r="EQ161" i="50"/>
  <c r="AB31" i="50"/>
  <c r="H237" i="50"/>
  <c r="DI84" i="50"/>
  <c r="CQ144" i="50"/>
  <c r="EX234" i="50"/>
  <c r="DE213" i="50"/>
  <c r="DV111" i="50"/>
  <c r="BP216" i="50"/>
  <c r="CV161" i="50"/>
  <c r="BU160" i="50"/>
  <c r="BZ179" i="50"/>
  <c r="CC197" i="50"/>
  <c r="EI208" i="50"/>
  <c r="DU131" i="50"/>
  <c r="DG97" i="50"/>
  <c r="CF80" i="50"/>
  <c r="AB62" i="50"/>
  <c r="EG228" i="50"/>
  <c r="DE138" i="50"/>
  <c r="U228" i="50"/>
  <c r="AA27" i="50"/>
  <c r="BA209" i="50"/>
  <c r="DI108" i="50"/>
  <c r="EI117" i="50"/>
  <c r="J33" i="50"/>
  <c r="CF180" i="50"/>
  <c r="EQ236" i="50"/>
  <c r="FG221" i="50"/>
  <c r="AM63" i="50"/>
  <c r="DO171" i="50"/>
  <c r="AY159" i="50"/>
  <c r="AX175" i="50"/>
  <c r="AS235" i="50"/>
  <c r="BL216" i="50"/>
  <c r="R161" i="50"/>
  <c r="FH170" i="50"/>
  <c r="DR171" i="50"/>
  <c r="BA177" i="50"/>
  <c r="DG175" i="50"/>
  <c r="CP183" i="50"/>
  <c r="DQ232" i="50"/>
  <c r="AD64" i="50"/>
  <c r="DW183" i="50"/>
  <c r="EC231" i="50"/>
  <c r="BZ230" i="50"/>
  <c r="EL126" i="50"/>
  <c r="DH154" i="50"/>
  <c r="DW150" i="50"/>
  <c r="DT159" i="50"/>
  <c r="C215" i="50"/>
  <c r="DC230" i="50"/>
  <c r="DM197" i="50"/>
  <c r="FH96" i="50"/>
  <c r="CK219" i="50"/>
  <c r="AJ158" i="50"/>
  <c r="N170" i="50"/>
  <c r="FH236" i="50"/>
  <c r="AH37" i="50"/>
  <c r="AB228" i="50"/>
  <c r="AR227" i="50"/>
  <c r="DT141" i="50"/>
  <c r="CM203" i="50"/>
  <c r="BK162" i="50"/>
  <c r="CR198" i="50"/>
  <c r="DC147" i="50"/>
  <c r="AY216" i="50"/>
  <c r="EN150" i="50"/>
  <c r="F230" i="50"/>
  <c r="X161" i="50"/>
  <c r="E225" i="50"/>
  <c r="BO157" i="50"/>
  <c r="K38" i="50"/>
  <c r="EF216" i="50"/>
  <c r="DG179" i="50"/>
  <c r="EN119" i="50"/>
  <c r="BT164" i="50"/>
  <c r="CN171" i="50"/>
  <c r="EP100" i="50"/>
  <c r="CX162" i="50"/>
  <c r="EH117" i="50"/>
  <c r="K181" i="50"/>
  <c r="DH94" i="50"/>
  <c r="AQ231" i="50"/>
  <c r="I171" i="50"/>
  <c r="O194" i="50"/>
  <c r="CG178" i="50"/>
  <c r="DH122" i="50"/>
  <c r="CH225" i="50"/>
  <c r="I182" i="50"/>
  <c r="EG160" i="50"/>
  <c r="CZ234" i="50"/>
  <c r="FF103" i="50"/>
  <c r="BV134" i="50"/>
  <c r="AS174" i="50"/>
  <c r="CV194" i="50"/>
  <c r="CD208" i="50"/>
  <c r="EN148" i="50"/>
  <c r="DW155" i="50"/>
  <c r="DH191" i="50"/>
  <c r="FK171" i="50"/>
  <c r="EP85" i="50"/>
  <c r="BB129" i="50"/>
  <c r="BN232" i="50"/>
  <c r="DV196" i="50"/>
  <c r="AC31" i="26"/>
  <c r="DF181" i="50"/>
  <c r="BG130" i="50"/>
  <c r="AY182" i="50"/>
  <c r="ET181" i="50"/>
  <c r="AE181" i="50"/>
  <c r="DC166" i="50"/>
  <c r="AK25" i="50"/>
  <c r="BO161" i="50"/>
  <c r="DD102" i="50"/>
  <c r="DK180" i="50"/>
  <c r="DF194" i="50"/>
  <c r="AM183" i="50"/>
  <c r="FG107" i="50"/>
  <c r="C182" i="50"/>
  <c r="CM214" i="50"/>
  <c r="Q173" i="50"/>
  <c r="CI153" i="50"/>
  <c r="EI107" i="50"/>
  <c r="BW139" i="50"/>
  <c r="FH155" i="50"/>
  <c r="DX217" i="50"/>
  <c r="AL157" i="50"/>
  <c r="FE167" i="50"/>
  <c r="FE131" i="50"/>
  <c r="BT133" i="50"/>
  <c r="CZ176" i="50"/>
  <c r="DH188" i="50"/>
  <c r="L179" i="50"/>
  <c r="AF180" i="50"/>
  <c r="CL175" i="50"/>
  <c r="CM85" i="50"/>
  <c r="EP194" i="50"/>
  <c r="DY195" i="50"/>
  <c r="FH80" i="50"/>
  <c r="CF98" i="50"/>
  <c r="AK175" i="50"/>
  <c r="FI122" i="50"/>
  <c r="DI210" i="50"/>
  <c r="EH155" i="50"/>
  <c r="CN106" i="50"/>
  <c r="AV230" i="50"/>
  <c r="DO179" i="50"/>
  <c r="EN202" i="50"/>
  <c r="BO183" i="50"/>
  <c r="DC107" i="50"/>
  <c r="P216" i="50"/>
  <c r="AM231" i="50"/>
  <c r="BS131" i="50"/>
  <c r="AP237" i="50"/>
  <c r="FE127" i="50"/>
  <c r="AM46" i="50"/>
  <c r="EH145" i="50"/>
  <c r="BD129" i="50"/>
  <c r="EI157" i="50"/>
  <c r="AN161" i="50"/>
  <c r="EH158" i="50"/>
  <c r="DC188" i="50"/>
  <c r="DV153" i="50"/>
  <c r="BS235" i="50"/>
  <c r="CJ162" i="50"/>
  <c r="EZ208" i="50"/>
  <c r="CE183" i="50"/>
  <c r="CW237" i="50"/>
  <c r="AC23" i="26"/>
  <c r="DV225" i="50"/>
  <c r="BX193" i="50"/>
  <c r="CL127" i="50"/>
  <c r="AQ141" i="50"/>
  <c r="N141" i="50"/>
  <c r="ED236" i="50"/>
  <c r="AI207" i="50"/>
  <c r="BK161" i="50"/>
  <c r="EK199" i="50"/>
  <c r="F37" i="50"/>
  <c r="DW163" i="50"/>
  <c r="EP235" i="50"/>
  <c r="BY154" i="50"/>
  <c r="DK178" i="50"/>
  <c r="EO209" i="50"/>
  <c r="EM229" i="50"/>
  <c r="BR120" i="50"/>
  <c r="BR130" i="50"/>
  <c r="EO180" i="50"/>
  <c r="CA183" i="50"/>
  <c r="AP230" i="50"/>
  <c r="FB230" i="50"/>
  <c r="EP200" i="50"/>
  <c r="AD182" i="50"/>
  <c r="CH230" i="50"/>
  <c r="EY161" i="50"/>
  <c r="EK84" i="50"/>
  <c r="EL139" i="50"/>
  <c r="EL203" i="50"/>
  <c r="CD207" i="50"/>
  <c r="EZ90" i="50"/>
  <c r="EK201" i="50"/>
  <c r="DX212" i="50"/>
  <c r="AL176" i="50"/>
  <c r="DV167" i="50"/>
  <c r="DP197" i="50"/>
  <c r="CH131" i="50"/>
  <c r="AI234" i="50"/>
  <c r="CQ214" i="50"/>
  <c r="R212" i="50"/>
  <c r="EP77" i="50"/>
  <c r="CN235" i="50"/>
  <c r="FF183" i="50"/>
  <c r="AL57" i="50"/>
  <c r="AR141" i="50"/>
  <c r="DR161" i="50"/>
  <c r="FK75" i="50"/>
  <c r="AM162" i="50"/>
  <c r="EW210" i="50"/>
  <c r="FF185" i="50"/>
  <c r="Q197" i="50"/>
  <c r="CX110" i="50"/>
  <c r="CI135" i="50"/>
  <c r="AW193" i="50"/>
  <c r="EL131" i="50"/>
  <c r="FK145" i="50"/>
  <c r="EY204" i="50"/>
  <c r="CY194" i="50"/>
  <c r="BX232" i="50"/>
  <c r="CF103" i="50"/>
  <c r="DC75" i="50"/>
  <c r="CA144" i="50"/>
  <c r="AM55" i="50"/>
  <c r="BL171" i="50"/>
  <c r="EL142" i="50"/>
  <c r="ER128" i="50"/>
  <c r="FF96" i="50"/>
  <c r="FH200" i="50"/>
  <c r="CW161" i="50"/>
  <c r="EZ233" i="50"/>
  <c r="CJ215" i="50"/>
  <c r="FD211" i="50"/>
  <c r="EI201" i="50"/>
  <c r="AV171" i="50"/>
  <c r="DH93" i="50"/>
  <c r="AO235" i="50"/>
  <c r="EN186" i="50"/>
  <c r="BU89" i="50"/>
  <c r="N183" i="50"/>
  <c r="CF131" i="50"/>
  <c r="DW216" i="50"/>
  <c r="BQ208" i="50"/>
  <c r="CG230" i="50"/>
  <c r="DT98" i="50"/>
  <c r="FB197" i="50"/>
  <c r="EO96" i="50"/>
  <c r="CX206" i="50"/>
  <c r="FK108" i="50"/>
  <c r="EU181" i="50"/>
  <c r="AD226" i="50"/>
  <c r="AD233" i="50"/>
  <c r="AO227" i="50"/>
  <c r="FI192" i="50"/>
  <c r="BP212" i="50"/>
  <c r="BE182" i="50"/>
  <c r="BG132" i="50"/>
  <c r="FJ202" i="50"/>
  <c r="CI106" i="50"/>
  <c r="M232" i="50"/>
  <c r="BJ230" i="50"/>
  <c r="AL161" i="50"/>
  <c r="AV233" i="50"/>
  <c r="CJ235" i="50"/>
  <c r="FH128" i="50"/>
  <c r="ED193" i="50"/>
  <c r="BY225" i="50"/>
  <c r="CW79" i="50"/>
  <c r="CK232" i="50"/>
  <c r="DE157" i="50"/>
  <c r="DV151" i="50"/>
  <c r="DC99" i="50"/>
  <c r="CE128" i="50"/>
  <c r="BU111" i="50"/>
  <c r="CI130" i="50"/>
  <c r="DD196" i="50"/>
  <c r="DD209" i="50"/>
  <c r="AA60" i="50"/>
  <c r="DF175" i="50"/>
  <c r="Z139" i="50"/>
  <c r="X177" i="50"/>
  <c r="CH163" i="50"/>
  <c r="AG50" i="50"/>
  <c r="CI99" i="50"/>
  <c r="EP168" i="50"/>
  <c r="CU209" i="50"/>
  <c r="EP136" i="50"/>
  <c r="EB211" i="50"/>
  <c r="DI113" i="50"/>
  <c r="DW100" i="50"/>
  <c r="CT231" i="50"/>
  <c r="FI130" i="50"/>
  <c r="AN142" i="50"/>
  <c r="FJ115" i="50"/>
  <c r="CY76" i="50"/>
  <c r="AZ183" i="50"/>
  <c r="FI227" i="50"/>
  <c r="FE81" i="50"/>
  <c r="CZ142" i="50"/>
  <c r="CU162" i="50"/>
  <c r="FI213" i="50"/>
  <c r="CA178" i="50"/>
  <c r="EK197" i="50"/>
  <c r="FI105" i="50"/>
  <c r="BC174" i="50"/>
  <c r="EH196" i="50"/>
  <c r="BE229" i="50"/>
  <c r="FJ100" i="50"/>
  <c r="CX93" i="50"/>
  <c r="CW145" i="50"/>
  <c r="FI126" i="50"/>
  <c r="CY234" i="50"/>
  <c r="EK83" i="50"/>
  <c r="AC45" i="26"/>
  <c r="Z56" i="26"/>
  <c r="DT222" i="50"/>
  <c r="W207" i="50"/>
  <c r="DF117" i="50"/>
  <c r="DX225" i="50"/>
  <c r="EK123" i="50"/>
  <c r="CZ185" i="50"/>
  <c r="BK180" i="50"/>
  <c r="CZ183" i="50"/>
  <c r="AE207" i="50"/>
  <c r="CG177" i="50"/>
  <c r="DT78" i="50"/>
  <c r="Z55" i="26"/>
  <c r="ET194" i="50"/>
  <c r="FC79" i="50"/>
  <c r="BL177" i="50"/>
  <c r="EJ115" i="50"/>
  <c r="EB228" i="50"/>
  <c r="CL215" i="50"/>
  <c r="DH224" i="50"/>
  <c r="DW134" i="50"/>
  <c r="AG25" i="50"/>
  <c r="CX157" i="50"/>
  <c r="CQ215" i="50"/>
  <c r="E155" i="50"/>
  <c r="CK81" i="50"/>
  <c r="DH123" i="50"/>
  <c r="BC181" i="50"/>
  <c r="DT198" i="50"/>
  <c r="BK211" i="50"/>
  <c r="W128" i="50"/>
  <c r="BT195" i="50"/>
  <c r="EI83" i="50"/>
  <c r="BI173" i="50"/>
  <c r="BW231" i="50"/>
  <c r="EN88" i="50"/>
  <c r="DF102" i="50"/>
  <c r="Z179" i="50"/>
  <c r="EO90" i="50"/>
  <c r="DG111" i="50"/>
  <c r="AA61" i="50"/>
  <c r="BI172" i="50"/>
  <c r="AA59" i="26"/>
  <c r="AP212" i="50"/>
  <c r="C37" i="50"/>
  <c r="EY233" i="50"/>
  <c r="DQ208" i="50"/>
  <c r="FJ149" i="50"/>
  <c r="DG108" i="50"/>
  <c r="DK215" i="50"/>
  <c r="DE124" i="50"/>
  <c r="CT224" i="50"/>
  <c r="EX161" i="50"/>
  <c r="BV180" i="50"/>
  <c r="CY220" i="50"/>
  <c r="AY193" i="50"/>
  <c r="FE171" i="50"/>
  <c r="AR216" i="50"/>
  <c r="EH134" i="50"/>
  <c r="CV170" i="50"/>
  <c r="AF226" i="50"/>
  <c r="CI152" i="50"/>
  <c r="AP235" i="50"/>
  <c r="CQ208" i="50"/>
  <c r="EE177" i="50"/>
  <c r="CS229" i="50"/>
  <c r="EM174" i="50"/>
  <c r="EH118" i="50"/>
  <c r="AS233" i="50"/>
  <c r="DX235" i="50"/>
  <c r="FD186" i="50"/>
  <c r="AT212" i="50"/>
  <c r="C210" i="50"/>
  <c r="EY183" i="50"/>
  <c r="K231" i="50"/>
  <c r="EN108" i="50"/>
  <c r="DH99" i="50"/>
  <c r="CT207" i="50"/>
  <c r="AT208" i="50"/>
  <c r="DU192" i="50"/>
  <c r="DI186" i="50"/>
  <c r="DJ226" i="50"/>
  <c r="DA131" i="50"/>
  <c r="EJ171" i="50"/>
  <c r="EY214" i="50"/>
  <c r="CY148" i="50"/>
  <c r="BR143" i="50"/>
  <c r="CU235" i="50"/>
  <c r="CJ148" i="50"/>
  <c r="DM176" i="50"/>
  <c r="D128" i="50"/>
  <c r="V207" i="50"/>
  <c r="BK153" i="50"/>
  <c r="U159" i="50"/>
  <c r="AB62" i="26"/>
  <c r="DB104" i="50"/>
  <c r="AW160" i="50"/>
  <c r="FE165" i="50"/>
  <c r="AH178" i="50"/>
  <c r="EU228" i="50"/>
  <c r="EM136" i="50"/>
  <c r="FD200" i="50"/>
  <c r="EY234" i="50"/>
  <c r="FE196" i="50"/>
  <c r="FJ166" i="50"/>
  <c r="CZ162" i="50"/>
  <c r="W213" i="50"/>
  <c r="FF169" i="50"/>
  <c r="DO175" i="50"/>
  <c r="FA219" i="50"/>
  <c r="FJ236" i="50"/>
  <c r="CN234" i="50"/>
  <c r="DE87" i="50"/>
  <c r="CX219" i="50"/>
  <c r="DG100" i="50"/>
  <c r="X141" i="50"/>
  <c r="FJ85" i="50"/>
  <c r="FK200" i="50"/>
  <c r="AZ237" i="50"/>
  <c r="DI202" i="50"/>
  <c r="CR226" i="50"/>
  <c r="E227" i="50"/>
  <c r="ET153" i="50"/>
  <c r="EQ142" i="50"/>
  <c r="FK136" i="50"/>
  <c r="EK158" i="50"/>
  <c r="FI223" i="50"/>
  <c r="DF214" i="50"/>
  <c r="EP150" i="50"/>
  <c r="BI234" i="50"/>
  <c r="EY205" i="50"/>
  <c r="EL112" i="50"/>
  <c r="CI132" i="50"/>
  <c r="AA37" i="50"/>
  <c r="EQ179" i="50"/>
  <c r="BK128" i="50"/>
  <c r="EC210" i="50"/>
  <c r="FF131" i="50"/>
  <c r="CF111" i="50"/>
  <c r="BG147" i="50"/>
  <c r="CC193" i="50"/>
  <c r="AM16" i="50"/>
  <c r="EB233" i="50"/>
  <c r="BV188" i="50"/>
  <c r="EG176" i="50"/>
  <c r="AB27" i="50"/>
  <c r="DC149" i="50"/>
  <c r="EN144" i="50"/>
  <c r="CF122" i="50"/>
  <c r="BI232" i="50"/>
  <c r="AD24" i="26"/>
  <c r="BC236" i="50"/>
  <c r="CZ160" i="50"/>
  <c r="EM140" i="50"/>
  <c r="CD229" i="50"/>
  <c r="CY181" i="50"/>
  <c r="BZ224" i="50"/>
  <c r="EN81" i="50"/>
  <c r="DG79" i="50"/>
  <c r="CL125" i="50"/>
  <c r="DF228" i="50"/>
  <c r="BI143" i="50"/>
  <c r="S65" i="50"/>
  <c r="FE193" i="50"/>
  <c r="EO104" i="50"/>
  <c r="AO181" i="50"/>
  <c r="FD123" i="50"/>
  <c r="BS90" i="50"/>
  <c r="CK159" i="50"/>
  <c r="CN220" i="50"/>
  <c r="BG233" i="50"/>
  <c r="O214" i="50"/>
  <c r="AK21" i="50"/>
  <c r="DU120" i="50"/>
  <c r="O211" i="50"/>
  <c r="AE228" i="50"/>
  <c r="CT225" i="50"/>
  <c r="EJ96" i="50"/>
  <c r="AQ230" i="50"/>
  <c r="R139" i="50"/>
  <c r="CL141" i="50"/>
  <c r="CN169" i="50"/>
  <c r="CA155" i="50"/>
  <c r="DA209" i="50"/>
  <c r="ET178" i="50"/>
  <c r="FH168" i="50"/>
  <c r="FK128" i="50"/>
  <c r="AC39" i="26"/>
  <c r="CG124" i="50"/>
  <c r="FC210" i="50"/>
  <c r="F236" i="50"/>
  <c r="BT212" i="50"/>
  <c r="EZ171" i="50"/>
  <c r="G175" i="50"/>
  <c r="BG99" i="50"/>
  <c r="BQ225" i="50"/>
  <c r="AH35" i="50"/>
  <c r="DC148" i="50"/>
  <c r="EL211" i="50"/>
  <c r="ES176" i="50"/>
  <c r="DG113" i="50"/>
  <c r="AJ157" i="50"/>
  <c r="DY183" i="50"/>
  <c r="CM210" i="50"/>
  <c r="Y25" i="50"/>
  <c r="BR229" i="50"/>
  <c r="DM194" i="50"/>
  <c r="DQ182" i="50"/>
  <c r="ED198" i="50"/>
  <c r="EJ233" i="50"/>
  <c r="CL91" i="50"/>
  <c r="DE136" i="50"/>
  <c r="DX222" i="50"/>
  <c r="EM74" i="50"/>
  <c r="AA144" i="50"/>
  <c r="EL158" i="50"/>
  <c r="BG186" i="50"/>
  <c r="BW235" i="50"/>
  <c r="DV235" i="50"/>
  <c r="BS179" i="50"/>
  <c r="DV190" i="50"/>
  <c r="AQ216" i="50"/>
  <c r="CB162" i="50"/>
  <c r="DJ233" i="50"/>
  <c r="EF211" i="50"/>
  <c r="BG121" i="50"/>
  <c r="CY233" i="50"/>
  <c r="FJ139" i="50"/>
  <c r="BQ142" i="50"/>
  <c r="CX189" i="50"/>
  <c r="DD119" i="50"/>
  <c r="BR189" i="50"/>
  <c r="AH170" i="50"/>
  <c r="FG162" i="50"/>
  <c r="BT137" i="50"/>
  <c r="BI231" i="50"/>
  <c r="FI172" i="50"/>
  <c r="FK142" i="50"/>
  <c r="X216" i="50"/>
  <c r="BF235" i="50"/>
  <c r="BP237" i="50"/>
  <c r="AG22" i="50"/>
  <c r="R59" i="50"/>
  <c r="FB110" i="50"/>
  <c r="BZ197" i="50"/>
  <c r="Z51" i="26"/>
  <c r="DF116" i="50"/>
  <c r="FC157" i="50"/>
  <c r="FA167" i="50"/>
  <c r="FD89" i="50"/>
  <c r="BW180" i="50"/>
  <c r="AV212" i="50"/>
  <c r="FE116" i="50"/>
  <c r="FI89" i="50"/>
  <c r="FA203" i="50"/>
  <c r="DG75" i="50"/>
  <c r="R195" i="50"/>
  <c r="DT191" i="50"/>
  <c r="CM228" i="50"/>
  <c r="DB163" i="50"/>
  <c r="FE142" i="50"/>
  <c r="FH205" i="50"/>
  <c r="FI76" i="50"/>
  <c r="I36" i="50"/>
  <c r="ES227" i="50"/>
  <c r="G236" i="50"/>
  <c r="DD187" i="50"/>
  <c r="CJ125" i="50"/>
  <c r="CI224" i="50"/>
  <c r="CN208" i="50"/>
  <c r="DC193" i="50"/>
  <c r="N181" i="50"/>
  <c r="AA16" i="26"/>
  <c r="EP114" i="50"/>
  <c r="CH143" i="50"/>
  <c r="BA156" i="50"/>
  <c r="AR173" i="50"/>
  <c r="EI154" i="50"/>
  <c r="DE133" i="50"/>
  <c r="FB150" i="50"/>
  <c r="EB227" i="50"/>
  <c r="DF165" i="50"/>
  <c r="AN144" i="50"/>
  <c r="AM25" i="50"/>
  <c r="EL202" i="50"/>
  <c r="BI196" i="50"/>
  <c r="DF226" i="50"/>
  <c r="DU235" i="50"/>
  <c r="EH105" i="50"/>
  <c r="DH111" i="50"/>
  <c r="AM20" i="50"/>
  <c r="CI131" i="50"/>
  <c r="EP110" i="50"/>
  <c r="DI131" i="50"/>
  <c r="BB159" i="50"/>
  <c r="DC180" i="50"/>
  <c r="EL92" i="50"/>
  <c r="AA178" i="50"/>
  <c r="ER177" i="50"/>
  <c r="DJ177" i="50"/>
  <c r="DG82" i="50"/>
  <c r="ER227" i="50"/>
  <c r="FD179" i="50"/>
  <c r="BS135" i="50"/>
  <c r="FI209" i="50"/>
  <c r="AG196" i="50"/>
  <c r="J39" i="50"/>
  <c r="EX181" i="50"/>
  <c r="FB211" i="50"/>
  <c r="EN118" i="50"/>
  <c r="DF93" i="50"/>
  <c r="ER233" i="50"/>
  <c r="EN178" i="50"/>
  <c r="DJ156" i="50"/>
  <c r="BV118" i="50"/>
  <c r="EN141" i="50"/>
  <c r="DG119" i="50"/>
  <c r="CD215" i="50"/>
  <c r="BY173" i="50"/>
  <c r="T193" i="50"/>
  <c r="BJ225" i="50"/>
  <c r="EG234" i="50"/>
  <c r="G41" i="50"/>
  <c r="CM215" i="50"/>
  <c r="CL140" i="50"/>
  <c r="CA215" i="50"/>
  <c r="CL192" i="50"/>
  <c r="EM213" i="50"/>
  <c r="CB216" i="50"/>
  <c r="DH198" i="50"/>
  <c r="EN105" i="50"/>
  <c r="FE152" i="50"/>
  <c r="EO166" i="50"/>
  <c r="U224" i="50"/>
  <c r="EO105" i="50"/>
  <c r="F182" i="50"/>
  <c r="DP207" i="50"/>
  <c r="DI212" i="50"/>
  <c r="CG180" i="50"/>
  <c r="AL47" i="50"/>
  <c r="EO140" i="50"/>
  <c r="AV232" i="50"/>
  <c r="FD104" i="50"/>
  <c r="EG213" i="50"/>
  <c r="AU233" i="50"/>
  <c r="DK172" i="50"/>
  <c r="CW169" i="50"/>
  <c r="FD184" i="50"/>
  <c r="DW222" i="50"/>
  <c r="EE226" i="50"/>
  <c r="BB161" i="50"/>
  <c r="FD162" i="50"/>
  <c r="DX76" i="50"/>
  <c r="AT214" i="50"/>
  <c r="DH98" i="50"/>
  <c r="R197" i="50"/>
  <c r="AE27" i="50"/>
  <c r="FI143" i="50"/>
  <c r="CK153" i="50"/>
  <c r="EP179" i="50"/>
  <c r="DA141" i="50"/>
  <c r="CN73" i="50"/>
  <c r="DA183" i="50"/>
  <c r="CK90" i="50"/>
  <c r="EL132" i="50"/>
  <c r="EO199" i="50"/>
  <c r="BM173" i="50"/>
  <c r="DG220" i="50"/>
  <c r="DT214" i="50"/>
  <c r="CM135" i="50"/>
  <c r="G230" i="50"/>
  <c r="DJ182" i="50"/>
  <c r="CF224" i="50"/>
  <c r="CM111" i="50"/>
  <c r="DR228" i="50"/>
  <c r="DM210" i="50"/>
  <c r="CF159" i="50"/>
  <c r="AJ226" i="50"/>
  <c r="BG190" i="50"/>
  <c r="T62" i="50"/>
  <c r="EP88" i="50"/>
  <c r="CI129" i="50"/>
  <c r="DH108" i="50"/>
  <c r="FD141" i="50"/>
  <c r="FK117" i="50"/>
  <c r="DH180" i="50"/>
  <c r="BC227" i="50"/>
  <c r="EQ162" i="50"/>
  <c r="DE119" i="50"/>
  <c r="BU172" i="50"/>
  <c r="CC175" i="50"/>
  <c r="BV215" i="50"/>
  <c r="FF82" i="50"/>
  <c r="Z60" i="26"/>
  <c r="DC194" i="50"/>
  <c r="CK169" i="50"/>
  <c r="FD106" i="50"/>
  <c r="AE42" i="26"/>
  <c r="DG130" i="50"/>
  <c r="AB210" i="50"/>
  <c r="L153" i="50"/>
  <c r="V155" i="50"/>
  <c r="AD54" i="26"/>
  <c r="CJ75" i="50"/>
  <c r="DF78" i="50"/>
  <c r="EE209" i="50"/>
  <c r="BO176" i="50"/>
  <c r="CT160" i="50"/>
  <c r="BU165" i="50"/>
  <c r="CG103" i="50"/>
  <c r="DY129" i="50"/>
  <c r="AU180" i="50"/>
  <c r="FG140" i="50"/>
  <c r="DC118" i="50"/>
  <c r="DQ178" i="50"/>
  <c r="AI231" i="50"/>
  <c r="FD75" i="50"/>
  <c r="EH142" i="50"/>
  <c r="CA173" i="50"/>
  <c r="EI98" i="50"/>
  <c r="EO126" i="50"/>
  <c r="M140" i="50"/>
  <c r="BX155" i="50"/>
  <c r="EC233" i="50"/>
  <c r="FH231" i="50"/>
  <c r="BT153" i="50"/>
  <c r="EO234" i="50"/>
  <c r="CQ181" i="50"/>
  <c r="DZ128" i="50"/>
  <c r="DC134" i="50"/>
  <c r="Q195" i="50"/>
  <c r="DF157" i="50"/>
  <c r="FF85" i="50"/>
  <c r="U33" i="50"/>
  <c r="AV182" i="50"/>
  <c r="AI35" i="50"/>
  <c r="BS92" i="50"/>
  <c r="CU215" i="50"/>
  <c r="EM206" i="50"/>
  <c r="AL60" i="50"/>
  <c r="EZ119" i="50"/>
  <c r="DA154" i="50"/>
  <c r="EP158" i="50"/>
  <c r="AW153" i="50"/>
  <c r="DB130" i="50"/>
  <c r="AJ237" i="50"/>
  <c r="BL182" i="50"/>
  <c r="BF230" i="50"/>
  <c r="CK209" i="50"/>
  <c r="J210" i="50"/>
  <c r="E141" i="50"/>
  <c r="DK162" i="50"/>
  <c r="EF207" i="50"/>
  <c r="FE101" i="50"/>
  <c r="W233" i="50"/>
  <c r="T158" i="50"/>
  <c r="CM146" i="50"/>
  <c r="AX162" i="50"/>
  <c r="CH123" i="50"/>
  <c r="CM199" i="50"/>
  <c r="DC93" i="50"/>
  <c r="DE180" i="50"/>
  <c r="FC200" i="50"/>
  <c r="DS228" i="50"/>
  <c r="DI234" i="50"/>
  <c r="EQ214" i="50"/>
  <c r="DD120" i="50"/>
  <c r="CD230" i="50"/>
  <c r="EN164" i="50"/>
  <c r="FJ160" i="50"/>
  <c r="EW232" i="50"/>
  <c r="CK204" i="50"/>
  <c r="DO213" i="50"/>
  <c r="DT129" i="50"/>
  <c r="BB180" i="50"/>
  <c r="BR185" i="50"/>
  <c r="EM93" i="50"/>
  <c r="EN174" i="50"/>
  <c r="AP162" i="50"/>
  <c r="DC191" i="50"/>
  <c r="BJ194" i="50"/>
  <c r="FJ133" i="50"/>
  <c r="AX170" i="50"/>
  <c r="DW220" i="50"/>
  <c r="DB143" i="50"/>
  <c r="FH145" i="50"/>
  <c r="CI191" i="50"/>
  <c r="EL150" i="50"/>
  <c r="ET159" i="50"/>
  <c r="AO180" i="50"/>
  <c r="FK231" i="50"/>
  <c r="FH176" i="50"/>
  <c r="DX170" i="50"/>
  <c r="DC141" i="50"/>
  <c r="BV113" i="50"/>
  <c r="DP211" i="50"/>
  <c r="CY223" i="50"/>
  <c r="FJ107" i="50"/>
  <c r="CK180" i="50"/>
  <c r="DW236" i="50"/>
  <c r="Y194" i="50"/>
  <c r="DC201" i="50"/>
  <c r="X180" i="50"/>
  <c r="AZ196" i="50"/>
  <c r="BU140" i="50"/>
  <c r="DP158" i="50"/>
  <c r="DH143" i="50"/>
  <c r="DL161" i="50"/>
  <c r="BG202" i="50"/>
  <c r="EM208" i="50"/>
  <c r="EB141" i="50"/>
  <c r="DV112" i="50"/>
  <c r="DT178" i="50"/>
  <c r="FB208" i="50"/>
  <c r="AJ225" i="50"/>
  <c r="BS187" i="50"/>
  <c r="EJ225" i="50"/>
  <c r="CK223" i="50"/>
  <c r="EN229" i="50"/>
  <c r="CI158" i="50"/>
  <c r="W160" i="50"/>
  <c r="AX230" i="50"/>
  <c r="ER158" i="50"/>
  <c r="AB54" i="26"/>
  <c r="FI73" i="50"/>
  <c r="CX213" i="50"/>
  <c r="FJ177" i="50"/>
  <c r="CW144" i="50"/>
  <c r="AJ31" i="50"/>
  <c r="AK141" i="50"/>
  <c r="BU85" i="50"/>
  <c r="EI235" i="50"/>
  <c r="BZ178" i="50"/>
  <c r="DU108" i="50"/>
  <c r="FC188" i="50"/>
  <c r="FK176" i="50"/>
  <c r="P193" i="50"/>
  <c r="AJ27" i="50"/>
  <c r="CG205" i="50"/>
  <c r="EA230" i="50"/>
  <c r="CU159" i="50"/>
  <c r="BA211" i="50"/>
  <c r="Z143" i="50"/>
  <c r="FI92" i="50"/>
  <c r="DB93" i="50"/>
  <c r="FA131" i="50"/>
  <c r="BI230" i="50"/>
  <c r="AL159" i="50"/>
  <c r="EY125" i="50"/>
  <c r="U225" i="50"/>
  <c r="FE125" i="50"/>
  <c r="EV129" i="50"/>
  <c r="AO171" i="50"/>
  <c r="BR178" i="50"/>
  <c r="DV137" i="50"/>
  <c r="AX142" i="50"/>
  <c r="EA139" i="50"/>
  <c r="EB232" i="50"/>
  <c r="DD140" i="50"/>
  <c r="DN236" i="50"/>
  <c r="FG122" i="50"/>
  <c r="AE24" i="26"/>
  <c r="EY88" i="50"/>
  <c r="DD96" i="50"/>
  <c r="BR122" i="50"/>
  <c r="EQ215" i="50"/>
  <c r="FG109" i="50"/>
  <c r="BZ213" i="50"/>
  <c r="DA123" i="50"/>
  <c r="DD118" i="50"/>
  <c r="DI195" i="50"/>
  <c r="DO198" i="50"/>
  <c r="S214" i="50"/>
  <c r="AC24" i="26"/>
  <c r="DT160" i="50"/>
  <c r="CU211" i="50"/>
  <c r="FI177" i="50"/>
  <c r="EM194" i="50"/>
  <c r="AB41" i="26"/>
  <c r="CR176" i="50"/>
  <c r="DX207" i="50"/>
  <c r="EP211" i="50"/>
  <c r="EL231" i="50"/>
  <c r="FH123" i="50"/>
  <c r="AI46" i="50"/>
  <c r="AP232" i="50"/>
  <c r="CX220" i="50"/>
  <c r="EO197" i="50"/>
  <c r="EO186" i="50"/>
  <c r="DT235" i="50"/>
  <c r="DZ181" i="50"/>
  <c r="CU179" i="50"/>
  <c r="FF109" i="50"/>
  <c r="CV213" i="50"/>
  <c r="AM54" i="50"/>
  <c r="DY237" i="50"/>
  <c r="AG180" i="50"/>
  <c r="DC183" i="50"/>
  <c r="DC86" i="50"/>
  <c r="DA105" i="50"/>
  <c r="EJ221" i="50"/>
  <c r="AK236" i="50"/>
  <c r="Y139" i="50"/>
  <c r="CK110" i="50"/>
  <c r="FF80" i="50"/>
  <c r="DI193" i="50"/>
  <c r="BY228" i="50"/>
  <c r="AL64" i="50"/>
  <c r="FH132" i="50"/>
  <c r="CL108" i="50"/>
  <c r="BB171" i="50"/>
  <c r="D235" i="50"/>
  <c r="BG129" i="50"/>
  <c r="EM158" i="50"/>
  <c r="EO144" i="50"/>
  <c r="EN77" i="50"/>
  <c r="EO80" i="50"/>
  <c r="DB229" i="50"/>
  <c r="ET173" i="50"/>
  <c r="DT99" i="50"/>
  <c r="FG127" i="50"/>
  <c r="FH189" i="50"/>
  <c r="DU107" i="50"/>
  <c r="FA151" i="50"/>
  <c r="CO183" i="50"/>
  <c r="BD175" i="50"/>
  <c r="AL228" i="50"/>
  <c r="AM229" i="50"/>
  <c r="EH219" i="50"/>
  <c r="DH138" i="50"/>
  <c r="AB56" i="26"/>
  <c r="FK126" i="50"/>
  <c r="AN181" i="50"/>
  <c r="CA227" i="50"/>
  <c r="BV98" i="50"/>
  <c r="BX209" i="50"/>
  <c r="F235" i="50"/>
  <c r="DA88" i="50"/>
  <c r="N195" i="50"/>
  <c r="CV158" i="50"/>
  <c r="AE65" i="50"/>
  <c r="BG75" i="50"/>
  <c r="FF189" i="50"/>
  <c r="BV225" i="50"/>
  <c r="DV95" i="50"/>
  <c r="CG131" i="50"/>
  <c r="EK134" i="50"/>
  <c r="S198" i="50"/>
  <c r="CY221" i="50"/>
  <c r="AQ209" i="50"/>
  <c r="EO76" i="50"/>
  <c r="DD151" i="50"/>
  <c r="CZ219" i="50"/>
  <c r="DG96" i="50"/>
  <c r="DH106" i="50"/>
  <c r="DU166" i="50"/>
  <c r="FH108" i="50"/>
  <c r="CL179" i="50"/>
  <c r="BZ175" i="50"/>
  <c r="DD210" i="50"/>
  <c r="ER161" i="50"/>
  <c r="N155" i="50"/>
  <c r="CJ76" i="50"/>
  <c r="BR215" i="50"/>
  <c r="DE150" i="50"/>
  <c r="CI229" i="50"/>
  <c r="BQ177" i="50"/>
  <c r="EK111" i="50"/>
  <c r="CD180" i="50"/>
  <c r="EU183" i="50"/>
  <c r="CK207" i="50"/>
  <c r="DE189" i="50"/>
  <c r="Z212" i="50"/>
  <c r="BY177" i="50"/>
  <c r="AH57" i="50"/>
  <c r="V65" i="50"/>
  <c r="CJ89" i="50"/>
  <c r="DG151" i="50"/>
  <c r="FF205" i="50"/>
  <c r="EK75" i="50"/>
  <c r="BW159" i="50"/>
  <c r="CN215" i="50"/>
  <c r="FG215" i="50"/>
  <c r="FH112" i="50"/>
  <c r="DH204" i="50"/>
  <c r="FG138" i="50"/>
  <c r="BA157" i="50"/>
  <c r="EV213" i="50"/>
  <c r="CG157" i="50"/>
  <c r="EA183" i="50"/>
  <c r="DU155" i="50"/>
  <c r="Z36" i="26"/>
  <c r="CX82" i="50"/>
  <c r="AE233" i="50"/>
  <c r="AU144" i="50"/>
  <c r="AF232" i="50"/>
  <c r="DQ215" i="50"/>
  <c r="DW195" i="50"/>
  <c r="DQ140" i="50"/>
  <c r="DQ177" i="50"/>
  <c r="C161" i="50"/>
  <c r="EN131" i="50"/>
  <c r="DT150" i="50"/>
  <c r="ER208" i="50"/>
  <c r="AR234" i="50"/>
  <c r="CJ237" i="50"/>
  <c r="FF179" i="50"/>
  <c r="BU106" i="50"/>
  <c r="DF98" i="50"/>
  <c r="CJ184" i="50"/>
  <c r="EQ140" i="50"/>
  <c r="CM112" i="50"/>
  <c r="BS125" i="50"/>
  <c r="BI211" i="50"/>
  <c r="BD197" i="50"/>
  <c r="BS211" i="50"/>
  <c r="CO208" i="50"/>
  <c r="CL234" i="50"/>
  <c r="U157" i="50"/>
  <c r="FJ121" i="50"/>
  <c r="CL188" i="50"/>
  <c r="AH174" i="50"/>
  <c r="EG237" i="50"/>
  <c r="CK201" i="50"/>
  <c r="AA25" i="26"/>
  <c r="EA211" i="50"/>
  <c r="FF121" i="50"/>
  <c r="FF193" i="50"/>
  <c r="FI74" i="50"/>
  <c r="DA204" i="50"/>
  <c r="CG152" i="50"/>
  <c r="AB21" i="26"/>
  <c r="AA58" i="26"/>
  <c r="D195" i="50"/>
  <c r="AA40" i="26"/>
  <c r="BL213" i="50"/>
  <c r="AJ33" i="50"/>
  <c r="EB179" i="50"/>
  <c r="EK233" i="50"/>
  <c r="AI37" i="50"/>
  <c r="AQ139" i="50"/>
  <c r="DH177" i="50"/>
  <c r="CL232" i="50"/>
  <c r="AF159" i="50"/>
  <c r="AX213" i="50"/>
  <c r="AV207" i="50"/>
  <c r="EJ193" i="50"/>
  <c r="CF232" i="50"/>
  <c r="DD125" i="50"/>
  <c r="S216" i="50"/>
  <c r="K160" i="50"/>
  <c r="M228" i="50"/>
  <c r="DC202" i="50"/>
  <c r="BF228" i="50"/>
  <c r="DM233" i="50"/>
  <c r="DG134" i="50"/>
  <c r="AL33" i="50"/>
  <c r="AJ139" i="50"/>
  <c r="DO129" i="50"/>
  <c r="BP226" i="50"/>
  <c r="FC184" i="50"/>
  <c r="CN184" i="50"/>
  <c r="CG135" i="50"/>
  <c r="DA162" i="50"/>
  <c r="CL113" i="50"/>
  <c r="DF198" i="50"/>
  <c r="R236" i="50"/>
  <c r="BE215" i="50"/>
  <c r="AH52" i="50"/>
  <c r="EF209" i="50"/>
  <c r="EM166" i="50"/>
  <c r="BA160" i="50"/>
  <c r="CJ186" i="50"/>
  <c r="AD216" i="50"/>
  <c r="DH125" i="50"/>
  <c r="G178" i="50"/>
  <c r="DG115" i="50"/>
  <c r="DL198" i="50"/>
  <c r="BJ172" i="50"/>
  <c r="C143" i="50"/>
  <c r="EP138" i="50"/>
  <c r="DY235" i="50"/>
  <c r="EK159" i="50"/>
  <c r="DY144" i="50"/>
  <c r="FF158" i="50"/>
  <c r="AO193" i="50"/>
  <c r="CL144" i="50"/>
  <c r="DJ161" i="50"/>
  <c r="DG177" i="50"/>
  <c r="CL168" i="50"/>
  <c r="DT109" i="50"/>
  <c r="DF203" i="50"/>
  <c r="CK195" i="50"/>
  <c r="EA158" i="50"/>
  <c r="W236" i="50"/>
  <c r="AM56" i="50"/>
  <c r="CE157" i="50"/>
  <c r="CW217" i="50"/>
  <c r="DG126" i="50"/>
  <c r="AO214" i="50"/>
  <c r="CN135" i="50"/>
  <c r="FG98" i="50"/>
  <c r="EJ184" i="50"/>
  <c r="DE222" i="50"/>
  <c r="CD216" i="50"/>
  <c r="CB177" i="50"/>
  <c r="EY182" i="50"/>
  <c r="V33" i="50"/>
  <c r="FJ219" i="50"/>
  <c r="EI163" i="50"/>
  <c r="CW152" i="50"/>
  <c r="CR196" i="50"/>
  <c r="BF160" i="50"/>
  <c r="EO162" i="50"/>
  <c r="EE208" i="50"/>
  <c r="BU157" i="50"/>
  <c r="EZ88" i="50"/>
  <c r="EO201" i="50"/>
  <c r="FJ73" i="50"/>
  <c r="O159" i="50"/>
  <c r="CW172" i="50"/>
  <c r="DD90" i="50"/>
  <c r="AD31" i="50"/>
  <c r="J212" i="50"/>
  <c r="DE199" i="50"/>
  <c r="AI212" i="50"/>
  <c r="DW152" i="50"/>
  <c r="T178" i="50"/>
  <c r="AX236" i="50"/>
  <c r="DC228" i="50"/>
  <c r="BG203" i="50"/>
  <c r="BF162" i="50"/>
  <c r="V235" i="50"/>
  <c r="AK178" i="50"/>
  <c r="BT143" i="50"/>
  <c r="FA233" i="50"/>
  <c r="S33" i="50"/>
  <c r="FC78" i="50"/>
  <c r="CK205" i="50"/>
  <c r="DC179" i="50"/>
  <c r="FF166" i="50"/>
  <c r="DA199" i="50"/>
  <c r="BA232" i="50"/>
  <c r="EK167" i="50"/>
  <c r="DK183" i="50"/>
  <c r="DI150" i="50"/>
  <c r="EO219" i="50"/>
  <c r="CW119" i="50"/>
  <c r="EY136" i="50"/>
  <c r="CK200" i="50"/>
  <c r="EW171" i="50"/>
  <c r="DH165" i="50"/>
  <c r="BN212" i="50"/>
  <c r="BY193" i="50"/>
  <c r="BW198" i="50"/>
  <c r="DG138" i="50"/>
  <c r="EN234" i="50"/>
  <c r="CO232" i="50"/>
  <c r="EA162" i="50"/>
  <c r="DE224" i="50"/>
  <c r="DF193" i="50"/>
  <c r="E159" i="50"/>
  <c r="ED226" i="50"/>
  <c r="EO121" i="50"/>
  <c r="AH54" i="50"/>
  <c r="FD161" i="50"/>
  <c r="EV156" i="50"/>
  <c r="BF158" i="50"/>
  <c r="FK89" i="50"/>
  <c r="EC211" i="50"/>
  <c r="CH136" i="50"/>
  <c r="AC14" i="50"/>
  <c r="FI137" i="50"/>
  <c r="BZ231" i="50"/>
  <c r="EL121" i="50"/>
  <c r="EH225" i="50"/>
  <c r="FI178" i="50"/>
  <c r="AR183" i="50"/>
  <c r="CF197" i="50"/>
  <c r="AF59" i="50"/>
  <c r="DG116" i="50"/>
  <c r="BT103" i="50"/>
  <c r="BZ171" i="50"/>
  <c r="FA181" i="50"/>
  <c r="Q143" i="50"/>
  <c r="AG236" i="50"/>
  <c r="AZ198" i="50"/>
  <c r="BC161" i="50"/>
  <c r="EH87" i="50"/>
  <c r="AS194" i="50"/>
  <c r="BN226" i="50"/>
  <c r="CU161" i="50"/>
  <c r="EE228" i="50"/>
  <c r="DF133" i="50"/>
  <c r="AS207" i="50"/>
  <c r="AD31" i="26"/>
  <c r="AB180" i="50"/>
  <c r="CY100" i="50"/>
  <c r="FE109" i="50"/>
  <c r="BB232" i="50"/>
  <c r="Z153" i="50"/>
  <c r="I229" i="50"/>
  <c r="X181" i="50"/>
  <c r="CJ236" i="50"/>
  <c r="N236" i="50"/>
  <c r="AG129" i="50"/>
  <c r="EV141" i="50"/>
  <c r="CW212" i="50"/>
  <c r="FD157" i="50"/>
  <c r="AD42" i="26"/>
  <c r="FK143" i="50"/>
  <c r="BG180" i="50"/>
  <c r="BN178" i="50"/>
  <c r="CM120" i="50"/>
  <c r="EP75" i="50"/>
  <c r="CH206" i="50"/>
  <c r="CB211" i="50"/>
  <c r="DA222" i="50"/>
  <c r="CA236" i="50"/>
  <c r="AD158" i="50"/>
  <c r="EP147" i="50"/>
  <c r="BI178" i="50"/>
  <c r="CK152" i="50"/>
  <c r="EP73" i="50"/>
  <c r="ET210" i="50"/>
  <c r="DC161" i="50"/>
  <c r="DU176" i="50"/>
  <c r="EW224" i="50"/>
  <c r="FE231" i="50"/>
  <c r="DA197" i="50"/>
  <c r="EP212" i="50"/>
  <c r="EN104" i="50"/>
  <c r="AI49" i="50"/>
  <c r="FJ181" i="50"/>
  <c r="AI139" i="50"/>
  <c r="BT162" i="50"/>
  <c r="FI225" i="50"/>
  <c r="EZ161" i="50"/>
  <c r="EX198" i="50"/>
  <c r="FE223" i="50"/>
  <c r="FJ93" i="50"/>
  <c r="BY178" i="50"/>
  <c r="BG214" i="50"/>
  <c r="EO124" i="50"/>
  <c r="C236" i="50"/>
  <c r="CI137" i="50"/>
  <c r="DQ176" i="50"/>
  <c r="CA162" i="50"/>
  <c r="DI91" i="50"/>
  <c r="CH81" i="50"/>
  <c r="DK198" i="50"/>
  <c r="BB214" i="50"/>
  <c r="DF104" i="50"/>
  <c r="CT172" i="50"/>
  <c r="CY180" i="50"/>
  <c r="AK231" i="50"/>
  <c r="DC187" i="50"/>
  <c r="EP117" i="50"/>
  <c r="AT142" i="50"/>
  <c r="CY237" i="50"/>
  <c r="DV105" i="50"/>
  <c r="FD229" i="50"/>
  <c r="FH222" i="50"/>
  <c r="DE142" i="50"/>
  <c r="AM225" i="50"/>
  <c r="FD228" i="50"/>
  <c r="DI205" i="50"/>
  <c r="EX157" i="50"/>
  <c r="CJ85" i="50"/>
  <c r="ET180" i="50"/>
  <c r="ES177" i="50"/>
  <c r="FH192" i="50"/>
  <c r="CA176" i="50"/>
  <c r="DD219" i="50"/>
  <c r="DC85" i="50"/>
  <c r="BO237" i="50"/>
  <c r="BR119" i="50"/>
  <c r="FD144" i="50"/>
  <c r="CP229" i="50"/>
  <c r="DX86" i="50"/>
  <c r="DA233" i="50"/>
  <c r="DE186" i="50"/>
  <c r="AD176" i="50"/>
  <c r="EL159" i="50"/>
  <c r="W173" i="50"/>
  <c r="FC229" i="50"/>
  <c r="L162" i="50"/>
  <c r="BH157" i="50"/>
  <c r="BT191" i="50"/>
  <c r="BJ236" i="50"/>
  <c r="AD236" i="50"/>
  <c r="AB212" i="50"/>
  <c r="F197" i="50"/>
  <c r="FE136" i="50"/>
  <c r="BD180" i="50"/>
  <c r="CQ194" i="50"/>
  <c r="BS120" i="50"/>
  <c r="FJ203" i="50"/>
  <c r="M229" i="50"/>
  <c r="FG190" i="50"/>
  <c r="EU231" i="50"/>
  <c r="ER215" i="50"/>
  <c r="ER182" i="50"/>
  <c r="AK37" i="50"/>
  <c r="CQ177" i="50"/>
  <c r="H154" i="50"/>
  <c r="EM121" i="50"/>
  <c r="AU215" i="50"/>
  <c r="FA116" i="50"/>
  <c r="J40" i="50"/>
  <c r="AW142" i="50"/>
  <c r="CL155" i="50"/>
  <c r="AE31" i="26"/>
  <c r="DU190" i="50"/>
  <c r="ER159" i="50"/>
  <c r="CL185" i="50"/>
  <c r="FE153" i="50"/>
  <c r="FE186" i="50"/>
  <c r="FC185" i="50"/>
  <c r="FK221" i="50"/>
  <c r="CQ212" i="50"/>
  <c r="DH156" i="50"/>
  <c r="CN181" i="50"/>
  <c r="FI189" i="50"/>
  <c r="AG18" i="50"/>
  <c r="L32" i="50"/>
  <c r="AH233" i="50"/>
  <c r="FH158" i="50"/>
  <c r="BV164" i="50"/>
  <c r="CD228" i="50"/>
  <c r="EZ204" i="50"/>
  <c r="AU178" i="50"/>
  <c r="CJ108" i="50"/>
  <c r="FC148" i="50"/>
  <c r="BR213" i="50"/>
  <c r="CG159" i="50"/>
  <c r="BR200" i="50"/>
  <c r="N198" i="50"/>
  <c r="CI197" i="50"/>
  <c r="BQ161" i="50"/>
  <c r="EY208" i="50"/>
  <c r="CN97" i="50"/>
  <c r="EB162" i="50"/>
  <c r="EH203" i="50"/>
  <c r="DB121" i="50"/>
  <c r="AY233" i="50"/>
  <c r="AO224" i="50"/>
  <c r="I236" i="50"/>
  <c r="DY180" i="50"/>
  <c r="BV129" i="50"/>
  <c r="C38" i="50"/>
  <c r="FG152" i="50"/>
  <c r="FG165" i="50"/>
  <c r="N176" i="50"/>
  <c r="FC205" i="50"/>
  <c r="DE93" i="50"/>
  <c r="EB215" i="50"/>
  <c r="DU162" i="50"/>
  <c r="E37" i="50"/>
  <c r="AS228" i="50"/>
  <c r="DP175" i="50"/>
  <c r="DF225" i="50"/>
  <c r="EK182" i="50"/>
  <c r="K36" i="50"/>
  <c r="AU231" i="50"/>
  <c r="L210" i="50"/>
  <c r="EM128" i="50"/>
  <c r="BA162" i="50"/>
  <c r="DD162" i="50"/>
  <c r="FG210" i="50"/>
  <c r="DP171" i="50"/>
  <c r="AY180" i="50"/>
  <c r="AK214" i="50"/>
  <c r="AD234" i="50"/>
  <c r="DA176" i="50"/>
  <c r="O162" i="50"/>
  <c r="CE231" i="50"/>
  <c r="FG128" i="50"/>
  <c r="EP121" i="50"/>
  <c r="Z44" i="26"/>
  <c r="P144" i="50"/>
  <c r="AK215" i="50"/>
  <c r="V160" i="50"/>
  <c r="CU229" i="50"/>
  <c r="T27" i="50"/>
  <c r="V237" i="50"/>
  <c r="CK87" i="50"/>
  <c r="DG213" i="50"/>
  <c r="H170" i="50"/>
  <c r="Y214" i="50"/>
  <c r="AS180" i="50"/>
  <c r="EM104" i="50"/>
  <c r="DH195" i="50"/>
  <c r="CK224" i="50"/>
  <c r="AE18" i="26"/>
  <c r="BM141" i="50"/>
  <c r="CN155" i="50"/>
  <c r="CW149" i="50"/>
  <c r="DV226" i="50"/>
  <c r="DT180" i="50"/>
  <c r="EZ128" i="50"/>
  <c r="V182" i="50"/>
  <c r="FG206" i="50"/>
  <c r="CP210" i="50"/>
  <c r="BD212" i="50"/>
  <c r="EH98" i="50"/>
  <c r="FK192" i="50"/>
  <c r="AA228" i="50"/>
  <c r="DA159" i="50"/>
  <c r="FE133" i="50"/>
  <c r="CU171" i="50"/>
  <c r="FK211" i="50"/>
  <c r="DE154" i="50"/>
  <c r="CD170" i="50"/>
  <c r="DP183" i="50"/>
  <c r="CQ161" i="50"/>
  <c r="AI28" i="50"/>
  <c r="FJ182" i="50"/>
  <c r="AD39" i="26"/>
  <c r="AA171" i="50"/>
  <c r="FD120" i="50"/>
  <c r="DW153" i="50"/>
  <c r="M153" i="50"/>
  <c r="BX181" i="50"/>
  <c r="DG181" i="50"/>
  <c r="DD142" i="50"/>
  <c r="FC122" i="50"/>
  <c r="AC14" i="26"/>
  <c r="DQ229" i="50"/>
  <c r="CL163" i="50"/>
  <c r="FG166" i="50"/>
  <c r="O181" i="50"/>
  <c r="DH215" i="50"/>
  <c r="EL115" i="50"/>
  <c r="DH85" i="50"/>
  <c r="DT185" i="50"/>
  <c r="DU232" i="50"/>
  <c r="FC226" i="50"/>
  <c r="FH226" i="50"/>
  <c r="AT210" i="50"/>
  <c r="CX94" i="50"/>
  <c r="FC104" i="50"/>
  <c r="BX142" i="50"/>
  <c r="AG34" i="50"/>
  <c r="AC27" i="50"/>
  <c r="CP208" i="50"/>
  <c r="ER226" i="50"/>
  <c r="E35" i="50"/>
  <c r="EC181" i="50"/>
  <c r="DU173" i="50"/>
  <c r="EZ75" i="50"/>
  <c r="R144" i="50"/>
  <c r="CR162" i="50"/>
  <c r="V210" i="50"/>
  <c r="AQ171" i="50"/>
  <c r="CB209" i="50"/>
  <c r="FK217" i="50"/>
  <c r="V29" i="50"/>
  <c r="EO160" i="50"/>
  <c r="FC216" i="50"/>
  <c r="DC83" i="50"/>
  <c r="BK157" i="50"/>
  <c r="AP193" i="50"/>
  <c r="DI128" i="50"/>
  <c r="AC158" i="50"/>
  <c r="DA117" i="50"/>
  <c r="CS177" i="50"/>
  <c r="AC60" i="50"/>
  <c r="CJ169" i="50"/>
  <c r="DR140" i="50"/>
  <c r="DT218" i="50"/>
  <c r="CF152" i="50"/>
  <c r="BN162" i="50"/>
  <c r="EU154" i="50"/>
  <c r="DD137" i="50"/>
  <c r="DC217" i="50"/>
  <c r="FH129" i="50"/>
  <c r="FH224" i="50"/>
  <c r="DQ172" i="50"/>
  <c r="EK206" i="50"/>
  <c r="DE79" i="50"/>
  <c r="CZ232" i="50"/>
  <c r="DE121" i="50"/>
  <c r="DJ194" i="50"/>
  <c r="CC162" i="50"/>
  <c r="EO128" i="50"/>
  <c r="FG120" i="50"/>
  <c r="CX152" i="50"/>
  <c r="W212" i="50"/>
  <c r="EH101" i="50"/>
  <c r="AG20" i="50"/>
  <c r="BZ183" i="50"/>
  <c r="DC185" i="50"/>
  <c r="G182" i="50"/>
  <c r="EM223" i="50"/>
  <c r="AK128" i="50"/>
  <c r="EN124" i="50"/>
  <c r="FJ175" i="50"/>
  <c r="X228" i="50"/>
  <c r="CW153" i="50"/>
  <c r="EZ78" i="50"/>
  <c r="DU139" i="50"/>
  <c r="CY189" i="50"/>
  <c r="CM154" i="50"/>
  <c r="DH121" i="50"/>
  <c r="CN149" i="50"/>
  <c r="FC99" i="50"/>
  <c r="AC195" i="50"/>
  <c r="DI145" i="50"/>
  <c r="EX213" i="50"/>
  <c r="BG86" i="50"/>
  <c r="FF75" i="50"/>
  <c r="F156" i="50"/>
  <c r="BJ156" i="50"/>
  <c r="AS157" i="50"/>
  <c r="FI127" i="50"/>
  <c r="BN172" i="50"/>
  <c r="BV220" i="50"/>
  <c r="DP159" i="50"/>
  <c r="M160" i="50"/>
  <c r="DJ212" i="50"/>
  <c r="D143" i="50"/>
  <c r="DT213" i="50"/>
  <c r="FG179" i="50"/>
  <c r="BH177" i="50"/>
  <c r="DU198" i="50"/>
  <c r="ET236" i="50"/>
  <c r="EP146" i="50"/>
  <c r="DV79" i="50"/>
  <c r="F157" i="50"/>
  <c r="AH216" i="50"/>
  <c r="BZ181" i="50"/>
  <c r="BU219" i="50"/>
  <c r="DZ212" i="50"/>
  <c r="FC94" i="50"/>
  <c r="AN182" i="50"/>
  <c r="FD188" i="50"/>
  <c r="FE176" i="50"/>
  <c r="AH212" i="50"/>
  <c r="EP170" i="50"/>
  <c r="EU236" i="50"/>
  <c r="AJ129" i="50"/>
  <c r="D224" i="50"/>
  <c r="FC235" i="50"/>
  <c r="EO130" i="50"/>
  <c r="J232" i="50"/>
  <c r="CO214" i="50"/>
  <c r="EK82" i="50"/>
  <c r="G158" i="50"/>
  <c r="AI182" i="50"/>
  <c r="H177" i="50"/>
  <c r="AE49" i="26"/>
  <c r="EW229" i="50"/>
  <c r="FH173" i="50"/>
  <c r="BG120" i="50"/>
  <c r="DC73" i="50"/>
  <c r="CI231" i="50"/>
  <c r="BR228" i="50"/>
  <c r="FA104" i="50"/>
  <c r="CS230" i="50"/>
  <c r="Z40" i="26"/>
  <c r="DC210" i="50"/>
  <c r="FK236" i="50"/>
  <c r="EI209" i="50"/>
  <c r="Q230" i="50"/>
  <c r="EJ85" i="50"/>
  <c r="CZ124" i="50"/>
  <c r="S142" i="50"/>
  <c r="M155" i="50"/>
  <c r="EM198" i="50"/>
  <c r="BC159" i="50"/>
  <c r="AR162" i="50"/>
  <c r="EM106" i="50"/>
  <c r="BU75" i="50"/>
  <c r="AR232" i="50"/>
  <c r="BX230" i="50"/>
  <c r="DC132" i="50"/>
  <c r="DF231" i="50"/>
  <c r="BK237" i="50"/>
  <c r="CZ229" i="50"/>
  <c r="AJ175" i="50"/>
  <c r="BQ178" i="50"/>
  <c r="C155" i="50"/>
  <c r="BU204" i="50"/>
  <c r="CE141" i="50"/>
  <c r="FH134" i="50"/>
  <c r="DG227" i="50"/>
  <c r="DR232" i="50"/>
  <c r="BP162" i="50"/>
  <c r="J41" i="50"/>
  <c r="CL94" i="50"/>
  <c r="FK212" i="50"/>
  <c r="AA215" i="50"/>
  <c r="Q228" i="50"/>
  <c r="AI160" i="50"/>
  <c r="BF180" i="50"/>
  <c r="BU92" i="50"/>
  <c r="BE159" i="50"/>
  <c r="DK141" i="50"/>
  <c r="CF135" i="50"/>
  <c r="DL141" i="50"/>
  <c r="DX98" i="50"/>
  <c r="AO209" i="50"/>
  <c r="CJ179" i="50"/>
  <c r="EZ136" i="50"/>
  <c r="DF154" i="50"/>
  <c r="FA213" i="50"/>
  <c r="FF208" i="50"/>
  <c r="EH135" i="50"/>
  <c r="BJ143" i="50"/>
  <c r="FJ223" i="50"/>
  <c r="DT169" i="50"/>
  <c r="EG227" i="50"/>
  <c r="FA205" i="50"/>
  <c r="DU147" i="50"/>
  <c r="C139" i="50"/>
  <c r="ED237" i="50"/>
  <c r="V178" i="50"/>
  <c r="EN236" i="50"/>
  <c r="DX144" i="50"/>
  <c r="P209" i="50"/>
  <c r="BG235" i="50"/>
  <c r="EM149" i="50"/>
  <c r="BR88" i="50"/>
  <c r="EZ139" i="50"/>
  <c r="BA180" i="50"/>
  <c r="I232" i="50"/>
  <c r="FE145" i="50"/>
  <c r="FH88" i="50"/>
  <c r="CM213" i="50"/>
  <c r="EY100" i="50"/>
  <c r="BF144" i="50"/>
  <c r="BB158" i="50"/>
  <c r="EM236" i="50"/>
  <c r="U177" i="50"/>
  <c r="BE176" i="50"/>
  <c r="FB137" i="50"/>
  <c r="CN167" i="50"/>
  <c r="BN214" i="50"/>
  <c r="FI219" i="50"/>
  <c r="EI213" i="50"/>
  <c r="CG182" i="50"/>
  <c r="AK156" i="50"/>
  <c r="EO194" i="50"/>
  <c r="FI79" i="50"/>
  <c r="EP227" i="50"/>
  <c r="T182" i="50"/>
  <c r="FE138" i="50"/>
  <c r="CE237" i="50"/>
  <c r="DU96" i="50"/>
  <c r="CI145" i="50"/>
  <c r="C214" i="50"/>
  <c r="EG233" i="50"/>
  <c r="BS109" i="50"/>
  <c r="Z39" i="26"/>
  <c r="DW193" i="50"/>
  <c r="BZ214" i="50"/>
  <c r="FC125" i="50"/>
  <c r="CY125" i="50"/>
  <c r="CI77" i="50"/>
  <c r="M31" i="50"/>
  <c r="BC156" i="50"/>
  <c r="AL215" i="50"/>
  <c r="EI90" i="50"/>
  <c r="AN154" i="50"/>
  <c r="M178" i="50"/>
  <c r="FA138" i="50"/>
  <c r="FE180" i="50"/>
  <c r="AT234" i="50"/>
  <c r="DW204" i="50"/>
  <c r="X31" i="50"/>
  <c r="CP175" i="50"/>
  <c r="EB216" i="50"/>
  <c r="DH119" i="50"/>
  <c r="BU180" i="50"/>
  <c r="R228" i="50"/>
  <c r="DG106" i="50"/>
  <c r="BX160" i="50"/>
  <c r="CS157" i="50"/>
  <c r="CF216" i="50"/>
  <c r="DE98" i="50"/>
  <c r="CF236" i="50"/>
  <c r="CH130" i="50"/>
  <c r="AB55" i="26"/>
  <c r="CQ157" i="50"/>
  <c r="AH179" i="50"/>
  <c r="E232" i="50"/>
  <c r="CW128" i="50"/>
  <c r="EM179" i="50"/>
  <c r="CM164" i="50"/>
  <c r="AZ174" i="50"/>
  <c r="BU73" i="50"/>
  <c r="EY105" i="50"/>
  <c r="DZ161" i="50"/>
  <c r="FG75" i="50"/>
  <c r="AI61" i="50"/>
  <c r="EM123" i="50"/>
  <c r="AH42" i="50"/>
  <c r="CQ180" i="50"/>
  <c r="DE78" i="50"/>
  <c r="AU143" i="50"/>
  <c r="AS195" i="50"/>
  <c r="EU235" i="50"/>
  <c r="FG209" i="50"/>
  <c r="CT183" i="50"/>
  <c r="EO232" i="50"/>
  <c r="O197" i="50"/>
  <c r="CO174" i="50"/>
  <c r="BR142" i="50"/>
  <c r="BZ157" i="50"/>
  <c r="BV236" i="50"/>
  <c r="BR128" i="50"/>
  <c r="DO209" i="50"/>
  <c r="CG163" i="50"/>
  <c r="S213" i="50"/>
  <c r="DK139" i="50"/>
  <c r="FB177" i="50"/>
  <c r="DG104" i="50"/>
  <c r="L197" i="50"/>
  <c r="AE27" i="26"/>
  <c r="AP154" i="50"/>
  <c r="FH201" i="50"/>
  <c r="EY190" i="50"/>
  <c r="DG124" i="50"/>
  <c r="EG197" i="50"/>
  <c r="DC146" i="50"/>
  <c r="AY228" i="50"/>
  <c r="CQ158" i="50"/>
  <c r="DD105" i="50"/>
  <c r="DH200" i="50"/>
  <c r="CM157" i="50"/>
  <c r="FC174" i="50"/>
  <c r="EP107" i="50"/>
  <c r="AB23" i="26"/>
  <c r="AA63" i="26"/>
  <c r="DU189" i="50"/>
  <c r="FH79" i="50"/>
  <c r="EM139" i="50"/>
  <c r="BN181" i="50"/>
  <c r="EW177" i="50"/>
  <c r="CF218" i="50"/>
  <c r="DD166" i="50"/>
  <c r="EY143" i="50"/>
  <c r="AF216" i="50"/>
  <c r="FJ165" i="50"/>
  <c r="FI158" i="50"/>
  <c r="N129" i="50"/>
  <c r="DX93" i="50"/>
  <c r="AI195" i="50"/>
  <c r="CG193" i="50"/>
  <c r="FB213" i="50"/>
  <c r="BC128" i="50"/>
  <c r="AG35" i="50"/>
  <c r="CM159" i="50"/>
  <c r="EK112" i="50"/>
  <c r="AC196" i="50"/>
  <c r="EM117" i="50"/>
  <c r="BE155" i="50"/>
  <c r="FJ134" i="50"/>
  <c r="EO100" i="50"/>
  <c r="DI79" i="50"/>
  <c r="AH49" i="50"/>
  <c r="R60" i="50"/>
  <c r="DH181" i="50"/>
  <c r="BG197" i="50"/>
  <c r="AD25" i="26"/>
  <c r="FB147" i="50"/>
  <c r="EJ141" i="50"/>
  <c r="BU188" i="50"/>
  <c r="EM185" i="50"/>
  <c r="CO216" i="50"/>
  <c r="DD229" i="50"/>
  <c r="CH223" i="50"/>
  <c r="EB181" i="50"/>
  <c r="EX212" i="50"/>
  <c r="DG144" i="50"/>
  <c r="BQ232" i="50"/>
  <c r="BJ144" i="50"/>
  <c r="FC129" i="50"/>
  <c r="BR108" i="50"/>
  <c r="CF134" i="50"/>
  <c r="DH166" i="50"/>
  <c r="EP76" i="50"/>
  <c r="FK158" i="50"/>
  <c r="EJ152" i="50"/>
  <c r="CN111" i="50"/>
  <c r="O154" i="50"/>
  <c r="FA99" i="50"/>
  <c r="DA219" i="50"/>
  <c r="DH201" i="50"/>
  <c r="EL237" i="50"/>
  <c r="DI127" i="50"/>
  <c r="BJ160" i="50"/>
  <c r="AV143" i="50"/>
  <c r="CY224" i="50"/>
  <c r="AV228" i="50"/>
  <c r="BU126" i="50"/>
  <c r="AZ142" i="50"/>
  <c r="AK29" i="50"/>
  <c r="CL208" i="50"/>
  <c r="CI236" i="50"/>
  <c r="FG92" i="50"/>
  <c r="FH105" i="50"/>
  <c r="BR163" i="50"/>
  <c r="EQ198" i="50"/>
  <c r="CS207" i="50"/>
  <c r="CK123" i="50"/>
  <c r="AO195" i="50"/>
  <c r="DA212" i="50"/>
  <c r="BY194" i="50"/>
  <c r="BO181" i="50"/>
  <c r="DI121" i="50"/>
  <c r="CJ199" i="50"/>
  <c r="DB146" i="50"/>
  <c r="BT118" i="50"/>
  <c r="BG106" i="50"/>
  <c r="DF167" i="50"/>
  <c r="I172" i="50"/>
  <c r="CB142" i="50"/>
  <c r="CJ207" i="50"/>
  <c r="CN228" i="50"/>
  <c r="CW180" i="50"/>
  <c r="AI233" i="50"/>
  <c r="DN208" i="50"/>
  <c r="DT226" i="50"/>
  <c r="AM207" i="50"/>
  <c r="DY197" i="50"/>
  <c r="FG134" i="50"/>
  <c r="AW162" i="50"/>
  <c r="CZ153" i="50"/>
  <c r="DE227" i="50"/>
  <c r="CN77" i="50"/>
  <c r="FJ226" i="50"/>
  <c r="CW234" i="50"/>
  <c r="DF200" i="50"/>
  <c r="S144" i="50"/>
  <c r="EL141" i="50"/>
  <c r="BV101" i="50"/>
  <c r="BS171" i="50"/>
  <c r="DU94" i="50"/>
  <c r="FI99" i="50"/>
  <c r="CX130" i="50"/>
  <c r="FH165" i="50"/>
  <c r="DX171" i="50"/>
  <c r="DE167" i="50"/>
  <c r="DL231" i="50"/>
  <c r="CG208" i="50"/>
  <c r="DO228" i="50"/>
  <c r="FB124" i="50"/>
  <c r="CO197" i="50"/>
  <c r="DC163" i="50"/>
  <c r="ES143" i="50"/>
  <c r="CR210" i="50"/>
  <c r="BS215" i="50"/>
  <c r="AM224" i="50"/>
  <c r="BG201" i="50"/>
  <c r="AS216" i="50"/>
  <c r="CM155" i="50"/>
  <c r="AP128" i="50"/>
  <c r="EM230" i="50"/>
  <c r="AM213" i="50"/>
  <c r="FG106" i="50"/>
  <c r="AB229" i="50"/>
  <c r="FG154" i="50"/>
  <c r="AV216" i="50"/>
  <c r="CZ85" i="50"/>
  <c r="DW102" i="50"/>
  <c r="CA231" i="50"/>
  <c r="H40" i="50"/>
  <c r="V154" i="50"/>
  <c r="DS233" i="50"/>
  <c r="EP187" i="50"/>
  <c r="CN205" i="50"/>
  <c r="EP234" i="50"/>
  <c r="FG231" i="50"/>
  <c r="EW159" i="50"/>
  <c r="DB101" i="50"/>
  <c r="AA47" i="26"/>
  <c r="EM216" i="50"/>
  <c r="H157" i="50"/>
  <c r="DQ129" i="50"/>
  <c r="L173" i="50"/>
  <c r="X237" i="50"/>
  <c r="CW80" i="50"/>
  <c r="N226" i="50"/>
  <c r="DC128" i="50"/>
  <c r="AY235" i="50"/>
  <c r="CE139" i="50"/>
  <c r="ER214" i="50"/>
  <c r="CG204" i="50"/>
  <c r="DI217" i="50"/>
  <c r="DF132" i="50"/>
  <c r="DL236" i="50"/>
  <c r="EH92" i="50"/>
  <c r="CF226" i="50"/>
  <c r="AI16" i="50"/>
  <c r="EH214" i="50"/>
  <c r="BL154" i="50"/>
  <c r="V179" i="50"/>
  <c r="FA125" i="50"/>
  <c r="FJ151" i="50"/>
  <c r="CK143" i="50"/>
  <c r="CI205" i="50"/>
  <c r="EY221" i="50"/>
  <c r="CQ183" i="50"/>
  <c r="AZ144" i="50"/>
  <c r="BY156" i="50"/>
  <c r="DI118" i="50"/>
  <c r="DE95" i="50"/>
  <c r="ES228" i="50"/>
  <c r="EJ93" i="50"/>
  <c r="M216" i="50"/>
  <c r="FC228" i="50"/>
  <c r="EB237" i="50"/>
  <c r="FI180" i="50"/>
  <c r="CT142" i="50"/>
  <c r="EA214" i="50"/>
  <c r="CN210" i="50"/>
  <c r="DQ141" i="50"/>
  <c r="FD214" i="50"/>
  <c r="FH202" i="50"/>
  <c r="EM196" i="50"/>
  <c r="FI162" i="50"/>
  <c r="FJ94" i="50"/>
  <c r="BV73" i="50"/>
  <c r="FJ190" i="50"/>
  <c r="CZ174" i="50"/>
  <c r="M30" i="50"/>
  <c r="BS22" i="24" l="1"/>
  <c r="AP22" i="24" s="1"/>
  <c r="Q26" i="9" s="1"/>
  <c r="BX11" i="24"/>
  <c r="AU11" i="24" s="1"/>
  <c r="V15" i="9" s="1"/>
  <c r="BS24" i="24"/>
  <c r="AP24" i="24" s="1"/>
  <c r="Q28" i="9" s="1"/>
  <c r="BW23" i="24"/>
  <c r="AT23" i="24" s="1"/>
  <c r="U27" i="9" s="1"/>
  <c r="BT22" i="24"/>
  <c r="AQ22" i="24" s="1"/>
  <c r="R26" i="9" s="1"/>
  <c r="AG26" i="9" s="1"/>
  <c r="BT31" i="24"/>
  <c r="AQ31" i="24" s="1"/>
  <c r="R35" i="9" s="1"/>
  <c r="AG35" i="9" s="1"/>
  <c r="BS20" i="24"/>
  <c r="AP20" i="24" s="1"/>
  <c r="Q24" i="9" s="1"/>
  <c r="BU30" i="24"/>
  <c r="AR30" i="24" s="1"/>
  <c r="S34" i="9" s="1"/>
  <c r="AJ34" i="9" s="1"/>
  <c r="AN34" i="9" s="1"/>
  <c r="BV14" i="24"/>
  <c r="AS14" i="24" s="1"/>
  <c r="T18" i="9" s="1"/>
  <c r="BX14" i="24"/>
  <c r="AU14" i="24" s="1"/>
  <c r="V18" i="9" s="1"/>
  <c r="BU29" i="24"/>
  <c r="AR29" i="24" s="1"/>
  <c r="S33" i="9" s="1"/>
  <c r="BW29" i="24"/>
  <c r="AT29" i="24" s="1"/>
  <c r="U33" i="9" s="1"/>
  <c r="BX23" i="24"/>
  <c r="AU23" i="24" s="1"/>
  <c r="V27" i="9" s="1"/>
  <c r="BS32" i="24"/>
  <c r="AP32" i="24" s="1"/>
  <c r="Q36" i="9" s="1"/>
  <c r="BW14" i="24"/>
  <c r="AT14" i="24" s="1"/>
  <c r="U18" i="9" s="1"/>
  <c r="BU33" i="24"/>
  <c r="AR33" i="24" s="1"/>
  <c r="S37" i="9" s="1"/>
  <c r="AJ37" i="9" s="1"/>
  <c r="AN37" i="9" s="1"/>
  <c r="BS30" i="24"/>
  <c r="AP30" i="24" s="1"/>
  <c r="Q34" i="9" s="1"/>
  <c r="BV17" i="24"/>
  <c r="AS17" i="24" s="1"/>
  <c r="T21" i="9" s="1"/>
  <c r="BU28" i="24"/>
  <c r="AR28" i="24" s="1"/>
  <c r="S32" i="9" s="1"/>
  <c r="BU21" i="24"/>
  <c r="AR21" i="24" s="1"/>
  <c r="S25" i="9" s="1"/>
  <c r="BT15" i="24"/>
  <c r="AQ15" i="24" s="1"/>
  <c r="R19" i="9" s="1"/>
  <c r="AG19" i="9" s="1"/>
  <c r="BS31" i="24"/>
  <c r="AP31" i="24" s="1"/>
  <c r="Q35" i="9" s="1"/>
  <c r="AI35" i="9" s="1"/>
  <c r="AL35" i="9" s="1"/>
  <c r="BV13" i="24"/>
  <c r="AS13" i="24" s="1"/>
  <c r="T17" i="9" s="1"/>
  <c r="BV23" i="24"/>
  <c r="AS23" i="24" s="1"/>
  <c r="T27" i="9" s="1"/>
  <c r="BT28" i="24"/>
  <c r="AQ28" i="24" s="1"/>
  <c r="R32" i="9" s="1"/>
  <c r="AG32" i="9" s="1"/>
  <c r="BW19" i="24"/>
  <c r="AT19" i="24" s="1"/>
  <c r="U23" i="9" s="1"/>
  <c r="BX25" i="24"/>
  <c r="AU25" i="24" s="1"/>
  <c r="V29" i="9" s="1"/>
  <c r="BU15" i="24"/>
  <c r="AR15" i="24" s="1"/>
  <c r="S19" i="9" s="1"/>
  <c r="BW26" i="24"/>
  <c r="AT26" i="24" s="1"/>
  <c r="U30" i="9" s="1"/>
  <c r="BV19" i="24"/>
  <c r="AS19" i="24" s="1"/>
  <c r="T23" i="9" s="1"/>
  <c r="BW15" i="24"/>
  <c r="AT15" i="24" s="1"/>
  <c r="U19" i="9" s="1"/>
  <c r="BV28" i="24"/>
  <c r="AS28" i="24" s="1"/>
  <c r="T32" i="9" s="1"/>
  <c r="BU20" i="24"/>
  <c r="AR20" i="24" s="1"/>
  <c r="S24" i="9" s="1"/>
  <c r="BV18" i="24"/>
  <c r="AS18" i="24" s="1"/>
  <c r="T22" i="9" s="1"/>
  <c r="BW31" i="24"/>
  <c r="AT31" i="24" s="1"/>
  <c r="U35" i="9" s="1"/>
  <c r="BX33" i="24"/>
  <c r="AU33" i="24" s="1"/>
  <c r="V37" i="9" s="1"/>
  <c r="BV16" i="24"/>
  <c r="AS16" i="24" s="1"/>
  <c r="T20" i="9" s="1"/>
  <c r="BX32" i="24"/>
  <c r="AU32" i="24" s="1"/>
  <c r="V36" i="9" s="1"/>
  <c r="BS25" i="24"/>
  <c r="AP25" i="24" s="1"/>
  <c r="Q29" i="9" s="1"/>
  <c r="BU25" i="24"/>
  <c r="AR25" i="24" s="1"/>
  <c r="S29" i="9" s="1"/>
  <c r="AJ29" i="9" s="1"/>
  <c r="AN29" i="9" s="1"/>
  <c r="BX28" i="24"/>
  <c r="AU28" i="24" s="1"/>
  <c r="V32" i="9" s="1"/>
  <c r="BU31" i="24"/>
  <c r="AR31" i="24" s="1"/>
  <c r="S35" i="9" s="1"/>
  <c r="BT13" i="24"/>
  <c r="AQ13" i="24" s="1"/>
  <c r="R17" i="9" s="1"/>
  <c r="AG17" i="9" s="1"/>
  <c r="BU26" i="24"/>
  <c r="AR26" i="24" s="1"/>
  <c r="S30" i="9" s="1"/>
  <c r="BS27" i="24"/>
  <c r="AP27" i="24" s="1"/>
  <c r="Q31" i="9" s="1"/>
  <c r="BX21" i="24"/>
  <c r="AU21" i="24" s="1"/>
  <c r="V25" i="9" s="1"/>
  <c r="BV20" i="24"/>
  <c r="AS20" i="24" s="1"/>
  <c r="T24" i="9" s="1"/>
  <c r="BW27" i="24"/>
  <c r="AT27" i="24" s="1"/>
  <c r="U31" i="9" s="1"/>
  <c r="BW16" i="24"/>
  <c r="AT16" i="24" s="1"/>
  <c r="U20" i="9" s="1"/>
  <c r="BX22" i="24"/>
  <c r="AU22" i="24" s="1"/>
  <c r="V26" i="9" s="1"/>
  <c r="BT27" i="24"/>
  <c r="AQ27" i="24" s="1"/>
  <c r="R31" i="9" s="1"/>
  <c r="BW24" i="24"/>
  <c r="AT24" i="24" s="1"/>
  <c r="U28" i="9" s="1"/>
  <c r="BW17" i="24"/>
  <c r="AT17" i="24" s="1"/>
  <c r="U21" i="9" s="1"/>
  <c r="BS19" i="24"/>
  <c r="AP19" i="24" s="1"/>
  <c r="Q23" i="9" s="1"/>
  <c r="BV32" i="24"/>
  <c r="AS32" i="24" s="1"/>
  <c r="T36" i="9" s="1"/>
  <c r="BW11" i="24"/>
  <c r="AT11" i="24" s="1"/>
  <c r="U15" i="9" s="1"/>
  <c r="AJ15" i="9" s="1"/>
  <c r="AN15" i="9" s="1"/>
  <c r="BS17" i="24"/>
  <c r="AP17" i="24" s="1"/>
  <c r="Q21" i="9" s="1"/>
  <c r="BU22" i="24"/>
  <c r="AR22" i="24" s="1"/>
  <c r="S26" i="9" s="1"/>
  <c r="BX15" i="24"/>
  <c r="AU15" i="24" s="1"/>
  <c r="V19" i="9" s="1"/>
  <c r="BU16" i="24"/>
  <c r="AR16" i="24" s="1"/>
  <c r="S20" i="9" s="1"/>
  <c r="BS33" i="24"/>
  <c r="AP33" i="24" s="1"/>
  <c r="Q37" i="9" s="1"/>
  <c r="BW13" i="24"/>
  <c r="AT13" i="24" s="1"/>
  <c r="U17" i="9" s="1"/>
  <c r="BU19" i="24"/>
  <c r="AR19" i="24" s="1"/>
  <c r="S23" i="9" s="1"/>
  <c r="BS12" i="24"/>
  <c r="AP12" i="24" s="1"/>
  <c r="Q16" i="9" s="1"/>
  <c r="BV22" i="24"/>
  <c r="AS22" i="24" s="1"/>
  <c r="T26" i="9" s="1"/>
  <c r="BU17" i="24"/>
  <c r="AR17" i="24" s="1"/>
  <c r="S21" i="9" s="1"/>
  <c r="BX29" i="24"/>
  <c r="AU29" i="24" s="1"/>
  <c r="V33" i="9" s="1"/>
  <c r="BX18" i="24"/>
  <c r="AU18" i="24" s="1"/>
  <c r="V22" i="9" s="1"/>
  <c r="BU27" i="24"/>
  <c r="AR27" i="24" s="1"/>
  <c r="S31" i="9" s="1"/>
  <c r="BT30" i="24"/>
  <c r="AQ30" i="24" s="1"/>
  <c r="R34" i="9" s="1"/>
  <c r="AG34" i="9" s="1"/>
  <c r="BX31" i="24"/>
  <c r="AU31" i="24" s="1"/>
  <c r="V35" i="9" s="1"/>
  <c r="BT16" i="24"/>
  <c r="AQ16" i="24" s="1"/>
  <c r="R20" i="9" s="1"/>
  <c r="AI20" i="9" s="1"/>
  <c r="AL20" i="9" s="1"/>
  <c r="BV27" i="24"/>
  <c r="AS27" i="24" s="1"/>
  <c r="T31" i="9" s="1"/>
  <c r="BT29" i="24"/>
  <c r="AQ29" i="24" s="1"/>
  <c r="R33" i="9" s="1"/>
  <c r="AG33" i="9" s="1"/>
  <c r="BS11" i="24"/>
  <c r="AP11" i="24" s="1"/>
  <c r="Q15" i="9" s="1"/>
  <c r="BW25" i="24"/>
  <c r="AT25" i="24" s="1"/>
  <c r="U29" i="9" s="1"/>
  <c r="BX17" i="24"/>
  <c r="AU17" i="24" s="1"/>
  <c r="V21" i="9" s="1"/>
  <c r="BS26" i="24"/>
  <c r="AP26" i="24" s="1"/>
  <c r="Q30" i="9" s="1"/>
  <c r="BS16" i="24"/>
  <c r="AP16" i="24" s="1"/>
  <c r="Q20" i="9" s="1"/>
  <c r="BV26" i="24"/>
  <c r="AS26" i="24" s="1"/>
  <c r="T30" i="9" s="1"/>
  <c r="AJ30" i="9" s="1"/>
  <c r="AN30" i="9" s="1"/>
  <c r="BX16" i="24"/>
  <c r="AU16" i="24" s="1"/>
  <c r="V20" i="9" s="1"/>
  <c r="BV24" i="24"/>
  <c r="AS24" i="24" s="1"/>
  <c r="T28" i="9" s="1"/>
  <c r="BU32" i="24"/>
  <c r="AR32" i="24" s="1"/>
  <c r="S36" i="9" s="1"/>
  <c r="BU13" i="24"/>
  <c r="AR13" i="24" s="1"/>
  <c r="S17" i="9" s="1"/>
  <c r="BT17" i="24"/>
  <c r="AQ17" i="24" s="1"/>
  <c r="R21" i="9" s="1"/>
  <c r="BX19" i="24"/>
  <c r="AU19" i="24" s="1"/>
  <c r="V23" i="9" s="1"/>
  <c r="BT25" i="24"/>
  <c r="AQ25" i="24" s="1"/>
  <c r="R29" i="9" s="1"/>
  <c r="BS23" i="24"/>
  <c r="AP23" i="24" s="1"/>
  <c r="Q27" i="9" s="1"/>
  <c r="BT21" i="24"/>
  <c r="AQ21" i="24" s="1"/>
  <c r="R25" i="9" s="1"/>
  <c r="AG25" i="9" s="1"/>
  <c r="BT20" i="24"/>
  <c r="AQ20" i="24" s="1"/>
  <c r="R24" i="9" s="1"/>
  <c r="BW21" i="24"/>
  <c r="AT21" i="24" s="1"/>
  <c r="U25" i="9" s="1"/>
  <c r="BW20" i="24"/>
  <c r="AT20" i="24" s="1"/>
  <c r="U24" i="9" s="1"/>
  <c r="AJ24" i="9" s="1"/>
  <c r="AN24" i="9" s="1"/>
  <c r="BX24" i="24"/>
  <c r="AU24" i="24" s="1"/>
  <c r="V28" i="9" s="1"/>
  <c r="BW18" i="24"/>
  <c r="AT18" i="24" s="1"/>
  <c r="U22" i="9" s="1"/>
  <c r="BU18" i="24"/>
  <c r="AR18" i="24" s="1"/>
  <c r="S22" i="9" s="1"/>
  <c r="BT12" i="24"/>
  <c r="AQ12" i="24" s="1"/>
  <c r="R16" i="9" s="1"/>
  <c r="AG16" i="9" s="1"/>
  <c r="BT26" i="24"/>
  <c r="AQ26" i="24" s="1"/>
  <c r="R30" i="9" s="1"/>
  <c r="BS18" i="24"/>
  <c r="AP18" i="24" s="1"/>
  <c r="Q22" i="9" s="1"/>
  <c r="BV30" i="24"/>
  <c r="AS30" i="24" s="1"/>
  <c r="T34" i="9" s="1"/>
  <c r="BT18" i="24"/>
  <c r="AQ18" i="24" s="1"/>
  <c r="R22" i="9" s="1"/>
  <c r="AG22" i="9" s="1"/>
  <c r="BU24" i="24"/>
  <c r="AR24" i="24" s="1"/>
  <c r="S28" i="9" s="1"/>
  <c r="BX20" i="24"/>
  <c r="AU20" i="24" s="1"/>
  <c r="V24" i="9" s="1"/>
  <c r="BX27" i="24"/>
  <c r="AU27" i="24" s="1"/>
  <c r="V31" i="9" s="1"/>
  <c r="BT11" i="24"/>
  <c r="AQ11" i="24" s="1"/>
  <c r="R15" i="9" s="1"/>
  <c r="AG15" i="9" s="1"/>
  <c r="BT14" i="24"/>
  <c r="AQ14" i="24" s="1"/>
  <c r="R18" i="9" s="1"/>
  <c r="AG18" i="9" s="1"/>
  <c r="BX26" i="24"/>
  <c r="AU26" i="24" s="1"/>
  <c r="V30" i="9" s="1"/>
  <c r="BX30" i="24"/>
  <c r="AU30" i="24" s="1"/>
  <c r="V34" i="9" s="1"/>
  <c r="BV31" i="24"/>
  <c r="AS31" i="24" s="1"/>
  <c r="T35" i="9" s="1"/>
  <c r="BV33" i="24"/>
  <c r="AS33" i="24" s="1"/>
  <c r="T37" i="9" s="1"/>
  <c r="BU14" i="24"/>
  <c r="AR14" i="24" s="1"/>
  <c r="S18" i="9" s="1"/>
  <c r="BW32" i="24"/>
  <c r="AT32" i="24" s="1"/>
  <c r="U36" i="9" s="1"/>
  <c r="BW12" i="24"/>
  <c r="AT12" i="24" s="1"/>
  <c r="U16" i="9" s="1"/>
  <c r="BS21" i="24"/>
  <c r="AP21" i="24" s="1"/>
  <c r="Q25" i="9" s="1"/>
  <c r="AI25" i="9" s="1"/>
  <c r="AL25" i="9" s="1"/>
  <c r="BV12" i="24"/>
  <c r="AS12" i="24" s="1"/>
  <c r="T16" i="9" s="1"/>
  <c r="BW33" i="24"/>
  <c r="AT33" i="24" s="1"/>
  <c r="U37" i="9" s="1"/>
  <c r="BV11" i="24"/>
  <c r="AS11" i="24" s="1"/>
  <c r="T15" i="9" s="1"/>
  <c r="BV29" i="24"/>
  <c r="AS29" i="24" s="1"/>
  <c r="T33" i="9" s="1"/>
  <c r="BV25" i="24"/>
  <c r="AS25" i="24" s="1"/>
  <c r="T29" i="9" s="1"/>
  <c r="BV21" i="24"/>
  <c r="AS21" i="24" s="1"/>
  <c r="T25" i="9" s="1"/>
  <c r="BU23" i="24"/>
  <c r="AR23" i="24" s="1"/>
  <c r="S27" i="9" s="1"/>
  <c r="AJ27" i="9" s="1"/>
  <c r="AN27" i="9" s="1"/>
  <c r="BT32" i="24"/>
  <c r="AQ32" i="24" s="1"/>
  <c r="R36" i="9" s="1"/>
  <c r="AG36" i="9" s="1"/>
  <c r="BS28" i="24"/>
  <c r="AP28" i="24" s="1"/>
  <c r="Q32" i="9" s="1"/>
  <c r="AI32" i="9" s="1"/>
  <c r="BT19" i="24"/>
  <c r="AQ19" i="24" s="1"/>
  <c r="R23" i="9" s="1"/>
  <c r="AG23" i="9" s="1"/>
  <c r="BS15" i="24"/>
  <c r="AP15" i="24" s="1"/>
  <c r="Q19" i="9" s="1"/>
  <c r="BS29" i="24"/>
  <c r="AP29" i="24" s="1"/>
  <c r="Q33" i="9" s="1"/>
  <c r="BW30" i="24"/>
  <c r="AT30" i="24" s="1"/>
  <c r="U34" i="9" s="1"/>
  <c r="BT33" i="24"/>
  <c r="AQ33" i="24" s="1"/>
  <c r="R37" i="9" s="1"/>
  <c r="AG37" i="9" s="1"/>
  <c r="BX12" i="24"/>
  <c r="AU12" i="24" s="1"/>
  <c r="V16" i="9" s="1"/>
  <c r="BW28" i="24"/>
  <c r="AT28" i="24" s="1"/>
  <c r="U32" i="9" s="1"/>
  <c r="CF25" i="26"/>
  <c r="M62" i="9"/>
  <c r="P51" i="9"/>
  <c r="CI14" i="26"/>
  <c r="M70" i="9"/>
  <c r="CF33" i="26"/>
  <c r="N50" i="9"/>
  <c r="CG13" i="26"/>
  <c r="CG29" i="26"/>
  <c r="N66" i="9"/>
  <c r="CE21" i="26"/>
  <c r="L58" i="9"/>
  <c r="BP49" i="26"/>
  <c r="BP52" i="26"/>
  <c r="BV9" i="24"/>
  <c r="AS9" i="24" s="1"/>
  <c r="T13" i="9" s="1"/>
  <c r="AF13" i="9" s="1"/>
  <c r="D79" i="9" s="1"/>
  <c r="BP54" i="26"/>
  <c r="BP50" i="26"/>
  <c r="BP46" i="26"/>
  <c r="BP55" i="26"/>
  <c r="BP48" i="26"/>
  <c r="BP47" i="26"/>
  <c r="BP53" i="26"/>
  <c r="BP51" i="26"/>
  <c r="CI21" i="26"/>
  <c r="P58" i="9"/>
  <c r="P54" i="9"/>
  <c r="CI17" i="26"/>
  <c r="N49" i="9"/>
  <c r="CG12" i="26"/>
  <c r="CF14" i="26"/>
  <c r="M51" i="9"/>
  <c r="N59" i="9"/>
  <c r="CG22" i="26"/>
  <c r="BT10" i="24"/>
  <c r="AQ10" i="24" s="1"/>
  <c r="R14" i="9" s="1"/>
  <c r="AG14" i="9" s="1"/>
  <c r="BN62" i="26"/>
  <c r="BN56" i="26"/>
  <c r="BN60" i="26"/>
  <c r="BN59" i="26"/>
  <c r="BN57" i="26"/>
  <c r="BN58" i="26"/>
  <c r="BN61" i="26"/>
  <c r="CE27" i="26"/>
  <c r="L64" i="9"/>
  <c r="CH21" i="26"/>
  <c r="O58" i="9"/>
  <c r="CF31" i="26"/>
  <c r="M68" i="9"/>
  <c r="L66" i="9"/>
  <c r="CE29" i="26"/>
  <c r="CH24" i="26"/>
  <c r="O61" i="9"/>
  <c r="CH13" i="26"/>
  <c r="O50" i="9"/>
  <c r="CH17" i="26"/>
  <c r="O54" i="9"/>
  <c r="BO57" i="26"/>
  <c r="BO59" i="26"/>
  <c r="BO61" i="26"/>
  <c r="BO60" i="26"/>
  <c r="BO58" i="26"/>
  <c r="BU10" i="24"/>
  <c r="AR10" i="24" s="1"/>
  <c r="S14" i="9" s="1"/>
  <c r="BO56" i="26"/>
  <c r="BO62" i="26"/>
  <c r="CE32" i="26"/>
  <c r="L69" i="9"/>
  <c r="CH14" i="26"/>
  <c r="O51" i="9"/>
  <c r="CF13" i="26"/>
  <c r="M50" i="9"/>
  <c r="M48" i="9"/>
  <c r="CF11" i="26"/>
  <c r="CE22" i="26"/>
  <c r="L59" i="9"/>
  <c r="N54" i="9"/>
  <c r="CG17" i="26"/>
  <c r="N63" i="9"/>
  <c r="CG26" i="26"/>
  <c r="P69" i="9"/>
  <c r="CI32" i="26"/>
  <c r="BM46" i="26"/>
  <c r="BM54" i="26"/>
  <c r="BM47" i="26"/>
  <c r="BS9" i="24"/>
  <c r="AP9" i="24" s="1"/>
  <c r="Q13" i="9" s="1"/>
  <c r="BM50" i="26"/>
  <c r="BM52" i="26"/>
  <c r="BM53" i="26"/>
  <c r="BM49" i="26"/>
  <c r="BM55" i="26"/>
  <c r="BM51" i="26"/>
  <c r="BM48" i="26"/>
  <c r="O55" i="9"/>
  <c r="CH18" i="26"/>
  <c r="P67" i="9"/>
  <c r="CI30" i="26"/>
  <c r="CF10" i="26"/>
  <c r="M47" i="9"/>
  <c r="L55" i="9"/>
  <c r="CE18" i="26"/>
  <c r="CI12" i="26"/>
  <c r="P49" i="9"/>
  <c r="CH25" i="26"/>
  <c r="O62" i="9"/>
  <c r="L49" i="9"/>
  <c r="CE12" i="26"/>
  <c r="P52" i="9"/>
  <c r="CI15" i="26"/>
  <c r="N53" i="9"/>
  <c r="CG16" i="26"/>
  <c r="BM61" i="26"/>
  <c r="BM57" i="26"/>
  <c r="BM59" i="26"/>
  <c r="BS10" i="24"/>
  <c r="AP10" i="24" s="1"/>
  <c r="Q14" i="9" s="1"/>
  <c r="AI14" i="9" s="1"/>
  <c r="AL14" i="9" s="1"/>
  <c r="BM63" i="26"/>
  <c r="BM56" i="26"/>
  <c r="BM62" i="26"/>
  <c r="BM60" i="26"/>
  <c r="BM58" i="26"/>
  <c r="CG32" i="26"/>
  <c r="N69" i="9"/>
  <c r="CI11" i="26"/>
  <c r="P48" i="9"/>
  <c r="O52" i="9"/>
  <c r="CH15" i="26"/>
  <c r="CH32" i="26"/>
  <c r="O69" i="9"/>
  <c r="CG27" i="26"/>
  <c r="N64" i="9"/>
  <c r="O68" i="9"/>
  <c r="CH31" i="26"/>
  <c r="CF30" i="26"/>
  <c r="M67" i="9"/>
  <c r="CH11" i="26"/>
  <c r="O48" i="9"/>
  <c r="CF19" i="26"/>
  <c r="M56" i="9"/>
  <c r="P63" i="9"/>
  <c r="CI26" i="26"/>
  <c r="M61" i="9"/>
  <c r="CF24" i="26"/>
  <c r="P64" i="9"/>
  <c r="CI27" i="26"/>
  <c r="CE33" i="26"/>
  <c r="L70" i="9"/>
  <c r="CF29" i="26"/>
  <c r="M66" i="9"/>
  <c r="CI20" i="26"/>
  <c r="P57" i="9"/>
  <c r="M57" i="9"/>
  <c r="CF20" i="26"/>
  <c r="BP61" i="26"/>
  <c r="BP57" i="26"/>
  <c r="BP62" i="26"/>
  <c r="BP56" i="26"/>
  <c r="BP58" i="26"/>
  <c r="BP59" i="26"/>
  <c r="BP60" i="26"/>
  <c r="BV10" i="24"/>
  <c r="AS10" i="24" s="1"/>
  <c r="T14" i="9" s="1"/>
  <c r="N67" i="9"/>
  <c r="CG30" i="26"/>
  <c r="CE24" i="26"/>
  <c r="L61" i="9"/>
  <c r="P61" i="9"/>
  <c r="CI24" i="26"/>
  <c r="M58" i="9"/>
  <c r="CF21" i="26"/>
  <c r="CE8" i="26"/>
  <c r="BM39" i="26"/>
  <c r="BM38" i="26"/>
  <c r="BM40" i="26"/>
  <c r="BM41" i="26"/>
  <c r="L45" i="9"/>
  <c r="BM42" i="26"/>
  <c r="Z64" i="26"/>
  <c r="BM45" i="26"/>
  <c r="BM43" i="26"/>
  <c r="BM37" i="26"/>
  <c r="BM44" i="26"/>
  <c r="BM36" i="26"/>
  <c r="O70" i="9"/>
  <c r="CH33" i="26"/>
  <c r="L51" i="9"/>
  <c r="CE14" i="26"/>
  <c r="M64" i="9"/>
  <c r="CF27" i="26"/>
  <c r="CH16" i="26"/>
  <c r="O53" i="9"/>
  <c r="M53" i="9"/>
  <c r="CF16" i="26"/>
  <c r="CH26" i="26"/>
  <c r="O63" i="9"/>
  <c r="N60" i="9"/>
  <c r="CG23" i="26"/>
  <c r="CH23" i="26"/>
  <c r="O60" i="9"/>
  <c r="O67" i="9"/>
  <c r="CH30" i="26"/>
  <c r="BQ39" i="26"/>
  <c r="BQ37" i="26"/>
  <c r="BQ41" i="26"/>
  <c r="BQ42" i="26"/>
  <c r="P45" i="9"/>
  <c r="BQ40" i="26"/>
  <c r="BQ38" i="26"/>
  <c r="BQ36" i="26"/>
  <c r="BQ45" i="26"/>
  <c r="BQ43" i="26"/>
  <c r="AD64" i="26"/>
  <c r="BQ44" i="26"/>
  <c r="CI8" i="26"/>
  <c r="O56" i="9"/>
  <c r="CH19" i="26"/>
  <c r="O64" i="9"/>
  <c r="CH27" i="26"/>
  <c r="M69" i="9"/>
  <c r="CF32" i="26"/>
  <c r="BQ53" i="26"/>
  <c r="BW9" i="24"/>
  <c r="AT9" i="24" s="1"/>
  <c r="U13" i="9" s="1"/>
  <c r="BQ54" i="26"/>
  <c r="BQ48" i="26"/>
  <c r="BQ52" i="26"/>
  <c r="BQ49" i="26"/>
  <c r="BQ55" i="26"/>
  <c r="BQ47" i="26"/>
  <c r="BQ51" i="26"/>
  <c r="BQ46" i="26"/>
  <c r="BQ50" i="26"/>
  <c r="P65" i="9"/>
  <c r="CI28" i="26"/>
  <c r="L60" i="9"/>
  <c r="CE23" i="26"/>
  <c r="BP39" i="26"/>
  <c r="BP43" i="26"/>
  <c r="BP36" i="26"/>
  <c r="BP37" i="26"/>
  <c r="BP44" i="26"/>
  <c r="CH8" i="26"/>
  <c r="BP41" i="26"/>
  <c r="AC64" i="26"/>
  <c r="O45" i="9"/>
  <c r="BP38" i="26"/>
  <c r="BP42" i="26"/>
  <c r="BP45" i="26"/>
  <c r="BP40" i="26"/>
  <c r="P62" i="9"/>
  <c r="CI25" i="26"/>
  <c r="CG24" i="26"/>
  <c r="N61" i="9"/>
  <c r="BO36" i="26"/>
  <c r="BO39" i="26"/>
  <c r="BO44" i="26"/>
  <c r="AB64" i="26"/>
  <c r="N45" i="9"/>
  <c r="BO41" i="26"/>
  <c r="BO45" i="26"/>
  <c r="CG8" i="26"/>
  <c r="BO43" i="26"/>
  <c r="BO37" i="26"/>
  <c r="BO38" i="26"/>
  <c r="BO40" i="26"/>
  <c r="BO42" i="26"/>
  <c r="O49" i="9"/>
  <c r="CH12" i="26"/>
  <c r="CH9" i="26"/>
  <c r="O46" i="9"/>
  <c r="M54" i="9"/>
  <c r="CF17" i="26"/>
  <c r="CE28" i="26"/>
  <c r="L65" i="9"/>
  <c r="M55" i="9"/>
  <c r="CF18" i="26"/>
  <c r="AG30" i="9"/>
  <c r="CI18" i="26"/>
  <c r="P55" i="9"/>
  <c r="BX10" i="24"/>
  <c r="AU10" i="24" s="1"/>
  <c r="V14" i="9" s="1"/>
  <c r="BR59" i="26"/>
  <c r="BR60" i="26"/>
  <c r="BR58" i="26"/>
  <c r="BR57" i="26"/>
  <c r="BR61" i="26"/>
  <c r="BR62" i="26"/>
  <c r="BR56" i="26"/>
  <c r="L57" i="9"/>
  <c r="CE20" i="26"/>
  <c r="CG33" i="26"/>
  <c r="N70" i="9"/>
  <c r="CF22" i="26"/>
  <c r="M59" i="9"/>
  <c r="CF26" i="26"/>
  <c r="M63" i="9"/>
  <c r="CH28" i="26"/>
  <c r="O65" i="9"/>
  <c r="CH29" i="26"/>
  <c r="O66" i="9"/>
  <c r="P68" i="9"/>
  <c r="CI31" i="26"/>
  <c r="CG18" i="26"/>
  <c r="N55" i="9"/>
  <c r="CG20" i="26"/>
  <c r="N57" i="9"/>
  <c r="O57" i="9"/>
  <c r="CH20" i="26"/>
  <c r="CF28" i="26"/>
  <c r="M65" i="9"/>
  <c r="CE30" i="26"/>
  <c r="L67" i="9"/>
  <c r="N65" i="9"/>
  <c r="CG28" i="26"/>
  <c r="P60" i="9"/>
  <c r="CI23" i="26"/>
  <c r="CH22" i="26"/>
  <c r="O59" i="9"/>
  <c r="CH10" i="26"/>
  <c r="O47" i="9"/>
  <c r="L62" i="9"/>
  <c r="CE25" i="26"/>
  <c r="CE11" i="26"/>
  <c r="L48" i="9"/>
  <c r="CI16" i="26"/>
  <c r="P53" i="9"/>
  <c r="CE10" i="26"/>
  <c r="L47" i="9"/>
  <c r="N47" i="9"/>
  <c r="CG10" i="26"/>
  <c r="L56" i="9"/>
  <c r="CE19" i="26"/>
  <c r="M60" i="9"/>
  <c r="CF23" i="26"/>
  <c r="N51" i="9"/>
  <c r="CG14" i="26"/>
  <c r="P70" i="9"/>
  <c r="CI33" i="26"/>
  <c r="L68" i="9"/>
  <c r="CE31" i="26"/>
  <c r="CI19" i="26"/>
  <c r="P56" i="9"/>
  <c r="CE17" i="26"/>
  <c r="L54" i="9"/>
  <c r="P66" i="9"/>
  <c r="CI29" i="26"/>
  <c r="M49" i="9"/>
  <c r="CF12" i="26"/>
  <c r="BO51" i="26"/>
  <c r="BO53" i="26"/>
  <c r="BO50" i="26"/>
  <c r="BU9" i="24"/>
  <c r="AR9" i="24" s="1"/>
  <c r="S13" i="9" s="1"/>
  <c r="BO49" i="26"/>
  <c r="BO46" i="26"/>
  <c r="BO48" i="26"/>
  <c r="BO47" i="26"/>
  <c r="BO54" i="26"/>
  <c r="BO55" i="26"/>
  <c r="BO52" i="26"/>
  <c r="P50" i="9"/>
  <c r="CI13" i="26"/>
  <c r="BN53" i="26"/>
  <c r="BN52" i="26"/>
  <c r="BN50" i="26"/>
  <c r="BN51" i="26"/>
  <c r="BT9" i="24"/>
  <c r="AQ9" i="24" s="1"/>
  <c r="R13" i="9" s="1"/>
  <c r="AG13" i="9" s="1"/>
  <c r="BN46" i="26"/>
  <c r="BN49" i="26"/>
  <c r="BN54" i="26"/>
  <c r="BN47" i="26"/>
  <c r="BN55" i="26"/>
  <c r="BN48" i="26"/>
  <c r="P47" i="9"/>
  <c r="CI10" i="26"/>
  <c r="N56" i="9"/>
  <c r="CG19" i="26"/>
  <c r="BR37" i="26"/>
  <c r="BR43" i="26"/>
  <c r="BR38" i="26"/>
  <c r="BR36" i="26"/>
  <c r="BR39" i="26"/>
  <c r="BR42" i="26"/>
  <c r="BR40" i="26"/>
  <c r="BR41" i="26"/>
  <c r="BR45" i="26"/>
  <c r="BR44" i="26"/>
  <c r="P46" i="9"/>
  <c r="CI9" i="26"/>
  <c r="N48" i="9"/>
  <c r="CG11" i="26"/>
  <c r="M46" i="9"/>
  <c r="CF9" i="26"/>
  <c r="CI22" i="26"/>
  <c r="P59" i="9"/>
  <c r="L53" i="9"/>
  <c r="CE16" i="26"/>
  <c r="BQ61" i="26"/>
  <c r="BQ56" i="26"/>
  <c r="BW10" i="24"/>
  <c r="AT10" i="24" s="1"/>
  <c r="U14" i="9" s="1"/>
  <c r="BQ60" i="26"/>
  <c r="BQ59" i="26"/>
  <c r="BQ58" i="26"/>
  <c r="BQ62" i="26"/>
  <c r="BQ57" i="26"/>
  <c r="BT23" i="24"/>
  <c r="AQ23" i="24" s="1"/>
  <c r="R27" i="9" s="1"/>
  <c r="AG27" i="9" s="1"/>
  <c r="CE26" i="26"/>
  <c r="L63" i="9"/>
  <c r="BS14" i="24"/>
  <c r="AP14" i="24" s="1"/>
  <c r="Q18" i="9" s="1"/>
  <c r="BV15" i="24"/>
  <c r="AS15" i="24" s="1"/>
  <c r="T19" i="9" s="1"/>
  <c r="AJ19" i="9" s="1"/>
  <c r="CE9" i="26"/>
  <c r="L46" i="9"/>
  <c r="BW22" i="24"/>
  <c r="AT22" i="24" s="1"/>
  <c r="U26" i="9" s="1"/>
  <c r="AF26" i="9" s="1"/>
  <c r="AS16" i="9" s="1"/>
  <c r="BS13" i="24"/>
  <c r="AP13" i="24" s="1"/>
  <c r="Q17" i="9" s="1"/>
  <c r="AI17" i="9" s="1"/>
  <c r="AL17" i="9" s="1"/>
  <c r="CE13" i="26"/>
  <c r="L50" i="9"/>
  <c r="BU11" i="24"/>
  <c r="AR11" i="24" s="1"/>
  <c r="S15" i="9" s="1"/>
  <c r="BT24" i="24"/>
  <c r="AQ24" i="24" s="1"/>
  <c r="R28" i="9" s="1"/>
  <c r="AG28" i="9" s="1"/>
  <c r="CF15" i="26"/>
  <c r="M52" i="9"/>
  <c r="BX9" i="24"/>
  <c r="AU9" i="24" s="1"/>
  <c r="V13" i="9" s="1"/>
  <c r="BR50" i="26"/>
  <c r="BR53" i="26"/>
  <c r="BR51" i="26"/>
  <c r="BR55" i="26"/>
  <c r="BR52" i="26"/>
  <c r="BR47" i="26"/>
  <c r="BR54" i="26"/>
  <c r="BR46" i="26"/>
  <c r="BR49" i="26"/>
  <c r="BR48" i="26"/>
  <c r="CG15" i="26"/>
  <c r="N52" i="9"/>
  <c r="N68" i="9"/>
  <c r="CG31" i="26"/>
  <c r="CG25" i="26"/>
  <c r="N62" i="9"/>
  <c r="CG9" i="26"/>
  <c r="N46" i="9"/>
  <c r="L52" i="9"/>
  <c r="CE15" i="26"/>
  <c r="BU12" i="24"/>
  <c r="AR12" i="24" s="1"/>
  <c r="S16" i="9" s="1"/>
  <c r="CG21" i="26"/>
  <c r="N58" i="9"/>
  <c r="BN39" i="26"/>
  <c r="BN43" i="26"/>
  <c r="AA64" i="26"/>
  <c r="BN36" i="26"/>
  <c r="BN44" i="26"/>
  <c r="BN41" i="26"/>
  <c r="BN38" i="26"/>
  <c r="BN45" i="26"/>
  <c r="BN37" i="26"/>
  <c r="BN42" i="26"/>
  <c r="BN40" i="26"/>
  <c r="CF8" i="26"/>
  <c r="M45" i="9"/>
  <c r="BX13" i="24"/>
  <c r="AU13" i="24" s="1"/>
  <c r="V17" i="9" s="1"/>
  <c r="BO63" i="26"/>
  <c r="AI23" i="9"/>
  <c r="AL23" i="9" s="1"/>
  <c r="AJ20" i="9"/>
  <c r="AN20" i="9" s="1"/>
  <c r="AJ33" i="9"/>
  <c r="AN33" i="9" s="1"/>
  <c r="AJ35" i="9"/>
  <c r="AN35" i="9" s="1"/>
  <c r="AJ25" i="9"/>
  <c r="AN25" i="9" s="1"/>
  <c r="AJ36" i="9"/>
  <c r="AN36" i="9" s="1"/>
  <c r="AJ21" i="9"/>
  <c r="AN21" i="9" s="1"/>
  <c r="AJ32" i="9"/>
  <c r="AK32" i="9" s="1"/>
  <c r="AI30" i="9"/>
  <c r="AL30" i="9" s="1"/>
  <c r="AF23" i="9"/>
  <c r="D89" i="9" s="1"/>
  <c r="AI19" i="9"/>
  <c r="AL19" i="9" s="1"/>
  <c r="AF32" i="9"/>
  <c r="D98" i="9" s="1"/>
  <c r="AG20" i="9"/>
  <c r="AF19" i="9"/>
  <c r="AS9" i="9" s="1"/>
  <c r="AF25" i="9"/>
  <c r="AS15" i="9" s="1"/>
  <c r="AF21" i="9"/>
  <c r="AS11" i="9" s="1"/>
  <c r="AF34" i="9"/>
  <c r="D100" i="9" s="1"/>
  <c r="AF22" i="9"/>
  <c r="AS12" i="9" s="1"/>
  <c r="AF18" i="9"/>
  <c r="D84" i="9" s="1"/>
  <c r="AI33" i="9"/>
  <c r="AL33" i="9" s="1"/>
  <c r="AF14" i="9"/>
  <c r="D80" i="9" s="1"/>
  <c r="AI18" i="9"/>
  <c r="AL18" i="9" s="1"/>
  <c r="AI13" i="9"/>
  <c r="AL13" i="9" s="1"/>
  <c r="AJ23" i="9"/>
  <c r="AN23" i="9" s="1"/>
  <c r="AI36" i="9"/>
  <c r="AL36" i="9" s="1"/>
  <c r="AJ17" i="9"/>
  <c r="AJ22" i="9"/>
  <c r="AN22" i="9" s="1"/>
  <c r="AI34" i="9"/>
  <c r="AL34" i="9" s="1"/>
  <c r="AI24" i="9"/>
  <c r="AI26" i="9"/>
  <c r="AI37" i="9"/>
  <c r="AL37" i="9" s="1"/>
  <c r="AI22" i="9"/>
  <c r="AL22" i="9" s="1"/>
  <c r="AI31" i="9"/>
  <c r="AG31" i="9"/>
  <c r="AF28" i="9"/>
  <c r="AT8" i="9" s="1"/>
  <c r="AF36" i="9"/>
  <c r="AJ14" i="9"/>
  <c r="AI29" i="9"/>
  <c r="AG29" i="9"/>
  <c r="AJ18" i="9"/>
  <c r="AN18" i="9" s="1"/>
  <c r="AG24" i="9"/>
  <c r="AF24" i="9"/>
  <c r="AL32" i="9"/>
  <c r="AF35" i="9"/>
  <c r="AT15" i="9" s="1"/>
  <c r="AF33" i="9"/>
  <c r="AT13" i="9" s="1"/>
  <c r="AI21" i="9"/>
  <c r="AL21" i="9" s="1"/>
  <c r="AG21" i="9"/>
  <c r="N106" i="34"/>
  <c r="BS63" i="26"/>
  <c r="BU63" i="26"/>
  <c r="AN19" i="9"/>
  <c r="AM19" i="9"/>
  <c r="AK19" i="9"/>
  <c r="J64" i="41"/>
  <c r="L64" i="41" s="1"/>
  <c r="I64" i="41"/>
  <c r="K64" i="41" s="1"/>
  <c r="BX63" i="26"/>
  <c r="BQ63" i="26"/>
  <c r="BN63" i="26"/>
  <c r="BY63" i="26"/>
  <c r="BR63" i="26"/>
  <c r="E64" i="41"/>
  <c r="B65" i="41" s="1"/>
  <c r="L107" i="34"/>
  <c r="M107" i="34"/>
  <c r="J108" i="34" s="1"/>
  <c r="BI64" i="26"/>
  <c r="BJ64" i="26" s="1"/>
  <c r="K106" i="34"/>
  <c r="BP63" i="26"/>
  <c r="BT63" i="26"/>
  <c r="AF16" i="9" l="1"/>
  <c r="AR16" i="9" s="1"/>
  <c r="AT12" i="9"/>
  <c r="AF29" i="9"/>
  <c r="AT9" i="9" s="1"/>
  <c r="AJ16" i="9"/>
  <c r="AN16" i="9" s="1"/>
  <c r="AF37" i="9"/>
  <c r="AT17" i="9" s="1"/>
  <c r="AF20" i="9"/>
  <c r="AS10" i="9" s="1"/>
  <c r="AF15" i="9"/>
  <c r="AM20" i="9"/>
  <c r="AI15" i="9"/>
  <c r="AI16" i="9"/>
  <c r="AL16" i="9" s="1"/>
  <c r="AF30" i="9"/>
  <c r="AI27" i="9"/>
  <c r="D86" i="9"/>
  <c r="AI28" i="9"/>
  <c r="AL28" i="9" s="1"/>
  <c r="AJ31" i="9"/>
  <c r="AN31" i="9" s="1"/>
  <c r="AS8" i="9"/>
  <c r="AU8" i="9" s="1"/>
  <c r="AY8" i="9" s="1"/>
  <c r="AF17" i="9"/>
  <c r="AR17" i="9" s="1"/>
  <c r="AU17" i="9" s="1"/>
  <c r="AW17" i="9" s="1"/>
  <c r="AJ26" i="9"/>
  <c r="AN26" i="9" s="1"/>
  <c r="AK20" i="9"/>
  <c r="AJ28" i="9"/>
  <c r="AN28" i="9" s="1"/>
  <c r="D82" i="9"/>
  <c r="AJ13" i="9"/>
  <c r="AN13" i="9" s="1"/>
  <c r="AF31" i="9"/>
  <c r="D95" i="9"/>
  <c r="AF27" i="9"/>
  <c r="AR13" i="9"/>
  <c r="AK35" i="9"/>
  <c r="AM35" i="9"/>
  <c r="AM36" i="9"/>
  <c r="AM30" i="9"/>
  <c r="AK30" i="9"/>
  <c r="AM25" i="9"/>
  <c r="AK25" i="9"/>
  <c r="AS13" i="9"/>
  <c r="AN32" i="9"/>
  <c r="AM32" i="9"/>
  <c r="AU9" i="9"/>
  <c r="AW9" i="9" s="1"/>
  <c r="AU12" i="9"/>
  <c r="AW12" i="9" s="1"/>
  <c r="D91" i="9"/>
  <c r="AT14" i="9"/>
  <c r="D94" i="9"/>
  <c r="AK36" i="9"/>
  <c r="AK16" i="9"/>
  <c r="D87" i="9"/>
  <c r="D88" i="9"/>
  <c r="AM37" i="9"/>
  <c r="AM16" i="9"/>
  <c r="AK37" i="9"/>
  <c r="D85" i="9"/>
  <c r="AR14" i="9"/>
  <c r="AR15" i="9"/>
  <c r="AU15" i="9" s="1"/>
  <c r="D81" i="9"/>
  <c r="AK18" i="9"/>
  <c r="AM18" i="9"/>
  <c r="AM34" i="9"/>
  <c r="AM33" i="9"/>
  <c r="D92" i="9"/>
  <c r="AK33" i="9"/>
  <c r="AK13" i="9"/>
  <c r="AM23" i="9"/>
  <c r="AM28" i="9"/>
  <c r="D99" i="9"/>
  <c r="AK23" i="9"/>
  <c r="AK34" i="9"/>
  <c r="AK21" i="9"/>
  <c r="AT16" i="9"/>
  <c r="AU16" i="9" s="1"/>
  <c r="AW16" i="9" s="1"/>
  <c r="D102" i="9"/>
  <c r="AL31" i="9"/>
  <c r="AM31" i="9"/>
  <c r="AK31" i="9"/>
  <c r="AL15" i="9"/>
  <c r="AM15" i="9"/>
  <c r="AK15" i="9"/>
  <c r="D90" i="9"/>
  <c r="AS14" i="9"/>
  <c r="AN17" i="9"/>
  <c r="AK17" i="9"/>
  <c r="AM17" i="9"/>
  <c r="D101" i="9"/>
  <c r="AK22" i="9"/>
  <c r="AL26" i="9"/>
  <c r="AM26" i="9"/>
  <c r="AK26" i="9"/>
  <c r="AN14" i="9"/>
  <c r="AK14" i="9"/>
  <c r="AM14" i="9"/>
  <c r="AM22" i="9"/>
  <c r="AL24" i="9"/>
  <c r="AK24" i="9"/>
  <c r="AM24" i="9"/>
  <c r="AM21" i="9"/>
  <c r="AL29" i="9"/>
  <c r="AK29" i="9"/>
  <c r="AM29" i="9"/>
  <c r="AY17" i="9"/>
  <c r="N107" i="34"/>
  <c r="M108" i="34"/>
  <c r="J109" i="34" s="1"/>
  <c r="N108" i="34"/>
  <c r="L108" i="34"/>
  <c r="K107" i="34"/>
  <c r="BL64" i="26"/>
  <c r="BH64" i="26" s="1"/>
  <c r="BK64" i="26"/>
  <c r="BO64" i="26" s="1"/>
  <c r="BW64" i="26"/>
  <c r="BV64" i="26"/>
  <c r="F65" i="41"/>
  <c r="C65" i="41"/>
  <c r="D65" i="41" s="1"/>
  <c r="D103" i="9" l="1"/>
  <c r="AT10" i="9"/>
  <c r="AU10" i="9" s="1"/>
  <c r="D96" i="9"/>
  <c r="H76" i="9" s="1"/>
  <c r="AK28" i="9"/>
  <c r="D93" i="9"/>
  <c r="AS17" i="9"/>
  <c r="AX17" i="9" s="1"/>
  <c r="D97" i="9"/>
  <c r="H78" i="9" s="1"/>
  <c r="AT11" i="9"/>
  <c r="AU11" i="9" s="1"/>
  <c r="AY11" i="9" s="1"/>
  <c r="D83" i="9"/>
  <c r="H82" i="9" s="1"/>
  <c r="AM13" i="9"/>
  <c r="AU13" i="9"/>
  <c r="AY13" i="9" s="1"/>
  <c r="AL27" i="9"/>
  <c r="AM27" i="9"/>
  <c r="AK27" i="9"/>
  <c r="AY12" i="9"/>
  <c r="AX12" i="9"/>
  <c r="AY9" i="9"/>
  <c r="AX8" i="9"/>
  <c r="AW8" i="9"/>
  <c r="H81" i="9"/>
  <c r="H75" i="9"/>
  <c r="AX9" i="9"/>
  <c r="H74" i="9"/>
  <c r="AY15" i="9"/>
  <c r="AX15" i="9"/>
  <c r="AW15" i="9"/>
  <c r="AU14" i="9"/>
  <c r="AX14" i="9" s="1"/>
  <c r="H79" i="9"/>
  <c r="H80" i="9"/>
  <c r="AX16" i="9"/>
  <c r="AY16" i="9"/>
  <c r="K108" i="34"/>
  <c r="BS64" i="26"/>
  <c r="AW10" i="9"/>
  <c r="AX10" i="9"/>
  <c r="AY10" i="9"/>
  <c r="E65" i="41"/>
  <c r="BP64" i="26"/>
  <c r="BT64" i="26"/>
  <c r="BX64" i="26"/>
  <c r="BM64" i="26"/>
  <c r="B66" i="41"/>
  <c r="H65" i="41"/>
  <c r="BQ64" i="26"/>
  <c r="BU64" i="26"/>
  <c r="BN64" i="26"/>
  <c r="BY64" i="26"/>
  <c r="BR64" i="26"/>
  <c r="M109" i="34"/>
  <c r="J110" i="34" s="1"/>
  <c r="L109" i="34"/>
  <c r="BI65" i="26"/>
  <c r="BJ65" i="26" s="1"/>
  <c r="H77" i="9" l="1"/>
  <c r="AW13" i="9"/>
  <c r="AX13" i="9"/>
  <c r="AX11" i="9"/>
  <c r="AW11" i="9"/>
  <c r="AW14" i="9"/>
  <c r="AY14" i="9"/>
  <c r="M110" i="34"/>
  <c r="J111" i="34" s="1"/>
  <c r="N110" i="34"/>
  <c r="L110" i="34"/>
  <c r="K110" i="34" s="1"/>
  <c r="BK65" i="26"/>
  <c r="BM65" i="26" s="1"/>
  <c r="BW65" i="26"/>
  <c r="BV65" i="26"/>
  <c r="BL65" i="26"/>
  <c r="BS65" i="26" s="1"/>
  <c r="K109" i="34"/>
  <c r="J65" i="41"/>
  <c r="L65" i="41" s="1"/>
  <c r="I65" i="41"/>
  <c r="K65" i="41" s="1"/>
  <c r="N109" i="34"/>
  <c r="F66" i="41"/>
  <c r="C66" i="41"/>
  <c r="BU65" i="26" l="1"/>
  <c r="BQ65" i="26"/>
  <c r="BN65" i="26"/>
  <c r="BY65" i="26"/>
  <c r="BR65" i="26"/>
  <c r="BI66" i="26"/>
  <c r="BJ66" i="26" s="1"/>
  <c r="BH65" i="26"/>
  <c r="BO65" i="26"/>
  <c r="BP65" i="26"/>
  <c r="BT65" i="26"/>
  <c r="D66" i="41"/>
  <c r="BX65" i="26"/>
  <c r="L111" i="34"/>
  <c r="M111" i="34"/>
  <c r="J112" i="34" s="1"/>
  <c r="N111" i="34" l="1"/>
  <c r="M112" i="34"/>
  <c r="J113" i="34" s="1"/>
  <c r="L112" i="34"/>
  <c r="K111" i="34"/>
  <c r="E66" i="41"/>
  <c r="B67" i="41" s="1"/>
  <c r="BW66" i="26"/>
  <c r="BV66" i="26"/>
  <c r="BL66" i="26"/>
  <c r="BQ66" i="26" s="1"/>
  <c r="BK66" i="26"/>
  <c r="BS66" i="26" s="1"/>
  <c r="BR66" i="26"/>
  <c r="H66" i="41"/>
  <c r="F67" i="41" l="1"/>
  <c r="C67" i="41"/>
  <c r="BH66" i="26"/>
  <c r="BT66" i="26"/>
  <c r="BM66" i="26"/>
  <c r="BX66" i="26"/>
  <c r="BU66" i="26"/>
  <c r="BI67" i="26"/>
  <c r="BJ67" i="26" s="1"/>
  <c r="BP66" i="26"/>
  <c r="J66" i="41"/>
  <c r="L66" i="41" s="1"/>
  <c r="I66" i="41"/>
  <c r="K66" i="41" s="1"/>
  <c r="BN66" i="26"/>
  <c r="BY66" i="26"/>
  <c r="K112" i="34"/>
  <c r="L113" i="34"/>
  <c r="M113" i="34"/>
  <c r="J114" i="34" s="1"/>
  <c r="BO66" i="26"/>
  <c r="N112" i="34"/>
  <c r="N113" i="34" l="1"/>
  <c r="L114" i="34"/>
  <c r="K114" i="34" s="1"/>
  <c r="M114" i="34"/>
  <c r="J115" i="34" s="1"/>
  <c r="N114" i="34"/>
  <c r="K113" i="34"/>
  <c r="BW67" i="26"/>
  <c r="BV67" i="26"/>
  <c r="BL67" i="26"/>
  <c r="BO67" i="26" s="1"/>
  <c r="BK67" i="26"/>
  <c r="BM67" i="26" s="1"/>
  <c r="D67" i="41"/>
  <c r="BR67" i="26" l="1"/>
  <c r="BI68" i="26"/>
  <c r="BJ68" i="26" s="1"/>
  <c r="L115" i="34"/>
  <c r="M115" i="34"/>
  <c r="J116" i="34" s="1"/>
  <c r="BH67" i="26"/>
  <c r="E67" i="41"/>
  <c r="B68" i="41" s="1"/>
  <c r="BS67" i="26"/>
  <c r="BP67" i="26"/>
  <c r="BT67" i="26"/>
  <c r="BX67" i="26"/>
  <c r="BQ67" i="26"/>
  <c r="BU67" i="26"/>
  <c r="BY67" i="26"/>
  <c r="BN67" i="26"/>
  <c r="H67" i="41"/>
  <c r="C68" i="41" l="1"/>
  <c r="D68" i="41" s="1"/>
  <c r="F68" i="41"/>
  <c r="J67" i="41"/>
  <c r="L67" i="41" s="1"/>
  <c r="I67" i="41"/>
  <c r="K67" i="41" s="1"/>
  <c r="M116" i="34"/>
  <c r="J117" i="34" s="1"/>
  <c r="N116" i="34"/>
  <c r="L116" i="34"/>
  <c r="K116" i="34" s="1"/>
  <c r="N115" i="34"/>
  <c r="K115" i="34"/>
  <c r="BL68" i="26"/>
  <c r="BK68" i="26"/>
  <c r="BR68" i="26" s="1"/>
  <c r="BW68" i="26"/>
  <c r="BV68" i="26"/>
  <c r="BU68" i="26" l="1"/>
  <c r="E68" i="41"/>
  <c r="L117" i="34"/>
  <c r="M117" i="34"/>
  <c r="J118" i="34" s="1"/>
  <c r="BO68" i="26"/>
  <c r="BS68" i="26"/>
  <c r="BM68" i="26"/>
  <c r="BH68" i="26"/>
  <c r="BP68" i="26"/>
  <c r="BX68" i="26"/>
  <c r="BQ68" i="26"/>
  <c r="BI69" i="26"/>
  <c r="BJ69" i="26" s="1"/>
  <c r="BT68" i="26"/>
  <c r="BN68" i="26"/>
  <c r="BY68" i="26"/>
  <c r="H68" i="41"/>
  <c r="B69" i="41"/>
  <c r="K117" i="34" l="1"/>
  <c r="N117" i="34"/>
  <c r="F69" i="41"/>
  <c r="C69" i="41"/>
  <c r="D69" i="41" s="1"/>
  <c r="J68" i="41"/>
  <c r="L68" i="41" s="1"/>
  <c r="I68" i="41"/>
  <c r="K68" i="41" s="1"/>
  <c r="BK69" i="26"/>
  <c r="BM69" i="26" s="1"/>
  <c r="BW69" i="26"/>
  <c r="BV69" i="26"/>
  <c r="BL69" i="26"/>
  <c r="BP69" i="26" s="1"/>
  <c r="M118" i="34"/>
  <c r="J119" i="34" s="1"/>
  <c r="N118" i="34"/>
  <c r="L118" i="34"/>
  <c r="K118" i="34" s="1"/>
  <c r="G69" i="41" l="1"/>
  <c r="E69" i="41"/>
  <c r="G23" i="41"/>
  <c r="G24" i="41"/>
  <c r="G25" i="41"/>
  <c r="G26" i="41"/>
  <c r="G27" i="41"/>
  <c r="G28" i="41"/>
  <c r="G29" i="41"/>
  <c r="G30" i="41"/>
  <c r="G31" i="41"/>
  <c r="G32" i="41"/>
  <c r="G33" i="41"/>
  <c r="G34" i="41"/>
  <c r="G35" i="41"/>
  <c r="G36" i="41"/>
  <c r="G37" i="41"/>
  <c r="G38" i="41"/>
  <c r="G39" i="41"/>
  <c r="G40" i="41"/>
  <c r="G41" i="41"/>
  <c r="G42" i="41"/>
  <c r="G43" i="41"/>
  <c r="G44" i="41"/>
  <c r="G45" i="41"/>
  <c r="G46" i="41"/>
  <c r="G47" i="41"/>
  <c r="G48" i="41"/>
  <c r="G49" i="41"/>
  <c r="G50" i="41"/>
  <c r="G51" i="41"/>
  <c r="G52" i="41"/>
  <c r="G53" i="41"/>
  <c r="G54" i="41"/>
  <c r="G55" i="41"/>
  <c r="G56" i="41"/>
  <c r="G57" i="41"/>
  <c r="G58" i="41"/>
  <c r="G59" i="41"/>
  <c r="G60" i="41"/>
  <c r="G61" i="41"/>
  <c r="G62" i="41"/>
  <c r="G63" i="41"/>
  <c r="G68" i="41"/>
  <c r="G66" i="41"/>
  <c r="G65" i="41"/>
  <c r="G64" i="41"/>
  <c r="G67" i="41"/>
  <c r="BR69" i="26"/>
  <c r="BO69" i="26"/>
  <c r="L119" i="34"/>
  <c r="M119" i="34"/>
  <c r="J120" i="34" s="1"/>
  <c r="BH69" i="26"/>
  <c r="BI70" i="26"/>
  <c r="BJ70" i="26" s="1"/>
  <c r="BQ69" i="26"/>
  <c r="H69" i="41"/>
  <c r="BS69" i="26"/>
  <c r="BT69" i="26"/>
  <c r="BX69" i="26"/>
  <c r="BU69" i="26"/>
  <c r="BN69" i="26"/>
  <c r="BY69" i="26"/>
  <c r="BW70" i="26" l="1"/>
  <c r="BV70" i="26"/>
  <c r="BL70" i="26"/>
  <c r="BK70" i="26"/>
  <c r="BS70" i="26" s="1"/>
  <c r="M120" i="34"/>
  <c r="J121" i="34" s="1"/>
  <c r="N120" i="34"/>
  <c r="L120" i="34"/>
  <c r="K120" i="34" s="1"/>
  <c r="N119" i="34"/>
  <c r="J69" i="41"/>
  <c r="L69" i="41" s="1"/>
  <c r="I69" i="41"/>
  <c r="K69" i="41" s="1"/>
  <c r="K119" i="34"/>
  <c r="BO70" i="26" l="1"/>
  <c r="BR70" i="26"/>
  <c r="BI71" i="26"/>
  <c r="BJ71" i="26" s="1"/>
  <c r="BH70" i="26"/>
  <c r="BT70" i="26"/>
  <c r="BP70" i="26"/>
  <c r="BM70" i="26"/>
  <c r="BX70" i="26"/>
  <c r="BU70" i="26"/>
  <c r="BQ70" i="26"/>
  <c r="L121" i="34"/>
  <c r="K121" i="34" s="1"/>
  <c r="M121" i="34"/>
  <c r="J122" i="34" s="1"/>
  <c r="N121" i="34"/>
  <c r="BN70" i="26"/>
  <c r="BY70" i="26"/>
  <c r="M122" i="34" l="1"/>
  <c r="J123" i="34" s="1"/>
  <c r="L122" i="34"/>
  <c r="K122" i="34" s="1"/>
  <c r="N122" i="34"/>
  <c r="BW71" i="26"/>
  <c r="BV71" i="26"/>
  <c r="BL71" i="26"/>
  <c r="BK71" i="26"/>
  <c r="BM71" i="26" s="1"/>
  <c r="BT71" i="26" l="1"/>
  <c r="BQ71" i="26"/>
  <c r="BU71" i="26"/>
  <c r="BY71" i="26"/>
  <c r="BN71" i="26"/>
  <c r="BO71" i="26"/>
  <c r="BR71" i="26"/>
  <c r="BS71" i="26"/>
  <c r="BH71" i="26"/>
  <c r="BP71" i="26"/>
  <c r="BI72" i="26"/>
  <c r="BJ72" i="26" s="1"/>
  <c r="BX71" i="26"/>
  <c r="L123" i="34"/>
  <c r="M123" i="34"/>
  <c r="J124" i="34" s="1"/>
  <c r="L124" i="34" l="1"/>
  <c r="K124" i="34" s="1"/>
  <c r="M124" i="34"/>
  <c r="J125" i="34" s="1"/>
  <c r="N124" i="34"/>
  <c r="K123" i="34"/>
  <c r="N123" i="34"/>
  <c r="BL72" i="26"/>
  <c r="BH72" i="26" s="1"/>
  <c r="BK72" i="26"/>
  <c r="BY72" i="26" s="1"/>
  <c r="BW72" i="26"/>
  <c r="BV72" i="26"/>
  <c r="BS72" i="26" l="1"/>
  <c r="BP72" i="26"/>
  <c r="BT72" i="26"/>
  <c r="BM72" i="26"/>
  <c r="BO72" i="26"/>
  <c r="BX72" i="26"/>
  <c r="BQ72" i="26"/>
  <c r="BU72" i="26"/>
  <c r="BN72" i="26"/>
  <c r="BR72" i="26"/>
  <c r="L125" i="34"/>
  <c r="M125" i="34"/>
  <c r="J126" i="34" s="1"/>
  <c r="BI73" i="26"/>
  <c r="BJ73" i="26" s="1"/>
  <c r="BK73" i="26" l="1"/>
  <c r="BW73" i="26"/>
  <c r="BV73" i="26"/>
  <c r="BL73" i="26"/>
  <c r="BI74" i="26" s="1"/>
  <c r="BJ74" i="26" s="1"/>
  <c r="L126" i="34"/>
  <c r="M126" i="34"/>
  <c r="J127" i="34" s="1"/>
  <c r="N126" i="34"/>
  <c r="K125" i="34"/>
  <c r="N125" i="34"/>
  <c r="K126" i="34" l="1"/>
  <c r="BW74" i="26"/>
  <c r="BV74" i="26"/>
  <c r="BL74" i="26"/>
  <c r="BK74" i="26"/>
  <c r="BM74" i="26" s="1"/>
  <c r="BR74" i="26"/>
  <c r="BH73" i="26"/>
  <c r="BT73" i="26"/>
  <c r="BM73" i="26"/>
  <c r="BX73" i="26"/>
  <c r="BU73" i="26"/>
  <c r="BQ73" i="26"/>
  <c r="BP73" i="26"/>
  <c r="BN73" i="26"/>
  <c r="BY73" i="26"/>
  <c r="BR73" i="26"/>
  <c r="L127" i="34"/>
  <c r="M127" i="34"/>
  <c r="J128" i="34" s="1"/>
  <c r="BO73" i="26"/>
  <c r="BS73" i="26"/>
  <c r="BS74" i="26" l="1"/>
  <c r="BO74" i="26"/>
  <c r="BI75" i="26"/>
  <c r="BJ75" i="26" s="1"/>
  <c r="BH74" i="26"/>
  <c r="N127" i="34"/>
  <c r="BT74" i="26"/>
  <c r="BP74" i="26"/>
  <c r="BX74" i="26"/>
  <c r="BU74" i="26"/>
  <c r="BQ74" i="26"/>
  <c r="M128" i="34"/>
  <c r="J129" i="34" s="1"/>
  <c r="L128" i="34"/>
  <c r="K127" i="34"/>
  <c r="BN74" i="26"/>
  <c r="BY74" i="26"/>
  <c r="N128" i="34" l="1"/>
  <c r="K128" i="34"/>
  <c r="L129" i="34"/>
  <c r="K129" i="34" s="1"/>
  <c r="M129" i="34"/>
  <c r="J130" i="34" s="1"/>
  <c r="BW75" i="26"/>
  <c r="BV75" i="26"/>
  <c r="BL75" i="26"/>
  <c r="BO75" i="26" s="1"/>
  <c r="BK75" i="26"/>
  <c r="BR75" i="26" s="1"/>
  <c r="M130" i="34" l="1"/>
  <c r="J131" i="34" s="1"/>
  <c r="N130" i="34"/>
  <c r="L130" i="34"/>
  <c r="K130" i="34" s="1"/>
  <c r="BI76" i="26"/>
  <c r="BJ76" i="26" s="1"/>
  <c r="BX75" i="26"/>
  <c r="BM75" i="26"/>
  <c r="N129" i="34"/>
  <c r="BS75" i="26"/>
  <c r="BH75" i="26"/>
  <c r="BP75" i="26"/>
  <c r="BT75" i="26"/>
  <c r="BQ75" i="26"/>
  <c r="BU75" i="26"/>
  <c r="BY75" i="26"/>
  <c r="BN75" i="26"/>
  <c r="BL76" i="26" l="1"/>
  <c r="BK76" i="26"/>
  <c r="BR76" i="26" s="1"/>
  <c r="BW76" i="26"/>
  <c r="BV76" i="26"/>
  <c r="L131" i="34"/>
  <c r="K131" i="34" s="1"/>
  <c r="M131" i="34"/>
  <c r="J132" i="34" s="1"/>
  <c r="BY76" i="26" l="1"/>
  <c r="BO76" i="26"/>
  <c r="BI77" i="26"/>
  <c r="BJ77" i="26" s="1"/>
  <c r="BS76" i="26"/>
  <c r="BH76" i="26"/>
  <c r="BP76" i="26"/>
  <c r="BT76" i="26"/>
  <c r="BN76" i="26"/>
  <c r="BM76" i="26"/>
  <c r="N132" i="34"/>
  <c r="M132" i="34"/>
  <c r="J133" i="34" s="1"/>
  <c r="L132" i="34"/>
  <c r="K132" i="34" s="1"/>
  <c r="BX76" i="26"/>
  <c r="N131" i="34"/>
  <c r="BQ76" i="26"/>
  <c r="BU76" i="26"/>
  <c r="L133" i="34" l="1"/>
  <c r="K133" i="34" s="1"/>
  <c r="M133" i="34"/>
  <c r="J134" i="34" s="1"/>
  <c r="BK77" i="26"/>
  <c r="BM77" i="26" s="1"/>
  <c r="BW77" i="26"/>
  <c r="BV77" i="26"/>
  <c r="BL77" i="26"/>
  <c r="BS77" i="26" l="1"/>
  <c r="BQ77" i="26"/>
  <c r="BN77" i="26"/>
  <c r="BY77" i="26"/>
  <c r="BR77" i="26"/>
  <c r="L134" i="34"/>
  <c r="M134" i="34"/>
  <c r="J135" i="34" s="1"/>
  <c r="BU77" i="26"/>
  <c r="BO77" i="26"/>
  <c r="BI78" i="26"/>
  <c r="BJ78" i="26" s="1"/>
  <c r="BH77" i="26"/>
  <c r="BT77" i="26"/>
  <c r="BP77" i="26"/>
  <c r="BX77" i="26"/>
  <c r="N133" i="34"/>
  <c r="K134" i="34" l="1"/>
  <c r="BW78" i="26"/>
  <c r="BV78" i="26"/>
  <c r="BL78" i="26"/>
  <c r="BQ78" i="26" s="1"/>
  <c r="BK78" i="26"/>
  <c r="BM78" i="26" s="1"/>
  <c r="L135" i="34"/>
  <c r="M135" i="34"/>
  <c r="J136" i="34" s="1"/>
  <c r="N134" i="34"/>
  <c r="BS78" i="26" l="1"/>
  <c r="BR78" i="26"/>
  <c r="BO78" i="26"/>
  <c r="BH78" i="26"/>
  <c r="BP78" i="26"/>
  <c r="BX78" i="26"/>
  <c r="M136" i="34"/>
  <c r="J137" i="34" s="1"/>
  <c r="L136" i="34"/>
  <c r="K136" i="34" s="1"/>
  <c r="N135" i="34"/>
  <c r="BU78" i="26"/>
  <c r="BI79" i="26"/>
  <c r="BJ79" i="26" s="1"/>
  <c r="BT78" i="26"/>
  <c r="K135" i="34"/>
  <c r="BN78" i="26"/>
  <c r="BY78" i="26"/>
  <c r="N136" i="34" l="1"/>
  <c r="L137" i="34"/>
  <c r="M137" i="34"/>
  <c r="J138" i="34" s="1"/>
  <c r="BW79" i="26"/>
  <c r="BV79" i="26"/>
  <c r="BL79" i="26"/>
  <c r="BK79" i="26"/>
  <c r="BY79" i="26" s="1"/>
  <c r="BX79" i="26" l="1"/>
  <c r="BN79" i="26"/>
  <c r="BR79" i="26"/>
  <c r="BO79" i="26"/>
  <c r="M138" i="34"/>
  <c r="J139" i="34" s="1"/>
  <c r="L138" i="34"/>
  <c r="K138" i="34" s="1"/>
  <c r="N138" i="34"/>
  <c r="BH79" i="26"/>
  <c r="K137" i="34"/>
  <c r="BS79" i="26"/>
  <c r="BP79" i="26"/>
  <c r="BM79" i="26"/>
  <c r="N137" i="34"/>
  <c r="BI80" i="26"/>
  <c r="BJ80" i="26" s="1"/>
  <c r="BT79" i="26"/>
  <c r="BQ79" i="26"/>
  <c r="BU79" i="26"/>
  <c r="BL80" i="26" l="1"/>
  <c r="BK80" i="26"/>
  <c r="BM80" i="26" s="1"/>
  <c r="BW80" i="26"/>
  <c r="BV80" i="26"/>
  <c r="L139" i="34"/>
  <c r="M139" i="34"/>
  <c r="J140" i="34" s="1"/>
  <c r="K139" i="34" l="1"/>
  <c r="BY80" i="26"/>
  <c r="BI81" i="26"/>
  <c r="BJ81" i="26" s="1"/>
  <c r="BR80" i="26"/>
  <c r="M140" i="34"/>
  <c r="J141" i="34" s="1"/>
  <c r="N140" i="34"/>
  <c r="L140" i="34"/>
  <c r="K140" i="34" s="1"/>
  <c r="BT80" i="26"/>
  <c r="BN80" i="26"/>
  <c r="BO80" i="26"/>
  <c r="BS80" i="26"/>
  <c r="BH80" i="26"/>
  <c r="BP80" i="26"/>
  <c r="BX80" i="26"/>
  <c r="N139" i="34"/>
  <c r="BQ80" i="26"/>
  <c r="BU80" i="26"/>
  <c r="L141" i="34" l="1"/>
  <c r="M141" i="34"/>
  <c r="J142" i="34" s="1"/>
  <c r="BK81" i="26"/>
  <c r="BM81" i="26" s="1"/>
  <c r="BW81" i="26"/>
  <c r="BV81" i="26"/>
  <c r="BL81" i="26"/>
  <c r="BO81" i="26" s="1"/>
  <c r="BU81" i="26" l="1"/>
  <c r="BN81" i="26"/>
  <c r="BS81" i="26"/>
  <c r="BQ81" i="26"/>
  <c r="BY81" i="26"/>
  <c r="M142" i="34"/>
  <c r="J143" i="34" s="1"/>
  <c r="N142" i="34"/>
  <c r="L142" i="34"/>
  <c r="K142" i="34" s="1"/>
  <c r="BI82" i="26"/>
  <c r="BJ82" i="26" s="1"/>
  <c r="BP81" i="26"/>
  <c r="K141" i="34"/>
  <c r="BR81" i="26"/>
  <c r="BH81" i="26"/>
  <c r="BT81" i="26"/>
  <c r="BX81" i="26"/>
  <c r="N141" i="34"/>
  <c r="BW82" i="26" l="1"/>
  <c r="BV82" i="26"/>
  <c r="BL82" i="26"/>
  <c r="BK82" i="26"/>
  <c r="BM82" i="26" s="1"/>
  <c r="L143" i="34"/>
  <c r="M143" i="34"/>
  <c r="J144" i="34" s="1"/>
  <c r="BI83" i="26" l="1"/>
  <c r="BJ83" i="26" s="1"/>
  <c r="BS82" i="26"/>
  <c r="BP82" i="26"/>
  <c r="BX82" i="26"/>
  <c r="M144" i="34"/>
  <c r="J145" i="34" s="1"/>
  <c r="N144" i="34"/>
  <c r="L144" i="34"/>
  <c r="K144" i="34" s="1"/>
  <c r="BU82" i="26"/>
  <c r="BQ82" i="26"/>
  <c r="BR82" i="26"/>
  <c r="BO82" i="26"/>
  <c r="BH82" i="26"/>
  <c r="BT82" i="26"/>
  <c r="N143" i="34"/>
  <c r="K143" i="34"/>
  <c r="BN82" i="26"/>
  <c r="BY82" i="26"/>
  <c r="M145" i="34" l="1"/>
  <c r="J146" i="34" s="1"/>
  <c r="N145" i="34"/>
  <c r="L145" i="34"/>
  <c r="K145" i="34" s="1"/>
  <c r="BW83" i="26"/>
  <c r="BV83" i="26"/>
  <c r="BL83" i="26"/>
  <c r="BO83" i="26" s="1"/>
  <c r="BK83" i="26"/>
  <c r="BM83" i="26" s="1"/>
  <c r="BU83" i="26" l="1"/>
  <c r="BY83" i="26"/>
  <c r="BN83" i="26"/>
  <c r="BI84" i="26"/>
  <c r="BJ84" i="26" s="1"/>
  <c r="BQ83" i="26"/>
  <c r="BR83" i="26"/>
  <c r="BP83" i="26"/>
  <c r="BT83" i="26"/>
  <c r="BS83" i="26"/>
  <c r="BH83" i="26"/>
  <c r="BX83" i="26"/>
  <c r="M146" i="34"/>
  <c r="J147" i="34" s="1"/>
  <c r="L146" i="34"/>
  <c r="K146" i="34" s="1"/>
  <c r="N146" i="34"/>
  <c r="M147" i="34" l="1"/>
  <c r="J148" i="34" s="1"/>
  <c r="L147" i="34"/>
  <c r="K147" i="34" s="1"/>
  <c r="BL84" i="26"/>
  <c r="BK84" i="26"/>
  <c r="BW84" i="26"/>
  <c r="BV84" i="26"/>
  <c r="BI85" i="26" l="1"/>
  <c r="BJ85" i="26" s="1"/>
  <c r="BK85" i="26" s="1"/>
  <c r="BS84" i="26"/>
  <c r="BM84" i="26"/>
  <c r="BH84" i="26"/>
  <c r="BT84" i="26"/>
  <c r="BX84" i="26"/>
  <c r="BQ84" i="26"/>
  <c r="BU84" i="26"/>
  <c r="BP84" i="26"/>
  <c r="BN84" i="26"/>
  <c r="BY84" i="26"/>
  <c r="BR84" i="26"/>
  <c r="M148" i="34"/>
  <c r="J149" i="34" s="1"/>
  <c r="L148" i="34"/>
  <c r="BO84" i="26"/>
  <c r="N147" i="34"/>
  <c r="BL85" i="26" l="1"/>
  <c r="BI86" i="26" s="1"/>
  <c r="BJ86" i="26" s="1"/>
  <c r="BK86" i="26" s="1"/>
  <c r="BV85" i="26"/>
  <c r="BW85" i="26"/>
  <c r="K148" i="34"/>
  <c r="N148" i="34"/>
  <c r="BH85" i="26"/>
  <c r="BT85" i="26"/>
  <c r="BP85" i="26"/>
  <c r="BM85" i="26"/>
  <c r="BX85" i="26"/>
  <c r="BU85" i="26"/>
  <c r="BQ85" i="26"/>
  <c r="L149" i="34"/>
  <c r="M149" i="34"/>
  <c r="J150" i="34" s="1"/>
  <c r="BN85" i="26"/>
  <c r="BY85" i="26"/>
  <c r="BR85" i="26"/>
  <c r="BO85" i="26"/>
  <c r="BS85" i="26"/>
  <c r="N149" i="34" l="1"/>
  <c r="BM86" i="26"/>
  <c r="BL86" i="26"/>
  <c r="BV86" i="26"/>
  <c r="BW86" i="26"/>
  <c r="BO86" i="26"/>
  <c r="BI87" i="26"/>
  <c r="BJ87" i="26" s="1"/>
  <c r="BH86" i="26"/>
  <c r="BT86" i="26"/>
  <c r="BP86" i="26"/>
  <c r="BX86" i="26"/>
  <c r="BU86" i="26"/>
  <c r="BQ86" i="26"/>
  <c r="M150" i="34"/>
  <c r="J151" i="34" s="1"/>
  <c r="L150" i="34"/>
  <c r="K149" i="34"/>
  <c r="BN86" i="26"/>
  <c r="BY86" i="26"/>
  <c r="BS86" i="26" l="1"/>
  <c r="BR86" i="26"/>
  <c r="L151" i="34"/>
  <c r="M151" i="34"/>
  <c r="J152" i="34" s="1"/>
  <c r="N151" i="34"/>
  <c r="K150" i="34"/>
  <c r="N150" i="34"/>
  <c r="BW87" i="26"/>
  <c r="BV87" i="26"/>
  <c r="BL87" i="26"/>
  <c r="BK87" i="26"/>
  <c r="BM87" i="26" s="1"/>
  <c r="BR87" i="26" l="1"/>
  <c r="BI88" i="26"/>
  <c r="BJ88" i="26" s="1"/>
  <c r="BT87" i="26"/>
  <c r="BH87" i="26"/>
  <c r="BO87" i="26"/>
  <c r="BU87" i="26"/>
  <c r="M152" i="34"/>
  <c r="J153" i="34" s="1"/>
  <c r="L152" i="34"/>
  <c r="K152" i="34" s="1"/>
  <c r="BS87" i="26"/>
  <c r="BP87" i="26"/>
  <c r="BX87" i="26"/>
  <c r="BQ87" i="26"/>
  <c r="BY87" i="26"/>
  <c r="BN87" i="26"/>
  <c r="K151" i="34"/>
  <c r="N152" i="34" l="1"/>
  <c r="L153" i="34"/>
  <c r="M153" i="34"/>
  <c r="J154" i="34" s="1"/>
  <c r="BL88" i="26"/>
  <c r="BK88" i="26"/>
  <c r="BM88" i="26" s="1"/>
  <c r="BW88" i="26"/>
  <c r="BV88" i="26"/>
  <c r="BI89" i="26" l="1"/>
  <c r="BJ89" i="26" s="1"/>
  <c r="BK89" i="26" s="1"/>
  <c r="BP88" i="26"/>
  <c r="BT88" i="26"/>
  <c r="BX88" i="26"/>
  <c r="BQ88" i="26"/>
  <c r="BU88" i="26"/>
  <c r="BH88" i="26"/>
  <c r="BN88" i="26"/>
  <c r="BY88" i="26"/>
  <c r="M154" i="34"/>
  <c r="J155" i="34" s="1"/>
  <c r="L154" i="34"/>
  <c r="BR88" i="26"/>
  <c r="N153" i="34"/>
  <c r="BO88" i="26"/>
  <c r="K153" i="34"/>
  <c r="BS88" i="26"/>
  <c r="BL89" i="26" l="1"/>
  <c r="BI90" i="26" s="1"/>
  <c r="BJ90" i="26" s="1"/>
  <c r="BV89" i="26"/>
  <c r="BW89" i="26"/>
  <c r="BH89" i="26"/>
  <c r="BT89" i="26"/>
  <c r="BP89" i="26"/>
  <c r="BM89" i="26"/>
  <c r="BX89" i="26"/>
  <c r="BU89" i="26"/>
  <c r="BQ89" i="26"/>
  <c r="BN89" i="26"/>
  <c r="BY89" i="26"/>
  <c r="L155" i="34"/>
  <c r="M155" i="34"/>
  <c r="J156" i="34" s="1"/>
  <c r="BR89" i="26"/>
  <c r="N154" i="34"/>
  <c r="K154" i="34"/>
  <c r="BO89" i="26"/>
  <c r="BS89" i="26"/>
  <c r="BW90" i="26" l="1"/>
  <c r="BK90" i="26"/>
  <c r="BM90" i="26" s="1"/>
  <c r="BL90" i="26"/>
  <c r="BR90" i="26" s="1"/>
  <c r="BV90" i="26"/>
  <c r="BO90" i="26"/>
  <c r="BI91" i="26"/>
  <c r="BJ91" i="26" s="1"/>
  <c r="BH90" i="26"/>
  <c r="BT90" i="26"/>
  <c r="BP90" i="26"/>
  <c r="L156" i="34"/>
  <c r="M156" i="34"/>
  <c r="J157" i="34" s="1"/>
  <c r="K155" i="34"/>
  <c r="N155" i="34"/>
  <c r="BU90" i="26"/>
  <c r="BQ90" i="26"/>
  <c r="BN90" i="26"/>
  <c r="BY90" i="26"/>
  <c r="N156" i="34" l="1"/>
  <c r="BX90" i="26"/>
  <c r="BS90" i="26"/>
  <c r="K156" i="34"/>
  <c r="L157" i="34"/>
  <c r="M157" i="34"/>
  <c r="J158" i="34" s="1"/>
  <c r="BW91" i="26"/>
  <c r="BV91" i="26"/>
  <c r="BL91" i="26"/>
  <c r="BK91" i="26"/>
  <c r="BR91" i="26" s="1"/>
  <c r="BS91" i="26" l="1"/>
  <c r="BN91" i="26"/>
  <c r="L158" i="34"/>
  <c r="M158" i="34"/>
  <c r="J159" i="34" s="1"/>
  <c r="N158" i="34"/>
  <c r="K157" i="34"/>
  <c r="BI92" i="26"/>
  <c r="BJ92" i="26" s="1"/>
  <c r="BM91" i="26"/>
  <c r="N157" i="34"/>
  <c r="BY91" i="26"/>
  <c r="BO91" i="26"/>
  <c r="BH91" i="26"/>
  <c r="BP91" i="26"/>
  <c r="BT91" i="26"/>
  <c r="BX91" i="26"/>
  <c r="BQ91" i="26"/>
  <c r="BU91" i="26"/>
  <c r="BL92" i="26" l="1"/>
  <c r="BK92" i="26"/>
  <c r="BS92" i="26" s="1"/>
  <c r="BW92" i="26"/>
  <c r="BV92" i="26"/>
  <c r="L159" i="34"/>
  <c r="M159" i="34"/>
  <c r="J160" i="34" s="1"/>
  <c r="K158" i="34"/>
  <c r="BN92" i="26" l="1"/>
  <c r="BY92" i="26"/>
  <c r="BI93" i="26"/>
  <c r="BJ93" i="26" s="1"/>
  <c r="BR92" i="26"/>
  <c r="BP92" i="26"/>
  <c r="BT92" i="26"/>
  <c r="BO92" i="26"/>
  <c r="M160" i="34"/>
  <c r="J161" i="34" s="1"/>
  <c r="L160" i="34"/>
  <c r="BX92" i="26"/>
  <c r="BM92" i="26"/>
  <c r="BH92" i="26"/>
  <c r="N159" i="34"/>
  <c r="K159" i="34"/>
  <c r="BQ92" i="26"/>
  <c r="BU92" i="26"/>
  <c r="K160" i="34" l="1"/>
  <c r="N160" i="34"/>
  <c r="L161" i="34"/>
  <c r="M161" i="34"/>
  <c r="J162" i="34" s="1"/>
  <c r="BK93" i="26"/>
  <c r="BM93" i="26" s="1"/>
  <c r="BW93" i="26"/>
  <c r="BV93" i="26"/>
  <c r="BL93" i="26"/>
  <c r="BR93" i="26" s="1"/>
  <c r="BU93" i="26" l="1"/>
  <c r="BN93" i="26"/>
  <c r="BS93" i="26"/>
  <c r="BQ93" i="26"/>
  <c r="BY93" i="26"/>
  <c r="M162" i="34"/>
  <c r="J163" i="34" s="1"/>
  <c r="N162" i="34"/>
  <c r="L162" i="34"/>
  <c r="K162" i="34" s="1"/>
  <c r="BI94" i="26"/>
  <c r="BJ94" i="26" s="1"/>
  <c r="BP93" i="26"/>
  <c r="K161" i="34"/>
  <c r="BO93" i="26"/>
  <c r="BH93" i="26"/>
  <c r="BT93" i="26"/>
  <c r="BX93" i="26"/>
  <c r="N161" i="34"/>
  <c r="BW94" i="26" l="1"/>
  <c r="BV94" i="26"/>
  <c r="BL94" i="26"/>
  <c r="BK94" i="26"/>
  <c r="BM94" i="26" s="1"/>
  <c r="L163" i="34"/>
  <c r="M163" i="34"/>
  <c r="J164" i="34" s="1"/>
  <c r="BX94" i="26" l="1"/>
  <c r="BR94" i="26"/>
  <c r="BO94" i="26"/>
  <c r="BP94" i="26"/>
  <c r="L164" i="34"/>
  <c r="M164" i="34"/>
  <c r="J165" i="34" s="1"/>
  <c r="BI95" i="26"/>
  <c r="BJ95" i="26" s="1"/>
  <c r="BU94" i="26"/>
  <c r="BQ94" i="26"/>
  <c r="BS94" i="26"/>
  <c r="BH94" i="26"/>
  <c r="BT94" i="26"/>
  <c r="K163" i="34"/>
  <c r="N163" i="34"/>
  <c r="BN94" i="26"/>
  <c r="BY94" i="26"/>
  <c r="BW95" i="26" l="1"/>
  <c r="BV95" i="26"/>
  <c r="BL95" i="26"/>
  <c r="BK95" i="26"/>
  <c r="BM95" i="26" s="1"/>
  <c r="BR95" i="26"/>
  <c r="L165" i="34"/>
  <c r="M165" i="34"/>
  <c r="J166" i="34" s="1"/>
  <c r="K164" i="34"/>
  <c r="N164" i="34"/>
  <c r="BI96" i="26" l="1"/>
  <c r="BJ96" i="26" s="1"/>
  <c r="BL96" i="26" s="1"/>
  <c r="BP95" i="26"/>
  <c r="N165" i="34"/>
  <c r="BQ95" i="26"/>
  <c r="BU95" i="26"/>
  <c r="M166" i="34"/>
  <c r="J167" i="34" s="1"/>
  <c r="L166" i="34"/>
  <c r="BS95" i="26"/>
  <c r="BH95" i="26"/>
  <c r="BT95" i="26"/>
  <c r="BX95" i="26"/>
  <c r="BY95" i="26"/>
  <c r="BN95" i="26"/>
  <c r="K165" i="34"/>
  <c r="BO95" i="26"/>
  <c r="BV96" i="26" l="1"/>
  <c r="BN96" i="26"/>
  <c r="BO96" i="26"/>
  <c r="BW96" i="26"/>
  <c r="BH96" i="26"/>
  <c r="BK96" i="26"/>
  <c r="BM96" i="26" s="1"/>
  <c r="K166" i="34"/>
  <c r="BR96" i="26"/>
  <c r="N166" i="34"/>
  <c r="BP96" i="26"/>
  <c r="L167" i="34"/>
  <c r="K167" i="34" s="1"/>
  <c r="N167" i="34"/>
  <c r="M167" i="34"/>
  <c r="J168" i="34" s="1"/>
  <c r="BQ96" i="26"/>
  <c r="BU96" i="26" l="1"/>
  <c r="BY96" i="26"/>
  <c r="BI97" i="26"/>
  <c r="BJ97" i="26" s="1"/>
  <c r="BK97" i="26" s="1"/>
  <c r="BT96" i="26"/>
  <c r="BX96" i="26"/>
  <c r="BS96" i="26"/>
  <c r="M168" i="34"/>
  <c r="N168" i="34" s="1"/>
  <c r="L168" i="34"/>
  <c r="BW97" i="26" l="1"/>
  <c r="BL97" i="26"/>
  <c r="BI98" i="26" s="1"/>
  <c r="BJ98" i="26" s="1"/>
  <c r="BV97" i="26"/>
  <c r="BH97" i="26"/>
  <c r="BX97" i="26"/>
  <c r="K168" i="34"/>
  <c r="BM97" i="26"/>
  <c r="BQ97" i="26"/>
  <c r="BT97" i="26"/>
  <c r="BP97" i="26"/>
  <c r="BU97" i="26"/>
  <c r="BN97" i="26"/>
  <c r="BY97" i="26"/>
  <c r="BR97" i="26"/>
  <c r="BO97" i="26"/>
  <c r="BS97" i="26"/>
  <c r="BW98" i="26" l="1"/>
  <c r="BK98" i="26"/>
  <c r="BM98" i="26" s="1"/>
  <c r="BL98" i="26"/>
  <c r="BR98" i="26" s="1"/>
  <c r="BV98" i="26"/>
  <c r="BO98" i="26"/>
  <c r="BI99" i="26"/>
  <c r="BJ99" i="26" s="1"/>
  <c r="BH98" i="26"/>
  <c r="BT98" i="26"/>
  <c r="BP98" i="26"/>
  <c r="BQ98" i="26"/>
  <c r="BN98" i="26"/>
  <c r="BY98" i="26"/>
  <c r="BU98" i="26" l="1"/>
  <c r="BX98" i="26"/>
  <c r="BS98" i="26"/>
  <c r="BW99" i="26"/>
  <c r="BV99" i="26"/>
  <c r="BL99" i="26"/>
  <c r="BK99" i="26"/>
  <c r="BM99" i="26" s="1"/>
  <c r="BI100" i="26" l="1"/>
  <c r="BJ100" i="26" s="1"/>
  <c r="BL100" i="26" s="1"/>
  <c r="BR99" i="26"/>
  <c r="BH99" i="26"/>
  <c r="BU99" i="26"/>
  <c r="BS99" i="26"/>
  <c r="BP99" i="26"/>
  <c r="BT99" i="26"/>
  <c r="BX99" i="26"/>
  <c r="BQ99" i="26"/>
  <c r="BY99" i="26"/>
  <c r="BN99" i="26"/>
  <c r="BO99" i="26"/>
  <c r="BV100" i="26" l="1"/>
  <c r="BO100" i="26"/>
  <c r="BW100" i="26"/>
  <c r="BH100" i="26"/>
  <c r="BR100" i="26"/>
  <c r="BK100" i="26"/>
  <c r="BM100" i="26" s="1"/>
  <c r="BN100" i="26"/>
  <c r="BP100" i="26"/>
  <c r="BQ100" i="26"/>
  <c r="BT100" i="26" l="1"/>
  <c r="BY100" i="26"/>
  <c r="BU100" i="26"/>
  <c r="BX100" i="26"/>
  <c r="BI101" i="26"/>
  <c r="BJ101" i="26" s="1"/>
  <c r="BK101" i="26" s="1"/>
  <c r="BS100" i="26"/>
  <c r="BM101" i="26" l="1"/>
  <c r="BV101" i="26"/>
  <c r="BW101" i="26"/>
  <c r="BL101" i="26"/>
  <c r="BI102" i="26" s="1"/>
  <c r="BJ102" i="26" s="1"/>
  <c r="BT101" i="26"/>
  <c r="BO101" i="26"/>
  <c r="BQ101" i="26"/>
  <c r="BH101" i="26"/>
  <c r="BP101" i="26"/>
  <c r="BX101" i="26"/>
  <c r="BU101" i="26"/>
  <c r="BN101" i="26"/>
  <c r="BY101" i="26"/>
  <c r="BR101" i="26"/>
  <c r="BS101" i="26"/>
  <c r="BW102" i="26" l="1"/>
  <c r="BV102" i="26"/>
  <c r="BL102" i="26"/>
  <c r="BH102" i="26" s="1"/>
  <c r="BK102" i="26"/>
  <c r="BM102" i="26" s="1"/>
  <c r="BR102" i="26" l="1"/>
  <c r="BO102" i="26"/>
  <c r="BI103" i="26"/>
  <c r="BJ103" i="26" s="1"/>
  <c r="BT102" i="26"/>
  <c r="BX102" i="26"/>
  <c r="BS102" i="26"/>
  <c r="BP102" i="26"/>
  <c r="BQ102" i="26"/>
  <c r="BU102" i="26"/>
  <c r="BN102" i="26"/>
  <c r="BY102" i="26"/>
  <c r="BW103" i="26" l="1"/>
  <c r="BV103" i="26"/>
  <c r="BL103" i="26"/>
  <c r="BK103" i="26"/>
  <c r="BM103" i="26" s="1"/>
  <c r="BI104" i="26" l="1"/>
  <c r="BJ104" i="26" s="1"/>
  <c r="BK104" i="26" s="1"/>
  <c r="BR103" i="26"/>
  <c r="BS103" i="26"/>
  <c r="BH103" i="26"/>
  <c r="BP103" i="26"/>
  <c r="BT103" i="26"/>
  <c r="BX103" i="26"/>
  <c r="BU103" i="26"/>
  <c r="BL104" i="26"/>
  <c r="BV104" i="26"/>
  <c r="BQ103" i="26"/>
  <c r="BY103" i="26"/>
  <c r="BN103" i="26"/>
  <c r="BO103" i="26"/>
  <c r="BS104" i="26" l="1"/>
  <c r="BT104" i="26"/>
  <c r="BM104" i="26"/>
  <c r="BR104" i="26"/>
  <c r="BO104" i="26"/>
  <c r="BW104" i="26"/>
  <c r="BH104" i="26"/>
  <c r="BX104" i="26"/>
  <c r="BQ104" i="26"/>
  <c r="BU104" i="26"/>
  <c r="BN104" i="26"/>
  <c r="BY104" i="26"/>
  <c r="BI105" i="26"/>
  <c r="BJ105" i="26" s="1"/>
  <c r="BP104" i="26"/>
  <c r="BK105" i="26" l="1"/>
  <c r="BM105" i="26" s="1"/>
  <c r="BW105" i="26"/>
  <c r="BV105" i="26"/>
  <c r="BL105" i="26"/>
  <c r="BI106" i="26" s="1"/>
  <c r="BJ106" i="26" s="1"/>
  <c r="BO105" i="26" l="1"/>
  <c r="BP105" i="26"/>
  <c r="BH105" i="26"/>
  <c r="BT105" i="26"/>
  <c r="BQ105" i="26"/>
  <c r="BV106" i="26"/>
  <c r="BL106" i="26"/>
  <c r="BK106" i="26"/>
  <c r="BM106" i="26" s="1"/>
  <c r="BR106" i="26"/>
  <c r="BX105" i="26"/>
  <c r="BU105" i="26"/>
  <c r="BN105" i="26"/>
  <c r="BY105" i="26"/>
  <c r="BR105" i="26"/>
  <c r="BS105" i="26"/>
  <c r="BI107" i="26" l="1"/>
  <c r="BJ107" i="26" s="1"/>
  <c r="BV107" i="26" s="1"/>
  <c r="BX106" i="26"/>
  <c r="BH106" i="26"/>
  <c r="BU106" i="26"/>
  <c r="BQ106" i="26"/>
  <c r="BT106" i="26"/>
  <c r="BP106" i="26"/>
  <c r="BN106" i="26"/>
  <c r="BY106" i="26"/>
  <c r="BO106" i="26"/>
  <c r="BS106" i="26"/>
  <c r="BW106" i="26"/>
  <c r="BK107" i="26" l="1"/>
  <c r="BT107" i="26" s="1"/>
  <c r="BL107" i="26"/>
  <c r="BP107" i="26"/>
  <c r="BX107" i="26"/>
  <c r="BM107" i="26"/>
  <c r="BQ107" i="26"/>
  <c r="BN107" i="26"/>
  <c r="BR107" i="26"/>
  <c r="BO107" i="26"/>
  <c r="BS107" i="26"/>
  <c r="BW107" i="26"/>
  <c r="BI108" i="26" l="1"/>
  <c r="BJ108" i="26" s="1"/>
  <c r="BY107" i="26"/>
  <c r="BU107" i="26"/>
  <c r="BH107" i="26"/>
  <c r="BM108" i="26" l="1"/>
  <c r="BP108" i="26"/>
  <c r="BQ108" i="26"/>
  <c r="BN108" i="26"/>
  <c r="BO108" i="26"/>
  <c r="BK108" i="26"/>
  <c r="BR108" i="26" s="1"/>
  <c r="BV108" i="26"/>
  <c r="BL108" i="26"/>
  <c r="BY108" i="26" s="1"/>
  <c r="BT108" i="26" l="1"/>
  <c r="BW108" i="26"/>
  <c r="BH108" i="26"/>
  <c r="BI109" i="26"/>
  <c r="BJ109" i="26" s="1"/>
  <c r="BU108" i="26"/>
  <c r="BS108" i="26"/>
  <c r="BX108" i="26"/>
  <c r="BP109" i="26" l="1"/>
  <c r="BL109" i="26"/>
  <c r="BV109" i="26"/>
  <c r="BK109" i="26"/>
  <c r="BM109" i="26" s="1"/>
  <c r="BW109" i="26"/>
  <c r="BQ109" i="26"/>
  <c r="BO109" i="26"/>
  <c r="BR109" i="26"/>
  <c r="BN109" i="26"/>
  <c r="BU109" i="26"/>
  <c r="BY109" i="26" l="1"/>
  <c r="BI110" i="26"/>
  <c r="BJ110" i="26" s="1"/>
  <c r="BX109" i="26"/>
  <c r="BS109" i="26"/>
  <c r="BT109" i="26"/>
  <c r="BH109" i="26"/>
  <c r="BV110" i="26" l="1"/>
  <c r="BL110" i="26"/>
  <c r="BK110" i="26"/>
  <c r="BM110" i="26" s="1"/>
  <c r="BR110" i="26"/>
  <c r="BW110" i="26"/>
  <c r="BX110" i="26"/>
  <c r="BU110" i="26"/>
  <c r="BQ110" i="26"/>
  <c r="BN110" i="26"/>
  <c r="BH110" i="26"/>
  <c r="BO110" i="26"/>
  <c r="BT110" i="26"/>
  <c r="BP110" i="26"/>
  <c r="BY110" i="26" l="1"/>
  <c r="BS110" i="26"/>
  <c r="BI111" i="26"/>
  <c r="BJ111" i="26" s="1"/>
  <c r="BL111" i="26" l="1"/>
  <c r="BS111" i="26" s="1"/>
  <c r="BK111" i="26"/>
  <c r="BR111" i="26"/>
  <c r="BH111" i="26"/>
  <c r="BW111" i="26"/>
  <c r="BV111" i="26"/>
  <c r="BT111" i="26"/>
  <c r="BO111" i="26"/>
  <c r="BP111" i="26"/>
  <c r="BM111" i="26"/>
  <c r="BQ111" i="26"/>
  <c r="BU111" i="26"/>
  <c r="BY111" i="26"/>
  <c r="BN111" i="26"/>
  <c r="BX111" i="26" l="1"/>
  <c r="BI112" i="26"/>
  <c r="BJ112" i="26" s="1"/>
  <c r="BV112" i="26" l="1"/>
  <c r="BL112" i="26"/>
  <c r="BH112" i="26" s="1"/>
  <c r="BO112" i="26"/>
  <c r="BK112" i="26"/>
  <c r="BM112" i="26" s="1"/>
  <c r="BR112" i="26"/>
  <c r="BN112" i="26"/>
  <c r="BQ112" i="26"/>
  <c r="BP112" i="26"/>
  <c r="BU112" i="26" l="1"/>
  <c r="BT112" i="26"/>
  <c r="BY112" i="26"/>
  <c r="BS112" i="26"/>
  <c r="BI113" i="26"/>
  <c r="BJ113" i="26" s="1"/>
  <c r="BX112" i="26"/>
  <c r="BW112" i="26"/>
  <c r="BW113" i="26" l="1"/>
  <c r="BV113" i="26"/>
  <c r="BL113" i="26"/>
  <c r="BK113" i="26"/>
  <c r="BM113" i="26" s="1"/>
  <c r="BH113" i="26"/>
  <c r="BP113" i="26"/>
  <c r="BR113" i="26"/>
  <c r="BQ113" i="26"/>
  <c r="BN113" i="26"/>
  <c r="BO113" i="26"/>
  <c r="BS113" i="26" l="1"/>
  <c r="BT113" i="26"/>
  <c r="BY113" i="26"/>
  <c r="BU113" i="26"/>
  <c r="BX113" i="26"/>
  <c r="BI114" i="26"/>
  <c r="BJ114" i="26" s="1"/>
  <c r="BW114" i="26" l="1"/>
  <c r="BV114" i="26"/>
  <c r="BL114" i="26"/>
  <c r="BS114" i="26" s="1"/>
  <c r="BR114" i="26"/>
  <c r="BK114" i="26"/>
  <c r="BM114" i="26" s="1"/>
  <c r="BN114" i="26"/>
  <c r="BH114" i="26"/>
  <c r="BP114" i="26"/>
  <c r="BO114" i="26"/>
  <c r="BQ114" i="26"/>
  <c r="BY114" i="26" l="1"/>
  <c r="BT114" i="26"/>
  <c r="BU114" i="26"/>
  <c r="BX114" i="26"/>
  <c r="BI115" i="26"/>
  <c r="BJ115" i="26" s="1"/>
  <c r="BW115" i="26" l="1"/>
  <c r="BK115" i="26"/>
  <c r="BM115" i="26" s="1"/>
  <c r="BV115" i="26"/>
  <c r="BR115" i="26"/>
  <c r="BL115" i="26"/>
  <c r="BI116" i="26" s="1"/>
  <c r="BJ116" i="26" s="1"/>
  <c r="BQ115" i="26"/>
  <c r="BP115" i="26"/>
  <c r="BO115" i="26"/>
  <c r="BY115" i="26"/>
  <c r="BN115" i="26"/>
  <c r="BK116" i="26" l="1"/>
  <c r="BM116" i="26" s="1"/>
  <c r="BV116" i="26"/>
  <c r="BW116" i="26"/>
  <c r="BO116" i="26"/>
  <c r="BL116" i="26"/>
  <c r="BY116" i="26" s="1"/>
  <c r="BR116" i="26"/>
  <c r="BN116" i="26"/>
  <c r="BP116" i="26"/>
  <c r="BQ116" i="26"/>
  <c r="BU116" i="26"/>
  <c r="BT116" i="26"/>
  <c r="BX116" i="26"/>
  <c r="BX115" i="26"/>
  <c r="BT115" i="26"/>
  <c r="BH115" i="26"/>
  <c r="BU115" i="26"/>
  <c r="BS115" i="26"/>
  <c r="BS116" i="26" l="1"/>
  <c r="BI117" i="26"/>
  <c r="BJ117" i="26" s="1"/>
  <c r="BH116" i="26"/>
  <c r="BL117" i="26" l="1"/>
  <c r="BK117" i="26"/>
  <c r="BY117" i="26" s="1"/>
  <c r="BW117" i="26"/>
  <c r="BV117" i="26"/>
  <c r="BM117" i="26"/>
  <c r="BN117" i="26"/>
  <c r="BR117" i="26"/>
  <c r="BH117" i="26"/>
  <c r="BP117" i="26"/>
  <c r="BO117" i="26"/>
  <c r="BQ117" i="26"/>
  <c r="BS117" i="26"/>
  <c r="BU117" i="26" l="1"/>
  <c r="BT117" i="26"/>
  <c r="BX117" i="26"/>
  <c r="BI118" i="26"/>
  <c r="BJ118" i="26" s="1"/>
  <c r="BW118" i="26" l="1"/>
  <c r="BV118" i="26"/>
  <c r="BL118" i="26"/>
  <c r="BS118" i="26" s="1"/>
  <c r="BK118" i="26"/>
  <c r="BM118" i="26" s="1"/>
  <c r="BR118" i="26"/>
  <c r="BP118" i="26"/>
  <c r="BX118" i="26"/>
  <c r="BY118" i="26"/>
  <c r="BN118" i="26"/>
  <c r="BQ118" i="26"/>
  <c r="BH118" i="26"/>
  <c r="BO118" i="26"/>
  <c r="BU118" i="26" l="1"/>
  <c r="BI119" i="26"/>
  <c r="BJ119" i="26" s="1"/>
  <c r="BT118" i="26"/>
  <c r="BV119" i="26" l="1"/>
  <c r="BL119" i="26"/>
  <c r="BH119" i="26" s="1"/>
  <c r="BW119" i="26"/>
  <c r="BR119" i="26"/>
  <c r="BK119" i="26"/>
  <c r="BM119" i="26" s="1"/>
  <c r="BP119" i="26"/>
  <c r="BQ119" i="26"/>
  <c r="BN119" i="26"/>
  <c r="BO119" i="26"/>
  <c r="BU119" i="26" l="1"/>
  <c r="BS119" i="26"/>
  <c r="BX119" i="26"/>
  <c r="BY119" i="26"/>
  <c r="BI120" i="26"/>
  <c r="BJ120" i="26" s="1"/>
  <c r="BT119" i="26"/>
  <c r="BL120" i="26" l="1"/>
  <c r="BK120" i="26"/>
  <c r="BM120" i="26" s="1"/>
  <c r="BV120" i="26"/>
  <c r="BN120" i="26"/>
  <c r="BH120" i="26"/>
  <c r="BW120" i="26"/>
  <c r="BO120" i="26"/>
  <c r="BP120" i="26"/>
  <c r="BQ120" i="26"/>
  <c r="BR120" i="26"/>
  <c r="BU120" i="26" l="1"/>
  <c r="BY120" i="26"/>
  <c r="BX120" i="26"/>
  <c r="BT120" i="26"/>
  <c r="BS120" i="26"/>
  <c r="BI121" i="26"/>
  <c r="BJ121" i="26" s="1"/>
  <c r="BK121" i="26" l="1"/>
  <c r="BM121" i="26" s="1"/>
  <c r="BW121" i="26"/>
  <c r="BV121" i="26"/>
  <c r="BL121" i="26"/>
  <c r="BX121" i="26" s="1"/>
  <c r="BR121" i="26"/>
  <c r="BP121" i="26"/>
  <c r="BN121" i="26"/>
  <c r="BH121" i="26"/>
  <c r="BO121" i="26"/>
  <c r="BS121" i="26"/>
  <c r="BQ121" i="26"/>
  <c r="BY121" i="26"/>
  <c r="BU121" i="26" l="1"/>
  <c r="BT121" i="26"/>
  <c r="BI122" i="26"/>
  <c r="BJ122" i="26" s="1"/>
  <c r="BV122" i="26" l="1"/>
  <c r="BR122" i="26"/>
  <c r="BW122" i="26"/>
  <c r="BL122" i="26"/>
  <c r="BK122" i="26"/>
  <c r="BM122" i="26" s="1"/>
  <c r="BO122" i="26"/>
  <c r="BN122" i="26"/>
  <c r="BQ122" i="26"/>
  <c r="BY122" i="26"/>
  <c r="BH122" i="26"/>
  <c r="BP122" i="26"/>
  <c r="BT122" i="26"/>
  <c r="BU122" i="26" l="1"/>
  <c r="BX122" i="26"/>
  <c r="BS122" i="26"/>
  <c r="BI123" i="26"/>
  <c r="BJ123" i="26" s="1"/>
  <c r="BW123" i="26" l="1"/>
  <c r="BV123" i="26"/>
  <c r="BL123" i="26"/>
  <c r="BK123" i="26"/>
  <c r="BM123" i="26" s="1"/>
  <c r="BR123" i="26"/>
  <c r="BN123" i="26"/>
  <c r="BP123" i="26"/>
  <c r="BO123" i="26"/>
  <c r="BQ123" i="26"/>
  <c r="BH123" i="26"/>
  <c r="BX123" i="26" l="1"/>
  <c r="BT123" i="26"/>
  <c r="BY123" i="26"/>
  <c r="BS123" i="26"/>
  <c r="BI124" i="26"/>
  <c r="BJ124" i="26" s="1"/>
  <c r="BU123" i="26"/>
  <c r="BN124" i="26" l="1"/>
  <c r="BR124" i="26"/>
  <c r="BW124" i="26"/>
  <c r="BV124" i="26"/>
  <c r="BL124" i="26"/>
  <c r="BK124" i="26"/>
  <c r="BO124" i="26" s="1"/>
  <c r="BH124" i="26"/>
  <c r="BM124" i="26"/>
  <c r="BP124" i="26"/>
  <c r="BQ124" i="26"/>
  <c r="BX124" i="26" l="1"/>
  <c r="BT124" i="26"/>
  <c r="BY124" i="26"/>
  <c r="BU124" i="26"/>
  <c r="BS124" i="26"/>
  <c r="BI125" i="26"/>
  <c r="BJ125" i="26" s="1"/>
  <c r="BW125" i="26" l="1"/>
  <c r="BV125" i="26"/>
  <c r="BK125" i="26"/>
  <c r="BM125" i="26" s="1"/>
  <c r="BL125" i="26"/>
  <c r="BH125" i="26" s="1"/>
  <c r="BP125" i="26"/>
  <c r="BU125" i="26"/>
  <c r="BN125" i="26"/>
  <c r="BY125" i="26"/>
  <c r="BR125" i="26"/>
  <c r="BO125" i="26"/>
  <c r="BQ125" i="26"/>
  <c r="BX125" i="26" l="1"/>
  <c r="BT125" i="26"/>
  <c r="BS125" i="26"/>
  <c r="BI126" i="26"/>
  <c r="BJ126" i="26" s="1"/>
  <c r="BK126" i="26" l="1"/>
  <c r="BO126" i="26" s="1"/>
  <c r="BW126" i="26"/>
  <c r="BR126" i="26"/>
  <c r="BV126" i="26"/>
  <c r="BL126" i="26"/>
  <c r="BM126" i="26"/>
  <c r="BX126" i="26"/>
  <c r="BN126" i="26"/>
  <c r="BY126" i="26"/>
  <c r="BT126" i="26"/>
  <c r="BP126" i="26"/>
  <c r="BH126" i="26"/>
  <c r="BU126" i="26"/>
  <c r="BQ126" i="26"/>
  <c r="BS126" i="26" l="1"/>
  <c r="BI127" i="26"/>
  <c r="BJ127" i="26" s="1"/>
  <c r="BW127" i="26" l="1"/>
  <c r="BL127" i="26"/>
  <c r="BV127" i="26"/>
  <c r="BK127" i="26"/>
  <c r="BM127" i="26" s="1"/>
  <c r="BQ127" i="26"/>
  <c r="BH127" i="26"/>
  <c r="BR127" i="26"/>
  <c r="BN127" i="26"/>
  <c r="BT127" i="26"/>
  <c r="BO127" i="26"/>
  <c r="BP127" i="26"/>
  <c r="BU127" i="26" l="1"/>
  <c r="BX127" i="26"/>
  <c r="BS127" i="26"/>
  <c r="BI128" i="26"/>
  <c r="BJ128" i="26" s="1"/>
  <c r="BY127" i="26"/>
  <c r="BO128" i="26" l="1"/>
  <c r="BV128" i="26"/>
  <c r="BN128" i="26"/>
  <c r="BL128" i="26"/>
  <c r="BK128" i="26"/>
  <c r="BM128" i="26" s="1"/>
  <c r="BH128" i="26"/>
  <c r="BQ128" i="26"/>
  <c r="BP128" i="26"/>
  <c r="BR128" i="26"/>
  <c r="BW128" i="26" l="1"/>
  <c r="BU128" i="26"/>
  <c r="BS128" i="26"/>
  <c r="BI129" i="26"/>
  <c r="BJ129" i="26" s="1"/>
  <c r="BX128" i="26"/>
  <c r="BT128" i="26"/>
  <c r="BY128" i="26"/>
  <c r="BW129" i="26" l="1"/>
  <c r="BL129" i="26"/>
  <c r="BV129" i="26"/>
  <c r="BK129" i="26"/>
  <c r="BM129" i="26" s="1"/>
  <c r="BH129" i="26"/>
  <c r="BQ129" i="26"/>
  <c r="BN129" i="26"/>
  <c r="BP129" i="26"/>
  <c r="BR129" i="26"/>
  <c r="BO129" i="26"/>
  <c r="BU129" i="26" l="1"/>
  <c r="BT129" i="26"/>
  <c r="BX129" i="26"/>
  <c r="BS129" i="26"/>
  <c r="BY129" i="26"/>
  <c r="BI130" i="26"/>
  <c r="BJ130" i="26" s="1"/>
  <c r="BW130" i="26" l="1"/>
  <c r="BL130" i="26"/>
  <c r="BV130" i="26"/>
  <c r="BR130" i="26"/>
  <c r="BK130" i="26"/>
  <c r="BM130" i="26" s="1"/>
  <c r="BP130" i="26"/>
  <c r="BQ130" i="26"/>
  <c r="BO130" i="26"/>
  <c r="BN130" i="26"/>
  <c r="BH130" i="26"/>
  <c r="BT130" i="26" l="1"/>
  <c r="BY130" i="26"/>
  <c r="BS130" i="26"/>
  <c r="BU130" i="26"/>
  <c r="BX130" i="26"/>
  <c r="BI131" i="26"/>
  <c r="BJ131" i="26" s="1"/>
  <c r="BW131" i="26" l="1"/>
  <c r="BL131" i="26"/>
  <c r="BV131" i="26"/>
  <c r="BK131" i="26"/>
  <c r="BM131" i="26" s="1"/>
  <c r="BQ131" i="26"/>
  <c r="BP131" i="26"/>
  <c r="BN131" i="26"/>
  <c r="BR131" i="26"/>
  <c r="BY131" i="26"/>
  <c r="BO131" i="26"/>
  <c r="BT131" i="26"/>
  <c r="BX131" i="26"/>
  <c r="BU131" i="26"/>
  <c r="BH131" i="26"/>
  <c r="BS131" i="26" l="1"/>
  <c r="BI132" i="26"/>
  <c r="BJ132" i="26" s="1"/>
  <c r="BV132" i="26" l="1"/>
  <c r="BL132" i="26"/>
  <c r="BK132" i="26"/>
  <c r="BM132" i="26" s="1"/>
  <c r="BH132" i="26"/>
  <c r="BW132" i="26"/>
  <c r="BO132" i="26"/>
  <c r="BN132" i="26"/>
  <c r="BR132" i="26"/>
  <c r="BP132" i="26"/>
  <c r="BX132" i="26"/>
  <c r="BQ132" i="26"/>
  <c r="BU132" i="26" l="1"/>
  <c r="BT132" i="26"/>
  <c r="BY132" i="26"/>
  <c r="BS132" i="26"/>
  <c r="BI133" i="26"/>
  <c r="BJ133" i="26" s="1"/>
  <c r="BW133" i="26" l="1"/>
  <c r="BV133" i="26"/>
  <c r="BK133" i="26"/>
  <c r="BM133" i="26" s="1"/>
  <c r="BL133" i="26"/>
  <c r="BP133" i="26"/>
  <c r="BN133" i="26"/>
  <c r="BY133" i="26"/>
  <c r="BH133" i="26"/>
  <c r="BQ133" i="26"/>
  <c r="BR133" i="26"/>
  <c r="BO133" i="26"/>
  <c r="BU133" i="26" l="1"/>
  <c r="BT133" i="26"/>
  <c r="BS133" i="26"/>
  <c r="BX133" i="26"/>
  <c r="BI134" i="26"/>
  <c r="BJ134" i="26" s="1"/>
  <c r="BW134" i="26" l="1"/>
  <c r="BV134" i="26"/>
  <c r="BR134" i="26"/>
  <c r="BL134" i="26"/>
  <c r="BH134" i="26" s="1"/>
  <c r="BK134" i="26"/>
  <c r="BM134" i="26" s="1"/>
  <c r="BQ134" i="26"/>
  <c r="BO134" i="26"/>
  <c r="BN134" i="26"/>
  <c r="BY134" i="26"/>
  <c r="BP134" i="26"/>
  <c r="BU134" i="26" l="1"/>
  <c r="BX134" i="26"/>
  <c r="BT134" i="26"/>
  <c r="BS134" i="26"/>
  <c r="BI135" i="26"/>
  <c r="BJ135" i="26" s="1"/>
  <c r="BW135" i="26" l="1"/>
  <c r="BV135" i="26"/>
  <c r="BK135" i="26"/>
  <c r="BM135" i="26" s="1"/>
  <c r="BL135" i="26"/>
  <c r="BP135" i="26"/>
  <c r="BR135" i="26"/>
  <c r="BQ135" i="26"/>
  <c r="BN135" i="26"/>
  <c r="BH135" i="26"/>
  <c r="BY135" i="26"/>
  <c r="BS135" i="26"/>
  <c r="BO135" i="26"/>
  <c r="BX135" i="26"/>
  <c r="BU135" i="26"/>
  <c r="BT135" i="26"/>
  <c r="BI136" i="26" l="1"/>
  <c r="BJ136" i="26" s="1"/>
  <c r="BK136" i="26" l="1"/>
  <c r="BM136" i="26" s="1"/>
  <c r="BO136" i="26"/>
  <c r="BV136" i="26"/>
  <c r="BL136" i="26"/>
  <c r="BW136" i="26"/>
  <c r="BN136" i="26"/>
  <c r="BU136" i="26"/>
  <c r="BR136" i="26"/>
  <c r="BQ136" i="26"/>
  <c r="BP136" i="26"/>
  <c r="BS136" i="26" l="1"/>
  <c r="BI137" i="26"/>
  <c r="BJ137" i="26" s="1"/>
  <c r="BT136" i="26"/>
  <c r="BY136" i="26"/>
  <c r="BX136" i="26"/>
  <c r="BH136" i="26"/>
  <c r="BV137" i="26" l="1"/>
  <c r="BL137" i="26"/>
  <c r="BK137" i="26"/>
  <c r="BM137" i="26" s="1"/>
  <c r="BW137" i="26"/>
  <c r="BH137" i="26"/>
  <c r="BQ137" i="26"/>
  <c r="BX137" i="26"/>
  <c r="BU137" i="26"/>
  <c r="BP137" i="26"/>
  <c r="BN137" i="26"/>
  <c r="BO137" i="26"/>
  <c r="BR137" i="26"/>
  <c r="BS137" i="26" l="1"/>
  <c r="BT137" i="26"/>
  <c r="BY137" i="26"/>
  <c r="BI138" i="26"/>
  <c r="BJ138" i="26" s="1"/>
  <c r="BW138" i="26" l="1"/>
  <c r="BR138" i="26"/>
  <c r="BV138" i="26"/>
  <c r="BL138" i="26"/>
  <c r="BK138" i="26"/>
  <c r="BM138" i="26" s="1"/>
  <c r="BH138" i="26"/>
  <c r="BP138" i="26"/>
  <c r="BQ138" i="26"/>
  <c r="BN138" i="26"/>
  <c r="BO138" i="26"/>
  <c r="BY138" i="26"/>
  <c r="BT138" i="26" l="1"/>
  <c r="BS138" i="26"/>
  <c r="BI139" i="26"/>
  <c r="BJ139" i="26" s="1"/>
  <c r="BU138" i="26"/>
  <c r="BX138" i="26"/>
  <c r="BW139" i="26" l="1"/>
  <c r="BL139" i="26"/>
  <c r="BH139" i="26" s="1"/>
  <c r="BK139" i="26"/>
  <c r="BM139" i="26" s="1"/>
  <c r="BV139" i="26"/>
  <c r="BO139" i="26"/>
  <c r="BP139" i="26"/>
  <c r="BU139" i="26"/>
  <c r="BN139" i="26"/>
  <c r="BQ139" i="26"/>
  <c r="BR139" i="26"/>
  <c r="BY139" i="26"/>
  <c r="BT139" i="26" l="1"/>
  <c r="BS139" i="26"/>
  <c r="BX139" i="26"/>
  <c r="BI140" i="26"/>
  <c r="BJ140" i="26" s="1"/>
  <c r="BL140" i="26" l="1"/>
  <c r="BW140" i="26"/>
  <c r="BK140" i="26"/>
  <c r="BM140" i="26" s="1"/>
  <c r="BV140" i="26"/>
  <c r="BH140" i="26"/>
  <c r="BP140" i="26"/>
  <c r="BN140" i="26"/>
  <c r="BX140" i="26"/>
  <c r="BR140" i="26"/>
  <c r="BQ140" i="26"/>
  <c r="BO140" i="26"/>
  <c r="BY140" i="26" l="1"/>
  <c r="BS140" i="26"/>
  <c r="BU140" i="26"/>
  <c r="BT140" i="26"/>
  <c r="BI141" i="26"/>
  <c r="BJ141" i="26" s="1"/>
  <c r="BK141" i="26" l="1"/>
  <c r="BM141" i="26" s="1"/>
  <c r="BW141" i="26"/>
  <c r="BV141" i="26"/>
  <c r="BL141" i="26"/>
  <c r="BN141" i="26"/>
  <c r="BR141" i="26"/>
  <c r="BH141" i="26"/>
  <c r="BX141" i="26"/>
  <c r="BS141" i="26"/>
  <c r="BU141" i="26"/>
  <c r="BP141" i="26"/>
  <c r="BT141" i="26"/>
  <c r="BQ141" i="26"/>
  <c r="BO141" i="26"/>
  <c r="BY141" i="26" l="1"/>
  <c r="BI142" i="26"/>
  <c r="BJ142" i="26" s="1"/>
  <c r="BK142" i="26" l="1"/>
  <c r="BM142" i="26" s="1"/>
  <c r="BR142" i="26"/>
  <c r="BW142" i="26"/>
  <c r="BV142" i="26"/>
  <c r="BL142" i="26"/>
  <c r="BI143" i="26" s="1"/>
  <c r="BJ143" i="26" s="1"/>
  <c r="BX142" i="26"/>
  <c r="BN142" i="26"/>
  <c r="BH142" i="26"/>
  <c r="BP142" i="26"/>
  <c r="BY142" i="26"/>
  <c r="BU142" i="26"/>
  <c r="BQ142" i="26"/>
  <c r="BO142" i="26"/>
  <c r="BT142" i="26" l="1"/>
  <c r="BW143" i="26"/>
  <c r="BV143" i="26"/>
  <c r="BK143" i="26"/>
  <c r="BM143" i="26" s="1"/>
  <c r="BR143" i="26"/>
  <c r="BL143" i="26"/>
  <c r="BH143" i="26" s="1"/>
  <c r="BQ143" i="26"/>
  <c r="BN143" i="26"/>
  <c r="BP143" i="26"/>
  <c r="BT143" i="26"/>
  <c r="BO143" i="26"/>
  <c r="BS142" i="26"/>
  <c r="BX143" i="26" l="1"/>
  <c r="BI144" i="26"/>
  <c r="BJ144" i="26" s="1"/>
  <c r="BU143" i="26"/>
  <c r="BS143" i="26"/>
  <c r="BY143" i="26"/>
  <c r="BK144" i="26" l="1"/>
  <c r="BM144" i="26" s="1"/>
  <c r="BW144" i="26"/>
  <c r="BO144" i="26"/>
  <c r="BL144" i="26"/>
  <c r="BY144" i="26" s="1"/>
  <c r="BN144" i="26"/>
  <c r="BR144" i="26"/>
  <c r="BP144" i="26"/>
  <c r="BQ144" i="26"/>
  <c r="BT144" i="26"/>
  <c r="BX144" i="26" l="1"/>
  <c r="BU144" i="26"/>
  <c r="BV144" i="26"/>
  <c r="BS144" i="26"/>
  <c r="BI145" i="26"/>
  <c r="BJ145" i="26" s="1"/>
  <c r="BH144" i="26"/>
  <c r="BW145" i="26" l="1"/>
  <c r="BK145" i="26"/>
  <c r="BM145" i="26" s="1"/>
  <c r="BV145" i="26"/>
  <c r="BL145" i="26"/>
  <c r="BT145" i="26" s="1"/>
  <c r="BP145" i="26"/>
  <c r="BX145" i="26"/>
  <c r="BU145" i="26"/>
  <c r="BN145" i="26"/>
  <c r="BR145" i="26"/>
  <c r="BO145" i="26"/>
  <c r="BQ145" i="26"/>
  <c r="BY145" i="26"/>
  <c r="BH145" i="26" l="1"/>
  <c r="BS145" i="26"/>
  <c r="BI146" i="26"/>
  <c r="BJ146" i="26" s="1"/>
  <c r="BK146" i="26" l="1"/>
  <c r="BO146" i="26" s="1"/>
  <c r="BW146" i="26"/>
  <c r="BL146" i="26"/>
  <c r="BV146" i="26"/>
  <c r="BR146" i="26"/>
  <c r="BN146" i="26"/>
  <c r="BT146" i="26"/>
  <c r="BP146" i="26"/>
  <c r="BM146" i="26"/>
  <c r="BH146" i="26"/>
  <c r="BU146" i="26"/>
  <c r="BQ146" i="26"/>
  <c r="BS146" i="26"/>
  <c r="BX146" i="26" l="1"/>
  <c r="BY146" i="26"/>
  <c r="BI147" i="26"/>
  <c r="BJ147" i="26" s="1"/>
  <c r="BW147" i="26" l="1"/>
  <c r="BL147" i="26"/>
  <c r="BV147" i="26"/>
  <c r="BK147" i="26"/>
  <c r="BM147" i="26" s="1"/>
  <c r="BO147" i="26"/>
  <c r="BQ147" i="26"/>
  <c r="BR147" i="26"/>
  <c r="BY147" i="26"/>
  <c r="BP147" i="26"/>
  <c r="BH147" i="26"/>
  <c r="BN147" i="26"/>
  <c r="BT147" i="26" l="1"/>
  <c r="BS147" i="26"/>
  <c r="BU147" i="26"/>
  <c r="BX147" i="26"/>
  <c r="BI148" i="26"/>
  <c r="BJ148" i="26" s="1"/>
  <c r="BV148" i="26" l="1"/>
  <c r="BL148" i="26"/>
  <c r="BK148" i="26"/>
  <c r="BM148" i="26" s="1"/>
  <c r="BW148" i="26"/>
  <c r="BH148" i="26"/>
  <c r="BN148" i="26"/>
  <c r="BP148" i="26"/>
  <c r="BO148" i="26"/>
  <c r="BR148" i="26"/>
  <c r="BX148" i="26" l="1"/>
  <c r="BS148" i="26"/>
  <c r="BT148" i="26"/>
  <c r="BY148" i="26"/>
  <c r="BU148" i="26"/>
  <c r="BQ148" i="26"/>
  <c r="BI149" i="26"/>
  <c r="BJ149" i="26" s="1"/>
  <c r="BL149" i="26" l="1"/>
  <c r="BK149" i="26"/>
  <c r="BP149" i="26" s="1"/>
  <c r="BH149" i="26"/>
  <c r="BW149" i="26"/>
  <c r="BV149" i="26"/>
  <c r="BN149" i="26"/>
  <c r="BM149" i="26"/>
  <c r="BY149" i="26"/>
  <c r="BO149" i="26"/>
  <c r="BQ149" i="26"/>
  <c r="BR149" i="26"/>
  <c r="BU149" i="26"/>
  <c r="BX149" i="26" l="1"/>
  <c r="BT149" i="26"/>
  <c r="BS149" i="26"/>
  <c r="BI150" i="26"/>
  <c r="BJ150" i="26" s="1"/>
  <c r="BV150" i="26" l="1"/>
  <c r="BL150" i="26"/>
  <c r="BH150" i="26" s="1"/>
  <c r="BW150" i="26"/>
  <c r="BK150" i="26"/>
  <c r="BM150" i="26" s="1"/>
  <c r="BN150" i="26"/>
  <c r="BQ150" i="26"/>
  <c r="BO150" i="26"/>
  <c r="BP150" i="26"/>
  <c r="BR150" i="26"/>
  <c r="BY150" i="26" l="1"/>
  <c r="BU150" i="26"/>
  <c r="BS150" i="26"/>
  <c r="BX150" i="26"/>
  <c r="BT150" i="26"/>
  <c r="BI151" i="26"/>
  <c r="BJ151" i="26" s="1"/>
  <c r="BW151" i="26" l="1"/>
  <c r="BL151" i="26"/>
  <c r="BK151" i="26"/>
  <c r="BM151" i="26" s="1"/>
  <c r="BV151" i="26"/>
  <c r="BH151" i="26"/>
  <c r="BQ151" i="26"/>
  <c r="BP151" i="26"/>
  <c r="BN151" i="26"/>
  <c r="BU151" i="26"/>
  <c r="BR151" i="26"/>
  <c r="BO151" i="26"/>
  <c r="BS151" i="26" l="1"/>
  <c r="BX151" i="26"/>
  <c r="BT151" i="26"/>
  <c r="BY151" i="26"/>
  <c r="BI152" i="26"/>
  <c r="BJ152" i="26" s="1"/>
  <c r="BV152" i="26" l="1"/>
  <c r="BK152" i="26"/>
  <c r="BM152" i="26" s="1"/>
  <c r="BW152" i="26"/>
  <c r="BL152" i="26"/>
  <c r="BY152" i="26" s="1"/>
  <c r="BN152" i="26"/>
  <c r="BR152" i="26"/>
  <c r="BP152" i="26"/>
  <c r="BT152" i="26"/>
  <c r="BX152" i="26"/>
  <c r="BH152" i="26"/>
  <c r="BQ152" i="26"/>
  <c r="BO152" i="26"/>
  <c r="BU152" i="26" l="1"/>
  <c r="BS152" i="26"/>
  <c r="BI153" i="26"/>
  <c r="BJ153" i="26" s="1"/>
  <c r="BL153" i="26" l="1"/>
  <c r="BK153" i="26"/>
  <c r="BY153" i="26" s="1"/>
  <c r="BH153" i="26"/>
  <c r="BW153" i="26"/>
  <c r="BV153" i="26"/>
  <c r="BN153" i="26"/>
  <c r="BP153" i="26"/>
  <c r="BR153" i="26"/>
  <c r="BM153" i="26"/>
  <c r="BO153" i="26"/>
  <c r="BU153" i="26"/>
  <c r="BT153" i="26"/>
  <c r="BQ153" i="26"/>
  <c r="BX153" i="26" l="1"/>
  <c r="BS153" i="26"/>
  <c r="BI154" i="26"/>
  <c r="BJ154" i="26" s="1"/>
  <c r="BV154" i="26" l="1"/>
  <c r="BW154" i="26"/>
  <c r="BL154" i="26"/>
  <c r="BK154" i="26"/>
  <c r="BS154" i="26" s="1"/>
  <c r="BP154" i="26"/>
  <c r="BR154" i="26"/>
  <c r="BN154" i="26"/>
  <c r="BQ154" i="26"/>
  <c r="BM154" i="26"/>
  <c r="BO154" i="26"/>
  <c r="BU154" i="26" l="1"/>
  <c r="BY154" i="26"/>
  <c r="BI155" i="26"/>
  <c r="BJ155" i="26" s="1"/>
  <c r="BT154" i="26"/>
  <c r="BX154" i="26"/>
  <c r="BH154" i="26"/>
  <c r="BW155" i="26" l="1"/>
  <c r="BL155" i="26"/>
  <c r="BK155" i="26"/>
  <c r="BM155" i="26" s="1"/>
  <c r="BV155" i="26"/>
  <c r="BO155" i="26"/>
  <c r="BN155" i="26"/>
  <c r="BR155" i="26"/>
  <c r="BP155" i="26"/>
  <c r="BQ155" i="26"/>
  <c r="BH155" i="26"/>
  <c r="BT155" i="26" l="1"/>
  <c r="BX155" i="26"/>
  <c r="BS155" i="26"/>
  <c r="BY155" i="26"/>
  <c r="BU155" i="26"/>
  <c r="BI156" i="26"/>
  <c r="BJ156" i="26" s="1"/>
  <c r="BL156" i="26" l="1"/>
  <c r="BV156" i="26"/>
  <c r="BK156" i="26"/>
  <c r="BM156" i="26" s="1"/>
  <c r="BW156" i="26"/>
  <c r="BP156" i="26"/>
  <c r="BH156" i="26"/>
  <c r="BO156" i="26"/>
  <c r="BN156" i="26"/>
  <c r="BR156" i="26"/>
  <c r="BY156" i="26"/>
  <c r="BT156" i="26"/>
  <c r="BQ156" i="26"/>
  <c r="BS156" i="26"/>
  <c r="BX156" i="26"/>
  <c r="BU156" i="26" l="1"/>
  <c r="BI157" i="26"/>
  <c r="BJ157" i="26" s="1"/>
  <c r="BW157" i="26" l="1"/>
  <c r="BV157" i="26"/>
  <c r="BK157" i="26"/>
  <c r="BO157" i="26" s="1"/>
  <c r="BL157" i="26"/>
  <c r="BR157" i="26"/>
  <c r="BM157" i="26"/>
  <c r="BP157" i="26"/>
  <c r="BQ157" i="26"/>
  <c r="BN157" i="26"/>
  <c r="BY157" i="26" l="1"/>
  <c r="BX157" i="26"/>
  <c r="BT157" i="26"/>
  <c r="BS157" i="26"/>
  <c r="BI158" i="26"/>
  <c r="BJ158" i="26" s="1"/>
  <c r="BU157" i="26"/>
  <c r="BH157" i="26"/>
  <c r="BV158" i="26" l="1"/>
  <c r="BK158" i="26"/>
  <c r="BM158" i="26" s="1"/>
  <c r="BW158" i="26"/>
  <c r="BL158" i="26"/>
  <c r="BO158" i="26"/>
  <c r="BN158" i="26"/>
  <c r="BR158" i="26"/>
  <c r="BT158" i="26"/>
  <c r="BX158" i="26"/>
  <c r="BS158" i="26"/>
  <c r="BY158" i="26"/>
  <c r="BP158" i="26"/>
  <c r="BH158" i="26"/>
  <c r="BU158" i="26"/>
  <c r="BQ158" i="26" l="1"/>
  <c r="BI159" i="26"/>
  <c r="BJ159" i="26" s="1"/>
  <c r="BK159" i="26" l="1"/>
  <c r="BM159" i="26" s="1"/>
  <c r="BW159" i="26"/>
  <c r="BV159" i="26"/>
  <c r="BL159" i="26"/>
  <c r="BU159" i="26" s="1"/>
  <c r="BN159" i="26"/>
  <c r="BQ159" i="26"/>
  <c r="BR159" i="26"/>
  <c r="BX159" i="26"/>
  <c r="BO159" i="26"/>
  <c r="BS159" i="26"/>
  <c r="BH159" i="26"/>
  <c r="BY159" i="26"/>
  <c r="BT159" i="26" l="1"/>
  <c r="BP159" i="26"/>
  <c r="BI160" i="26"/>
  <c r="BJ160" i="26" s="1"/>
  <c r="BV160" i="26" l="1"/>
  <c r="BL160" i="26"/>
  <c r="BK160" i="26"/>
  <c r="BM160" i="26" s="1"/>
  <c r="BW160" i="26"/>
  <c r="BR160" i="26"/>
  <c r="BO160" i="26"/>
  <c r="BT160" i="26"/>
  <c r="BH160" i="26"/>
  <c r="BP160" i="26"/>
  <c r="BN160" i="26"/>
  <c r="BQ160" i="26"/>
  <c r="BS160" i="26" l="1"/>
  <c r="BY160" i="26"/>
  <c r="BX160" i="26"/>
  <c r="BU160" i="26"/>
  <c r="BI161" i="26"/>
  <c r="BJ161" i="26" s="1"/>
  <c r="BW161" i="26" l="1"/>
  <c r="BV161" i="26"/>
  <c r="BK161" i="26"/>
  <c r="BR161" i="26" s="1"/>
  <c r="BL161" i="26"/>
  <c r="BX161" i="26" s="1"/>
  <c r="BP161" i="26"/>
  <c r="BN161" i="26"/>
  <c r="BQ161" i="26"/>
  <c r="BM161" i="26"/>
  <c r="BO161" i="26"/>
  <c r="BH161" i="26" l="1"/>
  <c r="BU161" i="26"/>
  <c r="BY161" i="26"/>
  <c r="BT161" i="26"/>
  <c r="BS161" i="26"/>
  <c r="BI162" i="26"/>
  <c r="BJ162" i="26" s="1"/>
  <c r="BW162" i="26" l="1"/>
  <c r="BV162" i="26"/>
  <c r="BL162" i="26"/>
  <c r="BK162" i="26"/>
  <c r="BM162" i="26" s="1"/>
  <c r="BN162" i="26"/>
  <c r="BR162" i="26"/>
  <c r="BH162" i="26"/>
  <c r="BP162" i="26"/>
  <c r="BQ162" i="26"/>
  <c r="BU162" i="26" l="1"/>
  <c r="BY162" i="26"/>
  <c r="BS162" i="26"/>
  <c r="BX162" i="26"/>
  <c r="BT162" i="26"/>
  <c r="BO162" i="26"/>
  <c r="BI163" i="26"/>
  <c r="BJ163" i="26" s="1"/>
  <c r="BL163" i="26" l="1"/>
  <c r="BK163" i="26"/>
  <c r="BM163" i="26" s="1"/>
  <c r="BW163" i="26"/>
  <c r="BV163" i="26"/>
  <c r="BP163" i="26"/>
  <c r="BN163" i="26"/>
  <c r="BR163" i="26"/>
  <c r="BQ163" i="26"/>
  <c r="BO163" i="26"/>
  <c r="BY163" i="26"/>
  <c r="BX163" i="26" l="1"/>
  <c r="BT163" i="26"/>
  <c r="BU163" i="26"/>
  <c r="BS163" i="26"/>
  <c r="BH163" i="26"/>
  <c r="BI164" i="26"/>
  <c r="BJ164" i="26" s="1"/>
  <c r="BV164" i="26" l="1"/>
  <c r="BL164" i="26"/>
  <c r="BK164" i="26"/>
  <c r="BM164" i="26" s="1"/>
  <c r="BW164" i="26"/>
  <c r="BO164" i="26"/>
  <c r="BN164" i="26"/>
  <c r="BS164" i="26"/>
  <c r="BP164" i="26"/>
  <c r="BT164" i="26"/>
  <c r="BR164" i="26"/>
  <c r="BQ164" i="26"/>
  <c r="BH164" i="26"/>
  <c r="BY164" i="26" l="1"/>
  <c r="BU164" i="26"/>
  <c r="BX164" i="26"/>
  <c r="BI165" i="26"/>
  <c r="BJ165" i="26" s="1"/>
  <c r="BW165" i="26" l="1"/>
  <c r="BV165" i="26"/>
  <c r="BL165" i="26"/>
  <c r="BK165" i="26"/>
  <c r="BR165" i="26" s="1"/>
  <c r="BH165" i="26"/>
  <c r="BN165" i="26"/>
  <c r="BM165" i="26"/>
  <c r="BP165" i="26"/>
  <c r="BO165" i="26"/>
  <c r="BX165" i="26"/>
  <c r="BQ165" i="26"/>
  <c r="BY165" i="26"/>
  <c r="BS165" i="26" l="1"/>
  <c r="BU165" i="26"/>
  <c r="BT165" i="26"/>
  <c r="BI166" i="26"/>
  <c r="BJ166" i="26" s="1"/>
  <c r="BK166" i="26" l="1"/>
  <c r="BM166" i="26" s="1"/>
  <c r="BW166" i="26"/>
  <c r="BV166" i="26"/>
  <c r="BL166" i="26"/>
  <c r="BH166" i="26" s="1"/>
  <c r="BO166" i="26"/>
  <c r="BR166" i="26"/>
  <c r="BP166" i="26"/>
  <c r="BU166" i="26"/>
  <c r="BT166" i="26"/>
  <c r="BN166" i="26"/>
  <c r="BY166" i="26" l="1"/>
  <c r="BX166" i="26"/>
  <c r="BS166" i="26"/>
  <c r="BQ166" i="26"/>
  <c r="BI167" i="26"/>
  <c r="BJ167" i="26" s="1"/>
  <c r="BW167" i="26" l="1"/>
  <c r="BV167" i="26"/>
  <c r="BL167" i="26"/>
  <c r="BK167" i="26"/>
  <c r="BM167" i="26" s="1"/>
  <c r="BR167" i="26"/>
  <c r="BQ167" i="26"/>
  <c r="BN167" i="26"/>
  <c r="BO167" i="26"/>
  <c r="BP167" i="26"/>
  <c r="BU167" i="26" l="1"/>
  <c r="BS167" i="26"/>
  <c r="BX167" i="26"/>
  <c r="BT167" i="26"/>
  <c r="BH167" i="26"/>
  <c r="BI168" i="26"/>
  <c r="BJ168" i="26" s="1"/>
  <c r="BY167" i="26"/>
  <c r="BL168" i="26" l="1"/>
  <c r="BW168" i="26"/>
  <c r="BV168" i="26"/>
  <c r="BK168" i="26"/>
  <c r="BM168" i="26" s="1"/>
  <c r="BR168" i="26"/>
  <c r="BQ168" i="26"/>
  <c r="BH168" i="26"/>
  <c r="BP168" i="26"/>
  <c r="BX168" i="26"/>
  <c r="BU168" i="26"/>
  <c r="BY168" i="26"/>
  <c r="BN168" i="26"/>
  <c r="BO168" i="26"/>
  <c r="BT168" i="26" l="1"/>
  <c r="BS168" i="26"/>
  <c r="BI169" i="26"/>
  <c r="BJ169" i="26" s="1"/>
  <c r="BL169" i="26" l="1"/>
  <c r="BK169" i="26"/>
  <c r="BS169" i="26" s="1"/>
  <c r="BW169" i="26"/>
  <c r="BV169" i="26"/>
  <c r="BM169" i="26"/>
  <c r="BQ169" i="26"/>
  <c r="BO169" i="26"/>
  <c r="BN169" i="26"/>
  <c r="BP169" i="26"/>
  <c r="BR169" i="26"/>
  <c r="BX169" i="26"/>
  <c r="BT169" i="26" l="1"/>
  <c r="BY169" i="26"/>
  <c r="BI170" i="26"/>
  <c r="BJ170" i="26" s="1"/>
  <c r="BU169" i="26"/>
  <c r="BH169" i="26"/>
  <c r="BK170" i="26" l="1"/>
  <c r="BM170" i="26" s="1"/>
  <c r="BW170" i="26"/>
  <c r="BL170" i="26"/>
  <c r="BV170" i="26"/>
  <c r="BQ170" i="26"/>
  <c r="BT170" i="26"/>
  <c r="BU170" i="26"/>
  <c r="BN170" i="26"/>
  <c r="BO170" i="26"/>
  <c r="BY170" i="26"/>
  <c r="BP170" i="26"/>
  <c r="BH170" i="26"/>
  <c r="BR170" i="26"/>
  <c r="BX170" i="26" l="1"/>
  <c r="BS170" i="26"/>
  <c r="BI171" i="26"/>
  <c r="BJ171" i="26" s="1"/>
  <c r="BW171" i="26" l="1"/>
  <c r="BL171" i="26"/>
  <c r="BK171" i="26"/>
  <c r="BM171" i="26" s="1"/>
  <c r="BV171" i="26"/>
  <c r="BP171" i="26"/>
  <c r="BH171" i="26"/>
  <c r="BR171" i="26"/>
  <c r="BQ171" i="26"/>
  <c r="BO171" i="26"/>
  <c r="BN171" i="26"/>
  <c r="BS171" i="26" l="1"/>
  <c r="BT171" i="26"/>
  <c r="BX171" i="26"/>
  <c r="BY171" i="26"/>
  <c r="BU171" i="26"/>
  <c r="BI172" i="26"/>
  <c r="BJ172" i="26" s="1"/>
  <c r="BW172" i="26" l="1"/>
  <c r="BL172" i="26"/>
  <c r="BK172" i="26"/>
  <c r="BM172" i="26" s="1"/>
  <c r="BV172" i="26"/>
  <c r="BP172" i="26"/>
  <c r="BQ172" i="26"/>
  <c r="BH172" i="26"/>
  <c r="BY172" i="26"/>
  <c r="BO172" i="26"/>
  <c r="BX172" i="26"/>
  <c r="BN172" i="26"/>
  <c r="BS172" i="26"/>
  <c r="BR172" i="26"/>
  <c r="BT172" i="26" l="1"/>
  <c r="BU172" i="26"/>
  <c r="BI173" i="26"/>
  <c r="BJ173" i="26" s="1"/>
  <c r="BL173" i="26" l="1"/>
  <c r="BK173" i="26"/>
  <c r="BM173" i="26" s="1"/>
  <c r="BW173" i="26"/>
  <c r="BV173" i="26"/>
  <c r="BP173" i="26"/>
  <c r="BN173" i="26"/>
  <c r="BR173" i="26"/>
  <c r="BQ173" i="26"/>
  <c r="BY173" i="26"/>
  <c r="BO173" i="26"/>
  <c r="BU173" i="26" l="1"/>
  <c r="BS173" i="26"/>
  <c r="BX173" i="26"/>
  <c r="BT173" i="26"/>
  <c r="BH173" i="26"/>
  <c r="BI174" i="26"/>
  <c r="BJ174" i="26" s="1"/>
  <c r="BK174" i="26" l="1"/>
  <c r="BM174" i="26" s="1"/>
  <c r="BW174" i="26"/>
  <c r="BV174" i="26"/>
  <c r="BL174" i="26"/>
  <c r="BX174" i="26" s="1"/>
  <c r="BN174" i="26"/>
  <c r="BO174" i="26"/>
  <c r="BY174" i="26"/>
  <c r="BR174" i="26"/>
  <c r="BQ174" i="26"/>
  <c r="BS174" i="26"/>
  <c r="BH174" i="26"/>
  <c r="BP174" i="26"/>
  <c r="BU174" i="26"/>
  <c r="BT174" i="26" l="1"/>
  <c r="BI175" i="26"/>
  <c r="BJ175" i="26" s="1"/>
  <c r="BL175" i="26" l="1"/>
  <c r="BR175" i="26"/>
  <c r="BW175" i="26"/>
  <c r="BV175" i="26"/>
  <c r="BK175" i="26"/>
  <c r="BM175" i="26" s="1"/>
  <c r="BQ175" i="26"/>
  <c r="BO175" i="26"/>
  <c r="BN175" i="26"/>
  <c r="BH175" i="26"/>
  <c r="BS175" i="26"/>
  <c r="BP175" i="26"/>
  <c r="BY175" i="26" l="1"/>
  <c r="BU175" i="26"/>
  <c r="BX175" i="26"/>
  <c r="BT175" i="26"/>
  <c r="BI176" i="26"/>
  <c r="BJ176" i="26" s="1"/>
  <c r="BL176" i="26" l="1"/>
  <c r="BK176" i="26"/>
  <c r="BM176" i="26" s="1"/>
  <c r="BW176" i="26"/>
  <c r="BV176" i="26"/>
  <c r="BQ176" i="26"/>
  <c r="BP176" i="26"/>
  <c r="BN176" i="26"/>
  <c r="BH176" i="26"/>
  <c r="BO176" i="26"/>
  <c r="BR176" i="26"/>
  <c r="BX176" i="26"/>
  <c r="BY176" i="26" l="1"/>
  <c r="BS176" i="26"/>
  <c r="BT176" i="26"/>
  <c r="BU176" i="26"/>
  <c r="BI177" i="26"/>
  <c r="BJ177" i="26" s="1"/>
  <c r="BW177" i="26" l="1"/>
  <c r="BV177" i="26"/>
  <c r="BL177" i="26"/>
  <c r="BK177" i="26"/>
  <c r="BM177" i="26" s="1"/>
  <c r="BP177" i="26"/>
  <c r="BN177" i="26"/>
  <c r="BO177" i="26"/>
  <c r="BQ177" i="26"/>
  <c r="BR177" i="26"/>
  <c r="BT177" i="26" l="1"/>
  <c r="BU177" i="26"/>
  <c r="BX177" i="26"/>
  <c r="BS177" i="26"/>
  <c r="BY177" i="26"/>
  <c r="BH177" i="26"/>
  <c r="BI178" i="26"/>
  <c r="BJ178" i="26" s="1"/>
  <c r="BK178" i="26" l="1"/>
  <c r="BM178" i="26" s="1"/>
  <c r="BV178" i="26"/>
  <c r="BL178" i="26"/>
  <c r="BW178" i="26"/>
  <c r="BQ178" i="26"/>
  <c r="BH178" i="26"/>
  <c r="BN178" i="26"/>
  <c r="BR178" i="26"/>
  <c r="BP178" i="26"/>
  <c r="BO178" i="26"/>
  <c r="BU178" i="26" l="1"/>
  <c r="BX178" i="26"/>
  <c r="BT178" i="26"/>
  <c r="BY178" i="26"/>
  <c r="BS178" i="26"/>
  <c r="BI179" i="26"/>
  <c r="BJ179" i="26" s="1"/>
  <c r="BW179" i="26" l="1"/>
  <c r="BV179" i="26"/>
  <c r="BK179" i="26"/>
  <c r="BM179" i="26" s="1"/>
  <c r="BR179" i="26"/>
  <c r="BL179" i="26"/>
  <c r="BH179" i="26" s="1"/>
  <c r="BO179" i="26"/>
  <c r="BQ179" i="26"/>
  <c r="BT179" i="26"/>
  <c r="BP179" i="26"/>
  <c r="BN179" i="26"/>
  <c r="BU179" i="26" l="1"/>
  <c r="BS179" i="26"/>
  <c r="BY179" i="26"/>
  <c r="BX179" i="26"/>
  <c r="BI180" i="26"/>
  <c r="BJ180" i="26" s="1"/>
  <c r="BW180" i="26" l="1"/>
  <c r="BV180" i="26"/>
  <c r="BK180" i="26"/>
  <c r="BM180" i="26" s="1"/>
  <c r="BL180" i="26"/>
  <c r="BR180" i="26"/>
  <c r="BO180" i="26"/>
  <c r="BQ180" i="26"/>
  <c r="BH180" i="26"/>
  <c r="BY180" i="26"/>
  <c r="BS180" i="26"/>
  <c r="BN180" i="26"/>
  <c r="BP180" i="26"/>
  <c r="BX180" i="26"/>
  <c r="BT180" i="26" l="1"/>
  <c r="BU180" i="26"/>
  <c r="BI181" i="26"/>
  <c r="BJ181" i="26" s="1"/>
  <c r="BL181" i="26" l="1"/>
  <c r="BK181" i="26"/>
  <c r="BM181" i="26" s="1"/>
  <c r="BW181" i="26"/>
  <c r="BV181" i="26"/>
  <c r="BP181" i="26"/>
  <c r="BQ181" i="26"/>
  <c r="BN181" i="26"/>
  <c r="BR181" i="26"/>
  <c r="BO181" i="26"/>
  <c r="BS181" i="26"/>
  <c r="BT181" i="26"/>
  <c r="BY181" i="26"/>
  <c r="BX181" i="26"/>
  <c r="BU181" i="26" l="1"/>
  <c r="BH181" i="26"/>
  <c r="BI182" i="26"/>
  <c r="BJ182" i="26" s="1"/>
  <c r="BL182" i="26" l="1"/>
  <c r="BK182" i="26"/>
  <c r="BM182" i="26" s="1"/>
  <c r="BW182" i="26"/>
  <c r="BV182" i="26"/>
  <c r="BN182" i="26"/>
  <c r="BR182" i="26"/>
  <c r="BH182" i="26"/>
  <c r="BP182" i="26"/>
  <c r="BX182" i="26"/>
  <c r="BO182" i="26"/>
  <c r="BY182" i="26"/>
  <c r="BU182" i="26" l="1"/>
  <c r="BT182" i="26"/>
  <c r="BS182" i="26"/>
  <c r="BQ182" i="26"/>
  <c r="BI183" i="26"/>
  <c r="BJ183" i="26" s="1"/>
  <c r="BW183" i="26" l="1"/>
  <c r="BV183" i="26"/>
  <c r="BL183" i="26"/>
  <c r="BK183" i="26"/>
  <c r="BM183" i="26" s="1"/>
  <c r="BR183" i="26"/>
  <c r="BP183" i="26"/>
  <c r="BN183" i="26"/>
  <c r="BO183" i="26"/>
  <c r="BH183" i="26"/>
  <c r="BS183" i="26" l="1"/>
  <c r="BT183" i="26"/>
  <c r="BU183" i="26"/>
  <c r="BY183" i="26"/>
  <c r="BX183" i="26"/>
  <c r="BQ183" i="26"/>
  <c r="BI184" i="26"/>
  <c r="BJ184" i="26" s="1"/>
  <c r="BW184" i="26" l="1"/>
  <c r="BL184" i="26"/>
  <c r="BK184" i="26"/>
  <c r="BM184" i="26" s="1"/>
  <c r="BV184" i="26"/>
  <c r="BN184" i="26"/>
  <c r="BO184" i="26"/>
  <c r="BH184" i="26"/>
  <c r="BQ184" i="26"/>
  <c r="BR184" i="26"/>
  <c r="BT184" i="26" l="1"/>
  <c r="BY184" i="26"/>
  <c r="BS184" i="26"/>
  <c r="BU184" i="26"/>
  <c r="BX184" i="26"/>
  <c r="BP184" i="26"/>
  <c r="BI185" i="26"/>
  <c r="BJ185" i="26" s="1"/>
  <c r="BL185" i="26" l="1"/>
  <c r="BK185" i="26"/>
  <c r="BR185" i="26" s="1"/>
  <c r="BW185" i="26"/>
  <c r="BV185" i="26"/>
  <c r="BO185" i="26"/>
  <c r="BM185" i="26"/>
  <c r="BQ185" i="26"/>
  <c r="BN185" i="26"/>
  <c r="BP185" i="26"/>
  <c r="BS185" i="26" l="1"/>
  <c r="BY185" i="26"/>
  <c r="BU185" i="26"/>
  <c r="BX185" i="26"/>
  <c r="BT185" i="26"/>
  <c r="BH185" i="26"/>
  <c r="BI186" i="26"/>
  <c r="BJ186" i="26" s="1"/>
  <c r="BV186" i="26" l="1"/>
  <c r="BK186" i="26"/>
  <c r="BM186" i="26" s="1"/>
  <c r="BW186" i="26"/>
  <c r="BL186" i="26"/>
  <c r="BU186" i="26" s="1"/>
  <c r="BN186" i="26"/>
  <c r="BR186" i="26"/>
  <c r="BP186" i="26"/>
  <c r="BQ186" i="26"/>
  <c r="BO186" i="26"/>
  <c r="BH186" i="26" l="1"/>
  <c r="BY186" i="26"/>
  <c r="BX186" i="26"/>
  <c r="BT186" i="26"/>
  <c r="BS186" i="26"/>
  <c r="BI187" i="26"/>
  <c r="BJ187" i="26" s="1"/>
  <c r="BK187" i="26" l="1"/>
  <c r="BM187" i="26" s="1"/>
  <c r="BW187" i="26"/>
  <c r="BR187" i="26"/>
  <c r="BV187" i="26"/>
  <c r="BL187" i="26"/>
  <c r="BS187" i="26" s="1"/>
  <c r="BO187" i="26"/>
  <c r="BN187" i="26"/>
  <c r="BY187" i="26"/>
  <c r="BP187" i="26"/>
  <c r="BU187" i="26"/>
  <c r="BT187" i="26"/>
  <c r="BQ187" i="26"/>
  <c r="BX187" i="26"/>
  <c r="BH187" i="26" l="1"/>
  <c r="BI188" i="26"/>
  <c r="BJ188" i="26" s="1"/>
  <c r="BV188" i="26" l="1"/>
  <c r="BK188" i="26"/>
  <c r="BM188" i="26" s="1"/>
  <c r="BW188" i="26"/>
  <c r="BL188" i="26"/>
  <c r="BH188" i="26" s="1"/>
  <c r="BQ188" i="26"/>
  <c r="BP188" i="26"/>
  <c r="BY188" i="26"/>
  <c r="BN188" i="26"/>
  <c r="BR188" i="26"/>
  <c r="BO188" i="26"/>
  <c r="BU188" i="26" l="1"/>
  <c r="BS188" i="26"/>
  <c r="BX188" i="26"/>
  <c r="BT188" i="26"/>
  <c r="BI189" i="26"/>
  <c r="BJ189" i="26" s="1"/>
  <c r="BL189" i="26" l="1"/>
  <c r="BK189" i="26"/>
  <c r="BM189" i="26" s="1"/>
  <c r="BV189" i="26"/>
  <c r="BH189" i="26"/>
  <c r="BW189" i="26"/>
  <c r="BN189" i="26"/>
  <c r="BR189" i="26"/>
  <c r="BO189" i="26"/>
  <c r="BQ189" i="26"/>
  <c r="BX189" i="26"/>
  <c r="BP189" i="26"/>
  <c r="BU189" i="26" l="1"/>
  <c r="BT189" i="26"/>
  <c r="BY189" i="26"/>
  <c r="BS189" i="26"/>
  <c r="BI190" i="26"/>
  <c r="BJ190" i="26" s="1"/>
  <c r="BK190" i="26" l="1"/>
  <c r="BM190" i="26" s="1"/>
  <c r="BW190" i="26"/>
  <c r="BL190" i="26"/>
  <c r="BV190" i="26"/>
  <c r="BQ190" i="26"/>
  <c r="BR190" i="26"/>
  <c r="BT190" i="26"/>
  <c r="BO190" i="26"/>
  <c r="BH190" i="26"/>
  <c r="BN190" i="26"/>
  <c r="BP190" i="26"/>
  <c r="BY190" i="26"/>
  <c r="BS190" i="26" l="1"/>
  <c r="BU190" i="26"/>
  <c r="BX190" i="26"/>
  <c r="BI191" i="26"/>
  <c r="BJ191" i="26" s="1"/>
  <c r="BW191" i="26" l="1"/>
  <c r="BV191" i="26"/>
  <c r="BL191" i="26"/>
  <c r="BK191" i="26"/>
  <c r="BM191" i="26" s="1"/>
  <c r="BR191" i="26"/>
  <c r="BO191" i="26"/>
  <c r="BQ191" i="26"/>
  <c r="BN191" i="26"/>
  <c r="BH191" i="26"/>
  <c r="BP191" i="26"/>
  <c r="BX191" i="26" l="1"/>
  <c r="BS191" i="26"/>
  <c r="BU191" i="26"/>
  <c r="BT191" i="26"/>
  <c r="BY191" i="26"/>
  <c r="BI192" i="26"/>
  <c r="BJ192" i="26" s="1"/>
  <c r="BK192" i="26" l="1"/>
  <c r="BM192" i="26" s="1"/>
  <c r="BL192" i="26"/>
  <c r="BW192" i="26"/>
  <c r="BV192" i="26"/>
  <c r="BH192" i="26"/>
  <c r="BN192" i="26"/>
  <c r="BO192" i="26"/>
  <c r="BP192" i="26"/>
  <c r="BR192" i="26"/>
  <c r="BS192" i="26"/>
  <c r="BX192" i="26"/>
  <c r="BT192" i="26"/>
  <c r="BQ192" i="26"/>
  <c r="BY192" i="26" l="1"/>
  <c r="BU192" i="26"/>
  <c r="BI193" i="26"/>
  <c r="BJ193" i="26" s="1"/>
  <c r="BV193" i="26" l="1"/>
  <c r="BK193" i="26"/>
  <c r="BR193" i="26" s="1"/>
  <c r="BW193" i="26"/>
  <c r="BL193" i="26"/>
  <c r="BQ193" i="26"/>
  <c r="BO193" i="26"/>
  <c r="BH193" i="26"/>
  <c r="BN193" i="26"/>
  <c r="BM193" i="26"/>
  <c r="BU193" i="26" l="1"/>
  <c r="BX193" i="26"/>
  <c r="BT193" i="26"/>
  <c r="BY193" i="26"/>
  <c r="BS193" i="26"/>
  <c r="BP193" i="26"/>
  <c r="BI194" i="26"/>
  <c r="BJ194" i="26" s="1"/>
  <c r="BL194" i="26" l="1"/>
  <c r="BK194" i="26"/>
  <c r="BM194" i="26" s="1"/>
  <c r="BW194" i="26"/>
  <c r="BV194" i="26"/>
  <c r="BO194" i="26"/>
  <c r="BP194" i="26"/>
  <c r="BH194" i="26"/>
  <c r="BR194" i="26"/>
  <c r="BX194" i="26"/>
  <c r="BS194" i="26"/>
  <c r="BN194" i="26"/>
  <c r="BT194" i="26" l="1"/>
  <c r="BY194" i="26"/>
  <c r="BU194" i="26"/>
  <c r="BQ194" i="26"/>
  <c r="BI195" i="26"/>
  <c r="BJ195" i="26" s="1"/>
  <c r="BK195" i="26" l="1"/>
  <c r="BM195" i="26" s="1"/>
  <c r="BW195" i="26"/>
  <c r="BV195" i="26"/>
  <c r="BL195" i="26"/>
  <c r="BN195" i="26"/>
  <c r="BY195" i="26"/>
  <c r="BP195" i="26"/>
  <c r="BR195" i="26"/>
  <c r="BU195" i="26"/>
  <c r="BQ195" i="26"/>
  <c r="BH195" i="26"/>
  <c r="BX195" i="26" l="1"/>
  <c r="BS195" i="26"/>
  <c r="BT195" i="26"/>
  <c r="BO195" i="26"/>
  <c r="BI196" i="26"/>
  <c r="BJ196" i="26" s="1"/>
  <c r="BL196" i="26" l="1"/>
  <c r="BW196" i="26"/>
  <c r="BV196" i="26"/>
  <c r="BK196" i="26"/>
  <c r="BM196" i="26" s="1"/>
  <c r="BH196" i="26"/>
  <c r="BN196" i="26"/>
  <c r="BQ196" i="26"/>
  <c r="BR196" i="26"/>
  <c r="BO196" i="26"/>
  <c r="BP196" i="26"/>
  <c r="BS196" i="26" l="1"/>
  <c r="BX196" i="26"/>
  <c r="BY196" i="26"/>
  <c r="BT196" i="26"/>
  <c r="BU196" i="26"/>
  <c r="BI197" i="26"/>
  <c r="BJ197" i="26" s="1"/>
  <c r="BW197" i="26" l="1"/>
  <c r="BV197" i="26"/>
  <c r="BL197" i="26"/>
  <c r="BK197" i="26"/>
  <c r="BR197" i="26" s="1"/>
  <c r="BN197" i="26"/>
  <c r="BH197" i="26"/>
  <c r="BQ197" i="26"/>
  <c r="BM197" i="26"/>
  <c r="BO197" i="26"/>
  <c r="BP197" i="26"/>
  <c r="BX197" i="26" l="1"/>
  <c r="BS197" i="26"/>
  <c r="BT197" i="26"/>
  <c r="BY197" i="26"/>
  <c r="BU197" i="26"/>
  <c r="BI198" i="26"/>
  <c r="BJ198" i="26" s="1"/>
  <c r="BL198" i="26" l="1"/>
  <c r="BK198" i="26"/>
  <c r="BM198" i="26" s="1"/>
  <c r="BW198" i="26"/>
  <c r="BV198" i="26"/>
  <c r="BH198" i="26"/>
  <c r="BO198" i="26"/>
  <c r="BP198" i="26"/>
  <c r="BQ198" i="26"/>
  <c r="BX198" i="26"/>
  <c r="BU198" i="26"/>
  <c r="BN198" i="26"/>
  <c r="BR198" i="26"/>
  <c r="BS198" i="26" l="1"/>
  <c r="BY198" i="26"/>
  <c r="BT198" i="26"/>
  <c r="BI199" i="26"/>
  <c r="BJ199" i="26" s="1"/>
  <c r="BW199" i="26" l="1"/>
  <c r="BV199" i="26"/>
  <c r="BL199" i="26"/>
  <c r="BS199" i="26" s="1"/>
  <c r="BK199" i="26"/>
  <c r="BM199" i="26" s="1"/>
  <c r="BR199" i="26"/>
  <c r="BP199" i="26"/>
  <c r="BQ199" i="26"/>
  <c r="BN199" i="26"/>
  <c r="BH199" i="26"/>
  <c r="BO199" i="26"/>
  <c r="BT199" i="26" l="1"/>
  <c r="BY199" i="26"/>
  <c r="BU199" i="26"/>
  <c r="BX199" i="26"/>
  <c r="BI200" i="26"/>
  <c r="BJ200" i="26" s="1"/>
  <c r="BV200" i="26" l="1"/>
  <c r="BL200" i="26"/>
  <c r="BW200" i="26"/>
  <c r="BK200" i="26"/>
  <c r="BM200" i="26" s="1"/>
  <c r="BR200" i="26"/>
  <c r="BP200" i="26"/>
  <c r="BQ200" i="26"/>
  <c r="BH200" i="26"/>
  <c r="BO200" i="26"/>
  <c r="BY200" i="26"/>
  <c r="BS200" i="26"/>
  <c r="BN200" i="26"/>
  <c r="BX200" i="26" l="1"/>
  <c r="BT200" i="26"/>
  <c r="BU200" i="26"/>
  <c r="BI201" i="26"/>
  <c r="BJ201" i="26" s="1"/>
  <c r="BL201" i="26" l="1"/>
  <c r="BK201" i="26"/>
  <c r="BY201" i="26" s="1"/>
  <c r="BW201" i="26"/>
  <c r="BV201" i="26"/>
  <c r="BP201" i="26"/>
  <c r="BM201" i="26"/>
  <c r="BN201" i="26"/>
  <c r="BX201" i="26"/>
  <c r="BR201" i="26"/>
  <c r="BQ201" i="26"/>
  <c r="BO201" i="26"/>
  <c r="BU201" i="26"/>
  <c r="BT201" i="26" l="1"/>
  <c r="BS201" i="26"/>
  <c r="BH201" i="26"/>
  <c r="BI202" i="26"/>
  <c r="BJ202" i="26" s="1"/>
  <c r="BW202" i="26" l="1"/>
  <c r="BK202" i="26"/>
  <c r="BM202" i="26" s="1"/>
  <c r="BV202" i="26"/>
  <c r="BL202" i="26"/>
  <c r="BY202" i="26" s="1"/>
  <c r="BN202" i="26"/>
  <c r="BQ202" i="26"/>
  <c r="BU202" i="26"/>
  <c r="BP202" i="26"/>
  <c r="BO202" i="26"/>
  <c r="BH202" i="26"/>
  <c r="BT202" i="26"/>
  <c r="BR202" i="26"/>
  <c r="BS202" i="26" l="1"/>
  <c r="BX202" i="26"/>
  <c r="BI203" i="26"/>
  <c r="BJ203" i="26" s="1"/>
  <c r="BK203" i="26" l="1"/>
  <c r="BM203" i="26" s="1"/>
  <c r="BV203" i="26"/>
  <c r="BL203" i="26"/>
  <c r="BR203" i="26"/>
  <c r="BW203" i="26"/>
  <c r="BO203" i="26"/>
  <c r="BQ203" i="26"/>
  <c r="BN203" i="26"/>
  <c r="BT203" i="26"/>
  <c r="BP203" i="26"/>
  <c r="BH203" i="26"/>
  <c r="BX203" i="26"/>
  <c r="BY203" i="26"/>
  <c r="BU203" i="26"/>
  <c r="BS203" i="26" l="1"/>
  <c r="BI204" i="26"/>
  <c r="BJ204" i="26" s="1"/>
  <c r="BL204" i="26" l="1"/>
  <c r="BW204" i="26"/>
  <c r="BV204" i="26"/>
  <c r="BK204" i="26"/>
  <c r="BM204" i="26" s="1"/>
  <c r="BQ204" i="26"/>
  <c r="BP204" i="26"/>
  <c r="BR204" i="26"/>
  <c r="BN204" i="26"/>
  <c r="BO204" i="26"/>
  <c r="BX204" i="26"/>
  <c r="BH204" i="26"/>
  <c r="BU204" i="26" l="1"/>
  <c r="BS204" i="26"/>
  <c r="BT204" i="26"/>
  <c r="BY204" i="26"/>
  <c r="BI205" i="26"/>
  <c r="BJ205" i="26" s="1"/>
  <c r="BW205" i="26" l="1"/>
  <c r="BV205" i="26"/>
  <c r="BL205" i="26"/>
  <c r="BK205" i="26"/>
  <c r="BY205" i="26" s="1"/>
  <c r="BR205" i="26"/>
  <c r="BQ205" i="26"/>
  <c r="BM205" i="26"/>
  <c r="BP205" i="26"/>
  <c r="BO205" i="26"/>
  <c r="BN205" i="26"/>
  <c r="BU205" i="26" l="1"/>
  <c r="BT205" i="26"/>
  <c r="BS205" i="26"/>
  <c r="BX205" i="26"/>
  <c r="BH205" i="26"/>
  <c r="BI206" i="26"/>
  <c r="BJ206" i="26" s="1"/>
  <c r="BV206" i="26" l="1"/>
  <c r="BL206" i="26"/>
  <c r="BK206" i="26"/>
  <c r="BM206" i="26" s="1"/>
  <c r="BW206" i="26"/>
  <c r="BH206" i="26"/>
  <c r="BN206" i="26"/>
  <c r="BR206" i="26"/>
  <c r="BO206" i="26"/>
  <c r="BP206" i="26"/>
  <c r="BQ206" i="26"/>
  <c r="BY206" i="26" l="1"/>
  <c r="BT206" i="26"/>
  <c r="BU206" i="26"/>
  <c r="BX206" i="26"/>
  <c r="BS206" i="26"/>
  <c r="BI207" i="26"/>
  <c r="BJ207" i="26" s="1"/>
  <c r="BW207" i="26" l="1"/>
  <c r="BL207" i="26"/>
  <c r="BK207" i="26"/>
  <c r="BM207" i="26" s="1"/>
  <c r="BR207" i="26"/>
  <c r="BV207" i="26"/>
  <c r="BP207" i="26"/>
  <c r="BH207" i="26"/>
  <c r="BO207" i="26"/>
  <c r="BQ207" i="26"/>
  <c r="BN207" i="26"/>
  <c r="BY207" i="26" l="1"/>
  <c r="BS207" i="26"/>
  <c r="BT207" i="26"/>
  <c r="BU207" i="26"/>
  <c r="BX207" i="26"/>
  <c r="BI208" i="26"/>
  <c r="BJ208" i="26" s="1"/>
  <c r="BW208" i="26" l="1"/>
  <c r="BV208" i="26"/>
  <c r="BL208" i="26"/>
  <c r="BK208" i="26"/>
  <c r="BM208" i="26" s="1"/>
  <c r="BQ208" i="26"/>
  <c r="BR208" i="26"/>
  <c r="BY208" i="26"/>
  <c r="BN208" i="26"/>
  <c r="BP208" i="26"/>
  <c r="BH208" i="26"/>
  <c r="BO208" i="26"/>
  <c r="BU208" i="26" l="1"/>
  <c r="BX208" i="26"/>
  <c r="BT208" i="26"/>
  <c r="BI209" i="26"/>
  <c r="BJ209" i="26" s="1"/>
  <c r="BS208" i="26"/>
  <c r="BL209" i="26" l="1"/>
  <c r="BK209" i="26"/>
  <c r="BM209" i="26" s="1"/>
  <c r="BW209" i="26"/>
  <c r="BV209" i="26"/>
  <c r="BQ209" i="26"/>
  <c r="BR209" i="26"/>
  <c r="BH209" i="26"/>
  <c r="BP209" i="26"/>
  <c r="BN209" i="26"/>
  <c r="BT209" i="26"/>
  <c r="BY209" i="26"/>
  <c r="BX209" i="26"/>
  <c r="BO209" i="26"/>
  <c r="BS209" i="26" l="1"/>
  <c r="BU209" i="26"/>
  <c r="BI210" i="26"/>
  <c r="BJ210" i="26" s="1"/>
  <c r="BK210" i="26" l="1"/>
  <c r="BM210" i="26" s="1"/>
  <c r="BW210" i="26"/>
  <c r="BV210" i="26"/>
  <c r="BL210" i="26"/>
  <c r="BT210" i="26" s="1"/>
  <c r="BN210" i="26"/>
  <c r="BY210" i="26"/>
  <c r="BO210" i="26"/>
  <c r="BR210" i="26"/>
  <c r="BP210" i="26"/>
  <c r="BH210" i="26" l="1"/>
  <c r="BU210" i="26"/>
  <c r="BS210" i="26"/>
  <c r="BX210" i="26"/>
  <c r="BQ210" i="26"/>
  <c r="BI211" i="26"/>
  <c r="BJ211" i="26" s="1"/>
  <c r="BW211" i="26" l="1"/>
  <c r="BV211" i="26"/>
  <c r="BL211" i="26"/>
  <c r="BK211" i="26"/>
  <c r="BM211" i="26" s="1"/>
  <c r="BP211" i="26"/>
  <c r="BR211" i="26"/>
  <c r="BO211" i="26"/>
  <c r="BH211" i="26"/>
  <c r="BX211" i="26"/>
  <c r="BQ211" i="26"/>
  <c r="BN211" i="26"/>
  <c r="BY211" i="26"/>
  <c r="BU211" i="26"/>
  <c r="BS211" i="26" l="1"/>
  <c r="BT211" i="26"/>
  <c r="BI212" i="26"/>
  <c r="BJ212" i="26" s="1"/>
  <c r="BW212" i="26" l="1"/>
  <c r="BL212" i="26"/>
  <c r="BH212" i="26" s="1"/>
  <c r="BK212" i="26"/>
  <c r="BM212" i="26" s="1"/>
  <c r="BV212" i="26"/>
  <c r="BR212" i="26"/>
  <c r="BP212" i="26"/>
  <c r="BQ212" i="26"/>
  <c r="BN212" i="26"/>
  <c r="BO212" i="26"/>
  <c r="BT212" i="26"/>
  <c r="BX212" i="26" l="1"/>
  <c r="BS212" i="26"/>
  <c r="BY212" i="26"/>
  <c r="BU212" i="26"/>
  <c r="BI213" i="26"/>
  <c r="BJ213" i="26" s="1"/>
  <c r="BL213" i="26" l="1"/>
  <c r="BK213" i="26"/>
  <c r="BY213" i="26" s="1"/>
  <c r="BV213" i="26"/>
  <c r="BW213" i="26"/>
  <c r="BO213" i="26"/>
  <c r="BM213" i="26"/>
  <c r="BP213" i="26"/>
  <c r="BN213" i="26"/>
  <c r="BX213" i="26"/>
  <c r="BR213" i="26"/>
  <c r="BQ213" i="26"/>
  <c r="BS213" i="26" l="1"/>
  <c r="BT213" i="26"/>
  <c r="BU213" i="26"/>
  <c r="BH213" i="26"/>
  <c r="BI214" i="26"/>
  <c r="BJ214" i="26" s="1"/>
  <c r="BK214" i="26" l="1"/>
  <c r="BM214" i="26" s="1"/>
  <c r="BW214" i="26"/>
  <c r="BL214" i="26"/>
  <c r="BV214" i="26"/>
  <c r="BR214" i="26"/>
  <c r="BS214" i="26"/>
  <c r="BP214" i="26"/>
  <c r="BN214" i="26"/>
  <c r="BY214" i="26"/>
  <c r="BQ214" i="26"/>
  <c r="BO214" i="26"/>
  <c r="BH214" i="26"/>
  <c r="BT214" i="26" l="1"/>
  <c r="BU214" i="26"/>
  <c r="BX214" i="26"/>
  <c r="BI215" i="26"/>
  <c r="BJ215" i="26" s="1"/>
  <c r="BV215" i="26" l="1"/>
  <c r="BL215" i="26"/>
  <c r="BK215" i="26"/>
  <c r="BM215" i="26" s="1"/>
  <c r="BR215" i="26"/>
  <c r="BW215" i="26"/>
  <c r="BO215" i="26"/>
  <c r="BQ215" i="26"/>
  <c r="BN215" i="26"/>
  <c r="BP215" i="26"/>
  <c r="BH215" i="26"/>
  <c r="BT215" i="26"/>
  <c r="BU215" i="26"/>
  <c r="BY215" i="26"/>
  <c r="BX215" i="26"/>
  <c r="BS215" i="26" l="1"/>
  <c r="BI216" i="26"/>
  <c r="BJ216" i="26" s="1"/>
  <c r="BK216" i="26" l="1"/>
  <c r="BM216" i="26" s="1"/>
  <c r="BW216" i="26"/>
  <c r="BV216" i="26"/>
  <c r="BL216" i="26"/>
  <c r="BY216" i="26" s="1"/>
  <c r="BN216" i="26"/>
  <c r="BT216" i="26"/>
  <c r="BU216" i="26"/>
  <c r="BR216" i="26"/>
  <c r="BS216" i="26"/>
  <c r="BP216" i="26"/>
  <c r="BO216" i="26"/>
  <c r="BQ216" i="26"/>
  <c r="BX216" i="26" l="1"/>
  <c r="BH216" i="26"/>
  <c r="BI217" i="26"/>
  <c r="BJ217" i="26" s="1"/>
  <c r="BL217" i="26" l="1"/>
  <c r="BK217" i="26"/>
  <c r="BM217" i="26" s="1"/>
  <c r="BW217" i="26"/>
  <c r="BV217" i="26"/>
  <c r="BP217" i="26"/>
  <c r="BQ217" i="26"/>
  <c r="BY217" i="26"/>
  <c r="BN217" i="26"/>
  <c r="BO217" i="26"/>
  <c r="BR217" i="26"/>
  <c r="BS217" i="26"/>
  <c r="BH217" i="26"/>
  <c r="BU217" i="26" l="1"/>
  <c r="BX217" i="26"/>
  <c r="BT217" i="26"/>
  <c r="BI218" i="26"/>
  <c r="BJ218" i="26" s="1"/>
  <c r="BW218" i="26" l="1"/>
  <c r="BV218" i="26"/>
  <c r="BL218" i="26"/>
  <c r="BK218" i="26"/>
  <c r="BM218" i="26" s="1"/>
  <c r="BH218" i="26"/>
  <c r="BO218" i="26"/>
  <c r="BP218" i="26"/>
  <c r="BQ218" i="26"/>
  <c r="BN218" i="26"/>
  <c r="BT218" i="26"/>
  <c r="BR218" i="26"/>
  <c r="BY218" i="26" l="1"/>
  <c r="BS218" i="26"/>
  <c r="BX218" i="26"/>
  <c r="BU218" i="26"/>
  <c r="BI219" i="26"/>
  <c r="BJ219" i="26" s="1"/>
  <c r="BL219" i="26" l="1"/>
  <c r="BR219" i="26"/>
  <c r="BK219" i="26"/>
  <c r="BM219" i="26" s="1"/>
  <c r="BW219" i="26"/>
  <c r="BV219" i="26"/>
  <c r="BQ219" i="26"/>
  <c r="BP219" i="26"/>
  <c r="BX219" i="26"/>
  <c r="BN219" i="26"/>
  <c r="BH219" i="26"/>
  <c r="BO219" i="26"/>
  <c r="BT219" i="26" l="1"/>
  <c r="BU219" i="26"/>
  <c r="BS219" i="26"/>
  <c r="BY219" i="26"/>
  <c r="BI220" i="26"/>
  <c r="BJ220" i="26" s="1"/>
  <c r="BK220" i="26" l="1"/>
  <c r="BM220" i="26" s="1"/>
  <c r="BV220" i="26"/>
  <c r="BL220" i="26"/>
  <c r="BR220" i="26"/>
  <c r="BW220" i="26"/>
  <c r="BX220" i="26"/>
  <c r="BQ220" i="26"/>
  <c r="BU220" i="26"/>
  <c r="BN220" i="26"/>
  <c r="BO220" i="26"/>
  <c r="BP220" i="26"/>
  <c r="BT220" i="26"/>
  <c r="BI221" i="26" l="1"/>
  <c r="BJ221" i="26" s="1"/>
  <c r="BY220" i="26"/>
  <c r="BH220" i="26"/>
  <c r="BS220" i="26"/>
  <c r="BL221" i="26" l="1"/>
  <c r="BH221" i="26" s="1"/>
  <c r="BK221" i="26"/>
  <c r="BM221" i="26" s="1"/>
  <c r="BW221" i="26"/>
  <c r="BO221" i="26"/>
  <c r="BV221" i="26"/>
  <c r="BP221" i="26"/>
  <c r="BN221" i="26"/>
  <c r="BQ221" i="26"/>
  <c r="BU221" i="26"/>
  <c r="BY221" i="26"/>
  <c r="BR221" i="26"/>
  <c r="BX221" i="26" l="1"/>
  <c r="BT221" i="26"/>
  <c r="BS221" i="26"/>
  <c r="BI222" i="26"/>
  <c r="BJ222" i="26" s="1"/>
  <c r="BK222" i="26" l="1"/>
  <c r="BM222" i="26" s="1"/>
  <c r="BL222" i="26"/>
  <c r="BW222" i="26"/>
  <c r="BV222" i="26"/>
  <c r="BO222" i="26"/>
  <c r="BN222" i="26"/>
  <c r="BT222" i="26"/>
  <c r="BH222" i="26"/>
  <c r="BR222" i="26"/>
  <c r="BP222" i="26"/>
  <c r="BQ222" i="26"/>
  <c r="BU222" i="26" l="1"/>
  <c r="BS222" i="26"/>
  <c r="BX222" i="26"/>
  <c r="BY222" i="26"/>
  <c r="BI223" i="26"/>
  <c r="BJ223" i="26" s="1"/>
  <c r="BL223" i="26" l="1"/>
  <c r="BW223" i="26"/>
  <c r="BV223" i="26"/>
  <c r="BK223" i="26"/>
  <c r="BM223" i="26" s="1"/>
  <c r="BO223" i="26"/>
  <c r="BH223" i="26"/>
  <c r="BQ223" i="26"/>
  <c r="BR223" i="26"/>
  <c r="BN223" i="26"/>
  <c r="BX223" i="26" l="1"/>
  <c r="BT223" i="26"/>
  <c r="BS223" i="26"/>
  <c r="BU223" i="26"/>
  <c r="BY223" i="26"/>
  <c r="BP223" i="26"/>
  <c r="BI224" i="26"/>
  <c r="BJ224" i="26" s="1"/>
  <c r="BW224" i="26" l="1"/>
  <c r="BL224" i="26"/>
  <c r="BV224" i="26"/>
  <c r="BK224" i="26"/>
  <c r="BM224" i="26" s="1"/>
  <c r="BR224" i="26"/>
  <c r="BP224" i="26"/>
  <c r="BN224" i="26"/>
  <c r="BO224" i="26"/>
  <c r="BU224" i="26"/>
  <c r="BQ224" i="26"/>
  <c r="BH224" i="26"/>
  <c r="BS224" i="26" l="1"/>
  <c r="BX224" i="26"/>
  <c r="BY224" i="26"/>
  <c r="BT224" i="26"/>
  <c r="BI225" i="26"/>
  <c r="BJ225" i="26" s="1"/>
  <c r="BL225" i="26" l="1"/>
  <c r="BW225" i="26"/>
  <c r="BK225" i="26"/>
  <c r="BR225" i="26" s="1"/>
  <c r="BV225" i="26"/>
  <c r="BO225" i="26"/>
  <c r="BQ225" i="26"/>
  <c r="BN225" i="26"/>
  <c r="BH225" i="26"/>
  <c r="BM225" i="26"/>
  <c r="BP225" i="26"/>
  <c r="BY225" i="26" l="1"/>
  <c r="BT225" i="26"/>
  <c r="BX225" i="26"/>
  <c r="BU225" i="26"/>
  <c r="BS225" i="26"/>
  <c r="BI226" i="26"/>
  <c r="BJ226" i="26" s="1"/>
  <c r="BK226" i="26" l="1"/>
  <c r="BM226" i="26" s="1"/>
  <c r="BW226" i="26"/>
  <c r="BV226" i="26"/>
  <c r="BL226" i="26"/>
  <c r="BQ226" i="26"/>
  <c r="BN226" i="26"/>
  <c r="BT226" i="26"/>
  <c r="BY226" i="26"/>
  <c r="BH226" i="26"/>
  <c r="BR226" i="26"/>
  <c r="BP226" i="26"/>
  <c r="BO226" i="26"/>
  <c r="BU226" i="26" l="1"/>
  <c r="BS226" i="26"/>
  <c r="BX226" i="26"/>
  <c r="BI227" i="26"/>
  <c r="BJ227" i="26" s="1"/>
  <c r="BV227" i="26" l="1"/>
  <c r="BK227" i="26"/>
  <c r="BM227" i="26" s="1"/>
  <c r="BR227" i="26"/>
  <c r="BW227" i="26"/>
  <c r="BL227" i="26"/>
  <c r="BO227" i="26"/>
  <c r="BN227" i="26"/>
  <c r="BH227" i="26"/>
  <c r="BP227" i="26"/>
  <c r="BQ227" i="26"/>
  <c r="BT227" i="26" l="1"/>
  <c r="BI228" i="26"/>
  <c r="BJ228" i="26" s="1"/>
  <c r="BY227" i="26"/>
  <c r="BU227" i="26"/>
  <c r="BX227" i="26"/>
  <c r="BS227" i="26"/>
  <c r="BW228" i="26" l="1"/>
  <c r="BV228" i="26"/>
  <c r="BK228" i="26"/>
  <c r="BM228" i="26" s="1"/>
  <c r="BL228" i="26"/>
  <c r="BR228" i="26"/>
  <c r="BN228" i="26"/>
  <c r="BH228" i="26"/>
  <c r="BP228" i="26"/>
  <c r="BS228" i="26"/>
  <c r="BO228" i="26"/>
  <c r="BQ228" i="26"/>
  <c r="BX228" i="26" l="1"/>
  <c r="BY228" i="26"/>
  <c r="BU228" i="26"/>
  <c r="BT228" i="26"/>
  <c r="BI229" i="26"/>
  <c r="BJ229" i="26" s="1"/>
  <c r="BK229" i="26" l="1"/>
  <c r="BM229" i="26" s="1"/>
  <c r="BW229" i="26"/>
  <c r="BV229" i="26"/>
  <c r="BL229" i="26"/>
  <c r="BN229" i="26"/>
  <c r="BR229" i="26"/>
  <c r="BU229" i="26"/>
  <c r="BY229" i="26"/>
  <c r="BO229" i="26"/>
  <c r="BQ229" i="26"/>
  <c r="BH229" i="26"/>
  <c r="BP229" i="26"/>
  <c r="BX229" i="26" l="1"/>
  <c r="BT229" i="26"/>
  <c r="BS229" i="26"/>
  <c r="BI230" i="26"/>
  <c r="BJ230" i="26" s="1"/>
  <c r="BV230" i="26" l="1"/>
  <c r="BL230" i="26"/>
  <c r="BK230" i="26"/>
  <c r="BM230" i="26" s="1"/>
  <c r="BW230" i="26"/>
  <c r="BR230" i="26"/>
  <c r="BO230" i="26"/>
  <c r="BQ230" i="26"/>
  <c r="BP230" i="26"/>
  <c r="BN230" i="26"/>
  <c r="BT230" i="26" l="1"/>
  <c r="BU230" i="26"/>
  <c r="BY230" i="26"/>
  <c r="BS230" i="26"/>
  <c r="BX230" i="26"/>
  <c r="BH230" i="26"/>
  <c r="BI231" i="26"/>
  <c r="BJ231" i="26" s="1"/>
  <c r="BL231" i="26" l="1"/>
  <c r="BK231" i="26"/>
  <c r="BM231" i="26" s="1"/>
  <c r="BW231" i="26"/>
  <c r="BV231" i="26"/>
  <c r="BP231" i="26"/>
  <c r="BR231" i="26"/>
  <c r="BN231" i="26"/>
  <c r="BO231" i="26"/>
  <c r="BQ231" i="26"/>
  <c r="BU231" i="26" l="1"/>
  <c r="BT231" i="26"/>
  <c r="BY231" i="26"/>
  <c r="BS231" i="26"/>
  <c r="BX231" i="26"/>
  <c r="BH231" i="26"/>
  <c r="BI232" i="26"/>
  <c r="BJ232" i="26" s="1"/>
  <c r="BW232" i="26" l="1"/>
  <c r="BV232" i="26"/>
  <c r="BL232" i="26"/>
  <c r="BK232" i="26"/>
  <c r="BM232" i="26" s="1"/>
  <c r="BQ232" i="26"/>
  <c r="BN232" i="26"/>
  <c r="BO232" i="26"/>
  <c r="BT232" i="26"/>
  <c r="BR232" i="26"/>
  <c r="BX232" i="26"/>
  <c r="BH232" i="26"/>
  <c r="BP232" i="26"/>
  <c r="BY232" i="26" l="1"/>
  <c r="BS232" i="26"/>
  <c r="BI233" i="26"/>
  <c r="BJ233" i="26" s="1"/>
  <c r="BU232" i="26"/>
  <c r="BW233" i="26" l="1"/>
  <c r="BV233" i="26"/>
  <c r="BL233" i="26"/>
  <c r="BK233" i="26"/>
  <c r="BY233" i="26" s="1"/>
  <c r="BR233" i="26"/>
  <c r="BQ233" i="26"/>
  <c r="BM233" i="26"/>
  <c r="BP233" i="26"/>
  <c r="BO233" i="26"/>
  <c r="BN233" i="26"/>
  <c r="BU233" i="26"/>
  <c r="BT233" i="26" l="1"/>
  <c r="BX233" i="26"/>
  <c r="BS233" i="26"/>
  <c r="BH233" i="26"/>
  <c r="BI234" i="26"/>
  <c r="BJ234" i="26" s="1"/>
  <c r="BL234" i="26" l="1"/>
  <c r="BK234" i="26"/>
  <c r="BM234" i="26" s="1"/>
  <c r="BW234" i="26"/>
  <c r="BV234" i="26"/>
  <c r="BN234" i="26"/>
  <c r="BH234" i="26"/>
  <c r="BR234" i="26"/>
  <c r="BP234" i="26"/>
  <c r="BQ234" i="26"/>
  <c r="BS234" i="26" l="1"/>
  <c r="BT234" i="26"/>
  <c r="BU234" i="26"/>
  <c r="BY234" i="26"/>
  <c r="BX234" i="26"/>
  <c r="BO234" i="26"/>
  <c r="BI235" i="26"/>
  <c r="BJ235" i="26" s="1"/>
  <c r="BL235" i="26" l="1"/>
  <c r="BW235" i="26"/>
  <c r="BV235" i="26"/>
  <c r="BK235" i="26"/>
  <c r="BM235" i="26" s="1"/>
  <c r="BR235" i="26"/>
  <c r="BN235" i="26"/>
  <c r="BP235" i="26"/>
  <c r="BO235" i="26"/>
  <c r="BH235" i="26"/>
  <c r="BT235" i="26" l="1"/>
  <c r="BU235" i="26"/>
  <c r="BY235" i="26"/>
  <c r="BS235" i="26"/>
  <c r="BX235" i="26"/>
  <c r="BQ235" i="26"/>
  <c r="BI236" i="26"/>
  <c r="BJ236" i="26" s="1"/>
  <c r="BL236" i="26" l="1"/>
  <c r="BK236" i="26"/>
  <c r="BM236" i="26" s="1"/>
  <c r="BW236" i="26"/>
  <c r="BV236" i="26"/>
  <c r="BQ236" i="26"/>
  <c r="BN236" i="26"/>
  <c r="BO236" i="26"/>
  <c r="BP236" i="26"/>
  <c r="BS236" i="26"/>
  <c r="BH236" i="26"/>
  <c r="BX236" i="26"/>
  <c r="BT236" i="26"/>
  <c r="BR236" i="26"/>
  <c r="BU236" i="26"/>
  <c r="BY236" i="26" l="1"/>
  <c r="BI237" i="26"/>
  <c r="BJ237" i="26" s="1"/>
  <c r="BK237" i="26" l="1"/>
  <c r="BM237" i="26" s="1"/>
  <c r="BL237" i="26"/>
  <c r="BW237" i="26"/>
  <c r="BV237" i="26"/>
  <c r="BR237" i="26"/>
  <c r="BQ237" i="26"/>
  <c r="BP237" i="26"/>
  <c r="BN237" i="26"/>
  <c r="BO237" i="26"/>
  <c r="BT237" i="26"/>
  <c r="BY237" i="26" l="1"/>
  <c r="BS237" i="26"/>
  <c r="BU237" i="26"/>
  <c r="BX237" i="26"/>
  <c r="BH237" i="26"/>
  <c r="BI238" i="26"/>
  <c r="BJ238" i="26" s="1"/>
  <c r="BL238" i="26" l="1"/>
  <c r="BV238" i="26"/>
  <c r="BK238" i="26"/>
  <c r="BM238" i="26" s="1"/>
  <c r="BW238" i="26"/>
  <c r="BO238" i="26"/>
  <c r="BQ238" i="26"/>
  <c r="BN238" i="26"/>
  <c r="BP238" i="26"/>
  <c r="BR238" i="26"/>
  <c r="BH238" i="26"/>
  <c r="BT238" i="26" l="1"/>
  <c r="BU238" i="26"/>
  <c r="BY238" i="26"/>
  <c r="BX238" i="26"/>
  <c r="BS238" i="26"/>
  <c r="BI239" i="26"/>
  <c r="BJ239" i="26" s="1"/>
  <c r="BK239" i="26" l="1"/>
  <c r="BM239" i="26" s="1"/>
  <c r="BW239" i="26"/>
  <c r="BV239" i="26"/>
  <c r="BL239" i="26"/>
  <c r="BS239" i="26" s="1"/>
  <c r="BT239" i="26"/>
  <c r="BR239" i="26"/>
  <c r="BN239" i="26"/>
  <c r="BP239" i="26"/>
  <c r="BQ239" i="26"/>
  <c r="BO239" i="26"/>
  <c r="BH239" i="26" l="1"/>
  <c r="BY239" i="26"/>
  <c r="BU239" i="26"/>
  <c r="BX239" i="26"/>
  <c r="BI240" i="26"/>
  <c r="BJ240" i="26" s="1"/>
  <c r="BL240" i="26" l="1"/>
  <c r="BK240" i="26"/>
  <c r="BM240" i="26" s="1"/>
  <c r="BW240" i="26"/>
  <c r="BV240" i="26"/>
  <c r="BH240" i="26"/>
  <c r="BN240" i="26"/>
  <c r="BR240" i="26"/>
  <c r="BP240" i="26"/>
  <c r="BX240" i="26"/>
  <c r="BS240" i="26"/>
  <c r="BT240" i="26"/>
  <c r="BQ240" i="26"/>
  <c r="BO240" i="26"/>
  <c r="BY240" i="26" l="1"/>
  <c r="BU240" i="26"/>
  <c r="BI241" i="26"/>
  <c r="BJ241" i="26" s="1"/>
  <c r="BL241" i="26" l="1"/>
  <c r="BK241" i="26"/>
  <c r="BM241" i="26" s="1"/>
  <c r="BW241" i="26"/>
  <c r="BV241" i="26"/>
  <c r="BN241" i="26"/>
  <c r="BQ241" i="26"/>
  <c r="BR241" i="26"/>
  <c r="BH241" i="26"/>
  <c r="BP241" i="26"/>
  <c r="BS241" i="26" l="1"/>
  <c r="BY241" i="26"/>
  <c r="BX241" i="26"/>
  <c r="BT241" i="26"/>
  <c r="BU241" i="26"/>
  <c r="BO241" i="26"/>
  <c r="BI242" i="26"/>
  <c r="BJ242" i="26" s="1"/>
  <c r="BL242" i="26" l="1"/>
  <c r="BV242" i="26"/>
  <c r="BW242" i="26"/>
  <c r="BK242" i="26"/>
  <c r="BM242" i="26" s="1"/>
  <c r="BO242" i="26"/>
  <c r="BR242" i="26"/>
  <c r="BH242" i="26"/>
  <c r="BP242" i="26"/>
  <c r="BN242" i="26"/>
  <c r="BT242" i="26" l="1"/>
  <c r="BU242" i="26"/>
  <c r="BX242" i="26"/>
  <c r="BY242" i="26"/>
  <c r="BS242" i="26"/>
  <c r="BQ242" i="26"/>
  <c r="BI243" i="26"/>
  <c r="BJ243" i="26" s="1"/>
  <c r="BL243" i="26" l="1"/>
  <c r="BK243" i="26"/>
  <c r="BM243" i="26" s="1"/>
  <c r="BW243" i="26"/>
  <c r="BV243" i="26"/>
  <c r="BR243" i="26"/>
  <c r="BN243" i="26"/>
  <c r="BP243" i="26"/>
  <c r="BO243" i="26"/>
  <c r="BY243" i="26"/>
  <c r="BH243" i="26"/>
  <c r="BQ243" i="26"/>
  <c r="BX243" i="26" l="1"/>
  <c r="BU243" i="26"/>
  <c r="BS243" i="26"/>
  <c r="BT243" i="26"/>
  <c r="BI244" i="26"/>
  <c r="BJ244" i="26" s="1"/>
  <c r="BK244" i="26" l="1"/>
  <c r="BR244" i="26" s="1"/>
  <c r="BW244" i="26"/>
  <c r="BV244" i="26"/>
  <c r="BL244" i="26"/>
  <c r="BH244" i="26" s="1"/>
  <c r="BP244" i="26"/>
  <c r="BN244" i="26"/>
  <c r="BT244" i="26"/>
  <c r="BO244" i="26"/>
  <c r="BQ244" i="26"/>
  <c r="BM244" i="26"/>
  <c r="BY244" i="26"/>
  <c r="BU244" i="26" l="1"/>
  <c r="BS244" i="26"/>
  <c r="BX244" i="26"/>
  <c r="BI245" i="26"/>
  <c r="BJ245" i="26" s="1"/>
  <c r="BL245" i="26" l="1"/>
  <c r="BH245" i="26" s="1"/>
  <c r="BK245" i="26"/>
  <c r="BM245" i="26" s="1"/>
  <c r="BW245" i="26"/>
  <c r="BV245" i="26"/>
  <c r="BR245" i="26"/>
  <c r="BQ245" i="26"/>
  <c r="BN245" i="26"/>
  <c r="BO245" i="26"/>
  <c r="BU245" i="26" l="1"/>
  <c r="BS245" i="26"/>
  <c r="BX245" i="26"/>
  <c r="BT245" i="26"/>
  <c r="BY245" i="26"/>
  <c r="BP245" i="26"/>
  <c r="BI246" i="26"/>
  <c r="BJ246" i="26" s="1"/>
  <c r="BL246" i="26" l="1"/>
  <c r="BV246" i="26"/>
  <c r="BK246" i="26"/>
  <c r="BM246" i="26" s="1"/>
  <c r="BW246" i="26"/>
  <c r="BR246" i="26"/>
  <c r="BP246" i="26"/>
  <c r="BQ246" i="26"/>
  <c r="BH246" i="26"/>
  <c r="BO246" i="26"/>
  <c r="BN246" i="26"/>
  <c r="BT246" i="26" l="1"/>
  <c r="BY246" i="26"/>
  <c r="BX246" i="26"/>
  <c r="BS246" i="26"/>
  <c r="BU246" i="26"/>
  <c r="BI247" i="26"/>
  <c r="BJ247" i="26" s="1"/>
  <c r="BK247" i="26" l="1"/>
  <c r="BM247" i="26" s="1"/>
  <c r="BV247" i="26"/>
  <c r="BL247" i="26"/>
  <c r="BW247" i="26"/>
  <c r="BR247" i="26"/>
  <c r="BN247" i="26"/>
  <c r="BH247" i="26"/>
  <c r="BO247" i="26"/>
  <c r="BX247" i="26"/>
  <c r="BP247" i="26"/>
  <c r="BQ247" i="26"/>
  <c r="BU247" i="26" l="1"/>
  <c r="BS247" i="26"/>
  <c r="BT247" i="26"/>
  <c r="BY247" i="26"/>
  <c r="BI248" i="26"/>
  <c r="BJ248" i="26" s="1"/>
  <c r="BV248" i="26" l="1"/>
  <c r="BL248" i="26"/>
  <c r="BW248" i="26"/>
  <c r="BK248" i="26"/>
  <c r="BM248" i="26" s="1"/>
  <c r="BQ248" i="26"/>
  <c r="BO248" i="26"/>
  <c r="BN248" i="26"/>
  <c r="BP248" i="26"/>
  <c r="BR248" i="26"/>
  <c r="BT248" i="26" l="1"/>
  <c r="BU248" i="26"/>
  <c r="BY248" i="26"/>
  <c r="BS248" i="26"/>
  <c r="BI249" i="26"/>
  <c r="BJ249" i="26" s="1"/>
  <c r="BX248" i="26"/>
  <c r="BH248" i="26"/>
  <c r="BW249" i="26" l="1"/>
  <c r="BV249" i="26"/>
  <c r="BL249" i="26"/>
  <c r="BH249" i="26" s="1"/>
  <c r="BK249" i="26"/>
  <c r="BM249" i="26" s="1"/>
  <c r="BN249" i="26"/>
  <c r="BO249" i="26"/>
  <c r="BU249" i="26"/>
  <c r="BR249" i="26"/>
  <c r="BP249" i="26"/>
  <c r="BS249" i="26" l="1"/>
  <c r="BT249" i="26"/>
  <c r="BX249" i="26"/>
  <c r="BY249" i="26"/>
  <c r="BQ249" i="26"/>
  <c r="BI250" i="26"/>
  <c r="BJ250" i="26" s="1"/>
  <c r="BL250" i="26" l="1"/>
  <c r="BV250" i="26" s="1"/>
  <c r="BW250" i="26"/>
  <c r="BK250" i="26"/>
  <c r="BM250" i="26" s="1"/>
  <c r="BP250" i="26"/>
  <c r="BQ250" i="26"/>
  <c r="BR250" i="26"/>
  <c r="BO250" i="26"/>
  <c r="BX250" i="26"/>
  <c r="BN250" i="26"/>
  <c r="BU250" i="26" l="1"/>
  <c r="BS250" i="26"/>
  <c r="BT250" i="26"/>
  <c r="BY250" i="26"/>
  <c r="BH250" i="26"/>
  <c r="BI251" i="26"/>
  <c r="BJ251" i="26" s="1"/>
  <c r="BW251" i="26" l="1"/>
  <c r="BK251" i="26"/>
  <c r="BM251" i="26" s="1"/>
  <c r="BV251" i="26"/>
  <c r="BL251" i="26"/>
  <c r="BH251" i="26" s="1"/>
  <c r="BR251" i="26"/>
  <c r="BX251" i="26"/>
  <c r="BQ251" i="26"/>
  <c r="BO251" i="26"/>
  <c r="BP251" i="26"/>
  <c r="BN251" i="26"/>
  <c r="BS251" i="26" l="1"/>
  <c r="BT251" i="26"/>
  <c r="BU251" i="26"/>
  <c r="BY251" i="26"/>
  <c r="BI252" i="26"/>
  <c r="BJ252" i="26" s="1"/>
  <c r="BW252" i="26" l="1"/>
  <c r="BV252" i="26"/>
  <c r="BL252" i="26"/>
  <c r="BK252" i="26"/>
  <c r="BN252" i="26" s="1"/>
  <c r="BP252" i="26"/>
  <c r="BM252" i="26"/>
  <c r="BQ252" i="26"/>
  <c r="BR252" i="26"/>
  <c r="BO252" i="26"/>
  <c r="BY252" i="26" l="1"/>
  <c r="BS252" i="26"/>
  <c r="BU252" i="26"/>
  <c r="BX252" i="26"/>
  <c r="BI253" i="26"/>
  <c r="BJ253" i="26" s="1"/>
  <c r="BT252" i="26"/>
  <c r="BH252" i="26"/>
  <c r="BK253" i="26" l="1"/>
  <c r="BM253" i="26" s="1"/>
  <c r="BW253" i="26"/>
  <c r="BL253" i="26"/>
  <c r="BQ253" i="26"/>
  <c r="BP253" i="26"/>
  <c r="BH253" i="26"/>
  <c r="BY253" i="26"/>
  <c r="BR253" i="26"/>
  <c r="BN253" i="26"/>
  <c r="BO253" i="26"/>
  <c r="BS253" i="26" l="1"/>
  <c r="BV253" i="26"/>
  <c r="BX253" i="26"/>
  <c r="BU253" i="26"/>
  <c r="BT253" i="26"/>
  <c r="BI254" i="26"/>
  <c r="BJ254" i="26" s="1"/>
  <c r="BK254" i="26" l="1"/>
  <c r="BL254" i="26"/>
  <c r="BS254" i="26" s="1"/>
  <c r="BW254" i="26"/>
  <c r="BM254" i="26"/>
  <c r="BQ254" i="26"/>
  <c r="BO254" i="26"/>
  <c r="BP254" i="26"/>
  <c r="BR254" i="26"/>
  <c r="BN254" i="26"/>
  <c r="BU254" i="26" l="1"/>
  <c r="BX254" i="26"/>
  <c r="BV254" i="26"/>
  <c r="BY254" i="26"/>
  <c r="BT254" i="26"/>
  <c r="BH254" i="26"/>
  <c r="BI255" i="26"/>
  <c r="BJ255" i="26" s="1"/>
  <c r="BV255" i="26" l="1"/>
  <c r="BL255" i="26"/>
  <c r="BW255" i="26"/>
  <c r="BK255" i="26"/>
  <c r="BT255" i="26" s="1"/>
  <c r="BR255" i="26"/>
  <c r="BO255" i="26"/>
  <c r="BM255" i="26"/>
  <c r="BQ255" i="26"/>
  <c r="BP255" i="26"/>
  <c r="BN255" i="26"/>
  <c r="BY255" i="26" l="1"/>
  <c r="BU255" i="26"/>
  <c r="BI256" i="26"/>
  <c r="BJ256" i="26" s="1"/>
  <c r="BX255" i="26"/>
  <c r="BS255" i="26"/>
  <c r="BH255" i="26"/>
  <c r="BK256" i="26" l="1"/>
  <c r="BY256" i="26" s="1"/>
  <c r="BW256" i="26"/>
  <c r="BL256" i="26"/>
  <c r="BH256" i="26" s="1"/>
  <c r="BV256" i="26"/>
  <c r="BM256" i="26"/>
  <c r="BP256" i="26"/>
  <c r="BT256" i="26"/>
  <c r="BX256" i="26"/>
  <c r="BU256" i="26"/>
  <c r="BR256" i="26"/>
  <c r="BQ256" i="26"/>
  <c r="BN256" i="26"/>
  <c r="BS256" i="26"/>
  <c r="BO256" i="26"/>
  <c r="BI257" i="26" l="1"/>
  <c r="BJ257" i="26" s="1"/>
  <c r="BK257" i="26" l="1"/>
  <c r="BN257" i="26" s="1"/>
  <c r="BW257" i="26"/>
  <c r="BL257" i="26"/>
  <c r="BH257" i="26" s="1"/>
  <c r="BV257" i="26"/>
  <c r="BM257" i="26"/>
  <c r="BR257" i="26"/>
  <c r="BO257" i="26"/>
  <c r="BQ257" i="26"/>
  <c r="BP257" i="26"/>
  <c r="BU257" i="26" l="1"/>
  <c r="BS257" i="26"/>
  <c r="BT257" i="26"/>
  <c r="BX257" i="26"/>
  <c r="BY257" i="26"/>
  <c r="BI258" i="26"/>
  <c r="BJ258" i="26" s="1"/>
  <c r="BW258" i="26" l="1"/>
  <c r="BV258" i="26"/>
  <c r="BL258" i="26"/>
  <c r="BH258" i="26" s="1"/>
  <c r="BK258" i="26"/>
  <c r="BM258" i="26" s="1"/>
  <c r="BN258" i="26"/>
  <c r="BQ258" i="26"/>
  <c r="BP258" i="26"/>
  <c r="BR258" i="26"/>
  <c r="BO258" i="26"/>
  <c r="BT258" i="26" l="1"/>
  <c r="BY258" i="26"/>
  <c r="BX258" i="26"/>
  <c r="BS258" i="26"/>
  <c r="BU258" i="26"/>
  <c r="BI259" i="26"/>
  <c r="BJ259" i="26" s="1"/>
  <c r="BW259" i="26" l="1"/>
  <c r="BK259" i="26"/>
  <c r="BM259" i="26" s="1"/>
  <c r="BV259" i="26"/>
  <c r="BL259" i="26"/>
  <c r="BQ259" i="26"/>
  <c r="BH259" i="26"/>
  <c r="BP259" i="26"/>
  <c r="BR259" i="26"/>
  <c r="BN259" i="26"/>
  <c r="BO259" i="26"/>
  <c r="BY259" i="26" l="1"/>
  <c r="BT259" i="26"/>
  <c r="BX259" i="26"/>
  <c r="BS259" i="26"/>
  <c r="BU259" i="26"/>
  <c r="BI260" i="26"/>
  <c r="BJ260" i="26" s="1"/>
  <c r="BW260" i="26" l="1"/>
  <c r="BV260" i="26"/>
  <c r="BL260" i="26"/>
  <c r="BK260" i="26"/>
  <c r="BU260" i="26" s="1"/>
  <c r="BH260" i="26"/>
  <c r="BP260" i="26"/>
  <c r="BO260" i="26"/>
  <c r="BR260" i="26"/>
  <c r="BM260" i="26"/>
  <c r="BN260" i="26"/>
  <c r="BQ260" i="26"/>
  <c r="BY260" i="26" l="1"/>
  <c r="BT260" i="26"/>
  <c r="BX260" i="26"/>
  <c r="BS260" i="26"/>
  <c r="BI261" i="26"/>
  <c r="BJ261" i="26" s="1"/>
  <c r="BL261" i="26" l="1"/>
  <c r="BH261" i="26" s="1"/>
  <c r="BW261" i="26"/>
  <c r="BV261" i="26"/>
  <c r="BK261" i="26"/>
  <c r="BM261" i="26" s="1"/>
  <c r="BN261" i="26"/>
  <c r="BR261" i="26"/>
  <c r="BP261" i="26"/>
  <c r="BO261" i="26"/>
  <c r="BS261" i="26" l="1"/>
  <c r="BY261" i="26"/>
  <c r="BX261" i="26"/>
  <c r="BT261" i="26"/>
  <c r="BU261" i="26"/>
  <c r="BQ261" i="26"/>
  <c r="BI262" i="26"/>
  <c r="BJ262" i="26" s="1"/>
  <c r="BK262" i="26" l="1"/>
  <c r="BM262" i="26" s="1"/>
  <c r="BW262" i="26"/>
  <c r="BV262" i="26"/>
  <c r="BL262" i="26"/>
  <c r="BN262" i="26"/>
  <c r="BQ262" i="26"/>
  <c r="BR262" i="26"/>
  <c r="BO262" i="26"/>
  <c r="BH262" i="26"/>
  <c r="BX262" i="26"/>
  <c r="BU262" i="26" l="1"/>
  <c r="BS262" i="26"/>
  <c r="BY262" i="26"/>
  <c r="BT262" i="26"/>
  <c r="BP262" i="26"/>
  <c r="BI263" i="26"/>
  <c r="BJ263" i="26" s="1"/>
  <c r="BW263" i="26" l="1"/>
  <c r="BK263" i="26"/>
  <c r="BM263" i="26" s="1"/>
  <c r="BV263" i="26"/>
  <c r="BL263" i="26"/>
  <c r="BO263" i="26"/>
  <c r="BR263" i="26"/>
  <c r="BP263" i="26"/>
  <c r="BN263" i="26"/>
  <c r="BX263" i="26"/>
  <c r="BQ263" i="26"/>
  <c r="BH263" i="26"/>
  <c r="BT263" i="26" l="1"/>
  <c r="BS263" i="26"/>
  <c r="BU263" i="26"/>
  <c r="BY263" i="26"/>
  <c r="BI264" i="26"/>
  <c r="BJ264" i="26" s="1"/>
  <c r="BW264" i="26" l="1"/>
  <c r="BV264" i="26"/>
  <c r="BL264" i="26"/>
  <c r="BK264" i="26"/>
  <c r="BM264" i="26" s="1"/>
  <c r="BQ264" i="26"/>
  <c r="BN264" i="26"/>
  <c r="BP264" i="26"/>
  <c r="BO264" i="26"/>
  <c r="BR264" i="26"/>
  <c r="BY264" i="26" l="1"/>
  <c r="BX264" i="26"/>
  <c r="BT264" i="26"/>
  <c r="BS264" i="26"/>
  <c r="BI265" i="26"/>
  <c r="BJ265" i="26" s="1"/>
  <c r="BH264" i="26"/>
  <c r="BU264" i="26"/>
  <c r="BW265" i="26" l="1"/>
  <c r="BV265" i="26"/>
  <c r="BL265" i="26"/>
  <c r="BK265" i="26"/>
  <c r="BM265" i="26" s="1"/>
  <c r="BO265" i="26"/>
  <c r="BP265" i="26"/>
  <c r="BQ265" i="26"/>
  <c r="BN265" i="26"/>
  <c r="BR265" i="26"/>
  <c r="BT265" i="26"/>
  <c r="BH265" i="26"/>
  <c r="BU265" i="26" l="1"/>
  <c r="BS265" i="26"/>
  <c r="BX265" i="26"/>
  <c r="BY265" i="26"/>
  <c r="BI266" i="26"/>
  <c r="BJ266" i="26" s="1"/>
  <c r="BK266" i="26" l="1"/>
  <c r="BM266" i="26" s="1"/>
  <c r="BL266" i="26"/>
  <c r="BW266" i="26"/>
  <c r="BV266" i="26"/>
  <c r="BO266" i="26"/>
  <c r="BP266" i="26"/>
  <c r="BN266" i="26"/>
  <c r="BQ266" i="26"/>
  <c r="BR266" i="26"/>
  <c r="BH266" i="26"/>
  <c r="BS266" i="26"/>
  <c r="BT266" i="26" l="1"/>
  <c r="BX266" i="26"/>
  <c r="BY266" i="26"/>
  <c r="BU266" i="26"/>
  <c r="BI267" i="26"/>
  <c r="BJ267" i="26" s="1"/>
  <c r="BL267" i="26" l="1"/>
  <c r="BW267" i="26"/>
  <c r="BV267" i="26"/>
  <c r="BK267" i="26"/>
  <c r="BM267" i="26" s="1"/>
  <c r="BR267" i="26"/>
  <c r="BQ267" i="26"/>
  <c r="BP267" i="26"/>
  <c r="BT267" i="26"/>
  <c r="BU267" i="26"/>
  <c r="BH267" i="26"/>
  <c r="BN267" i="26"/>
  <c r="BO267" i="26"/>
  <c r="BX267" i="26" l="1"/>
  <c r="BS267" i="26"/>
  <c r="BY267" i="26"/>
  <c r="BI268" i="26"/>
  <c r="BJ268" i="26" s="1"/>
  <c r="BN268" i="26" l="1"/>
  <c r="BW268" i="26"/>
  <c r="BV268" i="26"/>
  <c r="BQ268" i="26"/>
  <c r="BP268" i="26"/>
  <c r="BL268" i="26"/>
  <c r="BK268" i="26"/>
  <c r="BO268" i="26" s="1"/>
  <c r="BH268" i="26"/>
  <c r="BM268" i="26"/>
  <c r="BR268" i="26"/>
  <c r="BT268" i="26" l="1"/>
  <c r="BX268" i="26"/>
  <c r="BS268" i="26"/>
  <c r="BI269" i="26"/>
  <c r="BJ269" i="26" s="1"/>
  <c r="BY268" i="26"/>
  <c r="BU268" i="26"/>
  <c r="BK269" i="26" l="1"/>
  <c r="BT269" i="26" s="1"/>
  <c r="BW269" i="26"/>
  <c r="BV269" i="26"/>
  <c r="BL269" i="26"/>
  <c r="BO269" i="26"/>
  <c r="BQ269" i="26"/>
  <c r="BP269" i="26"/>
  <c r="BU269" i="26"/>
  <c r="BS269" i="26"/>
  <c r="BH269" i="26"/>
  <c r="BN269" i="26"/>
  <c r="BM269" i="26"/>
  <c r="BR269" i="26"/>
  <c r="BX269" i="26" l="1"/>
  <c r="BY269" i="26"/>
  <c r="BI270" i="26"/>
  <c r="BJ270" i="26" s="1"/>
  <c r="BK270" i="26" l="1"/>
  <c r="BO270" i="26" s="1"/>
  <c r="BW270" i="26"/>
  <c r="BV270" i="26"/>
  <c r="BL270" i="26"/>
  <c r="BX270" i="26" s="1"/>
  <c r="BQ270" i="26"/>
  <c r="BP270" i="26"/>
  <c r="BR270" i="26"/>
  <c r="BS270" i="26"/>
  <c r="BY270" i="26"/>
  <c r="BT270" i="26"/>
  <c r="BN270" i="26"/>
  <c r="BM270" i="26"/>
  <c r="BU270" i="26"/>
  <c r="BH270" i="26" l="1"/>
  <c r="BI271" i="26"/>
  <c r="BJ271" i="26" s="1"/>
  <c r="BL271" i="26" l="1"/>
  <c r="BK271" i="26"/>
  <c r="BQ271" i="26" s="1"/>
  <c r="BV271" i="26"/>
  <c r="BH271" i="26"/>
  <c r="BW271" i="26"/>
  <c r="BN271" i="26"/>
  <c r="BM271" i="26"/>
  <c r="BO271" i="26"/>
  <c r="BS271" i="26"/>
  <c r="BR271" i="26"/>
  <c r="BP271" i="26"/>
  <c r="BX271" i="26" l="1"/>
  <c r="BT271" i="26"/>
  <c r="BY271" i="26"/>
  <c r="BU271" i="26"/>
  <c r="BI272" i="26"/>
  <c r="BJ272" i="26" s="1"/>
  <c r="BW272" i="26" l="1"/>
  <c r="BL272" i="26"/>
  <c r="BK272" i="26"/>
  <c r="BO272" i="26" s="1"/>
  <c r="BV272" i="26"/>
  <c r="BM272" i="26"/>
  <c r="BQ272" i="26"/>
  <c r="BN272" i="26"/>
  <c r="BR272" i="26"/>
  <c r="BT272" i="26"/>
  <c r="BP272" i="26"/>
  <c r="BU272" i="26" l="1"/>
  <c r="BY272" i="26"/>
  <c r="BX272" i="26"/>
  <c r="BS272" i="26"/>
  <c r="BI273" i="26"/>
  <c r="BJ273" i="26" s="1"/>
  <c r="BH272" i="26"/>
  <c r="BW273" i="26" l="1"/>
  <c r="BL273" i="26"/>
  <c r="BV273" i="26" s="1"/>
  <c r="BK273" i="26"/>
  <c r="BN273" i="26" s="1"/>
  <c r="BP273" i="26"/>
  <c r="BR273" i="26"/>
  <c r="BM273" i="26"/>
  <c r="BO273" i="26"/>
  <c r="BQ273" i="26"/>
  <c r="BH273" i="26" l="1"/>
  <c r="BU273" i="26"/>
  <c r="BT273" i="26"/>
  <c r="BS273" i="26"/>
  <c r="BX273" i="26"/>
  <c r="BY273" i="26"/>
  <c r="BI274" i="26"/>
  <c r="BJ274" i="26" s="1"/>
  <c r="BV274" i="26" l="1"/>
  <c r="BL274" i="26"/>
  <c r="BK274" i="26"/>
  <c r="BM274" i="26" s="1"/>
  <c r="BW274" i="26"/>
  <c r="BH274" i="26"/>
  <c r="BN274" i="26"/>
  <c r="BP274" i="26"/>
  <c r="BR274" i="26"/>
  <c r="BT274" i="26"/>
  <c r="BY274" i="26"/>
  <c r="BQ274" i="26"/>
  <c r="BS274" i="26" l="1"/>
  <c r="BU274" i="26"/>
  <c r="BX274" i="26"/>
  <c r="BO274" i="26"/>
  <c r="BI275" i="26"/>
  <c r="BJ275" i="26" s="1"/>
  <c r="BW275" i="26" l="1"/>
  <c r="BK275" i="26"/>
  <c r="BM275" i="26" s="1"/>
  <c r="BV275" i="26"/>
  <c r="BL275" i="26"/>
  <c r="BQ275" i="26"/>
  <c r="BP275" i="26"/>
  <c r="BO275" i="26"/>
  <c r="BT275" i="26"/>
  <c r="BH275" i="26"/>
  <c r="BN275" i="26"/>
  <c r="BS275" i="26"/>
  <c r="BR275" i="26"/>
  <c r="BX275" i="26" l="1"/>
  <c r="BY275" i="26"/>
  <c r="BU275" i="26"/>
  <c r="BI276" i="26"/>
  <c r="BJ276" i="26" s="1"/>
  <c r="BV276" i="26" l="1"/>
  <c r="BL276" i="26"/>
  <c r="BK276" i="26"/>
  <c r="BU276" i="26" s="1"/>
  <c r="BW276" i="26"/>
  <c r="BO276" i="26"/>
  <c r="BM276" i="26"/>
  <c r="BN276" i="26"/>
  <c r="BP276" i="26"/>
  <c r="BQ276" i="26"/>
  <c r="BR276" i="26"/>
  <c r="BX276" i="26"/>
  <c r="BY276" i="26" l="1"/>
  <c r="BT276" i="26"/>
  <c r="BS276" i="26"/>
  <c r="BI277" i="26"/>
  <c r="BJ277" i="26" s="1"/>
  <c r="BH276" i="26"/>
  <c r="BV277" i="26" l="1"/>
  <c r="BL277" i="26"/>
  <c r="BH277" i="26" s="1"/>
  <c r="BK277" i="26"/>
  <c r="BM277" i="26" s="1"/>
  <c r="BW277" i="26"/>
  <c r="BP277" i="26"/>
  <c r="BO277" i="26"/>
  <c r="BT277" i="26"/>
  <c r="BR277" i="26"/>
  <c r="BN277" i="26"/>
  <c r="BX277" i="26"/>
  <c r="BU277" i="26"/>
  <c r="BQ277" i="26"/>
  <c r="BS277" i="26" l="1"/>
  <c r="BY277" i="26"/>
  <c r="BI278" i="26"/>
  <c r="BJ278" i="26" s="1"/>
  <c r="BW278" i="26" l="1"/>
  <c r="BV278" i="26"/>
  <c r="BL278" i="26"/>
  <c r="BK278" i="26"/>
  <c r="BM278" i="26" s="1"/>
  <c r="BO278" i="26"/>
  <c r="BR278" i="26"/>
  <c r="BH278" i="26"/>
  <c r="BU278" i="26"/>
  <c r="BN278" i="26"/>
  <c r="BQ278" i="26"/>
  <c r="BP278" i="26"/>
  <c r="BS278" i="26" l="1"/>
  <c r="BX278" i="26"/>
  <c r="BY278" i="26"/>
  <c r="BT278" i="26"/>
  <c r="BI279" i="26"/>
  <c r="BJ279" i="26" s="1"/>
  <c r="BV279" i="26" l="1"/>
  <c r="BL279" i="26"/>
  <c r="BW279" i="26"/>
  <c r="BK279" i="26"/>
  <c r="BM279" i="26" s="1"/>
  <c r="BO279" i="26"/>
  <c r="BH279" i="26"/>
  <c r="BN279" i="26"/>
  <c r="BR279" i="26"/>
  <c r="BP279" i="26"/>
  <c r="BQ279" i="26"/>
  <c r="BT279" i="26"/>
  <c r="BS279" i="26" l="1"/>
  <c r="BX279" i="26"/>
  <c r="BU279" i="26"/>
  <c r="BY279" i="26"/>
  <c r="BI280" i="26"/>
  <c r="BJ280" i="26" s="1"/>
  <c r="BW280" i="26" l="1"/>
  <c r="BV280" i="26"/>
  <c r="BL280" i="26"/>
  <c r="BK280" i="26"/>
  <c r="BM280" i="26" s="1"/>
  <c r="BQ280" i="26"/>
  <c r="BN280" i="26"/>
  <c r="BR280" i="26"/>
  <c r="BP280" i="26"/>
  <c r="BO280" i="26"/>
  <c r="BT280" i="26" l="1"/>
  <c r="BX280" i="26"/>
  <c r="BS280" i="26"/>
  <c r="BI281" i="26"/>
  <c r="BJ281" i="26" s="1"/>
  <c r="BH280" i="26"/>
  <c r="BU280" i="26"/>
  <c r="BY280" i="26"/>
  <c r="BW281" i="26" l="1"/>
  <c r="BV281" i="26"/>
  <c r="BL281" i="26"/>
  <c r="BK281" i="26"/>
  <c r="BM281" i="26" s="1"/>
  <c r="BR281" i="26"/>
  <c r="BQ281" i="26"/>
  <c r="BP281" i="26"/>
  <c r="BU281" i="26"/>
  <c r="BN281" i="26"/>
  <c r="BX281" i="26"/>
  <c r="BH281" i="26"/>
  <c r="BO281" i="26"/>
  <c r="BS281" i="26" l="1"/>
  <c r="BT281" i="26"/>
  <c r="BY281" i="26"/>
  <c r="BI282" i="26"/>
  <c r="BJ282" i="26" s="1"/>
  <c r="BV282" i="26" l="1"/>
  <c r="BK282" i="26"/>
  <c r="BU282" i="26" s="1"/>
  <c r="BW282" i="26"/>
  <c r="BL282" i="26"/>
  <c r="BQ282" i="26"/>
  <c r="BS282" i="26"/>
  <c r="BO282" i="26"/>
  <c r="BR282" i="26"/>
  <c r="BT282" i="26"/>
  <c r="BN282" i="26"/>
  <c r="BM282" i="26"/>
  <c r="BY282" i="26" l="1"/>
  <c r="BX282" i="26"/>
  <c r="BP282" i="26"/>
  <c r="BI283" i="26"/>
  <c r="BJ283" i="26" s="1"/>
  <c r="BH282" i="26"/>
  <c r="BK283" i="26" l="1"/>
  <c r="BM283" i="26" s="1"/>
  <c r="BW283" i="26"/>
  <c r="BV283" i="26"/>
  <c r="BL283" i="26"/>
  <c r="BT283" i="26" s="1"/>
  <c r="BP283" i="26"/>
  <c r="BN283" i="26"/>
  <c r="BX283" i="26"/>
  <c r="BS283" i="26"/>
  <c r="BQ283" i="26"/>
  <c r="BR283" i="26"/>
  <c r="BH283" i="26"/>
  <c r="BU283" i="26" l="1"/>
  <c r="BY283" i="26"/>
  <c r="BO283" i="26"/>
  <c r="BI284" i="26"/>
  <c r="BJ284" i="26" s="1"/>
  <c r="BV284" i="26" l="1"/>
  <c r="BW284" i="26"/>
  <c r="BK284" i="26"/>
  <c r="BM284" i="26" s="1"/>
  <c r="BL284" i="26"/>
  <c r="BQ284" i="26"/>
  <c r="BR284" i="26"/>
  <c r="BO284" i="26"/>
  <c r="BP284" i="26"/>
  <c r="BU284" i="26"/>
  <c r="BN284" i="26"/>
  <c r="BX284" i="26"/>
  <c r="BT284" i="26" l="1"/>
  <c r="BS284" i="26"/>
  <c r="BI285" i="26"/>
  <c r="BJ285" i="26" s="1"/>
  <c r="BY284" i="26"/>
  <c r="BH284" i="26"/>
  <c r="BV285" i="26" l="1"/>
  <c r="BL285" i="26"/>
  <c r="BW285" i="26"/>
  <c r="BK285" i="26"/>
  <c r="BM285" i="26" s="1"/>
  <c r="BQ285" i="26"/>
  <c r="BR285" i="26"/>
  <c r="BT285" i="26"/>
  <c r="BU285" i="26"/>
  <c r="BH285" i="26"/>
  <c r="BN285" i="26"/>
  <c r="BP285" i="26"/>
  <c r="BS285" i="26" l="1"/>
  <c r="BY285" i="26"/>
  <c r="BX285" i="26"/>
  <c r="BO285" i="26"/>
  <c r="BI286" i="26"/>
  <c r="BJ286" i="26" s="1"/>
  <c r="BV286" i="26" l="1"/>
  <c r="BK286" i="26"/>
  <c r="BM286" i="26" s="1"/>
  <c r="BW286" i="26"/>
  <c r="BL286" i="26"/>
  <c r="BY286" i="26" s="1"/>
  <c r="BQ286" i="26"/>
  <c r="BP286" i="26"/>
  <c r="BU286" i="26"/>
  <c r="BX286" i="26"/>
  <c r="BH286" i="26"/>
  <c r="BT286" i="26"/>
  <c r="BR286" i="26"/>
  <c r="BO286" i="26"/>
  <c r="BN286" i="26"/>
  <c r="BS286" i="26" l="1"/>
  <c r="BI287" i="26"/>
  <c r="BJ287" i="26" s="1"/>
  <c r="BV287" i="26" l="1"/>
  <c r="BL287" i="26"/>
  <c r="BK287" i="26"/>
  <c r="BM287" i="26" s="1"/>
  <c r="BW287" i="26"/>
  <c r="BO287" i="26"/>
  <c r="BU287" i="26"/>
  <c r="BN287" i="26"/>
  <c r="BS287" i="26"/>
  <c r="BR287" i="26"/>
  <c r="BQ287" i="26"/>
  <c r="BH287" i="26"/>
  <c r="BP287" i="26"/>
  <c r="BT287" i="26" l="1"/>
  <c r="BY287" i="26"/>
  <c r="BX287" i="26"/>
  <c r="BI288" i="26"/>
  <c r="BJ288" i="26" s="1"/>
  <c r="BV288" i="26" l="1"/>
  <c r="BW288" i="26"/>
  <c r="BL288" i="26"/>
  <c r="BK288" i="26"/>
  <c r="BN288" i="26" s="1"/>
  <c r="BM288" i="26"/>
  <c r="BR288" i="26"/>
  <c r="BO288" i="26"/>
  <c r="BP288" i="26"/>
  <c r="BQ288" i="26"/>
  <c r="BU288" i="26" l="1"/>
  <c r="BS288" i="26"/>
  <c r="BI289" i="26"/>
  <c r="BJ289" i="26" s="1"/>
  <c r="BY288" i="26"/>
  <c r="BT288" i="26"/>
  <c r="BX288" i="26"/>
  <c r="BH288" i="26"/>
  <c r="BL289" i="26" l="1"/>
  <c r="BW289" i="26"/>
  <c r="BK289" i="26"/>
  <c r="BM289" i="26" s="1"/>
  <c r="BV289" i="26"/>
  <c r="BR289" i="26"/>
  <c r="BP289" i="26"/>
  <c r="BQ289" i="26"/>
  <c r="BU289" i="26"/>
  <c r="BS289" i="26"/>
  <c r="BO289" i="26"/>
  <c r="BN289" i="26"/>
  <c r="BY289" i="26" l="1"/>
  <c r="BT289" i="26"/>
  <c r="BX289" i="26"/>
  <c r="BH289" i="26"/>
  <c r="BI290" i="26"/>
  <c r="BJ290" i="26" s="1"/>
  <c r="BK290" i="26" l="1"/>
  <c r="BM290" i="26" s="1"/>
  <c r="BW290" i="26"/>
  <c r="BV290" i="26"/>
  <c r="BL290" i="26"/>
  <c r="BR290" i="26"/>
  <c r="BN290" i="26"/>
  <c r="BX290" i="26"/>
  <c r="BO290" i="26"/>
  <c r="BP290" i="26"/>
  <c r="BH290" i="26"/>
  <c r="BQ290" i="26"/>
  <c r="BT290" i="26" l="1"/>
  <c r="BY290" i="26"/>
  <c r="BU290" i="26"/>
  <c r="BS290" i="26"/>
  <c r="BI291" i="26"/>
  <c r="BJ291" i="26" s="1"/>
  <c r="BK291" i="26" l="1"/>
  <c r="BM291" i="26" s="1"/>
  <c r="BV291" i="26"/>
  <c r="BL291" i="26"/>
  <c r="BW291" i="26"/>
  <c r="BY291" i="26"/>
  <c r="BS291" i="26"/>
  <c r="BO291" i="26"/>
  <c r="BN291" i="26"/>
  <c r="BQ291" i="26"/>
  <c r="BP291" i="26"/>
  <c r="BR291" i="26"/>
  <c r="BC9" i="35"/>
  <c r="Z8" i="35"/>
  <c r="Z31" i="35"/>
  <c r="AC10" i="35"/>
  <c r="AY7" i="35"/>
  <c r="AY17" i="35"/>
  <c r="AP23" i="35"/>
  <c r="AL20" i="35"/>
  <c r="AM23" i="35"/>
  <c r="AM29" i="35"/>
  <c r="AP32" i="35"/>
  <c r="Z27" i="35"/>
  <c r="AP24" i="35"/>
  <c r="AL31" i="35"/>
  <c r="AC11" i="35"/>
  <c r="AY8" i="35"/>
  <c r="AY16" i="35"/>
  <c r="AL12" i="35"/>
  <c r="BC10" i="35"/>
  <c r="AZ20" i="35"/>
  <c r="AL23" i="35"/>
  <c r="Z34" i="35"/>
  <c r="AZ5" i="35"/>
  <c r="AM21" i="35"/>
  <c r="BC20" i="35"/>
  <c r="AC27" i="35"/>
  <c r="Y34" i="35"/>
  <c r="AP8" i="35"/>
  <c r="AL11" i="35"/>
  <c r="Y30" i="35"/>
  <c r="Z26" i="35"/>
  <c r="AP28" i="35"/>
  <c r="AZ21" i="35"/>
  <c r="Y9" i="35"/>
  <c r="Z32" i="35"/>
  <c r="Y25" i="35"/>
  <c r="AM28" i="35"/>
  <c r="Y26" i="35"/>
  <c r="AL4" i="35"/>
  <c r="AP20" i="35"/>
  <c r="AM36" i="35"/>
  <c r="AM24" i="35"/>
  <c r="AZ18" i="35"/>
  <c r="AY20" i="35"/>
  <c r="Y15" i="35"/>
  <c r="AL22" i="35"/>
  <c r="Y17" i="35"/>
  <c r="Z14" i="35"/>
  <c r="AP36" i="35"/>
  <c r="AL19" i="35"/>
  <c r="AP16" i="35"/>
  <c r="AM14" i="35"/>
  <c r="Y33" i="35"/>
  <c r="BC5" i="35"/>
  <c r="AP33" i="35"/>
  <c r="AC20" i="35"/>
  <c r="Y23" i="35"/>
  <c r="AY4" i="35"/>
  <c r="BC22" i="35"/>
  <c r="AL15" i="35"/>
  <c r="Z17" i="35"/>
  <c r="AM31" i="35"/>
  <c r="AM32" i="35"/>
  <c r="AC31" i="35"/>
  <c r="Z24" i="35"/>
  <c r="AL27" i="35"/>
  <c r="Y13" i="35"/>
  <c r="AL37" i="35"/>
  <c r="AL28" i="35"/>
  <c r="AL14" i="35"/>
  <c r="Y14" i="35"/>
  <c r="Y31" i="35"/>
  <c r="AL36" i="35"/>
  <c r="AM13" i="35"/>
  <c r="Z35" i="35"/>
  <c r="AZ10" i="35"/>
  <c r="Z10" i="35"/>
  <c r="AM20" i="35"/>
  <c r="AM12" i="35"/>
  <c r="AP15" i="35"/>
  <c r="AY12" i="35"/>
  <c r="AZ13" i="35"/>
  <c r="AM16" i="35"/>
  <c r="AC19" i="35"/>
  <c r="AP31" i="35"/>
  <c r="Y18" i="35"/>
  <c r="AC26" i="35"/>
  <c r="BC21" i="35"/>
  <c r="AC37" i="35"/>
  <c r="AC16" i="35"/>
  <c r="Y10" i="35"/>
  <c r="BC14" i="35"/>
  <c r="AP17" i="35"/>
  <c r="AC18" i="35"/>
  <c r="AZ17" i="35"/>
  <c r="BC12" i="35"/>
  <c r="AM37" i="35"/>
  <c r="AC35" i="35"/>
  <c r="AC34" i="35"/>
  <c r="Z18" i="35"/>
  <c r="Z16" i="35"/>
  <c r="AY9" i="35"/>
  <c r="AM4" i="35"/>
  <c r="AM11" i="35"/>
  <c r="AZ16" i="35"/>
  <c r="AP25" i="35"/>
  <c r="BC13" i="35"/>
  <c r="AC23" i="35"/>
  <c r="AL35" i="35"/>
  <c r="AC28" i="35"/>
  <c r="AC8" i="35"/>
  <c r="AM5" i="35"/>
  <c r="AZ9" i="35"/>
  <c r="AY11" i="35"/>
  <c r="Y22" i="35"/>
  <c r="AZ6" i="35"/>
  <c r="AL30" i="35"/>
  <c r="AZ8" i="35"/>
  <c r="G43" i="9"/>
  <c r="AC36" i="35"/>
  <c r="AL10" i="35"/>
  <c r="AP7" i="35"/>
  <c r="Z15" i="35"/>
  <c r="Z23" i="35"/>
  <c r="Z19" i="35"/>
  <c r="G57" i="9"/>
  <c r="I47" i="9"/>
  <c r="J61" i="9"/>
  <c r="I42" i="9"/>
  <c r="I55" i="9"/>
  <c r="K55" i="9" s="1"/>
  <c r="Q55" i="9" s="1"/>
  <c r="E88" i="9" s="1"/>
  <c r="I44" i="9"/>
  <c r="J59" i="9"/>
  <c r="J50" i="9"/>
  <c r="G61" i="9"/>
  <c r="G48" i="9"/>
  <c r="I58" i="9"/>
  <c r="K58" i="9" s="1"/>
  <c r="Q58" i="9" s="1"/>
  <c r="E91" i="9" s="1"/>
  <c r="G51" i="9"/>
  <c r="G53" i="9"/>
  <c r="J57" i="9"/>
  <c r="J48" i="9"/>
  <c r="G47" i="9"/>
  <c r="G54" i="9"/>
  <c r="G44" i="9"/>
  <c r="G42" i="9"/>
  <c r="J44" i="9"/>
  <c r="J53" i="9"/>
  <c r="I63" i="9"/>
  <c r="K63" i="9" s="1"/>
  <c r="Q63" i="9" s="1"/>
  <c r="E96" i="9" s="1"/>
  <c r="G56" i="9"/>
  <c r="J52" i="9"/>
  <c r="G49" i="9"/>
  <c r="I57" i="9"/>
  <c r="K57" i="9" s="1"/>
  <c r="Q57" i="9" s="1"/>
  <c r="E90" i="9" s="1"/>
  <c r="J58" i="9"/>
  <c r="J46" i="9"/>
  <c r="J56" i="9"/>
  <c r="J51" i="9"/>
  <c r="I56" i="9"/>
  <c r="K56" i="9" s="1"/>
  <c r="Q56" i="9" s="1"/>
  <c r="E89" i="9" s="1"/>
  <c r="I59" i="9"/>
  <c r="K59" i="9" s="1"/>
  <c r="Q59" i="9" s="1"/>
  <c r="E92" i="9" s="1"/>
  <c r="I48" i="9"/>
  <c r="I49" i="9"/>
  <c r="G58" i="9"/>
  <c r="G55" i="9"/>
  <c r="G46" i="9"/>
  <c r="G59" i="9"/>
  <c r="J55" i="9"/>
  <c r="I62" i="9"/>
  <c r="K62" i="9" s="1"/>
  <c r="Q62" i="9" s="1"/>
  <c r="E95" i="9" s="1"/>
  <c r="I61" i="9"/>
  <c r="K61" i="9" s="1"/>
  <c r="Q61" i="9" s="1"/>
  <c r="E94" i="9" s="1"/>
  <c r="I43" i="9"/>
  <c r="G62" i="9"/>
  <c r="I50" i="9"/>
  <c r="J47" i="9"/>
  <c r="I53" i="9"/>
  <c r="K53" i="9" s="1"/>
  <c r="Q53" i="9" s="1"/>
  <c r="E86" i="9" s="1"/>
  <c r="G50" i="9"/>
  <c r="J62" i="9"/>
  <c r="J49" i="9"/>
  <c r="J54" i="9"/>
  <c r="I54" i="9"/>
  <c r="K54" i="9" s="1"/>
  <c r="Q54" i="9" s="1"/>
  <c r="E87" i="9" s="1"/>
  <c r="G52" i="9"/>
  <c r="I46" i="9"/>
  <c r="J42" i="9"/>
  <c r="J63" i="9"/>
  <c r="J43" i="9"/>
  <c r="AY6" i="35"/>
  <c r="AV36" i="35"/>
  <c r="AX36" i="35" s="1"/>
  <c r="BJ4" i="35"/>
  <c r="AB31" i="35"/>
  <c r="AN9" i="35"/>
  <c r="AY23" i="35"/>
  <c r="AP10" i="35"/>
  <c r="AA8" i="35"/>
  <c r="AB18" i="35"/>
  <c r="AJ37" i="35"/>
  <c r="BH10" i="35"/>
  <c r="AL16" i="35"/>
  <c r="AM8" i="35"/>
  <c r="AA22" i="35"/>
  <c r="AH14" i="35"/>
  <c r="AA14" i="35"/>
  <c r="AY22" i="35"/>
  <c r="AJ12" i="35"/>
  <c r="AO13" i="35"/>
  <c r="AN10" i="35"/>
  <c r="AU10" i="35"/>
  <c r="BA20" i="35"/>
  <c r="AI27" i="35"/>
  <c r="AU34" i="35"/>
  <c r="AO26" i="35"/>
  <c r="AW24" i="35"/>
  <c r="AB34" i="35"/>
  <c r="AU37" i="35"/>
  <c r="AA34" i="35"/>
  <c r="AW22" i="35"/>
  <c r="BJ15" i="35"/>
  <c r="AH22" i="35"/>
  <c r="AC30" i="35"/>
  <c r="AO10" i="35"/>
  <c r="AA9" i="35"/>
  <c r="BH22" i="35"/>
  <c r="AN37" i="35"/>
  <c r="AV29" i="35"/>
  <c r="AX29" i="35" s="1"/>
  <c r="AV10" i="35"/>
  <c r="AX10" i="35" s="1"/>
  <c r="BH7" i="35"/>
  <c r="AL33" i="35"/>
  <c r="BA7" i="35"/>
  <c r="Y32" i="35"/>
  <c r="AV24" i="35"/>
  <c r="AX24" i="35" s="1"/>
  <c r="AN26" i="35"/>
  <c r="AN36" i="35"/>
  <c r="AU4" i="35"/>
  <c r="AL17" i="35"/>
  <c r="BB14" i="35"/>
  <c r="AA25" i="35"/>
  <c r="BI17" i="35"/>
  <c r="BK17" i="35" s="1"/>
  <c r="AC32" i="35"/>
  <c r="AV25" i="35"/>
  <c r="AX25" i="35" s="1"/>
  <c r="AC22" i="35"/>
  <c r="AM25" i="35"/>
  <c r="AI17" i="35"/>
  <c r="AU7" i="35"/>
  <c r="AH30" i="35"/>
  <c r="AN30" i="35"/>
  <c r="Y12" i="35"/>
  <c r="AH25" i="35"/>
  <c r="AO7" i="35"/>
  <c r="AW33" i="35"/>
  <c r="AB10" i="35"/>
  <c r="AY21" i="35"/>
  <c r="AO18" i="35"/>
  <c r="BC15" i="35"/>
  <c r="AB32" i="35"/>
  <c r="BI12" i="35"/>
  <c r="BK12" i="35" s="1"/>
  <c r="AO24" i="35"/>
  <c r="Z28" i="35"/>
  <c r="AW34" i="35"/>
  <c r="AA30" i="35"/>
  <c r="AV14" i="35"/>
  <c r="AX14" i="35" s="1"/>
  <c r="BA13" i="35"/>
  <c r="AL7" i="35"/>
  <c r="AI34" i="35"/>
  <c r="AI30" i="35"/>
  <c r="G41" i="9"/>
  <c r="K41" i="9" s="1"/>
  <c r="Q41" i="9" s="1"/>
  <c r="E74" i="9" s="1"/>
  <c r="AU35" i="35"/>
  <c r="BH23" i="35"/>
  <c r="BH4" i="35"/>
  <c r="AH34" i="35"/>
  <c r="AC29" i="35"/>
  <c r="AN29" i="35"/>
  <c r="J45" i="9"/>
  <c r="AA29" i="35"/>
  <c r="AW11" i="35"/>
  <c r="AH33" i="35"/>
  <c r="AC15" i="35"/>
  <c r="BB16" i="35"/>
  <c r="AN13" i="35"/>
  <c r="AI16" i="35"/>
  <c r="AH19" i="35"/>
  <c r="AJ30" i="35"/>
  <c r="AW29" i="35"/>
  <c r="BH14" i="35"/>
  <c r="AJ28" i="35"/>
  <c r="AP9" i="35"/>
  <c r="AP4" i="35"/>
  <c r="AM6" i="35"/>
  <c r="AB26" i="35"/>
  <c r="AL26" i="35"/>
  <c r="AL9" i="35"/>
  <c r="BB7" i="35"/>
  <c r="AL25" i="35"/>
  <c r="AW26" i="35"/>
  <c r="AL8" i="35"/>
  <c r="Y24" i="35"/>
  <c r="AM17" i="35"/>
  <c r="BA18" i="35"/>
  <c r="AO14" i="35"/>
  <c r="BH9" i="35"/>
  <c r="AI37" i="35"/>
  <c r="AV7" i="35"/>
  <c r="AX7" i="35" s="1"/>
  <c r="AP11" i="35"/>
  <c r="AU8" i="35"/>
  <c r="AJ23" i="35"/>
  <c r="AJ25" i="35"/>
  <c r="AL29" i="35"/>
  <c r="AI14" i="35"/>
  <c r="AH29" i="35"/>
  <c r="BC7" i="35"/>
  <c r="AN31" i="35"/>
  <c r="AB30" i="35"/>
  <c r="AA37" i="35"/>
  <c r="AL18" i="35"/>
  <c r="AP6" i="35"/>
  <c r="AO34" i="35"/>
  <c r="AA28" i="35"/>
  <c r="AV4" i="35"/>
  <c r="AX4" i="35" s="1"/>
  <c r="AB15" i="35"/>
  <c r="AJ26" i="35"/>
  <c r="AV15" i="35"/>
  <c r="AX15" i="35" s="1"/>
  <c r="BB18" i="35"/>
  <c r="BC6" i="35"/>
  <c r="AV26" i="35"/>
  <c r="AX26" i="35" s="1"/>
  <c r="AV19" i="35"/>
  <c r="AX19" i="35" s="1"/>
  <c r="AI22" i="35"/>
  <c r="AW10" i="35"/>
  <c r="AZ7" i="35"/>
  <c r="AB17" i="35"/>
  <c r="AZ4" i="35"/>
  <c r="Y16" i="35"/>
  <c r="AC17" i="35"/>
  <c r="BC23" i="35"/>
  <c r="AH13" i="35"/>
  <c r="AN11" i="35"/>
  <c r="BB12" i="35"/>
  <c r="BJ9" i="35"/>
  <c r="AN5" i="35"/>
  <c r="AU30" i="35"/>
  <c r="I52" i="9"/>
  <c r="K52" i="9" s="1"/>
  <c r="Q52" i="9" s="1"/>
  <c r="E85" i="9" s="1"/>
  <c r="BC17" i="35"/>
  <c r="AB25" i="35"/>
  <c r="BJ7" i="35"/>
  <c r="AU25" i="35"/>
  <c r="AV22" i="35"/>
  <c r="AX22" i="35" s="1"/>
  <c r="AU20" i="35"/>
  <c r="AV30" i="35"/>
  <c r="AX30" i="35" s="1"/>
  <c r="AB20" i="35"/>
  <c r="Y35" i="35"/>
  <c r="AJ14" i="35"/>
  <c r="AP37" i="35"/>
  <c r="AJ16" i="35"/>
  <c r="BJ16" i="35"/>
  <c r="BJ21" i="35"/>
  <c r="Z36" i="35"/>
  <c r="AI24" i="35"/>
  <c r="AZ12" i="35"/>
  <c r="BA6" i="35"/>
  <c r="BA12" i="35"/>
  <c r="AU26" i="35"/>
  <c r="AV37" i="35"/>
  <c r="AX37" i="35" s="1"/>
  <c r="Y27" i="35"/>
  <c r="AB23" i="35"/>
  <c r="BI13" i="35"/>
  <c r="BK13" i="35" s="1"/>
  <c r="AB8" i="35"/>
  <c r="AW36" i="35"/>
  <c r="AO37" i="35"/>
  <c r="I60" i="9"/>
  <c r="K60" i="9" s="1"/>
  <c r="Q60" i="9" s="1"/>
  <c r="E93" i="9" s="1"/>
  <c r="AH28" i="35"/>
  <c r="AC33" i="35"/>
  <c r="AU22" i="35"/>
  <c r="AZ19" i="35"/>
  <c r="AA35" i="35"/>
  <c r="BB5" i="35"/>
  <c r="Z22" i="35"/>
  <c r="AP35" i="35"/>
  <c r="AY10" i="35"/>
  <c r="AH21" i="35"/>
  <c r="AH37" i="35"/>
  <c r="BI7" i="35"/>
  <c r="BK7" i="35" s="1"/>
  <c r="BJ14" i="35"/>
  <c r="AO29" i="35"/>
  <c r="BB20" i="35"/>
  <c r="AO32" i="35"/>
  <c r="AI20" i="35"/>
  <c r="AV35" i="35"/>
  <c r="AX35" i="35" s="1"/>
  <c r="Y36" i="35"/>
  <c r="AL5" i="35"/>
  <c r="AV20" i="35"/>
  <c r="AX20" i="35" s="1"/>
  <c r="BH19" i="35"/>
  <c r="BA23" i="35"/>
  <c r="AN27" i="35"/>
  <c r="AA12" i="35"/>
  <c r="BC8" i="35"/>
  <c r="AU21" i="35"/>
  <c r="Z30" i="35"/>
  <c r="AA20" i="35"/>
  <c r="AA19" i="35"/>
  <c r="Y19" i="35"/>
  <c r="AV5" i="35"/>
  <c r="AX5" i="35" s="1"/>
  <c r="BB21" i="35"/>
  <c r="AI29" i="35"/>
  <c r="AM9" i="35"/>
  <c r="AY15" i="35"/>
  <c r="BH6" i="35"/>
  <c r="AI23" i="35"/>
  <c r="AB9" i="35"/>
  <c r="AO35" i="35"/>
  <c r="BC16" i="35"/>
  <c r="AJ10" i="35"/>
  <c r="AA23" i="35"/>
  <c r="AJ19" i="35"/>
  <c r="AI9" i="35"/>
  <c r="AH16" i="35"/>
  <c r="AB27" i="35"/>
  <c r="AW5" i="35"/>
  <c r="AC21" i="35"/>
  <c r="AM18" i="35"/>
  <c r="AO36" i="35"/>
  <c r="AP12" i="35"/>
  <c r="AV27" i="35"/>
  <c r="AX27" i="35" s="1"/>
  <c r="AU9" i="35"/>
  <c r="BH17" i="35"/>
  <c r="AN20" i="35"/>
  <c r="AJ32" i="35"/>
  <c r="AP19" i="35"/>
  <c r="AH12" i="35"/>
  <c r="AV31" i="35"/>
  <c r="AX31" i="35" s="1"/>
  <c r="AA18" i="35"/>
  <c r="AJ22" i="35"/>
  <c r="BJ6" i="35"/>
  <c r="AN15" i="35"/>
  <c r="AB22" i="35"/>
  <c r="BA10" i="35"/>
  <c r="BI23" i="35"/>
  <c r="BK23" i="35" s="1"/>
  <c r="AU16" i="35"/>
  <c r="BJ5" i="35"/>
  <c r="AM33" i="35"/>
  <c r="BA22" i="35"/>
  <c r="Y29" i="35"/>
  <c r="AI25" i="35"/>
  <c r="AU11" i="35"/>
  <c r="AO11" i="35"/>
  <c r="AA27" i="35"/>
  <c r="Z33" i="35"/>
  <c r="AJ31" i="35"/>
  <c r="AJ21" i="35"/>
  <c r="AW14" i="35"/>
  <c r="AH20" i="35"/>
  <c r="AA32" i="35"/>
  <c r="BI4" i="35"/>
  <c r="BK4" i="35" s="1"/>
  <c r="AP21" i="35"/>
  <c r="AI26" i="35"/>
  <c r="AA17" i="35"/>
  <c r="BA15" i="35"/>
  <c r="AI18" i="35"/>
  <c r="AH35" i="35"/>
  <c r="AV8" i="35"/>
  <c r="AX8" i="35" s="1"/>
  <c r="AN4" i="35"/>
  <c r="AU33" i="35"/>
  <c r="BC18" i="35"/>
  <c r="AC14" i="35"/>
  <c r="BH20" i="35"/>
  <c r="AH32" i="35"/>
  <c r="AB21" i="35"/>
  <c r="AB13" i="35"/>
  <c r="BI22" i="35"/>
  <c r="BK22" i="35" s="1"/>
  <c r="AI13" i="35"/>
  <c r="AM7" i="35"/>
  <c r="AO8" i="35"/>
  <c r="BB6" i="35"/>
  <c r="AW27" i="35"/>
  <c r="AW9" i="35"/>
  <c r="BB10" i="35"/>
  <c r="AJ20" i="35"/>
  <c r="AV23" i="35"/>
  <c r="AX23" i="35" s="1"/>
  <c r="AI15" i="35"/>
  <c r="AO30" i="35"/>
  <c r="AM27" i="35"/>
  <c r="Z25" i="35"/>
  <c r="AW31" i="35"/>
  <c r="BI16" i="35"/>
  <c r="BK16" i="35" s="1"/>
  <c r="AO4" i="35"/>
  <c r="AO19" i="35"/>
  <c r="Z9" i="35"/>
  <c r="Y21" i="35"/>
  <c r="AM22" i="35"/>
  <c r="AI28" i="35"/>
  <c r="AN6" i="35"/>
  <c r="AN24" i="35"/>
  <c r="BI6" i="35"/>
  <c r="BK6" i="35" s="1"/>
  <c r="AH9" i="35"/>
  <c r="G45" i="9"/>
  <c r="BB4" i="35"/>
  <c r="BI9" i="35"/>
  <c r="BK9" i="35" s="1"/>
  <c r="AA13" i="35"/>
  <c r="AP13" i="35"/>
  <c r="AU32" i="35"/>
  <c r="AB29" i="35"/>
  <c r="AO9" i="35"/>
  <c r="BI14" i="35"/>
  <c r="BK14" i="35" s="1"/>
  <c r="AZ11" i="35"/>
  <c r="AM26" i="35"/>
  <c r="BB17" i="35"/>
  <c r="BJ18" i="35"/>
  <c r="AO6" i="35"/>
  <c r="AB11" i="35"/>
  <c r="AO16" i="35"/>
  <c r="AC12" i="35"/>
  <c r="AU5" i="35"/>
  <c r="AO25" i="35"/>
  <c r="AH15" i="35"/>
  <c r="BB9" i="35"/>
  <c r="AU18" i="35"/>
  <c r="AN7" i="35"/>
  <c r="AU36" i="35"/>
  <c r="AV11" i="35"/>
  <c r="AX11" i="35" s="1"/>
  <c r="AV34" i="35"/>
  <c r="AX34" i="35" s="1"/>
  <c r="I51" i="9"/>
  <c r="K51" i="9" s="1"/>
  <c r="Q51" i="9" s="1"/>
  <c r="E84" i="9" s="1"/>
  <c r="AI19" i="35"/>
  <c r="AM10" i="35"/>
  <c r="AB12" i="35"/>
  <c r="AW19" i="35"/>
  <c r="AC24" i="35"/>
  <c r="AB35" i="35"/>
  <c r="AV18" i="35"/>
  <c r="AX18" i="35" s="1"/>
  <c r="AH11" i="35"/>
  <c r="Z21" i="35"/>
  <c r="BB19" i="35"/>
  <c r="AW32" i="35"/>
  <c r="AN12" i="35"/>
  <c r="BI10" i="35"/>
  <c r="BK10" i="35" s="1"/>
  <c r="BI20" i="35"/>
  <c r="BK20" i="35" s="1"/>
  <c r="BH15" i="35"/>
  <c r="BA14" i="35"/>
  <c r="AA33" i="35"/>
  <c r="BA17" i="35"/>
  <c r="AU12" i="35"/>
  <c r="AI11" i="35"/>
  <c r="AW4" i="35"/>
  <c r="AO5" i="35"/>
  <c r="AU17" i="35"/>
  <c r="BC4" i="35"/>
  <c r="AP26" i="35"/>
  <c r="AJ35" i="35"/>
  <c r="AM15" i="35"/>
  <c r="AW8" i="35"/>
  <c r="BJ23" i="35"/>
  <c r="AW23" i="35"/>
  <c r="AB28" i="35"/>
  <c r="BA9" i="35"/>
  <c r="AA16" i="35"/>
  <c r="AW12" i="35"/>
  <c r="AP27" i="35"/>
  <c r="AO23" i="35"/>
  <c r="AJ8" i="35"/>
  <c r="AU29" i="35"/>
  <c r="Z13" i="35"/>
  <c r="AI35" i="35"/>
  <c r="AU19" i="35"/>
  <c r="AW20" i="35"/>
  <c r="BI5" i="35"/>
  <c r="BK5" i="35" s="1"/>
  <c r="BJ10" i="35"/>
  <c r="AW35" i="35"/>
  <c r="BH8" i="35"/>
  <c r="AN8" i="35"/>
  <c r="Z37" i="35"/>
  <c r="AH8" i="35"/>
  <c r="AW17" i="35"/>
  <c r="AA36" i="35"/>
  <c r="AB37" i="35"/>
  <c r="AZ23" i="35"/>
  <c r="BB22" i="35"/>
  <c r="AV16" i="35"/>
  <c r="AX16" i="35" s="1"/>
  <c r="AJ29" i="35"/>
  <c r="BC19" i="35"/>
  <c r="Z20" i="35"/>
  <c r="BH13" i="35"/>
  <c r="AH36" i="35"/>
  <c r="Y11" i="35"/>
  <c r="AA21" i="35"/>
  <c r="AW18" i="35"/>
  <c r="AW15" i="35"/>
  <c r="AV9" i="35"/>
  <c r="AX9" i="35" s="1"/>
  <c r="AI33" i="35"/>
  <c r="BH12" i="35"/>
  <c r="AO27" i="35"/>
  <c r="AV28" i="35"/>
  <c r="AX28" i="35" s="1"/>
  <c r="BI19" i="35"/>
  <c r="BK19" i="35" s="1"/>
  <c r="AM19" i="35"/>
  <c r="AW30" i="35"/>
  <c r="AJ17" i="35"/>
  <c r="AO17" i="35"/>
  <c r="AI31" i="35"/>
  <c r="AV32" i="35"/>
  <c r="AX32" i="35" s="1"/>
  <c r="BH18" i="35"/>
  <c r="BJ20" i="35"/>
  <c r="BI15" i="35"/>
  <c r="BK15" i="35" s="1"/>
  <c r="AA15" i="35"/>
  <c r="AN23" i="35"/>
  <c r="BI18" i="35"/>
  <c r="BK18" i="35" s="1"/>
  <c r="BC11" i="35"/>
  <c r="AN25" i="35"/>
  <c r="AV6" i="35"/>
  <c r="AX6" i="35" s="1"/>
  <c r="AN34" i="35"/>
  <c r="AB24" i="35"/>
  <c r="AB19" i="35"/>
  <c r="AA24" i="35"/>
  <c r="AI12" i="35"/>
  <c r="AA10" i="35"/>
  <c r="AH27" i="35"/>
  <c r="AN16" i="35"/>
  <c r="AM34" i="35"/>
  <c r="AB14" i="35"/>
  <c r="AJ15" i="35"/>
  <c r="BB8" i="35"/>
  <c r="AU13" i="35"/>
  <c r="Y20" i="35"/>
  <c r="AA31" i="35"/>
  <c r="BJ11" i="35"/>
  <c r="AI10" i="35"/>
  <c r="AN14" i="35"/>
  <c r="BJ22" i="35"/>
  <c r="AO31" i="35"/>
  <c r="BH21" i="35"/>
  <c r="BA19" i="35"/>
  <c r="AW25" i="35"/>
  <c r="BB11" i="35"/>
  <c r="AO15" i="35"/>
  <c r="Z29" i="35"/>
  <c r="AC13" i="35"/>
  <c r="AY14" i="35"/>
  <c r="AO33" i="35"/>
  <c r="BA21" i="35"/>
  <c r="AP22" i="35"/>
  <c r="AZ15" i="35"/>
  <c r="AY18" i="35"/>
  <c r="AU15" i="35"/>
  <c r="BA11" i="35"/>
  <c r="AP14" i="35"/>
  <c r="AI8" i="35"/>
  <c r="AV33" i="35"/>
  <c r="AX33" i="35" s="1"/>
  <c r="AL32" i="35"/>
  <c r="AI36" i="35"/>
  <c r="AU27" i="35"/>
  <c r="AJ18" i="35"/>
  <c r="AY13" i="35"/>
  <c r="BJ19" i="35"/>
  <c r="AM35" i="35"/>
  <c r="AB36" i="35"/>
  <c r="AH24" i="35"/>
  <c r="BB13" i="35"/>
  <c r="BI21" i="35"/>
  <c r="BK21" i="35" s="1"/>
  <c r="AO12" i="35"/>
  <c r="AJ24" i="35"/>
  <c r="AM30" i="35"/>
  <c r="AN33" i="35"/>
  <c r="AW6" i="35"/>
  <c r="AO28" i="35"/>
  <c r="BI11" i="35"/>
  <c r="BK11" i="35" s="1"/>
  <c r="AW13" i="35"/>
  <c r="AV13" i="35"/>
  <c r="AX13" i="35" s="1"/>
  <c r="AJ36" i="35"/>
  <c r="AJ11" i="35"/>
  <c r="AU23" i="35"/>
  <c r="AY19" i="35"/>
  <c r="AN18" i="35"/>
  <c r="I45" i="9"/>
  <c r="AN22" i="35"/>
  <c r="AH23" i="35"/>
  <c r="AY5" i="35"/>
  <c r="AU24" i="35"/>
  <c r="AW28" i="35"/>
  <c r="BA8" i="35"/>
  <c r="AN19" i="35"/>
  <c r="AN17" i="35"/>
  <c r="G63" i="9"/>
  <c r="BJ13" i="35"/>
  <c r="AL13" i="35"/>
  <c r="AL21" i="35"/>
  <c r="BJ12" i="35"/>
  <c r="AU31" i="35"/>
  <c r="AJ13" i="35"/>
  <c r="AW21" i="35"/>
  <c r="AJ33" i="35"/>
  <c r="AH17" i="35"/>
  <c r="AC9" i="35"/>
  <c r="G60" i="9"/>
  <c r="Y37" i="35"/>
  <c r="AI21" i="35"/>
  <c r="AU28" i="35"/>
  <c r="AO20" i="35"/>
  <c r="AZ14" i="35"/>
  <c r="AP29" i="35"/>
  <c r="AP5" i="35"/>
  <c r="AB33" i="35"/>
  <c r="BA5" i="35"/>
  <c r="AJ9" i="35"/>
  <c r="AW16" i="35"/>
  <c r="AP30" i="35"/>
  <c r="BA4" i="35"/>
  <c r="AL34" i="35"/>
  <c r="BB23" i="35"/>
  <c r="AU14" i="35"/>
  <c r="BA16" i="35"/>
  <c r="AN21" i="35"/>
  <c r="AV21" i="35"/>
  <c r="AX21" i="35" s="1"/>
  <c r="AP34" i="35"/>
  <c r="BH16" i="35"/>
  <c r="AC25" i="35"/>
  <c r="AL6" i="35"/>
  <c r="AN32" i="35"/>
  <c r="AA11" i="35"/>
  <c r="BJ17" i="35"/>
  <c r="AN28" i="35"/>
  <c r="AP18" i="35"/>
  <c r="BJ8" i="35"/>
  <c r="AO22" i="35"/>
  <c r="J60" i="9"/>
  <c r="AO21" i="35"/>
  <c r="BB15" i="35"/>
  <c r="AL24" i="35"/>
  <c r="AJ34" i="35"/>
  <c r="AH31" i="35"/>
  <c r="BH11" i="35"/>
  <c r="AU6" i="35"/>
  <c r="BI8" i="35"/>
  <c r="BK8" i="35" s="1"/>
  <c r="AV17" i="35"/>
  <c r="AX17" i="35" s="1"/>
  <c r="BH5" i="35"/>
  <c r="AW7" i="35"/>
  <c r="AH10" i="35"/>
  <c r="AK10" i="35" s="1"/>
  <c r="AV12" i="35"/>
  <c r="AX12" i="35" s="1"/>
  <c r="AW37" i="35"/>
  <c r="Y8" i="35"/>
  <c r="Z11" i="35"/>
  <c r="AI32" i="35"/>
  <c r="AJ27" i="35"/>
  <c r="AH18" i="35"/>
  <c r="Z12" i="35"/>
  <c r="AH26" i="35"/>
  <c r="AN35" i="35"/>
  <c r="AZ22" i="35"/>
  <c r="Y28" i="35"/>
  <c r="AA26" i="35"/>
  <c r="AB16" i="35"/>
  <c r="K44" i="9" l="1"/>
  <c r="Q44" i="9" s="1"/>
  <c r="E77" i="9" s="1"/>
  <c r="I76" i="9" s="1"/>
  <c r="BX291" i="26"/>
  <c r="BT291" i="26"/>
  <c r="BU291" i="26"/>
  <c r="BI292" i="26"/>
  <c r="BJ292" i="26" s="1"/>
  <c r="BH291" i="26"/>
  <c r="K46" i="9"/>
  <c r="Q46" i="9" s="1"/>
  <c r="E79" i="9" s="1"/>
  <c r="AK28" i="35"/>
  <c r="AK37" i="35"/>
  <c r="AK16" i="35"/>
  <c r="V16" i="35" s="1"/>
  <c r="C16" i="35" s="1"/>
  <c r="AK26" i="35"/>
  <c r="AK24" i="35"/>
  <c r="AK35" i="35"/>
  <c r="AK36" i="35"/>
  <c r="V36" i="35" s="1"/>
  <c r="C36" i="35" s="1"/>
  <c r="AK23" i="35"/>
  <c r="V23" i="35" s="1"/>
  <c r="C23" i="35" s="1"/>
  <c r="AK18" i="35"/>
  <c r="BM18" i="35" s="1"/>
  <c r="K50" i="9"/>
  <c r="Q50" i="9" s="1"/>
  <c r="E83" i="9" s="1"/>
  <c r="I97" i="9" s="1"/>
  <c r="K48" i="9"/>
  <c r="Q48" i="9" s="1"/>
  <c r="E81" i="9" s="1"/>
  <c r="BM5" i="35"/>
  <c r="AK31" i="35"/>
  <c r="V31" i="35" s="1"/>
  <c r="C31" i="35" s="1"/>
  <c r="K45" i="9"/>
  <c r="Q45" i="9" s="1"/>
  <c r="E78" i="9" s="1"/>
  <c r="AK32" i="35"/>
  <c r="AK12" i="35"/>
  <c r="BM12" i="35" s="1"/>
  <c r="AK17" i="35"/>
  <c r="BM17" i="35" s="1"/>
  <c r="W24" i="35"/>
  <c r="BM4" i="35"/>
  <c r="W34" i="35"/>
  <c r="X13" i="35"/>
  <c r="W6" i="35"/>
  <c r="W21" i="35"/>
  <c r="AK27" i="35"/>
  <c r="V27" i="35" s="1"/>
  <c r="C27" i="35" s="1"/>
  <c r="AK19" i="35"/>
  <c r="V19" i="35" s="1"/>
  <c r="C19" i="35" s="1"/>
  <c r="W16" i="35"/>
  <c r="K47" i="9"/>
  <c r="Q47" i="9" s="1"/>
  <c r="E80" i="9" s="1"/>
  <c r="I79" i="9" s="1"/>
  <c r="V10" i="35"/>
  <c r="C10" i="35" s="1"/>
  <c r="W14" i="35"/>
  <c r="W11" i="35"/>
  <c r="W31" i="35"/>
  <c r="W20" i="35"/>
  <c r="W13" i="35"/>
  <c r="X15" i="35"/>
  <c r="W25" i="35"/>
  <c r="X22" i="35"/>
  <c r="W28" i="35"/>
  <c r="W23" i="35"/>
  <c r="X19" i="35"/>
  <c r="X18" i="35"/>
  <c r="X14" i="35"/>
  <c r="AK8" i="35"/>
  <c r="V8" i="35" s="1"/>
  <c r="C8" i="35" s="1"/>
  <c r="AK11" i="35"/>
  <c r="BM11" i="35" s="1"/>
  <c r="AK9" i="35"/>
  <c r="BM9" i="35" s="1"/>
  <c r="W7" i="35"/>
  <c r="AK25" i="35"/>
  <c r="V25" i="35" s="1"/>
  <c r="C25" i="35" s="1"/>
  <c r="W30" i="35"/>
  <c r="X17" i="35"/>
  <c r="W32" i="35"/>
  <c r="AK15" i="35"/>
  <c r="BM15" i="35" s="1"/>
  <c r="BM6" i="35"/>
  <c r="W5" i="35"/>
  <c r="W9" i="35"/>
  <c r="AK34" i="35"/>
  <c r="V34" i="35" s="1"/>
  <c r="C34" i="35" s="1"/>
  <c r="W17" i="35"/>
  <c r="W33" i="35"/>
  <c r="W37" i="35"/>
  <c r="W22" i="35"/>
  <c r="X7" i="35"/>
  <c r="BM10" i="35"/>
  <c r="BM7" i="35"/>
  <c r="AK29" i="35"/>
  <c r="V29" i="35" s="1"/>
  <c r="C29" i="35" s="1"/>
  <c r="AK14" i="35"/>
  <c r="BM14" i="35" s="1"/>
  <c r="X6" i="35"/>
  <c r="W10" i="35"/>
  <c r="W35" i="35"/>
  <c r="X12" i="35"/>
  <c r="W36" i="35"/>
  <c r="W15" i="35"/>
  <c r="W12" i="35"/>
  <c r="X5" i="35"/>
  <c r="AK20" i="35"/>
  <c r="V20" i="35" s="1"/>
  <c r="C20" i="35" s="1"/>
  <c r="AK13" i="35"/>
  <c r="V13" i="35" s="1"/>
  <c r="C13" i="35" s="1"/>
  <c r="W8" i="35"/>
  <c r="W26" i="35"/>
  <c r="AK33" i="35"/>
  <c r="V33" i="35" s="1"/>
  <c r="C33" i="35" s="1"/>
  <c r="AK22" i="35"/>
  <c r="V22" i="35" s="1"/>
  <c r="C22" i="35" s="1"/>
  <c r="K49" i="9"/>
  <c r="Q49" i="9" s="1"/>
  <c r="E82" i="9" s="1"/>
  <c r="K42" i="9"/>
  <c r="Q42" i="9" s="1"/>
  <c r="E75" i="9" s="1"/>
  <c r="I74" i="9" s="1"/>
  <c r="X11" i="35"/>
  <c r="X9" i="35"/>
  <c r="W27" i="35"/>
  <c r="W4" i="35"/>
  <c r="X16" i="35"/>
  <c r="AK21" i="35"/>
  <c r="V21" i="35" s="1"/>
  <c r="C21" i="35" s="1"/>
  <c r="X21" i="35"/>
  <c r="K43" i="9"/>
  <c r="Q43" i="9" s="1"/>
  <c r="E76" i="9" s="1"/>
  <c r="X8" i="35"/>
  <c r="X10" i="35"/>
  <c r="W18" i="35"/>
  <c r="W29" i="35"/>
  <c r="AK30" i="35"/>
  <c r="X23" i="35"/>
  <c r="X4" i="35"/>
  <c r="W19" i="35"/>
  <c r="X20" i="35"/>
  <c r="V26" i="35" l="1"/>
  <c r="C26" i="35" s="1"/>
  <c r="V24" i="35"/>
  <c r="C24" i="35" s="1"/>
  <c r="V28" i="35"/>
  <c r="C28" i="35" s="1"/>
  <c r="BW292" i="26"/>
  <c r="BL292" i="26"/>
  <c r="BH292" i="26" s="1"/>
  <c r="BK292" i="26"/>
  <c r="BV292" i="26"/>
  <c r="BO292" i="26"/>
  <c r="BM292" i="26"/>
  <c r="BR292" i="26"/>
  <c r="BS292" i="26"/>
  <c r="BN292" i="26"/>
  <c r="BP292" i="26"/>
  <c r="V32" i="35"/>
  <c r="C32" i="35" s="1"/>
  <c r="V37" i="35"/>
  <c r="C37" i="35" s="1"/>
  <c r="BM23" i="35"/>
  <c r="BM16" i="35"/>
  <c r="V35" i="35"/>
  <c r="C35" i="35" s="1"/>
  <c r="V14" i="35"/>
  <c r="C14" i="35" s="1"/>
  <c r="V18" i="35"/>
  <c r="C18" i="35" s="1"/>
  <c r="I83" i="9"/>
  <c r="BM19" i="35"/>
  <c r="H97" i="9"/>
  <c r="H92" i="9" s="1"/>
  <c r="V11" i="35"/>
  <c r="C11" i="35" s="1"/>
  <c r="V12" i="35"/>
  <c r="C12" i="35" s="1"/>
  <c r="V17" i="35"/>
  <c r="C17" i="35" s="1"/>
  <c r="I80" i="9"/>
  <c r="V15" i="35"/>
  <c r="C15" i="35" s="1"/>
  <c r="V9" i="35"/>
  <c r="C9" i="35" s="1"/>
  <c r="BM21" i="35"/>
  <c r="BM8" i="35"/>
  <c r="BM13" i="35"/>
  <c r="V30" i="35"/>
  <c r="C30" i="35" s="1"/>
  <c r="I75" i="9"/>
  <c r="BM20" i="35"/>
  <c r="BM22" i="35"/>
  <c r="I82" i="9"/>
  <c r="BU292" i="26" l="1"/>
  <c r="BQ292" i="26"/>
  <c r="BT292" i="26"/>
  <c r="BY292" i="26"/>
  <c r="BX292" i="26"/>
  <c r="BI293" i="26"/>
  <c r="BJ293" i="26" s="1"/>
  <c r="H95" i="9"/>
  <c r="I95" i="9" s="1"/>
  <c r="H89" i="9"/>
  <c r="I89" i="9" s="1"/>
  <c r="H94" i="9"/>
  <c r="I94" i="9" s="1"/>
  <c r="H96" i="9"/>
  <c r="I96" i="9" s="1"/>
  <c r="H84" i="9"/>
  <c r="I84" i="9" s="1"/>
  <c r="H86" i="9"/>
  <c r="I86" i="9" s="1"/>
  <c r="H85" i="9"/>
  <c r="I85" i="9" s="1"/>
  <c r="H90" i="9"/>
  <c r="I90" i="9" s="1"/>
  <c r="H87" i="9"/>
  <c r="I87" i="9" s="1"/>
  <c r="H83" i="9"/>
  <c r="H88" i="9"/>
  <c r="I88" i="9" s="1"/>
  <c r="H91" i="9"/>
  <c r="I91" i="9" s="1"/>
  <c r="H93" i="9"/>
  <c r="I93" i="9" s="1"/>
  <c r="I92" i="9"/>
  <c r="BL293" i="26" l="1"/>
  <c r="BW293" i="26"/>
  <c r="BK293" i="26"/>
  <c r="BM293" i="26" s="1"/>
  <c r="BV293" i="26"/>
  <c r="BO293" i="26"/>
  <c r="BR293" i="26"/>
  <c r="BX293" i="26"/>
  <c r="BP293" i="26"/>
  <c r="BQ293" i="26"/>
  <c r="BS293" i="26"/>
  <c r="BT293" i="26"/>
  <c r="BY293" i="26"/>
  <c r="BN293" i="26"/>
  <c r="B22" i="60"/>
  <c r="C22" i="60" s="1"/>
  <c r="B23" i="60"/>
  <c r="C23" i="60" s="1"/>
  <c r="B24" i="60"/>
  <c r="C24" i="60" s="1"/>
  <c r="B19" i="60"/>
  <c r="C19" i="60" s="1"/>
  <c r="B20" i="60"/>
  <c r="C20" i="60" s="1"/>
  <c r="B21" i="60"/>
  <c r="C21" i="60" s="1"/>
  <c r="B29" i="60" s="1"/>
  <c r="C29" i="60" s="1"/>
  <c r="BU293" i="26" l="1"/>
  <c r="BI294" i="26"/>
  <c r="BJ294" i="26" s="1"/>
  <c r="BH293" i="26"/>
  <c r="B27" i="60"/>
  <c r="C27" i="60" s="1"/>
  <c r="B28" i="60"/>
  <c r="C28" i="60" s="1"/>
  <c r="I18" i="60"/>
  <c r="I20" i="60" s="1"/>
  <c r="M19" i="60" s="1"/>
  <c r="N19" i="60" s="1"/>
  <c r="F18" i="60"/>
  <c r="F20" i="60" s="1"/>
  <c r="M18" i="60" s="1"/>
  <c r="N18" i="60" s="1"/>
  <c r="M17" i="60"/>
  <c r="BK294" i="26" l="1"/>
  <c r="BO294" i="26" s="1"/>
  <c r="BW294" i="26"/>
  <c r="BL294" i="26"/>
  <c r="BH294" i="26" s="1"/>
  <c r="BM294" i="26"/>
  <c r="N17" i="60"/>
  <c r="M20" i="60"/>
  <c r="M24" i="60" s="1"/>
  <c r="N24" i="60" s="1"/>
  <c r="N20" i="60"/>
  <c r="M25" i="60" s="1"/>
  <c r="N25" i="60" s="1"/>
  <c r="BS294" i="26" l="1"/>
  <c r="BN294" i="26"/>
  <c r="BU294" i="26"/>
  <c r="BQ294" i="26"/>
  <c r="BR294" i="26"/>
  <c r="BV294" i="26"/>
  <c r="BX294" i="26"/>
  <c r="BT294" i="26"/>
  <c r="BY294" i="26"/>
  <c r="BP294" i="26"/>
  <c r="BI295" i="26"/>
  <c r="BJ295" i="26" s="1"/>
  <c r="P25" i="60"/>
  <c r="O25" i="60"/>
  <c r="P24" i="60"/>
  <c r="O24" i="60"/>
  <c r="BV295" i="26" l="1"/>
  <c r="BW295" i="26"/>
  <c r="BL295" i="26"/>
  <c r="BK295" i="26"/>
  <c r="BM295" i="26" s="1"/>
  <c r="BP295" i="26"/>
  <c r="BN295" i="26"/>
  <c r="BQ295" i="26"/>
  <c r="BH295" i="26"/>
  <c r="BR295" i="26"/>
  <c r="BO295" i="26"/>
  <c r="S23" i="60"/>
  <c r="S24" i="60"/>
  <c r="BS295" i="26" l="1"/>
  <c r="BY295" i="26"/>
  <c r="BT295" i="26"/>
  <c r="BU295" i="26"/>
  <c r="BX295" i="26"/>
  <c r="BI296" i="26"/>
  <c r="BJ296" i="26" s="1"/>
  <c r="BL296" i="26" l="1"/>
  <c r="BK296" i="26"/>
  <c r="BM296" i="26" s="1"/>
  <c r="BV296" i="26"/>
  <c r="BW296" i="26"/>
  <c r="BH296" i="26"/>
  <c r="BP296" i="26"/>
  <c r="BO296" i="26"/>
  <c r="BQ296" i="26"/>
  <c r="BT296" i="26"/>
  <c r="BX296" i="26"/>
  <c r="BR296" i="26"/>
  <c r="BN296" i="26"/>
  <c r="BY296" i="26" l="1"/>
  <c r="BS296" i="26"/>
  <c r="BU296" i="26"/>
  <c r="BI297" i="26"/>
  <c r="BJ297" i="26" s="1"/>
  <c r="BK297" i="26" l="1"/>
  <c r="BN297" i="26" s="1"/>
  <c r="BV297" i="26"/>
  <c r="BL297" i="26"/>
  <c r="BW297" i="26"/>
  <c r="BH297" i="26"/>
  <c r="BQ297" i="26"/>
  <c r="BR297" i="26"/>
  <c r="BS297" i="26"/>
  <c r="BM297" i="26"/>
  <c r="BO297" i="26"/>
  <c r="BP297" i="26"/>
  <c r="BU297" i="26" l="1"/>
  <c r="BY297" i="26"/>
  <c r="BX297" i="26"/>
  <c r="BT297" i="26"/>
  <c r="BI298" i="26"/>
  <c r="BJ298" i="26" s="1"/>
  <c r="BV298" i="26" l="1"/>
  <c r="BK298" i="26"/>
  <c r="BM298" i="26" s="1"/>
  <c r="BW298" i="26"/>
  <c r="BL298" i="26"/>
  <c r="BH298" i="26" s="1"/>
  <c r="BR298" i="26"/>
  <c r="BN298" i="26"/>
  <c r="BX298" i="26"/>
  <c r="BQ298" i="26"/>
  <c r="BP298" i="26"/>
  <c r="BO298" i="26"/>
  <c r="BT298" i="26" l="1"/>
  <c r="BS298" i="26"/>
  <c r="BU298" i="26"/>
  <c r="BY298" i="26"/>
  <c r="BI299" i="26"/>
  <c r="BJ299" i="26" s="1"/>
  <c r="BV299" i="26" l="1"/>
  <c r="BL299" i="26"/>
  <c r="BK299" i="26"/>
  <c r="BM299" i="26" s="1"/>
  <c r="BW299" i="26"/>
  <c r="BP299" i="26"/>
  <c r="BR299" i="26"/>
  <c r="BH299" i="26"/>
  <c r="BQ299" i="26"/>
  <c r="BN299" i="26"/>
  <c r="BO299" i="26"/>
  <c r="BY299" i="26" l="1"/>
  <c r="BU299" i="26"/>
  <c r="BX299" i="26"/>
  <c r="BS299" i="26"/>
  <c r="BT299" i="26"/>
  <c r="BI300" i="26"/>
  <c r="BJ300" i="26" s="1"/>
  <c r="BK300" i="26" l="1"/>
  <c r="BO300" i="26" s="1"/>
  <c r="BV300" i="26"/>
  <c r="BW300" i="26"/>
  <c r="BL300" i="26"/>
  <c r="BX300" i="26" s="1"/>
  <c r="BR300" i="26"/>
  <c r="BH300" i="26"/>
  <c r="BP300" i="26"/>
  <c r="BU300" i="26"/>
  <c r="BT300" i="26"/>
  <c r="BM300" i="26"/>
  <c r="BN300" i="26"/>
  <c r="BY300" i="26" l="1"/>
  <c r="BS300" i="26"/>
  <c r="BQ300" i="26"/>
  <c r="BI301" i="26"/>
  <c r="BJ301" i="26" s="1"/>
  <c r="BV301" i="26" l="1"/>
  <c r="BL301" i="26"/>
  <c r="BW301" i="26"/>
  <c r="BK301" i="26"/>
  <c r="BM301" i="26" s="1"/>
  <c r="BR301" i="26"/>
  <c r="BQ301" i="26"/>
  <c r="BN301" i="26"/>
  <c r="BO301" i="26"/>
  <c r="BP301" i="26"/>
  <c r="BU301" i="26" l="1"/>
  <c r="BY301" i="26"/>
  <c r="BS301" i="26"/>
  <c r="BI302" i="26"/>
  <c r="BJ302" i="26" s="1"/>
  <c r="BX301" i="26"/>
  <c r="BT301" i="26"/>
  <c r="BH301" i="26"/>
  <c r="BK302" i="26" l="1"/>
  <c r="BM302" i="26" s="1"/>
  <c r="BW302" i="26"/>
  <c r="BL302" i="26"/>
  <c r="BH302" i="26" s="1"/>
  <c r="BV302" i="26"/>
  <c r="BN302" i="26"/>
  <c r="BT302" i="26"/>
  <c r="BY302" i="26"/>
  <c r="BP302" i="26"/>
  <c r="BX302" i="26"/>
  <c r="BR302" i="26"/>
  <c r="BQ302" i="26"/>
  <c r="BO302" i="26"/>
  <c r="BS302" i="26" l="1"/>
  <c r="BU302" i="26"/>
  <c r="BI303" i="26"/>
  <c r="BJ303" i="26" s="1"/>
  <c r="BL303" i="26" l="1"/>
  <c r="BW303" i="26"/>
  <c r="BK303" i="26"/>
  <c r="BP303" i="26" s="1"/>
  <c r="BV303" i="26"/>
  <c r="BH303" i="26"/>
  <c r="BO303" i="26"/>
  <c r="BQ303" i="26"/>
  <c r="BN303" i="26"/>
  <c r="BM303" i="26"/>
  <c r="BR303" i="26"/>
  <c r="BY303" i="26" l="1"/>
  <c r="BU303" i="26"/>
  <c r="BX303" i="26"/>
  <c r="BT303" i="26"/>
  <c r="BS303" i="26"/>
  <c r="BI304" i="26"/>
  <c r="BJ304" i="26" s="1"/>
  <c r="BW304" i="26" l="1"/>
  <c r="BL304" i="26"/>
  <c r="BK304" i="26"/>
  <c r="BM304" i="26" s="1"/>
  <c r="BV304" i="26"/>
  <c r="BQ304" i="26"/>
  <c r="BO304" i="26"/>
  <c r="BR304" i="26"/>
  <c r="BP304" i="26"/>
  <c r="BN304" i="26"/>
  <c r="BT304" i="26" l="1"/>
  <c r="BX304" i="26"/>
  <c r="BY304" i="26"/>
  <c r="BU304" i="26"/>
  <c r="BS304" i="26"/>
  <c r="BI305" i="26"/>
  <c r="BJ305" i="26" s="1"/>
  <c r="BH304" i="26"/>
  <c r="BK305" i="26" l="1"/>
  <c r="BM305" i="26" s="1"/>
  <c r="BL305" i="26"/>
  <c r="BV305" i="26"/>
  <c r="BW305" i="26"/>
  <c r="BP305" i="26"/>
  <c r="BO305" i="26"/>
  <c r="BH305" i="26"/>
  <c r="BR305" i="26"/>
  <c r="BN305" i="26"/>
  <c r="BT305" i="26" l="1"/>
  <c r="BY305" i="26"/>
  <c r="BU305" i="26"/>
  <c r="BX305" i="26"/>
  <c r="BS305" i="26"/>
  <c r="BQ305" i="26"/>
  <c r="BI306" i="26"/>
  <c r="BJ306" i="26" s="1"/>
  <c r="BV306" i="26" l="1"/>
  <c r="BW306" i="26"/>
  <c r="BL306" i="26"/>
  <c r="BK306" i="26"/>
  <c r="BM306" i="26" s="1"/>
  <c r="BN306" i="26"/>
  <c r="BH306" i="26"/>
  <c r="BQ306" i="26"/>
  <c r="BR306" i="26"/>
  <c r="BO306" i="26"/>
  <c r="BX306" i="26" l="1"/>
  <c r="BU306" i="26"/>
  <c r="BY306" i="26"/>
  <c r="BS306" i="26"/>
  <c r="BT306" i="26"/>
  <c r="BP306" i="26"/>
  <c r="BI307" i="26"/>
  <c r="BJ307" i="26" s="1"/>
  <c r="BW307" i="26" l="1"/>
  <c r="BL307" i="26"/>
  <c r="BK307" i="26"/>
  <c r="BM307" i="26" s="1"/>
  <c r="BV307" i="26"/>
  <c r="BR307" i="26"/>
  <c r="BN307" i="26"/>
  <c r="BO307" i="26"/>
  <c r="BQ307" i="26"/>
  <c r="BP307" i="26"/>
  <c r="BU307" i="26" l="1"/>
  <c r="BS307" i="26"/>
  <c r="BT307" i="26"/>
  <c r="BX307" i="26"/>
  <c r="BY307" i="26"/>
  <c r="BH307" i="26"/>
  <c r="BI308" i="26"/>
  <c r="BJ308" i="26" s="1"/>
  <c r="BV308" i="26" l="1"/>
  <c r="BW308" i="26"/>
  <c r="BL308" i="26"/>
  <c r="BK308" i="26"/>
  <c r="BY308" i="26" s="1"/>
  <c r="BO308" i="26"/>
  <c r="BR308" i="26"/>
  <c r="BP308" i="26"/>
  <c r="BN308" i="26"/>
  <c r="BQ308" i="26"/>
  <c r="BM308" i="26"/>
  <c r="BU308" i="26" l="1"/>
  <c r="BS308" i="26"/>
  <c r="BI309" i="26"/>
  <c r="BJ309" i="26" s="1"/>
  <c r="BT308" i="26"/>
  <c r="BH308" i="26"/>
  <c r="BX308" i="26"/>
  <c r="BL309" i="26" l="1"/>
  <c r="BR309" i="26" s="1"/>
  <c r="BW309" i="26"/>
  <c r="BK309" i="26"/>
  <c r="BO309" i="26" s="1"/>
  <c r="BV309" i="26"/>
  <c r="BM309" i="26"/>
  <c r="BQ309" i="26"/>
  <c r="BN309" i="26"/>
  <c r="BP309" i="26"/>
  <c r="BX309" i="26"/>
  <c r="BS309" i="26"/>
  <c r="BH309" i="26"/>
  <c r="BY309" i="26" l="1"/>
  <c r="BU309" i="26"/>
  <c r="BT309" i="26"/>
  <c r="AY37" i="35" l="1"/>
  <c r="BA29" i="35"/>
  <c r="BB36" i="35"/>
  <c r="BC30" i="35"/>
  <c r="BA36" i="35"/>
  <c r="BC36" i="35"/>
  <c r="AY24" i="35"/>
  <c r="BB28" i="35"/>
  <c r="I67" i="9"/>
  <c r="K67" i="9" s="1"/>
  <c r="Q67" i="9" s="1"/>
  <c r="E100" i="9" s="1"/>
  <c r="AY27" i="35"/>
  <c r="BI29" i="35"/>
  <c r="BK29" i="35" s="1"/>
  <c r="BB26" i="35"/>
  <c r="BA34" i="35"/>
  <c r="J67" i="9"/>
  <c r="BI24" i="35"/>
  <c r="BK24" i="35" s="1"/>
  <c r="BB31" i="35"/>
  <c r="BA31" i="35"/>
  <c r="BA33" i="35"/>
  <c r="BA35" i="35"/>
  <c r="AY34" i="35"/>
  <c r="AZ36" i="35"/>
  <c r="AZ25" i="35"/>
  <c r="BB35" i="35"/>
  <c r="AY32" i="35"/>
  <c r="BC25" i="35"/>
  <c r="G65" i="9"/>
  <c r="BA28" i="35"/>
  <c r="BC24" i="35"/>
  <c r="G67" i="9"/>
  <c r="I65" i="9"/>
  <c r="K65" i="9" s="1"/>
  <c r="Q65" i="9" s="1"/>
  <c r="E98" i="9" s="1"/>
  <c r="I77" i="9" s="1"/>
  <c r="BJ27" i="35"/>
  <c r="BB34" i="35"/>
  <c r="BB24" i="35"/>
  <c r="BB25" i="35"/>
  <c r="BJ28" i="35"/>
  <c r="BI36" i="35"/>
  <c r="BK36" i="35" s="1"/>
  <c r="BB32" i="35"/>
  <c r="AZ28" i="35"/>
  <c r="AY31" i="35"/>
  <c r="I64" i="9"/>
  <c r="K64" i="9" s="1"/>
  <c r="Q64" i="9" s="1"/>
  <c r="E97" i="9" s="1"/>
  <c r="BC32" i="35"/>
  <c r="AY30" i="35"/>
  <c r="I66" i="9"/>
  <c r="K66" i="9" s="1"/>
  <c r="Q66" i="9" s="1"/>
  <c r="E99" i="9" s="1"/>
  <c r="AY28" i="35"/>
  <c r="BH34" i="35"/>
  <c r="BC29" i="35"/>
  <c r="BA30" i="35"/>
  <c r="BJ26" i="35"/>
  <c r="AY29" i="35"/>
  <c r="BH26" i="35"/>
  <c r="BH35" i="35"/>
  <c r="BC26" i="35"/>
  <c r="AY26" i="35"/>
  <c r="BI26" i="35"/>
  <c r="BK26" i="35" s="1"/>
  <c r="AZ30" i="35"/>
  <c r="BA32" i="35"/>
  <c r="AZ27" i="35"/>
  <c r="BJ33" i="35"/>
  <c r="BH37" i="35"/>
  <c r="BI27" i="35"/>
  <c r="BK27" i="35" s="1"/>
  <c r="AZ24" i="35"/>
  <c r="BC37" i="35"/>
  <c r="J68" i="9"/>
  <c r="AY36" i="35"/>
  <c r="X36" i="35" s="1"/>
  <c r="BJ32" i="35"/>
  <c r="BI32" i="35"/>
  <c r="BK32" i="35" s="1"/>
  <c r="BJ34" i="35"/>
  <c r="AY35" i="35"/>
  <c r="AZ32" i="35"/>
  <c r="AY33" i="35"/>
  <c r="BI34" i="35"/>
  <c r="BK34" i="35" s="1"/>
  <c r="BH33" i="35"/>
  <c r="BH31" i="35"/>
  <c r="BB30" i="35"/>
  <c r="BB29" i="35"/>
  <c r="BB37" i="35"/>
  <c r="AZ29" i="35"/>
  <c r="BH32" i="35"/>
  <c r="BA25" i="35"/>
  <c r="BJ24" i="35"/>
  <c r="BI28" i="35"/>
  <c r="BK28" i="35" s="1"/>
  <c r="BM28" i="35" s="1"/>
  <c r="AZ26" i="35"/>
  <c r="BH30" i="35"/>
  <c r="AZ33" i="35"/>
  <c r="BC31" i="35"/>
  <c r="AZ34" i="35"/>
  <c r="BJ31" i="35"/>
  <c r="BJ37" i="35"/>
  <c r="BA27" i="35"/>
  <c r="BI30" i="35"/>
  <c r="BK30" i="35" s="1"/>
  <c r="AZ37" i="35"/>
  <c r="BJ36" i="35"/>
  <c r="BC33" i="35"/>
  <c r="BI25" i="35"/>
  <c r="BK25" i="35" s="1"/>
  <c r="BM25" i="35" s="1"/>
  <c r="AZ31" i="35"/>
  <c r="BH24" i="35"/>
  <c r="BB27" i="35"/>
  <c r="BC35" i="35"/>
  <c r="BH29" i="35"/>
  <c r="AY25" i="35"/>
  <c r="BC28" i="35"/>
  <c r="BJ30" i="35"/>
  <c r="G64" i="9"/>
  <c r="BJ35" i="35"/>
  <c r="J66" i="9"/>
  <c r="BI35" i="35"/>
  <c r="BK35" i="35" s="1"/>
  <c r="J64" i="9"/>
  <c r="BC34" i="35"/>
  <c r="J65" i="9"/>
  <c r="BA26" i="35"/>
  <c r="BJ25" i="35"/>
  <c r="I68" i="9"/>
  <c r="K68" i="9" s="1"/>
  <c r="Q68" i="9" s="1"/>
  <c r="E101" i="9" s="1"/>
  <c r="BH27" i="35"/>
  <c r="BI31" i="35"/>
  <c r="BK31" i="35" s="1"/>
  <c r="G68" i="9"/>
  <c r="BH25" i="35"/>
  <c r="BA37" i="35"/>
  <c r="BJ29" i="35"/>
  <c r="BB33" i="35"/>
  <c r="BC27" i="35"/>
  <c r="BI37" i="35"/>
  <c r="BK37" i="35" s="1"/>
  <c r="BM37" i="35" s="1"/>
  <c r="BA24" i="35"/>
  <c r="G66" i="9"/>
  <c r="BH36" i="35"/>
  <c r="AZ35" i="35"/>
  <c r="BI33" i="35"/>
  <c r="BK33" i="35" s="1"/>
  <c r="BM33" i="35" s="1"/>
  <c r="BH28" i="35"/>
  <c r="J69" i="9"/>
  <c r="I69" i="9"/>
  <c r="K69" i="9" s="1"/>
  <c r="Q69" i="9" s="1"/>
  <c r="E102" i="9" s="1"/>
  <c r="I81" i="9" s="1"/>
  <c r="G69" i="9"/>
  <c r="J70" i="9"/>
  <c r="I70" i="9"/>
  <c r="K70" i="9" s="1"/>
  <c r="Q70" i="9" s="1"/>
  <c r="E103" i="9" s="1"/>
  <c r="G70" i="9"/>
  <c r="BM36" i="35" l="1"/>
  <c r="X25" i="35"/>
  <c r="BM31" i="35"/>
  <c r="BM30" i="35"/>
  <c r="BM27" i="35"/>
  <c r="X32" i="35"/>
  <c r="I78" i="9"/>
  <c r="BM34" i="35"/>
  <c r="X31" i="35"/>
  <c r="BM24" i="35"/>
  <c r="X24" i="35"/>
  <c r="X33" i="35"/>
  <c r="BM26" i="35"/>
  <c r="X26" i="35"/>
  <c r="X35" i="35"/>
  <c r="X28" i="35"/>
  <c r="X34" i="35"/>
  <c r="BM29" i="35"/>
  <c r="BM35" i="35"/>
  <c r="BM32" i="35"/>
  <c r="X30" i="35"/>
  <c r="X27" i="35"/>
  <c r="X29" i="35"/>
  <c r="X37" i="3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作者</author>
    <author>赵卿</author>
  </authors>
  <commentList>
    <comment ref="B2" authorId="0" shapeId="0" xr:uid="{00000000-0006-0000-0100-000001000000}">
      <text>
        <r>
          <rPr>
            <b/>
            <sz val="9"/>
            <rFont val="宋体"/>
            <family val="3"/>
            <charset val="134"/>
          </rPr>
          <t>作者:</t>
        </r>
        <r>
          <rPr>
            <sz val="9"/>
            <rFont val="宋体"/>
            <family val="3"/>
            <charset val="134"/>
          </rPr>
          <t xml:space="preserve">
坦克最大穿透力的比值.</t>
        </r>
      </text>
    </comment>
    <comment ref="E13" authorId="0" shapeId="0" xr:uid="{00000000-0006-0000-0100-000002000000}">
      <text>
        <r>
          <rPr>
            <b/>
            <sz val="9"/>
            <rFont val="宋体"/>
            <family val="3"/>
            <charset val="134"/>
          </rPr>
          <t>作者:</t>
        </r>
        <r>
          <rPr>
            <sz val="9"/>
            <rFont val="宋体"/>
            <family val="3"/>
            <charset val="134"/>
          </rPr>
          <t xml:space="preserve">
不考虑弹夹容量,设定每发子弹上弹时间.
主要为手感时间.</t>
        </r>
      </text>
    </comment>
    <comment ref="H23" authorId="1" shapeId="0" xr:uid="{00000000-0006-0000-0100-000003000000}">
      <text>
        <r>
          <rPr>
            <b/>
            <sz val="9"/>
            <rFont val="宋体"/>
            <family val="3"/>
            <charset val="134"/>
          </rPr>
          <t>赵卿:</t>
        </r>
        <r>
          <rPr>
            <sz val="9"/>
            <rFont val="宋体"/>
            <family val="3"/>
            <charset val="134"/>
          </rPr>
          <t xml:space="preserve">
不同坦克移动到最佳输出距离的远近导致需要迂回的距离系数</t>
        </r>
      </text>
    </comment>
    <comment ref="U23" authorId="0" shapeId="0" xr:uid="{00000000-0006-0000-0100-000004000000}">
      <text>
        <r>
          <rPr>
            <b/>
            <sz val="9"/>
            <rFont val="宋体"/>
            <family val="3"/>
            <charset val="134"/>
          </rPr>
          <t>作者:</t>
        </r>
        <r>
          <rPr>
            <sz val="9"/>
            <rFont val="宋体"/>
            <family val="3"/>
            <charset val="134"/>
          </rPr>
          <t xml:space="preserve">
每提高1点攻击力对实际造成伤害的影响.</t>
        </r>
      </text>
    </comment>
    <comment ref="C33" authorId="1" shapeId="0" xr:uid="{00000000-0006-0000-0100-000005000000}">
      <text>
        <r>
          <rPr>
            <b/>
            <sz val="9"/>
            <rFont val="宋体"/>
            <family val="3"/>
            <charset val="134"/>
          </rPr>
          <t>赵卿:</t>
        </r>
        <r>
          <rPr>
            <sz val="9"/>
            <rFont val="宋体"/>
            <family val="3"/>
            <charset val="134"/>
          </rPr>
          <t xml:space="preserve">
对该坦克类型所造成的平均伤害</t>
        </r>
      </text>
    </comment>
    <comment ref="B38" authorId="0" shapeId="0" xr:uid="{00000000-0006-0000-0100-000006000000}">
      <text>
        <r>
          <rPr>
            <b/>
            <sz val="9"/>
            <rFont val="宋体"/>
            <family val="3"/>
            <charset val="134"/>
          </rPr>
          <t>作者:</t>
        </r>
        <r>
          <rPr>
            <sz val="9"/>
            <rFont val="宋体"/>
            <family val="3"/>
            <charset val="134"/>
          </rPr>
          <t xml:space="preserve">
以轻坦为标准推导出各类型坦克的标准属性.</t>
        </r>
      </text>
    </comment>
    <comment ref="F49" authorId="0" shapeId="0" xr:uid="{00000000-0006-0000-0100-000007000000}">
      <text>
        <r>
          <rPr>
            <b/>
            <sz val="9"/>
            <rFont val="宋体"/>
            <family val="3"/>
            <charset val="134"/>
          </rPr>
          <t>作者:</t>
        </r>
        <r>
          <rPr>
            <sz val="9"/>
            <rFont val="宋体"/>
            <family val="3"/>
            <charset val="134"/>
          </rPr>
          <t xml:space="preserve">
考虑技能和被动技能效果的情况下.各个坦克间最短战斗时间.</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作者</author>
    <author>赵卿</author>
  </authors>
  <commentList>
    <comment ref="B22" authorId="0" shapeId="0" xr:uid="{00000000-0006-0000-0200-000001000000}">
      <text>
        <r>
          <rPr>
            <b/>
            <sz val="9"/>
            <rFont val="宋体"/>
            <family val="3"/>
            <charset val="134"/>
          </rPr>
          <t>作者:</t>
        </r>
        <r>
          <rPr>
            <sz val="9"/>
            <rFont val="宋体"/>
            <family val="3"/>
            <charset val="134"/>
          </rPr>
          <t xml:space="preserve">
    目前标准战场直线观测距离最远为100米.玩家可探测距离最远为100米.设计背后探测距离为25米.重坦攻击距离最远,轻坦攻击距离最近,中坦居中.
    重坦攻击方式:开镜一发后关镜一发;
    中坦攻击方式:不能开镜,三单发;
    轻坦攻击方式:不能开镜,三连发,三连发,三连发;</t>
        </r>
      </text>
    </comment>
    <comment ref="B28" authorId="0" shapeId="0" xr:uid="{00000000-0006-0000-0200-000002000000}">
      <text>
        <r>
          <rPr>
            <b/>
            <sz val="9"/>
            <rFont val="宋体"/>
            <family val="3"/>
            <charset val="134"/>
          </rPr>
          <t>作者:</t>
        </r>
        <r>
          <rPr>
            <sz val="9"/>
            <rFont val="宋体"/>
            <family val="3"/>
            <charset val="134"/>
          </rPr>
          <t xml:space="preserve">
    目前标准战场直线观测距离最远为100米.玩家可探测距离最远为100米.设计背后探测距离为25米.重坦攻击距离最远,轻坦攻击距离最近,中坦居中.
    重坦攻击方式:开镜一发后关镜一发;
    中坦攻击方式:不能开镜,三单发;
    轻坦攻击方式:不能开镜,三连发,三连发,三连发;
    轻坦半自动,中坦弹夹,重坦自动在衰减距离之内射击可以穿透目标装甲;
    轻坦弹夹,中坦单发,重坦单发在衰减10%后可以穿透目标装甲;
    轻坦单发在衰减20%后可以穿透目标装甲;</t>
        </r>
      </text>
    </comment>
    <comment ref="B55" authorId="0" shapeId="0" xr:uid="{00000000-0006-0000-0200-000003000000}">
      <text>
        <r>
          <rPr>
            <b/>
            <sz val="9"/>
            <rFont val="宋体"/>
            <family val="3"/>
            <charset val="134"/>
          </rPr>
          <t>作者:</t>
        </r>
        <r>
          <rPr>
            <sz val="9"/>
            <rFont val="宋体"/>
            <family val="3"/>
            <charset val="134"/>
          </rPr>
          <t xml:space="preserve">
坦克会产生碰撞伤害时最小的相对速度.</t>
        </r>
      </text>
    </comment>
    <comment ref="B56" authorId="0" shapeId="0" xr:uid="{00000000-0006-0000-0200-000004000000}">
      <text>
        <r>
          <rPr>
            <b/>
            <sz val="9"/>
            <rFont val="宋体"/>
            <family val="3"/>
            <charset val="134"/>
          </rPr>
          <t>作者:</t>
        </r>
        <r>
          <rPr>
            <sz val="9"/>
            <rFont val="宋体"/>
            <family val="3"/>
            <charset val="134"/>
          </rPr>
          <t xml:space="preserve">
受到撞击伤害时,反弹的最小伤害.</t>
        </r>
      </text>
    </comment>
    <comment ref="B57" authorId="0" shapeId="0" xr:uid="{00000000-0006-0000-0200-000005000000}">
      <text>
        <r>
          <rPr>
            <b/>
            <sz val="9"/>
            <rFont val="宋体"/>
            <family val="3"/>
            <charset val="134"/>
          </rPr>
          <t>作者:</t>
        </r>
        <r>
          <rPr>
            <sz val="9"/>
            <rFont val="宋体"/>
            <family val="3"/>
            <charset val="134"/>
          </rPr>
          <t xml:space="preserve">
撞击伤害与血量的比例系数.</t>
        </r>
      </text>
    </comment>
    <comment ref="B59" authorId="0" shapeId="0" xr:uid="{00000000-0006-0000-0200-000006000000}">
      <text>
        <r>
          <rPr>
            <b/>
            <sz val="9"/>
            <rFont val="宋体"/>
            <family val="3"/>
            <charset val="134"/>
          </rPr>
          <t>作者:</t>
        </r>
        <r>
          <rPr>
            <sz val="9"/>
            <rFont val="宋体"/>
            <family val="3"/>
            <charset val="134"/>
          </rPr>
          <t xml:space="preserve">
Center的定义为:1.穿破炮塔护甲后对穿甲能力的最终正面反馈.2.玩家长时间瞄准的补偿和目标.
所以,center的大小对所有的坦克来说应是统一的.同时,center不应超出炮塔之外.</t>
        </r>
      </text>
    </comment>
    <comment ref="E60" authorId="1" shapeId="0" xr:uid="{00000000-0006-0000-0200-000007000000}">
      <text>
        <r>
          <rPr>
            <b/>
            <sz val="9"/>
            <rFont val="宋体"/>
            <family val="3"/>
            <charset val="134"/>
          </rPr>
          <t>赵卿:</t>
        </r>
        <r>
          <rPr>
            <sz val="9"/>
            <rFont val="宋体"/>
            <family val="3"/>
            <charset val="134"/>
          </rPr>
          <t xml:space="preserve">
在瞄准射线与中心点的距离小于0.4时,跳过外层车身和履带护甲.</t>
        </r>
      </text>
    </comment>
    <comment ref="G64" authorId="0" shapeId="0" xr:uid="{00000000-0006-0000-0200-000008000000}">
      <text>
        <r>
          <rPr>
            <b/>
            <sz val="9"/>
            <rFont val="宋体"/>
            <family val="3"/>
            <charset val="134"/>
          </rPr>
          <t>作者:</t>
        </r>
        <r>
          <rPr>
            <sz val="9"/>
            <rFont val="宋体"/>
            <family val="3"/>
            <charset val="134"/>
          </rPr>
          <t xml:space="preserve">
可穿透前一层时,击中该部分的概率.</t>
        </r>
      </text>
    </comment>
    <comment ref="I64" authorId="0" shapeId="0" xr:uid="{00000000-0006-0000-0200-000009000000}">
      <text>
        <r>
          <rPr>
            <b/>
            <sz val="9"/>
            <rFont val="宋体"/>
            <family val="3"/>
            <charset val="134"/>
          </rPr>
          <t>作者:</t>
        </r>
        <r>
          <rPr>
            <sz val="9"/>
            <rFont val="宋体"/>
            <family val="3"/>
            <charset val="134"/>
          </rPr>
          <t xml:space="preserve">
射击命中此部位的平均概率</t>
        </r>
      </text>
    </comment>
    <comment ref="J64" authorId="0" shapeId="0" xr:uid="{00000000-0006-0000-0200-00000A000000}">
      <text>
        <r>
          <rPr>
            <b/>
            <sz val="9"/>
            <rFont val="宋体"/>
            <family val="3"/>
            <charset val="134"/>
          </rPr>
          <t>作者:</t>
        </r>
        <r>
          <rPr>
            <sz val="9"/>
            <rFont val="宋体"/>
            <family val="3"/>
            <charset val="134"/>
          </rPr>
          <t xml:space="preserve">
穿透此部位可造成的平均伤害比例</t>
        </r>
      </text>
    </comment>
    <comment ref="K64" authorId="0" shapeId="0" xr:uid="{00000000-0006-0000-0200-00000B000000}">
      <text>
        <r>
          <rPr>
            <b/>
            <sz val="9"/>
            <rFont val="宋体"/>
            <family val="3"/>
            <charset val="134"/>
          </rPr>
          <t>作者:</t>
        </r>
        <r>
          <rPr>
            <sz val="9"/>
            <rFont val="宋体"/>
            <family val="3"/>
            <charset val="134"/>
          </rPr>
          <t xml:space="preserve">
由于命中概率和部位伤害比例计算得出,此部位对总体伤害的影响系数.</t>
        </r>
      </text>
    </comment>
    <comment ref="B65" authorId="0" shapeId="0" xr:uid="{00000000-0006-0000-0200-00000C000000}">
      <text>
        <r>
          <rPr>
            <b/>
            <sz val="9"/>
            <rFont val="宋体"/>
            <family val="3"/>
            <charset val="134"/>
          </rPr>
          <t>作者:</t>
        </r>
        <r>
          <rPr>
            <sz val="9"/>
            <rFont val="宋体"/>
            <family val="3"/>
            <charset val="134"/>
          </rPr>
          <t xml:space="preserve">
圆形</t>
        </r>
      </text>
    </comment>
    <comment ref="B66" authorId="0" shapeId="0" xr:uid="{00000000-0006-0000-0200-00000D000000}">
      <text>
        <r>
          <rPr>
            <b/>
            <sz val="9"/>
            <rFont val="宋体"/>
            <family val="3"/>
            <charset val="134"/>
          </rPr>
          <t>作者:</t>
        </r>
        <r>
          <rPr>
            <sz val="9"/>
            <rFont val="宋体"/>
            <family val="3"/>
            <charset val="134"/>
          </rPr>
          <t xml:space="preserve">
圆形</t>
        </r>
      </text>
    </comment>
    <comment ref="F71" authorId="1" shapeId="0" xr:uid="{00000000-0006-0000-0200-00000E000000}">
      <text>
        <r>
          <rPr>
            <b/>
            <sz val="9"/>
            <rFont val="宋体"/>
            <family val="3"/>
            <charset val="134"/>
          </rPr>
          <t>赵卿:</t>
        </r>
        <r>
          <rPr>
            <sz val="9"/>
            <rFont val="宋体"/>
            <family val="3"/>
            <charset val="134"/>
          </rPr>
          <t xml:space="preserve">
将长度映射到对角线上,近似认为是平均命中长度.计算命中概率</t>
        </r>
      </text>
    </comment>
    <comment ref="B94" authorId="1" shapeId="0" xr:uid="{00000000-0006-0000-0200-00000F000000}">
      <text>
        <r>
          <rPr>
            <b/>
            <sz val="9"/>
            <rFont val="宋体"/>
            <family val="3"/>
            <charset val="134"/>
          </rPr>
          <t>赵卿:</t>
        </r>
        <r>
          <rPr>
            <sz val="9"/>
            <rFont val="宋体"/>
            <family val="3"/>
            <charset val="134"/>
          </rPr>
          <t xml:space="preserve">
大概模拟一定长度的坦克边线的实际生效入射长度的调整系数.
例:坦克长10米,侧面入射的实际生效长度由10米逐渐变为0米.计算实际生效长度时使用此调整系数1.6得生效长度为10/1.6=6.25米</t>
        </r>
      </text>
    </comment>
    <comment ref="B102" authorId="0" shapeId="0" xr:uid="{00000000-0006-0000-0200-000010000000}">
      <text>
        <r>
          <rPr>
            <b/>
            <sz val="9"/>
            <rFont val="宋体"/>
            <family val="3"/>
            <charset val="134"/>
          </rPr>
          <t>作者:</t>
        </r>
        <r>
          <rPr>
            <sz val="9"/>
            <rFont val="宋体"/>
            <family val="3"/>
            <charset val="134"/>
          </rPr>
          <t xml:space="preserve">
当炮弹不能击破当前装甲时,最多对此部件造成该部件最低伤害的75%(暂定值)(废弃)</t>
        </r>
      </text>
    </comment>
    <comment ref="B103" authorId="0" shapeId="0" xr:uid="{00000000-0006-0000-0200-000011000000}">
      <text>
        <r>
          <rPr>
            <b/>
            <sz val="9"/>
            <rFont val="宋体"/>
            <family val="3"/>
            <charset val="134"/>
          </rPr>
          <t>作者:</t>
        </r>
        <r>
          <rPr>
            <sz val="9"/>
            <rFont val="宋体"/>
            <family val="3"/>
            <charset val="134"/>
          </rPr>
          <t xml:space="preserve">
标准坦克在不考虑技能效果下的期望战斗时长.</t>
        </r>
      </text>
    </comment>
    <comment ref="B105" authorId="0" shapeId="0" xr:uid="{00000000-0006-0000-0200-000012000000}">
      <text>
        <r>
          <rPr>
            <b/>
            <sz val="9"/>
            <rFont val="宋体"/>
            <family val="3"/>
            <charset val="134"/>
          </rPr>
          <t>作者:</t>
        </r>
        <r>
          <rPr>
            <sz val="9"/>
            <rFont val="宋体"/>
            <family val="3"/>
            <charset val="134"/>
          </rPr>
          <t xml:space="preserve">
初始设定为,坦克拥有1个主动技能,可以镶嵌3个被动技能.所有技能占据40%输出效果.</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赵卿</author>
  </authors>
  <commentList>
    <comment ref="B2" authorId="0" shapeId="0" xr:uid="{00000000-0006-0000-0300-000001000000}">
      <text>
        <r>
          <rPr>
            <b/>
            <sz val="9"/>
            <rFont val="宋体"/>
            <family val="3"/>
            <charset val="134"/>
          </rPr>
          <t>赵卿:</t>
        </r>
        <r>
          <rPr>
            <sz val="9"/>
            <rFont val="宋体"/>
            <family val="3"/>
            <charset val="134"/>
          </rPr>
          <t xml:space="preserve">
初始值,与实际价值比例不同</t>
        </r>
      </text>
    </comment>
    <comment ref="B8" authorId="0" shapeId="0" xr:uid="{00000000-0006-0000-0300-000002000000}">
      <text>
        <r>
          <rPr>
            <b/>
            <sz val="9"/>
            <color rgb="FF000000"/>
            <rFont val="宋体"/>
            <family val="3"/>
            <charset val="134"/>
          </rPr>
          <t>赵卿:</t>
        </r>
        <r>
          <rPr>
            <sz val="9"/>
            <color rgb="FF000000"/>
            <rFont val="宋体"/>
            <family val="3"/>
            <charset val="134"/>
          </rPr>
          <t xml:space="preserve">
假设玩家每天极限游戏时长为10小时.</t>
        </r>
      </text>
    </comment>
    <comment ref="F82" authorId="0" shapeId="0" xr:uid="{00000000-0006-0000-0300-000003000000}">
      <text>
        <r>
          <rPr>
            <b/>
            <sz val="9"/>
            <rFont val="宋体"/>
            <family val="3"/>
            <charset val="134"/>
          </rPr>
          <t>赵卿:</t>
        </r>
        <r>
          <rPr>
            <sz val="9"/>
            <rFont val="宋体"/>
            <family val="3"/>
            <charset val="134"/>
          </rPr>
          <t xml:space="preserve">
平均每场获得75%军费奖励</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赵卿</author>
  </authors>
  <commentList>
    <comment ref="B8" authorId="0" shapeId="0" xr:uid="{00000000-0006-0000-0400-000001000000}">
      <text>
        <r>
          <rPr>
            <b/>
            <sz val="9"/>
            <rFont val="宋体"/>
            <family val="3"/>
            <charset val="134"/>
          </rPr>
          <t>赵卿:</t>
        </r>
        <r>
          <rPr>
            <sz val="9"/>
            <rFont val="宋体"/>
            <family val="3"/>
            <charset val="134"/>
          </rPr>
          <t xml:space="preserve">
玩家降级时需要降低当前分段分数的百分比.</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作者</author>
  </authors>
  <commentList>
    <comment ref="W70" authorId="0" shapeId="0" xr:uid="{00000000-0006-0000-0900-000001000000}">
      <text>
        <r>
          <rPr>
            <b/>
            <sz val="9"/>
            <rFont val="宋体"/>
            <family val="3"/>
            <charset val="134"/>
          </rPr>
          <t>作者:</t>
        </r>
        <r>
          <rPr>
            <sz val="9"/>
            <rFont val="宋体"/>
            <family val="3"/>
            <charset val="134"/>
          </rPr>
          <t xml:space="preserve">
0.1秒钟占据实际射击间隔的比例.</t>
        </r>
      </text>
    </comment>
    <comment ref="X70" authorId="0" shapeId="0" xr:uid="{00000000-0006-0000-0900-000002000000}">
      <text>
        <r>
          <rPr>
            <b/>
            <sz val="9"/>
            <rFont val="宋体"/>
            <family val="3"/>
            <charset val="134"/>
          </rPr>
          <t>作者:</t>
        </r>
        <r>
          <rPr>
            <sz val="9"/>
            <rFont val="宋体"/>
            <family val="3"/>
            <charset val="134"/>
          </rPr>
          <t xml:space="preserve">
延长0.1秒钟射击间隔,延长的战斗时长比例.</t>
        </r>
      </text>
    </comment>
    <comment ref="W80" authorId="0" shapeId="0" xr:uid="{00000000-0006-0000-0900-000003000000}">
      <text>
        <r>
          <rPr>
            <b/>
            <sz val="9"/>
            <rFont val="宋体"/>
            <family val="3"/>
            <charset val="134"/>
          </rPr>
          <t>作者:</t>
        </r>
        <r>
          <rPr>
            <sz val="9"/>
            <rFont val="宋体"/>
            <family val="3"/>
            <charset val="134"/>
          </rPr>
          <t xml:space="preserve">
1秒钟占据实际上弹时间的比例.</t>
        </r>
      </text>
    </comment>
    <comment ref="X80" authorId="0" shapeId="0" xr:uid="{00000000-0006-0000-0900-000004000000}">
      <text>
        <r>
          <rPr>
            <b/>
            <sz val="9"/>
            <rFont val="宋体"/>
            <family val="3"/>
            <charset val="134"/>
          </rPr>
          <t>作者:</t>
        </r>
        <r>
          <rPr>
            <sz val="9"/>
            <rFont val="宋体"/>
            <family val="3"/>
            <charset val="134"/>
          </rPr>
          <t xml:space="preserve">
加快1秒钟对应的上弹时间,缩短的战斗时长比例.</t>
        </r>
      </text>
    </comment>
    <comment ref="L90" authorId="0" shapeId="0" xr:uid="{00000000-0006-0000-0900-000005000000}">
      <text>
        <r>
          <rPr>
            <b/>
            <sz val="9"/>
            <rFont val="宋体"/>
            <family val="3"/>
            <charset val="134"/>
          </rPr>
          <t>作者:</t>
        </r>
        <r>
          <rPr>
            <sz val="9"/>
            <rFont val="宋体"/>
            <family val="3"/>
            <charset val="134"/>
          </rPr>
          <t xml:space="preserve">
连射期间,每个周期内射击间隔导致的额外缩圈时间.</t>
        </r>
      </text>
    </comment>
    <comment ref="Y90" authorId="0" shapeId="0" xr:uid="{00000000-0006-0000-0900-000006000000}">
      <text>
        <r>
          <rPr>
            <b/>
            <sz val="9"/>
            <rFont val="宋体"/>
            <family val="3"/>
            <charset val="134"/>
          </rPr>
          <t>作者:</t>
        </r>
        <r>
          <rPr>
            <sz val="9"/>
            <rFont val="宋体"/>
            <family val="3"/>
            <charset val="134"/>
          </rPr>
          <t xml:space="preserve">
调整一定比例的瞄准时间,会影响射击周期缩短时间对应的比例值.
例:此值为1,即为若缩短10%的瞄准时间,则射击周期缩短10%.</t>
        </r>
      </text>
    </comment>
    <comment ref="Y95" authorId="0" shapeId="0" xr:uid="{00000000-0006-0000-0900-000007000000}">
      <text>
        <r>
          <rPr>
            <b/>
            <sz val="9"/>
            <rFont val="宋体"/>
            <family val="3"/>
            <charset val="134"/>
          </rPr>
          <t>作者:</t>
        </r>
        <r>
          <rPr>
            <sz val="9"/>
            <rFont val="宋体"/>
            <family val="3"/>
            <charset val="134"/>
          </rPr>
          <t xml:space="preserve">
缩短时间30%以内平均值为80%,之后递减</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LINK_START</author>
  </authors>
  <commentList>
    <comment ref="A80" authorId="0" shapeId="0" xr:uid="{00000000-0006-0000-0A00-000001000000}">
      <text>
        <r>
          <rPr>
            <b/>
            <sz val="9"/>
            <rFont val="宋体"/>
            <family val="3"/>
            <charset val="134"/>
          </rPr>
          <t>ID规则：品质*10000+Tier*100+等级</t>
        </r>
        <r>
          <rPr>
            <sz val="9"/>
            <rFont val="宋体"/>
            <family val="3"/>
            <charset val="134"/>
          </rPr>
          <t xml:space="preserve">
</t>
        </r>
      </text>
    </comment>
    <comment ref="F80" authorId="0" shapeId="0" xr:uid="{00000000-0006-0000-0A00-000002000000}">
      <text>
        <r>
          <rPr>
            <b/>
            <sz val="9"/>
            <rFont val="宋体"/>
            <family val="3"/>
            <charset val="134"/>
          </rPr>
          <t>ID规则：品质*10000+Tier*100+等级</t>
        </r>
        <r>
          <rPr>
            <sz val="9"/>
            <rFont val="宋体"/>
            <family val="3"/>
            <charset val="134"/>
          </rPr>
          <t xml:space="preserve">
</t>
        </r>
      </text>
    </comment>
    <comment ref="K80" authorId="0" shapeId="0" xr:uid="{00000000-0006-0000-0A00-000003000000}">
      <text>
        <r>
          <rPr>
            <b/>
            <sz val="9"/>
            <rFont val="宋体"/>
            <family val="3"/>
            <charset val="134"/>
          </rPr>
          <t>ID规则：品质*10000+Tier*100+等级</t>
        </r>
        <r>
          <rPr>
            <sz val="9"/>
            <rFont val="宋体"/>
            <family val="3"/>
            <charset val="134"/>
          </rPr>
          <t xml:space="preserve">
</t>
        </r>
      </text>
    </comment>
    <comment ref="P80" authorId="0" shapeId="0" xr:uid="{00000000-0006-0000-0A00-000004000000}">
      <text>
        <r>
          <rPr>
            <b/>
            <sz val="9"/>
            <rFont val="宋体"/>
            <family val="3"/>
            <charset val="134"/>
          </rPr>
          <t>ID规则：品质*10000+Tier*100+等级</t>
        </r>
        <r>
          <rPr>
            <sz val="9"/>
            <rFont val="宋体"/>
            <family val="3"/>
            <charset val="134"/>
          </rPr>
          <t xml:space="preserve">
</t>
        </r>
      </text>
    </comment>
    <comment ref="U80" authorId="0" shapeId="0" xr:uid="{00000000-0006-0000-0A00-000005000000}">
      <text>
        <r>
          <rPr>
            <b/>
            <sz val="9"/>
            <rFont val="宋体"/>
            <family val="3"/>
            <charset val="134"/>
          </rPr>
          <t>ID规则：品质*10000+Tier*100+等级</t>
        </r>
        <r>
          <rPr>
            <sz val="9"/>
            <rFont val="宋体"/>
            <family val="3"/>
            <charset val="134"/>
          </rPr>
          <t xml:space="preserve">
</t>
        </r>
      </text>
    </comment>
    <comment ref="Z80" authorId="0" shapeId="0" xr:uid="{00000000-0006-0000-0A00-000006000000}">
      <text>
        <r>
          <rPr>
            <b/>
            <sz val="9"/>
            <rFont val="宋体"/>
            <family val="3"/>
            <charset val="134"/>
          </rPr>
          <t>ID规则：品质*10000+Tier*100+等级</t>
        </r>
        <r>
          <rPr>
            <sz val="9"/>
            <rFont val="宋体"/>
            <family val="3"/>
            <charset val="134"/>
          </rPr>
          <t xml:space="preserve">
</t>
        </r>
      </text>
    </comment>
    <comment ref="AE80" authorId="0" shapeId="0" xr:uid="{00000000-0006-0000-0A00-000007000000}">
      <text>
        <r>
          <rPr>
            <b/>
            <sz val="9"/>
            <rFont val="宋体"/>
            <family val="3"/>
            <charset val="134"/>
          </rPr>
          <t>ID规则：品质*10000+Tier*100+等级</t>
        </r>
        <r>
          <rPr>
            <sz val="9"/>
            <rFont val="宋体"/>
            <family val="3"/>
            <charset val="134"/>
          </rPr>
          <t xml:space="preserve">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赵卿</author>
  </authors>
  <commentList>
    <comment ref="B2" authorId="0" shapeId="0" xr:uid="{00000000-0006-0000-0C00-000001000000}">
      <text>
        <r>
          <rPr>
            <b/>
            <sz val="9"/>
            <rFont val="宋体"/>
            <family val="3"/>
            <charset val="134"/>
          </rPr>
          <t>赵卿:</t>
        </r>
        <r>
          <rPr>
            <sz val="9"/>
            <rFont val="宋体"/>
            <family val="3"/>
            <charset val="134"/>
          </rPr>
          <t xml:space="preserve">
每个坦克有初始和最终两个状态</t>
        </r>
      </text>
    </comment>
    <comment ref="C2" authorId="0" shapeId="0" xr:uid="{00000000-0006-0000-0C00-000002000000}">
      <text>
        <r>
          <rPr>
            <b/>
            <sz val="9"/>
            <rFont val="宋体"/>
            <family val="3"/>
            <charset val="134"/>
          </rPr>
          <t>赵卿:</t>
        </r>
        <r>
          <rPr>
            <sz val="9"/>
            <rFont val="宋体"/>
            <family val="3"/>
            <charset val="134"/>
          </rPr>
          <t xml:space="preserve">
升星提供的穿透力增长中包含本应该分配给子弹的穿透力的60%,在没有子弹提供的穿透力时,满星的坦克可以穿透满培养的部件+坦克.</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作者</author>
    <author>赵卿</author>
  </authors>
  <commentList>
    <comment ref="AM2" authorId="0" shapeId="0" xr:uid="{00000000-0006-0000-0D00-000001000000}">
      <text>
        <r>
          <rPr>
            <b/>
            <sz val="9"/>
            <rFont val="宋体"/>
            <family val="3"/>
            <charset val="134"/>
          </rPr>
          <t>作者:</t>
        </r>
        <r>
          <rPr>
            <sz val="9"/>
            <rFont val="宋体"/>
            <family val="3"/>
            <charset val="134"/>
          </rPr>
          <t xml:space="preserve">
通过调整单发/弹夹射击间隔;
</t>
        </r>
        <r>
          <rPr>
            <strike/>
            <sz val="9"/>
            <rFont val="宋体"/>
            <family val="3"/>
            <charset val="134"/>
          </rPr>
          <t xml:space="preserve">射击/被击缩圈滞留时间和坦克类型对其影响增加了细微的体验区别.稍稍影响射击速度.
</t>
        </r>
        <r>
          <rPr>
            <sz val="9"/>
            <rFont val="宋体"/>
            <family val="3"/>
            <charset val="134"/>
          </rPr>
          <t>射击滞留和被击滞留都被写死在代码中1帧.</t>
        </r>
      </text>
    </comment>
    <comment ref="AQ2" authorId="1" shapeId="0" xr:uid="{00000000-0006-0000-0D00-000002000000}">
      <text>
        <r>
          <rPr>
            <b/>
            <sz val="9"/>
            <rFont val="宋体"/>
            <family val="3"/>
            <charset val="134"/>
          </rPr>
          <t>赵卿:</t>
        </r>
        <r>
          <rPr>
            <sz val="9"/>
            <rFont val="宋体"/>
            <family val="3"/>
            <charset val="134"/>
          </rPr>
          <t xml:space="preserve">
坦克在期望射击次数后的圈可以覆盖目标坦克的比例为标准.以此引导玩家射击套路.</t>
        </r>
      </text>
    </comment>
    <comment ref="BM2" authorId="0" shapeId="0" xr:uid="{00000000-0006-0000-0D00-000003000000}">
      <text>
        <r>
          <rPr>
            <b/>
            <sz val="9"/>
            <rFont val="宋体"/>
            <family val="3"/>
            <charset val="134"/>
          </rPr>
          <t>作者:</t>
        </r>
        <r>
          <rPr>
            <sz val="9"/>
            <rFont val="宋体"/>
            <family val="3"/>
            <charset val="134"/>
          </rPr>
          <t xml:space="preserve">
旋转造成的偏移角度的意义在于是否建议坦克在旋转中射击.轻坦,可以;中坦,看技术;重坦不推荐.</t>
        </r>
      </text>
    </comment>
    <comment ref="BZ2" authorId="0" shapeId="0" xr:uid="{00000000-0006-0000-0D00-000004000000}">
      <text>
        <r>
          <rPr>
            <b/>
            <sz val="9"/>
            <rFont val="宋体"/>
            <family val="3"/>
            <charset val="134"/>
          </rPr>
          <t>作者:</t>
        </r>
        <r>
          <rPr>
            <sz val="9"/>
            <rFont val="宋体"/>
            <family val="3"/>
            <charset val="134"/>
          </rPr>
          <t xml:space="preserve">
坦克行进速度对应坦克在地图中多长时间遇到敌人.不同类型的坦克因特点不同遇敌时间不同.</t>
        </r>
      </text>
    </comment>
    <comment ref="CQ2" authorId="0" shapeId="0" xr:uid="{00000000-0006-0000-0D00-000005000000}">
      <text>
        <r>
          <rPr>
            <b/>
            <sz val="9"/>
            <rFont val="宋体"/>
            <family val="3"/>
            <charset val="134"/>
          </rPr>
          <t>作者:</t>
        </r>
        <r>
          <rPr>
            <sz val="9"/>
            <rFont val="宋体"/>
            <family val="3"/>
            <charset val="134"/>
          </rPr>
          <t xml:space="preserve">
炮塔转向角速度对应坦克在标准射击距离时炮塔的转向速度能否追的上坦克的前进速度.
初始角速度对应在标准战斗距离发现前方坦克,瞄准中心所用时间.
角速度上限对应在近战斗距离下发现前方坦克,瞄准中心所用时间.</t>
        </r>
      </text>
    </comment>
    <comment ref="DE2" authorId="0" shapeId="0" xr:uid="{00000000-0006-0000-0D00-000006000000}">
      <text>
        <r>
          <rPr>
            <b/>
            <sz val="9"/>
            <rFont val="宋体"/>
            <family val="3"/>
            <charset val="134"/>
          </rPr>
          <t>作者:</t>
        </r>
        <r>
          <rPr>
            <sz val="9"/>
            <rFont val="宋体"/>
            <family val="3"/>
            <charset val="134"/>
          </rPr>
          <t xml:space="preserve">
此属性作用理解为走位需要调整时的转向速度,会直接影响玩家的操作手感,如果值太小,会使得负面反馈较大.暂定无变化,根据坦克类型不同,但均较大.</t>
        </r>
      </text>
    </comment>
    <comment ref="BA3" authorId="0" shapeId="0" xr:uid="{00000000-0006-0000-0D00-000007000000}">
      <text>
        <r>
          <rPr>
            <b/>
            <sz val="9"/>
            <rFont val="宋体"/>
            <family val="3"/>
            <charset val="134"/>
          </rPr>
          <t>作者:</t>
        </r>
        <r>
          <rPr>
            <sz val="9"/>
            <rFont val="宋体"/>
            <family val="3"/>
            <charset val="134"/>
          </rPr>
          <t xml:space="preserve">
以攻击轻坦,导致被击轻坦要增加的额外瞄准时间为标准.以自身瞄准时间的1/2左右为初始值.同时考虑各种类型坦克的射击间隔.</t>
        </r>
      </text>
    </comment>
    <comment ref="BV3" authorId="0" shapeId="0" xr:uid="{00000000-0006-0000-0D00-000008000000}">
      <text>
        <r>
          <rPr>
            <b/>
            <sz val="9"/>
            <rFont val="宋体"/>
            <family val="3"/>
            <charset val="134"/>
          </rPr>
          <t>作者:</t>
        </r>
        <r>
          <rPr>
            <sz val="9"/>
            <rFont val="宋体"/>
            <family val="3"/>
            <charset val="134"/>
          </rPr>
          <t xml:space="preserve">
1/3秒时炮塔旋转造成的偏移角度达到上限.</t>
        </r>
      </text>
    </comment>
    <comment ref="CQ8" authorId="0" shapeId="0" xr:uid="{00000000-0006-0000-0D00-000009000000}">
      <text>
        <r>
          <rPr>
            <b/>
            <sz val="9"/>
            <rFont val="宋体"/>
            <family val="3"/>
            <charset val="134"/>
          </rPr>
          <t>作者:</t>
        </r>
        <r>
          <rPr>
            <sz val="9"/>
            <rFont val="宋体"/>
            <family val="3"/>
            <charset val="134"/>
          </rPr>
          <t xml:space="preserve">
若对应类型的坦克在此圈范围之内,则同向追逐,旋转炮塔追不上目标.</t>
        </r>
      </text>
    </comment>
    <comment ref="DE8" authorId="0" shapeId="0" xr:uid="{00000000-0006-0000-0D00-00000A000000}">
      <text>
        <r>
          <rPr>
            <b/>
            <sz val="9"/>
            <rFont val="宋体"/>
            <family val="3"/>
            <charset val="134"/>
          </rPr>
          <t>作者:</t>
        </r>
        <r>
          <rPr>
            <sz val="9"/>
            <rFont val="宋体"/>
            <family val="3"/>
            <charset val="134"/>
          </rPr>
          <t xml:space="preserve">
坦克在移动中转向,此时的前进后退最大速度与原速度的比例.前进后退的加速度与原加速度的比例.后退时减速加速度与原加速度的比例.</t>
        </r>
      </text>
    </comment>
    <comment ref="BM12" authorId="0" shapeId="0" xr:uid="{00000000-0006-0000-0D00-00000B000000}">
      <text>
        <r>
          <rPr>
            <b/>
            <sz val="9"/>
            <rFont val="宋体"/>
            <family val="3"/>
            <charset val="134"/>
          </rPr>
          <t>作者:</t>
        </r>
        <r>
          <rPr>
            <sz val="9"/>
            <rFont val="宋体"/>
            <family val="3"/>
            <charset val="134"/>
          </rPr>
          <t xml:space="preserve">
移动造成的偏移角度的意义在于是否建议坦克在移动中射击.轻坦,可以;中坦,看技术;重坦不推荐.</t>
        </r>
      </text>
    </comment>
    <comment ref="BC13" authorId="0" shapeId="0" xr:uid="{00000000-0006-0000-0D00-00000C000000}">
      <text>
        <r>
          <rPr>
            <b/>
            <sz val="9"/>
            <rFont val="宋体"/>
            <family val="3"/>
            <charset val="134"/>
          </rPr>
          <t>作者:</t>
        </r>
        <r>
          <rPr>
            <sz val="9"/>
            <rFont val="宋体"/>
            <family val="3"/>
            <charset val="134"/>
          </rPr>
          <t xml:space="preserve">
未被击中前,瞄准攻击坦克的比例.</t>
        </r>
      </text>
    </comment>
    <comment ref="BG13" authorId="0" shapeId="0" xr:uid="{00000000-0006-0000-0D00-00000D000000}">
      <text>
        <r>
          <rPr>
            <b/>
            <sz val="9"/>
            <rFont val="宋体"/>
            <family val="3"/>
            <charset val="134"/>
          </rPr>
          <t>作者:</t>
        </r>
        <r>
          <rPr>
            <sz val="9"/>
            <rFont val="宋体"/>
            <family val="3"/>
            <charset val="134"/>
          </rPr>
          <t xml:space="preserve">
被击导致标准瞄准距离下,瞄准圈完全覆盖目标坦克时,受到的偏移角度.
基本上是挨4发重坦炮弹造成的偏移角度.</t>
        </r>
      </text>
    </comment>
    <comment ref="BV13" authorId="0" shapeId="0" xr:uid="{00000000-0006-0000-0D00-00000E000000}">
      <text>
        <r>
          <rPr>
            <b/>
            <sz val="9"/>
            <rFont val="宋体"/>
            <family val="3"/>
            <charset val="134"/>
          </rPr>
          <t>作者:</t>
        </r>
        <r>
          <rPr>
            <sz val="9"/>
            <rFont val="宋体"/>
            <family val="3"/>
            <charset val="134"/>
          </rPr>
          <t xml:space="preserve">
1/3秒时炮塔旋转造成的偏移角度达到上限.</t>
        </r>
      </text>
    </comment>
    <comment ref="BZ14" authorId="1" shapeId="0" xr:uid="{00000000-0006-0000-0D00-00000F000000}">
      <text>
        <r>
          <rPr>
            <b/>
            <sz val="9"/>
            <rFont val="宋体"/>
            <family val="3"/>
            <charset val="134"/>
          </rPr>
          <t>赵卿:</t>
        </r>
        <r>
          <rPr>
            <sz val="9"/>
            <rFont val="宋体"/>
            <family val="3"/>
            <charset val="134"/>
          </rPr>
          <t xml:space="preserve">
前进后退最大速度一样,只是加速稍微慢些.</t>
        </r>
      </text>
    </comment>
    <comment ref="AK15" authorId="1" shapeId="0" xr:uid="{00000000-0006-0000-0D00-000010000000}">
      <text>
        <r>
          <rPr>
            <b/>
            <sz val="9"/>
            <rFont val="宋体"/>
            <family val="3"/>
            <charset val="134"/>
          </rPr>
          <t>赵卿:</t>
        </r>
        <r>
          <rPr>
            <sz val="9"/>
            <rFont val="宋体"/>
            <family val="3"/>
            <charset val="134"/>
          </rPr>
          <t xml:space="preserve">
最小角度0.63,18像素
最大角度5,圈大小接近两侧显示数字
标准角度:
轻坦,0.78,22像素;
中坦,0.71,20像素;
重坦,0.64,18像素;</t>
        </r>
      </text>
    </comment>
    <comment ref="CS15" authorId="0" shapeId="0" xr:uid="{00000000-0006-0000-0D00-000011000000}">
      <text>
        <r>
          <rPr>
            <b/>
            <sz val="9"/>
            <rFont val="宋体"/>
            <family val="3"/>
            <charset val="134"/>
          </rPr>
          <t>作者:</t>
        </r>
        <r>
          <rPr>
            <sz val="9"/>
            <rFont val="宋体"/>
            <family val="3"/>
            <charset val="134"/>
          </rPr>
          <t xml:space="preserve">
初始角速度=B
最终角速度=A
加速时间=T
角加速度=a
转过角度=△
∵(角速度上限-初始角速度)/加速度&gt;期望瞄准时间
∴△=(B*T+A*T)/2
  a =(A-B)/T
计算得
  A=sqrt(2*△*a+B²)
  T=(A-B)/a</t>
        </r>
      </text>
    </comment>
    <comment ref="CA21" authorId="0" shapeId="0" xr:uid="{00000000-0006-0000-0D00-000012000000}">
      <text>
        <r>
          <rPr>
            <b/>
            <sz val="9"/>
            <rFont val="宋体"/>
            <family val="3"/>
            <charset val="134"/>
          </rPr>
          <t>作者:</t>
        </r>
        <r>
          <rPr>
            <sz val="9"/>
            <rFont val="宋体"/>
            <family val="3"/>
            <charset val="134"/>
          </rPr>
          <t xml:space="preserve">
单位转化为km/h</t>
        </r>
      </text>
    </comment>
    <comment ref="BC23" authorId="0" shapeId="0" xr:uid="{00000000-0006-0000-0D00-000013000000}">
      <text>
        <r>
          <rPr>
            <b/>
            <sz val="9"/>
            <rFont val="宋体"/>
            <family val="3"/>
            <charset val="134"/>
          </rPr>
          <t>作者:</t>
        </r>
        <r>
          <rPr>
            <sz val="9"/>
            <rFont val="宋体"/>
            <family val="3"/>
            <charset val="134"/>
          </rPr>
          <t xml:space="preserve">
未被击中前,瞄准攻击坦克的比例.</t>
        </r>
      </text>
    </comment>
    <comment ref="BP23" authorId="0" shapeId="0" xr:uid="{00000000-0006-0000-0D00-000014000000}">
      <text>
        <r>
          <rPr>
            <b/>
            <sz val="9"/>
            <rFont val="宋体"/>
            <family val="3"/>
            <charset val="134"/>
          </rPr>
          <t>作者:</t>
        </r>
        <r>
          <rPr>
            <sz val="9"/>
            <rFont val="宋体"/>
            <family val="3"/>
            <charset val="134"/>
          </rPr>
          <t xml:space="preserve">
轻坦射程距离下</t>
        </r>
      </text>
    </comment>
    <comment ref="BS23" authorId="0" shapeId="0" xr:uid="{00000000-0006-0000-0D00-000015000000}">
      <text>
        <r>
          <rPr>
            <b/>
            <sz val="9"/>
            <rFont val="宋体"/>
            <family val="3"/>
            <charset val="134"/>
          </rPr>
          <t>作者:</t>
        </r>
        <r>
          <rPr>
            <sz val="9"/>
            <rFont val="宋体"/>
            <family val="3"/>
            <charset val="134"/>
          </rPr>
          <t xml:space="preserve">
中坦射程距离下</t>
        </r>
      </text>
    </comment>
    <comment ref="BV23" authorId="0" shapeId="0" xr:uid="{00000000-0006-0000-0D00-000016000000}">
      <text>
        <r>
          <rPr>
            <b/>
            <sz val="9"/>
            <rFont val="宋体"/>
            <family val="3"/>
            <charset val="134"/>
          </rPr>
          <t>作者:</t>
        </r>
        <r>
          <rPr>
            <sz val="9"/>
            <rFont val="宋体"/>
            <family val="3"/>
            <charset val="134"/>
          </rPr>
          <t xml:space="preserve">
重坦射程距离下</t>
        </r>
      </text>
    </comment>
    <comment ref="BC33" authorId="0" shapeId="0" xr:uid="{00000000-0006-0000-0D00-000017000000}">
      <text>
        <r>
          <rPr>
            <b/>
            <sz val="9"/>
            <rFont val="宋体"/>
            <family val="3"/>
            <charset val="134"/>
          </rPr>
          <t>作者:</t>
        </r>
        <r>
          <rPr>
            <sz val="9"/>
            <rFont val="宋体"/>
            <family val="3"/>
            <charset val="134"/>
          </rPr>
          <t xml:space="preserve">
未被击中前,瞄准攻击坦克的比例.</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作者</author>
    <author>赵卿</author>
  </authors>
  <commentList>
    <comment ref="B2" authorId="0" shapeId="0" xr:uid="{00000000-0006-0000-0F00-000001000000}">
      <text>
        <r>
          <rPr>
            <b/>
            <sz val="9"/>
            <rFont val="宋体"/>
            <family val="3"/>
            <charset val="134"/>
          </rPr>
          <t>作者:</t>
        </r>
        <r>
          <rPr>
            <sz val="9"/>
            <rFont val="宋体"/>
            <family val="3"/>
            <charset val="134"/>
          </rPr>
          <t xml:space="preserve">
以标准坦克属性为基础个性化调整坦克属性时,需要在总值上保证对战斗时长的影响趋近于0.使微调前的属性尽量靠近期望属性.</t>
        </r>
      </text>
    </comment>
    <comment ref="L2" authorId="1" shapeId="0" xr:uid="{00000000-0006-0000-0F00-000002000000}">
      <text>
        <r>
          <rPr>
            <b/>
            <sz val="9"/>
            <rFont val="宋体"/>
            <family val="3"/>
            <charset val="134"/>
          </rPr>
          <t>赵卿:</t>
        </r>
        <r>
          <rPr>
            <sz val="9"/>
            <rFont val="宋体"/>
            <family val="3"/>
            <charset val="134"/>
          </rPr>
          <t xml:space="preserve">
坦克炮塔旋转或者坦克车身旋转的角速度都是影响操作和战斗感受较重要的数据,因此,提高初始上限.减少成长区间.</t>
        </r>
      </text>
    </comment>
    <comment ref="B6" authorId="1" shapeId="0" xr:uid="{00000000-0006-0000-0F00-000003000000}">
      <text>
        <r>
          <rPr>
            <b/>
            <sz val="9"/>
            <rFont val="宋体"/>
            <family val="3"/>
            <charset val="134"/>
          </rPr>
          <t>赵卿:</t>
        </r>
        <r>
          <rPr>
            <sz val="9"/>
            <rFont val="宋体"/>
            <family val="3"/>
            <charset val="134"/>
          </rPr>
          <t xml:space="preserve">
提升1%的穿透属性</t>
        </r>
      </text>
    </comment>
    <comment ref="B9" authorId="1" shapeId="0" xr:uid="{00000000-0006-0000-0F00-000004000000}">
      <text>
        <r>
          <rPr>
            <b/>
            <sz val="9"/>
            <rFont val="宋体"/>
            <family val="3"/>
            <charset val="134"/>
          </rPr>
          <t>赵卿:</t>
        </r>
        <r>
          <rPr>
            <sz val="9"/>
            <rFont val="宋体"/>
            <family val="3"/>
            <charset val="134"/>
          </rPr>
          <t xml:space="preserve">
撞击伤害出现的情况较少,影响战斗节奏效果较弱.手填值0.2</t>
        </r>
      </text>
    </comment>
    <comment ref="B10" authorId="0" shapeId="0" xr:uid="{00000000-0006-0000-0F00-000005000000}">
      <text>
        <r>
          <rPr>
            <b/>
            <sz val="9"/>
            <rFont val="宋体"/>
            <family val="3"/>
            <charset val="134"/>
          </rPr>
          <t>作者:</t>
        </r>
        <r>
          <rPr>
            <sz val="9"/>
            <rFont val="宋体"/>
            <family val="3"/>
            <charset val="134"/>
          </rPr>
          <t xml:space="preserve">
对应类型的换弹或者换弹夹缩短1秒对战斗时长缩短的比例.</t>
        </r>
      </text>
    </comment>
    <comment ref="B11" authorId="0" shapeId="0" xr:uid="{00000000-0006-0000-0F00-000006000000}">
      <text>
        <r>
          <rPr>
            <b/>
            <sz val="9"/>
            <rFont val="宋体"/>
            <family val="3"/>
            <charset val="134"/>
          </rPr>
          <t>作者:</t>
        </r>
        <r>
          <rPr>
            <sz val="9"/>
            <rFont val="宋体"/>
            <family val="3"/>
            <charset val="134"/>
          </rPr>
          <t xml:space="preserve">
缩短一定比例的瞄准时间,对应战斗时间缩短的比例.</t>
        </r>
      </text>
    </comment>
    <comment ref="B12" authorId="0" shapeId="0" xr:uid="{00000000-0006-0000-0F00-000007000000}">
      <text>
        <r>
          <rPr>
            <b/>
            <sz val="9"/>
            <rFont val="宋体"/>
            <family val="3"/>
            <charset val="134"/>
          </rPr>
          <t>作者:</t>
        </r>
        <r>
          <rPr>
            <sz val="9"/>
            <rFont val="宋体"/>
            <family val="3"/>
            <charset val="134"/>
          </rPr>
          <t xml:space="preserve">
提升一定比例的速度,延长对方瞄准时间的比例</t>
        </r>
      </text>
    </comment>
    <comment ref="B13" authorId="0" shapeId="0" xr:uid="{00000000-0006-0000-0F00-000008000000}">
      <text>
        <r>
          <rPr>
            <b/>
            <sz val="9"/>
            <rFont val="宋体"/>
            <family val="3"/>
            <charset val="134"/>
          </rPr>
          <t>作者:</t>
        </r>
        <r>
          <rPr>
            <sz val="9"/>
            <rFont val="宋体"/>
            <family val="3"/>
            <charset val="134"/>
          </rPr>
          <t xml:space="preserve">
坦克转向速度和炮塔转向最大速度定义为两个对应的属性.调整转向速度则必定且只需调整炮塔转向速度.而且调整比例为1:2,即增加1度的转向速度,即对应减少2度的炮塔最大转向速度.</t>
        </r>
      </text>
    </comment>
    <comment ref="B15" authorId="1" shapeId="0" xr:uid="{00000000-0006-0000-0F00-000009000000}">
      <text>
        <r>
          <rPr>
            <b/>
            <sz val="9"/>
            <rFont val="宋体"/>
            <family val="3"/>
            <charset val="134"/>
          </rPr>
          <t>赵卿:</t>
        </r>
        <r>
          <rPr>
            <sz val="9"/>
            <rFont val="宋体"/>
            <family val="3"/>
            <charset val="134"/>
          </rPr>
          <t xml:space="preserve">
每增加0.1秒射击间隔延长的总战斗时长</t>
        </r>
      </text>
    </comment>
    <comment ref="P18" authorId="1" shapeId="0" xr:uid="{00000000-0006-0000-0F00-00000A000000}">
      <text>
        <r>
          <rPr>
            <b/>
            <sz val="9"/>
            <rFont val="宋体"/>
            <family val="3"/>
            <charset val="134"/>
          </rPr>
          <t>赵卿:</t>
        </r>
        <r>
          <rPr>
            <sz val="9"/>
            <rFont val="宋体"/>
            <family val="3"/>
            <charset val="134"/>
          </rPr>
          <t xml:space="preserve">
精准度降低,则伤害上升.</t>
        </r>
      </text>
    </comment>
    <comment ref="Q18" authorId="1" shapeId="0" xr:uid="{00000000-0006-0000-0F00-00000B000000}">
      <text>
        <r>
          <rPr>
            <b/>
            <sz val="9"/>
            <rFont val="宋体"/>
            <family val="3"/>
            <charset val="134"/>
          </rPr>
          <t>赵卿:</t>
        </r>
        <r>
          <rPr>
            <sz val="9"/>
            <rFont val="宋体"/>
            <family val="3"/>
            <charset val="134"/>
          </rPr>
          <t xml:space="preserve">
射速升高则伤害下降.</t>
        </r>
      </text>
    </comment>
    <comment ref="Y18" authorId="1" shapeId="0" xr:uid="{00000000-0006-0000-0F00-00000C000000}">
      <text>
        <r>
          <rPr>
            <b/>
            <sz val="9"/>
            <rFont val="宋体"/>
            <family val="3"/>
            <charset val="134"/>
          </rPr>
          <t>赵卿:</t>
        </r>
        <r>
          <rPr>
            <sz val="9"/>
            <rFont val="宋体"/>
            <family val="3"/>
            <charset val="134"/>
          </rPr>
          <t xml:space="preserve">
原有数据,未作修改</t>
        </r>
      </text>
    </comment>
    <comment ref="Z18" authorId="1" shapeId="0" xr:uid="{00000000-0006-0000-0F00-00000D000000}">
      <text>
        <r>
          <rPr>
            <b/>
            <sz val="9"/>
            <rFont val="宋体"/>
            <family val="3"/>
            <charset val="134"/>
          </rPr>
          <t>赵卿:</t>
        </r>
        <r>
          <rPr>
            <sz val="9"/>
            <rFont val="宋体"/>
            <family val="3"/>
            <charset val="134"/>
          </rPr>
          <t xml:space="preserve">
炮塔转向角速度用系数</t>
        </r>
      </text>
    </comment>
    <comment ref="AA18" authorId="1" shapeId="0" xr:uid="{00000000-0006-0000-0F00-00000E000000}">
      <text>
        <r>
          <rPr>
            <b/>
            <sz val="9"/>
            <rFont val="宋体"/>
            <family val="3"/>
            <charset val="134"/>
          </rPr>
          <t>赵卿:</t>
        </r>
        <r>
          <rPr>
            <sz val="9"/>
            <rFont val="宋体"/>
            <family val="3"/>
            <charset val="134"/>
          </rPr>
          <t xml:space="preserve">
初始的炮塔旋转角速度</t>
        </r>
      </text>
    </comment>
    <comment ref="AB18" authorId="1" shapeId="0" xr:uid="{00000000-0006-0000-0F00-00000F000000}">
      <text>
        <r>
          <rPr>
            <b/>
            <sz val="9"/>
            <rFont val="宋体"/>
            <family val="3"/>
            <charset val="134"/>
          </rPr>
          <t>赵卿:</t>
        </r>
        <r>
          <rPr>
            <sz val="9"/>
            <rFont val="宋体"/>
            <family val="3"/>
            <charset val="134"/>
          </rPr>
          <t xml:space="preserve">
最大的炮塔旋转角速度</t>
        </r>
      </text>
    </comment>
    <comment ref="AC18" authorId="1" shapeId="0" xr:uid="{00000000-0006-0000-0F00-000010000000}">
      <text>
        <r>
          <rPr>
            <b/>
            <sz val="9"/>
            <rFont val="宋体"/>
            <family val="3"/>
            <charset val="134"/>
          </rPr>
          <t>赵卿:</t>
        </r>
        <r>
          <rPr>
            <sz val="9"/>
            <rFont val="宋体"/>
            <family val="3"/>
            <charset val="134"/>
          </rPr>
          <t xml:space="preserve">
炮塔旋转角速度加速度</t>
        </r>
      </text>
    </comment>
    <comment ref="AD18" authorId="1" shapeId="0" xr:uid="{00000000-0006-0000-0F00-000011000000}">
      <text>
        <r>
          <rPr>
            <b/>
            <sz val="9"/>
            <rFont val="宋体"/>
            <family val="3"/>
            <charset val="134"/>
          </rPr>
          <t>赵卿:</t>
        </r>
        <r>
          <rPr>
            <sz val="9"/>
            <rFont val="宋体"/>
            <family val="3"/>
            <charset val="134"/>
          </rPr>
          <t xml:space="preserve">
炮塔旋转造成的偏移角度的上限</t>
        </r>
      </text>
    </comment>
    <comment ref="AE18" authorId="1" shapeId="0" xr:uid="{00000000-0006-0000-0F00-000012000000}">
      <text>
        <r>
          <rPr>
            <b/>
            <sz val="9"/>
            <rFont val="宋体"/>
            <family val="3"/>
            <charset val="134"/>
          </rPr>
          <t>赵卿:</t>
        </r>
        <r>
          <rPr>
            <sz val="9"/>
            <rFont val="宋体"/>
            <family val="3"/>
            <charset val="134"/>
          </rPr>
          <t xml:space="preserve">
车身转向速度系数,通过炮塔转向速度系数计算获得.</t>
        </r>
      </text>
    </comment>
    <comment ref="AF18" authorId="1" shapeId="0" xr:uid="{00000000-0006-0000-0F00-000013000000}">
      <text>
        <r>
          <rPr>
            <b/>
            <sz val="9"/>
            <rFont val="宋体"/>
            <family val="3"/>
            <charset val="134"/>
          </rPr>
          <t>赵卿:</t>
        </r>
        <r>
          <rPr>
            <sz val="9"/>
            <rFont val="宋体"/>
            <family val="3"/>
            <charset val="134"/>
          </rPr>
          <t xml:space="preserve">
坦克车身旋转时的角速度</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赵卿</author>
  </authors>
  <commentList>
    <comment ref="AH3" authorId="0" shapeId="0" xr:uid="{00000000-0006-0000-1000-000001000000}">
      <text>
        <r>
          <rPr>
            <b/>
            <sz val="9"/>
            <rFont val="宋体"/>
            <family val="3"/>
            <charset val="134"/>
          </rPr>
          <t>赵卿:</t>
        </r>
        <r>
          <rPr>
            <sz val="9"/>
            <rFont val="宋体"/>
            <family val="3"/>
            <charset val="134"/>
          </rPr>
          <t xml:space="preserve">
提升20%的瞄准速度</t>
        </r>
      </text>
    </comment>
    <comment ref="B8" authorId="0" shapeId="0" xr:uid="{00000000-0006-0000-1000-000002000000}">
      <text>
        <r>
          <rPr>
            <b/>
            <sz val="9"/>
            <rFont val="宋体"/>
            <family val="3"/>
            <charset val="134"/>
          </rPr>
          <t>赵卿:</t>
        </r>
        <r>
          <rPr>
            <sz val="9"/>
            <rFont val="宋体"/>
            <family val="3"/>
            <charset val="134"/>
          </rPr>
          <t xml:space="preserve">
射速最终能提升的总区间</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赵卿</author>
  </authors>
  <commentList>
    <comment ref="B2" authorId="0" shapeId="0" xr:uid="{00000000-0006-0000-1300-000001000000}">
      <text>
        <r>
          <rPr>
            <b/>
            <sz val="9"/>
            <rFont val="宋体"/>
            <family val="3"/>
            <charset val="134"/>
          </rPr>
          <t>赵卿:</t>
        </r>
        <r>
          <rPr>
            <sz val="9"/>
            <rFont val="宋体"/>
            <family val="3"/>
            <charset val="134"/>
          </rPr>
          <t xml:space="preserve">
同一个属性有两个部件来提供.</t>
        </r>
      </text>
    </comment>
    <comment ref="L3" authorId="0" shapeId="0" xr:uid="{00000000-0006-0000-1300-000002000000}">
      <text>
        <r>
          <rPr>
            <b/>
            <sz val="9"/>
            <rFont val="宋体"/>
            <family val="3"/>
            <charset val="134"/>
          </rPr>
          <t>赵卿:</t>
        </r>
        <r>
          <rPr>
            <sz val="9"/>
            <rFont val="宋体"/>
            <family val="3"/>
            <charset val="134"/>
          </rPr>
          <t xml:space="preserve">
切换坦克之后,部件在新坦克上面加成的属性百分比降低.但平均增加属性不变.
例:假设T1部件在血量为1000的T1坦克上可以提供100点血量的增长,为10%,若此部件移动到血量为2000的T2坦克上,提升百分比不变的话,则会在没有进行任何养成的情况下额外提升了2000*10%-100=100点的血量,因此部件放到高Tier坦克上时需要进行效果衰减.</t>
        </r>
      </text>
    </comment>
    <comment ref="T3" authorId="0" shapeId="0" xr:uid="{00000000-0006-0000-1300-000003000000}">
      <text>
        <r>
          <rPr>
            <b/>
            <sz val="9"/>
            <rFont val="宋体"/>
            <family val="3"/>
            <charset val="134"/>
          </rPr>
          <t>赵卿:</t>
        </r>
        <r>
          <rPr>
            <sz val="9"/>
            <rFont val="宋体"/>
            <family val="3"/>
            <charset val="134"/>
          </rPr>
          <t xml:space="preserve">
部件从低级坦克换到高级坦克后损失的提升百分比在新的升级过程中获得.因此新的升级过程中增加的比例提升.</t>
        </r>
      </text>
    </comment>
    <comment ref="B5" authorId="0" shapeId="0" xr:uid="{00000000-0006-0000-1300-000004000000}">
      <text>
        <r>
          <rPr>
            <b/>
            <sz val="9"/>
            <rFont val="宋体"/>
            <family val="3"/>
            <charset val="134"/>
          </rPr>
          <t>赵卿:</t>
        </r>
        <r>
          <rPr>
            <sz val="9"/>
            <rFont val="宋体"/>
            <family val="3"/>
            <charset val="134"/>
          </rPr>
          <t xml:space="preserve">
设定部件每提升一次等级所能提升的坦克基础属性的比例.</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赵卿</author>
  </authors>
  <commentList>
    <comment ref="Q72" authorId="0" shapeId="0" xr:uid="{00000000-0006-0000-1900-000001000000}">
      <text>
        <r>
          <rPr>
            <b/>
            <sz val="9"/>
            <rFont val="宋体"/>
            <family val="3"/>
            <charset val="134"/>
          </rPr>
          <t>赵卿:</t>
        </r>
        <r>
          <rPr>
            <sz val="9"/>
            <rFont val="宋体"/>
            <family val="3"/>
            <charset val="134"/>
          </rPr>
          <t xml:space="preserve">
实际最大价值为售卖价格的1.67倍</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赵卿</author>
  </authors>
  <commentList>
    <comment ref="D68" authorId="0" shapeId="0" xr:uid="{00000000-0006-0000-2200-000001000000}">
      <text>
        <r>
          <rPr>
            <b/>
            <sz val="9"/>
            <rFont val="宋体"/>
            <family val="3"/>
            <charset val="134"/>
          </rPr>
          <t>赵卿:</t>
        </r>
        <r>
          <rPr>
            <sz val="9"/>
            <rFont val="宋体"/>
            <family val="3"/>
            <charset val="134"/>
          </rPr>
          <t xml:space="preserve">
此类宝箱中坦克相关的道具类型最多数量.</t>
        </r>
      </text>
    </comment>
  </commentList>
</comments>
</file>

<file path=xl/sharedStrings.xml><?xml version="1.0" encoding="utf-8"?>
<sst xmlns="http://schemas.openxmlformats.org/spreadsheetml/2006/main" count="15617" uniqueCount="4269">
  <si>
    <t>表名汇总</t>
  </si>
  <si>
    <t>说明</t>
  </si>
  <si>
    <t>标准坦克设计</t>
  </si>
  <si>
    <t>坦克属性推导</t>
  </si>
  <si>
    <t>基础属性系数</t>
  </si>
  <si>
    <t>轻中重分类</t>
  </si>
  <si>
    <t>设定轻中重坦克的攻击模式分别为缠斗,多变,狙击</t>
  </si>
  <si>
    <t>基础经济系数</t>
  </si>
  <si>
    <t>根据地图大小,设定轻中重坦克的遇敌时间和最佳攻击距离</t>
  </si>
  <si>
    <t>游戏时长规划</t>
  </si>
  <si>
    <t>根据轻中重坦克的攻击模式,设定射击间隔,受击晃动等坦克特性的区间,并计算区间是否合理</t>
  </si>
  <si>
    <t>玩家资源获取模拟</t>
  </si>
  <si>
    <t>根据坦克模型各部分的大小设定坦克各入射角命中的情况下会受到的伤害系数.以平衡各坦克受到的平均伤害</t>
  </si>
  <si>
    <t>坦克升星消耗</t>
  </si>
  <si>
    <t>七种坦克分类</t>
  </si>
  <si>
    <t>根据坦克的射击方式,细化坦克的玩法,不同比例的加强穿透力细分相同类型坦克的不同战斗距离</t>
  </si>
  <si>
    <t>属性说明</t>
  </si>
  <si>
    <t>根据坦克的上弹方式,设定坦克的弹夹容量,射击间隔,上弹速度等</t>
  </si>
  <si>
    <t>坦克等级成长</t>
  </si>
  <si>
    <t>根据已有的射击和上弹规则模拟出坦克的标准射击速度,设定初始的坦克血量和战斗时长推断出不同类型坦克的血量基础值和输出基础值</t>
  </si>
  <si>
    <t>类型坦克成长数据</t>
  </si>
  <si>
    <t>在已有基础血量和基础输出值的情况下计算出坦克的基础伤害.</t>
  </si>
  <si>
    <t>战斗时间模拟</t>
  </si>
  <si>
    <t>设定轻中重坦克的防御倾向比例和基础的穿透值,使用基础血量,标准战斗距离,基础输出,计算出对应的装甲值</t>
  </si>
  <si>
    <t>坦克标准养成属性</t>
  </si>
  <si>
    <t>重新计算七种坦克之间的期望战斗时间</t>
  </si>
  <si>
    <t>坦克类型系数</t>
  </si>
  <si>
    <t>30个坦克分类</t>
  </si>
  <si>
    <t>设定坦克分为5个Tier,高级Tier中有稀有度的区分,最终设定出12个坦克属性分段;</t>
  </si>
  <si>
    <t>图鉴</t>
  </si>
  <si>
    <t>调整每个坦克的成长区间,使12个坦克的属性相交情况满足老吴的需求;</t>
  </si>
  <si>
    <t>坦克个性化设定</t>
  </si>
  <si>
    <t>根据已有的基础坦克属性和坦克的属性成长系数计算出坦克的可成长属性的最终值;</t>
  </si>
  <si>
    <t>坦克个性化细分</t>
  </si>
  <si>
    <t>在已有坦克的属性基础上,计算小区间属性在成长的过程中对坦克之间战斗时长的影响,决定使用哪些小区间属性作为可成长属性以调整坦克的操作性.</t>
  </si>
  <si>
    <t>坦克属性统计</t>
  </si>
  <si>
    <t>根据坦克的升星流程,细化出不同坦克的小成长区间的属性的成长值</t>
  </si>
  <si>
    <t>坦克属性对比</t>
  </si>
  <si>
    <t>根据已有的30个坦克的模型设定坦克的类型和射击模式,再进行小范围的个性化,重新设定坦克的不可成长属性的属性值,以区分坦克的手感和玩法.</t>
  </si>
  <si>
    <t>坦克部件</t>
  </si>
  <si>
    <t>计算出所有坦克的详细属性变化;</t>
  </si>
  <si>
    <t>坦克部件养成</t>
  </si>
  <si>
    <t>把坦克的属性按系统规则分配给坦克升星和坦克部件,并计算出坦克的所有属性和部件的所有属性;</t>
  </si>
  <si>
    <t>坦克技能</t>
  </si>
  <si>
    <t>战斗力计算</t>
  </si>
  <si>
    <t>匹配分段</t>
  </si>
  <si>
    <t>商店道具</t>
  </si>
  <si>
    <t>道具价值</t>
  </si>
  <si>
    <t>道具ID</t>
  </si>
  <si>
    <t>经济系统推导</t>
  </si>
  <si>
    <t>推送礼包</t>
  </si>
  <si>
    <t>设定兑换率,每天产出价值,各个系统产出资源的分类和资源占比,最终得到每天产出的各种资源的实际值</t>
  </si>
  <si>
    <t>活动奖励</t>
  </si>
  <si>
    <t>将每天产出的资源分配给各个系统;得到各个系统平均每天可以消耗的对应资源的价值</t>
  </si>
  <si>
    <t>BattlePass</t>
  </si>
  <si>
    <t>设定最便宜坦克的基础价值,根据现有规则,坦克星级与坦克属性正相关,使用坦克属性成长系数计算获得最终所有坦克的价值</t>
  </si>
  <si>
    <t>成就</t>
  </si>
  <si>
    <t>根据老吴需求通过调整坦克合成所需要的碎片数量使高稀有度的坦克碎片价值更高,并保证价值不会过高以至于无法进入宝箱抽取</t>
  </si>
  <si>
    <t>联赛奖励</t>
  </si>
  <si>
    <t>根据部件可以给坦克增加的属性比例,获得最初始坦克部件的价值,通过人为设置的稀有度系数区分三种部件的初始价值</t>
  </si>
  <si>
    <t>任务设定</t>
  </si>
  <si>
    <t>根据期望的总游戏时长(消费深度),计算出坦克升星消耗资源</t>
  </si>
  <si>
    <t>宝箱设定</t>
  </si>
  <si>
    <t>部件则是根据规则直接获得的最低消费深度;</t>
  </si>
  <si>
    <t>宝箱内容</t>
  </si>
  <si>
    <t>名称-id</t>
  </si>
  <si>
    <t>碎片兑换</t>
  </si>
  <si>
    <t>资源获取模拟</t>
  </si>
  <si>
    <t>根据玩家的资源获取速度与消耗推导出玩家的属性成长速度,设定基础的期望胜率,得到玩家的奖牌数量变化,最终得到各个奖牌区间时玩家的属性强度,获得机器人属性强度</t>
  </si>
  <si>
    <t>根据之前获得的玩家属性强度给玩家设定适用可能性更高的奖励,以作为追求目标或者是付费目的</t>
  </si>
  <si>
    <t>坦克各类型穿透力和衰减区间</t>
  </si>
  <si>
    <t>坦克类型</t>
  </si>
  <si>
    <t>穿透力比</t>
  </si>
  <si>
    <t>max穿透系</t>
  </si>
  <si>
    <t>min穿透系</t>
  </si>
  <si>
    <t>平均穿透</t>
  </si>
  <si>
    <t>最小穿透</t>
  </si>
  <si>
    <t>轻坦半自动</t>
  </si>
  <si>
    <t>轻坦弹夹</t>
  </si>
  <si>
    <t>轻坦单发</t>
  </si>
  <si>
    <t>中坦弹夹</t>
  </si>
  <si>
    <t>中坦自动</t>
  </si>
  <si>
    <t>重坦自动</t>
  </si>
  <si>
    <t>重坦单发</t>
  </si>
  <si>
    <t>标准坦克初始个性设定</t>
  </si>
  <si>
    <t>主炮类型</t>
  </si>
  <si>
    <t>弹夹容量</t>
  </si>
  <si>
    <t>设定单发</t>
  </si>
  <si>
    <t>单发时间</t>
  </si>
  <si>
    <t>弹夹时间</t>
  </si>
  <si>
    <t>射击间隔</t>
  </si>
  <si>
    <r>
      <rPr>
        <sz val="9"/>
        <color theme="1"/>
        <rFont val="微软雅黑"/>
        <family val="2"/>
        <charset val="134"/>
      </rPr>
      <t>6</t>
    </r>
    <r>
      <rPr>
        <sz val="9"/>
        <color theme="1"/>
        <rFont val="微软雅黑"/>
        <family val="2"/>
        <charset val="134"/>
      </rPr>
      <t>0S射数</t>
    </r>
  </si>
  <si>
    <t>45S射数</t>
  </si>
  <si>
    <t>半自动装弹</t>
  </si>
  <si>
    <t>三联发弹夹装弹</t>
  </si>
  <si>
    <t>单发装弹</t>
  </si>
  <si>
    <t>弹夹装弹</t>
  </si>
  <si>
    <t>自动装弹</t>
  </si>
  <si>
    <t>战斗双方输出期望</t>
  </si>
  <si>
    <t>遇敌距离</t>
  </si>
  <si>
    <t>期望距离</t>
  </si>
  <si>
    <t>移动时间</t>
  </si>
  <si>
    <t>轻坦时间</t>
  </si>
  <si>
    <t>中坦时间</t>
  </si>
  <si>
    <t>重坦时间</t>
  </si>
  <si>
    <t>对轻最弱伤</t>
  </si>
  <si>
    <t>对轻最高伤</t>
  </si>
  <si>
    <t>对中最弱伤</t>
  </si>
  <si>
    <t>对中最高伤</t>
  </si>
  <si>
    <t>对重最弱伤</t>
  </si>
  <si>
    <t>对重最高伤</t>
  </si>
  <si>
    <t>轻坦时长</t>
  </si>
  <si>
    <t>中坦时长</t>
  </si>
  <si>
    <t>重坦时长</t>
  </si>
  <si>
    <t>对轻坦输出</t>
  </si>
  <si>
    <t>对中坦输出</t>
  </si>
  <si>
    <t>对重坦输出</t>
  </si>
  <si>
    <t>平均期望</t>
  </si>
  <si>
    <t>基础坦克属性</t>
  </si>
  <si>
    <t>FireType</t>
  </si>
  <si>
    <t>不同装弹方式描述：</t>
  </si>
  <si>
    <t>平均伤害</t>
  </si>
  <si>
    <t>基础血量</t>
  </si>
  <si>
    <t>装甲系数</t>
  </si>
  <si>
    <t>坦克装甲</t>
  </si>
  <si>
    <t>弹夹内所有炮弹打完才开始装弹，一次装填一发</t>
  </si>
  <si>
    <t>轻坦</t>
  </si>
  <si>
    <t>正常弹夹，一次装填所有</t>
  </si>
  <si>
    <t>中坦</t>
  </si>
  <si>
    <t>只有射击间隔</t>
  </si>
  <si>
    <t>重坦</t>
  </si>
  <si>
    <t>弹夹内有空格就自动装弹，一次装填一发，涉及到射击间隔和弹夹时间（装填时间）</t>
  </si>
  <si>
    <t>三连发，正常弹夹，一次装填所有，轻坦弹夹即为三联发弹夹装弹模式</t>
  </si>
  <si>
    <t>标准坦克基础属性</t>
  </si>
  <si>
    <t>射击发数</t>
  </si>
  <si>
    <t>基础DPS</t>
  </si>
  <si>
    <t>伤害系数</t>
  </si>
  <si>
    <t>基础伤害</t>
  </si>
  <si>
    <t>基础穿透</t>
  </si>
  <si>
    <t>基础装甲</t>
  </si>
  <si>
    <t>坦克间战斗时间期望</t>
  </si>
  <si>
    <t>对轻坦平均</t>
  </si>
  <si>
    <t>对中坦平均</t>
  </si>
  <si>
    <t>对重坦平均</t>
  </si>
  <si>
    <t>技能对轻坦</t>
  </si>
  <si>
    <t>技能对中坦</t>
  </si>
  <si>
    <t>技能对重坦</t>
  </si>
  <si>
    <t>玩法约定</t>
  </si>
  <si>
    <t>玩家可预期伤害</t>
  </si>
  <si>
    <t>玩家可预期弹着点范围</t>
  </si>
  <si>
    <t>越接近坦克中间伤害越高</t>
  </si>
  <si>
    <t>穿透力不足时会跳弹,(穿透/护甲)比例对弱者友好,穿透力不足时伤害衰减少,穿透力超出时伤害增幅少;</t>
  </si>
  <si>
    <t>伤害计算说明</t>
  </si>
  <si>
    <t>跳弹:最终伤害=穿透力/装甲厚度*炮弹攻击力*部位伤害系数</t>
  </si>
  <si>
    <t>穿透:打中center则直接暴击,未击中center则取所有部件中伤害最大值.部件伤害=炮弹攻击力*f(穿透力/装甲厚度)*部位伤害系数;</t>
  </si>
  <si>
    <t>射速计算说明</t>
  </si>
  <si>
    <t>((60-(bullet-1)*attackCd)/(magazineTime+attackCd*(bullet-1)+bulletTime*bullet)+1)*bullet</t>
  </si>
  <si>
    <t>单发装填炮 ((60-(弹夹数量-1)*max(弹夹炮射击间隔,炮弹装填时间))/max(弹夹炮射击间隔,炮弹装填时间)+1)*弹夹数量</t>
  </si>
  <si>
    <t>弹夹替换炮 ((60-(弹夹数量-1)*弹夹炮射击间隔)/(弹夹替换时间+弹夹炮射击间隔*(弹夹数量-1))+1)*弹夹数量</t>
  </si>
  <si>
    <t>物理标准值</t>
  </si>
  <si>
    <t>属性名称</t>
  </si>
  <si>
    <t>属性值</t>
  </si>
  <si>
    <t>每秒帧数</t>
  </si>
  <si>
    <t>标准地图(米)</t>
  </si>
  <si>
    <t>通用射击距离(根据坦克类型分类)</t>
  </si>
  <si>
    <t>射击距离</t>
  </si>
  <si>
    <t>始衰减距离</t>
  </si>
  <si>
    <t>终衰减距离</t>
  </si>
  <si>
    <t>标准射击距离(根据细类分类)</t>
  </si>
  <si>
    <t>坦克特征统计</t>
  </si>
  <si>
    <t>单发伤害</t>
  </si>
  <si>
    <t>瞄准速度</t>
  </si>
  <si>
    <t>瞄准精度</t>
  </si>
  <si>
    <t>机动效率</t>
  </si>
  <si>
    <t>装甲厚度</t>
  </si>
  <si>
    <t>低</t>
  </si>
  <si>
    <t>高</t>
  </si>
  <si>
    <t>中</t>
  </si>
  <si>
    <r>
      <rPr>
        <sz val="9"/>
        <color theme="1"/>
        <rFont val="微软雅黑"/>
        <family val="2"/>
        <charset val="134"/>
      </rPr>
      <t>主炮类型区别说明(示意数据</t>
    </r>
    <r>
      <rPr>
        <sz val="9"/>
        <color theme="1"/>
        <rFont val="微软雅黑"/>
        <family val="2"/>
        <charset val="134"/>
      </rPr>
      <t>)</t>
    </r>
  </si>
  <si>
    <t>对应ID</t>
  </si>
  <si>
    <t>装弹按键</t>
  </si>
  <si>
    <t>装弹类型</t>
  </si>
  <si>
    <t>发射类型</t>
  </si>
  <si>
    <t>可否连射</t>
  </si>
  <si>
    <t>无</t>
  </si>
  <si>
    <t>炮弹装弹</t>
  </si>
  <si>
    <t>单发</t>
  </si>
  <si>
    <t>4-8秒</t>
  </si>
  <si>
    <t>不可</t>
  </si>
  <si>
    <t>有</t>
  </si>
  <si>
    <t>3.5-4.5秒</t>
  </si>
  <si>
    <t>可</t>
  </si>
  <si>
    <t>弹夹自装弹</t>
  </si>
  <si>
    <t>弹夹替换</t>
  </si>
  <si>
    <t>15秒</t>
  </si>
  <si>
    <t>霰弹炮</t>
  </si>
  <si>
    <t>散射</t>
  </si>
  <si>
    <t>1.5-3秒</t>
  </si>
  <si>
    <t>3.5秒</t>
  </si>
  <si>
    <t>撞击伤害基础系数</t>
  </si>
  <si>
    <t>最小速度比</t>
  </si>
  <si>
    <t>基础反弹比</t>
  </si>
  <si>
    <t>标准Center大小</t>
  </si>
  <si>
    <t>轻坦对角线</t>
  </si>
  <si>
    <t>瞄准比例</t>
  </si>
  <si>
    <t>center直径</t>
  </si>
  <si>
    <t>无视距离</t>
  </si>
  <si>
    <t>部位受到伤害值系数</t>
  </si>
  <si>
    <t>部位名称</t>
  </si>
  <si>
    <t>最小系数</t>
  </si>
  <si>
    <t>最大系数</t>
  </si>
  <si>
    <t>标准长度</t>
  </si>
  <si>
    <t>标准宽度</t>
  </si>
  <si>
    <t>正面比例</t>
  </si>
  <si>
    <t>侧面比例</t>
  </si>
  <si>
    <t>命中概率</t>
  </si>
  <si>
    <t>影响伤害比</t>
  </si>
  <si>
    <t>CENTER</t>
  </si>
  <si>
    <t>炮塔</t>
  </si>
  <si>
    <t>车身</t>
  </si>
  <si>
    <t>履带</t>
  </si>
  <si>
    <t>入射点伤害系数</t>
  </si>
  <si>
    <t>入射点名称</t>
  </si>
  <si>
    <t>映射长度</t>
  </si>
  <si>
    <t>生效长度</t>
  </si>
  <si>
    <t>长度比例</t>
  </si>
  <si>
    <t>长度伤害</t>
  </si>
  <si>
    <t>累计伤害</t>
  </si>
  <si>
    <t>命中占比</t>
  </si>
  <si>
    <t>命中伤害</t>
  </si>
  <si>
    <t>期望伤害</t>
  </si>
  <si>
    <t>Center</t>
  </si>
  <si>
    <t>炮塔后方</t>
  </si>
  <si>
    <t>炮塔侧方</t>
  </si>
  <si>
    <t>炮塔前方</t>
  </si>
  <si>
    <t>车身后方</t>
  </si>
  <si>
    <t>车身侧方</t>
  </si>
  <si>
    <t>车身前方</t>
  </si>
  <si>
    <t>入射调整系数</t>
  </si>
  <si>
    <t>标准坦克属性</t>
  </si>
  <si>
    <t>车身对角线</t>
  </si>
  <si>
    <t>炮塔对角线</t>
  </si>
  <si>
    <t>标准伤害</t>
  </si>
  <si>
    <t>未击破系数</t>
  </si>
  <si>
    <t>战斗时间</t>
  </si>
  <si>
    <t>技能相关系数</t>
  </si>
  <si>
    <t>类别</t>
  </si>
  <si>
    <t>数值</t>
  </si>
  <si>
    <t>主动技能数</t>
  </si>
  <si>
    <t>被动技能数</t>
  </si>
  <si>
    <t>主动效果</t>
  </si>
  <si>
    <t>被动效果</t>
  </si>
  <si>
    <t>总计效果</t>
  </si>
  <si>
    <t>调整侦查距离,重坦自身的观察距离比较近,被观察到的距离远</t>
  </si>
  <si>
    <t>战场内掉落</t>
  </si>
  <si>
    <t>T1权重</t>
  </si>
  <si>
    <t>T1数量</t>
  </si>
  <si>
    <t>T2权重</t>
  </si>
  <si>
    <t>T2数量</t>
  </si>
  <si>
    <t>T3权重</t>
  </si>
  <si>
    <t>T3数量</t>
  </si>
  <si>
    <t>T4权重</t>
  </si>
  <si>
    <t>T4数量</t>
  </si>
  <si>
    <t>T5权重</t>
  </si>
  <si>
    <t>T5数量</t>
  </si>
  <si>
    <t>战场内Buff掉落</t>
  </si>
  <si>
    <t>钻石/美金</t>
  </si>
  <si>
    <t>如果到后期每日产出的资源数量变多.同时这些资源对应的实际价值也增加的话.玩家同样付费购买到的资源与每日产出量的比例会降低.导致玩家消费效果降低.因此资源对应的实际价值不应该提升,对应的就导致物品的实际价值随玩家游戏进程而贬值.游戏后期,玩家花同样的时间或者消费同样的金额可以获得更多数量的道具.</t>
  </si>
  <si>
    <t>军费</t>
  </si>
  <si>
    <t>战场内加速buff1（8秒）</t>
  </si>
  <si>
    <r>
      <rPr>
        <sz val="9"/>
        <color theme="1"/>
        <rFont val="微软雅黑"/>
        <family val="2"/>
        <charset val="134"/>
      </rPr>
      <t>(</t>
    </r>
    <r>
      <rPr>
        <sz val="9"/>
        <color theme="1"/>
        <rFont val="微软雅黑"/>
        <family val="2"/>
        <charset val="134"/>
      </rPr>
      <t>1,1)</t>
    </r>
  </si>
  <si>
    <t>日产出价值</t>
  </si>
  <si>
    <t>产出内容价值固定,道具贬值了</t>
  </si>
  <si>
    <t>钥匙</t>
  </si>
  <si>
    <t>战场内增加攻击力buff1（8秒）</t>
  </si>
  <si>
    <t>标准坦克</t>
  </si>
  <si>
    <t>产出内容价值变化,道具无贬值</t>
  </si>
  <si>
    <t>活跃值</t>
  </si>
  <si>
    <t>战场内增加防御力buff1（8秒）</t>
  </si>
  <si>
    <t>日标准场次</t>
  </si>
  <si>
    <t>额外20%,日标准20场</t>
  </si>
  <si>
    <t>战场内增加射速buff1（8秒）</t>
  </si>
  <si>
    <t>场军费价值</t>
  </si>
  <si>
    <t>Score</t>
  </si>
  <si>
    <t>战场内减冷却buff1（8秒）</t>
  </si>
  <si>
    <t>钥匙价值</t>
  </si>
  <si>
    <r>
      <rPr>
        <sz val="9"/>
        <color theme="1"/>
        <rFont val="微软雅黑"/>
        <family val="2"/>
        <charset val="134"/>
      </rPr>
      <t>每日满额奖励8</t>
    </r>
    <r>
      <rPr>
        <sz val="9"/>
        <color theme="1"/>
        <rFont val="微软雅黑"/>
        <family val="2"/>
        <charset val="134"/>
      </rPr>
      <t>0次,TableConst配置</t>
    </r>
  </si>
  <si>
    <t>战场内直接加血buff</t>
  </si>
  <si>
    <t>游戏时长(时)</t>
  </si>
  <si>
    <t>战场内加速buff2（20秒）</t>
  </si>
  <si>
    <t>每日钥匙</t>
  </si>
  <si>
    <t>战场内增加攻击力buff2（20秒）</t>
  </si>
  <si>
    <t>战场内增加防御力buff2（20秒）</t>
  </si>
  <si>
    <t>每日产出资源比例</t>
  </si>
  <si>
    <t>产出资源内容</t>
  </si>
  <si>
    <t>扣除钻石价值</t>
  </si>
  <si>
    <t>战场内增加射速buff2（20秒）</t>
  </si>
  <si>
    <t>产出途径</t>
  </si>
  <si>
    <t>产出总价值</t>
  </si>
  <si>
    <t>产出比例</t>
  </si>
  <si>
    <t>产出次数</t>
  </si>
  <si>
    <t>每次价值</t>
  </si>
  <si>
    <t>产出内容1</t>
  </si>
  <si>
    <t>产出内容2</t>
  </si>
  <si>
    <t>产出内容3</t>
  </si>
  <si>
    <t>产出内容4</t>
  </si>
  <si>
    <t>产出内容5</t>
  </si>
  <si>
    <t>包含钻石</t>
  </si>
  <si>
    <t>剩余价值</t>
  </si>
  <si>
    <t>军费价值</t>
  </si>
  <si>
    <t>钥匙个数</t>
  </si>
  <si>
    <t>战场内减冷却buff2（20秒）</t>
  </si>
  <si>
    <t>战斗</t>
  </si>
  <si>
    <t>任务</t>
  </si>
  <si>
    <t>钥匙宝箱</t>
  </si>
  <si>
    <t>碎片</t>
  </si>
  <si>
    <t>部件</t>
  </si>
  <si>
    <t>钻石</t>
  </si>
  <si>
    <t>在线奖励</t>
  </si>
  <si>
    <t>活跃度宝箱</t>
  </si>
  <si>
    <t>坦克</t>
  </si>
  <si>
    <t>单场平均击杀</t>
  </si>
  <si>
    <t>每天比赛次数上限</t>
  </si>
  <si>
    <t>Gacha产出坦克与部件比例</t>
  </si>
  <si>
    <t>每日消耗军费价值</t>
  </si>
  <si>
    <t>每天比赛次数平均</t>
  </si>
  <si>
    <t>产出类型</t>
  </si>
  <si>
    <t>价值比例</t>
  </si>
  <si>
    <t>价值基数</t>
  </si>
  <si>
    <t>消耗系数</t>
  </si>
  <si>
    <t>获取估算</t>
  </si>
  <si>
    <t>T1平均值</t>
  </si>
  <si>
    <t>T1极限值</t>
  </si>
  <si>
    <t>T2平均值</t>
  </si>
  <si>
    <t>T2极限值</t>
  </si>
  <si>
    <t>T3平均值</t>
  </si>
  <si>
    <t>T3极限值</t>
  </si>
  <si>
    <t>T4平均值</t>
  </si>
  <si>
    <t>T4极限值</t>
  </si>
  <si>
    <t>T5平均值</t>
  </si>
  <si>
    <t>T5极限值</t>
  </si>
  <si>
    <t>每日产出资源价值</t>
  </si>
  <si>
    <t>每日总价值</t>
  </si>
  <si>
    <t>坦克(碎片)价值</t>
  </si>
  <si>
    <t>坦克Tier</t>
  </si>
  <si>
    <t>坦克初始</t>
  </si>
  <si>
    <t>初始属性</t>
  </si>
  <si>
    <t>初始系数</t>
  </si>
  <si>
    <t>初始价值</t>
  </si>
  <si>
    <t>合成碎片数</t>
  </si>
  <si>
    <t>碎片价值</t>
  </si>
  <si>
    <r>
      <rPr>
        <sz val="9"/>
        <color theme="1"/>
        <rFont val="微软雅黑"/>
        <family val="2"/>
        <charset val="134"/>
      </rPr>
      <t>T</t>
    </r>
    <r>
      <rPr>
        <sz val="9"/>
        <color theme="1"/>
        <rFont val="微软雅黑"/>
        <family val="2"/>
        <charset val="134"/>
      </rPr>
      <t>1</t>
    </r>
  </si>
  <si>
    <r>
      <rPr>
        <sz val="9"/>
        <color theme="1"/>
        <rFont val="微软雅黑"/>
        <family val="2"/>
        <charset val="134"/>
      </rPr>
      <t>T1</t>
    </r>
    <r>
      <rPr>
        <sz val="9"/>
        <color theme="1"/>
        <rFont val="微软雅黑"/>
        <family val="2"/>
        <charset val="134"/>
      </rPr>
      <t>_</t>
    </r>
    <r>
      <rPr>
        <sz val="9"/>
        <color theme="1"/>
        <rFont val="微软雅黑"/>
        <family val="2"/>
        <charset val="134"/>
      </rPr>
      <t>低</t>
    </r>
    <r>
      <rPr>
        <sz val="9"/>
        <color theme="1"/>
        <rFont val="微软雅黑"/>
        <family val="2"/>
        <charset val="134"/>
      </rPr>
      <t>_</t>
    </r>
    <r>
      <rPr>
        <sz val="9"/>
        <color theme="1"/>
        <rFont val="微软雅黑"/>
        <family val="2"/>
        <charset val="134"/>
      </rPr>
      <t>1</t>
    </r>
  </si>
  <si>
    <r>
      <rPr>
        <sz val="9"/>
        <color theme="1"/>
        <rFont val="微软雅黑"/>
        <family val="2"/>
        <charset val="134"/>
      </rPr>
      <t>T</t>
    </r>
    <r>
      <rPr>
        <sz val="9"/>
        <color theme="1"/>
        <rFont val="微软雅黑"/>
        <family val="2"/>
        <charset val="134"/>
      </rPr>
      <t>2</t>
    </r>
  </si>
  <si>
    <r>
      <rPr>
        <sz val="9"/>
        <color theme="1"/>
        <rFont val="微软雅黑"/>
        <family val="2"/>
        <charset val="134"/>
      </rPr>
      <t>T2</t>
    </r>
    <r>
      <rPr>
        <sz val="9"/>
        <color theme="1"/>
        <rFont val="微软雅黑"/>
        <family val="2"/>
        <charset val="134"/>
      </rPr>
      <t>_</t>
    </r>
    <r>
      <rPr>
        <sz val="9"/>
        <color theme="1"/>
        <rFont val="微软雅黑"/>
        <family val="2"/>
        <charset val="134"/>
      </rPr>
      <t>低</t>
    </r>
    <r>
      <rPr>
        <sz val="9"/>
        <color theme="1"/>
        <rFont val="微软雅黑"/>
        <family val="2"/>
        <charset val="134"/>
      </rPr>
      <t>_</t>
    </r>
    <r>
      <rPr>
        <sz val="9"/>
        <color theme="1"/>
        <rFont val="微软雅黑"/>
        <family val="2"/>
        <charset val="134"/>
      </rPr>
      <t>2</t>
    </r>
  </si>
  <si>
    <r>
      <rPr>
        <sz val="9"/>
        <color theme="1"/>
        <rFont val="微软雅黑"/>
        <family val="2"/>
        <charset val="134"/>
      </rPr>
      <t>T2</t>
    </r>
    <r>
      <rPr>
        <sz val="9"/>
        <color theme="1"/>
        <rFont val="微软雅黑"/>
        <family val="2"/>
        <charset val="134"/>
      </rPr>
      <t>_</t>
    </r>
    <r>
      <rPr>
        <sz val="9"/>
        <color theme="1"/>
        <rFont val="微软雅黑"/>
        <family val="2"/>
        <charset val="134"/>
      </rPr>
      <t>中</t>
    </r>
    <r>
      <rPr>
        <sz val="9"/>
        <color theme="1"/>
        <rFont val="微软雅黑"/>
        <family val="2"/>
        <charset val="134"/>
      </rPr>
      <t>_</t>
    </r>
    <r>
      <rPr>
        <sz val="9"/>
        <color theme="1"/>
        <rFont val="微软雅黑"/>
        <family val="2"/>
        <charset val="134"/>
      </rPr>
      <t>2</t>
    </r>
  </si>
  <si>
    <r>
      <rPr>
        <sz val="9"/>
        <color theme="1"/>
        <rFont val="微软雅黑"/>
        <family val="2"/>
        <charset val="134"/>
      </rPr>
      <t>T</t>
    </r>
    <r>
      <rPr>
        <sz val="9"/>
        <color theme="1"/>
        <rFont val="微软雅黑"/>
        <family val="2"/>
        <charset val="134"/>
      </rPr>
      <t>3</t>
    </r>
  </si>
  <si>
    <r>
      <rPr>
        <sz val="9"/>
        <color theme="1"/>
        <rFont val="微软雅黑"/>
        <family val="2"/>
        <charset val="134"/>
      </rPr>
      <t>T3</t>
    </r>
    <r>
      <rPr>
        <sz val="9"/>
        <color theme="1"/>
        <rFont val="微软雅黑"/>
        <family val="2"/>
        <charset val="134"/>
      </rPr>
      <t>_</t>
    </r>
    <r>
      <rPr>
        <sz val="9"/>
        <color theme="1"/>
        <rFont val="微软雅黑"/>
        <family val="2"/>
        <charset val="134"/>
      </rPr>
      <t>低</t>
    </r>
    <r>
      <rPr>
        <sz val="9"/>
        <color theme="1"/>
        <rFont val="微软雅黑"/>
        <family val="2"/>
        <charset val="134"/>
      </rPr>
      <t>_</t>
    </r>
    <r>
      <rPr>
        <sz val="9"/>
        <color theme="1"/>
        <rFont val="微软雅黑"/>
        <family val="2"/>
        <charset val="134"/>
      </rPr>
      <t>3</t>
    </r>
  </si>
  <si>
    <r>
      <rPr>
        <sz val="9"/>
        <color theme="1"/>
        <rFont val="微软雅黑"/>
        <family val="2"/>
        <charset val="134"/>
      </rPr>
      <t>T3</t>
    </r>
    <r>
      <rPr>
        <sz val="9"/>
        <color theme="1"/>
        <rFont val="微软雅黑"/>
        <family val="2"/>
        <charset val="134"/>
      </rPr>
      <t>_</t>
    </r>
    <r>
      <rPr>
        <sz val="9"/>
        <color theme="1"/>
        <rFont val="微软雅黑"/>
        <family val="2"/>
        <charset val="134"/>
      </rPr>
      <t>中</t>
    </r>
    <r>
      <rPr>
        <sz val="9"/>
        <color theme="1"/>
        <rFont val="微软雅黑"/>
        <family val="2"/>
        <charset val="134"/>
      </rPr>
      <t>_</t>
    </r>
    <r>
      <rPr>
        <sz val="9"/>
        <color theme="1"/>
        <rFont val="微软雅黑"/>
        <family val="2"/>
        <charset val="134"/>
      </rPr>
      <t>3</t>
    </r>
  </si>
  <si>
    <r>
      <rPr>
        <sz val="9"/>
        <color theme="1"/>
        <rFont val="微软雅黑"/>
        <family val="2"/>
        <charset val="134"/>
      </rPr>
      <t>T3</t>
    </r>
    <r>
      <rPr>
        <sz val="9"/>
        <color theme="1"/>
        <rFont val="微软雅黑"/>
        <family val="2"/>
        <charset val="134"/>
      </rPr>
      <t>_</t>
    </r>
    <r>
      <rPr>
        <sz val="9"/>
        <color theme="1"/>
        <rFont val="微软雅黑"/>
        <family val="2"/>
        <charset val="134"/>
      </rPr>
      <t>高</t>
    </r>
    <r>
      <rPr>
        <sz val="9"/>
        <color theme="1"/>
        <rFont val="微软雅黑"/>
        <family val="2"/>
        <charset val="134"/>
      </rPr>
      <t>_</t>
    </r>
    <r>
      <rPr>
        <sz val="9"/>
        <color theme="1"/>
        <rFont val="微软雅黑"/>
        <family val="2"/>
        <charset val="134"/>
      </rPr>
      <t>3</t>
    </r>
  </si>
  <si>
    <r>
      <rPr>
        <sz val="9"/>
        <color theme="1"/>
        <rFont val="微软雅黑"/>
        <family val="2"/>
        <charset val="134"/>
      </rPr>
      <t>T</t>
    </r>
    <r>
      <rPr>
        <sz val="9"/>
        <color theme="1"/>
        <rFont val="微软雅黑"/>
        <family val="2"/>
        <charset val="134"/>
      </rPr>
      <t>4</t>
    </r>
  </si>
  <si>
    <r>
      <rPr>
        <sz val="9"/>
        <color theme="1"/>
        <rFont val="微软雅黑"/>
        <family val="2"/>
        <charset val="134"/>
      </rPr>
      <t>T4</t>
    </r>
    <r>
      <rPr>
        <sz val="9"/>
        <color theme="1"/>
        <rFont val="微软雅黑"/>
        <family val="2"/>
        <charset val="134"/>
      </rPr>
      <t>_</t>
    </r>
    <r>
      <rPr>
        <sz val="9"/>
        <color theme="1"/>
        <rFont val="微软雅黑"/>
        <family val="2"/>
        <charset val="134"/>
      </rPr>
      <t>低</t>
    </r>
    <r>
      <rPr>
        <sz val="9"/>
        <color theme="1"/>
        <rFont val="微软雅黑"/>
        <family val="2"/>
        <charset val="134"/>
      </rPr>
      <t>_</t>
    </r>
    <r>
      <rPr>
        <sz val="9"/>
        <color theme="1"/>
        <rFont val="微软雅黑"/>
        <family val="2"/>
        <charset val="134"/>
      </rPr>
      <t>4</t>
    </r>
  </si>
  <si>
    <r>
      <rPr>
        <sz val="9"/>
        <color theme="1"/>
        <rFont val="微软雅黑"/>
        <family val="2"/>
        <charset val="134"/>
      </rPr>
      <t>T4</t>
    </r>
    <r>
      <rPr>
        <sz val="9"/>
        <color theme="1"/>
        <rFont val="微软雅黑"/>
        <family val="2"/>
        <charset val="134"/>
      </rPr>
      <t>_</t>
    </r>
    <r>
      <rPr>
        <sz val="9"/>
        <color theme="1"/>
        <rFont val="微软雅黑"/>
        <family val="2"/>
        <charset val="134"/>
      </rPr>
      <t>中</t>
    </r>
    <r>
      <rPr>
        <sz val="9"/>
        <color theme="1"/>
        <rFont val="微软雅黑"/>
        <family val="2"/>
        <charset val="134"/>
      </rPr>
      <t>_</t>
    </r>
    <r>
      <rPr>
        <sz val="9"/>
        <color theme="1"/>
        <rFont val="微软雅黑"/>
        <family val="2"/>
        <charset val="134"/>
      </rPr>
      <t>4</t>
    </r>
  </si>
  <si>
    <r>
      <rPr>
        <sz val="9"/>
        <color theme="1"/>
        <rFont val="微软雅黑"/>
        <family val="2"/>
        <charset val="134"/>
      </rPr>
      <t>T4</t>
    </r>
    <r>
      <rPr>
        <sz val="9"/>
        <color theme="1"/>
        <rFont val="微软雅黑"/>
        <family val="2"/>
        <charset val="134"/>
      </rPr>
      <t>_</t>
    </r>
    <r>
      <rPr>
        <sz val="9"/>
        <color theme="1"/>
        <rFont val="微软雅黑"/>
        <family val="2"/>
        <charset val="134"/>
      </rPr>
      <t>高</t>
    </r>
    <r>
      <rPr>
        <sz val="9"/>
        <color theme="1"/>
        <rFont val="微软雅黑"/>
        <family val="2"/>
        <charset val="134"/>
      </rPr>
      <t>_</t>
    </r>
    <r>
      <rPr>
        <sz val="9"/>
        <color theme="1"/>
        <rFont val="微软雅黑"/>
        <family val="2"/>
        <charset val="134"/>
      </rPr>
      <t>4</t>
    </r>
  </si>
  <si>
    <r>
      <rPr>
        <sz val="9"/>
        <color theme="1"/>
        <rFont val="微软雅黑"/>
        <family val="2"/>
        <charset val="134"/>
      </rPr>
      <t>T</t>
    </r>
    <r>
      <rPr>
        <sz val="9"/>
        <color theme="1"/>
        <rFont val="微软雅黑"/>
        <family val="2"/>
        <charset val="134"/>
      </rPr>
      <t>5</t>
    </r>
  </si>
  <si>
    <r>
      <rPr>
        <sz val="9"/>
        <color theme="1"/>
        <rFont val="微软雅黑"/>
        <family val="2"/>
        <charset val="134"/>
      </rPr>
      <t>T5</t>
    </r>
    <r>
      <rPr>
        <sz val="9"/>
        <color theme="1"/>
        <rFont val="微软雅黑"/>
        <family val="2"/>
        <charset val="134"/>
      </rPr>
      <t>_</t>
    </r>
    <r>
      <rPr>
        <sz val="9"/>
        <color theme="1"/>
        <rFont val="微软雅黑"/>
        <family val="2"/>
        <charset val="134"/>
      </rPr>
      <t>低</t>
    </r>
    <r>
      <rPr>
        <sz val="9"/>
        <color theme="1"/>
        <rFont val="微软雅黑"/>
        <family val="2"/>
        <charset val="134"/>
      </rPr>
      <t>_</t>
    </r>
    <r>
      <rPr>
        <sz val="9"/>
        <color theme="1"/>
        <rFont val="微软雅黑"/>
        <family val="2"/>
        <charset val="134"/>
      </rPr>
      <t>5</t>
    </r>
  </si>
  <si>
    <r>
      <rPr>
        <sz val="9"/>
        <color theme="1"/>
        <rFont val="微软雅黑"/>
        <family val="2"/>
        <charset val="134"/>
      </rPr>
      <t>T5</t>
    </r>
    <r>
      <rPr>
        <sz val="9"/>
        <color theme="1"/>
        <rFont val="微软雅黑"/>
        <family val="2"/>
        <charset val="134"/>
      </rPr>
      <t>_</t>
    </r>
    <r>
      <rPr>
        <sz val="9"/>
        <color theme="1"/>
        <rFont val="微软雅黑"/>
        <family val="2"/>
        <charset val="134"/>
      </rPr>
      <t>中</t>
    </r>
    <r>
      <rPr>
        <sz val="9"/>
        <color theme="1"/>
        <rFont val="微软雅黑"/>
        <family val="2"/>
        <charset val="134"/>
      </rPr>
      <t>_</t>
    </r>
    <r>
      <rPr>
        <sz val="9"/>
        <color theme="1"/>
        <rFont val="微软雅黑"/>
        <family val="2"/>
        <charset val="134"/>
      </rPr>
      <t>5</t>
    </r>
  </si>
  <si>
    <r>
      <rPr>
        <sz val="9"/>
        <color theme="1"/>
        <rFont val="微软雅黑"/>
        <family val="2"/>
        <charset val="134"/>
      </rPr>
      <t>T5</t>
    </r>
    <r>
      <rPr>
        <sz val="9"/>
        <color theme="1"/>
        <rFont val="微软雅黑"/>
        <family val="2"/>
        <charset val="134"/>
      </rPr>
      <t>_</t>
    </r>
    <r>
      <rPr>
        <sz val="9"/>
        <color theme="1"/>
        <rFont val="微软雅黑"/>
        <family val="2"/>
        <charset val="134"/>
      </rPr>
      <t>高</t>
    </r>
    <r>
      <rPr>
        <sz val="9"/>
        <color theme="1"/>
        <rFont val="微软雅黑"/>
        <family val="2"/>
        <charset val="134"/>
      </rPr>
      <t>_</t>
    </r>
    <r>
      <rPr>
        <sz val="9"/>
        <color theme="1"/>
        <rFont val="微软雅黑"/>
        <family val="2"/>
        <charset val="134"/>
      </rPr>
      <t>5</t>
    </r>
  </si>
  <si>
    <t>货币兑换比例</t>
  </si>
  <si>
    <t>美金数</t>
  </si>
  <si>
    <t>人民币</t>
  </si>
  <si>
    <t>调整系数</t>
  </si>
  <si>
    <t>钻石数</t>
  </si>
  <si>
    <t>首次奖励</t>
  </si>
  <si>
    <t>钻石/元</t>
  </si>
  <si>
    <t>坦克开放节奏</t>
  </si>
  <si>
    <t>坦克解锁</t>
  </si>
  <si>
    <t>联赛等级</t>
  </si>
  <si>
    <t>T1低</t>
  </si>
  <si>
    <t>T2低</t>
  </si>
  <si>
    <t>T2中</t>
  </si>
  <si>
    <t>T3低</t>
  </si>
  <si>
    <t>T3中</t>
  </si>
  <si>
    <t>T3高</t>
  </si>
  <si>
    <t>T4低</t>
  </si>
  <si>
    <t>T4中</t>
  </si>
  <si>
    <t>T4高</t>
  </si>
  <si>
    <t>T5低</t>
  </si>
  <si>
    <t>T5中</t>
  </si>
  <si>
    <t>T5高</t>
  </si>
  <si>
    <t>解锁坦克1</t>
  </si>
  <si>
    <t>解锁坦克2</t>
  </si>
  <si>
    <t>解锁坦克3</t>
  </si>
  <si>
    <r>
      <rPr>
        <sz val="9"/>
        <color theme="1"/>
        <rFont val="微软雅黑"/>
        <family val="2"/>
        <charset val="134"/>
      </rPr>
      <t>A</t>
    </r>
    <r>
      <rPr>
        <sz val="9"/>
        <color theme="1"/>
        <rFont val="微软雅黑"/>
        <family val="2"/>
        <charset val="134"/>
      </rPr>
      <t>ll</t>
    </r>
  </si>
  <si>
    <r>
      <rPr>
        <sz val="9"/>
        <color theme="1"/>
        <rFont val="微软雅黑"/>
        <family val="2"/>
        <charset val="134"/>
      </rPr>
      <t>N</t>
    </r>
    <r>
      <rPr>
        <sz val="9"/>
        <color theme="1"/>
        <rFont val="微软雅黑"/>
        <family val="2"/>
        <charset val="134"/>
      </rPr>
      <t>one</t>
    </r>
  </si>
  <si>
    <r>
      <rPr>
        <sz val="9"/>
        <color theme="1"/>
        <rFont val="微软雅黑"/>
        <family val="2"/>
        <charset val="134"/>
      </rPr>
      <t>p</t>
    </r>
    <r>
      <rPr>
        <sz val="9"/>
        <color theme="1"/>
        <rFont val="微软雅黑"/>
        <family val="2"/>
        <charset val="134"/>
      </rPr>
      <t>art</t>
    </r>
  </si>
  <si>
    <t>坦克部件开放节奏</t>
  </si>
  <si>
    <t>坦克部件解锁</t>
  </si>
  <si>
    <t>轻坦血1</t>
  </si>
  <si>
    <t>轻坦血2</t>
  </si>
  <si>
    <t>轻坦攻1</t>
  </si>
  <si>
    <t>轻坦攻2</t>
  </si>
  <si>
    <t>轻坦甲1</t>
  </si>
  <si>
    <t>轻坦甲2</t>
  </si>
  <si>
    <t>中坦血1</t>
  </si>
  <si>
    <t>中坦血2</t>
  </si>
  <si>
    <t>中坦攻1</t>
  </si>
  <si>
    <t>中坦攻2</t>
  </si>
  <si>
    <t>中坦甲1</t>
  </si>
  <si>
    <t>中坦甲2</t>
  </si>
  <si>
    <t>重坦血1</t>
  </si>
  <si>
    <t>重坦血2</t>
  </si>
  <si>
    <t>重坦攻1</t>
  </si>
  <si>
    <t>重坦攻2</t>
  </si>
  <si>
    <t>重坦甲1</t>
  </si>
  <si>
    <t>重坦甲2</t>
  </si>
  <si>
    <t>解锁部件1</t>
  </si>
  <si>
    <t>解锁部件2</t>
  </si>
  <si>
    <t>解锁部件3</t>
  </si>
  <si>
    <t>解锁部件4</t>
  </si>
  <si>
    <t>解锁部件5</t>
  </si>
  <si>
    <t>解锁部件6</t>
  </si>
  <si>
    <t>解锁部件7</t>
  </si>
  <si>
    <t>解锁部件8</t>
  </si>
  <si>
    <t>解锁部件9</t>
  </si>
  <si>
    <t>T1LP1</t>
  </si>
  <si>
    <t>T1LP3</t>
  </si>
  <si>
    <t>T1LP5</t>
  </si>
  <si>
    <t>T1MP1</t>
  </si>
  <si>
    <t>T1MP3</t>
  </si>
  <si>
    <t>T1MP5</t>
  </si>
  <si>
    <t>T1HP1</t>
  </si>
  <si>
    <t>T1HP3</t>
  </si>
  <si>
    <t>T1HP5</t>
  </si>
  <si>
    <t>T1LP2</t>
  </si>
  <si>
    <t>T1LP4</t>
  </si>
  <si>
    <t>T1LP6</t>
  </si>
  <si>
    <t>T1MP2</t>
  </si>
  <si>
    <t>T1MP4</t>
  </si>
  <si>
    <t>T1MP6</t>
  </si>
  <si>
    <t>T1HP2</t>
  </si>
  <si>
    <t>T1HP4</t>
  </si>
  <si>
    <t>T1HP6</t>
  </si>
  <si>
    <t>T1T2</t>
  </si>
  <si>
    <t>T2LP1</t>
  </si>
  <si>
    <t>T2LP3</t>
  </si>
  <si>
    <t>T2LP5</t>
  </si>
  <si>
    <t>T2MP1</t>
  </si>
  <si>
    <t>T2MP3</t>
  </si>
  <si>
    <t>T2MP5</t>
  </si>
  <si>
    <t>T2HP1</t>
  </si>
  <si>
    <t>T2HP3</t>
  </si>
  <si>
    <t>T2HP5</t>
  </si>
  <si>
    <t>T2LP2</t>
  </si>
  <si>
    <t>T2LP4</t>
  </si>
  <si>
    <t>T2LP6</t>
  </si>
  <si>
    <t>T2MP2</t>
  </si>
  <si>
    <t>T2MP4</t>
  </si>
  <si>
    <t>T2MP6</t>
  </si>
  <si>
    <t>T2HP2</t>
  </si>
  <si>
    <t>T2HP4</t>
  </si>
  <si>
    <t>T2HP6</t>
  </si>
  <si>
    <t>T1T2T3</t>
  </si>
  <si>
    <t>T3LP1</t>
  </si>
  <si>
    <t>T3LP3</t>
  </si>
  <si>
    <t>T3LP5</t>
  </si>
  <si>
    <t>T3MP1</t>
  </si>
  <si>
    <t>T3MP3</t>
  </si>
  <si>
    <t>T3MP5</t>
  </si>
  <si>
    <t>T3HP1</t>
  </si>
  <si>
    <t>T3HP3</t>
  </si>
  <si>
    <t>T3HP5</t>
  </si>
  <si>
    <t>T3LP2</t>
  </si>
  <si>
    <t>T3LP4</t>
  </si>
  <si>
    <t>T3LP6</t>
  </si>
  <si>
    <t>T3MP2</t>
  </si>
  <si>
    <t>T3MP4</t>
  </si>
  <si>
    <t>T3MP6</t>
  </si>
  <si>
    <t>T3HP2</t>
  </si>
  <si>
    <t>T3HP4</t>
  </si>
  <si>
    <t>T3HP6</t>
  </si>
  <si>
    <t>等级类型</t>
  </si>
  <si>
    <t>军费系数</t>
  </si>
  <si>
    <t>比赛军费</t>
  </si>
  <si>
    <t>战斗军费</t>
  </si>
  <si>
    <t>每钻军费</t>
  </si>
  <si>
    <t>奖励军费</t>
  </si>
  <si>
    <t>任务军费</t>
  </si>
  <si>
    <t>宝箱军费</t>
  </si>
  <si>
    <t>活跃度军费</t>
  </si>
  <si>
    <t>累计军费</t>
  </si>
  <si>
    <t>胜败军费</t>
  </si>
  <si>
    <t>排名军费</t>
  </si>
  <si>
    <t>Gacha掉率分配</t>
  </si>
  <si>
    <t>成长</t>
  </si>
  <si>
    <t>T1部件</t>
  </si>
  <si>
    <t>T2部件</t>
  </si>
  <si>
    <t>T3部件</t>
  </si>
  <si>
    <t>巅峰</t>
  </si>
  <si>
    <t>免费钻石投放-总量</t>
  </si>
  <si>
    <t>Rank</t>
  </si>
  <si>
    <t>天数</t>
  </si>
  <si>
    <t>每日签到</t>
  </si>
  <si>
    <t>每日任务</t>
  </si>
  <si>
    <t>商店免费领取</t>
  </si>
  <si>
    <t>League奖励</t>
  </si>
  <si>
    <t>回归奖励</t>
  </si>
  <si>
    <t>升级奖励</t>
  </si>
  <si>
    <t>每天投放</t>
  </si>
  <si>
    <t>B-1碎片</t>
  </si>
  <si>
    <t>雷诺FT</t>
  </si>
  <si>
    <t>双倍钥匙</t>
  </si>
  <si>
    <t>Stuart</t>
  </si>
  <si>
    <t>碎片宝箱2</t>
  </si>
  <si>
    <t>高级自宝箱2</t>
  </si>
  <si>
    <t>部件宝箱2</t>
  </si>
  <si>
    <t>二号</t>
  </si>
  <si>
    <t>部件宝箱3</t>
  </si>
  <si>
    <t>T-34</t>
  </si>
  <si>
    <r>
      <rPr>
        <sz val="9"/>
        <color theme="1"/>
        <rFont val="微软雅黑"/>
        <family val="2"/>
        <charset val="134"/>
      </rPr>
      <t>T2MP</t>
    </r>
    <r>
      <rPr>
        <sz val="9"/>
        <color theme="1"/>
        <rFont val="微软雅黑"/>
        <family val="2"/>
        <charset val="134"/>
      </rPr>
      <t>2</t>
    </r>
  </si>
  <si>
    <r>
      <rPr>
        <sz val="9"/>
        <color theme="1"/>
        <rFont val="微软雅黑"/>
        <family val="2"/>
        <charset val="134"/>
      </rPr>
      <t>T2MP</t>
    </r>
    <r>
      <rPr>
        <sz val="9"/>
        <color theme="1"/>
        <rFont val="微软雅黑"/>
        <family val="2"/>
        <charset val="134"/>
      </rPr>
      <t>4</t>
    </r>
  </si>
  <si>
    <t>碎片宝箱4</t>
  </si>
  <si>
    <t>35(t)</t>
  </si>
  <si>
    <r>
      <rPr>
        <sz val="9"/>
        <color theme="1"/>
        <rFont val="微软雅黑"/>
        <family val="2"/>
        <charset val="134"/>
      </rPr>
      <t>T</t>
    </r>
    <r>
      <rPr>
        <sz val="9"/>
        <color theme="1"/>
        <rFont val="微软雅黑"/>
        <family val="2"/>
        <charset val="134"/>
      </rPr>
      <t>2</t>
    </r>
    <r>
      <rPr>
        <sz val="9"/>
        <color theme="1"/>
        <rFont val="微软雅黑"/>
        <family val="2"/>
        <charset val="134"/>
      </rPr>
      <t>LP1</t>
    </r>
  </si>
  <si>
    <r>
      <rPr>
        <sz val="9"/>
        <color theme="1"/>
        <rFont val="微软雅黑"/>
        <family val="2"/>
        <charset val="134"/>
      </rPr>
      <t>T</t>
    </r>
    <r>
      <rPr>
        <sz val="9"/>
        <color theme="1"/>
        <rFont val="微软雅黑"/>
        <family val="2"/>
        <charset val="134"/>
      </rPr>
      <t>2</t>
    </r>
    <r>
      <rPr>
        <sz val="9"/>
        <color theme="1"/>
        <rFont val="微软雅黑"/>
        <family val="2"/>
        <charset val="134"/>
      </rPr>
      <t>LP3</t>
    </r>
  </si>
  <si>
    <t>部件宝箱5</t>
  </si>
  <si>
    <t>玛蒂尔达</t>
  </si>
  <si>
    <r>
      <rPr>
        <sz val="9"/>
        <color theme="1"/>
        <rFont val="微软雅黑"/>
        <family val="2"/>
        <charset val="134"/>
      </rPr>
      <t>T3MP</t>
    </r>
    <r>
      <rPr>
        <sz val="9"/>
        <color theme="1"/>
        <rFont val="微软雅黑"/>
        <family val="2"/>
        <charset val="134"/>
      </rPr>
      <t>3</t>
    </r>
  </si>
  <si>
    <t>碎片宝箱6</t>
  </si>
  <si>
    <t>黑豹</t>
  </si>
  <si>
    <r>
      <rPr>
        <sz val="9"/>
        <color theme="1"/>
        <rFont val="微软雅黑"/>
        <family val="2"/>
        <charset val="134"/>
      </rPr>
      <t>T3HP</t>
    </r>
    <r>
      <rPr>
        <sz val="9"/>
        <color theme="1"/>
        <rFont val="微软雅黑"/>
        <family val="2"/>
        <charset val="134"/>
      </rPr>
      <t>2</t>
    </r>
  </si>
  <si>
    <r>
      <rPr>
        <sz val="9"/>
        <color theme="1"/>
        <rFont val="微软雅黑"/>
        <family val="2"/>
        <charset val="134"/>
      </rPr>
      <t>T3HP</t>
    </r>
    <r>
      <rPr>
        <sz val="9"/>
        <color theme="1"/>
        <rFont val="微软雅黑"/>
        <family val="2"/>
        <charset val="134"/>
      </rPr>
      <t>4</t>
    </r>
  </si>
  <si>
    <t>部件宝箱6</t>
  </si>
  <si>
    <t>碎片宝箱7</t>
  </si>
  <si>
    <t>钢狼碎片</t>
  </si>
  <si>
    <t>预期每日个数</t>
  </si>
  <si>
    <t>T1坦克碎片投放</t>
  </si>
  <si>
    <t>每日任务-天</t>
  </si>
  <si>
    <t>每日任务-周</t>
  </si>
  <si>
    <t>每日总量</t>
  </si>
  <si>
    <t>More funds and keys</t>
  </si>
  <si>
    <t>当玩家奖牌数量小于某个值时，奖牌增减按特殊规则处理：</t>
  </si>
  <si>
    <t>系数配置</t>
  </si>
  <si>
    <t>坦克投放</t>
  </si>
  <si>
    <t>每日场次</t>
  </si>
  <si>
    <t>预期胜率</t>
  </si>
  <si>
    <t>预期得分</t>
  </si>
  <si>
    <t>预期场次</t>
  </si>
  <si>
    <t>中级胜率</t>
  </si>
  <si>
    <t>中级得分</t>
  </si>
  <si>
    <t>高级场次</t>
  </si>
  <si>
    <t>高级胜率</t>
  </si>
  <si>
    <t>高级得分</t>
  </si>
  <si>
    <t>胜利得分</t>
  </si>
  <si>
    <t>失败扣分</t>
  </si>
  <si>
    <t>等级历程设定</t>
  </si>
  <si>
    <t>需要配置：</t>
  </si>
  <si>
    <t>系数类型</t>
  </si>
  <si>
    <t>系数值</t>
  </si>
  <si>
    <t>玩家等级</t>
  </si>
  <si>
    <t>战斗次数</t>
  </si>
  <si>
    <t>战胜经验</t>
  </si>
  <si>
    <t>战败经验</t>
  </si>
  <si>
    <t>胜率</t>
  </si>
  <si>
    <t>需求经验</t>
  </si>
  <si>
    <t>升级经验</t>
  </si>
  <si>
    <t>等级上限</t>
  </si>
  <si>
    <t>每日上限</t>
  </si>
  <si>
    <t>奖励</t>
  </si>
  <si>
    <t>id</t>
  </si>
  <si>
    <t>数量</t>
  </si>
  <si>
    <t>特殊处理区间上限</t>
  </si>
  <si>
    <t>胜利获得奖牌数</t>
  </si>
  <si>
    <t>标准胜率</t>
  </si>
  <si>
    <t>平局获得奖牌数</t>
  </si>
  <si>
    <t>极限场次</t>
  </si>
  <si>
    <t>失败获得奖牌数</t>
  </si>
  <si>
    <t>极限胜率</t>
  </si>
  <si>
    <t>3倍加速2</t>
  </si>
  <si>
    <t>缓冲系数</t>
  </si>
  <si>
    <t>累计系数</t>
  </si>
  <si>
    <r>
      <rPr>
        <sz val="9"/>
        <color theme="1"/>
        <rFont val="微软雅黑"/>
        <family val="2"/>
        <charset val="134"/>
      </rPr>
      <t>T</t>
    </r>
    <r>
      <rPr>
        <sz val="9"/>
        <color theme="1"/>
        <rFont val="微软雅黑"/>
        <family val="2"/>
        <charset val="134"/>
      </rPr>
      <t>3高</t>
    </r>
  </si>
  <si>
    <t>联赛历程设定</t>
  </si>
  <si>
    <t>获得分数</t>
  </si>
  <si>
    <t>累计分数</t>
  </si>
  <si>
    <t>预期天数</t>
  </si>
  <si>
    <t>累计天数</t>
  </si>
  <si>
    <t>中级天数</t>
  </si>
  <si>
    <t>中级累计</t>
  </si>
  <si>
    <t>高级天数</t>
  </si>
  <si>
    <t>高级累计</t>
  </si>
  <si>
    <t>起始分数</t>
  </si>
  <si>
    <t>分数差</t>
  </si>
  <si>
    <t>坦克状态</t>
  </si>
  <si>
    <t>升星次数</t>
  </si>
  <si>
    <t>实际星级</t>
  </si>
  <si>
    <t>钻石汇总</t>
  </si>
  <si>
    <t>每日钻石</t>
  </si>
  <si>
    <t>坦克序号</t>
  </si>
  <si>
    <t>坦克名称</t>
  </si>
  <si>
    <t>正式名称</t>
  </si>
  <si>
    <t>是否上线</t>
  </si>
  <si>
    <t>坦克品质</t>
  </si>
  <si>
    <t>精灵</t>
  </si>
  <si>
    <t>T1</t>
  </si>
  <si>
    <t>豹</t>
  </si>
  <si>
    <t>T2</t>
  </si>
  <si>
    <t>Puma</t>
  </si>
  <si>
    <t>狼獾·S</t>
  </si>
  <si>
    <t>兽人</t>
  </si>
  <si>
    <t>T3</t>
  </si>
  <si>
    <t>十字军</t>
  </si>
  <si>
    <t>食月鸟·S</t>
  </si>
  <si>
    <t>AMX-13</t>
  </si>
  <si>
    <t>跳鼠·S</t>
  </si>
  <si>
    <t>霞飞</t>
  </si>
  <si>
    <t>神马</t>
  </si>
  <si>
    <t>T4</t>
  </si>
  <si>
    <t>M-41</t>
  </si>
  <si>
    <t>兰博·S</t>
  </si>
  <si>
    <t>BMP-3</t>
  </si>
  <si>
    <t>桑格·S</t>
  </si>
  <si>
    <t>59式</t>
  </si>
  <si>
    <t>朱雀</t>
  </si>
  <si>
    <t>T5</t>
  </si>
  <si>
    <t>海妖</t>
  </si>
  <si>
    <t>红柳</t>
  </si>
  <si>
    <t>四号</t>
  </si>
  <si>
    <t>牛头怪·S</t>
  </si>
  <si>
    <t>吸血鬼</t>
  </si>
  <si>
    <t>谢尔曼</t>
  </si>
  <si>
    <t>神秘猿·S</t>
  </si>
  <si>
    <t>彗星</t>
  </si>
  <si>
    <t>巨魔·S</t>
  </si>
  <si>
    <t>M-48</t>
  </si>
  <si>
    <t>鹿角兔</t>
  </si>
  <si>
    <t>潘兴</t>
  </si>
  <si>
    <t>地狱犬·S</t>
  </si>
  <si>
    <t>百夫长</t>
  </si>
  <si>
    <t>哮天犬·S</t>
  </si>
  <si>
    <t>挑战者</t>
  </si>
  <si>
    <t>高格</t>
  </si>
  <si>
    <t>B-1</t>
  </si>
  <si>
    <t>鹏</t>
  </si>
  <si>
    <t>KV-1</t>
  </si>
  <si>
    <t>巨犀兽</t>
  </si>
  <si>
    <t>丘吉尔</t>
  </si>
  <si>
    <t>冰龙·S</t>
  </si>
  <si>
    <t>森林精灵</t>
  </si>
  <si>
    <t>虎式</t>
  </si>
  <si>
    <t>偷火巨人·S</t>
  </si>
  <si>
    <t>KV-2</t>
  </si>
  <si>
    <t>融铜巨人·S</t>
  </si>
  <si>
    <t>征服者</t>
  </si>
  <si>
    <t>座狼</t>
  </si>
  <si>
    <t>IS-4</t>
  </si>
  <si>
    <t>雪怪·S</t>
  </si>
  <si>
    <t>T-32</t>
  </si>
  <si>
    <t>贝希摩斯·S</t>
  </si>
  <si>
    <t>M1A2</t>
  </si>
  <si>
    <t>利维坦</t>
  </si>
  <si>
    <t>PZIII</t>
  </si>
  <si>
    <t>阿莫若克·S</t>
  </si>
  <si>
    <t>坦克升星</t>
  </si>
  <si>
    <t>军费总额</t>
  </si>
  <si>
    <t>碎片总数</t>
  </si>
  <si>
    <t>部件升级</t>
  </si>
  <si>
    <t>部件Tier</t>
  </si>
  <si>
    <t>时间总额</t>
  </si>
  <si>
    <t>部件进阶</t>
  </si>
  <si>
    <t>部件数量总额</t>
  </si>
  <si>
    <t>宝箱军费值</t>
  </si>
  <si>
    <t>T1_低</t>
  </si>
  <si>
    <t>宝箱价格</t>
  </si>
  <si>
    <t>T2_低</t>
  </si>
  <si>
    <t>每秒钻石价值</t>
  </si>
  <si>
    <t>T2_中</t>
  </si>
  <si>
    <t>军费钻石价值</t>
  </si>
  <si>
    <t>T3_低</t>
  </si>
  <si>
    <t>T3_中</t>
  </si>
  <si>
    <t>T3_高</t>
  </si>
  <si>
    <t>T4_低</t>
  </si>
  <si>
    <t>T4_中</t>
  </si>
  <si>
    <t>T4_高</t>
  </si>
  <si>
    <t>T5_低</t>
  </si>
  <si>
    <t>计算方法：碎片和部件通过2000钻宝箱获得，其余军费通过钻石兑换获得，时间通过钻石跳过。</t>
  </si>
  <si>
    <t>宝箱需求个数</t>
  </si>
  <si>
    <t>宝箱军费投放</t>
  </si>
  <si>
    <t>军费需求</t>
  </si>
  <si>
    <t>玩家坦克</t>
  </si>
  <si>
    <t>玩家部件升级</t>
  </si>
  <si>
    <t>玩家部件进阶</t>
  </si>
  <si>
    <t>坦克id</t>
  </si>
  <si>
    <t>掉落数量</t>
  </si>
  <si>
    <t>碎片个数</t>
  </si>
  <si>
    <t>部件掉落数量</t>
  </si>
  <si>
    <t>部件掉落数</t>
  </si>
  <si>
    <t>玩家需要部件数</t>
  </si>
  <si>
    <t>玩家需要部件个数</t>
  </si>
  <si>
    <t>宝箱需求</t>
  </si>
  <si>
    <t>汇总</t>
  </si>
  <si>
    <t>需求军费</t>
  </si>
  <si>
    <t>需求时间</t>
  </si>
  <si>
    <t>汇总计算</t>
  </si>
  <si>
    <t>总价</t>
  </si>
  <si>
    <t>美金上限</t>
  </si>
  <si>
    <t>美金下限</t>
  </si>
  <si>
    <t>宝箱个数</t>
  </si>
  <si>
    <t>军费值</t>
  </si>
  <si>
    <t>时间值</t>
  </si>
  <si>
    <t>钻石总价</t>
  </si>
  <si>
    <t>碎片总价值</t>
  </si>
  <si>
    <t>军费总价值</t>
  </si>
  <si>
    <t>价值上限</t>
  </si>
  <si>
    <t>时间总价值</t>
  </si>
  <si>
    <t>价值下限</t>
  </si>
  <si>
    <t>名称</t>
  </si>
  <si>
    <t>类型</t>
  </si>
  <si>
    <t>二号-碎片</t>
  </si>
  <si>
    <t>T-34-碎片</t>
  </si>
  <si>
    <t>KV-1-碎片</t>
  </si>
  <si>
    <t>35(t)-碎片</t>
  </si>
  <si>
    <t>玛蒂尔达-碎片</t>
  </si>
  <si>
    <t>黑豹-碎片</t>
  </si>
  <si>
    <t>Tier</t>
  </si>
  <si>
    <t>品质</t>
  </si>
  <si>
    <t>星级</t>
  </si>
  <si>
    <t>大类标识</t>
  </si>
  <si>
    <t>唯一标识</t>
  </si>
  <si>
    <t>升星碎片数</t>
  </si>
  <si>
    <t>升星军费数</t>
  </si>
  <si>
    <t>坦克大星设定</t>
  </si>
  <si>
    <t>坦克小星设定</t>
  </si>
  <si>
    <t>从1星升星次数</t>
  </si>
  <si>
    <t>品质属性成长系数</t>
  </si>
  <si>
    <t>坦克系数整理</t>
  </si>
  <si>
    <t>轻坦半自动各阶段属性成长</t>
  </si>
  <si>
    <t>轻坦弹夹各阶段属性成长</t>
  </si>
  <si>
    <t>轻坦单发各阶段属性成长</t>
  </si>
  <si>
    <t>中坦弹夹各阶段属性成长</t>
  </si>
  <si>
    <t>中坦自动各阶段属性成长</t>
  </si>
  <si>
    <t>重坦自动各阶段属性成长</t>
  </si>
  <si>
    <t>重坦单发各阶段属性成长</t>
  </si>
  <si>
    <r>
      <rPr>
        <sz val="9"/>
        <color theme="1"/>
        <rFont val="微软雅黑"/>
        <family val="2"/>
        <charset val="134"/>
      </rPr>
      <t>T</t>
    </r>
    <r>
      <rPr>
        <sz val="9"/>
        <color theme="1"/>
        <rFont val="微软雅黑"/>
        <family val="2"/>
        <charset val="134"/>
      </rPr>
      <t>ier</t>
    </r>
  </si>
  <si>
    <t>低品初始</t>
  </si>
  <si>
    <t>低品最高</t>
  </si>
  <si>
    <t>中品初始</t>
  </si>
  <si>
    <t>中品最高</t>
  </si>
  <si>
    <t>高品初始</t>
  </si>
  <si>
    <t>高品最高</t>
  </si>
  <si>
    <t>低品坦克</t>
  </si>
  <si>
    <t>中品坦克</t>
  </si>
  <si>
    <t>高品坦克</t>
  </si>
  <si>
    <t>低品质</t>
  </si>
  <si>
    <t>中品质</t>
  </si>
  <si>
    <t>高品质</t>
  </si>
  <si>
    <t>坦克系数</t>
  </si>
  <si>
    <t>血量系数拆分</t>
  </si>
  <si>
    <t>养成系数</t>
  </si>
  <si>
    <t>血量</t>
  </si>
  <si>
    <t>坦克伤害</t>
  </si>
  <si>
    <t>最大穿透</t>
  </si>
  <si>
    <t>撞击伤害</t>
  </si>
  <si>
    <t>初始状态</t>
  </si>
  <si>
    <t>成长状态</t>
  </si>
  <si>
    <t>T1低1</t>
  </si>
  <si>
    <t>T2低2</t>
  </si>
  <si>
    <t>T2中2</t>
  </si>
  <si>
    <t>T1低3</t>
  </si>
  <si>
    <t>T3低3</t>
  </si>
  <si>
    <t>T3中3</t>
  </si>
  <si>
    <t>T3高3</t>
  </si>
  <si>
    <t>坦克各阶段属性系数</t>
  </si>
  <si>
    <t>坦克品级阶段</t>
  </si>
  <si>
    <t>T2低4</t>
  </si>
  <si>
    <t>坦克品级</t>
  </si>
  <si>
    <t>最终星级</t>
  </si>
  <si>
    <t>初始</t>
  </si>
  <si>
    <t>最终</t>
  </si>
  <si>
    <t>品质系数</t>
  </si>
  <si>
    <t>属性系数1</t>
  </si>
  <si>
    <t>属性系数2</t>
  </si>
  <si>
    <t>属性系数1公式备份</t>
  </si>
  <si>
    <t>填表品质</t>
  </si>
  <si>
    <t>T4低4</t>
  </si>
  <si>
    <t>白</t>
  </si>
  <si>
    <t>T4中4</t>
  </si>
  <si>
    <t>绿</t>
  </si>
  <si>
    <t>T4高4</t>
  </si>
  <si>
    <t>T3低5</t>
  </si>
  <si>
    <t>蓝</t>
  </si>
  <si>
    <t>T2中4</t>
  </si>
  <si>
    <t>T5低5</t>
  </si>
  <si>
    <t>T5中5</t>
  </si>
  <si>
    <t>紫</t>
  </si>
  <si>
    <t>T5高5</t>
  </si>
  <si>
    <t>T4低6</t>
  </si>
  <si>
    <t>T3中5</t>
  </si>
  <si>
    <t>橙</t>
  </si>
  <si>
    <t>T3高5</t>
  </si>
  <si>
    <t>T5低7</t>
  </si>
  <si>
    <t>T4中6</t>
  </si>
  <si>
    <t>T4高6</t>
  </si>
  <si>
    <t>颜色数值</t>
  </si>
  <si>
    <t>品级数值</t>
  </si>
  <si>
    <t>品质数值</t>
  </si>
  <si>
    <t>T5中7</t>
  </si>
  <si>
    <t>颜色</t>
  </si>
  <si>
    <r>
      <rPr>
        <sz val="9"/>
        <color theme="1"/>
        <rFont val="微软雅黑"/>
        <family val="2"/>
        <charset val="134"/>
      </rPr>
      <t>T5高</t>
    </r>
    <r>
      <rPr>
        <sz val="9"/>
        <color theme="1"/>
        <rFont val="微软雅黑"/>
        <family val="2"/>
        <charset val="134"/>
      </rPr>
      <t>7</t>
    </r>
  </si>
  <si>
    <t>轻坦半自动各初始阶段坦克属性</t>
  </si>
  <si>
    <t>轻坦弹夹各初始阶段坦克属性</t>
  </si>
  <si>
    <t>轻坦单发各初始阶段坦克属性</t>
  </si>
  <si>
    <t>中坦弹夹各初始阶段坦克属性</t>
  </si>
  <si>
    <t>中坦自动各初始阶段坦克属性</t>
  </si>
  <si>
    <t>重坦自动各初始阶段坦克属性</t>
  </si>
  <si>
    <t>重坦单发各初始阶段坦克属性</t>
  </si>
  <si>
    <t>阶段</t>
  </si>
  <si>
    <t>标准坦克初始属性</t>
  </si>
  <si>
    <t>标准坦克显示属性</t>
  </si>
  <si>
    <t>坦克弹夹容量增加对战斗时长的影响</t>
  </si>
  <si>
    <t>轻坦伤害比</t>
  </si>
  <si>
    <t>中坦伤害比</t>
  </si>
  <si>
    <t>重坦伤害比</t>
  </si>
  <si>
    <t>影响比例</t>
  </si>
  <si>
    <t>坦克射击间隔时间减少对战斗时长的影响</t>
  </si>
  <si>
    <t>调整时间1</t>
  </si>
  <si>
    <t>影响轻坦1</t>
  </si>
  <si>
    <t>影响中坦1</t>
  </si>
  <si>
    <t>影响重坦1</t>
  </si>
  <si>
    <t>调整时间2</t>
  </si>
  <si>
    <t>影响轻坦2</t>
  </si>
  <si>
    <t>影响中坦2</t>
  </si>
  <si>
    <t>影响重坦2</t>
  </si>
  <si>
    <r>
      <rPr>
        <sz val="9"/>
        <color theme="1"/>
        <rFont val="微软雅黑"/>
        <family val="2"/>
        <charset val="134"/>
      </rPr>
      <t>0</t>
    </r>
    <r>
      <rPr>
        <sz val="9"/>
        <color theme="1"/>
        <rFont val="微软雅黑"/>
        <family val="2"/>
        <charset val="134"/>
      </rPr>
      <t>.1</t>
    </r>
    <r>
      <rPr>
        <sz val="9"/>
        <color theme="1"/>
        <rFont val="微软雅黑"/>
        <family val="2"/>
        <charset val="134"/>
      </rPr>
      <t>秒/间隔</t>
    </r>
  </si>
  <si>
    <r>
      <rPr>
        <sz val="9"/>
        <color theme="1"/>
        <rFont val="微软雅黑"/>
        <family val="2"/>
        <charset val="134"/>
      </rPr>
      <t>0</t>
    </r>
    <r>
      <rPr>
        <sz val="9"/>
        <color theme="1"/>
        <rFont val="微软雅黑"/>
        <family val="2"/>
        <charset val="134"/>
      </rPr>
      <t>.1</t>
    </r>
    <r>
      <rPr>
        <sz val="9"/>
        <color theme="1"/>
        <rFont val="微软雅黑"/>
        <family val="2"/>
        <charset val="134"/>
      </rPr>
      <t>秒比例</t>
    </r>
  </si>
  <si>
    <t>坦克上弹时间减少对战斗时长的影响</t>
  </si>
  <si>
    <t>秒/上弹</t>
  </si>
  <si>
    <t>秒比例</t>
  </si>
  <si>
    <t>坦克瞄准时间减少对战斗时长的影响</t>
  </si>
  <si>
    <t>标准开炮数</t>
  </si>
  <si>
    <t>射击滞留</t>
  </si>
  <si>
    <t>单发偏移角</t>
  </si>
  <si>
    <t>缩圈时间</t>
  </si>
  <si>
    <t>连射间隔</t>
  </si>
  <si>
    <t>射击周期</t>
  </si>
  <si>
    <t>瞄准时间</t>
  </si>
  <si>
    <t>加速瞄准1</t>
  </si>
  <si>
    <t>后瞄准速度1</t>
  </si>
  <si>
    <t>后射击周期1</t>
  </si>
  <si>
    <t>影响比例1</t>
  </si>
  <si>
    <t>加速瞄准2</t>
  </si>
  <si>
    <t>后瞄准速度2</t>
  </si>
  <si>
    <t>后射击周期2</t>
  </si>
  <si>
    <t>影响比例2</t>
  </si>
  <si>
    <t>影响特征</t>
  </si>
  <si>
    <t>比例平均值</t>
  </si>
  <si>
    <t>基本平均</t>
  </si>
  <si>
    <t>不影响</t>
  </si>
  <si>
    <t>效果递减</t>
  </si>
  <si>
    <t>属性最终系数</t>
  </si>
  <si>
    <t>中坦单发</t>
  </si>
  <si>
    <t>ID</t>
  </si>
  <si>
    <t>进攻方</t>
  </si>
  <si>
    <t>防御方</t>
  </si>
  <si>
    <t>战斗公式=守生命/进攻方dps</t>
  </si>
  <si>
    <t>DPS=穿透/装甲*对类型坦克伤害系数*攻击力*每秒发数</t>
  </si>
  <si>
    <t>等级等于品质*10000+Tier*100+等级+1</t>
  </si>
  <si>
    <t>每Tier无培养战斗</t>
  </si>
  <si>
    <t>等级/战斗时间</t>
  </si>
  <si>
    <t>等/战斗时间</t>
  </si>
  <si>
    <t>每Tier满培养战斗</t>
  </si>
  <si>
    <t>坦克丰富度</t>
  </si>
  <si>
    <t>升星穿透力</t>
  </si>
  <si>
    <t>坦克养成属性分配设定</t>
  </si>
  <si>
    <t>所有坦克养成标准属性</t>
  </si>
  <si>
    <t>坦克小区间属性初始值</t>
  </si>
  <si>
    <t>坦克小区间属性成长区间</t>
  </si>
  <si>
    <t>坦克次要属性成长百分比</t>
  </si>
  <si>
    <t>坦克升星属性</t>
  </si>
  <si>
    <t>所有坦克部件养成标准属性</t>
  </si>
  <si>
    <t>最高属性</t>
  </si>
  <si>
    <t>最高部件星级</t>
  </si>
  <si>
    <t>部件提升比</t>
  </si>
  <si>
    <t>部件属性</t>
  </si>
  <si>
    <t>升星比例</t>
  </si>
  <si>
    <t>部件比例</t>
  </si>
  <si>
    <t>辅助列</t>
  </si>
  <si>
    <t>状态顺序</t>
  </si>
  <si>
    <t>最大炮角速</t>
  </si>
  <si>
    <t>身转角速度</t>
  </si>
  <si>
    <t>进最大速度</t>
  </si>
  <si>
    <t>换弹时间</t>
  </si>
  <si>
    <t>辅助列1</t>
  </si>
  <si>
    <r>
      <rPr>
        <sz val="9"/>
        <color theme="1"/>
        <rFont val="微软雅黑"/>
        <family val="2"/>
        <charset val="134"/>
      </rPr>
      <t>P</t>
    </r>
    <r>
      <rPr>
        <sz val="9"/>
        <color theme="1"/>
        <rFont val="微软雅黑"/>
        <family val="2"/>
        <charset val="134"/>
      </rPr>
      <t>ZIII</t>
    </r>
  </si>
  <si>
    <t>属性最大值</t>
  </si>
  <si>
    <t>原有坦克大小数据</t>
  </si>
  <si>
    <t>坦克部位伤害系数</t>
  </si>
  <si>
    <t>坦克大小统计</t>
  </si>
  <si>
    <t>射击间隔时间(秒)</t>
  </si>
  <si>
    <t>射击造成偏移角度扩大</t>
  </si>
  <si>
    <t>攻击给对方造成的偏移角度</t>
  </si>
  <si>
    <t>被击偏移角度系数</t>
  </si>
  <si>
    <t>炮塔旋转造成的偏移角度</t>
  </si>
  <si>
    <t>坦克行进速度</t>
  </si>
  <si>
    <t>炮塔转向角速度</t>
  </si>
  <si>
    <t>坦克旋转角速度</t>
  </si>
  <si>
    <t>坦克长度</t>
  </si>
  <si>
    <t>坦克宽度</t>
  </si>
  <si>
    <t>坦克对角线</t>
  </si>
  <si>
    <t>炮塔长度</t>
  </si>
  <si>
    <t>炮塔宽度</t>
  </si>
  <si>
    <t>核心伤害系</t>
  </si>
  <si>
    <t>炮后伤害系</t>
  </si>
  <si>
    <t>炮侧伤害系</t>
  </si>
  <si>
    <t>炮前伤害系</t>
  </si>
  <si>
    <t>身后伤害系</t>
  </si>
  <si>
    <t>身侧伤害系</t>
  </si>
  <si>
    <t>身前伤害系</t>
  </si>
  <si>
    <t>核心比例</t>
  </si>
  <si>
    <t>炮后比例</t>
  </si>
  <si>
    <t>炮侧比例</t>
  </si>
  <si>
    <t>炮前比例</t>
  </si>
  <si>
    <t>身后比例</t>
  </si>
  <si>
    <t>身侧比例</t>
  </si>
  <si>
    <t>身前比例</t>
  </si>
  <si>
    <t>核心伤害</t>
  </si>
  <si>
    <t>炮后伤害</t>
  </si>
  <si>
    <t>炮侧伤害</t>
  </si>
  <si>
    <t>炮前伤害</t>
  </si>
  <si>
    <t>身后伤害</t>
  </si>
  <si>
    <t>身侧伤害</t>
  </si>
  <si>
    <t>身前伤害</t>
  </si>
  <si>
    <t>总计伤害</t>
  </si>
  <si>
    <t>对角线平均值</t>
  </si>
  <si>
    <t>射击间隔min</t>
  </si>
  <si>
    <t>射击间隔max</t>
  </si>
  <si>
    <t>累积偏移角</t>
  </si>
  <si>
    <t>标准轮次数</t>
  </si>
  <si>
    <t>中坦偏移角</t>
  </si>
  <si>
    <t>重坦偏移角</t>
  </si>
  <si>
    <t>偏移系数</t>
  </si>
  <si>
    <t>偏移上限</t>
  </si>
  <si>
    <t>原最小角度</t>
  </si>
  <si>
    <t>射击后角度</t>
  </si>
  <si>
    <t>角度扩大比</t>
  </si>
  <si>
    <t>期望扩大比</t>
  </si>
  <si>
    <t>偏移角度</t>
  </si>
  <si>
    <t>原瞄准比例</t>
  </si>
  <si>
    <t>偏移后比例</t>
  </si>
  <si>
    <t>需瞄准时间</t>
  </si>
  <si>
    <t>帧偏移角度</t>
  </si>
  <si>
    <t>遇敌时间</t>
  </si>
  <si>
    <t>行进距离</t>
  </si>
  <si>
    <t>速度(米/秒)</t>
  </si>
  <si>
    <t>速度(km/h)</t>
  </si>
  <si>
    <t>标准距离</t>
  </si>
  <si>
    <t>初始角速度</t>
  </si>
  <si>
    <t>近距离</t>
  </si>
  <si>
    <t>角速度上限</t>
  </si>
  <si>
    <t>加速时间</t>
  </si>
  <si>
    <t>加速度</t>
  </si>
  <si>
    <t>旋转速度</t>
  </si>
  <si>
    <t>min旋转</t>
  </si>
  <si>
    <t>max旋转</t>
  </si>
  <si>
    <t>标准射击距离</t>
  </si>
  <si>
    <t>坦克行进速度区间</t>
  </si>
  <si>
    <t>最小安全圈半径</t>
  </si>
  <si>
    <t>极限安全圈半径</t>
  </si>
  <si>
    <t>移动中转向比例系数</t>
  </si>
  <si>
    <t>最小速度</t>
  </si>
  <si>
    <t>最大速度</t>
  </si>
  <si>
    <t>max遇敌</t>
  </si>
  <si>
    <t>min遇敌</t>
  </si>
  <si>
    <t>角速度下限</t>
  </si>
  <si>
    <t>敌方轻坦</t>
  </si>
  <si>
    <t>敌方中坦</t>
  </si>
  <si>
    <t>敌方重坦</t>
  </si>
  <si>
    <t>max角速度</t>
  </si>
  <si>
    <t>退加速度</t>
  </si>
  <si>
    <t>攻击给轻坦造成的偏移角度的效果</t>
  </si>
  <si>
    <t>坦克移动造成的偏移角度</t>
  </si>
  <si>
    <t>增加偏移角</t>
  </si>
  <si>
    <t>被击后比例</t>
  </si>
  <si>
    <t>2发被击</t>
  </si>
  <si>
    <t>3发被击</t>
  </si>
  <si>
    <t>全覆盖偏移</t>
  </si>
  <si>
    <t>坦克瞄准最小圈系数</t>
  </si>
  <si>
    <t>坦克后退速度区间</t>
  </si>
  <si>
    <t>不同情形下不同类型坦克瞄准速度差异</t>
  </si>
  <si>
    <t>瞄准系数</t>
  </si>
  <si>
    <t>半系数</t>
  </si>
  <si>
    <t>最小角度</t>
  </si>
  <si>
    <t>后退系数</t>
  </si>
  <si>
    <t>最小后退</t>
  </si>
  <si>
    <t>最大后退</t>
  </si>
  <si>
    <t>后退加速</t>
  </si>
  <si>
    <t>最终速度1</t>
  </si>
  <si>
    <t>实际时间1</t>
  </si>
  <si>
    <t>最终速度2</t>
  </si>
  <si>
    <t>实际时间2</t>
  </si>
  <si>
    <t>近距45°</t>
  </si>
  <si>
    <t>最终速度3</t>
  </si>
  <si>
    <t>实际时间3</t>
  </si>
  <si>
    <t>近距90°</t>
  </si>
  <si>
    <t>最大角度</t>
  </si>
  <si>
    <t>坦克速度统计</t>
  </si>
  <si>
    <t>坦克停止加速度</t>
  </si>
  <si>
    <t>坦克追逐模拟,最终角速度</t>
  </si>
  <si>
    <t>最小前进</t>
  </si>
  <si>
    <t>最大前进</t>
  </si>
  <si>
    <t>加速(m/s²)</t>
  </si>
  <si>
    <t>停止时间</t>
  </si>
  <si>
    <t>追轻坦</t>
  </si>
  <si>
    <t>追中坦</t>
  </si>
  <si>
    <t>追重坦</t>
  </si>
  <si>
    <t>45*追轻坦</t>
  </si>
  <si>
    <t>45*追中坦</t>
  </si>
  <si>
    <t>45*追重坦</t>
  </si>
  <si>
    <t>90*追轻坦</t>
  </si>
  <si>
    <t>90*追中坦</t>
  </si>
  <si>
    <t>90*追重坦</t>
  </si>
  <si>
    <t>最小圈下互相瞄准</t>
  </si>
  <si>
    <t>攻击给中坦造成的偏移角度的效果</t>
  </si>
  <si>
    <t>坦克移动同时旋转炮塔造成的偏移角度影响</t>
  </si>
  <si>
    <t>瞄轻坦比例</t>
  </si>
  <si>
    <t>瞄中坦比例</t>
  </si>
  <si>
    <t>瞄重坦比例</t>
  </si>
  <si>
    <t>运动中角度</t>
  </si>
  <si>
    <t>瞄轻坦</t>
  </si>
  <si>
    <t>瞄中坦</t>
  </si>
  <si>
    <t>瞄重坦</t>
  </si>
  <si>
    <t>坦克速度提升说明</t>
  </si>
  <si>
    <t>坦克追逐模拟,追逐时长</t>
  </si>
  <si>
    <t>重坦开镜</t>
  </si>
  <si>
    <t>提升5%</t>
  </si>
  <si>
    <t>提升10%</t>
  </si>
  <si>
    <t>提升15%</t>
  </si>
  <si>
    <t>提升20%</t>
  </si>
  <si>
    <t>攻击给重坦造成的偏移角度的效果</t>
  </si>
  <si>
    <t>被瞄准速度提升后瞄准坦克消耗时间</t>
  </si>
  <si>
    <t>瞄准轻坦1</t>
  </si>
  <si>
    <t>瞄准中坦1</t>
  </si>
  <si>
    <t>瞄准重坦1</t>
  </si>
  <si>
    <t>瞄准轻坦2</t>
  </si>
  <si>
    <t>瞄准中坦2</t>
  </si>
  <si>
    <t>瞄准重坦2</t>
  </si>
  <si>
    <t>瞄准轻坦3</t>
  </si>
  <si>
    <t>瞄准中坦3</t>
  </si>
  <si>
    <t>瞄准重坦3</t>
  </si>
  <si>
    <t>瞄准轻坦4</t>
  </si>
  <si>
    <t>瞄准中坦4</t>
  </si>
  <si>
    <t>瞄准重坦4</t>
  </si>
  <si>
    <t>瞄准轻坦5</t>
  </si>
  <si>
    <t>瞄准中坦5</t>
  </si>
  <si>
    <t>瞄准重坦5</t>
  </si>
  <si>
    <t>描边</t>
  </si>
  <si>
    <t>被轻坦瞄准时间变化</t>
  </si>
  <si>
    <t>被中坦瞄准时间变化</t>
  </si>
  <si>
    <t>被重坦瞄准时间变化</t>
  </si>
  <si>
    <t>瞄准1</t>
  </si>
  <si>
    <t>瞄准2</t>
  </si>
  <si>
    <t>瞄准3</t>
  </si>
  <si>
    <t>瞄准4</t>
  </si>
  <si>
    <t>被轻坦瞄准时间变化/速度变化</t>
  </si>
  <si>
    <t>被中坦瞄准时间变化/速度变化</t>
  </si>
  <si>
    <t>被重坦瞄准时间变化/速度变化</t>
  </si>
  <si>
    <t>时间/速度</t>
  </si>
  <si>
    <t>平均值</t>
  </si>
  <si>
    <t>图鉴所属类型</t>
  </si>
  <si>
    <t>图鉴对应坦克ID</t>
  </si>
  <si>
    <t>图鉴rank</t>
  </si>
  <si>
    <t>图鉴给予的经验</t>
  </si>
  <si>
    <t>是否已满</t>
  </si>
  <si>
    <t>等级</t>
  </si>
  <si>
    <t>对应经验类型</t>
  </si>
  <si>
    <t>是否已上线</t>
  </si>
  <si>
    <t>图鉴总经验</t>
  </si>
  <si>
    <t>当前最大经验</t>
  </si>
  <si>
    <t>攻击</t>
  </si>
  <si>
    <t>1</t>
  </si>
  <si>
    <t>2</t>
  </si>
  <si>
    <t>3</t>
  </si>
  <si>
    <t>坦克个性化设定基准规则</t>
  </si>
  <si>
    <t>角速度成长比例设定</t>
  </si>
  <si>
    <t>属性类型</t>
  </si>
  <si>
    <t>影响类型</t>
  </si>
  <si>
    <t>分类</t>
  </si>
  <si>
    <t>值</t>
  </si>
  <si>
    <t>延长</t>
  </si>
  <si>
    <t>初始值</t>
  </si>
  <si>
    <t>缩短</t>
  </si>
  <si>
    <t>成长值</t>
  </si>
  <si>
    <t>装填时间</t>
  </si>
  <si>
    <t>转向速度</t>
  </si>
  <si>
    <t>炮塔转向</t>
  </si>
  <si>
    <t>坦克属性个性化设定</t>
  </si>
  <si>
    <t>模型名称</t>
  </si>
  <si>
    <t>坦克类别</t>
  </si>
  <si>
    <t>坦克细类</t>
  </si>
  <si>
    <t>对角线</t>
  </si>
  <si>
    <t>血量系数调整</t>
  </si>
  <si>
    <t>血量系数</t>
  </si>
  <si>
    <t>标准准星</t>
  </si>
  <si>
    <t>准星调整</t>
  </si>
  <si>
    <t>准星最小角</t>
  </si>
  <si>
    <t>精准度影响</t>
  </si>
  <si>
    <t>射速影响</t>
  </si>
  <si>
    <t>准星影响</t>
  </si>
  <si>
    <t>射击间隔系</t>
  </si>
  <si>
    <t>间隔影响</t>
  </si>
  <si>
    <t>被击偏移比</t>
  </si>
  <si>
    <t>被击偏上限</t>
  </si>
  <si>
    <t>口径类型</t>
  </si>
  <si>
    <t>角速度系数</t>
  </si>
  <si>
    <t>初始炮角速</t>
  </si>
  <si>
    <t>炮角加速度</t>
  </si>
  <si>
    <t>炮转偏上限</t>
  </si>
  <si>
    <t>身速度系数</t>
  </si>
  <si>
    <t>速度系数</t>
  </si>
  <si>
    <t>速度影响</t>
  </si>
  <si>
    <t>退最大速度</t>
  </si>
  <si>
    <t>前进加速度</t>
  </si>
  <si>
    <t>后退加速度</t>
  </si>
  <si>
    <t>前停加速度</t>
  </si>
  <si>
    <t>后停加速度</t>
  </si>
  <si>
    <t>移动偏上限</t>
  </si>
  <si>
    <t>基础撞击比</t>
  </si>
  <si>
    <t>撞击速度阈</t>
  </si>
  <si>
    <t>移中-max速</t>
  </si>
  <si>
    <t>移中-加速度</t>
  </si>
  <si>
    <t>移中-退加速</t>
  </si>
  <si>
    <t>min衰减距</t>
  </si>
  <si>
    <t>max衰减距</t>
  </si>
  <si>
    <t>ft17</t>
  </si>
  <si>
    <t>弹夹换弹</t>
  </si>
  <si>
    <t>ii</t>
  </si>
  <si>
    <t>sdkfz234</t>
  </si>
  <si>
    <t>35t</t>
  </si>
  <si>
    <t>crusader</t>
  </si>
  <si>
    <t>amx13</t>
  </si>
  <si>
    <t>m24</t>
  </si>
  <si>
    <t>m41</t>
  </si>
  <si>
    <t>bmp-3</t>
  </si>
  <si>
    <t>stuart</t>
  </si>
  <si>
    <t>t34</t>
  </si>
  <si>
    <t>iv</t>
  </si>
  <si>
    <t>单发换弹</t>
  </si>
  <si>
    <t>mathilda</t>
  </si>
  <si>
    <t>m4</t>
  </si>
  <si>
    <t>comet</t>
  </si>
  <si>
    <t>m48</t>
  </si>
  <si>
    <t>m26</t>
  </si>
  <si>
    <t>centurion</t>
  </si>
  <si>
    <t>challenger1</t>
  </si>
  <si>
    <t>b1</t>
  </si>
  <si>
    <t>kv1</t>
  </si>
  <si>
    <t>churchill</t>
  </si>
  <si>
    <t>panzer-v</t>
  </si>
  <si>
    <t>tiger</t>
  </si>
  <si>
    <t>kv2</t>
  </si>
  <si>
    <t>fv214</t>
  </si>
  <si>
    <t>is4</t>
  </si>
  <si>
    <t>t32</t>
  </si>
  <si>
    <t>m1a2</t>
  </si>
  <si>
    <t>个性化设定后射速变化</t>
  </si>
  <si>
    <t>AI用连续射击次数和延迟时间</t>
  </si>
  <si>
    <t>标准子弹量</t>
  </si>
  <si>
    <t>容量系数</t>
  </si>
  <si>
    <t>单发系数</t>
  </si>
  <si>
    <t>射击偏移角</t>
  </si>
  <si>
    <t>攻击使偏移</t>
  </si>
  <si>
    <t>60S射速</t>
  </si>
  <si>
    <r>
      <rPr>
        <sz val="9"/>
        <color theme="1"/>
        <rFont val="微软雅黑"/>
        <family val="2"/>
        <charset val="134"/>
      </rPr>
      <t>6</t>
    </r>
    <r>
      <rPr>
        <sz val="9"/>
        <color theme="1"/>
        <rFont val="微软雅黑"/>
        <family val="2"/>
        <charset val="134"/>
      </rPr>
      <t>0</t>
    </r>
    <r>
      <rPr>
        <sz val="9"/>
        <color theme="1"/>
        <rFont val="微软雅黑"/>
        <family val="2"/>
        <charset val="134"/>
      </rPr>
      <t>S射速比</t>
    </r>
  </si>
  <si>
    <t>连射射速</t>
  </si>
  <si>
    <t>标准射速</t>
  </si>
  <si>
    <t>射速降低比</t>
  </si>
  <si>
    <t>连射次数</t>
  </si>
  <si>
    <t>延迟时间</t>
  </si>
  <si>
    <t>个性设定对坦克属性影响</t>
  </si>
  <si>
    <t>坦克小区间养成属性整理</t>
  </si>
  <si>
    <t>需调整价值属性整理</t>
  </si>
  <si>
    <t>伤害系数调整</t>
  </si>
  <si>
    <t>移速转速等品质差异</t>
  </si>
  <si>
    <t>坦克初始换弹时间统计</t>
  </si>
  <si>
    <t>各坦克移动操作手感属性成长区间统计</t>
  </si>
  <si>
    <t>初始坦克属性</t>
  </si>
  <si>
    <t>射速提升30%调整换弹时间和瞄准时间,获得成长区间</t>
  </si>
  <si>
    <t>系数</t>
  </si>
  <si>
    <t>养成区间1</t>
  </si>
  <si>
    <t>养成区间2</t>
  </si>
  <si>
    <t>养成区间3</t>
  </si>
  <si>
    <t>原瞄准速度</t>
  </si>
  <si>
    <t>瞄准区间</t>
  </si>
  <si>
    <t>原换弹时间</t>
  </si>
  <si>
    <t>换弹类型</t>
  </si>
  <si>
    <t>后射击间隔</t>
  </si>
  <si>
    <t>缩短比例</t>
  </si>
  <si>
    <t>换弹区间</t>
  </si>
  <si>
    <t>射速属性提升</t>
  </si>
  <si>
    <t>提升系数</t>
  </si>
  <si>
    <t>移动速度属性提升</t>
  </si>
  <si>
    <t>坦克个性化属性统计</t>
  </si>
  <si>
    <t>坦克初始成长属性统计</t>
  </si>
  <si>
    <t>生命等级</t>
  </si>
  <si>
    <t>伤害等级</t>
  </si>
  <si>
    <t>装甲等级</t>
  </si>
  <si>
    <t>开火方式</t>
  </si>
  <si>
    <t>中心区半径</t>
  </si>
  <si>
    <t>基础视野</t>
  </si>
  <si>
    <t>最小视野</t>
  </si>
  <si>
    <t>开火ID</t>
  </si>
  <si>
    <t>1星1</t>
  </si>
  <si>
    <t>部件状态</t>
  </si>
  <si>
    <t>弹夹</t>
  </si>
  <si>
    <t>半自动</t>
  </si>
  <si>
    <t>2星1</t>
  </si>
  <si>
    <t>自动</t>
  </si>
  <si>
    <t>3星1</t>
  </si>
  <si>
    <t>坦克养成属性系数调用</t>
  </si>
  <si>
    <t>坦克星级属性</t>
  </si>
  <si>
    <t>辅助系数</t>
  </si>
  <si>
    <t>属性比例</t>
  </si>
  <si>
    <t>最终属性</t>
  </si>
  <si>
    <t>坦克标识</t>
  </si>
  <si>
    <t>T1低0</t>
  </si>
  <si>
    <t>T1低2</t>
  </si>
  <si>
    <t>T2低0</t>
  </si>
  <si>
    <t>T2中0</t>
  </si>
  <si>
    <t>T2低1</t>
  </si>
  <si>
    <t>T2中1</t>
  </si>
  <si>
    <t>T1低4</t>
  </si>
  <si>
    <t>T2低3</t>
  </si>
  <si>
    <t>T3低0</t>
  </si>
  <si>
    <t>T3中0</t>
  </si>
  <si>
    <t>T2中3</t>
  </si>
  <si>
    <t>T3低1</t>
  </si>
  <si>
    <t>T3高0</t>
  </si>
  <si>
    <t>T3中1</t>
  </si>
  <si>
    <t>T3低2</t>
  </si>
  <si>
    <t>T2低5</t>
  </si>
  <si>
    <t>T3高1</t>
  </si>
  <si>
    <t>T3中2</t>
  </si>
  <si>
    <t>T2中5</t>
  </si>
  <si>
    <t>T2低6</t>
  </si>
  <si>
    <t>T3高2</t>
  </si>
  <si>
    <t>T2中6</t>
  </si>
  <si>
    <t>T3低4</t>
  </si>
  <si>
    <t>T4低0</t>
  </si>
  <si>
    <t>T4中0</t>
  </si>
  <si>
    <t>T3中4</t>
  </si>
  <si>
    <t>T2中7</t>
  </si>
  <si>
    <t>T4低1</t>
  </si>
  <si>
    <t>T4高0</t>
  </si>
  <si>
    <t>T3高4</t>
  </si>
  <si>
    <t>T4中1</t>
  </si>
  <si>
    <t>T2中8</t>
  </si>
  <si>
    <t>T3低6</t>
  </si>
  <si>
    <t>T4低2</t>
  </si>
  <si>
    <t>T4高1</t>
  </si>
  <si>
    <t>T4中2</t>
  </si>
  <si>
    <t>T3低7</t>
  </si>
  <si>
    <t>T4低3</t>
  </si>
  <si>
    <t>T3中6</t>
  </si>
  <si>
    <t>T2中9</t>
  </si>
  <si>
    <t>T4高2</t>
  </si>
  <si>
    <t>T3低8</t>
  </si>
  <si>
    <t>T4中3</t>
  </si>
  <si>
    <t>T3高6</t>
  </si>
  <si>
    <t>T3中7</t>
  </si>
  <si>
    <t>T2中10</t>
  </si>
  <si>
    <t>T4低5</t>
  </si>
  <si>
    <t>T5低0</t>
  </si>
  <si>
    <t>T4高3</t>
  </si>
  <si>
    <t>T3中8</t>
  </si>
  <si>
    <t>T2中11</t>
  </si>
  <si>
    <t>T3高7</t>
  </si>
  <si>
    <t>T5中0</t>
  </si>
  <si>
    <t>T5低1</t>
  </si>
  <si>
    <t>T4中5</t>
  </si>
  <si>
    <t>T3中9</t>
  </si>
  <si>
    <t>T3高8</t>
  </si>
  <si>
    <t>T4低7</t>
  </si>
  <si>
    <t>T5高0</t>
  </si>
  <si>
    <t>T5低2</t>
  </si>
  <si>
    <t>T5中1</t>
  </si>
  <si>
    <t>T4高5</t>
  </si>
  <si>
    <t>T3中10</t>
  </si>
  <si>
    <t>T3高9</t>
  </si>
  <si>
    <t>T4低8</t>
  </si>
  <si>
    <t>T5低3</t>
  </si>
  <si>
    <t>T5中2</t>
  </si>
  <si>
    <t>T5高1</t>
  </si>
  <si>
    <t>T4中7</t>
  </si>
  <si>
    <t>T3中11</t>
  </si>
  <si>
    <t>T3高10</t>
  </si>
  <si>
    <t>T4低9</t>
  </si>
  <si>
    <t>T5低4</t>
  </si>
  <si>
    <t>T5中3</t>
  </si>
  <si>
    <t>T5高2</t>
  </si>
  <si>
    <t>T4中8</t>
  </si>
  <si>
    <t>T3中12</t>
  </si>
  <si>
    <t>T4高7</t>
  </si>
  <si>
    <t>T3高11</t>
  </si>
  <si>
    <t>T4低10</t>
  </si>
  <si>
    <t>T5中4</t>
  </si>
  <si>
    <t>T5高3</t>
  </si>
  <si>
    <t>T4中9</t>
  </si>
  <si>
    <t>T3中13</t>
  </si>
  <si>
    <t>T4高8</t>
  </si>
  <si>
    <t>T3高12</t>
  </si>
  <si>
    <t>T5低6</t>
  </si>
  <si>
    <t>T4中10</t>
  </si>
  <si>
    <t>T5高4</t>
  </si>
  <si>
    <t>T3中14</t>
  </si>
  <si>
    <t>T4高9</t>
  </si>
  <si>
    <t>T3高13</t>
  </si>
  <si>
    <t>T5中6</t>
  </si>
  <si>
    <t>T4中11</t>
  </si>
  <si>
    <t>T5低8</t>
  </si>
  <si>
    <t>T4高10</t>
  </si>
  <si>
    <t>T3高14</t>
  </si>
  <si>
    <t>T4中12</t>
  </si>
  <si>
    <t>T5高6</t>
  </si>
  <si>
    <t>T5低9</t>
  </si>
  <si>
    <t>T4高11</t>
  </si>
  <si>
    <t>T5中8</t>
  </si>
  <si>
    <t>T4中13</t>
  </si>
  <si>
    <t>T5高7</t>
  </si>
  <si>
    <t>T5低10</t>
  </si>
  <si>
    <t>T4高12</t>
  </si>
  <si>
    <t>T5中9</t>
  </si>
  <si>
    <t>T4中14</t>
  </si>
  <si>
    <t>T5低11</t>
  </si>
  <si>
    <t>T5高8</t>
  </si>
  <si>
    <t>T4高13</t>
  </si>
  <si>
    <t>T5中10</t>
  </si>
  <si>
    <t>T4中15</t>
  </si>
  <si>
    <t>T5低12</t>
  </si>
  <si>
    <t>T5高9</t>
  </si>
  <si>
    <t>T4高14</t>
  </si>
  <si>
    <t>T5中11</t>
  </si>
  <si>
    <t>T4中16</t>
  </si>
  <si>
    <t>T5高10</t>
  </si>
  <si>
    <t>T4高15</t>
  </si>
  <si>
    <t>T5中12</t>
  </si>
  <si>
    <t>T4中17</t>
  </si>
  <si>
    <t>T5高11</t>
  </si>
  <si>
    <t>T4高16</t>
  </si>
  <si>
    <t>T5中13</t>
  </si>
  <si>
    <t>T5高12</t>
  </si>
  <si>
    <t>T5中14</t>
  </si>
  <si>
    <t>T4高17</t>
  </si>
  <si>
    <t>T5高13</t>
  </si>
  <si>
    <t>T5中15</t>
  </si>
  <si>
    <t>T5高14</t>
  </si>
  <si>
    <t>T5中16</t>
  </si>
  <si>
    <t>T5高15</t>
  </si>
  <si>
    <t>T5中17</t>
  </si>
  <si>
    <t>T5高16</t>
  </si>
  <si>
    <t>T5中18</t>
  </si>
  <si>
    <t>T5中19</t>
  </si>
  <si>
    <t>T5高17</t>
  </si>
  <si>
    <t>T5中20</t>
  </si>
  <si>
    <t>T5高18</t>
  </si>
  <si>
    <t>T5高19</t>
  </si>
  <si>
    <t>T5高20</t>
  </si>
  <si>
    <t>同属性部件数</t>
  </si>
  <si>
    <t>部件设定</t>
  </si>
  <si>
    <t>部件在坦克上更换设定</t>
  </si>
  <si>
    <t>部件属性成长设定</t>
  </si>
  <si>
    <t>部件升级获得属性</t>
  </si>
  <si>
    <t>部件升星获得属性</t>
  </si>
  <si>
    <t>初始星级</t>
  </si>
  <si>
    <t>最大星级</t>
  </si>
  <si>
    <t>初始星级属性</t>
  </si>
  <si>
    <t>额外效果</t>
  </si>
  <si>
    <t>坦克星级</t>
  </si>
  <si>
    <t>基础系数</t>
  </si>
  <si>
    <t>换坦克衰减比</t>
  </si>
  <si>
    <t>部件星级</t>
  </si>
  <si>
    <t>最大等级</t>
  </si>
  <si>
    <t>提升比例</t>
  </si>
  <si>
    <t>总提升比例</t>
  </si>
  <si>
    <t>等级提升比例</t>
  </si>
  <si>
    <t>计算比例</t>
  </si>
  <si>
    <t>初始提升比例</t>
  </si>
  <si>
    <t>升星属性</t>
  </si>
  <si>
    <t>满养成属性</t>
  </si>
  <si>
    <t>部件等级</t>
  </si>
  <si>
    <t>对应星级</t>
  </si>
  <si>
    <t>升级属性</t>
  </si>
  <si>
    <t>累计属性</t>
  </si>
  <si>
    <t>当前星级</t>
  </si>
  <si>
    <t>实际属性</t>
  </si>
  <si>
    <t>坦克稀有度</t>
  </si>
  <si>
    <t>加成比例</t>
  </si>
  <si>
    <t>每级提升比例</t>
  </si>
  <si>
    <t>次要属性</t>
  </si>
  <si>
    <t>被动技能</t>
  </si>
  <si>
    <t>坦克次要属性规划</t>
  </si>
  <si>
    <t>消耗军费</t>
  </si>
  <si>
    <t>升级时间</t>
  </si>
  <si>
    <t>消耗部件数</t>
  </si>
  <si>
    <t>技能类型</t>
  </si>
  <si>
    <t>CD</t>
  </si>
  <si>
    <t>主技能</t>
  </si>
  <si>
    <t>副技能</t>
  </si>
  <si>
    <t>技能名称</t>
  </si>
  <si>
    <t>技能描述</t>
  </si>
  <si>
    <t>小喷</t>
  </si>
  <si>
    <t>前冲一段</t>
  </si>
  <si>
    <t>启动后可快速移动一段距离</t>
  </si>
  <si>
    <t>抓勾</t>
  </si>
  <si>
    <t>抓过来</t>
  </si>
  <si>
    <t>能把敌人和道具拉向自己</t>
  </si>
  <si>
    <t>追踪导弹</t>
  </si>
  <si>
    <t>向目标位置发射5发导弹</t>
  </si>
  <si>
    <t>朝目标连续发射5枚导弹</t>
  </si>
  <si>
    <t>天火导弹</t>
  </si>
  <si>
    <t>锁定目标发射导弹.最多锁定3个</t>
  </si>
  <si>
    <t>锁定前方最多3个目标，发射导弹</t>
  </si>
  <si>
    <t>主动防御</t>
  </si>
  <si>
    <t>炮塔前方产生护盾,吸收50%伤害</t>
  </si>
  <si>
    <t>产生炮塔前方的护盾，吸收伤害</t>
  </si>
  <si>
    <t>战术维修</t>
  </si>
  <si>
    <t>持续给友方坦克加血</t>
  </si>
  <si>
    <t>持续修理友方坦克的血量</t>
  </si>
  <si>
    <t>信号弹</t>
  </si>
  <si>
    <t>命中的目标致盲</t>
  </si>
  <si>
    <t>产生致盲效果</t>
  </si>
  <si>
    <t>罐桶炸弹</t>
  </si>
  <si>
    <t>3枚延迟爆炸炸弹</t>
  </si>
  <si>
    <t>投掷3枚延迟爆炸的炸弹</t>
  </si>
  <si>
    <t>微型导弹</t>
  </si>
  <si>
    <t>前方发射导弹6枚</t>
  </si>
  <si>
    <t>发射5枚微型导弹</t>
  </si>
  <si>
    <t xml:space="preserve"> </t>
  </si>
  <si>
    <t>电锯</t>
  </si>
  <si>
    <t>最大距63m</t>
  </si>
  <si>
    <r>
      <rPr>
        <sz val="9"/>
        <color theme="1"/>
        <rFont val="微软雅黑"/>
        <family val="2"/>
        <charset val="134"/>
      </rPr>
      <t>速度3</t>
    </r>
    <r>
      <rPr>
        <sz val="9"/>
        <color theme="1"/>
        <rFont val="微软雅黑"/>
        <family val="2"/>
        <charset val="134"/>
      </rPr>
      <t>0m/s</t>
    </r>
  </si>
  <si>
    <t>宽度3m</t>
  </si>
  <si>
    <t>停留2s</t>
  </si>
  <si>
    <r>
      <rPr>
        <sz val="9"/>
        <color theme="1"/>
        <rFont val="微软雅黑"/>
        <family val="2"/>
        <charset val="134"/>
      </rPr>
      <t>伤害间隔0.</t>
    </r>
    <r>
      <rPr>
        <sz val="9"/>
        <color theme="1"/>
        <rFont val="微软雅黑"/>
        <family val="2"/>
        <charset val="134"/>
      </rPr>
      <t>3</t>
    </r>
  </si>
  <si>
    <t>持续3sBuff</t>
  </si>
  <si>
    <t>每秒5%</t>
  </si>
  <si>
    <t>切割伤害</t>
  </si>
  <si>
    <t>氮气加速</t>
  </si>
  <si>
    <t>将坦克速度大幅提升10秒</t>
  </si>
  <si>
    <t>地雷</t>
  </si>
  <si>
    <t>命中敌人后将对手履带损坏</t>
  </si>
  <si>
    <t>燃烧弹</t>
  </si>
  <si>
    <t>命中敌人后在地面燃烧，持续伤害</t>
  </si>
  <si>
    <t>冲锋</t>
  </si>
  <si>
    <t>加速冲向对手，产生少量伤害和减速效果</t>
  </si>
  <si>
    <t>触发概率</t>
  </si>
  <si>
    <t>触发条件</t>
  </si>
  <si>
    <t>触发效果</t>
  </si>
  <si>
    <t>加血总量</t>
  </si>
  <si>
    <t>加血时间</t>
  </si>
  <si>
    <r>
      <rPr>
        <sz val="9"/>
        <color theme="1"/>
        <rFont val="微软雅黑"/>
        <family val="2"/>
        <charset val="134"/>
      </rPr>
      <t>C</t>
    </r>
    <r>
      <rPr>
        <sz val="9"/>
        <color theme="1"/>
        <rFont val="微软雅黑"/>
        <family val="2"/>
        <charset val="134"/>
      </rPr>
      <t>D</t>
    </r>
  </si>
  <si>
    <t>拾取修理</t>
  </si>
  <si>
    <t>获得道具的同时恢复血量</t>
  </si>
  <si>
    <t>拾取</t>
  </si>
  <si>
    <t>反应装甲</t>
  </si>
  <si>
    <t>每当被击中时，会获得一个临时护盾</t>
  </si>
  <si>
    <t>被击回血</t>
  </si>
  <si>
    <t>被击</t>
  </si>
  <si>
    <t>修改概率</t>
  </si>
  <si>
    <t>再生装甲</t>
  </si>
  <si>
    <t>受到严重损伤时触发，回复血量</t>
  </si>
  <si>
    <r>
      <rPr>
        <sz val="9"/>
        <color theme="1"/>
        <rFont val="微软雅黑"/>
        <family val="2"/>
        <charset val="134"/>
      </rPr>
      <t>血量低于3</t>
    </r>
    <r>
      <rPr>
        <sz val="9"/>
        <color theme="1"/>
        <rFont val="微软雅黑"/>
        <family val="2"/>
        <charset val="134"/>
      </rPr>
      <t>0%</t>
    </r>
  </si>
  <si>
    <t>修改血量/时间</t>
  </si>
  <si>
    <t>维修强化</t>
  </si>
  <si>
    <t>受到的修理效果加强，血量越少效果越好</t>
  </si>
  <si>
    <t>加血</t>
  </si>
  <si>
    <t>血越低加血越多</t>
  </si>
  <si>
    <t>最高200%</t>
  </si>
  <si>
    <t>掠夺者</t>
  </si>
  <si>
    <t>持有的积分道具越多，增加越多的伤害减免和移动速度</t>
  </si>
  <si>
    <t>稳固</t>
  </si>
  <si>
    <t>增加正面装甲，减少受击时对瞄准精度的影响</t>
  </si>
  <si>
    <t>受击防护</t>
  </si>
  <si>
    <t>每当被攻击时，便会提升防护（累计）</t>
  </si>
  <si>
    <r>
      <rPr>
        <sz val="9"/>
        <color theme="1"/>
        <rFont val="微软雅黑"/>
        <family val="2"/>
        <charset val="134"/>
      </rPr>
      <t>当前是每被攻击3次增加一层持续</t>
    </r>
    <r>
      <rPr>
        <sz val="9"/>
        <color theme="1"/>
        <rFont val="微软雅黑"/>
        <family val="2"/>
        <charset val="134"/>
      </rPr>
      <t>8秒的增加护甲值的Buff</t>
    </r>
  </si>
  <si>
    <t>击杀装弹</t>
  </si>
  <si>
    <t>消灭一个敌人后，启动快速装弹</t>
  </si>
  <si>
    <t>击杀目标后增加快速装弹技能按钮</t>
  </si>
  <si>
    <t>击杀提速</t>
  </si>
  <si>
    <t>消灭一个敌人后，提升移动速度</t>
  </si>
  <si>
    <r>
      <rPr>
        <sz val="9"/>
        <color theme="1"/>
        <rFont val="微软雅黑"/>
        <family val="2"/>
        <charset val="134"/>
      </rPr>
      <t>击杀目标后提升1</t>
    </r>
    <r>
      <rPr>
        <sz val="9"/>
        <color theme="1"/>
        <rFont val="微软雅黑"/>
        <family val="2"/>
        <charset val="134"/>
      </rPr>
      <t>5%速度持续5秒</t>
    </r>
  </si>
  <si>
    <t>击杀回血</t>
  </si>
  <si>
    <t>消灭一个敌人后，回复血量</t>
  </si>
  <si>
    <r>
      <rPr>
        <sz val="9"/>
        <color theme="1"/>
        <rFont val="微软雅黑"/>
        <family val="2"/>
        <charset val="134"/>
      </rPr>
      <t>击杀目标恢复1</t>
    </r>
    <r>
      <rPr>
        <sz val="9"/>
        <color theme="1"/>
        <rFont val="微软雅黑"/>
        <family val="2"/>
        <charset val="134"/>
      </rPr>
      <t>5%血量</t>
    </r>
  </si>
  <si>
    <t>侵蚀</t>
  </si>
  <si>
    <t>连续攻击降低对手装甲值</t>
  </si>
  <si>
    <r>
      <rPr>
        <sz val="9"/>
        <color theme="1"/>
        <rFont val="微软雅黑"/>
        <family val="2"/>
        <charset val="134"/>
      </rPr>
      <t>每命中3次持续</t>
    </r>
    <r>
      <rPr>
        <sz val="9"/>
        <color theme="1"/>
        <rFont val="微软雅黑"/>
        <family val="2"/>
        <charset val="134"/>
      </rPr>
      <t>10秒的减少10%护甲值Buff</t>
    </r>
  </si>
  <si>
    <t>愤怒</t>
  </si>
  <si>
    <t>当你的坦克严重受损时会提高损害</t>
  </si>
  <si>
    <r>
      <rPr>
        <sz val="9"/>
        <color theme="1"/>
        <rFont val="微软雅黑"/>
        <family val="2"/>
        <charset val="134"/>
      </rPr>
      <t>血量低于3</t>
    </r>
    <r>
      <rPr>
        <sz val="9"/>
        <color theme="1"/>
        <rFont val="微软雅黑"/>
        <family val="2"/>
        <charset val="134"/>
      </rPr>
      <t>0%时增加30%伤害</t>
    </r>
  </si>
  <si>
    <t>磁铁</t>
  </si>
  <si>
    <t>增加拾取道具距离</t>
  </si>
  <si>
    <t>收割者</t>
  </si>
  <si>
    <t>对严重受损的敌人增加伤害</t>
  </si>
  <si>
    <t>点燃</t>
  </si>
  <si>
    <t>点燃目标，随时间推移会造成额外伤害</t>
  </si>
  <si>
    <t>20%攻击力+2%最大血量,只有单次攻击有效,有最大值150</t>
  </si>
  <si>
    <t>击回</t>
  </si>
  <si>
    <t>伤害的30%转化为护盾生命。护盾时间存在7秒，7秒没有攻击敌人则护盾消失</t>
  </si>
  <si>
    <t>注释掉了,没作用</t>
  </si>
  <si>
    <t>猎人</t>
  </si>
  <si>
    <t>提高对敌人侧面和后面的伤害，降低对其前面的伤害</t>
  </si>
  <si>
    <t>小喷 CD15秒 持续时间1秒 加速度增加6倍 速度上限增加2倍</t>
  </si>
  <si>
    <t>工程师</t>
  </si>
  <si>
    <t>提高损坏部件的修复速度</t>
  </si>
  <si>
    <t>抓钩 CD15秒</t>
  </si>
  <si>
    <t>主动防御 CD15秒 持续时间5秒 减伤50%</t>
  </si>
  <si>
    <r>
      <rPr>
        <sz val="9"/>
        <color theme="1"/>
        <rFont val="微软雅黑"/>
        <family val="2"/>
        <charset val="134"/>
      </rPr>
      <t>战术维修 CD30秒 能量上限100 使用技能扣除20 每点恢复0.5%血量上限值的血量 每帧消耗1点能量 释放距离30 中断距离60 连线经过墙会断 使用技能不扣除能量,中断技能扣除剩余能量的50%</t>
    </r>
    <r>
      <rPr>
        <sz val="9"/>
        <color theme="1"/>
        <rFont val="微软雅黑"/>
        <family val="2"/>
        <charset val="134"/>
      </rPr>
      <t>(实际实现为0.25s治疗2%血量或者造成1.5%伤害)</t>
    </r>
  </si>
  <si>
    <t>罐桶炸弹 CD30秒 爆炸范围2米半径 目标血量10%伤害</t>
  </si>
  <si>
    <t>微型导弹 CD30秒 命中目标和飞行到最远距离时均范围伤害 爆炸范围2米半径 目标血量7%伤害</t>
  </si>
  <si>
    <t>总伤害</t>
  </si>
  <si>
    <t>伤害次数</t>
  </si>
  <si>
    <t>每次伤害</t>
  </si>
  <si>
    <t>百分比血量</t>
  </si>
  <si>
    <t>剩余伤害</t>
  </si>
  <si>
    <t>攻击力比</t>
  </si>
  <si>
    <t>拾取道具时恢复5%血量</t>
  </si>
  <si>
    <t>轻</t>
  </si>
  <si>
    <t>每当被击中时有15%的概率增加回血Buff.每秒恢复2%的血量,持续8秒</t>
  </si>
  <si>
    <t>重</t>
  </si>
  <si>
    <t>能把敌人和道具拉向自己，轻坦由于重量太轻，只能把自己拉过去</t>
  </si>
  <si>
    <t>血量低于30%时,每秒恢复2%血量,持续10秒,CD60秒</t>
  </si>
  <si>
    <t>血量恢复加强效果最高200%</t>
  </si>
  <si>
    <t>每持有一个积分道具,增加1%的移动速度和2%的护甲值</t>
  </si>
  <si>
    <t>正面减少15%的伤害,受击缩圈减少30%</t>
  </si>
  <si>
    <t>每受到3次攻击增加10%护甲,持续8秒</t>
  </si>
  <si>
    <t>击杀敌人后,增加快速装弹按钮</t>
  </si>
  <si>
    <t>改成15S累计1个,最多累计3个.初始2个</t>
  </si>
  <si>
    <t>击杀敌人后,增加15%移动速度,持续5秒</t>
  </si>
  <si>
    <t>发射6枚微型导弹</t>
  </si>
  <si>
    <t>击杀敌人后恢复15%血量</t>
  </si>
  <si>
    <t>发射电锯</t>
  </si>
  <si>
    <t>每攻击敌人3次,减少对方10%护甲,持续10秒</t>
  </si>
  <si>
    <t>血量低于30%时,增加30%伤害</t>
  </si>
  <si>
    <t>对于血量低于30%的敌人造成200%伤害</t>
  </si>
  <si>
    <t>小技能</t>
  </si>
  <si>
    <t>大技能</t>
  </si>
  <si>
    <t>被动1</t>
  </si>
  <si>
    <t>被动2</t>
  </si>
  <si>
    <t>被动3</t>
  </si>
  <si>
    <t>技能ID1</t>
  </si>
  <si>
    <t>技能ID2</t>
  </si>
  <si>
    <t>技能ID3</t>
  </si>
  <si>
    <t>技能ID4</t>
  </si>
  <si>
    <t>技能ID5</t>
  </si>
  <si>
    <t>20190711-技能规划</t>
  </si>
  <si>
    <t>坦克正式名字</t>
  </si>
  <si>
    <t>坦克标识id</t>
  </si>
  <si>
    <t>技能1名字</t>
  </si>
  <si>
    <t>技能2名字</t>
  </si>
  <si>
    <t>技能1id</t>
  </si>
  <si>
    <t>技能2id</t>
  </si>
  <si>
    <t>导出数组</t>
  </si>
  <si>
    <t>技能等级上限</t>
  </si>
  <si>
    <t>老id</t>
  </si>
  <si>
    <t>老名字</t>
  </si>
  <si>
    <t>新名字</t>
  </si>
  <si>
    <t>新id</t>
  </si>
  <si>
    <t>主动防御系统</t>
  </si>
  <si>
    <t>炸药桶</t>
  </si>
  <si>
    <t>战术链</t>
  </si>
  <si>
    <t>钩子</t>
  </si>
  <si>
    <t>增加攻击速度</t>
  </si>
  <si>
    <t>最高星级</t>
  </si>
  <si>
    <t>技能等级数</t>
  </si>
  <si>
    <t>技能等级</t>
  </si>
  <si>
    <t>要求坦克星级</t>
  </si>
  <si>
    <t>[2]</t>
  </si>
  <si>
    <t>升星</t>
  </si>
  <si>
    <t>技能点获得</t>
  </si>
  <si>
    <t>技能点消耗</t>
  </si>
  <si>
    <t>[3]</t>
  </si>
  <si>
    <t>[4,4]</t>
  </si>
  <si>
    <t>[5,5]</t>
  </si>
  <si>
    <t>[6,6]</t>
  </si>
  <si>
    <t>军费消耗</t>
  </si>
  <si>
    <t>nameDescribe</t>
  </si>
  <si>
    <t>skillType</t>
  </si>
  <si>
    <t>被动技能规划</t>
  </si>
  <si>
    <t>int</t>
  </si>
  <si>
    <t>string</t>
  </si>
  <si>
    <t>主键</t>
  </si>
  <si>
    <t>技能名字(自用描述)</t>
  </si>
  <si>
    <t>技能类型：1主动 2被动</t>
  </si>
  <si>
    <t>描述</t>
  </si>
  <si>
    <t>null</t>
  </si>
  <si>
    <t>炮膛</t>
  </si>
  <si>
    <t>乘胜追击</t>
  </si>
  <si>
    <t>强化战术链</t>
  </si>
  <si>
    <t>捕食者</t>
  </si>
  <si>
    <t>重生</t>
  </si>
  <si>
    <t>击毁敌人后，增加#{number1}%移动速度，持续#{number2}秒。</t>
  </si>
  <si>
    <t>自动装弹机</t>
  </si>
  <si>
    <t>嗜血</t>
  </si>
  <si>
    <t>弱点识破</t>
  </si>
  <si>
    <t>拾取道具时恢复#{number1}%血量。</t>
  </si>
  <si>
    <t>底盘</t>
  </si>
  <si>
    <t>每当被击中时有15%的概率增加回血Buff。每秒恢复#{number1}%的血量，持续#{number2}秒。</t>
  </si>
  <si>
    <t>发动机</t>
  </si>
  <si>
    <t>血量恢复加强效果最高#{number1}%。</t>
  </si>
  <si>
    <t>血量低于30%时，增加#{number1}%伤害。</t>
  </si>
  <si>
    <t>装甲</t>
  </si>
  <si>
    <t>每受到3次攻击增加#{number1}%护甲，持续#{number2}秒。</t>
  </si>
  <si>
    <t>每持有一个积分道具，增加#{number1}%的移动速度和#{number2}%的护甲值。</t>
  </si>
  <si>
    <t>连锁效应</t>
  </si>
  <si>
    <t>正面减少#{number1}%的伤害，受击缩圈减少#{number2}%。</t>
  </si>
  <si>
    <t>当击毁敌方目标后，获得造成的伤害提升#{number1}%的效果，最高叠加3层，持续#{number2}秒。</t>
  </si>
  <si>
    <t>血量低于30%时，每秒恢复#{number1}%血量，持续10秒，每分钟可触发一次效果。</t>
  </si>
  <si>
    <t>增加拾取道具距离#{number1}米。</t>
  </si>
  <si>
    <t>从出生点可以获得#{number1}%的移动速度加成，持续#{number2}秒</t>
  </si>
  <si>
    <t>击中敌方坦克，会使目标移动速度降低#{number1}%，持续#{number2}秒。</t>
  </si>
  <si>
    <t>普通攻击击中敌方目标会使得主动技能的cd减少#{number1}秒</t>
  </si>
  <si>
    <t>每损失2%的血量，提升#{number1}%的攻击力和#{number2}%的移动速度</t>
  </si>
  <si>
    <t>战术链技能自动弹射到目标半径30米内血量最少的目标，最多弹射#{number1}个目标</t>
  </si>
  <si>
    <t>向前方投掷炸药桶，引发剧烈的爆炸，对敌方造成#{number1}%的平均伤害。</t>
  </si>
  <si>
    <t>坦克马力全开，移动速度提高#{number1}%。</t>
  </si>
  <si>
    <t>对友军坦克释放每秒#{number1}%最大血量的治疗对敌方坦克造成每秒#{number2}%的平均伤害，最高持续#{number3}秒。</t>
  </si>
  <si>
    <t>向前释放一排滚动的电锯，路过的敌方都将受到#{number1}%的平均伤害。</t>
  </si>
  <si>
    <t>按下按键可以发出去一个带抓钩的锁链，击中敌人后会把敌人钩过来，钩中墙壁则是把自己钩过去，钩到道具会把道具钩过来，范围#{number1}米。</t>
  </si>
  <si>
    <t>在坦克前方展开防御罩，抵挡#{number1}%的伤害,持续#{number2}秒。</t>
  </si>
  <si>
    <t>迅速发射六发导弹，威力惊人，每发对敌方造成#{number1}%的平均伤害。</t>
  </si>
  <si>
    <t>发射5枚飞弹，飞弹距离敌方坦克较近距离的时候会自动锁定并攻击敌方，每枚飞弹造成#{number1}%的平均伤害。</t>
  </si>
  <si>
    <t>点击技能进入锁定敌方坦克状态，锁定敌人后再次点击技能发射导弹，导弹总数为5枚，按照锁定敌人数量进行平均分配，每枚导弹造成#{number1}%的平均伤害。</t>
  </si>
  <si>
    <t>战术链弹射主动引导</t>
  </si>
  <si>
    <t>战术链主动引导（非实际技能）</t>
  </si>
  <si>
    <t>平均战斗时间</t>
  </si>
  <si>
    <t>技能伤害规划</t>
  </si>
  <si>
    <t>唯一id</t>
  </si>
  <si>
    <t>后端技能参数1</t>
  </si>
  <si>
    <t>后端技能参数2</t>
  </si>
  <si>
    <t>后端参数序号</t>
  </si>
  <si>
    <t>前端技能参数1</t>
  </si>
  <si>
    <t>前端技能参数2</t>
  </si>
  <si>
    <t>前端技能参数3</t>
  </si>
  <si>
    <t>伤害次数或人数</t>
  </si>
  <si>
    <t>[150]</t>
  </si>
  <si>
    <t xml:space="preserve">点击技能进入锁定敌方坦克状态，锁定敌人后再次点击技能发射导弹，导弹总数为5枚，按照锁定敌人数量进行平均分配，最多锁定#{number1}个敌人，每枚导弹造成#{number2}%的平均伤害。
</t>
  </si>
  <si>
    <t>[3,3,180]</t>
  </si>
  <si>
    <t>[60]</t>
  </si>
  <si>
    <t>[100]</t>
  </si>
  <si>
    <t>[3,30,7]</t>
  </si>
  <si>
    <t>[50]</t>
  </si>
  <si>
    <t>镭射光波</t>
  </si>
  <si>
    <t>对目标方向发射束状光波，对被光波命中的地方单位造成每秒#{number1}%的平均伤害，持续#{number2}秒。</t>
  </si>
  <si>
    <t>坦克默认技能规划</t>
  </si>
  <si>
    <t>持续时间/秒</t>
  </si>
  <si>
    <t>技能数值</t>
  </si>
  <si>
    <t>技能CD/秒</t>
  </si>
  <si>
    <t>换算参数</t>
  </si>
  <si>
    <t>DPS占比计算</t>
  </si>
  <si>
    <t>快速装弹</t>
  </si>
  <si>
    <t>坦克开启快速装弹射击系统，装弹速度提高#{number1}%，射击速度提高#{number1}%。</t>
  </si>
  <si>
    <t>战力指数</t>
  </si>
  <si>
    <r>
      <rPr>
        <sz val="9"/>
        <color theme="1"/>
        <rFont val="微软雅黑"/>
        <family val="2"/>
        <charset val="134"/>
      </rPr>
      <t>sqrt(attack*onminuteShootSpeed*HP/2+(maxpower+minpower)/2*</t>
    </r>
    <r>
      <rPr>
        <sz val="9"/>
        <color theme="1"/>
        <rFont val="微软雅黑"/>
        <family val="2"/>
        <charset val="134"/>
      </rPr>
      <t>armor</t>
    </r>
    <r>
      <rPr>
        <sz val="9"/>
        <color theme="1"/>
        <rFont val="微软雅黑"/>
        <family val="2"/>
        <charset val="134"/>
      </rPr>
      <t>*100</t>
    </r>
    <r>
      <rPr>
        <sz val="9"/>
        <color theme="1"/>
        <rFont val="微软雅黑"/>
        <family val="2"/>
        <charset val="134"/>
      </rPr>
      <t>)</t>
    </r>
  </si>
  <si>
    <t>战力系数</t>
  </si>
  <si>
    <t>开方(坦克伤害*射速*坦克血量/2+(最大穿透力+最小穿透力)/2*坦克装甲*100)</t>
  </si>
  <si>
    <r>
      <rPr>
        <sz val="9"/>
        <color theme="1"/>
        <rFont val="微软雅黑"/>
        <family val="2"/>
        <charset val="134"/>
      </rPr>
      <t>开方(坦克伤害*射速*坦克血量</t>
    </r>
    <r>
      <rPr>
        <sz val="9"/>
        <color theme="1"/>
        <rFont val="微软雅黑"/>
        <family val="2"/>
        <charset val="134"/>
      </rPr>
      <t>*(穿透力/坦克装甲)</t>
    </r>
    <r>
      <rPr>
        <sz val="9"/>
        <color theme="1"/>
        <rFont val="微软雅黑"/>
        <family val="2"/>
        <charset val="134"/>
      </rPr>
      <t>)</t>
    </r>
  </si>
  <si>
    <r>
      <rPr>
        <sz val="9"/>
        <color theme="1"/>
        <rFont val="微软雅黑"/>
        <family val="2"/>
        <charset val="134"/>
      </rPr>
      <t>Power(坦克伤害*射速*坦克血量*</t>
    </r>
    <r>
      <rPr>
        <sz val="9"/>
        <color theme="1"/>
        <rFont val="微软雅黑"/>
        <family val="2"/>
        <charset val="134"/>
      </rPr>
      <t>(最大穿透力+最小穿透力)</t>
    </r>
    <r>
      <rPr>
        <sz val="9"/>
        <color theme="1"/>
        <rFont val="微软雅黑"/>
        <family val="2"/>
        <charset val="134"/>
      </rPr>
      <t>/2</t>
    </r>
    <r>
      <rPr>
        <sz val="9"/>
        <color theme="1"/>
        <rFont val="微软雅黑"/>
        <family val="2"/>
        <charset val="134"/>
      </rPr>
      <t>*坦克装甲</t>
    </r>
    <r>
      <rPr>
        <sz val="9"/>
        <color theme="1"/>
        <rFont val="微软雅黑"/>
        <family val="2"/>
        <charset val="134"/>
      </rPr>
      <t>,0.25</t>
    </r>
    <r>
      <rPr>
        <sz val="9"/>
        <color theme="1"/>
        <rFont val="微软雅黑"/>
        <family val="2"/>
        <charset val="134"/>
      </rPr>
      <t>)</t>
    </r>
  </si>
  <si>
    <t>辅助查询</t>
  </si>
  <si>
    <t>生命系数</t>
  </si>
  <si>
    <t>射速</t>
  </si>
  <si>
    <t>初始战力</t>
  </si>
  <si>
    <t>DPS</t>
  </si>
  <si>
    <t>坦克最终战斗属性</t>
  </si>
  <si>
    <t>最高战力</t>
  </si>
  <si>
    <t>坦克战力变化</t>
  </si>
  <si>
    <t>模拟联赛等级期望战力</t>
  </si>
  <si>
    <t>参考战力1</t>
  </si>
  <si>
    <t>参考战力2</t>
  </si>
  <si>
    <t>参考战力3</t>
  </si>
  <si>
    <t>参考战力4</t>
  </si>
  <si>
    <t>参考战力5</t>
  </si>
  <si>
    <t>参考战力6</t>
  </si>
  <si>
    <t>期望战力</t>
  </si>
  <si>
    <t>模拟战力</t>
  </si>
  <si>
    <t>分段</t>
  </si>
  <si>
    <t>标准战力</t>
  </si>
  <si>
    <t>坦克1</t>
  </si>
  <si>
    <t>坦克2</t>
  </si>
  <si>
    <t>坦克3</t>
  </si>
  <si>
    <t>坦克1细类</t>
  </si>
  <si>
    <t>坦克2细类</t>
  </si>
  <si>
    <t>坦克3细类</t>
  </si>
  <si>
    <t>坦克1星级</t>
  </si>
  <si>
    <t>坦克2星级</t>
  </si>
  <si>
    <t>坦克3星级</t>
  </si>
  <si>
    <t>坦克1部件</t>
  </si>
  <si>
    <t>坦克2部件</t>
  </si>
  <si>
    <t>坦克3部件</t>
  </si>
  <si>
    <t>1部件数量</t>
  </si>
  <si>
    <t>2部件数量</t>
  </si>
  <si>
    <t>3部件数量</t>
  </si>
  <si>
    <t>1部件等级</t>
  </si>
  <si>
    <t>2部件等级</t>
  </si>
  <si>
    <t>3部件等级</t>
  </si>
  <si>
    <t>坦克1战力</t>
  </si>
  <si>
    <t>坦克2战力</t>
  </si>
  <si>
    <t>坦克3战力</t>
  </si>
  <si>
    <t>T111</t>
  </si>
  <si>
    <t>T112</t>
  </si>
  <si>
    <t>T113</t>
  </si>
  <si>
    <t>T221</t>
  </si>
  <si>
    <t>T223</t>
  </si>
  <si>
    <t>T222</t>
  </si>
  <si>
    <t>T233</t>
  </si>
  <si>
    <t>T334</t>
  </si>
  <si>
    <t>T333</t>
  </si>
  <si>
    <t>T441</t>
  </si>
  <si>
    <t>T344</t>
  </si>
  <si>
    <t>T442</t>
  </si>
  <si>
    <t>T443</t>
  </si>
  <si>
    <t>T444</t>
  </si>
  <si>
    <t>T454</t>
  </si>
  <si>
    <t>商店分类</t>
  </si>
  <si>
    <t>刷新间隔</t>
  </si>
  <si>
    <t>产出内容</t>
  </si>
  <si>
    <t>材料商店</t>
  </si>
  <si>
    <t>坦克碎片</t>
  </si>
  <si>
    <t>军费商店</t>
  </si>
  <si>
    <t>钻石商店</t>
  </si>
  <si>
    <t>玩家期望</t>
  </si>
  <si>
    <r>
      <rPr>
        <sz val="9"/>
        <color theme="1"/>
        <rFont val="微软雅黑"/>
        <family val="2"/>
        <charset val="134"/>
      </rPr>
      <t>开放Tier</t>
    </r>
    <r>
      <rPr>
        <sz val="9"/>
        <color theme="1"/>
        <rFont val="微软雅黑"/>
        <family val="2"/>
        <charset val="134"/>
      </rPr>
      <t>1</t>
    </r>
  </si>
  <si>
    <r>
      <rPr>
        <sz val="9"/>
        <color theme="1"/>
        <rFont val="微软雅黑"/>
        <family val="2"/>
        <charset val="134"/>
      </rPr>
      <t>开放Tier</t>
    </r>
    <r>
      <rPr>
        <sz val="9"/>
        <color theme="1"/>
        <rFont val="微软雅黑"/>
        <family val="2"/>
        <charset val="134"/>
      </rPr>
      <t>2</t>
    </r>
  </si>
  <si>
    <r>
      <rPr>
        <sz val="9"/>
        <color theme="1"/>
        <rFont val="微软雅黑"/>
        <family val="2"/>
        <charset val="134"/>
      </rPr>
      <t>开放Tier</t>
    </r>
    <r>
      <rPr>
        <sz val="9"/>
        <color theme="1"/>
        <rFont val="微软雅黑"/>
        <family val="2"/>
        <charset val="134"/>
      </rPr>
      <t>3</t>
    </r>
  </si>
  <si>
    <t>exchange_donor_email_title</t>
  </si>
  <si>
    <t>获取时间</t>
  </si>
  <si>
    <t>合成碎片</t>
  </si>
  <si>
    <t>每天个数</t>
  </si>
  <si>
    <t>坦克种类</t>
  </si>
  <si>
    <t>定向系数</t>
  </si>
  <si>
    <t>售卖上限</t>
  </si>
  <si>
    <t>每日优化</t>
  </si>
  <si>
    <t>商品数量</t>
  </si>
  <si>
    <t>8折概率</t>
  </si>
  <si>
    <t>5折概率</t>
  </si>
  <si>
    <t>打折概率</t>
  </si>
  <si>
    <t>标准价值</t>
  </si>
  <si>
    <t>坦克分类</t>
  </si>
  <si>
    <t>坦克价值衰减</t>
  </si>
  <si>
    <t>道具类型</t>
  </si>
  <si>
    <t>钻石数目</t>
  </si>
  <si>
    <t>回收系数</t>
  </si>
  <si>
    <t>回收价值</t>
  </si>
  <si>
    <t>回收军费</t>
  </si>
  <si>
    <t>坦克型号</t>
  </si>
  <si>
    <t>产出坦克1</t>
  </si>
  <si>
    <t>产出坦克2</t>
  </si>
  <si>
    <t>产出坦克3</t>
  </si>
  <si>
    <t>需求坦克1</t>
  </si>
  <si>
    <t>需求坦克2</t>
  </si>
  <si>
    <t>需求坦克3</t>
  </si>
  <si>
    <t>T4部件</t>
  </si>
  <si>
    <t>T5部件</t>
  </si>
  <si>
    <t>T1低碎片</t>
  </si>
  <si>
    <t>T2低碎片</t>
  </si>
  <si>
    <t>坦克价值</t>
  </si>
  <si>
    <t>T2中碎片</t>
  </si>
  <si>
    <t>T3低碎片</t>
  </si>
  <si>
    <t>T3中碎片</t>
  </si>
  <si>
    <t>T3高碎片</t>
  </si>
  <si>
    <t>T4低碎片</t>
  </si>
  <si>
    <t>T4中碎片</t>
  </si>
  <si>
    <t>T4高碎片</t>
  </si>
  <si>
    <t>T5低碎片</t>
  </si>
  <si>
    <t>T5中碎片</t>
  </si>
  <si>
    <t>T5高碎片</t>
  </si>
  <si>
    <t>基础价值</t>
  </si>
  <si>
    <t>商店价值</t>
  </si>
  <si>
    <t>时间长度(分)</t>
  </si>
  <si>
    <t>打折系数</t>
  </si>
  <si>
    <t>坦克碎片价值</t>
  </si>
  <si>
    <t>加速倍数</t>
  </si>
  <si>
    <t>标准秒时间钻石花费</t>
  </si>
  <si>
    <t>时间系数</t>
  </si>
  <si>
    <t>道具名称</t>
  </si>
  <si>
    <t>现实时间</t>
  </si>
  <si>
    <t>秒价值</t>
  </si>
  <si>
    <t>现实价值</t>
  </si>
  <si>
    <t>价格</t>
  </si>
  <si>
    <t>全队列价格</t>
  </si>
  <si>
    <r>
      <rPr>
        <sz val="9"/>
        <color theme="1"/>
        <rFont val="微软雅黑"/>
        <family val="2"/>
        <charset val="134"/>
      </rPr>
      <t>3倍加速</t>
    </r>
    <r>
      <rPr>
        <sz val="9"/>
        <color theme="1"/>
        <rFont val="微软雅黑"/>
        <family val="2"/>
        <charset val="134"/>
      </rPr>
      <t>2</t>
    </r>
  </si>
  <si>
    <t>5倍加速1</t>
  </si>
  <si>
    <t>5倍加速2</t>
  </si>
  <si>
    <t>5倍加速3</t>
  </si>
  <si>
    <t>8倍加速1</t>
  </si>
  <si>
    <t>8倍加速2</t>
  </si>
  <si>
    <t>8倍加速3</t>
  </si>
  <si>
    <t>货币价值</t>
  </si>
  <si>
    <t>军费售卖</t>
  </si>
  <si>
    <t>钥匙售卖</t>
  </si>
  <si>
    <t>双钥售卖</t>
  </si>
  <si>
    <t>军费价格</t>
  </si>
  <si>
    <t>出售系数</t>
  </si>
  <si>
    <t>军费数量</t>
  </si>
  <si>
    <t>取整系数</t>
  </si>
  <si>
    <t>实际每钻</t>
  </si>
  <si>
    <t>新版军费数量</t>
  </si>
  <si>
    <t>钻石价值</t>
  </si>
  <si>
    <t>档位</t>
  </si>
  <si>
    <t>美金</t>
  </si>
  <si>
    <t>双钥天数</t>
  </si>
  <si>
    <t>双钥数量</t>
  </si>
  <si>
    <t>双钥价格</t>
  </si>
  <si>
    <t>实际价格</t>
  </si>
  <si>
    <t>BattlePass代币价值</t>
  </si>
  <si>
    <t>代币数</t>
  </si>
  <si>
    <t>钻石单价</t>
  </si>
  <si>
    <t>补偿价值</t>
  </si>
  <si>
    <t>物品1</t>
  </si>
  <si>
    <t>数量1</t>
  </si>
  <si>
    <t>物品2</t>
  </si>
  <si>
    <t>数量2</t>
  </si>
  <si>
    <t>物品3</t>
  </si>
  <si>
    <t>数量3</t>
  </si>
  <si>
    <t>价值/钻石</t>
  </si>
  <si>
    <t>价值/美金</t>
  </si>
  <si>
    <t>部件价值</t>
  </si>
  <si>
    <t>部件品质</t>
  </si>
  <si>
    <t>出售价格</t>
  </si>
  <si>
    <t>货币名称</t>
  </si>
  <si>
    <t>货币ID</t>
  </si>
  <si>
    <t>图标ID</t>
  </si>
  <si>
    <t>StoreDiamond_1</t>
  </si>
  <si>
    <t>Diamond</t>
  </si>
  <si>
    <t>StoreFund_3</t>
  </si>
  <si>
    <t>Funds</t>
  </si>
  <si>
    <t>经验</t>
  </si>
  <si>
    <t>public_icon_handbook_exp</t>
  </si>
  <si>
    <t>科技值</t>
  </si>
  <si>
    <t>resource_icon_techpoint</t>
  </si>
  <si>
    <t>resource_icon_key</t>
  </si>
  <si>
    <t>联赛积分</t>
  </si>
  <si>
    <t>public_icon_league_legion</t>
  </si>
  <si>
    <t>军团贡献值</t>
  </si>
  <si>
    <t>public_icon_shard</t>
  </si>
  <si>
    <t>public_icon_handbook_unlock_icon</t>
  </si>
  <si>
    <t>钥匙槽</t>
  </si>
  <si>
    <t>图鉴经验</t>
  </si>
  <si>
    <t>StoreDoubleKey_1</t>
  </si>
  <si>
    <t>DoubleKeys</t>
  </si>
  <si>
    <t>坦克ID</t>
  </si>
  <si>
    <t>碎片ID</t>
  </si>
  <si>
    <t>售卖ID</t>
  </si>
  <si>
    <t>StoreQuikenItem_1</t>
  </si>
  <si>
    <r>
      <rPr>
        <sz val="9"/>
        <color theme="1"/>
        <rFont val="微软雅黑"/>
        <family val="2"/>
        <charset val="134"/>
      </rPr>
      <t>1</t>
    </r>
    <r>
      <rPr>
        <sz val="9"/>
        <color theme="1"/>
        <rFont val="微软雅黑"/>
        <family val="2"/>
        <charset val="134"/>
      </rPr>
      <t>H</t>
    </r>
    <r>
      <rPr>
        <sz val="9"/>
        <color theme="1"/>
        <rFont val="微软雅黑"/>
        <family val="2"/>
        <charset val="134"/>
      </rPr>
      <t>_X3_Accelerater</t>
    </r>
  </si>
  <si>
    <t>StoreQuikenItem_2</t>
  </si>
  <si>
    <t>StoreQuikenItem_3</t>
  </si>
  <si>
    <t>涂装简写</t>
  </si>
  <si>
    <t>对应涂装</t>
  </si>
  <si>
    <t>T2低轻贴三</t>
  </si>
  <si>
    <t>ii-S-1-T</t>
  </si>
  <si>
    <t>T2低中贴三</t>
  </si>
  <si>
    <t>t34-S-1-T</t>
  </si>
  <si>
    <t>T2低重贴三</t>
  </si>
  <si>
    <t>kv1-S-1-T</t>
  </si>
  <si>
    <t>T2低轻贴永</t>
  </si>
  <si>
    <t>ii-S-1-F</t>
  </si>
  <si>
    <t>T2低中贴永</t>
  </si>
  <si>
    <t>t34-S-1-F</t>
  </si>
  <si>
    <t>T2低重贴永</t>
  </si>
  <si>
    <t>kv1-S-1-F</t>
  </si>
  <si>
    <t>T2中轻贴三</t>
  </si>
  <si>
    <t>sdkfz234-S-1-T</t>
  </si>
  <si>
    <t>T2中中贴三</t>
  </si>
  <si>
    <t>iv-S-1-T</t>
  </si>
  <si>
    <t>T2中重贴三</t>
  </si>
  <si>
    <t>churchill-S-1-T</t>
  </si>
  <si>
    <t>雷诺FT碎片</t>
  </si>
  <si>
    <t>shard_ft17</t>
  </si>
  <si>
    <t>T2中轻贴永</t>
  </si>
  <si>
    <t>sdkfz234-S-1-F</t>
  </si>
  <si>
    <t>二号碎片</t>
  </si>
  <si>
    <t>shard_ii</t>
  </si>
  <si>
    <t>T2中中贴永</t>
  </si>
  <si>
    <t>iv-S-1-F</t>
  </si>
  <si>
    <t>Puma碎片</t>
  </si>
  <si>
    <t>shard_sdkfz234</t>
  </si>
  <si>
    <t>Gulon Shard</t>
  </si>
  <si>
    <t>T2中重贴永</t>
  </si>
  <si>
    <t>churchill-S-1-F</t>
  </si>
  <si>
    <t>35(t)碎片</t>
  </si>
  <si>
    <t>shard_35t</t>
  </si>
  <si>
    <t>T2低轻图三</t>
  </si>
  <si>
    <t>ii-S-2-T</t>
  </si>
  <si>
    <t>十字军碎片</t>
  </si>
  <si>
    <t>shard_crusader</t>
  </si>
  <si>
    <t>T2低中图三</t>
  </si>
  <si>
    <t>t34-S-2-T</t>
  </si>
  <si>
    <t>AMX-13碎片</t>
  </si>
  <si>
    <t>shard_amx13</t>
  </si>
  <si>
    <t>T2低重图三</t>
  </si>
  <si>
    <t>kv1-S-2-T</t>
  </si>
  <si>
    <t>T2低轻图永</t>
  </si>
  <si>
    <t>ii-S-2-F</t>
  </si>
  <si>
    <t>M-41碎片</t>
  </si>
  <si>
    <t>shard_m41</t>
  </si>
  <si>
    <t>T2低中图永</t>
  </si>
  <si>
    <t>t34-S-2-F</t>
  </si>
  <si>
    <t>BMP-3碎片</t>
  </si>
  <si>
    <t>shard_bmp-3</t>
  </si>
  <si>
    <t>T2低重图永</t>
  </si>
  <si>
    <t>kv1-S-2-F</t>
  </si>
  <si>
    <t>59式碎片</t>
  </si>
  <si>
    <t>shard_59</t>
  </si>
  <si>
    <t>T2中轻图三</t>
  </si>
  <si>
    <t>sdkfz234-S-2-T</t>
  </si>
  <si>
    <t>Stuart碎片</t>
  </si>
  <si>
    <t>shard_stuart</t>
  </si>
  <si>
    <t>T2中中图三</t>
  </si>
  <si>
    <t>iv-S-2-T</t>
  </si>
  <si>
    <t>T-34碎片</t>
  </si>
  <si>
    <t>shard_t34</t>
  </si>
  <si>
    <t>T2中重图三</t>
  </si>
  <si>
    <t>churchill-S-2-T</t>
  </si>
  <si>
    <t>四号碎片</t>
  </si>
  <si>
    <t>shard_iv</t>
  </si>
  <si>
    <t>Minotaur Shard</t>
  </si>
  <si>
    <t>T2中轻图永</t>
  </si>
  <si>
    <t>sdkfz234-S-2-F</t>
  </si>
  <si>
    <t>玛蒂尔达碎片</t>
  </si>
  <si>
    <t>shard_mathilda</t>
  </si>
  <si>
    <t>T2中中图永</t>
  </si>
  <si>
    <t>iv-S-2-F</t>
  </si>
  <si>
    <t>谢尔曼碎片</t>
  </si>
  <si>
    <t>shard_m4</t>
  </si>
  <si>
    <t>T2中重图永</t>
  </si>
  <si>
    <t>churchill-S-2-F</t>
  </si>
  <si>
    <t>彗星碎片</t>
  </si>
  <si>
    <t>shard_comet</t>
  </si>
  <si>
    <t>T3低轻贴三</t>
  </si>
  <si>
    <t>35t-S-1-T</t>
  </si>
  <si>
    <t>M-48碎片</t>
  </si>
  <si>
    <t>shard_m48</t>
  </si>
  <si>
    <t>T3低中贴三</t>
  </si>
  <si>
    <t>mathilda-S-1-T</t>
  </si>
  <si>
    <t>潘兴碎片</t>
  </si>
  <si>
    <t>shard_m26</t>
  </si>
  <si>
    <t>T3低重贴三</t>
  </si>
  <si>
    <t>panzer-v-S-1-T</t>
  </si>
  <si>
    <t>百夫长碎片</t>
  </si>
  <si>
    <t>shard_centurion</t>
  </si>
  <si>
    <t>T3低轻贴半</t>
  </si>
  <si>
    <t>35t-S-1-H</t>
  </si>
  <si>
    <t>挑战者碎片</t>
  </si>
  <si>
    <t>shard_challenger1</t>
  </si>
  <si>
    <t>T3低中贴半</t>
  </si>
  <si>
    <t>mathilda-S-1-H</t>
  </si>
  <si>
    <t>shard_b1</t>
  </si>
  <si>
    <t>T3低重贴半</t>
  </si>
  <si>
    <t>panzer-v-S-1-H</t>
  </si>
  <si>
    <t>KV-1碎片</t>
  </si>
  <si>
    <t>shard_kv1</t>
  </si>
  <si>
    <t>T3低轻贴永</t>
  </si>
  <si>
    <t>35t-S-1-F</t>
  </si>
  <si>
    <t>丘吉尔碎片</t>
  </si>
  <si>
    <t>shard_churchill</t>
  </si>
  <si>
    <t>Wyrm Shard</t>
  </si>
  <si>
    <t>T3低中贴永</t>
  </si>
  <si>
    <t>mathilda-S-1-F</t>
  </si>
  <si>
    <t>黑豹碎片</t>
  </si>
  <si>
    <t>shard_panzer-v</t>
  </si>
  <si>
    <t>T3低重贴永</t>
  </si>
  <si>
    <t>panzer-v-S-1-F</t>
  </si>
  <si>
    <t>虎式碎片</t>
  </si>
  <si>
    <t>shard_tiger</t>
  </si>
  <si>
    <t>T3低轻图三</t>
  </si>
  <si>
    <t>35t-S-2-T</t>
  </si>
  <si>
    <t>KV-2碎片</t>
  </si>
  <si>
    <t>shard_kv2</t>
  </si>
  <si>
    <t>T3低中图三</t>
  </si>
  <si>
    <t>mathilda-S-2-T</t>
  </si>
  <si>
    <t>征服者碎片</t>
  </si>
  <si>
    <t>shard_fv214</t>
  </si>
  <si>
    <t>T3低重图三</t>
  </si>
  <si>
    <t>panzer-v-S-2-T</t>
  </si>
  <si>
    <t>IS-4碎片</t>
  </si>
  <si>
    <t>shard_is4</t>
  </si>
  <si>
    <t>T3低轻图半</t>
  </si>
  <si>
    <t>35t-S-2-H</t>
  </si>
  <si>
    <t>T-32碎片</t>
  </si>
  <si>
    <t>shard_t32</t>
  </si>
  <si>
    <t>T3低中图半</t>
  </si>
  <si>
    <t>mathilda-S-2-H</t>
  </si>
  <si>
    <t>M1A2碎片</t>
  </si>
  <si>
    <t>shard_m1a2</t>
  </si>
  <si>
    <t>T3低重图半</t>
  </si>
  <si>
    <t>panzer-v-S-2-H</t>
  </si>
  <si>
    <t>shard_pziii</t>
  </si>
  <si>
    <t>T3低轻图永</t>
  </si>
  <si>
    <t>35t-S-2-F</t>
  </si>
  <si>
    <t>T3低中图永</t>
  </si>
  <si>
    <t>mathilda-S-2-F</t>
  </si>
  <si>
    <t>ii-rd1</t>
  </si>
  <si>
    <t>T3低重图永</t>
  </si>
  <si>
    <t>panzer-v-S-2-F</t>
  </si>
  <si>
    <t>t34-rd1</t>
  </si>
  <si>
    <t>T3中轻贴三</t>
  </si>
  <si>
    <t>crusader-S-1-T</t>
  </si>
  <si>
    <t>b1-rd1</t>
  </si>
  <si>
    <t>T3中中贴三</t>
  </si>
  <si>
    <t>m4-S-1-T</t>
  </si>
  <si>
    <t>T3中重贴三</t>
  </si>
  <si>
    <t>tiger-S-1-T</t>
  </si>
  <si>
    <t>T3中轻贴半</t>
  </si>
  <si>
    <t>crusader-S-1-H</t>
  </si>
  <si>
    <t>T3中中贴半</t>
  </si>
  <si>
    <t>m4-S-1-H</t>
  </si>
  <si>
    <t>sdkfz234-rd1</t>
  </si>
  <si>
    <t>T3中重贴半</t>
  </si>
  <si>
    <t>tiger-S-1-H</t>
  </si>
  <si>
    <t>iv-rd1</t>
  </si>
  <si>
    <t>T3中轻贴永</t>
  </si>
  <si>
    <t>crusader-S-1-F</t>
  </si>
  <si>
    <t>churchill-rd1</t>
  </si>
  <si>
    <t>T3中中贴永</t>
  </si>
  <si>
    <t>m4-S-1-F</t>
  </si>
  <si>
    <t>T3中重贴永</t>
  </si>
  <si>
    <t>tiger-S-1-F</t>
  </si>
  <si>
    <t>T3中轻图三</t>
  </si>
  <si>
    <t>crusader-S-2-T</t>
  </si>
  <si>
    <t>T3中中图三</t>
  </si>
  <si>
    <t>m4-S-2-T</t>
  </si>
  <si>
    <t>pziii-rd2</t>
  </si>
  <si>
    <t>T3中重图三</t>
  </si>
  <si>
    <t>tiger-S-2-T</t>
  </si>
  <si>
    <t>t34-rd2</t>
  </si>
  <si>
    <t>T3中轻图半</t>
  </si>
  <si>
    <t>crusader-S-2-H</t>
  </si>
  <si>
    <t>b1-rd2</t>
  </si>
  <si>
    <t>T3中中图半</t>
  </si>
  <si>
    <t>m4-S-2-H</t>
  </si>
  <si>
    <t>T3中重图半</t>
  </si>
  <si>
    <t>tiger-S-2-H</t>
  </si>
  <si>
    <t>T3中轻图永</t>
  </si>
  <si>
    <t>crusader-S-2-F</t>
  </si>
  <si>
    <t>T3中中图永</t>
  </si>
  <si>
    <t>m4-S-2-F</t>
  </si>
  <si>
    <t>sdkfz234-rd2</t>
  </si>
  <si>
    <t>T3中重图永</t>
  </si>
  <si>
    <t>tiger-S-2-F</t>
  </si>
  <si>
    <t>iv-rd2</t>
  </si>
  <si>
    <t>T3高轻贴三</t>
  </si>
  <si>
    <t>amx13-S-1-T</t>
  </si>
  <si>
    <t>churchill-rd2</t>
  </si>
  <si>
    <t>T3高中贴三</t>
  </si>
  <si>
    <t>comet-S-1-T</t>
  </si>
  <si>
    <t>T3高重贴三</t>
  </si>
  <si>
    <t>kv2-S-1-T</t>
  </si>
  <si>
    <t>T3高轻贴半</t>
  </si>
  <si>
    <t>amx13-S-1-H</t>
  </si>
  <si>
    <t>T3高中贴半</t>
  </si>
  <si>
    <t>comet-S-1-H</t>
  </si>
  <si>
    <t>35t-rd1</t>
  </si>
  <si>
    <t>T3高重贴半</t>
  </si>
  <si>
    <t>kv2-S-1-H</t>
  </si>
  <si>
    <t>mathilda-rd1</t>
  </si>
  <si>
    <t>T3高轻贴永</t>
  </si>
  <si>
    <t>amx13-S-1-F</t>
  </si>
  <si>
    <t>panzer-v-rd1</t>
  </si>
  <si>
    <t>T3高中贴永</t>
  </si>
  <si>
    <t>comet-S-1-F</t>
  </si>
  <si>
    <t>T3高重贴永</t>
  </si>
  <si>
    <t>kv2-S-1-F</t>
  </si>
  <si>
    <t>T3高轻图三</t>
  </si>
  <si>
    <t>amx13-S-2-T</t>
  </si>
  <si>
    <t>T3高中图三</t>
  </si>
  <si>
    <t>comet-S-2-T</t>
  </si>
  <si>
    <t>T3高重图三</t>
  </si>
  <si>
    <t>kv2-S-2-T</t>
  </si>
  <si>
    <t>T3高轻图半</t>
  </si>
  <si>
    <t>amx13-S-2-H</t>
  </si>
  <si>
    <t>T3高中图半</t>
  </si>
  <si>
    <t>comet-S-2-H</t>
  </si>
  <si>
    <t>35t-rd2</t>
  </si>
  <si>
    <t>T3高重图半</t>
  </si>
  <si>
    <t>kv2-S-2-H</t>
  </si>
  <si>
    <t>mathilda-rd2</t>
  </si>
  <si>
    <t>T3高轻图永</t>
  </si>
  <si>
    <t>amx13-S-2-F</t>
  </si>
  <si>
    <t>tiger-e-rd2</t>
  </si>
  <si>
    <t>T3高中图永</t>
  </si>
  <si>
    <t>comet-S-2-F</t>
  </si>
  <si>
    <t>T3高重图永</t>
  </si>
  <si>
    <t>kv2-S-2-F</t>
  </si>
  <si>
    <t>T4低轻贴三</t>
  </si>
  <si>
    <t>m24-S-1-T</t>
  </si>
  <si>
    <t>T4低中贴三</t>
  </si>
  <si>
    <t>m48-S-1-T</t>
  </si>
  <si>
    <t>T4低重贴三</t>
  </si>
  <si>
    <t>fv214-S-1-T</t>
  </si>
  <si>
    <t>T4低轻贴半</t>
  </si>
  <si>
    <t>m24-S-1-H</t>
  </si>
  <si>
    <t>T4低中贴半</t>
  </si>
  <si>
    <t>m48-S-1-H</t>
  </si>
  <si>
    <t>crusader-rd1</t>
  </si>
  <si>
    <t>T4低重贴半</t>
  </si>
  <si>
    <t>fv214-S-1-H</t>
  </si>
  <si>
    <t>m4-rd1</t>
  </si>
  <si>
    <t>T4低轻贴永</t>
  </si>
  <si>
    <t>m24-S-1-F</t>
  </si>
  <si>
    <t>tiger-rd1</t>
  </si>
  <si>
    <t>T4低中贴永</t>
  </si>
  <si>
    <t>m48-S-1-F</t>
  </si>
  <si>
    <t>T4低重贴永</t>
  </si>
  <si>
    <t>fv214-S-1-F</t>
  </si>
  <si>
    <t>T4低轻图三</t>
  </si>
  <si>
    <t>m24-S-2-T</t>
  </si>
  <si>
    <t>T4低中图三</t>
  </si>
  <si>
    <t>m48-S-2-T</t>
  </si>
  <si>
    <t>T4低重图三</t>
  </si>
  <si>
    <t>fv214-S-2-T</t>
  </si>
  <si>
    <t>T4低轻图半</t>
  </si>
  <si>
    <t>m24-S-2-H</t>
  </si>
  <si>
    <t>T4低中图半</t>
  </si>
  <si>
    <t>m48-S-2-H</t>
  </si>
  <si>
    <t>crusader-rd2</t>
  </si>
  <si>
    <t>T4低重图半</t>
  </si>
  <si>
    <t>fv214-S-2-H</t>
  </si>
  <si>
    <t>m4-rd2</t>
  </si>
  <si>
    <t>T4低轻图永</t>
  </si>
  <si>
    <t>m24-S-2-F</t>
  </si>
  <si>
    <t>tiger-rd2</t>
  </si>
  <si>
    <t>T4低中图永</t>
  </si>
  <si>
    <t>m48-S-2-F</t>
  </si>
  <si>
    <t>T4低重图永</t>
  </si>
  <si>
    <t>fv214-S-2-F</t>
  </si>
  <si>
    <t>T4中轻贴三</t>
  </si>
  <si>
    <t>m41-S-1-T</t>
  </si>
  <si>
    <t>T4中中贴三</t>
  </si>
  <si>
    <t>m26-S-1-T</t>
  </si>
  <si>
    <t>T4中重贴三</t>
  </si>
  <si>
    <t>is4-S-1-T</t>
  </si>
  <si>
    <t>T4中轻贴半</t>
  </si>
  <si>
    <t>m41-S-1-H</t>
  </si>
  <si>
    <t>T4中中贴半</t>
  </si>
  <si>
    <t>m26-S-1-H</t>
  </si>
  <si>
    <t>amx13-rd1</t>
  </si>
  <si>
    <t>T4中重贴半</t>
  </si>
  <si>
    <t>is4-S-1-H</t>
  </si>
  <si>
    <t>comet-rd1</t>
  </si>
  <si>
    <t>T4中轻贴永</t>
  </si>
  <si>
    <t>m41-S-1-F</t>
  </si>
  <si>
    <t>kv2-rd1</t>
  </si>
  <si>
    <t>T4中中贴永</t>
  </si>
  <si>
    <t>m26-S-1-F</t>
  </si>
  <si>
    <t>T4中重贴永</t>
  </si>
  <si>
    <t>is4-S-1-F</t>
  </si>
  <si>
    <t>T4中轻图三</t>
  </si>
  <si>
    <t>m41-S-2-T</t>
  </si>
  <si>
    <t>T4中中图三</t>
  </si>
  <si>
    <t>m26-S-2-T</t>
  </si>
  <si>
    <t>T4中重图三</t>
  </si>
  <si>
    <t>is4-S-2-T</t>
  </si>
  <si>
    <t>T4中轻图半</t>
  </si>
  <si>
    <t>m41-S-2-H</t>
  </si>
  <si>
    <t>T4中中图半</t>
  </si>
  <si>
    <t>m26-S-2-H</t>
  </si>
  <si>
    <t>amx13-rd2</t>
  </si>
  <si>
    <t>T4中重图半</t>
  </si>
  <si>
    <t>is4-S-2-H</t>
  </si>
  <si>
    <t>comet-rd2</t>
  </si>
  <si>
    <t>T4中轻图永</t>
  </si>
  <si>
    <t>m41-S-2-F</t>
  </si>
  <si>
    <t>kv2-rd2</t>
  </si>
  <si>
    <t>T4中中图永</t>
  </si>
  <si>
    <t>m26-S-2-F</t>
  </si>
  <si>
    <t>T4中重图永</t>
  </si>
  <si>
    <t>is4-S-2-F</t>
  </si>
  <si>
    <t>T4高轻贴三</t>
  </si>
  <si>
    <t>bmp-3-S-1-T</t>
  </si>
  <si>
    <t>T4高中贴三</t>
  </si>
  <si>
    <t>centurion-S-1-T</t>
  </si>
  <si>
    <t>T4高重贴三</t>
  </si>
  <si>
    <t>t32-S-1-T</t>
  </si>
  <si>
    <t>T4高轻贴半</t>
  </si>
  <si>
    <t>bmp-3-S-1-H</t>
  </si>
  <si>
    <t>T4高中贴半</t>
  </si>
  <si>
    <t>centurion-S-1-H</t>
  </si>
  <si>
    <t>m24-rd1</t>
  </si>
  <si>
    <t>T4高重贴半</t>
  </si>
  <si>
    <t>t32-S-1-H</t>
  </si>
  <si>
    <t>m48-rd1</t>
  </si>
  <si>
    <t>T4高轻贴永</t>
  </si>
  <si>
    <t>bmp-3-S-1-F</t>
  </si>
  <si>
    <t>fv214-rd1</t>
  </si>
  <si>
    <t>T4高中贴永</t>
  </si>
  <si>
    <t>centurion-S-1-F</t>
  </si>
  <si>
    <t>T4高重贴永</t>
  </si>
  <si>
    <t>t32-S-1-F</t>
  </si>
  <si>
    <t>T4高轻图三</t>
  </si>
  <si>
    <t>bmp-3-S-2-T</t>
  </si>
  <si>
    <t>T4高中图三</t>
  </si>
  <si>
    <t>centurion-S-2-T</t>
  </si>
  <si>
    <t>T4高重图三</t>
  </si>
  <si>
    <t>t32-S-2-T</t>
  </si>
  <si>
    <t>T4高轻图半</t>
  </si>
  <si>
    <t>bmp-3-S-2-H</t>
  </si>
  <si>
    <t>T4高中图半</t>
  </si>
  <si>
    <t>centurion-S-2-H</t>
  </si>
  <si>
    <t>m24-rd2</t>
  </si>
  <si>
    <t>T4高重图半</t>
  </si>
  <si>
    <t>t32-S-2-H</t>
  </si>
  <si>
    <t>m48-rd2</t>
  </si>
  <si>
    <t>T4高轻图永</t>
  </si>
  <si>
    <t>bmp-3-S-2-F</t>
  </si>
  <si>
    <t>fv214-rd2</t>
  </si>
  <si>
    <t>T4高中图永</t>
  </si>
  <si>
    <t>centurion-S-2-F</t>
  </si>
  <si>
    <t>T4高重图永</t>
  </si>
  <si>
    <t>t32-S-2-F</t>
  </si>
  <si>
    <t>T5低轻贴三</t>
  </si>
  <si>
    <t>59-S-1-T</t>
  </si>
  <si>
    <t>T5低中贴三</t>
  </si>
  <si>
    <t>challenger1-S-1-T</t>
  </si>
  <si>
    <t>T5低重贴三</t>
  </si>
  <si>
    <t>m1a2-S-1-T</t>
  </si>
  <si>
    <t>T5低轻贴半</t>
  </si>
  <si>
    <t>59-S-1-H</t>
  </si>
  <si>
    <t>T5低中贴半</t>
  </si>
  <si>
    <t>challenger1-S-1-H</t>
  </si>
  <si>
    <t>m41-rd1</t>
  </si>
  <si>
    <t>T5低重贴半</t>
  </si>
  <si>
    <t>m1a2-S-1-H</t>
  </si>
  <si>
    <t>m26-rd1</t>
  </si>
  <si>
    <t>T5低轻贴永</t>
  </si>
  <si>
    <t>59-S-1-F</t>
  </si>
  <si>
    <t>is4-rd1</t>
  </si>
  <si>
    <t>T5低中贴永</t>
  </si>
  <si>
    <t>challenger1-S-1-F</t>
  </si>
  <si>
    <t>T5低重贴永</t>
  </si>
  <si>
    <t>m1a2-S-1-F</t>
  </si>
  <si>
    <t>T5低轻图三</t>
  </si>
  <si>
    <t>59-S-2-T</t>
  </si>
  <si>
    <t>T5低中图三</t>
  </si>
  <si>
    <t>challenger1-S-2-T</t>
  </si>
  <si>
    <t>T5低重图三</t>
  </si>
  <si>
    <t>m1a2-S-2-T</t>
  </si>
  <si>
    <t>T5低轻图半</t>
  </si>
  <si>
    <t>59-S-2-H</t>
  </si>
  <si>
    <t>T5低中图半</t>
  </si>
  <si>
    <t>challenger1-S-2-H</t>
  </si>
  <si>
    <t>m41-rd2</t>
  </si>
  <si>
    <t>T5低重图半</t>
  </si>
  <si>
    <t>m1a2-S-2-H</t>
  </si>
  <si>
    <t>m26-rd2</t>
  </si>
  <si>
    <t>T5低轻图永</t>
  </si>
  <si>
    <t>59-S-2-F</t>
  </si>
  <si>
    <t>is4-rd2</t>
  </si>
  <si>
    <t>T5低中图永</t>
  </si>
  <si>
    <t>challenger1-S-2-F</t>
  </si>
  <si>
    <t>T5低重图永</t>
  </si>
  <si>
    <t>m1a2-S-2-F</t>
  </si>
  <si>
    <t>低材料</t>
  </si>
  <si>
    <t>中材料</t>
  </si>
  <si>
    <t>bmp-3-rd1</t>
  </si>
  <si>
    <t>高材料</t>
  </si>
  <si>
    <t>centurion-rd1</t>
  </si>
  <si>
    <t>t32-rd1</t>
  </si>
  <si>
    <t>部件名称</t>
  </si>
  <si>
    <t>部件ID</t>
  </si>
  <si>
    <t>bmp-3-rd2</t>
  </si>
  <si>
    <t>centurion-rd2</t>
  </si>
  <si>
    <t>t32-rd2</t>
  </si>
  <si>
    <t>59-rd1</t>
  </si>
  <si>
    <t>challenger1-rd1</t>
  </si>
  <si>
    <t>m1a2-rd1</t>
  </si>
  <si>
    <t>59-rd2</t>
  </si>
  <si>
    <t>challenger1-rd2</t>
  </si>
  <si>
    <t>m1a2-rd2</t>
  </si>
  <si>
    <t>tank_part_icon_t1_l_1</t>
  </si>
  <si>
    <t>tank_part_icon_t1_l_2</t>
  </si>
  <si>
    <t>tank_part_icon_t1_l_3</t>
  </si>
  <si>
    <t>tank_part_icon_t1_l_4</t>
  </si>
  <si>
    <t>tank_part_icon_t1_l_5</t>
  </si>
  <si>
    <t>tank_part_icon_t1_l_6</t>
  </si>
  <si>
    <t>tank_part_icon_t1_m_1</t>
  </si>
  <si>
    <t>tank_part_icon_t1_m_2</t>
  </si>
  <si>
    <t>tank_part_icon_t1_m_3</t>
  </si>
  <si>
    <t>tank_part_icon_t1_m_4</t>
  </si>
  <si>
    <t>tank_part_icon_t1_m_5</t>
  </si>
  <si>
    <t>tank_part_icon_t1_m_6</t>
  </si>
  <si>
    <t>tank_part_icon_t1_h_1</t>
  </si>
  <si>
    <t>tank_part_icon_t1_h_2</t>
  </si>
  <si>
    <t>tank_part_icon_t1_h_3</t>
  </si>
  <si>
    <t>tank_part_icon_t1_h_4</t>
  </si>
  <si>
    <t>tank_part_icon_t1_h_5</t>
  </si>
  <si>
    <t>tank_part_icon_t1_h_6</t>
  </si>
  <si>
    <t>tank_part_icon_t2_l_1</t>
  </si>
  <si>
    <t>tank_part_icon_t2_l_2</t>
  </si>
  <si>
    <t>tank_part_icon_t2_l_3</t>
  </si>
  <si>
    <t>T4LP1</t>
  </si>
  <si>
    <t>tank_part_icon_t2_l_4</t>
  </si>
  <si>
    <t>T4LP2</t>
  </si>
  <si>
    <t>tank_part_icon_t2_l_5</t>
  </si>
  <si>
    <t>T4LP3</t>
  </si>
  <si>
    <t>tank_part_icon_t2_l_6</t>
  </si>
  <si>
    <t>T4LP4</t>
  </si>
  <si>
    <t>tank_part_icon_t2_m_1</t>
  </si>
  <si>
    <t>T4LP5</t>
  </si>
  <si>
    <t>tank_part_icon_t2_m_2</t>
  </si>
  <si>
    <t>T4LP6</t>
  </si>
  <si>
    <t>tank_part_icon_t2_m_3</t>
  </si>
  <si>
    <t>T4MP1</t>
  </si>
  <si>
    <t>tank_part_icon_t2_m_4</t>
  </si>
  <si>
    <t>T4MP2</t>
  </si>
  <si>
    <t>tank_part_icon_t2_m_5</t>
  </si>
  <si>
    <t>T4MP3</t>
  </si>
  <si>
    <t>tank_part_icon_t2_m_6</t>
  </si>
  <si>
    <t>T4MP4</t>
  </si>
  <si>
    <t>tank_part_icon_t2_h_1</t>
  </si>
  <si>
    <t>T4MP5</t>
  </si>
  <si>
    <t>tank_part_icon_t2_h_2</t>
  </si>
  <si>
    <t>T4MP6</t>
  </si>
  <si>
    <t>tank_part_icon_t2_h_3</t>
  </si>
  <si>
    <t>T4HP1</t>
  </si>
  <si>
    <t>tank_part_icon_t2_h_4</t>
  </si>
  <si>
    <t>T4HP2</t>
  </si>
  <si>
    <t>tank_part_icon_t2_h_5</t>
  </si>
  <si>
    <t>T4HP3</t>
  </si>
  <si>
    <t>tank_part_icon_t2_h_6</t>
  </si>
  <si>
    <t>T4HP4</t>
  </si>
  <si>
    <t>tank_part_icon_t3_l_1</t>
  </si>
  <si>
    <t>T4HP5</t>
  </si>
  <si>
    <t>tank_part_icon_t3_l_2</t>
  </si>
  <si>
    <t>T4HP6</t>
  </si>
  <si>
    <t>tank_part_icon_t3_l_3</t>
  </si>
  <si>
    <t>T5LP1</t>
  </si>
  <si>
    <t>tank_part_icon_t3_l_4</t>
  </si>
  <si>
    <t>T5LP2</t>
  </si>
  <si>
    <t>tank_part_icon_t3_l_5</t>
  </si>
  <si>
    <t>T5LP3</t>
  </si>
  <si>
    <t>tank_part_icon_t3_l_6</t>
  </si>
  <si>
    <t>T5LP4</t>
  </si>
  <si>
    <t>tank_part_icon_t3_m_1</t>
  </si>
  <si>
    <t>T5LP5</t>
  </si>
  <si>
    <t>tank_part_icon_t3_m_2</t>
  </si>
  <si>
    <t>T5LP6</t>
  </si>
  <si>
    <t>tank_part_icon_t3_m_3</t>
  </si>
  <si>
    <t>T5MP1</t>
  </si>
  <si>
    <t>tank_part_icon_t3_m_4</t>
  </si>
  <si>
    <t>T5MP2</t>
  </si>
  <si>
    <t>tank_part_icon_t3_m_5</t>
  </si>
  <si>
    <t>T5MP3</t>
  </si>
  <si>
    <t>tank_part_icon_t3_m_6</t>
  </si>
  <si>
    <t>T5MP4</t>
  </si>
  <si>
    <t>tank_part_icon_t3_h_1</t>
  </si>
  <si>
    <t>T5MP5</t>
  </si>
  <si>
    <t>tank_part_icon_t3_h_2</t>
  </si>
  <si>
    <t>T5MP6</t>
  </si>
  <si>
    <t>tank_part_icon_t3_h_3</t>
  </si>
  <si>
    <t>T5HP1</t>
  </si>
  <si>
    <t>tank_part_icon_t3_h_4</t>
  </si>
  <si>
    <t>T5HP2</t>
  </si>
  <si>
    <t>tank_part_icon_t3_h_5</t>
  </si>
  <si>
    <t>T5HP3</t>
  </si>
  <si>
    <t>tank_part_icon_t3_h_6</t>
  </si>
  <si>
    <t>T5HP4</t>
  </si>
  <si>
    <t>tank_part_icon_t4_l_1</t>
  </si>
  <si>
    <t>T5HP5</t>
  </si>
  <si>
    <t>tank_part_icon_t4_l_2</t>
  </si>
  <si>
    <t>T5HP6</t>
  </si>
  <si>
    <t>tank_part_icon_t4_l_3</t>
  </si>
  <si>
    <t>tank_part_icon_t4_l_4</t>
  </si>
  <si>
    <t>tank_part_icon_t4_l_5</t>
  </si>
  <si>
    <t>宝箱名称</t>
  </si>
  <si>
    <t>宝箱ID</t>
  </si>
  <si>
    <t>tank_part_icon_t4_l_6</t>
  </si>
  <si>
    <t>部件宝箱0</t>
  </si>
  <si>
    <t>tank_part_icon_t4_m_1</t>
  </si>
  <si>
    <t>部件宝箱1</t>
  </si>
  <si>
    <t>tank_part_icon_t4_m_2</t>
  </si>
  <si>
    <t>tank_part_icon_t4_m_3</t>
  </si>
  <si>
    <t>tank_part_icon_t4_m_4</t>
  </si>
  <si>
    <t>部件宝箱4</t>
  </si>
  <si>
    <t>tank_part_icon_t4_m_5</t>
  </si>
  <si>
    <t>tank_part_icon_t4_m_6</t>
  </si>
  <si>
    <t>tank_part_icon_t4_h_1</t>
  </si>
  <si>
    <t>部件宝箱7</t>
  </si>
  <si>
    <t>tank_part_icon_t4_h_2</t>
  </si>
  <si>
    <t>部件宝箱8</t>
  </si>
  <si>
    <t>tank_part_icon_t4_h_3</t>
  </si>
  <si>
    <t>部件宝箱9</t>
  </si>
  <si>
    <t>tank_part_icon_t4_h_4</t>
  </si>
  <si>
    <t>部件宝箱10</t>
  </si>
  <si>
    <t>tank_part_icon_t4_h_5</t>
  </si>
  <si>
    <t>碎片宝箱1</t>
  </si>
  <si>
    <t>tank_part_icon_t4_h_6</t>
  </si>
  <si>
    <t>碎片宝箱3</t>
  </si>
  <si>
    <t>碎片宝箱5</t>
  </si>
  <si>
    <t>碎片宝箱8</t>
  </si>
  <si>
    <t>碎片宝箱9</t>
  </si>
  <si>
    <t>碎片宝箱10</t>
  </si>
  <si>
    <t>部件手宝箱1</t>
  </si>
  <si>
    <t>部件手宝箱2</t>
  </si>
  <si>
    <t>部件手宝箱3</t>
  </si>
  <si>
    <t>部件手宝箱4</t>
  </si>
  <si>
    <t>部件手宝箱5</t>
  </si>
  <si>
    <t>部件手宝箱6</t>
  </si>
  <si>
    <t>部件手宝箱7</t>
  </si>
  <si>
    <t>部件手宝箱8</t>
  </si>
  <si>
    <t>部件手宝箱9</t>
  </si>
  <si>
    <t>部件手宝箱10</t>
  </si>
  <si>
    <t>碎片手宝箱1</t>
  </si>
  <si>
    <t>碎片手宝箱2</t>
  </si>
  <si>
    <t>chest_tankpart</t>
  </si>
  <si>
    <t>碎片手宝箱3</t>
  </si>
  <si>
    <t>碎片手宝箱4</t>
  </si>
  <si>
    <t>碎片手宝箱5</t>
  </si>
  <si>
    <t>碎片手宝箱6</t>
  </si>
  <si>
    <t>碎片手宝箱7</t>
  </si>
  <si>
    <t>碎片手宝箱8</t>
  </si>
  <si>
    <t>碎片手宝箱9</t>
  </si>
  <si>
    <t>碎片手宝箱10</t>
  </si>
  <si>
    <t>普通宝箱1</t>
  </si>
  <si>
    <t>普通宝箱2</t>
  </si>
  <si>
    <t>普通宝箱3</t>
  </si>
  <si>
    <t>chest_shard</t>
  </si>
  <si>
    <t>普通宝箱4</t>
  </si>
  <si>
    <t>普通宝箱5</t>
  </si>
  <si>
    <t>普通宝箱6</t>
  </si>
  <si>
    <t>普通宝箱7</t>
  </si>
  <si>
    <t>普通宝箱8</t>
  </si>
  <si>
    <t>普通宝箱9</t>
  </si>
  <si>
    <t>普通宝箱10</t>
  </si>
  <si>
    <t>普通自宝箱1</t>
  </si>
  <si>
    <t>普通自宝箱2</t>
  </si>
  <si>
    <t>普通自宝箱3</t>
  </si>
  <si>
    <t>chest_activation_lv4_icon</t>
  </si>
  <si>
    <t>普通自宝箱4</t>
  </si>
  <si>
    <t>普通自宝箱5</t>
  </si>
  <si>
    <t>普通自宝箱6</t>
  </si>
  <si>
    <t>普通自宝箱7</t>
  </si>
  <si>
    <t>普通自宝箱8</t>
  </si>
  <si>
    <t>普通自宝箱9</t>
  </si>
  <si>
    <t>普通自宝箱10</t>
  </si>
  <si>
    <t>高级宝箱1</t>
  </si>
  <si>
    <t>高级宝箱2</t>
  </si>
  <si>
    <t>高级宝箱3</t>
  </si>
  <si>
    <t>chest_activation_lv2_icon</t>
  </si>
  <si>
    <t>高级宝箱4</t>
  </si>
  <si>
    <t>高级宝箱5</t>
  </si>
  <si>
    <t>高级宝箱6</t>
  </si>
  <si>
    <t>高级宝箱7</t>
  </si>
  <si>
    <t>高级宝箱8</t>
  </si>
  <si>
    <t>高级宝箱9</t>
  </si>
  <si>
    <t>高级宝箱10</t>
  </si>
  <si>
    <t>高级自宝箱1</t>
  </si>
  <si>
    <t>高级自宝箱3</t>
  </si>
  <si>
    <t>高级自宝箱4</t>
  </si>
  <si>
    <t>高级自宝箱5</t>
  </si>
  <si>
    <t>高级自宝箱6</t>
  </si>
  <si>
    <t>高级自宝箱7</t>
  </si>
  <si>
    <t>高级自宝箱8</t>
  </si>
  <si>
    <t>高级自宝箱9</t>
  </si>
  <si>
    <t>高级自宝箱10</t>
  </si>
  <si>
    <t>稀有宝箱1</t>
  </si>
  <si>
    <t>稀有宝箱2</t>
  </si>
  <si>
    <t>稀有宝箱3</t>
  </si>
  <si>
    <t>稀有宝箱4</t>
  </si>
  <si>
    <t>稀有宝箱5</t>
  </si>
  <si>
    <t>稀有宝箱6</t>
  </si>
  <si>
    <t>稀有宝箱7</t>
  </si>
  <si>
    <t>稀有宝箱8</t>
  </si>
  <si>
    <t>稀有宝箱9</t>
  </si>
  <si>
    <t>稀有宝箱10</t>
  </si>
  <si>
    <t>稀有自宝箱1</t>
  </si>
  <si>
    <t>稀有自宝箱2</t>
  </si>
  <si>
    <t>稀有自宝箱3</t>
  </si>
  <si>
    <t>chest_lv4_icon</t>
  </si>
  <si>
    <t>稀有自宝箱4</t>
  </si>
  <si>
    <t>稀有自宝箱5</t>
  </si>
  <si>
    <t>稀有自宝箱6</t>
  </si>
  <si>
    <t>稀有自宝箱7</t>
  </si>
  <si>
    <t>稀有自宝箱8</t>
  </si>
  <si>
    <t>稀有自宝箱9</t>
  </si>
  <si>
    <t>稀有自宝箱10</t>
  </si>
  <si>
    <t>紫晶宝箱1</t>
  </si>
  <si>
    <t>紫晶宝箱2</t>
  </si>
  <si>
    <t>紫晶宝箱3</t>
  </si>
  <si>
    <t>紫晶宝箱4</t>
  </si>
  <si>
    <t>紫晶宝箱5</t>
  </si>
  <si>
    <t>紫晶宝箱6</t>
  </si>
  <si>
    <t>紫晶宝箱7</t>
  </si>
  <si>
    <t>紫晶宝箱8</t>
  </si>
  <si>
    <t>紫晶宝箱9</t>
  </si>
  <si>
    <t>紫晶宝箱10</t>
  </si>
  <si>
    <t>紫晶自宝箱1</t>
  </si>
  <si>
    <t>紫晶自宝箱2</t>
  </si>
  <si>
    <t>紫晶自宝箱3</t>
  </si>
  <si>
    <t>chest_lv5_icon</t>
  </si>
  <si>
    <t>紫晶自宝箱4</t>
  </si>
  <si>
    <t>紫晶自宝箱5</t>
  </si>
  <si>
    <t>紫晶自宝箱6</t>
  </si>
  <si>
    <t>紫晶自宝箱7</t>
  </si>
  <si>
    <t>紫晶自宝箱8</t>
  </si>
  <si>
    <t>紫晶自宝箱9</t>
  </si>
  <si>
    <t>紫晶自宝箱10</t>
  </si>
  <si>
    <t>黄金宝箱1</t>
  </si>
  <si>
    <t>黄金宝箱2</t>
  </si>
  <si>
    <t>黄金宝箱3</t>
  </si>
  <si>
    <t>黄金宝箱4</t>
  </si>
  <si>
    <t>黄金宝箱5</t>
  </si>
  <si>
    <t>黄金宝箱6</t>
  </si>
  <si>
    <t>黄金宝箱7</t>
  </si>
  <si>
    <t>黄金宝箱8</t>
  </si>
  <si>
    <t>黄金宝箱9</t>
  </si>
  <si>
    <t>黄金宝箱10</t>
  </si>
  <si>
    <t>黄金自宝箱1</t>
  </si>
  <si>
    <t>黄金自宝箱2</t>
  </si>
  <si>
    <t>黄金自宝箱3</t>
  </si>
  <si>
    <t>黄金自宝箱4</t>
  </si>
  <si>
    <t>黄金自宝箱5</t>
  </si>
  <si>
    <t>黄金自宝箱6</t>
  </si>
  <si>
    <t>黄金自宝箱7</t>
  </si>
  <si>
    <t>黄金自宝箱8</t>
  </si>
  <si>
    <t>黄金自宝箱9</t>
  </si>
  <si>
    <t>黄金自宝箱10</t>
  </si>
  <si>
    <t>史诗宝箱1</t>
  </si>
  <si>
    <t>史诗宝箱2</t>
  </si>
  <si>
    <t>史诗宝箱3</t>
  </si>
  <si>
    <t>史诗宝箱4</t>
  </si>
  <si>
    <t>史诗宝箱5</t>
  </si>
  <si>
    <t>史诗宝箱6</t>
  </si>
  <si>
    <t>史诗宝箱7</t>
  </si>
  <si>
    <t>史诗宝箱8</t>
  </si>
  <si>
    <t>史诗宝箱9</t>
  </si>
  <si>
    <t>史诗宝箱10</t>
  </si>
  <si>
    <t>史诗自宝箱1</t>
  </si>
  <si>
    <t>史诗自宝箱2</t>
  </si>
  <si>
    <t>史诗自宝箱3</t>
  </si>
  <si>
    <t>史诗自宝箱4</t>
  </si>
  <si>
    <t>史诗自宝箱5</t>
  </si>
  <si>
    <t>史诗自宝箱6</t>
  </si>
  <si>
    <t>史诗自宝箱7</t>
  </si>
  <si>
    <t>史诗自宝箱8</t>
  </si>
  <si>
    <t>史诗自宝箱9</t>
  </si>
  <si>
    <t>史诗自宝箱10</t>
  </si>
  <si>
    <t>部件礼包T1_1</t>
  </si>
  <si>
    <t>部件礼包T1_2</t>
  </si>
  <si>
    <t>部件礼包T2_1</t>
  </si>
  <si>
    <t>部件礼包T2_2</t>
  </si>
  <si>
    <t>部件礼包T3_1</t>
  </si>
  <si>
    <t>部件礼包T3_2</t>
  </si>
  <si>
    <t>部件礼包T4_1</t>
  </si>
  <si>
    <t>部件礼包T4_2</t>
  </si>
  <si>
    <t>碎片礼包T1_1</t>
  </si>
  <si>
    <t>碎片礼包T2_1</t>
  </si>
  <si>
    <t>碎片礼包T2_2</t>
  </si>
  <si>
    <t>碎片礼包T3_1</t>
  </si>
  <si>
    <t>碎片礼包T3_2</t>
  </si>
  <si>
    <t>chest_lv6_icon</t>
  </si>
  <si>
    <t>碎片礼包T4_1</t>
  </si>
  <si>
    <t>碎片礼包T4_2</t>
  </si>
  <si>
    <t>碎片礼包T4_3</t>
  </si>
  <si>
    <t>部件礼包1</t>
  </si>
  <si>
    <t>T1 Component</t>
  </si>
  <si>
    <t>部件礼包2</t>
  </si>
  <si>
    <t>部件礼包3</t>
  </si>
  <si>
    <t>部件礼包4</t>
  </si>
  <si>
    <t>T2 Component</t>
  </si>
  <si>
    <t>部件礼包5</t>
  </si>
  <si>
    <t>部件礼包6</t>
  </si>
  <si>
    <t>部件礼包7</t>
  </si>
  <si>
    <t>T3 Component</t>
  </si>
  <si>
    <t>部件礼包8</t>
  </si>
  <si>
    <t>部件礼包9</t>
  </si>
  <si>
    <t>碎片礼包1</t>
  </si>
  <si>
    <t xml:space="preserve"> T1 General Shard</t>
  </si>
  <si>
    <t>碎片礼包2</t>
  </si>
  <si>
    <r>
      <rPr>
        <sz val="9"/>
        <color theme="1"/>
        <rFont val="微软雅黑"/>
        <family val="2"/>
        <charset val="134"/>
      </rPr>
      <t xml:space="preserve"> T</t>
    </r>
    <r>
      <rPr>
        <sz val="9"/>
        <color theme="1"/>
        <rFont val="微软雅黑"/>
        <family val="2"/>
        <charset val="134"/>
      </rPr>
      <t>2</t>
    </r>
    <r>
      <rPr>
        <sz val="9"/>
        <color theme="1"/>
        <rFont val="微软雅黑"/>
        <family val="2"/>
        <charset val="134"/>
      </rPr>
      <t xml:space="preserve"> General Shard</t>
    </r>
  </si>
  <si>
    <t>碎片礼包3</t>
  </si>
  <si>
    <t>T2 Senior Shard</t>
  </si>
  <si>
    <t>碎片礼包4</t>
  </si>
  <si>
    <r>
      <rPr>
        <sz val="9"/>
        <color theme="1"/>
        <rFont val="微软雅黑"/>
        <family val="2"/>
        <charset val="134"/>
      </rPr>
      <t xml:space="preserve"> T</t>
    </r>
    <r>
      <rPr>
        <sz val="9"/>
        <color theme="1"/>
        <rFont val="微软雅黑"/>
        <family val="2"/>
        <charset val="134"/>
      </rPr>
      <t>3</t>
    </r>
    <r>
      <rPr>
        <sz val="9"/>
        <color theme="1"/>
        <rFont val="微软雅黑"/>
        <family val="2"/>
        <charset val="134"/>
      </rPr>
      <t>General Shard</t>
    </r>
  </si>
  <si>
    <t>碎片礼包5</t>
  </si>
  <si>
    <r>
      <rPr>
        <sz val="9"/>
        <color theme="1"/>
        <rFont val="微软雅黑"/>
        <family val="2"/>
        <charset val="134"/>
      </rPr>
      <t>T</t>
    </r>
    <r>
      <rPr>
        <sz val="9"/>
        <color theme="1"/>
        <rFont val="微软雅黑"/>
        <family val="2"/>
        <charset val="134"/>
      </rPr>
      <t xml:space="preserve">3 </t>
    </r>
    <r>
      <rPr>
        <sz val="9"/>
        <color theme="1"/>
        <rFont val="微软雅黑"/>
        <family val="2"/>
        <charset val="134"/>
      </rPr>
      <t>Senior Shard</t>
    </r>
  </si>
  <si>
    <t>碎片礼包6</t>
  </si>
  <si>
    <r>
      <rPr>
        <sz val="9"/>
        <color theme="1"/>
        <rFont val="微软雅黑"/>
        <family val="2"/>
        <charset val="134"/>
      </rPr>
      <t xml:space="preserve"> T</t>
    </r>
    <r>
      <rPr>
        <sz val="9"/>
        <color theme="1"/>
        <rFont val="微软雅黑"/>
        <family val="2"/>
        <charset val="134"/>
      </rPr>
      <t>4</t>
    </r>
    <r>
      <rPr>
        <sz val="9"/>
        <color theme="1"/>
        <rFont val="微软雅黑"/>
        <family val="2"/>
        <charset val="134"/>
      </rPr>
      <t xml:space="preserve"> General Shard</t>
    </r>
  </si>
  <si>
    <t>碎片礼包7</t>
  </si>
  <si>
    <r>
      <rPr>
        <sz val="9"/>
        <color theme="1"/>
        <rFont val="微软雅黑"/>
        <family val="2"/>
        <charset val="134"/>
      </rPr>
      <t>T</t>
    </r>
    <r>
      <rPr>
        <sz val="9"/>
        <color theme="1"/>
        <rFont val="微软雅黑"/>
        <family val="2"/>
        <charset val="134"/>
      </rPr>
      <t>4</t>
    </r>
    <r>
      <rPr>
        <sz val="9"/>
        <color theme="1"/>
        <rFont val="微软雅黑"/>
        <family val="2"/>
        <charset val="134"/>
      </rPr>
      <t xml:space="preserve"> Senior Shard</t>
    </r>
  </si>
  <si>
    <t>碎片礼包8</t>
  </si>
  <si>
    <t>涂鸦-失败者</t>
  </si>
  <si>
    <t>battle_pass_icon_decal_01</t>
  </si>
  <si>
    <t>涂鸦-鲨鱼</t>
  </si>
  <si>
    <t>battle_pass_icon_decal_02</t>
  </si>
  <si>
    <t>涂鸦-胜利骑士</t>
  </si>
  <si>
    <t>battle_pass_icon_decal_03</t>
  </si>
  <si>
    <t>涂鸦-裂缝</t>
  </si>
  <si>
    <t>battle_pass_icon_decal_04</t>
  </si>
  <si>
    <t>涂鸦-小丑</t>
  </si>
  <si>
    <t>battle_pass_icon_decal_05</t>
  </si>
  <si>
    <t>涂鸦-魔眼</t>
  </si>
  <si>
    <t>battle_pass_icon_decal_06</t>
  </si>
  <si>
    <t>涂鸦-死神</t>
  </si>
  <si>
    <t>battle_pass_icon_decal_07</t>
  </si>
  <si>
    <t>头像框-初级指挥官</t>
  </si>
  <si>
    <t>role_head_frame_icon_2</t>
  </si>
  <si>
    <t>头像框-针锋相对</t>
  </si>
  <si>
    <t>role_head_frame_icon_3</t>
  </si>
  <si>
    <t>头像框-S1·起航</t>
  </si>
  <si>
    <t>role_head_frame_icon_4</t>
  </si>
  <si>
    <t>头像框-战斗之星</t>
  </si>
  <si>
    <t>role_head_frame_icon_5</t>
  </si>
  <si>
    <t>头像框-我的战场</t>
  </si>
  <si>
    <t>role_head_frame_icon_6</t>
  </si>
  <si>
    <t>头像框-风驰电掣</t>
  </si>
  <si>
    <t>role_head_frame_icon_7</t>
  </si>
  <si>
    <t>头像框-钢铁信仰</t>
  </si>
  <si>
    <t>role_head_frame_icon_8</t>
  </si>
  <si>
    <t>摆件1-小丑</t>
  </si>
  <si>
    <t>battle_pass_icon_decoration_1</t>
  </si>
  <si>
    <t>摆件2-小黄鸭</t>
  </si>
  <si>
    <t>battle_pass_icon_decoration_2</t>
  </si>
  <si>
    <t>摆件3-机械蜘蛛</t>
  </si>
  <si>
    <t>battle_pass_icon_decoration_3</t>
  </si>
  <si>
    <t>摆件4-鲨鱼头</t>
  </si>
  <si>
    <t>battle_pass_icon_decoration_4</t>
  </si>
  <si>
    <t>摆件5-恶魔之眼</t>
  </si>
  <si>
    <t>battle_pass_icon_decoration_5</t>
  </si>
  <si>
    <t>战旗旗杆-雄心旗杆</t>
  </si>
  <si>
    <t>battle_pass_icon_flag_staff_01</t>
  </si>
  <si>
    <t>战旗旗杆-正义旗杆</t>
  </si>
  <si>
    <t>battle_pass_icon_flag_staff_02</t>
  </si>
  <si>
    <t>战旗旗杆-绝命旗杆</t>
  </si>
  <si>
    <t>battle_pass_icon_flag_staff_03</t>
  </si>
  <si>
    <t>战旗旗杆-荣耀旗杆</t>
  </si>
  <si>
    <t>battle_pass_icon_flag_staff_04</t>
  </si>
  <si>
    <t>战旗旗帜-雄心旗帜</t>
  </si>
  <si>
    <t>battle_pass_icon_flag_surface_01</t>
  </si>
  <si>
    <t>战旗旗帜-正义旗帜</t>
  </si>
  <si>
    <t>battle_pass_icon_flag_surface_02</t>
  </si>
  <si>
    <t>战旗旗帜-绝命旗帜</t>
  </si>
  <si>
    <t>battle_pass_icon_flag_surface_03</t>
  </si>
  <si>
    <t>战旗旗帜-荣耀旗帜</t>
  </si>
  <si>
    <t>battle_pass_icon_flag_surface_04</t>
  </si>
  <si>
    <t>战旗图案-雄心图案</t>
  </si>
  <si>
    <t>battle_pass_icon_flag_logo_01</t>
  </si>
  <si>
    <t>战旗图案-正义图案</t>
  </si>
  <si>
    <t>battle_pass_icon_flag_logo_02</t>
  </si>
  <si>
    <t>战旗图案-绝命图案</t>
  </si>
  <si>
    <t>battle_pass_icon_flag_logo_03</t>
  </si>
  <si>
    <t>战旗图案-荣耀图案</t>
  </si>
  <si>
    <t>battle_pass_icon_flag_logo_04</t>
  </si>
  <si>
    <t>坦克涂装-坦克皮肤:丛林</t>
  </si>
  <si>
    <t>tank_skin_icon_rd101</t>
  </si>
  <si>
    <t>坦克涂装-坦克皮肤:沙漠</t>
  </si>
  <si>
    <t>tank_skin_icon_rd102</t>
  </si>
  <si>
    <t>坦克涂装-坦克皮肤:雪地</t>
  </si>
  <si>
    <t>tank_skin_icon_rd103</t>
  </si>
  <si>
    <t>坦克涂装-坦克皮肤:红色丝网</t>
  </si>
  <si>
    <t>tank_skin_icon_rd104</t>
  </si>
  <si>
    <t>坦克涂装-坦克皮肤:霓虹灯</t>
  </si>
  <si>
    <t>tank_skin_icon_rd105</t>
  </si>
  <si>
    <t>坦克涂装-坦克皮肤:冰晶</t>
  </si>
  <si>
    <t>tank_skin_icon_rd106</t>
  </si>
  <si>
    <t>坦克涂装-坦克皮肤:喷彩</t>
  </si>
  <si>
    <t>tank_skin_icon_rd107</t>
  </si>
  <si>
    <t>坦克涂装-坦克皮肤:枫叶</t>
  </si>
  <si>
    <t>tank_skin_icon_rd108</t>
  </si>
  <si>
    <t>坦克涂装-坦克皮肤:黑白涂鸦</t>
  </si>
  <si>
    <t>tank_skin_icon_rd109</t>
  </si>
  <si>
    <t>坦克涂装-坦克皮肤:蓝天</t>
  </si>
  <si>
    <t>tank_skin_icon_rd110</t>
  </si>
  <si>
    <t>坦克涂装-坦克皮肤:滩涂</t>
  </si>
  <si>
    <t>tank_skin_icon_rd113</t>
  </si>
  <si>
    <t>坦克涂装-坦克皮肤:城市</t>
  </si>
  <si>
    <t>tank_skin_icon_rd114</t>
  </si>
  <si>
    <t>坦克涂装-坦克皮肤:山地</t>
  </si>
  <si>
    <t>tank_skin_icon_rd115</t>
  </si>
  <si>
    <t>坦克涂装-坦克皮肤:暗夜</t>
  </si>
  <si>
    <t>tank_skin_icon_rd116</t>
  </si>
  <si>
    <t>坦克流光特效-全电坦克</t>
  </si>
  <si>
    <t>tank_common_lighting</t>
  </si>
  <si>
    <t>坦克流光特效-美人鱼</t>
  </si>
  <si>
    <t>tank_common_fish</t>
  </si>
  <si>
    <t>坦克流光特效-地狱使者</t>
  </si>
  <si>
    <t>tank_common_fire</t>
  </si>
  <si>
    <t>BattlePass货币</t>
  </si>
  <si>
    <t>头像-默认头像</t>
  </si>
  <si>
    <t>role_head_icon_1</t>
  </si>
  <si>
    <t>头像-龙</t>
  </si>
  <si>
    <t>role_head_icon_2</t>
  </si>
  <si>
    <t>头像-S1奖牌</t>
  </si>
  <si>
    <t>role_head_icon_3</t>
  </si>
  <si>
    <t>头像-金光坦克</t>
  </si>
  <si>
    <t>role_head_icon_4</t>
  </si>
  <si>
    <t>头像-预注册-鹰</t>
  </si>
  <si>
    <t>role_head_icon_5</t>
  </si>
  <si>
    <t>头像-老虎</t>
  </si>
  <si>
    <t>role_head_icon_6</t>
  </si>
  <si>
    <t>头像-吐舌头</t>
  </si>
  <si>
    <t>role_head_icon_7</t>
  </si>
  <si>
    <t>头像-皇冠</t>
  </si>
  <si>
    <t>role_head_icon_8</t>
  </si>
  <si>
    <t>头像-头盔</t>
  </si>
  <si>
    <t>role_head_icon_9</t>
  </si>
  <si>
    <t>头像-蛇</t>
  </si>
  <si>
    <t>role_head_icon_10</t>
  </si>
  <si>
    <t>头像-狮子</t>
  </si>
  <si>
    <t>role_head_icon_11</t>
  </si>
  <si>
    <t>头像-IF抽象标识</t>
  </si>
  <si>
    <t>role_head_icon_12</t>
  </si>
  <si>
    <t>头像-炸弹头听音乐</t>
  </si>
  <si>
    <t>role_head_icon_13</t>
  </si>
  <si>
    <t>头像-熊猫</t>
  </si>
  <si>
    <t>role_head_icon_14</t>
  </si>
  <si>
    <t>坦克涂装-电磁炮-兽人</t>
  </si>
  <si>
    <t>35t-rd4</t>
  </si>
  <si>
    <t>坦克涂装-电磁炮-食月鸟</t>
  </si>
  <si>
    <t>crusader-rd4</t>
  </si>
  <si>
    <t>坦克涂装-金龙-吸血鬼</t>
  </si>
  <si>
    <t>mathilda-rd3</t>
  </si>
  <si>
    <t>坦克涂装-金龙-神秘猿</t>
  </si>
  <si>
    <t>m4-rd3</t>
  </si>
  <si>
    <t>坦克涂装-铠甲勇士-森林精灵</t>
  </si>
  <si>
    <t>panzer-v-rd5</t>
  </si>
  <si>
    <t>坦克涂装-铠甲勇士-偷火巨人</t>
  </si>
  <si>
    <t>tiger-rd5</t>
  </si>
  <si>
    <t>BattlePass经验</t>
  </si>
  <si>
    <t>雪花</t>
  </si>
  <si>
    <t>activity_christmas_item_icon_1</t>
  </si>
  <si>
    <t>铃铛</t>
  </si>
  <si>
    <t>activity_christmas_item_icon_2</t>
  </si>
  <si>
    <t>圣诞糖果</t>
  </si>
  <si>
    <t>activity_christmas_item_icon_3</t>
  </si>
  <si>
    <t>activity_christmas_item_icon_spincoin</t>
  </si>
  <si>
    <t>圣诞拼图</t>
  </si>
  <si>
    <t>activity_christmas_item_icon_puzzle</t>
  </si>
  <si>
    <t>拼图积分</t>
  </si>
  <si>
    <t>NULL</t>
  </si>
  <si>
    <t>车库装饰-圣诞雪人</t>
  </si>
  <si>
    <t>activity_christmas_decoration_icon_1</t>
  </si>
  <si>
    <t>车库装饰-圣诞树</t>
  </si>
  <si>
    <t>activity_christmas_decoration_icon_2</t>
  </si>
  <si>
    <t>车库装饰-圣诞礼盒</t>
  </si>
  <si>
    <t>activity_christmas_decoration_icon_3</t>
  </si>
  <si>
    <t>坦克涂装-圣诞皮肤</t>
  </si>
  <si>
    <t>tank_skin_icon_rd117</t>
  </si>
  <si>
    <t>涂鸦-圣诞标识</t>
  </si>
  <si>
    <t>battle_pass_icon_decal_08</t>
  </si>
  <si>
    <t>涂鸦-圣诞树</t>
  </si>
  <si>
    <t>battle_pass_icon_decal_09</t>
  </si>
  <si>
    <t>摆件6-圣诞老人</t>
  </si>
  <si>
    <t>battle_pass_icon_decoration_6</t>
  </si>
  <si>
    <t>battle_ui_scoresystem_icon</t>
  </si>
  <si>
    <t>chest_battle</t>
  </si>
  <si>
    <t>活跃小箱</t>
  </si>
  <si>
    <t>chest_activation_lv1_icon</t>
  </si>
  <si>
    <t>活跃中箱</t>
  </si>
  <si>
    <t>活跃大箱</t>
  </si>
  <si>
    <t>chest_activation_lv3_icon</t>
  </si>
  <si>
    <t>活跃巨箱</t>
  </si>
  <si>
    <t>雪花-售卖专用</t>
  </si>
  <si>
    <t>铃铛-售卖专用</t>
  </si>
  <si>
    <t>圣诞糖果-售卖专用</t>
  </si>
  <si>
    <t>圣诞幸运币-售卖专用</t>
  </si>
  <si>
    <t>圣诞拼图-售卖专用</t>
  </si>
  <si>
    <t>拼图积分-售卖专用</t>
  </si>
  <si>
    <t>头像-圣诞老人</t>
  </si>
  <si>
    <t>role_head_icon_21</t>
  </si>
  <si>
    <t>头像-雪人</t>
  </si>
  <si>
    <t>role_head_icon_22</t>
  </si>
  <si>
    <t>头像框-圣诞1</t>
  </si>
  <si>
    <t>role_head_frame_icon_9</t>
  </si>
  <si>
    <t>头像框-圣诞2</t>
  </si>
  <si>
    <t>role_head_frame_icon_10</t>
  </si>
  <si>
    <t>碎片宝箱-决胜活动奖励</t>
  </si>
  <si>
    <t>头像-滑雪运动员</t>
  </si>
  <si>
    <t>role_head_icon_23</t>
  </si>
  <si>
    <t>头像-企鹅</t>
  </si>
  <si>
    <t>role_head_icon_24</t>
  </si>
  <si>
    <t>头像-北极熊</t>
  </si>
  <si>
    <t>role_head_icon_25</t>
  </si>
  <si>
    <t>头像-雪花水晶球</t>
  </si>
  <si>
    <t>role_head_icon_26</t>
  </si>
  <si>
    <t>头像-勇攀雪山</t>
  </si>
  <si>
    <t>role_head_icon_27</t>
  </si>
  <si>
    <t>头像框-滑雪</t>
  </si>
  <si>
    <t>role_head_frame_icon_11</t>
  </si>
  <si>
    <t>头像框-冬季编织</t>
  </si>
  <si>
    <t>role_head_frame_icon_12</t>
  </si>
  <si>
    <t>头像框-冰雪</t>
  </si>
  <si>
    <t>role_head_frame_icon_13</t>
  </si>
  <si>
    <t>头像框-雪山</t>
  </si>
  <si>
    <t>role_head_frame_icon_14</t>
  </si>
  <si>
    <t>头像框-冰雪女王</t>
  </si>
  <si>
    <t>role_head_frame_icon_15</t>
  </si>
  <si>
    <t>头像框-暖炉</t>
  </si>
  <si>
    <t>role_head_frame_icon_16</t>
  </si>
  <si>
    <t>头像框-极光</t>
  </si>
  <si>
    <t>role_head_frame_icon_17</t>
  </si>
  <si>
    <t>坦克涂装-冰龙-巨魔</t>
  </si>
  <si>
    <t>comet-rd4</t>
  </si>
  <si>
    <t>涂鸦-冰雪女王</t>
  </si>
  <si>
    <t>battle_pass_icon_decal_10</t>
  </si>
  <si>
    <t>涂鸦-雪城</t>
  </si>
  <si>
    <t>battle_pass_icon_decal_11</t>
  </si>
  <si>
    <t>涂鸦-滑雪</t>
  </si>
  <si>
    <t>battle_pass_icon_decal_12</t>
  </si>
  <si>
    <t>摆件7-企鹅</t>
  </si>
  <si>
    <t>battle_pass_icon_decoration_7</t>
  </si>
  <si>
    <t>摆件8-北极熊</t>
  </si>
  <si>
    <t>battle_pass_icon_decoration_8</t>
  </si>
  <si>
    <t>摆件9-冰霜之冠</t>
  </si>
  <si>
    <t>battle_pass_icon_decoration_9</t>
  </si>
  <si>
    <t>坦克流光特效-流水</t>
  </si>
  <si>
    <t>tank_skin_icon_river</t>
  </si>
  <si>
    <t>坦克流光特效-飘雪</t>
  </si>
  <si>
    <t>tank_skin_icon_snow</t>
  </si>
  <si>
    <t>可推送内容</t>
  </si>
  <si>
    <t>礼包类型</t>
  </si>
  <si>
    <t>礼包内容1</t>
  </si>
  <si>
    <t>礼包内容2</t>
  </si>
  <si>
    <t>抽取次数</t>
  </si>
  <si>
    <t>新手破冰礼包</t>
  </si>
  <si>
    <t>道具</t>
  </si>
  <si>
    <t>价值</t>
  </si>
  <si>
    <t>总价/美金</t>
  </si>
  <si>
    <t>折扣</t>
  </si>
  <si>
    <t>物品内容</t>
  </si>
  <si>
    <t>物品价值/钻石</t>
  </si>
  <si>
    <t>总价值</t>
  </si>
  <si>
    <t>首充礼包</t>
  </si>
  <si>
    <t>坦克涂装-首充破冰礼包</t>
  </si>
  <si>
    <t>加速道具</t>
  </si>
  <si>
    <t>坦克涂装-首充豹</t>
  </si>
  <si>
    <t>出售宝箱</t>
  </si>
  <si>
    <r>
      <rPr>
        <sz val="9"/>
        <color theme="1"/>
        <rFont val="微软雅黑"/>
        <family val="2"/>
        <charset val="134"/>
      </rPr>
      <t>T</t>
    </r>
    <r>
      <rPr>
        <sz val="9"/>
        <color theme="1"/>
        <rFont val="微软雅黑"/>
        <family val="2"/>
        <charset val="134"/>
      </rPr>
      <t>2皮肤</t>
    </r>
  </si>
  <si>
    <t>坦克涂装-首充红柳</t>
  </si>
  <si>
    <t>碎片宝箱</t>
  </si>
  <si>
    <t>rank3礼包</t>
  </si>
  <si>
    <t>2星轻坦1部位</t>
  </si>
  <si>
    <t>2星轻坦2部位</t>
  </si>
  <si>
    <t>部件宝箱</t>
  </si>
  <si>
    <t>2星中坦1部位</t>
  </si>
  <si>
    <t>2星中坦2部位</t>
  </si>
  <si>
    <t>2星重坦1部位</t>
  </si>
  <si>
    <t>2星重坦2部位</t>
  </si>
  <si>
    <t>rank5礼包</t>
  </si>
  <si>
    <t>3星重坦1部位</t>
  </si>
  <si>
    <t>3星重坦2部位</t>
  </si>
  <si>
    <t>特定碎片</t>
  </si>
  <si>
    <t>3星轻坦1部位</t>
  </si>
  <si>
    <t>3星轻坦2部位</t>
  </si>
  <si>
    <t>特定部件</t>
  </si>
  <si>
    <t>3星中坦1部位</t>
  </si>
  <si>
    <t>3星中坦2部位</t>
  </si>
  <si>
    <t>预注册礼包</t>
  </si>
  <si>
    <t>特殊头像</t>
  </si>
  <si>
    <t>主道具</t>
  </si>
  <si>
    <t>辅道具1</t>
  </si>
  <si>
    <t>辅道具2</t>
  </si>
  <si>
    <t>单价1</t>
  </si>
  <si>
    <t>单价2</t>
  </si>
  <si>
    <t>单价3</t>
  </si>
  <si>
    <t>价值倍数</t>
  </si>
  <si>
    <t>期望价值</t>
  </si>
  <si>
    <t>价值1</t>
  </si>
  <si>
    <t>比例1</t>
  </si>
  <si>
    <t>价值2</t>
  </si>
  <si>
    <t>比例2</t>
  </si>
  <si>
    <t>价值3</t>
  </si>
  <si>
    <t>比例3</t>
  </si>
  <si>
    <t>实际价值</t>
  </si>
  <si>
    <t>实际折扣</t>
  </si>
  <si>
    <r>
      <rPr>
        <sz val="9"/>
        <color theme="1"/>
        <rFont val="微软雅黑"/>
        <family val="2"/>
        <charset val="134"/>
      </rPr>
      <t>道具ID</t>
    </r>
    <r>
      <rPr>
        <sz val="9"/>
        <color theme="1"/>
        <rFont val="微软雅黑"/>
        <family val="2"/>
        <charset val="134"/>
      </rPr>
      <t>1</t>
    </r>
  </si>
  <si>
    <r>
      <rPr>
        <sz val="9"/>
        <color theme="1"/>
        <rFont val="微软雅黑"/>
        <family val="2"/>
        <charset val="134"/>
      </rPr>
      <t>道具ID</t>
    </r>
    <r>
      <rPr>
        <sz val="9"/>
        <color theme="1"/>
        <rFont val="微软雅黑"/>
        <family val="2"/>
        <charset val="134"/>
      </rPr>
      <t>2</t>
    </r>
  </si>
  <si>
    <r>
      <rPr>
        <sz val="9"/>
        <color theme="1"/>
        <rFont val="微软雅黑"/>
        <family val="2"/>
        <charset val="134"/>
      </rPr>
      <t>道具ID</t>
    </r>
    <r>
      <rPr>
        <sz val="9"/>
        <color theme="1"/>
        <rFont val="微软雅黑"/>
        <family val="2"/>
        <charset val="134"/>
      </rPr>
      <t>3</t>
    </r>
  </si>
  <si>
    <r>
      <rPr>
        <sz val="9"/>
        <color theme="1"/>
        <rFont val="微软雅黑"/>
        <family val="2"/>
        <charset val="134"/>
      </rPr>
      <t>Icon</t>
    </r>
    <r>
      <rPr>
        <sz val="9"/>
        <color theme="1"/>
        <rFont val="微软雅黑"/>
        <family val="2"/>
        <charset val="134"/>
      </rPr>
      <t>1</t>
    </r>
  </si>
  <si>
    <r>
      <rPr>
        <sz val="9"/>
        <color theme="1"/>
        <rFont val="微软雅黑"/>
        <family val="2"/>
        <charset val="134"/>
      </rPr>
      <t>Icon</t>
    </r>
    <r>
      <rPr>
        <sz val="9"/>
        <color theme="1"/>
        <rFont val="微软雅黑"/>
        <family val="2"/>
        <charset val="134"/>
      </rPr>
      <t>2</t>
    </r>
  </si>
  <si>
    <r>
      <rPr>
        <sz val="9"/>
        <color theme="1"/>
        <rFont val="微软雅黑"/>
        <family val="2"/>
        <charset val="134"/>
      </rPr>
      <t>Icon</t>
    </r>
    <r>
      <rPr>
        <sz val="9"/>
        <color theme="1"/>
        <rFont val="微软雅黑"/>
        <family val="2"/>
        <charset val="134"/>
      </rPr>
      <t>3</t>
    </r>
  </si>
  <si>
    <t>道具ID组</t>
  </si>
  <si>
    <t>道具数量组</t>
  </si>
  <si>
    <t>Icon组</t>
  </si>
  <si>
    <t>组分类</t>
  </si>
  <si>
    <t>GM用描述</t>
  </si>
  <si>
    <t>部件解锁节奏</t>
  </si>
  <si>
    <t>部件1</t>
  </si>
  <si>
    <t>部件2</t>
  </si>
  <si>
    <t>宝箱类别</t>
  </si>
  <si>
    <t>价值钻石</t>
  </si>
  <si>
    <t>普通宝箱</t>
  </si>
  <si>
    <t>高级宝箱</t>
  </si>
  <si>
    <t>史诗宝箱</t>
  </si>
  <si>
    <t>奖励分类</t>
  </si>
  <si>
    <t>玩家升级</t>
  </si>
  <si>
    <t>联赛积分差值</t>
  </si>
  <si>
    <t>RankLv</t>
  </si>
  <si>
    <t>积分差距</t>
  </si>
  <si>
    <t>奖励次数</t>
  </si>
  <si>
    <t>积分差值</t>
  </si>
  <si>
    <t>Rank积分</t>
  </si>
  <si>
    <t>奖牌奖励自动跳的功能,自动跳到没领奖励的地方.</t>
  </si>
  <si>
    <t>联赛积分分段奖励分值</t>
  </si>
  <si>
    <t>标准奖励价值</t>
  </si>
  <si>
    <t>奖励内容</t>
  </si>
  <si>
    <t>TableTrophyReward</t>
  </si>
  <si>
    <t>Rank分段</t>
  </si>
  <si>
    <t>分数差值</t>
  </si>
  <si>
    <t>游戏场次</t>
  </si>
  <si>
    <t>累计场次</t>
  </si>
  <si>
    <t>对应天数</t>
  </si>
  <si>
    <t>奖励价值</t>
  </si>
  <si>
    <t>调整后价值</t>
  </si>
  <si>
    <t>奖励数量</t>
  </si>
  <si>
    <t>道具ID填表</t>
  </si>
  <si>
    <t>道具数量填表</t>
  </si>
  <si>
    <t>TableRoleLevel</t>
  </si>
  <si>
    <t>战斗场次</t>
  </si>
  <si>
    <t>奖励ID</t>
  </si>
  <si>
    <t>等级奖励填表</t>
  </si>
  <si>
    <t>时间/天</t>
  </si>
  <si>
    <t>每天价值</t>
  </si>
  <si>
    <t>钻石总计</t>
  </si>
  <si>
    <t>兑换活动</t>
  </si>
  <si>
    <t>付费深度/美金</t>
  </si>
  <si>
    <t>付费深度/钻石</t>
  </si>
  <si>
    <t>预期游戏时间/天</t>
  </si>
  <si>
    <t>单天价值</t>
  </si>
  <si>
    <t>总时间</t>
  </si>
  <si>
    <t>大奖规划</t>
  </si>
  <si>
    <t>奖品名称</t>
  </si>
  <si>
    <t>投放途径</t>
  </si>
  <si>
    <t>兑换奖励</t>
  </si>
  <si>
    <t>拼图第三档</t>
  </si>
  <si>
    <t>转盘中</t>
  </si>
  <si>
    <t>转盘阶段最终奖励</t>
  </si>
  <si>
    <t>拼图最终大奖</t>
  </si>
  <si>
    <t>转盘阶段奖励</t>
  </si>
  <si>
    <t>兑换</t>
  </si>
  <si>
    <t>材料1</t>
  </si>
  <si>
    <t>材料2</t>
  </si>
  <si>
    <t>材料3</t>
  </si>
  <si>
    <t>奖励1</t>
  </si>
  <si>
    <t>奖励2</t>
  </si>
  <si>
    <t>需要时间/天</t>
  </si>
  <si>
    <t>极限总量计算</t>
  </si>
  <si>
    <t>导出配置</t>
  </si>
  <si>
    <t>战场掉落</t>
  </si>
  <si>
    <t>物品</t>
  </si>
  <si>
    <t>权重</t>
  </si>
  <si>
    <t>概率</t>
  </si>
  <si>
    <t>每天免费获取数量</t>
  </si>
  <si>
    <t>礼包价格</t>
  </si>
  <si>
    <t>圣诞礼盒</t>
  </si>
  <si>
    <t>圣诞礼盒内容</t>
  </si>
  <si>
    <t>物品名称</t>
  </si>
  <si>
    <t>物品id</t>
  </si>
  <si>
    <t>计算数量</t>
  </si>
  <si>
    <t>极限花销</t>
  </si>
  <si>
    <t>拼图活动</t>
  </si>
  <si>
    <t>单次翻牌奖励</t>
  </si>
  <si>
    <t>阶段奖励</t>
  </si>
  <si>
    <t>转盘活动</t>
  </si>
  <si>
    <t>抽取价格/钻石</t>
  </si>
  <si>
    <t>轮盘内</t>
  </si>
  <si>
    <t>抽干以后</t>
  </si>
  <si>
    <t>价值计算</t>
  </si>
  <si>
    <r>
      <rPr>
        <sz val="9"/>
        <color theme="1"/>
        <rFont val="微软雅黑"/>
        <family val="2"/>
        <charset val="134"/>
      </rPr>
      <t>T2LP</t>
    </r>
    <r>
      <rPr>
        <sz val="9"/>
        <color theme="1"/>
        <rFont val="微软雅黑"/>
        <family val="2"/>
        <charset val="134"/>
      </rPr>
      <t>3</t>
    </r>
  </si>
  <si>
    <r>
      <rPr>
        <sz val="9"/>
        <color theme="1"/>
        <rFont val="微软雅黑"/>
        <family val="2"/>
        <charset val="134"/>
      </rPr>
      <t>T1LP</t>
    </r>
    <r>
      <rPr>
        <sz val="9"/>
        <color theme="1"/>
        <rFont val="微软雅黑"/>
        <family val="2"/>
        <charset val="134"/>
      </rPr>
      <t>3</t>
    </r>
  </si>
  <si>
    <t>轮盘阶段宝箱</t>
  </si>
  <si>
    <t>顺序</t>
  </si>
  <si>
    <t>累计次数</t>
  </si>
  <si>
    <t>累计价格</t>
  </si>
  <si>
    <r>
      <rPr>
        <sz val="9"/>
        <color theme="1"/>
        <rFont val="微软雅黑"/>
        <family val="2"/>
        <charset val="134"/>
      </rPr>
      <t>T3LP</t>
    </r>
    <r>
      <rPr>
        <sz val="9"/>
        <color theme="1"/>
        <rFont val="微软雅黑"/>
        <family val="2"/>
        <charset val="134"/>
      </rPr>
      <t>5</t>
    </r>
  </si>
  <si>
    <t>免费Pass</t>
  </si>
  <si>
    <t>付费Pass</t>
  </si>
  <si>
    <t>奖励内容汇总</t>
  </si>
  <si>
    <t>奖励配置内容</t>
  </si>
  <si>
    <t>赛季等级</t>
  </si>
  <si>
    <t>赛季序号</t>
  </si>
  <si>
    <t>物品数量</t>
  </si>
  <si>
    <t>阶段总价</t>
  </si>
  <si>
    <t>道具估值</t>
  </si>
  <si>
    <t>是否使用</t>
  </si>
  <si>
    <t>普通奖励</t>
  </si>
  <si>
    <t>特殊奖励</t>
  </si>
  <si>
    <t>头像</t>
  </si>
  <si>
    <t>免费Pass总价</t>
  </si>
  <si>
    <t>付费Pass总价</t>
  </si>
  <si>
    <t>整体Pass总价</t>
  </si>
  <si>
    <t>首周进度</t>
  </si>
  <si>
    <t>首周总价</t>
  </si>
  <si>
    <t>首周占比</t>
  </si>
  <si>
    <t>涂鸦</t>
  </si>
  <si>
    <t>个数总量统计</t>
  </si>
  <si>
    <t>总投放数</t>
  </si>
  <si>
    <t>免费投放数</t>
  </si>
  <si>
    <t>总数</t>
  </si>
  <si>
    <t>头像框</t>
  </si>
  <si>
    <t>摆件</t>
  </si>
  <si>
    <t>战旗</t>
  </si>
  <si>
    <t>涂装</t>
  </si>
  <si>
    <t>流光</t>
  </si>
  <si>
    <t>加速</t>
  </si>
  <si>
    <t>宝箱</t>
  </si>
  <si>
    <t>分类价值统计</t>
  </si>
  <si>
    <t/>
  </si>
  <si>
    <t>外观向</t>
  </si>
  <si>
    <t>非外观向</t>
  </si>
  <si>
    <t>S2豪华版额外奖励</t>
  </si>
  <si>
    <t>S1豪华版额外奖励</t>
  </si>
  <si>
    <t>所有总数</t>
  </si>
  <si>
    <t>赛季</t>
  </si>
  <si>
    <t>任务描述</t>
  </si>
  <si>
    <t>任务名称</t>
  </si>
  <si>
    <t>周序号</t>
  </si>
  <si>
    <t>任务参数（client）</t>
  </si>
  <si>
    <t>任务条件系数</t>
  </si>
  <si>
    <t>任务判断次数</t>
  </si>
  <si>
    <t>卡类型</t>
  </si>
  <si>
    <t>任务名称Key</t>
  </si>
  <si>
    <t>任务描述Key</t>
  </si>
  <si>
    <t>任务名</t>
  </si>
  <si>
    <t>回调方法</t>
  </si>
  <si>
    <t>任务类型(0:待定;1:参数战斗;2:击毁敌方坦克;3:敌方部件;4:获得空降道具;5:获得坦克;6:坦克升星;7:部件科技树升级;8::部件升星;9:军团捐献;10:获得宝箱;11:打开宝箱;12:战斗消耗道具待开发);13:聊天14:使用道具;15:获得物品;16:组队;17:购买物品</t>
  </si>
  <si>
    <t>参数抽取</t>
  </si>
  <si>
    <t>任务奖励</t>
  </si>
  <si>
    <t>奖励填表</t>
  </si>
  <si>
    <t>计算完成天数</t>
  </si>
  <si>
    <t>任务个数统计</t>
  </si>
  <si>
    <t>经验获取进度</t>
  </si>
  <si>
    <t>任务类型</t>
  </si>
  <si>
    <t>参数类型</t>
  </si>
  <si>
    <t>难度参数</t>
  </si>
  <si>
    <t>单场参数换算</t>
  </si>
  <si>
    <t>单场时间/分钟</t>
  </si>
  <si>
    <t>任务次数奖励</t>
  </si>
  <si>
    <t>个数</t>
  </si>
  <si>
    <t>免费个数</t>
  </si>
  <si>
    <t>天序号</t>
  </si>
  <si>
    <t>周天序号</t>
  </si>
  <si>
    <t>周进度</t>
  </si>
  <si>
    <t>总进度</t>
  </si>
  <si>
    <t>总进度（包含战场掉落和任务和周任务）</t>
  </si>
  <si>
    <t>每天平均游戏时间/分钟</t>
  </si>
  <si>
    <t>需要经验</t>
  </si>
  <si>
    <t>免费等级</t>
  </si>
  <si>
    <t>付费等级</t>
  </si>
  <si>
    <t>#{number1}分钟内获得胜利</t>
  </si>
  <si>
    <t>疾风闪电</t>
  </si>
  <si>
    <t>[(4,180)]</t>
  </si>
  <si>
    <t>BP_MISSION_NAME_BATTLE_WIN7</t>
  </si>
  <si>
    <t>BP_MISSION_BATTLE_WIN7</t>
  </si>
  <si>
    <t>RoleWinBattleWithSecondEvent</t>
  </si>
  <si>
    <t>dealRoleWinBattleWithSecondEvent</t>
  </si>
  <si>
    <t>累计击杀#{number1}辆坦克</t>
  </si>
  <si>
    <t>单场</t>
  </si>
  <si>
    <t>掉落概率</t>
  </si>
  <si>
    <t>部件升级#{number1}次</t>
  </si>
  <si>
    <t>潜心科研</t>
  </si>
  <si>
    <t>[6]</t>
  </si>
  <si>
    <t>[]</t>
  </si>
  <si>
    <t>BP_MISSION_NAME_STRONGER_UPGRADE</t>
  </si>
  <si>
    <t>BP_MISSION_STRONGER_UPGRADE</t>
  </si>
  <si>
    <t>RoleTankPartUpgradeEvent</t>
  </si>
  <si>
    <t>dealRoleTankPartUpgradeEvent</t>
  </si>
  <si>
    <t>持有至少#{number1}个补给箱的情况下获得胜利</t>
  </si>
  <si>
    <t>多天</t>
  </si>
  <si>
    <t>场均击杀</t>
  </si>
  <si>
    <t>胸有成竹</t>
  </si>
  <si>
    <t>[4]</t>
  </si>
  <si>
    <t>[(1,1024),(1,8192),(6,4)]</t>
  </si>
  <si>
    <t>BP_MISSION_NAME_BATTLE_WIN6</t>
  </si>
  <si>
    <t>BP_MISSION_BATTLE_WIN6</t>
  </si>
  <si>
    <t>RoleWinBattleWithPropEvent</t>
  </si>
  <si>
    <t>dealRoleWinBattleWithPropEvent</t>
  </si>
  <si>
    <t>组队完成#{number1}战斗</t>
  </si>
  <si>
    <t>单天</t>
  </si>
  <si>
    <t>每天获得经验值</t>
  </si>
  <si>
    <t>摧毁同一敌方玩家的坦克#{number1}次</t>
  </si>
  <si>
    <t>什么仇什么怨</t>
  </si>
  <si>
    <t>[(10,2)]</t>
  </si>
  <si>
    <t>BP_MISSION_NAME_BATTLE_KILL6</t>
  </si>
  <si>
    <t>BP_MISSION_BATTLE_KILL6</t>
  </si>
  <si>
    <t>RoleDestorySameTankEvent</t>
  </si>
  <si>
    <t>dealRoleDestorySameTankEvent</t>
  </si>
  <si>
    <t>获得#{number1}次冠军</t>
  </si>
  <si>
    <t>多场</t>
  </si>
  <si>
    <t>获得#{number1}场胜利</t>
  </si>
  <si>
    <t>心满意足</t>
  </si>
  <si>
    <t>[10]</t>
  </si>
  <si>
    <t>BP_MISSION_NAME_BATTLE_WIN3</t>
  </si>
  <si>
    <t>BP_MISSION_BATTLE_WIN3</t>
  </si>
  <si>
    <t>RoleWinBattleEvent</t>
  </si>
  <si>
    <t>dealRoleWinBattleEvent</t>
  </si>
  <si>
    <t>主宰</t>
  </si>
  <si>
    <t>BP_MISSION_NAME_BATTLE_CHAMPION</t>
  </si>
  <si>
    <t>BP_MISSION_BATTLE_CHAMPION</t>
  </si>
  <si>
    <t>RoleMVPInBattleEvent</t>
  </si>
  <si>
    <t>dealRoleMVPInBattleEvent</t>
  </si>
  <si>
    <t>击碎#{number1}个障碍物</t>
  </si>
  <si>
    <t>别挡路</t>
  </si>
  <si>
    <t>[30]</t>
  </si>
  <si>
    <t>BP_MISSION_NAME_BATTLE_KILL2</t>
  </si>
  <si>
    <t>BP_MISSION_BATTLE_KILL2</t>
  </si>
  <si>
    <t>RoleDestoryActorEvent</t>
  </si>
  <si>
    <t>dealRoleDestoryActorEvent</t>
  </si>
  <si>
    <t>横扫四方</t>
  </si>
  <si>
    <t>BP_MISSION_NAME_BATTLE_KILL</t>
  </si>
  <si>
    <t>BP_MISSION_BATTLE_KILL</t>
  </si>
  <si>
    <t>RoleDestoryTankEvent</t>
  </si>
  <si>
    <t>dealRoleDestoryTankEvent</t>
  </si>
  <si>
    <t>使用#{number1}次加速器</t>
  </si>
  <si>
    <t>世界频道聊天#{number1}次</t>
  </si>
  <si>
    <t>名扬四海</t>
  </si>
  <si>
    <t>BP_MISSION_NAME_SOCIAL_CHAT</t>
  </si>
  <si>
    <t>BP_MISSION_SOCIAL_CHAT</t>
  </si>
  <si>
    <t>RoleWorldChatEvent</t>
  </si>
  <si>
    <t>dealRoleWorldChatEvent</t>
  </si>
  <si>
    <t>在任意据点内获得#{number1}个击杀</t>
  </si>
  <si>
    <t>用主动技能摧毁#{number1}辆坦克</t>
  </si>
  <si>
    <t>摧枯拉朽</t>
  </si>
  <si>
    <t>BP_MISSION_NAME_BATTLE_KILL4</t>
  </si>
  <si>
    <t>BP_MISSION_BATTLE_KILL4</t>
  </si>
  <si>
    <t>RoleDestoryTankUseSkillEvent</t>
  </si>
  <si>
    <t>dealRoleDestoryTankUseSkillEvent</t>
  </si>
  <si>
    <t>#{number1}码范围外摧毁#{number2}辆坦克</t>
  </si>
  <si>
    <t>百步穿杨</t>
  </si>
  <si>
    <t>[30,5]</t>
  </si>
  <si>
    <t>[(5,30)]</t>
  </si>
  <si>
    <t>BP_MISSION_NAME_BATTLE_KILL8</t>
  </si>
  <si>
    <t>BP_MISSION_BATTLE_KILL8</t>
  </si>
  <si>
    <t>RoleDestoryTankWithDistanceEvent</t>
  </si>
  <si>
    <t>dealRoleDestoryTankWithDistanceEvent</t>
  </si>
  <si>
    <t>参与夺回#{number1}次据点</t>
  </si>
  <si>
    <t>这是我的据点</t>
  </si>
  <si>
    <t>[(1,32)]</t>
  </si>
  <si>
    <t>BP_MISSION_NAME_BATTLE_LOOT</t>
  </si>
  <si>
    <t>BP_MISSION_BATTLE_LOOT</t>
  </si>
  <si>
    <t>RoleOccupyResourceNodeFromEnemyEvent</t>
  </si>
  <si>
    <t>dealRoleOccupyResourceNodeFromEnemyEvent</t>
  </si>
  <si>
    <t>在敌方坦克加速时将其摧毁</t>
  </si>
  <si>
    <t>持有至少#{number1}个补给箱的情况下摧毁#{number2}辆坦克</t>
  </si>
  <si>
    <t>越战越勇</t>
  </si>
  <si>
    <t>[(1,1024),(1,8192),(6,5)]</t>
  </si>
  <si>
    <t>BP_MISSION_NAME_BATTLE_KILL7</t>
  </si>
  <si>
    <t>BP_MISSION__BATTLE_KILL7</t>
  </si>
  <si>
    <t>RoleDestoryTankWithPropEvent</t>
  </si>
  <si>
    <t>dealRoleDestoryTankWithPropEvent</t>
  </si>
  <si>
    <t>获得#{number1}把钥匙</t>
  </si>
  <si>
    <t>金光灿灿</t>
  </si>
  <si>
    <t>BP_MISSION_NAME_PICK_GET</t>
  </si>
  <si>
    <t>BP_MISSION_PICK_GET</t>
  </si>
  <si>
    <t>RoleEarnKeyEvent</t>
  </si>
  <si>
    <t>dealRoleEarnKeyEvent</t>
  </si>
  <si>
    <t>在资源落后#{number1}点的情况反超并获胜</t>
  </si>
  <si>
    <t>[15]</t>
  </si>
  <si>
    <t>在一个据点内持续生存#{number1}秒</t>
  </si>
  <si>
    <t>时光沙漏</t>
  </si>
  <si>
    <t>BP_MISSION_NAME_STRONGER_UPGRADE3</t>
  </si>
  <si>
    <t>BP_MISSION_STRONGER_UPGRADE3</t>
  </si>
  <si>
    <t>RoleTankPartAccelerateUpgradeEvent</t>
  </si>
  <si>
    <t>dealRoleTankPartAccelerateUpgradeEvent</t>
  </si>
  <si>
    <t>提升#{number1}次联赛等级</t>
  </si>
  <si>
    <t>统御全场</t>
  </si>
  <si>
    <t>[(1,32),(10,3)]</t>
  </si>
  <si>
    <t>BP_MISSION_NAME_BATTLE_KILL3</t>
  </si>
  <si>
    <t>BP_MISSION_BATTLE_KILL3</t>
  </si>
  <si>
    <t>RoleDestoryTankWithEveryResourceNodeEvent</t>
  </si>
  <si>
    <t>dealRoleDestoryTankWithEveryResourceNodeEvent</t>
  </si>
  <si>
    <t>在商店内累计购买#{number1}次物品</t>
  </si>
  <si>
    <t>采购</t>
  </si>
  <si>
    <t>BP_MISSION_NAME_STORE_BUY</t>
  </si>
  <si>
    <t>BP_MISSIONSTORE_BUY</t>
  </si>
  <si>
    <t>RolePurchaseTimesEvent</t>
  </si>
  <si>
    <t>dealRolePurchaseTimesEvent</t>
  </si>
  <si>
    <t>密切合作</t>
  </si>
  <si>
    <t>BP_MISSION_NAME_BATTLE_FRIEND</t>
  </si>
  <si>
    <t>BP_MISSION_BATTLE_FRIEND</t>
  </si>
  <si>
    <t>在所有据点都占据的情况下获得胜利</t>
  </si>
  <si>
    <t>部件进阶#{number1}次</t>
  </si>
  <si>
    <t>技术改革</t>
  </si>
  <si>
    <t>BP_MISSION_NAME_STRONGER_UPGRADE1</t>
  </si>
  <si>
    <t>BP_MISSION_STRONGER_UPGRADE1</t>
  </si>
  <si>
    <t>RoleTankPartStageUpgradeEvent</t>
  </si>
  <si>
    <t>dealRoleTankPartStageUpgradeEvent</t>
  </si>
  <si>
    <t>[(1,1024),(1,8192),(6,6)]</t>
  </si>
  <si>
    <t>[25]</t>
  </si>
  <si>
    <t>[80]</t>
  </si>
  <si>
    <t>以#{number1}点或更小的资源优势获胜</t>
  </si>
  <si>
    <t>累计开启宝箱#{number1}次</t>
  </si>
  <si>
    <t>宝箱，我的最爱</t>
  </si>
  <si>
    <t>BP_MISSION_NAME_STRONGER_OPEN</t>
  </si>
  <si>
    <t>BP_MISSION_STRONGER_OPEN</t>
  </si>
  <si>
    <t>RoleOpenChestEvent</t>
  </si>
  <si>
    <t>dealRoleOpenChestEvent</t>
  </si>
  <si>
    <t>在敌方队伍补给箱达到#{number1}以上后获得胜利</t>
  </si>
  <si>
    <t>累计消耗#{number1}军费</t>
  </si>
  <si>
    <t>临阵磨枪</t>
  </si>
  <si>
    <t>[20000]</t>
  </si>
  <si>
    <t>BP_MISSION_NAME_STRONGER_UPGRADE4</t>
  </si>
  <si>
    <t>BP_MISSION_STRONGER_UPGRADE4</t>
  </si>
  <si>
    <t>RoleCostFundEvent</t>
  </si>
  <si>
    <t>dealRoleCostFundEvent</t>
  </si>
  <si>
    <t>连续登陆#{number1}天</t>
  </si>
  <si>
    <t>抢夺敌方#{number1}个补给箱</t>
  </si>
  <si>
    <t>劫掠成性</t>
  </si>
  <si>
    <t>[(1,1024),(1,8192)]</t>
  </si>
  <si>
    <t>BP_MISSION_NAME_BATTLE_SUPPLY1</t>
  </si>
  <si>
    <t>BP_MISSION_BATTLE_SUPPLY1</t>
  </si>
  <si>
    <t>RolePickupItemEnemyEvent</t>
  </si>
  <si>
    <t>dealRolePickupItemEnemyEvent</t>
  </si>
  <si>
    <t>拿到#{number1}个补给箱</t>
  </si>
  <si>
    <t>在空投掉落区域内摧毁#{number1}辆坦克</t>
  </si>
  <si>
    <t>加速死亡?</t>
  </si>
  <si>
    <t>BP_MISSION_NAME_BATTLE_KILL5</t>
  </si>
  <si>
    <t>BP_MISSION_BATTLE_KILL5</t>
  </si>
  <si>
    <t>RoleDestoryTankStateSkillChargeEvent</t>
  </si>
  <si>
    <t>dealRoleDestoryTankStateSkillChargeEvent</t>
  </si>
  <si>
    <t>累计消耗#{number1}钻石</t>
  </si>
  <si>
    <t>[30,15]</t>
  </si>
  <si>
    <t>[5]</t>
  </si>
  <si>
    <t>获得#{number1}件旗帜</t>
  </si>
  <si>
    <t>挥金如土</t>
  </si>
  <si>
    <t>[500]</t>
  </si>
  <si>
    <t>BP_MISSION_NAME_BATTLE_BUY1</t>
  </si>
  <si>
    <t>BP_MISSION_BATTLE_BUY1</t>
  </si>
  <si>
    <t>RoleCostDiamondEvent</t>
  </si>
  <si>
    <t>dealRoleCostDiamondEvent</t>
  </si>
  <si>
    <t>连续登陆</t>
  </si>
  <si>
    <t>BP_MISSION_NAME_LOGIN_CONTINUOUS</t>
  </si>
  <si>
    <t>BP_MISSION_LOGIN_CONTINUOUS</t>
  </si>
  <si>
    <t>RoleContinueLoginDayEvent</t>
  </si>
  <si>
    <t>dealRoleContinueLoginDayEvent</t>
  </si>
  <si>
    <t>固若金汤</t>
  </si>
  <si>
    <t>[75]</t>
  </si>
  <si>
    <t>[(1,32),(3,75)]</t>
  </si>
  <si>
    <t>BP_MISSION_NAME_BATTLE_ALIVE</t>
  </si>
  <si>
    <t>BP_MISSION_BATTLE_ALIVE</t>
  </si>
  <si>
    <t>RoleAliveInResourceNodeEvent</t>
  </si>
  <si>
    <t>dealRoleAliveInResourceNodeEvent</t>
  </si>
  <si>
    <t>[8]</t>
  </si>
  <si>
    <t>登堂入室</t>
  </si>
  <si>
    <t>[1]</t>
  </si>
  <si>
    <t>BP_MISSION_NAME_STRONGER_UPGRADE2</t>
  </si>
  <si>
    <t>BP_MISSION_STRONGER_UPGRADE2</t>
  </si>
  <si>
    <t>RoleRankLevelupEvent</t>
  </si>
  <si>
    <t>dealRoleRankLevelupEvent</t>
  </si>
  <si>
    <t>[20]</t>
  </si>
  <si>
    <t>[5,10]</t>
  </si>
  <si>
    <t>毫不浪费</t>
  </si>
  <si>
    <t>BP_MISSION_NAME_BATTLE_WIN1</t>
  </si>
  <si>
    <t>BP_MISSION_BATTLE_WIN1</t>
  </si>
  <si>
    <t>RoleWinBattleWithResourceNodeEvent</t>
  </si>
  <si>
    <t>dealRoleWinBattleWithResourceNodeEvent</t>
  </si>
  <si>
    <t>不要以为你赢了</t>
  </si>
  <si>
    <t>BP_MISSION_NAME_BATTLE_WIN5</t>
  </si>
  <si>
    <t>BP_MISSION_BATTLE_WIN5</t>
  </si>
  <si>
    <t>RoleWinBattleWithMaxDifferenceEvent</t>
  </si>
  <si>
    <t>dealRoleWinBattleWithMaxDifferenceEvent</t>
  </si>
  <si>
    <t>补给爱好者</t>
  </si>
  <si>
    <t>BP_MISSION_NAME_BATTLE_SUPPLY</t>
  </si>
  <si>
    <t>BP_MISSION_BATTLE_SUPPLY</t>
  </si>
  <si>
    <t>RolePickupItemEvent</t>
  </si>
  <si>
    <t>dealRolePickupItemEvent</t>
  </si>
  <si>
    <t>BP_MISSION_NAME_SOCIAL_FRIEND</t>
  </si>
  <si>
    <t>BP_MISSION_SOCIAL_FRIEND</t>
  </si>
  <si>
    <t>旗鼓相当</t>
  </si>
  <si>
    <t>BP_MISSION_NAME_BATTLE_WIN4</t>
  </si>
  <si>
    <t>BP_MISSION_BATTLE_WIN4</t>
  </si>
  <si>
    <t>RoleWinBattleWithDifferenceEvent</t>
  </si>
  <si>
    <t>dealRoleWinBattleWithDifferenceEvent</t>
  </si>
  <si>
    <t>死亡呼吸</t>
  </si>
  <si>
    <t>[(1,1024),(1,8192),(6,20)]</t>
  </si>
  <si>
    <t>BP_MISSION_NAME_BATTLE_WIN</t>
  </si>
  <si>
    <t>BP_MISSION_BATTLE_WIN</t>
  </si>
  <si>
    <t>RoleWinBattleWithEnemyPropEvent</t>
  </si>
  <si>
    <t>dealRoleWinBattleWithEnemyPropEvent</t>
  </si>
  <si>
    <t>我拿补给，你吃炮弹</t>
  </si>
  <si>
    <t>BP_MISSION_NAME_BATTLE_KILL1</t>
  </si>
  <si>
    <t>RoleDestoryTankInDropZoneEvent</t>
  </si>
  <si>
    <t>dealRoleDestoryTankInDropZoneEvent</t>
  </si>
  <si>
    <t>[1000]</t>
  </si>
  <si>
    <t>[(10,3)]</t>
  </si>
  <si>
    <t>旗帜收集狂</t>
  </si>
  <si>
    <t>BP_MISSION_NAME_DECORATION_FLAG</t>
  </si>
  <si>
    <t>BP_MISSION_DECORATION_FLAG</t>
  </si>
  <si>
    <t>RoleEarnBattleFlagEvent</t>
  </si>
  <si>
    <t>dealRoleEarnBattleFlagEvent</t>
  </si>
  <si>
    <t>[2000]</t>
  </si>
  <si>
    <t>[5000]</t>
  </si>
  <si>
    <t>[300]</t>
  </si>
  <si>
    <t>[(1,1024),(1,8192),(6,10)]</t>
  </si>
  <si>
    <t>成就详情</t>
  </si>
  <si>
    <t>成就参数-计算</t>
  </si>
  <si>
    <t>成就参数-微调</t>
  </si>
  <si>
    <t>成就参数-取整</t>
  </si>
  <si>
    <t>奖励物品ID</t>
  </si>
  <si>
    <t>奖励物品数目</t>
  </si>
  <si>
    <t>填表</t>
  </si>
  <si>
    <t>是否开启</t>
  </si>
  <si>
    <t>成就类型</t>
  </si>
  <si>
    <t>成就阶段</t>
  </si>
  <si>
    <t>成就难度</t>
  </si>
  <si>
    <t>计算完成时间/天</t>
  </si>
  <si>
    <t>预期完成时间/天</t>
  </si>
  <si>
    <t>对应积分</t>
  </si>
  <si>
    <t>是否开启填表</t>
  </si>
  <si>
    <t>积分奖励</t>
  </si>
  <si>
    <t>对应时间</t>
  </si>
  <si>
    <t>积分取整</t>
  </si>
  <si>
    <t>计算参数</t>
  </si>
  <si>
    <t>累积击毁#{number1}辆坦克</t>
  </si>
  <si>
    <t>[101]</t>
  </si>
  <si>
    <t>总奖励</t>
  </si>
  <si>
    <t>类型描述</t>
  </si>
  <si>
    <t>难度设定</t>
  </si>
  <si>
    <t>参数值</t>
  </si>
  <si>
    <t>类型查找用</t>
  </si>
  <si>
    <t>总完成时间</t>
  </si>
  <si>
    <t>每天钻石</t>
  </si>
  <si>
    <t>获得#{number1}次MVP</t>
  </si>
  <si>
    <t>获得#{number1}次比赛胜利</t>
  </si>
  <si>
    <t>取得#{number1}个补给箱</t>
  </si>
  <si>
    <t>难度和奖励</t>
  </si>
  <si>
    <t>难度</t>
  </si>
  <si>
    <t>破坏#{number1}个障碍物</t>
  </si>
  <si>
    <t>难度和完成天数</t>
  </si>
  <si>
    <t>组合字段</t>
  </si>
  <si>
    <t>使用轻坦完成#{number1}场比赛</t>
  </si>
  <si>
    <t>使用中坦完成#{number1}场比赛</t>
  </si>
  <si>
    <t>使用重坦完成#{number1}场比赛</t>
  </si>
  <si>
    <t>参与占领#{number1}次据点</t>
  </si>
  <si>
    <t>利用油桶击毁#{number1}次敌人</t>
  </si>
  <si>
    <t>被油桶炸毁#{number1}次</t>
  </si>
  <si>
    <t>累积行驶#{number1}米</t>
  </si>
  <si>
    <t>撞毁敌方坦克#{number1}次</t>
  </si>
  <si>
    <t>拥有#{number1}辆轻坦</t>
  </si>
  <si>
    <t>拥有#{number1}辆中坦</t>
  </si>
  <si>
    <t>拥有#{number1}辆重坦</t>
  </si>
  <si>
    <t>拥有#{number1}辆三星坦克</t>
  </si>
  <si>
    <t>拥有#{number1}辆四星坦克</t>
  </si>
  <si>
    <t>拥有#{number1}辆五星坦克</t>
  </si>
  <si>
    <t>拥有#{number1}辆六星坦克</t>
  </si>
  <si>
    <t>拥有#{number1}辆T1坦克</t>
  </si>
  <si>
    <t>拥有#{number1}辆T2坦克</t>
  </si>
  <si>
    <t>拥有#{number1}辆T3坦克</t>
  </si>
  <si>
    <t>拥有#{number1}辆T4坦克</t>
  </si>
  <si>
    <t>拥有#{number1}个坦克皮肤</t>
  </si>
  <si>
    <t>拥有#{number1}个摆件</t>
  </si>
  <si>
    <t>上阵坦克战力达到#{number1}</t>
  </si>
  <si>
    <t>玩家排行榜进入前#{number1}名</t>
  </si>
  <si>
    <t>军团排行榜进入前#{number1}名</t>
  </si>
  <si>
    <t>参与#{number1}试验场</t>
  </si>
  <si>
    <t>每日活跃度</t>
  </si>
  <si>
    <t>登陆游戏（每日登陆）新增</t>
  </si>
  <si>
    <t>活跃度价值</t>
  </si>
  <si>
    <t>打开1个宝箱（寻宝）</t>
  </si>
  <si>
    <t>活跃度产出</t>
  </si>
  <si>
    <t>使用任意坦克参与3场战斗（参军）</t>
  </si>
  <si>
    <t>平均钻石</t>
  </si>
  <si>
    <t>使用任意坦克赢得3场战斗(制胜)</t>
  </si>
  <si>
    <t>平均军费</t>
  </si>
  <si>
    <t>任意单场比赛中击毁2辆敌方坦克（战士）</t>
  </si>
  <si>
    <t>活跃度/钻石</t>
  </si>
  <si>
    <t>任意模式累计击毁5辆敌方坦克 (毁灭者）</t>
  </si>
  <si>
    <t>每日任务数</t>
  </si>
  <si>
    <t>使用任意主动技能摧毁5辆坦克（科技战）新增</t>
  </si>
  <si>
    <t>摧毁10个障碍物（击碎障碍）新增</t>
  </si>
  <si>
    <t>任务活跃度设定</t>
  </si>
  <si>
    <t>奖励系数</t>
  </si>
  <si>
    <t>占领5次据点（占领）新增</t>
  </si>
  <si>
    <t>活跃度1</t>
  </si>
  <si>
    <t>活跃度2</t>
  </si>
  <si>
    <t>活跃度3</t>
  </si>
  <si>
    <t>总活跃度</t>
  </si>
  <si>
    <t>奖励系数1</t>
  </si>
  <si>
    <t>奖励系数2</t>
  </si>
  <si>
    <t>奖励系数3</t>
  </si>
  <si>
    <t>拾取20个补给箱（争夺）新增</t>
  </si>
  <si>
    <t>签到</t>
  </si>
  <si>
    <t>获得一次MVP（冠军）新增</t>
  </si>
  <si>
    <t>低时长</t>
  </si>
  <si>
    <t>累积在线时长20分钟（训练）新增</t>
  </si>
  <si>
    <t>中时长</t>
  </si>
  <si>
    <t>获得30把钥匙（金灿灿）新增</t>
  </si>
  <si>
    <t>高时长</t>
  </si>
  <si>
    <t>与好友组队完成1次比赛（开黑时光）新增</t>
  </si>
  <si>
    <t>对任意坦克部件升级1次（升级部件）</t>
  </si>
  <si>
    <t>宝箱对应活跃度</t>
  </si>
  <si>
    <t>收集10个任意坦克碎片（提升实力）新增</t>
  </si>
  <si>
    <t>宝箱类型</t>
  </si>
  <si>
    <t>标准时长</t>
  </si>
  <si>
    <t>组合中数目</t>
  </si>
  <si>
    <t>需活跃度</t>
  </si>
  <si>
    <t>宝箱价值</t>
  </si>
  <si>
    <t>掉落钻石</t>
  </si>
  <si>
    <t>任务日活跃度</t>
  </si>
  <si>
    <t>其他奖励</t>
  </si>
  <si>
    <t>组合序列</t>
  </si>
  <si>
    <t>宝箱位置1</t>
  </si>
  <si>
    <t>宝箱位置2</t>
  </si>
  <si>
    <t>宝箱位置3</t>
  </si>
  <si>
    <t>宝箱位置4</t>
  </si>
  <si>
    <t>宝箱位置5</t>
  </si>
  <si>
    <t>宝箱位置6</t>
  </si>
  <si>
    <t>宝箱位置7</t>
  </si>
  <si>
    <t>宝箱位置8</t>
  </si>
  <si>
    <t>宝箱位置9</t>
  </si>
  <si>
    <t>宝箱位置10</t>
  </si>
  <si>
    <t>宝箱位置11</t>
  </si>
  <si>
    <t>宝箱位置12</t>
  </si>
  <si>
    <t>宝箱位置13</t>
  </si>
  <si>
    <t>宝箱位置14</t>
  </si>
  <si>
    <t>宝箱位置15</t>
  </si>
  <si>
    <t>周活跃点数</t>
  </si>
  <si>
    <r>
      <rPr>
        <sz val="9"/>
        <color theme="1"/>
        <rFont val="微软雅黑"/>
        <family val="2"/>
        <charset val="134"/>
      </rPr>
      <t>[</t>
    </r>
    <r>
      <rPr>
        <sz val="9"/>
        <color theme="1"/>
        <rFont val="微软雅黑"/>
        <family val="2"/>
        <charset val="134"/>
      </rPr>
      <t>102,101,40005]</t>
    </r>
  </si>
  <si>
    <r>
      <rPr>
        <sz val="9"/>
        <color theme="1"/>
        <rFont val="微软雅黑"/>
        <family val="2"/>
        <charset val="134"/>
      </rPr>
      <t>[</t>
    </r>
    <r>
      <rPr>
        <sz val="9"/>
        <color theme="1"/>
        <rFont val="微软雅黑"/>
        <family val="2"/>
        <charset val="134"/>
      </rPr>
      <t>10000,50,1]</t>
    </r>
  </si>
  <si>
    <t>初始序列</t>
  </si>
  <si>
    <t>任务ID</t>
  </si>
  <si>
    <t>任务难度</t>
  </si>
  <si>
    <t>需求内容</t>
  </si>
  <si>
    <t>最低要求</t>
  </si>
  <si>
    <t>居中要求</t>
  </si>
  <si>
    <t>最高要求</t>
  </si>
  <si>
    <t>军费1</t>
  </si>
  <si>
    <t>军费2</t>
  </si>
  <si>
    <t>军费3</t>
  </si>
  <si>
    <t>活跃值1</t>
  </si>
  <si>
    <t>活跃值2</t>
  </si>
  <si>
    <t>活跃值3</t>
  </si>
  <si>
    <t>完成战斗</t>
  </si>
  <si>
    <t>易</t>
  </si>
  <si>
    <t>场次</t>
  </si>
  <si>
    <t>赢得战斗</t>
  </si>
  <si>
    <t>单场击毁</t>
  </si>
  <si>
    <t>难</t>
  </si>
  <si>
    <t>累计击毁</t>
  </si>
  <si>
    <t>打开宝箱</t>
  </si>
  <si>
    <t>消费</t>
  </si>
  <si>
    <t>拾取道具</t>
  </si>
  <si>
    <t>宝箱分类及产出内容</t>
  </si>
  <si>
    <t>产出定位</t>
  </si>
  <si>
    <t>内容价值分配比例</t>
  </si>
  <si>
    <t>以价值为衡量标准,则不同箱子中各部分占的价值比例应该性价比越高的箱子适用物品占比越大,至少相同.</t>
  </si>
  <si>
    <t>抽取价值</t>
  </si>
  <si>
    <t>目标玩家</t>
  </si>
  <si>
    <t>产出倾向</t>
  </si>
  <si>
    <t>坦克比例</t>
  </si>
  <si>
    <t>所有玩家</t>
  </si>
  <si>
    <t>平均产出</t>
  </si>
  <si>
    <t>免费玩家</t>
  </si>
  <si>
    <t>低一级产出</t>
  </si>
  <si>
    <t>出售宝箱1</t>
  </si>
  <si>
    <t>付费玩家</t>
  </si>
  <si>
    <t>倾向高级</t>
  </si>
  <si>
    <t>出售宝箱2</t>
  </si>
  <si>
    <t>出售宝箱3</t>
  </si>
  <si>
    <t>礼包分类</t>
  </si>
  <si>
    <t>部件数量</t>
  </si>
  <si>
    <t>道具个数</t>
  </si>
  <si>
    <r>
      <rPr>
        <sz val="9"/>
        <color theme="1"/>
        <rFont val="微软雅黑"/>
        <family val="2"/>
        <charset val="134"/>
      </rPr>
      <t>T</t>
    </r>
    <r>
      <rPr>
        <sz val="9"/>
        <color theme="1"/>
        <rFont val="微软雅黑"/>
        <family val="2"/>
        <charset val="134"/>
      </rPr>
      <t>2</t>
    </r>
    <r>
      <rPr>
        <sz val="9"/>
        <color theme="1"/>
        <rFont val="微软雅黑"/>
        <family val="2"/>
        <charset val="134"/>
      </rPr>
      <t>部件</t>
    </r>
  </si>
  <si>
    <r>
      <rPr>
        <sz val="9"/>
        <color theme="1"/>
        <rFont val="微软雅黑"/>
        <family val="2"/>
        <charset val="134"/>
      </rPr>
      <t>T3</t>
    </r>
    <r>
      <rPr>
        <sz val="9"/>
        <color theme="1"/>
        <rFont val="微软雅黑"/>
        <family val="2"/>
        <charset val="134"/>
      </rPr>
      <t>部件</t>
    </r>
  </si>
  <si>
    <r>
      <rPr>
        <sz val="9"/>
        <color theme="1"/>
        <rFont val="微软雅黑"/>
        <family val="2"/>
        <charset val="134"/>
      </rPr>
      <t>T4</t>
    </r>
    <r>
      <rPr>
        <sz val="9"/>
        <color theme="1"/>
        <rFont val="微软雅黑"/>
        <family val="2"/>
        <charset val="134"/>
      </rPr>
      <t>部件</t>
    </r>
  </si>
  <si>
    <t>碎片Tier</t>
  </si>
  <si>
    <t>碎片数量</t>
  </si>
  <si>
    <t>宝箱售卖节奏</t>
  </si>
  <si>
    <t>出售宝箱4</t>
  </si>
  <si>
    <t>出售宝箱5</t>
  </si>
  <si>
    <t>消耗比例</t>
  </si>
  <si>
    <t>每日宝箱</t>
  </si>
  <si>
    <t>宝箱分类</t>
  </si>
  <si>
    <t>总计比例</t>
  </si>
  <si>
    <t>M道具种类</t>
  </si>
  <si>
    <t>标准比例</t>
  </si>
  <si>
    <t>碎片+整体</t>
  </si>
  <si>
    <t>只有碎片</t>
  </si>
  <si>
    <t>对应大类</t>
  </si>
  <si>
    <t>调整比例</t>
  </si>
  <si>
    <t>宝箱活动</t>
  </si>
  <si>
    <t>必定掉落</t>
  </si>
  <si>
    <t>原掉落id</t>
  </si>
  <si>
    <t>新掉落id</t>
  </si>
  <si>
    <r>
      <rPr>
        <sz val="9"/>
        <color theme="1"/>
        <rFont val="微软雅黑"/>
        <family val="2"/>
        <charset val="134"/>
      </rPr>
      <t>T</t>
    </r>
    <r>
      <rPr>
        <sz val="9"/>
        <color theme="1"/>
        <rFont val="微软雅黑"/>
        <family val="2"/>
        <charset val="134"/>
      </rPr>
      <t>3-S坦克</t>
    </r>
    <r>
      <rPr>
        <sz val="9"/>
        <color theme="1"/>
        <rFont val="微软雅黑"/>
        <family val="2"/>
        <charset val="134"/>
      </rPr>
      <t>概率提升</t>
    </r>
  </si>
  <si>
    <t>合成需要数量</t>
  </si>
  <si>
    <t>满级需要数量</t>
  </si>
  <si>
    <t>投入碎片价值</t>
  </si>
  <si>
    <t>投入碎片贬值比例</t>
  </si>
  <si>
    <t>需要投入碎片个数</t>
  </si>
  <si>
    <t>估算参与人数</t>
  </si>
  <si>
    <t>公式CD/小时</t>
  </si>
  <si>
    <t>捐出碎片等级</t>
  </si>
  <si>
    <t>捐出碎片贡献值</t>
  </si>
  <si>
    <t>单次捐赠个数</t>
  </si>
  <si>
    <t>单人贡献值上限</t>
  </si>
  <si>
    <t>单人平均捐献碎片个数</t>
  </si>
  <si>
    <t>合成时间/天</t>
  </si>
  <si>
    <t>满级时间/天</t>
  </si>
  <si>
    <t>消耗碎片个数</t>
  </si>
  <si>
    <t>单天贡献值上限</t>
  </si>
  <si>
    <t>碎片等级</t>
  </si>
  <si>
    <t>贡献值</t>
  </si>
  <si>
    <t>FT17碎片获取</t>
  </si>
  <si>
    <t>rank</t>
  </si>
  <si>
    <t>DAU</t>
  </si>
  <si>
    <t>人均</t>
  </si>
  <si>
    <t>单天军费上限</t>
  </si>
  <si>
    <t>军费价值/钻石</t>
  </si>
  <si>
    <t>单天军费上限价值</t>
  </si>
  <si>
    <t>单人平均捐赠订单上限</t>
  </si>
  <si>
    <t>贡献上限</t>
  </si>
  <si>
    <t>军费上限</t>
  </si>
  <si>
    <t>订单上限</t>
  </si>
  <si>
    <t>占点模式</t>
  </si>
  <si>
    <t>占据点数量</t>
  </si>
  <si>
    <t>点数获取速度</t>
  </si>
  <si>
    <t>单点时间/分钟</t>
  </si>
  <si>
    <t>全部占据时间/分钟</t>
  </si>
  <si>
    <t>分钟</t>
  </si>
  <si>
    <t>时间</t>
  </si>
  <si>
    <t>补给争夺</t>
  </si>
  <si>
    <t>死亡竞赛</t>
  </si>
  <si>
    <t>补给争夺Loot-决胜</t>
  </si>
  <si>
    <t>胜场奖励</t>
  </si>
  <si>
    <t>胜场数</t>
  </si>
  <si>
    <t>奖励1数量</t>
  </si>
  <si>
    <t>奖励2数量</t>
  </si>
  <si>
    <t>预计免费胜场</t>
  </si>
  <si>
    <t>门票价格</t>
  </si>
  <si>
    <t>整体重置价格</t>
  </si>
  <si>
    <t>预计完成价格</t>
  </si>
  <si>
    <t>奖励碎片数量</t>
  </si>
  <si>
    <t>碎片单价</t>
  </si>
  <si>
    <t>完整坦克价格</t>
  </si>
  <si>
    <t>免费坦克时间获得/周</t>
  </si>
  <si>
    <t>属性ID</t>
  </si>
  <si>
    <t>详细说明</t>
  </si>
  <si>
    <t>射击流程</t>
  </si>
  <si>
    <t>gunType</t>
  </si>
  <si>
    <t>如右侧说明</t>
  </si>
  <si>
    <t>单发炮弹发射后,自动装填炮弹,装填过程不可干预,装填完成后可发射下一发.</t>
  </si>
  <si>
    <t>bullet</t>
  </si>
  <si>
    <t>单发炮弹发射后,手动装填炮弹,装填中点击射击则会打断当前装填进程,弹夹中炮弹打完后自动装填</t>
  </si>
  <si>
    <t>reloadType</t>
  </si>
  <si>
    <t>上弹方式</t>
  </si>
  <si>
    <t>单发/弹夹</t>
  </si>
  <si>
    <t>单发炮弹发射后,弹夹中如果还有炮弹则可继续开炮,没有炮弹则自动换弹夹,弹夹更换完成后可继续射击.</t>
  </si>
  <si>
    <t>bulletTime</t>
  </si>
  <si>
    <t>炮弹装填时间</t>
  </si>
  <si>
    <t>秒</t>
  </si>
  <si>
    <t>单发炮弹发射后,玩家可手动控制替换弹夹,弹夹更换完成后可继续射击.</t>
  </si>
  <si>
    <t>maxAttack</t>
  </si>
  <si>
    <t>最大炮弹伤害</t>
  </si>
  <si>
    <t>一次性发射所有炮弹,之后自动进入装填阶段,装填完成后可再次发射.</t>
  </si>
  <si>
    <t>attackCd</t>
  </si>
  <si>
    <t>弹夹炮射击间隔</t>
  </si>
  <si>
    <t>单发炮弹发射后,自动开始下一发炮弹的装填,装填过程中可以进行发射.弹夹空则不能发射</t>
  </si>
  <si>
    <t>hitAimDisturb</t>
  </si>
  <si>
    <t>每次攻击给对方造成的偏移角度</t>
  </si>
  <si>
    <t>跟坦克类型相关区间</t>
  </si>
  <si>
    <t>minScatteringAngle</t>
  </si>
  <si>
    <t>最小极限偏移角度</t>
  </si>
  <si>
    <t>缩圈最小角度</t>
  </si>
  <si>
    <t>shootScatteringAngleExpand</t>
  </si>
  <si>
    <t>每次射击瞬间扩大的偏移角度</t>
  </si>
  <si>
    <t>shootScatteringTime</t>
  </si>
  <si>
    <t>射击缩圈滞留时间(秒)</t>
  </si>
  <si>
    <t>跟坦克类型相关</t>
  </si>
  <si>
    <t>aimingSpeed</t>
  </si>
  <si>
    <t>瞄准速度(每帧偏移角度缩小)</t>
  </si>
  <si>
    <t>caliberType</t>
  </si>
  <si>
    <t>口径类型(影响客户端开火特效)</t>
  </si>
  <si>
    <t>turretStartAngularSpeed</t>
  </si>
  <si>
    <t>炮塔旋转初始角速度</t>
  </si>
  <si>
    <t>turretMaxAngularSpeed</t>
  </si>
  <si>
    <t>炮塔转向最大角速度(度/秒)</t>
  </si>
  <si>
    <t>turretAngularAcc</t>
  </si>
  <si>
    <t>炮塔旋转加速度</t>
  </si>
  <si>
    <t>turretSpinScatteringAngleExpand</t>
  </si>
  <si>
    <t>炮塔旋转每帧扩大的偏移角度</t>
  </si>
  <si>
    <t>turretSpinScatteringAngleExpandLimit</t>
  </si>
  <si>
    <t>炮塔旋转造成的偏移角度上限</t>
  </si>
  <si>
    <t>turretStuckHp</t>
  </si>
  <si>
    <t>炮塔卡住-血量</t>
  </si>
  <si>
    <t>turretStuckHit</t>
  </si>
  <si>
    <t>炮塔卡住-命中概率</t>
  </si>
  <si>
    <t>hp</t>
  </si>
  <si>
    <t>HP</t>
  </si>
  <si>
    <t>ramDmgRate</t>
  </si>
  <si>
    <t>撞击反弹伤害基础比例</t>
  </si>
  <si>
    <t>通用数据</t>
  </si>
  <si>
    <t>ramMaxDmg</t>
  </si>
  <si>
    <t>forwardMaxSpeed</t>
  </si>
  <si>
    <t>前进最大速度(米/秒)</t>
  </si>
  <si>
    <t>backwardMaxSpeed</t>
  </si>
  <si>
    <t>后退极限速度</t>
  </si>
  <si>
    <t>forwardAcc</t>
  </si>
  <si>
    <t>backwardAcc</t>
  </si>
  <si>
    <t>onFireHp</t>
  </si>
  <si>
    <t>引擎起火-血量</t>
  </si>
  <si>
    <t>onFireHit</t>
  </si>
  <si>
    <t>引擎起火-命中概率</t>
  </si>
  <si>
    <t>spinAngularSpeed</t>
  </si>
  <si>
    <t>坦克转向速度(度/秒)</t>
  </si>
  <si>
    <t>moveScatteringAngleExpand</t>
  </si>
  <si>
    <t>坦克移动每帧扩大的偏移角度</t>
  </si>
  <si>
    <t>moveScatteringAngleExpandLimit</t>
  </si>
  <si>
    <t>坦克移动造成的偏移角度上限</t>
  </si>
  <si>
    <t>spinScatteringAngleExpand</t>
  </si>
  <si>
    <t>坦克自转每帧扩大的偏移角度</t>
  </si>
  <si>
    <t>spinScatteringAngleExpandLimit</t>
  </si>
  <si>
    <t>坦克自转造成的偏移角度上限</t>
  </si>
  <si>
    <t>anchorHp</t>
  </si>
  <si>
    <t>悬挂击毁-血量</t>
  </si>
  <si>
    <t>anchorHit</t>
  </si>
  <si>
    <t>悬挂击毁-命中概率</t>
  </si>
  <si>
    <t>bodyLength</t>
  </si>
  <si>
    <t>长</t>
  </si>
  <si>
    <t>bodyWidth</t>
  </si>
  <si>
    <t>宽</t>
  </si>
  <si>
    <t>bodyTall</t>
  </si>
  <si>
    <t>onFireRepair</t>
  </si>
  <si>
    <t>引擎起火-修复时间</t>
  </si>
  <si>
    <t>turretStuckRepair</t>
  </si>
  <si>
    <t>炮塔卡住-修复时间</t>
  </si>
  <si>
    <t>anchorRepair</t>
  </si>
  <si>
    <t>悬挂击毁-修复时间</t>
  </si>
  <si>
    <t>ramMinSpeed</t>
  </si>
  <si>
    <t>撞击伤害最小速度比值</t>
  </si>
  <si>
    <t>hitScatteringAngleExpandLimit</t>
  </si>
  <si>
    <t>被击中造成的偏移角度上限</t>
  </si>
  <si>
    <t>hitScatteringTime</t>
  </si>
  <si>
    <t>被击中后缩圈滞留时间(秒)</t>
  </si>
  <si>
    <t>forwardStopAcc</t>
  </si>
  <si>
    <t>前进停止加速度</t>
  </si>
  <si>
    <t>backwardStopAcc</t>
  </si>
  <si>
    <t>后退停止加速度</t>
  </si>
  <si>
    <t>turnMaxSpeedRate</t>
  </si>
  <si>
    <t>移动中转向-前进后退最大速度比例</t>
  </si>
  <si>
    <t>turnAccRate</t>
  </si>
  <si>
    <t>移动中转向-前进后退加速度比例</t>
  </si>
  <si>
    <t>turnSlowAccRate</t>
  </si>
  <si>
    <t>移动中转向-前进后退降速加速度比例</t>
  </si>
  <si>
    <t>scopeFovRate</t>
  </si>
  <si>
    <t>开镜倍率</t>
  </si>
  <si>
    <t>switchFovTime</t>
  </si>
  <si>
    <t>开镜所需时间</t>
  </si>
  <si>
    <t>onminuteShootSpeed</t>
  </si>
  <si>
    <t>射速(发/分钟)</t>
  </si>
  <si>
    <t>magazineTime</t>
  </si>
  <si>
    <t>弹夹装填时间(秒)</t>
  </si>
  <si>
    <t>maxPower</t>
  </si>
  <si>
    <t>最大穿透力</t>
  </si>
  <si>
    <t>minPower</t>
  </si>
  <si>
    <t>最小穿透力</t>
  </si>
  <si>
    <t>minRange</t>
  </si>
  <si>
    <t>最小衰减距离</t>
  </si>
  <si>
    <t>maxRange</t>
  </si>
  <si>
    <t>最大衰减距离</t>
  </si>
  <si>
    <t>minAttack</t>
  </si>
  <si>
    <t>最小炮弹伤害</t>
  </si>
  <si>
    <t>armorValueTurret</t>
  </si>
  <si>
    <t>炮塔装甲厚度</t>
  </si>
  <si>
    <t>dmgParaMinTurret</t>
  </si>
  <si>
    <t>线性递减最小参数</t>
  </si>
  <si>
    <t>dmgParaMaxTurret</t>
  </si>
  <si>
    <t>线性递减最大参数</t>
  </si>
  <si>
    <t>armorValueBody</t>
  </si>
  <si>
    <t>车身装甲厚度</t>
  </si>
  <si>
    <t>dmgParaMinBody</t>
  </si>
  <si>
    <t>dmgParaMaxBody</t>
  </si>
  <si>
    <t>armorValueEngine</t>
  </si>
  <si>
    <t>引擎装甲厚度</t>
  </si>
  <si>
    <t>dmgParaMinEngine</t>
  </si>
  <si>
    <t>dmgParaMaxEngine</t>
  </si>
  <si>
    <t>armorValueTracks</t>
  </si>
  <si>
    <t>履带装甲厚度</t>
  </si>
  <si>
    <t>dmgParaMinTracks</t>
  </si>
  <si>
    <t>dmgParaMaxTracks</t>
  </si>
  <si>
    <t>reloadEfficiency</t>
  </si>
  <si>
    <t>装填效率(实际装弹时间=装弹时间/(1+装填效率))</t>
  </si>
  <si>
    <t>aimingTime</t>
  </si>
  <si>
    <t>瞄准时间(秒)</t>
  </si>
  <si>
    <t>hitAimDisturbPara</t>
  </si>
  <si>
    <t>undamagedParameter</t>
  </si>
  <si>
    <t>未击破伤害系数</t>
  </si>
  <si>
    <t>centerRange</t>
  </si>
  <si>
    <t>坦克中心区域半径</t>
  </si>
  <si>
    <t>basicObservationRange</t>
  </si>
  <si>
    <t>基础视野距离</t>
  </si>
  <si>
    <t>minObservationRange</t>
  </si>
  <si>
    <t>最小视野距离</t>
  </si>
  <si>
    <t>dmgParaCenter</t>
  </si>
  <si>
    <t>命中中心伤害系数</t>
  </si>
  <si>
    <t>dmgParaTurretFront</t>
  </si>
  <si>
    <t>炮塔前方伤害系数</t>
  </si>
  <si>
    <t>dmgParaTurretBack</t>
  </si>
  <si>
    <t>炮塔后方伤害系数</t>
  </si>
  <si>
    <t>dmgParaBodyFront</t>
  </si>
  <si>
    <t>车身前方伤害系数</t>
  </si>
  <si>
    <t>dmgParaBodySide</t>
  </si>
  <si>
    <t>车身侧方伤害系数</t>
  </si>
  <si>
    <t>dmgParaBodyBack</t>
  </si>
  <si>
    <t>车身后方伤害系数</t>
  </si>
  <si>
    <t>armorValue</t>
  </si>
  <si>
    <t>hpPower</t>
  </si>
  <si>
    <t>dmgPower</t>
  </si>
  <si>
    <t>armorPower</t>
  </si>
  <si>
    <t>piercePower</t>
  </si>
  <si>
    <t>穿透等级</t>
  </si>
  <si>
    <t>dmgParaTurretSide</t>
  </si>
  <si>
    <t>炮塔侧方伤害系数</t>
  </si>
  <si>
    <t>巨魔</t>
    <phoneticPr fontId="32" type="noConversion"/>
  </si>
  <si>
    <t>大星</t>
    <phoneticPr fontId="32" type="noConversion"/>
  </si>
  <si>
    <t>小星</t>
    <phoneticPr fontId="32" type="noConversion"/>
  </si>
  <si>
    <t>总数计算</t>
    <phoneticPr fontId="32" type="noConversion"/>
  </si>
  <si>
    <t>获得#{number1}次冠军</t>
    <phoneticPr fontId="32" type="noConversion"/>
  </si>
  <si>
    <t>坦克涂装-电磁炮-兽人</t>
    <phoneticPr fontId="32" type="noConversion"/>
  </si>
  <si>
    <t>坦克涂装-坦克皮肤:滩涂</t>
    <phoneticPr fontId="32" type="noConversion"/>
  </si>
  <si>
    <t>坦克涂装-坦克皮肤:滩涂</t>
    <phoneticPr fontId="32" type="noConversion"/>
  </si>
  <si>
    <t>dealRoleJoinBattleWithSquadEvent</t>
  </si>
  <si>
    <t>RoleJoinBattleWithSquadEvent</t>
  </si>
  <si>
    <t>拼图活动奖励</t>
  </si>
  <si>
    <t>Rank礼包</t>
  </si>
  <si>
    <t>Rank礼包</t>
    <phoneticPr fontId="32" type="noConversion"/>
  </si>
  <si>
    <t>圣诞礼包内容</t>
    <phoneticPr fontId="32" type="noConversion"/>
  </si>
  <si>
    <t>T4配件价值</t>
    <phoneticPr fontId="32" type="noConversion"/>
  </si>
  <si>
    <t>宝箱价值</t>
    <phoneticPr fontId="32" type="noConversion"/>
  </si>
  <si>
    <t>Puma-碎片</t>
  </si>
  <si>
    <t>四号-碎片</t>
  </si>
  <si>
    <t>丘吉尔-碎片</t>
  </si>
  <si>
    <t>十字军-碎片</t>
  </si>
  <si>
    <t>谢尔曼-碎片</t>
  </si>
  <si>
    <t>虎式-碎片</t>
  </si>
  <si>
    <t>物品名称</t>
    <phoneticPr fontId="32" type="noConversion"/>
  </si>
  <si>
    <t>物品id</t>
    <phoneticPr fontId="32" type="noConversion"/>
  </si>
  <si>
    <t>权重</t>
    <phoneticPr fontId="32" type="noConversion"/>
  </si>
  <si>
    <t>数量1</t>
    <phoneticPr fontId="32" type="noConversion"/>
  </si>
  <si>
    <t>数量2</t>
    <phoneticPr fontId="32" type="noConversion"/>
  </si>
  <si>
    <t>抽取次数</t>
    <phoneticPr fontId="32" type="noConversion"/>
  </si>
  <si>
    <t>T4碎片</t>
    <phoneticPr fontId="32" type="noConversion"/>
  </si>
  <si>
    <t>概率</t>
    <phoneticPr fontId="32" type="noConversion"/>
  </si>
  <si>
    <t>T4配件概率</t>
    <phoneticPr fontId="32" type="noConversion"/>
  </si>
  <si>
    <t>预期抽取次数</t>
    <phoneticPr fontId="32" type="noConversion"/>
  </si>
  <si>
    <t>军费</t>
    <phoneticPr fontId="32" type="noConversion"/>
  </si>
  <si>
    <t>宝箱</t>
    <phoneticPr fontId="32" type="noConversion"/>
  </si>
  <si>
    <t>原价/钻石</t>
    <phoneticPr fontId="32" type="noConversion"/>
  </si>
  <si>
    <t>原价/美金</t>
    <phoneticPr fontId="32" type="noConversion"/>
  </si>
  <si>
    <t>售价</t>
    <phoneticPr fontId="32" type="noConversion"/>
  </si>
  <si>
    <t>折扣</t>
    <phoneticPr fontId="32" type="noConversion"/>
  </si>
  <si>
    <t>暗雷</t>
  </si>
  <si>
    <t>在地面放置暗雷，敌方目标经过时触发爆炸并造成#{number1}%的平均伤害。</t>
  </si>
  <si>
    <t>防护结界</t>
  </si>
  <si>
    <t>以自身为半径生成一个防护结界，在其中的友方单位受到#{number1}%的伤害，持续#{number2}秒。</t>
  </si>
  <si>
    <t>伤害百分比</t>
    <phoneticPr fontId="32" type="noConversion"/>
  </si>
  <si>
    <t>治疗百分比</t>
    <phoneticPr fontId="32" type="noConversion"/>
  </si>
  <si>
    <t>磁力风暴</t>
  </si>
  <si>
    <t>抛出磁力风暴，对范围区域进行电磁打击，对范围内造成每秒#{number1}%的平均伤害，持续#{number2}秒。</t>
  </si>
  <si>
    <t>瘫痪</t>
  </si>
  <si>
    <t>向目标发射一颗电球炮弹，使其所有系统瘫痪，持续#{number1}秒。</t>
  </si>
  <si>
    <t>喷火射击</t>
  </si>
  <si>
    <t>向正前方喷射火焰，对被火焰命中的地方单位造成每秒#{number1}%的平均伤害，持续#{number2}秒。</t>
  </si>
  <si>
    <t>抗拒外壳</t>
  </si>
  <si>
    <t>开启磁能力场， 持续#{number1}秒，推开身边的敌方单位，技能持续期间接近磁能力场的敌方坦克会被弹开。</t>
  </si>
  <si>
    <t>技能CD</t>
  </si>
  <si>
    <t>轻坦默认技能-取之有道</t>
  </si>
  <si>
    <t>中坦默认技能-荆棘装甲</t>
  </si>
  <si>
    <t>重坦默认技能-减速攻击</t>
  </si>
  <si>
    <t>释放后获得吸血状态，每次攻击吸取造成伤害#{number1}%的血量，持续#{number2}秒。</t>
  </si>
  <si>
    <t>开启荆棘护盾，将受到的伤害#{number1}%反弹给伤害来源者。</t>
  </si>
  <si>
    <t>对目标施放，击中后可使其移动速度降低#{number1}%，持续#{number2}秒。</t>
  </si>
  <si>
    <t>取之有道</t>
    <phoneticPr fontId="32" type="noConversion"/>
  </si>
  <si>
    <t>荆棘装甲</t>
    <phoneticPr fontId="32" type="noConversion"/>
  </si>
  <si>
    <t>减速共计</t>
    <phoneticPr fontId="32" type="noConversion"/>
  </si>
  <si>
    <t>钢狼·S</t>
    <phoneticPr fontId="32" type="noConversion"/>
  </si>
  <si>
    <t>镭射光波</t>
    <phoneticPr fontId="32" type="noConversion"/>
  </si>
  <si>
    <t>防护结界</t>
    <phoneticPr fontId="32" type="noConversion"/>
  </si>
  <si>
    <t>抗拒外壳</t>
    <phoneticPr fontId="32" type="noConversion"/>
  </si>
  <si>
    <t>喷火射击</t>
    <phoneticPr fontId="32" type="noConversion"/>
  </si>
  <si>
    <t>瘫痪</t>
    <phoneticPr fontId="32" type="noConversion"/>
  </si>
  <si>
    <t>磁力风暴</t>
    <phoneticPr fontId="32" type="noConversion"/>
  </si>
  <si>
    <t>部件Tier</t>
    <phoneticPr fontId="32" type="noConversion"/>
  </si>
  <si>
    <t>初始星级</t>
    <phoneticPr fontId="32" type="noConversion"/>
  </si>
  <si>
    <t>最大星级</t>
    <phoneticPr fontId="32" type="noConversion"/>
  </si>
  <si>
    <t>部件星级</t>
    <phoneticPr fontId="32" type="noConversion"/>
  </si>
  <si>
    <t>最大等级</t>
    <phoneticPr fontId="32" type="noConversion"/>
  </si>
  <si>
    <t>升星军费</t>
    <phoneticPr fontId="32" type="noConversion"/>
  </si>
  <si>
    <t>属性值</t>
    <phoneticPr fontId="32" type="noConversion"/>
  </si>
  <si>
    <t>部件序号</t>
    <phoneticPr fontId="32" type="noConversion"/>
  </si>
  <si>
    <t>部件ID</t>
    <phoneticPr fontId="32" type="noConversion"/>
  </si>
  <si>
    <t>部件部位</t>
    <phoneticPr fontId="32" type="noConversion"/>
  </si>
  <si>
    <t>属性类型</t>
    <phoneticPr fontId="32" type="noConversion"/>
  </si>
  <si>
    <t>当前等级</t>
  </si>
  <si>
    <t>升级时间(秒)</t>
  </si>
  <si>
    <t>部件类别名称</t>
    <phoneticPr fontId="32" type="noConversion"/>
  </si>
  <si>
    <t>次要属性名称</t>
    <phoneticPr fontId="32" type="noConversion"/>
  </si>
  <si>
    <t>次要属性id</t>
    <phoneticPr fontId="32" type="noConversion"/>
  </si>
  <si>
    <t>炮塔旋转最大角速度</t>
  </si>
  <si>
    <t>车身自旋转角速度</t>
  </si>
  <si>
    <t>前进极限速度</t>
  </si>
  <si>
    <t>射击偏移角</t>
    <phoneticPr fontId="32" type="noConversion"/>
  </si>
  <si>
    <t>弹夹更换时间</t>
  </si>
  <si>
    <t>T1</t>
    <phoneticPr fontId="32" type="noConversion"/>
  </si>
  <si>
    <t>炮膛</t>
    <phoneticPr fontId="32" type="noConversion"/>
  </si>
  <si>
    <t>升星排序ID</t>
    <phoneticPr fontId="32" type="noConversion"/>
  </si>
  <si>
    <t>等级序号</t>
  </si>
  <si>
    <t>查找用</t>
    <phoneticPr fontId="32" type="noConversion"/>
  </si>
  <si>
    <t>自动装弹机</t>
    <phoneticPr fontId="32" type="noConversion"/>
  </si>
  <si>
    <t>底盘</t>
    <phoneticPr fontId="32" type="noConversion"/>
  </si>
  <si>
    <t>炮塔旋转最大角速度</t>
    <phoneticPr fontId="32" type="noConversion"/>
  </si>
  <si>
    <t>发动机</t>
    <phoneticPr fontId="32" type="noConversion"/>
  </si>
  <si>
    <t>前进极限速度</t>
    <phoneticPr fontId="32" type="noConversion"/>
  </si>
  <si>
    <t>履带</t>
    <phoneticPr fontId="32" type="noConversion"/>
  </si>
  <si>
    <t>车身自旋转角速度</t>
    <phoneticPr fontId="32" type="noConversion"/>
  </si>
  <si>
    <t>装甲</t>
    <phoneticPr fontId="32" type="noConversion"/>
  </si>
  <si>
    <t>T4</t>
    <phoneticPr fontId="32" type="noConversion"/>
  </si>
  <si>
    <t>双倍节点</t>
    <phoneticPr fontId="32" type="noConversion"/>
  </si>
  <si>
    <t>加速时间点</t>
    <phoneticPr fontId="32" type="noConversion"/>
  </si>
  <si>
    <t>对目标方向发射束状光波，对被光波命中的地方单位造成每秒#{number1}%的平均伤害，持续#{number2}秒。</t>
    <phoneticPr fontId="32" type="noConversion"/>
  </si>
  <si>
    <t>圣诞节活动奖励</t>
    <phoneticPr fontId="32" type="noConversion"/>
  </si>
  <si>
    <t>复活节活动奖励</t>
    <phoneticPr fontId="32" type="noConversion"/>
  </si>
  <si>
    <t>坦克涂装-复活节皮肤</t>
  </si>
  <si>
    <t>坦克涂装-复活节皮肤</t>
    <phoneticPr fontId="32" type="noConversion"/>
  </si>
  <si>
    <t>拼图大奖</t>
    <phoneticPr fontId="32" type="noConversion"/>
  </si>
  <si>
    <t>坦克涂装-圣诞皮肤</t>
    <phoneticPr fontId="32" type="noConversion"/>
  </si>
  <si>
    <t>复活节头像</t>
  </si>
  <si>
    <t>复活节头像</t>
    <phoneticPr fontId="32" type="noConversion"/>
  </si>
  <si>
    <t>AMX-13碎片</t>
    <phoneticPr fontId="32" type="noConversion"/>
  </si>
  <si>
    <t>转盘中大奖</t>
    <phoneticPr fontId="32" type="noConversion"/>
  </si>
  <si>
    <t>AMX-13</t>
    <phoneticPr fontId="32" type="noConversion"/>
  </si>
  <si>
    <t>复活节彩蛋1</t>
  </si>
  <si>
    <t>复活节彩蛋2</t>
  </si>
  <si>
    <t>复活节彩蛋3</t>
  </si>
  <si>
    <t>Itemegg02</t>
  </si>
  <si>
    <t>Itemegg03</t>
  </si>
  <si>
    <t>Itemegg01</t>
    <phoneticPr fontId="32" type="noConversion"/>
  </si>
  <si>
    <t>活动幸运币</t>
    <phoneticPr fontId="32" type="noConversion"/>
  </si>
  <si>
    <t>复活节幸运币</t>
  </si>
  <si>
    <t>复活节幸运币</t>
    <phoneticPr fontId="32" type="noConversion"/>
  </si>
  <si>
    <t>复活节拼图</t>
  </si>
  <si>
    <t>role_head_icon_28</t>
  </si>
  <si>
    <t>复活节礼盒</t>
    <phoneticPr fontId="32" type="noConversion"/>
  </si>
  <si>
    <t>T2LP1</t>
    <phoneticPr fontId="32" type="noConversion"/>
  </si>
  <si>
    <t>军费</t>
    <phoneticPr fontId="32" type="noConversion"/>
  </si>
  <si>
    <t>T3LP5</t>
    <phoneticPr fontId="32" type="noConversion"/>
  </si>
  <si>
    <t>T3LP6</t>
    <phoneticPr fontId="32" type="noConversion"/>
  </si>
  <si>
    <t>T3LP4</t>
    <phoneticPr fontId="32" type="noConversion"/>
  </si>
  <si>
    <t>T2LP2</t>
    <phoneticPr fontId="32" type="noConversion"/>
  </si>
  <si>
    <t>单个价值</t>
    <phoneticPr fontId="32" type="noConversion"/>
  </si>
  <si>
    <t>[(1,32),(8,50)]</t>
  </si>
  <si>
    <t>旗鼓相当</t>
    <phoneticPr fontId="32" type="noConversion"/>
  </si>
  <si>
    <t>[(1,32),(7,20)]</t>
    <phoneticPr fontId="32" type="noConversion"/>
  </si>
  <si>
    <t>Stuart</t>
    <phoneticPr fontId="32" type="noConversion"/>
  </si>
  <si>
    <t>T3MP1</t>
    <phoneticPr fontId="32" type="noConversion"/>
  </si>
  <si>
    <t>T1LP1</t>
    <phoneticPr fontId="32" type="noConversion"/>
  </si>
  <si>
    <t>雷诺FT</t>
    <phoneticPr fontId="32" type="noConversion"/>
  </si>
  <si>
    <t>B-1碎片</t>
    <phoneticPr fontId="32" type="noConversion"/>
  </si>
  <si>
    <t>普通自宝箱9</t>
    <phoneticPr fontId="32" type="noConversion"/>
  </si>
  <si>
    <t>chest_lv3_icon</t>
  </si>
  <si>
    <t>chest_lv3_icon</t>
    <phoneticPr fontId="32" type="noConversion"/>
  </si>
  <si>
    <t>chest_lv6_icon</t>
    <phoneticPr fontId="32" type="noConversion"/>
  </si>
  <si>
    <t>复活节彩蛋2</t>
    <phoneticPr fontId="32" type="noConversion"/>
  </si>
  <si>
    <t>复活节彩蛋1-售卖专用</t>
  </si>
  <si>
    <t>复活节彩蛋2-售卖专用</t>
  </si>
  <si>
    <t>复活节彩蛋3-售卖专用</t>
  </si>
  <si>
    <t>Itemegg01</t>
  </si>
  <si>
    <t>战旗图案-蜥蜴图案</t>
  </si>
  <si>
    <t>摆件10-西部生活</t>
  </si>
  <si>
    <t>摆件11-蜥蜴</t>
  </si>
  <si>
    <t>摆件12-仙人掌</t>
  </si>
  <si>
    <t>战旗旗帜-暗棕色旗帜</t>
  </si>
  <si>
    <t>战旗旗杆-木质旗杆</t>
  </si>
  <si>
    <t>battle_pass_icon_flag_staff_05</t>
  </si>
  <si>
    <t>battle_pass_icon_flag_surface_05</t>
  </si>
  <si>
    <t>battle_pass_icon_flag_logo_05</t>
  </si>
  <si>
    <t>涂鸦-不许动</t>
  </si>
  <si>
    <t>涂鸦-雄鹿</t>
  </si>
  <si>
    <t>涂鸦-异域节奏</t>
  </si>
  <si>
    <t>battle_pass_icon_decal_13</t>
  </si>
  <si>
    <t>battle_pass_icon_decal_14</t>
  </si>
  <si>
    <t>battle_pass_icon_decal_15</t>
  </si>
  <si>
    <t>头像-左轮手枪</t>
  </si>
  <si>
    <t>头像-野猪</t>
  </si>
  <si>
    <t>头像-外星人</t>
  </si>
  <si>
    <t>头像-牛仔</t>
  </si>
  <si>
    <t>头像-仙人掌</t>
  </si>
  <si>
    <t>role_head_icon_29</t>
  </si>
  <si>
    <t>role_head_icon_30</t>
  </si>
  <si>
    <t>role_head_icon_31</t>
  </si>
  <si>
    <t>role_head_icon_32</t>
  </si>
  <si>
    <t>role_head_icon_33</t>
  </si>
  <si>
    <t>头像框-牛仔</t>
  </si>
  <si>
    <t>头像框-沙漠绿洲</t>
  </si>
  <si>
    <t>头像框-酒馆</t>
  </si>
  <si>
    <t>头像框-探索宇宙</t>
  </si>
  <si>
    <t>头像框-扑克</t>
  </si>
  <si>
    <t>role_head_frame_icon_18</t>
  </si>
  <si>
    <t>role_head_frame_icon_19</t>
  </si>
  <si>
    <t>role_head_frame_icon_20</t>
  </si>
  <si>
    <t>role_head_frame_icon_21</t>
  </si>
  <si>
    <t>role_head_frame_icon_22</t>
  </si>
  <si>
    <t>battle_pass_icon_decoration_10</t>
  </si>
  <si>
    <t>battle_pass_icon_decoration_11</t>
  </si>
  <si>
    <t>battle_pass_icon_decoration_12</t>
  </si>
  <si>
    <t>坦克涂装-牛仔</t>
  </si>
  <si>
    <t>坦克涂装-牛仔</t>
    <phoneticPr fontId="32" type="noConversion"/>
  </si>
  <si>
    <t>坦克涂装-虎式专属-沙漠巨蜥</t>
  </si>
  <si>
    <t>坦克涂装-虎式专属-沙漠巨蜥</t>
    <phoneticPr fontId="32" type="noConversion"/>
  </si>
  <si>
    <t>坦克流光特效-风沙</t>
  </si>
  <si>
    <t>坦克流光特效-风沙</t>
    <phoneticPr fontId="32" type="noConversion"/>
  </si>
  <si>
    <t>坦克流光特效-蛇纹</t>
  </si>
  <si>
    <t>坦克流光特效-蛇纹</t>
    <phoneticPr fontId="32" type="noConversion"/>
  </si>
  <si>
    <t>涂鸦</t>
    <phoneticPr fontId="32" type="noConversion"/>
  </si>
  <si>
    <t>头像</t>
    <phoneticPr fontId="32" type="noConversion"/>
  </si>
  <si>
    <t>头像框</t>
    <phoneticPr fontId="32" type="noConversion"/>
  </si>
  <si>
    <t>摆件</t>
    <phoneticPr fontId="32" type="noConversion"/>
  </si>
  <si>
    <t>流光</t>
    <phoneticPr fontId="32" type="noConversion"/>
  </si>
  <si>
    <t>tank_skin_icon_rd119</t>
    <phoneticPr fontId="32" type="noConversion"/>
  </si>
  <si>
    <t>tank_skin_icon_sand</t>
    <phoneticPr fontId="32" type="noConversion"/>
  </si>
  <si>
    <t>tank_skin_icon_snake</t>
    <phoneticPr fontId="32" type="noConversion"/>
  </si>
  <si>
    <t>tiger_rd4</t>
    <phoneticPr fontId="32" type="noConversion"/>
  </si>
  <si>
    <t>坦克</t>
    <phoneticPr fontId="32" type="noConversion"/>
  </si>
  <si>
    <t>高级自宝箱4</t>
    <phoneticPr fontId="32" type="noConversion"/>
  </si>
  <si>
    <t>虎式</t>
    <phoneticPr fontId="32" type="noConversion"/>
  </si>
  <si>
    <t>虎式碎片</t>
    <phoneticPr fontId="32" type="noConversion"/>
  </si>
  <si>
    <t>头像-左轮手枪</t>
    <phoneticPr fontId="32" type="noConversion"/>
  </si>
  <si>
    <t>涂鸦-不许动</t>
    <phoneticPr fontId="32" type="noConversion"/>
  </si>
  <si>
    <t>头像框-扑克</t>
    <phoneticPr fontId="32" type="noConversion"/>
  </si>
  <si>
    <t>战旗旗帜-暗棕色旗帜</t>
    <phoneticPr fontId="32" type="noConversion"/>
  </si>
  <si>
    <t>战旗图案-蜥蜴图案</t>
    <phoneticPr fontId="32" type="noConversion"/>
  </si>
  <si>
    <t>涂鸦-异域节奏</t>
    <phoneticPr fontId="32" type="noConversion"/>
  </si>
  <si>
    <t>头像-野猪</t>
    <phoneticPr fontId="32" type="noConversion"/>
  </si>
  <si>
    <t>头像框-沙漠绿洲</t>
    <phoneticPr fontId="32" type="noConversion"/>
  </si>
  <si>
    <t>头像框-酒馆</t>
    <phoneticPr fontId="32" type="noConversion"/>
  </si>
  <si>
    <t>头像框-探索宇宙</t>
    <phoneticPr fontId="32" type="noConversion"/>
  </si>
  <si>
    <t>摆件10-西部生活</t>
    <phoneticPr fontId="32" type="noConversion"/>
  </si>
  <si>
    <t>在任意决胜模式下获得#{number1}场胜利</t>
  </si>
  <si>
    <t>在任意决胜模式下获得#{number1}场胜利</t>
    <phoneticPr fontId="32" type="noConversion"/>
  </si>
  <si>
    <t>使用轻坦完成任意决胜模式#{number1}场</t>
  </si>
  <si>
    <t>使用轻坦完成任意决胜模式#{number1}场</t>
    <phoneticPr fontId="32" type="noConversion"/>
  </si>
  <si>
    <t>使用中坦完成任意决胜模式#{number1}场</t>
  </si>
  <si>
    <t>使用中坦完成任意决胜模式#{number1}场</t>
    <phoneticPr fontId="32" type="noConversion"/>
  </si>
  <si>
    <t>使用重坦完成任意决胜模式#{number1}场</t>
  </si>
  <si>
    <t>使用重坦完成任意决胜模式#{number1}场</t>
    <phoneticPr fontId="32" type="noConversion"/>
  </si>
  <si>
    <t>在个人竞技模式中取得最高伤害。</t>
  </si>
  <si>
    <t>在个人竞技模式中取得最高伤害。</t>
    <phoneticPr fontId="32" type="noConversion"/>
  </si>
  <si>
    <t>使用轻坦完成任意个人竞技模式#{number1}场</t>
  </si>
  <si>
    <t>使用轻坦完成任意个人竞技模式#{number1}场</t>
    <phoneticPr fontId="32" type="noConversion"/>
  </si>
  <si>
    <t>使用中坦完成任意个人竞技模式#{number1}场</t>
  </si>
  <si>
    <t>使用中坦完成任意个人竞技模式#{number1}场</t>
    <phoneticPr fontId="32" type="noConversion"/>
  </si>
  <si>
    <t>使用重坦完成任意个人竞技模式#{number1}场</t>
  </si>
  <si>
    <t>使用重坦完成任意个人竞技模式#{number1}场</t>
    <phoneticPr fontId="32" type="noConversion"/>
  </si>
  <si>
    <t>使用轻坦在个人竞技模式中取得#{number1}个击杀</t>
  </si>
  <si>
    <t>使用轻坦在个人竞技模式中取得#{number1}个击杀</t>
    <phoneticPr fontId="32" type="noConversion"/>
  </si>
  <si>
    <t>使用中坦在个人竞技模式中取得#{number1}个击杀</t>
  </si>
  <si>
    <t>使用中坦在个人竞技模式中取得#{number1}个击杀</t>
    <phoneticPr fontId="32" type="noConversion"/>
  </si>
  <si>
    <t>使用重坦在个人竞技模式中取得#{number1}个击杀</t>
  </si>
  <si>
    <t>使用重坦在个人竞技模式中取得#{number1}个击杀</t>
    <phoneticPr fontId="32" type="noConversion"/>
  </si>
  <si>
    <t>在个人竞技模式中取得击杀第一名#{number1}次</t>
  </si>
  <si>
    <t>在个人竞技模式中取得击杀第一名#{number1}次</t>
    <phoneticPr fontId="32" type="noConversion"/>
  </si>
  <si>
    <t>多天</t>
    <phoneticPr fontId="32" type="noConversion"/>
  </si>
  <si>
    <t>单天</t>
    <phoneticPr fontId="32" type="noConversion"/>
  </si>
  <si>
    <t>竞技大师：轻坦</t>
  </si>
  <si>
    <t>[(1,1),(12,0)]</t>
  </si>
  <si>
    <t>BP_MISSION_S2_NAME_7</t>
  </si>
  <si>
    <t>BP_MISSION_S2_7</t>
  </si>
  <si>
    <t>RoleParticipateInACertainBattleModeNRoundsEvent</t>
  </si>
  <si>
    <t>dealRoleParticipateInACertainBattleModeNRoundsEvent</t>
  </si>
  <si>
    <t>持有至少#{number1}个补给箱的情况下获得胜利</t>
    <phoneticPr fontId="32" type="noConversion"/>
  </si>
  <si>
    <t>[(1,1),(9,1)]</t>
  </si>
  <si>
    <t>BP_MISSION_S2_NAME_5</t>
  </si>
  <si>
    <t>BP_MISSION_S2_5</t>
  </si>
  <si>
    <t>RoleDamageRankedNthEvent</t>
  </si>
  <si>
    <t>dealRoleDamageRankedNthEvent</t>
  </si>
  <si>
    <t>决胜先锋：轻坦</t>
  </si>
  <si>
    <t>[(13,1),(12,0)]</t>
  </si>
  <si>
    <t>BP_MISSION_S2_NAME_2</t>
  </si>
  <si>
    <t>BP_MISSION_S2_2</t>
  </si>
  <si>
    <t>竞技大师：中坦</t>
  </si>
  <si>
    <t>[(1,1),(12,1)]</t>
  </si>
  <si>
    <t>BP_MISSION_S2_NAME_8</t>
  </si>
  <si>
    <t>BP_MISSION_S2_8</t>
  </si>
  <si>
    <t>势如破竹</t>
  </si>
  <si>
    <t>[(13,1)]</t>
  </si>
  <si>
    <t>BP_MISSION_S2_NAME_1</t>
  </si>
  <si>
    <t>BP_MISSION_S2_1</t>
  </si>
  <si>
    <t>决胜先锋：中坦</t>
  </si>
  <si>
    <t>[(13,1),(12,1)]</t>
  </si>
  <si>
    <t>BP_MISSION_S2_NAME_3</t>
  </si>
  <si>
    <t>BP_MISSION_S2_3</t>
  </si>
  <si>
    <t>杀戮：轻坦</t>
  </si>
  <si>
    <t>BP_MISSION_S2_NAME_10</t>
  </si>
  <si>
    <t>BP_MISSION_S2_10</t>
  </si>
  <si>
    <t>[12]</t>
  </si>
  <si>
    <t>[12]</t>
    <phoneticPr fontId="32" type="noConversion"/>
  </si>
  <si>
    <t>决胜先锋：重坦</t>
  </si>
  <si>
    <t>[(13,1),(12,2)]</t>
  </si>
  <si>
    <t>BP_MISSION_S2_NAME_4</t>
  </si>
  <si>
    <t>BP_MISSION_S2_4</t>
  </si>
  <si>
    <t>竞技大师：重坦</t>
  </si>
  <si>
    <t>[(1,1),(12,2)]</t>
  </si>
  <si>
    <t>BP_MISSION_S2_NAME_9</t>
  </si>
  <si>
    <t>BP_MISSION_S2_9</t>
  </si>
  <si>
    <t>杀戮：中坦</t>
  </si>
  <si>
    <t>BP_MISSION_S2_NAME_11</t>
  </si>
  <si>
    <t>BP_MISSION_S2_11</t>
  </si>
  <si>
    <t>乱战高手</t>
  </si>
  <si>
    <t>[(1,1)]</t>
  </si>
  <si>
    <t>BP_MISSION_S2_NAME_13</t>
  </si>
  <si>
    <t>BP_MISSION_S2_13</t>
  </si>
  <si>
    <t>RoleDestoryTankRankedNthEvent</t>
  </si>
  <si>
    <t>dealRoleDestoryTankRankedNthEvent</t>
  </si>
  <si>
    <t>[5]</t>
    <phoneticPr fontId="32" type="noConversion"/>
  </si>
  <si>
    <t>[(1,32),(10,3)]</t>
    <phoneticPr fontId="32" type="noConversion"/>
  </si>
  <si>
    <t>杀戮：重坦</t>
  </si>
  <si>
    <t>BP_MISSION_S2_NAME_12</t>
  </si>
  <si>
    <t>BP_MISSION_S2_12</t>
  </si>
  <si>
    <t>礼包定价</t>
    <phoneticPr fontId="32" type="noConversion"/>
  </si>
  <si>
    <t>折合钻石</t>
    <phoneticPr fontId="32" type="noConversion"/>
  </si>
  <si>
    <t>折合军费</t>
    <phoneticPr fontId="32" type="noConversion"/>
  </si>
  <si>
    <t>1,2</t>
    <phoneticPr fontId="32" type="noConversion"/>
  </si>
  <si>
    <t>9,10</t>
    <phoneticPr fontId="32" type="noConversion"/>
  </si>
  <si>
    <t>0 to 5</t>
  </si>
  <si>
    <t>0 to 5</t>
    <phoneticPr fontId="32" type="noConversion"/>
  </si>
  <si>
    <t>50 to 100</t>
    <phoneticPr fontId="32" type="noConversion"/>
  </si>
  <si>
    <t>100 above</t>
    <phoneticPr fontId="32" type="noConversion"/>
  </si>
  <si>
    <t>Rank/历史付费</t>
    <phoneticPr fontId="32" type="noConversion"/>
  </si>
  <si>
    <t>4,5</t>
  </si>
  <si>
    <t>4,5</t>
    <phoneticPr fontId="32" type="noConversion"/>
  </si>
  <si>
    <t>6,7</t>
  </si>
  <si>
    <t>6,7</t>
    <phoneticPr fontId="32" type="noConversion"/>
  </si>
  <si>
    <t>5 to 15</t>
    <phoneticPr fontId="32" type="noConversion"/>
  </si>
  <si>
    <t>15 to 50</t>
    <phoneticPr fontId="32" type="noConversion"/>
  </si>
  <si>
    <t>Rank</t>
    <phoneticPr fontId="32" type="noConversion"/>
  </si>
  <si>
    <t>坦克1</t>
    <phoneticPr fontId="32" type="noConversion"/>
  </si>
  <si>
    <t>坦克2</t>
    <phoneticPr fontId="32" type="noConversion"/>
  </si>
  <si>
    <t>坦克和部件进度预估</t>
    <phoneticPr fontId="32" type="noConversion"/>
  </si>
  <si>
    <t>定价折合军费和钻石</t>
    <phoneticPr fontId="32" type="noConversion"/>
  </si>
  <si>
    <t>T1_低</t>
    <phoneticPr fontId="32" type="noConversion"/>
  </si>
  <si>
    <t>1部件</t>
    <phoneticPr fontId="32" type="noConversion"/>
  </si>
  <si>
    <t>2部件</t>
    <phoneticPr fontId="32" type="noConversion"/>
  </si>
  <si>
    <t>3部件</t>
    <phoneticPr fontId="32" type="noConversion"/>
  </si>
  <si>
    <t>T2_低</t>
    <phoneticPr fontId="32" type="noConversion"/>
  </si>
  <si>
    <t>T3_低</t>
    <phoneticPr fontId="32" type="noConversion"/>
  </si>
  <si>
    <t>T3_中</t>
    <phoneticPr fontId="32" type="noConversion"/>
  </si>
  <si>
    <t>军费需求/万</t>
    <phoneticPr fontId="32" type="noConversion"/>
  </si>
  <si>
    <t>礼包类型</t>
    <phoneticPr fontId="32" type="noConversion"/>
  </si>
  <si>
    <t>军费</t>
    <phoneticPr fontId="32" type="noConversion"/>
  </si>
  <si>
    <t>礼包价格</t>
    <phoneticPr fontId="32" type="noConversion"/>
  </si>
  <si>
    <t>3,4,5</t>
    <phoneticPr fontId="32" type="noConversion"/>
  </si>
  <si>
    <t>6,7,8,9,10</t>
    <phoneticPr fontId="32" type="noConversion"/>
  </si>
  <si>
    <t>5 to 15</t>
  </si>
  <si>
    <t>1,2,3,4,5,6,7</t>
    <phoneticPr fontId="32" type="noConversion"/>
  </si>
  <si>
    <t>8,9</t>
    <phoneticPr fontId="32" type="noConversion"/>
  </si>
  <si>
    <t>15 to 50</t>
  </si>
  <si>
    <t>1,2,3</t>
    <phoneticPr fontId="32" type="noConversion"/>
  </si>
  <si>
    <t>4,5,6,7,8,9,10</t>
    <phoneticPr fontId="32" type="noConversion"/>
  </si>
  <si>
    <t>50 to 100</t>
  </si>
  <si>
    <t>100 above</t>
  </si>
  <si>
    <t>钻石</t>
    <phoneticPr fontId="32" type="noConversion"/>
  </si>
  <si>
    <t>计算值</t>
    <phoneticPr fontId="32" type="noConversion"/>
  </si>
  <si>
    <t>设定值</t>
    <phoneticPr fontId="32" type="noConversion"/>
  </si>
  <si>
    <t>理论折扣</t>
    <phoneticPr fontId="32" type="noConversion"/>
  </si>
  <si>
    <t>实际折扣</t>
    <phoneticPr fontId="32" type="noConversion"/>
  </si>
  <si>
    <t>all</t>
    <phoneticPr fontId="32" type="noConversion"/>
  </si>
  <si>
    <t>礼包类型</t>
    <phoneticPr fontId="32" type="noConversion"/>
  </si>
  <si>
    <t>混合</t>
    <phoneticPr fontId="32" type="noConversion"/>
  </si>
  <si>
    <t>军费设定值</t>
    <phoneticPr fontId="32" type="noConversion"/>
  </si>
  <si>
    <t>军费计算值</t>
    <phoneticPr fontId="32" type="noConversion"/>
  </si>
  <si>
    <t>钻石计算值</t>
    <phoneticPr fontId="32" type="noConversion"/>
  </si>
  <si>
    <t>钻石设定值</t>
    <phoneticPr fontId="32" type="noConversion"/>
  </si>
  <si>
    <t>军费和钻石礼包</t>
    <phoneticPr fontId="32" type="noConversion"/>
  </si>
  <si>
    <t>升级Rank触发礼包</t>
    <phoneticPr fontId="32" type="noConversion"/>
  </si>
  <si>
    <t>单个用户每类礼包最多买6个</t>
    <phoneticPr fontId="32" type="noConversion"/>
  </si>
  <si>
    <t>礼包原价</t>
  </si>
  <si>
    <t>礼包原价</t>
    <phoneticPr fontId="32" type="noConversion"/>
  </si>
  <si>
    <t>90天历史付费</t>
    <phoneticPr fontId="32" type="noConversion"/>
  </si>
  <si>
    <t>8,9</t>
  </si>
  <si>
    <t>8,9</t>
    <phoneticPr fontId="32" type="noConversion"/>
  </si>
  <si>
    <t>1,2,3</t>
  </si>
  <si>
    <t>礼包价格分布规划</t>
    <phoneticPr fontId="32" type="noConversion"/>
  </si>
  <si>
    <t>战旗旗杆-木质旗杆</t>
    <phoneticPr fontId="32" type="noConversion"/>
  </si>
  <si>
    <t>碎片宝箱7</t>
    <phoneticPr fontId="32" type="noConversion"/>
  </si>
  <si>
    <t>碎片宝箱5</t>
    <phoneticPr fontId="32" type="noConversion"/>
  </si>
  <si>
    <t>高级自宝箱5</t>
    <phoneticPr fontId="32" type="noConversion"/>
  </si>
  <si>
    <t>虎式碎片</t>
    <phoneticPr fontId="32" type="noConversion"/>
  </si>
  <si>
    <t>头像-外星人</t>
    <phoneticPr fontId="32" type="noConversion"/>
  </si>
  <si>
    <t>历史付费</t>
    <phoneticPr fontId="39" type="noConversion"/>
  </si>
  <si>
    <t>PaymentAmount90days_Condition</t>
    <phoneticPr fontId="32" type="noConversion"/>
  </si>
  <si>
    <t>Discount</t>
    <phoneticPr fontId="39" type="noConversion"/>
  </si>
  <si>
    <t>折扣规划</t>
    <phoneticPr fontId="39" type="noConversion"/>
  </si>
  <si>
    <t>BattlePass货币</t>
    <phoneticPr fontId="32" type="noConversion"/>
  </si>
  <si>
    <t>[5]</t>
    <phoneticPr fontId="32" type="noConversion"/>
  </si>
  <si>
    <t>涂鸦-雄鹿</t>
    <phoneticPr fontId="32" type="noConversion"/>
  </si>
  <si>
    <t>摆件12-仙人掌</t>
    <phoneticPr fontId="32" type="noConversion"/>
  </si>
  <si>
    <t>头像-牛仔</t>
    <phoneticPr fontId="32" type="noConversion"/>
  </si>
  <si>
    <t>B-1碎片</t>
    <phoneticPr fontId="32" type="noConversion"/>
  </si>
  <si>
    <t>高级自宝箱2</t>
    <phoneticPr fontId="32" type="noConversion"/>
  </si>
  <si>
    <t>双倍钥匙</t>
    <phoneticPr fontId="32" type="noConversion"/>
  </si>
  <si>
    <t>军费</t>
    <phoneticPr fontId="32" type="noConversion"/>
  </si>
  <si>
    <t>部件宝箱3</t>
    <phoneticPr fontId="32" type="noConversion"/>
  </si>
  <si>
    <t>高级自宝箱5</t>
    <phoneticPr fontId="32" type="noConversion"/>
  </si>
  <si>
    <t>钻石</t>
    <phoneticPr fontId="32" type="noConversion"/>
  </si>
  <si>
    <t>钥匙</t>
    <phoneticPr fontId="32" type="noConversion"/>
  </si>
  <si>
    <t>高级自宝箱8</t>
    <phoneticPr fontId="32" type="noConversion"/>
  </si>
  <si>
    <t>高级自宝箱6</t>
    <phoneticPr fontId="32" type="noConversion"/>
  </si>
  <si>
    <t>稀有自宝箱8</t>
    <phoneticPr fontId="32" type="noConversion"/>
  </si>
  <si>
    <t>部件宝箱2</t>
    <phoneticPr fontId="32" type="noConversion"/>
  </si>
  <si>
    <t>部件宝箱8</t>
    <phoneticPr fontId="32" type="noConversion"/>
  </si>
  <si>
    <t>碎片宝箱6</t>
    <phoneticPr fontId="32" type="noConversion"/>
  </si>
  <si>
    <t>碎片宝箱8</t>
    <phoneticPr fontId="32" type="noConversion"/>
  </si>
  <si>
    <t>chest_lv4_icon</t>
    <phoneticPr fontId="32" type="noConversion"/>
  </si>
  <si>
    <t>半分连射数</t>
    <phoneticPr fontId="32" type="noConversion"/>
  </si>
  <si>
    <t>最优距离</t>
    <phoneticPr fontId="32" type="noConversion"/>
  </si>
  <si>
    <t>最差距离</t>
    <phoneticPr fontId="32" type="noConversion"/>
  </si>
  <si>
    <t>总输出</t>
    <phoneticPr fontId="32" type="noConversion"/>
  </si>
  <si>
    <t>距离相关（半分输出）</t>
    <phoneticPr fontId="32" type="noConversion"/>
  </si>
  <si>
    <t>升星碎片累计数</t>
    <phoneticPr fontId="32" type="noConversion"/>
  </si>
  <si>
    <t>升星军费累计数</t>
    <phoneticPr fontId="32" type="noConversion"/>
  </si>
  <si>
    <t>累计登陆</t>
    <phoneticPr fontId="32" type="noConversion"/>
  </si>
  <si>
    <t>Stuart碎片</t>
    <phoneticPr fontId="32" type="noConversion"/>
  </si>
  <si>
    <t>军费</t>
    <phoneticPr fontId="32" type="noConversion"/>
  </si>
  <si>
    <t>等级</t>
    <phoneticPr fontId="32" type="noConversion"/>
  </si>
  <si>
    <t>时间/天</t>
    <phoneticPr fontId="32" type="noConversion"/>
  </si>
  <si>
    <t>军费列</t>
    <phoneticPr fontId="32" type="noConversion"/>
  </si>
  <si>
    <t>钻石列</t>
    <phoneticPr fontId="32" type="noConversion"/>
  </si>
  <si>
    <t>豪华版额外奖励</t>
    <phoneticPr fontId="32" type="noConversion"/>
  </si>
  <si>
    <t>头像-炸弹头听音乐</t>
    <phoneticPr fontId="32" type="noConversion"/>
  </si>
  <si>
    <t>平均单场得星数</t>
    <phoneticPr fontId="32" type="noConversion"/>
  </si>
  <si>
    <t>升级星数</t>
    <phoneticPr fontId="32" type="noConversion"/>
  </si>
  <si>
    <t>单场最高星数</t>
    <phoneticPr fontId="32" type="noConversion"/>
  </si>
  <si>
    <t>满级等级</t>
    <phoneticPr fontId="32" type="noConversion"/>
  </si>
  <si>
    <t>平均游戏时间/天</t>
    <phoneticPr fontId="32" type="noConversion"/>
  </si>
  <si>
    <t>单天平均场次</t>
    <phoneticPr fontId="32" type="noConversion"/>
  </si>
  <si>
    <t>单天极限场次(5%)</t>
    <phoneticPr fontId="32" type="noConversion"/>
  </si>
  <si>
    <t>极限游戏时间/天</t>
    <phoneticPr fontId="32" type="noConversion"/>
  </si>
  <si>
    <t>每周挑战任务</t>
    <phoneticPr fontId="32" type="noConversion"/>
  </si>
  <si>
    <t>个人金杯奖励-购买坦克</t>
    <phoneticPr fontId="32" type="noConversion"/>
  </si>
  <si>
    <t>专属礼包碎片数量</t>
    <phoneticPr fontId="32" type="noConversion"/>
  </si>
  <si>
    <t>专属礼包碎片价格</t>
    <phoneticPr fontId="32" type="noConversion"/>
  </si>
  <si>
    <t>购买碎片获得坦克时间/天</t>
    <phoneticPr fontId="32" type="noConversion"/>
  </si>
  <si>
    <t>购买碎片升满坦克时间/天</t>
    <phoneticPr fontId="32" type="noConversion"/>
  </si>
  <si>
    <t>联赛银杯特权宝箱折扣</t>
    <phoneticPr fontId="32" type="noConversion"/>
  </si>
  <si>
    <t>联赛银杯特权宝箱折扣次数</t>
    <phoneticPr fontId="32" type="noConversion"/>
  </si>
  <si>
    <t>军团联赛钻石奖励</t>
    <phoneticPr fontId="32" type="noConversion"/>
  </si>
  <si>
    <t>名次</t>
    <phoneticPr fontId="32" type="noConversion"/>
  </si>
  <si>
    <t>4-10名</t>
    <phoneticPr fontId="32" type="noConversion"/>
  </si>
  <si>
    <t>1名</t>
    <phoneticPr fontId="32" type="noConversion"/>
  </si>
  <si>
    <t>2名</t>
    <phoneticPr fontId="32" type="noConversion"/>
  </si>
  <si>
    <t>3名</t>
    <phoneticPr fontId="32" type="noConversion"/>
  </si>
  <si>
    <t>预估活跃人数比例</t>
    <phoneticPr fontId="32" type="noConversion"/>
  </si>
  <si>
    <t>活跃人数</t>
    <phoneticPr fontId="32" type="noConversion"/>
  </si>
  <si>
    <t>奖励钻石数量</t>
    <phoneticPr fontId="32" type="noConversion"/>
  </si>
  <si>
    <t>最活跃玩家人数</t>
    <phoneticPr fontId="32" type="noConversion"/>
  </si>
  <si>
    <t>最活跃玩家人均钻石数</t>
    <phoneticPr fontId="32" type="noConversion"/>
  </si>
  <si>
    <t>一般活跃玩家人均钻石数</t>
    <phoneticPr fontId="32" type="noConversion"/>
  </si>
  <si>
    <t>一般活跃人数</t>
    <phoneticPr fontId="32" type="noConversion"/>
  </si>
  <si>
    <t>按二八分配预估</t>
    <phoneticPr fontId="32" type="noConversion"/>
  </si>
  <si>
    <t>军团数量</t>
    <phoneticPr fontId="32" type="noConversion"/>
  </si>
  <si>
    <t>钻石总投放量/万</t>
    <phoneticPr fontId="32" type="noConversion"/>
  </si>
  <si>
    <t>影响玩家人数</t>
    <phoneticPr fontId="32" type="noConversion"/>
  </si>
  <si>
    <t>日常免费钻石投放量(14天)/万</t>
    <phoneticPr fontId="32" type="noConversion"/>
  </si>
  <si>
    <t>参与补给争夺</t>
  </si>
  <si>
    <t>参与死亡竞赛</t>
  </si>
  <si>
    <t>参与火力乱斗</t>
  </si>
  <si>
    <t>补给争夺决胜模式连续获胜3场</t>
  </si>
  <si>
    <t>死亡竞赛决胜模式连续获胜3场</t>
  </si>
  <si>
    <t>完成1次3杀</t>
  </si>
  <si>
    <t>连续3场获得MVP</t>
  </si>
  <si>
    <t>任务名称</t>
    <phoneticPr fontId="32" type="noConversion"/>
  </si>
  <si>
    <t>得分-胜</t>
    <phoneticPr fontId="32" type="noConversion"/>
  </si>
  <si>
    <t>得分-负</t>
    <phoneticPr fontId="32" type="noConversion"/>
  </si>
  <si>
    <t>每天场次</t>
    <phoneticPr fontId="32" type="noConversion"/>
  </si>
  <si>
    <t>每场完成次数</t>
    <phoneticPr fontId="32" type="noConversion"/>
  </si>
  <si>
    <t>胜率</t>
    <phoneticPr fontId="32" type="noConversion"/>
  </si>
  <si>
    <t>活动参与率</t>
    <phoneticPr fontId="32" type="noConversion"/>
  </si>
  <si>
    <t>钥匙链设定</t>
    <phoneticPr fontId="32" type="noConversion"/>
  </si>
  <si>
    <t>上限</t>
    <phoneticPr fontId="32" type="noConversion"/>
  </si>
  <si>
    <t>恢复间隔/分钟</t>
    <phoneticPr fontId="32" type="noConversion"/>
  </si>
  <si>
    <t>恢复数量</t>
    <phoneticPr fontId="32" type="noConversion"/>
  </si>
  <si>
    <t>恢复满时间/小时</t>
    <phoneticPr fontId="32" type="noConversion"/>
  </si>
  <si>
    <t>单天上限-老</t>
    <phoneticPr fontId="32" type="noConversion"/>
  </si>
  <si>
    <t>单天上限-新</t>
    <phoneticPr fontId="32" type="noConversion"/>
  </si>
  <si>
    <t>当前数值</t>
    <phoneticPr fontId="32" type="noConversion"/>
  </si>
  <si>
    <t>修改后数值</t>
    <phoneticPr fontId="32" type="noConversion"/>
  </si>
  <si>
    <t>MVP概率</t>
    <phoneticPr fontId="32" type="noConversion"/>
  </si>
  <si>
    <t>每周得分</t>
    <phoneticPr fontId="32" type="noConversion"/>
  </si>
  <si>
    <t>最高得分</t>
    <phoneticPr fontId="32" type="noConversion"/>
  </si>
  <si>
    <t>箱子分数</t>
    <phoneticPr fontId="32" type="noConversion"/>
  </si>
  <si>
    <t>道具数量</t>
    <phoneticPr fontId="32" type="noConversion"/>
  </si>
  <si>
    <t>军费</t>
    <phoneticPr fontId="32" type="noConversion"/>
  </si>
  <si>
    <t>兑换币价值</t>
    <phoneticPr fontId="32" type="noConversion"/>
  </si>
  <si>
    <t>增益道具-贴花绿-专注-换弹速度&amp;瞄准</t>
    <phoneticPr fontId="32" type="noConversion"/>
  </si>
  <si>
    <t>增益道具-贴花绿-重伤-攻击力&amp;穿透</t>
    <phoneticPr fontId="32" type="noConversion"/>
  </si>
  <si>
    <t>增益道具-贴花蓝-专注-换弹速度&amp;瞄准</t>
    <phoneticPr fontId="32" type="noConversion"/>
  </si>
  <si>
    <t>增益道具-贴花紫-专注-换弹速度&amp;瞄准</t>
    <phoneticPr fontId="32" type="noConversion"/>
  </si>
  <si>
    <t>增益道具-贴花蓝-重伤-攻击力&amp;穿透</t>
    <phoneticPr fontId="32" type="noConversion"/>
  </si>
  <si>
    <t>增益道具-贴花紫-重伤-攻击力&amp;穿透</t>
    <phoneticPr fontId="32" type="noConversion"/>
  </si>
  <si>
    <t>增益道具-流光紫1-四维都加</t>
    <phoneticPr fontId="32" type="noConversion"/>
  </si>
  <si>
    <t>绿色增益涂装（血量、护甲增加）</t>
  </si>
  <si>
    <t>绿色增益涂装（移动速度、转身速度增加）</t>
  </si>
  <si>
    <t>蓝色增益涂装（血量、护甲增加）</t>
  </si>
  <si>
    <t>蓝色增益涂装（移动速度、转身速度增加）</t>
  </si>
  <si>
    <t>紫色增益涂装（血量、护甲增加）</t>
  </si>
  <si>
    <t>紫色增益涂装（移动速度、转身速度增加）</t>
  </si>
  <si>
    <t>名称</t>
    <phoneticPr fontId="32" type="noConversion"/>
  </si>
  <si>
    <t>兑换币价格</t>
    <phoneticPr fontId="32" type="noConversion"/>
  </si>
  <si>
    <t>钻石价格</t>
    <phoneticPr fontId="32" type="noConversion"/>
  </si>
  <si>
    <t>属性值</t>
    <phoneticPr fontId="32" type="noConversion"/>
  </si>
  <si>
    <t>霞飞碎片</t>
    <phoneticPr fontId="32" type="noConversion"/>
  </si>
  <si>
    <t>shard_m24</t>
    <phoneticPr fontId="32" type="noConversion"/>
  </si>
  <si>
    <t>新坦克-M42</t>
  </si>
  <si>
    <t>shard_m42</t>
    <phoneticPr fontId="32" type="noConversion"/>
  </si>
  <si>
    <t>m42</t>
    <phoneticPr fontId="32" type="noConversion"/>
  </si>
  <si>
    <t>新坦克-M42碎片</t>
  </si>
  <si>
    <t>新坦克-M42碎片</t>
    <phoneticPr fontId="32" type="noConversion"/>
  </si>
  <si>
    <t>新T4轻坦碎片</t>
    <phoneticPr fontId="32" type="noConversion"/>
  </si>
  <si>
    <t>5分钟加速</t>
  </si>
  <si>
    <t>30分钟加速</t>
  </si>
  <si>
    <t>60分钟加速</t>
  </si>
  <si>
    <t>resource_icon_reduce_1</t>
  </si>
  <si>
    <t>resource_icon_reduce_2</t>
  </si>
  <si>
    <t>resource_icon_reduce_3</t>
  </si>
  <si>
    <t>高级自宝箱4</t>
    <phoneticPr fontId="32" type="noConversion"/>
  </si>
  <si>
    <t>T4MP2</t>
    <phoneticPr fontId="32" type="noConversion"/>
  </si>
  <si>
    <t>部件</t>
    <phoneticPr fontId="32" type="noConversion"/>
  </si>
  <si>
    <t>新加速道具</t>
    <phoneticPr fontId="32" type="noConversion"/>
  </si>
  <si>
    <t>头像</t>
    <phoneticPr fontId="32" type="noConversion"/>
  </si>
  <si>
    <t>涂鸦</t>
    <phoneticPr fontId="32" type="noConversion"/>
  </si>
  <si>
    <t>坦克碎片</t>
    <phoneticPr fontId="32" type="noConversion"/>
  </si>
  <si>
    <t>宝箱</t>
    <phoneticPr fontId="32" type="noConversion"/>
  </si>
  <si>
    <t>增益道具-贴花绿-专注</t>
  </si>
  <si>
    <t>增益道具-贴花绿-重伤</t>
  </si>
  <si>
    <t>增益道具-贴花蓝-专注</t>
  </si>
  <si>
    <t>增益道具-贴花蓝-重伤</t>
  </si>
  <si>
    <t>增益道具-贴花紫-专注</t>
  </si>
  <si>
    <t>增益道具-贴花紫-重伤</t>
  </si>
  <si>
    <t>tank_skin_icon_cobra1</t>
  </si>
  <si>
    <t>tank_skin_icon_phoenix1</t>
  </si>
  <si>
    <t>tank_skin_icon_cobra2</t>
  </si>
  <si>
    <t>tank_skin_icon_phoenix2</t>
  </si>
  <si>
    <t>tank_skin_icon_cobra3</t>
  </si>
  <si>
    <t>tank_skin_icon_phoenix3</t>
  </si>
  <si>
    <t>贴花</t>
    <phoneticPr fontId="32" type="noConversion"/>
  </si>
  <si>
    <t>钥匙宝箱</t>
    <phoneticPr fontId="32" type="noConversion"/>
  </si>
  <si>
    <t>军费</t>
    <phoneticPr fontId="32" type="noConversion"/>
  </si>
  <si>
    <t>3-5星宝箱</t>
  </si>
  <si>
    <t>荣耀宝箱</t>
  </si>
  <si>
    <t>gamehome_maintop_button_honour</t>
  </si>
  <si>
    <t>荣耀宝箱</t>
    <phoneticPr fontId="32" type="noConversion"/>
  </si>
  <si>
    <t>涂鸦-小丑</t>
    <phoneticPr fontId="32" type="noConversion"/>
  </si>
  <si>
    <t>增益道具-贴花绿-专注</t>
    <phoneticPr fontId="32" type="noConversion"/>
  </si>
  <si>
    <t>5分钟加速</t>
    <phoneticPr fontId="32" type="noConversion"/>
  </si>
  <si>
    <t>增益道具-贴花绿-重伤</t>
    <phoneticPr fontId="32" type="noConversion"/>
  </si>
  <si>
    <t>30分钟加速</t>
    <phoneticPr fontId="32" type="noConversion"/>
  </si>
  <si>
    <t>T4MP1</t>
    <phoneticPr fontId="32" type="noConversion"/>
  </si>
  <si>
    <t>60分钟加速</t>
    <phoneticPr fontId="32" type="noConversion"/>
  </si>
  <si>
    <t>增益道具-贴花蓝-专注</t>
    <phoneticPr fontId="32" type="noConversion"/>
  </si>
  <si>
    <t>增益道具-贴花蓝-重伤</t>
    <phoneticPr fontId="32" type="noConversion"/>
  </si>
  <si>
    <t>头像-炸弹头听音乐</t>
    <phoneticPr fontId="32" type="noConversion"/>
  </si>
  <si>
    <t>增益道具-贴花紫-专注</t>
    <phoneticPr fontId="32" type="noConversion"/>
  </si>
  <si>
    <t>增益道具-贴花紫-重伤</t>
    <phoneticPr fontId="32" type="noConversion"/>
  </si>
  <si>
    <t>钻石</t>
    <phoneticPr fontId="32" type="noConversion"/>
  </si>
  <si>
    <t>稀有自宝箱10</t>
    <phoneticPr fontId="32" type="noConversion"/>
  </si>
  <si>
    <t>子母导弹</t>
    <phoneticPr fontId="32" type="noConversion"/>
  </si>
  <si>
    <t>5分钟加速</t>
    <phoneticPr fontId="32" type="noConversion"/>
  </si>
  <si>
    <t>3倍加速2</t>
    <phoneticPr fontId="32" type="noConversion"/>
  </si>
  <si>
    <t>3倍加速1</t>
    <phoneticPr fontId="32" type="noConversion"/>
  </si>
  <si>
    <t>30分钟加速</t>
    <phoneticPr fontId="3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</si>
</sst>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176" formatCode="0.00_ "/>
    <numFmt numFmtId="177" formatCode="0_);[Red]\(0\)"/>
    <numFmt numFmtId="178" formatCode="0.0_ "/>
    <numFmt numFmtId="179" formatCode="0.0%"/>
    <numFmt numFmtId="180" formatCode="0.0_);[Red]\(0.0\)"/>
    <numFmt numFmtId="181" formatCode="0_ "/>
    <numFmt numFmtId="182" formatCode="\$#,##0.0_);[Red]\(\$#,##0.0\)"/>
    <numFmt numFmtId="183" formatCode="0.000_);[Red]\(0.000\)"/>
    <numFmt numFmtId="184" formatCode="0.000_ "/>
    <numFmt numFmtId="185" formatCode="\$#,##0.00;\-\$#,##0.00"/>
    <numFmt numFmtId="186" formatCode="0.00_);[Red]\(0.00\)"/>
  </numFmts>
  <fonts count="40" x14ac:knownFonts="1">
    <font>
      <sz val="11"/>
      <color theme="1"/>
      <name val="宋体"/>
      <charset val="134"/>
      <scheme val="minor"/>
    </font>
    <font>
      <sz val="11"/>
      <color theme="1"/>
      <name val="宋体"/>
      <family val="2"/>
      <scheme val="minor"/>
    </font>
    <font>
      <sz val="9"/>
      <color theme="1"/>
      <name val="微软雅黑"/>
      <family val="2"/>
      <charset val="134"/>
    </font>
    <font>
      <b/>
      <sz val="14"/>
      <color theme="1"/>
      <name val="宋体"/>
      <family val="3"/>
      <charset val="134"/>
      <scheme val="minor"/>
    </font>
    <font>
      <b/>
      <sz val="11"/>
      <color theme="1"/>
      <name val="宋体"/>
      <family val="3"/>
      <charset val="134"/>
      <scheme val="minor"/>
    </font>
    <font>
      <sz val="9"/>
      <color indexed="8"/>
      <name val="微软雅黑"/>
      <family val="2"/>
      <charset val="134"/>
    </font>
    <font>
      <sz val="9"/>
      <color rgb="FFFF0000"/>
      <name val="微软雅黑"/>
      <family val="2"/>
      <charset val="134"/>
    </font>
    <font>
      <sz val="9"/>
      <name val="微软雅黑"/>
      <family val="2"/>
      <charset val="134"/>
    </font>
    <font>
      <sz val="9"/>
      <color rgb="FFFF0066"/>
      <name val="微软雅黑"/>
      <family val="2"/>
      <charset val="134"/>
    </font>
    <font>
      <b/>
      <sz val="11"/>
      <color theme="1"/>
      <name val="微软雅黑"/>
      <family val="2"/>
      <charset val="134"/>
    </font>
    <font>
      <b/>
      <sz val="9"/>
      <color theme="1"/>
      <name val="微软雅黑"/>
      <family val="2"/>
      <charset val="134"/>
    </font>
    <font>
      <b/>
      <sz val="9"/>
      <color indexed="8"/>
      <name val="微软雅黑"/>
      <family val="2"/>
      <charset val="134"/>
    </font>
    <font>
      <b/>
      <sz val="11"/>
      <color rgb="FFFF0000"/>
      <name val="宋体"/>
      <family val="3"/>
      <charset val="134"/>
      <scheme val="minor"/>
    </font>
    <font>
      <b/>
      <sz val="11"/>
      <color theme="9" tint="-0.249977111117893"/>
      <name val="宋体"/>
      <family val="3"/>
      <charset val="134"/>
      <scheme val="minor"/>
    </font>
    <font>
      <b/>
      <sz val="12"/>
      <color theme="1"/>
      <name val="微软雅黑"/>
      <family val="2"/>
      <charset val="134"/>
    </font>
    <font>
      <sz val="10"/>
      <color theme="1"/>
      <name val="微软雅黑"/>
      <family val="2"/>
      <charset val="134"/>
    </font>
    <font>
      <b/>
      <sz val="10"/>
      <color theme="1"/>
      <name val="微软雅黑"/>
      <family val="2"/>
      <charset val="134"/>
    </font>
    <font>
      <b/>
      <sz val="9"/>
      <color rgb="FFFF0000"/>
      <name val="微软雅黑"/>
      <family val="2"/>
      <charset val="134"/>
    </font>
    <font>
      <sz val="10"/>
      <color theme="1"/>
      <name val="宋体"/>
      <family val="3"/>
      <charset val="134"/>
      <scheme val="minor"/>
    </font>
    <font>
      <sz val="8"/>
      <color theme="1"/>
      <name val="微软雅黑"/>
      <family val="2"/>
      <charset val="134"/>
    </font>
    <font>
      <sz val="18"/>
      <color theme="1"/>
      <name val="宋体"/>
      <family val="3"/>
      <charset val="134"/>
      <scheme val="minor"/>
    </font>
    <font>
      <b/>
      <sz val="14"/>
      <color theme="9" tint="-0.249977111117893"/>
      <name val="宋体"/>
      <family val="3"/>
      <charset val="134"/>
      <scheme val="minor"/>
    </font>
    <font>
      <sz val="9"/>
      <color theme="5" tint="-0.249977111117893"/>
      <name val="微软雅黑"/>
      <family val="2"/>
      <charset val="134"/>
    </font>
    <font>
      <sz val="9"/>
      <color theme="8" tint="-0.249977111117893"/>
      <name val="微软雅黑"/>
      <family val="2"/>
      <charset val="134"/>
    </font>
    <font>
      <sz val="9"/>
      <color theme="9" tint="-0.499984740745262"/>
      <name val="微软雅黑"/>
      <family val="2"/>
      <charset val="134"/>
    </font>
    <font>
      <sz val="11"/>
      <color indexed="8"/>
      <name val="宋体"/>
      <family val="3"/>
      <charset val="134"/>
    </font>
    <font>
      <sz val="9"/>
      <name val="宋体"/>
      <family val="3"/>
      <charset val="134"/>
    </font>
    <font>
      <b/>
      <sz val="9"/>
      <name val="宋体"/>
      <family val="3"/>
      <charset val="134"/>
    </font>
    <font>
      <sz val="11"/>
      <color theme="1"/>
      <name val="宋体"/>
      <family val="3"/>
      <charset val="134"/>
      <scheme val="minor"/>
    </font>
    <font>
      <b/>
      <sz val="9"/>
      <color rgb="FF000000"/>
      <name val="宋体"/>
      <family val="3"/>
      <charset val="134"/>
    </font>
    <font>
      <sz val="9"/>
      <color rgb="FF000000"/>
      <name val="宋体"/>
      <family val="3"/>
      <charset val="134"/>
    </font>
    <font>
      <strike/>
      <sz val="9"/>
      <name val="宋体"/>
      <family val="3"/>
      <charset val="134"/>
    </font>
    <font>
      <sz val="9"/>
      <name val="宋体"/>
      <family val="3"/>
      <charset val="134"/>
      <scheme val="minor"/>
    </font>
    <font>
      <sz val="9"/>
      <color indexed="8"/>
      <name val="微软雅黑"/>
      <family val="2"/>
      <charset val="134"/>
    </font>
    <font>
      <b/>
      <sz val="11"/>
      <color theme="1"/>
      <name val="宋体"/>
      <family val="3"/>
      <charset val="134"/>
      <scheme val="minor"/>
    </font>
    <font>
      <sz val="11"/>
      <color theme="1"/>
      <name val="宋体"/>
      <family val="3"/>
      <charset val="134"/>
      <scheme val="minor"/>
    </font>
    <font>
      <sz val="9"/>
      <color theme="1"/>
      <name val="微软雅黑"/>
      <family val="2"/>
      <charset val="134"/>
    </font>
    <font>
      <sz val="9"/>
      <color theme="9" tint="0.39997558519241921"/>
      <name val="微软雅黑"/>
      <family val="2"/>
      <charset val="134"/>
    </font>
    <font>
      <sz val="11"/>
      <color rgb="FF000000"/>
      <name val="宋体"/>
      <family val="3"/>
      <charset val="134"/>
    </font>
    <font>
      <sz val="9"/>
      <name val="宋体"/>
      <family val="2"/>
      <charset val="134"/>
      <scheme val="minor"/>
    </font>
  </fonts>
  <fills count="30">
    <fill>
      <patternFill patternType="none"/>
    </fill>
    <fill>
      <patternFill patternType="gray125"/>
    </fill>
    <fill>
      <patternFill patternType="solid">
        <fgColor theme="5" tint="0.39994506668294322"/>
        <bgColor indexed="64"/>
      </patternFill>
    </fill>
    <fill>
      <patternFill patternType="solid">
        <fgColor theme="9" tint="0.79995117038483843"/>
        <bgColor indexed="64"/>
      </patternFill>
    </fill>
    <fill>
      <patternFill patternType="solid">
        <fgColor theme="6" tint="0.79995117038483843"/>
        <bgColor indexed="64"/>
      </patternFill>
    </fill>
    <fill>
      <patternFill patternType="solid">
        <fgColor rgb="FFFF0000"/>
        <bgColor indexed="64"/>
      </patternFill>
    </fill>
    <fill>
      <patternFill patternType="solid">
        <fgColor theme="7" tint="0.79995117038483843"/>
        <bgColor indexed="64"/>
      </patternFill>
    </fill>
    <fill>
      <patternFill patternType="solid">
        <fgColor theme="8" tint="0.79995117038483843"/>
        <bgColor indexed="64"/>
      </patternFill>
    </fill>
    <fill>
      <patternFill patternType="solid">
        <fgColor theme="6" tint="0.79998168889431442"/>
        <bgColor indexed="64"/>
      </patternFill>
    </fill>
    <fill>
      <patternFill patternType="solid">
        <fgColor theme="6" tint="0.59999389629810485"/>
        <bgColor indexed="64"/>
      </patternFill>
    </fill>
    <fill>
      <patternFill patternType="solid">
        <fgColor theme="9" tint="0.59999389629810485"/>
        <bgColor indexed="64"/>
      </patternFill>
    </fill>
    <fill>
      <patternFill patternType="solid">
        <fgColor rgb="FFF0F2FE"/>
        <bgColor indexed="64"/>
      </patternFill>
    </fill>
    <fill>
      <patternFill patternType="solid">
        <fgColor theme="2" tint="-9.9978637043366805E-2"/>
        <bgColor indexed="64"/>
      </patternFill>
    </fill>
    <fill>
      <patternFill patternType="solid">
        <fgColor theme="5" tint="0.79995117038483843"/>
        <bgColor indexed="64"/>
      </patternFill>
    </fill>
    <fill>
      <patternFill patternType="solid">
        <fgColor rgb="FF92D050"/>
        <bgColor indexed="64"/>
      </patternFill>
    </fill>
    <fill>
      <patternFill patternType="solid">
        <fgColor theme="0" tint="-4.9989318521683403E-2"/>
        <bgColor indexed="64"/>
      </patternFill>
    </fill>
    <fill>
      <patternFill patternType="solid">
        <fgColor rgb="FFFFFF00"/>
        <bgColor indexed="64"/>
      </patternFill>
    </fill>
    <fill>
      <patternFill patternType="solid">
        <fgColor theme="0" tint="-0.14996795556505021"/>
        <bgColor indexed="64"/>
      </patternFill>
    </fill>
    <fill>
      <patternFill patternType="solid">
        <fgColor theme="0"/>
        <bgColor indexed="64"/>
      </patternFill>
    </fill>
    <fill>
      <patternFill patternType="solid">
        <fgColor theme="8" tint="0.59999389629810485"/>
        <bgColor indexed="64"/>
      </patternFill>
    </fill>
    <fill>
      <patternFill patternType="solid">
        <fgColor theme="7" tint="0.59999389629810485"/>
        <bgColor indexed="64"/>
      </patternFill>
    </fill>
    <fill>
      <patternFill patternType="solid">
        <fgColor rgb="FFFF0066"/>
        <bgColor indexed="64"/>
      </patternFill>
    </fill>
    <fill>
      <patternFill patternType="solid">
        <fgColor rgb="FF0070C0"/>
        <bgColor indexed="64"/>
      </patternFill>
    </fill>
    <fill>
      <patternFill patternType="solid">
        <fgColor rgb="FFFFFFCC"/>
        <bgColor indexed="64"/>
      </patternFill>
    </fill>
    <fill>
      <patternFill patternType="solid">
        <fgColor theme="9" tint="0.79998168889431442"/>
        <bgColor indexed="64"/>
      </patternFill>
    </fill>
    <fill>
      <patternFill patternType="solid">
        <fgColor rgb="FFFFC000"/>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7" tint="0.79998168889431442"/>
        <bgColor indexed="64"/>
      </patternFill>
    </fill>
    <fill>
      <patternFill patternType="solid">
        <fgColor theme="4" tint="0.79998168889431442"/>
        <bgColor indexed="64"/>
      </patternFill>
    </fill>
  </fills>
  <borders count="32">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style="thin">
        <color auto="1"/>
      </bottom>
      <diagonal/>
    </border>
    <border>
      <left/>
      <right/>
      <top style="thin">
        <color auto="1"/>
      </top>
      <bottom style="thin">
        <color auto="1"/>
      </bottom>
      <diagonal/>
    </border>
    <border>
      <left style="thin">
        <color auto="1"/>
      </left>
      <right/>
      <top/>
      <bottom/>
      <diagonal/>
    </border>
    <border>
      <left style="thin">
        <color auto="1"/>
      </left>
      <right/>
      <top style="thin">
        <color auto="1"/>
      </top>
      <bottom/>
      <diagonal/>
    </border>
    <border>
      <left/>
      <right style="thin">
        <color auto="1"/>
      </right>
      <top style="thin">
        <color auto="1"/>
      </top>
      <bottom/>
      <diagonal/>
    </border>
    <border>
      <left style="thin">
        <color auto="1"/>
      </left>
      <right/>
      <top/>
      <bottom style="thin">
        <color auto="1"/>
      </bottom>
      <diagonal/>
    </border>
    <border>
      <left/>
      <right style="thin">
        <color auto="1"/>
      </right>
      <top/>
      <bottom style="thin">
        <color auto="1"/>
      </bottom>
      <diagonal/>
    </border>
    <border>
      <left style="thin">
        <color auto="1"/>
      </left>
      <right style="thin">
        <color auto="1"/>
      </right>
      <top style="thin">
        <color auto="1"/>
      </top>
      <bottom/>
      <diagonal/>
    </border>
    <border>
      <left style="medium">
        <color auto="1"/>
      </left>
      <right/>
      <top style="medium">
        <color auto="1"/>
      </top>
      <bottom/>
      <diagonal/>
    </border>
    <border>
      <left style="thin">
        <color auto="1"/>
      </left>
      <right style="thin">
        <color auto="1"/>
      </right>
      <top style="medium">
        <color auto="1"/>
      </top>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medium">
        <color auto="1"/>
      </left>
      <right style="thin">
        <color auto="1"/>
      </right>
      <top style="thin">
        <color auto="1"/>
      </top>
      <bottom style="thin">
        <color auto="1"/>
      </bottom>
      <diagonal/>
    </border>
    <border>
      <left style="medium">
        <color auto="1"/>
      </left>
      <right/>
      <top/>
      <bottom/>
      <diagonal/>
    </border>
    <border>
      <left style="thin">
        <color auto="1"/>
      </left>
      <right style="medium">
        <color auto="1"/>
      </right>
      <top style="medium">
        <color auto="1"/>
      </top>
      <bottom/>
      <diagonal/>
    </border>
    <border>
      <left style="medium">
        <color auto="1"/>
      </left>
      <right/>
      <top style="medium">
        <color auto="1"/>
      </top>
      <bottom style="medium">
        <color auto="1"/>
      </bottom>
      <diagonal/>
    </border>
    <border>
      <left style="thin">
        <color auto="1"/>
      </left>
      <right style="thin">
        <color auto="1"/>
      </right>
      <top style="medium">
        <color auto="1"/>
      </top>
      <bottom style="medium">
        <color auto="1"/>
      </bottom>
      <diagonal/>
    </border>
    <border>
      <left/>
      <right/>
      <top style="medium">
        <color auto="1"/>
      </top>
      <bottom/>
      <diagonal/>
    </border>
    <border>
      <left/>
      <right style="medium">
        <color auto="1"/>
      </right>
      <top/>
      <bottom/>
      <diagonal/>
    </border>
    <border>
      <left style="thin">
        <color auto="1"/>
      </left>
      <right style="medium">
        <color auto="1"/>
      </right>
      <top style="medium">
        <color auto="1"/>
      </top>
      <bottom style="medium">
        <color auto="1"/>
      </bottom>
      <diagonal/>
    </border>
    <border>
      <left/>
      <right style="medium">
        <color auto="1"/>
      </right>
      <top style="medium">
        <color auto="1"/>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medium">
        <color auto="1"/>
      </left>
      <right style="thin">
        <color auto="1"/>
      </right>
      <top style="thin">
        <color auto="1"/>
      </top>
      <bottom style="medium">
        <color auto="1"/>
      </bottom>
      <diagonal/>
    </border>
    <border>
      <left style="thin">
        <color rgb="FFB2B2B2"/>
      </left>
      <right style="thin">
        <color rgb="FFB2B2B2"/>
      </right>
      <top style="thin">
        <color rgb="FFB2B2B2"/>
      </top>
      <bottom style="thin">
        <color rgb="FFB2B2B2"/>
      </bottom>
      <diagonal/>
    </border>
  </borders>
  <cellStyleXfs count="6">
    <xf numFmtId="0" fontId="0" fillId="0" borderId="0"/>
    <xf numFmtId="0" fontId="28" fillId="23" borderId="31" applyNumberFormat="0" applyFont="0" applyAlignment="0" applyProtection="0">
      <alignment vertical="center"/>
    </xf>
    <xf numFmtId="0" fontId="28" fillId="7" borderId="0" applyNumberFormat="0" applyBorder="0" applyAlignment="0" applyProtection="0">
      <alignment vertical="center"/>
    </xf>
    <xf numFmtId="0" fontId="28" fillId="13" borderId="0" applyNumberFormat="0" applyBorder="0" applyAlignment="0" applyProtection="0">
      <alignment vertical="center"/>
    </xf>
    <xf numFmtId="0" fontId="25" fillId="0" borderId="0"/>
    <xf numFmtId="0" fontId="1" fillId="0" borderId="0"/>
  </cellStyleXfs>
  <cellXfs count="370">
    <xf numFmtId="0" fontId="0" fillId="0" borderId="0" xfId="0"/>
    <xf numFmtId="0" fontId="2" fillId="0" borderId="0" xfId="0" applyFont="1" applyAlignment="1">
      <alignment horizontal="center"/>
    </xf>
    <xf numFmtId="0" fontId="2" fillId="0" borderId="1" xfId="0" applyFont="1" applyBorder="1" applyAlignment="1">
      <alignment horizontal="center"/>
    </xf>
    <xf numFmtId="0" fontId="2" fillId="0" borderId="1" xfId="0" applyFont="1" applyBorder="1" applyAlignment="1">
      <alignment horizontal="left"/>
    </xf>
    <xf numFmtId="0" fontId="2" fillId="2" borderId="1" xfId="0" applyFont="1" applyFill="1" applyBorder="1" applyAlignment="1">
      <alignment horizontal="center"/>
    </xf>
    <xf numFmtId="0" fontId="2" fillId="2" borderId="1" xfId="0" applyFont="1" applyFill="1" applyBorder="1" applyAlignment="1">
      <alignment horizontal="left"/>
    </xf>
    <xf numFmtId="0" fontId="3" fillId="0" borderId="0" xfId="0" applyFont="1"/>
    <xf numFmtId="0" fontId="0" fillId="0" borderId="1" xfId="0" applyBorder="1"/>
    <xf numFmtId="178" fontId="0" fillId="0" borderId="1" xfId="0" applyNumberFormat="1" applyBorder="1"/>
    <xf numFmtId="0" fontId="0" fillId="3" borderId="0" xfId="0" applyFill="1"/>
    <xf numFmtId="0" fontId="0" fillId="0" borderId="0" xfId="0" applyFont="1" applyFill="1"/>
    <xf numFmtId="0" fontId="4" fillId="0" borderId="1" xfId="0" applyFont="1" applyBorder="1"/>
    <xf numFmtId="0" fontId="4" fillId="0" borderId="1" xfId="0" applyFont="1" applyFill="1" applyBorder="1"/>
    <xf numFmtId="0" fontId="0" fillId="0" borderId="1" xfId="0" applyFill="1" applyBorder="1"/>
    <xf numFmtId="9" fontId="0" fillId="0" borderId="1" xfId="0" applyNumberFormat="1" applyBorder="1"/>
    <xf numFmtId="0" fontId="5" fillId="0" borderId="0" xfId="0" applyFont="1" applyAlignment="1">
      <alignment horizontal="center"/>
    </xf>
    <xf numFmtId="10" fontId="0" fillId="4" borderId="0" xfId="0" applyNumberFormat="1" applyFill="1"/>
    <xf numFmtId="176" fontId="0" fillId="0" borderId="0" xfId="0" applyNumberFormat="1"/>
    <xf numFmtId="0" fontId="0" fillId="3" borderId="1" xfId="0" applyFill="1" applyBorder="1"/>
    <xf numFmtId="176" fontId="0" fillId="3" borderId="1" xfId="0" applyNumberFormat="1" applyFill="1" applyBorder="1"/>
    <xf numFmtId="176" fontId="0" fillId="0" borderId="1" xfId="0" applyNumberFormat="1" applyBorder="1"/>
    <xf numFmtId="0" fontId="6" fillId="0" borderId="1" xfId="0" applyFont="1" applyBorder="1" applyAlignment="1">
      <alignment horizontal="center"/>
    </xf>
    <xf numFmtId="0" fontId="2" fillId="0" borderId="1" xfId="0" applyFont="1" applyFill="1" applyBorder="1" applyAlignment="1">
      <alignment horizontal="center"/>
    </xf>
    <xf numFmtId="0" fontId="2" fillId="0" borderId="0" xfId="0" applyFont="1" applyFill="1" applyBorder="1" applyAlignment="1">
      <alignment horizontal="center"/>
    </xf>
    <xf numFmtId="0" fontId="6" fillId="0" borderId="0" xfId="0" applyFont="1" applyBorder="1" applyAlignment="1">
      <alignment horizontal="center"/>
    </xf>
    <xf numFmtId="0" fontId="2" fillId="0" borderId="0" xfId="0" applyFont="1" applyBorder="1" applyAlignment="1">
      <alignment horizontal="center"/>
    </xf>
    <xf numFmtId="0" fontId="2" fillId="0" borderId="3" xfId="0" applyFont="1" applyBorder="1" applyAlignment="1">
      <alignment horizontal="center"/>
    </xf>
    <xf numFmtId="0" fontId="6" fillId="0" borderId="0" xfId="0" applyFont="1" applyAlignment="1">
      <alignment horizontal="left"/>
    </xf>
    <xf numFmtId="0" fontId="7" fillId="0" borderId="1" xfId="0" applyNumberFormat="1" applyFont="1" applyBorder="1" applyAlignment="1">
      <alignment horizontal="center"/>
    </xf>
    <xf numFmtId="0" fontId="7" fillId="0" borderId="1" xfId="0" applyFont="1" applyBorder="1" applyAlignment="1">
      <alignment horizontal="center"/>
    </xf>
    <xf numFmtId="0" fontId="7" fillId="0" borderId="0" xfId="0" applyFont="1" applyBorder="1" applyAlignment="1">
      <alignment horizontal="center"/>
    </xf>
    <xf numFmtId="178" fontId="2" fillId="0" borderId="1" xfId="0" applyNumberFormat="1" applyFont="1" applyBorder="1" applyAlignment="1">
      <alignment horizontal="center"/>
    </xf>
    <xf numFmtId="0" fontId="8" fillId="0" borderId="1" xfId="0" applyFont="1" applyBorder="1" applyAlignment="1">
      <alignment horizontal="center"/>
    </xf>
    <xf numFmtId="0" fontId="2" fillId="0" borderId="1" xfId="0" applyNumberFormat="1" applyFont="1" applyBorder="1" applyAlignment="1">
      <alignment horizontal="center"/>
    </xf>
    <xf numFmtId="176" fontId="2" fillId="0" borderId="1" xfId="0" applyNumberFormat="1" applyFont="1" applyBorder="1" applyAlignment="1">
      <alignment horizontal="center"/>
    </xf>
    <xf numFmtId="0" fontId="9" fillId="0" borderId="0" xfId="0" applyFont="1" applyAlignment="1">
      <alignment horizontal="left"/>
    </xf>
    <xf numFmtId="0" fontId="2" fillId="0" borderId="0" xfId="0" applyFont="1" applyAlignment="1">
      <alignment horizontal="left"/>
    </xf>
    <xf numFmtId="0" fontId="2" fillId="3" borderId="0" xfId="0" applyFont="1" applyFill="1" applyAlignment="1">
      <alignment horizontal="left"/>
    </xf>
    <xf numFmtId="0" fontId="0" fillId="0" borderId="0" xfId="0" applyBorder="1"/>
    <xf numFmtId="0" fontId="2" fillId="0" borderId="4" xfId="0" applyFont="1" applyBorder="1" applyAlignment="1">
      <alignment horizontal="center"/>
    </xf>
    <xf numFmtId="178" fontId="2" fillId="0" borderId="0" xfId="0" applyNumberFormat="1" applyFont="1" applyBorder="1" applyAlignment="1">
      <alignment horizontal="center"/>
    </xf>
    <xf numFmtId="176" fontId="6" fillId="0" borderId="1" xfId="0" applyNumberFormat="1" applyFont="1" applyBorder="1" applyAlignment="1">
      <alignment horizontal="center"/>
    </xf>
    <xf numFmtId="181" fontId="2" fillId="0" borderId="1" xfId="0" applyNumberFormat="1" applyFont="1" applyBorder="1" applyAlignment="1">
      <alignment horizontal="center"/>
    </xf>
    <xf numFmtId="0" fontId="10" fillId="0" borderId="1" xfId="0" applyFont="1" applyBorder="1" applyAlignment="1">
      <alignment horizontal="left"/>
    </xf>
    <xf numFmtId="0" fontId="10" fillId="0" borderId="1" xfId="0" applyFont="1" applyBorder="1" applyAlignment="1">
      <alignment horizontal="center"/>
    </xf>
    <xf numFmtId="178" fontId="0" fillId="0" borderId="0" xfId="0" applyNumberFormat="1"/>
    <xf numFmtId="0" fontId="11" fillId="0" borderId="0" xfId="0" applyFont="1" applyAlignment="1">
      <alignment horizontal="center"/>
    </xf>
    <xf numFmtId="178" fontId="11" fillId="0" borderId="0" xfId="0" applyNumberFormat="1" applyFont="1" applyAlignment="1">
      <alignment horizontal="center"/>
    </xf>
    <xf numFmtId="0" fontId="4" fillId="0" borderId="0" xfId="0" applyFont="1"/>
    <xf numFmtId="0" fontId="0" fillId="5" borderId="0" xfId="0" applyFill="1"/>
    <xf numFmtId="0" fontId="0" fillId="0" borderId="0" xfId="0" applyAlignment="1">
      <alignment vertical="center"/>
    </xf>
    <xf numFmtId="0" fontId="4" fillId="6" borderId="1" xfId="0" applyFont="1" applyFill="1" applyBorder="1"/>
    <xf numFmtId="0" fontId="4" fillId="7" borderId="1" xfId="0" applyFont="1" applyFill="1" applyBorder="1"/>
    <xf numFmtId="0" fontId="4" fillId="0" borderId="0" xfId="0" applyFont="1" applyFill="1" applyBorder="1"/>
    <xf numFmtId="0" fontId="0" fillId="0" borderId="1" xfId="0" applyFont="1" applyFill="1" applyBorder="1"/>
    <xf numFmtId="0" fontId="0" fillId="8" borderId="0" xfId="0" applyFill="1"/>
    <xf numFmtId="180" fontId="0" fillId="0" borderId="0" xfId="0" applyNumberFormat="1"/>
    <xf numFmtId="177" fontId="0" fillId="0" borderId="0" xfId="0" applyNumberFormat="1"/>
    <xf numFmtId="182" fontId="0" fillId="0" borderId="0" xfId="0" applyNumberFormat="1"/>
    <xf numFmtId="0" fontId="4" fillId="0" borderId="2" xfId="0" applyFont="1" applyBorder="1"/>
    <xf numFmtId="0" fontId="4" fillId="9" borderId="2" xfId="0" applyFont="1" applyFill="1" applyBorder="1" applyAlignment="1"/>
    <xf numFmtId="0" fontId="4" fillId="9" borderId="5" xfId="0" applyFont="1" applyFill="1" applyBorder="1" applyAlignment="1"/>
    <xf numFmtId="0" fontId="4" fillId="9" borderId="3" xfId="0" applyFont="1" applyFill="1" applyBorder="1" applyAlignment="1"/>
    <xf numFmtId="0" fontId="4" fillId="10" borderId="2" xfId="0" applyFont="1" applyFill="1" applyBorder="1" applyAlignment="1"/>
    <xf numFmtId="0" fontId="4" fillId="10" borderId="5" xfId="0" applyFont="1" applyFill="1" applyBorder="1" applyAlignment="1"/>
    <xf numFmtId="0" fontId="4" fillId="4" borderId="1" xfId="0" applyFont="1" applyFill="1" applyBorder="1"/>
    <xf numFmtId="180" fontId="4" fillId="4" borderId="1" xfId="0" applyNumberFormat="1" applyFont="1" applyFill="1" applyBorder="1"/>
    <xf numFmtId="0" fontId="4" fillId="3" borderId="1" xfId="0" applyFont="1" applyFill="1" applyBorder="1"/>
    <xf numFmtId="180" fontId="0" fillId="0" borderId="1" xfId="0" applyNumberFormat="1" applyBorder="1"/>
    <xf numFmtId="0" fontId="0" fillId="0" borderId="1" xfId="0" applyNumberFormat="1" applyBorder="1"/>
    <xf numFmtId="0" fontId="0" fillId="11" borderId="1" xfId="0" applyFill="1" applyBorder="1"/>
    <xf numFmtId="180" fontId="0" fillId="11" borderId="1" xfId="0" applyNumberFormat="1" applyFill="1" applyBorder="1"/>
    <xf numFmtId="0" fontId="4" fillId="10" borderId="3" xfId="0" applyFont="1" applyFill="1" applyBorder="1" applyAlignment="1"/>
    <xf numFmtId="0" fontId="4" fillId="10" borderId="0" xfId="0" applyFont="1" applyFill="1" applyBorder="1" applyAlignment="1">
      <alignment horizontal="center"/>
    </xf>
    <xf numFmtId="180" fontId="4" fillId="3" borderId="1" xfId="0" applyNumberFormat="1" applyFont="1" applyFill="1" applyBorder="1"/>
    <xf numFmtId="177" fontId="4" fillId="3" borderId="1" xfId="0" applyNumberFormat="1" applyFont="1" applyFill="1" applyBorder="1"/>
    <xf numFmtId="177" fontId="0" fillId="0" borderId="1" xfId="0" applyNumberFormat="1" applyBorder="1"/>
    <xf numFmtId="177" fontId="0" fillId="11" borderId="1" xfId="0" applyNumberFormat="1" applyFill="1" applyBorder="1"/>
    <xf numFmtId="177" fontId="4" fillId="0" borderId="0" xfId="0" applyNumberFormat="1" applyFont="1"/>
    <xf numFmtId="182" fontId="4" fillId="0" borderId="0" xfId="0" applyNumberFormat="1" applyFont="1"/>
    <xf numFmtId="0" fontId="4" fillId="12" borderId="1" xfId="0" applyFont="1" applyFill="1" applyBorder="1"/>
    <xf numFmtId="0" fontId="0" fillId="13" borderId="1" xfId="0" applyFill="1" applyBorder="1"/>
    <xf numFmtId="177" fontId="4" fillId="13" borderId="1" xfId="0" applyNumberFormat="1" applyFont="1" applyFill="1" applyBorder="1"/>
    <xf numFmtId="182" fontId="4" fillId="13" borderId="1" xfId="0" applyNumberFormat="1" applyFont="1" applyFill="1" applyBorder="1"/>
    <xf numFmtId="0" fontId="2" fillId="3" borderId="1" xfId="0" applyFont="1" applyFill="1" applyBorder="1" applyAlignment="1">
      <alignment horizontal="center"/>
    </xf>
    <xf numFmtId="182" fontId="0" fillId="0" borderId="1" xfId="0" applyNumberFormat="1" applyBorder="1"/>
    <xf numFmtId="182" fontId="12" fillId="0" borderId="1" xfId="0" applyNumberFormat="1" applyFont="1" applyBorder="1"/>
    <xf numFmtId="9" fontId="13" fillId="0" borderId="1" xfId="0" applyNumberFormat="1" applyFont="1" applyBorder="1"/>
    <xf numFmtId="182" fontId="0" fillId="0" borderId="1" xfId="0" applyNumberFormat="1" applyFont="1" applyBorder="1"/>
    <xf numFmtId="177" fontId="4" fillId="0" borderId="1" xfId="0" applyNumberFormat="1" applyFont="1" applyBorder="1"/>
    <xf numFmtId="182" fontId="4" fillId="0" borderId="1" xfId="0" applyNumberFormat="1" applyFont="1" applyBorder="1"/>
    <xf numFmtId="0" fontId="0" fillId="4" borderId="1" xfId="0" applyFill="1" applyBorder="1"/>
    <xf numFmtId="177" fontId="0" fillId="4" borderId="1" xfId="0" applyNumberFormat="1" applyFill="1" applyBorder="1"/>
    <xf numFmtId="0" fontId="0" fillId="4" borderId="1" xfId="0" applyNumberFormat="1" applyFill="1" applyBorder="1"/>
    <xf numFmtId="0" fontId="0" fillId="11" borderId="1" xfId="0" applyNumberFormat="1" applyFill="1" applyBorder="1"/>
    <xf numFmtId="177" fontId="0" fillId="0" borderId="1" xfId="0" applyNumberFormat="1" applyFill="1" applyBorder="1"/>
    <xf numFmtId="0" fontId="0" fillId="0" borderId="1" xfId="0" applyNumberFormat="1" applyFill="1" applyBorder="1"/>
    <xf numFmtId="0" fontId="6" fillId="14" borderId="1" xfId="0" applyFont="1" applyFill="1" applyBorder="1" applyAlignment="1">
      <alignment horizontal="center"/>
    </xf>
    <xf numFmtId="0" fontId="6" fillId="14" borderId="0" xfId="0" applyFont="1" applyFill="1" applyAlignment="1">
      <alignment horizontal="center"/>
    </xf>
    <xf numFmtId="0" fontId="2" fillId="14" borderId="0" xfId="0" applyFont="1" applyFill="1" applyAlignment="1">
      <alignment horizontal="center"/>
    </xf>
    <xf numFmtId="0" fontId="14" fillId="0" borderId="0" xfId="0" applyFont="1" applyAlignment="1">
      <alignment horizontal="left"/>
    </xf>
    <xf numFmtId="0" fontId="10" fillId="4" borderId="1" xfId="0" applyFont="1" applyFill="1" applyBorder="1" applyAlignment="1">
      <alignment horizontal="center"/>
    </xf>
    <xf numFmtId="0" fontId="2" fillId="10" borderId="1" xfId="0" applyFont="1" applyFill="1" applyBorder="1" applyAlignment="1">
      <alignment horizontal="center"/>
    </xf>
    <xf numFmtId="0" fontId="2" fillId="4" borderId="1" xfId="0" applyFont="1" applyFill="1" applyBorder="1" applyAlignment="1">
      <alignment horizontal="center"/>
    </xf>
    <xf numFmtId="0" fontId="15" fillId="0" borderId="1" xfId="0" applyFont="1" applyBorder="1" applyAlignment="1">
      <alignment horizontal="left"/>
    </xf>
    <xf numFmtId="0" fontId="15" fillId="0" borderId="0" xfId="0" applyFont="1" applyBorder="1" applyAlignment="1">
      <alignment horizontal="left"/>
    </xf>
    <xf numFmtId="0" fontId="16" fillId="0" borderId="1" xfId="0" applyFont="1" applyBorder="1" applyAlignment="1">
      <alignment horizontal="center"/>
    </xf>
    <xf numFmtId="0" fontId="10" fillId="0" borderId="0" xfId="0" applyFont="1" applyAlignment="1">
      <alignment horizontal="left"/>
    </xf>
    <xf numFmtId="0" fontId="10" fillId="0" borderId="0" xfId="0" applyFont="1" applyBorder="1" applyAlignment="1">
      <alignment horizontal="left"/>
    </xf>
    <xf numFmtId="0" fontId="10" fillId="0" borderId="0" xfId="0" applyFont="1" applyAlignment="1">
      <alignment horizontal="center"/>
    </xf>
    <xf numFmtId="10" fontId="2" fillId="0" borderId="1" xfId="0" applyNumberFormat="1" applyFont="1" applyBorder="1" applyAlignment="1">
      <alignment horizontal="center"/>
    </xf>
    <xf numFmtId="0" fontId="2" fillId="15" borderId="0" xfId="0" applyFont="1" applyFill="1" applyAlignment="1">
      <alignment horizontal="center"/>
    </xf>
    <xf numFmtId="0" fontId="2" fillId="15" borderId="0" xfId="0" applyFont="1" applyFill="1" applyAlignment="1">
      <alignment horizontal="left"/>
    </xf>
    <xf numFmtId="0" fontId="10" fillId="0" borderId="0" xfId="0" applyFont="1" applyBorder="1" applyAlignment="1">
      <alignment horizontal="center"/>
    </xf>
    <xf numFmtId="0" fontId="2" fillId="3" borderId="0" xfId="0" applyFont="1" applyFill="1" applyAlignment="1">
      <alignment horizontal="center"/>
    </xf>
    <xf numFmtId="178" fontId="17" fillId="0" borderId="0" xfId="0" applyNumberFormat="1" applyFont="1" applyAlignment="1">
      <alignment horizontal="center"/>
    </xf>
    <xf numFmtId="0" fontId="2" fillId="16" borderId="1" xfId="0" applyFont="1" applyFill="1" applyBorder="1" applyAlignment="1">
      <alignment horizontal="center"/>
    </xf>
    <xf numFmtId="0" fontId="2" fillId="0" borderId="0" xfId="0" applyFont="1" applyBorder="1" applyAlignment="1">
      <alignment horizontal="left"/>
    </xf>
    <xf numFmtId="10" fontId="2" fillId="0" borderId="0" xfId="0" applyNumberFormat="1" applyFont="1" applyBorder="1" applyAlignment="1">
      <alignment horizontal="center"/>
    </xf>
    <xf numFmtId="10" fontId="4" fillId="7" borderId="1" xfId="0" applyNumberFormat="1" applyFont="1" applyFill="1" applyBorder="1"/>
    <xf numFmtId="0" fontId="5" fillId="0" borderId="0" xfId="4" applyFont="1" applyAlignment="1">
      <alignment horizontal="center"/>
    </xf>
    <xf numFmtId="0" fontId="2" fillId="17" borderId="1" xfId="0" applyFont="1" applyFill="1" applyBorder="1" applyAlignment="1">
      <alignment horizontal="center"/>
    </xf>
    <xf numFmtId="0" fontId="8" fillId="0" borderId="1" xfId="0" applyNumberFormat="1" applyFont="1" applyBorder="1" applyAlignment="1">
      <alignment horizontal="center"/>
    </xf>
    <xf numFmtId="181" fontId="2" fillId="0" borderId="0" xfId="0" applyNumberFormat="1" applyFont="1" applyBorder="1" applyAlignment="1">
      <alignment horizontal="center"/>
    </xf>
    <xf numFmtId="0" fontId="2" fillId="0" borderId="0" xfId="0" applyNumberFormat="1" applyFont="1" applyAlignment="1">
      <alignment horizontal="center"/>
    </xf>
    <xf numFmtId="0" fontId="6" fillId="16" borderId="1" xfId="0" applyFont="1" applyFill="1" applyBorder="1" applyAlignment="1">
      <alignment horizontal="center"/>
    </xf>
    <xf numFmtId="0" fontId="16" fillId="0" borderId="0" xfId="0" applyFont="1" applyAlignment="1">
      <alignment horizontal="left"/>
    </xf>
    <xf numFmtId="0" fontId="0" fillId="0" borderId="1" xfId="0" applyFont="1" applyBorder="1" applyAlignment="1">
      <alignment horizontal="center"/>
    </xf>
    <xf numFmtId="176" fontId="8" fillId="0" borderId="1" xfId="0" applyNumberFormat="1" applyFont="1" applyBorder="1" applyAlignment="1">
      <alignment horizontal="center"/>
    </xf>
    <xf numFmtId="176" fontId="2" fillId="0" borderId="0" xfId="0" applyNumberFormat="1" applyFont="1" applyAlignment="1">
      <alignment horizontal="center"/>
    </xf>
    <xf numFmtId="10" fontId="2" fillId="0" borderId="0" xfId="0" applyNumberFormat="1" applyFont="1" applyAlignment="1">
      <alignment horizontal="center"/>
    </xf>
    <xf numFmtId="9" fontId="2" fillId="0" borderId="0" xfId="0" applyNumberFormat="1" applyFont="1" applyAlignment="1">
      <alignment horizontal="center"/>
    </xf>
    <xf numFmtId="176" fontId="2" fillId="0" borderId="0" xfId="0" applyNumberFormat="1" applyFont="1" applyBorder="1" applyAlignment="1">
      <alignment horizontal="center"/>
    </xf>
    <xf numFmtId="181" fontId="2" fillId="0" borderId="0" xfId="0" applyNumberFormat="1" applyFont="1" applyAlignment="1">
      <alignment horizontal="center"/>
    </xf>
    <xf numFmtId="179" fontId="2" fillId="0" borderId="0" xfId="0" applyNumberFormat="1" applyFont="1" applyAlignment="1">
      <alignment horizontal="center"/>
    </xf>
    <xf numFmtId="0" fontId="9" fillId="0" borderId="1" xfId="0" applyFont="1" applyBorder="1" applyAlignment="1">
      <alignment horizontal="center"/>
    </xf>
    <xf numFmtId="0" fontId="9" fillId="0" borderId="1" xfId="0" applyFont="1" applyFill="1" applyBorder="1" applyAlignment="1">
      <alignment horizontal="center"/>
    </xf>
    <xf numFmtId="0" fontId="7" fillId="0" borderId="1" xfId="0" applyFont="1" applyFill="1" applyBorder="1" applyAlignment="1">
      <alignment horizontal="center"/>
    </xf>
    <xf numFmtId="0" fontId="2" fillId="16" borderId="0" xfId="0" applyFont="1" applyFill="1" applyAlignment="1">
      <alignment horizontal="center"/>
    </xf>
    <xf numFmtId="0" fontId="2" fillId="0" borderId="0" xfId="0" applyFont="1" applyFill="1" applyAlignment="1">
      <alignment horizontal="center"/>
    </xf>
    <xf numFmtId="0" fontId="0" fillId="0" borderId="0" xfId="0" applyNumberFormat="1"/>
    <xf numFmtId="0" fontId="9" fillId="0" borderId="1" xfId="0" applyFont="1" applyBorder="1" applyAlignment="1">
      <alignment horizontal="left"/>
    </xf>
    <xf numFmtId="9" fontId="2" fillId="0" borderId="1" xfId="0" applyNumberFormat="1" applyFont="1" applyBorder="1" applyAlignment="1">
      <alignment horizontal="center"/>
    </xf>
    <xf numFmtId="0" fontId="8" fillId="0" borderId="0" xfId="0" applyFont="1" applyBorder="1" applyAlignment="1">
      <alignment horizontal="center"/>
    </xf>
    <xf numFmtId="0" fontId="7" fillId="0" borderId="4" xfId="0" applyFont="1" applyBorder="1" applyAlignment="1">
      <alignment horizontal="center"/>
    </xf>
    <xf numFmtId="179" fontId="6" fillId="0" borderId="1" xfId="0" applyNumberFormat="1" applyFont="1" applyBorder="1" applyAlignment="1">
      <alignment horizontal="center"/>
    </xf>
    <xf numFmtId="10" fontId="6" fillId="0" borderId="1" xfId="0" applyNumberFormat="1" applyFont="1" applyBorder="1" applyAlignment="1">
      <alignment horizontal="center"/>
    </xf>
    <xf numFmtId="179" fontId="2" fillId="0" borderId="1" xfId="0" applyNumberFormat="1" applyFont="1" applyBorder="1" applyAlignment="1">
      <alignment horizontal="center"/>
    </xf>
    <xf numFmtId="176" fontId="6" fillId="9" borderId="1" xfId="0" applyNumberFormat="1" applyFont="1" applyFill="1" applyBorder="1" applyAlignment="1">
      <alignment horizontal="center"/>
    </xf>
    <xf numFmtId="0" fontId="2" fillId="9" borderId="1" xfId="0" applyFont="1" applyFill="1" applyBorder="1" applyAlignment="1">
      <alignment horizontal="center"/>
    </xf>
    <xf numFmtId="176" fontId="2" fillId="9" borderId="1" xfId="0" applyNumberFormat="1" applyFont="1" applyFill="1" applyBorder="1" applyAlignment="1">
      <alignment horizontal="center"/>
    </xf>
    <xf numFmtId="0" fontId="2" fillId="0" borderId="0" xfId="0" applyFont="1"/>
    <xf numFmtId="0" fontId="2" fillId="0" borderId="1" xfId="0" applyFont="1" applyBorder="1" applyAlignment="1"/>
    <xf numFmtId="0" fontId="6" fillId="0" borderId="1" xfId="0" applyNumberFormat="1" applyFont="1" applyBorder="1" applyAlignment="1">
      <alignment horizontal="center"/>
    </xf>
    <xf numFmtId="184" fontId="2" fillId="0" borderId="1" xfId="0" applyNumberFormat="1" applyFont="1" applyBorder="1" applyAlignment="1">
      <alignment horizontal="center"/>
    </xf>
    <xf numFmtId="9" fontId="8" fillId="0" borderId="1" xfId="0" applyNumberFormat="1" applyFont="1" applyBorder="1" applyAlignment="1">
      <alignment horizontal="center"/>
    </xf>
    <xf numFmtId="183" fontId="2" fillId="0" borderId="1" xfId="0" applyNumberFormat="1" applyFont="1" applyBorder="1" applyAlignment="1">
      <alignment horizontal="center"/>
    </xf>
    <xf numFmtId="9" fontId="6" fillId="0" borderId="1" xfId="0" applyNumberFormat="1" applyFont="1" applyBorder="1" applyAlignment="1">
      <alignment horizontal="center"/>
    </xf>
    <xf numFmtId="186" fontId="2" fillId="0" borderId="1" xfId="0" applyNumberFormat="1" applyFont="1" applyBorder="1" applyAlignment="1">
      <alignment horizontal="center"/>
    </xf>
    <xf numFmtId="176" fontId="7" fillId="0" borderId="1" xfId="0" applyNumberFormat="1" applyFont="1" applyBorder="1" applyAlignment="1">
      <alignment horizontal="center"/>
    </xf>
    <xf numFmtId="9" fontId="8" fillId="0" borderId="0" xfId="0" applyNumberFormat="1" applyFont="1" applyBorder="1" applyAlignment="1">
      <alignment horizontal="center"/>
    </xf>
    <xf numFmtId="184" fontId="7" fillId="0" borderId="1" xfId="0" applyNumberFormat="1" applyFont="1" applyBorder="1" applyAlignment="1">
      <alignment horizontal="center"/>
    </xf>
    <xf numFmtId="184" fontId="2" fillId="0" borderId="0" xfId="0" applyNumberFormat="1" applyFont="1" applyBorder="1" applyAlignment="1">
      <alignment horizontal="center"/>
    </xf>
    <xf numFmtId="0" fontId="28" fillId="13" borderId="1" xfId="3" applyBorder="1">
      <alignment vertical="center"/>
    </xf>
    <xf numFmtId="0" fontId="28" fillId="7" borderId="1" xfId="2" applyBorder="1">
      <alignment vertical="center"/>
    </xf>
    <xf numFmtId="0" fontId="28" fillId="18" borderId="1" xfId="3" applyFill="1" applyBorder="1">
      <alignment vertical="center"/>
    </xf>
    <xf numFmtId="0" fontId="28" fillId="18" borderId="1" xfId="2" applyFill="1" applyBorder="1">
      <alignment vertical="center"/>
    </xf>
    <xf numFmtId="0" fontId="0" fillId="0" borderId="1" xfId="0" applyBorder="1" applyAlignment="1">
      <alignment vertical="center"/>
    </xf>
    <xf numFmtId="0" fontId="0" fillId="7" borderId="1" xfId="0" applyFill="1" applyBorder="1" applyAlignment="1">
      <alignment vertical="center"/>
    </xf>
    <xf numFmtId="0" fontId="0" fillId="7" borderId="1" xfId="0" applyFill="1" applyBorder="1" applyAlignment="1">
      <alignment horizontal="center" vertical="center"/>
    </xf>
    <xf numFmtId="0" fontId="0" fillId="13" borderId="1" xfId="0" applyFill="1" applyBorder="1" applyAlignment="1">
      <alignment vertical="center"/>
    </xf>
    <xf numFmtId="0" fontId="0" fillId="13" borderId="1" xfId="0" applyFill="1" applyBorder="1" applyAlignment="1">
      <alignment horizontal="center" vertical="center"/>
    </xf>
    <xf numFmtId="176" fontId="0" fillId="0" borderId="1" xfId="0" applyNumberFormat="1" applyBorder="1" applyAlignment="1">
      <alignment vertical="center"/>
    </xf>
    <xf numFmtId="0" fontId="0" fillId="0" borderId="2" xfId="0" applyBorder="1" applyAlignment="1">
      <alignment vertical="center"/>
    </xf>
    <xf numFmtId="0" fontId="0" fillId="6" borderId="1" xfId="0" applyFill="1" applyBorder="1" applyAlignment="1">
      <alignment vertical="center"/>
    </xf>
    <xf numFmtId="0" fontId="0" fillId="0" borderId="3" xfId="0" applyBorder="1" applyAlignment="1">
      <alignment vertical="center"/>
    </xf>
    <xf numFmtId="0" fontId="0" fillId="3" borderId="1" xfId="0" applyFill="1" applyBorder="1" applyAlignment="1">
      <alignment vertical="center"/>
    </xf>
    <xf numFmtId="0" fontId="0" fillId="3" borderId="1" xfId="0" applyFill="1" applyBorder="1" applyAlignment="1">
      <alignment horizontal="center" vertical="center"/>
    </xf>
    <xf numFmtId="0" fontId="0" fillId="6" borderId="1" xfId="0" applyFill="1" applyBorder="1" applyAlignment="1">
      <alignment horizontal="center" vertical="center"/>
    </xf>
    <xf numFmtId="0" fontId="0" fillId="0" borderId="7" xfId="0" applyBorder="1" applyAlignment="1">
      <alignment horizontal="center" vertical="center"/>
    </xf>
    <xf numFmtId="0" fontId="0" fillId="0" borderId="8" xfId="0" applyBorder="1" applyAlignment="1">
      <alignment horizontal="center" vertical="center"/>
    </xf>
    <xf numFmtId="0" fontId="0" fillId="0" borderId="9" xfId="0" applyBorder="1" applyAlignment="1">
      <alignment horizontal="center" vertical="center"/>
    </xf>
    <xf numFmtId="0" fontId="0" fillId="0" borderId="10" xfId="0" applyBorder="1" applyAlignment="1">
      <alignment horizontal="center" vertical="center"/>
    </xf>
    <xf numFmtId="177" fontId="0" fillId="0" borderId="0" xfId="0" applyNumberFormat="1" applyAlignment="1">
      <alignment vertical="center"/>
    </xf>
    <xf numFmtId="177" fontId="2" fillId="0" borderId="0" xfId="0" applyNumberFormat="1" applyFont="1" applyBorder="1" applyAlignment="1">
      <alignment horizontal="center"/>
    </xf>
    <xf numFmtId="0" fontId="0" fillId="0" borderId="0" xfId="0" applyNumberFormat="1" applyAlignment="1">
      <alignment vertical="center"/>
    </xf>
    <xf numFmtId="0" fontId="2" fillId="0" borderId="12" xfId="0" applyNumberFormat="1" applyFont="1" applyFill="1" applyBorder="1" applyAlignment="1">
      <alignment horizontal="center"/>
    </xf>
    <xf numFmtId="0" fontId="2" fillId="0" borderId="13" xfId="0" applyNumberFormat="1" applyFont="1" applyBorder="1" applyAlignment="1">
      <alignment horizontal="center"/>
    </xf>
    <xf numFmtId="0" fontId="0" fillId="0" borderId="0" xfId="0" applyNumberFormat="1" applyBorder="1" applyAlignment="1">
      <alignment vertical="center"/>
    </xf>
    <xf numFmtId="0" fontId="0" fillId="0" borderId="14" xfId="0" applyNumberFormat="1" applyBorder="1" applyAlignment="1">
      <alignment vertical="center"/>
    </xf>
    <xf numFmtId="0" fontId="2" fillId="0" borderId="15" xfId="0" applyNumberFormat="1" applyFont="1" applyBorder="1" applyAlignment="1">
      <alignment horizontal="center"/>
    </xf>
    <xf numFmtId="0" fontId="0" fillId="0" borderId="16" xfId="0" applyNumberFormat="1" applyBorder="1" applyAlignment="1">
      <alignment vertical="center"/>
    </xf>
    <xf numFmtId="0" fontId="0" fillId="0" borderId="17" xfId="0" applyNumberFormat="1" applyBorder="1" applyAlignment="1">
      <alignment vertical="center"/>
    </xf>
    <xf numFmtId="177" fontId="2" fillId="0" borderId="0" xfId="0" applyNumberFormat="1" applyFont="1" applyAlignment="1">
      <alignment horizontal="center"/>
    </xf>
    <xf numFmtId="0" fontId="2" fillId="0" borderId="18" xfId="0" applyNumberFormat="1" applyFont="1" applyBorder="1" applyAlignment="1">
      <alignment horizontal="center"/>
    </xf>
    <xf numFmtId="0" fontId="0" fillId="0" borderId="19" xfId="0" applyNumberFormat="1" applyBorder="1" applyAlignment="1">
      <alignment vertical="center"/>
    </xf>
    <xf numFmtId="0" fontId="2" fillId="0" borderId="20" xfId="0" applyNumberFormat="1" applyFont="1" applyBorder="1" applyAlignment="1">
      <alignment horizontal="center"/>
    </xf>
    <xf numFmtId="0" fontId="0" fillId="0" borderId="21" xfId="0" applyNumberFormat="1" applyBorder="1" applyAlignment="1">
      <alignment vertical="center"/>
    </xf>
    <xf numFmtId="0" fontId="0" fillId="0" borderId="3" xfId="0" applyNumberFormat="1" applyBorder="1" applyAlignment="1">
      <alignment vertical="center"/>
    </xf>
    <xf numFmtId="0" fontId="0" fillId="0" borderId="22" xfId="0" applyNumberFormat="1" applyBorder="1" applyAlignment="1">
      <alignment vertical="center"/>
    </xf>
    <xf numFmtId="0" fontId="2" fillId="0" borderId="23" xfId="0" applyNumberFormat="1" applyFont="1" applyBorder="1" applyAlignment="1">
      <alignment horizontal="center"/>
    </xf>
    <xf numFmtId="0" fontId="0" fillId="0" borderId="24" xfId="0" applyNumberFormat="1" applyBorder="1" applyAlignment="1">
      <alignment vertical="center"/>
    </xf>
    <xf numFmtId="0" fontId="0" fillId="0" borderId="12" xfId="0" applyNumberFormat="1" applyBorder="1" applyAlignment="1">
      <alignment vertical="center"/>
    </xf>
    <xf numFmtId="0" fontId="0" fillId="0" borderId="25" xfId="0" applyNumberFormat="1" applyBorder="1" applyAlignment="1">
      <alignment vertical="center"/>
    </xf>
    <xf numFmtId="0" fontId="0" fillId="0" borderId="26" xfId="0" applyNumberFormat="1" applyBorder="1" applyAlignment="1">
      <alignment vertical="center"/>
    </xf>
    <xf numFmtId="0" fontId="0" fillId="0" borderId="1" xfId="0" applyBorder="1" applyAlignment="1">
      <alignment horizontal="center" vertical="center"/>
    </xf>
    <xf numFmtId="177" fontId="0" fillId="0" borderId="1" xfId="0" applyNumberFormat="1" applyBorder="1" applyAlignment="1">
      <alignment vertical="center"/>
    </xf>
    <xf numFmtId="0" fontId="0" fillId="0" borderId="27" xfId="0" applyNumberFormat="1" applyBorder="1" applyAlignment="1">
      <alignment vertical="center"/>
    </xf>
    <xf numFmtId="0" fontId="0" fillId="0" borderId="28" xfId="0" applyNumberFormat="1" applyBorder="1" applyAlignment="1">
      <alignment vertical="center"/>
    </xf>
    <xf numFmtId="0" fontId="2" fillId="0" borderId="29" xfId="0" applyNumberFormat="1" applyFont="1" applyBorder="1" applyAlignment="1">
      <alignment horizontal="center"/>
    </xf>
    <xf numFmtId="0" fontId="0" fillId="0" borderId="30" xfId="0" applyNumberFormat="1" applyBorder="1" applyAlignment="1">
      <alignment vertical="center"/>
    </xf>
    <xf numFmtId="0" fontId="2" fillId="19" borderId="1" xfId="0" applyFont="1" applyFill="1" applyBorder="1" applyAlignment="1">
      <alignment horizontal="center"/>
    </xf>
    <xf numFmtId="0" fontId="2" fillId="20" borderId="1" xfId="0" applyFont="1" applyFill="1" applyBorder="1" applyAlignment="1">
      <alignment horizontal="center"/>
    </xf>
    <xf numFmtId="0" fontId="2" fillId="21" borderId="1" xfId="0" applyFont="1" applyFill="1" applyBorder="1" applyAlignment="1">
      <alignment horizontal="center"/>
    </xf>
    <xf numFmtId="0" fontId="2" fillId="22" borderId="1" xfId="0" applyFont="1" applyFill="1" applyBorder="1" applyAlignment="1">
      <alignment horizontal="center"/>
    </xf>
    <xf numFmtId="0" fontId="2" fillId="0" borderId="6" xfId="0" applyFont="1" applyBorder="1" applyAlignment="1"/>
    <xf numFmtId="0" fontId="2" fillId="0" borderId="0" xfId="0" applyFont="1" applyBorder="1" applyAlignment="1"/>
    <xf numFmtId="0" fontId="19" fillId="0" borderId="1" xfId="0" applyFont="1" applyBorder="1" applyAlignment="1">
      <alignment horizontal="center"/>
    </xf>
    <xf numFmtId="0" fontId="13" fillId="0" borderId="0" xfId="0" applyFont="1"/>
    <xf numFmtId="0" fontId="20" fillId="0" borderId="0" xfId="0" applyFont="1" applyAlignment="1">
      <alignment vertical="center"/>
    </xf>
    <xf numFmtId="185" fontId="0" fillId="0" borderId="1" xfId="0" applyNumberFormat="1" applyBorder="1"/>
    <xf numFmtId="185" fontId="4" fillId="0" borderId="0" xfId="0" applyNumberFormat="1" applyFont="1"/>
    <xf numFmtId="185" fontId="13" fillId="0" borderId="1" xfId="0" applyNumberFormat="1" applyFont="1" applyBorder="1"/>
    <xf numFmtId="0" fontId="8" fillId="0" borderId="0" xfId="0" applyNumberFormat="1" applyFont="1" applyBorder="1" applyAlignment="1">
      <alignment horizontal="center"/>
    </xf>
    <xf numFmtId="9" fontId="2" fillId="0" borderId="0" xfId="0" applyNumberFormat="1" applyFont="1" applyBorder="1" applyAlignment="1">
      <alignment horizontal="center"/>
    </xf>
    <xf numFmtId="0" fontId="6" fillId="0" borderId="1" xfId="0" applyFont="1" applyFill="1" applyBorder="1" applyAlignment="1">
      <alignment horizontal="center"/>
    </xf>
    <xf numFmtId="179" fontId="2" fillId="0" borderId="0" xfId="0" applyNumberFormat="1" applyFont="1" applyBorder="1" applyAlignment="1">
      <alignment horizontal="center"/>
    </xf>
    <xf numFmtId="0" fontId="2" fillId="0" borderId="0" xfId="0" applyNumberFormat="1" applyFont="1" applyBorder="1" applyAlignment="1">
      <alignment horizontal="center"/>
    </xf>
    <xf numFmtId="178" fontId="7" fillId="0" borderId="1" xfId="0" applyNumberFormat="1" applyFont="1" applyBorder="1" applyAlignment="1">
      <alignment horizontal="center"/>
    </xf>
    <xf numFmtId="181" fontId="8" fillId="0" borderId="1" xfId="0" applyNumberFormat="1" applyFont="1" applyBorder="1" applyAlignment="1">
      <alignment horizontal="center"/>
    </xf>
    <xf numFmtId="0" fontId="7" fillId="0" borderId="0" xfId="0" applyNumberFormat="1" applyFont="1" applyBorder="1" applyAlignment="1">
      <alignment horizontal="center"/>
    </xf>
    <xf numFmtId="0" fontId="22" fillId="0" borderId="1" xfId="0" applyFont="1" applyBorder="1" applyAlignment="1">
      <alignment horizontal="center"/>
    </xf>
    <xf numFmtId="0" fontId="23" fillId="0" borderId="1" xfId="0" applyFont="1" applyBorder="1" applyAlignment="1">
      <alignment horizontal="center"/>
    </xf>
    <xf numFmtId="0" fontId="10" fillId="3" borderId="1" xfId="0" applyFont="1" applyFill="1" applyBorder="1" applyAlignment="1">
      <alignment horizontal="center"/>
    </xf>
    <xf numFmtId="178" fontId="10" fillId="3" borderId="1" xfId="0" applyNumberFormat="1" applyFont="1" applyFill="1" applyBorder="1" applyAlignment="1">
      <alignment horizontal="center"/>
    </xf>
    <xf numFmtId="9" fontId="6" fillId="0" borderId="0" xfId="0" applyNumberFormat="1" applyFont="1" applyBorder="1" applyAlignment="1">
      <alignment horizontal="center"/>
    </xf>
    <xf numFmtId="9" fontId="7" fillId="0" borderId="1" xfId="0" applyNumberFormat="1" applyFont="1" applyBorder="1" applyAlignment="1">
      <alignment horizontal="center"/>
    </xf>
    <xf numFmtId="0" fontId="6" fillId="0" borderId="0" xfId="0" applyNumberFormat="1" applyFont="1" applyBorder="1" applyAlignment="1">
      <alignment horizontal="center"/>
    </xf>
    <xf numFmtId="0" fontId="2" fillId="15" borderId="1" xfId="0" applyFont="1" applyFill="1" applyBorder="1" applyAlignment="1">
      <alignment horizontal="center"/>
    </xf>
    <xf numFmtId="0" fontId="6" fillId="15" borderId="1" xfId="0" applyFont="1" applyFill="1" applyBorder="1" applyAlignment="1">
      <alignment horizontal="center"/>
    </xf>
    <xf numFmtId="177" fontId="6" fillId="0" borderId="1" xfId="0" applyNumberFormat="1" applyFont="1" applyBorder="1" applyAlignment="1">
      <alignment horizontal="center"/>
    </xf>
    <xf numFmtId="177" fontId="2" fillId="0" borderId="1" xfId="0" applyNumberFormat="1" applyFont="1" applyBorder="1" applyAlignment="1">
      <alignment horizontal="center"/>
    </xf>
    <xf numFmtId="181" fontId="6" fillId="0" borderId="1" xfId="0" applyNumberFormat="1" applyFont="1" applyBorder="1" applyAlignment="1">
      <alignment horizontal="center"/>
    </xf>
    <xf numFmtId="181" fontId="7" fillId="0" borderId="1" xfId="0" applyNumberFormat="1" applyFont="1" applyBorder="1" applyAlignment="1">
      <alignment horizontal="center"/>
    </xf>
    <xf numFmtId="181" fontId="2" fillId="0" borderId="4" xfId="0" applyNumberFormat="1" applyFont="1" applyBorder="1" applyAlignment="1">
      <alignment horizontal="center"/>
    </xf>
    <xf numFmtId="176" fontId="2" fillId="0" borderId="4" xfId="0" applyNumberFormat="1" applyFont="1" applyBorder="1" applyAlignment="1">
      <alignment horizontal="center"/>
    </xf>
    <xf numFmtId="180" fontId="2" fillId="0" borderId="1" xfId="0" applyNumberFormat="1" applyFont="1" applyBorder="1" applyAlignment="1">
      <alignment horizontal="center"/>
    </xf>
    <xf numFmtId="0" fontId="24" fillId="0" borderId="0" xfId="0" applyFont="1" applyAlignment="1">
      <alignment horizontal="left"/>
    </xf>
    <xf numFmtId="180" fontId="2" fillId="0" borderId="0" xfId="0" applyNumberFormat="1" applyFont="1" applyAlignment="1">
      <alignment horizontal="center"/>
    </xf>
    <xf numFmtId="0" fontId="2" fillId="0" borderId="0" xfId="0" applyFont="1" applyAlignment="1">
      <alignment horizontal="left" vertical="center"/>
    </xf>
    <xf numFmtId="0" fontId="14" fillId="0" borderId="0" xfId="0" applyFont="1" applyAlignment="1">
      <alignment horizontal="center" vertical="center"/>
    </xf>
    <xf numFmtId="0" fontId="33" fillId="0" borderId="0" xfId="0" applyFont="1" applyAlignment="1">
      <alignment horizontal="center"/>
    </xf>
    <xf numFmtId="0" fontId="33" fillId="0" borderId="0" xfId="0" applyFont="1" applyAlignment="1">
      <alignment horizontal="center" vertical="top"/>
    </xf>
    <xf numFmtId="0" fontId="34" fillId="0" borderId="0" xfId="0" applyFont="1"/>
    <xf numFmtId="0" fontId="35" fillId="8" borderId="0" xfId="0" applyFont="1" applyFill="1"/>
    <xf numFmtId="0" fontId="2" fillId="0" borderId="1" xfId="0" applyFont="1" applyBorder="1" applyAlignment="1">
      <alignment horizontal="center"/>
    </xf>
    <xf numFmtId="0" fontId="35" fillId="0" borderId="0" xfId="0" applyFont="1"/>
    <xf numFmtId="0" fontId="36" fillId="3" borderId="1" xfId="0" applyFont="1" applyFill="1" applyBorder="1" applyAlignment="1">
      <alignment horizontal="center"/>
    </xf>
    <xf numFmtId="0" fontId="35" fillId="11" borderId="1" xfId="0" applyFont="1" applyFill="1" applyBorder="1"/>
    <xf numFmtId="0" fontId="2" fillId="0" borderId="1" xfId="0" applyFont="1" applyBorder="1" applyAlignment="1">
      <alignment horizontal="center"/>
    </xf>
    <xf numFmtId="0" fontId="2" fillId="0" borderId="1" xfId="0" applyFont="1" applyBorder="1" applyAlignment="1">
      <alignment horizontal="center"/>
    </xf>
    <xf numFmtId="0" fontId="9" fillId="0" borderId="0" xfId="0" applyFont="1" applyBorder="1" applyAlignment="1">
      <alignment horizontal="left"/>
    </xf>
    <xf numFmtId="0" fontId="2" fillId="0" borderId="1" xfId="0" applyFont="1" applyBorder="1" applyAlignment="1">
      <alignment horizontal="center"/>
    </xf>
    <xf numFmtId="0" fontId="2" fillId="0" borderId="1" xfId="0" applyFont="1" applyFill="1" applyBorder="1" applyAlignment="1">
      <alignment horizontal="center"/>
    </xf>
    <xf numFmtId="0" fontId="4" fillId="0" borderId="0" xfId="0" applyFont="1" applyBorder="1"/>
    <xf numFmtId="10" fontId="2" fillId="0" borderId="0" xfId="0" applyNumberFormat="1" applyFont="1" applyFill="1" applyAlignment="1">
      <alignment horizontal="center"/>
    </xf>
    <xf numFmtId="0" fontId="2" fillId="24" borderId="1" xfId="0" applyFont="1" applyFill="1" applyBorder="1" applyAlignment="1">
      <alignment horizontal="center"/>
    </xf>
    <xf numFmtId="0" fontId="7" fillId="24" borderId="1" xfId="0" applyFont="1" applyFill="1" applyBorder="1" applyAlignment="1">
      <alignment horizontal="center"/>
    </xf>
    <xf numFmtId="0" fontId="0" fillId="24" borderId="1" xfId="0" applyFill="1" applyBorder="1"/>
    <xf numFmtId="10" fontId="37" fillId="0" borderId="0" xfId="0" applyNumberFormat="1" applyFont="1" applyFill="1" applyAlignment="1">
      <alignment horizontal="center"/>
    </xf>
    <xf numFmtId="0" fontId="2" fillId="24" borderId="0" xfId="0" applyFont="1" applyFill="1" applyAlignment="1">
      <alignment horizontal="center"/>
    </xf>
    <xf numFmtId="0" fontId="0" fillId="24" borderId="1" xfId="0" applyNumberFormat="1" applyFill="1" applyBorder="1"/>
    <xf numFmtId="178" fontId="0" fillId="0" borderId="0" xfId="0" applyNumberFormat="1" applyBorder="1"/>
    <xf numFmtId="0" fontId="2" fillId="0" borderId="4" xfId="5" applyFont="1" applyBorder="1" applyAlignment="1">
      <alignment horizontal="center"/>
    </xf>
    <xf numFmtId="0" fontId="7" fillId="0" borderId="4" xfId="5" applyFont="1" applyBorder="1" applyAlignment="1">
      <alignment horizontal="center"/>
    </xf>
    <xf numFmtId="0" fontId="2" fillId="0" borderId="0" xfId="5" applyFont="1" applyAlignment="1">
      <alignment horizontal="center"/>
    </xf>
    <xf numFmtId="0" fontId="2" fillId="0" borderId="1" xfId="5" applyFont="1" applyBorder="1" applyAlignment="1">
      <alignment horizontal="center"/>
    </xf>
    <xf numFmtId="0" fontId="10" fillId="0" borderId="1" xfId="5" applyFont="1" applyBorder="1" applyAlignment="1">
      <alignment horizontal="center"/>
    </xf>
    <xf numFmtId="0" fontId="5" fillId="0" borderId="1" xfId="5" applyFont="1" applyBorder="1" applyAlignment="1">
      <alignment horizontal="center"/>
    </xf>
    <xf numFmtId="49" fontId="5" fillId="0" borderId="0" xfId="5" applyNumberFormat="1" applyFont="1" applyAlignment="1">
      <alignment horizontal="center"/>
    </xf>
    <xf numFmtId="0" fontId="5" fillId="0" borderId="0" xfId="5" applyFont="1" applyAlignment="1">
      <alignment horizontal="center"/>
    </xf>
    <xf numFmtId="49" fontId="5" fillId="0" borderId="0" xfId="5" applyNumberFormat="1" applyFont="1" applyAlignment="1">
      <alignment horizontal="center" vertical="top" wrapText="1"/>
    </xf>
    <xf numFmtId="0" fontId="5" fillId="0" borderId="0" xfId="5" applyFont="1" applyAlignment="1">
      <alignment horizontal="center" vertical="top"/>
    </xf>
    <xf numFmtId="0" fontId="28" fillId="0" borderId="1" xfId="0" applyFont="1" applyBorder="1"/>
    <xf numFmtId="0" fontId="28" fillId="0" borderId="1" xfId="0" applyFont="1" applyFill="1" applyBorder="1"/>
    <xf numFmtId="0" fontId="2" fillId="0" borderId="1" xfId="0" applyFont="1" applyBorder="1" applyAlignment="1">
      <alignment horizontal="center"/>
    </xf>
    <xf numFmtId="0" fontId="2" fillId="0" borderId="0" xfId="0" applyFont="1" applyBorder="1" applyAlignment="1">
      <alignment horizontal="center"/>
    </xf>
    <xf numFmtId="0" fontId="28" fillId="0" borderId="0" xfId="0" applyFont="1"/>
    <xf numFmtId="0" fontId="28" fillId="8" borderId="0" xfId="0" applyFont="1" applyFill="1"/>
    <xf numFmtId="0" fontId="2" fillId="0" borderId="1" xfId="0" applyFont="1" applyBorder="1" applyAlignment="1">
      <alignment horizontal="center"/>
    </xf>
    <xf numFmtId="0" fontId="2" fillId="0" borderId="1" xfId="0" applyFont="1" applyBorder="1" applyAlignment="1">
      <alignment horizontal="center"/>
    </xf>
    <xf numFmtId="0" fontId="2" fillId="0" borderId="1" xfId="0" applyFont="1" applyBorder="1" applyAlignment="1">
      <alignment horizontal="center"/>
    </xf>
    <xf numFmtId="0" fontId="2" fillId="0" borderId="1" xfId="0" applyFont="1" applyFill="1" applyBorder="1" applyAlignment="1">
      <alignment horizontal="center"/>
    </xf>
    <xf numFmtId="0" fontId="0" fillId="19" borderId="1" xfId="0" applyFill="1" applyBorder="1"/>
    <xf numFmtId="0" fontId="28" fillId="11" borderId="1" xfId="0" applyFont="1" applyFill="1" applyBorder="1"/>
    <xf numFmtId="0" fontId="0" fillId="24" borderId="0" xfId="0" applyFill="1"/>
    <xf numFmtId="0" fontId="35" fillId="24" borderId="0" xfId="0" applyFont="1" applyFill="1"/>
    <xf numFmtId="0" fontId="28" fillId="24" borderId="0" xfId="0" applyFont="1" applyFill="1"/>
    <xf numFmtId="0" fontId="2" fillId="0" borderId="1" xfId="0" applyFont="1" applyBorder="1" applyAlignment="1">
      <alignment horizontal="center"/>
    </xf>
    <xf numFmtId="0" fontId="2" fillId="0" borderId="0" xfId="0" applyFont="1" applyBorder="1" applyAlignment="1">
      <alignment horizontal="center"/>
    </xf>
    <xf numFmtId="0" fontId="2" fillId="0" borderId="1" xfId="0" applyFont="1" applyBorder="1" applyAlignment="1">
      <alignment horizontal="center"/>
    </xf>
    <xf numFmtId="58" fontId="10" fillId="0" borderId="1" xfId="0" applyNumberFormat="1" applyFont="1" applyBorder="1" applyAlignment="1">
      <alignment horizontal="center"/>
    </xf>
    <xf numFmtId="58" fontId="2" fillId="0" borderId="1" xfId="0" applyNumberFormat="1" applyFont="1" applyBorder="1" applyAlignment="1">
      <alignment horizontal="center"/>
    </xf>
    <xf numFmtId="0" fontId="2" fillId="27" borderId="1" xfId="0" applyFont="1" applyFill="1" applyBorder="1" applyAlignment="1">
      <alignment horizontal="center"/>
    </xf>
    <xf numFmtId="0" fontId="2" fillId="12" borderId="1" xfId="0" applyFont="1" applyFill="1" applyBorder="1" applyAlignment="1">
      <alignment horizontal="center"/>
    </xf>
    <xf numFmtId="0" fontId="2" fillId="8" borderId="1" xfId="0" applyFont="1" applyFill="1" applyBorder="1" applyAlignment="1">
      <alignment horizontal="center"/>
    </xf>
    <xf numFmtId="0" fontId="2" fillId="25" borderId="1" xfId="0" applyFont="1" applyFill="1" applyBorder="1" applyAlignment="1">
      <alignment horizontal="center"/>
    </xf>
    <xf numFmtId="0" fontId="2" fillId="26" borderId="1" xfId="0" applyFont="1" applyFill="1" applyBorder="1" applyAlignment="1">
      <alignment horizontal="center"/>
    </xf>
    <xf numFmtId="0" fontId="2" fillId="25" borderId="1" xfId="0" applyNumberFormat="1" applyFont="1" applyFill="1" applyBorder="1" applyAlignment="1">
      <alignment horizontal="center"/>
    </xf>
    <xf numFmtId="0" fontId="2" fillId="28" borderId="1" xfId="0" applyFont="1" applyFill="1" applyBorder="1" applyAlignment="1">
      <alignment horizontal="center"/>
    </xf>
    <xf numFmtId="0" fontId="10" fillId="0" borderId="0" xfId="0" applyFont="1" applyAlignment="1">
      <alignment horizontal="left" vertical="center"/>
    </xf>
    <xf numFmtId="0" fontId="2" fillId="0" borderId="11" xfId="0" applyFont="1" applyBorder="1" applyAlignment="1">
      <alignment horizontal="center"/>
    </xf>
    <xf numFmtId="0" fontId="2" fillId="0" borderId="1" xfId="0" applyFont="1" applyBorder="1" applyAlignment="1">
      <alignment horizontal="center"/>
    </xf>
    <xf numFmtId="0" fontId="2" fillId="0" borderId="1" xfId="0" applyFont="1" applyBorder="1" applyAlignment="1">
      <alignment horizontal="center"/>
    </xf>
    <xf numFmtId="0" fontId="2" fillId="0" borderId="0" xfId="0" applyFont="1" applyBorder="1" applyAlignment="1">
      <alignment horizontal="center"/>
    </xf>
    <xf numFmtId="0" fontId="2" fillId="0" borderId="0" xfId="0" applyNumberFormat="1" applyFont="1" applyFill="1" applyBorder="1" applyAlignment="1">
      <alignment horizontal="center"/>
    </xf>
    <xf numFmtId="0" fontId="2" fillId="0" borderId="1" xfId="0" applyFont="1" applyBorder="1" applyAlignment="1">
      <alignment horizontal="center"/>
    </xf>
    <xf numFmtId="0" fontId="2" fillId="0" borderId="0" xfId="0" applyFont="1" applyBorder="1" applyAlignment="1">
      <alignment horizontal="center"/>
    </xf>
    <xf numFmtId="0" fontId="4" fillId="0" borderId="1" xfId="0" applyFont="1" applyBorder="1" applyAlignment="1">
      <alignment vertical="center"/>
    </xf>
    <xf numFmtId="9" fontId="28" fillId="0" borderId="1" xfId="0" applyNumberFormat="1" applyFont="1" applyBorder="1" applyAlignment="1">
      <alignment vertical="center"/>
    </xf>
    <xf numFmtId="10" fontId="0" fillId="27" borderId="1" xfId="0" applyNumberFormat="1" applyFill="1" applyBorder="1" applyAlignment="1">
      <alignment vertical="center"/>
    </xf>
    <xf numFmtId="178" fontId="2" fillId="0" borderId="0" xfId="0" applyNumberFormat="1" applyFont="1" applyAlignment="1">
      <alignment horizontal="center"/>
    </xf>
    <xf numFmtId="0" fontId="2" fillId="0" borderId="1" xfId="0" applyFont="1" applyBorder="1" applyAlignment="1">
      <alignment horizontal="center"/>
    </xf>
    <xf numFmtId="0" fontId="2" fillId="0" borderId="1" xfId="0" applyFont="1" applyBorder="1" applyAlignment="1">
      <alignment horizontal="center"/>
    </xf>
    <xf numFmtId="0" fontId="2" fillId="0" borderId="1" xfId="0" applyFont="1" applyBorder="1" applyAlignment="1">
      <alignment horizontal="center"/>
    </xf>
    <xf numFmtId="0" fontId="2" fillId="0" borderId="1" xfId="0" applyFont="1" applyBorder="1" applyAlignment="1">
      <alignment horizontal="center"/>
    </xf>
    <xf numFmtId="0" fontId="2" fillId="0" borderId="0" xfId="0" applyFont="1" applyBorder="1" applyAlignment="1">
      <alignment horizontal="center"/>
    </xf>
    <xf numFmtId="0" fontId="2" fillId="0" borderId="1" xfId="0" applyFont="1" applyBorder="1" applyAlignment="1">
      <alignment horizontal="center"/>
    </xf>
    <xf numFmtId="0" fontId="0" fillId="10" borderId="1" xfId="0" applyFill="1" applyBorder="1"/>
    <xf numFmtId="0" fontId="2" fillId="0" borderId="1" xfId="0" applyFont="1" applyBorder="1" applyAlignment="1">
      <alignment horizontal="center"/>
    </xf>
    <xf numFmtId="181" fontId="0" fillId="0" borderId="1" xfId="0" applyNumberFormat="1" applyBorder="1"/>
    <xf numFmtId="58" fontId="28" fillId="0" borderId="1" xfId="0" applyNumberFormat="1" applyFont="1" applyBorder="1"/>
    <xf numFmtId="0" fontId="28" fillId="0" borderId="1" xfId="0" applyNumberFormat="1" applyFont="1" applyBorder="1"/>
    <xf numFmtId="10" fontId="0" fillId="0" borderId="1" xfId="0" applyNumberFormat="1" applyBorder="1"/>
    <xf numFmtId="0" fontId="2" fillId="0" borderId="1" xfId="0" applyFont="1" applyBorder="1" applyAlignment="1">
      <alignment horizontal="center"/>
    </xf>
    <xf numFmtId="0" fontId="2" fillId="0" borderId="1" xfId="0" applyFont="1" applyBorder="1" applyAlignment="1">
      <alignment horizontal="center"/>
    </xf>
    <xf numFmtId="0" fontId="2" fillId="0" borderId="0" xfId="0" applyFont="1" applyBorder="1" applyAlignment="1">
      <alignment horizontal="center"/>
    </xf>
    <xf numFmtId="0" fontId="2" fillId="0" borderId="1" xfId="0" applyFont="1" applyBorder="1" applyAlignment="1">
      <alignment horizontal="center"/>
    </xf>
    <xf numFmtId="0" fontId="2" fillId="0" borderId="1" xfId="0" applyFont="1" applyBorder="1" applyAlignment="1">
      <alignment horizontal="center"/>
    </xf>
    <xf numFmtId="0" fontId="2" fillId="0" borderId="1" xfId="5" applyFont="1" applyFill="1" applyBorder="1" applyAlignment="1">
      <alignment horizontal="center"/>
    </xf>
    <xf numFmtId="0" fontId="2" fillId="0" borderId="1" xfId="0" applyFont="1" applyBorder="1" applyAlignment="1">
      <alignment horizontal="center"/>
    </xf>
    <xf numFmtId="0" fontId="2" fillId="0" borderId="1" xfId="0" applyFont="1" applyFill="1" applyBorder="1" applyAlignment="1">
      <alignment horizontal="center"/>
    </xf>
    <xf numFmtId="180" fontId="0" fillId="0" borderId="1" xfId="0" applyNumberFormat="1" applyFill="1" applyBorder="1"/>
    <xf numFmtId="0" fontId="0" fillId="29" borderId="1" xfId="0" applyFill="1" applyBorder="1"/>
    <xf numFmtId="180" fontId="0" fillId="29" borderId="1" xfId="0" applyNumberFormat="1" applyFill="1" applyBorder="1"/>
    <xf numFmtId="0" fontId="28" fillId="29" borderId="1" xfId="0" applyFont="1" applyFill="1" applyBorder="1"/>
    <xf numFmtId="177" fontId="0" fillId="29" borderId="1" xfId="0" applyNumberFormat="1" applyFill="1" applyBorder="1"/>
    <xf numFmtId="0" fontId="0" fillId="29" borderId="1" xfId="0" applyNumberFormat="1" applyFill="1" applyBorder="1"/>
    <xf numFmtId="0" fontId="2" fillId="0" borderId="1" xfId="0" applyFont="1" applyBorder="1" applyAlignment="1">
      <alignment horizontal="center"/>
    </xf>
    <xf numFmtId="0" fontId="7" fillId="0" borderId="1" xfId="0" applyFont="1" applyBorder="1" applyAlignment="1">
      <alignment horizontal="center"/>
    </xf>
    <xf numFmtId="0" fontId="2" fillId="0" borderId="0" xfId="0" applyFont="1" applyAlignment="1">
      <alignment horizontal="center" vertical="center"/>
    </xf>
    <xf numFmtId="0" fontId="2" fillId="0" borderId="1" xfId="0" applyFont="1" applyBorder="1" applyAlignment="1">
      <alignment horizontal="center"/>
    </xf>
    <xf numFmtId="0" fontId="2" fillId="0" borderId="2" xfId="0" applyFont="1" applyBorder="1" applyAlignment="1">
      <alignment horizontal="center"/>
    </xf>
    <xf numFmtId="0" fontId="2" fillId="0" borderId="5" xfId="0" applyFont="1" applyBorder="1" applyAlignment="1">
      <alignment horizontal="center"/>
    </xf>
    <xf numFmtId="0" fontId="2" fillId="0" borderId="3" xfId="0" applyFont="1" applyBorder="1" applyAlignment="1">
      <alignment horizontal="center"/>
    </xf>
    <xf numFmtId="0" fontId="2" fillId="0" borderId="1" xfId="0" applyFont="1" applyFill="1" applyBorder="1" applyAlignment="1">
      <alignment horizontal="center"/>
    </xf>
    <xf numFmtId="0" fontId="2" fillId="0" borderId="6" xfId="0" applyFont="1" applyBorder="1" applyAlignment="1">
      <alignment horizontal="center"/>
    </xf>
    <xf numFmtId="0" fontId="2" fillId="0" borderId="0" xfId="0" applyFont="1" applyBorder="1" applyAlignment="1">
      <alignment horizontal="center"/>
    </xf>
    <xf numFmtId="0" fontId="2" fillId="22" borderId="2" xfId="0" applyFont="1" applyFill="1" applyBorder="1" applyAlignment="1">
      <alignment horizontal="center"/>
    </xf>
    <xf numFmtId="0" fontId="2" fillId="22" borderId="5" xfId="0" applyFont="1" applyFill="1" applyBorder="1" applyAlignment="1">
      <alignment horizontal="center"/>
    </xf>
    <xf numFmtId="0" fontId="2" fillId="22" borderId="3" xfId="0" applyFont="1" applyFill="1" applyBorder="1" applyAlignment="1">
      <alignment horizontal="center"/>
    </xf>
    <xf numFmtId="0" fontId="0" fillId="0" borderId="11" xfId="0" applyNumberFormat="1" applyBorder="1" applyAlignment="1">
      <alignment horizontal="center" vertical="center"/>
    </xf>
    <xf numFmtId="177" fontId="18" fillId="0" borderId="1" xfId="0" applyNumberFormat="1" applyFont="1" applyBorder="1" applyAlignment="1">
      <alignment horizontal="center" vertical="center"/>
    </xf>
    <xf numFmtId="0" fontId="0" fillId="0" borderId="2" xfId="0" applyBorder="1" applyAlignment="1">
      <alignment horizontal="center" vertical="center"/>
    </xf>
    <xf numFmtId="0" fontId="0" fillId="0" borderId="3" xfId="0" applyBorder="1" applyAlignment="1">
      <alignment horizontal="center" vertical="center"/>
    </xf>
    <xf numFmtId="0" fontId="0" fillId="0" borderId="0" xfId="0" applyAlignment="1">
      <alignment horizontal="left" vertical="center"/>
    </xf>
    <xf numFmtId="0" fontId="7" fillId="0" borderId="1" xfId="0" applyFont="1" applyBorder="1" applyAlignment="1">
      <alignment horizontal="center"/>
    </xf>
    <xf numFmtId="0" fontId="21" fillId="0" borderId="1" xfId="0" applyFont="1" applyBorder="1" applyAlignment="1">
      <alignment horizontal="center"/>
    </xf>
    <xf numFmtId="0" fontId="4" fillId="0" borderId="0" xfId="0" applyFont="1" applyAlignment="1">
      <alignment horizontal="center" vertical="center"/>
    </xf>
    <xf numFmtId="0" fontId="4" fillId="0" borderId="0" xfId="0" applyFont="1" applyAlignment="1">
      <alignment horizontal="left" vertical="center"/>
    </xf>
  </cellXfs>
  <cellStyles count="6">
    <cellStyle name="20% - 着色 2" xfId="3" builtinId="34"/>
    <cellStyle name="20% - 着色 5" xfId="2" builtinId="46"/>
    <cellStyle name="常规" xfId="0" builtinId="0"/>
    <cellStyle name="常规 2" xfId="4" xr:uid="{00000000-0005-0000-0000-000003000000}"/>
    <cellStyle name="常规 3" xfId="5" xr:uid="{47D8223B-DD66-48DB-A36B-A2738DF683F0}"/>
    <cellStyle name="注释 2" xfId="1" xr:uid="{00000000-0005-0000-0000-000004000000}"/>
  </cellStyles>
  <dxfs count="11">
    <dxf>
      <font>
        <color rgb="FF9C0006"/>
      </font>
      <fill>
        <patternFill patternType="solid">
          <bgColor rgb="FFFFC7CE"/>
        </patternFill>
      </fill>
    </dxf>
    <dxf>
      <font>
        <color rgb="FF9C0006"/>
      </font>
      <fill>
        <patternFill patternType="solid">
          <bgColor rgb="FFFFC7CE"/>
        </patternFill>
      </fill>
    </dxf>
    <dxf>
      <fill>
        <patternFill patternType="solid">
          <bgColor theme="6" tint="0.39991454817346722"/>
        </patternFill>
      </fill>
    </dxf>
    <dxf>
      <fill>
        <patternFill patternType="solid">
          <bgColor theme="6" tint="0.39991454817346722"/>
        </patternFill>
      </fill>
    </dxf>
    <dxf>
      <fill>
        <patternFill patternType="solid">
          <bgColor theme="6" tint="0.39991454817346722"/>
        </patternFill>
      </fill>
    </dxf>
    <dxf>
      <fill>
        <patternFill patternType="solid">
          <bgColor theme="6" tint="0.39991454817346722"/>
        </patternFill>
      </fill>
    </dxf>
    <dxf>
      <fill>
        <patternFill patternType="solid">
          <bgColor rgb="FFFF0000"/>
        </patternFill>
      </fill>
    </dxf>
    <dxf>
      <fill>
        <patternFill patternType="solid">
          <bgColor theme="6" tint="0.39991454817346722"/>
        </patternFill>
      </fill>
    </dxf>
    <dxf>
      <fill>
        <patternFill patternType="solid">
          <bgColor theme="6" tint="0.39991454817346722"/>
        </patternFill>
      </fill>
    </dxf>
    <dxf>
      <fill>
        <patternFill patternType="solid">
          <bgColor theme="6" tint="0.39991454817346722"/>
        </patternFill>
      </fill>
    </dxf>
    <dxf>
      <fill>
        <patternFill patternType="solid">
          <bgColor theme="6" tint="0.39991454817346722"/>
        </patternFill>
      </fill>
    </dxf>
  </dxfs>
  <tableStyles count="0" defaultTableStyle="TableStyleMedium2" defaultPivotStyle="PivotStyleMedium9"/>
  <colors>
    <mruColors>
      <color rgb="FF6DD9FF"/>
      <color rgb="FFF0F2FE"/>
      <color rgb="FFECEEFE"/>
      <color rgb="FFCCECD7"/>
      <color rgb="FFFF00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externalLink" Target="externalLinks/externalLink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zh-CN" sz="1800" b="1" i="0" u="none" strike="noStrike" kern="1200" spc="0" baseline="0">
                <a:solidFill>
                  <a:schemeClr val="tx1">
                    <a:lumMod val="65000"/>
                    <a:lumOff val="35000"/>
                  </a:schemeClr>
                </a:solidFill>
                <a:latin typeface="+mn-lt"/>
                <a:ea typeface="+mn-ea"/>
                <a:cs typeface="+mn-cs"/>
              </a:defRPr>
            </a:pPr>
            <a:r>
              <a:rPr lang="zh-CN" altLang="en-US" sz="1800" b="1"/>
              <a:t>奖牌</a:t>
            </a:r>
            <a:r>
              <a:rPr lang="en-US" altLang="zh-CN" sz="1800" b="1"/>
              <a:t>-</a:t>
            </a:r>
            <a:r>
              <a:rPr lang="zh-CN" altLang="en-US" sz="1800" b="1"/>
              <a:t>游戏时间</a:t>
            </a:r>
          </a:p>
        </c:rich>
      </c:tx>
      <c:overlay val="0"/>
      <c:spPr>
        <a:noFill/>
        <a:ln>
          <a:noFill/>
        </a:ln>
        <a:effectLst/>
      </c:spPr>
      <c:txPr>
        <a:bodyPr rot="0" spcFirstLastPara="1" vertOverflow="ellipsis" vert="horz" wrap="square" anchor="ctr" anchorCtr="1"/>
        <a:lstStyle/>
        <a:p>
          <a:pPr>
            <a:defRPr lang="zh-CN" sz="1800" b="1"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scatterChart>
        <c:scatterStyle val="lineMarker"/>
        <c:varyColors val="0"/>
        <c:ser>
          <c:idx val="0"/>
          <c:order val="0"/>
          <c:spPr>
            <a:ln w="28575"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intercept val="0"/>
            <c:dispRSqr val="0"/>
            <c:dispEq val="1"/>
            <c:trendlineLbl>
              <c:layout>
                <c:manualLayout>
                  <c:x val="-7.7270005173312395E-2"/>
                  <c:y val="-3.0031307214300501E-2"/>
                </c:manualLayout>
              </c:layout>
              <c:numFmt formatCode="General" sourceLinked="0"/>
              <c:spPr>
                <a:noFill/>
                <a:ln>
                  <a:noFill/>
                </a:ln>
                <a:effectLst/>
              </c:spPr>
              <c:txPr>
                <a:bodyPr rot="0" spcFirstLastPara="1" vertOverflow="ellipsis" vert="horz" wrap="square" anchor="ctr" anchorCtr="1"/>
                <a:lstStyle/>
                <a:p>
                  <a:pPr>
                    <a:defRPr lang="zh-CN" sz="2000" b="1" i="0" u="none" strike="noStrike" kern="1200" baseline="0">
                      <a:solidFill>
                        <a:schemeClr val="tx1">
                          <a:lumMod val="65000"/>
                          <a:lumOff val="35000"/>
                        </a:schemeClr>
                      </a:solidFill>
                      <a:latin typeface="+mn-lt"/>
                      <a:ea typeface="+mn-ea"/>
                      <a:cs typeface="+mn-cs"/>
                    </a:defRPr>
                  </a:pPr>
                  <a:endParaRPr lang="zh-CN"/>
                </a:p>
              </c:txPr>
            </c:trendlineLbl>
          </c:trendline>
          <c:xVal>
            <c:numRef>
              <c:f>游戏时长规划!$D$17:$D$26</c:f>
              <c:numCache>
                <c:formatCode>General</c:formatCode>
                <c:ptCount val="10"/>
                <c:pt idx="0">
                  <c:v>60</c:v>
                </c:pt>
                <c:pt idx="1">
                  <c:v>180</c:v>
                </c:pt>
                <c:pt idx="2">
                  <c:v>300</c:v>
                </c:pt>
                <c:pt idx="3">
                  <c:v>600</c:v>
                </c:pt>
                <c:pt idx="4">
                  <c:v>900</c:v>
                </c:pt>
                <c:pt idx="5">
                  <c:v>1200</c:v>
                </c:pt>
                <c:pt idx="6">
                  <c:v>1500</c:v>
                </c:pt>
                <c:pt idx="7">
                  <c:v>2000</c:v>
                </c:pt>
                <c:pt idx="8">
                  <c:v>2500</c:v>
                </c:pt>
                <c:pt idx="9">
                  <c:v>3000</c:v>
                </c:pt>
              </c:numCache>
            </c:numRef>
          </c:xVal>
          <c:yVal>
            <c:numRef>
              <c:f>游戏时长规划!$F$17:$F$26</c:f>
              <c:numCache>
                <c:formatCode>0.0_ </c:formatCode>
                <c:ptCount val="10"/>
                <c:pt idx="0">
                  <c:v>1.2244897959183674</c:v>
                </c:pt>
                <c:pt idx="1">
                  <c:v>3.7885923600209312</c:v>
                </c:pt>
                <c:pt idx="2">
                  <c:v>6.4912950627236334</c:v>
                </c:pt>
                <c:pt idx="3">
                  <c:v>15.062723634152205</c:v>
                </c:pt>
                <c:pt idx="4">
                  <c:v>27.062723634152206</c:v>
                </c:pt>
                <c:pt idx="5">
                  <c:v>37.062723634152206</c:v>
                </c:pt>
                <c:pt idx="6">
                  <c:v>52.062723634152206</c:v>
                </c:pt>
                <c:pt idx="7">
                  <c:v>93.729390300818864</c:v>
                </c:pt>
                <c:pt idx="8">
                  <c:v>127.06272363415221</c:v>
                </c:pt>
                <c:pt idx="9">
                  <c:v>160.39605696748555</c:v>
                </c:pt>
              </c:numCache>
            </c:numRef>
          </c:yVal>
          <c:smooth val="0"/>
          <c:extLst>
            <c:ext xmlns:c16="http://schemas.microsoft.com/office/drawing/2014/chart" uri="{C3380CC4-5D6E-409C-BE32-E72D297353CC}">
              <c16:uniqueId val="{00000000-0049-43C1-80DA-47C90015866E}"/>
            </c:ext>
          </c:extLst>
        </c:ser>
        <c:dLbls>
          <c:showLegendKey val="0"/>
          <c:showVal val="0"/>
          <c:showCatName val="0"/>
          <c:showSerName val="0"/>
          <c:showPercent val="0"/>
          <c:showBubbleSize val="0"/>
        </c:dLbls>
        <c:axId val="1464285232"/>
        <c:axId val="1464283056"/>
      </c:scatterChart>
      <c:valAx>
        <c:axId val="146428523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endParaRPr lang="zh-CN"/>
          </a:p>
        </c:txPr>
        <c:crossAx val="1464283056"/>
        <c:crosses val="autoZero"/>
        <c:crossBetween val="midCat"/>
      </c:valAx>
      <c:valAx>
        <c:axId val="1464283056"/>
        <c:scaling>
          <c:orientation val="minMax"/>
        </c:scaling>
        <c:delete val="0"/>
        <c:axPos val="l"/>
        <c:majorGridlines>
          <c:spPr>
            <a:ln w="9525" cap="flat" cmpd="sng" algn="ctr">
              <a:solidFill>
                <a:schemeClr val="tx1">
                  <a:lumMod val="15000"/>
                  <a:lumOff val="85000"/>
                </a:schemeClr>
              </a:solidFill>
              <a:round/>
            </a:ln>
            <a:effectLst/>
          </c:spPr>
        </c:majorGridlines>
        <c:numFmt formatCode="0.0_ "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endParaRPr lang="zh-CN"/>
          </a:p>
        </c:txPr>
        <c:crossAx val="1464285232"/>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zh-CN"/>
      </a:pPr>
      <a:endParaRPr lang="zh-CN"/>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zh-CN" sz="1400" b="0" i="0" u="none" strike="noStrike" kern="1200" spc="0" baseline="0">
                <a:solidFill>
                  <a:schemeClr val="tx1">
                    <a:lumMod val="65000"/>
                    <a:lumOff val="35000"/>
                  </a:schemeClr>
                </a:solidFill>
                <a:latin typeface="+mn-lt"/>
                <a:ea typeface="+mn-ea"/>
                <a:cs typeface="+mn-cs"/>
              </a:defRPr>
            </a:pPr>
            <a:r>
              <a:rPr lang="zh-CN" altLang="en-US"/>
              <a:t>坦克养成属性对比</a:t>
            </a:r>
          </a:p>
        </c:rich>
      </c:tx>
      <c:overlay val="0"/>
      <c:spPr>
        <a:noFill/>
        <a:ln>
          <a:noFill/>
        </a:ln>
        <a:effectLst/>
      </c:spPr>
      <c:txPr>
        <a:bodyPr rot="0" spcFirstLastPara="1" vertOverflow="ellipsis" vert="horz" wrap="square" anchor="ctr" anchorCtr="1"/>
        <a:lstStyle/>
        <a:p>
          <a:pPr>
            <a:defRPr lang="zh-CN"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areaChart>
        <c:grouping val="stacked"/>
        <c:varyColors val="0"/>
        <c:ser>
          <c:idx val="0"/>
          <c:order val="0"/>
          <c:tx>
            <c:strRef>
              <c:f>坦克属性对比!$G$3</c:f>
              <c:strCache>
                <c:ptCount val="1"/>
                <c:pt idx="0">
                  <c:v>初始属性</c:v>
                </c:pt>
              </c:strCache>
            </c:strRef>
          </c:tx>
          <c:spPr>
            <a:solidFill>
              <a:schemeClr val="accent1"/>
            </a:solidFill>
            <a:ln>
              <a:noFill/>
            </a:ln>
            <a:effectLst/>
          </c:spPr>
          <c:cat>
            <c:strRef>
              <c:f>坦克属性对比!$C$4:$C$15</c:f>
              <c:strCache>
                <c:ptCount val="12"/>
                <c:pt idx="0">
                  <c:v>T1低</c:v>
                </c:pt>
                <c:pt idx="1">
                  <c:v>T2低</c:v>
                </c:pt>
                <c:pt idx="2">
                  <c:v>T2中</c:v>
                </c:pt>
                <c:pt idx="3">
                  <c:v>T3低</c:v>
                </c:pt>
                <c:pt idx="4">
                  <c:v>T3中</c:v>
                </c:pt>
                <c:pt idx="5">
                  <c:v>T3高</c:v>
                </c:pt>
                <c:pt idx="6">
                  <c:v>T4低</c:v>
                </c:pt>
                <c:pt idx="7">
                  <c:v>T4中</c:v>
                </c:pt>
                <c:pt idx="8">
                  <c:v>T4高</c:v>
                </c:pt>
                <c:pt idx="9">
                  <c:v>T5低</c:v>
                </c:pt>
                <c:pt idx="10">
                  <c:v>T5中</c:v>
                </c:pt>
                <c:pt idx="11">
                  <c:v>T5高</c:v>
                </c:pt>
              </c:strCache>
            </c:strRef>
          </c:cat>
          <c:val>
            <c:numRef>
              <c:f>坦克属性对比!$G$4:$G$15</c:f>
              <c:numCache>
                <c:formatCode>0.00_ </c:formatCode>
                <c:ptCount val="12"/>
                <c:pt idx="0">
                  <c:v>1</c:v>
                </c:pt>
                <c:pt idx="1">
                  <c:v>1.2</c:v>
                </c:pt>
                <c:pt idx="2">
                  <c:v>1.22</c:v>
                </c:pt>
                <c:pt idx="3">
                  <c:v>1.48</c:v>
                </c:pt>
                <c:pt idx="4">
                  <c:v>1.54</c:v>
                </c:pt>
                <c:pt idx="5">
                  <c:v>1.54</c:v>
                </c:pt>
                <c:pt idx="6">
                  <c:v>1.92</c:v>
                </c:pt>
                <c:pt idx="7">
                  <c:v>2</c:v>
                </c:pt>
                <c:pt idx="8">
                  <c:v>2</c:v>
                </c:pt>
                <c:pt idx="9">
                  <c:v>2.52</c:v>
                </c:pt>
                <c:pt idx="10">
                  <c:v>2.62</c:v>
                </c:pt>
                <c:pt idx="11">
                  <c:v>2.62</c:v>
                </c:pt>
              </c:numCache>
            </c:numRef>
          </c:val>
          <c:extLst>
            <c:ext xmlns:c16="http://schemas.microsoft.com/office/drawing/2014/chart" uri="{C3380CC4-5D6E-409C-BE32-E72D297353CC}">
              <c16:uniqueId val="{00000000-A5BF-40FE-93E7-133173D6DF77}"/>
            </c:ext>
          </c:extLst>
        </c:ser>
        <c:dLbls>
          <c:showLegendKey val="0"/>
          <c:showVal val="0"/>
          <c:showCatName val="0"/>
          <c:showSerName val="0"/>
          <c:showPercent val="0"/>
          <c:showBubbleSize val="0"/>
        </c:dLbls>
        <c:axId val="1464286864"/>
        <c:axId val="1464287408"/>
      </c:areaChart>
      <c:barChart>
        <c:barDir val="col"/>
        <c:grouping val="clustered"/>
        <c:varyColors val="0"/>
        <c:ser>
          <c:idx val="1"/>
          <c:order val="1"/>
          <c:tx>
            <c:strRef>
              <c:f>坦克属性对比!$H$3</c:f>
              <c:strCache>
                <c:ptCount val="1"/>
                <c:pt idx="0">
                  <c:v>最终属性</c:v>
                </c:pt>
              </c:strCache>
            </c:strRef>
          </c:tx>
          <c:spPr>
            <a:solidFill>
              <a:schemeClr val="accent2"/>
            </a:solidFill>
            <a:ln>
              <a:noFill/>
            </a:ln>
            <a:effectLst/>
          </c:spPr>
          <c:invertIfNegative val="0"/>
          <c:cat>
            <c:strRef>
              <c:f>坦克属性对比!$C$4:$C$15</c:f>
              <c:strCache>
                <c:ptCount val="12"/>
                <c:pt idx="0">
                  <c:v>T1低</c:v>
                </c:pt>
                <c:pt idx="1">
                  <c:v>T2低</c:v>
                </c:pt>
                <c:pt idx="2">
                  <c:v>T2中</c:v>
                </c:pt>
                <c:pt idx="3">
                  <c:v>T3低</c:v>
                </c:pt>
                <c:pt idx="4">
                  <c:v>T3中</c:v>
                </c:pt>
                <c:pt idx="5">
                  <c:v>T3高</c:v>
                </c:pt>
                <c:pt idx="6">
                  <c:v>T4低</c:v>
                </c:pt>
                <c:pt idx="7">
                  <c:v>T4中</c:v>
                </c:pt>
                <c:pt idx="8">
                  <c:v>T4高</c:v>
                </c:pt>
                <c:pt idx="9">
                  <c:v>T5低</c:v>
                </c:pt>
                <c:pt idx="10">
                  <c:v>T5中</c:v>
                </c:pt>
                <c:pt idx="11">
                  <c:v>T5高</c:v>
                </c:pt>
              </c:strCache>
            </c:strRef>
          </c:cat>
          <c:val>
            <c:numRef>
              <c:f>坦克属性对比!$H$4:$H$15</c:f>
              <c:numCache>
                <c:formatCode>0.00_ </c:formatCode>
                <c:ptCount val="12"/>
                <c:pt idx="0">
                  <c:v>1.3</c:v>
                </c:pt>
                <c:pt idx="1">
                  <c:v>1.7</c:v>
                </c:pt>
                <c:pt idx="2">
                  <c:v>1.7599999999999998</c:v>
                </c:pt>
                <c:pt idx="3">
                  <c:v>2.17</c:v>
                </c:pt>
                <c:pt idx="4">
                  <c:v>2.2800000000000002</c:v>
                </c:pt>
                <c:pt idx="5">
                  <c:v>2.33</c:v>
                </c:pt>
                <c:pt idx="6">
                  <c:v>3.2800000000000002</c:v>
                </c:pt>
                <c:pt idx="7">
                  <c:v>3.43</c:v>
                </c:pt>
                <c:pt idx="8">
                  <c:v>3.5</c:v>
                </c:pt>
                <c:pt idx="9">
                  <c:v>4.18</c:v>
                </c:pt>
                <c:pt idx="10">
                  <c:v>4.3600000000000003</c:v>
                </c:pt>
                <c:pt idx="11">
                  <c:v>4.4400000000000004</c:v>
                </c:pt>
              </c:numCache>
            </c:numRef>
          </c:val>
          <c:extLst>
            <c:ext xmlns:c16="http://schemas.microsoft.com/office/drawing/2014/chart" uri="{C3380CC4-5D6E-409C-BE32-E72D297353CC}">
              <c16:uniqueId val="{00000001-A5BF-40FE-93E7-133173D6DF77}"/>
            </c:ext>
          </c:extLst>
        </c:ser>
        <c:dLbls>
          <c:showLegendKey val="0"/>
          <c:showVal val="0"/>
          <c:showCatName val="0"/>
          <c:showSerName val="0"/>
          <c:showPercent val="0"/>
          <c:showBubbleSize val="0"/>
        </c:dLbls>
        <c:gapWidth val="150"/>
        <c:axId val="1464286864"/>
        <c:axId val="1464287408"/>
      </c:barChart>
      <c:catAx>
        <c:axId val="14642868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endParaRPr lang="zh-CN"/>
          </a:p>
        </c:txPr>
        <c:crossAx val="1464287408"/>
        <c:crosses val="autoZero"/>
        <c:auto val="1"/>
        <c:lblAlgn val="ctr"/>
        <c:lblOffset val="100"/>
        <c:noMultiLvlLbl val="0"/>
      </c:catAx>
      <c:valAx>
        <c:axId val="1464287408"/>
        <c:scaling>
          <c:orientation val="minMax"/>
        </c:scaling>
        <c:delete val="0"/>
        <c:axPos val="l"/>
        <c:majorGridlines>
          <c:spPr>
            <a:ln w="9525" cap="flat" cmpd="sng" algn="ctr">
              <a:solidFill>
                <a:schemeClr val="tx1">
                  <a:lumMod val="15000"/>
                  <a:lumOff val="85000"/>
                </a:schemeClr>
              </a:solidFill>
              <a:round/>
            </a:ln>
            <a:effectLst/>
          </c:spPr>
        </c:majorGridlines>
        <c:numFmt formatCode="0.00_ " sourceLinked="1"/>
        <c:majorTickMark val="none"/>
        <c:minorTickMark val="none"/>
        <c:tickLblPos val="nextTo"/>
        <c:spPr>
          <a:noFill/>
          <a:ln>
            <a:noFill/>
          </a:ln>
          <a:effectLst/>
        </c:spPr>
        <c:txPr>
          <a:bodyPr rot="-60000000" spcFirstLastPara="1"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endParaRPr lang="zh-CN"/>
          </a:p>
        </c:txPr>
        <c:crossAx val="146428686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endParaRPr lang="zh-CN"/>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lang="zh-CN"/>
      </a:pPr>
      <a:endParaRPr lang="zh-CN"/>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Button"/>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chart" Target="../charts/chart1.xml"/></Relationships>
</file>

<file path=xl/drawings/_rels/drawing4.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editAs="oneCell">
    <xdr:from>
      <xdr:col>12</xdr:col>
      <xdr:colOff>9524</xdr:colOff>
      <xdr:row>72</xdr:row>
      <xdr:rowOff>47624</xdr:rowOff>
    </xdr:from>
    <xdr:to>
      <xdr:col>21</xdr:col>
      <xdr:colOff>142876</xdr:colOff>
      <xdr:row>102</xdr:row>
      <xdr:rowOff>37333</xdr:rowOff>
    </xdr:to>
    <xdr:pic>
      <xdr:nvPicPr>
        <xdr:cNvPr id="7" name="图片 6">
          <a:extLst>
            <a:ext uri="{FF2B5EF4-FFF2-40B4-BE49-F238E27FC236}">
              <a16:creationId xmlns:a16="http://schemas.microsoft.com/office/drawing/2014/main" id="{00000000-0008-0000-0100-000007000000}"/>
            </a:ext>
          </a:extLst>
        </xdr:cNvPr>
        <xdr:cNvPicPr>
          <a:picLocks noChangeAspect="1"/>
        </xdr:cNvPicPr>
      </xdr:nvPicPr>
      <xdr:blipFill>
        <a:blip xmlns:r="http://schemas.openxmlformats.org/officeDocument/2006/relationships" r:embed="rId1"/>
        <a:stretch>
          <a:fillRect/>
        </a:stretch>
      </xdr:blipFill>
      <xdr:spPr>
        <a:xfrm>
          <a:off x="8239124" y="13077824"/>
          <a:ext cx="6896102" cy="5418959"/>
        </a:xfrm>
        <a:prstGeom prst="rect">
          <a:avLst/>
        </a:prstGeom>
      </xdr:spPr>
    </xdr:pic>
    <xdr:clientData/>
  </xdr:twoCellAnchor>
  <xdr:twoCellAnchor editAs="oneCell">
    <xdr:from>
      <xdr:col>12</xdr:col>
      <xdr:colOff>9524</xdr:colOff>
      <xdr:row>65</xdr:row>
      <xdr:rowOff>47625</xdr:rowOff>
    </xdr:from>
    <xdr:to>
      <xdr:col>21</xdr:col>
      <xdr:colOff>211833</xdr:colOff>
      <xdr:row>71</xdr:row>
      <xdr:rowOff>180974</xdr:rowOff>
    </xdr:to>
    <xdr:pic>
      <xdr:nvPicPr>
        <xdr:cNvPr id="3" name="图片 2">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2"/>
        <a:stretch>
          <a:fillRect/>
        </a:stretch>
      </xdr:blipFill>
      <xdr:spPr>
        <a:xfrm>
          <a:off x="8239124" y="11811000"/>
          <a:ext cx="6965059" cy="1219199"/>
        </a:xfrm>
        <a:prstGeom prst="rect">
          <a:avLst/>
        </a:prstGeom>
      </xdr:spPr>
    </xdr:pic>
    <xdr:clientData/>
  </xdr:twoCellAnchor>
  <xdr:twoCellAnchor editAs="oneCell">
    <xdr:from>
      <xdr:col>12</xdr:col>
      <xdr:colOff>9525</xdr:colOff>
      <xdr:row>37</xdr:row>
      <xdr:rowOff>9526</xdr:rowOff>
    </xdr:from>
    <xdr:to>
      <xdr:col>21</xdr:col>
      <xdr:colOff>200025</xdr:colOff>
      <xdr:row>64</xdr:row>
      <xdr:rowOff>145383</xdr:rowOff>
    </xdr:to>
    <xdr:pic>
      <xdr:nvPicPr>
        <xdr:cNvPr id="4" name="图片 3">
          <a:extLst>
            <a:ext uri="{FF2B5EF4-FFF2-40B4-BE49-F238E27FC236}">
              <a16:creationId xmlns:a16="http://schemas.microsoft.com/office/drawing/2014/main" id="{00000000-0008-0000-0100-000004000000}"/>
            </a:ext>
          </a:extLst>
        </xdr:cNvPr>
        <xdr:cNvPicPr>
          <a:picLocks noChangeAspect="1"/>
        </xdr:cNvPicPr>
      </xdr:nvPicPr>
      <xdr:blipFill>
        <a:blip xmlns:r="http://schemas.openxmlformats.org/officeDocument/2006/relationships" r:embed="rId3"/>
        <a:stretch>
          <a:fillRect/>
        </a:stretch>
      </xdr:blipFill>
      <xdr:spPr>
        <a:xfrm>
          <a:off x="8239125" y="6705601"/>
          <a:ext cx="6953250" cy="502218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20</xdr:col>
          <xdr:colOff>28575</xdr:colOff>
          <xdr:row>0</xdr:row>
          <xdr:rowOff>28575</xdr:rowOff>
        </xdr:from>
        <xdr:to>
          <xdr:col>21</xdr:col>
          <xdr:colOff>352425</xdr:colOff>
          <xdr:row>2</xdr:row>
          <xdr:rowOff>9525</xdr:rowOff>
        </xdr:to>
        <xdr:sp macro="" textlink="">
          <xdr:nvSpPr>
            <xdr:cNvPr id="1044" name="Button 20" hidden="1">
              <a:extLst>
                <a:ext uri="{63B3BB69-23CF-44E3-9099-C40C66FF867C}">
                  <a14:compatExt spid="_x0000_s1044"/>
                </a:ext>
                <a:ext uri="{FF2B5EF4-FFF2-40B4-BE49-F238E27FC236}">
                  <a16:creationId xmlns:a16="http://schemas.microsoft.com/office/drawing/2014/main" id="{00000000-0008-0000-0200-000014040000}"/>
                </a:ext>
              </a:extLst>
            </xdr:cNvPr>
            <xdr:cNvSpPr/>
          </xdr:nvSpPr>
          <xdr:spPr bwMode="auto">
            <a:xfrm>
              <a:off x="0" y="0"/>
              <a:ext cx="0" cy="0"/>
            </a:xfrm>
            <a:prstGeom prst="rect">
              <a:avLst/>
            </a:prstGeom>
            <a:noFill/>
            <a:ln>
              <a:noFill/>
            </a:ln>
            <a:extLst>
              <a:ext uri="{909E8E84-426E-40DD-AFC4-6F175D3DCCD1}">
                <a14:hiddenFill>
                  <a:noFill/>
                </a14:hiddenFill>
              </a:ext>
              <a:ext uri="{91240B29-F687-4F45-9708-019B960494DF}">
                <a14:hiddenLine w="9525">
                  <a:noFill/>
                  <a:miter lim="800000"/>
                  <a:headEnd/>
                  <a:tailEnd/>
                </a14:hiddenLine>
              </a:ext>
            </a:extLst>
          </xdr:spPr>
          <xdr:txBody>
            <a:bodyPr vertOverflow="clip" wrap="square" lIns="27432" tIns="18288" rIns="27432" bIns="18288" anchor="ctr" upright="1"/>
            <a:lstStyle/>
            <a:p>
              <a:pPr algn="ctr" rtl="0">
                <a:defRPr sz="1000"/>
              </a:pPr>
              <a:r>
                <a:rPr lang="zh-CN" altLang="en-US" sz="1100" b="0" i="0" u="none" strike="noStrike" baseline="0">
                  <a:solidFill>
                    <a:srgbClr val="000000"/>
                  </a:solidFill>
                  <a:latin typeface="宋体"/>
                  <a:ea typeface="宋体"/>
                </a:rPr>
                <a:t>取消隐藏</a:t>
              </a:r>
            </a:p>
          </xdr:txBody>
        </xdr:sp>
        <xdr:clientData fPrintsWithSheet="0"/>
      </xdr:twoCellAnchor>
    </mc:Choice>
    <mc:Fallback/>
  </mc:AlternateContent>
</xdr:wsDr>
</file>

<file path=xl/drawings/drawing3.xml><?xml version="1.0" encoding="utf-8"?>
<xdr:wsDr xmlns:xdr="http://schemas.openxmlformats.org/drawingml/2006/spreadsheetDrawing" xmlns:a="http://schemas.openxmlformats.org/drawingml/2006/main">
  <xdr:twoCellAnchor>
    <xdr:from>
      <xdr:col>11</xdr:col>
      <xdr:colOff>685799</xdr:colOff>
      <xdr:row>13</xdr:row>
      <xdr:rowOff>157161</xdr:rowOff>
    </xdr:from>
    <xdr:to>
      <xdr:col>19</xdr:col>
      <xdr:colOff>438150</xdr:colOff>
      <xdr:row>33</xdr:row>
      <xdr:rowOff>76200</xdr:rowOff>
    </xdr:to>
    <xdr:graphicFrame macro="">
      <xdr:nvGraphicFramePr>
        <xdr:cNvPr id="2" name="图表 1">
          <a:extLst>
            <a:ext uri="{FF2B5EF4-FFF2-40B4-BE49-F238E27FC236}">
              <a16:creationId xmlns:a16="http://schemas.microsoft.com/office/drawing/2014/main" id="{00000000-0008-0000-04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9525</xdr:colOff>
      <xdr:row>16</xdr:row>
      <xdr:rowOff>95249</xdr:rowOff>
    </xdr:from>
    <xdr:to>
      <xdr:col>8</xdr:col>
      <xdr:colOff>9525</xdr:colOff>
      <xdr:row>32</xdr:row>
      <xdr:rowOff>114300</xdr:rowOff>
    </xdr:to>
    <xdr:graphicFrame macro="">
      <xdr:nvGraphicFramePr>
        <xdr:cNvPr id="4" name="图表 3">
          <a:extLst>
            <a:ext uri="{FF2B5EF4-FFF2-40B4-BE49-F238E27FC236}">
              <a16:creationId xmlns:a16="http://schemas.microsoft.com/office/drawing/2014/main" id="{00000000-0008-0000-10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D:/E:/IronForce2-resource/Document/Design/Numerical/&#23384;&#26723;/IF2&#24635;&#25968;&#20540;&#34920;-&#22791;&#20221;20191118.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23453;&#31665;&#22635;&#34920;.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说明"/>
      <sheetName val="标准坦克设计"/>
      <sheetName val="基础属性系数"/>
      <sheetName val="基础经济系数"/>
      <sheetName val="游戏时长规划"/>
      <sheetName val="玩家资源获取模拟"/>
      <sheetName val="坦克升星消耗"/>
      <sheetName val="属性说明"/>
      <sheetName val="坦克等级成长"/>
      <sheetName val="类型坦克成长数据"/>
      <sheetName val="战斗时间模拟"/>
      <sheetName val="坦克标准养成属性"/>
      <sheetName val="坦克类型系数"/>
      <sheetName val="图鉴"/>
      <sheetName val="坦克个性化设定"/>
      <sheetName val="坦克个性化细分"/>
      <sheetName val="坦克属性统计"/>
      <sheetName val="坦克属性对比"/>
      <sheetName val="坦克部件"/>
      <sheetName val="坦克部件养成"/>
      <sheetName val="坦克技能"/>
      <sheetName val="战斗力计算"/>
      <sheetName val="匹配分段"/>
      <sheetName val="商店道具"/>
      <sheetName val="道具价值"/>
      <sheetName val="道具ID"/>
      <sheetName val="推送礼包"/>
      <sheetName val="活动奖励"/>
      <sheetName val="BattlePass"/>
      <sheetName val="成就"/>
      <sheetName val="联赛奖励"/>
      <sheetName val="任务设定"/>
      <sheetName val="宝箱设定"/>
      <sheetName val="宝箱内容"/>
      <sheetName val="名称-id"/>
      <sheetName val="碎片兑换"/>
    </sheetNames>
    <sheetDataSet>
      <sheetData sheetId="0"/>
      <sheetData sheetId="1"/>
      <sheetData sheetId="2"/>
      <sheetData sheetId="3">
        <row r="5">
          <cell r="C5">
            <v>10</v>
          </cell>
        </row>
        <row r="9">
          <cell r="C9">
            <v>200</v>
          </cell>
        </row>
        <row r="15">
          <cell r="E15">
            <v>2</v>
          </cell>
          <cell r="F15">
            <v>125</v>
          </cell>
          <cell r="L15">
            <v>5</v>
          </cell>
          <cell r="N15">
            <v>10</v>
          </cell>
        </row>
        <row r="21">
          <cell r="C21">
            <v>0.7</v>
          </cell>
        </row>
        <row r="22">
          <cell r="C22">
            <v>0.3</v>
          </cell>
        </row>
        <row r="33">
          <cell r="F33">
            <v>300</v>
          </cell>
        </row>
        <row r="34">
          <cell r="F34">
            <v>600</v>
          </cell>
        </row>
        <row r="35">
          <cell r="F35">
            <v>800</v>
          </cell>
        </row>
        <row r="36">
          <cell r="F36">
            <v>1650</v>
          </cell>
        </row>
        <row r="37">
          <cell r="F37">
            <v>2100</v>
          </cell>
        </row>
        <row r="38">
          <cell r="F38">
            <v>2400</v>
          </cell>
        </row>
        <row r="39">
          <cell r="F39">
            <v>5250</v>
          </cell>
        </row>
        <row r="40">
          <cell r="F40">
            <v>6500</v>
          </cell>
        </row>
        <row r="41">
          <cell r="F41">
            <v>7250</v>
          </cell>
        </row>
        <row r="42">
          <cell r="F42">
            <v>15600</v>
          </cell>
        </row>
        <row r="43">
          <cell r="F43">
            <v>18800</v>
          </cell>
        </row>
        <row r="44">
          <cell r="F44">
            <v>20000</v>
          </cell>
        </row>
        <row r="56">
          <cell r="B56" t="str">
            <v>联赛等级</v>
          </cell>
          <cell r="C56" t="str">
            <v>T1低</v>
          </cell>
          <cell r="D56" t="str">
            <v>T2低</v>
          </cell>
          <cell r="E56" t="str">
            <v>T2中</v>
          </cell>
          <cell r="F56" t="str">
            <v>T3低</v>
          </cell>
          <cell r="G56" t="str">
            <v>T3中</v>
          </cell>
          <cell r="H56" t="str">
            <v>T3高</v>
          </cell>
          <cell r="I56" t="str">
            <v>T4低</v>
          </cell>
          <cell r="J56" t="str">
            <v>T4中</v>
          </cell>
          <cell r="K56" t="str">
            <v>T4高</v>
          </cell>
          <cell r="L56" t="str">
            <v>T5低</v>
          </cell>
          <cell r="M56" t="str">
            <v>T5中</v>
          </cell>
          <cell r="N56" t="str">
            <v>T5高</v>
          </cell>
        </row>
        <row r="57">
          <cell r="B57">
            <v>1</v>
          </cell>
          <cell r="C57" t="str">
            <v>All</v>
          </cell>
          <cell r="D57" t="str">
            <v>None</v>
          </cell>
          <cell r="E57" t="str">
            <v>None</v>
          </cell>
          <cell r="F57" t="str">
            <v>None</v>
          </cell>
          <cell r="G57" t="str">
            <v>None</v>
          </cell>
          <cell r="H57" t="str">
            <v>None</v>
          </cell>
          <cell r="I57" t="str">
            <v>None</v>
          </cell>
          <cell r="J57" t="str">
            <v>None</v>
          </cell>
          <cell r="K57" t="str">
            <v>None</v>
          </cell>
          <cell r="L57" t="str">
            <v>None</v>
          </cell>
          <cell r="M57" t="str">
            <v>None</v>
          </cell>
          <cell r="N57" t="str">
            <v>None</v>
          </cell>
        </row>
        <row r="58">
          <cell r="B58">
            <v>2</v>
          </cell>
          <cell r="C58" t="str">
            <v>All</v>
          </cell>
          <cell r="D58" t="str">
            <v>All</v>
          </cell>
          <cell r="E58" t="str">
            <v>None</v>
          </cell>
          <cell r="F58" t="str">
            <v>None</v>
          </cell>
          <cell r="G58" t="str">
            <v>None</v>
          </cell>
          <cell r="H58" t="str">
            <v>None</v>
          </cell>
          <cell r="I58" t="str">
            <v>None</v>
          </cell>
          <cell r="J58" t="str">
            <v>None</v>
          </cell>
          <cell r="K58" t="str">
            <v>None</v>
          </cell>
          <cell r="L58" t="str">
            <v>None</v>
          </cell>
          <cell r="M58" t="str">
            <v>None</v>
          </cell>
          <cell r="N58" t="str">
            <v>None</v>
          </cell>
        </row>
        <row r="59">
          <cell r="B59">
            <v>3</v>
          </cell>
          <cell r="C59" t="str">
            <v>All</v>
          </cell>
          <cell r="D59" t="str">
            <v>All</v>
          </cell>
          <cell r="E59" t="str">
            <v>All</v>
          </cell>
          <cell r="F59" t="str">
            <v>None</v>
          </cell>
          <cell r="G59" t="str">
            <v>None</v>
          </cell>
          <cell r="H59" t="str">
            <v>None</v>
          </cell>
          <cell r="I59" t="str">
            <v>None</v>
          </cell>
          <cell r="J59" t="str">
            <v>None</v>
          </cell>
          <cell r="K59" t="str">
            <v>None</v>
          </cell>
          <cell r="L59" t="str">
            <v>None</v>
          </cell>
          <cell r="M59" t="str">
            <v>None</v>
          </cell>
          <cell r="N59" t="str">
            <v>None</v>
          </cell>
        </row>
        <row r="60">
          <cell r="B60">
            <v>4</v>
          </cell>
          <cell r="C60" t="str">
            <v>All</v>
          </cell>
          <cell r="D60" t="str">
            <v>All</v>
          </cell>
          <cell r="E60" t="str">
            <v>All</v>
          </cell>
          <cell r="F60" t="str">
            <v>None</v>
          </cell>
          <cell r="G60" t="str">
            <v>None</v>
          </cell>
          <cell r="H60" t="str">
            <v>None</v>
          </cell>
          <cell r="I60" t="str">
            <v>None</v>
          </cell>
          <cell r="J60" t="str">
            <v>None</v>
          </cell>
          <cell r="K60" t="str">
            <v>None</v>
          </cell>
          <cell r="L60" t="str">
            <v>None</v>
          </cell>
          <cell r="M60" t="str">
            <v>None</v>
          </cell>
          <cell r="N60" t="str">
            <v>None</v>
          </cell>
        </row>
        <row r="61">
          <cell r="B61">
            <v>5</v>
          </cell>
          <cell r="C61" t="str">
            <v>All</v>
          </cell>
          <cell r="D61" t="str">
            <v>All</v>
          </cell>
          <cell r="E61" t="str">
            <v>All</v>
          </cell>
          <cell r="F61" t="str">
            <v>All</v>
          </cell>
          <cell r="G61" t="str">
            <v>All</v>
          </cell>
          <cell r="H61" t="str">
            <v>None</v>
          </cell>
          <cell r="I61" t="str">
            <v>None</v>
          </cell>
          <cell r="J61" t="str">
            <v>None</v>
          </cell>
          <cell r="K61" t="str">
            <v>None</v>
          </cell>
          <cell r="L61" t="str">
            <v>None</v>
          </cell>
          <cell r="M61" t="str">
            <v>None</v>
          </cell>
          <cell r="N61" t="str">
            <v>None</v>
          </cell>
        </row>
        <row r="62">
          <cell r="B62">
            <v>6</v>
          </cell>
          <cell r="C62" t="str">
            <v>All</v>
          </cell>
          <cell r="D62" t="str">
            <v>All</v>
          </cell>
          <cell r="E62" t="str">
            <v>All</v>
          </cell>
          <cell r="F62" t="str">
            <v>All</v>
          </cell>
          <cell r="G62" t="str">
            <v>All</v>
          </cell>
          <cell r="H62" t="str">
            <v>None</v>
          </cell>
          <cell r="I62" t="str">
            <v>None</v>
          </cell>
          <cell r="J62" t="str">
            <v>None</v>
          </cell>
          <cell r="K62" t="str">
            <v>None</v>
          </cell>
          <cell r="L62" t="str">
            <v>None</v>
          </cell>
          <cell r="M62" t="str">
            <v>None</v>
          </cell>
          <cell r="N62" t="str">
            <v>None</v>
          </cell>
        </row>
        <row r="63">
          <cell r="B63">
            <v>7</v>
          </cell>
          <cell r="C63" t="str">
            <v>All</v>
          </cell>
          <cell r="D63" t="str">
            <v>All</v>
          </cell>
          <cell r="E63" t="str">
            <v>All</v>
          </cell>
          <cell r="F63" t="str">
            <v>All</v>
          </cell>
          <cell r="G63" t="str">
            <v>All</v>
          </cell>
          <cell r="H63" t="str">
            <v>None</v>
          </cell>
          <cell r="I63" t="str">
            <v>None</v>
          </cell>
          <cell r="J63" t="str">
            <v>None</v>
          </cell>
          <cell r="K63" t="str">
            <v>None</v>
          </cell>
          <cell r="L63" t="str">
            <v>None</v>
          </cell>
          <cell r="M63" t="str">
            <v>None</v>
          </cell>
          <cell r="N63" t="str">
            <v>None</v>
          </cell>
        </row>
        <row r="64">
          <cell r="B64">
            <v>8</v>
          </cell>
          <cell r="C64" t="str">
            <v>All</v>
          </cell>
          <cell r="D64" t="str">
            <v>All</v>
          </cell>
          <cell r="E64" t="str">
            <v>All</v>
          </cell>
          <cell r="F64" t="str">
            <v>All</v>
          </cell>
          <cell r="G64" t="str">
            <v>All</v>
          </cell>
          <cell r="H64" t="str">
            <v>None</v>
          </cell>
          <cell r="I64" t="str">
            <v>All</v>
          </cell>
          <cell r="J64" t="str">
            <v>part</v>
          </cell>
          <cell r="K64" t="str">
            <v>part</v>
          </cell>
          <cell r="L64" t="str">
            <v>None</v>
          </cell>
          <cell r="M64" t="str">
            <v>None</v>
          </cell>
          <cell r="N64" t="str">
            <v>None</v>
          </cell>
        </row>
        <row r="65">
          <cell r="B65">
            <v>9</v>
          </cell>
          <cell r="C65" t="str">
            <v>All</v>
          </cell>
          <cell r="D65" t="str">
            <v>All</v>
          </cell>
          <cell r="E65" t="str">
            <v>All</v>
          </cell>
          <cell r="F65" t="str">
            <v>All</v>
          </cell>
          <cell r="G65" t="str">
            <v>All</v>
          </cell>
          <cell r="H65" t="str">
            <v>None</v>
          </cell>
          <cell r="I65" t="str">
            <v>All</v>
          </cell>
          <cell r="J65" t="str">
            <v>part</v>
          </cell>
          <cell r="K65" t="str">
            <v>part</v>
          </cell>
          <cell r="L65" t="str">
            <v>None</v>
          </cell>
          <cell r="M65" t="str">
            <v>None</v>
          </cell>
          <cell r="N65" t="str">
            <v>None</v>
          </cell>
        </row>
        <row r="66">
          <cell r="B66">
            <v>10</v>
          </cell>
          <cell r="C66" t="str">
            <v>All</v>
          </cell>
          <cell r="D66" t="str">
            <v>All</v>
          </cell>
          <cell r="E66" t="str">
            <v>All</v>
          </cell>
          <cell r="F66" t="str">
            <v>All</v>
          </cell>
          <cell r="G66" t="str">
            <v>All</v>
          </cell>
          <cell r="H66" t="str">
            <v>None</v>
          </cell>
          <cell r="I66" t="str">
            <v>All</v>
          </cell>
          <cell r="J66" t="str">
            <v>All</v>
          </cell>
          <cell r="K66" t="str">
            <v>All</v>
          </cell>
          <cell r="L66" t="str">
            <v>None</v>
          </cell>
          <cell r="M66" t="str">
            <v>None</v>
          </cell>
          <cell r="N66" t="str">
            <v>None</v>
          </cell>
        </row>
        <row r="83">
          <cell r="G83">
            <v>200</v>
          </cell>
        </row>
        <row r="84">
          <cell r="G84">
            <v>216</v>
          </cell>
        </row>
        <row r="85">
          <cell r="G85">
            <v>234</v>
          </cell>
        </row>
        <row r="86">
          <cell r="G86">
            <v>250</v>
          </cell>
        </row>
        <row r="87">
          <cell r="G87">
            <v>266</v>
          </cell>
        </row>
        <row r="88">
          <cell r="G88">
            <v>284</v>
          </cell>
        </row>
        <row r="89">
          <cell r="G89">
            <v>300</v>
          </cell>
        </row>
        <row r="90">
          <cell r="G90">
            <v>316</v>
          </cell>
        </row>
        <row r="91">
          <cell r="G91">
            <v>334</v>
          </cell>
        </row>
        <row r="92">
          <cell r="G92">
            <v>350</v>
          </cell>
        </row>
        <row r="93">
          <cell r="G93">
            <v>366</v>
          </cell>
        </row>
        <row r="94">
          <cell r="G94">
            <v>384</v>
          </cell>
        </row>
        <row r="95">
          <cell r="G95">
            <v>400</v>
          </cell>
        </row>
        <row r="96">
          <cell r="G96">
            <v>470</v>
          </cell>
        </row>
        <row r="97">
          <cell r="G97">
            <v>490</v>
          </cell>
        </row>
        <row r="98">
          <cell r="G98">
            <v>505</v>
          </cell>
        </row>
        <row r="99">
          <cell r="G99">
            <v>525</v>
          </cell>
        </row>
        <row r="100">
          <cell r="G100">
            <v>545</v>
          </cell>
        </row>
        <row r="101">
          <cell r="G101">
            <v>565</v>
          </cell>
        </row>
        <row r="102">
          <cell r="G102">
            <v>580</v>
          </cell>
        </row>
        <row r="103">
          <cell r="G103">
            <v>600</v>
          </cell>
        </row>
        <row r="104">
          <cell r="G104">
            <v>620</v>
          </cell>
        </row>
        <row r="105">
          <cell r="G105">
            <v>640</v>
          </cell>
        </row>
        <row r="106">
          <cell r="G106">
            <v>655</v>
          </cell>
        </row>
      </sheetData>
      <sheetData sheetId="4">
        <row r="3">
          <cell r="G3">
            <v>5</v>
          </cell>
          <cell r="H3">
            <v>0.55000000000000004</v>
          </cell>
        </row>
        <row r="4">
          <cell r="C4">
            <v>7.5</v>
          </cell>
          <cell r="G4">
            <v>8</v>
          </cell>
          <cell r="H4">
            <v>0.55000000000000004</v>
          </cell>
        </row>
        <row r="5">
          <cell r="G5">
            <v>10</v>
          </cell>
          <cell r="H5">
            <v>0.55000000000000004</v>
          </cell>
        </row>
        <row r="6">
          <cell r="G6">
            <v>12</v>
          </cell>
          <cell r="H6">
            <v>0.55000000000000004</v>
          </cell>
        </row>
        <row r="7">
          <cell r="G7">
            <v>15</v>
          </cell>
          <cell r="H7">
            <v>0.55000000000000004</v>
          </cell>
        </row>
        <row r="8">
          <cell r="G8">
            <v>18</v>
          </cell>
          <cell r="H8">
            <v>0.55000000000000004</v>
          </cell>
        </row>
        <row r="9">
          <cell r="G9">
            <v>20</v>
          </cell>
          <cell r="H9">
            <v>0.55000000000000004</v>
          </cell>
        </row>
        <row r="10">
          <cell r="G10">
            <v>25</v>
          </cell>
          <cell r="H10">
            <v>0.55000000000000004</v>
          </cell>
        </row>
        <row r="11">
          <cell r="G11">
            <v>30</v>
          </cell>
          <cell r="H11">
            <v>0.55000000000000004</v>
          </cell>
        </row>
        <row r="12">
          <cell r="G12">
            <v>35</v>
          </cell>
          <cell r="H12">
            <v>0.55000000000000004</v>
          </cell>
        </row>
        <row r="73">
          <cell r="C73" t="str">
            <v>T1低</v>
          </cell>
          <cell r="D73" t="str">
            <v>T1低</v>
          </cell>
          <cell r="E73" t="str">
            <v>T1低</v>
          </cell>
        </row>
        <row r="74">
          <cell r="C74" t="str">
            <v>T2低</v>
          </cell>
          <cell r="D74" t="str">
            <v>T1低</v>
          </cell>
          <cell r="E74" t="str">
            <v>T1低</v>
          </cell>
        </row>
        <row r="75">
          <cell r="C75" t="str">
            <v>T2低</v>
          </cell>
          <cell r="D75" t="str">
            <v>T2低</v>
          </cell>
          <cell r="E75" t="str">
            <v>T1低</v>
          </cell>
        </row>
        <row r="76">
          <cell r="C76" t="str">
            <v>T2低</v>
          </cell>
          <cell r="D76" t="str">
            <v>T2低</v>
          </cell>
          <cell r="E76" t="str">
            <v>T2低</v>
          </cell>
        </row>
        <row r="77">
          <cell r="C77" t="str">
            <v>T3低</v>
          </cell>
          <cell r="D77" t="str">
            <v>T2低</v>
          </cell>
          <cell r="E77" t="str">
            <v>T2低</v>
          </cell>
        </row>
        <row r="78">
          <cell r="C78" t="str">
            <v>T3低</v>
          </cell>
          <cell r="D78" t="str">
            <v>T3低</v>
          </cell>
          <cell r="E78" t="str">
            <v>T2低</v>
          </cell>
        </row>
        <row r="79">
          <cell r="C79" t="str">
            <v>T3低</v>
          </cell>
          <cell r="D79" t="str">
            <v>T3低</v>
          </cell>
          <cell r="E79" t="str">
            <v>T3低</v>
          </cell>
        </row>
        <row r="80">
          <cell r="C80" t="str">
            <v>T3低</v>
          </cell>
          <cell r="D80" t="str">
            <v>T3低</v>
          </cell>
          <cell r="E80" t="str">
            <v>T3低</v>
          </cell>
        </row>
        <row r="81">
          <cell r="C81" t="str">
            <v>T4低</v>
          </cell>
          <cell r="D81" t="str">
            <v>T4低</v>
          </cell>
          <cell r="E81" t="str">
            <v>T3低</v>
          </cell>
        </row>
        <row r="82">
          <cell r="C82" t="str">
            <v>T4低</v>
          </cell>
          <cell r="D82" t="str">
            <v>T4低</v>
          </cell>
          <cell r="E82" t="str">
            <v>T4低</v>
          </cell>
        </row>
        <row r="83">
          <cell r="C83" t="str">
            <v>T5低</v>
          </cell>
          <cell r="D83" t="str">
            <v>T4低</v>
          </cell>
          <cell r="E83" t="str">
            <v>T4低</v>
          </cell>
        </row>
        <row r="84">
          <cell r="C84" t="str">
            <v>T5低</v>
          </cell>
          <cell r="D84" t="str">
            <v>T5低</v>
          </cell>
          <cell r="E84" t="str">
            <v>T4低</v>
          </cell>
        </row>
      </sheetData>
      <sheetData sheetId="5"/>
      <sheetData sheetId="6">
        <row r="2">
          <cell r="E2">
            <v>300</v>
          </cell>
        </row>
        <row r="21">
          <cell r="L21">
            <v>2700</v>
          </cell>
        </row>
        <row r="22">
          <cell r="L22">
            <v>12000</v>
          </cell>
        </row>
        <row r="23">
          <cell r="L23">
            <v>24200</v>
          </cell>
        </row>
        <row r="24">
          <cell r="J24">
            <v>26.515151515151501</v>
          </cell>
          <cell r="L24">
            <v>45400</v>
          </cell>
        </row>
        <row r="25">
          <cell r="J25">
            <v>33.1666666666667</v>
          </cell>
          <cell r="L25">
            <v>71750</v>
          </cell>
        </row>
        <row r="26">
          <cell r="J26">
            <v>41.3541666666667</v>
          </cell>
          <cell r="L26">
            <v>101650</v>
          </cell>
        </row>
        <row r="27">
          <cell r="J27">
            <v>33.504761904761899</v>
          </cell>
          <cell r="L27">
            <v>181150</v>
          </cell>
        </row>
        <row r="28">
          <cell r="J28">
            <v>41.661538461538498</v>
          </cell>
          <cell r="L28">
            <v>277300</v>
          </cell>
        </row>
        <row r="29">
          <cell r="J29">
            <v>51.951724137931002</v>
          </cell>
          <cell r="L29">
            <v>383900</v>
          </cell>
        </row>
        <row r="30">
          <cell r="J30">
            <v>38.894230769230802</v>
          </cell>
          <cell r="L30">
            <v>622350</v>
          </cell>
        </row>
        <row r="31">
          <cell r="J31">
            <v>47.023936170212799</v>
          </cell>
          <cell r="L31">
            <v>902850</v>
          </cell>
        </row>
        <row r="32">
          <cell r="J32">
            <v>58.952500000000001</v>
          </cell>
          <cell r="L32">
            <v>1199050</v>
          </cell>
        </row>
      </sheetData>
      <sheetData sheetId="7"/>
      <sheetData sheetId="8">
        <row r="3">
          <cell r="AE3" t="str">
            <v>坦克状态</v>
          </cell>
          <cell r="AF3" t="str">
            <v>血量</v>
          </cell>
          <cell r="AG3" t="str">
            <v>坦克伤害</v>
          </cell>
          <cell r="AH3" t="str">
            <v>最大穿透</v>
          </cell>
          <cell r="AI3" t="str">
            <v>最小穿透</v>
          </cell>
          <cell r="AJ3" t="str">
            <v>坦克装甲</v>
          </cell>
          <cell r="AK3" t="str">
            <v>撞击伤害</v>
          </cell>
          <cell r="AM3" t="str">
            <v>坦克状态</v>
          </cell>
          <cell r="AN3" t="str">
            <v>血量</v>
          </cell>
          <cell r="AO3" t="str">
            <v>坦克伤害</v>
          </cell>
          <cell r="AP3" t="str">
            <v>最大穿透</v>
          </cell>
          <cell r="AQ3" t="str">
            <v>最小穿透</v>
          </cell>
          <cell r="AR3" t="str">
            <v>坦克装甲</v>
          </cell>
          <cell r="AS3" t="str">
            <v>撞击伤害</v>
          </cell>
          <cell r="AU3" t="str">
            <v>坦克状态</v>
          </cell>
          <cell r="AV3" t="str">
            <v>血量</v>
          </cell>
          <cell r="AW3" t="str">
            <v>坦克伤害</v>
          </cell>
          <cell r="AX3" t="str">
            <v>最大穿透</v>
          </cell>
          <cell r="AY3" t="str">
            <v>最小穿透</v>
          </cell>
          <cell r="AZ3" t="str">
            <v>坦克装甲</v>
          </cell>
          <cell r="BA3" t="str">
            <v>撞击伤害</v>
          </cell>
          <cell r="BC3" t="str">
            <v>坦克状态</v>
          </cell>
          <cell r="BD3" t="str">
            <v>血量</v>
          </cell>
          <cell r="BE3" t="str">
            <v>坦克伤害</v>
          </cell>
          <cell r="BF3" t="str">
            <v>最大穿透</v>
          </cell>
          <cell r="BG3" t="str">
            <v>最小穿透</v>
          </cell>
          <cell r="BH3" t="str">
            <v>坦克装甲</v>
          </cell>
          <cell r="BI3" t="str">
            <v>撞击伤害</v>
          </cell>
          <cell r="BK3" t="str">
            <v>坦克状态</v>
          </cell>
          <cell r="BL3" t="str">
            <v>血量</v>
          </cell>
          <cell r="BM3" t="str">
            <v>坦克伤害</v>
          </cell>
          <cell r="BN3" t="str">
            <v>最大穿透</v>
          </cell>
          <cell r="BO3" t="str">
            <v>最小穿透</v>
          </cell>
          <cell r="BP3" t="str">
            <v>坦克装甲</v>
          </cell>
          <cell r="BQ3" t="str">
            <v>撞击伤害</v>
          </cell>
          <cell r="BS3" t="str">
            <v>坦克状态</v>
          </cell>
          <cell r="BT3" t="str">
            <v>血量</v>
          </cell>
          <cell r="BU3" t="str">
            <v>坦克伤害</v>
          </cell>
          <cell r="BV3" t="str">
            <v>最大穿透</v>
          </cell>
          <cell r="BW3" t="str">
            <v>最小穿透</v>
          </cell>
          <cell r="BX3" t="str">
            <v>坦克装甲</v>
          </cell>
          <cell r="BY3" t="str">
            <v>撞击伤害</v>
          </cell>
          <cell r="CA3" t="str">
            <v>坦克状态</v>
          </cell>
          <cell r="CB3" t="str">
            <v>血量</v>
          </cell>
          <cell r="CC3" t="str">
            <v>坦克伤害</v>
          </cell>
          <cell r="CD3" t="str">
            <v>最大穿透</v>
          </cell>
          <cell r="CE3" t="str">
            <v>最小穿透</v>
          </cell>
          <cell r="CF3" t="str">
            <v>坦克装甲</v>
          </cell>
          <cell r="CG3" t="str">
            <v>撞击伤害</v>
          </cell>
        </row>
        <row r="4">
          <cell r="AE4" t="str">
            <v>T1低1</v>
          </cell>
          <cell r="AF4">
            <v>600</v>
          </cell>
          <cell r="AG4">
            <v>80</v>
          </cell>
          <cell r="AH4">
            <v>300</v>
          </cell>
          <cell r="AI4">
            <v>210</v>
          </cell>
          <cell r="AJ4">
            <v>300</v>
          </cell>
          <cell r="AK4">
            <v>80</v>
          </cell>
          <cell r="AM4" t="str">
            <v>T1低1</v>
          </cell>
          <cell r="AN4">
            <v>600</v>
          </cell>
          <cell r="AO4">
            <v>42</v>
          </cell>
          <cell r="AP4">
            <v>329</v>
          </cell>
          <cell r="AQ4">
            <v>230</v>
          </cell>
          <cell r="AR4">
            <v>300</v>
          </cell>
          <cell r="AS4">
            <v>80</v>
          </cell>
          <cell r="AU4" t="str">
            <v>T1低1</v>
          </cell>
          <cell r="AV4">
            <v>600</v>
          </cell>
          <cell r="AW4">
            <v>161</v>
          </cell>
          <cell r="AX4">
            <v>357</v>
          </cell>
          <cell r="AY4">
            <v>250</v>
          </cell>
          <cell r="AZ4">
            <v>300</v>
          </cell>
          <cell r="BA4">
            <v>80</v>
          </cell>
          <cell r="BC4" t="str">
            <v>T1低1</v>
          </cell>
          <cell r="BD4">
            <v>648</v>
          </cell>
          <cell r="BE4">
            <v>74</v>
          </cell>
          <cell r="BF4">
            <v>286</v>
          </cell>
          <cell r="BG4">
            <v>214</v>
          </cell>
          <cell r="BH4">
            <v>360</v>
          </cell>
          <cell r="BI4">
            <v>86</v>
          </cell>
          <cell r="BK4" t="str">
            <v>T1低1</v>
          </cell>
          <cell r="BL4">
            <v>648</v>
          </cell>
          <cell r="BM4">
            <v>89</v>
          </cell>
          <cell r="BN4">
            <v>329</v>
          </cell>
          <cell r="BO4">
            <v>246</v>
          </cell>
          <cell r="BP4">
            <v>360</v>
          </cell>
          <cell r="BQ4">
            <v>86</v>
          </cell>
          <cell r="BS4" t="str">
            <v>T1低1</v>
          </cell>
          <cell r="BT4">
            <v>734</v>
          </cell>
          <cell r="BU4">
            <v>268</v>
          </cell>
          <cell r="BV4">
            <v>286</v>
          </cell>
          <cell r="BW4">
            <v>229</v>
          </cell>
          <cell r="BX4">
            <v>420</v>
          </cell>
          <cell r="BY4">
            <v>98</v>
          </cell>
          <cell r="CA4" t="str">
            <v>T1低1</v>
          </cell>
          <cell r="CB4">
            <v>734</v>
          </cell>
          <cell r="CC4">
            <v>354</v>
          </cell>
          <cell r="CD4">
            <v>314</v>
          </cell>
          <cell r="CE4">
            <v>251</v>
          </cell>
          <cell r="CF4">
            <v>420</v>
          </cell>
          <cell r="CG4">
            <v>98</v>
          </cell>
        </row>
        <row r="5">
          <cell r="AE5" t="str">
            <v>T2低2</v>
          </cell>
          <cell r="AF5">
            <v>944</v>
          </cell>
          <cell r="AG5">
            <v>96</v>
          </cell>
          <cell r="AH5">
            <v>360</v>
          </cell>
          <cell r="AI5">
            <v>252</v>
          </cell>
          <cell r="AJ5">
            <v>360</v>
          </cell>
          <cell r="AK5">
            <v>96</v>
          </cell>
          <cell r="AM5" t="str">
            <v>T2低2</v>
          </cell>
          <cell r="AN5">
            <v>944</v>
          </cell>
          <cell r="AO5">
            <v>51</v>
          </cell>
          <cell r="AP5">
            <v>394</v>
          </cell>
          <cell r="AQ5">
            <v>276</v>
          </cell>
          <cell r="AR5">
            <v>360</v>
          </cell>
          <cell r="AS5">
            <v>96</v>
          </cell>
          <cell r="AU5" t="str">
            <v>T2低2</v>
          </cell>
          <cell r="AV5">
            <v>944</v>
          </cell>
          <cell r="AW5">
            <v>193</v>
          </cell>
          <cell r="AX5">
            <v>429</v>
          </cell>
          <cell r="AY5">
            <v>300</v>
          </cell>
          <cell r="AZ5">
            <v>360</v>
          </cell>
          <cell r="BA5">
            <v>96</v>
          </cell>
          <cell r="BC5" t="str">
            <v>T2低2</v>
          </cell>
          <cell r="BD5">
            <v>1019</v>
          </cell>
          <cell r="BE5">
            <v>89</v>
          </cell>
          <cell r="BF5">
            <v>343</v>
          </cell>
          <cell r="BG5">
            <v>257</v>
          </cell>
          <cell r="BH5">
            <v>432</v>
          </cell>
          <cell r="BI5">
            <v>104</v>
          </cell>
          <cell r="BK5" t="str">
            <v>T2低2</v>
          </cell>
          <cell r="BL5">
            <v>1019</v>
          </cell>
          <cell r="BM5">
            <v>107</v>
          </cell>
          <cell r="BN5">
            <v>394</v>
          </cell>
          <cell r="BO5">
            <v>296</v>
          </cell>
          <cell r="BP5">
            <v>432</v>
          </cell>
          <cell r="BQ5">
            <v>104</v>
          </cell>
          <cell r="BS5" t="str">
            <v>T2低2</v>
          </cell>
          <cell r="BT5">
            <v>1155</v>
          </cell>
          <cell r="BU5">
            <v>322</v>
          </cell>
          <cell r="BV5">
            <v>343</v>
          </cell>
          <cell r="BW5">
            <v>274</v>
          </cell>
          <cell r="BX5">
            <v>504</v>
          </cell>
          <cell r="BY5">
            <v>117</v>
          </cell>
          <cell r="CA5" t="str">
            <v>T2低2</v>
          </cell>
          <cell r="CB5">
            <v>1155</v>
          </cell>
          <cell r="CC5">
            <v>425</v>
          </cell>
          <cell r="CD5">
            <v>377</v>
          </cell>
          <cell r="CE5">
            <v>302</v>
          </cell>
          <cell r="CF5">
            <v>504</v>
          </cell>
          <cell r="CG5">
            <v>117</v>
          </cell>
        </row>
        <row r="6">
          <cell r="AE6" t="str">
            <v>T2中2</v>
          </cell>
          <cell r="AF6">
            <v>976</v>
          </cell>
          <cell r="AG6">
            <v>97</v>
          </cell>
          <cell r="AH6">
            <v>366</v>
          </cell>
          <cell r="AI6">
            <v>256</v>
          </cell>
          <cell r="AJ6">
            <v>366</v>
          </cell>
          <cell r="AK6">
            <v>98</v>
          </cell>
          <cell r="AM6" t="str">
            <v>T2中2</v>
          </cell>
          <cell r="AN6">
            <v>976</v>
          </cell>
          <cell r="AO6">
            <v>52</v>
          </cell>
          <cell r="AP6">
            <v>401</v>
          </cell>
          <cell r="AQ6">
            <v>281</v>
          </cell>
          <cell r="AR6">
            <v>366</v>
          </cell>
          <cell r="AS6">
            <v>98</v>
          </cell>
          <cell r="AU6" t="str">
            <v>T2中2</v>
          </cell>
          <cell r="AV6">
            <v>976</v>
          </cell>
          <cell r="AW6">
            <v>196</v>
          </cell>
          <cell r="AX6">
            <v>436</v>
          </cell>
          <cell r="AY6">
            <v>305</v>
          </cell>
          <cell r="AZ6">
            <v>366</v>
          </cell>
          <cell r="BA6">
            <v>98</v>
          </cell>
          <cell r="BC6" t="str">
            <v>T2中2</v>
          </cell>
          <cell r="BD6">
            <v>1053</v>
          </cell>
          <cell r="BE6">
            <v>91</v>
          </cell>
          <cell r="BF6">
            <v>349</v>
          </cell>
          <cell r="BG6">
            <v>261</v>
          </cell>
          <cell r="BH6">
            <v>439</v>
          </cell>
          <cell r="BI6">
            <v>105</v>
          </cell>
          <cell r="BK6" t="str">
            <v>T2中2</v>
          </cell>
          <cell r="BL6">
            <v>1053</v>
          </cell>
          <cell r="BM6">
            <v>109</v>
          </cell>
          <cell r="BN6">
            <v>401</v>
          </cell>
          <cell r="BO6">
            <v>301</v>
          </cell>
          <cell r="BP6">
            <v>439</v>
          </cell>
          <cell r="BQ6">
            <v>105</v>
          </cell>
          <cell r="BS6" t="str">
            <v>T2中2</v>
          </cell>
          <cell r="BT6">
            <v>1194</v>
          </cell>
          <cell r="BU6">
            <v>327</v>
          </cell>
          <cell r="BV6">
            <v>349</v>
          </cell>
          <cell r="BW6">
            <v>279</v>
          </cell>
          <cell r="BX6">
            <v>512</v>
          </cell>
          <cell r="BY6">
            <v>119</v>
          </cell>
          <cell r="CA6" t="str">
            <v>T2中2</v>
          </cell>
          <cell r="CB6">
            <v>1194</v>
          </cell>
          <cell r="CC6">
            <v>432</v>
          </cell>
          <cell r="CD6">
            <v>383</v>
          </cell>
          <cell r="CE6">
            <v>307</v>
          </cell>
          <cell r="CF6">
            <v>512</v>
          </cell>
          <cell r="CG6">
            <v>119</v>
          </cell>
        </row>
        <row r="7">
          <cell r="AE7" t="str">
            <v>T1低3</v>
          </cell>
          <cell r="AF7">
            <v>1040</v>
          </cell>
          <cell r="AG7">
            <v>104</v>
          </cell>
          <cell r="AH7">
            <v>390</v>
          </cell>
          <cell r="AI7">
            <v>273</v>
          </cell>
          <cell r="AJ7">
            <v>390</v>
          </cell>
          <cell r="AK7">
            <v>104</v>
          </cell>
          <cell r="AM7" t="str">
            <v>T1低3</v>
          </cell>
          <cell r="AN7">
            <v>1040</v>
          </cell>
          <cell r="AO7">
            <v>55</v>
          </cell>
          <cell r="AP7">
            <v>427</v>
          </cell>
          <cell r="AQ7">
            <v>299</v>
          </cell>
          <cell r="AR7">
            <v>390</v>
          </cell>
          <cell r="AS7">
            <v>104</v>
          </cell>
          <cell r="AU7" t="str">
            <v>T1低3</v>
          </cell>
          <cell r="AV7">
            <v>1040</v>
          </cell>
          <cell r="AW7">
            <v>209</v>
          </cell>
          <cell r="AX7">
            <v>464</v>
          </cell>
          <cell r="AY7">
            <v>325</v>
          </cell>
          <cell r="AZ7">
            <v>390</v>
          </cell>
          <cell r="BA7">
            <v>104</v>
          </cell>
          <cell r="BC7" t="str">
            <v>T1低3</v>
          </cell>
          <cell r="BD7">
            <v>1123</v>
          </cell>
          <cell r="BE7">
            <v>97</v>
          </cell>
          <cell r="BF7">
            <v>371</v>
          </cell>
          <cell r="BG7">
            <v>279</v>
          </cell>
          <cell r="BH7">
            <v>468</v>
          </cell>
          <cell r="BI7">
            <v>112</v>
          </cell>
          <cell r="BK7" t="str">
            <v>T1低3</v>
          </cell>
          <cell r="BL7">
            <v>1123</v>
          </cell>
          <cell r="BM7">
            <v>116</v>
          </cell>
          <cell r="BN7">
            <v>427</v>
          </cell>
          <cell r="BO7">
            <v>320</v>
          </cell>
          <cell r="BP7">
            <v>468</v>
          </cell>
          <cell r="BQ7">
            <v>112</v>
          </cell>
          <cell r="BS7" t="str">
            <v>T1低3</v>
          </cell>
          <cell r="BT7">
            <v>1272</v>
          </cell>
          <cell r="BU7">
            <v>348</v>
          </cell>
          <cell r="BV7">
            <v>371</v>
          </cell>
          <cell r="BW7">
            <v>297</v>
          </cell>
          <cell r="BX7">
            <v>546</v>
          </cell>
          <cell r="BY7">
            <v>127</v>
          </cell>
          <cell r="CA7" t="str">
            <v>T1低3</v>
          </cell>
          <cell r="CB7">
            <v>1272</v>
          </cell>
          <cell r="CC7">
            <v>461</v>
          </cell>
          <cell r="CD7">
            <v>409</v>
          </cell>
          <cell r="CE7">
            <v>327</v>
          </cell>
          <cell r="CF7">
            <v>546</v>
          </cell>
          <cell r="CG7">
            <v>127</v>
          </cell>
        </row>
        <row r="8">
          <cell r="AE8" t="str">
            <v>T3低3</v>
          </cell>
          <cell r="AF8">
            <v>1184</v>
          </cell>
          <cell r="AG8">
            <v>118</v>
          </cell>
          <cell r="AH8">
            <v>444</v>
          </cell>
          <cell r="AI8">
            <v>311</v>
          </cell>
          <cell r="AJ8">
            <v>444</v>
          </cell>
          <cell r="AK8">
            <v>118</v>
          </cell>
          <cell r="AM8" t="str">
            <v>T3低3</v>
          </cell>
          <cell r="AN8">
            <v>1184</v>
          </cell>
          <cell r="AO8">
            <v>63</v>
          </cell>
          <cell r="AP8">
            <v>486</v>
          </cell>
          <cell r="AQ8">
            <v>340</v>
          </cell>
          <cell r="AR8">
            <v>444</v>
          </cell>
          <cell r="AS8">
            <v>118</v>
          </cell>
          <cell r="AU8" t="str">
            <v>T3低3</v>
          </cell>
          <cell r="AV8">
            <v>1184</v>
          </cell>
          <cell r="AW8">
            <v>238</v>
          </cell>
          <cell r="AX8">
            <v>529</v>
          </cell>
          <cell r="AY8">
            <v>370</v>
          </cell>
          <cell r="AZ8">
            <v>444</v>
          </cell>
          <cell r="BA8">
            <v>118</v>
          </cell>
          <cell r="BC8" t="str">
            <v>T3低3</v>
          </cell>
          <cell r="BD8">
            <v>1278</v>
          </cell>
          <cell r="BE8">
            <v>110</v>
          </cell>
          <cell r="BF8">
            <v>423</v>
          </cell>
          <cell r="BG8">
            <v>317</v>
          </cell>
          <cell r="BH8">
            <v>533</v>
          </cell>
          <cell r="BI8">
            <v>128</v>
          </cell>
          <cell r="BK8" t="str">
            <v>T3低3</v>
          </cell>
          <cell r="BL8">
            <v>1278</v>
          </cell>
          <cell r="BM8">
            <v>132</v>
          </cell>
          <cell r="BN8">
            <v>486</v>
          </cell>
          <cell r="BO8">
            <v>365</v>
          </cell>
          <cell r="BP8">
            <v>533</v>
          </cell>
          <cell r="BQ8">
            <v>128</v>
          </cell>
          <cell r="BS8" t="str">
            <v>T3低3</v>
          </cell>
          <cell r="BT8">
            <v>1448</v>
          </cell>
          <cell r="BU8">
            <v>397</v>
          </cell>
          <cell r="BV8">
            <v>423</v>
          </cell>
          <cell r="BW8">
            <v>338</v>
          </cell>
          <cell r="BX8">
            <v>622</v>
          </cell>
          <cell r="BY8">
            <v>145</v>
          </cell>
          <cell r="CA8" t="str">
            <v>T3低3</v>
          </cell>
          <cell r="CB8">
            <v>1448</v>
          </cell>
          <cell r="CC8">
            <v>524</v>
          </cell>
          <cell r="CD8">
            <v>465</v>
          </cell>
          <cell r="CE8">
            <v>372</v>
          </cell>
          <cell r="CF8">
            <v>622</v>
          </cell>
          <cell r="CG8">
            <v>145</v>
          </cell>
        </row>
        <row r="9">
          <cell r="AE9" t="str">
            <v>T3中3</v>
          </cell>
          <cell r="AF9">
            <v>1232</v>
          </cell>
          <cell r="AG9">
            <v>123</v>
          </cell>
          <cell r="AH9">
            <v>462</v>
          </cell>
          <cell r="AI9">
            <v>323</v>
          </cell>
          <cell r="AJ9">
            <v>462</v>
          </cell>
          <cell r="AK9">
            <v>123</v>
          </cell>
          <cell r="AM9" t="str">
            <v>T3中3</v>
          </cell>
          <cell r="AN9">
            <v>1232</v>
          </cell>
          <cell r="AO9">
            <v>65</v>
          </cell>
          <cell r="AP9">
            <v>506</v>
          </cell>
          <cell r="AQ9">
            <v>354</v>
          </cell>
          <cell r="AR9">
            <v>462</v>
          </cell>
          <cell r="AS9">
            <v>123</v>
          </cell>
          <cell r="AU9" t="str">
            <v>T3中3</v>
          </cell>
          <cell r="AV9">
            <v>1232</v>
          </cell>
          <cell r="AW9">
            <v>248</v>
          </cell>
          <cell r="AX9">
            <v>550</v>
          </cell>
          <cell r="AY9">
            <v>385</v>
          </cell>
          <cell r="AZ9">
            <v>462</v>
          </cell>
          <cell r="BA9">
            <v>123</v>
          </cell>
          <cell r="BC9" t="str">
            <v>T3中3</v>
          </cell>
          <cell r="BD9">
            <v>1330</v>
          </cell>
          <cell r="BE9">
            <v>114</v>
          </cell>
          <cell r="BF9">
            <v>440</v>
          </cell>
          <cell r="BG9">
            <v>330</v>
          </cell>
          <cell r="BH9">
            <v>554</v>
          </cell>
          <cell r="BI9">
            <v>133</v>
          </cell>
          <cell r="BK9" t="str">
            <v>T3中3</v>
          </cell>
          <cell r="BL9">
            <v>1330</v>
          </cell>
          <cell r="BM9">
            <v>137</v>
          </cell>
          <cell r="BN9">
            <v>506</v>
          </cell>
          <cell r="BO9">
            <v>380</v>
          </cell>
          <cell r="BP9">
            <v>554</v>
          </cell>
          <cell r="BQ9">
            <v>133</v>
          </cell>
          <cell r="BS9" t="str">
            <v>T3中3</v>
          </cell>
          <cell r="BT9">
            <v>1507</v>
          </cell>
          <cell r="BU9">
            <v>413</v>
          </cell>
          <cell r="BV9">
            <v>440</v>
          </cell>
          <cell r="BW9">
            <v>352</v>
          </cell>
          <cell r="BX9">
            <v>647</v>
          </cell>
          <cell r="BY9">
            <v>151</v>
          </cell>
          <cell r="CA9" t="str">
            <v>T3中3</v>
          </cell>
          <cell r="CB9">
            <v>1507</v>
          </cell>
          <cell r="CC9">
            <v>546</v>
          </cell>
          <cell r="CD9">
            <v>484</v>
          </cell>
          <cell r="CE9">
            <v>387</v>
          </cell>
          <cell r="CF9">
            <v>647</v>
          </cell>
          <cell r="CG9">
            <v>151</v>
          </cell>
        </row>
        <row r="10">
          <cell r="AE10" t="str">
            <v>T3高3</v>
          </cell>
          <cell r="AF10">
            <v>1232</v>
          </cell>
          <cell r="AG10">
            <v>123</v>
          </cell>
          <cell r="AH10">
            <v>462</v>
          </cell>
          <cell r="AI10">
            <v>323</v>
          </cell>
          <cell r="AJ10">
            <v>462</v>
          </cell>
          <cell r="AK10">
            <v>123</v>
          </cell>
          <cell r="AM10" t="str">
            <v>T3高3</v>
          </cell>
          <cell r="AN10">
            <v>1232</v>
          </cell>
          <cell r="AO10">
            <v>65</v>
          </cell>
          <cell r="AP10">
            <v>506</v>
          </cell>
          <cell r="AQ10">
            <v>354</v>
          </cell>
          <cell r="AR10">
            <v>462</v>
          </cell>
          <cell r="AS10">
            <v>123</v>
          </cell>
          <cell r="AU10" t="str">
            <v>T3高3</v>
          </cell>
          <cell r="AV10">
            <v>1232</v>
          </cell>
          <cell r="AW10">
            <v>248</v>
          </cell>
          <cell r="AX10">
            <v>550</v>
          </cell>
          <cell r="AY10">
            <v>385</v>
          </cell>
          <cell r="AZ10">
            <v>462</v>
          </cell>
          <cell r="BA10">
            <v>123</v>
          </cell>
          <cell r="BC10" t="str">
            <v>T3高3</v>
          </cell>
          <cell r="BD10">
            <v>1330</v>
          </cell>
          <cell r="BE10">
            <v>114</v>
          </cell>
          <cell r="BF10">
            <v>440</v>
          </cell>
          <cell r="BG10">
            <v>330</v>
          </cell>
          <cell r="BH10">
            <v>554</v>
          </cell>
          <cell r="BI10">
            <v>133</v>
          </cell>
          <cell r="BK10" t="str">
            <v>T3高3</v>
          </cell>
          <cell r="BL10">
            <v>1330</v>
          </cell>
          <cell r="BM10">
            <v>137</v>
          </cell>
          <cell r="BN10">
            <v>506</v>
          </cell>
          <cell r="BO10">
            <v>380</v>
          </cell>
          <cell r="BP10">
            <v>554</v>
          </cell>
          <cell r="BQ10">
            <v>133</v>
          </cell>
          <cell r="BS10" t="str">
            <v>T3高3</v>
          </cell>
          <cell r="BT10">
            <v>1507</v>
          </cell>
          <cell r="BU10">
            <v>413</v>
          </cell>
          <cell r="BV10">
            <v>440</v>
          </cell>
          <cell r="BW10">
            <v>352</v>
          </cell>
          <cell r="BX10">
            <v>647</v>
          </cell>
          <cell r="BY10">
            <v>151</v>
          </cell>
          <cell r="CA10" t="str">
            <v>T3高3</v>
          </cell>
          <cell r="CB10">
            <v>1507</v>
          </cell>
          <cell r="CC10">
            <v>546</v>
          </cell>
          <cell r="CD10">
            <v>484</v>
          </cell>
          <cell r="CE10">
            <v>387</v>
          </cell>
          <cell r="CF10">
            <v>647</v>
          </cell>
          <cell r="CG10">
            <v>151</v>
          </cell>
        </row>
        <row r="11">
          <cell r="AE11" t="str">
            <v>T2低4</v>
          </cell>
          <cell r="AF11">
            <v>1312</v>
          </cell>
          <cell r="AG11">
            <v>136</v>
          </cell>
          <cell r="AH11">
            <v>510</v>
          </cell>
          <cell r="AI11">
            <v>357</v>
          </cell>
          <cell r="AJ11">
            <v>510</v>
          </cell>
          <cell r="AK11">
            <v>136</v>
          </cell>
          <cell r="AM11" t="str">
            <v>T2低4</v>
          </cell>
          <cell r="AN11">
            <v>1312</v>
          </cell>
          <cell r="AO11">
            <v>72</v>
          </cell>
          <cell r="AP11">
            <v>559</v>
          </cell>
          <cell r="AQ11">
            <v>391</v>
          </cell>
          <cell r="AR11">
            <v>510</v>
          </cell>
          <cell r="AS11">
            <v>136</v>
          </cell>
          <cell r="AU11" t="str">
            <v>T2低4</v>
          </cell>
          <cell r="AV11">
            <v>1312</v>
          </cell>
          <cell r="AW11">
            <v>274</v>
          </cell>
          <cell r="AX11">
            <v>607</v>
          </cell>
          <cell r="AY11">
            <v>425</v>
          </cell>
          <cell r="AZ11">
            <v>510</v>
          </cell>
          <cell r="BA11">
            <v>136</v>
          </cell>
          <cell r="BC11" t="str">
            <v>T2低4</v>
          </cell>
          <cell r="BD11">
            <v>1416</v>
          </cell>
          <cell r="BE11">
            <v>126</v>
          </cell>
          <cell r="BF11">
            <v>486</v>
          </cell>
          <cell r="BG11">
            <v>364</v>
          </cell>
          <cell r="BH11">
            <v>612</v>
          </cell>
          <cell r="BI11">
            <v>147</v>
          </cell>
          <cell r="BK11" t="str">
            <v>T2低4</v>
          </cell>
          <cell r="BL11">
            <v>1416</v>
          </cell>
          <cell r="BM11">
            <v>151</v>
          </cell>
          <cell r="BN11">
            <v>559</v>
          </cell>
          <cell r="BO11">
            <v>419</v>
          </cell>
          <cell r="BP11">
            <v>612</v>
          </cell>
          <cell r="BQ11">
            <v>147</v>
          </cell>
          <cell r="BS11" t="str">
            <v>T2低4</v>
          </cell>
          <cell r="BT11">
            <v>1605</v>
          </cell>
          <cell r="BU11">
            <v>456</v>
          </cell>
          <cell r="BV11">
            <v>486</v>
          </cell>
          <cell r="BW11">
            <v>389</v>
          </cell>
          <cell r="BX11">
            <v>714</v>
          </cell>
          <cell r="BY11">
            <v>166</v>
          </cell>
          <cell r="CA11" t="str">
            <v>T2低4</v>
          </cell>
          <cell r="CB11">
            <v>1605</v>
          </cell>
          <cell r="CC11">
            <v>602</v>
          </cell>
          <cell r="CD11">
            <v>534</v>
          </cell>
          <cell r="CE11">
            <v>427</v>
          </cell>
          <cell r="CF11">
            <v>714</v>
          </cell>
          <cell r="CG11">
            <v>166</v>
          </cell>
        </row>
        <row r="12">
          <cell r="AE12" t="str">
            <v>T4低4</v>
          </cell>
          <cell r="AF12">
            <v>1536</v>
          </cell>
          <cell r="AG12">
            <v>153</v>
          </cell>
          <cell r="AH12">
            <v>576</v>
          </cell>
          <cell r="AI12">
            <v>403</v>
          </cell>
          <cell r="AJ12">
            <v>576</v>
          </cell>
          <cell r="AK12">
            <v>154</v>
          </cell>
          <cell r="AM12" t="str">
            <v>T4低4</v>
          </cell>
          <cell r="AN12">
            <v>1536</v>
          </cell>
          <cell r="AO12">
            <v>82</v>
          </cell>
          <cell r="AP12">
            <v>631</v>
          </cell>
          <cell r="AQ12">
            <v>442</v>
          </cell>
          <cell r="AR12">
            <v>576</v>
          </cell>
          <cell r="AS12">
            <v>154</v>
          </cell>
          <cell r="AU12" t="str">
            <v>T4低4</v>
          </cell>
          <cell r="AV12">
            <v>1536</v>
          </cell>
          <cell r="AW12">
            <v>309</v>
          </cell>
          <cell r="AX12">
            <v>686</v>
          </cell>
          <cell r="AY12">
            <v>480</v>
          </cell>
          <cell r="AZ12">
            <v>576</v>
          </cell>
          <cell r="BA12">
            <v>154</v>
          </cell>
          <cell r="BC12" t="str">
            <v>T4低4</v>
          </cell>
          <cell r="BD12">
            <v>1658</v>
          </cell>
          <cell r="BE12">
            <v>143</v>
          </cell>
          <cell r="BF12">
            <v>549</v>
          </cell>
          <cell r="BG12">
            <v>411</v>
          </cell>
          <cell r="BH12">
            <v>691</v>
          </cell>
          <cell r="BI12">
            <v>166</v>
          </cell>
          <cell r="BK12" t="str">
            <v>T4低4</v>
          </cell>
          <cell r="BL12">
            <v>1658</v>
          </cell>
          <cell r="BM12">
            <v>171</v>
          </cell>
          <cell r="BN12">
            <v>631</v>
          </cell>
          <cell r="BO12">
            <v>473</v>
          </cell>
          <cell r="BP12">
            <v>691</v>
          </cell>
          <cell r="BQ12">
            <v>166</v>
          </cell>
          <cell r="BS12" t="str">
            <v>T4低4</v>
          </cell>
          <cell r="BT12">
            <v>1879</v>
          </cell>
          <cell r="BU12">
            <v>515</v>
          </cell>
          <cell r="BV12">
            <v>549</v>
          </cell>
          <cell r="BW12">
            <v>439</v>
          </cell>
          <cell r="BX12">
            <v>806</v>
          </cell>
          <cell r="BY12">
            <v>188</v>
          </cell>
          <cell r="CA12" t="str">
            <v>T4低4</v>
          </cell>
          <cell r="CB12">
            <v>1879</v>
          </cell>
          <cell r="CC12">
            <v>680</v>
          </cell>
          <cell r="CD12">
            <v>603</v>
          </cell>
          <cell r="CE12">
            <v>483</v>
          </cell>
          <cell r="CF12">
            <v>806</v>
          </cell>
          <cell r="CG12">
            <v>188</v>
          </cell>
        </row>
        <row r="13">
          <cell r="AE13" t="str">
            <v>T4中4</v>
          </cell>
          <cell r="AF13">
            <v>1600</v>
          </cell>
          <cell r="AG13">
            <v>159</v>
          </cell>
          <cell r="AH13">
            <v>600</v>
          </cell>
          <cell r="AI13">
            <v>420</v>
          </cell>
          <cell r="AJ13">
            <v>600</v>
          </cell>
          <cell r="AK13">
            <v>160</v>
          </cell>
          <cell r="AM13" t="str">
            <v>T4中4</v>
          </cell>
          <cell r="AN13">
            <v>1600</v>
          </cell>
          <cell r="AO13">
            <v>85</v>
          </cell>
          <cell r="AP13">
            <v>657</v>
          </cell>
          <cell r="AQ13">
            <v>460</v>
          </cell>
          <cell r="AR13">
            <v>600</v>
          </cell>
          <cell r="AS13">
            <v>160</v>
          </cell>
          <cell r="AU13" t="str">
            <v>T4中4</v>
          </cell>
          <cell r="AV13">
            <v>1600</v>
          </cell>
          <cell r="AW13">
            <v>322</v>
          </cell>
          <cell r="AX13">
            <v>714</v>
          </cell>
          <cell r="AY13">
            <v>500</v>
          </cell>
          <cell r="AZ13">
            <v>600</v>
          </cell>
          <cell r="BA13">
            <v>160</v>
          </cell>
          <cell r="BC13" t="str">
            <v>T4中4</v>
          </cell>
          <cell r="BD13">
            <v>1727</v>
          </cell>
          <cell r="BE13">
            <v>148</v>
          </cell>
          <cell r="BF13">
            <v>571</v>
          </cell>
          <cell r="BG13">
            <v>429</v>
          </cell>
          <cell r="BH13">
            <v>720</v>
          </cell>
          <cell r="BI13">
            <v>173</v>
          </cell>
          <cell r="BK13" t="str">
            <v>T4中4</v>
          </cell>
          <cell r="BL13">
            <v>1727</v>
          </cell>
          <cell r="BM13">
            <v>178</v>
          </cell>
          <cell r="BN13">
            <v>657</v>
          </cell>
          <cell r="BO13">
            <v>493</v>
          </cell>
          <cell r="BP13">
            <v>720</v>
          </cell>
          <cell r="BQ13">
            <v>173</v>
          </cell>
          <cell r="BS13" t="str">
            <v>T4中4</v>
          </cell>
          <cell r="BT13">
            <v>1957</v>
          </cell>
          <cell r="BU13">
            <v>536</v>
          </cell>
          <cell r="BV13">
            <v>571</v>
          </cell>
          <cell r="BW13">
            <v>457</v>
          </cell>
          <cell r="BX13">
            <v>840</v>
          </cell>
          <cell r="BY13">
            <v>196</v>
          </cell>
          <cell r="CA13" t="str">
            <v>T4中4</v>
          </cell>
          <cell r="CB13">
            <v>1957</v>
          </cell>
          <cell r="CC13">
            <v>709</v>
          </cell>
          <cell r="CD13">
            <v>629</v>
          </cell>
          <cell r="CE13">
            <v>503</v>
          </cell>
          <cell r="CF13">
            <v>840</v>
          </cell>
          <cell r="CG13">
            <v>196</v>
          </cell>
        </row>
        <row r="14">
          <cell r="AE14" t="str">
            <v>T4高4</v>
          </cell>
          <cell r="AF14">
            <v>1600</v>
          </cell>
          <cell r="AG14">
            <v>159</v>
          </cell>
          <cell r="AH14">
            <v>600</v>
          </cell>
          <cell r="AI14">
            <v>420</v>
          </cell>
          <cell r="AJ14">
            <v>600</v>
          </cell>
          <cell r="AK14">
            <v>160</v>
          </cell>
          <cell r="AM14" t="str">
            <v>T4高4</v>
          </cell>
          <cell r="AN14">
            <v>1600</v>
          </cell>
          <cell r="AO14">
            <v>85</v>
          </cell>
          <cell r="AP14">
            <v>657</v>
          </cell>
          <cell r="AQ14">
            <v>460</v>
          </cell>
          <cell r="AR14">
            <v>600</v>
          </cell>
          <cell r="AS14">
            <v>160</v>
          </cell>
          <cell r="AU14" t="str">
            <v>T4高4</v>
          </cell>
          <cell r="AV14">
            <v>1600</v>
          </cell>
          <cell r="AW14">
            <v>322</v>
          </cell>
          <cell r="AX14">
            <v>714</v>
          </cell>
          <cell r="AY14">
            <v>500</v>
          </cell>
          <cell r="AZ14">
            <v>600</v>
          </cell>
          <cell r="BA14">
            <v>160</v>
          </cell>
          <cell r="BC14" t="str">
            <v>T4高4</v>
          </cell>
          <cell r="BD14">
            <v>1727</v>
          </cell>
          <cell r="BE14">
            <v>148</v>
          </cell>
          <cell r="BF14">
            <v>571</v>
          </cell>
          <cell r="BG14">
            <v>429</v>
          </cell>
          <cell r="BH14">
            <v>720</v>
          </cell>
          <cell r="BI14">
            <v>173</v>
          </cell>
          <cell r="BK14" t="str">
            <v>T4高4</v>
          </cell>
          <cell r="BL14">
            <v>1727</v>
          </cell>
          <cell r="BM14">
            <v>178</v>
          </cell>
          <cell r="BN14">
            <v>657</v>
          </cell>
          <cell r="BO14">
            <v>493</v>
          </cell>
          <cell r="BP14">
            <v>720</v>
          </cell>
          <cell r="BQ14">
            <v>173</v>
          </cell>
          <cell r="BS14" t="str">
            <v>T4高4</v>
          </cell>
          <cell r="BT14">
            <v>1957</v>
          </cell>
          <cell r="BU14">
            <v>536</v>
          </cell>
          <cell r="BV14">
            <v>571</v>
          </cell>
          <cell r="BW14">
            <v>457</v>
          </cell>
          <cell r="BX14">
            <v>840</v>
          </cell>
          <cell r="BY14">
            <v>196</v>
          </cell>
          <cell r="CA14" t="str">
            <v>T4高4</v>
          </cell>
          <cell r="CB14">
            <v>1957</v>
          </cell>
          <cell r="CC14">
            <v>709</v>
          </cell>
          <cell r="CD14">
            <v>629</v>
          </cell>
          <cell r="CE14">
            <v>503</v>
          </cell>
          <cell r="CF14">
            <v>840</v>
          </cell>
          <cell r="CG14">
            <v>196</v>
          </cell>
        </row>
        <row r="15">
          <cell r="AE15" t="str">
            <v>T3低5</v>
          </cell>
          <cell r="AF15">
            <v>1696</v>
          </cell>
          <cell r="AG15">
            <v>173</v>
          </cell>
          <cell r="AH15">
            <v>651</v>
          </cell>
          <cell r="AI15">
            <v>456</v>
          </cell>
          <cell r="AJ15">
            <v>651</v>
          </cell>
          <cell r="AK15">
            <v>174</v>
          </cell>
          <cell r="AM15" t="str">
            <v>T3低5</v>
          </cell>
          <cell r="AN15">
            <v>1696</v>
          </cell>
          <cell r="AO15">
            <v>92</v>
          </cell>
          <cell r="AP15">
            <v>713</v>
          </cell>
          <cell r="AQ15">
            <v>499</v>
          </cell>
          <cell r="AR15">
            <v>651</v>
          </cell>
          <cell r="AS15">
            <v>174</v>
          </cell>
          <cell r="AU15" t="str">
            <v>T3低5</v>
          </cell>
          <cell r="AV15">
            <v>1696</v>
          </cell>
          <cell r="AW15">
            <v>349</v>
          </cell>
          <cell r="AX15">
            <v>775</v>
          </cell>
          <cell r="AY15">
            <v>543</v>
          </cell>
          <cell r="AZ15">
            <v>651</v>
          </cell>
          <cell r="BA15">
            <v>174</v>
          </cell>
          <cell r="BC15" t="str">
            <v>T3低5</v>
          </cell>
          <cell r="BD15">
            <v>1831</v>
          </cell>
          <cell r="BE15">
            <v>161</v>
          </cell>
          <cell r="BF15">
            <v>620</v>
          </cell>
          <cell r="BG15">
            <v>465</v>
          </cell>
          <cell r="BH15">
            <v>781</v>
          </cell>
          <cell r="BI15">
            <v>187</v>
          </cell>
          <cell r="BK15" t="str">
            <v>T3低5</v>
          </cell>
          <cell r="BL15">
            <v>1831</v>
          </cell>
          <cell r="BM15">
            <v>193</v>
          </cell>
          <cell r="BN15">
            <v>713</v>
          </cell>
          <cell r="BO15">
            <v>535</v>
          </cell>
          <cell r="BP15">
            <v>781</v>
          </cell>
          <cell r="BQ15">
            <v>187</v>
          </cell>
          <cell r="BS15" t="str">
            <v>T3低5</v>
          </cell>
          <cell r="BT15">
            <v>2075</v>
          </cell>
          <cell r="BU15">
            <v>582</v>
          </cell>
          <cell r="BV15">
            <v>620</v>
          </cell>
          <cell r="BW15">
            <v>496</v>
          </cell>
          <cell r="BX15">
            <v>911</v>
          </cell>
          <cell r="BY15">
            <v>212</v>
          </cell>
          <cell r="CA15" t="str">
            <v>T3低5</v>
          </cell>
          <cell r="CB15">
            <v>2075</v>
          </cell>
          <cell r="CC15">
            <v>769</v>
          </cell>
          <cell r="CD15">
            <v>682</v>
          </cell>
          <cell r="CE15">
            <v>546</v>
          </cell>
          <cell r="CF15">
            <v>911</v>
          </cell>
          <cell r="CG15">
            <v>212</v>
          </cell>
        </row>
        <row r="16">
          <cell r="AE16" t="str">
            <v>T2中4</v>
          </cell>
          <cell r="AF16">
            <v>1408</v>
          </cell>
          <cell r="AG16">
            <v>140</v>
          </cell>
          <cell r="AH16">
            <v>528</v>
          </cell>
          <cell r="AI16">
            <v>370</v>
          </cell>
          <cell r="AJ16">
            <v>528</v>
          </cell>
          <cell r="AK16">
            <v>141</v>
          </cell>
          <cell r="AM16" t="str">
            <v>T2中4</v>
          </cell>
          <cell r="AN16">
            <v>1408</v>
          </cell>
          <cell r="AO16">
            <v>75</v>
          </cell>
          <cell r="AP16">
            <v>578</v>
          </cell>
          <cell r="AQ16">
            <v>405</v>
          </cell>
          <cell r="AR16">
            <v>528</v>
          </cell>
          <cell r="AS16">
            <v>141</v>
          </cell>
          <cell r="AU16" t="str">
            <v>T2中4</v>
          </cell>
          <cell r="AV16">
            <v>1408</v>
          </cell>
          <cell r="AW16">
            <v>283</v>
          </cell>
          <cell r="AX16">
            <v>629</v>
          </cell>
          <cell r="AY16">
            <v>440</v>
          </cell>
          <cell r="AZ16">
            <v>528</v>
          </cell>
          <cell r="BA16">
            <v>141</v>
          </cell>
          <cell r="BC16" t="str">
            <v>T2中4</v>
          </cell>
          <cell r="BD16">
            <v>1520</v>
          </cell>
          <cell r="BE16">
            <v>131</v>
          </cell>
          <cell r="BF16">
            <v>503</v>
          </cell>
          <cell r="BG16">
            <v>377</v>
          </cell>
          <cell r="BH16">
            <v>634</v>
          </cell>
          <cell r="BI16">
            <v>152</v>
          </cell>
          <cell r="BK16" t="str">
            <v>T2中4</v>
          </cell>
          <cell r="BL16">
            <v>1520</v>
          </cell>
          <cell r="BM16">
            <v>157</v>
          </cell>
          <cell r="BN16">
            <v>578</v>
          </cell>
          <cell r="BO16">
            <v>434</v>
          </cell>
          <cell r="BP16">
            <v>634</v>
          </cell>
          <cell r="BQ16">
            <v>152</v>
          </cell>
          <cell r="BS16" t="str">
            <v>T2中4</v>
          </cell>
          <cell r="BT16">
            <v>1722</v>
          </cell>
          <cell r="BU16">
            <v>472</v>
          </cell>
          <cell r="BV16">
            <v>503</v>
          </cell>
          <cell r="BW16">
            <v>402</v>
          </cell>
          <cell r="BX16">
            <v>739</v>
          </cell>
          <cell r="BY16">
            <v>172</v>
          </cell>
          <cell r="CA16" t="str">
            <v>T2中4</v>
          </cell>
          <cell r="CB16">
            <v>1722</v>
          </cell>
          <cell r="CC16">
            <v>624</v>
          </cell>
          <cell r="CD16">
            <v>553</v>
          </cell>
          <cell r="CE16">
            <v>443</v>
          </cell>
          <cell r="CF16">
            <v>739</v>
          </cell>
          <cell r="CG16">
            <v>172</v>
          </cell>
        </row>
        <row r="17">
          <cell r="AE17" t="str">
            <v>T5低5</v>
          </cell>
          <cell r="AF17">
            <v>2016</v>
          </cell>
          <cell r="AG17">
            <v>201</v>
          </cell>
          <cell r="AH17">
            <v>756</v>
          </cell>
          <cell r="AI17">
            <v>529</v>
          </cell>
          <cell r="AJ17">
            <v>756</v>
          </cell>
          <cell r="AK17">
            <v>202</v>
          </cell>
          <cell r="AM17" t="str">
            <v>T5低5</v>
          </cell>
          <cell r="AN17">
            <v>2016</v>
          </cell>
          <cell r="AO17">
            <v>107</v>
          </cell>
          <cell r="AP17">
            <v>828</v>
          </cell>
          <cell r="AQ17">
            <v>580</v>
          </cell>
          <cell r="AR17">
            <v>756</v>
          </cell>
          <cell r="AS17">
            <v>202</v>
          </cell>
          <cell r="AU17" t="str">
            <v>T5低5</v>
          </cell>
          <cell r="AV17">
            <v>2016</v>
          </cell>
          <cell r="AW17">
            <v>406</v>
          </cell>
          <cell r="AX17">
            <v>900</v>
          </cell>
          <cell r="AY17">
            <v>630</v>
          </cell>
          <cell r="AZ17">
            <v>756</v>
          </cell>
          <cell r="BA17">
            <v>202</v>
          </cell>
          <cell r="BC17" t="str">
            <v>T5低5</v>
          </cell>
          <cell r="BD17">
            <v>2176</v>
          </cell>
          <cell r="BE17">
            <v>187</v>
          </cell>
          <cell r="BF17">
            <v>720</v>
          </cell>
          <cell r="BG17">
            <v>540</v>
          </cell>
          <cell r="BH17">
            <v>907</v>
          </cell>
          <cell r="BI17">
            <v>218</v>
          </cell>
          <cell r="BK17" t="str">
            <v>T5低5</v>
          </cell>
          <cell r="BL17">
            <v>2176</v>
          </cell>
          <cell r="BM17">
            <v>224</v>
          </cell>
          <cell r="BN17">
            <v>828</v>
          </cell>
          <cell r="BO17">
            <v>621</v>
          </cell>
          <cell r="BP17">
            <v>907</v>
          </cell>
          <cell r="BQ17">
            <v>218</v>
          </cell>
          <cell r="BS17" t="str">
            <v>T5低5</v>
          </cell>
          <cell r="BT17">
            <v>2466</v>
          </cell>
          <cell r="BU17">
            <v>676</v>
          </cell>
          <cell r="BV17">
            <v>720</v>
          </cell>
          <cell r="BW17">
            <v>576</v>
          </cell>
          <cell r="BX17">
            <v>1058</v>
          </cell>
          <cell r="BY17">
            <v>247</v>
          </cell>
          <cell r="CA17" t="str">
            <v>T5低5</v>
          </cell>
          <cell r="CB17">
            <v>2466</v>
          </cell>
          <cell r="CC17">
            <v>893</v>
          </cell>
          <cell r="CD17">
            <v>792</v>
          </cell>
          <cell r="CE17">
            <v>634</v>
          </cell>
          <cell r="CF17">
            <v>1058</v>
          </cell>
          <cell r="CG17">
            <v>247</v>
          </cell>
        </row>
        <row r="18">
          <cell r="AE18" t="str">
            <v>T5中5</v>
          </cell>
          <cell r="AF18">
            <v>2096</v>
          </cell>
          <cell r="AG18">
            <v>209</v>
          </cell>
          <cell r="AH18">
            <v>786</v>
          </cell>
          <cell r="AI18">
            <v>550</v>
          </cell>
          <cell r="AJ18">
            <v>786</v>
          </cell>
          <cell r="AK18">
            <v>210</v>
          </cell>
          <cell r="AM18" t="str">
            <v>T5中5</v>
          </cell>
          <cell r="AN18">
            <v>2096</v>
          </cell>
          <cell r="AO18">
            <v>111</v>
          </cell>
          <cell r="AP18">
            <v>861</v>
          </cell>
          <cell r="AQ18">
            <v>603</v>
          </cell>
          <cell r="AR18">
            <v>786</v>
          </cell>
          <cell r="AS18">
            <v>210</v>
          </cell>
          <cell r="AU18" t="str">
            <v>T5中5</v>
          </cell>
          <cell r="AV18">
            <v>2096</v>
          </cell>
          <cell r="AW18">
            <v>422</v>
          </cell>
          <cell r="AX18">
            <v>936</v>
          </cell>
          <cell r="AY18">
            <v>655</v>
          </cell>
          <cell r="AZ18">
            <v>786</v>
          </cell>
          <cell r="BA18">
            <v>210</v>
          </cell>
          <cell r="BC18" t="str">
            <v>T5中5</v>
          </cell>
          <cell r="BD18">
            <v>2262</v>
          </cell>
          <cell r="BE18">
            <v>194</v>
          </cell>
          <cell r="BF18">
            <v>749</v>
          </cell>
          <cell r="BG18">
            <v>561</v>
          </cell>
          <cell r="BH18">
            <v>943</v>
          </cell>
          <cell r="BI18">
            <v>226</v>
          </cell>
          <cell r="BK18" t="str">
            <v>T5中5</v>
          </cell>
          <cell r="BL18">
            <v>2262</v>
          </cell>
          <cell r="BM18">
            <v>233</v>
          </cell>
          <cell r="BN18">
            <v>861</v>
          </cell>
          <cell r="BO18">
            <v>646</v>
          </cell>
          <cell r="BP18">
            <v>943</v>
          </cell>
          <cell r="BQ18">
            <v>226</v>
          </cell>
          <cell r="BS18" t="str">
            <v>T5中5</v>
          </cell>
          <cell r="BT18">
            <v>2564</v>
          </cell>
          <cell r="BU18">
            <v>702</v>
          </cell>
          <cell r="BV18">
            <v>749</v>
          </cell>
          <cell r="BW18">
            <v>599</v>
          </cell>
          <cell r="BX18">
            <v>1100</v>
          </cell>
          <cell r="BY18">
            <v>256</v>
          </cell>
          <cell r="CA18" t="str">
            <v>T5中5</v>
          </cell>
          <cell r="CB18">
            <v>2564</v>
          </cell>
          <cell r="CC18">
            <v>928</v>
          </cell>
          <cell r="CD18">
            <v>823</v>
          </cell>
          <cell r="CE18">
            <v>659</v>
          </cell>
          <cell r="CF18">
            <v>1100</v>
          </cell>
          <cell r="CG18">
            <v>256</v>
          </cell>
        </row>
        <row r="19">
          <cell r="AE19" t="str">
            <v>T5高5</v>
          </cell>
          <cell r="AF19">
            <v>2096</v>
          </cell>
          <cell r="AG19">
            <v>209</v>
          </cell>
          <cell r="AH19">
            <v>786</v>
          </cell>
          <cell r="AI19">
            <v>550</v>
          </cell>
          <cell r="AJ19">
            <v>786</v>
          </cell>
          <cell r="AK19">
            <v>210</v>
          </cell>
          <cell r="AM19" t="str">
            <v>T5高5</v>
          </cell>
          <cell r="AN19">
            <v>2096</v>
          </cell>
          <cell r="AO19">
            <v>111</v>
          </cell>
          <cell r="AP19">
            <v>861</v>
          </cell>
          <cell r="AQ19">
            <v>603</v>
          </cell>
          <cell r="AR19">
            <v>786</v>
          </cell>
          <cell r="AS19">
            <v>210</v>
          </cell>
          <cell r="AU19" t="str">
            <v>T5高5</v>
          </cell>
          <cell r="AV19">
            <v>2096</v>
          </cell>
          <cell r="AW19">
            <v>422</v>
          </cell>
          <cell r="AX19">
            <v>936</v>
          </cell>
          <cell r="AY19">
            <v>655</v>
          </cell>
          <cell r="AZ19">
            <v>786</v>
          </cell>
          <cell r="BA19">
            <v>210</v>
          </cell>
          <cell r="BC19" t="str">
            <v>T5高5</v>
          </cell>
          <cell r="BD19">
            <v>2262</v>
          </cell>
          <cell r="BE19">
            <v>194</v>
          </cell>
          <cell r="BF19">
            <v>749</v>
          </cell>
          <cell r="BG19">
            <v>561</v>
          </cell>
          <cell r="BH19">
            <v>943</v>
          </cell>
          <cell r="BI19">
            <v>226</v>
          </cell>
          <cell r="BK19" t="str">
            <v>T5高5</v>
          </cell>
          <cell r="BL19">
            <v>2262</v>
          </cell>
          <cell r="BM19">
            <v>233</v>
          </cell>
          <cell r="BN19">
            <v>861</v>
          </cell>
          <cell r="BO19">
            <v>646</v>
          </cell>
          <cell r="BP19">
            <v>943</v>
          </cell>
          <cell r="BQ19">
            <v>226</v>
          </cell>
          <cell r="BS19" t="str">
            <v>T5高5</v>
          </cell>
          <cell r="BT19">
            <v>2564</v>
          </cell>
          <cell r="BU19">
            <v>702</v>
          </cell>
          <cell r="BV19">
            <v>749</v>
          </cell>
          <cell r="BW19">
            <v>599</v>
          </cell>
          <cell r="BX19">
            <v>1100</v>
          </cell>
          <cell r="BY19">
            <v>256</v>
          </cell>
          <cell r="CA19" t="str">
            <v>T5高5</v>
          </cell>
          <cell r="CB19">
            <v>2564</v>
          </cell>
          <cell r="CC19">
            <v>928</v>
          </cell>
          <cell r="CD19">
            <v>823</v>
          </cell>
          <cell r="CE19">
            <v>659</v>
          </cell>
          <cell r="CF19">
            <v>1100</v>
          </cell>
          <cell r="CG19">
            <v>256</v>
          </cell>
        </row>
        <row r="20">
          <cell r="AE20" t="str">
            <v>T4低6</v>
          </cell>
          <cell r="AF20">
            <v>2208</v>
          </cell>
          <cell r="AG20">
            <v>225</v>
          </cell>
          <cell r="AH20">
            <v>846</v>
          </cell>
          <cell r="AI20">
            <v>592</v>
          </cell>
          <cell r="AJ20">
            <v>846</v>
          </cell>
          <cell r="AK20">
            <v>226</v>
          </cell>
          <cell r="AM20" t="str">
            <v>T4低6</v>
          </cell>
          <cell r="AN20">
            <v>2208</v>
          </cell>
          <cell r="AO20">
            <v>120</v>
          </cell>
          <cell r="AP20">
            <v>927</v>
          </cell>
          <cell r="AQ20">
            <v>649</v>
          </cell>
          <cell r="AR20">
            <v>846</v>
          </cell>
          <cell r="AS20">
            <v>226</v>
          </cell>
          <cell r="AU20" t="str">
            <v>T4低6</v>
          </cell>
          <cell r="AV20">
            <v>2208</v>
          </cell>
          <cell r="AW20">
            <v>454</v>
          </cell>
          <cell r="AX20">
            <v>1007</v>
          </cell>
          <cell r="AY20">
            <v>705</v>
          </cell>
          <cell r="AZ20">
            <v>846</v>
          </cell>
          <cell r="BA20">
            <v>226</v>
          </cell>
          <cell r="BC20" t="str">
            <v>T4低6</v>
          </cell>
          <cell r="BD20">
            <v>2383</v>
          </cell>
          <cell r="BE20">
            <v>209</v>
          </cell>
          <cell r="BF20">
            <v>806</v>
          </cell>
          <cell r="BG20">
            <v>604</v>
          </cell>
          <cell r="BH20">
            <v>1015</v>
          </cell>
          <cell r="BI20">
            <v>243</v>
          </cell>
          <cell r="BK20" t="str">
            <v>T4低6</v>
          </cell>
          <cell r="BL20">
            <v>2383</v>
          </cell>
          <cell r="BM20">
            <v>251</v>
          </cell>
          <cell r="BN20">
            <v>927</v>
          </cell>
          <cell r="BO20">
            <v>695</v>
          </cell>
          <cell r="BP20">
            <v>1015</v>
          </cell>
          <cell r="BQ20">
            <v>243</v>
          </cell>
          <cell r="BS20" t="str">
            <v>T4低6</v>
          </cell>
          <cell r="BT20">
            <v>2701</v>
          </cell>
          <cell r="BU20">
            <v>756</v>
          </cell>
          <cell r="BV20">
            <v>806</v>
          </cell>
          <cell r="BW20">
            <v>645</v>
          </cell>
          <cell r="BX20">
            <v>1184</v>
          </cell>
          <cell r="BY20">
            <v>276</v>
          </cell>
          <cell r="CA20" t="str">
            <v>T4低6</v>
          </cell>
          <cell r="CB20">
            <v>2701</v>
          </cell>
          <cell r="CC20">
            <v>999</v>
          </cell>
          <cell r="CD20">
            <v>886</v>
          </cell>
          <cell r="CE20">
            <v>709</v>
          </cell>
          <cell r="CF20">
            <v>1184</v>
          </cell>
          <cell r="CG20">
            <v>276</v>
          </cell>
        </row>
        <row r="21">
          <cell r="AE21" t="str">
            <v>T3中5</v>
          </cell>
          <cell r="AF21">
            <v>1824</v>
          </cell>
          <cell r="AG21">
            <v>182</v>
          </cell>
          <cell r="AH21">
            <v>684</v>
          </cell>
          <cell r="AI21">
            <v>479</v>
          </cell>
          <cell r="AJ21">
            <v>684</v>
          </cell>
          <cell r="AK21">
            <v>182</v>
          </cell>
          <cell r="AM21" t="str">
            <v>T3中5</v>
          </cell>
          <cell r="AN21">
            <v>1824</v>
          </cell>
          <cell r="AO21">
            <v>97</v>
          </cell>
          <cell r="AP21">
            <v>749</v>
          </cell>
          <cell r="AQ21">
            <v>524</v>
          </cell>
          <cell r="AR21">
            <v>684</v>
          </cell>
          <cell r="AS21">
            <v>182</v>
          </cell>
          <cell r="AU21" t="str">
            <v>T3中5</v>
          </cell>
          <cell r="AV21">
            <v>1824</v>
          </cell>
          <cell r="AW21">
            <v>367</v>
          </cell>
          <cell r="AX21">
            <v>814</v>
          </cell>
          <cell r="AY21">
            <v>570</v>
          </cell>
          <cell r="AZ21">
            <v>684</v>
          </cell>
          <cell r="BA21">
            <v>182</v>
          </cell>
          <cell r="BC21" t="str">
            <v>T3中5</v>
          </cell>
          <cell r="BD21">
            <v>1969</v>
          </cell>
          <cell r="BE21">
            <v>169</v>
          </cell>
          <cell r="BF21">
            <v>651</v>
          </cell>
          <cell r="BG21">
            <v>489</v>
          </cell>
          <cell r="BH21">
            <v>821</v>
          </cell>
          <cell r="BI21">
            <v>197</v>
          </cell>
          <cell r="BK21" t="str">
            <v>T3中5</v>
          </cell>
          <cell r="BL21">
            <v>1969</v>
          </cell>
          <cell r="BM21">
            <v>203</v>
          </cell>
          <cell r="BN21">
            <v>749</v>
          </cell>
          <cell r="BO21">
            <v>562</v>
          </cell>
          <cell r="BP21">
            <v>821</v>
          </cell>
          <cell r="BQ21">
            <v>197</v>
          </cell>
          <cell r="BS21" t="str">
            <v>T3中5</v>
          </cell>
          <cell r="BT21">
            <v>2231</v>
          </cell>
          <cell r="BU21">
            <v>611</v>
          </cell>
          <cell r="BV21">
            <v>651</v>
          </cell>
          <cell r="BW21">
            <v>521</v>
          </cell>
          <cell r="BX21">
            <v>958</v>
          </cell>
          <cell r="BY21">
            <v>223</v>
          </cell>
          <cell r="CA21" t="str">
            <v>T3中5</v>
          </cell>
          <cell r="CB21">
            <v>2231</v>
          </cell>
          <cell r="CC21">
            <v>808</v>
          </cell>
          <cell r="CD21">
            <v>717</v>
          </cell>
          <cell r="CE21">
            <v>573</v>
          </cell>
          <cell r="CF21">
            <v>958</v>
          </cell>
          <cell r="CG21">
            <v>223</v>
          </cell>
        </row>
        <row r="22">
          <cell r="AE22" t="str">
            <v>T3高5</v>
          </cell>
          <cell r="AF22">
            <v>1824</v>
          </cell>
          <cell r="AG22">
            <v>186</v>
          </cell>
          <cell r="AH22">
            <v>699</v>
          </cell>
          <cell r="AI22">
            <v>489</v>
          </cell>
          <cell r="AJ22">
            <v>699</v>
          </cell>
          <cell r="AK22">
            <v>186</v>
          </cell>
          <cell r="AM22" t="str">
            <v>T3高5</v>
          </cell>
          <cell r="AN22">
            <v>1824</v>
          </cell>
          <cell r="AO22">
            <v>99</v>
          </cell>
          <cell r="AP22">
            <v>766</v>
          </cell>
          <cell r="AQ22">
            <v>536</v>
          </cell>
          <cell r="AR22">
            <v>699</v>
          </cell>
          <cell r="AS22">
            <v>186</v>
          </cell>
          <cell r="AU22" t="str">
            <v>T3高5</v>
          </cell>
          <cell r="AV22">
            <v>1824</v>
          </cell>
          <cell r="AW22">
            <v>375</v>
          </cell>
          <cell r="AX22">
            <v>832</v>
          </cell>
          <cell r="AY22">
            <v>583</v>
          </cell>
          <cell r="AZ22">
            <v>699</v>
          </cell>
          <cell r="BA22">
            <v>186</v>
          </cell>
          <cell r="BC22" t="str">
            <v>T3高5</v>
          </cell>
          <cell r="BD22">
            <v>1969</v>
          </cell>
          <cell r="BE22">
            <v>173</v>
          </cell>
          <cell r="BF22">
            <v>666</v>
          </cell>
          <cell r="BG22">
            <v>499</v>
          </cell>
          <cell r="BH22">
            <v>839</v>
          </cell>
          <cell r="BI22">
            <v>201</v>
          </cell>
          <cell r="BK22" t="str">
            <v>T3高5</v>
          </cell>
          <cell r="BL22">
            <v>1969</v>
          </cell>
          <cell r="BM22">
            <v>207</v>
          </cell>
          <cell r="BN22">
            <v>766</v>
          </cell>
          <cell r="BO22">
            <v>574</v>
          </cell>
          <cell r="BP22">
            <v>839</v>
          </cell>
          <cell r="BQ22">
            <v>201</v>
          </cell>
          <cell r="BS22" t="str">
            <v>T3高5</v>
          </cell>
          <cell r="BT22">
            <v>2231</v>
          </cell>
          <cell r="BU22">
            <v>625</v>
          </cell>
          <cell r="BV22">
            <v>666</v>
          </cell>
          <cell r="BW22">
            <v>533</v>
          </cell>
          <cell r="BX22">
            <v>979</v>
          </cell>
          <cell r="BY22">
            <v>228</v>
          </cell>
          <cell r="CA22" t="str">
            <v>T3高5</v>
          </cell>
          <cell r="CB22">
            <v>2231</v>
          </cell>
          <cell r="CC22">
            <v>825</v>
          </cell>
          <cell r="CD22">
            <v>732</v>
          </cell>
          <cell r="CE22">
            <v>586</v>
          </cell>
          <cell r="CF22">
            <v>979</v>
          </cell>
          <cell r="CG22">
            <v>228</v>
          </cell>
        </row>
        <row r="23">
          <cell r="AE23" t="str">
            <v>T5低7</v>
          </cell>
          <cell r="AF23">
            <v>2864</v>
          </cell>
          <cell r="AG23">
            <v>291</v>
          </cell>
          <cell r="AH23">
            <v>1095</v>
          </cell>
          <cell r="AI23">
            <v>767</v>
          </cell>
          <cell r="AJ23">
            <v>1095</v>
          </cell>
          <cell r="AK23">
            <v>292</v>
          </cell>
          <cell r="AM23" t="str">
            <v>T5低7</v>
          </cell>
          <cell r="AN23">
            <v>2864</v>
          </cell>
          <cell r="AO23">
            <v>155</v>
          </cell>
          <cell r="AP23">
            <v>1199</v>
          </cell>
          <cell r="AQ23">
            <v>840</v>
          </cell>
          <cell r="AR23">
            <v>1095</v>
          </cell>
          <cell r="AS23">
            <v>292</v>
          </cell>
          <cell r="AU23" t="str">
            <v>T5低7</v>
          </cell>
          <cell r="AV23">
            <v>2864</v>
          </cell>
          <cell r="AW23">
            <v>588</v>
          </cell>
          <cell r="AX23">
            <v>1304</v>
          </cell>
          <cell r="AY23">
            <v>913</v>
          </cell>
          <cell r="AZ23">
            <v>1095</v>
          </cell>
          <cell r="BA23">
            <v>292</v>
          </cell>
          <cell r="BC23" t="str">
            <v>T5低7</v>
          </cell>
          <cell r="BD23">
            <v>3091</v>
          </cell>
          <cell r="BE23">
            <v>271</v>
          </cell>
          <cell r="BF23">
            <v>1043</v>
          </cell>
          <cell r="BG23">
            <v>782</v>
          </cell>
          <cell r="BH23">
            <v>1314</v>
          </cell>
          <cell r="BI23">
            <v>315</v>
          </cell>
          <cell r="BK23" t="str">
            <v>T5低7</v>
          </cell>
          <cell r="BL23">
            <v>3091</v>
          </cell>
          <cell r="BM23">
            <v>325</v>
          </cell>
          <cell r="BN23">
            <v>1199</v>
          </cell>
          <cell r="BO23">
            <v>899</v>
          </cell>
          <cell r="BP23">
            <v>1314</v>
          </cell>
          <cell r="BQ23">
            <v>315</v>
          </cell>
          <cell r="BS23" t="str">
            <v>T5低7</v>
          </cell>
          <cell r="BT23">
            <v>3504</v>
          </cell>
          <cell r="BU23">
            <v>978</v>
          </cell>
          <cell r="BV23">
            <v>1043</v>
          </cell>
          <cell r="BW23">
            <v>834</v>
          </cell>
          <cell r="BX23">
            <v>1533</v>
          </cell>
          <cell r="BY23">
            <v>357</v>
          </cell>
          <cell r="CA23" t="str">
            <v>T5低7</v>
          </cell>
          <cell r="CB23">
            <v>3504</v>
          </cell>
          <cell r="CC23">
            <v>1293</v>
          </cell>
          <cell r="CD23">
            <v>1147</v>
          </cell>
          <cell r="CE23">
            <v>918</v>
          </cell>
          <cell r="CF23">
            <v>1533</v>
          </cell>
          <cell r="CG23">
            <v>357</v>
          </cell>
        </row>
        <row r="24">
          <cell r="AE24" t="str">
            <v>T4中6</v>
          </cell>
          <cell r="AF24">
            <v>2368</v>
          </cell>
          <cell r="AG24">
            <v>236</v>
          </cell>
          <cell r="AH24">
            <v>888</v>
          </cell>
          <cell r="AI24">
            <v>622</v>
          </cell>
          <cell r="AJ24">
            <v>888</v>
          </cell>
          <cell r="AK24">
            <v>237</v>
          </cell>
          <cell r="AM24" t="str">
            <v>T4中6</v>
          </cell>
          <cell r="AN24">
            <v>2368</v>
          </cell>
          <cell r="AO24">
            <v>126</v>
          </cell>
          <cell r="AP24">
            <v>973</v>
          </cell>
          <cell r="AQ24">
            <v>681</v>
          </cell>
          <cell r="AR24">
            <v>888</v>
          </cell>
          <cell r="AS24">
            <v>237</v>
          </cell>
          <cell r="AU24" t="str">
            <v>T4中6</v>
          </cell>
          <cell r="AV24">
            <v>2368</v>
          </cell>
          <cell r="AW24">
            <v>477</v>
          </cell>
          <cell r="AX24">
            <v>1057</v>
          </cell>
          <cell r="AY24">
            <v>740</v>
          </cell>
          <cell r="AZ24">
            <v>888</v>
          </cell>
          <cell r="BA24">
            <v>237</v>
          </cell>
          <cell r="BC24" t="str">
            <v>T4中6</v>
          </cell>
          <cell r="BD24">
            <v>2556</v>
          </cell>
          <cell r="BE24">
            <v>220</v>
          </cell>
          <cell r="BF24">
            <v>846</v>
          </cell>
          <cell r="BG24">
            <v>634</v>
          </cell>
          <cell r="BH24">
            <v>1066</v>
          </cell>
          <cell r="BI24">
            <v>256</v>
          </cell>
          <cell r="BK24" t="str">
            <v>T4中6</v>
          </cell>
          <cell r="BL24">
            <v>2556</v>
          </cell>
          <cell r="BM24">
            <v>263</v>
          </cell>
          <cell r="BN24">
            <v>973</v>
          </cell>
          <cell r="BO24">
            <v>729</v>
          </cell>
          <cell r="BP24">
            <v>1066</v>
          </cell>
          <cell r="BQ24">
            <v>256</v>
          </cell>
          <cell r="BS24" t="str">
            <v>T4中6</v>
          </cell>
          <cell r="BT24">
            <v>2897</v>
          </cell>
          <cell r="BU24">
            <v>793</v>
          </cell>
          <cell r="BV24">
            <v>846</v>
          </cell>
          <cell r="BW24">
            <v>677</v>
          </cell>
          <cell r="BX24">
            <v>1243</v>
          </cell>
          <cell r="BY24">
            <v>290</v>
          </cell>
          <cell r="CA24" t="str">
            <v>T4中6</v>
          </cell>
          <cell r="CB24">
            <v>2897</v>
          </cell>
          <cell r="CC24">
            <v>1049</v>
          </cell>
          <cell r="CD24">
            <v>930</v>
          </cell>
          <cell r="CE24">
            <v>744</v>
          </cell>
          <cell r="CF24">
            <v>1243</v>
          </cell>
          <cell r="CG24">
            <v>290</v>
          </cell>
        </row>
        <row r="25">
          <cell r="AE25" t="str">
            <v>T4高6</v>
          </cell>
          <cell r="AF25">
            <v>2368</v>
          </cell>
          <cell r="AG25">
            <v>241</v>
          </cell>
          <cell r="AH25">
            <v>906</v>
          </cell>
          <cell r="AI25">
            <v>634</v>
          </cell>
          <cell r="AJ25">
            <v>906</v>
          </cell>
          <cell r="AK25">
            <v>242</v>
          </cell>
          <cell r="AM25" t="str">
            <v>T4高6</v>
          </cell>
          <cell r="AN25">
            <v>2368</v>
          </cell>
          <cell r="AO25">
            <v>128</v>
          </cell>
          <cell r="AP25">
            <v>992</v>
          </cell>
          <cell r="AQ25">
            <v>695</v>
          </cell>
          <cell r="AR25">
            <v>906</v>
          </cell>
          <cell r="AS25">
            <v>242</v>
          </cell>
          <cell r="AU25" t="str">
            <v>T4高6</v>
          </cell>
          <cell r="AV25">
            <v>2368</v>
          </cell>
          <cell r="AW25">
            <v>486</v>
          </cell>
          <cell r="AX25">
            <v>1079</v>
          </cell>
          <cell r="AY25">
            <v>755</v>
          </cell>
          <cell r="AZ25">
            <v>906</v>
          </cell>
          <cell r="BA25">
            <v>242</v>
          </cell>
          <cell r="BC25" t="str">
            <v>T4高6</v>
          </cell>
          <cell r="BD25">
            <v>2556</v>
          </cell>
          <cell r="BE25">
            <v>224</v>
          </cell>
          <cell r="BF25">
            <v>863</v>
          </cell>
          <cell r="BG25">
            <v>647</v>
          </cell>
          <cell r="BH25">
            <v>1087</v>
          </cell>
          <cell r="BI25">
            <v>261</v>
          </cell>
          <cell r="BK25" t="str">
            <v>T4高6</v>
          </cell>
          <cell r="BL25">
            <v>2556</v>
          </cell>
          <cell r="BM25">
            <v>269</v>
          </cell>
          <cell r="BN25">
            <v>992</v>
          </cell>
          <cell r="BO25">
            <v>744</v>
          </cell>
          <cell r="BP25">
            <v>1087</v>
          </cell>
          <cell r="BQ25">
            <v>261</v>
          </cell>
          <cell r="BS25" t="str">
            <v>T4高6</v>
          </cell>
          <cell r="BT25">
            <v>2897</v>
          </cell>
          <cell r="BU25">
            <v>810</v>
          </cell>
          <cell r="BV25">
            <v>863</v>
          </cell>
          <cell r="BW25">
            <v>690</v>
          </cell>
          <cell r="BX25">
            <v>1268</v>
          </cell>
          <cell r="BY25">
            <v>296</v>
          </cell>
          <cell r="CA25" t="str">
            <v>T4高6</v>
          </cell>
          <cell r="CB25">
            <v>2897</v>
          </cell>
          <cell r="CC25">
            <v>1070</v>
          </cell>
          <cell r="CD25">
            <v>949</v>
          </cell>
          <cell r="CE25">
            <v>759</v>
          </cell>
          <cell r="CF25">
            <v>1268</v>
          </cell>
          <cell r="CG25">
            <v>296</v>
          </cell>
        </row>
        <row r="26">
          <cell r="AE26" t="str">
            <v>T5中7</v>
          </cell>
          <cell r="AF26">
            <v>3056</v>
          </cell>
          <cell r="AG26">
            <v>305</v>
          </cell>
          <cell r="AH26">
            <v>1146</v>
          </cell>
          <cell r="AI26">
            <v>802</v>
          </cell>
          <cell r="AJ26">
            <v>1146</v>
          </cell>
          <cell r="AK26">
            <v>306</v>
          </cell>
          <cell r="AM26" t="str">
            <v>T5中7</v>
          </cell>
          <cell r="AN26">
            <v>3056</v>
          </cell>
          <cell r="AO26">
            <v>162</v>
          </cell>
          <cell r="AP26">
            <v>1255</v>
          </cell>
          <cell r="AQ26">
            <v>879</v>
          </cell>
          <cell r="AR26">
            <v>1146</v>
          </cell>
          <cell r="AS26">
            <v>306</v>
          </cell>
          <cell r="AU26" t="str">
            <v>T5中7</v>
          </cell>
          <cell r="AV26">
            <v>3056</v>
          </cell>
          <cell r="AW26">
            <v>615</v>
          </cell>
          <cell r="AX26">
            <v>1364</v>
          </cell>
          <cell r="AY26">
            <v>955</v>
          </cell>
          <cell r="AZ26">
            <v>1146</v>
          </cell>
          <cell r="BA26">
            <v>306</v>
          </cell>
          <cell r="BC26" t="str">
            <v>T5中7</v>
          </cell>
          <cell r="BD26">
            <v>3298</v>
          </cell>
          <cell r="BE26">
            <v>284</v>
          </cell>
          <cell r="BF26">
            <v>1091</v>
          </cell>
          <cell r="BG26">
            <v>819</v>
          </cell>
          <cell r="BH26">
            <v>1375</v>
          </cell>
          <cell r="BI26">
            <v>330</v>
          </cell>
          <cell r="BK26" t="str">
            <v>T5中7</v>
          </cell>
          <cell r="BL26">
            <v>3298</v>
          </cell>
          <cell r="BM26">
            <v>340</v>
          </cell>
          <cell r="BN26">
            <v>1255</v>
          </cell>
          <cell r="BO26">
            <v>941</v>
          </cell>
          <cell r="BP26">
            <v>1375</v>
          </cell>
          <cell r="BQ26">
            <v>330</v>
          </cell>
          <cell r="BS26" t="str">
            <v>T5中7</v>
          </cell>
          <cell r="BT26">
            <v>3738</v>
          </cell>
          <cell r="BU26">
            <v>1024</v>
          </cell>
          <cell r="BV26">
            <v>1091</v>
          </cell>
          <cell r="BW26">
            <v>873</v>
          </cell>
          <cell r="BX26">
            <v>1604</v>
          </cell>
          <cell r="BY26">
            <v>374</v>
          </cell>
          <cell r="CA26" t="str">
            <v>T5中7</v>
          </cell>
          <cell r="CB26">
            <v>3738</v>
          </cell>
          <cell r="CC26">
            <v>1353</v>
          </cell>
          <cell r="CD26">
            <v>1201</v>
          </cell>
          <cell r="CE26">
            <v>960</v>
          </cell>
          <cell r="CF26">
            <v>1604</v>
          </cell>
          <cell r="CG26">
            <v>374</v>
          </cell>
        </row>
        <row r="27">
          <cell r="AE27" t="str">
            <v>T5高7</v>
          </cell>
          <cell r="AF27">
            <v>3056</v>
          </cell>
          <cell r="AG27">
            <v>310</v>
          </cell>
          <cell r="AH27">
            <v>1167</v>
          </cell>
          <cell r="AI27">
            <v>817</v>
          </cell>
          <cell r="AJ27">
            <v>1167</v>
          </cell>
          <cell r="AK27">
            <v>311</v>
          </cell>
          <cell r="AM27" t="str">
            <v>T5高7</v>
          </cell>
          <cell r="AN27">
            <v>3056</v>
          </cell>
          <cell r="AO27">
            <v>165</v>
          </cell>
          <cell r="AP27">
            <v>1278</v>
          </cell>
          <cell r="AQ27">
            <v>895</v>
          </cell>
          <cell r="AR27">
            <v>1167</v>
          </cell>
          <cell r="AS27">
            <v>311</v>
          </cell>
          <cell r="AU27" t="str">
            <v>T5高7</v>
          </cell>
          <cell r="AV27">
            <v>3056</v>
          </cell>
          <cell r="AW27">
            <v>626</v>
          </cell>
          <cell r="AX27">
            <v>1389</v>
          </cell>
          <cell r="AY27">
            <v>973</v>
          </cell>
          <cell r="AZ27">
            <v>1167</v>
          </cell>
          <cell r="BA27">
            <v>311</v>
          </cell>
          <cell r="BC27" t="str">
            <v>T5高7</v>
          </cell>
          <cell r="BD27">
            <v>3298</v>
          </cell>
          <cell r="BE27">
            <v>289</v>
          </cell>
          <cell r="BF27">
            <v>1111</v>
          </cell>
          <cell r="BG27">
            <v>834</v>
          </cell>
          <cell r="BH27">
            <v>1400</v>
          </cell>
          <cell r="BI27">
            <v>336</v>
          </cell>
          <cell r="BK27" t="str">
            <v>T5高7</v>
          </cell>
          <cell r="BL27">
            <v>3298</v>
          </cell>
          <cell r="BM27">
            <v>346</v>
          </cell>
          <cell r="BN27">
            <v>1278</v>
          </cell>
          <cell r="BO27">
            <v>959</v>
          </cell>
          <cell r="BP27">
            <v>1400</v>
          </cell>
          <cell r="BQ27">
            <v>336</v>
          </cell>
          <cell r="BS27" t="str">
            <v>T5高7</v>
          </cell>
          <cell r="BT27">
            <v>3738</v>
          </cell>
          <cell r="BU27">
            <v>1043</v>
          </cell>
          <cell r="BV27">
            <v>1111</v>
          </cell>
          <cell r="BW27">
            <v>889</v>
          </cell>
          <cell r="BX27">
            <v>1634</v>
          </cell>
          <cell r="BY27">
            <v>381</v>
          </cell>
          <cell r="CA27" t="str">
            <v>T5高7</v>
          </cell>
          <cell r="CB27">
            <v>3738</v>
          </cell>
          <cell r="CC27">
            <v>1378</v>
          </cell>
          <cell r="CD27">
            <v>1223</v>
          </cell>
          <cell r="CE27">
            <v>978</v>
          </cell>
          <cell r="CF27">
            <v>1634</v>
          </cell>
          <cell r="CG27">
            <v>381</v>
          </cell>
        </row>
      </sheetData>
      <sheetData sheetId="9"/>
      <sheetData sheetId="10"/>
      <sheetData sheetId="11">
        <row r="3">
          <cell r="H3" t="str">
            <v>坦克状态</v>
          </cell>
          <cell r="I3" t="str">
            <v>升星次数</v>
          </cell>
          <cell r="J3" t="str">
            <v>初始属性</v>
          </cell>
          <cell r="K3" t="str">
            <v>最高属性</v>
          </cell>
          <cell r="L3" t="str">
            <v>最高部件星级</v>
          </cell>
          <cell r="M3" t="str">
            <v>部件提升比</v>
          </cell>
          <cell r="N3" t="str">
            <v>部件属性</v>
          </cell>
          <cell r="O3" t="str">
            <v>升星比例</v>
          </cell>
          <cell r="P3" t="str">
            <v>部件比例</v>
          </cell>
          <cell r="BH3" t="str">
            <v>辅助列1</v>
          </cell>
          <cell r="BI3" t="str">
            <v>辅助列</v>
          </cell>
          <cell r="BJ3" t="str">
            <v>标准坦克</v>
          </cell>
          <cell r="BK3" t="str">
            <v>坦克品质</v>
          </cell>
          <cell r="BL3" t="str">
            <v>升星次数</v>
          </cell>
          <cell r="BM3" t="str">
            <v>血量</v>
          </cell>
          <cell r="BN3" t="str">
            <v>坦克伤害</v>
          </cell>
          <cell r="BO3" t="str">
            <v>最大穿透</v>
          </cell>
          <cell r="BP3" t="str">
            <v>最小穿透</v>
          </cell>
          <cell r="BQ3" t="str">
            <v>坦克装甲</v>
          </cell>
          <cell r="BR3" t="str">
            <v>撞击伤害</v>
          </cell>
          <cell r="BS3" t="str">
            <v>最大炮角速</v>
          </cell>
          <cell r="BT3" t="str">
            <v>身转角速度</v>
          </cell>
          <cell r="BU3" t="str">
            <v>进最大速度</v>
          </cell>
          <cell r="BV3" t="str">
            <v>单发时间</v>
          </cell>
          <cell r="BW3" t="str">
            <v>弹夹时间</v>
          </cell>
          <cell r="BX3" t="str">
            <v>射击间隔</v>
          </cell>
          <cell r="BY3" t="str">
            <v>瞄准时间</v>
          </cell>
        </row>
        <row r="4">
          <cell r="H4" t="str">
            <v>T1低</v>
          </cell>
          <cell r="I4">
            <v>5</v>
          </cell>
          <cell r="J4">
            <v>1</v>
          </cell>
          <cell r="K4">
            <v>1.3</v>
          </cell>
          <cell r="L4">
            <v>3</v>
          </cell>
          <cell r="M4">
            <v>0.20200000000000001</v>
          </cell>
          <cell r="N4">
            <v>0.20200000000000001</v>
          </cell>
          <cell r="O4">
            <v>0.7</v>
          </cell>
          <cell r="P4">
            <v>0.3</v>
          </cell>
          <cell r="BH4" t="str">
            <v>雷诺FT0</v>
          </cell>
          <cell r="BI4">
            <v>1</v>
          </cell>
          <cell r="BJ4" t="str">
            <v>雷诺FT</v>
          </cell>
          <cell r="BK4" t="str">
            <v>低</v>
          </cell>
          <cell r="BL4">
            <v>0</v>
          </cell>
          <cell r="BM4">
            <v>578</v>
          </cell>
          <cell r="BN4">
            <v>42</v>
          </cell>
          <cell r="BO4">
            <v>329</v>
          </cell>
          <cell r="BP4">
            <v>230</v>
          </cell>
          <cell r="BQ4">
            <v>300</v>
          </cell>
          <cell r="BR4">
            <v>80</v>
          </cell>
          <cell r="BS4">
            <v>47.1</v>
          </cell>
          <cell r="BT4">
            <v>45</v>
          </cell>
          <cell r="BU4">
            <v>10.5</v>
          </cell>
          <cell r="BV4">
            <v>0</v>
          </cell>
          <cell r="BW4">
            <v>5</v>
          </cell>
          <cell r="BX4">
            <v>0.6</v>
          </cell>
          <cell r="BY4">
            <v>0.42</v>
          </cell>
        </row>
        <row r="5">
          <cell r="H5" t="str">
            <v>T2低</v>
          </cell>
          <cell r="I5">
            <v>7</v>
          </cell>
          <cell r="J5">
            <v>1.2</v>
          </cell>
          <cell r="K5">
            <v>1.7</v>
          </cell>
          <cell r="L5">
            <v>4</v>
          </cell>
          <cell r="M5">
            <v>0.25700000000000001</v>
          </cell>
          <cell r="N5">
            <v>0.30840000000000001</v>
          </cell>
          <cell r="O5">
            <v>0.65</v>
          </cell>
          <cell r="P5">
            <v>0.35</v>
          </cell>
          <cell r="BH5" t="str">
            <v>雷诺FT1</v>
          </cell>
          <cell r="BI5">
            <v>1</v>
          </cell>
          <cell r="BJ5" t="str">
            <v>雷诺FT</v>
          </cell>
          <cell r="BK5" t="str">
            <v>低</v>
          </cell>
          <cell r="BL5">
            <v>1</v>
          </cell>
          <cell r="BM5">
            <v>667</v>
          </cell>
          <cell r="BN5">
            <v>43</v>
          </cell>
          <cell r="BO5">
            <v>346</v>
          </cell>
          <cell r="BP5">
            <v>242</v>
          </cell>
          <cell r="BQ5">
            <v>313</v>
          </cell>
          <cell r="BR5">
            <v>85</v>
          </cell>
          <cell r="BS5">
            <v>49.5</v>
          </cell>
          <cell r="BT5">
            <v>47.3</v>
          </cell>
          <cell r="BU5">
            <v>10.5</v>
          </cell>
          <cell r="BV5">
            <v>0</v>
          </cell>
          <cell r="BW5">
            <v>5.6</v>
          </cell>
          <cell r="BX5">
            <v>0.53</v>
          </cell>
          <cell r="BY5">
            <v>0.4</v>
          </cell>
        </row>
        <row r="6">
          <cell r="H6" t="str">
            <v>T2中</v>
          </cell>
          <cell r="I6">
            <v>7</v>
          </cell>
          <cell r="J6">
            <v>1.22</v>
          </cell>
          <cell r="K6">
            <v>1.76</v>
          </cell>
          <cell r="L6">
            <v>4</v>
          </cell>
          <cell r="M6">
            <v>0.25700000000000001</v>
          </cell>
          <cell r="N6">
            <v>0.31353999999999999</v>
          </cell>
          <cell r="O6">
            <v>0.65</v>
          </cell>
          <cell r="P6">
            <v>0.35</v>
          </cell>
          <cell r="BH6" t="str">
            <v>雷诺FT2</v>
          </cell>
          <cell r="BI6">
            <v>1</v>
          </cell>
          <cell r="BJ6" t="str">
            <v>雷诺FT</v>
          </cell>
          <cell r="BK6" t="str">
            <v>低</v>
          </cell>
          <cell r="BL6">
            <v>2</v>
          </cell>
          <cell r="BM6">
            <v>757</v>
          </cell>
          <cell r="BN6">
            <v>45</v>
          </cell>
          <cell r="BO6">
            <v>363</v>
          </cell>
          <cell r="BP6">
            <v>254</v>
          </cell>
          <cell r="BQ6">
            <v>325</v>
          </cell>
          <cell r="BR6">
            <v>90</v>
          </cell>
          <cell r="BS6">
            <v>51.8</v>
          </cell>
          <cell r="BT6">
            <v>49.5</v>
          </cell>
          <cell r="BU6">
            <v>10.5</v>
          </cell>
          <cell r="BV6">
            <v>0</v>
          </cell>
          <cell r="BW6">
            <v>6.1</v>
          </cell>
          <cell r="BX6">
            <v>0.46</v>
          </cell>
          <cell r="BY6">
            <v>0.39</v>
          </cell>
        </row>
        <row r="7">
          <cell r="H7" t="str">
            <v>T3低</v>
          </cell>
          <cell r="I7">
            <v>9</v>
          </cell>
          <cell r="J7">
            <v>1.48</v>
          </cell>
          <cell r="K7">
            <v>2.17</v>
          </cell>
          <cell r="L7">
            <v>5</v>
          </cell>
          <cell r="M7">
            <v>0.309</v>
          </cell>
          <cell r="N7">
            <v>0.45732</v>
          </cell>
          <cell r="O7">
            <v>0.6</v>
          </cell>
          <cell r="P7">
            <v>0.4</v>
          </cell>
          <cell r="BH7" t="str">
            <v>雷诺FT3</v>
          </cell>
          <cell r="BI7">
            <v>1</v>
          </cell>
          <cell r="BJ7" t="str">
            <v>雷诺FT</v>
          </cell>
          <cell r="BK7" t="str">
            <v>低</v>
          </cell>
          <cell r="BL7">
            <v>3</v>
          </cell>
          <cell r="BM7">
            <v>846</v>
          </cell>
          <cell r="BN7">
            <v>47</v>
          </cell>
          <cell r="BO7">
            <v>381</v>
          </cell>
          <cell r="BP7">
            <v>266</v>
          </cell>
          <cell r="BQ7">
            <v>338</v>
          </cell>
          <cell r="BR7">
            <v>94</v>
          </cell>
          <cell r="BS7">
            <v>54.2</v>
          </cell>
          <cell r="BT7">
            <v>51.8</v>
          </cell>
          <cell r="BU7">
            <v>10.5</v>
          </cell>
          <cell r="BV7">
            <v>0</v>
          </cell>
          <cell r="BW7">
            <v>6.7</v>
          </cell>
          <cell r="BX7">
            <v>0.39</v>
          </cell>
          <cell r="BY7">
            <v>0.38</v>
          </cell>
        </row>
        <row r="8">
          <cell r="H8" t="str">
            <v>T3中</v>
          </cell>
          <cell r="I8">
            <v>9</v>
          </cell>
          <cell r="J8">
            <v>1.54</v>
          </cell>
          <cell r="K8">
            <v>2.2799999999999998</v>
          </cell>
          <cell r="L8">
            <v>5</v>
          </cell>
          <cell r="M8">
            <v>0.309</v>
          </cell>
          <cell r="N8">
            <v>0.47586000000000001</v>
          </cell>
          <cell r="O8">
            <v>0.6</v>
          </cell>
          <cell r="P8">
            <v>0.4</v>
          </cell>
          <cell r="BH8" t="str">
            <v>雷诺FT4</v>
          </cell>
          <cell r="BI8">
            <v>1</v>
          </cell>
          <cell r="BJ8" t="str">
            <v>雷诺FT</v>
          </cell>
          <cell r="BK8" t="str">
            <v>低</v>
          </cell>
          <cell r="BL8">
            <v>4</v>
          </cell>
          <cell r="BM8">
            <v>935</v>
          </cell>
          <cell r="BN8">
            <v>49</v>
          </cell>
          <cell r="BO8">
            <v>398</v>
          </cell>
          <cell r="BP8">
            <v>279</v>
          </cell>
          <cell r="BQ8">
            <v>350</v>
          </cell>
          <cell r="BR8">
            <v>99</v>
          </cell>
          <cell r="BS8">
            <v>56.5</v>
          </cell>
          <cell r="BT8">
            <v>54</v>
          </cell>
          <cell r="BU8">
            <v>10.5</v>
          </cell>
          <cell r="BV8">
            <v>0</v>
          </cell>
          <cell r="BW8">
            <v>7.2</v>
          </cell>
          <cell r="BX8">
            <v>0.32</v>
          </cell>
          <cell r="BY8">
            <v>0.36</v>
          </cell>
        </row>
        <row r="9">
          <cell r="H9" t="str">
            <v>T3高</v>
          </cell>
          <cell r="I9">
            <v>9</v>
          </cell>
          <cell r="J9">
            <v>1.54</v>
          </cell>
          <cell r="K9">
            <v>2.33</v>
          </cell>
          <cell r="L9">
            <v>5</v>
          </cell>
          <cell r="M9">
            <v>0.309</v>
          </cell>
          <cell r="N9">
            <v>0.47586000000000001</v>
          </cell>
          <cell r="O9">
            <v>0.6</v>
          </cell>
          <cell r="P9">
            <v>0.4</v>
          </cell>
          <cell r="BH9" t="str">
            <v>雷诺FT5</v>
          </cell>
          <cell r="BI9">
            <v>1</v>
          </cell>
          <cell r="BJ9" t="str">
            <v>雷诺FT</v>
          </cell>
          <cell r="BK9" t="str">
            <v>低</v>
          </cell>
          <cell r="BL9">
            <v>5</v>
          </cell>
          <cell r="BM9">
            <v>1025</v>
          </cell>
          <cell r="BN9">
            <v>51</v>
          </cell>
          <cell r="BO9">
            <v>415</v>
          </cell>
          <cell r="BP9">
            <v>291</v>
          </cell>
          <cell r="BQ9">
            <v>363</v>
          </cell>
          <cell r="BR9">
            <v>104</v>
          </cell>
          <cell r="BS9">
            <v>58.9</v>
          </cell>
          <cell r="BT9">
            <v>56.3</v>
          </cell>
          <cell r="BU9">
            <v>10.5</v>
          </cell>
          <cell r="BV9">
            <v>0</v>
          </cell>
          <cell r="BW9">
            <v>7.8</v>
          </cell>
          <cell r="BX9">
            <v>0.25</v>
          </cell>
          <cell r="BY9">
            <v>0.35</v>
          </cell>
        </row>
        <row r="10">
          <cell r="H10" t="str">
            <v>T4低</v>
          </cell>
          <cell r="I10">
            <v>11</v>
          </cell>
          <cell r="J10">
            <v>1.92</v>
          </cell>
          <cell r="K10">
            <v>2.82</v>
          </cell>
          <cell r="L10">
            <v>6</v>
          </cell>
          <cell r="M10">
            <v>0.35499999999999998</v>
          </cell>
          <cell r="N10">
            <v>0.68159999999999998</v>
          </cell>
          <cell r="O10">
            <v>0.55000000000000004</v>
          </cell>
          <cell r="P10">
            <v>0.45</v>
          </cell>
          <cell r="BH10" t="str">
            <v>二号0</v>
          </cell>
          <cell r="BI10">
            <v>2</v>
          </cell>
          <cell r="BJ10" t="str">
            <v>二号</v>
          </cell>
          <cell r="BK10" t="str">
            <v>低</v>
          </cell>
          <cell r="BL10">
            <v>0</v>
          </cell>
          <cell r="BM10">
            <v>876</v>
          </cell>
          <cell r="BN10">
            <v>72</v>
          </cell>
          <cell r="BO10">
            <v>394</v>
          </cell>
          <cell r="BP10">
            <v>276</v>
          </cell>
          <cell r="BQ10">
            <v>360</v>
          </cell>
          <cell r="BR10">
            <v>96</v>
          </cell>
          <cell r="BS10">
            <v>47.1</v>
          </cell>
          <cell r="BT10">
            <v>45</v>
          </cell>
          <cell r="BU10">
            <v>10.5</v>
          </cell>
          <cell r="BV10">
            <v>0</v>
          </cell>
          <cell r="BW10">
            <v>8.4</v>
          </cell>
          <cell r="BX10">
            <v>0.6</v>
          </cell>
          <cell r="BY10">
            <v>0.39</v>
          </cell>
        </row>
        <row r="11">
          <cell r="H11" t="str">
            <v>T4中</v>
          </cell>
          <cell r="I11">
            <v>11</v>
          </cell>
          <cell r="J11">
            <v>2</v>
          </cell>
          <cell r="K11">
            <v>2.96</v>
          </cell>
          <cell r="L11">
            <v>6</v>
          </cell>
          <cell r="M11">
            <v>0.35499999999999998</v>
          </cell>
          <cell r="N11">
            <v>0.71</v>
          </cell>
          <cell r="O11">
            <v>0.55000000000000004</v>
          </cell>
          <cell r="P11">
            <v>0.45</v>
          </cell>
          <cell r="BH11" t="str">
            <v>二号1</v>
          </cell>
          <cell r="BI11">
            <v>2</v>
          </cell>
          <cell r="BJ11" t="str">
            <v>二号</v>
          </cell>
          <cell r="BK11" t="str">
            <v>低</v>
          </cell>
          <cell r="BL11">
            <v>1</v>
          </cell>
          <cell r="BM11">
            <v>934</v>
          </cell>
          <cell r="BN11">
            <v>74</v>
          </cell>
          <cell r="BO11">
            <v>414</v>
          </cell>
          <cell r="BP11">
            <v>290</v>
          </cell>
          <cell r="BQ11">
            <v>374</v>
          </cell>
          <cell r="BR11">
            <v>102</v>
          </cell>
          <cell r="BS11">
            <v>48.8</v>
          </cell>
          <cell r="BT11">
            <v>46.6</v>
          </cell>
          <cell r="BU11">
            <v>10.5</v>
          </cell>
          <cell r="BV11">
            <v>0</v>
          </cell>
          <cell r="BW11">
            <v>8</v>
          </cell>
          <cell r="BX11">
            <v>0.6</v>
          </cell>
          <cell r="BY11">
            <v>0.38</v>
          </cell>
        </row>
        <row r="12">
          <cell r="H12" t="str">
            <v>T4高</v>
          </cell>
          <cell r="I12">
            <v>11</v>
          </cell>
          <cell r="J12">
            <v>2</v>
          </cell>
          <cell r="K12">
            <v>3.02</v>
          </cell>
          <cell r="L12">
            <v>6</v>
          </cell>
          <cell r="M12">
            <v>0.35499999999999998</v>
          </cell>
          <cell r="N12">
            <v>0.71</v>
          </cell>
          <cell r="O12">
            <v>0.55000000000000004</v>
          </cell>
          <cell r="P12">
            <v>0.45</v>
          </cell>
          <cell r="BH12" t="str">
            <v>二号2</v>
          </cell>
          <cell r="BI12">
            <v>2</v>
          </cell>
          <cell r="BJ12" t="str">
            <v>二号</v>
          </cell>
          <cell r="BK12" t="str">
            <v>低</v>
          </cell>
          <cell r="BL12">
            <v>2</v>
          </cell>
          <cell r="BM12">
            <v>991</v>
          </cell>
          <cell r="BN12">
            <v>77</v>
          </cell>
          <cell r="BO12">
            <v>435</v>
          </cell>
          <cell r="BP12">
            <v>304</v>
          </cell>
          <cell r="BQ12">
            <v>388</v>
          </cell>
          <cell r="BR12">
            <v>107</v>
          </cell>
          <cell r="BS12">
            <v>50.5</v>
          </cell>
          <cell r="BT12">
            <v>48.2</v>
          </cell>
          <cell r="BU12">
            <v>10.5</v>
          </cell>
          <cell r="BV12">
            <v>0</v>
          </cell>
          <cell r="BW12">
            <v>7.6</v>
          </cell>
          <cell r="BX12">
            <v>0.6</v>
          </cell>
          <cell r="BY12">
            <v>0.37</v>
          </cell>
        </row>
        <row r="13">
          <cell r="H13" t="str">
            <v>T5低</v>
          </cell>
          <cell r="I13">
            <v>13</v>
          </cell>
          <cell r="J13">
            <v>2.52</v>
          </cell>
          <cell r="K13">
            <v>3.65</v>
          </cell>
          <cell r="L13">
            <v>7</v>
          </cell>
          <cell r="M13">
            <v>0.35499999999999998</v>
          </cell>
          <cell r="N13">
            <v>0.89459999999999995</v>
          </cell>
          <cell r="O13">
            <v>0.5</v>
          </cell>
          <cell r="P13">
            <v>0.5</v>
          </cell>
          <cell r="BH13" t="str">
            <v>二号3</v>
          </cell>
          <cell r="BI13">
            <v>2</v>
          </cell>
          <cell r="BJ13" t="str">
            <v>二号</v>
          </cell>
          <cell r="BK13" t="str">
            <v>低</v>
          </cell>
          <cell r="BL13">
            <v>3</v>
          </cell>
          <cell r="BM13">
            <v>1049</v>
          </cell>
          <cell r="BN13">
            <v>80</v>
          </cell>
          <cell r="BO13">
            <v>455</v>
          </cell>
          <cell r="BP13">
            <v>318</v>
          </cell>
          <cell r="BQ13">
            <v>402</v>
          </cell>
          <cell r="BR13">
            <v>113</v>
          </cell>
          <cell r="BS13">
            <v>52.1</v>
          </cell>
          <cell r="BT13">
            <v>49.8</v>
          </cell>
          <cell r="BU13">
            <v>10.5</v>
          </cell>
          <cell r="BV13">
            <v>0</v>
          </cell>
          <cell r="BW13">
            <v>7.2</v>
          </cell>
          <cell r="BX13">
            <v>0.6</v>
          </cell>
          <cell r="BY13">
            <v>0.36</v>
          </cell>
        </row>
        <row r="14">
          <cell r="H14" t="str">
            <v>T5中</v>
          </cell>
          <cell r="I14">
            <v>13</v>
          </cell>
          <cell r="J14">
            <v>2.62</v>
          </cell>
          <cell r="K14">
            <v>3.82</v>
          </cell>
          <cell r="L14">
            <v>7</v>
          </cell>
          <cell r="M14">
            <v>0.35499999999999998</v>
          </cell>
          <cell r="N14">
            <v>0.93010000000000004</v>
          </cell>
          <cell r="O14">
            <v>0.5</v>
          </cell>
          <cell r="P14">
            <v>0.5</v>
          </cell>
          <cell r="BH14" t="str">
            <v>二号4</v>
          </cell>
          <cell r="BI14">
            <v>2</v>
          </cell>
          <cell r="BJ14" t="str">
            <v>二号</v>
          </cell>
          <cell r="BK14" t="str">
            <v>低</v>
          </cell>
          <cell r="BL14">
            <v>4</v>
          </cell>
          <cell r="BM14">
            <v>1107</v>
          </cell>
          <cell r="BN14">
            <v>83</v>
          </cell>
          <cell r="BO14">
            <v>475</v>
          </cell>
          <cell r="BP14">
            <v>333</v>
          </cell>
          <cell r="BQ14">
            <v>416</v>
          </cell>
          <cell r="BR14">
            <v>119</v>
          </cell>
          <cell r="BS14">
            <v>53.8</v>
          </cell>
          <cell r="BT14">
            <v>51.4</v>
          </cell>
          <cell r="BU14">
            <v>10.5</v>
          </cell>
          <cell r="BV14">
            <v>0</v>
          </cell>
          <cell r="BW14">
            <v>6.8</v>
          </cell>
          <cell r="BX14">
            <v>0.6</v>
          </cell>
          <cell r="BY14">
            <v>0.35</v>
          </cell>
        </row>
        <row r="15">
          <cell r="H15" t="str">
            <v>T5高</v>
          </cell>
          <cell r="I15">
            <v>13</v>
          </cell>
          <cell r="J15">
            <v>2.62</v>
          </cell>
          <cell r="K15">
            <v>3.89</v>
          </cell>
          <cell r="L15">
            <v>7</v>
          </cell>
          <cell r="M15">
            <v>0.35499999999999998</v>
          </cell>
          <cell r="N15">
            <v>0.93010000000000004</v>
          </cell>
          <cell r="O15">
            <v>0.5</v>
          </cell>
          <cell r="P15">
            <v>0.5</v>
          </cell>
          <cell r="BH15" t="str">
            <v>二号5</v>
          </cell>
          <cell r="BI15">
            <v>2</v>
          </cell>
          <cell r="BJ15" t="str">
            <v>二号</v>
          </cell>
          <cell r="BK15" t="str">
            <v>低</v>
          </cell>
          <cell r="BL15">
            <v>5</v>
          </cell>
          <cell r="BM15">
            <v>1165</v>
          </cell>
          <cell r="BN15">
            <v>85</v>
          </cell>
          <cell r="BO15">
            <v>495</v>
          </cell>
          <cell r="BP15">
            <v>347</v>
          </cell>
          <cell r="BQ15">
            <v>430</v>
          </cell>
          <cell r="BR15">
            <v>125</v>
          </cell>
          <cell r="BS15">
            <v>55.5</v>
          </cell>
          <cell r="BT15">
            <v>53</v>
          </cell>
          <cell r="BU15">
            <v>10.5</v>
          </cell>
          <cell r="BV15">
            <v>0</v>
          </cell>
          <cell r="BW15">
            <v>6.4</v>
          </cell>
          <cell r="BX15">
            <v>0.6</v>
          </cell>
          <cell r="BY15">
            <v>0.35</v>
          </cell>
        </row>
        <row r="16">
          <cell r="BH16" t="str">
            <v>二号6</v>
          </cell>
          <cell r="BI16">
            <v>2</v>
          </cell>
          <cell r="BJ16" t="str">
            <v>二号</v>
          </cell>
          <cell r="BK16" t="str">
            <v>低</v>
          </cell>
          <cell r="BL16">
            <v>6</v>
          </cell>
          <cell r="BM16">
            <v>1222</v>
          </cell>
          <cell r="BN16">
            <v>88</v>
          </cell>
          <cell r="BO16">
            <v>516</v>
          </cell>
          <cell r="BP16">
            <v>361</v>
          </cell>
          <cell r="BQ16">
            <v>444</v>
          </cell>
          <cell r="BR16">
            <v>130</v>
          </cell>
          <cell r="BS16">
            <v>57.2</v>
          </cell>
          <cell r="BT16">
            <v>54.6</v>
          </cell>
          <cell r="BU16">
            <v>10.5</v>
          </cell>
          <cell r="BV16">
            <v>0</v>
          </cell>
          <cell r="BW16">
            <v>6</v>
          </cell>
          <cell r="BX16">
            <v>0.6</v>
          </cell>
          <cell r="BY16">
            <v>0.34</v>
          </cell>
        </row>
        <row r="17">
          <cell r="BH17" t="str">
            <v>二号7</v>
          </cell>
          <cell r="BI17">
            <v>2</v>
          </cell>
          <cell r="BJ17" t="str">
            <v>二号</v>
          </cell>
          <cell r="BK17" t="str">
            <v>低</v>
          </cell>
          <cell r="BL17">
            <v>7</v>
          </cell>
          <cell r="BM17">
            <v>1280</v>
          </cell>
          <cell r="BN17">
            <v>91</v>
          </cell>
          <cell r="BO17">
            <v>536</v>
          </cell>
          <cell r="BP17">
            <v>375</v>
          </cell>
          <cell r="BQ17">
            <v>458</v>
          </cell>
          <cell r="BR17">
            <v>136</v>
          </cell>
          <cell r="BS17">
            <v>58.9</v>
          </cell>
          <cell r="BT17">
            <v>56.3</v>
          </cell>
          <cell r="BU17">
            <v>10.5</v>
          </cell>
          <cell r="BV17">
            <v>0</v>
          </cell>
          <cell r="BW17">
            <v>5.6</v>
          </cell>
          <cell r="BX17">
            <v>0.6</v>
          </cell>
          <cell r="BY17">
            <v>0.33</v>
          </cell>
        </row>
        <row r="18">
          <cell r="BH18" t="str">
            <v>Puma0</v>
          </cell>
          <cell r="BI18">
            <v>3</v>
          </cell>
          <cell r="BJ18" t="str">
            <v>Puma</v>
          </cell>
          <cell r="BK18" t="str">
            <v>中</v>
          </cell>
          <cell r="BL18">
            <v>0</v>
          </cell>
          <cell r="BM18">
            <v>1054</v>
          </cell>
          <cell r="BN18">
            <v>79</v>
          </cell>
          <cell r="BO18">
            <v>401</v>
          </cell>
          <cell r="BP18">
            <v>281</v>
          </cell>
          <cell r="BQ18">
            <v>366</v>
          </cell>
          <cell r="BR18">
            <v>98</v>
          </cell>
          <cell r="BS18">
            <v>43.3</v>
          </cell>
          <cell r="BT18">
            <v>51</v>
          </cell>
          <cell r="BU18">
            <v>10.199999999999999</v>
          </cell>
          <cell r="BV18">
            <v>0</v>
          </cell>
          <cell r="BW18">
            <v>3.2</v>
          </cell>
          <cell r="BX18">
            <v>0.8</v>
          </cell>
          <cell r="BY18">
            <v>0.57999999999999996</v>
          </cell>
        </row>
        <row r="19">
          <cell r="BH19" t="str">
            <v>Puma1</v>
          </cell>
          <cell r="BI19">
            <v>3</v>
          </cell>
          <cell r="BJ19" t="str">
            <v>Puma</v>
          </cell>
          <cell r="BK19" t="str">
            <v>中</v>
          </cell>
          <cell r="BL19">
            <v>1</v>
          </cell>
          <cell r="BM19">
            <v>1129</v>
          </cell>
          <cell r="BN19">
            <v>82</v>
          </cell>
          <cell r="BO19">
            <v>423</v>
          </cell>
          <cell r="BP19">
            <v>296</v>
          </cell>
          <cell r="BQ19">
            <v>381</v>
          </cell>
          <cell r="BR19">
            <v>104</v>
          </cell>
          <cell r="BS19">
            <v>44.8</v>
          </cell>
          <cell r="BT19">
            <v>52.8</v>
          </cell>
          <cell r="BU19">
            <v>10.199999999999999</v>
          </cell>
          <cell r="BV19">
            <v>0</v>
          </cell>
          <cell r="BW19">
            <v>3</v>
          </cell>
          <cell r="BX19">
            <v>0.8</v>
          </cell>
          <cell r="BY19">
            <v>0.56000000000000005</v>
          </cell>
        </row>
        <row r="20">
          <cell r="BH20" t="str">
            <v>Puma2</v>
          </cell>
          <cell r="BI20">
            <v>3</v>
          </cell>
          <cell r="BJ20" t="str">
            <v>Puma</v>
          </cell>
          <cell r="BK20" t="str">
            <v>中</v>
          </cell>
          <cell r="BL20">
            <v>2</v>
          </cell>
          <cell r="BM20">
            <v>1205</v>
          </cell>
          <cell r="BN20">
            <v>85</v>
          </cell>
          <cell r="BO20">
            <v>444</v>
          </cell>
          <cell r="BP20">
            <v>311</v>
          </cell>
          <cell r="BQ20">
            <v>396</v>
          </cell>
          <cell r="BR20">
            <v>110</v>
          </cell>
          <cell r="BS20">
            <v>46.4</v>
          </cell>
          <cell r="BT20">
            <v>54.6</v>
          </cell>
          <cell r="BU20">
            <v>10.199999999999999</v>
          </cell>
          <cell r="BV20">
            <v>0</v>
          </cell>
          <cell r="BW20">
            <v>2.9</v>
          </cell>
          <cell r="BX20">
            <v>0.8</v>
          </cell>
          <cell r="BY20">
            <v>0.55000000000000004</v>
          </cell>
        </row>
        <row r="21">
          <cell r="BH21" t="str">
            <v>Puma3</v>
          </cell>
          <cell r="BI21">
            <v>3</v>
          </cell>
          <cell r="BJ21" t="str">
            <v>Puma</v>
          </cell>
          <cell r="BK21" t="str">
            <v>中</v>
          </cell>
          <cell r="BL21">
            <v>3</v>
          </cell>
          <cell r="BM21">
            <v>1281</v>
          </cell>
          <cell r="BN21">
            <v>89</v>
          </cell>
          <cell r="BO21">
            <v>466</v>
          </cell>
          <cell r="BP21">
            <v>327</v>
          </cell>
          <cell r="BQ21">
            <v>411</v>
          </cell>
          <cell r="BR21">
            <v>116</v>
          </cell>
          <cell r="BS21">
            <v>47.9</v>
          </cell>
          <cell r="BT21">
            <v>56.5</v>
          </cell>
          <cell r="BU21">
            <v>10.199999999999999</v>
          </cell>
          <cell r="BV21">
            <v>0</v>
          </cell>
          <cell r="BW21">
            <v>2.7</v>
          </cell>
          <cell r="BX21">
            <v>0.8</v>
          </cell>
          <cell r="BY21">
            <v>0.53</v>
          </cell>
        </row>
        <row r="22">
          <cell r="BH22" t="str">
            <v>Puma4</v>
          </cell>
          <cell r="BI22">
            <v>3</v>
          </cell>
          <cell r="BJ22" t="str">
            <v>Puma</v>
          </cell>
          <cell r="BK22" t="str">
            <v>中</v>
          </cell>
          <cell r="BL22">
            <v>4</v>
          </cell>
          <cell r="BM22">
            <v>1357</v>
          </cell>
          <cell r="BN22">
            <v>92</v>
          </cell>
          <cell r="BO22">
            <v>488</v>
          </cell>
          <cell r="BP22">
            <v>342</v>
          </cell>
          <cell r="BQ22">
            <v>426</v>
          </cell>
          <cell r="BR22">
            <v>123</v>
          </cell>
          <cell r="BS22">
            <v>49.5</v>
          </cell>
          <cell r="BT22">
            <v>58.3</v>
          </cell>
          <cell r="BU22">
            <v>10.199999999999999</v>
          </cell>
          <cell r="BV22">
            <v>0</v>
          </cell>
          <cell r="BW22">
            <v>2.6</v>
          </cell>
          <cell r="BX22">
            <v>0.8</v>
          </cell>
          <cell r="BY22">
            <v>0.52</v>
          </cell>
        </row>
        <row r="23">
          <cell r="BH23" t="str">
            <v>Puma5</v>
          </cell>
          <cell r="BI23">
            <v>3</v>
          </cell>
          <cell r="BJ23" t="str">
            <v>Puma</v>
          </cell>
          <cell r="BK23" t="str">
            <v>中</v>
          </cell>
          <cell r="BL23">
            <v>5</v>
          </cell>
          <cell r="BM23">
            <v>1433</v>
          </cell>
          <cell r="BN23">
            <v>95</v>
          </cell>
          <cell r="BO23">
            <v>510</v>
          </cell>
          <cell r="BP23">
            <v>357</v>
          </cell>
          <cell r="BQ23">
            <v>441</v>
          </cell>
          <cell r="BR23">
            <v>129</v>
          </cell>
          <cell r="BS23">
            <v>51</v>
          </cell>
          <cell r="BT23">
            <v>60.1</v>
          </cell>
          <cell r="BU23">
            <v>10.199999999999999</v>
          </cell>
          <cell r="BV23">
            <v>0</v>
          </cell>
          <cell r="BW23">
            <v>2.4</v>
          </cell>
          <cell r="BX23">
            <v>0.8</v>
          </cell>
          <cell r="BY23">
            <v>0.51</v>
          </cell>
        </row>
        <row r="24">
          <cell r="BH24" t="str">
            <v>Puma6</v>
          </cell>
          <cell r="BI24">
            <v>3</v>
          </cell>
          <cell r="BJ24" t="str">
            <v>Puma</v>
          </cell>
          <cell r="BK24" t="str">
            <v>中</v>
          </cell>
          <cell r="BL24">
            <v>6</v>
          </cell>
          <cell r="BM24">
            <v>1509</v>
          </cell>
          <cell r="BN24">
            <v>98</v>
          </cell>
          <cell r="BO24">
            <v>531</v>
          </cell>
          <cell r="BP24">
            <v>372</v>
          </cell>
          <cell r="BQ24">
            <v>456</v>
          </cell>
          <cell r="BR24">
            <v>135</v>
          </cell>
          <cell r="BS24">
            <v>52.6</v>
          </cell>
          <cell r="BT24">
            <v>61.9</v>
          </cell>
          <cell r="BU24">
            <v>10.199999999999999</v>
          </cell>
          <cell r="BV24">
            <v>0</v>
          </cell>
          <cell r="BW24">
            <v>2.2999999999999998</v>
          </cell>
          <cell r="BX24">
            <v>0.8</v>
          </cell>
          <cell r="BY24">
            <v>0.49</v>
          </cell>
        </row>
        <row r="25">
          <cell r="BH25" t="str">
            <v>Puma7</v>
          </cell>
          <cell r="BI25">
            <v>3</v>
          </cell>
          <cell r="BJ25" t="str">
            <v>Puma</v>
          </cell>
          <cell r="BK25" t="str">
            <v>中</v>
          </cell>
          <cell r="BL25">
            <v>7</v>
          </cell>
          <cell r="BM25">
            <v>1585</v>
          </cell>
          <cell r="BN25">
            <v>102</v>
          </cell>
          <cell r="BO25">
            <v>553</v>
          </cell>
          <cell r="BP25">
            <v>388</v>
          </cell>
          <cell r="BQ25">
            <v>471</v>
          </cell>
          <cell r="BR25">
            <v>141</v>
          </cell>
          <cell r="BS25">
            <v>54.1</v>
          </cell>
          <cell r="BT25">
            <v>63.8</v>
          </cell>
          <cell r="BU25">
            <v>10.199999999999999</v>
          </cell>
          <cell r="BV25">
            <v>0</v>
          </cell>
          <cell r="BW25">
            <v>2.1</v>
          </cell>
          <cell r="BX25">
            <v>0.8</v>
          </cell>
          <cell r="BY25">
            <v>0.48</v>
          </cell>
        </row>
        <row r="26">
          <cell r="BH26" t="str">
            <v>35(t)0</v>
          </cell>
          <cell r="BI26">
            <v>4</v>
          </cell>
          <cell r="BJ26" t="str">
            <v>35(t)</v>
          </cell>
          <cell r="BK26" t="str">
            <v>低</v>
          </cell>
          <cell r="BL26">
            <v>0</v>
          </cell>
          <cell r="BM26">
            <v>1204</v>
          </cell>
          <cell r="BN26">
            <v>101</v>
          </cell>
          <cell r="BO26">
            <v>486</v>
          </cell>
          <cell r="BP26">
            <v>340</v>
          </cell>
          <cell r="BQ26">
            <v>444</v>
          </cell>
          <cell r="BR26">
            <v>118</v>
          </cell>
          <cell r="BS26">
            <v>42.4</v>
          </cell>
          <cell r="BT26">
            <v>50</v>
          </cell>
          <cell r="BU26">
            <v>10</v>
          </cell>
          <cell r="BV26">
            <v>0</v>
          </cell>
          <cell r="BW26">
            <v>6.3</v>
          </cell>
          <cell r="BX26">
            <v>0.8</v>
          </cell>
          <cell r="BY26">
            <v>0.52</v>
          </cell>
        </row>
        <row r="27">
          <cell r="BH27" t="str">
            <v>35(t)1</v>
          </cell>
          <cell r="BI27">
            <v>4</v>
          </cell>
          <cell r="BJ27" t="str">
            <v>35(t)</v>
          </cell>
          <cell r="BK27" t="str">
            <v>低</v>
          </cell>
          <cell r="BL27">
            <v>1</v>
          </cell>
          <cell r="BM27">
            <v>1267</v>
          </cell>
          <cell r="BN27">
            <v>104</v>
          </cell>
          <cell r="BO27">
            <v>507</v>
          </cell>
          <cell r="BP27">
            <v>355</v>
          </cell>
          <cell r="BQ27">
            <v>458</v>
          </cell>
          <cell r="BR27">
            <v>124</v>
          </cell>
          <cell r="BS27">
            <v>43.6</v>
          </cell>
          <cell r="BT27">
            <v>51.4</v>
          </cell>
          <cell r="BU27">
            <v>10</v>
          </cell>
          <cell r="BV27">
            <v>0</v>
          </cell>
          <cell r="BW27">
            <v>6.1</v>
          </cell>
          <cell r="BX27">
            <v>0.8</v>
          </cell>
          <cell r="BY27">
            <v>0.51</v>
          </cell>
        </row>
        <row r="28">
          <cell r="BH28" t="str">
            <v>35(t)2</v>
          </cell>
          <cell r="BI28">
            <v>4</v>
          </cell>
          <cell r="BJ28" t="str">
            <v>35(t)</v>
          </cell>
          <cell r="BK28" t="str">
            <v>低</v>
          </cell>
          <cell r="BL28">
            <v>2</v>
          </cell>
          <cell r="BM28">
            <v>1331</v>
          </cell>
          <cell r="BN28">
            <v>107</v>
          </cell>
          <cell r="BO28">
            <v>528</v>
          </cell>
          <cell r="BP28">
            <v>370</v>
          </cell>
          <cell r="BQ28">
            <v>472</v>
          </cell>
          <cell r="BR28">
            <v>130</v>
          </cell>
          <cell r="BS28">
            <v>44.8</v>
          </cell>
          <cell r="BT28">
            <v>52.8</v>
          </cell>
          <cell r="BU28">
            <v>10</v>
          </cell>
          <cell r="BV28">
            <v>0</v>
          </cell>
          <cell r="BW28">
            <v>5.9</v>
          </cell>
          <cell r="BX28">
            <v>0.8</v>
          </cell>
          <cell r="BY28">
            <v>0.5</v>
          </cell>
        </row>
        <row r="29">
          <cell r="BH29" t="str">
            <v>35(t)3</v>
          </cell>
          <cell r="BI29">
            <v>4</v>
          </cell>
          <cell r="BJ29" t="str">
            <v>35(t)</v>
          </cell>
          <cell r="BK29" t="str">
            <v>低</v>
          </cell>
          <cell r="BL29">
            <v>3</v>
          </cell>
          <cell r="BM29">
            <v>1394</v>
          </cell>
          <cell r="BN29">
            <v>111</v>
          </cell>
          <cell r="BO29">
            <v>550</v>
          </cell>
          <cell r="BP29">
            <v>385</v>
          </cell>
          <cell r="BQ29">
            <v>485</v>
          </cell>
          <cell r="BR29">
            <v>137</v>
          </cell>
          <cell r="BS29">
            <v>45.9</v>
          </cell>
          <cell r="BT29">
            <v>54.2</v>
          </cell>
          <cell r="BU29">
            <v>10</v>
          </cell>
          <cell r="BV29">
            <v>0</v>
          </cell>
          <cell r="BW29">
            <v>5.6</v>
          </cell>
          <cell r="BX29">
            <v>0.8</v>
          </cell>
          <cell r="BY29">
            <v>0.49</v>
          </cell>
        </row>
        <row r="30">
          <cell r="BH30" t="str">
            <v>35(t)4</v>
          </cell>
          <cell r="BI30">
            <v>4</v>
          </cell>
          <cell r="BJ30" t="str">
            <v>35(t)</v>
          </cell>
          <cell r="BK30" t="str">
            <v>低</v>
          </cell>
          <cell r="BL30">
            <v>4</v>
          </cell>
          <cell r="BM30">
            <v>1457</v>
          </cell>
          <cell r="BN30">
            <v>114</v>
          </cell>
          <cell r="BO30">
            <v>571</v>
          </cell>
          <cell r="BP30">
            <v>399</v>
          </cell>
          <cell r="BQ30">
            <v>499</v>
          </cell>
          <cell r="BR30">
            <v>143</v>
          </cell>
          <cell r="BS30">
            <v>47.1</v>
          </cell>
          <cell r="BT30">
            <v>55.6</v>
          </cell>
          <cell r="BU30">
            <v>10</v>
          </cell>
          <cell r="BV30">
            <v>0</v>
          </cell>
          <cell r="BW30">
            <v>5.4</v>
          </cell>
          <cell r="BX30">
            <v>0.8</v>
          </cell>
          <cell r="BY30">
            <v>0.48</v>
          </cell>
        </row>
        <row r="31">
          <cell r="BH31" t="str">
            <v>35(t)5</v>
          </cell>
          <cell r="BI31">
            <v>4</v>
          </cell>
          <cell r="BJ31" t="str">
            <v>35(t)</v>
          </cell>
          <cell r="BK31" t="str">
            <v>低</v>
          </cell>
          <cell r="BL31">
            <v>5</v>
          </cell>
          <cell r="BM31">
            <v>1521</v>
          </cell>
          <cell r="BN31">
            <v>117</v>
          </cell>
          <cell r="BO31">
            <v>592</v>
          </cell>
          <cell r="BP31">
            <v>414</v>
          </cell>
          <cell r="BQ31">
            <v>513</v>
          </cell>
          <cell r="BR31">
            <v>149</v>
          </cell>
          <cell r="BS31">
            <v>48.3</v>
          </cell>
          <cell r="BT31">
            <v>56.9</v>
          </cell>
          <cell r="BU31">
            <v>10</v>
          </cell>
          <cell r="BV31">
            <v>0</v>
          </cell>
          <cell r="BW31">
            <v>5.2</v>
          </cell>
          <cell r="BX31">
            <v>0.8</v>
          </cell>
          <cell r="BY31">
            <v>0.47</v>
          </cell>
        </row>
        <row r="32">
          <cell r="BH32" t="str">
            <v>35(t)6</v>
          </cell>
          <cell r="BI32">
            <v>4</v>
          </cell>
          <cell r="BJ32" t="str">
            <v>35(t)</v>
          </cell>
          <cell r="BK32" t="str">
            <v>低</v>
          </cell>
          <cell r="BL32">
            <v>6</v>
          </cell>
          <cell r="BM32">
            <v>1584</v>
          </cell>
          <cell r="BN32">
            <v>120</v>
          </cell>
          <cell r="BO32">
            <v>613</v>
          </cell>
          <cell r="BP32">
            <v>429</v>
          </cell>
          <cell r="BQ32">
            <v>527</v>
          </cell>
          <cell r="BR32">
            <v>155</v>
          </cell>
          <cell r="BS32">
            <v>49.5</v>
          </cell>
          <cell r="BT32">
            <v>58.3</v>
          </cell>
          <cell r="BU32">
            <v>10</v>
          </cell>
          <cell r="BV32">
            <v>0</v>
          </cell>
          <cell r="BW32">
            <v>5</v>
          </cell>
          <cell r="BX32">
            <v>0.8</v>
          </cell>
          <cell r="BY32">
            <v>0.46</v>
          </cell>
        </row>
        <row r="33">
          <cell r="BH33" t="str">
            <v>35(t)7</v>
          </cell>
          <cell r="BI33">
            <v>4</v>
          </cell>
          <cell r="BJ33" t="str">
            <v>35(t)</v>
          </cell>
          <cell r="BK33" t="str">
            <v>低</v>
          </cell>
          <cell r="BL33">
            <v>7</v>
          </cell>
          <cell r="BM33">
            <v>1648</v>
          </cell>
          <cell r="BN33">
            <v>123</v>
          </cell>
          <cell r="BO33">
            <v>634</v>
          </cell>
          <cell r="BP33">
            <v>444</v>
          </cell>
          <cell r="BQ33">
            <v>541</v>
          </cell>
          <cell r="BR33">
            <v>162</v>
          </cell>
          <cell r="BS33">
            <v>50.6</v>
          </cell>
          <cell r="BT33">
            <v>59.7</v>
          </cell>
          <cell r="BU33">
            <v>10</v>
          </cell>
          <cell r="BV33">
            <v>0</v>
          </cell>
          <cell r="BW33">
            <v>4.8</v>
          </cell>
          <cell r="BX33">
            <v>0.8</v>
          </cell>
          <cell r="BY33">
            <v>0.45</v>
          </cell>
        </row>
        <row r="34">
          <cell r="BH34" t="str">
            <v>35(t)8</v>
          </cell>
          <cell r="BI34">
            <v>4</v>
          </cell>
          <cell r="BJ34" t="str">
            <v>35(t)</v>
          </cell>
          <cell r="BK34" t="str">
            <v>低</v>
          </cell>
          <cell r="BL34">
            <v>8</v>
          </cell>
          <cell r="BM34">
            <v>1711</v>
          </cell>
          <cell r="BN34">
            <v>126</v>
          </cell>
          <cell r="BO34">
            <v>655</v>
          </cell>
          <cell r="BP34">
            <v>459</v>
          </cell>
          <cell r="BQ34">
            <v>554</v>
          </cell>
          <cell r="BR34">
            <v>168</v>
          </cell>
          <cell r="BS34">
            <v>51.8</v>
          </cell>
          <cell r="BT34">
            <v>61.1</v>
          </cell>
          <cell r="BU34">
            <v>10</v>
          </cell>
          <cell r="BV34">
            <v>0</v>
          </cell>
          <cell r="BW34">
            <v>4.5</v>
          </cell>
          <cell r="BX34">
            <v>0.8</v>
          </cell>
          <cell r="BY34">
            <v>0.44</v>
          </cell>
        </row>
        <row r="35">
          <cell r="BH35" t="str">
            <v>35(t)9</v>
          </cell>
          <cell r="BI35">
            <v>4</v>
          </cell>
          <cell r="BJ35" t="str">
            <v>35(t)</v>
          </cell>
          <cell r="BK35" t="str">
            <v>低</v>
          </cell>
          <cell r="BL35">
            <v>9</v>
          </cell>
          <cell r="BM35">
            <v>1775</v>
          </cell>
          <cell r="BN35">
            <v>129</v>
          </cell>
          <cell r="BO35">
            <v>677</v>
          </cell>
          <cell r="BP35">
            <v>474</v>
          </cell>
          <cell r="BQ35">
            <v>568</v>
          </cell>
          <cell r="BR35">
            <v>174</v>
          </cell>
          <cell r="BS35">
            <v>53</v>
          </cell>
          <cell r="BT35">
            <v>62.5</v>
          </cell>
          <cell r="BU35">
            <v>10</v>
          </cell>
          <cell r="BV35">
            <v>0</v>
          </cell>
          <cell r="BW35">
            <v>4.3</v>
          </cell>
          <cell r="BX35">
            <v>0.8</v>
          </cell>
          <cell r="BY35">
            <v>0.43</v>
          </cell>
        </row>
        <row r="36">
          <cell r="BH36" t="str">
            <v>十字军0</v>
          </cell>
          <cell r="BI36">
            <v>5</v>
          </cell>
          <cell r="BJ36" t="str">
            <v>十字军</v>
          </cell>
          <cell r="BK36" t="str">
            <v>中</v>
          </cell>
          <cell r="BL36">
            <v>0</v>
          </cell>
          <cell r="BM36">
            <v>1264</v>
          </cell>
          <cell r="BN36">
            <v>71</v>
          </cell>
          <cell r="BO36">
            <v>506</v>
          </cell>
          <cell r="BP36">
            <v>354</v>
          </cell>
          <cell r="BQ36">
            <v>462</v>
          </cell>
          <cell r="BR36">
            <v>123</v>
          </cell>
          <cell r="BS36">
            <v>48.1</v>
          </cell>
          <cell r="BT36">
            <v>45.9</v>
          </cell>
          <cell r="BU36">
            <v>10.7</v>
          </cell>
          <cell r="BV36">
            <v>0</v>
          </cell>
          <cell r="BW36">
            <v>8.4</v>
          </cell>
          <cell r="BX36">
            <v>0.6</v>
          </cell>
          <cell r="BY36">
            <v>0.42</v>
          </cell>
        </row>
        <row r="37">
          <cell r="BH37" t="str">
            <v>十字军1</v>
          </cell>
          <cell r="BI37">
            <v>5</v>
          </cell>
          <cell r="BJ37" t="str">
            <v>十字军</v>
          </cell>
          <cell r="BK37" t="str">
            <v>中</v>
          </cell>
          <cell r="BL37">
            <v>1</v>
          </cell>
          <cell r="BM37">
            <v>1335</v>
          </cell>
          <cell r="BN37">
            <v>73</v>
          </cell>
          <cell r="BO37">
            <v>529</v>
          </cell>
          <cell r="BP37">
            <v>370</v>
          </cell>
          <cell r="BQ37">
            <v>477</v>
          </cell>
          <cell r="BR37">
            <v>130</v>
          </cell>
          <cell r="BS37">
            <v>49.4</v>
          </cell>
          <cell r="BT37">
            <v>47.2</v>
          </cell>
          <cell r="BU37">
            <v>10.7</v>
          </cell>
          <cell r="BV37">
            <v>0</v>
          </cell>
          <cell r="BW37">
            <v>8.1</v>
          </cell>
          <cell r="BX37">
            <v>0.6</v>
          </cell>
          <cell r="BY37">
            <v>0.41</v>
          </cell>
        </row>
        <row r="38">
          <cell r="BH38" t="str">
            <v>十字军2</v>
          </cell>
          <cell r="BI38">
            <v>5</v>
          </cell>
          <cell r="BJ38" t="str">
            <v>十字军</v>
          </cell>
          <cell r="BK38" t="str">
            <v>中</v>
          </cell>
          <cell r="BL38">
            <v>2</v>
          </cell>
          <cell r="BM38">
            <v>1407</v>
          </cell>
          <cell r="BN38">
            <v>76</v>
          </cell>
          <cell r="BO38">
            <v>551</v>
          </cell>
          <cell r="BP38">
            <v>386</v>
          </cell>
          <cell r="BQ38">
            <v>492</v>
          </cell>
          <cell r="BR38">
            <v>136</v>
          </cell>
          <cell r="BS38">
            <v>50.8</v>
          </cell>
          <cell r="BT38">
            <v>48.5</v>
          </cell>
          <cell r="BU38">
            <v>10.7</v>
          </cell>
          <cell r="BV38">
            <v>0</v>
          </cell>
          <cell r="BW38">
            <v>7.9</v>
          </cell>
          <cell r="BX38">
            <v>0.6</v>
          </cell>
          <cell r="BY38">
            <v>0.4</v>
          </cell>
        </row>
        <row r="39">
          <cell r="BH39" t="str">
            <v>十字军3</v>
          </cell>
          <cell r="BI39">
            <v>5</v>
          </cell>
          <cell r="BJ39" t="str">
            <v>十字军</v>
          </cell>
          <cell r="BK39" t="str">
            <v>中</v>
          </cell>
          <cell r="BL39">
            <v>3</v>
          </cell>
          <cell r="BM39">
            <v>1479</v>
          </cell>
          <cell r="BN39">
            <v>78</v>
          </cell>
          <cell r="BO39">
            <v>574</v>
          </cell>
          <cell r="BP39">
            <v>402</v>
          </cell>
          <cell r="BQ39">
            <v>506</v>
          </cell>
          <cell r="BR39">
            <v>143</v>
          </cell>
          <cell r="BS39">
            <v>52.1</v>
          </cell>
          <cell r="BT39">
            <v>49.7</v>
          </cell>
          <cell r="BU39">
            <v>10.7</v>
          </cell>
          <cell r="BV39">
            <v>0</v>
          </cell>
          <cell r="BW39">
            <v>7.6</v>
          </cell>
          <cell r="BX39">
            <v>0.6</v>
          </cell>
          <cell r="BY39">
            <v>0.39</v>
          </cell>
        </row>
        <row r="40">
          <cell r="BH40" t="str">
            <v>十字军4</v>
          </cell>
          <cell r="BI40">
            <v>5</v>
          </cell>
          <cell r="BJ40" t="str">
            <v>十字军</v>
          </cell>
          <cell r="BK40" t="str">
            <v>中</v>
          </cell>
          <cell r="BL40">
            <v>4</v>
          </cell>
          <cell r="BM40">
            <v>1550</v>
          </cell>
          <cell r="BN40">
            <v>80</v>
          </cell>
          <cell r="BO40">
            <v>597</v>
          </cell>
          <cell r="BP40">
            <v>417</v>
          </cell>
          <cell r="BQ40">
            <v>521</v>
          </cell>
          <cell r="BR40">
            <v>149</v>
          </cell>
          <cell r="BS40">
            <v>53.4</v>
          </cell>
          <cell r="BT40">
            <v>51</v>
          </cell>
          <cell r="BU40">
            <v>10.7</v>
          </cell>
          <cell r="BV40">
            <v>0</v>
          </cell>
          <cell r="BW40">
            <v>7.3</v>
          </cell>
          <cell r="BX40">
            <v>0.6</v>
          </cell>
          <cell r="BY40">
            <v>0.39</v>
          </cell>
        </row>
        <row r="41">
          <cell r="BH41" t="str">
            <v>十字军5</v>
          </cell>
          <cell r="BI41">
            <v>5</v>
          </cell>
          <cell r="BJ41" t="str">
            <v>十字军</v>
          </cell>
          <cell r="BK41" t="str">
            <v>中</v>
          </cell>
          <cell r="BL41">
            <v>5</v>
          </cell>
          <cell r="BM41">
            <v>1622</v>
          </cell>
          <cell r="BN41">
            <v>83</v>
          </cell>
          <cell r="BO41">
            <v>619</v>
          </cell>
          <cell r="BP41">
            <v>433</v>
          </cell>
          <cell r="BQ41">
            <v>536</v>
          </cell>
          <cell r="BR41">
            <v>156</v>
          </cell>
          <cell r="BS41">
            <v>54.8</v>
          </cell>
          <cell r="BT41">
            <v>52.3</v>
          </cell>
          <cell r="BU41">
            <v>10.7</v>
          </cell>
          <cell r="BV41">
            <v>0</v>
          </cell>
          <cell r="BW41">
            <v>7.1</v>
          </cell>
          <cell r="BX41">
            <v>0.6</v>
          </cell>
          <cell r="BY41">
            <v>0.38</v>
          </cell>
        </row>
        <row r="42">
          <cell r="BH42" t="str">
            <v>十字军6</v>
          </cell>
          <cell r="BI42">
            <v>5</v>
          </cell>
          <cell r="BJ42" t="str">
            <v>十字军</v>
          </cell>
          <cell r="BK42" t="str">
            <v>中</v>
          </cell>
          <cell r="BL42">
            <v>6</v>
          </cell>
          <cell r="BM42">
            <v>1693</v>
          </cell>
          <cell r="BN42">
            <v>85</v>
          </cell>
          <cell r="BO42">
            <v>642</v>
          </cell>
          <cell r="BP42">
            <v>449</v>
          </cell>
          <cell r="BQ42">
            <v>551</v>
          </cell>
          <cell r="BR42">
            <v>162</v>
          </cell>
          <cell r="BS42">
            <v>56.1</v>
          </cell>
          <cell r="BT42">
            <v>53.6</v>
          </cell>
          <cell r="BU42">
            <v>10.7</v>
          </cell>
          <cell r="BV42">
            <v>0</v>
          </cell>
          <cell r="BW42">
            <v>6.8</v>
          </cell>
          <cell r="BX42">
            <v>0.6</v>
          </cell>
          <cell r="BY42">
            <v>0.37</v>
          </cell>
        </row>
        <row r="43">
          <cell r="BH43" t="str">
            <v>十字军7</v>
          </cell>
          <cell r="BI43">
            <v>5</v>
          </cell>
          <cell r="BJ43" t="str">
            <v>十字军</v>
          </cell>
          <cell r="BK43" t="str">
            <v>中</v>
          </cell>
          <cell r="BL43">
            <v>7</v>
          </cell>
          <cell r="BM43">
            <v>1765</v>
          </cell>
          <cell r="BN43">
            <v>87</v>
          </cell>
          <cell r="BO43">
            <v>665</v>
          </cell>
          <cell r="BP43">
            <v>465</v>
          </cell>
          <cell r="BQ43">
            <v>566</v>
          </cell>
          <cell r="BR43">
            <v>169</v>
          </cell>
          <cell r="BS43">
            <v>57.5</v>
          </cell>
          <cell r="BT43">
            <v>54.8</v>
          </cell>
          <cell r="BU43">
            <v>10.7</v>
          </cell>
          <cell r="BV43">
            <v>0</v>
          </cell>
          <cell r="BW43">
            <v>6.5</v>
          </cell>
          <cell r="BX43">
            <v>0.6</v>
          </cell>
          <cell r="BY43">
            <v>0.36</v>
          </cell>
        </row>
        <row r="44">
          <cell r="BH44" t="str">
            <v>十字军8</v>
          </cell>
          <cell r="BI44">
            <v>5</v>
          </cell>
          <cell r="BJ44" t="str">
            <v>十字军</v>
          </cell>
          <cell r="BK44" t="str">
            <v>中</v>
          </cell>
          <cell r="BL44">
            <v>8</v>
          </cell>
          <cell r="BM44">
            <v>1837</v>
          </cell>
          <cell r="BN44">
            <v>90</v>
          </cell>
          <cell r="BO44">
            <v>687</v>
          </cell>
          <cell r="BP44">
            <v>481</v>
          </cell>
          <cell r="BQ44">
            <v>580</v>
          </cell>
          <cell r="BR44">
            <v>175</v>
          </cell>
          <cell r="BS44">
            <v>58.8</v>
          </cell>
          <cell r="BT44">
            <v>56.1</v>
          </cell>
          <cell r="BU44">
            <v>10.7</v>
          </cell>
          <cell r="BV44">
            <v>0</v>
          </cell>
          <cell r="BW44">
            <v>6.3</v>
          </cell>
          <cell r="BX44">
            <v>0.6</v>
          </cell>
          <cell r="BY44">
            <v>0.35</v>
          </cell>
        </row>
        <row r="45">
          <cell r="BH45" t="str">
            <v>十字军9</v>
          </cell>
          <cell r="BI45">
            <v>5</v>
          </cell>
          <cell r="BJ45" t="str">
            <v>十字军</v>
          </cell>
          <cell r="BK45" t="str">
            <v>中</v>
          </cell>
          <cell r="BL45">
            <v>9</v>
          </cell>
          <cell r="BM45">
            <v>1908</v>
          </cell>
          <cell r="BN45">
            <v>92</v>
          </cell>
          <cell r="BO45">
            <v>710</v>
          </cell>
          <cell r="BP45">
            <v>497</v>
          </cell>
          <cell r="BQ45">
            <v>595</v>
          </cell>
          <cell r="BR45">
            <v>182</v>
          </cell>
          <cell r="BS45">
            <v>60.1</v>
          </cell>
          <cell r="BT45">
            <v>57.4</v>
          </cell>
          <cell r="BU45">
            <v>10.7</v>
          </cell>
          <cell r="BV45">
            <v>0</v>
          </cell>
          <cell r="BW45">
            <v>6</v>
          </cell>
          <cell r="BX45">
            <v>0.6</v>
          </cell>
          <cell r="BY45">
            <v>0.35</v>
          </cell>
        </row>
        <row r="46">
          <cell r="BH46" t="str">
            <v>AMX-130</v>
          </cell>
          <cell r="BI46">
            <v>6</v>
          </cell>
          <cell r="BJ46" t="str">
            <v>AMX-13</v>
          </cell>
          <cell r="BK46" t="str">
            <v>高</v>
          </cell>
          <cell r="BL46">
            <v>0</v>
          </cell>
          <cell r="BM46">
            <v>1168</v>
          </cell>
          <cell r="BN46">
            <v>95</v>
          </cell>
          <cell r="BO46">
            <v>506</v>
          </cell>
          <cell r="BP46">
            <v>354</v>
          </cell>
          <cell r="BQ46">
            <v>462</v>
          </cell>
          <cell r="BR46">
            <v>123</v>
          </cell>
          <cell r="BS46">
            <v>39.6</v>
          </cell>
          <cell r="BT46">
            <v>59.1</v>
          </cell>
          <cell r="BU46">
            <v>9.9</v>
          </cell>
          <cell r="BV46">
            <v>0</v>
          </cell>
          <cell r="BW46">
            <v>6.3</v>
          </cell>
          <cell r="BX46">
            <v>0.8</v>
          </cell>
          <cell r="BY46">
            <v>0.52</v>
          </cell>
        </row>
        <row r="47">
          <cell r="BH47" t="str">
            <v>AMX-131</v>
          </cell>
          <cell r="BI47">
            <v>6</v>
          </cell>
          <cell r="BJ47" t="str">
            <v>AMX-13</v>
          </cell>
          <cell r="BK47" t="str">
            <v>高</v>
          </cell>
          <cell r="BL47">
            <v>1</v>
          </cell>
          <cell r="BM47">
            <v>1235</v>
          </cell>
          <cell r="BN47">
            <v>98</v>
          </cell>
          <cell r="BO47">
            <v>530</v>
          </cell>
          <cell r="BP47">
            <v>371</v>
          </cell>
          <cell r="BQ47">
            <v>478</v>
          </cell>
          <cell r="BR47">
            <v>130</v>
          </cell>
          <cell r="BS47">
            <v>40.700000000000003</v>
          </cell>
          <cell r="BT47">
            <v>60.7</v>
          </cell>
          <cell r="BU47">
            <v>9.9</v>
          </cell>
          <cell r="BV47">
            <v>0</v>
          </cell>
          <cell r="BW47">
            <v>6.1</v>
          </cell>
          <cell r="BX47">
            <v>0.8</v>
          </cell>
          <cell r="BY47">
            <v>0.51</v>
          </cell>
        </row>
        <row r="48">
          <cell r="BH48" t="str">
            <v>AMX-132</v>
          </cell>
          <cell r="BI48">
            <v>6</v>
          </cell>
          <cell r="BJ48" t="str">
            <v>AMX-13</v>
          </cell>
          <cell r="BK48" t="str">
            <v>高</v>
          </cell>
          <cell r="BL48">
            <v>2</v>
          </cell>
          <cell r="BM48">
            <v>1301</v>
          </cell>
          <cell r="BN48">
            <v>102</v>
          </cell>
          <cell r="BO48">
            <v>555</v>
          </cell>
          <cell r="BP48">
            <v>388</v>
          </cell>
          <cell r="BQ48">
            <v>494</v>
          </cell>
          <cell r="BR48">
            <v>137</v>
          </cell>
          <cell r="BS48">
            <v>41.8</v>
          </cell>
          <cell r="BT48">
            <v>62.4</v>
          </cell>
          <cell r="BU48">
            <v>9.9</v>
          </cell>
          <cell r="BV48">
            <v>0</v>
          </cell>
          <cell r="BW48">
            <v>5.9</v>
          </cell>
          <cell r="BX48">
            <v>0.8</v>
          </cell>
          <cell r="BY48">
            <v>0.5</v>
          </cell>
        </row>
        <row r="49">
          <cell r="BH49" t="str">
            <v>AMX-133</v>
          </cell>
          <cell r="BI49">
            <v>6</v>
          </cell>
          <cell r="BJ49" t="str">
            <v>AMX-13</v>
          </cell>
          <cell r="BK49" t="str">
            <v>高</v>
          </cell>
          <cell r="BL49">
            <v>3</v>
          </cell>
          <cell r="BM49">
            <v>1367</v>
          </cell>
          <cell r="BN49">
            <v>105</v>
          </cell>
          <cell r="BO49">
            <v>579</v>
          </cell>
          <cell r="BP49">
            <v>405</v>
          </cell>
          <cell r="BQ49">
            <v>509</v>
          </cell>
          <cell r="BR49">
            <v>144</v>
          </cell>
          <cell r="BS49">
            <v>42.9</v>
          </cell>
          <cell r="BT49">
            <v>64</v>
          </cell>
          <cell r="BU49">
            <v>9.9</v>
          </cell>
          <cell r="BV49">
            <v>0</v>
          </cell>
          <cell r="BW49">
            <v>5.6</v>
          </cell>
          <cell r="BX49">
            <v>0.8</v>
          </cell>
          <cell r="BY49">
            <v>0.49</v>
          </cell>
        </row>
        <row r="50">
          <cell r="BH50" t="str">
            <v>AMX-134</v>
          </cell>
          <cell r="BI50">
            <v>6</v>
          </cell>
          <cell r="BJ50" t="str">
            <v>AMX-13</v>
          </cell>
          <cell r="BK50" t="str">
            <v>高</v>
          </cell>
          <cell r="BL50">
            <v>4</v>
          </cell>
          <cell r="BM50">
            <v>1434</v>
          </cell>
          <cell r="BN50">
            <v>108</v>
          </cell>
          <cell r="BO50">
            <v>603</v>
          </cell>
          <cell r="BP50">
            <v>422</v>
          </cell>
          <cell r="BQ50">
            <v>525</v>
          </cell>
          <cell r="BR50">
            <v>151</v>
          </cell>
          <cell r="BS50">
            <v>44</v>
          </cell>
          <cell r="BT50">
            <v>65.7</v>
          </cell>
          <cell r="BU50">
            <v>9.9</v>
          </cell>
          <cell r="BV50">
            <v>0</v>
          </cell>
          <cell r="BW50">
            <v>5.4</v>
          </cell>
          <cell r="BX50">
            <v>0.8</v>
          </cell>
          <cell r="BY50">
            <v>0.48</v>
          </cell>
        </row>
        <row r="51">
          <cell r="BH51" t="str">
            <v>AMX-135</v>
          </cell>
          <cell r="BI51">
            <v>6</v>
          </cell>
          <cell r="BJ51" t="str">
            <v>AMX-13</v>
          </cell>
          <cell r="BK51" t="str">
            <v>高</v>
          </cell>
          <cell r="BL51">
            <v>5</v>
          </cell>
          <cell r="BM51">
            <v>1500</v>
          </cell>
          <cell r="BN51">
            <v>112</v>
          </cell>
          <cell r="BO51">
            <v>627</v>
          </cell>
          <cell r="BP51">
            <v>439</v>
          </cell>
          <cell r="BQ51">
            <v>541</v>
          </cell>
          <cell r="BR51">
            <v>158</v>
          </cell>
          <cell r="BS51">
            <v>45.1</v>
          </cell>
          <cell r="BT51">
            <v>67.3</v>
          </cell>
          <cell r="BU51">
            <v>9.9</v>
          </cell>
          <cell r="BV51">
            <v>0</v>
          </cell>
          <cell r="BW51">
            <v>5.2</v>
          </cell>
          <cell r="BX51">
            <v>0.8</v>
          </cell>
          <cell r="BY51">
            <v>0.47</v>
          </cell>
        </row>
        <row r="52">
          <cell r="BH52" t="str">
            <v>AMX-136</v>
          </cell>
          <cell r="BI52">
            <v>6</v>
          </cell>
          <cell r="BJ52" t="str">
            <v>AMX-13</v>
          </cell>
          <cell r="BK52" t="str">
            <v>高</v>
          </cell>
          <cell r="BL52">
            <v>6</v>
          </cell>
          <cell r="BM52">
            <v>1566</v>
          </cell>
          <cell r="BN52">
            <v>115</v>
          </cell>
          <cell r="BO52">
            <v>652</v>
          </cell>
          <cell r="BP52">
            <v>456</v>
          </cell>
          <cell r="BQ52">
            <v>557</v>
          </cell>
          <cell r="BR52">
            <v>165</v>
          </cell>
          <cell r="BS52">
            <v>46.2</v>
          </cell>
          <cell r="BT52">
            <v>69</v>
          </cell>
          <cell r="BU52">
            <v>9.9</v>
          </cell>
          <cell r="BV52">
            <v>0</v>
          </cell>
          <cell r="BW52">
            <v>5</v>
          </cell>
          <cell r="BX52">
            <v>0.8</v>
          </cell>
          <cell r="BY52">
            <v>0.46</v>
          </cell>
        </row>
        <row r="53">
          <cell r="BH53" t="str">
            <v>AMX-137</v>
          </cell>
          <cell r="BI53">
            <v>6</v>
          </cell>
          <cell r="BJ53" t="str">
            <v>AMX-13</v>
          </cell>
          <cell r="BK53" t="str">
            <v>高</v>
          </cell>
          <cell r="BL53">
            <v>7</v>
          </cell>
          <cell r="BM53">
            <v>1632</v>
          </cell>
          <cell r="BN53">
            <v>118</v>
          </cell>
          <cell r="BO53">
            <v>676</v>
          </cell>
          <cell r="BP53">
            <v>473</v>
          </cell>
          <cell r="BQ53">
            <v>573</v>
          </cell>
          <cell r="BR53">
            <v>172</v>
          </cell>
          <cell r="BS53">
            <v>47.3</v>
          </cell>
          <cell r="BT53">
            <v>70.599999999999994</v>
          </cell>
          <cell r="BU53">
            <v>9.9</v>
          </cell>
          <cell r="BV53">
            <v>0</v>
          </cell>
          <cell r="BW53">
            <v>4.8</v>
          </cell>
          <cell r="BX53">
            <v>0.8</v>
          </cell>
          <cell r="BY53">
            <v>0.45</v>
          </cell>
        </row>
        <row r="54">
          <cell r="BH54" t="str">
            <v>AMX-138</v>
          </cell>
          <cell r="BI54">
            <v>6</v>
          </cell>
          <cell r="BJ54" t="str">
            <v>AMX-13</v>
          </cell>
          <cell r="BK54" t="str">
            <v>高</v>
          </cell>
          <cell r="BL54">
            <v>8</v>
          </cell>
          <cell r="BM54">
            <v>1699</v>
          </cell>
          <cell r="BN54">
            <v>122</v>
          </cell>
          <cell r="BO54">
            <v>700</v>
          </cell>
          <cell r="BP54">
            <v>490</v>
          </cell>
          <cell r="BQ54">
            <v>588</v>
          </cell>
          <cell r="BR54">
            <v>179</v>
          </cell>
          <cell r="BS54">
            <v>48.4</v>
          </cell>
          <cell r="BT54">
            <v>72.2</v>
          </cell>
          <cell r="BU54">
            <v>9.9</v>
          </cell>
          <cell r="BV54">
            <v>0</v>
          </cell>
          <cell r="BW54">
            <v>4.5</v>
          </cell>
          <cell r="BX54">
            <v>0.8</v>
          </cell>
          <cell r="BY54">
            <v>0.44</v>
          </cell>
        </row>
        <row r="55">
          <cell r="BH55" t="str">
            <v>AMX-139</v>
          </cell>
          <cell r="BI55">
            <v>6</v>
          </cell>
          <cell r="BJ55" t="str">
            <v>AMX-13</v>
          </cell>
          <cell r="BK55" t="str">
            <v>高</v>
          </cell>
          <cell r="BL55">
            <v>9</v>
          </cell>
          <cell r="BM55">
            <v>1765</v>
          </cell>
          <cell r="BN55">
            <v>125</v>
          </cell>
          <cell r="BO55">
            <v>724</v>
          </cell>
          <cell r="BP55">
            <v>507</v>
          </cell>
          <cell r="BQ55">
            <v>604</v>
          </cell>
          <cell r="BR55">
            <v>186</v>
          </cell>
          <cell r="BS55">
            <v>49.5</v>
          </cell>
          <cell r="BT55">
            <v>73.900000000000006</v>
          </cell>
          <cell r="BU55">
            <v>9.9</v>
          </cell>
          <cell r="BV55">
            <v>0</v>
          </cell>
          <cell r="BW55">
            <v>4.3</v>
          </cell>
          <cell r="BX55">
            <v>0.8</v>
          </cell>
          <cell r="BY55">
            <v>0.43</v>
          </cell>
        </row>
        <row r="56">
          <cell r="BH56" t="str">
            <v>霞飞0</v>
          </cell>
          <cell r="BI56">
            <v>7</v>
          </cell>
          <cell r="BJ56" t="str">
            <v>霞飞</v>
          </cell>
          <cell r="BK56" t="str">
            <v>低</v>
          </cell>
          <cell r="BL56">
            <v>0</v>
          </cell>
          <cell r="BM56">
            <v>1467</v>
          </cell>
          <cell r="BN56">
            <v>102</v>
          </cell>
          <cell r="BO56">
            <v>631</v>
          </cell>
          <cell r="BP56">
            <v>442</v>
          </cell>
          <cell r="BQ56">
            <v>576</v>
          </cell>
          <cell r="BR56">
            <v>154</v>
          </cell>
          <cell r="BS56">
            <v>42.4</v>
          </cell>
          <cell r="BT56">
            <v>50</v>
          </cell>
          <cell r="BU56">
            <v>10</v>
          </cell>
          <cell r="BV56">
            <v>0</v>
          </cell>
          <cell r="BW56">
            <v>6.3</v>
          </cell>
          <cell r="BX56">
            <v>0.6</v>
          </cell>
          <cell r="BY56">
            <v>0.45</v>
          </cell>
        </row>
        <row r="57">
          <cell r="BH57" t="str">
            <v>霞飞1</v>
          </cell>
          <cell r="BI57">
            <v>7</v>
          </cell>
          <cell r="BJ57" t="str">
            <v>霞飞</v>
          </cell>
          <cell r="BK57" t="str">
            <v>低</v>
          </cell>
          <cell r="BL57">
            <v>1</v>
          </cell>
          <cell r="BM57">
            <v>1528</v>
          </cell>
          <cell r="BN57">
            <v>105</v>
          </cell>
          <cell r="BO57">
            <v>653</v>
          </cell>
          <cell r="BP57">
            <v>457</v>
          </cell>
          <cell r="BQ57">
            <v>590</v>
          </cell>
          <cell r="BR57">
            <v>161</v>
          </cell>
          <cell r="BS57">
            <v>43.4</v>
          </cell>
          <cell r="BT57">
            <v>51.1</v>
          </cell>
          <cell r="BU57">
            <v>10</v>
          </cell>
          <cell r="BV57">
            <v>0</v>
          </cell>
          <cell r="BW57">
            <v>6.1</v>
          </cell>
          <cell r="BX57">
            <v>0.6</v>
          </cell>
          <cell r="BY57">
            <v>0.44</v>
          </cell>
        </row>
        <row r="58">
          <cell r="BH58" t="str">
            <v>霞飞2</v>
          </cell>
          <cell r="BI58">
            <v>7</v>
          </cell>
          <cell r="BJ58" t="str">
            <v>霞飞</v>
          </cell>
          <cell r="BK58" t="str">
            <v>低</v>
          </cell>
          <cell r="BL58">
            <v>2</v>
          </cell>
          <cell r="BM58">
            <v>1589</v>
          </cell>
          <cell r="BN58">
            <v>107</v>
          </cell>
          <cell r="BO58">
            <v>675</v>
          </cell>
          <cell r="BP58">
            <v>473</v>
          </cell>
          <cell r="BQ58">
            <v>603</v>
          </cell>
          <cell r="BR58">
            <v>167</v>
          </cell>
          <cell r="BS58">
            <v>44.3</v>
          </cell>
          <cell r="BT58">
            <v>52.3</v>
          </cell>
          <cell r="BU58">
            <v>10</v>
          </cell>
          <cell r="BV58">
            <v>0</v>
          </cell>
          <cell r="BW58">
            <v>6</v>
          </cell>
          <cell r="BX58">
            <v>0.6</v>
          </cell>
          <cell r="BY58">
            <v>0.44</v>
          </cell>
        </row>
        <row r="59">
          <cell r="BH59" t="str">
            <v>霞飞3</v>
          </cell>
          <cell r="BI59">
            <v>7</v>
          </cell>
          <cell r="BJ59" t="str">
            <v>霞飞</v>
          </cell>
          <cell r="BK59" t="str">
            <v>低</v>
          </cell>
          <cell r="BL59">
            <v>3</v>
          </cell>
          <cell r="BM59">
            <v>1650</v>
          </cell>
          <cell r="BN59">
            <v>109</v>
          </cell>
          <cell r="BO59">
            <v>697</v>
          </cell>
          <cell r="BP59">
            <v>488</v>
          </cell>
          <cell r="BQ59">
            <v>617</v>
          </cell>
          <cell r="BR59">
            <v>174</v>
          </cell>
          <cell r="BS59">
            <v>45.3</v>
          </cell>
          <cell r="BT59">
            <v>53.4</v>
          </cell>
          <cell r="BU59">
            <v>10</v>
          </cell>
          <cell r="BV59">
            <v>0</v>
          </cell>
          <cell r="BW59">
            <v>5.8</v>
          </cell>
          <cell r="BX59">
            <v>0.6</v>
          </cell>
          <cell r="BY59">
            <v>0.43</v>
          </cell>
        </row>
        <row r="60">
          <cell r="BH60" t="str">
            <v>霞飞4</v>
          </cell>
          <cell r="BI60">
            <v>7</v>
          </cell>
          <cell r="BJ60" t="str">
            <v>霞飞</v>
          </cell>
          <cell r="BK60" t="str">
            <v>低</v>
          </cell>
          <cell r="BL60">
            <v>4</v>
          </cell>
          <cell r="BM60">
            <v>1711</v>
          </cell>
          <cell r="BN60">
            <v>112</v>
          </cell>
          <cell r="BO60">
            <v>719</v>
          </cell>
          <cell r="BP60">
            <v>504</v>
          </cell>
          <cell r="BQ60">
            <v>630</v>
          </cell>
          <cell r="BR60">
            <v>180</v>
          </cell>
          <cell r="BS60">
            <v>46.3</v>
          </cell>
          <cell r="BT60">
            <v>54.5</v>
          </cell>
          <cell r="BU60">
            <v>10</v>
          </cell>
          <cell r="BV60">
            <v>0</v>
          </cell>
          <cell r="BW60">
            <v>5.7</v>
          </cell>
          <cell r="BX60">
            <v>0.6</v>
          </cell>
          <cell r="BY60">
            <v>0.42</v>
          </cell>
        </row>
        <row r="61">
          <cell r="BH61" t="str">
            <v>霞飞5</v>
          </cell>
          <cell r="BI61">
            <v>7</v>
          </cell>
          <cell r="BJ61" t="str">
            <v>霞飞</v>
          </cell>
          <cell r="BK61" t="str">
            <v>低</v>
          </cell>
          <cell r="BL61">
            <v>5</v>
          </cell>
          <cell r="BM61">
            <v>1772</v>
          </cell>
          <cell r="BN61">
            <v>114</v>
          </cell>
          <cell r="BO61">
            <v>741</v>
          </cell>
          <cell r="BP61">
            <v>519</v>
          </cell>
          <cell r="BQ61">
            <v>644</v>
          </cell>
          <cell r="BR61">
            <v>187</v>
          </cell>
          <cell r="BS61">
            <v>47.2</v>
          </cell>
          <cell r="BT61">
            <v>55.7</v>
          </cell>
          <cell r="BU61">
            <v>10</v>
          </cell>
          <cell r="BV61">
            <v>0</v>
          </cell>
          <cell r="BW61">
            <v>5.5</v>
          </cell>
          <cell r="BX61">
            <v>0.6</v>
          </cell>
          <cell r="BY61">
            <v>0.42</v>
          </cell>
        </row>
        <row r="62">
          <cell r="BH62" t="str">
            <v>霞飞6</v>
          </cell>
          <cell r="BI62">
            <v>7</v>
          </cell>
          <cell r="BJ62" t="str">
            <v>霞飞</v>
          </cell>
          <cell r="BK62" t="str">
            <v>低</v>
          </cell>
          <cell r="BL62">
            <v>6</v>
          </cell>
          <cell r="BM62">
            <v>1832</v>
          </cell>
          <cell r="BN62">
            <v>116</v>
          </cell>
          <cell r="BO62">
            <v>763</v>
          </cell>
          <cell r="BP62">
            <v>535</v>
          </cell>
          <cell r="BQ62">
            <v>657</v>
          </cell>
          <cell r="BR62">
            <v>193</v>
          </cell>
          <cell r="BS62">
            <v>48.2</v>
          </cell>
          <cell r="BT62">
            <v>56.8</v>
          </cell>
          <cell r="BU62">
            <v>10</v>
          </cell>
          <cell r="BV62">
            <v>0</v>
          </cell>
          <cell r="BW62">
            <v>5.4</v>
          </cell>
          <cell r="BX62">
            <v>0.6</v>
          </cell>
          <cell r="BY62">
            <v>0.41</v>
          </cell>
        </row>
        <row r="63">
          <cell r="BH63" t="str">
            <v>霞飞7</v>
          </cell>
          <cell r="BI63">
            <v>7</v>
          </cell>
          <cell r="BJ63" t="str">
            <v>霞飞</v>
          </cell>
          <cell r="BK63" t="str">
            <v>低</v>
          </cell>
          <cell r="BL63">
            <v>7</v>
          </cell>
          <cell r="BM63">
            <v>1893</v>
          </cell>
          <cell r="BN63">
            <v>119</v>
          </cell>
          <cell r="BO63">
            <v>785</v>
          </cell>
          <cell r="BP63">
            <v>550</v>
          </cell>
          <cell r="BQ63">
            <v>671</v>
          </cell>
          <cell r="BR63">
            <v>200</v>
          </cell>
          <cell r="BS63">
            <v>49.1</v>
          </cell>
          <cell r="BT63">
            <v>58</v>
          </cell>
          <cell r="BU63">
            <v>10</v>
          </cell>
          <cell r="BV63">
            <v>0</v>
          </cell>
          <cell r="BW63">
            <v>5.2</v>
          </cell>
          <cell r="BX63">
            <v>0.6</v>
          </cell>
          <cell r="BY63">
            <v>0.4</v>
          </cell>
        </row>
        <row r="64">
          <cell r="BH64" t="str">
            <v>霞飞8</v>
          </cell>
          <cell r="BI64">
            <v>7</v>
          </cell>
          <cell r="BJ64" t="str">
            <v>霞飞</v>
          </cell>
          <cell r="BK64" t="str">
            <v>低</v>
          </cell>
          <cell r="BL64">
            <v>8</v>
          </cell>
          <cell r="BM64">
            <v>1954</v>
          </cell>
          <cell r="BN64">
            <v>121</v>
          </cell>
          <cell r="BO64">
            <v>808</v>
          </cell>
          <cell r="BP64">
            <v>565</v>
          </cell>
          <cell r="BQ64">
            <v>684</v>
          </cell>
          <cell r="BR64">
            <v>206</v>
          </cell>
          <cell r="BS64">
            <v>50.1</v>
          </cell>
          <cell r="BT64">
            <v>59.1</v>
          </cell>
          <cell r="BU64">
            <v>10</v>
          </cell>
          <cell r="BV64">
            <v>0</v>
          </cell>
          <cell r="BW64">
            <v>5.0999999999999996</v>
          </cell>
          <cell r="BX64">
            <v>0.6</v>
          </cell>
          <cell r="BY64">
            <v>0.4</v>
          </cell>
        </row>
        <row r="65">
          <cell r="BH65" t="str">
            <v>霞飞9</v>
          </cell>
          <cell r="BI65">
            <v>7</v>
          </cell>
          <cell r="BJ65" t="str">
            <v>霞飞</v>
          </cell>
          <cell r="BK65" t="str">
            <v>低</v>
          </cell>
          <cell r="BL65">
            <v>9</v>
          </cell>
          <cell r="BM65">
            <v>2015</v>
          </cell>
          <cell r="BN65">
            <v>123</v>
          </cell>
          <cell r="BO65">
            <v>830</v>
          </cell>
          <cell r="BP65">
            <v>581</v>
          </cell>
          <cell r="BQ65">
            <v>698</v>
          </cell>
          <cell r="BR65">
            <v>213</v>
          </cell>
          <cell r="BS65">
            <v>51.1</v>
          </cell>
          <cell r="BT65">
            <v>60.2</v>
          </cell>
          <cell r="BU65">
            <v>10</v>
          </cell>
          <cell r="BV65">
            <v>0</v>
          </cell>
          <cell r="BW65">
            <v>4.9000000000000004</v>
          </cell>
          <cell r="BX65">
            <v>0.6</v>
          </cell>
          <cell r="BY65">
            <v>0.39</v>
          </cell>
        </row>
        <row r="66">
          <cell r="BH66" t="str">
            <v>霞飞10</v>
          </cell>
          <cell r="BI66">
            <v>7</v>
          </cell>
          <cell r="BJ66" t="str">
            <v>霞飞</v>
          </cell>
          <cell r="BK66" t="str">
            <v>低</v>
          </cell>
          <cell r="BL66">
            <v>10</v>
          </cell>
          <cell r="BM66">
            <v>2076</v>
          </cell>
          <cell r="BN66">
            <v>126</v>
          </cell>
          <cell r="BO66">
            <v>852</v>
          </cell>
          <cell r="BP66">
            <v>596</v>
          </cell>
          <cell r="BQ66">
            <v>711</v>
          </cell>
          <cell r="BR66">
            <v>219</v>
          </cell>
          <cell r="BS66">
            <v>52</v>
          </cell>
          <cell r="BT66">
            <v>61.4</v>
          </cell>
          <cell r="BU66">
            <v>10</v>
          </cell>
          <cell r="BV66">
            <v>0</v>
          </cell>
          <cell r="BW66">
            <v>4.8</v>
          </cell>
          <cell r="BX66">
            <v>0.6</v>
          </cell>
          <cell r="BY66">
            <v>0.38</v>
          </cell>
        </row>
        <row r="67">
          <cell r="BH67" t="str">
            <v>霞飞11</v>
          </cell>
          <cell r="BI67">
            <v>7</v>
          </cell>
          <cell r="BJ67" t="str">
            <v>霞飞</v>
          </cell>
          <cell r="BK67" t="str">
            <v>低</v>
          </cell>
          <cell r="BL67">
            <v>11</v>
          </cell>
          <cell r="BM67">
            <v>2137</v>
          </cell>
          <cell r="BN67">
            <v>128</v>
          </cell>
          <cell r="BO67">
            <v>874</v>
          </cell>
          <cell r="BP67">
            <v>612</v>
          </cell>
          <cell r="BQ67">
            <v>725</v>
          </cell>
          <cell r="BR67">
            <v>226</v>
          </cell>
          <cell r="BS67">
            <v>53</v>
          </cell>
          <cell r="BT67">
            <v>62.5</v>
          </cell>
          <cell r="BU67">
            <v>10</v>
          </cell>
          <cell r="BV67">
            <v>0</v>
          </cell>
          <cell r="BW67">
            <v>4.5999999999999996</v>
          </cell>
          <cell r="BX67">
            <v>0.6</v>
          </cell>
          <cell r="BY67">
            <v>0.38</v>
          </cell>
        </row>
        <row r="68">
          <cell r="BH68" t="str">
            <v>M-410</v>
          </cell>
          <cell r="BI68">
            <v>8</v>
          </cell>
          <cell r="BJ68" t="str">
            <v>M-41</v>
          </cell>
          <cell r="BK68" t="str">
            <v>中</v>
          </cell>
          <cell r="BL68">
            <v>0</v>
          </cell>
          <cell r="BM68">
            <v>1637</v>
          </cell>
          <cell r="BN68">
            <v>111</v>
          </cell>
          <cell r="BO68">
            <v>657</v>
          </cell>
          <cell r="BP68">
            <v>460</v>
          </cell>
          <cell r="BQ68">
            <v>600</v>
          </cell>
          <cell r="BR68">
            <v>160</v>
          </cell>
          <cell r="BS68">
            <v>38.5</v>
          </cell>
          <cell r="BT68">
            <v>57.4</v>
          </cell>
          <cell r="BU68">
            <v>9.6</v>
          </cell>
          <cell r="BV68">
            <v>0</v>
          </cell>
          <cell r="BW68">
            <v>8.4</v>
          </cell>
          <cell r="BX68">
            <v>0.8</v>
          </cell>
          <cell r="BY68">
            <v>0.49</v>
          </cell>
        </row>
        <row r="69">
          <cell r="BH69" t="str">
            <v>M-411</v>
          </cell>
          <cell r="BI69">
            <v>8</v>
          </cell>
          <cell r="BJ69" t="str">
            <v>M-41</v>
          </cell>
          <cell r="BK69" t="str">
            <v>中</v>
          </cell>
          <cell r="BL69">
            <v>1</v>
          </cell>
          <cell r="BM69">
            <v>1710</v>
          </cell>
          <cell r="BN69">
            <v>113</v>
          </cell>
          <cell r="BO69">
            <v>681</v>
          </cell>
          <cell r="BP69">
            <v>476</v>
          </cell>
          <cell r="BQ69">
            <v>614</v>
          </cell>
          <cell r="BR69">
            <v>167</v>
          </cell>
          <cell r="BS69">
            <v>39.4</v>
          </cell>
          <cell r="BT69">
            <v>58.7</v>
          </cell>
          <cell r="BU69">
            <v>9.6</v>
          </cell>
          <cell r="BV69">
            <v>0</v>
          </cell>
          <cell r="BW69">
            <v>8.1</v>
          </cell>
          <cell r="BX69">
            <v>0.8</v>
          </cell>
          <cell r="BY69">
            <v>0.48</v>
          </cell>
        </row>
        <row r="70">
          <cell r="BH70" t="str">
            <v>M-412</v>
          </cell>
          <cell r="BI70">
            <v>8</v>
          </cell>
          <cell r="BJ70" t="str">
            <v>M-41</v>
          </cell>
          <cell r="BK70" t="str">
            <v>中</v>
          </cell>
          <cell r="BL70">
            <v>2</v>
          </cell>
          <cell r="BM70">
            <v>1782</v>
          </cell>
          <cell r="BN70">
            <v>116</v>
          </cell>
          <cell r="BO70">
            <v>704</v>
          </cell>
          <cell r="BP70">
            <v>493</v>
          </cell>
          <cell r="BQ70">
            <v>629</v>
          </cell>
          <cell r="BR70">
            <v>174</v>
          </cell>
          <cell r="BS70">
            <v>40.299999999999997</v>
          </cell>
          <cell r="BT70">
            <v>60</v>
          </cell>
          <cell r="BU70">
            <v>9.6</v>
          </cell>
          <cell r="BV70">
            <v>0</v>
          </cell>
          <cell r="BW70">
            <v>7.9</v>
          </cell>
          <cell r="BX70">
            <v>0.8</v>
          </cell>
          <cell r="BY70">
            <v>0.48</v>
          </cell>
        </row>
        <row r="71">
          <cell r="BH71" t="str">
            <v>M-413</v>
          </cell>
          <cell r="BI71">
            <v>8</v>
          </cell>
          <cell r="BJ71" t="str">
            <v>M-41</v>
          </cell>
          <cell r="BK71" t="str">
            <v>中</v>
          </cell>
          <cell r="BL71">
            <v>3</v>
          </cell>
          <cell r="BM71">
            <v>1854</v>
          </cell>
          <cell r="BN71">
            <v>119</v>
          </cell>
          <cell r="BO71">
            <v>728</v>
          </cell>
          <cell r="BP71">
            <v>509</v>
          </cell>
          <cell r="BQ71">
            <v>643</v>
          </cell>
          <cell r="BR71">
            <v>181</v>
          </cell>
          <cell r="BS71">
            <v>41.1</v>
          </cell>
          <cell r="BT71">
            <v>61.3</v>
          </cell>
          <cell r="BU71">
            <v>9.6</v>
          </cell>
          <cell r="BV71">
            <v>0</v>
          </cell>
          <cell r="BW71">
            <v>7.6</v>
          </cell>
          <cell r="BX71">
            <v>0.8</v>
          </cell>
          <cell r="BY71">
            <v>0.47</v>
          </cell>
        </row>
        <row r="72">
          <cell r="BH72" t="str">
            <v>M-414</v>
          </cell>
          <cell r="BI72">
            <v>8</v>
          </cell>
          <cell r="BJ72" t="str">
            <v>M-41</v>
          </cell>
          <cell r="BK72" t="str">
            <v>中</v>
          </cell>
          <cell r="BL72">
            <v>4</v>
          </cell>
          <cell r="BM72">
            <v>1927</v>
          </cell>
          <cell r="BN72">
            <v>121</v>
          </cell>
          <cell r="BO72">
            <v>751</v>
          </cell>
          <cell r="BP72">
            <v>526</v>
          </cell>
          <cell r="BQ72">
            <v>658</v>
          </cell>
          <cell r="BR72">
            <v>188</v>
          </cell>
          <cell r="BS72">
            <v>42</v>
          </cell>
          <cell r="BT72">
            <v>62.6</v>
          </cell>
          <cell r="BU72">
            <v>9.6</v>
          </cell>
          <cell r="BV72">
            <v>0</v>
          </cell>
          <cell r="BW72">
            <v>7.4</v>
          </cell>
          <cell r="BX72">
            <v>0.8</v>
          </cell>
          <cell r="BY72">
            <v>0.46</v>
          </cell>
        </row>
        <row r="73">
          <cell r="BH73" t="str">
            <v>M-415</v>
          </cell>
          <cell r="BI73">
            <v>8</v>
          </cell>
          <cell r="BJ73" t="str">
            <v>M-41</v>
          </cell>
          <cell r="BK73" t="str">
            <v>中</v>
          </cell>
          <cell r="BL73">
            <v>5</v>
          </cell>
          <cell r="BM73">
            <v>1999</v>
          </cell>
          <cell r="BN73">
            <v>124</v>
          </cell>
          <cell r="BO73">
            <v>775</v>
          </cell>
          <cell r="BP73">
            <v>542</v>
          </cell>
          <cell r="BQ73">
            <v>672</v>
          </cell>
          <cell r="BR73">
            <v>195</v>
          </cell>
          <cell r="BS73">
            <v>42.9</v>
          </cell>
          <cell r="BT73">
            <v>63.9</v>
          </cell>
          <cell r="BU73">
            <v>9.6</v>
          </cell>
          <cell r="BV73">
            <v>0</v>
          </cell>
          <cell r="BW73">
            <v>7.1</v>
          </cell>
          <cell r="BX73">
            <v>0.8</v>
          </cell>
          <cell r="BY73">
            <v>0.45</v>
          </cell>
        </row>
        <row r="74">
          <cell r="BH74" t="str">
            <v>M-416</v>
          </cell>
          <cell r="BI74">
            <v>8</v>
          </cell>
          <cell r="BJ74" t="str">
            <v>M-41</v>
          </cell>
          <cell r="BK74" t="str">
            <v>中</v>
          </cell>
          <cell r="BL74">
            <v>6</v>
          </cell>
          <cell r="BM74">
            <v>2071</v>
          </cell>
          <cell r="BN74">
            <v>127</v>
          </cell>
          <cell r="BO74">
            <v>798</v>
          </cell>
          <cell r="BP74">
            <v>559</v>
          </cell>
          <cell r="BQ74">
            <v>686</v>
          </cell>
          <cell r="BR74">
            <v>202</v>
          </cell>
          <cell r="BS74">
            <v>43.8</v>
          </cell>
          <cell r="BT74">
            <v>65.2</v>
          </cell>
          <cell r="BU74">
            <v>9.6</v>
          </cell>
          <cell r="BV74">
            <v>0</v>
          </cell>
          <cell r="BW74">
            <v>6.8</v>
          </cell>
          <cell r="BX74">
            <v>0.8</v>
          </cell>
          <cell r="BY74">
            <v>0.45</v>
          </cell>
        </row>
        <row r="75">
          <cell r="BH75" t="str">
            <v>M-417</v>
          </cell>
          <cell r="BI75">
            <v>8</v>
          </cell>
          <cell r="BJ75" t="str">
            <v>M-41</v>
          </cell>
          <cell r="BK75" t="str">
            <v>中</v>
          </cell>
          <cell r="BL75">
            <v>7</v>
          </cell>
          <cell r="BM75">
            <v>2144</v>
          </cell>
          <cell r="BN75">
            <v>129</v>
          </cell>
          <cell r="BO75">
            <v>822</v>
          </cell>
          <cell r="BP75">
            <v>575</v>
          </cell>
          <cell r="BQ75">
            <v>701</v>
          </cell>
          <cell r="BR75">
            <v>209</v>
          </cell>
          <cell r="BS75">
            <v>44.6</v>
          </cell>
          <cell r="BT75">
            <v>66.5</v>
          </cell>
          <cell r="BU75">
            <v>9.6</v>
          </cell>
          <cell r="BV75">
            <v>0</v>
          </cell>
          <cell r="BW75">
            <v>6.6</v>
          </cell>
          <cell r="BX75">
            <v>0.8</v>
          </cell>
          <cell r="BY75">
            <v>0.44</v>
          </cell>
        </row>
        <row r="76">
          <cell r="BH76" t="str">
            <v>M-418</v>
          </cell>
          <cell r="BI76">
            <v>8</v>
          </cell>
          <cell r="BJ76" t="str">
            <v>M-41</v>
          </cell>
          <cell r="BK76" t="str">
            <v>中</v>
          </cell>
          <cell r="BL76">
            <v>8</v>
          </cell>
          <cell r="BM76">
            <v>2216</v>
          </cell>
          <cell r="BN76">
            <v>132</v>
          </cell>
          <cell r="BO76">
            <v>845</v>
          </cell>
          <cell r="BP76">
            <v>592</v>
          </cell>
          <cell r="BQ76">
            <v>715</v>
          </cell>
          <cell r="BR76">
            <v>216</v>
          </cell>
          <cell r="BS76">
            <v>45.5</v>
          </cell>
          <cell r="BT76">
            <v>67.8</v>
          </cell>
          <cell r="BU76">
            <v>9.6</v>
          </cell>
          <cell r="BV76">
            <v>0</v>
          </cell>
          <cell r="BW76">
            <v>6.3</v>
          </cell>
          <cell r="BX76">
            <v>0.8</v>
          </cell>
          <cell r="BY76">
            <v>0.43</v>
          </cell>
        </row>
        <row r="77">
          <cell r="BH77" t="str">
            <v>M-419</v>
          </cell>
          <cell r="BI77">
            <v>8</v>
          </cell>
          <cell r="BJ77" t="str">
            <v>M-41</v>
          </cell>
          <cell r="BK77" t="str">
            <v>中</v>
          </cell>
          <cell r="BL77">
            <v>9</v>
          </cell>
          <cell r="BM77">
            <v>2288</v>
          </cell>
          <cell r="BN77">
            <v>135</v>
          </cell>
          <cell r="BO77">
            <v>869</v>
          </cell>
          <cell r="BP77">
            <v>608</v>
          </cell>
          <cell r="BQ77">
            <v>730</v>
          </cell>
          <cell r="BR77">
            <v>223</v>
          </cell>
          <cell r="BS77">
            <v>46.4</v>
          </cell>
          <cell r="BT77">
            <v>69.099999999999994</v>
          </cell>
          <cell r="BU77">
            <v>9.6</v>
          </cell>
          <cell r="BV77">
            <v>0</v>
          </cell>
          <cell r="BW77">
            <v>6.1</v>
          </cell>
          <cell r="BX77">
            <v>0.8</v>
          </cell>
          <cell r="BY77">
            <v>0.42</v>
          </cell>
        </row>
        <row r="78">
          <cell r="BH78" t="str">
            <v>M-4110</v>
          </cell>
          <cell r="BI78">
            <v>8</v>
          </cell>
          <cell r="BJ78" t="str">
            <v>M-41</v>
          </cell>
          <cell r="BK78" t="str">
            <v>中</v>
          </cell>
          <cell r="BL78">
            <v>10</v>
          </cell>
          <cell r="BM78">
            <v>2361</v>
          </cell>
          <cell r="BN78">
            <v>137</v>
          </cell>
          <cell r="BO78">
            <v>893</v>
          </cell>
          <cell r="BP78">
            <v>625</v>
          </cell>
          <cell r="BQ78">
            <v>744</v>
          </cell>
          <cell r="BR78">
            <v>230</v>
          </cell>
          <cell r="BS78">
            <v>47.3</v>
          </cell>
          <cell r="BT78">
            <v>70.400000000000006</v>
          </cell>
          <cell r="BU78">
            <v>9.6</v>
          </cell>
          <cell r="BV78">
            <v>0</v>
          </cell>
          <cell r="BW78">
            <v>5.8</v>
          </cell>
          <cell r="BX78">
            <v>0.8</v>
          </cell>
          <cell r="BY78">
            <v>0.42</v>
          </cell>
        </row>
        <row r="79">
          <cell r="BH79" t="str">
            <v>M-4111</v>
          </cell>
          <cell r="BI79">
            <v>8</v>
          </cell>
          <cell r="BJ79" t="str">
            <v>M-41</v>
          </cell>
          <cell r="BK79" t="str">
            <v>中</v>
          </cell>
          <cell r="BL79">
            <v>11</v>
          </cell>
          <cell r="BM79">
            <v>2433</v>
          </cell>
          <cell r="BN79">
            <v>140</v>
          </cell>
          <cell r="BO79">
            <v>916</v>
          </cell>
          <cell r="BP79">
            <v>641</v>
          </cell>
          <cell r="BQ79">
            <v>758</v>
          </cell>
          <cell r="BR79">
            <v>237</v>
          </cell>
          <cell r="BS79">
            <v>48.1</v>
          </cell>
          <cell r="BT79">
            <v>71.8</v>
          </cell>
          <cell r="BU79">
            <v>9.6</v>
          </cell>
          <cell r="BV79">
            <v>0</v>
          </cell>
          <cell r="BW79">
            <v>5.5</v>
          </cell>
          <cell r="BX79">
            <v>0.8</v>
          </cell>
          <cell r="BY79">
            <v>0.41</v>
          </cell>
        </row>
        <row r="80">
          <cell r="BH80" t="str">
            <v>BMP-30</v>
          </cell>
          <cell r="BI80">
            <v>9</v>
          </cell>
          <cell r="BJ80" t="str">
            <v>BMP-3</v>
          </cell>
          <cell r="BK80" t="str">
            <v>高</v>
          </cell>
          <cell r="BL80">
            <v>0</v>
          </cell>
          <cell r="BM80">
            <v>1787</v>
          </cell>
          <cell r="BN80">
            <v>107</v>
          </cell>
          <cell r="BO80">
            <v>657</v>
          </cell>
          <cell r="BP80">
            <v>460</v>
          </cell>
          <cell r="BQ80">
            <v>600</v>
          </cell>
          <cell r="BR80">
            <v>160</v>
          </cell>
          <cell r="BS80">
            <v>44.5</v>
          </cell>
          <cell r="BT80">
            <v>52.5</v>
          </cell>
          <cell r="BU80">
            <v>10.5</v>
          </cell>
          <cell r="BV80">
            <v>0</v>
          </cell>
          <cell r="BW80">
            <v>4.2</v>
          </cell>
          <cell r="BX80">
            <v>0.8</v>
          </cell>
          <cell r="BY80">
            <v>0.57999999999999996</v>
          </cell>
        </row>
        <row r="81">
          <cell r="BH81" t="str">
            <v>BMP-31</v>
          </cell>
          <cell r="BI81">
            <v>9</v>
          </cell>
          <cell r="BJ81" t="str">
            <v>BMP-3</v>
          </cell>
          <cell r="BK81" t="str">
            <v>高</v>
          </cell>
          <cell r="BL81">
            <v>1</v>
          </cell>
          <cell r="BM81">
            <v>1866</v>
          </cell>
          <cell r="BN81">
            <v>109</v>
          </cell>
          <cell r="BO81">
            <v>682</v>
          </cell>
          <cell r="BP81">
            <v>478</v>
          </cell>
          <cell r="BQ81">
            <v>615</v>
          </cell>
          <cell r="BR81">
            <v>167</v>
          </cell>
          <cell r="BS81">
            <v>45.5</v>
          </cell>
          <cell r="BT81">
            <v>53.7</v>
          </cell>
          <cell r="BU81">
            <v>10.5</v>
          </cell>
          <cell r="BV81">
            <v>0</v>
          </cell>
          <cell r="BW81">
            <v>4.0999999999999996</v>
          </cell>
          <cell r="BX81">
            <v>0.8</v>
          </cell>
          <cell r="BY81">
            <v>0.56999999999999995</v>
          </cell>
        </row>
        <row r="82">
          <cell r="BH82" t="str">
            <v>BMP-32</v>
          </cell>
          <cell r="BI82">
            <v>9</v>
          </cell>
          <cell r="BJ82" t="str">
            <v>BMP-3</v>
          </cell>
          <cell r="BK82" t="str">
            <v>高</v>
          </cell>
          <cell r="BL82">
            <v>2</v>
          </cell>
          <cell r="BM82">
            <v>1945</v>
          </cell>
          <cell r="BN82">
            <v>112</v>
          </cell>
          <cell r="BO82">
            <v>707</v>
          </cell>
          <cell r="BP82">
            <v>495</v>
          </cell>
          <cell r="BQ82">
            <v>631</v>
          </cell>
          <cell r="BR82">
            <v>175</v>
          </cell>
          <cell r="BS82">
            <v>46.5</v>
          </cell>
          <cell r="BT82">
            <v>54.9</v>
          </cell>
          <cell r="BU82">
            <v>10.5</v>
          </cell>
          <cell r="BV82">
            <v>0</v>
          </cell>
          <cell r="BW82">
            <v>4</v>
          </cell>
          <cell r="BX82">
            <v>0.8</v>
          </cell>
          <cell r="BY82">
            <v>0.56000000000000005</v>
          </cell>
        </row>
        <row r="83">
          <cell r="BH83" t="str">
            <v>BMP-33</v>
          </cell>
          <cell r="BI83">
            <v>9</v>
          </cell>
          <cell r="BJ83" t="str">
            <v>BMP-3</v>
          </cell>
          <cell r="BK83" t="str">
            <v>高</v>
          </cell>
          <cell r="BL83">
            <v>3</v>
          </cell>
          <cell r="BM83">
            <v>2024</v>
          </cell>
          <cell r="BN83">
            <v>115</v>
          </cell>
          <cell r="BO83">
            <v>732</v>
          </cell>
          <cell r="BP83">
            <v>513</v>
          </cell>
          <cell r="BQ83">
            <v>646</v>
          </cell>
          <cell r="BR83">
            <v>182</v>
          </cell>
          <cell r="BS83">
            <v>47.5</v>
          </cell>
          <cell r="BT83">
            <v>56.1</v>
          </cell>
          <cell r="BU83">
            <v>10.5</v>
          </cell>
          <cell r="BV83">
            <v>0</v>
          </cell>
          <cell r="BW83">
            <v>3.9</v>
          </cell>
          <cell r="BX83">
            <v>0.8</v>
          </cell>
          <cell r="BY83">
            <v>0.55000000000000004</v>
          </cell>
        </row>
        <row r="84">
          <cell r="BH84" t="str">
            <v>BMP-34</v>
          </cell>
          <cell r="BI84">
            <v>9</v>
          </cell>
          <cell r="BJ84" t="str">
            <v>BMP-3</v>
          </cell>
          <cell r="BK84" t="str">
            <v>高</v>
          </cell>
          <cell r="BL84">
            <v>4</v>
          </cell>
          <cell r="BM84">
            <v>2103</v>
          </cell>
          <cell r="BN84">
            <v>117</v>
          </cell>
          <cell r="BO84">
            <v>757</v>
          </cell>
          <cell r="BP84">
            <v>530</v>
          </cell>
          <cell r="BQ84">
            <v>661</v>
          </cell>
          <cell r="BR84">
            <v>190</v>
          </cell>
          <cell r="BS84">
            <v>48.5</v>
          </cell>
          <cell r="BT84">
            <v>57.3</v>
          </cell>
          <cell r="BU84">
            <v>10.5</v>
          </cell>
          <cell r="BV84">
            <v>0</v>
          </cell>
          <cell r="BW84">
            <v>3.8</v>
          </cell>
          <cell r="BX84">
            <v>0.8</v>
          </cell>
          <cell r="BY84">
            <v>0.54</v>
          </cell>
        </row>
        <row r="85">
          <cell r="BH85" t="str">
            <v>BMP-35</v>
          </cell>
          <cell r="BI85">
            <v>9</v>
          </cell>
          <cell r="BJ85" t="str">
            <v>BMP-3</v>
          </cell>
          <cell r="BK85" t="str">
            <v>高</v>
          </cell>
          <cell r="BL85">
            <v>5</v>
          </cell>
          <cell r="BM85">
            <v>2182</v>
          </cell>
          <cell r="BN85">
            <v>120</v>
          </cell>
          <cell r="BO85">
            <v>782</v>
          </cell>
          <cell r="BP85">
            <v>548</v>
          </cell>
          <cell r="BQ85">
            <v>677</v>
          </cell>
          <cell r="BR85">
            <v>197</v>
          </cell>
          <cell r="BS85">
            <v>49.6</v>
          </cell>
          <cell r="BT85">
            <v>58.5</v>
          </cell>
          <cell r="BU85">
            <v>10.5</v>
          </cell>
          <cell r="BV85">
            <v>0</v>
          </cell>
          <cell r="BW85">
            <v>3.7</v>
          </cell>
          <cell r="BX85">
            <v>0.8</v>
          </cell>
          <cell r="BY85">
            <v>0.53</v>
          </cell>
        </row>
        <row r="86">
          <cell r="BH86" t="str">
            <v>BMP-36</v>
          </cell>
          <cell r="BI86">
            <v>9</v>
          </cell>
          <cell r="BJ86" t="str">
            <v>BMP-3</v>
          </cell>
          <cell r="BK86" t="str">
            <v>高</v>
          </cell>
          <cell r="BL86">
            <v>6</v>
          </cell>
          <cell r="BM86">
            <v>2261</v>
          </cell>
          <cell r="BN86">
            <v>123</v>
          </cell>
          <cell r="BO86">
            <v>807</v>
          </cell>
          <cell r="BP86">
            <v>565</v>
          </cell>
          <cell r="BQ86">
            <v>692</v>
          </cell>
          <cell r="BR86">
            <v>205</v>
          </cell>
          <cell r="BS86">
            <v>50.6</v>
          </cell>
          <cell r="BT86">
            <v>59.7</v>
          </cell>
          <cell r="BU86">
            <v>10.5</v>
          </cell>
          <cell r="BV86">
            <v>0</v>
          </cell>
          <cell r="BW86">
            <v>3.5</v>
          </cell>
          <cell r="BX86">
            <v>0.8</v>
          </cell>
          <cell r="BY86">
            <v>0.52</v>
          </cell>
        </row>
        <row r="87">
          <cell r="BH87" t="str">
            <v>BMP-37</v>
          </cell>
          <cell r="BI87">
            <v>9</v>
          </cell>
          <cell r="BJ87" t="str">
            <v>BMP-3</v>
          </cell>
          <cell r="BK87" t="str">
            <v>高</v>
          </cell>
          <cell r="BL87">
            <v>7</v>
          </cell>
          <cell r="BM87">
            <v>2340</v>
          </cell>
          <cell r="BN87">
            <v>125</v>
          </cell>
          <cell r="BO87">
            <v>832</v>
          </cell>
          <cell r="BP87">
            <v>583</v>
          </cell>
          <cell r="BQ87">
            <v>707</v>
          </cell>
          <cell r="BR87">
            <v>212</v>
          </cell>
          <cell r="BS87">
            <v>51.6</v>
          </cell>
          <cell r="BT87">
            <v>60.9</v>
          </cell>
          <cell r="BU87">
            <v>10.5</v>
          </cell>
          <cell r="BV87">
            <v>0</v>
          </cell>
          <cell r="BW87">
            <v>3.4</v>
          </cell>
          <cell r="BX87">
            <v>0.8</v>
          </cell>
          <cell r="BY87">
            <v>0.51</v>
          </cell>
        </row>
        <row r="88">
          <cell r="BH88" t="str">
            <v>BMP-38</v>
          </cell>
          <cell r="BI88">
            <v>9</v>
          </cell>
          <cell r="BJ88" t="str">
            <v>BMP-3</v>
          </cell>
          <cell r="BK88" t="str">
            <v>高</v>
          </cell>
          <cell r="BL88">
            <v>8</v>
          </cell>
          <cell r="BM88">
            <v>2419</v>
          </cell>
          <cell r="BN88">
            <v>128</v>
          </cell>
          <cell r="BO88">
            <v>857</v>
          </cell>
          <cell r="BP88">
            <v>600</v>
          </cell>
          <cell r="BQ88">
            <v>722</v>
          </cell>
          <cell r="BR88">
            <v>220</v>
          </cell>
          <cell r="BS88">
            <v>52.6</v>
          </cell>
          <cell r="BT88">
            <v>62</v>
          </cell>
          <cell r="BU88">
            <v>10.5</v>
          </cell>
          <cell r="BV88">
            <v>0</v>
          </cell>
          <cell r="BW88">
            <v>3.3</v>
          </cell>
          <cell r="BX88">
            <v>0.8</v>
          </cell>
          <cell r="BY88">
            <v>0.51</v>
          </cell>
        </row>
        <row r="89">
          <cell r="BH89" t="str">
            <v>BMP-39</v>
          </cell>
          <cell r="BI89">
            <v>9</v>
          </cell>
          <cell r="BJ89" t="str">
            <v>BMP-3</v>
          </cell>
          <cell r="BK89" t="str">
            <v>高</v>
          </cell>
          <cell r="BL89">
            <v>9</v>
          </cell>
          <cell r="BM89">
            <v>2498</v>
          </cell>
          <cell r="BN89">
            <v>131</v>
          </cell>
          <cell r="BO89">
            <v>882</v>
          </cell>
          <cell r="BP89">
            <v>618</v>
          </cell>
          <cell r="BQ89">
            <v>738</v>
          </cell>
          <cell r="BR89">
            <v>227</v>
          </cell>
          <cell r="BS89">
            <v>53.6</v>
          </cell>
          <cell r="BT89">
            <v>63.2</v>
          </cell>
          <cell r="BU89">
            <v>10.5</v>
          </cell>
          <cell r="BV89">
            <v>0</v>
          </cell>
          <cell r="BW89">
            <v>3.2</v>
          </cell>
          <cell r="BX89">
            <v>0.8</v>
          </cell>
          <cell r="BY89">
            <v>0.5</v>
          </cell>
        </row>
        <row r="90">
          <cell r="BH90" t="str">
            <v>BMP-310</v>
          </cell>
          <cell r="BI90">
            <v>9</v>
          </cell>
          <cell r="BJ90" t="str">
            <v>BMP-3</v>
          </cell>
          <cell r="BK90" t="str">
            <v>高</v>
          </cell>
          <cell r="BL90">
            <v>10</v>
          </cell>
          <cell r="BM90">
            <v>2577</v>
          </cell>
          <cell r="BN90">
            <v>133</v>
          </cell>
          <cell r="BO90">
            <v>907</v>
          </cell>
          <cell r="BP90">
            <v>635</v>
          </cell>
          <cell r="BQ90">
            <v>753</v>
          </cell>
          <cell r="BR90">
            <v>235</v>
          </cell>
          <cell r="BS90">
            <v>54.6</v>
          </cell>
          <cell r="BT90">
            <v>64.400000000000006</v>
          </cell>
          <cell r="BU90">
            <v>10.5</v>
          </cell>
          <cell r="BV90">
            <v>0</v>
          </cell>
          <cell r="BW90">
            <v>3.1</v>
          </cell>
          <cell r="BX90">
            <v>0.8</v>
          </cell>
          <cell r="BY90">
            <v>0.49</v>
          </cell>
        </row>
        <row r="91">
          <cell r="BH91" t="str">
            <v>BMP-311</v>
          </cell>
          <cell r="BI91">
            <v>9</v>
          </cell>
          <cell r="BJ91" t="str">
            <v>BMP-3</v>
          </cell>
          <cell r="BK91" t="str">
            <v>高</v>
          </cell>
          <cell r="BL91">
            <v>11</v>
          </cell>
          <cell r="BM91">
            <v>2656</v>
          </cell>
          <cell r="BN91">
            <v>136</v>
          </cell>
          <cell r="BO91">
            <v>932</v>
          </cell>
          <cell r="BP91">
            <v>653</v>
          </cell>
          <cell r="BQ91">
            <v>768</v>
          </cell>
          <cell r="BR91">
            <v>242</v>
          </cell>
          <cell r="BS91">
            <v>55.6</v>
          </cell>
          <cell r="BT91">
            <v>65.599999999999994</v>
          </cell>
          <cell r="BU91">
            <v>10.5</v>
          </cell>
          <cell r="BV91">
            <v>0</v>
          </cell>
          <cell r="BW91">
            <v>3</v>
          </cell>
          <cell r="BX91">
            <v>0.8</v>
          </cell>
          <cell r="BY91">
            <v>0.48</v>
          </cell>
        </row>
        <row r="92">
          <cell r="BH92" t="str">
            <v>59式0</v>
          </cell>
          <cell r="BI92">
            <v>10</v>
          </cell>
          <cell r="BJ92" t="str">
            <v>59式</v>
          </cell>
          <cell r="BK92" t="str">
            <v>低</v>
          </cell>
          <cell r="BL92">
            <v>0</v>
          </cell>
          <cell r="BM92">
            <v>2126</v>
          </cell>
          <cell r="BN92">
            <v>141</v>
          </cell>
          <cell r="BO92">
            <v>828</v>
          </cell>
          <cell r="BP92">
            <v>580</v>
          </cell>
          <cell r="BQ92">
            <v>756</v>
          </cell>
          <cell r="BR92">
            <v>202</v>
          </cell>
          <cell r="BS92">
            <v>37.700000000000003</v>
          </cell>
          <cell r="BT92">
            <v>56.3</v>
          </cell>
          <cell r="BU92">
            <v>9.5</v>
          </cell>
          <cell r="BV92">
            <v>0</v>
          </cell>
          <cell r="BW92">
            <v>6.3</v>
          </cell>
          <cell r="BX92">
            <v>0.8</v>
          </cell>
          <cell r="BY92">
            <v>0.52</v>
          </cell>
        </row>
        <row r="93">
          <cell r="BH93" t="str">
            <v>59式1</v>
          </cell>
          <cell r="BI93">
            <v>10</v>
          </cell>
          <cell r="BJ93" t="str">
            <v>59式</v>
          </cell>
          <cell r="BK93" t="str">
            <v>低</v>
          </cell>
          <cell r="BL93">
            <v>1</v>
          </cell>
          <cell r="BM93">
            <v>2195</v>
          </cell>
          <cell r="BN93">
            <v>143</v>
          </cell>
          <cell r="BO93">
            <v>851</v>
          </cell>
          <cell r="BP93">
            <v>596</v>
          </cell>
          <cell r="BQ93">
            <v>769</v>
          </cell>
          <cell r="BR93">
            <v>209</v>
          </cell>
          <cell r="BS93">
            <v>38.4</v>
          </cell>
          <cell r="BT93">
            <v>57.4</v>
          </cell>
          <cell r="BU93">
            <v>9.5</v>
          </cell>
          <cell r="BV93">
            <v>0</v>
          </cell>
          <cell r="BW93">
            <v>6.1</v>
          </cell>
          <cell r="BX93">
            <v>0.8</v>
          </cell>
          <cell r="BY93">
            <v>0.51</v>
          </cell>
        </row>
        <row r="94">
          <cell r="BH94" t="str">
            <v>59式2</v>
          </cell>
          <cell r="BI94">
            <v>10</v>
          </cell>
          <cell r="BJ94" t="str">
            <v>59式</v>
          </cell>
          <cell r="BK94" t="str">
            <v>低</v>
          </cell>
          <cell r="BL94">
            <v>2</v>
          </cell>
          <cell r="BM94">
            <v>2264</v>
          </cell>
          <cell r="BN94">
            <v>146</v>
          </cell>
          <cell r="BO94">
            <v>874</v>
          </cell>
          <cell r="BP94">
            <v>612</v>
          </cell>
          <cell r="BQ94">
            <v>782</v>
          </cell>
          <cell r="BR94">
            <v>216</v>
          </cell>
          <cell r="BS94">
            <v>39.200000000000003</v>
          </cell>
          <cell r="BT94">
            <v>58.5</v>
          </cell>
          <cell r="BU94">
            <v>9.5</v>
          </cell>
          <cell r="BV94">
            <v>0</v>
          </cell>
          <cell r="BW94">
            <v>6</v>
          </cell>
          <cell r="BX94">
            <v>0.8</v>
          </cell>
          <cell r="BY94">
            <v>0.5</v>
          </cell>
        </row>
        <row r="95">
          <cell r="BH95" t="str">
            <v>59式3</v>
          </cell>
          <cell r="BI95">
            <v>10</v>
          </cell>
          <cell r="BJ95" t="str">
            <v>59式</v>
          </cell>
          <cell r="BK95" t="str">
            <v>低</v>
          </cell>
          <cell r="BL95">
            <v>3</v>
          </cell>
          <cell r="BM95">
            <v>2333</v>
          </cell>
          <cell r="BN95">
            <v>148</v>
          </cell>
          <cell r="BO95">
            <v>896</v>
          </cell>
          <cell r="BP95">
            <v>628</v>
          </cell>
          <cell r="BQ95">
            <v>795</v>
          </cell>
          <cell r="BR95">
            <v>223</v>
          </cell>
          <cell r="BS95">
            <v>39.9</v>
          </cell>
          <cell r="BT95">
            <v>59.5</v>
          </cell>
          <cell r="BU95">
            <v>9.5</v>
          </cell>
          <cell r="BV95">
            <v>0</v>
          </cell>
          <cell r="BW95">
            <v>5.8</v>
          </cell>
          <cell r="BX95">
            <v>0.8</v>
          </cell>
          <cell r="BY95">
            <v>0.5</v>
          </cell>
        </row>
        <row r="96">
          <cell r="BH96" t="str">
            <v>59式4</v>
          </cell>
          <cell r="BI96">
            <v>10</v>
          </cell>
          <cell r="BJ96" t="str">
            <v>59式</v>
          </cell>
          <cell r="BK96" t="str">
            <v>低</v>
          </cell>
          <cell r="BL96">
            <v>4</v>
          </cell>
          <cell r="BM96">
            <v>2403</v>
          </cell>
          <cell r="BN96">
            <v>150</v>
          </cell>
          <cell r="BO96">
            <v>919</v>
          </cell>
          <cell r="BP96">
            <v>644</v>
          </cell>
          <cell r="BQ96">
            <v>808</v>
          </cell>
          <cell r="BR96">
            <v>230</v>
          </cell>
          <cell r="BS96">
            <v>40.6</v>
          </cell>
          <cell r="BT96">
            <v>60.6</v>
          </cell>
          <cell r="BU96">
            <v>9.5</v>
          </cell>
          <cell r="BV96">
            <v>0</v>
          </cell>
          <cell r="BW96">
            <v>5.7</v>
          </cell>
          <cell r="BX96">
            <v>0.8</v>
          </cell>
          <cell r="BY96">
            <v>0.49</v>
          </cell>
        </row>
        <row r="97">
          <cell r="BH97" t="str">
            <v>59式5</v>
          </cell>
          <cell r="BI97">
            <v>10</v>
          </cell>
          <cell r="BJ97" t="str">
            <v>59式</v>
          </cell>
          <cell r="BK97" t="str">
            <v>低</v>
          </cell>
          <cell r="BL97">
            <v>5</v>
          </cell>
          <cell r="BM97">
            <v>2472</v>
          </cell>
          <cell r="BN97">
            <v>153</v>
          </cell>
          <cell r="BO97">
            <v>942</v>
          </cell>
          <cell r="BP97">
            <v>660</v>
          </cell>
          <cell r="BQ97">
            <v>821</v>
          </cell>
          <cell r="BR97">
            <v>237</v>
          </cell>
          <cell r="BS97">
            <v>41.3</v>
          </cell>
          <cell r="BT97">
            <v>61.7</v>
          </cell>
          <cell r="BU97">
            <v>9.5</v>
          </cell>
          <cell r="BV97">
            <v>0</v>
          </cell>
          <cell r="BW97">
            <v>5.5</v>
          </cell>
          <cell r="BX97">
            <v>0.8</v>
          </cell>
          <cell r="BY97">
            <v>0.48</v>
          </cell>
        </row>
        <row r="98">
          <cell r="BH98" t="str">
            <v>59式6</v>
          </cell>
          <cell r="BI98">
            <v>10</v>
          </cell>
          <cell r="BJ98" t="str">
            <v>59式</v>
          </cell>
          <cell r="BK98" t="str">
            <v>低</v>
          </cell>
          <cell r="BL98">
            <v>6</v>
          </cell>
          <cell r="BM98">
            <v>2541</v>
          </cell>
          <cell r="BN98">
            <v>155</v>
          </cell>
          <cell r="BO98">
            <v>965</v>
          </cell>
          <cell r="BP98">
            <v>676</v>
          </cell>
          <cell r="BQ98">
            <v>834</v>
          </cell>
          <cell r="BR98">
            <v>244</v>
          </cell>
          <cell r="BS98">
            <v>42.1</v>
          </cell>
          <cell r="BT98">
            <v>62.8</v>
          </cell>
          <cell r="BU98">
            <v>9.5</v>
          </cell>
          <cell r="BV98">
            <v>0</v>
          </cell>
          <cell r="BW98">
            <v>5.4</v>
          </cell>
          <cell r="BX98">
            <v>0.8</v>
          </cell>
          <cell r="BY98">
            <v>0.48</v>
          </cell>
        </row>
        <row r="99">
          <cell r="BH99" t="str">
            <v>59式7</v>
          </cell>
          <cell r="BI99">
            <v>10</v>
          </cell>
          <cell r="BJ99" t="str">
            <v>59式</v>
          </cell>
          <cell r="BK99" t="str">
            <v>低</v>
          </cell>
          <cell r="BL99">
            <v>7</v>
          </cell>
          <cell r="BM99">
            <v>2610</v>
          </cell>
          <cell r="BN99">
            <v>158</v>
          </cell>
          <cell r="BO99">
            <v>988</v>
          </cell>
          <cell r="BP99">
            <v>692</v>
          </cell>
          <cell r="BQ99">
            <v>847</v>
          </cell>
          <cell r="BR99">
            <v>250</v>
          </cell>
          <cell r="BS99">
            <v>42.8</v>
          </cell>
          <cell r="BT99">
            <v>63.9</v>
          </cell>
          <cell r="BU99">
            <v>9.5</v>
          </cell>
          <cell r="BV99">
            <v>0</v>
          </cell>
          <cell r="BW99">
            <v>5.2</v>
          </cell>
          <cell r="BX99">
            <v>0.8</v>
          </cell>
          <cell r="BY99">
            <v>0.47</v>
          </cell>
        </row>
        <row r="100">
          <cell r="BH100" t="str">
            <v>59式8</v>
          </cell>
          <cell r="BI100">
            <v>10</v>
          </cell>
          <cell r="BJ100" t="str">
            <v>59式</v>
          </cell>
          <cell r="BK100" t="str">
            <v>低</v>
          </cell>
          <cell r="BL100">
            <v>8</v>
          </cell>
          <cell r="BM100">
            <v>2680</v>
          </cell>
          <cell r="BN100">
            <v>160</v>
          </cell>
          <cell r="BO100">
            <v>1011</v>
          </cell>
          <cell r="BP100">
            <v>708</v>
          </cell>
          <cell r="BQ100">
            <v>860</v>
          </cell>
          <cell r="BR100">
            <v>257</v>
          </cell>
          <cell r="BS100">
            <v>43.5</v>
          </cell>
          <cell r="BT100">
            <v>65</v>
          </cell>
          <cell r="BU100">
            <v>9.5</v>
          </cell>
          <cell r="BV100">
            <v>0</v>
          </cell>
          <cell r="BW100">
            <v>5.0999999999999996</v>
          </cell>
          <cell r="BX100">
            <v>0.8</v>
          </cell>
          <cell r="BY100">
            <v>0.46</v>
          </cell>
        </row>
        <row r="101">
          <cell r="BH101" t="str">
            <v>59式9</v>
          </cell>
          <cell r="BI101">
            <v>10</v>
          </cell>
          <cell r="BJ101" t="str">
            <v>59式</v>
          </cell>
          <cell r="BK101" t="str">
            <v>低</v>
          </cell>
          <cell r="BL101">
            <v>9</v>
          </cell>
          <cell r="BM101">
            <v>2749</v>
          </cell>
          <cell r="BN101">
            <v>163</v>
          </cell>
          <cell r="BO101">
            <v>1033</v>
          </cell>
          <cell r="BP101">
            <v>724</v>
          </cell>
          <cell r="BQ101">
            <v>873</v>
          </cell>
          <cell r="BR101">
            <v>264</v>
          </cell>
          <cell r="BS101">
            <v>44.2</v>
          </cell>
          <cell r="BT101">
            <v>66</v>
          </cell>
          <cell r="BU101">
            <v>9.5</v>
          </cell>
          <cell r="BV101">
            <v>0</v>
          </cell>
          <cell r="BW101">
            <v>4.9000000000000004</v>
          </cell>
          <cell r="BX101">
            <v>0.8</v>
          </cell>
          <cell r="BY101">
            <v>0.46</v>
          </cell>
        </row>
        <row r="102">
          <cell r="BH102" t="str">
            <v>59式10</v>
          </cell>
          <cell r="BI102">
            <v>10</v>
          </cell>
          <cell r="BJ102" t="str">
            <v>59式</v>
          </cell>
          <cell r="BK102" t="str">
            <v>低</v>
          </cell>
          <cell r="BL102">
            <v>10</v>
          </cell>
          <cell r="BM102">
            <v>2818</v>
          </cell>
          <cell r="BN102">
            <v>165</v>
          </cell>
          <cell r="BO102">
            <v>1056</v>
          </cell>
          <cell r="BP102">
            <v>740</v>
          </cell>
          <cell r="BQ102">
            <v>886</v>
          </cell>
          <cell r="BR102">
            <v>271</v>
          </cell>
          <cell r="BS102">
            <v>45</v>
          </cell>
          <cell r="BT102">
            <v>67.099999999999994</v>
          </cell>
          <cell r="BU102">
            <v>9.5</v>
          </cell>
          <cell r="BV102">
            <v>0</v>
          </cell>
          <cell r="BW102">
            <v>4.8</v>
          </cell>
          <cell r="BX102">
            <v>0.8</v>
          </cell>
          <cell r="BY102">
            <v>0.45</v>
          </cell>
        </row>
        <row r="103">
          <cell r="BH103" t="str">
            <v>59式11</v>
          </cell>
          <cell r="BI103">
            <v>10</v>
          </cell>
          <cell r="BJ103" t="str">
            <v>59式</v>
          </cell>
          <cell r="BK103" t="str">
            <v>低</v>
          </cell>
          <cell r="BL103">
            <v>11</v>
          </cell>
          <cell r="BM103">
            <v>2887</v>
          </cell>
          <cell r="BN103">
            <v>167</v>
          </cell>
          <cell r="BO103">
            <v>1079</v>
          </cell>
          <cell r="BP103">
            <v>756</v>
          </cell>
          <cell r="BQ103">
            <v>899</v>
          </cell>
          <cell r="BR103">
            <v>278</v>
          </cell>
          <cell r="BS103">
            <v>45.7</v>
          </cell>
          <cell r="BT103">
            <v>68.2</v>
          </cell>
          <cell r="BU103">
            <v>9.5</v>
          </cell>
          <cell r="BV103">
            <v>0</v>
          </cell>
          <cell r="BW103">
            <v>4.5999999999999996</v>
          </cell>
          <cell r="BX103">
            <v>0.8</v>
          </cell>
          <cell r="BY103">
            <v>0.44</v>
          </cell>
        </row>
        <row r="104">
          <cell r="BH104" t="str">
            <v>59式12</v>
          </cell>
          <cell r="BI104">
            <v>10</v>
          </cell>
          <cell r="BJ104" t="str">
            <v>59式</v>
          </cell>
          <cell r="BK104" t="str">
            <v>低</v>
          </cell>
          <cell r="BL104">
            <v>12</v>
          </cell>
          <cell r="BM104">
            <v>2957</v>
          </cell>
          <cell r="BN104">
            <v>170</v>
          </cell>
          <cell r="BO104">
            <v>1102</v>
          </cell>
          <cell r="BP104">
            <v>772</v>
          </cell>
          <cell r="BQ104">
            <v>912</v>
          </cell>
          <cell r="BR104">
            <v>285</v>
          </cell>
          <cell r="BS104">
            <v>46.4</v>
          </cell>
          <cell r="BT104">
            <v>69.3</v>
          </cell>
          <cell r="BU104">
            <v>9.5</v>
          </cell>
          <cell r="BV104">
            <v>0</v>
          </cell>
          <cell r="BW104">
            <v>4.5</v>
          </cell>
          <cell r="BX104">
            <v>0.8</v>
          </cell>
          <cell r="BY104">
            <v>0.44</v>
          </cell>
        </row>
        <row r="105">
          <cell r="BH105" t="str">
            <v>59式13</v>
          </cell>
          <cell r="BI105">
            <v>10</v>
          </cell>
          <cell r="BJ105" t="str">
            <v>59式</v>
          </cell>
          <cell r="BK105" t="str">
            <v>低</v>
          </cell>
          <cell r="BL105">
            <v>13</v>
          </cell>
          <cell r="BM105">
            <v>3026</v>
          </cell>
          <cell r="BN105">
            <v>172</v>
          </cell>
          <cell r="BO105">
            <v>1125</v>
          </cell>
          <cell r="BP105">
            <v>788</v>
          </cell>
          <cell r="BQ105">
            <v>926</v>
          </cell>
          <cell r="BR105">
            <v>292</v>
          </cell>
          <cell r="BS105">
            <v>47.1</v>
          </cell>
          <cell r="BT105">
            <v>70.400000000000006</v>
          </cell>
          <cell r="BU105">
            <v>9.5</v>
          </cell>
          <cell r="BV105">
            <v>0</v>
          </cell>
          <cell r="BW105">
            <v>4.3</v>
          </cell>
          <cell r="BX105">
            <v>0.8</v>
          </cell>
          <cell r="BY105">
            <v>0.43</v>
          </cell>
        </row>
        <row r="106">
          <cell r="BH106" t="str">
            <v>Stuart0</v>
          </cell>
          <cell r="BI106">
            <v>11</v>
          </cell>
          <cell r="BJ106" t="str">
            <v>Stuart</v>
          </cell>
          <cell r="BK106" t="str">
            <v>低</v>
          </cell>
          <cell r="BL106">
            <v>0</v>
          </cell>
          <cell r="BM106">
            <v>560</v>
          </cell>
          <cell r="BN106">
            <v>118</v>
          </cell>
          <cell r="BO106">
            <v>329</v>
          </cell>
          <cell r="BP106">
            <v>246</v>
          </cell>
          <cell r="BQ106">
            <v>360</v>
          </cell>
          <cell r="BR106">
            <v>86</v>
          </cell>
          <cell r="BS106">
            <v>44.5</v>
          </cell>
          <cell r="BT106">
            <v>40</v>
          </cell>
          <cell r="BU106">
            <v>8</v>
          </cell>
          <cell r="BV106">
            <v>0</v>
          </cell>
          <cell r="BW106">
            <v>3.2</v>
          </cell>
          <cell r="BX106">
            <v>0.3</v>
          </cell>
          <cell r="BY106">
            <v>1</v>
          </cell>
        </row>
        <row r="107">
          <cell r="BH107" t="str">
            <v>Stuart1</v>
          </cell>
          <cell r="BI107">
            <v>11</v>
          </cell>
          <cell r="BJ107" t="str">
            <v>Stuart</v>
          </cell>
          <cell r="BK107" t="str">
            <v>低</v>
          </cell>
          <cell r="BL107">
            <v>1</v>
          </cell>
          <cell r="BM107">
            <v>646</v>
          </cell>
          <cell r="BN107">
            <v>123</v>
          </cell>
          <cell r="BO107">
            <v>346</v>
          </cell>
          <cell r="BP107">
            <v>259</v>
          </cell>
          <cell r="BQ107">
            <v>375</v>
          </cell>
          <cell r="BR107">
            <v>91</v>
          </cell>
          <cell r="BS107">
            <v>46.7</v>
          </cell>
          <cell r="BT107">
            <v>42</v>
          </cell>
          <cell r="BU107">
            <v>8</v>
          </cell>
          <cell r="BV107">
            <v>0</v>
          </cell>
          <cell r="BW107">
            <v>3.1</v>
          </cell>
          <cell r="BX107">
            <v>0.3</v>
          </cell>
          <cell r="BY107">
            <v>0.97</v>
          </cell>
        </row>
        <row r="108">
          <cell r="BH108" t="str">
            <v>Stuart2</v>
          </cell>
          <cell r="BI108">
            <v>11</v>
          </cell>
          <cell r="BJ108" t="str">
            <v>Stuart</v>
          </cell>
          <cell r="BK108" t="str">
            <v>低</v>
          </cell>
          <cell r="BL108">
            <v>2</v>
          </cell>
          <cell r="BM108">
            <v>733</v>
          </cell>
          <cell r="BN108">
            <v>128</v>
          </cell>
          <cell r="BO108">
            <v>363</v>
          </cell>
          <cell r="BP108">
            <v>272</v>
          </cell>
          <cell r="BQ108">
            <v>390</v>
          </cell>
          <cell r="BR108">
            <v>96</v>
          </cell>
          <cell r="BS108">
            <v>49</v>
          </cell>
          <cell r="BT108">
            <v>44</v>
          </cell>
          <cell r="BU108">
            <v>8</v>
          </cell>
          <cell r="BV108">
            <v>0</v>
          </cell>
          <cell r="BW108">
            <v>3</v>
          </cell>
          <cell r="BX108">
            <v>0.3</v>
          </cell>
          <cell r="BY108">
            <v>0.93</v>
          </cell>
        </row>
        <row r="109">
          <cell r="BH109" t="str">
            <v>Stuart3</v>
          </cell>
          <cell r="BI109">
            <v>11</v>
          </cell>
          <cell r="BJ109" t="str">
            <v>Stuart</v>
          </cell>
          <cell r="BK109" t="str">
            <v>低</v>
          </cell>
          <cell r="BL109">
            <v>3</v>
          </cell>
          <cell r="BM109">
            <v>820</v>
          </cell>
          <cell r="BN109">
            <v>133</v>
          </cell>
          <cell r="BO109">
            <v>381</v>
          </cell>
          <cell r="BP109">
            <v>285</v>
          </cell>
          <cell r="BQ109">
            <v>405</v>
          </cell>
          <cell r="BR109">
            <v>102</v>
          </cell>
          <cell r="BS109">
            <v>51.2</v>
          </cell>
          <cell r="BT109">
            <v>46</v>
          </cell>
          <cell r="BU109">
            <v>8</v>
          </cell>
          <cell r="BV109">
            <v>0</v>
          </cell>
          <cell r="BW109">
            <v>2.9</v>
          </cell>
          <cell r="BX109">
            <v>0.3</v>
          </cell>
          <cell r="BY109">
            <v>0.9</v>
          </cell>
        </row>
        <row r="110">
          <cell r="BH110" t="str">
            <v>Stuart4</v>
          </cell>
          <cell r="BI110">
            <v>11</v>
          </cell>
          <cell r="BJ110" t="str">
            <v>Stuart</v>
          </cell>
          <cell r="BK110" t="str">
            <v>低</v>
          </cell>
          <cell r="BL110">
            <v>4</v>
          </cell>
          <cell r="BM110">
            <v>906</v>
          </cell>
          <cell r="BN110">
            <v>138</v>
          </cell>
          <cell r="BO110">
            <v>398</v>
          </cell>
          <cell r="BP110">
            <v>298</v>
          </cell>
          <cell r="BQ110">
            <v>420</v>
          </cell>
          <cell r="BR110">
            <v>107</v>
          </cell>
          <cell r="BS110">
            <v>53.4</v>
          </cell>
          <cell r="BT110">
            <v>48</v>
          </cell>
          <cell r="BU110">
            <v>8</v>
          </cell>
          <cell r="BV110">
            <v>0</v>
          </cell>
          <cell r="BW110">
            <v>2.7</v>
          </cell>
          <cell r="BX110">
            <v>0.3</v>
          </cell>
          <cell r="BY110">
            <v>0.87</v>
          </cell>
        </row>
        <row r="111">
          <cell r="BH111" t="str">
            <v>Stuart5</v>
          </cell>
          <cell r="BI111">
            <v>11</v>
          </cell>
          <cell r="BJ111" t="str">
            <v>Stuart</v>
          </cell>
          <cell r="BK111" t="str">
            <v>低</v>
          </cell>
          <cell r="BL111">
            <v>5</v>
          </cell>
          <cell r="BM111">
            <v>993</v>
          </cell>
          <cell r="BN111">
            <v>143</v>
          </cell>
          <cell r="BO111">
            <v>415</v>
          </cell>
          <cell r="BP111">
            <v>311</v>
          </cell>
          <cell r="BQ111">
            <v>436</v>
          </cell>
          <cell r="BR111">
            <v>112</v>
          </cell>
          <cell r="BS111">
            <v>55.6</v>
          </cell>
          <cell r="BT111">
            <v>50</v>
          </cell>
          <cell r="BU111">
            <v>8</v>
          </cell>
          <cell r="BV111">
            <v>0</v>
          </cell>
          <cell r="BW111">
            <v>2.6</v>
          </cell>
          <cell r="BX111">
            <v>0.3</v>
          </cell>
          <cell r="BY111">
            <v>0.83</v>
          </cell>
        </row>
        <row r="112">
          <cell r="BH112" t="str">
            <v>T-340</v>
          </cell>
          <cell r="BI112">
            <v>12</v>
          </cell>
          <cell r="BJ112" t="str">
            <v>T-34</v>
          </cell>
          <cell r="BK112" t="str">
            <v>低</v>
          </cell>
          <cell r="BL112">
            <v>0</v>
          </cell>
          <cell r="BM112">
            <v>945</v>
          </cell>
          <cell r="BN112">
            <v>132</v>
          </cell>
          <cell r="BO112">
            <v>394</v>
          </cell>
          <cell r="BP112">
            <v>296</v>
          </cell>
          <cell r="BQ112">
            <v>432</v>
          </cell>
          <cell r="BR112">
            <v>104</v>
          </cell>
          <cell r="BS112">
            <v>44.5</v>
          </cell>
          <cell r="BT112">
            <v>40</v>
          </cell>
          <cell r="BU112">
            <v>8</v>
          </cell>
          <cell r="BV112">
            <v>0</v>
          </cell>
          <cell r="BW112">
            <v>3.2</v>
          </cell>
          <cell r="BX112">
            <v>0.32</v>
          </cell>
          <cell r="BY112">
            <v>1.01</v>
          </cell>
        </row>
        <row r="113">
          <cell r="BH113" t="str">
            <v>T-341</v>
          </cell>
          <cell r="BI113">
            <v>12</v>
          </cell>
          <cell r="BJ113" t="str">
            <v>T-34</v>
          </cell>
          <cell r="BK113" t="str">
            <v>低</v>
          </cell>
          <cell r="BL113">
            <v>1</v>
          </cell>
          <cell r="BM113">
            <v>1007</v>
          </cell>
          <cell r="BN113">
            <v>137</v>
          </cell>
          <cell r="BO113">
            <v>414</v>
          </cell>
          <cell r="BP113">
            <v>311</v>
          </cell>
          <cell r="BQ113">
            <v>449</v>
          </cell>
          <cell r="BR113">
            <v>110</v>
          </cell>
          <cell r="BS113">
            <v>46.1</v>
          </cell>
          <cell r="BT113">
            <v>41.4</v>
          </cell>
          <cell r="BU113">
            <v>8</v>
          </cell>
          <cell r="BV113">
            <v>0</v>
          </cell>
          <cell r="BW113">
            <v>3.1</v>
          </cell>
          <cell r="BX113">
            <v>0.42</v>
          </cell>
          <cell r="BY113">
            <v>0.99</v>
          </cell>
        </row>
        <row r="114">
          <cell r="BH114" t="str">
            <v>T-342</v>
          </cell>
          <cell r="BI114">
            <v>12</v>
          </cell>
          <cell r="BJ114" t="str">
            <v>T-34</v>
          </cell>
          <cell r="BK114" t="str">
            <v>低</v>
          </cell>
          <cell r="BL114">
            <v>2</v>
          </cell>
          <cell r="BM114">
            <v>1070</v>
          </cell>
          <cell r="BN114">
            <v>142</v>
          </cell>
          <cell r="BO114">
            <v>435</v>
          </cell>
          <cell r="BP114">
            <v>326</v>
          </cell>
          <cell r="BQ114">
            <v>465</v>
          </cell>
          <cell r="BR114">
            <v>116</v>
          </cell>
          <cell r="BS114">
            <v>47.7</v>
          </cell>
          <cell r="BT114">
            <v>42.9</v>
          </cell>
          <cell r="BU114">
            <v>8</v>
          </cell>
          <cell r="BV114">
            <v>0</v>
          </cell>
          <cell r="BW114">
            <v>3</v>
          </cell>
          <cell r="BX114">
            <v>0.51</v>
          </cell>
          <cell r="BY114">
            <v>0.96</v>
          </cell>
        </row>
        <row r="115">
          <cell r="BH115" t="str">
            <v>T-343</v>
          </cell>
          <cell r="BI115">
            <v>12</v>
          </cell>
          <cell r="BJ115" t="str">
            <v>T-34</v>
          </cell>
          <cell r="BK115" t="str">
            <v>低</v>
          </cell>
          <cell r="BL115">
            <v>3</v>
          </cell>
          <cell r="BM115">
            <v>1132</v>
          </cell>
          <cell r="BN115">
            <v>147</v>
          </cell>
          <cell r="BO115">
            <v>455</v>
          </cell>
          <cell r="BP115">
            <v>341</v>
          </cell>
          <cell r="BQ115">
            <v>482</v>
          </cell>
          <cell r="BR115">
            <v>122</v>
          </cell>
          <cell r="BS115">
            <v>49.3</v>
          </cell>
          <cell r="BT115">
            <v>44.3</v>
          </cell>
          <cell r="BU115">
            <v>8</v>
          </cell>
          <cell r="BV115">
            <v>0</v>
          </cell>
          <cell r="BW115">
            <v>3</v>
          </cell>
          <cell r="BX115">
            <v>0.61</v>
          </cell>
          <cell r="BY115">
            <v>0.94</v>
          </cell>
        </row>
        <row r="116">
          <cell r="BH116" t="str">
            <v>T-344</v>
          </cell>
          <cell r="BI116">
            <v>12</v>
          </cell>
          <cell r="BJ116" t="str">
            <v>T-34</v>
          </cell>
          <cell r="BK116" t="str">
            <v>低</v>
          </cell>
          <cell r="BL116">
            <v>4</v>
          </cell>
          <cell r="BM116">
            <v>1194</v>
          </cell>
          <cell r="BN116">
            <v>152</v>
          </cell>
          <cell r="BO116">
            <v>475</v>
          </cell>
          <cell r="BP116">
            <v>356</v>
          </cell>
          <cell r="BQ116">
            <v>499</v>
          </cell>
          <cell r="BR116">
            <v>129</v>
          </cell>
          <cell r="BS116">
            <v>50.9</v>
          </cell>
          <cell r="BT116">
            <v>45.7</v>
          </cell>
          <cell r="BU116">
            <v>8</v>
          </cell>
          <cell r="BV116">
            <v>0</v>
          </cell>
          <cell r="BW116">
            <v>2.9</v>
          </cell>
          <cell r="BX116">
            <v>0.71</v>
          </cell>
          <cell r="BY116">
            <v>0.91</v>
          </cell>
        </row>
        <row r="117">
          <cell r="BH117" t="str">
            <v>T-345</v>
          </cell>
          <cell r="BI117">
            <v>12</v>
          </cell>
          <cell r="BJ117" t="str">
            <v>T-34</v>
          </cell>
          <cell r="BK117" t="str">
            <v>低</v>
          </cell>
          <cell r="BL117">
            <v>5</v>
          </cell>
          <cell r="BM117">
            <v>1257</v>
          </cell>
          <cell r="BN117">
            <v>157</v>
          </cell>
          <cell r="BO117">
            <v>495</v>
          </cell>
          <cell r="BP117">
            <v>372</v>
          </cell>
          <cell r="BQ117">
            <v>516</v>
          </cell>
          <cell r="BR117">
            <v>135</v>
          </cell>
          <cell r="BS117">
            <v>52.4</v>
          </cell>
          <cell r="BT117">
            <v>47.1</v>
          </cell>
          <cell r="BU117">
            <v>8</v>
          </cell>
          <cell r="BV117">
            <v>0</v>
          </cell>
          <cell r="BW117">
            <v>2.8</v>
          </cell>
          <cell r="BX117">
            <v>0.81</v>
          </cell>
          <cell r="BY117">
            <v>0.89</v>
          </cell>
        </row>
        <row r="118">
          <cell r="BH118" t="str">
            <v>T-346</v>
          </cell>
          <cell r="BI118">
            <v>12</v>
          </cell>
          <cell r="BJ118" t="str">
            <v>T-34</v>
          </cell>
          <cell r="BK118" t="str">
            <v>低</v>
          </cell>
          <cell r="BL118">
            <v>6</v>
          </cell>
          <cell r="BM118">
            <v>1319</v>
          </cell>
          <cell r="BN118">
            <v>162</v>
          </cell>
          <cell r="BO118">
            <v>516</v>
          </cell>
          <cell r="BP118">
            <v>387</v>
          </cell>
          <cell r="BQ118">
            <v>532</v>
          </cell>
          <cell r="BR118">
            <v>141</v>
          </cell>
          <cell r="BS118">
            <v>54</v>
          </cell>
          <cell r="BT118">
            <v>48.6</v>
          </cell>
          <cell r="BU118">
            <v>8</v>
          </cell>
          <cell r="BV118">
            <v>0</v>
          </cell>
          <cell r="BW118">
            <v>2.7</v>
          </cell>
          <cell r="BX118">
            <v>0.9</v>
          </cell>
          <cell r="BY118">
            <v>0.87</v>
          </cell>
        </row>
        <row r="119">
          <cell r="BH119" t="str">
            <v>T-347</v>
          </cell>
          <cell r="BI119">
            <v>12</v>
          </cell>
          <cell r="BJ119" t="str">
            <v>T-34</v>
          </cell>
          <cell r="BK119" t="str">
            <v>低</v>
          </cell>
          <cell r="BL119">
            <v>7</v>
          </cell>
          <cell r="BM119">
            <v>1381</v>
          </cell>
          <cell r="BN119">
            <v>167</v>
          </cell>
          <cell r="BO119">
            <v>536</v>
          </cell>
          <cell r="BP119">
            <v>402</v>
          </cell>
          <cell r="BQ119">
            <v>549</v>
          </cell>
          <cell r="BR119">
            <v>147</v>
          </cell>
          <cell r="BS119">
            <v>55.6</v>
          </cell>
          <cell r="BT119">
            <v>50</v>
          </cell>
          <cell r="BU119">
            <v>8</v>
          </cell>
          <cell r="BV119">
            <v>0</v>
          </cell>
          <cell r="BW119">
            <v>2.6</v>
          </cell>
          <cell r="BX119">
            <v>1</v>
          </cell>
          <cell r="BY119">
            <v>0.84</v>
          </cell>
        </row>
        <row r="120">
          <cell r="BH120" t="str">
            <v>四号0</v>
          </cell>
          <cell r="BI120">
            <v>13</v>
          </cell>
          <cell r="BJ120" t="str">
            <v>四号</v>
          </cell>
          <cell r="BK120" t="str">
            <v>中</v>
          </cell>
          <cell r="BL120">
            <v>0</v>
          </cell>
          <cell r="BM120">
            <v>1007</v>
          </cell>
          <cell r="BN120">
            <v>133</v>
          </cell>
          <cell r="BO120">
            <v>401</v>
          </cell>
          <cell r="BP120">
            <v>301</v>
          </cell>
          <cell r="BQ120">
            <v>439</v>
          </cell>
          <cell r="BR120">
            <v>105</v>
          </cell>
          <cell r="BS120">
            <v>36.299999999999997</v>
          </cell>
          <cell r="BT120">
            <v>51</v>
          </cell>
          <cell r="BU120">
            <v>7.3</v>
          </cell>
          <cell r="BV120">
            <v>2.4</v>
          </cell>
          <cell r="BW120">
            <v>0</v>
          </cell>
          <cell r="BX120">
            <v>0.4</v>
          </cell>
          <cell r="BY120">
            <v>1.4</v>
          </cell>
        </row>
        <row r="121">
          <cell r="BH121" t="str">
            <v>四号1</v>
          </cell>
          <cell r="BI121">
            <v>13</v>
          </cell>
          <cell r="BJ121" t="str">
            <v>四号</v>
          </cell>
          <cell r="BK121" t="str">
            <v>中</v>
          </cell>
          <cell r="BL121">
            <v>1</v>
          </cell>
          <cell r="BM121">
            <v>1080</v>
          </cell>
          <cell r="BN121">
            <v>138</v>
          </cell>
          <cell r="BO121">
            <v>423</v>
          </cell>
          <cell r="BP121">
            <v>317</v>
          </cell>
          <cell r="BQ121">
            <v>457</v>
          </cell>
          <cell r="BR121">
            <v>112</v>
          </cell>
          <cell r="BS121">
            <v>37.6</v>
          </cell>
          <cell r="BT121">
            <v>52.8</v>
          </cell>
          <cell r="BU121">
            <v>7.3</v>
          </cell>
          <cell r="BV121">
            <v>2.35</v>
          </cell>
          <cell r="BW121">
            <v>0</v>
          </cell>
          <cell r="BX121">
            <v>0.4</v>
          </cell>
          <cell r="BY121">
            <v>1.37</v>
          </cell>
        </row>
        <row r="122">
          <cell r="BH122" t="str">
            <v>四号2</v>
          </cell>
          <cell r="BI122">
            <v>13</v>
          </cell>
          <cell r="BJ122" t="str">
            <v>四号</v>
          </cell>
          <cell r="BK122" t="str">
            <v>中</v>
          </cell>
          <cell r="BL122">
            <v>2</v>
          </cell>
          <cell r="BM122">
            <v>1152</v>
          </cell>
          <cell r="BN122">
            <v>144</v>
          </cell>
          <cell r="BO122">
            <v>444</v>
          </cell>
          <cell r="BP122">
            <v>334</v>
          </cell>
          <cell r="BQ122">
            <v>475</v>
          </cell>
          <cell r="BR122">
            <v>118</v>
          </cell>
          <cell r="BS122">
            <v>38.9</v>
          </cell>
          <cell r="BT122">
            <v>54.6</v>
          </cell>
          <cell r="BU122">
            <v>7.3</v>
          </cell>
          <cell r="BV122">
            <v>2.29</v>
          </cell>
          <cell r="BW122">
            <v>0</v>
          </cell>
          <cell r="BX122">
            <v>0.4</v>
          </cell>
          <cell r="BY122">
            <v>1.33</v>
          </cell>
        </row>
        <row r="123">
          <cell r="BH123" t="str">
            <v>四号3</v>
          </cell>
          <cell r="BI123">
            <v>13</v>
          </cell>
          <cell r="BJ123" t="str">
            <v>四号</v>
          </cell>
          <cell r="BK123" t="str">
            <v>中</v>
          </cell>
          <cell r="BL123">
            <v>3</v>
          </cell>
          <cell r="BM123">
            <v>1225</v>
          </cell>
          <cell r="BN123">
            <v>149</v>
          </cell>
          <cell r="BO123">
            <v>466</v>
          </cell>
          <cell r="BP123">
            <v>350</v>
          </cell>
          <cell r="BQ123">
            <v>493</v>
          </cell>
          <cell r="BR123">
            <v>125</v>
          </cell>
          <cell r="BS123">
            <v>40.200000000000003</v>
          </cell>
          <cell r="BT123">
            <v>56.5</v>
          </cell>
          <cell r="BU123">
            <v>7.3</v>
          </cell>
          <cell r="BV123">
            <v>2.2400000000000002</v>
          </cell>
          <cell r="BW123">
            <v>0</v>
          </cell>
          <cell r="BX123">
            <v>0.4</v>
          </cell>
          <cell r="BY123">
            <v>1.3</v>
          </cell>
        </row>
        <row r="124">
          <cell r="BH124" t="str">
            <v>四号4</v>
          </cell>
          <cell r="BI124">
            <v>13</v>
          </cell>
          <cell r="BJ124" t="str">
            <v>四号</v>
          </cell>
          <cell r="BK124" t="str">
            <v>中</v>
          </cell>
          <cell r="BL124">
            <v>4</v>
          </cell>
          <cell r="BM124">
            <v>1298</v>
          </cell>
          <cell r="BN124">
            <v>155</v>
          </cell>
          <cell r="BO124">
            <v>488</v>
          </cell>
          <cell r="BP124">
            <v>366</v>
          </cell>
          <cell r="BQ124">
            <v>511</v>
          </cell>
          <cell r="BR124">
            <v>132</v>
          </cell>
          <cell r="BS124">
            <v>41.5</v>
          </cell>
          <cell r="BT124">
            <v>58.3</v>
          </cell>
          <cell r="BU124">
            <v>7.3</v>
          </cell>
          <cell r="BV124">
            <v>2.1800000000000002</v>
          </cell>
          <cell r="BW124">
            <v>0</v>
          </cell>
          <cell r="BX124">
            <v>0.4</v>
          </cell>
          <cell r="BY124">
            <v>1.27</v>
          </cell>
        </row>
        <row r="125">
          <cell r="BH125" t="str">
            <v>四号5</v>
          </cell>
          <cell r="BI125">
            <v>13</v>
          </cell>
          <cell r="BJ125" t="str">
            <v>四号</v>
          </cell>
          <cell r="BK125" t="str">
            <v>中</v>
          </cell>
          <cell r="BL125">
            <v>5</v>
          </cell>
          <cell r="BM125">
            <v>1370</v>
          </cell>
          <cell r="BN125">
            <v>160</v>
          </cell>
          <cell r="BO125">
            <v>510</v>
          </cell>
          <cell r="BP125">
            <v>383</v>
          </cell>
          <cell r="BQ125">
            <v>530</v>
          </cell>
          <cell r="BR125">
            <v>139</v>
          </cell>
          <cell r="BS125">
            <v>42.8</v>
          </cell>
          <cell r="BT125">
            <v>60.1</v>
          </cell>
          <cell r="BU125">
            <v>7.3</v>
          </cell>
          <cell r="BV125">
            <v>2.13</v>
          </cell>
          <cell r="BW125">
            <v>0</v>
          </cell>
          <cell r="BX125">
            <v>0.4</v>
          </cell>
          <cell r="BY125">
            <v>1.23</v>
          </cell>
        </row>
        <row r="126">
          <cell r="BH126" t="str">
            <v>四号6</v>
          </cell>
          <cell r="BI126">
            <v>13</v>
          </cell>
          <cell r="BJ126" t="str">
            <v>四号</v>
          </cell>
          <cell r="BK126" t="str">
            <v>中</v>
          </cell>
          <cell r="BL126">
            <v>6</v>
          </cell>
          <cell r="BM126">
            <v>1443</v>
          </cell>
          <cell r="BN126">
            <v>165</v>
          </cell>
          <cell r="BO126">
            <v>531</v>
          </cell>
          <cell r="BP126">
            <v>399</v>
          </cell>
          <cell r="BQ126">
            <v>548</v>
          </cell>
          <cell r="BR126">
            <v>145</v>
          </cell>
          <cell r="BS126">
            <v>44.1</v>
          </cell>
          <cell r="BT126">
            <v>61.9</v>
          </cell>
          <cell r="BU126">
            <v>7.3</v>
          </cell>
          <cell r="BV126">
            <v>2.08</v>
          </cell>
          <cell r="BW126">
            <v>0</v>
          </cell>
          <cell r="BX126">
            <v>0.4</v>
          </cell>
          <cell r="BY126">
            <v>1.2</v>
          </cell>
        </row>
        <row r="127">
          <cell r="BH127" t="str">
            <v>四号7</v>
          </cell>
          <cell r="BI127">
            <v>13</v>
          </cell>
          <cell r="BJ127" t="str">
            <v>四号</v>
          </cell>
          <cell r="BK127" t="str">
            <v>中</v>
          </cell>
          <cell r="BL127">
            <v>7</v>
          </cell>
          <cell r="BM127">
            <v>1516</v>
          </cell>
          <cell r="BN127">
            <v>171</v>
          </cell>
          <cell r="BO127">
            <v>553</v>
          </cell>
          <cell r="BP127">
            <v>415</v>
          </cell>
          <cell r="BQ127">
            <v>566</v>
          </cell>
          <cell r="BR127">
            <v>152</v>
          </cell>
          <cell r="BS127">
            <v>45.4</v>
          </cell>
          <cell r="BT127">
            <v>63.8</v>
          </cell>
          <cell r="BU127">
            <v>7.3</v>
          </cell>
          <cell r="BV127">
            <v>2.02</v>
          </cell>
          <cell r="BW127">
            <v>0</v>
          </cell>
          <cell r="BX127">
            <v>0.4</v>
          </cell>
          <cell r="BY127">
            <v>1.17</v>
          </cell>
        </row>
        <row r="128">
          <cell r="BH128" t="str">
            <v>玛蒂尔达0</v>
          </cell>
          <cell r="BI128">
            <v>14</v>
          </cell>
          <cell r="BJ128" t="str">
            <v>玛蒂尔达</v>
          </cell>
          <cell r="BK128" t="str">
            <v>低</v>
          </cell>
          <cell r="BL128">
            <v>0</v>
          </cell>
          <cell r="BM128">
            <v>1214</v>
          </cell>
          <cell r="BN128">
            <v>159</v>
          </cell>
          <cell r="BO128">
            <v>486</v>
          </cell>
          <cell r="BP128">
            <v>365</v>
          </cell>
          <cell r="BQ128">
            <v>533</v>
          </cell>
          <cell r="BR128">
            <v>128</v>
          </cell>
          <cell r="BS128">
            <v>44.5</v>
          </cell>
          <cell r="BT128">
            <v>40</v>
          </cell>
          <cell r="BU128">
            <v>8</v>
          </cell>
          <cell r="BV128">
            <v>0</v>
          </cell>
          <cell r="BW128">
            <v>3.2</v>
          </cell>
          <cell r="BX128">
            <v>0.28000000000000003</v>
          </cell>
          <cell r="BY128">
            <v>0.99</v>
          </cell>
        </row>
        <row r="129">
          <cell r="BH129" t="str">
            <v>玛蒂尔达1</v>
          </cell>
          <cell r="BI129">
            <v>14</v>
          </cell>
          <cell r="BJ129" t="str">
            <v>玛蒂尔达</v>
          </cell>
          <cell r="BK129" t="str">
            <v>低</v>
          </cell>
          <cell r="BL129">
            <v>1</v>
          </cell>
          <cell r="BM129">
            <v>1278</v>
          </cell>
          <cell r="BN129">
            <v>164</v>
          </cell>
          <cell r="BO129">
            <v>507</v>
          </cell>
          <cell r="BP129">
            <v>381</v>
          </cell>
          <cell r="BQ129">
            <v>550</v>
          </cell>
          <cell r="BR129">
            <v>135</v>
          </cell>
          <cell r="BS129">
            <v>45.7</v>
          </cell>
          <cell r="BT129">
            <v>41.1</v>
          </cell>
          <cell r="BU129">
            <v>8</v>
          </cell>
          <cell r="BV129">
            <v>0</v>
          </cell>
          <cell r="BW129">
            <v>3.1</v>
          </cell>
          <cell r="BX129">
            <v>0.32</v>
          </cell>
          <cell r="BY129">
            <v>0.97</v>
          </cell>
        </row>
        <row r="130">
          <cell r="BH130" t="str">
            <v>玛蒂尔达2</v>
          </cell>
          <cell r="BI130">
            <v>14</v>
          </cell>
          <cell r="BJ130" t="str">
            <v>玛蒂尔达</v>
          </cell>
          <cell r="BK130" t="str">
            <v>低</v>
          </cell>
          <cell r="BL130">
            <v>2</v>
          </cell>
          <cell r="BM130">
            <v>1342</v>
          </cell>
          <cell r="BN130">
            <v>169</v>
          </cell>
          <cell r="BO130">
            <v>528</v>
          </cell>
          <cell r="BP130">
            <v>397</v>
          </cell>
          <cell r="BQ130">
            <v>566</v>
          </cell>
          <cell r="BR130">
            <v>141</v>
          </cell>
          <cell r="BS130">
            <v>47</v>
          </cell>
          <cell r="BT130">
            <v>42.2</v>
          </cell>
          <cell r="BU130">
            <v>8</v>
          </cell>
          <cell r="BV130">
            <v>0</v>
          </cell>
          <cell r="BW130">
            <v>3.1</v>
          </cell>
          <cell r="BX130">
            <v>0.35</v>
          </cell>
          <cell r="BY130">
            <v>0.95</v>
          </cell>
        </row>
        <row r="131">
          <cell r="BH131" t="str">
            <v>玛蒂尔达3</v>
          </cell>
          <cell r="BI131">
            <v>14</v>
          </cell>
          <cell r="BJ131" t="str">
            <v>玛蒂尔达</v>
          </cell>
          <cell r="BK131" t="str">
            <v>低</v>
          </cell>
          <cell r="BL131">
            <v>3</v>
          </cell>
          <cell r="BM131">
            <v>1406</v>
          </cell>
          <cell r="BN131">
            <v>173</v>
          </cell>
          <cell r="BO131">
            <v>550</v>
          </cell>
          <cell r="BP131">
            <v>413</v>
          </cell>
          <cell r="BQ131">
            <v>583</v>
          </cell>
          <cell r="BR131">
            <v>148</v>
          </cell>
          <cell r="BS131">
            <v>48.2</v>
          </cell>
          <cell r="BT131">
            <v>43.3</v>
          </cell>
          <cell r="BU131">
            <v>8</v>
          </cell>
          <cell r="BV131">
            <v>0</v>
          </cell>
          <cell r="BW131">
            <v>3</v>
          </cell>
          <cell r="BX131">
            <v>0.39</v>
          </cell>
          <cell r="BY131">
            <v>0.94</v>
          </cell>
        </row>
        <row r="132">
          <cell r="BH132" t="str">
            <v>玛蒂尔达4</v>
          </cell>
          <cell r="BI132">
            <v>14</v>
          </cell>
          <cell r="BJ132" t="str">
            <v>玛蒂尔达</v>
          </cell>
          <cell r="BK132" t="str">
            <v>低</v>
          </cell>
          <cell r="BL132">
            <v>4</v>
          </cell>
          <cell r="BM132">
            <v>1470</v>
          </cell>
          <cell r="BN132">
            <v>178</v>
          </cell>
          <cell r="BO132">
            <v>571</v>
          </cell>
          <cell r="BP132">
            <v>428</v>
          </cell>
          <cell r="BQ132">
            <v>599</v>
          </cell>
          <cell r="BR132">
            <v>154</v>
          </cell>
          <cell r="BS132">
            <v>49.4</v>
          </cell>
          <cell r="BT132">
            <v>44.4</v>
          </cell>
          <cell r="BU132">
            <v>8</v>
          </cell>
          <cell r="BV132">
            <v>0</v>
          </cell>
          <cell r="BW132">
            <v>2.9</v>
          </cell>
          <cell r="BX132">
            <v>0.42</v>
          </cell>
          <cell r="BY132">
            <v>0.92</v>
          </cell>
        </row>
        <row r="133">
          <cell r="BH133" t="str">
            <v>玛蒂尔达5</v>
          </cell>
          <cell r="BI133">
            <v>14</v>
          </cell>
          <cell r="BJ133" t="str">
            <v>玛蒂尔达</v>
          </cell>
          <cell r="BK133" t="str">
            <v>低</v>
          </cell>
          <cell r="BL133">
            <v>5</v>
          </cell>
          <cell r="BM133">
            <v>1534</v>
          </cell>
          <cell r="BN133">
            <v>183</v>
          </cell>
          <cell r="BO133">
            <v>592</v>
          </cell>
          <cell r="BP133">
            <v>444</v>
          </cell>
          <cell r="BQ133">
            <v>616</v>
          </cell>
          <cell r="BR133">
            <v>161</v>
          </cell>
          <cell r="BS133">
            <v>50.7</v>
          </cell>
          <cell r="BT133">
            <v>45.6</v>
          </cell>
          <cell r="BU133">
            <v>8</v>
          </cell>
          <cell r="BV133">
            <v>0</v>
          </cell>
          <cell r="BW133">
            <v>2.9</v>
          </cell>
          <cell r="BX133">
            <v>0.46</v>
          </cell>
          <cell r="BY133">
            <v>0.9</v>
          </cell>
        </row>
        <row r="134">
          <cell r="BH134" t="str">
            <v>玛蒂尔达6</v>
          </cell>
          <cell r="BI134">
            <v>14</v>
          </cell>
          <cell r="BJ134" t="str">
            <v>玛蒂尔达</v>
          </cell>
          <cell r="BK134" t="str">
            <v>低</v>
          </cell>
          <cell r="BL134">
            <v>6</v>
          </cell>
          <cell r="BM134">
            <v>1598</v>
          </cell>
          <cell r="BN134">
            <v>188</v>
          </cell>
          <cell r="BO134">
            <v>613</v>
          </cell>
          <cell r="BP134">
            <v>460</v>
          </cell>
          <cell r="BQ134">
            <v>632</v>
          </cell>
          <cell r="BR134">
            <v>167</v>
          </cell>
          <cell r="BS134">
            <v>51.9</v>
          </cell>
          <cell r="BT134">
            <v>46.7</v>
          </cell>
          <cell r="BU134">
            <v>8</v>
          </cell>
          <cell r="BV134">
            <v>0</v>
          </cell>
          <cell r="BW134">
            <v>2.8</v>
          </cell>
          <cell r="BX134">
            <v>0.49</v>
          </cell>
          <cell r="BY134">
            <v>0.88</v>
          </cell>
        </row>
        <row r="135">
          <cell r="BH135" t="str">
            <v>玛蒂尔达7</v>
          </cell>
          <cell r="BI135">
            <v>14</v>
          </cell>
          <cell r="BJ135" t="str">
            <v>玛蒂尔达</v>
          </cell>
          <cell r="BK135" t="str">
            <v>低</v>
          </cell>
          <cell r="BL135">
            <v>7</v>
          </cell>
          <cell r="BM135">
            <v>1662</v>
          </cell>
          <cell r="BN135">
            <v>193</v>
          </cell>
          <cell r="BO135">
            <v>634</v>
          </cell>
          <cell r="BP135">
            <v>476</v>
          </cell>
          <cell r="BQ135">
            <v>649</v>
          </cell>
          <cell r="BR135">
            <v>174</v>
          </cell>
          <cell r="BS135">
            <v>53.2</v>
          </cell>
          <cell r="BT135">
            <v>47.8</v>
          </cell>
          <cell r="BU135">
            <v>8</v>
          </cell>
          <cell r="BV135">
            <v>0</v>
          </cell>
          <cell r="BW135">
            <v>2.7</v>
          </cell>
          <cell r="BX135">
            <v>0.53</v>
          </cell>
          <cell r="BY135">
            <v>0.86</v>
          </cell>
        </row>
        <row r="136">
          <cell r="BH136" t="str">
            <v>玛蒂尔达8</v>
          </cell>
          <cell r="BI136">
            <v>14</v>
          </cell>
          <cell r="BJ136" t="str">
            <v>玛蒂尔达</v>
          </cell>
          <cell r="BK136" t="str">
            <v>低</v>
          </cell>
          <cell r="BL136">
            <v>8</v>
          </cell>
          <cell r="BM136">
            <v>1726</v>
          </cell>
          <cell r="BN136">
            <v>198</v>
          </cell>
          <cell r="BO136">
            <v>655</v>
          </cell>
          <cell r="BP136">
            <v>492</v>
          </cell>
          <cell r="BQ136">
            <v>665</v>
          </cell>
          <cell r="BR136">
            <v>180</v>
          </cell>
          <cell r="BS136">
            <v>54.4</v>
          </cell>
          <cell r="BT136">
            <v>48.9</v>
          </cell>
          <cell r="BU136">
            <v>8</v>
          </cell>
          <cell r="BV136">
            <v>0</v>
          </cell>
          <cell r="BW136">
            <v>2.7</v>
          </cell>
          <cell r="BX136">
            <v>0.56000000000000005</v>
          </cell>
          <cell r="BY136">
            <v>0.84</v>
          </cell>
        </row>
        <row r="137">
          <cell r="BH137" t="str">
            <v>玛蒂尔达9</v>
          </cell>
          <cell r="BI137">
            <v>14</v>
          </cell>
          <cell r="BJ137" t="str">
            <v>玛蒂尔达</v>
          </cell>
          <cell r="BK137" t="str">
            <v>低</v>
          </cell>
          <cell r="BL137">
            <v>9</v>
          </cell>
          <cell r="BM137">
            <v>1790</v>
          </cell>
          <cell r="BN137">
            <v>203</v>
          </cell>
          <cell r="BO137">
            <v>677</v>
          </cell>
          <cell r="BP137">
            <v>508</v>
          </cell>
          <cell r="BQ137">
            <v>682</v>
          </cell>
          <cell r="BR137">
            <v>187</v>
          </cell>
          <cell r="BS137">
            <v>55.6</v>
          </cell>
          <cell r="BT137">
            <v>50</v>
          </cell>
          <cell r="BU137">
            <v>8</v>
          </cell>
          <cell r="BV137">
            <v>0</v>
          </cell>
          <cell r="BW137">
            <v>2.6</v>
          </cell>
          <cell r="BX137">
            <v>0.6</v>
          </cell>
          <cell r="BY137">
            <v>0.83</v>
          </cell>
        </row>
        <row r="138">
          <cell r="BH138" t="str">
            <v>谢尔曼0</v>
          </cell>
          <cell r="BI138">
            <v>15</v>
          </cell>
          <cell r="BJ138" t="str">
            <v>谢尔曼</v>
          </cell>
          <cell r="BK138" t="str">
            <v>中</v>
          </cell>
          <cell r="BL138">
            <v>0</v>
          </cell>
          <cell r="BM138">
            <v>1299</v>
          </cell>
          <cell r="BN138">
            <v>164</v>
          </cell>
          <cell r="BO138">
            <v>506</v>
          </cell>
          <cell r="BP138">
            <v>380</v>
          </cell>
          <cell r="BQ138">
            <v>554</v>
          </cell>
          <cell r="BR138">
            <v>133</v>
          </cell>
          <cell r="BS138">
            <v>36.299999999999997</v>
          </cell>
          <cell r="BT138">
            <v>51</v>
          </cell>
          <cell r="BU138">
            <v>7.3</v>
          </cell>
          <cell r="BV138">
            <v>2.4</v>
          </cell>
          <cell r="BW138">
            <v>0</v>
          </cell>
          <cell r="BX138">
            <v>0.4</v>
          </cell>
          <cell r="BY138">
            <v>1.4</v>
          </cell>
        </row>
        <row r="139">
          <cell r="BH139" t="str">
            <v>谢尔曼1</v>
          </cell>
          <cell r="BI139">
            <v>15</v>
          </cell>
          <cell r="BJ139" t="str">
            <v>谢尔曼</v>
          </cell>
          <cell r="BK139" t="str">
            <v>中</v>
          </cell>
          <cell r="BL139">
            <v>1</v>
          </cell>
          <cell r="BM139">
            <v>1372</v>
          </cell>
          <cell r="BN139">
            <v>169</v>
          </cell>
          <cell r="BO139">
            <v>529</v>
          </cell>
          <cell r="BP139">
            <v>397</v>
          </cell>
          <cell r="BQ139">
            <v>572</v>
          </cell>
          <cell r="BR139">
            <v>140</v>
          </cell>
          <cell r="BS139">
            <v>37.299999999999997</v>
          </cell>
          <cell r="BT139">
            <v>52.4</v>
          </cell>
          <cell r="BU139">
            <v>7.3</v>
          </cell>
          <cell r="BV139">
            <v>2.36</v>
          </cell>
          <cell r="BW139">
            <v>0</v>
          </cell>
          <cell r="BX139">
            <v>0.4</v>
          </cell>
          <cell r="BY139">
            <v>1.37</v>
          </cell>
        </row>
        <row r="140">
          <cell r="BH140" t="str">
            <v>谢尔曼2</v>
          </cell>
          <cell r="BI140">
            <v>15</v>
          </cell>
          <cell r="BJ140" t="str">
            <v>谢尔曼</v>
          </cell>
          <cell r="BK140" t="str">
            <v>中</v>
          </cell>
          <cell r="BL140">
            <v>2</v>
          </cell>
          <cell r="BM140">
            <v>1446</v>
          </cell>
          <cell r="BN140">
            <v>174</v>
          </cell>
          <cell r="BO140">
            <v>551</v>
          </cell>
          <cell r="BP140">
            <v>414</v>
          </cell>
          <cell r="BQ140">
            <v>590</v>
          </cell>
          <cell r="BR140">
            <v>147</v>
          </cell>
          <cell r="BS140">
            <v>38.299999999999997</v>
          </cell>
          <cell r="BT140">
            <v>53.8</v>
          </cell>
          <cell r="BU140">
            <v>7.3</v>
          </cell>
          <cell r="BV140">
            <v>2.3199999999999998</v>
          </cell>
          <cell r="BW140">
            <v>0</v>
          </cell>
          <cell r="BX140">
            <v>0.4</v>
          </cell>
          <cell r="BY140">
            <v>1.35</v>
          </cell>
        </row>
        <row r="141">
          <cell r="BH141" t="str">
            <v>谢尔曼3</v>
          </cell>
          <cell r="BI141">
            <v>15</v>
          </cell>
          <cell r="BJ141" t="str">
            <v>谢尔曼</v>
          </cell>
          <cell r="BK141" t="str">
            <v>中</v>
          </cell>
          <cell r="BL141">
            <v>3</v>
          </cell>
          <cell r="BM141">
            <v>1519</v>
          </cell>
          <cell r="BN141">
            <v>179</v>
          </cell>
          <cell r="BO141">
            <v>574</v>
          </cell>
          <cell r="BP141">
            <v>431</v>
          </cell>
          <cell r="BQ141">
            <v>607</v>
          </cell>
          <cell r="BR141">
            <v>154</v>
          </cell>
          <cell r="BS141">
            <v>39.299999999999997</v>
          </cell>
          <cell r="BT141">
            <v>55.3</v>
          </cell>
          <cell r="BU141">
            <v>7.3</v>
          </cell>
          <cell r="BV141">
            <v>2.27</v>
          </cell>
          <cell r="BW141">
            <v>0</v>
          </cell>
          <cell r="BX141">
            <v>0.4</v>
          </cell>
          <cell r="BY141">
            <v>1.32</v>
          </cell>
        </row>
        <row r="142">
          <cell r="BH142" t="str">
            <v>谢尔曼4</v>
          </cell>
          <cell r="BI142">
            <v>15</v>
          </cell>
          <cell r="BJ142" t="str">
            <v>谢尔曼</v>
          </cell>
          <cell r="BK142" t="str">
            <v>中</v>
          </cell>
          <cell r="BL142">
            <v>4</v>
          </cell>
          <cell r="BM142">
            <v>1593</v>
          </cell>
          <cell r="BN142">
            <v>185</v>
          </cell>
          <cell r="BO142">
            <v>597</v>
          </cell>
          <cell r="BP142">
            <v>448</v>
          </cell>
          <cell r="BQ142">
            <v>625</v>
          </cell>
          <cell r="BR142">
            <v>161</v>
          </cell>
          <cell r="BS142">
            <v>40.299999999999997</v>
          </cell>
          <cell r="BT142">
            <v>56.7</v>
          </cell>
          <cell r="BU142">
            <v>7.3</v>
          </cell>
          <cell r="BV142">
            <v>2.23</v>
          </cell>
          <cell r="BW142">
            <v>0</v>
          </cell>
          <cell r="BX142">
            <v>0.4</v>
          </cell>
          <cell r="BY142">
            <v>1.3</v>
          </cell>
        </row>
        <row r="143">
          <cell r="BH143" t="str">
            <v>谢尔曼5</v>
          </cell>
          <cell r="BI143">
            <v>15</v>
          </cell>
          <cell r="BJ143" t="str">
            <v>谢尔曼</v>
          </cell>
          <cell r="BK143" t="str">
            <v>中</v>
          </cell>
          <cell r="BL143">
            <v>5</v>
          </cell>
          <cell r="BM143">
            <v>1667</v>
          </cell>
          <cell r="BN143">
            <v>190</v>
          </cell>
          <cell r="BO143">
            <v>619</v>
          </cell>
          <cell r="BP143">
            <v>465</v>
          </cell>
          <cell r="BQ143">
            <v>643</v>
          </cell>
          <cell r="BR143">
            <v>169</v>
          </cell>
          <cell r="BS143">
            <v>41.3</v>
          </cell>
          <cell r="BT143">
            <v>58.1</v>
          </cell>
          <cell r="BU143">
            <v>7.3</v>
          </cell>
          <cell r="BV143">
            <v>2.19</v>
          </cell>
          <cell r="BW143">
            <v>0</v>
          </cell>
          <cell r="BX143">
            <v>0.4</v>
          </cell>
          <cell r="BY143">
            <v>1.27</v>
          </cell>
        </row>
        <row r="144">
          <cell r="BH144" t="str">
            <v>谢尔曼6</v>
          </cell>
          <cell r="BI144">
            <v>15</v>
          </cell>
          <cell r="BJ144" t="str">
            <v>谢尔曼</v>
          </cell>
          <cell r="BK144" t="str">
            <v>中</v>
          </cell>
          <cell r="BL144">
            <v>6</v>
          </cell>
          <cell r="BM144">
            <v>1740</v>
          </cell>
          <cell r="BN144">
            <v>195</v>
          </cell>
          <cell r="BO144">
            <v>642</v>
          </cell>
          <cell r="BP144">
            <v>482</v>
          </cell>
          <cell r="BQ144">
            <v>661</v>
          </cell>
          <cell r="BR144">
            <v>176</v>
          </cell>
          <cell r="BS144">
            <v>42.4</v>
          </cell>
          <cell r="BT144">
            <v>59.5</v>
          </cell>
          <cell r="BU144">
            <v>7.3</v>
          </cell>
          <cell r="BV144">
            <v>2.15</v>
          </cell>
          <cell r="BW144">
            <v>0</v>
          </cell>
          <cell r="BX144">
            <v>0.4</v>
          </cell>
          <cell r="BY144">
            <v>1.24</v>
          </cell>
        </row>
        <row r="145">
          <cell r="BH145" t="str">
            <v>谢尔曼7</v>
          </cell>
          <cell r="BI145">
            <v>15</v>
          </cell>
          <cell r="BJ145" t="str">
            <v>谢尔曼</v>
          </cell>
          <cell r="BK145" t="str">
            <v>中</v>
          </cell>
          <cell r="BL145">
            <v>7</v>
          </cell>
          <cell r="BM145">
            <v>1814</v>
          </cell>
          <cell r="BN145">
            <v>200</v>
          </cell>
          <cell r="BO145">
            <v>665</v>
          </cell>
          <cell r="BP145">
            <v>499</v>
          </cell>
          <cell r="BQ145">
            <v>679</v>
          </cell>
          <cell r="BR145">
            <v>183</v>
          </cell>
          <cell r="BS145">
            <v>43.4</v>
          </cell>
          <cell r="BT145">
            <v>60.9</v>
          </cell>
          <cell r="BU145">
            <v>7.3</v>
          </cell>
          <cell r="BV145">
            <v>2.11</v>
          </cell>
          <cell r="BW145">
            <v>0</v>
          </cell>
          <cell r="BX145">
            <v>0.4</v>
          </cell>
          <cell r="BY145">
            <v>1.22</v>
          </cell>
        </row>
        <row r="146">
          <cell r="BH146" t="str">
            <v>谢尔曼8</v>
          </cell>
          <cell r="BI146">
            <v>15</v>
          </cell>
          <cell r="BJ146" t="str">
            <v>谢尔曼</v>
          </cell>
          <cell r="BK146" t="str">
            <v>中</v>
          </cell>
          <cell r="BL146">
            <v>8</v>
          </cell>
          <cell r="BM146">
            <v>1888</v>
          </cell>
          <cell r="BN146">
            <v>206</v>
          </cell>
          <cell r="BO146">
            <v>687</v>
          </cell>
          <cell r="BP146">
            <v>516</v>
          </cell>
          <cell r="BQ146">
            <v>696</v>
          </cell>
          <cell r="BR146">
            <v>190</v>
          </cell>
          <cell r="BS146">
            <v>44.4</v>
          </cell>
          <cell r="BT146">
            <v>62.3</v>
          </cell>
          <cell r="BU146">
            <v>7.3</v>
          </cell>
          <cell r="BV146">
            <v>2.0699999999999998</v>
          </cell>
          <cell r="BW146">
            <v>0</v>
          </cell>
          <cell r="BX146">
            <v>0.4</v>
          </cell>
          <cell r="BY146">
            <v>1.19</v>
          </cell>
        </row>
        <row r="147">
          <cell r="BH147" t="str">
            <v>谢尔曼9</v>
          </cell>
          <cell r="BI147">
            <v>15</v>
          </cell>
          <cell r="BJ147" t="str">
            <v>谢尔曼</v>
          </cell>
          <cell r="BK147" t="str">
            <v>中</v>
          </cell>
          <cell r="BL147">
            <v>9</v>
          </cell>
          <cell r="BM147">
            <v>1961</v>
          </cell>
          <cell r="BN147">
            <v>211</v>
          </cell>
          <cell r="BO147">
            <v>710</v>
          </cell>
          <cell r="BP147">
            <v>533</v>
          </cell>
          <cell r="BQ147">
            <v>714</v>
          </cell>
          <cell r="BR147">
            <v>197</v>
          </cell>
          <cell r="BS147">
            <v>45.4</v>
          </cell>
          <cell r="BT147">
            <v>63.8</v>
          </cell>
          <cell r="BU147">
            <v>7.3</v>
          </cell>
          <cell r="BV147">
            <v>2.02</v>
          </cell>
          <cell r="BW147">
            <v>0</v>
          </cell>
          <cell r="BX147">
            <v>0.4</v>
          </cell>
          <cell r="BY147">
            <v>1.17</v>
          </cell>
        </row>
        <row r="148">
          <cell r="BH148" t="str">
            <v>彗星0</v>
          </cell>
          <cell r="BI148">
            <v>16</v>
          </cell>
          <cell r="BJ148" t="str">
            <v>彗星</v>
          </cell>
          <cell r="BK148" t="str">
            <v>高</v>
          </cell>
          <cell r="BL148">
            <v>0</v>
          </cell>
          <cell r="BM148">
            <v>1337</v>
          </cell>
          <cell r="BN148">
            <v>163</v>
          </cell>
          <cell r="BO148">
            <v>506</v>
          </cell>
          <cell r="BP148">
            <v>380</v>
          </cell>
          <cell r="BQ148">
            <v>554</v>
          </cell>
          <cell r="BR148">
            <v>133</v>
          </cell>
          <cell r="BS148">
            <v>37.4</v>
          </cell>
          <cell r="BT148">
            <v>52.5</v>
          </cell>
          <cell r="BU148">
            <v>7.6</v>
          </cell>
          <cell r="BV148">
            <v>3</v>
          </cell>
          <cell r="BW148">
            <v>0</v>
          </cell>
          <cell r="BX148">
            <v>0.4</v>
          </cell>
          <cell r="BY148">
            <v>1.1499999999999999</v>
          </cell>
        </row>
        <row r="149">
          <cell r="BH149" t="str">
            <v>彗星1</v>
          </cell>
          <cell r="BI149">
            <v>16</v>
          </cell>
          <cell r="BJ149" t="str">
            <v>彗星</v>
          </cell>
          <cell r="BK149" t="str">
            <v>高</v>
          </cell>
          <cell r="BL149">
            <v>1</v>
          </cell>
          <cell r="BM149">
            <v>1413</v>
          </cell>
          <cell r="BN149">
            <v>169</v>
          </cell>
          <cell r="BO149">
            <v>530</v>
          </cell>
          <cell r="BP149">
            <v>398</v>
          </cell>
          <cell r="BQ149">
            <v>573</v>
          </cell>
          <cell r="BR149">
            <v>141</v>
          </cell>
          <cell r="BS149">
            <v>38.4</v>
          </cell>
          <cell r="BT149">
            <v>54</v>
          </cell>
          <cell r="BU149">
            <v>7.6</v>
          </cell>
          <cell r="BV149">
            <v>2.94</v>
          </cell>
          <cell r="BW149">
            <v>0</v>
          </cell>
          <cell r="BX149">
            <v>0.4</v>
          </cell>
          <cell r="BY149">
            <v>1.1299999999999999</v>
          </cell>
        </row>
        <row r="150">
          <cell r="BH150" t="str">
            <v>彗星2</v>
          </cell>
          <cell r="BI150">
            <v>16</v>
          </cell>
          <cell r="BJ150" t="str">
            <v>彗星</v>
          </cell>
          <cell r="BK150" t="str">
            <v>高</v>
          </cell>
          <cell r="BL150">
            <v>2</v>
          </cell>
          <cell r="BM150">
            <v>1489</v>
          </cell>
          <cell r="BN150">
            <v>174</v>
          </cell>
          <cell r="BO150">
            <v>555</v>
          </cell>
          <cell r="BP150">
            <v>416</v>
          </cell>
          <cell r="BQ150">
            <v>592</v>
          </cell>
          <cell r="BR150">
            <v>148</v>
          </cell>
          <cell r="BS150">
            <v>39.5</v>
          </cell>
          <cell r="BT150">
            <v>55.4</v>
          </cell>
          <cell r="BU150">
            <v>7.6</v>
          </cell>
          <cell r="BV150">
            <v>2.88</v>
          </cell>
          <cell r="BW150">
            <v>0</v>
          </cell>
          <cell r="BX150">
            <v>0.4</v>
          </cell>
          <cell r="BY150">
            <v>1.1100000000000001</v>
          </cell>
        </row>
        <row r="151">
          <cell r="BH151" t="str">
            <v>彗星3</v>
          </cell>
          <cell r="BI151">
            <v>16</v>
          </cell>
          <cell r="BJ151" t="str">
            <v>彗星</v>
          </cell>
          <cell r="BK151" t="str">
            <v>高</v>
          </cell>
          <cell r="BL151">
            <v>3</v>
          </cell>
          <cell r="BM151">
            <v>1565</v>
          </cell>
          <cell r="BN151">
            <v>180</v>
          </cell>
          <cell r="BO151">
            <v>579</v>
          </cell>
          <cell r="BP151">
            <v>434</v>
          </cell>
          <cell r="BQ151">
            <v>611</v>
          </cell>
          <cell r="BR151">
            <v>156</v>
          </cell>
          <cell r="BS151">
            <v>40.5</v>
          </cell>
          <cell r="BT151">
            <v>56.9</v>
          </cell>
          <cell r="BU151">
            <v>7.6</v>
          </cell>
          <cell r="BV151">
            <v>2.83</v>
          </cell>
          <cell r="BW151">
            <v>0</v>
          </cell>
          <cell r="BX151">
            <v>0.4</v>
          </cell>
          <cell r="BY151">
            <v>1.0900000000000001</v>
          </cell>
        </row>
        <row r="152">
          <cell r="BH152" t="str">
            <v>彗星4</v>
          </cell>
          <cell r="BI152">
            <v>16</v>
          </cell>
          <cell r="BJ152" t="str">
            <v>彗星</v>
          </cell>
          <cell r="BK152" t="str">
            <v>高</v>
          </cell>
          <cell r="BL152">
            <v>4</v>
          </cell>
          <cell r="BM152">
            <v>1641</v>
          </cell>
          <cell r="BN152">
            <v>185</v>
          </cell>
          <cell r="BO152">
            <v>603</v>
          </cell>
          <cell r="BP152">
            <v>452</v>
          </cell>
          <cell r="BQ152">
            <v>630</v>
          </cell>
          <cell r="BR152">
            <v>163</v>
          </cell>
          <cell r="BS152">
            <v>41.6</v>
          </cell>
          <cell r="BT152">
            <v>58.3</v>
          </cell>
          <cell r="BU152">
            <v>7.6</v>
          </cell>
          <cell r="BV152">
            <v>2.77</v>
          </cell>
          <cell r="BW152">
            <v>0</v>
          </cell>
          <cell r="BX152">
            <v>0.4</v>
          </cell>
          <cell r="BY152">
            <v>1.06</v>
          </cell>
        </row>
        <row r="153">
          <cell r="BH153" t="str">
            <v>彗星5</v>
          </cell>
          <cell r="BI153">
            <v>16</v>
          </cell>
          <cell r="BJ153" t="str">
            <v>彗星</v>
          </cell>
          <cell r="BK153" t="str">
            <v>高</v>
          </cell>
          <cell r="BL153">
            <v>5</v>
          </cell>
          <cell r="BM153">
            <v>1716</v>
          </cell>
          <cell r="BN153">
            <v>191</v>
          </cell>
          <cell r="BO153">
            <v>627</v>
          </cell>
          <cell r="BP153">
            <v>471</v>
          </cell>
          <cell r="BQ153">
            <v>649</v>
          </cell>
          <cell r="BR153">
            <v>171</v>
          </cell>
          <cell r="BS153">
            <v>42.6</v>
          </cell>
          <cell r="BT153">
            <v>59.8</v>
          </cell>
          <cell r="BU153">
            <v>7.6</v>
          </cell>
          <cell r="BV153">
            <v>2.71</v>
          </cell>
          <cell r="BW153">
            <v>0</v>
          </cell>
          <cell r="BX153">
            <v>0.4</v>
          </cell>
          <cell r="BY153">
            <v>1.04</v>
          </cell>
        </row>
        <row r="154">
          <cell r="BH154" t="str">
            <v>彗星6</v>
          </cell>
          <cell r="BI154">
            <v>16</v>
          </cell>
          <cell r="BJ154" t="str">
            <v>彗星</v>
          </cell>
          <cell r="BK154" t="str">
            <v>高</v>
          </cell>
          <cell r="BL154">
            <v>6</v>
          </cell>
          <cell r="BM154">
            <v>1792</v>
          </cell>
          <cell r="BN154">
            <v>197</v>
          </cell>
          <cell r="BO154">
            <v>652</v>
          </cell>
          <cell r="BP154">
            <v>489</v>
          </cell>
          <cell r="BQ154">
            <v>668</v>
          </cell>
          <cell r="BR154">
            <v>178</v>
          </cell>
          <cell r="BS154">
            <v>43.6</v>
          </cell>
          <cell r="BT154">
            <v>61.3</v>
          </cell>
          <cell r="BU154">
            <v>7.6</v>
          </cell>
          <cell r="BV154">
            <v>2.65</v>
          </cell>
          <cell r="BW154">
            <v>0</v>
          </cell>
          <cell r="BX154">
            <v>0.4</v>
          </cell>
          <cell r="BY154">
            <v>1.02</v>
          </cell>
        </row>
        <row r="155">
          <cell r="BH155" t="str">
            <v>彗星7</v>
          </cell>
          <cell r="BI155">
            <v>16</v>
          </cell>
          <cell r="BJ155" t="str">
            <v>彗星</v>
          </cell>
          <cell r="BK155" t="str">
            <v>高</v>
          </cell>
          <cell r="BL155">
            <v>7</v>
          </cell>
          <cell r="BM155">
            <v>1868</v>
          </cell>
          <cell r="BN155">
            <v>202</v>
          </cell>
          <cell r="BO155">
            <v>676</v>
          </cell>
          <cell r="BP155">
            <v>507</v>
          </cell>
          <cell r="BQ155">
            <v>687</v>
          </cell>
          <cell r="BR155">
            <v>186</v>
          </cell>
          <cell r="BS155">
            <v>44.7</v>
          </cell>
          <cell r="BT155">
            <v>62.7</v>
          </cell>
          <cell r="BU155">
            <v>7.6</v>
          </cell>
          <cell r="BV155">
            <v>2.6</v>
          </cell>
          <cell r="BW155">
            <v>0</v>
          </cell>
          <cell r="BX155">
            <v>0.4</v>
          </cell>
          <cell r="BY155">
            <v>1</v>
          </cell>
        </row>
        <row r="156">
          <cell r="BH156" t="str">
            <v>彗星8</v>
          </cell>
          <cell r="BI156">
            <v>16</v>
          </cell>
          <cell r="BJ156" t="str">
            <v>彗星</v>
          </cell>
          <cell r="BK156" t="str">
            <v>高</v>
          </cell>
          <cell r="BL156">
            <v>8</v>
          </cell>
          <cell r="BM156">
            <v>1944</v>
          </cell>
          <cell r="BN156">
            <v>208</v>
          </cell>
          <cell r="BO156">
            <v>700</v>
          </cell>
          <cell r="BP156">
            <v>525</v>
          </cell>
          <cell r="BQ156">
            <v>706</v>
          </cell>
          <cell r="BR156">
            <v>193</v>
          </cell>
          <cell r="BS156">
            <v>45.7</v>
          </cell>
          <cell r="BT156">
            <v>64.2</v>
          </cell>
          <cell r="BU156">
            <v>7.6</v>
          </cell>
          <cell r="BV156">
            <v>2.54</v>
          </cell>
          <cell r="BW156">
            <v>0</v>
          </cell>
          <cell r="BX156">
            <v>0.4</v>
          </cell>
          <cell r="BY156">
            <v>0.98</v>
          </cell>
        </row>
        <row r="157">
          <cell r="BH157" t="str">
            <v>彗星9</v>
          </cell>
          <cell r="BI157">
            <v>16</v>
          </cell>
          <cell r="BJ157" t="str">
            <v>彗星</v>
          </cell>
          <cell r="BK157" t="str">
            <v>高</v>
          </cell>
          <cell r="BL157">
            <v>9</v>
          </cell>
          <cell r="BM157">
            <v>2020</v>
          </cell>
          <cell r="BN157">
            <v>213</v>
          </cell>
          <cell r="BO157">
            <v>724</v>
          </cell>
          <cell r="BP157">
            <v>543</v>
          </cell>
          <cell r="BQ157">
            <v>725</v>
          </cell>
          <cell r="BR157">
            <v>201</v>
          </cell>
          <cell r="BS157">
            <v>46.8</v>
          </cell>
          <cell r="BT157">
            <v>65.599999999999994</v>
          </cell>
          <cell r="BU157">
            <v>7.6</v>
          </cell>
          <cell r="BV157">
            <v>2.48</v>
          </cell>
          <cell r="BW157">
            <v>0</v>
          </cell>
          <cell r="BX157">
            <v>0.4</v>
          </cell>
          <cell r="BY157">
            <v>0.96</v>
          </cell>
        </row>
        <row r="158">
          <cell r="BH158" t="str">
            <v>M-480</v>
          </cell>
          <cell r="BI158">
            <v>17</v>
          </cell>
          <cell r="BJ158" t="str">
            <v>M-48</v>
          </cell>
          <cell r="BK158" t="str">
            <v>低</v>
          </cell>
          <cell r="BL158">
            <v>0</v>
          </cell>
          <cell r="BM158">
            <v>1779</v>
          </cell>
          <cell r="BN158">
            <v>181</v>
          </cell>
          <cell r="BO158">
            <v>631</v>
          </cell>
          <cell r="BP158">
            <v>473</v>
          </cell>
          <cell r="BQ158">
            <v>691</v>
          </cell>
          <cell r="BR158">
            <v>166</v>
          </cell>
          <cell r="BS158">
            <v>44.5</v>
          </cell>
          <cell r="BT158">
            <v>40</v>
          </cell>
          <cell r="BU158">
            <v>8</v>
          </cell>
          <cell r="BV158">
            <v>0</v>
          </cell>
          <cell r="BW158">
            <v>2.4</v>
          </cell>
          <cell r="BX158">
            <v>0.32</v>
          </cell>
          <cell r="BY158">
            <v>1.36</v>
          </cell>
        </row>
        <row r="159">
          <cell r="BH159" t="str">
            <v>M-481</v>
          </cell>
          <cell r="BI159">
            <v>17</v>
          </cell>
          <cell r="BJ159" t="str">
            <v>M-48</v>
          </cell>
          <cell r="BK159" t="str">
            <v>低</v>
          </cell>
          <cell r="BL159">
            <v>1</v>
          </cell>
          <cell r="BM159">
            <v>1853</v>
          </cell>
          <cell r="BN159">
            <v>185</v>
          </cell>
          <cell r="BO159">
            <v>653</v>
          </cell>
          <cell r="BP159">
            <v>490</v>
          </cell>
          <cell r="BQ159">
            <v>707</v>
          </cell>
          <cell r="BR159">
            <v>173</v>
          </cell>
          <cell r="BS159">
            <v>45.5</v>
          </cell>
          <cell r="BT159">
            <v>40.9</v>
          </cell>
          <cell r="BU159">
            <v>8</v>
          </cell>
          <cell r="BV159">
            <v>0</v>
          </cell>
          <cell r="BW159">
            <v>2.4</v>
          </cell>
          <cell r="BX159">
            <v>0.36</v>
          </cell>
          <cell r="BY159">
            <v>1.34</v>
          </cell>
        </row>
        <row r="160">
          <cell r="BH160" t="str">
            <v>M-482</v>
          </cell>
          <cell r="BI160">
            <v>17</v>
          </cell>
          <cell r="BJ160" t="str">
            <v>M-48</v>
          </cell>
          <cell r="BK160" t="str">
            <v>低</v>
          </cell>
          <cell r="BL160">
            <v>2</v>
          </cell>
          <cell r="BM160">
            <v>1926</v>
          </cell>
          <cell r="BN160">
            <v>189</v>
          </cell>
          <cell r="BO160">
            <v>675</v>
          </cell>
          <cell r="BP160">
            <v>506</v>
          </cell>
          <cell r="BQ160">
            <v>723</v>
          </cell>
          <cell r="BR160">
            <v>180</v>
          </cell>
          <cell r="BS160">
            <v>46.5</v>
          </cell>
          <cell r="BT160">
            <v>41.8</v>
          </cell>
          <cell r="BU160">
            <v>8</v>
          </cell>
          <cell r="BV160">
            <v>0</v>
          </cell>
          <cell r="BW160">
            <v>2.2999999999999998</v>
          </cell>
          <cell r="BX160">
            <v>0.4</v>
          </cell>
          <cell r="BY160">
            <v>1.32</v>
          </cell>
        </row>
        <row r="161">
          <cell r="BH161" t="str">
            <v>M-483</v>
          </cell>
          <cell r="BI161">
            <v>17</v>
          </cell>
          <cell r="BJ161" t="str">
            <v>M-48</v>
          </cell>
          <cell r="BK161" t="str">
            <v>低</v>
          </cell>
          <cell r="BL161">
            <v>3</v>
          </cell>
          <cell r="BM161">
            <v>2000</v>
          </cell>
          <cell r="BN161">
            <v>194</v>
          </cell>
          <cell r="BO161">
            <v>697</v>
          </cell>
          <cell r="BP161">
            <v>523</v>
          </cell>
          <cell r="BQ161">
            <v>740</v>
          </cell>
          <cell r="BR161">
            <v>187</v>
          </cell>
          <cell r="BS161">
            <v>47.5</v>
          </cell>
          <cell r="BT161">
            <v>42.7</v>
          </cell>
          <cell r="BU161">
            <v>8</v>
          </cell>
          <cell r="BV161">
            <v>0</v>
          </cell>
          <cell r="BW161">
            <v>2.2999999999999998</v>
          </cell>
          <cell r="BX161">
            <v>0.44</v>
          </cell>
          <cell r="BY161">
            <v>1.3</v>
          </cell>
        </row>
        <row r="162">
          <cell r="BH162" t="str">
            <v>M-484</v>
          </cell>
          <cell r="BI162">
            <v>17</v>
          </cell>
          <cell r="BJ162" t="str">
            <v>M-48</v>
          </cell>
          <cell r="BK162" t="str">
            <v>低</v>
          </cell>
          <cell r="BL162">
            <v>4</v>
          </cell>
          <cell r="BM162">
            <v>2074</v>
          </cell>
          <cell r="BN162">
            <v>198</v>
          </cell>
          <cell r="BO162">
            <v>719</v>
          </cell>
          <cell r="BP162">
            <v>539</v>
          </cell>
          <cell r="BQ162">
            <v>756</v>
          </cell>
          <cell r="BR162">
            <v>194</v>
          </cell>
          <cell r="BS162">
            <v>48.5</v>
          </cell>
          <cell r="BT162">
            <v>43.6</v>
          </cell>
          <cell r="BU162">
            <v>8</v>
          </cell>
          <cell r="BV162">
            <v>0</v>
          </cell>
          <cell r="BW162">
            <v>2.2999999999999998</v>
          </cell>
          <cell r="BX162">
            <v>0.48</v>
          </cell>
          <cell r="BY162">
            <v>1.28</v>
          </cell>
        </row>
        <row r="163">
          <cell r="BH163" t="str">
            <v>M-485</v>
          </cell>
          <cell r="BI163">
            <v>17</v>
          </cell>
          <cell r="BJ163" t="str">
            <v>M-48</v>
          </cell>
          <cell r="BK163" t="str">
            <v>低</v>
          </cell>
          <cell r="BL163">
            <v>5</v>
          </cell>
          <cell r="BM163">
            <v>2148</v>
          </cell>
          <cell r="BN163">
            <v>202</v>
          </cell>
          <cell r="BO163">
            <v>741</v>
          </cell>
          <cell r="BP163">
            <v>556</v>
          </cell>
          <cell r="BQ163">
            <v>772</v>
          </cell>
          <cell r="BR163">
            <v>201</v>
          </cell>
          <cell r="BS163">
            <v>49.6</v>
          </cell>
          <cell r="BT163">
            <v>44.5</v>
          </cell>
          <cell r="BU163">
            <v>8</v>
          </cell>
          <cell r="BV163">
            <v>0</v>
          </cell>
          <cell r="BW163">
            <v>2.2000000000000002</v>
          </cell>
          <cell r="BX163">
            <v>0.52</v>
          </cell>
          <cell r="BY163">
            <v>1.26</v>
          </cell>
        </row>
        <row r="164">
          <cell r="BH164" t="str">
            <v>M-486</v>
          </cell>
          <cell r="BI164">
            <v>17</v>
          </cell>
          <cell r="BJ164" t="str">
            <v>M-48</v>
          </cell>
          <cell r="BK164" t="str">
            <v>低</v>
          </cell>
          <cell r="BL164">
            <v>6</v>
          </cell>
          <cell r="BM164">
            <v>2221</v>
          </cell>
          <cell r="BN164">
            <v>206</v>
          </cell>
          <cell r="BO164">
            <v>763</v>
          </cell>
          <cell r="BP164">
            <v>572</v>
          </cell>
          <cell r="BQ164">
            <v>788</v>
          </cell>
          <cell r="BR164">
            <v>208</v>
          </cell>
          <cell r="BS164">
            <v>50.6</v>
          </cell>
          <cell r="BT164">
            <v>45.5</v>
          </cell>
          <cell r="BU164">
            <v>8</v>
          </cell>
          <cell r="BV164">
            <v>0</v>
          </cell>
          <cell r="BW164">
            <v>2.2000000000000002</v>
          </cell>
          <cell r="BX164">
            <v>0.55000000000000004</v>
          </cell>
          <cell r="BY164">
            <v>1.24</v>
          </cell>
        </row>
        <row r="165">
          <cell r="BH165" t="str">
            <v>M-487</v>
          </cell>
          <cell r="BI165">
            <v>17</v>
          </cell>
          <cell r="BJ165" t="str">
            <v>M-48</v>
          </cell>
          <cell r="BK165" t="str">
            <v>低</v>
          </cell>
          <cell r="BL165">
            <v>7</v>
          </cell>
          <cell r="BM165">
            <v>2295</v>
          </cell>
          <cell r="BN165">
            <v>211</v>
          </cell>
          <cell r="BO165">
            <v>785</v>
          </cell>
          <cell r="BP165">
            <v>589</v>
          </cell>
          <cell r="BQ165">
            <v>804</v>
          </cell>
          <cell r="BR165">
            <v>215</v>
          </cell>
          <cell r="BS165">
            <v>51.6</v>
          </cell>
          <cell r="BT165">
            <v>46.4</v>
          </cell>
          <cell r="BU165">
            <v>8</v>
          </cell>
          <cell r="BV165">
            <v>0</v>
          </cell>
          <cell r="BW165">
            <v>2.2000000000000002</v>
          </cell>
          <cell r="BX165">
            <v>0.59</v>
          </cell>
          <cell r="BY165">
            <v>1.22</v>
          </cell>
        </row>
        <row r="166">
          <cell r="BH166" t="str">
            <v>M-488</v>
          </cell>
          <cell r="BI166">
            <v>17</v>
          </cell>
          <cell r="BJ166" t="str">
            <v>M-48</v>
          </cell>
          <cell r="BK166" t="str">
            <v>低</v>
          </cell>
          <cell r="BL166">
            <v>8</v>
          </cell>
          <cell r="BM166">
            <v>2369</v>
          </cell>
          <cell r="BN166">
            <v>215</v>
          </cell>
          <cell r="BO166">
            <v>808</v>
          </cell>
          <cell r="BP166">
            <v>605</v>
          </cell>
          <cell r="BQ166">
            <v>821</v>
          </cell>
          <cell r="BR166">
            <v>222</v>
          </cell>
          <cell r="BS166">
            <v>52.6</v>
          </cell>
          <cell r="BT166">
            <v>47.3</v>
          </cell>
          <cell r="BU166">
            <v>8</v>
          </cell>
          <cell r="BV166">
            <v>0</v>
          </cell>
          <cell r="BW166">
            <v>2.1</v>
          </cell>
          <cell r="BX166">
            <v>0.63</v>
          </cell>
          <cell r="BY166">
            <v>1.2</v>
          </cell>
        </row>
        <row r="167">
          <cell r="BH167" t="str">
            <v>M-489</v>
          </cell>
          <cell r="BI167">
            <v>17</v>
          </cell>
          <cell r="BJ167" t="str">
            <v>M-48</v>
          </cell>
          <cell r="BK167" t="str">
            <v>低</v>
          </cell>
          <cell r="BL167">
            <v>9</v>
          </cell>
          <cell r="BM167">
            <v>2443</v>
          </cell>
          <cell r="BN167">
            <v>219</v>
          </cell>
          <cell r="BO167">
            <v>830</v>
          </cell>
          <cell r="BP167">
            <v>622</v>
          </cell>
          <cell r="BQ167">
            <v>837</v>
          </cell>
          <cell r="BR167">
            <v>229</v>
          </cell>
          <cell r="BS167">
            <v>53.6</v>
          </cell>
          <cell r="BT167">
            <v>48.2</v>
          </cell>
          <cell r="BU167">
            <v>8</v>
          </cell>
          <cell r="BV167">
            <v>0</v>
          </cell>
          <cell r="BW167">
            <v>2.1</v>
          </cell>
          <cell r="BX167">
            <v>0.67</v>
          </cell>
          <cell r="BY167">
            <v>1.17</v>
          </cell>
        </row>
        <row r="168">
          <cell r="BH168" t="str">
            <v>M-4810</v>
          </cell>
          <cell r="BI168">
            <v>17</v>
          </cell>
          <cell r="BJ168" t="str">
            <v>M-48</v>
          </cell>
          <cell r="BK168" t="str">
            <v>低</v>
          </cell>
          <cell r="BL168">
            <v>10</v>
          </cell>
          <cell r="BM168">
            <v>2516</v>
          </cell>
          <cell r="BN168">
            <v>223</v>
          </cell>
          <cell r="BO168">
            <v>852</v>
          </cell>
          <cell r="BP168">
            <v>638</v>
          </cell>
          <cell r="BQ168">
            <v>853</v>
          </cell>
          <cell r="BR168">
            <v>236</v>
          </cell>
          <cell r="BS168">
            <v>54.6</v>
          </cell>
          <cell r="BT168">
            <v>49.1</v>
          </cell>
          <cell r="BU168">
            <v>8</v>
          </cell>
          <cell r="BV168">
            <v>0</v>
          </cell>
          <cell r="BW168">
            <v>2.1</v>
          </cell>
          <cell r="BX168">
            <v>0.71</v>
          </cell>
          <cell r="BY168">
            <v>1.1499999999999999</v>
          </cell>
        </row>
        <row r="169">
          <cell r="BH169" t="str">
            <v>M-4811</v>
          </cell>
          <cell r="BI169">
            <v>17</v>
          </cell>
          <cell r="BJ169" t="str">
            <v>M-48</v>
          </cell>
          <cell r="BK169" t="str">
            <v>低</v>
          </cell>
          <cell r="BL169">
            <v>11</v>
          </cell>
          <cell r="BM169">
            <v>2590</v>
          </cell>
          <cell r="BN169">
            <v>227</v>
          </cell>
          <cell r="BO169">
            <v>874</v>
          </cell>
          <cell r="BP169">
            <v>655</v>
          </cell>
          <cell r="BQ169">
            <v>869</v>
          </cell>
          <cell r="BR169">
            <v>243</v>
          </cell>
          <cell r="BS169">
            <v>55.6</v>
          </cell>
          <cell r="BT169">
            <v>50</v>
          </cell>
          <cell r="BU169">
            <v>8</v>
          </cell>
          <cell r="BV169">
            <v>0</v>
          </cell>
          <cell r="BW169">
            <v>2</v>
          </cell>
          <cell r="BX169">
            <v>0.75</v>
          </cell>
          <cell r="BY169">
            <v>1.1299999999999999</v>
          </cell>
        </row>
        <row r="170">
          <cell r="BH170" t="str">
            <v>潘兴0</v>
          </cell>
          <cell r="BI170">
            <v>18</v>
          </cell>
          <cell r="BJ170" t="str">
            <v>潘兴</v>
          </cell>
          <cell r="BK170" t="str">
            <v>中</v>
          </cell>
          <cell r="BL170">
            <v>0</v>
          </cell>
          <cell r="BM170">
            <v>1717</v>
          </cell>
          <cell r="BN170">
            <v>211</v>
          </cell>
          <cell r="BO170">
            <v>657</v>
          </cell>
          <cell r="BP170">
            <v>493</v>
          </cell>
          <cell r="BQ170">
            <v>720</v>
          </cell>
          <cell r="BR170">
            <v>173</v>
          </cell>
          <cell r="BS170">
            <v>36.299999999999997</v>
          </cell>
          <cell r="BT170">
            <v>51</v>
          </cell>
          <cell r="BU170">
            <v>7.3</v>
          </cell>
          <cell r="BV170">
            <v>3.6</v>
          </cell>
          <cell r="BW170">
            <v>0</v>
          </cell>
          <cell r="BX170">
            <v>0.4</v>
          </cell>
          <cell r="BY170">
            <v>1</v>
          </cell>
        </row>
        <row r="171">
          <cell r="BH171" t="str">
            <v>潘兴1</v>
          </cell>
          <cell r="BI171">
            <v>18</v>
          </cell>
          <cell r="BJ171" t="str">
            <v>潘兴</v>
          </cell>
          <cell r="BK171" t="str">
            <v>中</v>
          </cell>
          <cell r="BL171">
            <v>1</v>
          </cell>
          <cell r="BM171">
            <v>1793</v>
          </cell>
          <cell r="BN171">
            <v>216</v>
          </cell>
          <cell r="BO171">
            <v>681</v>
          </cell>
          <cell r="BP171">
            <v>511</v>
          </cell>
          <cell r="BQ171">
            <v>737</v>
          </cell>
          <cell r="BR171">
            <v>181</v>
          </cell>
          <cell r="BS171">
            <v>37.1</v>
          </cell>
          <cell r="BT171">
            <v>52.2</v>
          </cell>
          <cell r="BU171">
            <v>7.3</v>
          </cell>
          <cell r="BV171">
            <v>3.54</v>
          </cell>
          <cell r="BW171">
            <v>0</v>
          </cell>
          <cell r="BX171">
            <v>0.4</v>
          </cell>
          <cell r="BY171">
            <v>0.98</v>
          </cell>
        </row>
        <row r="172">
          <cell r="BH172" t="str">
            <v>潘兴2</v>
          </cell>
          <cell r="BI172">
            <v>18</v>
          </cell>
          <cell r="BJ172" t="str">
            <v>潘兴</v>
          </cell>
          <cell r="BK172" t="str">
            <v>中</v>
          </cell>
          <cell r="BL172">
            <v>2</v>
          </cell>
          <cell r="BM172">
            <v>1869</v>
          </cell>
          <cell r="BN172">
            <v>221</v>
          </cell>
          <cell r="BO172">
            <v>704</v>
          </cell>
          <cell r="BP172">
            <v>528</v>
          </cell>
          <cell r="BQ172">
            <v>755</v>
          </cell>
          <cell r="BR172">
            <v>188</v>
          </cell>
          <cell r="BS172">
            <v>38</v>
          </cell>
          <cell r="BT172">
            <v>53.3</v>
          </cell>
          <cell r="BU172">
            <v>7.3</v>
          </cell>
          <cell r="BV172">
            <v>3.47</v>
          </cell>
          <cell r="BW172">
            <v>0</v>
          </cell>
          <cell r="BX172">
            <v>0.4</v>
          </cell>
          <cell r="BY172">
            <v>0.97</v>
          </cell>
        </row>
        <row r="173">
          <cell r="BH173" t="str">
            <v>潘兴3</v>
          </cell>
          <cell r="BI173">
            <v>18</v>
          </cell>
          <cell r="BJ173" t="str">
            <v>潘兴</v>
          </cell>
          <cell r="BK173" t="str">
            <v>中</v>
          </cell>
          <cell r="BL173">
            <v>3</v>
          </cell>
          <cell r="BM173">
            <v>1945</v>
          </cell>
          <cell r="BN173">
            <v>226</v>
          </cell>
          <cell r="BO173">
            <v>728</v>
          </cell>
          <cell r="BP173">
            <v>546</v>
          </cell>
          <cell r="BQ173">
            <v>772</v>
          </cell>
          <cell r="BR173">
            <v>196</v>
          </cell>
          <cell r="BS173">
            <v>38.799999999999997</v>
          </cell>
          <cell r="BT173">
            <v>54.5</v>
          </cell>
          <cell r="BU173">
            <v>7.3</v>
          </cell>
          <cell r="BV173">
            <v>3.41</v>
          </cell>
          <cell r="BW173">
            <v>0</v>
          </cell>
          <cell r="BX173">
            <v>0.4</v>
          </cell>
          <cell r="BY173">
            <v>0.95</v>
          </cell>
        </row>
        <row r="174">
          <cell r="BH174" t="str">
            <v>潘兴4</v>
          </cell>
          <cell r="BI174">
            <v>18</v>
          </cell>
          <cell r="BJ174" t="str">
            <v>潘兴</v>
          </cell>
          <cell r="BK174" t="str">
            <v>中</v>
          </cell>
          <cell r="BL174">
            <v>4</v>
          </cell>
          <cell r="BM174">
            <v>2021</v>
          </cell>
          <cell r="BN174">
            <v>231</v>
          </cell>
          <cell r="BO174">
            <v>751</v>
          </cell>
          <cell r="BP174">
            <v>563</v>
          </cell>
          <cell r="BQ174">
            <v>789</v>
          </cell>
          <cell r="BR174">
            <v>203</v>
          </cell>
          <cell r="BS174">
            <v>39.6</v>
          </cell>
          <cell r="BT174">
            <v>55.6</v>
          </cell>
          <cell r="BU174">
            <v>7.3</v>
          </cell>
          <cell r="BV174">
            <v>3.35</v>
          </cell>
          <cell r="BW174">
            <v>0</v>
          </cell>
          <cell r="BX174">
            <v>0.4</v>
          </cell>
          <cell r="BY174">
            <v>0.94</v>
          </cell>
        </row>
        <row r="175">
          <cell r="BH175" t="str">
            <v>潘兴5</v>
          </cell>
          <cell r="BI175">
            <v>18</v>
          </cell>
          <cell r="BJ175" t="str">
            <v>潘兴</v>
          </cell>
          <cell r="BK175" t="str">
            <v>中</v>
          </cell>
          <cell r="BL175">
            <v>5</v>
          </cell>
          <cell r="BM175">
            <v>2097</v>
          </cell>
          <cell r="BN175">
            <v>236</v>
          </cell>
          <cell r="BO175">
            <v>775</v>
          </cell>
          <cell r="BP175">
            <v>581</v>
          </cell>
          <cell r="BQ175">
            <v>807</v>
          </cell>
          <cell r="BR175">
            <v>211</v>
          </cell>
          <cell r="BS175">
            <v>40.4</v>
          </cell>
          <cell r="BT175">
            <v>56.8</v>
          </cell>
          <cell r="BU175">
            <v>7.3</v>
          </cell>
          <cell r="BV175">
            <v>3.28</v>
          </cell>
          <cell r="BW175">
            <v>0</v>
          </cell>
          <cell r="BX175">
            <v>0.4</v>
          </cell>
          <cell r="BY175">
            <v>0.92</v>
          </cell>
        </row>
        <row r="176">
          <cell r="BH176" t="str">
            <v>潘兴6</v>
          </cell>
          <cell r="BI176">
            <v>18</v>
          </cell>
          <cell r="BJ176" t="str">
            <v>潘兴</v>
          </cell>
          <cell r="BK176" t="str">
            <v>中</v>
          </cell>
          <cell r="BL176">
            <v>6</v>
          </cell>
          <cell r="BM176">
            <v>2173</v>
          </cell>
          <cell r="BN176">
            <v>241</v>
          </cell>
          <cell r="BO176">
            <v>798</v>
          </cell>
          <cell r="BP176">
            <v>599</v>
          </cell>
          <cell r="BQ176">
            <v>824</v>
          </cell>
          <cell r="BR176">
            <v>218</v>
          </cell>
          <cell r="BS176">
            <v>41.3</v>
          </cell>
          <cell r="BT176">
            <v>58</v>
          </cell>
          <cell r="BU176">
            <v>7.3</v>
          </cell>
          <cell r="BV176">
            <v>3.22</v>
          </cell>
          <cell r="BW176">
            <v>0</v>
          </cell>
          <cell r="BX176">
            <v>0.4</v>
          </cell>
          <cell r="BY176">
            <v>0.91</v>
          </cell>
        </row>
        <row r="177">
          <cell r="BH177" t="str">
            <v>潘兴7</v>
          </cell>
          <cell r="BI177">
            <v>18</v>
          </cell>
          <cell r="BJ177" t="str">
            <v>潘兴</v>
          </cell>
          <cell r="BK177" t="str">
            <v>中</v>
          </cell>
          <cell r="BL177">
            <v>7</v>
          </cell>
          <cell r="BM177">
            <v>2249</v>
          </cell>
          <cell r="BN177">
            <v>246</v>
          </cell>
          <cell r="BO177">
            <v>822</v>
          </cell>
          <cell r="BP177">
            <v>616</v>
          </cell>
          <cell r="BQ177">
            <v>841</v>
          </cell>
          <cell r="BR177">
            <v>226</v>
          </cell>
          <cell r="BS177">
            <v>42.1</v>
          </cell>
          <cell r="BT177">
            <v>59.1</v>
          </cell>
          <cell r="BU177">
            <v>7.3</v>
          </cell>
          <cell r="BV177">
            <v>3.16</v>
          </cell>
          <cell r="BW177">
            <v>0</v>
          </cell>
          <cell r="BX177">
            <v>0.4</v>
          </cell>
          <cell r="BY177">
            <v>0.89</v>
          </cell>
        </row>
        <row r="178">
          <cell r="BH178" t="str">
            <v>潘兴8</v>
          </cell>
          <cell r="BI178">
            <v>18</v>
          </cell>
          <cell r="BJ178" t="str">
            <v>潘兴</v>
          </cell>
          <cell r="BK178" t="str">
            <v>中</v>
          </cell>
          <cell r="BL178">
            <v>8</v>
          </cell>
          <cell r="BM178">
            <v>2325</v>
          </cell>
          <cell r="BN178">
            <v>251</v>
          </cell>
          <cell r="BO178">
            <v>845</v>
          </cell>
          <cell r="BP178">
            <v>634</v>
          </cell>
          <cell r="BQ178">
            <v>858</v>
          </cell>
          <cell r="BR178">
            <v>233</v>
          </cell>
          <cell r="BS178">
            <v>42.9</v>
          </cell>
          <cell r="BT178">
            <v>60.3</v>
          </cell>
          <cell r="BU178">
            <v>7.3</v>
          </cell>
          <cell r="BV178">
            <v>3.09</v>
          </cell>
          <cell r="BW178">
            <v>0</v>
          </cell>
          <cell r="BX178">
            <v>0.4</v>
          </cell>
          <cell r="BY178">
            <v>0.88</v>
          </cell>
        </row>
        <row r="179">
          <cell r="BH179" t="str">
            <v>潘兴9</v>
          </cell>
          <cell r="BI179">
            <v>18</v>
          </cell>
          <cell r="BJ179" t="str">
            <v>潘兴</v>
          </cell>
          <cell r="BK179" t="str">
            <v>中</v>
          </cell>
          <cell r="BL179">
            <v>9</v>
          </cell>
          <cell r="BM179">
            <v>2400</v>
          </cell>
          <cell r="BN179">
            <v>256</v>
          </cell>
          <cell r="BO179">
            <v>869</v>
          </cell>
          <cell r="BP179">
            <v>651</v>
          </cell>
          <cell r="BQ179">
            <v>876</v>
          </cell>
          <cell r="BR179">
            <v>241</v>
          </cell>
          <cell r="BS179">
            <v>43.7</v>
          </cell>
          <cell r="BT179">
            <v>61.4</v>
          </cell>
          <cell r="BU179">
            <v>7.3</v>
          </cell>
          <cell r="BV179">
            <v>3.03</v>
          </cell>
          <cell r="BW179">
            <v>0</v>
          </cell>
          <cell r="BX179">
            <v>0.4</v>
          </cell>
          <cell r="BY179">
            <v>0.86</v>
          </cell>
        </row>
        <row r="180">
          <cell r="BH180" t="str">
            <v>潘兴10</v>
          </cell>
          <cell r="BI180">
            <v>18</v>
          </cell>
          <cell r="BJ180" t="str">
            <v>潘兴</v>
          </cell>
          <cell r="BK180" t="str">
            <v>中</v>
          </cell>
          <cell r="BL180">
            <v>10</v>
          </cell>
          <cell r="BM180">
            <v>2476</v>
          </cell>
          <cell r="BN180">
            <v>261</v>
          </cell>
          <cell r="BO180">
            <v>893</v>
          </cell>
          <cell r="BP180">
            <v>669</v>
          </cell>
          <cell r="BQ180">
            <v>893</v>
          </cell>
          <cell r="BR180">
            <v>248</v>
          </cell>
          <cell r="BS180">
            <v>44.6</v>
          </cell>
          <cell r="BT180">
            <v>62.6</v>
          </cell>
          <cell r="BU180">
            <v>7.3</v>
          </cell>
          <cell r="BV180">
            <v>2.97</v>
          </cell>
          <cell r="BW180">
            <v>0</v>
          </cell>
          <cell r="BX180">
            <v>0.4</v>
          </cell>
          <cell r="BY180">
            <v>0.85</v>
          </cell>
        </row>
        <row r="181">
          <cell r="BH181" t="str">
            <v>潘兴11</v>
          </cell>
          <cell r="BI181">
            <v>18</v>
          </cell>
          <cell r="BJ181" t="str">
            <v>潘兴</v>
          </cell>
          <cell r="BK181" t="str">
            <v>中</v>
          </cell>
          <cell r="BL181">
            <v>11</v>
          </cell>
          <cell r="BM181">
            <v>2552</v>
          </cell>
          <cell r="BN181">
            <v>266</v>
          </cell>
          <cell r="BO181">
            <v>916</v>
          </cell>
          <cell r="BP181">
            <v>687</v>
          </cell>
          <cell r="BQ181">
            <v>910</v>
          </cell>
          <cell r="BR181">
            <v>256</v>
          </cell>
          <cell r="BS181">
            <v>45.4</v>
          </cell>
          <cell r="BT181">
            <v>63.8</v>
          </cell>
          <cell r="BU181">
            <v>7.3</v>
          </cell>
          <cell r="BV181">
            <v>2.9</v>
          </cell>
          <cell r="BW181">
            <v>0</v>
          </cell>
          <cell r="BX181">
            <v>0.4</v>
          </cell>
          <cell r="BY181">
            <v>0.83</v>
          </cell>
        </row>
        <row r="182">
          <cell r="BH182" t="str">
            <v>百夫长0</v>
          </cell>
          <cell r="BI182">
            <v>19</v>
          </cell>
          <cell r="BJ182" t="str">
            <v>百夫长</v>
          </cell>
          <cell r="BK182" t="str">
            <v>高</v>
          </cell>
          <cell r="BL182">
            <v>0</v>
          </cell>
          <cell r="BM182">
            <v>1945</v>
          </cell>
          <cell r="BN182">
            <v>201</v>
          </cell>
          <cell r="BO182">
            <v>657</v>
          </cell>
          <cell r="BP182">
            <v>493</v>
          </cell>
          <cell r="BQ182">
            <v>720</v>
          </cell>
          <cell r="BR182">
            <v>173</v>
          </cell>
          <cell r="BS182">
            <v>46.7</v>
          </cell>
          <cell r="BT182">
            <v>42</v>
          </cell>
          <cell r="BU182">
            <v>8.4</v>
          </cell>
          <cell r="BV182">
            <v>2.4</v>
          </cell>
          <cell r="BW182">
            <v>0</v>
          </cell>
          <cell r="BX182">
            <v>0.26</v>
          </cell>
          <cell r="BY182">
            <v>1.87</v>
          </cell>
        </row>
        <row r="183">
          <cell r="BH183" t="str">
            <v>百夫长1</v>
          </cell>
          <cell r="BI183">
            <v>19</v>
          </cell>
          <cell r="BJ183" t="str">
            <v>百夫长</v>
          </cell>
          <cell r="BK183" t="str">
            <v>高</v>
          </cell>
          <cell r="BL183">
            <v>1</v>
          </cell>
          <cell r="BM183">
            <v>2031</v>
          </cell>
          <cell r="BN183">
            <v>206</v>
          </cell>
          <cell r="BO183">
            <v>682</v>
          </cell>
          <cell r="BP183">
            <v>512</v>
          </cell>
          <cell r="BQ183">
            <v>738</v>
          </cell>
          <cell r="BR183">
            <v>181</v>
          </cell>
          <cell r="BS183">
            <v>47.8</v>
          </cell>
          <cell r="BT183">
            <v>43</v>
          </cell>
          <cell r="BU183">
            <v>8.4</v>
          </cell>
          <cell r="BV183">
            <v>2.37</v>
          </cell>
          <cell r="BW183">
            <v>0</v>
          </cell>
          <cell r="BX183">
            <v>0.26</v>
          </cell>
          <cell r="BY183">
            <v>1.84</v>
          </cell>
        </row>
        <row r="184">
          <cell r="BH184" t="str">
            <v>百夫长2</v>
          </cell>
          <cell r="BI184">
            <v>19</v>
          </cell>
          <cell r="BJ184" t="str">
            <v>百夫长</v>
          </cell>
          <cell r="BK184" t="str">
            <v>高</v>
          </cell>
          <cell r="BL184">
            <v>2</v>
          </cell>
          <cell r="BM184">
            <v>2116</v>
          </cell>
          <cell r="BN184">
            <v>211</v>
          </cell>
          <cell r="BO184">
            <v>707</v>
          </cell>
          <cell r="BP184">
            <v>530</v>
          </cell>
          <cell r="BQ184">
            <v>757</v>
          </cell>
          <cell r="BR184">
            <v>189</v>
          </cell>
          <cell r="BS184">
            <v>48.8</v>
          </cell>
          <cell r="BT184">
            <v>43.9</v>
          </cell>
          <cell r="BU184">
            <v>8.4</v>
          </cell>
          <cell r="BV184">
            <v>2.34</v>
          </cell>
          <cell r="BW184">
            <v>0</v>
          </cell>
          <cell r="BX184">
            <v>0.26</v>
          </cell>
          <cell r="BY184">
            <v>1.81</v>
          </cell>
        </row>
        <row r="185">
          <cell r="BH185" t="str">
            <v>百夫长3</v>
          </cell>
          <cell r="BI185">
            <v>19</v>
          </cell>
          <cell r="BJ185" t="str">
            <v>百夫长</v>
          </cell>
          <cell r="BK185" t="str">
            <v>高</v>
          </cell>
          <cell r="BL185">
            <v>3</v>
          </cell>
          <cell r="BM185">
            <v>2202</v>
          </cell>
          <cell r="BN185">
            <v>217</v>
          </cell>
          <cell r="BO185">
            <v>732</v>
          </cell>
          <cell r="BP185">
            <v>549</v>
          </cell>
          <cell r="BQ185">
            <v>775</v>
          </cell>
          <cell r="BR185">
            <v>197</v>
          </cell>
          <cell r="BS185">
            <v>49.9</v>
          </cell>
          <cell r="BT185">
            <v>44.9</v>
          </cell>
          <cell r="BU185">
            <v>8.4</v>
          </cell>
          <cell r="BV185">
            <v>2.2999999999999998</v>
          </cell>
          <cell r="BW185">
            <v>0</v>
          </cell>
          <cell r="BX185">
            <v>0.26</v>
          </cell>
          <cell r="BY185">
            <v>1.79</v>
          </cell>
        </row>
        <row r="186">
          <cell r="BH186" t="str">
            <v>百夫长4</v>
          </cell>
          <cell r="BI186">
            <v>19</v>
          </cell>
          <cell r="BJ186" t="str">
            <v>百夫长</v>
          </cell>
          <cell r="BK186" t="str">
            <v>高</v>
          </cell>
          <cell r="BL186">
            <v>4</v>
          </cell>
          <cell r="BM186">
            <v>2288</v>
          </cell>
          <cell r="BN186">
            <v>222</v>
          </cell>
          <cell r="BO186">
            <v>757</v>
          </cell>
          <cell r="BP186">
            <v>568</v>
          </cell>
          <cell r="BQ186">
            <v>793</v>
          </cell>
          <cell r="BR186">
            <v>205</v>
          </cell>
          <cell r="BS186">
            <v>50.9</v>
          </cell>
          <cell r="BT186">
            <v>45.8</v>
          </cell>
          <cell r="BU186">
            <v>8.4</v>
          </cell>
          <cell r="BV186">
            <v>2.27</v>
          </cell>
          <cell r="BW186">
            <v>0</v>
          </cell>
          <cell r="BX186">
            <v>0.26</v>
          </cell>
          <cell r="BY186">
            <v>1.76</v>
          </cell>
        </row>
        <row r="187">
          <cell r="BH187" t="str">
            <v>百夫长5</v>
          </cell>
          <cell r="BI187">
            <v>19</v>
          </cell>
          <cell r="BJ187" t="str">
            <v>百夫长</v>
          </cell>
          <cell r="BK187" t="str">
            <v>高</v>
          </cell>
          <cell r="BL187">
            <v>5</v>
          </cell>
          <cell r="BM187">
            <v>2374</v>
          </cell>
          <cell r="BN187">
            <v>227</v>
          </cell>
          <cell r="BO187">
            <v>782</v>
          </cell>
          <cell r="BP187">
            <v>587</v>
          </cell>
          <cell r="BQ187">
            <v>812</v>
          </cell>
          <cell r="BR187">
            <v>213</v>
          </cell>
          <cell r="BS187">
            <v>52</v>
          </cell>
          <cell r="BT187">
            <v>46.8</v>
          </cell>
          <cell r="BU187">
            <v>8.4</v>
          </cell>
          <cell r="BV187">
            <v>2.2400000000000002</v>
          </cell>
          <cell r="BW187">
            <v>0</v>
          </cell>
          <cell r="BX187">
            <v>0.26</v>
          </cell>
          <cell r="BY187">
            <v>1.73</v>
          </cell>
        </row>
        <row r="188">
          <cell r="BH188" t="str">
            <v>百夫长6</v>
          </cell>
          <cell r="BI188">
            <v>19</v>
          </cell>
          <cell r="BJ188" t="str">
            <v>百夫长</v>
          </cell>
          <cell r="BK188" t="str">
            <v>高</v>
          </cell>
          <cell r="BL188">
            <v>6</v>
          </cell>
          <cell r="BM188">
            <v>2460</v>
          </cell>
          <cell r="BN188">
            <v>232</v>
          </cell>
          <cell r="BO188">
            <v>807</v>
          </cell>
          <cell r="BP188">
            <v>605</v>
          </cell>
          <cell r="BQ188">
            <v>830</v>
          </cell>
          <cell r="BR188">
            <v>221</v>
          </cell>
          <cell r="BS188">
            <v>53.1</v>
          </cell>
          <cell r="BT188">
            <v>47.7</v>
          </cell>
          <cell r="BU188">
            <v>8.4</v>
          </cell>
          <cell r="BV188">
            <v>2.21</v>
          </cell>
          <cell r="BW188">
            <v>0</v>
          </cell>
          <cell r="BX188">
            <v>0.26</v>
          </cell>
          <cell r="BY188">
            <v>1.7</v>
          </cell>
        </row>
        <row r="189">
          <cell r="BH189" t="str">
            <v>百夫长7</v>
          </cell>
          <cell r="BI189">
            <v>19</v>
          </cell>
          <cell r="BJ189" t="str">
            <v>百夫长</v>
          </cell>
          <cell r="BK189" t="str">
            <v>高</v>
          </cell>
          <cell r="BL189">
            <v>7</v>
          </cell>
          <cell r="BM189">
            <v>2546</v>
          </cell>
          <cell r="BN189">
            <v>237</v>
          </cell>
          <cell r="BO189">
            <v>832</v>
          </cell>
          <cell r="BP189">
            <v>624</v>
          </cell>
          <cell r="BQ189">
            <v>848</v>
          </cell>
          <cell r="BR189">
            <v>229</v>
          </cell>
          <cell r="BS189">
            <v>54.1</v>
          </cell>
          <cell r="BT189">
            <v>48.7</v>
          </cell>
          <cell r="BU189">
            <v>8.4</v>
          </cell>
          <cell r="BV189">
            <v>2.17</v>
          </cell>
          <cell r="BW189">
            <v>0</v>
          </cell>
          <cell r="BX189">
            <v>0.26</v>
          </cell>
          <cell r="BY189">
            <v>1.67</v>
          </cell>
        </row>
        <row r="190">
          <cell r="BH190" t="str">
            <v>百夫长8</v>
          </cell>
          <cell r="BI190">
            <v>19</v>
          </cell>
          <cell r="BJ190" t="str">
            <v>百夫长</v>
          </cell>
          <cell r="BK190" t="str">
            <v>高</v>
          </cell>
          <cell r="BL190">
            <v>8</v>
          </cell>
          <cell r="BM190">
            <v>2632</v>
          </cell>
          <cell r="BN190">
            <v>242</v>
          </cell>
          <cell r="BO190">
            <v>857</v>
          </cell>
          <cell r="BP190">
            <v>643</v>
          </cell>
          <cell r="BQ190">
            <v>867</v>
          </cell>
          <cell r="BR190">
            <v>237</v>
          </cell>
          <cell r="BS190">
            <v>55.2</v>
          </cell>
          <cell r="BT190">
            <v>49.6</v>
          </cell>
          <cell r="BU190">
            <v>8.4</v>
          </cell>
          <cell r="BV190">
            <v>2.14</v>
          </cell>
          <cell r="BW190">
            <v>0</v>
          </cell>
          <cell r="BX190">
            <v>0.26</v>
          </cell>
          <cell r="BY190">
            <v>1.64</v>
          </cell>
        </row>
        <row r="191">
          <cell r="BH191" t="str">
            <v>百夫长9</v>
          </cell>
          <cell r="BI191">
            <v>19</v>
          </cell>
          <cell r="BJ191" t="str">
            <v>百夫长</v>
          </cell>
          <cell r="BK191" t="str">
            <v>高</v>
          </cell>
          <cell r="BL191">
            <v>9</v>
          </cell>
          <cell r="BM191">
            <v>2718</v>
          </cell>
          <cell r="BN191">
            <v>247</v>
          </cell>
          <cell r="BO191">
            <v>882</v>
          </cell>
          <cell r="BP191">
            <v>661</v>
          </cell>
          <cell r="BQ191">
            <v>885</v>
          </cell>
          <cell r="BR191">
            <v>245</v>
          </cell>
          <cell r="BS191">
            <v>56.3</v>
          </cell>
          <cell r="BT191">
            <v>50.6</v>
          </cell>
          <cell r="BU191">
            <v>8.4</v>
          </cell>
          <cell r="BV191">
            <v>2.11</v>
          </cell>
          <cell r="BW191">
            <v>0</v>
          </cell>
          <cell r="BX191">
            <v>0.26</v>
          </cell>
          <cell r="BY191">
            <v>1.62</v>
          </cell>
        </row>
        <row r="192">
          <cell r="BH192" t="str">
            <v>百夫长10</v>
          </cell>
          <cell r="BI192">
            <v>19</v>
          </cell>
          <cell r="BJ192" t="str">
            <v>百夫长</v>
          </cell>
          <cell r="BK192" t="str">
            <v>高</v>
          </cell>
          <cell r="BL192">
            <v>10</v>
          </cell>
          <cell r="BM192">
            <v>2804</v>
          </cell>
          <cell r="BN192">
            <v>253</v>
          </cell>
          <cell r="BO192">
            <v>907</v>
          </cell>
          <cell r="BP192">
            <v>680</v>
          </cell>
          <cell r="BQ192">
            <v>904</v>
          </cell>
          <cell r="BR192">
            <v>253</v>
          </cell>
          <cell r="BS192">
            <v>57.3</v>
          </cell>
          <cell r="BT192">
            <v>51.5</v>
          </cell>
          <cell r="BU192">
            <v>8.4</v>
          </cell>
          <cell r="BV192">
            <v>2.08</v>
          </cell>
          <cell r="BW192">
            <v>0</v>
          </cell>
          <cell r="BX192">
            <v>0.26</v>
          </cell>
          <cell r="BY192">
            <v>1.59</v>
          </cell>
        </row>
        <row r="193">
          <cell r="BH193" t="str">
            <v>百夫长11</v>
          </cell>
          <cell r="BI193">
            <v>19</v>
          </cell>
          <cell r="BJ193" t="str">
            <v>百夫长</v>
          </cell>
          <cell r="BK193" t="str">
            <v>高</v>
          </cell>
          <cell r="BL193">
            <v>11</v>
          </cell>
          <cell r="BM193">
            <v>2890</v>
          </cell>
          <cell r="BN193">
            <v>258</v>
          </cell>
          <cell r="BO193">
            <v>932</v>
          </cell>
          <cell r="BP193">
            <v>699</v>
          </cell>
          <cell r="BQ193">
            <v>922</v>
          </cell>
          <cell r="BR193">
            <v>261</v>
          </cell>
          <cell r="BS193">
            <v>58.4</v>
          </cell>
          <cell r="BT193">
            <v>52.5</v>
          </cell>
          <cell r="BU193">
            <v>8.4</v>
          </cell>
          <cell r="BV193">
            <v>2.04</v>
          </cell>
          <cell r="BW193">
            <v>0</v>
          </cell>
          <cell r="BX193">
            <v>0.26</v>
          </cell>
          <cell r="BY193">
            <v>1.56</v>
          </cell>
        </row>
        <row r="194">
          <cell r="BH194" t="str">
            <v>挑战者0</v>
          </cell>
          <cell r="BI194">
            <v>20</v>
          </cell>
          <cell r="BJ194" t="str">
            <v>挑战者</v>
          </cell>
          <cell r="BK194" t="str">
            <v>低</v>
          </cell>
          <cell r="BL194">
            <v>0</v>
          </cell>
          <cell r="BM194">
            <v>2455</v>
          </cell>
          <cell r="BN194">
            <v>231</v>
          </cell>
          <cell r="BO194">
            <v>828</v>
          </cell>
          <cell r="BP194">
            <v>621</v>
          </cell>
          <cell r="BQ194">
            <v>907</v>
          </cell>
          <cell r="BR194">
            <v>218</v>
          </cell>
          <cell r="BS194">
            <v>35.6</v>
          </cell>
          <cell r="BT194">
            <v>50</v>
          </cell>
          <cell r="BU194">
            <v>7.2</v>
          </cell>
          <cell r="BV194">
            <v>2.4</v>
          </cell>
          <cell r="BW194">
            <v>0</v>
          </cell>
          <cell r="BX194">
            <v>0.4</v>
          </cell>
          <cell r="BY194">
            <v>1.4</v>
          </cell>
        </row>
        <row r="195">
          <cell r="BH195" t="str">
            <v>挑战者1</v>
          </cell>
          <cell r="BI195">
            <v>20</v>
          </cell>
          <cell r="BJ195" t="str">
            <v>挑战者</v>
          </cell>
          <cell r="BK195" t="str">
            <v>低</v>
          </cell>
          <cell r="BL195">
            <v>1</v>
          </cell>
          <cell r="BM195">
            <v>2535</v>
          </cell>
          <cell r="BN195">
            <v>235</v>
          </cell>
          <cell r="BO195">
            <v>851</v>
          </cell>
          <cell r="BP195">
            <v>638</v>
          </cell>
          <cell r="BQ195">
            <v>923</v>
          </cell>
          <cell r="BR195">
            <v>225</v>
          </cell>
          <cell r="BS195">
            <v>36.299999999999997</v>
          </cell>
          <cell r="BT195">
            <v>51</v>
          </cell>
          <cell r="BU195">
            <v>7.2</v>
          </cell>
          <cell r="BV195">
            <v>2.37</v>
          </cell>
          <cell r="BW195">
            <v>0</v>
          </cell>
          <cell r="BX195">
            <v>0.4</v>
          </cell>
          <cell r="BY195">
            <v>1.38</v>
          </cell>
        </row>
        <row r="196">
          <cell r="BH196" t="str">
            <v>挑战者2</v>
          </cell>
          <cell r="BI196">
            <v>20</v>
          </cell>
          <cell r="BJ196" t="str">
            <v>挑战者</v>
          </cell>
          <cell r="BK196" t="str">
            <v>低</v>
          </cell>
          <cell r="BL196">
            <v>2</v>
          </cell>
          <cell r="BM196">
            <v>2615</v>
          </cell>
          <cell r="BN196">
            <v>239</v>
          </cell>
          <cell r="BO196">
            <v>874</v>
          </cell>
          <cell r="BP196">
            <v>655</v>
          </cell>
          <cell r="BQ196">
            <v>938</v>
          </cell>
          <cell r="BR196">
            <v>233</v>
          </cell>
          <cell r="BS196">
            <v>37</v>
          </cell>
          <cell r="BT196">
            <v>51.9</v>
          </cell>
          <cell r="BU196">
            <v>7.2</v>
          </cell>
          <cell r="BV196">
            <v>2.34</v>
          </cell>
          <cell r="BW196">
            <v>0</v>
          </cell>
          <cell r="BX196">
            <v>0.4</v>
          </cell>
          <cell r="BY196">
            <v>1.36</v>
          </cell>
        </row>
        <row r="197">
          <cell r="BH197" t="str">
            <v>挑战者3</v>
          </cell>
          <cell r="BI197">
            <v>20</v>
          </cell>
          <cell r="BJ197" t="str">
            <v>挑战者</v>
          </cell>
          <cell r="BK197" t="str">
            <v>低</v>
          </cell>
          <cell r="BL197">
            <v>3</v>
          </cell>
          <cell r="BM197">
            <v>2695</v>
          </cell>
          <cell r="BN197">
            <v>243</v>
          </cell>
          <cell r="BO197">
            <v>896</v>
          </cell>
          <cell r="BP197">
            <v>672</v>
          </cell>
          <cell r="BQ197">
            <v>954</v>
          </cell>
          <cell r="BR197">
            <v>240</v>
          </cell>
          <cell r="BS197">
            <v>37.700000000000003</v>
          </cell>
          <cell r="BT197">
            <v>52.9</v>
          </cell>
          <cell r="BU197">
            <v>7.2</v>
          </cell>
          <cell r="BV197">
            <v>2.31</v>
          </cell>
          <cell r="BW197">
            <v>0</v>
          </cell>
          <cell r="BX197">
            <v>0.4</v>
          </cell>
          <cell r="BY197">
            <v>1.35</v>
          </cell>
        </row>
        <row r="198">
          <cell r="BH198" t="str">
            <v>挑战者4</v>
          </cell>
          <cell r="BI198">
            <v>20</v>
          </cell>
          <cell r="BJ198" t="str">
            <v>挑战者</v>
          </cell>
          <cell r="BK198" t="str">
            <v>低</v>
          </cell>
          <cell r="BL198">
            <v>4</v>
          </cell>
          <cell r="BM198">
            <v>2775</v>
          </cell>
          <cell r="BN198">
            <v>247</v>
          </cell>
          <cell r="BO198">
            <v>919</v>
          </cell>
          <cell r="BP198">
            <v>689</v>
          </cell>
          <cell r="BQ198">
            <v>970</v>
          </cell>
          <cell r="BR198">
            <v>248</v>
          </cell>
          <cell r="BS198">
            <v>38.299999999999997</v>
          </cell>
          <cell r="BT198">
            <v>53.8</v>
          </cell>
          <cell r="BU198">
            <v>7.2</v>
          </cell>
          <cell r="BV198">
            <v>2.2799999999999998</v>
          </cell>
          <cell r="BW198">
            <v>0</v>
          </cell>
          <cell r="BX198">
            <v>0.4</v>
          </cell>
          <cell r="BY198">
            <v>1.33</v>
          </cell>
        </row>
        <row r="199">
          <cell r="BH199" t="str">
            <v>挑战者5</v>
          </cell>
          <cell r="BI199">
            <v>20</v>
          </cell>
          <cell r="BJ199" t="str">
            <v>挑战者</v>
          </cell>
          <cell r="BK199" t="str">
            <v>低</v>
          </cell>
          <cell r="BL199">
            <v>5</v>
          </cell>
          <cell r="BM199">
            <v>2855</v>
          </cell>
          <cell r="BN199">
            <v>251</v>
          </cell>
          <cell r="BO199">
            <v>942</v>
          </cell>
          <cell r="BP199">
            <v>707</v>
          </cell>
          <cell r="BQ199">
            <v>985</v>
          </cell>
          <cell r="BR199">
            <v>255</v>
          </cell>
          <cell r="BS199">
            <v>39</v>
          </cell>
          <cell r="BT199">
            <v>54.8</v>
          </cell>
          <cell r="BU199">
            <v>7.2</v>
          </cell>
          <cell r="BV199">
            <v>2.2599999999999998</v>
          </cell>
          <cell r="BW199">
            <v>0</v>
          </cell>
          <cell r="BX199">
            <v>0.4</v>
          </cell>
          <cell r="BY199">
            <v>1.31</v>
          </cell>
        </row>
        <row r="200">
          <cell r="BH200" t="str">
            <v>挑战者6</v>
          </cell>
          <cell r="BI200">
            <v>20</v>
          </cell>
          <cell r="BJ200" t="str">
            <v>挑战者</v>
          </cell>
          <cell r="BK200" t="str">
            <v>低</v>
          </cell>
          <cell r="BL200">
            <v>6</v>
          </cell>
          <cell r="BM200">
            <v>2935</v>
          </cell>
          <cell r="BN200">
            <v>255</v>
          </cell>
          <cell r="BO200">
            <v>965</v>
          </cell>
          <cell r="BP200">
            <v>724</v>
          </cell>
          <cell r="BQ200">
            <v>1001</v>
          </cell>
          <cell r="BR200">
            <v>263</v>
          </cell>
          <cell r="BS200">
            <v>39.700000000000003</v>
          </cell>
          <cell r="BT200">
            <v>55.8</v>
          </cell>
          <cell r="BU200">
            <v>7.2</v>
          </cell>
          <cell r="BV200">
            <v>2.23</v>
          </cell>
          <cell r="BW200">
            <v>0</v>
          </cell>
          <cell r="BX200">
            <v>0.4</v>
          </cell>
          <cell r="BY200">
            <v>1.29</v>
          </cell>
        </row>
        <row r="201">
          <cell r="BH201" t="str">
            <v>挑战者7</v>
          </cell>
          <cell r="BI201">
            <v>20</v>
          </cell>
          <cell r="BJ201" t="str">
            <v>挑战者</v>
          </cell>
          <cell r="BK201" t="str">
            <v>低</v>
          </cell>
          <cell r="BL201">
            <v>7</v>
          </cell>
          <cell r="BM201">
            <v>3015</v>
          </cell>
          <cell r="BN201">
            <v>260</v>
          </cell>
          <cell r="BO201">
            <v>988</v>
          </cell>
          <cell r="BP201">
            <v>741</v>
          </cell>
          <cell r="BQ201">
            <v>1017</v>
          </cell>
          <cell r="BR201">
            <v>270</v>
          </cell>
          <cell r="BS201">
            <v>40.4</v>
          </cell>
          <cell r="BT201">
            <v>56.7</v>
          </cell>
          <cell r="BU201">
            <v>7.2</v>
          </cell>
          <cell r="BV201">
            <v>2.2000000000000002</v>
          </cell>
          <cell r="BW201">
            <v>0</v>
          </cell>
          <cell r="BX201">
            <v>0.4</v>
          </cell>
          <cell r="BY201">
            <v>1.27</v>
          </cell>
        </row>
        <row r="202">
          <cell r="BH202" t="str">
            <v>挑战者8</v>
          </cell>
          <cell r="BI202">
            <v>20</v>
          </cell>
          <cell r="BJ202" t="str">
            <v>挑战者</v>
          </cell>
          <cell r="BK202" t="str">
            <v>低</v>
          </cell>
          <cell r="BL202">
            <v>8</v>
          </cell>
          <cell r="BM202">
            <v>3095</v>
          </cell>
          <cell r="BN202">
            <v>264</v>
          </cell>
          <cell r="BO202">
            <v>1011</v>
          </cell>
          <cell r="BP202">
            <v>758</v>
          </cell>
          <cell r="BQ202">
            <v>1032</v>
          </cell>
          <cell r="BR202">
            <v>278</v>
          </cell>
          <cell r="BS202">
            <v>41.1</v>
          </cell>
          <cell r="BT202">
            <v>57.7</v>
          </cell>
          <cell r="BU202">
            <v>7.2</v>
          </cell>
          <cell r="BV202">
            <v>2.17</v>
          </cell>
          <cell r="BW202">
            <v>0</v>
          </cell>
          <cell r="BX202">
            <v>0.4</v>
          </cell>
          <cell r="BY202">
            <v>1.26</v>
          </cell>
        </row>
        <row r="203">
          <cell r="BH203" t="str">
            <v>挑战者9</v>
          </cell>
          <cell r="BI203">
            <v>20</v>
          </cell>
          <cell r="BJ203" t="str">
            <v>挑战者</v>
          </cell>
          <cell r="BK203" t="str">
            <v>低</v>
          </cell>
          <cell r="BL203">
            <v>9</v>
          </cell>
          <cell r="BM203">
            <v>3175</v>
          </cell>
          <cell r="BN203">
            <v>268</v>
          </cell>
          <cell r="BO203">
            <v>1033</v>
          </cell>
          <cell r="BP203">
            <v>775</v>
          </cell>
          <cell r="BQ203">
            <v>1048</v>
          </cell>
          <cell r="BR203">
            <v>285</v>
          </cell>
          <cell r="BS203">
            <v>41.8</v>
          </cell>
          <cell r="BT203">
            <v>58.7</v>
          </cell>
          <cell r="BU203">
            <v>7.2</v>
          </cell>
          <cell r="BV203">
            <v>2.14</v>
          </cell>
          <cell r="BW203">
            <v>0</v>
          </cell>
          <cell r="BX203">
            <v>0.4</v>
          </cell>
          <cell r="BY203">
            <v>1.24</v>
          </cell>
        </row>
        <row r="204">
          <cell r="BH204" t="str">
            <v>挑战者10</v>
          </cell>
          <cell r="BI204">
            <v>20</v>
          </cell>
          <cell r="BJ204" t="str">
            <v>挑战者</v>
          </cell>
          <cell r="BK204" t="str">
            <v>低</v>
          </cell>
          <cell r="BL204">
            <v>10</v>
          </cell>
          <cell r="BM204">
            <v>3255</v>
          </cell>
          <cell r="BN204">
            <v>272</v>
          </cell>
          <cell r="BO204">
            <v>1056</v>
          </cell>
          <cell r="BP204">
            <v>792</v>
          </cell>
          <cell r="BQ204">
            <v>1064</v>
          </cell>
          <cell r="BR204">
            <v>293</v>
          </cell>
          <cell r="BS204">
            <v>42.4</v>
          </cell>
          <cell r="BT204">
            <v>59.6</v>
          </cell>
          <cell r="BU204">
            <v>7.2</v>
          </cell>
          <cell r="BV204">
            <v>2.11</v>
          </cell>
          <cell r="BW204">
            <v>0</v>
          </cell>
          <cell r="BX204">
            <v>0.4</v>
          </cell>
          <cell r="BY204">
            <v>1.22</v>
          </cell>
        </row>
        <row r="205">
          <cell r="BH205" t="str">
            <v>挑战者11</v>
          </cell>
          <cell r="BI205">
            <v>20</v>
          </cell>
          <cell r="BJ205" t="str">
            <v>挑战者</v>
          </cell>
          <cell r="BK205" t="str">
            <v>低</v>
          </cell>
          <cell r="BL205">
            <v>11</v>
          </cell>
          <cell r="BM205">
            <v>3335</v>
          </cell>
          <cell r="BN205">
            <v>276</v>
          </cell>
          <cell r="BO205">
            <v>1079</v>
          </cell>
          <cell r="BP205">
            <v>809</v>
          </cell>
          <cell r="BQ205">
            <v>1079</v>
          </cell>
          <cell r="BR205">
            <v>300</v>
          </cell>
          <cell r="BS205">
            <v>43.1</v>
          </cell>
          <cell r="BT205">
            <v>60.6</v>
          </cell>
          <cell r="BU205">
            <v>7.2</v>
          </cell>
          <cell r="BV205">
            <v>2.08</v>
          </cell>
          <cell r="BW205">
            <v>0</v>
          </cell>
          <cell r="BX205">
            <v>0.4</v>
          </cell>
          <cell r="BY205">
            <v>1.2</v>
          </cell>
        </row>
        <row r="206">
          <cell r="BH206" t="str">
            <v>挑战者12</v>
          </cell>
          <cell r="BI206">
            <v>20</v>
          </cell>
          <cell r="BJ206" t="str">
            <v>挑战者</v>
          </cell>
          <cell r="BK206" t="str">
            <v>低</v>
          </cell>
          <cell r="BL206">
            <v>12</v>
          </cell>
          <cell r="BM206">
            <v>3415</v>
          </cell>
          <cell r="BN206">
            <v>280</v>
          </cell>
          <cell r="BO206">
            <v>1102</v>
          </cell>
          <cell r="BP206">
            <v>826</v>
          </cell>
          <cell r="BQ206">
            <v>1095</v>
          </cell>
          <cell r="BR206">
            <v>308</v>
          </cell>
          <cell r="BS206">
            <v>43.8</v>
          </cell>
          <cell r="BT206">
            <v>61.5</v>
          </cell>
          <cell r="BU206">
            <v>7.2</v>
          </cell>
          <cell r="BV206">
            <v>2.0499999999999998</v>
          </cell>
          <cell r="BW206">
            <v>0</v>
          </cell>
          <cell r="BX206">
            <v>0.4</v>
          </cell>
          <cell r="BY206">
            <v>1.18</v>
          </cell>
        </row>
        <row r="207">
          <cell r="BH207" t="str">
            <v>挑战者13</v>
          </cell>
          <cell r="BI207">
            <v>20</v>
          </cell>
          <cell r="BJ207" t="str">
            <v>挑战者</v>
          </cell>
          <cell r="BK207" t="str">
            <v>低</v>
          </cell>
          <cell r="BL207">
            <v>13</v>
          </cell>
          <cell r="BM207">
            <v>3495</v>
          </cell>
          <cell r="BN207">
            <v>284</v>
          </cell>
          <cell r="BO207">
            <v>1125</v>
          </cell>
          <cell r="BP207">
            <v>843</v>
          </cell>
          <cell r="BQ207">
            <v>1111</v>
          </cell>
          <cell r="BR207">
            <v>315</v>
          </cell>
          <cell r="BS207">
            <v>44.5</v>
          </cell>
          <cell r="BT207">
            <v>62.5</v>
          </cell>
          <cell r="BU207">
            <v>7.2</v>
          </cell>
          <cell r="BV207">
            <v>2.02</v>
          </cell>
          <cell r="BW207">
            <v>0</v>
          </cell>
          <cell r="BX207">
            <v>0.4</v>
          </cell>
          <cell r="BY207">
            <v>1.17</v>
          </cell>
        </row>
        <row r="208">
          <cell r="BH208" t="str">
            <v>B-10</v>
          </cell>
          <cell r="BI208">
            <v>21</v>
          </cell>
          <cell r="BJ208" t="str">
            <v>B-1</v>
          </cell>
          <cell r="BK208" t="str">
            <v>低</v>
          </cell>
          <cell r="BL208">
            <v>0</v>
          </cell>
          <cell r="BM208">
            <v>726</v>
          </cell>
          <cell r="BN208">
            <v>358</v>
          </cell>
          <cell r="BO208">
            <v>286</v>
          </cell>
          <cell r="BP208">
            <v>229</v>
          </cell>
          <cell r="BQ208">
            <v>420</v>
          </cell>
          <cell r="BR208">
            <v>98</v>
          </cell>
          <cell r="BS208">
            <v>38.299999999999997</v>
          </cell>
          <cell r="BT208">
            <v>28</v>
          </cell>
          <cell r="BU208">
            <v>7</v>
          </cell>
          <cell r="BV208">
            <v>5.4</v>
          </cell>
          <cell r="BW208">
            <v>0</v>
          </cell>
          <cell r="BX208">
            <v>2.8</v>
          </cell>
          <cell r="BY208">
            <v>2.5</v>
          </cell>
        </row>
        <row r="209">
          <cell r="BH209" t="str">
            <v>B-11</v>
          </cell>
          <cell r="BI209">
            <v>21</v>
          </cell>
          <cell r="BJ209" t="str">
            <v>B-1</v>
          </cell>
          <cell r="BK209" t="str">
            <v>低</v>
          </cell>
          <cell r="BL209">
            <v>1</v>
          </cell>
          <cell r="BM209">
            <v>838</v>
          </cell>
          <cell r="BN209">
            <v>373</v>
          </cell>
          <cell r="BO209">
            <v>301</v>
          </cell>
          <cell r="BP209">
            <v>241</v>
          </cell>
          <cell r="BQ209">
            <v>438</v>
          </cell>
          <cell r="BR209">
            <v>104</v>
          </cell>
          <cell r="BS209">
            <v>40.200000000000003</v>
          </cell>
          <cell r="BT209">
            <v>29.4</v>
          </cell>
          <cell r="BU209">
            <v>7</v>
          </cell>
          <cell r="BV209">
            <v>5.25</v>
          </cell>
          <cell r="BW209">
            <v>0</v>
          </cell>
          <cell r="BX209">
            <v>2.8</v>
          </cell>
          <cell r="BY209">
            <v>2.42</v>
          </cell>
        </row>
        <row r="210">
          <cell r="BH210" t="str">
            <v>B-12</v>
          </cell>
          <cell r="BI210">
            <v>21</v>
          </cell>
          <cell r="BJ210" t="str">
            <v>B-1</v>
          </cell>
          <cell r="BK210" t="str">
            <v>低</v>
          </cell>
          <cell r="BL210">
            <v>2</v>
          </cell>
          <cell r="BM210">
            <v>950</v>
          </cell>
          <cell r="BN210">
            <v>388</v>
          </cell>
          <cell r="BO210">
            <v>316</v>
          </cell>
          <cell r="BP210">
            <v>253</v>
          </cell>
          <cell r="BQ210">
            <v>455</v>
          </cell>
          <cell r="BR210">
            <v>110</v>
          </cell>
          <cell r="BS210">
            <v>42.1</v>
          </cell>
          <cell r="BT210">
            <v>30.8</v>
          </cell>
          <cell r="BU210">
            <v>7</v>
          </cell>
          <cell r="BV210">
            <v>5.0999999999999996</v>
          </cell>
          <cell r="BW210">
            <v>0</v>
          </cell>
          <cell r="BX210">
            <v>2.8</v>
          </cell>
          <cell r="BY210">
            <v>2.33</v>
          </cell>
        </row>
        <row r="211">
          <cell r="BH211" t="str">
            <v>B-13</v>
          </cell>
          <cell r="BI211">
            <v>21</v>
          </cell>
          <cell r="BJ211" t="str">
            <v>B-1</v>
          </cell>
          <cell r="BK211" t="str">
            <v>低</v>
          </cell>
          <cell r="BL211">
            <v>3</v>
          </cell>
          <cell r="BM211">
            <v>1062</v>
          </cell>
          <cell r="BN211">
            <v>403</v>
          </cell>
          <cell r="BO211">
            <v>331</v>
          </cell>
          <cell r="BP211">
            <v>265</v>
          </cell>
          <cell r="BQ211">
            <v>473</v>
          </cell>
          <cell r="BR211">
            <v>115</v>
          </cell>
          <cell r="BS211">
            <v>44</v>
          </cell>
          <cell r="BT211">
            <v>32.200000000000003</v>
          </cell>
          <cell r="BU211">
            <v>7</v>
          </cell>
          <cell r="BV211">
            <v>4.9400000000000004</v>
          </cell>
          <cell r="BW211">
            <v>0</v>
          </cell>
          <cell r="BX211">
            <v>2.8</v>
          </cell>
          <cell r="BY211">
            <v>2.25</v>
          </cell>
        </row>
        <row r="212">
          <cell r="BH212" t="str">
            <v>B-14</v>
          </cell>
          <cell r="BI212">
            <v>21</v>
          </cell>
          <cell r="BJ212" t="str">
            <v>B-1</v>
          </cell>
          <cell r="BK212" t="str">
            <v>低</v>
          </cell>
          <cell r="BL212">
            <v>4</v>
          </cell>
          <cell r="BM212">
            <v>1174</v>
          </cell>
          <cell r="BN212">
            <v>418</v>
          </cell>
          <cell r="BO212">
            <v>346</v>
          </cell>
          <cell r="BP212">
            <v>277</v>
          </cell>
          <cell r="BQ212">
            <v>491</v>
          </cell>
          <cell r="BR212">
            <v>121</v>
          </cell>
          <cell r="BS212">
            <v>46</v>
          </cell>
          <cell r="BT212">
            <v>33.6</v>
          </cell>
          <cell r="BU212">
            <v>7</v>
          </cell>
          <cell r="BV212">
            <v>4.79</v>
          </cell>
          <cell r="BW212">
            <v>0</v>
          </cell>
          <cell r="BX212">
            <v>2.8</v>
          </cell>
          <cell r="BY212">
            <v>2.17</v>
          </cell>
        </row>
        <row r="213">
          <cell r="BH213" t="str">
            <v>B-15</v>
          </cell>
          <cell r="BI213">
            <v>21</v>
          </cell>
          <cell r="BJ213" t="str">
            <v>B-1</v>
          </cell>
          <cell r="BK213" t="str">
            <v>低</v>
          </cell>
          <cell r="BL213">
            <v>5</v>
          </cell>
          <cell r="BM213">
            <v>1287</v>
          </cell>
          <cell r="BN213">
            <v>433</v>
          </cell>
          <cell r="BO213">
            <v>361</v>
          </cell>
          <cell r="BP213">
            <v>289</v>
          </cell>
          <cell r="BQ213">
            <v>508</v>
          </cell>
          <cell r="BR213">
            <v>127</v>
          </cell>
          <cell r="BS213">
            <v>47.9</v>
          </cell>
          <cell r="BT213">
            <v>35</v>
          </cell>
          <cell r="BU213">
            <v>7</v>
          </cell>
          <cell r="BV213">
            <v>4.6399999999999997</v>
          </cell>
          <cell r="BW213">
            <v>0</v>
          </cell>
          <cell r="BX213">
            <v>2.8</v>
          </cell>
          <cell r="BY213">
            <v>2.08</v>
          </cell>
        </row>
        <row r="214">
          <cell r="BH214" t="str">
            <v>KV-10</v>
          </cell>
          <cell r="BI214">
            <v>22</v>
          </cell>
          <cell r="BJ214" t="str">
            <v>KV-1</v>
          </cell>
          <cell r="BK214" t="str">
            <v>低</v>
          </cell>
          <cell r="BL214">
            <v>0</v>
          </cell>
          <cell r="BM214">
            <v>1106</v>
          </cell>
          <cell r="BN214">
            <v>257</v>
          </cell>
          <cell r="BO214">
            <v>343</v>
          </cell>
          <cell r="BP214">
            <v>274</v>
          </cell>
          <cell r="BQ214">
            <v>504</v>
          </cell>
          <cell r="BR214">
            <v>117</v>
          </cell>
          <cell r="BS214">
            <v>38.299999999999997</v>
          </cell>
          <cell r="BT214">
            <v>28</v>
          </cell>
          <cell r="BU214">
            <v>7</v>
          </cell>
          <cell r="BV214">
            <v>3.6</v>
          </cell>
          <cell r="BW214">
            <v>0</v>
          </cell>
          <cell r="BX214">
            <v>1.88</v>
          </cell>
          <cell r="BY214">
            <v>2.08</v>
          </cell>
        </row>
        <row r="215">
          <cell r="BH215" t="str">
            <v>KV-11</v>
          </cell>
          <cell r="BI215">
            <v>22</v>
          </cell>
          <cell r="BJ215" t="str">
            <v>KV-1</v>
          </cell>
          <cell r="BK215" t="str">
            <v>低</v>
          </cell>
          <cell r="BL215">
            <v>1</v>
          </cell>
          <cell r="BM215">
            <v>1179</v>
          </cell>
          <cell r="BN215">
            <v>267</v>
          </cell>
          <cell r="BO215">
            <v>361</v>
          </cell>
          <cell r="BP215">
            <v>288</v>
          </cell>
          <cell r="BQ215">
            <v>524</v>
          </cell>
          <cell r="BR215">
            <v>124</v>
          </cell>
          <cell r="BS215">
            <v>39.700000000000003</v>
          </cell>
          <cell r="BT215">
            <v>29</v>
          </cell>
          <cell r="BU215">
            <v>7</v>
          </cell>
          <cell r="BV215">
            <v>3.52</v>
          </cell>
          <cell r="BW215">
            <v>0</v>
          </cell>
          <cell r="BX215">
            <v>1.88</v>
          </cell>
          <cell r="BY215">
            <v>2.0299999999999998</v>
          </cell>
        </row>
        <row r="216">
          <cell r="BH216" t="str">
            <v>KV-12</v>
          </cell>
          <cell r="BI216">
            <v>22</v>
          </cell>
          <cell r="BJ216" t="str">
            <v>KV-1</v>
          </cell>
          <cell r="BK216" t="str">
            <v>低</v>
          </cell>
          <cell r="BL216">
            <v>2</v>
          </cell>
          <cell r="BM216">
            <v>1252</v>
          </cell>
          <cell r="BN216">
            <v>277</v>
          </cell>
          <cell r="BO216">
            <v>378</v>
          </cell>
          <cell r="BP216">
            <v>302</v>
          </cell>
          <cell r="BQ216">
            <v>543</v>
          </cell>
          <cell r="BR216">
            <v>131</v>
          </cell>
          <cell r="BS216">
            <v>41</v>
          </cell>
          <cell r="BT216">
            <v>30</v>
          </cell>
          <cell r="BU216">
            <v>7</v>
          </cell>
          <cell r="BV216">
            <v>3.45</v>
          </cell>
          <cell r="BW216">
            <v>0</v>
          </cell>
          <cell r="BX216">
            <v>1.88</v>
          </cell>
          <cell r="BY216">
            <v>1.98</v>
          </cell>
        </row>
        <row r="217">
          <cell r="BH217" t="str">
            <v>KV-13</v>
          </cell>
          <cell r="BI217">
            <v>22</v>
          </cell>
          <cell r="BJ217" t="str">
            <v>KV-1</v>
          </cell>
          <cell r="BK217" t="str">
            <v>低</v>
          </cell>
          <cell r="BL217">
            <v>3</v>
          </cell>
          <cell r="BM217">
            <v>1325</v>
          </cell>
          <cell r="BN217">
            <v>287</v>
          </cell>
          <cell r="BO217">
            <v>396</v>
          </cell>
          <cell r="BP217">
            <v>316</v>
          </cell>
          <cell r="BQ217">
            <v>563</v>
          </cell>
          <cell r="BR217">
            <v>138</v>
          </cell>
          <cell r="BS217">
            <v>42.4</v>
          </cell>
          <cell r="BT217">
            <v>31</v>
          </cell>
          <cell r="BU217">
            <v>7</v>
          </cell>
          <cell r="BV217">
            <v>3.37</v>
          </cell>
          <cell r="BW217">
            <v>0</v>
          </cell>
          <cell r="BX217">
            <v>1.88</v>
          </cell>
          <cell r="BY217">
            <v>1.93</v>
          </cell>
        </row>
        <row r="218">
          <cell r="BH218" t="str">
            <v>KV-14</v>
          </cell>
          <cell r="BI218">
            <v>22</v>
          </cell>
          <cell r="BJ218" t="str">
            <v>KV-1</v>
          </cell>
          <cell r="BK218" t="str">
            <v>低</v>
          </cell>
          <cell r="BL218">
            <v>4</v>
          </cell>
          <cell r="BM218">
            <v>1398</v>
          </cell>
          <cell r="BN218">
            <v>297</v>
          </cell>
          <cell r="BO218">
            <v>413</v>
          </cell>
          <cell r="BP218">
            <v>331</v>
          </cell>
          <cell r="BQ218">
            <v>582</v>
          </cell>
          <cell r="BR218">
            <v>145</v>
          </cell>
          <cell r="BS218">
            <v>43.8</v>
          </cell>
          <cell r="BT218">
            <v>32</v>
          </cell>
          <cell r="BU218">
            <v>7</v>
          </cell>
          <cell r="BV218">
            <v>3.29</v>
          </cell>
          <cell r="BW218">
            <v>0</v>
          </cell>
          <cell r="BX218">
            <v>1.88</v>
          </cell>
          <cell r="BY218">
            <v>1.88</v>
          </cell>
        </row>
        <row r="219">
          <cell r="BH219" t="str">
            <v>KV-15</v>
          </cell>
          <cell r="BI219">
            <v>22</v>
          </cell>
          <cell r="BJ219" t="str">
            <v>KV-1</v>
          </cell>
          <cell r="BK219" t="str">
            <v>低</v>
          </cell>
          <cell r="BL219">
            <v>5</v>
          </cell>
          <cell r="BM219">
            <v>1471</v>
          </cell>
          <cell r="BN219">
            <v>307</v>
          </cell>
          <cell r="BO219">
            <v>431</v>
          </cell>
          <cell r="BP219">
            <v>345</v>
          </cell>
          <cell r="BQ219">
            <v>602</v>
          </cell>
          <cell r="BR219">
            <v>152</v>
          </cell>
          <cell r="BS219">
            <v>45.1</v>
          </cell>
          <cell r="BT219">
            <v>33</v>
          </cell>
          <cell r="BU219">
            <v>7</v>
          </cell>
          <cell r="BV219">
            <v>3.21</v>
          </cell>
          <cell r="BW219">
            <v>0</v>
          </cell>
          <cell r="BX219">
            <v>1.88</v>
          </cell>
          <cell r="BY219">
            <v>1.84</v>
          </cell>
        </row>
        <row r="220">
          <cell r="BH220" t="str">
            <v>KV-16</v>
          </cell>
          <cell r="BI220">
            <v>22</v>
          </cell>
          <cell r="BJ220" t="str">
            <v>KV-1</v>
          </cell>
          <cell r="BK220" t="str">
            <v>低</v>
          </cell>
          <cell r="BL220">
            <v>6</v>
          </cell>
          <cell r="BM220">
            <v>1544</v>
          </cell>
          <cell r="BN220">
            <v>317</v>
          </cell>
          <cell r="BO220">
            <v>448</v>
          </cell>
          <cell r="BP220">
            <v>359</v>
          </cell>
          <cell r="BQ220">
            <v>621</v>
          </cell>
          <cell r="BR220">
            <v>159</v>
          </cell>
          <cell r="BS220">
            <v>46.5</v>
          </cell>
          <cell r="BT220">
            <v>34</v>
          </cell>
          <cell r="BU220">
            <v>7</v>
          </cell>
          <cell r="BV220">
            <v>3.14</v>
          </cell>
          <cell r="BW220">
            <v>0</v>
          </cell>
          <cell r="BX220">
            <v>1.88</v>
          </cell>
          <cell r="BY220">
            <v>1.79</v>
          </cell>
        </row>
        <row r="221">
          <cell r="BH221" t="str">
            <v>KV-17</v>
          </cell>
          <cell r="BI221">
            <v>22</v>
          </cell>
          <cell r="BJ221" t="str">
            <v>KV-1</v>
          </cell>
          <cell r="BK221" t="str">
            <v>低</v>
          </cell>
          <cell r="BL221">
            <v>7</v>
          </cell>
          <cell r="BM221">
            <v>1617</v>
          </cell>
          <cell r="BN221">
            <v>327</v>
          </cell>
          <cell r="BO221">
            <v>466</v>
          </cell>
          <cell r="BP221">
            <v>373</v>
          </cell>
          <cell r="BQ221">
            <v>641</v>
          </cell>
          <cell r="BR221">
            <v>166</v>
          </cell>
          <cell r="BS221">
            <v>47.9</v>
          </cell>
          <cell r="BT221">
            <v>35</v>
          </cell>
          <cell r="BU221">
            <v>7</v>
          </cell>
          <cell r="BV221">
            <v>3.06</v>
          </cell>
          <cell r="BW221">
            <v>0</v>
          </cell>
          <cell r="BX221">
            <v>1.88</v>
          </cell>
          <cell r="BY221">
            <v>1.74</v>
          </cell>
        </row>
        <row r="222">
          <cell r="BH222" t="str">
            <v>丘吉尔0</v>
          </cell>
          <cell r="BI222">
            <v>23</v>
          </cell>
          <cell r="BJ222" t="str">
            <v>丘吉尔</v>
          </cell>
          <cell r="BK222" t="str">
            <v>中</v>
          </cell>
          <cell r="BL222">
            <v>0</v>
          </cell>
          <cell r="BM222">
            <v>1161</v>
          </cell>
          <cell r="BN222">
            <v>444</v>
          </cell>
          <cell r="BO222">
            <v>383</v>
          </cell>
          <cell r="BP222">
            <v>307</v>
          </cell>
          <cell r="BQ222">
            <v>512</v>
          </cell>
          <cell r="BR222">
            <v>119</v>
          </cell>
          <cell r="BS222">
            <v>31.3</v>
          </cell>
          <cell r="BT222">
            <v>31.4</v>
          </cell>
          <cell r="BU222">
            <v>6.4</v>
          </cell>
          <cell r="BV222">
            <v>6</v>
          </cell>
          <cell r="BW222">
            <v>0</v>
          </cell>
          <cell r="BX222">
            <v>0</v>
          </cell>
          <cell r="BY222">
            <v>3</v>
          </cell>
        </row>
        <row r="223">
          <cell r="BH223" t="str">
            <v>丘吉尔1</v>
          </cell>
          <cell r="BI223">
            <v>23</v>
          </cell>
          <cell r="BJ223" t="str">
            <v>丘吉尔</v>
          </cell>
          <cell r="BK223" t="str">
            <v>中</v>
          </cell>
          <cell r="BL223">
            <v>1</v>
          </cell>
          <cell r="BM223">
            <v>1245</v>
          </cell>
          <cell r="BN223">
            <v>463</v>
          </cell>
          <cell r="BO223">
            <v>404</v>
          </cell>
          <cell r="BP223">
            <v>324</v>
          </cell>
          <cell r="BQ223">
            <v>533</v>
          </cell>
          <cell r="BR223">
            <v>127</v>
          </cell>
          <cell r="BS223">
            <v>32.4</v>
          </cell>
          <cell r="BT223">
            <v>32.5</v>
          </cell>
          <cell r="BU223">
            <v>6.4</v>
          </cell>
          <cell r="BV223">
            <v>5.88</v>
          </cell>
          <cell r="BW223">
            <v>0</v>
          </cell>
          <cell r="BX223">
            <v>0</v>
          </cell>
          <cell r="BY223">
            <v>2.93</v>
          </cell>
        </row>
        <row r="224">
          <cell r="BH224" t="str">
            <v>丘吉尔2</v>
          </cell>
          <cell r="BI224">
            <v>23</v>
          </cell>
          <cell r="BJ224" t="str">
            <v>丘吉尔</v>
          </cell>
          <cell r="BK224" t="str">
            <v>中</v>
          </cell>
          <cell r="BL224">
            <v>2</v>
          </cell>
          <cell r="BM224">
            <v>1328</v>
          </cell>
          <cell r="BN224">
            <v>481</v>
          </cell>
          <cell r="BO224">
            <v>425</v>
          </cell>
          <cell r="BP224">
            <v>340</v>
          </cell>
          <cell r="BQ224">
            <v>554</v>
          </cell>
          <cell r="BR224">
            <v>134</v>
          </cell>
          <cell r="BS224">
            <v>33.5</v>
          </cell>
          <cell r="BT224">
            <v>33.6</v>
          </cell>
          <cell r="BU224">
            <v>6.4</v>
          </cell>
          <cell r="BV224">
            <v>5.76</v>
          </cell>
          <cell r="BW224">
            <v>0</v>
          </cell>
          <cell r="BX224">
            <v>0</v>
          </cell>
          <cell r="BY224">
            <v>2.86</v>
          </cell>
        </row>
        <row r="225">
          <cell r="BH225" t="str">
            <v>丘吉尔3</v>
          </cell>
          <cell r="BI225">
            <v>23</v>
          </cell>
          <cell r="BJ225" t="str">
            <v>丘吉尔</v>
          </cell>
          <cell r="BK225" t="str">
            <v>中</v>
          </cell>
          <cell r="BL225">
            <v>3</v>
          </cell>
          <cell r="BM225">
            <v>1412</v>
          </cell>
          <cell r="BN225">
            <v>499</v>
          </cell>
          <cell r="BO225">
            <v>446</v>
          </cell>
          <cell r="BP225">
            <v>357</v>
          </cell>
          <cell r="BQ225">
            <v>575</v>
          </cell>
          <cell r="BR225">
            <v>142</v>
          </cell>
          <cell r="BS225">
            <v>34.700000000000003</v>
          </cell>
          <cell r="BT225">
            <v>34.799999999999997</v>
          </cell>
          <cell r="BU225">
            <v>6.4</v>
          </cell>
          <cell r="BV225">
            <v>5.64</v>
          </cell>
          <cell r="BW225">
            <v>0</v>
          </cell>
          <cell r="BX225">
            <v>0</v>
          </cell>
          <cell r="BY225">
            <v>2.79</v>
          </cell>
        </row>
        <row r="226">
          <cell r="BH226" t="str">
            <v>丘吉尔4</v>
          </cell>
          <cell r="BI226">
            <v>23</v>
          </cell>
          <cell r="BJ226" t="str">
            <v>丘吉尔</v>
          </cell>
          <cell r="BK226" t="str">
            <v>中</v>
          </cell>
          <cell r="BL226">
            <v>4</v>
          </cell>
          <cell r="BM226">
            <v>1495</v>
          </cell>
          <cell r="BN226">
            <v>518</v>
          </cell>
          <cell r="BO226">
            <v>467</v>
          </cell>
          <cell r="BP226">
            <v>374</v>
          </cell>
          <cell r="BQ226">
            <v>596</v>
          </cell>
          <cell r="BR226">
            <v>149</v>
          </cell>
          <cell r="BS226">
            <v>35.799999999999997</v>
          </cell>
          <cell r="BT226">
            <v>35.9</v>
          </cell>
          <cell r="BU226">
            <v>6.4</v>
          </cell>
          <cell r="BV226">
            <v>5.51</v>
          </cell>
          <cell r="BW226">
            <v>0</v>
          </cell>
          <cell r="BX226">
            <v>0</v>
          </cell>
          <cell r="BY226">
            <v>2.71</v>
          </cell>
        </row>
        <row r="227">
          <cell r="BH227" t="str">
            <v>丘吉尔5</v>
          </cell>
          <cell r="BI227">
            <v>23</v>
          </cell>
          <cell r="BJ227" t="str">
            <v>丘吉尔</v>
          </cell>
          <cell r="BK227" t="str">
            <v>中</v>
          </cell>
          <cell r="BL227">
            <v>5</v>
          </cell>
          <cell r="BM227">
            <v>1579</v>
          </cell>
          <cell r="BN227">
            <v>536</v>
          </cell>
          <cell r="BO227">
            <v>487</v>
          </cell>
          <cell r="BP227">
            <v>391</v>
          </cell>
          <cell r="BQ227">
            <v>617</v>
          </cell>
          <cell r="BR227">
            <v>157</v>
          </cell>
          <cell r="BS227">
            <v>36.9</v>
          </cell>
          <cell r="BT227">
            <v>37</v>
          </cell>
          <cell r="BU227">
            <v>6.4</v>
          </cell>
          <cell r="BV227">
            <v>5.39</v>
          </cell>
          <cell r="BW227">
            <v>0</v>
          </cell>
          <cell r="BX227">
            <v>0</v>
          </cell>
          <cell r="BY227">
            <v>2.64</v>
          </cell>
        </row>
        <row r="228">
          <cell r="BH228" t="str">
            <v>丘吉尔6</v>
          </cell>
          <cell r="BI228">
            <v>23</v>
          </cell>
          <cell r="BJ228" t="str">
            <v>丘吉尔</v>
          </cell>
          <cell r="BK228" t="str">
            <v>中</v>
          </cell>
          <cell r="BL228">
            <v>6</v>
          </cell>
          <cell r="BM228">
            <v>1662</v>
          </cell>
          <cell r="BN228">
            <v>554</v>
          </cell>
          <cell r="BO228">
            <v>508</v>
          </cell>
          <cell r="BP228">
            <v>407</v>
          </cell>
          <cell r="BQ228">
            <v>638</v>
          </cell>
          <cell r="BR228">
            <v>164</v>
          </cell>
          <cell r="BS228">
            <v>38</v>
          </cell>
          <cell r="BT228">
            <v>38.1</v>
          </cell>
          <cell r="BU228">
            <v>6.4</v>
          </cell>
          <cell r="BV228">
            <v>5.27</v>
          </cell>
          <cell r="BW228">
            <v>0</v>
          </cell>
          <cell r="BX228">
            <v>0</v>
          </cell>
          <cell r="BY228">
            <v>2.57</v>
          </cell>
        </row>
        <row r="229">
          <cell r="BH229" t="str">
            <v>丘吉尔7</v>
          </cell>
          <cell r="BI229">
            <v>23</v>
          </cell>
          <cell r="BJ229" t="str">
            <v>丘吉尔</v>
          </cell>
          <cell r="BK229" t="str">
            <v>中</v>
          </cell>
          <cell r="BL229">
            <v>7</v>
          </cell>
          <cell r="BM229">
            <v>1746</v>
          </cell>
          <cell r="BN229">
            <v>573</v>
          </cell>
          <cell r="BO229">
            <v>529</v>
          </cell>
          <cell r="BP229">
            <v>424</v>
          </cell>
          <cell r="BQ229">
            <v>660</v>
          </cell>
          <cell r="BR229">
            <v>172</v>
          </cell>
          <cell r="BS229">
            <v>39.1</v>
          </cell>
          <cell r="BT229">
            <v>39.299999999999997</v>
          </cell>
          <cell r="BU229">
            <v>6.4</v>
          </cell>
          <cell r="BV229">
            <v>5.15</v>
          </cell>
          <cell r="BW229">
            <v>0</v>
          </cell>
          <cell r="BX229">
            <v>0</v>
          </cell>
          <cell r="BY229">
            <v>2.5</v>
          </cell>
        </row>
        <row r="230">
          <cell r="BH230" t="str">
            <v>黑豹0</v>
          </cell>
          <cell r="BI230">
            <v>24</v>
          </cell>
          <cell r="BJ230" t="str">
            <v>黑豹</v>
          </cell>
          <cell r="BK230" t="str">
            <v>低</v>
          </cell>
          <cell r="BL230">
            <v>0</v>
          </cell>
          <cell r="BM230">
            <v>1456</v>
          </cell>
          <cell r="BN230">
            <v>521</v>
          </cell>
          <cell r="BO230">
            <v>465</v>
          </cell>
          <cell r="BP230">
            <v>372</v>
          </cell>
          <cell r="BQ230">
            <v>622</v>
          </cell>
          <cell r="BR230">
            <v>145</v>
          </cell>
          <cell r="BS230">
            <v>30.7</v>
          </cell>
          <cell r="BT230">
            <v>33.6</v>
          </cell>
          <cell r="BU230">
            <v>6.3</v>
          </cell>
          <cell r="BV230">
            <v>6</v>
          </cell>
          <cell r="BW230">
            <v>0</v>
          </cell>
          <cell r="BX230">
            <v>0</v>
          </cell>
          <cell r="BY230">
            <v>3</v>
          </cell>
        </row>
        <row r="231">
          <cell r="BH231" t="str">
            <v>黑豹1</v>
          </cell>
          <cell r="BI231">
            <v>24</v>
          </cell>
          <cell r="BJ231" t="str">
            <v>黑豹</v>
          </cell>
          <cell r="BK231" t="str">
            <v>低</v>
          </cell>
          <cell r="BL231">
            <v>1</v>
          </cell>
          <cell r="BM231">
            <v>1532</v>
          </cell>
          <cell r="BN231">
            <v>537</v>
          </cell>
          <cell r="BO231">
            <v>485</v>
          </cell>
          <cell r="BP231">
            <v>388</v>
          </cell>
          <cell r="BQ231">
            <v>641</v>
          </cell>
          <cell r="BR231">
            <v>152</v>
          </cell>
          <cell r="BS231">
            <v>31.6</v>
          </cell>
          <cell r="BT231">
            <v>34.5</v>
          </cell>
          <cell r="BU231">
            <v>6.3</v>
          </cell>
          <cell r="BV231">
            <v>5.91</v>
          </cell>
          <cell r="BW231">
            <v>0</v>
          </cell>
          <cell r="BX231">
            <v>0</v>
          </cell>
          <cell r="BY231">
            <v>2.94</v>
          </cell>
        </row>
        <row r="232">
          <cell r="BH232" t="str">
            <v>黑豹2</v>
          </cell>
          <cell r="BI232">
            <v>24</v>
          </cell>
          <cell r="BJ232" t="str">
            <v>黑豹</v>
          </cell>
          <cell r="BK232" t="str">
            <v>低</v>
          </cell>
          <cell r="BL232">
            <v>2</v>
          </cell>
          <cell r="BM232">
            <v>1609</v>
          </cell>
          <cell r="BN232">
            <v>554</v>
          </cell>
          <cell r="BO232">
            <v>506</v>
          </cell>
          <cell r="BP232">
            <v>404</v>
          </cell>
          <cell r="BQ232">
            <v>661</v>
          </cell>
          <cell r="BR232">
            <v>160</v>
          </cell>
          <cell r="BS232">
            <v>32.4</v>
          </cell>
          <cell r="BT232">
            <v>35.5</v>
          </cell>
          <cell r="BU232">
            <v>6.3</v>
          </cell>
          <cell r="BV232">
            <v>5.81</v>
          </cell>
          <cell r="BW232">
            <v>0</v>
          </cell>
          <cell r="BX232">
            <v>0</v>
          </cell>
          <cell r="BY232">
            <v>2.89</v>
          </cell>
        </row>
        <row r="233">
          <cell r="BH233" t="str">
            <v>黑豹3</v>
          </cell>
          <cell r="BI233">
            <v>24</v>
          </cell>
          <cell r="BJ233" t="str">
            <v>黑豹</v>
          </cell>
          <cell r="BK233" t="str">
            <v>低</v>
          </cell>
          <cell r="BL233">
            <v>3</v>
          </cell>
          <cell r="BM233">
            <v>1686</v>
          </cell>
          <cell r="BN233">
            <v>570</v>
          </cell>
          <cell r="BO233">
            <v>526</v>
          </cell>
          <cell r="BP233">
            <v>421</v>
          </cell>
          <cell r="BQ233">
            <v>680</v>
          </cell>
          <cell r="BR233">
            <v>167</v>
          </cell>
          <cell r="BS233">
            <v>33.299999999999997</v>
          </cell>
          <cell r="BT233">
            <v>36.4</v>
          </cell>
          <cell r="BU233">
            <v>6.3</v>
          </cell>
          <cell r="BV233">
            <v>5.72</v>
          </cell>
          <cell r="BW233">
            <v>0</v>
          </cell>
          <cell r="BX233">
            <v>0</v>
          </cell>
          <cell r="BY233">
            <v>2.83</v>
          </cell>
        </row>
        <row r="234">
          <cell r="BH234" t="str">
            <v>黑豹4</v>
          </cell>
          <cell r="BI234">
            <v>24</v>
          </cell>
          <cell r="BJ234" t="str">
            <v>黑豹</v>
          </cell>
          <cell r="BK234" t="str">
            <v>低</v>
          </cell>
          <cell r="BL234">
            <v>4</v>
          </cell>
          <cell r="BM234">
            <v>1763</v>
          </cell>
          <cell r="BN234">
            <v>586</v>
          </cell>
          <cell r="BO234">
            <v>546</v>
          </cell>
          <cell r="BP234">
            <v>437</v>
          </cell>
          <cell r="BQ234">
            <v>699</v>
          </cell>
          <cell r="BR234">
            <v>175</v>
          </cell>
          <cell r="BS234">
            <v>34.1</v>
          </cell>
          <cell r="BT234">
            <v>37.299999999999997</v>
          </cell>
          <cell r="BU234">
            <v>6.3</v>
          </cell>
          <cell r="BV234">
            <v>5.62</v>
          </cell>
          <cell r="BW234">
            <v>0</v>
          </cell>
          <cell r="BX234">
            <v>0</v>
          </cell>
          <cell r="BY234">
            <v>2.78</v>
          </cell>
        </row>
        <row r="235">
          <cell r="BH235" t="str">
            <v>黑豹5</v>
          </cell>
          <cell r="BI235">
            <v>24</v>
          </cell>
          <cell r="BJ235" t="str">
            <v>黑豹</v>
          </cell>
          <cell r="BK235" t="str">
            <v>低</v>
          </cell>
          <cell r="BL235">
            <v>5</v>
          </cell>
          <cell r="BM235">
            <v>1840</v>
          </cell>
          <cell r="BN235">
            <v>602</v>
          </cell>
          <cell r="BO235">
            <v>566</v>
          </cell>
          <cell r="BP235">
            <v>453</v>
          </cell>
          <cell r="BQ235">
            <v>718</v>
          </cell>
          <cell r="BR235">
            <v>182</v>
          </cell>
          <cell r="BS235">
            <v>35</v>
          </cell>
          <cell r="BT235">
            <v>38.299999999999997</v>
          </cell>
          <cell r="BU235">
            <v>6.3</v>
          </cell>
          <cell r="BV235">
            <v>5.53</v>
          </cell>
          <cell r="BW235">
            <v>0</v>
          </cell>
          <cell r="BX235">
            <v>0</v>
          </cell>
          <cell r="BY235">
            <v>2.72</v>
          </cell>
        </row>
        <row r="236">
          <cell r="BH236" t="str">
            <v>黑豹6</v>
          </cell>
          <cell r="BI236">
            <v>24</v>
          </cell>
          <cell r="BJ236" t="str">
            <v>黑豹</v>
          </cell>
          <cell r="BK236" t="str">
            <v>低</v>
          </cell>
          <cell r="BL236">
            <v>6</v>
          </cell>
          <cell r="BM236">
            <v>1916</v>
          </cell>
          <cell r="BN236">
            <v>619</v>
          </cell>
          <cell r="BO236">
            <v>587</v>
          </cell>
          <cell r="BP236">
            <v>469</v>
          </cell>
          <cell r="BQ236">
            <v>738</v>
          </cell>
          <cell r="BR236">
            <v>190</v>
          </cell>
          <cell r="BS236">
            <v>35.799999999999997</v>
          </cell>
          <cell r="BT236">
            <v>39.200000000000003</v>
          </cell>
          <cell r="BU236">
            <v>6.3</v>
          </cell>
          <cell r="BV236">
            <v>5.43</v>
          </cell>
          <cell r="BW236">
            <v>0</v>
          </cell>
          <cell r="BX236">
            <v>0</v>
          </cell>
          <cell r="BY236">
            <v>2.67</v>
          </cell>
        </row>
        <row r="237">
          <cell r="BH237" t="str">
            <v>黑豹7</v>
          </cell>
          <cell r="BI237">
            <v>24</v>
          </cell>
          <cell r="BJ237" t="str">
            <v>黑豹</v>
          </cell>
          <cell r="BK237" t="str">
            <v>低</v>
          </cell>
          <cell r="BL237">
            <v>7</v>
          </cell>
          <cell r="BM237">
            <v>1993</v>
          </cell>
          <cell r="BN237">
            <v>635</v>
          </cell>
          <cell r="BO237">
            <v>607</v>
          </cell>
          <cell r="BP237">
            <v>486</v>
          </cell>
          <cell r="BQ237">
            <v>757</v>
          </cell>
          <cell r="BR237">
            <v>197</v>
          </cell>
          <cell r="BS237">
            <v>36.700000000000003</v>
          </cell>
          <cell r="BT237">
            <v>40.1</v>
          </cell>
          <cell r="BU237">
            <v>6.3</v>
          </cell>
          <cell r="BV237">
            <v>5.34</v>
          </cell>
          <cell r="BW237">
            <v>0</v>
          </cell>
          <cell r="BX237">
            <v>0</v>
          </cell>
          <cell r="BY237">
            <v>2.61</v>
          </cell>
        </row>
        <row r="238">
          <cell r="BH238" t="str">
            <v>黑豹8</v>
          </cell>
          <cell r="BI238">
            <v>24</v>
          </cell>
          <cell r="BJ238" t="str">
            <v>黑豹</v>
          </cell>
          <cell r="BK238" t="str">
            <v>低</v>
          </cell>
          <cell r="BL238">
            <v>8</v>
          </cell>
          <cell r="BM238">
            <v>2070</v>
          </cell>
          <cell r="BN238">
            <v>651</v>
          </cell>
          <cell r="BO238">
            <v>627</v>
          </cell>
          <cell r="BP238">
            <v>502</v>
          </cell>
          <cell r="BQ238">
            <v>776</v>
          </cell>
          <cell r="BR238">
            <v>205</v>
          </cell>
          <cell r="BS238">
            <v>37.5</v>
          </cell>
          <cell r="BT238">
            <v>41.1</v>
          </cell>
          <cell r="BU238">
            <v>6.3</v>
          </cell>
          <cell r="BV238">
            <v>5.24</v>
          </cell>
          <cell r="BW238">
            <v>0</v>
          </cell>
          <cell r="BX238">
            <v>0</v>
          </cell>
          <cell r="BY238">
            <v>2.56</v>
          </cell>
        </row>
        <row r="239">
          <cell r="BH239" t="str">
            <v>黑豹9</v>
          </cell>
          <cell r="BI239">
            <v>24</v>
          </cell>
          <cell r="BJ239" t="str">
            <v>黑豹</v>
          </cell>
          <cell r="BK239" t="str">
            <v>低</v>
          </cell>
          <cell r="BL239">
            <v>9</v>
          </cell>
          <cell r="BM239">
            <v>2147</v>
          </cell>
          <cell r="BN239">
            <v>667</v>
          </cell>
          <cell r="BO239">
            <v>647</v>
          </cell>
          <cell r="BP239">
            <v>518</v>
          </cell>
          <cell r="BQ239">
            <v>795</v>
          </cell>
          <cell r="BR239">
            <v>212</v>
          </cell>
          <cell r="BS239">
            <v>38.4</v>
          </cell>
          <cell r="BT239">
            <v>42</v>
          </cell>
          <cell r="BU239">
            <v>6.3</v>
          </cell>
          <cell r="BV239">
            <v>5.15</v>
          </cell>
          <cell r="BW239">
            <v>0</v>
          </cell>
          <cell r="BX239">
            <v>0</v>
          </cell>
          <cell r="BY239">
            <v>2.5</v>
          </cell>
        </row>
        <row r="240">
          <cell r="BH240" t="str">
            <v>虎式0</v>
          </cell>
          <cell r="BI240">
            <v>25</v>
          </cell>
          <cell r="BJ240" t="str">
            <v>虎式</v>
          </cell>
          <cell r="BK240" t="str">
            <v>中</v>
          </cell>
          <cell r="BL240">
            <v>0</v>
          </cell>
          <cell r="BM240">
            <v>1455</v>
          </cell>
          <cell r="BN240">
            <v>565</v>
          </cell>
          <cell r="BO240">
            <v>484</v>
          </cell>
          <cell r="BP240">
            <v>387</v>
          </cell>
          <cell r="BQ240">
            <v>647</v>
          </cell>
          <cell r="BR240">
            <v>151</v>
          </cell>
          <cell r="BS240">
            <v>31.3</v>
          </cell>
          <cell r="BT240">
            <v>35.700000000000003</v>
          </cell>
          <cell r="BU240">
            <v>6.4</v>
          </cell>
          <cell r="BV240">
            <v>6</v>
          </cell>
          <cell r="BW240">
            <v>0</v>
          </cell>
          <cell r="BX240">
            <v>0</v>
          </cell>
          <cell r="BY240">
            <v>3</v>
          </cell>
        </row>
        <row r="241">
          <cell r="BH241" t="str">
            <v>虎式1</v>
          </cell>
          <cell r="BI241">
            <v>25</v>
          </cell>
          <cell r="BJ241" t="str">
            <v>虎式</v>
          </cell>
          <cell r="BK241" t="str">
            <v>中</v>
          </cell>
          <cell r="BL241">
            <v>1</v>
          </cell>
          <cell r="BM241">
            <v>1538</v>
          </cell>
          <cell r="BN241">
            <v>584</v>
          </cell>
          <cell r="BO241">
            <v>506</v>
          </cell>
          <cell r="BP241">
            <v>404</v>
          </cell>
          <cell r="BQ241">
            <v>668</v>
          </cell>
          <cell r="BR241">
            <v>159</v>
          </cell>
          <cell r="BS241">
            <v>32.200000000000003</v>
          </cell>
          <cell r="BT241">
            <v>36.700000000000003</v>
          </cell>
          <cell r="BU241">
            <v>6.4</v>
          </cell>
          <cell r="BV241">
            <v>5.91</v>
          </cell>
          <cell r="BW241">
            <v>0</v>
          </cell>
          <cell r="BX241">
            <v>0</v>
          </cell>
          <cell r="BY241">
            <v>2.94</v>
          </cell>
        </row>
        <row r="242">
          <cell r="BH242" t="str">
            <v>虎式2</v>
          </cell>
          <cell r="BI242">
            <v>25</v>
          </cell>
          <cell r="BJ242" t="str">
            <v>虎式</v>
          </cell>
          <cell r="BK242" t="str">
            <v>中</v>
          </cell>
          <cell r="BL242">
            <v>2</v>
          </cell>
          <cell r="BM242">
            <v>1620</v>
          </cell>
          <cell r="BN242">
            <v>602</v>
          </cell>
          <cell r="BO242">
            <v>527</v>
          </cell>
          <cell r="BP242">
            <v>422</v>
          </cell>
          <cell r="BQ242">
            <v>688</v>
          </cell>
          <cell r="BR242">
            <v>167</v>
          </cell>
          <cell r="BS242">
            <v>33</v>
          </cell>
          <cell r="BT242">
            <v>37.700000000000003</v>
          </cell>
          <cell r="BU242">
            <v>6.4</v>
          </cell>
          <cell r="BV242">
            <v>5.81</v>
          </cell>
          <cell r="BW242">
            <v>0</v>
          </cell>
          <cell r="BX242">
            <v>0</v>
          </cell>
          <cell r="BY242">
            <v>2.89</v>
          </cell>
        </row>
        <row r="243">
          <cell r="BH243" t="str">
            <v>虎式3</v>
          </cell>
          <cell r="BI243">
            <v>25</v>
          </cell>
          <cell r="BJ243" t="str">
            <v>虎式</v>
          </cell>
          <cell r="BK243" t="str">
            <v>中</v>
          </cell>
          <cell r="BL243">
            <v>3</v>
          </cell>
          <cell r="BM243">
            <v>1703</v>
          </cell>
          <cell r="BN243">
            <v>620</v>
          </cell>
          <cell r="BO243">
            <v>549</v>
          </cell>
          <cell r="BP243">
            <v>439</v>
          </cell>
          <cell r="BQ243">
            <v>709</v>
          </cell>
          <cell r="BR243">
            <v>175</v>
          </cell>
          <cell r="BS243">
            <v>33.9</v>
          </cell>
          <cell r="BT243">
            <v>38.700000000000003</v>
          </cell>
          <cell r="BU243">
            <v>6.4</v>
          </cell>
          <cell r="BV243">
            <v>5.72</v>
          </cell>
          <cell r="BW243">
            <v>0</v>
          </cell>
          <cell r="BX243">
            <v>0</v>
          </cell>
          <cell r="BY243">
            <v>2.83</v>
          </cell>
        </row>
        <row r="244">
          <cell r="BH244" t="str">
            <v>虎式4</v>
          </cell>
          <cell r="BI244">
            <v>25</v>
          </cell>
          <cell r="BJ244" t="str">
            <v>虎式</v>
          </cell>
          <cell r="BK244" t="str">
            <v>中</v>
          </cell>
          <cell r="BL244">
            <v>4</v>
          </cell>
          <cell r="BM244">
            <v>1785</v>
          </cell>
          <cell r="BN244">
            <v>638</v>
          </cell>
          <cell r="BO244">
            <v>571</v>
          </cell>
          <cell r="BP244">
            <v>456</v>
          </cell>
          <cell r="BQ244">
            <v>730</v>
          </cell>
          <cell r="BR244">
            <v>183</v>
          </cell>
          <cell r="BS244">
            <v>34.799999999999997</v>
          </cell>
          <cell r="BT244">
            <v>39.700000000000003</v>
          </cell>
          <cell r="BU244">
            <v>6.4</v>
          </cell>
          <cell r="BV244">
            <v>5.62</v>
          </cell>
          <cell r="BW244">
            <v>0</v>
          </cell>
          <cell r="BX244">
            <v>0</v>
          </cell>
          <cell r="BY244">
            <v>2.78</v>
          </cell>
        </row>
        <row r="245">
          <cell r="BH245" t="str">
            <v>虎式5</v>
          </cell>
          <cell r="BI245">
            <v>25</v>
          </cell>
          <cell r="BJ245" t="str">
            <v>虎式</v>
          </cell>
          <cell r="BK245" t="str">
            <v>中</v>
          </cell>
          <cell r="BL245">
            <v>5</v>
          </cell>
          <cell r="BM245">
            <v>1868</v>
          </cell>
          <cell r="BN245">
            <v>656</v>
          </cell>
          <cell r="BO245">
            <v>593</v>
          </cell>
          <cell r="BP245">
            <v>474</v>
          </cell>
          <cell r="BQ245">
            <v>751</v>
          </cell>
          <cell r="BR245">
            <v>191</v>
          </cell>
          <cell r="BS245">
            <v>35.6</v>
          </cell>
          <cell r="BT245">
            <v>40.700000000000003</v>
          </cell>
          <cell r="BU245">
            <v>6.4</v>
          </cell>
          <cell r="BV245">
            <v>5.53</v>
          </cell>
          <cell r="BW245">
            <v>0</v>
          </cell>
          <cell r="BX245">
            <v>0</v>
          </cell>
          <cell r="BY245">
            <v>2.72</v>
          </cell>
        </row>
        <row r="246">
          <cell r="BH246" t="str">
            <v>虎式6</v>
          </cell>
          <cell r="BI246">
            <v>25</v>
          </cell>
          <cell r="BJ246" t="str">
            <v>虎式</v>
          </cell>
          <cell r="BK246" t="str">
            <v>中</v>
          </cell>
          <cell r="BL246">
            <v>6</v>
          </cell>
          <cell r="BM246">
            <v>1950</v>
          </cell>
          <cell r="BN246">
            <v>674</v>
          </cell>
          <cell r="BO246">
            <v>614</v>
          </cell>
          <cell r="BP246">
            <v>491</v>
          </cell>
          <cell r="BQ246">
            <v>771</v>
          </cell>
          <cell r="BR246">
            <v>199</v>
          </cell>
          <cell r="BS246">
            <v>36.5</v>
          </cell>
          <cell r="BT246">
            <v>41.7</v>
          </cell>
          <cell r="BU246">
            <v>6.4</v>
          </cell>
          <cell r="BV246">
            <v>5.43</v>
          </cell>
          <cell r="BW246">
            <v>0</v>
          </cell>
          <cell r="BX246">
            <v>0</v>
          </cell>
          <cell r="BY246">
            <v>2.67</v>
          </cell>
        </row>
        <row r="247">
          <cell r="BH247" t="str">
            <v>虎式7</v>
          </cell>
          <cell r="BI247">
            <v>25</v>
          </cell>
          <cell r="BJ247" t="str">
            <v>虎式</v>
          </cell>
          <cell r="BK247" t="str">
            <v>中</v>
          </cell>
          <cell r="BL247">
            <v>7</v>
          </cell>
          <cell r="BM247">
            <v>2033</v>
          </cell>
          <cell r="BN247">
            <v>692</v>
          </cell>
          <cell r="BO247">
            <v>636</v>
          </cell>
          <cell r="BP247">
            <v>509</v>
          </cell>
          <cell r="BQ247">
            <v>792</v>
          </cell>
          <cell r="BR247">
            <v>207</v>
          </cell>
          <cell r="BS247">
            <v>37.4</v>
          </cell>
          <cell r="BT247">
            <v>42.6</v>
          </cell>
          <cell r="BU247">
            <v>6.4</v>
          </cell>
          <cell r="BV247">
            <v>5.34</v>
          </cell>
          <cell r="BW247">
            <v>0</v>
          </cell>
          <cell r="BX247">
            <v>0</v>
          </cell>
          <cell r="BY247">
            <v>2.61</v>
          </cell>
        </row>
        <row r="248">
          <cell r="BH248" t="str">
            <v>虎式8</v>
          </cell>
          <cell r="BI248">
            <v>25</v>
          </cell>
          <cell r="BJ248" t="str">
            <v>虎式</v>
          </cell>
          <cell r="BK248" t="str">
            <v>中</v>
          </cell>
          <cell r="BL248">
            <v>8</v>
          </cell>
          <cell r="BM248">
            <v>2115</v>
          </cell>
          <cell r="BN248">
            <v>710</v>
          </cell>
          <cell r="BO248">
            <v>658</v>
          </cell>
          <cell r="BP248">
            <v>526</v>
          </cell>
          <cell r="BQ248">
            <v>813</v>
          </cell>
          <cell r="BR248">
            <v>215</v>
          </cell>
          <cell r="BS248">
            <v>38.299999999999997</v>
          </cell>
          <cell r="BT248">
            <v>43.6</v>
          </cell>
          <cell r="BU248">
            <v>6.4</v>
          </cell>
          <cell r="BV248">
            <v>5.24</v>
          </cell>
          <cell r="BW248">
            <v>0</v>
          </cell>
          <cell r="BX248">
            <v>0</v>
          </cell>
          <cell r="BY248">
            <v>2.56</v>
          </cell>
        </row>
        <row r="249">
          <cell r="BH249" t="str">
            <v>虎式9</v>
          </cell>
          <cell r="BI249">
            <v>25</v>
          </cell>
          <cell r="BJ249" t="str">
            <v>虎式</v>
          </cell>
          <cell r="BK249" t="str">
            <v>中</v>
          </cell>
          <cell r="BL249">
            <v>9</v>
          </cell>
          <cell r="BM249">
            <v>2198</v>
          </cell>
          <cell r="BN249">
            <v>728</v>
          </cell>
          <cell r="BO249">
            <v>680</v>
          </cell>
          <cell r="BP249">
            <v>543</v>
          </cell>
          <cell r="BQ249">
            <v>834</v>
          </cell>
          <cell r="BR249">
            <v>223</v>
          </cell>
          <cell r="BS249">
            <v>39.1</v>
          </cell>
          <cell r="BT249">
            <v>44.6</v>
          </cell>
          <cell r="BU249">
            <v>6.4</v>
          </cell>
          <cell r="BV249">
            <v>5.15</v>
          </cell>
          <cell r="BW249">
            <v>0</v>
          </cell>
          <cell r="BX249">
            <v>0</v>
          </cell>
          <cell r="BY249">
            <v>2.5</v>
          </cell>
        </row>
        <row r="250">
          <cell r="BH250" t="str">
            <v>KV-20</v>
          </cell>
          <cell r="BI250">
            <v>26</v>
          </cell>
          <cell r="BJ250" t="str">
            <v>KV-2</v>
          </cell>
          <cell r="BK250" t="str">
            <v>高</v>
          </cell>
          <cell r="BL250">
            <v>0</v>
          </cell>
          <cell r="BM250">
            <v>1483</v>
          </cell>
          <cell r="BN250">
            <v>387</v>
          </cell>
          <cell r="BO250">
            <v>440</v>
          </cell>
          <cell r="BP250">
            <v>352</v>
          </cell>
          <cell r="BQ250">
            <v>647</v>
          </cell>
          <cell r="BR250">
            <v>151</v>
          </cell>
          <cell r="BS250">
            <v>40.299999999999997</v>
          </cell>
          <cell r="BT250">
            <v>29.4</v>
          </cell>
          <cell r="BU250">
            <v>7.4</v>
          </cell>
          <cell r="BV250">
            <v>4.05</v>
          </cell>
          <cell r="BW250">
            <v>0</v>
          </cell>
          <cell r="BX250">
            <v>2</v>
          </cell>
          <cell r="BY250">
            <v>2.25</v>
          </cell>
        </row>
        <row r="251">
          <cell r="BH251" t="str">
            <v>KV-21</v>
          </cell>
          <cell r="BI251">
            <v>26</v>
          </cell>
          <cell r="BJ251" t="str">
            <v>KV-2</v>
          </cell>
          <cell r="BK251" t="str">
            <v>高</v>
          </cell>
          <cell r="BL251">
            <v>1</v>
          </cell>
          <cell r="BM251">
            <v>1567</v>
          </cell>
          <cell r="BN251">
            <v>400</v>
          </cell>
          <cell r="BO251">
            <v>461</v>
          </cell>
          <cell r="BP251">
            <v>369</v>
          </cell>
          <cell r="BQ251">
            <v>669</v>
          </cell>
          <cell r="BR251">
            <v>160</v>
          </cell>
          <cell r="BS251">
            <v>41.4</v>
          </cell>
          <cell r="BT251">
            <v>30.2</v>
          </cell>
          <cell r="BU251">
            <v>7.4</v>
          </cell>
          <cell r="BV251">
            <v>3.98</v>
          </cell>
          <cell r="BW251">
            <v>0</v>
          </cell>
          <cell r="BX251">
            <v>2</v>
          </cell>
          <cell r="BY251">
            <v>2.21</v>
          </cell>
        </row>
        <row r="252">
          <cell r="BH252" t="str">
            <v>KV-22</v>
          </cell>
          <cell r="BI252">
            <v>26</v>
          </cell>
          <cell r="BJ252" t="str">
            <v>KV-2</v>
          </cell>
          <cell r="BK252" t="str">
            <v>高</v>
          </cell>
          <cell r="BL252">
            <v>2</v>
          </cell>
          <cell r="BM252">
            <v>1651</v>
          </cell>
          <cell r="BN252">
            <v>413</v>
          </cell>
          <cell r="BO252">
            <v>482</v>
          </cell>
          <cell r="BP252">
            <v>386</v>
          </cell>
          <cell r="BQ252">
            <v>691</v>
          </cell>
          <cell r="BR252">
            <v>168</v>
          </cell>
          <cell r="BS252">
            <v>42.5</v>
          </cell>
          <cell r="BT252">
            <v>31</v>
          </cell>
          <cell r="BU252">
            <v>7.4</v>
          </cell>
          <cell r="BV252">
            <v>3.92</v>
          </cell>
          <cell r="BW252">
            <v>0</v>
          </cell>
          <cell r="BX252">
            <v>2</v>
          </cell>
          <cell r="BY252">
            <v>2.17</v>
          </cell>
        </row>
        <row r="253">
          <cell r="BH253" t="str">
            <v>KV-23</v>
          </cell>
          <cell r="BI253">
            <v>26</v>
          </cell>
          <cell r="BJ253" t="str">
            <v>KV-2</v>
          </cell>
          <cell r="BK253" t="str">
            <v>高</v>
          </cell>
          <cell r="BL253">
            <v>3</v>
          </cell>
          <cell r="BM253">
            <v>1735</v>
          </cell>
          <cell r="BN253">
            <v>426</v>
          </cell>
          <cell r="BO253">
            <v>503</v>
          </cell>
          <cell r="BP253">
            <v>403</v>
          </cell>
          <cell r="BQ253">
            <v>713</v>
          </cell>
          <cell r="BR253">
            <v>177</v>
          </cell>
          <cell r="BS253">
            <v>43.7</v>
          </cell>
          <cell r="BT253">
            <v>31.9</v>
          </cell>
          <cell r="BU253">
            <v>7.4</v>
          </cell>
          <cell r="BV253">
            <v>3.85</v>
          </cell>
          <cell r="BW253">
            <v>0</v>
          </cell>
          <cell r="BX253">
            <v>2</v>
          </cell>
          <cell r="BY253">
            <v>2.13</v>
          </cell>
        </row>
        <row r="254">
          <cell r="BH254" t="str">
            <v>KV-24</v>
          </cell>
          <cell r="BI254">
            <v>26</v>
          </cell>
          <cell r="BJ254" t="str">
            <v>KV-2</v>
          </cell>
          <cell r="BK254" t="str">
            <v>高</v>
          </cell>
          <cell r="BL254">
            <v>4</v>
          </cell>
          <cell r="BM254">
            <v>1819</v>
          </cell>
          <cell r="BN254">
            <v>440</v>
          </cell>
          <cell r="BO254">
            <v>524</v>
          </cell>
          <cell r="BP254">
            <v>420</v>
          </cell>
          <cell r="BQ254">
            <v>736</v>
          </cell>
          <cell r="BR254">
            <v>185</v>
          </cell>
          <cell r="BS254">
            <v>44.8</v>
          </cell>
          <cell r="BT254">
            <v>32.700000000000003</v>
          </cell>
          <cell r="BU254">
            <v>7.4</v>
          </cell>
          <cell r="BV254">
            <v>3.79</v>
          </cell>
          <cell r="BW254">
            <v>0</v>
          </cell>
          <cell r="BX254">
            <v>2</v>
          </cell>
          <cell r="BY254">
            <v>2.08</v>
          </cell>
        </row>
        <row r="255">
          <cell r="BH255" t="str">
            <v>KV-25</v>
          </cell>
          <cell r="BI255">
            <v>26</v>
          </cell>
          <cell r="BJ255" t="str">
            <v>KV-2</v>
          </cell>
          <cell r="BK255" t="str">
            <v>高</v>
          </cell>
          <cell r="BL255">
            <v>5</v>
          </cell>
          <cell r="BM255">
            <v>1903</v>
          </cell>
          <cell r="BN255">
            <v>453</v>
          </cell>
          <cell r="BO255">
            <v>545</v>
          </cell>
          <cell r="BP255">
            <v>436</v>
          </cell>
          <cell r="BQ255">
            <v>758</v>
          </cell>
          <cell r="BR255">
            <v>194</v>
          </cell>
          <cell r="BS255">
            <v>45.9</v>
          </cell>
          <cell r="BT255">
            <v>33.5</v>
          </cell>
          <cell r="BU255">
            <v>7.4</v>
          </cell>
          <cell r="BV255">
            <v>3.72</v>
          </cell>
          <cell r="BW255">
            <v>0</v>
          </cell>
          <cell r="BX255">
            <v>2</v>
          </cell>
          <cell r="BY255">
            <v>2.04</v>
          </cell>
        </row>
        <row r="256">
          <cell r="BH256" t="str">
            <v>KV-26</v>
          </cell>
          <cell r="BI256">
            <v>26</v>
          </cell>
          <cell r="BJ256" t="str">
            <v>KV-2</v>
          </cell>
          <cell r="BK256" t="str">
            <v>高</v>
          </cell>
          <cell r="BL256">
            <v>6</v>
          </cell>
          <cell r="BM256">
            <v>1987</v>
          </cell>
          <cell r="BN256">
            <v>466</v>
          </cell>
          <cell r="BO256">
            <v>567</v>
          </cell>
          <cell r="BP256">
            <v>453</v>
          </cell>
          <cell r="BQ256">
            <v>780</v>
          </cell>
          <cell r="BR256">
            <v>202</v>
          </cell>
          <cell r="BS256">
            <v>47</v>
          </cell>
          <cell r="BT256">
            <v>34.299999999999997</v>
          </cell>
          <cell r="BU256">
            <v>7.4</v>
          </cell>
          <cell r="BV256">
            <v>3.66</v>
          </cell>
          <cell r="BW256">
            <v>0</v>
          </cell>
          <cell r="BX256">
            <v>2</v>
          </cell>
          <cell r="BY256">
            <v>2</v>
          </cell>
        </row>
        <row r="257">
          <cell r="BH257" t="str">
            <v>KV-27</v>
          </cell>
          <cell r="BI257">
            <v>26</v>
          </cell>
          <cell r="BJ257" t="str">
            <v>KV-2</v>
          </cell>
          <cell r="BK257" t="str">
            <v>高</v>
          </cell>
          <cell r="BL257">
            <v>7</v>
          </cell>
          <cell r="BM257">
            <v>2071</v>
          </cell>
          <cell r="BN257">
            <v>479</v>
          </cell>
          <cell r="BO257">
            <v>588</v>
          </cell>
          <cell r="BP257">
            <v>470</v>
          </cell>
          <cell r="BQ257">
            <v>802</v>
          </cell>
          <cell r="BR257">
            <v>211</v>
          </cell>
          <cell r="BS257">
            <v>48.1</v>
          </cell>
          <cell r="BT257">
            <v>35.1</v>
          </cell>
          <cell r="BU257">
            <v>7.4</v>
          </cell>
          <cell r="BV257">
            <v>3.59</v>
          </cell>
          <cell r="BW257">
            <v>0</v>
          </cell>
          <cell r="BX257">
            <v>2</v>
          </cell>
          <cell r="BY257">
            <v>1.96</v>
          </cell>
        </row>
        <row r="258">
          <cell r="BH258" t="str">
            <v>KV-28</v>
          </cell>
          <cell r="BI258">
            <v>26</v>
          </cell>
          <cell r="BJ258" t="str">
            <v>KV-2</v>
          </cell>
          <cell r="BK258" t="str">
            <v>高</v>
          </cell>
          <cell r="BL258">
            <v>8</v>
          </cell>
          <cell r="BM258">
            <v>2155</v>
          </cell>
          <cell r="BN258">
            <v>493</v>
          </cell>
          <cell r="BO258">
            <v>609</v>
          </cell>
          <cell r="BP258">
            <v>487</v>
          </cell>
          <cell r="BQ258">
            <v>824</v>
          </cell>
          <cell r="BR258">
            <v>219</v>
          </cell>
          <cell r="BS258">
            <v>49.3</v>
          </cell>
          <cell r="BT258">
            <v>35.9</v>
          </cell>
          <cell r="BU258">
            <v>7.4</v>
          </cell>
          <cell r="BV258">
            <v>3.53</v>
          </cell>
          <cell r="BW258">
            <v>0</v>
          </cell>
          <cell r="BX258">
            <v>2</v>
          </cell>
          <cell r="BY258">
            <v>1.92</v>
          </cell>
        </row>
        <row r="259">
          <cell r="BH259" t="str">
            <v>KV-29</v>
          </cell>
          <cell r="BI259">
            <v>26</v>
          </cell>
          <cell r="BJ259" t="str">
            <v>KV-2</v>
          </cell>
          <cell r="BK259" t="str">
            <v>高</v>
          </cell>
          <cell r="BL259">
            <v>9</v>
          </cell>
          <cell r="BM259">
            <v>2239</v>
          </cell>
          <cell r="BN259">
            <v>506</v>
          </cell>
          <cell r="BO259">
            <v>630</v>
          </cell>
          <cell r="BP259">
            <v>504</v>
          </cell>
          <cell r="BQ259">
            <v>846</v>
          </cell>
          <cell r="BR259">
            <v>228</v>
          </cell>
          <cell r="BS259">
            <v>50.4</v>
          </cell>
          <cell r="BT259">
            <v>36.799999999999997</v>
          </cell>
          <cell r="BU259">
            <v>7.4</v>
          </cell>
          <cell r="BV259">
            <v>3.46</v>
          </cell>
          <cell r="BW259">
            <v>0</v>
          </cell>
          <cell r="BX259">
            <v>2</v>
          </cell>
          <cell r="BY259">
            <v>1.88</v>
          </cell>
        </row>
        <row r="260">
          <cell r="BH260" t="str">
            <v>征服者0</v>
          </cell>
          <cell r="BI260">
            <v>27</v>
          </cell>
          <cell r="BJ260" t="str">
            <v>征服者</v>
          </cell>
          <cell r="BK260" t="str">
            <v>低</v>
          </cell>
          <cell r="BL260">
            <v>0</v>
          </cell>
          <cell r="BM260">
            <v>2022</v>
          </cell>
          <cell r="BN260">
            <v>632</v>
          </cell>
          <cell r="BO260">
            <v>603</v>
          </cell>
          <cell r="BP260">
            <v>483</v>
          </cell>
          <cell r="BQ260">
            <v>806</v>
          </cell>
          <cell r="BR260">
            <v>188</v>
          </cell>
          <cell r="BS260">
            <v>30.7</v>
          </cell>
          <cell r="BT260">
            <v>35</v>
          </cell>
          <cell r="BU260">
            <v>6.3</v>
          </cell>
          <cell r="BV260">
            <v>6</v>
          </cell>
          <cell r="BW260">
            <v>0</v>
          </cell>
          <cell r="BX260">
            <v>0</v>
          </cell>
          <cell r="BY260">
            <v>3</v>
          </cell>
        </row>
        <row r="261">
          <cell r="BH261" t="str">
            <v>征服者1</v>
          </cell>
          <cell r="BI261">
            <v>27</v>
          </cell>
          <cell r="BJ261" t="str">
            <v>征服者</v>
          </cell>
          <cell r="BK261" t="str">
            <v>低</v>
          </cell>
          <cell r="BL261">
            <v>1</v>
          </cell>
          <cell r="BM261">
            <v>2106</v>
          </cell>
          <cell r="BN261">
            <v>647</v>
          </cell>
          <cell r="BO261">
            <v>624</v>
          </cell>
          <cell r="BP261">
            <v>500</v>
          </cell>
          <cell r="BQ261">
            <v>825</v>
          </cell>
          <cell r="BR261">
            <v>196</v>
          </cell>
          <cell r="BS261">
            <v>31.4</v>
          </cell>
          <cell r="BT261">
            <v>35.799999999999997</v>
          </cell>
          <cell r="BU261">
            <v>6.3</v>
          </cell>
          <cell r="BV261">
            <v>5.92</v>
          </cell>
          <cell r="BW261">
            <v>0</v>
          </cell>
          <cell r="BX261">
            <v>0</v>
          </cell>
          <cell r="BY261">
            <v>2.95</v>
          </cell>
        </row>
        <row r="262">
          <cell r="BH262" t="str">
            <v>征服者2</v>
          </cell>
          <cell r="BI262">
            <v>27</v>
          </cell>
          <cell r="BJ262" t="str">
            <v>征服者</v>
          </cell>
          <cell r="BK262" t="str">
            <v>低</v>
          </cell>
          <cell r="BL262">
            <v>2</v>
          </cell>
          <cell r="BM262">
            <v>2190</v>
          </cell>
          <cell r="BN262">
            <v>662</v>
          </cell>
          <cell r="BO262">
            <v>645</v>
          </cell>
          <cell r="BP262">
            <v>517</v>
          </cell>
          <cell r="BQ262">
            <v>844</v>
          </cell>
          <cell r="BR262">
            <v>204</v>
          </cell>
          <cell r="BS262">
            <v>32.1</v>
          </cell>
          <cell r="BT262">
            <v>36.6</v>
          </cell>
          <cell r="BU262">
            <v>6.3</v>
          </cell>
          <cell r="BV262">
            <v>5.85</v>
          </cell>
          <cell r="BW262">
            <v>0</v>
          </cell>
          <cell r="BX262">
            <v>0</v>
          </cell>
          <cell r="BY262">
            <v>2.91</v>
          </cell>
        </row>
        <row r="263">
          <cell r="BH263" t="str">
            <v>征服者3</v>
          </cell>
          <cell r="BI263">
            <v>27</v>
          </cell>
          <cell r="BJ263" t="str">
            <v>征服者</v>
          </cell>
          <cell r="BK263" t="str">
            <v>低</v>
          </cell>
          <cell r="BL263">
            <v>3</v>
          </cell>
          <cell r="BM263">
            <v>2274</v>
          </cell>
          <cell r="BN263">
            <v>676</v>
          </cell>
          <cell r="BO263">
            <v>666</v>
          </cell>
          <cell r="BP263">
            <v>534</v>
          </cell>
          <cell r="BQ263">
            <v>863</v>
          </cell>
          <cell r="BR263">
            <v>212</v>
          </cell>
          <cell r="BS263">
            <v>32.799999999999997</v>
          </cell>
          <cell r="BT263">
            <v>37.4</v>
          </cell>
          <cell r="BU263">
            <v>6.3</v>
          </cell>
          <cell r="BV263">
            <v>5.77</v>
          </cell>
          <cell r="BW263">
            <v>0</v>
          </cell>
          <cell r="BX263">
            <v>0</v>
          </cell>
          <cell r="BY263">
            <v>2.86</v>
          </cell>
        </row>
        <row r="264">
          <cell r="BH264" t="str">
            <v>征服者4</v>
          </cell>
          <cell r="BI264">
            <v>27</v>
          </cell>
          <cell r="BJ264" t="str">
            <v>征服者</v>
          </cell>
          <cell r="BK264" t="str">
            <v>低</v>
          </cell>
          <cell r="BL264">
            <v>4</v>
          </cell>
          <cell r="BM264">
            <v>2357</v>
          </cell>
          <cell r="BN264">
            <v>691</v>
          </cell>
          <cell r="BO264">
            <v>687</v>
          </cell>
          <cell r="BP264">
            <v>550</v>
          </cell>
          <cell r="BQ264">
            <v>882</v>
          </cell>
          <cell r="BR264">
            <v>220</v>
          </cell>
          <cell r="BS264">
            <v>33.5</v>
          </cell>
          <cell r="BT264">
            <v>38.200000000000003</v>
          </cell>
          <cell r="BU264">
            <v>6.3</v>
          </cell>
          <cell r="BV264">
            <v>5.69</v>
          </cell>
          <cell r="BW264">
            <v>0</v>
          </cell>
          <cell r="BX264">
            <v>0</v>
          </cell>
          <cell r="BY264">
            <v>2.82</v>
          </cell>
        </row>
        <row r="265">
          <cell r="BH265" t="str">
            <v>征服者5</v>
          </cell>
          <cell r="BI265">
            <v>27</v>
          </cell>
          <cell r="BJ265" t="str">
            <v>征服者</v>
          </cell>
          <cell r="BK265" t="str">
            <v>低</v>
          </cell>
          <cell r="BL265">
            <v>5</v>
          </cell>
          <cell r="BM265">
            <v>2441</v>
          </cell>
          <cell r="BN265">
            <v>706</v>
          </cell>
          <cell r="BO265">
            <v>708</v>
          </cell>
          <cell r="BP265">
            <v>567</v>
          </cell>
          <cell r="BQ265">
            <v>901</v>
          </cell>
          <cell r="BR265">
            <v>228</v>
          </cell>
          <cell r="BS265">
            <v>34.200000000000003</v>
          </cell>
          <cell r="BT265">
            <v>39</v>
          </cell>
          <cell r="BU265">
            <v>6.3</v>
          </cell>
          <cell r="BV265">
            <v>5.61</v>
          </cell>
          <cell r="BW265">
            <v>0</v>
          </cell>
          <cell r="BX265">
            <v>0</v>
          </cell>
          <cell r="BY265">
            <v>2.77</v>
          </cell>
        </row>
        <row r="266">
          <cell r="BH266" t="str">
            <v>征服者6</v>
          </cell>
          <cell r="BI266">
            <v>27</v>
          </cell>
          <cell r="BJ266" t="str">
            <v>征服者</v>
          </cell>
          <cell r="BK266" t="str">
            <v>低</v>
          </cell>
          <cell r="BL266">
            <v>6</v>
          </cell>
          <cell r="BM266">
            <v>2525</v>
          </cell>
          <cell r="BN266">
            <v>721</v>
          </cell>
          <cell r="BO266">
            <v>730</v>
          </cell>
          <cell r="BP266">
            <v>584</v>
          </cell>
          <cell r="BQ266">
            <v>919</v>
          </cell>
          <cell r="BR266">
            <v>236</v>
          </cell>
          <cell r="BS266">
            <v>34.9</v>
          </cell>
          <cell r="BT266">
            <v>39.799999999999997</v>
          </cell>
          <cell r="BU266">
            <v>6.3</v>
          </cell>
          <cell r="BV266">
            <v>5.54</v>
          </cell>
          <cell r="BW266">
            <v>0</v>
          </cell>
          <cell r="BX266">
            <v>0</v>
          </cell>
          <cell r="BY266">
            <v>2.73</v>
          </cell>
        </row>
        <row r="267">
          <cell r="BH267" t="str">
            <v>征服者7</v>
          </cell>
          <cell r="BI267">
            <v>27</v>
          </cell>
          <cell r="BJ267" t="str">
            <v>征服者</v>
          </cell>
          <cell r="BK267" t="str">
            <v>低</v>
          </cell>
          <cell r="BL267">
            <v>7</v>
          </cell>
          <cell r="BM267">
            <v>2609</v>
          </cell>
          <cell r="BN267">
            <v>736</v>
          </cell>
          <cell r="BO267">
            <v>751</v>
          </cell>
          <cell r="BP267">
            <v>601</v>
          </cell>
          <cell r="BQ267">
            <v>938</v>
          </cell>
          <cell r="BR267">
            <v>244</v>
          </cell>
          <cell r="BS267">
            <v>35.6</v>
          </cell>
          <cell r="BT267">
            <v>40.6</v>
          </cell>
          <cell r="BU267">
            <v>6.3</v>
          </cell>
          <cell r="BV267">
            <v>5.46</v>
          </cell>
          <cell r="BW267">
            <v>0</v>
          </cell>
          <cell r="BX267">
            <v>0</v>
          </cell>
          <cell r="BY267">
            <v>2.68</v>
          </cell>
        </row>
        <row r="268">
          <cell r="BH268" t="str">
            <v>征服者8</v>
          </cell>
          <cell r="BI268">
            <v>27</v>
          </cell>
          <cell r="BJ268" t="str">
            <v>征服者</v>
          </cell>
          <cell r="BK268" t="str">
            <v>低</v>
          </cell>
          <cell r="BL268">
            <v>8</v>
          </cell>
          <cell r="BM268">
            <v>2693</v>
          </cell>
          <cell r="BN268">
            <v>750</v>
          </cell>
          <cell r="BO268">
            <v>772</v>
          </cell>
          <cell r="BP268">
            <v>618</v>
          </cell>
          <cell r="BQ268">
            <v>957</v>
          </cell>
          <cell r="BR268">
            <v>252</v>
          </cell>
          <cell r="BS268">
            <v>36.299999999999997</v>
          </cell>
          <cell r="BT268">
            <v>41.4</v>
          </cell>
          <cell r="BU268">
            <v>6.3</v>
          </cell>
          <cell r="BV268">
            <v>5.38</v>
          </cell>
          <cell r="BW268">
            <v>0</v>
          </cell>
          <cell r="BX268">
            <v>0</v>
          </cell>
          <cell r="BY268">
            <v>2.64</v>
          </cell>
        </row>
        <row r="269">
          <cell r="BH269" t="str">
            <v>征服者9</v>
          </cell>
          <cell r="BI269">
            <v>27</v>
          </cell>
          <cell r="BJ269" t="str">
            <v>征服者</v>
          </cell>
          <cell r="BK269" t="str">
            <v>低</v>
          </cell>
          <cell r="BL269">
            <v>9</v>
          </cell>
          <cell r="BM269">
            <v>2777</v>
          </cell>
          <cell r="BN269">
            <v>765</v>
          </cell>
          <cell r="BO269">
            <v>793</v>
          </cell>
          <cell r="BP269">
            <v>635</v>
          </cell>
          <cell r="BQ269">
            <v>976</v>
          </cell>
          <cell r="BR269">
            <v>260</v>
          </cell>
          <cell r="BS269">
            <v>37</v>
          </cell>
          <cell r="BT269">
            <v>42.2</v>
          </cell>
          <cell r="BU269">
            <v>6.3</v>
          </cell>
          <cell r="BV269">
            <v>5.3</v>
          </cell>
          <cell r="BW269">
            <v>0</v>
          </cell>
          <cell r="BX269">
            <v>0</v>
          </cell>
          <cell r="BY269">
            <v>2.59</v>
          </cell>
        </row>
        <row r="270">
          <cell r="BH270" t="str">
            <v>征服者10</v>
          </cell>
          <cell r="BI270">
            <v>27</v>
          </cell>
          <cell r="BJ270" t="str">
            <v>征服者</v>
          </cell>
          <cell r="BK270" t="str">
            <v>低</v>
          </cell>
          <cell r="BL270">
            <v>10</v>
          </cell>
          <cell r="BM270">
            <v>2861</v>
          </cell>
          <cell r="BN270">
            <v>780</v>
          </cell>
          <cell r="BO270">
            <v>814</v>
          </cell>
          <cell r="BP270">
            <v>651</v>
          </cell>
          <cell r="BQ270">
            <v>995</v>
          </cell>
          <cell r="BR270">
            <v>268</v>
          </cell>
          <cell r="BS270">
            <v>37.700000000000003</v>
          </cell>
          <cell r="BT270">
            <v>43</v>
          </cell>
          <cell r="BU270">
            <v>6.3</v>
          </cell>
          <cell r="BV270">
            <v>5.23</v>
          </cell>
          <cell r="BW270">
            <v>0</v>
          </cell>
          <cell r="BX270">
            <v>0</v>
          </cell>
          <cell r="BY270">
            <v>2.5499999999999998</v>
          </cell>
        </row>
        <row r="271">
          <cell r="BH271" t="str">
            <v>征服者11</v>
          </cell>
          <cell r="BI271">
            <v>27</v>
          </cell>
          <cell r="BJ271" t="str">
            <v>征服者</v>
          </cell>
          <cell r="BK271" t="str">
            <v>低</v>
          </cell>
          <cell r="BL271">
            <v>11</v>
          </cell>
          <cell r="BM271">
            <v>2945</v>
          </cell>
          <cell r="BN271">
            <v>795</v>
          </cell>
          <cell r="BO271">
            <v>835</v>
          </cell>
          <cell r="BP271">
            <v>668</v>
          </cell>
          <cell r="BQ271">
            <v>1014</v>
          </cell>
          <cell r="BR271">
            <v>276</v>
          </cell>
          <cell r="BS271">
            <v>38.4</v>
          </cell>
          <cell r="BT271">
            <v>43.8</v>
          </cell>
          <cell r="BU271">
            <v>6.3</v>
          </cell>
          <cell r="BV271">
            <v>5.15</v>
          </cell>
          <cell r="BW271">
            <v>0</v>
          </cell>
          <cell r="BX271">
            <v>0</v>
          </cell>
          <cell r="BY271">
            <v>2.5</v>
          </cell>
        </row>
        <row r="272">
          <cell r="BH272" t="str">
            <v>IS-40</v>
          </cell>
          <cell r="BI272">
            <v>28</v>
          </cell>
          <cell r="BJ272" t="str">
            <v>IS-4</v>
          </cell>
          <cell r="BK272" t="str">
            <v>中</v>
          </cell>
          <cell r="BL272">
            <v>0</v>
          </cell>
          <cell r="BM272">
            <v>1940</v>
          </cell>
          <cell r="BN272">
            <v>550</v>
          </cell>
          <cell r="BO272">
            <v>571</v>
          </cell>
          <cell r="BP272">
            <v>457</v>
          </cell>
          <cell r="BQ272">
            <v>840</v>
          </cell>
          <cell r="BR272">
            <v>196</v>
          </cell>
          <cell r="BS272">
            <v>31.3</v>
          </cell>
          <cell r="BT272">
            <v>35.700000000000003</v>
          </cell>
          <cell r="BU272">
            <v>6.4</v>
          </cell>
          <cell r="BV272">
            <v>4.5</v>
          </cell>
          <cell r="BW272">
            <v>0</v>
          </cell>
          <cell r="BX272">
            <v>2</v>
          </cell>
          <cell r="BY272">
            <v>2.25</v>
          </cell>
        </row>
        <row r="273">
          <cell r="BH273" t="str">
            <v>IS-41</v>
          </cell>
          <cell r="BI273">
            <v>28</v>
          </cell>
          <cell r="BJ273" t="str">
            <v>IS-4</v>
          </cell>
          <cell r="BK273" t="str">
            <v>中</v>
          </cell>
          <cell r="BL273">
            <v>1</v>
          </cell>
          <cell r="BM273">
            <v>2026</v>
          </cell>
          <cell r="BN273">
            <v>563</v>
          </cell>
          <cell r="BO273">
            <v>592</v>
          </cell>
          <cell r="BP273">
            <v>473</v>
          </cell>
          <cell r="BQ273">
            <v>860</v>
          </cell>
          <cell r="BR273">
            <v>205</v>
          </cell>
          <cell r="BS273">
            <v>32</v>
          </cell>
          <cell r="BT273">
            <v>36.5</v>
          </cell>
          <cell r="BU273">
            <v>6.4</v>
          </cell>
          <cell r="BV273">
            <v>4.4400000000000004</v>
          </cell>
          <cell r="BW273">
            <v>0</v>
          </cell>
          <cell r="BX273">
            <v>2</v>
          </cell>
          <cell r="BY273">
            <v>2.2200000000000002</v>
          </cell>
        </row>
        <row r="274">
          <cell r="BH274" t="str">
            <v>IS-42</v>
          </cell>
          <cell r="BI274">
            <v>28</v>
          </cell>
          <cell r="BJ274" t="str">
            <v>IS-4</v>
          </cell>
          <cell r="BK274" t="str">
            <v>中</v>
          </cell>
          <cell r="BL274">
            <v>2</v>
          </cell>
          <cell r="BM274">
            <v>2112</v>
          </cell>
          <cell r="BN274">
            <v>576</v>
          </cell>
          <cell r="BO274">
            <v>612</v>
          </cell>
          <cell r="BP274">
            <v>490</v>
          </cell>
          <cell r="BQ274">
            <v>880</v>
          </cell>
          <cell r="BR274">
            <v>213</v>
          </cell>
          <cell r="BS274">
            <v>32.700000000000003</v>
          </cell>
          <cell r="BT274">
            <v>37.299999999999997</v>
          </cell>
          <cell r="BU274">
            <v>6.4</v>
          </cell>
          <cell r="BV274">
            <v>4.38</v>
          </cell>
          <cell r="BW274">
            <v>0</v>
          </cell>
          <cell r="BX274">
            <v>2</v>
          </cell>
          <cell r="BY274">
            <v>2.1800000000000002</v>
          </cell>
        </row>
        <row r="275">
          <cell r="BH275" t="str">
            <v>IS-43</v>
          </cell>
          <cell r="BI275">
            <v>28</v>
          </cell>
          <cell r="BJ275" t="str">
            <v>IS-4</v>
          </cell>
          <cell r="BK275" t="str">
            <v>中</v>
          </cell>
          <cell r="BL275">
            <v>3</v>
          </cell>
          <cell r="BM275">
            <v>2197</v>
          </cell>
          <cell r="BN275">
            <v>590</v>
          </cell>
          <cell r="BO275">
            <v>633</v>
          </cell>
          <cell r="BP275">
            <v>506</v>
          </cell>
          <cell r="BQ275">
            <v>900</v>
          </cell>
          <cell r="BR275">
            <v>222</v>
          </cell>
          <cell r="BS275">
            <v>33.4</v>
          </cell>
          <cell r="BT275">
            <v>38.1</v>
          </cell>
          <cell r="BU275">
            <v>6.4</v>
          </cell>
          <cell r="BV275">
            <v>4.32</v>
          </cell>
          <cell r="BW275">
            <v>0</v>
          </cell>
          <cell r="BX275">
            <v>2</v>
          </cell>
          <cell r="BY275">
            <v>2.15</v>
          </cell>
        </row>
        <row r="276">
          <cell r="BH276" t="str">
            <v>IS-44</v>
          </cell>
          <cell r="BI276">
            <v>28</v>
          </cell>
          <cell r="BJ276" t="str">
            <v>IS-4</v>
          </cell>
          <cell r="BK276" t="str">
            <v>中</v>
          </cell>
          <cell r="BL276">
            <v>4</v>
          </cell>
          <cell r="BM276">
            <v>2283</v>
          </cell>
          <cell r="BN276">
            <v>603</v>
          </cell>
          <cell r="BO276">
            <v>653</v>
          </cell>
          <cell r="BP276">
            <v>523</v>
          </cell>
          <cell r="BQ276">
            <v>921</v>
          </cell>
          <cell r="BR276">
            <v>230</v>
          </cell>
          <cell r="BS276">
            <v>34.1</v>
          </cell>
          <cell r="BT276">
            <v>38.9</v>
          </cell>
          <cell r="BU276">
            <v>6.4</v>
          </cell>
          <cell r="BV276">
            <v>4.26</v>
          </cell>
          <cell r="BW276">
            <v>0</v>
          </cell>
          <cell r="BX276">
            <v>2</v>
          </cell>
          <cell r="BY276">
            <v>2.11</v>
          </cell>
        </row>
        <row r="277">
          <cell r="BH277" t="str">
            <v>IS-45</v>
          </cell>
          <cell r="BI277">
            <v>28</v>
          </cell>
          <cell r="BJ277" t="str">
            <v>IS-4</v>
          </cell>
          <cell r="BK277" t="str">
            <v>中</v>
          </cell>
          <cell r="BL277">
            <v>5</v>
          </cell>
          <cell r="BM277">
            <v>2369</v>
          </cell>
          <cell r="BN277">
            <v>616</v>
          </cell>
          <cell r="BO277">
            <v>674</v>
          </cell>
          <cell r="BP277">
            <v>539</v>
          </cell>
          <cell r="BQ277">
            <v>941</v>
          </cell>
          <cell r="BR277">
            <v>239</v>
          </cell>
          <cell r="BS277">
            <v>34.9</v>
          </cell>
          <cell r="BT277">
            <v>39.799999999999997</v>
          </cell>
          <cell r="BU277">
            <v>6.4</v>
          </cell>
          <cell r="BV277">
            <v>4.2</v>
          </cell>
          <cell r="BW277">
            <v>0</v>
          </cell>
          <cell r="BX277">
            <v>2</v>
          </cell>
          <cell r="BY277">
            <v>2.08</v>
          </cell>
        </row>
        <row r="278">
          <cell r="BH278" t="str">
            <v>IS-46</v>
          </cell>
          <cell r="BI278">
            <v>28</v>
          </cell>
          <cell r="BJ278" t="str">
            <v>IS-4</v>
          </cell>
          <cell r="BK278" t="str">
            <v>中</v>
          </cell>
          <cell r="BL278">
            <v>6</v>
          </cell>
          <cell r="BM278">
            <v>2455</v>
          </cell>
          <cell r="BN278">
            <v>629</v>
          </cell>
          <cell r="BO278">
            <v>694</v>
          </cell>
          <cell r="BP278">
            <v>555</v>
          </cell>
          <cell r="BQ278">
            <v>961</v>
          </cell>
          <cell r="BR278">
            <v>247</v>
          </cell>
          <cell r="BS278">
            <v>35.6</v>
          </cell>
          <cell r="BT278">
            <v>40.6</v>
          </cell>
          <cell r="BU278">
            <v>6.4</v>
          </cell>
          <cell r="BV278">
            <v>4.1399999999999997</v>
          </cell>
          <cell r="BW278">
            <v>0</v>
          </cell>
          <cell r="BX278">
            <v>2</v>
          </cell>
          <cell r="BY278">
            <v>2.0499999999999998</v>
          </cell>
        </row>
        <row r="279">
          <cell r="BH279" t="str">
            <v>IS-47</v>
          </cell>
          <cell r="BI279">
            <v>28</v>
          </cell>
          <cell r="BJ279" t="str">
            <v>IS-4</v>
          </cell>
          <cell r="BK279" t="str">
            <v>中</v>
          </cell>
          <cell r="BL279">
            <v>7</v>
          </cell>
          <cell r="BM279">
            <v>2540</v>
          </cell>
          <cell r="BN279">
            <v>642</v>
          </cell>
          <cell r="BO279">
            <v>715</v>
          </cell>
          <cell r="BP279">
            <v>572</v>
          </cell>
          <cell r="BQ279">
            <v>981</v>
          </cell>
          <cell r="BR279">
            <v>256</v>
          </cell>
          <cell r="BS279">
            <v>36.299999999999997</v>
          </cell>
          <cell r="BT279">
            <v>41.4</v>
          </cell>
          <cell r="BU279">
            <v>6.4</v>
          </cell>
          <cell r="BV279">
            <v>4.08</v>
          </cell>
          <cell r="BW279">
            <v>0</v>
          </cell>
          <cell r="BX279">
            <v>2</v>
          </cell>
          <cell r="BY279">
            <v>2.0099999999999998</v>
          </cell>
        </row>
        <row r="280">
          <cell r="BH280" t="str">
            <v>IS-48</v>
          </cell>
          <cell r="BI280">
            <v>28</v>
          </cell>
          <cell r="BJ280" t="str">
            <v>IS-4</v>
          </cell>
          <cell r="BK280" t="str">
            <v>中</v>
          </cell>
          <cell r="BL280">
            <v>8</v>
          </cell>
          <cell r="BM280">
            <v>2626</v>
          </cell>
          <cell r="BN280">
            <v>656</v>
          </cell>
          <cell r="BO280">
            <v>735</v>
          </cell>
          <cell r="BP280">
            <v>588</v>
          </cell>
          <cell r="BQ280">
            <v>1001</v>
          </cell>
          <cell r="BR280">
            <v>264</v>
          </cell>
          <cell r="BS280">
            <v>37</v>
          </cell>
          <cell r="BT280">
            <v>42.2</v>
          </cell>
          <cell r="BU280">
            <v>6.4</v>
          </cell>
          <cell r="BV280">
            <v>4.0199999999999996</v>
          </cell>
          <cell r="BW280">
            <v>0</v>
          </cell>
          <cell r="BX280">
            <v>2</v>
          </cell>
          <cell r="BY280">
            <v>1.98</v>
          </cell>
        </row>
        <row r="281">
          <cell r="BH281" t="str">
            <v>IS-49</v>
          </cell>
          <cell r="BI281">
            <v>28</v>
          </cell>
          <cell r="BJ281" t="str">
            <v>IS-4</v>
          </cell>
          <cell r="BK281" t="str">
            <v>中</v>
          </cell>
          <cell r="BL281">
            <v>9</v>
          </cell>
          <cell r="BM281">
            <v>2712</v>
          </cell>
          <cell r="BN281">
            <v>669</v>
          </cell>
          <cell r="BO281">
            <v>756</v>
          </cell>
          <cell r="BP281">
            <v>605</v>
          </cell>
          <cell r="BQ281">
            <v>1021</v>
          </cell>
          <cell r="BR281">
            <v>273</v>
          </cell>
          <cell r="BS281">
            <v>37.700000000000003</v>
          </cell>
          <cell r="BT281">
            <v>43</v>
          </cell>
          <cell r="BU281">
            <v>6.4</v>
          </cell>
          <cell r="BV281">
            <v>3.96</v>
          </cell>
          <cell r="BW281">
            <v>0</v>
          </cell>
          <cell r="BX281">
            <v>2</v>
          </cell>
          <cell r="BY281">
            <v>1.94</v>
          </cell>
        </row>
        <row r="282">
          <cell r="BH282" t="str">
            <v>IS-410</v>
          </cell>
          <cell r="BI282">
            <v>28</v>
          </cell>
          <cell r="BJ282" t="str">
            <v>IS-4</v>
          </cell>
          <cell r="BK282" t="str">
            <v>中</v>
          </cell>
          <cell r="BL282">
            <v>10</v>
          </cell>
          <cell r="BM282">
            <v>2798</v>
          </cell>
          <cell r="BN282">
            <v>682</v>
          </cell>
          <cell r="BO282">
            <v>776</v>
          </cell>
          <cell r="BP282">
            <v>621</v>
          </cell>
          <cell r="BQ282">
            <v>1042</v>
          </cell>
          <cell r="BR282">
            <v>281</v>
          </cell>
          <cell r="BS282">
            <v>38.4</v>
          </cell>
          <cell r="BT282">
            <v>43.8</v>
          </cell>
          <cell r="BU282">
            <v>6.4</v>
          </cell>
          <cell r="BV282">
            <v>3.9</v>
          </cell>
          <cell r="BW282">
            <v>0</v>
          </cell>
          <cell r="BX282">
            <v>2</v>
          </cell>
          <cell r="BY282">
            <v>1.91</v>
          </cell>
        </row>
        <row r="283">
          <cell r="BH283" t="str">
            <v>IS-411</v>
          </cell>
          <cell r="BI283">
            <v>28</v>
          </cell>
          <cell r="BJ283" t="str">
            <v>IS-4</v>
          </cell>
          <cell r="BK283" t="str">
            <v>中</v>
          </cell>
          <cell r="BL283">
            <v>11</v>
          </cell>
          <cell r="BM283">
            <v>2883</v>
          </cell>
          <cell r="BN283">
            <v>695</v>
          </cell>
          <cell r="BO283">
            <v>797</v>
          </cell>
          <cell r="BP283">
            <v>637</v>
          </cell>
          <cell r="BQ283">
            <v>1062</v>
          </cell>
          <cell r="BR283">
            <v>290</v>
          </cell>
          <cell r="BS283">
            <v>39.1</v>
          </cell>
          <cell r="BT283">
            <v>44.6</v>
          </cell>
          <cell r="BU283">
            <v>6.4</v>
          </cell>
          <cell r="BV283">
            <v>3.84</v>
          </cell>
          <cell r="BW283">
            <v>0</v>
          </cell>
          <cell r="BX283">
            <v>2</v>
          </cell>
          <cell r="BY283">
            <v>1.88</v>
          </cell>
        </row>
        <row r="284">
          <cell r="BH284" t="str">
            <v>T-320</v>
          </cell>
          <cell r="BI284">
            <v>29</v>
          </cell>
          <cell r="BJ284" t="str">
            <v>T-32</v>
          </cell>
          <cell r="BK284" t="str">
            <v>高</v>
          </cell>
          <cell r="BL284">
            <v>0</v>
          </cell>
          <cell r="BM284">
            <v>1838</v>
          </cell>
          <cell r="BN284">
            <v>755</v>
          </cell>
          <cell r="BO284">
            <v>629</v>
          </cell>
          <cell r="BP284">
            <v>503</v>
          </cell>
          <cell r="BQ284">
            <v>840</v>
          </cell>
          <cell r="BR284">
            <v>196</v>
          </cell>
          <cell r="BS284">
            <v>32.200000000000003</v>
          </cell>
          <cell r="BT284">
            <v>36.799999999999997</v>
          </cell>
          <cell r="BU284">
            <v>6.6</v>
          </cell>
          <cell r="BV284">
            <v>6</v>
          </cell>
          <cell r="BW284">
            <v>0</v>
          </cell>
          <cell r="BX284">
            <v>0</v>
          </cell>
          <cell r="BY284">
            <v>3</v>
          </cell>
        </row>
        <row r="285">
          <cell r="BH285" t="str">
            <v>T-321</v>
          </cell>
          <cell r="BI285">
            <v>29</v>
          </cell>
          <cell r="BJ285" t="str">
            <v>T-32</v>
          </cell>
          <cell r="BK285" t="str">
            <v>高</v>
          </cell>
          <cell r="BL285">
            <v>1</v>
          </cell>
          <cell r="BM285">
            <v>1919</v>
          </cell>
          <cell r="BN285">
            <v>774</v>
          </cell>
          <cell r="BO285">
            <v>653</v>
          </cell>
          <cell r="BP285">
            <v>522</v>
          </cell>
          <cell r="BQ285">
            <v>861</v>
          </cell>
          <cell r="BR285">
            <v>205</v>
          </cell>
          <cell r="BS285">
            <v>32.9</v>
          </cell>
          <cell r="BT285">
            <v>37.6</v>
          </cell>
          <cell r="BU285">
            <v>6.6</v>
          </cell>
          <cell r="BV285">
            <v>5.92</v>
          </cell>
          <cell r="BW285">
            <v>0</v>
          </cell>
          <cell r="BX285">
            <v>0</v>
          </cell>
          <cell r="BY285">
            <v>2.95</v>
          </cell>
        </row>
        <row r="286">
          <cell r="BH286" t="str">
            <v>T-322</v>
          </cell>
          <cell r="BI286">
            <v>29</v>
          </cell>
          <cell r="BJ286" t="str">
            <v>T-32</v>
          </cell>
          <cell r="BK286" t="str">
            <v>高</v>
          </cell>
          <cell r="BL286">
            <v>2</v>
          </cell>
          <cell r="BM286">
            <v>2000</v>
          </cell>
          <cell r="BN286">
            <v>793</v>
          </cell>
          <cell r="BO286">
            <v>677</v>
          </cell>
          <cell r="BP286">
            <v>541</v>
          </cell>
          <cell r="BQ286">
            <v>883</v>
          </cell>
          <cell r="BR286">
            <v>214</v>
          </cell>
          <cell r="BS286">
            <v>33.700000000000003</v>
          </cell>
          <cell r="BT286">
            <v>38.5</v>
          </cell>
          <cell r="BU286">
            <v>6.6</v>
          </cell>
          <cell r="BV286">
            <v>5.85</v>
          </cell>
          <cell r="BW286">
            <v>0</v>
          </cell>
          <cell r="BX286">
            <v>0</v>
          </cell>
          <cell r="BY286">
            <v>2.91</v>
          </cell>
        </row>
        <row r="287">
          <cell r="BH287" t="str">
            <v>T-323</v>
          </cell>
          <cell r="BI287">
            <v>29</v>
          </cell>
          <cell r="BJ287" t="str">
            <v>T-32</v>
          </cell>
          <cell r="BK287" t="str">
            <v>高</v>
          </cell>
          <cell r="BL287">
            <v>3</v>
          </cell>
          <cell r="BM287">
            <v>2081</v>
          </cell>
          <cell r="BN287">
            <v>813</v>
          </cell>
          <cell r="BO287">
            <v>701</v>
          </cell>
          <cell r="BP287">
            <v>560</v>
          </cell>
          <cell r="BQ287">
            <v>904</v>
          </cell>
          <cell r="BR287">
            <v>223</v>
          </cell>
          <cell r="BS287">
            <v>34.4</v>
          </cell>
          <cell r="BT287">
            <v>39.299999999999997</v>
          </cell>
          <cell r="BU287">
            <v>6.6</v>
          </cell>
          <cell r="BV287">
            <v>5.77</v>
          </cell>
          <cell r="BW287">
            <v>0</v>
          </cell>
          <cell r="BX287">
            <v>0</v>
          </cell>
          <cell r="BY287">
            <v>2.86</v>
          </cell>
        </row>
        <row r="288">
          <cell r="BH288" t="str">
            <v>T-324</v>
          </cell>
          <cell r="BI288">
            <v>29</v>
          </cell>
          <cell r="BJ288" t="str">
            <v>T-32</v>
          </cell>
          <cell r="BK288" t="str">
            <v>高</v>
          </cell>
          <cell r="BL288">
            <v>4</v>
          </cell>
          <cell r="BM288">
            <v>2163</v>
          </cell>
          <cell r="BN288">
            <v>832</v>
          </cell>
          <cell r="BO288">
            <v>724</v>
          </cell>
          <cell r="BP288">
            <v>579</v>
          </cell>
          <cell r="BQ288">
            <v>926</v>
          </cell>
          <cell r="BR288">
            <v>232</v>
          </cell>
          <cell r="BS288">
            <v>35.1</v>
          </cell>
          <cell r="BT288">
            <v>40.1</v>
          </cell>
          <cell r="BU288">
            <v>6.6</v>
          </cell>
          <cell r="BV288">
            <v>5.69</v>
          </cell>
          <cell r="BW288">
            <v>0</v>
          </cell>
          <cell r="BX288">
            <v>0</v>
          </cell>
          <cell r="BY288">
            <v>2.82</v>
          </cell>
        </row>
        <row r="289">
          <cell r="BH289" t="str">
            <v>T-325</v>
          </cell>
          <cell r="BI289">
            <v>29</v>
          </cell>
          <cell r="BJ289" t="str">
            <v>T-32</v>
          </cell>
          <cell r="BK289" t="str">
            <v>高</v>
          </cell>
          <cell r="BL289">
            <v>5</v>
          </cell>
          <cell r="BM289">
            <v>2244</v>
          </cell>
          <cell r="BN289">
            <v>851</v>
          </cell>
          <cell r="BO289">
            <v>748</v>
          </cell>
          <cell r="BP289">
            <v>598</v>
          </cell>
          <cell r="BQ289">
            <v>947</v>
          </cell>
          <cell r="BR289">
            <v>241</v>
          </cell>
          <cell r="BS289">
            <v>35.9</v>
          </cell>
          <cell r="BT289">
            <v>41</v>
          </cell>
          <cell r="BU289">
            <v>6.6</v>
          </cell>
          <cell r="BV289">
            <v>5.61</v>
          </cell>
          <cell r="BW289">
            <v>0</v>
          </cell>
          <cell r="BX289">
            <v>0</v>
          </cell>
          <cell r="BY289">
            <v>2.77</v>
          </cell>
        </row>
        <row r="290">
          <cell r="BH290" t="str">
            <v>T-326</v>
          </cell>
          <cell r="BI290">
            <v>29</v>
          </cell>
          <cell r="BJ290" t="str">
            <v>T-32</v>
          </cell>
          <cell r="BK290" t="str">
            <v>高</v>
          </cell>
          <cell r="BL290">
            <v>6</v>
          </cell>
          <cell r="BM290">
            <v>2325</v>
          </cell>
          <cell r="BN290">
            <v>870</v>
          </cell>
          <cell r="BO290">
            <v>772</v>
          </cell>
          <cell r="BP290">
            <v>618</v>
          </cell>
          <cell r="BQ290">
            <v>968</v>
          </cell>
          <cell r="BR290">
            <v>251</v>
          </cell>
          <cell r="BS290">
            <v>36.6</v>
          </cell>
          <cell r="BT290">
            <v>41.8</v>
          </cell>
          <cell r="BU290">
            <v>6.6</v>
          </cell>
          <cell r="BV290">
            <v>5.54</v>
          </cell>
          <cell r="BW290">
            <v>0</v>
          </cell>
          <cell r="BX290">
            <v>0</v>
          </cell>
          <cell r="BY290">
            <v>2.73</v>
          </cell>
        </row>
        <row r="291">
          <cell r="BH291" t="str">
            <v>T-327</v>
          </cell>
          <cell r="BI291">
            <v>29</v>
          </cell>
          <cell r="BJ291" t="str">
            <v>T-32</v>
          </cell>
          <cell r="BK291" t="str">
            <v>高</v>
          </cell>
          <cell r="BL291">
            <v>7</v>
          </cell>
          <cell r="BM291">
            <v>2406</v>
          </cell>
          <cell r="BN291">
            <v>890</v>
          </cell>
          <cell r="BO291">
            <v>796</v>
          </cell>
          <cell r="BP291">
            <v>637</v>
          </cell>
          <cell r="BQ291">
            <v>990</v>
          </cell>
          <cell r="BR291">
            <v>260</v>
          </cell>
          <cell r="BS291">
            <v>37.299999999999997</v>
          </cell>
          <cell r="BT291">
            <v>42.7</v>
          </cell>
          <cell r="BU291">
            <v>6.6</v>
          </cell>
          <cell r="BV291">
            <v>5.46</v>
          </cell>
          <cell r="BW291">
            <v>0</v>
          </cell>
          <cell r="BX291">
            <v>0</v>
          </cell>
          <cell r="BY291">
            <v>2.68</v>
          </cell>
        </row>
        <row r="292">
          <cell r="BH292" t="str">
            <v>T-328</v>
          </cell>
          <cell r="BI292">
            <v>29</v>
          </cell>
          <cell r="BJ292" t="str">
            <v>T-32</v>
          </cell>
          <cell r="BK292" t="str">
            <v>高</v>
          </cell>
          <cell r="BL292">
            <v>8</v>
          </cell>
          <cell r="BM292">
            <v>2488</v>
          </cell>
          <cell r="BN292">
            <v>909</v>
          </cell>
          <cell r="BO292">
            <v>820</v>
          </cell>
          <cell r="BP292">
            <v>656</v>
          </cell>
          <cell r="BQ292">
            <v>1011</v>
          </cell>
          <cell r="BR292">
            <v>269</v>
          </cell>
          <cell r="BS292">
            <v>38.1</v>
          </cell>
          <cell r="BT292">
            <v>43.5</v>
          </cell>
          <cell r="BU292">
            <v>6.6</v>
          </cell>
          <cell r="BV292">
            <v>5.38</v>
          </cell>
          <cell r="BW292">
            <v>0</v>
          </cell>
          <cell r="BX292">
            <v>0</v>
          </cell>
          <cell r="BY292">
            <v>2.64</v>
          </cell>
        </row>
        <row r="293">
          <cell r="BH293" t="str">
            <v>T-329</v>
          </cell>
          <cell r="BI293">
            <v>29</v>
          </cell>
          <cell r="BJ293" t="str">
            <v>T-32</v>
          </cell>
          <cell r="BK293" t="str">
            <v>高</v>
          </cell>
          <cell r="BL293">
            <v>9</v>
          </cell>
          <cell r="BM293">
            <v>2569</v>
          </cell>
          <cell r="BN293">
            <v>928</v>
          </cell>
          <cell r="BO293">
            <v>844</v>
          </cell>
          <cell r="BP293">
            <v>675</v>
          </cell>
          <cell r="BQ293">
            <v>1033</v>
          </cell>
          <cell r="BR293">
            <v>278</v>
          </cell>
          <cell r="BS293">
            <v>38.799999999999997</v>
          </cell>
          <cell r="BT293">
            <v>44.3</v>
          </cell>
          <cell r="BU293">
            <v>6.6</v>
          </cell>
          <cell r="BV293">
            <v>5.3</v>
          </cell>
          <cell r="BW293">
            <v>0</v>
          </cell>
          <cell r="BX293">
            <v>0</v>
          </cell>
          <cell r="BY293">
            <v>2.59</v>
          </cell>
        </row>
        <row r="294">
          <cell r="BH294" t="str">
            <v>T-3210</v>
          </cell>
          <cell r="BI294">
            <v>29</v>
          </cell>
          <cell r="BJ294" t="str">
            <v>T-32</v>
          </cell>
          <cell r="BK294" t="str">
            <v>高</v>
          </cell>
          <cell r="BL294">
            <v>10</v>
          </cell>
          <cell r="BM294">
            <v>2650</v>
          </cell>
          <cell r="BN294">
            <v>947</v>
          </cell>
          <cell r="BO294">
            <v>868</v>
          </cell>
          <cell r="BP294">
            <v>694</v>
          </cell>
          <cell r="BQ294">
            <v>1054</v>
          </cell>
          <cell r="BR294">
            <v>287</v>
          </cell>
          <cell r="BS294">
            <v>39.5</v>
          </cell>
          <cell r="BT294">
            <v>45.2</v>
          </cell>
          <cell r="BU294">
            <v>6.6</v>
          </cell>
          <cell r="BV294">
            <v>5.23</v>
          </cell>
          <cell r="BW294">
            <v>0</v>
          </cell>
          <cell r="BX294">
            <v>0</v>
          </cell>
          <cell r="BY294">
            <v>2.5499999999999998</v>
          </cell>
        </row>
        <row r="295">
          <cell r="BH295" t="str">
            <v>T-3211</v>
          </cell>
          <cell r="BI295">
            <v>29</v>
          </cell>
          <cell r="BJ295" t="str">
            <v>T-32</v>
          </cell>
          <cell r="BK295" t="str">
            <v>高</v>
          </cell>
          <cell r="BL295">
            <v>11</v>
          </cell>
          <cell r="BM295">
            <v>2731</v>
          </cell>
          <cell r="BN295">
            <v>966</v>
          </cell>
          <cell r="BO295">
            <v>891</v>
          </cell>
          <cell r="BP295">
            <v>713</v>
          </cell>
          <cell r="BQ295">
            <v>1075</v>
          </cell>
          <cell r="BR295">
            <v>296</v>
          </cell>
          <cell r="BS295">
            <v>40.299999999999997</v>
          </cell>
          <cell r="BT295">
            <v>46</v>
          </cell>
          <cell r="BU295">
            <v>6.6</v>
          </cell>
          <cell r="BV295">
            <v>5.15</v>
          </cell>
          <cell r="BW295">
            <v>0</v>
          </cell>
          <cell r="BX295">
            <v>0</v>
          </cell>
          <cell r="BY295">
            <v>2.5</v>
          </cell>
        </row>
        <row r="296">
          <cell r="BH296" t="str">
            <v>M1A20</v>
          </cell>
          <cell r="BI296">
            <v>30</v>
          </cell>
          <cell r="BJ296" t="str">
            <v>M1A2</v>
          </cell>
          <cell r="BK296" t="str">
            <v>低</v>
          </cell>
          <cell r="BL296">
            <v>0</v>
          </cell>
          <cell r="BM296">
            <v>2618</v>
          </cell>
          <cell r="BN296">
            <v>841</v>
          </cell>
          <cell r="BO296">
            <v>792</v>
          </cell>
          <cell r="BP296">
            <v>634</v>
          </cell>
          <cell r="BQ296">
            <v>1058</v>
          </cell>
          <cell r="BR296">
            <v>247</v>
          </cell>
          <cell r="BS296">
            <v>30.7</v>
          </cell>
          <cell r="BT296">
            <v>35</v>
          </cell>
          <cell r="BU296">
            <v>6.3</v>
          </cell>
          <cell r="BV296">
            <v>6</v>
          </cell>
          <cell r="BW296">
            <v>0</v>
          </cell>
          <cell r="BX296">
            <v>0</v>
          </cell>
          <cell r="BY296">
            <v>3</v>
          </cell>
        </row>
        <row r="297">
          <cell r="BH297" t="str">
            <v>M1A21</v>
          </cell>
          <cell r="BI297">
            <v>30</v>
          </cell>
          <cell r="BJ297" t="str">
            <v>M1A2</v>
          </cell>
          <cell r="BK297" t="str">
            <v>低</v>
          </cell>
          <cell r="BL297">
            <v>1</v>
          </cell>
          <cell r="BM297">
            <v>2704</v>
          </cell>
          <cell r="BN297">
            <v>855</v>
          </cell>
          <cell r="BO297">
            <v>814</v>
          </cell>
          <cell r="BP297">
            <v>651</v>
          </cell>
          <cell r="BQ297">
            <v>1076</v>
          </cell>
          <cell r="BR297">
            <v>255</v>
          </cell>
          <cell r="BS297">
            <v>31.3</v>
          </cell>
          <cell r="BT297">
            <v>35.700000000000003</v>
          </cell>
          <cell r="BU297">
            <v>6.3</v>
          </cell>
          <cell r="BV297">
            <v>5.93</v>
          </cell>
          <cell r="BW297">
            <v>0</v>
          </cell>
          <cell r="BX297">
            <v>0</v>
          </cell>
          <cell r="BY297">
            <v>2.96</v>
          </cell>
        </row>
        <row r="298">
          <cell r="BH298" t="str">
            <v>M1A22</v>
          </cell>
          <cell r="BI298">
            <v>30</v>
          </cell>
          <cell r="BJ298" t="str">
            <v>M1A2</v>
          </cell>
          <cell r="BK298" t="str">
            <v>低</v>
          </cell>
          <cell r="BL298">
            <v>2</v>
          </cell>
          <cell r="BM298">
            <v>2789</v>
          </cell>
          <cell r="BN298">
            <v>870</v>
          </cell>
          <cell r="BO298">
            <v>836</v>
          </cell>
          <cell r="BP298">
            <v>669</v>
          </cell>
          <cell r="BQ298">
            <v>1095</v>
          </cell>
          <cell r="BR298">
            <v>264</v>
          </cell>
          <cell r="BS298">
            <v>31.9</v>
          </cell>
          <cell r="BT298">
            <v>36.299999999999997</v>
          </cell>
          <cell r="BU298">
            <v>6.3</v>
          </cell>
          <cell r="BV298">
            <v>5.87</v>
          </cell>
          <cell r="BW298">
            <v>0</v>
          </cell>
          <cell r="BX298">
            <v>0</v>
          </cell>
          <cell r="BY298">
            <v>2.92</v>
          </cell>
        </row>
        <row r="299">
          <cell r="BH299" t="str">
            <v>M1A23</v>
          </cell>
          <cell r="BI299">
            <v>30</v>
          </cell>
          <cell r="BJ299" t="str">
            <v>M1A2</v>
          </cell>
          <cell r="BK299" t="str">
            <v>低</v>
          </cell>
          <cell r="BL299">
            <v>3</v>
          </cell>
          <cell r="BM299">
            <v>2874</v>
          </cell>
          <cell r="BN299">
            <v>884</v>
          </cell>
          <cell r="BO299">
            <v>858</v>
          </cell>
          <cell r="BP299">
            <v>686</v>
          </cell>
          <cell r="BQ299">
            <v>1113</v>
          </cell>
          <cell r="BR299">
            <v>272</v>
          </cell>
          <cell r="BS299">
            <v>32.5</v>
          </cell>
          <cell r="BT299">
            <v>37</v>
          </cell>
          <cell r="BU299">
            <v>6.3</v>
          </cell>
          <cell r="BV299">
            <v>5.8</v>
          </cell>
          <cell r="BW299">
            <v>0</v>
          </cell>
          <cell r="BX299">
            <v>0</v>
          </cell>
          <cell r="BY299">
            <v>2.88</v>
          </cell>
        </row>
        <row r="300">
          <cell r="BH300" t="str">
            <v>M1A24</v>
          </cell>
          <cell r="BI300">
            <v>30</v>
          </cell>
          <cell r="BJ300" t="str">
            <v>M1A2</v>
          </cell>
          <cell r="BK300" t="str">
            <v>低</v>
          </cell>
          <cell r="BL300">
            <v>4</v>
          </cell>
          <cell r="BM300">
            <v>2960</v>
          </cell>
          <cell r="BN300">
            <v>899</v>
          </cell>
          <cell r="BO300">
            <v>879</v>
          </cell>
          <cell r="BP300">
            <v>704</v>
          </cell>
          <cell r="BQ300">
            <v>1131</v>
          </cell>
          <cell r="BR300">
            <v>281</v>
          </cell>
          <cell r="BS300">
            <v>33.1</v>
          </cell>
          <cell r="BT300">
            <v>37.700000000000003</v>
          </cell>
          <cell r="BU300">
            <v>6.3</v>
          </cell>
          <cell r="BV300">
            <v>5.74</v>
          </cell>
          <cell r="BW300">
            <v>0</v>
          </cell>
          <cell r="BX300">
            <v>0</v>
          </cell>
          <cell r="BY300">
            <v>2.85</v>
          </cell>
        </row>
        <row r="301">
          <cell r="BH301" t="str">
            <v>M1A25</v>
          </cell>
          <cell r="BI301">
            <v>30</v>
          </cell>
          <cell r="BJ301" t="str">
            <v>M1A2</v>
          </cell>
          <cell r="BK301" t="str">
            <v>低</v>
          </cell>
          <cell r="BL301">
            <v>5</v>
          </cell>
          <cell r="BM301">
            <v>3045</v>
          </cell>
          <cell r="BN301">
            <v>913</v>
          </cell>
          <cell r="BO301">
            <v>901</v>
          </cell>
          <cell r="BP301">
            <v>721</v>
          </cell>
          <cell r="BQ301">
            <v>1149</v>
          </cell>
          <cell r="BR301">
            <v>289</v>
          </cell>
          <cell r="BS301">
            <v>33.700000000000003</v>
          </cell>
          <cell r="BT301">
            <v>38.4</v>
          </cell>
          <cell r="BU301">
            <v>6.3</v>
          </cell>
          <cell r="BV301">
            <v>5.67</v>
          </cell>
          <cell r="BW301">
            <v>0</v>
          </cell>
          <cell r="BX301">
            <v>0</v>
          </cell>
          <cell r="BY301">
            <v>2.81</v>
          </cell>
        </row>
        <row r="302">
          <cell r="BH302" t="str">
            <v>M1A26</v>
          </cell>
          <cell r="BI302">
            <v>30</v>
          </cell>
          <cell r="BJ302" t="str">
            <v>M1A2</v>
          </cell>
          <cell r="BK302" t="str">
            <v>低</v>
          </cell>
          <cell r="BL302">
            <v>6</v>
          </cell>
          <cell r="BM302">
            <v>3130</v>
          </cell>
          <cell r="BN302">
            <v>928</v>
          </cell>
          <cell r="BO302">
            <v>923</v>
          </cell>
          <cell r="BP302">
            <v>739</v>
          </cell>
          <cell r="BQ302">
            <v>1168</v>
          </cell>
          <cell r="BR302">
            <v>298</v>
          </cell>
          <cell r="BS302">
            <v>34.200000000000003</v>
          </cell>
          <cell r="BT302">
            <v>39</v>
          </cell>
          <cell r="BU302">
            <v>6.3</v>
          </cell>
          <cell r="BV302">
            <v>5.61</v>
          </cell>
          <cell r="BW302">
            <v>0</v>
          </cell>
          <cell r="BX302">
            <v>0</v>
          </cell>
          <cell r="BY302">
            <v>2.77</v>
          </cell>
        </row>
        <row r="303">
          <cell r="BH303" t="str">
            <v>M1A27</v>
          </cell>
          <cell r="BI303">
            <v>30</v>
          </cell>
          <cell r="BJ303" t="str">
            <v>M1A2</v>
          </cell>
          <cell r="BK303" t="str">
            <v>低</v>
          </cell>
          <cell r="BL303">
            <v>7</v>
          </cell>
          <cell r="BM303">
            <v>3216</v>
          </cell>
          <cell r="BN303">
            <v>942</v>
          </cell>
          <cell r="BO303">
            <v>945</v>
          </cell>
          <cell r="BP303">
            <v>756</v>
          </cell>
          <cell r="BQ303">
            <v>1186</v>
          </cell>
          <cell r="BR303">
            <v>306</v>
          </cell>
          <cell r="BS303">
            <v>34.799999999999997</v>
          </cell>
          <cell r="BT303">
            <v>39.700000000000003</v>
          </cell>
          <cell r="BU303">
            <v>6.3</v>
          </cell>
          <cell r="BV303">
            <v>5.54</v>
          </cell>
          <cell r="BW303">
            <v>0</v>
          </cell>
          <cell r="BX303">
            <v>0</v>
          </cell>
          <cell r="BY303">
            <v>2.73</v>
          </cell>
        </row>
        <row r="304">
          <cell r="BH304" t="str">
            <v>M1A28</v>
          </cell>
          <cell r="BI304">
            <v>30</v>
          </cell>
          <cell r="BJ304" t="str">
            <v>M1A2</v>
          </cell>
          <cell r="BK304" t="str">
            <v>低</v>
          </cell>
          <cell r="BL304">
            <v>8</v>
          </cell>
          <cell r="BM304">
            <v>3301</v>
          </cell>
          <cell r="BN304">
            <v>957</v>
          </cell>
          <cell r="BO304">
            <v>967</v>
          </cell>
          <cell r="BP304">
            <v>774</v>
          </cell>
          <cell r="BQ304">
            <v>1204</v>
          </cell>
          <cell r="BR304">
            <v>315</v>
          </cell>
          <cell r="BS304">
            <v>35.4</v>
          </cell>
          <cell r="BT304">
            <v>40.4</v>
          </cell>
          <cell r="BU304">
            <v>6.3</v>
          </cell>
          <cell r="BV304">
            <v>5.48</v>
          </cell>
          <cell r="BW304">
            <v>0</v>
          </cell>
          <cell r="BX304">
            <v>0</v>
          </cell>
          <cell r="BY304">
            <v>2.69</v>
          </cell>
        </row>
        <row r="305">
          <cell r="BH305" t="str">
            <v>M1A29</v>
          </cell>
          <cell r="BI305">
            <v>30</v>
          </cell>
          <cell r="BJ305" t="str">
            <v>M1A2</v>
          </cell>
          <cell r="BK305" t="str">
            <v>低</v>
          </cell>
          <cell r="BL305">
            <v>9</v>
          </cell>
          <cell r="BM305">
            <v>3386</v>
          </cell>
          <cell r="BN305">
            <v>971</v>
          </cell>
          <cell r="BO305">
            <v>989</v>
          </cell>
          <cell r="BP305">
            <v>791</v>
          </cell>
          <cell r="BQ305">
            <v>1222</v>
          </cell>
          <cell r="BR305">
            <v>323</v>
          </cell>
          <cell r="BS305">
            <v>36</v>
          </cell>
          <cell r="BT305">
            <v>41.1</v>
          </cell>
          <cell r="BU305">
            <v>6.3</v>
          </cell>
          <cell r="BV305">
            <v>5.41</v>
          </cell>
          <cell r="BW305">
            <v>0</v>
          </cell>
          <cell r="BX305">
            <v>0</v>
          </cell>
          <cell r="BY305">
            <v>2.65</v>
          </cell>
        </row>
        <row r="306">
          <cell r="BH306" t="str">
            <v>M1A210</v>
          </cell>
          <cell r="BI306">
            <v>30</v>
          </cell>
          <cell r="BJ306" t="str">
            <v>M1A2</v>
          </cell>
          <cell r="BK306" t="str">
            <v>低</v>
          </cell>
          <cell r="BL306">
            <v>10</v>
          </cell>
          <cell r="BM306">
            <v>3472</v>
          </cell>
          <cell r="BN306">
            <v>986</v>
          </cell>
          <cell r="BO306">
            <v>1010</v>
          </cell>
          <cell r="BP306">
            <v>809</v>
          </cell>
          <cell r="BQ306">
            <v>1241</v>
          </cell>
          <cell r="BR306">
            <v>332</v>
          </cell>
          <cell r="BS306">
            <v>36.6</v>
          </cell>
          <cell r="BT306">
            <v>41.7</v>
          </cell>
          <cell r="BU306">
            <v>6.3</v>
          </cell>
          <cell r="BV306">
            <v>5.35</v>
          </cell>
          <cell r="BW306">
            <v>0</v>
          </cell>
          <cell r="BX306">
            <v>0</v>
          </cell>
          <cell r="BY306">
            <v>2.62</v>
          </cell>
        </row>
        <row r="307">
          <cell r="BH307" t="str">
            <v>M1A211</v>
          </cell>
          <cell r="BI307">
            <v>30</v>
          </cell>
          <cell r="BJ307" t="str">
            <v>M1A2</v>
          </cell>
          <cell r="BK307" t="str">
            <v>低</v>
          </cell>
          <cell r="BL307">
            <v>11</v>
          </cell>
          <cell r="BM307">
            <v>3557</v>
          </cell>
          <cell r="BN307">
            <v>1000</v>
          </cell>
          <cell r="BO307">
            <v>1032</v>
          </cell>
          <cell r="BP307">
            <v>826</v>
          </cell>
          <cell r="BQ307">
            <v>1259</v>
          </cell>
          <cell r="BR307">
            <v>340</v>
          </cell>
          <cell r="BS307">
            <v>37.200000000000003</v>
          </cell>
          <cell r="BT307">
            <v>42.4</v>
          </cell>
          <cell r="BU307">
            <v>6.3</v>
          </cell>
          <cell r="BV307">
            <v>5.28</v>
          </cell>
          <cell r="BW307">
            <v>0</v>
          </cell>
          <cell r="BX307">
            <v>0</v>
          </cell>
          <cell r="BY307">
            <v>2.58</v>
          </cell>
        </row>
        <row r="308">
          <cell r="BH308" t="str">
            <v>M1A212</v>
          </cell>
          <cell r="BI308">
            <v>30</v>
          </cell>
          <cell r="BJ308" t="str">
            <v>M1A2</v>
          </cell>
          <cell r="BK308" t="str">
            <v>低</v>
          </cell>
          <cell r="BL308">
            <v>12</v>
          </cell>
          <cell r="BM308">
            <v>3642</v>
          </cell>
          <cell r="BN308">
            <v>1015</v>
          </cell>
          <cell r="BO308">
            <v>1054</v>
          </cell>
          <cell r="BP308">
            <v>844</v>
          </cell>
          <cell r="BQ308">
            <v>1277</v>
          </cell>
          <cell r="BR308">
            <v>349</v>
          </cell>
          <cell r="BS308">
            <v>37.799999999999997</v>
          </cell>
          <cell r="BT308">
            <v>43.1</v>
          </cell>
          <cell r="BU308">
            <v>6.3</v>
          </cell>
          <cell r="BV308">
            <v>5.22</v>
          </cell>
          <cell r="BW308">
            <v>0</v>
          </cell>
          <cell r="BX308">
            <v>0</v>
          </cell>
          <cell r="BY308">
            <v>2.54</v>
          </cell>
        </row>
        <row r="309">
          <cell r="BH309" t="str">
            <v>M1A213</v>
          </cell>
          <cell r="BI309">
            <v>30</v>
          </cell>
          <cell r="BJ309" t="str">
            <v>M1A2</v>
          </cell>
          <cell r="BK309" t="str">
            <v>低</v>
          </cell>
          <cell r="BL309">
            <v>13</v>
          </cell>
          <cell r="BM309">
            <v>3728</v>
          </cell>
          <cell r="BN309">
            <v>1029</v>
          </cell>
          <cell r="BO309">
            <v>1076</v>
          </cell>
          <cell r="BP309">
            <v>861</v>
          </cell>
          <cell r="BQ309">
            <v>1296</v>
          </cell>
          <cell r="BR309">
            <v>357</v>
          </cell>
          <cell r="BS309">
            <v>38.4</v>
          </cell>
          <cell r="BT309">
            <v>43.8</v>
          </cell>
          <cell r="BU309">
            <v>6.3</v>
          </cell>
          <cell r="BV309">
            <v>5.15</v>
          </cell>
          <cell r="BW309">
            <v>0</v>
          </cell>
          <cell r="BX309">
            <v>0</v>
          </cell>
          <cell r="BY309">
            <v>2.5</v>
          </cell>
        </row>
      </sheetData>
      <sheetData sheetId="12"/>
      <sheetData sheetId="13"/>
      <sheetData sheetId="14">
        <row r="18">
          <cell r="B18" t="str">
            <v>坦克名称</v>
          </cell>
          <cell r="C18" t="str">
            <v>模型名称</v>
          </cell>
          <cell r="D18" t="str">
            <v>坦克类别</v>
          </cell>
          <cell r="E18" t="str">
            <v>坦克品级</v>
          </cell>
        </row>
        <row r="19">
          <cell r="B19" t="str">
            <v>雷诺FT</v>
          </cell>
          <cell r="C19" t="str">
            <v>ft17</v>
          </cell>
          <cell r="D19" t="str">
            <v>轻坦</v>
          </cell>
          <cell r="E19" t="str">
            <v>T1</v>
          </cell>
        </row>
        <row r="20">
          <cell r="B20" t="str">
            <v>二号</v>
          </cell>
          <cell r="C20" t="str">
            <v>ii</v>
          </cell>
          <cell r="D20" t="str">
            <v>轻坦</v>
          </cell>
          <cell r="E20" t="str">
            <v>T2</v>
          </cell>
        </row>
        <row r="21">
          <cell r="B21" t="str">
            <v>Puma</v>
          </cell>
          <cell r="C21" t="str">
            <v>sdkfz234</v>
          </cell>
          <cell r="D21" t="str">
            <v>轻坦</v>
          </cell>
          <cell r="E21" t="str">
            <v>T2</v>
          </cell>
        </row>
        <row r="22">
          <cell r="B22" t="str">
            <v>35(t)</v>
          </cell>
          <cell r="C22" t="str">
            <v>35t</v>
          </cell>
          <cell r="D22" t="str">
            <v>轻坦</v>
          </cell>
          <cell r="E22" t="str">
            <v>T3</v>
          </cell>
        </row>
        <row r="23">
          <cell r="B23" t="str">
            <v>十字军</v>
          </cell>
          <cell r="C23" t="str">
            <v>crusader</v>
          </cell>
          <cell r="D23" t="str">
            <v>轻坦</v>
          </cell>
          <cell r="E23" t="str">
            <v>T3</v>
          </cell>
        </row>
        <row r="24">
          <cell r="B24" t="str">
            <v>AMX-13</v>
          </cell>
          <cell r="C24" t="str">
            <v>amx13</v>
          </cell>
          <cell r="D24" t="str">
            <v>轻坦</v>
          </cell>
          <cell r="E24" t="str">
            <v>T3</v>
          </cell>
        </row>
        <row r="25">
          <cell r="B25" t="str">
            <v>霞飞</v>
          </cell>
          <cell r="C25" t="str">
            <v>m24</v>
          </cell>
          <cell r="D25" t="str">
            <v>轻坦</v>
          </cell>
          <cell r="E25" t="str">
            <v>T4</v>
          </cell>
        </row>
        <row r="26">
          <cell r="B26" t="str">
            <v>M-41</v>
          </cell>
          <cell r="C26" t="str">
            <v>m41</v>
          </cell>
          <cell r="D26" t="str">
            <v>轻坦</v>
          </cell>
          <cell r="E26" t="str">
            <v>T4</v>
          </cell>
        </row>
        <row r="27">
          <cell r="B27" t="str">
            <v>BMP-3</v>
          </cell>
          <cell r="C27" t="str">
            <v>bmp-3</v>
          </cell>
          <cell r="D27" t="str">
            <v>轻坦</v>
          </cell>
          <cell r="E27" t="str">
            <v>T4</v>
          </cell>
        </row>
        <row r="28">
          <cell r="B28" t="str">
            <v>59式</v>
          </cell>
          <cell r="C28">
            <v>59</v>
          </cell>
          <cell r="D28" t="str">
            <v>轻坦</v>
          </cell>
          <cell r="E28" t="str">
            <v>T5</v>
          </cell>
        </row>
        <row r="29">
          <cell r="B29" t="str">
            <v>Stuart</v>
          </cell>
          <cell r="C29" t="str">
            <v>stuart</v>
          </cell>
          <cell r="D29" t="str">
            <v>中坦</v>
          </cell>
          <cell r="E29" t="str">
            <v>T1</v>
          </cell>
        </row>
        <row r="30">
          <cell r="B30" t="str">
            <v>T-34</v>
          </cell>
          <cell r="C30" t="str">
            <v>t34</v>
          </cell>
          <cell r="D30" t="str">
            <v>中坦</v>
          </cell>
          <cell r="E30" t="str">
            <v>T2</v>
          </cell>
        </row>
        <row r="31">
          <cell r="B31" t="str">
            <v>四号</v>
          </cell>
          <cell r="C31" t="str">
            <v>iv</v>
          </cell>
          <cell r="D31" t="str">
            <v>中坦</v>
          </cell>
          <cell r="E31" t="str">
            <v>T2</v>
          </cell>
        </row>
        <row r="32">
          <cell r="B32" t="str">
            <v>玛蒂尔达</v>
          </cell>
          <cell r="C32" t="str">
            <v>mathilda</v>
          </cell>
          <cell r="D32" t="str">
            <v>中坦</v>
          </cell>
          <cell r="E32" t="str">
            <v>T3</v>
          </cell>
        </row>
        <row r="33">
          <cell r="B33" t="str">
            <v>谢尔曼</v>
          </cell>
          <cell r="C33" t="str">
            <v>m4</v>
          </cell>
          <cell r="D33" t="str">
            <v>中坦</v>
          </cell>
          <cell r="E33" t="str">
            <v>T3</v>
          </cell>
        </row>
        <row r="34">
          <cell r="B34" t="str">
            <v>彗星</v>
          </cell>
          <cell r="C34" t="str">
            <v>comet</v>
          </cell>
          <cell r="D34" t="str">
            <v>中坦</v>
          </cell>
          <cell r="E34" t="str">
            <v>T3</v>
          </cell>
        </row>
        <row r="35">
          <cell r="B35" t="str">
            <v>M-48</v>
          </cell>
          <cell r="C35" t="str">
            <v>m48</v>
          </cell>
          <cell r="D35" t="str">
            <v>中坦</v>
          </cell>
          <cell r="E35" t="str">
            <v>T4</v>
          </cell>
        </row>
        <row r="36">
          <cell r="B36" t="str">
            <v>潘兴</v>
          </cell>
          <cell r="C36" t="str">
            <v>m26</v>
          </cell>
          <cell r="D36" t="str">
            <v>中坦</v>
          </cell>
          <cell r="E36" t="str">
            <v>T4</v>
          </cell>
        </row>
        <row r="37">
          <cell r="B37" t="str">
            <v>百夫长</v>
          </cell>
          <cell r="C37" t="str">
            <v>centurion</v>
          </cell>
          <cell r="D37" t="str">
            <v>中坦</v>
          </cell>
          <cell r="E37" t="str">
            <v>T4</v>
          </cell>
        </row>
        <row r="38">
          <cell r="B38" t="str">
            <v>挑战者</v>
          </cell>
          <cell r="C38" t="str">
            <v>challenger1</v>
          </cell>
          <cell r="D38" t="str">
            <v>中坦</v>
          </cell>
          <cell r="E38" t="str">
            <v>T5</v>
          </cell>
        </row>
        <row r="39">
          <cell r="B39" t="str">
            <v>B-1</v>
          </cell>
          <cell r="C39" t="str">
            <v>b1</v>
          </cell>
          <cell r="D39" t="str">
            <v>重坦</v>
          </cell>
          <cell r="E39" t="str">
            <v>T1</v>
          </cell>
        </row>
        <row r="40">
          <cell r="B40" t="str">
            <v>KV-1</v>
          </cell>
          <cell r="C40" t="str">
            <v>kv1</v>
          </cell>
          <cell r="D40" t="str">
            <v>重坦</v>
          </cell>
          <cell r="E40" t="str">
            <v>T2</v>
          </cell>
        </row>
        <row r="41">
          <cell r="B41" t="str">
            <v>丘吉尔</v>
          </cell>
          <cell r="C41" t="str">
            <v>churchill</v>
          </cell>
          <cell r="D41" t="str">
            <v>重坦</v>
          </cell>
          <cell r="E41" t="str">
            <v>T2</v>
          </cell>
        </row>
        <row r="42">
          <cell r="B42" t="str">
            <v>黑豹</v>
          </cell>
          <cell r="C42" t="str">
            <v>panzer-v</v>
          </cell>
          <cell r="D42" t="str">
            <v>重坦</v>
          </cell>
          <cell r="E42" t="str">
            <v>T3</v>
          </cell>
        </row>
        <row r="43">
          <cell r="B43" t="str">
            <v>虎式</v>
          </cell>
          <cell r="C43" t="str">
            <v>tiger</v>
          </cell>
          <cell r="D43" t="str">
            <v>重坦</v>
          </cell>
          <cell r="E43" t="str">
            <v>T3</v>
          </cell>
        </row>
        <row r="44">
          <cell r="B44" t="str">
            <v>KV-2</v>
          </cell>
          <cell r="C44" t="str">
            <v>kv2</v>
          </cell>
          <cell r="D44" t="str">
            <v>重坦</v>
          </cell>
          <cell r="E44" t="str">
            <v>T3</v>
          </cell>
        </row>
        <row r="45">
          <cell r="B45" t="str">
            <v>征服者</v>
          </cell>
          <cell r="C45" t="str">
            <v>fv214</v>
          </cell>
          <cell r="D45" t="str">
            <v>重坦</v>
          </cell>
          <cell r="E45" t="str">
            <v>T4</v>
          </cell>
        </row>
        <row r="46">
          <cell r="B46" t="str">
            <v>IS-4</v>
          </cell>
          <cell r="C46" t="str">
            <v>is4</v>
          </cell>
          <cell r="D46" t="str">
            <v>重坦</v>
          </cell>
          <cell r="E46" t="str">
            <v>T4</v>
          </cell>
        </row>
        <row r="47">
          <cell r="B47" t="str">
            <v>T-32</v>
          </cell>
          <cell r="C47" t="str">
            <v>t32</v>
          </cell>
          <cell r="D47" t="str">
            <v>重坦</v>
          </cell>
          <cell r="E47" t="str">
            <v>T4</v>
          </cell>
        </row>
        <row r="48">
          <cell r="B48" t="str">
            <v>M1A2</v>
          </cell>
          <cell r="C48" t="str">
            <v>m1a2</v>
          </cell>
          <cell r="D48" t="str">
            <v>重坦</v>
          </cell>
          <cell r="E48" t="str">
            <v>T5</v>
          </cell>
        </row>
      </sheetData>
      <sheetData sheetId="15">
        <row r="3">
          <cell r="I3" t="str">
            <v>坦克名称</v>
          </cell>
          <cell r="J3" t="str">
            <v>坦克品质</v>
          </cell>
        </row>
        <row r="4">
          <cell r="I4" t="str">
            <v>雷诺FT</v>
          </cell>
          <cell r="J4" t="str">
            <v>低</v>
          </cell>
        </row>
        <row r="5">
          <cell r="I5" t="str">
            <v>二号</v>
          </cell>
          <cell r="J5" t="str">
            <v>低</v>
          </cell>
        </row>
        <row r="6">
          <cell r="I6" t="str">
            <v>Puma</v>
          </cell>
          <cell r="J6" t="str">
            <v>中</v>
          </cell>
        </row>
        <row r="7">
          <cell r="I7" t="str">
            <v>35(t)</v>
          </cell>
          <cell r="J7" t="str">
            <v>低</v>
          </cell>
        </row>
        <row r="8">
          <cell r="I8" t="str">
            <v>十字军</v>
          </cell>
          <cell r="J8" t="str">
            <v>中</v>
          </cell>
        </row>
        <row r="9">
          <cell r="I9" t="str">
            <v>AMX-13</v>
          </cell>
          <cell r="J9" t="str">
            <v>高</v>
          </cell>
        </row>
        <row r="10">
          <cell r="I10" t="str">
            <v>霞飞</v>
          </cell>
          <cell r="J10" t="str">
            <v>低</v>
          </cell>
        </row>
        <row r="11">
          <cell r="I11" t="str">
            <v>M-41</v>
          </cell>
          <cell r="J11" t="str">
            <v>中</v>
          </cell>
        </row>
        <row r="12">
          <cell r="I12" t="str">
            <v>BMP-3</v>
          </cell>
          <cell r="J12" t="str">
            <v>高</v>
          </cell>
        </row>
        <row r="13">
          <cell r="I13" t="str">
            <v>59式</v>
          </cell>
          <cell r="J13" t="str">
            <v>低</v>
          </cell>
        </row>
        <row r="14">
          <cell r="I14" t="str">
            <v>Stuart</v>
          </cell>
          <cell r="J14" t="str">
            <v>低</v>
          </cell>
        </row>
        <row r="15">
          <cell r="I15" t="str">
            <v>T-34</v>
          </cell>
          <cell r="J15" t="str">
            <v>低</v>
          </cell>
        </row>
        <row r="16">
          <cell r="I16" t="str">
            <v>四号</v>
          </cell>
          <cell r="J16" t="str">
            <v>中</v>
          </cell>
        </row>
        <row r="17">
          <cell r="I17" t="str">
            <v>玛蒂尔达</v>
          </cell>
          <cell r="J17" t="str">
            <v>低</v>
          </cell>
        </row>
        <row r="18">
          <cell r="I18" t="str">
            <v>谢尔曼</v>
          </cell>
          <cell r="J18" t="str">
            <v>中</v>
          </cell>
        </row>
        <row r="19">
          <cell r="I19" t="str">
            <v>彗星</v>
          </cell>
          <cell r="J19" t="str">
            <v>高</v>
          </cell>
        </row>
        <row r="20">
          <cell r="I20" t="str">
            <v>M-48</v>
          </cell>
          <cell r="J20" t="str">
            <v>低</v>
          </cell>
        </row>
        <row r="21">
          <cell r="I21" t="str">
            <v>潘兴</v>
          </cell>
          <cell r="J21" t="str">
            <v>中</v>
          </cell>
        </row>
        <row r="22">
          <cell r="I22" t="str">
            <v>百夫长</v>
          </cell>
          <cell r="J22" t="str">
            <v>高</v>
          </cell>
        </row>
        <row r="23">
          <cell r="I23" t="str">
            <v>挑战者</v>
          </cell>
          <cell r="J23" t="str">
            <v>低</v>
          </cell>
        </row>
        <row r="24">
          <cell r="I24" t="str">
            <v>B-1</v>
          </cell>
          <cell r="J24" t="str">
            <v>低</v>
          </cell>
        </row>
        <row r="25">
          <cell r="I25" t="str">
            <v>KV-1</v>
          </cell>
          <cell r="J25" t="str">
            <v>低</v>
          </cell>
        </row>
        <row r="26">
          <cell r="I26" t="str">
            <v>丘吉尔</v>
          </cell>
          <cell r="J26" t="str">
            <v>中</v>
          </cell>
        </row>
        <row r="27">
          <cell r="I27" t="str">
            <v>黑豹</v>
          </cell>
          <cell r="J27" t="str">
            <v>低</v>
          </cell>
        </row>
        <row r="28">
          <cell r="I28" t="str">
            <v>虎式</v>
          </cell>
          <cell r="J28" t="str">
            <v>中</v>
          </cell>
        </row>
        <row r="29">
          <cell r="I29" t="str">
            <v>KV-2</v>
          </cell>
          <cell r="J29" t="str">
            <v>高</v>
          </cell>
        </row>
        <row r="30">
          <cell r="I30" t="str">
            <v>征服者</v>
          </cell>
          <cell r="J30" t="str">
            <v>低</v>
          </cell>
        </row>
        <row r="31">
          <cell r="I31" t="str">
            <v>IS-4</v>
          </cell>
          <cell r="J31" t="str">
            <v>中</v>
          </cell>
        </row>
        <row r="32">
          <cell r="I32" t="str">
            <v>T-32</v>
          </cell>
          <cell r="J32" t="str">
            <v>高</v>
          </cell>
        </row>
        <row r="33">
          <cell r="I33" t="str">
            <v>M1A2</v>
          </cell>
          <cell r="J33" t="str">
            <v>低</v>
          </cell>
        </row>
      </sheetData>
      <sheetData sheetId="16"/>
      <sheetData sheetId="17"/>
      <sheetData sheetId="18"/>
      <sheetData sheetId="19">
        <row r="16">
          <cell r="G16">
            <v>40</v>
          </cell>
        </row>
        <row r="17">
          <cell r="G17">
            <v>70</v>
          </cell>
        </row>
        <row r="18">
          <cell r="G18">
            <v>120</v>
          </cell>
        </row>
        <row r="21">
          <cell r="B21" t="str">
            <v>时间戳(分)</v>
          </cell>
          <cell r="C21" t="str">
            <v>时间戳(秒)</v>
          </cell>
          <cell r="D21" t="str">
            <v>1钻时长(秒)</v>
          </cell>
          <cell r="E21" t="str">
            <v>消耗钻石</v>
          </cell>
          <cell r="F21" t="str">
            <v>时间/钻</v>
          </cell>
        </row>
        <row r="22">
          <cell r="B22">
            <v>0</v>
          </cell>
          <cell r="C22">
            <v>0</v>
          </cell>
          <cell r="D22">
            <v>60</v>
          </cell>
          <cell r="E22">
            <v>0</v>
          </cell>
          <cell r="F22">
            <v>60</v>
          </cell>
        </row>
        <row r="23">
          <cell r="B23">
            <v>10</v>
          </cell>
          <cell r="C23">
            <v>600</v>
          </cell>
          <cell r="D23">
            <v>80</v>
          </cell>
          <cell r="E23">
            <v>10</v>
          </cell>
          <cell r="F23">
            <v>75</v>
          </cell>
        </row>
        <row r="24">
          <cell r="B24">
            <v>60</v>
          </cell>
          <cell r="C24">
            <v>3600</v>
          </cell>
          <cell r="D24">
            <v>100</v>
          </cell>
          <cell r="E24">
            <v>48</v>
          </cell>
          <cell r="F24">
            <v>90</v>
          </cell>
        </row>
        <row r="25">
          <cell r="B25">
            <v>180</v>
          </cell>
          <cell r="C25">
            <v>10800</v>
          </cell>
          <cell r="D25">
            <v>120</v>
          </cell>
          <cell r="E25">
            <v>120</v>
          </cell>
          <cell r="F25">
            <v>110.769230769231</v>
          </cell>
        </row>
        <row r="26">
          <cell r="B26">
            <v>720</v>
          </cell>
          <cell r="C26">
            <v>43200</v>
          </cell>
          <cell r="D26">
            <v>140</v>
          </cell>
          <cell r="E26">
            <v>390</v>
          </cell>
          <cell r="F26">
            <v>123.605150214592</v>
          </cell>
        </row>
        <row r="27">
          <cell r="B27">
            <v>1440</v>
          </cell>
          <cell r="C27">
            <v>86400</v>
          </cell>
          <cell r="D27">
            <v>160</v>
          </cell>
          <cell r="E27">
            <v>699</v>
          </cell>
          <cell r="F27">
            <v>139.467312348668</v>
          </cell>
        </row>
        <row r="28">
          <cell r="B28">
            <v>2880</v>
          </cell>
          <cell r="C28">
            <v>172800</v>
          </cell>
          <cell r="D28">
            <v>180</v>
          </cell>
          <cell r="E28">
            <v>1239</v>
          </cell>
          <cell r="F28">
            <v>157.16234652114599</v>
          </cell>
        </row>
        <row r="29">
          <cell r="B29">
            <v>5760</v>
          </cell>
          <cell r="C29">
            <v>345600</v>
          </cell>
          <cell r="D29">
            <v>200</v>
          </cell>
          <cell r="E29">
            <v>2199</v>
          </cell>
          <cell r="F29">
            <v>176.012223071047</v>
          </cell>
        </row>
        <row r="30">
          <cell r="B30">
            <v>11520</v>
          </cell>
          <cell r="C30">
            <v>691200</v>
          </cell>
          <cell r="D30">
            <v>200</v>
          </cell>
          <cell r="E30">
            <v>3927</v>
          </cell>
          <cell r="F30">
            <v>176.012223071047</v>
          </cell>
        </row>
      </sheetData>
      <sheetData sheetId="20"/>
      <sheetData sheetId="21"/>
      <sheetData sheetId="22"/>
      <sheetData sheetId="23"/>
      <sheetData sheetId="24">
        <row r="16">
          <cell r="B16" t="str">
            <v>T1低碎片</v>
          </cell>
          <cell r="C16">
            <v>60</v>
          </cell>
        </row>
        <row r="17">
          <cell r="B17" t="str">
            <v>T2低碎片</v>
          </cell>
          <cell r="C17">
            <v>60</v>
          </cell>
        </row>
        <row r="18">
          <cell r="B18" t="str">
            <v>T2中碎片</v>
          </cell>
          <cell r="C18">
            <v>80</v>
          </cell>
        </row>
        <row r="19">
          <cell r="B19" t="str">
            <v>T3低碎片</v>
          </cell>
          <cell r="C19">
            <v>55</v>
          </cell>
        </row>
        <row r="20">
          <cell r="B20" t="str">
            <v>T3中碎片</v>
          </cell>
          <cell r="C20">
            <v>70</v>
          </cell>
        </row>
        <row r="21">
          <cell r="B21" t="str">
            <v>T3高碎片</v>
          </cell>
          <cell r="C21">
            <v>80</v>
          </cell>
        </row>
        <row r="22">
          <cell r="B22" t="str">
            <v>T4低碎片</v>
          </cell>
          <cell r="C22">
            <v>105</v>
          </cell>
        </row>
        <row r="23">
          <cell r="B23" t="str">
            <v>T4中碎片</v>
          </cell>
          <cell r="C23">
            <v>130</v>
          </cell>
        </row>
        <row r="24">
          <cell r="B24" t="str">
            <v>T4高碎片</v>
          </cell>
          <cell r="C24">
            <v>145</v>
          </cell>
        </row>
        <row r="25">
          <cell r="B25" t="str">
            <v>T5低碎片</v>
          </cell>
          <cell r="C25">
            <v>195</v>
          </cell>
        </row>
        <row r="26">
          <cell r="B26" t="str">
            <v>T5中碎片</v>
          </cell>
          <cell r="C26">
            <v>235</v>
          </cell>
        </row>
        <row r="27">
          <cell r="B27" t="str">
            <v>T5高碎片</v>
          </cell>
          <cell r="C27">
            <v>250</v>
          </cell>
        </row>
        <row r="28">
          <cell r="B28" t="str">
            <v>T1部件</v>
          </cell>
          <cell r="C28">
            <v>40</v>
          </cell>
        </row>
        <row r="29">
          <cell r="B29" t="str">
            <v>T2部件</v>
          </cell>
          <cell r="C29">
            <v>70</v>
          </cell>
        </row>
        <row r="30">
          <cell r="B30" t="str">
            <v>T3部件</v>
          </cell>
          <cell r="C30">
            <v>120</v>
          </cell>
        </row>
        <row r="33">
          <cell r="B33" t="str">
            <v>道具类型</v>
          </cell>
          <cell r="C33" t="str">
            <v>基础价值</v>
          </cell>
          <cell r="D33" t="str">
            <v>调整系数</v>
          </cell>
          <cell r="E33" t="str">
            <v>商店价值</v>
          </cell>
        </row>
        <row r="34">
          <cell r="B34" t="str">
            <v>T1低碎片</v>
          </cell>
          <cell r="C34">
            <v>60</v>
          </cell>
          <cell r="D34">
            <v>1</v>
          </cell>
          <cell r="E34">
            <v>60</v>
          </cell>
        </row>
        <row r="35">
          <cell r="B35" t="str">
            <v>T2低碎片</v>
          </cell>
          <cell r="C35">
            <v>60</v>
          </cell>
          <cell r="D35">
            <v>1</v>
          </cell>
          <cell r="E35">
            <v>60</v>
          </cell>
        </row>
        <row r="36">
          <cell r="B36" t="str">
            <v>T2中碎片</v>
          </cell>
          <cell r="C36">
            <v>80</v>
          </cell>
          <cell r="D36">
            <v>1</v>
          </cell>
          <cell r="E36">
            <v>80</v>
          </cell>
        </row>
        <row r="37">
          <cell r="B37" t="str">
            <v>T3低碎片</v>
          </cell>
          <cell r="C37">
            <v>55</v>
          </cell>
          <cell r="D37">
            <v>1</v>
          </cell>
          <cell r="E37">
            <v>60</v>
          </cell>
        </row>
        <row r="38">
          <cell r="B38" t="str">
            <v>T3中碎片</v>
          </cell>
          <cell r="C38">
            <v>70</v>
          </cell>
          <cell r="D38">
            <v>1</v>
          </cell>
          <cell r="E38">
            <v>70</v>
          </cell>
        </row>
        <row r="39">
          <cell r="B39" t="str">
            <v>T3高碎片</v>
          </cell>
          <cell r="C39">
            <v>80</v>
          </cell>
          <cell r="D39">
            <v>1</v>
          </cell>
          <cell r="E39">
            <v>80</v>
          </cell>
        </row>
        <row r="40">
          <cell r="B40" t="str">
            <v>T4低碎片</v>
          </cell>
          <cell r="C40">
            <v>105</v>
          </cell>
          <cell r="D40">
            <v>1</v>
          </cell>
          <cell r="E40">
            <v>110</v>
          </cell>
        </row>
        <row r="41">
          <cell r="B41" t="str">
            <v>T4中碎片</v>
          </cell>
          <cell r="C41">
            <v>130</v>
          </cell>
          <cell r="D41">
            <v>1</v>
          </cell>
          <cell r="E41">
            <v>130</v>
          </cell>
        </row>
        <row r="42">
          <cell r="B42" t="str">
            <v>T4高碎片</v>
          </cell>
          <cell r="C42">
            <v>145</v>
          </cell>
          <cell r="D42">
            <v>1</v>
          </cell>
          <cell r="E42">
            <v>150</v>
          </cell>
        </row>
        <row r="43">
          <cell r="B43" t="str">
            <v>T5低碎片</v>
          </cell>
          <cell r="C43">
            <v>195</v>
          </cell>
          <cell r="D43">
            <v>1</v>
          </cell>
          <cell r="E43">
            <v>200</v>
          </cell>
        </row>
        <row r="44">
          <cell r="B44" t="str">
            <v>T5中碎片</v>
          </cell>
          <cell r="C44">
            <v>235</v>
          </cell>
          <cell r="D44">
            <v>1</v>
          </cell>
          <cell r="E44">
            <v>240</v>
          </cell>
        </row>
        <row r="45">
          <cell r="B45" t="str">
            <v>T5高碎片</v>
          </cell>
          <cell r="C45">
            <v>250</v>
          </cell>
          <cell r="D45">
            <v>1</v>
          </cell>
          <cell r="E45">
            <v>250</v>
          </cell>
        </row>
        <row r="63">
          <cell r="J63">
            <v>35</v>
          </cell>
        </row>
        <row r="64">
          <cell r="J64">
            <v>60</v>
          </cell>
        </row>
        <row r="73">
          <cell r="O73">
            <v>1.25</v>
          </cell>
          <cell r="P73">
            <v>0.75</v>
          </cell>
          <cell r="AB73">
            <v>2.2222222222222199E-2</v>
          </cell>
        </row>
        <row r="99">
          <cell r="V99" t="str">
            <v>部件品质</v>
          </cell>
          <cell r="W99" t="str">
            <v>基础价值</v>
          </cell>
          <cell r="X99" t="str">
            <v>出售系数</v>
          </cell>
          <cell r="Y99" t="str">
            <v>出售价格</v>
          </cell>
        </row>
        <row r="100">
          <cell r="V100" t="str">
            <v>T1部件</v>
          </cell>
          <cell r="W100">
            <v>40</v>
          </cell>
          <cell r="X100">
            <v>1.3333333333333299</v>
          </cell>
          <cell r="Y100">
            <v>53.3333333333333</v>
          </cell>
        </row>
        <row r="101">
          <cell r="V101" t="str">
            <v>T2部件</v>
          </cell>
          <cell r="W101">
            <v>70</v>
          </cell>
          <cell r="X101">
            <v>1.3333333333333299</v>
          </cell>
          <cell r="Y101">
            <v>93.3333333333333</v>
          </cell>
        </row>
        <row r="102">
          <cell r="V102" t="str">
            <v>T3部件</v>
          </cell>
          <cell r="W102">
            <v>120</v>
          </cell>
          <cell r="X102">
            <v>1.3333333333333299</v>
          </cell>
          <cell r="Y102">
            <v>160</v>
          </cell>
        </row>
      </sheetData>
      <sheetData sheetId="25">
        <row r="2">
          <cell r="L2" t="str">
            <v>货币名称</v>
          </cell>
          <cell r="M2" t="str">
            <v>货币ID</v>
          </cell>
          <cell r="N2" t="str">
            <v>图标ID</v>
          </cell>
        </row>
        <row r="3">
          <cell r="L3" t="str">
            <v>钻石</v>
          </cell>
          <cell r="M3">
            <v>101</v>
          </cell>
          <cell r="N3" t="str">
            <v>StoreDiamond_1</v>
          </cell>
          <cell r="O3" t="str">
            <v>Diamond</v>
          </cell>
        </row>
        <row r="4">
          <cell r="L4" t="str">
            <v>军费</v>
          </cell>
          <cell r="M4">
            <v>102</v>
          </cell>
          <cell r="N4" t="str">
            <v>StoreFund_3</v>
          </cell>
          <cell r="O4" t="str">
            <v>Funds</v>
          </cell>
        </row>
        <row r="5">
          <cell r="L5" t="str">
            <v>经验</v>
          </cell>
          <cell r="M5">
            <v>103</v>
          </cell>
          <cell r="N5" t="str">
            <v>public_icon_handbook_exp</v>
          </cell>
        </row>
        <row r="6">
          <cell r="L6" t="str">
            <v>科技值</v>
          </cell>
          <cell r="M6">
            <v>104</v>
          </cell>
          <cell r="N6" t="str">
            <v>resource_icon_techpoint</v>
          </cell>
        </row>
        <row r="7">
          <cell r="L7" t="str">
            <v>钥匙</v>
          </cell>
          <cell r="M7">
            <v>105</v>
          </cell>
          <cell r="N7" t="str">
            <v>resource_icon_key</v>
          </cell>
        </row>
        <row r="8">
          <cell r="L8" t="str">
            <v>联赛积分</v>
          </cell>
          <cell r="M8">
            <v>106</v>
          </cell>
          <cell r="N8" t="str">
            <v>public_icon_league_legion</v>
          </cell>
        </row>
        <row r="9">
          <cell r="L9" t="str">
            <v>军团贡献值</v>
          </cell>
          <cell r="M9">
            <v>107</v>
          </cell>
          <cell r="N9" t="str">
            <v>public_icon_shard</v>
          </cell>
        </row>
        <row r="10">
          <cell r="L10" t="str">
            <v>活跃值</v>
          </cell>
          <cell r="M10">
            <v>108</v>
          </cell>
          <cell r="N10" t="str">
            <v>public_icon_handbook_unlock_icon</v>
          </cell>
        </row>
        <row r="11">
          <cell r="L11" t="str">
            <v>钥匙槽</v>
          </cell>
          <cell r="M11">
            <v>109</v>
          </cell>
          <cell r="N11" t="str">
            <v>resource_icon_key</v>
          </cell>
        </row>
        <row r="12">
          <cell r="L12" t="str">
            <v>图鉴经验</v>
          </cell>
          <cell r="M12">
            <v>110</v>
          </cell>
          <cell r="N12" t="str">
            <v>public_icon_handbook_exp</v>
          </cell>
        </row>
        <row r="13">
          <cell r="L13" t="str">
            <v>双倍钥匙</v>
          </cell>
          <cell r="M13">
            <v>111</v>
          </cell>
          <cell r="N13" t="str">
            <v>StoreDoubleKey_1</v>
          </cell>
          <cell r="O13" t="str">
            <v>DoubleKeys</v>
          </cell>
        </row>
        <row r="14">
          <cell r="L14">
            <v>0</v>
          </cell>
          <cell r="M14">
            <v>0</v>
          </cell>
        </row>
        <row r="15">
          <cell r="L15" t="str">
            <v>道具名称</v>
          </cell>
          <cell r="M15" t="str">
            <v>道具ID</v>
          </cell>
          <cell r="N15" t="str">
            <v>图标ID</v>
          </cell>
        </row>
        <row r="16">
          <cell r="L16" t="str">
            <v>3倍加速1</v>
          </cell>
          <cell r="M16">
            <v>100301</v>
          </cell>
          <cell r="N16" t="str">
            <v>StoreQuikenItem_1</v>
          </cell>
        </row>
        <row r="17">
          <cell r="L17" t="str">
            <v>3倍加速2</v>
          </cell>
          <cell r="M17">
            <v>100302</v>
          </cell>
          <cell r="N17" t="str">
            <v>StoreQuikenItem_1</v>
          </cell>
          <cell r="O17" t="str">
            <v>1H_X3_Accelerater</v>
          </cell>
        </row>
        <row r="18">
          <cell r="L18" t="str">
            <v>5倍加速1</v>
          </cell>
          <cell r="M18">
            <v>100501</v>
          </cell>
          <cell r="N18" t="str">
            <v>StoreQuikenItem_2</v>
          </cell>
        </row>
        <row r="19">
          <cell r="L19" t="str">
            <v>5倍加速2</v>
          </cell>
          <cell r="M19">
            <v>100502</v>
          </cell>
          <cell r="N19" t="str">
            <v>StoreQuikenItem_2</v>
          </cell>
        </row>
        <row r="20">
          <cell r="L20" t="str">
            <v>5倍加速3</v>
          </cell>
          <cell r="M20">
            <v>100503</v>
          </cell>
          <cell r="N20" t="str">
            <v>StoreQuikenItem_2</v>
          </cell>
        </row>
        <row r="21">
          <cell r="L21" t="str">
            <v>8倍加速1</v>
          </cell>
          <cell r="M21">
            <v>100801</v>
          </cell>
          <cell r="N21" t="str">
            <v>StoreQuikenItem_3</v>
          </cell>
        </row>
        <row r="22">
          <cell r="L22" t="str">
            <v>8倍加速2</v>
          </cell>
          <cell r="M22">
            <v>100802</v>
          </cell>
          <cell r="N22" t="str">
            <v>StoreQuikenItem_3</v>
          </cell>
        </row>
        <row r="23">
          <cell r="L23" t="str">
            <v>8倍加速3</v>
          </cell>
          <cell r="M23">
            <v>100803</v>
          </cell>
          <cell r="N23" t="str">
            <v>StoreQuikenItem_3</v>
          </cell>
        </row>
        <row r="25">
          <cell r="L25" t="str">
            <v>坦克名称</v>
          </cell>
          <cell r="M25" t="str">
            <v>道具ID</v>
          </cell>
          <cell r="N25" t="str">
            <v>图标ID</v>
          </cell>
        </row>
        <row r="26">
          <cell r="L26" t="str">
            <v>雷诺FT</v>
          </cell>
          <cell r="M26">
            <v>11111</v>
          </cell>
          <cell r="N26" t="str">
            <v>ft17</v>
          </cell>
        </row>
        <row r="27">
          <cell r="L27" t="str">
            <v>二号</v>
          </cell>
          <cell r="M27">
            <v>11211</v>
          </cell>
          <cell r="N27" t="str">
            <v>ii</v>
          </cell>
        </row>
        <row r="28">
          <cell r="L28" t="str">
            <v>Puma</v>
          </cell>
          <cell r="M28">
            <v>11221</v>
          </cell>
          <cell r="N28" t="str">
            <v>sdkfz234</v>
          </cell>
        </row>
        <row r="29">
          <cell r="L29" t="str">
            <v>35(t)</v>
          </cell>
          <cell r="M29">
            <v>11311</v>
          </cell>
          <cell r="N29" t="str">
            <v>35t</v>
          </cell>
        </row>
        <row r="30">
          <cell r="L30" t="str">
            <v>十字军</v>
          </cell>
          <cell r="M30">
            <v>11321</v>
          </cell>
          <cell r="N30" t="str">
            <v>crusader</v>
          </cell>
        </row>
        <row r="31">
          <cell r="L31" t="str">
            <v>AMX-13</v>
          </cell>
          <cell r="M31">
            <v>11331</v>
          </cell>
          <cell r="N31" t="str">
            <v>amx13</v>
          </cell>
        </row>
        <row r="32">
          <cell r="L32" t="str">
            <v>霞飞</v>
          </cell>
          <cell r="M32">
            <v>11411</v>
          </cell>
          <cell r="N32" t="str">
            <v>m24</v>
          </cell>
        </row>
        <row r="33">
          <cell r="L33" t="str">
            <v>M-41</v>
          </cell>
          <cell r="M33">
            <v>11421</v>
          </cell>
          <cell r="N33" t="str">
            <v>m41</v>
          </cell>
        </row>
        <row r="34">
          <cell r="L34" t="str">
            <v>BMP-3</v>
          </cell>
          <cell r="M34">
            <v>11431</v>
          </cell>
          <cell r="N34" t="str">
            <v>bmp-3</v>
          </cell>
        </row>
        <row r="35">
          <cell r="L35" t="str">
            <v>59式</v>
          </cell>
          <cell r="M35">
            <v>11511</v>
          </cell>
          <cell r="N35">
            <v>59</v>
          </cell>
        </row>
        <row r="36">
          <cell r="L36" t="str">
            <v>Stuart</v>
          </cell>
          <cell r="M36">
            <v>12111</v>
          </cell>
          <cell r="N36" t="str">
            <v>stuart</v>
          </cell>
        </row>
        <row r="37">
          <cell r="L37" t="str">
            <v>T-34</v>
          </cell>
          <cell r="M37">
            <v>12211</v>
          </cell>
          <cell r="N37" t="str">
            <v>t34</v>
          </cell>
        </row>
        <row r="38">
          <cell r="L38" t="str">
            <v>四号</v>
          </cell>
          <cell r="M38">
            <v>12221</v>
          </cell>
          <cell r="N38" t="str">
            <v>iv</v>
          </cell>
        </row>
        <row r="39">
          <cell r="L39" t="str">
            <v>玛蒂尔达</v>
          </cell>
          <cell r="M39">
            <v>12311</v>
          </cell>
          <cell r="N39" t="str">
            <v>mathilda</v>
          </cell>
        </row>
        <row r="40">
          <cell r="L40" t="str">
            <v>谢尔曼</v>
          </cell>
          <cell r="M40">
            <v>12321</v>
          </cell>
          <cell r="N40" t="str">
            <v>m4</v>
          </cell>
        </row>
        <row r="41">
          <cell r="L41" t="str">
            <v>彗星</v>
          </cell>
          <cell r="M41">
            <v>12331</v>
          </cell>
          <cell r="N41" t="str">
            <v>comet</v>
          </cell>
        </row>
        <row r="42">
          <cell r="L42" t="str">
            <v>M-48</v>
          </cell>
          <cell r="M42">
            <v>12411</v>
          </cell>
          <cell r="N42" t="str">
            <v>m48</v>
          </cell>
        </row>
        <row r="43">
          <cell r="L43" t="str">
            <v>潘兴</v>
          </cell>
          <cell r="M43">
            <v>12421</v>
          </cell>
          <cell r="N43" t="str">
            <v>m26</v>
          </cell>
        </row>
        <row r="44">
          <cell r="L44" t="str">
            <v>百夫长</v>
          </cell>
          <cell r="M44">
            <v>12431</v>
          </cell>
          <cell r="N44" t="str">
            <v>centurion</v>
          </cell>
        </row>
        <row r="45">
          <cell r="L45" t="str">
            <v>挑战者</v>
          </cell>
          <cell r="M45">
            <v>12511</v>
          </cell>
          <cell r="N45" t="str">
            <v>challenger1</v>
          </cell>
        </row>
        <row r="46">
          <cell r="L46" t="str">
            <v>B-1</v>
          </cell>
          <cell r="M46">
            <v>13111</v>
          </cell>
          <cell r="N46" t="str">
            <v>kv1</v>
          </cell>
        </row>
        <row r="47">
          <cell r="L47" t="str">
            <v>KV-1</v>
          </cell>
          <cell r="M47">
            <v>13211</v>
          </cell>
          <cell r="N47" t="str">
            <v>b1</v>
          </cell>
        </row>
        <row r="48">
          <cell r="L48" t="str">
            <v>丘吉尔</v>
          </cell>
          <cell r="M48">
            <v>13221</v>
          </cell>
          <cell r="N48" t="str">
            <v>churchill</v>
          </cell>
        </row>
        <row r="49">
          <cell r="L49" t="str">
            <v>黑豹</v>
          </cell>
          <cell r="M49">
            <v>13311</v>
          </cell>
          <cell r="N49" t="str">
            <v>panzer-v</v>
          </cell>
        </row>
        <row r="50">
          <cell r="L50" t="str">
            <v>虎式</v>
          </cell>
          <cell r="M50">
            <v>13321</v>
          </cell>
          <cell r="N50" t="str">
            <v>tiger</v>
          </cell>
        </row>
        <row r="51">
          <cell r="L51" t="str">
            <v>KV-2</v>
          </cell>
          <cell r="M51">
            <v>13331</v>
          </cell>
          <cell r="N51" t="str">
            <v>kv2</v>
          </cell>
        </row>
        <row r="52">
          <cell r="L52" t="str">
            <v>征服者</v>
          </cell>
          <cell r="M52">
            <v>13411</v>
          </cell>
          <cell r="N52" t="str">
            <v>fv214</v>
          </cell>
        </row>
        <row r="53">
          <cell r="L53" t="str">
            <v>IS-4</v>
          </cell>
          <cell r="M53">
            <v>13421</v>
          </cell>
          <cell r="N53" t="str">
            <v>is4</v>
          </cell>
        </row>
        <row r="54">
          <cell r="L54" t="str">
            <v>T-32</v>
          </cell>
          <cell r="M54">
            <v>13431</v>
          </cell>
          <cell r="N54" t="str">
            <v>t32</v>
          </cell>
        </row>
        <row r="55">
          <cell r="L55" t="str">
            <v>M1A2</v>
          </cell>
          <cell r="M55">
            <v>13511</v>
          </cell>
          <cell r="N55" t="str">
            <v>m1a2</v>
          </cell>
        </row>
        <row r="56">
          <cell r="L56" t="str">
            <v>雷诺FT碎片</v>
          </cell>
          <cell r="M56">
            <v>51111</v>
          </cell>
          <cell r="N56" t="str">
            <v>shard_ft17</v>
          </cell>
        </row>
        <row r="57">
          <cell r="L57" t="str">
            <v>二号碎片</v>
          </cell>
          <cell r="M57">
            <v>51211</v>
          </cell>
          <cell r="N57" t="str">
            <v>shard_ii</v>
          </cell>
        </row>
        <row r="58">
          <cell r="L58" t="str">
            <v>Puma碎片</v>
          </cell>
          <cell r="M58">
            <v>51221</v>
          </cell>
          <cell r="N58" t="str">
            <v>shard_sdkfz234</v>
          </cell>
          <cell r="O58" t="str">
            <v>Gulon Shard</v>
          </cell>
        </row>
        <row r="59">
          <cell r="L59" t="str">
            <v>35(t)碎片</v>
          </cell>
          <cell r="M59">
            <v>51311</v>
          </cell>
          <cell r="N59" t="str">
            <v>shard_35t</v>
          </cell>
        </row>
        <row r="60">
          <cell r="L60" t="str">
            <v>十字军碎片</v>
          </cell>
          <cell r="M60">
            <v>51321</v>
          </cell>
          <cell r="N60" t="str">
            <v>shard_crusader</v>
          </cell>
        </row>
        <row r="61">
          <cell r="L61" t="str">
            <v>AMX-13碎片</v>
          </cell>
          <cell r="M61">
            <v>51331</v>
          </cell>
          <cell r="N61" t="str">
            <v>shard_amx13</v>
          </cell>
        </row>
        <row r="62">
          <cell r="L62" t="str">
            <v>霞飞碎片</v>
          </cell>
          <cell r="M62">
            <v>51411</v>
          </cell>
          <cell r="N62" t="str">
            <v>shard_m24</v>
          </cell>
        </row>
        <row r="63">
          <cell r="L63" t="str">
            <v>M-41碎片</v>
          </cell>
          <cell r="M63">
            <v>51421</v>
          </cell>
          <cell r="N63" t="str">
            <v>shard_m41</v>
          </cell>
        </row>
        <row r="64">
          <cell r="L64" t="str">
            <v>BMP-3碎片</v>
          </cell>
          <cell r="M64">
            <v>51431</v>
          </cell>
          <cell r="N64" t="str">
            <v>shard_bmp-3</v>
          </cell>
        </row>
        <row r="65">
          <cell r="L65" t="str">
            <v>59式碎片</v>
          </cell>
          <cell r="M65">
            <v>51511</v>
          </cell>
          <cell r="N65" t="str">
            <v>shard_59</v>
          </cell>
        </row>
        <row r="66">
          <cell r="L66" t="str">
            <v>Stuart碎片</v>
          </cell>
          <cell r="M66">
            <v>52111</v>
          </cell>
          <cell r="N66" t="str">
            <v>shard_stuart</v>
          </cell>
        </row>
        <row r="67">
          <cell r="L67" t="str">
            <v>T-34碎片</v>
          </cell>
          <cell r="M67">
            <v>52211</v>
          </cell>
          <cell r="N67" t="str">
            <v>shard_t34</v>
          </cell>
        </row>
        <row r="68">
          <cell r="L68" t="str">
            <v>四号碎片</v>
          </cell>
          <cell r="M68">
            <v>52221</v>
          </cell>
          <cell r="N68" t="str">
            <v>shard_iv</v>
          </cell>
          <cell r="O68" t="str">
            <v>Minotaur Shard</v>
          </cell>
        </row>
        <row r="69">
          <cell r="L69" t="str">
            <v>玛蒂尔达碎片</v>
          </cell>
          <cell r="M69">
            <v>52311</v>
          </cell>
          <cell r="N69" t="str">
            <v>shard_mathilda</v>
          </cell>
        </row>
        <row r="70">
          <cell r="L70" t="str">
            <v>谢尔曼碎片</v>
          </cell>
          <cell r="M70">
            <v>52321</v>
          </cell>
          <cell r="N70" t="str">
            <v>shard_m4</v>
          </cell>
        </row>
        <row r="71">
          <cell r="L71" t="str">
            <v>彗星碎片</v>
          </cell>
          <cell r="M71">
            <v>52331</v>
          </cell>
          <cell r="N71" t="str">
            <v>shard_comet</v>
          </cell>
        </row>
        <row r="72">
          <cell r="L72" t="str">
            <v>M-48碎片</v>
          </cell>
          <cell r="M72">
            <v>52411</v>
          </cell>
          <cell r="N72" t="str">
            <v>shard_m48</v>
          </cell>
        </row>
        <row r="73">
          <cell r="L73" t="str">
            <v>潘兴碎片</v>
          </cell>
          <cell r="M73">
            <v>52421</v>
          </cell>
          <cell r="N73" t="str">
            <v>shard_m26</v>
          </cell>
        </row>
        <row r="74">
          <cell r="L74" t="str">
            <v>百夫长碎片</v>
          </cell>
          <cell r="M74">
            <v>52431</v>
          </cell>
          <cell r="N74" t="str">
            <v>shard_centurion</v>
          </cell>
        </row>
        <row r="75">
          <cell r="L75" t="str">
            <v>挑战者碎片</v>
          </cell>
          <cell r="M75">
            <v>52511</v>
          </cell>
          <cell r="N75" t="str">
            <v>shard_challenger1</v>
          </cell>
        </row>
        <row r="76">
          <cell r="L76" t="str">
            <v>B-1碎片</v>
          </cell>
          <cell r="M76">
            <v>53111</v>
          </cell>
          <cell r="N76" t="str">
            <v>shard_kv1</v>
          </cell>
        </row>
        <row r="77">
          <cell r="L77" t="str">
            <v>KV-1碎片</v>
          </cell>
          <cell r="M77">
            <v>53211</v>
          </cell>
          <cell r="N77" t="str">
            <v>shard_b1</v>
          </cell>
        </row>
        <row r="78">
          <cell r="L78" t="str">
            <v>丘吉尔碎片</v>
          </cell>
          <cell r="M78">
            <v>53221</v>
          </cell>
          <cell r="N78" t="str">
            <v>shard_churchill</v>
          </cell>
          <cell r="O78" t="str">
            <v>Wyrm Shard</v>
          </cell>
        </row>
        <row r="79">
          <cell r="L79" t="str">
            <v>黑豹碎片</v>
          </cell>
          <cell r="M79">
            <v>53311</v>
          </cell>
          <cell r="N79" t="str">
            <v>shard_panzer-v</v>
          </cell>
        </row>
        <row r="80">
          <cell r="L80" t="str">
            <v>虎式碎片</v>
          </cell>
          <cell r="M80">
            <v>53321</v>
          </cell>
          <cell r="N80" t="str">
            <v>shard_tiger</v>
          </cell>
        </row>
        <row r="81">
          <cell r="L81" t="str">
            <v>KV-2碎片</v>
          </cell>
          <cell r="M81">
            <v>53331</v>
          </cell>
          <cell r="N81" t="str">
            <v>shard_kv2</v>
          </cell>
        </row>
        <row r="82">
          <cell r="L82" t="str">
            <v>征服者碎片</v>
          </cell>
          <cell r="M82">
            <v>53411</v>
          </cell>
          <cell r="N82" t="str">
            <v>shard_fv214</v>
          </cell>
        </row>
        <row r="83">
          <cell r="L83" t="str">
            <v>IS-4碎片</v>
          </cell>
          <cell r="M83">
            <v>53421</v>
          </cell>
          <cell r="N83" t="str">
            <v>shard_is4</v>
          </cell>
        </row>
        <row r="84">
          <cell r="L84" t="str">
            <v>T-32碎片</v>
          </cell>
          <cell r="M84">
            <v>53431</v>
          </cell>
          <cell r="N84" t="str">
            <v>shard_t32</v>
          </cell>
        </row>
        <row r="85">
          <cell r="L85" t="str">
            <v>M1A2碎片</v>
          </cell>
          <cell r="M85">
            <v>53511</v>
          </cell>
          <cell r="N85" t="str">
            <v>shard_m1a2</v>
          </cell>
        </row>
        <row r="86">
          <cell r="L86" t="str">
            <v>征服者碎片</v>
          </cell>
          <cell r="M86">
            <v>53341</v>
          </cell>
          <cell r="N86" t="str">
            <v>shard_pziii</v>
          </cell>
        </row>
        <row r="87">
          <cell r="L87" t="str">
            <v>涂装简写</v>
          </cell>
          <cell r="M87" t="str">
            <v>道具ID</v>
          </cell>
          <cell r="N87" t="str">
            <v>图标ID</v>
          </cell>
        </row>
        <row r="88">
          <cell r="L88" t="str">
            <v>T2低轻贴三</v>
          </cell>
          <cell r="M88">
            <v>80101</v>
          </cell>
          <cell r="N88" t="str">
            <v>ii-rd1</v>
          </cell>
        </row>
        <row r="89">
          <cell r="L89" t="str">
            <v>T2低中贴三</v>
          </cell>
          <cell r="M89">
            <v>81901</v>
          </cell>
          <cell r="N89" t="str">
            <v>t34-rd1</v>
          </cell>
        </row>
        <row r="90">
          <cell r="L90" t="str">
            <v>T2低重贴三</v>
          </cell>
          <cell r="M90">
            <v>83701</v>
          </cell>
          <cell r="N90" t="str">
            <v>b1-rd1</v>
          </cell>
        </row>
        <row r="91">
          <cell r="L91" t="str">
            <v>T2低轻贴永</v>
          </cell>
          <cell r="M91">
            <v>80102</v>
          </cell>
          <cell r="N91" t="str">
            <v>ii-rd1</v>
          </cell>
        </row>
        <row r="92">
          <cell r="L92" t="str">
            <v>T2低中贴永</v>
          </cell>
          <cell r="M92">
            <v>81902</v>
          </cell>
          <cell r="N92" t="str">
            <v>t34-rd1</v>
          </cell>
        </row>
        <row r="93">
          <cell r="L93" t="str">
            <v>T2低重贴永</v>
          </cell>
          <cell r="M93">
            <v>83702</v>
          </cell>
          <cell r="N93" t="str">
            <v>b1-rd1</v>
          </cell>
        </row>
        <row r="94">
          <cell r="L94" t="str">
            <v>T2中轻贴三</v>
          </cell>
          <cell r="M94">
            <v>80301</v>
          </cell>
          <cell r="N94" t="str">
            <v>sdkfz234-rd1</v>
          </cell>
        </row>
        <row r="95">
          <cell r="L95" t="str">
            <v>T2中中贴三</v>
          </cell>
          <cell r="M95">
            <v>82101</v>
          </cell>
          <cell r="N95" t="str">
            <v>iv-rd1</v>
          </cell>
        </row>
        <row r="96">
          <cell r="L96" t="str">
            <v>T2中重贴三</v>
          </cell>
          <cell r="M96">
            <v>83901</v>
          </cell>
          <cell r="N96" t="str">
            <v>churchill-rd1</v>
          </cell>
        </row>
        <row r="97">
          <cell r="L97" t="str">
            <v>T2中轻贴永</v>
          </cell>
          <cell r="M97">
            <v>80302</v>
          </cell>
          <cell r="N97" t="str">
            <v>sdkfz234-rd1</v>
          </cell>
        </row>
        <row r="98">
          <cell r="L98" t="str">
            <v>T2中中贴永</v>
          </cell>
          <cell r="M98">
            <v>82102</v>
          </cell>
          <cell r="N98" t="str">
            <v>iv-rd1</v>
          </cell>
        </row>
        <row r="99">
          <cell r="L99" t="str">
            <v>T2中重贴永</v>
          </cell>
          <cell r="M99">
            <v>83902</v>
          </cell>
          <cell r="N99" t="str">
            <v>churchill-rd1</v>
          </cell>
        </row>
        <row r="100">
          <cell r="L100" t="str">
            <v>T2低轻图三</v>
          </cell>
          <cell r="M100">
            <v>80201</v>
          </cell>
          <cell r="N100" t="str">
            <v>pziii-rd2</v>
          </cell>
        </row>
        <row r="101">
          <cell r="L101" t="str">
            <v>T2低中图三</v>
          </cell>
          <cell r="M101">
            <v>82001</v>
          </cell>
          <cell r="N101" t="str">
            <v>t34-rd2</v>
          </cell>
        </row>
        <row r="102">
          <cell r="L102" t="str">
            <v>T2低重图三</v>
          </cell>
          <cell r="M102">
            <v>83801</v>
          </cell>
          <cell r="N102" t="str">
            <v>b1-rd2</v>
          </cell>
        </row>
        <row r="103">
          <cell r="L103" t="str">
            <v>T2低轻图永</v>
          </cell>
          <cell r="M103">
            <v>80202</v>
          </cell>
          <cell r="N103" t="str">
            <v>pziii-rd2</v>
          </cell>
        </row>
        <row r="104">
          <cell r="L104" t="str">
            <v>T2低中图永</v>
          </cell>
          <cell r="M104">
            <v>82002</v>
          </cell>
          <cell r="N104" t="str">
            <v>t34-rd2</v>
          </cell>
        </row>
        <row r="105">
          <cell r="L105" t="str">
            <v>T2低重图永</v>
          </cell>
          <cell r="M105">
            <v>83802</v>
          </cell>
          <cell r="N105" t="str">
            <v>b1-rd2</v>
          </cell>
        </row>
        <row r="106">
          <cell r="L106" t="str">
            <v>T2中轻图三</v>
          </cell>
          <cell r="M106">
            <v>80401</v>
          </cell>
          <cell r="N106" t="str">
            <v>sdkfz234-rd2</v>
          </cell>
        </row>
        <row r="107">
          <cell r="L107" t="str">
            <v>T2中中图三</v>
          </cell>
          <cell r="M107">
            <v>82201</v>
          </cell>
          <cell r="N107" t="str">
            <v>iv-rd2</v>
          </cell>
        </row>
        <row r="108">
          <cell r="L108" t="str">
            <v>T2中重图三</v>
          </cell>
          <cell r="M108">
            <v>84001</v>
          </cell>
          <cell r="N108" t="str">
            <v>churchill-rd2</v>
          </cell>
        </row>
        <row r="109">
          <cell r="L109" t="str">
            <v>T2中轻图永</v>
          </cell>
          <cell r="M109">
            <v>80402</v>
          </cell>
          <cell r="N109" t="str">
            <v>sdkfz234-rd2</v>
          </cell>
        </row>
        <row r="110">
          <cell r="L110" t="str">
            <v>T2中中图永</v>
          </cell>
          <cell r="M110">
            <v>82202</v>
          </cell>
          <cell r="N110" t="str">
            <v>iv-rd2</v>
          </cell>
        </row>
        <row r="111">
          <cell r="L111" t="str">
            <v>T2中重图永</v>
          </cell>
          <cell r="M111">
            <v>84002</v>
          </cell>
          <cell r="N111" t="str">
            <v>churchill-rd2</v>
          </cell>
        </row>
        <row r="112">
          <cell r="L112" t="str">
            <v>T3低轻贴三</v>
          </cell>
          <cell r="M112">
            <v>80501</v>
          </cell>
          <cell r="N112" t="str">
            <v>35t-rd1</v>
          </cell>
        </row>
        <row r="113">
          <cell r="L113" t="str">
            <v>T3低中贴三</v>
          </cell>
          <cell r="M113">
            <v>82301</v>
          </cell>
          <cell r="N113" t="str">
            <v>mathilda-rd1</v>
          </cell>
        </row>
        <row r="114">
          <cell r="L114" t="str">
            <v>T3低重贴三</v>
          </cell>
          <cell r="M114">
            <v>84101</v>
          </cell>
          <cell r="N114" t="str">
            <v>panzer-v-rd1</v>
          </cell>
        </row>
        <row r="115">
          <cell r="L115" t="str">
            <v>T3低轻贴半</v>
          </cell>
          <cell r="M115">
            <v>80502</v>
          </cell>
          <cell r="N115" t="str">
            <v>35t-rd1</v>
          </cell>
        </row>
        <row r="116">
          <cell r="L116" t="str">
            <v>T3低中贴半</v>
          </cell>
          <cell r="M116">
            <v>82302</v>
          </cell>
          <cell r="N116" t="str">
            <v>mathilda-rd1</v>
          </cell>
        </row>
        <row r="117">
          <cell r="L117" t="str">
            <v>T3低重贴半</v>
          </cell>
          <cell r="M117">
            <v>84102</v>
          </cell>
          <cell r="N117" t="str">
            <v>panzer-v-rd1</v>
          </cell>
        </row>
        <row r="118">
          <cell r="L118" t="str">
            <v>T3低轻贴永</v>
          </cell>
          <cell r="M118">
            <v>80503</v>
          </cell>
          <cell r="N118" t="str">
            <v>35t-rd1</v>
          </cell>
        </row>
        <row r="119">
          <cell r="L119" t="str">
            <v>T3低中贴永</v>
          </cell>
          <cell r="M119">
            <v>82303</v>
          </cell>
          <cell r="N119" t="str">
            <v>mathilda-rd1</v>
          </cell>
        </row>
        <row r="120">
          <cell r="L120" t="str">
            <v>T3低重贴永</v>
          </cell>
          <cell r="M120">
            <v>84103</v>
          </cell>
          <cell r="N120" t="str">
            <v>panzer-v-rd1</v>
          </cell>
        </row>
        <row r="121">
          <cell r="L121" t="str">
            <v>T3低轻图三</v>
          </cell>
          <cell r="M121">
            <v>80601</v>
          </cell>
          <cell r="N121" t="str">
            <v>35t-rd2</v>
          </cell>
        </row>
        <row r="122">
          <cell r="L122" t="str">
            <v>T3低中图三</v>
          </cell>
          <cell r="M122">
            <v>82401</v>
          </cell>
          <cell r="N122" t="str">
            <v>mathilda-rd2</v>
          </cell>
        </row>
        <row r="123">
          <cell r="L123" t="str">
            <v>T3低重图三</v>
          </cell>
          <cell r="M123">
            <v>84201</v>
          </cell>
          <cell r="N123" t="str">
            <v>tiger-e-rd2</v>
          </cell>
        </row>
        <row r="124">
          <cell r="L124" t="str">
            <v>T3低轻图半</v>
          </cell>
          <cell r="M124">
            <v>80602</v>
          </cell>
          <cell r="N124" t="str">
            <v>35t-rd2</v>
          </cell>
        </row>
        <row r="125">
          <cell r="L125" t="str">
            <v>T3低中图半</v>
          </cell>
          <cell r="M125">
            <v>82402</v>
          </cell>
          <cell r="N125" t="str">
            <v>mathilda-rd2</v>
          </cell>
        </row>
        <row r="126">
          <cell r="L126" t="str">
            <v>T3低重图半</v>
          </cell>
          <cell r="M126">
            <v>84202</v>
          </cell>
          <cell r="N126" t="str">
            <v>tiger-e-rd2</v>
          </cell>
        </row>
        <row r="127">
          <cell r="L127" t="str">
            <v>T3低轻图永</v>
          </cell>
          <cell r="M127">
            <v>80603</v>
          </cell>
          <cell r="N127" t="str">
            <v>35t-rd2</v>
          </cell>
        </row>
        <row r="128">
          <cell r="L128" t="str">
            <v>T3低中图永</v>
          </cell>
          <cell r="M128">
            <v>82403</v>
          </cell>
          <cell r="N128" t="str">
            <v>mathilda-rd2</v>
          </cell>
        </row>
        <row r="129">
          <cell r="L129" t="str">
            <v>T3低重图永</v>
          </cell>
          <cell r="M129">
            <v>84203</v>
          </cell>
          <cell r="N129" t="str">
            <v>tiger-e-rd2</v>
          </cell>
        </row>
        <row r="130">
          <cell r="L130" t="str">
            <v>T3中轻贴三</v>
          </cell>
          <cell r="M130">
            <v>80701</v>
          </cell>
          <cell r="N130" t="str">
            <v>crusader-rd1</v>
          </cell>
        </row>
        <row r="131">
          <cell r="L131" t="str">
            <v>T3中中贴三</v>
          </cell>
          <cell r="M131">
            <v>82501</v>
          </cell>
          <cell r="N131" t="str">
            <v>m4-rd1</v>
          </cell>
        </row>
        <row r="132">
          <cell r="L132" t="str">
            <v>T3中重贴三</v>
          </cell>
          <cell r="M132">
            <v>84301</v>
          </cell>
          <cell r="N132" t="str">
            <v>tiger-rd1</v>
          </cell>
        </row>
        <row r="133">
          <cell r="L133" t="str">
            <v>T3中轻贴半</v>
          </cell>
          <cell r="M133">
            <v>80702</v>
          </cell>
          <cell r="N133" t="str">
            <v>crusader-rd1</v>
          </cell>
        </row>
        <row r="134">
          <cell r="L134" t="str">
            <v>T3中中贴半</v>
          </cell>
          <cell r="M134">
            <v>82502</v>
          </cell>
          <cell r="N134" t="str">
            <v>m4-rd1</v>
          </cell>
        </row>
        <row r="135">
          <cell r="L135" t="str">
            <v>T3中重贴半</v>
          </cell>
          <cell r="M135">
            <v>84302</v>
          </cell>
          <cell r="N135" t="str">
            <v>tiger-rd1</v>
          </cell>
        </row>
        <row r="136">
          <cell r="L136" t="str">
            <v>T3中轻贴永</v>
          </cell>
          <cell r="M136">
            <v>80703</v>
          </cell>
          <cell r="N136" t="str">
            <v>crusader-rd1</v>
          </cell>
        </row>
        <row r="137">
          <cell r="L137" t="str">
            <v>T3中中贴永</v>
          </cell>
          <cell r="M137">
            <v>82503</v>
          </cell>
          <cell r="N137" t="str">
            <v>m4-rd1</v>
          </cell>
        </row>
        <row r="138">
          <cell r="L138" t="str">
            <v>T3中重贴永</v>
          </cell>
          <cell r="M138">
            <v>84303</v>
          </cell>
          <cell r="N138" t="str">
            <v>tiger-rd1</v>
          </cell>
        </row>
        <row r="139">
          <cell r="L139" t="str">
            <v>T3中轻图三</v>
          </cell>
          <cell r="M139">
            <v>80801</v>
          </cell>
          <cell r="N139" t="str">
            <v>crusader-rd2</v>
          </cell>
        </row>
        <row r="140">
          <cell r="L140" t="str">
            <v>T3中中图三</v>
          </cell>
          <cell r="M140">
            <v>82601</v>
          </cell>
          <cell r="N140" t="str">
            <v>m4-rd2</v>
          </cell>
        </row>
        <row r="141">
          <cell r="L141" t="str">
            <v>T3中重图三</v>
          </cell>
          <cell r="M141">
            <v>84401</v>
          </cell>
          <cell r="N141" t="str">
            <v>tiger-rd2</v>
          </cell>
        </row>
        <row r="142">
          <cell r="L142" t="str">
            <v>T3中轻图半</v>
          </cell>
          <cell r="M142">
            <v>80802</v>
          </cell>
          <cell r="N142" t="str">
            <v>crusader-rd2</v>
          </cell>
        </row>
        <row r="143">
          <cell r="L143" t="str">
            <v>T3中中图半</v>
          </cell>
          <cell r="M143">
            <v>82602</v>
          </cell>
          <cell r="N143" t="str">
            <v>m4-rd2</v>
          </cell>
        </row>
        <row r="144">
          <cell r="L144" t="str">
            <v>T3中重图半</v>
          </cell>
          <cell r="M144">
            <v>84402</v>
          </cell>
          <cell r="N144" t="str">
            <v>tiger-rd2</v>
          </cell>
        </row>
        <row r="145">
          <cell r="L145" t="str">
            <v>T3中轻图永</v>
          </cell>
          <cell r="M145">
            <v>80803</v>
          </cell>
          <cell r="N145" t="str">
            <v>crusader-rd2</v>
          </cell>
        </row>
        <row r="146">
          <cell r="L146" t="str">
            <v>T3中中图永</v>
          </cell>
          <cell r="M146">
            <v>82603</v>
          </cell>
          <cell r="N146" t="str">
            <v>m4-rd2</v>
          </cell>
        </row>
        <row r="147">
          <cell r="L147" t="str">
            <v>T3中重图永</v>
          </cell>
          <cell r="M147">
            <v>84403</v>
          </cell>
          <cell r="N147" t="str">
            <v>tiger-rd2</v>
          </cell>
        </row>
        <row r="148">
          <cell r="L148" t="str">
            <v>T3高轻贴三</v>
          </cell>
          <cell r="M148">
            <v>80901</v>
          </cell>
          <cell r="N148" t="str">
            <v>amx13-rd1</v>
          </cell>
        </row>
        <row r="149">
          <cell r="L149" t="str">
            <v>T3高中贴三</v>
          </cell>
          <cell r="M149">
            <v>82701</v>
          </cell>
          <cell r="N149" t="str">
            <v>comet-rd1</v>
          </cell>
        </row>
        <row r="150">
          <cell r="L150" t="str">
            <v>T3高重贴三</v>
          </cell>
          <cell r="M150">
            <v>84501</v>
          </cell>
          <cell r="N150" t="str">
            <v>kv2-rd1</v>
          </cell>
        </row>
        <row r="151">
          <cell r="L151" t="str">
            <v>T3高轻贴半</v>
          </cell>
          <cell r="M151">
            <v>80902</v>
          </cell>
          <cell r="N151" t="str">
            <v>amx13-rd1</v>
          </cell>
        </row>
        <row r="152">
          <cell r="L152" t="str">
            <v>T3高中贴半</v>
          </cell>
          <cell r="M152">
            <v>82702</v>
          </cell>
          <cell r="N152" t="str">
            <v>comet-rd1</v>
          </cell>
        </row>
        <row r="153">
          <cell r="L153" t="str">
            <v>T3高重贴半</v>
          </cell>
          <cell r="M153">
            <v>84502</v>
          </cell>
          <cell r="N153" t="str">
            <v>kv2-rd1</v>
          </cell>
        </row>
        <row r="154">
          <cell r="L154" t="str">
            <v>T3高轻贴永</v>
          </cell>
          <cell r="M154">
            <v>80903</v>
          </cell>
          <cell r="N154" t="str">
            <v>amx13-rd1</v>
          </cell>
        </row>
        <row r="155">
          <cell r="L155" t="str">
            <v>T3高中贴永</v>
          </cell>
          <cell r="M155">
            <v>82703</v>
          </cell>
          <cell r="N155" t="str">
            <v>comet-rd1</v>
          </cell>
        </row>
        <row r="156">
          <cell r="L156" t="str">
            <v>T3高重贴永</v>
          </cell>
          <cell r="M156">
            <v>84503</v>
          </cell>
          <cell r="N156" t="str">
            <v>kv2-rd1</v>
          </cell>
        </row>
        <row r="157">
          <cell r="L157" t="str">
            <v>T3高轻图三</v>
          </cell>
          <cell r="M157">
            <v>81001</v>
          </cell>
          <cell r="N157" t="str">
            <v>amx13-rd2</v>
          </cell>
        </row>
        <row r="158">
          <cell r="L158" t="str">
            <v>T3高中图三</v>
          </cell>
          <cell r="M158">
            <v>82801</v>
          </cell>
          <cell r="N158" t="str">
            <v>comet-rd2</v>
          </cell>
        </row>
        <row r="159">
          <cell r="L159" t="str">
            <v>T3高重图三</v>
          </cell>
          <cell r="M159">
            <v>84601</v>
          </cell>
          <cell r="N159" t="str">
            <v>kv2-rd2</v>
          </cell>
        </row>
        <row r="160">
          <cell r="L160" t="str">
            <v>T3高轻图半</v>
          </cell>
          <cell r="M160">
            <v>81002</v>
          </cell>
          <cell r="N160" t="str">
            <v>amx13-rd2</v>
          </cell>
        </row>
        <row r="161">
          <cell r="L161" t="str">
            <v>T3高中图半</v>
          </cell>
          <cell r="M161">
            <v>82802</v>
          </cell>
          <cell r="N161" t="str">
            <v>comet-rd2</v>
          </cell>
        </row>
        <row r="162">
          <cell r="L162" t="str">
            <v>T3高重图半</v>
          </cell>
          <cell r="M162">
            <v>84602</v>
          </cell>
          <cell r="N162" t="str">
            <v>kv2-rd2</v>
          </cell>
        </row>
        <row r="163">
          <cell r="L163" t="str">
            <v>T3高轻图永</v>
          </cell>
          <cell r="M163">
            <v>81003</v>
          </cell>
          <cell r="N163" t="str">
            <v>amx13-rd2</v>
          </cell>
        </row>
        <row r="164">
          <cell r="L164" t="str">
            <v>T3高中图永</v>
          </cell>
          <cell r="M164">
            <v>82803</v>
          </cell>
          <cell r="N164" t="str">
            <v>comet-rd2</v>
          </cell>
        </row>
        <row r="165">
          <cell r="L165" t="str">
            <v>T3高重图永</v>
          </cell>
          <cell r="M165">
            <v>84603</v>
          </cell>
          <cell r="N165" t="str">
            <v>kv2-rd2</v>
          </cell>
        </row>
        <row r="166">
          <cell r="L166" t="str">
            <v>T4低轻贴三</v>
          </cell>
          <cell r="M166">
            <v>81101</v>
          </cell>
          <cell r="N166" t="str">
            <v>m24-rd1</v>
          </cell>
        </row>
        <row r="167">
          <cell r="L167" t="str">
            <v>T4低中贴三</v>
          </cell>
          <cell r="M167">
            <v>82901</v>
          </cell>
          <cell r="N167" t="str">
            <v>m48-rd1</v>
          </cell>
        </row>
        <row r="168">
          <cell r="L168" t="str">
            <v>T4低重贴三</v>
          </cell>
          <cell r="M168">
            <v>84701</v>
          </cell>
          <cell r="N168" t="str">
            <v>fv214-rd1</v>
          </cell>
        </row>
        <row r="169">
          <cell r="L169" t="str">
            <v>T4低轻贴半</v>
          </cell>
          <cell r="M169">
            <v>81102</v>
          </cell>
          <cell r="N169" t="str">
            <v>m24-rd1</v>
          </cell>
        </row>
        <row r="170">
          <cell r="L170" t="str">
            <v>T4低中贴半</v>
          </cell>
          <cell r="M170">
            <v>82902</v>
          </cell>
          <cell r="N170" t="str">
            <v>m48-rd1</v>
          </cell>
        </row>
        <row r="171">
          <cell r="L171" t="str">
            <v>T4低重贴半</v>
          </cell>
          <cell r="M171">
            <v>84702</v>
          </cell>
          <cell r="N171" t="str">
            <v>fv214-rd1</v>
          </cell>
        </row>
        <row r="172">
          <cell r="L172" t="str">
            <v>T4低轻贴永</v>
          </cell>
          <cell r="M172">
            <v>81103</v>
          </cell>
          <cell r="N172" t="str">
            <v>m24-rd1</v>
          </cell>
        </row>
        <row r="173">
          <cell r="L173" t="str">
            <v>T4低中贴永</v>
          </cell>
          <cell r="M173">
            <v>82903</v>
          </cell>
          <cell r="N173" t="str">
            <v>m48-rd1</v>
          </cell>
        </row>
        <row r="174">
          <cell r="L174" t="str">
            <v>T4低重贴永</v>
          </cell>
          <cell r="M174">
            <v>84703</v>
          </cell>
          <cell r="N174" t="str">
            <v>fv214-rd1</v>
          </cell>
        </row>
        <row r="175">
          <cell r="L175" t="str">
            <v>T4低轻图三</v>
          </cell>
          <cell r="M175">
            <v>81201</v>
          </cell>
          <cell r="N175" t="str">
            <v>m24-rd2</v>
          </cell>
        </row>
        <row r="176">
          <cell r="L176" t="str">
            <v>T4低中图三</v>
          </cell>
          <cell r="M176">
            <v>83001</v>
          </cell>
          <cell r="N176" t="str">
            <v>m48-rd2</v>
          </cell>
        </row>
        <row r="177">
          <cell r="L177" t="str">
            <v>T4低重图三</v>
          </cell>
          <cell r="M177">
            <v>84801</v>
          </cell>
          <cell r="N177" t="str">
            <v>fv214-rd2</v>
          </cell>
        </row>
        <row r="178">
          <cell r="L178" t="str">
            <v>T4低轻图半</v>
          </cell>
          <cell r="M178">
            <v>81202</v>
          </cell>
          <cell r="N178" t="str">
            <v>m24-rd2</v>
          </cell>
        </row>
        <row r="179">
          <cell r="L179" t="str">
            <v>T4低中图半</v>
          </cell>
          <cell r="M179">
            <v>83002</v>
          </cell>
          <cell r="N179" t="str">
            <v>m48-rd2</v>
          </cell>
        </row>
        <row r="180">
          <cell r="L180" t="str">
            <v>T4低重图半</v>
          </cell>
          <cell r="M180">
            <v>84802</v>
          </cell>
          <cell r="N180" t="str">
            <v>fv214-rd2</v>
          </cell>
        </row>
        <row r="181">
          <cell r="L181" t="str">
            <v>T4低轻图永</v>
          </cell>
          <cell r="M181">
            <v>81203</v>
          </cell>
          <cell r="N181" t="str">
            <v>m24-rd2</v>
          </cell>
        </row>
        <row r="182">
          <cell r="L182" t="str">
            <v>T4低中图永</v>
          </cell>
          <cell r="M182">
            <v>83003</v>
          </cell>
          <cell r="N182" t="str">
            <v>m48-rd2</v>
          </cell>
        </row>
        <row r="183">
          <cell r="L183" t="str">
            <v>T4低重图永</v>
          </cell>
          <cell r="M183">
            <v>84803</v>
          </cell>
          <cell r="N183" t="str">
            <v>fv214-rd2</v>
          </cell>
        </row>
        <row r="184">
          <cell r="L184" t="str">
            <v>T4中轻贴三</v>
          </cell>
          <cell r="M184">
            <v>81301</v>
          </cell>
          <cell r="N184" t="str">
            <v>m41-rd1</v>
          </cell>
        </row>
        <row r="185">
          <cell r="L185" t="str">
            <v>T4中中贴三</v>
          </cell>
          <cell r="M185">
            <v>83101</v>
          </cell>
          <cell r="N185" t="str">
            <v>m26-rd1</v>
          </cell>
        </row>
        <row r="186">
          <cell r="L186" t="str">
            <v>T4中重贴三</v>
          </cell>
          <cell r="M186">
            <v>84901</v>
          </cell>
          <cell r="N186" t="str">
            <v>is4-rd1</v>
          </cell>
        </row>
        <row r="187">
          <cell r="L187" t="str">
            <v>T4中轻贴半</v>
          </cell>
          <cell r="M187">
            <v>81302</v>
          </cell>
          <cell r="N187" t="str">
            <v>m41-rd1</v>
          </cell>
        </row>
        <row r="188">
          <cell r="L188" t="str">
            <v>T4中中贴半</v>
          </cell>
          <cell r="M188">
            <v>83102</v>
          </cell>
          <cell r="N188" t="str">
            <v>m26-rd1</v>
          </cell>
        </row>
        <row r="189">
          <cell r="L189" t="str">
            <v>T4中重贴半</v>
          </cell>
          <cell r="M189">
            <v>84902</v>
          </cell>
          <cell r="N189" t="str">
            <v>is4-rd1</v>
          </cell>
        </row>
        <row r="190">
          <cell r="L190" t="str">
            <v>T4中轻贴永</v>
          </cell>
          <cell r="M190">
            <v>81303</v>
          </cell>
          <cell r="N190" t="str">
            <v>m41-rd1</v>
          </cell>
        </row>
        <row r="191">
          <cell r="L191" t="str">
            <v>T4中中贴永</v>
          </cell>
          <cell r="M191">
            <v>83103</v>
          </cell>
          <cell r="N191" t="str">
            <v>m26-rd1</v>
          </cell>
        </row>
        <row r="192">
          <cell r="L192" t="str">
            <v>T4中重贴永</v>
          </cell>
          <cell r="M192">
            <v>84903</v>
          </cell>
          <cell r="N192" t="str">
            <v>is4-rd1</v>
          </cell>
        </row>
        <row r="193">
          <cell r="L193" t="str">
            <v>T4中轻图三</v>
          </cell>
          <cell r="M193">
            <v>81401</v>
          </cell>
          <cell r="N193" t="str">
            <v>m41-rd2</v>
          </cell>
        </row>
        <row r="194">
          <cell r="L194" t="str">
            <v>T4中中图三</v>
          </cell>
          <cell r="M194">
            <v>83201</v>
          </cell>
          <cell r="N194" t="str">
            <v>m26-rd2</v>
          </cell>
        </row>
        <row r="195">
          <cell r="L195" t="str">
            <v>T4中重图三</v>
          </cell>
          <cell r="M195">
            <v>85001</v>
          </cell>
          <cell r="N195" t="str">
            <v>is4-rd2</v>
          </cell>
        </row>
        <row r="196">
          <cell r="L196" t="str">
            <v>T4中轻图半</v>
          </cell>
          <cell r="M196">
            <v>81402</v>
          </cell>
          <cell r="N196" t="str">
            <v>m41-rd2</v>
          </cell>
        </row>
        <row r="197">
          <cell r="L197" t="str">
            <v>T4中中图半</v>
          </cell>
          <cell r="M197">
            <v>83202</v>
          </cell>
          <cell r="N197" t="str">
            <v>m26-rd2</v>
          </cell>
        </row>
        <row r="198">
          <cell r="L198" t="str">
            <v>T4中重图半</v>
          </cell>
          <cell r="M198">
            <v>85002</v>
          </cell>
          <cell r="N198" t="str">
            <v>is4-rd2</v>
          </cell>
        </row>
        <row r="199">
          <cell r="L199" t="str">
            <v>T4中轻图永</v>
          </cell>
          <cell r="M199">
            <v>81403</v>
          </cell>
          <cell r="N199" t="str">
            <v>m41-rd2</v>
          </cell>
        </row>
        <row r="200">
          <cell r="L200" t="str">
            <v>T4中中图永</v>
          </cell>
          <cell r="M200">
            <v>83203</v>
          </cell>
          <cell r="N200" t="str">
            <v>m26-rd2</v>
          </cell>
        </row>
        <row r="201">
          <cell r="L201" t="str">
            <v>T4中重图永</v>
          </cell>
          <cell r="M201">
            <v>85003</v>
          </cell>
          <cell r="N201" t="str">
            <v>is4-rd2</v>
          </cell>
        </row>
        <row r="202">
          <cell r="L202" t="str">
            <v>T4高轻贴三</v>
          </cell>
          <cell r="M202">
            <v>81501</v>
          </cell>
          <cell r="N202" t="str">
            <v>bmp-3-rd1</v>
          </cell>
        </row>
        <row r="203">
          <cell r="L203" t="str">
            <v>T4高中贴三</v>
          </cell>
          <cell r="M203">
            <v>83301</v>
          </cell>
          <cell r="N203" t="str">
            <v>centurion-rd1</v>
          </cell>
        </row>
        <row r="204">
          <cell r="L204" t="str">
            <v>T4高重贴三</v>
          </cell>
          <cell r="M204">
            <v>85101</v>
          </cell>
          <cell r="N204" t="str">
            <v>t32-rd1</v>
          </cell>
        </row>
        <row r="205">
          <cell r="L205" t="str">
            <v>T4高轻贴半</v>
          </cell>
          <cell r="M205">
            <v>81502</v>
          </cell>
          <cell r="N205" t="str">
            <v>bmp-3-rd1</v>
          </cell>
        </row>
        <row r="206">
          <cell r="B206" t="str">
            <v>部件名称</v>
          </cell>
          <cell r="C206" t="str">
            <v>道具ID</v>
          </cell>
          <cell r="D206" t="str">
            <v>部件ID</v>
          </cell>
          <cell r="L206" t="str">
            <v>T4高中贴半</v>
          </cell>
          <cell r="M206">
            <v>83302</v>
          </cell>
          <cell r="N206" t="str">
            <v>centurion-rd1</v>
          </cell>
        </row>
        <row r="207">
          <cell r="B207" t="str">
            <v>T1LP1</v>
          </cell>
          <cell r="C207">
            <v>91001</v>
          </cell>
          <cell r="D207">
            <v>1110</v>
          </cell>
          <cell r="L207" t="str">
            <v>T4高重贴半</v>
          </cell>
          <cell r="M207">
            <v>85102</v>
          </cell>
          <cell r="N207" t="str">
            <v>t32-rd1</v>
          </cell>
        </row>
        <row r="208">
          <cell r="B208" t="str">
            <v>T1LP2</v>
          </cell>
          <cell r="C208">
            <v>91002</v>
          </cell>
          <cell r="D208">
            <v>1120</v>
          </cell>
          <cell r="L208" t="str">
            <v>T4高轻贴永</v>
          </cell>
          <cell r="M208">
            <v>81503</v>
          </cell>
          <cell r="N208" t="str">
            <v>bmp-3-rd1</v>
          </cell>
        </row>
        <row r="209">
          <cell r="B209" t="str">
            <v>T1LP3</v>
          </cell>
          <cell r="C209">
            <v>91003</v>
          </cell>
          <cell r="D209">
            <v>1130</v>
          </cell>
          <cell r="L209" t="str">
            <v>T4高中贴永</v>
          </cell>
          <cell r="M209">
            <v>83303</v>
          </cell>
          <cell r="N209" t="str">
            <v>centurion-rd1</v>
          </cell>
        </row>
        <row r="210">
          <cell r="B210" t="str">
            <v>T1LP4</v>
          </cell>
          <cell r="C210">
            <v>91004</v>
          </cell>
          <cell r="D210">
            <v>1140</v>
          </cell>
          <cell r="L210" t="str">
            <v>T4高重贴永</v>
          </cell>
          <cell r="M210">
            <v>85103</v>
          </cell>
          <cell r="N210" t="str">
            <v>t32-rd1</v>
          </cell>
        </row>
        <row r="211">
          <cell r="B211" t="str">
            <v>T1LP5</v>
          </cell>
          <cell r="C211">
            <v>91005</v>
          </cell>
          <cell r="D211">
            <v>1150</v>
          </cell>
          <cell r="L211" t="str">
            <v>T4高轻图三</v>
          </cell>
          <cell r="M211">
            <v>81601</v>
          </cell>
          <cell r="N211" t="str">
            <v>bmp-3-rd2</v>
          </cell>
        </row>
        <row r="212">
          <cell r="B212" t="str">
            <v>T1LP6</v>
          </cell>
          <cell r="C212">
            <v>91006</v>
          </cell>
          <cell r="D212">
            <v>1160</v>
          </cell>
          <cell r="L212" t="str">
            <v>T4高中图三</v>
          </cell>
          <cell r="M212">
            <v>83401</v>
          </cell>
          <cell r="N212" t="str">
            <v>centurion-rd2</v>
          </cell>
        </row>
        <row r="213">
          <cell r="B213" t="str">
            <v>T1MP1</v>
          </cell>
          <cell r="C213">
            <v>91101</v>
          </cell>
          <cell r="D213">
            <v>1210</v>
          </cell>
          <cell r="L213" t="str">
            <v>T4高重图三</v>
          </cell>
          <cell r="M213">
            <v>85201</v>
          </cell>
          <cell r="N213" t="str">
            <v>t32-rd2</v>
          </cell>
        </row>
        <row r="214">
          <cell r="B214" t="str">
            <v>T1MP2</v>
          </cell>
          <cell r="C214">
            <v>91102</v>
          </cell>
          <cell r="D214">
            <v>1220</v>
          </cell>
          <cell r="L214" t="str">
            <v>T4高轻图半</v>
          </cell>
          <cell r="M214">
            <v>81602</v>
          </cell>
          <cell r="N214" t="str">
            <v>bmp-3-rd2</v>
          </cell>
        </row>
        <row r="215">
          <cell r="B215" t="str">
            <v>T1MP3</v>
          </cell>
          <cell r="C215">
            <v>91103</v>
          </cell>
          <cell r="D215">
            <v>1230</v>
          </cell>
          <cell r="L215" t="str">
            <v>T4高中图半</v>
          </cell>
          <cell r="M215">
            <v>83402</v>
          </cell>
          <cell r="N215" t="str">
            <v>centurion-rd2</v>
          </cell>
        </row>
        <row r="216">
          <cell r="B216" t="str">
            <v>T1MP4</v>
          </cell>
          <cell r="C216">
            <v>91104</v>
          </cell>
          <cell r="D216">
            <v>1240</v>
          </cell>
          <cell r="L216" t="str">
            <v>T4高重图半</v>
          </cell>
          <cell r="M216">
            <v>85202</v>
          </cell>
          <cell r="N216" t="str">
            <v>t32-rd2</v>
          </cell>
        </row>
        <row r="217">
          <cell r="B217" t="str">
            <v>T1MP5</v>
          </cell>
          <cell r="C217">
            <v>91105</v>
          </cell>
          <cell r="D217">
            <v>1250</v>
          </cell>
          <cell r="L217" t="str">
            <v>T4高轻图永</v>
          </cell>
          <cell r="M217">
            <v>81603</v>
          </cell>
          <cell r="N217" t="str">
            <v>bmp-3-rd2</v>
          </cell>
        </row>
        <row r="218">
          <cell r="B218" t="str">
            <v>T1MP6</v>
          </cell>
          <cell r="C218">
            <v>91106</v>
          </cell>
          <cell r="D218">
            <v>1260</v>
          </cell>
          <cell r="L218" t="str">
            <v>T4高中图永</v>
          </cell>
          <cell r="M218">
            <v>83403</v>
          </cell>
          <cell r="N218" t="str">
            <v>centurion-rd2</v>
          </cell>
        </row>
        <row r="219">
          <cell r="B219" t="str">
            <v>T1HP1</v>
          </cell>
          <cell r="C219">
            <v>91201</v>
          </cell>
          <cell r="D219">
            <v>1310</v>
          </cell>
          <cell r="L219" t="str">
            <v>T4高重图永</v>
          </cell>
          <cell r="M219">
            <v>85203</v>
          </cell>
          <cell r="N219" t="str">
            <v>t32-rd2</v>
          </cell>
        </row>
        <row r="220">
          <cell r="B220" t="str">
            <v>T1HP2</v>
          </cell>
          <cell r="C220">
            <v>91202</v>
          </cell>
          <cell r="D220">
            <v>1320</v>
          </cell>
          <cell r="L220" t="str">
            <v>T5低轻贴三</v>
          </cell>
          <cell r="M220">
            <v>81701</v>
          </cell>
          <cell r="N220" t="str">
            <v>59-rd1</v>
          </cell>
        </row>
        <row r="221">
          <cell r="B221" t="str">
            <v>T1HP3</v>
          </cell>
          <cell r="C221">
            <v>91203</v>
          </cell>
          <cell r="D221">
            <v>1330</v>
          </cell>
          <cell r="L221" t="str">
            <v>T5低中贴三</v>
          </cell>
          <cell r="M221">
            <v>83501</v>
          </cell>
          <cell r="N221" t="str">
            <v>challenger1-rd1</v>
          </cell>
        </row>
        <row r="222">
          <cell r="B222" t="str">
            <v>T1HP4</v>
          </cell>
          <cell r="C222">
            <v>91204</v>
          </cell>
          <cell r="D222">
            <v>1340</v>
          </cell>
          <cell r="L222" t="str">
            <v>T5低重贴三</v>
          </cell>
          <cell r="M222">
            <v>85301</v>
          </cell>
          <cell r="N222" t="str">
            <v>m1a2-rd1</v>
          </cell>
        </row>
        <row r="223">
          <cell r="B223" t="str">
            <v>T1HP5</v>
          </cell>
          <cell r="C223">
            <v>91205</v>
          </cell>
          <cell r="D223">
            <v>1350</v>
          </cell>
          <cell r="L223" t="str">
            <v>T5低轻贴半</v>
          </cell>
          <cell r="M223">
            <v>81702</v>
          </cell>
          <cell r="N223" t="str">
            <v>59-rd1</v>
          </cell>
        </row>
        <row r="224">
          <cell r="B224" t="str">
            <v>T1HP6</v>
          </cell>
          <cell r="C224">
            <v>91206</v>
          </cell>
          <cell r="D224">
            <v>1360</v>
          </cell>
          <cell r="L224" t="str">
            <v>T5低中贴半</v>
          </cell>
          <cell r="M224">
            <v>83502</v>
          </cell>
          <cell r="N224" t="str">
            <v>challenger1-rd1</v>
          </cell>
        </row>
        <row r="225">
          <cell r="B225" t="str">
            <v>T2LP1</v>
          </cell>
          <cell r="C225">
            <v>92001</v>
          </cell>
          <cell r="D225">
            <v>2110</v>
          </cell>
          <cell r="L225" t="str">
            <v>T5低重贴半</v>
          </cell>
          <cell r="M225">
            <v>85302</v>
          </cell>
          <cell r="N225" t="str">
            <v>m1a2-rd1</v>
          </cell>
        </row>
        <row r="226">
          <cell r="B226" t="str">
            <v>T2LP2</v>
          </cell>
          <cell r="C226">
            <v>92002</v>
          </cell>
          <cell r="D226">
            <v>2120</v>
          </cell>
          <cell r="L226" t="str">
            <v>T5低轻贴永</v>
          </cell>
          <cell r="M226">
            <v>81703</v>
          </cell>
          <cell r="N226" t="str">
            <v>59-rd1</v>
          </cell>
        </row>
        <row r="227">
          <cell r="B227" t="str">
            <v>T2LP3</v>
          </cell>
          <cell r="C227">
            <v>92003</v>
          </cell>
          <cell r="D227">
            <v>2130</v>
          </cell>
          <cell r="L227" t="str">
            <v>T5低中贴永</v>
          </cell>
          <cell r="M227">
            <v>83503</v>
          </cell>
          <cell r="N227" t="str">
            <v>challenger1-rd1</v>
          </cell>
        </row>
        <row r="228">
          <cell r="B228" t="str">
            <v>T2LP4</v>
          </cell>
          <cell r="C228">
            <v>92004</v>
          </cell>
          <cell r="D228">
            <v>2140</v>
          </cell>
          <cell r="L228" t="str">
            <v>T5低重贴永</v>
          </cell>
          <cell r="M228">
            <v>85303</v>
          </cell>
          <cell r="N228" t="str">
            <v>m1a2-rd1</v>
          </cell>
        </row>
        <row r="229">
          <cell r="B229" t="str">
            <v>T2LP5</v>
          </cell>
          <cell r="C229">
            <v>92005</v>
          </cell>
          <cell r="D229">
            <v>2150</v>
          </cell>
          <cell r="L229" t="str">
            <v>T5低轻图三</v>
          </cell>
          <cell r="M229">
            <v>81801</v>
          </cell>
          <cell r="N229" t="str">
            <v>59-rd2</v>
          </cell>
        </row>
        <row r="230">
          <cell r="B230" t="str">
            <v>T2LP6</v>
          </cell>
          <cell r="C230">
            <v>92006</v>
          </cell>
          <cell r="D230">
            <v>2160</v>
          </cell>
          <cell r="L230" t="str">
            <v>T5低中图三</v>
          </cell>
          <cell r="M230">
            <v>83601</v>
          </cell>
          <cell r="N230" t="str">
            <v>challenger1-rd2</v>
          </cell>
        </row>
        <row r="231">
          <cell r="B231" t="str">
            <v>T2MP1</v>
          </cell>
          <cell r="C231">
            <v>92101</v>
          </cell>
          <cell r="D231">
            <v>2210</v>
          </cell>
          <cell r="L231" t="str">
            <v>T5低重图三</v>
          </cell>
          <cell r="M231">
            <v>85401</v>
          </cell>
          <cell r="N231" t="str">
            <v>m1a2-rd2</v>
          </cell>
        </row>
        <row r="232">
          <cell r="B232" t="str">
            <v>T2MP2</v>
          </cell>
          <cell r="C232">
            <v>92102</v>
          </cell>
          <cell r="D232">
            <v>2220</v>
          </cell>
          <cell r="L232" t="str">
            <v>T5低轻图半</v>
          </cell>
          <cell r="M232">
            <v>81802</v>
          </cell>
          <cell r="N232" t="str">
            <v>59-rd2</v>
          </cell>
        </row>
        <row r="233">
          <cell r="B233" t="str">
            <v>T2MP3</v>
          </cell>
          <cell r="C233">
            <v>92103</v>
          </cell>
          <cell r="D233">
            <v>2230</v>
          </cell>
          <cell r="L233" t="str">
            <v>T5低中图半</v>
          </cell>
          <cell r="M233">
            <v>83602</v>
          </cell>
          <cell r="N233" t="str">
            <v>challenger1-rd2</v>
          </cell>
        </row>
        <row r="234">
          <cell r="B234" t="str">
            <v>T2MP4</v>
          </cell>
          <cell r="C234">
            <v>92104</v>
          </cell>
          <cell r="D234">
            <v>2240</v>
          </cell>
          <cell r="L234" t="str">
            <v>T5低重图半</v>
          </cell>
          <cell r="M234">
            <v>85402</v>
          </cell>
          <cell r="N234" t="str">
            <v>m1a2-rd2</v>
          </cell>
        </row>
        <row r="235">
          <cell r="B235" t="str">
            <v>T2MP5</v>
          </cell>
          <cell r="C235">
            <v>92105</v>
          </cell>
          <cell r="D235">
            <v>2250</v>
          </cell>
          <cell r="L235" t="str">
            <v>T5低轻图永</v>
          </cell>
          <cell r="M235">
            <v>81803</v>
          </cell>
          <cell r="N235" t="str">
            <v>59-rd2</v>
          </cell>
        </row>
        <row r="236">
          <cell r="B236" t="str">
            <v>T2MP6</v>
          </cell>
          <cell r="C236">
            <v>92106</v>
          </cell>
          <cell r="D236">
            <v>2260</v>
          </cell>
          <cell r="L236" t="str">
            <v>T5低中图永</v>
          </cell>
          <cell r="M236">
            <v>83603</v>
          </cell>
          <cell r="N236" t="str">
            <v>challenger1-rd2</v>
          </cell>
        </row>
        <row r="237">
          <cell r="B237" t="str">
            <v>T2HP1</v>
          </cell>
          <cell r="C237">
            <v>92201</v>
          </cell>
          <cell r="D237">
            <v>2310</v>
          </cell>
          <cell r="L237" t="str">
            <v>T5低重图永</v>
          </cell>
          <cell r="M237">
            <v>85403</v>
          </cell>
          <cell r="N237" t="str">
            <v>m1a2-rd2</v>
          </cell>
        </row>
        <row r="238">
          <cell r="B238" t="str">
            <v>T2HP2</v>
          </cell>
          <cell r="C238">
            <v>92202</v>
          </cell>
          <cell r="D238">
            <v>2320</v>
          </cell>
        </row>
        <row r="239">
          <cell r="B239" t="str">
            <v>T2HP3</v>
          </cell>
          <cell r="C239">
            <v>92203</v>
          </cell>
          <cell r="D239">
            <v>2330</v>
          </cell>
          <cell r="L239" t="str">
            <v>部件名称</v>
          </cell>
          <cell r="M239" t="str">
            <v>道具ID</v>
          </cell>
          <cell r="N239" t="str">
            <v>图标ID</v>
          </cell>
        </row>
        <row r="240">
          <cell r="B240" t="str">
            <v>T2HP4</v>
          </cell>
          <cell r="C240">
            <v>92204</v>
          </cell>
          <cell r="D240">
            <v>2340</v>
          </cell>
          <cell r="L240" t="str">
            <v>T1LP1</v>
          </cell>
          <cell r="M240">
            <v>91001</v>
          </cell>
          <cell r="N240" t="str">
            <v>tank_part_icon_1_1</v>
          </cell>
        </row>
        <row r="241">
          <cell r="B241" t="str">
            <v>T2HP5</v>
          </cell>
          <cell r="C241">
            <v>92205</v>
          </cell>
          <cell r="D241">
            <v>2350</v>
          </cell>
          <cell r="L241" t="str">
            <v>T1LP2</v>
          </cell>
          <cell r="M241">
            <v>91002</v>
          </cell>
          <cell r="N241" t="str">
            <v>tank_part_icon_2_1</v>
          </cell>
        </row>
        <row r="242">
          <cell r="B242" t="str">
            <v>T2HP6</v>
          </cell>
          <cell r="C242">
            <v>92206</v>
          </cell>
          <cell r="D242">
            <v>2360</v>
          </cell>
          <cell r="L242" t="str">
            <v>T1LP3</v>
          </cell>
          <cell r="M242">
            <v>91003</v>
          </cell>
          <cell r="N242" t="str">
            <v>tank_part_icon_3_1</v>
          </cell>
        </row>
        <row r="243">
          <cell r="B243" t="str">
            <v>T3LP1</v>
          </cell>
          <cell r="C243">
            <v>93001</v>
          </cell>
          <cell r="D243">
            <v>3110</v>
          </cell>
          <cell r="L243" t="str">
            <v>T1LP4</v>
          </cell>
          <cell r="M243">
            <v>91004</v>
          </cell>
          <cell r="N243" t="str">
            <v>tank_part_icon_4_1</v>
          </cell>
        </row>
        <row r="244">
          <cell r="B244" t="str">
            <v>T3LP2</v>
          </cell>
          <cell r="C244">
            <v>93002</v>
          </cell>
          <cell r="D244">
            <v>3120</v>
          </cell>
          <cell r="L244" t="str">
            <v>T1LP5</v>
          </cell>
          <cell r="M244">
            <v>91005</v>
          </cell>
          <cell r="N244" t="str">
            <v>tank_part_icon_5_1</v>
          </cell>
        </row>
        <row r="245">
          <cell r="B245" t="str">
            <v>T3LP3</v>
          </cell>
          <cell r="C245">
            <v>93003</v>
          </cell>
          <cell r="D245">
            <v>3130</v>
          </cell>
          <cell r="L245" t="str">
            <v>T1LP6</v>
          </cell>
          <cell r="M245">
            <v>91006</v>
          </cell>
          <cell r="N245" t="str">
            <v>tank_part_icon_6_1</v>
          </cell>
        </row>
        <row r="246">
          <cell r="B246" t="str">
            <v>T3LP4</v>
          </cell>
          <cell r="C246">
            <v>93004</v>
          </cell>
          <cell r="D246">
            <v>3140</v>
          </cell>
          <cell r="L246" t="str">
            <v>T1MP1</v>
          </cell>
          <cell r="M246">
            <v>91101</v>
          </cell>
          <cell r="N246" t="str">
            <v>tank_part_icon_1_2</v>
          </cell>
        </row>
        <row r="247">
          <cell r="B247" t="str">
            <v>T3LP5</v>
          </cell>
          <cell r="C247">
            <v>93005</v>
          </cell>
          <cell r="D247">
            <v>3150</v>
          </cell>
          <cell r="L247" t="str">
            <v>T1MP2</v>
          </cell>
          <cell r="M247">
            <v>91102</v>
          </cell>
          <cell r="N247" t="str">
            <v>tank_part_icon_2_2</v>
          </cell>
        </row>
        <row r="248">
          <cell r="B248" t="str">
            <v>T3LP6</v>
          </cell>
          <cell r="C248">
            <v>93006</v>
          </cell>
          <cell r="D248">
            <v>3160</v>
          </cell>
          <cell r="L248" t="str">
            <v>T1MP3</v>
          </cell>
          <cell r="M248">
            <v>91103</v>
          </cell>
          <cell r="N248" t="str">
            <v>tank_part_icon_3_2</v>
          </cell>
        </row>
        <row r="249">
          <cell r="B249" t="str">
            <v>T3MP1</v>
          </cell>
          <cell r="C249">
            <v>93101</v>
          </cell>
          <cell r="D249">
            <v>3210</v>
          </cell>
          <cell r="L249" t="str">
            <v>T1MP4</v>
          </cell>
          <cell r="M249">
            <v>91104</v>
          </cell>
          <cell r="N249" t="str">
            <v>tank_part_icon_4_2</v>
          </cell>
        </row>
        <row r="250">
          <cell r="B250" t="str">
            <v>T3MP2</v>
          </cell>
          <cell r="C250">
            <v>93102</v>
          </cell>
          <cell r="D250">
            <v>3220</v>
          </cell>
          <cell r="L250" t="str">
            <v>T1MP5</v>
          </cell>
          <cell r="M250">
            <v>91105</v>
          </cell>
          <cell r="N250" t="str">
            <v>tank_part_icon_5_2</v>
          </cell>
        </row>
        <row r="251">
          <cell r="B251" t="str">
            <v>T3MP3</v>
          </cell>
          <cell r="C251">
            <v>93103</v>
          </cell>
          <cell r="D251">
            <v>3230</v>
          </cell>
          <cell r="L251" t="str">
            <v>T1MP6</v>
          </cell>
          <cell r="M251">
            <v>91106</v>
          </cell>
          <cell r="N251" t="str">
            <v>tank_part_icon_6_2</v>
          </cell>
        </row>
        <row r="252">
          <cell r="B252" t="str">
            <v>T3MP4</v>
          </cell>
          <cell r="C252">
            <v>93104</v>
          </cell>
          <cell r="D252">
            <v>3240</v>
          </cell>
          <cell r="L252" t="str">
            <v>T1HP1</v>
          </cell>
          <cell r="M252">
            <v>91201</v>
          </cell>
          <cell r="N252" t="str">
            <v>tank_part_icon_1_3</v>
          </cell>
        </row>
        <row r="253">
          <cell r="B253" t="str">
            <v>T3MP5</v>
          </cell>
          <cell r="C253">
            <v>93105</v>
          </cell>
          <cell r="D253">
            <v>3250</v>
          </cell>
          <cell r="L253" t="str">
            <v>T1HP2</v>
          </cell>
          <cell r="M253">
            <v>91202</v>
          </cell>
          <cell r="N253" t="str">
            <v>tank_part_icon_2_3</v>
          </cell>
        </row>
        <row r="254">
          <cell r="B254" t="str">
            <v>T3MP6</v>
          </cell>
          <cell r="C254">
            <v>93106</v>
          </cell>
          <cell r="D254">
            <v>3260</v>
          </cell>
          <cell r="L254" t="str">
            <v>T1HP3</v>
          </cell>
          <cell r="M254">
            <v>91203</v>
          </cell>
          <cell r="N254" t="str">
            <v>tank_part_icon_3_3</v>
          </cell>
        </row>
        <row r="255">
          <cell r="B255" t="str">
            <v>T3HP1</v>
          </cell>
          <cell r="C255">
            <v>93201</v>
          </cell>
          <cell r="D255">
            <v>3310</v>
          </cell>
          <cell r="L255" t="str">
            <v>T1HP4</v>
          </cell>
          <cell r="M255">
            <v>91204</v>
          </cell>
          <cell r="N255" t="str">
            <v>tank_part_icon_4_3</v>
          </cell>
        </row>
        <row r="256">
          <cell r="B256" t="str">
            <v>T3HP2</v>
          </cell>
          <cell r="C256">
            <v>93202</v>
          </cell>
          <cell r="D256">
            <v>3320</v>
          </cell>
          <cell r="L256" t="str">
            <v>T1HP5</v>
          </cell>
          <cell r="M256">
            <v>91205</v>
          </cell>
          <cell r="N256" t="str">
            <v>tank_part_icon_5_3</v>
          </cell>
        </row>
        <row r="257">
          <cell r="B257" t="str">
            <v>T3HP3</v>
          </cell>
          <cell r="C257">
            <v>93203</v>
          </cell>
          <cell r="D257">
            <v>3330</v>
          </cell>
          <cell r="L257" t="str">
            <v>T1HP6</v>
          </cell>
          <cell r="M257">
            <v>91206</v>
          </cell>
          <cell r="N257" t="str">
            <v>tank_part_icon_6_3</v>
          </cell>
        </row>
        <row r="258">
          <cell r="B258" t="str">
            <v>T3HP4</v>
          </cell>
          <cell r="C258">
            <v>93204</v>
          </cell>
          <cell r="D258">
            <v>3340</v>
          </cell>
          <cell r="L258" t="str">
            <v>T2LP1</v>
          </cell>
          <cell r="M258">
            <v>92001</v>
          </cell>
          <cell r="N258" t="str">
            <v>tank_part_icon_1_1</v>
          </cell>
        </row>
        <row r="259">
          <cell r="B259" t="str">
            <v>T3HP5</v>
          </cell>
          <cell r="C259">
            <v>93205</v>
          </cell>
          <cell r="D259">
            <v>3350</v>
          </cell>
          <cell r="L259" t="str">
            <v>T2LP2</v>
          </cell>
          <cell r="M259">
            <v>92002</v>
          </cell>
          <cell r="N259" t="str">
            <v>tank_part_icon_2_1</v>
          </cell>
        </row>
        <row r="260">
          <cell r="B260" t="str">
            <v>T3HP6</v>
          </cell>
          <cell r="C260">
            <v>93206</v>
          </cell>
          <cell r="D260">
            <v>3360</v>
          </cell>
          <cell r="L260" t="str">
            <v>T2LP3</v>
          </cell>
          <cell r="M260">
            <v>92003</v>
          </cell>
          <cell r="N260" t="str">
            <v>tank_part_icon_3_1</v>
          </cell>
        </row>
        <row r="261">
          <cell r="B261" t="str">
            <v>T4LP1</v>
          </cell>
          <cell r="C261">
            <v>94001</v>
          </cell>
          <cell r="D261">
            <v>4110</v>
          </cell>
          <cell r="L261" t="str">
            <v>T2LP4</v>
          </cell>
          <cell r="M261">
            <v>92004</v>
          </cell>
          <cell r="N261" t="str">
            <v>tank_part_icon_4_1</v>
          </cell>
        </row>
        <row r="262">
          <cell r="B262" t="str">
            <v>T4LP2</v>
          </cell>
          <cell r="C262">
            <v>94002</v>
          </cell>
          <cell r="D262">
            <v>4120</v>
          </cell>
          <cell r="L262" t="str">
            <v>T2LP5</v>
          </cell>
          <cell r="M262">
            <v>92005</v>
          </cell>
          <cell r="N262" t="str">
            <v>tank_part_icon_5_1</v>
          </cell>
        </row>
        <row r="263">
          <cell r="B263" t="str">
            <v>T4LP3</v>
          </cell>
          <cell r="C263">
            <v>94003</v>
          </cell>
          <cell r="D263">
            <v>4130</v>
          </cell>
          <cell r="L263" t="str">
            <v>T2LP6</v>
          </cell>
          <cell r="M263">
            <v>92006</v>
          </cell>
          <cell r="N263" t="str">
            <v>tank_part_icon_6_1</v>
          </cell>
        </row>
        <row r="264">
          <cell r="B264" t="str">
            <v>T4LP4</v>
          </cell>
          <cell r="C264">
            <v>94004</v>
          </cell>
          <cell r="D264">
            <v>4140</v>
          </cell>
          <cell r="L264" t="str">
            <v>T2MP1</v>
          </cell>
          <cell r="M264">
            <v>92101</v>
          </cell>
          <cell r="N264" t="str">
            <v>tank_part_icon_1_2</v>
          </cell>
        </row>
        <row r="265">
          <cell r="B265" t="str">
            <v>T4LP5</v>
          </cell>
          <cell r="C265">
            <v>94005</v>
          </cell>
          <cell r="D265">
            <v>4150</v>
          </cell>
          <cell r="L265" t="str">
            <v>T2MP2</v>
          </cell>
          <cell r="M265">
            <v>92102</v>
          </cell>
          <cell r="N265" t="str">
            <v>tank_part_icon_2_2</v>
          </cell>
        </row>
        <row r="266">
          <cell r="B266" t="str">
            <v>T4LP6</v>
          </cell>
          <cell r="C266">
            <v>94006</v>
          </cell>
          <cell r="D266">
            <v>4160</v>
          </cell>
          <cell r="L266" t="str">
            <v>T2MP3</v>
          </cell>
          <cell r="M266">
            <v>92103</v>
          </cell>
          <cell r="N266" t="str">
            <v>tank_part_icon_3_2</v>
          </cell>
        </row>
        <row r="267">
          <cell r="B267" t="str">
            <v>T4MP1</v>
          </cell>
          <cell r="C267">
            <v>94101</v>
          </cell>
          <cell r="D267">
            <v>4210</v>
          </cell>
          <cell r="L267" t="str">
            <v>T2MP4</v>
          </cell>
          <cell r="M267">
            <v>92104</v>
          </cell>
          <cell r="N267" t="str">
            <v>tank_part_icon_4_2</v>
          </cell>
        </row>
        <row r="268">
          <cell r="B268" t="str">
            <v>T4MP2</v>
          </cell>
          <cell r="C268">
            <v>94102</v>
          </cell>
          <cell r="D268">
            <v>4220</v>
          </cell>
          <cell r="L268" t="str">
            <v>T2MP5</v>
          </cell>
          <cell r="M268">
            <v>92105</v>
          </cell>
          <cell r="N268" t="str">
            <v>tank_part_icon_5_2</v>
          </cell>
        </row>
        <row r="269">
          <cell r="B269" t="str">
            <v>T4MP3</v>
          </cell>
          <cell r="C269">
            <v>94103</v>
          </cell>
          <cell r="D269">
            <v>4230</v>
          </cell>
          <cell r="L269" t="str">
            <v>T2MP6</v>
          </cell>
          <cell r="M269">
            <v>92106</v>
          </cell>
          <cell r="N269" t="str">
            <v>tank_part_icon_6_2</v>
          </cell>
        </row>
        <row r="270">
          <cell r="B270" t="str">
            <v>T4MP4</v>
          </cell>
          <cell r="C270">
            <v>94104</v>
          </cell>
          <cell r="D270">
            <v>4240</v>
          </cell>
          <cell r="L270" t="str">
            <v>T2HP1</v>
          </cell>
          <cell r="M270">
            <v>92201</v>
          </cell>
          <cell r="N270" t="str">
            <v>tank_part_icon_1_3</v>
          </cell>
        </row>
        <row r="271">
          <cell r="B271" t="str">
            <v>T4MP5</v>
          </cell>
          <cell r="C271">
            <v>94105</v>
          </cell>
          <cell r="D271">
            <v>4250</v>
          </cell>
          <cell r="L271" t="str">
            <v>T2HP2</v>
          </cell>
          <cell r="M271">
            <v>92202</v>
          </cell>
          <cell r="N271" t="str">
            <v>tank_part_icon_2_3</v>
          </cell>
        </row>
        <row r="272">
          <cell r="B272" t="str">
            <v>T4MP6</v>
          </cell>
          <cell r="C272">
            <v>94106</v>
          </cell>
          <cell r="D272">
            <v>4260</v>
          </cell>
          <cell r="L272" t="str">
            <v>T2HP3</v>
          </cell>
          <cell r="M272">
            <v>92203</v>
          </cell>
          <cell r="N272" t="str">
            <v>tank_part_icon_3_3</v>
          </cell>
        </row>
        <row r="273">
          <cell r="B273" t="str">
            <v>T4HP1</v>
          </cell>
          <cell r="C273">
            <v>94201</v>
          </cell>
          <cell r="D273">
            <v>4310</v>
          </cell>
          <cell r="L273" t="str">
            <v>T2HP4</v>
          </cell>
          <cell r="M273">
            <v>92204</v>
          </cell>
          <cell r="N273" t="str">
            <v>tank_part_icon_4_3</v>
          </cell>
        </row>
        <row r="274">
          <cell r="B274" t="str">
            <v>T4HP2</v>
          </cell>
          <cell r="C274">
            <v>94202</v>
          </cell>
          <cell r="D274">
            <v>4320</v>
          </cell>
          <cell r="L274" t="str">
            <v>T2HP5</v>
          </cell>
          <cell r="M274">
            <v>92205</v>
          </cell>
          <cell r="N274" t="str">
            <v>tank_part_icon_5_3</v>
          </cell>
        </row>
        <row r="275">
          <cell r="B275" t="str">
            <v>T4HP3</v>
          </cell>
          <cell r="C275">
            <v>94203</v>
          </cell>
          <cell r="D275">
            <v>4330</v>
          </cell>
          <cell r="L275" t="str">
            <v>T2HP6</v>
          </cell>
          <cell r="M275">
            <v>92206</v>
          </cell>
          <cell r="N275" t="str">
            <v>tank_part_icon_6_3</v>
          </cell>
        </row>
        <row r="276">
          <cell r="B276" t="str">
            <v>T4HP4</v>
          </cell>
          <cell r="C276">
            <v>94204</v>
          </cell>
          <cell r="D276">
            <v>4340</v>
          </cell>
          <cell r="L276" t="str">
            <v>T3LP1</v>
          </cell>
          <cell r="M276">
            <v>93001</v>
          </cell>
          <cell r="N276" t="str">
            <v>tank_part_icon_1_1</v>
          </cell>
        </row>
        <row r="277">
          <cell r="B277" t="str">
            <v>T4HP5</v>
          </cell>
          <cell r="C277">
            <v>94205</v>
          </cell>
          <cell r="D277">
            <v>4350</v>
          </cell>
          <cell r="L277" t="str">
            <v>T3LP2</v>
          </cell>
          <cell r="M277">
            <v>93002</v>
          </cell>
          <cell r="N277" t="str">
            <v>tank_part_icon_2_1</v>
          </cell>
        </row>
        <row r="278">
          <cell r="B278" t="str">
            <v>T4HP6</v>
          </cell>
          <cell r="C278">
            <v>94206</v>
          </cell>
          <cell r="D278">
            <v>4360</v>
          </cell>
          <cell r="L278" t="str">
            <v>T3LP3</v>
          </cell>
          <cell r="M278">
            <v>93003</v>
          </cell>
          <cell r="N278" t="str">
            <v>tank_part_icon_3_1</v>
          </cell>
        </row>
        <row r="279">
          <cell r="B279" t="str">
            <v>T5LP1</v>
          </cell>
          <cell r="C279">
            <v>95001</v>
          </cell>
          <cell r="D279">
            <v>5110</v>
          </cell>
          <cell r="L279" t="str">
            <v>T3LP4</v>
          </cell>
          <cell r="M279">
            <v>93004</v>
          </cell>
          <cell r="N279" t="str">
            <v>tank_part_icon_4_1</v>
          </cell>
        </row>
        <row r="280">
          <cell r="B280" t="str">
            <v>T5LP2</v>
          </cell>
          <cell r="C280">
            <v>95002</v>
          </cell>
          <cell r="D280">
            <v>5120</v>
          </cell>
          <cell r="L280" t="str">
            <v>T3LP5</v>
          </cell>
          <cell r="M280">
            <v>93005</v>
          </cell>
          <cell r="N280" t="str">
            <v>tank_part_icon_5_1</v>
          </cell>
        </row>
        <row r="281">
          <cell r="B281" t="str">
            <v>T5LP3</v>
          </cell>
          <cell r="C281">
            <v>95003</v>
          </cell>
          <cell r="D281">
            <v>5130</v>
          </cell>
          <cell r="L281" t="str">
            <v>T3LP6</v>
          </cell>
          <cell r="M281">
            <v>93006</v>
          </cell>
          <cell r="N281" t="str">
            <v>tank_part_icon_6_1</v>
          </cell>
        </row>
        <row r="282">
          <cell r="B282" t="str">
            <v>T5LP4</v>
          </cell>
          <cell r="C282">
            <v>95004</v>
          </cell>
          <cell r="D282">
            <v>5140</v>
          </cell>
          <cell r="L282" t="str">
            <v>T3MP1</v>
          </cell>
          <cell r="M282">
            <v>93101</v>
          </cell>
          <cell r="N282" t="str">
            <v>tank_part_icon_1_2</v>
          </cell>
        </row>
        <row r="283">
          <cell r="B283" t="str">
            <v>T5LP5</v>
          </cell>
          <cell r="C283">
            <v>95005</v>
          </cell>
          <cell r="D283">
            <v>5150</v>
          </cell>
          <cell r="L283" t="str">
            <v>T3MP2</v>
          </cell>
          <cell r="M283">
            <v>93102</v>
          </cell>
          <cell r="N283" t="str">
            <v>tank_part_icon_2_2</v>
          </cell>
        </row>
        <row r="284">
          <cell r="B284" t="str">
            <v>T5LP6</v>
          </cell>
          <cell r="C284">
            <v>95006</v>
          </cell>
          <cell r="D284">
            <v>5160</v>
          </cell>
          <cell r="L284" t="str">
            <v>T3MP3</v>
          </cell>
          <cell r="M284">
            <v>93103</v>
          </cell>
          <cell r="N284" t="str">
            <v>tank_part_icon_3_2</v>
          </cell>
        </row>
        <row r="285">
          <cell r="B285" t="str">
            <v>T5MP1</v>
          </cell>
          <cell r="C285">
            <v>95101</v>
          </cell>
          <cell r="D285">
            <v>5210</v>
          </cell>
          <cell r="L285" t="str">
            <v>T3MP4</v>
          </cell>
          <cell r="M285">
            <v>93104</v>
          </cell>
          <cell r="N285" t="str">
            <v>tank_part_icon_4_2</v>
          </cell>
        </row>
        <row r="286">
          <cell r="B286" t="str">
            <v>T5MP2</v>
          </cell>
          <cell r="C286">
            <v>95102</v>
          </cell>
          <cell r="D286">
            <v>5220</v>
          </cell>
          <cell r="L286" t="str">
            <v>T3MP5</v>
          </cell>
          <cell r="M286">
            <v>93105</v>
          </cell>
          <cell r="N286" t="str">
            <v>tank_part_icon_5_2</v>
          </cell>
        </row>
        <row r="287">
          <cell r="B287" t="str">
            <v>T5MP3</v>
          </cell>
          <cell r="C287">
            <v>95103</v>
          </cell>
          <cell r="D287">
            <v>5230</v>
          </cell>
          <cell r="L287" t="str">
            <v>T3MP6</v>
          </cell>
          <cell r="M287">
            <v>93106</v>
          </cell>
          <cell r="N287" t="str">
            <v>tank_part_icon_6_2</v>
          </cell>
        </row>
        <row r="288">
          <cell r="B288" t="str">
            <v>T5MP4</v>
          </cell>
          <cell r="C288">
            <v>95104</v>
          </cell>
          <cell r="D288">
            <v>5240</v>
          </cell>
          <cell r="L288" t="str">
            <v>T3HP1</v>
          </cell>
          <cell r="M288">
            <v>93201</v>
          </cell>
          <cell r="N288" t="str">
            <v>tank_part_icon_1_3</v>
          </cell>
        </row>
        <row r="289">
          <cell r="B289" t="str">
            <v>T5MP5</v>
          </cell>
          <cell r="C289">
            <v>95105</v>
          </cell>
          <cell r="D289">
            <v>5250</v>
          </cell>
          <cell r="L289" t="str">
            <v>T3HP2</v>
          </cell>
          <cell r="M289">
            <v>93202</v>
          </cell>
          <cell r="N289" t="str">
            <v>tank_part_icon_2_3</v>
          </cell>
        </row>
        <row r="290">
          <cell r="B290" t="str">
            <v>T5MP6</v>
          </cell>
          <cell r="C290">
            <v>95106</v>
          </cell>
          <cell r="D290">
            <v>5260</v>
          </cell>
          <cell r="L290" t="str">
            <v>T3HP3</v>
          </cell>
          <cell r="M290">
            <v>93203</v>
          </cell>
          <cell r="N290" t="str">
            <v>tank_part_icon_3_3</v>
          </cell>
        </row>
        <row r="291">
          <cell r="B291" t="str">
            <v>T5HP1</v>
          </cell>
          <cell r="C291">
            <v>95201</v>
          </cell>
          <cell r="D291">
            <v>5310</v>
          </cell>
          <cell r="L291" t="str">
            <v>T3HP4</v>
          </cell>
          <cell r="M291">
            <v>93204</v>
          </cell>
          <cell r="N291" t="str">
            <v>tank_part_icon_4_3</v>
          </cell>
        </row>
        <row r="292">
          <cell r="B292" t="str">
            <v>T5HP2</v>
          </cell>
          <cell r="C292">
            <v>95202</v>
          </cell>
          <cell r="D292">
            <v>5320</v>
          </cell>
          <cell r="L292" t="str">
            <v>T3HP5</v>
          </cell>
          <cell r="M292">
            <v>93205</v>
          </cell>
          <cell r="N292" t="str">
            <v>tank_part_icon_5_3</v>
          </cell>
        </row>
        <row r="293">
          <cell r="B293" t="str">
            <v>T5HP3</v>
          </cell>
          <cell r="C293">
            <v>95203</v>
          </cell>
          <cell r="D293">
            <v>5330</v>
          </cell>
          <cell r="L293" t="str">
            <v>T3HP6</v>
          </cell>
          <cell r="M293">
            <v>93206</v>
          </cell>
          <cell r="N293" t="str">
            <v>tank_part_icon_6_3</v>
          </cell>
        </row>
        <row r="294">
          <cell r="B294" t="str">
            <v>T5HP4</v>
          </cell>
          <cell r="C294">
            <v>95204</v>
          </cell>
          <cell r="D294">
            <v>5340</v>
          </cell>
          <cell r="L294" t="str">
            <v>T4LP1</v>
          </cell>
          <cell r="M294">
            <v>94001</v>
          </cell>
          <cell r="N294" t="str">
            <v>tank_part_icon_1_1</v>
          </cell>
        </row>
        <row r="295">
          <cell r="B295" t="str">
            <v>T5HP5</v>
          </cell>
          <cell r="C295">
            <v>95205</v>
          </cell>
          <cell r="D295">
            <v>5350</v>
          </cell>
          <cell r="L295" t="str">
            <v>T4LP2</v>
          </cell>
          <cell r="M295">
            <v>94002</v>
          </cell>
          <cell r="N295" t="str">
            <v>tank_part_icon_2_1</v>
          </cell>
        </row>
        <row r="296">
          <cell r="B296" t="str">
            <v>T5HP6</v>
          </cell>
          <cell r="C296">
            <v>95206</v>
          </cell>
          <cell r="D296">
            <v>5360</v>
          </cell>
          <cell r="L296" t="str">
            <v>T4LP3</v>
          </cell>
          <cell r="M296">
            <v>94003</v>
          </cell>
          <cell r="N296" t="str">
            <v>tank_part_icon_3_1</v>
          </cell>
        </row>
        <row r="297">
          <cell r="L297" t="str">
            <v>T4LP4</v>
          </cell>
          <cell r="M297">
            <v>94004</v>
          </cell>
          <cell r="N297" t="str">
            <v>tank_part_icon_4_1</v>
          </cell>
        </row>
        <row r="298">
          <cell r="L298" t="str">
            <v>T4LP5</v>
          </cell>
          <cell r="M298">
            <v>94005</v>
          </cell>
          <cell r="N298" t="str">
            <v>tank_part_icon_5_1</v>
          </cell>
        </row>
        <row r="299">
          <cell r="L299" t="str">
            <v>T4LP6</v>
          </cell>
          <cell r="M299">
            <v>94006</v>
          </cell>
          <cell r="N299" t="str">
            <v>tank_part_icon_6_1</v>
          </cell>
        </row>
        <row r="300">
          <cell r="L300" t="str">
            <v>T4MP1</v>
          </cell>
          <cell r="M300">
            <v>94101</v>
          </cell>
          <cell r="N300" t="str">
            <v>tank_part_icon_1_2</v>
          </cell>
        </row>
        <row r="301">
          <cell r="L301" t="str">
            <v>T4MP2</v>
          </cell>
          <cell r="M301">
            <v>94102</v>
          </cell>
          <cell r="N301" t="str">
            <v>tank_part_icon_2_2</v>
          </cell>
        </row>
        <row r="302">
          <cell r="L302" t="str">
            <v>T4MP3</v>
          </cell>
          <cell r="M302">
            <v>94103</v>
          </cell>
          <cell r="N302" t="str">
            <v>tank_part_icon_3_2</v>
          </cell>
        </row>
        <row r="303">
          <cell r="L303" t="str">
            <v>T4MP4</v>
          </cell>
          <cell r="M303">
            <v>94104</v>
          </cell>
          <cell r="N303" t="str">
            <v>tank_part_icon_4_2</v>
          </cell>
        </row>
        <row r="304">
          <cell r="L304" t="str">
            <v>T4MP5</v>
          </cell>
          <cell r="M304">
            <v>94105</v>
          </cell>
          <cell r="N304" t="str">
            <v>tank_part_icon_5_2</v>
          </cell>
        </row>
        <row r="305">
          <cell r="L305" t="str">
            <v>T4MP6</v>
          </cell>
          <cell r="M305">
            <v>94106</v>
          </cell>
          <cell r="N305" t="str">
            <v>tank_part_icon_6_2</v>
          </cell>
        </row>
        <row r="306">
          <cell r="L306" t="str">
            <v>T4HP1</v>
          </cell>
          <cell r="M306">
            <v>94201</v>
          </cell>
          <cell r="N306" t="str">
            <v>tank_part_icon_1_3</v>
          </cell>
        </row>
        <row r="307">
          <cell r="L307" t="str">
            <v>T4HP2</v>
          </cell>
          <cell r="M307">
            <v>94202</v>
          </cell>
          <cell r="N307" t="str">
            <v>tank_part_icon_2_3</v>
          </cell>
        </row>
        <row r="308">
          <cell r="L308" t="str">
            <v>T4HP3</v>
          </cell>
          <cell r="M308">
            <v>94203</v>
          </cell>
          <cell r="N308" t="str">
            <v>tank_part_icon_3_3</v>
          </cell>
        </row>
        <row r="309">
          <cell r="L309" t="str">
            <v>T4HP4</v>
          </cell>
          <cell r="M309">
            <v>94204</v>
          </cell>
          <cell r="N309" t="str">
            <v>tank_part_icon_4_3</v>
          </cell>
        </row>
        <row r="310">
          <cell r="L310" t="str">
            <v>T4HP5</v>
          </cell>
          <cell r="M310">
            <v>94205</v>
          </cell>
          <cell r="N310" t="str">
            <v>tank_part_icon_5_3</v>
          </cell>
        </row>
        <row r="311">
          <cell r="L311" t="str">
            <v>T4HP6</v>
          </cell>
          <cell r="M311">
            <v>94206</v>
          </cell>
          <cell r="N311" t="str">
            <v>tank_part_icon_6_3</v>
          </cell>
        </row>
        <row r="312">
          <cell r="L312" t="str">
            <v>T5LP1</v>
          </cell>
          <cell r="M312">
            <v>95001</v>
          </cell>
          <cell r="N312" t="str">
            <v>tank_part_icon_1_1</v>
          </cell>
        </row>
        <row r="313">
          <cell r="L313" t="str">
            <v>T5LP2</v>
          </cell>
          <cell r="M313">
            <v>95002</v>
          </cell>
          <cell r="N313" t="str">
            <v>tank_part_icon_2_1</v>
          </cell>
        </row>
        <row r="314">
          <cell r="L314" t="str">
            <v>T5LP3</v>
          </cell>
          <cell r="M314">
            <v>95003</v>
          </cell>
          <cell r="N314" t="str">
            <v>tank_part_icon_3_1</v>
          </cell>
        </row>
        <row r="315">
          <cell r="L315" t="str">
            <v>T5LP4</v>
          </cell>
          <cell r="M315">
            <v>95004</v>
          </cell>
          <cell r="N315" t="str">
            <v>tank_part_icon_4_1</v>
          </cell>
        </row>
        <row r="316">
          <cell r="L316" t="str">
            <v>T5LP5</v>
          </cell>
          <cell r="M316">
            <v>95005</v>
          </cell>
          <cell r="N316" t="str">
            <v>tank_part_icon_5_1</v>
          </cell>
        </row>
        <row r="317">
          <cell r="L317" t="str">
            <v>T5LP6</v>
          </cell>
          <cell r="M317">
            <v>95006</v>
          </cell>
          <cell r="N317" t="str">
            <v>tank_part_icon_6_1</v>
          </cell>
        </row>
        <row r="318">
          <cell r="L318" t="str">
            <v>T5MP1</v>
          </cell>
          <cell r="M318">
            <v>95101</v>
          </cell>
          <cell r="N318" t="str">
            <v>tank_part_icon_1_2</v>
          </cell>
        </row>
        <row r="319">
          <cell r="L319" t="str">
            <v>T5MP2</v>
          </cell>
          <cell r="M319">
            <v>95102</v>
          </cell>
          <cell r="N319" t="str">
            <v>tank_part_icon_2_2</v>
          </cell>
        </row>
        <row r="320">
          <cell r="L320" t="str">
            <v>T5MP3</v>
          </cell>
          <cell r="M320">
            <v>95103</v>
          </cell>
          <cell r="N320" t="str">
            <v>tank_part_icon_3_2</v>
          </cell>
        </row>
        <row r="321">
          <cell r="L321" t="str">
            <v>T5MP4</v>
          </cell>
          <cell r="M321">
            <v>95104</v>
          </cell>
          <cell r="N321" t="str">
            <v>tank_part_icon_4_2</v>
          </cell>
        </row>
        <row r="322">
          <cell r="L322" t="str">
            <v>T5MP5</v>
          </cell>
          <cell r="M322">
            <v>95105</v>
          </cell>
          <cell r="N322" t="str">
            <v>tank_part_icon_5_2</v>
          </cell>
        </row>
        <row r="323">
          <cell r="L323" t="str">
            <v>T5MP6</v>
          </cell>
          <cell r="M323">
            <v>95106</v>
          </cell>
          <cell r="N323" t="str">
            <v>tank_part_icon_6_2</v>
          </cell>
        </row>
        <row r="324">
          <cell r="L324" t="str">
            <v>T5HP1</v>
          </cell>
          <cell r="M324">
            <v>95201</v>
          </cell>
          <cell r="N324" t="str">
            <v>tank_part_icon_1_3</v>
          </cell>
        </row>
        <row r="325">
          <cell r="L325" t="str">
            <v>T5HP2</v>
          </cell>
          <cell r="M325">
            <v>95202</v>
          </cell>
          <cell r="N325" t="str">
            <v>tank_part_icon_2_3</v>
          </cell>
        </row>
        <row r="326">
          <cell r="L326" t="str">
            <v>T5HP3</v>
          </cell>
          <cell r="M326">
            <v>95203</v>
          </cell>
          <cell r="N326" t="str">
            <v>tank_part_icon_3_3</v>
          </cell>
        </row>
        <row r="327">
          <cell r="L327" t="str">
            <v>T5HP4</v>
          </cell>
          <cell r="M327">
            <v>95204</v>
          </cell>
          <cell r="N327" t="str">
            <v>tank_part_icon_4_3</v>
          </cell>
        </row>
        <row r="328">
          <cell r="L328" t="str">
            <v>T5HP5</v>
          </cell>
          <cell r="M328">
            <v>95205</v>
          </cell>
          <cell r="N328" t="str">
            <v>tank_part_icon_5_3</v>
          </cell>
        </row>
        <row r="329">
          <cell r="L329" t="str">
            <v>T5HP6</v>
          </cell>
          <cell r="M329">
            <v>95206</v>
          </cell>
          <cell r="N329" t="str">
            <v>tank_part_icon_6_3</v>
          </cell>
        </row>
        <row r="331">
          <cell r="L331" t="str">
            <v>宝箱名称</v>
          </cell>
          <cell r="M331" t="str">
            <v>宝箱ID</v>
          </cell>
          <cell r="N331" t="str">
            <v>图标ID</v>
          </cell>
        </row>
        <row r="332">
          <cell r="L332" t="str">
            <v>部件宝箱0</v>
          </cell>
          <cell r="M332">
            <v>23000</v>
          </cell>
          <cell r="N332" t="str">
            <v>chest_tankpart</v>
          </cell>
        </row>
        <row r="333">
          <cell r="L333" t="str">
            <v>部件宝箱1</v>
          </cell>
          <cell r="M333">
            <v>23001</v>
          </cell>
          <cell r="N333" t="str">
            <v>chest_tankpart</v>
          </cell>
        </row>
        <row r="334">
          <cell r="L334" t="str">
            <v>部件宝箱2</v>
          </cell>
          <cell r="M334">
            <v>23002</v>
          </cell>
          <cell r="N334" t="str">
            <v>chest_tankpart</v>
          </cell>
        </row>
        <row r="335">
          <cell r="L335" t="str">
            <v>部件宝箱3</v>
          </cell>
          <cell r="M335">
            <v>23003</v>
          </cell>
          <cell r="N335" t="str">
            <v>chest_tankpart</v>
          </cell>
        </row>
        <row r="336">
          <cell r="L336" t="str">
            <v>部件宝箱4</v>
          </cell>
          <cell r="M336">
            <v>23004</v>
          </cell>
          <cell r="N336" t="str">
            <v>chest_tankpart</v>
          </cell>
        </row>
        <row r="337">
          <cell r="L337" t="str">
            <v>部件宝箱5</v>
          </cell>
          <cell r="M337">
            <v>23005</v>
          </cell>
          <cell r="N337" t="str">
            <v>chest_tankpart</v>
          </cell>
        </row>
        <row r="338">
          <cell r="L338" t="str">
            <v>部件宝箱6</v>
          </cell>
          <cell r="M338">
            <v>23006</v>
          </cell>
          <cell r="N338" t="str">
            <v>chest_tankpart</v>
          </cell>
        </row>
        <row r="339">
          <cell r="L339" t="str">
            <v>部件宝箱7</v>
          </cell>
          <cell r="M339">
            <v>23007</v>
          </cell>
          <cell r="N339" t="str">
            <v>chest_tankpart</v>
          </cell>
        </row>
        <row r="340">
          <cell r="L340" t="str">
            <v>部件宝箱8</v>
          </cell>
          <cell r="M340">
            <v>23008</v>
          </cell>
          <cell r="N340" t="str">
            <v>chest_tankpart</v>
          </cell>
        </row>
        <row r="341">
          <cell r="L341" t="str">
            <v>部件宝箱9</v>
          </cell>
          <cell r="M341">
            <v>23009</v>
          </cell>
          <cell r="N341" t="str">
            <v>chest_tankpart</v>
          </cell>
        </row>
        <row r="342">
          <cell r="L342" t="str">
            <v>部件宝箱10</v>
          </cell>
          <cell r="M342">
            <v>23010</v>
          </cell>
          <cell r="N342" t="str">
            <v>chest_tankpart</v>
          </cell>
        </row>
        <row r="343">
          <cell r="L343" t="str">
            <v>碎片宝箱1</v>
          </cell>
          <cell r="M343">
            <v>24001</v>
          </cell>
          <cell r="N343" t="str">
            <v>chest_shard</v>
          </cell>
        </row>
        <row r="344">
          <cell r="L344" t="str">
            <v>碎片宝箱2</v>
          </cell>
          <cell r="M344">
            <v>24002</v>
          </cell>
          <cell r="N344" t="str">
            <v>chest_shard</v>
          </cell>
        </row>
        <row r="345">
          <cell r="L345" t="str">
            <v>碎片宝箱3</v>
          </cell>
          <cell r="M345">
            <v>24003</v>
          </cell>
          <cell r="N345" t="str">
            <v>chest_shard</v>
          </cell>
        </row>
        <row r="346">
          <cell r="L346" t="str">
            <v>碎片宝箱4</v>
          </cell>
          <cell r="M346">
            <v>24004</v>
          </cell>
          <cell r="N346" t="str">
            <v>chest_shard</v>
          </cell>
        </row>
        <row r="347">
          <cell r="L347" t="str">
            <v>碎片宝箱5</v>
          </cell>
          <cell r="M347">
            <v>24005</v>
          </cell>
          <cell r="N347" t="str">
            <v>chest_shard</v>
          </cell>
        </row>
        <row r="348">
          <cell r="L348" t="str">
            <v>碎片宝箱6</v>
          </cell>
          <cell r="M348">
            <v>24006</v>
          </cell>
          <cell r="N348" t="str">
            <v>chest_shard</v>
          </cell>
        </row>
        <row r="349">
          <cell r="L349" t="str">
            <v>碎片宝箱7</v>
          </cell>
          <cell r="M349">
            <v>24007</v>
          </cell>
          <cell r="N349" t="str">
            <v>chest_shard</v>
          </cell>
        </row>
        <row r="350">
          <cell r="L350" t="str">
            <v>碎片宝箱8</v>
          </cell>
          <cell r="M350">
            <v>24008</v>
          </cell>
          <cell r="N350" t="str">
            <v>chest_shard</v>
          </cell>
        </row>
        <row r="351">
          <cell r="L351" t="str">
            <v>碎片宝箱9</v>
          </cell>
          <cell r="M351">
            <v>24009</v>
          </cell>
          <cell r="N351" t="str">
            <v>chest_shard</v>
          </cell>
        </row>
        <row r="352">
          <cell r="L352" t="str">
            <v>碎片宝箱10</v>
          </cell>
          <cell r="M352">
            <v>24010</v>
          </cell>
          <cell r="N352" t="str">
            <v>chest_shard</v>
          </cell>
        </row>
        <row r="353">
          <cell r="L353" t="str">
            <v>部件手宝箱1</v>
          </cell>
          <cell r="M353">
            <v>23101</v>
          </cell>
          <cell r="N353" t="str">
            <v>chest_activation_lv4_icon</v>
          </cell>
        </row>
        <row r="354">
          <cell r="L354" t="str">
            <v>部件手宝箱2</v>
          </cell>
          <cell r="M354">
            <v>23102</v>
          </cell>
          <cell r="N354" t="str">
            <v>chest_activation_lv4_icon</v>
          </cell>
        </row>
        <row r="355">
          <cell r="L355" t="str">
            <v>部件手宝箱3</v>
          </cell>
          <cell r="M355">
            <v>23103</v>
          </cell>
          <cell r="N355" t="str">
            <v>chest_activation_lv4_icon</v>
          </cell>
        </row>
        <row r="356">
          <cell r="L356" t="str">
            <v>部件手宝箱4</v>
          </cell>
          <cell r="M356">
            <v>23104</v>
          </cell>
          <cell r="N356" t="str">
            <v>chest_activation_lv4_icon</v>
          </cell>
        </row>
        <row r="357">
          <cell r="L357" t="str">
            <v>部件手宝箱5</v>
          </cell>
          <cell r="M357">
            <v>23105</v>
          </cell>
          <cell r="N357" t="str">
            <v>chest_activation_lv4_icon</v>
          </cell>
        </row>
        <row r="358">
          <cell r="L358" t="str">
            <v>部件手宝箱6</v>
          </cell>
          <cell r="M358">
            <v>23106</v>
          </cell>
          <cell r="N358" t="str">
            <v>chest_activation_lv4_icon</v>
          </cell>
        </row>
        <row r="359">
          <cell r="L359" t="str">
            <v>部件手宝箱7</v>
          </cell>
          <cell r="M359">
            <v>23107</v>
          </cell>
          <cell r="N359" t="str">
            <v>chest_activation_lv4_icon</v>
          </cell>
        </row>
        <row r="360">
          <cell r="L360" t="str">
            <v>部件手宝箱8</v>
          </cell>
          <cell r="M360">
            <v>23108</v>
          </cell>
          <cell r="N360" t="str">
            <v>chest_activation_lv4_icon</v>
          </cell>
        </row>
        <row r="361">
          <cell r="L361" t="str">
            <v>部件手宝箱9</v>
          </cell>
          <cell r="M361">
            <v>23109</v>
          </cell>
          <cell r="N361" t="str">
            <v>chest_activation_lv4_icon</v>
          </cell>
        </row>
        <row r="362">
          <cell r="L362" t="str">
            <v>部件手宝箱10</v>
          </cell>
          <cell r="M362">
            <v>23110</v>
          </cell>
          <cell r="N362" t="str">
            <v>chest_activation_lv4_icon</v>
          </cell>
        </row>
        <row r="363">
          <cell r="L363" t="str">
            <v>碎片手宝箱1</v>
          </cell>
          <cell r="M363">
            <v>24101</v>
          </cell>
          <cell r="N363" t="str">
            <v>chest_activation_lv2_icon</v>
          </cell>
        </row>
        <row r="364">
          <cell r="L364" t="str">
            <v>碎片手宝箱2</v>
          </cell>
          <cell r="M364">
            <v>24102</v>
          </cell>
          <cell r="N364" t="str">
            <v>chest_activation_lv2_icon</v>
          </cell>
        </row>
        <row r="365">
          <cell r="L365" t="str">
            <v>碎片手宝箱3</v>
          </cell>
          <cell r="M365">
            <v>24103</v>
          </cell>
          <cell r="N365" t="str">
            <v>chest_activation_lv2_icon</v>
          </cell>
        </row>
        <row r="366">
          <cell r="L366" t="str">
            <v>碎片手宝箱4</v>
          </cell>
          <cell r="M366">
            <v>24104</v>
          </cell>
          <cell r="N366" t="str">
            <v>chest_activation_lv2_icon</v>
          </cell>
        </row>
        <row r="367">
          <cell r="L367" t="str">
            <v>碎片手宝箱5</v>
          </cell>
          <cell r="M367">
            <v>24105</v>
          </cell>
          <cell r="N367" t="str">
            <v>chest_activation_lv2_icon</v>
          </cell>
        </row>
        <row r="368">
          <cell r="L368" t="str">
            <v>碎片手宝箱6</v>
          </cell>
          <cell r="M368">
            <v>24106</v>
          </cell>
          <cell r="N368" t="str">
            <v>chest_activation_lv2_icon</v>
          </cell>
        </row>
        <row r="369">
          <cell r="L369" t="str">
            <v>碎片手宝箱7</v>
          </cell>
          <cell r="M369">
            <v>24107</v>
          </cell>
          <cell r="N369" t="str">
            <v>chest_activation_lv2_icon</v>
          </cell>
        </row>
        <row r="370">
          <cell r="L370" t="str">
            <v>碎片手宝箱8</v>
          </cell>
          <cell r="M370">
            <v>24108</v>
          </cell>
          <cell r="N370" t="str">
            <v>chest_activation_lv2_icon</v>
          </cell>
        </row>
        <row r="371">
          <cell r="L371" t="str">
            <v>碎片手宝箱9</v>
          </cell>
          <cell r="M371">
            <v>24109</v>
          </cell>
          <cell r="N371" t="str">
            <v>chest_activation_lv2_icon</v>
          </cell>
        </row>
        <row r="372">
          <cell r="L372" t="str">
            <v>碎片手宝箱10</v>
          </cell>
          <cell r="M372">
            <v>24110</v>
          </cell>
          <cell r="N372" t="str">
            <v>chest_activation_lv2_icon</v>
          </cell>
        </row>
        <row r="373">
          <cell r="L373" t="str">
            <v>普通宝箱1</v>
          </cell>
          <cell r="M373">
            <v>25001</v>
          </cell>
          <cell r="N373" t="str">
            <v>chest_lv1_icon</v>
          </cell>
        </row>
        <row r="374">
          <cell r="L374" t="str">
            <v>普通宝箱2</v>
          </cell>
          <cell r="M374">
            <v>25002</v>
          </cell>
          <cell r="N374" t="str">
            <v>chest_lv1_icon</v>
          </cell>
        </row>
        <row r="375">
          <cell r="L375" t="str">
            <v>普通宝箱3</v>
          </cell>
          <cell r="M375">
            <v>25003</v>
          </cell>
          <cell r="N375" t="str">
            <v>chest_lv1_icon</v>
          </cell>
        </row>
        <row r="376">
          <cell r="L376" t="str">
            <v>普通宝箱4</v>
          </cell>
          <cell r="M376">
            <v>25004</v>
          </cell>
          <cell r="N376" t="str">
            <v>chest_lv1_icon</v>
          </cell>
        </row>
        <row r="377">
          <cell r="L377" t="str">
            <v>普通宝箱5</v>
          </cell>
          <cell r="M377">
            <v>25005</v>
          </cell>
          <cell r="N377" t="str">
            <v>chest_lv1_icon</v>
          </cell>
        </row>
        <row r="378">
          <cell r="L378" t="str">
            <v>普通宝箱6</v>
          </cell>
          <cell r="M378">
            <v>25006</v>
          </cell>
          <cell r="N378" t="str">
            <v>chest_lv1_icon</v>
          </cell>
        </row>
        <row r="379">
          <cell r="L379" t="str">
            <v>普通宝箱7</v>
          </cell>
          <cell r="M379">
            <v>25007</v>
          </cell>
          <cell r="N379" t="str">
            <v>chest_lv1_icon</v>
          </cell>
        </row>
        <row r="380">
          <cell r="L380" t="str">
            <v>普通宝箱8</v>
          </cell>
          <cell r="M380">
            <v>25008</v>
          </cell>
          <cell r="N380" t="str">
            <v>chest_lv1_icon</v>
          </cell>
        </row>
        <row r="381">
          <cell r="L381" t="str">
            <v>普通宝箱9</v>
          </cell>
          <cell r="M381">
            <v>25009</v>
          </cell>
          <cell r="N381" t="str">
            <v>chest_lv1_icon</v>
          </cell>
        </row>
        <row r="382">
          <cell r="L382" t="str">
            <v>普通宝箱10</v>
          </cell>
          <cell r="M382">
            <v>25010</v>
          </cell>
          <cell r="N382" t="str">
            <v>chest_lv1_icon</v>
          </cell>
        </row>
        <row r="383">
          <cell r="L383" t="str">
            <v>普通自宝箱1</v>
          </cell>
          <cell r="M383">
            <v>25051</v>
          </cell>
          <cell r="N383" t="str">
            <v>chest_lv1_icon</v>
          </cell>
        </row>
        <row r="384">
          <cell r="L384" t="str">
            <v>普通自宝箱2</v>
          </cell>
          <cell r="M384">
            <v>25052</v>
          </cell>
          <cell r="N384" t="str">
            <v>chest_lv1_icon</v>
          </cell>
        </row>
        <row r="385">
          <cell r="L385" t="str">
            <v>普通自宝箱3</v>
          </cell>
          <cell r="M385">
            <v>25053</v>
          </cell>
          <cell r="N385" t="str">
            <v>chest_lv1_icon</v>
          </cell>
        </row>
        <row r="386">
          <cell r="L386" t="str">
            <v>普通自宝箱4</v>
          </cell>
          <cell r="M386">
            <v>25054</v>
          </cell>
          <cell r="N386" t="str">
            <v>chest_lv1_icon</v>
          </cell>
        </row>
        <row r="387">
          <cell r="L387" t="str">
            <v>普通自宝箱5</v>
          </cell>
          <cell r="M387">
            <v>25055</v>
          </cell>
          <cell r="N387" t="str">
            <v>chest_lv1_icon</v>
          </cell>
        </row>
        <row r="388">
          <cell r="L388" t="str">
            <v>普通自宝箱6</v>
          </cell>
          <cell r="M388">
            <v>25056</v>
          </cell>
          <cell r="N388" t="str">
            <v>chest_lv1_icon</v>
          </cell>
        </row>
        <row r="389">
          <cell r="L389" t="str">
            <v>普通自宝箱7</v>
          </cell>
          <cell r="M389">
            <v>25057</v>
          </cell>
          <cell r="N389" t="str">
            <v>chest_lv1_icon</v>
          </cell>
        </row>
        <row r="390">
          <cell r="L390" t="str">
            <v>普通自宝箱8</v>
          </cell>
          <cell r="M390">
            <v>25058</v>
          </cell>
          <cell r="N390" t="str">
            <v>chest_lv1_icon</v>
          </cell>
        </row>
        <row r="391">
          <cell r="L391" t="str">
            <v>普通自宝箱9</v>
          </cell>
          <cell r="M391">
            <v>25059</v>
          </cell>
          <cell r="N391" t="str">
            <v>chest_lv1_icon</v>
          </cell>
        </row>
        <row r="392">
          <cell r="L392" t="str">
            <v>普通自宝箱10</v>
          </cell>
          <cell r="M392">
            <v>25060</v>
          </cell>
          <cell r="N392" t="str">
            <v>chest_lv1_icon</v>
          </cell>
        </row>
        <row r="393">
          <cell r="L393" t="str">
            <v>高级宝箱1</v>
          </cell>
          <cell r="M393">
            <v>25101</v>
          </cell>
          <cell r="N393" t="str">
            <v>chest_lv2_icon</v>
          </cell>
        </row>
        <row r="394">
          <cell r="L394" t="str">
            <v>高级宝箱2</v>
          </cell>
          <cell r="M394">
            <v>25102</v>
          </cell>
          <cell r="N394" t="str">
            <v>chest_lv2_icon</v>
          </cell>
        </row>
        <row r="395">
          <cell r="L395" t="str">
            <v>高级宝箱3</v>
          </cell>
          <cell r="M395">
            <v>25103</v>
          </cell>
          <cell r="N395" t="str">
            <v>chest_lv2_icon</v>
          </cell>
        </row>
        <row r="396">
          <cell r="L396" t="str">
            <v>高级宝箱4</v>
          </cell>
          <cell r="M396">
            <v>25104</v>
          </cell>
          <cell r="N396" t="str">
            <v>chest_lv2_icon</v>
          </cell>
        </row>
        <row r="397">
          <cell r="L397" t="str">
            <v>高级宝箱5</v>
          </cell>
          <cell r="M397">
            <v>25105</v>
          </cell>
          <cell r="N397" t="str">
            <v>chest_lv2_icon</v>
          </cell>
        </row>
        <row r="398">
          <cell r="L398" t="str">
            <v>高级宝箱6</v>
          </cell>
          <cell r="M398">
            <v>25106</v>
          </cell>
          <cell r="N398" t="str">
            <v>chest_lv2_icon</v>
          </cell>
        </row>
        <row r="399">
          <cell r="L399" t="str">
            <v>高级宝箱7</v>
          </cell>
          <cell r="M399">
            <v>25107</v>
          </cell>
          <cell r="N399" t="str">
            <v>chest_lv2_icon</v>
          </cell>
        </row>
        <row r="400">
          <cell r="L400" t="str">
            <v>高级宝箱8</v>
          </cell>
          <cell r="M400">
            <v>25108</v>
          </cell>
          <cell r="N400" t="str">
            <v>chest_lv2_icon</v>
          </cell>
        </row>
        <row r="401">
          <cell r="L401" t="str">
            <v>高级宝箱9</v>
          </cell>
          <cell r="M401">
            <v>25109</v>
          </cell>
          <cell r="N401" t="str">
            <v>chest_lv2_icon</v>
          </cell>
        </row>
        <row r="402">
          <cell r="L402" t="str">
            <v>高级宝箱10</v>
          </cell>
          <cell r="M402">
            <v>25110</v>
          </cell>
          <cell r="N402" t="str">
            <v>chest_lv2_icon</v>
          </cell>
        </row>
        <row r="403">
          <cell r="L403" t="str">
            <v>高级自宝箱1</v>
          </cell>
          <cell r="M403">
            <v>25151</v>
          </cell>
          <cell r="N403" t="str">
            <v>chest_lv2_icon</v>
          </cell>
        </row>
        <row r="404">
          <cell r="L404" t="str">
            <v>高级自宝箱2</v>
          </cell>
          <cell r="M404">
            <v>25152</v>
          </cell>
          <cell r="N404" t="str">
            <v>chest_lv2_icon</v>
          </cell>
        </row>
        <row r="405">
          <cell r="L405" t="str">
            <v>高级自宝箱3</v>
          </cell>
          <cell r="M405">
            <v>25153</v>
          </cell>
          <cell r="N405" t="str">
            <v>chest_lv2_icon</v>
          </cell>
        </row>
        <row r="406">
          <cell r="L406" t="str">
            <v>高级自宝箱4</v>
          </cell>
          <cell r="M406">
            <v>25154</v>
          </cell>
          <cell r="N406" t="str">
            <v>chest_lv2_icon</v>
          </cell>
        </row>
        <row r="407">
          <cell r="L407" t="str">
            <v>高级自宝箱5</v>
          </cell>
          <cell r="M407">
            <v>25155</v>
          </cell>
          <cell r="N407" t="str">
            <v>chest_lv2_icon</v>
          </cell>
        </row>
        <row r="408">
          <cell r="L408" t="str">
            <v>高级自宝箱6</v>
          </cell>
          <cell r="M408">
            <v>25156</v>
          </cell>
          <cell r="N408" t="str">
            <v>chest_lv2_icon</v>
          </cell>
        </row>
        <row r="409">
          <cell r="L409" t="str">
            <v>高级自宝箱7</v>
          </cell>
          <cell r="M409">
            <v>25157</v>
          </cell>
          <cell r="N409" t="str">
            <v>chest_lv2_icon</v>
          </cell>
        </row>
        <row r="410">
          <cell r="L410" t="str">
            <v>高级自宝箱8</v>
          </cell>
          <cell r="M410">
            <v>25158</v>
          </cell>
          <cell r="N410" t="str">
            <v>chest_lv2_icon</v>
          </cell>
        </row>
        <row r="411">
          <cell r="L411" t="str">
            <v>高级自宝箱9</v>
          </cell>
          <cell r="M411">
            <v>25159</v>
          </cell>
          <cell r="N411" t="str">
            <v>chest_lv2_icon</v>
          </cell>
        </row>
        <row r="412">
          <cell r="L412" t="str">
            <v>高级自宝箱10</v>
          </cell>
          <cell r="M412">
            <v>25160</v>
          </cell>
          <cell r="N412" t="str">
            <v>chest_lv2_icon</v>
          </cell>
        </row>
        <row r="413">
          <cell r="L413" t="str">
            <v>稀有宝箱1</v>
          </cell>
          <cell r="M413">
            <v>25201</v>
          </cell>
          <cell r="N413" t="str">
            <v>chest_lv3_icon</v>
          </cell>
        </row>
        <row r="414">
          <cell r="L414" t="str">
            <v>稀有宝箱2</v>
          </cell>
          <cell r="M414">
            <v>25202</v>
          </cell>
          <cell r="N414" t="str">
            <v>chest_lv3_icon</v>
          </cell>
        </row>
        <row r="415">
          <cell r="L415" t="str">
            <v>稀有宝箱3</v>
          </cell>
          <cell r="M415">
            <v>25203</v>
          </cell>
          <cell r="N415" t="str">
            <v>chest_lv3_icon</v>
          </cell>
        </row>
        <row r="416">
          <cell r="L416" t="str">
            <v>稀有宝箱4</v>
          </cell>
          <cell r="M416">
            <v>25204</v>
          </cell>
          <cell r="N416" t="str">
            <v>chest_lv3_icon</v>
          </cell>
        </row>
        <row r="417">
          <cell r="L417" t="str">
            <v>稀有宝箱5</v>
          </cell>
          <cell r="M417">
            <v>25205</v>
          </cell>
          <cell r="N417" t="str">
            <v>chest_lv3_icon</v>
          </cell>
        </row>
        <row r="418">
          <cell r="L418" t="str">
            <v>稀有宝箱6</v>
          </cell>
          <cell r="M418">
            <v>25206</v>
          </cell>
          <cell r="N418" t="str">
            <v>chest_lv3_icon</v>
          </cell>
        </row>
        <row r="419">
          <cell r="L419" t="str">
            <v>稀有宝箱7</v>
          </cell>
          <cell r="M419">
            <v>25207</v>
          </cell>
          <cell r="N419" t="str">
            <v>chest_lv3_icon</v>
          </cell>
        </row>
        <row r="420">
          <cell r="L420" t="str">
            <v>稀有宝箱8</v>
          </cell>
          <cell r="M420">
            <v>25208</v>
          </cell>
          <cell r="N420" t="str">
            <v>chest_lv3_icon</v>
          </cell>
        </row>
        <row r="421">
          <cell r="L421" t="str">
            <v>稀有宝箱9</v>
          </cell>
          <cell r="M421">
            <v>25209</v>
          </cell>
          <cell r="N421" t="str">
            <v>chest_lv3_icon</v>
          </cell>
        </row>
        <row r="422">
          <cell r="L422" t="str">
            <v>稀有宝箱10</v>
          </cell>
          <cell r="M422">
            <v>25210</v>
          </cell>
          <cell r="N422" t="str">
            <v>chest_lv3_icon</v>
          </cell>
        </row>
        <row r="423">
          <cell r="L423" t="str">
            <v>稀有自宝箱1</v>
          </cell>
          <cell r="M423">
            <v>25251</v>
          </cell>
          <cell r="N423" t="str">
            <v>chest_lv3_icon</v>
          </cell>
        </row>
        <row r="424">
          <cell r="L424" t="str">
            <v>稀有自宝箱2</v>
          </cell>
          <cell r="M424">
            <v>25252</v>
          </cell>
          <cell r="N424" t="str">
            <v>chest_lv3_icon</v>
          </cell>
        </row>
        <row r="425">
          <cell r="L425" t="str">
            <v>稀有自宝箱3</v>
          </cell>
          <cell r="M425">
            <v>25253</v>
          </cell>
          <cell r="N425" t="str">
            <v>chest_lv3_icon</v>
          </cell>
        </row>
        <row r="426">
          <cell r="L426" t="str">
            <v>稀有自宝箱4</v>
          </cell>
          <cell r="M426">
            <v>25254</v>
          </cell>
          <cell r="N426" t="str">
            <v>chest_lv3_icon</v>
          </cell>
        </row>
        <row r="427">
          <cell r="L427" t="str">
            <v>稀有自宝箱5</v>
          </cell>
          <cell r="M427">
            <v>25255</v>
          </cell>
          <cell r="N427" t="str">
            <v>chest_lv3_icon</v>
          </cell>
        </row>
        <row r="428">
          <cell r="L428" t="str">
            <v>稀有自宝箱6</v>
          </cell>
          <cell r="M428">
            <v>25256</v>
          </cell>
          <cell r="N428" t="str">
            <v>chest_lv3_icon</v>
          </cell>
        </row>
        <row r="429">
          <cell r="L429" t="str">
            <v>稀有自宝箱7</v>
          </cell>
          <cell r="M429">
            <v>25257</v>
          </cell>
          <cell r="N429" t="str">
            <v>chest_lv3_icon</v>
          </cell>
        </row>
        <row r="430">
          <cell r="L430" t="str">
            <v>稀有自宝箱8</v>
          </cell>
          <cell r="M430">
            <v>25258</v>
          </cell>
          <cell r="N430" t="str">
            <v>chest_lv3_icon</v>
          </cell>
        </row>
        <row r="431">
          <cell r="L431" t="str">
            <v>稀有自宝箱9</v>
          </cell>
          <cell r="M431">
            <v>25259</v>
          </cell>
          <cell r="N431" t="str">
            <v>chest_lv3_icon</v>
          </cell>
        </row>
        <row r="432">
          <cell r="L432" t="str">
            <v>稀有自宝箱10</v>
          </cell>
          <cell r="M432">
            <v>25260</v>
          </cell>
          <cell r="N432" t="str">
            <v>chest_lv3_icon</v>
          </cell>
        </row>
        <row r="433">
          <cell r="L433" t="str">
            <v>紫晶宝箱1</v>
          </cell>
          <cell r="M433">
            <v>25301</v>
          </cell>
          <cell r="N433" t="str">
            <v>chest_lv4_icon</v>
          </cell>
        </row>
        <row r="434">
          <cell r="L434" t="str">
            <v>紫晶宝箱2</v>
          </cell>
          <cell r="M434">
            <v>25302</v>
          </cell>
          <cell r="N434" t="str">
            <v>chest_lv4_icon</v>
          </cell>
        </row>
        <row r="435">
          <cell r="L435" t="str">
            <v>紫晶宝箱3</v>
          </cell>
          <cell r="M435">
            <v>25303</v>
          </cell>
          <cell r="N435" t="str">
            <v>chest_lv4_icon</v>
          </cell>
        </row>
        <row r="436">
          <cell r="L436" t="str">
            <v>紫晶宝箱4</v>
          </cell>
          <cell r="M436">
            <v>25304</v>
          </cell>
          <cell r="N436" t="str">
            <v>chest_lv4_icon</v>
          </cell>
        </row>
        <row r="437">
          <cell r="L437" t="str">
            <v>紫晶宝箱5</v>
          </cell>
          <cell r="M437">
            <v>25305</v>
          </cell>
          <cell r="N437" t="str">
            <v>chest_lv4_icon</v>
          </cell>
        </row>
        <row r="438">
          <cell r="L438" t="str">
            <v>紫晶宝箱6</v>
          </cell>
          <cell r="M438">
            <v>25306</v>
          </cell>
          <cell r="N438" t="str">
            <v>chest_lv4_icon</v>
          </cell>
        </row>
        <row r="439">
          <cell r="L439" t="str">
            <v>紫晶宝箱7</v>
          </cell>
          <cell r="M439">
            <v>25307</v>
          </cell>
          <cell r="N439" t="str">
            <v>chest_lv4_icon</v>
          </cell>
        </row>
        <row r="440">
          <cell r="L440" t="str">
            <v>紫晶宝箱8</v>
          </cell>
          <cell r="M440">
            <v>25308</v>
          </cell>
          <cell r="N440" t="str">
            <v>chest_lv4_icon</v>
          </cell>
        </row>
        <row r="441">
          <cell r="L441" t="str">
            <v>紫晶宝箱9</v>
          </cell>
          <cell r="M441">
            <v>25309</v>
          </cell>
          <cell r="N441" t="str">
            <v>chest_lv4_icon</v>
          </cell>
        </row>
        <row r="442">
          <cell r="L442" t="str">
            <v>紫晶宝箱10</v>
          </cell>
          <cell r="M442">
            <v>25310</v>
          </cell>
          <cell r="N442" t="str">
            <v>chest_lv4_icon</v>
          </cell>
        </row>
        <row r="443">
          <cell r="L443" t="str">
            <v>紫晶自宝箱1</v>
          </cell>
          <cell r="M443">
            <v>25351</v>
          </cell>
          <cell r="N443" t="str">
            <v>chest_lv4_icon</v>
          </cell>
        </row>
        <row r="444">
          <cell r="L444" t="str">
            <v>紫晶自宝箱2</v>
          </cell>
          <cell r="M444">
            <v>25352</v>
          </cell>
          <cell r="N444" t="str">
            <v>chest_lv4_icon</v>
          </cell>
        </row>
        <row r="445">
          <cell r="L445" t="str">
            <v>紫晶自宝箱3</v>
          </cell>
          <cell r="M445">
            <v>25353</v>
          </cell>
          <cell r="N445" t="str">
            <v>chest_lv4_icon</v>
          </cell>
        </row>
        <row r="446">
          <cell r="L446" t="str">
            <v>紫晶自宝箱4</v>
          </cell>
          <cell r="M446">
            <v>25354</v>
          </cell>
          <cell r="N446" t="str">
            <v>chest_lv4_icon</v>
          </cell>
        </row>
        <row r="447">
          <cell r="L447" t="str">
            <v>紫晶自宝箱5</v>
          </cell>
          <cell r="M447">
            <v>25355</v>
          </cell>
          <cell r="N447" t="str">
            <v>chest_lv4_icon</v>
          </cell>
        </row>
        <row r="448">
          <cell r="L448" t="str">
            <v>紫晶自宝箱6</v>
          </cell>
          <cell r="M448">
            <v>25356</v>
          </cell>
          <cell r="N448" t="str">
            <v>chest_lv4_icon</v>
          </cell>
        </row>
        <row r="449">
          <cell r="L449" t="str">
            <v>紫晶自宝箱7</v>
          </cell>
          <cell r="M449">
            <v>25357</v>
          </cell>
          <cell r="N449" t="str">
            <v>chest_lv4_icon</v>
          </cell>
        </row>
        <row r="450">
          <cell r="L450" t="str">
            <v>紫晶自宝箱8</v>
          </cell>
          <cell r="M450">
            <v>25358</v>
          </cell>
          <cell r="N450" t="str">
            <v>chest_lv4_icon</v>
          </cell>
        </row>
        <row r="451">
          <cell r="L451" t="str">
            <v>紫晶自宝箱9</v>
          </cell>
          <cell r="M451">
            <v>25359</v>
          </cell>
          <cell r="N451" t="str">
            <v>chest_lv4_icon</v>
          </cell>
        </row>
        <row r="452">
          <cell r="L452" t="str">
            <v>紫晶自宝箱10</v>
          </cell>
          <cell r="M452">
            <v>25360</v>
          </cell>
          <cell r="N452" t="str">
            <v>chest_lv4_icon</v>
          </cell>
        </row>
        <row r="453">
          <cell r="L453" t="str">
            <v>黄金宝箱1</v>
          </cell>
          <cell r="M453">
            <v>25401</v>
          </cell>
          <cell r="N453" t="str">
            <v>chest_lv5_icon</v>
          </cell>
        </row>
        <row r="454">
          <cell r="L454" t="str">
            <v>黄金宝箱2</v>
          </cell>
          <cell r="M454">
            <v>25402</v>
          </cell>
          <cell r="N454" t="str">
            <v>chest_lv5_icon</v>
          </cell>
        </row>
        <row r="455">
          <cell r="L455" t="str">
            <v>黄金宝箱3</v>
          </cell>
          <cell r="M455">
            <v>25403</v>
          </cell>
          <cell r="N455" t="str">
            <v>chest_lv5_icon</v>
          </cell>
        </row>
        <row r="456">
          <cell r="L456" t="str">
            <v>黄金宝箱4</v>
          </cell>
          <cell r="M456">
            <v>25404</v>
          </cell>
          <cell r="N456" t="str">
            <v>chest_lv5_icon</v>
          </cell>
        </row>
        <row r="457">
          <cell r="L457" t="str">
            <v>黄金宝箱5</v>
          </cell>
          <cell r="M457">
            <v>25405</v>
          </cell>
          <cell r="N457" t="str">
            <v>chest_lv5_icon</v>
          </cell>
        </row>
        <row r="458">
          <cell r="L458" t="str">
            <v>黄金宝箱6</v>
          </cell>
          <cell r="M458">
            <v>25406</v>
          </cell>
          <cell r="N458" t="str">
            <v>chest_lv5_icon</v>
          </cell>
        </row>
        <row r="459">
          <cell r="L459" t="str">
            <v>黄金宝箱7</v>
          </cell>
          <cell r="M459">
            <v>25407</v>
          </cell>
          <cell r="N459" t="str">
            <v>chest_lv5_icon</v>
          </cell>
        </row>
        <row r="460">
          <cell r="L460" t="str">
            <v>黄金宝箱8</v>
          </cell>
          <cell r="M460">
            <v>25408</v>
          </cell>
          <cell r="N460" t="str">
            <v>chest_lv5_icon</v>
          </cell>
        </row>
        <row r="461">
          <cell r="L461" t="str">
            <v>黄金宝箱9</v>
          </cell>
          <cell r="M461">
            <v>25409</v>
          </cell>
          <cell r="N461" t="str">
            <v>chest_lv5_icon</v>
          </cell>
        </row>
        <row r="462">
          <cell r="L462" t="str">
            <v>黄金宝箱10</v>
          </cell>
          <cell r="M462">
            <v>25410</v>
          </cell>
          <cell r="N462" t="str">
            <v>chest_lv5_icon</v>
          </cell>
        </row>
        <row r="463">
          <cell r="L463" t="str">
            <v>黄金自宝箱1</v>
          </cell>
          <cell r="M463">
            <v>25451</v>
          </cell>
          <cell r="N463" t="str">
            <v>chest_lv5_icon</v>
          </cell>
        </row>
        <row r="464">
          <cell r="L464" t="str">
            <v>黄金自宝箱2</v>
          </cell>
          <cell r="M464">
            <v>25452</v>
          </cell>
          <cell r="N464" t="str">
            <v>chest_lv5_icon</v>
          </cell>
        </row>
        <row r="465">
          <cell r="L465" t="str">
            <v>黄金自宝箱3</v>
          </cell>
          <cell r="M465">
            <v>25453</v>
          </cell>
          <cell r="N465" t="str">
            <v>chest_lv5_icon</v>
          </cell>
        </row>
        <row r="466">
          <cell r="L466" t="str">
            <v>黄金自宝箱4</v>
          </cell>
          <cell r="M466">
            <v>25454</v>
          </cell>
          <cell r="N466" t="str">
            <v>chest_lv5_icon</v>
          </cell>
        </row>
        <row r="467">
          <cell r="L467" t="str">
            <v>黄金自宝箱5</v>
          </cell>
          <cell r="M467">
            <v>25455</v>
          </cell>
          <cell r="N467" t="str">
            <v>chest_lv5_icon</v>
          </cell>
        </row>
        <row r="468">
          <cell r="L468" t="str">
            <v>黄金自宝箱6</v>
          </cell>
          <cell r="M468">
            <v>25456</v>
          </cell>
          <cell r="N468" t="str">
            <v>chest_lv5_icon</v>
          </cell>
        </row>
        <row r="469">
          <cell r="L469" t="str">
            <v>黄金自宝箱7</v>
          </cell>
          <cell r="M469">
            <v>25457</v>
          </cell>
          <cell r="N469" t="str">
            <v>chest_lv5_icon</v>
          </cell>
        </row>
        <row r="470">
          <cell r="L470" t="str">
            <v>黄金自宝箱8</v>
          </cell>
          <cell r="M470">
            <v>25458</v>
          </cell>
          <cell r="N470" t="str">
            <v>chest_lv5_icon</v>
          </cell>
        </row>
        <row r="471">
          <cell r="L471" t="str">
            <v>黄金自宝箱9</v>
          </cell>
          <cell r="M471">
            <v>25459</v>
          </cell>
          <cell r="N471" t="str">
            <v>chest_lv5_icon</v>
          </cell>
        </row>
        <row r="472">
          <cell r="L472" t="str">
            <v>黄金自宝箱10</v>
          </cell>
          <cell r="M472">
            <v>25460</v>
          </cell>
          <cell r="N472" t="str">
            <v>chest_lv5_icon</v>
          </cell>
        </row>
        <row r="473">
          <cell r="L473" t="str">
            <v>史诗宝箱1</v>
          </cell>
          <cell r="M473">
            <v>25501</v>
          </cell>
          <cell r="N473" t="str">
            <v>chest_lv6_icon</v>
          </cell>
          <cell r="O473" t="str">
            <v>Rank 1 Epic Chest</v>
          </cell>
        </row>
        <row r="474">
          <cell r="L474" t="str">
            <v>史诗宝箱2</v>
          </cell>
          <cell r="M474">
            <v>25502</v>
          </cell>
          <cell r="N474" t="str">
            <v>chest_lv6_icon</v>
          </cell>
          <cell r="O474" t="str">
            <v>Rank 2 Epic Chest</v>
          </cell>
        </row>
        <row r="475">
          <cell r="L475" t="str">
            <v>史诗宝箱3</v>
          </cell>
          <cell r="M475">
            <v>25503</v>
          </cell>
          <cell r="N475" t="str">
            <v>chest_lv6_icon</v>
          </cell>
          <cell r="O475" t="str">
            <v>Rank 3 Epic Chest</v>
          </cell>
        </row>
        <row r="476">
          <cell r="L476" t="str">
            <v>史诗宝箱4</v>
          </cell>
          <cell r="M476">
            <v>25504</v>
          </cell>
          <cell r="N476" t="str">
            <v>chest_lv6_icon</v>
          </cell>
          <cell r="O476" t="str">
            <v>Rank 4 Epic Chest</v>
          </cell>
        </row>
        <row r="477">
          <cell r="L477" t="str">
            <v>史诗宝箱5</v>
          </cell>
          <cell r="M477">
            <v>25505</v>
          </cell>
          <cell r="N477" t="str">
            <v>chest_lv6_icon</v>
          </cell>
          <cell r="O477" t="str">
            <v>Rank 5 Epic Chest</v>
          </cell>
        </row>
        <row r="478">
          <cell r="L478" t="str">
            <v>史诗宝箱6</v>
          </cell>
          <cell r="M478">
            <v>25506</v>
          </cell>
          <cell r="N478" t="str">
            <v>chest_lv6_icon</v>
          </cell>
          <cell r="O478" t="str">
            <v>Rank 6 Epic Chest</v>
          </cell>
        </row>
        <row r="479">
          <cell r="L479" t="str">
            <v>史诗宝箱7</v>
          </cell>
          <cell r="M479">
            <v>25507</v>
          </cell>
          <cell r="N479" t="str">
            <v>chest_lv6_icon</v>
          </cell>
          <cell r="O479" t="str">
            <v>Rank 7 Epic Chest</v>
          </cell>
        </row>
        <row r="480">
          <cell r="L480" t="str">
            <v>史诗宝箱8</v>
          </cell>
          <cell r="M480">
            <v>25508</v>
          </cell>
          <cell r="N480" t="str">
            <v>chest_lv6_icon</v>
          </cell>
          <cell r="O480" t="str">
            <v>Rank 8 Epic Chest</v>
          </cell>
        </row>
        <row r="481">
          <cell r="L481" t="str">
            <v>史诗宝箱9</v>
          </cell>
          <cell r="M481">
            <v>25509</v>
          </cell>
          <cell r="N481" t="str">
            <v>chest_lv6_icon</v>
          </cell>
          <cell r="O481" t="str">
            <v>Rank 9 Epic Chest</v>
          </cell>
        </row>
        <row r="482">
          <cell r="L482" t="str">
            <v>史诗宝箱10</v>
          </cell>
          <cell r="M482">
            <v>25510</v>
          </cell>
          <cell r="N482" t="str">
            <v>chest_lv6_icon</v>
          </cell>
          <cell r="O482" t="str">
            <v>Rank 10 Epic Chest</v>
          </cell>
        </row>
        <row r="483">
          <cell r="L483" t="str">
            <v>史诗自宝箱1</v>
          </cell>
          <cell r="M483">
            <v>25551</v>
          </cell>
          <cell r="N483" t="str">
            <v>chest_lv6_icon</v>
          </cell>
          <cell r="O483" t="str">
            <v>Rank 1 Epic Chest</v>
          </cell>
        </row>
        <row r="484">
          <cell r="L484" t="str">
            <v>史诗自宝箱2</v>
          </cell>
          <cell r="M484">
            <v>25552</v>
          </cell>
          <cell r="N484" t="str">
            <v>chest_lv6_icon</v>
          </cell>
          <cell r="O484" t="str">
            <v>Rank 2 Epic Chest</v>
          </cell>
        </row>
        <row r="485">
          <cell r="L485" t="str">
            <v>史诗自宝箱3</v>
          </cell>
          <cell r="M485">
            <v>25553</v>
          </cell>
          <cell r="N485" t="str">
            <v>chest_lv6_icon</v>
          </cell>
          <cell r="O485" t="str">
            <v>Rank 3 Epic Chest</v>
          </cell>
        </row>
        <row r="486">
          <cell r="L486" t="str">
            <v>史诗自宝箱4</v>
          </cell>
          <cell r="M486">
            <v>25554</v>
          </cell>
          <cell r="N486" t="str">
            <v>chest_lv6_icon</v>
          </cell>
          <cell r="O486" t="str">
            <v>Rank 4 Epic Chest</v>
          </cell>
        </row>
        <row r="487">
          <cell r="L487" t="str">
            <v>史诗自宝箱5</v>
          </cell>
          <cell r="M487">
            <v>25555</v>
          </cell>
          <cell r="N487" t="str">
            <v>chest_lv6_icon</v>
          </cell>
          <cell r="O487" t="str">
            <v>Rank 5 Epic Chest</v>
          </cell>
        </row>
        <row r="488">
          <cell r="L488" t="str">
            <v>史诗自宝箱6</v>
          </cell>
          <cell r="M488">
            <v>25556</v>
          </cell>
          <cell r="N488" t="str">
            <v>chest_lv6_icon</v>
          </cell>
          <cell r="O488" t="str">
            <v>Rank 6 Epic Chest</v>
          </cell>
        </row>
        <row r="489">
          <cell r="L489" t="str">
            <v>史诗自宝箱7</v>
          </cell>
          <cell r="M489">
            <v>25557</v>
          </cell>
          <cell r="N489" t="str">
            <v>chest_lv6_icon</v>
          </cell>
          <cell r="O489" t="str">
            <v>Rank 7 Epic Chest</v>
          </cell>
        </row>
        <row r="490">
          <cell r="L490" t="str">
            <v>史诗自宝箱8</v>
          </cell>
          <cell r="M490">
            <v>25558</v>
          </cell>
          <cell r="N490" t="str">
            <v>chest_lv6_icon</v>
          </cell>
          <cell r="O490" t="str">
            <v>Rank 8 Epic Chest</v>
          </cell>
        </row>
        <row r="491">
          <cell r="L491" t="str">
            <v>史诗自宝箱9</v>
          </cell>
          <cell r="M491">
            <v>25559</v>
          </cell>
          <cell r="N491" t="str">
            <v>chest_lv6_icon</v>
          </cell>
          <cell r="O491" t="str">
            <v>Rank 9 Epic Chest</v>
          </cell>
        </row>
        <row r="492">
          <cell r="L492" t="str">
            <v>史诗自宝箱10</v>
          </cell>
          <cell r="M492">
            <v>25560</v>
          </cell>
          <cell r="N492" t="str">
            <v>chest_lv6_icon</v>
          </cell>
          <cell r="O492" t="str">
            <v>Rank 10 Epic Chest</v>
          </cell>
        </row>
        <row r="493">
          <cell r="L493" t="str">
            <v>部件礼包1</v>
          </cell>
          <cell r="M493">
            <v>23201</v>
          </cell>
          <cell r="N493" t="str">
            <v>chest_tankpart</v>
          </cell>
          <cell r="O493" t="str">
            <v>T1 Component</v>
          </cell>
        </row>
        <row r="494">
          <cell r="L494" t="str">
            <v>部件礼包2</v>
          </cell>
          <cell r="M494">
            <v>23202</v>
          </cell>
          <cell r="N494" t="str">
            <v>chest_tankpart</v>
          </cell>
          <cell r="O494" t="str">
            <v>T1 Component</v>
          </cell>
        </row>
        <row r="495">
          <cell r="L495" t="str">
            <v>部件礼包3</v>
          </cell>
          <cell r="M495">
            <v>23203</v>
          </cell>
          <cell r="N495" t="str">
            <v>chest_tankpart</v>
          </cell>
          <cell r="O495" t="str">
            <v>T1 Component</v>
          </cell>
        </row>
        <row r="496">
          <cell r="L496" t="str">
            <v>部件礼包4</v>
          </cell>
          <cell r="M496">
            <v>23204</v>
          </cell>
          <cell r="N496" t="str">
            <v>chest_tankpart</v>
          </cell>
          <cell r="O496" t="str">
            <v>T2 Component</v>
          </cell>
        </row>
        <row r="497">
          <cell r="L497" t="str">
            <v>部件礼包5</v>
          </cell>
          <cell r="M497">
            <v>23205</v>
          </cell>
          <cell r="N497" t="str">
            <v>chest_tankpart</v>
          </cell>
          <cell r="O497" t="str">
            <v>T2 Component</v>
          </cell>
        </row>
        <row r="498">
          <cell r="L498" t="str">
            <v>部件礼包6</v>
          </cell>
          <cell r="M498">
            <v>23206</v>
          </cell>
          <cell r="N498" t="str">
            <v>chest_tankpart</v>
          </cell>
          <cell r="O498" t="str">
            <v>T2 Component</v>
          </cell>
        </row>
        <row r="499">
          <cell r="L499" t="str">
            <v>部件礼包7</v>
          </cell>
          <cell r="M499">
            <v>23207</v>
          </cell>
          <cell r="N499" t="str">
            <v>chest_tankpart</v>
          </cell>
          <cell r="O499" t="str">
            <v>T3 Component</v>
          </cell>
        </row>
        <row r="500">
          <cell r="L500" t="str">
            <v>部件礼包8</v>
          </cell>
          <cell r="M500">
            <v>23208</v>
          </cell>
          <cell r="N500" t="str">
            <v>chest_tankpart</v>
          </cell>
          <cell r="O500" t="str">
            <v>T3 Component</v>
          </cell>
        </row>
        <row r="501">
          <cell r="L501" t="str">
            <v>部件礼包9</v>
          </cell>
          <cell r="M501">
            <v>23209</v>
          </cell>
          <cell r="N501" t="str">
            <v>chest_tankpart</v>
          </cell>
          <cell r="O501" t="str">
            <v>T3 Component</v>
          </cell>
        </row>
        <row r="502">
          <cell r="L502" t="str">
            <v>碎片礼包1</v>
          </cell>
          <cell r="M502">
            <v>24201</v>
          </cell>
          <cell r="N502" t="str">
            <v>chest_shard</v>
          </cell>
          <cell r="O502" t="str">
            <v>T1 General Shard</v>
          </cell>
        </row>
        <row r="503">
          <cell r="L503" t="str">
            <v>碎片礼包2</v>
          </cell>
          <cell r="M503">
            <v>24202</v>
          </cell>
          <cell r="N503" t="str">
            <v>chest_shard</v>
          </cell>
          <cell r="O503" t="str">
            <v>T2 General Shard</v>
          </cell>
        </row>
        <row r="504">
          <cell r="L504" t="str">
            <v>碎片礼包3</v>
          </cell>
          <cell r="M504">
            <v>24203</v>
          </cell>
          <cell r="N504" t="str">
            <v>chest_shard</v>
          </cell>
          <cell r="O504" t="str">
            <v>T2 Senior Shard</v>
          </cell>
        </row>
        <row r="505">
          <cell r="L505" t="str">
            <v>碎片礼包4</v>
          </cell>
          <cell r="M505">
            <v>24204</v>
          </cell>
          <cell r="N505" t="str">
            <v>chest_shard</v>
          </cell>
          <cell r="O505" t="str">
            <v>T3General Shard</v>
          </cell>
        </row>
        <row r="506">
          <cell r="L506" t="str">
            <v>碎片礼包5</v>
          </cell>
          <cell r="M506">
            <v>24205</v>
          </cell>
          <cell r="N506" t="str">
            <v>chest_shard</v>
          </cell>
          <cell r="O506" t="str">
            <v>T3 Senior Shard</v>
          </cell>
        </row>
        <row r="507">
          <cell r="L507" t="str">
            <v>碎片礼包6</v>
          </cell>
          <cell r="M507">
            <v>24206</v>
          </cell>
          <cell r="N507" t="str">
            <v>chest_shard</v>
          </cell>
          <cell r="O507" t="str">
            <v>T4 General Shard</v>
          </cell>
        </row>
        <row r="508">
          <cell r="L508" t="str">
            <v>碎片礼包7</v>
          </cell>
          <cell r="M508">
            <v>24207</v>
          </cell>
          <cell r="N508" t="str">
            <v>chest_shard</v>
          </cell>
          <cell r="O508" t="str">
            <v>T4 Senior Shard</v>
          </cell>
        </row>
        <row r="509">
          <cell r="L509" t="str">
            <v>碎片礼包8</v>
          </cell>
          <cell r="M509">
            <v>24208</v>
          </cell>
          <cell r="N509" t="str">
            <v>chest_shard</v>
          </cell>
        </row>
        <row r="511">
          <cell r="L511" t="str">
            <v>涂鸦-失败者</v>
          </cell>
          <cell r="M511">
            <v>150101</v>
          </cell>
          <cell r="N511" t="str">
            <v>battle_pass_icon_decal_01</v>
          </cell>
        </row>
        <row r="512">
          <cell r="L512" t="str">
            <v>涂鸦-鲨鱼</v>
          </cell>
          <cell r="M512">
            <v>150102</v>
          </cell>
          <cell r="N512" t="str">
            <v>battle_pass_icon_decal_02</v>
          </cell>
        </row>
        <row r="513">
          <cell r="L513" t="str">
            <v>涂鸦-胜利骑士</v>
          </cell>
          <cell r="M513">
            <v>150103</v>
          </cell>
          <cell r="N513" t="str">
            <v>battle_pass_icon_decal_03</v>
          </cell>
        </row>
        <row r="514">
          <cell r="L514" t="str">
            <v>涂鸦-裂缝</v>
          </cell>
          <cell r="M514">
            <v>150104</v>
          </cell>
          <cell r="N514" t="str">
            <v>battle_pass_icon_decal_04</v>
          </cell>
        </row>
        <row r="515">
          <cell r="L515" t="str">
            <v>涂鸦-小丑</v>
          </cell>
          <cell r="M515">
            <v>150105</v>
          </cell>
          <cell r="N515" t="str">
            <v>battle_pass_icon_decal_05</v>
          </cell>
        </row>
        <row r="516">
          <cell r="L516" t="str">
            <v>涂鸦-魔眼</v>
          </cell>
          <cell r="M516">
            <v>150106</v>
          </cell>
          <cell r="N516" t="str">
            <v>battle_pass_icon_decal_06</v>
          </cell>
        </row>
        <row r="517">
          <cell r="L517" t="str">
            <v>涂鸦-死神</v>
          </cell>
          <cell r="M517">
            <v>150107</v>
          </cell>
          <cell r="N517" t="str">
            <v>battle_pass_icon_decal_07</v>
          </cell>
        </row>
        <row r="518">
          <cell r="L518" t="str">
            <v>头像框-初级指挥官</v>
          </cell>
          <cell r="M518">
            <v>130102</v>
          </cell>
          <cell r="N518" t="str">
            <v>role_head_frame_icon_2</v>
          </cell>
        </row>
        <row r="519">
          <cell r="L519" t="str">
            <v>头像框-针锋相对</v>
          </cell>
          <cell r="M519">
            <v>130103</v>
          </cell>
          <cell r="N519" t="str">
            <v>role_head_frame_icon_3</v>
          </cell>
        </row>
        <row r="520">
          <cell r="L520" t="str">
            <v>头像框-S1·起航</v>
          </cell>
          <cell r="M520">
            <v>130104</v>
          </cell>
          <cell r="N520" t="str">
            <v>role_head_frame_icon_4</v>
          </cell>
        </row>
        <row r="521">
          <cell r="L521" t="str">
            <v>头像框-战斗之星</v>
          </cell>
          <cell r="M521">
            <v>130105</v>
          </cell>
          <cell r="N521" t="str">
            <v>role_head_frame_icon_5</v>
          </cell>
        </row>
        <row r="522">
          <cell r="L522" t="str">
            <v>头像框-我的战场</v>
          </cell>
          <cell r="M522">
            <v>130106</v>
          </cell>
          <cell r="N522" t="str">
            <v>role_head_frame_icon_6</v>
          </cell>
        </row>
        <row r="523">
          <cell r="L523" t="str">
            <v>头像框-风驰电掣</v>
          </cell>
          <cell r="M523">
            <v>130107</v>
          </cell>
          <cell r="N523" t="str">
            <v>role_head_frame_icon_7</v>
          </cell>
        </row>
        <row r="524">
          <cell r="L524" t="str">
            <v>头像框-钢铁信仰</v>
          </cell>
          <cell r="M524">
            <v>130108</v>
          </cell>
          <cell r="N524" t="str">
            <v>role_head_frame_icon_8</v>
          </cell>
        </row>
        <row r="525">
          <cell r="L525" t="str">
            <v>摆件1-小丑</v>
          </cell>
          <cell r="M525">
            <v>110101</v>
          </cell>
          <cell r="N525" t="str">
            <v>battle_pass_icon_decoration_1</v>
          </cell>
        </row>
        <row r="526">
          <cell r="L526" t="str">
            <v>摆件2-小黄鸭</v>
          </cell>
          <cell r="M526">
            <v>110102</v>
          </cell>
          <cell r="N526" t="str">
            <v>battle_pass_icon_decoration_2</v>
          </cell>
        </row>
        <row r="527">
          <cell r="L527" t="str">
            <v>摆件3-机械蜘蛛</v>
          </cell>
          <cell r="M527">
            <v>110103</v>
          </cell>
          <cell r="N527" t="str">
            <v>battle_pass_icon_decoration_3</v>
          </cell>
        </row>
        <row r="528">
          <cell r="L528" t="str">
            <v>摆件4-鲨鱼头</v>
          </cell>
          <cell r="M528">
            <v>110104</v>
          </cell>
          <cell r="N528" t="str">
            <v>battle_pass_icon_decoration_4</v>
          </cell>
        </row>
        <row r="529">
          <cell r="L529" t="str">
            <v>摆件5-恶魔之眼</v>
          </cell>
          <cell r="M529">
            <v>110105</v>
          </cell>
          <cell r="N529" t="str">
            <v>battle_pass_icon_decoration_5</v>
          </cell>
        </row>
        <row r="530">
          <cell r="L530" t="str">
            <v>战旗旗杆-雄心旗杆</v>
          </cell>
          <cell r="M530">
            <v>120101</v>
          </cell>
          <cell r="N530" t="str">
            <v>battle_pass_icon_flag_staff_01</v>
          </cell>
        </row>
        <row r="531">
          <cell r="L531" t="str">
            <v>战旗旗杆-正义旗杆</v>
          </cell>
          <cell r="M531">
            <v>120102</v>
          </cell>
          <cell r="N531" t="str">
            <v>battle_pass_icon_flag_staff_02</v>
          </cell>
        </row>
        <row r="532">
          <cell r="L532" t="str">
            <v>战旗旗杆-绝命旗杆</v>
          </cell>
          <cell r="M532">
            <v>120103</v>
          </cell>
          <cell r="N532" t="str">
            <v>battle_pass_icon_flag_staff_03</v>
          </cell>
        </row>
        <row r="533">
          <cell r="L533" t="str">
            <v>战旗旗杆-荣耀旗杆</v>
          </cell>
          <cell r="M533">
            <v>120104</v>
          </cell>
          <cell r="N533" t="str">
            <v>battle_pass_icon_flag_staff_04</v>
          </cell>
        </row>
        <row r="534">
          <cell r="L534" t="str">
            <v>战旗旗帜-雄心旗帜</v>
          </cell>
          <cell r="M534">
            <v>120201</v>
          </cell>
          <cell r="N534" t="str">
            <v>battle_pass_icon_flag_surface_01</v>
          </cell>
        </row>
        <row r="535">
          <cell r="L535" t="str">
            <v>战旗旗帜-正义旗帜</v>
          </cell>
          <cell r="M535">
            <v>120202</v>
          </cell>
          <cell r="N535" t="str">
            <v>battle_pass_icon_flag_surface_02</v>
          </cell>
        </row>
        <row r="536">
          <cell r="L536" t="str">
            <v>战旗旗帜-绝命旗帜</v>
          </cell>
          <cell r="M536">
            <v>120203</v>
          </cell>
          <cell r="N536" t="str">
            <v>battle_pass_icon_flag_surface_03</v>
          </cell>
        </row>
        <row r="537">
          <cell r="L537" t="str">
            <v>战旗旗帜-荣耀旗帜</v>
          </cell>
          <cell r="M537">
            <v>120204</v>
          </cell>
          <cell r="N537" t="str">
            <v>battle_pass_icon_flag_surface_04</v>
          </cell>
        </row>
        <row r="538">
          <cell r="L538" t="str">
            <v>战旗图案-雄心图案</v>
          </cell>
          <cell r="M538">
            <v>120301</v>
          </cell>
          <cell r="N538" t="str">
            <v>battle_pass_icon_flag_logo_01</v>
          </cell>
        </row>
        <row r="539">
          <cell r="L539" t="str">
            <v>战旗图案-正义图案</v>
          </cell>
          <cell r="M539">
            <v>120302</v>
          </cell>
          <cell r="N539" t="str">
            <v>battle_pass_icon_flag_logo_02</v>
          </cell>
        </row>
        <row r="540">
          <cell r="L540" t="str">
            <v>战旗图案-绝命图案</v>
          </cell>
          <cell r="M540">
            <v>120303</v>
          </cell>
          <cell r="N540" t="str">
            <v>battle_pass_icon_flag_logo_03</v>
          </cell>
        </row>
        <row r="541">
          <cell r="L541" t="str">
            <v>战旗图案-荣耀图案</v>
          </cell>
          <cell r="M541">
            <v>120304</v>
          </cell>
          <cell r="N541" t="str">
            <v>battle_pass_icon_flag_logo_04</v>
          </cell>
        </row>
        <row r="542">
          <cell r="L542" t="str">
            <v>坦克涂装-坦克皮肤:丛林</v>
          </cell>
          <cell r="M542">
            <v>180001</v>
          </cell>
          <cell r="N542" t="str">
            <v>tank_skin_icon_rd101</v>
          </cell>
        </row>
        <row r="543">
          <cell r="L543" t="str">
            <v>坦克涂装-坦克皮肤:沙漠</v>
          </cell>
          <cell r="M543">
            <v>180002</v>
          </cell>
          <cell r="N543" t="str">
            <v>tank_skin_icon_rd102</v>
          </cell>
        </row>
        <row r="544">
          <cell r="L544" t="str">
            <v>坦克涂装-坦克皮肤:雪地</v>
          </cell>
          <cell r="M544">
            <v>180003</v>
          </cell>
          <cell r="N544" t="str">
            <v>tank_skin_icon_rd103</v>
          </cell>
        </row>
        <row r="545">
          <cell r="L545" t="str">
            <v>坦克涂装-坦克皮肤:红色丝网</v>
          </cell>
          <cell r="M545">
            <v>180004</v>
          </cell>
          <cell r="N545" t="str">
            <v>tank_skin_icon_rd104</v>
          </cell>
        </row>
        <row r="546">
          <cell r="L546" t="str">
            <v>坦克涂装-坦克皮肤:霓虹灯</v>
          </cell>
          <cell r="M546">
            <v>180005</v>
          </cell>
          <cell r="N546" t="str">
            <v>tank_skin_icon_rd105</v>
          </cell>
        </row>
        <row r="547">
          <cell r="L547" t="str">
            <v>坦克涂装-坦克皮肤:冰晶</v>
          </cell>
          <cell r="M547">
            <v>180006</v>
          </cell>
          <cell r="N547" t="str">
            <v>tank_skin_icon_rd106</v>
          </cell>
        </row>
        <row r="548">
          <cell r="L548" t="str">
            <v>坦克涂装-坦克皮肤:喷彩</v>
          </cell>
          <cell r="M548">
            <v>180007</v>
          </cell>
          <cell r="N548" t="str">
            <v>tank_skin_icon_rd107</v>
          </cell>
        </row>
        <row r="549">
          <cell r="L549" t="str">
            <v>坦克涂装-坦克皮肤:枫叶</v>
          </cell>
          <cell r="M549">
            <v>180008</v>
          </cell>
          <cell r="N549" t="str">
            <v>tank_skin_icon_rd108</v>
          </cell>
        </row>
        <row r="550">
          <cell r="L550" t="str">
            <v>坦克涂装-坦克皮肤:黑白涂鸦</v>
          </cell>
          <cell r="M550">
            <v>180009</v>
          </cell>
          <cell r="N550" t="str">
            <v>tank_skin_icon_rd109</v>
          </cell>
        </row>
        <row r="551">
          <cell r="L551" t="str">
            <v>坦克涂装-坦克皮肤:蓝天</v>
          </cell>
          <cell r="M551">
            <v>180010</v>
          </cell>
          <cell r="N551" t="str">
            <v>tank_skin_icon_rd110</v>
          </cell>
        </row>
        <row r="552">
          <cell r="L552" t="str">
            <v>坦克涂装-坦克皮肤:滩涂</v>
          </cell>
          <cell r="M552">
            <v>180013</v>
          </cell>
          <cell r="N552" t="str">
            <v>tank_skin_icon_rd113</v>
          </cell>
        </row>
        <row r="553">
          <cell r="L553" t="str">
            <v>坦克涂装-坦克皮肤:城市</v>
          </cell>
          <cell r="M553">
            <v>180014</v>
          </cell>
          <cell r="N553" t="str">
            <v>tank_skin_icon_rd114</v>
          </cell>
        </row>
        <row r="554">
          <cell r="L554" t="str">
            <v>坦克涂装-坦克皮肤:山地</v>
          </cell>
          <cell r="M554">
            <v>180015</v>
          </cell>
          <cell r="N554" t="str">
            <v>tank_skin_icon_rd115</v>
          </cell>
        </row>
        <row r="555">
          <cell r="L555" t="str">
            <v>坦克涂装-坦克皮肤:暗夜</v>
          </cell>
          <cell r="M555">
            <v>180016</v>
          </cell>
          <cell r="N555" t="str">
            <v>tank_skin_icon_rd116</v>
          </cell>
        </row>
        <row r="556">
          <cell r="L556" t="str">
            <v>坦克流光特效-全电坦克</v>
          </cell>
          <cell r="M556">
            <v>190001</v>
          </cell>
          <cell r="N556" t="str">
            <v>tank_common_lighting</v>
          </cell>
        </row>
        <row r="557">
          <cell r="L557" t="str">
            <v>坦克流光特效-美人鱼</v>
          </cell>
          <cell r="M557">
            <v>190002</v>
          </cell>
          <cell r="N557" t="str">
            <v>tank_common_fish</v>
          </cell>
        </row>
        <row r="558">
          <cell r="L558" t="str">
            <v>坦克流光特效-地狱使者</v>
          </cell>
          <cell r="M558">
            <v>190003</v>
          </cell>
          <cell r="N558" t="str">
            <v>tank_common_fire</v>
          </cell>
        </row>
        <row r="559">
          <cell r="L559" t="str">
            <v>BattlePass货币</v>
          </cell>
          <cell r="M559">
            <v>113</v>
          </cell>
          <cell r="N559" t="str">
            <v>public_icon_handbook_exp</v>
          </cell>
        </row>
        <row r="560">
          <cell r="L560" t="str">
            <v>头像-默认头像</v>
          </cell>
          <cell r="M560">
            <v>140101</v>
          </cell>
          <cell r="N560" t="str">
            <v>role_head_icon_1</v>
          </cell>
        </row>
        <row r="561">
          <cell r="L561" t="str">
            <v>头像-龙</v>
          </cell>
          <cell r="M561">
            <v>140102</v>
          </cell>
          <cell r="N561" t="str">
            <v>role_head_icon_2</v>
          </cell>
        </row>
        <row r="562">
          <cell r="L562" t="str">
            <v>头像-S1奖牌</v>
          </cell>
          <cell r="M562">
            <v>140103</v>
          </cell>
          <cell r="N562" t="str">
            <v>role_head_icon_3</v>
          </cell>
        </row>
        <row r="563">
          <cell r="L563" t="str">
            <v>头像-金光坦克</v>
          </cell>
          <cell r="M563">
            <v>140104</v>
          </cell>
          <cell r="N563" t="str">
            <v>role_head_icon_4</v>
          </cell>
        </row>
        <row r="564">
          <cell r="L564" t="str">
            <v>头像-预注册-鹰</v>
          </cell>
          <cell r="M564">
            <v>140105</v>
          </cell>
          <cell r="N564" t="str">
            <v>role_head_icon_5</v>
          </cell>
        </row>
        <row r="565">
          <cell r="L565" t="str">
            <v>头像-老虎</v>
          </cell>
          <cell r="M565">
            <v>140106</v>
          </cell>
          <cell r="N565" t="str">
            <v>role_head_icon_6</v>
          </cell>
        </row>
        <row r="566">
          <cell r="L566" t="str">
            <v>头像-吐舌头</v>
          </cell>
          <cell r="M566">
            <v>140107</v>
          </cell>
          <cell r="N566" t="str">
            <v>role_head_icon_7</v>
          </cell>
        </row>
        <row r="567">
          <cell r="L567" t="str">
            <v>头像-皇冠</v>
          </cell>
          <cell r="M567">
            <v>140108</v>
          </cell>
          <cell r="N567" t="str">
            <v>role_head_icon_8</v>
          </cell>
        </row>
        <row r="568">
          <cell r="L568" t="str">
            <v>头像-头盔</v>
          </cell>
          <cell r="M568">
            <v>140109</v>
          </cell>
          <cell r="N568" t="str">
            <v>role_head_icon_9</v>
          </cell>
        </row>
        <row r="569">
          <cell r="L569" t="str">
            <v>头像-蛇</v>
          </cell>
          <cell r="M569">
            <v>140110</v>
          </cell>
          <cell r="N569" t="str">
            <v>role_head_icon_10</v>
          </cell>
        </row>
        <row r="570">
          <cell r="L570" t="str">
            <v>头像-狮子</v>
          </cell>
          <cell r="M570">
            <v>140111</v>
          </cell>
          <cell r="N570" t="str">
            <v>role_head_icon_11</v>
          </cell>
        </row>
        <row r="571">
          <cell r="L571" t="str">
            <v>头像-IF抽象标识</v>
          </cell>
          <cell r="M571">
            <v>140112</v>
          </cell>
          <cell r="N571" t="str">
            <v>role_head_icon_12</v>
          </cell>
        </row>
        <row r="572">
          <cell r="L572" t="str">
            <v>头像-炸弹头听音乐</v>
          </cell>
          <cell r="M572">
            <v>140113</v>
          </cell>
          <cell r="N572" t="str">
            <v>role_head_icon_13</v>
          </cell>
        </row>
        <row r="573">
          <cell r="L573" t="str">
            <v>头像-熊猫</v>
          </cell>
          <cell r="M573">
            <v>140114</v>
          </cell>
          <cell r="N573" t="str">
            <v>role_head_icon_14</v>
          </cell>
        </row>
        <row r="574">
          <cell r="L574" t="str">
            <v>坦克涂装-电磁炮-兽人</v>
          </cell>
          <cell r="M574">
            <v>180017</v>
          </cell>
          <cell r="N574" t="str">
            <v>35t-rd4</v>
          </cell>
        </row>
        <row r="575">
          <cell r="L575" t="str">
            <v>坦克涂装-电磁炮-食月鸟</v>
          </cell>
          <cell r="M575">
            <v>180018</v>
          </cell>
          <cell r="N575" t="str">
            <v>crusader-rd4</v>
          </cell>
        </row>
        <row r="576">
          <cell r="L576" t="str">
            <v>坦克涂装-金龙-吸血鬼</v>
          </cell>
          <cell r="M576">
            <v>180020</v>
          </cell>
          <cell r="N576" t="str">
            <v>mathilda-rd3</v>
          </cell>
        </row>
        <row r="577">
          <cell r="L577" t="str">
            <v>坦克涂装-金龙-神秘猿</v>
          </cell>
          <cell r="M577">
            <v>180021</v>
          </cell>
          <cell r="N577" t="str">
            <v>m4-rd3</v>
          </cell>
        </row>
        <row r="578">
          <cell r="L578" t="str">
            <v>坦克涂装-铠甲勇士-森林精灵</v>
          </cell>
          <cell r="M578">
            <v>180023</v>
          </cell>
          <cell r="N578" t="str">
            <v>panzer-v-rd5</v>
          </cell>
        </row>
        <row r="579">
          <cell r="L579" t="str">
            <v>坦克涂装-铠甲勇士-偷火巨人</v>
          </cell>
          <cell r="M579">
            <v>180024</v>
          </cell>
          <cell r="N579" t="str">
            <v>tiger-rd5</v>
          </cell>
        </row>
        <row r="580">
          <cell r="L580" t="str">
            <v>BattlePass经验</v>
          </cell>
          <cell r="M580">
            <v>112</v>
          </cell>
          <cell r="N580" t="str">
            <v>public_icon_handbook_exp</v>
          </cell>
        </row>
      </sheetData>
      <sheetData sheetId="26"/>
      <sheetData sheetId="27"/>
      <sheetData sheetId="28"/>
      <sheetData sheetId="29"/>
      <sheetData sheetId="30"/>
      <sheetData sheetId="31">
        <row r="4">
          <cell r="C4">
            <v>180</v>
          </cell>
        </row>
        <row r="6">
          <cell r="C6">
            <v>5.4166666666666696</v>
          </cell>
        </row>
        <row r="19">
          <cell r="F19">
            <v>54</v>
          </cell>
          <cell r="G19">
            <v>5</v>
          </cell>
          <cell r="H19">
            <v>2</v>
          </cell>
        </row>
        <row r="20">
          <cell r="F20">
            <v>108</v>
          </cell>
          <cell r="G20">
            <v>9</v>
          </cell>
          <cell r="H20">
            <v>4</v>
          </cell>
        </row>
        <row r="21">
          <cell r="F21">
            <v>216</v>
          </cell>
          <cell r="G21">
            <v>18</v>
          </cell>
          <cell r="H21">
            <v>6</v>
          </cell>
        </row>
        <row r="22">
          <cell r="F22">
            <v>432</v>
          </cell>
          <cell r="G22">
            <v>36</v>
          </cell>
          <cell r="H22">
            <v>8</v>
          </cell>
        </row>
      </sheetData>
      <sheetData sheetId="32">
        <row r="9">
          <cell r="C9">
            <v>200</v>
          </cell>
        </row>
        <row r="10">
          <cell r="C10">
            <v>600</v>
          </cell>
        </row>
        <row r="11">
          <cell r="C11">
            <v>2000</v>
          </cell>
        </row>
        <row r="12">
          <cell r="C12">
            <v>100</v>
          </cell>
        </row>
        <row r="13">
          <cell r="C13">
            <v>100</v>
          </cell>
        </row>
      </sheetData>
      <sheetData sheetId="33"/>
      <sheetData sheetId="34"/>
      <sheetData sheetId="35"/>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导出汇总"/>
      <sheetName val="掉落汇总"/>
      <sheetName val="普通宝箱"/>
      <sheetName val="高级宝箱"/>
      <sheetName val="稀有宝箱"/>
      <sheetName val="稀有宝箱保底抽"/>
      <sheetName val="出售宝箱3-概率提升"/>
      <sheetName val="碎片宝箱"/>
      <sheetName val="钥匙宝箱"/>
      <sheetName val="荣耀宝箱"/>
      <sheetName val="活跃小箱"/>
      <sheetName val="活跃中箱"/>
      <sheetName val="活跃大箱"/>
      <sheetName val="活跃巨箱"/>
      <sheetName val="名称-id-价值"/>
      <sheetName val="军费-钻石数量"/>
      <sheetName val="出售宝箱3-彗星活动"/>
      <sheetName val="出售宝箱3-融铜巨人·S活动"/>
      <sheetName val="出售宝箱3-T4部件概率提升"/>
      <sheetName val="展示字符串"/>
      <sheetName val="数据源"/>
      <sheetName val="数据导出"/>
    </sheetNames>
    <sheetDataSet>
      <sheetData sheetId="0"/>
      <sheetData sheetId="1"/>
      <sheetData sheetId="2"/>
      <sheetData sheetId="3"/>
      <sheetData sheetId="4">
        <row r="1">
          <cell r="C1" t="str">
            <v>物品id</v>
          </cell>
          <cell r="J1" t="str">
            <v>类别</v>
          </cell>
          <cell r="K1" t="str">
            <v>联赛等级</v>
          </cell>
          <cell r="L1" t="str">
            <v>计算个数</v>
          </cell>
        </row>
        <row r="2">
          <cell r="C2">
            <v>51111</v>
          </cell>
          <cell r="J2" t="str">
            <v>T1碎片</v>
          </cell>
          <cell r="K2">
            <v>1</v>
          </cell>
          <cell r="L2">
            <v>6.5142625935666594</v>
          </cell>
        </row>
        <row r="3">
          <cell r="C3">
            <v>52111</v>
          </cell>
          <cell r="J3" t="str">
            <v>T1碎片</v>
          </cell>
          <cell r="K3">
            <v>1</v>
          </cell>
          <cell r="L3">
            <v>6.5142625935666594</v>
          </cell>
        </row>
        <row r="4">
          <cell r="C4">
            <v>53111</v>
          </cell>
          <cell r="J4" t="str">
            <v>T1碎片</v>
          </cell>
          <cell r="K4">
            <v>1</v>
          </cell>
          <cell r="L4">
            <v>6.5142625935666594</v>
          </cell>
        </row>
        <row r="5">
          <cell r="C5">
            <v>51211</v>
          </cell>
          <cell r="J5" t="str">
            <v>T2碎片</v>
          </cell>
          <cell r="K5">
            <v>1</v>
          </cell>
          <cell r="L5">
            <v>0.17701800525996358</v>
          </cell>
        </row>
        <row r="6">
          <cell r="C6">
            <v>51221</v>
          </cell>
          <cell r="J6" t="str">
            <v>T2碎片</v>
          </cell>
          <cell r="K6">
            <v>1</v>
          </cell>
          <cell r="L6">
            <v>0.10115314586283633</v>
          </cell>
        </row>
        <row r="7">
          <cell r="C7">
            <v>52211</v>
          </cell>
          <cell r="J7" t="str">
            <v>T2碎片</v>
          </cell>
          <cell r="K7">
            <v>1</v>
          </cell>
          <cell r="L7">
            <v>0.17701800525996358</v>
          </cell>
        </row>
        <row r="8">
          <cell r="C8">
            <v>52221</v>
          </cell>
          <cell r="J8" t="str">
            <v>T2碎片</v>
          </cell>
          <cell r="K8">
            <v>1</v>
          </cell>
          <cell r="L8">
            <v>0.10115314586283633</v>
          </cell>
        </row>
        <row r="9">
          <cell r="C9">
            <v>53211</v>
          </cell>
          <cell r="J9" t="str">
            <v>T2碎片</v>
          </cell>
          <cell r="K9">
            <v>1</v>
          </cell>
          <cell r="L9">
            <v>0.17701800525996358</v>
          </cell>
        </row>
        <row r="10">
          <cell r="C10">
            <v>53221</v>
          </cell>
          <cell r="J10" t="str">
            <v>T2碎片</v>
          </cell>
          <cell r="K10">
            <v>1</v>
          </cell>
          <cell r="L10">
            <v>0.10115314586283633</v>
          </cell>
        </row>
        <row r="11">
          <cell r="C11">
            <v>51311</v>
          </cell>
          <cell r="J11" t="str">
            <v>T3碎片</v>
          </cell>
          <cell r="K11">
            <v>1</v>
          </cell>
          <cell r="L11">
            <v>3.0345943758850899E-2</v>
          </cell>
        </row>
        <row r="12">
          <cell r="C12">
            <v>51321</v>
          </cell>
          <cell r="J12" t="str">
            <v>T3碎片</v>
          </cell>
          <cell r="K12">
            <v>1</v>
          </cell>
          <cell r="L12">
            <v>3.0345943758850899E-2</v>
          </cell>
        </row>
        <row r="13">
          <cell r="C13">
            <v>52311</v>
          </cell>
          <cell r="J13" t="str">
            <v>T3碎片</v>
          </cell>
          <cell r="K13">
            <v>1</v>
          </cell>
          <cell r="L13">
            <v>3.0345943758850899E-2</v>
          </cell>
        </row>
        <row r="14">
          <cell r="C14">
            <v>52321</v>
          </cell>
          <cell r="J14" t="str">
            <v>T3碎片</v>
          </cell>
          <cell r="K14">
            <v>1</v>
          </cell>
          <cell r="L14">
            <v>3.0345943758850899E-2</v>
          </cell>
        </row>
        <row r="15">
          <cell r="C15">
            <v>53311</v>
          </cell>
          <cell r="J15" t="str">
            <v>T3碎片</v>
          </cell>
          <cell r="K15">
            <v>1</v>
          </cell>
          <cell r="L15">
            <v>3.0345943758850899E-2</v>
          </cell>
        </row>
        <row r="16">
          <cell r="C16">
            <v>53321</v>
          </cell>
          <cell r="J16" t="str">
            <v>T3碎片</v>
          </cell>
          <cell r="K16">
            <v>1</v>
          </cell>
          <cell r="L16">
            <v>3.0345943758850899E-2</v>
          </cell>
        </row>
        <row r="17">
          <cell r="C17">
            <v>53331</v>
          </cell>
          <cell r="J17" t="str">
            <v>T3碎片</v>
          </cell>
          <cell r="K17">
            <v>1</v>
          </cell>
          <cell r="L17">
            <v>2.0230629172567266E-2</v>
          </cell>
        </row>
        <row r="18">
          <cell r="C18">
            <v>52331</v>
          </cell>
          <cell r="J18" t="str">
            <v>T3碎片</v>
          </cell>
          <cell r="K18">
            <v>1</v>
          </cell>
          <cell r="L18">
            <v>2.0230629172567266E-2</v>
          </cell>
        </row>
        <row r="19">
          <cell r="C19">
            <v>51341</v>
          </cell>
          <cell r="J19" t="str">
            <v>T3碎片</v>
          </cell>
          <cell r="K19">
            <v>1</v>
          </cell>
          <cell r="L19">
            <v>2.0230629172567266E-2</v>
          </cell>
        </row>
        <row r="20">
          <cell r="C20">
            <v>91001</v>
          </cell>
          <cell r="J20" t="str">
            <v>T1部件</v>
          </cell>
          <cell r="K20">
            <v>1</v>
          </cell>
          <cell r="L20">
            <v>1.1612381145053612</v>
          </cell>
        </row>
        <row r="21">
          <cell r="C21">
            <v>91003</v>
          </cell>
          <cell r="J21" t="str">
            <v>T1部件</v>
          </cell>
          <cell r="K21">
            <v>1</v>
          </cell>
          <cell r="L21">
            <v>1.1612381145053612</v>
          </cell>
        </row>
        <row r="22">
          <cell r="C22">
            <v>91005</v>
          </cell>
          <cell r="J22" t="str">
            <v>T1部件</v>
          </cell>
          <cell r="K22">
            <v>1</v>
          </cell>
          <cell r="L22">
            <v>1.1612381145053612</v>
          </cell>
        </row>
        <row r="23">
          <cell r="C23">
            <v>91101</v>
          </cell>
          <cell r="J23" t="str">
            <v>T1部件</v>
          </cell>
          <cell r="K23">
            <v>1</v>
          </cell>
          <cell r="L23">
            <v>1.1612381145053612</v>
          </cell>
        </row>
        <row r="24">
          <cell r="C24">
            <v>91103</v>
          </cell>
          <cell r="J24" t="str">
            <v>T1部件</v>
          </cell>
          <cell r="K24">
            <v>1</v>
          </cell>
          <cell r="L24">
            <v>1.1612381145053612</v>
          </cell>
        </row>
        <row r="25">
          <cell r="C25">
            <v>91105</v>
          </cell>
          <cell r="J25" t="str">
            <v>T1部件</v>
          </cell>
          <cell r="K25">
            <v>1</v>
          </cell>
          <cell r="L25">
            <v>1.1612381145053612</v>
          </cell>
        </row>
        <row r="26">
          <cell r="C26">
            <v>91201</v>
          </cell>
          <cell r="J26" t="str">
            <v>T1部件</v>
          </cell>
          <cell r="K26">
            <v>1</v>
          </cell>
          <cell r="L26">
            <v>1.1612381145053612</v>
          </cell>
        </row>
        <row r="27">
          <cell r="C27">
            <v>91203</v>
          </cell>
          <cell r="J27" t="str">
            <v>T1部件</v>
          </cell>
          <cell r="K27">
            <v>1</v>
          </cell>
          <cell r="L27">
            <v>1.1612381145053612</v>
          </cell>
        </row>
        <row r="28">
          <cell r="C28">
            <v>91205</v>
          </cell>
          <cell r="J28" t="str">
            <v>T1部件</v>
          </cell>
          <cell r="K28">
            <v>1</v>
          </cell>
          <cell r="L28">
            <v>1.1936071211814687</v>
          </cell>
        </row>
        <row r="29">
          <cell r="C29">
            <v>11211</v>
          </cell>
          <cell r="J29" t="str">
            <v>T2坦克</v>
          </cell>
          <cell r="K29">
            <v>2</v>
          </cell>
          <cell r="L29">
            <v>0.21574973031283712</v>
          </cell>
        </row>
        <row r="30">
          <cell r="C30">
            <v>12211</v>
          </cell>
          <cell r="J30" t="str">
            <v>T2坦克</v>
          </cell>
          <cell r="K30">
            <v>2</v>
          </cell>
          <cell r="L30">
            <v>0.21574973031283712</v>
          </cell>
        </row>
        <row r="31">
          <cell r="C31">
            <v>13211</v>
          </cell>
          <cell r="J31" t="str">
            <v>T2坦克</v>
          </cell>
          <cell r="K31">
            <v>2</v>
          </cell>
          <cell r="L31">
            <v>0.21574973031283712</v>
          </cell>
        </row>
        <row r="32">
          <cell r="C32">
            <v>51111</v>
          </cell>
          <cell r="J32" t="str">
            <v>T1碎片</v>
          </cell>
          <cell r="K32">
            <v>2</v>
          </cell>
          <cell r="L32">
            <v>1.1289104638619203</v>
          </cell>
        </row>
        <row r="33">
          <cell r="C33">
            <v>52111</v>
          </cell>
          <cell r="J33" t="str">
            <v>T1碎片</v>
          </cell>
          <cell r="K33">
            <v>2</v>
          </cell>
          <cell r="L33">
            <v>1.1289104638619203</v>
          </cell>
        </row>
        <row r="34">
          <cell r="C34">
            <v>53111</v>
          </cell>
          <cell r="J34" t="str">
            <v>T1碎片</v>
          </cell>
          <cell r="K34">
            <v>2</v>
          </cell>
          <cell r="L34">
            <v>1.1289104638619203</v>
          </cell>
        </row>
        <row r="35">
          <cell r="C35">
            <v>51211</v>
          </cell>
          <cell r="J35" t="str">
            <v>T2碎片</v>
          </cell>
          <cell r="K35">
            <v>2</v>
          </cell>
          <cell r="L35">
            <v>1.9714131607335492</v>
          </cell>
        </row>
        <row r="36">
          <cell r="C36">
            <v>52211</v>
          </cell>
          <cell r="J36" t="str">
            <v>T2碎片</v>
          </cell>
          <cell r="K36">
            <v>2</v>
          </cell>
          <cell r="L36">
            <v>1.6235167206040992</v>
          </cell>
        </row>
        <row r="37">
          <cell r="C37">
            <v>53211</v>
          </cell>
          <cell r="J37" t="str">
            <v>T2碎片</v>
          </cell>
          <cell r="K37">
            <v>2</v>
          </cell>
          <cell r="L37">
            <v>1.9714131607335492</v>
          </cell>
        </row>
        <row r="38">
          <cell r="C38">
            <v>51221</v>
          </cell>
          <cell r="J38" t="str">
            <v>T2碎片</v>
          </cell>
          <cell r="K38">
            <v>2</v>
          </cell>
          <cell r="L38">
            <v>0.37756202804746497</v>
          </cell>
        </row>
        <row r="39">
          <cell r="C39">
            <v>52221</v>
          </cell>
          <cell r="J39" t="str">
            <v>T2碎片</v>
          </cell>
          <cell r="K39">
            <v>2</v>
          </cell>
          <cell r="L39">
            <v>0.45846817691477887</v>
          </cell>
        </row>
        <row r="40">
          <cell r="C40">
            <v>53221</v>
          </cell>
          <cell r="J40" t="str">
            <v>T2碎片</v>
          </cell>
          <cell r="K40">
            <v>2</v>
          </cell>
          <cell r="L40">
            <v>0.37756202804746497</v>
          </cell>
        </row>
        <row r="41">
          <cell r="C41">
            <v>51311</v>
          </cell>
          <cell r="J41" t="str">
            <v>T3碎片</v>
          </cell>
          <cell r="K41">
            <v>2</v>
          </cell>
          <cell r="L41">
            <v>0.14563106796116504</v>
          </cell>
        </row>
        <row r="42">
          <cell r="C42">
            <v>51321</v>
          </cell>
          <cell r="J42" t="str">
            <v>T3碎片</v>
          </cell>
          <cell r="K42">
            <v>2</v>
          </cell>
          <cell r="L42">
            <v>9.7087378640776711E-2</v>
          </cell>
        </row>
        <row r="43">
          <cell r="C43">
            <v>52311</v>
          </cell>
          <cell r="J43" t="str">
            <v>T3碎片</v>
          </cell>
          <cell r="K43">
            <v>2</v>
          </cell>
          <cell r="L43">
            <v>0.14563106796116504</v>
          </cell>
        </row>
        <row r="44">
          <cell r="C44">
            <v>52321</v>
          </cell>
          <cell r="J44" t="str">
            <v>T3碎片</v>
          </cell>
          <cell r="K44">
            <v>2</v>
          </cell>
          <cell r="L44">
            <v>9.7087378640776711E-2</v>
          </cell>
        </row>
        <row r="45">
          <cell r="C45">
            <v>53311</v>
          </cell>
          <cell r="J45" t="str">
            <v>T3碎片</v>
          </cell>
          <cell r="K45">
            <v>2</v>
          </cell>
          <cell r="L45">
            <v>0.14563106796116504</v>
          </cell>
        </row>
        <row r="46">
          <cell r="C46">
            <v>53321</v>
          </cell>
          <cell r="J46" t="str">
            <v>T3碎片</v>
          </cell>
          <cell r="K46">
            <v>2</v>
          </cell>
          <cell r="L46">
            <v>9.7087378640776711E-2</v>
          </cell>
        </row>
        <row r="47">
          <cell r="C47">
            <v>53331</v>
          </cell>
          <cell r="J47" t="str">
            <v>T3碎片</v>
          </cell>
          <cell r="K47">
            <v>2</v>
          </cell>
          <cell r="L47">
            <v>6.4724919093851127E-2</v>
          </cell>
        </row>
        <row r="48">
          <cell r="C48">
            <v>52331</v>
          </cell>
          <cell r="J48" t="str">
            <v>T3碎片</v>
          </cell>
          <cell r="K48">
            <v>2</v>
          </cell>
          <cell r="L48">
            <v>6.4724919093851127E-2</v>
          </cell>
        </row>
        <row r="49">
          <cell r="C49">
            <v>51341</v>
          </cell>
          <cell r="J49" t="str">
            <v>T3碎片</v>
          </cell>
          <cell r="K49">
            <v>2</v>
          </cell>
          <cell r="L49">
            <v>6.4724919093851127E-2</v>
          </cell>
        </row>
        <row r="50">
          <cell r="C50">
            <v>91001</v>
          </cell>
          <cell r="J50" t="str">
            <v>T1部件</v>
          </cell>
          <cell r="K50">
            <v>2</v>
          </cell>
          <cell r="L50">
            <v>0.81445523193096003</v>
          </cell>
        </row>
        <row r="51">
          <cell r="C51">
            <v>91003</v>
          </cell>
          <cell r="J51" t="str">
            <v>T1部件</v>
          </cell>
          <cell r="K51">
            <v>2</v>
          </cell>
          <cell r="L51">
            <v>0.81445523193096003</v>
          </cell>
        </row>
        <row r="52">
          <cell r="C52">
            <v>91005</v>
          </cell>
          <cell r="J52" t="str">
            <v>T1部件</v>
          </cell>
          <cell r="K52">
            <v>2</v>
          </cell>
          <cell r="L52">
            <v>0.81445523193096003</v>
          </cell>
        </row>
        <row r="53">
          <cell r="C53">
            <v>91101</v>
          </cell>
          <cell r="J53" t="str">
            <v>T1部件</v>
          </cell>
          <cell r="K53">
            <v>2</v>
          </cell>
          <cell r="L53">
            <v>0.81445523193096003</v>
          </cell>
        </row>
        <row r="54">
          <cell r="C54">
            <v>91103</v>
          </cell>
          <cell r="J54" t="str">
            <v>T1部件</v>
          </cell>
          <cell r="K54">
            <v>2</v>
          </cell>
          <cell r="L54">
            <v>0.81445523193096003</v>
          </cell>
        </row>
        <row r="55">
          <cell r="C55">
            <v>91105</v>
          </cell>
          <cell r="J55" t="str">
            <v>T1部件</v>
          </cell>
          <cell r="K55">
            <v>2</v>
          </cell>
          <cell r="L55">
            <v>0.81445523193096003</v>
          </cell>
        </row>
        <row r="56">
          <cell r="C56">
            <v>91201</v>
          </cell>
          <cell r="J56" t="str">
            <v>T1部件</v>
          </cell>
          <cell r="K56">
            <v>2</v>
          </cell>
          <cell r="L56">
            <v>0.81445523193096003</v>
          </cell>
        </row>
        <row r="57">
          <cell r="C57">
            <v>91203</v>
          </cell>
          <cell r="J57" t="str">
            <v>T1部件</v>
          </cell>
          <cell r="K57">
            <v>2</v>
          </cell>
          <cell r="L57">
            <v>0.81445523193096003</v>
          </cell>
        </row>
        <row r="58">
          <cell r="C58">
            <v>91205</v>
          </cell>
          <cell r="J58" t="str">
            <v>T1部件</v>
          </cell>
          <cell r="K58">
            <v>2</v>
          </cell>
          <cell r="L58">
            <v>0.81445523193096003</v>
          </cell>
        </row>
        <row r="59">
          <cell r="C59">
            <v>91002</v>
          </cell>
          <cell r="J59" t="str">
            <v>T1部件</v>
          </cell>
          <cell r="K59">
            <v>2</v>
          </cell>
          <cell r="L59">
            <v>0.81445523193096003</v>
          </cell>
        </row>
        <row r="60">
          <cell r="C60">
            <v>91004</v>
          </cell>
          <cell r="J60" t="str">
            <v>T1部件</v>
          </cell>
          <cell r="K60">
            <v>2</v>
          </cell>
          <cell r="L60">
            <v>0.81445523193096003</v>
          </cell>
        </row>
        <row r="61">
          <cell r="C61">
            <v>91006</v>
          </cell>
          <cell r="J61" t="str">
            <v>T1部件</v>
          </cell>
          <cell r="K61">
            <v>2</v>
          </cell>
          <cell r="L61">
            <v>0.81445523193096003</v>
          </cell>
        </row>
        <row r="62">
          <cell r="C62">
            <v>91102</v>
          </cell>
          <cell r="J62" t="str">
            <v>T1部件</v>
          </cell>
          <cell r="K62">
            <v>2</v>
          </cell>
          <cell r="L62">
            <v>0.81445523193096003</v>
          </cell>
        </row>
        <row r="63">
          <cell r="C63">
            <v>91104</v>
          </cell>
          <cell r="J63" t="str">
            <v>T1部件</v>
          </cell>
          <cell r="K63">
            <v>2</v>
          </cell>
          <cell r="L63">
            <v>0.81445523193096003</v>
          </cell>
        </row>
        <row r="64">
          <cell r="C64">
            <v>91106</v>
          </cell>
          <cell r="J64" t="str">
            <v>T1部件</v>
          </cell>
          <cell r="K64">
            <v>2</v>
          </cell>
          <cell r="L64">
            <v>0.81445523193096003</v>
          </cell>
        </row>
        <row r="65">
          <cell r="C65">
            <v>91202</v>
          </cell>
          <cell r="J65" t="str">
            <v>T1部件</v>
          </cell>
          <cell r="K65">
            <v>2</v>
          </cell>
          <cell r="L65">
            <v>0.81445523193096003</v>
          </cell>
        </row>
        <row r="66">
          <cell r="C66">
            <v>91204</v>
          </cell>
          <cell r="J66" t="str">
            <v>T1部件</v>
          </cell>
          <cell r="K66">
            <v>2</v>
          </cell>
          <cell r="L66">
            <v>0.81445523193096003</v>
          </cell>
        </row>
        <row r="67">
          <cell r="C67">
            <v>91206</v>
          </cell>
          <cell r="J67" t="str">
            <v>T1部件</v>
          </cell>
          <cell r="K67">
            <v>2</v>
          </cell>
          <cell r="L67">
            <v>0.86299892125134836</v>
          </cell>
        </row>
        <row r="68">
          <cell r="C68">
            <v>11211</v>
          </cell>
          <cell r="J68" t="str">
            <v>T2坦克</v>
          </cell>
          <cell r="K68">
            <v>3</v>
          </cell>
          <cell r="L68">
            <v>0.13586072242108688</v>
          </cell>
        </row>
        <row r="69">
          <cell r="C69">
            <v>12211</v>
          </cell>
          <cell r="J69" t="str">
            <v>T2坦克</v>
          </cell>
          <cell r="K69">
            <v>3</v>
          </cell>
          <cell r="L69">
            <v>0.13586072242108688</v>
          </cell>
        </row>
        <row r="70">
          <cell r="C70">
            <v>13211</v>
          </cell>
          <cell r="J70" t="str">
            <v>T2坦克</v>
          </cell>
          <cell r="K70">
            <v>3</v>
          </cell>
          <cell r="L70">
            <v>0.13586072242108688</v>
          </cell>
        </row>
        <row r="71">
          <cell r="C71">
            <v>11221</v>
          </cell>
          <cell r="J71" t="str">
            <v>T2坦克</v>
          </cell>
          <cell r="K71">
            <v>3</v>
          </cell>
          <cell r="L71">
            <v>0.2359258054018874</v>
          </cell>
        </row>
        <row r="72">
          <cell r="C72">
            <v>12221</v>
          </cell>
          <cell r="J72" t="str">
            <v>T2坦克</v>
          </cell>
          <cell r="K72">
            <v>3</v>
          </cell>
          <cell r="L72">
            <v>0.2359258054018874</v>
          </cell>
        </row>
        <row r="73">
          <cell r="C73">
            <v>13221</v>
          </cell>
          <cell r="J73" t="str">
            <v>T2坦克</v>
          </cell>
          <cell r="K73">
            <v>3</v>
          </cell>
          <cell r="L73">
            <v>0.2359258054018874</v>
          </cell>
        </row>
        <row r="74">
          <cell r="C74">
            <v>51211</v>
          </cell>
          <cell r="J74" t="str">
            <v>T2碎片</v>
          </cell>
          <cell r="K74">
            <v>3</v>
          </cell>
          <cell r="L74">
            <v>1.0665473478685323</v>
          </cell>
        </row>
        <row r="75">
          <cell r="C75">
            <v>52211</v>
          </cell>
          <cell r="J75" t="str">
            <v>T2碎片</v>
          </cell>
          <cell r="K75">
            <v>3</v>
          </cell>
          <cell r="L75">
            <v>1.0665473478685323</v>
          </cell>
        </row>
        <row r="76">
          <cell r="C76">
            <v>53211</v>
          </cell>
          <cell r="J76" t="str">
            <v>T2碎片</v>
          </cell>
          <cell r="K76">
            <v>3</v>
          </cell>
          <cell r="L76">
            <v>1.0665473478685323</v>
          </cell>
        </row>
        <row r="77">
          <cell r="C77">
            <v>51221</v>
          </cell>
          <cell r="J77" t="str">
            <v>T2碎片</v>
          </cell>
          <cell r="K77">
            <v>3</v>
          </cell>
          <cell r="L77">
            <v>0.883501464367068</v>
          </cell>
        </row>
        <row r="78">
          <cell r="C78">
            <v>52221</v>
          </cell>
          <cell r="J78" t="str">
            <v>T2碎片</v>
          </cell>
          <cell r="K78">
            <v>3</v>
          </cell>
          <cell r="L78">
            <v>0.883501464367068</v>
          </cell>
        </row>
        <row r="79">
          <cell r="C79">
            <v>53221</v>
          </cell>
          <cell r="J79" t="str">
            <v>T2碎片</v>
          </cell>
          <cell r="K79">
            <v>3</v>
          </cell>
          <cell r="L79">
            <v>0.883501464367068</v>
          </cell>
        </row>
        <row r="80">
          <cell r="C80">
            <v>51311</v>
          </cell>
          <cell r="J80" t="str">
            <v>T3碎片</v>
          </cell>
          <cell r="K80">
            <v>3</v>
          </cell>
          <cell r="L80">
            <v>9.7624471200781007E-2</v>
          </cell>
        </row>
        <row r="81">
          <cell r="C81">
            <v>51321</v>
          </cell>
          <cell r="J81" t="str">
            <v>T3碎片</v>
          </cell>
          <cell r="K81">
            <v>3</v>
          </cell>
          <cell r="L81">
            <v>4.8812235600390504E-2</v>
          </cell>
        </row>
        <row r="82">
          <cell r="C82">
            <v>52311</v>
          </cell>
          <cell r="J82" t="str">
            <v>T3碎片</v>
          </cell>
          <cell r="K82">
            <v>3</v>
          </cell>
          <cell r="L82">
            <v>9.7624471200781007E-2</v>
          </cell>
        </row>
        <row r="83">
          <cell r="C83">
            <v>52321</v>
          </cell>
          <cell r="J83" t="str">
            <v>T3碎片</v>
          </cell>
          <cell r="K83">
            <v>3</v>
          </cell>
          <cell r="L83">
            <v>4.8812235600390504E-2</v>
          </cell>
        </row>
        <row r="84">
          <cell r="C84">
            <v>53311</v>
          </cell>
          <cell r="J84" t="str">
            <v>T3碎片</v>
          </cell>
          <cell r="K84">
            <v>3</v>
          </cell>
          <cell r="L84">
            <v>9.7624471200781007E-2</v>
          </cell>
        </row>
        <row r="85">
          <cell r="C85">
            <v>53321</v>
          </cell>
          <cell r="J85" t="str">
            <v>T3碎片</v>
          </cell>
          <cell r="K85">
            <v>3</v>
          </cell>
          <cell r="L85">
            <v>4.8812235600390504E-2</v>
          </cell>
        </row>
        <row r="86">
          <cell r="C86">
            <v>53331</v>
          </cell>
          <cell r="J86" t="str">
            <v>T3碎片</v>
          </cell>
          <cell r="K86">
            <v>3</v>
          </cell>
          <cell r="L86">
            <v>3.2948259030263584E-2</v>
          </cell>
        </row>
        <row r="87">
          <cell r="C87">
            <v>52331</v>
          </cell>
          <cell r="J87" t="str">
            <v>T3碎片</v>
          </cell>
          <cell r="K87">
            <v>3</v>
          </cell>
          <cell r="L87">
            <v>3.2948259030263584E-2</v>
          </cell>
        </row>
        <row r="88">
          <cell r="C88">
            <v>51341</v>
          </cell>
          <cell r="J88" t="str">
            <v>T3碎片</v>
          </cell>
          <cell r="K88">
            <v>3</v>
          </cell>
          <cell r="L88">
            <v>3.2948259030263584E-2</v>
          </cell>
        </row>
        <row r="89">
          <cell r="C89">
            <v>91001</v>
          </cell>
          <cell r="J89" t="str">
            <v>T1部件</v>
          </cell>
          <cell r="K89">
            <v>3</v>
          </cell>
          <cell r="L89">
            <v>0.41002277904328022</v>
          </cell>
        </row>
        <row r="90">
          <cell r="C90">
            <v>91003</v>
          </cell>
          <cell r="J90" t="str">
            <v>T1部件</v>
          </cell>
          <cell r="K90">
            <v>3</v>
          </cell>
          <cell r="L90">
            <v>0.41002277904328022</v>
          </cell>
        </row>
        <row r="91">
          <cell r="C91">
            <v>91005</v>
          </cell>
          <cell r="J91" t="str">
            <v>T1部件</v>
          </cell>
          <cell r="K91">
            <v>3</v>
          </cell>
          <cell r="L91">
            <v>0.41002277904328022</v>
          </cell>
        </row>
        <row r="92">
          <cell r="C92">
            <v>91101</v>
          </cell>
          <cell r="J92" t="str">
            <v>T1部件</v>
          </cell>
          <cell r="K92">
            <v>3</v>
          </cell>
          <cell r="L92">
            <v>0.41002277904328022</v>
          </cell>
        </row>
        <row r="93">
          <cell r="C93">
            <v>91103</v>
          </cell>
          <cell r="J93" t="str">
            <v>T1部件</v>
          </cell>
          <cell r="K93">
            <v>3</v>
          </cell>
          <cell r="L93">
            <v>0.41002277904328022</v>
          </cell>
        </row>
        <row r="94">
          <cell r="C94">
            <v>91105</v>
          </cell>
          <cell r="J94" t="str">
            <v>T1部件</v>
          </cell>
          <cell r="K94">
            <v>3</v>
          </cell>
          <cell r="L94">
            <v>0.41002277904328022</v>
          </cell>
        </row>
        <row r="95">
          <cell r="C95">
            <v>91201</v>
          </cell>
          <cell r="J95" t="str">
            <v>T1部件</v>
          </cell>
          <cell r="K95">
            <v>3</v>
          </cell>
          <cell r="L95">
            <v>0.41002277904328022</v>
          </cell>
        </row>
        <row r="96">
          <cell r="C96">
            <v>91203</v>
          </cell>
          <cell r="J96" t="str">
            <v>T1部件</v>
          </cell>
          <cell r="K96">
            <v>3</v>
          </cell>
          <cell r="L96">
            <v>0.41002277904328022</v>
          </cell>
        </row>
        <row r="97">
          <cell r="C97">
            <v>91205</v>
          </cell>
          <cell r="J97" t="str">
            <v>T1部件</v>
          </cell>
          <cell r="K97">
            <v>3</v>
          </cell>
          <cell r="L97">
            <v>0.41002277904328022</v>
          </cell>
        </row>
        <row r="98">
          <cell r="C98">
            <v>91002</v>
          </cell>
          <cell r="J98" t="str">
            <v>T1部件</v>
          </cell>
          <cell r="K98">
            <v>3</v>
          </cell>
          <cell r="L98">
            <v>0.41002277904328022</v>
          </cell>
        </row>
        <row r="99">
          <cell r="C99">
            <v>91004</v>
          </cell>
          <cell r="J99" t="str">
            <v>T1部件</v>
          </cell>
          <cell r="K99">
            <v>3</v>
          </cell>
          <cell r="L99">
            <v>0.41002277904328022</v>
          </cell>
        </row>
        <row r="100">
          <cell r="C100">
            <v>91006</v>
          </cell>
          <cell r="J100" t="str">
            <v>T1部件</v>
          </cell>
          <cell r="K100">
            <v>3</v>
          </cell>
          <cell r="L100">
            <v>0.41002277904328022</v>
          </cell>
        </row>
        <row r="101">
          <cell r="C101">
            <v>91102</v>
          </cell>
          <cell r="J101" t="str">
            <v>T1部件</v>
          </cell>
          <cell r="K101">
            <v>3</v>
          </cell>
          <cell r="L101">
            <v>0.41002277904328022</v>
          </cell>
        </row>
        <row r="102">
          <cell r="C102">
            <v>91104</v>
          </cell>
          <cell r="J102" t="str">
            <v>T1部件</v>
          </cell>
          <cell r="K102">
            <v>3</v>
          </cell>
          <cell r="L102">
            <v>0.41002277904328022</v>
          </cell>
        </row>
        <row r="103">
          <cell r="C103">
            <v>91106</v>
          </cell>
          <cell r="J103" t="str">
            <v>T1部件</v>
          </cell>
          <cell r="K103">
            <v>3</v>
          </cell>
          <cell r="L103">
            <v>0.41002277904328022</v>
          </cell>
        </row>
        <row r="104">
          <cell r="C104">
            <v>91202</v>
          </cell>
          <cell r="J104" t="str">
            <v>T1部件</v>
          </cell>
          <cell r="K104">
            <v>3</v>
          </cell>
          <cell r="L104">
            <v>0.41002277904328022</v>
          </cell>
        </row>
        <row r="105">
          <cell r="C105">
            <v>91204</v>
          </cell>
          <cell r="J105" t="str">
            <v>T1部件</v>
          </cell>
          <cell r="K105">
            <v>3</v>
          </cell>
          <cell r="L105">
            <v>0.41002277904328022</v>
          </cell>
        </row>
        <row r="106">
          <cell r="C106">
            <v>91206</v>
          </cell>
          <cell r="J106" t="str">
            <v>T1部件</v>
          </cell>
          <cell r="K106">
            <v>3</v>
          </cell>
          <cell r="L106">
            <v>0.41002277904328022</v>
          </cell>
        </row>
        <row r="107">
          <cell r="C107">
            <v>92001</v>
          </cell>
          <cell r="J107" t="str">
            <v>T2部件</v>
          </cell>
          <cell r="K107">
            <v>3</v>
          </cell>
          <cell r="L107">
            <v>0.21151968760169215</v>
          </cell>
        </row>
        <row r="108">
          <cell r="C108">
            <v>92003</v>
          </cell>
          <cell r="J108" t="str">
            <v>T2部件</v>
          </cell>
          <cell r="K108">
            <v>3</v>
          </cell>
          <cell r="L108">
            <v>0.21151968760169215</v>
          </cell>
        </row>
        <row r="109">
          <cell r="C109">
            <v>92005</v>
          </cell>
          <cell r="J109" t="str">
            <v>T2部件</v>
          </cell>
          <cell r="K109">
            <v>3</v>
          </cell>
          <cell r="L109">
            <v>0.21151968760169215</v>
          </cell>
        </row>
        <row r="110">
          <cell r="C110">
            <v>92101</v>
          </cell>
          <cell r="J110" t="str">
            <v>T2部件</v>
          </cell>
          <cell r="K110">
            <v>3</v>
          </cell>
          <cell r="L110">
            <v>0.21151968760169215</v>
          </cell>
        </row>
        <row r="111">
          <cell r="C111">
            <v>92103</v>
          </cell>
          <cell r="J111" t="str">
            <v>T2部件</v>
          </cell>
          <cell r="K111">
            <v>3</v>
          </cell>
          <cell r="L111">
            <v>0.21151968760169215</v>
          </cell>
        </row>
        <row r="112">
          <cell r="C112">
            <v>92105</v>
          </cell>
          <cell r="J112" t="str">
            <v>T2部件</v>
          </cell>
          <cell r="K112">
            <v>3</v>
          </cell>
          <cell r="L112">
            <v>0.21151968760169215</v>
          </cell>
        </row>
        <row r="113">
          <cell r="C113">
            <v>92201</v>
          </cell>
          <cell r="J113" t="str">
            <v>T2部件</v>
          </cell>
          <cell r="K113">
            <v>3</v>
          </cell>
          <cell r="L113">
            <v>0.21151968760169215</v>
          </cell>
        </row>
        <row r="114">
          <cell r="C114">
            <v>92203</v>
          </cell>
          <cell r="J114" t="str">
            <v>T2部件</v>
          </cell>
          <cell r="K114">
            <v>3</v>
          </cell>
          <cell r="L114">
            <v>0.21151968760169215</v>
          </cell>
        </row>
        <row r="115">
          <cell r="C115">
            <v>92205</v>
          </cell>
          <cell r="J115" t="str">
            <v>T2部件</v>
          </cell>
          <cell r="K115">
            <v>3</v>
          </cell>
          <cell r="L115">
            <v>0.22941750732183533</v>
          </cell>
        </row>
        <row r="116">
          <cell r="C116">
            <v>11211</v>
          </cell>
          <cell r="J116" t="str">
            <v>T2坦克</v>
          </cell>
          <cell r="K116">
            <v>4</v>
          </cell>
          <cell r="L116">
            <v>9.0841399851079668E-2</v>
          </cell>
        </row>
        <row r="117">
          <cell r="C117">
            <v>12211</v>
          </cell>
          <cell r="J117" t="str">
            <v>T2坦克</v>
          </cell>
          <cell r="K117">
            <v>4</v>
          </cell>
          <cell r="L117">
            <v>9.0841399851079668E-2</v>
          </cell>
        </row>
        <row r="118">
          <cell r="C118">
            <v>13211</v>
          </cell>
          <cell r="J118" t="str">
            <v>T2坦克</v>
          </cell>
          <cell r="K118">
            <v>4</v>
          </cell>
          <cell r="L118">
            <v>9.0841399851079668E-2</v>
          </cell>
        </row>
        <row r="119">
          <cell r="C119">
            <v>11221</v>
          </cell>
          <cell r="J119" t="str">
            <v>T2坦克</v>
          </cell>
          <cell r="K119">
            <v>4</v>
          </cell>
          <cell r="L119">
            <v>0.24944154877140731</v>
          </cell>
        </row>
        <row r="120">
          <cell r="C120">
            <v>12221</v>
          </cell>
          <cell r="J120" t="str">
            <v>T2坦克</v>
          </cell>
          <cell r="K120">
            <v>4</v>
          </cell>
          <cell r="L120">
            <v>0.24944154877140731</v>
          </cell>
        </row>
        <row r="121">
          <cell r="C121">
            <v>13221</v>
          </cell>
          <cell r="J121" t="str">
            <v>T2坦克</v>
          </cell>
          <cell r="K121">
            <v>4</v>
          </cell>
          <cell r="L121">
            <v>0.24944154877140731</v>
          </cell>
        </row>
        <row r="122">
          <cell r="C122">
            <v>51211</v>
          </cell>
          <cell r="J122" t="str">
            <v>T2碎片</v>
          </cell>
          <cell r="K122">
            <v>4</v>
          </cell>
          <cell r="L122">
            <v>2.0893521965748323</v>
          </cell>
        </row>
        <row r="123">
          <cell r="C123">
            <v>52211</v>
          </cell>
          <cell r="J123" t="str">
            <v>T2碎片</v>
          </cell>
          <cell r="K123">
            <v>4</v>
          </cell>
          <cell r="L123">
            <v>2.0893521965748323</v>
          </cell>
        </row>
        <row r="124">
          <cell r="C124">
            <v>53211</v>
          </cell>
          <cell r="J124" t="str">
            <v>T2碎片</v>
          </cell>
          <cell r="K124">
            <v>4</v>
          </cell>
          <cell r="L124">
            <v>2.0893521965748323</v>
          </cell>
        </row>
        <row r="125">
          <cell r="C125">
            <v>51221</v>
          </cell>
          <cell r="J125" t="str">
            <v>T2碎片</v>
          </cell>
          <cell r="K125">
            <v>4</v>
          </cell>
          <cell r="L125">
            <v>0.87304542069992552</v>
          </cell>
        </row>
        <row r="126">
          <cell r="C126">
            <v>52221</v>
          </cell>
          <cell r="J126" t="str">
            <v>T2碎片</v>
          </cell>
          <cell r="K126">
            <v>4</v>
          </cell>
          <cell r="L126">
            <v>0.87304542069992552</v>
          </cell>
        </row>
        <row r="127">
          <cell r="C127">
            <v>53221</v>
          </cell>
          <cell r="J127" t="str">
            <v>T2碎片</v>
          </cell>
          <cell r="K127">
            <v>4</v>
          </cell>
          <cell r="L127">
            <v>0.87304542069992552</v>
          </cell>
        </row>
        <row r="128">
          <cell r="C128">
            <v>51311</v>
          </cell>
          <cell r="J128" t="str">
            <v>T3碎片</v>
          </cell>
          <cell r="K128">
            <v>4</v>
          </cell>
          <cell r="L128">
            <v>0.13402829486224868</v>
          </cell>
        </row>
        <row r="129">
          <cell r="C129">
            <v>51321</v>
          </cell>
          <cell r="J129" t="str">
            <v>T3碎片</v>
          </cell>
          <cell r="K129">
            <v>4</v>
          </cell>
          <cell r="L129">
            <v>7.5949367088607597E-2</v>
          </cell>
        </row>
        <row r="130">
          <cell r="C130">
            <v>52311</v>
          </cell>
          <cell r="J130" t="str">
            <v>T3碎片</v>
          </cell>
          <cell r="K130">
            <v>4</v>
          </cell>
          <cell r="L130">
            <v>0.13402829486224868</v>
          </cell>
        </row>
        <row r="131">
          <cell r="C131">
            <v>52321</v>
          </cell>
          <cell r="J131" t="str">
            <v>T3碎片</v>
          </cell>
          <cell r="K131">
            <v>4</v>
          </cell>
          <cell r="L131">
            <v>7.5949367088607597E-2</v>
          </cell>
        </row>
        <row r="132">
          <cell r="C132">
            <v>53311</v>
          </cell>
          <cell r="J132" t="str">
            <v>T3碎片</v>
          </cell>
          <cell r="K132">
            <v>4</v>
          </cell>
          <cell r="L132">
            <v>0.13402829486224868</v>
          </cell>
        </row>
        <row r="133">
          <cell r="C133">
            <v>53321</v>
          </cell>
          <cell r="J133" t="str">
            <v>T3碎片</v>
          </cell>
          <cell r="K133">
            <v>4</v>
          </cell>
          <cell r="L133">
            <v>7.5949367088607597E-2</v>
          </cell>
        </row>
        <row r="134">
          <cell r="C134">
            <v>53331</v>
          </cell>
          <cell r="J134" t="str">
            <v>T3碎片</v>
          </cell>
          <cell r="K134">
            <v>4</v>
          </cell>
          <cell r="L134">
            <v>5.0260610573343259E-2</v>
          </cell>
        </row>
        <row r="135">
          <cell r="C135">
            <v>52331</v>
          </cell>
          <cell r="J135" t="str">
            <v>T3碎片</v>
          </cell>
          <cell r="K135">
            <v>4</v>
          </cell>
          <cell r="L135">
            <v>5.0260610573343259E-2</v>
          </cell>
        </row>
        <row r="136">
          <cell r="C136">
            <v>51341</v>
          </cell>
          <cell r="J136" t="str">
            <v>T3碎片</v>
          </cell>
          <cell r="K136">
            <v>4</v>
          </cell>
          <cell r="L136">
            <v>5.0260610573343259E-2</v>
          </cell>
        </row>
        <row r="137">
          <cell r="C137">
            <v>92001</v>
          </cell>
          <cell r="J137" t="str">
            <v>T2部件</v>
          </cell>
          <cell r="K137">
            <v>4</v>
          </cell>
          <cell r="L137">
            <v>0.23976172747580043</v>
          </cell>
        </row>
        <row r="138">
          <cell r="C138">
            <v>92003</v>
          </cell>
          <cell r="J138" t="str">
            <v>T2部件</v>
          </cell>
          <cell r="K138">
            <v>4</v>
          </cell>
          <cell r="L138">
            <v>0.23976172747580043</v>
          </cell>
        </row>
        <row r="139">
          <cell r="C139">
            <v>92005</v>
          </cell>
          <cell r="J139" t="str">
            <v>T2部件</v>
          </cell>
          <cell r="K139">
            <v>4</v>
          </cell>
          <cell r="L139">
            <v>0.23976172747580043</v>
          </cell>
        </row>
        <row r="140">
          <cell r="C140">
            <v>92101</v>
          </cell>
          <cell r="J140" t="str">
            <v>T2部件</v>
          </cell>
          <cell r="K140">
            <v>4</v>
          </cell>
          <cell r="L140">
            <v>0.23976172747580043</v>
          </cell>
        </row>
        <row r="141">
          <cell r="C141">
            <v>92103</v>
          </cell>
          <cell r="J141" t="str">
            <v>T2部件</v>
          </cell>
          <cell r="K141">
            <v>4</v>
          </cell>
          <cell r="L141">
            <v>0.23976172747580043</v>
          </cell>
        </row>
        <row r="142">
          <cell r="C142">
            <v>92105</v>
          </cell>
          <cell r="J142" t="str">
            <v>T2部件</v>
          </cell>
          <cell r="K142">
            <v>4</v>
          </cell>
          <cell r="L142">
            <v>0.23976172747580043</v>
          </cell>
        </row>
        <row r="143">
          <cell r="C143">
            <v>92201</v>
          </cell>
          <cell r="J143" t="str">
            <v>T2部件</v>
          </cell>
          <cell r="K143">
            <v>4</v>
          </cell>
          <cell r="L143">
            <v>0.23976172747580043</v>
          </cell>
        </row>
        <row r="144">
          <cell r="C144">
            <v>92203</v>
          </cell>
          <cell r="J144" t="str">
            <v>T2部件</v>
          </cell>
          <cell r="K144">
            <v>4</v>
          </cell>
          <cell r="L144">
            <v>0.23976172747580043</v>
          </cell>
        </row>
        <row r="145">
          <cell r="C145">
            <v>92205</v>
          </cell>
          <cell r="J145" t="str">
            <v>T2部件</v>
          </cell>
          <cell r="K145">
            <v>4</v>
          </cell>
          <cell r="L145">
            <v>0.23976172747580043</v>
          </cell>
        </row>
        <row r="146">
          <cell r="C146">
            <v>92002</v>
          </cell>
          <cell r="J146" t="str">
            <v>T2部件</v>
          </cell>
          <cell r="K146">
            <v>4</v>
          </cell>
          <cell r="L146">
            <v>0.23976172747580043</v>
          </cell>
        </row>
        <row r="147">
          <cell r="C147">
            <v>92004</v>
          </cell>
          <cell r="J147" t="str">
            <v>T2部件</v>
          </cell>
          <cell r="K147">
            <v>4</v>
          </cell>
          <cell r="L147">
            <v>0.23976172747580043</v>
          </cell>
        </row>
        <row r="148">
          <cell r="C148">
            <v>92006</v>
          </cell>
          <cell r="J148" t="str">
            <v>T2部件</v>
          </cell>
          <cell r="K148">
            <v>4</v>
          </cell>
          <cell r="L148">
            <v>0.23976172747580043</v>
          </cell>
        </row>
        <row r="149">
          <cell r="C149">
            <v>92102</v>
          </cell>
          <cell r="J149" t="str">
            <v>T2部件</v>
          </cell>
          <cell r="K149">
            <v>4</v>
          </cell>
          <cell r="L149">
            <v>0.23976172747580043</v>
          </cell>
        </row>
        <row r="150">
          <cell r="C150">
            <v>92104</v>
          </cell>
          <cell r="J150" t="str">
            <v>T2部件</v>
          </cell>
          <cell r="K150">
            <v>4</v>
          </cell>
          <cell r="L150">
            <v>0.23976172747580043</v>
          </cell>
        </row>
        <row r="151">
          <cell r="C151">
            <v>92106</v>
          </cell>
          <cell r="J151" t="str">
            <v>T2部件</v>
          </cell>
          <cell r="K151">
            <v>4</v>
          </cell>
          <cell r="L151">
            <v>0.23976172747580043</v>
          </cell>
        </row>
        <row r="152">
          <cell r="C152">
            <v>92202</v>
          </cell>
          <cell r="J152" t="str">
            <v>T2部件</v>
          </cell>
          <cell r="K152">
            <v>4</v>
          </cell>
          <cell r="L152">
            <v>0.23976172747580043</v>
          </cell>
        </row>
        <row r="153">
          <cell r="C153">
            <v>92204</v>
          </cell>
          <cell r="J153" t="str">
            <v>T2部件</v>
          </cell>
          <cell r="K153">
            <v>4</v>
          </cell>
          <cell r="L153">
            <v>0.23976172747580043</v>
          </cell>
        </row>
        <row r="154">
          <cell r="C154">
            <v>92206</v>
          </cell>
          <cell r="J154" t="str">
            <v>T2部件</v>
          </cell>
          <cell r="K154">
            <v>4</v>
          </cell>
          <cell r="L154">
            <v>0.25465376023827252</v>
          </cell>
        </row>
        <row r="155">
          <cell r="C155">
            <v>11221</v>
          </cell>
          <cell r="J155" t="str">
            <v>T2坦克</v>
          </cell>
          <cell r="K155">
            <v>5</v>
          </cell>
          <cell r="L155">
            <v>0.17318159327065807</v>
          </cell>
        </row>
        <row r="156">
          <cell r="C156">
            <v>12221</v>
          </cell>
          <cell r="J156" t="str">
            <v>T2坦克</v>
          </cell>
          <cell r="K156">
            <v>5</v>
          </cell>
          <cell r="L156">
            <v>0.17318159327065807</v>
          </cell>
        </row>
        <row r="157">
          <cell r="C157">
            <v>13221</v>
          </cell>
          <cell r="J157" t="str">
            <v>T2坦克</v>
          </cell>
          <cell r="K157">
            <v>5</v>
          </cell>
          <cell r="L157">
            <v>0.17318159327065807</v>
          </cell>
        </row>
        <row r="158">
          <cell r="C158">
            <v>11311</v>
          </cell>
          <cell r="J158" t="str">
            <v>T3坦克</v>
          </cell>
          <cell r="K158">
            <v>5</v>
          </cell>
          <cell r="L158">
            <v>5.8139534883720929E-2</v>
          </cell>
        </row>
        <row r="159">
          <cell r="C159">
            <v>12311</v>
          </cell>
          <cell r="J159" t="str">
            <v>T3坦克</v>
          </cell>
          <cell r="K159">
            <v>5</v>
          </cell>
          <cell r="L159">
            <v>5.8139534883720929E-2</v>
          </cell>
        </row>
        <row r="160">
          <cell r="C160">
            <v>13311</v>
          </cell>
          <cell r="J160" t="str">
            <v>T3坦克</v>
          </cell>
          <cell r="K160">
            <v>5</v>
          </cell>
          <cell r="L160">
            <v>5.8139534883720929E-2</v>
          </cell>
        </row>
        <row r="161">
          <cell r="C161">
            <v>11321</v>
          </cell>
          <cell r="J161" t="str">
            <v>T3坦克</v>
          </cell>
          <cell r="K161">
            <v>5</v>
          </cell>
          <cell r="L161">
            <v>3.401781296387927E-2</v>
          </cell>
        </row>
        <row r="162">
          <cell r="C162">
            <v>12321</v>
          </cell>
          <cell r="J162" t="str">
            <v>T3坦克</v>
          </cell>
          <cell r="K162">
            <v>5</v>
          </cell>
          <cell r="L162">
            <v>3.401781296387927E-2</v>
          </cell>
        </row>
        <row r="163">
          <cell r="C163">
            <v>13321</v>
          </cell>
          <cell r="J163" t="str">
            <v>T3坦克</v>
          </cell>
          <cell r="K163">
            <v>5</v>
          </cell>
          <cell r="L163">
            <v>3.401781296387927E-2</v>
          </cell>
        </row>
        <row r="164">
          <cell r="C164">
            <v>13331</v>
          </cell>
          <cell r="J164" t="str">
            <v>T3坦克</v>
          </cell>
          <cell r="K164">
            <v>5</v>
          </cell>
          <cell r="L164">
            <v>2.2884710539336963E-2</v>
          </cell>
        </row>
        <row r="165">
          <cell r="C165">
            <v>12331</v>
          </cell>
          <cell r="J165" t="str">
            <v>T3坦克</v>
          </cell>
          <cell r="K165">
            <v>5</v>
          </cell>
          <cell r="L165">
            <v>2.2884710539336963E-2</v>
          </cell>
        </row>
        <row r="166">
          <cell r="C166">
            <v>11341</v>
          </cell>
          <cell r="J166" t="str">
            <v>T3坦克</v>
          </cell>
          <cell r="K166">
            <v>5</v>
          </cell>
          <cell r="L166">
            <v>2.2884710539336963E-2</v>
          </cell>
        </row>
        <row r="167">
          <cell r="C167">
            <v>51221</v>
          </cell>
          <cell r="J167" t="str">
            <v>T2碎片</v>
          </cell>
          <cell r="K167">
            <v>5</v>
          </cell>
          <cell r="L167">
            <v>0.61232063334982678</v>
          </cell>
        </row>
        <row r="168">
          <cell r="C168">
            <v>52221</v>
          </cell>
          <cell r="J168" t="str">
            <v>T2碎片</v>
          </cell>
          <cell r="K168">
            <v>5</v>
          </cell>
          <cell r="L168">
            <v>0.61232063334982678</v>
          </cell>
        </row>
        <row r="169">
          <cell r="C169">
            <v>53221</v>
          </cell>
          <cell r="J169" t="str">
            <v>T2碎片</v>
          </cell>
          <cell r="K169">
            <v>5</v>
          </cell>
          <cell r="L169">
            <v>0.61232063334982678</v>
          </cell>
        </row>
        <row r="170">
          <cell r="C170">
            <v>51311</v>
          </cell>
          <cell r="J170" t="str">
            <v>T3碎片</v>
          </cell>
          <cell r="K170">
            <v>5</v>
          </cell>
          <cell r="L170">
            <v>0.48707323107372585</v>
          </cell>
        </row>
        <row r="171">
          <cell r="C171">
            <v>52311</v>
          </cell>
          <cell r="J171" t="str">
            <v>T3碎片</v>
          </cell>
          <cell r="K171">
            <v>5</v>
          </cell>
          <cell r="L171">
            <v>0.48707323107372585</v>
          </cell>
        </row>
        <row r="172">
          <cell r="C172">
            <v>53311</v>
          </cell>
          <cell r="J172" t="str">
            <v>T3碎片</v>
          </cell>
          <cell r="K172">
            <v>5</v>
          </cell>
          <cell r="L172">
            <v>0.48707323107372585</v>
          </cell>
        </row>
        <row r="173">
          <cell r="C173">
            <v>51321</v>
          </cell>
          <cell r="J173" t="str">
            <v>T3碎片</v>
          </cell>
          <cell r="K173">
            <v>5</v>
          </cell>
          <cell r="L173">
            <v>0.24740227610094012</v>
          </cell>
        </row>
        <row r="174">
          <cell r="C174">
            <v>52321</v>
          </cell>
          <cell r="J174" t="str">
            <v>T3碎片</v>
          </cell>
          <cell r="K174">
            <v>5</v>
          </cell>
          <cell r="L174">
            <v>0.24740227610094012</v>
          </cell>
        </row>
        <row r="175">
          <cell r="C175">
            <v>53321</v>
          </cell>
          <cell r="J175" t="str">
            <v>T3碎片</v>
          </cell>
          <cell r="K175">
            <v>5</v>
          </cell>
          <cell r="L175">
            <v>0.24740227610094012</v>
          </cell>
        </row>
        <row r="176">
          <cell r="C176">
            <v>53331</v>
          </cell>
          <cell r="J176" t="str">
            <v>T3碎片</v>
          </cell>
          <cell r="K176">
            <v>5</v>
          </cell>
          <cell r="L176">
            <v>0.13607125185551708</v>
          </cell>
        </row>
        <row r="177">
          <cell r="C177">
            <v>52331</v>
          </cell>
          <cell r="J177" t="str">
            <v>T3碎片</v>
          </cell>
          <cell r="K177">
            <v>5</v>
          </cell>
          <cell r="L177">
            <v>0.13607125185551708</v>
          </cell>
        </row>
        <row r="178">
          <cell r="C178">
            <v>51341</v>
          </cell>
          <cell r="J178" t="str">
            <v>T3碎片</v>
          </cell>
          <cell r="K178">
            <v>5</v>
          </cell>
          <cell r="L178">
            <v>0.13607125185551708</v>
          </cell>
        </row>
        <row r="179">
          <cell r="C179">
            <v>92001</v>
          </cell>
          <cell r="J179" t="str">
            <v>T2部件</v>
          </cell>
          <cell r="K179">
            <v>5</v>
          </cell>
          <cell r="L179">
            <v>0.22173428995546757</v>
          </cell>
        </row>
        <row r="180">
          <cell r="C180">
            <v>92003</v>
          </cell>
          <cell r="J180" t="str">
            <v>T2部件</v>
          </cell>
          <cell r="K180">
            <v>5</v>
          </cell>
          <cell r="L180">
            <v>0.22173428995546757</v>
          </cell>
        </row>
        <row r="181">
          <cell r="C181">
            <v>92005</v>
          </cell>
          <cell r="J181" t="str">
            <v>T2部件</v>
          </cell>
          <cell r="K181">
            <v>5</v>
          </cell>
          <cell r="L181">
            <v>0.22173428995546757</v>
          </cell>
        </row>
        <row r="182">
          <cell r="C182">
            <v>92101</v>
          </cell>
          <cell r="J182" t="str">
            <v>T2部件</v>
          </cell>
          <cell r="K182">
            <v>5</v>
          </cell>
          <cell r="L182">
            <v>0.22173428995546757</v>
          </cell>
        </row>
        <row r="183">
          <cell r="C183">
            <v>92103</v>
          </cell>
          <cell r="J183" t="str">
            <v>T2部件</v>
          </cell>
          <cell r="K183">
            <v>5</v>
          </cell>
          <cell r="L183">
            <v>0.22173428995546757</v>
          </cell>
        </row>
        <row r="184">
          <cell r="C184">
            <v>92105</v>
          </cell>
          <cell r="J184" t="str">
            <v>T2部件</v>
          </cell>
          <cell r="K184">
            <v>5</v>
          </cell>
          <cell r="L184">
            <v>0.22173428995546757</v>
          </cell>
        </row>
        <row r="185">
          <cell r="C185">
            <v>92201</v>
          </cell>
          <cell r="J185" t="str">
            <v>T2部件</v>
          </cell>
          <cell r="K185">
            <v>5</v>
          </cell>
          <cell r="L185">
            <v>0.22173428995546757</v>
          </cell>
        </row>
        <row r="186">
          <cell r="C186">
            <v>92203</v>
          </cell>
          <cell r="J186" t="str">
            <v>T2部件</v>
          </cell>
          <cell r="K186">
            <v>5</v>
          </cell>
          <cell r="L186">
            <v>0.22173428995546757</v>
          </cell>
        </row>
        <row r="187">
          <cell r="C187">
            <v>92205</v>
          </cell>
          <cell r="J187" t="str">
            <v>T2部件</v>
          </cell>
          <cell r="K187">
            <v>5</v>
          </cell>
          <cell r="L187">
            <v>0.22173428995546757</v>
          </cell>
        </row>
        <row r="188">
          <cell r="C188">
            <v>92002</v>
          </cell>
          <cell r="J188" t="str">
            <v>T2部件</v>
          </cell>
          <cell r="K188">
            <v>5</v>
          </cell>
          <cell r="L188">
            <v>0.22173428995546757</v>
          </cell>
        </row>
        <row r="189">
          <cell r="C189">
            <v>92004</v>
          </cell>
          <cell r="J189" t="str">
            <v>T2部件</v>
          </cell>
          <cell r="K189">
            <v>5</v>
          </cell>
          <cell r="L189">
            <v>0.22173428995546757</v>
          </cell>
        </row>
        <row r="190">
          <cell r="C190">
            <v>92006</v>
          </cell>
          <cell r="J190" t="str">
            <v>T2部件</v>
          </cell>
          <cell r="K190">
            <v>5</v>
          </cell>
          <cell r="L190">
            <v>0.22173428995546757</v>
          </cell>
        </row>
        <row r="191">
          <cell r="C191">
            <v>92102</v>
          </cell>
          <cell r="J191" t="str">
            <v>T2部件</v>
          </cell>
          <cell r="K191">
            <v>5</v>
          </cell>
          <cell r="L191">
            <v>0.22173428995546757</v>
          </cell>
        </row>
        <row r="192">
          <cell r="C192">
            <v>92104</v>
          </cell>
          <cell r="J192" t="str">
            <v>T2部件</v>
          </cell>
          <cell r="K192">
            <v>5</v>
          </cell>
          <cell r="L192">
            <v>0.22173428995546757</v>
          </cell>
        </row>
        <row r="193">
          <cell r="C193">
            <v>92106</v>
          </cell>
          <cell r="J193" t="str">
            <v>T2部件</v>
          </cell>
          <cell r="K193">
            <v>5</v>
          </cell>
          <cell r="L193">
            <v>0.22173428995546757</v>
          </cell>
        </row>
        <row r="194">
          <cell r="C194">
            <v>92202</v>
          </cell>
          <cell r="J194" t="str">
            <v>T2部件</v>
          </cell>
          <cell r="K194">
            <v>5</v>
          </cell>
          <cell r="L194">
            <v>0.22173428995546757</v>
          </cell>
        </row>
        <row r="195">
          <cell r="C195">
            <v>92204</v>
          </cell>
          <cell r="J195" t="str">
            <v>T2部件</v>
          </cell>
          <cell r="K195">
            <v>5</v>
          </cell>
          <cell r="L195">
            <v>0.22173428995546757</v>
          </cell>
        </row>
        <row r="196">
          <cell r="C196">
            <v>92206</v>
          </cell>
          <cell r="J196" t="str">
            <v>T2部件</v>
          </cell>
          <cell r="K196">
            <v>5</v>
          </cell>
          <cell r="L196">
            <v>0.23472290945076696</v>
          </cell>
        </row>
        <row r="197">
          <cell r="C197">
            <v>11311</v>
          </cell>
          <cell r="J197" t="str">
            <v>T3坦克</v>
          </cell>
          <cell r="K197">
            <v>6</v>
          </cell>
          <cell r="L197">
            <v>7.1196483180428136E-2</v>
          </cell>
        </row>
        <row r="198">
          <cell r="C198">
            <v>12311</v>
          </cell>
          <cell r="J198" t="str">
            <v>T3坦克</v>
          </cell>
          <cell r="K198">
            <v>6</v>
          </cell>
          <cell r="L198">
            <v>7.1196483180428136E-2</v>
          </cell>
        </row>
        <row r="199">
          <cell r="C199">
            <v>13311</v>
          </cell>
          <cell r="J199" t="str">
            <v>T3坦克</v>
          </cell>
          <cell r="K199">
            <v>6</v>
          </cell>
          <cell r="L199">
            <v>7.1196483180428136E-2</v>
          </cell>
        </row>
        <row r="200">
          <cell r="C200">
            <v>11321</v>
          </cell>
          <cell r="J200" t="str">
            <v>T3坦克</v>
          </cell>
          <cell r="K200">
            <v>6</v>
          </cell>
          <cell r="L200">
            <v>4.1093272171253824E-2</v>
          </cell>
        </row>
        <row r="201">
          <cell r="C201">
            <v>12321</v>
          </cell>
          <cell r="J201" t="str">
            <v>T3坦克</v>
          </cell>
          <cell r="K201">
            <v>6</v>
          </cell>
          <cell r="L201">
            <v>4.1093272171253824E-2</v>
          </cell>
        </row>
        <row r="202">
          <cell r="C202">
            <v>13321</v>
          </cell>
          <cell r="J202" t="str">
            <v>T3坦克</v>
          </cell>
          <cell r="K202">
            <v>6</v>
          </cell>
          <cell r="L202">
            <v>4.1093272171253824E-2</v>
          </cell>
        </row>
        <row r="203">
          <cell r="C203">
            <v>13331</v>
          </cell>
          <cell r="J203" t="str">
            <v>T3坦克</v>
          </cell>
          <cell r="K203">
            <v>6</v>
          </cell>
          <cell r="L203">
            <v>2.7236238532110095E-2</v>
          </cell>
        </row>
        <row r="204">
          <cell r="C204">
            <v>12331</v>
          </cell>
          <cell r="J204" t="str">
            <v>T3坦克</v>
          </cell>
          <cell r="K204">
            <v>6</v>
          </cell>
          <cell r="L204">
            <v>2.7236238532110095E-2</v>
          </cell>
        </row>
        <row r="205">
          <cell r="C205">
            <v>11341</v>
          </cell>
          <cell r="J205" t="str">
            <v>T3坦克</v>
          </cell>
          <cell r="K205">
            <v>6</v>
          </cell>
          <cell r="L205">
            <v>2.7236238532110095E-2</v>
          </cell>
        </row>
        <row r="206">
          <cell r="C206">
            <v>51311</v>
          </cell>
          <cell r="J206" t="str">
            <v>T3碎片</v>
          </cell>
          <cell r="K206">
            <v>6</v>
          </cell>
          <cell r="L206">
            <v>0.89115061162079512</v>
          </cell>
        </row>
        <row r="207">
          <cell r="C207">
            <v>52311</v>
          </cell>
          <cell r="J207" t="str">
            <v>T3碎片</v>
          </cell>
          <cell r="K207">
            <v>6</v>
          </cell>
          <cell r="L207">
            <v>0.89115061162079512</v>
          </cell>
        </row>
        <row r="208">
          <cell r="C208">
            <v>53311</v>
          </cell>
          <cell r="J208" t="str">
            <v>T3碎片</v>
          </cell>
          <cell r="K208">
            <v>6</v>
          </cell>
          <cell r="L208">
            <v>0.89115061162079512</v>
          </cell>
        </row>
        <row r="209">
          <cell r="C209">
            <v>51321</v>
          </cell>
          <cell r="J209" t="str">
            <v>T3碎片</v>
          </cell>
          <cell r="K209">
            <v>6</v>
          </cell>
          <cell r="L209">
            <v>0.53516819571865448</v>
          </cell>
        </row>
        <row r="210">
          <cell r="C210">
            <v>52321</v>
          </cell>
          <cell r="J210" t="str">
            <v>T3碎片</v>
          </cell>
          <cell r="K210">
            <v>6</v>
          </cell>
          <cell r="L210">
            <v>0.53516819571865448</v>
          </cell>
        </row>
        <row r="211">
          <cell r="C211">
            <v>53321</v>
          </cell>
          <cell r="J211" t="str">
            <v>T3碎片</v>
          </cell>
          <cell r="K211">
            <v>6</v>
          </cell>
          <cell r="L211">
            <v>0.53516819571865448</v>
          </cell>
        </row>
        <row r="212">
          <cell r="C212">
            <v>53331</v>
          </cell>
          <cell r="J212" t="str">
            <v>T3碎片</v>
          </cell>
          <cell r="K212">
            <v>6</v>
          </cell>
          <cell r="L212">
            <v>0.26758409785932724</v>
          </cell>
        </row>
        <row r="213">
          <cell r="C213">
            <v>52331</v>
          </cell>
          <cell r="J213" t="str">
            <v>T3碎片</v>
          </cell>
          <cell r="K213">
            <v>6</v>
          </cell>
          <cell r="L213">
            <v>0.26758409785932724</v>
          </cell>
        </row>
        <row r="214">
          <cell r="C214">
            <v>51341</v>
          </cell>
          <cell r="J214" t="str">
            <v>T3碎片</v>
          </cell>
          <cell r="K214">
            <v>6</v>
          </cell>
          <cell r="L214">
            <v>0.26758409785932724</v>
          </cell>
        </row>
        <row r="215">
          <cell r="C215">
            <v>92001</v>
          </cell>
          <cell r="J215" t="str">
            <v>T2部件</v>
          </cell>
          <cell r="K215">
            <v>6</v>
          </cell>
          <cell r="L215">
            <v>0.23891437308868502</v>
          </cell>
        </row>
        <row r="216">
          <cell r="C216">
            <v>92003</v>
          </cell>
          <cell r="J216" t="str">
            <v>T2部件</v>
          </cell>
          <cell r="K216">
            <v>6</v>
          </cell>
          <cell r="L216">
            <v>0.23891437308868502</v>
          </cell>
        </row>
        <row r="217">
          <cell r="C217">
            <v>92005</v>
          </cell>
          <cell r="J217" t="str">
            <v>T2部件</v>
          </cell>
          <cell r="K217">
            <v>6</v>
          </cell>
          <cell r="L217">
            <v>0.23891437308868502</v>
          </cell>
        </row>
        <row r="218">
          <cell r="C218">
            <v>92101</v>
          </cell>
          <cell r="J218" t="str">
            <v>T2部件</v>
          </cell>
          <cell r="K218">
            <v>6</v>
          </cell>
          <cell r="L218">
            <v>0.23891437308868502</v>
          </cell>
        </row>
        <row r="219">
          <cell r="C219">
            <v>92103</v>
          </cell>
          <cell r="J219" t="str">
            <v>T2部件</v>
          </cell>
          <cell r="K219">
            <v>6</v>
          </cell>
          <cell r="L219">
            <v>0.23891437308868502</v>
          </cell>
        </row>
        <row r="220">
          <cell r="C220">
            <v>92105</v>
          </cell>
          <cell r="J220" t="str">
            <v>T2部件</v>
          </cell>
          <cell r="K220">
            <v>6</v>
          </cell>
          <cell r="L220">
            <v>0.23891437308868502</v>
          </cell>
        </row>
        <row r="221">
          <cell r="C221">
            <v>92201</v>
          </cell>
          <cell r="J221" t="str">
            <v>T2部件</v>
          </cell>
          <cell r="K221">
            <v>6</v>
          </cell>
          <cell r="L221">
            <v>0.23891437308868502</v>
          </cell>
        </row>
        <row r="222">
          <cell r="C222">
            <v>92203</v>
          </cell>
          <cell r="J222" t="str">
            <v>T2部件</v>
          </cell>
          <cell r="K222">
            <v>6</v>
          </cell>
          <cell r="L222">
            <v>0.23891437308868502</v>
          </cell>
        </row>
        <row r="223">
          <cell r="C223">
            <v>92205</v>
          </cell>
          <cell r="J223" t="str">
            <v>T2部件</v>
          </cell>
          <cell r="K223">
            <v>6</v>
          </cell>
          <cell r="L223">
            <v>0.23891437308868502</v>
          </cell>
        </row>
        <row r="224">
          <cell r="C224">
            <v>92002</v>
          </cell>
          <cell r="J224" t="str">
            <v>T2部件</v>
          </cell>
          <cell r="K224">
            <v>6</v>
          </cell>
          <cell r="L224">
            <v>0.23891437308868502</v>
          </cell>
        </row>
        <row r="225">
          <cell r="C225">
            <v>92004</v>
          </cell>
          <cell r="J225" t="str">
            <v>T2部件</v>
          </cell>
          <cell r="K225">
            <v>6</v>
          </cell>
          <cell r="L225">
            <v>0.23891437308868502</v>
          </cell>
        </row>
        <row r="226">
          <cell r="C226">
            <v>92006</v>
          </cell>
          <cell r="J226" t="str">
            <v>T2部件</v>
          </cell>
          <cell r="K226">
            <v>6</v>
          </cell>
          <cell r="L226">
            <v>0.23891437308868502</v>
          </cell>
        </row>
        <row r="227">
          <cell r="C227">
            <v>92102</v>
          </cell>
          <cell r="J227" t="str">
            <v>T2部件</v>
          </cell>
          <cell r="K227">
            <v>6</v>
          </cell>
          <cell r="L227">
            <v>0.23891437308868502</v>
          </cell>
        </row>
        <row r="228">
          <cell r="C228">
            <v>92104</v>
          </cell>
          <cell r="J228" t="str">
            <v>T2部件</v>
          </cell>
          <cell r="K228">
            <v>6</v>
          </cell>
          <cell r="L228">
            <v>0.23891437308868502</v>
          </cell>
        </row>
        <row r="229">
          <cell r="C229">
            <v>92106</v>
          </cell>
          <cell r="J229" t="str">
            <v>T2部件</v>
          </cell>
          <cell r="K229">
            <v>6</v>
          </cell>
          <cell r="L229">
            <v>0.23891437308868502</v>
          </cell>
        </row>
        <row r="230">
          <cell r="C230">
            <v>92202</v>
          </cell>
          <cell r="J230" t="str">
            <v>T2部件</v>
          </cell>
          <cell r="K230">
            <v>6</v>
          </cell>
          <cell r="L230">
            <v>0.23891437308868502</v>
          </cell>
        </row>
        <row r="231">
          <cell r="C231">
            <v>92204</v>
          </cell>
          <cell r="J231" t="str">
            <v>T2部件</v>
          </cell>
          <cell r="K231">
            <v>6</v>
          </cell>
          <cell r="L231">
            <v>0.23891437308868502</v>
          </cell>
        </row>
        <row r="232">
          <cell r="C232">
            <v>92206</v>
          </cell>
          <cell r="J232" t="str">
            <v>T2部件</v>
          </cell>
          <cell r="K232">
            <v>6</v>
          </cell>
          <cell r="L232">
            <v>0.23891437308868502</v>
          </cell>
        </row>
        <row r="233">
          <cell r="C233">
            <v>93001</v>
          </cell>
          <cell r="J233" t="str">
            <v>T3部件</v>
          </cell>
          <cell r="K233">
            <v>6</v>
          </cell>
          <cell r="L233">
            <v>0.1834862385321101</v>
          </cell>
        </row>
        <row r="234">
          <cell r="C234">
            <v>93003</v>
          </cell>
          <cell r="J234" t="str">
            <v>T3部件</v>
          </cell>
          <cell r="K234">
            <v>6</v>
          </cell>
          <cell r="L234">
            <v>0.1834862385321101</v>
          </cell>
        </row>
        <row r="235">
          <cell r="C235">
            <v>93005</v>
          </cell>
          <cell r="J235" t="str">
            <v>T3部件</v>
          </cell>
          <cell r="K235">
            <v>6</v>
          </cell>
          <cell r="L235">
            <v>0.1834862385321101</v>
          </cell>
        </row>
        <row r="236">
          <cell r="C236">
            <v>93101</v>
          </cell>
          <cell r="J236" t="str">
            <v>T3部件</v>
          </cell>
          <cell r="K236">
            <v>6</v>
          </cell>
          <cell r="L236">
            <v>0.1834862385321101</v>
          </cell>
        </row>
        <row r="237">
          <cell r="C237">
            <v>93103</v>
          </cell>
          <cell r="J237" t="str">
            <v>T3部件</v>
          </cell>
          <cell r="K237">
            <v>6</v>
          </cell>
          <cell r="L237">
            <v>0.1834862385321101</v>
          </cell>
        </row>
        <row r="238">
          <cell r="C238">
            <v>93105</v>
          </cell>
          <cell r="J238" t="str">
            <v>T3部件</v>
          </cell>
          <cell r="K238">
            <v>6</v>
          </cell>
          <cell r="L238">
            <v>0.1834862385321101</v>
          </cell>
        </row>
        <row r="239">
          <cell r="C239">
            <v>93201</v>
          </cell>
          <cell r="J239" t="str">
            <v>T3部件</v>
          </cell>
          <cell r="K239">
            <v>6</v>
          </cell>
          <cell r="L239">
            <v>0.1834862385321101</v>
          </cell>
        </row>
        <row r="240">
          <cell r="C240">
            <v>93203</v>
          </cell>
          <cell r="J240" t="str">
            <v>T3部件</v>
          </cell>
          <cell r="K240">
            <v>6</v>
          </cell>
          <cell r="L240">
            <v>0.1834862385321101</v>
          </cell>
        </row>
        <row r="241">
          <cell r="C241">
            <v>93205</v>
          </cell>
          <cell r="J241" t="str">
            <v>T3部件</v>
          </cell>
          <cell r="K241">
            <v>6</v>
          </cell>
          <cell r="L241">
            <v>0.16102828746177369</v>
          </cell>
        </row>
        <row r="242">
          <cell r="C242">
            <v>94003</v>
          </cell>
          <cell r="J242" t="str">
            <v>T4部件</v>
          </cell>
          <cell r="K242">
            <v>6</v>
          </cell>
          <cell r="L242">
            <v>4.7782874617737003E-2</v>
          </cell>
        </row>
        <row r="243">
          <cell r="C243">
            <v>94103</v>
          </cell>
          <cell r="J243" t="str">
            <v>T4部件</v>
          </cell>
          <cell r="K243">
            <v>6</v>
          </cell>
          <cell r="L243">
            <v>4.7782874617737003E-2</v>
          </cell>
        </row>
        <row r="244">
          <cell r="C244">
            <v>11311</v>
          </cell>
          <cell r="J244" t="str">
            <v>T3坦克</v>
          </cell>
          <cell r="K244">
            <v>7</v>
          </cell>
          <cell r="L244">
            <v>9.4733461785484904E-2</v>
          </cell>
        </row>
        <row r="245">
          <cell r="C245">
            <v>12311</v>
          </cell>
          <cell r="J245" t="str">
            <v>T3坦克</v>
          </cell>
          <cell r="K245">
            <v>7</v>
          </cell>
          <cell r="L245">
            <v>9.4733461785484904E-2</v>
          </cell>
        </row>
        <row r="246">
          <cell r="C246">
            <v>13311</v>
          </cell>
          <cell r="J246" t="str">
            <v>T3坦克</v>
          </cell>
          <cell r="K246">
            <v>7</v>
          </cell>
          <cell r="L246">
            <v>9.4733461785484904E-2</v>
          </cell>
        </row>
        <row r="247">
          <cell r="C247">
            <v>11321</v>
          </cell>
          <cell r="J247" t="str">
            <v>T3坦克</v>
          </cell>
          <cell r="K247">
            <v>7</v>
          </cell>
          <cell r="L247">
            <v>5.2986512524084775E-2</v>
          </cell>
        </row>
        <row r="248">
          <cell r="C248">
            <v>12321</v>
          </cell>
          <cell r="J248" t="str">
            <v>T3坦克</v>
          </cell>
          <cell r="K248">
            <v>7</v>
          </cell>
          <cell r="L248">
            <v>5.2986512524084775E-2</v>
          </cell>
        </row>
        <row r="249">
          <cell r="C249">
            <v>13321</v>
          </cell>
          <cell r="J249" t="str">
            <v>T3坦克</v>
          </cell>
          <cell r="K249">
            <v>7</v>
          </cell>
          <cell r="L249">
            <v>5.2986512524084775E-2</v>
          </cell>
        </row>
        <row r="250">
          <cell r="C250">
            <v>13331</v>
          </cell>
          <cell r="J250" t="str">
            <v>T3坦克</v>
          </cell>
          <cell r="K250">
            <v>7</v>
          </cell>
          <cell r="L250">
            <v>3.5324341682723186E-2</v>
          </cell>
        </row>
        <row r="251">
          <cell r="C251">
            <v>12331</v>
          </cell>
          <cell r="J251" t="str">
            <v>T3坦克</v>
          </cell>
          <cell r="K251">
            <v>7</v>
          </cell>
          <cell r="L251">
            <v>3.5324341682723186E-2</v>
          </cell>
        </row>
        <row r="252">
          <cell r="C252">
            <v>11341</v>
          </cell>
          <cell r="J252" t="str">
            <v>T3坦克</v>
          </cell>
          <cell r="K252">
            <v>7</v>
          </cell>
          <cell r="L252">
            <v>3.5324341682723186E-2</v>
          </cell>
        </row>
        <row r="253">
          <cell r="C253">
            <v>51311</v>
          </cell>
          <cell r="J253" t="str">
            <v>T3碎片</v>
          </cell>
          <cell r="K253">
            <v>7</v>
          </cell>
          <cell r="L253">
            <v>1.1881824020552343</v>
          </cell>
        </row>
        <row r="254">
          <cell r="C254">
            <v>52311</v>
          </cell>
          <cell r="J254" t="str">
            <v>T3碎片</v>
          </cell>
          <cell r="K254">
            <v>7</v>
          </cell>
          <cell r="L254">
            <v>1.1881824020552343</v>
          </cell>
        </row>
        <row r="255">
          <cell r="C255">
            <v>53311</v>
          </cell>
          <cell r="J255" t="str">
            <v>T3碎片</v>
          </cell>
          <cell r="K255">
            <v>7</v>
          </cell>
          <cell r="L255">
            <v>1.1881824020552343</v>
          </cell>
        </row>
        <row r="256">
          <cell r="C256">
            <v>51321</v>
          </cell>
          <cell r="J256" t="str">
            <v>T3碎片</v>
          </cell>
          <cell r="K256">
            <v>7</v>
          </cell>
          <cell r="L256">
            <v>0.55662599015200176</v>
          </cell>
        </row>
        <row r="257">
          <cell r="C257">
            <v>52321</v>
          </cell>
          <cell r="J257" t="str">
            <v>T3碎片</v>
          </cell>
          <cell r="K257">
            <v>7</v>
          </cell>
          <cell r="L257">
            <v>0.55662599015200176</v>
          </cell>
        </row>
        <row r="258">
          <cell r="C258">
            <v>53321</v>
          </cell>
          <cell r="J258" t="str">
            <v>T3碎片</v>
          </cell>
          <cell r="K258">
            <v>7</v>
          </cell>
          <cell r="L258">
            <v>0.55662599015200176</v>
          </cell>
        </row>
        <row r="259">
          <cell r="C259">
            <v>53331</v>
          </cell>
          <cell r="J259" t="str">
            <v>T3碎片</v>
          </cell>
          <cell r="K259">
            <v>7</v>
          </cell>
          <cell r="L259">
            <v>0.30828516377649323</v>
          </cell>
        </row>
        <row r="260">
          <cell r="C260">
            <v>52331</v>
          </cell>
          <cell r="J260" t="str">
            <v>T3碎片</v>
          </cell>
          <cell r="K260">
            <v>7</v>
          </cell>
          <cell r="L260">
            <v>0.30828516377649323</v>
          </cell>
        </row>
        <row r="261">
          <cell r="C261">
            <v>51341</v>
          </cell>
          <cell r="J261" t="str">
            <v>T3碎片</v>
          </cell>
          <cell r="K261">
            <v>7</v>
          </cell>
          <cell r="L261">
            <v>0.30828516377649323</v>
          </cell>
        </row>
        <row r="262">
          <cell r="C262">
            <v>92001</v>
          </cell>
          <cell r="J262" t="str">
            <v>T2部件</v>
          </cell>
          <cell r="K262">
            <v>7</v>
          </cell>
          <cell r="L262">
            <v>0.15628345108113895</v>
          </cell>
        </row>
        <row r="263">
          <cell r="C263">
            <v>92003</v>
          </cell>
          <cell r="J263" t="str">
            <v>T2部件</v>
          </cell>
          <cell r="K263">
            <v>7</v>
          </cell>
          <cell r="L263">
            <v>0.15628345108113895</v>
          </cell>
        </row>
        <row r="264">
          <cell r="C264">
            <v>92005</v>
          </cell>
          <cell r="J264" t="str">
            <v>T2部件</v>
          </cell>
          <cell r="K264">
            <v>7</v>
          </cell>
          <cell r="L264">
            <v>0.15628345108113895</v>
          </cell>
        </row>
        <row r="265">
          <cell r="C265">
            <v>92101</v>
          </cell>
          <cell r="J265" t="str">
            <v>T2部件</v>
          </cell>
          <cell r="K265">
            <v>7</v>
          </cell>
          <cell r="L265">
            <v>0.15628345108113895</v>
          </cell>
        </row>
        <row r="266">
          <cell r="C266">
            <v>92103</v>
          </cell>
          <cell r="J266" t="str">
            <v>T2部件</v>
          </cell>
          <cell r="K266">
            <v>7</v>
          </cell>
          <cell r="L266">
            <v>0.15628345108113895</v>
          </cell>
        </row>
        <row r="267">
          <cell r="C267">
            <v>92105</v>
          </cell>
          <cell r="J267" t="str">
            <v>T2部件</v>
          </cell>
          <cell r="K267">
            <v>7</v>
          </cell>
          <cell r="L267">
            <v>0.15628345108113895</v>
          </cell>
        </row>
        <row r="268">
          <cell r="C268">
            <v>92201</v>
          </cell>
          <cell r="J268" t="str">
            <v>T2部件</v>
          </cell>
          <cell r="K268">
            <v>7</v>
          </cell>
          <cell r="L268">
            <v>0.15628345108113895</v>
          </cell>
        </row>
        <row r="269">
          <cell r="C269">
            <v>92203</v>
          </cell>
          <cell r="J269" t="str">
            <v>T2部件</v>
          </cell>
          <cell r="K269">
            <v>7</v>
          </cell>
          <cell r="L269">
            <v>0.15628345108113895</v>
          </cell>
        </row>
        <row r="270">
          <cell r="C270">
            <v>92205</v>
          </cell>
          <cell r="J270" t="str">
            <v>T2部件</v>
          </cell>
          <cell r="K270">
            <v>7</v>
          </cell>
          <cell r="L270">
            <v>0.15628345108113895</v>
          </cell>
        </row>
        <row r="271">
          <cell r="C271">
            <v>92002</v>
          </cell>
          <cell r="J271" t="str">
            <v>T2部件</v>
          </cell>
          <cell r="K271">
            <v>7</v>
          </cell>
          <cell r="L271">
            <v>0.15628345108113895</v>
          </cell>
        </row>
        <row r="272">
          <cell r="C272">
            <v>92004</v>
          </cell>
          <cell r="J272" t="str">
            <v>T2部件</v>
          </cell>
          <cell r="K272">
            <v>7</v>
          </cell>
          <cell r="L272">
            <v>0.15628345108113895</v>
          </cell>
        </row>
        <row r="273">
          <cell r="C273">
            <v>92006</v>
          </cell>
          <cell r="J273" t="str">
            <v>T2部件</v>
          </cell>
          <cell r="K273">
            <v>7</v>
          </cell>
          <cell r="L273">
            <v>0.15628345108113895</v>
          </cell>
        </row>
        <row r="274">
          <cell r="C274">
            <v>92102</v>
          </cell>
          <cell r="J274" t="str">
            <v>T2部件</v>
          </cell>
          <cell r="K274">
            <v>7</v>
          </cell>
          <cell r="L274">
            <v>0.15628345108113895</v>
          </cell>
        </row>
        <row r="275">
          <cell r="C275">
            <v>92104</v>
          </cell>
          <cell r="J275" t="str">
            <v>T2部件</v>
          </cell>
          <cell r="K275">
            <v>7</v>
          </cell>
          <cell r="L275">
            <v>0.15628345108113895</v>
          </cell>
        </row>
        <row r="276">
          <cell r="C276">
            <v>92106</v>
          </cell>
          <cell r="J276" t="str">
            <v>T2部件</v>
          </cell>
          <cell r="K276">
            <v>7</v>
          </cell>
          <cell r="L276">
            <v>0.15628345108113895</v>
          </cell>
        </row>
        <row r="277">
          <cell r="C277">
            <v>92202</v>
          </cell>
          <cell r="J277" t="str">
            <v>T2部件</v>
          </cell>
          <cell r="K277">
            <v>7</v>
          </cell>
          <cell r="L277">
            <v>0.15628345108113895</v>
          </cell>
        </row>
        <row r="278">
          <cell r="C278">
            <v>92204</v>
          </cell>
          <cell r="J278" t="str">
            <v>T2部件</v>
          </cell>
          <cell r="K278">
            <v>7</v>
          </cell>
          <cell r="L278">
            <v>0.15628345108113895</v>
          </cell>
        </row>
        <row r="279">
          <cell r="C279">
            <v>92206</v>
          </cell>
          <cell r="J279" t="str">
            <v>T2部件</v>
          </cell>
          <cell r="K279">
            <v>7</v>
          </cell>
          <cell r="L279">
            <v>0.15628345108113895</v>
          </cell>
        </row>
        <row r="280">
          <cell r="C280">
            <v>93001</v>
          </cell>
          <cell r="J280" t="str">
            <v>T3部件</v>
          </cell>
          <cell r="K280">
            <v>7</v>
          </cell>
          <cell r="L280">
            <v>8.1888246628131017E-2</v>
          </cell>
        </row>
        <row r="281">
          <cell r="C281">
            <v>93003</v>
          </cell>
          <cell r="J281" t="str">
            <v>T3部件</v>
          </cell>
          <cell r="K281">
            <v>7</v>
          </cell>
          <cell r="L281">
            <v>8.1888246628131017E-2</v>
          </cell>
        </row>
        <row r="282">
          <cell r="C282">
            <v>93005</v>
          </cell>
          <cell r="J282" t="str">
            <v>T3部件</v>
          </cell>
          <cell r="K282">
            <v>7</v>
          </cell>
          <cell r="L282">
            <v>8.1888246628131017E-2</v>
          </cell>
        </row>
        <row r="283">
          <cell r="C283">
            <v>93101</v>
          </cell>
          <cell r="J283" t="str">
            <v>T3部件</v>
          </cell>
          <cell r="K283">
            <v>7</v>
          </cell>
          <cell r="L283">
            <v>8.1888246628131017E-2</v>
          </cell>
        </row>
        <row r="284">
          <cell r="C284">
            <v>93103</v>
          </cell>
          <cell r="J284" t="str">
            <v>T3部件</v>
          </cell>
          <cell r="K284">
            <v>7</v>
          </cell>
          <cell r="L284">
            <v>8.1888246628131017E-2</v>
          </cell>
        </row>
        <row r="285">
          <cell r="C285">
            <v>93105</v>
          </cell>
          <cell r="J285" t="str">
            <v>T3部件</v>
          </cell>
          <cell r="K285">
            <v>7</v>
          </cell>
          <cell r="L285">
            <v>8.1888246628131017E-2</v>
          </cell>
        </row>
        <row r="286">
          <cell r="C286">
            <v>93201</v>
          </cell>
          <cell r="J286" t="str">
            <v>T3部件</v>
          </cell>
          <cell r="K286">
            <v>7</v>
          </cell>
          <cell r="L286">
            <v>9.2057375294369512E-2</v>
          </cell>
        </row>
        <row r="287">
          <cell r="C287">
            <v>93203</v>
          </cell>
          <cell r="J287" t="str">
            <v>T3部件</v>
          </cell>
          <cell r="K287">
            <v>7</v>
          </cell>
          <cell r="L287">
            <v>9.2057375294369512E-2</v>
          </cell>
        </row>
        <row r="288">
          <cell r="C288">
            <v>93205</v>
          </cell>
          <cell r="J288" t="str">
            <v>T3部件</v>
          </cell>
          <cell r="K288">
            <v>7</v>
          </cell>
          <cell r="L288">
            <v>9.2057375294369512E-2</v>
          </cell>
        </row>
        <row r="289">
          <cell r="C289">
            <v>93002</v>
          </cell>
          <cell r="J289" t="str">
            <v>T3部件</v>
          </cell>
          <cell r="K289">
            <v>7</v>
          </cell>
          <cell r="L289">
            <v>9.2057375294369512E-2</v>
          </cell>
        </row>
        <row r="290">
          <cell r="C290">
            <v>93004</v>
          </cell>
          <cell r="J290" t="str">
            <v>T3部件</v>
          </cell>
          <cell r="K290">
            <v>7</v>
          </cell>
          <cell r="L290">
            <v>9.2057375294369512E-2</v>
          </cell>
        </row>
        <row r="291">
          <cell r="C291">
            <v>93006</v>
          </cell>
          <cell r="J291" t="str">
            <v>T3部件</v>
          </cell>
          <cell r="K291">
            <v>7</v>
          </cell>
          <cell r="L291">
            <v>9.2057375294369512E-2</v>
          </cell>
        </row>
        <row r="292">
          <cell r="C292">
            <v>93102</v>
          </cell>
          <cell r="J292" t="str">
            <v>T3部件</v>
          </cell>
          <cell r="K292">
            <v>7</v>
          </cell>
          <cell r="L292">
            <v>9.2057375294369512E-2</v>
          </cell>
        </row>
        <row r="293">
          <cell r="C293">
            <v>93104</v>
          </cell>
          <cell r="J293" t="str">
            <v>T3部件</v>
          </cell>
          <cell r="K293">
            <v>7</v>
          </cell>
          <cell r="L293">
            <v>9.2057375294369512E-2</v>
          </cell>
        </row>
        <row r="294">
          <cell r="C294">
            <v>93106</v>
          </cell>
          <cell r="J294" t="str">
            <v>T3部件</v>
          </cell>
          <cell r="K294">
            <v>7</v>
          </cell>
          <cell r="L294">
            <v>9.2057375294369512E-2</v>
          </cell>
        </row>
        <row r="295">
          <cell r="C295">
            <v>93202</v>
          </cell>
          <cell r="J295" t="str">
            <v>T3部件</v>
          </cell>
          <cell r="K295">
            <v>7</v>
          </cell>
          <cell r="L295">
            <v>9.2057375294369512E-2</v>
          </cell>
        </row>
        <row r="296">
          <cell r="C296">
            <v>93204</v>
          </cell>
          <cell r="J296" t="str">
            <v>T3部件</v>
          </cell>
          <cell r="K296">
            <v>7</v>
          </cell>
          <cell r="L296">
            <v>9.2057375294369512E-2</v>
          </cell>
        </row>
        <row r="297">
          <cell r="C297">
            <v>93206</v>
          </cell>
          <cell r="J297" t="str">
            <v>T3部件</v>
          </cell>
          <cell r="K297">
            <v>7</v>
          </cell>
          <cell r="L297">
            <v>7.1719117961892537E-2</v>
          </cell>
        </row>
        <row r="298">
          <cell r="C298">
            <v>94003</v>
          </cell>
          <cell r="J298" t="str">
            <v>T4部件</v>
          </cell>
          <cell r="K298">
            <v>7</v>
          </cell>
          <cell r="L298">
            <v>5.3521729822307858E-2</v>
          </cell>
        </row>
        <row r="299">
          <cell r="C299">
            <v>94103</v>
          </cell>
          <cell r="J299" t="str">
            <v>T4部件</v>
          </cell>
          <cell r="K299">
            <v>7</v>
          </cell>
          <cell r="L299">
            <v>5.3521729822307858E-2</v>
          </cell>
        </row>
        <row r="300">
          <cell r="C300">
            <v>11311</v>
          </cell>
          <cell r="J300" t="str">
            <v>T3坦克</v>
          </cell>
          <cell r="K300">
            <v>8</v>
          </cell>
          <cell r="L300">
            <v>9.4733461785484904E-2</v>
          </cell>
        </row>
        <row r="301">
          <cell r="C301">
            <v>12311</v>
          </cell>
          <cell r="J301" t="str">
            <v>T3坦克</v>
          </cell>
          <cell r="K301">
            <v>8</v>
          </cell>
          <cell r="L301">
            <v>9.4733461785484904E-2</v>
          </cell>
        </row>
        <row r="302">
          <cell r="C302">
            <v>13311</v>
          </cell>
          <cell r="J302" t="str">
            <v>T3坦克</v>
          </cell>
          <cell r="K302">
            <v>8</v>
          </cell>
          <cell r="L302">
            <v>9.4733461785484904E-2</v>
          </cell>
        </row>
        <row r="303">
          <cell r="C303">
            <v>11321</v>
          </cell>
          <cell r="J303" t="str">
            <v>T3坦克</v>
          </cell>
          <cell r="K303">
            <v>8</v>
          </cell>
          <cell r="L303">
            <v>5.2986512524084775E-2</v>
          </cell>
        </row>
        <row r="304">
          <cell r="C304">
            <v>12321</v>
          </cell>
          <cell r="J304" t="str">
            <v>T3坦克</v>
          </cell>
          <cell r="K304">
            <v>8</v>
          </cell>
          <cell r="L304">
            <v>5.2986512524084775E-2</v>
          </cell>
        </row>
        <row r="305">
          <cell r="C305">
            <v>13321</v>
          </cell>
          <cell r="J305" t="str">
            <v>T3坦克</v>
          </cell>
          <cell r="K305">
            <v>8</v>
          </cell>
          <cell r="L305">
            <v>5.2986512524084775E-2</v>
          </cell>
        </row>
        <row r="306">
          <cell r="C306">
            <v>13331</v>
          </cell>
          <cell r="J306" t="str">
            <v>T3坦克</v>
          </cell>
          <cell r="K306">
            <v>8</v>
          </cell>
          <cell r="L306">
            <v>3.5324341682723186E-2</v>
          </cell>
        </row>
        <row r="307">
          <cell r="C307">
            <v>12331</v>
          </cell>
          <cell r="J307" t="str">
            <v>T3坦克</v>
          </cell>
          <cell r="K307">
            <v>8</v>
          </cell>
          <cell r="L307">
            <v>3.5324341682723186E-2</v>
          </cell>
        </row>
        <row r="308">
          <cell r="C308">
            <v>11341</v>
          </cell>
          <cell r="J308" t="str">
            <v>T3坦克</v>
          </cell>
          <cell r="K308">
            <v>8</v>
          </cell>
          <cell r="L308">
            <v>3.5324341682723186E-2</v>
          </cell>
        </row>
        <row r="309">
          <cell r="C309">
            <v>51311</v>
          </cell>
          <cell r="J309" t="str">
            <v>T3碎片</v>
          </cell>
          <cell r="K309">
            <v>8</v>
          </cell>
          <cell r="L309">
            <v>1.3070006422607579</v>
          </cell>
        </row>
        <row r="310">
          <cell r="C310">
            <v>52311</v>
          </cell>
          <cell r="J310" t="str">
            <v>T3碎片</v>
          </cell>
          <cell r="K310">
            <v>8</v>
          </cell>
          <cell r="L310">
            <v>1.3070006422607579</v>
          </cell>
        </row>
        <row r="311">
          <cell r="C311">
            <v>53311</v>
          </cell>
          <cell r="J311" t="str">
            <v>T3碎片</v>
          </cell>
          <cell r="K311">
            <v>8</v>
          </cell>
          <cell r="L311">
            <v>1.3070006422607579</v>
          </cell>
        </row>
        <row r="312">
          <cell r="C312">
            <v>51321</v>
          </cell>
          <cell r="J312" t="str">
            <v>T3碎片</v>
          </cell>
          <cell r="K312">
            <v>8</v>
          </cell>
          <cell r="L312">
            <v>0.62620423892100197</v>
          </cell>
        </row>
        <row r="313">
          <cell r="C313">
            <v>52321</v>
          </cell>
          <cell r="J313" t="str">
            <v>T3碎片</v>
          </cell>
          <cell r="K313">
            <v>8</v>
          </cell>
          <cell r="L313">
            <v>0.62620423892100197</v>
          </cell>
        </row>
        <row r="314">
          <cell r="C314">
            <v>53321</v>
          </cell>
          <cell r="J314" t="str">
            <v>T3碎片</v>
          </cell>
          <cell r="K314">
            <v>8</v>
          </cell>
          <cell r="L314">
            <v>0.62620423892100197</v>
          </cell>
        </row>
        <row r="315">
          <cell r="C315">
            <v>53331</v>
          </cell>
          <cell r="J315" t="str">
            <v>T3碎片</v>
          </cell>
          <cell r="K315">
            <v>8</v>
          </cell>
          <cell r="L315">
            <v>0.34682080924855485</v>
          </cell>
        </row>
        <row r="316">
          <cell r="C316">
            <v>52331</v>
          </cell>
          <cell r="J316" t="str">
            <v>T3碎片</v>
          </cell>
          <cell r="K316">
            <v>8</v>
          </cell>
          <cell r="L316">
            <v>0.34682080924855485</v>
          </cell>
        </row>
        <row r="317">
          <cell r="C317">
            <v>51341</v>
          </cell>
          <cell r="J317" t="str">
            <v>T3碎片</v>
          </cell>
          <cell r="K317">
            <v>8</v>
          </cell>
          <cell r="L317">
            <v>0.34682080924855485</v>
          </cell>
        </row>
        <row r="318">
          <cell r="C318">
            <v>92001</v>
          </cell>
          <cell r="J318" t="str">
            <v>T2部件</v>
          </cell>
          <cell r="K318">
            <v>8</v>
          </cell>
          <cell r="L318">
            <v>0.15628345108113895</v>
          </cell>
        </row>
        <row r="319">
          <cell r="C319">
            <v>92003</v>
          </cell>
          <cell r="J319" t="str">
            <v>T2部件</v>
          </cell>
          <cell r="K319">
            <v>8</v>
          </cell>
          <cell r="L319">
            <v>0.15628345108113895</v>
          </cell>
        </row>
        <row r="320">
          <cell r="C320">
            <v>92005</v>
          </cell>
          <cell r="J320" t="str">
            <v>T2部件</v>
          </cell>
          <cell r="K320">
            <v>8</v>
          </cell>
          <cell r="L320">
            <v>0.15628345108113895</v>
          </cell>
        </row>
        <row r="321">
          <cell r="C321">
            <v>92101</v>
          </cell>
          <cell r="J321" t="str">
            <v>T2部件</v>
          </cell>
          <cell r="K321">
            <v>8</v>
          </cell>
          <cell r="L321">
            <v>0.15628345108113895</v>
          </cell>
        </row>
        <row r="322">
          <cell r="C322">
            <v>92103</v>
          </cell>
          <cell r="J322" t="str">
            <v>T2部件</v>
          </cell>
          <cell r="K322">
            <v>8</v>
          </cell>
          <cell r="L322">
            <v>0.15628345108113895</v>
          </cell>
        </row>
        <row r="323">
          <cell r="C323">
            <v>92105</v>
          </cell>
          <cell r="J323" t="str">
            <v>T2部件</v>
          </cell>
          <cell r="K323">
            <v>8</v>
          </cell>
          <cell r="L323">
            <v>0.15628345108113895</v>
          </cell>
        </row>
        <row r="324">
          <cell r="C324">
            <v>92201</v>
          </cell>
          <cell r="J324" t="str">
            <v>T2部件</v>
          </cell>
          <cell r="K324">
            <v>8</v>
          </cell>
          <cell r="L324">
            <v>0.15628345108113895</v>
          </cell>
        </row>
        <row r="325">
          <cell r="C325">
            <v>92203</v>
          </cell>
          <cell r="J325" t="str">
            <v>T2部件</v>
          </cell>
          <cell r="K325">
            <v>8</v>
          </cell>
          <cell r="L325">
            <v>0.15628345108113895</v>
          </cell>
        </row>
        <row r="326">
          <cell r="C326">
            <v>92205</v>
          </cell>
          <cell r="J326" t="str">
            <v>T2部件</v>
          </cell>
          <cell r="K326">
            <v>8</v>
          </cell>
          <cell r="L326">
            <v>0.15628345108113895</v>
          </cell>
        </row>
        <row r="327">
          <cell r="C327">
            <v>92002</v>
          </cell>
          <cell r="J327" t="str">
            <v>T2部件</v>
          </cell>
          <cell r="K327">
            <v>8</v>
          </cell>
          <cell r="L327">
            <v>0.15628345108113895</v>
          </cell>
        </row>
        <row r="328">
          <cell r="C328">
            <v>92004</v>
          </cell>
          <cell r="J328" t="str">
            <v>T2部件</v>
          </cell>
          <cell r="K328">
            <v>8</v>
          </cell>
          <cell r="L328">
            <v>0.15628345108113895</v>
          </cell>
        </row>
        <row r="329">
          <cell r="C329">
            <v>92006</v>
          </cell>
          <cell r="J329" t="str">
            <v>T2部件</v>
          </cell>
          <cell r="K329">
            <v>8</v>
          </cell>
          <cell r="L329">
            <v>0.15628345108113895</v>
          </cell>
        </row>
        <row r="330">
          <cell r="C330">
            <v>92102</v>
          </cell>
          <cell r="J330" t="str">
            <v>T2部件</v>
          </cell>
          <cell r="K330">
            <v>8</v>
          </cell>
          <cell r="L330">
            <v>0.15628345108113895</v>
          </cell>
        </row>
        <row r="331">
          <cell r="C331">
            <v>92104</v>
          </cell>
          <cell r="J331" t="str">
            <v>T2部件</v>
          </cell>
          <cell r="K331">
            <v>8</v>
          </cell>
          <cell r="L331">
            <v>0.15628345108113895</v>
          </cell>
        </row>
        <row r="332">
          <cell r="C332">
            <v>92106</v>
          </cell>
          <cell r="J332" t="str">
            <v>T2部件</v>
          </cell>
          <cell r="K332">
            <v>8</v>
          </cell>
          <cell r="L332">
            <v>0.15628345108113895</v>
          </cell>
        </row>
        <row r="333">
          <cell r="C333">
            <v>92202</v>
          </cell>
          <cell r="J333" t="str">
            <v>T2部件</v>
          </cell>
          <cell r="K333">
            <v>8</v>
          </cell>
          <cell r="L333">
            <v>0.15628345108113895</v>
          </cell>
        </row>
        <row r="334">
          <cell r="C334">
            <v>92204</v>
          </cell>
          <cell r="J334" t="str">
            <v>T2部件</v>
          </cell>
          <cell r="K334">
            <v>8</v>
          </cell>
          <cell r="L334">
            <v>0.15628345108113895</v>
          </cell>
        </row>
        <row r="335">
          <cell r="C335">
            <v>92206</v>
          </cell>
          <cell r="J335" t="str">
            <v>T2部件</v>
          </cell>
          <cell r="K335">
            <v>8</v>
          </cell>
          <cell r="L335">
            <v>0.15628345108113895</v>
          </cell>
        </row>
        <row r="336">
          <cell r="C336">
            <v>93001</v>
          </cell>
          <cell r="J336" t="str">
            <v>T3部件</v>
          </cell>
          <cell r="K336">
            <v>8</v>
          </cell>
          <cell r="L336">
            <v>8.1888246628131017E-2</v>
          </cell>
        </row>
        <row r="337">
          <cell r="C337">
            <v>93003</v>
          </cell>
          <cell r="J337" t="str">
            <v>T3部件</v>
          </cell>
          <cell r="K337">
            <v>8</v>
          </cell>
          <cell r="L337">
            <v>8.1888246628131017E-2</v>
          </cell>
        </row>
        <row r="338">
          <cell r="C338">
            <v>93005</v>
          </cell>
          <cell r="J338" t="str">
            <v>T3部件</v>
          </cell>
          <cell r="K338">
            <v>8</v>
          </cell>
          <cell r="L338">
            <v>8.1888246628131017E-2</v>
          </cell>
        </row>
        <row r="339">
          <cell r="C339">
            <v>93101</v>
          </cell>
          <cell r="J339" t="str">
            <v>T3部件</v>
          </cell>
          <cell r="K339">
            <v>8</v>
          </cell>
          <cell r="L339">
            <v>8.1888246628131017E-2</v>
          </cell>
        </row>
        <row r="340">
          <cell r="C340">
            <v>93103</v>
          </cell>
          <cell r="J340" t="str">
            <v>T3部件</v>
          </cell>
          <cell r="K340">
            <v>8</v>
          </cell>
          <cell r="L340">
            <v>8.1888246628131017E-2</v>
          </cell>
        </row>
        <row r="341">
          <cell r="C341">
            <v>93105</v>
          </cell>
          <cell r="J341" t="str">
            <v>T3部件</v>
          </cell>
          <cell r="K341">
            <v>8</v>
          </cell>
          <cell r="L341">
            <v>8.1888246628131017E-2</v>
          </cell>
        </row>
        <row r="342">
          <cell r="C342">
            <v>93201</v>
          </cell>
          <cell r="J342" t="str">
            <v>T3部件</v>
          </cell>
          <cell r="K342">
            <v>8</v>
          </cell>
          <cell r="L342">
            <v>9.2057375294369512E-2</v>
          </cell>
        </row>
        <row r="343">
          <cell r="C343">
            <v>93203</v>
          </cell>
          <cell r="J343" t="str">
            <v>T3部件</v>
          </cell>
          <cell r="K343">
            <v>8</v>
          </cell>
          <cell r="L343">
            <v>9.2057375294369512E-2</v>
          </cell>
        </row>
        <row r="344">
          <cell r="C344">
            <v>93205</v>
          </cell>
          <cell r="J344" t="str">
            <v>T3部件</v>
          </cell>
          <cell r="K344">
            <v>8</v>
          </cell>
          <cell r="L344">
            <v>9.2057375294369512E-2</v>
          </cell>
        </row>
        <row r="345">
          <cell r="C345">
            <v>93002</v>
          </cell>
          <cell r="J345" t="str">
            <v>T3部件</v>
          </cell>
          <cell r="K345">
            <v>8</v>
          </cell>
          <cell r="L345">
            <v>9.2057375294369512E-2</v>
          </cell>
        </row>
        <row r="346">
          <cell r="C346">
            <v>93004</v>
          </cell>
          <cell r="J346" t="str">
            <v>T3部件</v>
          </cell>
          <cell r="K346">
            <v>8</v>
          </cell>
          <cell r="L346">
            <v>9.2057375294369512E-2</v>
          </cell>
        </row>
        <row r="347">
          <cell r="C347">
            <v>93006</v>
          </cell>
          <cell r="J347" t="str">
            <v>T3部件</v>
          </cell>
          <cell r="K347">
            <v>8</v>
          </cell>
          <cell r="L347">
            <v>9.2057375294369512E-2</v>
          </cell>
        </row>
        <row r="348">
          <cell r="C348">
            <v>93102</v>
          </cell>
          <cell r="J348" t="str">
            <v>T3部件</v>
          </cell>
          <cell r="K348">
            <v>8</v>
          </cell>
          <cell r="L348">
            <v>9.2057375294369512E-2</v>
          </cell>
        </row>
        <row r="349">
          <cell r="C349">
            <v>93104</v>
          </cell>
          <cell r="J349" t="str">
            <v>T3部件</v>
          </cell>
          <cell r="K349">
            <v>8</v>
          </cell>
          <cell r="L349">
            <v>9.2057375294369512E-2</v>
          </cell>
        </row>
        <row r="350">
          <cell r="C350">
            <v>93106</v>
          </cell>
          <cell r="J350" t="str">
            <v>T3部件</v>
          </cell>
          <cell r="K350">
            <v>8</v>
          </cell>
          <cell r="L350">
            <v>9.2057375294369512E-2</v>
          </cell>
        </row>
        <row r="351">
          <cell r="C351">
            <v>93202</v>
          </cell>
          <cell r="J351" t="str">
            <v>T3部件</v>
          </cell>
          <cell r="K351">
            <v>8</v>
          </cell>
          <cell r="L351">
            <v>9.2057375294369512E-2</v>
          </cell>
        </row>
        <row r="352">
          <cell r="C352">
            <v>93204</v>
          </cell>
          <cell r="J352" t="str">
            <v>T3部件</v>
          </cell>
          <cell r="K352">
            <v>8</v>
          </cell>
          <cell r="L352">
            <v>9.2057375294369512E-2</v>
          </cell>
        </row>
        <row r="353">
          <cell r="C353">
            <v>93206</v>
          </cell>
          <cell r="J353" t="str">
            <v>T3部件</v>
          </cell>
          <cell r="K353">
            <v>8</v>
          </cell>
          <cell r="L353">
            <v>7.1719117961892537E-2</v>
          </cell>
        </row>
        <row r="354">
          <cell r="C354">
            <v>94003</v>
          </cell>
          <cell r="J354" t="str">
            <v>T4部件</v>
          </cell>
          <cell r="K354">
            <v>8</v>
          </cell>
          <cell r="L354">
            <v>5.3521729822307858E-2</v>
          </cell>
        </row>
        <row r="355">
          <cell r="C355">
            <v>94103</v>
          </cell>
          <cell r="J355" t="str">
            <v>T4部件</v>
          </cell>
          <cell r="K355">
            <v>8</v>
          </cell>
          <cell r="L355">
            <v>5.3521729822307858E-2</v>
          </cell>
        </row>
        <row r="356">
          <cell r="C356">
            <v>11311</v>
          </cell>
          <cell r="J356" t="str">
            <v>T3坦克</v>
          </cell>
          <cell r="K356">
            <v>9</v>
          </cell>
          <cell r="L356">
            <v>9.4733461785484904E-2</v>
          </cell>
        </row>
        <row r="357">
          <cell r="C357">
            <v>12311</v>
          </cell>
          <cell r="J357" t="str">
            <v>T3坦克</v>
          </cell>
          <cell r="K357">
            <v>9</v>
          </cell>
          <cell r="L357">
            <v>9.4733461785484904E-2</v>
          </cell>
        </row>
        <row r="358">
          <cell r="C358">
            <v>13311</v>
          </cell>
          <cell r="J358" t="str">
            <v>T3坦克</v>
          </cell>
          <cell r="K358">
            <v>9</v>
          </cell>
          <cell r="L358">
            <v>9.4733461785484904E-2</v>
          </cell>
        </row>
        <row r="359">
          <cell r="C359">
            <v>11321</v>
          </cell>
          <cell r="J359" t="str">
            <v>T3坦克</v>
          </cell>
          <cell r="K359">
            <v>9</v>
          </cell>
          <cell r="L359">
            <v>5.2986512524084775E-2</v>
          </cell>
        </row>
        <row r="360">
          <cell r="C360">
            <v>12321</v>
          </cell>
          <cell r="J360" t="str">
            <v>T3坦克</v>
          </cell>
          <cell r="K360">
            <v>9</v>
          </cell>
          <cell r="L360">
            <v>5.2986512524084775E-2</v>
          </cell>
        </row>
        <row r="361">
          <cell r="C361">
            <v>13321</v>
          </cell>
          <cell r="J361" t="str">
            <v>T3坦克</v>
          </cell>
          <cell r="K361">
            <v>9</v>
          </cell>
          <cell r="L361">
            <v>5.2986512524084775E-2</v>
          </cell>
        </row>
        <row r="362">
          <cell r="C362">
            <v>13331</v>
          </cell>
          <cell r="J362" t="str">
            <v>T3坦克</v>
          </cell>
          <cell r="K362">
            <v>9</v>
          </cell>
          <cell r="L362">
            <v>3.5324341682723186E-2</v>
          </cell>
        </row>
        <row r="363">
          <cell r="C363">
            <v>12331</v>
          </cell>
          <cell r="J363" t="str">
            <v>T3坦克</v>
          </cell>
          <cell r="K363">
            <v>9</v>
          </cell>
          <cell r="L363">
            <v>3.5324341682723186E-2</v>
          </cell>
        </row>
        <row r="364">
          <cell r="C364">
            <v>11341</v>
          </cell>
          <cell r="J364" t="str">
            <v>T3坦克</v>
          </cell>
          <cell r="K364">
            <v>9</v>
          </cell>
          <cell r="L364">
            <v>3.5324341682723186E-2</v>
          </cell>
        </row>
        <row r="365">
          <cell r="C365">
            <v>51311</v>
          </cell>
          <cell r="J365" t="str">
            <v>T3碎片</v>
          </cell>
          <cell r="K365">
            <v>9</v>
          </cell>
          <cell r="L365">
            <v>1.6634553628773281</v>
          </cell>
        </row>
        <row r="366">
          <cell r="C366">
            <v>52311</v>
          </cell>
          <cell r="J366" t="str">
            <v>T3碎片</v>
          </cell>
          <cell r="K366">
            <v>9</v>
          </cell>
          <cell r="L366">
            <v>1.6634553628773281</v>
          </cell>
        </row>
        <row r="367">
          <cell r="C367">
            <v>53311</v>
          </cell>
          <cell r="J367" t="str">
            <v>T3碎片</v>
          </cell>
          <cell r="K367">
            <v>9</v>
          </cell>
          <cell r="L367">
            <v>1.6634553628773281</v>
          </cell>
        </row>
        <row r="368">
          <cell r="C368">
            <v>51321</v>
          </cell>
          <cell r="J368" t="str">
            <v>T3碎片</v>
          </cell>
          <cell r="K368">
            <v>9</v>
          </cell>
          <cell r="L368">
            <v>0.76536073645900249</v>
          </cell>
        </row>
        <row r="369">
          <cell r="C369">
            <v>52321</v>
          </cell>
          <cell r="J369" t="str">
            <v>T3碎片</v>
          </cell>
          <cell r="K369">
            <v>9</v>
          </cell>
          <cell r="L369">
            <v>0.76536073645900249</v>
          </cell>
        </row>
        <row r="370">
          <cell r="C370">
            <v>53321</v>
          </cell>
          <cell r="J370" t="str">
            <v>T3碎片</v>
          </cell>
          <cell r="K370">
            <v>9</v>
          </cell>
          <cell r="L370">
            <v>0.76536073645900249</v>
          </cell>
        </row>
        <row r="371">
          <cell r="C371">
            <v>53331</v>
          </cell>
          <cell r="J371" t="str">
            <v>T3碎片</v>
          </cell>
          <cell r="K371">
            <v>9</v>
          </cell>
          <cell r="L371">
            <v>0.4238921001926782</v>
          </cell>
        </row>
        <row r="372">
          <cell r="C372">
            <v>52331</v>
          </cell>
          <cell r="J372" t="str">
            <v>T3碎片</v>
          </cell>
          <cell r="K372">
            <v>9</v>
          </cell>
          <cell r="L372">
            <v>0.4238921001926782</v>
          </cell>
        </row>
        <row r="373">
          <cell r="C373">
            <v>51341</v>
          </cell>
          <cell r="J373" t="str">
            <v>T3碎片</v>
          </cell>
          <cell r="K373">
            <v>9</v>
          </cell>
          <cell r="L373">
            <v>0.4238921001926782</v>
          </cell>
        </row>
        <row r="374">
          <cell r="C374">
            <v>92001</v>
          </cell>
          <cell r="J374" t="str">
            <v>T2部件</v>
          </cell>
          <cell r="K374">
            <v>9</v>
          </cell>
          <cell r="L374">
            <v>0.15628345108113895</v>
          </cell>
        </row>
        <row r="375">
          <cell r="C375">
            <v>92003</v>
          </cell>
          <cell r="J375" t="str">
            <v>T2部件</v>
          </cell>
          <cell r="K375">
            <v>9</v>
          </cell>
          <cell r="L375">
            <v>0.15628345108113895</v>
          </cell>
        </row>
        <row r="376">
          <cell r="C376">
            <v>92005</v>
          </cell>
          <cell r="J376" t="str">
            <v>T2部件</v>
          </cell>
          <cell r="K376">
            <v>9</v>
          </cell>
          <cell r="L376">
            <v>0.15628345108113895</v>
          </cell>
        </row>
        <row r="377">
          <cell r="C377">
            <v>92101</v>
          </cell>
          <cell r="J377" t="str">
            <v>T2部件</v>
          </cell>
          <cell r="K377">
            <v>9</v>
          </cell>
          <cell r="L377">
            <v>0.15628345108113895</v>
          </cell>
        </row>
        <row r="378">
          <cell r="C378">
            <v>92103</v>
          </cell>
          <cell r="J378" t="str">
            <v>T2部件</v>
          </cell>
          <cell r="K378">
            <v>9</v>
          </cell>
          <cell r="L378">
            <v>0.15628345108113895</v>
          </cell>
        </row>
        <row r="379">
          <cell r="C379">
            <v>92105</v>
          </cell>
          <cell r="J379" t="str">
            <v>T2部件</v>
          </cell>
          <cell r="K379">
            <v>9</v>
          </cell>
          <cell r="L379">
            <v>0.15628345108113895</v>
          </cell>
        </row>
        <row r="380">
          <cell r="C380">
            <v>92201</v>
          </cell>
          <cell r="J380" t="str">
            <v>T2部件</v>
          </cell>
          <cell r="K380">
            <v>9</v>
          </cell>
          <cell r="L380">
            <v>0.15628345108113895</v>
          </cell>
        </row>
        <row r="381">
          <cell r="C381">
            <v>92203</v>
          </cell>
          <cell r="J381" t="str">
            <v>T2部件</v>
          </cell>
          <cell r="K381">
            <v>9</v>
          </cell>
          <cell r="L381">
            <v>0.15628345108113895</v>
          </cell>
        </row>
        <row r="382">
          <cell r="C382">
            <v>92205</v>
          </cell>
          <cell r="J382" t="str">
            <v>T2部件</v>
          </cell>
          <cell r="K382">
            <v>9</v>
          </cell>
          <cell r="L382">
            <v>0.15628345108113895</v>
          </cell>
        </row>
        <row r="383">
          <cell r="C383">
            <v>92002</v>
          </cell>
          <cell r="J383" t="str">
            <v>T2部件</v>
          </cell>
          <cell r="K383">
            <v>9</v>
          </cell>
          <cell r="L383">
            <v>0.15628345108113895</v>
          </cell>
        </row>
        <row r="384">
          <cell r="C384">
            <v>92004</v>
          </cell>
          <cell r="J384" t="str">
            <v>T2部件</v>
          </cell>
          <cell r="K384">
            <v>9</v>
          </cell>
          <cell r="L384">
            <v>0.15628345108113895</v>
          </cell>
        </row>
        <row r="385">
          <cell r="C385">
            <v>92006</v>
          </cell>
          <cell r="J385" t="str">
            <v>T2部件</v>
          </cell>
          <cell r="K385">
            <v>9</v>
          </cell>
          <cell r="L385">
            <v>0.15628345108113895</v>
          </cell>
        </row>
        <row r="386">
          <cell r="C386">
            <v>92102</v>
          </cell>
          <cell r="J386" t="str">
            <v>T2部件</v>
          </cell>
          <cell r="K386">
            <v>9</v>
          </cell>
          <cell r="L386">
            <v>0.15628345108113895</v>
          </cell>
        </row>
        <row r="387">
          <cell r="C387">
            <v>92104</v>
          </cell>
          <cell r="J387" t="str">
            <v>T2部件</v>
          </cell>
          <cell r="K387">
            <v>9</v>
          </cell>
          <cell r="L387">
            <v>0.15628345108113895</v>
          </cell>
        </row>
        <row r="388">
          <cell r="C388">
            <v>92106</v>
          </cell>
          <cell r="J388" t="str">
            <v>T2部件</v>
          </cell>
          <cell r="K388">
            <v>9</v>
          </cell>
          <cell r="L388">
            <v>0.15628345108113895</v>
          </cell>
        </row>
        <row r="389">
          <cell r="C389">
            <v>92202</v>
          </cell>
          <cell r="J389" t="str">
            <v>T2部件</v>
          </cell>
          <cell r="K389">
            <v>9</v>
          </cell>
          <cell r="L389">
            <v>0.15628345108113895</v>
          </cell>
        </row>
        <row r="390">
          <cell r="C390">
            <v>92204</v>
          </cell>
          <cell r="J390" t="str">
            <v>T2部件</v>
          </cell>
          <cell r="K390">
            <v>9</v>
          </cell>
          <cell r="L390">
            <v>0.15628345108113895</v>
          </cell>
        </row>
        <row r="391">
          <cell r="C391">
            <v>92206</v>
          </cell>
          <cell r="J391" t="str">
            <v>T2部件</v>
          </cell>
          <cell r="K391">
            <v>9</v>
          </cell>
          <cell r="L391">
            <v>0.15628345108113895</v>
          </cell>
        </row>
        <row r="392">
          <cell r="C392">
            <v>93001</v>
          </cell>
          <cell r="J392" t="str">
            <v>T3部件</v>
          </cell>
          <cell r="K392">
            <v>9</v>
          </cell>
          <cell r="L392">
            <v>8.1888246628131017E-2</v>
          </cell>
        </row>
        <row r="393">
          <cell r="C393">
            <v>93003</v>
          </cell>
          <cell r="J393" t="str">
            <v>T3部件</v>
          </cell>
          <cell r="K393">
            <v>9</v>
          </cell>
          <cell r="L393">
            <v>8.1888246628131017E-2</v>
          </cell>
        </row>
        <row r="394">
          <cell r="C394">
            <v>93005</v>
          </cell>
          <cell r="J394" t="str">
            <v>T3部件</v>
          </cell>
          <cell r="K394">
            <v>9</v>
          </cell>
          <cell r="L394">
            <v>8.1888246628131017E-2</v>
          </cell>
        </row>
        <row r="395">
          <cell r="C395">
            <v>93101</v>
          </cell>
          <cell r="J395" t="str">
            <v>T3部件</v>
          </cell>
          <cell r="K395">
            <v>9</v>
          </cell>
          <cell r="L395">
            <v>8.1888246628131017E-2</v>
          </cell>
        </row>
        <row r="396">
          <cell r="C396">
            <v>93103</v>
          </cell>
          <cell r="J396" t="str">
            <v>T3部件</v>
          </cell>
          <cell r="K396">
            <v>9</v>
          </cell>
          <cell r="L396">
            <v>8.1888246628131017E-2</v>
          </cell>
        </row>
        <row r="397">
          <cell r="C397">
            <v>93105</v>
          </cell>
          <cell r="J397" t="str">
            <v>T3部件</v>
          </cell>
          <cell r="K397">
            <v>9</v>
          </cell>
          <cell r="L397">
            <v>8.1888246628131017E-2</v>
          </cell>
        </row>
        <row r="398">
          <cell r="C398">
            <v>93201</v>
          </cell>
          <cell r="J398" t="str">
            <v>T3部件</v>
          </cell>
          <cell r="K398">
            <v>9</v>
          </cell>
          <cell r="L398">
            <v>9.2057375294369512E-2</v>
          </cell>
        </row>
        <row r="399">
          <cell r="C399">
            <v>93203</v>
          </cell>
          <cell r="J399" t="str">
            <v>T3部件</v>
          </cell>
          <cell r="K399">
            <v>9</v>
          </cell>
          <cell r="L399">
            <v>9.2057375294369512E-2</v>
          </cell>
        </row>
        <row r="400">
          <cell r="C400">
            <v>93205</v>
          </cell>
          <cell r="J400" t="str">
            <v>T3部件</v>
          </cell>
          <cell r="K400">
            <v>9</v>
          </cell>
          <cell r="L400">
            <v>9.2057375294369512E-2</v>
          </cell>
        </row>
        <row r="401">
          <cell r="C401">
            <v>93002</v>
          </cell>
          <cell r="J401" t="str">
            <v>T3部件</v>
          </cell>
          <cell r="K401">
            <v>9</v>
          </cell>
          <cell r="L401">
            <v>9.2057375294369512E-2</v>
          </cell>
        </row>
        <row r="402">
          <cell r="C402">
            <v>93004</v>
          </cell>
          <cell r="J402" t="str">
            <v>T3部件</v>
          </cell>
          <cell r="K402">
            <v>9</v>
          </cell>
          <cell r="L402">
            <v>9.2057375294369512E-2</v>
          </cell>
        </row>
        <row r="403">
          <cell r="C403">
            <v>93006</v>
          </cell>
          <cell r="J403" t="str">
            <v>T3部件</v>
          </cell>
          <cell r="K403">
            <v>9</v>
          </cell>
          <cell r="L403">
            <v>9.2057375294369512E-2</v>
          </cell>
        </row>
        <row r="404">
          <cell r="C404">
            <v>93102</v>
          </cell>
          <cell r="J404" t="str">
            <v>T3部件</v>
          </cell>
          <cell r="K404">
            <v>9</v>
          </cell>
          <cell r="L404">
            <v>9.2057375294369512E-2</v>
          </cell>
        </row>
        <row r="405">
          <cell r="C405">
            <v>93104</v>
          </cell>
          <cell r="J405" t="str">
            <v>T3部件</v>
          </cell>
          <cell r="K405">
            <v>9</v>
          </cell>
          <cell r="L405">
            <v>9.2057375294369512E-2</v>
          </cell>
        </row>
        <row r="406">
          <cell r="C406">
            <v>93106</v>
          </cell>
          <cell r="J406" t="str">
            <v>T3部件</v>
          </cell>
          <cell r="K406">
            <v>9</v>
          </cell>
          <cell r="L406">
            <v>9.2057375294369512E-2</v>
          </cell>
        </row>
        <row r="407">
          <cell r="C407">
            <v>93202</v>
          </cell>
          <cell r="J407" t="str">
            <v>T3部件</v>
          </cell>
          <cell r="K407">
            <v>9</v>
          </cell>
          <cell r="L407">
            <v>9.2057375294369512E-2</v>
          </cell>
        </row>
        <row r="408">
          <cell r="C408">
            <v>93204</v>
          </cell>
          <cell r="J408" t="str">
            <v>T3部件</v>
          </cell>
          <cell r="K408">
            <v>9</v>
          </cell>
          <cell r="L408">
            <v>9.2057375294369512E-2</v>
          </cell>
        </row>
        <row r="409">
          <cell r="C409">
            <v>93206</v>
          </cell>
          <cell r="J409" t="str">
            <v>T3部件</v>
          </cell>
          <cell r="K409">
            <v>9</v>
          </cell>
          <cell r="L409">
            <v>7.1719117961892537E-2</v>
          </cell>
        </row>
        <row r="410">
          <cell r="C410">
            <v>94003</v>
          </cell>
          <cell r="J410" t="str">
            <v>T4部件</v>
          </cell>
          <cell r="K410">
            <v>9</v>
          </cell>
          <cell r="L410">
            <v>5.3521729822307858E-2</v>
          </cell>
        </row>
        <row r="411">
          <cell r="C411">
            <v>94103</v>
          </cell>
          <cell r="J411" t="str">
            <v>T4部件</v>
          </cell>
          <cell r="K411">
            <v>9</v>
          </cell>
          <cell r="L411">
            <v>5.3521729822307858E-2</v>
          </cell>
        </row>
        <row r="412">
          <cell r="C412">
            <v>11311</v>
          </cell>
          <cell r="J412" t="str">
            <v>T3坦克</v>
          </cell>
          <cell r="K412">
            <v>10</v>
          </cell>
          <cell r="L412">
            <v>9.4733461785484904E-2</v>
          </cell>
        </row>
        <row r="413">
          <cell r="C413">
            <v>12311</v>
          </cell>
          <cell r="J413" t="str">
            <v>T3坦克</v>
          </cell>
          <cell r="K413">
            <v>10</v>
          </cell>
          <cell r="L413">
            <v>9.4733461785484904E-2</v>
          </cell>
        </row>
        <row r="414">
          <cell r="C414">
            <v>13311</v>
          </cell>
          <cell r="J414" t="str">
            <v>T3坦克</v>
          </cell>
          <cell r="K414">
            <v>10</v>
          </cell>
          <cell r="L414">
            <v>9.4733461785484904E-2</v>
          </cell>
        </row>
        <row r="415">
          <cell r="C415">
            <v>11321</v>
          </cell>
          <cell r="J415" t="str">
            <v>T3坦克</v>
          </cell>
          <cell r="K415">
            <v>10</v>
          </cell>
          <cell r="L415">
            <v>5.2986512524084775E-2</v>
          </cell>
        </row>
        <row r="416">
          <cell r="C416">
            <v>12321</v>
          </cell>
          <cell r="J416" t="str">
            <v>T3坦克</v>
          </cell>
          <cell r="K416">
            <v>10</v>
          </cell>
          <cell r="L416">
            <v>5.2986512524084775E-2</v>
          </cell>
        </row>
        <row r="417">
          <cell r="C417">
            <v>13321</v>
          </cell>
          <cell r="J417" t="str">
            <v>T3坦克</v>
          </cell>
          <cell r="K417">
            <v>10</v>
          </cell>
          <cell r="L417">
            <v>5.2986512524084775E-2</v>
          </cell>
        </row>
        <row r="418">
          <cell r="C418">
            <v>13331</v>
          </cell>
          <cell r="J418" t="str">
            <v>T3坦克</v>
          </cell>
          <cell r="K418">
            <v>10</v>
          </cell>
          <cell r="L418">
            <v>3.5324341682723186E-2</v>
          </cell>
        </row>
        <row r="419">
          <cell r="C419">
            <v>12331</v>
          </cell>
          <cell r="J419" t="str">
            <v>T3坦克</v>
          </cell>
          <cell r="K419">
            <v>10</v>
          </cell>
          <cell r="L419">
            <v>3.5324341682723186E-2</v>
          </cell>
        </row>
        <row r="420">
          <cell r="C420">
            <v>11341</v>
          </cell>
          <cell r="J420" t="str">
            <v>T3坦克</v>
          </cell>
          <cell r="K420">
            <v>10</v>
          </cell>
          <cell r="L420">
            <v>3.5324341682723186E-2</v>
          </cell>
        </row>
        <row r="421">
          <cell r="C421">
            <v>51311</v>
          </cell>
          <cell r="J421" t="str">
            <v>T3碎片</v>
          </cell>
          <cell r="K421">
            <v>10</v>
          </cell>
          <cell r="L421">
            <v>1.6634553628773281</v>
          </cell>
        </row>
        <row r="422">
          <cell r="C422">
            <v>52311</v>
          </cell>
          <cell r="J422" t="str">
            <v>T3碎片</v>
          </cell>
          <cell r="K422">
            <v>10</v>
          </cell>
          <cell r="L422">
            <v>1.6634553628773281</v>
          </cell>
        </row>
        <row r="423">
          <cell r="C423">
            <v>53311</v>
          </cell>
          <cell r="J423" t="str">
            <v>T3碎片</v>
          </cell>
          <cell r="K423">
            <v>10</v>
          </cell>
          <cell r="L423">
            <v>1.6634553628773281</v>
          </cell>
        </row>
        <row r="424">
          <cell r="C424">
            <v>51321</v>
          </cell>
          <cell r="J424" t="str">
            <v>T3碎片</v>
          </cell>
          <cell r="K424">
            <v>10</v>
          </cell>
          <cell r="L424">
            <v>0.83493898522800258</v>
          </cell>
        </row>
        <row r="425">
          <cell r="C425">
            <v>52321</v>
          </cell>
          <cell r="J425" t="str">
            <v>T3碎片</v>
          </cell>
          <cell r="K425">
            <v>10</v>
          </cell>
          <cell r="L425">
            <v>0.83493898522800258</v>
          </cell>
        </row>
        <row r="426">
          <cell r="C426">
            <v>53321</v>
          </cell>
          <cell r="J426" t="str">
            <v>T3碎片</v>
          </cell>
          <cell r="K426">
            <v>10</v>
          </cell>
          <cell r="L426">
            <v>0.83493898522800258</v>
          </cell>
        </row>
        <row r="427">
          <cell r="C427">
            <v>53331</v>
          </cell>
          <cell r="J427" t="str">
            <v>T3碎片</v>
          </cell>
          <cell r="K427">
            <v>10</v>
          </cell>
          <cell r="L427">
            <v>0.46242774566473988</v>
          </cell>
        </row>
        <row r="428">
          <cell r="C428">
            <v>52331</v>
          </cell>
          <cell r="J428" t="str">
            <v>T3碎片</v>
          </cell>
          <cell r="K428">
            <v>10</v>
          </cell>
          <cell r="L428">
            <v>0.46242774566473988</v>
          </cell>
        </row>
        <row r="429">
          <cell r="C429">
            <v>51341</v>
          </cell>
          <cell r="J429" t="str">
            <v>T3碎片</v>
          </cell>
          <cell r="K429">
            <v>10</v>
          </cell>
          <cell r="L429">
            <v>0.46242774566473988</v>
          </cell>
        </row>
        <row r="430">
          <cell r="C430">
            <v>92001</v>
          </cell>
          <cell r="J430" t="str">
            <v>T2部件</v>
          </cell>
          <cell r="K430">
            <v>10</v>
          </cell>
          <cell r="L430">
            <v>0.15628345108113895</v>
          </cell>
        </row>
        <row r="431">
          <cell r="C431">
            <v>92003</v>
          </cell>
          <cell r="J431" t="str">
            <v>T2部件</v>
          </cell>
          <cell r="K431">
            <v>10</v>
          </cell>
          <cell r="L431">
            <v>0.15628345108113895</v>
          </cell>
        </row>
        <row r="432">
          <cell r="C432">
            <v>92005</v>
          </cell>
          <cell r="J432" t="str">
            <v>T2部件</v>
          </cell>
          <cell r="K432">
            <v>10</v>
          </cell>
          <cell r="L432">
            <v>0.15628345108113895</v>
          </cell>
        </row>
        <row r="433">
          <cell r="C433">
            <v>92101</v>
          </cell>
          <cell r="J433" t="str">
            <v>T2部件</v>
          </cell>
          <cell r="K433">
            <v>10</v>
          </cell>
          <cell r="L433">
            <v>0.15628345108113895</v>
          </cell>
        </row>
        <row r="434">
          <cell r="C434">
            <v>92103</v>
          </cell>
          <cell r="J434" t="str">
            <v>T2部件</v>
          </cell>
          <cell r="K434">
            <v>10</v>
          </cell>
          <cell r="L434">
            <v>0.15628345108113895</v>
          </cell>
        </row>
        <row r="435">
          <cell r="C435">
            <v>92105</v>
          </cell>
          <cell r="J435" t="str">
            <v>T2部件</v>
          </cell>
          <cell r="K435">
            <v>10</v>
          </cell>
          <cell r="L435">
            <v>0.15628345108113895</v>
          </cell>
        </row>
        <row r="436">
          <cell r="C436">
            <v>92201</v>
          </cell>
          <cell r="J436" t="str">
            <v>T2部件</v>
          </cell>
          <cell r="K436">
            <v>10</v>
          </cell>
          <cell r="L436">
            <v>0.15628345108113895</v>
          </cell>
        </row>
        <row r="437">
          <cell r="C437">
            <v>92203</v>
          </cell>
          <cell r="J437" t="str">
            <v>T2部件</v>
          </cell>
          <cell r="K437">
            <v>10</v>
          </cell>
          <cell r="L437">
            <v>0.15628345108113895</v>
          </cell>
        </row>
        <row r="438">
          <cell r="C438">
            <v>92205</v>
          </cell>
          <cell r="J438" t="str">
            <v>T2部件</v>
          </cell>
          <cell r="K438">
            <v>10</v>
          </cell>
          <cell r="L438">
            <v>0.15628345108113895</v>
          </cell>
        </row>
        <row r="439">
          <cell r="C439">
            <v>92002</v>
          </cell>
          <cell r="J439" t="str">
            <v>T2部件</v>
          </cell>
          <cell r="K439">
            <v>10</v>
          </cell>
          <cell r="L439">
            <v>0.15628345108113895</v>
          </cell>
        </row>
        <row r="440">
          <cell r="C440">
            <v>92004</v>
          </cell>
          <cell r="J440" t="str">
            <v>T2部件</v>
          </cell>
          <cell r="K440">
            <v>10</v>
          </cell>
          <cell r="L440">
            <v>0.15628345108113895</v>
          </cell>
        </row>
        <row r="441">
          <cell r="C441">
            <v>92006</v>
          </cell>
          <cell r="J441" t="str">
            <v>T2部件</v>
          </cell>
          <cell r="K441">
            <v>10</v>
          </cell>
          <cell r="L441">
            <v>0.15628345108113895</v>
          </cell>
        </row>
        <row r="442">
          <cell r="C442">
            <v>92102</v>
          </cell>
          <cell r="J442" t="str">
            <v>T2部件</v>
          </cell>
          <cell r="K442">
            <v>10</v>
          </cell>
          <cell r="L442">
            <v>0.15628345108113895</v>
          </cell>
        </row>
        <row r="443">
          <cell r="C443">
            <v>92104</v>
          </cell>
          <cell r="J443" t="str">
            <v>T2部件</v>
          </cell>
          <cell r="K443">
            <v>10</v>
          </cell>
          <cell r="L443">
            <v>0.15628345108113895</v>
          </cell>
        </row>
        <row r="444">
          <cell r="C444">
            <v>92106</v>
          </cell>
          <cell r="J444" t="str">
            <v>T2部件</v>
          </cell>
          <cell r="K444">
            <v>10</v>
          </cell>
          <cell r="L444">
            <v>0.15628345108113895</v>
          </cell>
        </row>
        <row r="445">
          <cell r="C445">
            <v>92202</v>
          </cell>
          <cell r="J445" t="str">
            <v>T2部件</v>
          </cell>
          <cell r="K445">
            <v>10</v>
          </cell>
          <cell r="L445">
            <v>0.15628345108113895</v>
          </cell>
        </row>
        <row r="446">
          <cell r="C446">
            <v>92204</v>
          </cell>
          <cell r="J446" t="str">
            <v>T2部件</v>
          </cell>
          <cell r="K446">
            <v>10</v>
          </cell>
          <cell r="L446">
            <v>0.15628345108113895</v>
          </cell>
        </row>
        <row r="447">
          <cell r="C447">
            <v>92206</v>
          </cell>
          <cell r="J447" t="str">
            <v>T2部件</v>
          </cell>
          <cell r="K447">
            <v>10</v>
          </cell>
          <cell r="L447">
            <v>0.15628345108113895</v>
          </cell>
        </row>
        <row r="448">
          <cell r="C448">
            <v>93001</v>
          </cell>
          <cell r="J448" t="str">
            <v>T3部件</v>
          </cell>
          <cell r="K448">
            <v>10</v>
          </cell>
          <cell r="L448">
            <v>8.1888246628131017E-2</v>
          </cell>
        </row>
        <row r="449">
          <cell r="C449">
            <v>93003</v>
          </cell>
          <cell r="J449" t="str">
            <v>T3部件</v>
          </cell>
          <cell r="K449">
            <v>10</v>
          </cell>
          <cell r="L449">
            <v>8.1888246628131017E-2</v>
          </cell>
        </row>
        <row r="450">
          <cell r="C450">
            <v>93005</v>
          </cell>
          <cell r="J450" t="str">
            <v>T3部件</v>
          </cell>
          <cell r="K450">
            <v>10</v>
          </cell>
          <cell r="L450">
            <v>8.1888246628131017E-2</v>
          </cell>
        </row>
        <row r="451">
          <cell r="C451">
            <v>93101</v>
          </cell>
          <cell r="J451" t="str">
            <v>T3部件</v>
          </cell>
          <cell r="K451">
            <v>10</v>
          </cell>
          <cell r="L451">
            <v>8.1888246628131017E-2</v>
          </cell>
        </row>
        <row r="452">
          <cell r="C452">
            <v>93103</v>
          </cell>
          <cell r="J452" t="str">
            <v>T3部件</v>
          </cell>
          <cell r="K452">
            <v>10</v>
          </cell>
          <cell r="L452">
            <v>8.1888246628131017E-2</v>
          </cell>
        </row>
        <row r="453">
          <cell r="C453">
            <v>93105</v>
          </cell>
          <cell r="J453" t="str">
            <v>T3部件</v>
          </cell>
          <cell r="K453">
            <v>10</v>
          </cell>
          <cell r="L453">
            <v>8.1888246628131017E-2</v>
          </cell>
        </row>
        <row r="454">
          <cell r="C454">
            <v>93201</v>
          </cell>
          <cell r="J454" t="str">
            <v>T3部件</v>
          </cell>
          <cell r="K454">
            <v>10</v>
          </cell>
          <cell r="L454">
            <v>9.2057375294369512E-2</v>
          </cell>
        </row>
        <row r="455">
          <cell r="C455">
            <v>93203</v>
          </cell>
          <cell r="J455" t="str">
            <v>T3部件</v>
          </cell>
          <cell r="K455">
            <v>10</v>
          </cell>
          <cell r="L455">
            <v>9.2057375294369512E-2</v>
          </cell>
        </row>
        <row r="456">
          <cell r="C456">
            <v>93205</v>
          </cell>
          <cell r="J456" t="str">
            <v>T3部件</v>
          </cell>
          <cell r="K456">
            <v>10</v>
          </cell>
          <cell r="L456">
            <v>9.2057375294369512E-2</v>
          </cell>
        </row>
        <row r="457">
          <cell r="C457">
            <v>93002</v>
          </cell>
          <cell r="J457" t="str">
            <v>T3部件</v>
          </cell>
          <cell r="K457">
            <v>10</v>
          </cell>
          <cell r="L457">
            <v>9.2057375294369512E-2</v>
          </cell>
        </row>
        <row r="458">
          <cell r="C458">
            <v>93004</v>
          </cell>
          <cell r="J458" t="str">
            <v>T3部件</v>
          </cell>
          <cell r="K458">
            <v>10</v>
          </cell>
          <cell r="L458">
            <v>9.2057375294369512E-2</v>
          </cell>
        </row>
        <row r="459">
          <cell r="C459">
            <v>93006</v>
          </cell>
          <cell r="J459" t="str">
            <v>T3部件</v>
          </cell>
          <cell r="K459">
            <v>10</v>
          </cell>
          <cell r="L459">
            <v>9.2057375294369512E-2</v>
          </cell>
        </row>
        <row r="460">
          <cell r="C460">
            <v>93102</v>
          </cell>
          <cell r="J460" t="str">
            <v>T3部件</v>
          </cell>
          <cell r="K460">
            <v>10</v>
          </cell>
          <cell r="L460">
            <v>9.2057375294369512E-2</v>
          </cell>
        </row>
        <row r="461">
          <cell r="C461">
            <v>93104</v>
          </cell>
          <cell r="J461" t="str">
            <v>T3部件</v>
          </cell>
          <cell r="K461">
            <v>10</v>
          </cell>
          <cell r="L461">
            <v>9.2057375294369512E-2</v>
          </cell>
        </row>
        <row r="462">
          <cell r="C462">
            <v>93106</v>
          </cell>
          <cell r="J462" t="str">
            <v>T3部件</v>
          </cell>
          <cell r="K462">
            <v>10</v>
          </cell>
          <cell r="L462">
            <v>9.2057375294369512E-2</v>
          </cell>
        </row>
        <row r="463">
          <cell r="C463">
            <v>93202</v>
          </cell>
          <cell r="J463" t="str">
            <v>T3部件</v>
          </cell>
          <cell r="K463">
            <v>10</v>
          </cell>
          <cell r="L463">
            <v>9.2057375294369512E-2</v>
          </cell>
        </row>
        <row r="464">
          <cell r="C464">
            <v>93204</v>
          </cell>
          <cell r="J464" t="str">
            <v>T3部件</v>
          </cell>
          <cell r="K464">
            <v>10</v>
          </cell>
          <cell r="L464">
            <v>9.2057375294369512E-2</v>
          </cell>
        </row>
        <row r="465">
          <cell r="C465">
            <v>93206</v>
          </cell>
          <cell r="J465" t="str">
            <v>T3部件</v>
          </cell>
          <cell r="K465">
            <v>10</v>
          </cell>
          <cell r="L465">
            <v>7.1719117961892537E-2</v>
          </cell>
        </row>
        <row r="466">
          <cell r="C466">
            <v>94003</v>
          </cell>
          <cell r="J466" t="str">
            <v>T4部件</v>
          </cell>
          <cell r="K466">
            <v>10</v>
          </cell>
          <cell r="L466">
            <v>5.3521729822307858E-2</v>
          </cell>
        </row>
        <row r="467">
          <cell r="C467">
            <v>94103</v>
          </cell>
          <cell r="J467" t="str">
            <v>T4部件</v>
          </cell>
          <cell r="K467">
            <v>10</v>
          </cell>
          <cell r="L467">
            <v>5.3521729822307858E-2</v>
          </cell>
        </row>
      </sheetData>
      <sheetData sheetId="5"/>
      <sheetData sheetId="6"/>
      <sheetData sheetId="7"/>
      <sheetData sheetId="8">
        <row r="1">
          <cell r="I1" t="str">
            <v>类别</v>
          </cell>
          <cell r="J1" t="str">
            <v>联赛等级</v>
          </cell>
          <cell r="K1" t="str">
            <v>计算个数</v>
          </cell>
        </row>
        <row r="2">
          <cell r="I2" t="str">
            <v>T1碎片</v>
          </cell>
          <cell r="J2">
            <v>1</v>
          </cell>
          <cell r="K2">
            <v>0.15607182367458089</v>
          </cell>
        </row>
        <row r="3">
          <cell r="I3" t="str">
            <v>T1碎片</v>
          </cell>
          <cell r="J3">
            <v>1</v>
          </cell>
          <cell r="K3">
            <v>0.15607182367458089</v>
          </cell>
        </row>
        <row r="4">
          <cell r="I4" t="str">
            <v>T1碎片</v>
          </cell>
          <cell r="J4">
            <v>1</v>
          </cell>
          <cell r="K4">
            <v>0.15607182367458089</v>
          </cell>
        </row>
        <row r="5">
          <cell r="I5" t="str">
            <v>T1部件</v>
          </cell>
          <cell r="J5">
            <v>1</v>
          </cell>
          <cell r="K5">
            <v>0.17019828099736192</v>
          </cell>
        </row>
        <row r="6">
          <cell r="I6" t="str">
            <v>T1部件</v>
          </cell>
          <cell r="J6">
            <v>1</v>
          </cell>
          <cell r="K6">
            <v>0.17019828099736192</v>
          </cell>
        </row>
        <row r="7">
          <cell r="I7" t="str">
            <v>T1部件</v>
          </cell>
          <cell r="J7">
            <v>1</v>
          </cell>
          <cell r="K7">
            <v>0.17019828099736192</v>
          </cell>
        </row>
        <row r="8">
          <cell r="I8" t="str">
            <v>T1部件</v>
          </cell>
          <cell r="J8">
            <v>1</v>
          </cell>
          <cell r="K8">
            <v>0.17019828099736192</v>
          </cell>
        </row>
        <row r="9">
          <cell r="I9" t="str">
            <v>T1部件</v>
          </cell>
          <cell r="J9">
            <v>1</v>
          </cell>
          <cell r="K9">
            <v>0.17019828099736192</v>
          </cell>
        </row>
        <row r="10">
          <cell r="I10" t="str">
            <v>T1部件</v>
          </cell>
          <cell r="J10">
            <v>1</v>
          </cell>
          <cell r="K10">
            <v>0.17019828099736192</v>
          </cell>
        </row>
        <row r="11">
          <cell r="I11" t="str">
            <v>T1部件</v>
          </cell>
          <cell r="J11">
            <v>1</v>
          </cell>
          <cell r="K11">
            <v>0.17019828099736192</v>
          </cell>
        </row>
        <row r="12">
          <cell r="I12" t="str">
            <v>T1部件</v>
          </cell>
          <cell r="J12">
            <v>1</v>
          </cell>
          <cell r="K12">
            <v>0.17019828099736192</v>
          </cell>
        </row>
        <row r="13">
          <cell r="I13" t="str">
            <v>T1部件</v>
          </cell>
          <cell r="J13">
            <v>1</v>
          </cell>
          <cell r="K13">
            <v>0.17019828099736192</v>
          </cell>
        </row>
        <row r="14">
          <cell r="I14" t="str">
            <v>T1碎片</v>
          </cell>
          <cell r="J14">
            <v>2</v>
          </cell>
          <cell r="K14">
            <v>0.16666666666666666</v>
          </cell>
        </row>
        <row r="15">
          <cell r="I15" t="str">
            <v>T1碎片</v>
          </cell>
          <cell r="J15">
            <v>2</v>
          </cell>
          <cell r="K15">
            <v>0.16666666666666666</v>
          </cell>
        </row>
        <row r="16">
          <cell r="I16" t="str">
            <v>T1碎片</v>
          </cell>
          <cell r="J16">
            <v>2</v>
          </cell>
          <cell r="K16">
            <v>0.16666666666666666</v>
          </cell>
        </row>
        <row r="17">
          <cell r="I17" t="str">
            <v>T1部件</v>
          </cell>
          <cell r="J17">
            <v>2</v>
          </cell>
          <cell r="K17">
            <v>9.2592592592592587E-2</v>
          </cell>
        </row>
        <row r="18">
          <cell r="I18" t="str">
            <v>T1部件</v>
          </cell>
          <cell r="J18">
            <v>2</v>
          </cell>
          <cell r="K18">
            <v>9.2592592592592587E-2</v>
          </cell>
        </row>
        <row r="19">
          <cell r="I19" t="str">
            <v>T1部件</v>
          </cell>
          <cell r="J19">
            <v>2</v>
          </cell>
          <cell r="K19">
            <v>9.2592592592592587E-2</v>
          </cell>
        </row>
        <row r="20">
          <cell r="I20" t="str">
            <v>T1部件</v>
          </cell>
          <cell r="J20">
            <v>2</v>
          </cell>
          <cell r="K20">
            <v>9.2592592592592587E-2</v>
          </cell>
        </row>
        <row r="21">
          <cell r="I21" t="str">
            <v>T1部件</v>
          </cell>
          <cell r="J21">
            <v>2</v>
          </cell>
          <cell r="K21">
            <v>9.2592592592592587E-2</v>
          </cell>
        </row>
        <row r="22">
          <cell r="I22" t="str">
            <v>T1部件</v>
          </cell>
          <cell r="J22">
            <v>2</v>
          </cell>
          <cell r="K22">
            <v>9.2592592592592587E-2</v>
          </cell>
        </row>
        <row r="23">
          <cell r="I23" t="str">
            <v>T1部件</v>
          </cell>
          <cell r="J23">
            <v>2</v>
          </cell>
          <cell r="K23">
            <v>9.2592592592592587E-2</v>
          </cell>
        </row>
        <row r="24">
          <cell r="I24" t="str">
            <v>T1部件</v>
          </cell>
          <cell r="J24">
            <v>2</v>
          </cell>
          <cell r="K24">
            <v>9.2592592592592587E-2</v>
          </cell>
        </row>
        <row r="25">
          <cell r="I25" t="str">
            <v>T1部件</v>
          </cell>
          <cell r="J25">
            <v>2</v>
          </cell>
          <cell r="K25">
            <v>9.2592592592592587E-2</v>
          </cell>
        </row>
        <row r="26">
          <cell r="I26" t="str">
            <v>T1部件</v>
          </cell>
          <cell r="J26">
            <v>2</v>
          </cell>
          <cell r="K26">
            <v>9.2592592592592587E-2</v>
          </cell>
        </row>
        <row r="27">
          <cell r="I27" t="str">
            <v>T1部件</v>
          </cell>
          <cell r="J27">
            <v>2</v>
          </cell>
          <cell r="K27">
            <v>9.2592592592592587E-2</v>
          </cell>
        </row>
        <row r="28">
          <cell r="I28" t="str">
            <v>T1部件</v>
          </cell>
          <cell r="J28">
            <v>2</v>
          </cell>
          <cell r="K28">
            <v>9.2592592592592587E-2</v>
          </cell>
        </row>
        <row r="29">
          <cell r="I29" t="str">
            <v>T1部件</v>
          </cell>
          <cell r="J29">
            <v>2</v>
          </cell>
          <cell r="K29">
            <v>9.2592592592592587E-2</v>
          </cell>
        </row>
        <row r="30">
          <cell r="I30" t="str">
            <v>T1部件</v>
          </cell>
          <cell r="J30">
            <v>2</v>
          </cell>
          <cell r="K30">
            <v>9.2592592592592587E-2</v>
          </cell>
        </row>
        <row r="31">
          <cell r="I31" t="str">
            <v>T1部件</v>
          </cell>
          <cell r="J31">
            <v>2</v>
          </cell>
          <cell r="K31">
            <v>9.2592592592592587E-2</v>
          </cell>
        </row>
        <row r="32">
          <cell r="I32" t="str">
            <v>T1部件</v>
          </cell>
          <cell r="J32">
            <v>2</v>
          </cell>
          <cell r="K32">
            <v>9.2592592592592587E-2</v>
          </cell>
        </row>
        <row r="33">
          <cell r="I33" t="str">
            <v>T1部件</v>
          </cell>
          <cell r="J33">
            <v>2</v>
          </cell>
          <cell r="K33">
            <v>9.2592592592592587E-2</v>
          </cell>
        </row>
        <row r="34">
          <cell r="I34" t="str">
            <v>T1部件</v>
          </cell>
          <cell r="J34">
            <v>2</v>
          </cell>
          <cell r="K34">
            <v>9.2592592592592587E-2</v>
          </cell>
        </row>
        <row r="35">
          <cell r="I35" t="str">
            <v>T1碎片</v>
          </cell>
          <cell r="J35">
            <v>3</v>
          </cell>
          <cell r="K35">
            <v>0.146484375</v>
          </cell>
        </row>
        <row r="36">
          <cell r="I36" t="str">
            <v>T1碎片</v>
          </cell>
          <cell r="J36">
            <v>3</v>
          </cell>
          <cell r="K36">
            <v>0.146484375</v>
          </cell>
        </row>
        <row r="37">
          <cell r="I37" t="str">
            <v>T1碎片</v>
          </cell>
          <cell r="J37">
            <v>3</v>
          </cell>
          <cell r="K37">
            <v>0.146484375</v>
          </cell>
        </row>
        <row r="38">
          <cell r="I38" t="str">
            <v>T2碎片</v>
          </cell>
          <cell r="J38">
            <v>3</v>
          </cell>
          <cell r="K38">
            <v>8.837890625E-2</v>
          </cell>
        </row>
        <row r="39">
          <cell r="I39" t="str">
            <v>T2碎片</v>
          </cell>
          <cell r="J39">
            <v>3</v>
          </cell>
          <cell r="K39">
            <v>8.837890625E-2</v>
          </cell>
        </row>
        <row r="40">
          <cell r="I40" t="str">
            <v>T2碎片</v>
          </cell>
          <cell r="J40">
            <v>3</v>
          </cell>
          <cell r="K40">
            <v>8.837890625E-2</v>
          </cell>
        </row>
        <row r="41">
          <cell r="I41" t="str">
            <v>T2碎片</v>
          </cell>
          <cell r="J41">
            <v>3</v>
          </cell>
          <cell r="K41">
            <v>8.837890625E-2</v>
          </cell>
        </row>
        <row r="42">
          <cell r="I42" t="str">
            <v>T2碎片</v>
          </cell>
          <cell r="J42">
            <v>3</v>
          </cell>
          <cell r="K42">
            <v>8.837890625E-2</v>
          </cell>
        </row>
        <row r="43">
          <cell r="I43" t="str">
            <v>T2碎片</v>
          </cell>
          <cell r="J43">
            <v>3</v>
          </cell>
          <cell r="K43">
            <v>8.837890625E-2</v>
          </cell>
        </row>
        <row r="44">
          <cell r="I44" t="str">
            <v>T1部件</v>
          </cell>
          <cell r="J44">
            <v>3</v>
          </cell>
          <cell r="K44">
            <v>8.0078125E-2</v>
          </cell>
        </row>
        <row r="45">
          <cell r="I45" t="str">
            <v>T1部件</v>
          </cell>
          <cell r="J45">
            <v>3</v>
          </cell>
          <cell r="K45">
            <v>8.0078125E-2</v>
          </cell>
        </row>
        <row r="46">
          <cell r="I46" t="str">
            <v>T1部件</v>
          </cell>
          <cell r="J46">
            <v>3</v>
          </cell>
          <cell r="K46">
            <v>8.0078125E-2</v>
          </cell>
        </row>
        <row r="47">
          <cell r="I47" t="str">
            <v>T1部件</v>
          </cell>
          <cell r="J47">
            <v>3</v>
          </cell>
          <cell r="K47">
            <v>8.0078125E-2</v>
          </cell>
        </row>
        <row r="48">
          <cell r="I48" t="str">
            <v>T1部件</v>
          </cell>
          <cell r="J48">
            <v>3</v>
          </cell>
          <cell r="K48">
            <v>8.0078125E-2</v>
          </cell>
        </row>
        <row r="49">
          <cell r="I49" t="str">
            <v>T1部件</v>
          </cell>
          <cell r="J49">
            <v>3</v>
          </cell>
          <cell r="K49">
            <v>8.0078125E-2</v>
          </cell>
        </row>
        <row r="50">
          <cell r="I50" t="str">
            <v>T1部件</v>
          </cell>
          <cell r="J50">
            <v>3</v>
          </cell>
          <cell r="K50">
            <v>8.0078125E-2</v>
          </cell>
        </row>
        <row r="51">
          <cell r="I51" t="str">
            <v>T1部件</v>
          </cell>
          <cell r="J51">
            <v>3</v>
          </cell>
          <cell r="K51">
            <v>8.0078125E-2</v>
          </cell>
        </row>
        <row r="52">
          <cell r="I52" t="str">
            <v>T1部件</v>
          </cell>
          <cell r="J52">
            <v>3</v>
          </cell>
          <cell r="K52">
            <v>8.0078125E-2</v>
          </cell>
        </row>
        <row r="53">
          <cell r="I53" t="str">
            <v>T1部件</v>
          </cell>
          <cell r="J53">
            <v>3</v>
          </cell>
          <cell r="K53">
            <v>8.0078125E-2</v>
          </cell>
        </row>
        <row r="54">
          <cell r="I54" t="str">
            <v>T1部件</v>
          </cell>
          <cell r="J54">
            <v>3</v>
          </cell>
          <cell r="K54">
            <v>8.0078125E-2</v>
          </cell>
        </row>
        <row r="55">
          <cell r="I55" t="str">
            <v>T1部件</v>
          </cell>
          <cell r="J55">
            <v>3</v>
          </cell>
          <cell r="K55">
            <v>8.0078125E-2</v>
          </cell>
        </row>
        <row r="56">
          <cell r="I56" t="str">
            <v>T1部件</v>
          </cell>
          <cell r="J56">
            <v>3</v>
          </cell>
          <cell r="K56">
            <v>8.0078125E-2</v>
          </cell>
        </row>
        <row r="57">
          <cell r="I57" t="str">
            <v>T1部件</v>
          </cell>
          <cell r="J57">
            <v>3</v>
          </cell>
          <cell r="K57">
            <v>8.0078125E-2</v>
          </cell>
        </row>
        <row r="58">
          <cell r="I58" t="str">
            <v>T1部件</v>
          </cell>
          <cell r="J58">
            <v>3</v>
          </cell>
          <cell r="K58">
            <v>8.0078125E-2</v>
          </cell>
        </row>
        <row r="59">
          <cell r="I59" t="str">
            <v>T1部件</v>
          </cell>
          <cell r="J59">
            <v>3</v>
          </cell>
          <cell r="K59">
            <v>8.0078125E-2</v>
          </cell>
        </row>
        <row r="60">
          <cell r="I60" t="str">
            <v>T1部件</v>
          </cell>
          <cell r="J60">
            <v>3</v>
          </cell>
          <cell r="K60">
            <v>8.0078125E-2</v>
          </cell>
        </row>
        <row r="61">
          <cell r="I61" t="str">
            <v>T1部件</v>
          </cell>
          <cell r="J61">
            <v>3</v>
          </cell>
          <cell r="K61">
            <v>8.0078125E-2</v>
          </cell>
        </row>
        <row r="62">
          <cell r="I62" t="str">
            <v>T2部件</v>
          </cell>
          <cell r="J62">
            <v>3</v>
          </cell>
          <cell r="K62">
            <v>6.510416666666667E-3</v>
          </cell>
        </row>
        <row r="63">
          <cell r="I63" t="str">
            <v>T2部件</v>
          </cell>
          <cell r="J63">
            <v>3</v>
          </cell>
          <cell r="K63">
            <v>6.510416666666667E-3</v>
          </cell>
        </row>
        <row r="64">
          <cell r="I64" t="str">
            <v>T2部件</v>
          </cell>
          <cell r="J64">
            <v>3</v>
          </cell>
          <cell r="K64">
            <v>6.510416666666667E-3</v>
          </cell>
        </row>
        <row r="65">
          <cell r="I65" t="str">
            <v>T2部件</v>
          </cell>
          <cell r="J65">
            <v>3</v>
          </cell>
          <cell r="K65">
            <v>6.510416666666667E-3</v>
          </cell>
        </row>
        <row r="66">
          <cell r="I66" t="str">
            <v>T2部件</v>
          </cell>
          <cell r="J66">
            <v>3</v>
          </cell>
          <cell r="K66">
            <v>6.510416666666667E-3</v>
          </cell>
        </row>
        <row r="67">
          <cell r="I67" t="str">
            <v>T2部件</v>
          </cell>
          <cell r="J67">
            <v>3</v>
          </cell>
          <cell r="K67">
            <v>6.510416666666667E-3</v>
          </cell>
        </row>
        <row r="68">
          <cell r="I68" t="str">
            <v>T2部件</v>
          </cell>
          <cell r="J68">
            <v>3</v>
          </cell>
          <cell r="K68">
            <v>6.510416666666667E-3</v>
          </cell>
        </row>
        <row r="69">
          <cell r="I69" t="str">
            <v>T2部件</v>
          </cell>
          <cell r="J69">
            <v>3</v>
          </cell>
          <cell r="K69">
            <v>6.510416666666667E-3</v>
          </cell>
        </row>
        <row r="70">
          <cell r="I70" t="str">
            <v>T2部件</v>
          </cell>
          <cell r="J70">
            <v>3</v>
          </cell>
          <cell r="K70">
            <v>6.510416666666667E-3</v>
          </cell>
        </row>
        <row r="71">
          <cell r="I71" t="str">
            <v>T1碎片</v>
          </cell>
          <cell r="J71">
            <v>4</v>
          </cell>
          <cell r="K71">
            <v>0.16877637130801687</v>
          </cell>
        </row>
        <row r="72">
          <cell r="I72" t="str">
            <v>T1碎片</v>
          </cell>
          <cell r="J72">
            <v>4</v>
          </cell>
          <cell r="K72">
            <v>0.16877637130801687</v>
          </cell>
        </row>
        <row r="73">
          <cell r="I73" t="str">
            <v>T1碎片</v>
          </cell>
          <cell r="J73">
            <v>4</v>
          </cell>
          <cell r="K73">
            <v>0.16877637130801687</v>
          </cell>
        </row>
        <row r="74">
          <cell r="I74" t="str">
            <v>T2碎片</v>
          </cell>
          <cell r="J74">
            <v>4</v>
          </cell>
          <cell r="K74">
            <v>0.13924050632911392</v>
          </cell>
        </row>
        <row r="75">
          <cell r="I75" t="str">
            <v>T2碎片</v>
          </cell>
          <cell r="J75">
            <v>4</v>
          </cell>
          <cell r="K75">
            <v>0.13924050632911392</v>
          </cell>
        </row>
        <row r="76">
          <cell r="I76" t="str">
            <v>T2碎片</v>
          </cell>
          <cell r="J76">
            <v>4</v>
          </cell>
          <cell r="K76">
            <v>0.13924050632911392</v>
          </cell>
        </row>
        <row r="77">
          <cell r="I77" t="str">
            <v>T2碎片</v>
          </cell>
          <cell r="J77">
            <v>4</v>
          </cell>
          <cell r="K77">
            <v>0.13924050632911392</v>
          </cell>
        </row>
        <row r="78">
          <cell r="I78" t="str">
            <v>T2碎片</v>
          </cell>
          <cell r="J78">
            <v>4</v>
          </cell>
          <cell r="K78">
            <v>0.13924050632911392</v>
          </cell>
        </row>
        <row r="79">
          <cell r="I79" t="str">
            <v>T2碎片</v>
          </cell>
          <cell r="J79">
            <v>4</v>
          </cell>
          <cell r="K79">
            <v>0.13924050632911392</v>
          </cell>
        </row>
        <row r="80">
          <cell r="I80" t="str">
            <v>T1部件</v>
          </cell>
          <cell r="J80">
            <v>4</v>
          </cell>
          <cell r="K80">
            <v>4.2194092827004218E-2</v>
          </cell>
        </row>
        <row r="81">
          <cell r="I81" t="str">
            <v>T1部件</v>
          </cell>
          <cell r="J81">
            <v>4</v>
          </cell>
          <cell r="K81">
            <v>4.2194092827004218E-2</v>
          </cell>
        </row>
        <row r="82">
          <cell r="I82" t="str">
            <v>T1部件</v>
          </cell>
          <cell r="J82">
            <v>4</v>
          </cell>
          <cell r="K82">
            <v>4.2194092827004218E-2</v>
          </cell>
        </row>
        <row r="83">
          <cell r="I83" t="str">
            <v>T1部件</v>
          </cell>
          <cell r="J83">
            <v>4</v>
          </cell>
          <cell r="K83">
            <v>4.2194092827004218E-2</v>
          </cell>
        </row>
        <row r="84">
          <cell r="I84" t="str">
            <v>T1部件</v>
          </cell>
          <cell r="J84">
            <v>4</v>
          </cell>
          <cell r="K84">
            <v>4.2194092827004218E-2</v>
          </cell>
        </row>
        <row r="85">
          <cell r="I85" t="str">
            <v>T1部件</v>
          </cell>
          <cell r="J85">
            <v>4</v>
          </cell>
          <cell r="K85">
            <v>4.2194092827004218E-2</v>
          </cell>
        </row>
        <row r="86">
          <cell r="I86" t="str">
            <v>T1部件</v>
          </cell>
          <cell r="J86">
            <v>4</v>
          </cell>
          <cell r="K86">
            <v>4.2194092827004218E-2</v>
          </cell>
        </row>
        <row r="87">
          <cell r="I87" t="str">
            <v>T1部件</v>
          </cell>
          <cell r="J87">
            <v>4</v>
          </cell>
          <cell r="K87">
            <v>4.2194092827004218E-2</v>
          </cell>
        </row>
        <row r="88">
          <cell r="I88" t="str">
            <v>T1部件</v>
          </cell>
          <cell r="J88">
            <v>4</v>
          </cell>
          <cell r="K88">
            <v>4.2194092827004218E-2</v>
          </cell>
        </row>
        <row r="89">
          <cell r="I89" t="str">
            <v>T1部件</v>
          </cell>
          <cell r="J89">
            <v>4</v>
          </cell>
          <cell r="K89">
            <v>4.2194092827004218E-2</v>
          </cell>
        </row>
        <row r="90">
          <cell r="I90" t="str">
            <v>T1部件</v>
          </cell>
          <cell r="J90">
            <v>4</v>
          </cell>
          <cell r="K90">
            <v>4.2194092827004218E-2</v>
          </cell>
        </row>
        <row r="91">
          <cell r="I91" t="str">
            <v>T1部件</v>
          </cell>
          <cell r="J91">
            <v>4</v>
          </cell>
          <cell r="K91">
            <v>4.2194092827004218E-2</v>
          </cell>
        </row>
        <row r="92">
          <cell r="I92" t="str">
            <v>T1部件</v>
          </cell>
          <cell r="J92">
            <v>4</v>
          </cell>
          <cell r="K92">
            <v>4.2194092827004218E-2</v>
          </cell>
        </row>
        <row r="93">
          <cell r="I93" t="str">
            <v>T1部件</v>
          </cell>
          <cell r="J93">
            <v>4</v>
          </cell>
          <cell r="K93">
            <v>4.2194092827004218E-2</v>
          </cell>
        </row>
        <row r="94">
          <cell r="I94" t="str">
            <v>T1部件</v>
          </cell>
          <cell r="J94">
            <v>4</v>
          </cell>
          <cell r="K94">
            <v>4.2194092827004218E-2</v>
          </cell>
        </row>
        <row r="95">
          <cell r="I95" t="str">
            <v>T1部件</v>
          </cell>
          <cell r="J95">
            <v>4</v>
          </cell>
          <cell r="K95">
            <v>4.2194092827004218E-2</v>
          </cell>
        </row>
        <row r="96">
          <cell r="I96" t="str">
            <v>T1部件</v>
          </cell>
          <cell r="J96">
            <v>4</v>
          </cell>
          <cell r="K96">
            <v>4.2194092827004218E-2</v>
          </cell>
        </row>
        <row r="97">
          <cell r="I97" t="str">
            <v>T1部件</v>
          </cell>
          <cell r="J97">
            <v>4</v>
          </cell>
          <cell r="K97">
            <v>4.2194092827004218E-2</v>
          </cell>
        </row>
        <row r="98">
          <cell r="I98" t="str">
            <v>T2部件</v>
          </cell>
          <cell r="J98">
            <v>4</v>
          </cell>
          <cell r="K98">
            <v>1.5189873417721518E-2</v>
          </cell>
        </row>
        <row r="99">
          <cell r="I99" t="str">
            <v>T2部件</v>
          </cell>
          <cell r="J99">
            <v>4</v>
          </cell>
          <cell r="K99">
            <v>1.5189873417721518E-2</v>
          </cell>
        </row>
        <row r="100">
          <cell r="I100" t="str">
            <v>T2部件</v>
          </cell>
          <cell r="J100">
            <v>4</v>
          </cell>
          <cell r="K100">
            <v>1.5189873417721518E-2</v>
          </cell>
        </row>
        <row r="101">
          <cell r="I101" t="str">
            <v>T2部件</v>
          </cell>
          <cell r="J101">
            <v>4</v>
          </cell>
          <cell r="K101">
            <v>1.5189873417721518E-2</v>
          </cell>
        </row>
        <row r="102">
          <cell r="I102" t="str">
            <v>T2部件</v>
          </cell>
          <cell r="J102">
            <v>4</v>
          </cell>
          <cell r="K102">
            <v>1.5189873417721518E-2</v>
          </cell>
        </row>
        <row r="103">
          <cell r="I103" t="str">
            <v>T2部件</v>
          </cell>
          <cell r="J103">
            <v>4</v>
          </cell>
          <cell r="K103">
            <v>1.5189873417721518E-2</v>
          </cell>
        </row>
        <row r="104">
          <cell r="I104" t="str">
            <v>T2部件</v>
          </cell>
          <cell r="J104">
            <v>4</v>
          </cell>
          <cell r="K104">
            <v>1.5189873417721518E-2</v>
          </cell>
        </row>
        <row r="105">
          <cell r="I105" t="str">
            <v>T2部件</v>
          </cell>
          <cell r="J105">
            <v>4</v>
          </cell>
          <cell r="K105">
            <v>1.5189873417721518E-2</v>
          </cell>
        </row>
        <row r="106">
          <cell r="I106" t="str">
            <v>T2部件</v>
          </cell>
          <cell r="J106">
            <v>4</v>
          </cell>
          <cell r="K106">
            <v>1.5189873417721518E-2</v>
          </cell>
        </row>
        <row r="107">
          <cell r="I107" t="str">
            <v>T2部件</v>
          </cell>
          <cell r="J107">
            <v>4</v>
          </cell>
          <cell r="K107">
            <v>1.5189873417721518E-2</v>
          </cell>
        </row>
        <row r="108">
          <cell r="I108" t="str">
            <v>T2部件</v>
          </cell>
          <cell r="J108">
            <v>4</v>
          </cell>
          <cell r="K108">
            <v>1.5189873417721518E-2</v>
          </cell>
        </row>
        <row r="109">
          <cell r="I109" t="str">
            <v>T2部件</v>
          </cell>
          <cell r="J109">
            <v>4</v>
          </cell>
          <cell r="K109">
            <v>1.5189873417721518E-2</v>
          </cell>
        </row>
        <row r="110">
          <cell r="I110" t="str">
            <v>T2部件</v>
          </cell>
          <cell r="J110">
            <v>4</v>
          </cell>
          <cell r="K110">
            <v>1.5189873417721518E-2</v>
          </cell>
        </row>
        <row r="111">
          <cell r="I111" t="str">
            <v>T2部件</v>
          </cell>
          <cell r="J111">
            <v>4</v>
          </cell>
          <cell r="K111">
            <v>1.5189873417721518E-2</v>
          </cell>
        </row>
        <row r="112">
          <cell r="I112" t="str">
            <v>T2部件</v>
          </cell>
          <cell r="J112">
            <v>4</v>
          </cell>
          <cell r="K112">
            <v>1.5189873417721518E-2</v>
          </cell>
        </row>
        <row r="113">
          <cell r="I113" t="str">
            <v>T2部件</v>
          </cell>
          <cell r="J113">
            <v>4</v>
          </cell>
          <cell r="K113">
            <v>1.5189873417721518E-2</v>
          </cell>
        </row>
        <row r="114">
          <cell r="I114" t="str">
            <v>T2部件</v>
          </cell>
          <cell r="J114">
            <v>4</v>
          </cell>
          <cell r="K114">
            <v>1.5189873417721518E-2</v>
          </cell>
        </row>
        <row r="115">
          <cell r="I115" t="str">
            <v>T2部件</v>
          </cell>
          <cell r="J115">
            <v>4</v>
          </cell>
          <cell r="K115">
            <v>2.0253164556962026E-2</v>
          </cell>
        </row>
        <row r="116">
          <cell r="I116" t="str">
            <v>T1碎片</v>
          </cell>
          <cell r="J116">
            <v>5</v>
          </cell>
          <cell r="K116">
            <v>0.14930944382232175</v>
          </cell>
        </row>
        <row r="117">
          <cell r="I117" t="str">
            <v>T1碎片</v>
          </cell>
          <cell r="J117">
            <v>5</v>
          </cell>
          <cell r="K117">
            <v>0.14930944382232175</v>
          </cell>
        </row>
        <row r="118">
          <cell r="I118" t="str">
            <v>T1碎片</v>
          </cell>
          <cell r="J118">
            <v>5</v>
          </cell>
          <cell r="K118">
            <v>0.14930944382232175</v>
          </cell>
        </row>
        <row r="119">
          <cell r="I119" t="str">
            <v>T2碎片</v>
          </cell>
          <cell r="J119">
            <v>5</v>
          </cell>
          <cell r="K119">
            <v>0.14930944382232175</v>
          </cell>
        </row>
        <row r="120">
          <cell r="I120" t="str">
            <v>T2碎片</v>
          </cell>
          <cell r="J120">
            <v>5</v>
          </cell>
          <cell r="K120">
            <v>0.14930944382232175</v>
          </cell>
        </row>
        <row r="121">
          <cell r="I121" t="str">
            <v>T2碎片</v>
          </cell>
          <cell r="J121">
            <v>5</v>
          </cell>
          <cell r="K121">
            <v>0.14930944382232175</v>
          </cell>
        </row>
        <row r="122">
          <cell r="I122" t="str">
            <v>T3碎片</v>
          </cell>
          <cell r="J122">
            <v>5</v>
          </cell>
          <cell r="K122">
            <v>0.11198208286674133</v>
          </cell>
        </row>
        <row r="123">
          <cell r="I123" t="str">
            <v>T3碎片</v>
          </cell>
          <cell r="J123">
            <v>5</v>
          </cell>
          <cell r="K123">
            <v>0.11198208286674133</v>
          </cell>
        </row>
        <row r="124">
          <cell r="I124" t="str">
            <v>T3碎片</v>
          </cell>
          <cell r="J124">
            <v>5</v>
          </cell>
          <cell r="K124">
            <v>0.11198208286674133</v>
          </cell>
        </row>
        <row r="125">
          <cell r="I125" t="str">
            <v>T3碎片</v>
          </cell>
          <cell r="J125">
            <v>5</v>
          </cell>
          <cell r="K125">
            <v>6.121687196715192E-2</v>
          </cell>
        </row>
        <row r="126">
          <cell r="I126" t="str">
            <v>T3碎片</v>
          </cell>
          <cell r="J126">
            <v>5</v>
          </cell>
          <cell r="K126">
            <v>6.121687196715192E-2</v>
          </cell>
        </row>
        <row r="127">
          <cell r="I127" t="str">
            <v>T3碎片</v>
          </cell>
          <cell r="J127">
            <v>5</v>
          </cell>
          <cell r="K127">
            <v>6.121687196715192E-2</v>
          </cell>
        </row>
        <row r="128">
          <cell r="I128" t="str">
            <v>T1部件</v>
          </cell>
          <cell r="J128">
            <v>5</v>
          </cell>
          <cell r="K128">
            <v>5.5991041433370657E-2</v>
          </cell>
        </row>
        <row r="129">
          <cell r="I129" t="str">
            <v>T1部件</v>
          </cell>
          <cell r="J129">
            <v>5</v>
          </cell>
          <cell r="K129">
            <v>5.5991041433370657E-2</v>
          </cell>
        </row>
        <row r="130">
          <cell r="I130" t="str">
            <v>T1部件</v>
          </cell>
          <cell r="J130">
            <v>5</v>
          </cell>
          <cell r="K130">
            <v>5.5991041433370657E-2</v>
          </cell>
        </row>
        <row r="131">
          <cell r="I131" t="str">
            <v>T1部件</v>
          </cell>
          <cell r="J131">
            <v>5</v>
          </cell>
          <cell r="K131">
            <v>5.5991041433370657E-2</v>
          </cell>
        </row>
        <row r="132">
          <cell r="I132" t="str">
            <v>T1部件</v>
          </cell>
          <cell r="J132">
            <v>5</v>
          </cell>
          <cell r="K132">
            <v>5.5991041433370657E-2</v>
          </cell>
        </row>
        <row r="133">
          <cell r="I133" t="str">
            <v>T1部件</v>
          </cell>
          <cell r="J133">
            <v>5</v>
          </cell>
          <cell r="K133">
            <v>5.5991041433370657E-2</v>
          </cell>
        </row>
        <row r="134">
          <cell r="I134" t="str">
            <v>T1部件</v>
          </cell>
          <cell r="J134">
            <v>5</v>
          </cell>
          <cell r="K134">
            <v>5.5991041433370657E-2</v>
          </cell>
        </row>
        <row r="135">
          <cell r="I135" t="str">
            <v>T1部件</v>
          </cell>
          <cell r="J135">
            <v>5</v>
          </cell>
          <cell r="K135">
            <v>5.5991041433370657E-2</v>
          </cell>
        </row>
        <row r="136">
          <cell r="I136" t="str">
            <v>T1部件</v>
          </cell>
          <cell r="J136">
            <v>5</v>
          </cell>
          <cell r="K136">
            <v>5.5991041433370657E-2</v>
          </cell>
        </row>
        <row r="137">
          <cell r="I137" t="str">
            <v>T1部件</v>
          </cell>
          <cell r="J137">
            <v>5</v>
          </cell>
          <cell r="K137">
            <v>5.5991041433370657E-2</v>
          </cell>
        </row>
        <row r="138">
          <cell r="I138" t="str">
            <v>T1部件</v>
          </cell>
          <cell r="J138">
            <v>5</v>
          </cell>
          <cell r="K138">
            <v>5.5991041433370657E-2</v>
          </cell>
        </row>
        <row r="139">
          <cell r="I139" t="str">
            <v>T1部件</v>
          </cell>
          <cell r="J139">
            <v>5</v>
          </cell>
          <cell r="K139">
            <v>5.5991041433370657E-2</v>
          </cell>
        </row>
        <row r="140">
          <cell r="I140" t="str">
            <v>T1部件</v>
          </cell>
          <cell r="J140">
            <v>5</v>
          </cell>
          <cell r="K140">
            <v>5.5991041433370657E-2</v>
          </cell>
        </row>
        <row r="141">
          <cell r="I141" t="str">
            <v>T1部件</v>
          </cell>
          <cell r="J141">
            <v>5</v>
          </cell>
          <cell r="K141">
            <v>5.5991041433370657E-2</v>
          </cell>
        </row>
        <row r="142">
          <cell r="I142" t="str">
            <v>T1部件</v>
          </cell>
          <cell r="J142">
            <v>5</v>
          </cell>
          <cell r="K142">
            <v>5.5991041433370657E-2</v>
          </cell>
        </row>
        <row r="143">
          <cell r="I143" t="str">
            <v>T1部件</v>
          </cell>
          <cell r="J143">
            <v>5</v>
          </cell>
          <cell r="K143">
            <v>5.5991041433370657E-2</v>
          </cell>
        </row>
        <row r="144">
          <cell r="I144" t="str">
            <v>T1部件</v>
          </cell>
          <cell r="J144">
            <v>5</v>
          </cell>
          <cell r="K144">
            <v>5.5991041433370657E-2</v>
          </cell>
        </row>
        <row r="145">
          <cell r="I145" t="str">
            <v>T1部件</v>
          </cell>
          <cell r="J145">
            <v>5</v>
          </cell>
          <cell r="K145">
            <v>5.5991041433370657E-2</v>
          </cell>
        </row>
        <row r="146">
          <cell r="I146" t="str">
            <v>T2部件</v>
          </cell>
          <cell r="J146">
            <v>5</v>
          </cell>
          <cell r="K146">
            <v>1.3811123553564763E-2</v>
          </cell>
        </row>
        <row r="147">
          <cell r="I147" t="str">
            <v>T2部件</v>
          </cell>
          <cell r="J147">
            <v>5</v>
          </cell>
          <cell r="K147">
            <v>1.3811123553564763E-2</v>
          </cell>
        </row>
        <row r="148">
          <cell r="I148" t="str">
            <v>T2部件</v>
          </cell>
          <cell r="J148">
            <v>5</v>
          </cell>
          <cell r="K148">
            <v>1.3811123553564763E-2</v>
          </cell>
        </row>
        <row r="149">
          <cell r="I149" t="str">
            <v>T2部件</v>
          </cell>
          <cell r="J149">
            <v>5</v>
          </cell>
          <cell r="K149">
            <v>1.3811123553564763E-2</v>
          </cell>
        </row>
        <row r="150">
          <cell r="I150" t="str">
            <v>T2部件</v>
          </cell>
          <cell r="J150">
            <v>5</v>
          </cell>
          <cell r="K150">
            <v>1.3811123553564763E-2</v>
          </cell>
        </row>
        <row r="151">
          <cell r="I151" t="str">
            <v>T2部件</v>
          </cell>
          <cell r="J151">
            <v>5</v>
          </cell>
          <cell r="K151">
            <v>1.3811123553564763E-2</v>
          </cell>
        </row>
        <row r="152">
          <cell r="I152" t="str">
            <v>T2部件</v>
          </cell>
          <cell r="J152">
            <v>5</v>
          </cell>
          <cell r="K152">
            <v>1.3811123553564763E-2</v>
          </cell>
        </row>
        <row r="153">
          <cell r="I153" t="str">
            <v>T2部件</v>
          </cell>
          <cell r="J153">
            <v>5</v>
          </cell>
          <cell r="K153">
            <v>1.3811123553564763E-2</v>
          </cell>
        </row>
        <row r="154">
          <cell r="I154" t="str">
            <v>T2部件</v>
          </cell>
          <cell r="J154">
            <v>5</v>
          </cell>
          <cell r="K154">
            <v>1.3811123553564763E-2</v>
          </cell>
        </row>
        <row r="155">
          <cell r="I155" t="str">
            <v>T2部件</v>
          </cell>
          <cell r="J155">
            <v>5</v>
          </cell>
          <cell r="K155">
            <v>1.3811123553564763E-2</v>
          </cell>
        </row>
        <row r="156">
          <cell r="I156" t="str">
            <v>T2部件</v>
          </cell>
          <cell r="J156">
            <v>5</v>
          </cell>
          <cell r="K156">
            <v>1.3811123553564763E-2</v>
          </cell>
        </row>
        <row r="157">
          <cell r="I157" t="str">
            <v>T2部件</v>
          </cell>
          <cell r="J157">
            <v>5</v>
          </cell>
          <cell r="K157">
            <v>1.3811123553564763E-2</v>
          </cell>
        </row>
        <row r="158">
          <cell r="I158" t="str">
            <v>T2部件</v>
          </cell>
          <cell r="J158">
            <v>5</v>
          </cell>
          <cell r="K158">
            <v>1.3811123553564763E-2</v>
          </cell>
        </row>
        <row r="159">
          <cell r="I159" t="str">
            <v>T2部件</v>
          </cell>
          <cell r="J159">
            <v>5</v>
          </cell>
          <cell r="K159">
            <v>1.3811123553564763E-2</v>
          </cell>
        </row>
        <row r="160">
          <cell r="I160" t="str">
            <v>T2部件</v>
          </cell>
          <cell r="J160">
            <v>5</v>
          </cell>
          <cell r="K160">
            <v>1.3811123553564763E-2</v>
          </cell>
        </row>
        <row r="161">
          <cell r="I161" t="str">
            <v>T2部件</v>
          </cell>
          <cell r="J161">
            <v>5</v>
          </cell>
          <cell r="K161">
            <v>1.3811123553564763E-2</v>
          </cell>
        </row>
        <row r="162">
          <cell r="I162" t="str">
            <v>T2部件</v>
          </cell>
          <cell r="J162">
            <v>5</v>
          </cell>
          <cell r="K162">
            <v>1.3811123553564763E-2</v>
          </cell>
        </row>
        <row r="163">
          <cell r="I163" t="str">
            <v>T2部件</v>
          </cell>
          <cell r="J163">
            <v>5</v>
          </cell>
          <cell r="K163">
            <v>1.3811123553564763E-2</v>
          </cell>
        </row>
        <row r="164">
          <cell r="I164" t="str">
            <v>T1碎片</v>
          </cell>
          <cell r="J164">
            <v>6</v>
          </cell>
          <cell r="K164">
            <v>0.14306151645207441</v>
          </cell>
        </row>
        <row r="165">
          <cell r="I165" t="str">
            <v>T1碎片</v>
          </cell>
          <cell r="J165">
            <v>6</v>
          </cell>
          <cell r="K165">
            <v>0.14306151645207441</v>
          </cell>
        </row>
        <row r="166">
          <cell r="I166" t="str">
            <v>T1碎片</v>
          </cell>
          <cell r="J166">
            <v>6</v>
          </cell>
          <cell r="K166">
            <v>0.14306151645207441</v>
          </cell>
        </row>
        <row r="167">
          <cell r="I167" t="str">
            <v>T2碎片</v>
          </cell>
          <cell r="J167">
            <v>6</v>
          </cell>
          <cell r="K167">
            <v>0.11963519313304721</v>
          </cell>
        </row>
        <row r="168">
          <cell r="I168" t="str">
            <v>T2碎片</v>
          </cell>
          <cell r="J168">
            <v>6</v>
          </cell>
          <cell r="K168">
            <v>0.11963519313304721</v>
          </cell>
        </row>
        <row r="169">
          <cell r="I169" t="str">
            <v>T2碎片</v>
          </cell>
          <cell r="J169">
            <v>6</v>
          </cell>
          <cell r="K169">
            <v>0.11963519313304721</v>
          </cell>
        </row>
        <row r="170">
          <cell r="I170" t="str">
            <v>T3碎片</v>
          </cell>
          <cell r="J170">
            <v>6</v>
          </cell>
          <cell r="K170">
            <v>0.12696709585121602</v>
          </cell>
        </row>
        <row r="171">
          <cell r="I171" t="str">
            <v>T3碎片</v>
          </cell>
          <cell r="J171">
            <v>6</v>
          </cell>
          <cell r="K171">
            <v>0.12696709585121602</v>
          </cell>
        </row>
        <row r="172">
          <cell r="I172" t="str">
            <v>T3碎片</v>
          </cell>
          <cell r="J172">
            <v>6</v>
          </cell>
          <cell r="K172">
            <v>0.12696709585121602</v>
          </cell>
        </row>
        <row r="173">
          <cell r="I173" t="str">
            <v>T3碎片</v>
          </cell>
          <cell r="J173">
            <v>6</v>
          </cell>
          <cell r="K173">
            <v>0.12696709585121602</v>
          </cell>
        </row>
        <row r="174">
          <cell r="I174" t="str">
            <v>T3碎片</v>
          </cell>
          <cell r="J174">
            <v>6</v>
          </cell>
          <cell r="K174">
            <v>0.12696709585121602</v>
          </cell>
        </row>
        <row r="175">
          <cell r="I175" t="str">
            <v>T3碎片</v>
          </cell>
          <cell r="J175">
            <v>6</v>
          </cell>
          <cell r="K175">
            <v>0.12696709585121602</v>
          </cell>
        </row>
        <row r="176">
          <cell r="I176" t="str">
            <v>T1部件</v>
          </cell>
          <cell r="J176">
            <v>6</v>
          </cell>
          <cell r="K176">
            <v>5.3648068669527899E-2</v>
          </cell>
        </row>
        <row r="177">
          <cell r="I177" t="str">
            <v>T1部件</v>
          </cell>
          <cell r="J177">
            <v>6</v>
          </cell>
          <cell r="K177">
            <v>5.3648068669527899E-2</v>
          </cell>
        </row>
        <row r="178">
          <cell r="I178" t="str">
            <v>T1部件</v>
          </cell>
          <cell r="J178">
            <v>6</v>
          </cell>
          <cell r="K178">
            <v>5.3648068669527899E-2</v>
          </cell>
        </row>
        <row r="179">
          <cell r="I179" t="str">
            <v>T1部件</v>
          </cell>
          <cell r="J179">
            <v>6</v>
          </cell>
          <cell r="K179">
            <v>5.3648068669527899E-2</v>
          </cell>
        </row>
        <row r="180">
          <cell r="I180" t="str">
            <v>T1部件</v>
          </cell>
          <cell r="J180">
            <v>6</v>
          </cell>
          <cell r="K180">
            <v>5.3648068669527899E-2</v>
          </cell>
        </row>
        <row r="181">
          <cell r="I181" t="str">
            <v>T1部件</v>
          </cell>
          <cell r="J181">
            <v>6</v>
          </cell>
          <cell r="K181">
            <v>5.3648068669527899E-2</v>
          </cell>
        </row>
        <row r="182">
          <cell r="I182" t="str">
            <v>T1部件</v>
          </cell>
          <cell r="J182">
            <v>6</v>
          </cell>
          <cell r="K182">
            <v>5.3648068669527899E-2</v>
          </cell>
        </row>
        <row r="183">
          <cell r="I183" t="str">
            <v>T1部件</v>
          </cell>
          <cell r="J183">
            <v>6</v>
          </cell>
          <cell r="K183">
            <v>5.3648068669527899E-2</v>
          </cell>
        </row>
        <row r="184">
          <cell r="I184" t="str">
            <v>T1部件</v>
          </cell>
          <cell r="J184">
            <v>6</v>
          </cell>
          <cell r="K184">
            <v>5.3648068669527899E-2</v>
          </cell>
        </row>
        <row r="185">
          <cell r="I185" t="str">
            <v>T1部件</v>
          </cell>
          <cell r="J185">
            <v>6</v>
          </cell>
          <cell r="K185">
            <v>5.3648068669527899E-2</v>
          </cell>
        </row>
        <row r="186">
          <cell r="I186" t="str">
            <v>T1部件</v>
          </cell>
          <cell r="J186">
            <v>6</v>
          </cell>
          <cell r="K186">
            <v>5.3648068669527899E-2</v>
          </cell>
        </row>
        <row r="187">
          <cell r="I187" t="str">
            <v>T1部件</v>
          </cell>
          <cell r="J187">
            <v>6</v>
          </cell>
          <cell r="K187">
            <v>5.3648068669527899E-2</v>
          </cell>
        </row>
        <row r="188">
          <cell r="I188" t="str">
            <v>T1部件</v>
          </cell>
          <cell r="J188">
            <v>6</v>
          </cell>
          <cell r="K188">
            <v>5.3648068669527899E-2</v>
          </cell>
        </row>
        <row r="189">
          <cell r="I189" t="str">
            <v>T1部件</v>
          </cell>
          <cell r="J189">
            <v>6</v>
          </cell>
          <cell r="K189">
            <v>5.3648068669527899E-2</v>
          </cell>
        </row>
        <row r="190">
          <cell r="I190" t="str">
            <v>T1部件</v>
          </cell>
          <cell r="J190">
            <v>6</v>
          </cell>
          <cell r="K190">
            <v>5.3648068669527899E-2</v>
          </cell>
        </row>
        <row r="191">
          <cell r="I191" t="str">
            <v>T1部件</v>
          </cell>
          <cell r="J191">
            <v>6</v>
          </cell>
          <cell r="K191">
            <v>5.3648068669527899E-2</v>
          </cell>
        </row>
        <row r="192">
          <cell r="I192" t="str">
            <v>T1部件</v>
          </cell>
          <cell r="J192">
            <v>6</v>
          </cell>
          <cell r="K192">
            <v>5.3648068669527899E-2</v>
          </cell>
        </row>
        <row r="193">
          <cell r="I193" t="str">
            <v>T1部件</v>
          </cell>
          <cell r="J193">
            <v>6</v>
          </cell>
          <cell r="K193">
            <v>5.3648068669527899E-2</v>
          </cell>
        </row>
        <row r="194">
          <cell r="I194" t="str">
            <v>T2部件</v>
          </cell>
          <cell r="J194">
            <v>6</v>
          </cell>
          <cell r="K194">
            <v>1.1087267525035766E-2</v>
          </cell>
        </row>
        <row r="195">
          <cell r="I195" t="str">
            <v>T2部件</v>
          </cell>
          <cell r="J195">
            <v>6</v>
          </cell>
          <cell r="K195">
            <v>1.1087267525035766E-2</v>
          </cell>
        </row>
        <row r="196">
          <cell r="I196" t="str">
            <v>T2部件</v>
          </cell>
          <cell r="J196">
            <v>6</v>
          </cell>
          <cell r="K196">
            <v>1.1087267525035766E-2</v>
          </cell>
        </row>
        <row r="197">
          <cell r="I197" t="str">
            <v>T2部件</v>
          </cell>
          <cell r="J197">
            <v>6</v>
          </cell>
          <cell r="K197">
            <v>1.1087267525035766E-2</v>
          </cell>
        </row>
        <row r="198">
          <cell r="I198" t="str">
            <v>T2部件</v>
          </cell>
          <cell r="J198">
            <v>6</v>
          </cell>
          <cell r="K198">
            <v>1.1087267525035766E-2</v>
          </cell>
        </row>
        <row r="199">
          <cell r="I199" t="str">
            <v>T2部件</v>
          </cell>
          <cell r="J199">
            <v>6</v>
          </cell>
          <cell r="K199">
            <v>1.1087267525035766E-2</v>
          </cell>
        </row>
        <row r="200">
          <cell r="I200" t="str">
            <v>T2部件</v>
          </cell>
          <cell r="J200">
            <v>6</v>
          </cell>
          <cell r="K200">
            <v>1.1087267525035766E-2</v>
          </cell>
        </row>
        <row r="201">
          <cell r="I201" t="str">
            <v>T2部件</v>
          </cell>
          <cell r="J201">
            <v>6</v>
          </cell>
          <cell r="K201">
            <v>1.1087267525035766E-2</v>
          </cell>
        </row>
        <row r="202">
          <cell r="I202" t="str">
            <v>T2部件</v>
          </cell>
          <cell r="J202">
            <v>6</v>
          </cell>
          <cell r="K202">
            <v>1.1087267525035766E-2</v>
          </cell>
        </row>
        <row r="203">
          <cell r="I203" t="str">
            <v>T2部件</v>
          </cell>
          <cell r="J203">
            <v>6</v>
          </cell>
          <cell r="K203">
            <v>1.1087267525035766E-2</v>
          </cell>
        </row>
        <row r="204">
          <cell r="I204" t="str">
            <v>T2部件</v>
          </cell>
          <cell r="J204">
            <v>6</v>
          </cell>
          <cell r="K204">
            <v>1.1087267525035766E-2</v>
          </cell>
        </row>
        <row r="205">
          <cell r="I205" t="str">
            <v>T2部件</v>
          </cell>
          <cell r="J205">
            <v>6</v>
          </cell>
          <cell r="K205">
            <v>1.1087267525035766E-2</v>
          </cell>
        </row>
        <row r="206">
          <cell r="I206" t="str">
            <v>T2部件</v>
          </cell>
          <cell r="J206">
            <v>6</v>
          </cell>
          <cell r="K206">
            <v>1.1087267525035766E-2</v>
          </cell>
        </row>
        <row r="207">
          <cell r="I207" t="str">
            <v>T2部件</v>
          </cell>
          <cell r="J207">
            <v>6</v>
          </cell>
          <cell r="K207">
            <v>1.1087267525035766E-2</v>
          </cell>
        </row>
        <row r="208">
          <cell r="I208" t="str">
            <v>T2部件</v>
          </cell>
          <cell r="J208">
            <v>6</v>
          </cell>
          <cell r="K208">
            <v>1.1087267525035766E-2</v>
          </cell>
        </row>
        <row r="209">
          <cell r="I209" t="str">
            <v>T2部件</v>
          </cell>
          <cell r="J209">
            <v>6</v>
          </cell>
          <cell r="K209">
            <v>1.1087267525035766E-2</v>
          </cell>
        </row>
        <row r="210">
          <cell r="I210" t="str">
            <v>T2部件</v>
          </cell>
          <cell r="J210">
            <v>6</v>
          </cell>
          <cell r="K210">
            <v>1.1087267525035766E-2</v>
          </cell>
        </row>
        <row r="211">
          <cell r="I211" t="str">
            <v>T2部件</v>
          </cell>
          <cell r="J211">
            <v>6</v>
          </cell>
          <cell r="K211">
            <v>1.1087267525035766E-2</v>
          </cell>
        </row>
        <row r="212">
          <cell r="I212" t="str">
            <v>T3部件</v>
          </cell>
          <cell r="J212">
            <v>6</v>
          </cell>
          <cell r="K212">
            <v>5.3648068669527897E-3</v>
          </cell>
        </row>
        <row r="213">
          <cell r="I213" t="str">
            <v>T3部件</v>
          </cell>
          <cell r="J213">
            <v>6</v>
          </cell>
          <cell r="K213">
            <v>5.3648068669527897E-3</v>
          </cell>
        </row>
        <row r="214">
          <cell r="I214" t="str">
            <v>T3部件</v>
          </cell>
          <cell r="J214">
            <v>6</v>
          </cell>
          <cell r="K214">
            <v>5.3648068669527897E-3</v>
          </cell>
        </row>
        <row r="215">
          <cell r="I215" t="str">
            <v>T3部件</v>
          </cell>
          <cell r="J215">
            <v>6</v>
          </cell>
          <cell r="K215">
            <v>5.3648068669527897E-3</v>
          </cell>
        </row>
        <row r="216">
          <cell r="I216" t="str">
            <v>T3部件</v>
          </cell>
          <cell r="J216">
            <v>6</v>
          </cell>
          <cell r="K216">
            <v>5.3648068669527897E-3</v>
          </cell>
        </row>
        <row r="217">
          <cell r="I217" t="str">
            <v>T3部件</v>
          </cell>
          <cell r="J217">
            <v>6</v>
          </cell>
          <cell r="K217">
            <v>5.3648068669527897E-3</v>
          </cell>
        </row>
        <row r="218">
          <cell r="I218" t="str">
            <v>T3部件</v>
          </cell>
          <cell r="J218">
            <v>6</v>
          </cell>
          <cell r="K218">
            <v>5.3648068669527897E-3</v>
          </cell>
        </row>
        <row r="219">
          <cell r="I219" t="str">
            <v>T3部件</v>
          </cell>
          <cell r="J219">
            <v>6</v>
          </cell>
          <cell r="K219">
            <v>5.3648068669527897E-3</v>
          </cell>
        </row>
        <row r="220">
          <cell r="I220" t="str">
            <v>T3部件</v>
          </cell>
          <cell r="J220">
            <v>6</v>
          </cell>
          <cell r="K220">
            <v>5.3648068669527897E-3</v>
          </cell>
        </row>
        <row r="221">
          <cell r="I221" t="str">
            <v>T1碎片</v>
          </cell>
          <cell r="J221">
            <v>7</v>
          </cell>
          <cell r="K221">
            <v>0.14545454545454545</v>
          </cell>
        </row>
        <row r="222">
          <cell r="I222" t="str">
            <v>T1碎片</v>
          </cell>
          <cell r="J222">
            <v>7</v>
          </cell>
          <cell r="K222">
            <v>0.14545454545454545</v>
          </cell>
        </row>
        <row r="223">
          <cell r="I223" t="str">
            <v>T1碎片</v>
          </cell>
          <cell r="J223">
            <v>7</v>
          </cell>
          <cell r="K223">
            <v>0.14545454545454545</v>
          </cell>
        </row>
        <row r="224">
          <cell r="I224" t="str">
            <v>T2碎片</v>
          </cell>
          <cell r="J224">
            <v>7</v>
          </cell>
          <cell r="K224">
            <v>6.6666666666666666E-2</v>
          </cell>
        </row>
        <row r="225">
          <cell r="I225" t="str">
            <v>T2碎片</v>
          </cell>
          <cell r="J225">
            <v>7</v>
          </cell>
          <cell r="K225">
            <v>6.6666666666666666E-2</v>
          </cell>
        </row>
        <row r="226">
          <cell r="I226" t="str">
            <v>T2碎片</v>
          </cell>
          <cell r="J226">
            <v>7</v>
          </cell>
          <cell r="K226">
            <v>6.6666666666666666E-2</v>
          </cell>
        </row>
        <row r="227">
          <cell r="I227" t="str">
            <v>T3碎片</v>
          </cell>
          <cell r="J227">
            <v>7</v>
          </cell>
          <cell r="K227">
            <v>0.22136363636363637</v>
          </cell>
        </row>
        <row r="228">
          <cell r="I228" t="str">
            <v>T3碎片</v>
          </cell>
          <cell r="J228">
            <v>7</v>
          </cell>
          <cell r="K228">
            <v>0.22136363636363637</v>
          </cell>
        </row>
        <row r="229">
          <cell r="I229" t="str">
            <v>T3碎片</v>
          </cell>
          <cell r="J229">
            <v>7</v>
          </cell>
          <cell r="K229">
            <v>0.22136363636363637</v>
          </cell>
        </row>
        <row r="230">
          <cell r="I230" t="str">
            <v>T3碎片</v>
          </cell>
          <cell r="J230">
            <v>7</v>
          </cell>
          <cell r="K230">
            <v>0.22136363636363637</v>
          </cell>
        </row>
        <row r="231">
          <cell r="I231" t="str">
            <v>T3碎片</v>
          </cell>
          <cell r="J231">
            <v>7</v>
          </cell>
          <cell r="K231">
            <v>0.22136363636363637</v>
          </cell>
        </row>
        <row r="232">
          <cell r="I232" t="str">
            <v>T3碎片</v>
          </cell>
          <cell r="J232">
            <v>7</v>
          </cell>
          <cell r="K232">
            <v>0.22136363636363637</v>
          </cell>
        </row>
        <row r="233">
          <cell r="I233" t="str">
            <v>T1部件</v>
          </cell>
          <cell r="J233">
            <v>7</v>
          </cell>
          <cell r="K233">
            <v>3.6363636363636362E-2</v>
          </cell>
        </row>
        <row r="234">
          <cell r="I234" t="str">
            <v>T1部件</v>
          </cell>
          <cell r="J234">
            <v>7</v>
          </cell>
          <cell r="K234">
            <v>3.6363636363636362E-2</v>
          </cell>
        </row>
        <row r="235">
          <cell r="I235" t="str">
            <v>T1部件</v>
          </cell>
          <cell r="J235">
            <v>7</v>
          </cell>
          <cell r="K235">
            <v>3.6363636363636362E-2</v>
          </cell>
        </row>
        <row r="236">
          <cell r="I236" t="str">
            <v>T1部件</v>
          </cell>
          <cell r="J236">
            <v>7</v>
          </cell>
          <cell r="K236">
            <v>3.6363636363636362E-2</v>
          </cell>
        </row>
        <row r="237">
          <cell r="I237" t="str">
            <v>T1部件</v>
          </cell>
          <cell r="J237">
            <v>7</v>
          </cell>
          <cell r="K237">
            <v>3.6363636363636362E-2</v>
          </cell>
        </row>
        <row r="238">
          <cell r="I238" t="str">
            <v>T1部件</v>
          </cell>
          <cell r="J238">
            <v>7</v>
          </cell>
          <cell r="K238">
            <v>3.6363636363636362E-2</v>
          </cell>
        </row>
        <row r="239">
          <cell r="I239" t="str">
            <v>T1部件</v>
          </cell>
          <cell r="J239">
            <v>7</v>
          </cell>
          <cell r="K239">
            <v>3.6363636363636362E-2</v>
          </cell>
        </row>
        <row r="240">
          <cell r="I240" t="str">
            <v>T1部件</v>
          </cell>
          <cell r="J240">
            <v>7</v>
          </cell>
          <cell r="K240">
            <v>3.6363636363636362E-2</v>
          </cell>
        </row>
        <row r="241">
          <cell r="I241" t="str">
            <v>T1部件</v>
          </cell>
          <cell r="J241">
            <v>7</v>
          </cell>
          <cell r="K241">
            <v>3.6363636363636362E-2</v>
          </cell>
        </row>
        <row r="242">
          <cell r="I242" t="str">
            <v>T1部件</v>
          </cell>
          <cell r="J242">
            <v>7</v>
          </cell>
          <cell r="K242">
            <v>3.6363636363636362E-2</v>
          </cell>
        </row>
        <row r="243">
          <cell r="I243" t="str">
            <v>T1部件</v>
          </cell>
          <cell r="J243">
            <v>7</v>
          </cell>
          <cell r="K243">
            <v>3.6363636363636362E-2</v>
          </cell>
        </row>
        <row r="244">
          <cell r="I244" t="str">
            <v>T1部件</v>
          </cell>
          <cell r="J244">
            <v>7</v>
          </cell>
          <cell r="K244">
            <v>3.6363636363636362E-2</v>
          </cell>
        </row>
        <row r="245">
          <cell r="I245" t="str">
            <v>T1部件</v>
          </cell>
          <cell r="J245">
            <v>7</v>
          </cell>
          <cell r="K245">
            <v>3.6363636363636362E-2</v>
          </cell>
        </row>
        <row r="246">
          <cell r="I246" t="str">
            <v>T1部件</v>
          </cell>
          <cell r="J246">
            <v>7</v>
          </cell>
          <cell r="K246">
            <v>3.6363636363636362E-2</v>
          </cell>
        </row>
        <row r="247">
          <cell r="I247" t="str">
            <v>T1部件</v>
          </cell>
          <cell r="J247">
            <v>7</v>
          </cell>
          <cell r="K247">
            <v>3.6363636363636362E-2</v>
          </cell>
        </row>
        <row r="248">
          <cell r="I248" t="str">
            <v>T1部件</v>
          </cell>
          <cell r="J248">
            <v>7</v>
          </cell>
          <cell r="K248">
            <v>3.6363636363636362E-2</v>
          </cell>
        </row>
        <row r="249">
          <cell r="I249" t="str">
            <v>T1部件</v>
          </cell>
          <cell r="J249">
            <v>7</v>
          </cell>
          <cell r="K249">
            <v>3.6363636363636362E-2</v>
          </cell>
        </row>
        <row r="250">
          <cell r="I250" t="str">
            <v>T1部件</v>
          </cell>
          <cell r="J250">
            <v>7</v>
          </cell>
          <cell r="K250">
            <v>3.6363636363636362E-2</v>
          </cell>
        </row>
        <row r="251">
          <cell r="I251" t="str">
            <v>T2部件</v>
          </cell>
          <cell r="J251">
            <v>7</v>
          </cell>
          <cell r="K251">
            <v>1.090909090909091E-2</v>
          </cell>
        </row>
        <row r="252">
          <cell r="I252" t="str">
            <v>T2部件</v>
          </cell>
          <cell r="J252">
            <v>7</v>
          </cell>
          <cell r="K252">
            <v>1.090909090909091E-2</v>
          </cell>
        </row>
        <row r="253">
          <cell r="I253" t="str">
            <v>T2部件</v>
          </cell>
          <cell r="J253">
            <v>7</v>
          </cell>
          <cell r="K253">
            <v>1.090909090909091E-2</v>
          </cell>
        </row>
        <row r="254">
          <cell r="I254" t="str">
            <v>T2部件</v>
          </cell>
          <cell r="J254">
            <v>7</v>
          </cell>
          <cell r="K254">
            <v>1.090909090909091E-2</v>
          </cell>
        </row>
        <row r="255">
          <cell r="I255" t="str">
            <v>T2部件</v>
          </cell>
          <cell r="J255">
            <v>7</v>
          </cell>
          <cell r="K255">
            <v>1.090909090909091E-2</v>
          </cell>
        </row>
        <row r="256">
          <cell r="I256" t="str">
            <v>T2部件</v>
          </cell>
          <cell r="J256">
            <v>7</v>
          </cell>
          <cell r="K256">
            <v>1.090909090909091E-2</v>
          </cell>
        </row>
        <row r="257">
          <cell r="I257" t="str">
            <v>T2部件</v>
          </cell>
          <cell r="J257">
            <v>7</v>
          </cell>
          <cell r="K257">
            <v>1.090909090909091E-2</v>
          </cell>
        </row>
        <row r="258">
          <cell r="I258" t="str">
            <v>T2部件</v>
          </cell>
          <cell r="J258">
            <v>7</v>
          </cell>
          <cell r="K258">
            <v>1.090909090909091E-2</v>
          </cell>
        </row>
        <row r="259">
          <cell r="I259" t="str">
            <v>T2部件</v>
          </cell>
          <cell r="J259">
            <v>7</v>
          </cell>
          <cell r="K259">
            <v>1.090909090909091E-2</v>
          </cell>
        </row>
        <row r="260">
          <cell r="I260" t="str">
            <v>T2部件</v>
          </cell>
          <cell r="J260">
            <v>7</v>
          </cell>
          <cell r="K260">
            <v>1.090909090909091E-2</v>
          </cell>
        </row>
        <row r="261">
          <cell r="I261" t="str">
            <v>T2部件</v>
          </cell>
          <cell r="J261">
            <v>7</v>
          </cell>
          <cell r="K261">
            <v>1.090909090909091E-2</v>
          </cell>
        </row>
        <row r="262">
          <cell r="I262" t="str">
            <v>T2部件</v>
          </cell>
          <cell r="J262">
            <v>7</v>
          </cell>
          <cell r="K262">
            <v>1.090909090909091E-2</v>
          </cell>
        </row>
        <row r="263">
          <cell r="I263" t="str">
            <v>T2部件</v>
          </cell>
          <cell r="J263">
            <v>7</v>
          </cell>
          <cell r="K263">
            <v>1.090909090909091E-2</v>
          </cell>
        </row>
        <row r="264">
          <cell r="I264" t="str">
            <v>T2部件</v>
          </cell>
          <cell r="J264">
            <v>7</v>
          </cell>
          <cell r="K264">
            <v>1.090909090909091E-2</v>
          </cell>
        </row>
        <row r="265">
          <cell r="I265" t="str">
            <v>T2部件</v>
          </cell>
          <cell r="J265">
            <v>7</v>
          </cell>
          <cell r="K265">
            <v>1.090909090909091E-2</v>
          </cell>
        </row>
        <row r="266">
          <cell r="I266" t="str">
            <v>T2部件</v>
          </cell>
          <cell r="J266">
            <v>7</v>
          </cell>
          <cell r="K266">
            <v>1.090909090909091E-2</v>
          </cell>
        </row>
        <row r="267">
          <cell r="I267" t="str">
            <v>T2部件</v>
          </cell>
          <cell r="J267">
            <v>7</v>
          </cell>
          <cell r="K267">
            <v>1.090909090909091E-2</v>
          </cell>
        </row>
        <row r="268">
          <cell r="I268" t="str">
            <v>T2部件</v>
          </cell>
          <cell r="J268">
            <v>7</v>
          </cell>
          <cell r="K268">
            <v>1.090909090909091E-2</v>
          </cell>
        </row>
        <row r="269">
          <cell r="I269" t="str">
            <v>T3部件</v>
          </cell>
          <cell r="J269">
            <v>7</v>
          </cell>
          <cell r="K269">
            <v>3.0303030303030303E-3</v>
          </cell>
        </row>
        <row r="270">
          <cell r="I270" t="str">
            <v>T3部件</v>
          </cell>
          <cell r="J270">
            <v>7</v>
          </cell>
          <cell r="K270">
            <v>3.0303030303030303E-3</v>
          </cell>
        </row>
        <row r="271">
          <cell r="I271" t="str">
            <v>T3部件</v>
          </cell>
          <cell r="J271">
            <v>7</v>
          </cell>
          <cell r="K271">
            <v>3.0303030303030303E-3</v>
          </cell>
        </row>
        <row r="272">
          <cell r="I272" t="str">
            <v>T3部件</v>
          </cell>
          <cell r="J272">
            <v>7</v>
          </cell>
          <cell r="K272">
            <v>3.0303030303030303E-3</v>
          </cell>
        </row>
        <row r="273">
          <cell r="I273" t="str">
            <v>T3部件</v>
          </cell>
          <cell r="J273">
            <v>7</v>
          </cell>
          <cell r="K273">
            <v>3.0303030303030303E-3</v>
          </cell>
        </row>
        <row r="274">
          <cell r="I274" t="str">
            <v>T3部件</v>
          </cell>
          <cell r="J274">
            <v>7</v>
          </cell>
          <cell r="K274">
            <v>3.0303030303030303E-3</v>
          </cell>
        </row>
        <row r="275">
          <cell r="I275" t="str">
            <v>T3部件</v>
          </cell>
          <cell r="J275">
            <v>7</v>
          </cell>
          <cell r="K275">
            <v>3.0303030303030303E-3</v>
          </cell>
        </row>
        <row r="276">
          <cell r="I276" t="str">
            <v>T3部件</v>
          </cell>
          <cell r="J276">
            <v>7</v>
          </cell>
          <cell r="K276">
            <v>3.0303030303030303E-3</v>
          </cell>
        </row>
        <row r="277">
          <cell r="I277" t="str">
            <v>T3部件</v>
          </cell>
          <cell r="J277">
            <v>7</v>
          </cell>
          <cell r="K277">
            <v>3.0303030303030303E-3</v>
          </cell>
        </row>
        <row r="278">
          <cell r="I278" t="str">
            <v>T3部件</v>
          </cell>
          <cell r="J278">
            <v>7</v>
          </cell>
          <cell r="K278">
            <v>3.0303030303030303E-3</v>
          </cell>
        </row>
        <row r="279">
          <cell r="I279" t="str">
            <v>T3部件</v>
          </cell>
          <cell r="J279">
            <v>7</v>
          </cell>
          <cell r="K279">
            <v>3.0303030303030303E-3</v>
          </cell>
        </row>
        <row r="280">
          <cell r="I280" t="str">
            <v>T3部件</v>
          </cell>
          <cell r="J280">
            <v>7</v>
          </cell>
          <cell r="K280">
            <v>3.0303030303030303E-3</v>
          </cell>
        </row>
        <row r="281">
          <cell r="I281" t="str">
            <v>T3部件</v>
          </cell>
          <cell r="J281">
            <v>7</v>
          </cell>
          <cell r="K281">
            <v>3.0303030303030303E-3</v>
          </cell>
        </row>
        <row r="282">
          <cell r="I282" t="str">
            <v>T3部件</v>
          </cell>
          <cell r="J282">
            <v>7</v>
          </cell>
          <cell r="K282">
            <v>3.0303030303030303E-3</v>
          </cell>
        </row>
        <row r="283">
          <cell r="I283" t="str">
            <v>T3部件</v>
          </cell>
          <cell r="J283">
            <v>7</v>
          </cell>
          <cell r="K283">
            <v>3.0303030303030303E-3</v>
          </cell>
        </row>
        <row r="284">
          <cell r="I284" t="str">
            <v>T3部件</v>
          </cell>
          <cell r="J284">
            <v>7</v>
          </cell>
          <cell r="K284">
            <v>3.0303030303030303E-3</v>
          </cell>
        </row>
        <row r="285">
          <cell r="I285" t="str">
            <v>T3部件</v>
          </cell>
          <cell r="J285">
            <v>7</v>
          </cell>
          <cell r="K285">
            <v>3.0303030303030303E-3</v>
          </cell>
        </row>
        <row r="286">
          <cell r="I286" t="str">
            <v>T3部件</v>
          </cell>
          <cell r="J286">
            <v>7</v>
          </cell>
          <cell r="K286">
            <v>3.0303030303030303E-3</v>
          </cell>
        </row>
        <row r="287">
          <cell r="I287" t="str">
            <v>T1碎片</v>
          </cell>
          <cell r="J287">
            <v>8</v>
          </cell>
          <cell r="K287">
            <v>0.14102564102564102</v>
          </cell>
        </row>
        <row r="288">
          <cell r="I288" t="str">
            <v>T1碎片</v>
          </cell>
          <cell r="J288">
            <v>8</v>
          </cell>
          <cell r="K288">
            <v>0.14102564102564102</v>
          </cell>
        </row>
        <row r="289">
          <cell r="I289" t="str">
            <v>T1碎片</v>
          </cell>
          <cell r="J289">
            <v>8</v>
          </cell>
          <cell r="K289">
            <v>0.14102564102564102</v>
          </cell>
        </row>
        <row r="290">
          <cell r="I290" t="str">
            <v>T2碎片</v>
          </cell>
          <cell r="J290">
            <v>8</v>
          </cell>
          <cell r="K290">
            <v>5.7692307692307696E-2</v>
          </cell>
        </row>
        <row r="291">
          <cell r="I291" t="str">
            <v>T2碎片</v>
          </cell>
          <cell r="J291">
            <v>8</v>
          </cell>
          <cell r="K291">
            <v>5.7692307692307696E-2</v>
          </cell>
        </row>
        <row r="292">
          <cell r="I292" t="str">
            <v>T2碎片</v>
          </cell>
          <cell r="J292">
            <v>8</v>
          </cell>
          <cell r="K292">
            <v>5.7692307692307696E-2</v>
          </cell>
        </row>
        <row r="293">
          <cell r="I293" t="str">
            <v>T3碎片</v>
          </cell>
          <cell r="J293">
            <v>8</v>
          </cell>
          <cell r="K293">
            <v>0.23413461538461539</v>
          </cell>
        </row>
        <row r="294">
          <cell r="I294" t="str">
            <v>T3碎片</v>
          </cell>
          <cell r="J294">
            <v>8</v>
          </cell>
          <cell r="K294">
            <v>0.23413461538461539</v>
          </cell>
        </row>
        <row r="295">
          <cell r="I295" t="str">
            <v>T3碎片</v>
          </cell>
          <cell r="J295">
            <v>8</v>
          </cell>
          <cell r="K295">
            <v>0.23413461538461539</v>
          </cell>
        </row>
        <row r="296">
          <cell r="I296" t="str">
            <v>T3碎片</v>
          </cell>
          <cell r="J296">
            <v>8</v>
          </cell>
          <cell r="K296">
            <v>0.23413461538461539</v>
          </cell>
        </row>
        <row r="297">
          <cell r="I297" t="str">
            <v>T3碎片</v>
          </cell>
          <cell r="J297">
            <v>8</v>
          </cell>
          <cell r="K297">
            <v>0.23413461538461539</v>
          </cell>
        </row>
        <row r="298">
          <cell r="I298" t="str">
            <v>T3碎片</v>
          </cell>
          <cell r="J298">
            <v>8</v>
          </cell>
          <cell r="K298">
            <v>0.23413461538461539</v>
          </cell>
        </row>
        <row r="299">
          <cell r="I299" t="str">
            <v>T1部件</v>
          </cell>
          <cell r="J299">
            <v>8</v>
          </cell>
          <cell r="K299">
            <v>3.2051282051282048E-2</v>
          </cell>
        </row>
        <row r="300">
          <cell r="I300" t="str">
            <v>T1部件</v>
          </cell>
          <cell r="J300">
            <v>8</v>
          </cell>
          <cell r="K300">
            <v>3.2051282051282048E-2</v>
          </cell>
        </row>
        <row r="301">
          <cell r="I301" t="str">
            <v>T1部件</v>
          </cell>
          <cell r="J301">
            <v>8</v>
          </cell>
          <cell r="K301">
            <v>3.2051282051282048E-2</v>
          </cell>
        </row>
        <row r="302">
          <cell r="I302" t="str">
            <v>T1部件</v>
          </cell>
          <cell r="J302">
            <v>8</v>
          </cell>
          <cell r="K302">
            <v>3.2051282051282048E-2</v>
          </cell>
        </row>
        <row r="303">
          <cell r="I303" t="str">
            <v>T1部件</v>
          </cell>
          <cell r="J303">
            <v>8</v>
          </cell>
          <cell r="K303">
            <v>3.2051282051282048E-2</v>
          </cell>
        </row>
        <row r="304">
          <cell r="I304" t="str">
            <v>T1部件</v>
          </cell>
          <cell r="J304">
            <v>8</v>
          </cell>
          <cell r="K304">
            <v>3.2051282051282048E-2</v>
          </cell>
        </row>
        <row r="305">
          <cell r="I305" t="str">
            <v>T1部件</v>
          </cell>
          <cell r="J305">
            <v>8</v>
          </cell>
          <cell r="K305">
            <v>3.2051282051282048E-2</v>
          </cell>
        </row>
        <row r="306">
          <cell r="I306" t="str">
            <v>T1部件</v>
          </cell>
          <cell r="J306">
            <v>8</v>
          </cell>
          <cell r="K306">
            <v>3.2051282051282048E-2</v>
          </cell>
        </row>
        <row r="307">
          <cell r="I307" t="str">
            <v>T1部件</v>
          </cell>
          <cell r="J307">
            <v>8</v>
          </cell>
          <cell r="K307">
            <v>3.2051282051282048E-2</v>
          </cell>
        </row>
        <row r="308">
          <cell r="I308" t="str">
            <v>T1部件</v>
          </cell>
          <cell r="J308">
            <v>8</v>
          </cell>
          <cell r="K308">
            <v>3.2051282051282048E-2</v>
          </cell>
        </row>
        <row r="309">
          <cell r="I309" t="str">
            <v>T1部件</v>
          </cell>
          <cell r="J309">
            <v>8</v>
          </cell>
          <cell r="K309">
            <v>3.2051282051282048E-2</v>
          </cell>
        </row>
        <row r="310">
          <cell r="I310" t="str">
            <v>T1部件</v>
          </cell>
          <cell r="J310">
            <v>8</v>
          </cell>
          <cell r="K310">
            <v>3.2051282051282048E-2</v>
          </cell>
        </row>
        <row r="311">
          <cell r="I311" t="str">
            <v>T1部件</v>
          </cell>
          <cell r="J311">
            <v>8</v>
          </cell>
          <cell r="K311">
            <v>3.2051282051282048E-2</v>
          </cell>
        </row>
        <row r="312">
          <cell r="I312" t="str">
            <v>T1部件</v>
          </cell>
          <cell r="J312">
            <v>8</v>
          </cell>
          <cell r="K312">
            <v>3.2051282051282048E-2</v>
          </cell>
        </row>
        <row r="313">
          <cell r="I313" t="str">
            <v>T1部件</v>
          </cell>
          <cell r="J313">
            <v>8</v>
          </cell>
          <cell r="K313">
            <v>3.2051282051282048E-2</v>
          </cell>
        </row>
        <row r="314">
          <cell r="I314" t="str">
            <v>T1部件</v>
          </cell>
          <cell r="J314">
            <v>8</v>
          </cell>
          <cell r="K314">
            <v>3.2051282051282048E-2</v>
          </cell>
        </row>
        <row r="315">
          <cell r="I315" t="str">
            <v>T1部件</v>
          </cell>
          <cell r="J315">
            <v>8</v>
          </cell>
          <cell r="K315">
            <v>3.2051282051282048E-2</v>
          </cell>
        </row>
        <row r="316">
          <cell r="I316" t="str">
            <v>T1部件</v>
          </cell>
          <cell r="J316">
            <v>8</v>
          </cell>
          <cell r="K316">
            <v>3.2051282051282048E-2</v>
          </cell>
        </row>
        <row r="317">
          <cell r="I317" t="str">
            <v>T2部件</v>
          </cell>
          <cell r="J317">
            <v>8</v>
          </cell>
          <cell r="K317">
            <v>1.1538461538461539E-2</v>
          </cell>
        </row>
        <row r="318">
          <cell r="I318" t="str">
            <v>T2部件</v>
          </cell>
          <cell r="J318">
            <v>8</v>
          </cell>
          <cell r="K318">
            <v>1.1538461538461539E-2</v>
          </cell>
        </row>
        <row r="319">
          <cell r="I319" t="str">
            <v>T2部件</v>
          </cell>
          <cell r="J319">
            <v>8</v>
          </cell>
          <cell r="K319">
            <v>1.1538461538461539E-2</v>
          </cell>
        </row>
        <row r="320">
          <cell r="I320" t="str">
            <v>T2部件</v>
          </cell>
          <cell r="J320">
            <v>8</v>
          </cell>
          <cell r="K320">
            <v>1.1538461538461539E-2</v>
          </cell>
        </row>
        <row r="321">
          <cell r="I321" t="str">
            <v>T2部件</v>
          </cell>
          <cell r="J321">
            <v>8</v>
          </cell>
          <cell r="K321">
            <v>1.1538461538461539E-2</v>
          </cell>
        </row>
        <row r="322">
          <cell r="I322" t="str">
            <v>T2部件</v>
          </cell>
          <cell r="J322">
            <v>8</v>
          </cell>
          <cell r="K322">
            <v>1.1538461538461539E-2</v>
          </cell>
        </row>
        <row r="323">
          <cell r="I323" t="str">
            <v>T2部件</v>
          </cell>
          <cell r="J323">
            <v>8</v>
          </cell>
          <cell r="K323">
            <v>1.1538461538461539E-2</v>
          </cell>
        </row>
        <row r="324">
          <cell r="I324" t="str">
            <v>T2部件</v>
          </cell>
          <cell r="J324">
            <v>8</v>
          </cell>
          <cell r="K324">
            <v>1.1538461538461539E-2</v>
          </cell>
        </row>
        <row r="325">
          <cell r="I325" t="str">
            <v>T2部件</v>
          </cell>
          <cell r="J325">
            <v>8</v>
          </cell>
          <cell r="K325">
            <v>1.1538461538461539E-2</v>
          </cell>
        </row>
        <row r="326">
          <cell r="I326" t="str">
            <v>T2部件</v>
          </cell>
          <cell r="J326">
            <v>8</v>
          </cell>
          <cell r="K326">
            <v>1.1538461538461539E-2</v>
          </cell>
        </row>
        <row r="327">
          <cell r="I327" t="str">
            <v>T2部件</v>
          </cell>
          <cell r="J327">
            <v>8</v>
          </cell>
          <cell r="K327">
            <v>1.1538461538461539E-2</v>
          </cell>
        </row>
        <row r="328">
          <cell r="I328" t="str">
            <v>T2部件</v>
          </cell>
          <cell r="J328">
            <v>8</v>
          </cell>
          <cell r="K328">
            <v>1.1538461538461539E-2</v>
          </cell>
        </row>
        <row r="329">
          <cell r="I329" t="str">
            <v>T2部件</v>
          </cell>
          <cell r="J329">
            <v>8</v>
          </cell>
          <cell r="K329">
            <v>1.1538461538461539E-2</v>
          </cell>
        </row>
        <row r="330">
          <cell r="I330" t="str">
            <v>T2部件</v>
          </cell>
          <cell r="J330">
            <v>8</v>
          </cell>
          <cell r="K330">
            <v>1.1538461538461539E-2</v>
          </cell>
        </row>
        <row r="331">
          <cell r="I331" t="str">
            <v>T2部件</v>
          </cell>
          <cell r="J331">
            <v>8</v>
          </cell>
          <cell r="K331">
            <v>1.1538461538461539E-2</v>
          </cell>
        </row>
        <row r="332">
          <cell r="I332" t="str">
            <v>T2部件</v>
          </cell>
          <cell r="J332">
            <v>8</v>
          </cell>
          <cell r="K332">
            <v>1.1538461538461539E-2</v>
          </cell>
        </row>
        <row r="333">
          <cell r="I333" t="str">
            <v>T2部件</v>
          </cell>
          <cell r="J333">
            <v>8</v>
          </cell>
          <cell r="K333">
            <v>1.1538461538461539E-2</v>
          </cell>
        </row>
        <row r="334">
          <cell r="I334" t="str">
            <v>T2部件</v>
          </cell>
          <cell r="J334">
            <v>8</v>
          </cell>
          <cell r="K334">
            <v>1.1538461538461539E-2</v>
          </cell>
        </row>
        <row r="335">
          <cell r="I335" t="str">
            <v>T3部件</v>
          </cell>
          <cell r="J335">
            <v>8</v>
          </cell>
          <cell r="K335">
            <v>4.807692307692308E-3</v>
          </cell>
        </row>
        <row r="336">
          <cell r="I336" t="str">
            <v>T3部件</v>
          </cell>
          <cell r="J336">
            <v>8</v>
          </cell>
          <cell r="K336">
            <v>4.807692307692308E-3</v>
          </cell>
        </row>
        <row r="337">
          <cell r="I337" t="str">
            <v>T3部件</v>
          </cell>
          <cell r="J337">
            <v>8</v>
          </cell>
          <cell r="K337">
            <v>4.807692307692308E-3</v>
          </cell>
        </row>
        <row r="338">
          <cell r="I338" t="str">
            <v>T3部件</v>
          </cell>
          <cell r="J338">
            <v>8</v>
          </cell>
          <cell r="K338">
            <v>4.807692307692308E-3</v>
          </cell>
        </row>
        <row r="339">
          <cell r="I339" t="str">
            <v>T3部件</v>
          </cell>
          <cell r="J339">
            <v>8</v>
          </cell>
          <cell r="K339">
            <v>4.807692307692308E-3</v>
          </cell>
        </row>
        <row r="340">
          <cell r="I340" t="str">
            <v>T3部件</v>
          </cell>
          <cell r="J340">
            <v>8</v>
          </cell>
          <cell r="K340">
            <v>4.807692307692308E-3</v>
          </cell>
        </row>
        <row r="341">
          <cell r="I341" t="str">
            <v>T3部件</v>
          </cell>
          <cell r="J341">
            <v>8</v>
          </cell>
          <cell r="K341">
            <v>4.807692307692308E-3</v>
          </cell>
        </row>
        <row r="342">
          <cell r="I342" t="str">
            <v>T3部件</v>
          </cell>
          <cell r="J342">
            <v>8</v>
          </cell>
          <cell r="K342">
            <v>4.807692307692308E-3</v>
          </cell>
        </row>
        <row r="343">
          <cell r="I343" t="str">
            <v>T3部件</v>
          </cell>
          <cell r="J343">
            <v>8</v>
          </cell>
          <cell r="K343">
            <v>4.807692307692308E-3</v>
          </cell>
        </row>
        <row r="344">
          <cell r="I344" t="str">
            <v>T3部件</v>
          </cell>
          <cell r="J344">
            <v>8</v>
          </cell>
          <cell r="K344">
            <v>4.807692307692308E-3</v>
          </cell>
        </row>
        <row r="345">
          <cell r="I345" t="str">
            <v>T3部件</v>
          </cell>
          <cell r="J345">
            <v>8</v>
          </cell>
          <cell r="K345">
            <v>4.807692307692308E-3</v>
          </cell>
        </row>
        <row r="346">
          <cell r="I346" t="str">
            <v>T3部件</v>
          </cell>
          <cell r="J346">
            <v>8</v>
          </cell>
          <cell r="K346">
            <v>4.807692307692308E-3</v>
          </cell>
        </row>
        <row r="347">
          <cell r="I347" t="str">
            <v>T3部件</v>
          </cell>
          <cell r="J347">
            <v>8</v>
          </cell>
          <cell r="K347">
            <v>4.807692307692308E-3</v>
          </cell>
        </row>
        <row r="348">
          <cell r="I348" t="str">
            <v>T3部件</v>
          </cell>
          <cell r="J348">
            <v>8</v>
          </cell>
          <cell r="K348">
            <v>4.807692307692308E-3</v>
          </cell>
        </row>
        <row r="349">
          <cell r="I349" t="str">
            <v>T3部件</v>
          </cell>
          <cell r="J349">
            <v>8</v>
          </cell>
          <cell r="K349">
            <v>4.807692307692308E-3</v>
          </cell>
        </row>
        <row r="350">
          <cell r="I350" t="str">
            <v>T3部件</v>
          </cell>
          <cell r="J350">
            <v>8</v>
          </cell>
          <cell r="K350">
            <v>4.807692307692308E-3</v>
          </cell>
        </row>
        <row r="351">
          <cell r="I351" t="str">
            <v>T3部件</v>
          </cell>
          <cell r="J351">
            <v>8</v>
          </cell>
          <cell r="K351">
            <v>4.807692307692308E-3</v>
          </cell>
        </row>
        <row r="352">
          <cell r="I352" t="str">
            <v>T3部件</v>
          </cell>
          <cell r="J352">
            <v>8</v>
          </cell>
          <cell r="K352">
            <v>4.807692307692308E-3</v>
          </cell>
        </row>
        <row r="353">
          <cell r="I353" t="str">
            <v>T1碎片</v>
          </cell>
          <cell r="J353">
            <v>9</v>
          </cell>
          <cell r="K353">
            <v>0.13086150490730644</v>
          </cell>
        </row>
        <row r="354">
          <cell r="I354" t="str">
            <v>T1碎片</v>
          </cell>
          <cell r="J354">
            <v>9</v>
          </cell>
          <cell r="K354">
            <v>0.13086150490730644</v>
          </cell>
        </row>
        <row r="355">
          <cell r="I355" t="str">
            <v>T1碎片</v>
          </cell>
          <cell r="J355">
            <v>9</v>
          </cell>
          <cell r="K355">
            <v>0.13086150490730644</v>
          </cell>
        </row>
        <row r="356">
          <cell r="I356" t="str">
            <v>T2碎片</v>
          </cell>
          <cell r="J356">
            <v>9</v>
          </cell>
          <cell r="K356">
            <v>5.8160668847691749E-2</v>
          </cell>
        </row>
        <row r="357">
          <cell r="I357" t="str">
            <v>T2碎片</v>
          </cell>
          <cell r="J357">
            <v>9</v>
          </cell>
          <cell r="K357">
            <v>5.8160668847691749E-2</v>
          </cell>
        </row>
        <row r="358">
          <cell r="I358" t="str">
            <v>T2碎片</v>
          </cell>
          <cell r="J358">
            <v>9</v>
          </cell>
          <cell r="K358">
            <v>5.8160668847691749E-2</v>
          </cell>
        </row>
        <row r="359">
          <cell r="I359" t="str">
            <v>T3碎片</v>
          </cell>
          <cell r="J359">
            <v>9</v>
          </cell>
          <cell r="K359">
            <v>0.26553980370774266</v>
          </cell>
        </row>
        <row r="360">
          <cell r="I360" t="str">
            <v>T3碎片</v>
          </cell>
          <cell r="J360">
            <v>9</v>
          </cell>
          <cell r="K360">
            <v>0.26553980370774266</v>
          </cell>
        </row>
        <row r="361">
          <cell r="I361" t="str">
            <v>T3碎片</v>
          </cell>
          <cell r="J361">
            <v>9</v>
          </cell>
          <cell r="K361">
            <v>0.26553980370774266</v>
          </cell>
        </row>
        <row r="362">
          <cell r="I362" t="str">
            <v>T3碎片</v>
          </cell>
          <cell r="J362">
            <v>9</v>
          </cell>
          <cell r="K362">
            <v>0.26553980370774266</v>
          </cell>
        </row>
        <row r="363">
          <cell r="I363" t="str">
            <v>T3碎片</v>
          </cell>
          <cell r="J363">
            <v>9</v>
          </cell>
          <cell r="K363">
            <v>0.26553980370774266</v>
          </cell>
        </row>
        <row r="364">
          <cell r="I364" t="str">
            <v>T3碎片</v>
          </cell>
          <cell r="J364">
            <v>9</v>
          </cell>
          <cell r="K364">
            <v>0.26553980370774266</v>
          </cell>
        </row>
        <row r="365">
          <cell r="I365" t="str">
            <v>T1部件</v>
          </cell>
          <cell r="J365">
            <v>9</v>
          </cell>
          <cell r="K365">
            <v>2.1810250817884406E-2</v>
          </cell>
        </row>
        <row r="366">
          <cell r="I366" t="str">
            <v>T1部件</v>
          </cell>
          <cell r="J366">
            <v>9</v>
          </cell>
          <cell r="K366">
            <v>2.1810250817884406E-2</v>
          </cell>
        </row>
        <row r="367">
          <cell r="I367" t="str">
            <v>T1部件</v>
          </cell>
          <cell r="J367">
            <v>9</v>
          </cell>
          <cell r="K367">
            <v>2.1810250817884406E-2</v>
          </cell>
        </row>
        <row r="368">
          <cell r="I368" t="str">
            <v>T1部件</v>
          </cell>
          <cell r="J368">
            <v>9</v>
          </cell>
          <cell r="K368">
            <v>2.1810250817884406E-2</v>
          </cell>
        </row>
        <row r="369">
          <cell r="I369" t="str">
            <v>T1部件</v>
          </cell>
          <cell r="J369">
            <v>9</v>
          </cell>
          <cell r="K369">
            <v>2.1810250817884406E-2</v>
          </cell>
        </row>
        <row r="370">
          <cell r="I370" t="str">
            <v>T1部件</v>
          </cell>
          <cell r="J370">
            <v>9</v>
          </cell>
          <cell r="K370">
            <v>2.1810250817884406E-2</v>
          </cell>
        </row>
        <row r="371">
          <cell r="I371" t="str">
            <v>T1部件</v>
          </cell>
          <cell r="J371">
            <v>9</v>
          </cell>
          <cell r="K371">
            <v>2.1810250817884406E-2</v>
          </cell>
        </row>
        <row r="372">
          <cell r="I372" t="str">
            <v>T1部件</v>
          </cell>
          <cell r="J372">
            <v>9</v>
          </cell>
          <cell r="K372">
            <v>2.1810250817884406E-2</v>
          </cell>
        </row>
        <row r="373">
          <cell r="I373" t="str">
            <v>T1部件</v>
          </cell>
          <cell r="J373">
            <v>9</v>
          </cell>
          <cell r="K373">
            <v>2.1810250817884406E-2</v>
          </cell>
        </row>
        <row r="374">
          <cell r="I374" t="str">
            <v>T1部件</v>
          </cell>
          <cell r="J374">
            <v>9</v>
          </cell>
          <cell r="K374">
            <v>2.1810250817884406E-2</v>
          </cell>
        </row>
        <row r="375">
          <cell r="I375" t="str">
            <v>T1部件</v>
          </cell>
          <cell r="J375">
            <v>9</v>
          </cell>
          <cell r="K375">
            <v>2.1810250817884406E-2</v>
          </cell>
        </row>
        <row r="376">
          <cell r="I376" t="str">
            <v>T1部件</v>
          </cell>
          <cell r="J376">
            <v>9</v>
          </cell>
          <cell r="K376">
            <v>2.1810250817884406E-2</v>
          </cell>
        </row>
        <row r="377">
          <cell r="I377" t="str">
            <v>T1部件</v>
          </cell>
          <cell r="J377">
            <v>9</v>
          </cell>
          <cell r="K377">
            <v>2.1810250817884406E-2</v>
          </cell>
        </row>
        <row r="378">
          <cell r="I378" t="str">
            <v>T1部件</v>
          </cell>
          <cell r="J378">
            <v>9</v>
          </cell>
          <cell r="K378">
            <v>2.1810250817884406E-2</v>
          </cell>
        </row>
        <row r="379">
          <cell r="I379" t="str">
            <v>T1部件</v>
          </cell>
          <cell r="J379">
            <v>9</v>
          </cell>
          <cell r="K379">
            <v>2.1810250817884406E-2</v>
          </cell>
        </row>
        <row r="380">
          <cell r="I380" t="str">
            <v>T1部件</v>
          </cell>
          <cell r="J380">
            <v>9</v>
          </cell>
          <cell r="K380">
            <v>2.1810250817884406E-2</v>
          </cell>
        </row>
        <row r="381">
          <cell r="I381" t="str">
            <v>T1部件</v>
          </cell>
          <cell r="J381">
            <v>9</v>
          </cell>
          <cell r="K381">
            <v>2.1810250817884406E-2</v>
          </cell>
        </row>
        <row r="382">
          <cell r="I382" t="str">
            <v>T1部件</v>
          </cell>
          <cell r="J382">
            <v>9</v>
          </cell>
          <cell r="K382">
            <v>2.1810250817884406E-2</v>
          </cell>
        </row>
        <row r="383">
          <cell r="I383" t="str">
            <v>T2部件</v>
          </cell>
          <cell r="J383">
            <v>9</v>
          </cell>
          <cell r="K383">
            <v>1.3086150490730643E-2</v>
          </cell>
        </row>
        <row r="384">
          <cell r="I384" t="str">
            <v>T2部件</v>
          </cell>
          <cell r="J384">
            <v>9</v>
          </cell>
          <cell r="K384">
            <v>1.3086150490730643E-2</v>
          </cell>
        </row>
        <row r="385">
          <cell r="I385" t="str">
            <v>T2部件</v>
          </cell>
          <cell r="J385">
            <v>9</v>
          </cell>
          <cell r="K385">
            <v>1.3086150490730643E-2</v>
          </cell>
        </row>
        <row r="386">
          <cell r="I386" t="str">
            <v>T2部件</v>
          </cell>
          <cell r="J386">
            <v>9</v>
          </cell>
          <cell r="K386">
            <v>1.3086150490730643E-2</v>
          </cell>
        </row>
        <row r="387">
          <cell r="I387" t="str">
            <v>T2部件</v>
          </cell>
          <cell r="J387">
            <v>9</v>
          </cell>
          <cell r="K387">
            <v>1.3086150490730643E-2</v>
          </cell>
        </row>
        <row r="388">
          <cell r="I388" t="str">
            <v>T2部件</v>
          </cell>
          <cell r="J388">
            <v>9</v>
          </cell>
          <cell r="K388">
            <v>1.3086150490730643E-2</v>
          </cell>
        </row>
        <row r="389">
          <cell r="I389" t="str">
            <v>T2部件</v>
          </cell>
          <cell r="J389">
            <v>9</v>
          </cell>
          <cell r="K389">
            <v>1.3086150490730643E-2</v>
          </cell>
        </row>
        <row r="390">
          <cell r="I390" t="str">
            <v>T2部件</v>
          </cell>
          <cell r="J390">
            <v>9</v>
          </cell>
          <cell r="K390">
            <v>1.3086150490730643E-2</v>
          </cell>
        </row>
        <row r="391">
          <cell r="I391" t="str">
            <v>T2部件</v>
          </cell>
          <cell r="J391">
            <v>9</v>
          </cell>
          <cell r="K391">
            <v>1.3086150490730643E-2</v>
          </cell>
        </row>
        <row r="392">
          <cell r="I392" t="str">
            <v>T2部件</v>
          </cell>
          <cell r="J392">
            <v>9</v>
          </cell>
          <cell r="K392">
            <v>1.3086150490730643E-2</v>
          </cell>
        </row>
        <row r="393">
          <cell r="I393" t="str">
            <v>T2部件</v>
          </cell>
          <cell r="J393">
            <v>9</v>
          </cell>
          <cell r="K393">
            <v>1.3086150490730643E-2</v>
          </cell>
        </row>
        <row r="394">
          <cell r="I394" t="str">
            <v>T2部件</v>
          </cell>
          <cell r="J394">
            <v>9</v>
          </cell>
          <cell r="K394">
            <v>1.3086150490730643E-2</v>
          </cell>
        </row>
        <row r="395">
          <cell r="I395" t="str">
            <v>T2部件</v>
          </cell>
          <cell r="J395">
            <v>9</v>
          </cell>
          <cell r="K395">
            <v>1.3086150490730643E-2</v>
          </cell>
        </row>
        <row r="396">
          <cell r="I396" t="str">
            <v>T2部件</v>
          </cell>
          <cell r="J396">
            <v>9</v>
          </cell>
          <cell r="K396">
            <v>1.3086150490730643E-2</v>
          </cell>
        </row>
        <row r="397">
          <cell r="I397" t="str">
            <v>T2部件</v>
          </cell>
          <cell r="J397">
            <v>9</v>
          </cell>
          <cell r="K397">
            <v>1.3086150490730643E-2</v>
          </cell>
        </row>
        <row r="398">
          <cell r="I398" t="str">
            <v>T2部件</v>
          </cell>
          <cell r="J398">
            <v>9</v>
          </cell>
          <cell r="K398">
            <v>1.3086150490730643E-2</v>
          </cell>
        </row>
        <row r="399">
          <cell r="I399" t="str">
            <v>T2部件</v>
          </cell>
          <cell r="J399">
            <v>9</v>
          </cell>
          <cell r="K399">
            <v>1.3086150490730643E-2</v>
          </cell>
        </row>
        <row r="400">
          <cell r="I400" t="str">
            <v>T2部件</v>
          </cell>
          <cell r="J400">
            <v>9</v>
          </cell>
          <cell r="K400">
            <v>1.3086150490730643E-2</v>
          </cell>
        </row>
        <row r="401">
          <cell r="I401" t="str">
            <v>T3部件</v>
          </cell>
          <cell r="J401">
            <v>9</v>
          </cell>
          <cell r="K401">
            <v>6.9065794256633955E-3</v>
          </cell>
        </row>
        <row r="402">
          <cell r="I402" t="str">
            <v>T3部件</v>
          </cell>
          <cell r="J402">
            <v>9</v>
          </cell>
          <cell r="K402">
            <v>6.9065794256633955E-3</v>
          </cell>
        </row>
        <row r="403">
          <cell r="I403" t="str">
            <v>T3部件</v>
          </cell>
          <cell r="J403">
            <v>9</v>
          </cell>
          <cell r="K403">
            <v>6.9065794256633955E-3</v>
          </cell>
        </row>
        <row r="404">
          <cell r="I404" t="str">
            <v>T3部件</v>
          </cell>
          <cell r="J404">
            <v>9</v>
          </cell>
          <cell r="K404">
            <v>6.9065794256633955E-3</v>
          </cell>
        </row>
        <row r="405">
          <cell r="I405" t="str">
            <v>T3部件</v>
          </cell>
          <cell r="J405">
            <v>9</v>
          </cell>
          <cell r="K405">
            <v>6.9065794256633955E-3</v>
          </cell>
        </row>
        <row r="406">
          <cell r="I406" t="str">
            <v>T3部件</v>
          </cell>
          <cell r="J406">
            <v>9</v>
          </cell>
          <cell r="K406">
            <v>6.9065794256633955E-3</v>
          </cell>
        </row>
        <row r="407">
          <cell r="I407" t="str">
            <v>T3部件</v>
          </cell>
          <cell r="J407">
            <v>9</v>
          </cell>
          <cell r="K407">
            <v>6.9065794256633955E-3</v>
          </cell>
        </row>
        <row r="408">
          <cell r="I408" t="str">
            <v>T3部件</v>
          </cell>
          <cell r="J408">
            <v>9</v>
          </cell>
          <cell r="K408">
            <v>6.9065794256633955E-3</v>
          </cell>
        </row>
        <row r="409">
          <cell r="I409" t="str">
            <v>T3部件</v>
          </cell>
          <cell r="J409">
            <v>9</v>
          </cell>
          <cell r="K409">
            <v>6.9065794256633955E-3</v>
          </cell>
        </row>
        <row r="410">
          <cell r="I410" t="str">
            <v>T3部件</v>
          </cell>
          <cell r="J410">
            <v>9</v>
          </cell>
          <cell r="K410">
            <v>6.9065794256633955E-3</v>
          </cell>
        </row>
        <row r="411">
          <cell r="I411" t="str">
            <v>T3部件</v>
          </cell>
          <cell r="J411">
            <v>9</v>
          </cell>
          <cell r="K411">
            <v>6.9065794256633955E-3</v>
          </cell>
        </row>
        <row r="412">
          <cell r="I412" t="str">
            <v>T3部件</v>
          </cell>
          <cell r="J412">
            <v>9</v>
          </cell>
          <cell r="K412">
            <v>6.9065794256633955E-3</v>
          </cell>
        </row>
        <row r="413">
          <cell r="I413" t="str">
            <v>T3部件</v>
          </cell>
          <cell r="J413">
            <v>9</v>
          </cell>
          <cell r="K413">
            <v>6.9065794256633955E-3</v>
          </cell>
        </row>
        <row r="414">
          <cell r="I414" t="str">
            <v>T3部件</v>
          </cell>
          <cell r="J414">
            <v>9</v>
          </cell>
          <cell r="K414">
            <v>6.9065794256633955E-3</v>
          </cell>
        </row>
        <row r="415">
          <cell r="I415" t="str">
            <v>T3部件</v>
          </cell>
          <cell r="J415">
            <v>9</v>
          </cell>
          <cell r="K415">
            <v>6.9065794256633955E-3</v>
          </cell>
        </row>
        <row r="416">
          <cell r="I416" t="str">
            <v>T3部件</v>
          </cell>
          <cell r="J416">
            <v>9</v>
          </cell>
          <cell r="K416">
            <v>6.9065794256633955E-3</v>
          </cell>
        </row>
        <row r="417">
          <cell r="I417" t="str">
            <v>T3部件</v>
          </cell>
          <cell r="J417">
            <v>9</v>
          </cell>
          <cell r="K417">
            <v>6.9065794256633955E-3</v>
          </cell>
        </row>
        <row r="418">
          <cell r="I418" t="str">
            <v>T3部件</v>
          </cell>
          <cell r="J418">
            <v>9</v>
          </cell>
          <cell r="K418">
            <v>6.9065794256633955E-3</v>
          </cell>
        </row>
        <row r="419">
          <cell r="I419" t="str">
            <v>T1碎片</v>
          </cell>
          <cell r="J419">
            <v>10</v>
          </cell>
          <cell r="K419">
            <v>0.1262493424513414</v>
          </cell>
        </row>
        <row r="420">
          <cell r="I420" t="str">
            <v>T1碎片</v>
          </cell>
          <cell r="J420">
            <v>10</v>
          </cell>
          <cell r="K420">
            <v>0.1262493424513414</v>
          </cell>
        </row>
        <row r="421">
          <cell r="I421" t="str">
            <v>T1碎片</v>
          </cell>
          <cell r="J421">
            <v>10</v>
          </cell>
          <cell r="K421">
            <v>0.1262493424513414</v>
          </cell>
        </row>
        <row r="422">
          <cell r="I422" t="str">
            <v>T2碎片</v>
          </cell>
          <cell r="J422">
            <v>10</v>
          </cell>
          <cell r="K422">
            <v>5.6110818867262845E-2</v>
          </cell>
        </row>
        <row r="423">
          <cell r="I423" t="str">
            <v>T2碎片</v>
          </cell>
          <cell r="J423">
            <v>10</v>
          </cell>
          <cell r="K423">
            <v>5.6110818867262845E-2</v>
          </cell>
        </row>
        <row r="424">
          <cell r="I424" t="str">
            <v>T2碎片</v>
          </cell>
          <cell r="J424">
            <v>10</v>
          </cell>
          <cell r="K424">
            <v>5.6110818867262845E-2</v>
          </cell>
        </row>
        <row r="425">
          <cell r="I425" t="str">
            <v>T3碎片</v>
          </cell>
          <cell r="J425">
            <v>10</v>
          </cell>
          <cell r="K425">
            <v>0.28055409433631423</v>
          </cell>
        </row>
        <row r="426">
          <cell r="I426" t="str">
            <v>T3碎片</v>
          </cell>
          <cell r="J426">
            <v>10</v>
          </cell>
          <cell r="K426">
            <v>0.28055409433631423</v>
          </cell>
        </row>
        <row r="427">
          <cell r="I427" t="str">
            <v>T3碎片</v>
          </cell>
          <cell r="J427">
            <v>10</v>
          </cell>
          <cell r="K427">
            <v>0.28055409433631423</v>
          </cell>
        </row>
        <row r="428">
          <cell r="I428" t="str">
            <v>T3碎片</v>
          </cell>
          <cell r="J428">
            <v>10</v>
          </cell>
          <cell r="K428">
            <v>0.28055409433631423</v>
          </cell>
        </row>
        <row r="429">
          <cell r="I429" t="str">
            <v>T3碎片</v>
          </cell>
          <cell r="J429">
            <v>10</v>
          </cell>
          <cell r="K429">
            <v>0.28055409433631423</v>
          </cell>
        </row>
        <row r="430">
          <cell r="I430" t="str">
            <v>T3碎片</v>
          </cell>
          <cell r="J430">
            <v>10</v>
          </cell>
          <cell r="K430">
            <v>0.28055409433631423</v>
          </cell>
        </row>
        <row r="431">
          <cell r="I431" t="str">
            <v>T1部件</v>
          </cell>
          <cell r="J431">
            <v>10</v>
          </cell>
          <cell r="K431">
            <v>3.5069261792039279E-2</v>
          </cell>
        </row>
        <row r="432">
          <cell r="I432" t="str">
            <v>T1部件</v>
          </cell>
          <cell r="J432">
            <v>10</v>
          </cell>
          <cell r="K432">
            <v>3.5069261792039279E-2</v>
          </cell>
        </row>
        <row r="433">
          <cell r="I433" t="str">
            <v>T1部件</v>
          </cell>
          <cell r="J433">
            <v>10</v>
          </cell>
          <cell r="K433">
            <v>3.5069261792039279E-2</v>
          </cell>
        </row>
        <row r="434">
          <cell r="I434" t="str">
            <v>T1部件</v>
          </cell>
          <cell r="J434">
            <v>10</v>
          </cell>
          <cell r="K434">
            <v>3.5069261792039279E-2</v>
          </cell>
        </row>
        <row r="435">
          <cell r="I435" t="str">
            <v>T1部件</v>
          </cell>
          <cell r="J435">
            <v>10</v>
          </cell>
          <cell r="K435">
            <v>3.5069261792039279E-2</v>
          </cell>
        </row>
        <row r="436">
          <cell r="I436" t="str">
            <v>T1部件</v>
          </cell>
          <cell r="J436">
            <v>10</v>
          </cell>
          <cell r="K436">
            <v>3.5069261792039279E-2</v>
          </cell>
        </row>
        <row r="437">
          <cell r="I437" t="str">
            <v>T1部件</v>
          </cell>
          <cell r="J437">
            <v>10</v>
          </cell>
          <cell r="K437">
            <v>3.5069261792039279E-2</v>
          </cell>
        </row>
        <row r="438">
          <cell r="I438" t="str">
            <v>T1部件</v>
          </cell>
          <cell r="J438">
            <v>10</v>
          </cell>
          <cell r="K438">
            <v>3.5069261792039279E-2</v>
          </cell>
        </row>
        <row r="439">
          <cell r="I439" t="str">
            <v>T1部件</v>
          </cell>
          <cell r="J439">
            <v>10</v>
          </cell>
          <cell r="K439">
            <v>3.5069261792039279E-2</v>
          </cell>
        </row>
        <row r="440">
          <cell r="I440" t="str">
            <v>T1部件</v>
          </cell>
          <cell r="J440">
            <v>10</v>
          </cell>
          <cell r="K440">
            <v>3.5069261792039279E-2</v>
          </cell>
        </row>
        <row r="441">
          <cell r="I441" t="str">
            <v>T1部件</v>
          </cell>
          <cell r="J441">
            <v>10</v>
          </cell>
          <cell r="K441">
            <v>3.5069261792039279E-2</v>
          </cell>
        </row>
        <row r="442">
          <cell r="I442" t="str">
            <v>T1部件</v>
          </cell>
          <cell r="J442">
            <v>10</v>
          </cell>
          <cell r="K442">
            <v>3.5069261792039279E-2</v>
          </cell>
        </row>
        <row r="443">
          <cell r="I443" t="str">
            <v>T1部件</v>
          </cell>
          <cell r="J443">
            <v>10</v>
          </cell>
          <cell r="K443">
            <v>3.5069261792039279E-2</v>
          </cell>
        </row>
        <row r="444">
          <cell r="I444" t="str">
            <v>T1部件</v>
          </cell>
          <cell r="J444">
            <v>10</v>
          </cell>
          <cell r="K444">
            <v>3.5069261792039279E-2</v>
          </cell>
        </row>
        <row r="445">
          <cell r="I445" t="str">
            <v>T1部件</v>
          </cell>
          <cell r="J445">
            <v>10</v>
          </cell>
          <cell r="K445">
            <v>3.5069261792039279E-2</v>
          </cell>
        </row>
        <row r="446">
          <cell r="I446" t="str">
            <v>T1部件</v>
          </cell>
          <cell r="J446">
            <v>10</v>
          </cell>
          <cell r="K446">
            <v>3.5069261792039279E-2</v>
          </cell>
        </row>
        <row r="447">
          <cell r="I447" t="str">
            <v>T1部件</v>
          </cell>
          <cell r="J447">
            <v>10</v>
          </cell>
          <cell r="K447">
            <v>3.5069261792039279E-2</v>
          </cell>
        </row>
        <row r="448">
          <cell r="I448" t="str">
            <v>T1部件</v>
          </cell>
          <cell r="J448">
            <v>10</v>
          </cell>
          <cell r="K448">
            <v>3.5069261792039279E-2</v>
          </cell>
        </row>
        <row r="449">
          <cell r="I449" t="str">
            <v>T2部件</v>
          </cell>
          <cell r="J449">
            <v>10</v>
          </cell>
          <cell r="K449">
            <v>1.262493424513414E-2</v>
          </cell>
        </row>
        <row r="450">
          <cell r="I450" t="str">
            <v>T2部件</v>
          </cell>
          <cell r="J450">
            <v>10</v>
          </cell>
          <cell r="K450">
            <v>1.262493424513414E-2</v>
          </cell>
        </row>
        <row r="451">
          <cell r="I451" t="str">
            <v>T2部件</v>
          </cell>
          <cell r="J451">
            <v>10</v>
          </cell>
          <cell r="K451">
            <v>1.262493424513414E-2</v>
          </cell>
        </row>
        <row r="452">
          <cell r="I452" t="str">
            <v>T2部件</v>
          </cell>
          <cell r="J452">
            <v>10</v>
          </cell>
          <cell r="K452">
            <v>1.262493424513414E-2</v>
          </cell>
        </row>
        <row r="453">
          <cell r="I453" t="str">
            <v>T2部件</v>
          </cell>
          <cell r="J453">
            <v>10</v>
          </cell>
          <cell r="K453">
            <v>1.262493424513414E-2</v>
          </cell>
        </row>
        <row r="454">
          <cell r="I454" t="str">
            <v>T2部件</v>
          </cell>
          <cell r="J454">
            <v>10</v>
          </cell>
          <cell r="K454">
            <v>1.262493424513414E-2</v>
          </cell>
        </row>
        <row r="455">
          <cell r="I455" t="str">
            <v>T2部件</v>
          </cell>
          <cell r="J455">
            <v>10</v>
          </cell>
          <cell r="K455">
            <v>1.262493424513414E-2</v>
          </cell>
        </row>
        <row r="456">
          <cell r="I456" t="str">
            <v>T2部件</v>
          </cell>
          <cell r="J456">
            <v>10</v>
          </cell>
          <cell r="K456">
            <v>1.262493424513414E-2</v>
          </cell>
        </row>
        <row r="457">
          <cell r="I457" t="str">
            <v>T2部件</v>
          </cell>
          <cell r="J457">
            <v>10</v>
          </cell>
          <cell r="K457">
            <v>1.262493424513414E-2</v>
          </cell>
        </row>
        <row r="458">
          <cell r="I458" t="str">
            <v>T2部件</v>
          </cell>
          <cell r="J458">
            <v>10</v>
          </cell>
          <cell r="K458">
            <v>1.262493424513414E-2</v>
          </cell>
        </row>
        <row r="459">
          <cell r="I459" t="str">
            <v>T2部件</v>
          </cell>
          <cell r="J459">
            <v>10</v>
          </cell>
          <cell r="K459">
            <v>1.262493424513414E-2</v>
          </cell>
        </row>
        <row r="460">
          <cell r="I460" t="str">
            <v>T2部件</v>
          </cell>
          <cell r="J460">
            <v>10</v>
          </cell>
          <cell r="K460">
            <v>1.262493424513414E-2</v>
          </cell>
        </row>
        <row r="461">
          <cell r="I461" t="str">
            <v>T2部件</v>
          </cell>
          <cell r="J461">
            <v>10</v>
          </cell>
          <cell r="K461">
            <v>1.262493424513414E-2</v>
          </cell>
        </row>
        <row r="462">
          <cell r="I462" t="str">
            <v>T2部件</v>
          </cell>
          <cell r="J462">
            <v>10</v>
          </cell>
          <cell r="K462">
            <v>1.262493424513414E-2</v>
          </cell>
        </row>
        <row r="463">
          <cell r="I463" t="str">
            <v>T2部件</v>
          </cell>
          <cell r="J463">
            <v>10</v>
          </cell>
          <cell r="K463">
            <v>1.262493424513414E-2</v>
          </cell>
        </row>
        <row r="464">
          <cell r="I464" t="str">
            <v>T2部件</v>
          </cell>
          <cell r="J464">
            <v>10</v>
          </cell>
          <cell r="K464">
            <v>1.262493424513414E-2</v>
          </cell>
        </row>
        <row r="465">
          <cell r="I465" t="str">
            <v>T2部件</v>
          </cell>
          <cell r="J465">
            <v>10</v>
          </cell>
          <cell r="K465">
            <v>1.262493424513414E-2</v>
          </cell>
        </row>
        <row r="466">
          <cell r="I466" t="str">
            <v>T2部件</v>
          </cell>
          <cell r="J466">
            <v>10</v>
          </cell>
          <cell r="K466">
            <v>1.262493424513414E-2</v>
          </cell>
        </row>
        <row r="467">
          <cell r="I467" t="str">
            <v>T3部件</v>
          </cell>
          <cell r="J467">
            <v>10</v>
          </cell>
          <cell r="K467">
            <v>6.6631597404874631E-3</v>
          </cell>
        </row>
        <row r="468">
          <cell r="I468" t="str">
            <v>T3部件</v>
          </cell>
          <cell r="J468">
            <v>10</v>
          </cell>
          <cell r="K468">
            <v>6.6631597404874631E-3</v>
          </cell>
        </row>
        <row r="469">
          <cell r="I469" t="str">
            <v>T3部件</v>
          </cell>
          <cell r="J469">
            <v>10</v>
          </cell>
          <cell r="K469">
            <v>6.6631597404874631E-3</v>
          </cell>
        </row>
        <row r="470">
          <cell r="I470" t="str">
            <v>T3部件</v>
          </cell>
          <cell r="J470">
            <v>10</v>
          </cell>
          <cell r="K470">
            <v>6.6631597404874631E-3</v>
          </cell>
        </row>
        <row r="471">
          <cell r="I471" t="str">
            <v>T3部件</v>
          </cell>
          <cell r="J471">
            <v>10</v>
          </cell>
          <cell r="K471">
            <v>6.6631597404874631E-3</v>
          </cell>
        </row>
        <row r="472">
          <cell r="I472" t="str">
            <v>T3部件</v>
          </cell>
          <cell r="J472">
            <v>10</v>
          </cell>
          <cell r="K472">
            <v>6.6631597404874631E-3</v>
          </cell>
        </row>
        <row r="473">
          <cell r="I473" t="str">
            <v>T3部件</v>
          </cell>
          <cell r="J473">
            <v>10</v>
          </cell>
          <cell r="K473">
            <v>6.6631597404874631E-3</v>
          </cell>
        </row>
        <row r="474">
          <cell r="I474" t="str">
            <v>T3部件</v>
          </cell>
          <cell r="J474">
            <v>10</v>
          </cell>
          <cell r="K474">
            <v>6.6631597404874631E-3</v>
          </cell>
        </row>
        <row r="475">
          <cell r="I475" t="str">
            <v>T3部件</v>
          </cell>
          <cell r="J475">
            <v>10</v>
          </cell>
          <cell r="K475">
            <v>6.6631597404874631E-3</v>
          </cell>
        </row>
        <row r="476">
          <cell r="I476" t="str">
            <v>T3部件</v>
          </cell>
          <cell r="J476">
            <v>10</v>
          </cell>
          <cell r="K476">
            <v>6.6631597404874631E-3</v>
          </cell>
        </row>
        <row r="477">
          <cell r="I477" t="str">
            <v>T3部件</v>
          </cell>
          <cell r="J477">
            <v>10</v>
          </cell>
          <cell r="K477">
            <v>6.6631597404874631E-3</v>
          </cell>
        </row>
        <row r="478">
          <cell r="I478" t="str">
            <v>T3部件</v>
          </cell>
          <cell r="J478">
            <v>10</v>
          </cell>
          <cell r="K478">
            <v>6.6631597404874631E-3</v>
          </cell>
        </row>
        <row r="479">
          <cell r="I479" t="str">
            <v>T3部件</v>
          </cell>
          <cell r="J479">
            <v>10</v>
          </cell>
          <cell r="K479">
            <v>6.6631597404874631E-3</v>
          </cell>
        </row>
        <row r="480">
          <cell r="I480" t="str">
            <v>T3部件</v>
          </cell>
          <cell r="J480">
            <v>10</v>
          </cell>
          <cell r="K480">
            <v>6.6631597404874631E-3</v>
          </cell>
        </row>
        <row r="481">
          <cell r="I481" t="str">
            <v>T3部件</v>
          </cell>
          <cell r="J481">
            <v>10</v>
          </cell>
          <cell r="K481">
            <v>6.6631597404874631E-3</v>
          </cell>
        </row>
        <row r="482">
          <cell r="I482" t="str">
            <v>T3部件</v>
          </cell>
          <cell r="J482">
            <v>10</v>
          </cell>
          <cell r="K482">
            <v>6.6631597404874631E-3</v>
          </cell>
        </row>
        <row r="483">
          <cell r="I483" t="str">
            <v>T3部件</v>
          </cell>
          <cell r="J483">
            <v>10</v>
          </cell>
          <cell r="K483">
            <v>6.6631597404874631E-3</v>
          </cell>
        </row>
        <row r="484">
          <cell r="I484" t="str">
            <v>T3部件</v>
          </cell>
          <cell r="J484">
            <v>10</v>
          </cell>
          <cell r="K484">
            <v>7.7152375942486414E-3</v>
          </cell>
        </row>
      </sheetData>
      <sheetData sheetId="9"/>
      <sheetData sheetId="10">
        <row r="1">
          <cell r="I1" t="str">
            <v>类别</v>
          </cell>
          <cell r="J1" t="str">
            <v>联赛等级</v>
          </cell>
          <cell r="K1" t="str">
            <v>计算个数</v>
          </cell>
        </row>
        <row r="2">
          <cell r="I2" t="str">
            <v>T1碎片</v>
          </cell>
          <cell r="J2">
            <v>1</v>
          </cell>
          <cell r="K2">
            <v>0.32132211116955989</v>
          </cell>
        </row>
        <row r="3">
          <cell r="I3" t="str">
            <v>T1碎片</v>
          </cell>
          <cell r="J3">
            <v>1</v>
          </cell>
          <cell r="K3">
            <v>0.32132211116955989</v>
          </cell>
        </row>
        <row r="4">
          <cell r="I4" t="str">
            <v>T1碎片</v>
          </cell>
          <cell r="J4">
            <v>1</v>
          </cell>
          <cell r="K4">
            <v>0.32132211116955989</v>
          </cell>
        </row>
        <row r="5">
          <cell r="I5" t="str">
            <v>T1部件</v>
          </cell>
          <cell r="J5">
            <v>1</v>
          </cell>
          <cell r="K5">
            <v>6.8034367876556201E-2</v>
          </cell>
        </row>
        <row r="6">
          <cell r="I6" t="str">
            <v>T1部件</v>
          </cell>
          <cell r="J6">
            <v>1</v>
          </cell>
          <cell r="K6">
            <v>6.8034367876556201E-2</v>
          </cell>
        </row>
        <row r="7">
          <cell r="I7" t="str">
            <v>T1部件</v>
          </cell>
          <cell r="J7">
            <v>1</v>
          </cell>
          <cell r="K7">
            <v>6.8034367876556201E-2</v>
          </cell>
        </row>
        <row r="8">
          <cell r="I8" t="str">
            <v>T1部件</v>
          </cell>
          <cell r="J8">
            <v>1</v>
          </cell>
          <cell r="K8">
            <v>6.8034367876556201E-2</v>
          </cell>
        </row>
        <row r="9">
          <cell r="I9" t="str">
            <v>T1部件</v>
          </cell>
          <cell r="J9">
            <v>1</v>
          </cell>
          <cell r="K9">
            <v>6.8034367876556201E-2</v>
          </cell>
        </row>
        <row r="10">
          <cell r="I10" t="str">
            <v>T1部件</v>
          </cell>
          <cell r="J10">
            <v>1</v>
          </cell>
          <cell r="K10">
            <v>6.8034367876556201E-2</v>
          </cell>
        </row>
        <row r="11">
          <cell r="I11" t="str">
            <v>T1部件</v>
          </cell>
          <cell r="J11">
            <v>1</v>
          </cell>
          <cell r="K11">
            <v>6.8034367876556201E-2</v>
          </cell>
        </row>
        <row r="12">
          <cell r="I12" t="str">
            <v>T1部件</v>
          </cell>
          <cell r="J12">
            <v>1</v>
          </cell>
          <cell r="K12">
            <v>6.8034367876556201E-2</v>
          </cell>
        </row>
        <row r="13">
          <cell r="I13" t="str">
            <v>T1部件</v>
          </cell>
          <cell r="J13">
            <v>1</v>
          </cell>
          <cell r="K13">
            <v>7.0138523584078558E-2</v>
          </cell>
        </row>
        <row r="14">
          <cell r="I14" t="str">
            <v>T1碎片</v>
          </cell>
          <cell r="J14">
            <v>2</v>
          </cell>
          <cell r="K14">
            <v>0.26068633353401566</v>
          </cell>
        </row>
        <row r="15">
          <cell r="I15" t="str">
            <v>T1碎片</v>
          </cell>
          <cell r="J15">
            <v>2</v>
          </cell>
          <cell r="K15">
            <v>0.26068633353401566</v>
          </cell>
        </row>
        <row r="16">
          <cell r="I16" t="str">
            <v>T1碎片</v>
          </cell>
          <cell r="J16">
            <v>2</v>
          </cell>
          <cell r="K16">
            <v>0.26068633353401566</v>
          </cell>
        </row>
        <row r="17">
          <cell r="I17" t="str">
            <v>T1部件</v>
          </cell>
          <cell r="J17">
            <v>2</v>
          </cell>
          <cell r="K17">
            <v>4.0939193257074055E-2</v>
          </cell>
        </row>
        <row r="18">
          <cell r="I18" t="str">
            <v>T1部件</v>
          </cell>
          <cell r="J18">
            <v>2</v>
          </cell>
          <cell r="K18">
            <v>4.0939193257074055E-2</v>
          </cell>
        </row>
        <row r="19">
          <cell r="I19" t="str">
            <v>T1部件</v>
          </cell>
          <cell r="J19">
            <v>2</v>
          </cell>
          <cell r="K19">
            <v>4.0939193257074055E-2</v>
          </cell>
        </row>
        <row r="20">
          <cell r="I20" t="str">
            <v>T1部件</v>
          </cell>
          <cell r="J20">
            <v>2</v>
          </cell>
          <cell r="K20">
            <v>4.0939193257074055E-2</v>
          </cell>
        </row>
        <row r="21">
          <cell r="I21" t="str">
            <v>T1部件</v>
          </cell>
          <cell r="J21">
            <v>2</v>
          </cell>
          <cell r="K21">
            <v>4.0939193257074055E-2</v>
          </cell>
        </row>
        <row r="22">
          <cell r="I22" t="str">
            <v>T1部件</v>
          </cell>
          <cell r="J22">
            <v>2</v>
          </cell>
          <cell r="K22">
            <v>4.0939193257074055E-2</v>
          </cell>
        </row>
        <row r="23">
          <cell r="I23" t="str">
            <v>T1部件</v>
          </cell>
          <cell r="J23">
            <v>2</v>
          </cell>
          <cell r="K23">
            <v>4.0939193257074055E-2</v>
          </cell>
        </row>
        <row r="24">
          <cell r="I24" t="str">
            <v>T1部件</v>
          </cell>
          <cell r="J24">
            <v>2</v>
          </cell>
          <cell r="K24">
            <v>4.0939193257074055E-2</v>
          </cell>
        </row>
        <row r="25">
          <cell r="I25" t="str">
            <v>T1部件</v>
          </cell>
          <cell r="J25">
            <v>2</v>
          </cell>
          <cell r="K25">
            <v>4.0939193257074055E-2</v>
          </cell>
        </row>
        <row r="26">
          <cell r="I26" t="str">
            <v>T1部件</v>
          </cell>
          <cell r="J26">
            <v>2</v>
          </cell>
          <cell r="K26">
            <v>4.0939193257074055E-2</v>
          </cell>
        </row>
        <row r="27">
          <cell r="I27" t="str">
            <v>T1部件</v>
          </cell>
          <cell r="J27">
            <v>2</v>
          </cell>
          <cell r="K27">
            <v>4.0939193257074055E-2</v>
          </cell>
        </row>
        <row r="28">
          <cell r="I28" t="str">
            <v>T1部件</v>
          </cell>
          <cell r="J28">
            <v>2</v>
          </cell>
          <cell r="K28">
            <v>4.0939193257074055E-2</v>
          </cell>
        </row>
        <row r="29">
          <cell r="I29" t="str">
            <v>T1部件</v>
          </cell>
          <cell r="J29">
            <v>2</v>
          </cell>
          <cell r="K29">
            <v>4.0939193257074055E-2</v>
          </cell>
        </row>
        <row r="30">
          <cell r="I30" t="str">
            <v>T1部件</v>
          </cell>
          <cell r="J30">
            <v>2</v>
          </cell>
          <cell r="K30">
            <v>4.0939193257074055E-2</v>
          </cell>
        </row>
        <row r="31">
          <cell r="I31" t="str">
            <v>T1部件</v>
          </cell>
          <cell r="J31">
            <v>2</v>
          </cell>
          <cell r="K31">
            <v>4.0939193257074055E-2</v>
          </cell>
        </row>
        <row r="32">
          <cell r="I32" t="str">
            <v>T1部件</v>
          </cell>
          <cell r="J32">
            <v>2</v>
          </cell>
          <cell r="K32">
            <v>4.0939193257074055E-2</v>
          </cell>
        </row>
        <row r="33">
          <cell r="I33" t="str">
            <v>T1部件</v>
          </cell>
          <cell r="J33">
            <v>2</v>
          </cell>
          <cell r="K33">
            <v>4.0939193257074055E-2</v>
          </cell>
        </row>
        <row r="34">
          <cell r="I34" t="str">
            <v>T1部件</v>
          </cell>
          <cell r="J34">
            <v>2</v>
          </cell>
          <cell r="K34">
            <v>4.3347381095725467E-2</v>
          </cell>
        </row>
        <row r="35">
          <cell r="I35" t="str">
            <v>T1碎片</v>
          </cell>
          <cell r="J35">
            <v>3</v>
          </cell>
          <cell r="K35">
            <v>0.10778535980148883</v>
          </cell>
        </row>
        <row r="36">
          <cell r="I36" t="str">
            <v>T1碎片</v>
          </cell>
          <cell r="J36">
            <v>3</v>
          </cell>
          <cell r="K36">
            <v>0.10778535980148883</v>
          </cell>
        </row>
        <row r="37">
          <cell r="I37" t="str">
            <v>T1碎片</v>
          </cell>
          <cell r="J37">
            <v>3</v>
          </cell>
          <cell r="K37">
            <v>0.10778535980148883</v>
          </cell>
        </row>
        <row r="38">
          <cell r="I38" t="str">
            <v>T2碎片</v>
          </cell>
          <cell r="J38">
            <v>3</v>
          </cell>
          <cell r="K38">
            <v>0.10080645161290322</v>
          </cell>
        </row>
        <row r="39">
          <cell r="I39" t="str">
            <v>T2碎片</v>
          </cell>
          <cell r="J39">
            <v>3</v>
          </cell>
          <cell r="K39">
            <v>0.10080645161290322</v>
          </cell>
        </row>
        <row r="40">
          <cell r="I40" t="str">
            <v>T2碎片</v>
          </cell>
          <cell r="J40">
            <v>3</v>
          </cell>
          <cell r="K40">
            <v>0.10080645161290322</v>
          </cell>
        </row>
        <row r="41">
          <cell r="I41" t="str">
            <v>T2碎片</v>
          </cell>
          <cell r="J41">
            <v>3</v>
          </cell>
          <cell r="K41">
            <v>7.1029776674937969E-2</v>
          </cell>
        </row>
        <row r="42">
          <cell r="I42" t="str">
            <v>T2碎片</v>
          </cell>
          <cell r="J42">
            <v>3</v>
          </cell>
          <cell r="K42">
            <v>7.1029776674937969E-2</v>
          </cell>
        </row>
        <row r="43">
          <cell r="I43" t="str">
            <v>T2碎片</v>
          </cell>
          <cell r="J43">
            <v>3</v>
          </cell>
          <cell r="K43">
            <v>7.1029776674937969E-2</v>
          </cell>
        </row>
        <row r="44">
          <cell r="I44" t="str">
            <v>T1部件</v>
          </cell>
          <cell r="J44">
            <v>3</v>
          </cell>
          <cell r="K44">
            <v>2.2332506203473945E-2</v>
          </cell>
        </row>
        <row r="45">
          <cell r="I45" t="str">
            <v>T1部件</v>
          </cell>
          <cell r="J45">
            <v>3</v>
          </cell>
          <cell r="K45">
            <v>2.2332506203473945E-2</v>
          </cell>
        </row>
        <row r="46">
          <cell r="I46" t="str">
            <v>T1部件</v>
          </cell>
          <cell r="J46">
            <v>3</v>
          </cell>
          <cell r="K46">
            <v>2.2332506203473945E-2</v>
          </cell>
        </row>
        <row r="47">
          <cell r="I47" t="str">
            <v>T1部件</v>
          </cell>
          <cell r="J47">
            <v>3</v>
          </cell>
          <cell r="K47">
            <v>2.2332506203473945E-2</v>
          </cell>
        </row>
        <row r="48">
          <cell r="I48" t="str">
            <v>T1部件</v>
          </cell>
          <cell r="J48">
            <v>3</v>
          </cell>
          <cell r="K48">
            <v>2.2332506203473945E-2</v>
          </cell>
        </row>
        <row r="49">
          <cell r="I49" t="str">
            <v>T1部件</v>
          </cell>
          <cell r="J49">
            <v>3</v>
          </cell>
          <cell r="K49">
            <v>2.2332506203473945E-2</v>
          </cell>
        </row>
        <row r="50">
          <cell r="I50" t="str">
            <v>T1部件</v>
          </cell>
          <cell r="J50">
            <v>3</v>
          </cell>
          <cell r="K50">
            <v>2.2332506203473945E-2</v>
          </cell>
        </row>
        <row r="51">
          <cell r="I51" t="str">
            <v>T1部件</v>
          </cell>
          <cell r="J51">
            <v>3</v>
          </cell>
          <cell r="K51">
            <v>2.2332506203473945E-2</v>
          </cell>
        </row>
        <row r="52">
          <cell r="I52" t="str">
            <v>T1部件</v>
          </cell>
          <cell r="J52">
            <v>3</v>
          </cell>
          <cell r="K52">
            <v>2.2332506203473945E-2</v>
          </cell>
        </row>
        <row r="53">
          <cell r="I53" t="str">
            <v>T1部件</v>
          </cell>
          <cell r="J53">
            <v>3</v>
          </cell>
          <cell r="K53">
            <v>2.2332506203473945E-2</v>
          </cell>
        </row>
        <row r="54">
          <cell r="I54" t="str">
            <v>T1部件</v>
          </cell>
          <cell r="J54">
            <v>3</v>
          </cell>
          <cell r="K54">
            <v>2.2332506203473945E-2</v>
          </cell>
        </row>
        <row r="55">
          <cell r="I55" t="str">
            <v>T1部件</v>
          </cell>
          <cell r="J55">
            <v>3</v>
          </cell>
          <cell r="K55">
            <v>2.2332506203473945E-2</v>
          </cell>
        </row>
        <row r="56">
          <cell r="I56" t="str">
            <v>T1部件</v>
          </cell>
          <cell r="J56">
            <v>3</v>
          </cell>
          <cell r="K56">
            <v>2.2332506203473945E-2</v>
          </cell>
        </row>
        <row r="57">
          <cell r="I57" t="str">
            <v>T1部件</v>
          </cell>
          <cell r="J57">
            <v>3</v>
          </cell>
          <cell r="K57">
            <v>2.2332506203473945E-2</v>
          </cell>
        </row>
        <row r="58">
          <cell r="I58" t="str">
            <v>T1部件</v>
          </cell>
          <cell r="J58">
            <v>3</v>
          </cell>
          <cell r="K58">
            <v>2.2332506203473945E-2</v>
          </cell>
        </row>
        <row r="59">
          <cell r="I59" t="str">
            <v>T1部件</v>
          </cell>
          <cell r="J59">
            <v>3</v>
          </cell>
          <cell r="K59">
            <v>2.2332506203473945E-2</v>
          </cell>
        </row>
        <row r="60">
          <cell r="I60" t="str">
            <v>T1部件</v>
          </cell>
          <cell r="J60">
            <v>3</v>
          </cell>
          <cell r="K60">
            <v>2.2332506203473945E-2</v>
          </cell>
        </row>
        <row r="61">
          <cell r="I61" t="str">
            <v>T1部件</v>
          </cell>
          <cell r="J61">
            <v>3</v>
          </cell>
          <cell r="K61">
            <v>2.2332506203473945E-2</v>
          </cell>
        </row>
        <row r="62">
          <cell r="I62" t="str">
            <v>T2部件</v>
          </cell>
          <cell r="J62">
            <v>3</v>
          </cell>
          <cell r="K62">
            <v>1.1476426799007445E-2</v>
          </cell>
        </row>
        <row r="63">
          <cell r="I63" t="str">
            <v>T2部件</v>
          </cell>
          <cell r="J63">
            <v>3</v>
          </cell>
          <cell r="K63">
            <v>1.1476426799007445E-2</v>
          </cell>
        </row>
        <row r="64">
          <cell r="I64" t="str">
            <v>T2部件</v>
          </cell>
          <cell r="J64">
            <v>3</v>
          </cell>
          <cell r="K64">
            <v>1.1476426799007445E-2</v>
          </cell>
        </row>
        <row r="65">
          <cell r="I65" t="str">
            <v>T2部件</v>
          </cell>
          <cell r="J65">
            <v>3</v>
          </cell>
          <cell r="K65">
            <v>1.1476426799007445E-2</v>
          </cell>
        </row>
        <row r="66">
          <cell r="I66" t="str">
            <v>T2部件</v>
          </cell>
          <cell r="J66">
            <v>3</v>
          </cell>
          <cell r="K66">
            <v>1.1476426799007445E-2</v>
          </cell>
        </row>
        <row r="67">
          <cell r="I67" t="str">
            <v>T2部件</v>
          </cell>
          <cell r="J67">
            <v>3</v>
          </cell>
          <cell r="K67">
            <v>1.1476426799007445E-2</v>
          </cell>
        </row>
        <row r="68">
          <cell r="I68" t="str">
            <v>T2部件</v>
          </cell>
          <cell r="J68">
            <v>3</v>
          </cell>
          <cell r="K68">
            <v>1.1476426799007445E-2</v>
          </cell>
        </row>
        <row r="69">
          <cell r="I69" t="str">
            <v>T2部件</v>
          </cell>
          <cell r="J69">
            <v>3</v>
          </cell>
          <cell r="K69">
            <v>1.1476426799007445E-2</v>
          </cell>
        </row>
        <row r="70">
          <cell r="I70" t="str">
            <v>T2部件</v>
          </cell>
          <cell r="J70">
            <v>3</v>
          </cell>
          <cell r="K70">
            <v>1.2562034739454095E-2</v>
          </cell>
        </row>
        <row r="71">
          <cell r="I71" t="str">
            <v>T1碎片</v>
          </cell>
          <cell r="J71">
            <v>4</v>
          </cell>
          <cell r="K71">
            <v>0.10235414534288638</v>
          </cell>
        </row>
        <row r="72">
          <cell r="I72" t="str">
            <v>T1碎片</v>
          </cell>
          <cell r="J72">
            <v>4</v>
          </cell>
          <cell r="K72">
            <v>0.10235414534288638</v>
          </cell>
        </row>
        <row r="73">
          <cell r="I73" t="str">
            <v>T1碎片</v>
          </cell>
          <cell r="J73">
            <v>4</v>
          </cell>
          <cell r="K73">
            <v>0.10235414534288638</v>
          </cell>
        </row>
        <row r="74">
          <cell r="I74" t="str">
            <v>T2碎片</v>
          </cell>
          <cell r="J74">
            <v>4</v>
          </cell>
          <cell r="K74">
            <v>0.19301067407515718</v>
          </cell>
        </row>
        <row r="75">
          <cell r="I75" t="str">
            <v>T2碎片</v>
          </cell>
          <cell r="J75">
            <v>4</v>
          </cell>
          <cell r="K75">
            <v>0.19301067407515718</v>
          </cell>
        </row>
        <row r="76">
          <cell r="I76" t="str">
            <v>T2碎片</v>
          </cell>
          <cell r="J76">
            <v>4</v>
          </cell>
          <cell r="K76">
            <v>0.19301067407515718</v>
          </cell>
        </row>
        <row r="77">
          <cell r="I77" t="str">
            <v>T2碎片</v>
          </cell>
          <cell r="J77">
            <v>4</v>
          </cell>
          <cell r="K77">
            <v>7.6765609007164795E-2</v>
          </cell>
        </row>
        <row r="78">
          <cell r="I78" t="str">
            <v>T2碎片</v>
          </cell>
          <cell r="J78">
            <v>4</v>
          </cell>
          <cell r="K78">
            <v>7.6765609007164795E-2</v>
          </cell>
        </row>
        <row r="79">
          <cell r="I79" t="str">
            <v>T2碎片</v>
          </cell>
          <cell r="J79">
            <v>4</v>
          </cell>
          <cell r="K79">
            <v>7.6765609007164795E-2</v>
          </cell>
        </row>
        <row r="80">
          <cell r="I80" t="str">
            <v>T1部件</v>
          </cell>
          <cell r="J80">
            <v>4</v>
          </cell>
          <cell r="K80">
            <v>1.6522883462494517E-2</v>
          </cell>
        </row>
        <row r="81">
          <cell r="I81" t="str">
            <v>T1部件</v>
          </cell>
          <cell r="J81">
            <v>4</v>
          </cell>
          <cell r="K81">
            <v>1.6522883462494517E-2</v>
          </cell>
        </row>
        <row r="82">
          <cell r="I82" t="str">
            <v>T1部件</v>
          </cell>
          <cell r="J82">
            <v>4</v>
          </cell>
          <cell r="K82">
            <v>1.6522883462494517E-2</v>
          </cell>
        </row>
        <row r="83">
          <cell r="I83" t="str">
            <v>T1部件</v>
          </cell>
          <cell r="J83">
            <v>4</v>
          </cell>
          <cell r="K83">
            <v>1.6522883462494517E-2</v>
          </cell>
        </row>
        <row r="84">
          <cell r="I84" t="str">
            <v>T1部件</v>
          </cell>
          <cell r="J84">
            <v>4</v>
          </cell>
          <cell r="K84">
            <v>1.6522883462494517E-2</v>
          </cell>
        </row>
        <row r="85">
          <cell r="I85" t="str">
            <v>T1部件</v>
          </cell>
          <cell r="J85">
            <v>4</v>
          </cell>
          <cell r="K85">
            <v>1.6522883462494517E-2</v>
          </cell>
        </row>
        <row r="86">
          <cell r="I86" t="str">
            <v>T1部件</v>
          </cell>
          <cell r="J86">
            <v>4</v>
          </cell>
          <cell r="K86">
            <v>1.6522883462494517E-2</v>
          </cell>
        </row>
        <row r="87">
          <cell r="I87" t="str">
            <v>T1部件</v>
          </cell>
          <cell r="J87">
            <v>4</v>
          </cell>
          <cell r="K87">
            <v>1.6522883462494517E-2</v>
          </cell>
        </row>
        <row r="88">
          <cell r="I88" t="str">
            <v>T1部件</v>
          </cell>
          <cell r="J88">
            <v>4</v>
          </cell>
          <cell r="K88">
            <v>1.6522883462494517E-2</v>
          </cell>
        </row>
        <row r="89">
          <cell r="I89" t="str">
            <v>T1部件</v>
          </cell>
          <cell r="J89">
            <v>4</v>
          </cell>
          <cell r="K89">
            <v>1.6522883462494517E-2</v>
          </cell>
        </row>
        <row r="90">
          <cell r="I90" t="str">
            <v>T1部件</v>
          </cell>
          <cell r="J90">
            <v>4</v>
          </cell>
          <cell r="K90">
            <v>1.6522883462494517E-2</v>
          </cell>
        </row>
        <row r="91">
          <cell r="I91" t="str">
            <v>T1部件</v>
          </cell>
          <cell r="J91">
            <v>4</v>
          </cell>
          <cell r="K91">
            <v>1.6522883462494517E-2</v>
          </cell>
        </row>
        <row r="92">
          <cell r="I92" t="str">
            <v>T1部件</v>
          </cell>
          <cell r="J92">
            <v>4</v>
          </cell>
          <cell r="K92">
            <v>1.6522883462494517E-2</v>
          </cell>
        </row>
        <row r="93">
          <cell r="I93" t="str">
            <v>T1部件</v>
          </cell>
          <cell r="J93">
            <v>4</v>
          </cell>
          <cell r="K93">
            <v>1.6522883462494517E-2</v>
          </cell>
        </row>
        <row r="94">
          <cell r="I94" t="str">
            <v>T1部件</v>
          </cell>
          <cell r="J94">
            <v>4</v>
          </cell>
          <cell r="K94">
            <v>1.6522883462494517E-2</v>
          </cell>
        </row>
        <row r="95">
          <cell r="I95" t="str">
            <v>T1部件</v>
          </cell>
          <cell r="J95">
            <v>4</v>
          </cell>
          <cell r="K95">
            <v>1.6522883462494517E-2</v>
          </cell>
        </row>
        <row r="96">
          <cell r="I96" t="str">
            <v>T1部件</v>
          </cell>
          <cell r="J96">
            <v>4</v>
          </cell>
          <cell r="K96">
            <v>1.6522883462494517E-2</v>
          </cell>
        </row>
        <row r="97">
          <cell r="I97" t="str">
            <v>T1部件</v>
          </cell>
          <cell r="J97">
            <v>4</v>
          </cell>
          <cell r="K97">
            <v>1.6522883462494517E-2</v>
          </cell>
        </row>
        <row r="98">
          <cell r="I98" t="str">
            <v>T2部件</v>
          </cell>
          <cell r="J98">
            <v>4</v>
          </cell>
          <cell r="K98">
            <v>8.3345518350636059E-3</v>
          </cell>
        </row>
        <row r="99">
          <cell r="I99" t="str">
            <v>T2部件</v>
          </cell>
          <cell r="J99">
            <v>4</v>
          </cell>
          <cell r="K99">
            <v>8.3345518350636059E-3</v>
          </cell>
        </row>
        <row r="100">
          <cell r="I100" t="str">
            <v>T2部件</v>
          </cell>
          <cell r="J100">
            <v>4</v>
          </cell>
          <cell r="K100">
            <v>8.3345518350636059E-3</v>
          </cell>
        </row>
        <row r="101">
          <cell r="I101" t="str">
            <v>T2部件</v>
          </cell>
          <cell r="J101">
            <v>4</v>
          </cell>
          <cell r="K101">
            <v>8.3345518350636059E-3</v>
          </cell>
        </row>
        <row r="102">
          <cell r="I102" t="str">
            <v>T2部件</v>
          </cell>
          <cell r="J102">
            <v>4</v>
          </cell>
          <cell r="K102">
            <v>8.3345518350636059E-3</v>
          </cell>
        </row>
        <row r="103">
          <cell r="I103" t="str">
            <v>T2部件</v>
          </cell>
          <cell r="J103">
            <v>4</v>
          </cell>
          <cell r="K103">
            <v>8.3345518350636059E-3</v>
          </cell>
        </row>
        <row r="104">
          <cell r="I104" t="str">
            <v>T2部件</v>
          </cell>
          <cell r="J104">
            <v>4</v>
          </cell>
          <cell r="K104">
            <v>8.3345518350636059E-3</v>
          </cell>
        </row>
        <row r="105">
          <cell r="I105" t="str">
            <v>T2部件</v>
          </cell>
          <cell r="J105">
            <v>4</v>
          </cell>
          <cell r="K105">
            <v>8.3345518350636059E-3</v>
          </cell>
        </row>
        <row r="106">
          <cell r="I106" t="str">
            <v>T2部件</v>
          </cell>
          <cell r="J106">
            <v>4</v>
          </cell>
          <cell r="K106">
            <v>8.3345518350636059E-3</v>
          </cell>
        </row>
        <row r="107">
          <cell r="I107" t="str">
            <v>T2部件</v>
          </cell>
          <cell r="J107">
            <v>4</v>
          </cell>
          <cell r="K107">
            <v>8.3345518350636059E-3</v>
          </cell>
        </row>
        <row r="108">
          <cell r="I108" t="str">
            <v>T2部件</v>
          </cell>
          <cell r="J108">
            <v>4</v>
          </cell>
          <cell r="K108">
            <v>8.3345518350636059E-3</v>
          </cell>
        </row>
        <row r="109">
          <cell r="I109" t="str">
            <v>T2部件</v>
          </cell>
          <cell r="J109">
            <v>4</v>
          </cell>
          <cell r="K109">
            <v>8.3345518350636059E-3</v>
          </cell>
        </row>
        <row r="110">
          <cell r="I110" t="str">
            <v>T2部件</v>
          </cell>
          <cell r="J110">
            <v>4</v>
          </cell>
          <cell r="K110">
            <v>8.3345518350636059E-3</v>
          </cell>
        </row>
        <row r="111">
          <cell r="I111" t="str">
            <v>T2部件</v>
          </cell>
          <cell r="J111">
            <v>4</v>
          </cell>
          <cell r="K111">
            <v>8.3345518350636059E-3</v>
          </cell>
        </row>
        <row r="112">
          <cell r="I112" t="str">
            <v>T2部件</v>
          </cell>
          <cell r="J112">
            <v>4</v>
          </cell>
          <cell r="K112">
            <v>8.3345518350636059E-3</v>
          </cell>
        </row>
        <row r="113">
          <cell r="I113" t="str">
            <v>T2部件</v>
          </cell>
          <cell r="J113">
            <v>4</v>
          </cell>
          <cell r="K113">
            <v>8.3345518350636059E-3</v>
          </cell>
        </row>
        <row r="114">
          <cell r="I114" t="str">
            <v>T2部件</v>
          </cell>
          <cell r="J114">
            <v>4</v>
          </cell>
          <cell r="K114">
            <v>8.3345518350636059E-3</v>
          </cell>
        </row>
        <row r="115">
          <cell r="I115" t="str">
            <v>T2部件</v>
          </cell>
          <cell r="J115">
            <v>4</v>
          </cell>
          <cell r="K115">
            <v>1.1258955987717503E-2</v>
          </cell>
        </row>
        <row r="116">
          <cell r="I116" t="str">
            <v>T1碎片</v>
          </cell>
          <cell r="J116">
            <v>5</v>
          </cell>
          <cell r="K116">
            <v>0.10045888627061889</v>
          </cell>
        </row>
        <row r="117">
          <cell r="I117" t="str">
            <v>T1碎片</v>
          </cell>
          <cell r="J117">
            <v>5</v>
          </cell>
          <cell r="K117">
            <v>0.10045888627061889</v>
          </cell>
        </row>
        <row r="118">
          <cell r="I118" t="str">
            <v>T1碎片</v>
          </cell>
          <cell r="J118">
            <v>5</v>
          </cell>
          <cell r="K118">
            <v>0.10045888627061889</v>
          </cell>
        </row>
        <row r="119">
          <cell r="I119" t="str">
            <v>T2碎片</v>
          </cell>
          <cell r="J119">
            <v>5</v>
          </cell>
          <cell r="K119">
            <v>9.2645417338459629E-2</v>
          </cell>
        </row>
        <row r="120">
          <cell r="I120" t="str">
            <v>T2碎片</v>
          </cell>
          <cell r="J120">
            <v>5</v>
          </cell>
          <cell r="K120">
            <v>9.2645417338459629E-2</v>
          </cell>
        </row>
        <row r="121">
          <cell r="I121" t="str">
            <v>T2碎片</v>
          </cell>
          <cell r="J121">
            <v>5</v>
          </cell>
          <cell r="K121">
            <v>9.2645417338459629E-2</v>
          </cell>
        </row>
        <row r="122">
          <cell r="I122" t="str">
            <v>T3碎片</v>
          </cell>
          <cell r="J122">
            <v>5</v>
          </cell>
          <cell r="K122">
            <v>8.2723552027781228E-2</v>
          </cell>
        </row>
        <row r="123">
          <cell r="I123" t="str">
            <v>T3碎片</v>
          </cell>
          <cell r="J123">
            <v>5</v>
          </cell>
          <cell r="K123">
            <v>8.2723552027781228E-2</v>
          </cell>
        </row>
        <row r="124">
          <cell r="I124" t="str">
            <v>T3碎片</v>
          </cell>
          <cell r="J124">
            <v>5</v>
          </cell>
          <cell r="K124">
            <v>8.2723552027781228E-2</v>
          </cell>
        </row>
        <row r="125">
          <cell r="I125" t="str">
            <v>T3碎片</v>
          </cell>
          <cell r="J125">
            <v>5</v>
          </cell>
          <cell r="K125">
            <v>3.2494108892471785E-2</v>
          </cell>
        </row>
        <row r="126">
          <cell r="I126" t="str">
            <v>T3碎片</v>
          </cell>
          <cell r="J126">
            <v>5</v>
          </cell>
          <cell r="K126">
            <v>3.2494108892471785E-2</v>
          </cell>
        </row>
        <row r="127">
          <cell r="I127" t="str">
            <v>T3碎片</v>
          </cell>
          <cell r="J127">
            <v>5</v>
          </cell>
          <cell r="K127">
            <v>3.2494108892471785E-2</v>
          </cell>
        </row>
        <row r="128">
          <cell r="I128" t="str">
            <v>T1部件</v>
          </cell>
          <cell r="J128">
            <v>5</v>
          </cell>
          <cell r="K128">
            <v>1.4882797966017611E-2</v>
          </cell>
        </row>
        <row r="129">
          <cell r="I129" t="str">
            <v>T1部件</v>
          </cell>
          <cell r="J129">
            <v>5</v>
          </cell>
          <cell r="K129">
            <v>1.4882797966017611E-2</v>
          </cell>
        </row>
        <row r="130">
          <cell r="I130" t="str">
            <v>T1部件</v>
          </cell>
          <cell r="J130">
            <v>5</v>
          </cell>
          <cell r="K130">
            <v>1.4882797966017611E-2</v>
          </cell>
        </row>
        <row r="131">
          <cell r="I131" t="str">
            <v>T1部件</v>
          </cell>
          <cell r="J131">
            <v>5</v>
          </cell>
          <cell r="K131">
            <v>1.4882797966017611E-2</v>
          </cell>
        </row>
        <row r="132">
          <cell r="I132" t="str">
            <v>T1部件</v>
          </cell>
          <cell r="J132">
            <v>5</v>
          </cell>
          <cell r="K132">
            <v>1.4882797966017611E-2</v>
          </cell>
        </row>
        <row r="133">
          <cell r="I133" t="str">
            <v>T1部件</v>
          </cell>
          <cell r="J133">
            <v>5</v>
          </cell>
          <cell r="K133">
            <v>1.4882797966017611E-2</v>
          </cell>
        </row>
        <row r="134">
          <cell r="I134" t="str">
            <v>T1部件</v>
          </cell>
          <cell r="J134">
            <v>5</v>
          </cell>
          <cell r="K134">
            <v>1.4882797966017611E-2</v>
          </cell>
        </row>
        <row r="135">
          <cell r="I135" t="str">
            <v>T1部件</v>
          </cell>
          <cell r="J135">
            <v>5</v>
          </cell>
          <cell r="K135">
            <v>1.4882797966017611E-2</v>
          </cell>
        </row>
        <row r="136">
          <cell r="I136" t="str">
            <v>T1部件</v>
          </cell>
          <cell r="J136">
            <v>5</v>
          </cell>
          <cell r="K136">
            <v>1.4882797966017611E-2</v>
          </cell>
        </row>
        <row r="137">
          <cell r="I137" t="str">
            <v>T1部件</v>
          </cell>
          <cell r="J137">
            <v>5</v>
          </cell>
          <cell r="K137">
            <v>1.4882797966017611E-2</v>
          </cell>
        </row>
        <row r="138">
          <cell r="I138" t="str">
            <v>T1部件</v>
          </cell>
          <cell r="J138">
            <v>5</v>
          </cell>
          <cell r="K138">
            <v>1.4882797966017611E-2</v>
          </cell>
        </row>
        <row r="139">
          <cell r="I139" t="str">
            <v>T1部件</v>
          </cell>
          <cell r="J139">
            <v>5</v>
          </cell>
          <cell r="K139">
            <v>1.4882797966017611E-2</v>
          </cell>
        </row>
        <row r="140">
          <cell r="I140" t="str">
            <v>T1部件</v>
          </cell>
          <cell r="J140">
            <v>5</v>
          </cell>
          <cell r="K140">
            <v>1.4882797966017611E-2</v>
          </cell>
        </row>
        <row r="141">
          <cell r="I141" t="str">
            <v>T1部件</v>
          </cell>
          <cell r="J141">
            <v>5</v>
          </cell>
          <cell r="K141">
            <v>1.4882797966017611E-2</v>
          </cell>
        </row>
        <row r="142">
          <cell r="I142" t="str">
            <v>T1部件</v>
          </cell>
          <cell r="J142">
            <v>5</v>
          </cell>
          <cell r="K142">
            <v>1.4882797966017611E-2</v>
          </cell>
        </row>
        <row r="143">
          <cell r="I143" t="str">
            <v>T1部件</v>
          </cell>
          <cell r="J143">
            <v>5</v>
          </cell>
          <cell r="K143">
            <v>1.4882797966017611E-2</v>
          </cell>
        </row>
        <row r="144">
          <cell r="I144" t="str">
            <v>T1部件</v>
          </cell>
          <cell r="J144">
            <v>5</v>
          </cell>
          <cell r="K144">
            <v>1.4882797966017611E-2</v>
          </cell>
        </row>
        <row r="145">
          <cell r="I145" t="str">
            <v>T1部件</v>
          </cell>
          <cell r="J145">
            <v>5</v>
          </cell>
          <cell r="K145">
            <v>1.4882797966017611E-2</v>
          </cell>
        </row>
        <row r="146">
          <cell r="I146" t="str">
            <v>T2部件</v>
          </cell>
          <cell r="J146">
            <v>5</v>
          </cell>
          <cell r="K146">
            <v>7.3173756666253253E-3</v>
          </cell>
        </row>
        <row r="147">
          <cell r="I147" t="str">
            <v>T2部件</v>
          </cell>
          <cell r="J147">
            <v>5</v>
          </cell>
          <cell r="K147">
            <v>7.3173756666253253E-3</v>
          </cell>
        </row>
        <row r="148">
          <cell r="I148" t="str">
            <v>T2部件</v>
          </cell>
          <cell r="J148">
            <v>5</v>
          </cell>
          <cell r="K148">
            <v>7.3173756666253253E-3</v>
          </cell>
        </row>
        <row r="149">
          <cell r="I149" t="str">
            <v>T2部件</v>
          </cell>
          <cell r="J149">
            <v>5</v>
          </cell>
          <cell r="K149">
            <v>7.3173756666253253E-3</v>
          </cell>
        </row>
        <row r="150">
          <cell r="I150" t="str">
            <v>T2部件</v>
          </cell>
          <cell r="J150">
            <v>5</v>
          </cell>
          <cell r="K150">
            <v>7.3173756666253253E-3</v>
          </cell>
        </row>
        <row r="151">
          <cell r="I151" t="str">
            <v>T2部件</v>
          </cell>
          <cell r="J151">
            <v>5</v>
          </cell>
          <cell r="K151">
            <v>7.3173756666253253E-3</v>
          </cell>
        </row>
        <row r="152">
          <cell r="I152" t="str">
            <v>T2部件</v>
          </cell>
          <cell r="J152">
            <v>5</v>
          </cell>
          <cell r="K152">
            <v>7.3173756666253253E-3</v>
          </cell>
        </row>
        <row r="153">
          <cell r="I153" t="str">
            <v>T2部件</v>
          </cell>
          <cell r="J153">
            <v>5</v>
          </cell>
          <cell r="K153">
            <v>7.3173756666253253E-3</v>
          </cell>
        </row>
        <row r="154">
          <cell r="I154" t="str">
            <v>T2部件</v>
          </cell>
          <cell r="J154">
            <v>5</v>
          </cell>
          <cell r="K154">
            <v>7.3173756666253253E-3</v>
          </cell>
        </row>
        <row r="155">
          <cell r="I155" t="str">
            <v>T2部件</v>
          </cell>
          <cell r="J155">
            <v>5</v>
          </cell>
          <cell r="K155">
            <v>7.3173756666253253E-3</v>
          </cell>
        </row>
        <row r="156">
          <cell r="I156" t="str">
            <v>T2部件</v>
          </cell>
          <cell r="J156">
            <v>5</v>
          </cell>
          <cell r="K156">
            <v>7.3173756666253253E-3</v>
          </cell>
        </row>
        <row r="157">
          <cell r="I157" t="str">
            <v>T2部件</v>
          </cell>
          <cell r="J157">
            <v>5</v>
          </cell>
          <cell r="K157">
            <v>7.3173756666253253E-3</v>
          </cell>
        </row>
        <row r="158">
          <cell r="I158" t="str">
            <v>T2部件</v>
          </cell>
          <cell r="J158">
            <v>5</v>
          </cell>
          <cell r="K158">
            <v>7.3173756666253253E-3</v>
          </cell>
        </row>
        <row r="159">
          <cell r="I159" t="str">
            <v>T2部件</v>
          </cell>
          <cell r="J159">
            <v>5</v>
          </cell>
          <cell r="K159">
            <v>7.3173756666253253E-3</v>
          </cell>
        </row>
        <row r="160">
          <cell r="I160" t="str">
            <v>T2部件</v>
          </cell>
          <cell r="J160">
            <v>5</v>
          </cell>
          <cell r="K160">
            <v>7.3173756666253253E-3</v>
          </cell>
        </row>
        <row r="161">
          <cell r="I161" t="str">
            <v>T2部件</v>
          </cell>
          <cell r="J161">
            <v>5</v>
          </cell>
          <cell r="K161">
            <v>7.3173756666253253E-3</v>
          </cell>
        </row>
        <row r="162">
          <cell r="I162" t="str">
            <v>T2部件</v>
          </cell>
          <cell r="J162">
            <v>5</v>
          </cell>
          <cell r="K162">
            <v>7.3173756666253253E-3</v>
          </cell>
        </row>
        <row r="163">
          <cell r="I163" t="str">
            <v>T2部件</v>
          </cell>
          <cell r="J163">
            <v>5</v>
          </cell>
          <cell r="K163">
            <v>9.7978419942949275E-3</v>
          </cell>
        </row>
        <row r="164">
          <cell r="I164" t="str">
            <v>T1碎片</v>
          </cell>
          <cell r="J164">
            <v>6</v>
          </cell>
          <cell r="K164">
            <v>0.10150098425196849</v>
          </cell>
        </row>
        <row r="165">
          <cell r="I165" t="str">
            <v>T1碎片</v>
          </cell>
          <cell r="J165">
            <v>6</v>
          </cell>
          <cell r="K165">
            <v>0.10150098425196849</v>
          </cell>
        </row>
        <row r="166">
          <cell r="I166" t="str">
            <v>T1碎片</v>
          </cell>
          <cell r="J166">
            <v>6</v>
          </cell>
          <cell r="K166">
            <v>0.10150098425196849</v>
          </cell>
        </row>
        <row r="167">
          <cell r="I167" t="str">
            <v>T2碎片</v>
          </cell>
          <cell r="J167">
            <v>6</v>
          </cell>
          <cell r="K167">
            <v>7.6956200787401577E-2</v>
          </cell>
        </row>
        <row r="168">
          <cell r="I168" t="str">
            <v>T2碎片</v>
          </cell>
          <cell r="J168">
            <v>6</v>
          </cell>
          <cell r="K168">
            <v>7.6956200787401577E-2</v>
          </cell>
        </row>
        <row r="169">
          <cell r="I169" t="str">
            <v>T2碎片</v>
          </cell>
          <cell r="J169">
            <v>6</v>
          </cell>
          <cell r="K169">
            <v>7.6956200787401577E-2</v>
          </cell>
        </row>
        <row r="170">
          <cell r="I170" t="str">
            <v>T3碎片</v>
          </cell>
          <cell r="J170">
            <v>6</v>
          </cell>
          <cell r="K170">
            <v>8.7229330708661415E-2</v>
          </cell>
        </row>
        <row r="171">
          <cell r="I171" t="str">
            <v>T3碎片</v>
          </cell>
          <cell r="J171">
            <v>6</v>
          </cell>
          <cell r="K171">
            <v>8.7229330708661415E-2</v>
          </cell>
        </row>
        <row r="172">
          <cell r="I172" t="str">
            <v>T3碎片</v>
          </cell>
          <cell r="J172">
            <v>6</v>
          </cell>
          <cell r="K172">
            <v>8.7229330708661415E-2</v>
          </cell>
        </row>
        <row r="173">
          <cell r="I173" t="str">
            <v>T3碎片</v>
          </cell>
          <cell r="J173">
            <v>6</v>
          </cell>
          <cell r="K173">
            <v>5.3641732283464569E-2</v>
          </cell>
        </row>
        <row r="174">
          <cell r="I174" t="str">
            <v>T3碎片</v>
          </cell>
          <cell r="J174">
            <v>6</v>
          </cell>
          <cell r="K174">
            <v>5.3641732283464569E-2</v>
          </cell>
        </row>
        <row r="175">
          <cell r="I175" t="str">
            <v>T3碎片</v>
          </cell>
          <cell r="J175">
            <v>6</v>
          </cell>
          <cell r="K175">
            <v>5.3641732283464569E-2</v>
          </cell>
        </row>
        <row r="176">
          <cell r="I176" t="str">
            <v>T1部件</v>
          </cell>
          <cell r="J176">
            <v>6</v>
          </cell>
          <cell r="K176">
            <v>1.2672244094488189E-2</v>
          </cell>
        </row>
        <row r="177">
          <cell r="I177" t="str">
            <v>T1部件</v>
          </cell>
          <cell r="J177">
            <v>6</v>
          </cell>
          <cell r="K177">
            <v>1.2672244094488189E-2</v>
          </cell>
        </row>
        <row r="178">
          <cell r="I178" t="str">
            <v>T1部件</v>
          </cell>
          <cell r="J178">
            <v>6</v>
          </cell>
          <cell r="K178">
            <v>1.2672244094488189E-2</v>
          </cell>
        </row>
        <row r="179">
          <cell r="I179" t="str">
            <v>T1部件</v>
          </cell>
          <cell r="J179">
            <v>6</v>
          </cell>
          <cell r="K179">
            <v>1.2672244094488189E-2</v>
          </cell>
        </row>
        <row r="180">
          <cell r="I180" t="str">
            <v>T1部件</v>
          </cell>
          <cell r="J180">
            <v>6</v>
          </cell>
          <cell r="K180">
            <v>1.2672244094488189E-2</v>
          </cell>
        </row>
        <row r="181">
          <cell r="I181" t="str">
            <v>T1部件</v>
          </cell>
          <cell r="J181">
            <v>6</v>
          </cell>
          <cell r="K181">
            <v>1.2672244094488189E-2</v>
          </cell>
        </row>
        <row r="182">
          <cell r="I182" t="str">
            <v>T1部件</v>
          </cell>
          <cell r="J182">
            <v>6</v>
          </cell>
          <cell r="K182">
            <v>1.2672244094488189E-2</v>
          </cell>
        </row>
        <row r="183">
          <cell r="I183" t="str">
            <v>T1部件</v>
          </cell>
          <cell r="J183">
            <v>6</v>
          </cell>
          <cell r="K183">
            <v>1.2672244094488189E-2</v>
          </cell>
        </row>
        <row r="184">
          <cell r="I184" t="str">
            <v>T1部件</v>
          </cell>
          <cell r="J184">
            <v>6</v>
          </cell>
          <cell r="K184">
            <v>1.2672244094488189E-2</v>
          </cell>
        </row>
        <row r="185">
          <cell r="I185" t="str">
            <v>T1部件</v>
          </cell>
          <cell r="J185">
            <v>6</v>
          </cell>
          <cell r="K185">
            <v>1.2672244094488189E-2</v>
          </cell>
        </row>
        <row r="186">
          <cell r="I186" t="str">
            <v>T1部件</v>
          </cell>
          <cell r="J186">
            <v>6</v>
          </cell>
          <cell r="K186">
            <v>1.2672244094488189E-2</v>
          </cell>
        </row>
        <row r="187">
          <cell r="I187" t="str">
            <v>T1部件</v>
          </cell>
          <cell r="J187">
            <v>6</v>
          </cell>
          <cell r="K187">
            <v>1.2672244094488189E-2</v>
          </cell>
        </row>
        <row r="188">
          <cell r="I188" t="str">
            <v>T1部件</v>
          </cell>
          <cell r="J188">
            <v>6</v>
          </cell>
          <cell r="K188">
            <v>1.2672244094488189E-2</v>
          </cell>
        </row>
        <row r="189">
          <cell r="I189" t="str">
            <v>T1部件</v>
          </cell>
          <cell r="J189">
            <v>6</v>
          </cell>
          <cell r="K189">
            <v>1.2672244094488189E-2</v>
          </cell>
        </row>
        <row r="190">
          <cell r="I190" t="str">
            <v>T1部件</v>
          </cell>
          <cell r="J190">
            <v>6</v>
          </cell>
          <cell r="K190">
            <v>1.2672244094488189E-2</v>
          </cell>
        </row>
        <row r="191">
          <cell r="I191" t="str">
            <v>T1部件</v>
          </cell>
          <cell r="J191">
            <v>6</v>
          </cell>
          <cell r="K191">
            <v>1.2672244094488189E-2</v>
          </cell>
        </row>
        <row r="192">
          <cell r="I192" t="str">
            <v>T1部件</v>
          </cell>
          <cell r="J192">
            <v>6</v>
          </cell>
          <cell r="K192">
            <v>1.2672244094488189E-2</v>
          </cell>
        </row>
        <row r="193">
          <cell r="I193" t="str">
            <v>T1部件</v>
          </cell>
          <cell r="J193">
            <v>6</v>
          </cell>
          <cell r="K193">
            <v>1.2672244094488189E-2</v>
          </cell>
        </row>
        <row r="194">
          <cell r="I194" t="str">
            <v>T2部件</v>
          </cell>
          <cell r="J194">
            <v>6</v>
          </cell>
          <cell r="K194">
            <v>6.1515748031496066E-3</v>
          </cell>
        </row>
        <row r="195">
          <cell r="I195" t="str">
            <v>T2部件</v>
          </cell>
          <cell r="J195">
            <v>6</v>
          </cell>
          <cell r="K195">
            <v>6.1515748031496066E-3</v>
          </cell>
        </row>
        <row r="196">
          <cell r="I196" t="str">
            <v>T2部件</v>
          </cell>
          <cell r="J196">
            <v>6</v>
          </cell>
          <cell r="K196">
            <v>6.1515748031496066E-3</v>
          </cell>
        </row>
        <row r="197">
          <cell r="I197" t="str">
            <v>T2部件</v>
          </cell>
          <cell r="J197">
            <v>6</v>
          </cell>
          <cell r="K197">
            <v>6.1515748031496066E-3</v>
          </cell>
        </row>
        <row r="198">
          <cell r="I198" t="str">
            <v>T2部件</v>
          </cell>
          <cell r="J198">
            <v>6</v>
          </cell>
          <cell r="K198">
            <v>6.1515748031496066E-3</v>
          </cell>
        </row>
        <row r="199">
          <cell r="I199" t="str">
            <v>T2部件</v>
          </cell>
          <cell r="J199">
            <v>6</v>
          </cell>
          <cell r="K199">
            <v>6.1515748031496066E-3</v>
          </cell>
        </row>
        <row r="200">
          <cell r="I200" t="str">
            <v>T2部件</v>
          </cell>
          <cell r="J200">
            <v>6</v>
          </cell>
          <cell r="K200">
            <v>6.1515748031496066E-3</v>
          </cell>
        </row>
        <row r="201">
          <cell r="I201" t="str">
            <v>T2部件</v>
          </cell>
          <cell r="J201">
            <v>6</v>
          </cell>
          <cell r="K201">
            <v>6.1515748031496066E-3</v>
          </cell>
        </row>
        <row r="202">
          <cell r="I202" t="str">
            <v>T2部件</v>
          </cell>
          <cell r="J202">
            <v>6</v>
          </cell>
          <cell r="K202">
            <v>6.1515748031496066E-3</v>
          </cell>
        </row>
        <row r="203">
          <cell r="I203" t="str">
            <v>T2部件</v>
          </cell>
          <cell r="J203">
            <v>6</v>
          </cell>
          <cell r="K203">
            <v>6.1515748031496066E-3</v>
          </cell>
        </row>
        <row r="204">
          <cell r="I204" t="str">
            <v>T2部件</v>
          </cell>
          <cell r="J204">
            <v>6</v>
          </cell>
          <cell r="K204">
            <v>6.1515748031496066E-3</v>
          </cell>
        </row>
        <row r="205">
          <cell r="I205" t="str">
            <v>T2部件</v>
          </cell>
          <cell r="J205">
            <v>6</v>
          </cell>
          <cell r="K205">
            <v>6.1515748031496066E-3</v>
          </cell>
        </row>
        <row r="206">
          <cell r="I206" t="str">
            <v>T2部件</v>
          </cell>
          <cell r="J206">
            <v>6</v>
          </cell>
          <cell r="K206">
            <v>6.1515748031496066E-3</v>
          </cell>
        </row>
        <row r="207">
          <cell r="I207" t="str">
            <v>T2部件</v>
          </cell>
          <cell r="J207">
            <v>6</v>
          </cell>
          <cell r="K207">
            <v>6.1515748031496066E-3</v>
          </cell>
        </row>
        <row r="208">
          <cell r="I208" t="str">
            <v>T2部件</v>
          </cell>
          <cell r="J208">
            <v>6</v>
          </cell>
          <cell r="K208">
            <v>6.1515748031496066E-3</v>
          </cell>
        </row>
        <row r="209">
          <cell r="I209" t="str">
            <v>T2部件</v>
          </cell>
          <cell r="J209">
            <v>6</v>
          </cell>
          <cell r="K209">
            <v>6.1515748031496066E-3</v>
          </cell>
        </row>
        <row r="210">
          <cell r="I210" t="str">
            <v>T2部件</v>
          </cell>
          <cell r="J210">
            <v>6</v>
          </cell>
          <cell r="K210">
            <v>6.1515748031496066E-3</v>
          </cell>
        </row>
        <row r="211">
          <cell r="I211" t="str">
            <v>T2部件</v>
          </cell>
          <cell r="J211">
            <v>6</v>
          </cell>
          <cell r="K211">
            <v>6.1515748031496066E-3</v>
          </cell>
        </row>
        <row r="212">
          <cell r="I212" t="str">
            <v>T3部件</v>
          </cell>
          <cell r="J212">
            <v>6</v>
          </cell>
          <cell r="K212">
            <v>3.1988188976377952E-3</v>
          </cell>
        </row>
        <row r="213">
          <cell r="I213" t="str">
            <v>T3部件</v>
          </cell>
          <cell r="J213">
            <v>6</v>
          </cell>
          <cell r="K213">
            <v>3.1988188976377952E-3</v>
          </cell>
        </row>
        <row r="214">
          <cell r="I214" t="str">
            <v>T3部件</v>
          </cell>
          <cell r="J214">
            <v>6</v>
          </cell>
          <cell r="K214">
            <v>3.1988188976377952E-3</v>
          </cell>
        </row>
        <row r="215">
          <cell r="I215" t="str">
            <v>T3部件</v>
          </cell>
          <cell r="J215">
            <v>6</v>
          </cell>
          <cell r="K215">
            <v>3.1988188976377952E-3</v>
          </cell>
        </row>
        <row r="216">
          <cell r="I216" t="str">
            <v>T3部件</v>
          </cell>
          <cell r="J216">
            <v>6</v>
          </cell>
          <cell r="K216">
            <v>3.1988188976377952E-3</v>
          </cell>
        </row>
        <row r="217">
          <cell r="I217" t="str">
            <v>T3部件</v>
          </cell>
          <cell r="J217">
            <v>6</v>
          </cell>
          <cell r="K217">
            <v>3.1988188976377952E-3</v>
          </cell>
        </row>
        <row r="218">
          <cell r="I218" t="str">
            <v>T3部件</v>
          </cell>
          <cell r="J218">
            <v>6</v>
          </cell>
          <cell r="K218">
            <v>3.1988188976377952E-3</v>
          </cell>
        </row>
        <row r="219">
          <cell r="I219" t="str">
            <v>T3部件</v>
          </cell>
          <cell r="J219">
            <v>6</v>
          </cell>
          <cell r="K219">
            <v>3.1988188976377952E-3</v>
          </cell>
        </row>
        <row r="220">
          <cell r="I220" t="str">
            <v>T3部件</v>
          </cell>
          <cell r="J220">
            <v>6</v>
          </cell>
          <cell r="K220">
            <v>3.6909448818897637E-3</v>
          </cell>
        </row>
        <row r="221">
          <cell r="I221" t="str">
            <v>T1碎片</v>
          </cell>
          <cell r="J221">
            <v>7</v>
          </cell>
          <cell r="K221">
            <v>9.7322165860563886E-2</v>
          </cell>
        </row>
        <row r="222">
          <cell r="I222" t="str">
            <v>T1碎片</v>
          </cell>
          <cell r="J222">
            <v>7</v>
          </cell>
          <cell r="K222">
            <v>9.7322165860563886E-2</v>
          </cell>
        </row>
        <row r="223">
          <cell r="I223" t="str">
            <v>T1碎片</v>
          </cell>
          <cell r="J223">
            <v>7</v>
          </cell>
          <cell r="K223">
            <v>9.7322165860563886E-2</v>
          </cell>
        </row>
        <row r="224">
          <cell r="I224" t="str">
            <v>T2碎片</v>
          </cell>
          <cell r="J224">
            <v>7</v>
          </cell>
          <cell r="K224">
            <v>2.4772914946325351E-2</v>
          </cell>
        </row>
        <row r="225">
          <cell r="I225" t="str">
            <v>T2碎片</v>
          </cell>
          <cell r="J225">
            <v>7</v>
          </cell>
          <cell r="K225">
            <v>2.4772914946325351E-2</v>
          </cell>
        </row>
        <row r="226">
          <cell r="I226" t="str">
            <v>T2碎片</v>
          </cell>
          <cell r="J226">
            <v>7</v>
          </cell>
          <cell r="K226">
            <v>2.4772914946325351E-2</v>
          </cell>
        </row>
        <row r="227">
          <cell r="I227" t="str">
            <v>T3碎片</v>
          </cell>
          <cell r="J227">
            <v>7</v>
          </cell>
          <cell r="K227">
            <v>0.16084699775864103</v>
          </cell>
        </row>
        <row r="228">
          <cell r="I228" t="str">
            <v>T3碎片</v>
          </cell>
          <cell r="J228">
            <v>7</v>
          </cell>
          <cell r="K228">
            <v>0.16084699775864103</v>
          </cell>
        </row>
        <row r="229">
          <cell r="I229" t="str">
            <v>T3碎片</v>
          </cell>
          <cell r="J229">
            <v>7</v>
          </cell>
          <cell r="K229">
            <v>0.16084699775864103</v>
          </cell>
        </row>
        <row r="230">
          <cell r="I230" t="str">
            <v>T3碎片</v>
          </cell>
          <cell r="J230">
            <v>7</v>
          </cell>
          <cell r="K230">
            <v>8.057095670638198E-2</v>
          </cell>
        </row>
        <row r="231">
          <cell r="I231" t="str">
            <v>T3碎片</v>
          </cell>
          <cell r="J231">
            <v>7</v>
          </cell>
          <cell r="K231">
            <v>8.057095670638198E-2</v>
          </cell>
        </row>
        <row r="232">
          <cell r="I232" t="str">
            <v>T3碎片</v>
          </cell>
          <cell r="J232">
            <v>7</v>
          </cell>
          <cell r="K232">
            <v>8.057095670638198E-2</v>
          </cell>
        </row>
        <row r="233">
          <cell r="I233" t="str">
            <v>T1部件</v>
          </cell>
          <cell r="J233">
            <v>7</v>
          </cell>
          <cell r="K233">
            <v>1.0852896071723487E-2</v>
          </cell>
        </row>
        <row r="234">
          <cell r="I234" t="str">
            <v>T1部件</v>
          </cell>
          <cell r="J234">
            <v>7</v>
          </cell>
          <cell r="K234">
            <v>1.0852896071723487E-2</v>
          </cell>
        </row>
        <row r="235">
          <cell r="I235" t="str">
            <v>T1部件</v>
          </cell>
          <cell r="J235">
            <v>7</v>
          </cell>
          <cell r="K235">
            <v>1.0852896071723487E-2</v>
          </cell>
        </row>
        <row r="236">
          <cell r="I236" t="str">
            <v>T1部件</v>
          </cell>
          <cell r="J236">
            <v>7</v>
          </cell>
          <cell r="K236">
            <v>1.0852896071723487E-2</v>
          </cell>
        </row>
        <row r="237">
          <cell r="I237" t="str">
            <v>T1部件</v>
          </cell>
          <cell r="J237">
            <v>7</v>
          </cell>
          <cell r="K237">
            <v>1.0852896071723487E-2</v>
          </cell>
        </row>
        <row r="238">
          <cell r="I238" t="str">
            <v>T1部件</v>
          </cell>
          <cell r="J238">
            <v>7</v>
          </cell>
          <cell r="K238">
            <v>1.0852896071723487E-2</v>
          </cell>
        </row>
        <row r="239">
          <cell r="I239" t="str">
            <v>T1部件</v>
          </cell>
          <cell r="J239">
            <v>7</v>
          </cell>
          <cell r="K239">
            <v>1.0852896071723487E-2</v>
          </cell>
        </row>
        <row r="240">
          <cell r="I240" t="str">
            <v>T1部件</v>
          </cell>
          <cell r="J240">
            <v>7</v>
          </cell>
          <cell r="K240">
            <v>1.0852896071723487E-2</v>
          </cell>
        </row>
        <row r="241">
          <cell r="I241" t="str">
            <v>T1部件</v>
          </cell>
          <cell r="J241">
            <v>7</v>
          </cell>
          <cell r="K241">
            <v>1.0852896071723487E-2</v>
          </cell>
        </row>
        <row r="242">
          <cell r="I242" t="str">
            <v>T1部件</v>
          </cell>
          <cell r="J242">
            <v>7</v>
          </cell>
          <cell r="K242">
            <v>1.0852896071723487E-2</v>
          </cell>
        </row>
        <row r="243">
          <cell r="I243" t="str">
            <v>T1部件</v>
          </cell>
          <cell r="J243">
            <v>7</v>
          </cell>
          <cell r="K243">
            <v>1.0852896071723487E-2</v>
          </cell>
        </row>
        <row r="244">
          <cell r="I244" t="str">
            <v>T1部件</v>
          </cell>
          <cell r="J244">
            <v>7</v>
          </cell>
          <cell r="K244">
            <v>1.0852896071723487E-2</v>
          </cell>
        </row>
        <row r="245">
          <cell r="I245" t="str">
            <v>T1部件</v>
          </cell>
          <cell r="J245">
            <v>7</v>
          </cell>
          <cell r="K245">
            <v>1.0852896071723487E-2</v>
          </cell>
        </row>
        <row r="246">
          <cell r="I246" t="str">
            <v>T1部件</v>
          </cell>
          <cell r="J246">
            <v>7</v>
          </cell>
          <cell r="K246">
            <v>1.0852896071723487E-2</v>
          </cell>
        </row>
        <row r="247">
          <cell r="I247" t="str">
            <v>T1部件</v>
          </cell>
          <cell r="J247">
            <v>7</v>
          </cell>
          <cell r="K247">
            <v>1.0852896071723487E-2</v>
          </cell>
        </row>
        <row r="248">
          <cell r="I248" t="str">
            <v>T1部件</v>
          </cell>
          <cell r="J248">
            <v>7</v>
          </cell>
          <cell r="K248">
            <v>1.0852896071723487E-2</v>
          </cell>
        </row>
        <row r="249">
          <cell r="I249" t="str">
            <v>T1部件</v>
          </cell>
          <cell r="J249">
            <v>7</v>
          </cell>
          <cell r="K249">
            <v>1.0852896071723487E-2</v>
          </cell>
        </row>
        <row r="250">
          <cell r="I250" t="str">
            <v>T1部件</v>
          </cell>
          <cell r="J250">
            <v>7</v>
          </cell>
          <cell r="K250">
            <v>1.0852896071723487E-2</v>
          </cell>
        </row>
        <row r="251">
          <cell r="I251" t="str">
            <v>T2部件</v>
          </cell>
          <cell r="J251">
            <v>7</v>
          </cell>
          <cell r="K251">
            <v>5.0725492509142382E-3</v>
          </cell>
        </row>
        <row r="252">
          <cell r="I252" t="str">
            <v>T2部件</v>
          </cell>
          <cell r="J252">
            <v>7</v>
          </cell>
          <cell r="K252">
            <v>5.0725492509142382E-3</v>
          </cell>
        </row>
        <row r="253">
          <cell r="I253" t="str">
            <v>T2部件</v>
          </cell>
          <cell r="J253">
            <v>7</v>
          </cell>
          <cell r="K253">
            <v>5.0725492509142382E-3</v>
          </cell>
        </row>
        <row r="254">
          <cell r="I254" t="str">
            <v>T2部件</v>
          </cell>
          <cell r="J254">
            <v>7</v>
          </cell>
          <cell r="K254">
            <v>5.0725492509142382E-3</v>
          </cell>
        </row>
        <row r="255">
          <cell r="I255" t="str">
            <v>T2部件</v>
          </cell>
          <cell r="J255">
            <v>7</v>
          </cell>
          <cell r="K255">
            <v>5.0725492509142382E-3</v>
          </cell>
        </row>
        <row r="256">
          <cell r="I256" t="str">
            <v>T2部件</v>
          </cell>
          <cell r="J256">
            <v>7</v>
          </cell>
          <cell r="K256">
            <v>5.0725492509142382E-3</v>
          </cell>
        </row>
        <row r="257">
          <cell r="I257" t="str">
            <v>T2部件</v>
          </cell>
          <cell r="J257">
            <v>7</v>
          </cell>
          <cell r="K257">
            <v>5.0725492509142382E-3</v>
          </cell>
        </row>
        <row r="258">
          <cell r="I258" t="str">
            <v>T2部件</v>
          </cell>
          <cell r="J258">
            <v>7</v>
          </cell>
          <cell r="K258">
            <v>5.0725492509142382E-3</v>
          </cell>
        </row>
        <row r="259">
          <cell r="I259" t="str">
            <v>T2部件</v>
          </cell>
          <cell r="J259">
            <v>7</v>
          </cell>
          <cell r="K259">
            <v>5.0725492509142382E-3</v>
          </cell>
        </row>
        <row r="260">
          <cell r="I260" t="str">
            <v>T2部件</v>
          </cell>
          <cell r="J260">
            <v>7</v>
          </cell>
          <cell r="K260">
            <v>5.0725492509142382E-3</v>
          </cell>
        </row>
        <row r="261">
          <cell r="I261" t="str">
            <v>T2部件</v>
          </cell>
          <cell r="J261">
            <v>7</v>
          </cell>
          <cell r="K261">
            <v>5.0725492509142382E-3</v>
          </cell>
        </row>
        <row r="262">
          <cell r="I262" t="str">
            <v>T2部件</v>
          </cell>
          <cell r="J262">
            <v>7</v>
          </cell>
          <cell r="K262">
            <v>5.0725492509142382E-3</v>
          </cell>
        </row>
        <row r="263">
          <cell r="I263" t="str">
            <v>T2部件</v>
          </cell>
          <cell r="J263">
            <v>7</v>
          </cell>
          <cell r="K263">
            <v>5.0725492509142382E-3</v>
          </cell>
        </row>
        <row r="264">
          <cell r="I264" t="str">
            <v>T2部件</v>
          </cell>
          <cell r="J264">
            <v>7</v>
          </cell>
          <cell r="K264">
            <v>5.0725492509142382E-3</v>
          </cell>
        </row>
        <row r="265">
          <cell r="I265" t="str">
            <v>T2部件</v>
          </cell>
          <cell r="J265">
            <v>7</v>
          </cell>
          <cell r="K265">
            <v>5.0725492509142382E-3</v>
          </cell>
        </row>
        <row r="266">
          <cell r="I266" t="str">
            <v>T2部件</v>
          </cell>
          <cell r="J266">
            <v>7</v>
          </cell>
          <cell r="K266">
            <v>5.0725492509142382E-3</v>
          </cell>
        </row>
        <row r="267">
          <cell r="I267" t="str">
            <v>T2部件</v>
          </cell>
          <cell r="J267">
            <v>7</v>
          </cell>
          <cell r="K267">
            <v>5.0725492509142382E-3</v>
          </cell>
        </row>
        <row r="268">
          <cell r="I268" t="str">
            <v>T2部件</v>
          </cell>
          <cell r="J268">
            <v>7</v>
          </cell>
          <cell r="K268">
            <v>5.0725492509142382E-3</v>
          </cell>
        </row>
        <row r="269">
          <cell r="I269" t="str">
            <v>T3部件</v>
          </cell>
          <cell r="J269">
            <v>7</v>
          </cell>
          <cell r="K269">
            <v>2.5952577562817036E-3</v>
          </cell>
        </row>
        <row r="270">
          <cell r="I270" t="str">
            <v>T3部件</v>
          </cell>
          <cell r="J270">
            <v>7</v>
          </cell>
          <cell r="K270">
            <v>2.5952577562817036E-3</v>
          </cell>
        </row>
        <row r="271">
          <cell r="I271" t="str">
            <v>T3部件</v>
          </cell>
          <cell r="J271">
            <v>7</v>
          </cell>
          <cell r="K271">
            <v>2.5952577562817036E-3</v>
          </cell>
        </row>
        <row r="272">
          <cell r="I272" t="str">
            <v>T3部件</v>
          </cell>
          <cell r="J272">
            <v>7</v>
          </cell>
          <cell r="K272">
            <v>2.5952577562817036E-3</v>
          </cell>
        </row>
        <row r="273">
          <cell r="I273" t="str">
            <v>T3部件</v>
          </cell>
          <cell r="J273">
            <v>7</v>
          </cell>
          <cell r="K273">
            <v>2.5952577562817036E-3</v>
          </cell>
        </row>
        <row r="274">
          <cell r="I274" t="str">
            <v>T3部件</v>
          </cell>
          <cell r="J274">
            <v>7</v>
          </cell>
          <cell r="K274">
            <v>2.5952577562817036E-3</v>
          </cell>
        </row>
        <row r="275">
          <cell r="I275" t="str">
            <v>T3部件</v>
          </cell>
          <cell r="J275">
            <v>7</v>
          </cell>
          <cell r="K275">
            <v>2.5952577562817036E-3</v>
          </cell>
        </row>
        <row r="276">
          <cell r="I276" t="str">
            <v>T3部件</v>
          </cell>
          <cell r="J276">
            <v>7</v>
          </cell>
          <cell r="K276">
            <v>2.5952577562817036E-3</v>
          </cell>
        </row>
        <row r="277">
          <cell r="I277" t="str">
            <v>T3部件</v>
          </cell>
          <cell r="J277">
            <v>7</v>
          </cell>
          <cell r="K277">
            <v>2.5952577562817036E-3</v>
          </cell>
        </row>
        <row r="278">
          <cell r="I278" t="str">
            <v>T3部件</v>
          </cell>
          <cell r="J278">
            <v>7</v>
          </cell>
          <cell r="K278">
            <v>2.5952577562817036E-3</v>
          </cell>
        </row>
        <row r="279">
          <cell r="I279" t="str">
            <v>T3部件</v>
          </cell>
          <cell r="J279">
            <v>7</v>
          </cell>
          <cell r="K279">
            <v>2.5952577562817036E-3</v>
          </cell>
        </row>
        <row r="280">
          <cell r="I280" t="str">
            <v>T3部件</v>
          </cell>
          <cell r="J280">
            <v>7</v>
          </cell>
          <cell r="K280">
            <v>2.5952577562817036E-3</v>
          </cell>
        </row>
        <row r="281">
          <cell r="I281" t="str">
            <v>T3部件</v>
          </cell>
          <cell r="J281">
            <v>7</v>
          </cell>
          <cell r="K281">
            <v>2.5952577562817036E-3</v>
          </cell>
        </row>
        <row r="282">
          <cell r="I282" t="str">
            <v>T3部件</v>
          </cell>
          <cell r="J282">
            <v>7</v>
          </cell>
          <cell r="K282">
            <v>2.5952577562817036E-3</v>
          </cell>
        </row>
        <row r="283">
          <cell r="I283" t="str">
            <v>T3部件</v>
          </cell>
          <cell r="J283">
            <v>7</v>
          </cell>
          <cell r="K283">
            <v>2.5952577562817036E-3</v>
          </cell>
        </row>
        <row r="284">
          <cell r="I284" t="str">
            <v>T3部件</v>
          </cell>
          <cell r="J284">
            <v>7</v>
          </cell>
          <cell r="K284">
            <v>2.5952577562817036E-3</v>
          </cell>
        </row>
        <row r="285">
          <cell r="I285" t="str">
            <v>T3部件</v>
          </cell>
          <cell r="J285">
            <v>7</v>
          </cell>
          <cell r="K285">
            <v>2.5952577562817036E-3</v>
          </cell>
        </row>
        <row r="286">
          <cell r="I286" t="str">
            <v>T3部件</v>
          </cell>
          <cell r="J286">
            <v>7</v>
          </cell>
          <cell r="K286">
            <v>3.1850890645275451E-3</v>
          </cell>
        </row>
        <row r="287">
          <cell r="I287" t="str">
            <v>T1碎片</v>
          </cell>
          <cell r="J287">
            <v>8</v>
          </cell>
          <cell r="K287">
            <v>9.7322165860563886E-2</v>
          </cell>
        </row>
        <row r="288">
          <cell r="I288" t="str">
            <v>T1碎片</v>
          </cell>
          <cell r="J288">
            <v>8</v>
          </cell>
          <cell r="K288">
            <v>9.7322165860563886E-2</v>
          </cell>
        </row>
        <row r="289">
          <cell r="I289" t="str">
            <v>T1碎片</v>
          </cell>
          <cell r="J289">
            <v>8</v>
          </cell>
          <cell r="K289">
            <v>9.7322165860563886E-2</v>
          </cell>
        </row>
        <row r="290">
          <cell r="I290" t="str">
            <v>T2碎片</v>
          </cell>
          <cell r="J290">
            <v>8</v>
          </cell>
          <cell r="K290">
            <v>2.4772914946325351E-2</v>
          </cell>
        </row>
        <row r="291">
          <cell r="I291" t="str">
            <v>T2碎片</v>
          </cell>
          <cell r="J291">
            <v>8</v>
          </cell>
          <cell r="K291">
            <v>2.4772914946325351E-2</v>
          </cell>
        </row>
        <row r="292">
          <cell r="I292" t="str">
            <v>T2碎片</v>
          </cell>
          <cell r="J292">
            <v>8</v>
          </cell>
          <cell r="K292">
            <v>2.4772914946325351E-2</v>
          </cell>
        </row>
        <row r="293">
          <cell r="I293" t="str">
            <v>T3碎片</v>
          </cell>
          <cell r="J293">
            <v>8</v>
          </cell>
          <cell r="K293">
            <v>0.16084699775864103</v>
          </cell>
        </row>
        <row r="294">
          <cell r="I294" t="str">
            <v>T3碎片</v>
          </cell>
          <cell r="J294">
            <v>8</v>
          </cell>
          <cell r="K294">
            <v>0.16084699775864103</v>
          </cell>
        </row>
        <row r="295">
          <cell r="I295" t="str">
            <v>T3碎片</v>
          </cell>
          <cell r="J295">
            <v>8</v>
          </cell>
          <cell r="K295">
            <v>0.16084699775864103</v>
          </cell>
        </row>
        <row r="296">
          <cell r="I296" t="str">
            <v>T3碎片</v>
          </cell>
          <cell r="J296">
            <v>8</v>
          </cell>
          <cell r="K296">
            <v>8.057095670638198E-2</v>
          </cell>
        </row>
        <row r="297">
          <cell r="I297" t="str">
            <v>T3碎片</v>
          </cell>
          <cell r="J297">
            <v>8</v>
          </cell>
          <cell r="K297">
            <v>8.057095670638198E-2</v>
          </cell>
        </row>
        <row r="298">
          <cell r="I298" t="str">
            <v>T3碎片</v>
          </cell>
          <cell r="J298">
            <v>8</v>
          </cell>
          <cell r="K298">
            <v>8.057095670638198E-2</v>
          </cell>
        </row>
        <row r="299">
          <cell r="I299" t="str">
            <v>T1部件</v>
          </cell>
          <cell r="J299">
            <v>8</v>
          </cell>
          <cell r="K299">
            <v>1.0852896071723487E-2</v>
          </cell>
        </row>
        <row r="300">
          <cell r="I300" t="str">
            <v>T1部件</v>
          </cell>
          <cell r="J300">
            <v>8</v>
          </cell>
          <cell r="K300">
            <v>1.0852896071723487E-2</v>
          </cell>
        </row>
        <row r="301">
          <cell r="I301" t="str">
            <v>T1部件</v>
          </cell>
          <cell r="J301">
            <v>8</v>
          </cell>
          <cell r="K301">
            <v>1.0852896071723487E-2</v>
          </cell>
        </row>
        <row r="302">
          <cell r="I302" t="str">
            <v>T1部件</v>
          </cell>
          <cell r="J302">
            <v>8</v>
          </cell>
          <cell r="K302">
            <v>1.0852896071723487E-2</v>
          </cell>
        </row>
        <row r="303">
          <cell r="I303" t="str">
            <v>T1部件</v>
          </cell>
          <cell r="J303">
            <v>8</v>
          </cell>
          <cell r="K303">
            <v>1.0852896071723487E-2</v>
          </cell>
        </row>
        <row r="304">
          <cell r="I304" t="str">
            <v>T1部件</v>
          </cell>
          <cell r="J304">
            <v>8</v>
          </cell>
          <cell r="K304">
            <v>1.0852896071723487E-2</v>
          </cell>
        </row>
        <row r="305">
          <cell r="I305" t="str">
            <v>T1部件</v>
          </cell>
          <cell r="J305">
            <v>8</v>
          </cell>
          <cell r="K305">
            <v>1.0852896071723487E-2</v>
          </cell>
        </row>
        <row r="306">
          <cell r="I306" t="str">
            <v>T1部件</v>
          </cell>
          <cell r="J306">
            <v>8</v>
          </cell>
          <cell r="K306">
            <v>1.0852896071723487E-2</v>
          </cell>
        </row>
        <row r="307">
          <cell r="I307" t="str">
            <v>T1部件</v>
          </cell>
          <cell r="J307">
            <v>8</v>
          </cell>
          <cell r="K307">
            <v>1.0852896071723487E-2</v>
          </cell>
        </row>
        <row r="308">
          <cell r="I308" t="str">
            <v>T1部件</v>
          </cell>
          <cell r="J308">
            <v>8</v>
          </cell>
          <cell r="K308">
            <v>1.0852896071723487E-2</v>
          </cell>
        </row>
        <row r="309">
          <cell r="I309" t="str">
            <v>T1部件</v>
          </cell>
          <cell r="J309">
            <v>8</v>
          </cell>
          <cell r="K309">
            <v>1.0852896071723487E-2</v>
          </cell>
        </row>
        <row r="310">
          <cell r="I310" t="str">
            <v>T1部件</v>
          </cell>
          <cell r="J310">
            <v>8</v>
          </cell>
          <cell r="K310">
            <v>1.0852896071723487E-2</v>
          </cell>
        </row>
        <row r="311">
          <cell r="I311" t="str">
            <v>T1部件</v>
          </cell>
          <cell r="J311">
            <v>8</v>
          </cell>
          <cell r="K311">
            <v>1.0852896071723487E-2</v>
          </cell>
        </row>
        <row r="312">
          <cell r="I312" t="str">
            <v>T1部件</v>
          </cell>
          <cell r="J312">
            <v>8</v>
          </cell>
          <cell r="K312">
            <v>1.0852896071723487E-2</v>
          </cell>
        </row>
        <row r="313">
          <cell r="I313" t="str">
            <v>T1部件</v>
          </cell>
          <cell r="J313">
            <v>8</v>
          </cell>
          <cell r="K313">
            <v>1.0852896071723487E-2</v>
          </cell>
        </row>
        <row r="314">
          <cell r="I314" t="str">
            <v>T1部件</v>
          </cell>
          <cell r="J314">
            <v>8</v>
          </cell>
          <cell r="K314">
            <v>1.0852896071723487E-2</v>
          </cell>
        </row>
        <row r="315">
          <cell r="I315" t="str">
            <v>T1部件</v>
          </cell>
          <cell r="J315">
            <v>8</v>
          </cell>
          <cell r="K315">
            <v>1.0852896071723487E-2</v>
          </cell>
        </row>
        <row r="316">
          <cell r="I316" t="str">
            <v>T1部件</v>
          </cell>
          <cell r="J316">
            <v>8</v>
          </cell>
          <cell r="K316">
            <v>1.0852896071723487E-2</v>
          </cell>
        </row>
        <row r="317">
          <cell r="I317" t="str">
            <v>T2部件</v>
          </cell>
          <cell r="J317">
            <v>8</v>
          </cell>
          <cell r="K317">
            <v>5.0725492509142382E-3</v>
          </cell>
        </row>
        <row r="318">
          <cell r="I318" t="str">
            <v>T2部件</v>
          </cell>
          <cell r="J318">
            <v>8</v>
          </cell>
          <cell r="K318">
            <v>5.0725492509142382E-3</v>
          </cell>
        </row>
        <row r="319">
          <cell r="I319" t="str">
            <v>T2部件</v>
          </cell>
          <cell r="J319">
            <v>8</v>
          </cell>
          <cell r="K319">
            <v>5.0725492509142382E-3</v>
          </cell>
        </row>
        <row r="320">
          <cell r="I320" t="str">
            <v>T2部件</v>
          </cell>
          <cell r="J320">
            <v>8</v>
          </cell>
          <cell r="K320">
            <v>5.0725492509142382E-3</v>
          </cell>
        </row>
        <row r="321">
          <cell r="I321" t="str">
            <v>T2部件</v>
          </cell>
          <cell r="J321">
            <v>8</v>
          </cell>
          <cell r="K321">
            <v>5.0725492509142382E-3</v>
          </cell>
        </row>
        <row r="322">
          <cell r="I322" t="str">
            <v>T2部件</v>
          </cell>
          <cell r="J322">
            <v>8</v>
          </cell>
          <cell r="K322">
            <v>5.0725492509142382E-3</v>
          </cell>
        </row>
        <row r="323">
          <cell r="I323" t="str">
            <v>T2部件</v>
          </cell>
          <cell r="J323">
            <v>8</v>
          </cell>
          <cell r="K323">
            <v>5.0725492509142382E-3</v>
          </cell>
        </row>
        <row r="324">
          <cell r="I324" t="str">
            <v>T2部件</v>
          </cell>
          <cell r="J324">
            <v>8</v>
          </cell>
          <cell r="K324">
            <v>5.0725492509142382E-3</v>
          </cell>
        </row>
        <row r="325">
          <cell r="I325" t="str">
            <v>T2部件</v>
          </cell>
          <cell r="J325">
            <v>8</v>
          </cell>
          <cell r="K325">
            <v>5.0725492509142382E-3</v>
          </cell>
        </row>
        <row r="326">
          <cell r="I326" t="str">
            <v>T2部件</v>
          </cell>
          <cell r="J326">
            <v>8</v>
          </cell>
          <cell r="K326">
            <v>5.0725492509142382E-3</v>
          </cell>
        </row>
        <row r="327">
          <cell r="I327" t="str">
            <v>T2部件</v>
          </cell>
          <cell r="J327">
            <v>8</v>
          </cell>
          <cell r="K327">
            <v>5.0725492509142382E-3</v>
          </cell>
        </row>
        <row r="328">
          <cell r="I328" t="str">
            <v>T2部件</v>
          </cell>
          <cell r="J328">
            <v>8</v>
          </cell>
          <cell r="K328">
            <v>5.0725492509142382E-3</v>
          </cell>
        </row>
        <row r="329">
          <cell r="I329" t="str">
            <v>T2部件</v>
          </cell>
          <cell r="J329">
            <v>8</v>
          </cell>
          <cell r="K329">
            <v>5.0725492509142382E-3</v>
          </cell>
        </row>
        <row r="330">
          <cell r="I330" t="str">
            <v>T2部件</v>
          </cell>
          <cell r="J330">
            <v>8</v>
          </cell>
          <cell r="K330">
            <v>5.0725492509142382E-3</v>
          </cell>
        </row>
        <row r="331">
          <cell r="I331" t="str">
            <v>T2部件</v>
          </cell>
          <cell r="J331">
            <v>8</v>
          </cell>
          <cell r="K331">
            <v>5.0725492509142382E-3</v>
          </cell>
        </row>
        <row r="332">
          <cell r="I332" t="str">
            <v>T2部件</v>
          </cell>
          <cell r="J332">
            <v>8</v>
          </cell>
          <cell r="K332">
            <v>5.0725492509142382E-3</v>
          </cell>
        </row>
        <row r="333">
          <cell r="I333" t="str">
            <v>T2部件</v>
          </cell>
          <cell r="J333">
            <v>8</v>
          </cell>
          <cell r="K333">
            <v>5.0725492509142382E-3</v>
          </cell>
        </row>
        <row r="334">
          <cell r="I334" t="str">
            <v>T2部件</v>
          </cell>
          <cell r="J334">
            <v>8</v>
          </cell>
          <cell r="K334">
            <v>5.0725492509142382E-3</v>
          </cell>
        </row>
        <row r="335">
          <cell r="I335" t="str">
            <v>T3部件</v>
          </cell>
          <cell r="J335">
            <v>8</v>
          </cell>
          <cell r="K335">
            <v>2.5952577562817036E-3</v>
          </cell>
        </row>
        <row r="336">
          <cell r="I336" t="str">
            <v>T3部件</v>
          </cell>
          <cell r="J336">
            <v>8</v>
          </cell>
          <cell r="K336">
            <v>2.5952577562817036E-3</v>
          </cell>
        </row>
        <row r="337">
          <cell r="I337" t="str">
            <v>T3部件</v>
          </cell>
          <cell r="J337">
            <v>8</v>
          </cell>
          <cell r="K337">
            <v>2.5952577562817036E-3</v>
          </cell>
        </row>
        <row r="338">
          <cell r="I338" t="str">
            <v>T3部件</v>
          </cell>
          <cell r="J338">
            <v>8</v>
          </cell>
          <cell r="K338">
            <v>2.5952577562817036E-3</v>
          </cell>
        </row>
        <row r="339">
          <cell r="I339" t="str">
            <v>T3部件</v>
          </cell>
          <cell r="J339">
            <v>8</v>
          </cell>
          <cell r="K339">
            <v>2.5952577562817036E-3</v>
          </cell>
        </row>
        <row r="340">
          <cell r="I340" t="str">
            <v>T3部件</v>
          </cell>
          <cell r="J340">
            <v>8</v>
          </cell>
          <cell r="K340">
            <v>2.5952577562817036E-3</v>
          </cell>
        </row>
        <row r="341">
          <cell r="I341" t="str">
            <v>T3部件</v>
          </cell>
          <cell r="J341">
            <v>8</v>
          </cell>
          <cell r="K341">
            <v>2.5952577562817036E-3</v>
          </cell>
        </row>
        <row r="342">
          <cell r="I342" t="str">
            <v>T3部件</v>
          </cell>
          <cell r="J342">
            <v>8</v>
          </cell>
          <cell r="K342">
            <v>2.5952577562817036E-3</v>
          </cell>
        </row>
        <row r="343">
          <cell r="I343" t="str">
            <v>T3部件</v>
          </cell>
          <cell r="J343">
            <v>8</v>
          </cell>
          <cell r="K343">
            <v>2.5952577562817036E-3</v>
          </cell>
        </row>
        <row r="344">
          <cell r="I344" t="str">
            <v>T3部件</v>
          </cell>
          <cell r="J344">
            <v>8</v>
          </cell>
          <cell r="K344">
            <v>2.5952577562817036E-3</v>
          </cell>
        </row>
        <row r="345">
          <cell r="I345" t="str">
            <v>T3部件</v>
          </cell>
          <cell r="J345">
            <v>8</v>
          </cell>
          <cell r="K345">
            <v>2.5952577562817036E-3</v>
          </cell>
        </row>
        <row r="346">
          <cell r="I346" t="str">
            <v>T3部件</v>
          </cell>
          <cell r="J346">
            <v>8</v>
          </cell>
          <cell r="K346">
            <v>2.5952577562817036E-3</v>
          </cell>
        </row>
        <row r="347">
          <cell r="I347" t="str">
            <v>T3部件</v>
          </cell>
          <cell r="J347">
            <v>8</v>
          </cell>
          <cell r="K347">
            <v>2.5952577562817036E-3</v>
          </cell>
        </row>
        <row r="348">
          <cell r="I348" t="str">
            <v>T3部件</v>
          </cell>
          <cell r="J348">
            <v>8</v>
          </cell>
          <cell r="K348">
            <v>2.5952577562817036E-3</v>
          </cell>
        </row>
        <row r="349">
          <cell r="I349" t="str">
            <v>T3部件</v>
          </cell>
          <cell r="J349">
            <v>8</v>
          </cell>
          <cell r="K349">
            <v>2.5952577562817036E-3</v>
          </cell>
        </row>
        <row r="350">
          <cell r="I350" t="str">
            <v>T3部件</v>
          </cell>
          <cell r="J350">
            <v>8</v>
          </cell>
          <cell r="K350">
            <v>2.5952577562817036E-3</v>
          </cell>
        </row>
        <row r="351">
          <cell r="I351" t="str">
            <v>T3部件</v>
          </cell>
          <cell r="J351">
            <v>8</v>
          </cell>
          <cell r="K351">
            <v>2.5952577562817036E-3</v>
          </cell>
        </row>
        <row r="352">
          <cell r="I352" t="str">
            <v>T3部件</v>
          </cell>
          <cell r="J352">
            <v>8</v>
          </cell>
          <cell r="K352">
            <v>3.1850890645275451E-3</v>
          </cell>
        </row>
        <row r="353">
          <cell r="I353" t="str">
            <v>T1碎片</v>
          </cell>
          <cell r="J353">
            <v>9</v>
          </cell>
          <cell r="K353">
            <v>9.7322165860563886E-2</v>
          </cell>
        </row>
        <row r="354">
          <cell r="I354" t="str">
            <v>T1碎片</v>
          </cell>
          <cell r="J354">
            <v>9</v>
          </cell>
          <cell r="K354">
            <v>9.7322165860563886E-2</v>
          </cell>
        </row>
        <row r="355">
          <cell r="I355" t="str">
            <v>T1碎片</v>
          </cell>
          <cell r="J355">
            <v>9</v>
          </cell>
          <cell r="K355">
            <v>9.7322165860563886E-2</v>
          </cell>
        </row>
        <row r="356">
          <cell r="I356" t="str">
            <v>T2碎片</v>
          </cell>
          <cell r="J356">
            <v>9</v>
          </cell>
          <cell r="K356">
            <v>2.4772914946325351E-2</v>
          </cell>
        </row>
        <row r="357">
          <cell r="I357" t="str">
            <v>T2碎片</v>
          </cell>
          <cell r="J357">
            <v>9</v>
          </cell>
          <cell r="K357">
            <v>2.4772914946325351E-2</v>
          </cell>
        </row>
        <row r="358">
          <cell r="I358" t="str">
            <v>T2碎片</v>
          </cell>
          <cell r="J358">
            <v>9</v>
          </cell>
          <cell r="K358">
            <v>2.4772914946325351E-2</v>
          </cell>
        </row>
        <row r="359">
          <cell r="I359" t="str">
            <v>T3碎片</v>
          </cell>
          <cell r="J359">
            <v>9</v>
          </cell>
          <cell r="K359">
            <v>0.16084699775864103</v>
          </cell>
        </row>
        <row r="360">
          <cell r="I360" t="str">
            <v>T3碎片</v>
          </cell>
          <cell r="J360">
            <v>9</v>
          </cell>
          <cell r="K360">
            <v>0.16084699775864103</v>
          </cell>
        </row>
        <row r="361">
          <cell r="I361" t="str">
            <v>T3碎片</v>
          </cell>
          <cell r="J361">
            <v>9</v>
          </cell>
          <cell r="K361">
            <v>0.16084699775864103</v>
          </cell>
        </row>
        <row r="362">
          <cell r="I362" t="str">
            <v>T3碎片</v>
          </cell>
          <cell r="J362">
            <v>9</v>
          </cell>
          <cell r="K362">
            <v>8.057095670638198E-2</v>
          </cell>
        </row>
        <row r="363">
          <cell r="I363" t="str">
            <v>T3碎片</v>
          </cell>
          <cell r="J363">
            <v>9</v>
          </cell>
          <cell r="K363">
            <v>8.057095670638198E-2</v>
          </cell>
        </row>
        <row r="364">
          <cell r="I364" t="str">
            <v>T3碎片</v>
          </cell>
          <cell r="J364">
            <v>9</v>
          </cell>
          <cell r="K364">
            <v>8.057095670638198E-2</v>
          </cell>
        </row>
        <row r="365">
          <cell r="I365" t="str">
            <v>T1部件</v>
          </cell>
          <cell r="J365">
            <v>9</v>
          </cell>
          <cell r="K365">
            <v>1.0852896071723487E-2</v>
          </cell>
        </row>
        <row r="366">
          <cell r="I366" t="str">
            <v>T1部件</v>
          </cell>
          <cell r="J366">
            <v>9</v>
          </cell>
          <cell r="K366">
            <v>1.0852896071723487E-2</v>
          </cell>
        </row>
        <row r="367">
          <cell r="I367" t="str">
            <v>T1部件</v>
          </cell>
          <cell r="J367">
            <v>9</v>
          </cell>
          <cell r="K367">
            <v>1.0852896071723487E-2</v>
          </cell>
        </row>
        <row r="368">
          <cell r="I368" t="str">
            <v>T1部件</v>
          </cell>
          <cell r="J368">
            <v>9</v>
          </cell>
          <cell r="K368">
            <v>1.0852896071723487E-2</v>
          </cell>
        </row>
        <row r="369">
          <cell r="I369" t="str">
            <v>T1部件</v>
          </cell>
          <cell r="J369">
            <v>9</v>
          </cell>
          <cell r="K369">
            <v>1.0852896071723487E-2</v>
          </cell>
        </row>
        <row r="370">
          <cell r="I370" t="str">
            <v>T1部件</v>
          </cell>
          <cell r="J370">
            <v>9</v>
          </cell>
          <cell r="K370">
            <v>1.0852896071723487E-2</v>
          </cell>
        </row>
        <row r="371">
          <cell r="I371" t="str">
            <v>T1部件</v>
          </cell>
          <cell r="J371">
            <v>9</v>
          </cell>
          <cell r="K371">
            <v>1.0852896071723487E-2</v>
          </cell>
        </row>
        <row r="372">
          <cell r="I372" t="str">
            <v>T1部件</v>
          </cell>
          <cell r="J372">
            <v>9</v>
          </cell>
          <cell r="K372">
            <v>1.0852896071723487E-2</v>
          </cell>
        </row>
        <row r="373">
          <cell r="I373" t="str">
            <v>T1部件</v>
          </cell>
          <cell r="J373">
            <v>9</v>
          </cell>
          <cell r="K373">
            <v>1.0852896071723487E-2</v>
          </cell>
        </row>
        <row r="374">
          <cell r="I374" t="str">
            <v>T1部件</v>
          </cell>
          <cell r="J374">
            <v>9</v>
          </cell>
          <cell r="K374">
            <v>1.0852896071723487E-2</v>
          </cell>
        </row>
        <row r="375">
          <cell r="I375" t="str">
            <v>T1部件</v>
          </cell>
          <cell r="J375">
            <v>9</v>
          </cell>
          <cell r="K375">
            <v>1.0852896071723487E-2</v>
          </cell>
        </row>
        <row r="376">
          <cell r="I376" t="str">
            <v>T1部件</v>
          </cell>
          <cell r="J376">
            <v>9</v>
          </cell>
          <cell r="K376">
            <v>1.0852896071723487E-2</v>
          </cell>
        </row>
        <row r="377">
          <cell r="I377" t="str">
            <v>T1部件</v>
          </cell>
          <cell r="J377">
            <v>9</v>
          </cell>
          <cell r="K377">
            <v>1.0852896071723487E-2</v>
          </cell>
        </row>
        <row r="378">
          <cell r="I378" t="str">
            <v>T1部件</v>
          </cell>
          <cell r="J378">
            <v>9</v>
          </cell>
          <cell r="K378">
            <v>1.0852896071723487E-2</v>
          </cell>
        </row>
        <row r="379">
          <cell r="I379" t="str">
            <v>T1部件</v>
          </cell>
          <cell r="J379">
            <v>9</v>
          </cell>
          <cell r="K379">
            <v>1.0852896071723487E-2</v>
          </cell>
        </row>
        <row r="380">
          <cell r="I380" t="str">
            <v>T1部件</v>
          </cell>
          <cell r="J380">
            <v>9</v>
          </cell>
          <cell r="K380">
            <v>1.0852896071723487E-2</v>
          </cell>
        </row>
        <row r="381">
          <cell r="I381" t="str">
            <v>T1部件</v>
          </cell>
          <cell r="J381">
            <v>9</v>
          </cell>
          <cell r="K381">
            <v>1.0852896071723487E-2</v>
          </cell>
        </row>
        <row r="382">
          <cell r="I382" t="str">
            <v>T1部件</v>
          </cell>
          <cell r="J382">
            <v>9</v>
          </cell>
          <cell r="K382">
            <v>1.0852896071723487E-2</v>
          </cell>
        </row>
        <row r="383">
          <cell r="I383" t="str">
            <v>T2部件</v>
          </cell>
          <cell r="J383">
            <v>9</v>
          </cell>
          <cell r="K383">
            <v>5.0725492509142382E-3</v>
          </cell>
        </row>
        <row r="384">
          <cell r="I384" t="str">
            <v>T2部件</v>
          </cell>
          <cell r="J384">
            <v>9</v>
          </cell>
          <cell r="K384">
            <v>5.0725492509142382E-3</v>
          </cell>
        </row>
        <row r="385">
          <cell r="I385" t="str">
            <v>T2部件</v>
          </cell>
          <cell r="J385">
            <v>9</v>
          </cell>
          <cell r="K385">
            <v>5.0725492509142382E-3</v>
          </cell>
        </row>
        <row r="386">
          <cell r="I386" t="str">
            <v>T2部件</v>
          </cell>
          <cell r="J386">
            <v>9</v>
          </cell>
          <cell r="K386">
            <v>5.0725492509142382E-3</v>
          </cell>
        </row>
        <row r="387">
          <cell r="I387" t="str">
            <v>T2部件</v>
          </cell>
          <cell r="J387">
            <v>9</v>
          </cell>
          <cell r="K387">
            <v>5.0725492509142382E-3</v>
          </cell>
        </row>
        <row r="388">
          <cell r="I388" t="str">
            <v>T2部件</v>
          </cell>
          <cell r="J388">
            <v>9</v>
          </cell>
          <cell r="K388">
            <v>5.0725492509142382E-3</v>
          </cell>
        </row>
        <row r="389">
          <cell r="I389" t="str">
            <v>T2部件</v>
          </cell>
          <cell r="J389">
            <v>9</v>
          </cell>
          <cell r="K389">
            <v>5.0725492509142382E-3</v>
          </cell>
        </row>
        <row r="390">
          <cell r="I390" t="str">
            <v>T2部件</v>
          </cell>
          <cell r="J390">
            <v>9</v>
          </cell>
          <cell r="K390">
            <v>5.0725492509142382E-3</v>
          </cell>
        </row>
        <row r="391">
          <cell r="I391" t="str">
            <v>T2部件</v>
          </cell>
          <cell r="J391">
            <v>9</v>
          </cell>
          <cell r="K391">
            <v>5.0725492509142382E-3</v>
          </cell>
        </row>
        <row r="392">
          <cell r="I392" t="str">
            <v>T2部件</v>
          </cell>
          <cell r="J392">
            <v>9</v>
          </cell>
          <cell r="K392">
            <v>5.0725492509142382E-3</v>
          </cell>
        </row>
        <row r="393">
          <cell r="I393" t="str">
            <v>T2部件</v>
          </cell>
          <cell r="J393">
            <v>9</v>
          </cell>
          <cell r="K393">
            <v>5.0725492509142382E-3</v>
          </cell>
        </row>
        <row r="394">
          <cell r="I394" t="str">
            <v>T2部件</v>
          </cell>
          <cell r="J394">
            <v>9</v>
          </cell>
          <cell r="K394">
            <v>5.0725492509142382E-3</v>
          </cell>
        </row>
        <row r="395">
          <cell r="I395" t="str">
            <v>T2部件</v>
          </cell>
          <cell r="J395">
            <v>9</v>
          </cell>
          <cell r="K395">
            <v>5.0725492509142382E-3</v>
          </cell>
        </row>
        <row r="396">
          <cell r="I396" t="str">
            <v>T2部件</v>
          </cell>
          <cell r="J396">
            <v>9</v>
          </cell>
          <cell r="K396">
            <v>5.0725492509142382E-3</v>
          </cell>
        </row>
        <row r="397">
          <cell r="I397" t="str">
            <v>T2部件</v>
          </cell>
          <cell r="J397">
            <v>9</v>
          </cell>
          <cell r="K397">
            <v>5.0725492509142382E-3</v>
          </cell>
        </row>
        <row r="398">
          <cell r="I398" t="str">
            <v>T2部件</v>
          </cell>
          <cell r="J398">
            <v>9</v>
          </cell>
          <cell r="K398">
            <v>5.0725492509142382E-3</v>
          </cell>
        </row>
        <row r="399">
          <cell r="I399" t="str">
            <v>T2部件</v>
          </cell>
          <cell r="J399">
            <v>9</v>
          </cell>
          <cell r="K399">
            <v>5.0725492509142382E-3</v>
          </cell>
        </row>
        <row r="400">
          <cell r="I400" t="str">
            <v>T2部件</v>
          </cell>
          <cell r="J400">
            <v>9</v>
          </cell>
          <cell r="K400">
            <v>5.0725492509142382E-3</v>
          </cell>
        </row>
        <row r="401">
          <cell r="I401" t="str">
            <v>T3部件</v>
          </cell>
          <cell r="J401">
            <v>9</v>
          </cell>
          <cell r="K401">
            <v>2.5952577562817036E-3</v>
          </cell>
        </row>
        <row r="402">
          <cell r="I402" t="str">
            <v>T3部件</v>
          </cell>
          <cell r="J402">
            <v>9</v>
          </cell>
          <cell r="K402">
            <v>2.5952577562817036E-3</v>
          </cell>
        </row>
        <row r="403">
          <cell r="I403" t="str">
            <v>T3部件</v>
          </cell>
          <cell r="J403">
            <v>9</v>
          </cell>
          <cell r="K403">
            <v>2.5952577562817036E-3</v>
          </cell>
        </row>
        <row r="404">
          <cell r="I404" t="str">
            <v>T3部件</v>
          </cell>
          <cell r="J404">
            <v>9</v>
          </cell>
          <cell r="K404">
            <v>2.5952577562817036E-3</v>
          </cell>
        </row>
        <row r="405">
          <cell r="I405" t="str">
            <v>T3部件</v>
          </cell>
          <cell r="J405">
            <v>9</v>
          </cell>
          <cell r="K405">
            <v>2.5952577562817036E-3</v>
          </cell>
        </row>
        <row r="406">
          <cell r="I406" t="str">
            <v>T3部件</v>
          </cell>
          <cell r="J406">
            <v>9</v>
          </cell>
          <cell r="K406">
            <v>2.5952577562817036E-3</v>
          </cell>
        </row>
        <row r="407">
          <cell r="I407" t="str">
            <v>T3部件</v>
          </cell>
          <cell r="J407">
            <v>9</v>
          </cell>
          <cell r="K407">
            <v>2.5952577562817036E-3</v>
          </cell>
        </row>
        <row r="408">
          <cell r="I408" t="str">
            <v>T3部件</v>
          </cell>
          <cell r="J408">
            <v>9</v>
          </cell>
          <cell r="K408">
            <v>2.5952577562817036E-3</v>
          </cell>
        </row>
        <row r="409">
          <cell r="I409" t="str">
            <v>T3部件</v>
          </cell>
          <cell r="J409">
            <v>9</v>
          </cell>
          <cell r="K409">
            <v>2.5952577562817036E-3</v>
          </cell>
        </row>
        <row r="410">
          <cell r="I410" t="str">
            <v>T3部件</v>
          </cell>
          <cell r="J410">
            <v>9</v>
          </cell>
          <cell r="K410">
            <v>2.5952577562817036E-3</v>
          </cell>
        </row>
        <row r="411">
          <cell r="I411" t="str">
            <v>T3部件</v>
          </cell>
          <cell r="J411">
            <v>9</v>
          </cell>
          <cell r="K411">
            <v>2.5952577562817036E-3</v>
          </cell>
        </row>
        <row r="412">
          <cell r="I412" t="str">
            <v>T3部件</v>
          </cell>
          <cell r="J412">
            <v>9</v>
          </cell>
          <cell r="K412">
            <v>2.5952577562817036E-3</v>
          </cell>
        </row>
        <row r="413">
          <cell r="I413" t="str">
            <v>T3部件</v>
          </cell>
          <cell r="J413">
            <v>9</v>
          </cell>
          <cell r="K413">
            <v>2.5952577562817036E-3</v>
          </cell>
        </row>
        <row r="414">
          <cell r="I414" t="str">
            <v>T3部件</v>
          </cell>
          <cell r="J414">
            <v>9</v>
          </cell>
          <cell r="K414">
            <v>2.5952577562817036E-3</v>
          </cell>
        </row>
        <row r="415">
          <cell r="I415" t="str">
            <v>T3部件</v>
          </cell>
          <cell r="J415">
            <v>9</v>
          </cell>
          <cell r="K415">
            <v>2.5952577562817036E-3</v>
          </cell>
        </row>
        <row r="416">
          <cell r="I416" t="str">
            <v>T3部件</v>
          </cell>
          <cell r="J416">
            <v>9</v>
          </cell>
          <cell r="K416">
            <v>2.5952577562817036E-3</v>
          </cell>
        </row>
        <row r="417">
          <cell r="I417" t="str">
            <v>T3部件</v>
          </cell>
          <cell r="J417">
            <v>9</v>
          </cell>
          <cell r="K417">
            <v>2.5952577562817036E-3</v>
          </cell>
        </row>
        <row r="418">
          <cell r="I418" t="str">
            <v>T3部件</v>
          </cell>
          <cell r="J418">
            <v>9</v>
          </cell>
          <cell r="K418">
            <v>3.1850890645275451E-3</v>
          </cell>
        </row>
        <row r="419">
          <cell r="I419" t="str">
            <v>T1碎片</v>
          </cell>
          <cell r="J419">
            <v>10</v>
          </cell>
          <cell r="K419">
            <v>9.7322165860563886E-2</v>
          </cell>
        </row>
        <row r="420">
          <cell r="I420" t="str">
            <v>T1碎片</v>
          </cell>
          <cell r="J420">
            <v>10</v>
          </cell>
          <cell r="K420">
            <v>9.7322165860563886E-2</v>
          </cell>
        </row>
        <row r="421">
          <cell r="I421" t="str">
            <v>T1碎片</v>
          </cell>
          <cell r="J421">
            <v>10</v>
          </cell>
          <cell r="K421">
            <v>9.7322165860563886E-2</v>
          </cell>
        </row>
        <row r="422">
          <cell r="I422" t="str">
            <v>T2碎片</v>
          </cell>
          <cell r="J422">
            <v>10</v>
          </cell>
          <cell r="K422">
            <v>2.4772914946325351E-2</v>
          </cell>
        </row>
        <row r="423">
          <cell r="I423" t="str">
            <v>T2碎片</v>
          </cell>
          <cell r="J423">
            <v>10</v>
          </cell>
          <cell r="K423">
            <v>2.4772914946325351E-2</v>
          </cell>
        </row>
        <row r="424">
          <cell r="I424" t="str">
            <v>T2碎片</v>
          </cell>
          <cell r="J424">
            <v>10</v>
          </cell>
          <cell r="K424">
            <v>2.4772914946325351E-2</v>
          </cell>
        </row>
        <row r="425">
          <cell r="I425" t="str">
            <v>T3碎片</v>
          </cell>
          <cell r="J425">
            <v>10</v>
          </cell>
          <cell r="K425">
            <v>0.16084699775864103</v>
          </cell>
        </row>
        <row r="426">
          <cell r="I426" t="str">
            <v>T3碎片</v>
          </cell>
          <cell r="J426">
            <v>10</v>
          </cell>
          <cell r="K426">
            <v>0.16084699775864103</v>
          </cell>
        </row>
        <row r="427">
          <cell r="I427" t="str">
            <v>T3碎片</v>
          </cell>
          <cell r="J427">
            <v>10</v>
          </cell>
          <cell r="K427">
            <v>0.16084699775864103</v>
          </cell>
        </row>
        <row r="428">
          <cell r="I428" t="str">
            <v>T3碎片</v>
          </cell>
          <cell r="J428">
            <v>10</v>
          </cell>
          <cell r="K428">
            <v>8.057095670638198E-2</v>
          </cell>
        </row>
        <row r="429">
          <cell r="I429" t="str">
            <v>T3碎片</v>
          </cell>
          <cell r="J429">
            <v>10</v>
          </cell>
          <cell r="K429">
            <v>8.057095670638198E-2</v>
          </cell>
        </row>
        <row r="430">
          <cell r="I430" t="str">
            <v>T3碎片</v>
          </cell>
          <cell r="J430">
            <v>10</v>
          </cell>
          <cell r="K430">
            <v>8.057095670638198E-2</v>
          </cell>
        </row>
        <row r="431">
          <cell r="I431" t="str">
            <v>T1部件</v>
          </cell>
          <cell r="J431">
            <v>10</v>
          </cell>
          <cell r="K431">
            <v>1.0852896071723487E-2</v>
          </cell>
        </row>
        <row r="432">
          <cell r="I432" t="str">
            <v>T1部件</v>
          </cell>
          <cell r="J432">
            <v>10</v>
          </cell>
          <cell r="K432">
            <v>1.0852896071723487E-2</v>
          </cell>
        </row>
        <row r="433">
          <cell r="I433" t="str">
            <v>T1部件</v>
          </cell>
          <cell r="J433">
            <v>10</v>
          </cell>
          <cell r="K433">
            <v>1.0852896071723487E-2</v>
          </cell>
        </row>
        <row r="434">
          <cell r="I434" t="str">
            <v>T1部件</v>
          </cell>
          <cell r="J434">
            <v>10</v>
          </cell>
          <cell r="K434">
            <v>1.0852896071723487E-2</v>
          </cell>
        </row>
        <row r="435">
          <cell r="I435" t="str">
            <v>T1部件</v>
          </cell>
          <cell r="J435">
            <v>10</v>
          </cell>
          <cell r="K435">
            <v>1.0852896071723487E-2</v>
          </cell>
        </row>
        <row r="436">
          <cell r="I436" t="str">
            <v>T1部件</v>
          </cell>
          <cell r="J436">
            <v>10</v>
          </cell>
          <cell r="K436">
            <v>1.0852896071723487E-2</v>
          </cell>
        </row>
        <row r="437">
          <cell r="I437" t="str">
            <v>T1部件</v>
          </cell>
          <cell r="J437">
            <v>10</v>
          </cell>
          <cell r="K437">
            <v>1.0852896071723487E-2</v>
          </cell>
        </row>
        <row r="438">
          <cell r="I438" t="str">
            <v>T1部件</v>
          </cell>
          <cell r="J438">
            <v>10</v>
          </cell>
          <cell r="K438">
            <v>1.0852896071723487E-2</v>
          </cell>
        </row>
        <row r="439">
          <cell r="I439" t="str">
            <v>T1部件</v>
          </cell>
          <cell r="J439">
            <v>10</v>
          </cell>
          <cell r="K439">
            <v>1.0852896071723487E-2</v>
          </cell>
        </row>
        <row r="440">
          <cell r="I440" t="str">
            <v>T1部件</v>
          </cell>
          <cell r="J440">
            <v>10</v>
          </cell>
          <cell r="K440">
            <v>1.0852896071723487E-2</v>
          </cell>
        </row>
        <row r="441">
          <cell r="I441" t="str">
            <v>T1部件</v>
          </cell>
          <cell r="J441">
            <v>10</v>
          </cell>
          <cell r="K441">
            <v>1.0852896071723487E-2</v>
          </cell>
        </row>
        <row r="442">
          <cell r="I442" t="str">
            <v>T1部件</v>
          </cell>
          <cell r="J442">
            <v>10</v>
          </cell>
          <cell r="K442">
            <v>1.0852896071723487E-2</v>
          </cell>
        </row>
        <row r="443">
          <cell r="I443" t="str">
            <v>T1部件</v>
          </cell>
          <cell r="J443">
            <v>10</v>
          </cell>
          <cell r="K443">
            <v>1.0852896071723487E-2</v>
          </cell>
        </row>
        <row r="444">
          <cell r="I444" t="str">
            <v>T1部件</v>
          </cell>
          <cell r="J444">
            <v>10</v>
          </cell>
          <cell r="K444">
            <v>1.0852896071723487E-2</v>
          </cell>
        </row>
        <row r="445">
          <cell r="I445" t="str">
            <v>T1部件</v>
          </cell>
          <cell r="J445">
            <v>10</v>
          </cell>
          <cell r="K445">
            <v>1.0852896071723487E-2</v>
          </cell>
        </row>
        <row r="446">
          <cell r="I446" t="str">
            <v>T1部件</v>
          </cell>
          <cell r="J446">
            <v>10</v>
          </cell>
          <cell r="K446">
            <v>1.0852896071723487E-2</v>
          </cell>
        </row>
        <row r="447">
          <cell r="I447" t="str">
            <v>T1部件</v>
          </cell>
          <cell r="J447">
            <v>10</v>
          </cell>
          <cell r="K447">
            <v>1.0852896071723487E-2</v>
          </cell>
        </row>
        <row r="448">
          <cell r="I448" t="str">
            <v>T1部件</v>
          </cell>
          <cell r="J448">
            <v>10</v>
          </cell>
          <cell r="K448">
            <v>1.0852896071723487E-2</v>
          </cell>
        </row>
        <row r="449">
          <cell r="I449" t="str">
            <v>T2部件</v>
          </cell>
          <cell r="J449">
            <v>10</v>
          </cell>
          <cell r="K449">
            <v>5.0725492509142382E-3</v>
          </cell>
        </row>
        <row r="450">
          <cell r="I450" t="str">
            <v>T2部件</v>
          </cell>
          <cell r="J450">
            <v>10</v>
          </cell>
          <cell r="K450">
            <v>5.0725492509142382E-3</v>
          </cell>
        </row>
        <row r="451">
          <cell r="I451" t="str">
            <v>T2部件</v>
          </cell>
          <cell r="J451">
            <v>10</v>
          </cell>
          <cell r="K451">
            <v>5.0725492509142382E-3</v>
          </cell>
        </row>
        <row r="452">
          <cell r="I452" t="str">
            <v>T2部件</v>
          </cell>
          <cell r="J452">
            <v>10</v>
          </cell>
          <cell r="K452">
            <v>5.0725492509142382E-3</v>
          </cell>
        </row>
        <row r="453">
          <cell r="I453" t="str">
            <v>T2部件</v>
          </cell>
          <cell r="J453">
            <v>10</v>
          </cell>
          <cell r="K453">
            <v>5.0725492509142382E-3</v>
          </cell>
        </row>
        <row r="454">
          <cell r="I454" t="str">
            <v>T2部件</v>
          </cell>
          <cell r="J454">
            <v>10</v>
          </cell>
          <cell r="K454">
            <v>5.0725492509142382E-3</v>
          </cell>
        </row>
        <row r="455">
          <cell r="I455" t="str">
            <v>T2部件</v>
          </cell>
          <cell r="J455">
            <v>10</v>
          </cell>
          <cell r="K455">
            <v>5.0725492509142382E-3</v>
          </cell>
        </row>
        <row r="456">
          <cell r="I456" t="str">
            <v>T2部件</v>
          </cell>
          <cell r="J456">
            <v>10</v>
          </cell>
          <cell r="K456">
            <v>5.0725492509142382E-3</v>
          </cell>
        </row>
        <row r="457">
          <cell r="I457" t="str">
            <v>T2部件</v>
          </cell>
          <cell r="J457">
            <v>10</v>
          </cell>
          <cell r="K457">
            <v>5.0725492509142382E-3</v>
          </cell>
        </row>
        <row r="458">
          <cell r="I458" t="str">
            <v>T2部件</v>
          </cell>
          <cell r="J458">
            <v>10</v>
          </cell>
          <cell r="K458">
            <v>5.0725492509142382E-3</v>
          </cell>
        </row>
        <row r="459">
          <cell r="I459" t="str">
            <v>T2部件</v>
          </cell>
          <cell r="J459">
            <v>10</v>
          </cell>
          <cell r="K459">
            <v>5.0725492509142382E-3</v>
          </cell>
        </row>
        <row r="460">
          <cell r="I460" t="str">
            <v>T2部件</v>
          </cell>
          <cell r="J460">
            <v>10</v>
          </cell>
          <cell r="K460">
            <v>5.0725492509142382E-3</v>
          </cell>
        </row>
        <row r="461">
          <cell r="I461" t="str">
            <v>T2部件</v>
          </cell>
          <cell r="J461">
            <v>10</v>
          </cell>
          <cell r="K461">
            <v>5.0725492509142382E-3</v>
          </cell>
        </row>
        <row r="462">
          <cell r="I462" t="str">
            <v>T2部件</v>
          </cell>
          <cell r="J462">
            <v>10</v>
          </cell>
          <cell r="K462">
            <v>5.0725492509142382E-3</v>
          </cell>
        </row>
        <row r="463">
          <cell r="I463" t="str">
            <v>T2部件</v>
          </cell>
          <cell r="J463">
            <v>10</v>
          </cell>
          <cell r="K463">
            <v>5.0725492509142382E-3</v>
          </cell>
        </row>
        <row r="464">
          <cell r="I464" t="str">
            <v>T2部件</v>
          </cell>
          <cell r="J464">
            <v>10</v>
          </cell>
          <cell r="K464">
            <v>5.0725492509142382E-3</v>
          </cell>
        </row>
        <row r="465">
          <cell r="I465" t="str">
            <v>T2部件</v>
          </cell>
          <cell r="J465">
            <v>10</v>
          </cell>
          <cell r="K465">
            <v>5.0725492509142382E-3</v>
          </cell>
        </row>
        <row r="466">
          <cell r="I466" t="str">
            <v>T2部件</v>
          </cell>
          <cell r="J466">
            <v>10</v>
          </cell>
          <cell r="K466">
            <v>5.0725492509142382E-3</v>
          </cell>
        </row>
        <row r="467">
          <cell r="I467" t="str">
            <v>T3部件</v>
          </cell>
          <cell r="J467">
            <v>10</v>
          </cell>
          <cell r="K467">
            <v>2.5952577562817036E-3</v>
          </cell>
        </row>
        <row r="468">
          <cell r="I468" t="str">
            <v>T3部件</v>
          </cell>
          <cell r="J468">
            <v>10</v>
          </cell>
          <cell r="K468">
            <v>2.5952577562817036E-3</v>
          </cell>
        </row>
        <row r="469">
          <cell r="I469" t="str">
            <v>T3部件</v>
          </cell>
          <cell r="J469">
            <v>10</v>
          </cell>
          <cell r="K469">
            <v>2.5952577562817036E-3</v>
          </cell>
        </row>
        <row r="470">
          <cell r="I470" t="str">
            <v>T3部件</v>
          </cell>
          <cell r="J470">
            <v>10</v>
          </cell>
          <cell r="K470">
            <v>2.5952577562817036E-3</v>
          </cell>
        </row>
        <row r="471">
          <cell r="I471" t="str">
            <v>T3部件</v>
          </cell>
          <cell r="J471">
            <v>10</v>
          </cell>
          <cell r="K471">
            <v>2.5952577562817036E-3</v>
          </cell>
        </row>
        <row r="472">
          <cell r="I472" t="str">
            <v>T3部件</v>
          </cell>
          <cell r="J472">
            <v>10</v>
          </cell>
          <cell r="K472">
            <v>2.5952577562817036E-3</v>
          </cell>
        </row>
        <row r="473">
          <cell r="I473" t="str">
            <v>T3部件</v>
          </cell>
          <cell r="J473">
            <v>10</v>
          </cell>
          <cell r="K473">
            <v>2.5952577562817036E-3</v>
          </cell>
        </row>
        <row r="474">
          <cell r="I474" t="str">
            <v>T3部件</v>
          </cell>
          <cell r="J474">
            <v>10</v>
          </cell>
          <cell r="K474">
            <v>2.5952577562817036E-3</v>
          </cell>
        </row>
        <row r="475">
          <cell r="I475" t="str">
            <v>T3部件</v>
          </cell>
          <cell r="J475">
            <v>10</v>
          </cell>
          <cell r="K475">
            <v>2.5952577562817036E-3</v>
          </cell>
        </row>
        <row r="476">
          <cell r="I476" t="str">
            <v>T3部件</v>
          </cell>
          <cell r="J476">
            <v>10</v>
          </cell>
          <cell r="K476">
            <v>2.5952577562817036E-3</v>
          </cell>
        </row>
        <row r="477">
          <cell r="I477" t="str">
            <v>T3部件</v>
          </cell>
          <cell r="J477">
            <v>10</v>
          </cell>
          <cell r="K477">
            <v>2.5952577562817036E-3</v>
          </cell>
        </row>
        <row r="478">
          <cell r="I478" t="str">
            <v>T3部件</v>
          </cell>
          <cell r="J478">
            <v>10</v>
          </cell>
          <cell r="K478">
            <v>2.5952577562817036E-3</v>
          </cell>
        </row>
        <row r="479">
          <cell r="I479" t="str">
            <v>T3部件</v>
          </cell>
          <cell r="J479">
            <v>10</v>
          </cell>
          <cell r="K479">
            <v>2.5952577562817036E-3</v>
          </cell>
        </row>
        <row r="480">
          <cell r="I480" t="str">
            <v>T3部件</v>
          </cell>
          <cell r="J480">
            <v>10</v>
          </cell>
          <cell r="K480">
            <v>2.5952577562817036E-3</v>
          </cell>
        </row>
        <row r="481">
          <cell r="I481" t="str">
            <v>T3部件</v>
          </cell>
          <cell r="J481">
            <v>10</v>
          </cell>
          <cell r="K481">
            <v>2.5952577562817036E-3</v>
          </cell>
        </row>
        <row r="482">
          <cell r="I482" t="str">
            <v>T3部件</v>
          </cell>
          <cell r="J482">
            <v>10</v>
          </cell>
          <cell r="K482">
            <v>2.5952577562817036E-3</v>
          </cell>
        </row>
        <row r="483">
          <cell r="I483" t="str">
            <v>T3部件</v>
          </cell>
          <cell r="J483">
            <v>10</v>
          </cell>
          <cell r="K483">
            <v>2.5952577562817036E-3</v>
          </cell>
        </row>
        <row r="484">
          <cell r="I484" t="str">
            <v>T3部件</v>
          </cell>
          <cell r="J484">
            <v>10</v>
          </cell>
          <cell r="K484">
            <v>3.1850890645275451E-3</v>
          </cell>
        </row>
      </sheetData>
      <sheetData sheetId="11">
        <row r="1">
          <cell r="I1" t="str">
            <v>类别</v>
          </cell>
          <cell r="J1" t="str">
            <v>联赛等级</v>
          </cell>
          <cell r="K1" t="str">
            <v>计算个数</v>
          </cell>
        </row>
        <row r="2">
          <cell r="I2" t="str">
            <v>T1碎片</v>
          </cell>
          <cell r="J2">
            <v>1</v>
          </cell>
          <cell r="K2">
            <v>0.64289432587194173</v>
          </cell>
        </row>
        <row r="3">
          <cell r="I3" t="str">
            <v>T1碎片</v>
          </cell>
          <cell r="J3">
            <v>1</v>
          </cell>
          <cell r="K3">
            <v>0.64289432587194173</v>
          </cell>
        </row>
        <row r="4">
          <cell r="I4" t="str">
            <v>T1碎片</v>
          </cell>
          <cell r="J4">
            <v>1</v>
          </cell>
          <cell r="K4">
            <v>0.64289432587194173</v>
          </cell>
        </row>
        <row r="5">
          <cell r="I5" t="str">
            <v>T1部件</v>
          </cell>
          <cell r="J5">
            <v>1</v>
          </cell>
          <cell r="K5">
            <v>0.13604025681068888</v>
          </cell>
        </row>
        <row r="6">
          <cell r="I6" t="str">
            <v>T1部件</v>
          </cell>
          <cell r="J6">
            <v>1</v>
          </cell>
          <cell r="K6">
            <v>0.13604025681068888</v>
          </cell>
        </row>
        <row r="7">
          <cell r="I7" t="str">
            <v>T1部件</v>
          </cell>
          <cell r="J7">
            <v>1</v>
          </cell>
          <cell r="K7">
            <v>0.13604025681068888</v>
          </cell>
        </row>
        <row r="8">
          <cell r="I8" t="str">
            <v>T1部件</v>
          </cell>
          <cell r="J8">
            <v>1</v>
          </cell>
          <cell r="K8">
            <v>0.13604025681068888</v>
          </cell>
        </row>
        <row r="9">
          <cell r="I9" t="str">
            <v>T1部件</v>
          </cell>
          <cell r="J9">
            <v>1</v>
          </cell>
          <cell r="K9">
            <v>0.13604025681068888</v>
          </cell>
        </row>
        <row r="10">
          <cell r="I10" t="str">
            <v>T1部件</v>
          </cell>
          <cell r="J10">
            <v>1</v>
          </cell>
          <cell r="K10">
            <v>0.13604025681068888</v>
          </cell>
        </row>
        <row r="11">
          <cell r="I11" t="str">
            <v>T1部件</v>
          </cell>
          <cell r="J11">
            <v>1</v>
          </cell>
          <cell r="K11">
            <v>0.13604025681068888</v>
          </cell>
        </row>
        <row r="12">
          <cell r="I12" t="str">
            <v>T1部件</v>
          </cell>
          <cell r="J12">
            <v>1</v>
          </cell>
          <cell r="K12">
            <v>0.13604025681068888</v>
          </cell>
        </row>
        <row r="13">
          <cell r="I13" t="str">
            <v>T1部件</v>
          </cell>
          <cell r="J13">
            <v>1</v>
          </cell>
          <cell r="K13">
            <v>0.14020475446815894</v>
          </cell>
        </row>
        <row r="14">
          <cell r="I14" t="str">
            <v>T1碎片</v>
          </cell>
          <cell r="J14">
            <v>2</v>
          </cell>
          <cell r="K14">
            <v>0.52194637537239319</v>
          </cell>
        </row>
        <row r="15">
          <cell r="I15" t="str">
            <v>T1碎片</v>
          </cell>
          <cell r="J15">
            <v>2</v>
          </cell>
          <cell r="K15">
            <v>0.52194637537239319</v>
          </cell>
        </row>
        <row r="16">
          <cell r="I16" t="str">
            <v>T1碎片</v>
          </cell>
          <cell r="J16">
            <v>2</v>
          </cell>
          <cell r="K16">
            <v>0.52194637537239319</v>
          </cell>
        </row>
        <row r="17">
          <cell r="I17" t="str">
            <v>T1部件</v>
          </cell>
          <cell r="J17">
            <v>2</v>
          </cell>
          <cell r="K17">
            <v>8.1827209533267137E-2</v>
          </cell>
        </row>
        <row r="18">
          <cell r="I18" t="str">
            <v>T1部件</v>
          </cell>
          <cell r="J18">
            <v>2</v>
          </cell>
          <cell r="K18">
            <v>8.1827209533267137E-2</v>
          </cell>
        </row>
        <row r="19">
          <cell r="I19" t="str">
            <v>T1部件</v>
          </cell>
          <cell r="J19">
            <v>2</v>
          </cell>
          <cell r="K19">
            <v>8.1827209533267137E-2</v>
          </cell>
        </row>
        <row r="20">
          <cell r="I20" t="str">
            <v>T1部件</v>
          </cell>
          <cell r="J20">
            <v>2</v>
          </cell>
          <cell r="K20">
            <v>8.1827209533267137E-2</v>
          </cell>
        </row>
        <row r="21">
          <cell r="I21" t="str">
            <v>T1部件</v>
          </cell>
          <cell r="J21">
            <v>2</v>
          </cell>
          <cell r="K21">
            <v>8.1827209533267137E-2</v>
          </cell>
        </row>
        <row r="22">
          <cell r="I22" t="str">
            <v>T1部件</v>
          </cell>
          <cell r="J22">
            <v>2</v>
          </cell>
          <cell r="K22">
            <v>8.1827209533267137E-2</v>
          </cell>
        </row>
        <row r="23">
          <cell r="I23" t="str">
            <v>T1部件</v>
          </cell>
          <cell r="J23">
            <v>2</v>
          </cell>
          <cell r="K23">
            <v>8.1827209533267137E-2</v>
          </cell>
        </row>
        <row r="24">
          <cell r="I24" t="str">
            <v>T1部件</v>
          </cell>
          <cell r="J24">
            <v>2</v>
          </cell>
          <cell r="K24">
            <v>8.1827209533267137E-2</v>
          </cell>
        </row>
        <row r="25">
          <cell r="I25" t="str">
            <v>T1部件</v>
          </cell>
          <cell r="J25">
            <v>2</v>
          </cell>
          <cell r="K25">
            <v>8.1827209533267137E-2</v>
          </cell>
        </row>
        <row r="26">
          <cell r="I26" t="str">
            <v>T1部件</v>
          </cell>
          <cell r="J26">
            <v>2</v>
          </cell>
          <cell r="K26">
            <v>8.1827209533267137E-2</v>
          </cell>
        </row>
        <row r="27">
          <cell r="I27" t="str">
            <v>T1部件</v>
          </cell>
          <cell r="J27">
            <v>2</v>
          </cell>
          <cell r="K27">
            <v>8.1827209533267137E-2</v>
          </cell>
        </row>
        <row r="28">
          <cell r="I28" t="str">
            <v>T1部件</v>
          </cell>
          <cell r="J28">
            <v>2</v>
          </cell>
          <cell r="K28">
            <v>8.1827209533267137E-2</v>
          </cell>
        </row>
        <row r="29">
          <cell r="I29" t="str">
            <v>T1部件</v>
          </cell>
          <cell r="J29">
            <v>2</v>
          </cell>
          <cell r="K29">
            <v>8.1827209533267137E-2</v>
          </cell>
        </row>
        <row r="30">
          <cell r="I30" t="str">
            <v>T1部件</v>
          </cell>
          <cell r="J30">
            <v>2</v>
          </cell>
          <cell r="K30">
            <v>8.1827209533267137E-2</v>
          </cell>
        </row>
        <row r="31">
          <cell r="I31" t="str">
            <v>T1部件</v>
          </cell>
          <cell r="J31">
            <v>2</v>
          </cell>
          <cell r="K31">
            <v>8.1827209533267137E-2</v>
          </cell>
        </row>
        <row r="32">
          <cell r="I32" t="str">
            <v>T1部件</v>
          </cell>
          <cell r="J32">
            <v>2</v>
          </cell>
          <cell r="K32">
            <v>8.1827209533267137E-2</v>
          </cell>
        </row>
        <row r="33">
          <cell r="I33" t="str">
            <v>T1部件</v>
          </cell>
          <cell r="J33">
            <v>2</v>
          </cell>
          <cell r="K33">
            <v>8.1827209533267137E-2</v>
          </cell>
        </row>
        <row r="34">
          <cell r="I34" t="str">
            <v>T1部件</v>
          </cell>
          <cell r="J34">
            <v>2</v>
          </cell>
          <cell r="K34">
            <v>8.6991062562065541E-2</v>
          </cell>
        </row>
        <row r="35">
          <cell r="I35" t="str">
            <v>T1碎片</v>
          </cell>
          <cell r="J35">
            <v>3</v>
          </cell>
          <cell r="K35">
            <v>0.34547410481020441</v>
          </cell>
        </row>
        <row r="36">
          <cell r="I36" t="str">
            <v>T1碎片</v>
          </cell>
          <cell r="J36">
            <v>3</v>
          </cell>
          <cell r="K36">
            <v>0.34547410481020441</v>
          </cell>
        </row>
        <row r="37">
          <cell r="I37" t="str">
            <v>T1碎片</v>
          </cell>
          <cell r="J37">
            <v>3</v>
          </cell>
          <cell r="K37">
            <v>0.34547410481020441</v>
          </cell>
        </row>
        <row r="38">
          <cell r="I38" t="str">
            <v>T2碎片</v>
          </cell>
          <cell r="J38">
            <v>3</v>
          </cell>
          <cell r="K38">
            <v>0.2016290149070232</v>
          </cell>
        </row>
        <row r="39">
          <cell r="I39" t="str">
            <v>T2碎片</v>
          </cell>
          <cell r="J39">
            <v>3</v>
          </cell>
          <cell r="K39">
            <v>0.2016290149070232</v>
          </cell>
        </row>
        <row r="40">
          <cell r="I40" t="str">
            <v>T2碎片</v>
          </cell>
          <cell r="J40">
            <v>3</v>
          </cell>
          <cell r="K40">
            <v>0.2016290149070232</v>
          </cell>
        </row>
        <row r="41">
          <cell r="I41" t="str">
            <v>T2碎片</v>
          </cell>
          <cell r="J41">
            <v>3</v>
          </cell>
          <cell r="K41">
            <v>0.14230828338712156</v>
          </cell>
        </row>
        <row r="42">
          <cell r="I42" t="str">
            <v>T2碎片</v>
          </cell>
          <cell r="J42">
            <v>3</v>
          </cell>
          <cell r="K42">
            <v>0.14230828338712156</v>
          </cell>
        </row>
        <row r="43">
          <cell r="I43" t="str">
            <v>T2碎片</v>
          </cell>
          <cell r="J43">
            <v>3</v>
          </cell>
          <cell r="K43">
            <v>0.14230828338712156</v>
          </cell>
        </row>
        <row r="44">
          <cell r="I44" t="str">
            <v>T1部件</v>
          </cell>
          <cell r="J44">
            <v>3</v>
          </cell>
          <cell r="K44">
            <v>4.4567388965729211E-2</v>
          </cell>
        </row>
        <row r="45">
          <cell r="I45" t="str">
            <v>T1部件</v>
          </cell>
          <cell r="J45">
            <v>3</v>
          </cell>
          <cell r="K45">
            <v>4.4567388965729211E-2</v>
          </cell>
        </row>
        <row r="46">
          <cell r="I46" t="str">
            <v>T1部件</v>
          </cell>
          <cell r="J46">
            <v>3</v>
          </cell>
          <cell r="K46">
            <v>4.4567388965729211E-2</v>
          </cell>
        </row>
        <row r="47">
          <cell r="I47" t="str">
            <v>T1部件</v>
          </cell>
          <cell r="J47">
            <v>3</v>
          </cell>
          <cell r="K47">
            <v>4.4567388965729211E-2</v>
          </cell>
        </row>
        <row r="48">
          <cell r="I48" t="str">
            <v>T1部件</v>
          </cell>
          <cell r="J48">
            <v>3</v>
          </cell>
          <cell r="K48">
            <v>4.4567388965729211E-2</v>
          </cell>
        </row>
        <row r="49">
          <cell r="I49" t="str">
            <v>T1部件</v>
          </cell>
          <cell r="J49">
            <v>3</v>
          </cell>
          <cell r="K49">
            <v>4.4567388965729211E-2</v>
          </cell>
        </row>
        <row r="50">
          <cell r="I50" t="str">
            <v>T1部件</v>
          </cell>
          <cell r="J50">
            <v>3</v>
          </cell>
          <cell r="K50">
            <v>4.4567388965729211E-2</v>
          </cell>
        </row>
        <row r="51">
          <cell r="I51" t="str">
            <v>T1部件</v>
          </cell>
          <cell r="J51">
            <v>3</v>
          </cell>
          <cell r="K51">
            <v>4.4567388965729211E-2</v>
          </cell>
        </row>
        <row r="52">
          <cell r="I52" t="str">
            <v>T1部件</v>
          </cell>
          <cell r="J52">
            <v>3</v>
          </cell>
          <cell r="K52">
            <v>4.4567388965729211E-2</v>
          </cell>
        </row>
        <row r="53">
          <cell r="I53" t="str">
            <v>T1部件</v>
          </cell>
          <cell r="J53">
            <v>3</v>
          </cell>
          <cell r="K53">
            <v>4.4567388965729211E-2</v>
          </cell>
        </row>
        <row r="54">
          <cell r="I54" t="str">
            <v>T1部件</v>
          </cell>
          <cell r="J54">
            <v>3</v>
          </cell>
          <cell r="K54">
            <v>4.4567388965729211E-2</v>
          </cell>
        </row>
        <row r="55">
          <cell r="I55" t="str">
            <v>T1部件</v>
          </cell>
          <cell r="J55">
            <v>3</v>
          </cell>
          <cell r="K55">
            <v>4.4567388965729211E-2</v>
          </cell>
        </row>
        <row r="56">
          <cell r="I56" t="str">
            <v>T1部件</v>
          </cell>
          <cell r="J56">
            <v>3</v>
          </cell>
          <cell r="K56">
            <v>4.4567388965729211E-2</v>
          </cell>
        </row>
        <row r="57">
          <cell r="I57" t="str">
            <v>T1部件</v>
          </cell>
          <cell r="J57">
            <v>3</v>
          </cell>
          <cell r="K57">
            <v>4.4567388965729211E-2</v>
          </cell>
        </row>
        <row r="58">
          <cell r="I58" t="str">
            <v>T1部件</v>
          </cell>
          <cell r="J58">
            <v>3</v>
          </cell>
          <cell r="K58">
            <v>4.4567388965729211E-2</v>
          </cell>
        </row>
        <row r="59">
          <cell r="I59" t="str">
            <v>T1部件</v>
          </cell>
          <cell r="J59">
            <v>3</v>
          </cell>
          <cell r="K59">
            <v>4.4567388965729211E-2</v>
          </cell>
        </row>
        <row r="60">
          <cell r="I60" t="str">
            <v>T1部件</v>
          </cell>
          <cell r="J60">
            <v>3</v>
          </cell>
          <cell r="K60">
            <v>4.4567388965729211E-2</v>
          </cell>
        </row>
        <row r="61">
          <cell r="I61" t="str">
            <v>T1部件</v>
          </cell>
          <cell r="J61">
            <v>3</v>
          </cell>
          <cell r="K61">
            <v>4.4567388965729211E-2</v>
          </cell>
        </row>
        <row r="62">
          <cell r="I62" t="str">
            <v>T2部件</v>
          </cell>
          <cell r="J62">
            <v>3</v>
          </cell>
          <cell r="K62">
            <v>2.3052097740894423E-2</v>
          </cell>
        </row>
        <row r="63">
          <cell r="I63" t="str">
            <v>T2部件</v>
          </cell>
          <cell r="J63">
            <v>3</v>
          </cell>
          <cell r="K63">
            <v>2.3052097740894423E-2</v>
          </cell>
        </row>
        <row r="64">
          <cell r="I64" t="str">
            <v>T2部件</v>
          </cell>
          <cell r="J64">
            <v>3</v>
          </cell>
          <cell r="K64">
            <v>2.3052097740894423E-2</v>
          </cell>
        </row>
        <row r="65">
          <cell r="I65" t="str">
            <v>T2部件</v>
          </cell>
          <cell r="J65">
            <v>3</v>
          </cell>
          <cell r="K65">
            <v>2.3052097740894423E-2</v>
          </cell>
        </row>
        <row r="66">
          <cell r="I66" t="str">
            <v>T2部件</v>
          </cell>
          <cell r="J66">
            <v>3</v>
          </cell>
          <cell r="K66">
            <v>2.3052097740894423E-2</v>
          </cell>
        </row>
        <row r="67">
          <cell r="I67" t="str">
            <v>T2部件</v>
          </cell>
          <cell r="J67">
            <v>3</v>
          </cell>
          <cell r="K67">
            <v>2.3052097740894423E-2</v>
          </cell>
        </row>
        <row r="68">
          <cell r="I68" t="str">
            <v>T2部件</v>
          </cell>
          <cell r="J68">
            <v>3</v>
          </cell>
          <cell r="K68">
            <v>2.3052097740894423E-2</v>
          </cell>
        </row>
        <row r="69">
          <cell r="I69" t="str">
            <v>T2部件</v>
          </cell>
          <cell r="J69">
            <v>3</v>
          </cell>
          <cell r="K69">
            <v>2.3052097740894423E-2</v>
          </cell>
        </row>
        <row r="70">
          <cell r="I70" t="str">
            <v>T2部件</v>
          </cell>
          <cell r="J70">
            <v>3</v>
          </cell>
          <cell r="K70">
            <v>2.4896265560165973E-2</v>
          </cell>
        </row>
        <row r="71">
          <cell r="I71" t="str">
            <v>T1碎片</v>
          </cell>
          <cell r="J71">
            <v>4</v>
          </cell>
          <cell r="K71">
            <v>0.3465703971119134</v>
          </cell>
        </row>
        <row r="72">
          <cell r="I72" t="str">
            <v>T1碎片</v>
          </cell>
          <cell r="J72">
            <v>4</v>
          </cell>
          <cell r="K72">
            <v>0.3465703971119134</v>
          </cell>
        </row>
        <row r="73">
          <cell r="I73" t="str">
            <v>T1碎片</v>
          </cell>
          <cell r="J73">
            <v>4</v>
          </cell>
          <cell r="K73">
            <v>0.3465703971119134</v>
          </cell>
        </row>
        <row r="74">
          <cell r="I74" t="str">
            <v>T2碎片</v>
          </cell>
          <cell r="J74">
            <v>4</v>
          </cell>
          <cell r="K74">
            <v>0.38483754512635382</v>
          </cell>
        </row>
        <row r="75">
          <cell r="I75" t="str">
            <v>T2碎片</v>
          </cell>
          <cell r="J75">
            <v>4</v>
          </cell>
          <cell r="K75">
            <v>0.38483754512635382</v>
          </cell>
        </row>
        <row r="76">
          <cell r="I76" t="str">
            <v>T2碎片</v>
          </cell>
          <cell r="J76">
            <v>4</v>
          </cell>
          <cell r="K76">
            <v>0.38483754512635382</v>
          </cell>
        </row>
        <row r="77">
          <cell r="I77" t="str">
            <v>T2碎片</v>
          </cell>
          <cell r="J77">
            <v>4</v>
          </cell>
          <cell r="K77">
            <v>0.15335740072202167</v>
          </cell>
        </row>
        <row r="78">
          <cell r="I78" t="str">
            <v>T2碎片</v>
          </cell>
          <cell r="J78">
            <v>4</v>
          </cell>
          <cell r="K78">
            <v>0.15335740072202167</v>
          </cell>
        </row>
        <row r="79">
          <cell r="I79" t="str">
            <v>T2碎片</v>
          </cell>
          <cell r="J79">
            <v>4</v>
          </cell>
          <cell r="K79">
            <v>0.15335740072202167</v>
          </cell>
        </row>
        <row r="80">
          <cell r="I80" t="str">
            <v>T1部件</v>
          </cell>
          <cell r="J80">
            <v>4</v>
          </cell>
          <cell r="K80">
            <v>3.3212996389891697E-2</v>
          </cell>
        </row>
        <row r="81">
          <cell r="I81" t="str">
            <v>T1部件</v>
          </cell>
          <cell r="J81">
            <v>4</v>
          </cell>
          <cell r="K81">
            <v>3.3212996389891697E-2</v>
          </cell>
        </row>
        <row r="82">
          <cell r="I82" t="str">
            <v>T1部件</v>
          </cell>
          <cell r="J82">
            <v>4</v>
          </cell>
          <cell r="K82">
            <v>3.3212996389891697E-2</v>
          </cell>
        </row>
        <row r="83">
          <cell r="I83" t="str">
            <v>T1部件</v>
          </cell>
          <cell r="J83">
            <v>4</v>
          </cell>
          <cell r="K83">
            <v>3.3212996389891697E-2</v>
          </cell>
        </row>
        <row r="84">
          <cell r="I84" t="str">
            <v>T1部件</v>
          </cell>
          <cell r="J84">
            <v>4</v>
          </cell>
          <cell r="K84">
            <v>3.3212996389891697E-2</v>
          </cell>
        </row>
        <row r="85">
          <cell r="I85" t="str">
            <v>T1部件</v>
          </cell>
          <cell r="J85">
            <v>4</v>
          </cell>
          <cell r="K85">
            <v>3.3212996389891697E-2</v>
          </cell>
        </row>
        <row r="86">
          <cell r="I86" t="str">
            <v>T1部件</v>
          </cell>
          <cell r="J86">
            <v>4</v>
          </cell>
          <cell r="K86">
            <v>3.3212996389891697E-2</v>
          </cell>
        </row>
        <row r="87">
          <cell r="I87" t="str">
            <v>T1部件</v>
          </cell>
          <cell r="J87">
            <v>4</v>
          </cell>
          <cell r="K87">
            <v>3.3212996389891697E-2</v>
          </cell>
        </row>
        <row r="88">
          <cell r="I88" t="str">
            <v>T1部件</v>
          </cell>
          <cell r="J88">
            <v>4</v>
          </cell>
          <cell r="K88">
            <v>3.3212996389891697E-2</v>
          </cell>
        </row>
        <row r="89">
          <cell r="I89" t="str">
            <v>T1部件</v>
          </cell>
          <cell r="J89">
            <v>4</v>
          </cell>
          <cell r="K89">
            <v>3.3212996389891697E-2</v>
          </cell>
        </row>
        <row r="90">
          <cell r="I90" t="str">
            <v>T1部件</v>
          </cell>
          <cell r="J90">
            <v>4</v>
          </cell>
          <cell r="K90">
            <v>3.3212996389891697E-2</v>
          </cell>
        </row>
        <row r="91">
          <cell r="I91" t="str">
            <v>T1部件</v>
          </cell>
          <cell r="J91">
            <v>4</v>
          </cell>
          <cell r="K91">
            <v>3.3212996389891697E-2</v>
          </cell>
        </row>
        <row r="92">
          <cell r="I92" t="str">
            <v>T1部件</v>
          </cell>
          <cell r="J92">
            <v>4</v>
          </cell>
          <cell r="K92">
            <v>3.3212996389891697E-2</v>
          </cell>
        </row>
        <row r="93">
          <cell r="I93" t="str">
            <v>T1部件</v>
          </cell>
          <cell r="J93">
            <v>4</v>
          </cell>
          <cell r="K93">
            <v>3.3212996389891697E-2</v>
          </cell>
        </row>
        <row r="94">
          <cell r="I94" t="str">
            <v>T1部件</v>
          </cell>
          <cell r="J94">
            <v>4</v>
          </cell>
          <cell r="K94">
            <v>3.3212996389891697E-2</v>
          </cell>
        </row>
        <row r="95">
          <cell r="I95" t="str">
            <v>T1部件</v>
          </cell>
          <cell r="J95">
            <v>4</v>
          </cell>
          <cell r="K95">
            <v>3.3212996389891697E-2</v>
          </cell>
        </row>
        <row r="96">
          <cell r="I96" t="str">
            <v>T1部件</v>
          </cell>
          <cell r="J96">
            <v>4</v>
          </cell>
          <cell r="K96">
            <v>3.3212996389891697E-2</v>
          </cell>
        </row>
        <row r="97">
          <cell r="I97" t="str">
            <v>T1部件</v>
          </cell>
          <cell r="J97">
            <v>4</v>
          </cell>
          <cell r="K97">
            <v>3.3212996389891697E-2</v>
          </cell>
        </row>
        <row r="98">
          <cell r="I98" t="str">
            <v>T2部件</v>
          </cell>
          <cell r="J98">
            <v>4</v>
          </cell>
          <cell r="K98">
            <v>1.6750902527075812E-2</v>
          </cell>
        </row>
        <row r="99">
          <cell r="I99" t="str">
            <v>T2部件</v>
          </cell>
          <cell r="J99">
            <v>4</v>
          </cell>
          <cell r="K99">
            <v>1.6750902527075812E-2</v>
          </cell>
        </row>
        <row r="100">
          <cell r="I100" t="str">
            <v>T2部件</v>
          </cell>
          <cell r="J100">
            <v>4</v>
          </cell>
          <cell r="K100">
            <v>1.6750902527075812E-2</v>
          </cell>
        </row>
        <row r="101">
          <cell r="I101" t="str">
            <v>T2部件</v>
          </cell>
          <cell r="J101">
            <v>4</v>
          </cell>
          <cell r="K101">
            <v>1.6750902527075812E-2</v>
          </cell>
        </row>
        <row r="102">
          <cell r="I102" t="str">
            <v>T2部件</v>
          </cell>
          <cell r="J102">
            <v>4</v>
          </cell>
          <cell r="K102">
            <v>1.6750902527075812E-2</v>
          </cell>
        </row>
        <row r="103">
          <cell r="I103" t="str">
            <v>T2部件</v>
          </cell>
          <cell r="J103">
            <v>4</v>
          </cell>
          <cell r="K103">
            <v>1.6750902527075812E-2</v>
          </cell>
        </row>
        <row r="104">
          <cell r="I104" t="str">
            <v>T2部件</v>
          </cell>
          <cell r="J104">
            <v>4</v>
          </cell>
          <cell r="K104">
            <v>1.6750902527075812E-2</v>
          </cell>
        </row>
        <row r="105">
          <cell r="I105" t="str">
            <v>T2部件</v>
          </cell>
          <cell r="J105">
            <v>4</v>
          </cell>
          <cell r="K105">
            <v>1.6750902527075812E-2</v>
          </cell>
        </row>
        <row r="106">
          <cell r="I106" t="str">
            <v>T2部件</v>
          </cell>
          <cell r="J106">
            <v>4</v>
          </cell>
          <cell r="K106">
            <v>1.6750902527075812E-2</v>
          </cell>
        </row>
        <row r="107">
          <cell r="I107" t="str">
            <v>T2部件</v>
          </cell>
          <cell r="J107">
            <v>4</v>
          </cell>
          <cell r="K107">
            <v>1.6750902527075812E-2</v>
          </cell>
        </row>
        <row r="108">
          <cell r="I108" t="str">
            <v>T2部件</v>
          </cell>
          <cell r="J108">
            <v>4</v>
          </cell>
          <cell r="K108">
            <v>1.6750902527075812E-2</v>
          </cell>
        </row>
        <row r="109">
          <cell r="I109" t="str">
            <v>T2部件</v>
          </cell>
          <cell r="J109">
            <v>4</v>
          </cell>
          <cell r="K109">
            <v>1.6750902527075812E-2</v>
          </cell>
        </row>
        <row r="110">
          <cell r="I110" t="str">
            <v>T2部件</v>
          </cell>
          <cell r="J110">
            <v>4</v>
          </cell>
          <cell r="K110">
            <v>1.6750902527075812E-2</v>
          </cell>
        </row>
        <row r="111">
          <cell r="I111" t="str">
            <v>T2部件</v>
          </cell>
          <cell r="J111">
            <v>4</v>
          </cell>
          <cell r="K111">
            <v>1.6750902527075812E-2</v>
          </cell>
        </row>
        <row r="112">
          <cell r="I112" t="str">
            <v>T2部件</v>
          </cell>
          <cell r="J112">
            <v>4</v>
          </cell>
          <cell r="K112">
            <v>1.6750902527075812E-2</v>
          </cell>
        </row>
        <row r="113">
          <cell r="I113" t="str">
            <v>T2部件</v>
          </cell>
          <cell r="J113">
            <v>4</v>
          </cell>
          <cell r="K113">
            <v>1.6750902527075812E-2</v>
          </cell>
        </row>
        <row r="114">
          <cell r="I114" t="str">
            <v>T2部件</v>
          </cell>
          <cell r="J114">
            <v>4</v>
          </cell>
          <cell r="K114">
            <v>1.6750902527075812E-2</v>
          </cell>
        </row>
        <row r="115">
          <cell r="I115" t="str">
            <v>T2部件</v>
          </cell>
          <cell r="J115">
            <v>4</v>
          </cell>
          <cell r="K115">
            <v>2.223826714801444E-2</v>
          </cell>
        </row>
        <row r="116">
          <cell r="I116" t="str">
            <v>T1碎片</v>
          </cell>
          <cell r="J116">
            <v>5</v>
          </cell>
          <cell r="K116">
            <v>0.29189978107516418</v>
          </cell>
        </row>
        <row r="117">
          <cell r="I117" t="str">
            <v>T1碎片</v>
          </cell>
          <cell r="J117">
            <v>5</v>
          </cell>
          <cell r="K117">
            <v>0.29189978107516418</v>
          </cell>
        </row>
        <row r="118">
          <cell r="I118" t="str">
            <v>T1碎片</v>
          </cell>
          <cell r="J118">
            <v>5</v>
          </cell>
          <cell r="K118">
            <v>0.29189978107516418</v>
          </cell>
        </row>
        <row r="119">
          <cell r="I119" t="str">
            <v>T2碎片</v>
          </cell>
          <cell r="J119">
            <v>5</v>
          </cell>
          <cell r="K119">
            <v>0.18353198735100948</v>
          </cell>
        </row>
        <row r="120">
          <cell r="I120" t="str">
            <v>T2碎片</v>
          </cell>
          <cell r="J120">
            <v>5</v>
          </cell>
          <cell r="K120">
            <v>0.18353198735100948</v>
          </cell>
        </row>
        <row r="121">
          <cell r="I121" t="str">
            <v>T2碎片</v>
          </cell>
          <cell r="J121">
            <v>5</v>
          </cell>
          <cell r="K121">
            <v>0.18353198735100948</v>
          </cell>
        </row>
        <row r="122">
          <cell r="I122" t="str">
            <v>T3碎片</v>
          </cell>
          <cell r="J122">
            <v>5</v>
          </cell>
          <cell r="K122">
            <v>0.16395037703721721</v>
          </cell>
        </row>
        <row r="123">
          <cell r="I123" t="str">
            <v>T3碎片</v>
          </cell>
          <cell r="J123">
            <v>5</v>
          </cell>
          <cell r="K123">
            <v>0.16395037703721721</v>
          </cell>
        </row>
        <row r="124">
          <cell r="I124" t="str">
            <v>T3碎片</v>
          </cell>
          <cell r="J124">
            <v>5</v>
          </cell>
          <cell r="K124">
            <v>0.16395037703721721</v>
          </cell>
        </row>
        <row r="125">
          <cell r="I125" t="str">
            <v>T3碎片</v>
          </cell>
          <cell r="J125">
            <v>5</v>
          </cell>
          <cell r="K125">
            <v>6.4461201654098757E-2</v>
          </cell>
        </row>
        <row r="126">
          <cell r="I126" t="str">
            <v>T3碎片</v>
          </cell>
          <cell r="J126">
            <v>5</v>
          </cell>
          <cell r="K126">
            <v>6.4461201654098757E-2</v>
          </cell>
        </row>
        <row r="127">
          <cell r="I127" t="str">
            <v>T3碎片</v>
          </cell>
          <cell r="J127">
            <v>5</v>
          </cell>
          <cell r="K127">
            <v>6.4461201654098757E-2</v>
          </cell>
        </row>
        <row r="128">
          <cell r="I128" t="str">
            <v>T1部件</v>
          </cell>
          <cell r="J128">
            <v>5</v>
          </cell>
          <cell r="K128">
            <v>2.9676477742641694E-2</v>
          </cell>
        </row>
        <row r="129">
          <cell r="I129" t="str">
            <v>T1部件</v>
          </cell>
          <cell r="J129">
            <v>5</v>
          </cell>
          <cell r="K129">
            <v>2.9676477742641694E-2</v>
          </cell>
        </row>
        <row r="130">
          <cell r="I130" t="str">
            <v>T1部件</v>
          </cell>
          <cell r="J130">
            <v>5</v>
          </cell>
          <cell r="K130">
            <v>2.9676477742641694E-2</v>
          </cell>
        </row>
        <row r="131">
          <cell r="I131" t="str">
            <v>T1部件</v>
          </cell>
          <cell r="J131">
            <v>5</v>
          </cell>
          <cell r="K131">
            <v>2.9676477742641694E-2</v>
          </cell>
        </row>
        <row r="132">
          <cell r="I132" t="str">
            <v>T1部件</v>
          </cell>
          <cell r="J132">
            <v>5</v>
          </cell>
          <cell r="K132">
            <v>2.9676477742641694E-2</v>
          </cell>
        </row>
        <row r="133">
          <cell r="I133" t="str">
            <v>T1部件</v>
          </cell>
          <cell r="J133">
            <v>5</v>
          </cell>
          <cell r="K133">
            <v>2.9676477742641694E-2</v>
          </cell>
        </row>
        <row r="134">
          <cell r="I134" t="str">
            <v>T1部件</v>
          </cell>
          <cell r="J134">
            <v>5</v>
          </cell>
          <cell r="K134">
            <v>2.9676477742641694E-2</v>
          </cell>
        </row>
        <row r="135">
          <cell r="I135" t="str">
            <v>T1部件</v>
          </cell>
          <cell r="J135">
            <v>5</v>
          </cell>
          <cell r="K135">
            <v>2.9676477742641694E-2</v>
          </cell>
        </row>
        <row r="136">
          <cell r="I136" t="str">
            <v>T1部件</v>
          </cell>
          <cell r="J136">
            <v>5</v>
          </cell>
          <cell r="K136">
            <v>2.9676477742641694E-2</v>
          </cell>
        </row>
        <row r="137">
          <cell r="I137" t="str">
            <v>T1部件</v>
          </cell>
          <cell r="J137">
            <v>5</v>
          </cell>
          <cell r="K137">
            <v>2.9676477742641694E-2</v>
          </cell>
        </row>
        <row r="138">
          <cell r="I138" t="str">
            <v>T1部件</v>
          </cell>
          <cell r="J138">
            <v>5</v>
          </cell>
          <cell r="K138">
            <v>2.9676477742641694E-2</v>
          </cell>
        </row>
        <row r="139">
          <cell r="I139" t="str">
            <v>T1部件</v>
          </cell>
          <cell r="J139">
            <v>5</v>
          </cell>
          <cell r="K139">
            <v>2.9676477742641694E-2</v>
          </cell>
        </row>
        <row r="140">
          <cell r="I140" t="str">
            <v>T1部件</v>
          </cell>
          <cell r="J140">
            <v>5</v>
          </cell>
          <cell r="K140">
            <v>2.9676477742641694E-2</v>
          </cell>
        </row>
        <row r="141">
          <cell r="I141" t="str">
            <v>T1部件</v>
          </cell>
          <cell r="J141">
            <v>5</v>
          </cell>
          <cell r="K141">
            <v>2.9676477742641694E-2</v>
          </cell>
        </row>
        <row r="142">
          <cell r="I142" t="str">
            <v>T1部件</v>
          </cell>
          <cell r="J142">
            <v>5</v>
          </cell>
          <cell r="K142">
            <v>2.9676477742641694E-2</v>
          </cell>
        </row>
        <row r="143">
          <cell r="I143" t="str">
            <v>T1部件</v>
          </cell>
          <cell r="J143">
            <v>5</v>
          </cell>
          <cell r="K143">
            <v>2.9676477742641694E-2</v>
          </cell>
        </row>
        <row r="144">
          <cell r="I144" t="str">
            <v>T1部件</v>
          </cell>
          <cell r="J144">
            <v>5</v>
          </cell>
          <cell r="K144">
            <v>2.9676477742641694E-2</v>
          </cell>
        </row>
        <row r="145">
          <cell r="I145" t="str">
            <v>T1部件</v>
          </cell>
          <cell r="J145">
            <v>5</v>
          </cell>
          <cell r="K145">
            <v>2.9676477742641694E-2</v>
          </cell>
        </row>
        <row r="146">
          <cell r="I146" t="str">
            <v>T2部件</v>
          </cell>
          <cell r="J146">
            <v>5</v>
          </cell>
          <cell r="K146">
            <v>1.4594989053758209E-2</v>
          </cell>
        </row>
        <row r="147">
          <cell r="I147" t="str">
            <v>T2部件</v>
          </cell>
          <cell r="J147">
            <v>5</v>
          </cell>
          <cell r="K147">
            <v>1.4594989053758209E-2</v>
          </cell>
        </row>
        <row r="148">
          <cell r="I148" t="str">
            <v>T2部件</v>
          </cell>
          <cell r="J148">
            <v>5</v>
          </cell>
          <cell r="K148">
            <v>1.4594989053758209E-2</v>
          </cell>
        </row>
        <row r="149">
          <cell r="I149" t="str">
            <v>T2部件</v>
          </cell>
          <cell r="J149">
            <v>5</v>
          </cell>
          <cell r="K149">
            <v>1.4594989053758209E-2</v>
          </cell>
        </row>
        <row r="150">
          <cell r="I150" t="str">
            <v>T2部件</v>
          </cell>
          <cell r="J150">
            <v>5</v>
          </cell>
          <cell r="K150">
            <v>1.4594989053758209E-2</v>
          </cell>
        </row>
        <row r="151">
          <cell r="I151" t="str">
            <v>T2部件</v>
          </cell>
          <cell r="J151">
            <v>5</v>
          </cell>
          <cell r="K151">
            <v>1.4594989053758209E-2</v>
          </cell>
        </row>
        <row r="152">
          <cell r="I152" t="str">
            <v>T2部件</v>
          </cell>
          <cell r="J152">
            <v>5</v>
          </cell>
          <cell r="K152">
            <v>1.4594989053758209E-2</v>
          </cell>
        </row>
        <row r="153">
          <cell r="I153" t="str">
            <v>T2部件</v>
          </cell>
          <cell r="J153">
            <v>5</v>
          </cell>
          <cell r="K153">
            <v>1.4594989053758209E-2</v>
          </cell>
        </row>
        <row r="154">
          <cell r="I154" t="str">
            <v>T2部件</v>
          </cell>
          <cell r="J154">
            <v>5</v>
          </cell>
          <cell r="K154">
            <v>1.4594989053758209E-2</v>
          </cell>
        </row>
        <row r="155">
          <cell r="I155" t="str">
            <v>T2部件</v>
          </cell>
          <cell r="J155">
            <v>5</v>
          </cell>
          <cell r="K155">
            <v>1.4594989053758209E-2</v>
          </cell>
        </row>
        <row r="156">
          <cell r="I156" t="str">
            <v>T2部件</v>
          </cell>
          <cell r="J156">
            <v>5</v>
          </cell>
          <cell r="K156">
            <v>1.4594989053758209E-2</v>
          </cell>
        </row>
        <row r="157">
          <cell r="I157" t="str">
            <v>T2部件</v>
          </cell>
          <cell r="J157">
            <v>5</v>
          </cell>
          <cell r="K157">
            <v>1.4594989053758209E-2</v>
          </cell>
        </row>
        <row r="158">
          <cell r="I158" t="str">
            <v>T2部件</v>
          </cell>
          <cell r="J158">
            <v>5</v>
          </cell>
          <cell r="K158">
            <v>1.4594989053758209E-2</v>
          </cell>
        </row>
        <row r="159">
          <cell r="I159" t="str">
            <v>T2部件</v>
          </cell>
          <cell r="J159">
            <v>5</v>
          </cell>
          <cell r="K159">
            <v>1.4594989053758209E-2</v>
          </cell>
        </row>
        <row r="160">
          <cell r="I160" t="str">
            <v>T2部件</v>
          </cell>
          <cell r="J160">
            <v>5</v>
          </cell>
          <cell r="K160">
            <v>1.4594989053758209E-2</v>
          </cell>
        </row>
        <row r="161">
          <cell r="I161" t="str">
            <v>T2部件</v>
          </cell>
          <cell r="J161">
            <v>5</v>
          </cell>
          <cell r="K161">
            <v>1.4594989053758209E-2</v>
          </cell>
        </row>
        <row r="162">
          <cell r="I162" t="str">
            <v>T2部件</v>
          </cell>
          <cell r="J162">
            <v>5</v>
          </cell>
          <cell r="K162">
            <v>1.4594989053758209E-2</v>
          </cell>
        </row>
        <row r="163">
          <cell r="I163" t="str">
            <v>T2部件</v>
          </cell>
          <cell r="J163">
            <v>5</v>
          </cell>
          <cell r="K163">
            <v>1.9459985405010947E-2</v>
          </cell>
        </row>
        <row r="164">
          <cell r="I164" t="str">
            <v>T1碎片</v>
          </cell>
          <cell r="J164">
            <v>6</v>
          </cell>
          <cell r="K164">
            <v>0.28660138524002865</v>
          </cell>
        </row>
        <row r="165">
          <cell r="I165" t="str">
            <v>T1碎片</v>
          </cell>
          <cell r="J165">
            <v>6</v>
          </cell>
          <cell r="K165">
            <v>0.28660138524002865</v>
          </cell>
        </row>
        <row r="166">
          <cell r="I166" t="str">
            <v>T1碎片</v>
          </cell>
          <cell r="J166">
            <v>6</v>
          </cell>
          <cell r="K166">
            <v>0.28660138524002865</v>
          </cell>
        </row>
        <row r="167">
          <cell r="I167" t="str">
            <v>T2碎片</v>
          </cell>
          <cell r="J167">
            <v>6</v>
          </cell>
          <cell r="K167">
            <v>0.15082397898256508</v>
          </cell>
        </row>
        <row r="168">
          <cell r="I168" t="str">
            <v>T2碎片</v>
          </cell>
          <cell r="J168">
            <v>6</v>
          </cell>
          <cell r="K168">
            <v>0.15082397898256508</v>
          </cell>
        </row>
        <row r="169">
          <cell r="I169" t="str">
            <v>T2碎片</v>
          </cell>
          <cell r="J169">
            <v>6</v>
          </cell>
          <cell r="K169">
            <v>0.15082397898256508</v>
          </cell>
        </row>
        <row r="170">
          <cell r="I170" t="str">
            <v>T3碎片</v>
          </cell>
          <cell r="J170">
            <v>6</v>
          </cell>
          <cell r="K170">
            <v>0.17124432768091713</v>
          </cell>
        </row>
        <row r="171">
          <cell r="I171" t="str">
            <v>T3碎片</v>
          </cell>
          <cell r="J171">
            <v>6</v>
          </cell>
          <cell r="K171">
            <v>0.17124432768091713</v>
          </cell>
        </row>
        <row r="172">
          <cell r="I172" t="str">
            <v>T3碎片</v>
          </cell>
          <cell r="J172">
            <v>6</v>
          </cell>
          <cell r="K172">
            <v>0.17124432768091713</v>
          </cell>
        </row>
        <row r="173">
          <cell r="I173" t="str">
            <v>T3碎片</v>
          </cell>
          <cell r="J173">
            <v>6</v>
          </cell>
          <cell r="K173">
            <v>0.10532600907571053</v>
          </cell>
        </row>
        <row r="174">
          <cell r="I174" t="str">
            <v>T3碎片</v>
          </cell>
          <cell r="J174">
            <v>6</v>
          </cell>
          <cell r="K174">
            <v>0.10532600907571053</v>
          </cell>
        </row>
        <row r="175">
          <cell r="I175" t="str">
            <v>T3碎片</v>
          </cell>
          <cell r="J175">
            <v>6</v>
          </cell>
          <cell r="K175">
            <v>0.10532600907571053</v>
          </cell>
        </row>
        <row r="176">
          <cell r="I176" t="str">
            <v>T1部件</v>
          </cell>
          <cell r="J176">
            <v>6</v>
          </cell>
          <cell r="K176">
            <v>2.5077621208502508E-2</v>
          </cell>
        </row>
        <row r="177">
          <cell r="I177" t="str">
            <v>T1部件</v>
          </cell>
          <cell r="J177">
            <v>6</v>
          </cell>
          <cell r="K177">
            <v>2.5077621208502508E-2</v>
          </cell>
        </row>
        <row r="178">
          <cell r="I178" t="str">
            <v>T1部件</v>
          </cell>
          <cell r="J178">
            <v>6</v>
          </cell>
          <cell r="K178">
            <v>2.5077621208502508E-2</v>
          </cell>
        </row>
        <row r="179">
          <cell r="I179" t="str">
            <v>T1部件</v>
          </cell>
          <cell r="J179">
            <v>6</v>
          </cell>
          <cell r="K179">
            <v>2.5077621208502508E-2</v>
          </cell>
        </row>
        <row r="180">
          <cell r="I180" t="str">
            <v>T1部件</v>
          </cell>
          <cell r="J180">
            <v>6</v>
          </cell>
          <cell r="K180">
            <v>2.5077621208502508E-2</v>
          </cell>
        </row>
        <row r="181">
          <cell r="I181" t="str">
            <v>T1部件</v>
          </cell>
          <cell r="J181">
            <v>6</v>
          </cell>
          <cell r="K181">
            <v>2.5077621208502508E-2</v>
          </cell>
        </row>
        <row r="182">
          <cell r="I182" t="str">
            <v>T1部件</v>
          </cell>
          <cell r="J182">
            <v>6</v>
          </cell>
          <cell r="K182">
            <v>2.5077621208502508E-2</v>
          </cell>
        </row>
        <row r="183">
          <cell r="I183" t="str">
            <v>T1部件</v>
          </cell>
          <cell r="J183">
            <v>6</v>
          </cell>
          <cell r="K183">
            <v>2.5077621208502508E-2</v>
          </cell>
        </row>
        <row r="184">
          <cell r="I184" t="str">
            <v>T1部件</v>
          </cell>
          <cell r="J184">
            <v>6</v>
          </cell>
          <cell r="K184">
            <v>2.5077621208502508E-2</v>
          </cell>
        </row>
        <row r="185">
          <cell r="I185" t="str">
            <v>T1部件</v>
          </cell>
          <cell r="J185">
            <v>6</v>
          </cell>
          <cell r="K185">
            <v>2.5077621208502508E-2</v>
          </cell>
        </row>
        <row r="186">
          <cell r="I186" t="str">
            <v>T1部件</v>
          </cell>
          <cell r="J186">
            <v>6</v>
          </cell>
          <cell r="K186">
            <v>2.5077621208502508E-2</v>
          </cell>
        </row>
        <row r="187">
          <cell r="I187" t="str">
            <v>T1部件</v>
          </cell>
          <cell r="J187">
            <v>6</v>
          </cell>
          <cell r="K187">
            <v>2.5077621208502508E-2</v>
          </cell>
        </row>
        <row r="188">
          <cell r="I188" t="str">
            <v>T1部件</v>
          </cell>
          <cell r="J188">
            <v>6</v>
          </cell>
          <cell r="K188">
            <v>2.5077621208502508E-2</v>
          </cell>
        </row>
        <row r="189">
          <cell r="I189" t="str">
            <v>T1部件</v>
          </cell>
          <cell r="J189">
            <v>6</v>
          </cell>
          <cell r="K189">
            <v>2.5077621208502508E-2</v>
          </cell>
        </row>
        <row r="190">
          <cell r="I190" t="str">
            <v>T1部件</v>
          </cell>
          <cell r="J190">
            <v>6</v>
          </cell>
          <cell r="K190">
            <v>2.5077621208502508E-2</v>
          </cell>
        </row>
        <row r="191">
          <cell r="I191" t="str">
            <v>T1部件</v>
          </cell>
          <cell r="J191">
            <v>6</v>
          </cell>
          <cell r="K191">
            <v>2.5077621208502508E-2</v>
          </cell>
        </row>
        <row r="192">
          <cell r="I192" t="str">
            <v>T1部件</v>
          </cell>
          <cell r="J192">
            <v>6</v>
          </cell>
          <cell r="K192">
            <v>2.5077621208502508E-2</v>
          </cell>
        </row>
        <row r="193">
          <cell r="I193" t="str">
            <v>T1部件</v>
          </cell>
          <cell r="J193">
            <v>6</v>
          </cell>
          <cell r="K193">
            <v>2.5077621208502508E-2</v>
          </cell>
        </row>
        <row r="194">
          <cell r="I194" t="str">
            <v>T2部件</v>
          </cell>
          <cell r="J194">
            <v>6</v>
          </cell>
          <cell r="K194">
            <v>1.1941724385001195E-2</v>
          </cell>
        </row>
        <row r="195">
          <cell r="I195" t="str">
            <v>T2部件</v>
          </cell>
          <cell r="J195">
            <v>6</v>
          </cell>
          <cell r="K195">
            <v>1.1941724385001195E-2</v>
          </cell>
        </row>
        <row r="196">
          <cell r="I196" t="str">
            <v>T2部件</v>
          </cell>
          <cell r="J196">
            <v>6</v>
          </cell>
          <cell r="K196">
            <v>1.1941724385001195E-2</v>
          </cell>
        </row>
        <row r="197">
          <cell r="I197" t="str">
            <v>T2部件</v>
          </cell>
          <cell r="J197">
            <v>6</v>
          </cell>
          <cell r="K197">
            <v>1.1941724385001195E-2</v>
          </cell>
        </row>
        <row r="198">
          <cell r="I198" t="str">
            <v>T2部件</v>
          </cell>
          <cell r="J198">
            <v>6</v>
          </cell>
          <cell r="K198">
            <v>1.1941724385001195E-2</v>
          </cell>
        </row>
        <row r="199">
          <cell r="I199" t="str">
            <v>T2部件</v>
          </cell>
          <cell r="J199">
            <v>6</v>
          </cell>
          <cell r="K199">
            <v>1.1941724385001195E-2</v>
          </cell>
        </row>
        <row r="200">
          <cell r="I200" t="str">
            <v>T2部件</v>
          </cell>
          <cell r="J200">
            <v>6</v>
          </cell>
          <cell r="K200">
            <v>1.1941724385001195E-2</v>
          </cell>
        </row>
        <row r="201">
          <cell r="I201" t="str">
            <v>T2部件</v>
          </cell>
          <cell r="J201">
            <v>6</v>
          </cell>
          <cell r="K201">
            <v>1.1941724385001195E-2</v>
          </cell>
        </row>
        <row r="202">
          <cell r="I202" t="str">
            <v>T2部件</v>
          </cell>
          <cell r="J202">
            <v>6</v>
          </cell>
          <cell r="K202">
            <v>1.1941724385001195E-2</v>
          </cell>
        </row>
        <row r="203">
          <cell r="I203" t="str">
            <v>T2部件</v>
          </cell>
          <cell r="J203">
            <v>6</v>
          </cell>
          <cell r="K203">
            <v>1.1941724385001195E-2</v>
          </cell>
        </row>
        <row r="204">
          <cell r="I204" t="str">
            <v>T2部件</v>
          </cell>
          <cell r="J204">
            <v>6</v>
          </cell>
          <cell r="K204">
            <v>1.1941724385001195E-2</v>
          </cell>
        </row>
        <row r="205">
          <cell r="I205" t="str">
            <v>T2部件</v>
          </cell>
          <cell r="J205">
            <v>6</v>
          </cell>
          <cell r="K205">
            <v>1.1941724385001195E-2</v>
          </cell>
        </row>
        <row r="206">
          <cell r="I206" t="str">
            <v>T2部件</v>
          </cell>
          <cell r="J206">
            <v>6</v>
          </cell>
          <cell r="K206">
            <v>1.1941724385001195E-2</v>
          </cell>
        </row>
        <row r="207">
          <cell r="I207" t="str">
            <v>T2部件</v>
          </cell>
          <cell r="J207">
            <v>6</v>
          </cell>
          <cell r="K207">
            <v>1.1941724385001195E-2</v>
          </cell>
        </row>
        <row r="208">
          <cell r="I208" t="str">
            <v>T2部件</v>
          </cell>
          <cell r="J208">
            <v>6</v>
          </cell>
          <cell r="K208">
            <v>1.1941724385001195E-2</v>
          </cell>
        </row>
        <row r="209">
          <cell r="I209" t="str">
            <v>T2部件</v>
          </cell>
          <cell r="J209">
            <v>6</v>
          </cell>
          <cell r="K209">
            <v>1.1941724385001195E-2</v>
          </cell>
        </row>
        <row r="210">
          <cell r="I210" t="str">
            <v>T2部件</v>
          </cell>
          <cell r="J210">
            <v>6</v>
          </cell>
          <cell r="K210">
            <v>1.1941724385001195E-2</v>
          </cell>
        </row>
        <row r="211">
          <cell r="I211" t="str">
            <v>T2部件</v>
          </cell>
          <cell r="J211">
            <v>6</v>
          </cell>
          <cell r="K211">
            <v>1.1941724385001195E-2</v>
          </cell>
        </row>
        <row r="212">
          <cell r="I212" t="str">
            <v>T3部件</v>
          </cell>
          <cell r="J212">
            <v>6</v>
          </cell>
          <cell r="K212">
            <v>6.4485311679006452E-3</v>
          </cell>
        </row>
        <row r="213">
          <cell r="I213" t="str">
            <v>T3部件</v>
          </cell>
          <cell r="J213">
            <v>6</v>
          </cell>
          <cell r="K213">
            <v>6.4485311679006452E-3</v>
          </cell>
        </row>
        <row r="214">
          <cell r="I214" t="str">
            <v>T3部件</v>
          </cell>
          <cell r="J214">
            <v>6</v>
          </cell>
          <cell r="K214">
            <v>6.4485311679006452E-3</v>
          </cell>
        </row>
        <row r="215">
          <cell r="I215" t="str">
            <v>T3部件</v>
          </cell>
          <cell r="J215">
            <v>6</v>
          </cell>
          <cell r="K215">
            <v>6.4485311679006452E-3</v>
          </cell>
        </row>
        <row r="216">
          <cell r="I216" t="str">
            <v>T3部件</v>
          </cell>
          <cell r="J216">
            <v>6</v>
          </cell>
          <cell r="K216">
            <v>6.4485311679006452E-3</v>
          </cell>
        </row>
        <row r="217">
          <cell r="I217" t="str">
            <v>T3部件</v>
          </cell>
          <cell r="J217">
            <v>6</v>
          </cell>
          <cell r="K217">
            <v>6.4485311679006452E-3</v>
          </cell>
        </row>
        <row r="218">
          <cell r="I218" t="str">
            <v>T3部件</v>
          </cell>
          <cell r="J218">
            <v>6</v>
          </cell>
          <cell r="K218">
            <v>6.4485311679006452E-3</v>
          </cell>
        </row>
        <row r="219">
          <cell r="I219" t="str">
            <v>T3部件</v>
          </cell>
          <cell r="J219">
            <v>6</v>
          </cell>
          <cell r="K219">
            <v>6.4485311679006452E-3</v>
          </cell>
        </row>
        <row r="220">
          <cell r="I220" t="str">
            <v>T3部件</v>
          </cell>
          <cell r="J220">
            <v>6</v>
          </cell>
          <cell r="K220">
            <v>7.4038691187007406E-3</v>
          </cell>
        </row>
        <row r="221">
          <cell r="I221" t="str">
            <v>T1碎片</v>
          </cell>
          <cell r="J221">
            <v>7</v>
          </cell>
          <cell r="K221">
            <v>0.26067729547305946</v>
          </cell>
        </row>
        <row r="222">
          <cell r="I222" t="str">
            <v>T1碎片</v>
          </cell>
          <cell r="J222">
            <v>7</v>
          </cell>
          <cell r="K222">
            <v>0.26067729547305946</v>
          </cell>
        </row>
        <row r="223">
          <cell r="I223" t="str">
            <v>T1碎片</v>
          </cell>
          <cell r="J223">
            <v>7</v>
          </cell>
          <cell r="K223">
            <v>0.26067729547305946</v>
          </cell>
        </row>
        <row r="224">
          <cell r="I224" t="str">
            <v>T2碎片</v>
          </cell>
          <cell r="J224">
            <v>7</v>
          </cell>
          <cell r="K224">
            <v>4.8876992901198651E-2</v>
          </cell>
        </row>
        <row r="225">
          <cell r="I225" t="str">
            <v>T2碎片</v>
          </cell>
          <cell r="J225">
            <v>7</v>
          </cell>
          <cell r="K225">
            <v>4.8876992901198651E-2</v>
          </cell>
        </row>
        <row r="226">
          <cell r="I226" t="str">
            <v>T2碎片</v>
          </cell>
          <cell r="J226">
            <v>7</v>
          </cell>
          <cell r="K226">
            <v>4.8876992901198651E-2</v>
          </cell>
        </row>
        <row r="227">
          <cell r="I227" t="str">
            <v>T3碎片</v>
          </cell>
          <cell r="J227">
            <v>7</v>
          </cell>
          <cell r="K227">
            <v>0.32084254625858255</v>
          </cell>
        </row>
        <row r="228">
          <cell r="I228" t="str">
            <v>T3碎片</v>
          </cell>
          <cell r="J228">
            <v>7</v>
          </cell>
          <cell r="K228">
            <v>0.32084254625858255</v>
          </cell>
        </row>
        <row r="229">
          <cell r="I229" t="str">
            <v>T3碎片</v>
          </cell>
          <cell r="J229">
            <v>7</v>
          </cell>
          <cell r="K229">
            <v>0.32084254625858255</v>
          </cell>
        </row>
        <row r="230">
          <cell r="I230" t="str">
            <v>T3碎片</v>
          </cell>
          <cell r="J230">
            <v>7</v>
          </cell>
          <cell r="K230">
            <v>0.16059583381822415</v>
          </cell>
        </row>
        <row r="231">
          <cell r="I231" t="str">
            <v>T3碎片</v>
          </cell>
          <cell r="J231">
            <v>7</v>
          </cell>
          <cell r="K231">
            <v>0.16059583381822415</v>
          </cell>
        </row>
        <row r="232">
          <cell r="I232" t="str">
            <v>T3碎片</v>
          </cell>
          <cell r="J232">
            <v>7</v>
          </cell>
          <cell r="K232">
            <v>0.16059583381822415</v>
          </cell>
        </row>
        <row r="233">
          <cell r="I233" t="str">
            <v>T1部件</v>
          </cell>
          <cell r="J233">
            <v>7</v>
          </cell>
          <cell r="K233">
            <v>2.1645525427673687E-2</v>
          </cell>
        </row>
        <row r="234">
          <cell r="I234" t="str">
            <v>T1部件</v>
          </cell>
          <cell r="J234">
            <v>7</v>
          </cell>
          <cell r="K234">
            <v>2.1645525427673687E-2</v>
          </cell>
        </row>
        <row r="235">
          <cell r="I235" t="str">
            <v>T1部件</v>
          </cell>
          <cell r="J235">
            <v>7</v>
          </cell>
          <cell r="K235">
            <v>2.1645525427673687E-2</v>
          </cell>
        </row>
        <row r="236">
          <cell r="I236" t="str">
            <v>T1部件</v>
          </cell>
          <cell r="J236">
            <v>7</v>
          </cell>
          <cell r="K236">
            <v>2.1645525427673687E-2</v>
          </cell>
        </row>
        <row r="237">
          <cell r="I237" t="str">
            <v>T1部件</v>
          </cell>
          <cell r="J237">
            <v>7</v>
          </cell>
          <cell r="K237">
            <v>2.1645525427673687E-2</v>
          </cell>
        </row>
        <row r="238">
          <cell r="I238" t="str">
            <v>T1部件</v>
          </cell>
          <cell r="J238">
            <v>7</v>
          </cell>
          <cell r="K238">
            <v>2.1645525427673687E-2</v>
          </cell>
        </row>
        <row r="239">
          <cell r="I239" t="str">
            <v>T1部件</v>
          </cell>
          <cell r="J239">
            <v>7</v>
          </cell>
          <cell r="K239">
            <v>2.1645525427673687E-2</v>
          </cell>
        </row>
        <row r="240">
          <cell r="I240" t="str">
            <v>T1部件</v>
          </cell>
          <cell r="J240">
            <v>7</v>
          </cell>
          <cell r="K240">
            <v>2.1645525427673687E-2</v>
          </cell>
        </row>
        <row r="241">
          <cell r="I241" t="str">
            <v>T1部件</v>
          </cell>
          <cell r="J241">
            <v>7</v>
          </cell>
          <cell r="K241">
            <v>2.1645525427673687E-2</v>
          </cell>
        </row>
        <row r="242">
          <cell r="I242" t="str">
            <v>T1部件</v>
          </cell>
          <cell r="J242">
            <v>7</v>
          </cell>
          <cell r="K242">
            <v>2.1645525427673687E-2</v>
          </cell>
        </row>
        <row r="243">
          <cell r="I243" t="str">
            <v>T1部件</v>
          </cell>
          <cell r="J243">
            <v>7</v>
          </cell>
          <cell r="K243">
            <v>2.1645525427673687E-2</v>
          </cell>
        </row>
        <row r="244">
          <cell r="I244" t="str">
            <v>T1部件</v>
          </cell>
          <cell r="J244">
            <v>7</v>
          </cell>
          <cell r="K244">
            <v>2.1645525427673687E-2</v>
          </cell>
        </row>
        <row r="245">
          <cell r="I245" t="str">
            <v>T1部件</v>
          </cell>
          <cell r="J245">
            <v>7</v>
          </cell>
          <cell r="K245">
            <v>2.1645525427673687E-2</v>
          </cell>
        </row>
        <row r="246">
          <cell r="I246" t="str">
            <v>T1部件</v>
          </cell>
          <cell r="J246">
            <v>7</v>
          </cell>
          <cell r="K246">
            <v>2.1645525427673687E-2</v>
          </cell>
        </row>
        <row r="247">
          <cell r="I247" t="str">
            <v>T1部件</v>
          </cell>
          <cell r="J247">
            <v>7</v>
          </cell>
          <cell r="K247">
            <v>2.1645525427673687E-2</v>
          </cell>
        </row>
        <row r="248">
          <cell r="I248" t="str">
            <v>T1部件</v>
          </cell>
          <cell r="J248">
            <v>7</v>
          </cell>
          <cell r="K248">
            <v>2.1645525427673687E-2</v>
          </cell>
        </row>
        <row r="249">
          <cell r="I249" t="str">
            <v>T1部件</v>
          </cell>
          <cell r="J249">
            <v>7</v>
          </cell>
          <cell r="K249">
            <v>2.1645525427673687E-2</v>
          </cell>
        </row>
        <row r="250">
          <cell r="I250" t="str">
            <v>T1部件</v>
          </cell>
          <cell r="J250">
            <v>7</v>
          </cell>
          <cell r="K250">
            <v>2.1645525427673687E-2</v>
          </cell>
        </row>
        <row r="251">
          <cell r="I251" t="str">
            <v>T2部件</v>
          </cell>
          <cell r="J251">
            <v>7</v>
          </cell>
          <cell r="K251">
            <v>1.0008146165483534E-2</v>
          </cell>
        </row>
        <row r="252">
          <cell r="I252" t="str">
            <v>T2部件</v>
          </cell>
          <cell r="J252">
            <v>7</v>
          </cell>
          <cell r="K252">
            <v>1.0008146165483534E-2</v>
          </cell>
        </row>
        <row r="253">
          <cell r="I253" t="str">
            <v>T2部件</v>
          </cell>
          <cell r="J253">
            <v>7</v>
          </cell>
          <cell r="K253">
            <v>1.0008146165483534E-2</v>
          </cell>
        </row>
        <row r="254">
          <cell r="I254" t="str">
            <v>T2部件</v>
          </cell>
          <cell r="J254">
            <v>7</v>
          </cell>
          <cell r="K254">
            <v>1.0008146165483534E-2</v>
          </cell>
        </row>
        <row r="255">
          <cell r="I255" t="str">
            <v>T2部件</v>
          </cell>
          <cell r="J255">
            <v>7</v>
          </cell>
          <cell r="K255">
            <v>1.0008146165483534E-2</v>
          </cell>
        </row>
        <row r="256">
          <cell r="I256" t="str">
            <v>T2部件</v>
          </cell>
          <cell r="J256">
            <v>7</v>
          </cell>
          <cell r="K256">
            <v>1.0008146165483534E-2</v>
          </cell>
        </row>
        <row r="257">
          <cell r="I257" t="str">
            <v>T2部件</v>
          </cell>
          <cell r="J257">
            <v>7</v>
          </cell>
          <cell r="K257">
            <v>1.0008146165483534E-2</v>
          </cell>
        </row>
        <row r="258">
          <cell r="I258" t="str">
            <v>T2部件</v>
          </cell>
          <cell r="J258">
            <v>7</v>
          </cell>
          <cell r="K258">
            <v>1.0008146165483534E-2</v>
          </cell>
        </row>
        <row r="259">
          <cell r="I259" t="str">
            <v>T2部件</v>
          </cell>
          <cell r="J259">
            <v>7</v>
          </cell>
          <cell r="K259">
            <v>1.0008146165483534E-2</v>
          </cell>
        </row>
        <row r="260">
          <cell r="I260" t="str">
            <v>T2部件</v>
          </cell>
          <cell r="J260">
            <v>7</v>
          </cell>
          <cell r="K260">
            <v>1.0008146165483534E-2</v>
          </cell>
        </row>
        <row r="261">
          <cell r="I261" t="str">
            <v>T2部件</v>
          </cell>
          <cell r="J261">
            <v>7</v>
          </cell>
          <cell r="K261">
            <v>1.0008146165483534E-2</v>
          </cell>
        </row>
        <row r="262">
          <cell r="I262" t="str">
            <v>T2部件</v>
          </cell>
          <cell r="J262">
            <v>7</v>
          </cell>
          <cell r="K262">
            <v>1.0008146165483534E-2</v>
          </cell>
        </row>
        <row r="263">
          <cell r="I263" t="str">
            <v>T2部件</v>
          </cell>
          <cell r="J263">
            <v>7</v>
          </cell>
          <cell r="K263">
            <v>1.0008146165483534E-2</v>
          </cell>
        </row>
        <row r="264">
          <cell r="I264" t="str">
            <v>T2部件</v>
          </cell>
          <cell r="J264">
            <v>7</v>
          </cell>
          <cell r="K264">
            <v>1.0008146165483534E-2</v>
          </cell>
        </row>
        <row r="265">
          <cell r="I265" t="str">
            <v>T2部件</v>
          </cell>
          <cell r="J265">
            <v>7</v>
          </cell>
          <cell r="K265">
            <v>1.0008146165483534E-2</v>
          </cell>
        </row>
        <row r="266">
          <cell r="I266" t="str">
            <v>T2部件</v>
          </cell>
          <cell r="J266">
            <v>7</v>
          </cell>
          <cell r="K266">
            <v>1.0008146165483534E-2</v>
          </cell>
        </row>
        <row r="267">
          <cell r="I267" t="str">
            <v>T2部件</v>
          </cell>
          <cell r="J267">
            <v>7</v>
          </cell>
          <cell r="K267">
            <v>1.0008146165483534E-2</v>
          </cell>
        </row>
        <row r="268">
          <cell r="I268" t="str">
            <v>T2部件</v>
          </cell>
          <cell r="J268">
            <v>7</v>
          </cell>
          <cell r="K268">
            <v>1.0008146165483534E-2</v>
          </cell>
        </row>
        <row r="269">
          <cell r="I269" t="str">
            <v>T3部件</v>
          </cell>
          <cell r="J269">
            <v>7</v>
          </cell>
          <cell r="K269">
            <v>5.3531944606074709E-3</v>
          </cell>
        </row>
        <row r="270">
          <cell r="I270" t="str">
            <v>T3部件</v>
          </cell>
          <cell r="J270">
            <v>7</v>
          </cell>
          <cell r="K270">
            <v>5.3531944606074709E-3</v>
          </cell>
        </row>
        <row r="271">
          <cell r="I271" t="str">
            <v>T3部件</v>
          </cell>
          <cell r="J271">
            <v>7</v>
          </cell>
          <cell r="K271">
            <v>5.3531944606074709E-3</v>
          </cell>
        </row>
        <row r="272">
          <cell r="I272" t="str">
            <v>T3部件</v>
          </cell>
          <cell r="J272">
            <v>7</v>
          </cell>
          <cell r="K272">
            <v>5.3531944606074709E-3</v>
          </cell>
        </row>
        <row r="273">
          <cell r="I273" t="str">
            <v>T3部件</v>
          </cell>
          <cell r="J273">
            <v>7</v>
          </cell>
          <cell r="K273">
            <v>5.3531944606074709E-3</v>
          </cell>
        </row>
        <row r="274">
          <cell r="I274" t="str">
            <v>T3部件</v>
          </cell>
          <cell r="J274">
            <v>7</v>
          </cell>
          <cell r="K274">
            <v>5.3531944606074709E-3</v>
          </cell>
        </row>
        <row r="275">
          <cell r="I275" t="str">
            <v>T3部件</v>
          </cell>
          <cell r="J275">
            <v>7</v>
          </cell>
          <cell r="K275">
            <v>5.3531944606074709E-3</v>
          </cell>
        </row>
        <row r="276">
          <cell r="I276" t="str">
            <v>T3部件</v>
          </cell>
          <cell r="J276">
            <v>7</v>
          </cell>
          <cell r="K276">
            <v>5.3531944606074709E-3</v>
          </cell>
        </row>
        <row r="277">
          <cell r="I277" t="str">
            <v>T3部件</v>
          </cell>
          <cell r="J277">
            <v>7</v>
          </cell>
          <cell r="K277">
            <v>5.3531944606074709E-3</v>
          </cell>
        </row>
        <row r="278">
          <cell r="I278" t="str">
            <v>T3部件</v>
          </cell>
          <cell r="J278">
            <v>7</v>
          </cell>
          <cell r="K278">
            <v>5.3531944606074709E-3</v>
          </cell>
        </row>
        <row r="279">
          <cell r="I279" t="str">
            <v>T3部件</v>
          </cell>
          <cell r="J279">
            <v>7</v>
          </cell>
          <cell r="K279">
            <v>5.3531944606074709E-3</v>
          </cell>
        </row>
        <row r="280">
          <cell r="I280" t="str">
            <v>T3部件</v>
          </cell>
          <cell r="J280">
            <v>7</v>
          </cell>
          <cell r="K280">
            <v>5.3531944606074709E-3</v>
          </cell>
        </row>
        <row r="281">
          <cell r="I281" t="str">
            <v>T3部件</v>
          </cell>
          <cell r="J281">
            <v>7</v>
          </cell>
          <cell r="K281">
            <v>5.3531944606074709E-3</v>
          </cell>
        </row>
        <row r="282">
          <cell r="I282" t="str">
            <v>T3部件</v>
          </cell>
          <cell r="J282">
            <v>7</v>
          </cell>
          <cell r="K282">
            <v>5.3531944606074709E-3</v>
          </cell>
        </row>
        <row r="283">
          <cell r="I283" t="str">
            <v>T3部件</v>
          </cell>
          <cell r="J283">
            <v>7</v>
          </cell>
          <cell r="K283">
            <v>5.3531944606074709E-3</v>
          </cell>
        </row>
        <row r="284">
          <cell r="I284" t="str">
            <v>T3部件</v>
          </cell>
          <cell r="J284">
            <v>7</v>
          </cell>
          <cell r="K284">
            <v>5.3531944606074709E-3</v>
          </cell>
        </row>
        <row r="285">
          <cell r="I285" t="str">
            <v>T3部件</v>
          </cell>
          <cell r="J285">
            <v>7</v>
          </cell>
          <cell r="K285">
            <v>5.3531944606074709E-3</v>
          </cell>
        </row>
        <row r="286">
          <cell r="I286" t="str">
            <v>T3部件</v>
          </cell>
          <cell r="J286">
            <v>7</v>
          </cell>
          <cell r="K286">
            <v>6.2841848015826839E-3</v>
          </cell>
        </row>
        <row r="287">
          <cell r="I287" t="str">
            <v>T1碎片</v>
          </cell>
          <cell r="J287">
            <v>8</v>
          </cell>
          <cell r="K287">
            <v>0.24524115380123787</v>
          </cell>
        </row>
        <row r="288">
          <cell r="I288" t="str">
            <v>T1碎片</v>
          </cell>
          <cell r="J288">
            <v>8</v>
          </cell>
          <cell r="K288">
            <v>0.24524115380123787</v>
          </cell>
        </row>
        <row r="289">
          <cell r="I289" t="str">
            <v>T1碎片</v>
          </cell>
          <cell r="J289">
            <v>8</v>
          </cell>
          <cell r="K289">
            <v>0.24524115380123787</v>
          </cell>
        </row>
        <row r="290">
          <cell r="I290" t="str">
            <v>T2碎片</v>
          </cell>
          <cell r="J290">
            <v>8</v>
          </cell>
          <cell r="K290">
            <v>4.9048230760247578E-2</v>
          </cell>
        </row>
        <row r="291">
          <cell r="I291" t="str">
            <v>T2碎片</v>
          </cell>
          <cell r="J291">
            <v>8</v>
          </cell>
          <cell r="K291">
            <v>4.9048230760247578E-2</v>
          </cell>
        </row>
        <row r="292">
          <cell r="I292" t="str">
            <v>T2碎片</v>
          </cell>
          <cell r="J292">
            <v>8</v>
          </cell>
          <cell r="K292">
            <v>4.9048230760247578E-2</v>
          </cell>
        </row>
        <row r="293">
          <cell r="I293" t="str">
            <v>T3碎片</v>
          </cell>
          <cell r="J293">
            <v>8</v>
          </cell>
          <cell r="K293">
            <v>0.32196660049048231</v>
          </cell>
        </row>
        <row r="294">
          <cell r="I294" t="str">
            <v>T3碎片</v>
          </cell>
          <cell r="J294">
            <v>8</v>
          </cell>
          <cell r="K294">
            <v>0.32196660049048231</v>
          </cell>
        </row>
        <row r="295">
          <cell r="I295" t="str">
            <v>T3碎片</v>
          </cell>
          <cell r="J295">
            <v>8</v>
          </cell>
          <cell r="K295">
            <v>0.32196660049048231</v>
          </cell>
        </row>
        <row r="296">
          <cell r="I296" t="str">
            <v>T3碎片</v>
          </cell>
          <cell r="J296">
            <v>8</v>
          </cell>
          <cell r="K296">
            <v>0.16115847249795631</v>
          </cell>
        </row>
        <row r="297">
          <cell r="I297" t="str">
            <v>T3碎片</v>
          </cell>
          <cell r="J297">
            <v>8</v>
          </cell>
          <cell r="K297">
            <v>0.16115847249795631</v>
          </cell>
        </row>
        <row r="298">
          <cell r="I298" t="str">
            <v>T3碎片</v>
          </cell>
          <cell r="J298">
            <v>8</v>
          </cell>
          <cell r="K298">
            <v>0.16115847249795631</v>
          </cell>
        </row>
        <row r="299">
          <cell r="I299" t="str">
            <v>T1部件</v>
          </cell>
          <cell r="J299">
            <v>8</v>
          </cell>
          <cell r="K299">
            <v>2.1721359336681071E-2</v>
          </cell>
        </row>
        <row r="300">
          <cell r="I300" t="str">
            <v>T1部件</v>
          </cell>
          <cell r="J300">
            <v>8</v>
          </cell>
          <cell r="K300">
            <v>2.1721359336681071E-2</v>
          </cell>
        </row>
        <row r="301">
          <cell r="I301" t="str">
            <v>T1部件</v>
          </cell>
          <cell r="J301">
            <v>8</v>
          </cell>
          <cell r="K301">
            <v>2.1721359336681071E-2</v>
          </cell>
        </row>
        <row r="302">
          <cell r="I302" t="str">
            <v>T1部件</v>
          </cell>
          <cell r="J302">
            <v>8</v>
          </cell>
          <cell r="K302">
            <v>2.1721359336681071E-2</v>
          </cell>
        </row>
        <row r="303">
          <cell r="I303" t="str">
            <v>T1部件</v>
          </cell>
          <cell r="J303">
            <v>8</v>
          </cell>
          <cell r="K303">
            <v>2.1721359336681071E-2</v>
          </cell>
        </row>
        <row r="304">
          <cell r="I304" t="str">
            <v>T1部件</v>
          </cell>
          <cell r="J304">
            <v>8</v>
          </cell>
          <cell r="K304">
            <v>2.1721359336681071E-2</v>
          </cell>
        </row>
        <row r="305">
          <cell r="I305" t="str">
            <v>T1部件</v>
          </cell>
          <cell r="J305">
            <v>8</v>
          </cell>
          <cell r="K305">
            <v>2.1721359336681071E-2</v>
          </cell>
        </row>
        <row r="306">
          <cell r="I306" t="str">
            <v>T1部件</v>
          </cell>
          <cell r="J306">
            <v>8</v>
          </cell>
          <cell r="K306">
            <v>2.1721359336681071E-2</v>
          </cell>
        </row>
        <row r="307">
          <cell r="I307" t="str">
            <v>T1部件</v>
          </cell>
          <cell r="J307">
            <v>8</v>
          </cell>
          <cell r="K307">
            <v>2.1721359336681071E-2</v>
          </cell>
        </row>
        <row r="308">
          <cell r="I308" t="str">
            <v>T1部件</v>
          </cell>
          <cell r="J308">
            <v>8</v>
          </cell>
          <cell r="K308">
            <v>2.1721359336681071E-2</v>
          </cell>
        </row>
        <row r="309">
          <cell r="I309" t="str">
            <v>T1部件</v>
          </cell>
          <cell r="J309">
            <v>8</v>
          </cell>
          <cell r="K309">
            <v>2.1721359336681071E-2</v>
          </cell>
        </row>
        <row r="310">
          <cell r="I310" t="str">
            <v>T1部件</v>
          </cell>
          <cell r="J310">
            <v>8</v>
          </cell>
          <cell r="K310">
            <v>2.1721359336681071E-2</v>
          </cell>
        </row>
        <row r="311">
          <cell r="I311" t="str">
            <v>T1部件</v>
          </cell>
          <cell r="J311">
            <v>8</v>
          </cell>
          <cell r="K311">
            <v>2.1721359336681071E-2</v>
          </cell>
        </row>
        <row r="312">
          <cell r="I312" t="str">
            <v>T1部件</v>
          </cell>
          <cell r="J312">
            <v>8</v>
          </cell>
          <cell r="K312">
            <v>2.1721359336681071E-2</v>
          </cell>
        </row>
        <row r="313">
          <cell r="I313" t="str">
            <v>T1部件</v>
          </cell>
          <cell r="J313">
            <v>8</v>
          </cell>
          <cell r="K313">
            <v>2.1721359336681071E-2</v>
          </cell>
        </row>
        <row r="314">
          <cell r="I314" t="str">
            <v>T1部件</v>
          </cell>
          <cell r="J314">
            <v>8</v>
          </cell>
          <cell r="K314">
            <v>2.1721359336681071E-2</v>
          </cell>
        </row>
        <row r="315">
          <cell r="I315" t="str">
            <v>T1部件</v>
          </cell>
          <cell r="J315">
            <v>8</v>
          </cell>
          <cell r="K315">
            <v>2.1721359336681071E-2</v>
          </cell>
        </row>
        <row r="316">
          <cell r="I316" t="str">
            <v>T1部件</v>
          </cell>
          <cell r="J316">
            <v>8</v>
          </cell>
          <cell r="K316">
            <v>2.1721359336681071E-2</v>
          </cell>
        </row>
        <row r="317">
          <cell r="I317" t="str">
            <v>T2部件</v>
          </cell>
          <cell r="J317">
            <v>8</v>
          </cell>
          <cell r="K317">
            <v>1.0043209155669742E-2</v>
          </cell>
        </row>
        <row r="318">
          <cell r="I318" t="str">
            <v>T2部件</v>
          </cell>
          <cell r="J318">
            <v>8</v>
          </cell>
          <cell r="K318">
            <v>1.0043209155669742E-2</v>
          </cell>
        </row>
        <row r="319">
          <cell r="I319" t="str">
            <v>T2部件</v>
          </cell>
          <cell r="J319">
            <v>8</v>
          </cell>
          <cell r="K319">
            <v>1.0043209155669742E-2</v>
          </cell>
        </row>
        <row r="320">
          <cell r="I320" t="str">
            <v>T2部件</v>
          </cell>
          <cell r="J320">
            <v>8</v>
          </cell>
          <cell r="K320">
            <v>1.0043209155669742E-2</v>
          </cell>
        </row>
        <row r="321">
          <cell r="I321" t="str">
            <v>T2部件</v>
          </cell>
          <cell r="J321">
            <v>8</v>
          </cell>
          <cell r="K321">
            <v>1.0043209155669742E-2</v>
          </cell>
        </row>
        <row r="322">
          <cell r="I322" t="str">
            <v>T2部件</v>
          </cell>
          <cell r="J322">
            <v>8</v>
          </cell>
          <cell r="K322">
            <v>1.0043209155669742E-2</v>
          </cell>
        </row>
        <row r="323">
          <cell r="I323" t="str">
            <v>T2部件</v>
          </cell>
          <cell r="J323">
            <v>8</v>
          </cell>
          <cell r="K323">
            <v>1.0043209155669742E-2</v>
          </cell>
        </row>
        <row r="324">
          <cell r="I324" t="str">
            <v>T2部件</v>
          </cell>
          <cell r="J324">
            <v>8</v>
          </cell>
          <cell r="K324">
            <v>1.0043209155669742E-2</v>
          </cell>
        </row>
        <row r="325">
          <cell r="I325" t="str">
            <v>T2部件</v>
          </cell>
          <cell r="J325">
            <v>8</v>
          </cell>
          <cell r="K325">
            <v>1.0043209155669742E-2</v>
          </cell>
        </row>
        <row r="326">
          <cell r="I326" t="str">
            <v>T2部件</v>
          </cell>
          <cell r="J326">
            <v>8</v>
          </cell>
          <cell r="K326">
            <v>1.0043209155669742E-2</v>
          </cell>
        </row>
        <row r="327">
          <cell r="I327" t="str">
            <v>T2部件</v>
          </cell>
          <cell r="J327">
            <v>8</v>
          </cell>
          <cell r="K327">
            <v>1.0043209155669742E-2</v>
          </cell>
        </row>
        <row r="328">
          <cell r="I328" t="str">
            <v>T2部件</v>
          </cell>
          <cell r="J328">
            <v>8</v>
          </cell>
          <cell r="K328">
            <v>1.0043209155669742E-2</v>
          </cell>
        </row>
        <row r="329">
          <cell r="I329" t="str">
            <v>T2部件</v>
          </cell>
          <cell r="J329">
            <v>8</v>
          </cell>
          <cell r="K329">
            <v>1.0043209155669742E-2</v>
          </cell>
        </row>
        <row r="330">
          <cell r="I330" t="str">
            <v>T2部件</v>
          </cell>
          <cell r="J330">
            <v>8</v>
          </cell>
          <cell r="K330">
            <v>1.0043209155669742E-2</v>
          </cell>
        </row>
        <row r="331">
          <cell r="I331" t="str">
            <v>T2部件</v>
          </cell>
          <cell r="J331">
            <v>8</v>
          </cell>
          <cell r="K331">
            <v>1.0043209155669742E-2</v>
          </cell>
        </row>
        <row r="332">
          <cell r="I332" t="str">
            <v>T2部件</v>
          </cell>
          <cell r="J332">
            <v>8</v>
          </cell>
          <cell r="K332">
            <v>1.0043209155669742E-2</v>
          </cell>
        </row>
        <row r="333">
          <cell r="I333" t="str">
            <v>T2部件</v>
          </cell>
          <cell r="J333">
            <v>8</v>
          </cell>
          <cell r="K333">
            <v>1.0043209155669742E-2</v>
          </cell>
        </row>
        <row r="334">
          <cell r="I334" t="str">
            <v>T2部件</v>
          </cell>
          <cell r="J334">
            <v>8</v>
          </cell>
          <cell r="K334">
            <v>1.0043209155669742E-2</v>
          </cell>
        </row>
        <row r="335">
          <cell r="I335" t="str">
            <v>T3部件</v>
          </cell>
          <cell r="J335">
            <v>8</v>
          </cell>
          <cell r="K335">
            <v>5.3719490832652107E-3</v>
          </cell>
        </row>
        <row r="336">
          <cell r="I336" t="str">
            <v>T3部件</v>
          </cell>
          <cell r="J336">
            <v>8</v>
          </cell>
          <cell r="K336">
            <v>5.3719490832652107E-3</v>
          </cell>
        </row>
        <row r="337">
          <cell r="I337" t="str">
            <v>T3部件</v>
          </cell>
          <cell r="J337">
            <v>8</v>
          </cell>
          <cell r="K337">
            <v>5.3719490832652107E-3</v>
          </cell>
        </row>
        <row r="338">
          <cell r="I338" t="str">
            <v>T3部件</v>
          </cell>
          <cell r="J338">
            <v>8</v>
          </cell>
          <cell r="K338">
            <v>5.3719490832652107E-3</v>
          </cell>
        </row>
        <row r="339">
          <cell r="I339" t="str">
            <v>T3部件</v>
          </cell>
          <cell r="J339">
            <v>8</v>
          </cell>
          <cell r="K339">
            <v>5.3719490832652107E-3</v>
          </cell>
        </row>
        <row r="340">
          <cell r="I340" t="str">
            <v>T3部件</v>
          </cell>
          <cell r="J340">
            <v>8</v>
          </cell>
          <cell r="K340">
            <v>5.3719490832652107E-3</v>
          </cell>
        </row>
        <row r="341">
          <cell r="I341" t="str">
            <v>T3部件</v>
          </cell>
          <cell r="J341">
            <v>8</v>
          </cell>
          <cell r="K341">
            <v>5.3719490832652107E-3</v>
          </cell>
        </row>
        <row r="342">
          <cell r="I342" t="str">
            <v>T3部件</v>
          </cell>
          <cell r="J342">
            <v>8</v>
          </cell>
          <cell r="K342">
            <v>5.3719490832652107E-3</v>
          </cell>
        </row>
        <row r="343">
          <cell r="I343" t="str">
            <v>T3部件</v>
          </cell>
          <cell r="J343">
            <v>8</v>
          </cell>
          <cell r="K343">
            <v>5.3719490832652107E-3</v>
          </cell>
        </row>
        <row r="344">
          <cell r="I344" t="str">
            <v>T3部件</v>
          </cell>
          <cell r="J344">
            <v>8</v>
          </cell>
          <cell r="K344">
            <v>5.3719490832652107E-3</v>
          </cell>
        </row>
        <row r="345">
          <cell r="I345" t="str">
            <v>T3部件</v>
          </cell>
          <cell r="J345">
            <v>8</v>
          </cell>
          <cell r="K345">
            <v>5.3719490832652107E-3</v>
          </cell>
        </row>
        <row r="346">
          <cell r="I346" t="str">
            <v>T3部件</v>
          </cell>
          <cell r="J346">
            <v>8</v>
          </cell>
          <cell r="K346">
            <v>5.3719490832652107E-3</v>
          </cell>
        </row>
        <row r="347">
          <cell r="I347" t="str">
            <v>T3部件</v>
          </cell>
          <cell r="J347">
            <v>8</v>
          </cell>
          <cell r="K347">
            <v>5.3719490832652107E-3</v>
          </cell>
        </row>
        <row r="348">
          <cell r="I348" t="str">
            <v>T3部件</v>
          </cell>
          <cell r="J348">
            <v>8</v>
          </cell>
          <cell r="K348">
            <v>5.3719490832652107E-3</v>
          </cell>
        </row>
        <row r="349">
          <cell r="I349" t="str">
            <v>T3部件</v>
          </cell>
          <cell r="J349">
            <v>8</v>
          </cell>
          <cell r="K349">
            <v>5.3719490832652107E-3</v>
          </cell>
        </row>
        <row r="350">
          <cell r="I350" t="str">
            <v>T3部件</v>
          </cell>
          <cell r="J350">
            <v>8</v>
          </cell>
          <cell r="K350">
            <v>5.3719490832652107E-3</v>
          </cell>
        </row>
        <row r="351">
          <cell r="I351" t="str">
            <v>T3部件</v>
          </cell>
          <cell r="J351">
            <v>8</v>
          </cell>
          <cell r="K351">
            <v>5.3719490832652107E-3</v>
          </cell>
        </row>
        <row r="352">
          <cell r="I352" t="str">
            <v>T3部件</v>
          </cell>
          <cell r="J352">
            <v>8</v>
          </cell>
          <cell r="K352">
            <v>6.3062010977461168E-3</v>
          </cell>
        </row>
        <row r="353">
          <cell r="I353" t="str">
            <v>T1碎片</v>
          </cell>
          <cell r="J353">
            <v>9</v>
          </cell>
          <cell r="K353">
            <v>0.24524115380123787</v>
          </cell>
        </row>
        <row r="354">
          <cell r="I354" t="str">
            <v>T1碎片</v>
          </cell>
          <cell r="J354">
            <v>9</v>
          </cell>
          <cell r="K354">
            <v>0.24524115380123787</v>
          </cell>
        </row>
        <row r="355">
          <cell r="I355" t="str">
            <v>T1碎片</v>
          </cell>
          <cell r="J355">
            <v>9</v>
          </cell>
          <cell r="K355">
            <v>0.24524115380123787</v>
          </cell>
        </row>
        <row r="356">
          <cell r="I356" t="str">
            <v>T2碎片</v>
          </cell>
          <cell r="J356">
            <v>9</v>
          </cell>
          <cell r="K356">
            <v>4.9048230760247578E-2</v>
          </cell>
        </row>
        <row r="357">
          <cell r="I357" t="str">
            <v>T2碎片</v>
          </cell>
          <cell r="J357">
            <v>9</v>
          </cell>
          <cell r="K357">
            <v>4.9048230760247578E-2</v>
          </cell>
        </row>
        <row r="358">
          <cell r="I358" t="str">
            <v>T2碎片</v>
          </cell>
          <cell r="J358">
            <v>9</v>
          </cell>
          <cell r="K358">
            <v>4.9048230760247578E-2</v>
          </cell>
        </row>
        <row r="359">
          <cell r="I359" t="str">
            <v>T3碎片</v>
          </cell>
          <cell r="J359">
            <v>9</v>
          </cell>
          <cell r="K359">
            <v>0.32196660049048231</v>
          </cell>
        </row>
        <row r="360">
          <cell r="I360" t="str">
            <v>T3碎片</v>
          </cell>
          <cell r="J360">
            <v>9</v>
          </cell>
          <cell r="K360">
            <v>0.32196660049048231</v>
          </cell>
        </row>
        <row r="361">
          <cell r="I361" t="str">
            <v>T3碎片</v>
          </cell>
          <cell r="J361">
            <v>9</v>
          </cell>
          <cell r="K361">
            <v>0.32196660049048231</v>
          </cell>
        </row>
        <row r="362">
          <cell r="I362" t="str">
            <v>T3碎片</v>
          </cell>
          <cell r="J362">
            <v>9</v>
          </cell>
          <cell r="K362">
            <v>0.16115847249795631</v>
          </cell>
        </row>
        <row r="363">
          <cell r="I363" t="str">
            <v>T3碎片</v>
          </cell>
          <cell r="J363">
            <v>9</v>
          </cell>
          <cell r="K363">
            <v>0.16115847249795631</v>
          </cell>
        </row>
        <row r="364">
          <cell r="I364" t="str">
            <v>T3碎片</v>
          </cell>
          <cell r="J364">
            <v>9</v>
          </cell>
          <cell r="K364">
            <v>0.16115847249795631</v>
          </cell>
        </row>
        <row r="365">
          <cell r="I365" t="str">
            <v>T1部件</v>
          </cell>
          <cell r="J365">
            <v>9</v>
          </cell>
          <cell r="K365">
            <v>2.1721359336681071E-2</v>
          </cell>
        </row>
        <row r="366">
          <cell r="I366" t="str">
            <v>T1部件</v>
          </cell>
          <cell r="J366">
            <v>9</v>
          </cell>
          <cell r="K366">
            <v>2.1721359336681071E-2</v>
          </cell>
        </row>
        <row r="367">
          <cell r="I367" t="str">
            <v>T1部件</v>
          </cell>
          <cell r="J367">
            <v>9</v>
          </cell>
          <cell r="K367">
            <v>2.1721359336681071E-2</v>
          </cell>
        </row>
        <row r="368">
          <cell r="I368" t="str">
            <v>T1部件</v>
          </cell>
          <cell r="J368">
            <v>9</v>
          </cell>
          <cell r="K368">
            <v>2.1721359336681071E-2</v>
          </cell>
        </row>
        <row r="369">
          <cell r="I369" t="str">
            <v>T1部件</v>
          </cell>
          <cell r="J369">
            <v>9</v>
          </cell>
          <cell r="K369">
            <v>2.1721359336681071E-2</v>
          </cell>
        </row>
        <row r="370">
          <cell r="I370" t="str">
            <v>T1部件</v>
          </cell>
          <cell r="J370">
            <v>9</v>
          </cell>
          <cell r="K370">
            <v>2.1721359336681071E-2</v>
          </cell>
        </row>
        <row r="371">
          <cell r="I371" t="str">
            <v>T1部件</v>
          </cell>
          <cell r="J371">
            <v>9</v>
          </cell>
          <cell r="K371">
            <v>2.1721359336681071E-2</v>
          </cell>
        </row>
        <row r="372">
          <cell r="I372" t="str">
            <v>T1部件</v>
          </cell>
          <cell r="J372">
            <v>9</v>
          </cell>
          <cell r="K372">
            <v>2.1721359336681071E-2</v>
          </cell>
        </row>
        <row r="373">
          <cell r="I373" t="str">
            <v>T1部件</v>
          </cell>
          <cell r="J373">
            <v>9</v>
          </cell>
          <cell r="K373">
            <v>2.1721359336681071E-2</v>
          </cell>
        </row>
        <row r="374">
          <cell r="I374" t="str">
            <v>T1部件</v>
          </cell>
          <cell r="J374">
            <v>9</v>
          </cell>
          <cell r="K374">
            <v>2.1721359336681071E-2</v>
          </cell>
        </row>
        <row r="375">
          <cell r="I375" t="str">
            <v>T1部件</v>
          </cell>
          <cell r="J375">
            <v>9</v>
          </cell>
          <cell r="K375">
            <v>2.1721359336681071E-2</v>
          </cell>
        </row>
        <row r="376">
          <cell r="I376" t="str">
            <v>T1部件</v>
          </cell>
          <cell r="J376">
            <v>9</v>
          </cell>
          <cell r="K376">
            <v>2.1721359336681071E-2</v>
          </cell>
        </row>
        <row r="377">
          <cell r="I377" t="str">
            <v>T1部件</v>
          </cell>
          <cell r="J377">
            <v>9</v>
          </cell>
          <cell r="K377">
            <v>2.1721359336681071E-2</v>
          </cell>
        </row>
        <row r="378">
          <cell r="I378" t="str">
            <v>T1部件</v>
          </cell>
          <cell r="J378">
            <v>9</v>
          </cell>
          <cell r="K378">
            <v>2.1721359336681071E-2</v>
          </cell>
        </row>
        <row r="379">
          <cell r="I379" t="str">
            <v>T1部件</v>
          </cell>
          <cell r="J379">
            <v>9</v>
          </cell>
          <cell r="K379">
            <v>2.1721359336681071E-2</v>
          </cell>
        </row>
        <row r="380">
          <cell r="I380" t="str">
            <v>T1部件</v>
          </cell>
          <cell r="J380">
            <v>9</v>
          </cell>
          <cell r="K380">
            <v>2.1721359336681071E-2</v>
          </cell>
        </row>
        <row r="381">
          <cell r="I381" t="str">
            <v>T1部件</v>
          </cell>
          <cell r="J381">
            <v>9</v>
          </cell>
          <cell r="K381">
            <v>2.1721359336681071E-2</v>
          </cell>
        </row>
        <row r="382">
          <cell r="I382" t="str">
            <v>T1部件</v>
          </cell>
          <cell r="J382">
            <v>9</v>
          </cell>
          <cell r="K382">
            <v>2.1721359336681071E-2</v>
          </cell>
        </row>
        <row r="383">
          <cell r="I383" t="str">
            <v>T2部件</v>
          </cell>
          <cell r="J383">
            <v>9</v>
          </cell>
          <cell r="K383">
            <v>1.0043209155669742E-2</v>
          </cell>
        </row>
        <row r="384">
          <cell r="I384" t="str">
            <v>T2部件</v>
          </cell>
          <cell r="J384">
            <v>9</v>
          </cell>
          <cell r="K384">
            <v>1.0043209155669742E-2</v>
          </cell>
        </row>
        <row r="385">
          <cell r="I385" t="str">
            <v>T2部件</v>
          </cell>
          <cell r="J385">
            <v>9</v>
          </cell>
          <cell r="K385">
            <v>1.0043209155669742E-2</v>
          </cell>
        </row>
        <row r="386">
          <cell r="I386" t="str">
            <v>T2部件</v>
          </cell>
          <cell r="J386">
            <v>9</v>
          </cell>
          <cell r="K386">
            <v>1.0043209155669742E-2</v>
          </cell>
        </row>
        <row r="387">
          <cell r="I387" t="str">
            <v>T2部件</v>
          </cell>
          <cell r="J387">
            <v>9</v>
          </cell>
          <cell r="K387">
            <v>1.0043209155669742E-2</v>
          </cell>
        </row>
        <row r="388">
          <cell r="I388" t="str">
            <v>T2部件</v>
          </cell>
          <cell r="J388">
            <v>9</v>
          </cell>
          <cell r="K388">
            <v>1.0043209155669742E-2</v>
          </cell>
        </row>
        <row r="389">
          <cell r="I389" t="str">
            <v>T2部件</v>
          </cell>
          <cell r="J389">
            <v>9</v>
          </cell>
          <cell r="K389">
            <v>1.0043209155669742E-2</v>
          </cell>
        </row>
        <row r="390">
          <cell r="I390" t="str">
            <v>T2部件</v>
          </cell>
          <cell r="J390">
            <v>9</v>
          </cell>
          <cell r="K390">
            <v>1.0043209155669742E-2</v>
          </cell>
        </row>
        <row r="391">
          <cell r="I391" t="str">
            <v>T2部件</v>
          </cell>
          <cell r="J391">
            <v>9</v>
          </cell>
          <cell r="K391">
            <v>1.0043209155669742E-2</v>
          </cell>
        </row>
        <row r="392">
          <cell r="I392" t="str">
            <v>T2部件</v>
          </cell>
          <cell r="J392">
            <v>9</v>
          </cell>
          <cell r="K392">
            <v>1.0043209155669742E-2</v>
          </cell>
        </row>
        <row r="393">
          <cell r="I393" t="str">
            <v>T2部件</v>
          </cell>
          <cell r="J393">
            <v>9</v>
          </cell>
          <cell r="K393">
            <v>1.0043209155669742E-2</v>
          </cell>
        </row>
        <row r="394">
          <cell r="I394" t="str">
            <v>T2部件</v>
          </cell>
          <cell r="J394">
            <v>9</v>
          </cell>
          <cell r="K394">
            <v>1.0043209155669742E-2</v>
          </cell>
        </row>
        <row r="395">
          <cell r="I395" t="str">
            <v>T2部件</v>
          </cell>
          <cell r="J395">
            <v>9</v>
          </cell>
          <cell r="K395">
            <v>1.0043209155669742E-2</v>
          </cell>
        </row>
        <row r="396">
          <cell r="I396" t="str">
            <v>T2部件</v>
          </cell>
          <cell r="J396">
            <v>9</v>
          </cell>
          <cell r="K396">
            <v>1.0043209155669742E-2</v>
          </cell>
        </row>
        <row r="397">
          <cell r="I397" t="str">
            <v>T2部件</v>
          </cell>
          <cell r="J397">
            <v>9</v>
          </cell>
          <cell r="K397">
            <v>1.0043209155669742E-2</v>
          </cell>
        </row>
        <row r="398">
          <cell r="I398" t="str">
            <v>T2部件</v>
          </cell>
          <cell r="J398">
            <v>9</v>
          </cell>
          <cell r="K398">
            <v>1.0043209155669742E-2</v>
          </cell>
        </row>
        <row r="399">
          <cell r="I399" t="str">
            <v>T2部件</v>
          </cell>
          <cell r="J399">
            <v>9</v>
          </cell>
          <cell r="K399">
            <v>1.0043209155669742E-2</v>
          </cell>
        </row>
        <row r="400">
          <cell r="I400" t="str">
            <v>T2部件</v>
          </cell>
          <cell r="J400">
            <v>9</v>
          </cell>
          <cell r="K400">
            <v>1.0043209155669742E-2</v>
          </cell>
        </row>
        <row r="401">
          <cell r="I401" t="str">
            <v>T3部件</v>
          </cell>
          <cell r="J401">
            <v>9</v>
          </cell>
          <cell r="K401">
            <v>5.3719490832652107E-3</v>
          </cell>
        </row>
        <row r="402">
          <cell r="I402" t="str">
            <v>T3部件</v>
          </cell>
          <cell r="J402">
            <v>9</v>
          </cell>
          <cell r="K402">
            <v>5.3719490832652107E-3</v>
          </cell>
        </row>
        <row r="403">
          <cell r="I403" t="str">
            <v>T3部件</v>
          </cell>
          <cell r="J403">
            <v>9</v>
          </cell>
          <cell r="K403">
            <v>5.3719490832652107E-3</v>
          </cell>
        </row>
        <row r="404">
          <cell r="I404" t="str">
            <v>T3部件</v>
          </cell>
          <cell r="J404">
            <v>9</v>
          </cell>
          <cell r="K404">
            <v>5.3719490832652107E-3</v>
          </cell>
        </row>
        <row r="405">
          <cell r="I405" t="str">
            <v>T3部件</v>
          </cell>
          <cell r="J405">
            <v>9</v>
          </cell>
          <cell r="K405">
            <v>5.3719490832652107E-3</v>
          </cell>
        </row>
        <row r="406">
          <cell r="I406" t="str">
            <v>T3部件</v>
          </cell>
          <cell r="J406">
            <v>9</v>
          </cell>
          <cell r="K406">
            <v>5.3719490832652107E-3</v>
          </cell>
        </row>
        <row r="407">
          <cell r="I407" t="str">
            <v>T3部件</v>
          </cell>
          <cell r="J407">
            <v>9</v>
          </cell>
          <cell r="K407">
            <v>5.3719490832652107E-3</v>
          </cell>
        </row>
        <row r="408">
          <cell r="I408" t="str">
            <v>T3部件</v>
          </cell>
          <cell r="J408">
            <v>9</v>
          </cell>
          <cell r="K408">
            <v>5.3719490832652107E-3</v>
          </cell>
        </row>
        <row r="409">
          <cell r="I409" t="str">
            <v>T3部件</v>
          </cell>
          <cell r="J409">
            <v>9</v>
          </cell>
          <cell r="K409">
            <v>5.3719490832652107E-3</v>
          </cell>
        </row>
        <row r="410">
          <cell r="I410" t="str">
            <v>T3部件</v>
          </cell>
          <cell r="J410">
            <v>9</v>
          </cell>
          <cell r="K410">
            <v>5.3719490832652107E-3</v>
          </cell>
        </row>
        <row r="411">
          <cell r="I411" t="str">
            <v>T3部件</v>
          </cell>
          <cell r="J411">
            <v>9</v>
          </cell>
          <cell r="K411">
            <v>5.3719490832652107E-3</v>
          </cell>
        </row>
        <row r="412">
          <cell r="I412" t="str">
            <v>T3部件</v>
          </cell>
          <cell r="J412">
            <v>9</v>
          </cell>
          <cell r="K412">
            <v>5.3719490832652107E-3</v>
          </cell>
        </row>
        <row r="413">
          <cell r="I413" t="str">
            <v>T3部件</v>
          </cell>
          <cell r="J413">
            <v>9</v>
          </cell>
          <cell r="K413">
            <v>5.3719490832652107E-3</v>
          </cell>
        </row>
        <row r="414">
          <cell r="I414" t="str">
            <v>T3部件</v>
          </cell>
          <cell r="J414">
            <v>9</v>
          </cell>
          <cell r="K414">
            <v>5.3719490832652107E-3</v>
          </cell>
        </row>
        <row r="415">
          <cell r="I415" t="str">
            <v>T3部件</v>
          </cell>
          <cell r="J415">
            <v>9</v>
          </cell>
          <cell r="K415">
            <v>5.3719490832652107E-3</v>
          </cell>
        </row>
        <row r="416">
          <cell r="I416" t="str">
            <v>T3部件</v>
          </cell>
          <cell r="J416">
            <v>9</v>
          </cell>
          <cell r="K416">
            <v>5.3719490832652107E-3</v>
          </cell>
        </row>
        <row r="417">
          <cell r="I417" t="str">
            <v>T3部件</v>
          </cell>
          <cell r="J417">
            <v>9</v>
          </cell>
          <cell r="K417">
            <v>5.3719490832652107E-3</v>
          </cell>
        </row>
        <row r="418">
          <cell r="I418" t="str">
            <v>T3部件</v>
          </cell>
          <cell r="J418">
            <v>9</v>
          </cell>
          <cell r="K418">
            <v>6.3062010977461168E-3</v>
          </cell>
        </row>
        <row r="419">
          <cell r="I419" t="str">
            <v>T1碎片</v>
          </cell>
          <cell r="J419">
            <v>10</v>
          </cell>
          <cell r="K419">
            <v>0.24524115380123787</v>
          </cell>
        </row>
        <row r="420">
          <cell r="I420" t="str">
            <v>T1碎片</v>
          </cell>
          <cell r="J420">
            <v>10</v>
          </cell>
          <cell r="K420">
            <v>0.24524115380123787</v>
          </cell>
        </row>
        <row r="421">
          <cell r="I421" t="str">
            <v>T1碎片</v>
          </cell>
          <cell r="J421">
            <v>10</v>
          </cell>
          <cell r="K421">
            <v>0.24524115380123787</v>
          </cell>
        </row>
        <row r="422">
          <cell r="I422" t="str">
            <v>T2碎片</v>
          </cell>
          <cell r="J422">
            <v>10</v>
          </cell>
          <cell r="K422">
            <v>4.9048230760247578E-2</v>
          </cell>
        </row>
        <row r="423">
          <cell r="I423" t="str">
            <v>T2碎片</v>
          </cell>
          <cell r="J423">
            <v>10</v>
          </cell>
          <cell r="K423">
            <v>4.9048230760247578E-2</v>
          </cell>
        </row>
        <row r="424">
          <cell r="I424" t="str">
            <v>T2碎片</v>
          </cell>
          <cell r="J424">
            <v>10</v>
          </cell>
          <cell r="K424">
            <v>4.9048230760247578E-2</v>
          </cell>
        </row>
        <row r="425">
          <cell r="I425" t="str">
            <v>T3碎片</v>
          </cell>
          <cell r="J425">
            <v>10</v>
          </cell>
          <cell r="K425">
            <v>0.32196660049048231</v>
          </cell>
        </row>
        <row r="426">
          <cell r="I426" t="str">
            <v>T3碎片</v>
          </cell>
          <cell r="J426">
            <v>10</v>
          </cell>
          <cell r="K426">
            <v>0.32196660049048231</v>
          </cell>
        </row>
        <row r="427">
          <cell r="I427" t="str">
            <v>T3碎片</v>
          </cell>
          <cell r="J427">
            <v>10</v>
          </cell>
          <cell r="K427">
            <v>0.32196660049048231</v>
          </cell>
        </row>
        <row r="428">
          <cell r="I428" t="str">
            <v>T3碎片</v>
          </cell>
          <cell r="J428">
            <v>10</v>
          </cell>
          <cell r="K428">
            <v>0.16115847249795631</v>
          </cell>
        </row>
        <row r="429">
          <cell r="I429" t="str">
            <v>T3碎片</v>
          </cell>
          <cell r="J429">
            <v>10</v>
          </cell>
          <cell r="K429">
            <v>0.16115847249795631</v>
          </cell>
        </row>
        <row r="430">
          <cell r="I430" t="str">
            <v>T3碎片</v>
          </cell>
          <cell r="J430">
            <v>10</v>
          </cell>
          <cell r="K430">
            <v>0.16115847249795631</v>
          </cell>
        </row>
        <row r="431">
          <cell r="I431" t="str">
            <v>T1部件</v>
          </cell>
          <cell r="J431">
            <v>10</v>
          </cell>
          <cell r="K431">
            <v>2.1721359336681071E-2</v>
          </cell>
        </row>
        <row r="432">
          <cell r="I432" t="str">
            <v>T1部件</v>
          </cell>
          <cell r="J432">
            <v>10</v>
          </cell>
          <cell r="K432">
            <v>2.1721359336681071E-2</v>
          </cell>
        </row>
        <row r="433">
          <cell r="I433" t="str">
            <v>T1部件</v>
          </cell>
          <cell r="J433">
            <v>10</v>
          </cell>
          <cell r="K433">
            <v>2.1721359336681071E-2</v>
          </cell>
        </row>
        <row r="434">
          <cell r="I434" t="str">
            <v>T1部件</v>
          </cell>
          <cell r="J434">
            <v>10</v>
          </cell>
          <cell r="K434">
            <v>2.1721359336681071E-2</v>
          </cell>
        </row>
        <row r="435">
          <cell r="I435" t="str">
            <v>T1部件</v>
          </cell>
          <cell r="J435">
            <v>10</v>
          </cell>
          <cell r="K435">
            <v>2.1721359336681071E-2</v>
          </cell>
        </row>
        <row r="436">
          <cell r="I436" t="str">
            <v>T1部件</v>
          </cell>
          <cell r="J436">
            <v>10</v>
          </cell>
          <cell r="K436">
            <v>2.1721359336681071E-2</v>
          </cell>
        </row>
        <row r="437">
          <cell r="I437" t="str">
            <v>T1部件</v>
          </cell>
          <cell r="J437">
            <v>10</v>
          </cell>
          <cell r="K437">
            <v>2.1721359336681071E-2</v>
          </cell>
        </row>
        <row r="438">
          <cell r="I438" t="str">
            <v>T1部件</v>
          </cell>
          <cell r="J438">
            <v>10</v>
          </cell>
          <cell r="K438">
            <v>2.1721359336681071E-2</v>
          </cell>
        </row>
        <row r="439">
          <cell r="I439" t="str">
            <v>T1部件</v>
          </cell>
          <cell r="J439">
            <v>10</v>
          </cell>
          <cell r="K439">
            <v>2.1721359336681071E-2</v>
          </cell>
        </row>
        <row r="440">
          <cell r="I440" t="str">
            <v>T1部件</v>
          </cell>
          <cell r="J440">
            <v>10</v>
          </cell>
          <cell r="K440">
            <v>2.1721359336681071E-2</v>
          </cell>
        </row>
        <row r="441">
          <cell r="I441" t="str">
            <v>T1部件</v>
          </cell>
          <cell r="J441">
            <v>10</v>
          </cell>
          <cell r="K441">
            <v>2.1721359336681071E-2</v>
          </cell>
        </row>
        <row r="442">
          <cell r="I442" t="str">
            <v>T1部件</v>
          </cell>
          <cell r="J442">
            <v>10</v>
          </cell>
          <cell r="K442">
            <v>2.1721359336681071E-2</v>
          </cell>
        </row>
        <row r="443">
          <cell r="I443" t="str">
            <v>T1部件</v>
          </cell>
          <cell r="J443">
            <v>10</v>
          </cell>
          <cell r="K443">
            <v>2.1721359336681071E-2</v>
          </cell>
        </row>
        <row r="444">
          <cell r="I444" t="str">
            <v>T1部件</v>
          </cell>
          <cell r="J444">
            <v>10</v>
          </cell>
          <cell r="K444">
            <v>2.1721359336681071E-2</v>
          </cell>
        </row>
        <row r="445">
          <cell r="I445" t="str">
            <v>T1部件</v>
          </cell>
          <cell r="J445">
            <v>10</v>
          </cell>
          <cell r="K445">
            <v>2.1721359336681071E-2</v>
          </cell>
        </row>
        <row r="446">
          <cell r="I446" t="str">
            <v>T1部件</v>
          </cell>
          <cell r="J446">
            <v>10</v>
          </cell>
          <cell r="K446">
            <v>2.1721359336681071E-2</v>
          </cell>
        </row>
        <row r="447">
          <cell r="I447" t="str">
            <v>T1部件</v>
          </cell>
          <cell r="J447">
            <v>10</v>
          </cell>
          <cell r="K447">
            <v>2.1721359336681071E-2</v>
          </cell>
        </row>
        <row r="448">
          <cell r="I448" t="str">
            <v>T1部件</v>
          </cell>
          <cell r="J448">
            <v>10</v>
          </cell>
          <cell r="K448">
            <v>2.1721359336681071E-2</v>
          </cell>
        </row>
        <row r="449">
          <cell r="I449" t="str">
            <v>T2部件</v>
          </cell>
          <cell r="J449">
            <v>10</v>
          </cell>
          <cell r="K449">
            <v>1.0043209155669742E-2</v>
          </cell>
        </row>
        <row r="450">
          <cell r="I450" t="str">
            <v>T2部件</v>
          </cell>
          <cell r="J450">
            <v>10</v>
          </cell>
          <cell r="K450">
            <v>1.0043209155669742E-2</v>
          </cell>
        </row>
        <row r="451">
          <cell r="I451" t="str">
            <v>T2部件</v>
          </cell>
          <cell r="J451">
            <v>10</v>
          </cell>
          <cell r="K451">
            <v>1.0043209155669742E-2</v>
          </cell>
        </row>
        <row r="452">
          <cell r="I452" t="str">
            <v>T2部件</v>
          </cell>
          <cell r="J452">
            <v>10</v>
          </cell>
          <cell r="K452">
            <v>1.0043209155669742E-2</v>
          </cell>
        </row>
        <row r="453">
          <cell r="I453" t="str">
            <v>T2部件</v>
          </cell>
          <cell r="J453">
            <v>10</v>
          </cell>
          <cell r="K453">
            <v>1.0043209155669742E-2</v>
          </cell>
        </row>
        <row r="454">
          <cell r="I454" t="str">
            <v>T2部件</v>
          </cell>
          <cell r="J454">
            <v>10</v>
          </cell>
          <cell r="K454">
            <v>1.0043209155669742E-2</v>
          </cell>
        </row>
        <row r="455">
          <cell r="I455" t="str">
            <v>T2部件</v>
          </cell>
          <cell r="J455">
            <v>10</v>
          </cell>
          <cell r="K455">
            <v>1.0043209155669742E-2</v>
          </cell>
        </row>
        <row r="456">
          <cell r="I456" t="str">
            <v>T2部件</v>
          </cell>
          <cell r="J456">
            <v>10</v>
          </cell>
          <cell r="K456">
            <v>1.0043209155669742E-2</v>
          </cell>
        </row>
        <row r="457">
          <cell r="I457" t="str">
            <v>T2部件</v>
          </cell>
          <cell r="J457">
            <v>10</v>
          </cell>
          <cell r="K457">
            <v>1.0043209155669742E-2</v>
          </cell>
        </row>
        <row r="458">
          <cell r="I458" t="str">
            <v>T2部件</v>
          </cell>
          <cell r="J458">
            <v>10</v>
          </cell>
          <cell r="K458">
            <v>1.0043209155669742E-2</v>
          </cell>
        </row>
        <row r="459">
          <cell r="I459" t="str">
            <v>T2部件</v>
          </cell>
          <cell r="J459">
            <v>10</v>
          </cell>
          <cell r="K459">
            <v>1.0043209155669742E-2</v>
          </cell>
        </row>
        <row r="460">
          <cell r="I460" t="str">
            <v>T2部件</v>
          </cell>
          <cell r="J460">
            <v>10</v>
          </cell>
          <cell r="K460">
            <v>1.0043209155669742E-2</v>
          </cell>
        </row>
        <row r="461">
          <cell r="I461" t="str">
            <v>T2部件</v>
          </cell>
          <cell r="J461">
            <v>10</v>
          </cell>
          <cell r="K461">
            <v>1.0043209155669742E-2</v>
          </cell>
        </row>
        <row r="462">
          <cell r="I462" t="str">
            <v>T2部件</v>
          </cell>
          <cell r="J462">
            <v>10</v>
          </cell>
          <cell r="K462">
            <v>1.0043209155669742E-2</v>
          </cell>
        </row>
        <row r="463">
          <cell r="I463" t="str">
            <v>T2部件</v>
          </cell>
          <cell r="J463">
            <v>10</v>
          </cell>
          <cell r="K463">
            <v>1.0043209155669742E-2</v>
          </cell>
        </row>
        <row r="464">
          <cell r="I464" t="str">
            <v>T2部件</v>
          </cell>
          <cell r="J464">
            <v>10</v>
          </cell>
          <cell r="K464">
            <v>1.0043209155669742E-2</v>
          </cell>
        </row>
        <row r="465">
          <cell r="I465" t="str">
            <v>T2部件</v>
          </cell>
          <cell r="J465">
            <v>10</v>
          </cell>
          <cell r="K465">
            <v>1.0043209155669742E-2</v>
          </cell>
        </row>
        <row r="466">
          <cell r="I466" t="str">
            <v>T2部件</v>
          </cell>
          <cell r="J466">
            <v>10</v>
          </cell>
          <cell r="K466">
            <v>1.0043209155669742E-2</v>
          </cell>
        </row>
        <row r="467">
          <cell r="I467" t="str">
            <v>T3部件</v>
          </cell>
          <cell r="J467">
            <v>10</v>
          </cell>
          <cell r="K467">
            <v>5.3719490832652107E-3</v>
          </cell>
        </row>
        <row r="468">
          <cell r="I468" t="str">
            <v>T3部件</v>
          </cell>
          <cell r="J468">
            <v>10</v>
          </cell>
          <cell r="K468">
            <v>5.3719490832652107E-3</v>
          </cell>
        </row>
        <row r="469">
          <cell r="I469" t="str">
            <v>T3部件</v>
          </cell>
          <cell r="J469">
            <v>10</v>
          </cell>
          <cell r="K469">
            <v>5.3719490832652107E-3</v>
          </cell>
        </row>
        <row r="470">
          <cell r="I470" t="str">
            <v>T3部件</v>
          </cell>
          <cell r="J470">
            <v>10</v>
          </cell>
          <cell r="K470">
            <v>5.3719490832652107E-3</v>
          </cell>
        </row>
        <row r="471">
          <cell r="I471" t="str">
            <v>T3部件</v>
          </cell>
          <cell r="J471">
            <v>10</v>
          </cell>
          <cell r="K471">
            <v>5.3719490832652107E-3</v>
          </cell>
        </row>
        <row r="472">
          <cell r="I472" t="str">
            <v>T3部件</v>
          </cell>
          <cell r="J472">
            <v>10</v>
          </cell>
          <cell r="K472">
            <v>5.3719490832652107E-3</v>
          </cell>
        </row>
        <row r="473">
          <cell r="I473" t="str">
            <v>T3部件</v>
          </cell>
          <cell r="J473">
            <v>10</v>
          </cell>
          <cell r="K473">
            <v>5.3719490832652107E-3</v>
          </cell>
        </row>
        <row r="474">
          <cell r="I474" t="str">
            <v>T3部件</v>
          </cell>
          <cell r="J474">
            <v>10</v>
          </cell>
          <cell r="K474">
            <v>5.3719490832652107E-3</v>
          </cell>
        </row>
        <row r="475">
          <cell r="I475" t="str">
            <v>T3部件</v>
          </cell>
          <cell r="J475">
            <v>10</v>
          </cell>
          <cell r="K475">
            <v>5.3719490832652107E-3</v>
          </cell>
        </row>
        <row r="476">
          <cell r="I476" t="str">
            <v>T3部件</v>
          </cell>
          <cell r="J476">
            <v>10</v>
          </cell>
          <cell r="K476">
            <v>5.3719490832652107E-3</v>
          </cell>
        </row>
        <row r="477">
          <cell r="I477" t="str">
            <v>T3部件</v>
          </cell>
          <cell r="J477">
            <v>10</v>
          </cell>
          <cell r="K477">
            <v>5.3719490832652107E-3</v>
          </cell>
        </row>
        <row r="478">
          <cell r="I478" t="str">
            <v>T3部件</v>
          </cell>
          <cell r="J478">
            <v>10</v>
          </cell>
          <cell r="K478">
            <v>5.3719490832652107E-3</v>
          </cell>
        </row>
        <row r="479">
          <cell r="I479" t="str">
            <v>T3部件</v>
          </cell>
          <cell r="J479">
            <v>10</v>
          </cell>
          <cell r="K479">
            <v>5.3719490832652107E-3</v>
          </cell>
        </row>
        <row r="480">
          <cell r="I480" t="str">
            <v>T3部件</v>
          </cell>
          <cell r="J480">
            <v>10</v>
          </cell>
          <cell r="K480">
            <v>5.3719490832652107E-3</v>
          </cell>
        </row>
        <row r="481">
          <cell r="I481" t="str">
            <v>T3部件</v>
          </cell>
          <cell r="J481">
            <v>10</v>
          </cell>
          <cell r="K481">
            <v>5.3719490832652107E-3</v>
          </cell>
        </row>
        <row r="482">
          <cell r="I482" t="str">
            <v>T3部件</v>
          </cell>
          <cell r="J482">
            <v>10</v>
          </cell>
          <cell r="K482">
            <v>5.3719490832652107E-3</v>
          </cell>
        </row>
        <row r="483">
          <cell r="I483" t="str">
            <v>T3部件</v>
          </cell>
          <cell r="J483">
            <v>10</v>
          </cell>
          <cell r="K483">
            <v>5.3719490832652107E-3</v>
          </cell>
        </row>
        <row r="484">
          <cell r="I484" t="str">
            <v>T3部件</v>
          </cell>
          <cell r="J484">
            <v>10</v>
          </cell>
          <cell r="K484">
            <v>6.3062010977461168E-3</v>
          </cell>
        </row>
      </sheetData>
      <sheetData sheetId="12">
        <row r="1">
          <cell r="I1" t="str">
            <v>类别</v>
          </cell>
          <cell r="J1" t="str">
            <v>联赛等级</v>
          </cell>
          <cell r="K1" t="str">
            <v>计算个数</v>
          </cell>
        </row>
        <row r="2">
          <cell r="I2" t="str">
            <v>T1碎片</v>
          </cell>
          <cell r="J2">
            <v>1</v>
          </cell>
          <cell r="K2">
            <v>0.96431332130894098</v>
          </cell>
        </row>
        <row r="3">
          <cell r="I3" t="str">
            <v>T1碎片</v>
          </cell>
          <cell r="J3">
            <v>1</v>
          </cell>
          <cell r="K3">
            <v>0.96431332130894098</v>
          </cell>
        </row>
        <row r="4">
          <cell r="I4" t="str">
            <v>T1碎片</v>
          </cell>
          <cell r="J4">
            <v>1</v>
          </cell>
          <cell r="K4">
            <v>0.96431332130894098</v>
          </cell>
        </row>
        <row r="5">
          <cell r="I5" t="str">
            <v>T1部件</v>
          </cell>
          <cell r="J5">
            <v>1</v>
          </cell>
          <cell r="K5">
            <v>0.20407111569183201</v>
          </cell>
        </row>
        <row r="6">
          <cell r="I6" t="str">
            <v>T1部件</v>
          </cell>
          <cell r="J6">
            <v>1</v>
          </cell>
          <cell r="K6">
            <v>0.20407111569183201</v>
          </cell>
        </row>
        <row r="7">
          <cell r="I7" t="str">
            <v>T1部件</v>
          </cell>
          <cell r="J7">
            <v>1</v>
          </cell>
          <cell r="K7">
            <v>0.20407111569183201</v>
          </cell>
        </row>
        <row r="8">
          <cell r="I8" t="str">
            <v>T1部件</v>
          </cell>
          <cell r="J8">
            <v>1</v>
          </cell>
          <cell r="K8">
            <v>0.20407111569183201</v>
          </cell>
        </row>
        <row r="9">
          <cell r="I9" t="str">
            <v>T1部件</v>
          </cell>
          <cell r="J9">
            <v>1</v>
          </cell>
          <cell r="K9">
            <v>0.20407111569183201</v>
          </cell>
        </row>
        <row r="10">
          <cell r="I10" t="str">
            <v>T1部件</v>
          </cell>
          <cell r="J10">
            <v>1</v>
          </cell>
          <cell r="K10">
            <v>0.20407111569183201</v>
          </cell>
        </row>
        <row r="11">
          <cell r="I11" t="str">
            <v>T1部件</v>
          </cell>
          <cell r="J11">
            <v>1</v>
          </cell>
          <cell r="K11">
            <v>0.20407111569183201</v>
          </cell>
        </row>
        <row r="12">
          <cell r="I12" t="str">
            <v>T1部件</v>
          </cell>
          <cell r="J12">
            <v>1</v>
          </cell>
          <cell r="K12">
            <v>0.20407111569183201</v>
          </cell>
        </row>
        <row r="13">
          <cell r="I13" t="str">
            <v>T1部件</v>
          </cell>
          <cell r="J13">
            <v>1</v>
          </cell>
          <cell r="K13">
            <v>0.21025508889461478</v>
          </cell>
        </row>
        <row r="14">
          <cell r="I14" t="str">
            <v>T1碎片</v>
          </cell>
          <cell r="J14">
            <v>2</v>
          </cell>
          <cell r="K14">
            <v>1.1802622805067795</v>
          </cell>
        </row>
        <row r="15">
          <cell r="I15" t="str">
            <v>T1碎片</v>
          </cell>
          <cell r="J15">
            <v>2</v>
          </cell>
          <cell r="K15">
            <v>1.1802622805067795</v>
          </cell>
        </row>
        <row r="16">
          <cell r="I16" t="str">
            <v>T1碎片</v>
          </cell>
          <cell r="J16">
            <v>2</v>
          </cell>
          <cell r="K16">
            <v>1.1802622805067795</v>
          </cell>
        </row>
        <row r="17">
          <cell r="I17" t="str">
            <v>T1部件</v>
          </cell>
          <cell r="J17">
            <v>2</v>
          </cell>
          <cell r="K17">
            <v>0.16703711935985771</v>
          </cell>
        </row>
        <row r="18">
          <cell r="I18" t="str">
            <v>T1部件</v>
          </cell>
          <cell r="J18">
            <v>2</v>
          </cell>
          <cell r="K18">
            <v>0.16703711935985771</v>
          </cell>
        </row>
        <row r="19">
          <cell r="I19" t="str">
            <v>T1部件</v>
          </cell>
          <cell r="J19">
            <v>2</v>
          </cell>
          <cell r="K19">
            <v>0.16703711935985771</v>
          </cell>
        </row>
        <row r="20">
          <cell r="I20" t="str">
            <v>T1部件</v>
          </cell>
          <cell r="J20">
            <v>2</v>
          </cell>
          <cell r="K20">
            <v>0.16703711935985771</v>
          </cell>
        </row>
        <row r="21">
          <cell r="I21" t="str">
            <v>T1部件</v>
          </cell>
          <cell r="J21">
            <v>2</v>
          </cell>
          <cell r="K21">
            <v>0.16703711935985771</v>
          </cell>
        </row>
        <row r="22">
          <cell r="I22" t="str">
            <v>T1部件</v>
          </cell>
          <cell r="J22">
            <v>2</v>
          </cell>
          <cell r="K22">
            <v>0.16703711935985771</v>
          </cell>
        </row>
        <row r="23">
          <cell r="I23" t="str">
            <v>T1部件</v>
          </cell>
          <cell r="J23">
            <v>2</v>
          </cell>
          <cell r="K23">
            <v>0.16703711935985771</v>
          </cell>
        </row>
        <row r="24">
          <cell r="I24" t="str">
            <v>T1部件</v>
          </cell>
          <cell r="J24">
            <v>2</v>
          </cell>
          <cell r="K24">
            <v>0.16703711935985771</v>
          </cell>
        </row>
        <row r="25">
          <cell r="I25" t="str">
            <v>T1部件</v>
          </cell>
          <cell r="J25">
            <v>2</v>
          </cell>
          <cell r="K25">
            <v>0.16703711935985771</v>
          </cell>
        </row>
        <row r="26">
          <cell r="I26" t="str">
            <v>T1部件</v>
          </cell>
          <cell r="J26">
            <v>2</v>
          </cell>
          <cell r="K26">
            <v>0.16703711935985771</v>
          </cell>
        </row>
        <row r="27">
          <cell r="I27" t="str">
            <v>T1部件</v>
          </cell>
          <cell r="J27">
            <v>2</v>
          </cell>
          <cell r="K27">
            <v>0.16703711935985771</v>
          </cell>
        </row>
        <row r="28">
          <cell r="I28" t="str">
            <v>T1部件</v>
          </cell>
          <cell r="J28">
            <v>2</v>
          </cell>
          <cell r="K28">
            <v>0.16703711935985771</v>
          </cell>
        </row>
        <row r="29">
          <cell r="I29" t="str">
            <v>T1部件</v>
          </cell>
          <cell r="J29">
            <v>2</v>
          </cell>
          <cell r="K29">
            <v>0.16703711935985771</v>
          </cell>
        </row>
        <row r="30">
          <cell r="I30" t="str">
            <v>T1部件</v>
          </cell>
          <cell r="J30">
            <v>2</v>
          </cell>
          <cell r="K30">
            <v>0.16703711935985771</v>
          </cell>
        </row>
        <row r="31">
          <cell r="I31" t="str">
            <v>T1部件</v>
          </cell>
          <cell r="J31">
            <v>2</v>
          </cell>
          <cell r="K31">
            <v>0.16703711935985771</v>
          </cell>
        </row>
        <row r="32">
          <cell r="I32" t="str">
            <v>T1部件</v>
          </cell>
          <cell r="J32">
            <v>2</v>
          </cell>
          <cell r="K32">
            <v>0.16703711935985771</v>
          </cell>
        </row>
        <row r="33">
          <cell r="I33" t="str">
            <v>T1部件</v>
          </cell>
          <cell r="J33">
            <v>2</v>
          </cell>
          <cell r="K33">
            <v>0.16703711935985771</v>
          </cell>
        </row>
        <row r="34">
          <cell r="I34" t="str">
            <v>T1部件</v>
          </cell>
          <cell r="J34">
            <v>2</v>
          </cell>
          <cell r="K34">
            <v>0.16703711935985771</v>
          </cell>
        </row>
        <row r="35">
          <cell r="I35" t="str">
            <v>T0坦克</v>
          </cell>
          <cell r="J35">
            <v>2</v>
          </cell>
          <cell r="K35">
            <v>0.18137363858635253</v>
          </cell>
        </row>
        <row r="36">
          <cell r="I36" t="str">
            <v>T0坦克</v>
          </cell>
          <cell r="J36">
            <v>2</v>
          </cell>
          <cell r="K36">
            <v>0.10602356079128697</v>
          </cell>
        </row>
        <row r="37">
          <cell r="I37" t="str">
            <v>T1碎片</v>
          </cell>
          <cell r="J37">
            <v>3</v>
          </cell>
          <cell r="K37">
            <v>0.57119806373537718</v>
          </cell>
        </row>
        <row r="38">
          <cell r="I38" t="str">
            <v>T1碎片</v>
          </cell>
          <cell r="J38">
            <v>3</v>
          </cell>
          <cell r="K38">
            <v>0.57119806373537718</v>
          </cell>
        </row>
        <row r="39">
          <cell r="I39" t="str">
            <v>T1碎片</v>
          </cell>
          <cell r="J39">
            <v>3</v>
          </cell>
          <cell r="K39">
            <v>0.57119806373537718</v>
          </cell>
        </row>
        <row r="40">
          <cell r="I40" t="str">
            <v>T2碎片</v>
          </cell>
          <cell r="J40">
            <v>3</v>
          </cell>
          <cell r="K40">
            <v>0.3569987898346107</v>
          </cell>
        </row>
        <row r="41">
          <cell r="I41" t="str">
            <v>T2碎片</v>
          </cell>
          <cell r="J41">
            <v>3</v>
          </cell>
          <cell r="K41">
            <v>0.3569987898346107</v>
          </cell>
        </row>
        <row r="42">
          <cell r="I42" t="str">
            <v>T2碎片</v>
          </cell>
          <cell r="J42">
            <v>3</v>
          </cell>
          <cell r="K42">
            <v>0.3569987898346107</v>
          </cell>
        </row>
        <row r="43">
          <cell r="I43" t="str">
            <v>T2碎片</v>
          </cell>
          <cell r="J43">
            <v>3</v>
          </cell>
          <cell r="K43">
            <v>0.25171440096813236</v>
          </cell>
        </row>
        <row r="44">
          <cell r="I44" t="str">
            <v>T2碎片</v>
          </cell>
          <cell r="J44">
            <v>3</v>
          </cell>
          <cell r="K44">
            <v>0.25171440096813236</v>
          </cell>
        </row>
        <row r="45">
          <cell r="I45" t="str">
            <v>T2碎片</v>
          </cell>
          <cell r="J45">
            <v>3</v>
          </cell>
          <cell r="K45">
            <v>0.25171440096813236</v>
          </cell>
        </row>
        <row r="46">
          <cell r="I46" t="str">
            <v>T1部件</v>
          </cell>
          <cell r="J46">
            <v>3</v>
          </cell>
          <cell r="K46">
            <v>7.1803146430012094E-2</v>
          </cell>
        </row>
        <row r="47">
          <cell r="I47" t="str">
            <v>T1部件</v>
          </cell>
          <cell r="J47">
            <v>3</v>
          </cell>
          <cell r="K47">
            <v>7.1803146430012094E-2</v>
          </cell>
        </row>
        <row r="48">
          <cell r="I48" t="str">
            <v>T1部件</v>
          </cell>
          <cell r="J48">
            <v>3</v>
          </cell>
          <cell r="K48">
            <v>7.1803146430012094E-2</v>
          </cell>
        </row>
        <row r="49">
          <cell r="I49" t="str">
            <v>T1部件</v>
          </cell>
          <cell r="J49">
            <v>3</v>
          </cell>
          <cell r="K49">
            <v>7.1803146430012094E-2</v>
          </cell>
        </row>
        <row r="50">
          <cell r="I50" t="str">
            <v>T1部件</v>
          </cell>
          <cell r="J50">
            <v>3</v>
          </cell>
          <cell r="K50">
            <v>7.1803146430012094E-2</v>
          </cell>
        </row>
        <row r="51">
          <cell r="I51" t="str">
            <v>T1部件</v>
          </cell>
          <cell r="J51">
            <v>3</v>
          </cell>
          <cell r="K51">
            <v>7.1803146430012094E-2</v>
          </cell>
        </row>
        <row r="52">
          <cell r="I52" t="str">
            <v>T1部件</v>
          </cell>
          <cell r="J52">
            <v>3</v>
          </cell>
          <cell r="K52">
            <v>7.1803146430012094E-2</v>
          </cell>
        </row>
        <row r="53">
          <cell r="I53" t="str">
            <v>T1部件</v>
          </cell>
          <cell r="J53">
            <v>3</v>
          </cell>
          <cell r="K53">
            <v>7.90641387656313E-2</v>
          </cell>
        </row>
        <row r="54">
          <cell r="I54" t="str">
            <v>T1部件</v>
          </cell>
          <cell r="J54">
            <v>3</v>
          </cell>
          <cell r="K54">
            <v>7.90641387656313E-2</v>
          </cell>
        </row>
        <row r="55">
          <cell r="I55" t="str">
            <v>T1部件</v>
          </cell>
          <cell r="J55">
            <v>3</v>
          </cell>
          <cell r="K55">
            <v>7.90641387656313E-2</v>
          </cell>
        </row>
        <row r="56">
          <cell r="I56" t="str">
            <v>T1部件</v>
          </cell>
          <cell r="J56">
            <v>3</v>
          </cell>
          <cell r="K56">
            <v>7.90641387656313E-2</v>
          </cell>
        </row>
        <row r="57">
          <cell r="I57" t="str">
            <v>T1部件</v>
          </cell>
          <cell r="J57">
            <v>3</v>
          </cell>
          <cell r="K57">
            <v>7.90641387656313E-2</v>
          </cell>
        </row>
        <row r="58">
          <cell r="I58" t="str">
            <v>T1部件</v>
          </cell>
          <cell r="J58">
            <v>3</v>
          </cell>
          <cell r="K58">
            <v>7.90641387656313E-2</v>
          </cell>
        </row>
        <row r="59">
          <cell r="I59" t="str">
            <v>T1部件</v>
          </cell>
          <cell r="J59">
            <v>3</v>
          </cell>
          <cell r="K59">
            <v>7.90641387656313E-2</v>
          </cell>
        </row>
        <row r="60">
          <cell r="I60" t="str">
            <v>T1部件</v>
          </cell>
          <cell r="J60">
            <v>3</v>
          </cell>
          <cell r="K60">
            <v>7.90641387656313E-2</v>
          </cell>
        </row>
        <row r="61">
          <cell r="I61" t="str">
            <v>T1部件</v>
          </cell>
          <cell r="J61">
            <v>3</v>
          </cell>
          <cell r="K61">
            <v>7.90641387656313E-2</v>
          </cell>
        </row>
        <row r="62">
          <cell r="I62" t="str">
            <v>T1部件</v>
          </cell>
          <cell r="J62">
            <v>3</v>
          </cell>
          <cell r="K62">
            <v>7.90641387656313E-2</v>
          </cell>
        </row>
        <row r="63">
          <cell r="I63" t="str">
            <v>T1部件</v>
          </cell>
          <cell r="J63">
            <v>3</v>
          </cell>
          <cell r="K63">
            <v>7.90641387656313E-2</v>
          </cell>
        </row>
        <row r="64">
          <cell r="I64" t="str">
            <v>T2部件</v>
          </cell>
          <cell r="J64">
            <v>3</v>
          </cell>
          <cell r="K64">
            <v>4.0742234772085523E-2</v>
          </cell>
        </row>
        <row r="65">
          <cell r="I65" t="str">
            <v>T2部件</v>
          </cell>
          <cell r="J65">
            <v>3</v>
          </cell>
          <cell r="K65">
            <v>4.0742234772085523E-2</v>
          </cell>
        </row>
        <row r="66">
          <cell r="I66" t="str">
            <v>T2部件</v>
          </cell>
          <cell r="J66">
            <v>3</v>
          </cell>
          <cell r="K66">
            <v>4.0742234772085523E-2</v>
          </cell>
        </row>
        <row r="67">
          <cell r="I67" t="str">
            <v>T2部件</v>
          </cell>
          <cell r="J67">
            <v>3</v>
          </cell>
          <cell r="K67">
            <v>4.0742234772085523E-2</v>
          </cell>
        </row>
        <row r="68">
          <cell r="I68" t="str">
            <v>T2部件</v>
          </cell>
          <cell r="J68">
            <v>3</v>
          </cell>
          <cell r="K68">
            <v>4.0742234772085523E-2</v>
          </cell>
        </row>
        <row r="69">
          <cell r="I69" t="str">
            <v>T2部件</v>
          </cell>
          <cell r="J69">
            <v>3</v>
          </cell>
          <cell r="K69">
            <v>4.0742234772085523E-2</v>
          </cell>
        </row>
        <row r="70">
          <cell r="I70" t="str">
            <v>T2部件</v>
          </cell>
          <cell r="J70">
            <v>3</v>
          </cell>
          <cell r="K70">
            <v>4.0742234772085523E-2</v>
          </cell>
        </row>
        <row r="71">
          <cell r="I71" t="str">
            <v>T2部件</v>
          </cell>
          <cell r="J71">
            <v>3</v>
          </cell>
          <cell r="K71">
            <v>4.0742234772085523E-2</v>
          </cell>
        </row>
        <row r="72">
          <cell r="I72" t="str">
            <v>T2部件</v>
          </cell>
          <cell r="J72">
            <v>3</v>
          </cell>
          <cell r="K72">
            <v>4.0742234772085523E-2</v>
          </cell>
        </row>
        <row r="73">
          <cell r="I73" t="str">
            <v>T0坦克</v>
          </cell>
          <cell r="J73">
            <v>3</v>
          </cell>
          <cell r="K73">
            <v>2.218636546994756E-2</v>
          </cell>
        </row>
        <row r="74">
          <cell r="I74" t="str">
            <v>T0坦克</v>
          </cell>
          <cell r="J74">
            <v>3</v>
          </cell>
          <cell r="K74">
            <v>2.1379588543767647E-2</v>
          </cell>
        </row>
        <row r="75">
          <cell r="I75" t="str">
            <v>T1碎片</v>
          </cell>
          <cell r="J75">
            <v>4</v>
          </cell>
          <cell r="K75">
            <v>0.47405846721095601</v>
          </cell>
        </row>
        <row r="76">
          <cell r="I76" t="str">
            <v>T1碎片</v>
          </cell>
          <cell r="J76">
            <v>4</v>
          </cell>
          <cell r="K76">
            <v>0.47405846721095601</v>
          </cell>
        </row>
        <row r="77">
          <cell r="I77" t="str">
            <v>T1碎片</v>
          </cell>
          <cell r="J77">
            <v>4</v>
          </cell>
          <cell r="K77">
            <v>0.47405846721095601</v>
          </cell>
        </row>
        <row r="78">
          <cell r="I78" t="str">
            <v>T2碎片</v>
          </cell>
          <cell r="J78">
            <v>4</v>
          </cell>
          <cell r="K78">
            <v>0.70950750592573086</v>
          </cell>
        </row>
        <row r="79">
          <cell r="I79" t="str">
            <v>T2碎片</v>
          </cell>
          <cell r="J79">
            <v>4</v>
          </cell>
          <cell r="K79">
            <v>0.70950750592573086</v>
          </cell>
        </row>
        <row r="80">
          <cell r="I80" t="str">
            <v>T2碎片</v>
          </cell>
          <cell r="J80">
            <v>4</v>
          </cell>
          <cell r="K80">
            <v>0.70950750592573086</v>
          </cell>
        </row>
        <row r="81">
          <cell r="I81" t="str">
            <v>T2碎片</v>
          </cell>
          <cell r="J81">
            <v>4</v>
          </cell>
          <cell r="K81">
            <v>0.28265736107453254</v>
          </cell>
        </row>
        <row r="82">
          <cell r="I82" t="str">
            <v>T2碎片</v>
          </cell>
          <cell r="J82">
            <v>4</v>
          </cell>
          <cell r="K82">
            <v>0.28265736107453254</v>
          </cell>
        </row>
        <row r="83">
          <cell r="I83" t="str">
            <v>T2碎片</v>
          </cell>
          <cell r="J83">
            <v>4</v>
          </cell>
          <cell r="K83">
            <v>0.28265736107453254</v>
          </cell>
        </row>
        <row r="84">
          <cell r="I84" t="str">
            <v>T1部件</v>
          </cell>
          <cell r="J84">
            <v>4</v>
          </cell>
          <cell r="K84">
            <v>5.9652357124045305E-2</v>
          </cell>
        </row>
        <row r="85">
          <cell r="I85" t="str">
            <v>T1部件</v>
          </cell>
          <cell r="J85">
            <v>4</v>
          </cell>
          <cell r="K85">
            <v>5.9652357124045305E-2</v>
          </cell>
        </row>
        <row r="86">
          <cell r="I86" t="str">
            <v>T1部件</v>
          </cell>
          <cell r="J86">
            <v>4</v>
          </cell>
          <cell r="K86">
            <v>5.9652357124045305E-2</v>
          </cell>
        </row>
        <row r="87">
          <cell r="I87" t="str">
            <v>T1部件</v>
          </cell>
          <cell r="J87">
            <v>4</v>
          </cell>
          <cell r="K87">
            <v>5.9652357124045305E-2</v>
          </cell>
        </row>
        <row r="88">
          <cell r="I88" t="str">
            <v>T1部件</v>
          </cell>
          <cell r="J88">
            <v>4</v>
          </cell>
          <cell r="K88">
            <v>5.9652357124045305E-2</v>
          </cell>
        </row>
        <row r="89">
          <cell r="I89" t="str">
            <v>T1部件</v>
          </cell>
          <cell r="J89">
            <v>4</v>
          </cell>
          <cell r="K89">
            <v>5.9652357124045305E-2</v>
          </cell>
        </row>
        <row r="90">
          <cell r="I90" t="str">
            <v>T1部件</v>
          </cell>
          <cell r="J90">
            <v>4</v>
          </cell>
          <cell r="K90">
            <v>5.9652357124045305E-2</v>
          </cell>
        </row>
        <row r="91">
          <cell r="I91" t="str">
            <v>T1部件</v>
          </cell>
          <cell r="J91">
            <v>4</v>
          </cell>
          <cell r="K91">
            <v>5.9652357124045305E-2</v>
          </cell>
        </row>
        <row r="92">
          <cell r="I92" t="str">
            <v>T1部件</v>
          </cell>
          <cell r="J92">
            <v>4</v>
          </cell>
          <cell r="K92">
            <v>5.9652357124045305E-2</v>
          </cell>
        </row>
        <row r="93">
          <cell r="I93" t="str">
            <v>T1部件</v>
          </cell>
          <cell r="J93">
            <v>4</v>
          </cell>
          <cell r="K93">
            <v>5.9652357124045305E-2</v>
          </cell>
        </row>
        <row r="94">
          <cell r="I94" t="str">
            <v>T1部件</v>
          </cell>
          <cell r="J94">
            <v>4</v>
          </cell>
          <cell r="K94">
            <v>5.9652357124045305E-2</v>
          </cell>
        </row>
        <row r="95">
          <cell r="I95" t="str">
            <v>T1部件</v>
          </cell>
          <cell r="J95">
            <v>4</v>
          </cell>
          <cell r="K95">
            <v>5.9652357124045305E-2</v>
          </cell>
        </row>
        <row r="96">
          <cell r="I96" t="str">
            <v>T1部件</v>
          </cell>
          <cell r="J96">
            <v>4</v>
          </cell>
          <cell r="K96">
            <v>5.9652357124045305E-2</v>
          </cell>
        </row>
        <row r="97">
          <cell r="I97" t="str">
            <v>T1部件</v>
          </cell>
          <cell r="J97">
            <v>4</v>
          </cell>
          <cell r="K97">
            <v>5.9652357124045305E-2</v>
          </cell>
        </row>
        <row r="98">
          <cell r="I98" t="str">
            <v>T1部件</v>
          </cell>
          <cell r="J98">
            <v>4</v>
          </cell>
          <cell r="K98">
            <v>5.9652357124045305E-2</v>
          </cell>
        </row>
        <row r="99">
          <cell r="I99" t="str">
            <v>T1部件</v>
          </cell>
          <cell r="J99">
            <v>4</v>
          </cell>
          <cell r="K99">
            <v>5.9652357124045305E-2</v>
          </cell>
        </row>
        <row r="100">
          <cell r="I100" t="str">
            <v>T1部件</v>
          </cell>
          <cell r="J100">
            <v>4</v>
          </cell>
          <cell r="K100">
            <v>5.9652357124045305E-2</v>
          </cell>
        </row>
        <row r="101">
          <cell r="I101" t="str">
            <v>T1部件</v>
          </cell>
          <cell r="J101">
            <v>4</v>
          </cell>
          <cell r="K101">
            <v>5.9652357124045305E-2</v>
          </cell>
        </row>
        <row r="102">
          <cell r="I102" t="str">
            <v>T2部件</v>
          </cell>
          <cell r="J102">
            <v>4</v>
          </cell>
          <cell r="K102">
            <v>3.0023702923360547E-2</v>
          </cell>
        </row>
        <row r="103">
          <cell r="I103" t="str">
            <v>T2部件</v>
          </cell>
          <cell r="J103">
            <v>4</v>
          </cell>
          <cell r="K103">
            <v>3.0023702923360547E-2</v>
          </cell>
        </row>
        <row r="104">
          <cell r="I104" t="str">
            <v>T2部件</v>
          </cell>
          <cell r="J104">
            <v>4</v>
          </cell>
          <cell r="K104">
            <v>3.0023702923360547E-2</v>
          </cell>
        </row>
        <row r="105">
          <cell r="I105" t="str">
            <v>T2部件</v>
          </cell>
          <cell r="J105">
            <v>4</v>
          </cell>
          <cell r="K105">
            <v>3.0023702923360547E-2</v>
          </cell>
        </row>
        <row r="106">
          <cell r="I106" t="str">
            <v>T2部件</v>
          </cell>
          <cell r="J106">
            <v>4</v>
          </cell>
          <cell r="K106">
            <v>3.0023702923360547E-2</v>
          </cell>
        </row>
        <row r="107">
          <cell r="I107" t="str">
            <v>T2部件</v>
          </cell>
          <cell r="J107">
            <v>4</v>
          </cell>
          <cell r="K107">
            <v>3.0023702923360547E-2</v>
          </cell>
        </row>
        <row r="108">
          <cell r="I108" t="str">
            <v>T2部件</v>
          </cell>
          <cell r="J108">
            <v>4</v>
          </cell>
          <cell r="K108">
            <v>3.0023702923360547E-2</v>
          </cell>
        </row>
        <row r="109">
          <cell r="I109" t="str">
            <v>T2部件</v>
          </cell>
          <cell r="J109">
            <v>4</v>
          </cell>
          <cell r="K109">
            <v>3.0023702923360547E-2</v>
          </cell>
        </row>
        <row r="110">
          <cell r="I110" t="str">
            <v>T2部件</v>
          </cell>
          <cell r="J110">
            <v>4</v>
          </cell>
          <cell r="K110">
            <v>3.0023702923360547E-2</v>
          </cell>
        </row>
        <row r="111">
          <cell r="I111" t="str">
            <v>T2部件</v>
          </cell>
          <cell r="J111">
            <v>4</v>
          </cell>
          <cell r="K111">
            <v>3.0023702923360547E-2</v>
          </cell>
        </row>
        <row r="112">
          <cell r="I112" t="str">
            <v>T2部件</v>
          </cell>
          <cell r="J112">
            <v>4</v>
          </cell>
          <cell r="K112">
            <v>3.0023702923360547E-2</v>
          </cell>
        </row>
        <row r="113">
          <cell r="I113" t="str">
            <v>T2部件</v>
          </cell>
          <cell r="J113">
            <v>4</v>
          </cell>
          <cell r="K113">
            <v>3.0023702923360547E-2</v>
          </cell>
        </row>
        <row r="114">
          <cell r="I114" t="str">
            <v>T2部件</v>
          </cell>
          <cell r="J114">
            <v>4</v>
          </cell>
          <cell r="K114">
            <v>3.0023702923360547E-2</v>
          </cell>
        </row>
        <row r="115">
          <cell r="I115" t="str">
            <v>T2部件</v>
          </cell>
          <cell r="J115">
            <v>4</v>
          </cell>
          <cell r="K115">
            <v>3.0023702923360547E-2</v>
          </cell>
        </row>
        <row r="116">
          <cell r="I116" t="str">
            <v>T2部件</v>
          </cell>
          <cell r="J116">
            <v>4</v>
          </cell>
          <cell r="K116">
            <v>3.0023702923360547E-2</v>
          </cell>
        </row>
        <row r="117">
          <cell r="I117" t="str">
            <v>T2部件</v>
          </cell>
          <cell r="J117">
            <v>4</v>
          </cell>
          <cell r="K117">
            <v>3.0023702923360547E-2</v>
          </cell>
        </row>
        <row r="118">
          <cell r="I118" t="str">
            <v>T2部件</v>
          </cell>
          <cell r="J118">
            <v>4</v>
          </cell>
          <cell r="K118">
            <v>3.0023702923360547E-2</v>
          </cell>
        </row>
        <row r="119">
          <cell r="I119" t="str">
            <v>T2部件</v>
          </cell>
          <cell r="J119">
            <v>4</v>
          </cell>
          <cell r="K119">
            <v>3.0023702923360547E-2</v>
          </cell>
        </row>
        <row r="120">
          <cell r="I120" t="str">
            <v>T0坦克</v>
          </cell>
          <cell r="J120">
            <v>4</v>
          </cell>
          <cell r="K120">
            <v>2.172767974716882E-2</v>
          </cell>
        </row>
        <row r="121">
          <cell r="I121" t="str">
            <v>T0坦克</v>
          </cell>
          <cell r="J121">
            <v>4</v>
          </cell>
          <cell r="K121">
            <v>2.9628654200684751E-2</v>
          </cell>
        </row>
        <row r="122">
          <cell r="I122" t="str">
            <v>T1碎片</v>
          </cell>
          <cell r="J122">
            <v>5</v>
          </cell>
          <cell r="K122">
            <v>0.47118564005668395</v>
          </cell>
        </row>
        <row r="123">
          <cell r="I123" t="str">
            <v>T1碎片</v>
          </cell>
          <cell r="J123">
            <v>5</v>
          </cell>
          <cell r="K123">
            <v>0.47118564005668395</v>
          </cell>
        </row>
        <row r="124">
          <cell r="I124" t="str">
            <v>T1碎片</v>
          </cell>
          <cell r="J124">
            <v>5</v>
          </cell>
          <cell r="K124">
            <v>0.47118564005668395</v>
          </cell>
        </row>
        <row r="125">
          <cell r="I125" t="str">
            <v>T2碎片</v>
          </cell>
          <cell r="J125">
            <v>5</v>
          </cell>
          <cell r="K125">
            <v>0.36065186584789799</v>
          </cell>
        </row>
        <row r="126">
          <cell r="I126" t="str">
            <v>T2碎片</v>
          </cell>
          <cell r="J126">
            <v>5</v>
          </cell>
          <cell r="K126">
            <v>0.36065186584789799</v>
          </cell>
        </row>
        <row r="127">
          <cell r="I127" t="str">
            <v>T2碎片</v>
          </cell>
          <cell r="J127">
            <v>5</v>
          </cell>
          <cell r="K127">
            <v>0.36065186584789799</v>
          </cell>
        </row>
        <row r="128">
          <cell r="I128" t="str">
            <v>T3碎片</v>
          </cell>
          <cell r="J128">
            <v>5</v>
          </cell>
          <cell r="K128">
            <v>0.32150448748228622</v>
          </cell>
        </row>
        <row r="129">
          <cell r="I129" t="str">
            <v>T3碎片</v>
          </cell>
          <cell r="J129">
            <v>5</v>
          </cell>
          <cell r="K129">
            <v>0.32150448748228622</v>
          </cell>
        </row>
        <row r="130">
          <cell r="I130" t="str">
            <v>T3碎片</v>
          </cell>
          <cell r="J130">
            <v>5</v>
          </cell>
          <cell r="K130">
            <v>0.32150448748228622</v>
          </cell>
        </row>
        <row r="131">
          <cell r="I131" t="str">
            <v>T3碎片</v>
          </cell>
          <cell r="J131">
            <v>5</v>
          </cell>
          <cell r="K131">
            <v>0.12647614548889938</v>
          </cell>
        </row>
        <row r="132">
          <cell r="I132" t="str">
            <v>T3碎片</v>
          </cell>
          <cell r="J132">
            <v>5</v>
          </cell>
          <cell r="K132">
            <v>0.12647614548889938</v>
          </cell>
        </row>
        <row r="133">
          <cell r="I133" t="str">
            <v>T3碎片</v>
          </cell>
          <cell r="J133">
            <v>5</v>
          </cell>
          <cell r="K133">
            <v>0.12647614548889938</v>
          </cell>
        </row>
        <row r="134">
          <cell r="I134" t="str">
            <v>T1部件</v>
          </cell>
          <cell r="J134">
            <v>5</v>
          </cell>
          <cell r="K134">
            <v>5.6861124232404345E-2</v>
          </cell>
        </row>
        <row r="135">
          <cell r="I135" t="str">
            <v>T1部件</v>
          </cell>
          <cell r="J135">
            <v>5</v>
          </cell>
          <cell r="K135">
            <v>5.6861124232404345E-2</v>
          </cell>
        </row>
        <row r="136">
          <cell r="I136" t="str">
            <v>T1部件</v>
          </cell>
          <cell r="J136">
            <v>5</v>
          </cell>
          <cell r="K136">
            <v>5.6861124232404345E-2</v>
          </cell>
        </row>
        <row r="137">
          <cell r="I137" t="str">
            <v>T1部件</v>
          </cell>
          <cell r="J137">
            <v>5</v>
          </cell>
          <cell r="K137">
            <v>5.6861124232404345E-2</v>
          </cell>
        </row>
        <row r="138">
          <cell r="I138" t="str">
            <v>T1部件</v>
          </cell>
          <cell r="J138">
            <v>5</v>
          </cell>
          <cell r="K138">
            <v>5.6861124232404345E-2</v>
          </cell>
        </row>
        <row r="139">
          <cell r="I139" t="str">
            <v>T1部件</v>
          </cell>
          <cell r="J139">
            <v>5</v>
          </cell>
          <cell r="K139">
            <v>5.6861124232404345E-2</v>
          </cell>
        </row>
        <row r="140">
          <cell r="I140" t="str">
            <v>T1部件</v>
          </cell>
          <cell r="J140">
            <v>5</v>
          </cell>
          <cell r="K140">
            <v>5.6861124232404345E-2</v>
          </cell>
        </row>
        <row r="141">
          <cell r="I141" t="str">
            <v>T1部件</v>
          </cell>
          <cell r="J141">
            <v>5</v>
          </cell>
          <cell r="K141">
            <v>5.6861124232404345E-2</v>
          </cell>
        </row>
        <row r="142">
          <cell r="I142" t="str">
            <v>T1部件</v>
          </cell>
          <cell r="J142">
            <v>5</v>
          </cell>
          <cell r="K142">
            <v>5.6861124232404345E-2</v>
          </cell>
        </row>
        <row r="143">
          <cell r="I143" t="str">
            <v>T1部件</v>
          </cell>
          <cell r="J143">
            <v>5</v>
          </cell>
          <cell r="K143">
            <v>5.6861124232404345E-2</v>
          </cell>
        </row>
        <row r="144">
          <cell r="I144" t="str">
            <v>T1部件</v>
          </cell>
          <cell r="J144">
            <v>5</v>
          </cell>
          <cell r="K144">
            <v>5.6861124232404345E-2</v>
          </cell>
        </row>
        <row r="145">
          <cell r="I145" t="str">
            <v>T1部件</v>
          </cell>
          <cell r="J145">
            <v>5</v>
          </cell>
          <cell r="K145">
            <v>5.6861124232404345E-2</v>
          </cell>
        </row>
        <row r="146">
          <cell r="I146" t="str">
            <v>T1部件</v>
          </cell>
          <cell r="J146">
            <v>5</v>
          </cell>
          <cell r="K146">
            <v>5.6861124232404345E-2</v>
          </cell>
        </row>
        <row r="147">
          <cell r="I147" t="str">
            <v>T1部件</v>
          </cell>
          <cell r="J147">
            <v>5</v>
          </cell>
          <cell r="K147">
            <v>5.6861124232404345E-2</v>
          </cell>
        </row>
        <row r="148">
          <cell r="I148" t="str">
            <v>T1部件</v>
          </cell>
          <cell r="J148">
            <v>5</v>
          </cell>
          <cell r="K148">
            <v>5.6861124232404345E-2</v>
          </cell>
        </row>
        <row r="149">
          <cell r="I149" t="str">
            <v>T1部件</v>
          </cell>
          <cell r="J149">
            <v>5</v>
          </cell>
          <cell r="K149">
            <v>5.6861124232404345E-2</v>
          </cell>
        </row>
        <row r="150">
          <cell r="I150" t="str">
            <v>T1部件</v>
          </cell>
          <cell r="J150">
            <v>5</v>
          </cell>
          <cell r="K150">
            <v>5.6861124232404345E-2</v>
          </cell>
        </row>
        <row r="151">
          <cell r="I151" t="str">
            <v>T1部件</v>
          </cell>
          <cell r="J151">
            <v>5</v>
          </cell>
          <cell r="K151">
            <v>5.6861124232404345E-2</v>
          </cell>
        </row>
        <row r="152">
          <cell r="I152" t="str">
            <v>T2部件</v>
          </cell>
          <cell r="J152">
            <v>5</v>
          </cell>
          <cell r="K152">
            <v>2.7987718469532359E-2</v>
          </cell>
        </row>
        <row r="153">
          <cell r="I153" t="str">
            <v>T2部件</v>
          </cell>
          <cell r="J153">
            <v>5</v>
          </cell>
          <cell r="K153">
            <v>2.7987718469532359E-2</v>
          </cell>
        </row>
        <row r="154">
          <cell r="I154" t="str">
            <v>T2部件</v>
          </cell>
          <cell r="J154">
            <v>5</v>
          </cell>
          <cell r="K154">
            <v>2.7987718469532359E-2</v>
          </cell>
        </row>
        <row r="155">
          <cell r="I155" t="str">
            <v>T2部件</v>
          </cell>
          <cell r="J155">
            <v>5</v>
          </cell>
          <cell r="K155">
            <v>2.7987718469532359E-2</v>
          </cell>
        </row>
        <row r="156">
          <cell r="I156" t="str">
            <v>T2部件</v>
          </cell>
          <cell r="J156">
            <v>5</v>
          </cell>
          <cell r="K156">
            <v>2.7987718469532359E-2</v>
          </cell>
        </row>
        <row r="157">
          <cell r="I157" t="str">
            <v>T2部件</v>
          </cell>
          <cell r="J157">
            <v>5</v>
          </cell>
          <cell r="K157">
            <v>2.7987718469532359E-2</v>
          </cell>
        </row>
        <row r="158">
          <cell r="I158" t="str">
            <v>T2部件</v>
          </cell>
          <cell r="J158">
            <v>5</v>
          </cell>
          <cell r="K158">
            <v>2.7987718469532359E-2</v>
          </cell>
        </row>
        <row r="159">
          <cell r="I159" t="str">
            <v>T2部件</v>
          </cell>
          <cell r="J159">
            <v>5</v>
          </cell>
          <cell r="K159">
            <v>2.7987718469532359E-2</v>
          </cell>
        </row>
        <row r="160">
          <cell r="I160" t="str">
            <v>T2部件</v>
          </cell>
          <cell r="J160">
            <v>5</v>
          </cell>
          <cell r="K160">
            <v>2.7987718469532359E-2</v>
          </cell>
        </row>
        <row r="161">
          <cell r="I161" t="str">
            <v>T2部件</v>
          </cell>
          <cell r="J161">
            <v>5</v>
          </cell>
          <cell r="K161">
            <v>2.7987718469532359E-2</v>
          </cell>
        </row>
        <row r="162">
          <cell r="I162" t="str">
            <v>T2部件</v>
          </cell>
          <cell r="J162">
            <v>5</v>
          </cell>
          <cell r="K162">
            <v>2.7987718469532359E-2</v>
          </cell>
        </row>
        <row r="163">
          <cell r="I163" t="str">
            <v>T2部件</v>
          </cell>
          <cell r="J163">
            <v>5</v>
          </cell>
          <cell r="K163">
            <v>2.7987718469532359E-2</v>
          </cell>
        </row>
        <row r="164">
          <cell r="I164" t="str">
            <v>T2部件</v>
          </cell>
          <cell r="J164">
            <v>5</v>
          </cell>
          <cell r="K164">
            <v>2.7987718469532359E-2</v>
          </cell>
        </row>
        <row r="165">
          <cell r="I165" t="str">
            <v>T2部件</v>
          </cell>
          <cell r="J165">
            <v>5</v>
          </cell>
          <cell r="K165">
            <v>2.7987718469532359E-2</v>
          </cell>
        </row>
        <row r="166">
          <cell r="I166" t="str">
            <v>T2部件</v>
          </cell>
          <cell r="J166">
            <v>5</v>
          </cell>
          <cell r="K166">
            <v>2.7987718469532359E-2</v>
          </cell>
        </row>
        <row r="167">
          <cell r="I167" t="str">
            <v>T2部件</v>
          </cell>
          <cell r="J167">
            <v>5</v>
          </cell>
          <cell r="K167">
            <v>2.7987718469532359E-2</v>
          </cell>
        </row>
        <row r="168">
          <cell r="I168" t="str">
            <v>T2部件</v>
          </cell>
          <cell r="J168">
            <v>5</v>
          </cell>
          <cell r="K168">
            <v>2.7987718469532359E-2</v>
          </cell>
        </row>
        <row r="169">
          <cell r="I169" t="str">
            <v>T2部件</v>
          </cell>
          <cell r="J169">
            <v>5</v>
          </cell>
          <cell r="K169">
            <v>2.7987718469532359E-2</v>
          </cell>
        </row>
        <row r="170">
          <cell r="I170" t="str">
            <v>T0坦克</v>
          </cell>
          <cell r="J170">
            <v>5</v>
          </cell>
          <cell r="K170">
            <v>2.5862068965517241E-2</v>
          </cell>
        </row>
        <row r="171">
          <cell r="I171" t="str">
            <v>T0坦克</v>
          </cell>
          <cell r="J171">
            <v>5</v>
          </cell>
          <cell r="K171">
            <v>2.2673594709494569E-2</v>
          </cell>
        </row>
        <row r="172">
          <cell r="I172" t="str">
            <v>T1碎片</v>
          </cell>
          <cell r="J172">
            <v>6</v>
          </cell>
          <cell r="K172">
            <v>0.45383236216943074</v>
          </cell>
        </row>
        <row r="173">
          <cell r="I173" t="str">
            <v>T1碎片</v>
          </cell>
          <cell r="J173">
            <v>6</v>
          </cell>
          <cell r="K173">
            <v>0.45383236216943074</v>
          </cell>
        </row>
        <row r="174">
          <cell r="I174" t="str">
            <v>T1碎片</v>
          </cell>
          <cell r="J174">
            <v>6</v>
          </cell>
          <cell r="K174">
            <v>0.45383236216943074</v>
          </cell>
        </row>
        <row r="175">
          <cell r="I175" t="str">
            <v>T2碎片</v>
          </cell>
          <cell r="J175">
            <v>6</v>
          </cell>
          <cell r="K175">
            <v>0.28574630210667862</v>
          </cell>
        </row>
        <row r="176">
          <cell r="I176" t="str">
            <v>T2碎片</v>
          </cell>
          <cell r="J176">
            <v>6</v>
          </cell>
          <cell r="K176">
            <v>0.28574630210667862</v>
          </cell>
        </row>
        <row r="177">
          <cell r="I177" t="str">
            <v>T2碎片</v>
          </cell>
          <cell r="J177">
            <v>6</v>
          </cell>
          <cell r="K177">
            <v>0.28574630210667862</v>
          </cell>
        </row>
        <row r="178">
          <cell r="I178" t="str">
            <v>T3碎片</v>
          </cell>
          <cell r="J178">
            <v>6</v>
          </cell>
          <cell r="K178">
            <v>0.32474226804123707</v>
          </cell>
        </row>
        <row r="179">
          <cell r="I179" t="str">
            <v>T3碎片</v>
          </cell>
          <cell r="J179">
            <v>6</v>
          </cell>
          <cell r="K179">
            <v>0.32474226804123707</v>
          </cell>
        </row>
        <row r="180">
          <cell r="I180" t="str">
            <v>T3碎片</v>
          </cell>
          <cell r="J180">
            <v>6</v>
          </cell>
          <cell r="K180">
            <v>0.32474226804123707</v>
          </cell>
        </row>
        <row r="181">
          <cell r="I181" t="str">
            <v>T3碎片</v>
          </cell>
          <cell r="J181">
            <v>6</v>
          </cell>
          <cell r="K181">
            <v>0.19968623935454954</v>
          </cell>
        </row>
        <row r="182">
          <cell r="I182" t="str">
            <v>T3碎片</v>
          </cell>
          <cell r="J182">
            <v>6</v>
          </cell>
          <cell r="K182">
            <v>0.19968623935454954</v>
          </cell>
        </row>
        <row r="183">
          <cell r="I183" t="str">
            <v>T3碎片</v>
          </cell>
          <cell r="J183">
            <v>6</v>
          </cell>
          <cell r="K183">
            <v>0.19968623935454954</v>
          </cell>
        </row>
        <row r="184">
          <cell r="I184" t="str">
            <v>T1部件</v>
          </cell>
          <cell r="J184">
            <v>6</v>
          </cell>
          <cell r="K184">
            <v>4.6727924697445092E-2</v>
          </cell>
        </row>
        <row r="185">
          <cell r="I185" t="str">
            <v>T1部件</v>
          </cell>
          <cell r="J185">
            <v>6</v>
          </cell>
          <cell r="K185">
            <v>4.6727924697445092E-2</v>
          </cell>
        </row>
        <row r="186">
          <cell r="I186" t="str">
            <v>T1部件</v>
          </cell>
          <cell r="J186">
            <v>6</v>
          </cell>
          <cell r="K186">
            <v>4.6727924697445092E-2</v>
          </cell>
        </row>
        <row r="187">
          <cell r="I187" t="str">
            <v>T1部件</v>
          </cell>
          <cell r="J187">
            <v>6</v>
          </cell>
          <cell r="K187">
            <v>4.6727924697445092E-2</v>
          </cell>
        </row>
        <row r="188">
          <cell r="I188" t="str">
            <v>T1部件</v>
          </cell>
          <cell r="J188">
            <v>6</v>
          </cell>
          <cell r="K188">
            <v>4.6727924697445092E-2</v>
          </cell>
        </row>
        <row r="189">
          <cell r="I189" t="str">
            <v>T1部件</v>
          </cell>
          <cell r="J189">
            <v>6</v>
          </cell>
          <cell r="K189">
            <v>4.6727924697445092E-2</v>
          </cell>
        </row>
        <row r="190">
          <cell r="I190" t="str">
            <v>T1部件</v>
          </cell>
          <cell r="J190">
            <v>6</v>
          </cell>
          <cell r="K190">
            <v>4.6727924697445092E-2</v>
          </cell>
        </row>
        <row r="191">
          <cell r="I191" t="str">
            <v>T1部件</v>
          </cell>
          <cell r="J191">
            <v>6</v>
          </cell>
          <cell r="K191">
            <v>4.6727924697445092E-2</v>
          </cell>
        </row>
        <row r="192">
          <cell r="I192" t="str">
            <v>T1部件</v>
          </cell>
          <cell r="J192">
            <v>6</v>
          </cell>
          <cell r="K192">
            <v>4.6727924697445092E-2</v>
          </cell>
        </row>
        <row r="193">
          <cell r="I193" t="str">
            <v>T1部件</v>
          </cell>
          <cell r="J193">
            <v>6</v>
          </cell>
          <cell r="K193">
            <v>4.6727924697445092E-2</v>
          </cell>
        </row>
        <row r="194">
          <cell r="I194" t="str">
            <v>T1部件</v>
          </cell>
          <cell r="J194">
            <v>6</v>
          </cell>
          <cell r="K194">
            <v>4.6727924697445092E-2</v>
          </cell>
        </row>
        <row r="195">
          <cell r="I195" t="str">
            <v>T1部件</v>
          </cell>
          <cell r="J195">
            <v>6</v>
          </cell>
          <cell r="K195">
            <v>4.6727924697445092E-2</v>
          </cell>
        </row>
        <row r="196">
          <cell r="I196" t="str">
            <v>T1部件</v>
          </cell>
          <cell r="J196">
            <v>6</v>
          </cell>
          <cell r="K196">
            <v>4.6727924697445092E-2</v>
          </cell>
        </row>
        <row r="197">
          <cell r="I197" t="str">
            <v>T1部件</v>
          </cell>
          <cell r="J197">
            <v>6</v>
          </cell>
          <cell r="K197">
            <v>4.6727924697445092E-2</v>
          </cell>
        </row>
        <row r="198">
          <cell r="I198" t="str">
            <v>T1部件</v>
          </cell>
          <cell r="J198">
            <v>6</v>
          </cell>
          <cell r="K198">
            <v>4.6727924697445092E-2</v>
          </cell>
        </row>
        <row r="199">
          <cell r="I199" t="str">
            <v>T1部件</v>
          </cell>
          <cell r="J199">
            <v>6</v>
          </cell>
          <cell r="K199">
            <v>4.6727924697445092E-2</v>
          </cell>
        </row>
        <row r="200">
          <cell r="I200" t="str">
            <v>T1部件</v>
          </cell>
          <cell r="J200">
            <v>6</v>
          </cell>
          <cell r="K200">
            <v>4.6727924697445092E-2</v>
          </cell>
        </row>
        <row r="201">
          <cell r="I201" t="str">
            <v>T1部件</v>
          </cell>
          <cell r="J201">
            <v>6</v>
          </cell>
          <cell r="K201">
            <v>4.6727924697445092E-2</v>
          </cell>
        </row>
        <row r="202">
          <cell r="I202" t="str">
            <v>T2部件</v>
          </cell>
          <cell r="J202">
            <v>6</v>
          </cell>
          <cell r="K202">
            <v>2.218735992828328E-2</v>
          </cell>
        </row>
        <row r="203">
          <cell r="I203" t="str">
            <v>T2部件</v>
          </cell>
          <cell r="J203">
            <v>6</v>
          </cell>
          <cell r="K203">
            <v>2.218735992828328E-2</v>
          </cell>
        </row>
        <row r="204">
          <cell r="I204" t="str">
            <v>T2部件</v>
          </cell>
          <cell r="J204">
            <v>6</v>
          </cell>
          <cell r="K204">
            <v>2.218735992828328E-2</v>
          </cell>
        </row>
        <row r="205">
          <cell r="I205" t="str">
            <v>T2部件</v>
          </cell>
          <cell r="J205">
            <v>6</v>
          </cell>
          <cell r="K205">
            <v>2.218735992828328E-2</v>
          </cell>
        </row>
        <row r="206">
          <cell r="I206" t="str">
            <v>T2部件</v>
          </cell>
          <cell r="J206">
            <v>6</v>
          </cell>
          <cell r="K206">
            <v>2.218735992828328E-2</v>
          </cell>
        </row>
        <row r="207">
          <cell r="I207" t="str">
            <v>T2部件</v>
          </cell>
          <cell r="J207">
            <v>6</v>
          </cell>
          <cell r="K207">
            <v>2.218735992828328E-2</v>
          </cell>
        </row>
        <row r="208">
          <cell r="I208" t="str">
            <v>T2部件</v>
          </cell>
          <cell r="J208">
            <v>6</v>
          </cell>
          <cell r="K208">
            <v>2.218735992828328E-2</v>
          </cell>
        </row>
        <row r="209">
          <cell r="I209" t="str">
            <v>T2部件</v>
          </cell>
          <cell r="J209">
            <v>6</v>
          </cell>
          <cell r="K209">
            <v>2.218735992828328E-2</v>
          </cell>
        </row>
        <row r="210">
          <cell r="I210" t="str">
            <v>T2部件</v>
          </cell>
          <cell r="J210">
            <v>6</v>
          </cell>
          <cell r="K210">
            <v>2.218735992828328E-2</v>
          </cell>
        </row>
        <row r="211">
          <cell r="I211" t="str">
            <v>T2部件</v>
          </cell>
          <cell r="J211">
            <v>6</v>
          </cell>
          <cell r="K211">
            <v>2.218735992828328E-2</v>
          </cell>
        </row>
        <row r="212">
          <cell r="I212" t="str">
            <v>T2部件</v>
          </cell>
          <cell r="J212">
            <v>6</v>
          </cell>
          <cell r="K212">
            <v>2.218735992828328E-2</v>
          </cell>
        </row>
        <row r="213">
          <cell r="I213" t="str">
            <v>T2部件</v>
          </cell>
          <cell r="J213">
            <v>6</v>
          </cell>
          <cell r="K213">
            <v>2.218735992828328E-2</v>
          </cell>
        </row>
        <row r="214">
          <cell r="I214" t="str">
            <v>T2部件</v>
          </cell>
          <cell r="J214">
            <v>6</v>
          </cell>
          <cell r="K214">
            <v>2.218735992828328E-2</v>
          </cell>
        </row>
        <row r="215">
          <cell r="I215" t="str">
            <v>T2部件</v>
          </cell>
          <cell r="J215">
            <v>6</v>
          </cell>
          <cell r="K215">
            <v>2.218735992828328E-2</v>
          </cell>
        </row>
        <row r="216">
          <cell r="I216" t="str">
            <v>T2部件</v>
          </cell>
          <cell r="J216">
            <v>6</v>
          </cell>
          <cell r="K216">
            <v>2.218735992828328E-2</v>
          </cell>
        </row>
        <row r="217">
          <cell r="I217" t="str">
            <v>T2部件</v>
          </cell>
          <cell r="J217">
            <v>6</v>
          </cell>
          <cell r="K217">
            <v>2.218735992828328E-2</v>
          </cell>
        </row>
        <row r="218">
          <cell r="I218" t="str">
            <v>T2部件</v>
          </cell>
          <cell r="J218">
            <v>6</v>
          </cell>
          <cell r="K218">
            <v>2.218735992828328E-2</v>
          </cell>
        </row>
        <row r="219">
          <cell r="I219" t="str">
            <v>T2部件</v>
          </cell>
          <cell r="J219">
            <v>6</v>
          </cell>
          <cell r="K219">
            <v>2.218735992828328E-2</v>
          </cell>
        </row>
        <row r="220">
          <cell r="I220" t="str">
            <v>T3部件</v>
          </cell>
          <cell r="J220">
            <v>6</v>
          </cell>
          <cell r="K220">
            <v>1.1766024204392649E-2</v>
          </cell>
        </row>
        <row r="221">
          <cell r="I221" t="str">
            <v>T3部件</v>
          </cell>
          <cell r="J221">
            <v>6</v>
          </cell>
          <cell r="K221">
            <v>1.1766024204392649E-2</v>
          </cell>
        </row>
        <row r="222">
          <cell r="I222" t="str">
            <v>T3部件</v>
          </cell>
          <cell r="J222">
            <v>6</v>
          </cell>
          <cell r="K222">
            <v>1.1766024204392649E-2</v>
          </cell>
        </row>
        <row r="223">
          <cell r="I223" t="str">
            <v>T3部件</v>
          </cell>
          <cell r="J223">
            <v>6</v>
          </cell>
          <cell r="K223">
            <v>1.1766024204392649E-2</v>
          </cell>
        </row>
        <row r="224">
          <cell r="I224" t="str">
            <v>T3部件</v>
          </cell>
          <cell r="J224">
            <v>6</v>
          </cell>
          <cell r="K224">
            <v>1.1766024204392649E-2</v>
          </cell>
        </row>
        <row r="225">
          <cell r="I225" t="str">
            <v>T3部件</v>
          </cell>
          <cell r="J225">
            <v>6</v>
          </cell>
          <cell r="K225">
            <v>1.1766024204392649E-2</v>
          </cell>
        </row>
        <row r="226">
          <cell r="I226" t="str">
            <v>T3部件</v>
          </cell>
          <cell r="J226">
            <v>6</v>
          </cell>
          <cell r="K226">
            <v>1.1766024204392649E-2</v>
          </cell>
        </row>
        <row r="227">
          <cell r="I227" t="str">
            <v>T3部件</v>
          </cell>
          <cell r="J227">
            <v>6</v>
          </cell>
          <cell r="K227">
            <v>1.1766024204392649E-2</v>
          </cell>
        </row>
        <row r="228">
          <cell r="I228" t="str">
            <v>T3部件</v>
          </cell>
          <cell r="J228">
            <v>6</v>
          </cell>
          <cell r="K228">
            <v>1.1766024204392649E-2</v>
          </cell>
        </row>
        <row r="229">
          <cell r="I229" t="str">
            <v>T0坦克</v>
          </cell>
          <cell r="J229">
            <v>6</v>
          </cell>
          <cell r="K229">
            <v>1.2438368444643657E-2</v>
          </cell>
        </row>
        <row r="230">
          <cell r="I230" t="str">
            <v>T0坦克</v>
          </cell>
          <cell r="J230">
            <v>6</v>
          </cell>
          <cell r="K230">
            <v>1.2438368444643657E-2</v>
          </cell>
        </row>
        <row r="231">
          <cell r="I231" t="str">
            <v>T1碎片</v>
          </cell>
          <cell r="J231">
            <v>7</v>
          </cell>
          <cell r="K231">
            <v>0.46471600688468151</v>
          </cell>
        </row>
        <row r="232">
          <cell r="I232" t="str">
            <v>T1碎片</v>
          </cell>
          <cell r="J232">
            <v>7</v>
          </cell>
          <cell r="K232">
            <v>0.46471600688468151</v>
          </cell>
        </row>
        <row r="233">
          <cell r="I233" t="str">
            <v>T1碎片</v>
          </cell>
          <cell r="J233">
            <v>7</v>
          </cell>
          <cell r="K233">
            <v>0.46471600688468151</v>
          </cell>
        </row>
        <row r="234">
          <cell r="I234" t="str">
            <v>T2碎片</v>
          </cell>
          <cell r="J234">
            <v>7</v>
          </cell>
          <cell r="K234">
            <v>9.1795754446356848E-2</v>
          </cell>
        </row>
        <row r="235">
          <cell r="I235" t="str">
            <v>T2碎片</v>
          </cell>
          <cell r="J235">
            <v>7</v>
          </cell>
          <cell r="K235">
            <v>9.1795754446356848E-2</v>
          </cell>
        </row>
        <row r="236">
          <cell r="I236" t="str">
            <v>T2碎片</v>
          </cell>
          <cell r="J236">
            <v>7</v>
          </cell>
          <cell r="K236">
            <v>9.1795754446356848E-2</v>
          </cell>
        </row>
        <row r="237">
          <cell r="I237" t="str">
            <v>T3碎片</v>
          </cell>
          <cell r="J237">
            <v>7</v>
          </cell>
          <cell r="K237">
            <v>0.53241537578886977</v>
          </cell>
        </row>
        <row r="238">
          <cell r="I238" t="str">
            <v>T3碎片</v>
          </cell>
          <cell r="J238">
            <v>7</v>
          </cell>
          <cell r="K238">
            <v>0.53241537578886977</v>
          </cell>
        </row>
        <row r="239">
          <cell r="I239" t="str">
            <v>T3碎片</v>
          </cell>
          <cell r="J239">
            <v>7</v>
          </cell>
          <cell r="K239">
            <v>0.53241537578886977</v>
          </cell>
        </row>
        <row r="240">
          <cell r="I240" t="str">
            <v>T3碎片</v>
          </cell>
          <cell r="J240">
            <v>7</v>
          </cell>
          <cell r="K240">
            <v>0.26678141135972461</v>
          </cell>
        </row>
        <row r="241">
          <cell r="I241" t="str">
            <v>T3碎片</v>
          </cell>
          <cell r="J241">
            <v>7</v>
          </cell>
          <cell r="K241">
            <v>0.26678141135972461</v>
          </cell>
        </row>
        <row r="242">
          <cell r="I242" t="str">
            <v>T3碎片</v>
          </cell>
          <cell r="J242">
            <v>7</v>
          </cell>
          <cell r="K242">
            <v>0.26678141135972461</v>
          </cell>
        </row>
        <row r="243">
          <cell r="I243" t="str">
            <v>T1部件</v>
          </cell>
          <cell r="J243">
            <v>7</v>
          </cell>
          <cell r="K243">
            <v>3.5283993115318414E-2</v>
          </cell>
        </row>
        <row r="244">
          <cell r="I244" t="str">
            <v>T1部件</v>
          </cell>
          <cell r="J244">
            <v>7</v>
          </cell>
          <cell r="K244">
            <v>3.5283993115318414E-2</v>
          </cell>
        </row>
        <row r="245">
          <cell r="I245" t="str">
            <v>T1部件</v>
          </cell>
          <cell r="J245">
            <v>7</v>
          </cell>
          <cell r="K245">
            <v>3.5283993115318414E-2</v>
          </cell>
        </row>
        <row r="246">
          <cell r="I246" t="str">
            <v>T1部件</v>
          </cell>
          <cell r="J246">
            <v>7</v>
          </cell>
          <cell r="K246">
            <v>3.5283993115318414E-2</v>
          </cell>
        </row>
        <row r="247">
          <cell r="I247" t="str">
            <v>T1部件</v>
          </cell>
          <cell r="J247">
            <v>7</v>
          </cell>
          <cell r="K247">
            <v>3.5283993115318414E-2</v>
          </cell>
        </row>
        <row r="248">
          <cell r="I248" t="str">
            <v>T1部件</v>
          </cell>
          <cell r="J248">
            <v>7</v>
          </cell>
          <cell r="K248">
            <v>3.5283993115318414E-2</v>
          </cell>
        </row>
        <row r="249">
          <cell r="I249" t="str">
            <v>T1部件</v>
          </cell>
          <cell r="J249">
            <v>7</v>
          </cell>
          <cell r="K249">
            <v>3.5283993115318414E-2</v>
          </cell>
        </row>
        <row r="250">
          <cell r="I250" t="str">
            <v>T1部件</v>
          </cell>
          <cell r="J250">
            <v>7</v>
          </cell>
          <cell r="K250">
            <v>3.5283993115318414E-2</v>
          </cell>
        </row>
        <row r="251">
          <cell r="I251" t="str">
            <v>T1部件</v>
          </cell>
          <cell r="J251">
            <v>7</v>
          </cell>
          <cell r="K251">
            <v>3.5283993115318414E-2</v>
          </cell>
        </row>
        <row r="252">
          <cell r="I252" t="str">
            <v>T1部件</v>
          </cell>
          <cell r="J252">
            <v>7</v>
          </cell>
          <cell r="K252">
            <v>3.5283993115318414E-2</v>
          </cell>
        </row>
        <row r="253">
          <cell r="I253" t="str">
            <v>T1部件</v>
          </cell>
          <cell r="J253">
            <v>7</v>
          </cell>
          <cell r="K253">
            <v>3.5283993115318414E-2</v>
          </cell>
        </row>
        <row r="254">
          <cell r="I254" t="str">
            <v>T1部件</v>
          </cell>
          <cell r="J254">
            <v>7</v>
          </cell>
          <cell r="K254">
            <v>3.5283993115318414E-2</v>
          </cell>
        </row>
        <row r="255">
          <cell r="I255" t="str">
            <v>T1部件</v>
          </cell>
          <cell r="J255">
            <v>7</v>
          </cell>
          <cell r="K255">
            <v>3.5283993115318414E-2</v>
          </cell>
        </row>
        <row r="256">
          <cell r="I256" t="str">
            <v>T1部件</v>
          </cell>
          <cell r="J256">
            <v>7</v>
          </cell>
          <cell r="K256">
            <v>3.5283993115318414E-2</v>
          </cell>
        </row>
        <row r="257">
          <cell r="I257" t="str">
            <v>T1部件</v>
          </cell>
          <cell r="J257">
            <v>7</v>
          </cell>
          <cell r="K257">
            <v>3.5283993115318414E-2</v>
          </cell>
        </row>
        <row r="258">
          <cell r="I258" t="str">
            <v>T1部件</v>
          </cell>
          <cell r="J258">
            <v>7</v>
          </cell>
          <cell r="K258">
            <v>3.5283993115318414E-2</v>
          </cell>
        </row>
        <row r="259">
          <cell r="I259" t="str">
            <v>T1部件</v>
          </cell>
          <cell r="J259">
            <v>7</v>
          </cell>
          <cell r="K259">
            <v>3.5283993115318414E-2</v>
          </cell>
        </row>
        <row r="260">
          <cell r="I260" t="str">
            <v>T1部件</v>
          </cell>
          <cell r="J260">
            <v>7</v>
          </cell>
          <cell r="K260">
            <v>3.5283993115318414E-2</v>
          </cell>
        </row>
        <row r="261">
          <cell r="I261" t="str">
            <v>T2部件</v>
          </cell>
          <cell r="J261">
            <v>7</v>
          </cell>
          <cell r="K261">
            <v>1.6351118760757316E-2</v>
          </cell>
        </row>
        <row r="262">
          <cell r="I262" t="str">
            <v>T2部件</v>
          </cell>
          <cell r="J262">
            <v>7</v>
          </cell>
          <cell r="K262">
            <v>1.6351118760757316E-2</v>
          </cell>
        </row>
        <row r="263">
          <cell r="I263" t="str">
            <v>T2部件</v>
          </cell>
          <cell r="J263">
            <v>7</v>
          </cell>
          <cell r="K263">
            <v>1.6351118760757316E-2</v>
          </cell>
        </row>
        <row r="264">
          <cell r="I264" t="str">
            <v>T2部件</v>
          </cell>
          <cell r="J264">
            <v>7</v>
          </cell>
          <cell r="K264">
            <v>1.6351118760757316E-2</v>
          </cell>
        </row>
        <row r="265">
          <cell r="I265" t="str">
            <v>T2部件</v>
          </cell>
          <cell r="J265">
            <v>7</v>
          </cell>
          <cell r="K265">
            <v>1.6351118760757316E-2</v>
          </cell>
        </row>
        <row r="266">
          <cell r="I266" t="str">
            <v>T2部件</v>
          </cell>
          <cell r="J266">
            <v>7</v>
          </cell>
          <cell r="K266">
            <v>1.6351118760757316E-2</v>
          </cell>
        </row>
        <row r="267">
          <cell r="I267" t="str">
            <v>T2部件</v>
          </cell>
          <cell r="J267">
            <v>7</v>
          </cell>
          <cell r="K267">
            <v>1.6351118760757316E-2</v>
          </cell>
        </row>
        <row r="268">
          <cell r="I268" t="str">
            <v>T2部件</v>
          </cell>
          <cell r="J268">
            <v>7</v>
          </cell>
          <cell r="K268">
            <v>1.6351118760757316E-2</v>
          </cell>
        </row>
        <row r="269">
          <cell r="I269" t="str">
            <v>T2部件</v>
          </cell>
          <cell r="J269">
            <v>7</v>
          </cell>
          <cell r="K269">
            <v>1.6351118760757316E-2</v>
          </cell>
        </row>
        <row r="270">
          <cell r="I270" t="str">
            <v>T2部件</v>
          </cell>
          <cell r="J270">
            <v>7</v>
          </cell>
          <cell r="K270">
            <v>1.6351118760757316E-2</v>
          </cell>
        </row>
        <row r="271">
          <cell r="I271" t="str">
            <v>T2部件</v>
          </cell>
          <cell r="J271">
            <v>7</v>
          </cell>
          <cell r="K271">
            <v>1.6351118760757316E-2</v>
          </cell>
        </row>
        <row r="272">
          <cell r="I272" t="str">
            <v>T2部件</v>
          </cell>
          <cell r="J272">
            <v>7</v>
          </cell>
          <cell r="K272">
            <v>1.6351118760757316E-2</v>
          </cell>
        </row>
        <row r="273">
          <cell r="I273" t="str">
            <v>T2部件</v>
          </cell>
          <cell r="J273">
            <v>7</v>
          </cell>
          <cell r="K273">
            <v>1.6351118760757316E-2</v>
          </cell>
        </row>
        <row r="274">
          <cell r="I274" t="str">
            <v>T2部件</v>
          </cell>
          <cell r="J274">
            <v>7</v>
          </cell>
          <cell r="K274">
            <v>1.6351118760757316E-2</v>
          </cell>
        </row>
        <row r="275">
          <cell r="I275" t="str">
            <v>T2部件</v>
          </cell>
          <cell r="J275">
            <v>7</v>
          </cell>
          <cell r="K275">
            <v>1.6351118760757316E-2</v>
          </cell>
        </row>
        <row r="276">
          <cell r="I276" t="str">
            <v>T2部件</v>
          </cell>
          <cell r="J276">
            <v>7</v>
          </cell>
          <cell r="K276">
            <v>1.6351118760757316E-2</v>
          </cell>
        </row>
        <row r="277">
          <cell r="I277" t="str">
            <v>T2部件</v>
          </cell>
          <cell r="J277">
            <v>7</v>
          </cell>
          <cell r="K277">
            <v>1.6351118760757316E-2</v>
          </cell>
        </row>
        <row r="278">
          <cell r="I278" t="str">
            <v>T2部件</v>
          </cell>
          <cell r="J278">
            <v>7</v>
          </cell>
          <cell r="K278">
            <v>1.6351118760757316E-2</v>
          </cell>
        </row>
        <row r="279">
          <cell r="I279" t="str">
            <v>T3部件</v>
          </cell>
          <cell r="J279">
            <v>7</v>
          </cell>
          <cell r="K279">
            <v>8.6058519793459562E-3</v>
          </cell>
        </row>
        <row r="280">
          <cell r="I280" t="str">
            <v>T3部件</v>
          </cell>
          <cell r="J280">
            <v>7</v>
          </cell>
          <cell r="K280">
            <v>8.6058519793459562E-3</v>
          </cell>
        </row>
        <row r="281">
          <cell r="I281" t="str">
            <v>T3部件</v>
          </cell>
          <cell r="J281">
            <v>7</v>
          </cell>
          <cell r="K281">
            <v>8.6058519793459562E-3</v>
          </cell>
        </row>
        <row r="282">
          <cell r="I282" t="str">
            <v>T3部件</v>
          </cell>
          <cell r="J282">
            <v>7</v>
          </cell>
          <cell r="K282">
            <v>8.6058519793459562E-3</v>
          </cell>
        </row>
        <row r="283">
          <cell r="I283" t="str">
            <v>T3部件</v>
          </cell>
          <cell r="J283">
            <v>7</v>
          </cell>
          <cell r="K283">
            <v>8.6058519793459562E-3</v>
          </cell>
        </row>
        <row r="284">
          <cell r="I284" t="str">
            <v>T3部件</v>
          </cell>
          <cell r="J284">
            <v>7</v>
          </cell>
          <cell r="K284">
            <v>8.6058519793459562E-3</v>
          </cell>
        </row>
        <row r="285">
          <cell r="I285" t="str">
            <v>T3部件</v>
          </cell>
          <cell r="J285">
            <v>7</v>
          </cell>
          <cell r="K285">
            <v>8.6058519793459562E-3</v>
          </cell>
        </row>
        <row r="286">
          <cell r="I286" t="str">
            <v>T3部件</v>
          </cell>
          <cell r="J286">
            <v>7</v>
          </cell>
          <cell r="K286">
            <v>8.6058519793459562E-3</v>
          </cell>
        </row>
        <row r="287">
          <cell r="I287" t="str">
            <v>T3部件</v>
          </cell>
          <cell r="J287">
            <v>7</v>
          </cell>
          <cell r="K287">
            <v>8.6058519793459562E-3</v>
          </cell>
        </row>
        <row r="288">
          <cell r="I288" t="str">
            <v>T3部件</v>
          </cell>
          <cell r="J288">
            <v>7</v>
          </cell>
          <cell r="K288">
            <v>8.6058519793459562E-3</v>
          </cell>
        </row>
        <row r="289">
          <cell r="I289" t="str">
            <v>T3部件</v>
          </cell>
          <cell r="J289">
            <v>7</v>
          </cell>
          <cell r="K289">
            <v>8.6058519793459562E-3</v>
          </cell>
        </row>
        <row r="290">
          <cell r="I290" t="str">
            <v>T3部件</v>
          </cell>
          <cell r="J290">
            <v>7</v>
          </cell>
          <cell r="K290">
            <v>8.6058519793459562E-3</v>
          </cell>
        </row>
        <row r="291">
          <cell r="I291" t="str">
            <v>T3部件</v>
          </cell>
          <cell r="J291">
            <v>7</v>
          </cell>
          <cell r="K291">
            <v>8.6058519793459562E-3</v>
          </cell>
        </row>
        <row r="292">
          <cell r="I292" t="str">
            <v>T3部件</v>
          </cell>
          <cell r="J292">
            <v>7</v>
          </cell>
          <cell r="K292">
            <v>8.6058519793459562E-3</v>
          </cell>
        </row>
        <row r="293">
          <cell r="I293" t="str">
            <v>T3部件</v>
          </cell>
          <cell r="J293">
            <v>7</v>
          </cell>
          <cell r="K293">
            <v>8.6058519793459562E-3</v>
          </cell>
        </row>
        <row r="294">
          <cell r="I294" t="str">
            <v>T3部件</v>
          </cell>
          <cell r="J294">
            <v>7</v>
          </cell>
          <cell r="K294">
            <v>8.6058519793459562E-3</v>
          </cell>
        </row>
        <row r="295">
          <cell r="I295" t="str">
            <v>T3部件</v>
          </cell>
          <cell r="J295">
            <v>7</v>
          </cell>
          <cell r="K295">
            <v>8.6058519793459562E-3</v>
          </cell>
        </row>
        <row r="296">
          <cell r="I296" t="str">
            <v>T3部件</v>
          </cell>
          <cell r="J296">
            <v>7</v>
          </cell>
          <cell r="K296">
            <v>8.6058519793459562E-3</v>
          </cell>
        </row>
        <row r="297">
          <cell r="I297" t="str">
            <v>T0坦克</v>
          </cell>
          <cell r="J297">
            <v>7</v>
          </cell>
          <cell r="K297">
            <v>1.0613884107860011E-2</v>
          </cell>
        </row>
        <row r="298">
          <cell r="I298" t="str">
            <v>T0坦克</v>
          </cell>
          <cell r="J298">
            <v>7</v>
          </cell>
          <cell r="K298">
            <v>1.3482501434308663E-2</v>
          </cell>
        </row>
        <row r="299">
          <cell r="I299" t="str">
            <v>T1碎片</v>
          </cell>
          <cell r="J299">
            <v>8</v>
          </cell>
          <cell r="K299">
            <v>0.46471600688468151</v>
          </cell>
        </row>
        <row r="300">
          <cell r="I300" t="str">
            <v>T1碎片</v>
          </cell>
          <cell r="J300">
            <v>8</v>
          </cell>
          <cell r="K300">
            <v>0.46471600688468151</v>
          </cell>
        </row>
        <row r="301">
          <cell r="I301" t="str">
            <v>T1碎片</v>
          </cell>
          <cell r="J301">
            <v>8</v>
          </cell>
          <cell r="K301">
            <v>0.46471600688468151</v>
          </cell>
        </row>
        <row r="302">
          <cell r="I302" t="str">
            <v>T2碎片</v>
          </cell>
          <cell r="J302">
            <v>8</v>
          </cell>
          <cell r="K302">
            <v>9.1795754446356848E-2</v>
          </cell>
        </row>
        <row r="303">
          <cell r="I303" t="str">
            <v>T2碎片</v>
          </cell>
          <cell r="J303">
            <v>8</v>
          </cell>
          <cell r="K303">
            <v>9.1795754446356848E-2</v>
          </cell>
        </row>
        <row r="304">
          <cell r="I304" t="str">
            <v>T2碎片</v>
          </cell>
          <cell r="J304">
            <v>8</v>
          </cell>
          <cell r="K304">
            <v>9.1795754446356848E-2</v>
          </cell>
        </row>
        <row r="305">
          <cell r="I305" t="str">
            <v>T3碎片</v>
          </cell>
          <cell r="J305">
            <v>8</v>
          </cell>
          <cell r="K305">
            <v>0.53241537578886977</v>
          </cell>
        </row>
        <row r="306">
          <cell r="I306" t="str">
            <v>T3碎片</v>
          </cell>
          <cell r="J306">
            <v>8</v>
          </cell>
          <cell r="K306">
            <v>0.53241537578886977</v>
          </cell>
        </row>
        <row r="307">
          <cell r="I307" t="str">
            <v>T3碎片</v>
          </cell>
          <cell r="J307">
            <v>8</v>
          </cell>
          <cell r="K307">
            <v>0.53241537578886977</v>
          </cell>
        </row>
        <row r="308">
          <cell r="I308" t="str">
            <v>T3碎片</v>
          </cell>
          <cell r="J308">
            <v>8</v>
          </cell>
          <cell r="K308">
            <v>0.26678141135972461</v>
          </cell>
        </row>
        <row r="309">
          <cell r="I309" t="str">
            <v>T3碎片</v>
          </cell>
          <cell r="J309">
            <v>8</v>
          </cell>
          <cell r="K309">
            <v>0.26678141135972461</v>
          </cell>
        </row>
        <row r="310">
          <cell r="I310" t="str">
            <v>T3碎片</v>
          </cell>
          <cell r="J310">
            <v>8</v>
          </cell>
          <cell r="K310">
            <v>0.26678141135972461</v>
          </cell>
        </row>
        <row r="311">
          <cell r="I311" t="str">
            <v>T1部件</v>
          </cell>
          <cell r="J311">
            <v>8</v>
          </cell>
          <cell r="K311">
            <v>3.5283993115318414E-2</v>
          </cell>
        </row>
        <row r="312">
          <cell r="I312" t="str">
            <v>T1部件</v>
          </cell>
          <cell r="J312">
            <v>8</v>
          </cell>
          <cell r="K312">
            <v>3.5283993115318414E-2</v>
          </cell>
        </row>
        <row r="313">
          <cell r="I313" t="str">
            <v>T1部件</v>
          </cell>
          <cell r="J313">
            <v>8</v>
          </cell>
          <cell r="K313">
            <v>3.5283993115318414E-2</v>
          </cell>
        </row>
        <row r="314">
          <cell r="I314" t="str">
            <v>T1部件</v>
          </cell>
          <cell r="J314">
            <v>8</v>
          </cell>
          <cell r="K314">
            <v>3.5283993115318414E-2</v>
          </cell>
        </row>
        <row r="315">
          <cell r="I315" t="str">
            <v>T1部件</v>
          </cell>
          <cell r="J315">
            <v>8</v>
          </cell>
          <cell r="K315">
            <v>3.5283993115318414E-2</v>
          </cell>
        </row>
        <row r="316">
          <cell r="I316" t="str">
            <v>T1部件</v>
          </cell>
          <cell r="J316">
            <v>8</v>
          </cell>
          <cell r="K316">
            <v>3.5283993115318414E-2</v>
          </cell>
        </row>
        <row r="317">
          <cell r="I317" t="str">
            <v>T1部件</v>
          </cell>
          <cell r="J317">
            <v>8</v>
          </cell>
          <cell r="K317">
            <v>3.5283993115318414E-2</v>
          </cell>
        </row>
        <row r="318">
          <cell r="I318" t="str">
            <v>T1部件</v>
          </cell>
          <cell r="J318">
            <v>8</v>
          </cell>
          <cell r="K318">
            <v>3.5283993115318414E-2</v>
          </cell>
        </row>
        <row r="319">
          <cell r="I319" t="str">
            <v>T1部件</v>
          </cell>
          <cell r="J319">
            <v>8</v>
          </cell>
          <cell r="K319">
            <v>3.5283993115318414E-2</v>
          </cell>
        </row>
        <row r="320">
          <cell r="I320" t="str">
            <v>T1部件</v>
          </cell>
          <cell r="J320">
            <v>8</v>
          </cell>
          <cell r="K320">
            <v>3.5283993115318414E-2</v>
          </cell>
        </row>
        <row r="321">
          <cell r="I321" t="str">
            <v>T1部件</v>
          </cell>
          <cell r="J321">
            <v>8</v>
          </cell>
          <cell r="K321">
            <v>3.5283993115318414E-2</v>
          </cell>
        </row>
        <row r="322">
          <cell r="I322" t="str">
            <v>T1部件</v>
          </cell>
          <cell r="J322">
            <v>8</v>
          </cell>
          <cell r="K322">
            <v>3.5283993115318414E-2</v>
          </cell>
        </row>
        <row r="323">
          <cell r="I323" t="str">
            <v>T1部件</v>
          </cell>
          <cell r="J323">
            <v>8</v>
          </cell>
          <cell r="K323">
            <v>3.5283993115318414E-2</v>
          </cell>
        </row>
        <row r="324">
          <cell r="I324" t="str">
            <v>T1部件</v>
          </cell>
          <cell r="J324">
            <v>8</v>
          </cell>
          <cell r="K324">
            <v>3.5283993115318414E-2</v>
          </cell>
        </row>
        <row r="325">
          <cell r="I325" t="str">
            <v>T1部件</v>
          </cell>
          <cell r="J325">
            <v>8</v>
          </cell>
          <cell r="K325">
            <v>3.5283993115318414E-2</v>
          </cell>
        </row>
        <row r="326">
          <cell r="I326" t="str">
            <v>T1部件</v>
          </cell>
          <cell r="J326">
            <v>8</v>
          </cell>
          <cell r="K326">
            <v>3.5283993115318414E-2</v>
          </cell>
        </row>
        <row r="327">
          <cell r="I327" t="str">
            <v>T1部件</v>
          </cell>
          <cell r="J327">
            <v>8</v>
          </cell>
          <cell r="K327">
            <v>3.5283993115318414E-2</v>
          </cell>
        </row>
        <row r="328">
          <cell r="I328" t="str">
            <v>T1部件</v>
          </cell>
          <cell r="J328">
            <v>8</v>
          </cell>
          <cell r="K328">
            <v>3.5283993115318414E-2</v>
          </cell>
        </row>
        <row r="329">
          <cell r="I329" t="str">
            <v>T2部件</v>
          </cell>
          <cell r="J329">
            <v>8</v>
          </cell>
          <cell r="K329">
            <v>1.6351118760757316E-2</v>
          </cell>
        </row>
        <row r="330">
          <cell r="I330" t="str">
            <v>T2部件</v>
          </cell>
          <cell r="J330">
            <v>8</v>
          </cell>
          <cell r="K330">
            <v>1.6351118760757316E-2</v>
          </cell>
        </row>
        <row r="331">
          <cell r="I331" t="str">
            <v>T2部件</v>
          </cell>
          <cell r="J331">
            <v>8</v>
          </cell>
          <cell r="K331">
            <v>1.6351118760757316E-2</v>
          </cell>
        </row>
        <row r="332">
          <cell r="I332" t="str">
            <v>T2部件</v>
          </cell>
          <cell r="J332">
            <v>8</v>
          </cell>
          <cell r="K332">
            <v>1.6351118760757316E-2</v>
          </cell>
        </row>
        <row r="333">
          <cell r="I333" t="str">
            <v>T2部件</v>
          </cell>
          <cell r="J333">
            <v>8</v>
          </cell>
          <cell r="K333">
            <v>1.6351118760757316E-2</v>
          </cell>
        </row>
        <row r="334">
          <cell r="I334" t="str">
            <v>T2部件</v>
          </cell>
          <cell r="J334">
            <v>8</v>
          </cell>
          <cell r="K334">
            <v>1.6351118760757316E-2</v>
          </cell>
        </row>
        <row r="335">
          <cell r="I335" t="str">
            <v>T2部件</v>
          </cell>
          <cell r="J335">
            <v>8</v>
          </cell>
          <cell r="K335">
            <v>1.6351118760757316E-2</v>
          </cell>
        </row>
        <row r="336">
          <cell r="I336" t="str">
            <v>T2部件</v>
          </cell>
          <cell r="J336">
            <v>8</v>
          </cell>
          <cell r="K336">
            <v>1.6351118760757316E-2</v>
          </cell>
        </row>
        <row r="337">
          <cell r="I337" t="str">
            <v>T2部件</v>
          </cell>
          <cell r="J337">
            <v>8</v>
          </cell>
          <cell r="K337">
            <v>1.6351118760757316E-2</v>
          </cell>
        </row>
        <row r="338">
          <cell r="I338" t="str">
            <v>T2部件</v>
          </cell>
          <cell r="J338">
            <v>8</v>
          </cell>
          <cell r="K338">
            <v>1.6351118760757316E-2</v>
          </cell>
        </row>
        <row r="339">
          <cell r="I339" t="str">
            <v>T2部件</v>
          </cell>
          <cell r="J339">
            <v>8</v>
          </cell>
          <cell r="K339">
            <v>1.6351118760757316E-2</v>
          </cell>
        </row>
        <row r="340">
          <cell r="I340" t="str">
            <v>T2部件</v>
          </cell>
          <cell r="J340">
            <v>8</v>
          </cell>
          <cell r="K340">
            <v>1.6351118760757316E-2</v>
          </cell>
        </row>
        <row r="341">
          <cell r="I341" t="str">
            <v>T2部件</v>
          </cell>
          <cell r="J341">
            <v>8</v>
          </cell>
          <cell r="K341">
            <v>1.6351118760757316E-2</v>
          </cell>
        </row>
        <row r="342">
          <cell r="I342" t="str">
            <v>T2部件</v>
          </cell>
          <cell r="J342">
            <v>8</v>
          </cell>
          <cell r="K342">
            <v>1.6351118760757316E-2</v>
          </cell>
        </row>
        <row r="343">
          <cell r="I343" t="str">
            <v>T2部件</v>
          </cell>
          <cell r="J343">
            <v>8</v>
          </cell>
          <cell r="K343">
            <v>1.6351118760757316E-2</v>
          </cell>
        </row>
        <row r="344">
          <cell r="I344" t="str">
            <v>T2部件</v>
          </cell>
          <cell r="J344">
            <v>8</v>
          </cell>
          <cell r="K344">
            <v>1.6351118760757316E-2</v>
          </cell>
        </row>
        <row r="345">
          <cell r="I345" t="str">
            <v>T2部件</v>
          </cell>
          <cell r="J345">
            <v>8</v>
          </cell>
          <cell r="K345">
            <v>1.6351118760757316E-2</v>
          </cell>
        </row>
        <row r="346">
          <cell r="I346" t="str">
            <v>T2部件</v>
          </cell>
          <cell r="J346">
            <v>8</v>
          </cell>
          <cell r="K346">
            <v>1.6351118760757316E-2</v>
          </cell>
        </row>
        <row r="347">
          <cell r="I347" t="str">
            <v>T3部件</v>
          </cell>
          <cell r="J347">
            <v>8</v>
          </cell>
          <cell r="K347">
            <v>8.6058519793459562E-3</v>
          </cell>
        </row>
        <row r="348">
          <cell r="I348" t="str">
            <v>T3部件</v>
          </cell>
          <cell r="J348">
            <v>8</v>
          </cell>
          <cell r="K348">
            <v>8.6058519793459562E-3</v>
          </cell>
        </row>
        <row r="349">
          <cell r="I349" t="str">
            <v>T3部件</v>
          </cell>
          <cell r="J349">
            <v>8</v>
          </cell>
          <cell r="K349">
            <v>8.6058519793459562E-3</v>
          </cell>
        </row>
        <row r="350">
          <cell r="I350" t="str">
            <v>T3部件</v>
          </cell>
          <cell r="J350">
            <v>8</v>
          </cell>
          <cell r="K350">
            <v>8.6058519793459562E-3</v>
          </cell>
        </row>
        <row r="351">
          <cell r="I351" t="str">
            <v>T3部件</v>
          </cell>
          <cell r="J351">
            <v>8</v>
          </cell>
          <cell r="K351">
            <v>8.6058519793459562E-3</v>
          </cell>
        </row>
        <row r="352">
          <cell r="I352" t="str">
            <v>T3部件</v>
          </cell>
          <cell r="J352">
            <v>8</v>
          </cell>
          <cell r="K352">
            <v>8.6058519793459562E-3</v>
          </cell>
        </row>
        <row r="353">
          <cell r="I353" t="str">
            <v>T3部件</v>
          </cell>
          <cell r="J353">
            <v>8</v>
          </cell>
          <cell r="K353">
            <v>8.6058519793459562E-3</v>
          </cell>
        </row>
        <row r="354">
          <cell r="I354" t="str">
            <v>T3部件</v>
          </cell>
          <cell r="J354">
            <v>8</v>
          </cell>
          <cell r="K354">
            <v>8.6058519793459562E-3</v>
          </cell>
        </row>
        <row r="355">
          <cell r="I355" t="str">
            <v>T3部件</v>
          </cell>
          <cell r="J355">
            <v>8</v>
          </cell>
          <cell r="K355">
            <v>8.6058519793459562E-3</v>
          </cell>
        </row>
        <row r="356">
          <cell r="I356" t="str">
            <v>T3部件</v>
          </cell>
          <cell r="J356">
            <v>8</v>
          </cell>
          <cell r="K356">
            <v>8.6058519793459562E-3</v>
          </cell>
        </row>
        <row r="357">
          <cell r="I357" t="str">
            <v>T3部件</v>
          </cell>
          <cell r="J357">
            <v>8</v>
          </cell>
          <cell r="K357">
            <v>8.6058519793459562E-3</v>
          </cell>
        </row>
        <row r="358">
          <cell r="I358" t="str">
            <v>T3部件</v>
          </cell>
          <cell r="J358">
            <v>8</v>
          </cell>
          <cell r="K358">
            <v>8.6058519793459562E-3</v>
          </cell>
        </row>
        <row r="359">
          <cell r="I359" t="str">
            <v>T3部件</v>
          </cell>
          <cell r="J359">
            <v>8</v>
          </cell>
          <cell r="K359">
            <v>8.6058519793459562E-3</v>
          </cell>
        </row>
        <row r="360">
          <cell r="I360" t="str">
            <v>T3部件</v>
          </cell>
          <cell r="J360">
            <v>8</v>
          </cell>
          <cell r="K360">
            <v>8.6058519793459562E-3</v>
          </cell>
        </row>
        <row r="361">
          <cell r="I361" t="str">
            <v>T3部件</v>
          </cell>
          <cell r="J361">
            <v>8</v>
          </cell>
          <cell r="K361">
            <v>8.6058519793459562E-3</v>
          </cell>
        </row>
        <row r="362">
          <cell r="I362" t="str">
            <v>T3部件</v>
          </cell>
          <cell r="J362">
            <v>8</v>
          </cell>
          <cell r="K362">
            <v>8.6058519793459562E-3</v>
          </cell>
        </row>
        <row r="363">
          <cell r="I363" t="str">
            <v>T3部件</v>
          </cell>
          <cell r="J363">
            <v>8</v>
          </cell>
          <cell r="K363">
            <v>8.6058519793459562E-3</v>
          </cell>
        </row>
        <row r="364">
          <cell r="I364" t="str">
            <v>T3部件</v>
          </cell>
          <cell r="J364">
            <v>8</v>
          </cell>
          <cell r="K364">
            <v>8.6058519793459562E-3</v>
          </cell>
        </row>
        <row r="365">
          <cell r="I365" t="str">
            <v>T0坦克</v>
          </cell>
          <cell r="J365">
            <v>8</v>
          </cell>
          <cell r="K365">
            <v>1.0613884107860011E-2</v>
          </cell>
        </row>
        <row r="366">
          <cell r="I366" t="str">
            <v>T0坦克</v>
          </cell>
          <cell r="J366">
            <v>8</v>
          </cell>
          <cell r="K366">
            <v>1.3482501434308663E-2</v>
          </cell>
        </row>
        <row r="367">
          <cell r="I367" t="str">
            <v>T1碎片</v>
          </cell>
          <cell r="J367">
            <v>9</v>
          </cell>
          <cell r="K367">
            <v>0.46471600688468151</v>
          </cell>
        </row>
        <row r="368">
          <cell r="I368" t="str">
            <v>T1碎片</v>
          </cell>
          <cell r="J368">
            <v>9</v>
          </cell>
          <cell r="K368">
            <v>0.46471600688468151</v>
          </cell>
        </row>
        <row r="369">
          <cell r="I369" t="str">
            <v>T1碎片</v>
          </cell>
          <cell r="J369">
            <v>9</v>
          </cell>
          <cell r="K369">
            <v>0.46471600688468151</v>
          </cell>
        </row>
        <row r="370">
          <cell r="I370" t="str">
            <v>T2碎片</v>
          </cell>
          <cell r="J370">
            <v>9</v>
          </cell>
          <cell r="K370">
            <v>9.1795754446356848E-2</v>
          </cell>
        </row>
        <row r="371">
          <cell r="I371" t="str">
            <v>T2碎片</v>
          </cell>
          <cell r="J371">
            <v>9</v>
          </cell>
          <cell r="K371">
            <v>9.1795754446356848E-2</v>
          </cell>
        </row>
        <row r="372">
          <cell r="I372" t="str">
            <v>T2碎片</v>
          </cell>
          <cell r="J372">
            <v>9</v>
          </cell>
          <cell r="K372">
            <v>9.1795754446356848E-2</v>
          </cell>
        </row>
        <row r="373">
          <cell r="I373" t="str">
            <v>T3碎片</v>
          </cell>
          <cell r="J373">
            <v>9</v>
          </cell>
          <cell r="K373">
            <v>0.53241537578886977</v>
          </cell>
        </row>
        <row r="374">
          <cell r="I374" t="str">
            <v>T3碎片</v>
          </cell>
          <cell r="J374">
            <v>9</v>
          </cell>
          <cell r="K374">
            <v>0.53241537578886977</v>
          </cell>
        </row>
        <row r="375">
          <cell r="I375" t="str">
            <v>T3碎片</v>
          </cell>
          <cell r="J375">
            <v>9</v>
          </cell>
          <cell r="K375">
            <v>0.53241537578886977</v>
          </cell>
        </row>
        <row r="376">
          <cell r="I376" t="str">
            <v>T3碎片</v>
          </cell>
          <cell r="J376">
            <v>9</v>
          </cell>
          <cell r="K376">
            <v>0.26678141135972461</v>
          </cell>
        </row>
        <row r="377">
          <cell r="I377" t="str">
            <v>T3碎片</v>
          </cell>
          <cell r="J377">
            <v>9</v>
          </cell>
          <cell r="K377">
            <v>0.26678141135972461</v>
          </cell>
        </row>
        <row r="378">
          <cell r="I378" t="str">
            <v>T3碎片</v>
          </cell>
          <cell r="J378">
            <v>9</v>
          </cell>
          <cell r="K378">
            <v>0.26678141135972461</v>
          </cell>
        </row>
        <row r="379">
          <cell r="I379" t="str">
            <v>T1部件</v>
          </cell>
          <cell r="J379">
            <v>9</v>
          </cell>
          <cell r="K379">
            <v>3.5283993115318414E-2</v>
          </cell>
        </row>
        <row r="380">
          <cell r="I380" t="str">
            <v>T1部件</v>
          </cell>
          <cell r="J380">
            <v>9</v>
          </cell>
          <cell r="K380">
            <v>3.5283993115318414E-2</v>
          </cell>
        </row>
        <row r="381">
          <cell r="I381" t="str">
            <v>T1部件</v>
          </cell>
          <cell r="J381">
            <v>9</v>
          </cell>
          <cell r="K381">
            <v>3.5283993115318414E-2</v>
          </cell>
        </row>
        <row r="382">
          <cell r="I382" t="str">
            <v>T1部件</v>
          </cell>
          <cell r="J382">
            <v>9</v>
          </cell>
          <cell r="K382">
            <v>3.5283993115318414E-2</v>
          </cell>
        </row>
        <row r="383">
          <cell r="I383" t="str">
            <v>T1部件</v>
          </cell>
          <cell r="J383">
            <v>9</v>
          </cell>
          <cell r="K383">
            <v>3.5283993115318414E-2</v>
          </cell>
        </row>
        <row r="384">
          <cell r="I384" t="str">
            <v>T1部件</v>
          </cell>
          <cell r="J384">
            <v>9</v>
          </cell>
          <cell r="K384">
            <v>3.5283993115318414E-2</v>
          </cell>
        </row>
        <row r="385">
          <cell r="I385" t="str">
            <v>T1部件</v>
          </cell>
          <cell r="J385">
            <v>9</v>
          </cell>
          <cell r="K385">
            <v>3.5283993115318414E-2</v>
          </cell>
        </row>
        <row r="386">
          <cell r="I386" t="str">
            <v>T1部件</v>
          </cell>
          <cell r="J386">
            <v>9</v>
          </cell>
          <cell r="K386">
            <v>3.5283993115318414E-2</v>
          </cell>
        </row>
        <row r="387">
          <cell r="I387" t="str">
            <v>T1部件</v>
          </cell>
          <cell r="J387">
            <v>9</v>
          </cell>
          <cell r="K387">
            <v>3.5283993115318414E-2</v>
          </cell>
        </row>
        <row r="388">
          <cell r="I388" t="str">
            <v>T1部件</v>
          </cell>
          <cell r="J388">
            <v>9</v>
          </cell>
          <cell r="K388">
            <v>3.5283993115318414E-2</v>
          </cell>
        </row>
        <row r="389">
          <cell r="I389" t="str">
            <v>T1部件</v>
          </cell>
          <cell r="J389">
            <v>9</v>
          </cell>
          <cell r="K389">
            <v>3.5283993115318414E-2</v>
          </cell>
        </row>
        <row r="390">
          <cell r="I390" t="str">
            <v>T1部件</v>
          </cell>
          <cell r="J390">
            <v>9</v>
          </cell>
          <cell r="K390">
            <v>3.5283993115318414E-2</v>
          </cell>
        </row>
        <row r="391">
          <cell r="I391" t="str">
            <v>T1部件</v>
          </cell>
          <cell r="J391">
            <v>9</v>
          </cell>
          <cell r="K391">
            <v>3.5283993115318414E-2</v>
          </cell>
        </row>
        <row r="392">
          <cell r="I392" t="str">
            <v>T1部件</v>
          </cell>
          <cell r="J392">
            <v>9</v>
          </cell>
          <cell r="K392">
            <v>3.5283993115318414E-2</v>
          </cell>
        </row>
        <row r="393">
          <cell r="I393" t="str">
            <v>T1部件</v>
          </cell>
          <cell r="J393">
            <v>9</v>
          </cell>
          <cell r="K393">
            <v>3.5283993115318414E-2</v>
          </cell>
        </row>
        <row r="394">
          <cell r="I394" t="str">
            <v>T1部件</v>
          </cell>
          <cell r="J394">
            <v>9</v>
          </cell>
          <cell r="K394">
            <v>3.5283993115318414E-2</v>
          </cell>
        </row>
        <row r="395">
          <cell r="I395" t="str">
            <v>T1部件</v>
          </cell>
          <cell r="J395">
            <v>9</v>
          </cell>
          <cell r="K395">
            <v>3.5283993115318414E-2</v>
          </cell>
        </row>
        <row r="396">
          <cell r="I396" t="str">
            <v>T1部件</v>
          </cell>
          <cell r="J396">
            <v>9</v>
          </cell>
          <cell r="K396">
            <v>3.5283993115318414E-2</v>
          </cell>
        </row>
        <row r="397">
          <cell r="I397" t="str">
            <v>T2部件</v>
          </cell>
          <cell r="J397">
            <v>9</v>
          </cell>
          <cell r="K397">
            <v>1.6351118760757316E-2</v>
          </cell>
        </row>
        <row r="398">
          <cell r="I398" t="str">
            <v>T2部件</v>
          </cell>
          <cell r="J398">
            <v>9</v>
          </cell>
          <cell r="K398">
            <v>1.6351118760757316E-2</v>
          </cell>
        </row>
        <row r="399">
          <cell r="I399" t="str">
            <v>T2部件</v>
          </cell>
          <cell r="J399">
            <v>9</v>
          </cell>
          <cell r="K399">
            <v>1.6351118760757316E-2</v>
          </cell>
        </row>
        <row r="400">
          <cell r="I400" t="str">
            <v>T2部件</v>
          </cell>
          <cell r="J400">
            <v>9</v>
          </cell>
          <cell r="K400">
            <v>1.6351118760757316E-2</v>
          </cell>
        </row>
        <row r="401">
          <cell r="I401" t="str">
            <v>T2部件</v>
          </cell>
          <cell r="J401">
            <v>9</v>
          </cell>
          <cell r="K401">
            <v>1.6351118760757316E-2</v>
          </cell>
        </row>
        <row r="402">
          <cell r="I402" t="str">
            <v>T2部件</v>
          </cell>
          <cell r="J402">
            <v>9</v>
          </cell>
          <cell r="K402">
            <v>1.6351118760757316E-2</v>
          </cell>
        </row>
        <row r="403">
          <cell r="I403" t="str">
            <v>T2部件</v>
          </cell>
          <cell r="J403">
            <v>9</v>
          </cell>
          <cell r="K403">
            <v>1.6351118760757316E-2</v>
          </cell>
        </row>
        <row r="404">
          <cell r="I404" t="str">
            <v>T2部件</v>
          </cell>
          <cell r="J404">
            <v>9</v>
          </cell>
          <cell r="K404">
            <v>1.6351118760757316E-2</v>
          </cell>
        </row>
        <row r="405">
          <cell r="I405" t="str">
            <v>T2部件</v>
          </cell>
          <cell r="J405">
            <v>9</v>
          </cell>
          <cell r="K405">
            <v>1.6351118760757316E-2</v>
          </cell>
        </row>
        <row r="406">
          <cell r="I406" t="str">
            <v>T2部件</v>
          </cell>
          <cell r="J406">
            <v>9</v>
          </cell>
          <cell r="K406">
            <v>1.6351118760757316E-2</v>
          </cell>
        </row>
        <row r="407">
          <cell r="I407" t="str">
            <v>T2部件</v>
          </cell>
          <cell r="J407">
            <v>9</v>
          </cell>
          <cell r="K407">
            <v>1.6351118760757316E-2</v>
          </cell>
        </row>
        <row r="408">
          <cell r="I408" t="str">
            <v>T2部件</v>
          </cell>
          <cell r="J408">
            <v>9</v>
          </cell>
          <cell r="K408">
            <v>1.6351118760757316E-2</v>
          </cell>
        </row>
        <row r="409">
          <cell r="I409" t="str">
            <v>T2部件</v>
          </cell>
          <cell r="J409">
            <v>9</v>
          </cell>
          <cell r="K409">
            <v>1.6351118760757316E-2</v>
          </cell>
        </row>
        <row r="410">
          <cell r="I410" t="str">
            <v>T2部件</v>
          </cell>
          <cell r="J410">
            <v>9</v>
          </cell>
          <cell r="K410">
            <v>1.6351118760757316E-2</v>
          </cell>
        </row>
        <row r="411">
          <cell r="I411" t="str">
            <v>T2部件</v>
          </cell>
          <cell r="J411">
            <v>9</v>
          </cell>
          <cell r="K411">
            <v>1.6351118760757316E-2</v>
          </cell>
        </row>
        <row r="412">
          <cell r="I412" t="str">
            <v>T2部件</v>
          </cell>
          <cell r="J412">
            <v>9</v>
          </cell>
          <cell r="K412">
            <v>1.6351118760757316E-2</v>
          </cell>
        </row>
        <row r="413">
          <cell r="I413" t="str">
            <v>T2部件</v>
          </cell>
          <cell r="J413">
            <v>9</v>
          </cell>
          <cell r="K413">
            <v>1.6351118760757316E-2</v>
          </cell>
        </row>
        <row r="414">
          <cell r="I414" t="str">
            <v>T2部件</v>
          </cell>
          <cell r="J414">
            <v>9</v>
          </cell>
          <cell r="K414">
            <v>1.6351118760757316E-2</v>
          </cell>
        </row>
        <row r="415">
          <cell r="I415" t="str">
            <v>T3部件</v>
          </cell>
          <cell r="J415">
            <v>9</v>
          </cell>
          <cell r="K415">
            <v>8.6058519793459562E-3</v>
          </cell>
        </row>
        <row r="416">
          <cell r="I416" t="str">
            <v>T3部件</v>
          </cell>
          <cell r="J416">
            <v>9</v>
          </cell>
          <cell r="K416">
            <v>8.6058519793459562E-3</v>
          </cell>
        </row>
        <row r="417">
          <cell r="I417" t="str">
            <v>T3部件</v>
          </cell>
          <cell r="J417">
            <v>9</v>
          </cell>
          <cell r="K417">
            <v>8.6058519793459562E-3</v>
          </cell>
        </row>
        <row r="418">
          <cell r="I418" t="str">
            <v>T3部件</v>
          </cell>
          <cell r="J418">
            <v>9</v>
          </cell>
          <cell r="K418">
            <v>8.6058519793459562E-3</v>
          </cell>
        </row>
        <row r="419">
          <cell r="I419" t="str">
            <v>T3部件</v>
          </cell>
          <cell r="J419">
            <v>9</v>
          </cell>
          <cell r="K419">
            <v>8.6058519793459562E-3</v>
          </cell>
        </row>
        <row r="420">
          <cell r="I420" t="str">
            <v>T3部件</v>
          </cell>
          <cell r="J420">
            <v>9</v>
          </cell>
          <cell r="K420">
            <v>8.6058519793459562E-3</v>
          </cell>
        </row>
        <row r="421">
          <cell r="I421" t="str">
            <v>T3部件</v>
          </cell>
          <cell r="J421">
            <v>9</v>
          </cell>
          <cell r="K421">
            <v>8.6058519793459562E-3</v>
          </cell>
        </row>
        <row r="422">
          <cell r="I422" t="str">
            <v>T3部件</v>
          </cell>
          <cell r="J422">
            <v>9</v>
          </cell>
          <cell r="K422">
            <v>8.6058519793459562E-3</v>
          </cell>
        </row>
        <row r="423">
          <cell r="I423" t="str">
            <v>T3部件</v>
          </cell>
          <cell r="J423">
            <v>9</v>
          </cell>
          <cell r="K423">
            <v>8.6058519793459562E-3</v>
          </cell>
        </row>
        <row r="424">
          <cell r="I424" t="str">
            <v>T3部件</v>
          </cell>
          <cell r="J424">
            <v>9</v>
          </cell>
          <cell r="K424">
            <v>8.6058519793459562E-3</v>
          </cell>
        </row>
        <row r="425">
          <cell r="I425" t="str">
            <v>T3部件</v>
          </cell>
          <cell r="J425">
            <v>9</v>
          </cell>
          <cell r="K425">
            <v>8.6058519793459562E-3</v>
          </cell>
        </row>
        <row r="426">
          <cell r="I426" t="str">
            <v>T3部件</v>
          </cell>
          <cell r="J426">
            <v>9</v>
          </cell>
          <cell r="K426">
            <v>8.6058519793459562E-3</v>
          </cell>
        </row>
        <row r="427">
          <cell r="I427" t="str">
            <v>T3部件</v>
          </cell>
          <cell r="J427">
            <v>9</v>
          </cell>
          <cell r="K427">
            <v>8.6058519793459562E-3</v>
          </cell>
        </row>
        <row r="428">
          <cell r="I428" t="str">
            <v>T3部件</v>
          </cell>
          <cell r="J428">
            <v>9</v>
          </cell>
          <cell r="K428">
            <v>8.6058519793459562E-3</v>
          </cell>
        </row>
        <row r="429">
          <cell r="I429" t="str">
            <v>T3部件</v>
          </cell>
          <cell r="J429">
            <v>9</v>
          </cell>
          <cell r="K429">
            <v>8.6058519793459562E-3</v>
          </cell>
        </row>
        <row r="430">
          <cell r="I430" t="str">
            <v>T3部件</v>
          </cell>
          <cell r="J430">
            <v>9</v>
          </cell>
          <cell r="K430">
            <v>8.6058519793459562E-3</v>
          </cell>
        </row>
        <row r="431">
          <cell r="I431" t="str">
            <v>T3部件</v>
          </cell>
          <cell r="J431">
            <v>9</v>
          </cell>
          <cell r="K431">
            <v>8.6058519793459562E-3</v>
          </cell>
        </row>
        <row r="432">
          <cell r="I432" t="str">
            <v>T3部件</v>
          </cell>
          <cell r="J432">
            <v>9</v>
          </cell>
          <cell r="K432">
            <v>8.6058519793459562E-3</v>
          </cell>
        </row>
        <row r="433">
          <cell r="I433" t="str">
            <v>T0坦克</v>
          </cell>
          <cell r="J433">
            <v>9</v>
          </cell>
          <cell r="K433">
            <v>1.0613884107860011E-2</v>
          </cell>
        </row>
        <row r="434">
          <cell r="I434" t="str">
            <v>T0坦克</v>
          </cell>
          <cell r="J434">
            <v>9</v>
          </cell>
          <cell r="K434">
            <v>1.3482501434308663E-2</v>
          </cell>
        </row>
        <row r="435">
          <cell r="I435" t="str">
            <v>T1碎片</v>
          </cell>
          <cell r="J435">
            <v>10</v>
          </cell>
          <cell r="K435">
            <v>0.46471600688468151</v>
          </cell>
        </row>
        <row r="436">
          <cell r="I436" t="str">
            <v>T1碎片</v>
          </cell>
          <cell r="J436">
            <v>10</v>
          </cell>
          <cell r="K436">
            <v>0.46471600688468151</v>
          </cell>
        </row>
        <row r="437">
          <cell r="I437" t="str">
            <v>T1碎片</v>
          </cell>
          <cell r="J437">
            <v>10</v>
          </cell>
          <cell r="K437">
            <v>0.46471600688468151</v>
          </cell>
        </row>
        <row r="438">
          <cell r="I438" t="str">
            <v>T2碎片</v>
          </cell>
          <cell r="J438">
            <v>10</v>
          </cell>
          <cell r="K438">
            <v>9.1795754446356848E-2</v>
          </cell>
        </row>
        <row r="439">
          <cell r="I439" t="str">
            <v>T2碎片</v>
          </cell>
          <cell r="J439">
            <v>10</v>
          </cell>
          <cell r="K439">
            <v>9.1795754446356848E-2</v>
          </cell>
        </row>
        <row r="440">
          <cell r="I440" t="str">
            <v>T2碎片</v>
          </cell>
          <cell r="J440">
            <v>10</v>
          </cell>
          <cell r="K440">
            <v>9.1795754446356848E-2</v>
          </cell>
        </row>
        <row r="441">
          <cell r="I441" t="str">
            <v>T3碎片</v>
          </cell>
          <cell r="J441">
            <v>10</v>
          </cell>
          <cell r="K441">
            <v>0.53241537578886977</v>
          </cell>
        </row>
        <row r="442">
          <cell r="I442" t="str">
            <v>T3碎片</v>
          </cell>
          <cell r="J442">
            <v>10</v>
          </cell>
          <cell r="K442">
            <v>0.53241537578886977</v>
          </cell>
        </row>
        <row r="443">
          <cell r="I443" t="str">
            <v>T3碎片</v>
          </cell>
          <cell r="J443">
            <v>10</v>
          </cell>
          <cell r="K443">
            <v>0.53241537578886977</v>
          </cell>
        </row>
        <row r="444">
          <cell r="I444" t="str">
            <v>T3碎片</v>
          </cell>
          <cell r="J444">
            <v>10</v>
          </cell>
          <cell r="K444">
            <v>0.26678141135972461</v>
          </cell>
        </row>
        <row r="445">
          <cell r="I445" t="str">
            <v>T3碎片</v>
          </cell>
          <cell r="J445">
            <v>10</v>
          </cell>
          <cell r="K445">
            <v>0.26678141135972461</v>
          </cell>
        </row>
        <row r="446">
          <cell r="I446" t="str">
            <v>T3碎片</v>
          </cell>
          <cell r="J446">
            <v>10</v>
          </cell>
          <cell r="K446">
            <v>0.26678141135972461</v>
          </cell>
        </row>
        <row r="447">
          <cell r="I447" t="str">
            <v>T1部件</v>
          </cell>
          <cell r="J447">
            <v>10</v>
          </cell>
          <cell r="K447">
            <v>3.5283993115318414E-2</v>
          </cell>
        </row>
        <row r="448">
          <cell r="I448" t="str">
            <v>T1部件</v>
          </cell>
          <cell r="J448">
            <v>10</v>
          </cell>
          <cell r="K448">
            <v>3.5283993115318414E-2</v>
          </cell>
        </row>
        <row r="449">
          <cell r="I449" t="str">
            <v>T1部件</v>
          </cell>
          <cell r="J449">
            <v>10</v>
          </cell>
          <cell r="K449">
            <v>3.5283993115318414E-2</v>
          </cell>
        </row>
        <row r="450">
          <cell r="I450" t="str">
            <v>T1部件</v>
          </cell>
          <cell r="J450">
            <v>10</v>
          </cell>
          <cell r="K450">
            <v>3.5283993115318414E-2</v>
          </cell>
        </row>
        <row r="451">
          <cell r="I451" t="str">
            <v>T1部件</v>
          </cell>
          <cell r="J451">
            <v>10</v>
          </cell>
          <cell r="K451">
            <v>3.5283993115318414E-2</v>
          </cell>
        </row>
        <row r="452">
          <cell r="I452" t="str">
            <v>T1部件</v>
          </cell>
          <cell r="J452">
            <v>10</v>
          </cell>
          <cell r="K452">
            <v>3.5283993115318414E-2</v>
          </cell>
        </row>
        <row r="453">
          <cell r="I453" t="str">
            <v>T1部件</v>
          </cell>
          <cell r="J453">
            <v>10</v>
          </cell>
          <cell r="K453">
            <v>3.5283993115318414E-2</v>
          </cell>
        </row>
        <row r="454">
          <cell r="I454" t="str">
            <v>T1部件</v>
          </cell>
          <cell r="J454">
            <v>10</v>
          </cell>
          <cell r="K454">
            <v>3.5283993115318414E-2</v>
          </cell>
        </row>
        <row r="455">
          <cell r="I455" t="str">
            <v>T1部件</v>
          </cell>
          <cell r="J455">
            <v>10</v>
          </cell>
          <cell r="K455">
            <v>3.5283993115318414E-2</v>
          </cell>
        </row>
        <row r="456">
          <cell r="I456" t="str">
            <v>T1部件</v>
          </cell>
          <cell r="J456">
            <v>10</v>
          </cell>
          <cell r="K456">
            <v>3.5283993115318414E-2</v>
          </cell>
        </row>
        <row r="457">
          <cell r="I457" t="str">
            <v>T1部件</v>
          </cell>
          <cell r="J457">
            <v>10</v>
          </cell>
          <cell r="K457">
            <v>3.5283993115318414E-2</v>
          </cell>
        </row>
        <row r="458">
          <cell r="I458" t="str">
            <v>T1部件</v>
          </cell>
          <cell r="J458">
            <v>10</v>
          </cell>
          <cell r="K458">
            <v>3.5283993115318414E-2</v>
          </cell>
        </row>
        <row r="459">
          <cell r="I459" t="str">
            <v>T1部件</v>
          </cell>
          <cell r="J459">
            <v>10</v>
          </cell>
          <cell r="K459">
            <v>3.5283993115318414E-2</v>
          </cell>
        </row>
        <row r="460">
          <cell r="I460" t="str">
            <v>T1部件</v>
          </cell>
          <cell r="J460">
            <v>10</v>
          </cell>
          <cell r="K460">
            <v>3.5283993115318414E-2</v>
          </cell>
        </row>
        <row r="461">
          <cell r="I461" t="str">
            <v>T1部件</v>
          </cell>
          <cell r="J461">
            <v>10</v>
          </cell>
          <cell r="K461">
            <v>3.5283993115318414E-2</v>
          </cell>
        </row>
        <row r="462">
          <cell r="I462" t="str">
            <v>T1部件</v>
          </cell>
          <cell r="J462">
            <v>10</v>
          </cell>
          <cell r="K462">
            <v>3.5283993115318414E-2</v>
          </cell>
        </row>
        <row r="463">
          <cell r="I463" t="str">
            <v>T1部件</v>
          </cell>
          <cell r="J463">
            <v>10</v>
          </cell>
          <cell r="K463">
            <v>3.5283993115318414E-2</v>
          </cell>
        </row>
        <row r="464">
          <cell r="I464" t="str">
            <v>T1部件</v>
          </cell>
          <cell r="J464">
            <v>10</v>
          </cell>
          <cell r="K464">
            <v>3.5283993115318414E-2</v>
          </cell>
        </row>
        <row r="465">
          <cell r="I465" t="str">
            <v>T2部件</v>
          </cell>
          <cell r="J465">
            <v>10</v>
          </cell>
          <cell r="K465">
            <v>1.6351118760757316E-2</v>
          </cell>
        </row>
        <row r="466">
          <cell r="I466" t="str">
            <v>T2部件</v>
          </cell>
          <cell r="J466">
            <v>10</v>
          </cell>
          <cell r="K466">
            <v>1.6351118760757316E-2</v>
          </cell>
        </row>
        <row r="467">
          <cell r="I467" t="str">
            <v>T2部件</v>
          </cell>
          <cell r="J467">
            <v>10</v>
          </cell>
          <cell r="K467">
            <v>1.6351118760757316E-2</v>
          </cell>
        </row>
        <row r="468">
          <cell r="I468" t="str">
            <v>T2部件</v>
          </cell>
          <cell r="J468">
            <v>10</v>
          </cell>
          <cell r="K468">
            <v>1.6351118760757316E-2</v>
          </cell>
        </row>
        <row r="469">
          <cell r="I469" t="str">
            <v>T2部件</v>
          </cell>
          <cell r="J469">
            <v>10</v>
          </cell>
          <cell r="K469">
            <v>1.6351118760757316E-2</v>
          </cell>
        </row>
        <row r="470">
          <cell r="I470" t="str">
            <v>T2部件</v>
          </cell>
          <cell r="J470">
            <v>10</v>
          </cell>
          <cell r="K470">
            <v>1.6351118760757316E-2</v>
          </cell>
        </row>
        <row r="471">
          <cell r="I471" t="str">
            <v>T2部件</v>
          </cell>
          <cell r="J471">
            <v>10</v>
          </cell>
          <cell r="K471">
            <v>1.6351118760757316E-2</v>
          </cell>
        </row>
        <row r="472">
          <cell r="I472" t="str">
            <v>T2部件</v>
          </cell>
          <cell r="J472">
            <v>10</v>
          </cell>
          <cell r="K472">
            <v>1.6351118760757316E-2</v>
          </cell>
        </row>
        <row r="473">
          <cell r="I473" t="str">
            <v>T2部件</v>
          </cell>
          <cell r="J473">
            <v>10</v>
          </cell>
          <cell r="K473">
            <v>1.6351118760757316E-2</v>
          </cell>
        </row>
        <row r="474">
          <cell r="I474" t="str">
            <v>T2部件</v>
          </cell>
          <cell r="J474">
            <v>10</v>
          </cell>
          <cell r="K474">
            <v>1.6351118760757316E-2</v>
          </cell>
        </row>
        <row r="475">
          <cell r="I475" t="str">
            <v>T2部件</v>
          </cell>
          <cell r="J475">
            <v>10</v>
          </cell>
          <cell r="K475">
            <v>1.6351118760757316E-2</v>
          </cell>
        </row>
        <row r="476">
          <cell r="I476" t="str">
            <v>T2部件</v>
          </cell>
          <cell r="J476">
            <v>10</v>
          </cell>
          <cell r="K476">
            <v>1.6351118760757316E-2</v>
          </cell>
        </row>
        <row r="477">
          <cell r="I477" t="str">
            <v>T2部件</v>
          </cell>
          <cell r="J477">
            <v>10</v>
          </cell>
          <cell r="K477">
            <v>1.6351118760757316E-2</v>
          </cell>
        </row>
        <row r="478">
          <cell r="I478" t="str">
            <v>T2部件</v>
          </cell>
          <cell r="J478">
            <v>10</v>
          </cell>
          <cell r="K478">
            <v>1.6351118760757316E-2</v>
          </cell>
        </row>
        <row r="479">
          <cell r="I479" t="str">
            <v>T2部件</v>
          </cell>
          <cell r="J479">
            <v>10</v>
          </cell>
          <cell r="K479">
            <v>1.6351118760757316E-2</v>
          </cell>
        </row>
        <row r="480">
          <cell r="I480" t="str">
            <v>T2部件</v>
          </cell>
          <cell r="J480">
            <v>10</v>
          </cell>
          <cell r="K480">
            <v>1.6351118760757316E-2</v>
          </cell>
        </row>
        <row r="481">
          <cell r="I481" t="str">
            <v>T2部件</v>
          </cell>
          <cell r="J481">
            <v>10</v>
          </cell>
          <cell r="K481">
            <v>1.6351118760757316E-2</v>
          </cell>
        </row>
        <row r="482">
          <cell r="I482" t="str">
            <v>T2部件</v>
          </cell>
          <cell r="J482">
            <v>10</v>
          </cell>
          <cell r="K482">
            <v>1.6351118760757316E-2</v>
          </cell>
        </row>
        <row r="483">
          <cell r="I483" t="str">
            <v>T3部件</v>
          </cell>
          <cell r="J483">
            <v>10</v>
          </cell>
          <cell r="K483">
            <v>8.6058519793459562E-3</v>
          </cell>
        </row>
        <row r="484">
          <cell r="I484" t="str">
            <v>T3部件</v>
          </cell>
          <cell r="J484">
            <v>10</v>
          </cell>
          <cell r="K484">
            <v>8.6058519793459562E-3</v>
          </cell>
        </row>
        <row r="485">
          <cell r="I485" t="str">
            <v>T3部件</v>
          </cell>
          <cell r="J485">
            <v>10</v>
          </cell>
          <cell r="K485">
            <v>8.6058519793459562E-3</v>
          </cell>
        </row>
        <row r="486">
          <cell r="I486" t="str">
            <v>T3部件</v>
          </cell>
          <cell r="J486">
            <v>10</v>
          </cell>
          <cell r="K486">
            <v>8.6058519793459562E-3</v>
          </cell>
        </row>
        <row r="487">
          <cell r="I487" t="str">
            <v>T3部件</v>
          </cell>
          <cell r="J487">
            <v>10</v>
          </cell>
          <cell r="K487">
            <v>8.6058519793459562E-3</v>
          </cell>
        </row>
        <row r="488">
          <cell r="I488" t="str">
            <v>T3部件</v>
          </cell>
          <cell r="J488">
            <v>10</v>
          </cell>
          <cell r="K488">
            <v>8.6058519793459562E-3</v>
          </cell>
        </row>
        <row r="489">
          <cell r="I489" t="str">
            <v>T3部件</v>
          </cell>
          <cell r="J489">
            <v>10</v>
          </cell>
          <cell r="K489">
            <v>8.6058519793459562E-3</v>
          </cell>
        </row>
        <row r="490">
          <cell r="I490" t="str">
            <v>T3部件</v>
          </cell>
          <cell r="J490">
            <v>10</v>
          </cell>
          <cell r="K490">
            <v>8.6058519793459562E-3</v>
          </cell>
        </row>
        <row r="491">
          <cell r="I491" t="str">
            <v>T3部件</v>
          </cell>
          <cell r="J491">
            <v>10</v>
          </cell>
          <cell r="K491">
            <v>8.6058519793459562E-3</v>
          </cell>
        </row>
        <row r="492">
          <cell r="I492" t="str">
            <v>T3部件</v>
          </cell>
          <cell r="J492">
            <v>10</v>
          </cell>
          <cell r="K492">
            <v>8.6058519793459562E-3</v>
          </cell>
        </row>
        <row r="493">
          <cell r="I493" t="str">
            <v>T3部件</v>
          </cell>
          <cell r="J493">
            <v>10</v>
          </cell>
          <cell r="K493">
            <v>8.6058519793459562E-3</v>
          </cell>
        </row>
        <row r="494">
          <cell r="I494" t="str">
            <v>T3部件</v>
          </cell>
          <cell r="J494">
            <v>10</v>
          </cell>
          <cell r="K494">
            <v>8.6058519793459562E-3</v>
          </cell>
        </row>
        <row r="495">
          <cell r="I495" t="str">
            <v>T3部件</v>
          </cell>
          <cell r="J495">
            <v>10</v>
          </cell>
          <cell r="K495">
            <v>8.6058519793459562E-3</v>
          </cell>
        </row>
        <row r="496">
          <cell r="I496" t="str">
            <v>T3部件</v>
          </cell>
          <cell r="J496">
            <v>10</v>
          </cell>
          <cell r="K496">
            <v>8.6058519793459562E-3</v>
          </cell>
        </row>
        <row r="497">
          <cell r="I497" t="str">
            <v>T3部件</v>
          </cell>
          <cell r="J497">
            <v>10</v>
          </cell>
          <cell r="K497">
            <v>8.6058519793459562E-3</v>
          </cell>
        </row>
        <row r="498">
          <cell r="I498" t="str">
            <v>T3部件</v>
          </cell>
          <cell r="J498">
            <v>10</v>
          </cell>
          <cell r="K498">
            <v>8.6058519793459562E-3</v>
          </cell>
        </row>
        <row r="499">
          <cell r="I499" t="str">
            <v>T3部件</v>
          </cell>
          <cell r="J499">
            <v>10</v>
          </cell>
          <cell r="K499">
            <v>8.6058519793459562E-3</v>
          </cell>
        </row>
        <row r="500">
          <cell r="I500" t="str">
            <v>T3部件</v>
          </cell>
          <cell r="J500">
            <v>10</v>
          </cell>
          <cell r="K500">
            <v>8.6058519793459562E-3</v>
          </cell>
        </row>
        <row r="501">
          <cell r="I501" t="str">
            <v>T0坦克</v>
          </cell>
          <cell r="J501">
            <v>10</v>
          </cell>
          <cell r="K501">
            <v>1.0613884107860011E-2</v>
          </cell>
        </row>
        <row r="502">
          <cell r="I502" t="str">
            <v>T0坦克</v>
          </cell>
          <cell r="J502">
            <v>10</v>
          </cell>
          <cell r="K502">
            <v>1.3482501434308663E-2</v>
          </cell>
        </row>
      </sheetData>
      <sheetData sheetId="13">
        <row r="1">
          <cell r="I1" t="str">
            <v>类别</v>
          </cell>
          <cell r="J1" t="str">
            <v>联赛等级</v>
          </cell>
          <cell r="K1" t="str">
            <v>计算个数</v>
          </cell>
        </row>
        <row r="2">
          <cell r="I2" t="str">
            <v>T1碎片</v>
          </cell>
          <cell r="J2">
            <v>1</v>
          </cell>
          <cell r="K2">
            <v>2.9333333333333336</v>
          </cell>
        </row>
        <row r="3">
          <cell r="I3" t="str">
            <v>T1碎片</v>
          </cell>
          <cell r="J3">
            <v>1</v>
          </cell>
          <cell r="K3">
            <v>2.9333333333333336</v>
          </cell>
        </row>
        <row r="4">
          <cell r="I4" t="str">
            <v>T1碎片</v>
          </cell>
          <cell r="J4">
            <v>1</v>
          </cell>
          <cell r="K4">
            <v>2.9333333333333336</v>
          </cell>
        </row>
        <row r="5">
          <cell r="I5" t="str">
            <v>T1部件</v>
          </cell>
          <cell r="J5">
            <v>1</v>
          </cell>
          <cell r="K5">
            <v>0.49612403100775193</v>
          </cell>
        </row>
        <row r="6">
          <cell r="I6" t="str">
            <v>T1部件</v>
          </cell>
          <cell r="J6">
            <v>1</v>
          </cell>
          <cell r="K6">
            <v>0.49612403100775193</v>
          </cell>
        </row>
        <row r="7">
          <cell r="I7" t="str">
            <v>T1部件</v>
          </cell>
          <cell r="J7">
            <v>1</v>
          </cell>
          <cell r="K7">
            <v>0.49612403100775193</v>
          </cell>
        </row>
        <row r="8">
          <cell r="I8" t="str">
            <v>T1部件</v>
          </cell>
          <cell r="J8">
            <v>1</v>
          </cell>
          <cell r="K8">
            <v>0.49612403100775193</v>
          </cell>
        </row>
        <row r="9">
          <cell r="I9" t="str">
            <v>T1部件</v>
          </cell>
          <cell r="J9">
            <v>1</v>
          </cell>
          <cell r="K9">
            <v>0.49612403100775193</v>
          </cell>
        </row>
        <row r="10">
          <cell r="I10" t="str">
            <v>T1部件</v>
          </cell>
          <cell r="J10">
            <v>1</v>
          </cell>
          <cell r="K10">
            <v>0.49612403100775193</v>
          </cell>
        </row>
        <row r="11">
          <cell r="I11" t="str">
            <v>T1部件</v>
          </cell>
          <cell r="J11">
            <v>1</v>
          </cell>
          <cell r="K11">
            <v>0.49612403100775193</v>
          </cell>
        </row>
        <row r="12">
          <cell r="I12" t="str">
            <v>T1部件</v>
          </cell>
          <cell r="J12">
            <v>1</v>
          </cell>
          <cell r="K12">
            <v>0.49612403100775193</v>
          </cell>
        </row>
        <row r="13">
          <cell r="I13" t="str">
            <v>T1部件</v>
          </cell>
          <cell r="J13">
            <v>1</v>
          </cell>
          <cell r="K13">
            <v>0.51100775193798453</v>
          </cell>
        </row>
        <row r="14">
          <cell r="I14" t="str">
            <v>T1碎片</v>
          </cell>
          <cell r="J14">
            <v>2</v>
          </cell>
          <cell r="K14">
            <v>2.563121365597449</v>
          </cell>
        </row>
        <row r="15">
          <cell r="I15" t="str">
            <v>T1碎片</v>
          </cell>
          <cell r="J15">
            <v>2</v>
          </cell>
          <cell r="K15">
            <v>2.563121365597449</v>
          </cell>
        </row>
        <row r="16">
          <cell r="I16" t="str">
            <v>T1碎片</v>
          </cell>
          <cell r="J16">
            <v>2</v>
          </cell>
          <cell r="K16">
            <v>2.563121365597449</v>
          </cell>
        </row>
        <row r="17">
          <cell r="I17" t="str">
            <v>T1部件</v>
          </cell>
          <cell r="J17">
            <v>2</v>
          </cell>
          <cell r="K17">
            <v>0.26861752016507223</v>
          </cell>
        </row>
        <row r="18">
          <cell r="I18" t="str">
            <v>T1部件</v>
          </cell>
          <cell r="J18">
            <v>2</v>
          </cell>
          <cell r="K18">
            <v>0.26861752016507223</v>
          </cell>
        </row>
        <row r="19">
          <cell r="I19" t="str">
            <v>T1部件</v>
          </cell>
          <cell r="J19">
            <v>2</v>
          </cell>
          <cell r="K19">
            <v>0.26861752016507223</v>
          </cell>
        </row>
        <row r="20">
          <cell r="I20" t="str">
            <v>T1部件</v>
          </cell>
          <cell r="J20">
            <v>2</v>
          </cell>
          <cell r="K20">
            <v>0.26861752016507223</v>
          </cell>
        </row>
        <row r="21">
          <cell r="I21" t="str">
            <v>T1部件</v>
          </cell>
          <cell r="J21">
            <v>2</v>
          </cell>
          <cell r="K21">
            <v>0.26861752016507223</v>
          </cell>
        </row>
        <row r="22">
          <cell r="I22" t="str">
            <v>T1部件</v>
          </cell>
          <cell r="J22">
            <v>2</v>
          </cell>
          <cell r="K22">
            <v>0.26861752016507223</v>
          </cell>
        </row>
        <row r="23">
          <cell r="I23" t="str">
            <v>T1部件</v>
          </cell>
          <cell r="J23">
            <v>2</v>
          </cell>
          <cell r="K23">
            <v>0.26861752016507223</v>
          </cell>
        </row>
        <row r="24">
          <cell r="I24" t="str">
            <v>T1部件</v>
          </cell>
          <cell r="J24">
            <v>2</v>
          </cell>
          <cell r="K24">
            <v>0.26861752016507223</v>
          </cell>
        </row>
        <row r="25">
          <cell r="I25" t="str">
            <v>T1部件</v>
          </cell>
          <cell r="J25">
            <v>2</v>
          </cell>
          <cell r="K25">
            <v>0.26861752016507223</v>
          </cell>
        </row>
        <row r="26">
          <cell r="I26" t="str">
            <v>T1部件</v>
          </cell>
          <cell r="J26">
            <v>2</v>
          </cell>
          <cell r="K26">
            <v>0.26861752016507223</v>
          </cell>
        </row>
        <row r="27">
          <cell r="I27" t="str">
            <v>T1部件</v>
          </cell>
          <cell r="J27">
            <v>2</v>
          </cell>
          <cell r="K27">
            <v>0.26861752016507223</v>
          </cell>
        </row>
        <row r="28">
          <cell r="I28" t="str">
            <v>T1部件</v>
          </cell>
          <cell r="J28">
            <v>2</v>
          </cell>
          <cell r="K28">
            <v>0.26861752016507223</v>
          </cell>
        </row>
        <row r="29">
          <cell r="I29" t="str">
            <v>T1部件</v>
          </cell>
          <cell r="J29">
            <v>2</v>
          </cell>
          <cell r="K29">
            <v>0.26861752016507223</v>
          </cell>
        </row>
        <row r="30">
          <cell r="I30" t="str">
            <v>T1部件</v>
          </cell>
          <cell r="J30">
            <v>2</v>
          </cell>
          <cell r="K30">
            <v>0.26861752016507223</v>
          </cell>
        </row>
        <row r="31">
          <cell r="I31" t="str">
            <v>T1部件</v>
          </cell>
          <cell r="J31">
            <v>2</v>
          </cell>
          <cell r="K31">
            <v>0.26861752016507223</v>
          </cell>
        </row>
        <row r="32">
          <cell r="I32" t="str">
            <v>T1部件</v>
          </cell>
          <cell r="J32">
            <v>2</v>
          </cell>
          <cell r="K32">
            <v>0.26861752016507223</v>
          </cell>
        </row>
        <row r="33">
          <cell r="I33" t="str">
            <v>T1部件</v>
          </cell>
          <cell r="J33">
            <v>2</v>
          </cell>
          <cell r="K33">
            <v>0.26861752016507223</v>
          </cell>
        </row>
        <row r="34">
          <cell r="I34" t="str">
            <v>T1部件</v>
          </cell>
          <cell r="J34">
            <v>2</v>
          </cell>
          <cell r="K34">
            <v>0.26861752016507223</v>
          </cell>
        </row>
        <row r="35">
          <cell r="I35" t="str">
            <v>T0坦克</v>
          </cell>
          <cell r="J35">
            <v>2</v>
          </cell>
          <cell r="K35">
            <v>0.16657287563308948</v>
          </cell>
        </row>
        <row r="36">
          <cell r="I36" t="str">
            <v>T0坦克</v>
          </cell>
          <cell r="J36">
            <v>2</v>
          </cell>
          <cell r="K36">
            <v>9.6792346651660102E-2</v>
          </cell>
        </row>
        <row r="37">
          <cell r="I37" t="str">
            <v>T0坦克</v>
          </cell>
          <cell r="J37">
            <v>2</v>
          </cell>
          <cell r="K37">
            <v>0.1042956293378353</v>
          </cell>
        </row>
        <row r="38">
          <cell r="I38" t="str">
            <v>T0坦克</v>
          </cell>
          <cell r="J38">
            <v>2</v>
          </cell>
          <cell r="K38">
            <v>0.11630088163571563</v>
          </cell>
        </row>
        <row r="39">
          <cell r="I39" t="str">
            <v>T1碎片</v>
          </cell>
          <cell r="J39">
            <v>3</v>
          </cell>
          <cell r="K39">
            <v>0.92658805629516927</v>
          </cell>
        </row>
        <row r="40">
          <cell r="I40" t="str">
            <v>T1碎片</v>
          </cell>
          <cell r="J40">
            <v>3</v>
          </cell>
          <cell r="K40">
            <v>0.92658805629516927</v>
          </cell>
        </row>
        <row r="41">
          <cell r="I41" t="str">
            <v>T1碎片</v>
          </cell>
          <cell r="J41">
            <v>3</v>
          </cell>
          <cell r="K41">
            <v>0.92658805629516927</v>
          </cell>
        </row>
        <row r="42">
          <cell r="I42" t="str">
            <v>T2碎片</v>
          </cell>
          <cell r="J42">
            <v>3</v>
          </cell>
          <cell r="K42">
            <v>0.67959934068720684</v>
          </cell>
        </row>
        <row r="43">
          <cell r="I43" t="str">
            <v>T2碎片</v>
          </cell>
          <cell r="J43">
            <v>3</v>
          </cell>
          <cell r="K43">
            <v>0.67959934068720684</v>
          </cell>
        </row>
        <row r="44">
          <cell r="I44" t="str">
            <v>T2碎片</v>
          </cell>
          <cell r="J44">
            <v>3</v>
          </cell>
          <cell r="K44">
            <v>0.67959934068720684</v>
          </cell>
        </row>
        <row r="45">
          <cell r="I45" t="str">
            <v>T2碎片</v>
          </cell>
          <cell r="J45">
            <v>3</v>
          </cell>
          <cell r="K45">
            <v>0.47926968429060479</v>
          </cell>
        </row>
        <row r="46">
          <cell r="I46" t="str">
            <v>T2碎片</v>
          </cell>
          <cell r="J46">
            <v>3</v>
          </cell>
          <cell r="K46">
            <v>0.47926968429060479</v>
          </cell>
        </row>
        <row r="47">
          <cell r="I47" t="str">
            <v>T2碎片</v>
          </cell>
          <cell r="J47">
            <v>3</v>
          </cell>
          <cell r="K47">
            <v>0.47926968429060479</v>
          </cell>
        </row>
        <row r="48">
          <cell r="I48" t="str">
            <v>T1部件</v>
          </cell>
          <cell r="J48">
            <v>3</v>
          </cell>
          <cell r="K48">
            <v>0.13693419551160138</v>
          </cell>
        </row>
        <row r="49">
          <cell r="I49" t="str">
            <v>T1部件</v>
          </cell>
          <cell r="J49">
            <v>3</v>
          </cell>
          <cell r="K49">
            <v>0.13693419551160138</v>
          </cell>
        </row>
        <row r="50">
          <cell r="I50" t="str">
            <v>T1部件</v>
          </cell>
          <cell r="J50">
            <v>3</v>
          </cell>
          <cell r="K50">
            <v>0.13693419551160138</v>
          </cell>
        </row>
        <row r="51">
          <cell r="I51" t="str">
            <v>T1部件</v>
          </cell>
          <cell r="J51">
            <v>3</v>
          </cell>
          <cell r="K51">
            <v>0.13693419551160138</v>
          </cell>
        </row>
        <row r="52">
          <cell r="I52" t="str">
            <v>T1部件</v>
          </cell>
          <cell r="J52">
            <v>3</v>
          </cell>
          <cell r="K52">
            <v>0.13693419551160138</v>
          </cell>
        </row>
        <row r="53">
          <cell r="I53" t="str">
            <v>T1部件</v>
          </cell>
          <cell r="J53">
            <v>3</v>
          </cell>
          <cell r="K53">
            <v>0.13693419551160138</v>
          </cell>
        </row>
        <row r="54">
          <cell r="I54" t="str">
            <v>T1部件</v>
          </cell>
          <cell r="J54">
            <v>3</v>
          </cell>
          <cell r="K54">
            <v>0.13693419551160138</v>
          </cell>
        </row>
        <row r="55">
          <cell r="I55" t="str">
            <v>T1部件</v>
          </cell>
          <cell r="J55">
            <v>3</v>
          </cell>
          <cell r="K55">
            <v>0.13693419551160138</v>
          </cell>
        </row>
        <row r="56">
          <cell r="I56" t="str">
            <v>T1部件</v>
          </cell>
          <cell r="J56">
            <v>3</v>
          </cell>
          <cell r="K56">
            <v>0.13693419551160138</v>
          </cell>
        </row>
        <row r="57">
          <cell r="I57" t="str">
            <v>T1部件</v>
          </cell>
          <cell r="J57">
            <v>3</v>
          </cell>
          <cell r="K57">
            <v>0.13693419551160138</v>
          </cell>
        </row>
        <row r="58">
          <cell r="I58" t="str">
            <v>T1部件</v>
          </cell>
          <cell r="J58">
            <v>3</v>
          </cell>
          <cell r="K58">
            <v>0.13693419551160138</v>
          </cell>
        </row>
        <row r="59">
          <cell r="I59" t="str">
            <v>T1部件</v>
          </cell>
          <cell r="J59">
            <v>3</v>
          </cell>
          <cell r="K59">
            <v>0.13693419551160138</v>
          </cell>
        </row>
        <row r="60">
          <cell r="I60" t="str">
            <v>T1部件</v>
          </cell>
          <cell r="J60">
            <v>3</v>
          </cell>
          <cell r="K60">
            <v>0.13693419551160138</v>
          </cell>
        </row>
        <row r="61">
          <cell r="I61" t="str">
            <v>T1部件</v>
          </cell>
          <cell r="J61">
            <v>3</v>
          </cell>
          <cell r="K61">
            <v>0.13693419551160138</v>
          </cell>
        </row>
        <row r="62">
          <cell r="I62" t="str">
            <v>T1部件</v>
          </cell>
          <cell r="J62">
            <v>3</v>
          </cell>
          <cell r="K62">
            <v>0.13693419551160138</v>
          </cell>
        </row>
        <row r="63">
          <cell r="I63" t="str">
            <v>T1部件</v>
          </cell>
          <cell r="J63">
            <v>3</v>
          </cell>
          <cell r="K63">
            <v>0.13693419551160138</v>
          </cell>
        </row>
        <row r="64">
          <cell r="I64" t="str">
            <v>T1部件</v>
          </cell>
          <cell r="J64">
            <v>3</v>
          </cell>
          <cell r="K64">
            <v>0.13693419551160138</v>
          </cell>
        </row>
        <row r="65">
          <cell r="I65" t="str">
            <v>T1部件</v>
          </cell>
          <cell r="J65">
            <v>3</v>
          </cell>
          <cell r="K65">
            <v>0.13693419551160138</v>
          </cell>
        </row>
        <row r="66">
          <cell r="I66" t="str">
            <v>T2部件</v>
          </cell>
          <cell r="J66">
            <v>3</v>
          </cell>
          <cell r="K66">
            <v>7.0495752504120698E-2</v>
          </cell>
        </row>
        <row r="67">
          <cell r="I67" t="str">
            <v>T2部件</v>
          </cell>
          <cell r="J67">
            <v>3</v>
          </cell>
          <cell r="K67">
            <v>7.0495752504120698E-2</v>
          </cell>
        </row>
        <row r="68">
          <cell r="I68" t="str">
            <v>T2部件</v>
          </cell>
          <cell r="J68">
            <v>3</v>
          </cell>
          <cell r="K68">
            <v>7.0495752504120698E-2</v>
          </cell>
        </row>
        <row r="69">
          <cell r="I69" t="str">
            <v>T2部件</v>
          </cell>
          <cell r="J69">
            <v>3</v>
          </cell>
          <cell r="K69">
            <v>7.0495752504120698E-2</v>
          </cell>
        </row>
        <row r="70">
          <cell r="I70" t="str">
            <v>T2部件</v>
          </cell>
          <cell r="J70">
            <v>3</v>
          </cell>
          <cell r="K70">
            <v>7.0495752504120698E-2</v>
          </cell>
        </row>
        <row r="71">
          <cell r="I71" t="str">
            <v>T2部件</v>
          </cell>
          <cell r="J71">
            <v>3</v>
          </cell>
          <cell r="K71">
            <v>7.0495752504120698E-2</v>
          </cell>
        </row>
        <row r="72">
          <cell r="I72" t="str">
            <v>T2部件</v>
          </cell>
          <cell r="J72">
            <v>3</v>
          </cell>
          <cell r="K72">
            <v>7.0495752504120698E-2</v>
          </cell>
        </row>
        <row r="73">
          <cell r="I73" t="str">
            <v>T2部件</v>
          </cell>
          <cell r="J73">
            <v>3</v>
          </cell>
          <cell r="K73">
            <v>7.0495752504120698E-2</v>
          </cell>
        </row>
        <row r="74">
          <cell r="I74" t="str">
            <v>T2部件</v>
          </cell>
          <cell r="J74">
            <v>3</v>
          </cell>
          <cell r="K74">
            <v>7.0495752504120698E-2</v>
          </cell>
        </row>
        <row r="75">
          <cell r="I75" t="str">
            <v>T0坦克</v>
          </cell>
          <cell r="J75">
            <v>3</v>
          </cell>
          <cell r="K75">
            <v>7.0495752504120698E-2</v>
          </cell>
        </row>
        <row r="76">
          <cell r="I76" t="str">
            <v>T0坦克</v>
          </cell>
          <cell r="J76">
            <v>3</v>
          </cell>
          <cell r="K76">
            <v>4.919487764676049E-2</v>
          </cell>
        </row>
        <row r="77">
          <cell r="I77" t="str">
            <v>T0坦克</v>
          </cell>
          <cell r="J77">
            <v>3</v>
          </cell>
          <cell r="K77">
            <v>0.49194877646760493</v>
          </cell>
        </row>
        <row r="78">
          <cell r="I78" t="str">
            <v>T0坦克</v>
          </cell>
          <cell r="J78">
            <v>3</v>
          </cell>
          <cell r="K78">
            <v>3.9558767592240397E-2</v>
          </cell>
        </row>
        <row r="79">
          <cell r="I79" t="str">
            <v>T1碎片</v>
          </cell>
          <cell r="J79">
            <v>4</v>
          </cell>
          <cell r="K79">
            <v>0.89145052833813643</v>
          </cell>
        </row>
        <row r="80">
          <cell r="I80" t="str">
            <v>T1碎片</v>
          </cell>
          <cell r="J80">
            <v>4</v>
          </cell>
          <cell r="K80">
            <v>0.89145052833813643</v>
          </cell>
        </row>
        <row r="81">
          <cell r="I81" t="str">
            <v>T1碎片</v>
          </cell>
          <cell r="J81">
            <v>4</v>
          </cell>
          <cell r="K81">
            <v>0.89145052833813643</v>
          </cell>
        </row>
        <row r="82">
          <cell r="I82" t="str">
            <v>T2碎片</v>
          </cell>
          <cell r="J82">
            <v>4</v>
          </cell>
          <cell r="K82">
            <v>1.1623439000960614</v>
          </cell>
        </row>
        <row r="83">
          <cell r="I83" t="str">
            <v>T2碎片</v>
          </cell>
          <cell r="J83">
            <v>4</v>
          </cell>
          <cell r="K83">
            <v>1.1623439000960614</v>
          </cell>
        </row>
        <row r="84">
          <cell r="I84" t="str">
            <v>T2碎片</v>
          </cell>
          <cell r="J84">
            <v>4</v>
          </cell>
          <cell r="K84">
            <v>1.1623439000960614</v>
          </cell>
        </row>
        <row r="85">
          <cell r="I85" t="str">
            <v>T2碎片</v>
          </cell>
          <cell r="J85">
            <v>4</v>
          </cell>
          <cell r="K85">
            <v>0.46216245063507311</v>
          </cell>
        </row>
        <row r="86">
          <cell r="I86" t="str">
            <v>T2碎片</v>
          </cell>
          <cell r="J86">
            <v>4</v>
          </cell>
          <cell r="K86">
            <v>0.46216245063507311</v>
          </cell>
        </row>
        <row r="87">
          <cell r="I87" t="str">
            <v>T2碎片</v>
          </cell>
          <cell r="J87">
            <v>4</v>
          </cell>
          <cell r="K87">
            <v>0.46216245063507311</v>
          </cell>
        </row>
        <row r="88">
          <cell r="I88" t="str">
            <v>T1部件</v>
          </cell>
          <cell r="J88">
            <v>4</v>
          </cell>
          <cell r="K88">
            <v>9.1578610310598774E-2</v>
          </cell>
        </row>
        <row r="89">
          <cell r="I89" t="str">
            <v>T1部件</v>
          </cell>
          <cell r="J89">
            <v>4</v>
          </cell>
          <cell r="K89">
            <v>9.1578610310598774E-2</v>
          </cell>
        </row>
        <row r="90">
          <cell r="I90" t="str">
            <v>T1部件</v>
          </cell>
          <cell r="J90">
            <v>4</v>
          </cell>
          <cell r="K90">
            <v>9.1578610310598774E-2</v>
          </cell>
        </row>
        <row r="91">
          <cell r="I91" t="str">
            <v>T1部件</v>
          </cell>
          <cell r="J91">
            <v>4</v>
          </cell>
          <cell r="K91">
            <v>9.1578610310598774E-2</v>
          </cell>
        </row>
        <row r="92">
          <cell r="I92" t="str">
            <v>T1部件</v>
          </cell>
          <cell r="J92">
            <v>4</v>
          </cell>
          <cell r="K92">
            <v>9.1578610310598774E-2</v>
          </cell>
        </row>
        <row r="93">
          <cell r="I93" t="str">
            <v>T1部件</v>
          </cell>
          <cell r="J93">
            <v>4</v>
          </cell>
          <cell r="K93">
            <v>9.1578610310598774E-2</v>
          </cell>
        </row>
        <row r="94">
          <cell r="I94" t="str">
            <v>T1部件</v>
          </cell>
          <cell r="J94">
            <v>4</v>
          </cell>
          <cell r="K94">
            <v>9.1578610310598774E-2</v>
          </cell>
        </row>
        <row r="95">
          <cell r="I95" t="str">
            <v>T1部件</v>
          </cell>
          <cell r="J95">
            <v>4</v>
          </cell>
          <cell r="K95">
            <v>9.1578610310598774E-2</v>
          </cell>
        </row>
        <row r="96">
          <cell r="I96" t="str">
            <v>T1部件</v>
          </cell>
          <cell r="J96">
            <v>4</v>
          </cell>
          <cell r="K96">
            <v>9.1578610310598774E-2</v>
          </cell>
        </row>
        <row r="97">
          <cell r="I97" t="str">
            <v>T1部件</v>
          </cell>
          <cell r="J97">
            <v>4</v>
          </cell>
          <cell r="K97">
            <v>9.1578610310598774E-2</v>
          </cell>
        </row>
        <row r="98">
          <cell r="I98" t="str">
            <v>T1部件</v>
          </cell>
          <cell r="J98">
            <v>4</v>
          </cell>
          <cell r="K98">
            <v>9.1578610310598774E-2</v>
          </cell>
        </row>
        <row r="99">
          <cell r="I99" t="str">
            <v>T1部件</v>
          </cell>
          <cell r="J99">
            <v>4</v>
          </cell>
          <cell r="K99">
            <v>9.1578610310598774E-2</v>
          </cell>
        </row>
        <row r="100">
          <cell r="I100" t="str">
            <v>T1部件</v>
          </cell>
          <cell r="J100">
            <v>4</v>
          </cell>
          <cell r="K100">
            <v>9.1578610310598774E-2</v>
          </cell>
        </row>
        <row r="101">
          <cell r="I101" t="str">
            <v>T1部件</v>
          </cell>
          <cell r="J101">
            <v>4</v>
          </cell>
          <cell r="K101">
            <v>9.1578610310598774E-2</v>
          </cell>
        </row>
        <row r="102">
          <cell r="I102" t="str">
            <v>T1部件</v>
          </cell>
          <cell r="J102">
            <v>4</v>
          </cell>
          <cell r="K102">
            <v>9.1578610310598774E-2</v>
          </cell>
        </row>
        <row r="103">
          <cell r="I103" t="str">
            <v>T1部件</v>
          </cell>
          <cell r="J103">
            <v>4</v>
          </cell>
          <cell r="K103">
            <v>9.1578610310598774E-2</v>
          </cell>
        </row>
        <row r="104">
          <cell r="I104" t="str">
            <v>T1部件</v>
          </cell>
          <cell r="J104">
            <v>4</v>
          </cell>
          <cell r="K104">
            <v>9.1578610310598774E-2</v>
          </cell>
        </row>
        <row r="105">
          <cell r="I105" t="str">
            <v>T1部件</v>
          </cell>
          <cell r="J105">
            <v>4</v>
          </cell>
          <cell r="K105">
            <v>9.1578610310598774E-2</v>
          </cell>
        </row>
        <row r="106">
          <cell r="I106" t="str">
            <v>T2部件</v>
          </cell>
          <cell r="J106">
            <v>4</v>
          </cell>
          <cell r="K106">
            <v>4.6109510086455328E-2</v>
          </cell>
        </row>
        <row r="107">
          <cell r="I107" t="str">
            <v>T2部件</v>
          </cell>
          <cell r="J107">
            <v>4</v>
          </cell>
          <cell r="K107">
            <v>4.6109510086455328E-2</v>
          </cell>
        </row>
        <row r="108">
          <cell r="I108" t="str">
            <v>T2部件</v>
          </cell>
          <cell r="J108">
            <v>4</v>
          </cell>
          <cell r="K108">
            <v>4.6109510086455328E-2</v>
          </cell>
        </row>
        <row r="109">
          <cell r="I109" t="str">
            <v>T2部件</v>
          </cell>
          <cell r="J109">
            <v>4</v>
          </cell>
          <cell r="K109">
            <v>4.6109510086455328E-2</v>
          </cell>
        </row>
        <row r="110">
          <cell r="I110" t="str">
            <v>T2部件</v>
          </cell>
          <cell r="J110">
            <v>4</v>
          </cell>
          <cell r="K110">
            <v>4.6109510086455328E-2</v>
          </cell>
        </row>
        <row r="111">
          <cell r="I111" t="str">
            <v>T2部件</v>
          </cell>
          <cell r="J111">
            <v>4</v>
          </cell>
          <cell r="K111">
            <v>4.6109510086455328E-2</v>
          </cell>
        </row>
        <row r="112">
          <cell r="I112" t="str">
            <v>T2部件</v>
          </cell>
          <cell r="J112">
            <v>4</v>
          </cell>
          <cell r="K112">
            <v>4.6109510086455328E-2</v>
          </cell>
        </row>
        <row r="113">
          <cell r="I113" t="str">
            <v>T2部件</v>
          </cell>
          <cell r="J113">
            <v>4</v>
          </cell>
          <cell r="K113">
            <v>4.6109510086455328E-2</v>
          </cell>
        </row>
        <row r="114">
          <cell r="I114" t="str">
            <v>T2部件</v>
          </cell>
          <cell r="J114">
            <v>4</v>
          </cell>
          <cell r="K114">
            <v>4.6109510086455328E-2</v>
          </cell>
        </row>
        <row r="115">
          <cell r="I115" t="str">
            <v>T2部件</v>
          </cell>
          <cell r="J115">
            <v>4</v>
          </cell>
          <cell r="K115">
            <v>4.6109510086455328E-2</v>
          </cell>
        </row>
        <row r="116">
          <cell r="I116" t="str">
            <v>T2部件</v>
          </cell>
          <cell r="J116">
            <v>4</v>
          </cell>
          <cell r="K116">
            <v>4.6109510086455328E-2</v>
          </cell>
        </row>
        <row r="117">
          <cell r="I117" t="str">
            <v>T2部件</v>
          </cell>
          <cell r="J117">
            <v>4</v>
          </cell>
          <cell r="K117">
            <v>4.6109510086455328E-2</v>
          </cell>
        </row>
        <row r="118">
          <cell r="I118" t="str">
            <v>T2部件</v>
          </cell>
          <cell r="J118">
            <v>4</v>
          </cell>
          <cell r="K118">
            <v>4.6109510086455328E-2</v>
          </cell>
        </row>
        <row r="119">
          <cell r="I119" t="str">
            <v>T2部件</v>
          </cell>
          <cell r="J119">
            <v>4</v>
          </cell>
          <cell r="K119">
            <v>4.6109510086455328E-2</v>
          </cell>
        </row>
        <row r="120">
          <cell r="I120" t="str">
            <v>T2部件</v>
          </cell>
          <cell r="J120">
            <v>4</v>
          </cell>
          <cell r="K120">
            <v>4.6109510086455328E-2</v>
          </cell>
        </row>
        <row r="121">
          <cell r="I121" t="str">
            <v>T2部件</v>
          </cell>
          <cell r="J121">
            <v>4</v>
          </cell>
          <cell r="K121">
            <v>4.6109510086455328E-2</v>
          </cell>
        </row>
        <row r="122">
          <cell r="I122" t="str">
            <v>T2部件</v>
          </cell>
          <cell r="J122">
            <v>4</v>
          </cell>
          <cell r="K122">
            <v>4.6109510086455328E-2</v>
          </cell>
        </row>
        <row r="123">
          <cell r="I123" t="str">
            <v>T2部件</v>
          </cell>
          <cell r="J123">
            <v>4</v>
          </cell>
          <cell r="K123">
            <v>4.6109510086455328E-2</v>
          </cell>
        </row>
        <row r="124">
          <cell r="I124" t="str">
            <v>T0坦克</v>
          </cell>
          <cell r="J124">
            <v>4</v>
          </cell>
          <cell r="K124">
            <v>5.9344647240900841E-2</v>
          </cell>
        </row>
        <row r="125">
          <cell r="I125" t="str">
            <v>T0坦克</v>
          </cell>
          <cell r="J125">
            <v>4</v>
          </cell>
          <cell r="K125">
            <v>4.1413171096168211E-2</v>
          </cell>
        </row>
        <row r="126">
          <cell r="I126" t="str">
            <v>T0坦克</v>
          </cell>
          <cell r="J126">
            <v>4</v>
          </cell>
          <cell r="K126">
            <v>0.41413171096168216</v>
          </cell>
        </row>
        <row r="127">
          <cell r="I127" t="str">
            <v>T0坦克</v>
          </cell>
          <cell r="J127">
            <v>4</v>
          </cell>
          <cell r="K127">
            <v>3.3301312840217742E-2</v>
          </cell>
        </row>
        <row r="128">
          <cell r="I128" t="str">
            <v>T1碎片</v>
          </cell>
          <cell r="J128">
            <v>5</v>
          </cell>
          <cell r="K128">
            <v>0.91099476439790583</v>
          </cell>
        </row>
        <row r="129">
          <cell r="I129" t="str">
            <v>T1碎片</v>
          </cell>
          <cell r="J129">
            <v>5</v>
          </cell>
          <cell r="K129">
            <v>0.91099476439790583</v>
          </cell>
        </row>
        <row r="130">
          <cell r="I130" t="str">
            <v>T1碎片</v>
          </cell>
          <cell r="J130">
            <v>5</v>
          </cell>
          <cell r="K130">
            <v>0.91099476439790583</v>
          </cell>
        </row>
        <row r="131">
          <cell r="I131" t="str">
            <v>T2碎片</v>
          </cell>
          <cell r="J131">
            <v>5</v>
          </cell>
          <cell r="K131">
            <v>0.59860383944153583</v>
          </cell>
        </row>
        <row r="132">
          <cell r="I132" t="str">
            <v>T2碎片</v>
          </cell>
          <cell r="J132">
            <v>5</v>
          </cell>
          <cell r="K132">
            <v>0.59860383944153583</v>
          </cell>
        </row>
        <row r="133">
          <cell r="I133" t="str">
            <v>T2碎片</v>
          </cell>
          <cell r="J133">
            <v>5</v>
          </cell>
          <cell r="K133">
            <v>0.59860383944153583</v>
          </cell>
        </row>
        <row r="134">
          <cell r="I134" t="str">
            <v>T3碎片</v>
          </cell>
          <cell r="J134">
            <v>5</v>
          </cell>
          <cell r="K134">
            <v>0.53325576885786308</v>
          </cell>
        </row>
        <row r="135">
          <cell r="I135" t="str">
            <v>T3碎片</v>
          </cell>
          <cell r="J135">
            <v>5</v>
          </cell>
          <cell r="K135">
            <v>0.53325576885786308</v>
          </cell>
        </row>
        <row r="136">
          <cell r="I136" t="str">
            <v>T3碎片</v>
          </cell>
          <cell r="J136">
            <v>5</v>
          </cell>
          <cell r="K136">
            <v>0.53325576885786308</v>
          </cell>
        </row>
        <row r="137">
          <cell r="I137" t="str">
            <v>T3碎片</v>
          </cell>
          <cell r="J137">
            <v>5</v>
          </cell>
          <cell r="K137">
            <v>0.20942408376963351</v>
          </cell>
        </row>
        <row r="138">
          <cell r="I138" t="str">
            <v>T3碎片</v>
          </cell>
          <cell r="J138">
            <v>5</v>
          </cell>
          <cell r="K138">
            <v>0.20942408376963351</v>
          </cell>
        </row>
        <row r="139">
          <cell r="I139" t="str">
            <v>T3碎片</v>
          </cell>
          <cell r="J139">
            <v>5</v>
          </cell>
          <cell r="K139">
            <v>0.20942408376963351</v>
          </cell>
        </row>
        <row r="140">
          <cell r="I140" t="str">
            <v>T1部件</v>
          </cell>
          <cell r="J140">
            <v>5</v>
          </cell>
          <cell r="K140">
            <v>8.8229590847391903E-2</v>
          </cell>
        </row>
        <row r="141">
          <cell r="I141" t="str">
            <v>T1部件</v>
          </cell>
          <cell r="J141">
            <v>5</v>
          </cell>
          <cell r="K141">
            <v>8.8229590847391903E-2</v>
          </cell>
        </row>
        <row r="142">
          <cell r="I142" t="str">
            <v>T1部件</v>
          </cell>
          <cell r="J142">
            <v>5</v>
          </cell>
          <cell r="K142">
            <v>8.8229590847391903E-2</v>
          </cell>
        </row>
        <row r="143">
          <cell r="I143" t="str">
            <v>T1部件</v>
          </cell>
          <cell r="J143">
            <v>5</v>
          </cell>
          <cell r="K143">
            <v>8.8229590847391903E-2</v>
          </cell>
        </row>
        <row r="144">
          <cell r="I144" t="str">
            <v>T1部件</v>
          </cell>
          <cell r="J144">
            <v>5</v>
          </cell>
          <cell r="K144">
            <v>8.8229590847391903E-2</v>
          </cell>
        </row>
        <row r="145">
          <cell r="I145" t="str">
            <v>T1部件</v>
          </cell>
          <cell r="J145">
            <v>5</v>
          </cell>
          <cell r="K145">
            <v>8.8229590847391903E-2</v>
          </cell>
        </row>
        <row r="146">
          <cell r="I146" t="str">
            <v>T1部件</v>
          </cell>
          <cell r="J146">
            <v>5</v>
          </cell>
          <cell r="K146">
            <v>8.8229590847391903E-2</v>
          </cell>
        </row>
        <row r="147">
          <cell r="I147" t="str">
            <v>T1部件</v>
          </cell>
          <cell r="J147">
            <v>5</v>
          </cell>
          <cell r="K147">
            <v>8.8229590847391903E-2</v>
          </cell>
        </row>
        <row r="148">
          <cell r="I148" t="str">
            <v>T1部件</v>
          </cell>
          <cell r="J148">
            <v>5</v>
          </cell>
          <cell r="K148">
            <v>8.8229590847391903E-2</v>
          </cell>
        </row>
        <row r="149">
          <cell r="I149" t="str">
            <v>T1部件</v>
          </cell>
          <cell r="J149">
            <v>5</v>
          </cell>
          <cell r="K149">
            <v>8.8229590847391903E-2</v>
          </cell>
        </row>
        <row r="150">
          <cell r="I150" t="str">
            <v>T1部件</v>
          </cell>
          <cell r="J150">
            <v>5</v>
          </cell>
          <cell r="K150">
            <v>8.8229590847391903E-2</v>
          </cell>
        </row>
        <row r="151">
          <cell r="I151" t="str">
            <v>T1部件</v>
          </cell>
          <cell r="J151">
            <v>5</v>
          </cell>
          <cell r="K151">
            <v>8.8229590847391903E-2</v>
          </cell>
        </row>
        <row r="152">
          <cell r="I152" t="str">
            <v>T1部件</v>
          </cell>
          <cell r="J152">
            <v>5</v>
          </cell>
          <cell r="K152">
            <v>8.8229590847391903E-2</v>
          </cell>
        </row>
        <row r="153">
          <cell r="I153" t="str">
            <v>T1部件</v>
          </cell>
          <cell r="J153">
            <v>5</v>
          </cell>
          <cell r="K153">
            <v>8.8229590847391903E-2</v>
          </cell>
        </row>
        <row r="154">
          <cell r="I154" t="str">
            <v>T1部件</v>
          </cell>
          <cell r="J154">
            <v>5</v>
          </cell>
          <cell r="K154">
            <v>8.8229590847391903E-2</v>
          </cell>
        </row>
        <row r="155">
          <cell r="I155" t="str">
            <v>T1部件</v>
          </cell>
          <cell r="J155">
            <v>5</v>
          </cell>
          <cell r="K155">
            <v>8.8229590847391903E-2</v>
          </cell>
        </row>
        <row r="156">
          <cell r="I156" t="str">
            <v>T1部件</v>
          </cell>
          <cell r="J156">
            <v>5</v>
          </cell>
          <cell r="K156">
            <v>8.8229590847391903E-2</v>
          </cell>
        </row>
        <row r="157">
          <cell r="I157" t="str">
            <v>T1部件</v>
          </cell>
          <cell r="J157">
            <v>5</v>
          </cell>
          <cell r="K157">
            <v>8.8229590847391903E-2</v>
          </cell>
        </row>
        <row r="158">
          <cell r="I158" t="str">
            <v>T2部件</v>
          </cell>
          <cell r="J158">
            <v>5</v>
          </cell>
          <cell r="K158">
            <v>4.3436106263331394E-2</v>
          </cell>
        </row>
        <row r="159">
          <cell r="I159" t="str">
            <v>T2部件</v>
          </cell>
          <cell r="J159">
            <v>5</v>
          </cell>
          <cell r="K159">
            <v>4.3436106263331394E-2</v>
          </cell>
        </row>
        <row r="160">
          <cell r="I160" t="str">
            <v>T2部件</v>
          </cell>
          <cell r="J160">
            <v>5</v>
          </cell>
          <cell r="K160">
            <v>4.3436106263331394E-2</v>
          </cell>
        </row>
        <row r="161">
          <cell r="I161" t="str">
            <v>T2部件</v>
          </cell>
          <cell r="J161">
            <v>5</v>
          </cell>
          <cell r="K161">
            <v>4.3436106263331394E-2</v>
          </cell>
        </row>
        <row r="162">
          <cell r="I162" t="str">
            <v>T2部件</v>
          </cell>
          <cell r="J162">
            <v>5</v>
          </cell>
          <cell r="K162">
            <v>4.3436106263331394E-2</v>
          </cell>
        </row>
        <row r="163">
          <cell r="I163" t="str">
            <v>T2部件</v>
          </cell>
          <cell r="J163">
            <v>5</v>
          </cell>
          <cell r="K163">
            <v>4.3436106263331394E-2</v>
          </cell>
        </row>
        <row r="164">
          <cell r="I164" t="str">
            <v>T2部件</v>
          </cell>
          <cell r="J164">
            <v>5</v>
          </cell>
          <cell r="K164">
            <v>4.3436106263331394E-2</v>
          </cell>
        </row>
        <row r="165">
          <cell r="I165" t="str">
            <v>T2部件</v>
          </cell>
          <cell r="J165">
            <v>5</v>
          </cell>
          <cell r="K165">
            <v>4.3436106263331394E-2</v>
          </cell>
        </row>
        <row r="166">
          <cell r="I166" t="str">
            <v>T2部件</v>
          </cell>
          <cell r="J166">
            <v>5</v>
          </cell>
          <cell r="K166">
            <v>4.3436106263331394E-2</v>
          </cell>
        </row>
        <row r="167">
          <cell r="I167" t="str">
            <v>T2部件</v>
          </cell>
          <cell r="J167">
            <v>5</v>
          </cell>
          <cell r="K167">
            <v>4.3436106263331394E-2</v>
          </cell>
        </row>
        <row r="168">
          <cell r="I168" t="str">
            <v>T2部件</v>
          </cell>
          <cell r="J168">
            <v>5</v>
          </cell>
          <cell r="K168">
            <v>4.3436106263331394E-2</v>
          </cell>
        </row>
        <row r="169">
          <cell r="I169" t="str">
            <v>T2部件</v>
          </cell>
          <cell r="J169">
            <v>5</v>
          </cell>
          <cell r="K169">
            <v>4.3436106263331394E-2</v>
          </cell>
        </row>
        <row r="170">
          <cell r="I170" t="str">
            <v>T2部件</v>
          </cell>
          <cell r="J170">
            <v>5</v>
          </cell>
          <cell r="K170">
            <v>4.3436106263331394E-2</v>
          </cell>
        </row>
        <row r="171">
          <cell r="I171" t="str">
            <v>T2部件</v>
          </cell>
          <cell r="J171">
            <v>5</v>
          </cell>
          <cell r="K171">
            <v>4.3436106263331394E-2</v>
          </cell>
        </row>
        <row r="172">
          <cell r="I172" t="str">
            <v>T2部件</v>
          </cell>
          <cell r="J172">
            <v>5</v>
          </cell>
          <cell r="K172">
            <v>4.3436106263331394E-2</v>
          </cell>
        </row>
        <row r="173">
          <cell r="I173" t="str">
            <v>T2部件</v>
          </cell>
          <cell r="J173">
            <v>5</v>
          </cell>
          <cell r="K173">
            <v>4.3436106263331394E-2</v>
          </cell>
        </row>
        <row r="174">
          <cell r="I174" t="str">
            <v>T2部件</v>
          </cell>
          <cell r="J174">
            <v>5</v>
          </cell>
          <cell r="K174">
            <v>4.3436106263331394E-2</v>
          </cell>
        </row>
        <row r="175">
          <cell r="I175" t="str">
            <v>T2部件</v>
          </cell>
          <cell r="J175">
            <v>5</v>
          </cell>
          <cell r="K175">
            <v>4.3436106263331394E-2</v>
          </cell>
        </row>
        <row r="176">
          <cell r="I176" t="str">
            <v>T0坦克</v>
          </cell>
          <cell r="J176">
            <v>5</v>
          </cell>
          <cell r="K176">
            <v>5.3907310451813073E-2</v>
          </cell>
        </row>
        <row r="177">
          <cell r="I177" t="str">
            <v>T0坦克</v>
          </cell>
          <cell r="J177">
            <v>5</v>
          </cell>
          <cell r="K177">
            <v>3.7618770603063796E-2</v>
          </cell>
        </row>
        <row r="178">
          <cell r="I178" t="str">
            <v>T0坦克</v>
          </cell>
          <cell r="J178">
            <v>5</v>
          </cell>
          <cell r="K178">
            <v>0.37618770603063795</v>
          </cell>
        </row>
        <row r="179">
          <cell r="I179" t="str">
            <v>T0坦克</v>
          </cell>
          <cell r="J179">
            <v>5</v>
          </cell>
          <cell r="K179">
            <v>3.0250145433391506E-2</v>
          </cell>
        </row>
        <row r="180">
          <cell r="I180" t="str">
            <v>T1碎片</v>
          </cell>
          <cell r="J180">
            <v>6</v>
          </cell>
          <cell r="K180">
            <v>0.85455330168321098</v>
          </cell>
        </row>
        <row r="181">
          <cell r="I181" t="str">
            <v>T1碎片</v>
          </cell>
          <cell r="J181">
            <v>6</v>
          </cell>
          <cell r="K181">
            <v>0.85455330168321098</v>
          </cell>
        </row>
        <row r="182">
          <cell r="I182" t="str">
            <v>T1碎片</v>
          </cell>
          <cell r="J182">
            <v>6</v>
          </cell>
          <cell r="K182">
            <v>0.85455330168321098</v>
          </cell>
        </row>
        <row r="183">
          <cell r="I183" t="str">
            <v>T2碎片</v>
          </cell>
          <cell r="J183">
            <v>6</v>
          </cell>
          <cell r="K183">
            <v>0.55675442382391027</v>
          </cell>
        </row>
        <row r="184">
          <cell r="I184" t="str">
            <v>T2碎片</v>
          </cell>
          <cell r="J184">
            <v>6</v>
          </cell>
          <cell r="K184">
            <v>0.55675442382391027</v>
          </cell>
        </row>
        <row r="185">
          <cell r="I185" t="str">
            <v>T2碎片</v>
          </cell>
          <cell r="J185">
            <v>6</v>
          </cell>
          <cell r="K185">
            <v>0.55675442382391027</v>
          </cell>
        </row>
        <row r="186">
          <cell r="I186" t="str">
            <v>T3碎片</v>
          </cell>
          <cell r="J186">
            <v>6</v>
          </cell>
          <cell r="K186">
            <v>0.63185153215364698</v>
          </cell>
        </row>
        <row r="187">
          <cell r="I187" t="str">
            <v>T3碎片</v>
          </cell>
          <cell r="J187">
            <v>6</v>
          </cell>
          <cell r="K187">
            <v>0.63185153215364698</v>
          </cell>
        </row>
        <row r="188">
          <cell r="I188" t="str">
            <v>T3碎片</v>
          </cell>
          <cell r="J188">
            <v>6</v>
          </cell>
          <cell r="K188">
            <v>0.63185153215364698</v>
          </cell>
        </row>
        <row r="189">
          <cell r="I189" t="str">
            <v>T3碎片</v>
          </cell>
          <cell r="J189">
            <v>6</v>
          </cell>
          <cell r="K189">
            <v>0.38843331894691413</v>
          </cell>
        </row>
        <row r="190">
          <cell r="I190" t="str">
            <v>T3碎片</v>
          </cell>
          <cell r="J190">
            <v>6</v>
          </cell>
          <cell r="K190">
            <v>0.38843331894691413</v>
          </cell>
        </row>
        <row r="191">
          <cell r="I191" t="str">
            <v>T3碎片</v>
          </cell>
          <cell r="J191">
            <v>6</v>
          </cell>
          <cell r="K191">
            <v>0.38843331894691413</v>
          </cell>
        </row>
        <row r="192">
          <cell r="I192" t="str">
            <v>T1部件</v>
          </cell>
          <cell r="J192">
            <v>6</v>
          </cell>
          <cell r="K192">
            <v>8.6318515321536476E-2</v>
          </cell>
        </row>
        <row r="193">
          <cell r="I193" t="str">
            <v>T1部件</v>
          </cell>
          <cell r="J193">
            <v>6</v>
          </cell>
          <cell r="K193">
            <v>8.6318515321536476E-2</v>
          </cell>
        </row>
        <row r="194">
          <cell r="I194" t="str">
            <v>T1部件</v>
          </cell>
          <cell r="J194">
            <v>6</v>
          </cell>
          <cell r="K194">
            <v>8.6318515321536476E-2</v>
          </cell>
        </row>
        <row r="195">
          <cell r="I195" t="str">
            <v>T1部件</v>
          </cell>
          <cell r="J195">
            <v>6</v>
          </cell>
          <cell r="K195">
            <v>8.6318515321536476E-2</v>
          </cell>
        </row>
        <row r="196">
          <cell r="I196" t="str">
            <v>T1部件</v>
          </cell>
          <cell r="J196">
            <v>6</v>
          </cell>
          <cell r="K196">
            <v>8.6318515321536476E-2</v>
          </cell>
        </row>
        <row r="197">
          <cell r="I197" t="str">
            <v>T1部件</v>
          </cell>
          <cell r="J197">
            <v>6</v>
          </cell>
          <cell r="K197">
            <v>8.6318515321536476E-2</v>
          </cell>
        </row>
        <row r="198">
          <cell r="I198" t="str">
            <v>T1部件</v>
          </cell>
          <cell r="J198">
            <v>6</v>
          </cell>
          <cell r="K198">
            <v>8.6318515321536476E-2</v>
          </cell>
        </row>
        <row r="199">
          <cell r="I199" t="str">
            <v>T1部件</v>
          </cell>
          <cell r="J199">
            <v>6</v>
          </cell>
          <cell r="K199">
            <v>8.6318515321536476E-2</v>
          </cell>
        </row>
        <row r="200">
          <cell r="I200" t="str">
            <v>T1部件</v>
          </cell>
          <cell r="J200">
            <v>6</v>
          </cell>
          <cell r="K200">
            <v>8.6318515321536476E-2</v>
          </cell>
        </row>
        <row r="201">
          <cell r="I201" t="str">
            <v>T1部件</v>
          </cell>
          <cell r="J201">
            <v>6</v>
          </cell>
          <cell r="K201">
            <v>8.6318515321536476E-2</v>
          </cell>
        </row>
        <row r="202">
          <cell r="I202" t="str">
            <v>T1部件</v>
          </cell>
          <cell r="J202">
            <v>6</v>
          </cell>
          <cell r="K202">
            <v>8.6318515321536476E-2</v>
          </cell>
        </row>
        <row r="203">
          <cell r="I203" t="str">
            <v>T1部件</v>
          </cell>
          <cell r="J203">
            <v>6</v>
          </cell>
          <cell r="K203">
            <v>8.6318515321536476E-2</v>
          </cell>
        </row>
        <row r="204">
          <cell r="I204" t="str">
            <v>T1部件</v>
          </cell>
          <cell r="J204">
            <v>6</v>
          </cell>
          <cell r="K204">
            <v>8.6318515321536476E-2</v>
          </cell>
        </row>
        <row r="205">
          <cell r="I205" t="str">
            <v>T1部件</v>
          </cell>
          <cell r="J205">
            <v>6</v>
          </cell>
          <cell r="K205">
            <v>8.6318515321536476E-2</v>
          </cell>
        </row>
        <row r="206">
          <cell r="I206" t="str">
            <v>T1部件</v>
          </cell>
          <cell r="J206">
            <v>6</v>
          </cell>
          <cell r="K206">
            <v>8.6318515321536476E-2</v>
          </cell>
        </row>
        <row r="207">
          <cell r="I207" t="str">
            <v>T1部件</v>
          </cell>
          <cell r="J207">
            <v>6</v>
          </cell>
          <cell r="K207">
            <v>8.6318515321536476E-2</v>
          </cell>
        </row>
        <row r="208">
          <cell r="I208" t="str">
            <v>T1部件</v>
          </cell>
          <cell r="J208">
            <v>6</v>
          </cell>
          <cell r="K208">
            <v>8.6318515321536476E-2</v>
          </cell>
        </row>
        <row r="209">
          <cell r="I209" t="str">
            <v>T1部件</v>
          </cell>
          <cell r="J209">
            <v>6</v>
          </cell>
          <cell r="K209">
            <v>8.6318515321536476E-2</v>
          </cell>
        </row>
        <row r="210">
          <cell r="I210" t="str">
            <v>T2部件</v>
          </cell>
          <cell r="J210">
            <v>6</v>
          </cell>
          <cell r="K210">
            <v>4.1432887354337505E-2</v>
          </cell>
        </row>
        <row r="211">
          <cell r="I211" t="str">
            <v>T2部件</v>
          </cell>
          <cell r="J211">
            <v>6</v>
          </cell>
          <cell r="K211">
            <v>4.1432887354337505E-2</v>
          </cell>
        </row>
        <row r="212">
          <cell r="I212" t="str">
            <v>T2部件</v>
          </cell>
          <cell r="J212">
            <v>6</v>
          </cell>
          <cell r="K212">
            <v>4.1432887354337505E-2</v>
          </cell>
        </row>
        <row r="213">
          <cell r="I213" t="str">
            <v>T2部件</v>
          </cell>
          <cell r="J213">
            <v>6</v>
          </cell>
          <cell r="K213">
            <v>4.1432887354337505E-2</v>
          </cell>
        </row>
        <row r="214">
          <cell r="I214" t="str">
            <v>T2部件</v>
          </cell>
          <cell r="J214">
            <v>6</v>
          </cell>
          <cell r="K214">
            <v>4.1432887354337505E-2</v>
          </cell>
        </row>
        <row r="215">
          <cell r="I215" t="str">
            <v>T2部件</v>
          </cell>
          <cell r="J215">
            <v>6</v>
          </cell>
          <cell r="K215">
            <v>4.1432887354337505E-2</v>
          </cell>
        </row>
        <row r="216">
          <cell r="I216" t="str">
            <v>T2部件</v>
          </cell>
          <cell r="J216">
            <v>6</v>
          </cell>
          <cell r="K216">
            <v>4.1432887354337505E-2</v>
          </cell>
        </row>
        <row r="217">
          <cell r="I217" t="str">
            <v>T2部件</v>
          </cell>
          <cell r="J217">
            <v>6</v>
          </cell>
          <cell r="K217">
            <v>4.1432887354337505E-2</v>
          </cell>
        </row>
        <row r="218">
          <cell r="I218" t="str">
            <v>T2部件</v>
          </cell>
          <cell r="J218">
            <v>6</v>
          </cell>
          <cell r="K218">
            <v>4.1432887354337505E-2</v>
          </cell>
        </row>
        <row r="219">
          <cell r="I219" t="str">
            <v>T2部件</v>
          </cell>
          <cell r="J219">
            <v>6</v>
          </cell>
          <cell r="K219">
            <v>4.1432887354337505E-2</v>
          </cell>
        </row>
        <row r="220">
          <cell r="I220" t="str">
            <v>T2部件</v>
          </cell>
          <cell r="J220">
            <v>6</v>
          </cell>
          <cell r="K220">
            <v>4.1432887354337505E-2</v>
          </cell>
        </row>
        <row r="221">
          <cell r="I221" t="str">
            <v>T2部件</v>
          </cell>
          <cell r="J221">
            <v>6</v>
          </cell>
          <cell r="K221">
            <v>4.1432887354337505E-2</v>
          </cell>
        </row>
        <row r="222">
          <cell r="I222" t="str">
            <v>T2部件</v>
          </cell>
          <cell r="J222">
            <v>6</v>
          </cell>
          <cell r="K222">
            <v>4.1432887354337505E-2</v>
          </cell>
        </row>
        <row r="223">
          <cell r="I223" t="str">
            <v>T2部件</v>
          </cell>
          <cell r="J223">
            <v>6</v>
          </cell>
          <cell r="K223">
            <v>4.1432887354337505E-2</v>
          </cell>
        </row>
        <row r="224">
          <cell r="I224" t="str">
            <v>T2部件</v>
          </cell>
          <cell r="J224">
            <v>6</v>
          </cell>
          <cell r="K224">
            <v>4.1432887354337505E-2</v>
          </cell>
        </row>
        <row r="225">
          <cell r="I225" t="str">
            <v>T2部件</v>
          </cell>
          <cell r="J225">
            <v>6</v>
          </cell>
          <cell r="K225">
            <v>4.1432887354337505E-2</v>
          </cell>
        </row>
        <row r="226">
          <cell r="I226" t="str">
            <v>T2部件</v>
          </cell>
          <cell r="J226">
            <v>6</v>
          </cell>
          <cell r="K226">
            <v>4.1432887354337505E-2</v>
          </cell>
        </row>
        <row r="227">
          <cell r="I227" t="str">
            <v>T2部件</v>
          </cell>
          <cell r="J227">
            <v>6</v>
          </cell>
          <cell r="K227">
            <v>4.1432887354337505E-2</v>
          </cell>
        </row>
        <row r="228">
          <cell r="I228" t="str">
            <v>T3部件</v>
          </cell>
          <cell r="J228">
            <v>6</v>
          </cell>
          <cell r="K228">
            <v>2.2011221406991799E-2</v>
          </cell>
        </row>
        <row r="229">
          <cell r="I229" t="str">
            <v>T3部件</v>
          </cell>
          <cell r="J229">
            <v>6</v>
          </cell>
          <cell r="K229">
            <v>2.2011221406991799E-2</v>
          </cell>
        </row>
        <row r="230">
          <cell r="I230" t="str">
            <v>T3部件</v>
          </cell>
          <cell r="J230">
            <v>6</v>
          </cell>
          <cell r="K230">
            <v>2.2011221406991799E-2</v>
          </cell>
        </row>
        <row r="231">
          <cell r="I231" t="str">
            <v>T3部件</v>
          </cell>
          <cell r="J231">
            <v>6</v>
          </cell>
          <cell r="K231">
            <v>2.2011221406991799E-2</v>
          </cell>
        </row>
        <row r="232">
          <cell r="I232" t="str">
            <v>T3部件</v>
          </cell>
          <cell r="J232">
            <v>6</v>
          </cell>
          <cell r="K232">
            <v>2.2011221406991799E-2</v>
          </cell>
        </row>
        <row r="233">
          <cell r="I233" t="str">
            <v>T3部件</v>
          </cell>
          <cell r="J233">
            <v>6</v>
          </cell>
          <cell r="K233">
            <v>2.2011221406991799E-2</v>
          </cell>
        </row>
        <row r="234">
          <cell r="I234" t="str">
            <v>T3部件</v>
          </cell>
          <cell r="J234">
            <v>6</v>
          </cell>
          <cell r="K234">
            <v>2.2011221406991799E-2</v>
          </cell>
        </row>
        <row r="235">
          <cell r="I235" t="str">
            <v>T3部件</v>
          </cell>
          <cell r="J235">
            <v>6</v>
          </cell>
          <cell r="K235">
            <v>2.2011221406991799E-2</v>
          </cell>
        </row>
        <row r="236">
          <cell r="I236" t="str">
            <v>T3部件</v>
          </cell>
          <cell r="J236">
            <v>6</v>
          </cell>
          <cell r="K236">
            <v>2.2011221406991799E-2</v>
          </cell>
        </row>
        <row r="237">
          <cell r="I237" t="str">
            <v>T0坦克</v>
          </cell>
          <cell r="J237">
            <v>6</v>
          </cell>
          <cell r="K237">
            <v>3.5822183858437634E-2</v>
          </cell>
        </row>
        <row r="238">
          <cell r="I238" t="str">
            <v>T0坦克</v>
          </cell>
          <cell r="J238">
            <v>6</v>
          </cell>
          <cell r="K238">
            <v>2.8053517479499353E-2</v>
          </cell>
        </row>
        <row r="239">
          <cell r="I239" t="str">
            <v>T0坦克</v>
          </cell>
          <cell r="J239">
            <v>6</v>
          </cell>
          <cell r="K239">
            <v>2.9779887785930083E-2</v>
          </cell>
        </row>
        <row r="240">
          <cell r="I240" t="str">
            <v>T0坦克</v>
          </cell>
          <cell r="J240">
            <v>6</v>
          </cell>
          <cell r="K240">
            <v>2.3305999136814848E-2</v>
          </cell>
        </row>
        <row r="241">
          <cell r="I241" t="str">
            <v>T1碎片</v>
          </cell>
          <cell r="J241">
            <v>7</v>
          </cell>
          <cell r="K241">
            <v>0.79870915691811217</v>
          </cell>
        </row>
        <row r="242">
          <cell r="I242" t="str">
            <v>T1碎片</v>
          </cell>
          <cell r="J242">
            <v>7</v>
          </cell>
          <cell r="K242">
            <v>0.79870915691811217</v>
          </cell>
        </row>
        <row r="243">
          <cell r="I243" t="str">
            <v>T1碎片</v>
          </cell>
          <cell r="J243">
            <v>7</v>
          </cell>
          <cell r="K243">
            <v>0.79870915691811217</v>
          </cell>
        </row>
        <row r="244">
          <cell r="I244" t="str">
            <v>T2碎片</v>
          </cell>
          <cell r="J244">
            <v>7</v>
          </cell>
          <cell r="K244">
            <v>0.1936264622831787</v>
          </cell>
        </row>
        <row r="245">
          <cell r="I245" t="str">
            <v>T2碎片</v>
          </cell>
          <cell r="J245">
            <v>7</v>
          </cell>
          <cell r="K245">
            <v>0.1936264622831787</v>
          </cell>
        </row>
        <row r="246">
          <cell r="I246" t="str">
            <v>T2碎片</v>
          </cell>
          <cell r="J246">
            <v>7</v>
          </cell>
          <cell r="K246">
            <v>0.1936264622831787</v>
          </cell>
        </row>
        <row r="247">
          <cell r="I247" t="str">
            <v>T3碎片</v>
          </cell>
          <cell r="J247">
            <v>7</v>
          </cell>
          <cell r="K247">
            <v>1.1343283582089552</v>
          </cell>
        </row>
        <row r="248">
          <cell r="I248" t="str">
            <v>T3碎片</v>
          </cell>
          <cell r="J248">
            <v>7</v>
          </cell>
          <cell r="K248">
            <v>1.1343283582089552</v>
          </cell>
        </row>
        <row r="249">
          <cell r="I249" t="str">
            <v>T3碎片</v>
          </cell>
          <cell r="J249">
            <v>7</v>
          </cell>
          <cell r="K249">
            <v>1.1343283582089552</v>
          </cell>
        </row>
        <row r="250">
          <cell r="I250" t="str">
            <v>T3碎片</v>
          </cell>
          <cell r="J250">
            <v>7</v>
          </cell>
          <cell r="K250">
            <v>0.56877773295683742</v>
          </cell>
        </row>
        <row r="251">
          <cell r="I251" t="str">
            <v>T3碎片</v>
          </cell>
          <cell r="J251">
            <v>7</v>
          </cell>
          <cell r="K251">
            <v>0.56877773295683742</v>
          </cell>
        </row>
        <row r="252">
          <cell r="I252" t="str">
            <v>T3碎片</v>
          </cell>
          <cell r="J252">
            <v>7</v>
          </cell>
          <cell r="K252">
            <v>0.56877773295683742</v>
          </cell>
        </row>
        <row r="253">
          <cell r="I253" t="str">
            <v>T1部件</v>
          </cell>
          <cell r="J253">
            <v>7</v>
          </cell>
          <cell r="K253">
            <v>7.2609923356192013E-2</v>
          </cell>
        </row>
        <row r="254">
          <cell r="I254" t="str">
            <v>T1部件</v>
          </cell>
          <cell r="J254">
            <v>7</v>
          </cell>
          <cell r="K254">
            <v>7.2609923356192013E-2</v>
          </cell>
        </row>
        <row r="255">
          <cell r="I255" t="str">
            <v>T1部件</v>
          </cell>
          <cell r="J255">
            <v>7</v>
          </cell>
          <cell r="K255">
            <v>7.2609923356192013E-2</v>
          </cell>
        </row>
        <row r="256">
          <cell r="I256" t="str">
            <v>T1部件</v>
          </cell>
          <cell r="J256">
            <v>7</v>
          </cell>
          <cell r="K256">
            <v>7.2609923356192013E-2</v>
          </cell>
        </row>
        <row r="257">
          <cell r="I257" t="str">
            <v>T1部件</v>
          </cell>
          <cell r="J257">
            <v>7</v>
          </cell>
          <cell r="K257">
            <v>7.2609923356192013E-2</v>
          </cell>
        </row>
        <row r="258">
          <cell r="I258" t="str">
            <v>T1部件</v>
          </cell>
          <cell r="J258">
            <v>7</v>
          </cell>
          <cell r="K258">
            <v>7.2609923356192013E-2</v>
          </cell>
        </row>
        <row r="259">
          <cell r="I259" t="str">
            <v>T1部件</v>
          </cell>
          <cell r="J259">
            <v>7</v>
          </cell>
          <cell r="K259">
            <v>7.2609923356192013E-2</v>
          </cell>
        </row>
        <row r="260">
          <cell r="I260" t="str">
            <v>T1部件</v>
          </cell>
          <cell r="J260">
            <v>7</v>
          </cell>
          <cell r="K260">
            <v>7.2609923356192013E-2</v>
          </cell>
        </row>
        <row r="261">
          <cell r="I261" t="str">
            <v>T1部件</v>
          </cell>
          <cell r="J261">
            <v>7</v>
          </cell>
          <cell r="K261">
            <v>7.2609923356192013E-2</v>
          </cell>
        </row>
        <row r="262">
          <cell r="I262" t="str">
            <v>T1部件</v>
          </cell>
          <cell r="J262">
            <v>7</v>
          </cell>
          <cell r="K262">
            <v>7.2609923356192013E-2</v>
          </cell>
        </row>
        <row r="263">
          <cell r="I263" t="str">
            <v>T1部件</v>
          </cell>
          <cell r="J263">
            <v>7</v>
          </cell>
          <cell r="K263">
            <v>7.2609923356192013E-2</v>
          </cell>
        </row>
        <row r="264">
          <cell r="I264" t="str">
            <v>T1部件</v>
          </cell>
          <cell r="J264">
            <v>7</v>
          </cell>
          <cell r="K264">
            <v>7.2609923356192013E-2</v>
          </cell>
        </row>
        <row r="265">
          <cell r="I265" t="str">
            <v>T1部件</v>
          </cell>
          <cell r="J265">
            <v>7</v>
          </cell>
          <cell r="K265">
            <v>7.2609923356192013E-2</v>
          </cell>
        </row>
        <row r="266">
          <cell r="I266" t="str">
            <v>T1部件</v>
          </cell>
          <cell r="J266">
            <v>7</v>
          </cell>
          <cell r="K266">
            <v>7.2609923356192013E-2</v>
          </cell>
        </row>
        <row r="267">
          <cell r="I267" t="str">
            <v>T1部件</v>
          </cell>
          <cell r="J267">
            <v>7</v>
          </cell>
          <cell r="K267">
            <v>7.2609923356192013E-2</v>
          </cell>
        </row>
        <row r="268">
          <cell r="I268" t="str">
            <v>T1部件</v>
          </cell>
          <cell r="J268">
            <v>7</v>
          </cell>
          <cell r="K268">
            <v>7.2609923356192013E-2</v>
          </cell>
        </row>
        <row r="269">
          <cell r="I269" t="str">
            <v>T1部件</v>
          </cell>
          <cell r="J269">
            <v>7</v>
          </cell>
          <cell r="K269">
            <v>7.2609923356192013E-2</v>
          </cell>
        </row>
        <row r="270">
          <cell r="I270" t="str">
            <v>T1部件</v>
          </cell>
          <cell r="J270">
            <v>7</v>
          </cell>
          <cell r="K270">
            <v>7.2609923356192013E-2</v>
          </cell>
        </row>
        <row r="271">
          <cell r="I271" t="str">
            <v>T2部件</v>
          </cell>
          <cell r="J271">
            <v>7</v>
          </cell>
          <cell r="K271">
            <v>3.3884630899556276E-2</v>
          </cell>
        </row>
        <row r="272">
          <cell r="I272" t="str">
            <v>T2部件</v>
          </cell>
          <cell r="J272">
            <v>7</v>
          </cell>
          <cell r="K272">
            <v>3.3884630899556276E-2</v>
          </cell>
        </row>
        <row r="273">
          <cell r="I273" t="str">
            <v>T2部件</v>
          </cell>
          <cell r="J273">
            <v>7</v>
          </cell>
          <cell r="K273">
            <v>3.3884630899556276E-2</v>
          </cell>
        </row>
        <row r="274">
          <cell r="I274" t="str">
            <v>T2部件</v>
          </cell>
          <cell r="J274">
            <v>7</v>
          </cell>
          <cell r="K274">
            <v>3.3884630899556276E-2</v>
          </cell>
        </row>
        <row r="275">
          <cell r="I275" t="str">
            <v>T2部件</v>
          </cell>
          <cell r="J275">
            <v>7</v>
          </cell>
          <cell r="K275">
            <v>3.3884630899556276E-2</v>
          </cell>
        </row>
        <row r="276">
          <cell r="I276" t="str">
            <v>T2部件</v>
          </cell>
          <cell r="J276">
            <v>7</v>
          </cell>
          <cell r="K276">
            <v>3.3884630899556276E-2</v>
          </cell>
        </row>
        <row r="277">
          <cell r="I277" t="str">
            <v>T2部件</v>
          </cell>
          <cell r="J277">
            <v>7</v>
          </cell>
          <cell r="K277">
            <v>3.3884630899556276E-2</v>
          </cell>
        </row>
        <row r="278">
          <cell r="I278" t="str">
            <v>T2部件</v>
          </cell>
          <cell r="J278">
            <v>7</v>
          </cell>
          <cell r="K278">
            <v>3.3884630899556276E-2</v>
          </cell>
        </row>
        <row r="279">
          <cell r="I279" t="str">
            <v>T2部件</v>
          </cell>
          <cell r="J279">
            <v>7</v>
          </cell>
          <cell r="K279">
            <v>3.3884630899556276E-2</v>
          </cell>
        </row>
        <row r="280">
          <cell r="I280" t="str">
            <v>T2部件</v>
          </cell>
          <cell r="J280">
            <v>7</v>
          </cell>
          <cell r="K280">
            <v>3.3884630899556276E-2</v>
          </cell>
        </row>
        <row r="281">
          <cell r="I281" t="str">
            <v>T2部件</v>
          </cell>
          <cell r="J281">
            <v>7</v>
          </cell>
          <cell r="K281">
            <v>3.3884630899556276E-2</v>
          </cell>
        </row>
        <row r="282">
          <cell r="I282" t="str">
            <v>T2部件</v>
          </cell>
          <cell r="J282">
            <v>7</v>
          </cell>
          <cell r="K282">
            <v>3.3884630899556276E-2</v>
          </cell>
        </row>
        <row r="283">
          <cell r="I283" t="str">
            <v>T2部件</v>
          </cell>
          <cell r="J283">
            <v>7</v>
          </cell>
          <cell r="K283">
            <v>3.3884630899556276E-2</v>
          </cell>
        </row>
        <row r="284">
          <cell r="I284" t="str">
            <v>T2部件</v>
          </cell>
          <cell r="J284">
            <v>7</v>
          </cell>
          <cell r="K284">
            <v>3.3884630899556276E-2</v>
          </cell>
        </row>
        <row r="285">
          <cell r="I285" t="str">
            <v>T2部件</v>
          </cell>
          <cell r="J285">
            <v>7</v>
          </cell>
          <cell r="K285">
            <v>3.3884630899556276E-2</v>
          </cell>
        </row>
        <row r="286">
          <cell r="I286" t="str">
            <v>T2部件</v>
          </cell>
          <cell r="J286">
            <v>7</v>
          </cell>
          <cell r="K286">
            <v>3.3884630899556276E-2</v>
          </cell>
        </row>
        <row r="287">
          <cell r="I287" t="str">
            <v>T2部件</v>
          </cell>
          <cell r="J287">
            <v>7</v>
          </cell>
          <cell r="K287">
            <v>3.3884630899556276E-2</v>
          </cell>
        </row>
        <row r="288">
          <cell r="I288" t="str">
            <v>T2部件</v>
          </cell>
          <cell r="J288">
            <v>7</v>
          </cell>
          <cell r="K288">
            <v>3.3884630899556276E-2</v>
          </cell>
        </row>
        <row r="289">
          <cell r="I289" t="str">
            <v>T3部件</v>
          </cell>
          <cell r="J289">
            <v>7</v>
          </cell>
          <cell r="K289">
            <v>1.7749092375958047E-2</v>
          </cell>
        </row>
        <row r="290">
          <cell r="I290" t="str">
            <v>T3部件</v>
          </cell>
          <cell r="J290">
            <v>7</v>
          </cell>
          <cell r="K290">
            <v>1.7749092375958047E-2</v>
          </cell>
        </row>
        <row r="291">
          <cell r="I291" t="str">
            <v>T3部件</v>
          </cell>
          <cell r="J291">
            <v>7</v>
          </cell>
          <cell r="K291">
            <v>1.7749092375958047E-2</v>
          </cell>
        </row>
        <row r="292">
          <cell r="I292" t="str">
            <v>T3部件</v>
          </cell>
          <cell r="J292">
            <v>7</v>
          </cell>
          <cell r="K292">
            <v>1.7749092375958047E-2</v>
          </cell>
        </row>
        <row r="293">
          <cell r="I293" t="str">
            <v>T3部件</v>
          </cell>
          <cell r="J293">
            <v>7</v>
          </cell>
          <cell r="K293">
            <v>1.7749092375958047E-2</v>
          </cell>
        </row>
        <row r="294">
          <cell r="I294" t="str">
            <v>T3部件</v>
          </cell>
          <cell r="J294">
            <v>7</v>
          </cell>
          <cell r="K294">
            <v>1.7749092375958047E-2</v>
          </cell>
        </row>
        <row r="295">
          <cell r="I295" t="str">
            <v>T3部件</v>
          </cell>
          <cell r="J295">
            <v>7</v>
          </cell>
          <cell r="K295">
            <v>1.7749092375958047E-2</v>
          </cell>
        </row>
        <row r="296">
          <cell r="I296" t="str">
            <v>T3部件</v>
          </cell>
          <cell r="J296">
            <v>7</v>
          </cell>
          <cell r="K296">
            <v>1.7749092375958047E-2</v>
          </cell>
        </row>
        <row r="297">
          <cell r="I297" t="str">
            <v>T3部件</v>
          </cell>
          <cell r="J297">
            <v>7</v>
          </cell>
          <cell r="K297">
            <v>1.7749092375958047E-2</v>
          </cell>
        </row>
        <row r="298">
          <cell r="I298" t="str">
            <v>T3部件</v>
          </cell>
          <cell r="J298">
            <v>7</v>
          </cell>
          <cell r="K298">
            <v>1.7749092375958047E-2</v>
          </cell>
        </row>
        <row r="299">
          <cell r="I299" t="str">
            <v>T3部件</v>
          </cell>
          <cell r="J299">
            <v>7</v>
          </cell>
          <cell r="K299">
            <v>1.7749092375958047E-2</v>
          </cell>
        </row>
        <row r="300">
          <cell r="I300" t="str">
            <v>T3部件</v>
          </cell>
          <cell r="J300">
            <v>7</v>
          </cell>
          <cell r="K300">
            <v>1.7749092375958047E-2</v>
          </cell>
        </row>
        <row r="301">
          <cell r="I301" t="str">
            <v>T3部件</v>
          </cell>
          <cell r="J301">
            <v>7</v>
          </cell>
          <cell r="K301">
            <v>1.7749092375958047E-2</v>
          </cell>
        </row>
        <row r="302">
          <cell r="I302" t="str">
            <v>T3部件</v>
          </cell>
          <cell r="J302">
            <v>7</v>
          </cell>
          <cell r="K302">
            <v>1.7749092375958047E-2</v>
          </cell>
        </row>
        <row r="303">
          <cell r="I303" t="str">
            <v>T3部件</v>
          </cell>
          <cell r="J303">
            <v>7</v>
          </cell>
          <cell r="K303">
            <v>1.7749092375958047E-2</v>
          </cell>
        </row>
        <row r="304">
          <cell r="I304" t="str">
            <v>T3部件</v>
          </cell>
          <cell r="J304">
            <v>7</v>
          </cell>
          <cell r="K304">
            <v>1.7749092375958047E-2</v>
          </cell>
        </row>
        <row r="305">
          <cell r="I305" t="str">
            <v>T3部件</v>
          </cell>
          <cell r="J305">
            <v>7</v>
          </cell>
          <cell r="K305">
            <v>1.7749092375958047E-2</v>
          </cell>
        </row>
        <row r="306">
          <cell r="I306" t="str">
            <v>T3部件</v>
          </cell>
          <cell r="J306">
            <v>7</v>
          </cell>
          <cell r="K306">
            <v>1.7749092375958047E-2</v>
          </cell>
        </row>
        <row r="307">
          <cell r="I307" t="str">
            <v>T0坦克</v>
          </cell>
          <cell r="J307">
            <v>7</v>
          </cell>
          <cell r="K307">
            <v>2.218636546994756E-2</v>
          </cell>
        </row>
        <row r="308">
          <cell r="I308" t="str">
            <v>T0坦克</v>
          </cell>
          <cell r="J308">
            <v>7</v>
          </cell>
          <cell r="K308">
            <v>1.4521984671238403E-2</v>
          </cell>
        </row>
        <row r="309">
          <cell r="I309" t="str">
            <v>T0坦克</v>
          </cell>
          <cell r="J309">
            <v>7</v>
          </cell>
          <cell r="K309">
            <v>2.218636546994756E-2</v>
          </cell>
        </row>
        <row r="310">
          <cell r="I310" t="str">
            <v>T0坦克</v>
          </cell>
          <cell r="J310">
            <v>7</v>
          </cell>
          <cell r="K310">
            <v>2.501008471157725E-2</v>
          </cell>
        </row>
        <row r="311">
          <cell r="I311" t="str">
            <v>T1碎片</v>
          </cell>
          <cell r="J311">
            <v>8</v>
          </cell>
          <cell r="K311">
            <v>0.72609923356192008</v>
          </cell>
        </row>
        <row r="312">
          <cell r="I312" t="str">
            <v>T1碎片</v>
          </cell>
          <cell r="J312">
            <v>8</v>
          </cell>
          <cell r="K312">
            <v>0.72609923356192008</v>
          </cell>
        </row>
        <row r="313">
          <cell r="I313" t="str">
            <v>T1碎片</v>
          </cell>
          <cell r="J313">
            <v>8</v>
          </cell>
          <cell r="K313">
            <v>0.72609923356192008</v>
          </cell>
        </row>
        <row r="314">
          <cell r="I314" t="str">
            <v>T2碎片</v>
          </cell>
          <cell r="J314">
            <v>8</v>
          </cell>
          <cell r="K314">
            <v>0.1936264622831787</v>
          </cell>
        </row>
        <row r="315">
          <cell r="I315" t="str">
            <v>T2碎片</v>
          </cell>
          <cell r="J315">
            <v>8</v>
          </cell>
          <cell r="K315">
            <v>0.1936264622831787</v>
          </cell>
        </row>
        <row r="316">
          <cell r="I316" t="str">
            <v>T2碎片</v>
          </cell>
          <cell r="J316">
            <v>8</v>
          </cell>
          <cell r="K316">
            <v>0.1936264622831787</v>
          </cell>
        </row>
        <row r="317">
          <cell r="I317" t="str">
            <v>T3碎片</v>
          </cell>
          <cell r="J317">
            <v>8</v>
          </cell>
          <cell r="K317">
            <v>1.1343283582089552</v>
          </cell>
        </row>
        <row r="318">
          <cell r="I318" t="str">
            <v>T3碎片</v>
          </cell>
          <cell r="J318">
            <v>8</v>
          </cell>
          <cell r="K318">
            <v>1.1343283582089552</v>
          </cell>
        </row>
        <row r="319">
          <cell r="I319" t="str">
            <v>T3碎片</v>
          </cell>
          <cell r="J319">
            <v>8</v>
          </cell>
          <cell r="K319">
            <v>1.1343283582089552</v>
          </cell>
        </row>
        <row r="320">
          <cell r="I320" t="str">
            <v>T3碎片</v>
          </cell>
          <cell r="J320">
            <v>8</v>
          </cell>
          <cell r="K320">
            <v>0.56877773295683742</v>
          </cell>
        </row>
        <row r="321">
          <cell r="I321" t="str">
            <v>T3碎片</v>
          </cell>
          <cell r="J321">
            <v>8</v>
          </cell>
          <cell r="K321">
            <v>0.56877773295683742</v>
          </cell>
        </row>
        <row r="322">
          <cell r="I322" t="str">
            <v>T3碎片</v>
          </cell>
          <cell r="J322">
            <v>8</v>
          </cell>
          <cell r="K322">
            <v>0.56877773295683742</v>
          </cell>
        </row>
        <row r="323">
          <cell r="I323" t="str">
            <v>T1部件</v>
          </cell>
          <cell r="J323">
            <v>8</v>
          </cell>
          <cell r="K323">
            <v>7.2609923356192013E-2</v>
          </cell>
        </row>
        <row r="324">
          <cell r="I324" t="str">
            <v>T1部件</v>
          </cell>
          <cell r="J324">
            <v>8</v>
          </cell>
          <cell r="K324">
            <v>7.2609923356192013E-2</v>
          </cell>
        </row>
        <row r="325">
          <cell r="I325" t="str">
            <v>T1部件</v>
          </cell>
          <cell r="J325">
            <v>8</v>
          </cell>
          <cell r="K325">
            <v>7.2609923356192013E-2</v>
          </cell>
        </row>
        <row r="326">
          <cell r="I326" t="str">
            <v>T1部件</v>
          </cell>
          <cell r="J326">
            <v>8</v>
          </cell>
          <cell r="K326">
            <v>7.2609923356192013E-2</v>
          </cell>
        </row>
        <row r="327">
          <cell r="I327" t="str">
            <v>T1部件</v>
          </cell>
          <cell r="J327">
            <v>8</v>
          </cell>
          <cell r="K327">
            <v>7.2609923356192013E-2</v>
          </cell>
        </row>
        <row r="328">
          <cell r="I328" t="str">
            <v>T1部件</v>
          </cell>
          <cell r="J328">
            <v>8</v>
          </cell>
          <cell r="K328">
            <v>7.2609923356192013E-2</v>
          </cell>
        </row>
        <row r="329">
          <cell r="I329" t="str">
            <v>T1部件</v>
          </cell>
          <cell r="J329">
            <v>8</v>
          </cell>
          <cell r="K329">
            <v>7.2609923356192013E-2</v>
          </cell>
        </row>
        <row r="330">
          <cell r="I330" t="str">
            <v>T1部件</v>
          </cell>
          <cell r="J330">
            <v>8</v>
          </cell>
          <cell r="K330">
            <v>7.2609923356192013E-2</v>
          </cell>
        </row>
        <row r="331">
          <cell r="I331" t="str">
            <v>T1部件</v>
          </cell>
          <cell r="J331">
            <v>8</v>
          </cell>
          <cell r="K331">
            <v>7.2609923356192013E-2</v>
          </cell>
        </row>
        <row r="332">
          <cell r="I332" t="str">
            <v>T1部件</v>
          </cell>
          <cell r="J332">
            <v>8</v>
          </cell>
          <cell r="K332">
            <v>7.2609923356192013E-2</v>
          </cell>
        </row>
        <row r="333">
          <cell r="I333" t="str">
            <v>T1部件</v>
          </cell>
          <cell r="J333">
            <v>8</v>
          </cell>
          <cell r="K333">
            <v>7.2609923356192013E-2</v>
          </cell>
        </row>
        <row r="334">
          <cell r="I334" t="str">
            <v>T1部件</v>
          </cell>
          <cell r="J334">
            <v>8</v>
          </cell>
          <cell r="K334">
            <v>7.2609923356192013E-2</v>
          </cell>
        </row>
        <row r="335">
          <cell r="I335" t="str">
            <v>T1部件</v>
          </cell>
          <cell r="J335">
            <v>8</v>
          </cell>
          <cell r="K335">
            <v>7.2609923356192013E-2</v>
          </cell>
        </row>
        <row r="336">
          <cell r="I336" t="str">
            <v>T1部件</v>
          </cell>
          <cell r="J336">
            <v>8</v>
          </cell>
          <cell r="K336">
            <v>7.2609923356192013E-2</v>
          </cell>
        </row>
        <row r="337">
          <cell r="I337" t="str">
            <v>T1部件</v>
          </cell>
          <cell r="J337">
            <v>8</v>
          </cell>
          <cell r="K337">
            <v>7.2609923356192013E-2</v>
          </cell>
        </row>
        <row r="338">
          <cell r="I338" t="str">
            <v>T1部件</v>
          </cell>
          <cell r="J338">
            <v>8</v>
          </cell>
          <cell r="K338">
            <v>7.2609923356192013E-2</v>
          </cell>
        </row>
        <row r="339">
          <cell r="I339" t="str">
            <v>T1部件</v>
          </cell>
          <cell r="J339">
            <v>8</v>
          </cell>
          <cell r="K339">
            <v>7.2609923356192013E-2</v>
          </cell>
        </row>
        <row r="340">
          <cell r="I340" t="str">
            <v>T1部件</v>
          </cell>
          <cell r="J340">
            <v>8</v>
          </cell>
          <cell r="K340">
            <v>7.2609923356192013E-2</v>
          </cell>
        </row>
        <row r="341">
          <cell r="I341" t="str">
            <v>T2部件</v>
          </cell>
          <cell r="J341">
            <v>8</v>
          </cell>
          <cell r="K341">
            <v>3.3884630899556276E-2</v>
          </cell>
        </row>
        <row r="342">
          <cell r="I342" t="str">
            <v>T2部件</v>
          </cell>
          <cell r="J342">
            <v>8</v>
          </cell>
          <cell r="K342">
            <v>3.3884630899556276E-2</v>
          </cell>
        </row>
        <row r="343">
          <cell r="I343" t="str">
            <v>T2部件</v>
          </cell>
          <cell r="J343">
            <v>8</v>
          </cell>
          <cell r="K343">
            <v>3.3884630899556276E-2</v>
          </cell>
        </row>
        <row r="344">
          <cell r="I344" t="str">
            <v>T2部件</v>
          </cell>
          <cell r="J344">
            <v>8</v>
          </cell>
          <cell r="K344">
            <v>3.3884630899556276E-2</v>
          </cell>
        </row>
        <row r="345">
          <cell r="I345" t="str">
            <v>T2部件</v>
          </cell>
          <cell r="J345">
            <v>8</v>
          </cell>
          <cell r="K345">
            <v>3.3884630899556276E-2</v>
          </cell>
        </row>
        <row r="346">
          <cell r="I346" t="str">
            <v>T2部件</v>
          </cell>
          <cell r="J346">
            <v>8</v>
          </cell>
          <cell r="K346">
            <v>3.3884630899556276E-2</v>
          </cell>
        </row>
        <row r="347">
          <cell r="I347" t="str">
            <v>T2部件</v>
          </cell>
          <cell r="J347">
            <v>8</v>
          </cell>
          <cell r="K347">
            <v>3.3884630899556276E-2</v>
          </cell>
        </row>
        <row r="348">
          <cell r="I348" t="str">
            <v>T2部件</v>
          </cell>
          <cell r="J348">
            <v>8</v>
          </cell>
          <cell r="K348">
            <v>3.3884630899556276E-2</v>
          </cell>
        </row>
        <row r="349">
          <cell r="I349" t="str">
            <v>T2部件</v>
          </cell>
          <cell r="J349">
            <v>8</v>
          </cell>
          <cell r="K349">
            <v>3.3884630899556276E-2</v>
          </cell>
        </row>
        <row r="350">
          <cell r="I350" t="str">
            <v>T2部件</v>
          </cell>
          <cell r="J350">
            <v>8</v>
          </cell>
          <cell r="K350">
            <v>3.3884630899556276E-2</v>
          </cell>
        </row>
        <row r="351">
          <cell r="I351" t="str">
            <v>T2部件</v>
          </cell>
          <cell r="J351">
            <v>8</v>
          </cell>
          <cell r="K351">
            <v>3.3884630899556276E-2</v>
          </cell>
        </row>
        <row r="352">
          <cell r="I352" t="str">
            <v>T2部件</v>
          </cell>
          <cell r="J352">
            <v>8</v>
          </cell>
          <cell r="K352">
            <v>3.3884630899556276E-2</v>
          </cell>
        </row>
        <row r="353">
          <cell r="I353" t="str">
            <v>T2部件</v>
          </cell>
          <cell r="J353">
            <v>8</v>
          </cell>
          <cell r="K353">
            <v>3.3884630899556276E-2</v>
          </cell>
        </row>
        <row r="354">
          <cell r="I354" t="str">
            <v>T2部件</v>
          </cell>
          <cell r="J354">
            <v>8</v>
          </cell>
          <cell r="K354">
            <v>3.3884630899556276E-2</v>
          </cell>
        </row>
        <row r="355">
          <cell r="I355" t="str">
            <v>T2部件</v>
          </cell>
          <cell r="J355">
            <v>8</v>
          </cell>
          <cell r="K355">
            <v>3.3884630899556276E-2</v>
          </cell>
        </row>
        <row r="356">
          <cell r="I356" t="str">
            <v>T2部件</v>
          </cell>
          <cell r="J356">
            <v>8</v>
          </cell>
          <cell r="K356">
            <v>3.3884630899556276E-2</v>
          </cell>
        </row>
        <row r="357">
          <cell r="I357" t="str">
            <v>T2部件</v>
          </cell>
          <cell r="J357">
            <v>8</v>
          </cell>
          <cell r="K357">
            <v>3.3884630899556276E-2</v>
          </cell>
        </row>
        <row r="358">
          <cell r="I358" t="str">
            <v>T2部件</v>
          </cell>
          <cell r="J358">
            <v>8</v>
          </cell>
          <cell r="K358">
            <v>3.3884630899556276E-2</v>
          </cell>
        </row>
        <row r="359">
          <cell r="I359" t="str">
            <v>T3部件</v>
          </cell>
          <cell r="J359">
            <v>8</v>
          </cell>
          <cell r="K359">
            <v>1.7749092375958047E-2</v>
          </cell>
        </row>
        <row r="360">
          <cell r="I360" t="str">
            <v>T3部件</v>
          </cell>
          <cell r="J360">
            <v>8</v>
          </cell>
          <cell r="K360">
            <v>1.7749092375958047E-2</v>
          </cell>
        </row>
        <row r="361">
          <cell r="I361" t="str">
            <v>T3部件</v>
          </cell>
          <cell r="J361">
            <v>8</v>
          </cell>
          <cell r="K361">
            <v>1.7749092375958047E-2</v>
          </cell>
        </row>
        <row r="362">
          <cell r="I362" t="str">
            <v>T3部件</v>
          </cell>
          <cell r="J362">
            <v>8</v>
          </cell>
          <cell r="K362">
            <v>1.7749092375958047E-2</v>
          </cell>
        </row>
        <row r="363">
          <cell r="I363" t="str">
            <v>T3部件</v>
          </cell>
          <cell r="J363">
            <v>8</v>
          </cell>
          <cell r="K363">
            <v>1.7749092375958047E-2</v>
          </cell>
        </row>
        <row r="364">
          <cell r="I364" t="str">
            <v>T3部件</v>
          </cell>
          <cell r="J364">
            <v>8</v>
          </cell>
          <cell r="K364">
            <v>1.7749092375958047E-2</v>
          </cell>
        </row>
        <row r="365">
          <cell r="I365" t="str">
            <v>T3部件</v>
          </cell>
          <cell r="J365">
            <v>8</v>
          </cell>
          <cell r="K365">
            <v>1.7749092375958047E-2</v>
          </cell>
        </row>
        <row r="366">
          <cell r="I366" t="str">
            <v>T3部件</v>
          </cell>
          <cell r="J366">
            <v>8</v>
          </cell>
          <cell r="K366">
            <v>1.7749092375958047E-2</v>
          </cell>
        </row>
        <row r="367">
          <cell r="I367" t="str">
            <v>T3部件</v>
          </cell>
          <cell r="J367">
            <v>8</v>
          </cell>
          <cell r="K367">
            <v>1.7749092375958047E-2</v>
          </cell>
        </row>
        <row r="368">
          <cell r="I368" t="str">
            <v>T3部件</v>
          </cell>
          <cell r="J368">
            <v>8</v>
          </cell>
          <cell r="K368">
            <v>1.7749092375958047E-2</v>
          </cell>
        </row>
        <row r="369">
          <cell r="I369" t="str">
            <v>T3部件</v>
          </cell>
          <cell r="J369">
            <v>8</v>
          </cell>
          <cell r="K369">
            <v>1.7749092375958047E-2</v>
          </cell>
        </row>
        <row r="370">
          <cell r="I370" t="str">
            <v>T3部件</v>
          </cell>
          <cell r="J370">
            <v>8</v>
          </cell>
          <cell r="K370">
            <v>1.7749092375958047E-2</v>
          </cell>
        </row>
        <row r="371">
          <cell r="I371" t="str">
            <v>T3部件</v>
          </cell>
          <cell r="J371">
            <v>8</v>
          </cell>
          <cell r="K371">
            <v>1.7749092375958047E-2</v>
          </cell>
        </row>
        <row r="372">
          <cell r="I372" t="str">
            <v>T3部件</v>
          </cell>
          <cell r="J372">
            <v>8</v>
          </cell>
          <cell r="K372">
            <v>1.7749092375958047E-2</v>
          </cell>
        </row>
        <row r="373">
          <cell r="I373" t="str">
            <v>T3部件</v>
          </cell>
          <cell r="J373">
            <v>8</v>
          </cell>
          <cell r="K373">
            <v>1.7749092375958047E-2</v>
          </cell>
        </row>
        <row r="374">
          <cell r="I374" t="str">
            <v>T3部件</v>
          </cell>
          <cell r="J374">
            <v>8</v>
          </cell>
          <cell r="K374">
            <v>1.7749092375958047E-2</v>
          </cell>
        </row>
        <row r="375">
          <cell r="I375" t="str">
            <v>T3部件</v>
          </cell>
          <cell r="J375">
            <v>8</v>
          </cell>
          <cell r="K375">
            <v>1.7749092375958047E-2</v>
          </cell>
        </row>
        <row r="376">
          <cell r="I376" t="str">
            <v>T3部件</v>
          </cell>
          <cell r="J376">
            <v>8</v>
          </cell>
          <cell r="K376">
            <v>1.7749092375958047E-2</v>
          </cell>
        </row>
        <row r="377">
          <cell r="I377" t="str">
            <v>T0坦克</v>
          </cell>
          <cell r="J377">
            <v>8</v>
          </cell>
          <cell r="K377">
            <v>2.218636546994756E-2</v>
          </cell>
        </row>
        <row r="378">
          <cell r="I378" t="str">
            <v>T0坦克</v>
          </cell>
          <cell r="J378">
            <v>8</v>
          </cell>
          <cell r="K378">
            <v>1.4521984671238403E-2</v>
          </cell>
        </row>
        <row r="379">
          <cell r="I379" t="str">
            <v>T0坦克</v>
          </cell>
          <cell r="J379">
            <v>8</v>
          </cell>
          <cell r="K379">
            <v>2.218636546994756E-2</v>
          </cell>
        </row>
        <row r="380">
          <cell r="I380" t="str">
            <v>T0坦克</v>
          </cell>
          <cell r="J380">
            <v>8</v>
          </cell>
          <cell r="K380">
            <v>2.501008471157725E-2</v>
          </cell>
        </row>
        <row r="381">
          <cell r="I381" t="str">
            <v>T1碎片</v>
          </cell>
          <cell r="J381">
            <v>9</v>
          </cell>
          <cell r="K381">
            <v>0.72609923356192008</v>
          </cell>
        </row>
        <row r="382">
          <cell r="I382" t="str">
            <v>T1碎片</v>
          </cell>
          <cell r="J382">
            <v>9</v>
          </cell>
          <cell r="K382">
            <v>0.72609923356192008</v>
          </cell>
        </row>
        <row r="383">
          <cell r="I383" t="str">
            <v>T1碎片</v>
          </cell>
          <cell r="J383">
            <v>9</v>
          </cell>
          <cell r="K383">
            <v>0.72609923356192008</v>
          </cell>
        </row>
        <row r="384">
          <cell r="I384" t="str">
            <v>T2碎片</v>
          </cell>
          <cell r="J384">
            <v>9</v>
          </cell>
          <cell r="K384">
            <v>0.1936264622831787</v>
          </cell>
        </row>
        <row r="385">
          <cell r="I385" t="str">
            <v>T2碎片</v>
          </cell>
          <cell r="J385">
            <v>9</v>
          </cell>
          <cell r="K385">
            <v>0.1936264622831787</v>
          </cell>
        </row>
        <row r="386">
          <cell r="I386" t="str">
            <v>T2碎片</v>
          </cell>
          <cell r="J386">
            <v>9</v>
          </cell>
          <cell r="K386">
            <v>0.1936264622831787</v>
          </cell>
        </row>
        <row r="387">
          <cell r="I387" t="str">
            <v>T3碎片</v>
          </cell>
          <cell r="J387">
            <v>9</v>
          </cell>
          <cell r="K387">
            <v>1.1343283582089552</v>
          </cell>
        </row>
        <row r="388">
          <cell r="I388" t="str">
            <v>T3碎片</v>
          </cell>
          <cell r="J388">
            <v>9</v>
          </cell>
          <cell r="K388">
            <v>1.1343283582089552</v>
          </cell>
        </row>
        <row r="389">
          <cell r="I389" t="str">
            <v>T3碎片</v>
          </cell>
          <cell r="J389">
            <v>9</v>
          </cell>
          <cell r="K389">
            <v>1.1343283582089552</v>
          </cell>
        </row>
        <row r="390">
          <cell r="I390" t="str">
            <v>T3碎片</v>
          </cell>
          <cell r="J390">
            <v>9</v>
          </cell>
          <cell r="K390">
            <v>0.56877773295683742</v>
          </cell>
        </row>
        <row r="391">
          <cell r="I391" t="str">
            <v>T3碎片</v>
          </cell>
          <cell r="J391">
            <v>9</v>
          </cell>
          <cell r="K391">
            <v>0.56877773295683742</v>
          </cell>
        </row>
        <row r="392">
          <cell r="I392" t="str">
            <v>T3碎片</v>
          </cell>
          <cell r="J392">
            <v>9</v>
          </cell>
          <cell r="K392">
            <v>0.56877773295683742</v>
          </cell>
        </row>
        <row r="393">
          <cell r="I393" t="str">
            <v>T1部件</v>
          </cell>
          <cell r="J393">
            <v>9</v>
          </cell>
          <cell r="K393">
            <v>7.2609923356192013E-2</v>
          </cell>
        </row>
        <row r="394">
          <cell r="I394" t="str">
            <v>T1部件</v>
          </cell>
          <cell r="J394">
            <v>9</v>
          </cell>
          <cell r="K394">
            <v>7.2609923356192013E-2</v>
          </cell>
        </row>
        <row r="395">
          <cell r="I395" t="str">
            <v>T1部件</v>
          </cell>
          <cell r="J395">
            <v>9</v>
          </cell>
          <cell r="K395">
            <v>7.2609923356192013E-2</v>
          </cell>
        </row>
        <row r="396">
          <cell r="I396" t="str">
            <v>T1部件</v>
          </cell>
          <cell r="J396">
            <v>9</v>
          </cell>
          <cell r="K396">
            <v>7.2609923356192013E-2</v>
          </cell>
        </row>
        <row r="397">
          <cell r="I397" t="str">
            <v>T1部件</v>
          </cell>
          <cell r="J397">
            <v>9</v>
          </cell>
          <cell r="K397">
            <v>7.2609923356192013E-2</v>
          </cell>
        </row>
        <row r="398">
          <cell r="I398" t="str">
            <v>T1部件</v>
          </cell>
          <cell r="J398">
            <v>9</v>
          </cell>
          <cell r="K398">
            <v>7.2609923356192013E-2</v>
          </cell>
        </row>
        <row r="399">
          <cell r="I399" t="str">
            <v>T1部件</v>
          </cell>
          <cell r="J399">
            <v>9</v>
          </cell>
          <cell r="K399">
            <v>7.2609923356192013E-2</v>
          </cell>
        </row>
        <row r="400">
          <cell r="I400" t="str">
            <v>T1部件</v>
          </cell>
          <cell r="J400">
            <v>9</v>
          </cell>
          <cell r="K400">
            <v>7.2609923356192013E-2</v>
          </cell>
        </row>
        <row r="401">
          <cell r="I401" t="str">
            <v>T1部件</v>
          </cell>
          <cell r="J401">
            <v>9</v>
          </cell>
          <cell r="K401">
            <v>7.2609923356192013E-2</v>
          </cell>
        </row>
        <row r="402">
          <cell r="I402" t="str">
            <v>T1部件</v>
          </cell>
          <cell r="J402">
            <v>9</v>
          </cell>
          <cell r="K402">
            <v>7.2609923356192013E-2</v>
          </cell>
        </row>
        <row r="403">
          <cell r="I403" t="str">
            <v>T1部件</v>
          </cell>
          <cell r="J403">
            <v>9</v>
          </cell>
          <cell r="K403">
            <v>7.2609923356192013E-2</v>
          </cell>
        </row>
        <row r="404">
          <cell r="I404" t="str">
            <v>T1部件</v>
          </cell>
          <cell r="J404">
            <v>9</v>
          </cell>
          <cell r="K404">
            <v>7.2609923356192013E-2</v>
          </cell>
        </row>
        <row r="405">
          <cell r="I405" t="str">
            <v>T1部件</v>
          </cell>
          <cell r="J405">
            <v>9</v>
          </cell>
          <cell r="K405">
            <v>7.2609923356192013E-2</v>
          </cell>
        </row>
        <row r="406">
          <cell r="I406" t="str">
            <v>T1部件</v>
          </cell>
          <cell r="J406">
            <v>9</v>
          </cell>
          <cell r="K406">
            <v>7.2609923356192013E-2</v>
          </cell>
        </row>
        <row r="407">
          <cell r="I407" t="str">
            <v>T1部件</v>
          </cell>
          <cell r="J407">
            <v>9</v>
          </cell>
          <cell r="K407">
            <v>7.2609923356192013E-2</v>
          </cell>
        </row>
        <row r="408">
          <cell r="I408" t="str">
            <v>T1部件</v>
          </cell>
          <cell r="J408">
            <v>9</v>
          </cell>
          <cell r="K408">
            <v>7.2609923356192013E-2</v>
          </cell>
        </row>
        <row r="409">
          <cell r="I409" t="str">
            <v>T1部件</v>
          </cell>
          <cell r="J409">
            <v>9</v>
          </cell>
          <cell r="K409">
            <v>7.2609923356192013E-2</v>
          </cell>
        </row>
        <row r="410">
          <cell r="I410" t="str">
            <v>T1部件</v>
          </cell>
          <cell r="J410">
            <v>9</v>
          </cell>
          <cell r="K410">
            <v>7.2609923356192013E-2</v>
          </cell>
        </row>
        <row r="411">
          <cell r="I411" t="str">
            <v>T2部件</v>
          </cell>
          <cell r="J411">
            <v>9</v>
          </cell>
          <cell r="K411">
            <v>3.3884630899556276E-2</v>
          </cell>
        </row>
        <row r="412">
          <cell r="I412" t="str">
            <v>T2部件</v>
          </cell>
          <cell r="J412">
            <v>9</v>
          </cell>
          <cell r="K412">
            <v>3.3884630899556276E-2</v>
          </cell>
        </row>
        <row r="413">
          <cell r="I413" t="str">
            <v>T2部件</v>
          </cell>
          <cell r="J413">
            <v>9</v>
          </cell>
          <cell r="K413">
            <v>3.3884630899556276E-2</v>
          </cell>
        </row>
        <row r="414">
          <cell r="I414" t="str">
            <v>T2部件</v>
          </cell>
          <cell r="J414">
            <v>9</v>
          </cell>
          <cell r="K414">
            <v>3.3884630899556276E-2</v>
          </cell>
        </row>
        <row r="415">
          <cell r="I415" t="str">
            <v>T2部件</v>
          </cell>
          <cell r="J415">
            <v>9</v>
          </cell>
          <cell r="K415">
            <v>3.3884630899556276E-2</v>
          </cell>
        </row>
        <row r="416">
          <cell r="I416" t="str">
            <v>T2部件</v>
          </cell>
          <cell r="J416">
            <v>9</v>
          </cell>
          <cell r="K416">
            <v>3.3884630899556276E-2</v>
          </cell>
        </row>
        <row r="417">
          <cell r="I417" t="str">
            <v>T2部件</v>
          </cell>
          <cell r="J417">
            <v>9</v>
          </cell>
          <cell r="K417">
            <v>3.3884630899556276E-2</v>
          </cell>
        </row>
        <row r="418">
          <cell r="I418" t="str">
            <v>T2部件</v>
          </cell>
          <cell r="J418">
            <v>9</v>
          </cell>
          <cell r="K418">
            <v>3.3884630899556276E-2</v>
          </cell>
        </row>
        <row r="419">
          <cell r="I419" t="str">
            <v>T2部件</v>
          </cell>
          <cell r="J419">
            <v>9</v>
          </cell>
          <cell r="K419">
            <v>3.3884630899556276E-2</v>
          </cell>
        </row>
        <row r="420">
          <cell r="I420" t="str">
            <v>T2部件</v>
          </cell>
          <cell r="J420">
            <v>9</v>
          </cell>
          <cell r="K420">
            <v>3.3884630899556276E-2</v>
          </cell>
        </row>
        <row r="421">
          <cell r="I421" t="str">
            <v>T2部件</v>
          </cell>
          <cell r="J421">
            <v>9</v>
          </cell>
          <cell r="K421">
            <v>3.3884630899556276E-2</v>
          </cell>
        </row>
        <row r="422">
          <cell r="I422" t="str">
            <v>T2部件</v>
          </cell>
          <cell r="J422">
            <v>9</v>
          </cell>
          <cell r="K422">
            <v>3.3884630899556276E-2</v>
          </cell>
        </row>
        <row r="423">
          <cell r="I423" t="str">
            <v>T2部件</v>
          </cell>
          <cell r="J423">
            <v>9</v>
          </cell>
          <cell r="K423">
            <v>3.3884630899556276E-2</v>
          </cell>
        </row>
        <row r="424">
          <cell r="I424" t="str">
            <v>T2部件</v>
          </cell>
          <cell r="J424">
            <v>9</v>
          </cell>
          <cell r="K424">
            <v>3.3884630899556276E-2</v>
          </cell>
        </row>
        <row r="425">
          <cell r="I425" t="str">
            <v>T2部件</v>
          </cell>
          <cell r="J425">
            <v>9</v>
          </cell>
          <cell r="K425">
            <v>3.3884630899556276E-2</v>
          </cell>
        </row>
        <row r="426">
          <cell r="I426" t="str">
            <v>T2部件</v>
          </cell>
          <cell r="J426">
            <v>9</v>
          </cell>
          <cell r="K426">
            <v>3.3884630899556276E-2</v>
          </cell>
        </row>
        <row r="427">
          <cell r="I427" t="str">
            <v>T2部件</v>
          </cell>
          <cell r="J427">
            <v>9</v>
          </cell>
          <cell r="K427">
            <v>3.3884630899556276E-2</v>
          </cell>
        </row>
        <row r="428">
          <cell r="I428" t="str">
            <v>T2部件</v>
          </cell>
          <cell r="J428">
            <v>9</v>
          </cell>
          <cell r="K428">
            <v>3.3884630899556276E-2</v>
          </cell>
        </row>
        <row r="429">
          <cell r="I429" t="str">
            <v>T3部件</v>
          </cell>
          <cell r="J429">
            <v>9</v>
          </cell>
          <cell r="K429">
            <v>1.7749092375958047E-2</v>
          </cell>
        </row>
        <row r="430">
          <cell r="I430" t="str">
            <v>T3部件</v>
          </cell>
          <cell r="J430">
            <v>9</v>
          </cell>
          <cell r="K430">
            <v>1.7749092375958047E-2</v>
          </cell>
        </row>
        <row r="431">
          <cell r="I431" t="str">
            <v>T3部件</v>
          </cell>
          <cell r="J431">
            <v>9</v>
          </cell>
          <cell r="K431">
            <v>1.7749092375958047E-2</v>
          </cell>
        </row>
        <row r="432">
          <cell r="I432" t="str">
            <v>T3部件</v>
          </cell>
          <cell r="J432">
            <v>9</v>
          </cell>
          <cell r="K432">
            <v>1.7749092375958047E-2</v>
          </cell>
        </row>
        <row r="433">
          <cell r="I433" t="str">
            <v>T3部件</v>
          </cell>
          <cell r="J433">
            <v>9</v>
          </cell>
          <cell r="K433">
            <v>1.7749092375958047E-2</v>
          </cell>
        </row>
        <row r="434">
          <cell r="I434" t="str">
            <v>T3部件</v>
          </cell>
          <cell r="J434">
            <v>9</v>
          </cell>
          <cell r="K434">
            <v>1.7749092375958047E-2</v>
          </cell>
        </row>
        <row r="435">
          <cell r="I435" t="str">
            <v>T3部件</v>
          </cell>
          <cell r="J435">
            <v>9</v>
          </cell>
          <cell r="K435">
            <v>1.7749092375958047E-2</v>
          </cell>
        </row>
        <row r="436">
          <cell r="I436" t="str">
            <v>T3部件</v>
          </cell>
          <cell r="J436">
            <v>9</v>
          </cell>
          <cell r="K436">
            <v>1.7749092375958047E-2</v>
          </cell>
        </row>
        <row r="437">
          <cell r="I437" t="str">
            <v>T3部件</v>
          </cell>
          <cell r="J437">
            <v>9</v>
          </cell>
          <cell r="K437">
            <v>1.7749092375958047E-2</v>
          </cell>
        </row>
        <row r="438">
          <cell r="I438" t="str">
            <v>T3部件</v>
          </cell>
          <cell r="J438">
            <v>9</v>
          </cell>
          <cell r="K438">
            <v>1.7749092375958047E-2</v>
          </cell>
        </row>
        <row r="439">
          <cell r="I439" t="str">
            <v>T3部件</v>
          </cell>
          <cell r="J439">
            <v>9</v>
          </cell>
          <cell r="K439">
            <v>1.7749092375958047E-2</v>
          </cell>
        </row>
        <row r="440">
          <cell r="I440" t="str">
            <v>T3部件</v>
          </cell>
          <cell r="J440">
            <v>9</v>
          </cell>
          <cell r="K440">
            <v>1.7749092375958047E-2</v>
          </cell>
        </row>
        <row r="441">
          <cell r="I441" t="str">
            <v>T3部件</v>
          </cell>
          <cell r="J441">
            <v>9</v>
          </cell>
          <cell r="K441">
            <v>1.7749092375958047E-2</v>
          </cell>
        </row>
        <row r="442">
          <cell r="I442" t="str">
            <v>T3部件</v>
          </cell>
          <cell r="J442">
            <v>9</v>
          </cell>
          <cell r="K442">
            <v>1.7749092375958047E-2</v>
          </cell>
        </row>
        <row r="443">
          <cell r="I443" t="str">
            <v>T3部件</v>
          </cell>
          <cell r="J443">
            <v>9</v>
          </cell>
          <cell r="K443">
            <v>1.7749092375958047E-2</v>
          </cell>
        </row>
        <row r="444">
          <cell r="I444" t="str">
            <v>T3部件</v>
          </cell>
          <cell r="J444">
            <v>9</v>
          </cell>
          <cell r="K444">
            <v>1.7749092375958047E-2</v>
          </cell>
        </row>
        <row r="445">
          <cell r="I445" t="str">
            <v>T3部件</v>
          </cell>
          <cell r="J445">
            <v>9</v>
          </cell>
          <cell r="K445">
            <v>1.7749092375958047E-2</v>
          </cell>
        </row>
        <row r="446">
          <cell r="I446" t="str">
            <v>T3部件</v>
          </cell>
          <cell r="J446">
            <v>9</v>
          </cell>
          <cell r="K446">
            <v>1.7749092375958047E-2</v>
          </cell>
        </row>
        <row r="447">
          <cell r="I447" t="str">
            <v>T0坦克</v>
          </cell>
          <cell r="J447">
            <v>9</v>
          </cell>
          <cell r="K447">
            <v>2.218636546994756E-2</v>
          </cell>
        </row>
        <row r="448">
          <cell r="I448" t="str">
            <v>T0坦克</v>
          </cell>
          <cell r="J448">
            <v>9</v>
          </cell>
          <cell r="K448">
            <v>1.4521984671238403E-2</v>
          </cell>
        </row>
        <row r="449">
          <cell r="I449" t="str">
            <v>T0坦克</v>
          </cell>
          <cell r="J449">
            <v>9</v>
          </cell>
          <cell r="K449">
            <v>2.218636546994756E-2</v>
          </cell>
        </row>
        <row r="450">
          <cell r="I450" t="str">
            <v>T0坦克</v>
          </cell>
          <cell r="J450">
            <v>9</v>
          </cell>
          <cell r="K450">
            <v>2.501008471157725E-2</v>
          </cell>
        </row>
        <row r="451">
          <cell r="I451" t="str">
            <v>T1碎片</v>
          </cell>
          <cell r="J451">
            <v>10</v>
          </cell>
          <cell r="K451">
            <v>0.72609923356192008</v>
          </cell>
        </row>
        <row r="452">
          <cell r="I452" t="str">
            <v>T1碎片</v>
          </cell>
          <cell r="J452">
            <v>10</v>
          </cell>
          <cell r="K452">
            <v>0.72609923356192008</v>
          </cell>
        </row>
        <row r="453">
          <cell r="I453" t="str">
            <v>T1碎片</v>
          </cell>
          <cell r="J453">
            <v>10</v>
          </cell>
          <cell r="K453">
            <v>0.72609923356192008</v>
          </cell>
        </row>
        <row r="454">
          <cell r="I454" t="str">
            <v>T2碎片</v>
          </cell>
          <cell r="J454">
            <v>10</v>
          </cell>
          <cell r="K454">
            <v>0.1936264622831787</v>
          </cell>
        </row>
        <row r="455">
          <cell r="I455" t="str">
            <v>T2碎片</v>
          </cell>
          <cell r="J455">
            <v>10</v>
          </cell>
          <cell r="K455">
            <v>0.1936264622831787</v>
          </cell>
        </row>
        <row r="456">
          <cell r="I456" t="str">
            <v>T2碎片</v>
          </cell>
          <cell r="J456">
            <v>10</v>
          </cell>
          <cell r="K456">
            <v>0.1936264622831787</v>
          </cell>
        </row>
        <row r="457">
          <cell r="I457" t="str">
            <v>T3碎片</v>
          </cell>
          <cell r="J457">
            <v>10</v>
          </cell>
          <cell r="K457">
            <v>1.1343283582089552</v>
          </cell>
        </row>
        <row r="458">
          <cell r="I458" t="str">
            <v>T3碎片</v>
          </cell>
          <cell r="J458">
            <v>10</v>
          </cell>
          <cell r="K458">
            <v>1.1343283582089552</v>
          </cell>
        </row>
        <row r="459">
          <cell r="I459" t="str">
            <v>T3碎片</v>
          </cell>
          <cell r="J459">
            <v>10</v>
          </cell>
          <cell r="K459">
            <v>1.1343283582089552</v>
          </cell>
        </row>
        <row r="460">
          <cell r="I460" t="str">
            <v>T3碎片</v>
          </cell>
          <cell r="J460">
            <v>10</v>
          </cell>
          <cell r="K460">
            <v>0.56877773295683742</v>
          </cell>
        </row>
        <row r="461">
          <cell r="I461" t="str">
            <v>T3碎片</v>
          </cell>
          <cell r="J461">
            <v>10</v>
          </cell>
          <cell r="K461">
            <v>0.56877773295683742</v>
          </cell>
        </row>
        <row r="462">
          <cell r="I462" t="str">
            <v>T3碎片</v>
          </cell>
          <cell r="J462">
            <v>10</v>
          </cell>
          <cell r="K462">
            <v>0.56877773295683742</v>
          </cell>
        </row>
        <row r="463">
          <cell r="I463" t="str">
            <v>T1部件</v>
          </cell>
          <cell r="J463">
            <v>10</v>
          </cell>
          <cell r="K463">
            <v>7.2609923356192013E-2</v>
          </cell>
        </row>
        <row r="464">
          <cell r="I464" t="str">
            <v>T1部件</v>
          </cell>
          <cell r="J464">
            <v>10</v>
          </cell>
          <cell r="K464">
            <v>7.2609923356192013E-2</v>
          </cell>
        </row>
        <row r="465">
          <cell r="I465" t="str">
            <v>T1部件</v>
          </cell>
          <cell r="J465">
            <v>10</v>
          </cell>
          <cell r="K465">
            <v>7.2609923356192013E-2</v>
          </cell>
        </row>
        <row r="466">
          <cell r="I466" t="str">
            <v>T1部件</v>
          </cell>
          <cell r="J466">
            <v>10</v>
          </cell>
          <cell r="K466">
            <v>7.2609923356192013E-2</v>
          </cell>
        </row>
        <row r="467">
          <cell r="I467" t="str">
            <v>T1部件</v>
          </cell>
          <cell r="J467">
            <v>10</v>
          </cell>
          <cell r="K467">
            <v>7.2609923356192013E-2</v>
          </cell>
        </row>
        <row r="468">
          <cell r="I468" t="str">
            <v>T1部件</v>
          </cell>
          <cell r="J468">
            <v>10</v>
          </cell>
          <cell r="K468">
            <v>7.2609923356192013E-2</v>
          </cell>
        </row>
        <row r="469">
          <cell r="I469" t="str">
            <v>T1部件</v>
          </cell>
          <cell r="J469">
            <v>10</v>
          </cell>
          <cell r="K469">
            <v>7.2609923356192013E-2</v>
          </cell>
        </row>
        <row r="470">
          <cell r="I470" t="str">
            <v>T1部件</v>
          </cell>
          <cell r="J470">
            <v>10</v>
          </cell>
          <cell r="K470">
            <v>7.2609923356192013E-2</v>
          </cell>
        </row>
        <row r="471">
          <cell r="I471" t="str">
            <v>T1部件</v>
          </cell>
          <cell r="J471">
            <v>10</v>
          </cell>
          <cell r="K471">
            <v>7.2609923356192013E-2</v>
          </cell>
        </row>
        <row r="472">
          <cell r="I472" t="str">
            <v>T1部件</v>
          </cell>
          <cell r="J472">
            <v>10</v>
          </cell>
          <cell r="K472">
            <v>7.2609923356192013E-2</v>
          </cell>
        </row>
        <row r="473">
          <cell r="I473" t="str">
            <v>T1部件</v>
          </cell>
          <cell r="J473">
            <v>10</v>
          </cell>
          <cell r="K473">
            <v>7.2609923356192013E-2</v>
          </cell>
        </row>
        <row r="474">
          <cell r="I474" t="str">
            <v>T1部件</v>
          </cell>
          <cell r="J474">
            <v>10</v>
          </cell>
          <cell r="K474">
            <v>7.2609923356192013E-2</v>
          </cell>
        </row>
        <row r="475">
          <cell r="I475" t="str">
            <v>T1部件</v>
          </cell>
          <cell r="J475">
            <v>10</v>
          </cell>
          <cell r="K475">
            <v>7.2609923356192013E-2</v>
          </cell>
        </row>
        <row r="476">
          <cell r="I476" t="str">
            <v>T1部件</v>
          </cell>
          <cell r="J476">
            <v>10</v>
          </cell>
          <cell r="K476">
            <v>7.2609923356192013E-2</v>
          </cell>
        </row>
        <row r="477">
          <cell r="I477" t="str">
            <v>T1部件</v>
          </cell>
          <cell r="J477">
            <v>10</v>
          </cell>
          <cell r="K477">
            <v>7.2609923356192013E-2</v>
          </cell>
        </row>
        <row r="478">
          <cell r="I478" t="str">
            <v>T1部件</v>
          </cell>
          <cell r="J478">
            <v>10</v>
          </cell>
          <cell r="K478">
            <v>7.2609923356192013E-2</v>
          </cell>
        </row>
        <row r="479">
          <cell r="I479" t="str">
            <v>T1部件</v>
          </cell>
          <cell r="J479">
            <v>10</v>
          </cell>
          <cell r="K479">
            <v>7.2609923356192013E-2</v>
          </cell>
        </row>
        <row r="480">
          <cell r="I480" t="str">
            <v>T1部件</v>
          </cell>
          <cell r="J480">
            <v>10</v>
          </cell>
          <cell r="K480">
            <v>7.2609923356192013E-2</v>
          </cell>
        </row>
        <row r="481">
          <cell r="I481" t="str">
            <v>T2部件</v>
          </cell>
          <cell r="J481">
            <v>10</v>
          </cell>
          <cell r="K481">
            <v>3.3884630899556276E-2</v>
          </cell>
        </row>
        <row r="482">
          <cell r="I482" t="str">
            <v>T2部件</v>
          </cell>
          <cell r="J482">
            <v>10</v>
          </cell>
          <cell r="K482">
            <v>3.3884630899556276E-2</v>
          </cell>
        </row>
        <row r="483">
          <cell r="I483" t="str">
            <v>T2部件</v>
          </cell>
          <cell r="J483">
            <v>10</v>
          </cell>
          <cell r="K483">
            <v>3.3884630899556276E-2</v>
          </cell>
        </row>
        <row r="484">
          <cell r="I484" t="str">
            <v>T2部件</v>
          </cell>
          <cell r="J484">
            <v>10</v>
          </cell>
          <cell r="K484">
            <v>3.3884630899556276E-2</v>
          </cell>
        </row>
        <row r="485">
          <cell r="I485" t="str">
            <v>T2部件</v>
          </cell>
          <cell r="J485">
            <v>10</v>
          </cell>
          <cell r="K485">
            <v>3.3884630899556276E-2</v>
          </cell>
        </row>
        <row r="486">
          <cell r="I486" t="str">
            <v>T2部件</v>
          </cell>
          <cell r="J486">
            <v>10</v>
          </cell>
          <cell r="K486">
            <v>3.3884630899556276E-2</v>
          </cell>
        </row>
        <row r="487">
          <cell r="I487" t="str">
            <v>T2部件</v>
          </cell>
          <cell r="J487">
            <v>10</v>
          </cell>
          <cell r="K487">
            <v>3.3884630899556276E-2</v>
          </cell>
        </row>
        <row r="488">
          <cell r="I488" t="str">
            <v>T2部件</v>
          </cell>
          <cell r="J488">
            <v>10</v>
          </cell>
          <cell r="K488">
            <v>3.3884630899556276E-2</v>
          </cell>
        </row>
        <row r="489">
          <cell r="I489" t="str">
            <v>T2部件</v>
          </cell>
          <cell r="J489">
            <v>10</v>
          </cell>
          <cell r="K489">
            <v>3.3884630899556276E-2</v>
          </cell>
        </row>
        <row r="490">
          <cell r="I490" t="str">
            <v>T2部件</v>
          </cell>
          <cell r="J490">
            <v>10</v>
          </cell>
          <cell r="K490">
            <v>3.3884630899556276E-2</v>
          </cell>
        </row>
        <row r="491">
          <cell r="I491" t="str">
            <v>T2部件</v>
          </cell>
          <cell r="J491">
            <v>10</v>
          </cell>
          <cell r="K491">
            <v>3.3884630899556276E-2</v>
          </cell>
        </row>
        <row r="492">
          <cell r="I492" t="str">
            <v>T2部件</v>
          </cell>
          <cell r="J492">
            <v>10</v>
          </cell>
          <cell r="K492">
            <v>3.3884630899556276E-2</v>
          </cell>
        </row>
        <row r="493">
          <cell r="I493" t="str">
            <v>T2部件</v>
          </cell>
          <cell r="J493">
            <v>10</v>
          </cell>
          <cell r="K493">
            <v>3.3884630899556276E-2</v>
          </cell>
        </row>
        <row r="494">
          <cell r="I494" t="str">
            <v>T2部件</v>
          </cell>
          <cell r="J494">
            <v>10</v>
          </cell>
          <cell r="K494">
            <v>3.3884630899556276E-2</v>
          </cell>
        </row>
        <row r="495">
          <cell r="I495" t="str">
            <v>T2部件</v>
          </cell>
          <cell r="J495">
            <v>10</v>
          </cell>
          <cell r="K495">
            <v>3.3884630899556276E-2</v>
          </cell>
        </row>
        <row r="496">
          <cell r="I496" t="str">
            <v>T2部件</v>
          </cell>
          <cell r="J496">
            <v>10</v>
          </cell>
          <cell r="K496">
            <v>3.3884630899556276E-2</v>
          </cell>
        </row>
        <row r="497">
          <cell r="I497" t="str">
            <v>T2部件</v>
          </cell>
          <cell r="J497">
            <v>10</v>
          </cell>
          <cell r="K497">
            <v>3.3884630899556276E-2</v>
          </cell>
        </row>
        <row r="498">
          <cell r="I498" t="str">
            <v>T2部件</v>
          </cell>
          <cell r="J498">
            <v>10</v>
          </cell>
          <cell r="K498">
            <v>3.3884630899556276E-2</v>
          </cell>
        </row>
        <row r="499">
          <cell r="I499" t="str">
            <v>T3部件</v>
          </cell>
          <cell r="J499">
            <v>10</v>
          </cell>
          <cell r="K499">
            <v>1.7749092375958047E-2</v>
          </cell>
        </row>
        <row r="500">
          <cell r="I500" t="str">
            <v>T3部件</v>
          </cell>
          <cell r="J500">
            <v>10</v>
          </cell>
          <cell r="K500">
            <v>1.7749092375958047E-2</v>
          </cell>
        </row>
        <row r="501">
          <cell r="I501" t="str">
            <v>T3部件</v>
          </cell>
          <cell r="J501">
            <v>10</v>
          </cell>
          <cell r="K501">
            <v>1.7749092375958047E-2</v>
          </cell>
        </row>
        <row r="502">
          <cell r="I502" t="str">
            <v>T3部件</v>
          </cell>
          <cell r="J502">
            <v>10</v>
          </cell>
          <cell r="K502">
            <v>1.7749092375958047E-2</v>
          </cell>
        </row>
        <row r="503">
          <cell r="I503" t="str">
            <v>T3部件</v>
          </cell>
          <cell r="J503">
            <v>10</v>
          </cell>
          <cell r="K503">
            <v>1.7749092375958047E-2</v>
          </cell>
        </row>
        <row r="504">
          <cell r="I504" t="str">
            <v>T3部件</v>
          </cell>
          <cell r="J504">
            <v>10</v>
          </cell>
          <cell r="K504">
            <v>1.7749092375958047E-2</v>
          </cell>
        </row>
        <row r="505">
          <cell r="I505" t="str">
            <v>T3部件</v>
          </cell>
          <cell r="J505">
            <v>10</v>
          </cell>
          <cell r="K505">
            <v>1.7749092375958047E-2</v>
          </cell>
        </row>
        <row r="506">
          <cell r="I506" t="str">
            <v>T3部件</v>
          </cell>
          <cell r="J506">
            <v>10</v>
          </cell>
          <cell r="K506">
            <v>1.7749092375958047E-2</v>
          </cell>
        </row>
        <row r="507">
          <cell r="I507" t="str">
            <v>T3部件</v>
          </cell>
          <cell r="J507">
            <v>10</v>
          </cell>
          <cell r="K507">
            <v>1.7749092375958047E-2</v>
          </cell>
        </row>
        <row r="508">
          <cell r="I508" t="str">
            <v>T3部件</v>
          </cell>
          <cell r="J508">
            <v>10</v>
          </cell>
          <cell r="K508">
            <v>1.7749092375958047E-2</v>
          </cell>
        </row>
        <row r="509">
          <cell r="I509" t="str">
            <v>T3部件</v>
          </cell>
          <cell r="J509">
            <v>10</v>
          </cell>
          <cell r="K509">
            <v>1.7749092375958047E-2</v>
          </cell>
        </row>
        <row r="510">
          <cell r="I510" t="str">
            <v>T3部件</v>
          </cell>
          <cell r="J510">
            <v>10</v>
          </cell>
          <cell r="K510">
            <v>1.7749092375958047E-2</v>
          </cell>
        </row>
        <row r="511">
          <cell r="I511" t="str">
            <v>T3部件</v>
          </cell>
          <cell r="J511">
            <v>10</v>
          </cell>
          <cell r="K511">
            <v>1.7749092375958047E-2</v>
          </cell>
        </row>
        <row r="512">
          <cell r="I512" t="str">
            <v>T3部件</v>
          </cell>
          <cell r="J512">
            <v>10</v>
          </cell>
          <cell r="K512">
            <v>1.7749092375958047E-2</v>
          </cell>
        </row>
        <row r="513">
          <cell r="I513" t="str">
            <v>T3部件</v>
          </cell>
          <cell r="J513">
            <v>10</v>
          </cell>
          <cell r="K513">
            <v>1.7749092375958047E-2</v>
          </cell>
        </row>
        <row r="514">
          <cell r="I514" t="str">
            <v>T3部件</v>
          </cell>
          <cell r="J514">
            <v>10</v>
          </cell>
          <cell r="K514">
            <v>1.7749092375958047E-2</v>
          </cell>
        </row>
        <row r="515">
          <cell r="I515" t="str">
            <v>T3部件</v>
          </cell>
          <cell r="J515">
            <v>10</v>
          </cell>
          <cell r="K515">
            <v>1.7749092375958047E-2</v>
          </cell>
        </row>
        <row r="516">
          <cell r="I516" t="str">
            <v>T3部件</v>
          </cell>
          <cell r="J516">
            <v>10</v>
          </cell>
          <cell r="K516">
            <v>1.7749092375958047E-2</v>
          </cell>
        </row>
        <row r="517">
          <cell r="I517" t="str">
            <v>T0坦克</v>
          </cell>
          <cell r="J517">
            <v>10</v>
          </cell>
          <cell r="K517">
            <v>2.218636546994756E-2</v>
          </cell>
        </row>
        <row r="518">
          <cell r="I518" t="str">
            <v>T0坦克</v>
          </cell>
          <cell r="J518">
            <v>10</v>
          </cell>
          <cell r="K518">
            <v>1.4521984671238403E-2</v>
          </cell>
        </row>
        <row r="519">
          <cell r="I519" t="str">
            <v>T0坦克</v>
          </cell>
          <cell r="J519">
            <v>10</v>
          </cell>
          <cell r="K519">
            <v>2.218636546994756E-2</v>
          </cell>
        </row>
        <row r="520">
          <cell r="I520" t="str">
            <v>T0坦克</v>
          </cell>
          <cell r="J520">
            <v>10</v>
          </cell>
          <cell r="K520">
            <v>2.501008471157725E-2</v>
          </cell>
        </row>
      </sheetData>
      <sheetData sheetId="14"/>
      <sheetData sheetId="15"/>
      <sheetData sheetId="16"/>
      <sheetData sheetId="17"/>
      <sheetData sheetId="18"/>
      <sheetData sheetId="19"/>
      <sheetData sheetId="20"/>
      <sheetData sheetId="21"/>
    </sheetDataSet>
  </externalBook>
</externalLink>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2.bin"/><Relationship Id="rId5" Type="http://schemas.openxmlformats.org/officeDocument/2006/relationships/comments" Target="../comments2.xml"/><Relationship Id="rId4" Type="http://schemas.openxmlformats.org/officeDocument/2006/relationships/ctrlProp" Target="../ctrlProps/ctrlProp1.xml"/></Relationships>
</file>

<file path=xl/worksheets/_rels/sheet4.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8.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7.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8.bin"/></Relationships>
</file>

<file path=xl/worksheets/_rels/sheet15.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8.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25.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37.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1"/>
  <dimension ref="A1:C40"/>
  <sheetViews>
    <sheetView workbookViewId="0">
      <selection activeCell="F15" sqref="F15"/>
    </sheetView>
  </sheetViews>
  <sheetFormatPr defaultColWidth="9" defaultRowHeight="14.25" x14ac:dyDescent="0.15"/>
  <cols>
    <col min="1" max="1" width="15.125" style="249" customWidth="1"/>
    <col min="2" max="2" width="10.5" style="249" customWidth="1"/>
    <col min="3" max="16384" width="9" style="249"/>
  </cols>
  <sheetData>
    <row r="1" spans="1:3" ht="42.75" customHeight="1" x14ac:dyDescent="0.15">
      <c r="A1" s="250" t="s">
        <v>0</v>
      </c>
    </row>
    <row r="2" spans="1:3" x14ac:dyDescent="0.15">
      <c r="A2" s="249" t="s">
        <v>1</v>
      </c>
    </row>
    <row r="3" spans="1:3" x14ac:dyDescent="0.15">
      <c r="A3" s="249" t="s">
        <v>2</v>
      </c>
      <c r="C3" s="249" t="s">
        <v>3</v>
      </c>
    </row>
    <row r="4" spans="1:3" x14ac:dyDescent="0.15">
      <c r="A4" s="249" t="s">
        <v>4</v>
      </c>
      <c r="B4" s="350" t="s">
        <v>5</v>
      </c>
      <c r="C4" s="249" t="s">
        <v>6</v>
      </c>
    </row>
    <row r="5" spans="1:3" x14ac:dyDescent="0.15">
      <c r="A5" s="249" t="s">
        <v>7</v>
      </c>
      <c r="B5" s="350"/>
      <c r="C5" s="249" t="s">
        <v>8</v>
      </c>
    </row>
    <row r="6" spans="1:3" x14ac:dyDescent="0.15">
      <c r="A6" s="249" t="s">
        <v>9</v>
      </c>
      <c r="B6" s="350"/>
      <c r="C6" s="249" t="s">
        <v>10</v>
      </c>
    </row>
    <row r="7" spans="1:3" x14ac:dyDescent="0.15">
      <c r="A7" s="249" t="s">
        <v>11</v>
      </c>
      <c r="B7" s="350"/>
      <c r="C7" s="249" t="s">
        <v>12</v>
      </c>
    </row>
    <row r="8" spans="1:3" x14ac:dyDescent="0.15">
      <c r="A8" s="249" t="s">
        <v>13</v>
      </c>
      <c r="B8" s="350" t="s">
        <v>14</v>
      </c>
      <c r="C8" s="249" t="s">
        <v>15</v>
      </c>
    </row>
    <row r="9" spans="1:3" x14ac:dyDescent="0.15">
      <c r="A9" s="249" t="s">
        <v>16</v>
      </c>
      <c r="B9" s="350"/>
      <c r="C9" s="249" t="s">
        <v>17</v>
      </c>
    </row>
    <row r="10" spans="1:3" x14ac:dyDescent="0.15">
      <c r="A10" s="249" t="s">
        <v>18</v>
      </c>
      <c r="B10" s="350"/>
      <c r="C10" s="249" t="s">
        <v>19</v>
      </c>
    </row>
    <row r="11" spans="1:3" x14ac:dyDescent="0.15">
      <c r="A11" s="249" t="s">
        <v>20</v>
      </c>
      <c r="B11" s="350"/>
      <c r="C11" s="249" t="s">
        <v>21</v>
      </c>
    </row>
    <row r="12" spans="1:3" x14ac:dyDescent="0.15">
      <c r="A12" s="249" t="s">
        <v>22</v>
      </c>
      <c r="B12" s="350"/>
      <c r="C12" s="249" t="s">
        <v>23</v>
      </c>
    </row>
    <row r="13" spans="1:3" x14ac:dyDescent="0.15">
      <c r="A13" s="249" t="s">
        <v>24</v>
      </c>
      <c r="B13" s="350"/>
      <c r="C13" s="249" t="s">
        <v>25</v>
      </c>
    </row>
    <row r="14" spans="1:3" x14ac:dyDescent="0.15">
      <c r="A14" s="249" t="s">
        <v>26</v>
      </c>
      <c r="B14" s="350" t="s">
        <v>27</v>
      </c>
      <c r="C14" s="249" t="s">
        <v>28</v>
      </c>
    </row>
    <row r="15" spans="1:3" x14ac:dyDescent="0.15">
      <c r="A15" s="249" t="s">
        <v>29</v>
      </c>
      <c r="B15" s="350"/>
      <c r="C15" s="249" t="s">
        <v>30</v>
      </c>
    </row>
    <row r="16" spans="1:3" x14ac:dyDescent="0.15">
      <c r="A16" s="249" t="s">
        <v>31</v>
      </c>
      <c r="B16" s="350"/>
      <c r="C16" s="249" t="s">
        <v>32</v>
      </c>
    </row>
    <row r="17" spans="1:3" x14ac:dyDescent="0.15">
      <c r="A17" s="249" t="s">
        <v>33</v>
      </c>
      <c r="B17" s="350"/>
      <c r="C17" s="249" t="s">
        <v>34</v>
      </c>
    </row>
    <row r="18" spans="1:3" x14ac:dyDescent="0.15">
      <c r="A18" s="249" t="s">
        <v>35</v>
      </c>
      <c r="B18" s="350"/>
      <c r="C18" s="249" t="s">
        <v>36</v>
      </c>
    </row>
    <row r="19" spans="1:3" x14ac:dyDescent="0.15">
      <c r="A19" s="249" t="s">
        <v>37</v>
      </c>
      <c r="B19" s="350"/>
      <c r="C19" s="249" t="s">
        <v>38</v>
      </c>
    </row>
    <row r="20" spans="1:3" x14ac:dyDescent="0.15">
      <c r="A20" s="249" t="s">
        <v>39</v>
      </c>
      <c r="B20" s="350"/>
      <c r="C20" s="249" t="s">
        <v>40</v>
      </c>
    </row>
    <row r="21" spans="1:3" x14ac:dyDescent="0.15">
      <c r="A21" s="249" t="s">
        <v>41</v>
      </c>
      <c r="B21" s="350"/>
      <c r="C21" s="249" t="s">
        <v>42</v>
      </c>
    </row>
    <row r="22" spans="1:3" x14ac:dyDescent="0.15">
      <c r="A22" s="249" t="s">
        <v>43</v>
      </c>
    </row>
    <row r="23" spans="1:3" x14ac:dyDescent="0.15">
      <c r="A23" s="249" t="s">
        <v>44</v>
      </c>
    </row>
    <row r="24" spans="1:3" x14ac:dyDescent="0.15">
      <c r="A24" s="249" t="s">
        <v>45</v>
      </c>
    </row>
    <row r="25" spans="1:3" x14ac:dyDescent="0.15">
      <c r="A25" s="249" t="s">
        <v>46</v>
      </c>
    </row>
    <row r="26" spans="1:3" x14ac:dyDescent="0.15">
      <c r="A26" s="249" t="s">
        <v>47</v>
      </c>
    </row>
    <row r="27" spans="1:3" x14ac:dyDescent="0.15">
      <c r="A27" s="249" t="s">
        <v>48</v>
      </c>
      <c r="C27" s="249" t="s">
        <v>49</v>
      </c>
    </row>
    <row r="28" spans="1:3" x14ac:dyDescent="0.15">
      <c r="A28" s="249" t="s">
        <v>50</v>
      </c>
      <c r="C28" s="249" t="s">
        <v>51</v>
      </c>
    </row>
    <row r="29" spans="1:3" x14ac:dyDescent="0.15">
      <c r="A29" s="249" t="s">
        <v>52</v>
      </c>
      <c r="C29" s="249" t="s">
        <v>53</v>
      </c>
    </row>
    <row r="30" spans="1:3" x14ac:dyDescent="0.15">
      <c r="A30" s="249" t="s">
        <v>54</v>
      </c>
      <c r="C30" s="249" t="s">
        <v>55</v>
      </c>
    </row>
    <row r="31" spans="1:3" x14ac:dyDescent="0.15">
      <c r="A31" s="249" t="s">
        <v>56</v>
      </c>
      <c r="C31" s="249" t="s">
        <v>57</v>
      </c>
    </row>
    <row r="32" spans="1:3" x14ac:dyDescent="0.15">
      <c r="A32" s="249" t="s">
        <v>58</v>
      </c>
      <c r="C32" s="249" t="s">
        <v>59</v>
      </c>
    </row>
    <row r="33" spans="1:3" x14ac:dyDescent="0.15">
      <c r="A33" s="249" t="s">
        <v>60</v>
      </c>
      <c r="C33" s="249" t="s">
        <v>61</v>
      </c>
    </row>
    <row r="34" spans="1:3" x14ac:dyDescent="0.15">
      <c r="A34" s="249" t="s">
        <v>62</v>
      </c>
      <c r="C34" s="249" t="s">
        <v>63</v>
      </c>
    </row>
    <row r="35" spans="1:3" x14ac:dyDescent="0.15">
      <c r="A35" s="249" t="s">
        <v>64</v>
      </c>
    </row>
    <row r="36" spans="1:3" x14ac:dyDescent="0.15">
      <c r="A36" s="249" t="s">
        <v>65</v>
      </c>
    </row>
    <row r="37" spans="1:3" x14ac:dyDescent="0.15">
      <c r="A37" s="249" t="s">
        <v>66</v>
      </c>
    </row>
    <row r="38" spans="1:3" x14ac:dyDescent="0.15">
      <c r="C38" s="249" t="s">
        <v>67</v>
      </c>
    </row>
    <row r="39" spans="1:3" x14ac:dyDescent="0.15">
      <c r="C39" s="249" t="s">
        <v>68</v>
      </c>
    </row>
    <row r="40" spans="1:3" x14ac:dyDescent="0.15">
      <c r="C40" s="249" t="s">
        <v>69</v>
      </c>
    </row>
  </sheetData>
  <mergeCells count="3">
    <mergeCell ref="B4:B7"/>
    <mergeCell ref="B8:B13"/>
    <mergeCell ref="B14:B21"/>
  </mergeCells>
  <phoneticPr fontId="32"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B2:U56"/>
  <sheetViews>
    <sheetView topLeftCell="A16" workbookViewId="0">
      <selection activeCell="E27" sqref="E27"/>
    </sheetView>
  </sheetViews>
  <sheetFormatPr defaultColWidth="9" defaultRowHeight="14.25" x14ac:dyDescent="0.3"/>
  <cols>
    <col min="1" max="12" width="9" style="1"/>
    <col min="13" max="13" width="11.625" style="1" customWidth="1"/>
    <col min="14" max="15" width="9" style="1"/>
    <col min="16" max="16" width="14.125" style="1" customWidth="1"/>
    <col min="17" max="16384" width="9" style="1"/>
  </cols>
  <sheetData>
    <row r="2" spans="2:16" x14ac:dyDescent="0.3">
      <c r="B2" s="351" t="s">
        <v>70</v>
      </c>
      <c r="C2" s="351"/>
      <c r="D2" s="351"/>
      <c r="E2" s="351"/>
      <c r="F2" s="351"/>
      <c r="G2" s="351"/>
      <c r="M2" s="107" t="s">
        <v>4116</v>
      </c>
    </row>
    <row r="3" spans="2:16" x14ac:dyDescent="0.3">
      <c r="B3" s="2" t="s">
        <v>71</v>
      </c>
      <c r="C3" s="2" t="s">
        <v>72</v>
      </c>
      <c r="D3" s="2" t="s">
        <v>73</v>
      </c>
      <c r="E3" s="2" t="s">
        <v>74</v>
      </c>
      <c r="F3" s="2" t="s">
        <v>75</v>
      </c>
      <c r="G3" s="2" t="s">
        <v>76</v>
      </c>
      <c r="M3" s="3"/>
      <c r="N3" s="324" t="s">
        <v>4113</v>
      </c>
      <c r="O3" s="324" t="s">
        <v>4114</v>
      </c>
      <c r="P3" s="324" t="s">
        <v>4115</v>
      </c>
    </row>
    <row r="4" spans="2:16" x14ac:dyDescent="0.3">
      <c r="B4" s="2" t="s">
        <v>77</v>
      </c>
      <c r="C4" s="21">
        <v>1.05</v>
      </c>
      <c r="D4" s="21">
        <v>1</v>
      </c>
      <c r="E4" s="21">
        <v>0.4</v>
      </c>
      <c r="F4" s="2">
        <f>C4*AVERAGE(D4:E4)</f>
        <v>0.73499999999999999</v>
      </c>
      <c r="G4" s="2">
        <f>C4*E4</f>
        <v>0.42000000000000004</v>
      </c>
      <c r="M4" s="3" t="s">
        <v>77</v>
      </c>
      <c r="N4" s="324">
        <f>G40*MAX(D4:E4)*H40*J14/AVERAGE($I$40:$I$46)</f>
        <v>1931.3024321264024</v>
      </c>
      <c r="O4" s="324">
        <f>G40*MIN(D4:E4)*H40*J14/AVERAGE($I$40:$I$46)</f>
        <v>772.52097285056107</v>
      </c>
      <c r="P4" s="324">
        <f>SUM(N4:O4)</f>
        <v>2703.8234049769635</v>
      </c>
    </row>
    <row r="5" spans="2:16" x14ac:dyDescent="0.3">
      <c r="B5" s="2" t="s">
        <v>78</v>
      </c>
      <c r="C5" s="21">
        <v>1.1499999999999999</v>
      </c>
      <c r="D5" s="21">
        <v>1</v>
      </c>
      <c r="E5" s="21">
        <v>0.4</v>
      </c>
      <c r="F5" s="2">
        <f t="shared" ref="F5:F10" si="0">C5*AVERAGE(D5:E5)</f>
        <v>0.80499999999999994</v>
      </c>
      <c r="G5" s="2">
        <f t="shared" ref="G5:G10" si="1">C5*E5</f>
        <v>0.45999999999999996</v>
      </c>
      <c r="M5" s="3" t="s">
        <v>78</v>
      </c>
      <c r="N5" s="324">
        <f t="shared" ref="N5:N10" si="2">G41*MAX(D5:E5)*H41*J15/AVERAGE($I$40:$I$46)</f>
        <v>1515.5648382253705</v>
      </c>
      <c r="O5" s="324">
        <f t="shared" ref="O5:O10" si="3">G41*MIN(D5:E5)*H41*J15/AVERAGE($I$40:$I$46)</f>
        <v>606.22593529014819</v>
      </c>
      <c r="P5" s="324">
        <f t="shared" ref="P5:P10" si="4">SUM(N5:O5)</f>
        <v>2121.7907735155186</v>
      </c>
    </row>
    <row r="6" spans="2:16" x14ac:dyDescent="0.3">
      <c r="B6" s="2" t="s">
        <v>79</v>
      </c>
      <c r="C6" s="21">
        <v>1.25</v>
      </c>
      <c r="D6" s="21">
        <v>1</v>
      </c>
      <c r="E6" s="21">
        <v>0.4</v>
      </c>
      <c r="F6" s="2">
        <f t="shared" si="0"/>
        <v>0.875</v>
      </c>
      <c r="G6" s="2">
        <f t="shared" si="1"/>
        <v>0.5</v>
      </c>
      <c r="M6" s="3" t="s">
        <v>79</v>
      </c>
      <c r="N6" s="324">
        <f t="shared" si="2"/>
        <v>2031.1255356482793</v>
      </c>
      <c r="O6" s="324">
        <f t="shared" si="3"/>
        <v>812.45021425931179</v>
      </c>
      <c r="P6" s="324">
        <f t="shared" si="4"/>
        <v>2843.5757499075912</v>
      </c>
    </row>
    <row r="7" spans="2:16" x14ac:dyDescent="0.3">
      <c r="B7" s="2" t="s">
        <v>80</v>
      </c>
      <c r="C7" s="21">
        <v>1</v>
      </c>
      <c r="D7" s="21">
        <v>1</v>
      </c>
      <c r="E7" s="21">
        <v>0.45</v>
      </c>
      <c r="F7" s="2">
        <f t="shared" si="0"/>
        <v>0.72499999999999998</v>
      </c>
      <c r="G7" s="2">
        <f t="shared" si="1"/>
        <v>0.45</v>
      </c>
      <c r="M7" s="324" t="s">
        <v>80</v>
      </c>
      <c r="N7" s="324">
        <f t="shared" si="2"/>
        <v>1641.9087615757221</v>
      </c>
      <c r="O7" s="324">
        <f t="shared" si="3"/>
        <v>738.858942709075</v>
      </c>
      <c r="P7" s="324">
        <f t="shared" si="4"/>
        <v>2380.7677042847972</v>
      </c>
    </row>
    <row r="8" spans="2:16" x14ac:dyDescent="0.3">
      <c r="B8" s="2" t="s">
        <v>81</v>
      </c>
      <c r="C8" s="21">
        <v>1.1499999999999999</v>
      </c>
      <c r="D8" s="21">
        <v>1</v>
      </c>
      <c r="E8" s="21">
        <v>0.45</v>
      </c>
      <c r="F8" s="2">
        <f t="shared" si="0"/>
        <v>0.83374999999999988</v>
      </c>
      <c r="G8" s="2">
        <f t="shared" si="1"/>
        <v>0.51749999999999996</v>
      </c>
      <c r="M8" s="324" t="s">
        <v>81</v>
      </c>
      <c r="N8" s="324">
        <f t="shared" si="2"/>
        <v>1896.2302099412625</v>
      </c>
      <c r="O8" s="324">
        <f t="shared" si="3"/>
        <v>853.30359447356818</v>
      </c>
      <c r="P8" s="324">
        <f t="shared" si="4"/>
        <v>2749.5338044148307</v>
      </c>
    </row>
    <row r="9" spans="2:16" x14ac:dyDescent="0.3">
      <c r="B9" s="2" t="s">
        <v>82</v>
      </c>
      <c r="C9" s="21">
        <v>1</v>
      </c>
      <c r="D9" s="21">
        <v>0.4</v>
      </c>
      <c r="E9" s="21">
        <v>1</v>
      </c>
      <c r="F9" s="2">
        <f t="shared" si="0"/>
        <v>0.7</v>
      </c>
      <c r="G9" s="2">
        <f t="shared" si="1"/>
        <v>1</v>
      </c>
      <c r="M9" s="324" t="s">
        <v>82</v>
      </c>
      <c r="N9" s="324">
        <f t="shared" si="2"/>
        <v>2187.8484505549645</v>
      </c>
      <c r="O9" s="324">
        <f t="shared" si="3"/>
        <v>875.1393802219859</v>
      </c>
      <c r="P9" s="324">
        <f t="shared" si="4"/>
        <v>3062.9878307769504</v>
      </c>
    </row>
    <row r="10" spans="2:16" x14ac:dyDescent="0.3">
      <c r="B10" s="2" t="s">
        <v>83</v>
      </c>
      <c r="C10" s="21">
        <v>1.1000000000000001</v>
      </c>
      <c r="D10" s="21">
        <v>0.4</v>
      </c>
      <c r="E10" s="21">
        <v>1</v>
      </c>
      <c r="F10" s="2">
        <f t="shared" si="0"/>
        <v>0.77</v>
      </c>
      <c r="G10" s="2">
        <f t="shared" si="1"/>
        <v>1.1000000000000001</v>
      </c>
      <c r="M10" s="324" t="s">
        <v>83</v>
      </c>
      <c r="N10" s="324">
        <f t="shared" si="2"/>
        <v>2224.980768112724</v>
      </c>
      <c r="O10" s="324">
        <f t="shared" si="3"/>
        <v>889.99230724508993</v>
      </c>
      <c r="P10" s="324">
        <f t="shared" si="4"/>
        <v>3114.9730753578142</v>
      </c>
    </row>
    <row r="12" spans="2:16" x14ac:dyDescent="0.3">
      <c r="B12" s="352" t="s">
        <v>84</v>
      </c>
      <c r="C12" s="353"/>
      <c r="D12" s="353"/>
      <c r="E12" s="353"/>
      <c r="F12" s="353"/>
      <c r="G12" s="353"/>
      <c r="H12" s="353"/>
      <c r="I12" s="353"/>
      <c r="J12" s="353"/>
      <c r="K12" s="354"/>
      <c r="L12" s="132"/>
    </row>
    <row r="13" spans="2:16" x14ac:dyDescent="0.3">
      <c r="B13" s="2" t="s">
        <v>71</v>
      </c>
      <c r="C13" s="2" t="s">
        <v>85</v>
      </c>
      <c r="D13" s="2" t="s">
        <v>86</v>
      </c>
      <c r="E13" s="2" t="s">
        <v>87</v>
      </c>
      <c r="F13" s="2" t="s">
        <v>88</v>
      </c>
      <c r="G13" s="2" t="s">
        <v>89</v>
      </c>
      <c r="H13" s="2" t="s">
        <v>90</v>
      </c>
      <c r="I13" s="2" t="s">
        <v>91</v>
      </c>
      <c r="J13" s="2" t="s">
        <v>4112</v>
      </c>
      <c r="K13" s="2" t="s">
        <v>92</v>
      </c>
      <c r="L13" s="132"/>
    </row>
    <row r="14" spans="2:16" x14ac:dyDescent="0.3">
      <c r="B14" s="2" t="s">
        <v>77</v>
      </c>
      <c r="C14" s="2" t="s">
        <v>93</v>
      </c>
      <c r="D14" s="21">
        <v>6</v>
      </c>
      <c r="E14" s="21">
        <v>1.4</v>
      </c>
      <c r="F14" s="2">
        <f>E14</f>
        <v>1.4</v>
      </c>
      <c r="G14" s="2">
        <v>0</v>
      </c>
      <c r="H14" s="2">
        <f>坦克类型系数!AO4</f>
        <v>0.4</v>
      </c>
      <c r="I14" s="34">
        <f t="shared" ref="I14:I20" si="5">IF(LEN(C14)=5,(60-(D14-1)*H14)/F14+D14,IF(LEFT(C14,2)="弹夹",((60-(D14-1)*H14)/(G14+(D14-1)*H14)+1)*D14,60/F14+D14))</f>
        <v>47.428571428571431</v>
      </c>
      <c r="J14" s="34">
        <f t="shared" ref="J14:J20" si="6">IF(LEN(C14)=5,(30-(D14-1)*H14)/F14+D14,IF(LEFT(C14,2)="弹夹",((30-(D14-1)*H14)/(G14+(D14-1)*H14)+1)*D14,30/F14+D14))</f>
        <v>26</v>
      </c>
      <c r="K14" s="34">
        <f t="shared" ref="K14:K20" si="7">IF(LEN(C14)=5,(45-(D14-1)*H14)/F14+D14,IF(LEFT(C14,2)="弹夹",((45-(D14-1)*H14)/(G14+(D14-1)*H14)+1)*D14,45/F14+D14))</f>
        <v>36.714285714285715</v>
      </c>
      <c r="N14" s="132"/>
    </row>
    <row r="15" spans="2:16" x14ac:dyDescent="0.3">
      <c r="B15" s="22" t="s">
        <v>78</v>
      </c>
      <c r="C15" s="22" t="s">
        <v>94</v>
      </c>
      <c r="D15" s="225">
        <v>9</v>
      </c>
      <c r="E15" s="225">
        <v>0.7</v>
      </c>
      <c r="F15" s="22">
        <v>0</v>
      </c>
      <c r="G15" s="22">
        <f>E15*D15</f>
        <v>6.3</v>
      </c>
      <c r="H15" s="22">
        <f>坦克类型系数!AN5</f>
        <v>0.4</v>
      </c>
      <c r="I15" s="34">
        <f>IF(LEN(C15)=5,(60-(D15-1)*H15)/F15+D15,IF(LEFT(C15,2)="弹夹",((60-(D15-1)*H15)/(G15+(D15-1)*H15)+1)*D15,IF(LEFT(C15,3)="三联发",((60-(D15/3-1)*H15)/(G15+(D15/3-1)*H15)+1)*D15,60/F15+D15)))</f>
        <v>84.042253521126767</v>
      </c>
      <c r="J15" s="34">
        <f>IF(LEN(C15)=5,(30-(D15-1)*H15)/F15+D15,IF(LEFT(C15,2)="弹夹",((30-(D15-1)*H15)/(G15+(D15-1)*H15)+1)*D15,IF(LEFT(C15,3)="三联发",((30-(D15-1)*H15)/(G15+(D15-1)*H15)+1)*D15,30/F15+D15)))</f>
        <v>34.389473684210529</v>
      </c>
      <c r="K15" s="34">
        <f>IF(LEN(C15)=5,(45-(D15-1)*H15)/F15+D15,IF(LEFT(C15,2)="弹夹",((45-(D15-1)*H15)/(G15+(D15-1)*H15)+1)*D15,IF(LEFT(C15,3)="三联发",((45-(D15/3-1)*H15)/(G15+(D15/3-1)*H15)+1)*D15,45/F15+D15)))</f>
        <v>65.028169014084511</v>
      </c>
      <c r="N15" s="132"/>
    </row>
    <row r="16" spans="2:16" x14ac:dyDescent="0.3">
      <c r="B16" s="2" t="s">
        <v>79</v>
      </c>
      <c r="C16" s="2" t="s">
        <v>95</v>
      </c>
      <c r="D16" s="21">
        <v>1</v>
      </c>
      <c r="E16" s="21">
        <v>3</v>
      </c>
      <c r="F16" s="2">
        <f>E16</f>
        <v>3</v>
      </c>
      <c r="G16" s="2">
        <v>0</v>
      </c>
      <c r="H16" s="2">
        <v>0</v>
      </c>
      <c r="I16" s="34">
        <f t="shared" si="5"/>
        <v>21</v>
      </c>
      <c r="J16" s="34">
        <f t="shared" si="6"/>
        <v>11</v>
      </c>
      <c r="K16" s="34">
        <f t="shared" si="7"/>
        <v>16</v>
      </c>
      <c r="N16" s="132"/>
    </row>
    <row r="17" spans="2:21" x14ac:dyDescent="0.3">
      <c r="B17" s="22" t="s">
        <v>80</v>
      </c>
      <c r="C17" s="22" t="s">
        <v>96</v>
      </c>
      <c r="D17" s="225">
        <v>6</v>
      </c>
      <c r="E17" s="225">
        <v>1</v>
      </c>
      <c r="F17" s="22">
        <v>0</v>
      </c>
      <c r="G17" s="22">
        <f>E17*D17</f>
        <v>6</v>
      </c>
      <c r="H17" s="22">
        <v>0.5</v>
      </c>
      <c r="I17" s="34">
        <f t="shared" si="5"/>
        <v>46.588235294117645</v>
      </c>
      <c r="J17" s="34">
        <f t="shared" si="6"/>
        <v>25.411764705882355</v>
      </c>
      <c r="K17" s="34">
        <f t="shared" si="7"/>
        <v>36</v>
      </c>
      <c r="N17" s="132"/>
    </row>
    <row r="18" spans="2:21" x14ac:dyDescent="0.3">
      <c r="B18" s="22" t="s">
        <v>81</v>
      </c>
      <c r="C18" s="22" t="s">
        <v>97</v>
      </c>
      <c r="D18" s="225">
        <v>6</v>
      </c>
      <c r="E18" s="225">
        <v>2</v>
      </c>
      <c r="F18" s="22">
        <f>E18</f>
        <v>2</v>
      </c>
      <c r="G18" s="22">
        <v>0</v>
      </c>
      <c r="H18" s="22">
        <v>1</v>
      </c>
      <c r="I18" s="34">
        <f t="shared" si="5"/>
        <v>36</v>
      </c>
      <c r="J18" s="34">
        <f t="shared" si="6"/>
        <v>21</v>
      </c>
      <c r="K18" s="34">
        <f t="shared" si="7"/>
        <v>28.5</v>
      </c>
      <c r="N18" s="132"/>
    </row>
    <row r="19" spans="2:21" x14ac:dyDescent="0.3">
      <c r="B19" s="22" t="s">
        <v>82</v>
      </c>
      <c r="C19" s="22" t="s">
        <v>97</v>
      </c>
      <c r="D19" s="225">
        <v>2</v>
      </c>
      <c r="E19" s="225">
        <v>4.5</v>
      </c>
      <c r="F19" s="22">
        <f>E19</f>
        <v>4.5</v>
      </c>
      <c r="G19" s="22">
        <v>0</v>
      </c>
      <c r="H19" s="22">
        <f>AVERAGE(坦克类型系数!AN10:AO10)</f>
        <v>1.8</v>
      </c>
      <c r="I19" s="34">
        <f t="shared" si="5"/>
        <v>15.333333333333334</v>
      </c>
      <c r="J19" s="34">
        <f t="shared" si="6"/>
        <v>8.6666666666666679</v>
      </c>
      <c r="K19" s="34">
        <f t="shared" si="7"/>
        <v>12</v>
      </c>
      <c r="N19" s="132"/>
    </row>
    <row r="20" spans="2:21" x14ac:dyDescent="0.3">
      <c r="B20" s="2" t="s">
        <v>83</v>
      </c>
      <c r="C20" s="2" t="s">
        <v>95</v>
      </c>
      <c r="D20" s="21">
        <v>1</v>
      </c>
      <c r="E20" s="21">
        <v>6</v>
      </c>
      <c r="F20" s="2">
        <f>E20</f>
        <v>6</v>
      </c>
      <c r="G20" s="2">
        <v>0</v>
      </c>
      <c r="H20" s="2">
        <v>0</v>
      </c>
      <c r="I20" s="34">
        <f t="shared" si="5"/>
        <v>11</v>
      </c>
      <c r="J20" s="34">
        <f t="shared" si="6"/>
        <v>6</v>
      </c>
      <c r="K20" s="34">
        <f t="shared" si="7"/>
        <v>8.5</v>
      </c>
      <c r="N20" s="132"/>
    </row>
    <row r="21" spans="2:21" x14ac:dyDescent="0.3">
      <c r="B21" s="25"/>
      <c r="C21" s="25"/>
      <c r="D21" s="24"/>
      <c r="E21" s="24"/>
      <c r="F21" s="25"/>
      <c r="G21" s="25"/>
      <c r="H21" s="24"/>
      <c r="I21" s="25"/>
      <c r="J21" s="132"/>
      <c r="K21" s="132"/>
      <c r="L21" s="132"/>
      <c r="O21" s="132"/>
    </row>
    <row r="22" spans="2:21" x14ac:dyDescent="0.3">
      <c r="B22" s="351" t="s">
        <v>98</v>
      </c>
      <c r="C22" s="351"/>
      <c r="D22" s="351"/>
      <c r="E22" s="351"/>
      <c r="F22" s="351"/>
      <c r="G22" s="351"/>
      <c r="H22" s="351"/>
      <c r="I22" s="351"/>
      <c r="J22" s="351"/>
      <c r="K22" s="351"/>
      <c r="L22" s="351"/>
      <c r="M22" s="351"/>
      <c r="N22" s="351"/>
      <c r="O22" s="351"/>
      <c r="P22" s="351"/>
      <c r="Q22" s="351"/>
      <c r="R22" s="351"/>
      <c r="S22" s="351"/>
      <c r="T22" s="351"/>
      <c r="U22" s="351"/>
    </row>
    <row r="23" spans="2:21" x14ac:dyDescent="0.3">
      <c r="B23" s="2" t="s">
        <v>71</v>
      </c>
      <c r="C23" s="2" t="s">
        <v>99</v>
      </c>
      <c r="D23" s="2" t="s">
        <v>100</v>
      </c>
      <c r="E23" s="2" t="s">
        <v>101</v>
      </c>
      <c r="F23" s="2" t="s">
        <v>102</v>
      </c>
      <c r="G23" s="2" t="s">
        <v>103</v>
      </c>
      <c r="H23" s="2" t="s">
        <v>104</v>
      </c>
      <c r="I23" s="2" t="s">
        <v>105</v>
      </c>
      <c r="J23" s="2" t="s">
        <v>106</v>
      </c>
      <c r="K23" s="2" t="s">
        <v>107</v>
      </c>
      <c r="L23" s="2" t="s">
        <v>108</v>
      </c>
      <c r="M23" s="2" t="s">
        <v>109</v>
      </c>
      <c r="N23" s="2" t="s">
        <v>110</v>
      </c>
      <c r="O23" s="2" t="s">
        <v>111</v>
      </c>
      <c r="P23" s="2" t="s">
        <v>112</v>
      </c>
      <c r="Q23" s="2" t="s">
        <v>113</v>
      </c>
      <c r="R23" s="34" t="s">
        <v>114</v>
      </c>
      <c r="S23" s="2" t="s">
        <v>115</v>
      </c>
      <c r="T23" s="2" t="s">
        <v>116</v>
      </c>
      <c r="U23" s="2" t="s">
        <v>117</v>
      </c>
    </row>
    <row r="24" spans="2:21" x14ac:dyDescent="0.3">
      <c r="B24" s="2" t="s">
        <v>77</v>
      </c>
      <c r="C24" s="2">
        <f>基础属性系数!$C$20</f>
        <v>100</v>
      </c>
      <c r="D24" s="2">
        <f>基础属性系数!C30</f>
        <v>30</v>
      </c>
      <c r="E24" s="2">
        <f>(C24-D24)/坦克类型系数!$CC$4</f>
        <v>4.1999999999999993</v>
      </c>
      <c r="F24" s="2">
        <v>0.5</v>
      </c>
      <c r="G24" s="2">
        <v>1</v>
      </c>
      <c r="H24" s="2">
        <v>2.5</v>
      </c>
      <c r="I24" s="34">
        <f>AVERAGE(基础属性系数!$L$72,基础属性系数!$L$79,基础属性系数!$L$86)*POWER(G4/$E$34,0.45)</f>
        <v>0.86604618570339875</v>
      </c>
      <c r="J24" s="34">
        <f>AVERAGE(基础属性系数!$L$72,基础属性系数!$L$79,基础属性系数!$L$86)*POWER(C4/$E$34,0.45)</f>
        <v>1.3080190141255335</v>
      </c>
      <c r="K24" s="34">
        <f>AVERAGE(基础属性系数!$L$72,基础属性系数!$L$79,基础属性系数!$L$86)*POWER(G4/$E$35,0.45)</f>
        <v>0.79782840165320623</v>
      </c>
      <c r="L24" s="34">
        <f>AVERAGE(基础属性系数!$L$72,基础属性系数!$L$79,基础属性系数!$L$86)*POWER(C4/$E$35,0.45)</f>
        <v>1.2049873743444648</v>
      </c>
      <c r="M24" s="34">
        <f>AVERAGE(基础属性系数!$L$72,基础属性系数!$L$79,基础属性系数!$L$86)*POWER(G4/$E$36,0.45)</f>
        <v>0.74436070275713218</v>
      </c>
      <c r="N24" s="34">
        <f>AVERAGE(基础属性系数!$L$72,基础属性系数!$L$79,基础属性系数!$L$86)*POWER(C4/$E$36,0.45)</f>
        <v>1.124233289917892</v>
      </c>
      <c r="O24" s="21">
        <v>11</v>
      </c>
      <c r="P24" s="21">
        <v>13</v>
      </c>
      <c r="Q24" s="21">
        <v>16</v>
      </c>
      <c r="R24" s="34">
        <f t="shared" ref="R24:R30" si="8">((O24-F24*$E24)*$J24+$I24*$E24*F24)/O24</f>
        <v>1.2236423832449441</v>
      </c>
      <c r="S24" s="34">
        <f>((P24-G24*$E24)*$L24+$K24*$E24*G24)/P24</f>
        <v>1.0734437062442121</v>
      </c>
      <c r="T24" s="34">
        <f>((Q24-H24*$E24)*$N24+$M24*$E24*H24)/Q24</f>
        <v>0.8749419045936434</v>
      </c>
      <c r="U24" s="34">
        <f>AVERAGE(R24:T24)</f>
        <v>1.0573426646942665</v>
      </c>
    </row>
    <row r="25" spans="2:21" x14ac:dyDescent="0.3">
      <c r="B25" s="2" t="s">
        <v>78</v>
      </c>
      <c r="C25" s="2">
        <f>基础属性系数!$C$20</f>
        <v>100</v>
      </c>
      <c r="D25" s="2">
        <f>基础属性系数!C31</f>
        <v>30</v>
      </c>
      <c r="E25" s="2">
        <f>(C25-D25)/坦克类型系数!$CC$4</f>
        <v>4.1999999999999993</v>
      </c>
      <c r="F25" s="2">
        <v>0.5</v>
      </c>
      <c r="G25" s="2">
        <v>1</v>
      </c>
      <c r="H25" s="2">
        <v>2.5</v>
      </c>
      <c r="I25" s="34">
        <f>AVERAGE(基础属性系数!$L$72,基础属性系数!$L$79,基础属性系数!$L$86)*POWER(G5/$E$34,0.45)</f>
        <v>0.90223547031097773</v>
      </c>
      <c r="J25" s="34">
        <f>AVERAGE(基础属性系数!$L$72,基础属性系数!$L$79,基础属性系数!$L$86)*POWER(C5/$E$34,0.45)</f>
        <v>1.3626769217010604</v>
      </c>
      <c r="K25" s="34">
        <f>AVERAGE(基础属性系数!$L$72,基础属性系数!$L$79,基础属性系数!$L$86)*POWER(G5/$E$35,0.45)</f>
        <v>0.83116708447644094</v>
      </c>
      <c r="L25" s="34">
        <f>AVERAGE(基础属性系数!$L$72,基础属性系数!$L$79,基础属性系数!$L$86)*POWER(C5/$E$35,0.45)</f>
        <v>1.2553399210776084</v>
      </c>
      <c r="M25" s="34">
        <f>AVERAGE(基础属性系数!$L$72,基础属性系数!$L$79,基础属性系数!$L$86)*POWER(G5/$E$36,0.45)</f>
        <v>0.77546514241342668</v>
      </c>
      <c r="N25" s="34">
        <f>AVERAGE(基础属性系数!$L$72,基础属性系数!$L$79,基础属性系数!$L$86)*POWER(C5/$E$36,0.45)</f>
        <v>1.1712113831948794</v>
      </c>
      <c r="O25" s="21">
        <v>11</v>
      </c>
      <c r="P25" s="33">
        <f t="shared" ref="P25:P30" si="9">$P$24/$O$24*O25</f>
        <v>13</v>
      </c>
      <c r="Q25" s="33">
        <f t="shared" ref="Q25:Q30" si="10">$Q$24/$O$24*O25</f>
        <v>16</v>
      </c>
      <c r="R25" s="34">
        <f t="shared" si="8"/>
        <v>1.2747744627993174</v>
      </c>
      <c r="S25" s="34">
        <f t="shared" ref="S25:S30" si="11">((P25-G25*$E25)*$L25+$K25*$E25*G25)/P25</f>
        <v>1.1182994661756926</v>
      </c>
      <c r="T25" s="34">
        <f t="shared" ref="T25:T30" si="12">((Q25-H25*$E25)*$N25+$M25*$E25*H25)/Q25</f>
        <v>0.91150291268205108</v>
      </c>
      <c r="U25" s="34">
        <f t="shared" ref="U25:U30" si="13">AVERAGE(R25:T25)</f>
        <v>1.101525613885687</v>
      </c>
    </row>
    <row r="26" spans="2:21" x14ac:dyDescent="0.3">
      <c r="B26" s="2" t="s">
        <v>79</v>
      </c>
      <c r="C26" s="2">
        <f>基础属性系数!$C$20</f>
        <v>100</v>
      </c>
      <c r="D26" s="2">
        <f>基础属性系数!C32</f>
        <v>30</v>
      </c>
      <c r="E26" s="2">
        <f>(C26-D26)/坦克类型系数!$CC$4</f>
        <v>4.1999999999999993</v>
      </c>
      <c r="F26" s="2">
        <v>0.5</v>
      </c>
      <c r="G26" s="2">
        <v>1</v>
      </c>
      <c r="H26" s="2">
        <v>2.5</v>
      </c>
      <c r="I26" s="34">
        <f>AVERAGE(基础属性系数!$L$72,基础属性系数!$L$79,基础属性系数!$L$86)*POWER(G6/$E$34,0.45)</f>
        <v>0.93673203883654066</v>
      </c>
      <c r="J26" s="34">
        <f>AVERAGE(基础属性系数!$L$72,基础属性系数!$L$79,基础属性系数!$L$86)*POWER(C6/$E$34,0.45)</f>
        <v>1.4147782625976462</v>
      </c>
      <c r="K26" s="34">
        <f>AVERAGE(基础属性系数!$L$72,基础属性系数!$L$79,基础属性系数!$L$86)*POWER(G6/$E$35,0.45)</f>
        <v>0.8629463851460889</v>
      </c>
      <c r="L26" s="34">
        <f>AVERAGE(基础属性系数!$L$72,基础属性系数!$L$79,基础属性系数!$L$86)*POWER(C6/$E$35,0.45)</f>
        <v>1.3033372798994713</v>
      </c>
      <c r="M26" s="34">
        <f>AVERAGE(基础属性系数!$L$72,基础属性系数!$L$79,基础属性系数!$L$86)*POWER(G6/$E$36,0.45)</f>
        <v>0.80511470431241727</v>
      </c>
      <c r="N26" s="34">
        <f>AVERAGE(基础属性系数!$L$72,基础属性系数!$L$79,基础属性系数!$L$86)*POWER(C6/$E$36,0.45)</f>
        <v>1.2159921251051655</v>
      </c>
      <c r="O26" s="21">
        <v>11</v>
      </c>
      <c r="P26" s="33">
        <f t="shared" si="9"/>
        <v>13</v>
      </c>
      <c r="Q26" s="33">
        <f t="shared" si="10"/>
        <v>16</v>
      </c>
      <c r="R26" s="34">
        <f t="shared" si="8"/>
        <v>1.3235148926068896</v>
      </c>
      <c r="S26" s="34">
        <f t="shared" si="11"/>
        <v>1.1610571446714555</v>
      </c>
      <c r="T26" s="34">
        <f t="shared" si="12"/>
        <v>0.94635381770992466</v>
      </c>
      <c r="U26" s="34">
        <f t="shared" si="13"/>
        <v>1.1436419516627565</v>
      </c>
    </row>
    <row r="27" spans="2:21" x14ac:dyDescent="0.3">
      <c r="B27" s="2" t="s">
        <v>80</v>
      </c>
      <c r="C27" s="2">
        <f>基础属性系数!$C$20</f>
        <v>100</v>
      </c>
      <c r="D27" s="2">
        <f>基础属性系数!C33</f>
        <v>35</v>
      </c>
      <c r="E27" s="2">
        <f>(C27-D27)/坦克类型系数!$CC$5</f>
        <v>4.55</v>
      </c>
      <c r="F27" s="2">
        <v>0.5</v>
      </c>
      <c r="G27" s="2">
        <v>1</v>
      </c>
      <c r="H27" s="2">
        <v>1.5</v>
      </c>
      <c r="I27" s="34">
        <f>AVERAGE(基础属性系数!$L$72,基础属性系数!$L$79,基础属性系数!$L$86)*POWER(G7/$E$34,0.45)</f>
        <v>0.89335588733105353</v>
      </c>
      <c r="J27" s="34">
        <f>AVERAGE(基础属性系数!$L$72,基础属性系数!$L$79,基础属性系数!$L$86)*POWER(C7/$E$34,0.45)</f>
        <v>1.2796136748423363</v>
      </c>
      <c r="K27" s="34">
        <f>AVERAGE(基础属性系数!$L$72,基础属性系数!$L$79,基础属性系数!$L$86)*POWER(G7/$E$35,0.45)</f>
        <v>0.82298693933733835</v>
      </c>
      <c r="L27" s="34">
        <f>AVERAGE(基础属性系数!$L$72,基础属性系数!$L$79,基础属性系数!$L$86)*POWER(C7/$E$35,0.45)</f>
        <v>1.1788195015302407</v>
      </c>
      <c r="M27" s="34">
        <f>AVERAGE(基础属性系数!$L$72,基础属性系数!$L$79,基础属性系数!$L$86)*POWER(G7/$E$36,0.45)</f>
        <v>0.76783320229725571</v>
      </c>
      <c r="N27" s="34">
        <f>AVERAGE(基础属性系数!$L$72,基础属性系数!$L$79,基础属性系数!$L$86)*POWER(C7/$E$36,0.45)</f>
        <v>1.0998190973956736</v>
      </c>
      <c r="O27" s="21">
        <v>12</v>
      </c>
      <c r="P27" s="33">
        <f t="shared" si="9"/>
        <v>14.181818181818183</v>
      </c>
      <c r="Q27" s="33">
        <f t="shared" si="10"/>
        <v>17.454545454545453</v>
      </c>
      <c r="R27" s="34">
        <f t="shared" si="8"/>
        <v>1.2063856359599889</v>
      </c>
      <c r="S27" s="34">
        <f t="shared" si="11"/>
        <v>1.0646565544933513</v>
      </c>
      <c r="T27" s="34">
        <f t="shared" si="12"/>
        <v>0.97000742513258131</v>
      </c>
      <c r="U27" s="34">
        <f t="shared" si="13"/>
        <v>1.080349871861974</v>
      </c>
    </row>
    <row r="28" spans="2:21" x14ac:dyDescent="0.3">
      <c r="B28" s="2" t="s">
        <v>81</v>
      </c>
      <c r="C28" s="2">
        <f>基础属性系数!$C$20</f>
        <v>100</v>
      </c>
      <c r="D28" s="2">
        <f>基础属性系数!C34</f>
        <v>35</v>
      </c>
      <c r="E28" s="2">
        <f>(C28-D28)/坦克类型系数!$CC$5</f>
        <v>4.55</v>
      </c>
      <c r="F28" s="2">
        <v>0.5</v>
      </c>
      <c r="G28" s="2">
        <v>1</v>
      </c>
      <c r="H28" s="2">
        <v>1.5</v>
      </c>
      <c r="I28" s="34">
        <f>AVERAGE(基础属性系数!$L$72,基础属性系数!$L$79,基础属性系数!$L$86)*POWER(G8/$E$34,0.45)</f>
        <v>0.95134607769942137</v>
      </c>
      <c r="J28" s="34">
        <f>AVERAGE(基础属性系数!$L$72,基础属性系数!$L$79,基础属性系数!$L$86)*POWER(C8/$E$34,0.45)</f>
        <v>1.3626769217010604</v>
      </c>
      <c r="K28" s="34">
        <f>AVERAGE(基础属性系数!$L$72,基础属性系数!$L$79,基础属性系数!$L$86)*POWER(G8/$E$35,0.45)</f>
        <v>0.87640928754106939</v>
      </c>
      <c r="L28" s="34">
        <f>AVERAGE(基础属性系数!$L$72,基础属性系数!$L$79,基础属性系数!$L$86)*POWER(C8/$E$35,0.45)</f>
        <v>1.2553399210776084</v>
      </c>
      <c r="M28" s="34">
        <f>AVERAGE(基础属性系数!$L$72,基础属性系数!$L$79,基础属性系数!$L$86)*POWER(G8/$E$36,0.45)</f>
        <v>0.81767536957215614</v>
      </c>
      <c r="N28" s="34">
        <f>AVERAGE(基础属性系数!$L$72,基础属性系数!$L$79,基础属性系数!$L$86)*POWER(C8/$E$36,0.45)</f>
        <v>1.1712113831948794</v>
      </c>
      <c r="O28" s="21">
        <v>12</v>
      </c>
      <c r="P28" s="33">
        <f t="shared" si="9"/>
        <v>14.181818181818183</v>
      </c>
      <c r="Q28" s="33">
        <f t="shared" si="10"/>
        <v>17.454545454545453</v>
      </c>
      <c r="R28" s="34">
        <f t="shared" si="8"/>
        <v>1.2846954491924161</v>
      </c>
      <c r="S28" s="34">
        <f t="shared" si="11"/>
        <v>1.1337663428179687</v>
      </c>
      <c r="T28" s="34">
        <f t="shared" si="12"/>
        <v>1.0329732778681819</v>
      </c>
      <c r="U28" s="34">
        <f t="shared" si="13"/>
        <v>1.1504783566261889</v>
      </c>
    </row>
    <row r="29" spans="2:21" x14ac:dyDescent="0.3">
      <c r="B29" s="2" t="s">
        <v>82</v>
      </c>
      <c r="C29" s="2">
        <f>基础属性系数!$C$20</f>
        <v>100</v>
      </c>
      <c r="D29" s="2">
        <f>基础属性系数!C35</f>
        <v>50</v>
      </c>
      <c r="E29" s="2">
        <f>(C29-D29)/坦克类型系数!$CC$6</f>
        <v>4</v>
      </c>
      <c r="F29" s="2">
        <v>0.5</v>
      </c>
      <c r="G29" s="2">
        <v>1</v>
      </c>
      <c r="H29" s="2">
        <v>1</v>
      </c>
      <c r="I29" s="34">
        <f>AVERAGE(基础属性系数!$L$72,基础属性系数!$L$79,基础属性系数!$L$86)*POWER(G9/$E$34,0.45)</f>
        <v>1.2796136748423363</v>
      </c>
      <c r="J29" s="34">
        <f>AVERAGE(基础属性系数!$L$72,基础属性系数!$L$79,基础属性系数!$L$86)*POWER(C9/$E$34,0.45)</f>
        <v>1.2796136748423363</v>
      </c>
      <c r="K29" s="34">
        <f>AVERAGE(基础属性系数!$L$72,基础属性系数!$L$79,基础属性系数!$L$86)*POWER(G9/$E$35,0.45)</f>
        <v>1.1788195015302407</v>
      </c>
      <c r="L29" s="34">
        <f>AVERAGE(基础属性系数!$L$72,基础属性系数!$L$79,基础属性系数!$L$86)*POWER(C9/$E$35,0.45)</f>
        <v>1.1788195015302407</v>
      </c>
      <c r="M29" s="34">
        <f>AVERAGE(基础属性系数!$L$72,基础属性系数!$L$79,基础属性系数!$L$86)*POWER(G9/$E$36,0.45)</f>
        <v>1.0998190973956736</v>
      </c>
      <c r="N29" s="34">
        <f>AVERAGE(基础属性系数!$L$72,基础属性系数!$L$79,基础属性系数!$L$86)*POWER(C9/$E$36,0.45)</f>
        <v>1.0998190973956736</v>
      </c>
      <c r="O29" s="21">
        <v>8.5</v>
      </c>
      <c r="P29" s="33">
        <f t="shared" si="9"/>
        <v>10.045454545454547</v>
      </c>
      <c r="Q29" s="33">
        <f t="shared" si="10"/>
        <v>12.363636363636363</v>
      </c>
      <c r="R29" s="34">
        <f t="shared" si="8"/>
        <v>1.2796136748423361</v>
      </c>
      <c r="S29" s="34">
        <f t="shared" si="11"/>
        <v>1.1788195015302407</v>
      </c>
      <c r="T29" s="34">
        <f t="shared" si="12"/>
        <v>1.0998190973956736</v>
      </c>
      <c r="U29" s="34">
        <f t="shared" si="13"/>
        <v>1.1860840912560835</v>
      </c>
    </row>
    <row r="30" spans="2:21" x14ac:dyDescent="0.3">
      <c r="B30" s="2" t="s">
        <v>83</v>
      </c>
      <c r="C30" s="2">
        <f>基础属性系数!$C$20</f>
        <v>100</v>
      </c>
      <c r="D30" s="2">
        <f>基础属性系数!C36</f>
        <v>50</v>
      </c>
      <c r="E30" s="2">
        <f>(C30-D30)/坦克类型系数!$CC$6</f>
        <v>4</v>
      </c>
      <c r="F30" s="2">
        <v>0.5</v>
      </c>
      <c r="G30" s="2">
        <v>1</v>
      </c>
      <c r="H30" s="2">
        <v>1</v>
      </c>
      <c r="I30" s="34">
        <f>AVERAGE(基础属性系数!$L$72,基础属性系数!$L$79,基础属性系数!$L$86)*POWER(G10/$E$34,0.45)</f>
        <v>1.3356897121541116</v>
      </c>
      <c r="J30" s="34">
        <f>AVERAGE(基础属性系数!$L$72,基础属性系数!$L$79,基础属性系数!$L$86)*POWER(C10/$E$34,0.45)</f>
        <v>1.3356897121541116</v>
      </c>
      <c r="K30" s="34">
        <f>AVERAGE(基础属性系数!$L$72,基础属性系数!$L$79,基础属性系数!$L$86)*POWER(G10/$E$35,0.45)</f>
        <v>1.2304784730239633</v>
      </c>
      <c r="L30" s="34">
        <f>AVERAGE(基础属性系数!$L$72,基础属性系数!$L$79,基础属性系数!$L$86)*POWER(C10/$E$35,0.45)</f>
        <v>1.2304784730239633</v>
      </c>
      <c r="M30" s="34">
        <f>AVERAGE(基础属性系数!$L$72,基础属性系数!$L$79,基础属性系数!$L$86)*POWER(G10/$E$36,0.45)</f>
        <v>1.1480160633661738</v>
      </c>
      <c r="N30" s="34">
        <f>AVERAGE(基础属性系数!$L$72,基础属性系数!$L$79,基础属性系数!$L$86)*POWER(C10/$E$36,0.45)</f>
        <v>1.1480160633661738</v>
      </c>
      <c r="O30" s="21">
        <v>8.5</v>
      </c>
      <c r="P30" s="33">
        <f t="shared" si="9"/>
        <v>10.045454545454547</v>
      </c>
      <c r="Q30" s="33">
        <f t="shared" si="10"/>
        <v>12.363636363636363</v>
      </c>
      <c r="R30" s="34">
        <f t="shared" si="8"/>
        <v>1.3356897121541118</v>
      </c>
      <c r="S30" s="34">
        <f t="shared" si="11"/>
        <v>1.2304784730239633</v>
      </c>
      <c r="T30" s="34">
        <f t="shared" si="12"/>
        <v>1.1480160633661738</v>
      </c>
      <c r="U30" s="34">
        <f t="shared" si="13"/>
        <v>1.2380614161814163</v>
      </c>
    </row>
    <row r="31" spans="2:21" x14ac:dyDescent="0.3">
      <c r="F31" s="129"/>
      <c r="G31" s="129"/>
      <c r="H31" s="129"/>
    </row>
    <row r="32" spans="2:21" x14ac:dyDescent="0.3">
      <c r="B32" s="352" t="s">
        <v>118</v>
      </c>
      <c r="C32" s="353"/>
      <c r="D32" s="353"/>
      <c r="E32" s="353"/>
      <c r="F32" s="354"/>
      <c r="G32" s="25"/>
      <c r="L32" s="109" t="s">
        <v>119</v>
      </c>
      <c r="M32" s="107" t="s">
        <v>120</v>
      </c>
    </row>
    <row r="33" spans="2:14" x14ac:dyDescent="0.3">
      <c r="B33" s="39" t="s">
        <v>71</v>
      </c>
      <c r="C33" s="39" t="s">
        <v>121</v>
      </c>
      <c r="D33" s="39" t="s">
        <v>122</v>
      </c>
      <c r="E33" s="39" t="s">
        <v>123</v>
      </c>
      <c r="F33" s="39" t="s">
        <v>124</v>
      </c>
      <c r="J33" s="129"/>
      <c r="L33" s="1">
        <v>2</v>
      </c>
      <c r="M33" s="247" t="s">
        <v>93</v>
      </c>
      <c r="N33" s="36" t="s">
        <v>125</v>
      </c>
    </row>
    <row r="34" spans="2:14" x14ac:dyDescent="0.3">
      <c r="B34" s="2" t="s">
        <v>126</v>
      </c>
      <c r="C34" s="34">
        <f>AVERAGE(R24:R30)</f>
        <v>1.2754737444000006</v>
      </c>
      <c r="D34" s="240">
        <v>800</v>
      </c>
      <c r="E34" s="32">
        <v>1</v>
      </c>
      <c r="F34" s="42">
        <f>$H$40*E34</f>
        <v>300</v>
      </c>
      <c r="J34" s="129"/>
      <c r="L34" s="1">
        <v>4</v>
      </c>
      <c r="M34" s="247" t="s">
        <v>96</v>
      </c>
      <c r="N34" s="36" t="s">
        <v>127</v>
      </c>
    </row>
    <row r="35" spans="2:14" x14ac:dyDescent="0.3">
      <c r="B35" s="2" t="s">
        <v>128</v>
      </c>
      <c r="C35" s="34">
        <f>AVERAGE(S24:S30)</f>
        <v>1.1372173127081262</v>
      </c>
      <c r="D35" s="241">
        <f>D34/C34/O24*P24*C35</f>
        <v>842.97092134600007</v>
      </c>
      <c r="E35" s="32">
        <v>1.2</v>
      </c>
      <c r="F35" s="42">
        <f>$H$40*E35</f>
        <v>360</v>
      </c>
      <c r="J35" s="129"/>
      <c r="L35" s="1">
        <v>1</v>
      </c>
      <c r="M35" s="247" t="s">
        <v>95</v>
      </c>
      <c r="N35" s="36" t="s">
        <v>129</v>
      </c>
    </row>
    <row r="36" spans="2:14" x14ac:dyDescent="0.3">
      <c r="B36" s="2" t="s">
        <v>130</v>
      </c>
      <c r="C36" s="34">
        <f>AVERAGE(T24:T30)</f>
        <v>0.99765921410689007</v>
      </c>
      <c r="D36" s="241">
        <f>D34/O24/C34*C36*Q24</f>
        <v>910.18144838235173</v>
      </c>
      <c r="E36" s="32">
        <v>1.4</v>
      </c>
      <c r="F36" s="42">
        <f>$H$40*E36</f>
        <v>420</v>
      </c>
      <c r="L36" s="1">
        <v>6</v>
      </c>
      <c r="M36" s="247" t="s">
        <v>97</v>
      </c>
      <c r="N36" s="36" t="s">
        <v>131</v>
      </c>
    </row>
    <row r="37" spans="2:14" x14ac:dyDescent="0.3">
      <c r="L37" s="1">
        <v>7</v>
      </c>
      <c r="M37" s="247" t="s">
        <v>94</v>
      </c>
      <c r="N37" s="36" t="s">
        <v>132</v>
      </c>
    </row>
    <row r="38" spans="2:14" x14ac:dyDescent="0.3">
      <c r="B38" s="352" t="s">
        <v>133</v>
      </c>
      <c r="C38" s="353"/>
      <c r="D38" s="353"/>
      <c r="E38" s="353"/>
      <c r="F38" s="353"/>
      <c r="G38" s="353"/>
      <c r="H38" s="354"/>
    </row>
    <row r="39" spans="2:14" x14ac:dyDescent="0.3">
      <c r="B39" s="2" t="s">
        <v>71</v>
      </c>
      <c r="C39" s="2" t="s">
        <v>122</v>
      </c>
      <c r="D39" s="2" t="s">
        <v>134</v>
      </c>
      <c r="E39" s="2" t="s">
        <v>135</v>
      </c>
      <c r="F39" s="2" t="s">
        <v>136</v>
      </c>
      <c r="G39" s="2" t="s">
        <v>137</v>
      </c>
      <c r="H39" s="2" t="s">
        <v>138</v>
      </c>
      <c r="I39" s="1" t="s">
        <v>139</v>
      </c>
    </row>
    <row r="40" spans="2:14" x14ac:dyDescent="0.3">
      <c r="B40" s="2" t="s">
        <v>77</v>
      </c>
      <c r="C40" s="42">
        <f>$D$34</f>
        <v>800</v>
      </c>
      <c r="D40" s="34">
        <f t="shared" ref="D40:D46" si="14">O24/60*I14</f>
        <v>8.6952380952380945</v>
      </c>
      <c r="E40" s="34">
        <f>$D$34/D40</f>
        <v>92.004381161007672</v>
      </c>
      <c r="F40" s="34">
        <f t="shared" ref="F40:F46" si="15">U24</f>
        <v>1.0573426646942665</v>
      </c>
      <c r="G40" s="42">
        <f t="shared" ref="G40:G46" si="16">E40/F40</f>
        <v>87.014724963936814</v>
      </c>
      <c r="H40" s="242">
        <v>300</v>
      </c>
      <c r="I40" s="129">
        <f>$F$34</f>
        <v>300</v>
      </c>
      <c r="J40" s="129">
        <f>G40*J14*H40/AVERAGE($I$40:$I$46)</f>
        <v>1931.3024321264024</v>
      </c>
      <c r="K40" s="129"/>
    </row>
    <row r="41" spans="2:14" x14ac:dyDescent="0.3">
      <c r="B41" s="2" t="s">
        <v>78</v>
      </c>
      <c r="C41" s="42">
        <f>$D$34</f>
        <v>800</v>
      </c>
      <c r="D41" s="34">
        <f t="shared" si="14"/>
        <v>15.407746478873239</v>
      </c>
      <c r="E41" s="34">
        <f t="shared" ref="E41:E46" si="17">$D$34/D41</f>
        <v>51.921934274875454</v>
      </c>
      <c r="F41" s="34">
        <f t="shared" si="15"/>
        <v>1.101525613885687</v>
      </c>
      <c r="G41" s="42">
        <f t="shared" si="16"/>
        <v>47.136383957262886</v>
      </c>
      <c r="H41" s="243">
        <f t="shared" ref="H41:H46" si="18">$H$40/$C$4*VLOOKUP(B41,$B$3:$C$10,2,FALSE)</f>
        <v>328.57142857142856</v>
      </c>
      <c r="I41" s="129">
        <f>$F$34</f>
        <v>300</v>
      </c>
      <c r="J41" s="129">
        <f t="shared" ref="J41:J46" si="19">G41*J15*H41/AVERAGE($I$40:$I$46)</f>
        <v>1515.5648382253703</v>
      </c>
      <c r="K41" s="129"/>
    </row>
    <row r="42" spans="2:14" x14ac:dyDescent="0.3">
      <c r="B42" s="2" t="s">
        <v>79</v>
      </c>
      <c r="C42" s="42">
        <f>$D$34</f>
        <v>800</v>
      </c>
      <c r="D42" s="34">
        <f t="shared" si="14"/>
        <v>3.8499999999999996</v>
      </c>
      <c r="E42" s="34">
        <f t="shared" si="17"/>
        <v>207.79220779220782</v>
      </c>
      <c r="F42" s="34">
        <f t="shared" si="15"/>
        <v>1.1436419516627565</v>
      </c>
      <c r="G42" s="42">
        <f t="shared" si="16"/>
        <v>181.69341155253699</v>
      </c>
      <c r="H42" s="243">
        <f t="shared" si="18"/>
        <v>357.14285714285717</v>
      </c>
      <c r="I42" s="129">
        <f>$F$34</f>
        <v>300</v>
      </c>
      <c r="J42" s="129">
        <f t="shared" si="19"/>
        <v>2031.1255356482793</v>
      </c>
      <c r="K42" s="129"/>
    </row>
    <row r="43" spans="2:14" x14ac:dyDescent="0.3">
      <c r="B43" s="2" t="s">
        <v>80</v>
      </c>
      <c r="C43" s="42">
        <f>$D$35</f>
        <v>842.97092134600007</v>
      </c>
      <c r="D43" s="34">
        <f t="shared" si="14"/>
        <v>9.3176470588235301</v>
      </c>
      <c r="E43" s="34">
        <f t="shared" si="17"/>
        <v>85.858585858585855</v>
      </c>
      <c r="F43" s="34">
        <f t="shared" si="15"/>
        <v>1.080349871861974</v>
      </c>
      <c r="G43" s="42">
        <f t="shared" si="16"/>
        <v>79.47294491793599</v>
      </c>
      <c r="H43" s="243">
        <f t="shared" si="18"/>
        <v>285.71428571428572</v>
      </c>
      <c r="I43" s="129">
        <f>$F$35</f>
        <v>360</v>
      </c>
      <c r="J43" s="129">
        <f t="shared" si="19"/>
        <v>1641.9087615757221</v>
      </c>
      <c r="K43" s="129"/>
    </row>
    <row r="44" spans="2:14" x14ac:dyDescent="0.3">
      <c r="B44" s="2" t="s">
        <v>81</v>
      </c>
      <c r="C44" s="42">
        <f>$D$35</f>
        <v>842.97092134600007</v>
      </c>
      <c r="D44" s="34">
        <f t="shared" si="14"/>
        <v>7.2</v>
      </c>
      <c r="E44" s="34">
        <f t="shared" si="17"/>
        <v>111.11111111111111</v>
      </c>
      <c r="F44" s="34">
        <f t="shared" si="15"/>
        <v>1.1504783566261889</v>
      </c>
      <c r="G44" s="42">
        <f t="shared" si="16"/>
        <v>96.578184605704067</v>
      </c>
      <c r="H44" s="243">
        <f t="shared" si="18"/>
        <v>328.57142857142856</v>
      </c>
      <c r="I44" s="129">
        <f>$F$35</f>
        <v>360</v>
      </c>
      <c r="J44" s="129">
        <f t="shared" si="19"/>
        <v>1896.2302099412625</v>
      </c>
      <c r="K44" s="129"/>
    </row>
    <row r="45" spans="2:14" x14ac:dyDescent="0.3">
      <c r="B45" s="2" t="s">
        <v>82</v>
      </c>
      <c r="C45" s="42">
        <f>$D$36</f>
        <v>910.18144838235173</v>
      </c>
      <c r="D45" s="34">
        <f t="shared" si="14"/>
        <v>2.1722222222222221</v>
      </c>
      <c r="E45" s="34">
        <f t="shared" si="17"/>
        <v>368.28644501278774</v>
      </c>
      <c r="F45" s="34">
        <f t="shared" si="15"/>
        <v>1.1860840912560835</v>
      </c>
      <c r="G45" s="42">
        <f t="shared" si="16"/>
        <v>310.50618394414687</v>
      </c>
      <c r="H45" s="243">
        <f t="shared" si="18"/>
        <v>285.71428571428572</v>
      </c>
      <c r="I45" s="129">
        <f>$F$36</f>
        <v>420</v>
      </c>
      <c r="J45" s="129">
        <f t="shared" si="19"/>
        <v>2187.8484505549645</v>
      </c>
      <c r="K45" s="129"/>
    </row>
    <row r="46" spans="2:14" x14ac:dyDescent="0.3">
      <c r="B46" s="2" t="s">
        <v>83</v>
      </c>
      <c r="C46" s="42">
        <f>$D$36</f>
        <v>910.18144838235173</v>
      </c>
      <c r="D46" s="34">
        <f t="shared" si="14"/>
        <v>1.5583333333333333</v>
      </c>
      <c r="E46" s="34">
        <f t="shared" si="17"/>
        <v>513.36898395721926</v>
      </c>
      <c r="F46" s="34">
        <f t="shared" si="15"/>
        <v>1.2380614161814163</v>
      </c>
      <c r="G46" s="42">
        <f t="shared" si="16"/>
        <v>414.65550678464405</v>
      </c>
      <c r="H46" s="243">
        <f t="shared" si="18"/>
        <v>314.28571428571433</v>
      </c>
      <c r="I46" s="129">
        <f>$F$36</f>
        <v>420</v>
      </c>
      <c r="J46" s="129">
        <f t="shared" si="19"/>
        <v>2224.980768112724</v>
      </c>
      <c r="K46" s="129"/>
    </row>
    <row r="47" spans="2:14" x14ac:dyDescent="0.3">
      <c r="B47" s="25"/>
      <c r="C47" s="123"/>
      <c r="D47" s="132"/>
      <c r="E47" s="132"/>
      <c r="F47" s="132"/>
      <c r="G47" s="123"/>
      <c r="H47" s="30"/>
      <c r="I47" s="129"/>
      <c r="J47" s="129"/>
      <c r="K47" s="129"/>
    </row>
    <row r="48" spans="2:14" x14ac:dyDescent="0.3">
      <c r="B48" s="351" t="s">
        <v>140</v>
      </c>
      <c r="C48" s="351"/>
      <c r="D48" s="351"/>
      <c r="E48" s="351"/>
      <c r="F48" s="351"/>
      <c r="G48" s="351"/>
      <c r="H48" s="351"/>
      <c r="I48" s="25"/>
      <c r="J48" s="25"/>
      <c r="K48" s="25"/>
    </row>
    <row r="49" spans="2:14" x14ac:dyDescent="0.3">
      <c r="B49" s="39" t="s">
        <v>71</v>
      </c>
      <c r="C49" s="244" t="s">
        <v>141</v>
      </c>
      <c r="D49" s="245" t="s">
        <v>142</v>
      </c>
      <c r="E49" s="245" t="s">
        <v>143</v>
      </c>
      <c r="F49" s="245" t="s">
        <v>144</v>
      </c>
      <c r="G49" s="244" t="s">
        <v>145</v>
      </c>
      <c r="H49" s="144" t="s">
        <v>146</v>
      </c>
    </row>
    <row r="50" spans="2:14" x14ac:dyDescent="0.3">
      <c r="B50" s="2" t="s">
        <v>77</v>
      </c>
      <c r="C50" s="246">
        <f t="shared" ref="C50:C56" si="20">$D$34/($G40*VLOOKUP(B50,$B$23:$U$30,MATCH("对轻坦输出",$B$23:$U$23,0),FALSE))/$J14*30</f>
        <v>8.6694317250561976</v>
      </c>
      <c r="D50" s="246">
        <f t="shared" ref="D50:D56" si="21">$D$35/($G40*VLOOKUP(B50,$B$23:$U$30,MATCH("对中坦输出",$B$23:$U$23,0),FALSE))/$J14*30</f>
        <v>10.413302262021219</v>
      </c>
      <c r="E50" s="246">
        <f t="shared" ref="E50:E56" si="22">$D$36/($G40*VLOOKUP(B50,$B$23:$U$30,MATCH("对重坦输出",$B$23:$U$23,0),FALSE))/$J14*30</f>
        <v>13.794434998990058</v>
      </c>
      <c r="F50" s="246">
        <f>$D$34*(1-基础属性系数!$C$111)/($G40*VLOOKUP(B50,$B$23:$U$30,MATCH("对轻坦输出",$B$23:$U$23,0),FALSE))/$J14*30</f>
        <v>5.2016590350337184</v>
      </c>
      <c r="G50" s="246">
        <f>$D$35*(1-基础属性系数!$C$111)/($G40*VLOOKUP(B50,$B$23:$U$30,MATCH("对中坦输出",$B$23:$U$23,0),FALSE))/$J14*30</f>
        <v>6.2479813572127316</v>
      </c>
      <c r="H50" s="246">
        <f>$D$36*(1-基础属性系数!$C$111)/($G40*VLOOKUP(B50,$B$23:$U$30,MATCH("对重坦输出",$B$23:$U$23,0),FALSE))/$J14*30</f>
        <v>8.2766609993940339</v>
      </c>
      <c r="J50" s="248"/>
    </row>
    <row r="51" spans="2:14" x14ac:dyDescent="0.3">
      <c r="B51" s="2" t="s">
        <v>78</v>
      </c>
      <c r="C51" s="246">
        <f t="shared" si="20"/>
        <v>11.614381704548954</v>
      </c>
      <c r="D51" s="246">
        <f t="shared" si="21"/>
        <v>13.950633802952467</v>
      </c>
      <c r="E51" s="246">
        <f t="shared" si="22"/>
        <v>18.48031549909015</v>
      </c>
      <c r="F51" s="246">
        <f>$D$34*(1-基础属性系数!$C$111)/($G41*VLOOKUP(B51,$B$23:$U$30,MATCH("对轻坦输出",$B$23:$U$23,0),FALSE))/$J15*30</f>
        <v>6.9686290227293712</v>
      </c>
      <c r="G51" s="246">
        <f>$D$35*(1-基础属性系数!$C$111)/($G41*VLOOKUP(B51,$B$23:$U$30,MATCH("对中坦输出",$B$23:$U$23,0),FALSE))/$J15*30</f>
        <v>8.3703802817714799</v>
      </c>
      <c r="H51" s="246">
        <f>$D$36*(1-基础属性系数!$C$111)/($G41*VLOOKUP(B51,$B$23:$U$30,MATCH("对重坦输出",$B$23:$U$23,0),FALSE))/$J15*30</f>
        <v>11.08818929945409</v>
      </c>
      <c r="J51" s="248"/>
      <c r="N51" s="248"/>
    </row>
    <row r="52" spans="2:14" x14ac:dyDescent="0.3">
      <c r="B52" s="2" t="s">
        <v>79</v>
      </c>
      <c r="C52" s="246">
        <f t="shared" si="20"/>
        <v>9.0729923475259522</v>
      </c>
      <c r="D52" s="246">
        <f t="shared" si="21"/>
        <v>10.898039771480038</v>
      </c>
      <c r="E52" s="246">
        <f t="shared" si="22"/>
        <v>14.436563681856509</v>
      </c>
      <c r="F52" s="246">
        <f>$D$34*(1-基础属性系数!$C$111)/($G42*VLOOKUP(B52,$B$23:$U$30,MATCH("对轻坦输出",$B$23:$U$23,0),FALSE))/$J16*30</f>
        <v>5.4437954085155713</v>
      </c>
      <c r="G52" s="246">
        <f>$D$35*(1-基础属性系数!$C$111)/($G42*VLOOKUP(B52,$B$23:$U$30,MATCH("对中坦输出",$B$23:$U$23,0),FALSE))/$J16*30</f>
        <v>6.5388238628880231</v>
      </c>
      <c r="H52" s="246">
        <f>$D$36*(1-基础属性系数!$C$111)/($G42*VLOOKUP(B52,$B$23:$U$30,MATCH("对重坦输出",$B$23:$U$23,0),FALSE))/$J16*30</f>
        <v>8.6619382091139059</v>
      </c>
      <c r="J52" s="248"/>
      <c r="N52" s="248"/>
    </row>
    <row r="53" spans="2:14" x14ac:dyDescent="0.3">
      <c r="B53" s="2" t="s">
        <v>80</v>
      </c>
      <c r="C53" s="246">
        <f t="shared" si="20"/>
        <v>9.850787539446344</v>
      </c>
      <c r="D53" s="246">
        <f t="shared" si="21"/>
        <v>11.761702345670964</v>
      </c>
      <c r="E53" s="246">
        <f t="shared" si="22"/>
        <v>13.938628512254445</v>
      </c>
      <c r="F53" s="246">
        <f>$D$34*(1-基础属性系数!$C$111)/($G43*VLOOKUP(B53,$B$23:$U$30,MATCH("对轻坦输出",$B$23:$U$23,0),FALSE))/$J17*30</f>
        <v>5.9104725236678064</v>
      </c>
      <c r="G53" s="246">
        <f>$D$35*(1-基础属性系数!$C$111)/($G43*VLOOKUP(B53,$B$23:$U$30,MATCH("对中坦输出",$B$23:$U$23,0),FALSE))/$J17*30</f>
        <v>7.057021407402579</v>
      </c>
      <c r="H53" s="246">
        <f>$D$36*(1-基础属性系数!$C$111)/($G43*VLOOKUP(B53,$B$23:$U$30,MATCH("对重坦输出",$B$23:$U$23,0),FALSE))/$J17*30</f>
        <v>8.3631771073526675</v>
      </c>
    </row>
    <row r="54" spans="2:14" x14ac:dyDescent="0.3">
      <c r="B54" s="2" t="s">
        <v>81</v>
      </c>
      <c r="C54" s="246">
        <f t="shared" si="20"/>
        <v>9.2111260109108688</v>
      </c>
      <c r="D54" s="246">
        <f t="shared" si="21"/>
        <v>10.997955440107916</v>
      </c>
      <c r="E54" s="246">
        <f t="shared" si="22"/>
        <v>13.033522764705452</v>
      </c>
      <c r="F54" s="246">
        <f>$D$34*(1-基础属性系数!$C$111)/($G44*VLOOKUP(B54,$B$23:$U$30,MATCH("对轻坦输出",$B$23:$U$23,0),FALSE))/$J18*30</f>
        <v>5.5266756065465206</v>
      </c>
      <c r="G54" s="246">
        <f>$D$35*(1-基础属性系数!$C$111)/($G44*VLOOKUP(B54,$B$23:$U$30,MATCH("对中坦输出",$B$23:$U$23,0),FALSE))/$J18*30</f>
        <v>6.5987732640647492</v>
      </c>
      <c r="H54" s="246">
        <f>$D$36*(1-基础属性系数!$C$111)/($G44*VLOOKUP(B54,$B$23:$U$30,MATCH("对重坦输出",$B$23:$U$23,0),FALSE))/$J18*30</f>
        <v>7.8201136588232707</v>
      </c>
    </row>
    <row r="55" spans="2:14" x14ac:dyDescent="0.3">
      <c r="B55" s="2" t="s">
        <v>82</v>
      </c>
      <c r="C55" s="246">
        <f t="shared" si="20"/>
        <v>6.9696347961948097</v>
      </c>
      <c r="D55" s="246">
        <f t="shared" si="21"/>
        <v>7.9719430846289532</v>
      </c>
      <c r="E55" s="246">
        <f t="shared" si="22"/>
        <v>9.2258338782162035</v>
      </c>
      <c r="F55" s="246">
        <f>$D$34*(1-基础属性系数!$C$111)/($G45*VLOOKUP(B55,$B$23:$U$30,MATCH("对轻坦输出",$B$23:$U$23,0),FALSE))/$J19*30</f>
        <v>4.1817808777168866</v>
      </c>
      <c r="G55" s="246">
        <f>$D$35*(1-基础属性系数!$C$111)/($G45*VLOOKUP(B55,$B$23:$U$30,MATCH("对中坦输出",$B$23:$U$23,0),FALSE))/$J19*30</f>
        <v>4.7831658507773724</v>
      </c>
      <c r="H55" s="246">
        <f>$D$36*(1-基础属性系数!$C$111)/($G45*VLOOKUP(B55,$B$23:$U$30,MATCH("对重坦输出",$B$23:$U$23,0),FALSE))/$J19*30</f>
        <v>5.5355003269297223</v>
      </c>
    </row>
    <row r="56" spans="2:14" x14ac:dyDescent="0.3">
      <c r="B56" s="2" t="s">
        <v>83</v>
      </c>
      <c r="C56" s="246">
        <f t="shared" si="20"/>
        <v>7.2221577960569387</v>
      </c>
      <c r="D56" s="246">
        <f t="shared" si="21"/>
        <v>8.2607816021879774</v>
      </c>
      <c r="E56" s="246">
        <f t="shared" si="22"/>
        <v>9.5601032216298361</v>
      </c>
      <c r="F56" s="246">
        <f>$D$34*(1-基础属性系数!$C$111)/($G46*VLOOKUP(B56,$B$23:$U$30,MATCH("对轻坦输出",$B$23:$U$23,0),FALSE))/$J20*30</f>
        <v>4.3332946776341634</v>
      </c>
      <c r="G56" s="246">
        <f>$D$35*(1-基础属性系数!$C$111)/($G46*VLOOKUP(B56,$B$23:$U$30,MATCH("对中坦输出",$B$23:$U$23,0),FALSE))/$J20*30</f>
        <v>4.9564689613127868</v>
      </c>
      <c r="H56" s="246">
        <f>$D$36*(1-基础属性系数!$C$111)/($G46*VLOOKUP(B56,$B$23:$U$30,MATCH("对重坦输出",$B$23:$U$23,0),FALSE))/$J20*30</f>
        <v>5.7360619329779015</v>
      </c>
      <c r="J56" s="248"/>
    </row>
  </sheetData>
  <mergeCells count="6">
    <mergeCell ref="B48:H48"/>
    <mergeCell ref="B2:G2"/>
    <mergeCell ref="B12:K12"/>
    <mergeCell ref="B22:U22"/>
    <mergeCell ref="B32:F32"/>
    <mergeCell ref="B38:H38"/>
  </mergeCells>
  <phoneticPr fontId="32" type="noConversion"/>
  <conditionalFormatting sqref="P4:P10">
    <cfRule type="dataBar" priority="1">
      <dataBar>
        <cfvo type="min"/>
        <cfvo type="max"/>
        <color rgb="FF63C384"/>
      </dataBar>
      <extLst>
        <ext xmlns:x14="http://schemas.microsoft.com/office/spreadsheetml/2009/9/main" uri="{B025F937-C7B1-47D3-B67F-A62EFF666E3E}">
          <x14:id>{78445FBE-A5A3-4147-B0BA-18C91FF85CB2}</x14:id>
        </ext>
      </extLst>
    </cfRule>
  </conditionalFormatting>
  <pageMargins left="0.7" right="0.7" top="0.75" bottom="0.75" header="0.3" footer="0.3"/>
  <pageSetup paperSize="9" orientation="portrait" r:id="rId1"/>
  <ignoredErrors>
    <ignoredError sqref="N4:O10" formulaRange="1"/>
  </ignoredErrors>
  <drawing r:id="rId2"/>
  <legacyDrawing r:id="rId3"/>
  <extLst>
    <ext xmlns:x14="http://schemas.microsoft.com/office/spreadsheetml/2009/9/main" uri="{78C0D931-6437-407d-A8EE-F0AAD7539E65}">
      <x14:conditionalFormattings>
        <x14:conditionalFormatting xmlns:xm="http://schemas.microsoft.com/office/excel/2006/main">
          <x14:cfRule type="dataBar" id="{78445FBE-A5A3-4147-B0BA-18C91FF85CB2}">
            <x14:dataBar minLength="0" maxLength="100" gradient="0">
              <x14:cfvo type="autoMin"/>
              <x14:cfvo type="autoMax"/>
              <x14:negativeFillColor rgb="FFFF0000"/>
              <x14:axisColor rgb="FF000000"/>
            </x14:dataBar>
          </x14:cfRule>
          <xm:sqref>P4:P10</xm:sqref>
        </x14:conditionalFormatting>
      </x14:conditionalFormattings>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B2:U140"/>
  <sheetViews>
    <sheetView topLeftCell="A34" workbookViewId="0">
      <selection activeCell="E26" sqref="E26"/>
    </sheetView>
  </sheetViews>
  <sheetFormatPr defaultColWidth="9" defaultRowHeight="14.25" x14ac:dyDescent="0.3"/>
  <cols>
    <col min="1" max="1" width="9" style="1"/>
    <col min="2" max="2" width="10.875" style="1" customWidth="1"/>
    <col min="3" max="3" width="9" style="1"/>
    <col min="4" max="4" width="9" style="1" customWidth="1"/>
    <col min="5" max="16384" width="9" style="1"/>
  </cols>
  <sheetData>
    <row r="2" spans="2:7" x14ac:dyDescent="0.3">
      <c r="B2" s="107" t="s">
        <v>147</v>
      </c>
    </row>
    <row r="3" spans="2:7" x14ac:dyDescent="0.3">
      <c r="B3" s="36" t="s">
        <v>148</v>
      </c>
    </row>
    <row r="4" spans="2:7" x14ac:dyDescent="0.3">
      <c r="B4" s="36" t="s">
        <v>149</v>
      </c>
    </row>
    <row r="5" spans="2:7" x14ac:dyDescent="0.3">
      <c r="B5" s="36" t="s">
        <v>150</v>
      </c>
    </row>
    <row r="6" spans="2:7" x14ac:dyDescent="0.3">
      <c r="B6" s="36" t="s">
        <v>151</v>
      </c>
    </row>
    <row r="7" spans="2:7" x14ac:dyDescent="0.3">
      <c r="B7" s="36"/>
    </row>
    <row r="8" spans="2:7" x14ac:dyDescent="0.3">
      <c r="B8" s="107" t="s">
        <v>152</v>
      </c>
    </row>
    <row r="9" spans="2:7" x14ac:dyDescent="0.3">
      <c r="B9" s="36" t="s">
        <v>153</v>
      </c>
    </row>
    <row r="10" spans="2:7" x14ac:dyDescent="0.3">
      <c r="B10" s="36" t="s">
        <v>154</v>
      </c>
    </row>
    <row r="11" spans="2:7" x14ac:dyDescent="0.3">
      <c r="B11" s="36"/>
    </row>
    <row r="12" spans="2:7" x14ac:dyDescent="0.3">
      <c r="B12" s="36" t="s">
        <v>155</v>
      </c>
      <c r="G12" s="1" t="s">
        <v>156</v>
      </c>
    </row>
    <row r="13" spans="2:7" x14ac:dyDescent="0.3">
      <c r="B13" s="36" t="s">
        <v>157</v>
      </c>
    </row>
    <row r="14" spans="2:7" x14ac:dyDescent="0.3">
      <c r="B14" s="36" t="s">
        <v>158</v>
      </c>
    </row>
    <row r="16" spans="2:7" x14ac:dyDescent="0.3">
      <c r="B16" s="351" t="s">
        <v>159</v>
      </c>
      <c r="C16" s="351"/>
    </row>
    <row r="17" spans="2:5" x14ac:dyDescent="0.3">
      <c r="B17" s="2" t="s">
        <v>160</v>
      </c>
      <c r="C17" s="2" t="s">
        <v>161</v>
      </c>
    </row>
    <row r="18" spans="2:5" x14ac:dyDescent="0.3">
      <c r="B18" s="2" t="s">
        <v>162</v>
      </c>
      <c r="C18" s="21">
        <v>15</v>
      </c>
    </row>
    <row r="19" spans="2:5" x14ac:dyDescent="0.3">
      <c r="B19" s="2" t="s">
        <v>163</v>
      </c>
      <c r="C19" s="21">
        <v>400</v>
      </c>
    </row>
    <row r="20" spans="2:5" x14ac:dyDescent="0.3">
      <c r="B20" s="2" t="s">
        <v>99</v>
      </c>
      <c r="C20" s="21">
        <v>100</v>
      </c>
    </row>
    <row r="22" spans="2:5" x14ac:dyDescent="0.3">
      <c r="B22" s="355" t="s">
        <v>164</v>
      </c>
      <c r="C22" s="355"/>
      <c r="D22" s="355"/>
      <c r="E22" s="355"/>
    </row>
    <row r="23" spans="2:5" x14ac:dyDescent="0.3">
      <c r="B23" s="22" t="s">
        <v>71</v>
      </c>
      <c r="C23" s="22" t="s">
        <v>165</v>
      </c>
      <c r="D23" s="22" t="s">
        <v>166</v>
      </c>
      <c r="E23" s="22" t="s">
        <v>167</v>
      </c>
    </row>
    <row r="24" spans="2:5" x14ac:dyDescent="0.3">
      <c r="B24" s="22" t="s">
        <v>126</v>
      </c>
      <c r="C24" s="225">
        <v>60</v>
      </c>
      <c r="D24" s="225">
        <v>30</v>
      </c>
      <c r="E24" s="225">
        <v>35</v>
      </c>
    </row>
    <row r="25" spans="2:5" x14ac:dyDescent="0.3">
      <c r="B25" s="22" t="s">
        <v>128</v>
      </c>
      <c r="C25" s="225">
        <v>75</v>
      </c>
      <c r="D25" s="225">
        <v>35</v>
      </c>
      <c r="E25" s="225">
        <v>40</v>
      </c>
    </row>
    <row r="26" spans="2:5" x14ac:dyDescent="0.3">
      <c r="B26" s="22" t="s">
        <v>130</v>
      </c>
      <c r="C26" s="225">
        <v>90</v>
      </c>
      <c r="D26" s="225">
        <v>5</v>
      </c>
      <c r="E26" s="225">
        <v>10</v>
      </c>
    </row>
    <row r="27" spans="2:5" x14ac:dyDescent="0.3">
      <c r="B27" s="25"/>
      <c r="C27" s="24"/>
      <c r="D27" s="24"/>
      <c r="E27" s="24"/>
    </row>
    <row r="28" spans="2:5" x14ac:dyDescent="0.3">
      <c r="B28" s="351" t="s">
        <v>168</v>
      </c>
      <c r="C28" s="351"/>
      <c r="D28" s="351"/>
      <c r="E28" s="351"/>
    </row>
    <row r="29" spans="2:5" x14ac:dyDescent="0.3">
      <c r="B29" s="2" t="s">
        <v>71</v>
      </c>
      <c r="C29" s="2" t="s">
        <v>165</v>
      </c>
      <c r="D29" s="2" t="s">
        <v>166</v>
      </c>
      <c r="E29" s="2" t="s">
        <v>167</v>
      </c>
    </row>
    <row r="30" spans="2:5" x14ac:dyDescent="0.3">
      <c r="B30" s="2" t="s">
        <v>77</v>
      </c>
      <c r="C30" s="21">
        <v>30</v>
      </c>
      <c r="D30" s="21">
        <v>30</v>
      </c>
      <c r="E30" s="21">
        <v>35</v>
      </c>
    </row>
    <row r="31" spans="2:5" x14ac:dyDescent="0.3">
      <c r="B31" s="2" t="s">
        <v>78</v>
      </c>
      <c r="C31" s="21">
        <v>30</v>
      </c>
      <c r="D31" s="21">
        <v>30</v>
      </c>
      <c r="E31" s="21">
        <v>35</v>
      </c>
    </row>
    <row r="32" spans="2:5" x14ac:dyDescent="0.3">
      <c r="B32" s="2" t="s">
        <v>79</v>
      </c>
      <c r="C32" s="21">
        <v>30</v>
      </c>
      <c r="D32" s="21">
        <v>30</v>
      </c>
      <c r="E32" s="21">
        <v>35</v>
      </c>
    </row>
    <row r="33" spans="2:11" x14ac:dyDescent="0.3">
      <c r="B33" s="2" t="s">
        <v>80</v>
      </c>
      <c r="C33" s="21">
        <v>35</v>
      </c>
      <c r="D33" s="21">
        <v>35</v>
      </c>
      <c r="E33" s="21">
        <v>40</v>
      </c>
    </row>
    <row r="34" spans="2:11" x14ac:dyDescent="0.3">
      <c r="B34" s="2" t="s">
        <v>81</v>
      </c>
      <c r="C34" s="21">
        <v>35</v>
      </c>
      <c r="D34" s="21">
        <v>35</v>
      </c>
      <c r="E34" s="21">
        <v>40</v>
      </c>
    </row>
    <row r="35" spans="2:11" x14ac:dyDescent="0.3">
      <c r="B35" s="2" t="s">
        <v>82</v>
      </c>
      <c r="C35" s="21">
        <v>50</v>
      </c>
      <c r="D35" s="21">
        <v>20</v>
      </c>
      <c r="E35" s="21">
        <v>30</v>
      </c>
    </row>
    <row r="36" spans="2:11" x14ac:dyDescent="0.3">
      <c r="B36" s="2" t="s">
        <v>83</v>
      </c>
      <c r="C36" s="21">
        <v>50</v>
      </c>
      <c r="D36" s="21">
        <v>20</v>
      </c>
      <c r="E36" s="21">
        <v>30</v>
      </c>
    </row>
    <row r="38" spans="2:11" x14ac:dyDescent="0.3">
      <c r="B38" s="351" t="s">
        <v>169</v>
      </c>
      <c r="C38" s="351"/>
      <c r="D38" s="351"/>
      <c r="E38" s="351"/>
      <c r="F38" s="351"/>
      <c r="G38" s="351"/>
    </row>
    <row r="39" spans="2:11" x14ac:dyDescent="0.3">
      <c r="B39" s="2" t="s">
        <v>71</v>
      </c>
      <c r="C39" s="2" t="s">
        <v>170</v>
      </c>
      <c r="D39" s="2" t="s">
        <v>171</v>
      </c>
      <c r="E39" s="2" t="s">
        <v>172</v>
      </c>
      <c r="F39" s="2" t="s">
        <v>173</v>
      </c>
      <c r="G39" s="2" t="s">
        <v>174</v>
      </c>
    </row>
    <row r="40" spans="2:11" x14ac:dyDescent="0.3">
      <c r="B40" s="2" t="s">
        <v>126</v>
      </c>
      <c r="C40" s="2" t="s">
        <v>175</v>
      </c>
      <c r="D40" s="2" t="s">
        <v>176</v>
      </c>
      <c r="E40" s="2" t="s">
        <v>175</v>
      </c>
      <c r="F40" s="2" t="s">
        <v>176</v>
      </c>
      <c r="G40" s="2" t="s">
        <v>175</v>
      </c>
    </row>
    <row r="41" spans="2:11" x14ac:dyDescent="0.3">
      <c r="B41" s="2" t="s">
        <v>128</v>
      </c>
      <c r="C41" s="2" t="s">
        <v>177</v>
      </c>
      <c r="D41" s="2" t="s">
        <v>177</v>
      </c>
      <c r="E41" s="2" t="s">
        <v>177</v>
      </c>
      <c r="F41" s="2" t="s">
        <v>177</v>
      </c>
      <c r="G41" s="2" t="s">
        <v>177</v>
      </c>
    </row>
    <row r="42" spans="2:11" x14ac:dyDescent="0.3">
      <c r="B42" s="2" t="s">
        <v>130</v>
      </c>
      <c r="C42" s="2" t="s">
        <v>176</v>
      </c>
      <c r="D42" s="2" t="s">
        <v>175</v>
      </c>
      <c r="E42" s="2" t="s">
        <v>176</v>
      </c>
      <c r="F42" s="2" t="s">
        <v>175</v>
      </c>
      <c r="G42" s="2" t="s">
        <v>176</v>
      </c>
    </row>
    <row r="44" spans="2:11" x14ac:dyDescent="0.3">
      <c r="B44" s="351" t="s">
        <v>178</v>
      </c>
      <c r="C44" s="351"/>
      <c r="D44" s="351"/>
      <c r="E44" s="351"/>
      <c r="F44" s="351"/>
      <c r="G44" s="351"/>
      <c r="H44" s="351"/>
      <c r="I44" s="351"/>
      <c r="J44" s="351"/>
      <c r="K44" s="351"/>
    </row>
    <row r="45" spans="2:11" x14ac:dyDescent="0.3">
      <c r="B45" s="2" t="s">
        <v>85</v>
      </c>
      <c r="C45" s="2" t="s">
        <v>179</v>
      </c>
      <c r="D45" s="2" t="s">
        <v>86</v>
      </c>
      <c r="E45" s="2" t="s">
        <v>180</v>
      </c>
      <c r="F45" s="2" t="s">
        <v>181</v>
      </c>
      <c r="G45" s="2" t="s">
        <v>182</v>
      </c>
      <c r="H45" s="2" t="s">
        <v>88</v>
      </c>
      <c r="I45" s="2" t="s">
        <v>183</v>
      </c>
      <c r="J45" s="2" t="s">
        <v>89</v>
      </c>
      <c r="K45" s="2" t="s">
        <v>90</v>
      </c>
    </row>
    <row r="46" spans="2:11" x14ac:dyDescent="0.3">
      <c r="B46" s="2" t="s">
        <v>95</v>
      </c>
      <c r="C46" s="2">
        <v>1</v>
      </c>
      <c r="D46" s="2">
        <v>1</v>
      </c>
      <c r="E46" s="2" t="s">
        <v>184</v>
      </c>
      <c r="F46" s="2" t="s">
        <v>185</v>
      </c>
      <c r="G46" s="2" t="s">
        <v>186</v>
      </c>
      <c r="H46" s="2" t="s">
        <v>187</v>
      </c>
      <c r="I46" s="2" t="s">
        <v>188</v>
      </c>
      <c r="J46" s="2">
        <v>0</v>
      </c>
      <c r="K46" s="2">
        <v>0</v>
      </c>
    </row>
    <row r="47" spans="2:11" x14ac:dyDescent="0.3">
      <c r="B47" s="2" t="s">
        <v>93</v>
      </c>
      <c r="C47" s="2">
        <v>2</v>
      </c>
      <c r="D47" s="2">
        <v>6</v>
      </c>
      <c r="E47" s="2" t="s">
        <v>189</v>
      </c>
      <c r="F47" s="2" t="s">
        <v>185</v>
      </c>
      <c r="G47" s="2" t="s">
        <v>186</v>
      </c>
      <c r="H47" s="2" t="s">
        <v>190</v>
      </c>
      <c r="I47" s="2" t="s">
        <v>191</v>
      </c>
      <c r="J47" s="2">
        <v>0</v>
      </c>
      <c r="K47" s="2">
        <v>0.5</v>
      </c>
    </row>
    <row r="48" spans="2:11" x14ac:dyDescent="0.3">
      <c r="B48" s="4" t="s">
        <v>192</v>
      </c>
      <c r="C48" s="2">
        <v>3</v>
      </c>
      <c r="D48" s="2">
        <v>6</v>
      </c>
      <c r="E48" s="2" t="s">
        <v>184</v>
      </c>
      <c r="F48" s="2" t="s">
        <v>193</v>
      </c>
      <c r="G48" s="2" t="s">
        <v>186</v>
      </c>
      <c r="H48" s="2">
        <v>0</v>
      </c>
      <c r="I48" s="2" t="s">
        <v>191</v>
      </c>
      <c r="J48" s="2" t="s">
        <v>194</v>
      </c>
      <c r="K48" s="2">
        <v>0.25</v>
      </c>
    </row>
    <row r="49" spans="2:15" x14ac:dyDescent="0.3">
      <c r="B49" s="2" t="s">
        <v>96</v>
      </c>
      <c r="C49" s="2">
        <v>4</v>
      </c>
      <c r="D49" s="2">
        <v>6</v>
      </c>
      <c r="E49" s="2" t="s">
        <v>189</v>
      </c>
      <c r="F49" s="2" t="s">
        <v>193</v>
      </c>
      <c r="G49" s="2" t="s">
        <v>186</v>
      </c>
      <c r="H49" s="2">
        <v>0</v>
      </c>
      <c r="I49" s="2" t="s">
        <v>191</v>
      </c>
      <c r="J49" s="2" t="s">
        <v>194</v>
      </c>
      <c r="K49" s="2">
        <v>0.25</v>
      </c>
    </row>
    <row r="50" spans="2:15" x14ac:dyDescent="0.3">
      <c r="B50" s="4" t="s">
        <v>195</v>
      </c>
      <c r="C50" s="2">
        <v>5</v>
      </c>
      <c r="D50" s="2">
        <v>6</v>
      </c>
      <c r="E50" s="2" t="s">
        <v>184</v>
      </c>
      <c r="F50" s="2" t="s">
        <v>185</v>
      </c>
      <c r="G50" s="2" t="s">
        <v>196</v>
      </c>
      <c r="H50" s="2" t="s">
        <v>197</v>
      </c>
      <c r="I50" s="2" t="s">
        <v>188</v>
      </c>
      <c r="J50" s="2">
        <v>0</v>
      </c>
      <c r="K50" s="2">
        <v>0</v>
      </c>
    </row>
    <row r="51" spans="2:15" x14ac:dyDescent="0.3">
      <c r="B51" s="2" t="s">
        <v>97</v>
      </c>
      <c r="C51" s="2">
        <v>6</v>
      </c>
      <c r="D51" s="2">
        <v>3</v>
      </c>
      <c r="E51" s="2" t="s">
        <v>184</v>
      </c>
      <c r="F51" s="2" t="s">
        <v>185</v>
      </c>
      <c r="G51" s="2" t="s">
        <v>186</v>
      </c>
      <c r="H51" s="2" t="s">
        <v>198</v>
      </c>
      <c r="I51" s="2" t="s">
        <v>191</v>
      </c>
      <c r="J51" s="2">
        <v>0</v>
      </c>
      <c r="K51" s="2">
        <v>0.25</v>
      </c>
    </row>
    <row r="53" spans="2:15" x14ac:dyDescent="0.3">
      <c r="B53" s="351" t="s">
        <v>199</v>
      </c>
      <c r="C53" s="351"/>
    </row>
    <row r="54" spans="2:15" x14ac:dyDescent="0.3">
      <c r="B54" s="2" t="s">
        <v>160</v>
      </c>
      <c r="C54" s="2" t="s">
        <v>161</v>
      </c>
      <c r="M54" s="124"/>
      <c r="N54" s="124"/>
      <c r="O54" s="124"/>
    </row>
    <row r="55" spans="2:15" x14ac:dyDescent="0.3">
      <c r="B55" s="2" t="s">
        <v>200</v>
      </c>
      <c r="C55" s="157">
        <v>0.3</v>
      </c>
      <c r="M55" s="124"/>
      <c r="N55" s="124"/>
      <c r="O55" s="124"/>
    </row>
    <row r="56" spans="2:15" x14ac:dyDescent="0.3">
      <c r="B56" s="2" t="s">
        <v>201</v>
      </c>
      <c r="C56" s="157">
        <v>0.2</v>
      </c>
      <c r="M56" s="124"/>
      <c r="N56" s="124"/>
      <c r="O56" s="124"/>
    </row>
    <row r="57" spans="2:15" x14ac:dyDescent="0.3">
      <c r="B57" s="2" t="s">
        <v>136</v>
      </c>
      <c r="C57" s="157">
        <v>0.1</v>
      </c>
      <c r="M57" s="124"/>
      <c r="N57" s="124"/>
      <c r="O57" s="124"/>
    </row>
    <row r="58" spans="2:15" x14ac:dyDescent="0.3">
      <c r="M58" s="124"/>
      <c r="N58" s="124"/>
      <c r="O58" s="124"/>
    </row>
    <row r="59" spans="2:15" x14ac:dyDescent="0.3">
      <c r="B59" s="351" t="s">
        <v>202</v>
      </c>
      <c r="C59" s="351"/>
      <c r="D59" s="351"/>
      <c r="E59" s="351"/>
      <c r="M59" s="124"/>
      <c r="N59" s="124"/>
      <c r="O59" s="124"/>
    </row>
    <row r="60" spans="2:15" x14ac:dyDescent="0.3">
      <c r="B60" s="2" t="s">
        <v>203</v>
      </c>
      <c r="C60" s="2" t="s">
        <v>204</v>
      </c>
      <c r="D60" s="2" t="s">
        <v>205</v>
      </c>
      <c r="E60" s="2" t="s">
        <v>206</v>
      </c>
      <c r="M60" s="124"/>
      <c r="N60" s="124"/>
      <c r="O60" s="124"/>
    </row>
    <row r="61" spans="2:15" x14ac:dyDescent="0.3">
      <c r="B61" s="2">
        <f>坦克类型系数!AK4</f>
        <v>6.17</v>
      </c>
      <c r="C61" s="142">
        <f>AVERAGE(坦克类型系数!AI24:AK26)</f>
        <v>0.26128690825157513</v>
      </c>
      <c r="D61" s="2">
        <f>ROUND(B61*C61,2)</f>
        <v>1.61</v>
      </c>
      <c r="E61" s="21">
        <v>0</v>
      </c>
      <c r="M61" s="124"/>
      <c r="N61" s="124"/>
      <c r="O61" s="124"/>
    </row>
    <row r="62" spans="2:15" x14ac:dyDescent="0.3">
      <c r="K62" s="124"/>
      <c r="M62" s="124"/>
      <c r="N62" s="124"/>
      <c r="O62" s="124"/>
    </row>
    <row r="63" spans="2:15" x14ac:dyDescent="0.3">
      <c r="B63" s="351" t="s">
        <v>207</v>
      </c>
      <c r="C63" s="351"/>
      <c r="D63" s="351"/>
      <c r="E63" s="351"/>
      <c r="F63" s="351"/>
      <c r="G63" s="351"/>
      <c r="H63" s="351"/>
      <c r="I63" s="351"/>
      <c r="J63" s="351"/>
      <c r="K63" s="351"/>
      <c r="M63" s="124"/>
      <c r="N63" s="124"/>
      <c r="O63" s="124"/>
    </row>
    <row r="64" spans="2:15" x14ac:dyDescent="0.3">
      <c r="B64" s="2" t="s">
        <v>208</v>
      </c>
      <c r="C64" s="2" t="s">
        <v>209</v>
      </c>
      <c r="D64" s="2" t="s">
        <v>210</v>
      </c>
      <c r="E64" s="2" t="s">
        <v>211</v>
      </c>
      <c r="F64" s="2" t="s">
        <v>212</v>
      </c>
      <c r="G64" s="2" t="s">
        <v>213</v>
      </c>
      <c r="H64" s="2" t="s">
        <v>214</v>
      </c>
      <c r="I64" s="2" t="s">
        <v>215</v>
      </c>
      <c r="J64" s="2" t="s">
        <v>121</v>
      </c>
      <c r="K64" s="33" t="s">
        <v>216</v>
      </c>
      <c r="M64" s="124"/>
      <c r="N64" s="124"/>
    </row>
    <row r="65" spans="2:16" x14ac:dyDescent="0.3">
      <c r="B65" s="2" t="s">
        <v>217</v>
      </c>
      <c r="C65" s="157">
        <v>0</v>
      </c>
      <c r="D65" s="157">
        <v>0</v>
      </c>
      <c r="E65" s="21">
        <v>0</v>
      </c>
      <c r="F65" s="21">
        <v>0</v>
      </c>
      <c r="G65" s="34">
        <f>F65/($F$67+$F$68*2)</f>
        <v>0</v>
      </c>
      <c r="H65" s="34">
        <f>E65/$E$67</f>
        <v>0</v>
      </c>
      <c r="I65" s="34">
        <f>AVERAGE(G65:H65)</f>
        <v>0</v>
      </c>
      <c r="J65" s="34">
        <f>AVERAGE(C65:D65)</f>
        <v>0</v>
      </c>
      <c r="K65" s="34">
        <f>I65*J65</f>
        <v>0</v>
      </c>
      <c r="M65" s="124"/>
      <c r="N65" s="124"/>
      <c r="P65" s="124"/>
    </row>
    <row r="66" spans="2:16" x14ac:dyDescent="0.3">
      <c r="B66" s="2" t="s">
        <v>218</v>
      </c>
      <c r="C66" s="157">
        <v>1.2</v>
      </c>
      <c r="D66" s="157">
        <v>1.6</v>
      </c>
      <c r="E66" s="21">
        <v>2.2000000000000002</v>
      </c>
      <c r="F66" s="21">
        <v>2.2000000000000002</v>
      </c>
      <c r="G66" s="34">
        <f>F66/($F$67+$F$68*2)</f>
        <v>0.73333333333333339</v>
      </c>
      <c r="H66" s="34">
        <f>E66/$E$67</f>
        <v>0.3666666666666667</v>
      </c>
      <c r="I66" s="34">
        <f>AVERAGE(G66:H66)</f>
        <v>0.55000000000000004</v>
      </c>
      <c r="J66" s="34">
        <f>AVERAGE(C66:D66)</f>
        <v>1.4</v>
      </c>
      <c r="K66" s="34">
        <f>I66*J66</f>
        <v>0.77</v>
      </c>
      <c r="M66" s="124"/>
      <c r="N66" s="124"/>
    </row>
    <row r="67" spans="2:16" x14ac:dyDescent="0.3">
      <c r="B67" s="2" t="s">
        <v>219</v>
      </c>
      <c r="C67" s="157">
        <v>0.8</v>
      </c>
      <c r="D67" s="157">
        <v>1</v>
      </c>
      <c r="E67" s="21">
        <v>6</v>
      </c>
      <c r="F67" s="21">
        <v>2</v>
      </c>
      <c r="G67" s="34">
        <f>F67/($F$67+$F$68*2)</f>
        <v>0.66666666666666663</v>
      </c>
      <c r="H67" s="34">
        <f>E67/$E$67</f>
        <v>1</v>
      </c>
      <c r="I67" s="34">
        <f>AVERAGE(G67:H67)</f>
        <v>0.83333333333333326</v>
      </c>
      <c r="J67" s="34">
        <f>AVERAGE(C67:D67)</f>
        <v>0.9</v>
      </c>
      <c r="K67" s="34">
        <f>I67*J67</f>
        <v>0.75</v>
      </c>
      <c r="M67" s="124"/>
      <c r="N67" s="124"/>
      <c r="P67" s="124"/>
    </row>
    <row r="68" spans="2:16" x14ac:dyDescent="0.3">
      <c r="B68" s="2" t="s">
        <v>220</v>
      </c>
      <c r="C68" s="157">
        <v>0.5</v>
      </c>
      <c r="D68" s="157">
        <v>0.7</v>
      </c>
      <c r="E68" s="21">
        <v>6</v>
      </c>
      <c r="F68" s="21">
        <v>0.5</v>
      </c>
      <c r="G68" s="34">
        <f>F68*2/($F$67+$F$68*2)</f>
        <v>0.33333333333333331</v>
      </c>
      <c r="H68" s="34">
        <f>E68/$E$67</f>
        <v>1</v>
      </c>
      <c r="I68" s="34">
        <f>AVERAGE(G68:H68)</f>
        <v>0.66666666666666663</v>
      </c>
      <c r="J68" s="34">
        <f>AVERAGE(C68:D68)</f>
        <v>0.6</v>
      </c>
      <c r="K68" s="34">
        <f>I68*J68</f>
        <v>0.39999999999999997</v>
      </c>
      <c r="M68" s="124"/>
      <c r="N68" s="124"/>
      <c r="O68" s="124"/>
    </row>
    <row r="69" spans="2:16" x14ac:dyDescent="0.3">
      <c r="B69" s="25"/>
      <c r="C69" s="235"/>
      <c r="D69" s="235"/>
      <c r="E69" s="24"/>
      <c r="F69" s="24"/>
      <c r="G69" s="132"/>
      <c r="H69" s="132"/>
      <c r="I69" s="132"/>
      <c r="J69" s="132"/>
      <c r="K69" s="132"/>
      <c r="M69" s="124"/>
      <c r="N69" s="124"/>
      <c r="O69" s="124"/>
      <c r="P69" s="124"/>
    </row>
    <row r="70" spans="2:16" x14ac:dyDescent="0.3">
      <c r="B70" s="351" t="s">
        <v>221</v>
      </c>
      <c r="C70" s="351"/>
      <c r="D70" s="351"/>
      <c r="E70" s="351"/>
      <c r="F70" s="351"/>
      <c r="G70" s="351"/>
      <c r="H70" s="351"/>
      <c r="I70" s="351"/>
      <c r="J70" s="351"/>
      <c r="K70" s="351"/>
      <c r="L70" s="351"/>
      <c r="M70" s="124"/>
      <c r="N70" s="124"/>
      <c r="O70" s="124"/>
    </row>
    <row r="71" spans="2:16" x14ac:dyDescent="0.3">
      <c r="B71" s="2" t="s">
        <v>222</v>
      </c>
      <c r="C71" s="2" t="s">
        <v>71</v>
      </c>
      <c r="D71" s="2" t="s">
        <v>136</v>
      </c>
      <c r="E71" s="2" t="s">
        <v>223</v>
      </c>
      <c r="F71" s="2" t="s">
        <v>224</v>
      </c>
      <c r="G71" s="2" t="s">
        <v>225</v>
      </c>
      <c r="H71" s="2" t="s">
        <v>226</v>
      </c>
      <c r="I71" s="33" t="s">
        <v>227</v>
      </c>
      <c r="J71" s="2" t="s">
        <v>228</v>
      </c>
      <c r="K71" s="2" t="s">
        <v>229</v>
      </c>
      <c r="L71" s="2" t="s">
        <v>230</v>
      </c>
      <c r="O71" s="124"/>
    </row>
    <row r="72" spans="2:16" x14ac:dyDescent="0.3">
      <c r="B72" s="2" t="s">
        <v>231</v>
      </c>
      <c r="C72" s="236" t="s">
        <v>126</v>
      </c>
      <c r="D72" s="155">
        <v>0</v>
      </c>
      <c r="E72" s="2">
        <f>$E$61*2</f>
        <v>0</v>
      </c>
      <c r="F72" s="29">
        <f>E72</f>
        <v>0</v>
      </c>
      <c r="G72" s="159">
        <f>F72/AVERAGE(坦克类型系数!$F$4:$F$13)</f>
        <v>0</v>
      </c>
      <c r="H72" s="34">
        <f t="shared" ref="H72:H92" si="0">D72*G72</f>
        <v>0</v>
      </c>
      <c r="I72" s="154">
        <f>SUM(H72:H78)</f>
        <v>2.1043608945404459</v>
      </c>
      <c r="J72" s="34">
        <f t="shared" ref="J72:J78" si="1">G72/SUM($G$72:$G$78)</f>
        <v>0</v>
      </c>
      <c r="K72" s="34">
        <f>J72*D72</f>
        <v>0</v>
      </c>
      <c r="L72" s="34">
        <f>SUM(K72:K78)</f>
        <v>1.2361556302539127</v>
      </c>
      <c r="O72" s="124"/>
    </row>
    <row r="73" spans="2:16" x14ac:dyDescent="0.3">
      <c r="B73" s="2" t="s">
        <v>232</v>
      </c>
      <c r="C73" s="236" t="s">
        <v>126</v>
      </c>
      <c r="D73" s="155">
        <v>2.0099999999999998</v>
      </c>
      <c r="E73" s="34">
        <f>AVERAGE(坦克类型系数!$H$4:$H$13)/$C$94</f>
        <v>1.0062500000000001</v>
      </c>
      <c r="F73" s="159">
        <f>E73-F72*E73/AVERAGE(坦克类型系数!$I$4:$I$13)</f>
        <v>1.0062500000000001</v>
      </c>
      <c r="G73" s="159">
        <f>F73/AVERAGE(坦克类型系数!$F$4:$F$13)</f>
        <v>0.16321978913219787</v>
      </c>
      <c r="H73" s="34">
        <f t="shared" si="0"/>
        <v>0.3280717761557177</v>
      </c>
      <c r="I73" s="34"/>
      <c r="J73" s="34">
        <f t="shared" si="1"/>
        <v>9.5879495683502805E-2</v>
      </c>
      <c r="K73" s="34">
        <f t="shared" ref="K73:K92" si="2">J73*D73</f>
        <v>0.19271778632384062</v>
      </c>
      <c r="L73" s="2"/>
      <c r="O73" s="124"/>
    </row>
    <row r="74" spans="2:16" x14ac:dyDescent="0.3">
      <c r="B74" s="2" t="s">
        <v>233</v>
      </c>
      <c r="C74" s="236" t="s">
        <v>126</v>
      </c>
      <c r="D74" s="155">
        <v>1.6</v>
      </c>
      <c r="E74" s="34">
        <f>AVERAGE(坦克类型系数!$G$4:$G$13)/$C$94</f>
        <v>1.21875</v>
      </c>
      <c r="F74" s="159">
        <f>(E74-F72*E74/AVERAGE(坦克类型系数!$I$4:$I$13))*2</f>
        <v>2.4375</v>
      </c>
      <c r="G74" s="159">
        <f>F74/AVERAGE(坦克类型系数!$F$4:$F$13)</f>
        <v>0.39537712895377125</v>
      </c>
      <c r="H74" s="34">
        <f t="shared" si="0"/>
        <v>0.63260340632603407</v>
      </c>
      <c r="I74" s="34"/>
      <c r="J74" s="34">
        <f t="shared" si="1"/>
        <v>0.23225467898488258</v>
      </c>
      <c r="K74" s="34">
        <f t="shared" si="2"/>
        <v>0.37160748637581215</v>
      </c>
      <c r="L74" s="2"/>
      <c r="O74" s="124"/>
    </row>
    <row r="75" spans="2:16" x14ac:dyDescent="0.3">
      <c r="B75" s="2" t="s">
        <v>234</v>
      </c>
      <c r="C75" s="236" t="s">
        <v>126</v>
      </c>
      <c r="D75" s="155">
        <v>1.3</v>
      </c>
      <c r="E75" s="34">
        <f>AVERAGE(坦克类型系数!$H$4:$H$13)/$C$94</f>
        <v>1.0062500000000001</v>
      </c>
      <c r="F75" s="159">
        <f>E75-F72*E75/AVERAGE(坦克类型系数!$I$4:$I$13)</f>
        <v>1.0062500000000001</v>
      </c>
      <c r="G75" s="159">
        <f>F75/AVERAGE(坦克类型系数!$F$4:$F$13)</f>
        <v>0.16321978913219787</v>
      </c>
      <c r="H75" s="34">
        <f t="shared" si="0"/>
        <v>0.21218572587185724</v>
      </c>
      <c r="I75" s="34"/>
      <c r="J75" s="34">
        <f t="shared" si="1"/>
        <v>9.5879495683502805E-2</v>
      </c>
      <c r="K75" s="34">
        <f t="shared" si="2"/>
        <v>0.12464334438855365</v>
      </c>
      <c r="L75" s="2"/>
      <c r="O75" s="124"/>
    </row>
    <row r="76" spans="2:16" x14ac:dyDescent="0.3">
      <c r="B76" s="2" t="s">
        <v>235</v>
      </c>
      <c r="C76" s="236" t="s">
        <v>126</v>
      </c>
      <c r="D76" s="155">
        <v>1.1000000000000001</v>
      </c>
      <c r="E76" s="34">
        <f>AVERAGE(坦克类型系数!$E$4:$E$13)/$C$94</f>
        <v>1.6812500000000001</v>
      </c>
      <c r="F76" s="159">
        <f>E76-AVERAGE(坦克类型系数!$I$4:$I$13)*E76/AVERAGE(坦克类型系数!$F$4:$F$13)</f>
        <v>0.98802412814274154</v>
      </c>
      <c r="G76" s="159">
        <f>F76/AVERAGE(坦克类型系数!$F$4:$F$13)</f>
        <v>0.16026344333215595</v>
      </c>
      <c r="H76" s="34">
        <f t="shared" si="0"/>
        <v>0.17628978766537157</v>
      </c>
      <c r="I76" s="34"/>
      <c r="J76" s="34">
        <f t="shared" si="1"/>
        <v>9.414286224045576E-2</v>
      </c>
      <c r="K76" s="34">
        <f t="shared" si="2"/>
        <v>0.10355714846450134</v>
      </c>
      <c r="L76" s="2"/>
      <c r="O76" s="124"/>
    </row>
    <row r="77" spans="2:16" x14ac:dyDescent="0.3">
      <c r="B77" s="2" t="s">
        <v>236</v>
      </c>
      <c r="C77" s="236" t="s">
        <v>126</v>
      </c>
      <c r="D77" s="155">
        <v>0.95</v>
      </c>
      <c r="E77" s="34">
        <f>AVERAGE(坦克类型系数!$D$4:$D$13)/$C$94</f>
        <v>3.4618749999999996</v>
      </c>
      <c r="F77" s="159">
        <f>(E77-AVERAGE(坦克类型系数!$I$4:$I$13)*E77/AVERAGE(坦克类型系数!$F$4:$F$13))*2</f>
        <v>4.0688963909164642</v>
      </c>
      <c r="G77" s="159">
        <f>F77/AVERAGE(坦克类型系数!$F$4:$F$13)</f>
        <v>0.65999941458499001</v>
      </c>
      <c r="H77" s="34">
        <f t="shared" si="0"/>
        <v>0.62699944385574047</v>
      </c>
      <c r="I77" s="34"/>
      <c r="J77" s="34">
        <f t="shared" si="1"/>
        <v>0.38770060516720029</v>
      </c>
      <c r="K77" s="34">
        <f t="shared" si="2"/>
        <v>0.36831557490884026</v>
      </c>
      <c r="L77" s="2"/>
      <c r="O77" s="124"/>
    </row>
    <row r="78" spans="2:16" x14ac:dyDescent="0.3">
      <c r="B78" s="2" t="s">
        <v>237</v>
      </c>
      <c r="C78" s="236" t="s">
        <v>126</v>
      </c>
      <c r="D78" s="155">
        <v>0.8</v>
      </c>
      <c r="E78" s="34">
        <f>AVERAGE(坦克类型系数!$E$4:$E$13)/$C$94</f>
        <v>1.6812500000000001</v>
      </c>
      <c r="F78" s="159">
        <f>E78-AVERAGE(坦克类型系数!$I$4:$I$13)*E78/AVERAGE(坦克类型系数!$F$4:$F$13)</f>
        <v>0.98802412814274154</v>
      </c>
      <c r="G78" s="159">
        <f>F78/AVERAGE(坦克类型系数!$F$4:$F$13)</f>
        <v>0.16026344333215595</v>
      </c>
      <c r="H78" s="34">
        <f t="shared" si="0"/>
        <v>0.12821075466572476</v>
      </c>
      <c r="I78" s="34"/>
      <c r="J78" s="34">
        <f t="shared" si="1"/>
        <v>9.414286224045576E-2</v>
      </c>
      <c r="K78" s="34">
        <f t="shared" si="2"/>
        <v>7.5314289792364611E-2</v>
      </c>
      <c r="L78" s="2"/>
      <c r="O78" s="124"/>
    </row>
    <row r="79" spans="2:16" x14ac:dyDescent="0.3">
      <c r="B79" s="2" t="s">
        <v>231</v>
      </c>
      <c r="C79" s="236" t="s">
        <v>128</v>
      </c>
      <c r="D79" s="155">
        <v>0</v>
      </c>
      <c r="E79" s="2">
        <f>$E$61*2</f>
        <v>0</v>
      </c>
      <c r="F79" s="29">
        <f>E79</f>
        <v>0</v>
      </c>
      <c r="G79" s="159">
        <f>F79/AVERAGE(坦克类型系数!$F$14:$F$23)</f>
        <v>0</v>
      </c>
      <c r="H79" s="34">
        <f t="shared" si="0"/>
        <v>0</v>
      </c>
      <c r="I79" s="154">
        <f>SUM(H79:H85)</f>
        <v>2.1680424314696287</v>
      </c>
      <c r="J79" s="34">
        <f t="shared" ref="J79:J85" si="3">G79/SUM($G$79:$G$85)</f>
        <v>0</v>
      </c>
      <c r="K79" s="34">
        <f t="shared" si="2"/>
        <v>0</v>
      </c>
      <c r="L79" s="34">
        <f>SUM(K79:K85)</f>
        <v>1.2727618929465889</v>
      </c>
      <c r="O79" s="124"/>
    </row>
    <row r="80" spans="2:16" x14ac:dyDescent="0.3">
      <c r="B80" s="2" t="s">
        <v>232</v>
      </c>
      <c r="C80" s="236" t="s">
        <v>128</v>
      </c>
      <c r="D80" s="155">
        <v>2.25</v>
      </c>
      <c r="E80" s="34">
        <f>AVERAGE(坦克类型系数!$H$14:$H$23)/$C$94</f>
        <v>1.25</v>
      </c>
      <c r="F80" s="159">
        <f>E80-F79*E80/AVERAGE(坦克类型系数!$I$14:$I$23)</f>
        <v>1.25</v>
      </c>
      <c r="G80" s="159">
        <f>F80/AVERAGE(坦克类型系数!$F$14:$F$23)</f>
        <v>0.17170329670329668</v>
      </c>
      <c r="H80" s="34">
        <f t="shared" si="0"/>
        <v>0.38633241758241754</v>
      </c>
      <c r="I80" s="34"/>
      <c r="J80" s="34">
        <f t="shared" si="3"/>
        <v>0.1007994169141422</v>
      </c>
      <c r="K80" s="34">
        <f t="shared" si="2"/>
        <v>0.22679868805681994</v>
      </c>
      <c r="L80" s="2"/>
      <c r="O80" s="124"/>
    </row>
    <row r="81" spans="2:16" x14ac:dyDescent="0.3">
      <c r="B81" s="2" t="s">
        <v>233</v>
      </c>
      <c r="C81" s="236" t="s">
        <v>128</v>
      </c>
      <c r="D81" s="155">
        <v>1.85</v>
      </c>
      <c r="E81" s="34">
        <f>AVERAGE(坦克类型系数!$G$14:$G$23)/$C$94</f>
        <v>1.51875</v>
      </c>
      <c r="F81" s="159">
        <f>(E81-F79*E81/AVERAGE(坦克类型系数!$I$14:$I$23))*2</f>
        <v>3.0375000000000001</v>
      </c>
      <c r="G81" s="159">
        <f>F81/AVERAGE(坦克类型系数!$F$14:$F$23)</f>
        <v>0.41723901098901095</v>
      </c>
      <c r="H81" s="34">
        <f t="shared" si="0"/>
        <v>0.77189217032967028</v>
      </c>
      <c r="I81" s="34"/>
      <c r="J81" s="34">
        <f t="shared" si="3"/>
        <v>0.24494258310136555</v>
      </c>
      <c r="K81" s="34">
        <f t="shared" si="2"/>
        <v>0.45314377873752626</v>
      </c>
      <c r="L81" s="2"/>
      <c r="O81" s="124"/>
    </row>
    <row r="82" spans="2:16" x14ac:dyDescent="0.3">
      <c r="B82" s="2" t="s">
        <v>234</v>
      </c>
      <c r="C82" s="236" t="s">
        <v>128</v>
      </c>
      <c r="D82" s="155">
        <v>1.4</v>
      </c>
      <c r="E82" s="34">
        <f>AVERAGE(坦克类型系数!$H$14:$H$23)/$C$94</f>
        <v>1.25</v>
      </c>
      <c r="F82" s="159">
        <f>E82-F79*E82/AVERAGE(坦克类型系数!$I$14:$I$23)</f>
        <v>1.25</v>
      </c>
      <c r="G82" s="159">
        <f>F82/AVERAGE(坦克类型系数!$F$14:$F$23)</f>
        <v>0.17170329670329668</v>
      </c>
      <c r="H82" s="34">
        <f t="shared" si="0"/>
        <v>0.24038461538461534</v>
      </c>
      <c r="I82" s="34"/>
      <c r="J82" s="34">
        <f t="shared" si="3"/>
        <v>0.1007994169141422</v>
      </c>
      <c r="K82" s="34">
        <f t="shared" si="2"/>
        <v>0.14111918367979906</v>
      </c>
      <c r="L82" s="2"/>
      <c r="O82" s="124"/>
    </row>
    <row r="83" spans="2:16" x14ac:dyDescent="0.3">
      <c r="B83" s="2" t="s">
        <v>235</v>
      </c>
      <c r="C83" s="236" t="s">
        <v>128</v>
      </c>
      <c r="D83" s="155">
        <v>1.1499999999999999</v>
      </c>
      <c r="E83" s="34">
        <f>AVERAGE(坦克类型系数!$E$14:$E$23)/$C$94</f>
        <v>1.9574999999999998</v>
      </c>
      <c r="F83" s="159">
        <f>E83-AVERAGE(坦克类型系数!$I$14:$I$23)*E83/AVERAGE(坦克类型系数!$F$14:$F$23)</f>
        <v>1.1078159340659339</v>
      </c>
      <c r="G83" s="159">
        <f>F83/AVERAGE(坦克类型系数!$F$14:$F$23)</f>
        <v>0.15217251841565024</v>
      </c>
      <c r="H83" s="34">
        <f t="shared" si="0"/>
        <v>0.17499839617799776</v>
      </c>
      <c r="I83" s="34"/>
      <c r="J83" s="34">
        <f t="shared" si="3"/>
        <v>8.9333760161633552E-2</v>
      </c>
      <c r="K83" s="34">
        <f t="shared" si="2"/>
        <v>0.10273382418587858</v>
      </c>
      <c r="L83" s="2"/>
      <c r="O83" s="124"/>
    </row>
    <row r="84" spans="2:16" x14ac:dyDescent="0.3">
      <c r="B84" s="2" t="s">
        <v>236</v>
      </c>
      <c r="C84" s="236" t="s">
        <v>128</v>
      </c>
      <c r="D84" s="155">
        <v>0.8</v>
      </c>
      <c r="E84" s="34">
        <f>AVERAGE(坦克类型系数!$D$14:$D$23)/$C$94</f>
        <v>4.1062499999999984</v>
      </c>
      <c r="F84" s="159">
        <f>(E84-AVERAGE(坦克类型系数!$I$14:$I$23)*E84/AVERAGE(坦克类型系数!$F$14:$F$23))*2</f>
        <v>4.6477335164835143</v>
      </c>
      <c r="G84" s="159">
        <f>F84/AVERAGE(坦克类型系数!$F$14:$F$23)</f>
        <v>0.6384249335829002</v>
      </c>
      <c r="H84" s="34">
        <f t="shared" si="0"/>
        <v>0.51073994686632018</v>
      </c>
      <c r="I84" s="34"/>
      <c r="J84" s="34">
        <f t="shared" si="3"/>
        <v>0.37479106274708313</v>
      </c>
      <c r="K84" s="34">
        <f t="shared" si="2"/>
        <v>0.29983285019766653</v>
      </c>
      <c r="L84" s="2"/>
      <c r="O84" s="124"/>
    </row>
    <row r="85" spans="2:16" x14ac:dyDescent="0.3">
      <c r="B85" s="2" t="s">
        <v>237</v>
      </c>
      <c r="C85" s="236" t="s">
        <v>128</v>
      </c>
      <c r="D85" s="155">
        <v>0.55000000000000004</v>
      </c>
      <c r="E85" s="34">
        <f>AVERAGE(坦克类型系数!$E$14:$E$23)/$C$94</f>
        <v>1.9574999999999998</v>
      </c>
      <c r="F85" s="159">
        <f>E85-AVERAGE(坦克类型系数!$I$14:$I$23)*E85/AVERAGE(坦克类型系数!$F$14:$F$23)</f>
        <v>1.1078159340659339</v>
      </c>
      <c r="G85" s="159">
        <f>F85/AVERAGE(坦克类型系数!$F$14:$F$23)</f>
        <v>0.15217251841565024</v>
      </c>
      <c r="H85" s="34">
        <f t="shared" si="0"/>
        <v>8.3694885128607635E-2</v>
      </c>
      <c r="I85" s="34"/>
      <c r="J85" s="34">
        <f t="shared" si="3"/>
        <v>8.9333760161633552E-2</v>
      </c>
      <c r="K85" s="34">
        <f t="shared" si="2"/>
        <v>4.9133568088898461E-2</v>
      </c>
      <c r="L85" s="2"/>
      <c r="O85" s="124"/>
    </row>
    <row r="86" spans="2:16" x14ac:dyDescent="0.3">
      <c r="B86" s="2" t="s">
        <v>231</v>
      </c>
      <c r="C86" s="236" t="s">
        <v>130</v>
      </c>
      <c r="D86" s="155">
        <v>0</v>
      </c>
      <c r="E86" s="2">
        <f>$E$61*2</f>
        <v>0</v>
      </c>
      <c r="F86" s="29">
        <f>E86</f>
        <v>0</v>
      </c>
      <c r="G86" s="159">
        <f>F86/AVERAGE(坦克类型系数!$F$24:$F$33)</f>
        <v>0</v>
      </c>
      <c r="H86" s="34">
        <f t="shared" si="0"/>
        <v>0</v>
      </c>
      <c r="I86" s="154">
        <f>SUM(H86:H92)</f>
        <v>2.2608084012626852</v>
      </c>
      <c r="J86" s="34">
        <f t="shared" ref="J86:J92" si="4">G86/SUM($G$86:$G$92)</f>
        <v>0</v>
      </c>
      <c r="K86" s="34">
        <f t="shared" si="2"/>
        <v>0</v>
      </c>
      <c r="L86" s="34">
        <f>SUM(K86:K92)</f>
        <v>1.3299235013265076</v>
      </c>
      <c r="O86" s="124"/>
    </row>
    <row r="87" spans="2:16" x14ac:dyDescent="0.3">
      <c r="B87" s="2" t="s">
        <v>232</v>
      </c>
      <c r="C87" s="236" t="s">
        <v>130</v>
      </c>
      <c r="D87" s="155">
        <v>2.6</v>
      </c>
      <c r="E87" s="34">
        <f>AVERAGE(坦克类型系数!$H$24:$H$33)/$C$94</f>
        <v>1.2374999999999998</v>
      </c>
      <c r="F87" s="159">
        <f>E87-F86*E87/AVERAGE(坦克类型系数!$I$24:$I$33)</f>
        <v>1.2374999999999998</v>
      </c>
      <c r="G87" s="159">
        <f>F87/AVERAGE(坦克类型系数!$F$24:$F$33)</f>
        <v>0.16427718040621267</v>
      </c>
      <c r="H87" s="34">
        <f t="shared" si="0"/>
        <v>0.42712066905615298</v>
      </c>
      <c r="I87" s="34"/>
      <c r="J87" s="34">
        <f t="shared" si="4"/>
        <v>9.6636266404466459E-2</v>
      </c>
      <c r="K87" s="34">
        <f t="shared" si="2"/>
        <v>0.25125429265161281</v>
      </c>
      <c r="L87" s="2"/>
      <c r="O87" s="124"/>
      <c r="P87" s="124"/>
    </row>
    <row r="88" spans="2:16" x14ac:dyDescent="0.3">
      <c r="B88" s="2" t="s">
        <v>233</v>
      </c>
      <c r="C88" s="236" t="s">
        <v>130</v>
      </c>
      <c r="D88" s="155">
        <v>2</v>
      </c>
      <c r="E88" s="34">
        <f>AVERAGE(坦克类型系数!$G$24:$G$33)/$C$94</f>
        <v>1.7750000000000001</v>
      </c>
      <c r="F88" s="159">
        <f>(E88-F86*E88/AVERAGE(坦克类型系数!$I$24:$I$33))*2</f>
        <v>3.5500000000000003</v>
      </c>
      <c r="G88" s="159">
        <f>F88/AVERAGE(坦克类型系数!$F$24:$F$33)</f>
        <v>0.47125979025620612</v>
      </c>
      <c r="H88" s="34">
        <f t="shared" si="0"/>
        <v>0.94251958051241225</v>
      </c>
      <c r="I88" s="34"/>
      <c r="J88" s="34">
        <f t="shared" si="4"/>
        <v>0.27721918847341898</v>
      </c>
      <c r="K88" s="34">
        <f t="shared" si="2"/>
        <v>0.55443837694683795</v>
      </c>
      <c r="L88" s="2"/>
      <c r="O88" s="124"/>
      <c r="P88" s="124"/>
    </row>
    <row r="89" spans="2:16" x14ac:dyDescent="0.3">
      <c r="B89" s="2" t="s">
        <v>234</v>
      </c>
      <c r="C89" s="236" t="s">
        <v>130</v>
      </c>
      <c r="D89" s="155">
        <v>1.5</v>
      </c>
      <c r="E89" s="34">
        <f>AVERAGE(坦克类型系数!$H$24:$H$33)/$C$94</f>
        <v>1.2374999999999998</v>
      </c>
      <c r="F89" s="159">
        <f>E89-F86*E89/AVERAGE(坦克类型系数!$I$24:$I$33)</f>
        <v>1.2374999999999998</v>
      </c>
      <c r="G89" s="159">
        <f>F89/AVERAGE(坦克类型系数!$F$24:$F$33)</f>
        <v>0.16427718040621267</v>
      </c>
      <c r="H89" s="34">
        <f t="shared" si="0"/>
        <v>0.24641577060931902</v>
      </c>
      <c r="I89" s="34"/>
      <c r="J89" s="34">
        <f t="shared" si="4"/>
        <v>9.6636266404466459E-2</v>
      </c>
      <c r="K89" s="34">
        <f t="shared" si="2"/>
        <v>0.1449543996066997</v>
      </c>
      <c r="L89" s="2"/>
      <c r="O89" s="124"/>
      <c r="P89" s="124"/>
    </row>
    <row r="90" spans="2:16" x14ac:dyDescent="0.3">
      <c r="B90" s="2" t="s">
        <v>235</v>
      </c>
      <c r="C90" s="236" t="s">
        <v>130</v>
      </c>
      <c r="D90" s="155">
        <v>1.1000000000000001</v>
      </c>
      <c r="E90" s="34">
        <f>AVERAGE(坦克类型系数!$E$24:$E$33)/$C$94</f>
        <v>2.0462499999999997</v>
      </c>
      <c r="F90" s="159">
        <f>E90-AVERAGE(坦克类型系数!$I$24:$I$33)*E90/AVERAGE(坦克类型系数!$F$24:$F$33)</f>
        <v>1.1039373423602812</v>
      </c>
      <c r="G90" s="159">
        <f>F90/AVERAGE(坦克类型系数!$F$24:$F$33)</f>
        <v>0.14654683955399991</v>
      </c>
      <c r="H90" s="34">
        <f t="shared" si="0"/>
        <v>0.16120152350939992</v>
      </c>
      <c r="I90" s="34"/>
      <c r="J90" s="34">
        <f t="shared" si="4"/>
        <v>8.6206370190033813E-2</v>
      </c>
      <c r="K90" s="34">
        <f t="shared" si="2"/>
        <v>9.4827007209037195E-2</v>
      </c>
      <c r="L90" s="2"/>
      <c r="O90" s="124"/>
      <c r="P90" s="124"/>
    </row>
    <row r="91" spans="2:16" x14ac:dyDescent="0.3">
      <c r="B91" s="2" t="s">
        <v>236</v>
      </c>
      <c r="C91" s="236" t="s">
        <v>130</v>
      </c>
      <c r="D91" s="155">
        <v>0.7</v>
      </c>
      <c r="E91" s="34">
        <f>AVERAGE(坦克类型系数!$D$24:$D$33)/$C$94</f>
        <v>4.2381250000000001</v>
      </c>
      <c r="F91" s="159">
        <f>(E91-AVERAGE(坦克类型系数!$I$24:$I$33)*E91/AVERAGE(坦克类型系数!$F$24:$F$33))*2</f>
        <v>4.5728766759591126</v>
      </c>
      <c r="G91" s="159">
        <f>F91/AVERAGE(坦克类型系数!$F$24:$F$33)</f>
        <v>0.60704588821971506</v>
      </c>
      <c r="H91" s="34">
        <f t="shared" si="0"/>
        <v>0.42493212175380052</v>
      </c>
      <c r="I91" s="34"/>
      <c r="J91" s="34">
        <f t="shared" si="4"/>
        <v>0.35709553833758056</v>
      </c>
      <c r="K91" s="34">
        <f t="shared" si="2"/>
        <v>0.24996687683630639</v>
      </c>
      <c r="L91" s="2"/>
      <c r="O91" s="124"/>
      <c r="P91" s="124"/>
    </row>
    <row r="92" spans="2:16" x14ac:dyDescent="0.3">
      <c r="B92" s="2" t="s">
        <v>237</v>
      </c>
      <c r="C92" s="236" t="s">
        <v>130</v>
      </c>
      <c r="D92" s="155">
        <v>0.4</v>
      </c>
      <c r="E92" s="34">
        <f>AVERAGE(坦克类型系数!$E$24:$E$33)/$C$94</f>
        <v>2.0462499999999997</v>
      </c>
      <c r="F92" s="159">
        <f>E92-AVERAGE(坦克类型系数!$I$24:$I$33)*E92/AVERAGE(坦克类型系数!$F$24:$F$33)</f>
        <v>1.1039373423602812</v>
      </c>
      <c r="G92" s="159">
        <f>F92/AVERAGE(坦克类型系数!$F$24:$F$33)</f>
        <v>0.14654683955399991</v>
      </c>
      <c r="H92" s="34">
        <f t="shared" si="0"/>
        <v>5.8618735821599967E-2</v>
      </c>
      <c r="I92" s="34"/>
      <c r="J92" s="34">
        <f t="shared" si="4"/>
        <v>8.6206370190033813E-2</v>
      </c>
      <c r="K92" s="34">
        <f t="shared" si="2"/>
        <v>3.4482548076013524E-2</v>
      </c>
      <c r="L92" s="2"/>
      <c r="O92" s="124"/>
      <c r="P92" s="124"/>
    </row>
    <row r="93" spans="2:16" x14ac:dyDescent="0.3">
      <c r="B93" s="25"/>
      <c r="C93" s="235"/>
      <c r="D93" s="235"/>
      <c r="E93" s="24"/>
      <c r="F93" s="24"/>
      <c r="G93" s="132"/>
      <c r="H93" s="132"/>
      <c r="I93" s="132"/>
      <c r="J93" s="132"/>
      <c r="K93" s="132"/>
      <c r="M93" s="124"/>
      <c r="N93" s="124"/>
      <c r="O93" s="124"/>
      <c r="P93" s="124"/>
    </row>
    <row r="94" spans="2:16" x14ac:dyDescent="0.3">
      <c r="B94" s="2" t="s">
        <v>238</v>
      </c>
      <c r="C94" s="153">
        <v>1.6</v>
      </c>
      <c r="D94" s="235"/>
      <c r="E94" s="24"/>
      <c r="F94" s="24"/>
      <c r="G94" s="132"/>
      <c r="H94" s="132"/>
      <c r="I94" s="132"/>
      <c r="J94" s="132"/>
      <c r="K94" s="132"/>
      <c r="M94" s="124"/>
      <c r="N94" s="124"/>
      <c r="O94" s="124"/>
      <c r="P94" s="124"/>
    </row>
    <row r="95" spans="2:16" x14ac:dyDescent="0.3">
      <c r="B95" s="25"/>
      <c r="C95" s="237"/>
      <c r="D95" s="235"/>
      <c r="E95" s="24"/>
      <c r="F95" s="24"/>
      <c r="G95" s="132"/>
      <c r="H95" s="132"/>
      <c r="I95" s="132"/>
      <c r="J95" s="132"/>
      <c r="K95" s="132"/>
      <c r="M95" s="124"/>
      <c r="N95" s="124"/>
      <c r="O95" s="124"/>
      <c r="P95" s="124"/>
    </row>
    <row r="96" spans="2:16" x14ac:dyDescent="0.3">
      <c r="B96" s="352" t="s">
        <v>239</v>
      </c>
      <c r="C96" s="353"/>
      <c r="D96" s="353"/>
      <c r="E96" s="354"/>
      <c r="F96" s="24"/>
      <c r="G96" s="132"/>
      <c r="H96" s="132"/>
      <c r="I96" s="132"/>
      <c r="J96" s="132"/>
      <c r="K96" s="132"/>
      <c r="M96" s="124"/>
      <c r="N96" s="124"/>
      <c r="O96" s="124"/>
      <c r="P96" s="124"/>
    </row>
    <row r="97" spans="2:16" x14ac:dyDescent="0.3">
      <c r="B97" s="2" t="s">
        <v>71</v>
      </c>
      <c r="C97" s="28" t="s">
        <v>240</v>
      </c>
      <c r="D97" s="236" t="s">
        <v>241</v>
      </c>
      <c r="E97" s="29" t="s">
        <v>242</v>
      </c>
      <c r="F97" s="24"/>
      <c r="G97" s="132"/>
      <c r="H97" s="132"/>
      <c r="I97" s="132"/>
      <c r="J97" s="132"/>
      <c r="K97" s="132"/>
      <c r="M97" s="124"/>
      <c r="N97" s="124"/>
      <c r="O97" s="124"/>
      <c r="P97" s="124"/>
    </row>
    <row r="98" spans="2:16" x14ac:dyDescent="0.3">
      <c r="B98" s="2" t="s">
        <v>126</v>
      </c>
      <c r="C98" s="28">
        <f>AVERAGE(坦克类型系数!$F$4:$F$13)</f>
        <v>6.1650000000000009</v>
      </c>
      <c r="D98" s="28">
        <f>AVERAGE(坦克类型系数!$I$4:$I$13)</f>
        <v>2.5419999999999998</v>
      </c>
      <c r="E98" s="161">
        <f>I72</f>
        <v>2.1043608945404459</v>
      </c>
      <c r="F98" s="24"/>
      <c r="G98" s="132"/>
      <c r="H98" s="132"/>
      <c r="I98" s="132"/>
      <c r="J98" s="132"/>
      <c r="K98" s="132"/>
      <c r="M98" s="124"/>
      <c r="N98" s="124"/>
      <c r="O98" s="124"/>
      <c r="P98" s="124"/>
    </row>
    <row r="99" spans="2:16" x14ac:dyDescent="0.3">
      <c r="B99" s="2" t="s">
        <v>128</v>
      </c>
      <c r="C99" s="28">
        <f>AVERAGE(坦克类型系数!$F$14:$F$23)</f>
        <v>7.2800000000000011</v>
      </c>
      <c r="D99" s="28">
        <f>AVERAGE(坦克类型系数!$I$14:$I$23)</f>
        <v>3.16</v>
      </c>
      <c r="E99" s="161">
        <f>I79</f>
        <v>2.1680424314696287</v>
      </c>
      <c r="F99" s="24"/>
      <c r="G99" s="132"/>
      <c r="H99" s="132"/>
      <c r="I99" s="132"/>
      <c r="J99" s="132"/>
      <c r="K99" s="132"/>
      <c r="M99" s="124"/>
      <c r="N99" s="124"/>
      <c r="O99" s="124"/>
      <c r="P99" s="124"/>
    </row>
    <row r="100" spans="2:16" x14ac:dyDescent="0.3">
      <c r="B100" s="2" t="s">
        <v>130</v>
      </c>
      <c r="C100" s="28">
        <f>AVERAGE(坦克类型系数!$F$24:$F$33)</f>
        <v>7.5329999999999986</v>
      </c>
      <c r="D100" s="28">
        <f>AVERAGE(坦克类型系数!$I$24:$I$33)</f>
        <v>3.4689999999999999</v>
      </c>
      <c r="E100" s="161">
        <f>I86</f>
        <v>2.2608084012626852</v>
      </c>
      <c r="F100" s="24"/>
      <c r="G100" s="132"/>
      <c r="H100" s="132"/>
      <c r="I100" s="132"/>
      <c r="J100" s="132"/>
      <c r="K100" s="132"/>
      <c r="M100" s="124"/>
      <c r="N100" s="124"/>
      <c r="O100" s="124"/>
      <c r="P100" s="124"/>
    </row>
    <row r="101" spans="2:16" x14ac:dyDescent="0.3">
      <c r="K101" s="124"/>
      <c r="M101" s="124"/>
      <c r="N101" s="124"/>
      <c r="O101" s="124"/>
      <c r="P101" s="124"/>
    </row>
    <row r="102" spans="2:16" x14ac:dyDescent="0.3">
      <c r="B102" s="238" t="s">
        <v>243</v>
      </c>
      <c r="C102" s="239">
        <v>0.8</v>
      </c>
      <c r="K102" s="124"/>
      <c r="M102" s="124"/>
      <c r="N102" s="124"/>
      <c r="O102" s="124"/>
      <c r="P102" s="124"/>
    </row>
    <row r="103" spans="2:16" x14ac:dyDescent="0.3">
      <c r="B103" s="2" t="s">
        <v>244</v>
      </c>
      <c r="C103" s="21">
        <v>20</v>
      </c>
      <c r="K103" s="124"/>
      <c r="M103" s="124"/>
      <c r="N103" s="124"/>
      <c r="O103" s="124"/>
      <c r="P103" s="124"/>
    </row>
    <row r="104" spans="2:16" x14ac:dyDescent="0.3">
      <c r="K104" s="124"/>
      <c r="M104" s="124"/>
      <c r="N104" s="124"/>
      <c r="O104" s="124"/>
      <c r="P104" s="124"/>
    </row>
    <row r="105" spans="2:16" x14ac:dyDescent="0.3">
      <c r="B105" s="351" t="s">
        <v>245</v>
      </c>
      <c r="C105" s="351"/>
      <c r="K105" s="124"/>
      <c r="M105" s="124"/>
      <c r="N105" s="124"/>
      <c r="O105" s="124"/>
      <c r="P105" s="124"/>
    </row>
    <row r="106" spans="2:16" x14ac:dyDescent="0.3">
      <c r="B106" s="2" t="s">
        <v>246</v>
      </c>
      <c r="C106" s="2" t="s">
        <v>247</v>
      </c>
      <c r="K106" s="124"/>
      <c r="M106" s="124"/>
      <c r="N106" s="124"/>
      <c r="O106" s="124"/>
      <c r="P106" s="124"/>
    </row>
    <row r="107" spans="2:16" x14ac:dyDescent="0.3">
      <c r="B107" s="2" t="s">
        <v>248</v>
      </c>
      <c r="C107" s="21">
        <v>1</v>
      </c>
      <c r="K107" s="124"/>
      <c r="M107" s="124"/>
      <c r="N107" s="124"/>
      <c r="O107" s="124"/>
    </row>
    <row r="108" spans="2:16" x14ac:dyDescent="0.3">
      <c r="B108" s="2" t="s">
        <v>249</v>
      </c>
      <c r="C108" s="21">
        <v>3</v>
      </c>
      <c r="K108" s="124"/>
      <c r="M108" s="124"/>
      <c r="N108" s="124"/>
      <c r="O108" s="124"/>
    </row>
    <row r="109" spans="2:16" x14ac:dyDescent="0.3">
      <c r="B109" s="2" t="s">
        <v>250</v>
      </c>
      <c r="C109" s="157">
        <v>0.16</v>
      </c>
      <c r="K109" s="124"/>
      <c r="M109" s="124"/>
      <c r="N109" s="124"/>
      <c r="O109" s="124"/>
    </row>
    <row r="110" spans="2:16" x14ac:dyDescent="0.3">
      <c r="B110" s="2" t="s">
        <v>251</v>
      </c>
      <c r="C110" s="157">
        <v>0.08</v>
      </c>
      <c r="K110" s="124"/>
      <c r="M110" s="124"/>
      <c r="N110" s="124"/>
      <c r="O110" s="124"/>
      <c r="P110" s="124"/>
    </row>
    <row r="111" spans="2:16" x14ac:dyDescent="0.3">
      <c r="B111" s="2" t="s">
        <v>252</v>
      </c>
      <c r="C111" s="142">
        <f>C107*C109+C108*C110</f>
        <v>0.4</v>
      </c>
      <c r="K111" s="124"/>
      <c r="M111" s="124"/>
      <c r="N111" s="124"/>
      <c r="O111" s="124"/>
    </row>
    <row r="112" spans="2:16" x14ac:dyDescent="0.3">
      <c r="K112" s="124"/>
      <c r="M112" s="124"/>
      <c r="N112" s="124"/>
      <c r="O112" s="124"/>
    </row>
    <row r="113" spans="2:21" x14ac:dyDescent="0.3">
      <c r="B113" s="36" t="s">
        <v>253</v>
      </c>
      <c r="K113" s="124"/>
      <c r="M113" s="124"/>
      <c r="N113" s="124"/>
      <c r="O113" s="124"/>
    </row>
    <row r="114" spans="2:21" x14ac:dyDescent="0.3">
      <c r="K114" s="124"/>
      <c r="M114" s="124"/>
      <c r="N114" s="124"/>
      <c r="O114" s="124"/>
    </row>
    <row r="117" spans="2:21" x14ac:dyDescent="0.3">
      <c r="O117" s="124"/>
    </row>
    <row r="118" spans="2:21" x14ac:dyDescent="0.3">
      <c r="O118" s="124"/>
    </row>
    <row r="119" spans="2:21" x14ac:dyDescent="0.3">
      <c r="O119" s="124"/>
    </row>
    <row r="120" spans="2:21" x14ac:dyDescent="0.3">
      <c r="O120" s="124"/>
      <c r="U120" s="131"/>
    </row>
    <row r="121" spans="2:21" x14ac:dyDescent="0.3">
      <c r="O121" s="124"/>
    </row>
    <row r="122" spans="2:21" x14ac:dyDescent="0.3">
      <c r="O122" s="124"/>
    </row>
    <row r="123" spans="2:21" x14ac:dyDescent="0.3">
      <c r="I123" s="124"/>
      <c r="O123" s="124"/>
    </row>
    <row r="124" spans="2:21" x14ac:dyDescent="0.3">
      <c r="O124" s="124"/>
    </row>
    <row r="125" spans="2:21" x14ac:dyDescent="0.3">
      <c r="O125" s="124"/>
    </row>
    <row r="126" spans="2:21" x14ac:dyDescent="0.3">
      <c r="O126" s="124"/>
    </row>
    <row r="127" spans="2:21" x14ac:dyDescent="0.3">
      <c r="O127" s="124"/>
    </row>
    <row r="128" spans="2:21" x14ac:dyDescent="0.3">
      <c r="O128" s="124"/>
    </row>
    <row r="132" spans="4:15" x14ac:dyDescent="0.3">
      <c r="O132" s="124"/>
    </row>
    <row r="135" spans="4:15" x14ac:dyDescent="0.3">
      <c r="D135" s="129"/>
      <c r="E135" s="129"/>
    </row>
    <row r="136" spans="4:15" x14ac:dyDescent="0.3">
      <c r="D136" s="129"/>
      <c r="E136" s="129"/>
    </row>
    <row r="137" spans="4:15" x14ac:dyDescent="0.3">
      <c r="D137" s="129"/>
      <c r="E137" s="129"/>
    </row>
    <row r="138" spans="4:15" x14ac:dyDescent="0.3">
      <c r="D138" s="129"/>
      <c r="E138" s="129"/>
    </row>
    <row r="139" spans="4:15" x14ac:dyDescent="0.3">
      <c r="D139" s="129"/>
      <c r="E139" s="129"/>
    </row>
    <row r="140" spans="4:15" x14ac:dyDescent="0.3">
      <c r="K140" s="124"/>
      <c r="N140" s="124"/>
    </row>
  </sheetData>
  <mergeCells count="11">
    <mergeCell ref="B16:C16"/>
    <mergeCell ref="B22:E22"/>
    <mergeCell ref="B28:E28"/>
    <mergeCell ref="B38:G38"/>
    <mergeCell ref="B44:K44"/>
    <mergeCell ref="B105:C105"/>
    <mergeCell ref="B53:C53"/>
    <mergeCell ref="B59:E59"/>
    <mergeCell ref="B63:K63"/>
    <mergeCell ref="B70:L70"/>
    <mergeCell ref="B96:E96"/>
  </mergeCells>
  <phoneticPr fontId="32" type="noConversion"/>
  <pageMargins left="0.7" right="0.7" top="0.75" bottom="0.75" header="0.3" footer="0.3"/>
  <pageSetup paperSize="9" orientation="portrait" r:id="rId1"/>
  <ignoredErrors>
    <ignoredError sqref="J65:J68" formulaRange="1"/>
  </ignoredErrors>
  <drawing r:id="rId2"/>
  <legacyDrawing r:id="rId3"/>
  <mc:AlternateContent xmlns:mc="http://schemas.openxmlformats.org/markup-compatibility/2006">
    <mc:Choice Requires="x14">
      <controls>
        <mc:AlternateContent xmlns:mc="http://schemas.openxmlformats.org/markup-compatibility/2006">
          <mc:Choice Requires="x14">
            <control shapeId="1044" r:id="rId4" name="Button 20">
              <controlPr defaultSize="0" print="0" autoPict="0" macro="[0]!ThisWorkbook.unhide">
                <anchor moveWithCells="1" sizeWithCells="1">
                  <from>
                    <xdr:col>20</xdr:col>
                    <xdr:colOff>28575</xdr:colOff>
                    <xdr:row>0</xdr:row>
                    <xdr:rowOff>28575</xdr:rowOff>
                  </from>
                  <to>
                    <xdr:col>21</xdr:col>
                    <xdr:colOff>352425</xdr:colOff>
                    <xdr:row>2</xdr:row>
                    <xdr:rowOff>9525</xdr:rowOff>
                  </to>
                </anchor>
              </controlPr>
            </control>
          </mc:Choice>
        </mc:AlternateContent>
      </controls>
    </mc:Choice>
  </mc:AlternateConten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1:AY672"/>
  <sheetViews>
    <sheetView topLeftCell="A189" workbookViewId="0">
      <selection activeCell="F196" sqref="F196"/>
    </sheetView>
  </sheetViews>
  <sheetFormatPr defaultColWidth="9" defaultRowHeight="14.25" x14ac:dyDescent="0.3"/>
  <cols>
    <col min="1" max="1" width="9" style="1"/>
    <col min="2" max="2" width="17.5" style="1" customWidth="1"/>
    <col min="3" max="3" width="18.375" style="1" customWidth="1"/>
    <col min="4" max="4" width="9" style="1"/>
    <col min="5" max="5" width="14.875" style="1" customWidth="1"/>
    <col min="6" max="6" width="9" style="1"/>
    <col min="7" max="7" width="19.5" style="1" customWidth="1"/>
    <col min="8" max="8" width="9.625" style="1" customWidth="1"/>
    <col min="9" max="13" width="9" style="1"/>
    <col min="14" max="14" width="11.5" style="1" customWidth="1"/>
    <col min="15" max="19" width="9" style="1"/>
    <col min="20" max="20" width="13.75" style="1" bestFit="1" customWidth="1"/>
    <col min="21" max="30" width="9" style="1"/>
    <col min="31" max="31" width="13.875" style="1" customWidth="1"/>
    <col min="32" max="32" width="14.625" style="1" customWidth="1"/>
    <col min="33" max="38" width="9" style="1"/>
    <col min="39" max="40" width="9.125" style="1" customWidth="1"/>
    <col min="41" max="45" width="9" style="1"/>
    <col min="46" max="46" width="38.125" style="1" customWidth="1"/>
    <col min="47" max="47" width="24.875" style="1" customWidth="1"/>
    <col min="48" max="48" width="9" style="1"/>
    <col min="49" max="49" width="20.625" style="1" customWidth="1"/>
    <col min="50" max="50" width="9" style="1"/>
    <col min="51" max="51" width="24.5" style="1" customWidth="1"/>
    <col min="52" max="52" width="9" style="1"/>
    <col min="53" max="53" width="31.625" style="1" customWidth="1"/>
    <col min="54" max="60" width="9" style="1"/>
    <col min="61" max="61" width="13.125" style="1" customWidth="1"/>
    <col min="62" max="62" width="21.125" style="1" customWidth="1"/>
    <col min="63" max="16384" width="9" style="1"/>
  </cols>
  <sheetData>
    <row r="1" spans="1:51" ht="15.75" x14ac:dyDescent="0.3">
      <c r="AE1" s="35" t="s">
        <v>254</v>
      </c>
      <c r="AG1" s="1" t="s">
        <v>255</v>
      </c>
      <c r="AH1" s="1" t="s">
        <v>256</v>
      </c>
      <c r="AI1" s="1" t="s">
        <v>257</v>
      </c>
      <c r="AJ1" s="1" t="s">
        <v>258</v>
      </c>
      <c r="AK1" s="1" t="s">
        <v>259</v>
      </c>
      <c r="AL1" s="1" t="s">
        <v>260</v>
      </c>
      <c r="AM1" s="1" t="s">
        <v>261</v>
      </c>
      <c r="AN1" s="1" t="s">
        <v>262</v>
      </c>
      <c r="AO1" s="1" t="s">
        <v>263</v>
      </c>
      <c r="AP1" s="1" t="s">
        <v>264</v>
      </c>
      <c r="AS1" s="107" t="s">
        <v>265</v>
      </c>
      <c r="AT1" s="107"/>
    </row>
    <row r="2" spans="1:51" x14ac:dyDescent="0.3">
      <c r="B2" s="2" t="s">
        <v>266</v>
      </c>
      <c r="C2" s="21">
        <v>100</v>
      </c>
      <c r="D2" s="25"/>
      <c r="E2" s="117" t="s">
        <v>267</v>
      </c>
      <c r="F2" s="25"/>
      <c r="G2" s="25"/>
      <c r="H2" s="25"/>
      <c r="I2" s="25"/>
      <c r="AE2" s="1">
        <v>102</v>
      </c>
      <c r="AF2" s="1" t="s">
        <v>268</v>
      </c>
      <c r="AH2" s="1">
        <f>(AG10/SUM($AG$10:$AG$14))*AH10</f>
        <v>1.9083969465648856</v>
      </c>
      <c r="AJ2" s="1">
        <f>(AI10/SUM($AG$10:$AG$14))*AJ10</f>
        <v>1.9083969465648856</v>
      </c>
      <c r="AL2" s="1">
        <f>(AK10/SUM($AG$10:$AG$14))*AL10</f>
        <v>3.8167938931297711</v>
      </c>
      <c r="AN2" s="1">
        <f>(AM10/SUM($AG$10:$AG$14))*AN10</f>
        <v>5.7251908396946565</v>
      </c>
      <c r="AP2" s="1">
        <f>(AO10/SUM($AG$10:$AG$14))*AP10</f>
        <v>76.335877862595424</v>
      </c>
      <c r="AS2" s="1">
        <v>160101</v>
      </c>
      <c r="AU2" s="1" t="s">
        <v>269</v>
      </c>
      <c r="AV2" s="1">
        <v>100</v>
      </c>
      <c r="AX2" s="1" t="s">
        <v>270</v>
      </c>
    </row>
    <row r="3" spans="1:51" x14ac:dyDescent="0.3">
      <c r="B3" s="2" t="s">
        <v>271</v>
      </c>
      <c r="C3" s="21">
        <v>600</v>
      </c>
      <c r="E3" s="36" t="s">
        <v>272</v>
      </c>
      <c r="AE3" s="1">
        <v>105</v>
      </c>
      <c r="AF3" s="1" t="s">
        <v>273</v>
      </c>
      <c r="AH3" s="1">
        <f>(AG11/SUM($AG$10:$AG$14))*AH11</f>
        <v>0.19083969465648856</v>
      </c>
      <c r="AJ3" s="1">
        <f>(AI11/SUM($AG$10:$AG$14))*AJ11</f>
        <v>0.19083969465648856</v>
      </c>
      <c r="AL3" s="1">
        <f>(AK11/SUM($AG$10:$AG$14))*AL11</f>
        <v>0.19083969465648856</v>
      </c>
      <c r="AN3" s="1">
        <f>(AM11/SUM($AG$10:$AG$14))*AN11</f>
        <v>0.19083969465648856</v>
      </c>
      <c r="AP3" s="1">
        <f>(AO11/SUM($AG$10:$AG$14))*AP11</f>
        <v>0.19083969465648856</v>
      </c>
      <c r="AS3" s="1">
        <v>160103</v>
      </c>
      <c r="AU3" s="1" t="s">
        <v>274</v>
      </c>
      <c r="AV3" s="1">
        <v>100</v>
      </c>
      <c r="AX3" s="1" t="s">
        <v>270</v>
      </c>
    </row>
    <row r="4" spans="1:51" x14ac:dyDescent="0.3">
      <c r="B4" s="2" t="s">
        <v>275</v>
      </c>
      <c r="C4" s="21">
        <f>[1]坦克升星消耗!E2</f>
        <v>300</v>
      </c>
      <c r="E4" s="36" t="s">
        <v>276</v>
      </c>
      <c r="L4" s="131"/>
      <c r="N4" s="131"/>
      <c r="AE4" s="1">
        <v>108</v>
      </c>
      <c r="AF4" s="1" t="s">
        <v>277</v>
      </c>
      <c r="AH4" s="1">
        <f>(AG12/SUM($AG$10:$AG$14))*AH12</f>
        <v>0.19083969465648856</v>
      </c>
      <c r="AJ4" s="1">
        <f>(AI12/SUM($AG$10:$AG$14))*AJ12</f>
        <v>0.19083969465648856</v>
      </c>
      <c r="AL4" s="1">
        <f>(AK12/SUM($AG$10:$AG$14))*AL12</f>
        <v>0.19083969465648856</v>
      </c>
      <c r="AN4" s="1">
        <f>(AM12/SUM($AG$10:$AG$14))*AN12</f>
        <v>0.19083969465648856</v>
      </c>
      <c r="AP4" s="1">
        <f>(AO12/SUM($AG$10:$AG$14))*AP12</f>
        <v>0.19083969465648856</v>
      </c>
      <c r="AS4" s="1">
        <v>160105</v>
      </c>
      <c r="AU4" s="1" t="s">
        <v>278</v>
      </c>
      <c r="AV4" s="1">
        <v>100</v>
      </c>
      <c r="AX4" s="1" t="s">
        <v>270</v>
      </c>
    </row>
    <row r="5" spans="1:51" x14ac:dyDescent="0.3">
      <c r="B5" s="2" t="s">
        <v>279</v>
      </c>
      <c r="C5" s="21">
        <v>10</v>
      </c>
      <c r="E5" s="36" t="s">
        <v>280</v>
      </c>
      <c r="AE5" s="1">
        <v>100301</v>
      </c>
      <c r="AF5" s="1" t="s">
        <v>4217</v>
      </c>
      <c r="AH5" s="1">
        <f>(AG13/SUM($AG$10:$AG$14))*AH13</f>
        <v>7.6335877862595417E-3</v>
      </c>
      <c r="AJ5" s="1">
        <f>(AI13/SUM($AG$10:$AG$14))*AJ13</f>
        <v>7.6335877862595417E-3</v>
      </c>
      <c r="AL5" s="1">
        <f>(AK13/SUM($AG$10:$AG$14))*AL13</f>
        <v>7.6335877862595417E-3</v>
      </c>
      <c r="AN5" s="1">
        <f>(AM13/SUM($AG$10:$AG$14))*AN13</f>
        <v>7.6335877862595417E-3</v>
      </c>
      <c r="AP5" s="1">
        <f>(AO13/SUM($AG$10:$AG$14))*AP13</f>
        <v>7.6335877862595417E-3</v>
      </c>
      <c r="AS5" s="1">
        <v>160107</v>
      </c>
      <c r="AU5" s="1" t="s">
        <v>281</v>
      </c>
      <c r="AV5" s="1">
        <v>100</v>
      </c>
      <c r="AX5" s="1" t="s">
        <v>270</v>
      </c>
    </row>
    <row r="6" spans="1:51" x14ac:dyDescent="0.3">
      <c r="B6" s="2" t="s">
        <v>282</v>
      </c>
      <c r="C6" s="21">
        <v>2</v>
      </c>
      <c r="E6" s="36"/>
      <c r="N6" s="131"/>
      <c r="P6" s="131"/>
      <c r="AE6" s="1">
        <v>170101</v>
      </c>
      <c r="AF6" s="1" t="s">
        <v>283</v>
      </c>
      <c r="AH6" s="1">
        <f>(AG14/SUM($AG$10:$AG$14))*AH14</f>
        <v>3.8167938931297711</v>
      </c>
      <c r="AJ6" s="1">
        <f>(AI14/SUM($AG$10:$AG$14))*AJ14</f>
        <v>3.8167938931297711</v>
      </c>
      <c r="AL6" s="1">
        <f>(AK14/SUM($AG$10:$AG$14))*AL14</f>
        <v>3.8167938931297711</v>
      </c>
      <c r="AN6" s="1">
        <f>(AM14/SUM($AG$10:$AG$14))*AN14</f>
        <v>3.8167938931297711</v>
      </c>
      <c r="AP6" s="1">
        <f>(AO14/SUM($AG$10:$AG$14))*AP14</f>
        <v>3.8167938931297711</v>
      </c>
      <c r="AS6" s="1">
        <v>160110</v>
      </c>
      <c r="AU6" s="1" t="s">
        <v>284</v>
      </c>
      <c r="AV6" s="1">
        <v>100</v>
      </c>
      <c r="AX6" s="1" t="s">
        <v>270</v>
      </c>
    </row>
    <row r="7" spans="1:51" x14ac:dyDescent="0.3">
      <c r="B7" s="2" t="s">
        <v>285</v>
      </c>
      <c r="C7" s="21">
        <f>F15/(C9/E15)</f>
        <v>0.83333333333333404</v>
      </c>
      <c r="E7" s="36" t="s">
        <v>286</v>
      </c>
      <c r="N7" s="131"/>
      <c r="P7" s="131"/>
      <c r="AE7" s="1" t="str">
        <f>"["&amp;AE2&amp;","&amp;AE3&amp;","&amp;AE4&amp;","&amp;AE5&amp;","&amp;AE6&amp;"]"</f>
        <v>[102,105,108,100301,170101]</v>
      </c>
      <c r="AS7" s="1">
        <v>160109</v>
      </c>
      <c r="AT7" s="1" t="str">
        <f>"["&amp;AS2&amp;","&amp;AS3&amp;","&amp;AS4&amp;","&amp;AS5&amp;","&amp;AS6&amp;","&amp;AS7&amp;"]"</f>
        <v>[160101,160103,160105,160107,160110,160109]</v>
      </c>
      <c r="AU7" s="1" t="s">
        <v>287</v>
      </c>
      <c r="AV7" s="1">
        <v>100</v>
      </c>
      <c r="AW7" s="1" t="str">
        <f>"["&amp;AV2&amp;","&amp;AV3&amp;","&amp;AV4&amp;","&amp;AV5&amp;","&amp;AV6&amp;","&amp;AV7&amp;"]"</f>
        <v>[100,100,100,100,100,100]</v>
      </c>
      <c r="AX7" s="1" t="s">
        <v>270</v>
      </c>
      <c r="AY7" s="1" t="str">
        <f>"["&amp;AX2&amp;","&amp;AX3&amp;","&amp;AX4&amp;","&amp;AX5&amp;","&amp;AX6&amp;","&amp;AX7&amp;"]"</f>
        <v>[(1,1),(1,1),(1,1),(1,1),(1,1),(1,1)]</v>
      </c>
    </row>
    <row r="8" spans="1:51" x14ac:dyDescent="0.3">
      <c r="B8" s="22" t="s">
        <v>288</v>
      </c>
      <c r="C8" s="225">
        <v>10</v>
      </c>
      <c r="E8" s="36"/>
      <c r="AS8" s="1">
        <v>160102</v>
      </c>
      <c r="AU8" s="1" t="s">
        <v>289</v>
      </c>
      <c r="AV8" s="1">
        <v>100</v>
      </c>
      <c r="AX8" s="1" t="s">
        <v>270</v>
      </c>
    </row>
    <row r="9" spans="1:51" x14ac:dyDescent="0.3">
      <c r="B9" s="22" t="s">
        <v>290</v>
      </c>
      <c r="C9" s="225">
        <v>300</v>
      </c>
      <c r="E9" s="36"/>
      <c r="AG9" s="1" t="s">
        <v>255</v>
      </c>
      <c r="AH9" s="1" t="s">
        <v>256</v>
      </c>
      <c r="AI9" s="1" t="s">
        <v>257</v>
      </c>
      <c r="AJ9" s="1" t="s">
        <v>258</v>
      </c>
      <c r="AK9" s="1" t="s">
        <v>259</v>
      </c>
      <c r="AL9" s="1" t="s">
        <v>260</v>
      </c>
      <c r="AM9" s="1" t="s">
        <v>261</v>
      </c>
      <c r="AN9" s="1" t="s">
        <v>262</v>
      </c>
      <c r="AO9" s="1" t="s">
        <v>263</v>
      </c>
      <c r="AP9" s="1" t="s">
        <v>264</v>
      </c>
      <c r="AS9" s="1">
        <v>160104</v>
      </c>
      <c r="AU9" s="1" t="s">
        <v>291</v>
      </c>
      <c r="AV9" s="1">
        <v>100</v>
      </c>
      <c r="AX9" s="1" t="s">
        <v>270</v>
      </c>
    </row>
    <row r="10" spans="1:51" x14ac:dyDescent="0.3">
      <c r="B10" s="25"/>
      <c r="C10" s="25"/>
      <c r="E10" s="36"/>
      <c r="H10" s="25"/>
      <c r="I10" s="25"/>
      <c r="J10" s="25"/>
      <c r="K10" s="25"/>
      <c r="S10" s="25"/>
      <c r="AF10" s="1" t="s">
        <v>268</v>
      </c>
      <c r="AG10" s="1">
        <v>100</v>
      </c>
      <c r="AH10" s="1">
        <v>5</v>
      </c>
      <c r="AI10" s="1">
        <v>100</v>
      </c>
      <c r="AJ10" s="1">
        <v>5</v>
      </c>
      <c r="AK10" s="1">
        <v>100</v>
      </c>
      <c r="AL10" s="1">
        <v>10</v>
      </c>
      <c r="AM10" s="1">
        <v>100</v>
      </c>
      <c r="AN10" s="1">
        <v>15</v>
      </c>
      <c r="AO10" s="1">
        <v>100</v>
      </c>
      <c r="AP10" s="1">
        <v>200</v>
      </c>
      <c r="AS10" s="1">
        <v>160106</v>
      </c>
      <c r="AU10" s="1" t="s">
        <v>292</v>
      </c>
      <c r="AV10" s="1">
        <v>100</v>
      </c>
      <c r="AX10" s="1" t="s">
        <v>270</v>
      </c>
    </row>
    <row r="11" spans="1:51" x14ac:dyDescent="0.3">
      <c r="B11" s="352" t="s">
        <v>293</v>
      </c>
      <c r="C11" s="353"/>
      <c r="D11" s="353"/>
      <c r="E11" s="353"/>
      <c r="F11" s="354"/>
      <c r="G11" s="351" t="s">
        <v>294</v>
      </c>
      <c r="H11" s="351"/>
      <c r="I11" s="351"/>
      <c r="J11" s="351"/>
      <c r="K11" s="351"/>
      <c r="L11" s="352" t="s">
        <v>295</v>
      </c>
      <c r="M11" s="354"/>
      <c r="N11" s="351"/>
      <c r="O11" s="351"/>
      <c r="P11" s="2"/>
      <c r="AF11" s="1" t="s">
        <v>273</v>
      </c>
      <c r="AG11" s="1">
        <v>50</v>
      </c>
      <c r="AH11" s="1">
        <v>1</v>
      </c>
      <c r="AI11" s="1">
        <v>50</v>
      </c>
      <c r="AJ11" s="1">
        <v>1</v>
      </c>
      <c r="AK11" s="1">
        <v>50</v>
      </c>
      <c r="AL11" s="1">
        <v>1</v>
      </c>
      <c r="AM11" s="1">
        <v>50</v>
      </c>
      <c r="AN11" s="1">
        <v>1</v>
      </c>
      <c r="AO11" s="1">
        <v>50</v>
      </c>
      <c r="AP11" s="1">
        <v>1</v>
      </c>
      <c r="AS11" s="1">
        <v>160108</v>
      </c>
      <c r="AU11" s="1" t="s">
        <v>296</v>
      </c>
      <c r="AV11" s="1">
        <v>100</v>
      </c>
      <c r="AX11" s="1" t="s">
        <v>270</v>
      </c>
    </row>
    <row r="12" spans="1:51" x14ac:dyDescent="0.3">
      <c r="B12" s="2" t="s">
        <v>297</v>
      </c>
      <c r="C12" s="2" t="s">
        <v>298</v>
      </c>
      <c r="D12" s="2" t="s">
        <v>299</v>
      </c>
      <c r="E12" s="2" t="s">
        <v>300</v>
      </c>
      <c r="F12" s="2" t="s">
        <v>301</v>
      </c>
      <c r="G12" s="2" t="s">
        <v>302</v>
      </c>
      <c r="H12" s="2" t="s">
        <v>303</v>
      </c>
      <c r="I12" s="2" t="s">
        <v>304</v>
      </c>
      <c r="J12" s="2" t="s">
        <v>305</v>
      </c>
      <c r="K12" s="2" t="s">
        <v>306</v>
      </c>
      <c r="L12" s="2" t="s">
        <v>307</v>
      </c>
      <c r="M12" s="2" t="s">
        <v>308</v>
      </c>
      <c r="N12" s="2" t="s">
        <v>309</v>
      </c>
      <c r="O12" s="2" t="s">
        <v>310</v>
      </c>
      <c r="P12" s="2" t="s">
        <v>285</v>
      </c>
      <c r="AF12" s="1" t="s">
        <v>277</v>
      </c>
      <c r="AG12" s="1">
        <v>10</v>
      </c>
      <c r="AH12" s="1">
        <v>5</v>
      </c>
      <c r="AI12" s="1">
        <v>10</v>
      </c>
      <c r="AJ12" s="1">
        <v>5</v>
      </c>
      <c r="AK12" s="1">
        <v>10</v>
      </c>
      <c r="AL12" s="1">
        <v>5</v>
      </c>
      <c r="AM12" s="1">
        <v>10</v>
      </c>
      <c r="AN12" s="1">
        <v>5</v>
      </c>
      <c r="AO12" s="1">
        <v>10</v>
      </c>
      <c r="AP12" s="1">
        <v>5</v>
      </c>
      <c r="AS12" s="1">
        <v>160111</v>
      </c>
      <c r="AU12" s="1" t="s">
        <v>311</v>
      </c>
      <c r="AV12" s="1">
        <v>100</v>
      </c>
      <c r="AX12" s="1" t="s">
        <v>270</v>
      </c>
    </row>
    <row r="13" spans="1:51" x14ac:dyDescent="0.3">
      <c r="B13" s="2" t="s">
        <v>312</v>
      </c>
      <c r="C13" s="42">
        <f>C5*C6</f>
        <v>20</v>
      </c>
      <c r="D13" s="147">
        <f>C13/$C$3</f>
        <v>3.3333333333333333E-2</v>
      </c>
      <c r="E13" s="2">
        <f>C5</f>
        <v>10</v>
      </c>
      <c r="F13" s="2">
        <f>C13/E13</f>
        <v>2</v>
      </c>
      <c r="G13" s="2" t="s">
        <v>268</v>
      </c>
      <c r="H13" s="2"/>
      <c r="I13" s="2"/>
      <c r="J13" s="2"/>
      <c r="K13" s="2"/>
      <c r="L13" s="2">
        <v>0</v>
      </c>
      <c r="M13" s="42">
        <f>C13-L13</f>
        <v>20</v>
      </c>
      <c r="N13" s="33">
        <f>M13</f>
        <v>20</v>
      </c>
      <c r="O13" s="2"/>
      <c r="P13" s="2"/>
      <c r="R13" s="1">
        <v>20</v>
      </c>
      <c r="AF13" s="1" t="s">
        <v>4217</v>
      </c>
      <c r="AG13" s="1">
        <v>2</v>
      </c>
      <c r="AH13" s="1">
        <v>1</v>
      </c>
      <c r="AI13" s="1">
        <v>2</v>
      </c>
      <c r="AJ13" s="1">
        <v>1</v>
      </c>
      <c r="AK13" s="1">
        <v>2</v>
      </c>
      <c r="AL13" s="1">
        <v>1</v>
      </c>
      <c r="AM13" s="1">
        <v>2</v>
      </c>
      <c r="AN13" s="1">
        <v>1</v>
      </c>
      <c r="AO13" s="1">
        <v>2</v>
      </c>
      <c r="AP13" s="1">
        <v>1</v>
      </c>
      <c r="AS13" s="1">
        <v>160109</v>
      </c>
      <c r="AT13" s="1" t="str">
        <f>"["&amp;AS8&amp;","&amp;AS9&amp;","&amp;AS10&amp;","&amp;AS11&amp;","&amp;AS12&amp;","&amp;AS13&amp;"]"</f>
        <v>[160102,160104,160106,160108,160111,160109]</v>
      </c>
      <c r="AU13" s="1" t="s">
        <v>287</v>
      </c>
      <c r="AV13" s="1">
        <v>100</v>
      </c>
      <c r="AW13" s="1" t="str">
        <f>"["&amp;AV8&amp;","&amp;AV9&amp;","&amp;AV10&amp;","&amp;AV11&amp;","&amp;AV12&amp;","&amp;AV13&amp;"]"</f>
        <v>[100,100,100,100,100,100]</v>
      </c>
      <c r="AX13" s="1" t="s">
        <v>270</v>
      </c>
      <c r="AY13" s="1" t="str">
        <f>"["&amp;AX8&amp;","&amp;AX9&amp;","&amp;AX10&amp;","&amp;AX11&amp;","&amp;AX12&amp;","&amp;AX13&amp;"]"</f>
        <v>[(1,1),(1,1),(1,1),(1,1),(1,1),(1,1)]</v>
      </c>
    </row>
    <row r="14" spans="1:51" x14ac:dyDescent="0.3">
      <c r="B14" s="2" t="s">
        <v>313</v>
      </c>
      <c r="C14" s="42">
        <f>$C$3*D14</f>
        <v>59.999999999999751</v>
      </c>
      <c r="D14" s="147">
        <f>1-D13-D15-D16-D17</f>
        <v>9.9999999999999589E-2</v>
      </c>
      <c r="E14" s="32">
        <v>3</v>
      </c>
      <c r="F14" s="2">
        <f>C14/E14</f>
        <v>19.999999999999918</v>
      </c>
      <c r="G14" s="2" t="s">
        <v>268</v>
      </c>
      <c r="H14" s="2" t="s">
        <v>277</v>
      </c>
      <c r="I14" s="2"/>
      <c r="J14" s="2"/>
      <c r="K14" s="2"/>
      <c r="L14" s="2">
        <v>0</v>
      </c>
      <c r="M14" s="42">
        <f>C14-L14</f>
        <v>59.999999999999751</v>
      </c>
      <c r="N14" s="33">
        <f>M14-P14</f>
        <v>59.999999999999751</v>
      </c>
      <c r="O14" s="229"/>
      <c r="P14" s="2"/>
      <c r="R14" s="1">
        <v>20</v>
      </c>
      <c r="AF14" s="1" t="s">
        <v>283</v>
      </c>
      <c r="AG14" s="1">
        <v>100</v>
      </c>
      <c r="AH14" s="1">
        <v>10</v>
      </c>
      <c r="AI14" s="1">
        <v>100</v>
      </c>
      <c r="AJ14" s="1">
        <v>10</v>
      </c>
      <c r="AK14" s="1">
        <v>100</v>
      </c>
      <c r="AL14" s="1">
        <v>10</v>
      </c>
      <c r="AM14" s="1">
        <v>100</v>
      </c>
      <c r="AN14" s="1">
        <v>10</v>
      </c>
      <c r="AO14" s="1">
        <v>100</v>
      </c>
      <c r="AP14" s="1">
        <v>10</v>
      </c>
    </row>
    <row r="15" spans="1:51" x14ac:dyDescent="0.3">
      <c r="B15" s="2" t="s">
        <v>314</v>
      </c>
      <c r="C15" s="42">
        <f>$C$3*D15</f>
        <v>250.0000000000002</v>
      </c>
      <c r="D15" s="145">
        <v>0.41666666666666702</v>
      </c>
      <c r="E15" s="32">
        <v>3</v>
      </c>
      <c r="F15" s="2">
        <f>C15/E15</f>
        <v>83.3333333333334</v>
      </c>
      <c r="G15" s="2" t="s">
        <v>315</v>
      </c>
      <c r="H15" s="2" t="s">
        <v>268</v>
      </c>
      <c r="I15" s="2" t="s">
        <v>316</v>
      </c>
      <c r="J15" s="2" t="s">
        <v>317</v>
      </c>
      <c r="K15" s="2"/>
      <c r="L15" s="21">
        <v>5</v>
      </c>
      <c r="M15" s="42">
        <f>C15-L15</f>
        <v>245.0000000000002</v>
      </c>
      <c r="N15" s="153">
        <v>10</v>
      </c>
      <c r="O15" s="2"/>
      <c r="P15" s="2"/>
      <c r="R15" s="1">
        <v>125</v>
      </c>
      <c r="S15" s="1">
        <f>R15/$C$3</f>
        <v>0.20833333333333334</v>
      </c>
      <c r="AG15" s="1" t="str">
        <f>"["&amp;AG10&amp;","&amp;AG11&amp;","&amp;AG12&amp;","&amp;AG13&amp;","&amp;AG14&amp;"]"</f>
        <v>[100,50,10,2,100]</v>
      </c>
      <c r="AI15" s="1" t="str">
        <f>"["&amp;AI10&amp;","&amp;AI11&amp;","&amp;AI12&amp;","&amp;AI13&amp;","&amp;AI14&amp;"]"</f>
        <v>[100,50,10,2,100]</v>
      </c>
      <c r="AK15" s="1" t="str">
        <f>"["&amp;AK10&amp;","&amp;AK11&amp;","&amp;AK12&amp;","&amp;AK13&amp;","&amp;AK14&amp;"]"</f>
        <v>[100,50,10,2,100]</v>
      </c>
      <c r="AM15" s="1" t="str">
        <f>"["&amp;AM10&amp;","&amp;AM11&amp;","&amp;AM12&amp;","&amp;AM13&amp;","&amp;AM14&amp;"]"</f>
        <v>[100,50,10,2,100]</v>
      </c>
      <c r="AO15" s="1" t="str">
        <f>"["&amp;AO10&amp;","&amp;AO11&amp;","&amp;AO12&amp;","&amp;AO13&amp;","&amp;AO14&amp;"]"</f>
        <v>[100,50,10,2,100]</v>
      </c>
    </row>
    <row r="16" spans="1:51" x14ac:dyDescent="0.3">
      <c r="A16" s="133"/>
      <c r="B16" s="2" t="s">
        <v>318</v>
      </c>
      <c r="C16" s="42">
        <f>$C$3*D16</f>
        <v>90</v>
      </c>
      <c r="D16" s="145">
        <v>0.15</v>
      </c>
      <c r="E16" s="32">
        <v>1</v>
      </c>
      <c r="F16" s="2">
        <f>C16/E16</f>
        <v>90</v>
      </c>
      <c r="G16" s="2" t="s">
        <v>273</v>
      </c>
      <c r="H16" s="2" t="s">
        <v>268</v>
      </c>
      <c r="I16" s="2" t="s">
        <v>317</v>
      </c>
      <c r="J16" s="2"/>
      <c r="K16" s="2"/>
      <c r="L16" s="21">
        <v>10</v>
      </c>
      <c r="M16" s="42">
        <f>C16-L16</f>
        <v>80</v>
      </c>
      <c r="N16" s="28">
        <f>M16-P16</f>
        <v>46.666666666666636</v>
      </c>
      <c r="O16" s="229">
        <v>40</v>
      </c>
      <c r="P16" s="2">
        <f>O16*$C$7</f>
        <v>33.333333333333364</v>
      </c>
      <c r="Q16" s="1">
        <f>N16*G83</f>
        <v>9333.3333333333267</v>
      </c>
      <c r="R16" s="1">
        <v>45</v>
      </c>
      <c r="S16" s="1">
        <f>R16/$C$3</f>
        <v>7.4999999999999997E-2</v>
      </c>
      <c r="AG16" s="1">
        <f>SUM(AG10:AG14)</f>
        <v>262</v>
      </c>
      <c r="AI16" s="1">
        <f>SUM(AI10:AI14)</f>
        <v>262</v>
      </c>
      <c r="AK16" s="1">
        <f>SUM(AK10:AK14)</f>
        <v>262</v>
      </c>
      <c r="AM16" s="1">
        <f>SUM(AM10:AM14)</f>
        <v>262</v>
      </c>
      <c r="AO16" s="1">
        <f>SUM(AO10:AO14)</f>
        <v>262</v>
      </c>
    </row>
    <row r="17" spans="2:42" x14ac:dyDescent="0.3">
      <c r="B17" s="2" t="s">
        <v>319</v>
      </c>
      <c r="C17" s="42">
        <f>[1]任务设定!C4</f>
        <v>180</v>
      </c>
      <c r="D17" s="147">
        <f>C17/$C$3</f>
        <v>0.3</v>
      </c>
      <c r="E17" s="32">
        <v>1</v>
      </c>
      <c r="F17" s="2">
        <f>C17/E17</f>
        <v>180</v>
      </c>
      <c r="G17" s="2" t="s">
        <v>315</v>
      </c>
      <c r="H17" s="2" t="s">
        <v>320</v>
      </c>
      <c r="I17" s="2" t="s">
        <v>268</v>
      </c>
      <c r="J17" s="2" t="s">
        <v>316</v>
      </c>
      <c r="K17" s="2" t="s">
        <v>317</v>
      </c>
      <c r="L17" s="21">
        <v>15</v>
      </c>
      <c r="M17" s="42">
        <f>C17-L17</f>
        <v>165</v>
      </c>
      <c r="N17" s="28">
        <f>[1]任务设定!C6</f>
        <v>5.4166666666666696</v>
      </c>
      <c r="O17" s="2"/>
      <c r="P17" s="2"/>
      <c r="R17" s="1">
        <v>90</v>
      </c>
      <c r="AE17" s="2" t="s">
        <v>321</v>
      </c>
      <c r="AF17" s="2">
        <v>5</v>
      </c>
    </row>
    <row r="18" spans="2:42" x14ac:dyDescent="0.3">
      <c r="B18" s="25"/>
      <c r="C18" s="123"/>
      <c r="D18" s="226"/>
      <c r="E18" s="143"/>
      <c r="F18" s="25"/>
      <c r="G18" s="25"/>
      <c r="H18" s="25"/>
      <c r="I18" s="25"/>
      <c r="J18" s="25"/>
      <c r="K18" s="25"/>
      <c r="L18" s="24"/>
      <c r="M18" s="123"/>
      <c r="N18" s="230"/>
      <c r="O18" s="25"/>
      <c r="P18" s="25"/>
      <c r="AE18" s="2" t="s">
        <v>322</v>
      </c>
      <c r="AF18" s="2">
        <f>16*60/4</f>
        <v>240</v>
      </c>
    </row>
    <row r="19" spans="2:42" x14ac:dyDescent="0.3">
      <c r="B19" s="352" t="s">
        <v>323</v>
      </c>
      <c r="C19" s="354"/>
      <c r="D19" s="226"/>
      <c r="E19" s="356" t="s">
        <v>324</v>
      </c>
      <c r="F19" s="357"/>
      <c r="G19" s="357"/>
      <c r="H19" s="357"/>
      <c r="I19" s="25"/>
      <c r="J19" s="25"/>
      <c r="K19" s="25"/>
      <c r="L19" s="24"/>
      <c r="M19" s="123"/>
      <c r="N19" s="230"/>
      <c r="O19" s="25"/>
      <c r="P19" s="25"/>
      <c r="AE19" s="2" t="s">
        <v>325</v>
      </c>
      <c r="AF19" s="2">
        <v>10</v>
      </c>
    </row>
    <row r="20" spans="2:42" x14ac:dyDescent="0.3">
      <c r="B20" s="2" t="s">
        <v>326</v>
      </c>
      <c r="C20" s="42" t="s">
        <v>327</v>
      </c>
      <c r="D20" s="226"/>
      <c r="E20" s="2" t="s">
        <v>326</v>
      </c>
      <c r="F20" s="42" t="s">
        <v>328</v>
      </c>
      <c r="H20" s="116" t="s">
        <v>329</v>
      </c>
      <c r="I20" s="116" t="s">
        <v>327</v>
      </c>
      <c r="J20" s="25"/>
      <c r="K20" s="25"/>
      <c r="L20" s="24"/>
      <c r="M20" s="123"/>
      <c r="N20" s="230"/>
      <c r="O20" s="25"/>
      <c r="P20" s="25"/>
    </row>
    <row r="21" spans="2:42" x14ac:dyDescent="0.3">
      <c r="B21" s="2" t="s">
        <v>320</v>
      </c>
      <c r="C21" s="122">
        <v>0.7</v>
      </c>
      <c r="D21" s="226"/>
      <c r="E21" s="2" t="s">
        <v>320</v>
      </c>
      <c r="F21" s="28">
        <f>$C$26*C21</f>
        <v>99.458333333333115</v>
      </c>
      <c r="H21" s="116">
        <v>1</v>
      </c>
      <c r="I21" s="116">
        <f>$C$28/$C$26*H21</f>
        <v>2.1082111436950206</v>
      </c>
      <c r="J21" s="25"/>
      <c r="K21" s="25"/>
      <c r="L21" s="24"/>
      <c r="M21" s="123"/>
      <c r="N21" s="230"/>
      <c r="O21" s="25"/>
      <c r="P21" s="25"/>
    </row>
    <row r="22" spans="2:42" ht="15.75" x14ac:dyDescent="0.3">
      <c r="B22" s="2" t="s">
        <v>316</v>
      </c>
      <c r="C22" s="33">
        <f>1-C21</f>
        <v>0.30000000000000004</v>
      </c>
      <c r="D22" s="226"/>
      <c r="E22" s="2" t="s">
        <v>316</v>
      </c>
      <c r="F22" s="28">
        <f>$C$26*C22</f>
        <v>42.624999999999915</v>
      </c>
      <c r="H22" s="116">
        <v>1</v>
      </c>
      <c r="I22" s="116">
        <f>$C$29/$C$26*H22</f>
        <v>0.90351906158358042</v>
      </c>
      <c r="J22" s="25"/>
      <c r="K22" s="25"/>
      <c r="L22" s="24"/>
      <c r="M22" s="123"/>
      <c r="N22" s="230"/>
      <c r="O22" s="25"/>
      <c r="P22" s="25"/>
      <c r="AF22" s="35" t="s">
        <v>330</v>
      </c>
    </row>
    <row r="23" spans="2:42" x14ac:dyDescent="0.3">
      <c r="B23" s="25"/>
      <c r="C23" s="227"/>
      <c r="D23" s="226"/>
      <c r="E23" s="143"/>
      <c r="F23" s="25"/>
      <c r="G23" s="25"/>
      <c r="H23" s="25"/>
      <c r="I23" s="25"/>
      <c r="J23" s="25"/>
      <c r="K23" s="25"/>
      <c r="L23" s="24"/>
      <c r="M23" s="123"/>
      <c r="N23" s="230"/>
      <c r="O23" s="25"/>
      <c r="P23" s="25"/>
      <c r="AG23" s="1" t="s">
        <v>331</v>
      </c>
      <c r="AH23" s="1" t="s">
        <v>332</v>
      </c>
      <c r="AI23" s="1" t="s">
        <v>333</v>
      </c>
      <c r="AJ23" s="1" t="s">
        <v>334</v>
      </c>
      <c r="AK23" s="1" t="s">
        <v>335</v>
      </c>
      <c r="AL23" s="1" t="s">
        <v>336</v>
      </c>
      <c r="AM23" s="1" t="s">
        <v>337</v>
      </c>
      <c r="AN23" s="1" t="s">
        <v>338</v>
      </c>
      <c r="AO23" s="1" t="s">
        <v>339</v>
      </c>
      <c r="AP23" s="1" t="s">
        <v>340</v>
      </c>
    </row>
    <row r="24" spans="2:42" x14ac:dyDescent="0.3">
      <c r="B24" s="352" t="s">
        <v>341</v>
      </c>
      <c r="C24" s="354"/>
      <c r="D24" s="226"/>
      <c r="E24" s="143"/>
      <c r="F24" s="25"/>
      <c r="G24" s="25"/>
      <c r="H24" s="25"/>
      <c r="I24" s="25"/>
      <c r="J24" s="25"/>
      <c r="K24" s="25"/>
      <c r="L24" s="24"/>
      <c r="M24" s="123"/>
      <c r="N24" s="230"/>
      <c r="O24" s="25"/>
      <c r="P24" s="25"/>
      <c r="AF24" s="1" t="s">
        <v>268</v>
      </c>
      <c r="AG24" s="133">
        <f>AH2*$AF$19*$AF$17</f>
        <v>95.419847328244288</v>
      </c>
      <c r="AH24" s="133">
        <f>AH2*$AF$18*$AF$17</f>
        <v>2290.0763358778627</v>
      </c>
      <c r="AI24" s="133">
        <f>AJ2*$AF$19*$AF$17</f>
        <v>95.419847328244288</v>
      </c>
      <c r="AJ24" s="133">
        <f>AJ2*$AF$18*$AF$17</f>
        <v>2290.0763358778627</v>
      </c>
      <c r="AK24" s="133">
        <f>AL2*$AF$19*$AF$17</f>
        <v>190.83969465648858</v>
      </c>
      <c r="AL24" s="133">
        <f>AL2*$AF$18*$AF$17</f>
        <v>4580.1526717557254</v>
      </c>
      <c r="AM24" s="133">
        <f>AN2*$AF$19*$AF$17</f>
        <v>286.25954198473278</v>
      </c>
      <c r="AN24" s="133">
        <f>AN2*$AF$18*$AF$17</f>
        <v>6870.2290076335876</v>
      </c>
      <c r="AO24" s="133">
        <f>AP2*$AF$19*$AF$17</f>
        <v>3816.7938931297713</v>
      </c>
      <c r="AP24" s="133">
        <f>AP2*$AF$18*$AF$17</f>
        <v>91603.053435114503</v>
      </c>
    </row>
    <row r="25" spans="2:42" x14ac:dyDescent="0.3">
      <c r="B25" s="2" t="s">
        <v>326</v>
      </c>
      <c r="C25" s="33" t="s">
        <v>342</v>
      </c>
      <c r="D25" s="226"/>
      <c r="E25" s="143"/>
      <c r="F25" s="25"/>
      <c r="G25" s="25"/>
      <c r="H25" s="25"/>
      <c r="I25" s="25"/>
      <c r="J25" s="25"/>
      <c r="K25" s="25"/>
      <c r="L25" s="24"/>
      <c r="M25" s="123"/>
      <c r="N25" s="230"/>
      <c r="O25" s="25"/>
      <c r="P25" s="25"/>
      <c r="AE25" s="23"/>
      <c r="AF25" s="1" t="s">
        <v>273</v>
      </c>
      <c r="AG25" s="133">
        <f>AH3*$AF$19*$AF$17</f>
        <v>9.5419847328244281</v>
      </c>
      <c r="AH25" s="133">
        <f>AH3*$AF$18*$AF$17</f>
        <v>229.00763358778624</v>
      </c>
      <c r="AI25" s="133">
        <f>AJ3*$AF$19*$AF$17</f>
        <v>9.5419847328244281</v>
      </c>
      <c r="AJ25" s="133">
        <f>AJ3*$AF$18*$AF$17</f>
        <v>229.00763358778624</v>
      </c>
      <c r="AK25" s="133">
        <f>AL3*$AF$19*$AF$17</f>
        <v>9.5419847328244281</v>
      </c>
      <c r="AL25" s="133">
        <f>AL3*$AF$18*$AF$17</f>
        <v>229.00763358778624</v>
      </c>
      <c r="AM25" s="133">
        <f>AN3*$AF$19*$AF$17</f>
        <v>9.5419847328244281</v>
      </c>
      <c r="AN25" s="133">
        <f>AN3*$AF$18*$AF$17</f>
        <v>229.00763358778624</v>
      </c>
      <c r="AO25" s="133">
        <f>AP3*$AF$19*$AF$17</f>
        <v>9.5419847328244281</v>
      </c>
      <c r="AP25" s="133">
        <f>AP3*$AF$18*$AF$17</f>
        <v>229.00763358778624</v>
      </c>
    </row>
    <row r="26" spans="2:42" x14ac:dyDescent="0.3">
      <c r="B26" s="2" t="s">
        <v>268</v>
      </c>
      <c r="C26" s="33">
        <f>SUM(N13:N17)</f>
        <v>142.08333333333303</v>
      </c>
      <c r="D26" s="226"/>
      <c r="E26" s="143"/>
      <c r="F26" s="25"/>
      <c r="G26" s="25"/>
      <c r="H26" s="25"/>
      <c r="I26" s="25"/>
      <c r="J26" s="25"/>
      <c r="K26" s="25"/>
      <c r="L26" s="24"/>
      <c r="M26" s="123"/>
      <c r="N26" s="230"/>
      <c r="O26" s="25"/>
      <c r="P26" s="25"/>
      <c r="AE26" s="23"/>
      <c r="AF26" s="1" t="s">
        <v>277</v>
      </c>
      <c r="AG26" s="133">
        <f>AH4*$AF$19*$AF$17</f>
        <v>9.5419847328244281</v>
      </c>
      <c r="AH26" s="133">
        <f>AH4*$AF$18*$AF$17</f>
        <v>229.00763358778624</v>
      </c>
      <c r="AI26" s="133">
        <f>AJ4*$AF$19*$AF$17</f>
        <v>9.5419847328244281</v>
      </c>
      <c r="AJ26" s="133">
        <f>AJ4*$AF$18*$AF$17</f>
        <v>229.00763358778624</v>
      </c>
      <c r="AK26" s="133">
        <f>AL4*$AF$19*$AF$17</f>
        <v>9.5419847328244281</v>
      </c>
      <c r="AL26" s="133">
        <f>AL4*$AF$18*$AF$17</f>
        <v>229.00763358778624</v>
      </c>
      <c r="AM26" s="133">
        <f>AN4*$AF$19*$AF$17</f>
        <v>9.5419847328244281</v>
      </c>
      <c r="AN26" s="133">
        <f>AN4*$AF$18*$AF$17</f>
        <v>229.00763358778624</v>
      </c>
      <c r="AO26" s="133">
        <f>AP4*$AF$19*$AF$17</f>
        <v>9.5419847328244281</v>
      </c>
      <c r="AP26" s="133">
        <f>AP4*$AF$18*$AF$17</f>
        <v>229.00763358778624</v>
      </c>
    </row>
    <row r="27" spans="2:42" x14ac:dyDescent="0.3">
      <c r="B27" s="2" t="s">
        <v>317</v>
      </c>
      <c r="C27" s="33">
        <f>SUM(L15:L17)</f>
        <v>30</v>
      </c>
      <c r="D27" s="226"/>
      <c r="E27" s="143"/>
      <c r="F27" s="25"/>
      <c r="G27" s="25"/>
      <c r="H27" s="25"/>
      <c r="I27" s="25"/>
      <c r="J27" s="25"/>
      <c r="K27" s="25"/>
      <c r="L27" s="24"/>
      <c r="M27" s="123"/>
      <c r="N27" s="230"/>
      <c r="O27" s="25"/>
      <c r="P27" s="25"/>
      <c r="AE27" s="23"/>
      <c r="AF27" s="1" t="s">
        <v>4217</v>
      </c>
      <c r="AG27" s="133">
        <f>AH5*$AF$19*$AF$17</f>
        <v>0.38167938931297712</v>
      </c>
      <c r="AH27" s="133">
        <f>AH5*$AF$18*$AF$17</f>
        <v>9.1603053435114496</v>
      </c>
      <c r="AI27" s="133">
        <f>AJ5*$AF$19*$AF$17</f>
        <v>0.38167938931297712</v>
      </c>
      <c r="AJ27" s="133">
        <f>AJ5*$AF$18*$AF$17</f>
        <v>9.1603053435114496</v>
      </c>
      <c r="AK27" s="133">
        <f>AL5*$AF$19*$AF$17</f>
        <v>0.38167938931297712</v>
      </c>
      <c r="AL27" s="133">
        <f>AL5*$AF$18*$AF$17</f>
        <v>9.1603053435114496</v>
      </c>
      <c r="AM27" s="133">
        <f>AN5*$AF$19*$AF$17</f>
        <v>0.38167938931297712</v>
      </c>
      <c r="AN27" s="133">
        <f>AN5*$AF$18*$AF$17</f>
        <v>9.1603053435114496</v>
      </c>
      <c r="AO27" s="133">
        <f>AP5*$AF$19*$AF$17</f>
        <v>0.38167938931297712</v>
      </c>
      <c r="AP27" s="133">
        <f>AP5*$AF$18*$AF$17</f>
        <v>9.1603053435114496</v>
      </c>
    </row>
    <row r="28" spans="2:42" x14ac:dyDescent="0.3">
      <c r="B28" s="2" t="s">
        <v>320</v>
      </c>
      <c r="C28" s="33">
        <f>(C3-C26-C27)*$C$21</f>
        <v>299.54166666666686</v>
      </c>
      <c r="D28" s="226"/>
      <c r="E28" s="143"/>
      <c r="F28" s="25"/>
      <c r="G28" s="25"/>
      <c r="H28" s="25"/>
      <c r="I28" s="25"/>
      <c r="J28" s="25"/>
      <c r="K28" s="25"/>
      <c r="L28" s="24"/>
      <c r="M28" s="123"/>
      <c r="N28" s="230"/>
      <c r="O28" s="25"/>
      <c r="P28" s="25"/>
      <c r="AE28" s="23"/>
      <c r="AF28" s="1" t="s">
        <v>283</v>
      </c>
      <c r="AG28" s="133">
        <f>AH6*$AF$19*$AF$17</f>
        <v>190.83969465648858</v>
      </c>
      <c r="AH28" s="133">
        <f>AH6*$AF$18*$AF$17</f>
        <v>4580.1526717557254</v>
      </c>
      <c r="AI28" s="133">
        <f>AJ6*$AF$19*$AF$17</f>
        <v>190.83969465648858</v>
      </c>
      <c r="AJ28" s="133">
        <f>AJ6*$AF$18*$AF$17</f>
        <v>4580.1526717557254</v>
      </c>
      <c r="AK28" s="133">
        <f>AL6*$AF$19*$AF$17</f>
        <v>190.83969465648858</v>
      </c>
      <c r="AL28" s="133">
        <f>AL6*$AF$18*$AF$17</f>
        <v>4580.1526717557254</v>
      </c>
      <c r="AM28" s="133">
        <f>AN6*$AF$19*$AF$17</f>
        <v>190.83969465648858</v>
      </c>
      <c r="AN28" s="133">
        <f>AN6*$AF$18*$AF$17</f>
        <v>4580.1526717557254</v>
      </c>
      <c r="AO28" s="133">
        <f>AP6*$AF$19*$AF$17</f>
        <v>190.83969465648858</v>
      </c>
      <c r="AP28" s="133">
        <f>AP6*$AF$18*$AF$17</f>
        <v>4580.1526717557254</v>
      </c>
    </row>
    <row r="29" spans="2:42" x14ac:dyDescent="0.3">
      <c r="B29" s="2" t="s">
        <v>316</v>
      </c>
      <c r="C29" s="33">
        <f>C28/C21*C22</f>
        <v>128.37500000000011</v>
      </c>
      <c r="D29" s="226"/>
      <c r="E29" s="143"/>
      <c r="F29" s="25"/>
      <c r="G29" s="25"/>
      <c r="H29" s="25"/>
      <c r="I29" s="25"/>
      <c r="J29" s="25"/>
      <c r="K29" s="25"/>
      <c r="L29" s="24"/>
      <c r="M29" s="123"/>
      <c r="N29" s="230"/>
      <c r="O29" s="25"/>
      <c r="P29" s="25"/>
      <c r="AE29" s="23"/>
      <c r="AF29" s="23"/>
      <c r="AG29" s="23"/>
    </row>
    <row r="30" spans="2:42" x14ac:dyDescent="0.3">
      <c r="D30" s="25"/>
      <c r="E30" s="25"/>
      <c r="F30" s="25"/>
      <c r="G30" s="25"/>
      <c r="I30" s="25"/>
      <c r="J30" s="25"/>
      <c r="K30" s="25"/>
      <c r="M30" s="25"/>
      <c r="N30" s="25"/>
      <c r="O30" s="25"/>
      <c r="P30" s="25"/>
      <c r="Q30" s="25"/>
      <c r="R30" s="25"/>
      <c r="S30" s="25"/>
    </row>
    <row r="31" spans="2:42" x14ac:dyDescent="0.3">
      <c r="B31" s="351" t="s">
        <v>343</v>
      </c>
      <c r="C31" s="351"/>
      <c r="D31" s="351"/>
      <c r="E31" s="351"/>
      <c r="F31" s="351"/>
      <c r="G31" s="351"/>
      <c r="H31" s="351"/>
      <c r="I31" s="25"/>
      <c r="J31" s="25"/>
      <c r="K31" s="25"/>
      <c r="L31" s="25"/>
      <c r="M31" s="25"/>
      <c r="N31" s="25"/>
      <c r="O31" s="25"/>
      <c r="P31" s="25"/>
      <c r="Q31" s="25"/>
      <c r="R31" s="25"/>
      <c r="S31" s="25"/>
      <c r="AH31" s="1" t="str">
        <f>"("&amp;AH10&amp;","&amp;AH10&amp;")"</f>
        <v>(5,5)</v>
      </c>
      <c r="AJ31" s="1" t="str">
        <f>"("&amp;AJ10&amp;","&amp;AJ10&amp;")"</f>
        <v>(5,5)</v>
      </c>
      <c r="AL31" s="1" t="str">
        <f>"("&amp;AL10&amp;","&amp;AL10&amp;")"</f>
        <v>(10,10)</v>
      </c>
      <c r="AN31" s="1" t="str">
        <f>"("&amp;AN10&amp;","&amp;AN10&amp;")"</f>
        <v>(15,15)</v>
      </c>
      <c r="AP31" s="1" t="str">
        <f>"("&amp;AP10&amp;","&amp;AP10&amp;")"</f>
        <v>(200,200)</v>
      </c>
    </row>
    <row r="32" spans="2:42" x14ac:dyDescent="0.3">
      <c r="B32" s="2" t="s">
        <v>344</v>
      </c>
      <c r="C32" s="2" t="s">
        <v>345</v>
      </c>
      <c r="D32" s="2" t="s">
        <v>346</v>
      </c>
      <c r="E32" s="2" t="s">
        <v>347</v>
      </c>
      <c r="F32" s="2" t="s">
        <v>348</v>
      </c>
      <c r="G32" s="2" t="s">
        <v>349</v>
      </c>
      <c r="H32" s="2" t="s">
        <v>350</v>
      </c>
      <c r="I32" s="25"/>
      <c r="O32" s="25"/>
      <c r="P32" s="25"/>
      <c r="Q32" s="25"/>
      <c r="R32" s="25"/>
      <c r="S32" s="25"/>
      <c r="AH32" s="1" t="str">
        <f t="shared" ref="AH32:AJ33" si="0">"("&amp;AH11&amp;","&amp;AH11&amp;")"</f>
        <v>(1,1)</v>
      </c>
      <c r="AJ32" s="1" t="str">
        <f t="shared" si="0"/>
        <v>(1,1)</v>
      </c>
      <c r="AL32" s="1" t="str">
        <f>"("&amp;AL11&amp;","&amp;AL11&amp;")"</f>
        <v>(1,1)</v>
      </c>
      <c r="AN32" s="1" t="str">
        <f>"("&amp;AN11&amp;","&amp;AN11&amp;")"</f>
        <v>(1,1)</v>
      </c>
      <c r="AP32" s="1" t="str">
        <f>"("&amp;AP11&amp;","&amp;AP11&amp;")"</f>
        <v>(1,1)</v>
      </c>
    </row>
    <row r="33" spans="2:42" x14ac:dyDescent="0.3">
      <c r="B33" s="2" t="s">
        <v>351</v>
      </c>
      <c r="C33" s="2" t="s">
        <v>352</v>
      </c>
      <c r="D33" s="2">
        <v>1</v>
      </c>
      <c r="E33" s="228">
        <v>1</v>
      </c>
      <c r="F33" s="42">
        <v>300</v>
      </c>
      <c r="G33" s="21">
        <f>VLOOKUP(C33,坦克升星消耗!$E:$F,2,FALSE)</f>
        <v>3</v>
      </c>
      <c r="H33" s="42">
        <f>F33/G33</f>
        <v>100</v>
      </c>
      <c r="J33" s="133"/>
      <c r="L33" s="133"/>
      <c r="S33" s="25"/>
      <c r="AH33" s="1" t="str">
        <f t="shared" si="0"/>
        <v>(5,5)</v>
      </c>
      <c r="AJ33" s="1" t="str">
        <f t="shared" si="0"/>
        <v>(5,5)</v>
      </c>
      <c r="AL33" s="1" t="str">
        <f>"("&amp;AL12&amp;","&amp;AL12&amp;")"</f>
        <v>(5,5)</v>
      </c>
      <c r="AN33" s="1" t="str">
        <f>"("&amp;AN12&amp;","&amp;AN12&amp;")"</f>
        <v>(5,5)</v>
      </c>
      <c r="AP33" s="1" t="str">
        <f>"("&amp;AP12&amp;","&amp;AP12&amp;")"</f>
        <v>(5,5)</v>
      </c>
    </row>
    <row r="34" spans="2:42" x14ac:dyDescent="0.3">
      <c r="B34" s="2" t="s">
        <v>353</v>
      </c>
      <c r="C34" s="2" t="s">
        <v>354</v>
      </c>
      <c r="D34" s="2">
        <v>1.2</v>
      </c>
      <c r="E34" s="228">
        <v>1.728</v>
      </c>
      <c r="F34" s="42">
        <v>600</v>
      </c>
      <c r="G34" s="21">
        <f>VLOOKUP(C34,坦克升星消耗!$E:$F,2,FALSE)</f>
        <v>6</v>
      </c>
      <c r="H34" s="42">
        <f t="shared" ref="H34:H44" si="1">F34/G34</f>
        <v>100</v>
      </c>
      <c r="J34" s="133"/>
      <c r="L34" s="133"/>
      <c r="S34" s="25"/>
      <c r="AE34" s="25"/>
      <c r="AF34" s="25"/>
      <c r="AG34" s="25"/>
      <c r="AH34" s="1" t="str">
        <f>"("&amp;AH13&amp;","&amp;AH13&amp;")"</f>
        <v>(1,1)</v>
      </c>
      <c r="AJ34" s="1" t="str">
        <f>"("&amp;AJ13&amp;","&amp;AJ13&amp;")"</f>
        <v>(1,1)</v>
      </c>
      <c r="AL34" s="1" t="str">
        <f>"("&amp;AL13&amp;","&amp;AL13&amp;")"</f>
        <v>(1,1)</v>
      </c>
      <c r="AN34" s="1" t="str">
        <f>"("&amp;AN13&amp;","&amp;AN13&amp;")"</f>
        <v>(1,1)</v>
      </c>
      <c r="AP34" s="1" t="str">
        <f>"("&amp;AP13&amp;","&amp;AP13&amp;")"</f>
        <v>(1,1)</v>
      </c>
    </row>
    <row r="35" spans="2:42" x14ac:dyDescent="0.3">
      <c r="B35" s="2" t="s">
        <v>353</v>
      </c>
      <c r="C35" s="2" t="s">
        <v>355</v>
      </c>
      <c r="D35" s="2">
        <v>1.22</v>
      </c>
      <c r="E35" s="228">
        <v>1.8158479999999999</v>
      </c>
      <c r="F35" s="42">
        <v>800</v>
      </c>
      <c r="G35" s="21">
        <f>VLOOKUP(C35,坦克升星消耗!$E:$F,2,FALSE)</f>
        <v>6</v>
      </c>
      <c r="H35" s="42">
        <f t="shared" si="1"/>
        <v>133.33333333333334</v>
      </c>
      <c r="J35" s="133"/>
      <c r="S35" s="25"/>
      <c r="AE35" s="25"/>
      <c r="AF35" s="25"/>
      <c r="AG35" s="25"/>
      <c r="AH35" s="1" t="str">
        <f>"("&amp;AH14&amp;","&amp;AH14&amp;")"</f>
        <v>(10,10)</v>
      </c>
      <c r="AJ35" s="1" t="str">
        <f>"("&amp;AJ14&amp;","&amp;AJ14&amp;")"</f>
        <v>(10,10)</v>
      </c>
      <c r="AL35" s="1" t="str">
        <f>"("&amp;AL14&amp;","&amp;AL14&amp;")"</f>
        <v>(10,10)</v>
      </c>
      <c r="AN35" s="1" t="str">
        <f>"("&amp;AN14&amp;","&amp;AN14&amp;")"</f>
        <v>(10,10)</v>
      </c>
      <c r="AP35" s="1" t="str">
        <f>"("&amp;AP14&amp;","&amp;AP14&amp;")"</f>
        <v>(10,10)</v>
      </c>
    </row>
    <row r="36" spans="2:42" x14ac:dyDescent="0.3">
      <c r="B36" s="2" t="s">
        <v>356</v>
      </c>
      <c r="C36" s="2" t="s">
        <v>357</v>
      </c>
      <c r="D36" s="2">
        <v>1.48</v>
      </c>
      <c r="E36" s="228">
        <v>3.2417919999999998</v>
      </c>
      <c r="F36" s="42">
        <v>1650</v>
      </c>
      <c r="G36" s="21">
        <f>VLOOKUP(C36,坦克升星消耗!$E:$F,2,FALSE)</f>
        <v>24</v>
      </c>
      <c r="H36" s="42">
        <f t="shared" si="1"/>
        <v>68.75</v>
      </c>
      <c r="J36" s="133">
        <f>F36*[1]坦克升星消耗!J24</f>
        <v>43749.999999999978</v>
      </c>
      <c r="L36" s="133"/>
      <c r="S36" s="25"/>
      <c r="AE36" s="25"/>
      <c r="AF36" s="25"/>
      <c r="AG36" s="25"/>
      <c r="AH36" s="1" t="str">
        <f>"["&amp;AH31&amp;","&amp;AH32&amp;","&amp;AH33&amp;","&amp;AH34&amp;","&amp;AH35&amp;"]"</f>
        <v>[(5,5),(1,1),(5,5),(1,1),(10,10)]</v>
      </c>
      <c r="AJ36" s="1" t="str">
        <f>"["&amp;AJ31&amp;","&amp;AJ32&amp;","&amp;AJ33&amp;","&amp;AJ34&amp;","&amp;AJ35&amp;"]"</f>
        <v>[(5,5),(1,1),(5,5),(1,1),(10,10)]</v>
      </c>
      <c r="AL36" s="1" t="str">
        <f>"["&amp;AL31&amp;","&amp;AL32&amp;","&amp;AL33&amp;","&amp;AL34&amp;","&amp;AL35&amp;"]"</f>
        <v>[(10,10),(1,1),(5,5),(1,1),(10,10)]</v>
      </c>
      <c r="AN36" s="1" t="str">
        <f>"["&amp;AN31&amp;","&amp;AN32&amp;","&amp;AN33&amp;","&amp;AN34&amp;","&amp;AN35&amp;"]"</f>
        <v>[(15,15),(1,1),(5,5),(1,1),(10,10)]</v>
      </c>
      <c r="AP36" s="1" t="str">
        <f>"["&amp;AP31&amp;","&amp;AP32&amp;","&amp;AP33&amp;","&amp;AP34&amp;","&amp;AP35&amp;"]"</f>
        <v>[(200,200),(1,1),(5,5),(1,1),(10,10)]</v>
      </c>
    </row>
    <row r="37" spans="2:42" x14ac:dyDescent="0.3">
      <c r="B37" s="2" t="s">
        <v>356</v>
      </c>
      <c r="C37" s="2" t="s">
        <v>358</v>
      </c>
      <c r="D37" s="2">
        <v>1.54</v>
      </c>
      <c r="E37" s="228">
        <v>3.6522640000000002</v>
      </c>
      <c r="F37" s="42">
        <v>2100</v>
      </c>
      <c r="G37" s="21">
        <f>VLOOKUP(C37,坦克升星消耗!$E:$F,2,FALSE)</f>
        <v>24</v>
      </c>
      <c r="H37" s="42">
        <f t="shared" si="1"/>
        <v>87.5</v>
      </c>
      <c r="J37" s="133">
        <f>F37*[1]坦克升星消耗!J25</f>
        <v>69650.000000000073</v>
      </c>
      <c r="K37" s="1">
        <f>J37/J36</f>
        <v>1.5920000000000025</v>
      </c>
      <c r="S37" s="25"/>
      <c r="AE37" s="25"/>
      <c r="AF37" s="25"/>
      <c r="AG37" s="25"/>
      <c r="AH37" s="25"/>
    </row>
    <row r="38" spans="2:42" x14ac:dyDescent="0.3">
      <c r="B38" s="2" t="s">
        <v>356</v>
      </c>
      <c r="C38" s="2" t="s">
        <v>359</v>
      </c>
      <c r="D38" s="2">
        <v>1.54</v>
      </c>
      <c r="E38" s="228">
        <v>3.6522640000000002</v>
      </c>
      <c r="F38" s="42">
        <v>2400</v>
      </c>
      <c r="G38" s="21">
        <f>VLOOKUP(C38,坦克升星消耗!$E:$F,2,FALSE)</f>
        <v>24</v>
      </c>
      <c r="H38" s="42">
        <f t="shared" si="1"/>
        <v>100</v>
      </c>
      <c r="J38" s="133">
        <f>F38*[1]坦克升星消耗!J26</f>
        <v>99250.000000000073</v>
      </c>
      <c r="K38" s="1">
        <f>J38/J36</f>
        <v>2.2685714285714313</v>
      </c>
      <c r="S38" s="25"/>
      <c r="AE38" s="25"/>
      <c r="AF38" s="25"/>
      <c r="AG38" s="25"/>
      <c r="AH38" s="25"/>
    </row>
    <row r="39" spans="2:42" x14ac:dyDescent="0.3">
      <c r="B39" s="2" t="s">
        <v>360</v>
      </c>
      <c r="C39" s="2" t="s">
        <v>361</v>
      </c>
      <c r="D39" s="2">
        <v>1.92</v>
      </c>
      <c r="E39" s="228">
        <v>7.0778879999999997</v>
      </c>
      <c r="F39" s="42">
        <v>5250</v>
      </c>
      <c r="G39" s="21">
        <f>VLOOKUP(C39,坦克升星消耗!$E:$F,2,FALSE)</f>
        <v>50</v>
      </c>
      <c r="H39" s="42">
        <f t="shared" si="1"/>
        <v>105</v>
      </c>
      <c r="J39" s="133">
        <f>F39*[1]坦克升星消耗!J27</f>
        <v>175899.99999999997</v>
      </c>
      <c r="L39" s="133"/>
      <c r="S39" s="25"/>
      <c r="AE39" s="25"/>
      <c r="AF39" s="25"/>
      <c r="AG39" s="25"/>
      <c r="AH39" s="25"/>
    </row>
    <row r="40" spans="2:42" x14ac:dyDescent="0.3">
      <c r="B40" s="2" t="s">
        <v>360</v>
      </c>
      <c r="C40" s="2" t="s">
        <v>362</v>
      </c>
      <c r="D40" s="2">
        <v>2</v>
      </c>
      <c r="E40" s="228">
        <v>8</v>
      </c>
      <c r="F40" s="42">
        <v>6500</v>
      </c>
      <c r="G40" s="21">
        <f>VLOOKUP(C40,坦克升星消耗!$E:$F,2,FALSE)</f>
        <v>50</v>
      </c>
      <c r="H40" s="42">
        <f t="shared" si="1"/>
        <v>130</v>
      </c>
      <c r="J40" s="133">
        <f>F40*[1]坦克升星消耗!J28</f>
        <v>270800.00000000023</v>
      </c>
      <c r="K40" s="1">
        <f>J40/J39</f>
        <v>1.5395110858442314</v>
      </c>
      <c r="S40" s="25"/>
      <c r="AE40" s="25"/>
      <c r="AF40" s="25"/>
      <c r="AG40" s="25"/>
      <c r="AH40" s="25"/>
    </row>
    <row r="41" spans="2:42" x14ac:dyDescent="0.3">
      <c r="B41" s="2" t="s">
        <v>360</v>
      </c>
      <c r="C41" s="2" t="s">
        <v>363</v>
      </c>
      <c r="D41" s="2">
        <v>2</v>
      </c>
      <c r="E41" s="228">
        <v>8</v>
      </c>
      <c r="F41" s="42">
        <v>7250</v>
      </c>
      <c r="G41" s="21">
        <f>VLOOKUP(C41,坦克升星消耗!$E:$F,2,FALSE)</f>
        <v>50</v>
      </c>
      <c r="H41" s="42">
        <f t="shared" si="1"/>
        <v>145</v>
      </c>
      <c r="J41" s="133">
        <f>F41*[1]坦克升星消耗!J29</f>
        <v>376649.99999999977</v>
      </c>
      <c r="K41" s="1">
        <f>J41/J39</f>
        <v>2.1412734508243312</v>
      </c>
      <c r="S41" s="25"/>
      <c r="AE41" s="25"/>
      <c r="AF41" s="25"/>
      <c r="AG41" s="25"/>
      <c r="AH41" s="25"/>
    </row>
    <row r="42" spans="2:42" x14ac:dyDescent="0.3">
      <c r="B42" s="2" t="s">
        <v>364</v>
      </c>
      <c r="C42" s="2" t="s">
        <v>365</v>
      </c>
      <c r="D42" s="2">
        <v>2.52</v>
      </c>
      <c r="E42" s="228">
        <v>16.003008000000001</v>
      </c>
      <c r="F42" s="42">
        <v>15600</v>
      </c>
      <c r="G42" s="21">
        <f>VLOOKUP(C42,坦克升星消耗!$E:$F,2,FALSE)</f>
        <v>80</v>
      </c>
      <c r="H42" s="42">
        <f t="shared" si="1"/>
        <v>195</v>
      </c>
      <c r="J42" s="133">
        <f>F42*[1]坦克升星消耗!J30</f>
        <v>606750.00000000047</v>
      </c>
      <c r="L42" s="133"/>
      <c r="S42" s="25"/>
      <c r="AE42" s="25"/>
      <c r="AF42" s="25"/>
      <c r="AG42" s="25"/>
      <c r="AH42" s="25"/>
    </row>
    <row r="43" spans="2:42" x14ac:dyDescent="0.3">
      <c r="B43" s="2" t="s">
        <v>364</v>
      </c>
      <c r="C43" s="2" t="s">
        <v>366</v>
      </c>
      <c r="D43" s="2">
        <v>2.62</v>
      </c>
      <c r="E43" s="228">
        <v>17.984728</v>
      </c>
      <c r="F43" s="42">
        <v>18800</v>
      </c>
      <c r="G43" s="21" t="e">
        <f>VLOOKUP(C43,坦克升星消耗!$E:$F,2,FALSE)</f>
        <v>#N/A</v>
      </c>
      <c r="H43" s="42" t="e">
        <f t="shared" si="1"/>
        <v>#N/A</v>
      </c>
      <c r="J43" s="133">
        <f>F43*[1]坦克升星消耗!J31</f>
        <v>884050.00000000058</v>
      </c>
      <c r="S43" s="25"/>
      <c r="AE43" s="25"/>
      <c r="AF43" s="25"/>
      <c r="AG43" s="25"/>
      <c r="AH43" s="25"/>
    </row>
    <row r="44" spans="2:42" x14ac:dyDescent="0.3">
      <c r="B44" s="2" t="s">
        <v>364</v>
      </c>
      <c r="C44" s="2" t="s">
        <v>367</v>
      </c>
      <c r="D44" s="2">
        <v>2.62</v>
      </c>
      <c r="E44" s="228">
        <v>17.984728</v>
      </c>
      <c r="F44" s="42">
        <v>20000</v>
      </c>
      <c r="G44" s="21" t="e">
        <f>VLOOKUP(C44,坦克升星消耗!$E:$F,2,FALSE)</f>
        <v>#N/A</v>
      </c>
      <c r="H44" s="42" t="e">
        <f t="shared" si="1"/>
        <v>#N/A</v>
      </c>
      <c r="J44" s="133">
        <f>F44*[1]坦克升星消耗!J32</f>
        <v>1179050</v>
      </c>
      <c r="S44" s="25"/>
      <c r="AE44" s="25"/>
      <c r="AF44" s="25"/>
      <c r="AG44" s="25"/>
      <c r="AH44" s="25"/>
    </row>
    <row r="45" spans="2:42" x14ac:dyDescent="0.3">
      <c r="B45" s="25"/>
      <c r="C45" s="25"/>
      <c r="D45" s="25"/>
      <c r="E45" s="25"/>
      <c r="F45" s="123"/>
      <c r="G45" s="25"/>
      <c r="H45" s="25"/>
      <c r="AE45" s="25"/>
      <c r="AF45" s="25"/>
      <c r="AG45" s="25"/>
      <c r="AH45" s="25"/>
    </row>
    <row r="46" spans="2:42" x14ac:dyDescent="0.3">
      <c r="B46" s="352" t="s">
        <v>368</v>
      </c>
      <c r="C46" s="353"/>
      <c r="D46" s="353"/>
      <c r="E46" s="353"/>
      <c r="F46" s="353"/>
      <c r="G46" s="353"/>
      <c r="H46" s="354"/>
      <c r="AE46" s="25"/>
      <c r="AF46" s="25"/>
      <c r="AG46" s="25"/>
      <c r="AH46" s="25"/>
    </row>
    <row r="47" spans="2:42" x14ac:dyDescent="0.3">
      <c r="B47" s="2" t="s">
        <v>369</v>
      </c>
      <c r="C47" s="2" t="s">
        <v>370</v>
      </c>
      <c r="D47" s="2" t="s">
        <v>371</v>
      </c>
      <c r="E47" s="2" t="s">
        <v>372</v>
      </c>
      <c r="F47" s="2" t="s">
        <v>373</v>
      </c>
      <c r="G47" s="2" t="s">
        <v>266</v>
      </c>
      <c r="H47" s="2" t="s">
        <v>374</v>
      </c>
      <c r="I47" s="1" t="s">
        <v>309</v>
      </c>
      <c r="AE47" s="25"/>
      <c r="AF47" s="25"/>
      <c r="AG47" s="25"/>
      <c r="AH47" s="25"/>
    </row>
    <row r="48" spans="2:42" x14ac:dyDescent="0.3">
      <c r="B48" s="2">
        <v>3</v>
      </c>
      <c r="C48" s="2">
        <v>18</v>
      </c>
      <c r="D48" s="21">
        <v>0.75</v>
      </c>
      <c r="E48" s="2">
        <f t="shared" ref="E48:E53" si="2">B48*$C$2*D48</f>
        <v>225</v>
      </c>
      <c r="F48" s="2">
        <f t="shared" ref="F48:F53" si="3">E48</f>
        <v>225</v>
      </c>
      <c r="G48" s="2">
        <f t="shared" ref="G48:G53" si="4">E48/B48</f>
        <v>75</v>
      </c>
      <c r="H48" s="34">
        <f t="shared" ref="H48:H53" si="5">E48/C48</f>
        <v>12.5</v>
      </c>
      <c r="I48" s="1">
        <v>200</v>
      </c>
    </row>
    <row r="49" spans="2:24" x14ac:dyDescent="0.3">
      <c r="B49" s="2">
        <v>5</v>
      </c>
      <c r="C49" s="2">
        <v>30</v>
      </c>
      <c r="D49" s="21">
        <v>0.8</v>
      </c>
      <c r="E49" s="2">
        <f t="shared" si="2"/>
        <v>400</v>
      </c>
      <c r="F49" s="2">
        <f t="shared" si="3"/>
        <v>400</v>
      </c>
      <c r="G49" s="2">
        <f t="shared" si="4"/>
        <v>80</v>
      </c>
      <c r="H49" s="34">
        <f t="shared" si="5"/>
        <v>13.333333333333334</v>
      </c>
      <c r="I49" s="1">
        <v>360</v>
      </c>
    </row>
    <row r="50" spans="2:24" x14ac:dyDescent="0.3">
      <c r="B50" s="2">
        <v>10</v>
      </c>
      <c r="C50" s="2">
        <v>68</v>
      </c>
      <c r="D50" s="21">
        <v>0.85</v>
      </c>
      <c r="E50" s="2">
        <f t="shared" si="2"/>
        <v>850</v>
      </c>
      <c r="F50" s="2">
        <f t="shared" si="3"/>
        <v>850</v>
      </c>
      <c r="G50" s="2">
        <f t="shared" si="4"/>
        <v>85</v>
      </c>
      <c r="H50" s="34">
        <f t="shared" si="5"/>
        <v>12.5</v>
      </c>
      <c r="I50" s="1">
        <v>380</v>
      </c>
    </row>
    <row r="51" spans="2:24" x14ac:dyDescent="0.3">
      <c r="B51" s="2">
        <v>20</v>
      </c>
      <c r="C51" s="2">
        <v>128</v>
      </c>
      <c r="D51" s="21">
        <v>0.9</v>
      </c>
      <c r="E51" s="2">
        <f t="shared" si="2"/>
        <v>1800</v>
      </c>
      <c r="F51" s="2">
        <f t="shared" si="3"/>
        <v>1800</v>
      </c>
      <c r="G51" s="2">
        <f t="shared" si="4"/>
        <v>90</v>
      </c>
      <c r="H51" s="34">
        <f t="shared" si="5"/>
        <v>14.0625</v>
      </c>
      <c r="I51" s="1">
        <v>400</v>
      </c>
    </row>
    <row r="52" spans="2:24" x14ac:dyDescent="0.3">
      <c r="B52" s="2">
        <v>50</v>
      </c>
      <c r="C52" s="2">
        <v>328</v>
      </c>
      <c r="D52" s="21">
        <v>0.95</v>
      </c>
      <c r="E52" s="2">
        <f t="shared" si="2"/>
        <v>4750</v>
      </c>
      <c r="F52" s="2">
        <f t="shared" si="3"/>
        <v>4750</v>
      </c>
      <c r="G52" s="2">
        <f t="shared" si="4"/>
        <v>95</v>
      </c>
      <c r="H52" s="34">
        <f t="shared" si="5"/>
        <v>14.481707317073171</v>
      </c>
      <c r="U52" s="25"/>
    </row>
    <row r="53" spans="2:24" x14ac:dyDescent="0.3">
      <c r="B53" s="2">
        <v>100</v>
      </c>
      <c r="C53" s="2">
        <v>648</v>
      </c>
      <c r="D53" s="21">
        <v>1</v>
      </c>
      <c r="E53" s="2">
        <f t="shared" si="2"/>
        <v>10000</v>
      </c>
      <c r="F53" s="2">
        <f t="shared" si="3"/>
        <v>10000</v>
      </c>
      <c r="G53" s="2">
        <f t="shared" si="4"/>
        <v>100</v>
      </c>
      <c r="H53" s="34">
        <f t="shared" si="5"/>
        <v>15.432098765432098</v>
      </c>
      <c r="U53" s="25"/>
    </row>
    <row r="54" spans="2:24" x14ac:dyDescent="0.3">
      <c r="B54" s="25"/>
      <c r="C54" s="25"/>
      <c r="D54" s="25"/>
      <c r="E54" s="25"/>
      <c r="F54" s="123"/>
      <c r="G54" s="25"/>
      <c r="H54" s="25"/>
      <c r="U54" s="25"/>
    </row>
    <row r="55" spans="2:24" x14ac:dyDescent="0.3">
      <c r="B55" s="352" t="s">
        <v>375</v>
      </c>
      <c r="C55" s="353"/>
      <c r="D55" s="353"/>
      <c r="E55" s="353"/>
      <c r="F55" s="353"/>
      <c r="G55" s="353"/>
      <c r="H55" s="353"/>
      <c r="I55" s="353"/>
      <c r="J55" s="353"/>
      <c r="K55" s="353"/>
      <c r="L55" s="353"/>
      <c r="M55" s="353"/>
      <c r="N55" s="354"/>
      <c r="P55" s="352" t="s">
        <v>376</v>
      </c>
      <c r="Q55" s="353"/>
      <c r="R55" s="353"/>
      <c r="S55" s="354"/>
    </row>
    <row r="56" spans="2:24" x14ac:dyDescent="0.3">
      <c r="B56" s="2" t="s">
        <v>377</v>
      </c>
      <c r="C56" s="2" t="s">
        <v>378</v>
      </c>
      <c r="D56" s="2" t="s">
        <v>379</v>
      </c>
      <c r="E56" s="2" t="s">
        <v>380</v>
      </c>
      <c r="F56" s="2" t="s">
        <v>381</v>
      </c>
      <c r="G56" s="2" t="s">
        <v>382</v>
      </c>
      <c r="H56" s="2" t="s">
        <v>383</v>
      </c>
      <c r="I56" s="2" t="s">
        <v>384</v>
      </c>
      <c r="J56" s="2" t="s">
        <v>385</v>
      </c>
      <c r="K56" s="2" t="s">
        <v>386</v>
      </c>
      <c r="L56" s="2" t="s">
        <v>387</v>
      </c>
      <c r="M56" s="2" t="s">
        <v>388</v>
      </c>
      <c r="N56" s="2" t="s">
        <v>389</v>
      </c>
      <c r="P56" s="2" t="s">
        <v>377</v>
      </c>
      <c r="Q56" s="2" t="s">
        <v>390</v>
      </c>
      <c r="R56" s="2" t="s">
        <v>391</v>
      </c>
      <c r="S56" s="2" t="s">
        <v>392</v>
      </c>
    </row>
    <row r="57" spans="2:24" x14ac:dyDescent="0.3">
      <c r="B57" s="2">
        <v>1</v>
      </c>
      <c r="C57" s="2" t="s">
        <v>393</v>
      </c>
      <c r="D57" s="2" t="s">
        <v>394</v>
      </c>
      <c r="E57" s="2" t="s">
        <v>394</v>
      </c>
      <c r="F57" s="2" t="s">
        <v>394</v>
      </c>
      <c r="G57" s="2" t="s">
        <v>394</v>
      </c>
      <c r="H57" s="2" t="s">
        <v>394</v>
      </c>
      <c r="I57" s="2" t="s">
        <v>394</v>
      </c>
      <c r="J57" s="2" t="s">
        <v>394</v>
      </c>
      <c r="K57" s="2" t="s">
        <v>394</v>
      </c>
      <c r="L57" s="2" t="s">
        <v>394</v>
      </c>
      <c r="M57" s="2" t="s">
        <v>394</v>
      </c>
      <c r="N57" s="2" t="s">
        <v>394</v>
      </c>
      <c r="P57" s="2">
        <v>1</v>
      </c>
      <c r="Q57" s="2" t="s">
        <v>378</v>
      </c>
      <c r="R57" s="2"/>
      <c r="S57" s="2"/>
      <c r="U57" s="1" t="str">
        <f>CONCATENATE("[",V57,",",W57,",",X57,"]")</f>
        <v>[1111,2111,3111]</v>
      </c>
      <c r="V57" s="1">
        <v>1111</v>
      </c>
      <c r="W57" s="1">
        <v>2111</v>
      </c>
      <c r="X57" s="1">
        <v>3111</v>
      </c>
    </row>
    <row r="58" spans="2:24" x14ac:dyDescent="0.3">
      <c r="B58" s="2">
        <v>2</v>
      </c>
      <c r="C58" s="2" t="s">
        <v>393</v>
      </c>
      <c r="D58" s="2" t="s">
        <v>393</v>
      </c>
      <c r="E58" s="2" t="s">
        <v>394</v>
      </c>
      <c r="F58" s="2" t="s">
        <v>394</v>
      </c>
      <c r="G58" s="2" t="s">
        <v>394</v>
      </c>
      <c r="H58" s="2" t="s">
        <v>394</v>
      </c>
      <c r="I58" s="2" t="s">
        <v>394</v>
      </c>
      <c r="J58" s="2" t="s">
        <v>394</v>
      </c>
      <c r="K58" s="2" t="s">
        <v>394</v>
      </c>
      <c r="L58" s="2" t="s">
        <v>394</v>
      </c>
      <c r="M58" s="2" t="s">
        <v>394</v>
      </c>
      <c r="N58" s="2" t="s">
        <v>394</v>
      </c>
      <c r="P58" s="2">
        <v>2</v>
      </c>
      <c r="Q58" s="2" t="s">
        <v>379</v>
      </c>
      <c r="R58" s="2"/>
      <c r="S58" s="2"/>
      <c r="U58" s="1" t="str">
        <f>CONCATENATE("[",V58,",",W58,",",X58,"]")</f>
        <v>[1211,2211,3211]</v>
      </c>
      <c r="V58" s="1">
        <v>1211</v>
      </c>
      <c r="W58" s="1">
        <v>2211</v>
      </c>
      <c r="X58" s="1">
        <v>3211</v>
      </c>
    </row>
    <row r="59" spans="2:24" x14ac:dyDescent="0.3">
      <c r="B59" s="2">
        <v>3</v>
      </c>
      <c r="C59" s="2" t="s">
        <v>393</v>
      </c>
      <c r="D59" s="2" t="s">
        <v>393</v>
      </c>
      <c r="E59" s="2" t="s">
        <v>393</v>
      </c>
      <c r="F59" s="2" t="s">
        <v>394</v>
      </c>
      <c r="G59" s="2" t="s">
        <v>394</v>
      </c>
      <c r="H59" s="2" t="s">
        <v>394</v>
      </c>
      <c r="I59" s="2" t="s">
        <v>394</v>
      </c>
      <c r="J59" s="2" t="s">
        <v>394</v>
      </c>
      <c r="K59" s="2" t="s">
        <v>394</v>
      </c>
      <c r="L59" s="2" t="s">
        <v>394</v>
      </c>
      <c r="M59" s="2" t="s">
        <v>394</v>
      </c>
      <c r="N59" s="2" t="s">
        <v>394</v>
      </c>
      <c r="P59" s="2">
        <v>3</v>
      </c>
      <c r="Q59" s="2" t="s">
        <v>380</v>
      </c>
      <c r="R59" s="2"/>
      <c r="S59" s="2"/>
      <c r="U59" s="1" t="str">
        <f>CONCATENATE("[",V59,",",W59,",",X59,"]")</f>
        <v>[1221,2221,3221]</v>
      </c>
      <c r="V59" s="1">
        <v>1221</v>
      </c>
      <c r="W59" s="1">
        <v>2221</v>
      </c>
      <c r="X59" s="1">
        <v>3221</v>
      </c>
    </row>
    <row r="60" spans="2:24" x14ac:dyDescent="0.3">
      <c r="B60" s="2">
        <v>4</v>
      </c>
      <c r="C60" s="2" t="s">
        <v>393</v>
      </c>
      <c r="D60" s="2" t="s">
        <v>393</v>
      </c>
      <c r="E60" s="2" t="s">
        <v>393</v>
      </c>
      <c r="F60" s="2" t="s">
        <v>394</v>
      </c>
      <c r="G60" s="2" t="s">
        <v>394</v>
      </c>
      <c r="H60" s="2" t="s">
        <v>394</v>
      </c>
      <c r="I60" s="2" t="s">
        <v>394</v>
      </c>
      <c r="J60" s="2" t="s">
        <v>394</v>
      </c>
      <c r="K60" s="2" t="s">
        <v>394</v>
      </c>
      <c r="L60" s="2" t="s">
        <v>394</v>
      </c>
      <c r="M60" s="2" t="s">
        <v>394</v>
      </c>
      <c r="N60" s="2" t="s">
        <v>394</v>
      </c>
      <c r="P60" s="2">
        <v>4</v>
      </c>
      <c r="Q60" s="2"/>
      <c r="R60" s="2"/>
      <c r="S60" s="2"/>
      <c r="V60" s="1">
        <v>1311</v>
      </c>
      <c r="W60" s="1">
        <v>2311</v>
      </c>
      <c r="X60" s="1">
        <v>3311</v>
      </c>
    </row>
    <row r="61" spans="2:24" x14ac:dyDescent="0.3">
      <c r="B61" s="2">
        <v>5</v>
      </c>
      <c r="C61" s="2" t="s">
        <v>393</v>
      </c>
      <c r="D61" s="2" t="s">
        <v>393</v>
      </c>
      <c r="E61" s="2" t="s">
        <v>393</v>
      </c>
      <c r="F61" s="2" t="s">
        <v>393</v>
      </c>
      <c r="G61" s="2" t="s">
        <v>393</v>
      </c>
      <c r="H61" s="2" t="s">
        <v>394</v>
      </c>
      <c r="I61" s="2" t="s">
        <v>394</v>
      </c>
      <c r="J61" s="2" t="s">
        <v>394</v>
      </c>
      <c r="K61" s="2" t="s">
        <v>394</v>
      </c>
      <c r="L61" s="2" t="s">
        <v>394</v>
      </c>
      <c r="M61" s="2" t="s">
        <v>394</v>
      </c>
      <c r="N61" s="2" t="s">
        <v>394</v>
      </c>
      <c r="P61" s="2">
        <v>5</v>
      </c>
      <c r="Q61" s="2" t="s">
        <v>381</v>
      </c>
      <c r="R61" s="2" t="s">
        <v>382</v>
      </c>
      <c r="S61" s="2"/>
      <c r="U61" s="1" t="str">
        <f>CONCATENATE("[",V60,",",W60,",",X60,",",V61,",",W61,",",X61,"]")</f>
        <v>[1311,2311,3311,1321,2321,3321]</v>
      </c>
      <c r="V61" s="1">
        <v>1321</v>
      </c>
      <c r="W61" s="1">
        <v>2321</v>
      </c>
      <c r="X61" s="25">
        <v>3321</v>
      </c>
    </row>
    <row r="62" spans="2:24" x14ac:dyDescent="0.3">
      <c r="B62" s="2">
        <v>6</v>
      </c>
      <c r="C62" s="2" t="s">
        <v>393</v>
      </c>
      <c r="D62" s="2" t="s">
        <v>393</v>
      </c>
      <c r="E62" s="2" t="s">
        <v>393</v>
      </c>
      <c r="F62" s="2" t="s">
        <v>393</v>
      </c>
      <c r="G62" s="2" t="s">
        <v>393</v>
      </c>
      <c r="H62" s="2" t="s">
        <v>394</v>
      </c>
      <c r="I62" s="2" t="s">
        <v>394</v>
      </c>
      <c r="J62" s="2" t="s">
        <v>394</v>
      </c>
      <c r="K62" s="2" t="s">
        <v>394</v>
      </c>
      <c r="L62" s="2" t="s">
        <v>394</v>
      </c>
      <c r="M62" s="2" t="s">
        <v>394</v>
      </c>
      <c r="N62" s="2" t="s">
        <v>394</v>
      </c>
      <c r="P62" s="2">
        <v>6</v>
      </c>
      <c r="Q62" s="2"/>
      <c r="R62" s="2"/>
      <c r="S62" s="2"/>
      <c r="X62" s="25"/>
    </row>
    <row r="63" spans="2:24" x14ac:dyDescent="0.3">
      <c r="B63" s="2">
        <v>7</v>
      </c>
      <c r="C63" s="2" t="s">
        <v>393</v>
      </c>
      <c r="D63" s="2" t="s">
        <v>393</v>
      </c>
      <c r="E63" s="2" t="s">
        <v>393</v>
      </c>
      <c r="F63" s="2" t="s">
        <v>393</v>
      </c>
      <c r="G63" s="2" t="s">
        <v>393</v>
      </c>
      <c r="H63" s="2" t="s">
        <v>394</v>
      </c>
      <c r="I63" s="2" t="s">
        <v>394</v>
      </c>
      <c r="J63" s="2" t="s">
        <v>394</v>
      </c>
      <c r="K63" s="2" t="s">
        <v>394</v>
      </c>
      <c r="L63" s="2" t="s">
        <v>394</v>
      </c>
      <c r="M63" s="2" t="s">
        <v>394</v>
      </c>
      <c r="N63" s="2" t="s">
        <v>394</v>
      </c>
      <c r="P63" s="2">
        <v>7</v>
      </c>
      <c r="Q63" s="2"/>
      <c r="R63" s="2"/>
      <c r="S63" s="2"/>
      <c r="V63" s="1">
        <v>1411</v>
      </c>
      <c r="W63" s="1">
        <v>2411</v>
      </c>
      <c r="X63" s="25">
        <v>3411</v>
      </c>
    </row>
    <row r="64" spans="2:24" x14ac:dyDescent="0.3">
      <c r="B64" s="2">
        <v>8</v>
      </c>
      <c r="C64" s="2" t="s">
        <v>393</v>
      </c>
      <c r="D64" s="2" t="s">
        <v>393</v>
      </c>
      <c r="E64" s="2" t="s">
        <v>393</v>
      </c>
      <c r="F64" s="2" t="s">
        <v>393</v>
      </c>
      <c r="G64" s="2" t="s">
        <v>393</v>
      </c>
      <c r="H64" s="2" t="s">
        <v>394</v>
      </c>
      <c r="I64" s="2" t="s">
        <v>393</v>
      </c>
      <c r="J64" s="2" t="s">
        <v>395</v>
      </c>
      <c r="K64" s="2" t="s">
        <v>395</v>
      </c>
      <c r="L64" s="2" t="s">
        <v>394</v>
      </c>
      <c r="M64" s="2" t="s">
        <v>394</v>
      </c>
      <c r="N64" s="2" t="s">
        <v>394</v>
      </c>
      <c r="P64" s="2">
        <v>8</v>
      </c>
      <c r="Q64" s="2" t="s">
        <v>384</v>
      </c>
      <c r="R64" s="2" t="s">
        <v>385</v>
      </c>
      <c r="S64" s="2" t="s">
        <v>386</v>
      </c>
      <c r="U64" s="1" t="str">
        <f>CONCATENATE("[",V63,",",W63,",",X63,",",V64,",",V65,"]")</f>
        <v>[1411,2411,3411,1421,1431]</v>
      </c>
      <c r="V64" s="1">
        <v>1421</v>
      </c>
      <c r="W64" s="1">
        <v>2421</v>
      </c>
      <c r="X64" s="25">
        <v>3421</v>
      </c>
    </row>
    <row r="65" spans="2:48" x14ac:dyDescent="0.3">
      <c r="B65" s="2">
        <v>9</v>
      </c>
      <c r="C65" s="2" t="s">
        <v>393</v>
      </c>
      <c r="D65" s="2" t="s">
        <v>393</v>
      </c>
      <c r="E65" s="2" t="s">
        <v>393</v>
      </c>
      <c r="F65" s="2" t="s">
        <v>393</v>
      </c>
      <c r="G65" s="2" t="s">
        <v>393</v>
      </c>
      <c r="H65" s="2" t="s">
        <v>394</v>
      </c>
      <c r="I65" s="2" t="s">
        <v>393</v>
      </c>
      <c r="J65" s="2" t="s">
        <v>395</v>
      </c>
      <c r="K65" s="2" t="s">
        <v>395</v>
      </c>
      <c r="L65" s="2" t="s">
        <v>394</v>
      </c>
      <c r="M65" s="2" t="s">
        <v>394</v>
      </c>
      <c r="N65" s="2" t="s">
        <v>394</v>
      </c>
      <c r="P65" s="2">
        <v>9</v>
      </c>
      <c r="Q65" s="2" t="s">
        <v>385</v>
      </c>
      <c r="R65" s="2" t="s">
        <v>386</v>
      </c>
      <c r="S65" s="2"/>
      <c r="U65" s="1" t="str">
        <f>CONCATENATE("[",W64,",",X64,",",W65,",",X65,"]")</f>
        <v>[2421,3421,2431,3431]</v>
      </c>
      <c r="V65" s="1">
        <v>1431</v>
      </c>
      <c r="W65" s="1">
        <v>2431</v>
      </c>
      <c r="X65" s="25">
        <v>3431</v>
      </c>
    </row>
    <row r="66" spans="2:48" x14ac:dyDescent="0.3">
      <c r="B66" s="2">
        <v>10</v>
      </c>
      <c r="C66" s="2" t="s">
        <v>393</v>
      </c>
      <c r="D66" s="2" t="s">
        <v>393</v>
      </c>
      <c r="E66" s="2" t="s">
        <v>393</v>
      </c>
      <c r="F66" s="2" t="s">
        <v>393</v>
      </c>
      <c r="G66" s="2" t="s">
        <v>393</v>
      </c>
      <c r="H66" s="2" t="s">
        <v>394</v>
      </c>
      <c r="I66" s="2" t="s">
        <v>393</v>
      </c>
      <c r="J66" s="2" t="s">
        <v>393</v>
      </c>
      <c r="K66" s="2" t="s">
        <v>393</v>
      </c>
      <c r="L66" s="2" t="s">
        <v>394</v>
      </c>
      <c r="M66" s="2" t="s">
        <v>394</v>
      </c>
      <c r="N66" s="2" t="s">
        <v>394</v>
      </c>
      <c r="P66" s="2">
        <v>10</v>
      </c>
      <c r="Q66" s="2" t="s">
        <v>385</v>
      </c>
      <c r="R66" s="2" t="s">
        <v>386</v>
      </c>
      <c r="S66" s="2"/>
      <c r="X66" s="25"/>
    </row>
    <row r="67" spans="2:48" x14ac:dyDescent="0.3">
      <c r="R67" s="25"/>
    </row>
    <row r="68" spans="2:48" x14ac:dyDescent="0.3">
      <c r="B68" s="351" t="s">
        <v>396</v>
      </c>
      <c r="C68" s="351"/>
      <c r="D68" s="351"/>
      <c r="E68" s="351"/>
      <c r="F68" s="351"/>
      <c r="G68" s="351"/>
      <c r="H68" s="351"/>
      <c r="I68" s="351"/>
      <c r="J68" s="351"/>
      <c r="K68" s="351"/>
      <c r="L68" s="351"/>
      <c r="M68" s="351"/>
      <c r="N68" s="351"/>
      <c r="O68" s="351"/>
      <c r="P68" s="351"/>
      <c r="Q68" s="351"/>
      <c r="R68" s="351"/>
      <c r="S68" s="351"/>
      <c r="T68" s="351"/>
      <c r="V68" s="351" t="s">
        <v>397</v>
      </c>
      <c r="W68" s="351"/>
      <c r="X68" s="351"/>
      <c r="Y68" s="351"/>
      <c r="Z68" s="351"/>
      <c r="AA68" s="351"/>
      <c r="AB68" s="351"/>
      <c r="AC68" s="351"/>
      <c r="AD68" s="351"/>
      <c r="AE68" s="351"/>
    </row>
    <row r="69" spans="2:48" x14ac:dyDescent="0.3">
      <c r="B69" s="2" t="s">
        <v>377</v>
      </c>
      <c r="C69" s="2" t="s">
        <v>398</v>
      </c>
      <c r="D69" s="2" t="s">
        <v>399</v>
      </c>
      <c r="E69" s="2" t="s">
        <v>400</v>
      </c>
      <c r="F69" s="2" t="s">
        <v>401</v>
      </c>
      <c r="G69" s="2" t="s">
        <v>402</v>
      </c>
      <c r="H69" s="2" t="s">
        <v>403</v>
      </c>
      <c r="I69" s="2" t="s">
        <v>404</v>
      </c>
      <c r="J69" s="2" t="s">
        <v>405</v>
      </c>
      <c r="K69" s="2" t="s">
        <v>406</v>
      </c>
      <c r="L69" s="2" t="s">
        <v>407</v>
      </c>
      <c r="M69" s="2" t="s">
        <v>408</v>
      </c>
      <c r="N69" s="2" t="s">
        <v>409</v>
      </c>
      <c r="O69" s="2" t="s">
        <v>410</v>
      </c>
      <c r="P69" s="2" t="s">
        <v>411</v>
      </c>
      <c r="Q69" s="2" t="s">
        <v>412</v>
      </c>
      <c r="R69" s="2" t="s">
        <v>413</v>
      </c>
      <c r="S69" s="2" t="s">
        <v>414</v>
      </c>
      <c r="T69" s="2" t="s">
        <v>415</v>
      </c>
      <c r="V69" s="2" t="s">
        <v>377</v>
      </c>
      <c r="W69" s="2" t="s">
        <v>416</v>
      </c>
      <c r="X69" s="2" t="s">
        <v>417</v>
      </c>
      <c r="Y69" s="2" t="s">
        <v>418</v>
      </c>
      <c r="Z69" s="2" t="s">
        <v>419</v>
      </c>
      <c r="AA69" s="2" t="s">
        <v>420</v>
      </c>
      <c r="AB69" s="2" t="s">
        <v>421</v>
      </c>
      <c r="AC69" s="2" t="s">
        <v>422</v>
      </c>
      <c r="AD69" s="2" t="s">
        <v>423</v>
      </c>
      <c r="AE69" s="2" t="s">
        <v>424</v>
      </c>
    </row>
    <row r="70" spans="2:48" x14ac:dyDescent="0.3">
      <c r="B70" s="2">
        <v>1</v>
      </c>
      <c r="C70" s="2" t="s">
        <v>351</v>
      </c>
      <c r="D70" s="2"/>
      <c r="E70" s="2" t="s">
        <v>351</v>
      </c>
      <c r="F70" s="2"/>
      <c r="G70" s="2" t="s">
        <v>351</v>
      </c>
      <c r="H70" s="2"/>
      <c r="I70" s="2" t="s">
        <v>351</v>
      </c>
      <c r="J70" s="2"/>
      <c r="K70" s="2" t="s">
        <v>351</v>
      </c>
      <c r="L70" s="2"/>
      <c r="M70" s="2" t="s">
        <v>351</v>
      </c>
      <c r="N70" s="2"/>
      <c r="O70" s="2" t="s">
        <v>351</v>
      </c>
      <c r="P70" s="2"/>
      <c r="Q70" s="2" t="s">
        <v>351</v>
      </c>
      <c r="R70" s="2"/>
      <c r="S70" s="2" t="s">
        <v>351</v>
      </c>
      <c r="T70" s="2"/>
      <c r="V70" s="2">
        <v>1</v>
      </c>
      <c r="W70" s="2" t="s">
        <v>425</v>
      </c>
      <c r="X70" s="2" t="s">
        <v>426</v>
      </c>
      <c r="Y70" s="2" t="s">
        <v>427</v>
      </c>
      <c r="Z70" s="2" t="s">
        <v>428</v>
      </c>
      <c r="AA70" s="2" t="s">
        <v>429</v>
      </c>
      <c r="AB70" s="2" t="s">
        <v>430</v>
      </c>
      <c r="AC70" s="2" t="s">
        <v>431</v>
      </c>
      <c r="AD70" s="2" t="s">
        <v>432</v>
      </c>
      <c r="AE70" s="2" t="s">
        <v>433</v>
      </c>
      <c r="AG70" s="1">
        <f>IF(W70&lt;&gt;"",VLOOKUP(W70,[1]道具ID!$B$206:$D$296,3,FALSE),"")</f>
        <v>1110</v>
      </c>
      <c r="AI70" s="1">
        <f>IF(X70&lt;&gt;"",VLOOKUP(X70,[1]道具ID!$B$206:$D$296,3,FALSE),"")</f>
        <v>1130</v>
      </c>
      <c r="AK70" s="1">
        <f>IF(Y70&lt;&gt;"",VLOOKUP(Y70,[1]道具ID!$B$206:$D$296,3,FALSE),"")</f>
        <v>1150</v>
      </c>
      <c r="AM70" s="1">
        <f>IF(Z70&lt;&gt;"",VLOOKUP(Z70,[1]道具ID!$B$206:$D$296,3,FALSE),"")</f>
        <v>1210</v>
      </c>
      <c r="AO70" s="1">
        <f>IF(AA70&lt;&gt;"",VLOOKUP(AA70,[1]道具ID!$B$206:$D$296,3,FALSE),"")</f>
        <v>1230</v>
      </c>
      <c r="AP70" s="1">
        <f>IF(AB70&lt;&gt;"",VLOOKUP(AB70,[1]道具ID!$B$206:$D$296,3,FALSE),"")</f>
        <v>1250</v>
      </c>
      <c r="AQ70" s="1">
        <f>IF(AC70&lt;&gt;"",VLOOKUP(AC70,[1]道具ID!$B$206:$D$296,3,FALSE),"")</f>
        <v>1310</v>
      </c>
      <c r="AR70" s="1">
        <f>IF(AD70&lt;&gt;"",VLOOKUP(AD70,[1]道具ID!$B$206:$D$296,3,FALSE),"")</f>
        <v>1330</v>
      </c>
      <c r="AS70" s="1">
        <f>IF(AE70&lt;&gt;"",VLOOKUP(AE70,[1]道具ID!$B$206:$D$296,3,FALSE),"")</f>
        <v>1350</v>
      </c>
      <c r="AV70" s="1" t="str">
        <f>"["&amp;AG70&amp;","&amp;AI70&amp;","&amp;AK70&amp;","&amp;AM70&amp;","&amp;AO70&amp;","&amp;AP70&amp;","&amp;AQ70&amp;","&amp;AR70&amp;","&amp;AS70&amp;"]"</f>
        <v>[1110,1130,1150,1210,1230,1250,1310,1330,1350]</v>
      </c>
    </row>
    <row r="71" spans="2:48" x14ac:dyDescent="0.3">
      <c r="B71" s="2">
        <v>2</v>
      </c>
      <c r="C71" s="2" t="s">
        <v>351</v>
      </c>
      <c r="D71" s="2" t="s">
        <v>351</v>
      </c>
      <c r="E71" s="2" t="s">
        <v>351</v>
      </c>
      <c r="F71" s="2" t="s">
        <v>351</v>
      </c>
      <c r="G71" s="2" t="s">
        <v>351</v>
      </c>
      <c r="H71" s="2" t="s">
        <v>351</v>
      </c>
      <c r="I71" s="2" t="s">
        <v>351</v>
      </c>
      <c r="J71" s="2" t="s">
        <v>351</v>
      </c>
      <c r="K71" s="2" t="s">
        <v>351</v>
      </c>
      <c r="L71" s="2" t="s">
        <v>351</v>
      </c>
      <c r="M71" s="2" t="s">
        <v>351</v>
      </c>
      <c r="N71" s="2" t="s">
        <v>351</v>
      </c>
      <c r="O71" s="2" t="s">
        <v>351</v>
      </c>
      <c r="P71" s="2" t="s">
        <v>351</v>
      </c>
      <c r="Q71" s="2" t="s">
        <v>351</v>
      </c>
      <c r="R71" s="2" t="s">
        <v>351</v>
      </c>
      <c r="S71" s="2" t="s">
        <v>351</v>
      </c>
      <c r="T71" s="2" t="s">
        <v>351</v>
      </c>
      <c r="V71" s="2">
        <v>2</v>
      </c>
      <c r="W71" s="2" t="s">
        <v>434</v>
      </c>
      <c r="X71" s="2" t="s">
        <v>435</v>
      </c>
      <c r="Y71" s="2" t="s">
        <v>436</v>
      </c>
      <c r="Z71" s="2" t="s">
        <v>437</v>
      </c>
      <c r="AA71" s="2" t="s">
        <v>438</v>
      </c>
      <c r="AB71" s="2" t="s">
        <v>439</v>
      </c>
      <c r="AC71" s="2" t="s">
        <v>440</v>
      </c>
      <c r="AD71" s="2" t="s">
        <v>441</v>
      </c>
      <c r="AE71" s="2" t="s">
        <v>442</v>
      </c>
      <c r="AG71" s="1">
        <f>IF(W71&lt;&gt;"",VLOOKUP(W71,[1]道具ID!$B$206:$D$296,3,FALSE),"")</f>
        <v>1120</v>
      </c>
      <c r="AI71" s="1">
        <f>IF(X71&lt;&gt;"",VLOOKUP(X71,[1]道具ID!$B$206:$D$296,3,FALSE),"")</f>
        <v>1140</v>
      </c>
      <c r="AK71" s="1">
        <f>IF(Y71&lt;&gt;"",VLOOKUP(Y71,[1]道具ID!$B$206:$D$296,3,FALSE),"")</f>
        <v>1160</v>
      </c>
      <c r="AM71" s="1">
        <f>IF(Z71&lt;&gt;"",VLOOKUP(Z71,[1]道具ID!$B$206:$D$296,3,FALSE),"")</f>
        <v>1220</v>
      </c>
      <c r="AO71" s="1">
        <f>IF(AA71&lt;&gt;"",VLOOKUP(AA71,[1]道具ID!$B$206:$D$296,3,FALSE),"")</f>
        <v>1240</v>
      </c>
      <c r="AP71" s="1">
        <f>IF(AB71&lt;&gt;"",VLOOKUP(AB71,[1]道具ID!$B$206:$D$296,3,FALSE),"")</f>
        <v>1260</v>
      </c>
      <c r="AQ71" s="1">
        <f>IF(AC71&lt;&gt;"",VLOOKUP(AC71,[1]道具ID!$B$206:$D$296,3,FALSE),"")</f>
        <v>1320</v>
      </c>
      <c r="AR71" s="1">
        <f>IF(AD71&lt;&gt;"",VLOOKUP(AD71,[1]道具ID!$B$206:$D$296,3,FALSE),"")</f>
        <v>1340</v>
      </c>
      <c r="AS71" s="1">
        <f>IF(AE71&lt;&gt;"",VLOOKUP(AE71,[1]道具ID!$B$206:$D$296,3,FALSE),"")</f>
        <v>1360</v>
      </c>
      <c r="AV71" s="1" t="str">
        <f t="shared" ref="AV71:AV76" si="6">"["&amp;AG71&amp;","&amp;AI71&amp;","&amp;AK71&amp;","&amp;AM71&amp;","&amp;AO71&amp;","&amp;AP71&amp;","&amp;AQ71&amp;","&amp;AR71&amp;","&amp;AS71&amp;"]"</f>
        <v>[1120,1140,1160,1220,1240,1260,1320,1340,1360]</v>
      </c>
    </row>
    <row r="72" spans="2:48" x14ac:dyDescent="0.3">
      <c r="B72" s="2">
        <v>3</v>
      </c>
      <c r="C72" s="2" t="s">
        <v>443</v>
      </c>
      <c r="D72" s="2" t="s">
        <v>351</v>
      </c>
      <c r="E72" s="2" t="s">
        <v>443</v>
      </c>
      <c r="F72" s="2" t="s">
        <v>351</v>
      </c>
      <c r="G72" s="2" t="s">
        <v>443</v>
      </c>
      <c r="H72" s="2" t="s">
        <v>351</v>
      </c>
      <c r="I72" s="2" t="s">
        <v>443</v>
      </c>
      <c r="J72" s="2" t="s">
        <v>351</v>
      </c>
      <c r="K72" s="2" t="s">
        <v>443</v>
      </c>
      <c r="L72" s="2" t="s">
        <v>351</v>
      </c>
      <c r="M72" s="2" t="s">
        <v>443</v>
      </c>
      <c r="N72" s="2" t="s">
        <v>351</v>
      </c>
      <c r="O72" s="2" t="s">
        <v>443</v>
      </c>
      <c r="P72" s="2" t="s">
        <v>351</v>
      </c>
      <c r="Q72" s="2" t="s">
        <v>443</v>
      </c>
      <c r="R72" s="2" t="s">
        <v>351</v>
      </c>
      <c r="S72" s="2" t="s">
        <v>443</v>
      </c>
      <c r="T72" s="2" t="s">
        <v>351</v>
      </c>
      <c r="V72" s="2">
        <v>3</v>
      </c>
      <c r="W72" s="2" t="s">
        <v>444</v>
      </c>
      <c r="X72" s="2" t="s">
        <v>445</v>
      </c>
      <c r="Y72" s="2" t="s">
        <v>446</v>
      </c>
      <c r="Z72" s="2" t="s">
        <v>447</v>
      </c>
      <c r="AA72" s="2" t="s">
        <v>448</v>
      </c>
      <c r="AB72" s="2" t="s">
        <v>449</v>
      </c>
      <c r="AC72" s="2" t="s">
        <v>450</v>
      </c>
      <c r="AD72" s="2" t="s">
        <v>451</v>
      </c>
      <c r="AE72" s="2" t="s">
        <v>452</v>
      </c>
      <c r="AG72" s="1">
        <f>IF(W72&lt;&gt;"",VLOOKUP(W72,[1]道具ID!$B$206:$D$296,3,FALSE),"")</f>
        <v>2110</v>
      </c>
      <c r="AI72" s="1">
        <f>IF(X72&lt;&gt;"",VLOOKUP(X72,[1]道具ID!$B$206:$D$296,3,FALSE),"")</f>
        <v>2130</v>
      </c>
      <c r="AK72" s="1">
        <f>IF(Y72&lt;&gt;"",VLOOKUP(Y72,[1]道具ID!$B$206:$D$296,3,FALSE),"")</f>
        <v>2150</v>
      </c>
      <c r="AM72" s="1">
        <f>IF(Z72&lt;&gt;"",VLOOKUP(Z72,[1]道具ID!$B$206:$D$296,3,FALSE),"")</f>
        <v>2210</v>
      </c>
      <c r="AO72" s="1">
        <f>IF(AA72&lt;&gt;"",VLOOKUP(AA72,[1]道具ID!$B$206:$D$296,3,FALSE),"")</f>
        <v>2230</v>
      </c>
      <c r="AP72" s="1">
        <f>IF(AB72&lt;&gt;"",VLOOKUP(AB72,[1]道具ID!$B$206:$D$296,3,FALSE),"")</f>
        <v>2250</v>
      </c>
      <c r="AQ72" s="1">
        <f>IF(AC72&lt;&gt;"",VLOOKUP(AC72,[1]道具ID!$B$206:$D$296,3,FALSE),"")</f>
        <v>2310</v>
      </c>
      <c r="AR72" s="1">
        <f>IF(AD72&lt;&gt;"",VLOOKUP(AD72,[1]道具ID!$B$206:$D$296,3,FALSE),"")</f>
        <v>2330</v>
      </c>
      <c r="AS72" s="1">
        <f>IF(AE72&lt;&gt;"",VLOOKUP(AE72,[1]道具ID!$B$206:$D$296,3,FALSE),"")</f>
        <v>2350</v>
      </c>
      <c r="AV72" s="1" t="str">
        <f t="shared" si="6"/>
        <v>[2110,2130,2150,2210,2230,2250,2310,2330,2350]</v>
      </c>
    </row>
    <row r="73" spans="2:48" x14ac:dyDescent="0.3">
      <c r="B73" s="2">
        <v>4</v>
      </c>
      <c r="C73" s="2" t="s">
        <v>443</v>
      </c>
      <c r="D73" s="2" t="s">
        <v>443</v>
      </c>
      <c r="E73" s="2" t="s">
        <v>443</v>
      </c>
      <c r="F73" s="2" t="s">
        <v>443</v>
      </c>
      <c r="G73" s="2" t="s">
        <v>443</v>
      </c>
      <c r="H73" s="2" t="s">
        <v>443</v>
      </c>
      <c r="I73" s="2" t="s">
        <v>443</v>
      </c>
      <c r="J73" s="2" t="s">
        <v>443</v>
      </c>
      <c r="K73" s="2" t="s">
        <v>443</v>
      </c>
      <c r="L73" s="2" t="s">
        <v>443</v>
      </c>
      <c r="M73" s="2" t="s">
        <v>443</v>
      </c>
      <c r="N73" s="2" t="s">
        <v>443</v>
      </c>
      <c r="O73" s="2" t="s">
        <v>443</v>
      </c>
      <c r="P73" s="2" t="s">
        <v>443</v>
      </c>
      <c r="Q73" s="2" t="s">
        <v>443</v>
      </c>
      <c r="R73" s="2" t="s">
        <v>443</v>
      </c>
      <c r="S73" s="2" t="s">
        <v>443</v>
      </c>
      <c r="T73" s="2" t="s">
        <v>443</v>
      </c>
      <c r="V73" s="2">
        <v>4</v>
      </c>
      <c r="W73" s="2" t="s">
        <v>453</v>
      </c>
      <c r="X73" s="2" t="s">
        <v>454</v>
      </c>
      <c r="Y73" s="2" t="s">
        <v>455</v>
      </c>
      <c r="Z73" s="2" t="s">
        <v>456</v>
      </c>
      <c r="AA73" s="2" t="s">
        <v>457</v>
      </c>
      <c r="AB73" s="2" t="s">
        <v>458</v>
      </c>
      <c r="AC73" s="2" t="s">
        <v>459</v>
      </c>
      <c r="AD73" s="2" t="s">
        <v>460</v>
      </c>
      <c r="AE73" s="2" t="s">
        <v>461</v>
      </c>
      <c r="AG73" s="1">
        <f>IF(W73&lt;&gt;"",VLOOKUP(W73,[1]道具ID!$B$206:$D$296,3,FALSE),"")</f>
        <v>2120</v>
      </c>
      <c r="AI73" s="1">
        <f>IF(X73&lt;&gt;"",VLOOKUP(X73,[1]道具ID!$B$206:$D$296,3,FALSE),"")</f>
        <v>2140</v>
      </c>
      <c r="AK73" s="1">
        <f>IF(Y73&lt;&gt;"",VLOOKUP(Y73,[1]道具ID!$B$206:$D$296,3,FALSE),"")</f>
        <v>2160</v>
      </c>
      <c r="AM73" s="1">
        <f>IF(Z73&lt;&gt;"",VLOOKUP(Z73,[1]道具ID!$B$206:$D$296,3,FALSE),"")</f>
        <v>2220</v>
      </c>
      <c r="AO73" s="1">
        <f>IF(AA73&lt;&gt;"",VLOOKUP(AA73,[1]道具ID!$B$206:$D$296,3,FALSE),"")</f>
        <v>2240</v>
      </c>
      <c r="AP73" s="1">
        <f>IF(AB73&lt;&gt;"",VLOOKUP(AB73,[1]道具ID!$B$206:$D$296,3,FALSE),"")</f>
        <v>2260</v>
      </c>
      <c r="AQ73" s="1">
        <f>IF(AC73&lt;&gt;"",VLOOKUP(AC73,[1]道具ID!$B$206:$D$296,3,FALSE),"")</f>
        <v>2320</v>
      </c>
      <c r="AR73" s="1">
        <f>IF(AD73&lt;&gt;"",VLOOKUP(AD73,[1]道具ID!$B$206:$D$296,3,FALSE),"")</f>
        <v>2340</v>
      </c>
      <c r="AS73" s="1">
        <f>IF(AE73&lt;&gt;"",VLOOKUP(AE73,[1]道具ID!$B$206:$D$296,3,FALSE),"")</f>
        <v>2360</v>
      </c>
      <c r="AV73" s="1" t="str">
        <f t="shared" si="6"/>
        <v>[2120,2140,2160,2220,2240,2260,2320,2340,2360]</v>
      </c>
    </row>
    <row r="74" spans="2:48" x14ac:dyDescent="0.3">
      <c r="B74" s="2">
        <v>5</v>
      </c>
      <c r="C74" s="2" t="s">
        <v>443</v>
      </c>
      <c r="D74" s="2" t="s">
        <v>443</v>
      </c>
      <c r="E74" s="2" t="s">
        <v>443</v>
      </c>
      <c r="F74" s="2" t="s">
        <v>443</v>
      </c>
      <c r="G74" s="2" t="s">
        <v>443</v>
      </c>
      <c r="H74" s="2" t="s">
        <v>443</v>
      </c>
      <c r="I74" s="2" t="s">
        <v>443</v>
      </c>
      <c r="J74" s="2" t="s">
        <v>443</v>
      </c>
      <c r="K74" s="2" t="s">
        <v>443</v>
      </c>
      <c r="L74" s="2" t="s">
        <v>443</v>
      </c>
      <c r="M74" s="2" t="s">
        <v>443</v>
      </c>
      <c r="N74" s="2" t="s">
        <v>443</v>
      </c>
      <c r="O74" s="2" t="s">
        <v>443</v>
      </c>
      <c r="P74" s="2" t="s">
        <v>443</v>
      </c>
      <c r="Q74" s="2" t="s">
        <v>443</v>
      </c>
      <c r="R74" s="2" t="s">
        <v>443</v>
      </c>
      <c r="S74" s="2" t="s">
        <v>443</v>
      </c>
      <c r="T74" s="2" t="s">
        <v>443</v>
      </c>
      <c r="V74" s="2">
        <v>5</v>
      </c>
      <c r="W74" s="2"/>
      <c r="X74" s="2"/>
      <c r="Y74" s="2"/>
      <c r="Z74" s="2"/>
      <c r="AA74" s="2"/>
      <c r="AB74" s="2"/>
      <c r="AC74" s="2"/>
      <c r="AD74" s="2"/>
      <c r="AE74" s="2"/>
      <c r="AG74" s="1" t="str">
        <f>IF(W74&lt;&gt;"",VLOOKUP(W74,[1]道具ID!$B$206:$D$296,3,FALSE),"")</f>
        <v/>
      </c>
      <c r="AI74" s="1" t="str">
        <f>IF(X74&lt;&gt;"",VLOOKUP(X74,[1]道具ID!$B$206:$D$296,3,FALSE),"")</f>
        <v/>
      </c>
      <c r="AK74" s="1" t="str">
        <f>IF(Y74&lt;&gt;"",VLOOKUP(Y74,[1]道具ID!$B$206:$D$296,3,FALSE),"")</f>
        <v/>
      </c>
      <c r="AM74" s="1" t="str">
        <f>IF(Z74&lt;&gt;"",VLOOKUP(Z74,[1]道具ID!$B$206:$D$296,3,FALSE),"")</f>
        <v/>
      </c>
      <c r="AO74" s="1" t="str">
        <f>IF(AA74&lt;&gt;"",VLOOKUP(AA74,[1]道具ID!$B$206:$D$296,3,FALSE),"")</f>
        <v/>
      </c>
      <c r="AP74" s="1" t="str">
        <f>IF(AB74&lt;&gt;"",VLOOKUP(AB74,[1]道具ID!$B$206:$D$296,3,FALSE),"")</f>
        <v/>
      </c>
      <c r="AQ74" s="1" t="str">
        <f>IF(AC74&lt;&gt;"",VLOOKUP(AC74,[1]道具ID!$B$206:$D$296,3,FALSE),"")</f>
        <v/>
      </c>
      <c r="AR74" s="1" t="str">
        <f>IF(AD74&lt;&gt;"",VLOOKUP(AD74,[1]道具ID!$B$206:$D$296,3,FALSE),"")</f>
        <v/>
      </c>
      <c r="AS74" s="1" t="str">
        <f>IF(AE74&lt;&gt;"",VLOOKUP(AE74,[1]道具ID!$B$206:$D$296,3,FALSE),"")</f>
        <v/>
      </c>
    </row>
    <row r="75" spans="2:48" x14ac:dyDescent="0.3">
      <c r="B75" s="2">
        <v>6</v>
      </c>
      <c r="C75" s="2" t="s">
        <v>462</v>
      </c>
      <c r="D75" s="2" t="s">
        <v>443</v>
      </c>
      <c r="E75" s="2" t="s">
        <v>462</v>
      </c>
      <c r="F75" s="2" t="s">
        <v>443</v>
      </c>
      <c r="G75" s="2" t="s">
        <v>462</v>
      </c>
      <c r="H75" s="2" t="s">
        <v>443</v>
      </c>
      <c r="I75" s="2" t="s">
        <v>462</v>
      </c>
      <c r="J75" s="2" t="s">
        <v>443</v>
      </c>
      <c r="K75" s="2" t="s">
        <v>462</v>
      </c>
      <c r="L75" s="2" t="s">
        <v>443</v>
      </c>
      <c r="M75" s="2" t="s">
        <v>462</v>
      </c>
      <c r="N75" s="2" t="s">
        <v>443</v>
      </c>
      <c r="O75" s="2" t="s">
        <v>462</v>
      </c>
      <c r="P75" s="2" t="s">
        <v>443</v>
      </c>
      <c r="Q75" s="2" t="s">
        <v>462</v>
      </c>
      <c r="R75" s="2" t="s">
        <v>443</v>
      </c>
      <c r="S75" s="2" t="s">
        <v>462</v>
      </c>
      <c r="T75" s="2" t="s">
        <v>443</v>
      </c>
      <c r="V75" s="2">
        <v>6</v>
      </c>
      <c r="W75" s="2" t="s">
        <v>463</v>
      </c>
      <c r="X75" s="2" t="s">
        <v>464</v>
      </c>
      <c r="Y75" s="2" t="s">
        <v>465</v>
      </c>
      <c r="Z75" s="2" t="s">
        <v>466</v>
      </c>
      <c r="AA75" s="2" t="s">
        <v>467</v>
      </c>
      <c r="AB75" s="2" t="s">
        <v>468</v>
      </c>
      <c r="AC75" s="2" t="s">
        <v>469</v>
      </c>
      <c r="AD75" s="2" t="s">
        <v>470</v>
      </c>
      <c r="AE75" s="2" t="s">
        <v>471</v>
      </c>
      <c r="AG75" s="1">
        <f>IF(W75&lt;&gt;"",VLOOKUP(W75,[1]道具ID!$B$206:$D$296,3,FALSE),"")</f>
        <v>3110</v>
      </c>
      <c r="AI75" s="1">
        <f>IF(X75&lt;&gt;"",VLOOKUP(X75,[1]道具ID!$B$206:$D$296,3,FALSE),"")</f>
        <v>3130</v>
      </c>
      <c r="AK75" s="1">
        <f>IF(Y75&lt;&gt;"",VLOOKUP(Y75,[1]道具ID!$B$206:$D$296,3,FALSE),"")</f>
        <v>3150</v>
      </c>
      <c r="AM75" s="1">
        <f>IF(Z75&lt;&gt;"",VLOOKUP(Z75,[1]道具ID!$B$206:$D$296,3,FALSE),"")</f>
        <v>3210</v>
      </c>
      <c r="AO75" s="1">
        <f>IF(AA75&lt;&gt;"",VLOOKUP(AA75,[1]道具ID!$B$206:$D$296,3,FALSE),"")</f>
        <v>3230</v>
      </c>
      <c r="AP75" s="1">
        <f>IF(AB75&lt;&gt;"",VLOOKUP(AB75,[1]道具ID!$B$206:$D$296,3,FALSE),"")</f>
        <v>3250</v>
      </c>
      <c r="AQ75" s="1">
        <f>IF(AC75&lt;&gt;"",VLOOKUP(AC75,[1]道具ID!$B$206:$D$296,3,FALSE),"")</f>
        <v>3310</v>
      </c>
      <c r="AR75" s="1">
        <f>IF(AD75&lt;&gt;"",VLOOKUP(AD75,[1]道具ID!$B$206:$D$296,3,FALSE),"")</f>
        <v>3330</v>
      </c>
      <c r="AS75" s="1">
        <f>IF(AE75&lt;&gt;"",VLOOKUP(AE75,[1]道具ID!$B$206:$D$296,3,FALSE),"")</f>
        <v>3350</v>
      </c>
      <c r="AV75" s="1" t="str">
        <f t="shared" si="6"/>
        <v>[3110,3130,3150,3210,3230,3250,3310,3330,3350]</v>
      </c>
    </row>
    <row r="76" spans="2:48" x14ac:dyDescent="0.3">
      <c r="B76" s="2">
        <v>7</v>
      </c>
      <c r="C76" s="2" t="s">
        <v>462</v>
      </c>
      <c r="D76" s="2" t="s">
        <v>462</v>
      </c>
      <c r="E76" s="2" t="s">
        <v>462</v>
      </c>
      <c r="F76" s="2" t="s">
        <v>462</v>
      </c>
      <c r="G76" s="2" t="s">
        <v>462</v>
      </c>
      <c r="H76" s="2" t="s">
        <v>462</v>
      </c>
      <c r="I76" s="2" t="s">
        <v>462</v>
      </c>
      <c r="J76" s="2" t="s">
        <v>462</v>
      </c>
      <c r="K76" s="2" t="s">
        <v>462</v>
      </c>
      <c r="L76" s="2" t="s">
        <v>462</v>
      </c>
      <c r="M76" s="2" t="s">
        <v>462</v>
      </c>
      <c r="N76" s="2" t="s">
        <v>462</v>
      </c>
      <c r="O76" s="2" t="s">
        <v>462</v>
      </c>
      <c r="P76" s="2" t="s">
        <v>462</v>
      </c>
      <c r="Q76" s="2" t="s">
        <v>462</v>
      </c>
      <c r="R76" s="2" t="s">
        <v>462</v>
      </c>
      <c r="S76" s="2" t="s">
        <v>462</v>
      </c>
      <c r="T76" s="2" t="s">
        <v>462</v>
      </c>
      <c r="V76" s="2">
        <v>7</v>
      </c>
      <c r="W76" s="2" t="s">
        <v>472</v>
      </c>
      <c r="X76" s="2" t="s">
        <v>473</v>
      </c>
      <c r="Y76" s="2" t="s">
        <v>474</v>
      </c>
      <c r="Z76" s="2" t="s">
        <v>475</v>
      </c>
      <c r="AA76" s="2" t="s">
        <v>476</v>
      </c>
      <c r="AB76" s="2" t="s">
        <v>477</v>
      </c>
      <c r="AC76" s="2" t="s">
        <v>478</v>
      </c>
      <c r="AD76" s="2" t="s">
        <v>479</v>
      </c>
      <c r="AE76" s="2" t="s">
        <v>480</v>
      </c>
      <c r="AG76" s="1">
        <f>IF(W76&lt;&gt;"",VLOOKUP(W76,[1]道具ID!$B$206:$D$296,3,FALSE),"")</f>
        <v>3120</v>
      </c>
      <c r="AI76" s="1">
        <f>IF(X76&lt;&gt;"",VLOOKUP(X76,[1]道具ID!$B$206:$D$296,3,FALSE),"")</f>
        <v>3140</v>
      </c>
      <c r="AK76" s="1">
        <f>IF(Y76&lt;&gt;"",VLOOKUP(Y76,[1]道具ID!$B$206:$D$296,3,FALSE),"")</f>
        <v>3160</v>
      </c>
      <c r="AM76" s="1">
        <f>IF(Z76&lt;&gt;"",VLOOKUP(Z76,[1]道具ID!$B$206:$D$296,3,FALSE),"")</f>
        <v>3220</v>
      </c>
      <c r="AO76" s="1">
        <f>IF(AA76&lt;&gt;"",VLOOKUP(AA76,[1]道具ID!$B$206:$D$296,3,FALSE),"")</f>
        <v>3240</v>
      </c>
      <c r="AP76" s="1">
        <f>IF(AB76&lt;&gt;"",VLOOKUP(AB76,[1]道具ID!$B$206:$D$296,3,FALSE),"")</f>
        <v>3260</v>
      </c>
      <c r="AQ76" s="1">
        <f>IF(AC76&lt;&gt;"",VLOOKUP(AC76,[1]道具ID!$B$206:$D$296,3,FALSE),"")</f>
        <v>3320</v>
      </c>
      <c r="AR76" s="1">
        <f>IF(AD76&lt;&gt;"",VLOOKUP(AD76,[1]道具ID!$B$206:$D$296,3,FALSE),"")</f>
        <v>3340</v>
      </c>
      <c r="AS76" s="1">
        <f>IF(AE76&lt;&gt;"",VLOOKUP(AE76,[1]道具ID!$B$206:$D$296,3,FALSE),"")</f>
        <v>3360</v>
      </c>
      <c r="AV76" s="1" t="str">
        <f t="shared" si="6"/>
        <v>[3120,3140,3160,3220,3240,3260,3320,3340,3360]</v>
      </c>
    </row>
    <row r="77" spans="2:48" x14ac:dyDescent="0.3">
      <c r="B77" s="2">
        <v>8</v>
      </c>
      <c r="C77" s="2" t="s">
        <v>462</v>
      </c>
      <c r="D77" s="2" t="s">
        <v>462</v>
      </c>
      <c r="E77" s="2" t="s">
        <v>462</v>
      </c>
      <c r="F77" s="2" t="s">
        <v>462</v>
      </c>
      <c r="G77" s="2" t="s">
        <v>462</v>
      </c>
      <c r="H77" s="2" t="s">
        <v>462</v>
      </c>
      <c r="I77" s="2" t="s">
        <v>462</v>
      </c>
      <c r="J77" s="2" t="s">
        <v>462</v>
      </c>
      <c r="K77" s="2" t="s">
        <v>462</v>
      </c>
      <c r="L77" s="2" t="s">
        <v>462</v>
      </c>
      <c r="M77" s="2" t="s">
        <v>462</v>
      </c>
      <c r="N77" s="2" t="s">
        <v>462</v>
      </c>
      <c r="O77" s="2" t="s">
        <v>462</v>
      </c>
      <c r="P77" s="2" t="s">
        <v>462</v>
      </c>
      <c r="Q77" s="2" t="s">
        <v>462</v>
      </c>
      <c r="R77" s="2" t="s">
        <v>462</v>
      </c>
      <c r="S77" s="2" t="s">
        <v>462</v>
      </c>
      <c r="T77" s="2" t="s">
        <v>462</v>
      </c>
      <c r="V77" s="2">
        <v>8</v>
      </c>
      <c r="W77" s="2"/>
      <c r="X77" s="2"/>
      <c r="Y77" s="2"/>
      <c r="Z77" s="2"/>
      <c r="AA77" s="2"/>
      <c r="AB77" s="2"/>
      <c r="AC77" s="2"/>
      <c r="AD77" s="2"/>
      <c r="AE77" s="2"/>
      <c r="AG77" s="1" t="str">
        <f>IF(W77&lt;&gt;"",VLOOKUP(W77,[1]道具ID!$B$206:$D$296,3,FALSE),"")</f>
        <v/>
      </c>
      <c r="AI77" s="1" t="str">
        <f>IF(X77&lt;&gt;"",VLOOKUP(X77,[1]道具ID!$B$206:$D$296,3,FALSE),"")</f>
        <v/>
      </c>
      <c r="AK77" s="1" t="str">
        <f>IF(Y77&lt;&gt;"",VLOOKUP(Y77,[1]道具ID!$B$206:$D$296,3,FALSE),"")</f>
        <v/>
      </c>
      <c r="AM77" s="1" t="str">
        <f>IF(Z77&lt;&gt;"",VLOOKUP(Z77,[1]道具ID!$B$206:$D$296,3,FALSE),"")</f>
        <v/>
      </c>
      <c r="AO77" s="1" t="str">
        <f>IF(AA77&lt;&gt;"",VLOOKUP(AA77,[1]道具ID!$B$206:$D$296,3,FALSE),"")</f>
        <v/>
      </c>
      <c r="AP77" s="1" t="str">
        <f>IF(AB77&lt;&gt;"",VLOOKUP(AB77,[1]道具ID!$B$206:$D$296,3,FALSE),"")</f>
        <v/>
      </c>
      <c r="AQ77" s="1" t="str">
        <f>IF(AC77&lt;&gt;"",VLOOKUP(AC77,[1]道具ID!$B$206:$D$296,3,FALSE),"")</f>
        <v/>
      </c>
      <c r="AR77" s="1" t="str">
        <f>IF(AD77&lt;&gt;"",VLOOKUP(AD77,[1]道具ID!$B$206:$D$296,3,FALSE),"")</f>
        <v/>
      </c>
      <c r="AS77" s="1" t="str">
        <f>IF(AE77&lt;&gt;"",VLOOKUP(AE77,[1]道具ID!$B$206:$D$296,3,FALSE),"")</f>
        <v/>
      </c>
    </row>
    <row r="78" spans="2:48" x14ac:dyDescent="0.3">
      <c r="B78" s="2">
        <v>9</v>
      </c>
      <c r="C78" s="2" t="s">
        <v>462</v>
      </c>
      <c r="D78" s="2" t="s">
        <v>462</v>
      </c>
      <c r="E78" s="2" t="s">
        <v>462</v>
      </c>
      <c r="F78" s="2" t="s">
        <v>462</v>
      </c>
      <c r="G78" s="2" t="s">
        <v>462</v>
      </c>
      <c r="H78" s="2" t="s">
        <v>462</v>
      </c>
      <c r="I78" s="2" t="s">
        <v>462</v>
      </c>
      <c r="J78" s="2" t="s">
        <v>462</v>
      </c>
      <c r="K78" s="2" t="s">
        <v>462</v>
      </c>
      <c r="L78" s="2" t="s">
        <v>462</v>
      </c>
      <c r="M78" s="2" t="s">
        <v>462</v>
      </c>
      <c r="N78" s="2" t="s">
        <v>462</v>
      </c>
      <c r="O78" s="2" t="s">
        <v>462</v>
      </c>
      <c r="P78" s="2" t="s">
        <v>462</v>
      </c>
      <c r="Q78" s="2" t="s">
        <v>462</v>
      </c>
      <c r="R78" s="2" t="s">
        <v>462</v>
      </c>
      <c r="S78" s="2" t="s">
        <v>462</v>
      </c>
      <c r="T78" s="2" t="s">
        <v>462</v>
      </c>
      <c r="V78" s="2">
        <v>9</v>
      </c>
      <c r="W78" s="2"/>
      <c r="X78" s="2"/>
      <c r="Y78" s="2"/>
      <c r="Z78" s="2"/>
      <c r="AA78" s="2"/>
      <c r="AB78" s="2"/>
      <c r="AC78" s="2"/>
      <c r="AD78" s="2"/>
      <c r="AE78" s="2"/>
      <c r="AG78" s="1" t="str">
        <f>IF(W78&lt;&gt;"",VLOOKUP(W78,[1]道具ID!$B$206:$D$296,3,FALSE),"")</f>
        <v/>
      </c>
      <c r="AI78" s="1" t="str">
        <f>IF(X78&lt;&gt;"",VLOOKUP(X78,[1]道具ID!$B$206:$D$296,3,FALSE),"")</f>
        <v/>
      </c>
      <c r="AK78" s="1" t="str">
        <f>IF(Y78&lt;&gt;"",VLOOKUP(Y78,[1]道具ID!$B$206:$D$296,3,FALSE),"")</f>
        <v/>
      </c>
      <c r="AM78" s="1" t="str">
        <f>IF(Z78&lt;&gt;"",VLOOKUP(Z78,[1]道具ID!$B$206:$D$296,3,FALSE),"")</f>
        <v/>
      </c>
      <c r="AO78" s="1" t="str">
        <f>IF(AA78&lt;&gt;"",VLOOKUP(AA78,[1]道具ID!$B$206:$D$296,3,FALSE),"")</f>
        <v/>
      </c>
      <c r="AP78" s="1" t="str">
        <f>IF(AB78&lt;&gt;"",VLOOKUP(AB78,[1]道具ID!$B$206:$D$296,3,FALSE),"")</f>
        <v/>
      </c>
      <c r="AQ78" s="1" t="str">
        <f>IF(AC78&lt;&gt;"",VLOOKUP(AC78,[1]道具ID!$B$206:$D$296,3,FALSE),"")</f>
        <v/>
      </c>
      <c r="AR78" s="1" t="str">
        <f>IF(AD78&lt;&gt;"",VLOOKUP(AD78,[1]道具ID!$B$206:$D$296,3,FALSE),"")</f>
        <v/>
      </c>
      <c r="AS78" s="1" t="str">
        <f>IF(AE78&lt;&gt;"",VLOOKUP(AE78,[1]道具ID!$B$206:$D$296,3,FALSE),"")</f>
        <v/>
      </c>
    </row>
    <row r="79" spans="2:48" x14ac:dyDescent="0.3">
      <c r="B79" s="2">
        <v>10</v>
      </c>
      <c r="C79" s="2" t="s">
        <v>462</v>
      </c>
      <c r="D79" s="2" t="s">
        <v>462</v>
      </c>
      <c r="E79" s="2" t="s">
        <v>462</v>
      </c>
      <c r="F79" s="2" t="s">
        <v>462</v>
      </c>
      <c r="G79" s="2" t="s">
        <v>462</v>
      </c>
      <c r="H79" s="2" t="s">
        <v>462</v>
      </c>
      <c r="I79" s="2" t="s">
        <v>462</v>
      </c>
      <c r="J79" s="2" t="s">
        <v>462</v>
      </c>
      <c r="K79" s="2" t="s">
        <v>462</v>
      </c>
      <c r="L79" s="2" t="s">
        <v>462</v>
      </c>
      <c r="M79" s="2" t="s">
        <v>462</v>
      </c>
      <c r="N79" s="2" t="s">
        <v>462</v>
      </c>
      <c r="O79" s="2" t="s">
        <v>462</v>
      </c>
      <c r="P79" s="2" t="s">
        <v>462</v>
      </c>
      <c r="Q79" s="2" t="s">
        <v>462</v>
      </c>
      <c r="R79" s="2" t="s">
        <v>462</v>
      </c>
      <c r="S79" s="2" t="s">
        <v>462</v>
      </c>
      <c r="T79" s="2" t="s">
        <v>462</v>
      </c>
      <c r="V79" s="2">
        <v>10</v>
      </c>
      <c r="W79" s="2"/>
      <c r="X79" s="2"/>
      <c r="Y79" s="2"/>
      <c r="Z79" s="2"/>
      <c r="AA79" s="2"/>
      <c r="AB79" s="2"/>
      <c r="AC79" s="2"/>
      <c r="AD79" s="2"/>
      <c r="AE79" s="2"/>
      <c r="AG79" s="1" t="str">
        <f>IF(W79&lt;&gt;"",VLOOKUP(W79,[1]道具ID!$B$206:$D$296,3,FALSE),"")</f>
        <v/>
      </c>
      <c r="AI79" s="1" t="str">
        <f>IF(X79&lt;&gt;"",VLOOKUP(X79,[1]道具ID!$B$206:$D$296,3,FALSE),"")</f>
        <v/>
      </c>
      <c r="AK79" s="1" t="str">
        <f>IF(Y79&lt;&gt;"",VLOOKUP(Y79,[1]道具ID!$B$206:$D$296,3,FALSE),"")</f>
        <v/>
      </c>
      <c r="AM79" s="1" t="str">
        <f>IF(Z79&lt;&gt;"",VLOOKUP(Z79,[1]道具ID!$B$206:$D$296,3,FALSE),"")</f>
        <v/>
      </c>
      <c r="AO79" s="1" t="str">
        <f>IF(AA79&lt;&gt;"",VLOOKUP(AA79,[1]道具ID!$B$206:$D$296,3,FALSE),"")</f>
        <v/>
      </c>
      <c r="AP79" s="1" t="str">
        <f>IF(AB79&lt;&gt;"",VLOOKUP(AB79,[1]道具ID!$B$206:$D$296,3,FALSE),"")</f>
        <v/>
      </c>
      <c r="AQ79" s="1" t="str">
        <f>IF(AC79&lt;&gt;"",VLOOKUP(AC79,[1]道具ID!$B$206:$D$296,3,FALSE),"")</f>
        <v/>
      </c>
      <c r="AR79" s="1" t="str">
        <f>IF(AD79&lt;&gt;"",VLOOKUP(AD79,[1]道具ID!$B$206:$D$296,3,FALSE),"")</f>
        <v/>
      </c>
      <c r="AS79" s="1" t="str">
        <f>IF(AE79&lt;&gt;"",VLOOKUP(AE79,[1]道具ID!$B$206:$D$296,3,FALSE),"")</f>
        <v/>
      </c>
    </row>
    <row r="80" spans="2:48" x14ac:dyDescent="0.3">
      <c r="R80" s="25"/>
    </row>
    <row r="81" spans="2:31" x14ac:dyDescent="0.3">
      <c r="B81" s="25"/>
      <c r="C81" s="25"/>
      <c r="R81" s="25"/>
    </row>
    <row r="82" spans="2:31" x14ac:dyDescent="0.3">
      <c r="B82" s="2" t="s">
        <v>377</v>
      </c>
      <c r="C82" s="2" t="s">
        <v>481</v>
      </c>
      <c r="D82" s="2" t="s">
        <v>482</v>
      </c>
      <c r="E82" s="2" t="s">
        <v>483</v>
      </c>
      <c r="F82" s="2" t="s">
        <v>484</v>
      </c>
      <c r="G82" s="2" t="s">
        <v>485</v>
      </c>
      <c r="H82" s="2" t="s">
        <v>486</v>
      </c>
      <c r="I82" s="2" t="s">
        <v>487</v>
      </c>
      <c r="J82" s="2" t="s">
        <v>488</v>
      </c>
      <c r="K82" s="2" t="s">
        <v>489</v>
      </c>
      <c r="L82" s="2" t="s">
        <v>490</v>
      </c>
      <c r="M82" s="2" t="s">
        <v>491</v>
      </c>
      <c r="N82" s="2" t="s">
        <v>492</v>
      </c>
      <c r="P82" s="351" t="s">
        <v>493</v>
      </c>
      <c r="Q82" s="351"/>
      <c r="R82" s="351"/>
      <c r="S82" s="351"/>
      <c r="T82" s="351"/>
      <c r="U82" s="351"/>
      <c r="V82" s="351"/>
      <c r="W82" s="351"/>
      <c r="X82" s="351"/>
      <c r="Y82" s="351"/>
      <c r="Z82" s="351"/>
      <c r="AA82" s="351"/>
      <c r="AB82" s="351"/>
      <c r="AC82" s="351"/>
      <c r="AD82" s="351"/>
      <c r="AE82" s="351"/>
    </row>
    <row r="83" spans="2:31" x14ac:dyDescent="0.3">
      <c r="B83" s="2">
        <v>1</v>
      </c>
      <c r="C83" s="2" t="s">
        <v>494</v>
      </c>
      <c r="D83" s="21">
        <v>1</v>
      </c>
      <c r="E83" s="21">
        <v>600</v>
      </c>
      <c r="F83" s="33">
        <f>MROUND(([1]游戏时长规划!H3*E83+(1-[1]游戏时长规划!H3)*M83+N83)*[1]游戏时长规划!G3,10)</f>
        <v>3230</v>
      </c>
      <c r="G83" s="42">
        <f>200</f>
        <v>200</v>
      </c>
      <c r="H83" s="42">
        <f>G83*$N$16</f>
        <v>9333.3333333333267</v>
      </c>
      <c r="I83" s="42">
        <f>$N$14*G83*MIN([1]游戏时长规划!$G3,$C$5)/$C$5</f>
        <v>5999.9999999999754</v>
      </c>
      <c r="J83" s="42">
        <f t="shared" ref="J83:J106" si="7">G83*$N$15</f>
        <v>2000</v>
      </c>
      <c r="K83" s="42">
        <f t="shared" ref="K83:K106" si="8">G83*$N$17</f>
        <v>1083.3333333333339</v>
      </c>
      <c r="L83" s="42">
        <f>H83+I83+J83+K83</f>
        <v>18416.666666666635</v>
      </c>
      <c r="M83" s="21">
        <v>300</v>
      </c>
      <c r="N83" s="2">
        <f>MROUND(M83*0.6,10)</f>
        <v>180</v>
      </c>
      <c r="P83" s="39" t="s">
        <v>377</v>
      </c>
      <c r="Q83" s="39" t="s">
        <v>378</v>
      </c>
      <c r="R83" s="39" t="s">
        <v>379</v>
      </c>
      <c r="S83" s="39" t="s">
        <v>380</v>
      </c>
      <c r="T83" s="39" t="s">
        <v>381</v>
      </c>
      <c r="U83" s="39" t="s">
        <v>382</v>
      </c>
      <c r="V83" s="39" t="s">
        <v>383</v>
      </c>
      <c r="W83" s="39" t="s">
        <v>384</v>
      </c>
      <c r="X83" s="39" t="s">
        <v>385</v>
      </c>
      <c r="Y83" s="39" t="s">
        <v>386</v>
      </c>
      <c r="Z83" s="2" t="s">
        <v>387</v>
      </c>
      <c r="AA83" s="2" t="s">
        <v>388</v>
      </c>
      <c r="AB83" s="2" t="s">
        <v>389</v>
      </c>
      <c r="AC83" s="2" t="s">
        <v>495</v>
      </c>
      <c r="AD83" s="2" t="s">
        <v>496</v>
      </c>
      <c r="AE83" s="2" t="s">
        <v>497</v>
      </c>
    </row>
    <row r="84" spans="2:31" x14ac:dyDescent="0.3">
      <c r="B84" s="2">
        <v>2</v>
      </c>
      <c r="C84" s="2" t="s">
        <v>494</v>
      </c>
      <c r="D84" s="21">
        <v>1.08</v>
      </c>
      <c r="E84" s="2">
        <f>ROUND($E$83*D84/10,0)*10</f>
        <v>650</v>
      </c>
      <c r="F84" s="33">
        <f>MROUND(([1]游戏时长规划!H4*E84+(1-[1]游戏时长规划!H4)*M84+N84)*[1]游戏时长规划!G4,10)</f>
        <v>5650</v>
      </c>
      <c r="G84" s="42">
        <f>$I$48*D84</f>
        <v>216</v>
      </c>
      <c r="H84" s="42">
        <f t="shared" ref="H84:H106" si="9">G84*$N$16</f>
        <v>10079.999999999993</v>
      </c>
      <c r="I84" s="42">
        <f>$N$14*G84*MIN([1]游戏时长规划!$G4,$C$5)/$C$5</f>
        <v>10367.999999999956</v>
      </c>
      <c r="J84" s="42">
        <f t="shared" si="7"/>
        <v>2160</v>
      </c>
      <c r="K84" s="42">
        <f t="shared" si="8"/>
        <v>1170.0000000000007</v>
      </c>
      <c r="L84" s="42">
        <f t="shared" ref="L84:L106" si="10">H84+I84+J84+K84</f>
        <v>23777.999999999949</v>
      </c>
      <c r="M84" s="2">
        <f t="shared" ref="M84:M106" si="11">ROUNDUP($M$83*D84/10,0)*10</f>
        <v>330</v>
      </c>
      <c r="N84" s="2">
        <f>MROUND(M84*0.6,10)</f>
        <v>200</v>
      </c>
      <c r="P84" s="2">
        <v>1</v>
      </c>
      <c r="Q84" s="21">
        <v>0.5</v>
      </c>
      <c r="R84" s="21">
        <v>0</v>
      </c>
      <c r="S84" s="21">
        <v>0</v>
      </c>
      <c r="T84" s="21">
        <v>0</v>
      </c>
      <c r="U84" s="21">
        <v>0</v>
      </c>
      <c r="V84" s="21">
        <v>0</v>
      </c>
      <c r="W84" s="21">
        <v>0</v>
      </c>
      <c r="X84" s="21">
        <v>0</v>
      </c>
      <c r="Y84" s="21">
        <v>0</v>
      </c>
      <c r="Z84" s="21">
        <v>0</v>
      </c>
      <c r="AA84" s="21">
        <v>0</v>
      </c>
      <c r="AB84" s="21">
        <v>0</v>
      </c>
      <c r="AC84" s="21">
        <v>0.5</v>
      </c>
      <c r="AD84" s="21">
        <v>0</v>
      </c>
      <c r="AE84" s="21">
        <v>0</v>
      </c>
    </row>
    <row r="85" spans="2:31" x14ac:dyDescent="0.3">
      <c r="B85" s="2">
        <v>3</v>
      </c>
      <c r="C85" s="2" t="s">
        <v>494</v>
      </c>
      <c r="D85" s="21">
        <v>1.17</v>
      </c>
      <c r="E85" s="2">
        <f t="shared" ref="E85:E106" si="12">ROUND($E$83*D85/10,0)*10</f>
        <v>700</v>
      </c>
      <c r="F85" s="33">
        <f>MROUND(([1]游戏时长规划!H5*E85+(1-[1]游戏时长规划!H5)*M85+N85)*[1]游戏时长规划!G5,10)</f>
        <v>7670</v>
      </c>
      <c r="G85" s="42">
        <f t="shared" ref="G85:G95" si="13">$I$48*D85</f>
        <v>234</v>
      </c>
      <c r="H85" s="42">
        <f t="shared" si="9"/>
        <v>10919.999999999993</v>
      </c>
      <c r="I85" s="42">
        <f>$N$14*G85*MIN([1]游戏时长规划!$G5,$C$5)/$C$5</f>
        <v>14039.999999999942</v>
      </c>
      <c r="J85" s="42">
        <f t="shared" si="7"/>
        <v>2340</v>
      </c>
      <c r="K85" s="42">
        <f t="shared" si="8"/>
        <v>1267.5000000000007</v>
      </c>
      <c r="L85" s="42">
        <f t="shared" si="10"/>
        <v>28567.499999999935</v>
      </c>
      <c r="M85" s="2">
        <f t="shared" si="11"/>
        <v>360</v>
      </c>
      <c r="N85" s="2">
        <f t="shared" ref="N85:N106" si="14">MROUND(M85*0.6,10)</f>
        <v>220</v>
      </c>
      <c r="P85" s="2">
        <v>2</v>
      </c>
      <c r="Q85" s="21">
        <v>0.25</v>
      </c>
      <c r="R85" s="21">
        <v>0.25</v>
      </c>
      <c r="S85" s="21">
        <v>0</v>
      </c>
      <c r="T85" s="21">
        <v>0</v>
      </c>
      <c r="U85" s="21">
        <v>0</v>
      </c>
      <c r="V85" s="21">
        <v>0</v>
      </c>
      <c r="W85" s="21">
        <v>0</v>
      </c>
      <c r="X85" s="21">
        <v>0</v>
      </c>
      <c r="Y85" s="21">
        <v>0</v>
      </c>
      <c r="Z85" s="21">
        <v>0</v>
      </c>
      <c r="AA85" s="21">
        <v>0</v>
      </c>
      <c r="AB85" s="21">
        <v>0</v>
      </c>
      <c r="AC85" s="21">
        <v>0.5</v>
      </c>
      <c r="AD85" s="21">
        <v>0</v>
      </c>
      <c r="AE85" s="21">
        <v>0</v>
      </c>
    </row>
    <row r="86" spans="2:31" x14ac:dyDescent="0.3">
      <c r="B86" s="2">
        <v>4</v>
      </c>
      <c r="C86" s="2" t="s">
        <v>494</v>
      </c>
      <c r="D86" s="21">
        <v>1.25</v>
      </c>
      <c r="E86" s="2">
        <f t="shared" si="12"/>
        <v>750</v>
      </c>
      <c r="F86" s="33">
        <f>MROUND(([1]游戏时长规划!H6*E86+(1-[1]游戏时长规划!H6)*M86+N86)*[1]游戏时长规划!G6,10)</f>
        <v>9760</v>
      </c>
      <c r="G86" s="42">
        <f t="shared" si="13"/>
        <v>250</v>
      </c>
      <c r="H86" s="42">
        <f t="shared" si="9"/>
        <v>11666.666666666659</v>
      </c>
      <c r="I86" s="42">
        <f>$N$14*G86*MIN([1]游戏时长规划!$G6,$C$5)/$C$5</f>
        <v>14999.999999999938</v>
      </c>
      <c r="J86" s="42">
        <f t="shared" si="7"/>
        <v>2500</v>
      </c>
      <c r="K86" s="42">
        <f t="shared" si="8"/>
        <v>1354.1666666666674</v>
      </c>
      <c r="L86" s="42">
        <f t="shared" si="10"/>
        <v>30520.833333333267</v>
      </c>
      <c r="M86" s="2">
        <f t="shared" si="11"/>
        <v>380</v>
      </c>
      <c r="N86" s="2">
        <f t="shared" si="14"/>
        <v>230</v>
      </c>
      <c r="P86" s="2">
        <v>3</v>
      </c>
      <c r="Q86" s="21">
        <v>0.2</v>
      </c>
      <c r="R86" s="21">
        <v>0.2</v>
      </c>
      <c r="S86" s="21">
        <v>0.2</v>
      </c>
      <c r="T86" s="21">
        <v>0</v>
      </c>
      <c r="U86" s="21">
        <v>0</v>
      </c>
      <c r="V86" s="21">
        <v>0</v>
      </c>
      <c r="W86" s="21">
        <v>0</v>
      </c>
      <c r="X86" s="21">
        <v>0</v>
      </c>
      <c r="Y86" s="21">
        <v>0</v>
      </c>
      <c r="Z86" s="21">
        <v>0</v>
      </c>
      <c r="AA86" s="21">
        <v>0</v>
      </c>
      <c r="AB86" s="21">
        <v>0</v>
      </c>
      <c r="AC86" s="21">
        <v>0.2</v>
      </c>
      <c r="AD86" s="21">
        <v>0.2</v>
      </c>
      <c r="AE86" s="21">
        <v>0</v>
      </c>
    </row>
    <row r="87" spans="2:31" x14ac:dyDescent="0.3">
      <c r="B87" s="2">
        <v>5</v>
      </c>
      <c r="C87" s="2" t="s">
        <v>494</v>
      </c>
      <c r="D87" s="21">
        <v>1.33</v>
      </c>
      <c r="E87" s="2">
        <f t="shared" si="12"/>
        <v>800</v>
      </c>
      <c r="F87" s="33">
        <f>MROUND(([1]游戏时长规划!H7*E87+(1-[1]游戏时长规划!H7)*M87+N87)*[1]游戏时长规划!G7,10)</f>
        <v>12900</v>
      </c>
      <c r="G87" s="42">
        <f t="shared" si="13"/>
        <v>266</v>
      </c>
      <c r="H87" s="42">
        <f t="shared" si="9"/>
        <v>12413.333333333325</v>
      </c>
      <c r="I87" s="42">
        <f>$N$14*G87*MIN([1]游戏时长规划!$G7,$C$5)/$C$5</f>
        <v>15959.999999999936</v>
      </c>
      <c r="J87" s="42">
        <f t="shared" si="7"/>
        <v>2660</v>
      </c>
      <c r="K87" s="42">
        <f t="shared" si="8"/>
        <v>1440.8333333333342</v>
      </c>
      <c r="L87" s="42">
        <f t="shared" si="10"/>
        <v>32474.166666666599</v>
      </c>
      <c r="M87" s="2">
        <f t="shared" si="11"/>
        <v>400</v>
      </c>
      <c r="N87" s="2">
        <f t="shared" si="14"/>
        <v>240</v>
      </c>
      <c r="P87" s="2">
        <v>4</v>
      </c>
      <c r="Q87" s="21">
        <v>0.2</v>
      </c>
      <c r="R87" s="21">
        <v>0.2</v>
      </c>
      <c r="S87" s="21">
        <v>0.2</v>
      </c>
      <c r="T87" s="21">
        <v>0</v>
      </c>
      <c r="U87" s="21">
        <v>0</v>
      </c>
      <c r="V87" s="21">
        <v>0</v>
      </c>
      <c r="W87" s="21">
        <v>0</v>
      </c>
      <c r="X87" s="21">
        <v>0</v>
      </c>
      <c r="Y87" s="21">
        <v>0</v>
      </c>
      <c r="Z87" s="21">
        <v>0</v>
      </c>
      <c r="AA87" s="21">
        <v>0</v>
      </c>
      <c r="AB87" s="21">
        <v>0</v>
      </c>
      <c r="AC87" s="21">
        <v>0.2</v>
      </c>
      <c r="AD87" s="21">
        <v>0.2</v>
      </c>
      <c r="AE87" s="21">
        <v>0</v>
      </c>
    </row>
    <row r="88" spans="2:31" x14ac:dyDescent="0.3">
      <c r="B88" s="2">
        <v>6</v>
      </c>
      <c r="C88" s="2" t="s">
        <v>494</v>
      </c>
      <c r="D88" s="21">
        <v>1.42</v>
      </c>
      <c r="E88" s="2">
        <f t="shared" si="12"/>
        <v>850</v>
      </c>
      <c r="F88" s="33">
        <f>MROUND(([1]游戏时长规划!H8*E88+(1-[1]游戏时长规划!H8)*M88+N88)*[1]游戏时长规划!G8,10)</f>
        <v>16580</v>
      </c>
      <c r="G88" s="42">
        <f t="shared" si="13"/>
        <v>284</v>
      </c>
      <c r="H88" s="42">
        <f t="shared" si="9"/>
        <v>13253.333333333325</v>
      </c>
      <c r="I88" s="42">
        <f>$N$14*G88*MIN([1]游戏时长规划!$G8,$C$5)/$C$5</f>
        <v>17039.999999999931</v>
      </c>
      <c r="J88" s="42">
        <f t="shared" si="7"/>
        <v>2840</v>
      </c>
      <c r="K88" s="42">
        <f t="shared" si="8"/>
        <v>1538.3333333333342</v>
      </c>
      <c r="L88" s="42">
        <f t="shared" si="10"/>
        <v>34671.666666666591</v>
      </c>
      <c r="M88" s="2">
        <f t="shared" si="11"/>
        <v>430</v>
      </c>
      <c r="N88" s="2">
        <f t="shared" si="14"/>
        <v>260</v>
      </c>
      <c r="P88" s="2">
        <v>5</v>
      </c>
      <c r="Q88" s="21">
        <v>0</v>
      </c>
      <c r="R88" s="21">
        <v>0.125</v>
      </c>
      <c r="S88" s="21">
        <v>0.125</v>
      </c>
      <c r="T88" s="21">
        <v>0.125</v>
      </c>
      <c r="U88" s="21">
        <v>0.125</v>
      </c>
      <c r="V88" s="21">
        <v>0</v>
      </c>
      <c r="W88" s="21">
        <v>0</v>
      </c>
      <c r="X88" s="21">
        <v>0</v>
      </c>
      <c r="Y88" s="21">
        <v>0</v>
      </c>
      <c r="Z88" s="21">
        <v>0</v>
      </c>
      <c r="AA88" s="21">
        <v>0</v>
      </c>
      <c r="AB88" s="21">
        <v>0</v>
      </c>
      <c r="AC88" s="21">
        <v>0.25</v>
      </c>
      <c r="AD88" s="21">
        <v>0.25</v>
      </c>
      <c r="AE88" s="21">
        <v>0</v>
      </c>
    </row>
    <row r="89" spans="2:31" x14ac:dyDescent="0.3">
      <c r="B89" s="2">
        <v>7</v>
      </c>
      <c r="C89" s="2" t="s">
        <v>494</v>
      </c>
      <c r="D89" s="21">
        <v>1.5</v>
      </c>
      <c r="E89" s="2">
        <f t="shared" si="12"/>
        <v>900</v>
      </c>
      <c r="F89" s="33">
        <f>MROUND(([1]游戏时长规划!H9*E89+(1-[1]游戏时长规划!H9)*M89+N89)*[1]游戏时长规划!G9,10)</f>
        <v>19350</v>
      </c>
      <c r="G89" s="42">
        <f t="shared" si="13"/>
        <v>300</v>
      </c>
      <c r="H89" s="42">
        <f t="shared" si="9"/>
        <v>13999.999999999991</v>
      </c>
      <c r="I89" s="42">
        <f>$N$14*G89*MIN([1]游戏时长规划!$G9,$C$5)/$C$5</f>
        <v>17999.999999999924</v>
      </c>
      <c r="J89" s="42">
        <f t="shared" si="7"/>
        <v>3000</v>
      </c>
      <c r="K89" s="42">
        <f t="shared" si="8"/>
        <v>1625.0000000000009</v>
      </c>
      <c r="L89" s="42">
        <f t="shared" si="10"/>
        <v>36624.999999999913</v>
      </c>
      <c r="M89" s="2">
        <f t="shared" si="11"/>
        <v>450</v>
      </c>
      <c r="N89" s="2">
        <f t="shared" si="14"/>
        <v>270</v>
      </c>
      <c r="P89" s="2">
        <v>6</v>
      </c>
      <c r="Q89" s="21">
        <v>0</v>
      </c>
      <c r="R89" s="21">
        <v>0.125</v>
      </c>
      <c r="S89" s="21">
        <v>0.125</v>
      </c>
      <c r="T89" s="21">
        <v>0.125</v>
      </c>
      <c r="U89" s="21">
        <v>0.125</v>
      </c>
      <c r="V89" s="21">
        <v>0</v>
      </c>
      <c r="W89" s="21">
        <v>0</v>
      </c>
      <c r="X89" s="21">
        <v>0</v>
      </c>
      <c r="Y89" s="21">
        <v>0</v>
      </c>
      <c r="Z89" s="21">
        <v>0</v>
      </c>
      <c r="AA89" s="21">
        <v>0</v>
      </c>
      <c r="AB89" s="21">
        <v>0</v>
      </c>
      <c r="AC89" s="21">
        <v>0.1</v>
      </c>
      <c r="AD89" s="21">
        <v>0.2</v>
      </c>
      <c r="AE89" s="21">
        <v>0.2</v>
      </c>
    </row>
    <row r="90" spans="2:31" x14ac:dyDescent="0.3">
      <c r="B90" s="2">
        <v>8</v>
      </c>
      <c r="C90" s="2" t="s">
        <v>494</v>
      </c>
      <c r="D90" s="21">
        <v>1.58</v>
      </c>
      <c r="E90" s="2">
        <f t="shared" si="12"/>
        <v>950</v>
      </c>
      <c r="F90" s="33">
        <f>MROUND(([1]游戏时长规划!H10*E90+(1-[1]游戏时长规划!H10)*M90+N90)*[1]游戏时长规划!G10,10)</f>
        <v>25710</v>
      </c>
      <c r="G90" s="42">
        <f t="shared" si="13"/>
        <v>316</v>
      </c>
      <c r="H90" s="42">
        <f t="shared" si="9"/>
        <v>14746.666666666657</v>
      </c>
      <c r="I90" s="42">
        <f>$N$14*G90*MIN([1]游戏时长规划!$G10,$C$5)/$C$5</f>
        <v>18959.99999999992</v>
      </c>
      <c r="J90" s="42">
        <f t="shared" si="7"/>
        <v>3160</v>
      </c>
      <c r="K90" s="42">
        <f t="shared" si="8"/>
        <v>1711.6666666666677</v>
      </c>
      <c r="L90" s="42">
        <f t="shared" si="10"/>
        <v>38578.333333333241</v>
      </c>
      <c r="M90" s="2">
        <f t="shared" si="11"/>
        <v>480</v>
      </c>
      <c r="N90" s="2">
        <f t="shared" si="14"/>
        <v>290</v>
      </c>
      <c r="P90" s="2">
        <v>7</v>
      </c>
      <c r="Q90" s="21">
        <v>0</v>
      </c>
      <c r="R90" s="21">
        <v>0</v>
      </c>
      <c r="S90" s="21">
        <v>0.125</v>
      </c>
      <c r="T90" s="21">
        <v>0.125</v>
      </c>
      <c r="U90" s="21">
        <v>0.125</v>
      </c>
      <c r="V90" s="21">
        <v>0</v>
      </c>
      <c r="W90" s="21">
        <v>0</v>
      </c>
      <c r="X90" s="21">
        <v>0</v>
      </c>
      <c r="Y90" s="21">
        <v>0</v>
      </c>
      <c r="Z90" s="21">
        <v>0</v>
      </c>
      <c r="AA90" s="21">
        <v>0</v>
      </c>
      <c r="AB90" s="21">
        <v>0</v>
      </c>
      <c r="AC90" s="21">
        <v>0.1</v>
      </c>
      <c r="AD90" s="21">
        <v>0.2</v>
      </c>
      <c r="AE90" s="21">
        <v>0.2</v>
      </c>
    </row>
    <row r="91" spans="2:31" x14ac:dyDescent="0.3">
      <c r="B91" s="2">
        <v>9</v>
      </c>
      <c r="C91" s="2" t="s">
        <v>494</v>
      </c>
      <c r="D91" s="21">
        <v>1.67</v>
      </c>
      <c r="E91" s="2">
        <f t="shared" si="12"/>
        <v>1000</v>
      </c>
      <c r="F91" s="33">
        <f>MROUND(([1]游戏时长规划!H11*E91+(1-[1]游戏时长规划!H11)*M91+N91)*[1]游戏时长规划!G11,10)</f>
        <v>32690</v>
      </c>
      <c r="G91" s="42">
        <f t="shared" si="13"/>
        <v>334</v>
      </c>
      <c r="H91" s="42">
        <f t="shared" si="9"/>
        <v>15586.666666666657</v>
      </c>
      <c r="I91" s="42">
        <f>$N$14*G91*MIN([1]游戏时长规划!$G11,$C$5)/$C$5</f>
        <v>20039.999999999916</v>
      </c>
      <c r="J91" s="42">
        <f t="shared" si="7"/>
        <v>3340</v>
      </c>
      <c r="K91" s="42">
        <f t="shared" si="8"/>
        <v>1809.1666666666677</v>
      </c>
      <c r="L91" s="42">
        <f t="shared" si="10"/>
        <v>40775.833333333234</v>
      </c>
      <c r="M91" s="2">
        <f t="shared" si="11"/>
        <v>510</v>
      </c>
      <c r="N91" s="2">
        <f t="shared" si="14"/>
        <v>310</v>
      </c>
      <c r="P91" s="2">
        <v>8</v>
      </c>
      <c r="Q91" s="21">
        <v>0</v>
      </c>
      <c r="R91" s="21">
        <v>0</v>
      </c>
      <c r="S91" s="21">
        <v>0.125</v>
      </c>
      <c r="T91" s="21">
        <v>0.125</v>
      </c>
      <c r="U91" s="21">
        <v>0.125</v>
      </c>
      <c r="V91" s="21">
        <v>0</v>
      </c>
      <c r="W91" s="21">
        <v>0.125</v>
      </c>
      <c r="X91" s="21">
        <v>0.125</v>
      </c>
      <c r="Y91" s="21">
        <v>0.125</v>
      </c>
      <c r="Z91" s="21">
        <v>0</v>
      </c>
      <c r="AA91" s="21">
        <v>0</v>
      </c>
      <c r="AB91" s="21">
        <v>0</v>
      </c>
      <c r="AC91" s="21">
        <v>0.1</v>
      </c>
      <c r="AD91" s="21">
        <v>0.2</v>
      </c>
      <c r="AE91" s="21">
        <v>0.2</v>
      </c>
    </row>
    <row r="92" spans="2:31" x14ac:dyDescent="0.3">
      <c r="B92" s="2">
        <v>10</v>
      </c>
      <c r="C92" s="2" t="s">
        <v>494</v>
      </c>
      <c r="D92" s="21">
        <v>1.75</v>
      </c>
      <c r="E92" s="2">
        <f t="shared" si="12"/>
        <v>1050</v>
      </c>
      <c r="F92" s="33">
        <f>MROUND(([1]游戏时长规划!H12*E92+(1-[1]游戏时长规划!H12)*M92+N92)*[1]游戏时长规划!G12,10)</f>
        <v>39760</v>
      </c>
      <c r="G92" s="42">
        <f t="shared" si="13"/>
        <v>350</v>
      </c>
      <c r="H92" s="42">
        <f t="shared" si="9"/>
        <v>16333.333333333323</v>
      </c>
      <c r="I92" s="42">
        <f>$N$14*G92*MIN([1]游戏时长规划!$G12,$C$5)/$C$5</f>
        <v>20999.999999999913</v>
      </c>
      <c r="J92" s="42">
        <f t="shared" si="7"/>
        <v>3500</v>
      </c>
      <c r="K92" s="42">
        <f t="shared" si="8"/>
        <v>1895.8333333333344</v>
      </c>
      <c r="L92" s="42">
        <f t="shared" si="10"/>
        <v>42729.16666666657</v>
      </c>
      <c r="M92" s="2">
        <f t="shared" si="11"/>
        <v>530</v>
      </c>
      <c r="N92" s="2">
        <f t="shared" si="14"/>
        <v>320</v>
      </c>
      <c r="P92" s="2">
        <v>9</v>
      </c>
      <c r="Q92" s="21">
        <v>0</v>
      </c>
      <c r="R92" s="21">
        <v>0</v>
      </c>
      <c r="S92" s="21">
        <v>0</v>
      </c>
      <c r="T92" s="21">
        <v>0.125</v>
      </c>
      <c r="U92" s="21">
        <v>0.125</v>
      </c>
      <c r="V92" s="21">
        <v>0</v>
      </c>
      <c r="W92" s="21">
        <v>0.125</v>
      </c>
      <c r="X92" s="21">
        <v>0.125</v>
      </c>
      <c r="Y92" s="21">
        <v>0.125</v>
      </c>
      <c r="Z92" s="21">
        <v>0</v>
      </c>
      <c r="AA92" s="21">
        <v>0</v>
      </c>
      <c r="AB92" s="21">
        <v>0</v>
      </c>
      <c r="AC92" s="21">
        <v>0.1</v>
      </c>
      <c r="AD92" s="21">
        <v>0.2</v>
      </c>
      <c r="AE92" s="21">
        <v>0.2</v>
      </c>
    </row>
    <row r="93" spans="2:31" x14ac:dyDescent="0.3">
      <c r="B93" s="2">
        <v>11</v>
      </c>
      <c r="C93" s="2" t="s">
        <v>494</v>
      </c>
      <c r="D93" s="21">
        <v>1.83</v>
      </c>
      <c r="E93" s="2">
        <f t="shared" si="12"/>
        <v>1100</v>
      </c>
      <c r="F93" s="2">
        <f t="shared" ref="F93:F106" si="15">E93*$C$5*0.75</f>
        <v>8250</v>
      </c>
      <c r="G93" s="42">
        <f t="shared" si="13"/>
        <v>366</v>
      </c>
      <c r="H93" s="42">
        <f t="shared" si="9"/>
        <v>17079.999999999989</v>
      </c>
      <c r="I93" s="42">
        <f t="shared" ref="I93:I106" si="16">$N$14*G93</f>
        <v>21959.999999999909</v>
      </c>
      <c r="J93" s="42">
        <f t="shared" si="7"/>
        <v>3660</v>
      </c>
      <c r="K93" s="42">
        <f t="shared" si="8"/>
        <v>1982.5000000000011</v>
      </c>
      <c r="L93" s="42">
        <f t="shared" si="10"/>
        <v>44682.499999999898</v>
      </c>
      <c r="M93" s="2">
        <f t="shared" si="11"/>
        <v>550</v>
      </c>
      <c r="N93" s="2">
        <f t="shared" si="14"/>
        <v>330</v>
      </c>
      <c r="P93" s="2">
        <v>10</v>
      </c>
      <c r="Q93" s="21">
        <v>0</v>
      </c>
      <c r="R93" s="21">
        <v>0</v>
      </c>
      <c r="S93" s="21">
        <v>0</v>
      </c>
      <c r="T93" s="21">
        <v>0.125</v>
      </c>
      <c r="U93" s="21">
        <v>0.125</v>
      </c>
      <c r="V93" s="21">
        <v>0</v>
      </c>
      <c r="W93" s="21">
        <v>0.125</v>
      </c>
      <c r="X93" s="21">
        <v>0.125</v>
      </c>
      <c r="Y93" s="21">
        <v>0.125</v>
      </c>
      <c r="Z93" s="21">
        <v>0</v>
      </c>
      <c r="AA93" s="21">
        <v>0</v>
      </c>
      <c r="AB93" s="21">
        <v>0</v>
      </c>
      <c r="AC93" s="21">
        <v>0.1</v>
      </c>
      <c r="AD93" s="21">
        <v>0.2</v>
      </c>
      <c r="AE93" s="21">
        <v>0.2</v>
      </c>
    </row>
    <row r="94" spans="2:31" x14ac:dyDescent="0.3">
      <c r="B94" s="2">
        <v>12</v>
      </c>
      <c r="C94" s="2" t="s">
        <v>494</v>
      </c>
      <c r="D94" s="21">
        <v>1.92</v>
      </c>
      <c r="E94" s="2">
        <f t="shared" si="12"/>
        <v>1150</v>
      </c>
      <c r="F94" s="2">
        <f t="shared" si="15"/>
        <v>8625</v>
      </c>
      <c r="G94" s="42">
        <f t="shared" si="13"/>
        <v>384</v>
      </c>
      <c r="H94" s="42">
        <f t="shared" si="9"/>
        <v>17919.999999999989</v>
      </c>
      <c r="I94" s="42">
        <f t="shared" si="16"/>
        <v>23039.999999999905</v>
      </c>
      <c r="J94" s="42">
        <f t="shared" si="7"/>
        <v>3840</v>
      </c>
      <c r="K94" s="42">
        <f t="shared" si="8"/>
        <v>2080.0000000000009</v>
      </c>
      <c r="L94" s="42">
        <f t="shared" si="10"/>
        <v>46879.999999999898</v>
      </c>
      <c r="M94" s="2">
        <f t="shared" si="11"/>
        <v>580</v>
      </c>
      <c r="N94" s="2">
        <f t="shared" si="14"/>
        <v>350</v>
      </c>
    </row>
    <row r="95" spans="2:31" x14ac:dyDescent="0.3">
      <c r="B95" s="2">
        <v>13</v>
      </c>
      <c r="C95" s="2" t="s">
        <v>498</v>
      </c>
      <c r="D95" s="21">
        <v>2</v>
      </c>
      <c r="E95" s="2">
        <f t="shared" si="12"/>
        <v>1200</v>
      </c>
      <c r="F95" s="2">
        <f t="shared" si="15"/>
        <v>9000</v>
      </c>
      <c r="G95" s="42">
        <f t="shared" si="13"/>
        <v>400</v>
      </c>
      <c r="H95" s="42">
        <f t="shared" si="9"/>
        <v>18666.666666666653</v>
      </c>
      <c r="I95" s="42">
        <f t="shared" si="16"/>
        <v>23999.999999999902</v>
      </c>
      <c r="J95" s="42">
        <f t="shared" si="7"/>
        <v>4000</v>
      </c>
      <c r="K95" s="42">
        <f t="shared" si="8"/>
        <v>2166.6666666666679</v>
      </c>
      <c r="L95" s="42">
        <f t="shared" si="10"/>
        <v>48833.333333333227</v>
      </c>
      <c r="M95" s="2">
        <f t="shared" si="11"/>
        <v>600</v>
      </c>
      <c r="N95" s="2">
        <f t="shared" si="14"/>
        <v>360</v>
      </c>
    </row>
    <row r="96" spans="2:31" x14ac:dyDescent="0.3">
      <c r="B96" s="2">
        <v>14</v>
      </c>
      <c r="C96" s="2" t="s">
        <v>498</v>
      </c>
      <c r="D96" s="21">
        <v>2.08</v>
      </c>
      <c r="E96" s="2">
        <f t="shared" si="12"/>
        <v>1250</v>
      </c>
      <c r="F96" s="2">
        <f t="shared" si="15"/>
        <v>9375</v>
      </c>
      <c r="G96" s="42">
        <f t="shared" ref="G96:G106" si="17">ROUND(F96/$C$13/5,0)*5</f>
        <v>470</v>
      </c>
      <c r="H96" s="42">
        <f t="shared" si="9"/>
        <v>21933.333333333318</v>
      </c>
      <c r="I96" s="42">
        <f t="shared" si="16"/>
        <v>28199.999999999884</v>
      </c>
      <c r="J96" s="42">
        <f t="shared" si="7"/>
        <v>4700</v>
      </c>
      <c r="K96" s="42">
        <f t="shared" si="8"/>
        <v>2545.8333333333348</v>
      </c>
      <c r="L96" s="42">
        <f t="shared" si="10"/>
        <v>57379.166666666533</v>
      </c>
      <c r="M96" s="2">
        <f t="shared" si="11"/>
        <v>630</v>
      </c>
      <c r="N96" s="2">
        <f t="shared" si="14"/>
        <v>380</v>
      </c>
    </row>
    <row r="97" spans="2:14" x14ac:dyDescent="0.3">
      <c r="B97" s="2">
        <v>15</v>
      </c>
      <c r="C97" s="2" t="s">
        <v>498</v>
      </c>
      <c r="D97" s="21">
        <v>2.17</v>
      </c>
      <c r="E97" s="2">
        <f t="shared" si="12"/>
        <v>1300</v>
      </c>
      <c r="F97" s="2">
        <f t="shared" si="15"/>
        <v>9750</v>
      </c>
      <c r="G97" s="42">
        <f t="shared" si="17"/>
        <v>490</v>
      </c>
      <c r="H97" s="42">
        <f t="shared" si="9"/>
        <v>22866.666666666653</v>
      </c>
      <c r="I97" s="42">
        <f t="shared" si="16"/>
        <v>29399.99999999988</v>
      </c>
      <c r="J97" s="42">
        <f t="shared" si="7"/>
        <v>4900</v>
      </c>
      <c r="K97" s="42">
        <f t="shared" si="8"/>
        <v>2654.1666666666683</v>
      </c>
      <c r="L97" s="42">
        <f t="shared" si="10"/>
        <v>59820.833333333205</v>
      </c>
      <c r="M97" s="2">
        <f t="shared" si="11"/>
        <v>660</v>
      </c>
      <c r="N97" s="2">
        <f t="shared" si="14"/>
        <v>400</v>
      </c>
    </row>
    <row r="98" spans="2:14" x14ac:dyDescent="0.3">
      <c r="B98" s="2">
        <v>16</v>
      </c>
      <c r="C98" s="2" t="s">
        <v>498</v>
      </c>
      <c r="D98" s="21">
        <v>2.25</v>
      </c>
      <c r="E98" s="2">
        <f t="shared" si="12"/>
        <v>1350</v>
      </c>
      <c r="F98" s="2">
        <f t="shared" si="15"/>
        <v>10125</v>
      </c>
      <c r="G98" s="42">
        <f t="shared" si="17"/>
        <v>505</v>
      </c>
      <c r="H98" s="42">
        <f t="shared" si="9"/>
        <v>23566.66666666665</v>
      </c>
      <c r="I98" s="42">
        <f t="shared" si="16"/>
        <v>30299.999999999873</v>
      </c>
      <c r="J98" s="42">
        <f t="shared" si="7"/>
        <v>5050</v>
      </c>
      <c r="K98" s="42">
        <f t="shared" si="8"/>
        <v>2735.4166666666683</v>
      </c>
      <c r="L98" s="42">
        <f t="shared" si="10"/>
        <v>61652.083333333198</v>
      </c>
      <c r="M98" s="2">
        <f t="shared" si="11"/>
        <v>680</v>
      </c>
      <c r="N98" s="2">
        <f t="shared" si="14"/>
        <v>410</v>
      </c>
    </row>
    <row r="99" spans="2:14" x14ac:dyDescent="0.3">
      <c r="B99" s="2">
        <v>17</v>
      </c>
      <c r="C99" s="2" t="s">
        <v>498</v>
      </c>
      <c r="D99" s="21">
        <v>2.33</v>
      </c>
      <c r="E99" s="2">
        <f t="shared" si="12"/>
        <v>1400</v>
      </c>
      <c r="F99" s="2">
        <f t="shared" si="15"/>
        <v>10500</v>
      </c>
      <c r="G99" s="42">
        <f t="shared" si="17"/>
        <v>525</v>
      </c>
      <c r="H99" s="42">
        <f t="shared" si="9"/>
        <v>24499.999999999985</v>
      </c>
      <c r="I99" s="42">
        <f t="shared" si="16"/>
        <v>31499.999999999869</v>
      </c>
      <c r="J99" s="42">
        <f t="shared" si="7"/>
        <v>5250</v>
      </c>
      <c r="K99" s="42">
        <f t="shared" si="8"/>
        <v>2843.7500000000014</v>
      </c>
      <c r="L99" s="42">
        <f t="shared" si="10"/>
        <v>64093.749999999854</v>
      </c>
      <c r="M99" s="2">
        <f t="shared" si="11"/>
        <v>700</v>
      </c>
      <c r="N99" s="2">
        <f t="shared" si="14"/>
        <v>420</v>
      </c>
    </row>
    <row r="100" spans="2:14" x14ac:dyDescent="0.3">
      <c r="B100" s="2">
        <v>18</v>
      </c>
      <c r="C100" s="2" t="s">
        <v>498</v>
      </c>
      <c r="D100" s="21">
        <v>2.42</v>
      </c>
      <c r="E100" s="2">
        <f t="shared" si="12"/>
        <v>1450</v>
      </c>
      <c r="F100" s="2">
        <f t="shared" si="15"/>
        <v>10875</v>
      </c>
      <c r="G100" s="42">
        <f t="shared" si="17"/>
        <v>545</v>
      </c>
      <c r="H100" s="42">
        <f t="shared" si="9"/>
        <v>25433.333333333318</v>
      </c>
      <c r="I100" s="42">
        <f t="shared" si="16"/>
        <v>32699.999999999865</v>
      </c>
      <c r="J100" s="42">
        <f t="shared" si="7"/>
        <v>5450</v>
      </c>
      <c r="K100" s="42">
        <f t="shared" si="8"/>
        <v>2952.0833333333348</v>
      </c>
      <c r="L100" s="42">
        <f t="shared" si="10"/>
        <v>66535.416666666511</v>
      </c>
      <c r="M100" s="2">
        <f t="shared" si="11"/>
        <v>730</v>
      </c>
      <c r="N100" s="2">
        <f t="shared" si="14"/>
        <v>440</v>
      </c>
    </row>
    <row r="101" spans="2:14" x14ac:dyDescent="0.3">
      <c r="B101" s="2">
        <v>19</v>
      </c>
      <c r="C101" s="2" t="s">
        <v>498</v>
      </c>
      <c r="D101" s="21">
        <v>2.5</v>
      </c>
      <c r="E101" s="2">
        <f t="shared" si="12"/>
        <v>1500</v>
      </c>
      <c r="F101" s="2">
        <f t="shared" si="15"/>
        <v>11250</v>
      </c>
      <c r="G101" s="42">
        <f t="shared" si="17"/>
        <v>565</v>
      </c>
      <c r="H101" s="42">
        <f t="shared" si="9"/>
        <v>26366.66666666665</v>
      </c>
      <c r="I101" s="42">
        <f t="shared" si="16"/>
        <v>33899.999999999862</v>
      </c>
      <c r="J101" s="42">
        <f t="shared" si="7"/>
        <v>5650</v>
      </c>
      <c r="K101" s="42">
        <f t="shared" si="8"/>
        <v>3060.4166666666683</v>
      </c>
      <c r="L101" s="42">
        <f t="shared" si="10"/>
        <v>68977.083333333183</v>
      </c>
      <c r="M101" s="2">
        <f t="shared" si="11"/>
        <v>750</v>
      </c>
      <c r="N101" s="2">
        <f t="shared" si="14"/>
        <v>450</v>
      </c>
    </row>
    <row r="102" spans="2:14" x14ac:dyDescent="0.3">
      <c r="B102" s="2">
        <v>20</v>
      </c>
      <c r="C102" s="2" t="s">
        <v>498</v>
      </c>
      <c r="D102" s="21">
        <v>2.58</v>
      </c>
      <c r="E102" s="2">
        <f t="shared" si="12"/>
        <v>1550</v>
      </c>
      <c r="F102" s="2">
        <f t="shared" si="15"/>
        <v>11625</v>
      </c>
      <c r="G102" s="42">
        <f t="shared" si="17"/>
        <v>580</v>
      </c>
      <c r="H102" s="42">
        <f t="shared" si="9"/>
        <v>27066.66666666665</v>
      </c>
      <c r="I102" s="42">
        <f t="shared" si="16"/>
        <v>34799.999999999854</v>
      </c>
      <c r="J102" s="42">
        <f t="shared" si="7"/>
        <v>5800</v>
      </c>
      <c r="K102" s="42">
        <f t="shared" si="8"/>
        <v>3141.6666666666683</v>
      </c>
      <c r="L102" s="42">
        <f t="shared" si="10"/>
        <v>70808.333333333183</v>
      </c>
      <c r="M102" s="2">
        <f t="shared" si="11"/>
        <v>780</v>
      </c>
      <c r="N102" s="2">
        <f t="shared" si="14"/>
        <v>470</v>
      </c>
    </row>
    <row r="103" spans="2:14" x14ac:dyDescent="0.3">
      <c r="B103" s="2">
        <v>21</v>
      </c>
      <c r="C103" s="2" t="s">
        <v>498</v>
      </c>
      <c r="D103" s="21">
        <v>2.67</v>
      </c>
      <c r="E103" s="2">
        <f t="shared" si="12"/>
        <v>1600</v>
      </c>
      <c r="F103" s="2">
        <f t="shared" si="15"/>
        <v>12000</v>
      </c>
      <c r="G103" s="42">
        <f t="shared" si="17"/>
        <v>600</v>
      </c>
      <c r="H103" s="42">
        <f t="shared" si="9"/>
        <v>27999.999999999982</v>
      </c>
      <c r="I103" s="42">
        <f t="shared" si="16"/>
        <v>35999.999999999847</v>
      </c>
      <c r="J103" s="42">
        <f t="shared" si="7"/>
        <v>6000</v>
      </c>
      <c r="K103" s="42">
        <f t="shared" si="8"/>
        <v>3250.0000000000018</v>
      </c>
      <c r="L103" s="42">
        <f t="shared" si="10"/>
        <v>73249.999999999825</v>
      </c>
      <c r="M103" s="2">
        <f t="shared" si="11"/>
        <v>810</v>
      </c>
      <c r="N103" s="2">
        <f t="shared" si="14"/>
        <v>490</v>
      </c>
    </row>
    <row r="104" spans="2:14" x14ac:dyDescent="0.3">
      <c r="B104" s="2">
        <v>22</v>
      </c>
      <c r="C104" s="2" t="s">
        <v>498</v>
      </c>
      <c r="D104" s="21">
        <v>2.75</v>
      </c>
      <c r="E104" s="2">
        <f t="shared" si="12"/>
        <v>1650</v>
      </c>
      <c r="F104" s="2">
        <f t="shared" si="15"/>
        <v>12375</v>
      </c>
      <c r="G104" s="42">
        <f t="shared" si="17"/>
        <v>620</v>
      </c>
      <c r="H104" s="42">
        <f t="shared" si="9"/>
        <v>28933.333333333314</v>
      </c>
      <c r="I104" s="42">
        <f t="shared" si="16"/>
        <v>37199.999999999847</v>
      </c>
      <c r="J104" s="42">
        <f t="shared" si="7"/>
        <v>6200</v>
      </c>
      <c r="K104" s="42">
        <f t="shared" si="8"/>
        <v>3358.3333333333353</v>
      </c>
      <c r="L104" s="42">
        <f t="shared" si="10"/>
        <v>75691.666666666497</v>
      </c>
      <c r="M104" s="2">
        <f t="shared" si="11"/>
        <v>830</v>
      </c>
      <c r="N104" s="2">
        <f t="shared" si="14"/>
        <v>500</v>
      </c>
    </row>
    <row r="105" spans="2:14" x14ac:dyDescent="0.3">
      <c r="B105" s="2">
        <v>23</v>
      </c>
      <c r="C105" s="2" t="s">
        <v>498</v>
      </c>
      <c r="D105" s="21">
        <v>2.83</v>
      </c>
      <c r="E105" s="2">
        <f t="shared" si="12"/>
        <v>1700</v>
      </c>
      <c r="F105" s="2">
        <f t="shared" si="15"/>
        <v>12750</v>
      </c>
      <c r="G105" s="42">
        <f t="shared" si="17"/>
        <v>640</v>
      </c>
      <c r="H105" s="42">
        <f t="shared" si="9"/>
        <v>29866.666666666646</v>
      </c>
      <c r="I105" s="42">
        <f t="shared" si="16"/>
        <v>38399.99999999984</v>
      </c>
      <c r="J105" s="42">
        <f t="shared" si="7"/>
        <v>6400</v>
      </c>
      <c r="K105" s="42">
        <f t="shared" si="8"/>
        <v>3466.6666666666688</v>
      </c>
      <c r="L105" s="42">
        <f t="shared" si="10"/>
        <v>78133.333333333154</v>
      </c>
      <c r="M105" s="2">
        <f t="shared" si="11"/>
        <v>850</v>
      </c>
      <c r="N105" s="2">
        <f t="shared" si="14"/>
        <v>510</v>
      </c>
    </row>
    <row r="106" spans="2:14" x14ac:dyDescent="0.3">
      <c r="B106" s="2">
        <v>24</v>
      </c>
      <c r="C106" s="2" t="s">
        <v>498</v>
      </c>
      <c r="D106" s="21">
        <v>2.92</v>
      </c>
      <c r="E106" s="2">
        <f t="shared" si="12"/>
        <v>1750</v>
      </c>
      <c r="F106" s="2">
        <f t="shared" si="15"/>
        <v>13125</v>
      </c>
      <c r="G106" s="42">
        <f t="shared" si="17"/>
        <v>655</v>
      </c>
      <c r="H106" s="42">
        <f t="shared" si="9"/>
        <v>30566.666666666646</v>
      </c>
      <c r="I106" s="42">
        <f t="shared" si="16"/>
        <v>39299.99999999984</v>
      </c>
      <c r="J106" s="42">
        <f t="shared" si="7"/>
        <v>6550</v>
      </c>
      <c r="K106" s="42">
        <f t="shared" si="8"/>
        <v>3547.9166666666688</v>
      </c>
      <c r="L106" s="42">
        <f t="shared" si="10"/>
        <v>79964.583333333154</v>
      </c>
      <c r="M106" s="2">
        <f t="shared" si="11"/>
        <v>880</v>
      </c>
      <c r="N106" s="2">
        <f t="shared" si="14"/>
        <v>530</v>
      </c>
    </row>
    <row r="108" spans="2:14" ht="18" x14ac:dyDescent="0.35">
      <c r="B108" s="100" t="s">
        <v>499</v>
      </c>
    </row>
    <row r="109" spans="2:14" x14ac:dyDescent="0.3">
      <c r="B109" s="231" t="s">
        <v>500</v>
      </c>
      <c r="C109" s="231" t="s">
        <v>501</v>
      </c>
      <c r="D109" s="232" t="s">
        <v>502</v>
      </c>
      <c r="E109" s="232" t="s">
        <v>503</v>
      </c>
      <c r="F109" s="232" t="s">
        <v>56</v>
      </c>
      <c r="G109" s="232" t="s">
        <v>314</v>
      </c>
      <c r="H109" s="232" t="s">
        <v>504</v>
      </c>
      <c r="I109" s="232" t="s">
        <v>505</v>
      </c>
      <c r="J109" s="232" t="s">
        <v>506</v>
      </c>
      <c r="K109" s="232" t="s">
        <v>54</v>
      </c>
      <c r="L109" s="232" t="s">
        <v>507</v>
      </c>
      <c r="M109" s="233" t="s">
        <v>508</v>
      </c>
    </row>
    <row r="110" spans="2:14" x14ac:dyDescent="0.3">
      <c r="B110" s="2">
        <v>1</v>
      </c>
      <c r="C110" s="31">
        <f>游戏时长规划!E17</f>
        <v>1.2244897959183674</v>
      </c>
      <c r="D110" s="31">
        <f>基础经济系数!$C$225/30*C110</f>
        <v>16.326530612244898</v>
      </c>
      <c r="E110" s="31">
        <f>50/7*C110</f>
        <v>8.7463556851311957</v>
      </c>
      <c r="F110" s="31">
        <f>成就!$R$4*C110</f>
        <v>6.7251700680272117</v>
      </c>
      <c r="G110" s="31">
        <f>5*$E$15*C110</f>
        <v>18.367346938775512</v>
      </c>
      <c r="H110" s="31">
        <f>2.5*C110</f>
        <v>3.0612244897959187</v>
      </c>
      <c r="I110" s="31">
        <v>50</v>
      </c>
      <c r="J110" s="31">
        <f>活动奖励!$C$118/30*C110</f>
        <v>4.0816326530612246</v>
      </c>
      <c r="K110" s="31">
        <f>BattlePass!$S$27/90*C110</f>
        <v>1.2244897959183674</v>
      </c>
      <c r="L110" s="2">
        <f>游戏时长规划!$AH$37*C110</f>
        <v>11.807580174927113</v>
      </c>
      <c r="M110" s="234">
        <f>SUM(D110:L110)/C110</f>
        <v>98.277936507936502</v>
      </c>
    </row>
    <row r="111" spans="2:14" x14ac:dyDescent="0.3">
      <c r="B111" s="2">
        <v>2</v>
      </c>
      <c r="C111" s="31">
        <f>游戏时长规划!E18</f>
        <v>2.5641025641025639</v>
      </c>
      <c r="D111" s="31">
        <f>基础经济系数!$C$225/30*C111</f>
        <v>34.188034188034187</v>
      </c>
      <c r="E111" s="31">
        <f t="shared" ref="E111:E119" si="18">50/7*C111</f>
        <v>18.315018315018314</v>
      </c>
      <c r="F111" s="31">
        <f>成就!$R$4*C111</f>
        <v>14.082621082621083</v>
      </c>
      <c r="G111" s="31">
        <f t="shared" ref="G111:G119" si="19">5*$E$15*C111</f>
        <v>38.46153846153846</v>
      </c>
      <c r="H111" s="31">
        <f t="shared" ref="H111:H119" si="20">2.5*C111</f>
        <v>6.4102564102564097</v>
      </c>
      <c r="I111" s="31">
        <v>50</v>
      </c>
      <c r="J111" s="31">
        <f>活动奖励!$C$118/30*C111</f>
        <v>8.5470085470085468</v>
      </c>
      <c r="K111" s="31">
        <f>BattlePass!$S$27/90*C111</f>
        <v>2.5641025641025639</v>
      </c>
      <c r="L111" s="2">
        <f>游戏时长规划!$AH$37*C111</f>
        <v>24.725274725274723</v>
      </c>
      <c r="M111" s="234">
        <f t="shared" ref="M111:M119" si="21">SUM(D111:L111)/C111</f>
        <v>76.944603174603174</v>
      </c>
    </row>
    <row r="112" spans="2:14" x14ac:dyDescent="0.3">
      <c r="B112" s="2">
        <v>3</v>
      </c>
      <c r="C112" s="31">
        <f>游戏时长规划!E19</f>
        <v>2.7027027027027022</v>
      </c>
      <c r="D112" s="31">
        <f>基础经济系数!$C$225/30*C112</f>
        <v>36.03603603603603</v>
      </c>
      <c r="E112" s="31">
        <f t="shared" si="18"/>
        <v>19.305019305019304</v>
      </c>
      <c r="F112" s="31">
        <f>成就!$R$4*C112</f>
        <v>14.843843843843842</v>
      </c>
      <c r="G112" s="31">
        <f t="shared" si="19"/>
        <v>40.540540540540533</v>
      </c>
      <c r="H112" s="31">
        <f t="shared" si="20"/>
        <v>6.7567567567567552</v>
      </c>
      <c r="I112" s="31">
        <v>100</v>
      </c>
      <c r="J112" s="31">
        <f>活动奖励!$C$118/30*C112</f>
        <v>9.0090090090090076</v>
      </c>
      <c r="K112" s="31">
        <f>BattlePass!$S$27/90*C112</f>
        <v>2.7027027027027022</v>
      </c>
      <c r="L112" s="2">
        <f>游戏时长规划!$AH$37*C112</f>
        <v>26.061776061776055</v>
      </c>
      <c r="M112" s="234">
        <f t="shared" si="21"/>
        <v>94.444603174603188</v>
      </c>
    </row>
    <row r="113" spans="1:16" x14ac:dyDescent="0.3">
      <c r="B113" s="2">
        <v>4</v>
      </c>
      <c r="C113" s="31">
        <f>游戏时长规划!E20</f>
        <v>8.5714285714285712</v>
      </c>
      <c r="D113" s="31">
        <f>基础经济系数!$C$225/30*C113</f>
        <v>114.28571428571429</v>
      </c>
      <c r="E113" s="31">
        <f t="shared" si="18"/>
        <v>61.224489795918366</v>
      </c>
      <c r="F113" s="31">
        <f>成就!$R$4*C113</f>
        <v>47.076190476190483</v>
      </c>
      <c r="G113" s="31">
        <f t="shared" si="19"/>
        <v>128.57142857142856</v>
      </c>
      <c r="H113" s="31">
        <f t="shared" si="20"/>
        <v>21.428571428571427</v>
      </c>
      <c r="I113" s="31">
        <v>100</v>
      </c>
      <c r="J113" s="31">
        <f>活动奖励!$C$118/30*C113</f>
        <v>28.571428571428573</v>
      </c>
      <c r="K113" s="31">
        <f>BattlePass!$S$27/90*C113</f>
        <v>8.5714285714285712</v>
      </c>
      <c r="L113" s="2">
        <f>游戏时长规划!$AH$37*C113</f>
        <v>82.65306122448979</v>
      </c>
      <c r="M113" s="234">
        <f t="shared" si="21"/>
        <v>69.111269841269845</v>
      </c>
    </row>
    <row r="114" spans="1:16" x14ac:dyDescent="0.3">
      <c r="B114" s="2">
        <v>5</v>
      </c>
      <c r="C114" s="31">
        <f>游戏时长规划!E21</f>
        <v>12</v>
      </c>
      <c r="D114" s="31">
        <f>基础经济系数!$C$225/30*C114</f>
        <v>160</v>
      </c>
      <c r="E114" s="31">
        <f t="shared" si="18"/>
        <v>85.714285714285722</v>
      </c>
      <c r="F114" s="31">
        <f>成就!$R$4*C114</f>
        <v>65.906666666666666</v>
      </c>
      <c r="G114" s="31">
        <f t="shared" si="19"/>
        <v>180</v>
      </c>
      <c r="H114" s="31">
        <f t="shared" si="20"/>
        <v>30</v>
      </c>
      <c r="I114" s="31">
        <v>200</v>
      </c>
      <c r="J114" s="31">
        <f>活动奖励!$C$118/30*C114</f>
        <v>40</v>
      </c>
      <c r="K114" s="31">
        <f>BattlePass!$S$27/90*C114</f>
        <v>12</v>
      </c>
      <c r="L114" s="2">
        <f>游戏时长规划!$AH$37*C114</f>
        <v>115.71428571428571</v>
      </c>
      <c r="M114" s="234">
        <f t="shared" si="21"/>
        <v>74.111269841269845</v>
      </c>
    </row>
    <row r="115" spans="1:16" x14ac:dyDescent="0.3">
      <c r="B115" s="2">
        <v>6</v>
      </c>
      <c r="C115" s="31">
        <f>游戏时长规划!E22</f>
        <v>10</v>
      </c>
      <c r="D115" s="31">
        <f>基础经济系数!$C$225/30*C115</f>
        <v>133.33333333333334</v>
      </c>
      <c r="E115" s="31">
        <f t="shared" si="18"/>
        <v>71.428571428571431</v>
      </c>
      <c r="F115" s="31">
        <f>成就!$R$4*C115</f>
        <v>54.922222222222231</v>
      </c>
      <c r="G115" s="31">
        <f t="shared" si="19"/>
        <v>150</v>
      </c>
      <c r="H115" s="31">
        <f t="shared" si="20"/>
        <v>25</v>
      </c>
      <c r="I115" s="31">
        <v>200</v>
      </c>
      <c r="J115" s="31">
        <f>活动奖励!$C$118/30*C115</f>
        <v>33.333333333333336</v>
      </c>
      <c r="K115" s="31">
        <f>BattlePass!$S$27/90*C115</f>
        <v>10</v>
      </c>
      <c r="L115" s="2">
        <f>游戏时长规划!$AH$37*C115</f>
        <v>96.428571428571416</v>
      </c>
      <c r="M115" s="234">
        <f t="shared" si="21"/>
        <v>77.444603174603188</v>
      </c>
    </row>
    <row r="116" spans="1:16" x14ac:dyDescent="0.3">
      <c r="B116" s="2">
        <v>7</v>
      </c>
      <c r="C116" s="31">
        <f>游戏时长规划!E23</f>
        <v>15</v>
      </c>
      <c r="D116" s="31">
        <f>基础经济系数!$C$225/30*C116</f>
        <v>200</v>
      </c>
      <c r="E116" s="31">
        <f t="shared" si="18"/>
        <v>107.14285714285715</v>
      </c>
      <c r="F116" s="31">
        <f>成就!$R$4*C116</f>
        <v>82.38333333333334</v>
      </c>
      <c r="G116" s="31">
        <f t="shared" si="19"/>
        <v>225</v>
      </c>
      <c r="H116" s="31">
        <f t="shared" si="20"/>
        <v>37.5</v>
      </c>
      <c r="I116" s="31">
        <v>0</v>
      </c>
      <c r="J116" s="31">
        <f>活动奖励!$C$118/30*C116</f>
        <v>50</v>
      </c>
      <c r="K116" s="31">
        <f>BattlePass!$S$27/90*C116</f>
        <v>15</v>
      </c>
      <c r="L116" s="2">
        <f>游戏时长规划!$AH$37*C116</f>
        <v>144.64285714285714</v>
      </c>
      <c r="M116" s="234">
        <f t="shared" si="21"/>
        <v>57.444603174603181</v>
      </c>
    </row>
    <row r="117" spans="1:16" x14ac:dyDescent="0.3">
      <c r="B117" s="2">
        <v>8</v>
      </c>
      <c r="C117" s="31">
        <f>游戏时长规划!E24</f>
        <v>41.666666666666664</v>
      </c>
      <c r="D117" s="31">
        <f>基础经济系数!$C$225/30*C117</f>
        <v>555.55555555555554</v>
      </c>
      <c r="E117" s="31">
        <f t="shared" si="18"/>
        <v>297.61904761904759</v>
      </c>
      <c r="F117" s="31">
        <f>成就!$R$4*C117</f>
        <v>228.84259259259261</v>
      </c>
      <c r="G117" s="31">
        <f t="shared" si="19"/>
        <v>625</v>
      </c>
      <c r="H117" s="31">
        <f t="shared" si="20"/>
        <v>104.16666666666666</v>
      </c>
      <c r="I117" s="31">
        <v>0</v>
      </c>
      <c r="J117" s="31">
        <f>活动奖励!$C$118/30*C117</f>
        <v>138.88888888888889</v>
      </c>
      <c r="K117" s="31">
        <f>BattlePass!$S$27/90*C117</f>
        <v>41.666666666666664</v>
      </c>
      <c r="L117" s="2">
        <f>游戏时长规划!$AH$37*C117</f>
        <v>401.78571428571422</v>
      </c>
      <c r="M117" s="234">
        <f t="shared" si="21"/>
        <v>57.444603174603181</v>
      </c>
    </row>
    <row r="118" spans="1:16" x14ac:dyDescent="0.3">
      <c r="B118" s="2">
        <v>9</v>
      </c>
      <c r="C118" s="31">
        <f>游戏时长规划!E25</f>
        <v>33.333333333333336</v>
      </c>
      <c r="D118" s="31">
        <f>基础经济系数!$C$225/30*C118</f>
        <v>444.44444444444451</v>
      </c>
      <c r="E118" s="31">
        <f t="shared" si="18"/>
        <v>238.09523809523813</v>
      </c>
      <c r="F118" s="31">
        <f>成就!$R$4*C118</f>
        <v>183.0740740740741</v>
      </c>
      <c r="G118" s="31">
        <f t="shared" si="19"/>
        <v>500.00000000000006</v>
      </c>
      <c r="H118" s="31">
        <f t="shared" si="20"/>
        <v>83.333333333333343</v>
      </c>
      <c r="I118" s="31">
        <f>0*C118/14</f>
        <v>0</v>
      </c>
      <c r="J118" s="31">
        <f>活动奖励!$C$118/30*C118</f>
        <v>111.11111111111113</v>
      </c>
      <c r="K118" s="31">
        <f>BattlePass!$S$27/90*C118</f>
        <v>33.333333333333336</v>
      </c>
      <c r="L118" s="2">
        <f>游戏时长规划!$AH$37*C118</f>
        <v>321.42857142857144</v>
      </c>
      <c r="M118" s="234">
        <f t="shared" si="21"/>
        <v>57.444603174603166</v>
      </c>
    </row>
    <row r="119" spans="1:16" x14ac:dyDescent="0.3">
      <c r="B119" s="2">
        <v>10</v>
      </c>
      <c r="C119" s="31">
        <f>游戏时长规划!E26</f>
        <v>33.333333333333336</v>
      </c>
      <c r="D119" s="31">
        <f>基础经济系数!$C$225/30*C119</f>
        <v>444.44444444444451</v>
      </c>
      <c r="E119" s="31">
        <f t="shared" si="18"/>
        <v>238.09523809523813</v>
      </c>
      <c r="F119" s="31">
        <f>成就!$R$4*C119</f>
        <v>183.0740740740741</v>
      </c>
      <c r="G119" s="31">
        <f t="shared" si="19"/>
        <v>500.00000000000006</v>
      </c>
      <c r="H119" s="31">
        <f t="shared" si="20"/>
        <v>83.333333333333343</v>
      </c>
      <c r="I119" s="31">
        <f>150*C119/14</f>
        <v>357.14285714285717</v>
      </c>
      <c r="J119" s="31">
        <f>活动奖励!$C$118/30*C119</f>
        <v>111.11111111111113</v>
      </c>
      <c r="K119" s="31">
        <f>BattlePass!$S$27/90*C119</f>
        <v>33.333333333333336</v>
      </c>
      <c r="L119" s="2">
        <f>游戏时长规划!$AH$37*C119</f>
        <v>321.42857142857144</v>
      </c>
      <c r="M119" s="234">
        <f t="shared" si="21"/>
        <v>68.158888888888882</v>
      </c>
    </row>
    <row r="122" spans="1:16" ht="18" x14ac:dyDescent="0.35">
      <c r="B122" s="100" t="s">
        <v>505</v>
      </c>
      <c r="J122" s="100" t="s">
        <v>4119</v>
      </c>
      <c r="P122" s="100"/>
    </row>
    <row r="123" spans="1:16" x14ac:dyDescent="0.3">
      <c r="A123" s="1">
        <v>1</v>
      </c>
      <c r="B123" s="103">
        <v>10</v>
      </c>
      <c r="C123" s="103" t="s">
        <v>3855</v>
      </c>
      <c r="D123" s="103">
        <v>1</v>
      </c>
      <c r="E123" s="325" t="str">
        <f>"["&amp;VLOOKUP(C123,道具ID!$L:$N,2,FALSE)&amp;"]"</f>
        <v>[11111]</v>
      </c>
      <c r="F123" s="325" t="str">
        <f>"["&amp;D123&amp;"]"</f>
        <v>[1]</v>
      </c>
      <c r="G123" s="325" t="str">
        <f>VLOOKUP(C123,道具ID!$L:$N,3,FALSE)</f>
        <v>ft17</v>
      </c>
      <c r="H123" s="1">
        <f>A123</f>
        <v>1</v>
      </c>
      <c r="I123" s="1" t="str">
        <f>IF(ISNUMBER(FIND("宝箱",C123)),LEFT(C123,LEN(C123)-1),C123)</f>
        <v>雷诺FT</v>
      </c>
      <c r="J123" s="325">
        <v>1</v>
      </c>
      <c r="K123" s="325" t="s">
        <v>4099</v>
      </c>
      <c r="L123" s="325">
        <f>VLOOKUP(K123,道具ID!$L:$N,2,FALSE)</f>
        <v>102</v>
      </c>
      <c r="M123" s="325">
        <v>100</v>
      </c>
      <c r="N123" s="325" t="str">
        <f>IF(ISNUMBER(FIND("宝箱",K123)),LEFT(K123,LEN(K123)-1),K123)</f>
        <v>军费</v>
      </c>
      <c r="O123" s="1">
        <f>IF(K123="钻石",M123,0)</f>
        <v>0</v>
      </c>
    </row>
    <row r="124" spans="1:16" x14ac:dyDescent="0.3">
      <c r="A124" s="1">
        <v>1</v>
      </c>
      <c r="B124" s="325">
        <v>20</v>
      </c>
      <c r="C124" s="325" t="s">
        <v>3856</v>
      </c>
      <c r="D124" s="325">
        <v>5</v>
      </c>
      <c r="E124" s="325" t="str">
        <f>"["&amp;VLOOKUP(C124,道具ID!$L:$N,2,FALSE)&amp;"]"</f>
        <v>[53111]</v>
      </c>
      <c r="F124" s="325" t="str">
        <f t="shared" ref="F124:F166" si="22">"["&amp;D124&amp;"]"</f>
        <v>[5]</v>
      </c>
      <c r="G124" s="325" t="str">
        <f>VLOOKUP(C124,道具ID!$L:$N,3,FALSE)</f>
        <v>shard_b1</v>
      </c>
      <c r="H124" s="1">
        <f t="shared" ref="H124:H172" si="23">A124</f>
        <v>1</v>
      </c>
      <c r="I124" s="1" t="str">
        <f t="shared" ref="I124:I172" si="24">IF(ISNUMBER(FIND("宝箱",C124)),LEFT(C124,LEN(C124)-1),C124)</f>
        <v>B-1碎片</v>
      </c>
      <c r="J124" s="325">
        <v>3</v>
      </c>
      <c r="K124" s="325" t="s">
        <v>4100</v>
      </c>
      <c r="L124" s="325">
        <f>VLOOKUP(K124,道具ID!$L:$N,2,FALSE)</f>
        <v>23003</v>
      </c>
      <c r="M124" s="325">
        <v>1</v>
      </c>
      <c r="N124" s="325" t="str">
        <f t="shared" ref="N124:N153" si="25">IF(ISNUMBER(FIND("宝箱",K124)),LEFT(K124,LEN(K124)-1),K124)</f>
        <v>部件宝箱</v>
      </c>
      <c r="O124" s="1">
        <f t="shared" ref="O124:O153" si="26">IF(K124="钻石",M124,0)</f>
        <v>0</v>
      </c>
    </row>
    <row r="125" spans="1:16" x14ac:dyDescent="0.3">
      <c r="A125" s="1">
        <v>1</v>
      </c>
      <c r="B125" s="325">
        <v>30</v>
      </c>
      <c r="C125" s="325" t="s">
        <v>3854</v>
      </c>
      <c r="D125" s="325">
        <v>1</v>
      </c>
      <c r="E125" s="325" t="str">
        <f>"["&amp;VLOOKUP(C125,道具ID!$L:$N,2,FALSE)&amp;"]"</f>
        <v>[91001]</v>
      </c>
      <c r="F125" s="325" t="str">
        <f t="shared" si="22"/>
        <v>[1]</v>
      </c>
      <c r="G125" s="325" t="str">
        <f>VLOOKUP(C125,道具ID!$L:$N,3,FALSE)</f>
        <v>tank_part_icon_t1_l_1</v>
      </c>
      <c r="H125" s="1">
        <f t="shared" si="23"/>
        <v>1</v>
      </c>
      <c r="I125" s="1" t="str">
        <f t="shared" si="24"/>
        <v>T1LP1</v>
      </c>
      <c r="J125" s="325">
        <v>5</v>
      </c>
      <c r="K125" s="325" t="s">
        <v>4099</v>
      </c>
      <c r="L125" s="325">
        <f>VLOOKUP(K125,道具ID!$L:$N,2,FALSE)</f>
        <v>102</v>
      </c>
      <c r="M125" s="325">
        <v>200</v>
      </c>
      <c r="N125" s="325" t="str">
        <f t="shared" si="25"/>
        <v>军费</v>
      </c>
      <c r="O125" s="1">
        <f t="shared" si="26"/>
        <v>0</v>
      </c>
    </row>
    <row r="126" spans="1:16" x14ac:dyDescent="0.3">
      <c r="A126" s="1">
        <v>1</v>
      </c>
      <c r="B126" s="325">
        <v>40</v>
      </c>
      <c r="C126" s="325" t="s">
        <v>3852</v>
      </c>
      <c r="D126" s="325">
        <v>1</v>
      </c>
      <c r="E126" s="325" t="str">
        <f>"["&amp;VLOOKUP(C126,道具ID!$L:$N,2,FALSE)&amp;"]"</f>
        <v>[12111]</v>
      </c>
      <c r="F126" s="325" t="str">
        <f t="shared" si="22"/>
        <v>[1]</v>
      </c>
      <c r="G126" s="325" t="str">
        <f>VLOOKUP(C126,道具ID!$L:$N,3,FALSE)</f>
        <v>stuart</v>
      </c>
      <c r="H126" s="1">
        <f t="shared" si="23"/>
        <v>1</v>
      </c>
      <c r="I126" s="1" t="str">
        <f t="shared" si="24"/>
        <v>Stuart</v>
      </c>
      <c r="J126" s="325">
        <v>7</v>
      </c>
      <c r="K126" s="325" t="s">
        <v>4102</v>
      </c>
      <c r="L126" s="325">
        <f>VLOOKUP(K126,道具ID!$L:$N,2,FALSE)</f>
        <v>101</v>
      </c>
      <c r="M126" s="325">
        <v>100</v>
      </c>
      <c r="N126" s="325" t="str">
        <f t="shared" si="25"/>
        <v>钻石</v>
      </c>
      <c r="O126" s="1">
        <f t="shared" si="26"/>
        <v>100</v>
      </c>
    </row>
    <row r="127" spans="1:16" x14ac:dyDescent="0.3">
      <c r="A127" s="1">
        <v>1</v>
      </c>
      <c r="B127" s="325">
        <v>50</v>
      </c>
      <c r="C127" s="325" t="s">
        <v>3744</v>
      </c>
      <c r="D127" s="325">
        <v>2000</v>
      </c>
      <c r="E127" s="325" t="str">
        <f>"["&amp;VLOOKUP(C127,道具ID!$L:$N,2,FALSE)&amp;"]"</f>
        <v>[102]</v>
      </c>
      <c r="F127" s="325" t="str">
        <f t="shared" si="22"/>
        <v>[2000]</v>
      </c>
      <c r="G127" s="325" t="str">
        <f>VLOOKUP(C127,道具ID!$L:$N,3,FALSE)</f>
        <v>StoreFund_3</v>
      </c>
      <c r="H127" s="1">
        <f t="shared" si="23"/>
        <v>1</v>
      </c>
      <c r="I127" s="1" t="str">
        <f t="shared" si="24"/>
        <v>军费</v>
      </c>
      <c r="J127" s="325">
        <v>14</v>
      </c>
      <c r="K127" s="325" t="s">
        <v>4103</v>
      </c>
      <c r="L127" s="325">
        <f>VLOOKUP(K127,道具ID!$L:$N,2,FALSE)</f>
        <v>105</v>
      </c>
      <c r="M127" s="325">
        <v>20</v>
      </c>
      <c r="N127" s="325" t="str">
        <f t="shared" si="25"/>
        <v>钥匙</v>
      </c>
      <c r="O127" s="1">
        <f t="shared" si="26"/>
        <v>0</v>
      </c>
    </row>
    <row r="128" spans="1:16" x14ac:dyDescent="0.3">
      <c r="A128" s="1">
        <v>60</v>
      </c>
      <c r="B128" s="103">
        <v>70</v>
      </c>
      <c r="C128" s="103" t="s">
        <v>4096</v>
      </c>
      <c r="D128" s="103">
        <v>10</v>
      </c>
      <c r="E128" s="325" t="str">
        <f>"["&amp;VLOOKUP(C128,道具ID!$L:$N,2,FALSE)&amp;"]"</f>
        <v>[53111]</v>
      </c>
      <c r="F128" s="325" t="str">
        <f t="shared" si="22"/>
        <v>[10]</v>
      </c>
      <c r="G128" s="325" t="str">
        <f>VLOOKUP(C128,道具ID!$L:$N,3,FALSE)</f>
        <v>shard_b1</v>
      </c>
      <c r="H128" s="1">
        <f t="shared" si="23"/>
        <v>60</v>
      </c>
      <c r="I128" s="1" t="str">
        <f t="shared" si="24"/>
        <v>B-1碎片</v>
      </c>
      <c r="J128" s="325">
        <v>20</v>
      </c>
      <c r="K128" s="325" t="s">
        <v>4099</v>
      </c>
      <c r="L128" s="325">
        <f>VLOOKUP(K128,道具ID!$L:$N,2,FALSE)</f>
        <v>102</v>
      </c>
      <c r="M128" s="325">
        <v>500</v>
      </c>
      <c r="N128" s="325" t="str">
        <f t="shared" si="25"/>
        <v>军费</v>
      </c>
      <c r="O128" s="1">
        <f t="shared" si="26"/>
        <v>0</v>
      </c>
    </row>
    <row r="129" spans="1:15" x14ac:dyDescent="0.3">
      <c r="A129" s="1">
        <v>2</v>
      </c>
      <c r="B129" s="325">
        <v>80</v>
      </c>
      <c r="C129" s="325" t="s">
        <v>4097</v>
      </c>
      <c r="D129" s="325">
        <v>1</v>
      </c>
      <c r="E129" s="325" t="str">
        <f>"["&amp;VLOOKUP(C129,道具ID!$L:$N,2,FALSE)&amp;"]"</f>
        <v>[25152]</v>
      </c>
      <c r="F129" s="325" t="str">
        <f t="shared" si="22"/>
        <v>[1]</v>
      </c>
      <c r="G129" s="325" t="str">
        <f>VLOOKUP(C129,道具ID!$L:$N,3,FALSE)</f>
        <v>chest_lv4_icon</v>
      </c>
      <c r="H129" s="1">
        <f t="shared" si="23"/>
        <v>2</v>
      </c>
      <c r="I129" s="1" t="str">
        <f t="shared" si="24"/>
        <v>高级自宝箱</v>
      </c>
      <c r="J129" s="325">
        <v>30</v>
      </c>
      <c r="K129" s="325" t="s">
        <v>4101</v>
      </c>
      <c r="L129" s="325">
        <f>VLOOKUP(K129,道具ID!$L:$N,2,FALSE)</f>
        <v>25155</v>
      </c>
      <c r="M129" s="325">
        <v>1</v>
      </c>
      <c r="N129" s="325" t="str">
        <f t="shared" si="25"/>
        <v>高级自宝箱</v>
      </c>
      <c r="O129" s="1">
        <f t="shared" si="26"/>
        <v>0</v>
      </c>
    </row>
    <row r="130" spans="1:15" x14ac:dyDescent="0.3">
      <c r="A130" s="1">
        <v>2</v>
      </c>
      <c r="B130" s="325">
        <v>100</v>
      </c>
      <c r="C130" s="325" t="s">
        <v>4098</v>
      </c>
      <c r="D130" s="325">
        <v>100</v>
      </c>
      <c r="E130" s="325" t="str">
        <f>"["&amp;VLOOKUP(C130,道具ID!$L:$N,2,FALSE)&amp;"]"</f>
        <v>[111]</v>
      </c>
      <c r="F130" s="325" t="str">
        <f t="shared" si="22"/>
        <v>[100]</v>
      </c>
      <c r="G130" s="325" t="str">
        <f>VLOOKUP(C130,道具ID!$L:$N,3,FALSE)</f>
        <v>StoreDoubleKey_1</v>
      </c>
      <c r="H130" s="1">
        <f t="shared" si="23"/>
        <v>2</v>
      </c>
      <c r="I130" s="1" t="str">
        <f t="shared" si="24"/>
        <v>双倍钥匙</v>
      </c>
      <c r="J130" s="325">
        <v>40</v>
      </c>
      <c r="K130" s="325" t="s">
        <v>4099</v>
      </c>
      <c r="L130" s="325">
        <f>VLOOKUP(K130,道具ID!$L:$N,2,FALSE)</f>
        <v>102</v>
      </c>
      <c r="M130" s="325">
        <v>1000</v>
      </c>
      <c r="N130" s="325" t="str">
        <f t="shared" si="25"/>
        <v>军费</v>
      </c>
      <c r="O130" s="1">
        <f t="shared" si="26"/>
        <v>0</v>
      </c>
    </row>
    <row r="131" spans="1:15" x14ac:dyDescent="0.3">
      <c r="A131" s="1">
        <v>2</v>
      </c>
      <c r="B131" s="325">
        <v>120</v>
      </c>
      <c r="C131" s="325" t="s">
        <v>317</v>
      </c>
      <c r="D131" s="325">
        <v>50</v>
      </c>
      <c r="E131" s="325" t="str">
        <f>"["&amp;VLOOKUP(C131,道具ID!$L:$N,2,FALSE)&amp;"]"</f>
        <v>[101]</v>
      </c>
      <c r="F131" s="325" t="str">
        <f t="shared" si="22"/>
        <v>[50]</v>
      </c>
      <c r="G131" s="325" t="str">
        <f>VLOOKUP(C131,道具ID!$L:$N,3,FALSE)</f>
        <v>StoreDiamond_1</v>
      </c>
      <c r="H131" s="1">
        <f t="shared" si="23"/>
        <v>2</v>
      </c>
      <c r="I131" s="1" t="str">
        <f t="shared" si="24"/>
        <v>钻石</v>
      </c>
      <c r="J131" s="325">
        <v>50</v>
      </c>
      <c r="K131" s="325" t="s">
        <v>4103</v>
      </c>
      <c r="L131" s="325">
        <f>VLOOKUP(K131,道具ID!$L:$N,2,FALSE)</f>
        <v>105</v>
      </c>
      <c r="M131" s="325">
        <v>50</v>
      </c>
      <c r="N131" s="325" t="str">
        <f t="shared" si="25"/>
        <v>钥匙</v>
      </c>
      <c r="O131" s="1">
        <f t="shared" si="26"/>
        <v>0</v>
      </c>
    </row>
    <row r="132" spans="1:15" x14ac:dyDescent="0.3">
      <c r="A132" s="1">
        <v>2</v>
      </c>
      <c r="B132" s="325">
        <v>140</v>
      </c>
      <c r="C132" s="325" t="s">
        <v>4107</v>
      </c>
      <c r="D132" s="325">
        <v>1</v>
      </c>
      <c r="E132" s="325" t="str">
        <f>"["&amp;VLOOKUP(C132,道具ID!$L:$N,2,FALSE)&amp;"]"</f>
        <v>[23002]</v>
      </c>
      <c r="F132" s="325" t="str">
        <f t="shared" si="22"/>
        <v>[1]</v>
      </c>
      <c r="G132" s="325" t="str">
        <f>VLOOKUP(C132,道具ID!$L:$N,3,FALSE)</f>
        <v>chest_tankpart</v>
      </c>
      <c r="H132" s="1">
        <f t="shared" si="23"/>
        <v>2</v>
      </c>
      <c r="I132" s="1" t="str">
        <f t="shared" si="24"/>
        <v>部件宝箱</v>
      </c>
      <c r="J132" s="325">
        <v>60</v>
      </c>
      <c r="K132" s="325" t="s">
        <v>4105</v>
      </c>
      <c r="L132" s="325">
        <f>VLOOKUP(K132,道具ID!$L:$N,2,FALSE)</f>
        <v>25156</v>
      </c>
      <c r="M132" s="325">
        <v>1</v>
      </c>
      <c r="N132" s="325" t="str">
        <f t="shared" si="25"/>
        <v>高级自宝箱</v>
      </c>
      <c r="O132" s="1">
        <f t="shared" si="26"/>
        <v>0</v>
      </c>
    </row>
    <row r="133" spans="1:15" x14ac:dyDescent="0.3">
      <c r="A133" s="1">
        <v>150</v>
      </c>
      <c r="B133" s="103">
        <v>160</v>
      </c>
      <c r="C133" s="103" t="s">
        <v>516</v>
      </c>
      <c r="D133" s="103">
        <v>1</v>
      </c>
      <c r="E133" s="325" t="str">
        <f>"["&amp;VLOOKUP(C133,道具ID!$L:$N,2,FALSE)&amp;"]"</f>
        <v>[11211]</v>
      </c>
      <c r="F133" s="325" t="str">
        <f t="shared" si="22"/>
        <v>[1]</v>
      </c>
      <c r="G133" s="325" t="str">
        <f>VLOOKUP(C133,道具ID!$L:$N,3,FALSE)</f>
        <v>ii</v>
      </c>
      <c r="H133" s="1">
        <f t="shared" si="23"/>
        <v>150</v>
      </c>
      <c r="I133" s="1" t="str">
        <f t="shared" si="24"/>
        <v>二号</v>
      </c>
      <c r="J133" s="325">
        <v>70</v>
      </c>
      <c r="K133" s="325" t="s">
        <v>4099</v>
      </c>
      <c r="L133" s="325">
        <f>VLOOKUP(K133,道具ID!$L:$N,2,FALSE)</f>
        <v>102</v>
      </c>
      <c r="M133" s="325">
        <v>2000</v>
      </c>
      <c r="N133" s="325" t="str">
        <f t="shared" si="25"/>
        <v>军费</v>
      </c>
      <c r="O133" s="1">
        <f t="shared" si="26"/>
        <v>0</v>
      </c>
    </row>
    <row r="134" spans="1:15" x14ac:dyDescent="0.3">
      <c r="A134" s="1">
        <v>3</v>
      </c>
      <c r="B134" s="325">
        <v>190</v>
      </c>
      <c r="C134" s="325" t="s">
        <v>444</v>
      </c>
      <c r="D134" s="325">
        <v>1</v>
      </c>
      <c r="E134" s="325" t="str">
        <f>"["&amp;VLOOKUP(C134,道具ID!$L:$N,2,FALSE)&amp;"]"</f>
        <v>[92001]</v>
      </c>
      <c r="F134" s="325" t="str">
        <f t="shared" si="22"/>
        <v>[1]</v>
      </c>
      <c r="G134" s="325" t="str">
        <f>VLOOKUP(C134,道具ID!$L:$N,3,FALSE)</f>
        <v>tank_part_icon_t2_l_1</v>
      </c>
      <c r="H134" s="1">
        <f t="shared" si="23"/>
        <v>3</v>
      </c>
      <c r="I134" s="1" t="str">
        <f t="shared" si="24"/>
        <v>T2LP1</v>
      </c>
      <c r="J134" s="325">
        <v>80</v>
      </c>
      <c r="K134" s="325" t="s">
        <v>4102</v>
      </c>
      <c r="L134" s="325">
        <f>VLOOKUP(K134,道具ID!$L:$N,2,FALSE)</f>
        <v>101</v>
      </c>
      <c r="M134" s="325">
        <v>100</v>
      </c>
      <c r="N134" s="325" t="str">
        <f t="shared" si="25"/>
        <v>钻石</v>
      </c>
      <c r="O134" s="1">
        <f t="shared" si="26"/>
        <v>100</v>
      </c>
    </row>
    <row r="135" spans="1:15" x14ac:dyDescent="0.3">
      <c r="A135" s="1">
        <v>3</v>
      </c>
      <c r="B135" s="325">
        <v>220</v>
      </c>
      <c r="C135" s="325" t="s">
        <v>445</v>
      </c>
      <c r="D135" s="325">
        <v>1</v>
      </c>
      <c r="E135" s="325" t="str">
        <f>"["&amp;VLOOKUP(C135,道具ID!$L:$N,2,FALSE)&amp;"]"</f>
        <v>[92003]</v>
      </c>
      <c r="F135" s="325" t="str">
        <f t="shared" si="22"/>
        <v>[1]</v>
      </c>
      <c r="G135" s="325" t="str">
        <f>VLOOKUP(C135,道具ID!$L:$N,3,FALSE)</f>
        <v>tank_part_icon_t2_l_3</v>
      </c>
      <c r="H135" s="1">
        <f t="shared" si="23"/>
        <v>3</v>
      </c>
      <c r="I135" s="1" t="str">
        <f t="shared" si="24"/>
        <v>T2LP3</v>
      </c>
      <c r="J135" s="325">
        <v>90</v>
      </c>
      <c r="K135" s="325" t="s">
        <v>4104</v>
      </c>
      <c r="L135" s="325">
        <f>VLOOKUP(K135,道具ID!$L:$N,2,FALSE)</f>
        <v>25158</v>
      </c>
      <c r="M135" s="325">
        <v>1</v>
      </c>
      <c r="N135" s="325" t="str">
        <f t="shared" si="25"/>
        <v>高级自宝箱</v>
      </c>
      <c r="O135" s="1">
        <f t="shared" si="26"/>
        <v>0</v>
      </c>
    </row>
    <row r="136" spans="1:15" x14ac:dyDescent="0.3">
      <c r="A136" s="1">
        <v>3</v>
      </c>
      <c r="B136" s="325">
        <v>250</v>
      </c>
      <c r="C136" s="325" t="s">
        <v>317</v>
      </c>
      <c r="D136" s="325">
        <v>100</v>
      </c>
      <c r="E136" s="325" t="str">
        <f>"["&amp;VLOOKUP(C136,道具ID!$L:$N,2,FALSE)&amp;"]"</f>
        <v>[101]</v>
      </c>
      <c r="F136" s="325" t="str">
        <f t="shared" si="22"/>
        <v>[100]</v>
      </c>
      <c r="G136" s="325" t="str">
        <f>VLOOKUP(C136,道具ID!$L:$N,3,FALSE)</f>
        <v>StoreDiamond_1</v>
      </c>
      <c r="H136" s="1">
        <f t="shared" si="23"/>
        <v>3</v>
      </c>
      <c r="I136" s="1" t="str">
        <f t="shared" si="24"/>
        <v>钻石</v>
      </c>
      <c r="J136" s="325">
        <v>105</v>
      </c>
      <c r="K136" s="325" t="s">
        <v>4108</v>
      </c>
      <c r="L136" s="325">
        <f>VLOOKUP(K136,道具ID!$L:$N,2,FALSE)</f>
        <v>23008</v>
      </c>
      <c r="M136" s="325">
        <v>1</v>
      </c>
      <c r="N136" s="325" t="str">
        <f t="shared" si="25"/>
        <v>部件宝箱</v>
      </c>
      <c r="O136" s="1">
        <f t="shared" si="26"/>
        <v>0</v>
      </c>
    </row>
    <row r="137" spans="1:15" x14ac:dyDescent="0.3">
      <c r="A137" s="1">
        <v>3</v>
      </c>
      <c r="B137" s="325">
        <v>280</v>
      </c>
      <c r="C137" s="325" t="s">
        <v>4100</v>
      </c>
      <c r="D137" s="325">
        <v>1</v>
      </c>
      <c r="E137" s="325" t="str">
        <f>"["&amp;VLOOKUP(C137,道具ID!$L:$N,2,FALSE)&amp;"]"</f>
        <v>[23003]</v>
      </c>
      <c r="F137" s="325" t="str">
        <f t="shared" si="22"/>
        <v>[1]</v>
      </c>
      <c r="G137" s="325" t="str">
        <f>VLOOKUP(C137,道具ID!$L:$N,3,FALSE)</f>
        <v>chest_tankpart</v>
      </c>
      <c r="H137" s="1">
        <f t="shared" si="23"/>
        <v>3</v>
      </c>
      <c r="I137" s="1" t="str">
        <f t="shared" si="24"/>
        <v>部件宝箱</v>
      </c>
      <c r="J137" s="325">
        <v>120</v>
      </c>
      <c r="K137" s="325" t="s">
        <v>4099</v>
      </c>
      <c r="L137" s="325">
        <f>VLOOKUP(K137,道具ID!$L:$N,2,FALSE)</f>
        <v>102</v>
      </c>
      <c r="M137" s="325">
        <v>3000</v>
      </c>
      <c r="N137" s="325" t="str">
        <f t="shared" si="25"/>
        <v>军费</v>
      </c>
      <c r="O137" s="1">
        <f t="shared" si="26"/>
        <v>0</v>
      </c>
    </row>
    <row r="138" spans="1:15" x14ac:dyDescent="0.3">
      <c r="A138" s="1">
        <v>300</v>
      </c>
      <c r="B138" s="103">
        <v>330</v>
      </c>
      <c r="C138" s="103" t="s">
        <v>518</v>
      </c>
      <c r="D138" s="103">
        <v>1</v>
      </c>
      <c r="E138" s="325" t="str">
        <f>"["&amp;VLOOKUP(C138,道具ID!$L:$N,2,FALSE)&amp;"]"</f>
        <v>[12211]</v>
      </c>
      <c r="F138" s="325" t="str">
        <f t="shared" si="22"/>
        <v>[1]</v>
      </c>
      <c r="G138" s="325" t="str">
        <f>VLOOKUP(C138,道具ID!$L:$N,3,FALSE)</f>
        <v>t34</v>
      </c>
      <c r="H138" s="1">
        <f t="shared" si="23"/>
        <v>300</v>
      </c>
      <c r="I138" s="1" t="str">
        <f t="shared" si="24"/>
        <v>T-34</v>
      </c>
      <c r="J138" s="325">
        <v>135</v>
      </c>
      <c r="K138" s="325" t="s">
        <v>4110</v>
      </c>
      <c r="L138" s="325">
        <f>VLOOKUP(K138,道具ID!$L:$N,2,FALSE)</f>
        <v>24008</v>
      </c>
      <c r="M138" s="325">
        <v>1</v>
      </c>
      <c r="N138" s="325" t="str">
        <f t="shared" si="25"/>
        <v>碎片宝箱</v>
      </c>
      <c r="O138" s="1">
        <f t="shared" si="26"/>
        <v>0</v>
      </c>
    </row>
    <row r="139" spans="1:15" x14ac:dyDescent="0.3">
      <c r="A139" s="1">
        <v>4</v>
      </c>
      <c r="B139" s="325">
        <v>360</v>
      </c>
      <c r="C139" s="325" t="s">
        <v>519</v>
      </c>
      <c r="D139" s="325">
        <v>1</v>
      </c>
      <c r="E139" s="325" t="str">
        <f>"["&amp;VLOOKUP(C139,道具ID!$L:$N,2,FALSE)&amp;"]"</f>
        <v>[92102]</v>
      </c>
      <c r="F139" s="325" t="str">
        <f t="shared" si="22"/>
        <v>[1]</v>
      </c>
      <c r="G139" s="325" t="str">
        <f>VLOOKUP(C139,道具ID!$L:$N,3,FALSE)</f>
        <v>tank_part_icon_t2_m_2</v>
      </c>
      <c r="H139" s="1">
        <f t="shared" si="23"/>
        <v>4</v>
      </c>
      <c r="I139" s="1" t="str">
        <f t="shared" si="24"/>
        <v>T2MP2</v>
      </c>
      <c r="J139" s="325">
        <v>150</v>
      </c>
      <c r="K139" s="325" t="s">
        <v>4106</v>
      </c>
      <c r="L139" s="325">
        <f>VLOOKUP(K139,道具ID!$L:$N,2,FALSE)</f>
        <v>25258</v>
      </c>
      <c r="M139" s="325">
        <v>1</v>
      </c>
      <c r="N139" s="325" t="str">
        <f t="shared" si="25"/>
        <v>稀有自宝箱</v>
      </c>
      <c r="O139" s="1">
        <f t="shared" si="26"/>
        <v>0</v>
      </c>
    </row>
    <row r="140" spans="1:15" x14ac:dyDescent="0.3">
      <c r="A140" s="1">
        <v>4</v>
      </c>
      <c r="B140" s="325">
        <v>390</v>
      </c>
      <c r="C140" s="325" t="s">
        <v>520</v>
      </c>
      <c r="D140" s="325">
        <v>1</v>
      </c>
      <c r="E140" s="325" t="str">
        <f>"["&amp;VLOOKUP(C140,道具ID!$L:$N,2,FALSE)&amp;"]"</f>
        <v>[92104]</v>
      </c>
      <c r="F140" s="325" t="str">
        <f t="shared" si="22"/>
        <v>[1]</v>
      </c>
      <c r="G140" s="325" t="str">
        <f>VLOOKUP(C140,道具ID!$L:$N,3,FALSE)</f>
        <v>tank_part_icon_t2_m_4</v>
      </c>
      <c r="H140" s="1">
        <f t="shared" si="23"/>
        <v>4</v>
      </c>
      <c r="I140" s="1" t="str">
        <f t="shared" si="24"/>
        <v>T2MP4</v>
      </c>
      <c r="J140" s="325">
        <v>165</v>
      </c>
      <c r="K140" s="325" t="s">
        <v>4109</v>
      </c>
      <c r="L140" s="325">
        <f>VLOOKUP(K140,道具ID!$L:$N,2,FALSE)</f>
        <v>24006</v>
      </c>
      <c r="M140" s="325">
        <v>1</v>
      </c>
      <c r="N140" s="325" t="str">
        <f t="shared" si="25"/>
        <v>碎片宝箱</v>
      </c>
      <c r="O140" s="1">
        <f t="shared" si="26"/>
        <v>0</v>
      </c>
    </row>
    <row r="141" spans="1:15" x14ac:dyDescent="0.3">
      <c r="A141" s="1">
        <v>4</v>
      </c>
      <c r="B141" s="325">
        <v>420</v>
      </c>
      <c r="C141" s="325" t="s">
        <v>317</v>
      </c>
      <c r="D141" s="325">
        <v>100</v>
      </c>
      <c r="E141" s="325" t="str">
        <f>"["&amp;VLOOKUP(C141,道具ID!$L:$N,2,FALSE)&amp;"]"</f>
        <v>[101]</v>
      </c>
      <c r="F141" s="325" t="str">
        <f t="shared" si="22"/>
        <v>[100]</v>
      </c>
      <c r="G141" s="325" t="str">
        <f>VLOOKUP(C141,道具ID!$L:$N,3,FALSE)</f>
        <v>StoreDiamond_1</v>
      </c>
      <c r="H141" s="1">
        <f t="shared" si="23"/>
        <v>4</v>
      </c>
      <c r="I141" s="1" t="str">
        <f t="shared" si="24"/>
        <v>钻石</v>
      </c>
      <c r="J141" s="325">
        <v>180</v>
      </c>
      <c r="K141" s="325" t="s">
        <v>4099</v>
      </c>
      <c r="L141" s="325">
        <f>VLOOKUP(K141,道具ID!$L:$N,2,FALSE)</f>
        <v>102</v>
      </c>
      <c r="M141" s="325">
        <v>5000</v>
      </c>
      <c r="N141" s="325" t="str">
        <f t="shared" si="25"/>
        <v>军费</v>
      </c>
      <c r="O141" s="1">
        <f t="shared" si="26"/>
        <v>0</v>
      </c>
    </row>
    <row r="142" spans="1:15" x14ac:dyDescent="0.3">
      <c r="A142" s="1">
        <v>4</v>
      </c>
      <c r="B142" s="325">
        <v>460</v>
      </c>
      <c r="C142" s="325" t="s">
        <v>521</v>
      </c>
      <c r="D142" s="325">
        <v>1</v>
      </c>
      <c r="E142" s="325" t="str">
        <f>"["&amp;VLOOKUP(C142,道具ID!$L:$N,2,FALSE)&amp;"]"</f>
        <v>[24004]</v>
      </c>
      <c r="F142" s="325" t="str">
        <f t="shared" si="22"/>
        <v>[1]</v>
      </c>
      <c r="G142" s="325" t="str">
        <f>VLOOKUP(C142,道具ID!$L:$N,3,FALSE)</f>
        <v>chest_shard</v>
      </c>
      <c r="H142" s="1">
        <f t="shared" si="23"/>
        <v>4</v>
      </c>
      <c r="I142" s="1" t="str">
        <f t="shared" si="24"/>
        <v>碎片宝箱</v>
      </c>
      <c r="J142" s="325">
        <v>195</v>
      </c>
      <c r="K142" s="325" t="s">
        <v>4108</v>
      </c>
      <c r="L142" s="325">
        <f>VLOOKUP(K142,道具ID!$L:$N,2,FALSE)</f>
        <v>23008</v>
      </c>
      <c r="M142" s="325">
        <v>1</v>
      </c>
      <c r="N142" s="325" t="str">
        <f t="shared" si="25"/>
        <v>部件宝箱</v>
      </c>
      <c r="O142" s="1">
        <f t="shared" si="26"/>
        <v>0</v>
      </c>
    </row>
    <row r="143" spans="1:15" x14ac:dyDescent="0.3">
      <c r="A143" s="1">
        <v>500</v>
      </c>
      <c r="B143" s="103">
        <v>550</v>
      </c>
      <c r="C143" s="103" t="s">
        <v>522</v>
      </c>
      <c r="D143" s="103">
        <v>1</v>
      </c>
      <c r="E143" s="325" t="str">
        <f>"["&amp;VLOOKUP(C143,道具ID!$L:$N,2,FALSE)&amp;"]"</f>
        <v>[11311]</v>
      </c>
      <c r="F143" s="325" t="str">
        <f t="shared" si="22"/>
        <v>[1]</v>
      </c>
      <c r="G143" s="325" t="str">
        <f>VLOOKUP(C143,道具ID!$L:$N,3,FALSE)</f>
        <v>35t</v>
      </c>
      <c r="H143" s="1">
        <f t="shared" si="23"/>
        <v>500</v>
      </c>
      <c r="I143" s="1" t="str">
        <f t="shared" si="24"/>
        <v>35(t)</v>
      </c>
      <c r="J143" s="325">
        <v>210</v>
      </c>
      <c r="K143" s="325" t="s">
        <v>4106</v>
      </c>
      <c r="L143" s="325">
        <f>VLOOKUP(K143,道具ID!$L:$N,2,FALSE)</f>
        <v>25258</v>
      </c>
      <c r="M143" s="325">
        <v>1</v>
      </c>
      <c r="N143" s="325" t="str">
        <f t="shared" si="25"/>
        <v>稀有自宝箱</v>
      </c>
      <c r="O143" s="1">
        <f t="shared" si="26"/>
        <v>0</v>
      </c>
    </row>
    <row r="144" spans="1:15" x14ac:dyDescent="0.3">
      <c r="A144" s="1">
        <v>5</v>
      </c>
      <c r="B144" s="325">
        <v>600</v>
      </c>
      <c r="C144" s="325" t="s">
        <v>523</v>
      </c>
      <c r="D144" s="325">
        <v>1</v>
      </c>
      <c r="E144" s="325" t="str">
        <f>"["&amp;VLOOKUP(C144,道具ID!$L:$N,2,FALSE)&amp;"]"</f>
        <v>[92001]</v>
      </c>
      <c r="F144" s="325" t="str">
        <f t="shared" si="22"/>
        <v>[1]</v>
      </c>
      <c r="G144" s="325" t="str">
        <f>VLOOKUP(C144,道具ID!$L:$N,3,FALSE)</f>
        <v>tank_part_icon_t2_l_1</v>
      </c>
      <c r="H144" s="1">
        <f t="shared" si="23"/>
        <v>5</v>
      </c>
      <c r="I144" s="1" t="str">
        <f t="shared" si="24"/>
        <v>T2LP1</v>
      </c>
      <c r="J144" s="325">
        <v>225</v>
      </c>
      <c r="K144" s="325" t="s">
        <v>4109</v>
      </c>
      <c r="L144" s="325">
        <f>VLOOKUP(K144,道具ID!$L:$N,2,FALSE)</f>
        <v>24006</v>
      </c>
      <c r="M144" s="325">
        <v>1</v>
      </c>
      <c r="N144" s="325" t="str">
        <f t="shared" si="25"/>
        <v>碎片宝箱</v>
      </c>
      <c r="O144" s="1">
        <f t="shared" si="26"/>
        <v>0</v>
      </c>
    </row>
    <row r="145" spans="1:15" x14ac:dyDescent="0.3">
      <c r="A145" s="1">
        <v>5</v>
      </c>
      <c r="B145" s="325">
        <v>650</v>
      </c>
      <c r="C145" s="325" t="s">
        <v>524</v>
      </c>
      <c r="D145" s="325">
        <v>1</v>
      </c>
      <c r="E145" s="325" t="str">
        <f>"["&amp;VLOOKUP(C145,道具ID!$L:$N,2,FALSE)&amp;"]"</f>
        <v>[92003]</v>
      </c>
      <c r="F145" s="325" t="str">
        <f t="shared" si="22"/>
        <v>[1]</v>
      </c>
      <c r="G145" s="325" t="str">
        <f>VLOOKUP(C145,道具ID!$L:$N,3,FALSE)</f>
        <v>tank_part_icon_t2_l_3</v>
      </c>
      <c r="H145" s="1">
        <f t="shared" si="23"/>
        <v>5</v>
      </c>
      <c r="I145" s="1" t="str">
        <f t="shared" si="24"/>
        <v>T2LP3</v>
      </c>
      <c r="J145" s="325">
        <v>240</v>
      </c>
      <c r="K145" s="325" t="s">
        <v>4099</v>
      </c>
      <c r="L145" s="325">
        <f>VLOOKUP(K145,道具ID!$L:$N,2,FALSE)</f>
        <v>102</v>
      </c>
      <c r="M145" s="325">
        <v>8000</v>
      </c>
      <c r="N145" s="325" t="str">
        <f t="shared" si="25"/>
        <v>军费</v>
      </c>
      <c r="O145" s="1">
        <f t="shared" si="26"/>
        <v>0</v>
      </c>
    </row>
    <row r="146" spans="1:15" x14ac:dyDescent="0.3">
      <c r="A146" s="1">
        <v>5</v>
      </c>
      <c r="B146" s="325">
        <v>700</v>
      </c>
      <c r="C146" s="325" t="s">
        <v>317</v>
      </c>
      <c r="D146" s="325">
        <v>150</v>
      </c>
      <c r="E146" s="325" t="str">
        <f>"["&amp;VLOOKUP(C146,道具ID!$L:$N,2,FALSE)&amp;"]"</f>
        <v>[101]</v>
      </c>
      <c r="F146" s="325" t="str">
        <f t="shared" si="22"/>
        <v>[150]</v>
      </c>
      <c r="G146" s="325" t="str">
        <f>VLOOKUP(C146,道具ID!$L:$N,3,FALSE)</f>
        <v>StoreDiamond_1</v>
      </c>
      <c r="H146" s="1">
        <f t="shared" si="23"/>
        <v>5</v>
      </c>
      <c r="I146" s="1" t="str">
        <f t="shared" si="24"/>
        <v>钻石</v>
      </c>
      <c r="J146" s="325">
        <v>255</v>
      </c>
      <c r="K146" s="325" t="s">
        <v>4108</v>
      </c>
      <c r="L146" s="325">
        <f>VLOOKUP(K146,道具ID!$L:$N,2,FALSE)</f>
        <v>23008</v>
      </c>
      <c r="M146" s="325">
        <v>1</v>
      </c>
      <c r="N146" s="325" t="str">
        <f t="shared" si="25"/>
        <v>部件宝箱</v>
      </c>
      <c r="O146" s="1">
        <f t="shared" si="26"/>
        <v>0</v>
      </c>
    </row>
    <row r="147" spans="1:15" x14ac:dyDescent="0.3">
      <c r="A147" s="1">
        <v>5</v>
      </c>
      <c r="B147" s="325">
        <v>750</v>
      </c>
      <c r="C147" s="325" t="s">
        <v>525</v>
      </c>
      <c r="D147" s="325">
        <v>1</v>
      </c>
      <c r="E147" s="325" t="str">
        <f>"["&amp;VLOOKUP(C147,道具ID!$L:$N,2,FALSE)&amp;"]"</f>
        <v>[23005]</v>
      </c>
      <c r="F147" s="325" t="str">
        <f t="shared" si="22"/>
        <v>[1]</v>
      </c>
      <c r="G147" s="325" t="str">
        <f>VLOOKUP(C147,道具ID!$L:$N,3,FALSE)</f>
        <v>chest_tankpart</v>
      </c>
      <c r="H147" s="1">
        <f t="shared" si="23"/>
        <v>5</v>
      </c>
      <c r="I147" s="1" t="str">
        <f t="shared" si="24"/>
        <v>部件宝箱</v>
      </c>
      <c r="J147" s="325">
        <v>270</v>
      </c>
      <c r="K147" s="325" t="s">
        <v>4106</v>
      </c>
      <c r="L147" s="325">
        <f>VLOOKUP(K147,道具ID!$L:$N,2,FALSE)</f>
        <v>25258</v>
      </c>
      <c r="M147" s="325">
        <v>1</v>
      </c>
      <c r="N147" s="325" t="str">
        <f t="shared" si="25"/>
        <v>稀有自宝箱</v>
      </c>
      <c r="O147" s="1">
        <f t="shared" si="26"/>
        <v>0</v>
      </c>
    </row>
    <row r="148" spans="1:15" x14ac:dyDescent="0.3">
      <c r="A148" s="1">
        <v>800</v>
      </c>
      <c r="B148" s="103">
        <v>850</v>
      </c>
      <c r="C148" s="103" t="s">
        <v>526</v>
      </c>
      <c r="D148" s="103">
        <v>1</v>
      </c>
      <c r="E148" s="325" t="str">
        <f>"["&amp;VLOOKUP(C148,道具ID!$L:$N,2,FALSE)&amp;"]"</f>
        <v>[12311]</v>
      </c>
      <c r="F148" s="325" t="str">
        <f t="shared" si="22"/>
        <v>[1]</v>
      </c>
      <c r="G148" s="325" t="str">
        <f>VLOOKUP(C148,道具ID!$L:$N,3,FALSE)</f>
        <v>mathilda</v>
      </c>
      <c r="H148" s="1">
        <f t="shared" si="23"/>
        <v>800</v>
      </c>
      <c r="I148" s="1" t="str">
        <f t="shared" si="24"/>
        <v>玛蒂尔达</v>
      </c>
      <c r="J148" s="325">
        <v>285</v>
      </c>
      <c r="K148" s="325" t="s">
        <v>4110</v>
      </c>
      <c r="L148" s="325">
        <f>VLOOKUP(K148,道具ID!$L:$N,2,FALSE)</f>
        <v>24008</v>
      </c>
      <c r="M148" s="325">
        <v>1</v>
      </c>
      <c r="N148" s="325" t="str">
        <f t="shared" si="25"/>
        <v>碎片宝箱</v>
      </c>
      <c r="O148" s="1">
        <f t="shared" si="26"/>
        <v>0</v>
      </c>
    </row>
    <row r="149" spans="1:15" x14ac:dyDescent="0.3">
      <c r="A149" s="1">
        <v>6</v>
      </c>
      <c r="B149" s="325">
        <v>900</v>
      </c>
      <c r="C149" s="325" t="s">
        <v>3853</v>
      </c>
      <c r="D149" s="325">
        <v>1</v>
      </c>
      <c r="E149" s="325" t="str">
        <f>"["&amp;VLOOKUP(C149,道具ID!$L:$N,2,FALSE)&amp;"]"</f>
        <v>[93101]</v>
      </c>
      <c r="F149" s="325" t="str">
        <f t="shared" si="22"/>
        <v>[1]</v>
      </c>
      <c r="G149" s="325" t="str">
        <f>VLOOKUP(C149,道具ID!$L:$N,3,FALSE)</f>
        <v>tank_part_icon_t3_m_1</v>
      </c>
      <c r="H149" s="1">
        <f t="shared" si="23"/>
        <v>6</v>
      </c>
      <c r="I149" s="1" t="str">
        <f t="shared" si="24"/>
        <v>T3MP1</v>
      </c>
      <c r="J149" s="325">
        <v>300</v>
      </c>
      <c r="K149" s="325" t="s">
        <v>4099</v>
      </c>
      <c r="L149" s="325">
        <f>VLOOKUP(K149,道具ID!$L:$N,2,FALSE)</f>
        <v>102</v>
      </c>
      <c r="M149" s="325">
        <v>10000</v>
      </c>
      <c r="N149" s="325" t="str">
        <f t="shared" si="25"/>
        <v>军费</v>
      </c>
      <c r="O149" s="1">
        <f t="shared" si="26"/>
        <v>0</v>
      </c>
    </row>
    <row r="150" spans="1:15" x14ac:dyDescent="0.3">
      <c r="A150" s="1">
        <v>6</v>
      </c>
      <c r="B150" s="325">
        <v>950</v>
      </c>
      <c r="C150" s="325" t="s">
        <v>527</v>
      </c>
      <c r="D150" s="325">
        <v>1</v>
      </c>
      <c r="E150" s="325" t="str">
        <f>"["&amp;VLOOKUP(C150,道具ID!$L:$N,2,FALSE)&amp;"]"</f>
        <v>[93103]</v>
      </c>
      <c r="F150" s="325" t="str">
        <f t="shared" si="22"/>
        <v>[1]</v>
      </c>
      <c r="G150" s="325" t="str">
        <f>VLOOKUP(C150,道具ID!$L:$N,3,FALSE)</f>
        <v>tank_part_icon_t3_m_3</v>
      </c>
      <c r="H150" s="1">
        <f t="shared" si="23"/>
        <v>6</v>
      </c>
      <c r="I150" s="1" t="str">
        <f t="shared" si="24"/>
        <v>T3MP3</v>
      </c>
      <c r="J150" s="325">
        <v>315</v>
      </c>
      <c r="K150" s="325" t="s">
        <v>4108</v>
      </c>
      <c r="L150" s="325">
        <f>VLOOKUP(K150,道具ID!$L:$N,2,FALSE)</f>
        <v>23008</v>
      </c>
      <c r="M150" s="325">
        <v>1</v>
      </c>
      <c r="N150" s="325" t="str">
        <f t="shared" si="25"/>
        <v>部件宝箱</v>
      </c>
      <c r="O150" s="1">
        <f t="shared" si="26"/>
        <v>0</v>
      </c>
    </row>
    <row r="151" spans="1:15" x14ac:dyDescent="0.3">
      <c r="A151" s="1">
        <v>6</v>
      </c>
      <c r="B151" s="325">
        <v>1000</v>
      </c>
      <c r="C151" s="325" t="s">
        <v>317</v>
      </c>
      <c r="D151" s="325">
        <v>150</v>
      </c>
      <c r="E151" s="325" t="str">
        <f>"["&amp;VLOOKUP(C151,道具ID!$L:$N,2,FALSE)&amp;"]"</f>
        <v>[101]</v>
      </c>
      <c r="F151" s="325" t="str">
        <f t="shared" si="22"/>
        <v>[150]</v>
      </c>
      <c r="G151" s="325" t="str">
        <f>VLOOKUP(C151,道具ID!$L:$N,3,FALSE)</f>
        <v>StoreDiamond_1</v>
      </c>
      <c r="H151" s="1">
        <f>A151</f>
        <v>6</v>
      </c>
      <c r="I151" s="1" t="str">
        <f t="shared" si="24"/>
        <v>钻石</v>
      </c>
      <c r="J151" s="325">
        <v>330</v>
      </c>
      <c r="K151" s="325" t="s">
        <v>4099</v>
      </c>
      <c r="L151" s="325">
        <f>VLOOKUP(K151,道具ID!$L:$N,2,FALSE)</f>
        <v>102</v>
      </c>
      <c r="M151" s="325">
        <v>20000</v>
      </c>
      <c r="N151" s="325" t="str">
        <f t="shared" si="25"/>
        <v>军费</v>
      </c>
      <c r="O151" s="1">
        <f t="shared" si="26"/>
        <v>0</v>
      </c>
    </row>
    <row r="152" spans="1:15" x14ac:dyDescent="0.3">
      <c r="A152" s="1">
        <v>6</v>
      </c>
      <c r="B152" s="325">
        <v>1050</v>
      </c>
      <c r="C152" s="325" t="s">
        <v>4109</v>
      </c>
      <c r="D152" s="325">
        <v>1</v>
      </c>
      <c r="E152" s="325" t="str">
        <f>"["&amp;VLOOKUP(C152,道具ID!$L:$N,2,FALSE)&amp;"]"</f>
        <v>[24006]</v>
      </c>
      <c r="F152" s="325" t="str">
        <f t="shared" si="22"/>
        <v>[1]</v>
      </c>
      <c r="G152" s="325" t="str">
        <f>VLOOKUP(C152,道具ID!$L:$N,3,FALSE)</f>
        <v>chest_shard</v>
      </c>
      <c r="H152" s="1">
        <f t="shared" si="23"/>
        <v>6</v>
      </c>
      <c r="I152" s="1" t="str">
        <f t="shared" si="24"/>
        <v>碎片宝箱</v>
      </c>
      <c r="J152" s="325">
        <v>345</v>
      </c>
      <c r="K152" s="325" t="s">
        <v>4110</v>
      </c>
      <c r="L152" s="325">
        <f>VLOOKUP(K152,道具ID!$L:$N,2,FALSE)</f>
        <v>24008</v>
      </c>
      <c r="M152" s="325">
        <v>1</v>
      </c>
      <c r="N152" s="325" t="str">
        <f t="shared" si="25"/>
        <v>碎片宝箱</v>
      </c>
      <c r="O152" s="1">
        <f t="shared" si="26"/>
        <v>0</v>
      </c>
    </row>
    <row r="153" spans="1:15" x14ac:dyDescent="0.3">
      <c r="A153" s="1">
        <v>1100</v>
      </c>
      <c r="B153" s="103">
        <v>1170</v>
      </c>
      <c r="C153" s="103" t="s">
        <v>529</v>
      </c>
      <c r="D153" s="103">
        <v>1</v>
      </c>
      <c r="E153" s="325" t="str">
        <f>"["&amp;VLOOKUP(C153,道具ID!$L:$N,2,FALSE)&amp;"]"</f>
        <v>[13311]</v>
      </c>
      <c r="F153" s="325" t="str">
        <f t="shared" si="22"/>
        <v>[1]</v>
      </c>
      <c r="G153" s="325" t="str">
        <f>VLOOKUP(C153,道具ID!$L:$N,3,FALSE)</f>
        <v>panzer-v</v>
      </c>
      <c r="H153" s="1">
        <f t="shared" si="23"/>
        <v>1100</v>
      </c>
      <c r="I153" s="1" t="str">
        <f t="shared" si="24"/>
        <v>黑豹</v>
      </c>
      <c r="J153" s="325">
        <v>360</v>
      </c>
      <c r="K153" s="325" t="s">
        <v>4106</v>
      </c>
      <c r="L153" s="325">
        <f>VLOOKUP(K153,道具ID!$L:$N,2,FALSE)</f>
        <v>25258</v>
      </c>
      <c r="M153" s="325">
        <v>1</v>
      </c>
      <c r="N153" s="325" t="str">
        <f t="shared" si="25"/>
        <v>稀有自宝箱</v>
      </c>
      <c r="O153" s="1">
        <f t="shared" si="26"/>
        <v>0</v>
      </c>
    </row>
    <row r="154" spans="1:15" x14ac:dyDescent="0.3">
      <c r="A154" s="1">
        <v>7</v>
      </c>
      <c r="B154" s="325">
        <v>1240</v>
      </c>
      <c r="C154" s="325" t="s">
        <v>530</v>
      </c>
      <c r="D154" s="325">
        <v>1</v>
      </c>
      <c r="E154" s="325" t="str">
        <f>"["&amp;VLOOKUP(C154,道具ID!$L:$N,2,FALSE)&amp;"]"</f>
        <v>[93202]</v>
      </c>
      <c r="F154" s="325" t="str">
        <f t="shared" si="22"/>
        <v>[1]</v>
      </c>
      <c r="G154" s="325" t="str">
        <f>VLOOKUP(C154,道具ID!$L:$N,3,FALSE)</f>
        <v>tank_part_icon_t3_h_2</v>
      </c>
      <c r="H154" s="1">
        <f t="shared" si="23"/>
        <v>7</v>
      </c>
      <c r="I154" s="1" t="str">
        <f t="shared" si="24"/>
        <v>T3HP2</v>
      </c>
    </row>
    <row r="155" spans="1:15" x14ac:dyDescent="0.3">
      <c r="A155" s="1">
        <v>7</v>
      </c>
      <c r="B155" s="325">
        <v>1310</v>
      </c>
      <c r="C155" s="325" t="s">
        <v>531</v>
      </c>
      <c r="D155" s="325">
        <v>1</v>
      </c>
      <c r="E155" s="325" t="str">
        <f>"["&amp;VLOOKUP(C155,道具ID!$L:$N,2,FALSE)&amp;"]"</f>
        <v>[93204]</v>
      </c>
      <c r="F155" s="325" t="str">
        <f t="shared" si="22"/>
        <v>[1]</v>
      </c>
      <c r="G155" s="325" t="str">
        <f>VLOOKUP(C155,道具ID!$L:$N,3,FALSE)</f>
        <v>tank_part_icon_t3_h_4</v>
      </c>
      <c r="H155" s="1">
        <f t="shared" si="23"/>
        <v>7</v>
      </c>
      <c r="I155" s="1" t="str">
        <f t="shared" si="24"/>
        <v>T3HP4</v>
      </c>
    </row>
    <row r="156" spans="1:15" x14ac:dyDescent="0.3">
      <c r="A156" s="1">
        <v>7</v>
      </c>
      <c r="B156" s="325">
        <v>1380</v>
      </c>
      <c r="C156" s="325" t="s">
        <v>511</v>
      </c>
      <c r="D156" s="325">
        <v>200</v>
      </c>
      <c r="E156" s="325" t="str">
        <f>"["&amp;VLOOKUP(C156,道具ID!$L:$N,2,FALSE)&amp;"]"</f>
        <v>[111]</v>
      </c>
      <c r="F156" s="325" t="str">
        <f t="shared" si="22"/>
        <v>[200]</v>
      </c>
      <c r="G156" s="325" t="str">
        <f>VLOOKUP(C156,道具ID!$L:$N,3,FALSE)</f>
        <v>StoreDoubleKey_1</v>
      </c>
      <c r="H156" s="1">
        <f t="shared" si="23"/>
        <v>7</v>
      </c>
      <c r="I156" s="1" t="str">
        <f t="shared" si="24"/>
        <v>双倍钥匙</v>
      </c>
    </row>
    <row r="157" spans="1:15" x14ac:dyDescent="0.3">
      <c r="A157" s="1">
        <v>7</v>
      </c>
      <c r="B157" s="325">
        <v>1450</v>
      </c>
      <c r="C157" s="325" t="s">
        <v>317</v>
      </c>
      <c r="D157" s="325">
        <v>150</v>
      </c>
      <c r="E157" s="325" t="str">
        <f>"["&amp;VLOOKUP(C157,道具ID!$L:$N,2,FALSE)&amp;"]"</f>
        <v>[101]</v>
      </c>
      <c r="F157" s="325" t="str">
        <f t="shared" si="22"/>
        <v>[150]</v>
      </c>
      <c r="G157" s="325" t="str">
        <f>VLOOKUP(C157,道具ID!$L:$N,3,FALSE)</f>
        <v>StoreDiamond_1</v>
      </c>
      <c r="H157" s="1">
        <f t="shared" si="23"/>
        <v>7</v>
      </c>
      <c r="I157" s="1" t="str">
        <f t="shared" si="24"/>
        <v>钻石</v>
      </c>
    </row>
    <row r="158" spans="1:15" x14ac:dyDescent="0.3">
      <c r="A158" s="1">
        <v>1500</v>
      </c>
      <c r="B158" s="103">
        <v>1600</v>
      </c>
      <c r="C158" s="103" t="s">
        <v>532</v>
      </c>
      <c r="D158" s="103">
        <v>1</v>
      </c>
      <c r="E158" s="325" t="str">
        <f>"["&amp;VLOOKUP(C158,道具ID!$L:$N,2,FALSE)&amp;"]"</f>
        <v>[23006]</v>
      </c>
      <c r="F158" s="325" t="str">
        <f t="shared" si="22"/>
        <v>[1]</v>
      </c>
      <c r="G158" s="325" t="str">
        <f>VLOOKUP(C158,道具ID!$L:$N,3,FALSE)</f>
        <v>chest_tankpart</v>
      </c>
      <c r="H158" s="1">
        <f t="shared" si="23"/>
        <v>1500</v>
      </c>
      <c r="I158" s="1" t="str">
        <f>IF(ISNUMBER(FIND("宝箱",C158)),LEFT(C158,LEN(C158)-1),C158)</f>
        <v>部件宝箱</v>
      </c>
    </row>
    <row r="159" spans="1:15" x14ac:dyDescent="0.3">
      <c r="A159" s="1">
        <v>8</v>
      </c>
      <c r="B159" s="325">
        <v>1700</v>
      </c>
      <c r="C159" s="325" t="s">
        <v>533</v>
      </c>
      <c r="D159" s="325">
        <v>1</v>
      </c>
      <c r="E159" s="325" t="str">
        <f>"["&amp;VLOOKUP(C159,道具ID!$L:$N,2,FALSE)&amp;"]"</f>
        <v>[24007]</v>
      </c>
      <c r="F159" s="325" t="str">
        <f t="shared" si="22"/>
        <v>[1]</v>
      </c>
      <c r="G159" s="325" t="str">
        <f>VLOOKUP(C159,道具ID!$L:$N,3,FALSE)</f>
        <v>chest_shard</v>
      </c>
      <c r="H159" s="1">
        <f t="shared" si="23"/>
        <v>8</v>
      </c>
      <c r="I159" s="1" t="str">
        <f t="shared" si="24"/>
        <v>碎片宝箱</v>
      </c>
    </row>
    <row r="160" spans="1:15" x14ac:dyDescent="0.3">
      <c r="A160" s="1">
        <v>8</v>
      </c>
      <c r="B160" s="325">
        <v>1900</v>
      </c>
      <c r="C160" s="325" t="s">
        <v>534</v>
      </c>
      <c r="D160" s="325">
        <v>1</v>
      </c>
      <c r="E160" s="325" t="str">
        <f>"["&amp;VLOOKUP(C160,道具ID!$L:$N,2,FALSE)&amp;"]"</f>
        <v>[53341]</v>
      </c>
      <c r="F160" s="325" t="str">
        <f t="shared" si="22"/>
        <v>[1]</v>
      </c>
      <c r="G160" s="325" t="str">
        <f>VLOOKUP(C160,道具ID!$L:$N,3,FALSE)</f>
        <v>shard_pziii</v>
      </c>
      <c r="H160" s="1">
        <f t="shared" si="23"/>
        <v>8</v>
      </c>
      <c r="I160" s="1" t="str">
        <f t="shared" si="24"/>
        <v>钢狼碎片</v>
      </c>
    </row>
    <row r="161" spans="1:9" x14ac:dyDescent="0.3">
      <c r="A161" s="1">
        <v>2000</v>
      </c>
      <c r="B161" s="103">
        <v>2100</v>
      </c>
      <c r="C161" s="103" t="s">
        <v>532</v>
      </c>
      <c r="D161" s="103">
        <v>1</v>
      </c>
      <c r="E161" s="325" t="str">
        <f>"["&amp;VLOOKUP(C161,道具ID!$L:$N,2,FALSE)&amp;"]"</f>
        <v>[23006]</v>
      </c>
      <c r="F161" s="325" t="str">
        <f t="shared" si="22"/>
        <v>[1]</v>
      </c>
      <c r="G161" s="325" t="str">
        <f>VLOOKUP(C161,道具ID!$L:$N,3,FALSE)</f>
        <v>chest_tankpart</v>
      </c>
      <c r="H161" s="1">
        <f t="shared" si="23"/>
        <v>2000</v>
      </c>
      <c r="I161" s="1" t="str">
        <f t="shared" si="24"/>
        <v>部件宝箱</v>
      </c>
    </row>
    <row r="162" spans="1:9" x14ac:dyDescent="0.3">
      <c r="A162" s="1">
        <v>9</v>
      </c>
      <c r="B162" s="325">
        <v>2200</v>
      </c>
      <c r="C162" s="325" t="s">
        <v>3857</v>
      </c>
      <c r="D162" s="325">
        <v>1</v>
      </c>
      <c r="E162" s="325" t="str">
        <f>"["&amp;VLOOKUP(C162,道具ID!$L:$N,2,FALSE)&amp;"]"</f>
        <v>[25059]</v>
      </c>
      <c r="F162" s="325" t="str">
        <f t="shared" si="22"/>
        <v>[1]</v>
      </c>
      <c r="G162" s="325" t="str">
        <f>VLOOKUP(C162,道具ID!$L:$N,3,FALSE)</f>
        <v>chest_lv3_icon</v>
      </c>
      <c r="H162" s="1">
        <f t="shared" si="23"/>
        <v>9</v>
      </c>
      <c r="I162" s="1" t="str">
        <f t="shared" si="24"/>
        <v>普通自宝箱</v>
      </c>
    </row>
    <row r="163" spans="1:9" x14ac:dyDescent="0.3">
      <c r="A163" s="1">
        <v>9</v>
      </c>
      <c r="B163" s="325">
        <v>2400</v>
      </c>
      <c r="C163" s="325" t="s">
        <v>534</v>
      </c>
      <c r="D163" s="325">
        <v>1</v>
      </c>
      <c r="E163" s="325" t="str">
        <f>"["&amp;VLOOKUP(C163,道具ID!$L:$N,2,FALSE)&amp;"]"</f>
        <v>[53341]</v>
      </c>
      <c r="F163" s="325" t="str">
        <f t="shared" si="22"/>
        <v>[1]</v>
      </c>
      <c r="G163" s="325" t="str">
        <f>VLOOKUP(C163,道具ID!$L:$N,3,FALSE)</f>
        <v>shard_pziii</v>
      </c>
      <c r="H163" s="1">
        <f t="shared" si="23"/>
        <v>9</v>
      </c>
      <c r="I163" s="1" t="str">
        <f t="shared" si="24"/>
        <v>钢狼碎片</v>
      </c>
    </row>
    <row r="164" spans="1:9" x14ac:dyDescent="0.3">
      <c r="A164" s="1">
        <v>2500</v>
      </c>
      <c r="B164" s="103">
        <v>2600</v>
      </c>
      <c r="C164" s="103" t="s">
        <v>3857</v>
      </c>
      <c r="D164" s="103">
        <v>1</v>
      </c>
      <c r="E164" s="325" t="str">
        <f>"["&amp;VLOOKUP(C164,道具ID!$L:$N,2,FALSE)&amp;"]"</f>
        <v>[25059]</v>
      </c>
      <c r="F164" s="325" t="str">
        <f t="shared" si="22"/>
        <v>[1]</v>
      </c>
      <c r="G164" s="325" t="str">
        <f>VLOOKUP(C164,道具ID!$L:$N,3,FALSE)</f>
        <v>chest_lv3_icon</v>
      </c>
      <c r="H164" s="1">
        <f t="shared" si="23"/>
        <v>2500</v>
      </c>
      <c r="I164" s="1" t="str">
        <f t="shared" si="24"/>
        <v>普通自宝箱</v>
      </c>
    </row>
    <row r="165" spans="1:9" x14ac:dyDescent="0.3">
      <c r="A165" s="1">
        <v>10</v>
      </c>
      <c r="B165" s="325">
        <v>2700</v>
      </c>
      <c r="C165" s="325" t="s">
        <v>317</v>
      </c>
      <c r="D165" s="325">
        <v>100</v>
      </c>
      <c r="E165" s="325" t="str">
        <f>"["&amp;VLOOKUP(C165,道具ID!$L:$N,2,FALSE)&amp;"]"</f>
        <v>[101]</v>
      </c>
      <c r="F165" s="325" t="str">
        <f t="shared" si="22"/>
        <v>[100]</v>
      </c>
      <c r="G165" s="325" t="str">
        <f>VLOOKUP(C165,道具ID!$L:$N,3,FALSE)</f>
        <v>StoreDiamond_1</v>
      </c>
      <c r="H165" s="1">
        <f t="shared" si="23"/>
        <v>10</v>
      </c>
      <c r="I165" s="1" t="str">
        <f t="shared" si="24"/>
        <v>钻石</v>
      </c>
    </row>
    <row r="166" spans="1:9" x14ac:dyDescent="0.3">
      <c r="A166" s="1">
        <v>10</v>
      </c>
      <c r="B166" s="325">
        <v>2900</v>
      </c>
      <c r="C166" s="325" t="s">
        <v>534</v>
      </c>
      <c r="D166" s="325">
        <v>1</v>
      </c>
      <c r="E166" s="325" t="str">
        <f>"["&amp;VLOOKUP(C166,道具ID!$L:$N,2,FALSE)&amp;"]"</f>
        <v>[53341]</v>
      </c>
      <c r="F166" s="325" t="str">
        <f t="shared" si="22"/>
        <v>[1]</v>
      </c>
      <c r="G166" s="325" t="str">
        <f>VLOOKUP(C166,道具ID!$L:$N,3,FALSE)</f>
        <v>shard_pziii</v>
      </c>
      <c r="H166" s="1">
        <f t="shared" si="23"/>
        <v>10</v>
      </c>
      <c r="I166" s="1" t="str">
        <f t="shared" si="24"/>
        <v>钢狼碎片</v>
      </c>
    </row>
    <row r="167" spans="1:9" x14ac:dyDescent="0.3">
      <c r="A167" s="1">
        <v>3000</v>
      </c>
      <c r="B167" s="103">
        <v>3100</v>
      </c>
      <c r="C167" s="103" t="s">
        <v>532</v>
      </c>
      <c r="D167" s="103">
        <v>1</v>
      </c>
      <c r="E167" s="335" t="str">
        <f>"["&amp;VLOOKUP(C167,道具ID!$L:$N,2,FALSE)&amp;"]"</f>
        <v>[23006]</v>
      </c>
      <c r="F167" s="335" t="str">
        <f t="shared" ref="F167:F172" si="27">"["&amp;D167&amp;"]"</f>
        <v>[1]</v>
      </c>
      <c r="G167" s="335" t="str">
        <f>VLOOKUP(C167,道具ID!$L:$N,3,FALSE)</f>
        <v>chest_tankpart</v>
      </c>
      <c r="H167" s="1">
        <f t="shared" si="23"/>
        <v>3000</v>
      </c>
      <c r="I167" s="1" t="str">
        <f t="shared" si="24"/>
        <v>部件宝箱</v>
      </c>
    </row>
    <row r="168" spans="1:9" x14ac:dyDescent="0.3">
      <c r="A168" s="1">
        <v>11</v>
      </c>
      <c r="B168" s="335">
        <v>3500</v>
      </c>
      <c r="C168" s="335" t="s">
        <v>3857</v>
      </c>
      <c r="D168" s="335">
        <v>1</v>
      </c>
      <c r="E168" s="335" t="str">
        <f>"["&amp;VLOOKUP(C168,道具ID!$L:$N,2,FALSE)&amp;"]"</f>
        <v>[25059]</v>
      </c>
      <c r="F168" s="335" t="str">
        <f t="shared" si="27"/>
        <v>[1]</v>
      </c>
      <c r="G168" s="335" t="str">
        <f>VLOOKUP(C168,道具ID!$L:$N,3,FALSE)</f>
        <v>chest_lv3_icon</v>
      </c>
      <c r="H168" s="1">
        <f t="shared" si="23"/>
        <v>11</v>
      </c>
      <c r="I168" s="1" t="str">
        <f t="shared" si="24"/>
        <v>普通自宝箱</v>
      </c>
    </row>
    <row r="169" spans="1:9" x14ac:dyDescent="0.3">
      <c r="A169" s="1">
        <v>11</v>
      </c>
      <c r="B169" s="335">
        <v>3900</v>
      </c>
      <c r="C169" s="335" t="s">
        <v>534</v>
      </c>
      <c r="D169" s="335">
        <v>1</v>
      </c>
      <c r="E169" s="335" t="str">
        <f>"["&amp;VLOOKUP(C169,道具ID!$L:$N,2,FALSE)&amp;"]"</f>
        <v>[53341]</v>
      </c>
      <c r="F169" s="335" t="str">
        <f t="shared" si="27"/>
        <v>[1]</v>
      </c>
      <c r="G169" s="335" t="str">
        <f>VLOOKUP(C169,道具ID!$L:$N,3,FALSE)</f>
        <v>shard_pziii</v>
      </c>
      <c r="H169" s="1">
        <f t="shared" si="23"/>
        <v>11</v>
      </c>
      <c r="I169" s="1" t="str">
        <f t="shared" si="24"/>
        <v>钢狼碎片</v>
      </c>
    </row>
    <row r="170" spans="1:9" x14ac:dyDescent="0.3">
      <c r="A170" s="1">
        <v>4000</v>
      </c>
      <c r="B170" s="103">
        <v>4100</v>
      </c>
      <c r="C170" s="103" t="s">
        <v>3857</v>
      </c>
      <c r="D170" s="103">
        <v>1</v>
      </c>
      <c r="E170" s="335" t="str">
        <f>"["&amp;VLOOKUP(C170,道具ID!$L:$N,2,FALSE)&amp;"]"</f>
        <v>[25059]</v>
      </c>
      <c r="F170" s="335" t="str">
        <f t="shared" si="27"/>
        <v>[1]</v>
      </c>
      <c r="G170" s="335" t="str">
        <f>VLOOKUP(C170,道具ID!$L:$N,3,FALSE)</f>
        <v>chest_lv3_icon</v>
      </c>
      <c r="H170" s="1">
        <f t="shared" si="23"/>
        <v>4000</v>
      </c>
      <c r="I170" s="1" t="str">
        <f t="shared" si="24"/>
        <v>普通自宝箱</v>
      </c>
    </row>
    <row r="171" spans="1:9" x14ac:dyDescent="0.3">
      <c r="A171" s="1">
        <v>12</v>
      </c>
      <c r="B171" s="335">
        <v>4500</v>
      </c>
      <c r="C171" s="335" t="s">
        <v>3857</v>
      </c>
      <c r="D171" s="335">
        <v>1</v>
      </c>
      <c r="E171" s="335" t="str">
        <f>"["&amp;VLOOKUP(C171,道具ID!$L:$N,2,FALSE)&amp;"]"</f>
        <v>[25059]</v>
      </c>
      <c r="F171" s="335" t="str">
        <f t="shared" si="27"/>
        <v>[1]</v>
      </c>
      <c r="G171" s="335" t="str">
        <f>VLOOKUP(C171,道具ID!$L:$N,3,FALSE)</f>
        <v>chest_lv3_icon</v>
      </c>
      <c r="H171" s="1">
        <f t="shared" si="23"/>
        <v>12</v>
      </c>
      <c r="I171" s="1" t="str">
        <f t="shared" si="24"/>
        <v>普通自宝箱</v>
      </c>
    </row>
    <row r="172" spans="1:9" x14ac:dyDescent="0.3">
      <c r="A172" s="1">
        <v>12</v>
      </c>
      <c r="B172" s="335">
        <v>4900</v>
      </c>
      <c r="C172" s="335" t="s">
        <v>534</v>
      </c>
      <c r="D172" s="335">
        <v>2</v>
      </c>
      <c r="E172" s="335" t="str">
        <f>"["&amp;VLOOKUP(C172,道具ID!$L:$N,2,FALSE)&amp;"]"</f>
        <v>[53341]</v>
      </c>
      <c r="F172" s="335" t="str">
        <f t="shared" si="27"/>
        <v>[2]</v>
      </c>
      <c r="G172" s="335" t="str">
        <f>VLOOKUP(C172,道具ID!$L:$N,3,FALSE)</f>
        <v>shard_pziii</v>
      </c>
      <c r="H172" s="1">
        <f t="shared" si="23"/>
        <v>12</v>
      </c>
      <c r="I172" s="1" t="str">
        <f t="shared" si="24"/>
        <v>钢狼碎片</v>
      </c>
    </row>
    <row r="173" spans="1:9" x14ac:dyDescent="0.3">
      <c r="B173" s="336"/>
      <c r="C173" s="336"/>
      <c r="D173" s="336"/>
      <c r="E173" s="336"/>
      <c r="F173" s="336"/>
      <c r="G173" s="336"/>
    </row>
    <row r="175" spans="1:9" x14ac:dyDescent="0.3">
      <c r="B175" s="1" t="s">
        <v>535</v>
      </c>
      <c r="C175" s="1">
        <v>15</v>
      </c>
    </row>
    <row r="177" spans="2:8" x14ac:dyDescent="0.3">
      <c r="B177" s="107" t="s">
        <v>536</v>
      </c>
    </row>
    <row r="178" spans="2:8" x14ac:dyDescent="0.3">
      <c r="B178" s="231" t="s">
        <v>500</v>
      </c>
      <c r="C178" s="231" t="s">
        <v>501</v>
      </c>
      <c r="D178" s="2" t="s">
        <v>314</v>
      </c>
      <c r="E178" s="2" t="s">
        <v>537</v>
      </c>
      <c r="F178" s="2" t="s">
        <v>538</v>
      </c>
      <c r="G178" s="2" t="s">
        <v>539</v>
      </c>
    </row>
    <row r="179" spans="2:8" x14ac:dyDescent="0.3">
      <c r="B179" s="2">
        <v>1</v>
      </c>
      <c r="C179" s="31">
        <f>游戏时长规划!E17</f>
        <v>1.2244897959183674</v>
      </c>
      <c r="D179" s="2" t="e">
        <f>SUMIFS([2]钥匙宝箱!$K:$K,[2]钥匙宝箱!$I:$I,"T1碎片",[2]钥匙宝箱!$J:$J,B179)*$E$15</f>
        <v>#VALUE!</v>
      </c>
      <c r="E179" s="2" t="e">
        <f>SUMIFS([2]活跃小箱!$K:$K,[2]活跃小箱!$I:$I,"T1碎片",[2]活跃小箱!$J:$J,B179)*2+SUMIFS([2]活跃中箱!$K:$K,[2]活跃中箱!$I:$I,"T1碎片",[2]活跃中箱!$J:$J,B179)</f>
        <v>#VALUE!</v>
      </c>
      <c r="F179" s="2" t="e">
        <f>(SUMIFS([2]活跃大箱!$K:$K,[2]活跃大箱!$I:$I,"T1碎片",[2]活跃大箱!$J:$J,B179)+SUMIFS([2]活跃巨箱!$K:$K,[2]活跃巨箱!$I:$I,"T1碎片",[2]活跃巨箱!$J:$J,B179))/7</f>
        <v>#VALUE!</v>
      </c>
      <c r="G179" s="2" t="e">
        <f>SUM(D179:F179)</f>
        <v>#VALUE!</v>
      </c>
    </row>
    <row r="180" spans="2:8" x14ac:dyDescent="0.3">
      <c r="B180" s="2">
        <v>2</v>
      </c>
      <c r="C180" s="31">
        <f>游戏时长规划!E18</f>
        <v>2.5641025641025639</v>
      </c>
      <c r="D180" s="2" t="e">
        <f>SUMIFS([2]钥匙宝箱!$K:$K,[2]钥匙宝箱!$I:$I,"T1碎片",[2]钥匙宝箱!$J:$J,B180)*$E$15</f>
        <v>#VALUE!</v>
      </c>
      <c r="E180" s="2" t="e">
        <f>SUMIFS([2]活跃小箱!$K:$K,[2]活跃小箱!$I:$I,"T1碎片",[2]活跃小箱!$J:$J,B180)*2+SUMIFS([2]活跃中箱!$K:$K,[2]活跃中箱!$I:$I,"T1碎片",[2]活跃中箱!$J:$J,B180)</f>
        <v>#VALUE!</v>
      </c>
      <c r="F180" s="2" t="e">
        <f>(SUMIFS([2]活跃大箱!$K:$K,[2]活跃大箱!$I:$I,"T1碎片",[2]活跃大箱!$J:$J,B180)+SUMIFS([2]活跃巨箱!$K:$K,[2]活跃巨箱!$I:$I,"T1碎片",[2]活跃巨箱!$J:$J,B180))/7</f>
        <v>#VALUE!</v>
      </c>
      <c r="G180" s="2" t="e">
        <f t="shared" ref="G180:G188" si="28">SUM(D180:F180)</f>
        <v>#VALUE!</v>
      </c>
    </row>
    <row r="181" spans="2:8" x14ac:dyDescent="0.3">
      <c r="B181" s="2">
        <v>3</v>
      </c>
      <c r="C181" s="31">
        <f>游戏时长规划!E19</f>
        <v>2.7027027027027022</v>
      </c>
      <c r="D181" s="2" t="e">
        <f>SUMIFS([2]钥匙宝箱!$K:$K,[2]钥匙宝箱!$I:$I,"T1碎片",[2]钥匙宝箱!$J:$J,B181)*$E$15</f>
        <v>#VALUE!</v>
      </c>
      <c r="E181" s="2" t="e">
        <f>SUMIFS([2]活跃小箱!$K:$K,[2]活跃小箱!$I:$I,"T1碎片",[2]活跃小箱!$J:$J,B181)*2+SUMIFS([2]活跃中箱!$K:$K,[2]活跃中箱!$I:$I,"T1碎片",[2]活跃中箱!$J:$J,B181)</f>
        <v>#VALUE!</v>
      </c>
      <c r="F181" s="2" t="e">
        <f>(SUMIFS([2]活跃大箱!$K:$K,[2]活跃大箱!$I:$I,"T1碎片",[2]活跃大箱!$J:$J,B181)+SUMIFS([2]活跃巨箱!$K:$K,[2]活跃巨箱!$I:$I,"T1碎片",[2]活跃巨箱!$J:$J,B181))/7</f>
        <v>#VALUE!</v>
      </c>
      <c r="G181" s="2" t="e">
        <f t="shared" si="28"/>
        <v>#VALUE!</v>
      </c>
    </row>
    <row r="182" spans="2:8" x14ac:dyDescent="0.3">
      <c r="B182" s="2">
        <v>4</v>
      </c>
      <c r="C182" s="31">
        <f>游戏时长规划!E20</f>
        <v>8.5714285714285712</v>
      </c>
      <c r="D182" s="2" t="e">
        <f>SUMIFS([2]钥匙宝箱!$K:$K,[2]钥匙宝箱!$I:$I,"T1碎片",[2]钥匙宝箱!$J:$J,B182)*$E$15</f>
        <v>#VALUE!</v>
      </c>
      <c r="E182" s="2" t="e">
        <f>SUMIFS([2]活跃小箱!$K:$K,[2]活跃小箱!$I:$I,"T1碎片",[2]活跃小箱!$J:$J,B182)*2+SUMIFS([2]活跃中箱!$K:$K,[2]活跃中箱!$I:$I,"T1碎片",[2]活跃中箱!$J:$J,B182)</f>
        <v>#VALUE!</v>
      </c>
      <c r="F182" s="2" t="e">
        <f>(SUMIFS([2]活跃大箱!$K:$K,[2]活跃大箱!$I:$I,"T1碎片",[2]活跃大箱!$J:$J,B182)+SUMIFS([2]活跃巨箱!$K:$K,[2]活跃巨箱!$I:$I,"T1碎片",[2]活跃巨箱!$J:$J,B182))/7</f>
        <v>#VALUE!</v>
      </c>
      <c r="G182" s="2" t="e">
        <f t="shared" si="28"/>
        <v>#VALUE!</v>
      </c>
    </row>
    <row r="183" spans="2:8" x14ac:dyDescent="0.3">
      <c r="B183" s="2">
        <v>5</v>
      </c>
      <c r="C183" s="31">
        <f>游戏时长规划!E21</f>
        <v>12</v>
      </c>
      <c r="D183" s="2" t="e">
        <f>SUMIFS([2]钥匙宝箱!$K:$K,[2]钥匙宝箱!$I:$I,"T1碎片",[2]钥匙宝箱!$J:$J,B183)*$E$15</f>
        <v>#VALUE!</v>
      </c>
      <c r="E183" s="2" t="e">
        <f>SUMIFS([2]活跃小箱!$K:$K,[2]活跃小箱!$I:$I,"T1碎片",[2]活跃小箱!$J:$J,B183)*2+SUMIFS([2]活跃中箱!$K:$K,[2]活跃中箱!$I:$I,"T1碎片",[2]活跃中箱!$J:$J,B183)</f>
        <v>#VALUE!</v>
      </c>
      <c r="F183" s="2" t="e">
        <f>(SUMIFS([2]活跃大箱!$K:$K,[2]活跃大箱!$I:$I,"T1碎片",[2]活跃大箱!$J:$J,B183)+SUMIFS([2]活跃巨箱!$K:$K,[2]活跃巨箱!$I:$I,"T1碎片",[2]活跃巨箱!$J:$J,B183))/7</f>
        <v>#VALUE!</v>
      </c>
      <c r="G183" s="2" t="e">
        <f t="shared" si="28"/>
        <v>#VALUE!</v>
      </c>
    </row>
    <row r="184" spans="2:8" x14ac:dyDescent="0.3">
      <c r="B184" s="2">
        <v>6</v>
      </c>
      <c r="C184" s="31">
        <f>游戏时长规划!E22</f>
        <v>10</v>
      </c>
      <c r="D184" s="2" t="e">
        <f>SUMIFS([2]钥匙宝箱!$K:$K,[2]钥匙宝箱!$I:$I,"T1碎片",[2]钥匙宝箱!$J:$J,B184)*$E$15</f>
        <v>#VALUE!</v>
      </c>
      <c r="E184" s="2" t="e">
        <f>SUMIFS([2]活跃小箱!$K:$K,[2]活跃小箱!$I:$I,"T1碎片",[2]活跃小箱!$J:$J,B184)*2+SUMIFS([2]活跃中箱!$K:$K,[2]活跃中箱!$I:$I,"T1碎片",[2]活跃中箱!$J:$J,B184)</f>
        <v>#VALUE!</v>
      </c>
      <c r="F184" s="2" t="e">
        <f>(SUMIFS([2]活跃大箱!$K:$K,[2]活跃大箱!$I:$I,"T1碎片",[2]活跃大箱!$J:$J,B184)+SUMIFS([2]活跃巨箱!$K:$K,[2]活跃巨箱!$I:$I,"T1碎片",[2]活跃巨箱!$J:$J,B184))/7</f>
        <v>#VALUE!</v>
      </c>
      <c r="G184" s="2" t="e">
        <f t="shared" si="28"/>
        <v>#VALUE!</v>
      </c>
    </row>
    <row r="185" spans="2:8" x14ac:dyDescent="0.3">
      <c r="B185" s="2">
        <v>7</v>
      </c>
      <c r="C185" s="31">
        <f>游戏时长规划!E23</f>
        <v>15</v>
      </c>
      <c r="D185" s="2" t="e">
        <f>SUMIFS([2]钥匙宝箱!$K:$K,[2]钥匙宝箱!$I:$I,"T1碎片",[2]钥匙宝箱!$J:$J,B185)*$E$15</f>
        <v>#VALUE!</v>
      </c>
      <c r="E185" s="2" t="e">
        <f>SUMIFS([2]活跃小箱!$K:$K,[2]活跃小箱!$I:$I,"T1碎片",[2]活跃小箱!$J:$J,B185)*2+SUMIFS([2]活跃中箱!$K:$K,[2]活跃中箱!$I:$I,"T1碎片",[2]活跃中箱!$J:$J,B185)</f>
        <v>#VALUE!</v>
      </c>
      <c r="F185" s="2" t="e">
        <f>(SUMIFS([2]活跃大箱!$K:$K,[2]活跃大箱!$I:$I,"T1碎片",[2]活跃大箱!$J:$J,B185)+SUMIFS([2]活跃巨箱!$K:$K,[2]活跃巨箱!$I:$I,"T1碎片",[2]活跃巨箱!$J:$J,B185))/7</f>
        <v>#VALUE!</v>
      </c>
      <c r="G185" s="2" t="e">
        <f t="shared" si="28"/>
        <v>#VALUE!</v>
      </c>
    </row>
    <row r="186" spans="2:8" x14ac:dyDescent="0.3">
      <c r="B186" s="2">
        <v>8</v>
      </c>
      <c r="C186" s="31">
        <f>游戏时长规划!E24</f>
        <v>41.666666666666664</v>
      </c>
      <c r="D186" s="2" t="e">
        <f>SUMIFS([2]钥匙宝箱!$K:$K,[2]钥匙宝箱!$I:$I,"T1碎片",[2]钥匙宝箱!$J:$J,B186)*$E$15</f>
        <v>#VALUE!</v>
      </c>
      <c r="E186" s="2" t="e">
        <f>SUMIFS([2]活跃小箱!$K:$K,[2]活跃小箱!$I:$I,"T1碎片",[2]活跃小箱!$J:$J,B186)*2+SUMIFS([2]活跃中箱!$K:$K,[2]活跃中箱!$I:$I,"T1碎片",[2]活跃中箱!$J:$J,B186)</f>
        <v>#VALUE!</v>
      </c>
      <c r="F186" s="2" t="e">
        <f>(SUMIFS([2]活跃大箱!$K:$K,[2]活跃大箱!$I:$I,"T1碎片",[2]活跃大箱!$J:$J,B186)+SUMIFS([2]活跃巨箱!$K:$K,[2]活跃巨箱!$I:$I,"T1碎片",[2]活跃巨箱!$J:$J,B186))/7</f>
        <v>#VALUE!</v>
      </c>
      <c r="G186" s="2" t="e">
        <f t="shared" si="28"/>
        <v>#VALUE!</v>
      </c>
    </row>
    <row r="187" spans="2:8" x14ac:dyDescent="0.3">
      <c r="B187" s="2">
        <v>9</v>
      </c>
      <c r="C187" s="31">
        <f>游戏时长规划!E25</f>
        <v>33.333333333333336</v>
      </c>
      <c r="D187" s="2" t="e">
        <f>SUMIFS([2]钥匙宝箱!$K:$K,[2]钥匙宝箱!$I:$I,"T1碎片",[2]钥匙宝箱!$J:$J,B187)*$E$15</f>
        <v>#VALUE!</v>
      </c>
      <c r="E187" s="2" t="e">
        <f>SUMIFS([2]活跃小箱!$K:$K,[2]活跃小箱!$I:$I,"T1碎片",[2]活跃小箱!$J:$J,B187)*2+SUMIFS([2]活跃中箱!$K:$K,[2]活跃中箱!$I:$I,"T1碎片",[2]活跃中箱!$J:$J,B187)</f>
        <v>#VALUE!</v>
      </c>
      <c r="F187" s="2" t="e">
        <f>(SUMIFS([2]活跃大箱!$K:$K,[2]活跃大箱!$I:$I,"T1碎片",[2]活跃大箱!$J:$J,B187)+SUMIFS([2]活跃巨箱!$K:$K,[2]活跃巨箱!$I:$I,"T1碎片",[2]活跃巨箱!$J:$J,B187))/7</f>
        <v>#VALUE!</v>
      </c>
      <c r="G187" s="2" t="e">
        <f t="shared" si="28"/>
        <v>#VALUE!</v>
      </c>
    </row>
    <row r="188" spans="2:8" x14ac:dyDescent="0.3">
      <c r="B188" s="2">
        <v>10</v>
      </c>
      <c r="C188" s="31">
        <f>游戏时长规划!E26</f>
        <v>33.333333333333336</v>
      </c>
      <c r="D188" s="2" t="e">
        <f>SUMIFS([2]钥匙宝箱!$K:$K,[2]钥匙宝箱!$I:$I,"T1碎片",[2]钥匙宝箱!$J:$J,B188)*$E$15</f>
        <v>#VALUE!</v>
      </c>
      <c r="E188" s="2" t="e">
        <f>SUMIFS([2]活跃小箱!$K:$K,[2]活跃小箱!$I:$I,"T1碎片",[2]活跃小箱!$J:$J,B188)*2+SUMIFS([2]活跃中箱!$K:$K,[2]活跃中箱!$I:$I,"T1碎片",[2]活跃中箱!$J:$J,B188)</f>
        <v>#VALUE!</v>
      </c>
      <c r="F188" s="2" t="e">
        <f>(SUMIFS([2]活跃大箱!$K:$K,[2]活跃大箱!$I:$I,"T1碎片",[2]活跃大箱!$J:$J,B188)+SUMIFS([2]活跃巨箱!$K:$K,[2]活跃巨箱!$I:$I,"T1碎片",[2]活跃巨箱!$J:$J,B188))/7</f>
        <v>#VALUE!</v>
      </c>
      <c r="G188" s="2" t="e">
        <f t="shared" si="28"/>
        <v>#VALUE!</v>
      </c>
    </row>
    <row r="189" spans="2:8" x14ac:dyDescent="0.3">
      <c r="H189" s="1" t="e">
        <f>SUMPRODUCT(C179:C188,G179:G188)</f>
        <v>#VALUE!</v>
      </c>
    </row>
    <row r="192" spans="2:8" ht="18" x14ac:dyDescent="0.35">
      <c r="B192" s="100" t="s">
        <v>502</v>
      </c>
    </row>
    <row r="193" spans="2:8" x14ac:dyDescent="0.3">
      <c r="B193" s="101" t="s">
        <v>2920</v>
      </c>
      <c r="C193" s="101" t="s">
        <v>2904</v>
      </c>
      <c r="D193" s="101" t="s">
        <v>2913</v>
      </c>
      <c r="E193" s="101" t="s">
        <v>569</v>
      </c>
      <c r="F193" s="101" t="s">
        <v>2911</v>
      </c>
      <c r="H193" s="1" t="s">
        <v>4125</v>
      </c>
    </row>
    <row r="194" spans="2:8" x14ac:dyDescent="0.3">
      <c r="B194" s="2">
        <v>1</v>
      </c>
      <c r="C194" s="2" t="s">
        <v>268</v>
      </c>
      <c r="D194" s="2">
        <v>30</v>
      </c>
      <c r="E194" s="2">
        <f t="shared" ref="E194:E221" si="29">IFERROR(VLOOKUP(C194,道具ID,2,FALSE),0)</f>
        <v>102</v>
      </c>
      <c r="F194" s="2">
        <f>IFERROR(VLOOKUP(C194,活动奖励!V:W,2,FALSE)*D194,0)</f>
        <v>0.66666666666666596</v>
      </c>
      <c r="G194" s="1" t="str">
        <f t="shared" ref="G194:G221" si="30">LEFT(C194,LEN(C194)-1)</f>
        <v>军</v>
      </c>
      <c r="H194" s="1">
        <f>IF(C194="钻石",D194,0)</f>
        <v>0</v>
      </c>
    </row>
    <row r="195" spans="2:8" x14ac:dyDescent="0.3">
      <c r="B195" s="2">
        <v>2</v>
      </c>
      <c r="C195" s="2" t="s">
        <v>273</v>
      </c>
      <c r="D195" s="2">
        <v>5</v>
      </c>
      <c r="E195" s="2">
        <f t="shared" si="29"/>
        <v>105</v>
      </c>
      <c r="F195" s="2">
        <f>IFERROR(VLOOKUP(C195,活动奖励!V:W,2,FALSE)*D195,0)</f>
        <v>6.25</v>
      </c>
      <c r="G195" s="1" t="str">
        <f t="shared" si="30"/>
        <v>钥</v>
      </c>
      <c r="H195" s="1">
        <f t="shared" ref="H195:H221" si="31">IF(C195="钻石",D195,0)</f>
        <v>0</v>
      </c>
    </row>
    <row r="196" spans="2:8" x14ac:dyDescent="0.3">
      <c r="B196" s="2">
        <v>3</v>
      </c>
      <c r="C196" s="2" t="s">
        <v>4217</v>
      </c>
      <c r="D196" s="2">
        <v>1</v>
      </c>
      <c r="E196" s="2">
        <f t="shared" si="29"/>
        <v>0</v>
      </c>
      <c r="F196" s="2">
        <f>IFERROR(VLOOKUP(C196,活动奖励!V:W,2,FALSE)*D196,0)</f>
        <v>35</v>
      </c>
      <c r="G196" s="1" t="str">
        <f t="shared" si="30"/>
        <v>5分钟加</v>
      </c>
      <c r="H196" s="1">
        <f t="shared" si="31"/>
        <v>0</v>
      </c>
    </row>
    <row r="197" spans="2:8" x14ac:dyDescent="0.3">
      <c r="B197" s="2">
        <v>4</v>
      </c>
      <c r="C197" s="2" t="s">
        <v>268</v>
      </c>
      <c r="D197" s="2">
        <v>60</v>
      </c>
      <c r="E197" s="2">
        <f t="shared" si="29"/>
        <v>102</v>
      </c>
      <c r="F197" s="2">
        <f>IFERROR(VLOOKUP(C197,活动奖励!V:W,2,FALSE)*D197,0)</f>
        <v>1.3333333333333319</v>
      </c>
      <c r="G197" s="1" t="str">
        <f t="shared" si="30"/>
        <v>军</v>
      </c>
      <c r="H197" s="1">
        <f t="shared" si="31"/>
        <v>0</v>
      </c>
    </row>
    <row r="198" spans="2:8" x14ac:dyDescent="0.3">
      <c r="B198" s="2">
        <v>5</v>
      </c>
      <c r="C198" s="2" t="s">
        <v>273</v>
      </c>
      <c r="D198" s="2">
        <v>10</v>
      </c>
      <c r="E198" s="2">
        <f t="shared" si="29"/>
        <v>105</v>
      </c>
      <c r="F198" s="2">
        <f>IFERROR(VLOOKUP(C198,活动奖励!V:W,2,FALSE)*D198,0)</f>
        <v>12.5</v>
      </c>
      <c r="G198" s="1" t="str">
        <f t="shared" si="30"/>
        <v>钥</v>
      </c>
      <c r="H198" s="1">
        <f t="shared" si="31"/>
        <v>0</v>
      </c>
    </row>
    <row r="199" spans="2:8" x14ac:dyDescent="0.3">
      <c r="B199" s="2">
        <v>6</v>
      </c>
      <c r="C199" s="2" t="s">
        <v>317</v>
      </c>
      <c r="D199" s="2">
        <v>50</v>
      </c>
      <c r="E199" s="2">
        <f t="shared" si="29"/>
        <v>101</v>
      </c>
      <c r="F199" s="2">
        <f>IFERROR(VLOOKUP(C199,活动奖励!V:W,2,FALSE)*D199,0)</f>
        <v>50</v>
      </c>
      <c r="G199" s="1" t="str">
        <f t="shared" si="30"/>
        <v>钻</v>
      </c>
      <c r="H199" s="1">
        <f t="shared" si="31"/>
        <v>50</v>
      </c>
    </row>
    <row r="200" spans="2:8" x14ac:dyDescent="0.3">
      <c r="B200" s="84">
        <v>7</v>
      </c>
      <c r="C200" s="2" t="s">
        <v>2378</v>
      </c>
      <c r="D200" s="2">
        <v>1</v>
      </c>
      <c r="E200" s="2">
        <f t="shared" si="29"/>
        <v>23001</v>
      </c>
      <c r="F200" s="2">
        <f>IFERROR(VLOOKUP(C200,活动奖励!V:W,2,FALSE)*D200,0)</f>
        <v>100</v>
      </c>
      <c r="G200" s="1" t="str">
        <f t="shared" si="30"/>
        <v>部件宝箱</v>
      </c>
      <c r="H200" s="1">
        <f t="shared" si="31"/>
        <v>0</v>
      </c>
    </row>
    <row r="201" spans="2:8" x14ac:dyDescent="0.3">
      <c r="B201" s="2">
        <v>8</v>
      </c>
      <c r="C201" s="2" t="s">
        <v>268</v>
      </c>
      <c r="D201" s="2">
        <v>120</v>
      </c>
      <c r="E201" s="2">
        <f t="shared" si="29"/>
        <v>102</v>
      </c>
      <c r="F201" s="2">
        <f>IFERROR(VLOOKUP(C201,活动奖励!V:W,2,FALSE)*D201,0)</f>
        <v>2.6666666666666639</v>
      </c>
      <c r="G201" s="1" t="str">
        <f t="shared" si="30"/>
        <v>军</v>
      </c>
      <c r="H201" s="1">
        <f t="shared" si="31"/>
        <v>0</v>
      </c>
    </row>
    <row r="202" spans="2:8" x14ac:dyDescent="0.3">
      <c r="B202" s="2">
        <v>9</v>
      </c>
      <c r="C202" s="2" t="s">
        <v>511</v>
      </c>
      <c r="D202" s="2">
        <v>20</v>
      </c>
      <c r="E202" s="2">
        <f t="shared" si="29"/>
        <v>111</v>
      </c>
      <c r="F202" s="2">
        <f>IFERROR(VLOOKUP(C202,活动奖励!V:W,2,FALSE)*D202,0)</f>
        <v>15</v>
      </c>
      <c r="G202" s="1" t="str">
        <f t="shared" si="30"/>
        <v>双倍钥</v>
      </c>
      <c r="H202" s="1">
        <f t="shared" si="31"/>
        <v>0</v>
      </c>
    </row>
    <row r="203" spans="2:8" x14ac:dyDescent="0.3">
      <c r="B203" s="2">
        <v>10</v>
      </c>
      <c r="C203" s="2" t="s">
        <v>4217</v>
      </c>
      <c r="D203" s="2">
        <v>1</v>
      </c>
      <c r="E203" s="2">
        <f t="shared" si="29"/>
        <v>0</v>
      </c>
      <c r="F203" s="2">
        <f>IFERROR(VLOOKUP(C203,活动奖励!V:W,2,FALSE)*D203,0)</f>
        <v>35</v>
      </c>
      <c r="G203" s="1" t="str">
        <f t="shared" si="30"/>
        <v>5分钟加</v>
      </c>
      <c r="H203" s="1">
        <f t="shared" si="31"/>
        <v>0</v>
      </c>
    </row>
    <row r="204" spans="2:8" x14ac:dyDescent="0.3">
      <c r="B204" s="2">
        <v>11</v>
      </c>
      <c r="C204" s="2" t="s">
        <v>268</v>
      </c>
      <c r="D204" s="2">
        <v>120</v>
      </c>
      <c r="E204" s="2">
        <f t="shared" si="29"/>
        <v>102</v>
      </c>
      <c r="F204" s="2">
        <f>IFERROR(VLOOKUP(C204,活动奖励!V:W,2,FALSE)*D204,0)</f>
        <v>2.6666666666666639</v>
      </c>
      <c r="G204" s="1" t="str">
        <f t="shared" si="30"/>
        <v>军</v>
      </c>
      <c r="H204" s="1">
        <f t="shared" si="31"/>
        <v>0</v>
      </c>
    </row>
    <row r="205" spans="2:8" x14ac:dyDescent="0.3">
      <c r="B205" s="2">
        <v>12</v>
      </c>
      <c r="C205" s="2" t="s">
        <v>511</v>
      </c>
      <c r="D205" s="2">
        <v>20</v>
      </c>
      <c r="E205" s="2">
        <f t="shared" si="29"/>
        <v>111</v>
      </c>
      <c r="F205" s="2">
        <f>IFERROR(VLOOKUP(C205,活动奖励!V:W,2,FALSE)*D205,0)</f>
        <v>15</v>
      </c>
      <c r="G205" s="1" t="str">
        <f t="shared" si="30"/>
        <v>双倍钥</v>
      </c>
      <c r="H205" s="1">
        <f t="shared" si="31"/>
        <v>0</v>
      </c>
    </row>
    <row r="206" spans="2:8" x14ac:dyDescent="0.3">
      <c r="B206" s="2">
        <v>13</v>
      </c>
      <c r="C206" s="2" t="s">
        <v>317</v>
      </c>
      <c r="D206" s="2">
        <v>100</v>
      </c>
      <c r="E206" s="2">
        <f t="shared" si="29"/>
        <v>101</v>
      </c>
      <c r="F206" s="2">
        <f>IFERROR(VLOOKUP(C206,活动奖励!V:W,2,FALSE)*D206,0)</f>
        <v>100</v>
      </c>
      <c r="G206" s="1" t="str">
        <f t="shared" si="30"/>
        <v>钻</v>
      </c>
      <c r="H206" s="1">
        <f t="shared" si="31"/>
        <v>100</v>
      </c>
    </row>
    <row r="207" spans="2:8" x14ac:dyDescent="0.3">
      <c r="B207" s="84">
        <v>14</v>
      </c>
      <c r="C207" s="2" t="s">
        <v>2433</v>
      </c>
      <c r="D207" s="2">
        <v>1</v>
      </c>
      <c r="E207" s="2">
        <f t="shared" si="29"/>
        <v>25051</v>
      </c>
      <c r="F207" s="2">
        <f>IFERROR(VLOOKUP(C207,活动奖励!V:W,2,FALSE)*D207,0)</f>
        <v>200</v>
      </c>
      <c r="G207" s="1" t="str">
        <f t="shared" si="30"/>
        <v>普通自宝箱</v>
      </c>
      <c r="H207" s="1">
        <f t="shared" si="31"/>
        <v>0</v>
      </c>
    </row>
    <row r="208" spans="2:8" x14ac:dyDescent="0.3">
      <c r="B208" s="2">
        <v>15</v>
      </c>
      <c r="C208" s="2" t="s">
        <v>268</v>
      </c>
      <c r="D208" s="2">
        <v>200</v>
      </c>
      <c r="E208" s="2">
        <f t="shared" si="29"/>
        <v>102</v>
      </c>
      <c r="F208" s="2">
        <f>IFERROR(VLOOKUP(C208,活动奖励!V:W,2,FALSE)*D208,0)</f>
        <v>4.4444444444444393</v>
      </c>
      <c r="G208" s="1" t="str">
        <f t="shared" si="30"/>
        <v>军</v>
      </c>
      <c r="H208" s="1">
        <f t="shared" si="31"/>
        <v>0</v>
      </c>
    </row>
    <row r="209" spans="2:8" x14ac:dyDescent="0.3">
      <c r="B209" s="2">
        <v>16</v>
      </c>
      <c r="C209" s="2" t="s">
        <v>273</v>
      </c>
      <c r="D209" s="2">
        <v>20</v>
      </c>
      <c r="E209" s="2">
        <f t="shared" si="29"/>
        <v>105</v>
      </c>
      <c r="F209" s="2">
        <f>IFERROR(VLOOKUP(C209,活动奖励!V:W,2,FALSE)*D209,0)</f>
        <v>25</v>
      </c>
      <c r="G209" s="1" t="str">
        <f t="shared" si="30"/>
        <v>钥</v>
      </c>
      <c r="H209" s="1">
        <f t="shared" si="31"/>
        <v>0</v>
      </c>
    </row>
    <row r="210" spans="2:8" x14ac:dyDescent="0.3">
      <c r="B210" s="2">
        <v>17</v>
      </c>
      <c r="C210" s="2" t="s">
        <v>4217</v>
      </c>
      <c r="D210" s="2">
        <v>1</v>
      </c>
      <c r="E210" s="2">
        <f t="shared" si="29"/>
        <v>0</v>
      </c>
      <c r="F210" s="2">
        <f>IFERROR(VLOOKUP(C210,活动奖励!V:W,2,FALSE)*D210,0)</f>
        <v>35</v>
      </c>
      <c r="G210" s="1" t="str">
        <f t="shared" si="30"/>
        <v>5分钟加</v>
      </c>
      <c r="H210" s="1">
        <f t="shared" si="31"/>
        <v>0</v>
      </c>
    </row>
    <row r="211" spans="2:8" x14ac:dyDescent="0.3">
      <c r="B211" s="2">
        <v>18</v>
      </c>
      <c r="C211" s="2" t="s">
        <v>268</v>
      </c>
      <c r="D211" s="2">
        <v>250</v>
      </c>
      <c r="E211" s="2">
        <f t="shared" si="29"/>
        <v>102</v>
      </c>
      <c r="F211" s="2">
        <f>IFERROR(VLOOKUP(C211,活动奖励!V:W,2,FALSE)*D211,0)</f>
        <v>5.55555555555555</v>
      </c>
      <c r="G211" s="1" t="str">
        <f t="shared" si="30"/>
        <v>军</v>
      </c>
      <c r="H211" s="1">
        <f t="shared" si="31"/>
        <v>0</v>
      </c>
    </row>
    <row r="212" spans="2:8" x14ac:dyDescent="0.3">
      <c r="B212" s="2">
        <v>19</v>
      </c>
      <c r="C212" s="2" t="s">
        <v>511</v>
      </c>
      <c r="D212" s="2">
        <v>20</v>
      </c>
      <c r="E212" s="2">
        <f t="shared" si="29"/>
        <v>111</v>
      </c>
      <c r="F212" s="2">
        <f>IFERROR(VLOOKUP(C212,活动奖励!V:W,2,FALSE)*D212,0)</f>
        <v>15</v>
      </c>
      <c r="G212" s="1" t="str">
        <f t="shared" si="30"/>
        <v>双倍钥</v>
      </c>
      <c r="H212" s="1">
        <f t="shared" si="31"/>
        <v>0</v>
      </c>
    </row>
    <row r="213" spans="2:8" x14ac:dyDescent="0.3">
      <c r="B213" s="2">
        <v>20</v>
      </c>
      <c r="C213" s="2" t="s">
        <v>317</v>
      </c>
      <c r="D213" s="2">
        <v>100</v>
      </c>
      <c r="E213" s="2">
        <f t="shared" si="29"/>
        <v>101</v>
      </c>
      <c r="F213" s="2">
        <f>IFERROR(VLOOKUP(C213,活动奖励!V:W,2,FALSE)*D213,0)</f>
        <v>100</v>
      </c>
      <c r="G213" s="1" t="str">
        <f t="shared" si="30"/>
        <v>钻</v>
      </c>
      <c r="H213" s="1">
        <f t="shared" si="31"/>
        <v>100</v>
      </c>
    </row>
    <row r="214" spans="2:8" x14ac:dyDescent="0.3">
      <c r="B214" s="84">
        <v>21</v>
      </c>
      <c r="C214" s="2" t="s">
        <v>2378</v>
      </c>
      <c r="D214" s="2">
        <v>1</v>
      </c>
      <c r="E214" s="2">
        <f t="shared" si="29"/>
        <v>23001</v>
      </c>
      <c r="F214" s="2">
        <f>IFERROR(VLOOKUP(C214,活动奖励!V:W,2,FALSE)*D214,0)</f>
        <v>100</v>
      </c>
      <c r="G214" s="1" t="str">
        <f t="shared" si="30"/>
        <v>部件宝箱</v>
      </c>
      <c r="H214" s="1">
        <f t="shared" si="31"/>
        <v>0</v>
      </c>
    </row>
    <row r="215" spans="2:8" x14ac:dyDescent="0.3">
      <c r="B215" s="2">
        <v>22</v>
      </c>
      <c r="C215" s="2" t="s">
        <v>268</v>
      </c>
      <c r="D215" s="2">
        <v>600</v>
      </c>
      <c r="E215" s="2">
        <f t="shared" si="29"/>
        <v>102</v>
      </c>
      <c r="F215" s="2">
        <f>IFERROR(VLOOKUP(C215,活动奖励!V:W,2,FALSE)*D215,0)</f>
        <v>13.33333333333332</v>
      </c>
      <c r="G215" s="1" t="str">
        <f t="shared" si="30"/>
        <v>军</v>
      </c>
      <c r="H215" s="1">
        <f t="shared" si="31"/>
        <v>0</v>
      </c>
    </row>
    <row r="216" spans="2:8" x14ac:dyDescent="0.3">
      <c r="B216" s="2">
        <v>23</v>
      </c>
      <c r="C216" s="2" t="s">
        <v>511</v>
      </c>
      <c r="D216" s="2">
        <v>20</v>
      </c>
      <c r="E216" s="2">
        <f t="shared" si="29"/>
        <v>111</v>
      </c>
      <c r="F216" s="2">
        <f>IFERROR(VLOOKUP(C216,活动奖励!V:W,2,FALSE)*D216,0)</f>
        <v>15</v>
      </c>
      <c r="G216" s="1" t="str">
        <f t="shared" si="30"/>
        <v>双倍钥</v>
      </c>
      <c r="H216" s="1">
        <f t="shared" si="31"/>
        <v>0</v>
      </c>
    </row>
    <row r="217" spans="2:8" x14ac:dyDescent="0.3">
      <c r="B217" s="2">
        <v>24</v>
      </c>
      <c r="C217" s="2" t="s">
        <v>4217</v>
      </c>
      <c r="D217" s="2">
        <v>1</v>
      </c>
      <c r="E217" s="2">
        <f t="shared" si="29"/>
        <v>0</v>
      </c>
      <c r="F217" s="2">
        <f>IFERROR(VLOOKUP(C217,活动奖励!V:W,2,FALSE)*D217,0)</f>
        <v>35</v>
      </c>
      <c r="G217" s="1" t="str">
        <f t="shared" si="30"/>
        <v>5分钟加</v>
      </c>
      <c r="H217" s="1">
        <f t="shared" si="31"/>
        <v>0</v>
      </c>
    </row>
    <row r="218" spans="2:8" x14ac:dyDescent="0.3">
      <c r="B218" s="2">
        <v>25</v>
      </c>
      <c r="C218" s="2" t="s">
        <v>268</v>
      </c>
      <c r="D218" s="2">
        <v>600</v>
      </c>
      <c r="E218" s="2">
        <f t="shared" si="29"/>
        <v>102</v>
      </c>
      <c r="F218" s="2">
        <f>IFERROR(VLOOKUP(C218,活动奖励!V:W,2,FALSE)*D218,0)</f>
        <v>13.33333333333332</v>
      </c>
      <c r="G218" s="1" t="str">
        <f t="shared" si="30"/>
        <v>军</v>
      </c>
      <c r="H218" s="1">
        <f t="shared" si="31"/>
        <v>0</v>
      </c>
    </row>
    <row r="219" spans="2:8" x14ac:dyDescent="0.3">
      <c r="B219" s="2">
        <v>26</v>
      </c>
      <c r="C219" s="2" t="s">
        <v>273</v>
      </c>
      <c r="D219" s="2">
        <v>10</v>
      </c>
      <c r="E219" s="2">
        <f t="shared" si="29"/>
        <v>105</v>
      </c>
      <c r="F219" s="2">
        <f>IFERROR(VLOOKUP(C219,活动奖励!V:W,2,FALSE)*D219,0)</f>
        <v>12.5</v>
      </c>
      <c r="G219" s="1" t="str">
        <f t="shared" si="30"/>
        <v>钥</v>
      </c>
      <c r="H219" s="1">
        <f t="shared" si="31"/>
        <v>0</v>
      </c>
    </row>
    <row r="220" spans="2:8" x14ac:dyDescent="0.3">
      <c r="B220" s="2">
        <v>27</v>
      </c>
      <c r="C220" s="2" t="s">
        <v>317</v>
      </c>
      <c r="D220" s="2">
        <v>150</v>
      </c>
      <c r="E220" s="2">
        <f t="shared" si="29"/>
        <v>101</v>
      </c>
      <c r="F220" s="2">
        <f>IFERROR(VLOOKUP(C220,活动奖励!V:W,2,FALSE)*D220,0)</f>
        <v>150</v>
      </c>
      <c r="G220" s="1" t="str">
        <f t="shared" si="30"/>
        <v>钻</v>
      </c>
      <c r="H220" s="1">
        <f t="shared" si="31"/>
        <v>150</v>
      </c>
    </row>
    <row r="221" spans="2:8" x14ac:dyDescent="0.3">
      <c r="B221" s="84">
        <v>28</v>
      </c>
      <c r="C221" s="2" t="s">
        <v>2455</v>
      </c>
      <c r="D221" s="2">
        <v>1</v>
      </c>
      <c r="E221" s="2">
        <f t="shared" si="29"/>
        <v>25151</v>
      </c>
      <c r="F221" s="2">
        <f>IFERROR(VLOOKUP(C221,活动奖励!V:W,2,FALSE)*D221,0)</f>
        <v>600</v>
      </c>
      <c r="G221" s="1" t="str">
        <f t="shared" si="30"/>
        <v>高级自宝箱</v>
      </c>
      <c r="H221" s="1">
        <f t="shared" si="31"/>
        <v>0</v>
      </c>
    </row>
    <row r="223" spans="2:8" x14ac:dyDescent="0.3">
      <c r="B223" s="103" t="s">
        <v>2830</v>
      </c>
      <c r="C223" s="31">
        <f>SUM(F194:F221)</f>
        <v>1700.25</v>
      </c>
    </row>
    <row r="224" spans="2:8" x14ac:dyDescent="0.3">
      <c r="B224" s="103" t="s">
        <v>2921</v>
      </c>
      <c r="C224" s="31">
        <f>C223/30</f>
        <v>56.674999999999997</v>
      </c>
    </row>
    <row r="225" spans="1:3" x14ac:dyDescent="0.3">
      <c r="B225" s="2" t="s">
        <v>2922</v>
      </c>
      <c r="C225" s="2">
        <f>SUMIFS(D194:D221,C194:C221,"钻石")</f>
        <v>400</v>
      </c>
    </row>
    <row r="229" spans="1:3" x14ac:dyDescent="0.3">
      <c r="B229" s="107" t="s">
        <v>4176</v>
      </c>
    </row>
    <row r="230" spans="1:3" x14ac:dyDescent="0.3">
      <c r="A230" s="109" t="s">
        <v>4183</v>
      </c>
      <c r="B230" s="329" t="s">
        <v>4177</v>
      </c>
      <c r="C230" s="329">
        <v>200</v>
      </c>
    </row>
    <row r="231" spans="1:3" x14ac:dyDescent="0.3">
      <c r="B231" s="329" t="s">
        <v>4178</v>
      </c>
      <c r="C231" s="329">
        <v>72</v>
      </c>
    </row>
    <row r="232" spans="1:3" x14ac:dyDescent="0.3">
      <c r="B232" s="329" t="s">
        <v>4179</v>
      </c>
      <c r="C232" s="329">
        <v>10</v>
      </c>
    </row>
    <row r="233" spans="1:3" x14ac:dyDescent="0.3">
      <c r="B233" s="329" t="s">
        <v>4180</v>
      </c>
      <c r="C233" s="329">
        <f>(C230/C232*C231)/60</f>
        <v>24</v>
      </c>
    </row>
    <row r="236" spans="1:3" x14ac:dyDescent="0.3">
      <c r="A236" s="109" t="s">
        <v>4184</v>
      </c>
      <c r="B236" s="329" t="s">
        <v>4177</v>
      </c>
      <c r="C236" s="329">
        <v>100</v>
      </c>
    </row>
    <row r="237" spans="1:3" x14ac:dyDescent="0.3">
      <c r="B237" s="329" t="s">
        <v>4178</v>
      </c>
      <c r="C237" s="329">
        <v>48</v>
      </c>
    </row>
    <row r="238" spans="1:3" x14ac:dyDescent="0.3">
      <c r="B238" s="329" t="s">
        <v>4179</v>
      </c>
      <c r="C238" s="329">
        <v>10</v>
      </c>
    </row>
    <row r="239" spans="1:3" x14ac:dyDescent="0.3">
      <c r="B239" s="329" t="s">
        <v>4180</v>
      </c>
      <c r="C239" s="329">
        <f>(C236/C238*C237)/60</f>
        <v>8</v>
      </c>
    </row>
    <row r="242" spans="2:3" x14ac:dyDescent="0.3">
      <c r="B242" s="1" t="s">
        <v>4181</v>
      </c>
      <c r="C242" s="1">
        <f>24/C233*C230</f>
        <v>200</v>
      </c>
    </row>
    <row r="243" spans="2:3" x14ac:dyDescent="0.3">
      <c r="B243" s="1" t="s">
        <v>4182</v>
      </c>
      <c r="C243" s="1">
        <f>24/C239*C236</f>
        <v>300</v>
      </c>
    </row>
    <row r="672" spans="7:7" x14ac:dyDescent="0.3">
      <c r="G672" s="1" t="s">
        <v>540</v>
      </c>
    </row>
  </sheetData>
  <mergeCells count="14">
    <mergeCell ref="B11:F11"/>
    <mergeCell ref="G11:K11"/>
    <mergeCell ref="L11:M11"/>
    <mergeCell ref="N11:O11"/>
    <mergeCell ref="B19:C19"/>
    <mergeCell ref="E19:H19"/>
    <mergeCell ref="B68:T68"/>
    <mergeCell ref="V68:AE68"/>
    <mergeCell ref="P82:AE82"/>
    <mergeCell ref="B24:C24"/>
    <mergeCell ref="B31:H31"/>
    <mergeCell ref="B46:H46"/>
    <mergeCell ref="B55:N55"/>
    <mergeCell ref="P55:S55"/>
  </mergeCells>
  <phoneticPr fontId="32" type="noConversion"/>
  <conditionalFormatting sqref="F194:F221">
    <cfRule type="dataBar" priority="1">
      <dataBar>
        <cfvo type="min"/>
        <cfvo type="max"/>
        <color rgb="FF008AEF"/>
      </dataBar>
      <extLst>
        <ext xmlns:x14="http://schemas.microsoft.com/office/spreadsheetml/2009/9/main" uri="{B025F937-C7B1-47D3-B67F-A62EFF666E3E}">
          <x14:id>{B7BAB5B3-743D-4C72-A342-9EB716E86815}</x14:id>
        </ext>
      </extLst>
    </cfRule>
  </conditionalFormatting>
  <pageMargins left="0.7" right="0.7" top="0.75" bottom="0.75" header="0.3" footer="0.3"/>
  <legacyDrawing r:id="rId1"/>
  <extLst>
    <ext xmlns:x14="http://schemas.microsoft.com/office/spreadsheetml/2009/9/main" uri="{78C0D931-6437-407d-A8EE-F0AAD7539E65}">
      <x14:conditionalFormattings>
        <x14:conditionalFormatting xmlns:xm="http://schemas.microsoft.com/office/excel/2006/main">
          <x14:cfRule type="dataBar" id="{B7BAB5B3-743D-4C72-A342-9EB716E86815}">
            <x14:dataBar minLength="0" maxLength="100" gradient="0">
              <x14:cfvo type="autoMin"/>
              <x14:cfvo type="autoMax"/>
              <x14:negativeFillColor rgb="FFFF0000"/>
              <x14:axisColor rgb="FF000000"/>
            </x14:dataBar>
          </x14:cfRule>
          <xm:sqref>F194:F221</xm:sqref>
        </x14:conditionalFormatting>
      </x14:conditionalFormatting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AP49"/>
  <sheetViews>
    <sheetView workbookViewId="0">
      <selection activeCell="C27" sqref="C27"/>
    </sheetView>
  </sheetViews>
  <sheetFormatPr defaultColWidth="9" defaultRowHeight="14.25" x14ac:dyDescent="0.3"/>
  <cols>
    <col min="1" max="7" width="9" style="1"/>
    <col min="8" max="8" width="12.125" style="1" customWidth="1"/>
    <col min="9" max="9" width="9" style="1"/>
    <col min="10" max="10" width="24.625" style="1" customWidth="1"/>
    <col min="11" max="11" width="13.875" style="1" customWidth="1"/>
    <col min="12" max="35" width="9" style="1"/>
    <col min="36" max="36" width="13.75" style="1" bestFit="1" customWidth="1"/>
    <col min="37" max="40" width="9" style="1"/>
    <col min="41" max="41" width="13.375" style="1" customWidth="1"/>
    <col min="42" max="16384" width="9" style="1"/>
  </cols>
  <sheetData>
    <row r="1" spans="2:42" x14ac:dyDescent="0.3">
      <c r="AO1" s="36" t="s">
        <v>541</v>
      </c>
    </row>
    <row r="2" spans="2:42" x14ac:dyDescent="0.3">
      <c r="B2" s="351" t="s">
        <v>542</v>
      </c>
      <c r="C2" s="351"/>
      <c r="E2" s="2" t="s">
        <v>377</v>
      </c>
      <c r="F2" s="2" t="s">
        <v>543</v>
      </c>
      <c r="G2" s="2" t="s">
        <v>544</v>
      </c>
      <c r="H2" s="2" t="s">
        <v>545</v>
      </c>
      <c r="I2" s="2" t="s">
        <v>546</v>
      </c>
      <c r="J2" s="2" t="s">
        <v>547</v>
      </c>
      <c r="K2" s="2" t="s">
        <v>548</v>
      </c>
      <c r="L2" s="2" t="s">
        <v>549</v>
      </c>
      <c r="M2" s="2" t="s">
        <v>550</v>
      </c>
      <c r="N2" s="2" t="s">
        <v>551</v>
      </c>
      <c r="O2" s="2" t="s">
        <v>552</v>
      </c>
      <c r="P2" s="2" t="s">
        <v>553</v>
      </c>
      <c r="Q2" s="2" t="s">
        <v>554</v>
      </c>
      <c r="U2" s="352" t="s">
        <v>555</v>
      </c>
      <c r="V2" s="353"/>
      <c r="W2" s="353"/>
      <c r="X2" s="353"/>
      <c r="Y2" s="353"/>
      <c r="Z2" s="353"/>
      <c r="AA2" s="353"/>
      <c r="AB2" s="353"/>
      <c r="AC2" s="354"/>
      <c r="AO2" s="36" t="s">
        <v>556</v>
      </c>
    </row>
    <row r="3" spans="2:42" x14ac:dyDescent="0.3">
      <c r="B3" s="2" t="s">
        <v>557</v>
      </c>
      <c r="C3" s="2" t="s">
        <v>558</v>
      </c>
      <c r="E3" s="2">
        <v>1</v>
      </c>
      <c r="F3" s="2" t="s">
        <v>378</v>
      </c>
      <c r="G3" s="32">
        <v>5</v>
      </c>
      <c r="H3" s="142">
        <v>0.98</v>
      </c>
      <c r="I3" s="2">
        <f>(P3*H3+Q3*(1-H3))*G3</f>
        <v>49</v>
      </c>
      <c r="J3" s="2">
        <f>G3*1.5</f>
        <v>7.5</v>
      </c>
      <c r="K3" s="142">
        <v>1</v>
      </c>
      <c r="L3" s="2">
        <f>(P3*K3+Q3*(1-K3))*J3</f>
        <v>75</v>
      </c>
      <c r="M3" s="2">
        <f t="shared" ref="M3:M12" si="0">G3*2</f>
        <v>10</v>
      </c>
      <c r="N3" s="142">
        <v>1</v>
      </c>
      <c r="O3" s="2">
        <f>(P3*N3+Q3*(1-N3))*M3</f>
        <v>100</v>
      </c>
      <c r="P3" s="2">
        <v>10</v>
      </c>
      <c r="Q3" s="2">
        <v>0</v>
      </c>
      <c r="R3" s="1">
        <f>-0.63599+(60.07066)/(1+0.991798*EXP(0.00576*0))</f>
        <v>29.523022108657603</v>
      </c>
      <c r="S3" s="1">
        <f>39.0907-(39.0619)/(1+0.993*EXP(0.00595*0))</f>
        <v>19.491151580531859</v>
      </c>
      <c r="T3" s="1">
        <f>R3*H3+S3*(1-H3)</f>
        <v>29.322384698095089</v>
      </c>
      <c r="U3" s="2" t="s">
        <v>559</v>
      </c>
      <c r="V3" s="2" t="s">
        <v>560</v>
      </c>
      <c r="W3" s="2" t="s">
        <v>561</v>
      </c>
      <c r="X3" s="2" t="s">
        <v>562</v>
      </c>
      <c r="Y3" s="2" t="s">
        <v>563</v>
      </c>
      <c r="Z3" s="2" t="s">
        <v>564</v>
      </c>
      <c r="AA3" s="2" t="s">
        <v>565</v>
      </c>
      <c r="AB3" s="2" t="s">
        <v>566</v>
      </c>
      <c r="AC3" s="2" t="s">
        <v>567</v>
      </c>
      <c r="AE3" s="44" t="s">
        <v>4123</v>
      </c>
      <c r="AF3" s="325" t="s">
        <v>4122</v>
      </c>
      <c r="AG3" s="44" t="s">
        <v>568</v>
      </c>
      <c r="AH3" s="44" t="s">
        <v>569</v>
      </c>
      <c r="AI3" s="44" t="s">
        <v>570</v>
      </c>
      <c r="AJ3" s="44"/>
      <c r="AK3" s="113" t="s">
        <v>4124</v>
      </c>
      <c r="AL3" s="113" t="s">
        <v>4125</v>
      </c>
      <c r="AM3" s="113"/>
      <c r="AO3" s="36" t="s">
        <v>571</v>
      </c>
      <c r="AP3" s="1">
        <v>20</v>
      </c>
    </row>
    <row r="4" spans="2:42" x14ac:dyDescent="0.3">
      <c r="B4" s="2" t="s">
        <v>544</v>
      </c>
      <c r="C4" s="2">
        <f>[1]基础经济系数!C5*0.75</f>
        <v>7.5</v>
      </c>
      <c r="E4" s="2">
        <v>2</v>
      </c>
      <c r="F4" s="2" t="s">
        <v>379</v>
      </c>
      <c r="G4" s="32">
        <v>8</v>
      </c>
      <c r="H4" s="142">
        <v>0.78</v>
      </c>
      <c r="I4" s="2">
        <f t="shared" ref="I4:I12" si="1">(P4*H4+Q4*(1-H4))*G4</f>
        <v>46.800000000000004</v>
      </c>
      <c r="J4" s="2">
        <f t="shared" ref="J4:J12" si="2">G4*1.5</f>
        <v>12</v>
      </c>
      <c r="K4" s="142">
        <v>0.9</v>
      </c>
      <c r="L4" s="2">
        <f t="shared" ref="L4:L12" si="3">(P4*K4+Q4*(1-K4))*J4</f>
        <v>81</v>
      </c>
      <c r="M4" s="2">
        <f t="shared" si="0"/>
        <v>16</v>
      </c>
      <c r="N4" s="142">
        <v>0.9</v>
      </c>
      <c r="O4" s="2">
        <f t="shared" ref="O4:O12" si="4">(P4*N4+Q4*(1-N4))*M4</f>
        <v>108</v>
      </c>
      <c r="P4" s="2">
        <v>7.5</v>
      </c>
      <c r="Q4" s="2">
        <v>0</v>
      </c>
      <c r="R4" s="1">
        <f t="shared" ref="R4:R12" si="5">-0.63599+(60.07066)/(1+0.991798*EXP(0.00576*0))</f>
        <v>29.523022108657603</v>
      </c>
      <c r="S4" s="1">
        <f t="shared" ref="S4:S12" si="6">39.0907-(39.0619)/(1+0.993*EXP(0.00595*0))</f>
        <v>19.491151580531859</v>
      </c>
      <c r="T4" s="1">
        <f t="shared" ref="T4:T12" si="7">R4*H4+S4*(1-H4)</f>
        <v>27.316010592469937</v>
      </c>
      <c r="U4" s="2">
        <v>1</v>
      </c>
      <c r="V4" s="2">
        <v>0</v>
      </c>
      <c r="W4" s="2">
        <v>100</v>
      </c>
      <c r="X4" s="2">
        <f>W4/2</f>
        <v>50</v>
      </c>
      <c r="Y4" s="142">
        <v>1</v>
      </c>
      <c r="Z4" s="2">
        <v>0</v>
      </c>
      <c r="AA4" s="2">
        <f>SUM(Z$4:Z4)</f>
        <v>0</v>
      </c>
      <c r="AB4" s="2">
        <f>ROUND(((W4*Y4+(1-Y4)*X4)*[1]基础经济系数!$C$5/2+AA5)/50,0)*50</f>
        <v>800</v>
      </c>
      <c r="AC4" s="2">
        <f>(W4*Y4+(1-Y4)*X4)*[1]基础经济系数!$C$5*2</f>
        <v>2000</v>
      </c>
      <c r="AD4" s="1">
        <f t="shared" ref="AD4:AD32" si="8">AB4-AA5</f>
        <v>500</v>
      </c>
      <c r="AE4" s="325">
        <f>ROUNDUP(SUM($V$4:V4)/AVERAGE($G$3:$G$12),0)</f>
        <v>0</v>
      </c>
      <c r="AF4" s="325">
        <f>U4</f>
        <v>1</v>
      </c>
      <c r="AG4" s="325"/>
      <c r="AH4" s="325" t="str">
        <f>IFERROR(VLOOKUP(AG4,道具ID!$L:$N,2,FALSE),"")</f>
        <v/>
      </c>
      <c r="AI4" s="325"/>
      <c r="AJ4" s="325" t="str">
        <f>IF(AG4="","[]","["&amp;AH4&amp;","&amp;AI4&amp;"]")</f>
        <v>[]</v>
      </c>
      <c r="AK4" s="1">
        <f t="shared" ref="AK4:AK33" si="9">IF(AG4="军费",AI4,0)</f>
        <v>0</v>
      </c>
      <c r="AL4" s="1">
        <f>IF(AG4="钻石",AI4,0)</f>
        <v>0</v>
      </c>
      <c r="AM4" s="326"/>
      <c r="AO4" s="36" t="s">
        <v>572</v>
      </c>
      <c r="AP4" s="1">
        <v>10</v>
      </c>
    </row>
    <row r="5" spans="2:42" x14ac:dyDescent="0.3">
      <c r="B5" s="2" t="s">
        <v>573</v>
      </c>
      <c r="C5" s="155">
        <v>0.5</v>
      </c>
      <c r="E5" s="2">
        <v>3</v>
      </c>
      <c r="F5" s="2" t="s">
        <v>380</v>
      </c>
      <c r="G5" s="32">
        <v>10</v>
      </c>
      <c r="H5" s="142">
        <v>0.66</v>
      </c>
      <c r="I5" s="2">
        <f t="shared" si="1"/>
        <v>44.400000000000006</v>
      </c>
      <c r="J5" s="2">
        <f t="shared" si="2"/>
        <v>15</v>
      </c>
      <c r="K5" s="142">
        <v>0.8</v>
      </c>
      <c r="L5" s="2">
        <f t="shared" si="3"/>
        <v>85.5</v>
      </c>
      <c r="M5" s="2">
        <f t="shared" si="0"/>
        <v>20</v>
      </c>
      <c r="N5" s="142">
        <v>0.8</v>
      </c>
      <c r="O5" s="2">
        <f t="shared" si="4"/>
        <v>114</v>
      </c>
      <c r="P5" s="2">
        <v>7.5</v>
      </c>
      <c r="Q5" s="2">
        <v>-1.5</v>
      </c>
      <c r="R5" s="1">
        <f t="shared" si="5"/>
        <v>29.523022108657603</v>
      </c>
      <c r="S5" s="1">
        <f t="shared" si="6"/>
        <v>19.491151580531859</v>
      </c>
      <c r="T5" s="1">
        <f t="shared" si="7"/>
        <v>26.112186129094852</v>
      </c>
      <c r="U5" s="2">
        <v>2</v>
      </c>
      <c r="V5" s="2">
        <v>3</v>
      </c>
      <c r="W5" s="2">
        <v>150</v>
      </c>
      <c r="X5" s="2">
        <f t="shared" ref="X5:X33" si="10">W5/2</f>
        <v>75</v>
      </c>
      <c r="Y5" s="142">
        <v>0.94</v>
      </c>
      <c r="Z5" s="33">
        <f t="shared" ref="Z5:Z33" si="11">ROUND((W4*Y4+(1-Y4)*X4)*V5/50,0)*50</f>
        <v>300</v>
      </c>
      <c r="AA5" s="2">
        <f>SUM(Z$4:Z5)</f>
        <v>300</v>
      </c>
      <c r="AB5" s="2">
        <f>ROUND(((W5*Y5+(1-Y5)*X5)*[1]基础经济系数!$C$5/2+AA6)/50,0)*50</f>
        <v>1500</v>
      </c>
      <c r="AC5" s="2">
        <f>(W5*Y5+(1-Y5)*X5)*[1]基础经济系数!$C$5*2</f>
        <v>2910</v>
      </c>
      <c r="AD5" s="1">
        <f t="shared" si="8"/>
        <v>750</v>
      </c>
      <c r="AE5" s="327">
        <f>ROUNDUP(SUM($V$4:V5)/AVERAGE($G$3:$G$12),0)</f>
        <v>1</v>
      </c>
      <c r="AF5" s="325">
        <f t="shared" ref="AF5:AF33" si="12">U5</f>
        <v>2</v>
      </c>
      <c r="AG5" s="325" t="s">
        <v>4121</v>
      </c>
      <c r="AH5" s="325">
        <f>IFERROR(VLOOKUP(AG5,道具ID!$L:$N,2,FALSE),"")</f>
        <v>102</v>
      </c>
      <c r="AI5" s="325">
        <v>1500</v>
      </c>
      <c r="AJ5" s="325" t="str">
        <f t="shared" ref="AJ5:AJ33" si="13">IF(AG5="","[]","["&amp;AH5&amp;","&amp;AI5&amp;"]")</f>
        <v>[102,1500]</v>
      </c>
      <c r="AK5" s="1">
        <f>IF(AG5="军费",AI5,0)</f>
        <v>1500</v>
      </c>
      <c r="AL5" s="1">
        <f t="shared" ref="AL5:AL33" si="14">IF(AG5="钻石",AI5,0)</f>
        <v>0</v>
      </c>
      <c r="AM5" s="326"/>
      <c r="AO5" s="36" t="s">
        <v>574</v>
      </c>
      <c r="AP5" s="1">
        <v>8</v>
      </c>
    </row>
    <row r="6" spans="2:42" x14ac:dyDescent="0.3">
      <c r="B6" s="2" t="s">
        <v>575</v>
      </c>
      <c r="C6" s="32">
        <v>100</v>
      </c>
      <c r="E6" s="2">
        <v>4</v>
      </c>
      <c r="F6" s="2"/>
      <c r="G6" s="32">
        <v>10</v>
      </c>
      <c r="H6" s="142">
        <v>0.6</v>
      </c>
      <c r="I6" s="2">
        <f t="shared" si="1"/>
        <v>35</v>
      </c>
      <c r="J6" s="2">
        <f t="shared" si="2"/>
        <v>15</v>
      </c>
      <c r="K6" s="142">
        <v>0.7</v>
      </c>
      <c r="L6" s="2">
        <f t="shared" si="3"/>
        <v>67.5</v>
      </c>
      <c r="M6" s="2">
        <f t="shared" si="0"/>
        <v>20</v>
      </c>
      <c r="N6" s="142">
        <v>0.7</v>
      </c>
      <c r="O6" s="2">
        <f t="shared" si="4"/>
        <v>90</v>
      </c>
      <c r="P6" s="2">
        <v>7.5</v>
      </c>
      <c r="Q6" s="2">
        <v>-2.5</v>
      </c>
      <c r="R6" s="1">
        <f t="shared" si="5"/>
        <v>29.523022108657603</v>
      </c>
      <c r="S6" s="1">
        <f t="shared" si="6"/>
        <v>19.491151580531859</v>
      </c>
      <c r="T6" s="1">
        <f t="shared" si="7"/>
        <v>25.510273897407302</v>
      </c>
      <c r="U6" s="2">
        <v>3</v>
      </c>
      <c r="V6" s="2">
        <v>3</v>
      </c>
      <c r="W6" s="2">
        <v>200</v>
      </c>
      <c r="X6" s="2">
        <f t="shared" si="10"/>
        <v>100</v>
      </c>
      <c r="Y6" s="142">
        <v>0.88</v>
      </c>
      <c r="Z6" s="33">
        <f t="shared" si="11"/>
        <v>450</v>
      </c>
      <c r="AA6" s="2">
        <f>SUM(Z$4:Z6)</f>
        <v>750</v>
      </c>
      <c r="AB6" s="2">
        <f>ROUND(((W6*Y6+(1-Y6)*X6)*[1]基础经济系数!$C$5/2+AA7)/50,0)*50</f>
        <v>2450</v>
      </c>
      <c r="AC6" s="2">
        <f>(W6*Y6+(1-Y6)*X6)*[1]基础经济系数!$C$5*2</f>
        <v>3760</v>
      </c>
      <c r="AD6" s="1">
        <f t="shared" si="8"/>
        <v>950</v>
      </c>
      <c r="AE6" s="327">
        <f>ROUNDUP(SUM($V$4:V6)/AVERAGE($G$3:$G$12),0)</f>
        <v>1</v>
      </c>
      <c r="AF6" s="325">
        <f t="shared" si="12"/>
        <v>3</v>
      </c>
      <c r="AG6" s="325" t="s">
        <v>4120</v>
      </c>
      <c r="AH6" s="325">
        <f>IFERROR(VLOOKUP(AG6,道具ID!$L:$N,2,FALSE),"")</f>
        <v>52111</v>
      </c>
      <c r="AI6" s="325">
        <v>4</v>
      </c>
      <c r="AJ6" s="325" t="str">
        <f t="shared" si="13"/>
        <v>[52111,4]</v>
      </c>
      <c r="AK6" s="1">
        <f t="shared" si="9"/>
        <v>0</v>
      </c>
      <c r="AL6" s="1">
        <f t="shared" si="14"/>
        <v>0</v>
      </c>
      <c r="AM6" s="326"/>
      <c r="AO6" s="36" t="s">
        <v>576</v>
      </c>
      <c r="AP6" s="1">
        <v>8</v>
      </c>
    </row>
    <row r="7" spans="2:42" x14ac:dyDescent="0.3">
      <c r="B7" s="2" t="s">
        <v>577</v>
      </c>
      <c r="C7" s="155">
        <v>0.7</v>
      </c>
      <c r="E7" s="2">
        <v>5</v>
      </c>
      <c r="F7" s="2" t="s">
        <v>381</v>
      </c>
      <c r="G7" s="32">
        <v>10</v>
      </c>
      <c r="H7" s="142">
        <v>0.6</v>
      </c>
      <c r="I7" s="2">
        <f t="shared" si="1"/>
        <v>25</v>
      </c>
      <c r="J7" s="2">
        <f t="shared" si="2"/>
        <v>15</v>
      </c>
      <c r="K7" s="142">
        <v>0.7</v>
      </c>
      <c r="L7" s="2">
        <f t="shared" si="3"/>
        <v>56.25</v>
      </c>
      <c r="M7" s="2">
        <f t="shared" si="0"/>
        <v>20</v>
      </c>
      <c r="N7" s="142">
        <v>0.7</v>
      </c>
      <c r="O7" s="2">
        <f t="shared" si="4"/>
        <v>75</v>
      </c>
      <c r="P7" s="2">
        <v>7.5</v>
      </c>
      <c r="Q7" s="2">
        <v>-5</v>
      </c>
      <c r="R7" s="1">
        <f t="shared" si="5"/>
        <v>29.523022108657603</v>
      </c>
      <c r="S7" s="1">
        <f t="shared" si="6"/>
        <v>19.491151580531859</v>
      </c>
      <c r="T7" s="1">
        <f t="shared" si="7"/>
        <v>25.510273897407302</v>
      </c>
      <c r="U7" s="2">
        <v>4</v>
      </c>
      <c r="V7" s="2">
        <v>4</v>
      </c>
      <c r="W7" s="2">
        <v>250</v>
      </c>
      <c r="X7" s="2">
        <f t="shared" si="10"/>
        <v>125</v>
      </c>
      <c r="Y7" s="142">
        <v>0.83</v>
      </c>
      <c r="Z7" s="33">
        <f t="shared" si="11"/>
        <v>750</v>
      </c>
      <c r="AA7" s="2">
        <f>SUM(Z$4:Z7)</f>
        <v>1500</v>
      </c>
      <c r="AB7" s="2">
        <f>ROUND(((W7*Y7+(1-Y7)*X7)*[1]基础经济系数!$C$5/2+AA8)/50,0)*50</f>
        <v>3800</v>
      </c>
      <c r="AC7" s="2">
        <f>(W7*Y7+(1-Y7)*X7)*[1]基础经济系数!$C$5*2</f>
        <v>4575</v>
      </c>
      <c r="AD7" s="1">
        <f t="shared" si="8"/>
        <v>1150</v>
      </c>
      <c r="AE7" s="327">
        <f>ROUNDUP(SUM($V$4:V7)/AVERAGE($G$3:$G$12),0)</f>
        <v>1</v>
      </c>
      <c r="AF7" s="325">
        <f t="shared" si="12"/>
        <v>4</v>
      </c>
      <c r="AG7" s="325" t="s">
        <v>4121</v>
      </c>
      <c r="AH7" s="325">
        <f>IFERROR(VLOOKUP(AG7,道具ID!$L:$N,2,FALSE),"")</f>
        <v>102</v>
      </c>
      <c r="AI7" s="325">
        <v>1500</v>
      </c>
      <c r="AJ7" s="325" t="str">
        <f t="shared" si="13"/>
        <v>[102,1500]</v>
      </c>
      <c r="AK7" s="1">
        <f t="shared" si="9"/>
        <v>1500</v>
      </c>
      <c r="AL7" s="1">
        <f t="shared" si="14"/>
        <v>0</v>
      </c>
      <c r="AM7" s="326"/>
    </row>
    <row r="8" spans="2:42" x14ac:dyDescent="0.3">
      <c r="B8" s="2" t="s">
        <v>579</v>
      </c>
      <c r="C8" s="122">
        <v>0.5</v>
      </c>
      <c r="E8" s="2">
        <v>6</v>
      </c>
      <c r="F8" s="2" t="s">
        <v>382</v>
      </c>
      <c r="G8" s="32">
        <v>10</v>
      </c>
      <c r="H8" s="142">
        <v>0.6</v>
      </c>
      <c r="I8" s="2">
        <f t="shared" si="1"/>
        <v>30</v>
      </c>
      <c r="J8" s="2">
        <f t="shared" si="2"/>
        <v>15</v>
      </c>
      <c r="K8" s="142">
        <v>0.65</v>
      </c>
      <c r="L8" s="2">
        <f t="shared" si="3"/>
        <v>58.125</v>
      </c>
      <c r="M8" s="2">
        <f t="shared" si="0"/>
        <v>20</v>
      </c>
      <c r="N8" s="142">
        <v>0.65</v>
      </c>
      <c r="O8" s="2">
        <f t="shared" si="4"/>
        <v>77.5</v>
      </c>
      <c r="P8" s="2">
        <v>10</v>
      </c>
      <c r="Q8" s="2">
        <v>-7.5</v>
      </c>
      <c r="R8" s="1">
        <f t="shared" si="5"/>
        <v>29.523022108657603</v>
      </c>
      <c r="S8" s="1">
        <f t="shared" si="6"/>
        <v>19.491151580531859</v>
      </c>
      <c r="T8" s="1">
        <f t="shared" si="7"/>
        <v>25.510273897407302</v>
      </c>
      <c r="U8" s="2">
        <v>5</v>
      </c>
      <c r="V8" s="2">
        <v>5</v>
      </c>
      <c r="W8" s="2">
        <v>300</v>
      </c>
      <c r="X8" s="2">
        <f t="shared" si="10"/>
        <v>150</v>
      </c>
      <c r="Y8" s="142">
        <v>0.79</v>
      </c>
      <c r="Z8" s="33">
        <f t="shared" si="11"/>
        <v>1150</v>
      </c>
      <c r="AA8" s="2">
        <f>SUM(Z$4:Z8)</f>
        <v>2650</v>
      </c>
      <c r="AB8" s="2">
        <f>ROUND(((W8*Y8+(1-Y8)*X8)*[1]基础经济系数!$C$5/2+AA9)/50,0)*50</f>
        <v>5600</v>
      </c>
      <c r="AC8" s="2">
        <f>(W8*Y8+(1-Y8)*X8)*[1]基础经济系数!$C$5*2</f>
        <v>5370</v>
      </c>
      <c r="AD8" s="1">
        <f t="shared" si="8"/>
        <v>1350</v>
      </c>
      <c r="AE8" s="327">
        <f>ROUNDUP(SUM($V$4:V8)/AVERAGE($G$3:$G$12),0)</f>
        <v>2</v>
      </c>
      <c r="AF8" s="325">
        <f t="shared" si="12"/>
        <v>5</v>
      </c>
      <c r="AG8" s="325" t="s">
        <v>4120</v>
      </c>
      <c r="AH8" s="325">
        <f>IFERROR(VLOOKUP(AG8,道具ID!$L:$N,2,FALSE),"")</f>
        <v>52111</v>
      </c>
      <c r="AI8" s="325">
        <v>10</v>
      </c>
      <c r="AJ8" s="325" t="str">
        <f t="shared" si="13"/>
        <v>[52111,10]</v>
      </c>
      <c r="AK8" s="1">
        <f t="shared" si="9"/>
        <v>0</v>
      </c>
      <c r="AL8" s="1">
        <f t="shared" si="14"/>
        <v>0</v>
      </c>
      <c r="AM8" s="326"/>
    </row>
    <row r="9" spans="2:42" x14ac:dyDescent="0.3">
      <c r="B9" s="2" t="s">
        <v>580</v>
      </c>
      <c r="C9" s="122">
        <v>2</v>
      </c>
      <c r="E9" s="2">
        <v>7</v>
      </c>
      <c r="F9" s="2"/>
      <c r="G9" s="32">
        <v>10</v>
      </c>
      <c r="H9" s="142">
        <v>0.6</v>
      </c>
      <c r="I9" s="2">
        <f t="shared" si="1"/>
        <v>20</v>
      </c>
      <c r="J9" s="2">
        <f t="shared" si="2"/>
        <v>15</v>
      </c>
      <c r="K9" s="142">
        <v>0.65</v>
      </c>
      <c r="L9" s="2">
        <f t="shared" si="3"/>
        <v>45</v>
      </c>
      <c r="M9" s="2">
        <f t="shared" si="0"/>
        <v>20</v>
      </c>
      <c r="N9" s="142">
        <v>0.65</v>
      </c>
      <c r="O9" s="2">
        <f t="shared" si="4"/>
        <v>60</v>
      </c>
      <c r="P9" s="2">
        <v>10</v>
      </c>
      <c r="Q9" s="2">
        <v>-10</v>
      </c>
      <c r="R9" s="1">
        <f t="shared" si="5"/>
        <v>29.523022108657603</v>
      </c>
      <c r="S9" s="1">
        <f t="shared" si="6"/>
        <v>19.491151580531859</v>
      </c>
      <c r="T9" s="1">
        <f t="shared" si="7"/>
        <v>25.510273897407302</v>
      </c>
      <c r="U9" s="2">
        <v>6</v>
      </c>
      <c r="V9" s="2">
        <v>6</v>
      </c>
      <c r="W9" s="2">
        <v>350</v>
      </c>
      <c r="X9" s="2">
        <f t="shared" si="10"/>
        <v>175</v>
      </c>
      <c r="Y9" s="142">
        <v>0.75</v>
      </c>
      <c r="Z9" s="33">
        <f t="shared" si="11"/>
        <v>1600</v>
      </c>
      <c r="AA9" s="2">
        <f>SUM(Z$4:Z9)</f>
        <v>4250</v>
      </c>
      <c r="AB9" s="2">
        <f>ROUND(((W9*Y9+(1-Y9)*X9)*[1]基础经济系数!$C$5/2+AA10)/50,0)*50</f>
        <v>8250</v>
      </c>
      <c r="AC9" s="2">
        <f>(W9*Y9+(1-Y9)*X9)*[1]基础经济系数!$C$5*2</f>
        <v>6125</v>
      </c>
      <c r="AD9" s="1">
        <f t="shared" si="8"/>
        <v>1550</v>
      </c>
      <c r="AE9" s="327">
        <f>ROUNDUP(SUM($V$4:V9)/AVERAGE($G$3:$G$12),0)</f>
        <v>2</v>
      </c>
      <c r="AF9" s="325">
        <f t="shared" si="12"/>
        <v>6</v>
      </c>
      <c r="AG9" s="325" t="s">
        <v>4121</v>
      </c>
      <c r="AH9" s="325">
        <f>IFERROR(VLOOKUP(AG9,道具ID!$L:$N,2,FALSE),"")</f>
        <v>102</v>
      </c>
      <c r="AI9" s="325">
        <v>2000</v>
      </c>
      <c r="AJ9" s="325" t="str">
        <f t="shared" si="13"/>
        <v>[102,2000]</v>
      </c>
      <c r="AK9" s="1">
        <f t="shared" si="9"/>
        <v>2000</v>
      </c>
      <c r="AL9" s="1">
        <f t="shared" si="14"/>
        <v>0</v>
      </c>
      <c r="AM9" s="326"/>
    </row>
    <row r="10" spans="2:42" x14ac:dyDescent="0.3">
      <c r="B10" s="25"/>
      <c r="C10" s="223"/>
      <c r="E10" s="2">
        <v>8</v>
      </c>
      <c r="F10" s="2" t="s">
        <v>581</v>
      </c>
      <c r="G10" s="32">
        <v>12</v>
      </c>
      <c r="H10" s="142">
        <v>0.55000000000000004</v>
      </c>
      <c r="I10" s="2">
        <f t="shared" si="1"/>
        <v>12</v>
      </c>
      <c r="J10" s="2">
        <f t="shared" si="2"/>
        <v>18</v>
      </c>
      <c r="K10" s="142">
        <v>0.75</v>
      </c>
      <c r="L10" s="2">
        <f t="shared" si="3"/>
        <v>90</v>
      </c>
      <c r="M10" s="2">
        <f t="shared" si="0"/>
        <v>24</v>
      </c>
      <c r="N10" s="142">
        <v>0.75</v>
      </c>
      <c r="O10" s="2">
        <f t="shared" si="4"/>
        <v>120</v>
      </c>
      <c r="P10" s="2">
        <v>10</v>
      </c>
      <c r="Q10" s="2">
        <v>-10</v>
      </c>
      <c r="R10" s="1">
        <f t="shared" si="5"/>
        <v>29.523022108657603</v>
      </c>
      <c r="S10" s="1">
        <f t="shared" si="6"/>
        <v>19.491151580531859</v>
      </c>
      <c r="T10" s="1">
        <f t="shared" si="7"/>
        <v>25.00868037100102</v>
      </c>
      <c r="U10" s="2">
        <v>7</v>
      </c>
      <c r="V10" s="2">
        <v>8</v>
      </c>
      <c r="W10" s="2">
        <v>400</v>
      </c>
      <c r="X10" s="2">
        <f t="shared" si="10"/>
        <v>200</v>
      </c>
      <c r="Y10" s="142">
        <v>0.72</v>
      </c>
      <c r="Z10" s="33">
        <f t="shared" si="11"/>
        <v>2450</v>
      </c>
      <c r="AA10" s="2">
        <f>SUM(Z$4:Z10)</f>
        <v>6700</v>
      </c>
      <c r="AB10" s="2">
        <f>ROUND(((W10*Y10+(1-Y10)*X10)*[1]基础经济系数!$C$5/2+AA11)/50,0)*50</f>
        <v>9100</v>
      </c>
      <c r="AC10" s="2">
        <f>(W10*Y10+(1-Y10)*X10)*[1]基础经济系数!$C$5*2</f>
        <v>6880</v>
      </c>
      <c r="AD10" s="1">
        <f t="shared" si="8"/>
        <v>1700</v>
      </c>
      <c r="AE10" s="327">
        <f>ROUNDUP(SUM($V$4:V10)/AVERAGE($G$3:$G$12),0)</f>
        <v>3</v>
      </c>
      <c r="AF10" s="325">
        <f t="shared" si="12"/>
        <v>7</v>
      </c>
      <c r="AG10" s="325" t="s">
        <v>268</v>
      </c>
      <c r="AH10" s="325">
        <f>IFERROR(VLOOKUP(AG10,道具ID!$L:$N,2,FALSE),"")</f>
        <v>102</v>
      </c>
      <c r="AI10" s="325">
        <v>3000</v>
      </c>
      <c r="AJ10" s="325" t="str">
        <f t="shared" si="13"/>
        <v>[102,3000]</v>
      </c>
      <c r="AK10" s="1">
        <f t="shared" si="9"/>
        <v>3000</v>
      </c>
      <c r="AL10" s="1">
        <f t="shared" si="14"/>
        <v>0</v>
      </c>
      <c r="AM10" s="326"/>
    </row>
    <row r="11" spans="2:42" x14ac:dyDescent="0.3">
      <c r="B11" s="25"/>
      <c r="C11" s="223"/>
      <c r="E11" s="2">
        <v>9</v>
      </c>
      <c r="F11" s="2"/>
      <c r="G11" s="32">
        <v>15</v>
      </c>
      <c r="H11" s="142">
        <v>0.55000000000000004</v>
      </c>
      <c r="I11" s="2">
        <f t="shared" si="1"/>
        <v>15</v>
      </c>
      <c r="J11" s="2">
        <f t="shared" si="2"/>
        <v>22.5</v>
      </c>
      <c r="K11" s="142">
        <v>0.75</v>
      </c>
      <c r="L11" s="2">
        <f t="shared" si="3"/>
        <v>112.5</v>
      </c>
      <c r="M11" s="2">
        <f t="shared" si="0"/>
        <v>30</v>
      </c>
      <c r="N11" s="142">
        <v>0.75</v>
      </c>
      <c r="O11" s="2">
        <f t="shared" si="4"/>
        <v>150</v>
      </c>
      <c r="P11" s="2">
        <v>10</v>
      </c>
      <c r="Q11" s="2">
        <v>-10</v>
      </c>
      <c r="R11" s="1">
        <f t="shared" si="5"/>
        <v>29.523022108657603</v>
      </c>
      <c r="S11" s="1">
        <f t="shared" si="6"/>
        <v>19.491151580531859</v>
      </c>
      <c r="T11" s="1">
        <f t="shared" si="7"/>
        <v>25.00868037100102</v>
      </c>
      <c r="U11" s="2">
        <v>8</v>
      </c>
      <c r="V11" s="2">
        <v>2</v>
      </c>
      <c r="W11" s="2">
        <v>450</v>
      </c>
      <c r="X11" s="2">
        <f t="shared" si="10"/>
        <v>225</v>
      </c>
      <c r="Y11" s="142">
        <v>0.69</v>
      </c>
      <c r="Z11" s="33">
        <f t="shared" si="11"/>
        <v>700</v>
      </c>
      <c r="AA11" s="2">
        <f>SUM(Z$4:Z11)</f>
        <v>7400</v>
      </c>
      <c r="AB11" s="2">
        <f>ROUND(((W11*Y11+(1-Y11)*X11)*[1]基础经济系数!$C$5/2+AA12)/50,0)*50</f>
        <v>10450</v>
      </c>
      <c r="AC11" s="2">
        <f>(W11*Y11+(1-Y11)*X11)*[1]基础经济系数!$C$5*2</f>
        <v>7605</v>
      </c>
      <c r="AD11" s="1">
        <f t="shared" si="8"/>
        <v>1900</v>
      </c>
      <c r="AE11" s="327">
        <f>ROUNDUP(SUM($V$4:V11)/AVERAGE($G$3:$G$12),0)</f>
        <v>3</v>
      </c>
      <c r="AF11" s="325">
        <f t="shared" si="12"/>
        <v>8</v>
      </c>
      <c r="AG11" s="325" t="s">
        <v>4121</v>
      </c>
      <c r="AH11" s="325">
        <f>IFERROR(VLOOKUP(AG11,道具ID!$L:$N,2,FALSE),"")</f>
        <v>102</v>
      </c>
      <c r="AI11" s="325">
        <v>4000</v>
      </c>
      <c r="AJ11" s="325" t="str">
        <f t="shared" si="13"/>
        <v>[102,4000]</v>
      </c>
      <c r="AK11" s="1">
        <f t="shared" si="9"/>
        <v>4000</v>
      </c>
      <c r="AL11" s="1">
        <f t="shared" si="14"/>
        <v>0</v>
      </c>
      <c r="AM11" s="326"/>
    </row>
    <row r="12" spans="2:42" x14ac:dyDescent="0.3">
      <c r="B12" s="25"/>
      <c r="C12" s="223"/>
      <c r="E12" s="2">
        <v>10</v>
      </c>
      <c r="F12" s="2"/>
      <c r="G12" s="32">
        <v>15</v>
      </c>
      <c r="H12" s="142">
        <v>0.55000000000000004</v>
      </c>
      <c r="I12" s="2">
        <f t="shared" si="1"/>
        <v>15</v>
      </c>
      <c r="J12" s="2">
        <f t="shared" si="2"/>
        <v>22.5</v>
      </c>
      <c r="K12" s="142">
        <v>0.9</v>
      </c>
      <c r="L12" s="2">
        <f t="shared" si="3"/>
        <v>180</v>
      </c>
      <c r="M12" s="2">
        <f t="shared" si="0"/>
        <v>30</v>
      </c>
      <c r="N12" s="142">
        <v>0.9</v>
      </c>
      <c r="O12" s="2">
        <f t="shared" si="4"/>
        <v>240</v>
      </c>
      <c r="P12" s="2">
        <v>10</v>
      </c>
      <c r="Q12" s="2">
        <v>-10</v>
      </c>
      <c r="R12" s="1">
        <f t="shared" si="5"/>
        <v>29.523022108657603</v>
      </c>
      <c r="S12" s="1">
        <f t="shared" si="6"/>
        <v>19.491151580531859</v>
      </c>
      <c r="T12" s="1">
        <f t="shared" si="7"/>
        <v>25.00868037100102</v>
      </c>
      <c r="U12" s="2">
        <v>9</v>
      </c>
      <c r="V12" s="2">
        <v>3</v>
      </c>
      <c r="W12" s="2">
        <v>500</v>
      </c>
      <c r="X12" s="2">
        <f t="shared" si="10"/>
        <v>250</v>
      </c>
      <c r="Y12" s="142">
        <v>0.67</v>
      </c>
      <c r="Z12" s="33">
        <f t="shared" si="11"/>
        <v>1150</v>
      </c>
      <c r="AA12" s="2">
        <f>SUM(Z$4:Z12)</f>
        <v>8550</v>
      </c>
      <c r="AB12" s="2">
        <f>ROUND(((W12*Y12+(1-Y12)*X12)*[1]基础经济系数!$C$5/2+AA13)/50,0)*50</f>
        <v>12300</v>
      </c>
      <c r="AC12" s="2">
        <f>(W12*Y12+(1-Y12)*X12)*[1]基础经济系数!$C$5*2</f>
        <v>8350</v>
      </c>
      <c r="AD12" s="1">
        <f t="shared" si="8"/>
        <v>2100</v>
      </c>
      <c r="AE12" s="327">
        <f>ROUNDUP(SUM($V$4:V12)/AVERAGE($G$3:$G$12),0)</f>
        <v>4</v>
      </c>
      <c r="AF12" s="325">
        <f t="shared" si="12"/>
        <v>9</v>
      </c>
      <c r="AG12" s="325" t="s">
        <v>317</v>
      </c>
      <c r="AH12" s="325">
        <f>IFERROR(VLOOKUP(AG12,道具ID!$L:$N,2,FALSE),"")</f>
        <v>101</v>
      </c>
      <c r="AI12" s="325">
        <v>40</v>
      </c>
      <c r="AJ12" s="325" t="str">
        <f t="shared" si="13"/>
        <v>[101,40]</v>
      </c>
      <c r="AK12" s="1">
        <f t="shared" si="9"/>
        <v>0</v>
      </c>
      <c r="AL12" s="1">
        <f t="shared" si="14"/>
        <v>40</v>
      </c>
      <c r="AM12" s="326"/>
    </row>
    <row r="13" spans="2:42" x14ac:dyDescent="0.3">
      <c r="B13" s="25"/>
      <c r="C13" s="223"/>
      <c r="U13" s="2">
        <v>10</v>
      </c>
      <c r="V13" s="2">
        <v>4</v>
      </c>
      <c r="W13" s="2">
        <v>550</v>
      </c>
      <c r="X13" s="2">
        <f t="shared" si="10"/>
        <v>275</v>
      </c>
      <c r="Y13" s="142">
        <v>0.65</v>
      </c>
      <c r="Z13" s="33">
        <f t="shared" si="11"/>
        <v>1650</v>
      </c>
      <c r="AA13" s="2">
        <f>SUM(Z$4:Z13)</f>
        <v>10200</v>
      </c>
      <c r="AB13" s="2">
        <f>ROUND(((W13*Y13+(1-Y13)*X13)*[1]基础经济系数!$C$5/2+AA14)/50,0)*50</f>
        <v>14700</v>
      </c>
      <c r="AC13" s="2">
        <f>(W13*Y13+(1-Y13)*X13)*[1]基础经济系数!$C$5*2</f>
        <v>9075</v>
      </c>
      <c r="AD13" s="1">
        <f t="shared" si="8"/>
        <v>2250</v>
      </c>
      <c r="AE13" s="327">
        <f>ROUNDUP(SUM($V$4:V13)/AVERAGE($G$3:$G$12),0)</f>
        <v>4</v>
      </c>
      <c r="AF13" s="325">
        <f t="shared" si="12"/>
        <v>10</v>
      </c>
      <c r="AG13" s="325" t="s">
        <v>273</v>
      </c>
      <c r="AH13" s="325">
        <f>IFERROR(VLOOKUP(AG13,道具ID!$L:$N,2,FALSE),"")</f>
        <v>105</v>
      </c>
      <c r="AI13" s="325">
        <v>30</v>
      </c>
      <c r="AJ13" s="325" t="str">
        <f t="shared" si="13"/>
        <v>[105,30]</v>
      </c>
      <c r="AK13" s="1">
        <f t="shared" si="9"/>
        <v>0</v>
      </c>
      <c r="AL13" s="1">
        <f t="shared" si="14"/>
        <v>0</v>
      </c>
      <c r="AM13" s="326"/>
    </row>
    <row r="14" spans="2:42" x14ac:dyDescent="0.3">
      <c r="B14" s="25"/>
      <c r="C14" s="224"/>
      <c r="U14" s="2">
        <v>11</v>
      </c>
      <c r="V14" s="2">
        <v>5</v>
      </c>
      <c r="W14" s="2">
        <v>600</v>
      </c>
      <c r="X14" s="2">
        <f t="shared" si="10"/>
        <v>300</v>
      </c>
      <c r="Y14" s="142">
        <v>0.65</v>
      </c>
      <c r="Z14" s="33">
        <f t="shared" si="11"/>
        <v>2250</v>
      </c>
      <c r="AA14" s="2">
        <f>SUM(Z$4:Z14)</f>
        <v>12450</v>
      </c>
      <c r="AB14" s="2">
        <f>ROUND(((W14*Y14+(1-Y14)*X14)*[1]基础经济系数!$C$5/2+AA15)/50,0)*50</f>
        <v>17900</v>
      </c>
      <c r="AC14" s="2">
        <f>(W14*Y14+(1-Y14)*X14)*[1]基础经济系数!$C$5*2</f>
        <v>9900</v>
      </c>
      <c r="AD14" s="1">
        <f t="shared" si="8"/>
        <v>2500</v>
      </c>
      <c r="AE14" s="327">
        <f>ROUNDUP(SUM($V$4:V14)/AVERAGE($G$3:$G$12),0)</f>
        <v>5</v>
      </c>
      <c r="AF14" s="325">
        <f t="shared" si="12"/>
        <v>11</v>
      </c>
      <c r="AG14" s="325" t="s">
        <v>268</v>
      </c>
      <c r="AH14" s="325">
        <f>IFERROR(VLOOKUP(AG14,道具ID!$L:$N,2,FALSE),"")</f>
        <v>102</v>
      </c>
      <c r="AI14" s="325">
        <v>5000</v>
      </c>
      <c r="AJ14" s="325" t="str">
        <f t="shared" si="13"/>
        <v>[102,5000]</v>
      </c>
      <c r="AK14" s="1">
        <f t="shared" si="9"/>
        <v>5000</v>
      </c>
      <c r="AL14" s="1">
        <f t="shared" si="14"/>
        <v>0</v>
      </c>
      <c r="AM14" s="326"/>
    </row>
    <row r="15" spans="2:42" x14ac:dyDescent="0.3">
      <c r="B15" s="352" t="s">
        <v>582</v>
      </c>
      <c r="C15" s="353"/>
      <c r="D15" s="353"/>
      <c r="E15" s="353"/>
      <c r="F15" s="353"/>
      <c r="G15" s="353"/>
      <c r="H15" s="353"/>
      <c r="I15" s="353"/>
      <c r="J15" s="353"/>
      <c r="T15" s="25"/>
      <c r="U15" s="2">
        <v>12</v>
      </c>
      <c r="V15" s="2">
        <v>6</v>
      </c>
      <c r="W15" s="2">
        <v>650</v>
      </c>
      <c r="X15" s="2">
        <f t="shared" si="10"/>
        <v>325</v>
      </c>
      <c r="Y15" s="142">
        <v>0.65</v>
      </c>
      <c r="Z15" s="33">
        <f t="shared" si="11"/>
        <v>2950</v>
      </c>
      <c r="AA15" s="2">
        <f>SUM(Z$4:Z15)</f>
        <v>15400</v>
      </c>
      <c r="AB15" s="2">
        <f>ROUND(((W15*Y15+(1-Y15)*X15)*[1]基础经济系数!$C$5/2+AA16)/50,0)*50</f>
        <v>22400</v>
      </c>
      <c r="AC15" s="2">
        <f>(W15*Y15+(1-Y15)*X15)*[1]基础经济系数!$C$5*2</f>
        <v>10725</v>
      </c>
      <c r="AD15" s="1">
        <f t="shared" si="8"/>
        <v>2700</v>
      </c>
      <c r="AE15" s="327">
        <f>ROUNDUP(SUM($V$4:V15)/AVERAGE($G$3:$G$12),0)</f>
        <v>5</v>
      </c>
      <c r="AF15" s="325">
        <f t="shared" si="12"/>
        <v>12</v>
      </c>
      <c r="AG15" s="325" t="s">
        <v>578</v>
      </c>
      <c r="AH15" s="325">
        <f>IFERROR(VLOOKUP(AG15,道具ID!$L:$N,2,FALSE),"")</f>
        <v>100302</v>
      </c>
      <c r="AI15" s="325">
        <v>2</v>
      </c>
      <c r="AJ15" s="325" t="str">
        <f t="shared" si="13"/>
        <v>[100302,2]</v>
      </c>
      <c r="AK15" s="1">
        <f t="shared" si="9"/>
        <v>0</v>
      </c>
      <c r="AL15" s="1">
        <f t="shared" si="14"/>
        <v>0</v>
      </c>
      <c r="AM15" s="326"/>
    </row>
    <row r="16" spans="2:42" x14ac:dyDescent="0.3">
      <c r="B16" s="2" t="s">
        <v>377</v>
      </c>
      <c r="C16" s="2" t="s">
        <v>583</v>
      </c>
      <c r="D16" s="2" t="s">
        <v>584</v>
      </c>
      <c r="E16" s="1" t="s">
        <v>585</v>
      </c>
      <c r="F16" s="2" t="s">
        <v>586</v>
      </c>
      <c r="G16" s="2" t="s">
        <v>587</v>
      </c>
      <c r="H16" s="2" t="s">
        <v>588</v>
      </c>
      <c r="I16" s="2" t="s">
        <v>589</v>
      </c>
      <c r="J16" s="2" t="s">
        <v>590</v>
      </c>
      <c r="U16" s="2">
        <v>13</v>
      </c>
      <c r="V16" s="2">
        <v>8</v>
      </c>
      <c r="W16" s="2">
        <v>700</v>
      </c>
      <c r="X16" s="2">
        <f t="shared" si="10"/>
        <v>350</v>
      </c>
      <c r="Y16" s="142">
        <v>0.65</v>
      </c>
      <c r="Z16" s="33">
        <f t="shared" si="11"/>
        <v>4300</v>
      </c>
      <c r="AA16" s="2">
        <f>SUM(Z$4:Z16)</f>
        <v>19700</v>
      </c>
      <c r="AB16" s="2">
        <f>ROUND(((W16*Y16+(1-Y16)*X16)*[1]基础经济系数!$C$5/2+AA17)/50,0)*50</f>
        <v>28400</v>
      </c>
      <c r="AC16" s="2">
        <f>(W16*Y16+(1-Y16)*X16)*[1]基础经济系数!$C$5*2</f>
        <v>11550</v>
      </c>
      <c r="AD16" s="1">
        <f t="shared" si="8"/>
        <v>2900</v>
      </c>
      <c r="AE16" s="327">
        <f>ROUNDUP(SUM($V$4:V16)/AVERAGE($G$3:$G$12),0)</f>
        <v>6</v>
      </c>
      <c r="AF16" s="325">
        <f t="shared" si="12"/>
        <v>13</v>
      </c>
      <c r="AG16" s="325" t="s">
        <v>317</v>
      </c>
      <c r="AH16" s="325">
        <f>IFERROR(VLOOKUP(AG16,道具ID!$L:$N,2,FALSE),"")</f>
        <v>101</v>
      </c>
      <c r="AI16" s="325">
        <v>60</v>
      </c>
      <c r="AJ16" s="325" t="str">
        <f t="shared" si="13"/>
        <v>[101,60]</v>
      </c>
      <c r="AK16" s="1">
        <f t="shared" si="9"/>
        <v>0</v>
      </c>
      <c r="AL16" s="1">
        <f t="shared" si="14"/>
        <v>60</v>
      </c>
      <c r="AM16" s="326"/>
    </row>
    <row r="17" spans="1:39" x14ac:dyDescent="0.3">
      <c r="A17" s="2" t="s">
        <v>378</v>
      </c>
      <c r="B17" s="2">
        <v>1</v>
      </c>
      <c r="C17" s="32">
        <v>60</v>
      </c>
      <c r="D17" s="2">
        <f>C17</f>
        <v>60</v>
      </c>
      <c r="E17" s="31">
        <f>C17/I3</f>
        <v>1.2244897959183674</v>
      </c>
      <c r="F17" s="31">
        <f>E17</f>
        <v>1.2244897959183674</v>
      </c>
      <c r="G17" s="31">
        <f>C17/L3</f>
        <v>0.8</v>
      </c>
      <c r="H17" s="31">
        <f>G17</f>
        <v>0.8</v>
      </c>
      <c r="I17" s="31">
        <f>C17/O3</f>
        <v>0.6</v>
      </c>
      <c r="J17" s="34">
        <f>I17</f>
        <v>0.6</v>
      </c>
      <c r="K17" s="1">
        <f>B17</f>
        <v>1</v>
      </c>
      <c r="U17" s="2">
        <v>14</v>
      </c>
      <c r="V17" s="2">
        <v>10</v>
      </c>
      <c r="W17" s="2">
        <v>750</v>
      </c>
      <c r="X17" s="2">
        <f t="shared" si="10"/>
        <v>375</v>
      </c>
      <c r="Y17" s="142">
        <v>0.65</v>
      </c>
      <c r="Z17" s="33">
        <f t="shared" si="11"/>
        <v>5800</v>
      </c>
      <c r="AA17" s="2">
        <f>SUM(Z$4:Z17)</f>
        <v>25500</v>
      </c>
      <c r="AB17" s="2">
        <f>ROUND(((W17*Y17+(1-Y17)*X17)*[1]基础经济系数!$C$5/2+AA18)/50,0)*50</f>
        <v>37900</v>
      </c>
      <c r="AC17" s="2">
        <f>(W17*Y17+(1-Y17)*X17)*[1]基础经济系数!$C$5*2</f>
        <v>12375</v>
      </c>
      <c r="AD17" s="1">
        <f t="shared" si="8"/>
        <v>3100</v>
      </c>
      <c r="AE17" s="327">
        <f>ROUNDUP(SUM($V$4:V17)/AVERAGE($G$3:$G$12),0)</f>
        <v>7</v>
      </c>
      <c r="AF17" s="325">
        <f t="shared" si="12"/>
        <v>14</v>
      </c>
      <c r="AG17" s="325" t="s">
        <v>511</v>
      </c>
      <c r="AH17" s="325">
        <f>IFERROR(VLOOKUP(AG17,道具ID!$L:$N,2,FALSE),"")</f>
        <v>111</v>
      </c>
      <c r="AI17" s="325">
        <v>400</v>
      </c>
      <c r="AJ17" s="325" t="str">
        <f t="shared" si="13"/>
        <v>[111,400]</v>
      </c>
      <c r="AK17" s="1">
        <f t="shared" si="9"/>
        <v>0</v>
      </c>
      <c r="AL17" s="1">
        <f t="shared" si="14"/>
        <v>0</v>
      </c>
      <c r="AM17" s="326"/>
    </row>
    <row r="18" spans="1:39" x14ac:dyDescent="0.3">
      <c r="A18" s="2" t="s">
        <v>379</v>
      </c>
      <c r="B18" s="2">
        <v>2</v>
      </c>
      <c r="C18" s="32">
        <v>120</v>
      </c>
      <c r="D18" s="2">
        <f>C18+D17</f>
        <v>180</v>
      </c>
      <c r="E18" s="31">
        <f t="shared" ref="E18:E25" si="15">C18/I4</f>
        <v>2.5641025641025639</v>
      </c>
      <c r="F18" s="31">
        <f>F17+E18</f>
        <v>3.7885923600209312</v>
      </c>
      <c r="G18" s="31">
        <f t="shared" ref="G18:G26" si="16">C18/L4</f>
        <v>1.4814814814814814</v>
      </c>
      <c r="H18" s="31">
        <f>H17+G18</f>
        <v>2.2814814814814817</v>
      </c>
      <c r="I18" s="31">
        <f t="shared" ref="I18:I26" si="17">C18/O4</f>
        <v>1.1111111111111112</v>
      </c>
      <c r="J18" s="34">
        <f>I18+J17</f>
        <v>1.7111111111111112</v>
      </c>
      <c r="K18" s="1">
        <f t="shared" ref="K18:K26" si="18">B18</f>
        <v>2</v>
      </c>
      <c r="U18" s="2">
        <v>15</v>
      </c>
      <c r="V18" s="2">
        <v>15</v>
      </c>
      <c r="W18" s="2">
        <v>800</v>
      </c>
      <c r="X18" s="2">
        <f t="shared" si="10"/>
        <v>400</v>
      </c>
      <c r="Y18" s="142">
        <v>0.65</v>
      </c>
      <c r="Z18" s="33">
        <f t="shared" si="11"/>
        <v>9300</v>
      </c>
      <c r="AA18" s="2">
        <f>SUM(Z$4:Z18)</f>
        <v>34800</v>
      </c>
      <c r="AB18" s="2">
        <f>ROUND(((W18*Y18+(1-Y18)*X18)*[1]基础经济系数!$C$5/2+AA19)/50,0)*50</f>
        <v>48000</v>
      </c>
      <c r="AC18" s="2">
        <f>(W18*Y18+(1-Y18)*X18)*[1]基础经济系数!$C$5*2</f>
        <v>13200</v>
      </c>
      <c r="AD18" s="1">
        <f t="shared" si="8"/>
        <v>3300</v>
      </c>
      <c r="AE18" s="327">
        <f>ROUNDUP(SUM($V$4:V18)/AVERAGE($G$3:$G$12),0)</f>
        <v>8</v>
      </c>
      <c r="AF18" s="325">
        <f t="shared" si="12"/>
        <v>15</v>
      </c>
      <c r="AG18" s="325" t="s">
        <v>268</v>
      </c>
      <c r="AH18" s="325">
        <f>IFERROR(VLOOKUP(AG18,道具ID!$L:$N,2,FALSE),"")</f>
        <v>102</v>
      </c>
      <c r="AI18" s="325">
        <v>5000</v>
      </c>
      <c r="AJ18" s="325" t="str">
        <f t="shared" si="13"/>
        <v>[102,5000]</v>
      </c>
      <c r="AK18" s="1">
        <f t="shared" si="9"/>
        <v>5000</v>
      </c>
      <c r="AL18" s="1">
        <f t="shared" si="14"/>
        <v>0</v>
      </c>
      <c r="AM18" s="326"/>
    </row>
    <row r="19" spans="1:39" x14ac:dyDescent="0.3">
      <c r="A19" s="2" t="s">
        <v>380</v>
      </c>
      <c r="B19" s="2">
        <v>3</v>
      </c>
      <c r="C19" s="32">
        <v>120</v>
      </c>
      <c r="D19" s="2">
        <f t="shared" ref="D19:D26" si="19">C19+D18</f>
        <v>300</v>
      </c>
      <c r="E19" s="31">
        <f t="shared" si="15"/>
        <v>2.7027027027027022</v>
      </c>
      <c r="F19" s="31">
        <f t="shared" ref="F19:F26" si="20">F18+E19</f>
        <v>6.4912950627236334</v>
      </c>
      <c r="G19" s="31">
        <f t="shared" si="16"/>
        <v>1.4035087719298245</v>
      </c>
      <c r="H19" s="31">
        <f t="shared" ref="H19:H26" si="21">H18+G19</f>
        <v>3.6849902534113061</v>
      </c>
      <c r="I19" s="31">
        <f t="shared" si="17"/>
        <v>1.0526315789473684</v>
      </c>
      <c r="J19" s="34">
        <f t="shared" ref="J19:J26" si="22">I19+J18</f>
        <v>2.7637426900584794</v>
      </c>
      <c r="K19" s="1">
        <f t="shared" si="18"/>
        <v>3</v>
      </c>
      <c r="U19" s="2">
        <v>16</v>
      </c>
      <c r="V19" s="2">
        <v>15</v>
      </c>
      <c r="W19" s="2">
        <v>850</v>
      </c>
      <c r="X19" s="2">
        <f t="shared" si="10"/>
        <v>425</v>
      </c>
      <c r="Y19" s="142">
        <v>0.65</v>
      </c>
      <c r="Z19" s="33">
        <f t="shared" si="11"/>
        <v>9900</v>
      </c>
      <c r="AA19" s="2">
        <f>SUM(Z$4:Z19)</f>
        <v>44700</v>
      </c>
      <c r="AB19" s="2">
        <f>ROUND(((W19*Y19+(1-Y19)*X19)*[1]基础经济系数!$C$5/2+AA20)/50,0)*50</f>
        <v>62250</v>
      </c>
      <c r="AC19" s="2">
        <f>(W19*Y19+(1-Y19)*X19)*[1]基础经济系数!$C$5*2</f>
        <v>14025</v>
      </c>
      <c r="AD19" s="1">
        <f t="shared" si="8"/>
        <v>3500</v>
      </c>
      <c r="AE19" s="327">
        <f>ROUNDUP(SUM($V$4:V19)/AVERAGE($G$3:$G$12),0)</f>
        <v>10</v>
      </c>
      <c r="AF19" s="325">
        <f t="shared" si="12"/>
        <v>16</v>
      </c>
      <c r="AG19" s="325" t="s">
        <v>578</v>
      </c>
      <c r="AH19" s="325">
        <f>IFERROR(VLOOKUP(AG19,道具ID!$L:$N,2,FALSE),"")</f>
        <v>100302</v>
      </c>
      <c r="AI19" s="325">
        <v>2</v>
      </c>
      <c r="AJ19" s="325" t="str">
        <f t="shared" si="13"/>
        <v>[100302,2]</v>
      </c>
      <c r="AK19" s="1">
        <f t="shared" si="9"/>
        <v>0</v>
      </c>
      <c r="AL19" s="1">
        <f t="shared" si="14"/>
        <v>0</v>
      </c>
      <c r="AM19" s="326"/>
    </row>
    <row r="20" spans="1:39" x14ac:dyDescent="0.3">
      <c r="A20" s="2"/>
      <c r="B20" s="2">
        <v>4</v>
      </c>
      <c r="C20" s="32">
        <v>300</v>
      </c>
      <c r="D20" s="2">
        <f t="shared" si="19"/>
        <v>600</v>
      </c>
      <c r="E20" s="31">
        <f t="shared" si="15"/>
        <v>8.5714285714285712</v>
      </c>
      <c r="F20" s="31">
        <f t="shared" si="20"/>
        <v>15.062723634152205</v>
      </c>
      <c r="G20" s="31">
        <f t="shared" si="16"/>
        <v>4.4444444444444446</v>
      </c>
      <c r="H20" s="31">
        <f t="shared" si="21"/>
        <v>8.1294346978557499</v>
      </c>
      <c r="I20" s="31">
        <f t="shared" si="17"/>
        <v>3.3333333333333335</v>
      </c>
      <c r="J20" s="34">
        <f t="shared" si="22"/>
        <v>6.0970760233918124</v>
      </c>
      <c r="K20" s="1">
        <f t="shared" si="18"/>
        <v>4</v>
      </c>
      <c r="U20" s="2">
        <v>17</v>
      </c>
      <c r="V20" s="2">
        <v>20</v>
      </c>
      <c r="W20" s="2">
        <v>900</v>
      </c>
      <c r="X20" s="2">
        <f t="shared" si="10"/>
        <v>450</v>
      </c>
      <c r="Y20" s="142">
        <v>0.65</v>
      </c>
      <c r="Z20" s="33">
        <f t="shared" si="11"/>
        <v>14050</v>
      </c>
      <c r="AA20" s="2">
        <f>SUM(Z$4:Z20)</f>
        <v>58750</v>
      </c>
      <c r="AB20" s="2">
        <f>ROUND(((W20*Y20+(1-Y20)*X20)*[1]基础经济系数!$C$5/2+AA21)/50,0)*50</f>
        <v>81000</v>
      </c>
      <c r="AC20" s="2">
        <f>(W20*Y20+(1-Y20)*X20)*[1]基础经济系数!$C$5*2</f>
        <v>14850</v>
      </c>
      <c r="AD20" s="1">
        <f t="shared" si="8"/>
        <v>3700</v>
      </c>
      <c r="AE20" s="327">
        <f>ROUNDUP(SUM($V$4:V20)/AVERAGE($G$3:$G$12),0)</f>
        <v>12</v>
      </c>
      <c r="AF20" s="325">
        <f t="shared" si="12"/>
        <v>17</v>
      </c>
      <c r="AG20" s="325" t="s">
        <v>317</v>
      </c>
      <c r="AH20" s="325">
        <f>IFERROR(VLOOKUP(AG20,道具ID!$L:$N,2,FALSE),"")</f>
        <v>101</v>
      </c>
      <c r="AI20" s="325">
        <v>80</v>
      </c>
      <c r="AJ20" s="325" t="str">
        <f t="shared" si="13"/>
        <v>[101,80]</v>
      </c>
      <c r="AK20" s="1">
        <f t="shared" si="9"/>
        <v>0</v>
      </c>
      <c r="AL20" s="1">
        <f t="shared" si="14"/>
        <v>80</v>
      </c>
      <c r="AM20" s="326"/>
    </row>
    <row r="21" spans="1:39" x14ac:dyDescent="0.3">
      <c r="A21" s="2" t="s">
        <v>381</v>
      </c>
      <c r="B21" s="2">
        <v>5</v>
      </c>
      <c r="C21" s="32">
        <v>300</v>
      </c>
      <c r="D21" s="2">
        <f t="shared" si="19"/>
        <v>900</v>
      </c>
      <c r="E21" s="31">
        <f t="shared" si="15"/>
        <v>12</v>
      </c>
      <c r="F21" s="31">
        <f t="shared" si="20"/>
        <v>27.062723634152206</v>
      </c>
      <c r="G21" s="31">
        <f t="shared" si="16"/>
        <v>5.333333333333333</v>
      </c>
      <c r="H21" s="31">
        <f t="shared" si="21"/>
        <v>13.462768031189082</v>
      </c>
      <c r="I21" s="31">
        <f t="shared" si="17"/>
        <v>4</v>
      </c>
      <c r="J21" s="34">
        <f t="shared" si="22"/>
        <v>10.097076023391812</v>
      </c>
      <c r="K21" s="1">
        <f t="shared" si="18"/>
        <v>5</v>
      </c>
      <c r="U21" s="2">
        <v>18</v>
      </c>
      <c r="V21" s="2">
        <v>25</v>
      </c>
      <c r="W21" s="2">
        <v>950</v>
      </c>
      <c r="X21" s="2">
        <f t="shared" si="10"/>
        <v>475</v>
      </c>
      <c r="Y21" s="142">
        <v>0.75</v>
      </c>
      <c r="Z21" s="33">
        <f t="shared" si="11"/>
        <v>18550</v>
      </c>
      <c r="AA21" s="2">
        <f>SUM(Z$4:Z21)</f>
        <v>77300</v>
      </c>
      <c r="AB21" s="2">
        <f>ROUND(((W21*Y21+(1-Y21)*X21)*[1]基础经济系数!$C$5/2+AA22)/50,0)*50</f>
        <v>106400</v>
      </c>
      <c r="AC21" s="2">
        <f>(W21*Y21+(1-Y21)*X21)*[1]基础经济系数!$C$5*2</f>
        <v>16625</v>
      </c>
      <c r="AD21" s="1">
        <f t="shared" si="8"/>
        <v>4150</v>
      </c>
      <c r="AE21" s="327">
        <f>ROUNDUP(SUM($V$4:V21)/AVERAGE($G$3:$G$12),0)</f>
        <v>14</v>
      </c>
      <c r="AF21" s="325">
        <f t="shared" si="12"/>
        <v>18</v>
      </c>
      <c r="AG21" s="325" t="s">
        <v>273</v>
      </c>
      <c r="AH21" s="325">
        <f>IFERROR(VLOOKUP(AG21,道具ID!$L:$N,2,FALSE),"")</f>
        <v>105</v>
      </c>
      <c r="AI21" s="325">
        <v>30</v>
      </c>
      <c r="AJ21" s="325" t="str">
        <f t="shared" si="13"/>
        <v>[105,30]</v>
      </c>
      <c r="AK21" s="1">
        <f t="shared" si="9"/>
        <v>0</v>
      </c>
      <c r="AL21" s="1">
        <f t="shared" si="14"/>
        <v>0</v>
      </c>
      <c r="AM21" s="326"/>
    </row>
    <row r="22" spans="1:39" x14ac:dyDescent="0.3">
      <c r="A22" s="2" t="s">
        <v>382</v>
      </c>
      <c r="B22" s="2">
        <v>6</v>
      </c>
      <c r="C22" s="32">
        <v>300</v>
      </c>
      <c r="D22" s="2">
        <f t="shared" si="19"/>
        <v>1200</v>
      </c>
      <c r="E22" s="31">
        <f t="shared" si="15"/>
        <v>10</v>
      </c>
      <c r="F22" s="31">
        <f t="shared" si="20"/>
        <v>37.062723634152206</v>
      </c>
      <c r="G22" s="31">
        <f t="shared" si="16"/>
        <v>5.161290322580645</v>
      </c>
      <c r="H22" s="31">
        <f t="shared" si="21"/>
        <v>18.624058353769726</v>
      </c>
      <c r="I22" s="31">
        <f t="shared" si="17"/>
        <v>3.870967741935484</v>
      </c>
      <c r="J22" s="34">
        <f t="shared" si="22"/>
        <v>13.968043765327296</v>
      </c>
      <c r="K22" s="1">
        <f t="shared" si="18"/>
        <v>6</v>
      </c>
      <c r="U22" s="2">
        <v>19</v>
      </c>
      <c r="V22" s="2">
        <v>30</v>
      </c>
      <c r="W22" s="2">
        <v>1000</v>
      </c>
      <c r="X22" s="2">
        <f t="shared" si="10"/>
        <v>500</v>
      </c>
      <c r="Y22" s="142">
        <v>0.75</v>
      </c>
      <c r="Z22" s="33">
        <f t="shared" si="11"/>
        <v>24950</v>
      </c>
      <c r="AA22" s="2">
        <f>SUM(Z$4:Z22)</f>
        <v>102250</v>
      </c>
      <c r="AB22" s="2">
        <f>ROUND(((W22*Y22+(1-Y22)*X22)*[1]基础经济系数!$C$5/2+AA23)/50,0)*50</f>
        <v>141650</v>
      </c>
      <c r="AC22" s="2">
        <f>(W22*Y22+(1-Y22)*X22)*[1]基础经济系数!$C$5*2</f>
        <v>17500</v>
      </c>
      <c r="AD22" s="1">
        <f t="shared" si="8"/>
        <v>4400</v>
      </c>
      <c r="AE22" s="327">
        <f>ROUNDUP(SUM($V$4:V22)/AVERAGE($G$3:$G$12),0)</f>
        <v>17</v>
      </c>
      <c r="AF22" s="325">
        <f t="shared" si="12"/>
        <v>19</v>
      </c>
      <c r="AG22" s="325" t="s">
        <v>268</v>
      </c>
      <c r="AH22" s="325">
        <f>IFERROR(VLOOKUP(AG22,道具ID!$L:$N,2,FALSE),"")</f>
        <v>102</v>
      </c>
      <c r="AI22" s="325">
        <v>5000</v>
      </c>
      <c r="AJ22" s="325" t="str">
        <f t="shared" si="13"/>
        <v>[102,5000]</v>
      </c>
      <c r="AK22" s="1">
        <f t="shared" si="9"/>
        <v>5000</v>
      </c>
      <c r="AL22" s="1">
        <f t="shared" si="14"/>
        <v>0</v>
      </c>
      <c r="AM22" s="326"/>
    </row>
    <row r="23" spans="1:39" x14ac:dyDescent="0.3">
      <c r="B23" s="2">
        <v>7</v>
      </c>
      <c r="C23" s="32">
        <v>300</v>
      </c>
      <c r="D23" s="2">
        <f t="shared" si="19"/>
        <v>1500</v>
      </c>
      <c r="E23" s="31">
        <f t="shared" si="15"/>
        <v>15</v>
      </c>
      <c r="F23" s="31">
        <f t="shared" si="20"/>
        <v>52.062723634152206</v>
      </c>
      <c r="G23" s="31">
        <f t="shared" si="16"/>
        <v>6.666666666666667</v>
      </c>
      <c r="H23" s="31">
        <f t="shared" si="21"/>
        <v>25.290725020436394</v>
      </c>
      <c r="I23" s="31">
        <f t="shared" si="17"/>
        <v>5</v>
      </c>
      <c r="J23" s="34">
        <f t="shared" si="22"/>
        <v>18.968043765327295</v>
      </c>
      <c r="K23" s="1">
        <f t="shared" si="18"/>
        <v>7</v>
      </c>
      <c r="U23" s="2">
        <v>20</v>
      </c>
      <c r="V23" s="2">
        <v>40</v>
      </c>
      <c r="W23" s="2">
        <v>1050</v>
      </c>
      <c r="X23" s="2">
        <f t="shared" si="10"/>
        <v>525</v>
      </c>
      <c r="Y23" s="142">
        <v>0.75</v>
      </c>
      <c r="Z23" s="33">
        <f t="shared" si="11"/>
        <v>35000</v>
      </c>
      <c r="AA23" s="2">
        <f>SUM(Z$4:Z23)</f>
        <v>137250</v>
      </c>
      <c r="AB23" s="2">
        <f>ROUND(((W23*Y23+(1-Y23)*X23)*[1]基础经济系数!$C$5/2+AA24)/50,0)*50</f>
        <v>187800</v>
      </c>
      <c r="AC23" s="2">
        <f>(W23*Y23+(1-Y23)*X23)*[1]基础经济系数!$C$5*2</f>
        <v>18375</v>
      </c>
      <c r="AD23" s="1">
        <f t="shared" si="8"/>
        <v>4600</v>
      </c>
      <c r="AE23" s="327">
        <f>ROUNDUP(SUM($V$4:V23)/AVERAGE($G$3:$G$12),0)</f>
        <v>21</v>
      </c>
      <c r="AF23" s="325">
        <f t="shared" si="12"/>
        <v>20</v>
      </c>
      <c r="AG23" s="325" t="s">
        <v>578</v>
      </c>
      <c r="AH23" s="325">
        <f>IFERROR(VLOOKUP(AG23,道具ID!$L:$N,2,FALSE),"")</f>
        <v>100302</v>
      </c>
      <c r="AI23" s="325">
        <v>3</v>
      </c>
      <c r="AJ23" s="325" t="str">
        <f t="shared" si="13"/>
        <v>[100302,3]</v>
      </c>
      <c r="AK23" s="1">
        <f t="shared" si="9"/>
        <v>0</v>
      </c>
      <c r="AL23" s="1">
        <f t="shared" si="14"/>
        <v>0</v>
      </c>
      <c r="AM23" s="326"/>
    </row>
    <row r="24" spans="1:39" x14ac:dyDescent="0.3">
      <c r="B24" s="2">
        <v>8</v>
      </c>
      <c r="C24" s="32">
        <v>500</v>
      </c>
      <c r="D24" s="2">
        <f t="shared" si="19"/>
        <v>2000</v>
      </c>
      <c r="E24" s="31">
        <f t="shared" si="15"/>
        <v>41.666666666666664</v>
      </c>
      <c r="F24" s="31">
        <f t="shared" si="20"/>
        <v>93.729390300818864</v>
      </c>
      <c r="G24" s="31">
        <f t="shared" si="16"/>
        <v>5.5555555555555554</v>
      </c>
      <c r="H24" s="31">
        <f t="shared" si="21"/>
        <v>30.846280575991948</v>
      </c>
      <c r="I24" s="31">
        <f t="shared" si="17"/>
        <v>4.166666666666667</v>
      </c>
      <c r="J24" s="34">
        <f t="shared" si="22"/>
        <v>23.134710431993962</v>
      </c>
      <c r="K24" s="1">
        <f t="shared" si="18"/>
        <v>8</v>
      </c>
      <c r="U24" s="2">
        <v>21</v>
      </c>
      <c r="V24" s="2">
        <v>50</v>
      </c>
      <c r="W24" s="2">
        <v>1100</v>
      </c>
      <c r="X24" s="2">
        <f t="shared" si="10"/>
        <v>550</v>
      </c>
      <c r="Y24" s="142">
        <v>0.75</v>
      </c>
      <c r="Z24" s="33">
        <f t="shared" si="11"/>
        <v>45950</v>
      </c>
      <c r="AA24" s="2">
        <f>SUM(Z$4:Z24)</f>
        <v>183200</v>
      </c>
      <c r="AB24" s="2">
        <f>ROUND(((W24*Y24+(1-Y24)*X24)*[1]基础经济系数!$C$5/2+AA25)/50,0)*50</f>
        <v>250550</v>
      </c>
      <c r="AC24" s="2">
        <f>(W24*Y24+(1-Y24)*X24)*[1]基础经济系数!$C$5*2</f>
        <v>19250</v>
      </c>
      <c r="AD24" s="1">
        <f t="shared" si="8"/>
        <v>4800</v>
      </c>
      <c r="AE24" s="327">
        <f>ROUNDUP(SUM($V$4:V24)/AVERAGE($G$3:$G$12),0)</f>
        <v>25</v>
      </c>
      <c r="AF24" s="325">
        <f t="shared" si="12"/>
        <v>21</v>
      </c>
      <c r="AG24" s="325" t="s">
        <v>317</v>
      </c>
      <c r="AH24" s="325">
        <f>IFERROR(VLOOKUP(AG24,道具ID!$L:$N,2,FALSE),"")</f>
        <v>101</v>
      </c>
      <c r="AI24" s="325">
        <v>100</v>
      </c>
      <c r="AJ24" s="325" t="str">
        <f t="shared" si="13"/>
        <v>[101,100]</v>
      </c>
      <c r="AK24" s="1">
        <f t="shared" si="9"/>
        <v>0</v>
      </c>
      <c r="AL24" s="1">
        <f t="shared" si="14"/>
        <v>100</v>
      </c>
      <c r="AM24" s="326"/>
    </row>
    <row r="25" spans="1:39" x14ac:dyDescent="0.3">
      <c r="B25" s="2">
        <v>9</v>
      </c>
      <c r="C25" s="32">
        <v>500</v>
      </c>
      <c r="D25" s="2">
        <f t="shared" si="19"/>
        <v>2500</v>
      </c>
      <c r="E25" s="31">
        <f t="shared" si="15"/>
        <v>33.333333333333336</v>
      </c>
      <c r="F25" s="31">
        <f t="shared" si="20"/>
        <v>127.06272363415221</v>
      </c>
      <c r="G25" s="31">
        <f t="shared" si="16"/>
        <v>4.4444444444444446</v>
      </c>
      <c r="H25" s="31">
        <f t="shared" si="21"/>
        <v>35.29072502043639</v>
      </c>
      <c r="I25" s="31">
        <f t="shared" si="17"/>
        <v>3.3333333333333335</v>
      </c>
      <c r="J25" s="34">
        <f t="shared" si="22"/>
        <v>26.468043765327295</v>
      </c>
      <c r="K25" s="1">
        <f t="shared" si="18"/>
        <v>9</v>
      </c>
      <c r="U25" s="2">
        <v>22</v>
      </c>
      <c r="V25" s="2">
        <v>65</v>
      </c>
      <c r="W25" s="2">
        <v>1150</v>
      </c>
      <c r="X25" s="2">
        <f t="shared" si="10"/>
        <v>575</v>
      </c>
      <c r="Y25" s="142">
        <v>0.75</v>
      </c>
      <c r="Z25" s="33">
        <f t="shared" si="11"/>
        <v>62550</v>
      </c>
      <c r="AA25" s="2">
        <f>SUM(Z$4:Z25)</f>
        <v>245750</v>
      </c>
      <c r="AB25" s="2">
        <f>ROUND(((W25*Y25+(1-Y25)*X25)*[1]基础经济系数!$C$5/2+AA26)/50,0)*50</f>
        <v>331300</v>
      </c>
      <c r="AC25" s="2">
        <f>(W25*Y25+(1-Y25)*X25)*[1]基础经济系数!$C$5*2</f>
        <v>20125</v>
      </c>
      <c r="AD25" s="1">
        <f t="shared" si="8"/>
        <v>5050</v>
      </c>
      <c r="AE25" s="327">
        <f>ROUNDUP(SUM($V$4:V25)/AVERAGE($G$3:$G$12),0)</f>
        <v>32</v>
      </c>
      <c r="AF25" s="325">
        <f t="shared" si="12"/>
        <v>22</v>
      </c>
      <c r="AG25" s="325" t="s">
        <v>511</v>
      </c>
      <c r="AH25" s="325">
        <f>IFERROR(VLOOKUP(AG25,道具ID!$L:$N,2,FALSE),"")</f>
        <v>111</v>
      </c>
      <c r="AI25" s="325">
        <v>600</v>
      </c>
      <c r="AJ25" s="325" t="str">
        <f t="shared" si="13"/>
        <v>[111,600]</v>
      </c>
      <c r="AK25" s="1">
        <f t="shared" si="9"/>
        <v>0</v>
      </c>
      <c r="AL25" s="1">
        <f t="shared" si="14"/>
        <v>0</v>
      </c>
      <c r="AM25" s="326"/>
    </row>
    <row r="26" spans="1:39" x14ac:dyDescent="0.3">
      <c r="B26" s="2">
        <v>10</v>
      </c>
      <c r="C26" s="32">
        <v>500</v>
      </c>
      <c r="D26" s="2">
        <f t="shared" si="19"/>
        <v>3000</v>
      </c>
      <c r="E26" s="31">
        <f>IFERROR(C26/I12,0)</f>
        <v>33.333333333333336</v>
      </c>
      <c r="F26" s="31">
        <f t="shared" si="20"/>
        <v>160.39605696748555</v>
      </c>
      <c r="G26" s="31">
        <f t="shared" si="16"/>
        <v>2.7777777777777777</v>
      </c>
      <c r="H26" s="31">
        <f t="shared" si="21"/>
        <v>38.068502798214169</v>
      </c>
      <c r="I26" s="31">
        <f t="shared" si="17"/>
        <v>2.0833333333333335</v>
      </c>
      <c r="J26" s="34">
        <f t="shared" si="22"/>
        <v>28.551377098660627</v>
      </c>
      <c r="K26" s="1">
        <f t="shared" si="18"/>
        <v>10</v>
      </c>
      <c r="U26" s="2">
        <v>23</v>
      </c>
      <c r="V26" s="2">
        <v>80</v>
      </c>
      <c r="W26" s="2">
        <v>1200</v>
      </c>
      <c r="X26" s="2">
        <f t="shared" si="10"/>
        <v>600</v>
      </c>
      <c r="Y26" s="142">
        <v>0.75</v>
      </c>
      <c r="Z26" s="33">
        <f t="shared" si="11"/>
        <v>80500</v>
      </c>
      <c r="AA26" s="2">
        <f>SUM(Z$4:Z26)</f>
        <v>326250</v>
      </c>
      <c r="AB26" s="2">
        <f>ROUND(((W26*Y26+(1-Y26)*X26)*[1]基础经济系数!$C$5/2+AA27)/50,0)*50</f>
        <v>441750</v>
      </c>
      <c r="AC26" s="2">
        <f>(W26*Y26+(1-Y26)*X26)*[1]基础经济系数!$C$5*2</f>
        <v>21000</v>
      </c>
      <c r="AD26" s="1">
        <f t="shared" si="8"/>
        <v>5250</v>
      </c>
      <c r="AE26" s="327">
        <f>ROUNDUP(SUM($V$4:V26)/AVERAGE($G$3:$G$12),0)</f>
        <v>39</v>
      </c>
      <c r="AF26" s="325">
        <f t="shared" si="12"/>
        <v>23</v>
      </c>
      <c r="AG26" s="325" t="s">
        <v>268</v>
      </c>
      <c r="AH26" s="325">
        <f>IFERROR(VLOOKUP(AG26,道具ID!$L:$N,2,FALSE),"")</f>
        <v>102</v>
      </c>
      <c r="AI26" s="325">
        <v>5000</v>
      </c>
      <c r="AJ26" s="325" t="str">
        <f t="shared" si="13"/>
        <v>[102,5000]</v>
      </c>
      <c r="AK26" s="1">
        <f t="shared" si="9"/>
        <v>5000</v>
      </c>
      <c r="AL26" s="1">
        <f t="shared" si="14"/>
        <v>0</v>
      </c>
      <c r="AM26" s="326"/>
    </row>
    <row r="27" spans="1:39" x14ac:dyDescent="0.3">
      <c r="B27" s="25"/>
      <c r="C27" s="25"/>
      <c r="D27" s="25"/>
      <c r="E27" s="25"/>
      <c r="F27" s="25"/>
      <c r="G27" s="25"/>
      <c r="H27" s="25"/>
      <c r="I27" s="132"/>
      <c r="J27" s="132"/>
      <c r="K27" s="25"/>
      <c r="L27" s="25"/>
      <c r="M27" s="123"/>
      <c r="N27" s="40"/>
      <c r="O27" s="40"/>
      <c r="P27" s="25"/>
      <c r="Q27" s="25"/>
      <c r="R27" s="25"/>
      <c r="S27" s="132"/>
      <c r="U27" s="2">
        <v>24</v>
      </c>
      <c r="V27" s="2">
        <v>105</v>
      </c>
      <c r="W27" s="2">
        <v>1250</v>
      </c>
      <c r="X27" s="2">
        <f t="shared" si="10"/>
        <v>625</v>
      </c>
      <c r="Y27" s="142">
        <v>0.75</v>
      </c>
      <c r="Z27" s="33">
        <f t="shared" si="11"/>
        <v>110250</v>
      </c>
      <c r="AA27" s="2">
        <f>SUM(Z$4:Z27)</f>
        <v>436500</v>
      </c>
      <c r="AB27" s="2">
        <f>ROUND(((W27*Y27+(1-Y27)*X27)*[1]基础经济系数!$C$5/2+AA28)/50,0)*50</f>
        <v>584150</v>
      </c>
      <c r="AC27" s="2">
        <f>(W27*Y27+(1-Y27)*X27)*[1]基础经济系数!$C$5*2</f>
        <v>21875</v>
      </c>
      <c r="AD27" s="1">
        <f t="shared" si="8"/>
        <v>5450</v>
      </c>
      <c r="AE27" s="327">
        <f>ROUNDUP(SUM($V$4:V27)/AVERAGE($G$3:$G$12),0)</f>
        <v>49</v>
      </c>
      <c r="AF27" s="325">
        <f t="shared" si="12"/>
        <v>24</v>
      </c>
      <c r="AG27" s="325" t="s">
        <v>578</v>
      </c>
      <c r="AH27" s="325">
        <f>IFERROR(VLOOKUP(AG27,道具ID!$L:$N,2,FALSE),"")</f>
        <v>100302</v>
      </c>
      <c r="AI27" s="325">
        <v>3</v>
      </c>
      <c r="AJ27" s="325" t="str">
        <f t="shared" si="13"/>
        <v>[100302,3]</v>
      </c>
      <c r="AK27" s="1">
        <f t="shared" si="9"/>
        <v>0</v>
      </c>
      <c r="AL27" s="1">
        <f t="shared" si="14"/>
        <v>0</v>
      </c>
      <c r="AM27" s="326"/>
    </row>
    <row r="28" spans="1:39" x14ac:dyDescent="0.3">
      <c r="B28" s="25"/>
      <c r="C28" s="25"/>
      <c r="D28" s="25"/>
      <c r="E28" s="25"/>
      <c r="F28" s="25"/>
      <c r="G28" s="25"/>
      <c r="H28" s="25"/>
      <c r="I28" s="132"/>
      <c r="J28" s="132"/>
      <c r="K28" s="25"/>
      <c r="L28" s="25"/>
      <c r="M28" s="123"/>
      <c r="N28" s="40"/>
      <c r="O28" s="40"/>
      <c r="P28" s="25"/>
      <c r="Q28" s="25"/>
      <c r="R28" s="25"/>
      <c r="S28" s="132"/>
      <c r="U28" s="2">
        <v>25</v>
      </c>
      <c r="V28" s="2">
        <v>130</v>
      </c>
      <c r="W28" s="2">
        <v>1300</v>
      </c>
      <c r="X28" s="2">
        <f t="shared" si="10"/>
        <v>650</v>
      </c>
      <c r="Y28" s="142">
        <v>0.75</v>
      </c>
      <c r="Z28" s="33">
        <f t="shared" si="11"/>
        <v>142200</v>
      </c>
      <c r="AA28" s="2">
        <f>SUM(Z$4:Z28)</f>
        <v>578700</v>
      </c>
      <c r="AB28" s="2">
        <f>ROUND(((W28*Y28+(1-Y28)*X28)*[1]基础经济系数!$C$5/2+AA29)/50,0)*50</f>
        <v>772100</v>
      </c>
      <c r="AC28" s="2">
        <f>(W28*Y28+(1-Y28)*X28)*[1]基础经济系数!$C$5*2</f>
        <v>22750</v>
      </c>
      <c r="AD28" s="1">
        <f t="shared" si="8"/>
        <v>5700</v>
      </c>
      <c r="AE28" s="327">
        <f>ROUNDUP(SUM($V$4:V28)/AVERAGE($G$3:$G$12),0)</f>
        <v>62</v>
      </c>
      <c r="AF28" s="325">
        <f t="shared" si="12"/>
        <v>25</v>
      </c>
      <c r="AG28" s="325" t="s">
        <v>317</v>
      </c>
      <c r="AH28" s="325">
        <f>IFERROR(VLOOKUP(AG28,道具ID!$L:$N,2,FALSE),"")</f>
        <v>101</v>
      </c>
      <c r="AI28" s="325">
        <v>120</v>
      </c>
      <c r="AJ28" s="325" t="str">
        <f t="shared" si="13"/>
        <v>[101,120]</v>
      </c>
      <c r="AK28" s="1">
        <f t="shared" si="9"/>
        <v>0</v>
      </c>
      <c r="AL28" s="1">
        <f t="shared" si="14"/>
        <v>120</v>
      </c>
      <c r="AM28" s="326"/>
    </row>
    <row r="29" spans="1:39" x14ac:dyDescent="0.3">
      <c r="B29" s="2" t="s">
        <v>377</v>
      </c>
      <c r="C29" s="2" t="s">
        <v>591</v>
      </c>
      <c r="D29" s="2" t="s">
        <v>592</v>
      </c>
      <c r="E29" s="2" t="s">
        <v>553</v>
      </c>
      <c r="F29" s="2" t="s">
        <v>554</v>
      </c>
      <c r="G29" s="2" t="s">
        <v>377</v>
      </c>
      <c r="H29" s="2" t="s">
        <v>593</v>
      </c>
      <c r="I29" s="31" t="s">
        <v>594</v>
      </c>
      <c r="J29" s="2" t="s">
        <v>595</v>
      </c>
      <c r="U29" s="2">
        <v>26</v>
      </c>
      <c r="V29" s="2">
        <v>165</v>
      </c>
      <c r="W29" s="2">
        <v>1350</v>
      </c>
      <c r="X29" s="2">
        <f t="shared" si="10"/>
        <v>675</v>
      </c>
      <c r="Y29" s="142">
        <v>0.9</v>
      </c>
      <c r="Z29" s="33">
        <f t="shared" si="11"/>
        <v>187700</v>
      </c>
      <c r="AA29" s="2">
        <f>SUM(Z$4:Z29)</f>
        <v>766400</v>
      </c>
      <c r="AB29" s="2">
        <f>ROUND(((W29*Y29+(1-Y29)*X29)*[1]基础经济系数!$C$5/2+AA30)/50,0)*50</f>
        <v>1035700</v>
      </c>
      <c r="AC29" s="2">
        <f>(W29*Y29+(1-Y29)*X29)*[1]基础经济系数!$C$5*2</f>
        <v>25650</v>
      </c>
      <c r="AD29" s="1">
        <f t="shared" si="8"/>
        <v>6400</v>
      </c>
      <c r="AE29" s="327">
        <f>ROUNDUP(SUM($V$4:V29)/AVERAGE($G$3:$G$12),0)</f>
        <v>77</v>
      </c>
      <c r="AF29" s="325">
        <f t="shared" si="12"/>
        <v>26</v>
      </c>
      <c r="AG29" s="325" t="s">
        <v>273</v>
      </c>
      <c r="AH29" s="325">
        <f>IFERROR(VLOOKUP(AG29,道具ID!$L:$N,2,FALSE),"")</f>
        <v>105</v>
      </c>
      <c r="AI29" s="325">
        <v>30</v>
      </c>
      <c r="AJ29" s="325" t="str">
        <f t="shared" si="13"/>
        <v>[105,30]</v>
      </c>
      <c r="AK29" s="1">
        <f t="shared" si="9"/>
        <v>0</v>
      </c>
      <c r="AL29" s="1">
        <f t="shared" si="14"/>
        <v>0</v>
      </c>
      <c r="AM29" s="326"/>
    </row>
    <row r="30" spans="1:39" x14ac:dyDescent="0.3">
      <c r="B30" s="2">
        <v>1</v>
      </c>
      <c r="C30" s="2">
        <v>0</v>
      </c>
      <c r="D30" s="2">
        <f>C31-C30</f>
        <v>60</v>
      </c>
      <c r="E30" s="2">
        <f>P3</f>
        <v>10</v>
      </c>
      <c r="F30" s="2">
        <f>Q3</f>
        <v>0</v>
      </c>
      <c r="G30" s="2">
        <v>1</v>
      </c>
      <c r="H30" s="153" t="s">
        <v>378</v>
      </c>
      <c r="I30" s="33">
        <v>0</v>
      </c>
      <c r="J30" s="2"/>
      <c r="U30" s="2">
        <v>27</v>
      </c>
      <c r="V30" s="2">
        <v>205</v>
      </c>
      <c r="W30" s="2">
        <v>1400</v>
      </c>
      <c r="X30" s="2">
        <f t="shared" si="10"/>
        <v>700</v>
      </c>
      <c r="Y30" s="142">
        <v>0.9</v>
      </c>
      <c r="Z30" s="33">
        <f t="shared" si="11"/>
        <v>262900</v>
      </c>
      <c r="AA30" s="2">
        <f>SUM(Z$4:Z30)</f>
        <v>1029300</v>
      </c>
      <c r="AB30" s="2">
        <f>ROUND(((W30*Y30+(1-Y30)*X30)*[1]基础经济系数!$C$5/2+AA31)/50,0)*50</f>
        <v>1381750</v>
      </c>
      <c r="AC30" s="2">
        <f>(W30*Y30+(1-Y30)*X30)*[1]基础经济系数!$C$5*2</f>
        <v>26600</v>
      </c>
      <c r="AD30" s="1">
        <f t="shared" si="8"/>
        <v>6650</v>
      </c>
      <c r="AE30" s="327">
        <f>ROUNDUP(SUM($V$4:V30)/AVERAGE($G$3:$G$12),0)</f>
        <v>97</v>
      </c>
      <c r="AF30" s="325">
        <f t="shared" si="12"/>
        <v>27</v>
      </c>
      <c r="AG30" s="325" t="s">
        <v>268</v>
      </c>
      <c r="AH30" s="325">
        <f>IFERROR(VLOOKUP(AG30,道具ID!$L:$N,2,FALSE),"")</f>
        <v>102</v>
      </c>
      <c r="AI30" s="325">
        <v>5000</v>
      </c>
      <c r="AJ30" s="325" t="str">
        <f t="shared" si="13"/>
        <v>[102,5000]</v>
      </c>
      <c r="AK30" s="1">
        <f t="shared" si="9"/>
        <v>5000</v>
      </c>
      <c r="AL30" s="1">
        <f t="shared" si="14"/>
        <v>0</v>
      </c>
      <c r="AM30" s="326"/>
    </row>
    <row r="31" spans="1:39" x14ac:dyDescent="0.3">
      <c r="B31" s="2">
        <v>2</v>
      </c>
      <c r="C31" s="2">
        <f t="shared" ref="C31:C39" si="23">D17</f>
        <v>60</v>
      </c>
      <c r="D31" s="2">
        <f t="shared" ref="D31:D39" si="24">C32-C31</f>
        <v>120</v>
      </c>
      <c r="E31" s="2">
        <f t="shared" ref="E31:E39" si="25">P4</f>
        <v>7.5</v>
      </c>
      <c r="F31" s="2">
        <f t="shared" ref="F31:F39" si="26">Q4</f>
        <v>0</v>
      </c>
      <c r="G31" s="2">
        <v>2</v>
      </c>
      <c r="H31" s="153" t="s">
        <v>379</v>
      </c>
      <c r="I31" s="33">
        <v>1</v>
      </c>
      <c r="J31" s="2"/>
      <c r="U31" s="2">
        <v>28</v>
      </c>
      <c r="V31" s="2">
        <v>260</v>
      </c>
      <c r="W31" s="2">
        <v>1450</v>
      </c>
      <c r="X31" s="2">
        <f t="shared" si="10"/>
        <v>725</v>
      </c>
      <c r="Y31" s="142">
        <v>0.9</v>
      </c>
      <c r="Z31" s="33">
        <f t="shared" si="11"/>
        <v>345800</v>
      </c>
      <c r="AA31" s="2">
        <f>SUM(Z$4:Z31)</f>
        <v>1375100</v>
      </c>
      <c r="AB31" s="2">
        <f>ROUND(((W31*Y31+(1-Y31)*X31)*[1]基础经济系数!$C$5/2+AA32)/50,0)*50</f>
        <v>1836600</v>
      </c>
      <c r="AC31" s="2">
        <f>(W31*Y31+(1-Y31)*X31)*[1]基础经济系数!$C$5*2</f>
        <v>27550</v>
      </c>
      <c r="AD31" s="1">
        <f t="shared" si="8"/>
        <v>6900</v>
      </c>
      <c r="AE31" s="327">
        <f>ROUNDUP(SUM($V$4:V31)/AVERAGE($G$3:$G$12),0)</f>
        <v>122</v>
      </c>
      <c r="AF31" s="325">
        <f t="shared" si="12"/>
        <v>28</v>
      </c>
      <c r="AG31" s="325" t="s">
        <v>578</v>
      </c>
      <c r="AH31" s="325">
        <f>IFERROR(VLOOKUP(AG31,道具ID!$L:$N,2,FALSE),"")</f>
        <v>100302</v>
      </c>
      <c r="AI31" s="325">
        <v>4</v>
      </c>
      <c r="AJ31" s="325" t="str">
        <f t="shared" si="13"/>
        <v>[100302,4]</v>
      </c>
      <c r="AK31" s="1">
        <f t="shared" si="9"/>
        <v>0</v>
      </c>
      <c r="AL31" s="1">
        <f t="shared" si="14"/>
        <v>0</v>
      </c>
      <c r="AM31" s="326"/>
    </row>
    <row r="32" spans="1:39" x14ac:dyDescent="0.3">
      <c r="B32" s="2">
        <v>3</v>
      </c>
      <c r="C32" s="2">
        <f t="shared" si="23"/>
        <v>180</v>
      </c>
      <c r="D32" s="2">
        <f t="shared" si="24"/>
        <v>120</v>
      </c>
      <c r="E32" s="2">
        <f t="shared" si="25"/>
        <v>7.5</v>
      </c>
      <c r="F32" s="2">
        <f t="shared" si="26"/>
        <v>-1.5</v>
      </c>
      <c r="G32" s="2">
        <v>3</v>
      </c>
      <c r="H32" s="153" t="s">
        <v>380</v>
      </c>
      <c r="I32" s="33">
        <v>2</v>
      </c>
      <c r="J32" s="2"/>
      <c r="U32" s="2">
        <v>29</v>
      </c>
      <c r="V32" s="2">
        <v>330</v>
      </c>
      <c r="W32" s="2">
        <v>1500</v>
      </c>
      <c r="X32" s="2">
        <f t="shared" si="10"/>
        <v>750</v>
      </c>
      <c r="Y32" s="142">
        <v>0.9</v>
      </c>
      <c r="Z32" s="33">
        <f t="shared" si="11"/>
        <v>454600</v>
      </c>
      <c r="AA32" s="2">
        <f>SUM(Z$4:Z32)</f>
        <v>1829700</v>
      </c>
      <c r="AB32" s="2">
        <f>ROUND(((W32*Y32+(1-Y32)*X32)*[1]基础经济系数!$C$5/2+AA33)/50,0)*50</f>
        <v>2435350</v>
      </c>
      <c r="AC32" s="2">
        <f>(W32*Y32+(1-Y32)*X32)*[1]基础经济系数!$C$5*2</f>
        <v>28500</v>
      </c>
      <c r="AD32" s="1">
        <f t="shared" si="8"/>
        <v>7150</v>
      </c>
      <c r="AE32" s="327">
        <f>ROUNDUP(SUM($V$4:V32)/AVERAGE($G$3:$G$12),0)</f>
        <v>153</v>
      </c>
      <c r="AF32" s="325">
        <f t="shared" si="12"/>
        <v>29</v>
      </c>
      <c r="AG32" s="325" t="s">
        <v>317</v>
      </c>
      <c r="AH32" s="325">
        <f>IFERROR(VLOOKUP(AG32,道具ID!$L:$N,2,FALSE),"")</f>
        <v>101</v>
      </c>
      <c r="AI32" s="325">
        <v>140</v>
      </c>
      <c r="AJ32" s="325" t="str">
        <f t="shared" si="13"/>
        <v>[101,140]</v>
      </c>
      <c r="AK32" s="1">
        <f t="shared" si="9"/>
        <v>0</v>
      </c>
      <c r="AL32" s="1">
        <f t="shared" si="14"/>
        <v>140</v>
      </c>
      <c r="AM32" s="326"/>
    </row>
    <row r="33" spans="2:39" x14ac:dyDescent="0.3">
      <c r="B33" s="2">
        <v>4</v>
      </c>
      <c r="C33" s="2">
        <f t="shared" si="23"/>
        <v>300</v>
      </c>
      <c r="D33" s="2">
        <f t="shared" si="24"/>
        <v>300</v>
      </c>
      <c r="E33" s="2">
        <f t="shared" si="25"/>
        <v>7.5</v>
      </c>
      <c r="F33" s="2">
        <f t="shared" si="26"/>
        <v>-2.5</v>
      </c>
      <c r="G33" s="2">
        <v>4</v>
      </c>
      <c r="H33" s="153" t="s">
        <v>380</v>
      </c>
      <c r="I33" s="33">
        <v>4</v>
      </c>
      <c r="J33" s="2"/>
      <c r="U33" s="2">
        <v>30</v>
      </c>
      <c r="V33" s="2">
        <v>420</v>
      </c>
      <c r="W33" s="2">
        <v>1550</v>
      </c>
      <c r="X33" s="2">
        <f t="shared" si="10"/>
        <v>775</v>
      </c>
      <c r="Y33" s="142">
        <v>0.9</v>
      </c>
      <c r="Z33" s="33">
        <f t="shared" si="11"/>
        <v>598500</v>
      </c>
      <c r="AA33" s="2">
        <f>SUM(Z$4:Z33)</f>
        <v>2428200</v>
      </c>
      <c r="AB33" s="2">
        <f>ROUND(((W33*Y33+(1-Y33)*X33)*[1]基础经济系数!$C$5/2+AA47)/50,0)*50</f>
        <v>7350</v>
      </c>
      <c r="AC33" s="2">
        <f>(W33*Y33+(1-Y33)*X33)*[1]基础经济系数!$C$5*2</f>
        <v>29450</v>
      </c>
      <c r="AD33" s="1">
        <f>AB33-AA47</f>
        <v>7350</v>
      </c>
      <c r="AE33" s="327">
        <f>ROUNDUP(SUM($V$4:V33)/AVERAGE($G$3:$G$12),0)</f>
        <v>193</v>
      </c>
      <c r="AF33" s="325">
        <f t="shared" si="12"/>
        <v>30</v>
      </c>
      <c r="AG33" s="325" t="s">
        <v>511</v>
      </c>
      <c r="AH33" s="325">
        <f>IFERROR(VLOOKUP(AG33,道具ID!$L:$N,2,FALSE),"")</f>
        <v>111</v>
      </c>
      <c r="AI33" s="325">
        <v>800</v>
      </c>
      <c r="AJ33" s="325" t="str">
        <f t="shared" si="13"/>
        <v>[111,800]</v>
      </c>
      <c r="AK33" s="1">
        <f t="shared" si="9"/>
        <v>0</v>
      </c>
      <c r="AL33" s="1">
        <f t="shared" si="14"/>
        <v>0</v>
      </c>
      <c r="AM33" s="326"/>
    </row>
    <row r="34" spans="2:39" x14ac:dyDescent="0.3">
      <c r="B34" s="2">
        <v>5</v>
      </c>
      <c r="C34" s="2">
        <f t="shared" si="23"/>
        <v>600</v>
      </c>
      <c r="D34" s="2">
        <f t="shared" si="24"/>
        <v>300</v>
      </c>
      <c r="E34" s="2">
        <f t="shared" si="25"/>
        <v>7.5</v>
      </c>
      <c r="F34" s="2">
        <f t="shared" si="26"/>
        <v>-5</v>
      </c>
      <c r="G34" s="2">
        <v>5</v>
      </c>
      <c r="H34" s="153" t="s">
        <v>381</v>
      </c>
      <c r="I34" s="33">
        <v>6</v>
      </c>
      <c r="J34" s="2"/>
    </row>
    <row r="35" spans="2:39" x14ac:dyDescent="0.3">
      <c r="B35" s="2">
        <v>6</v>
      </c>
      <c r="C35" s="2">
        <f t="shared" si="23"/>
        <v>900</v>
      </c>
      <c r="D35" s="2">
        <f t="shared" si="24"/>
        <v>300</v>
      </c>
      <c r="E35" s="2">
        <f t="shared" si="25"/>
        <v>10</v>
      </c>
      <c r="F35" s="2">
        <f t="shared" si="26"/>
        <v>-7.5</v>
      </c>
      <c r="G35" s="2">
        <v>6</v>
      </c>
      <c r="H35" s="153" t="s">
        <v>382</v>
      </c>
      <c r="I35" s="33">
        <v>8</v>
      </c>
      <c r="J35" s="2"/>
    </row>
    <row r="36" spans="2:39" x14ac:dyDescent="0.3">
      <c r="B36" s="2">
        <v>7</v>
      </c>
      <c r="C36" s="2">
        <f t="shared" si="23"/>
        <v>1200</v>
      </c>
      <c r="D36" s="2">
        <f t="shared" si="24"/>
        <v>300</v>
      </c>
      <c r="E36" s="2">
        <f t="shared" si="25"/>
        <v>10</v>
      </c>
      <c r="F36" s="2">
        <f t="shared" si="26"/>
        <v>-10</v>
      </c>
      <c r="G36" s="2">
        <v>7</v>
      </c>
      <c r="H36" s="153" t="s">
        <v>382</v>
      </c>
      <c r="I36" s="33">
        <v>10</v>
      </c>
      <c r="J36" s="2"/>
      <c r="AG36" s="2" t="s">
        <v>596</v>
      </c>
      <c r="AH36" s="2">
        <f>SUMIFS(AI4:AI33,AG4:AG33,"钻石")</f>
        <v>540</v>
      </c>
    </row>
    <row r="37" spans="2:39" x14ac:dyDescent="0.3">
      <c r="B37" s="2">
        <v>8</v>
      </c>
      <c r="C37" s="2">
        <f t="shared" si="23"/>
        <v>1500</v>
      </c>
      <c r="D37" s="2">
        <f t="shared" si="24"/>
        <v>500</v>
      </c>
      <c r="E37" s="2">
        <f t="shared" si="25"/>
        <v>10</v>
      </c>
      <c r="F37" s="2">
        <f t="shared" si="26"/>
        <v>-10</v>
      </c>
      <c r="G37" s="2">
        <v>8</v>
      </c>
      <c r="H37" s="153" t="s">
        <v>382</v>
      </c>
      <c r="I37" s="33">
        <v>12</v>
      </c>
      <c r="J37" s="2"/>
      <c r="AG37" s="2" t="s">
        <v>597</v>
      </c>
      <c r="AH37" s="2">
        <f>AH36/(V33/C4)</f>
        <v>9.6428571428571423</v>
      </c>
    </row>
    <row r="38" spans="2:39" x14ac:dyDescent="0.3">
      <c r="B38" s="2">
        <v>9</v>
      </c>
      <c r="C38" s="2">
        <f t="shared" si="23"/>
        <v>2000</v>
      </c>
      <c r="D38" s="2">
        <f t="shared" si="24"/>
        <v>500</v>
      </c>
      <c r="E38" s="2">
        <f t="shared" si="25"/>
        <v>10</v>
      </c>
      <c r="F38" s="2">
        <f t="shared" si="26"/>
        <v>-10</v>
      </c>
      <c r="G38" s="2">
        <v>9</v>
      </c>
      <c r="H38" s="153" t="s">
        <v>382</v>
      </c>
      <c r="I38" s="33">
        <v>14</v>
      </c>
      <c r="J38" s="2"/>
    </row>
    <row r="39" spans="2:39" x14ac:dyDescent="0.3">
      <c r="B39" s="2">
        <v>10</v>
      </c>
      <c r="C39" s="2">
        <f t="shared" si="23"/>
        <v>2500</v>
      </c>
      <c r="D39" s="2">
        <f t="shared" si="24"/>
        <v>-2500</v>
      </c>
      <c r="E39" s="2">
        <f t="shared" si="25"/>
        <v>10</v>
      </c>
      <c r="F39" s="2">
        <f t="shared" si="26"/>
        <v>-10</v>
      </c>
      <c r="G39" s="2">
        <v>10</v>
      </c>
      <c r="H39" s="153" t="s">
        <v>382</v>
      </c>
      <c r="I39" s="33">
        <v>16</v>
      </c>
      <c r="J39" s="2"/>
    </row>
    <row r="44" spans="2:39" x14ac:dyDescent="0.3">
      <c r="B44" s="36"/>
    </row>
    <row r="46" spans="2:39" x14ac:dyDescent="0.3">
      <c r="H46" s="25"/>
      <c r="I46" s="25"/>
      <c r="J46" s="25"/>
      <c r="K46" s="25"/>
    </row>
    <row r="47" spans="2:39" x14ac:dyDescent="0.3">
      <c r="H47" s="25"/>
      <c r="I47" s="25"/>
      <c r="J47" s="25"/>
      <c r="K47" s="25"/>
    </row>
    <row r="48" spans="2:39" x14ac:dyDescent="0.3">
      <c r="H48" s="25"/>
      <c r="I48" s="25"/>
      <c r="J48" s="25"/>
      <c r="K48" s="25"/>
    </row>
    <row r="49" spans="8:11" x14ac:dyDescent="0.3">
      <c r="H49" s="25"/>
      <c r="I49" s="25"/>
      <c r="J49" s="25"/>
      <c r="K49" s="25"/>
    </row>
  </sheetData>
  <sortState xmlns:xlrd2="http://schemas.microsoft.com/office/spreadsheetml/2017/richdata2" ref="AN14:AN42">
    <sortCondition ref="AN14"/>
  </sortState>
  <mergeCells count="3">
    <mergeCell ref="B2:C2"/>
    <mergeCell ref="U2:AC2"/>
    <mergeCell ref="B15:J15"/>
  </mergeCells>
  <phoneticPr fontId="32"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1:G32"/>
  <sheetViews>
    <sheetView workbookViewId="0">
      <selection activeCell="A2" sqref="A2:G32"/>
    </sheetView>
  </sheetViews>
  <sheetFormatPr defaultColWidth="9" defaultRowHeight="13.5" x14ac:dyDescent="0.15"/>
  <cols>
    <col min="3" max="3" width="9.625" customWidth="1"/>
    <col min="4" max="4" width="12.125" customWidth="1"/>
    <col min="7" max="7" width="10.125" customWidth="1"/>
  </cols>
  <sheetData>
    <row r="1" spans="1:7" x14ac:dyDescent="0.15">
      <c r="A1" s="11" t="s">
        <v>598</v>
      </c>
      <c r="B1" s="11" t="s">
        <v>569</v>
      </c>
      <c r="C1" s="11" t="s">
        <v>599</v>
      </c>
      <c r="D1" s="11" t="s">
        <v>600</v>
      </c>
      <c r="E1" s="11" t="s">
        <v>601</v>
      </c>
      <c r="F1" s="11" t="s">
        <v>602</v>
      </c>
      <c r="G1" s="11" t="s">
        <v>344</v>
      </c>
    </row>
    <row r="2" spans="1:7" x14ac:dyDescent="0.15">
      <c r="A2" s="7">
        <v>1</v>
      </c>
      <c r="B2" s="7">
        <v>1111</v>
      </c>
      <c r="C2" s="7" t="s">
        <v>510</v>
      </c>
      <c r="D2" s="7" t="s">
        <v>603</v>
      </c>
      <c r="E2" s="7">
        <v>1</v>
      </c>
      <c r="F2" s="7" t="s">
        <v>175</v>
      </c>
      <c r="G2" s="7" t="s">
        <v>604</v>
      </c>
    </row>
    <row r="3" spans="1:7" x14ac:dyDescent="0.15">
      <c r="A3" s="7">
        <v>2</v>
      </c>
      <c r="B3" s="7">
        <v>1211</v>
      </c>
      <c r="C3" s="7" t="s">
        <v>516</v>
      </c>
      <c r="D3" s="7" t="s">
        <v>605</v>
      </c>
      <c r="E3" s="7">
        <v>1</v>
      </c>
      <c r="F3" s="7" t="s">
        <v>175</v>
      </c>
      <c r="G3" s="7" t="s">
        <v>606</v>
      </c>
    </row>
    <row r="4" spans="1:7" x14ac:dyDescent="0.15">
      <c r="A4" s="7">
        <v>3</v>
      </c>
      <c r="B4" s="7">
        <v>1221</v>
      </c>
      <c r="C4" s="7" t="s">
        <v>607</v>
      </c>
      <c r="D4" s="7" t="s">
        <v>608</v>
      </c>
      <c r="E4" s="7">
        <v>1</v>
      </c>
      <c r="F4" s="7" t="s">
        <v>177</v>
      </c>
      <c r="G4" s="7" t="s">
        <v>606</v>
      </c>
    </row>
    <row r="5" spans="1:7" x14ac:dyDescent="0.15">
      <c r="A5" s="7">
        <v>4</v>
      </c>
      <c r="B5" s="7">
        <v>1311</v>
      </c>
      <c r="C5" s="7" t="s">
        <v>522</v>
      </c>
      <c r="D5" s="7" t="s">
        <v>609</v>
      </c>
      <c r="E5" s="7">
        <v>1</v>
      </c>
      <c r="F5" s="7" t="s">
        <v>175</v>
      </c>
      <c r="G5" s="7" t="s">
        <v>610</v>
      </c>
    </row>
    <row r="6" spans="1:7" x14ac:dyDescent="0.15">
      <c r="A6" s="7">
        <v>5</v>
      </c>
      <c r="B6" s="7">
        <v>1321</v>
      </c>
      <c r="C6" s="7" t="s">
        <v>611</v>
      </c>
      <c r="D6" s="7" t="s">
        <v>612</v>
      </c>
      <c r="E6" s="7">
        <v>1</v>
      </c>
      <c r="F6" s="7" t="s">
        <v>177</v>
      </c>
      <c r="G6" s="7" t="s">
        <v>610</v>
      </c>
    </row>
    <row r="7" spans="1:7" x14ac:dyDescent="0.15">
      <c r="A7" s="7">
        <v>6</v>
      </c>
      <c r="B7" s="7">
        <v>1331</v>
      </c>
      <c r="C7" s="7" t="s">
        <v>613</v>
      </c>
      <c r="D7" s="7" t="s">
        <v>614</v>
      </c>
      <c r="E7" s="7">
        <v>0</v>
      </c>
      <c r="F7" s="7" t="s">
        <v>176</v>
      </c>
      <c r="G7" s="7" t="s">
        <v>610</v>
      </c>
    </row>
    <row r="8" spans="1:7" x14ac:dyDescent="0.15">
      <c r="A8" s="7">
        <v>7</v>
      </c>
      <c r="B8" s="7">
        <v>1411</v>
      </c>
      <c r="C8" s="7" t="s">
        <v>615</v>
      </c>
      <c r="D8" s="7" t="s">
        <v>616</v>
      </c>
      <c r="E8" s="7">
        <v>0</v>
      </c>
      <c r="F8" s="7" t="s">
        <v>175</v>
      </c>
      <c r="G8" s="7" t="s">
        <v>617</v>
      </c>
    </row>
    <row r="9" spans="1:7" x14ac:dyDescent="0.15">
      <c r="A9" s="7">
        <v>8</v>
      </c>
      <c r="B9" s="7">
        <v>1421</v>
      </c>
      <c r="C9" s="7" t="s">
        <v>618</v>
      </c>
      <c r="D9" s="7" t="s">
        <v>619</v>
      </c>
      <c r="E9" s="7">
        <v>0</v>
      </c>
      <c r="F9" s="7" t="s">
        <v>177</v>
      </c>
      <c r="G9" s="7" t="s">
        <v>617</v>
      </c>
    </row>
    <row r="10" spans="1:7" x14ac:dyDescent="0.15">
      <c r="A10" s="7">
        <v>9</v>
      </c>
      <c r="B10" s="7">
        <v>1431</v>
      </c>
      <c r="C10" s="7" t="s">
        <v>620</v>
      </c>
      <c r="D10" s="7" t="s">
        <v>621</v>
      </c>
      <c r="E10" s="7">
        <v>0</v>
      </c>
      <c r="F10" s="7" t="s">
        <v>176</v>
      </c>
      <c r="G10" s="7" t="s">
        <v>617</v>
      </c>
    </row>
    <row r="11" spans="1:7" x14ac:dyDescent="0.15">
      <c r="A11" s="7">
        <v>10</v>
      </c>
      <c r="B11" s="7">
        <v>1511</v>
      </c>
      <c r="C11" s="7" t="s">
        <v>622</v>
      </c>
      <c r="D11" s="7" t="s">
        <v>623</v>
      </c>
      <c r="E11" s="7">
        <v>0</v>
      </c>
      <c r="F11" s="7" t="s">
        <v>175</v>
      </c>
      <c r="G11" s="7" t="s">
        <v>624</v>
      </c>
    </row>
    <row r="12" spans="1:7" x14ac:dyDescent="0.15">
      <c r="A12" s="7">
        <v>11</v>
      </c>
      <c r="B12" s="7">
        <v>2111</v>
      </c>
      <c r="C12" s="7" t="s">
        <v>512</v>
      </c>
      <c r="D12" s="7" t="s">
        <v>625</v>
      </c>
      <c r="E12" s="7">
        <v>1</v>
      </c>
      <c r="F12" s="7" t="s">
        <v>175</v>
      </c>
      <c r="G12" s="7" t="s">
        <v>604</v>
      </c>
    </row>
    <row r="13" spans="1:7" x14ac:dyDescent="0.15">
      <c r="A13" s="7">
        <v>12</v>
      </c>
      <c r="B13" s="7">
        <v>2211</v>
      </c>
      <c r="C13" s="7" t="s">
        <v>518</v>
      </c>
      <c r="D13" s="7" t="s">
        <v>626</v>
      </c>
      <c r="E13" s="7">
        <v>1</v>
      </c>
      <c r="F13" s="7" t="s">
        <v>175</v>
      </c>
      <c r="G13" s="7" t="s">
        <v>606</v>
      </c>
    </row>
    <row r="14" spans="1:7" x14ac:dyDescent="0.15">
      <c r="A14" s="7">
        <v>13</v>
      </c>
      <c r="B14" s="7">
        <v>2221</v>
      </c>
      <c r="C14" s="7" t="s">
        <v>627</v>
      </c>
      <c r="D14" s="7" t="s">
        <v>628</v>
      </c>
      <c r="E14" s="7">
        <v>1</v>
      </c>
      <c r="F14" s="7" t="s">
        <v>177</v>
      </c>
      <c r="G14" s="7" t="s">
        <v>606</v>
      </c>
    </row>
    <row r="15" spans="1:7" x14ac:dyDescent="0.15">
      <c r="A15" s="7">
        <v>14</v>
      </c>
      <c r="B15" s="7">
        <v>2311</v>
      </c>
      <c r="C15" s="7" t="s">
        <v>526</v>
      </c>
      <c r="D15" s="7" t="s">
        <v>629</v>
      </c>
      <c r="E15" s="7">
        <v>1</v>
      </c>
      <c r="F15" s="7" t="s">
        <v>175</v>
      </c>
      <c r="G15" s="7" t="s">
        <v>610</v>
      </c>
    </row>
    <row r="16" spans="1:7" x14ac:dyDescent="0.15">
      <c r="A16" s="7">
        <v>15</v>
      </c>
      <c r="B16" s="7">
        <v>2321</v>
      </c>
      <c r="C16" s="7" t="s">
        <v>630</v>
      </c>
      <c r="D16" s="7" t="s">
        <v>631</v>
      </c>
      <c r="E16" s="7">
        <v>1</v>
      </c>
      <c r="F16" s="7" t="s">
        <v>177</v>
      </c>
      <c r="G16" s="7" t="s">
        <v>610</v>
      </c>
    </row>
    <row r="17" spans="1:7" x14ac:dyDescent="0.15">
      <c r="A17" s="7">
        <v>16</v>
      </c>
      <c r="B17" s="7">
        <v>2331</v>
      </c>
      <c r="C17" s="7" t="s">
        <v>632</v>
      </c>
      <c r="D17" s="7" t="s">
        <v>633</v>
      </c>
      <c r="E17" s="7">
        <v>0</v>
      </c>
      <c r="F17" s="7" t="s">
        <v>176</v>
      </c>
      <c r="G17" s="7" t="s">
        <v>610</v>
      </c>
    </row>
    <row r="18" spans="1:7" x14ac:dyDescent="0.15">
      <c r="A18" s="7">
        <v>17</v>
      </c>
      <c r="B18" s="7">
        <v>2411</v>
      </c>
      <c r="C18" s="7" t="s">
        <v>634</v>
      </c>
      <c r="D18" s="7" t="s">
        <v>635</v>
      </c>
      <c r="E18" s="7">
        <v>0</v>
      </c>
      <c r="F18" s="7" t="s">
        <v>175</v>
      </c>
      <c r="G18" s="7" t="s">
        <v>617</v>
      </c>
    </row>
    <row r="19" spans="1:7" x14ac:dyDescent="0.15">
      <c r="A19" s="7">
        <v>18</v>
      </c>
      <c r="B19" s="7">
        <v>2421</v>
      </c>
      <c r="C19" s="7" t="s">
        <v>636</v>
      </c>
      <c r="D19" s="7" t="s">
        <v>637</v>
      </c>
      <c r="E19" s="7">
        <v>0</v>
      </c>
      <c r="F19" s="7" t="s">
        <v>177</v>
      </c>
      <c r="G19" s="7" t="s">
        <v>617</v>
      </c>
    </row>
    <row r="20" spans="1:7" x14ac:dyDescent="0.15">
      <c r="A20" s="7">
        <v>19</v>
      </c>
      <c r="B20" s="7">
        <v>2431</v>
      </c>
      <c r="C20" s="7" t="s">
        <v>638</v>
      </c>
      <c r="D20" s="7" t="s">
        <v>639</v>
      </c>
      <c r="E20" s="7">
        <v>0</v>
      </c>
      <c r="F20" s="7" t="s">
        <v>176</v>
      </c>
      <c r="G20" s="7" t="s">
        <v>617</v>
      </c>
    </row>
    <row r="21" spans="1:7" x14ac:dyDescent="0.15">
      <c r="A21" s="7">
        <v>20</v>
      </c>
      <c r="B21" s="7">
        <v>2511</v>
      </c>
      <c r="C21" s="7" t="s">
        <v>640</v>
      </c>
      <c r="D21" s="7" t="s">
        <v>641</v>
      </c>
      <c r="E21" s="7">
        <v>0</v>
      </c>
      <c r="F21" s="7" t="s">
        <v>175</v>
      </c>
      <c r="G21" s="7" t="s">
        <v>624</v>
      </c>
    </row>
    <row r="22" spans="1:7" x14ac:dyDescent="0.15">
      <c r="A22" s="7">
        <v>21</v>
      </c>
      <c r="B22" s="7">
        <v>3111</v>
      </c>
      <c r="C22" s="7" t="s">
        <v>642</v>
      </c>
      <c r="D22" s="7" t="s">
        <v>643</v>
      </c>
      <c r="E22" s="7">
        <v>1</v>
      </c>
      <c r="F22" s="7" t="s">
        <v>175</v>
      </c>
      <c r="G22" s="7" t="s">
        <v>604</v>
      </c>
    </row>
    <row r="23" spans="1:7" x14ac:dyDescent="0.15">
      <c r="A23" s="7">
        <v>22</v>
      </c>
      <c r="B23" s="7">
        <v>3211</v>
      </c>
      <c r="C23" s="7" t="s">
        <v>644</v>
      </c>
      <c r="D23" s="7" t="s">
        <v>645</v>
      </c>
      <c r="E23" s="7">
        <v>1</v>
      </c>
      <c r="F23" s="7" t="s">
        <v>175</v>
      </c>
      <c r="G23" s="7" t="s">
        <v>606</v>
      </c>
    </row>
    <row r="24" spans="1:7" x14ac:dyDescent="0.15">
      <c r="A24" s="7">
        <v>23</v>
      </c>
      <c r="B24" s="7">
        <v>3221</v>
      </c>
      <c r="C24" s="7" t="s">
        <v>646</v>
      </c>
      <c r="D24" s="7" t="s">
        <v>647</v>
      </c>
      <c r="E24" s="7">
        <v>1</v>
      </c>
      <c r="F24" s="7" t="s">
        <v>177</v>
      </c>
      <c r="G24" s="7" t="s">
        <v>606</v>
      </c>
    </row>
    <row r="25" spans="1:7" x14ac:dyDescent="0.15">
      <c r="A25" s="7">
        <v>24</v>
      </c>
      <c r="B25" s="7">
        <v>3311</v>
      </c>
      <c r="C25" s="7" t="s">
        <v>529</v>
      </c>
      <c r="D25" s="7" t="s">
        <v>648</v>
      </c>
      <c r="E25" s="7">
        <v>1</v>
      </c>
      <c r="F25" s="7" t="s">
        <v>175</v>
      </c>
      <c r="G25" s="7" t="s">
        <v>610</v>
      </c>
    </row>
    <row r="26" spans="1:7" x14ac:dyDescent="0.15">
      <c r="A26" s="7">
        <v>25</v>
      </c>
      <c r="B26" s="7">
        <v>3321</v>
      </c>
      <c r="C26" s="7" t="s">
        <v>649</v>
      </c>
      <c r="D26" s="7" t="s">
        <v>650</v>
      </c>
      <c r="E26" s="7">
        <v>1</v>
      </c>
      <c r="F26" s="7" t="s">
        <v>177</v>
      </c>
      <c r="G26" s="7" t="s">
        <v>610</v>
      </c>
    </row>
    <row r="27" spans="1:7" x14ac:dyDescent="0.15">
      <c r="A27" s="7">
        <v>26</v>
      </c>
      <c r="B27" s="7">
        <v>3331</v>
      </c>
      <c r="C27" s="7" t="s">
        <v>651</v>
      </c>
      <c r="D27" s="7" t="s">
        <v>652</v>
      </c>
      <c r="E27" s="7">
        <v>0</v>
      </c>
      <c r="F27" s="7" t="s">
        <v>176</v>
      </c>
      <c r="G27" s="7" t="s">
        <v>610</v>
      </c>
    </row>
    <row r="28" spans="1:7" x14ac:dyDescent="0.15">
      <c r="A28" s="7">
        <v>27</v>
      </c>
      <c r="B28" s="7">
        <v>3411</v>
      </c>
      <c r="C28" s="7" t="s">
        <v>653</v>
      </c>
      <c r="D28" s="7" t="s">
        <v>654</v>
      </c>
      <c r="E28" s="7">
        <v>0</v>
      </c>
      <c r="F28" s="7" t="s">
        <v>175</v>
      </c>
      <c r="G28" s="7" t="s">
        <v>617</v>
      </c>
    </row>
    <row r="29" spans="1:7" x14ac:dyDescent="0.15">
      <c r="A29" s="7">
        <v>28</v>
      </c>
      <c r="B29" s="7">
        <v>3421</v>
      </c>
      <c r="C29" s="7" t="s">
        <v>655</v>
      </c>
      <c r="D29" s="7" t="s">
        <v>656</v>
      </c>
      <c r="E29" s="7">
        <v>0</v>
      </c>
      <c r="F29" s="7" t="s">
        <v>177</v>
      </c>
      <c r="G29" s="7" t="s">
        <v>617</v>
      </c>
    </row>
    <row r="30" spans="1:7" x14ac:dyDescent="0.15">
      <c r="A30" s="7">
        <v>29</v>
      </c>
      <c r="B30" s="7">
        <v>3431</v>
      </c>
      <c r="C30" s="7" t="s">
        <v>657</v>
      </c>
      <c r="D30" s="7" t="s">
        <v>658</v>
      </c>
      <c r="E30" s="7">
        <v>0</v>
      </c>
      <c r="F30" s="7" t="s">
        <v>176</v>
      </c>
      <c r="G30" s="7" t="s">
        <v>617</v>
      </c>
    </row>
    <row r="31" spans="1:7" x14ac:dyDescent="0.15">
      <c r="A31" s="7">
        <v>30</v>
      </c>
      <c r="B31" s="7">
        <v>3511</v>
      </c>
      <c r="C31" s="7" t="s">
        <v>659</v>
      </c>
      <c r="D31" s="7" t="s">
        <v>660</v>
      </c>
      <c r="E31" s="7">
        <v>0</v>
      </c>
      <c r="F31" s="7" t="s">
        <v>175</v>
      </c>
      <c r="G31" s="7" t="s">
        <v>624</v>
      </c>
    </row>
    <row r="32" spans="1:7" x14ac:dyDescent="0.15">
      <c r="A32" s="7">
        <v>31</v>
      </c>
      <c r="B32" s="7">
        <v>3341</v>
      </c>
      <c r="C32" s="7" t="s">
        <v>661</v>
      </c>
      <c r="D32" s="7" t="s">
        <v>662</v>
      </c>
      <c r="E32" s="7">
        <v>1</v>
      </c>
      <c r="F32" s="7" t="s">
        <v>176</v>
      </c>
      <c r="G32" s="7" t="s">
        <v>610</v>
      </c>
    </row>
  </sheetData>
  <phoneticPr fontId="3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9"/>
  <dimension ref="A1:O103"/>
  <sheetViews>
    <sheetView topLeftCell="A13" workbookViewId="0">
      <selection activeCell="H53" sqref="H53"/>
    </sheetView>
  </sheetViews>
  <sheetFormatPr defaultColWidth="9" defaultRowHeight="13.5" x14ac:dyDescent="0.15"/>
  <cols>
    <col min="6" max="7" width="11.875" customWidth="1"/>
    <col min="8" max="8" width="16.375" bestFit="1" customWidth="1"/>
    <col min="9" max="9" width="17.75" customWidth="1"/>
  </cols>
  <sheetData>
    <row r="1" spans="1:15" x14ac:dyDescent="0.15">
      <c r="A1" s="48" t="s">
        <v>724</v>
      </c>
      <c r="B1" s="48" t="s">
        <v>725</v>
      </c>
      <c r="C1" s="48" t="s">
        <v>726</v>
      </c>
      <c r="D1" s="48" t="s">
        <v>727</v>
      </c>
      <c r="E1" s="48" t="s">
        <v>728</v>
      </c>
      <c r="F1" s="48" t="s">
        <v>729</v>
      </c>
      <c r="G1" s="48" t="s">
        <v>730</v>
      </c>
      <c r="H1" s="48" t="s">
        <v>4117</v>
      </c>
      <c r="I1" s="48" t="s">
        <v>4118</v>
      </c>
      <c r="L1" s="253" t="s">
        <v>3712</v>
      </c>
      <c r="M1" s="253" t="s">
        <v>3713</v>
      </c>
      <c r="N1" s="253" t="s">
        <v>3714</v>
      </c>
      <c r="O1" s="253" t="s">
        <v>3715</v>
      </c>
    </row>
    <row r="2" spans="1:15" ht="15.75" x14ac:dyDescent="0.3">
      <c r="A2" t="s">
        <v>604</v>
      </c>
      <c r="B2" t="s">
        <v>175</v>
      </c>
      <c r="C2">
        <v>1</v>
      </c>
      <c r="D2" t="str">
        <f>A2&amp;"_"&amp;B2</f>
        <v>T1_低</v>
      </c>
      <c r="E2" t="str">
        <f>A2&amp;"_"&amp;B2&amp;"_"&amp;C2</f>
        <v>T1_低_1</v>
      </c>
      <c r="F2">
        <v>3</v>
      </c>
      <c r="G2">
        <v>185</v>
      </c>
      <c r="H2">
        <f>IF(C2=1,F2,F2+H1)</f>
        <v>3</v>
      </c>
      <c r="I2">
        <f>IF(C2=1,G2,G2+I1)</f>
        <v>185</v>
      </c>
      <c r="J2">
        <f>C2</f>
        <v>1</v>
      </c>
      <c r="L2" s="251">
        <v>6</v>
      </c>
      <c r="M2" s="252">
        <v>2</v>
      </c>
      <c r="N2" s="252">
        <v>0</v>
      </c>
      <c r="O2">
        <f>SUM($L$2:L2)</f>
        <v>6</v>
      </c>
    </row>
    <row r="3" spans="1:15" ht="15.75" x14ac:dyDescent="0.3">
      <c r="A3" t="s">
        <v>604</v>
      </c>
      <c r="B3" t="s">
        <v>175</v>
      </c>
      <c r="C3">
        <v>2</v>
      </c>
      <c r="D3" t="str">
        <f t="shared" ref="D3:D66" si="0">A3&amp;"_"&amp;B3</f>
        <v>T1_低</v>
      </c>
      <c r="E3" t="str">
        <f t="shared" ref="E3:E66" si="1">A3&amp;"_"&amp;B3&amp;"_"&amp;C3</f>
        <v>T1_低_2</v>
      </c>
      <c r="F3">
        <v>3</v>
      </c>
      <c r="G3">
        <v>800</v>
      </c>
      <c r="H3">
        <f t="shared" ref="H3:H6" si="2">IF(C3=1,F3,F3+H2)</f>
        <v>6</v>
      </c>
      <c r="I3">
        <f t="shared" ref="I3:I66" si="3">IF(C3=1,G3,G3+I2)</f>
        <v>985</v>
      </c>
      <c r="J3">
        <f t="shared" ref="J3:J66" si="4">C3</f>
        <v>2</v>
      </c>
      <c r="L3" s="251">
        <v>6</v>
      </c>
      <c r="M3" s="252">
        <v>2</v>
      </c>
      <c r="N3" s="252">
        <v>1</v>
      </c>
      <c r="O3">
        <f>SUM($L$2:L3)</f>
        <v>12</v>
      </c>
    </row>
    <row r="4" spans="1:15" ht="15.75" x14ac:dyDescent="0.3">
      <c r="A4" t="s">
        <v>604</v>
      </c>
      <c r="B4" t="s">
        <v>175</v>
      </c>
      <c r="C4">
        <v>3</v>
      </c>
      <c r="D4" t="str">
        <f t="shared" si="0"/>
        <v>T1_低</v>
      </c>
      <c r="E4" t="str">
        <f t="shared" si="1"/>
        <v>T1_低_3</v>
      </c>
      <c r="F4">
        <v>8</v>
      </c>
      <c r="G4">
        <v>2370</v>
      </c>
      <c r="H4">
        <f t="shared" si="2"/>
        <v>14</v>
      </c>
      <c r="I4">
        <f t="shared" si="3"/>
        <v>3355</v>
      </c>
      <c r="J4">
        <f t="shared" si="4"/>
        <v>3</v>
      </c>
      <c r="L4" s="251">
        <v>8</v>
      </c>
      <c r="M4" s="252">
        <v>2</v>
      </c>
      <c r="N4" s="252">
        <v>2</v>
      </c>
      <c r="O4">
        <f>SUM($L$2:L4)</f>
        <v>20</v>
      </c>
    </row>
    <row r="5" spans="1:15" ht="14.25" x14ac:dyDescent="0.15">
      <c r="A5" t="s">
        <v>604</v>
      </c>
      <c r="B5" t="s">
        <v>175</v>
      </c>
      <c r="C5">
        <v>4</v>
      </c>
      <c r="D5" t="str">
        <f t="shared" si="0"/>
        <v>T1_低</v>
      </c>
      <c r="E5" t="str">
        <f t="shared" si="1"/>
        <v>T1_低_4</v>
      </c>
      <c r="F5">
        <v>10</v>
      </c>
      <c r="G5">
        <v>3150</v>
      </c>
      <c r="H5">
        <f t="shared" si="2"/>
        <v>24</v>
      </c>
      <c r="I5">
        <f t="shared" si="3"/>
        <v>6505</v>
      </c>
      <c r="J5">
        <f t="shared" si="4"/>
        <v>4</v>
      </c>
      <c r="L5" s="252">
        <v>18</v>
      </c>
      <c r="M5" s="252">
        <v>3</v>
      </c>
      <c r="N5" s="252">
        <v>0</v>
      </c>
      <c r="O5">
        <f>SUM($L$2:L5)</f>
        <v>38</v>
      </c>
    </row>
    <row r="6" spans="1:15" ht="14.25" x14ac:dyDescent="0.15">
      <c r="A6" t="s">
        <v>604</v>
      </c>
      <c r="B6" t="s">
        <v>175</v>
      </c>
      <c r="C6">
        <v>5</v>
      </c>
      <c r="D6" t="str">
        <f t="shared" si="0"/>
        <v>T1_低</v>
      </c>
      <c r="E6" t="str">
        <f t="shared" si="1"/>
        <v>T1_低_5</v>
      </c>
      <c r="F6">
        <v>10</v>
      </c>
      <c r="G6">
        <v>3900</v>
      </c>
      <c r="H6">
        <f t="shared" si="2"/>
        <v>34</v>
      </c>
      <c r="I6">
        <f t="shared" si="3"/>
        <v>10405</v>
      </c>
      <c r="J6">
        <f t="shared" si="4"/>
        <v>5</v>
      </c>
      <c r="L6" s="252">
        <v>18</v>
      </c>
      <c r="M6" s="252">
        <v>3</v>
      </c>
      <c r="N6" s="252">
        <v>1</v>
      </c>
      <c r="O6">
        <f>SUM($L$2:L6)</f>
        <v>56</v>
      </c>
    </row>
    <row r="7" spans="1:15" ht="14.25" x14ac:dyDescent="0.15">
      <c r="A7" t="s">
        <v>604</v>
      </c>
      <c r="B7" t="s">
        <v>175</v>
      </c>
      <c r="C7">
        <v>6</v>
      </c>
      <c r="D7" t="str">
        <f t="shared" si="0"/>
        <v>T1_低</v>
      </c>
      <c r="E7" t="str">
        <f t="shared" si="1"/>
        <v>T1_低_6</v>
      </c>
      <c r="F7">
        <v>10</v>
      </c>
      <c r="G7">
        <v>0</v>
      </c>
      <c r="H7">
        <f>IF(C7=1,F7,F7+H6)</f>
        <v>44</v>
      </c>
      <c r="I7">
        <f t="shared" si="3"/>
        <v>10405</v>
      </c>
      <c r="J7">
        <f t="shared" si="4"/>
        <v>6</v>
      </c>
      <c r="L7" s="252">
        <v>24</v>
      </c>
      <c r="M7" s="252">
        <v>3</v>
      </c>
      <c r="N7" s="252">
        <v>2</v>
      </c>
      <c r="O7">
        <f>SUM($L$2:L7)</f>
        <v>80</v>
      </c>
    </row>
    <row r="8" spans="1:15" ht="14.25" x14ac:dyDescent="0.15">
      <c r="A8" t="s">
        <v>606</v>
      </c>
      <c r="B8" t="s">
        <v>175</v>
      </c>
      <c r="C8">
        <v>1</v>
      </c>
      <c r="D8" t="str">
        <f t="shared" si="0"/>
        <v>T2_低</v>
      </c>
      <c r="E8" t="str">
        <f t="shared" si="1"/>
        <v>T2_低_1</v>
      </c>
      <c r="F8">
        <v>6</v>
      </c>
      <c r="G8">
        <v>2750</v>
      </c>
      <c r="H8">
        <f>IF(C8=1,F8,F8+H7)</f>
        <v>6</v>
      </c>
      <c r="I8">
        <f t="shared" si="3"/>
        <v>2750</v>
      </c>
      <c r="J8">
        <f t="shared" si="4"/>
        <v>1</v>
      </c>
      <c r="L8" s="252">
        <v>30</v>
      </c>
      <c r="M8" s="252">
        <v>3</v>
      </c>
      <c r="N8" s="252">
        <v>3</v>
      </c>
      <c r="O8">
        <f>SUM($L$2:L8)</f>
        <v>110</v>
      </c>
    </row>
    <row r="9" spans="1:15" ht="14.25" x14ac:dyDescent="0.15">
      <c r="A9" t="s">
        <v>606</v>
      </c>
      <c r="B9" t="s">
        <v>175</v>
      </c>
      <c r="C9">
        <v>2</v>
      </c>
      <c r="D9" t="str">
        <f t="shared" si="0"/>
        <v>T2_低</v>
      </c>
      <c r="E9" t="str">
        <f t="shared" si="1"/>
        <v>T2_低_2</v>
      </c>
      <c r="F9">
        <v>6</v>
      </c>
      <c r="G9">
        <v>5350</v>
      </c>
      <c r="H9">
        <f t="shared" ref="H9:H72" si="5">IF(C9=1,F9,F9+H8)</f>
        <v>12</v>
      </c>
      <c r="I9">
        <f t="shared" si="3"/>
        <v>8100</v>
      </c>
      <c r="J9">
        <f t="shared" si="4"/>
        <v>2</v>
      </c>
      <c r="L9" s="252">
        <v>50</v>
      </c>
      <c r="M9" s="252">
        <v>4</v>
      </c>
      <c r="N9" s="252">
        <v>0</v>
      </c>
      <c r="O9">
        <f>SUM($L$2:L9)</f>
        <v>160</v>
      </c>
    </row>
    <row r="10" spans="1:15" ht="14.25" x14ac:dyDescent="0.15">
      <c r="A10" t="s">
        <v>606</v>
      </c>
      <c r="B10" t="s">
        <v>175</v>
      </c>
      <c r="C10">
        <v>3</v>
      </c>
      <c r="D10" t="str">
        <f t="shared" si="0"/>
        <v>T2_低</v>
      </c>
      <c r="E10" t="str">
        <f t="shared" si="1"/>
        <v>T2_低_3</v>
      </c>
      <c r="F10">
        <v>8</v>
      </c>
      <c r="G10">
        <v>8100</v>
      </c>
      <c r="H10">
        <f t="shared" si="5"/>
        <v>20</v>
      </c>
      <c r="I10">
        <f t="shared" si="3"/>
        <v>16200</v>
      </c>
      <c r="J10">
        <f t="shared" si="4"/>
        <v>3</v>
      </c>
      <c r="L10" s="252">
        <v>50</v>
      </c>
      <c r="M10" s="252">
        <v>4</v>
      </c>
      <c r="N10" s="252">
        <v>1</v>
      </c>
      <c r="O10">
        <f>SUM($L$2:L10)</f>
        <v>210</v>
      </c>
    </row>
    <row r="11" spans="1:15" ht="14.25" x14ac:dyDescent="0.15">
      <c r="A11" t="s">
        <v>606</v>
      </c>
      <c r="B11" t="s">
        <v>175</v>
      </c>
      <c r="C11">
        <v>4</v>
      </c>
      <c r="D11" t="str">
        <f t="shared" si="0"/>
        <v>T2_低</v>
      </c>
      <c r="E11" t="str">
        <f t="shared" si="1"/>
        <v>T2_低_4</v>
      </c>
      <c r="F11">
        <v>30</v>
      </c>
      <c r="G11">
        <v>10800</v>
      </c>
      <c r="H11">
        <f t="shared" si="5"/>
        <v>50</v>
      </c>
      <c r="I11">
        <f t="shared" si="3"/>
        <v>27000</v>
      </c>
      <c r="J11">
        <f t="shared" si="4"/>
        <v>4</v>
      </c>
      <c r="L11" s="252">
        <v>50</v>
      </c>
      <c r="M11" s="252">
        <v>4</v>
      </c>
      <c r="N11" s="252">
        <v>2</v>
      </c>
      <c r="O11">
        <f>SUM($L$2:L11)</f>
        <v>260</v>
      </c>
    </row>
    <row r="12" spans="1:15" ht="14.25" x14ac:dyDescent="0.15">
      <c r="A12" t="s">
        <v>606</v>
      </c>
      <c r="B12" t="s">
        <v>175</v>
      </c>
      <c r="C12">
        <v>5</v>
      </c>
      <c r="D12" t="str">
        <f t="shared" si="0"/>
        <v>T2_低</v>
      </c>
      <c r="E12" t="str">
        <f t="shared" si="1"/>
        <v>T2_低_5</v>
      </c>
      <c r="F12">
        <v>30</v>
      </c>
      <c r="G12">
        <v>13500</v>
      </c>
      <c r="H12">
        <f t="shared" si="5"/>
        <v>80</v>
      </c>
      <c r="I12">
        <f t="shared" si="3"/>
        <v>40500</v>
      </c>
      <c r="J12">
        <f t="shared" si="4"/>
        <v>5</v>
      </c>
      <c r="L12" s="252">
        <v>50</v>
      </c>
      <c r="M12" s="252">
        <v>4</v>
      </c>
      <c r="N12" s="252">
        <v>3</v>
      </c>
      <c r="O12">
        <f>SUM($L$2:L12)</f>
        <v>310</v>
      </c>
    </row>
    <row r="13" spans="1:15" ht="14.25" x14ac:dyDescent="0.15">
      <c r="A13" t="s">
        <v>606</v>
      </c>
      <c r="B13" t="s">
        <v>175</v>
      </c>
      <c r="C13">
        <v>6</v>
      </c>
      <c r="D13" t="str">
        <f t="shared" si="0"/>
        <v>T2_低</v>
      </c>
      <c r="E13" t="str">
        <f t="shared" si="1"/>
        <v>T2_低_6</v>
      </c>
      <c r="F13">
        <v>30</v>
      </c>
      <c r="G13">
        <v>16100</v>
      </c>
      <c r="H13">
        <f t="shared" si="5"/>
        <v>110</v>
      </c>
      <c r="I13">
        <f t="shared" si="3"/>
        <v>56600</v>
      </c>
      <c r="J13">
        <f t="shared" si="4"/>
        <v>6</v>
      </c>
      <c r="L13" s="252">
        <v>50</v>
      </c>
      <c r="M13" s="252">
        <v>4</v>
      </c>
      <c r="N13" s="252">
        <v>4</v>
      </c>
      <c r="O13">
        <f>SUM($L$2:L13)</f>
        <v>360</v>
      </c>
    </row>
    <row r="14" spans="1:15" ht="14.25" x14ac:dyDescent="0.15">
      <c r="A14" t="s">
        <v>606</v>
      </c>
      <c r="B14" t="s">
        <v>175</v>
      </c>
      <c r="C14">
        <v>7</v>
      </c>
      <c r="D14" t="str">
        <f t="shared" si="0"/>
        <v>T2_低</v>
      </c>
      <c r="E14" t="str">
        <f t="shared" si="1"/>
        <v>T2_低_7</v>
      </c>
      <c r="F14">
        <v>30</v>
      </c>
      <c r="G14">
        <v>18900</v>
      </c>
      <c r="H14">
        <f t="shared" si="5"/>
        <v>140</v>
      </c>
      <c r="I14">
        <f t="shared" si="3"/>
        <v>75500</v>
      </c>
      <c r="J14">
        <f t="shared" si="4"/>
        <v>7</v>
      </c>
      <c r="L14" s="252">
        <v>50</v>
      </c>
      <c r="M14" s="252">
        <v>5</v>
      </c>
      <c r="N14" s="252">
        <v>0</v>
      </c>
      <c r="O14">
        <f>SUM($L$2:L14)</f>
        <v>410</v>
      </c>
    </row>
    <row r="15" spans="1:15" x14ac:dyDescent="0.15">
      <c r="A15" t="s">
        <v>606</v>
      </c>
      <c r="B15" t="s">
        <v>175</v>
      </c>
      <c r="C15">
        <v>8</v>
      </c>
      <c r="D15" t="str">
        <f t="shared" si="0"/>
        <v>T2_低</v>
      </c>
      <c r="E15" t="str">
        <f t="shared" si="1"/>
        <v>T2_低_8</v>
      </c>
      <c r="F15">
        <v>30</v>
      </c>
      <c r="G15">
        <v>0</v>
      </c>
      <c r="H15">
        <f t="shared" si="5"/>
        <v>170</v>
      </c>
      <c r="I15">
        <f t="shared" si="3"/>
        <v>75500</v>
      </c>
      <c r="J15">
        <f t="shared" si="4"/>
        <v>8</v>
      </c>
    </row>
    <row r="16" spans="1:15" x14ac:dyDescent="0.15">
      <c r="A16" t="s">
        <v>606</v>
      </c>
      <c r="B16" t="s">
        <v>177</v>
      </c>
      <c r="C16">
        <v>1</v>
      </c>
      <c r="D16" t="str">
        <f t="shared" si="0"/>
        <v>T2_中</v>
      </c>
      <c r="E16" t="str">
        <f t="shared" si="1"/>
        <v>T2_中_1</v>
      </c>
      <c r="F16">
        <v>6</v>
      </c>
      <c r="G16">
        <v>6100</v>
      </c>
      <c r="H16">
        <f t="shared" si="5"/>
        <v>6</v>
      </c>
      <c r="I16">
        <f t="shared" si="3"/>
        <v>6100</v>
      </c>
      <c r="J16">
        <f t="shared" si="4"/>
        <v>1</v>
      </c>
    </row>
    <row r="17" spans="1:10" x14ac:dyDescent="0.15">
      <c r="A17" t="s">
        <v>606</v>
      </c>
      <c r="B17" t="s">
        <v>177</v>
      </c>
      <c r="C17">
        <v>2</v>
      </c>
      <c r="D17" t="str">
        <f t="shared" si="0"/>
        <v>T2_中</v>
      </c>
      <c r="E17" t="str">
        <f t="shared" si="1"/>
        <v>T2_中_2</v>
      </c>
      <c r="F17">
        <v>6</v>
      </c>
      <c r="G17">
        <v>12050</v>
      </c>
      <c r="H17">
        <f t="shared" si="5"/>
        <v>12</v>
      </c>
      <c r="I17">
        <f t="shared" si="3"/>
        <v>18150</v>
      </c>
      <c r="J17">
        <f t="shared" si="4"/>
        <v>2</v>
      </c>
    </row>
    <row r="18" spans="1:10" x14ac:dyDescent="0.15">
      <c r="A18" t="s">
        <v>606</v>
      </c>
      <c r="B18" t="s">
        <v>177</v>
      </c>
      <c r="C18">
        <v>3</v>
      </c>
      <c r="D18" t="str">
        <f t="shared" si="0"/>
        <v>T2_中</v>
      </c>
      <c r="E18" t="str">
        <f t="shared" si="1"/>
        <v>T2_中_3</v>
      </c>
      <c r="F18">
        <v>8</v>
      </c>
      <c r="G18">
        <v>18100</v>
      </c>
      <c r="H18">
        <f t="shared" si="5"/>
        <v>20</v>
      </c>
      <c r="I18">
        <f t="shared" si="3"/>
        <v>36250</v>
      </c>
      <c r="J18">
        <f t="shared" si="4"/>
        <v>3</v>
      </c>
    </row>
    <row r="19" spans="1:10" x14ac:dyDescent="0.15">
      <c r="A19" t="s">
        <v>606</v>
      </c>
      <c r="B19" t="s">
        <v>177</v>
      </c>
      <c r="C19">
        <v>4</v>
      </c>
      <c r="D19" t="str">
        <f t="shared" si="0"/>
        <v>T2_中</v>
      </c>
      <c r="E19" t="str">
        <f t="shared" si="1"/>
        <v>T2_中_4</v>
      </c>
      <c r="F19">
        <v>30</v>
      </c>
      <c r="G19">
        <v>24300</v>
      </c>
      <c r="H19">
        <f t="shared" si="5"/>
        <v>50</v>
      </c>
      <c r="I19">
        <f t="shared" si="3"/>
        <v>60550</v>
      </c>
      <c r="J19">
        <f t="shared" si="4"/>
        <v>4</v>
      </c>
    </row>
    <row r="20" spans="1:10" x14ac:dyDescent="0.15">
      <c r="A20" t="s">
        <v>606</v>
      </c>
      <c r="B20" t="s">
        <v>177</v>
      </c>
      <c r="C20">
        <v>5</v>
      </c>
      <c r="D20" t="str">
        <f t="shared" si="0"/>
        <v>T2_中</v>
      </c>
      <c r="E20" t="str">
        <f t="shared" si="1"/>
        <v>T2_中_5</v>
      </c>
      <c r="F20">
        <v>30</v>
      </c>
      <c r="G20">
        <v>30300</v>
      </c>
      <c r="H20">
        <f t="shared" si="5"/>
        <v>80</v>
      </c>
      <c r="I20">
        <f t="shared" si="3"/>
        <v>90850</v>
      </c>
      <c r="J20">
        <f t="shared" si="4"/>
        <v>5</v>
      </c>
    </row>
    <row r="21" spans="1:10" x14ac:dyDescent="0.15">
      <c r="A21" t="s">
        <v>606</v>
      </c>
      <c r="B21" t="s">
        <v>177</v>
      </c>
      <c r="C21">
        <v>6</v>
      </c>
      <c r="D21" t="str">
        <f t="shared" si="0"/>
        <v>T2_中</v>
      </c>
      <c r="E21" t="str">
        <f t="shared" si="1"/>
        <v>T2_中_6</v>
      </c>
      <c r="F21">
        <v>30</v>
      </c>
      <c r="G21">
        <v>36300</v>
      </c>
      <c r="H21">
        <f t="shared" si="5"/>
        <v>110</v>
      </c>
      <c r="I21">
        <f t="shared" si="3"/>
        <v>127150</v>
      </c>
      <c r="J21">
        <f t="shared" si="4"/>
        <v>6</v>
      </c>
    </row>
    <row r="22" spans="1:10" x14ac:dyDescent="0.15">
      <c r="A22" t="s">
        <v>606</v>
      </c>
      <c r="B22" t="s">
        <v>177</v>
      </c>
      <c r="C22">
        <v>7</v>
      </c>
      <c r="D22" t="str">
        <f t="shared" si="0"/>
        <v>T2_中</v>
      </c>
      <c r="E22" t="str">
        <f t="shared" si="1"/>
        <v>T2_中_7</v>
      </c>
      <c r="F22">
        <v>30</v>
      </c>
      <c r="G22">
        <v>42400</v>
      </c>
      <c r="H22">
        <f t="shared" si="5"/>
        <v>140</v>
      </c>
      <c r="I22">
        <f t="shared" si="3"/>
        <v>169550</v>
      </c>
      <c r="J22">
        <f t="shared" si="4"/>
        <v>7</v>
      </c>
    </row>
    <row r="23" spans="1:10" x14ac:dyDescent="0.15">
      <c r="A23" t="s">
        <v>606</v>
      </c>
      <c r="B23" t="s">
        <v>177</v>
      </c>
      <c r="C23">
        <v>8</v>
      </c>
      <c r="D23" t="str">
        <f t="shared" si="0"/>
        <v>T2_中</v>
      </c>
      <c r="E23" t="str">
        <f t="shared" si="1"/>
        <v>T2_中_8</v>
      </c>
      <c r="F23">
        <v>30</v>
      </c>
      <c r="G23">
        <v>0</v>
      </c>
      <c r="H23">
        <f t="shared" si="5"/>
        <v>170</v>
      </c>
      <c r="I23">
        <f t="shared" si="3"/>
        <v>169550</v>
      </c>
      <c r="J23">
        <f t="shared" si="4"/>
        <v>8</v>
      </c>
    </row>
    <row r="24" spans="1:10" x14ac:dyDescent="0.15">
      <c r="A24" t="s">
        <v>610</v>
      </c>
      <c r="B24" t="s">
        <v>175</v>
      </c>
      <c r="C24">
        <v>1</v>
      </c>
      <c r="D24" t="str">
        <f t="shared" si="0"/>
        <v>T3_低</v>
      </c>
      <c r="E24" t="str">
        <f t="shared" si="1"/>
        <v>T3_低_1</v>
      </c>
      <c r="F24">
        <v>18</v>
      </c>
      <c r="G24">
        <v>7350</v>
      </c>
      <c r="H24">
        <f t="shared" si="5"/>
        <v>18</v>
      </c>
      <c r="I24">
        <f t="shared" si="3"/>
        <v>7350</v>
      </c>
      <c r="J24">
        <f t="shared" si="4"/>
        <v>1</v>
      </c>
    </row>
    <row r="25" spans="1:10" x14ac:dyDescent="0.15">
      <c r="A25" t="s">
        <v>610</v>
      </c>
      <c r="B25" t="s">
        <v>175</v>
      </c>
      <c r="C25">
        <v>2</v>
      </c>
      <c r="D25" t="str">
        <f t="shared" si="0"/>
        <v>T3_低</v>
      </c>
      <c r="E25" t="str">
        <f t="shared" si="1"/>
        <v>T3_低_2</v>
      </c>
      <c r="F25">
        <v>18</v>
      </c>
      <c r="G25">
        <v>14800</v>
      </c>
      <c r="H25">
        <f t="shared" si="5"/>
        <v>36</v>
      </c>
      <c r="I25">
        <f t="shared" si="3"/>
        <v>22150</v>
      </c>
      <c r="J25">
        <f t="shared" si="4"/>
        <v>2</v>
      </c>
    </row>
    <row r="26" spans="1:10" x14ac:dyDescent="0.15">
      <c r="A26" t="s">
        <v>610</v>
      </c>
      <c r="B26" t="s">
        <v>175</v>
      </c>
      <c r="C26">
        <v>3</v>
      </c>
      <c r="D26" t="str">
        <f t="shared" si="0"/>
        <v>T3_低</v>
      </c>
      <c r="E26" t="str">
        <f t="shared" si="1"/>
        <v>T3_低_3</v>
      </c>
      <c r="F26">
        <v>24</v>
      </c>
      <c r="G26">
        <v>22500</v>
      </c>
      <c r="H26">
        <f t="shared" si="5"/>
        <v>60</v>
      </c>
      <c r="I26">
        <f t="shared" si="3"/>
        <v>44650</v>
      </c>
      <c r="J26">
        <f t="shared" si="4"/>
        <v>3</v>
      </c>
    </row>
    <row r="27" spans="1:10" x14ac:dyDescent="0.15">
      <c r="A27" t="s">
        <v>610</v>
      </c>
      <c r="B27" t="s">
        <v>175</v>
      </c>
      <c r="C27">
        <v>4</v>
      </c>
      <c r="D27" t="str">
        <f t="shared" si="0"/>
        <v>T3_低</v>
      </c>
      <c r="E27" t="str">
        <f t="shared" si="1"/>
        <v>T3_低_4</v>
      </c>
      <c r="F27">
        <v>30</v>
      </c>
      <c r="G27">
        <v>29900</v>
      </c>
      <c r="H27">
        <f t="shared" si="5"/>
        <v>90</v>
      </c>
      <c r="I27">
        <f t="shared" si="3"/>
        <v>74550</v>
      </c>
      <c r="J27">
        <f t="shared" si="4"/>
        <v>4</v>
      </c>
    </row>
    <row r="28" spans="1:10" x14ac:dyDescent="0.15">
      <c r="A28" t="s">
        <v>610</v>
      </c>
      <c r="B28" t="s">
        <v>175</v>
      </c>
      <c r="C28">
        <v>5</v>
      </c>
      <c r="D28" t="str">
        <f t="shared" si="0"/>
        <v>T3_低</v>
      </c>
      <c r="E28" t="str">
        <f t="shared" si="1"/>
        <v>T3_低_5</v>
      </c>
      <c r="F28">
        <v>50</v>
      </c>
      <c r="G28">
        <v>37300</v>
      </c>
      <c r="H28">
        <f t="shared" si="5"/>
        <v>140</v>
      </c>
      <c r="I28">
        <f t="shared" si="3"/>
        <v>111850</v>
      </c>
      <c r="J28">
        <f t="shared" si="4"/>
        <v>5</v>
      </c>
    </row>
    <row r="29" spans="1:10" x14ac:dyDescent="0.15">
      <c r="A29" t="s">
        <v>610</v>
      </c>
      <c r="B29" t="s">
        <v>175</v>
      </c>
      <c r="C29">
        <v>6</v>
      </c>
      <c r="D29" t="str">
        <f t="shared" si="0"/>
        <v>T3_低</v>
      </c>
      <c r="E29" t="str">
        <f t="shared" si="1"/>
        <v>T3_低_6</v>
      </c>
      <c r="F29">
        <v>50</v>
      </c>
      <c r="G29">
        <v>44600</v>
      </c>
      <c r="H29">
        <f t="shared" si="5"/>
        <v>190</v>
      </c>
      <c r="I29">
        <f t="shared" si="3"/>
        <v>156450</v>
      </c>
      <c r="J29">
        <f t="shared" si="4"/>
        <v>6</v>
      </c>
    </row>
    <row r="30" spans="1:10" x14ac:dyDescent="0.15">
      <c r="A30" t="s">
        <v>610</v>
      </c>
      <c r="B30" t="s">
        <v>175</v>
      </c>
      <c r="C30">
        <v>7</v>
      </c>
      <c r="D30" t="str">
        <f t="shared" si="0"/>
        <v>T3_低</v>
      </c>
      <c r="E30" t="str">
        <f t="shared" si="1"/>
        <v>T3_低_7</v>
      </c>
      <c r="F30">
        <v>50</v>
      </c>
      <c r="G30">
        <v>52400</v>
      </c>
      <c r="H30">
        <f t="shared" si="5"/>
        <v>240</v>
      </c>
      <c r="I30">
        <f t="shared" si="3"/>
        <v>208850</v>
      </c>
      <c r="J30">
        <f t="shared" si="4"/>
        <v>7</v>
      </c>
    </row>
    <row r="31" spans="1:10" x14ac:dyDescent="0.15">
      <c r="A31" t="s">
        <v>610</v>
      </c>
      <c r="B31" t="s">
        <v>175</v>
      </c>
      <c r="C31">
        <v>8</v>
      </c>
      <c r="D31" t="str">
        <f t="shared" si="0"/>
        <v>T3_低</v>
      </c>
      <c r="E31" t="str">
        <f t="shared" si="1"/>
        <v>T3_低_8</v>
      </c>
      <c r="F31">
        <v>50</v>
      </c>
      <c r="G31">
        <v>59800</v>
      </c>
      <c r="H31">
        <f t="shared" si="5"/>
        <v>290</v>
      </c>
      <c r="I31">
        <f t="shared" si="3"/>
        <v>268650</v>
      </c>
      <c r="J31">
        <f t="shared" si="4"/>
        <v>8</v>
      </c>
    </row>
    <row r="32" spans="1:10" x14ac:dyDescent="0.15">
      <c r="A32" t="s">
        <v>610</v>
      </c>
      <c r="B32" t="s">
        <v>175</v>
      </c>
      <c r="C32">
        <v>9</v>
      </c>
      <c r="D32" t="str">
        <f t="shared" si="0"/>
        <v>T3_低</v>
      </c>
      <c r="E32" t="str">
        <f t="shared" si="1"/>
        <v>T3_低_9</v>
      </c>
      <c r="F32">
        <v>50</v>
      </c>
      <c r="G32">
        <v>67200</v>
      </c>
      <c r="H32">
        <f t="shared" si="5"/>
        <v>340</v>
      </c>
      <c r="I32">
        <f t="shared" si="3"/>
        <v>335850</v>
      </c>
      <c r="J32">
        <f t="shared" si="4"/>
        <v>9</v>
      </c>
    </row>
    <row r="33" spans="1:10" x14ac:dyDescent="0.15">
      <c r="A33" t="s">
        <v>610</v>
      </c>
      <c r="B33" t="s">
        <v>175</v>
      </c>
      <c r="C33">
        <v>10</v>
      </c>
      <c r="D33" t="str">
        <f t="shared" si="0"/>
        <v>T3_低</v>
      </c>
      <c r="E33" t="str">
        <f t="shared" si="1"/>
        <v>T3_低_10</v>
      </c>
      <c r="F33">
        <v>50</v>
      </c>
      <c r="G33">
        <v>0</v>
      </c>
      <c r="H33">
        <f t="shared" si="5"/>
        <v>390</v>
      </c>
      <c r="I33">
        <f t="shared" si="3"/>
        <v>335850</v>
      </c>
      <c r="J33">
        <f t="shared" si="4"/>
        <v>10</v>
      </c>
    </row>
    <row r="34" spans="1:10" x14ac:dyDescent="0.15">
      <c r="A34" t="s">
        <v>610</v>
      </c>
      <c r="B34" t="s">
        <v>177</v>
      </c>
      <c r="C34">
        <v>1</v>
      </c>
      <c r="D34" t="str">
        <f t="shared" si="0"/>
        <v>T3_中</v>
      </c>
      <c r="E34" t="str">
        <f t="shared" si="1"/>
        <v>T3_中_1</v>
      </c>
      <c r="F34">
        <v>18</v>
      </c>
      <c r="G34">
        <v>12350</v>
      </c>
      <c r="H34">
        <f t="shared" si="5"/>
        <v>18</v>
      </c>
      <c r="I34">
        <f t="shared" si="3"/>
        <v>12350</v>
      </c>
      <c r="J34">
        <f t="shared" si="4"/>
        <v>1</v>
      </c>
    </row>
    <row r="35" spans="1:10" x14ac:dyDescent="0.15">
      <c r="A35" t="s">
        <v>610</v>
      </c>
      <c r="B35" t="s">
        <v>177</v>
      </c>
      <c r="C35">
        <v>2</v>
      </c>
      <c r="D35" t="str">
        <f t="shared" si="0"/>
        <v>T3_中</v>
      </c>
      <c r="E35" t="str">
        <f t="shared" si="1"/>
        <v>T3_中_2</v>
      </c>
      <c r="F35">
        <v>18</v>
      </c>
      <c r="G35">
        <v>24600</v>
      </c>
      <c r="H35">
        <f t="shared" si="5"/>
        <v>36</v>
      </c>
      <c r="I35">
        <f t="shared" si="3"/>
        <v>36950</v>
      </c>
      <c r="J35">
        <f t="shared" si="4"/>
        <v>2</v>
      </c>
    </row>
    <row r="36" spans="1:10" x14ac:dyDescent="0.15">
      <c r="A36" t="s">
        <v>610</v>
      </c>
      <c r="B36" t="s">
        <v>177</v>
      </c>
      <c r="C36">
        <v>3</v>
      </c>
      <c r="D36" t="str">
        <f t="shared" si="0"/>
        <v>T3_中</v>
      </c>
      <c r="E36" t="str">
        <f t="shared" si="1"/>
        <v>T3_中_3</v>
      </c>
      <c r="F36">
        <v>24</v>
      </c>
      <c r="G36">
        <v>37600</v>
      </c>
      <c r="H36">
        <f t="shared" si="5"/>
        <v>60</v>
      </c>
      <c r="I36">
        <f t="shared" si="3"/>
        <v>74550</v>
      </c>
      <c r="J36">
        <f t="shared" si="4"/>
        <v>3</v>
      </c>
    </row>
    <row r="37" spans="1:10" x14ac:dyDescent="0.15">
      <c r="A37" t="s">
        <v>610</v>
      </c>
      <c r="B37" t="s">
        <v>177</v>
      </c>
      <c r="C37">
        <v>4</v>
      </c>
      <c r="D37" t="str">
        <f t="shared" si="0"/>
        <v>T3_中</v>
      </c>
      <c r="E37" t="str">
        <f t="shared" si="1"/>
        <v>T3_中_4</v>
      </c>
      <c r="F37">
        <v>30</v>
      </c>
      <c r="G37">
        <v>50000</v>
      </c>
      <c r="H37">
        <f t="shared" si="5"/>
        <v>90</v>
      </c>
      <c r="I37">
        <f t="shared" si="3"/>
        <v>124550</v>
      </c>
      <c r="J37">
        <f t="shared" si="4"/>
        <v>4</v>
      </c>
    </row>
    <row r="38" spans="1:10" x14ac:dyDescent="0.15">
      <c r="A38" t="s">
        <v>610</v>
      </c>
      <c r="B38" t="s">
        <v>177</v>
      </c>
      <c r="C38">
        <v>5</v>
      </c>
      <c r="D38" t="str">
        <f t="shared" si="0"/>
        <v>T3_中</v>
      </c>
      <c r="E38" t="str">
        <f t="shared" si="1"/>
        <v>T3_中_5</v>
      </c>
      <c r="F38">
        <v>50</v>
      </c>
      <c r="G38">
        <v>62300</v>
      </c>
      <c r="H38">
        <f t="shared" si="5"/>
        <v>140</v>
      </c>
      <c r="I38">
        <f t="shared" si="3"/>
        <v>186850</v>
      </c>
      <c r="J38">
        <f t="shared" si="4"/>
        <v>5</v>
      </c>
    </row>
    <row r="39" spans="1:10" x14ac:dyDescent="0.15">
      <c r="A39" t="s">
        <v>610</v>
      </c>
      <c r="B39" t="s">
        <v>177</v>
      </c>
      <c r="C39">
        <v>6</v>
      </c>
      <c r="D39" t="str">
        <f t="shared" si="0"/>
        <v>T3_中</v>
      </c>
      <c r="E39" t="str">
        <f t="shared" si="1"/>
        <v>T3_中_6</v>
      </c>
      <c r="F39">
        <v>50</v>
      </c>
      <c r="G39">
        <v>74600</v>
      </c>
      <c r="H39">
        <f t="shared" si="5"/>
        <v>190</v>
      </c>
      <c r="I39">
        <f t="shared" si="3"/>
        <v>261450</v>
      </c>
      <c r="J39">
        <f t="shared" si="4"/>
        <v>6</v>
      </c>
    </row>
    <row r="40" spans="1:10" x14ac:dyDescent="0.15">
      <c r="A40" t="s">
        <v>610</v>
      </c>
      <c r="B40" t="s">
        <v>177</v>
      </c>
      <c r="C40">
        <v>7</v>
      </c>
      <c r="D40" t="str">
        <f t="shared" si="0"/>
        <v>T3_中</v>
      </c>
      <c r="E40" t="str">
        <f t="shared" si="1"/>
        <v>T3_中_7</v>
      </c>
      <c r="F40">
        <v>50</v>
      </c>
      <c r="G40">
        <v>87600</v>
      </c>
      <c r="H40">
        <f t="shared" si="5"/>
        <v>240</v>
      </c>
      <c r="I40">
        <f t="shared" si="3"/>
        <v>349050</v>
      </c>
      <c r="J40">
        <f t="shared" si="4"/>
        <v>7</v>
      </c>
    </row>
    <row r="41" spans="1:10" x14ac:dyDescent="0.15">
      <c r="A41" t="s">
        <v>610</v>
      </c>
      <c r="B41" t="s">
        <v>177</v>
      </c>
      <c r="C41">
        <v>8</v>
      </c>
      <c r="D41" t="str">
        <f t="shared" si="0"/>
        <v>T3_中</v>
      </c>
      <c r="E41" t="str">
        <f t="shared" si="1"/>
        <v>T3_中_8</v>
      </c>
      <c r="F41">
        <v>50</v>
      </c>
      <c r="G41">
        <v>100000</v>
      </c>
      <c r="H41">
        <f t="shared" si="5"/>
        <v>290</v>
      </c>
      <c r="I41">
        <f t="shared" si="3"/>
        <v>449050</v>
      </c>
      <c r="J41">
        <f t="shared" si="4"/>
        <v>8</v>
      </c>
    </row>
    <row r="42" spans="1:10" x14ac:dyDescent="0.15">
      <c r="A42" t="s">
        <v>610</v>
      </c>
      <c r="B42" t="s">
        <v>177</v>
      </c>
      <c r="C42">
        <v>9</v>
      </c>
      <c r="D42" t="str">
        <f t="shared" si="0"/>
        <v>T3_中</v>
      </c>
      <c r="E42" t="str">
        <f t="shared" si="1"/>
        <v>T3_中_9</v>
      </c>
      <c r="F42">
        <v>50</v>
      </c>
      <c r="G42">
        <v>112300</v>
      </c>
      <c r="H42">
        <f t="shared" si="5"/>
        <v>340</v>
      </c>
      <c r="I42">
        <f t="shared" si="3"/>
        <v>561350</v>
      </c>
      <c r="J42">
        <f t="shared" si="4"/>
        <v>9</v>
      </c>
    </row>
    <row r="43" spans="1:10" x14ac:dyDescent="0.15">
      <c r="A43" t="s">
        <v>610</v>
      </c>
      <c r="B43" t="s">
        <v>177</v>
      </c>
      <c r="C43">
        <v>10</v>
      </c>
      <c r="D43" t="str">
        <f t="shared" si="0"/>
        <v>T3_中</v>
      </c>
      <c r="E43" t="str">
        <f t="shared" si="1"/>
        <v>T3_中_10</v>
      </c>
      <c r="F43">
        <v>50</v>
      </c>
      <c r="G43">
        <v>0</v>
      </c>
      <c r="H43">
        <f t="shared" si="5"/>
        <v>390</v>
      </c>
      <c r="I43">
        <f t="shared" si="3"/>
        <v>561350</v>
      </c>
      <c r="J43">
        <f t="shared" si="4"/>
        <v>10</v>
      </c>
    </row>
    <row r="44" spans="1:10" x14ac:dyDescent="0.15">
      <c r="A44" t="s">
        <v>610</v>
      </c>
      <c r="B44" t="s">
        <v>176</v>
      </c>
      <c r="C44">
        <v>1</v>
      </c>
      <c r="D44" t="str">
        <f t="shared" si="0"/>
        <v>T3_高</v>
      </c>
      <c r="E44" t="str">
        <f t="shared" si="1"/>
        <v>T3_高_1</v>
      </c>
      <c r="F44">
        <v>18</v>
      </c>
      <c r="G44">
        <v>18800</v>
      </c>
      <c r="H44">
        <f t="shared" si="5"/>
        <v>18</v>
      </c>
      <c r="I44">
        <f t="shared" si="3"/>
        <v>18800</v>
      </c>
      <c r="J44">
        <f t="shared" si="4"/>
        <v>1</v>
      </c>
    </row>
    <row r="45" spans="1:10" x14ac:dyDescent="0.15">
      <c r="A45" t="s">
        <v>610</v>
      </c>
      <c r="B45" t="s">
        <v>176</v>
      </c>
      <c r="C45">
        <v>2</v>
      </c>
      <c r="D45" t="str">
        <f t="shared" si="0"/>
        <v>T3_高</v>
      </c>
      <c r="E45" t="str">
        <f t="shared" si="1"/>
        <v>T3_高_2</v>
      </c>
      <c r="F45">
        <v>18</v>
      </c>
      <c r="G45">
        <v>37500</v>
      </c>
      <c r="H45">
        <f t="shared" si="5"/>
        <v>36</v>
      </c>
      <c r="I45">
        <f t="shared" si="3"/>
        <v>56300</v>
      </c>
      <c r="J45">
        <f t="shared" si="4"/>
        <v>2</v>
      </c>
    </row>
    <row r="46" spans="1:10" x14ac:dyDescent="0.15">
      <c r="A46" t="s">
        <v>610</v>
      </c>
      <c r="B46" t="s">
        <v>176</v>
      </c>
      <c r="C46">
        <v>3</v>
      </c>
      <c r="D46" t="str">
        <f t="shared" si="0"/>
        <v>T3_高</v>
      </c>
      <c r="E46" t="str">
        <f t="shared" si="1"/>
        <v>T3_高_3</v>
      </c>
      <c r="F46">
        <v>24</v>
      </c>
      <c r="G46">
        <v>57200</v>
      </c>
      <c r="H46">
        <f t="shared" si="5"/>
        <v>60</v>
      </c>
      <c r="I46">
        <f t="shared" si="3"/>
        <v>113500</v>
      </c>
      <c r="J46">
        <f t="shared" si="4"/>
        <v>3</v>
      </c>
    </row>
    <row r="47" spans="1:10" x14ac:dyDescent="0.15">
      <c r="A47" t="s">
        <v>610</v>
      </c>
      <c r="B47" t="s">
        <v>176</v>
      </c>
      <c r="C47">
        <v>4</v>
      </c>
      <c r="D47" t="str">
        <f t="shared" si="0"/>
        <v>T3_高</v>
      </c>
      <c r="E47" t="str">
        <f t="shared" si="1"/>
        <v>T3_高_4</v>
      </c>
      <c r="F47">
        <v>30</v>
      </c>
      <c r="G47">
        <v>76000</v>
      </c>
      <c r="H47">
        <f t="shared" si="5"/>
        <v>90</v>
      </c>
      <c r="I47">
        <f t="shared" si="3"/>
        <v>189500</v>
      </c>
      <c r="J47">
        <f t="shared" si="4"/>
        <v>4</v>
      </c>
    </row>
    <row r="48" spans="1:10" x14ac:dyDescent="0.15">
      <c r="A48" t="s">
        <v>610</v>
      </c>
      <c r="B48" t="s">
        <v>176</v>
      </c>
      <c r="C48">
        <v>5</v>
      </c>
      <c r="D48" t="str">
        <f t="shared" si="0"/>
        <v>T3_高</v>
      </c>
      <c r="E48" t="str">
        <f t="shared" si="1"/>
        <v>T3_高_5</v>
      </c>
      <c r="F48">
        <v>50</v>
      </c>
      <c r="G48">
        <v>94800</v>
      </c>
      <c r="H48">
        <f t="shared" si="5"/>
        <v>140</v>
      </c>
      <c r="I48">
        <f t="shared" si="3"/>
        <v>284300</v>
      </c>
      <c r="J48">
        <f t="shared" si="4"/>
        <v>5</v>
      </c>
    </row>
    <row r="49" spans="1:10" x14ac:dyDescent="0.15">
      <c r="A49" t="s">
        <v>610</v>
      </c>
      <c r="B49" t="s">
        <v>176</v>
      </c>
      <c r="C49">
        <v>6</v>
      </c>
      <c r="D49" t="str">
        <f t="shared" si="0"/>
        <v>T3_高</v>
      </c>
      <c r="E49" t="str">
        <f t="shared" si="1"/>
        <v>T3_高_6</v>
      </c>
      <c r="F49">
        <v>50</v>
      </c>
      <c r="G49">
        <v>113600</v>
      </c>
      <c r="H49">
        <f t="shared" si="5"/>
        <v>190</v>
      </c>
      <c r="I49">
        <f t="shared" si="3"/>
        <v>397900</v>
      </c>
      <c r="J49">
        <f t="shared" si="4"/>
        <v>6</v>
      </c>
    </row>
    <row r="50" spans="1:10" x14ac:dyDescent="0.15">
      <c r="A50" t="s">
        <v>610</v>
      </c>
      <c r="B50" t="s">
        <v>176</v>
      </c>
      <c r="C50">
        <v>7</v>
      </c>
      <c r="D50" t="str">
        <f t="shared" si="0"/>
        <v>T3_高</v>
      </c>
      <c r="E50" t="str">
        <f t="shared" si="1"/>
        <v>T3_高_7</v>
      </c>
      <c r="F50">
        <v>50</v>
      </c>
      <c r="G50">
        <v>133000</v>
      </c>
      <c r="H50">
        <f t="shared" si="5"/>
        <v>240</v>
      </c>
      <c r="I50">
        <f t="shared" si="3"/>
        <v>530900</v>
      </c>
      <c r="J50">
        <f t="shared" si="4"/>
        <v>7</v>
      </c>
    </row>
    <row r="51" spans="1:10" x14ac:dyDescent="0.15">
      <c r="A51" t="s">
        <v>610</v>
      </c>
      <c r="B51" t="s">
        <v>176</v>
      </c>
      <c r="C51">
        <v>8</v>
      </c>
      <c r="D51" t="str">
        <f t="shared" si="0"/>
        <v>T3_高</v>
      </c>
      <c r="E51" t="str">
        <f t="shared" si="1"/>
        <v>T3_高_8</v>
      </c>
      <c r="F51">
        <v>50</v>
      </c>
      <c r="G51">
        <v>152000</v>
      </c>
      <c r="H51">
        <f t="shared" si="5"/>
        <v>290</v>
      </c>
      <c r="I51">
        <f t="shared" si="3"/>
        <v>682900</v>
      </c>
      <c r="J51">
        <f t="shared" si="4"/>
        <v>8</v>
      </c>
    </row>
    <row r="52" spans="1:10" x14ac:dyDescent="0.15">
      <c r="A52" t="s">
        <v>610</v>
      </c>
      <c r="B52" t="s">
        <v>176</v>
      </c>
      <c r="C52">
        <v>9</v>
      </c>
      <c r="D52" t="str">
        <f t="shared" si="0"/>
        <v>T3_高</v>
      </c>
      <c r="E52" t="str">
        <f t="shared" si="1"/>
        <v>T3_高_9</v>
      </c>
      <c r="F52">
        <v>50</v>
      </c>
      <c r="G52">
        <v>170000</v>
      </c>
      <c r="H52">
        <f t="shared" si="5"/>
        <v>340</v>
      </c>
      <c r="I52">
        <f t="shared" si="3"/>
        <v>852900</v>
      </c>
      <c r="J52">
        <f t="shared" si="4"/>
        <v>9</v>
      </c>
    </row>
    <row r="53" spans="1:10" x14ac:dyDescent="0.15">
      <c r="A53" t="s">
        <v>610</v>
      </c>
      <c r="B53" t="s">
        <v>176</v>
      </c>
      <c r="C53">
        <v>10</v>
      </c>
      <c r="D53" t="str">
        <f t="shared" si="0"/>
        <v>T3_高</v>
      </c>
      <c r="E53" t="str">
        <f t="shared" si="1"/>
        <v>T3_高_10</v>
      </c>
      <c r="F53">
        <v>50</v>
      </c>
      <c r="G53">
        <v>0</v>
      </c>
      <c r="H53">
        <f t="shared" si="5"/>
        <v>390</v>
      </c>
      <c r="I53">
        <f t="shared" si="3"/>
        <v>852900</v>
      </c>
      <c r="J53">
        <f t="shared" si="4"/>
        <v>10</v>
      </c>
    </row>
    <row r="54" spans="1:10" x14ac:dyDescent="0.15">
      <c r="A54" t="s">
        <v>617</v>
      </c>
      <c r="B54" t="s">
        <v>175</v>
      </c>
      <c r="C54">
        <v>1</v>
      </c>
      <c r="D54" t="str">
        <f t="shared" si="0"/>
        <v>T4_低</v>
      </c>
      <c r="E54" t="str">
        <f t="shared" si="1"/>
        <v>T4_低_1</v>
      </c>
      <c r="F54">
        <v>30</v>
      </c>
      <c r="G54">
        <v>24100</v>
      </c>
      <c r="H54">
        <f t="shared" si="5"/>
        <v>30</v>
      </c>
      <c r="I54">
        <f t="shared" si="3"/>
        <v>24100</v>
      </c>
      <c r="J54">
        <f t="shared" si="4"/>
        <v>1</v>
      </c>
    </row>
    <row r="55" spans="1:10" x14ac:dyDescent="0.15">
      <c r="A55" t="s">
        <v>617</v>
      </c>
      <c r="B55" t="s">
        <v>175</v>
      </c>
      <c r="C55">
        <v>2</v>
      </c>
      <c r="D55" t="str">
        <f t="shared" si="0"/>
        <v>T4_低</v>
      </c>
      <c r="E55" t="str">
        <f t="shared" si="1"/>
        <v>T4_低_2</v>
      </c>
      <c r="F55">
        <v>30</v>
      </c>
      <c r="G55">
        <v>48400</v>
      </c>
      <c r="H55">
        <f t="shared" si="5"/>
        <v>60</v>
      </c>
      <c r="I55">
        <f t="shared" si="3"/>
        <v>72500</v>
      </c>
      <c r="J55">
        <f t="shared" si="4"/>
        <v>2</v>
      </c>
    </row>
    <row r="56" spans="1:10" x14ac:dyDescent="0.15">
      <c r="A56" t="s">
        <v>617</v>
      </c>
      <c r="B56" t="s">
        <v>175</v>
      </c>
      <c r="C56">
        <v>3</v>
      </c>
      <c r="D56" t="str">
        <f t="shared" si="0"/>
        <v>T4_低</v>
      </c>
      <c r="E56" t="str">
        <f t="shared" si="1"/>
        <v>T4_低_3</v>
      </c>
      <c r="F56">
        <v>40</v>
      </c>
      <c r="G56">
        <v>72600</v>
      </c>
      <c r="H56">
        <f t="shared" si="5"/>
        <v>100</v>
      </c>
      <c r="I56">
        <f t="shared" si="3"/>
        <v>145100</v>
      </c>
      <c r="J56">
        <f t="shared" si="4"/>
        <v>3</v>
      </c>
    </row>
    <row r="57" spans="1:10" x14ac:dyDescent="0.15">
      <c r="A57" t="s">
        <v>617</v>
      </c>
      <c r="B57" t="s">
        <v>175</v>
      </c>
      <c r="C57">
        <v>4</v>
      </c>
      <c r="D57" t="str">
        <f t="shared" si="0"/>
        <v>T4_低</v>
      </c>
      <c r="E57" t="str">
        <f t="shared" si="1"/>
        <v>T4_低_4</v>
      </c>
      <c r="F57">
        <v>50</v>
      </c>
      <c r="G57">
        <v>98400</v>
      </c>
      <c r="H57">
        <f t="shared" si="5"/>
        <v>150</v>
      </c>
      <c r="I57">
        <f t="shared" si="3"/>
        <v>243500</v>
      </c>
      <c r="J57">
        <f t="shared" si="4"/>
        <v>4</v>
      </c>
    </row>
    <row r="58" spans="1:10" x14ac:dyDescent="0.15">
      <c r="A58" t="s">
        <v>617</v>
      </c>
      <c r="B58" t="s">
        <v>175</v>
      </c>
      <c r="C58">
        <v>5</v>
      </c>
      <c r="D58" t="str">
        <f t="shared" si="0"/>
        <v>T4_低</v>
      </c>
      <c r="E58" t="str">
        <f t="shared" si="1"/>
        <v>T4_低_5</v>
      </c>
      <c r="F58">
        <v>50</v>
      </c>
      <c r="G58">
        <v>122600</v>
      </c>
      <c r="H58">
        <f t="shared" si="5"/>
        <v>200</v>
      </c>
      <c r="I58">
        <f t="shared" si="3"/>
        <v>366100</v>
      </c>
      <c r="J58">
        <f t="shared" si="4"/>
        <v>5</v>
      </c>
    </row>
    <row r="59" spans="1:10" x14ac:dyDescent="0.15">
      <c r="A59" t="s">
        <v>617</v>
      </c>
      <c r="B59" t="s">
        <v>175</v>
      </c>
      <c r="C59">
        <v>6</v>
      </c>
      <c r="D59" t="str">
        <f t="shared" si="0"/>
        <v>T4_低</v>
      </c>
      <c r="E59" t="str">
        <f t="shared" si="1"/>
        <v>T4_低_6</v>
      </c>
      <c r="F59">
        <v>80</v>
      </c>
      <c r="G59">
        <v>146000</v>
      </c>
      <c r="H59">
        <f t="shared" si="5"/>
        <v>280</v>
      </c>
      <c r="I59">
        <f t="shared" si="3"/>
        <v>512100</v>
      </c>
      <c r="J59">
        <f t="shared" si="4"/>
        <v>6</v>
      </c>
    </row>
    <row r="60" spans="1:10" x14ac:dyDescent="0.15">
      <c r="A60" t="s">
        <v>617</v>
      </c>
      <c r="B60" t="s">
        <v>175</v>
      </c>
      <c r="C60">
        <v>7</v>
      </c>
      <c r="D60" t="str">
        <f t="shared" si="0"/>
        <v>T4_低</v>
      </c>
      <c r="E60" t="str">
        <f t="shared" si="1"/>
        <v>T4_低_7</v>
      </c>
      <c r="F60">
        <v>80</v>
      </c>
      <c r="G60">
        <v>171000</v>
      </c>
      <c r="H60">
        <f t="shared" si="5"/>
        <v>360</v>
      </c>
      <c r="I60">
        <f t="shared" si="3"/>
        <v>683100</v>
      </c>
      <c r="J60">
        <f t="shared" si="4"/>
        <v>7</v>
      </c>
    </row>
    <row r="61" spans="1:10" x14ac:dyDescent="0.15">
      <c r="A61" t="s">
        <v>617</v>
      </c>
      <c r="B61" t="s">
        <v>175</v>
      </c>
      <c r="C61">
        <v>8</v>
      </c>
      <c r="D61" t="str">
        <f t="shared" si="0"/>
        <v>T4_低</v>
      </c>
      <c r="E61" t="str">
        <f t="shared" si="1"/>
        <v>T4_低_8</v>
      </c>
      <c r="F61">
        <v>80</v>
      </c>
      <c r="G61">
        <v>195000</v>
      </c>
      <c r="H61">
        <f t="shared" si="5"/>
        <v>440</v>
      </c>
      <c r="I61">
        <f t="shared" si="3"/>
        <v>878100</v>
      </c>
      <c r="J61">
        <f t="shared" si="4"/>
        <v>8</v>
      </c>
    </row>
    <row r="62" spans="1:10" x14ac:dyDescent="0.15">
      <c r="A62" t="s">
        <v>617</v>
      </c>
      <c r="B62" t="s">
        <v>175</v>
      </c>
      <c r="C62">
        <v>9</v>
      </c>
      <c r="D62" t="str">
        <f t="shared" si="0"/>
        <v>T4_低</v>
      </c>
      <c r="E62" t="str">
        <f t="shared" si="1"/>
        <v>T4_低_9</v>
      </c>
      <c r="F62">
        <v>80</v>
      </c>
      <c r="G62">
        <v>219000</v>
      </c>
      <c r="H62">
        <f t="shared" si="5"/>
        <v>520</v>
      </c>
      <c r="I62">
        <f t="shared" si="3"/>
        <v>1097100</v>
      </c>
      <c r="J62">
        <f t="shared" si="4"/>
        <v>9</v>
      </c>
    </row>
    <row r="63" spans="1:10" x14ac:dyDescent="0.15">
      <c r="A63" t="s">
        <v>617</v>
      </c>
      <c r="B63" t="s">
        <v>175</v>
      </c>
      <c r="C63">
        <v>10</v>
      </c>
      <c r="D63" t="str">
        <f t="shared" si="0"/>
        <v>T4_低</v>
      </c>
      <c r="E63" t="str">
        <f t="shared" si="1"/>
        <v>T4_低_10</v>
      </c>
      <c r="F63">
        <v>80</v>
      </c>
      <c r="G63">
        <v>245000</v>
      </c>
      <c r="H63">
        <f t="shared" si="5"/>
        <v>600</v>
      </c>
      <c r="I63">
        <f t="shared" si="3"/>
        <v>1342100</v>
      </c>
      <c r="J63">
        <f t="shared" si="4"/>
        <v>10</v>
      </c>
    </row>
    <row r="64" spans="1:10" x14ac:dyDescent="0.15">
      <c r="A64" t="s">
        <v>617</v>
      </c>
      <c r="B64" t="s">
        <v>175</v>
      </c>
      <c r="C64">
        <v>11</v>
      </c>
      <c r="D64" t="str">
        <f t="shared" si="0"/>
        <v>T4_低</v>
      </c>
      <c r="E64" t="str">
        <f t="shared" si="1"/>
        <v>T4_低_11</v>
      </c>
      <c r="F64">
        <v>80</v>
      </c>
      <c r="G64">
        <v>269000</v>
      </c>
      <c r="H64">
        <f t="shared" si="5"/>
        <v>680</v>
      </c>
      <c r="I64">
        <f t="shared" si="3"/>
        <v>1611100</v>
      </c>
      <c r="J64">
        <f t="shared" si="4"/>
        <v>11</v>
      </c>
    </row>
    <row r="65" spans="1:10" x14ac:dyDescent="0.15">
      <c r="A65" t="s">
        <v>617</v>
      </c>
      <c r="B65" t="s">
        <v>175</v>
      </c>
      <c r="C65">
        <v>12</v>
      </c>
      <c r="D65" t="str">
        <f t="shared" si="0"/>
        <v>T4_低</v>
      </c>
      <c r="E65" t="str">
        <f t="shared" si="1"/>
        <v>T4_低_12</v>
      </c>
      <c r="F65">
        <v>80</v>
      </c>
      <c r="G65">
        <v>0</v>
      </c>
      <c r="H65">
        <f t="shared" si="5"/>
        <v>760</v>
      </c>
      <c r="I65">
        <f t="shared" si="3"/>
        <v>1611100</v>
      </c>
      <c r="J65">
        <f t="shared" si="4"/>
        <v>12</v>
      </c>
    </row>
    <row r="66" spans="1:10" x14ac:dyDescent="0.15">
      <c r="A66" t="s">
        <v>617</v>
      </c>
      <c r="B66" t="s">
        <v>177</v>
      </c>
      <c r="C66">
        <v>1</v>
      </c>
      <c r="D66" t="str">
        <f t="shared" si="0"/>
        <v>T4_中</v>
      </c>
      <c r="E66" t="str">
        <f t="shared" si="1"/>
        <v>T4_中_1</v>
      </c>
      <c r="F66">
        <v>30</v>
      </c>
      <c r="G66">
        <v>39000</v>
      </c>
      <c r="H66">
        <f t="shared" si="5"/>
        <v>30</v>
      </c>
      <c r="I66">
        <f t="shared" si="3"/>
        <v>39000</v>
      </c>
      <c r="J66">
        <f t="shared" si="4"/>
        <v>1</v>
      </c>
    </row>
    <row r="67" spans="1:10" x14ac:dyDescent="0.15">
      <c r="A67" t="s">
        <v>617</v>
      </c>
      <c r="B67" t="s">
        <v>177</v>
      </c>
      <c r="C67">
        <v>2</v>
      </c>
      <c r="D67" t="str">
        <f t="shared" ref="D67:D103" si="6">A67&amp;"_"&amp;B67</f>
        <v>T4_中</v>
      </c>
      <c r="E67" t="str">
        <f t="shared" ref="E67:E103" si="7">A67&amp;"_"&amp;B67&amp;"_"&amp;C67</f>
        <v>T4_中_2</v>
      </c>
      <c r="F67">
        <v>30</v>
      </c>
      <c r="G67">
        <v>77900</v>
      </c>
      <c r="H67">
        <f t="shared" si="5"/>
        <v>60</v>
      </c>
      <c r="I67">
        <f t="shared" ref="I67:I103" si="8">IF(C67=1,G67,G67+I66)</f>
        <v>116900</v>
      </c>
      <c r="J67">
        <f t="shared" ref="J67:J103" si="9">C67</f>
        <v>2</v>
      </c>
    </row>
    <row r="68" spans="1:10" x14ac:dyDescent="0.15">
      <c r="A68" t="s">
        <v>617</v>
      </c>
      <c r="B68" t="s">
        <v>177</v>
      </c>
      <c r="C68">
        <v>3</v>
      </c>
      <c r="D68" t="str">
        <f t="shared" si="6"/>
        <v>T4_中</v>
      </c>
      <c r="E68" t="str">
        <f t="shared" si="7"/>
        <v>T4_中_3</v>
      </c>
      <c r="F68">
        <v>40</v>
      </c>
      <c r="G68">
        <v>116900</v>
      </c>
      <c r="H68">
        <f t="shared" si="5"/>
        <v>100</v>
      </c>
      <c r="I68">
        <f t="shared" si="8"/>
        <v>233800</v>
      </c>
      <c r="J68">
        <f t="shared" si="9"/>
        <v>3</v>
      </c>
    </row>
    <row r="69" spans="1:10" x14ac:dyDescent="0.15">
      <c r="A69" t="s">
        <v>617</v>
      </c>
      <c r="B69" t="s">
        <v>177</v>
      </c>
      <c r="C69">
        <v>4</v>
      </c>
      <c r="D69" t="str">
        <f t="shared" si="6"/>
        <v>T4_中</v>
      </c>
      <c r="E69" t="str">
        <f t="shared" si="7"/>
        <v>T4_中_4</v>
      </c>
      <c r="F69">
        <v>50</v>
      </c>
      <c r="G69">
        <v>158000</v>
      </c>
      <c r="H69">
        <f t="shared" si="5"/>
        <v>150</v>
      </c>
      <c r="I69">
        <f t="shared" si="8"/>
        <v>391800</v>
      </c>
      <c r="J69">
        <f t="shared" si="9"/>
        <v>4</v>
      </c>
    </row>
    <row r="70" spans="1:10" x14ac:dyDescent="0.15">
      <c r="A70" t="s">
        <v>617</v>
      </c>
      <c r="B70" t="s">
        <v>177</v>
      </c>
      <c r="C70">
        <v>5</v>
      </c>
      <c r="D70" t="str">
        <f t="shared" si="6"/>
        <v>T4_中</v>
      </c>
      <c r="E70" t="str">
        <f t="shared" si="7"/>
        <v>T4_中_5</v>
      </c>
      <c r="F70">
        <v>50</v>
      </c>
      <c r="G70">
        <v>197000</v>
      </c>
      <c r="H70">
        <f t="shared" si="5"/>
        <v>200</v>
      </c>
      <c r="I70">
        <f t="shared" si="8"/>
        <v>588800</v>
      </c>
      <c r="J70">
        <f t="shared" si="9"/>
        <v>5</v>
      </c>
    </row>
    <row r="71" spans="1:10" x14ac:dyDescent="0.15">
      <c r="A71" t="s">
        <v>617</v>
      </c>
      <c r="B71" t="s">
        <v>177</v>
      </c>
      <c r="C71">
        <v>6</v>
      </c>
      <c r="D71" t="str">
        <f t="shared" si="6"/>
        <v>T4_中</v>
      </c>
      <c r="E71" t="str">
        <f t="shared" si="7"/>
        <v>T4_中_6</v>
      </c>
      <c r="F71">
        <v>80</v>
      </c>
      <c r="G71">
        <v>236000</v>
      </c>
      <c r="H71">
        <f t="shared" si="5"/>
        <v>280</v>
      </c>
      <c r="I71">
        <f t="shared" si="8"/>
        <v>824800</v>
      </c>
      <c r="J71">
        <f t="shared" si="9"/>
        <v>6</v>
      </c>
    </row>
    <row r="72" spans="1:10" x14ac:dyDescent="0.15">
      <c r="A72" t="s">
        <v>617</v>
      </c>
      <c r="B72" t="s">
        <v>177</v>
      </c>
      <c r="C72">
        <v>7</v>
      </c>
      <c r="D72" t="str">
        <f t="shared" si="6"/>
        <v>T4_中</v>
      </c>
      <c r="E72" t="str">
        <f t="shared" si="7"/>
        <v>T4_中_7</v>
      </c>
      <c r="F72">
        <v>80</v>
      </c>
      <c r="G72">
        <v>275000</v>
      </c>
      <c r="H72">
        <f t="shared" si="5"/>
        <v>360</v>
      </c>
      <c r="I72">
        <f t="shared" si="8"/>
        <v>1099800</v>
      </c>
      <c r="J72">
        <f t="shared" si="9"/>
        <v>7</v>
      </c>
    </row>
    <row r="73" spans="1:10" x14ac:dyDescent="0.15">
      <c r="A73" t="s">
        <v>617</v>
      </c>
      <c r="B73" t="s">
        <v>177</v>
      </c>
      <c r="C73">
        <v>8</v>
      </c>
      <c r="D73" t="str">
        <f t="shared" si="6"/>
        <v>T4_中</v>
      </c>
      <c r="E73" t="str">
        <f t="shared" si="7"/>
        <v>T4_中_8</v>
      </c>
      <c r="F73">
        <v>80</v>
      </c>
      <c r="G73">
        <v>314000</v>
      </c>
      <c r="H73">
        <f t="shared" ref="H73:H103" si="10">IF(C73=1,F73,F73+H72)</f>
        <v>440</v>
      </c>
      <c r="I73">
        <f t="shared" si="8"/>
        <v>1413800</v>
      </c>
      <c r="J73">
        <f t="shared" si="9"/>
        <v>8</v>
      </c>
    </row>
    <row r="74" spans="1:10" x14ac:dyDescent="0.15">
      <c r="A74" t="s">
        <v>617</v>
      </c>
      <c r="B74" t="s">
        <v>177</v>
      </c>
      <c r="C74">
        <v>9</v>
      </c>
      <c r="D74" t="str">
        <f t="shared" si="6"/>
        <v>T4_中</v>
      </c>
      <c r="E74" t="str">
        <f t="shared" si="7"/>
        <v>T4_中_9</v>
      </c>
      <c r="F74">
        <v>80</v>
      </c>
      <c r="G74">
        <v>353000</v>
      </c>
      <c r="H74">
        <f t="shared" si="10"/>
        <v>520</v>
      </c>
      <c r="I74">
        <f t="shared" si="8"/>
        <v>1766800</v>
      </c>
      <c r="J74">
        <f t="shared" si="9"/>
        <v>9</v>
      </c>
    </row>
    <row r="75" spans="1:10" x14ac:dyDescent="0.15">
      <c r="A75" t="s">
        <v>617</v>
      </c>
      <c r="B75" t="s">
        <v>177</v>
      </c>
      <c r="C75">
        <v>10</v>
      </c>
      <c r="D75" t="str">
        <f t="shared" si="6"/>
        <v>T4_中</v>
      </c>
      <c r="E75" t="str">
        <f t="shared" si="7"/>
        <v>T4_中_10</v>
      </c>
      <c r="F75">
        <v>80</v>
      </c>
      <c r="G75">
        <v>395000</v>
      </c>
      <c r="H75">
        <f t="shared" si="10"/>
        <v>600</v>
      </c>
      <c r="I75">
        <f t="shared" si="8"/>
        <v>2161800</v>
      </c>
      <c r="J75">
        <f t="shared" si="9"/>
        <v>10</v>
      </c>
    </row>
    <row r="76" spans="1:10" x14ac:dyDescent="0.15">
      <c r="A76" t="s">
        <v>617</v>
      </c>
      <c r="B76" t="s">
        <v>177</v>
      </c>
      <c r="C76">
        <v>11</v>
      </c>
      <c r="D76" t="str">
        <f t="shared" si="6"/>
        <v>T4_中</v>
      </c>
      <c r="E76" t="str">
        <f t="shared" si="7"/>
        <v>T4_中_11</v>
      </c>
      <c r="F76">
        <v>80</v>
      </c>
      <c r="G76">
        <v>434000</v>
      </c>
      <c r="H76">
        <f t="shared" si="10"/>
        <v>680</v>
      </c>
      <c r="I76">
        <f t="shared" si="8"/>
        <v>2595800</v>
      </c>
      <c r="J76">
        <f t="shared" si="9"/>
        <v>11</v>
      </c>
    </row>
    <row r="77" spans="1:10" x14ac:dyDescent="0.15">
      <c r="A77" t="s">
        <v>617</v>
      </c>
      <c r="B77" t="s">
        <v>177</v>
      </c>
      <c r="C77">
        <v>12</v>
      </c>
      <c r="D77" t="str">
        <f t="shared" si="6"/>
        <v>T4_中</v>
      </c>
      <c r="E77" t="str">
        <f t="shared" si="7"/>
        <v>T4_中_12</v>
      </c>
      <c r="F77">
        <v>80</v>
      </c>
      <c r="G77">
        <v>0</v>
      </c>
      <c r="H77">
        <f t="shared" si="10"/>
        <v>760</v>
      </c>
      <c r="I77">
        <f t="shared" si="8"/>
        <v>2595800</v>
      </c>
      <c r="J77">
        <f t="shared" si="9"/>
        <v>12</v>
      </c>
    </row>
    <row r="78" spans="1:10" x14ac:dyDescent="0.15">
      <c r="A78" t="s">
        <v>617</v>
      </c>
      <c r="B78" t="s">
        <v>176</v>
      </c>
      <c r="C78">
        <v>1</v>
      </c>
      <c r="D78" t="str">
        <f t="shared" si="6"/>
        <v>T4_高</v>
      </c>
      <c r="E78" t="str">
        <f t="shared" si="7"/>
        <v>T4_高_1</v>
      </c>
      <c r="F78">
        <v>30</v>
      </c>
      <c r="G78">
        <v>57000</v>
      </c>
      <c r="H78">
        <f t="shared" si="10"/>
        <v>30</v>
      </c>
      <c r="I78">
        <f t="shared" si="8"/>
        <v>57000</v>
      </c>
      <c r="J78">
        <f t="shared" si="9"/>
        <v>1</v>
      </c>
    </row>
    <row r="79" spans="1:10" x14ac:dyDescent="0.15">
      <c r="A79" t="s">
        <v>617</v>
      </c>
      <c r="B79" t="s">
        <v>176</v>
      </c>
      <c r="C79">
        <v>2</v>
      </c>
      <c r="D79" t="str">
        <f t="shared" si="6"/>
        <v>T4_高</v>
      </c>
      <c r="E79" t="str">
        <f t="shared" si="7"/>
        <v>T4_高_2</v>
      </c>
      <c r="F79">
        <v>30</v>
      </c>
      <c r="G79">
        <v>114000</v>
      </c>
      <c r="H79">
        <f t="shared" si="10"/>
        <v>60</v>
      </c>
      <c r="I79">
        <f t="shared" si="8"/>
        <v>171000</v>
      </c>
      <c r="J79">
        <f t="shared" si="9"/>
        <v>2</v>
      </c>
    </row>
    <row r="80" spans="1:10" x14ac:dyDescent="0.15">
      <c r="A80" t="s">
        <v>617</v>
      </c>
      <c r="B80" t="s">
        <v>176</v>
      </c>
      <c r="C80">
        <v>3</v>
      </c>
      <c r="D80" t="str">
        <f t="shared" si="6"/>
        <v>T4_高</v>
      </c>
      <c r="E80" t="str">
        <f t="shared" si="7"/>
        <v>T4_高_3</v>
      </c>
      <c r="F80">
        <v>40</v>
      </c>
      <c r="G80">
        <v>171000</v>
      </c>
      <c r="H80">
        <f t="shared" si="10"/>
        <v>100</v>
      </c>
      <c r="I80">
        <f t="shared" si="8"/>
        <v>342000</v>
      </c>
      <c r="J80">
        <f t="shared" si="9"/>
        <v>3</v>
      </c>
    </row>
    <row r="81" spans="1:10" x14ac:dyDescent="0.15">
      <c r="A81" t="s">
        <v>617</v>
      </c>
      <c r="B81" t="s">
        <v>176</v>
      </c>
      <c r="C81">
        <v>4</v>
      </c>
      <c r="D81" t="str">
        <f t="shared" si="6"/>
        <v>T4_高</v>
      </c>
      <c r="E81" t="str">
        <f t="shared" si="7"/>
        <v>T4_高_4</v>
      </c>
      <c r="F81">
        <v>50</v>
      </c>
      <c r="G81">
        <v>231000</v>
      </c>
      <c r="H81">
        <f t="shared" si="10"/>
        <v>150</v>
      </c>
      <c r="I81">
        <f t="shared" si="8"/>
        <v>573000</v>
      </c>
      <c r="J81">
        <f t="shared" si="9"/>
        <v>4</v>
      </c>
    </row>
    <row r="82" spans="1:10" x14ac:dyDescent="0.15">
      <c r="A82" t="s">
        <v>617</v>
      </c>
      <c r="B82" t="s">
        <v>176</v>
      </c>
      <c r="C82">
        <v>5</v>
      </c>
      <c r="D82" t="str">
        <f t="shared" si="6"/>
        <v>T4_高</v>
      </c>
      <c r="E82" t="str">
        <f t="shared" si="7"/>
        <v>T4_高_5</v>
      </c>
      <c r="F82">
        <v>50</v>
      </c>
      <c r="G82">
        <v>288000</v>
      </c>
      <c r="H82">
        <f t="shared" si="10"/>
        <v>200</v>
      </c>
      <c r="I82">
        <f t="shared" si="8"/>
        <v>861000</v>
      </c>
      <c r="J82">
        <f t="shared" si="9"/>
        <v>5</v>
      </c>
    </row>
    <row r="83" spans="1:10" x14ac:dyDescent="0.15">
      <c r="A83" t="s">
        <v>617</v>
      </c>
      <c r="B83" t="s">
        <v>176</v>
      </c>
      <c r="C83">
        <v>6</v>
      </c>
      <c r="D83" t="str">
        <f t="shared" si="6"/>
        <v>T4_高</v>
      </c>
      <c r="E83" t="str">
        <f t="shared" si="7"/>
        <v>T4_高_6</v>
      </c>
      <c r="F83">
        <v>80</v>
      </c>
      <c r="G83">
        <v>345000</v>
      </c>
      <c r="H83">
        <f t="shared" si="10"/>
        <v>280</v>
      </c>
      <c r="I83">
        <f t="shared" si="8"/>
        <v>1206000</v>
      </c>
      <c r="J83">
        <f t="shared" si="9"/>
        <v>6</v>
      </c>
    </row>
    <row r="84" spans="1:10" x14ac:dyDescent="0.15">
      <c r="A84" t="s">
        <v>617</v>
      </c>
      <c r="B84" t="s">
        <v>176</v>
      </c>
      <c r="C84">
        <v>7</v>
      </c>
      <c r="D84" t="str">
        <f t="shared" si="6"/>
        <v>T4_高</v>
      </c>
      <c r="E84" t="str">
        <f t="shared" si="7"/>
        <v>T4_高_7</v>
      </c>
      <c r="F84">
        <v>80</v>
      </c>
      <c r="G84">
        <v>402000</v>
      </c>
      <c r="H84">
        <f t="shared" si="10"/>
        <v>360</v>
      </c>
      <c r="I84">
        <f t="shared" si="8"/>
        <v>1608000</v>
      </c>
      <c r="J84">
        <f t="shared" si="9"/>
        <v>7</v>
      </c>
    </row>
    <row r="85" spans="1:10" x14ac:dyDescent="0.15">
      <c r="A85" t="s">
        <v>617</v>
      </c>
      <c r="B85" t="s">
        <v>176</v>
      </c>
      <c r="C85">
        <v>8</v>
      </c>
      <c r="D85" t="str">
        <f t="shared" si="6"/>
        <v>T4_高</v>
      </c>
      <c r="E85" t="str">
        <f t="shared" si="7"/>
        <v>T4_高_8</v>
      </c>
      <c r="F85">
        <v>80</v>
      </c>
      <c r="G85">
        <v>459000</v>
      </c>
      <c r="H85">
        <f t="shared" si="10"/>
        <v>440</v>
      </c>
      <c r="I85">
        <f t="shared" si="8"/>
        <v>2067000</v>
      </c>
      <c r="J85">
        <f t="shared" si="9"/>
        <v>8</v>
      </c>
    </row>
    <row r="86" spans="1:10" x14ac:dyDescent="0.15">
      <c r="A86" t="s">
        <v>617</v>
      </c>
      <c r="B86" t="s">
        <v>176</v>
      </c>
      <c r="C86">
        <v>9</v>
      </c>
      <c r="D86" t="str">
        <f t="shared" si="6"/>
        <v>T4_高</v>
      </c>
      <c r="E86" t="str">
        <f t="shared" si="7"/>
        <v>T4_高_9</v>
      </c>
      <c r="F86">
        <v>80</v>
      </c>
      <c r="G86">
        <v>516000</v>
      </c>
      <c r="H86">
        <f t="shared" si="10"/>
        <v>520</v>
      </c>
      <c r="I86">
        <f t="shared" si="8"/>
        <v>2583000</v>
      </c>
      <c r="J86">
        <f t="shared" si="9"/>
        <v>9</v>
      </c>
    </row>
    <row r="87" spans="1:10" x14ac:dyDescent="0.15">
      <c r="A87" t="s">
        <v>617</v>
      </c>
      <c r="B87" t="s">
        <v>176</v>
      </c>
      <c r="C87">
        <v>10</v>
      </c>
      <c r="D87" t="str">
        <f t="shared" si="6"/>
        <v>T4_高</v>
      </c>
      <c r="E87" t="str">
        <f t="shared" si="7"/>
        <v>T4_高_10</v>
      </c>
      <c r="F87">
        <v>80</v>
      </c>
      <c r="G87">
        <v>577000</v>
      </c>
      <c r="H87">
        <f t="shared" si="10"/>
        <v>600</v>
      </c>
      <c r="I87">
        <f t="shared" si="8"/>
        <v>3160000</v>
      </c>
      <c r="J87">
        <f t="shared" si="9"/>
        <v>10</v>
      </c>
    </row>
    <row r="88" spans="1:10" x14ac:dyDescent="0.15">
      <c r="A88" t="s">
        <v>617</v>
      </c>
      <c r="B88" t="s">
        <v>176</v>
      </c>
      <c r="C88">
        <v>11</v>
      </c>
      <c r="D88" t="str">
        <f t="shared" si="6"/>
        <v>T4_高</v>
      </c>
      <c r="E88" t="str">
        <f t="shared" si="7"/>
        <v>T4_高_11</v>
      </c>
      <c r="F88">
        <v>80</v>
      </c>
      <c r="G88">
        <v>634000</v>
      </c>
      <c r="H88">
        <f t="shared" si="10"/>
        <v>680</v>
      </c>
      <c r="I88">
        <f t="shared" si="8"/>
        <v>3794000</v>
      </c>
      <c r="J88">
        <f t="shared" si="9"/>
        <v>11</v>
      </c>
    </row>
    <row r="89" spans="1:10" x14ac:dyDescent="0.15">
      <c r="A89" t="s">
        <v>617</v>
      </c>
      <c r="B89" t="s">
        <v>176</v>
      </c>
      <c r="C89">
        <v>12</v>
      </c>
      <c r="D89" t="str">
        <f t="shared" si="6"/>
        <v>T4_高</v>
      </c>
      <c r="E89" t="str">
        <f t="shared" si="7"/>
        <v>T4_高_12</v>
      </c>
      <c r="F89">
        <v>80</v>
      </c>
      <c r="G89">
        <v>0</v>
      </c>
      <c r="H89">
        <f t="shared" si="10"/>
        <v>760</v>
      </c>
      <c r="I89">
        <f t="shared" si="8"/>
        <v>3794000</v>
      </c>
      <c r="J89">
        <f t="shared" si="9"/>
        <v>12</v>
      </c>
    </row>
    <row r="90" spans="1:10" x14ac:dyDescent="0.15">
      <c r="A90" t="s">
        <v>624</v>
      </c>
      <c r="B90" t="s">
        <v>175</v>
      </c>
      <c r="C90">
        <v>1</v>
      </c>
      <c r="D90" t="str">
        <f t="shared" si="6"/>
        <v>T5_低</v>
      </c>
      <c r="E90" t="str">
        <f t="shared" si="7"/>
        <v>T5_低_1</v>
      </c>
      <c r="F90">
        <v>48</v>
      </c>
      <c r="G90">
        <v>71000</v>
      </c>
      <c r="H90">
        <f t="shared" si="10"/>
        <v>48</v>
      </c>
      <c r="I90">
        <f t="shared" si="8"/>
        <v>71000</v>
      </c>
      <c r="J90">
        <f t="shared" si="9"/>
        <v>1</v>
      </c>
    </row>
    <row r="91" spans="1:10" x14ac:dyDescent="0.15">
      <c r="A91" t="s">
        <v>624</v>
      </c>
      <c r="B91" t="s">
        <v>175</v>
      </c>
      <c r="C91">
        <v>2</v>
      </c>
      <c r="D91" t="str">
        <f t="shared" si="6"/>
        <v>T5_低</v>
      </c>
      <c r="E91" t="str">
        <f t="shared" si="7"/>
        <v>T5_低_2</v>
      </c>
      <c r="F91">
        <v>48</v>
      </c>
      <c r="G91">
        <v>141000</v>
      </c>
      <c r="H91">
        <f t="shared" si="10"/>
        <v>96</v>
      </c>
      <c r="I91">
        <f t="shared" si="8"/>
        <v>212000</v>
      </c>
      <c r="J91">
        <f t="shared" si="9"/>
        <v>2</v>
      </c>
    </row>
    <row r="92" spans="1:10" x14ac:dyDescent="0.15">
      <c r="A92" t="s">
        <v>624</v>
      </c>
      <c r="B92" t="s">
        <v>175</v>
      </c>
      <c r="C92">
        <v>3</v>
      </c>
      <c r="D92" t="str">
        <f t="shared" si="6"/>
        <v>T5_低</v>
      </c>
      <c r="E92" t="str">
        <f t="shared" si="7"/>
        <v>T5_低_3</v>
      </c>
      <c r="F92">
        <v>64</v>
      </c>
      <c r="G92">
        <v>212000</v>
      </c>
      <c r="H92">
        <f t="shared" si="10"/>
        <v>160</v>
      </c>
      <c r="I92">
        <f t="shared" si="8"/>
        <v>424000</v>
      </c>
      <c r="J92">
        <f t="shared" si="9"/>
        <v>3</v>
      </c>
    </row>
    <row r="93" spans="1:10" x14ac:dyDescent="0.15">
      <c r="A93" t="s">
        <v>624</v>
      </c>
      <c r="B93" t="s">
        <v>175</v>
      </c>
      <c r="C93">
        <v>4</v>
      </c>
      <c r="D93" t="str">
        <f t="shared" si="6"/>
        <v>T5_低</v>
      </c>
      <c r="E93" t="str">
        <f t="shared" si="7"/>
        <v>T5_低_4</v>
      </c>
      <c r="F93">
        <v>80</v>
      </c>
      <c r="G93">
        <v>283000</v>
      </c>
      <c r="H93">
        <f t="shared" si="10"/>
        <v>240</v>
      </c>
      <c r="I93">
        <f t="shared" si="8"/>
        <v>707000</v>
      </c>
      <c r="J93">
        <f t="shared" si="9"/>
        <v>4</v>
      </c>
    </row>
    <row r="94" spans="1:10" x14ac:dyDescent="0.15">
      <c r="A94" t="s">
        <v>624</v>
      </c>
      <c r="B94" t="s">
        <v>175</v>
      </c>
      <c r="C94">
        <v>5</v>
      </c>
      <c r="D94" t="str">
        <f t="shared" si="6"/>
        <v>T5_低</v>
      </c>
      <c r="E94" t="str">
        <f t="shared" si="7"/>
        <v>T5_低_5</v>
      </c>
      <c r="F94">
        <v>80</v>
      </c>
      <c r="G94">
        <v>354000</v>
      </c>
      <c r="H94">
        <f t="shared" si="10"/>
        <v>320</v>
      </c>
      <c r="I94">
        <f t="shared" si="8"/>
        <v>1061000</v>
      </c>
      <c r="J94">
        <f t="shared" si="9"/>
        <v>5</v>
      </c>
    </row>
    <row r="95" spans="1:10" x14ac:dyDescent="0.15">
      <c r="A95" t="s">
        <v>624</v>
      </c>
      <c r="B95" t="s">
        <v>175</v>
      </c>
      <c r="C95">
        <v>6</v>
      </c>
      <c r="D95" t="str">
        <f t="shared" si="6"/>
        <v>T5_低</v>
      </c>
      <c r="E95" t="str">
        <f t="shared" si="7"/>
        <v>T5_低_6</v>
      </c>
      <c r="F95">
        <v>80</v>
      </c>
      <c r="G95">
        <v>425000</v>
      </c>
      <c r="H95">
        <f t="shared" si="10"/>
        <v>400</v>
      </c>
      <c r="I95">
        <f t="shared" si="8"/>
        <v>1486000</v>
      </c>
      <c r="J95">
        <f t="shared" si="9"/>
        <v>6</v>
      </c>
    </row>
    <row r="96" spans="1:10" x14ac:dyDescent="0.15">
      <c r="A96" t="s">
        <v>624</v>
      </c>
      <c r="B96" t="s">
        <v>175</v>
      </c>
      <c r="C96">
        <v>7</v>
      </c>
      <c r="D96" t="str">
        <f t="shared" si="6"/>
        <v>T5_低</v>
      </c>
      <c r="E96" t="str">
        <f t="shared" si="7"/>
        <v>T5_低_7</v>
      </c>
      <c r="F96">
        <v>100</v>
      </c>
      <c r="G96">
        <v>496000</v>
      </c>
      <c r="H96">
        <f t="shared" si="10"/>
        <v>500</v>
      </c>
      <c r="I96">
        <f t="shared" si="8"/>
        <v>1982000</v>
      </c>
      <c r="J96">
        <f t="shared" si="9"/>
        <v>7</v>
      </c>
    </row>
    <row r="97" spans="1:10" x14ac:dyDescent="0.15">
      <c r="A97" t="s">
        <v>624</v>
      </c>
      <c r="B97" t="s">
        <v>175</v>
      </c>
      <c r="C97">
        <v>8</v>
      </c>
      <c r="D97" t="str">
        <f t="shared" si="6"/>
        <v>T5_低</v>
      </c>
      <c r="E97" t="str">
        <f t="shared" si="7"/>
        <v>T5_低_8</v>
      </c>
      <c r="F97">
        <v>100</v>
      </c>
      <c r="G97">
        <v>567000</v>
      </c>
      <c r="H97">
        <f t="shared" si="10"/>
        <v>600</v>
      </c>
      <c r="I97">
        <f t="shared" si="8"/>
        <v>2549000</v>
      </c>
      <c r="J97">
        <f t="shared" si="9"/>
        <v>8</v>
      </c>
    </row>
    <row r="98" spans="1:10" x14ac:dyDescent="0.15">
      <c r="A98" t="s">
        <v>624</v>
      </c>
      <c r="B98" t="s">
        <v>175</v>
      </c>
      <c r="C98">
        <v>9</v>
      </c>
      <c r="D98" t="str">
        <f t="shared" si="6"/>
        <v>T5_低</v>
      </c>
      <c r="E98" t="str">
        <f t="shared" si="7"/>
        <v>T5_低_9</v>
      </c>
      <c r="F98">
        <v>100</v>
      </c>
      <c r="G98">
        <v>638000</v>
      </c>
      <c r="H98">
        <f t="shared" si="10"/>
        <v>700</v>
      </c>
      <c r="I98">
        <f t="shared" si="8"/>
        <v>3187000</v>
      </c>
      <c r="J98">
        <f t="shared" si="9"/>
        <v>9</v>
      </c>
    </row>
    <row r="99" spans="1:10" x14ac:dyDescent="0.15">
      <c r="A99" t="s">
        <v>624</v>
      </c>
      <c r="B99" t="s">
        <v>175</v>
      </c>
      <c r="C99">
        <v>10</v>
      </c>
      <c r="D99" t="str">
        <f t="shared" si="6"/>
        <v>T5_低</v>
      </c>
      <c r="E99" t="str">
        <f t="shared" si="7"/>
        <v>T5_低_10</v>
      </c>
      <c r="F99">
        <v>100</v>
      </c>
      <c r="G99">
        <v>709000</v>
      </c>
      <c r="H99">
        <f t="shared" si="10"/>
        <v>800</v>
      </c>
      <c r="I99">
        <f t="shared" si="8"/>
        <v>3896000</v>
      </c>
      <c r="J99">
        <f t="shared" si="9"/>
        <v>10</v>
      </c>
    </row>
    <row r="100" spans="1:10" x14ac:dyDescent="0.15">
      <c r="A100" t="s">
        <v>624</v>
      </c>
      <c r="B100" t="s">
        <v>175</v>
      </c>
      <c r="C100">
        <v>11</v>
      </c>
      <c r="D100" t="str">
        <f t="shared" si="6"/>
        <v>T5_低</v>
      </c>
      <c r="E100" t="str">
        <f t="shared" si="7"/>
        <v>T5_低_11</v>
      </c>
      <c r="F100">
        <v>100</v>
      </c>
      <c r="G100">
        <v>780000</v>
      </c>
      <c r="H100">
        <f t="shared" si="10"/>
        <v>900</v>
      </c>
      <c r="I100">
        <f t="shared" si="8"/>
        <v>4676000</v>
      </c>
      <c r="J100">
        <f t="shared" si="9"/>
        <v>11</v>
      </c>
    </row>
    <row r="101" spans="1:10" x14ac:dyDescent="0.15">
      <c r="A101" t="s">
        <v>624</v>
      </c>
      <c r="B101" t="s">
        <v>175</v>
      </c>
      <c r="C101">
        <v>12</v>
      </c>
      <c r="D101" t="str">
        <f t="shared" si="6"/>
        <v>T5_低</v>
      </c>
      <c r="E101" t="str">
        <f t="shared" si="7"/>
        <v>T5_低_12</v>
      </c>
      <c r="F101">
        <v>100</v>
      </c>
      <c r="G101">
        <v>851000</v>
      </c>
      <c r="H101">
        <f t="shared" si="10"/>
        <v>1000</v>
      </c>
      <c r="I101">
        <f t="shared" si="8"/>
        <v>5527000</v>
      </c>
      <c r="J101">
        <f t="shared" si="9"/>
        <v>12</v>
      </c>
    </row>
    <row r="102" spans="1:10" x14ac:dyDescent="0.15">
      <c r="A102" t="s">
        <v>624</v>
      </c>
      <c r="B102" t="s">
        <v>175</v>
      </c>
      <c r="C102">
        <v>13</v>
      </c>
      <c r="D102" t="str">
        <f t="shared" si="6"/>
        <v>T5_低</v>
      </c>
      <c r="E102" t="str">
        <f t="shared" si="7"/>
        <v>T5_低_13</v>
      </c>
      <c r="F102">
        <v>100</v>
      </c>
      <c r="G102">
        <v>922000</v>
      </c>
      <c r="H102">
        <f t="shared" si="10"/>
        <v>1100</v>
      </c>
      <c r="I102">
        <f t="shared" si="8"/>
        <v>6449000</v>
      </c>
      <c r="J102">
        <f t="shared" si="9"/>
        <v>13</v>
      </c>
    </row>
    <row r="103" spans="1:10" x14ac:dyDescent="0.15">
      <c r="A103" t="s">
        <v>624</v>
      </c>
      <c r="B103" t="s">
        <v>175</v>
      </c>
      <c r="C103">
        <v>14</v>
      </c>
      <c r="D103" t="str">
        <f t="shared" si="6"/>
        <v>T5_低</v>
      </c>
      <c r="E103" t="str">
        <f t="shared" si="7"/>
        <v>T5_低_14</v>
      </c>
      <c r="F103">
        <v>100</v>
      </c>
      <c r="G103">
        <v>0</v>
      </c>
      <c r="H103">
        <f t="shared" si="10"/>
        <v>1200</v>
      </c>
      <c r="I103">
        <f t="shared" si="8"/>
        <v>6449000</v>
      </c>
      <c r="J103">
        <f t="shared" si="9"/>
        <v>14</v>
      </c>
    </row>
  </sheetData>
  <phoneticPr fontId="32" type="noConversion"/>
  <pageMargins left="0.7" right="0.7" top="0.75" bottom="0.75" header="0.3" footer="0.3"/>
  <ignoredErrors>
    <ignoredError sqref="O3:O13" formulaRange="1"/>
  </ignoredErrors>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0"/>
  <dimension ref="B2:ER171"/>
  <sheetViews>
    <sheetView workbookViewId="0">
      <selection activeCell="H13" sqref="H13:H24"/>
    </sheetView>
  </sheetViews>
  <sheetFormatPr defaultColWidth="9" defaultRowHeight="14.25" x14ac:dyDescent="0.3"/>
  <cols>
    <col min="1" max="13" width="9" style="1"/>
    <col min="14" max="14" width="14.875" style="1" customWidth="1"/>
    <col min="15" max="26" width="9" style="1"/>
    <col min="27" max="27" width="10.5" style="1" customWidth="1"/>
    <col min="28" max="16384" width="9" style="1"/>
  </cols>
  <sheetData>
    <row r="2" spans="2:148" x14ac:dyDescent="0.3">
      <c r="B2" s="352" t="s">
        <v>731</v>
      </c>
      <c r="C2" s="353"/>
      <c r="D2" s="353"/>
      <c r="E2" s="353"/>
      <c r="F2" s="353"/>
      <c r="G2" s="353"/>
      <c r="H2" s="354"/>
      <c r="I2" s="358" t="s">
        <v>732</v>
      </c>
      <c r="J2" s="359"/>
      <c r="K2" s="360"/>
      <c r="L2" s="352" t="s">
        <v>594</v>
      </c>
      <c r="M2" s="353"/>
      <c r="N2" s="354"/>
      <c r="O2" s="351" t="s">
        <v>733</v>
      </c>
      <c r="P2" s="351"/>
      <c r="Q2" s="351"/>
      <c r="R2" s="351" t="s">
        <v>734</v>
      </c>
      <c r="S2" s="351"/>
      <c r="T2" s="351"/>
      <c r="Y2" s="215" t="s">
        <v>735</v>
      </c>
      <c r="Z2" s="216"/>
      <c r="AA2" s="216"/>
      <c r="AE2" s="352" t="s">
        <v>77</v>
      </c>
      <c r="AF2" s="353"/>
      <c r="AG2" s="353"/>
      <c r="AH2" s="353"/>
      <c r="AI2" s="353"/>
      <c r="AJ2" s="353"/>
      <c r="AK2" s="354"/>
      <c r="AM2" s="352" t="s">
        <v>78</v>
      </c>
      <c r="AN2" s="353"/>
      <c r="AO2" s="353"/>
      <c r="AP2" s="353"/>
      <c r="AQ2" s="353"/>
      <c r="AR2" s="353"/>
      <c r="AS2" s="354"/>
      <c r="AT2" s="25"/>
      <c r="AU2" s="352" t="s">
        <v>79</v>
      </c>
      <c r="AV2" s="353"/>
      <c r="AW2" s="353"/>
      <c r="AX2" s="353"/>
      <c r="AY2" s="353"/>
      <c r="AZ2" s="353"/>
      <c r="BA2" s="354"/>
      <c r="BB2" s="25"/>
      <c r="BC2" s="352" t="s">
        <v>80</v>
      </c>
      <c r="BD2" s="353"/>
      <c r="BE2" s="353"/>
      <c r="BF2" s="353"/>
      <c r="BG2" s="353"/>
      <c r="BH2" s="353"/>
      <c r="BI2" s="354"/>
      <c r="BK2" s="351" t="s">
        <v>81</v>
      </c>
      <c r="BL2" s="351"/>
      <c r="BM2" s="351"/>
      <c r="BN2" s="351"/>
      <c r="BO2" s="351"/>
      <c r="BP2" s="351"/>
      <c r="BQ2" s="351"/>
      <c r="BS2" s="352" t="s">
        <v>82</v>
      </c>
      <c r="BT2" s="353"/>
      <c r="BU2" s="353"/>
      <c r="BV2" s="353"/>
      <c r="BW2" s="353"/>
      <c r="BX2" s="353"/>
      <c r="BY2" s="354"/>
      <c r="CA2" s="352" t="s">
        <v>83</v>
      </c>
      <c r="CB2" s="353"/>
      <c r="CC2" s="353"/>
      <c r="CD2" s="353"/>
      <c r="CE2" s="353"/>
      <c r="CF2" s="353"/>
      <c r="CG2" s="354"/>
      <c r="CH2" s="25"/>
      <c r="CI2" s="351" t="s">
        <v>736</v>
      </c>
      <c r="CJ2" s="351"/>
      <c r="CK2" s="351"/>
      <c r="CL2" s="351"/>
      <c r="CM2" s="351"/>
      <c r="CN2" s="351"/>
      <c r="CO2" s="351"/>
      <c r="CP2" s="351"/>
      <c r="CR2" s="351" t="s">
        <v>737</v>
      </c>
      <c r="CS2" s="351"/>
      <c r="CT2" s="351"/>
      <c r="CU2" s="351"/>
      <c r="CV2" s="351"/>
      <c r="CW2" s="351"/>
      <c r="CX2" s="351"/>
      <c r="CY2" s="351"/>
      <c r="CZ2" s="25"/>
      <c r="DA2" s="351" t="s">
        <v>738</v>
      </c>
      <c r="DB2" s="351"/>
      <c r="DC2" s="351"/>
      <c r="DD2" s="351"/>
      <c r="DE2" s="351"/>
      <c r="DF2" s="351"/>
      <c r="DG2" s="351"/>
      <c r="DH2" s="351"/>
      <c r="DI2" s="25"/>
      <c r="DJ2" s="351" t="s">
        <v>739</v>
      </c>
      <c r="DK2" s="351"/>
      <c r="DL2" s="351"/>
      <c r="DM2" s="351"/>
      <c r="DN2" s="351"/>
      <c r="DO2" s="351"/>
      <c r="DP2" s="351"/>
      <c r="DQ2" s="351"/>
      <c r="DS2" s="351" t="s">
        <v>740</v>
      </c>
      <c r="DT2" s="351"/>
      <c r="DU2" s="351"/>
      <c r="DV2" s="351"/>
      <c r="DW2" s="351"/>
      <c r="DX2" s="351"/>
      <c r="DY2" s="351"/>
      <c r="DZ2" s="351"/>
      <c r="EB2" s="351" t="s">
        <v>741</v>
      </c>
      <c r="EC2" s="351"/>
      <c r="ED2" s="351"/>
      <c r="EE2" s="351"/>
      <c r="EF2" s="351"/>
      <c r="EG2" s="351"/>
      <c r="EH2" s="351"/>
      <c r="EI2" s="351"/>
      <c r="EK2" s="351" t="s">
        <v>742</v>
      </c>
      <c r="EL2" s="351"/>
      <c r="EM2" s="351"/>
      <c r="EN2" s="351"/>
      <c r="EO2" s="351"/>
      <c r="EP2" s="351"/>
      <c r="EQ2" s="351"/>
      <c r="ER2" s="351"/>
    </row>
    <row r="3" spans="2:148" x14ac:dyDescent="0.3">
      <c r="B3" s="2" t="s">
        <v>743</v>
      </c>
      <c r="C3" s="2" t="s">
        <v>744</v>
      </c>
      <c r="D3" s="2" t="s">
        <v>745</v>
      </c>
      <c r="E3" s="2" t="s">
        <v>746</v>
      </c>
      <c r="F3" s="2" t="s">
        <v>747</v>
      </c>
      <c r="G3" s="2" t="s">
        <v>748</v>
      </c>
      <c r="H3" s="2" t="s">
        <v>749</v>
      </c>
      <c r="I3" s="214" t="s">
        <v>750</v>
      </c>
      <c r="J3" s="214" t="s">
        <v>751</v>
      </c>
      <c r="K3" s="214" t="s">
        <v>752</v>
      </c>
      <c r="L3" s="2" t="s">
        <v>750</v>
      </c>
      <c r="M3" s="2" t="s">
        <v>751</v>
      </c>
      <c r="N3" s="2" t="s">
        <v>752</v>
      </c>
      <c r="O3" s="2" t="s">
        <v>750</v>
      </c>
      <c r="P3" s="2" t="s">
        <v>751</v>
      </c>
      <c r="Q3" s="2" t="s">
        <v>752</v>
      </c>
      <c r="R3" s="22" t="s">
        <v>753</v>
      </c>
      <c r="S3" s="22" t="s">
        <v>754</v>
      </c>
      <c r="T3" s="22" t="s">
        <v>755</v>
      </c>
      <c r="Y3" s="2" t="s">
        <v>593</v>
      </c>
      <c r="Z3" s="2" t="s">
        <v>756</v>
      </c>
      <c r="AA3" s="2" t="s">
        <v>757</v>
      </c>
      <c r="AB3" s="2" t="s">
        <v>758</v>
      </c>
      <c r="AE3" s="2" t="s">
        <v>593</v>
      </c>
      <c r="AF3" s="2" t="s">
        <v>759</v>
      </c>
      <c r="AG3" s="2" t="s">
        <v>760</v>
      </c>
      <c r="AH3" s="2" t="s">
        <v>761</v>
      </c>
      <c r="AI3" s="2" t="s">
        <v>76</v>
      </c>
      <c r="AJ3" s="2" t="s">
        <v>124</v>
      </c>
      <c r="AK3" s="2" t="s">
        <v>762</v>
      </c>
      <c r="AM3" s="2" t="s">
        <v>593</v>
      </c>
      <c r="AN3" s="2" t="s">
        <v>759</v>
      </c>
      <c r="AO3" s="2" t="s">
        <v>760</v>
      </c>
      <c r="AP3" s="2" t="s">
        <v>761</v>
      </c>
      <c r="AQ3" s="2" t="s">
        <v>76</v>
      </c>
      <c r="AR3" s="2" t="s">
        <v>124</v>
      </c>
      <c r="AS3" s="2" t="s">
        <v>762</v>
      </c>
      <c r="AT3" s="25"/>
      <c r="AU3" s="2" t="s">
        <v>593</v>
      </c>
      <c r="AV3" s="2" t="s">
        <v>759</v>
      </c>
      <c r="AW3" s="2" t="s">
        <v>760</v>
      </c>
      <c r="AX3" s="2" t="s">
        <v>761</v>
      </c>
      <c r="AY3" s="2" t="s">
        <v>76</v>
      </c>
      <c r="AZ3" s="2" t="s">
        <v>124</v>
      </c>
      <c r="BA3" s="2" t="s">
        <v>762</v>
      </c>
      <c r="BB3" s="25"/>
      <c r="BC3" s="2" t="s">
        <v>593</v>
      </c>
      <c r="BD3" s="2" t="s">
        <v>759</v>
      </c>
      <c r="BE3" s="2" t="s">
        <v>760</v>
      </c>
      <c r="BF3" s="2" t="s">
        <v>761</v>
      </c>
      <c r="BG3" s="2" t="s">
        <v>76</v>
      </c>
      <c r="BH3" s="2" t="s">
        <v>124</v>
      </c>
      <c r="BI3" s="2" t="s">
        <v>762</v>
      </c>
      <c r="BK3" s="2" t="s">
        <v>593</v>
      </c>
      <c r="BL3" s="2" t="s">
        <v>759</v>
      </c>
      <c r="BM3" s="2" t="s">
        <v>760</v>
      </c>
      <c r="BN3" s="2" t="s">
        <v>761</v>
      </c>
      <c r="BO3" s="2" t="s">
        <v>76</v>
      </c>
      <c r="BP3" s="2" t="s">
        <v>124</v>
      </c>
      <c r="BQ3" s="2" t="s">
        <v>762</v>
      </c>
      <c r="BS3" s="2" t="s">
        <v>593</v>
      </c>
      <c r="BT3" s="2" t="s">
        <v>759</v>
      </c>
      <c r="BU3" s="2" t="s">
        <v>760</v>
      </c>
      <c r="BV3" s="2" t="s">
        <v>761</v>
      </c>
      <c r="BW3" s="2" t="s">
        <v>76</v>
      </c>
      <c r="BX3" s="2" t="s">
        <v>124</v>
      </c>
      <c r="BY3" s="2" t="s">
        <v>762</v>
      </c>
      <c r="CA3" s="2" t="s">
        <v>593</v>
      </c>
      <c r="CB3" s="2" t="s">
        <v>759</v>
      </c>
      <c r="CC3" s="2" t="s">
        <v>760</v>
      </c>
      <c r="CD3" s="2" t="s">
        <v>761</v>
      </c>
      <c r="CE3" s="2" t="s">
        <v>76</v>
      </c>
      <c r="CF3" s="2" t="s">
        <v>124</v>
      </c>
      <c r="CG3" s="2" t="s">
        <v>762</v>
      </c>
      <c r="CH3" s="25"/>
      <c r="CI3" s="2" t="s">
        <v>763</v>
      </c>
      <c r="CJ3" s="2" t="s">
        <v>764</v>
      </c>
      <c r="CK3" s="2" t="s">
        <v>759</v>
      </c>
      <c r="CL3" s="2" t="s">
        <v>760</v>
      </c>
      <c r="CM3" s="2" t="s">
        <v>761</v>
      </c>
      <c r="CN3" s="2" t="s">
        <v>76</v>
      </c>
      <c r="CO3" s="2" t="s">
        <v>124</v>
      </c>
      <c r="CP3" s="2" t="s">
        <v>762</v>
      </c>
      <c r="CR3" s="2" t="s">
        <v>763</v>
      </c>
      <c r="CS3" s="2" t="s">
        <v>764</v>
      </c>
      <c r="CT3" s="2" t="s">
        <v>759</v>
      </c>
      <c r="CU3" s="2" t="s">
        <v>760</v>
      </c>
      <c r="CV3" s="2" t="s">
        <v>761</v>
      </c>
      <c r="CW3" s="2" t="s">
        <v>76</v>
      </c>
      <c r="CX3" s="2" t="s">
        <v>124</v>
      </c>
      <c r="CY3" s="2" t="s">
        <v>762</v>
      </c>
      <c r="CZ3" s="25"/>
      <c r="DA3" s="2" t="s">
        <v>763</v>
      </c>
      <c r="DB3" s="2" t="s">
        <v>764</v>
      </c>
      <c r="DC3" s="2" t="s">
        <v>759</v>
      </c>
      <c r="DD3" s="2" t="s">
        <v>760</v>
      </c>
      <c r="DE3" s="2" t="s">
        <v>761</v>
      </c>
      <c r="DF3" s="2" t="s">
        <v>76</v>
      </c>
      <c r="DG3" s="2" t="s">
        <v>124</v>
      </c>
      <c r="DH3" s="2" t="s">
        <v>762</v>
      </c>
      <c r="DI3" s="25"/>
      <c r="DJ3" s="2" t="s">
        <v>763</v>
      </c>
      <c r="DK3" s="2" t="s">
        <v>764</v>
      </c>
      <c r="DL3" s="2" t="s">
        <v>759</v>
      </c>
      <c r="DM3" s="2" t="s">
        <v>760</v>
      </c>
      <c r="DN3" s="2" t="s">
        <v>761</v>
      </c>
      <c r="DO3" s="2" t="s">
        <v>76</v>
      </c>
      <c r="DP3" s="2" t="s">
        <v>124</v>
      </c>
      <c r="DQ3" s="2" t="s">
        <v>762</v>
      </c>
      <c r="DS3" s="2" t="s">
        <v>763</v>
      </c>
      <c r="DT3" s="2" t="s">
        <v>764</v>
      </c>
      <c r="DU3" s="2" t="s">
        <v>759</v>
      </c>
      <c r="DV3" s="2" t="s">
        <v>760</v>
      </c>
      <c r="DW3" s="2" t="s">
        <v>761</v>
      </c>
      <c r="DX3" s="2" t="s">
        <v>76</v>
      </c>
      <c r="DY3" s="2" t="s">
        <v>124</v>
      </c>
      <c r="DZ3" s="2" t="s">
        <v>762</v>
      </c>
      <c r="EB3" s="2" t="s">
        <v>763</v>
      </c>
      <c r="EC3" s="2" t="s">
        <v>764</v>
      </c>
      <c r="ED3" s="2" t="s">
        <v>759</v>
      </c>
      <c r="EE3" s="2" t="s">
        <v>760</v>
      </c>
      <c r="EF3" s="2" t="s">
        <v>761</v>
      </c>
      <c r="EG3" s="2" t="s">
        <v>76</v>
      </c>
      <c r="EH3" s="2" t="s">
        <v>124</v>
      </c>
      <c r="EI3" s="2" t="s">
        <v>762</v>
      </c>
      <c r="EK3" s="2" t="s">
        <v>763</v>
      </c>
      <c r="EL3" s="2" t="s">
        <v>764</v>
      </c>
      <c r="EM3" s="2" t="s">
        <v>759</v>
      </c>
      <c r="EN3" s="2" t="s">
        <v>760</v>
      </c>
      <c r="EO3" s="2" t="s">
        <v>761</v>
      </c>
      <c r="EP3" s="2" t="s">
        <v>76</v>
      </c>
      <c r="EQ3" s="2" t="s">
        <v>124</v>
      </c>
      <c r="ER3" s="2" t="s">
        <v>762</v>
      </c>
    </row>
    <row r="4" spans="2:148" x14ac:dyDescent="0.3">
      <c r="B4" s="2">
        <v>1</v>
      </c>
      <c r="C4" s="2">
        <v>1</v>
      </c>
      <c r="D4" s="2">
        <v>3</v>
      </c>
      <c r="E4" s="2"/>
      <c r="F4" s="2"/>
      <c r="G4" s="2"/>
      <c r="H4" s="2"/>
      <c r="I4" s="214">
        <v>2</v>
      </c>
      <c r="J4" s="214"/>
      <c r="K4" s="214"/>
      <c r="L4" s="2">
        <f t="shared" ref="L4:L9" si="0">((C4+1)+(D4))/2*(D4-C4)</f>
        <v>5</v>
      </c>
      <c r="M4" s="2"/>
      <c r="N4" s="2"/>
      <c r="O4" s="2">
        <f t="shared" ref="O4:O9" si="1">(($C$4+1)+(D4))/2*(D4-$C$4)</f>
        <v>5</v>
      </c>
      <c r="P4" s="2"/>
      <c r="Q4" s="2"/>
      <c r="R4" s="21">
        <v>0.06</v>
      </c>
      <c r="S4" s="21"/>
      <c r="T4" s="21"/>
      <c r="Y4" s="2" t="s">
        <v>765</v>
      </c>
      <c r="Z4" s="34">
        <f>IFERROR(VLOOKUP(Y4,$F$13:$J$24,5,FALSE),VLOOKUP(Y4,$G$13:$K$24,5,FALSE))</f>
        <v>1</v>
      </c>
      <c r="AA4" s="34">
        <v>0.75</v>
      </c>
      <c r="AB4" s="2"/>
      <c r="AE4" s="2" t="str">
        <f t="shared" ref="AE4:AE27" si="2">$Y4</f>
        <v>T1低1</v>
      </c>
      <c r="AF4" s="2">
        <f>ROUND(VLOOKUP($AE$2,$B$45:$J$52,MATCH(AF$3,$B$45:$J$45,0),FALSE)*$AA4,0)</f>
        <v>600</v>
      </c>
      <c r="AG4" s="2">
        <f t="shared" ref="AG4:AK13" si="3">ROUND(VLOOKUP($AE$2,$B$45:$J$52,MATCH(AG$3,$B$45:$J$45,0),FALSE)*$Z4,0)</f>
        <v>87</v>
      </c>
      <c r="AH4" s="2">
        <f t="shared" si="3"/>
        <v>300</v>
      </c>
      <c r="AI4" s="2">
        <f t="shared" si="3"/>
        <v>120</v>
      </c>
      <c r="AJ4" s="2">
        <f t="shared" si="3"/>
        <v>300</v>
      </c>
      <c r="AK4" s="2">
        <f t="shared" si="3"/>
        <v>80</v>
      </c>
      <c r="AM4" s="2" t="str">
        <f t="shared" ref="AM4:AM27" si="4">$Y4</f>
        <v>T1低1</v>
      </c>
      <c r="AN4" s="2">
        <f>ROUND(VLOOKUP($AM$2,$B$45:$J$52,MATCH(AN$3,$B$45:$J$45,0),FALSE)*$AA4,0)</f>
        <v>600</v>
      </c>
      <c r="AO4" s="2">
        <f t="shared" ref="AO4:AS13" si="5">ROUND(VLOOKUP($AM$2,$B$45:$J$52,MATCH(AO$3,$B$45:$J$45,0),FALSE)*$Z4,0)</f>
        <v>47</v>
      </c>
      <c r="AP4" s="2">
        <f t="shared" si="5"/>
        <v>329</v>
      </c>
      <c r="AQ4" s="2">
        <f t="shared" si="5"/>
        <v>131</v>
      </c>
      <c r="AR4" s="2">
        <f t="shared" si="5"/>
        <v>300</v>
      </c>
      <c r="AS4" s="2">
        <f t="shared" si="5"/>
        <v>80</v>
      </c>
      <c r="AT4" s="25"/>
      <c r="AU4" s="2" t="str">
        <f t="shared" ref="AU4:AU27" si="6">$Y4</f>
        <v>T1低1</v>
      </c>
      <c r="AV4" s="2">
        <f>ROUND(VLOOKUP($AU$2,$B$45:$J$52,MATCH(AV$3,$B$45:$J$45,0),FALSE)*$AA4,0)</f>
        <v>600</v>
      </c>
      <c r="AW4" s="2">
        <f t="shared" ref="AW4:BA13" si="7">ROUND(VLOOKUP($AU$2,$B$45:$J$52,MATCH(AW$3,$B$45:$J$45,0),FALSE)*$Z4,0)</f>
        <v>182</v>
      </c>
      <c r="AX4" s="2">
        <f t="shared" si="7"/>
        <v>357</v>
      </c>
      <c r="AY4" s="2">
        <f t="shared" si="7"/>
        <v>143</v>
      </c>
      <c r="AZ4" s="2">
        <f t="shared" si="7"/>
        <v>300</v>
      </c>
      <c r="BA4" s="2">
        <f t="shared" si="7"/>
        <v>80</v>
      </c>
      <c r="BB4" s="25"/>
      <c r="BC4" s="2" t="str">
        <f t="shared" ref="BC4:BC27" si="8">$Y4</f>
        <v>T1低1</v>
      </c>
      <c r="BD4" s="2">
        <f>ROUND(VLOOKUP($BC$2,$B$45:$J$52,MATCH(BD$3,$B$45:$J$45,0),FALSE)*$AA4,0)</f>
        <v>632</v>
      </c>
      <c r="BE4" s="2">
        <f t="shared" ref="BE4:BI13" si="9">ROUND(VLOOKUP($BC$2,$B$45:$J$52,MATCH(BE$3,$B$45:$J$45,0),FALSE)*$Z4,0)</f>
        <v>79</v>
      </c>
      <c r="BF4" s="2">
        <f t="shared" si="9"/>
        <v>286</v>
      </c>
      <c r="BG4" s="2">
        <f t="shared" si="9"/>
        <v>129</v>
      </c>
      <c r="BH4" s="2">
        <f t="shared" si="9"/>
        <v>360</v>
      </c>
      <c r="BI4" s="2">
        <f t="shared" si="9"/>
        <v>84</v>
      </c>
      <c r="BK4" s="2" t="str">
        <f t="shared" ref="BK4:BK27" si="10">$Y4</f>
        <v>T1低1</v>
      </c>
      <c r="BL4" s="2">
        <f>ROUND(VLOOKUP($BK$2,$B$45:$J$52,MATCH(BL$3,$B$45:$J$45,0),FALSE)*$AA4,0)</f>
        <v>632</v>
      </c>
      <c r="BM4" s="2">
        <f t="shared" ref="BM4:BQ13" si="11">ROUND(VLOOKUP($BK$2,$B$45:$J$52,MATCH(BM$3,$B$45:$J$45,0),FALSE)*$Z4,0)</f>
        <v>97</v>
      </c>
      <c r="BN4" s="2">
        <f t="shared" si="11"/>
        <v>329</v>
      </c>
      <c r="BO4" s="2">
        <f t="shared" si="11"/>
        <v>148</v>
      </c>
      <c r="BP4" s="2">
        <f t="shared" si="11"/>
        <v>360</v>
      </c>
      <c r="BQ4" s="2">
        <f t="shared" si="11"/>
        <v>84</v>
      </c>
      <c r="BS4" s="2" t="str">
        <f t="shared" ref="BS4:BS27" si="12">$Y4</f>
        <v>T1低1</v>
      </c>
      <c r="BT4" s="2">
        <f>ROUND(VLOOKUP($BS$2,$B$45:$J$52,MATCH(BT$3,$B$45:$J$45,0),FALSE)*$AA4,0)</f>
        <v>683</v>
      </c>
      <c r="BU4" s="2">
        <f t="shared" ref="BU4:BY13" si="13">ROUND(VLOOKUP($BS$2,$B$45:$J$52,MATCH(BU$3,$B$45:$J$45,0),FALSE)*$Z4,0)</f>
        <v>311</v>
      </c>
      <c r="BV4" s="2">
        <f t="shared" si="13"/>
        <v>114</v>
      </c>
      <c r="BW4" s="2">
        <f t="shared" si="13"/>
        <v>286</v>
      </c>
      <c r="BX4" s="2">
        <f t="shared" si="13"/>
        <v>420</v>
      </c>
      <c r="BY4" s="2">
        <f t="shared" si="13"/>
        <v>91</v>
      </c>
      <c r="CA4" s="2" t="str">
        <f t="shared" ref="CA4:CA27" si="14">$Y4</f>
        <v>T1低1</v>
      </c>
      <c r="CB4" s="2">
        <f>ROUND(VLOOKUP($CA$2,$B$45:$J$52,MATCH(CB$3,$B$45:$J$45,0),FALSE)*$AA4,0)</f>
        <v>683</v>
      </c>
      <c r="CC4" s="2">
        <f t="shared" ref="CC4:CG13" si="15">ROUND(VLOOKUP($CA$2,$B$45:$J$52,MATCH(CC$3,$B$45:$J$45,0),FALSE)*$Z4,0)</f>
        <v>415</v>
      </c>
      <c r="CD4" s="2">
        <f t="shared" si="15"/>
        <v>126</v>
      </c>
      <c r="CE4" s="2">
        <f t="shared" si="15"/>
        <v>314</v>
      </c>
      <c r="CF4" s="2">
        <f t="shared" si="15"/>
        <v>420</v>
      </c>
      <c r="CG4" s="2">
        <f t="shared" si="15"/>
        <v>91</v>
      </c>
      <c r="CH4" s="25"/>
      <c r="CI4" s="2" t="str">
        <f t="shared" ref="CI4:CI15" si="16">F13</f>
        <v>T1低1</v>
      </c>
      <c r="CJ4" s="2" t="str">
        <f t="shared" ref="CJ4:CJ15" si="17">G13</f>
        <v>T1低3</v>
      </c>
      <c r="CK4" s="2">
        <f t="shared" ref="CK4:CP15" si="18">VLOOKUP($CJ4,轻坦半自动_阶段属性,MATCH(CK$3,属性标头_阶段属性,0),FALSE)-VLOOKUP($CI4,轻坦半自动_阶段属性,MATCH(CK$3,属性标头_阶段属性,0),FALSE)</f>
        <v>440</v>
      </c>
      <c r="CL4" s="2">
        <f t="shared" si="18"/>
        <v>26</v>
      </c>
      <c r="CM4" s="2">
        <f t="shared" si="18"/>
        <v>90</v>
      </c>
      <c r="CN4" s="2">
        <f t="shared" si="18"/>
        <v>36</v>
      </c>
      <c r="CO4" s="2">
        <f t="shared" si="18"/>
        <v>90</v>
      </c>
      <c r="CP4" s="2">
        <f t="shared" si="18"/>
        <v>24</v>
      </c>
      <c r="CR4" s="2" t="str">
        <f t="shared" ref="CR4:CR15" si="19">CI4</f>
        <v>T1低1</v>
      </c>
      <c r="CS4" s="2" t="str">
        <f t="shared" ref="CS4:CS15" si="20">CJ4</f>
        <v>T1低3</v>
      </c>
      <c r="CT4" s="2">
        <f t="shared" ref="CT4:CY15" si="21">VLOOKUP($CS4,轻坦弹夹_阶段属性,MATCH(CT$3,属性标头_阶段属性,0),FALSE)-VLOOKUP($CR4,轻坦弹夹_阶段属性,MATCH(CT$3,属性标头_阶段属性,0),FALSE)</f>
        <v>440</v>
      </c>
      <c r="CU4" s="2">
        <f t="shared" si="21"/>
        <v>14</v>
      </c>
      <c r="CV4" s="2">
        <f t="shared" si="21"/>
        <v>98</v>
      </c>
      <c r="CW4" s="2">
        <f t="shared" si="21"/>
        <v>40</v>
      </c>
      <c r="CX4" s="2">
        <f t="shared" si="21"/>
        <v>90</v>
      </c>
      <c r="CY4" s="2">
        <f t="shared" si="21"/>
        <v>24</v>
      </c>
      <c r="CZ4" s="25"/>
      <c r="DA4" s="2" t="str">
        <f t="shared" ref="DA4:DA15" si="22">CR4</f>
        <v>T1低1</v>
      </c>
      <c r="DB4" s="2" t="str">
        <f t="shared" ref="DB4:DB15" si="23">CS4</f>
        <v>T1低3</v>
      </c>
      <c r="DC4" s="2">
        <f t="shared" ref="DC4:DH15" si="24">VLOOKUP($CS4,轻坦单发_阶段属性,MATCH(DC$3,属性标头_阶段属性,0),FALSE)-VLOOKUP($CR4,轻坦单发_阶段属性,MATCH(DC$3,属性标头_阶段属性,0),FALSE)</f>
        <v>440</v>
      </c>
      <c r="DD4" s="2">
        <f t="shared" si="24"/>
        <v>54</v>
      </c>
      <c r="DE4" s="2">
        <f t="shared" si="24"/>
        <v>107</v>
      </c>
      <c r="DF4" s="2">
        <f t="shared" si="24"/>
        <v>43</v>
      </c>
      <c r="DG4" s="2">
        <f t="shared" si="24"/>
        <v>90</v>
      </c>
      <c r="DH4" s="2">
        <f t="shared" si="24"/>
        <v>24</v>
      </c>
      <c r="DI4" s="25"/>
      <c r="DJ4" s="2" t="str">
        <f t="shared" ref="DJ4:DJ15" si="25">DA4</f>
        <v>T1低1</v>
      </c>
      <c r="DK4" s="2" t="str">
        <f t="shared" ref="DK4:DK15" si="26">DB4</f>
        <v>T1低3</v>
      </c>
      <c r="DL4" s="2">
        <f t="shared" ref="DL4:DQ15" si="27">VLOOKUP($CS4,中坦弹夹_阶段属性,MATCH(DL$3,属性标头_阶段属性,0),FALSE)-VLOOKUP($CR4,中坦弹夹_阶段属性,MATCH(DL$3,属性标头_阶段属性,0),FALSE)</f>
        <v>464</v>
      </c>
      <c r="DM4" s="2">
        <f t="shared" si="27"/>
        <v>24</v>
      </c>
      <c r="DN4" s="2">
        <f t="shared" si="27"/>
        <v>85</v>
      </c>
      <c r="DO4" s="2">
        <f t="shared" si="27"/>
        <v>38</v>
      </c>
      <c r="DP4" s="2">
        <f t="shared" si="27"/>
        <v>108</v>
      </c>
      <c r="DQ4" s="2">
        <f t="shared" si="27"/>
        <v>26</v>
      </c>
      <c r="DS4" s="2" t="str">
        <f t="shared" ref="DS4:DS15" si="28">DJ4</f>
        <v>T1低1</v>
      </c>
      <c r="DT4" s="2" t="str">
        <f t="shared" ref="DT4:DT15" si="29">DK4</f>
        <v>T1低3</v>
      </c>
      <c r="DU4" s="2">
        <f t="shared" ref="DU4:DZ15" si="30">VLOOKUP($CS4,中坦自动_阶段属性,MATCH(DU$3,属性标头_阶段属性,0),FALSE)-VLOOKUP($CR4,中坦自动_阶段属性,MATCH(DU$3,属性标头_阶段属性,0),FALSE)</f>
        <v>464</v>
      </c>
      <c r="DV4" s="2">
        <f t="shared" si="30"/>
        <v>29</v>
      </c>
      <c r="DW4" s="2">
        <f t="shared" si="30"/>
        <v>98</v>
      </c>
      <c r="DX4" s="2">
        <f t="shared" si="30"/>
        <v>44</v>
      </c>
      <c r="DY4" s="2">
        <f t="shared" si="30"/>
        <v>108</v>
      </c>
      <c r="DZ4" s="2">
        <f t="shared" si="30"/>
        <v>26</v>
      </c>
      <c r="EB4" s="2" t="str">
        <f t="shared" ref="EB4:EB15" si="31">DS4</f>
        <v>T1低1</v>
      </c>
      <c r="EC4" s="2" t="str">
        <f t="shared" ref="EC4:EC15" si="32">DT4</f>
        <v>T1低3</v>
      </c>
      <c r="ED4" s="2">
        <f t="shared" ref="ED4:EI15" si="33">VLOOKUP($CS4,重坦自动_阶段属性,MATCH(ED$3,属性标头_阶段属性,0),FALSE)-VLOOKUP($CR4,重坦自动_阶段属性,MATCH(ED$3,属性标头_阶段属性,0),FALSE)</f>
        <v>500</v>
      </c>
      <c r="EE4" s="2">
        <f t="shared" si="33"/>
        <v>93</v>
      </c>
      <c r="EF4" s="2">
        <f t="shared" si="33"/>
        <v>35</v>
      </c>
      <c r="EG4" s="2">
        <f t="shared" si="33"/>
        <v>85</v>
      </c>
      <c r="EH4" s="2">
        <f t="shared" si="33"/>
        <v>126</v>
      </c>
      <c r="EI4" s="2">
        <f t="shared" si="33"/>
        <v>27</v>
      </c>
      <c r="EK4" s="2" t="str">
        <f t="shared" ref="EK4:EK15" si="34">EB4</f>
        <v>T1低1</v>
      </c>
      <c r="EL4" s="2" t="str">
        <f t="shared" ref="EL4:EL15" si="35">EC4</f>
        <v>T1低3</v>
      </c>
      <c r="EM4" s="2">
        <f t="shared" ref="EM4:ER15" si="36">VLOOKUP($CS4,重坦单发_阶段属性,MATCH(EM$3,属性标头_阶段属性,0),FALSE)-VLOOKUP($CR4,重坦单发_阶段属性,MATCH(EM$3,属性标头_阶段属性,0),FALSE)</f>
        <v>500</v>
      </c>
      <c r="EN4" s="2">
        <f t="shared" si="36"/>
        <v>124</v>
      </c>
      <c r="EO4" s="2">
        <f t="shared" si="36"/>
        <v>37</v>
      </c>
      <c r="EP4" s="2">
        <f t="shared" si="36"/>
        <v>95</v>
      </c>
      <c r="EQ4" s="2">
        <f t="shared" si="36"/>
        <v>126</v>
      </c>
      <c r="ER4" s="2">
        <f t="shared" si="36"/>
        <v>27</v>
      </c>
    </row>
    <row r="5" spans="2:148" x14ac:dyDescent="0.3">
      <c r="B5" s="149">
        <v>2</v>
      </c>
      <c r="C5" s="2">
        <v>2</v>
      </c>
      <c r="D5" s="2">
        <v>4</v>
      </c>
      <c r="E5" s="2">
        <v>2</v>
      </c>
      <c r="F5" s="2">
        <v>4</v>
      </c>
      <c r="G5" s="2"/>
      <c r="H5" s="2"/>
      <c r="I5" s="214">
        <v>2</v>
      </c>
      <c r="J5" s="214">
        <v>2</v>
      </c>
      <c r="K5" s="214"/>
      <c r="L5" s="2">
        <f t="shared" si="0"/>
        <v>7</v>
      </c>
      <c r="M5" s="2">
        <f>((E5+1)+(F5))/2*(F5-E5)</f>
        <v>7</v>
      </c>
      <c r="N5" s="2"/>
      <c r="O5" s="2">
        <f t="shared" si="1"/>
        <v>9</v>
      </c>
      <c r="P5" s="2">
        <f>(($C$4+1)+(F5))/2*(F5-$C$4)</f>
        <v>9</v>
      </c>
      <c r="Q5" s="2"/>
      <c r="R5" s="21">
        <v>0.08</v>
      </c>
      <c r="S5" s="21">
        <v>0.09</v>
      </c>
      <c r="T5" s="21"/>
      <c r="Y5" s="2" t="s">
        <v>766</v>
      </c>
      <c r="Z5" s="34">
        <f t="shared" ref="Z5:Z27" si="37">IFERROR(VLOOKUP(Y5,$F$13:$J$24,5,FALSE),VLOOKUP(Y5,$G$13:$K$24,5,FALSE))</f>
        <v>1.2</v>
      </c>
      <c r="AA5" s="34">
        <v>1.18</v>
      </c>
      <c r="AB5" s="2"/>
      <c r="AE5" s="2" t="str">
        <f t="shared" si="2"/>
        <v>T2低2</v>
      </c>
      <c r="AF5" s="2">
        <f t="shared" ref="AF5:AF27" si="38">ROUND(VLOOKUP($AE$2,$B$45:$J$52,MATCH(AF$3,$B$45:$J$45,0),FALSE)*$AA5,0)</f>
        <v>944</v>
      </c>
      <c r="AG5" s="2">
        <f t="shared" si="3"/>
        <v>104</v>
      </c>
      <c r="AH5" s="2">
        <f t="shared" si="3"/>
        <v>360</v>
      </c>
      <c r="AI5" s="2">
        <f t="shared" si="3"/>
        <v>144</v>
      </c>
      <c r="AJ5" s="2">
        <f t="shared" si="3"/>
        <v>360</v>
      </c>
      <c r="AK5" s="2">
        <f t="shared" si="3"/>
        <v>96</v>
      </c>
      <c r="AM5" s="2" t="str">
        <f t="shared" si="4"/>
        <v>T2低2</v>
      </c>
      <c r="AN5" s="2">
        <f t="shared" ref="AN5:AN27" si="39">ROUND(VLOOKUP($AM$2,$B$45:$J$52,MATCH(AN$3,$B$45:$J$45,0),FALSE)*$AA5,0)</f>
        <v>944</v>
      </c>
      <c r="AO5" s="2">
        <f t="shared" si="5"/>
        <v>57</v>
      </c>
      <c r="AP5" s="2">
        <f t="shared" si="5"/>
        <v>394</v>
      </c>
      <c r="AQ5" s="2">
        <f t="shared" si="5"/>
        <v>158</v>
      </c>
      <c r="AR5" s="2">
        <f t="shared" si="5"/>
        <v>360</v>
      </c>
      <c r="AS5" s="2">
        <f t="shared" si="5"/>
        <v>96</v>
      </c>
      <c r="AT5" s="25"/>
      <c r="AU5" s="2" t="str">
        <f t="shared" si="6"/>
        <v>T2低2</v>
      </c>
      <c r="AV5" s="2">
        <f t="shared" ref="AV5:AV27" si="40">ROUND(VLOOKUP($AU$2,$B$45:$J$52,MATCH(AV$3,$B$45:$J$45,0),FALSE)*$AA5,0)</f>
        <v>944</v>
      </c>
      <c r="AW5" s="2">
        <f t="shared" si="7"/>
        <v>218</v>
      </c>
      <c r="AX5" s="2">
        <f t="shared" si="7"/>
        <v>429</v>
      </c>
      <c r="AY5" s="2">
        <f t="shared" si="7"/>
        <v>171</v>
      </c>
      <c r="AZ5" s="2">
        <f t="shared" si="7"/>
        <v>360</v>
      </c>
      <c r="BA5" s="2">
        <f t="shared" si="7"/>
        <v>96</v>
      </c>
      <c r="BB5" s="25"/>
      <c r="BC5" s="2" t="str">
        <f t="shared" si="8"/>
        <v>T2低2</v>
      </c>
      <c r="BD5" s="2">
        <f t="shared" ref="BD5:BD27" si="41">ROUND(VLOOKUP($BC$2,$B$45:$J$52,MATCH(BD$3,$B$45:$J$45,0),FALSE)*$AA5,0)</f>
        <v>995</v>
      </c>
      <c r="BE5" s="2">
        <f t="shared" si="9"/>
        <v>95</v>
      </c>
      <c r="BF5" s="2">
        <f t="shared" si="9"/>
        <v>343</v>
      </c>
      <c r="BG5" s="2">
        <f t="shared" si="9"/>
        <v>154</v>
      </c>
      <c r="BH5" s="2">
        <f t="shared" si="9"/>
        <v>432</v>
      </c>
      <c r="BI5" s="2">
        <f t="shared" si="9"/>
        <v>101</v>
      </c>
      <c r="BK5" s="2" t="str">
        <f t="shared" si="10"/>
        <v>T2低2</v>
      </c>
      <c r="BL5" s="2">
        <f t="shared" ref="BL5:BL27" si="42">ROUND(VLOOKUP($BK$2,$B$45:$J$52,MATCH(BL$3,$B$45:$J$45,0),FALSE)*$AA5,0)</f>
        <v>995</v>
      </c>
      <c r="BM5" s="2">
        <f t="shared" si="11"/>
        <v>116</v>
      </c>
      <c r="BN5" s="2">
        <f t="shared" si="11"/>
        <v>394</v>
      </c>
      <c r="BO5" s="2">
        <f t="shared" si="11"/>
        <v>177</v>
      </c>
      <c r="BP5" s="2">
        <f t="shared" si="11"/>
        <v>432</v>
      </c>
      <c r="BQ5" s="2">
        <f t="shared" si="11"/>
        <v>101</v>
      </c>
      <c r="BS5" s="2" t="str">
        <f t="shared" si="12"/>
        <v>T2低2</v>
      </c>
      <c r="BT5" s="2">
        <f t="shared" ref="BT5:BT27" si="43">ROUND(VLOOKUP($BS$2,$B$45:$J$52,MATCH(BT$3,$B$45:$J$45,0),FALSE)*$AA5,0)</f>
        <v>1074</v>
      </c>
      <c r="BU5" s="2">
        <f t="shared" si="13"/>
        <v>373</v>
      </c>
      <c r="BV5" s="2">
        <f t="shared" si="13"/>
        <v>137</v>
      </c>
      <c r="BW5" s="2">
        <f t="shared" si="13"/>
        <v>343</v>
      </c>
      <c r="BX5" s="2">
        <f t="shared" si="13"/>
        <v>504</v>
      </c>
      <c r="BY5" s="2">
        <f t="shared" si="13"/>
        <v>109</v>
      </c>
      <c r="CA5" s="2" t="str">
        <f t="shared" si="14"/>
        <v>T2低2</v>
      </c>
      <c r="CB5" s="2">
        <f t="shared" ref="CB5:CB27" si="44">ROUND(VLOOKUP($CA$2,$B$45:$J$52,MATCH(CB$3,$B$45:$J$45,0),FALSE)*$AA5,0)</f>
        <v>1074</v>
      </c>
      <c r="CC5" s="2">
        <f t="shared" si="15"/>
        <v>498</v>
      </c>
      <c r="CD5" s="2">
        <f t="shared" si="15"/>
        <v>151</v>
      </c>
      <c r="CE5" s="2">
        <f t="shared" si="15"/>
        <v>377</v>
      </c>
      <c r="CF5" s="2">
        <f t="shared" si="15"/>
        <v>504</v>
      </c>
      <c r="CG5" s="2">
        <f t="shared" si="15"/>
        <v>109</v>
      </c>
      <c r="CH5" s="25"/>
      <c r="CI5" s="2" t="str">
        <f t="shared" si="16"/>
        <v>T2低2</v>
      </c>
      <c r="CJ5" s="2" t="str">
        <f t="shared" si="17"/>
        <v>T2低4</v>
      </c>
      <c r="CK5" s="2">
        <f t="shared" si="18"/>
        <v>368</v>
      </c>
      <c r="CL5" s="2">
        <f t="shared" si="18"/>
        <v>44</v>
      </c>
      <c r="CM5" s="2">
        <f t="shared" si="18"/>
        <v>150</v>
      </c>
      <c r="CN5" s="2">
        <f t="shared" si="18"/>
        <v>60</v>
      </c>
      <c r="CO5" s="2">
        <f t="shared" si="18"/>
        <v>150</v>
      </c>
      <c r="CP5" s="2">
        <f t="shared" si="18"/>
        <v>40</v>
      </c>
      <c r="CR5" s="2" t="str">
        <f t="shared" si="19"/>
        <v>T2低2</v>
      </c>
      <c r="CS5" s="2" t="str">
        <f t="shared" si="20"/>
        <v>T2低4</v>
      </c>
      <c r="CT5" s="2">
        <f t="shared" si="21"/>
        <v>368</v>
      </c>
      <c r="CU5" s="2">
        <f t="shared" si="21"/>
        <v>23</v>
      </c>
      <c r="CV5" s="2">
        <f t="shared" si="21"/>
        <v>165</v>
      </c>
      <c r="CW5" s="2">
        <f t="shared" si="21"/>
        <v>65</v>
      </c>
      <c r="CX5" s="2">
        <f t="shared" si="21"/>
        <v>150</v>
      </c>
      <c r="CY5" s="2">
        <f t="shared" si="21"/>
        <v>40</v>
      </c>
      <c r="CZ5" s="25"/>
      <c r="DA5" s="2" t="str">
        <f t="shared" si="22"/>
        <v>T2低2</v>
      </c>
      <c r="DB5" s="2" t="str">
        <f t="shared" si="23"/>
        <v>T2低4</v>
      </c>
      <c r="DC5" s="2">
        <f t="shared" si="24"/>
        <v>368</v>
      </c>
      <c r="DD5" s="2">
        <f t="shared" si="24"/>
        <v>91</v>
      </c>
      <c r="DE5" s="2">
        <f t="shared" si="24"/>
        <v>178</v>
      </c>
      <c r="DF5" s="2">
        <f t="shared" si="24"/>
        <v>72</v>
      </c>
      <c r="DG5" s="2">
        <f t="shared" si="24"/>
        <v>150</v>
      </c>
      <c r="DH5" s="2">
        <f t="shared" si="24"/>
        <v>40</v>
      </c>
      <c r="DI5" s="25"/>
      <c r="DJ5" s="2" t="str">
        <f t="shared" si="25"/>
        <v>T2低2</v>
      </c>
      <c r="DK5" s="2" t="str">
        <f t="shared" si="26"/>
        <v>T2低4</v>
      </c>
      <c r="DL5" s="2">
        <f t="shared" si="27"/>
        <v>387</v>
      </c>
      <c r="DM5" s="2">
        <f t="shared" si="27"/>
        <v>40</v>
      </c>
      <c r="DN5" s="2">
        <f t="shared" si="27"/>
        <v>143</v>
      </c>
      <c r="DO5" s="2">
        <f t="shared" si="27"/>
        <v>65</v>
      </c>
      <c r="DP5" s="2">
        <f t="shared" si="27"/>
        <v>180</v>
      </c>
      <c r="DQ5" s="2">
        <f t="shared" si="27"/>
        <v>42</v>
      </c>
      <c r="DS5" s="2" t="str">
        <f t="shared" si="28"/>
        <v>T2低2</v>
      </c>
      <c r="DT5" s="2" t="str">
        <f t="shared" si="29"/>
        <v>T2低4</v>
      </c>
      <c r="DU5" s="2">
        <f t="shared" si="30"/>
        <v>387</v>
      </c>
      <c r="DV5" s="2">
        <f t="shared" si="30"/>
        <v>48</v>
      </c>
      <c r="DW5" s="2">
        <f t="shared" si="30"/>
        <v>165</v>
      </c>
      <c r="DX5" s="2">
        <f t="shared" si="30"/>
        <v>74</v>
      </c>
      <c r="DY5" s="2">
        <f t="shared" si="30"/>
        <v>180</v>
      </c>
      <c r="DZ5" s="2">
        <f t="shared" si="30"/>
        <v>42</v>
      </c>
      <c r="EB5" s="2" t="str">
        <f t="shared" si="31"/>
        <v>T2低2</v>
      </c>
      <c r="EC5" s="2" t="str">
        <f t="shared" si="32"/>
        <v>T2低4</v>
      </c>
      <c r="ED5" s="2">
        <f t="shared" si="33"/>
        <v>419</v>
      </c>
      <c r="EE5" s="2">
        <f t="shared" si="33"/>
        <v>155</v>
      </c>
      <c r="EF5" s="2">
        <f t="shared" si="33"/>
        <v>57</v>
      </c>
      <c r="EG5" s="2">
        <f t="shared" si="33"/>
        <v>143</v>
      </c>
      <c r="EH5" s="2">
        <f t="shared" si="33"/>
        <v>210</v>
      </c>
      <c r="EI5" s="2">
        <f t="shared" si="33"/>
        <v>46</v>
      </c>
      <c r="EK5" s="2" t="str">
        <f t="shared" si="34"/>
        <v>T2低2</v>
      </c>
      <c r="EL5" s="2" t="str">
        <f t="shared" si="35"/>
        <v>T2低4</v>
      </c>
      <c r="EM5" s="2">
        <f t="shared" si="36"/>
        <v>419</v>
      </c>
      <c r="EN5" s="2">
        <f t="shared" si="36"/>
        <v>207</v>
      </c>
      <c r="EO5" s="2">
        <f t="shared" si="36"/>
        <v>63</v>
      </c>
      <c r="EP5" s="2">
        <f t="shared" si="36"/>
        <v>157</v>
      </c>
      <c r="EQ5" s="2">
        <f t="shared" si="36"/>
        <v>210</v>
      </c>
      <c r="ER5" s="2">
        <f t="shared" si="36"/>
        <v>46</v>
      </c>
    </row>
    <row r="6" spans="2:148" x14ac:dyDescent="0.3">
      <c r="B6" s="211">
        <v>3</v>
      </c>
      <c r="C6" s="2">
        <v>3</v>
      </c>
      <c r="D6" s="2">
        <v>5</v>
      </c>
      <c r="E6" s="2">
        <v>3</v>
      </c>
      <c r="F6" s="2">
        <v>5</v>
      </c>
      <c r="G6" s="2">
        <v>3</v>
      </c>
      <c r="H6" s="2">
        <v>5</v>
      </c>
      <c r="I6" s="214">
        <v>2</v>
      </c>
      <c r="J6" s="214">
        <v>2</v>
      </c>
      <c r="K6" s="214">
        <v>2</v>
      </c>
      <c r="L6" s="2">
        <f t="shared" si="0"/>
        <v>9</v>
      </c>
      <c r="M6" s="2">
        <f>((E6+1)+(F6))/2*(F6-E6)</f>
        <v>9</v>
      </c>
      <c r="N6" s="2">
        <f>((G6+1)+(H6))/2*(H6-G6)</f>
        <v>9</v>
      </c>
      <c r="O6" s="2">
        <f t="shared" si="1"/>
        <v>14</v>
      </c>
      <c r="P6" s="2">
        <f>(($C$4+1)+(F6))/2*(F6-$C$4)</f>
        <v>14</v>
      </c>
      <c r="Q6" s="2">
        <f>(($C$4+1)+(H6))/2*(H6-$C$4)</f>
        <v>14</v>
      </c>
      <c r="R6" s="21">
        <v>0.09</v>
      </c>
      <c r="S6" s="21">
        <v>0.1</v>
      </c>
      <c r="T6" s="21">
        <v>0.11</v>
      </c>
      <c r="Y6" s="2" t="s">
        <v>767</v>
      </c>
      <c r="Z6" s="34">
        <f t="shared" si="37"/>
        <v>1.22</v>
      </c>
      <c r="AA6" s="34">
        <v>1.22</v>
      </c>
      <c r="AB6" s="2"/>
      <c r="AE6" s="2" t="str">
        <f t="shared" si="2"/>
        <v>T2中2</v>
      </c>
      <c r="AF6" s="2">
        <f t="shared" si="38"/>
        <v>976</v>
      </c>
      <c r="AG6" s="2">
        <f t="shared" si="3"/>
        <v>106</v>
      </c>
      <c r="AH6" s="2">
        <f t="shared" si="3"/>
        <v>366</v>
      </c>
      <c r="AI6" s="2">
        <f t="shared" si="3"/>
        <v>146</v>
      </c>
      <c r="AJ6" s="2">
        <f t="shared" si="3"/>
        <v>366</v>
      </c>
      <c r="AK6" s="2">
        <f t="shared" si="3"/>
        <v>98</v>
      </c>
      <c r="AM6" s="2" t="str">
        <f t="shared" si="4"/>
        <v>T2中2</v>
      </c>
      <c r="AN6" s="2">
        <f t="shared" si="39"/>
        <v>976</v>
      </c>
      <c r="AO6" s="2">
        <f t="shared" si="5"/>
        <v>58</v>
      </c>
      <c r="AP6" s="2">
        <f t="shared" si="5"/>
        <v>401</v>
      </c>
      <c r="AQ6" s="2">
        <f t="shared" si="5"/>
        <v>160</v>
      </c>
      <c r="AR6" s="2">
        <f t="shared" si="5"/>
        <v>366</v>
      </c>
      <c r="AS6" s="2">
        <f t="shared" si="5"/>
        <v>98</v>
      </c>
      <c r="AT6" s="25"/>
      <c r="AU6" s="2" t="str">
        <f t="shared" si="6"/>
        <v>T2中2</v>
      </c>
      <c r="AV6" s="2">
        <f t="shared" si="40"/>
        <v>976</v>
      </c>
      <c r="AW6" s="2">
        <f t="shared" si="7"/>
        <v>222</v>
      </c>
      <c r="AX6" s="2">
        <f t="shared" si="7"/>
        <v>436</v>
      </c>
      <c r="AY6" s="2">
        <f t="shared" si="7"/>
        <v>174</v>
      </c>
      <c r="AZ6" s="2">
        <f t="shared" si="7"/>
        <v>366</v>
      </c>
      <c r="BA6" s="2">
        <f t="shared" si="7"/>
        <v>98</v>
      </c>
      <c r="BB6" s="25"/>
      <c r="BC6" s="2" t="str">
        <f t="shared" si="8"/>
        <v>T2中2</v>
      </c>
      <c r="BD6" s="2">
        <f t="shared" si="41"/>
        <v>1028</v>
      </c>
      <c r="BE6" s="2">
        <f t="shared" si="9"/>
        <v>97</v>
      </c>
      <c r="BF6" s="2">
        <f t="shared" si="9"/>
        <v>349</v>
      </c>
      <c r="BG6" s="2">
        <f t="shared" si="9"/>
        <v>157</v>
      </c>
      <c r="BH6" s="2">
        <f t="shared" si="9"/>
        <v>439</v>
      </c>
      <c r="BI6" s="2">
        <f t="shared" si="9"/>
        <v>103</v>
      </c>
      <c r="BK6" s="2" t="str">
        <f t="shared" si="10"/>
        <v>T2中2</v>
      </c>
      <c r="BL6" s="2">
        <f t="shared" si="42"/>
        <v>1028</v>
      </c>
      <c r="BM6" s="2">
        <f t="shared" si="11"/>
        <v>118</v>
      </c>
      <c r="BN6" s="2">
        <f t="shared" si="11"/>
        <v>401</v>
      </c>
      <c r="BO6" s="2">
        <f t="shared" si="11"/>
        <v>180</v>
      </c>
      <c r="BP6" s="2">
        <f t="shared" si="11"/>
        <v>439</v>
      </c>
      <c r="BQ6" s="2">
        <f t="shared" si="11"/>
        <v>103</v>
      </c>
      <c r="BS6" s="2" t="str">
        <f t="shared" si="12"/>
        <v>T2中2</v>
      </c>
      <c r="BT6" s="2">
        <f t="shared" si="43"/>
        <v>1110</v>
      </c>
      <c r="BU6" s="2">
        <f t="shared" si="13"/>
        <v>379</v>
      </c>
      <c r="BV6" s="2">
        <f t="shared" si="13"/>
        <v>139</v>
      </c>
      <c r="BW6" s="2">
        <f t="shared" si="13"/>
        <v>349</v>
      </c>
      <c r="BX6" s="2">
        <f t="shared" si="13"/>
        <v>512</v>
      </c>
      <c r="BY6" s="2">
        <f t="shared" si="13"/>
        <v>111</v>
      </c>
      <c r="CA6" s="2" t="str">
        <f t="shared" si="14"/>
        <v>T2中2</v>
      </c>
      <c r="CB6" s="2">
        <f t="shared" si="44"/>
        <v>1110</v>
      </c>
      <c r="CC6" s="2">
        <f t="shared" si="15"/>
        <v>506</v>
      </c>
      <c r="CD6" s="2">
        <f t="shared" si="15"/>
        <v>153</v>
      </c>
      <c r="CE6" s="2">
        <f t="shared" si="15"/>
        <v>383</v>
      </c>
      <c r="CF6" s="2">
        <f t="shared" si="15"/>
        <v>512</v>
      </c>
      <c r="CG6" s="2">
        <f t="shared" si="15"/>
        <v>111</v>
      </c>
      <c r="CH6" s="25"/>
      <c r="CI6" s="2" t="str">
        <f t="shared" si="16"/>
        <v>T2中2</v>
      </c>
      <c r="CJ6" s="2" t="str">
        <f t="shared" si="17"/>
        <v>T2中4</v>
      </c>
      <c r="CK6" s="2">
        <f t="shared" si="18"/>
        <v>432</v>
      </c>
      <c r="CL6" s="2">
        <f t="shared" si="18"/>
        <v>47</v>
      </c>
      <c r="CM6" s="2">
        <f t="shared" si="18"/>
        <v>162</v>
      </c>
      <c r="CN6" s="2">
        <f t="shared" si="18"/>
        <v>65</v>
      </c>
      <c r="CO6" s="2">
        <f t="shared" si="18"/>
        <v>162</v>
      </c>
      <c r="CP6" s="2">
        <f t="shared" si="18"/>
        <v>43</v>
      </c>
      <c r="CR6" s="2" t="str">
        <f t="shared" si="19"/>
        <v>T2中2</v>
      </c>
      <c r="CS6" s="2" t="str">
        <f t="shared" si="20"/>
        <v>T2中4</v>
      </c>
      <c r="CT6" s="2">
        <f t="shared" si="21"/>
        <v>432</v>
      </c>
      <c r="CU6" s="2">
        <f t="shared" si="21"/>
        <v>25</v>
      </c>
      <c r="CV6" s="2">
        <f t="shared" si="21"/>
        <v>177</v>
      </c>
      <c r="CW6" s="2">
        <f t="shared" si="21"/>
        <v>71</v>
      </c>
      <c r="CX6" s="2">
        <f t="shared" si="21"/>
        <v>162</v>
      </c>
      <c r="CY6" s="2">
        <f t="shared" si="21"/>
        <v>43</v>
      </c>
      <c r="CZ6" s="25"/>
      <c r="DA6" s="2" t="str">
        <f t="shared" si="22"/>
        <v>T2中2</v>
      </c>
      <c r="DB6" s="2" t="str">
        <f t="shared" si="23"/>
        <v>T2中4</v>
      </c>
      <c r="DC6" s="2">
        <f t="shared" si="24"/>
        <v>432</v>
      </c>
      <c r="DD6" s="2">
        <f t="shared" si="24"/>
        <v>98</v>
      </c>
      <c r="DE6" s="2">
        <f t="shared" si="24"/>
        <v>193</v>
      </c>
      <c r="DF6" s="2">
        <f t="shared" si="24"/>
        <v>77</v>
      </c>
      <c r="DG6" s="2">
        <f t="shared" si="24"/>
        <v>162</v>
      </c>
      <c r="DH6" s="2">
        <f t="shared" si="24"/>
        <v>43</v>
      </c>
      <c r="DI6" s="25"/>
      <c r="DJ6" s="2" t="str">
        <f t="shared" si="25"/>
        <v>T2中2</v>
      </c>
      <c r="DK6" s="2" t="str">
        <f t="shared" si="26"/>
        <v>T2中4</v>
      </c>
      <c r="DL6" s="2">
        <f t="shared" si="27"/>
        <v>456</v>
      </c>
      <c r="DM6" s="2">
        <f t="shared" si="27"/>
        <v>43</v>
      </c>
      <c r="DN6" s="2">
        <f t="shared" si="27"/>
        <v>154</v>
      </c>
      <c r="DO6" s="2">
        <f t="shared" si="27"/>
        <v>69</v>
      </c>
      <c r="DP6" s="2">
        <f t="shared" si="27"/>
        <v>195</v>
      </c>
      <c r="DQ6" s="2">
        <f t="shared" si="27"/>
        <v>45</v>
      </c>
      <c r="DS6" s="2" t="str">
        <f t="shared" si="28"/>
        <v>T2中2</v>
      </c>
      <c r="DT6" s="2" t="str">
        <f t="shared" si="29"/>
        <v>T2中4</v>
      </c>
      <c r="DU6" s="2">
        <f t="shared" si="30"/>
        <v>456</v>
      </c>
      <c r="DV6" s="2">
        <f t="shared" si="30"/>
        <v>52</v>
      </c>
      <c r="DW6" s="2">
        <f t="shared" si="30"/>
        <v>177</v>
      </c>
      <c r="DX6" s="2">
        <f t="shared" si="30"/>
        <v>80</v>
      </c>
      <c r="DY6" s="2">
        <f t="shared" si="30"/>
        <v>195</v>
      </c>
      <c r="DZ6" s="2">
        <f t="shared" si="30"/>
        <v>45</v>
      </c>
      <c r="EB6" s="2" t="str">
        <f t="shared" si="31"/>
        <v>T2中2</v>
      </c>
      <c r="EC6" s="2" t="str">
        <f t="shared" si="32"/>
        <v>T2中4</v>
      </c>
      <c r="ED6" s="2">
        <f t="shared" si="33"/>
        <v>492</v>
      </c>
      <c r="EE6" s="2">
        <f t="shared" si="33"/>
        <v>167</v>
      </c>
      <c r="EF6" s="2">
        <f t="shared" si="33"/>
        <v>62</v>
      </c>
      <c r="EG6" s="2">
        <f t="shared" si="33"/>
        <v>154</v>
      </c>
      <c r="EH6" s="2">
        <f t="shared" si="33"/>
        <v>227</v>
      </c>
      <c r="EI6" s="2">
        <f t="shared" si="33"/>
        <v>49</v>
      </c>
      <c r="EK6" s="2" t="str">
        <f t="shared" si="34"/>
        <v>T2中2</v>
      </c>
      <c r="EL6" s="2" t="str">
        <f t="shared" si="35"/>
        <v>T2中4</v>
      </c>
      <c r="EM6" s="2">
        <f t="shared" si="36"/>
        <v>492</v>
      </c>
      <c r="EN6" s="2">
        <f t="shared" si="36"/>
        <v>224</v>
      </c>
      <c r="EO6" s="2">
        <f t="shared" si="36"/>
        <v>68</v>
      </c>
      <c r="EP6" s="2">
        <f t="shared" si="36"/>
        <v>170</v>
      </c>
      <c r="EQ6" s="2">
        <f t="shared" si="36"/>
        <v>227</v>
      </c>
      <c r="ER6" s="2">
        <f t="shared" si="36"/>
        <v>49</v>
      </c>
    </row>
    <row r="7" spans="2:148" x14ac:dyDescent="0.3">
      <c r="B7" s="212">
        <v>4</v>
      </c>
      <c r="C7" s="2">
        <v>4</v>
      </c>
      <c r="D7" s="2">
        <v>7</v>
      </c>
      <c r="E7" s="2">
        <v>4</v>
      </c>
      <c r="F7" s="2">
        <v>7</v>
      </c>
      <c r="G7" s="2">
        <v>4</v>
      </c>
      <c r="H7" s="2">
        <v>7</v>
      </c>
      <c r="I7" s="214">
        <v>2</v>
      </c>
      <c r="J7" s="214">
        <v>2</v>
      </c>
      <c r="K7" s="214">
        <v>2</v>
      </c>
      <c r="L7" s="2">
        <f t="shared" si="0"/>
        <v>18</v>
      </c>
      <c r="M7" s="2">
        <f>((E7+1)+(F7))/2*(F7-E7)</f>
        <v>18</v>
      </c>
      <c r="N7" s="2">
        <f>((G7+1)+(H7))/2*(H7-G7)</f>
        <v>18</v>
      </c>
      <c r="O7" s="2">
        <f t="shared" si="1"/>
        <v>27</v>
      </c>
      <c r="P7" s="2">
        <f>(($C$4+1)+(F7))/2*(F7-$C$4)</f>
        <v>27</v>
      </c>
      <c r="Q7" s="2">
        <f>(($C$4+1)+(H7))/2*(H7-$C$4)</f>
        <v>27</v>
      </c>
      <c r="R7" s="21">
        <v>0.1</v>
      </c>
      <c r="S7" s="21">
        <v>0.11</v>
      </c>
      <c r="T7" s="21">
        <v>0.12</v>
      </c>
      <c r="Y7" s="2" t="s">
        <v>768</v>
      </c>
      <c r="Z7" s="34">
        <f t="shared" si="37"/>
        <v>1.3</v>
      </c>
      <c r="AA7" s="34">
        <v>1.3</v>
      </c>
      <c r="AB7" s="2"/>
      <c r="AE7" s="2" t="str">
        <f t="shared" si="2"/>
        <v>T1低3</v>
      </c>
      <c r="AF7" s="2">
        <f t="shared" si="38"/>
        <v>1040</v>
      </c>
      <c r="AG7" s="2">
        <f t="shared" si="3"/>
        <v>113</v>
      </c>
      <c r="AH7" s="2">
        <f t="shared" si="3"/>
        <v>390</v>
      </c>
      <c r="AI7" s="2">
        <f t="shared" si="3"/>
        <v>156</v>
      </c>
      <c r="AJ7" s="2">
        <f t="shared" si="3"/>
        <v>390</v>
      </c>
      <c r="AK7" s="2">
        <f t="shared" si="3"/>
        <v>104</v>
      </c>
      <c r="AM7" s="2" t="str">
        <f t="shared" si="4"/>
        <v>T1低3</v>
      </c>
      <c r="AN7" s="2">
        <f t="shared" si="39"/>
        <v>1040</v>
      </c>
      <c r="AO7" s="2">
        <f t="shared" si="5"/>
        <v>61</v>
      </c>
      <c r="AP7" s="2">
        <f t="shared" si="5"/>
        <v>427</v>
      </c>
      <c r="AQ7" s="2">
        <f t="shared" si="5"/>
        <v>171</v>
      </c>
      <c r="AR7" s="2">
        <f t="shared" si="5"/>
        <v>390</v>
      </c>
      <c r="AS7" s="2">
        <f t="shared" si="5"/>
        <v>104</v>
      </c>
      <c r="AT7" s="25"/>
      <c r="AU7" s="2" t="str">
        <f t="shared" si="6"/>
        <v>T1低3</v>
      </c>
      <c r="AV7" s="2">
        <f t="shared" si="40"/>
        <v>1040</v>
      </c>
      <c r="AW7" s="2">
        <f t="shared" si="7"/>
        <v>236</v>
      </c>
      <c r="AX7" s="2">
        <f t="shared" si="7"/>
        <v>464</v>
      </c>
      <c r="AY7" s="2">
        <f t="shared" si="7"/>
        <v>186</v>
      </c>
      <c r="AZ7" s="2">
        <f t="shared" si="7"/>
        <v>390</v>
      </c>
      <c r="BA7" s="2">
        <f t="shared" si="7"/>
        <v>104</v>
      </c>
      <c r="BB7" s="25"/>
      <c r="BC7" s="2" t="str">
        <f t="shared" si="8"/>
        <v>T1低3</v>
      </c>
      <c r="BD7" s="2">
        <f t="shared" si="41"/>
        <v>1096</v>
      </c>
      <c r="BE7" s="2">
        <f t="shared" si="9"/>
        <v>103</v>
      </c>
      <c r="BF7" s="2">
        <f t="shared" si="9"/>
        <v>371</v>
      </c>
      <c r="BG7" s="2">
        <f t="shared" si="9"/>
        <v>167</v>
      </c>
      <c r="BH7" s="2">
        <f t="shared" si="9"/>
        <v>468</v>
      </c>
      <c r="BI7" s="2">
        <f t="shared" si="9"/>
        <v>110</v>
      </c>
      <c r="BK7" s="2" t="str">
        <f t="shared" si="10"/>
        <v>T1低3</v>
      </c>
      <c r="BL7" s="2">
        <f t="shared" si="42"/>
        <v>1096</v>
      </c>
      <c r="BM7" s="2">
        <f t="shared" si="11"/>
        <v>126</v>
      </c>
      <c r="BN7" s="2">
        <f t="shared" si="11"/>
        <v>427</v>
      </c>
      <c r="BO7" s="2">
        <f t="shared" si="11"/>
        <v>192</v>
      </c>
      <c r="BP7" s="2">
        <f t="shared" si="11"/>
        <v>468</v>
      </c>
      <c r="BQ7" s="2">
        <f t="shared" si="11"/>
        <v>110</v>
      </c>
      <c r="BS7" s="2" t="str">
        <f t="shared" si="12"/>
        <v>T1低3</v>
      </c>
      <c r="BT7" s="2">
        <f t="shared" si="43"/>
        <v>1183</v>
      </c>
      <c r="BU7" s="2">
        <f t="shared" si="13"/>
        <v>404</v>
      </c>
      <c r="BV7" s="2">
        <f t="shared" si="13"/>
        <v>149</v>
      </c>
      <c r="BW7" s="2">
        <f t="shared" si="13"/>
        <v>371</v>
      </c>
      <c r="BX7" s="2">
        <f t="shared" si="13"/>
        <v>546</v>
      </c>
      <c r="BY7" s="2">
        <f t="shared" si="13"/>
        <v>118</v>
      </c>
      <c r="CA7" s="2" t="str">
        <f t="shared" si="14"/>
        <v>T1低3</v>
      </c>
      <c r="CB7" s="2">
        <f t="shared" si="44"/>
        <v>1183</v>
      </c>
      <c r="CC7" s="2">
        <f t="shared" si="15"/>
        <v>539</v>
      </c>
      <c r="CD7" s="2">
        <f t="shared" si="15"/>
        <v>163</v>
      </c>
      <c r="CE7" s="2">
        <f t="shared" si="15"/>
        <v>409</v>
      </c>
      <c r="CF7" s="2">
        <f t="shared" si="15"/>
        <v>546</v>
      </c>
      <c r="CG7" s="2">
        <f t="shared" si="15"/>
        <v>118</v>
      </c>
      <c r="CH7" s="25"/>
      <c r="CI7" s="2" t="str">
        <f t="shared" si="16"/>
        <v>T3低3</v>
      </c>
      <c r="CJ7" s="2" t="str">
        <f t="shared" si="17"/>
        <v>T3低5</v>
      </c>
      <c r="CK7" s="2">
        <f t="shared" si="18"/>
        <v>512</v>
      </c>
      <c r="CL7" s="2">
        <f t="shared" si="18"/>
        <v>60</v>
      </c>
      <c r="CM7" s="2">
        <f t="shared" si="18"/>
        <v>207</v>
      </c>
      <c r="CN7" s="2">
        <f t="shared" si="18"/>
        <v>82</v>
      </c>
      <c r="CO7" s="2">
        <f t="shared" si="18"/>
        <v>207</v>
      </c>
      <c r="CP7" s="2">
        <f t="shared" si="18"/>
        <v>56</v>
      </c>
      <c r="CR7" s="2" t="str">
        <f t="shared" si="19"/>
        <v>T3低3</v>
      </c>
      <c r="CS7" s="2" t="str">
        <f t="shared" si="20"/>
        <v>T3低5</v>
      </c>
      <c r="CT7" s="2">
        <f t="shared" si="21"/>
        <v>512</v>
      </c>
      <c r="CU7" s="2">
        <f t="shared" si="21"/>
        <v>32</v>
      </c>
      <c r="CV7" s="2">
        <f t="shared" si="21"/>
        <v>227</v>
      </c>
      <c r="CW7" s="2">
        <f t="shared" si="21"/>
        <v>90</v>
      </c>
      <c r="CX7" s="2">
        <f t="shared" si="21"/>
        <v>207</v>
      </c>
      <c r="CY7" s="2">
        <f t="shared" si="21"/>
        <v>56</v>
      </c>
      <c r="CZ7" s="25"/>
      <c r="DA7" s="2" t="str">
        <f t="shared" si="22"/>
        <v>T3低3</v>
      </c>
      <c r="DB7" s="2" t="str">
        <f t="shared" si="23"/>
        <v>T3低5</v>
      </c>
      <c r="DC7" s="2">
        <f t="shared" si="24"/>
        <v>512</v>
      </c>
      <c r="DD7" s="2">
        <f t="shared" si="24"/>
        <v>125</v>
      </c>
      <c r="DE7" s="2">
        <f t="shared" si="24"/>
        <v>246</v>
      </c>
      <c r="DF7" s="2">
        <f t="shared" si="24"/>
        <v>99</v>
      </c>
      <c r="DG7" s="2">
        <f t="shared" si="24"/>
        <v>207</v>
      </c>
      <c r="DH7" s="2">
        <f t="shared" si="24"/>
        <v>56</v>
      </c>
      <c r="DI7" s="25"/>
      <c r="DJ7" s="2" t="str">
        <f t="shared" si="25"/>
        <v>T3低3</v>
      </c>
      <c r="DK7" s="2" t="str">
        <f t="shared" si="26"/>
        <v>T3低5</v>
      </c>
      <c r="DL7" s="2">
        <f t="shared" si="27"/>
        <v>539</v>
      </c>
      <c r="DM7" s="2">
        <f t="shared" si="27"/>
        <v>54</v>
      </c>
      <c r="DN7" s="2">
        <f t="shared" si="27"/>
        <v>197</v>
      </c>
      <c r="DO7" s="2">
        <f t="shared" si="27"/>
        <v>89</v>
      </c>
      <c r="DP7" s="2">
        <f t="shared" si="27"/>
        <v>248</v>
      </c>
      <c r="DQ7" s="2">
        <f t="shared" si="27"/>
        <v>58</v>
      </c>
      <c r="DS7" s="2" t="str">
        <f t="shared" si="28"/>
        <v>T3低3</v>
      </c>
      <c r="DT7" s="2" t="str">
        <f t="shared" si="29"/>
        <v>T3低5</v>
      </c>
      <c r="DU7" s="2">
        <f t="shared" si="30"/>
        <v>539</v>
      </c>
      <c r="DV7" s="2">
        <f t="shared" si="30"/>
        <v>67</v>
      </c>
      <c r="DW7" s="2">
        <f t="shared" si="30"/>
        <v>227</v>
      </c>
      <c r="DX7" s="2">
        <f t="shared" si="30"/>
        <v>102</v>
      </c>
      <c r="DY7" s="2">
        <f t="shared" si="30"/>
        <v>248</v>
      </c>
      <c r="DZ7" s="2">
        <f t="shared" si="30"/>
        <v>58</v>
      </c>
      <c r="EB7" s="2" t="str">
        <f t="shared" si="31"/>
        <v>T3低3</v>
      </c>
      <c r="EC7" s="2" t="str">
        <f t="shared" si="32"/>
        <v>T3低5</v>
      </c>
      <c r="ED7" s="2">
        <f t="shared" si="33"/>
        <v>583</v>
      </c>
      <c r="EE7" s="2">
        <f t="shared" si="33"/>
        <v>214</v>
      </c>
      <c r="EF7" s="2">
        <f t="shared" si="33"/>
        <v>79</v>
      </c>
      <c r="EG7" s="2">
        <f t="shared" si="33"/>
        <v>197</v>
      </c>
      <c r="EH7" s="2">
        <f t="shared" si="33"/>
        <v>289</v>
      </c>
      <c r="EI7" s="2">
        <f t="shared" si="33"/>
        <v>63</v>
      </c>
      <c r="EK7" s="2" t="str">
        <f t="shared" si="34"/>
        <v>T3低3</v>
      </c>
      <c r="EL7" s="2" t="str">
        <f t="shared" si="35"/>
        <v>T3低5</v>
      </c>
      <c r="EM7" s="2">
        <f t="shared" si="36"/>
        <v>583</v>
      </c>
      <c r="EN7" s="2">
        <f t="shared" si="36"/>
        <v>286</v>
      </c>
      <c r="EO7" s="2">
        <f t="shared" si="36"/>
        <v>87</v>
      </c>
      <c r="EP7" s="2">
        <f t="shared" si="36"/>
        <v>217</v>
      </c>
      <c r="EQ7" s="2">
        <f t="shared" si="36"/>
        <v>289</v>
      </c>
      <c r="ER7" s="2">
        <f t="shared" si="36"/>
        <v>63</v>
      </c>
    </row>
    <row r="8" spans="2:148" x14ac:dyDescent="0.3">
      <c r="B8" s="102">
        <v>5</v>
      </c>
      <c r="C8" s="2">
        <v>5</v>
      </c>
      <c r="D8" s="2">
        <v>8</v>
      </c>
      <c r="E8" s="2">
        <v>5</v>
      </c>
      <c r="F8" s="2">
        <v>8</v>
      </c>
      <c r="G8" s="2">
        <v>5</v>
      </c>
      <c r="H8" s="2">
        <v>8</v>
      </c>
      <c r="I8" s="214">
        <v>2</v>
      </c>
      <c r="J8" s="214">
        <v>2</v>
      </c>
      <c r="K8" s="214">
        <v>2</v>
      </c>
      <c r="L8" s="2">
        <f t="shared" si="0"/>
        <v>21</v>
      </c>
      <c r="M8" s="2">
        <f>((E8+1)+(F8))/2*(F8-E8)</f>
        <v>21</v>
      </c>
      <c r="N8" s="2">
        <f>((G8+1)+(H8))/2*(H8-G8)</f>
        <v>21</v>
      </c>
      <c r="O8" s="2">
        <f t="shared" si="1"/>
        <v>35</v>
      </c>
      <c r="P8" s="2">
        <f>(($C$4+1)+(F8))/2*(F8-$C$4)</f>
        <v>35</v>
      </c>
      <c r="Q8" s="2">
        <f>(($C$4+1)+(H8))/2*(H8-$C$4)</f>
        <v>35</v>
      </c>
      <c r="R8" s="21">
        <v>0.11</v>
      </c>
      <c r="S8" s="21">
        <v>0.12</v>
      </c>
      <c r="T8" s="21">
        <v>0.13</v>
      </c>
      <c r="Y8" s="2" t="s">
        <v>769</v>
      </c>
      <c r="Z8" s="34">
        <f t="shared" si="37"/>
        <v>1.48</v>
      </c>
      <c r="AA8" s="34">
        <v>1.48</v>
      </c>
      <c r="AB8" s="2"/>
      <c r="AE8" s="2" t="str">
        <f t="shared" si="2"/>
        <v>T3低3</v>
      </c>
      <c r="AF8" s="2">
        <f t="shared" si="38"/>
        <v>1184</v>
      </c>
      <c r="AG8" s="2">
        <f t="shared" si="3"/>
        <v>129</v>
      </c>
      <c r="AH8" s="2">
        <f t="shared" si="3"/>
        <v>444</v>
      </c>
      <c r="AI8" s="2">
        <f t="shared" si="3"/>
        <v>178</v>
      </c>
      <c r="AJ8" s="2">
        <f t="shared" si="3"/>
        <v>444</v>
      </c>
      <c r="AK8" s="2">
        <f t="shared" si="3"/>
        <v>118</v>
      </c>
      <c r="AM8" s="2" t="str">
        <f t="shared" si="4"/>
        <v>T3低3</v>
      </c>
      <c r="AN8" s="2">
        <f t="shared" si="39"/>
        <v>1184</v>
      </c>
      <c r="AO8" s="2">
        <f t="shared" si="5"/>
        <v>70</v>
      </c>
      <c r="AP8" s="2">
        <f t="shared" si="5"/>
        <v>486</v>
      </c>
      <c r="AQ8" s="2">
        <f t="shared" si="5"/>
        <v>195</v>
      </c>
      <c r="AR8" s="2">
        <f t="shared" si="5"/>
        <v>444</v>
      </c>
      <c r="AS8" s="2">
        <f t="shared" si="5"/>
        <v>118</v>
      </c>
      <c r="AT8" s="25"/>
      <c r="AU8" s="2" t="str">
        <f t="shared" si="6"/>
        <v>T3低3</v>
      </c>
      <c r="AV8" s="2">
        <f t="shared" si="40"/>
        <v>1184</v>
      </c>
      <c r="AW8" s="2">
        <f t="shared" si="7"/>
        <v>269</v>
      </c>
      <c r="AX8" s="2">
        <f t="shared" si="7"/>
        <v>529</v>
      </c>
      <c r="AY8" s="2">
        <f t="shared" si="7"/>
        <v>211</v>
      </c>
      <c r="AZ8" s="2">
        <f t="shared" si="7"/>
        <v>444</v>
      </c>
      <c r="BA8" s="2">
        <f t="shared" si="7"/>
        <v>118</v>
      </c>
      <c r="BB8" s="25"/>
      <c r="BC8" s="2" t="str">
        <f t="shared" si="8"/>
        <v>T3低3</v>
      </c>
      <c r="BD8" s="2">
        <f t="shared" si="41"/>
        <v>1248</v>
      </c>
      <c r="BE8" s="2">
        <f t="shared" si="9"/>
        <v>118</v>
      </c>
      <c r="BF8" s="2">
        <f t="shared" si="9"/>
        <v>423</v>
      </c>
      <c r="BG8" s="2">
        <f t="shared" si="9"/>
        <v>190</v>
      </c>
      <c r="BH8" s="2">
        <f t="shared" si="9"/>
        <v>533</v>
      </c>
      <c r="BI8" s="2">
        <f t="shared" si="9"/>
        <v>125</v>
      </c>
      <c r="BK8" s="2" t="str">
        <f t="shared" si="10"/>
        <v>T3低3</v>
      </c>
      <c r="BL8" s="2">
        <f t="shared" si="42"/>
        <v>1248</v>
      </c>
      <c r="BM8" s="2">
        <f t="shared" si="11"/>
        <v>143</v>
      </c>
      <c r="BN8" s="2">
        <f t="shared" si="11"/>
        <v>486</v>
      </c>
      <c r="BO8" s="2">
        <f t="shared" si="11"/>
        <v>219</v>
      </c>
      <c r="BP8" s="2">
        <f t="shared" si="11"/>
        <v>533</v>
      </c>
      <c r="BQ8" s="2">
        <f t="shared" si="11"/>
        <v>125</v>
      </c>
      <c r="BS8" s="2" t="str">
        <f t="shared" si="12"/>
        <v>T3低3</v>
      </c>
      <c r="BT8" s="2">
        <f t="shared" si="43"/>
        <v>1347</v>
      </c>
      <c r="BU8" s="2">
        <f t="shared" si="13"/>
        <v>460</v>
      </c>
      <c r="BV8" s="2">
        <f t="shared" si="13"/>
        <v>169</v>
      </c>
      <c r="BW8" s="2">
        <f t="shared" si="13"/>
        <v>423</v>
      </c>
      <c r="BX8" s="2">
        <f t="shared" si="13"/>
        <v>622</v>
      </c>
      <c r="BY8" s="2">
        <f t="shared" si="13"/>
        <v>135</v>
      </c>
      <c r="CA8" s="2" t="str">
        <f t="shared" si="14"/>
        <v>T3低3</v>
      </c>
      <c r="CB8" s="2">
        <f t="shared" si="44"/>
        <v>1347</v>
      </c>
      <c r="CC8" s="2">
        <f t="shared" si="15"/>
        <v>614</v>
      </c>
      <c r="CD8" s="2">
        <f t="shared" si="15"/>
        <v>186</v>
      </c>
      <c r="CE8" s="2">
        <f t="shared" si="15"/>
        <v>465</v>
      </c>
      <c r="CF8" s="2">
        <f t="shared" si="15"/>
        <v>622</v>
      </c>
      <c r="CG8" s="2">
        <f t="shared" si="15"/>
        <v>135</v>
      </c>
      <c r="CH8" s="25"/>
      <c r="CI8" s="2" t="str">
        <f t="shared" si="16"/>
        <v>T3中3</v>
      </c>
      <c r="CJ8" s="2" t="str">
        <f t="shared" si="17"/>
        <v>T3中5</v>
      </c>
      <c r="CK8" s="2">
        <f t="shared" si="18"/>
        <v>592</v>
      </c>
      <c r="CL8" s="2">
        <f t="shared" si="18"/>
        <v>64</v>
      </c>
      <c r="CM8" s="2">
        <f t="shared" si="18"/>
        <v>222</v>
      </c>
      <c r="CN8" s="2">
        <f t="shared" si="18"/>
        <v>89</v>
      </c>
      <c r="CO8" s="2">
        <f t="shared" si="18"/>
        <v>222</v>
      </c>
      <c r="CP8" s="2">
        <f t="shared" si="18"/>
        <v>59</v>
      </c>
      <c r="CR8" s="2" t="str">
        <f t="shared" si="19"/>
        <v>T3中3</v>
      </c>
      <c r="CS8" s="2" t="str">
        <f t="shared" si="20"/>
        <v>T3中5</v>
      </c>
      <c r="CT8" s="2">
        <f t="shared" si="21"/>
        <v>592</v>
      </c>
      <c r="CU8" s="2">
        <f t="shared" si="21"/>
        <v>34</v>
      </c>
      <c r="CV8" s="2">
        <f t="shared" si="21"/>
        <v>243</v>
      </c>
      <c r="CW8" s="2">
        <f t="shared" si="21"/>
        <v>98</v>
      </c>
      <c r="CX8" s="2">
        <f t="shared" si="21"/>
        <v>222</v>
      </c>
      <c r="CY8" s="2">
        <f t="shared" si="21"/>
        <v>59</v>
      </c>
      <c r="CZ8" s="25"/>
      <c r="DA8" s="2" t="str">
        <f t="shared" si="22"/>
        <v>T3中3</v>
      </c>
      <c r="DB8" s="2" t="str">
        <f t="shared" si="23"/>
        <v>T3中5</v>
      </c>
      <c r="DC8" s="2">
        <f t="shared" si="24"/>
        <v>592</v>
      </c>
      <c r="DD8" s="2">
        <f t="shared" si="24"/>
        <v>134</v>
      </c>
      <c r="DE8" s="2">
        <f t="shared" si="24"/>
        <v>264</v>
      </c>
      <c r="DF8" s="2">
        <f t="shared" si="24"/>
        <v>106</v>
      </c>
      <c r="DG8" s="2">
        <f t="shared" si="24"/>
        <v>222</v>
      </c>
      <c r="DH8" s="2">
        <f t="shared" si="24"/>
        <v>59</v>
      </c>
      <c r="DI8" s="25"/>
      <c r="DJ8" s="2" t="str">
        <f t="shared" si="25"/>
        <v>T3中3</v>
      </c>
      <c r="DK8" s="2" t="str">
        <f t="shared" si="26"/>
        <v>T3中5</v>
      </c>
      <c r="DL8" s="2">
        <f t="shared" si="27"/>
        <v>624</v>
      </c>
      <c r="DM8" s="2">
        <f t="shared" si="27"/>
        <v>59</v>
      </c>
      <c r="DN8" s="2">
        <f t="shared" si="27"/>
        <v>211</v>
      </c>
      <c r="DO8" s="2">
        <f t="shared" si="27"/>
        <v>95</v>
      </c>
      <c r="DP8" s="2">
        <f t="shared" si="27"/>
        <v>267</v>
      </c>
      <c r="DQ8" s="2">
        <f t="shared" si="27"/>
        <v>62</v>
      </c>
      <c r="DS8" s="2" t="str">
        <f t="shared" si="28"/>
        <v>T3中3</v>
      </c>
      <c r="DT8" s="2" t="str">
        <f t="shared" si="29"/>
        <v>T3中5</v>
      </c>
      <c r="DU8" s="2">
        <f t="shared" si="30"/>
        <v>624</v>
      </c>
      <c r="DV8" s="2">
        <f t="shared" si="30"/>
        <v>71</v>
      </c>
      <c r="DW8" s="2">
        <f t="shared" si="30"/>
        <v>243</v>
      </c>
      <c r="DX8" s="2">
        <f t="shared" si="30"/>
        <v>109</v>
      </c>
      <c r="DY8" s="2">
        <f t="shared" si="30"/>
        <v>267</v>
      </c>
      <c r="DZ8" s="2">
        <f t="shared" si="30"/>
        <v>62</v>
      </c>
      <c r="EB8" s="2" t="str">
        <f t="shared" si="31"/>
        <v>T3中3</v>
      </c>
      <c r="EC8" s="2" t="str">
        <f t="shared" si="32"/>
        <v>T3中5</v>
      </c>
      <c r="ED8" s="2">
        <f t="shared" si="33"/>
        <v>673</v>
      </c>
      <c r="EE8" s="2">
        <f t="shared" si="33"/>
        <v>230</v>
      </c>
      <c r="EF8" s="2">
        <f t="shared" si="33"/>
        <v>85</v>
      </c>
      <c r="EG8" s="2">
        <f t="shared" si="33"/>
        <v>211</v>
      </c>
      <c r="EH8" s="2">
        <f t="shared" si="33"/>
        <v>311</v>
      </c>
      <c r="EI8" s="2">
        <f t="shared" si="33"/>
        <v>68</v>
      </c>
      <c r="EK8" s="2" t="str">
        <f t="shared" si="34"/>
        <v>T3中3</v>
      </c>
      <c r="EL8" s="2" t="str">
        <f t="shared" si="35"/>
        <v>T3中5</v>
      </c>
      <c r="EM8" s="2">
        <f t="shared" si="36"/>
        <v>673</v>
      </c>
      <c r="EN8" s="2">
        <f t="shared" si="36"/>
        <v>306</v>
      </c>
      <c r="EO8" s="2">
        <f t="shared" si="36"/>
        <v>93</v>
      </c>
      <c r="EP8" s="2">
        <f t="shared" si="36"/>
        <v>233</v>
      </c>
      <c r="EQ8" s="2">
        <f t="shared" si="36"/>
        <v>311</v>
      </c>
      <c r="ER8" s="2">
        <f t="shared" si="36"/>
        <v>68</v>
      </c>
    </row>
    <row r="9" spans="2:148" x14ac:dyDescent="0.3">
      <c r="B9" s="213">
        <v>6</v>
      </c>
      <c r="C9" s="2">
        <v>6</v>
      </c>
      <c r="D9" s="2">
        <v>10</v>
      </c>
      <c r="E9" s="2">
        <v>6</v>
      </c>
      <c r="F9" s="2">
        <v>10</v>
      </c>
      <c r="G9" s="2">
        <v>6</v>
      </c>
      <c r="H9" s="2">
        <v>10</v>
      </c>
      <c r="I9" s="214">
        <v>2</v>
      </c>
      <c r="J9" s="214">
        <v>2</v>
      </c>
      <c r="K9" s="214">
        <v>2</v>
      </c>
      <c r="L9" s="2">
        <f t="shared" si="0"/>
        <v>34</v>
      </c>
      <c r="M9" s="2">
        <f>((E9+1)+(F9))/2*(F9-E9)</f>
        <v>34</v>
      </c>
      <c r="N9" s="2">
        <f>((G9+1)+(H9))/2*(H9-G9)</f>
        <v>34</v>
      </c>
      <c r="O9" s="2">
        <f t="shared" si="1"/>
        <v>54</v>
      </c>
      <c r="P9" s="2">
        <f>(($C$4+1)+(F9))/2*(F9-$C$4)</f>
        <v>54</v>
      </c>
      <c r="Q9" s="2">
        <f>(($C$4+1)+(H9))/2*(H9-$C$4)</f>
        <v>54</v>
      </c>
      <c r="R9" s="21">
        <v>0.12</v>
      </c>
      <c r="S9" s="21">
        <v>0.13</v>
      </c>
      <c r="T9" s="21">
        <v>0.14000000000000001</v>
      </c>
      <c r="Y9" s="2" t="s">
        <v>770</v>
      </c>
      <c r="Z9" s="34">
        <f t="shared" si="37"/>
        <v>1.54</v>
      </c>
      <c r="AA9" s="34">
        <v>1.54</v>
      </c>
      <c r="AB9" s="2"/>
      <c r="AE9" s="2" t="str">
        <f t="shared" si="2"/>
        <v>T3中3</v>
      </c>
      <c r="AF9" s="2">
        <f t="shared" si="38"/>
        <v>1232</v>
      </c>
      <c r="AG9" s="2">
        <f t="shared" si="3"/>
        <v>134</v>
      </c>
      <c r="AH9" s="2">
        <f t="shared" si="3"/>
        <v>462</v>
      </c>
      <c r="AI9" s="2">
        <f t="shared" si="3"/>
        <v>185</v>
      </c>
      <c r="AJ9" s="2">
        <f t="shared" si="3"/>
        <v>462</v>
      </c>
      <c r="AK9" s="2">
        <f t="shared" si="3"/>
        <v>123</v>
      </c>
      <c r="AM9" s="2" t="str">
        <f t="shared" si="4"/>
        <v>T3中3</v>
      </c>
      <c r="AN9" s="2">
        <f t="shared" si="39"/>
        <v>1232</v>
      </c>
      <c r="AO9" s="2">
        <f t="shared" si="5"/>
        <v>73</v>
      </c>
      <c r="AP9" s="2">
        <f t="shared" si="5"/>
        <v>506</v>
      </c>
      <c r="AQ9" s="2">
        <f t="shared" si="5"/>
        <v>202</v>
      </c>
      <c r="AR9" s="2">
        <f t="shared" si="5"/>
        <v>462</v>
      </c>
      <c r="AS9" s="2">
        <f t="shared" si="5"/>
        <v>123</v>
      </c>
      <c r="AT9" s="25"/>
      <c r="AU9" s="2" t="str">
        <f t="shared" si="6"/>
        <v>T3中3</v>
      </c>
      <c r="AV9" s="2">
        <f t="shared" si="40"/>
        <v>1232</v>
      </c>
      <c r="AW9" s="2">
        <f t="shared" si="7"/>
        <v>280</v>
      </c>
      <c r="AX9" s="2">
        <f t="shared" si="7"/>
        <v>550</v>
      </c>
      <c r="AY9" s="2">
        <f t="shared" si="7"/>
        <v>220</v>
      </c>
      <c r="AZ9" s="2">
        <f t="shared" si="7"/>
        <v>462</v>
      </c>
      <c r="BA9" s="2">
        <f t="shared" si="7"/>
        <v>123</v>
      </c>
      <c r="BB9" s="25"/>
      <c r="BC9" s="2" t="str">
        <f t="shared" si="8"/>
        <v>T3中3</v>
      </c>
      <c r="BD9" s="2">
        <f t="shared" si="41"/>
        <v>1298</v>
      </c>
      <c r="BE9" s="2">
        <f t="shared" si="9"/>
        <v>122</v>
      </c>
      <c r="BF9" s="2">
        <f t="shared" si="9"/>
        <v>440</v>
      </c>
      <c r="BG9" s="2">
        <f t="shared" si="9"/>
        <v>198</v>
      </c>
      <c r="BH9" s="2">
        <f t="shared" si="9"/>
        <v>554</v>
      </c>
      <c r="BI9" s="2">
        <f t="shared" si="9"/>
        <v>130</v>
      </c>
      <c r="BK9" s="2" t="str">
        <f t="shared" si="10"/>
        <v>T3中3</v>
      </c>
      <c r="BL9" s="2">
        <f t="shared" si="42"/>
        <v>1298</v>
      </c>
      <c r="BM9" s="2">
        <f t="shared" si="11"/>
        <v>149</v>
      </c>
      <c r="BN9" s="2">
        <f t="shared" si="11"/>
        <v>506</v>
      </c>
      <c r="BO9" s="2">
        <f t="shared" si="11"/>
        <v>228</v>
      </c>
      <c r="BP9" s="2">
        <f t="shared" si="11"/>
        <v>554</v>
      </c>
      <c r="BQ9" s="2">
        <f t="shared" si="11"/>
        <v>130</v>
      </c>
      <c r="BS9" s="2" t="str">
        <f t="shared" si="12"/>
        <v>T3中3</v>
      </c>
      <c r="BT9" s="2">
        <f t="shared" si="43"/>
        <v>1402</v>
      </c>
      <c r="BU9" s="2">
        <f t="shared" si="13"/>
        <v>478</v>
      </c>
      <c r="BV9" s="2">
        <f t="shared" si="13"/>
        <v>176</v>
      </c>
      <c r="BW9" s="2">
        <f t="shared" si="13"/>
        <v>440</v>
      </c>
      <c r="BX9" s="2">
        <f t="shared" si="13"/>
        <v>647</v>
      </c>
      <c r="BY9" s="2">
        <f t="shared" si="13"/>
        <v>140</v>
      </c>
      <c r="CA9" s="2" t="str">
        <f t="shared" si="14"/>
        <v>T3中3</v>
      </c>
      <c r="CB9" s="2">
        <f t="shared" si="44"/>
        <v>1402</v>
      </c>
      <c r="CC9" s="2">
        <f t="shared" si="15"/>
        <v>639</v>
      </c>
      <c r="CD9" s="2">
        <f t="shared" si="15"/>
        <v>194</v>
      </c>
      <c r="CE9" s="2">
        <f t="shared" si="15"/>
        <v>484</v>
      </c>
      <c r="CF9" s="2">
        <f t="shared" si="15"/>
        <v>647</v>
      </c>
      <c r="CG9" s="2">
        <f t="shared" si="15"/>
        <v>140</v>
      </c>
      <c r="CH9" s="25"/>
      <c r="CI9" s="2" t="str">
        <f t="shared" si="16"/>
        <v>T3高3</v>
      </c>
      <c r="CJ9" s="2" t="str">
        <f t="shared" si="17"/>
        <v>T3高5</v>
      </c>
      <c r="CK9" s="2">
        <f t="shared" si="18"/>
        <v>592</v>
      </c>
      <c r="CL9" s="2">
        <f t="shared" si="18"/>
        <v>69</v>
      </c>
      <c r="CM9" s="2">
        <f t="shared" si="18"/>
        <v>237</v>
      </c>
      <c r="CN9" s="2">
        <f t="shared" si="18"/>
        <v>95</v>
      </c>
      <c r="CO9" s="2">
        <f t="shared" si="18"/>
        <v>237</v>
      </c>
      <c r="CP9" s="2">
        <f t="shared" si="18"/>
        <v>63</v>
      </c>
      <c r="CR9" s="2" t="str">
        <f t="shared" si="19"/>
        <v>T3高3</v>
      </c>
      <c r="CS9" s="2" t="str">
        <f t="shared" si="20"/>
        <v>T3高5</v>
      </c>
      <c r="CT9" s="2">
        <f t="shared" si="21"/>
        <v>592</v>
      </c>
      <c r="CU9" s="2">
        <f t="shared" si="21"/>
        <v>37</v>
      </c>
      <c r="CV9" s="2">
        <f t="shared" si="21"/>
        <v>260</v>
      </c>
      <c r="CW9" s="2">
        <f t="shared" si="21"/>
        <v>104</v>
      </c>
      <c r="CX9" s="2">
        <f t="shared" si="21"/>
        <v>237</v>
      </c>
      <c r="CY9" s="2">
        <f t="shared" si="21"/>
        <v>63</v>
      </c>
      <c r="CZ9" s="25"/>
      <c r="DA9" s="2" t="str">
        <f t="shared" si="22"/>
        <v>T3高3</v>
      </c>
      <c r="DB9" s="2" t="str">
        <f t="shared" si="23"/>
        <v>T3高5</v>
      </c>
      <c r="DC9" s="2">
        <f t="shared" si="24"/>
        <v>592</v>
      </c>
      <c r="DD9" s="2">
        <f t="shared" si="24"/>
        <v>143</v>
      </c>
      <c r="DE9" s="2">
        <f t="shared" si="24"/>
        <v>282</v>
      </c>
      <c r="DF9" s="2">
        <f t="shared" si="24"/>
        <v>113</v>
      </c>
      <c r="DG9" s="2">
        <f t="shared" si="24"/>
        <v>237</v>
      </c>
      <c r="DH9" s="2">
        <f t="shared" si="24"/>
        <v>63</v>
      </c>
      <c r="DI9" s="25"/>
      <c r="DJ9" s="2" t="str">
        <f t="shared" si="25"/>
        <v>T3高3</v>
      </c>
      <c r="DK9" s="2" t="str">
        <f t="shared" si="26"/>
        <v>T3高5</v>
      </c>
      <c r="DL9" s="2">
        <f t="shared" si="27"/>
        <v>624</v>
      </c>
      <c r="DM9" s="2">
        <f t="shared" si="27"/>
        <v>63</v>
      </c>
      <c r="DN9" s="2">
        <f t="shared" si="27"/>
        <v>226</v>
      </c>
      <c r="DO9" s="2">
        <f t="shared" si="27"/>
        <v>102</v>
      </c>
      <c r="DP9" s="2">
        <f t="shared" si="27"/>
        <v>285</v>
      </c>
      <c r="DQ9" s="2">
        <f t="shared" si="27"/>
        <v>66</v>
      </c>
      <c r="DS9" s="2" t="str">
        <f t="shared" si="28"/>
        <v>T3高3</v>
      </c>
      <c r="DT9" s="2" t="str">
        <f t="shared" si="29"/>
        <v>T3高5</v>
      </c>
      <c r="DU9" s="2">
        <f t="shared" si="30"/>
        <v>624</v>
      </c>
      <c r="DV9" s="2">
        <f t="shared" si="30"/>
        <v>76</v>
      </c>
      <c r="DW9" s="2">
        <f t="shared" si="30"/>
        <v>260</v>
      </c>
      <c r="DX9" s="2">
        <f t="shared" si="30"/>
        <v>117</v>
      </c>
      <c r="DY9" s="2">
        <f t="shared" si="30"/>
        <v>285</v>
      </c>
      <c r="DZ9" s="2">
        <f t="shared" si="30"/>
        <v>66</v>
      </c>
      <c r="EB9" s="2" t="str">
        <f t="shared" si="31"/>
        <v>T3高3</v>
      </c>
      <c r="EC9" s="2" t="str">
        <f t="shared" si="32"/>
        <v>T3高5</v>
      </c>
      <c r="ED9" s="2">
        <f t="shared" si="33"/>
        <v>673</v>
      </c>
      <c r="EE9" s="2">
        <f t="shared" si="33"/>
        <v>245</v>
      </c>
      <c r="EF9" s="2">
        <f t="shared" si="33"/>
        <v>90</v>
      </c>
      <c r="EG9" s="2">
        <f t="shared" si="33"/>
        <v>226</v>
      </c>
      <c r="EH9" s="2">
        <f t="shared" si="33"/>
        <v>332</v>
      </c>
      <c r="EI9" s="2">
        <f t="shared" si="33"/>
        <v>72</v>
      </c>
      <c r="EK9" s="2" t="str">
        <f t="shared" si="34"/>
        <v>T3高3</v>
      </c>
      <c r="EL9" s="2" t="str">
        <f t="shared" si="35"/>
        <v>T3高5</v>
      </c>
      <c r="EM9" s="2">
        <f t="shared" si="36"/>
        <v>673</v>
      </c>
      <c r="EN9" s="2">
        <f t="shared" si="36"/>
        <v>327</v>
      </c>
      <c r="EO9" s="2">
        <f t="shared" si="36"/>
        <v>99</v>
      </c>
      <c r="EP9" s="2">
        <f t="shared" si="36"/>
        <v>248</v>
      </c>
      <c r="EQ9" s="2">
        <f t="shared" si="36"/>
        <v>332</v>
      </c>
      <c r="ER9" s="2">
        <f t="shared" si="36"/>
        <v>72</v>
      </c>
    </row>
    <row r="10" spans="2:148" x14ac:dyDescent="0.3">
      <c r="Y10" s="2" t="s">
        <v>771</v>
      </c>
      <c r="Z10" s="34">
        <f t="shared" si="37"/>
        <v>1.54</v>
      </c>
      <c r="AA10" s="34">
        <v>1.54</v>
      </c>
      <c r="AB10" s="2"/>
      <c r="AE10" s="2" t="str">
        <f t="shared" si="2"/>
        <v>T3高3</v>
      </c>
      <c r="AF10" s="2">
        <f t="shared" si="38"/>
        <v>1232</v>
      </c>
      <c r="AG10" s="2">
        <f t="shared" si="3"/>
        <v>134</v>
      </c>
      <c r="AH10" s="2">
        <f t="shared" si="3"/>
        <v>462</v>
      </c>
      <c r="AI10" s="2">
        <f t="shared" si="3"/>
        <v>185</v>
      </c>
      <c r="AJ10" s="2">
        <f t="shared" si="3"/>
        <v>462</v>
      </c>
      <c r="AK10" s="2">
        <f t="shared" si="3"/>
        <v>123</v>
      </c>
      <c r="AM10" s="2" t="str">
        <f t="shared" si="4"/>
        <v>T3高3</v>
      </c>
      <c r="AN10" s="2">
        <f t="shared" si="39"/>
        <v>1232</v>
      </c>
      <c r="AO10" s="2">
        <f t="shared" si="5"/>
        <v>73</v>
      </c>
      <c r="AP10" s="2">
        <f t="shared" si="5"/>
        <v>506</v>
      </c>
      <c r="AQ10" s="2">
        <f t="shared" si="5"/>
        <v>202</v>
      </c>
      <c r="AR10" s="2">
        <f t="shared" si="5"/>
        <v>462</v>
      </c>
      <c r="AS10" s="2">
        <f t="shared" si="5"/>
        <v>123</v>
      </c>
      <c r="AT10" s="25"/>
      <c r="AU10" s="2" t="str">
        <f t="shared" si="6"/>
        <v>T3高3</v>
      </c>
      <c r="AV10" s="2">
        <f t="shared" si="40"/>
        <v>1232</v>
      </c>
      <c r="AW10" s="2">
        <f t="shared" si="7"/>
        <v>280</v>
      </c>
      <c r="AX10" s="2">
        <f t="shared" si="7"/>
        <v>550</v>
      </c>
      <c r="AY10" s="2">
        <f t="shared" si="7"/>
        <v>220</v>
      </c>
      <c r="AZ10" s="2">
        <f t="shared" si="7"/>
        <v>462</v>
      </c>
      <c r="BA10" s="2">
        <f t="shared" si="7"/>
        <v>123</v>
      </c>
      <c r="BB10" s="25"/>
      <c r="BC10" s="2" t="str">
        <f t="shared" si="8"/>
        <v>T3高3</v>
      </c>
      <c r="BD10" s="2">
        <f t="shared" si="41"/>
        <v>1298</v>
      </c>
      <c r="BE10" s="2">
        <f t="shared" si="9"/>
        <v>122</v>
      </c>
      <c r="BF10" s="2">
        <f t="shared" si="9"/>
        <v>440</v>
      </c>
      <c r="BG10" s="2">
        <f t="shared" si="9"/>
        <v>198</v>
      </c>
      <c r="BH10" s="2">
        <f t="shared" si="9"/>
        <v>554</v>
      </c>
      <c r="BI10" s="2">
        <f t="shared" si="9"/>
        <v>130</v>
      </c>
      <c r="BK10" s="2" t="str">
        <f t="shared" si="10"/>
        <v>T3高3</v>
      </c>
      <c r="BL10" s="2">
        <f t="shared" si="42"/>
        <v>1298</v>
      </c>
      <c r="BM10" s="2">
        <f t="shared" si="11"/>
        <v>149</v>
      </c>
      <c r="BN10" s="2">
        <f t="shared" si="11"/>
        <v>506</v>
      </c>
      <c r="BO10" s="2">
        <f t="shared" si="11"/>
        <v>228</v>
      </c>
      <c r="BP10" s="2">
        <f t="shared" si="11"/>
        <v>554</v>
      </c>
      <c r="BQ10" s="2">
        <f t="shared" si="11"/>
        <v>130</v>
      </c>
      <c r="BS10" s="2" t="str">
        <f t="shared" si="12"/>
        <v>T3高3</v>
      </c>
      <c r="BT10" s="2">
        <f t="shared" si="43"/>
        <v>1402</v>
      </c>
      <c r="BU10" s="2">
        <f t="shared" si="13"/>
        <v>478</v>
      </c>
      <c r="BV10" s="2">
        <f t="shared" si="13"/>
        <v>176</v>
      </c>
      <c r="BW10" s="2">
        <f t="shared" si="13"/>
        <v>440</v>
      </c>
      <c r="BX10" s="2">
        <f t="shared" si="13"/>
        <v>647</v>
      </c>
      <c r="BY10" s="2">
        <f t="shared" si="13"/>
        <v>140</v>
      </c>
      <c r="CA10" s="2" t="str">
        <f t="shared" si="14"/>
        <v>T3高3</v>
      </c>
      <c r="CB10" s="2">
        <f t="shared" si="44"/>
        <v>1402</v>
      </c>
      <c r="CC10" s="2">
        <f t="shared" si="15"/>
        <v>639</v>
      </c>
      <c r="CD10" s="2">
        <f t="shared" si="15"/>
        <v>194</v>
      </c>
      <c r="CE10" s="2">
        <f t="shared" si="15"/>
        <v>484</v>
      </c>
      <c r="CF10" s="2">
        <f t="shared" si="15"/>
        <v>647</v>
      </c>
      <c r="CG10" s="2">
        <f t="shared" si="15"/>
        <v>140</v>
      </c>
      <c r="CH10" s="25"/>
      <c r="CI10" s="2" t="str">
        <f t="shared" si="16"/>
        <v>T4低4</v>
      </c>
      <c r="CJ10" s="2" t="str">
        <f t="shared" si="17"/>
        <v>T4低7</v>
      </c>
      <c r="CK10" s="2" t="e">
        <f t="shared" si="18"/>
        <v>#N/A</v>
      </c>
      <c r="CL10" s="2" t="e">
        <f t="shared" si="18"/>
        <v>#N/A</v>
      </c>
      <c r="CM10" s="2" t="e">
        <f t="shared" si="18"/>
        <v>#N/A</v>
      </c>
      <c r="CN10" s="2" t="e">
        <f t="shared" si="18"/>
        <v>#N/A</v>
      </c>
      <c r="CO10" s="2" t="e">
        <f t="shared" si="18"/>
        <v>#N/A</v>
      </c>
      <c r="CP10" s="2" t="e">
        <f t="shared" si="18"/>
        <v>#N/A</v>
      </c>
      <c r="CR10" s="2" t="str">
        <f t="shared" si="19"/>
        <v>T4低4</v>
      </c>
      <c r="CS10" s="2" t="str">
        <f t="shared" si="20"/>
        <v>T4低7</v>
      </c>
      <c r="CT10" s="2" t="e">
        <f t="shared" si="21"/>
        <v>#N/A</v>
      </c>
      <c r="CU10" s="2" t="e">
        <f t="shared" si="21"/>
        <v>#N/A</v>
      </c>
      <c r="CV10" s="2" t="e">
        <f t="shared" si="21"/>
        <v>#N/A</v>
      </c>
      <c r="CW10" s="2" t="e">
        <f t="shared" si="21"/>
        <v>#N/A</v>
      </c>
      <c r="CX10" s="2" t="e">
        <f t="shared" si="21"/>
        <v>#N/A</v>
      </c>
      <c r="CY10" s="2" t="e">
        <f t="shared" si="21"/>
        <v>#N/A</v>
      </c>
      <c r="CZ10" s="25"/>
      <c r="DA10" s="2" t="str">
        <f t="shared" si="22"/>
        <v>T4低4</v>
      </c>
      <c r="DB10" s="2" t="str">
        <f t="shared" si="23"/>
        <v>T4低7</v>
      </c>
      <c r="DC10" s="2" t="e">
        <f t="shared" si="24"/>
        <v>#N/A</v>
      </c>
      <c r="DD10" s="2" t="e">
        <f t="shared" si="24"/>
        <v>#N/A</v>
      </c>
      <c r="DE10" s="2" t="e">
        <f t="shared" si="24"/>
        <v>#N/A</v>
      </c>
      <c r="DF10" s="2" t="e">
        <f t="shared" si="24"/>
        <v>#N/A</v>
      </c>
      <c r="DG10" s="2" t="e">
        <f t="shared" si="24"/>
        <v>#N/A</v>
      </c>
      <c r="DH10" s="2" t="e">
        <f t="shared" si="24"/>
        <v>#N/A</v>
      </c>
      <c r="DI10" s="25"/>
      <c r="DJ10" s="2" t="str">
        <f t="shared" si="25"/>
        <v>T4低4</v>
      </c>
      <c r="DK10" s="2" t="str">
        <f t="shared" si="26"/>
        <v>T4低7</v>
      </c>
      <c r="DL10" s="2" t="e">
        <f t="shared" si="27"/>
        <v>#N/A</v>
      </c>
      <c r="DM10" s="2" t="e">
        <f t="shared" si="27"/>
        <v>#N/A</v>
      </c>
      <c r="DN10" s="2" t="e">
        <f t="shared" si="27"/>
        <v>#N/A</v>
      </c>
      <c r="DO10" s="2" t="e">
        <f t="shared" si="27"/>
        <v>#N/A</v>
      </c>
      <c r="DP10" s="2" t="e">
        <f t="shared" si="27"/>
        <v>#N/A</v>
      </c>
      <c r="DQ10" s="2" t="e">
        <f t="shared" si="27"/>
        <v>#N/A</v>
      </c>
      <c r="DS10" s="2" t="str">
        <f t="shared" si="28"/>
        <v>T4低4</v>
      </c>
      <c r="DT10" s="2" t="str">
        <f t="shared" si="29"/>
        <v>T4低7</v>
      </c>
      <c r="DU10" s="2" t="e">
        <f t="shared" si="30"/>
        <v>#N/A</v>
      </c>
      <c r="DV10" s="2" t="e">
        <f t="shared" si="30"/>
        <v>#N/A</v>
      </c>
      <c r="DW10" s="2" t="e">
        <f t="shared" si="30"/>
        <v>#N/A</v>
      </c>
      <c r="DX10" s="2" t="e">
        <f t="shared" si="30"/>
        <v>#N/A</v>
      </c>
      <c r="DY10" s="2" t="e">
        <f t="shared" si="30"/>
        <v>#N/A</v>
      </c>
      <c r="DZ10" s="2" t="e">
        <f t="shared" si="30"/>
        <v>#N/A</v>
      </c>
      <c r="EB10" s="2" t="str">
        <f t="shared" si="31"/>
        <v>T4低4</v>
      </c>
      <c r="EC10" s="2" t="str">
        <f t="shared" si="32"/>
        <v>T4低7</v>
      </c>
      <c r="ED10" s="2" t="e">
        <f t="shared" si="33"/>
        <v>#N/A</v>
      </c>
      <c r="EE10" s="2" t="e">
        <f t="shared" si="33"/>
        <v>#N/A</v>
      </c>
      <c r="EF10" s="2" t="e">
        <f t="shared" si="33"/>
        <v>#N/A</v>
      </c>
      <c r="EG10" s="2" t="e">
        <f t="shared" si="33"/>
        <v>#N/A</v>
      </c>
      <c r="EH10" s="2" t="e">
        <f t="shared" si="33"/>
        <v>#N/A</v>
      </c>
      <c r="EI10" s="2" t="e">
        <f t="shared" si="33"/>
        <v>#N/A</v>
      </c>
      <c r="EK10" s="2" t="str">
        <f t="shared" si="34"/>
        <v>T4低4</v>
      </c>
      <c r="EL10" s="2" t="str">
        <f t="shared" si="35"/>
        <v>T4低7</v>
      </c>
      <c r="EM10" s="2" t="e">
        <f t="shared" si="36"/>
        <v>#N/A</v>
      </c>
      <c r="EN10" s="2" t="e">
        <f t="shared" si="36"/>
        <v>#N/A</v>
      </c>
      <c r="EO10" s="2" t="e">
        <f t="shared" si="36"/>
        <v>#N/A</v>
      </c>
      <c r="EP10" s="2" t="e">
        <f t="shared" si="36"/>
        <v>#N/A</v>
      </c>
      <c r="EQ10" s="2" t="e">
        <f t="shared" si="36"/>
        <v>#N/A</v>
      </c>
      <c r="ER10" s="2" t="e">
        <f t="shared" si="36"/>
        <v>#N/A</v>
      </c>
    </row>
    <row r="11" spans="2:148" x14ac:dyDescent="0.3">
      <c r="B11" s="351" t="s">
        <v>772</v>
      </c>
      <c r="C11" s="351"/>
      <c r="D11" s="351"/>
      <c r="E11" s="351"/>
      <c r="F11" s="351"/>
      <c r="G11" s="351"/>
      <c r="H11" s="351"/>
      <c r="I11" s="351"/>
      <c r="J11" s="351"/>
      <c r="K11" s="351"/>
      <c r="P11" s="351" t="s">
        <v>773</v>
      </c>
      <c r="Q11" s="351"/>
      <c r="R11" s="351"/>
      <c r="S11" s="351"/>
      <c r="T11" s="351"/>
      <c r="U11" s="351"/>
      <c r="Y11" s="2" t="s">
        <v>774</v>
      </c>
      <c r="Z11" s="34">
        <f t="shared" si="37"/>
        <v>1.7</v>
      </c>
      <c r="AA11" s="34">
        <v>1.64</v>
      </c>
      <c r="AB11" s="2"/>
      <c r="AE11" s="2" t="str">
        <f t="shared" si="2"/>
        <v>T2低4</v>
      </c>
      <c r="AF11" s="2">
        <f t="shared" si="38"/>
        <v>1312</v>
      </c>
      <c r="AG11" s="2">
        <f t="shared" si="3"/>
        <v>148</v>
      </c>
      <c r="AH11" s="2">
        <f t="shared" si="3"/>
        <v>510</v>
      </c>
      <c r="AI11" s="2">
        <f t="shared" si="3"/>
        <v>204</v>
      </c>
      <c r="AJ11" s="2">
        <f t="shared" si="3"/>
        <v>510</v>
      </c>
      <c r="AK11" s="2">
        <f t="shared" si="3"/>
        <v>136</v>
      </c>
      <c r="AM11" s="2" t="str">
        <f t="shared" si="4"/>
        <v>T2低4</v>
      </c>
      <c r="AN11" s="2">
        <f t="shared" si="39"/>
        <v>1312</v>
      </c>
      <c r="AO11" s="2">
        <f t="shared" si="5"/>
        <v>80</v>
      </c>
      <c r="AP11" s="2">
        <f t="shared" si="5"/>
        <v>559</v>
      </c>
      <c r="AQ11" s="2">
        <f t="shared" si="5"/>
        <v>223</v>
      </c>
      <c r="AR11" s="2">
        <f t="shared" si="5"/>
        <v>510</v>
      </c>
      <c r="AS11" s="2">
        <f t="shared" si="5"/>
        <v>136</v>
      </c>
      <c r="AT11" s="25"/>
      <c r="AU11" s="2" t="str">
        <f t="shared" si="6"/>
        <v>T2低4</v>
      </c>
      <c r="AV11" s="2">
        <f t="shared" si="40"/>
        <v>1312</v>
      </c>
      <c r="AW11" s="2">
        <f t="shared" si="7"/>
        <v>309</v>
      </c>
      <c r="AX11" s="2">
        <f t="shared" si="7"/>
        <v>607</v>
      </c>
      <c r="AY11" s="2">
        <f t="shared" si="7"/>
        <v>243</v>
      </c>
      <c r="AZ11" s="2">
        <f t="shared" si="7"/>
        <v>510</v>
      </c>
      <c r="BA11" s="2">
        <f t="shared" si="7"/>
        <v>136</v>
      </c>
      <c r="BB11" s="25"/>
      <c r="BC11" s="2" t="str">
        <f t="shared" si="8"/>
        <v>T2低4</v>
      </c>
      <c r="BD11" s="2">
        <f t="shared" si="41"/>
        <v>1382</v>
      </c>
      <c r="BE11" s="2">
        <f t="shared" si="9"/>
        <v>135</v>
      </c>
      <c r="BF11" s="2">
        <f t="shared" si="9"/>
        <v>486</v>
      </c>
      <c r="BG11" s="2">
        <f t="shared" si="9"/>
        <v>219</v>
      </c>
      <c r="BH11" s="2">
        <f t="shared" si="9"/>
        <v>612</v>
      </c>
      <c r="BI11" s="2">
        <f t="shared" si="9"/>
        <v>143</v>
      </c>
      <c r="BK11" s="2" t="str">
        <f t="shared" si="10"/>
        <v>T2低4</v>
      </c>
      <c r="BL11" s="2">
        <f t="shared" si="42"/>
        <v>1382</v>
      </c>
      <c r="BM11" s="2">
        <f t="shared" si="11"/>
        <v>164</v>
      </c>
      <c r="BN11" s="2">
        <f t="shared" si="11"/>
        <v>559</v>
      </c>
      <c r="BO11" s="2">
        <f t="shared" si="11"/>
        <v>251</v>
      </c>
      <c r="BP11" s="2">
        <f t="shared" si="11"/>
        <v>612</v>
      </c>
      <c r="BQ11" s="2">
        <f t="shared" si="11"/>
        <v>143</v>
      </c>
      <c r="BS11" s="2" t="str">
        <f t="shared" si="12"/>
        <v>T2低4</v>
      </c>
      <c r="BT11" s="2">
        <f t="shared" si="43"/>
        <v>1493</v>
      </c>
      <c r="BU11" s="2">
        <f t="shared" si="13"/>
        <v>528</v>
      </c>
      <c r="BV11" s="2">
        <f t="shared" si="13"/>
        <v>194</v>
      </c>
      <c r="BW11" s="2">
        <f t="shared" si="13"/>
        <v>486</v>
      </c>
      <c r="BX11" s="2">
        <f t="shared" si="13"/>
        <v>714</v>
      </c>
      <c r="BY11" s="2">
        <f t="shared" si="13"/>
        <v>155</v>
      </c>
      <c r="CA11" s="2" t="str">
        <f t="shared" si="14"/>
        <v>T2低4</v>
      </c>
      <c r="CB11" s="2">
        <f t="shared" si="44"/>
        <v>1493</v>
      </c>
      <c r="CC11" s="2">
        <f t="shared" si="15"/>
        <v>705</v>
      </c>
      <c r="CD11" s="2">
        <f t="shared" si="15"/>
        <v>214</v>
      </c>
      <c r="CE11" s="2">
        <f t="shared" si="15"/>
        <v>534</v>
      </c>
      <c r="CF11" s="2">
        <f t="shared" si="15"/>
        <v>714</v>
      </c>
      <c r="CG11" s="2">
        <f t="shared" si="15"/>
        <v>155</v>
      </c>
      <c r="CH11" s="25"/>
      <c r="CI11" s="2" t="str">
        <f t="shared" si="16"/>
        <v>T4中4</v>
      </c>
      <c r="CJ11" s="2" t="str">
        <f t="shared" si="17"/>
        <v>T4中7</v>
      </c>
      <c r="CK11" s="2" t="e">
        <f t="shared" si="18"/>
        <v>#N/A</v>
      </c>
      <c r="CL11" s="2" t="e">
        <f t="shared" si="18"/>
        <v>#N/A</v>
      </c>
      <c r="CM11" s="2" t="e">
        <f t="shared" si="18"/>
        <v>#N/A</v>
      </c>
      <c r="CN11" s="2" t="e">
        <f t="shared" si="18"/>
        <v>#N/A</v>
      </c>
      <c r="CO11" s="2" t="e">
        <f t="shared" si="18"/>
        <v>#N/A</v>
      </c>
      <c r="CP11" s="2" t="e">
        <f t="shared" si="18"/>
        <v>#N/A</v>
      </c>
      <c r="CR11" s="2" t="str">
        <f t="shared" si="19"/>
        <v>T4中4</v>
      </c>
      <c r="CS11" s="2" t="str">
        <f t="shared" si="20"/>
        <v>T4中7</v>
      </c>
      <c r="CT11" s="2" t="e">
        <f t="shared" si="21"/>
        <v>#N/A</v>
      </c>
      <c r="CU11" s="2" t="e">
        <f t="shared" si="21"/>
        <v>#N/A</v>
      </c>
      <c r="CV11" s="2" t="e">
        <f t="shared" si="21"/>
        <v>#N/A</v>
      </c>
      <c r="CW11" s="2" t="e">
        <f t="shared" si="21"/>
        <v>#N/A</v>
      </c>
      <c r="CX11" s="2" t="e">
        <f t="shared" si="21"/>
        <v>#N/A</v>
      </c>
      <c r="CY11" s="2" t="e">
        <f t="shared" si="21"/>
        <v>#N/A</v>
      </c>
      <c r="CZ11" s="25"/>
      <c r="DA11" s="2" t="str">
        <f t="shared" si="22"/>
        <v>T4中4</v>
      </c>
      <c r="DB11" s="2" t="str">
        <f t="shared" si="23"/>
        <v>T4中7</v>
      </c>
      <c r="DC11" s="2" t="e">
        <f t="shared" si="24"/>
        <v>#N/A</v>
      </c>
      <c r="DD11" s="2" t="e">
        <f t="shared" si="24"/>
        <v>#N/A</v>
      </c>
      <c r="DE11" s="2" t="e">
        <f t="shared" si="24"/>
        <v>#N/A</v>
      </c>
      <c r="DF11" s="2" t="e">
        <f t="shared" si="24"/>
        <v>#N/A</v>
      </c>
      <c r="DG11" s="2" t="e">
        <f t="shared" si="24"/>
        <v>#N/A</v>
      </c>
      <c r="DH11" s="2" t="e">
        <f t="shared" si="24"/>
        <v>#N/A</v>
      </c>
      <c r="DI11" s="25"/>
      <c r="DJ11" s="2" t="str">
        <f t="shared" si="25"/>
        <v>T4中4</v>
      </c>
      <c r="DK11" s="2" t="str">
        <f t="shared" si="26"/>
        <v>T4中7</v>
      </c>
      <c r="DL11" s="2" t="e">
        <f t="shared" si="27"/>
        <v>#N/A</v>
      </c>
      <c r="DM11" s="2" t="e">
        <f t="shared" si="27"/>
        <v>#N/A</v>
      </c>
      <c r="DN11" s="2" t="e">
        <f t="shared" si="27"/>
        <v>#N/A</v>
      </c>
      <c r="DO11" s="2" t="e">
        <f t="shared" si="27"/>
        <v>#N/A</v>
      </c>
      <c r="DP11" s="2" t="e">
        <f t="shared" si="27"/>
        <v>#N/A</v>
      </c>
      <c r="DQ11" s="2" t="e">
        <f t="shared" si="27"/>
        <v>#N/A</v>
      </c>
      <c r="DS11" s="2" t="str">
        <f t="shared" si="28"/>
        <v>T4中4</v>
      </c>
      <c r="DT11" s="2" t="str">
        <f t="shared" si="29"/>
        <v>T4中7</v>
      </c>
      <c r="DU11" s="2" t="e">
        <f t="shared" si="30"/>
        <v>#N/A</v>
      </c>
      <c r="DV11" s="2" t="e">
        <f t="shared" si="30"/>
        <v>#N/A</v>
      </c>
      <c r="DW11" s="2" t="e">
        <f t="shared" si="30"/>
        <v>#N/A</v>
      </c>
      <c r="DX11" s="2" t="e">
        <f t="shared" si="30"/>
        <v>#N/A</v>
      </c>
      <c r="DY11" s="2" t="e">
        <f t="shared" si="30"/>
        <v>#N/A</v>
      </c>
      <c r="DZ11" s="2" t="e">
        <f t="shared" si="30"/>
        <v>#N/A</v>
      </c>
      <c r="EB11" s="2" t="str">
        <f t="shared" si="31"/>
        <v>T4中4</v>
      </c>
      <c r="EC11" s="2" t="str">
        <f t="shared" si="32"/>
        <v>T4中7</v>
      </c>
      <c r="ED11" s="2" t="e">
        <f t="shared" si="33"/>
        <v>#N/A</v>
      </c>
      <c r="EE11" s="2" t="e">
        <f t="shared" si="33"/>
        <v>#N/A</v>
      </c>
      <c r="EF11" s="2" t="e">
        <f t="shared" si="33"/>
        <v>#N/A</v>
      </c>
      <c r="EG11" s="2" t="e">
        <f t="shared" si="33"/>
        <v>#N/A</v>
      </c>
      <c r="EH11" s="2" t="e">
        <f t="shared" si="33"/>
        <v>#N/A</v>
      </c>
      <c r="EI11" s="2" t="e">
        <f t="shared" si="33"/>
        <v>#N/A</v>
      </c>
      <c r="EK11" s="2" t="str">
        <f t="shared" si="34"/>
        <v>T4中4</v>
      </c>
      <c r="EL11" s="2" t="str">
        <f t="shared" si="35"/>
        <v>T4中7</v>
      </c>
      <c r="EM11" s="2" t="e">
        <f t="shared" si="36"/>
        <v>#N/A</v>
      </c>
      <c r="EN11" s="2" t="e">
        <f t="shared" si="36"/>
        <v>#N/A</v>
      </c>
      <c r="EO11" s="2" t="e">
        <f t="shared" si="36"/>
        <v>#N/A</v>
      </c>
      <c r="EP11" s="2" t="e">
        <f t="shared" si="36"/>
        <v>#N/A</v>
      </c>
      <c r="EQ11" s="2" t="e">
        <f t="shared" si="36"/>
        <v>#N/A</v>
      </c>
      <c r="ER11" s="2" t="e">
        <f t="shared" si="36"/>
        <v>#N/A</v>
      </c>
    </row>
    <row r="12" spans="2:148" x14ac:dyDescent="0.3">
      <c r="B12" s="2" t="s">
        <v>775</v>
      </c>
      <c r="C12" s="2" t="s">
        <v>602</v>
      </c>
      <c r="D12" s="2" t="s">
        <v>763</v>
      </c>
      <c r="E12" s="2" t="s">
        <v>776</v>
      </c>
      <c r="F12" s="2" t="s">
        <v>777</v>
      </c>
      <c r="G12" s="2" t="s">
        <v>778</v>
      </c>
      <c r="H12" s="2" t="s">
        <v>594</v>
      </c>
      <c r="I12" s="2" t="s">
        <v>779</v>
      </c>
      <c r="J12" s="2" t="s">
        <v>780</v>
      </c>
      <c r="K12" s="2" t="s">
        <v>781</v>
      </c>
      <c r="L12" s="1" t="s">
        <v>347</v>
      </c>
      <c r="M12" s="1" t="s">
        <v>758</v>
      </c>
      <c r="N12" s="1" t="s">
        <v>782</v>
      </c>
      <c r="P12" s="2" t="s">
        <v>775</v>
      </c>
      <c r="Q12" s="2" t="s">
        <v>777</v>
      </c>
      <c r="R12" s="2" t="s">
        <v>778</v>
      </c>
      <c r="S12" s="2" t="s">
        <v>594</v>
      </c>
      <c r="T12" s="2" t="s">
        <v>776</v>
      </c>
      <c r="U12" s="2" t="s">
        <v>783</v>
      </c>
      <c r="Y12" s="2" t="s">
        <v>784</v>
      </c>
      <c r="Z12" s="34">
        <f t="shared" si="37"/>
        <v>1.92</v>
      </c>
      <c r="AA12" s="34">
        <v>1.92</v>
      </c>
      <c r="AB12" s="2"/>
      <c r="AE12" s="2" t="str">
        <f t="shared" si="2"/>
        <v>T4低4</v>
      </c>
      <c r="AF12" s="2">
        <f t="shared" si="38"/>
        <v>1536</v>
      </c>
      <c r="AG12" s="2">
        <f t="shared" si="3"/>
        <v>167</v>
      </c>
      <c r="AH12" s="2">
        <f t="shared" si="3"/>
        <v>576</v>
      </c>
      <c r="AI12" s="2">
        <f t="shared" si="3"/>
        <v>230</v>
      </c>
      <c r="AJ12" s="2">
        <f t="shared" si="3"/>
        <v>576</v>
      </c>
      <c r="AK12" s="2">
        <f t="shared" si="3"/>
        <v>154</v>
      </c>
      <c r="AM12" s="2" t="str">
        <f t="shared" si="4"/>
        <v>T4低4</v>
      </c>
      <c r="AN12" s="2">
        <f t="shared" si="39"/>
        <v>1536</v>
      </c>
      <c r="AO12" s="2">
        <f t="shared" si="5"/>
        <v>91</v>
      </c>
      <c r="AP12" s="2">
        <f t="shared" si="5"/>
        <v>631</v>
      </c>
      <c r="AQ12" s="2">
        <f t="shared" si="5"/>
        <v>252</v>
      </c>
      <c r="AR12" s="2">
        <f t="shared" si="5"/>
        <v>576</v>
      </c>
      <c r="AS12" s="2">
        <f t="shared" si="5"/>
        <v>154</v>
      </c>
      <c r="AT12" s="25"/>
      <c r="AU12" s="2" t="str">
        <f t="shared" si="6"/>
        <v>T4低4</v>
      </c>
      <c r="AV12" s="2">
        <f t="shared" si="40"/>
        <v>1536</v>
      </c>
      <c r="AW12" s="2">
        <f t="shared" si="7"/>
        <v>349</v>
      </c>
      <c r="AX12" s="2">
        <f t="shared" si="7"/>
        <v>686</v>
      </c>
      <c r="AY12" s="2">
        <f t="shared" si="7"/>
        <v>274</v>
      </c>
      <c r="AZ12" s="2">
        <f t="shared" si="7"/>
        <v>576</v>
      </c>
      <c r="BA12" s="2">
        <f t="shared" si="7"/>
        <v>154</v>
      </c>
      <c r="BB12" s="25"/>
      <c r="BC12" s="2" t="str">
        <f t="shared" si="8"/>
        <v>T4低4</v>
      </c>
      <c r="BD12" s="2">
        <f t="shared" si="41"/>
        <v>1619</v>
      </c>
      <c r="BE12" s="2">
        <f t="shared" si="9"/>
        <v>153</v>
      </c>
      <c r="BF12" s="2">
        <f t="shared" si="9"/>
        <v>549</v>
      </c>
      <c r="BG12" s="2">
        <f t="shared" si="9"/>
        <v>247</v>
      </c>
      <c r="BH12" s="2">
        <f t="shared" si="9"/>
        <v>691</v>
      </c>
      <c r="BI12" s="2">
        <f t="shared" si="9"/>
        <v>162</v>
      </c>
      <c r="BK12" s="2" t="str">
        <f t="shared" si="10"/>
        <v>T4低4</v>
      </c>
      <c r="BL12" s="2">
        <f t="shared" si="42"/>
        <v>1619</v>
      </c>
      <c r="BM12" s="2">
        <f t="shared" si="11"/>
        <v>185</v>
      </c>
      <c r="BN12" s="2">
        <f t="shared" si="11"/>
        <v>631</v>
      </c>
      <c r="BO12" s="2">
        <f t="shared" si="11"/>
        <v>284</v>
      </c>
      <c r="BP12" s="2">
        <f t="shared" si="11"/>
        <v>691</v>
      </c>
      <c r="BQ12" s="2">
        <f t="shared" si="11"/>
        <v>162</v>
      </c>
      <c r="BS12" s="2" t="str">
        <f t="shared" si="12"/>
        <v>T4低4</v>
      </c>
      <c r="BT12" s="2">
        <f t="shared" si="43"/>
        <v>1748</v>
      </c>
      <c r="BU12" s="2">
        <f t="shared" si="13"/>
        <v>596</v>
      </c>
      <c r="BV12" s="2">
        <f t="shared" si="13"/>
        <v>219</v>
      </c>
      <c r="BW12" s="2">
        <f t="shared" si="13"/>
        <v>549</v>
      </c>
      <c r="BX12" s="2">
        <f t="shared" si="13"/>
        <v>806</v>
      </c>
      <c r="BY12" s="2">
        <f t="shared" si="13"/>
        <v>175</v>
      </c>
      <c r="CA12" s="2" t="str">
        <f t="shared" si="14"/>
        <v>T4低4</v>
      </c>
      <c r="CB12" s="2">
        <f t="shared" si="44"/>
        <v>1748</v>
      </c>
      <c r="CC12" s="2">
        <f t="shared" si="15"/>
        <v>796</v>
      </c>
      <c r="CD12" s="2">
        <f t="shared" si="15"/>
        <v>241</v>
      </c>
      <c r="CE12" s="2">
        <f t="shared" si="15"/>
        <v>603</v>
      </c>
      <c r="CF12" s="2">
        <f t="shared" si="15"/>
        <v>806</v>
      </c>
      <c r="CG12" s="2">
        <f t="shared" si="15"/>
        <v>175</v>
      </c>
      <c r="CH12" s="25"/>
      <c r="CI12" s="2" t="str">
        <f t="shared" si="16"/>
        <v>T4高4</v>
      </c>
      <c r="CJ12" s="2" t="str">
        <f t="shared" si="17"/>
        <v>T4高7</v>
      </c>
      <c r="CK12" s="2" t="e">
        <f t="shared" si="18"/>
        <v>#N/A</v>
      </c>
      <c r="CL12" s="2" t="e">
        <f t="shared" si="18"/>
        <v>#N/A</v>
      </c>
      <c r="CM12" s="2" t="e">
        <f t="shared" si="18"/>
        <v>#N/A</v>
      </c>
      <c r="CN12" s="2" t="e">
        <f t="shared" si="18"/>
        <v>#N/A</v>
      </c>
      <c r="CO12" s="2" t="e">
        <f t="shared" si="18"/>
        <v>#N/A</v>
      </c>
      <c r="CP12" s="2" t="e">
        <f t="shared" si="18"/>
        <v>#N/A</v>
      </c>
      <c r="CR12" s="2" t="str">
        <f t="shared" si="19"/>
        <v>T4高4</v>
      </c>
      <c r="CS12" s="2" t="str">
        <f t="shared" si="20"/>
        <v>T4高7</v>
      </c>
      <c r="CT12" s="2" t="e">
        <f t="shared" si="21"/>
        <v>#N/A</v>
      </c>
      <c r="CU12" s="2" t="e">
        <f t="shared" si="21"/>
        <v>#N/A</v>
      </c>
      <c r="CV12" s="2" t="e">
        <f t="shared" si="21"/>
        <v>#N/A</v>
      </c>
      <c r="CW12" s="2" t="e">
        <f t="shared" si="21"/>
        <v>#N/A</v>
      </c>
      <c r="CX12" s="2" t="e">
        <f t="shared" si="21"/>
        <v>#N/A</v>
      </c>
      <c r="CY12" s="2" t="e">
        <f t="shared" si="21"/>
        <v>#N/A</v>
      </c>
      <c r="CZ12" s="25"/>
      <c r="DA12" s="2" t="str">
        <f t="shared" si="22"/>
        <v>T4高4</v>
      </c>
      <c r="DB12" s="2" t="str">
        <f t="shared" si="23"/>
        <v>T4高7</v>
      </c>
      <c r="DC12" s="2" t="e">
        <f t="shared" si="24"/>
        <v>#N/A</v>
      </c>
      <c r="DD12" s="2" t="e">
        <f t="shared" si="24"/>
        <v>#N/A</v>
      </c>
      <c r="DE12" s="2" t="e">
        <f t="shared" si="24"/>
        <v>#N/A</v>
      </c>
      <c r="DF12" s="2" t="e">
        <f t="shared" si="24"/>
        <v>#N/A</v>
      </c>
      <c r="DG12" s="2" t="e">
        <f t="shared" si="24"/>
        <v>#N/A</v>
      </c>
      <c r="DH12" s="2" t="e">
        <f t="shared" si="24"/>
        <v>#N/A</v>
      </c>
      <c r="DI12" s="25"/>
      <c r="DJ12" s="2" t="str">
        <f t="shared" si="25"/>
        <v>T4高4</v>
      </c>
      <c r="DK12" s="2" t="str">
        <f t="shared" si="26"/>
        <v>T4高7</v>
      </c>
      <c r="DL12" s="2" t="e">
        <f t="shared" si="27"/>
        <v>#N/A</v>
      </c>
      <c r="DM12" s="2" t="e">
        <f t="shared" si="27"/>
        <v>#N/A</v>
      </c>
      <c r="DN12" s="2" t="e">
        <f t="shared" si="27"/>
        <v>#N/A</v>
      </c>
      <c r="DO12" s="2" t="e">
        <f t="shared" si="27"/>
        <v>#N/A</v>
      </c>
      <c r="DP12" s="2" t="e">
        <f t="shared" si="27"/>
        <v>#N/A</v>
      </c>
      <c r="DQ12" s="2" t="e">
        <f t="shared" si="27"/>
        <v>#N/A</v>
      </c>
      <c r="DS12" s="2" t="str">
        <f t="shared" si="28"/>
        <v>T4高4</v>
      </c>
      <c r="DT12" s="2" t="str">
        <f t="shared" si="29"/>
        <v>T4高7</v>
      </c>
      <c r="DU12" s="2" t="e">
        <f t="shared" si="30"/>
        <v>#N/A</v>
      </c>
      <c r="DV12" s="2" t="e">
        <f t="shared" si="30"/>
        <v>#N/A</v>
      </c>
      <c r="DW12" s="2" t="e">
        <f t="shared" si="30"/>
        <v>#N/A</v>
      </c>
      <c r="DX12" s="2" t="e">
        <f t="shared" si="30"/>
        <v>#N/A</v>
      </c>
      <c r="DY12" s="2" t="e">
        <f t="shared" si="30"/>
        <v>#N/A</v>
      </c>
      <c r="DZ12" s="2" t="e">
        <f t="shared" si="30"/>
        <v>#N/A</v>
      </c>
      <c r="EB12" s="2" t="str">
        <f t="shared" si="31"/>
        <v>T4高4</v>
      </c>
      <c r="EC12" s="2" t="str">
        <f t="shared" si="32"/>
        <v>T4高7</v>
      </c>
      <c r="ED12" s="2" t="e">
        <f t="shared" si="33"/>
        <v>#N/A</v>
      </c>
      <c r="EE12" s="2" t="e">
        <f t="shared" si="33"/>
        <v>#N/A</v>
      </c>
      <c r="EF12" s="2" t="e">
        <f t="shared" si="33"/>
        <v>#N/A</v>
      </c>
      <c r="EG12" s="2" t="e">
        <f t="shared" si="33"/>
        <v>#N/A</v>
      </c>
      <c r="EH12" s="2" t="e">
        <f t="shared" si="33"/>
        <v>#N/A</v>
      </c>
      <c r="EI12" s="2" t="e">
        <f t="shared" si="33"/>
        <v>#N/A</v>
      </c>
      <c r="EK12" s="2" t="str">
        <f t="shared" si="34"/>
        <v>T4高4</v>
      </c>
      <c r="EL12" s="2" t="str">
        <f t="shared" si="35"/>
        <v>T4高7</v>
      </c>
      <c r="EM12" s="2" t="e">
        <f t="shared" si="36"/>
        <v>#N/A</v>
      </c>
      <c r="EN12" s="2" t="e">
        <f t="shared" si="36"/>
        <v>#N/A</v>
      </c>
      <c r="EO12" s="2" t="e">
        <f t="shared" si="36"/>
        <v>#N/A</v>
      </c>
      <c r="EP12" s="2" t="e">
        <f t="shared" si="36"/>
        <v>#N/A</v>
      </c>
      <c r="EQ12" s="2" t="e">
        <f t="shared" si="36"/>
        <v>#N/A</v>
      </c>
      <c r="ER12" s="2" t="e">
        <f t="shared" si="36"/>
        <v>#N/A</v>
      </c>
    </row>
    <row r="13" spans="2:148" x14ac:dyDescent="0.3">
      <c r="B13" s="2" t="s">
        <v>604</v>
      </c>
      <c r="C13" s="2" t="s">
        <v>175</v>
      </c>
      <c r="D13" s="2">
        <f>C4</f>
        <v>1</v>
      </c>
      <c r="E13" s="2">
        <f>D4</f>
        <v>3</v>
      </c>
      <c r="F13" s="2" t="str">
        <f>$B13&amp;$C13&amp;D13</f>
        <v>T1低1</v>
      </c>
      <c r="G13" s="2" t="str">
        <f>$B13&amp;$C13&amp;E13</f>
        <v>T1低3</v>
      </c>
      <c r="H13" s="33">
        <f>L4</f>
        <v>5</v>
      </c>
      <c r="I13" s="29">
        <f>VLOOKUP(VALUE(RIGHT(B13,1)),$B$4:$T$9,MATCH(C13&amp;"品质",$B$3:$T$3,0))</f>
        <v>0.06</v>
      </c>
      <c r="J13" s="21">
        <v>1</v>
      </c>
      <c r="K13" s="2">
        <f>J13+(H13-E13)*$I$13+E13*I13</f>
        <v>1.3</v>
      </c>
      <c r="L13" s="1">
        <v>1</v>
      </c>
      <c r="M13" s="1">
        <v>1.4</v>
      </c>
      <c r="N13" s="1">
        <v>1</v>
      </c>
      <c r="P13" s="2" t="str">
        <f t="shared" ref="P13:P24" si="45">B13&amp;C13</f>
        <v>T1低</v>
      </c>
      <c r="Q13" s="2" t="str">
        <f t="shared" ref="Q13:Q24" si="46">F13</f>
        <v>T1低1</v>
      </c>
      <c r="R13" s="2" t="str">
        <f t="shared" ref="R13:R24" si="47">G13</f>
        <v>T1低3</v>
      </c>
      <c r="S13" s="2">
        <f>L4</f>
        <v>5</v>
      </c>
      <c r="T13" s="2">
        <f t="shared" ref="T13:T24" si="48">E13</f>
        <v>3</v>
      </c>
      <c r="U13" s="2" t="s">
        <v>785</v>
      </c>
      <c r="Y13" s="2" t="s">
        <v>786</v>
      </c>
      <c r="Z13" s="34">
        <f t="shared" si="37"/>
        <v>2</v>
      </c>
      <c r="AA13" s="34">
        <v>2</v>
      </c>
      <c r="AB13" s="2"/>
      <c r="AE13" s="2" t="str">
        <f t="shared" si="2"/>
        <v>T4中4</v>
      </c>
      <c r="AF13" s="2">
        <f t="shared" si="38"/>
        <v>1600</v>
      </c>
      <c r="AG13" s="2">
        <f t="shared" si="3"/>
        <v>174</v>
      </c>
      <c r="AH13" s="2">
        <f t="shared" si="3"/>
        <v>600</v>
      </c>
      <c r="AI13" s="2">
        <f t="shared" si="3"/>
        <v>240</v>
      </c>
      <c r="AJ13" s="2">
        <f t="shared" si="3"/>
        <v>600</v>
      </c>
      <c r="AK13" s="2">
        <f t="shared" si="3"/>
        <v>160</v>
      </c>
      <c r="AM13" s="2" t="str">
        <f t="shared" si="4"/>
        <v>T4中4</v>
      </c>
      <c r="AN13" s="2">
        <f t="shared" si="39"/>
        <v>1600</v>
      </c>
      <c r="AO13" s="2">
        <f t="shared" si="5"/>
        <v>94</v>
      </c>
      <c r="AP13" s="2">
        <f t="shared" si="5"/>
        <v>657</v>
      </c>
      <c r="AQ13" s="2">
        <f t="shared" si="5"/>
        <v>263</v>
      </c>
      <c r="AR13" s="2">
        <f t="shared" si="5"/>
        <v>600</v>
      </c>
      <c r="AS13" s="2">
        <f t="shared" si="5"/>
        <v>160</v>
      </c>
      <c r="AT13" s="25"/>
      <c r="AU13" s="2" t="str">
        <f t="shared" si="6"/>
        <v>T4中4</v>
      </c>
      <c r="AV13" s="2">
        <f t="shared" si="40"/>
        <v>1600</v>
      </c>
      <c r="AW13" s="2">
        <f t="shared" si="7"/>
        <v>363</v>
      </c>
      <c r="AX13" s="2">
        <f t="shared" si="7"/>
        <v>714</v>
      </c>
      <c r="AY13" s="2">
        <f t="shared" si="7"/>
        <v>286</v>
      </c>
      <c r="AZ13" s="2">
        <f t="shared" si="7"/>
        <v>600</v>
      </c>
      <c r="BA13" s="2">
        <f t="shared" si="7"/>
        <v>160</v>
      </c>
      <c r="BB13" s="25"/>
      <c r="BC13" s="2" t="str">
        <f t="shared" si="8"/>
        <v>T4中4</v>
      </c>
      <c r="BD13" s="2">
        <f t="shared" si="41"/>
        <v>1686</v>
      </c>
      <c r="BE13" s="2">
        <f t="shared" si="9"/>
        <v>159</v>
      </c>
      <c r="BF13" s="2">
        <f t="shared" si="9"/>
        <v>571</v>
      </c>
      <c r="BG13" s="2">
        <f t="shared" si="9"/>
        <v>257</v>
      </c>
      <c r="BH13" s="2">
        <f t="shared" si="9"/>
        <v>720</v>
      </c>
      <c r="BI13" s="2">
        <f t="shared" si="9"/>
        <v>169</v>
      </c>
      <c r="BK13" s="2" t="str">
        <f t="shared" si="10"/>
        <v>T4中4</v>
      </c>
      <c r="BL13" s="2">
        <f t="shared" si="42"/>
        <v>1686</v>
      </c>
      <c r="BM13" s="2">
        <f t="shared" si="11"/>
        <v>193</v>
      </c>
      <c r="BN13" s="2">
        <f t="shared" si="11"/>
        <v>657</v>
      </c>
      <c r="BO13" s="2">
        <f t="shared" si="11"/>
        <v>296</v>
      </c>
      <c r="BP13" s="2">
        <f t="shared" si="11"/>
        <v>720</v>
      </c>
      <c r="BQ13" s="2">
        <f t="shared" si="11"/>
        <v>169</v>
      </c>
      <c r="BS13" s="2" t="str">
        <f t="shared" si="12"/>
        <v>T4中4</v>
      </c>
      <c r="BT13" s="2">
        <f t="shared" si="43"/>
        <v>1820</v>
      </c>
      <c r="BU13" s="2">
        <f t="shared" si="13"/>
        <v>621</v>
      </c>
      <c r="BV13" s="2">
        <f t="shared" si="13"/>
        <v>229</v>
      </c>
      <c r="BW13" s="2">
        <f t="shared" si="13"/>
        <v>571</v>
      </c>
      <c r="BX13" s="2">
        <f t="shared" si="13"/>
        <v>840</v>
      </c>
      <c r="BY13" s="2">
        <f t="shared" si="13"/>
        <v>182</v>
      </c>
      <c r="CA13" s="2" t="str">
        <f t="shared" si="14"/>
        <v>T4中4</v>
      </c>
      <c r="CB13" s="2">
        <f t="shared" si="44"/>
        <v>1820</v>
      </c>
      <c r="CC13" s="2">
        <f t="shared" si="15"/>
        <v>829</v>
      </c>
      <c r="CD13" s="2">
        <f t="shared" si="15"/>
        <v>251</v>
      </c>
      <c r="CE13" s="2">
        <f t="shared" si="15"/>
        <v>629</v>
      </c>
      <c r="CF13" s="2">
        <f t="shared" si="15"/>
        <v>840</v>
      </c>
      <c r="CG13" s="2">
        <f t="shared" si="15"/>
        <v>182</v>
      </c>
      <c r="CH13" s="25"/>
      <c r="CI13" s="2" t="str">
        <f t="shared" si="16"/>
        <v>T5低5</v>
      </c>
      <c r="CJ13" s="2" t="str">
        <f t="shared" si="17"/>
        <v>T5低8</v>
      </c>
      <c r="CK13" s="2" t="e">
        <f t="shared" si="18"/>
        <v>#N/A</v>
      </c>
      <c r="CL13" s="2" t="e">
        <f t="shared" si="18"/>
        <v>#N/A</v>
      </c>
      <c r="CM13" s="2" t="e">
        <f t="shared" si="18"/>
        <v>#N/A</v>
      </c>
      <c r="CN13" s="2" t="e">
        <f t="shared" si="18"/>
        <v>#N/A</v>
      </c>
      <c r="CO13" s="2" t="e">
        <f t="shared" si="18"/>
        <v>#N/A</v>
      </c>
      <c r="CP13" s="2" t="e">
        <f t="shared" si="18"/>
        <v>#N/A</v>
      </c>
      <c r="CR13" s="2" t="str">
        <f t="shared" si="19"/>
        <v>T5低5</v>
      </c>
      <c r="CS13" s="2" t="str">
        <f t="shared" si="20"/>
        <v>T5低8</v>
      </c>
      <c r="CT13" s="2" t="e">
        <f t="shared" si="21"/>
        <v>#N/A</v>
      </c>
      <c r="CU13" s="2" t="e">
        <f t="shared" si="21"/>
        <v>#N/A</v>
      </c>
      <c r="CV13" s="2" t="e">
        <f t="shared" si="21"/>
        <v>#N/A</v>
      </c>
      <c r="CW13" s="2" t="e">
        <f t="shared" si="21"/>
        <v>#N/A</v>
      </c>
      <c r="CX13" s="2" t="e">
        <f t="shared" si="21"/>
        <v>#N/A</v>
      </c>
      <c r="CY13" s="2" t="e">
        <f t="shared" si="21"/>
        <v>#N/A</v>
      </c>
      <c r="CZ13" s="25"/>
      <c r="DA13" s="2" t="str">
        <f t="shared" si="22"/>
        <v>T5低5</v>
      </c>
      <c r="DB13" s="2" t="str">
        <f t="shared" si="23"/>
        <v>T5低8</v>
      </c>
      <c r="DC13" s="2" t="e">
        <f t="shared" si="24"/>
        <v>#N/A</v>
      </c>
      <c r="DD13" s="2" t="e">
        <f t="shared" si="24"/>
        <v>#N/A</v>
      </c>
      <c r="DE13" s="2" t="e">
        <f t="shared" si="24"/>
        <v>#N/A</v>
      </c>
      <c r="DF13" s="2" t="e">
        <f t="shared" si="24"/>
        <v>#N/A</v>
      </c>
      <c r="DG13" s="2" t="e">
        <f t="shared" si="24"/>
        <v>#N/A</v>
      </c>
      <c r="DH13" s="2" t="e">
        <f t="shared" si="24"/>
        <v>#N/A</v>
      </c>
      <c r="DI13" s="25"/>
      <c r="DJ13" s="2" t="str">
        <f t="shared" si="25"/>
        <v>T5低5</v>
      </c>
      <c r="DK13" s="2" t="str">
        <f t="shared" si="26"/>
        <v>T5低8</v>
      </c>
      <c r="DL13" s="2" t="e">
        <f t="shared" si="27"/>
        <v>#N/A</v>
      </c>
      <c r="DM13" s="2" t="e">
        <f t="shared" si="27"/>
        <v>#N/A</v>
      </c>
      <c r="DN13" s="2" t="e">
        <f t="shared" si="27"/>
        <v>#N/A</v>
      </c>
      <c r="DO13" s="2" t="e">
        <f t="shared" si="27"/>
        <v>#N/A</v>
      </c>
      <c r="DP13" s="2" t="e">
        <f t="shared" si="27"/>
        <v>#N/A</v>
      </c>
      <c r="DQ13" s="2" t="e">
        <f t="shared" si="27"/>
        <v>#N/A</v>
      </c>
      <c r="DS13" s="2" t="str">
        <f t="shared" si="28"/>
        <v>T5低5</v>
      </c>
      <c r="DT13" s="2" t="str">
        <f t="shared" si="29"/>
        <v>T5低8</v>
      </c>
      <c r="DU13" s="2" t="e">
        <f t="shared" si="30"/>
        <v>#N/A</v>
      </c>
      <c r="DV13" s="2" t="e">
        <f t="shared" si="30"/>
        <v>#N/A</v>
      </c>
      <c r="DW13" s="2" t="e">
        <f t="shared" si="30"/>
        <v>#N/A</v>
      </c>
      <c r="DX13" s="2" t="e">
        <f t="shared" si="30"/>
        <v>#N/A</v>
      </c>
      <c r="DY13" s="2" t="e">
        <f t="shared" si="30"/>
        <v>#N/A</v>
      </c>
      <c r="DZ13" s="2" t="e">
        <f t="shared" si="30"/>
        <v>#N/A</v>
      </c>
      <c r="EB13" s="2" t="str">
        <f t="shared" si="31"/>
        <v>T5低5</v>
      </c>
      <c r="EC13" s="2" t="str">
        <f t="shared" si="32"/>
        <v>T5低8</v>
      </c>
      <c r="ED13" s="2" t="e">
        <f t="shared" si="33"/>
        <v>#N/A</v>
      </c>
      <c r="EE13" s="2" t="e">
        <f t="shared" si="33"/>
        <v>#N/A</v>
      </c>
      <c r="EF13" s="2" t="e">
        <f t="shared" si="33"/>
        <v>#N/A</v>
      </c>
      <c r="EG13" s="2" t="e">
        <f t="shared" si="33"/>
        <v>#N/A</v>
      </c>
      <c r="EH13" s="2" t="e">
        <f t="shared" si="33"/>
        <v>#N/A</v>
      </c>
      <c r="EI13" s="2" t="e">
        <f t="shared" si="33"/>
        <v>#N/A</v>
      </c>
      <c r="EK13" s="2" t="str">
        <f t="shared" si="34"/>
        <v>T5低5</v>
      </c>
      <c r="EL13" s="2" t="str">
        <f t="shared" si="35"/>
        <v>T5低8</v>
      </c>
      <c r="EM13" s="2" t="e">
        <f t="shared" si="36"/>
        <v>#N/A</v>
      </c>
      <c r="EN13" s="2" t="e">
        <f t="shared" si="36"/>
        <v>#N/A</v>
      </c>
      <c r="EO13" s="2" t="e">
        <f t="shared" si="36"/>
        <v>#N/A</v>
      </c>
      <c r="EP13" s="2" t="e">
        <f t="shared" si="36"/>
        <v>#N/A</v>
      </c>
      <c r="EQ13" s="2" t="e">
        <f t="shared" si="36"/>
        <v>#N/A</v>
      </c>
      <c r="ER13" s="2" t="e">
        <f t="shared" si="36"/>
        <v>#N/A</v>
      </c>
    </row>
    <row r="14" spans="2:148" x14ac:dyDescent="0.3">
      <c r="B14" s="2" t="s">
        <v>606</v>
      </c>
      <c r="C14" s="2" t="s">
        <v>175</v>
      </c>
      <c r="D14" s="2">
        <f>C5</f>
        <v>2</v>
      </c>
      <c r="E14" s="2">
        <f>D5</f>
        <v>4</v>
      </c>
      <c r="F14" s="2" t="str">
        <f t="shared" ref="F14:F24" si="49">$B14&amp;$C14&amp;D14</f>
        <v>T2低2</v>
      </c>
      <c r="G14" s="2" t="str">
        <f t="shared" ref="G14:G24" si="50">$B14&amp;$C14&amp;E14</f>
        <v>T2低4</v>
      </c>
      <c r="H14" s="33">
        <f>L5</f>
        <v>7</v>
      </c>
      <c r="I14" s="29">
        <f t="shared" ref="I14:I24" si="51">VLOOKUP(VALUE(RIGHT(B14,1)),$B$4:$T$9,MATCH(C14&amp;"品质",$B$3:$T$3,0))</f>
        <v>0.08</v>
      </c>
      <c r="J14" s="2">
        <v>1.2</v>
      </c>
      <c r="K14" s="2">
        <f t="shared" ref="K14:K24" si="52">J14+(H14-E14)*$I$13+E14*I14</f>
        <v>1.7</v>
      </c>
      <c r="L14" s="1">
        <v>1.1499999999999999</v>
      </c>
      <c r="M14" s="1">
        <v>1.78</v>
      </c>
      <c r="N14" s="1">
        <f>J13+I14*(D13+1)</f>
        <v>1.1599999999999999</v>
      </c>
      <c r="P14" s="2" t="str">
        <f t="shared" si="45"/>
        <v>T2低</v>
      </c>
      <c r="Q14" s="2" t="str">
        <f t="shared" si="46"/>
        <v>T2低2</v>
      </c>
      <c r="R14" s="2" t="str">
        <f t="shared" si="47"/>
        <v>T2低4</v>
      </c>
      <c r="S14" s="2">
        <f>L5</f>
        <v>7</v>
      </c>
      <c r="T14" s="2">
        <f t="shared" si="48"/>
        <v>4</v>
      </c>
      <c r="U14" s="2" t="s">
        <v>787</v>
      </c>
      <c r="Y14" s="2" t="s">
        <v>788</v>
      </c>
      <c r="Z14" s="34">
        <f t="shared" si="37"/>
        <v>2</v>
      </c>
      <c r="AA14" s="34">
        <v>2</v>
      </c>
      <c r="AB14" s="2"/>
      <c r="AE14" s="2" t="str">
        <f t="shared" si="2"/>
        <v>T4高4</v>
      </c>
      <c r="AF14" s="2">
        <f t="shared" si="38"/>
        <v>1600</v>
      </c>
      <c r="AG14" s="2">
        <f t="shared" ref="AG14:AK27" si="53">ROUND(VLOOKUP($AE$2,$B$45:$J$52,MATCH(AG$3,$B$45:$J$45,0),FALSE)*$Z14,0)</f>
        <v>174</v>
      </c>
      <c r="AH14" s="2">
        <f t="shared" si="53"/>
        <v>600</v>
      </c>
      <c r="AI14" s="2">
        <f t="shared" si="53"/>
        <v>240</v>
      </c>
      <c r="AJ14" s="2">
        <f t="shared" si="53"/>
        <v>600</v>
      </c>
      <c r="AK14" s="2">
        <f t="shared" si="53"/>
        <v>160</v>
      </c>
      <c r="AM14" s="2" t="str">
        <f t="shared" si="4"/>
        <v>T4高4</v>
      </c>
      <c r="AN14" s="2">
        <f t="shared" si="39"/>
        <v>1600</v>
      </c>
      <c r="AO14" s="2">
        <f t="shared" ref="AO14:AS27" si="54">ROUND(VLOOKUP($AM$2,$B$45:$J$52,MATCH(AO$3,$B$45:$J$45,0),FALSE)*$Z14,0)</f>
        <v>94</v>
      </c>
      <c r="AP14" s="2">
        <f t="shared" si="54"/>
        <v>657</v>
      </c>
      <c r="AQ14" s="2">
        <f t="shared" si="54"/>
        <v>263</v>
      </c>
      <c r="AR14" s="2">
        <f t="shared" si="54"/>
        <v>600</v>
      </c>
      <c r="AS14" s="2">
        <f t="shared" si="54"/>
        <v>160</v>
      </c>
      <c r="AT14" s="25"/>
      <c r="AU14" s="2" t="str">
        <f t="shared" si="6"/>
        <v>T4高4</v>
      </c>
      <c r="AV14" s="2">
        <f t="shared" si="40"/>
        <v>1600</v>
      </c>
      <c r="AW14" s="2">
        <f t="shared" ref="AW14:BA27" si="55">ROUND(VLOOKUP($AU$2,$B$45:$J$52,MATCH(AW$3,$B$45:$J$45,0),FALSE)*$Z14,0)</f>
        <v>363</v>
      </c>
      <c r="AX14" s="2">
        <f t="shared" si="55"/>
        <v>714</v>
      </c>
      <c r="AY14" s="2">
        <f t="shared" si="55"/>
        <v>286</v>
      </c>
      <c r="AZ14" s="2">
        <f t="shared" si="55"/>
        <v>600</v>
      </c>
      <c r="BA14" s="2">
        <f t="shared" si="55"/>
        <v>160</v>
      </c>
      <c r="BB14" s="25"/>
      <c r="BC14" s="2" t="str">
        <f t="shared" si="8"/>
        <v>T4高4</v>
      </c>
      <c r="BD14" s="2">
        <f t="shared" si="41"/>
        <v>1686</v>
      </c>
      <c r="BE14" s="2">
        <f t="shared" ref="BE14:BI27" si="56">ROUND(VLOOKUP($BC$2,$B$45:$J$52,MATCH(BE$3,$B$45:$J$45,0),FALSE)*$Z14,0)</f>
        <v>159</v>
      </c>
      <c r="BF14" s="2">
        <f t="shared" si="56"/>
        <v>571</v>
      </c>
      <c r="BG14" s="2">
        <f t="shared" si="56"/>
        <v>257</v>
      </c>
      <c r="BH14" s="2">
        <f t="shared" si="56"/>
        <v>720</v>
      </c>
      <c r="BI14" s="2">
        <f t="shared" si="56"/>
        <v>169</v>
      </c>
      <c r="BK14" s="2" t="str">
        <f t="shared" si="10"/>
        <v>T4高4</v>
      </c>
      <c r="BL14" s="2">
        <f t="shared" si="42"/>
        <v>1686</v>
      </c>
      <c r="BM14" s="2">
        <f t="shared" ref="BM14:BQ27" si="57">ROUND(VLOOKUP($BK$2,$B$45:$J$52,MATCH(BM$3,$B$45:$J$45,0),FALSE)*$Z14,0)</f>
        <v>193</v>
      </c>
      <c r="BN14" s="2">
        <f t="shared" si="57"/>
        <v>657</v>
      </c>
      <c r="BO14" s="2">
        <f t="shared" si="57"/>
        <v>296</v>
      </c>
      <c r="BP14" s="2">
        <f t="shared" si="57"/>
        <v>720</v>
      </c>
      <c r="BQ14" s="2">
        <f t="shared" si="57"/>
        <v>169</v>
      </c>
      <c r="BS14" s="2" t="str">
        <f t="shared" si="12"/>
        <v>T4高4</v>
      </c>
      <c r="BT14" s="2">
        <f t="shared" si="43"/>
        <v>1820</v>
      </c>
      <c r="BU14" s="2">
        <f t="shared" ref="BU14:BY27" si="58">ROUND(VLOOKUP($BS$2,$B$45:$J$52,MATCH(BU$3,$B$45:$J$45,0),FALSE)*$Z14,0)</f>
        <v>621</v>
      </c>
      <c r="BV14" s="2">
        <f t="shared" si="58"/>
        <v>229</v>
      </c>
      <c r="BW14" s="2">
        <f t="shared" si="58"/>
        <v>571</v>
      </c>
      <c r="BX14" s="2">
        <f t="shared" si="58"/>
        <v>840</v>
      </c>
      <c r="BY14" s="2">
        <f t="shared" si="58"/>
        <v>182</v>
      </c>
      <c r="CA14" s="2" t="str">
        <f t="shared" si="14"/>
        <v>T4高4</v>
      </c>
      <c r="CB14" s="2">
        <f t="shared" si="44"/>
        <v>1820</v>
      </c>
      <c r="CC14" s="2">
        <f t="shared" ref="CC14:CG27" si="59">ROUND(VLOOKUP($CA$2,$B$45:$J$52,MATCH(CC$3,$B$45:$J$45,0),FALSE)*$Z14,0)</f>
        <v>829</v>
      </c>
      <c r="CD14" s="2">
        <f t="shared" si="59"/>
        <v>251</v>
      </c>
      <c r="CE14" s="2">
        <f t="shared" si="59"/>
        <v>629</v>
      </c>
      <c r="CF14" s="2">
        <f t="shared" si="59"/>
        <v>840</v>
      </c>
      <c r="CG14" s="2">
        <f t="shared" si="59"/>
        <v>182</v>
      </c>
      <c r="CH14" s="25"/>
      <c r="CI14" s="2" t="str">
        <f t="shared" si="16"/>
        <v>T5中5</v>
      </c>
      <c r="CJ14" s="2" t="str">
        <f t="shared" si="17"/>
        <v>T5中8</v>
      </c>
      <c r="CK14" s="2" t="e">
        <f t="shared" si="18"/>
        <v>#N/A</v>
      </c>
      <c r="CL14" s="2" t="e">
        <f t="shared" si="18"/>
        <v>#N/A</v>
      </c>
      <c r="CM14" s="2" t="e">
        <f t="shared" si="18"/>
        <v>#N/A</v>
      </c>
      <c r="CN14" s="2" t="e">
        <f t="shared" si="18"/>
        <v>#N/A</v>
      </c>
      <c r="CO14" s="2" t="e">
        <f t="shared" si="18"/>
        <v>#N/A</v>
      </c>
      <c r="CP14" s="2" t="e">
        <f t="shared" si="18"/>
        <v>#N/A</v>
      </c>
      <c r="CR14" s="2" t="str">
        <f t="shared" si="19"/>
        <v>T5中5</v>
      </c>
      <c r="CS14" s="2" t="str">
        <f t="shared" si="20"/>
        <v>T5中8</v>
      </c>
      <c r="CT14" s="2" t="e">
        <f t="shared" si="21"/>
        <v>#N/A</v>
      </c>
      <c r="CU14" s="2" t="e">
        <f t="shared" si="21"/>
        <v>#N/A</v>
      </c>
      <c r="CV14" s="2" t="e">
        <f t="shared" si="21"/>
        <v>#N/A</v>
      </c>
      <c r="CW14" s="2" t="e">
        <f t="shared" si="21"/>
        <v>#N/A</v>
      </c>
      <c r="CX14" s="2" t="e">
        <f t="shared" si="21"/>
        <v>#N/A</v>
      </c>
      <c r="CY14" s="2" t="e">
        <f t="shared" si="21"/>
        <v>#N/A</v>
      </c>
      <c r="CZ14" s="25"/>
      <c r="DA14" s="2" t="str">
        <f t="shared" si="22"/>
        <v>T5中5</v>
      </c>
      <c r="DB14" s="2" t="str">
        <f t="shared" si="23"/>
        <v>T5中8</v>
      </c>
      <c r="DC14" s="2" t="e">
        <f t="shared" si="24"/>
        <v>#N/A</v>
      </c>
      <c r="DD14" s="2" t="e">
        <f t="shared" si="24"/>
        <v>#N/A</v>
      </c>
      <c r="DE14" s="2" t="e">
        <f t="shared" si="24"/>
        <v>#N/A</v>
      </c>
      <c r="DF14" s="2" t="e">
        <f t="shared" si="24"/>
        <v>#N/A</v>
      </c>
      <c r="DG14" s="2" t="e">
        <f t="shared" si="24"/>
        <v>#N/A</v>
      </c>
      <c r="DH14" s="2" t="e">
        <f t="shared" si="24"/>
        <v>#N/A</v>
      </c>
      <c r="DI14" s="25"/>
      <c r="DJ14" s="2" t="str">
        <f t="shared" si="25"/>
        <v>T5中5</v>
      </c>
      <c r="DK14" s="2" t="str">
        <f t="shared" si="26"/>
        <v>T5中8</v>
      </c>
      <c r="DL14" s="2" t="e">
        <f t="shared" si="27"/>
        <v>#N/A</v>
      </c>
      <c r="DM14" s="2" t="e">
        <f t="shared" si="27"/>
        <v>#N/A</v>
      </c>
      <c r="DN14" s="2" t="e">
        <f t="shared" si="27"/>
        <v>#N/A</v>
      </c>
      <c r="DO14" s="2" t="e">
        <f t="shared" si="27"/>
        <v>#N/A</v>
      </c>
      <c r="DP14" s="2" t="e">
        <f t="shared" si="27"/>
        <v>#N/A</v>
      </c>
      <c r="DQ14" s="2" t="e">
        <f t="shared" si="27"/>
        <v>#N/A</v>
      </c>
      <c r="DS14" s="2" t="str">
        <f t="shared" si="28"/>
        <v>T5中5</v>
      </c>
      <c r="DT14" s="2" t="str">
        <f t="shared" si="29"/>
        <v>T5中8</v>
      </c>
      <c r="DU14" s="2" t="e">
        <f t="shared" si="30"/>
        <v>#N/A</v>
      </c>
      <c r="DV14" s="2" t="e">
        <f t="shared" si="30"/>
        <v>#N/A</v>
      </c>
      <c r="DW14" s="2" t="e">
        <f t="shared" si="30"/>
        <v>#N/A</v>
      </c>
      <c r="DX14" s="2" t="e">
        <f t="shared" si="30"/>
        <v>#N/A</v>
      </c>
      <c r="DY14" s="2" t="e">
        <f t="shared" si="30"/>
        <v>#N/A</v>
      </c>
      <c r="DZ14" s="2" t="e">
        <f t="shared" si="30"/>
        <v>#N/A</v>
      </c>
      <c r="EB14" s="2" t="str">
        <f t="shared" si="31"/>
        <v>T5中5</v>
      </c>
      <c r="EC14" s="2" t="str">
        <f t="shared" si="32"/>
        <v>T5中8</v>
      </c>
      <c r="ED14" s="2" t="e">
        <f t="shared" si="33"/>
        <v>#N/A</v>
      </c>
      <c r="EE14" s="2" t="e">
        <f t="shared" si="33"/>
        <v>#N/A</v>
      </c>
      <c r="EF14" s="2" t="e">
        <f t="shared" si="33"/>
        <v>#N/A</v>
      </c>
      <c r="EG14" s="2" t="e">
        <f t="shared" si="33"/>
        <v>#N/A</v>
      </c>
      <c r="EH14" s="2" t="e">
        <f t="shared" si="33"/>
        <v>#N/A</v>
      </c>
      <c r="EI14" s="2" t="e">
        <f t="shared" si="33"/>
        <v>#N/A</v>
      </c>
      <c r="EK14" s="2" t="str">
        <f t="shared" si="34"/>
        <v>T5中5</v>
      </c>
      <c r="EL14" s="2" t="str">
        <f t="shared" si="35"/>
        <v>T5中8</v>
      </c>
      <c r="EM14" s="2" t="e">
        <f t="shared" si="36"/>
        <v>#N/A</v>
      </c>
      <c r="EN14" s="2" t="e">
        <f t="shared" si="36"/>
        <v>#N/A</v>
      </c>
      <c r="EO14" s="2" t="e">
        <f t="shared" si="36"/>
        <v>#N/A</v>
      </c>
      <c r="EP14" s="2" t="e">
        <f t="shared" si="36"/>
        <v>#N/A</v>
      </c>
      <c r="EQ14" s="2" t="e">
        <f t="shared" si="36"/>
        <v>#N/A</v>
      </c>
      <c r="ER14" s="2" t="e">
        <f t="shared" si="36"/>
        <v>#N/A</v>
      </c>
    </row>
    <row r="15" spans="2:148" x14ac:dyDescent="0.3">
      <c r="B15" s="2" t="s">
        <v>606</v>
      </c>
      <c r="C15" s="2" t="s">
        <v>177</v>
      </c>
      <c r="D15" s="2">
        <f>E5</f>
        <v>2</v>
      </c>
      <c r="E15" s="2">
        <f>F5</f>
        <v>4</v>
      </c>
      <c r="F15" s="2" t="str">
        <f t="shared" si="49"/>
        <v>T2中2</v>
      </c>
      <c r="G15" s="2" t="str">
        <f t="shared" si="50"/>
        <v>T2中4</v>
      </c>
      <c r="H15" s="33">
        <f>M5</f>
        <v>7</v>
      </c>
      <c r="I15" s="29">
        <f t="shared" si="51"/>
        <v>0.09</v>
      </c>
      <c r="J15" s="2">
        <v>1.22</v>
      </c>
      <c r="K15" s="2">
        <f t="shared" si="52"/>
        <v>1.7599999999999998</v>
      </c>
      <c r="L15" s="1">
        <v>1.2</v>
      </c>
      <c r="M15" s="1">
        <v>1.9</v>
      </c>
      <c r="N15" s="1">
        <f>J13+I15*(D13+1)</f>
        <v>1.18</v>
      </c>
      <c r="P15" s="2" t="str">
        <f t="shared" si="45"/>
        <v>T2中</v>
      </c>
      <c r="Q15" s="2" t="str">
        <f t="shared" si="46"/>
        <v>T2中2</v>
      </c>
      <c r="R15" s="2" t="str">
        <f t="shared" si="47"/>
        <v>T2中4</v>
      </c>
      <c r="S15" s="2">
        <f>M5</f>
        <v>7</v>
      </c>
      <c r="T15" s="2">
        <f t="shared" si="48"/>
        <v>4</v>
      </c>
      <c r="U15" s="2" t="s">
        <v>787</v>
      </c>
      <c r="Y15" s="2" t="s">
        <v>789</v>
      </c>
      <c r="Z15" s="34">
        <f t="shared" si="37"/>
        <v>2.17</v>
      </c>
      <c r="AA15" s="34">
        <v>2.12</v>
      </c>
      <c r="AB15" s="2"/>
      <c r="AE15" s="2" t="str">
        <f t="shared" si="2"/>
        <v>T3低5</v>
      </c>
      <c r="AF15" s="2">
        <f t="shared" si="38"/>
        <v>1696</v>
      </c>
      <c r="AG15" s="2">
        <f t="shared" si="53"/>
        <v>189</v>
      </c>
      <c r="AH15" s="2">
        <f t="shared" si="53"/>
        <v>651</v>
      </c>
      <c r="AI15" s="2">
        <f t="shared" si="53"/>
        <v>260</v>
      </c>
      <c r="AJ15" s="2">
        <f t="shared" si="53"/>
        <v>651</v>
      </c>
      <c r="AK15" s="2">
        <f t="shared" si="53"/>
        <v>174</v>
      </c>
      <c r="AM15" s="2" t="str">
        <f t="shared" si="4"/>
        <v>T3低5</v>
      </c>
      <c r="AN15" s="2">
        <f t="shared" si="39"/>
        <v>1696</v>
      </c>
      <c r="AO15" s="2">
        <f t="shared" si="54"/>
        <v>102</v>
      </c>
      <c r="AP15" s="2">
        <f t="shared" si="54"/>
        <v>713</v>
      </c>
      <c r="AQ15" s="2">
        <f t="shared" si="54"/>
        <v>285</v>
      </c>
      <c r="AR15" s="2">
        <f t="shared" si="54"/>
        <v>651</v>
      </c>
      <c r="AS15" s="2">
        <f t="shared" si="54"/>
        <v>174</v>
      </c>
      <c r="AT15" s="25"/>
      <c r="AU15" s="2" t="str">
        <f t="shared" si="6"/>
        <v>T3低5</v>
      </c>
      <c r="AV15" s="2">
        <f t="shared" si="40"/>
        <v>1696</v>
      </c>
      <c r="AW15" s="2">
        <f t="shared" si="55"/>
        <v>394</v>
      </c>
      <c r="AX15" s="2">
        <f t="shared" si="55"/>
        <v>775</v>
      </c>
      <c r="AY15" s="2">
        <f t="shared" si="55"/>
        <v>310</v>
      </c>
      <c r="AZ15" s="2">
        <f t="shared" si="55"/>
        <v>651</v>
      </c>
      <c r="BA15" s="2">
        <f t="shared" si="55"/>
        <v>174</v>
      </c>
      <c r="BB15" s="25"/>
      <c r="BC15" s="2" t="str">
        <f t="shared" si="8"/>
        <v>T3低5</v>
      </c>
      <c r="BD15" s="2">
        <f t="shared" si="41"/>
        <v>1787</v>
      </c>
      <c r="BE15" s="2">
        <f t="shared" si="56"/>
        <v>172</v>
      </c>
      <c r="BF15" s="2">
        <f t="shared" si="56"/>
        <v>620</v>
      </c>
      <c r="BG15" s="2">
        <f t="shared" si="56"/>
        <v>279</v>
      </c>
      <c r="BH15" s="2">
        <f t="shared" si="56"/>
        <v>781</v>
      </c>
      <c r="BI15" s="2">
        <f t="shared" si="56"/>
        <v>183</v>
      </c>
      <c r="BK15" s="2" t="str">
        <f t="shared" si="10"/>
        <v>T3低5</v>
      </c>
      <c r="BL15" s="2">
        <f t="shared" si="42"/>
        <v>1787</v>
      </c>
      <c r="BM15" s="2">
        <f t="shared" si="57"/>
        <v>210</v>
      </c>
      <c r="BN15" s="2">
        <f t="shared" si="57"/>
        <v>713</v>
      </c>
      <c r="BO15" s="2">
        <f t="shared" si="57"/>
        <v>321</v>
      </c>
      <c r="BP15" s="2">
        <f t="shared" si="57"/>
        <v>781</v>
      </c>
      <c r="BQ15" s="2">
        <f t="shared" si="57"/>
        <v>183</v>
      </c>
      <c r="BS15" s="2" t="str">
        <f t="shared" si="12"/>
        <v>T3低5</v>
      </c>
      <c r="BT15" s="2">
        <f t="shared" si="43"/>
        <v>1930</v>
      </c>
      <c r="BU15" s="2">
        <f t="shared" si="58"/>
        <v>674</v>
      </c>
      <c r="BV15" s="2">
        <f t="shared" si="58"/>
        <v>248</v>
      </c>
      <c r="BW15" s="2">
        <f t="shared" si="58"/>
        <v>620</v>
      </c>
      <c r="BX15" s="2">
        <f t="shared" si="58"/>
        <v>911</v>
      </c>
      <c r="BY15" s="2">
        <f t="shared" si="58"/>
        <v>198</v>
      </c>
      <c r="CA15" s="2" t="str">
        <f t="shared" si="14"/>
        <v>T3低5</v>
      </c>
      <c r="CB15" s="2">
        <f t="shared" si="44"/>
        <v>1930</v>
      </c>
      <c r="CC15" s="2">
        <f t="shared" si="59"/>
        <v>900</v>
      </c>
      <c r="CD15" s="2">
        <f t="shared" si="59"/>
        <v>273</v>
      </c>
      <c r="CE15" s="2">
        <f t="shared" si="59"/>
        <v>682</v>
      </c>
      <c r="CF15" s="2">
        <f t="shared" si="59"/>
        <v>911</v>
      </c>
      <c r="CG15" s="2">
        <f t="shared" si="59"/>
        <v>198</v>
      </c>
      <c r="CH15" s="25"/>
      <c r="CI15" s="2" t="str">
        <f t="shared" si="16"/>
        <v>T5高5</v>
      </c>
      <c r="CJ15" s="2" t="str">
        <f t="shared" si="17"/>
        <v>T5高8</v>
      </c>
      <c r="CK15" s="2" t="e">
        <f t="shared" si="18"/>
        <v>#N/A</v>
      </c>
      <c r="CL15" s="2" t="e">
        <f t="shared" si="18"/>
        <v>#N/A</v>
      </c>
      <c r="CM15" s="2" t="e">
        <f t="shared" si="18"/>
        <v>#N/A</v>
      </c>
      <c r="CN15" s="2" t="e">
        <f t="shared" si="18"/>
        <v>#N/A</v>
      </c>
      <c r="CO15" s="2" t="e">
        <f t="shared" si="18"/>
        <v>#N/A</v>
      </c>
      <c r="CP15" s="2" t="e">
        <f t="shared" si="18"/>
        <v>#N/A</v>
      </c>
      <c r="CR15" s="2" t="str">
        <f t="shared" si="19"/>
        <v>T5高5</v>
      </c>
      <c r="CS15" s="2" t="str">
        <f t="shared" si="20"/>
        <v>T5高8</v>
      </c>
      <c r="CT15" s="2" t="e">
        <f t="shared" si="21"/>
        <v>#N/A</v>
      </c>
      <c r="CU15" s="2" t="e">
        <f t="shared" si="21"/>
        <v>#N/A</v>
      </c>
      <c r="CV15" s="2" t="e">
        <f t="shared" si="21"/>
        <v>#N/A</v>
      </c>
      <c r="CW15" s="2" t="e">
        <f t="shared" si="21"/>
        <v>#N/A</v>
      </c>
      <c r="CX15" s="2" t="e">
        <f t="shared" si="21"/>
        <v>#N/A</v>
      </c>
      <c r="CY15" s="2" t="e">
        <f t="shared" si="21"/>
        <v>#N/A</v>
      </c>
      <c r="CZ15" s="25"/>
      <c r="DA15" s="2" t="str">
        <f t="shared" si="22"/>
        <v>T5高5</v>
      </c>
      <c r="DB15" s="2" t="str">
        <f t="shared" si="23"/>
        <v>T5高8</v>
      </c>
      <c r="DC15" s="2" t="e">
        <f t="shared" si="24"/>
        <v>#N/A</v>
      </c>
      <c r="DD15" s="2" t="e">
        <f t="shared" si="24"/>
        <v>#N/A</v>
      </c>
      <c r="DE15" s="2" t="e">
        <f t="shared" si="24"/>
        <v>#N/A</v>
      </c>
      <c r="DF15" s="2" t="e">
        <f t="shared" si="24"/>
        <v>#N/A</v>
      </c>
      <c r="DG15" s="2" t="e">
        <f t="shared" si="24"/>
        <v>#N/A</v>
      </c>
      <c r="DH15" s="2" t="e">
        <f t="shared" si="24"/>
        <v>#N/A</v>
      </c>
      <c r="DI15" s="25"/>
      <c r="DJ15" s="2" t="str">
        <f t="shared" si="25"/>
        <v>T5高5</v>
      </c>
      <c r="DK15" s="2" t="str">
        <f t="shared" si="26"/>
        <v>T5高8</v>
      </c>
      <c r="DL15" s="2" t="e">
        <f t="shared" si="27"/>
        <v>#N/A</v>
      </c>
      <c r="DM15" s="2" t="e">
        <f t="shared" si="27"/>
        <v>#N/A</v>
      </c>
      <c r="DN15" s="2" t="e">
        <f t="shared" si="27"/>
        <v>#N/A</v>
      </c>
      <c r="DO15" s="2" t="e">
        <f t="shared" si="27"/>
        <v>#N/A</v>
      </c>
      <c r="DP15" s="2" t="e">
        <f t="shared" si="27"/>
        <v>#N/A</v>
      </c>
      <c r="DQ15" s="2" t="e">
        <f t="shared" si="27"/>
        <v>#N/A</v>
      </c>
      <c r="DS15" s="2" t="str">
        <f t="shared" si="28"/>
        <v>T5高5</v>
      </c>
      <c r="DT15" s="2" t="str">
        <f t="shared" si="29"/>
        <v>T5高8</v>
      </c>
      <c r="DU15" s="2" t="e">
        <f t="shared" si="30"/>
        <v>#N/A</v>
      </c>
      <c r="DV15" s="2" t="e">
        <f t="shared" si="30"/>
        <v>#N/A</v>
      </c>
      <c r="DW15" s="2" t="e">
        <f t="shared" si="30"/>
        <v>#N/A</v>
      </c>
      <c r="DX15" s="2" t="e">
        <f t="shared" si="30"/>
        <v>#N/A</v>
      </c>
      <c r="DY15" s="2" t="e">
        <f t="shared" si="30"/>
        <v>#N/A</v>
      </c>
      <c r="DZ15" s="2" t="e">
        <f t="shared" si="30"/>
        <v>#N/A</v>
      </c>
      <c r="EB15" s="2" t="str">
        <f t="shared" si="31"/>
        <v>T5高5</v>
      </c>
      <c r="EC15" s="2" t="str">
        <f t="shared" si="32"/>
        <v>T5高8</v>
      </c>
      <c r="ED15" s="2" t="e">
        <f t="shared" si="33"/>
        <v>#N/A</v>
      </c>
      <c r="EE15" s="2" t="e">
        <f t="shared" si="33"/>
        <v>#N/A</v>
      </c>
      <c r="EF15" s="2" t="e">
        <f t="shared" si="33"/>
        <v>#N/A</v>
      </c>
      <c r="EG15" s="2" t="e">
        <f t="shared" si="33"/>
        <v>#N/A</v>
      </c>
      <c r="EH15" s="2" t="e">
        <f t="shared" si="33"/>
        <v>#N/A</v>
      </c>
      <c r="EI15" s="2" t="e">
        <f t="shared" si="33"/>
        <v>#N/A</v>
      </c>
      <c r="EK15" s="2" t="str">
        <f t="shared" si="34"/>
        <v>T5高5</v>
      </c>
      <c r="EL15" s="2" t="str">
        <f t="shared" si="35"/>
        <v>T5高8</v>
      </c>
      <c r="EM15" s="2" t="e">
        <f t="shared" si="36"/>
        <v>#N/A</v>
      </c>
      <c r="EN15" s="2" t="e">
        <f t="shared" si="36"/>
        <v>#N/A</v>
      </c>
      <c r="EO15" s="2" t="e">
        <f t="shared" si="36"/>
        <v>#N/A</v>
      </c>
      <c r="EP15" s="2" t="e">
        <f t="shared" si="36"/>
        <v>#N/A</v>
      </c>
      <c r="EQ15" s="2" t="e">
        <f t="shared" si="36"/>
        <v>#N/A</v>
      </c>
      <c r="ER15" s="2" t="e">
        <f t="shared" si="36"/>
        <v>#N/A</v>
      </c>
    </row>
    <row r="16" spans="2:148" x14ac:dyDescent="0.3">
      <c r="B16" s="2" t="s">
        <v>610</v>
      </c>
      <c r="C16" s="2" t="s">
        <v>175</v>
      </c>
      <c r="D16" s="2">
        <f>C6</f>
        <v>3</v>
      </c>
      <c r="E16" s="2">
        <f>D6</f>
        <v>5</v>
      </c>
      <c r="F16" s="2" t="str">
        <f t="shared" si="49"/>
        <v>T3低3</v>
      </c>
      <c r="G16" s="2" t="str">
        <f t="shared" si="50"/>
        <v>T3低5</v>
      </c>
      <c r="H16" s="33">
        <f>L6</f>
        <v>9</v>
      </c>
      <c r="I16" s="29">
        <f t="shared" si="51"/>
        <v>0.09</v>
      </c>
      <c r="J16" s="2">
        <v>1.48</v>
      </c>
      <c r="K16" s="2">
        <f t="shared" si="52"/>
        <v>2.17</v>
      </c>
      <c r="L16" s="1">
        <v>1.5</v>
      </c>
      <c r="M16" s="1">
        <v>2.2999999999999998</v>
      </c>
      <c r="N16" s="1">
        <f>J14+I16*(D14+1)</f>
        <v>1.47</v>
      </c>
      <c r="P16" s="2" t="str">
        <f t="shared" si="45"/>
        <v>T3低</v>
      </c>
      <c r="Q16" s="2" t="str">
        <f t="shared" si="46"/>
        <v>T3低3</v>
      </c>
      <c r="R16" s="2" t="str">
        <f t="shared" si="47"/>
        <v>T3低5</v>
      </c>
      <c r="S16" s="2">
        <f>L6</f>
        <v>9</v>
      </c>
      <c r="T16" s="2">
        <f t="shared" si="48"/>
        <v>5</v>
      </c>
      <c r="U16" s="2" t="s">
        <v>790</v>
      </c>
      <c r="Y16" s="2" t="s">
        <v>791</v>
      </c>
      <c r="Z16" s="34">
        <f t="shared" si="37"/>
        <v>1.7599999999999998</v>
      </c>
      <c r="AA16" s="34">
        <v>1.76</v>
      </c>
      <c r="AB16" s="2"/>
      <c r="AE16" s="2" t="str">
        <f t="shared" si="2"/>
        <v>T2中4</v>
      </c>
      <c r="AF16" s="2">
        <f t="shared" si="38"/>
        <v>1408</v>
      </c>
      <c r="AG16" s="2">
        <f t="shared" si="53"/>
        <v>153</v>
      </c>
      <c r="AH16" s="2">
        <f t="shared" si="53"/>
        <v>528</v>
      </c>
      <c r="AI16" s="2">
        <f t="shared" si="53"/>
        <v>211</v>
      </c>
      <c r="AJ16" s="2">
        <f t="shared" si="53"/>
        <v>528</v>
      </c>
      <c r="AK16" s="2">
        <f t="shared" si="53"/>
        <v>141</v>
      </c>
      <c r="AM16" s="2" t="str">
        <f t="shared" si="4"/>
        <v>T2中4</v>
      </c>
      <c r="AN16" s="2">
        <f t="shared" si="39"/>
        <v>1408</v>
      </c>
      <c r="AO16" s="2">
        <f t="shared" si="54"/>
        <v>83</v>
      </c>
      <c r="AP16" s="2">
        <f t="shared" si="54"/>
        <v>578</v>
      </c>
      <c r="AQ16" s="2">
        <f t="shared" si="54"/>
        <v>231</v>
      </c>
      <c r="AR16" s="2">
        <f t="shared" si="54"/>
        <v>528</v>
      </c>
      <c r="AS16" s="2">
        <f t="shared" si="54"/>
        <v>141</v>
      </c>
      <c r="AT16" s="25"/>
      <c r="AU16" s="2" t="str">
        <f t="shared" si="6"/>
        <v>T2中4</v>
      </c>
      <c r="AV16" s="2">
        <f t="shared" si="40"/>
        <v>1408</v>
      </c>
      <c r="AW16" s="2">
        <f t="shared" si="55"/>
        <v>320</v>
      </c>
      <c r="AX16" s="2">
        <f t="shared" si="55"/>
        <v>629</v>
      </c>
      <c r="AY16" s="2">
        <f t="shared" si="55"/>
        <v>251</v>
      </c>
      <c r="AZ16" s="2">
        <f t="shared" si="55"/>
        <v>528</v>
      </c>
      <c r="BA16" s="2">
        <f t="shared" si="55"/>
        <v>141</v>
      </c>
      <c r="BB16" s="25"/>
      <c r="BC16" s="2" t="str">
        <f t="shared" si="8"/>
        <v>T2中4</v>
      </c>
      <c r="BD16" s="2">
        <f t="shared" si="41"/>
        <v>1484</v>
      </c>
      <c r="BE16" s="2">
        <f t="shared" si="56"/>
        <v>140</v>
      </c>
      <c r="BF16" s="2">
        <f t="shared" si="56"/>
        <v>503</v>
      </c>
      <c r="BG16" s="2">
        <f t="shared" si="56"/>
        <v>226</v>
      </c>
      <c r="BH16" s="2">
        <f t="shared" si="56"/>
        <v>634</v>
      </c>
      <c r="BI16" s="2">
        <f t="shared" si="56"/>
        <v>148</v>
      </c>
      <c r="BK16" s="2" t="str">
        <f t="shared" si="10"/>
        <v>T2中4</v>
      </c>
      <c r="BL16" s="2">
        <f t="shared" si="42"/>
        <v>1484</v>
      </c>
      <c r="BM16" s="2">
        <f t="shared" si="57"/>
        <v>170</v>
      </c>
      <c r="BN16" s="2">
        <f t="shared" si="57"/>
        <v>578</v>
      </c>
      <c r="BO16" s="2">
        <f t="shared" si="57"/>
        <v>260</v>
      </c>
      <c r="BP16" s="2">
        <f t="shared" si="57"/>
        <v>634</v>
      </c>
      <c r="BQ16" s="2">
        <f t="shared" si="57"/>
        <v>148</v>
      </c>
      <c r="BS16" s="2" t="str">
        <f t="shared" si="12"/>
        <v>T2中4</v>
      </c>
      <c r="BT16" s="2">
        <f t="shared" si="43"/>
        <v>1602</v>
      </c>
      <c r="BU16" s="2">
        <f t="shared" si="58"/>
        <v>546</v>
      </c>
      <c r="BV16" s="2">
        <f t="shared" si="58"/>
        <v>201</v>
      </c>
      <c r="BW16" s="2">
        <f t="shared" si="58"/>
        <v>503</v>
      </c>
      <c r="BX16" s="2">
        <f t="shared" si="58"/>
        <v>739</v>
      </c>
      <c r="BY16" s="2">
        <f t="shared" si="58"/>
        <v>160</v>
      </c>
      <c r="CA16" s="2" t="str">
        <f t="shared" si="14"/>
        <v>T2中4</v>
      </c>
      <c r="CB16" s="2">
        <f t="shared" si="44"/>
        <v>1602</v>
      </c>
      <c r="CC16" s="2">
        <f t="shared" si="59"/>
        <v>730</v>
      </c>
      <c r="CD16" s="2">
        <f t="shared" si="59"/>
        <v>221</v>
      </c>
      <c r="CE16" s="2">
        <f t="shared" si="59"/>
        <v>553</v>
      </c>
      <c r="CF16" s="2">
        <f t="shared" si="59"/>
        <v>739</v>
      </c>
      <c r="CG16" s="2">
        <f t="shared" si="59"/>
        <v>160</v>
      </c>
      <c r="CH16" s="25"/>
    </row>
    <row r="17" spans="2:86" x14ac:dyDescent="0.3">
      <c r="B17" s="2" t="s">
        <v>610</v>
      </c>
      <c r="C17" s="2" t="s">
        <v>177</v>
      </c>
      <c r="D17" s="2">
        <f>E6</f>
        <v>3</v>
      </c>
      <c r="E17" s="2">
        <f>F6</f>
        <v>5</v>
      </c>
      <c r="F17" s="2" t="str">
        <f t="shared" si="49"/>
        <v>T3中3</v>
      </c>
      <c r="G17" s="2" t="str">
        <f t="shared" si="50"/>
        <v>T3中5</v>
      </c>
      <c r="H17" s="33">
        <f>M6</f>
        <v>9</v>
      </c>
      <c r="I17" s="29">
        <f t="shared" si="51"/>
        <v>0.1</v>
      </c>
      <c r="J17" s="2">
        <v>1.54</v>
      </c>
      <c r="K17" s="2">
        <f t="shared" si="52"/>
        <v>2.2800000000000002</v>
      </c>
      <c r="L17" s="1">
        <v>1.5449999999999999</v>
      </c>
      <c r="M17" s="1">
        <v>2.46</v>
      </c>
      <c r="N17" s="1">
        <f>J14+I17*(D14+1)</f>
        <v>1.5</v>
      </c>
      <c r="P17" s="2" t="str">
        <f t="shared" si="45"/>
        <v>T3中</v>
      </c>
      <c r="Q17" s="2" t="str">
        <f t="shared" si="46"/>
        <v>T3中3</v>
      </c>
      <c r="R17" s="2" t="str">
        <f t="shared" si="47"/>
        <v>T3中5</v>
      </c>
      <c r="S17" s="2">
        <f>M6</f>
        <v>9</v>
      </c>
      <c r="T17" s="2">
        <f t="shared" si="48"/>
        <v>5</v>
      </c>
      <c r="U17" s="2" t="s">
        <v>790</v>
      </c>
      <c r="Y17" s="2" t="s">
        <v>792</v>
      </c>
      <c r="Z17" s="34">
        <f t="shared" si="37"/>
        <v>2.52</v>
      </c>
      <c r="AA17" s="34">
        <v>2.52</v>
      </c>
      <c r="AB17" s="2"/>
      <c r="AE17" s="2" t="str">
        <f t="shared" si="2"/>
        <v>T5低5</v>
      </c>
      <c r="AF17" s="2">
        <f t="shared" si="38"/>
        <v>2016</v>
      </c>
      <c r="AG17" s="2">
        <f t="shared" si="53"/>
        <v>219</v>
      </c>
      <c r="AH17" s="2">
        <f t="shared" si="53"/>
        <v>756</v>
      </c>
      <c r="AI17" s="2">
        <f t="shared" si="53"/>
        <v>302</v>
      </c>
      <c r="AJ17" s="2">
        <f t="shared" si="53"/>
        <v>756</v>
      </c>
      <c r="AK17" s="2">
        <f t="shared" si="53"/>
        <v>202</v>
      </c>
      <c r="AM17" s="2" t="str">
        <f t="shared" si="4"/>
        <v>T5低5</v>
      </c>
      <c r="AN17" s="2">
        <f t="shared" si="39"/>
        <v>2016</v>
      </c>
      <c r="AO17" s="2">
        <f t="shared" si="54"/>
        <v>119</v>
      </c>
      <c r="AP17" s="2">
        <f t="shared" si="54"/>
        <v>828</v>
      </c>
      <c r="AQ17" s="2">
        <f t="shared" si="54"/>
        <v>331</v>
      </c>
      <c r="AR17" s="2">
        <f t="shared" si="54"/>
        <v>756</v>
      </c>
      <c r="AS17" s="2">
        <f t="shared" si="54"/>
        <v>202</v>
      </c>
      <c r="AT17" s="25"/>
      <c r="AU17" s="2" t="str">
        <f t="shared" si="6"/>
        <v>T5低5</v>
      </c>
      <c r="AV17" s="2">
        <f t="shared" si="40"/>
        <v>2016</v>
      </c>
      <c r="AW17" s="2">
        <f t="shared" si="55"/>
        <v>458</v>
      </c>
      <c r="AX17" s="2">
        <f t="shared" si="55"/>
        <v>900</v>
      </c>
      <c r="AY17" s="2">
        <f t="shared" si="55"/>
        <v>360</v>
      </c>
      <c r="AZ17" s="2">
        <f t="shared" si="55"/>
        <v>756</v>
      </c>
      <c r="BA17" s="2">
        <f t="shared" si="55"/>
        <v>202</v>
      </c>
      <c r="BB17" s="25"/>
      <c r="BC17" s="2" t="str">
        <f t="shared" si="8"/>
        <v>T5低5</v>
      </c>
      <c r="BD17" s="2">
        <f t="shared" si="41"/>
        <v>2124</v>
      </c>
      <c r="BE17" s="2">
        <f t="shared" si="56"/>
        <v>200</v>
      </c>
      <c r="BF17" s="2">
        <f t="shared" si="56"/>
        <v>720</v>
      </c>
      <c r="BG17" s="2">
        <f t="shared" si="56"/>
        <v>324</v>
      </c>
      <c r="BH17" s="2">
        <f t="shared" si="56"/>
        <v>907</v>
      </c>
      <c r="BI17" s="2">
        <f t="shared" si="56"/>
        <v>212</v>
      </c>
      <c r="BK17" s="2" t="str">
        <f t="shared" si="10"/>
        <v>T5低5</v>
      </c>
      <c r="BL17" s="2">
        <f t="shared" si="42"/>
        <v>2124</v>
      </c>
      <c r="BM17" s="2">
        <f t="shared" si="57"/>
        <v>243</v>
      </c>
      <c r="BN17" s="2">
        <f t="shared" si="57"/>
        <v>828</v>
      </c>
      <c r="BO17" s="2">
        <f t="shared" si="57"/>
        <v>373</v>
      </c>
      <c r="BP17" s="2">
        <f t="shared" si="57"/>
        <v>907</v>
      </c>
      <c r="BQ17" s="2">
        <f t="shared" si="57"/>
        <v>212</v>
      </c>
      <c r="BS17" s="2" t="str">
        <f t="shared" si="12"/>
        <v>T5低5</v>
      </c>
      <c r="BT17" s="2">
        <f t="shared" si="43"/>
        <v>2294</v>
      </c>
      <c r="BU17" s="2">
        <f t="shared" si="58"/>
        <v>782</v>
      </c>
      <c r="BV17" s="2">
        <f t="shared" si="58"/>
        <v>288</v>
      </c>
      <c r="BW17" s="2">
        <f t="shared" si="58"/>
        <v>720</v>
      </c>
      <c r="BX17" s="2">
        <f t="shared" si="58"/>
        <v>1058</v>
      </c>
      <c r="BY17" s="2">
        <f t="shared" si="58"/>
        <v>229</v>
      </c>
      <c r="CA17" s="2" t="str">
        <f t="shared" si="14"/>
        <v>T5低5</v>
      </c>
      <c r="CB17" s="2">
        <f t="shared" si="44"/>
        <v>2294</v>
      </c>
      <c r="CC17" s="2">
        <f t="shared" si="59"/>
        <v>1045</v>
      </c>
      <c r="CD17" s="2">
        <f t="shared" si="59"/>
        <v>317</v>
      </c>
      <c r="CE17" s="2">
        <f t="shared" si="59"/>
        <v>792</v>
      </c>
      <c r="CF17" s="2">
        <f t="shared" si="59"/>
        <v>1058</v>
      </c>
      <c r="CG17" s="2">
        <f t="shared" si="59"/>
        <v>229</v>
      </c>
      <c r="CH17" s="25"/>
    </row>
    <row r="18" spans="2:86" x14ac:dyDescent="0.3">
      <c r="B18" s="2" t="s">
        <v>610</v>
      </c>
      <c r="C18" s="2" t="s">
        <v>176</v>
      </c>
      <c r="D18" s="2">
        <f>G6</f>
        <v>3</v>
      </c>
      <c r="E18" s="2">
        <f>H6</f>
        <v>5</v>
      </c>
      <c r="F18" s="2" t="str">
        <f t="shared" si="49"/>
        <v>T3高3</v>
      </c>
      <c r="G18" s="2" t="str">
        <f t="shared" si="50"/>
        <v>T3高5</v>
      </c>
      <c r="H18" s="33">
        <f>N6</f>
        <v>9</v>
      </c>
      <c r="I18" s="29">
        <f t="shared" si="51"/>
        <v>0.11</v>
      </c>
      <c r="J18" s="2">
        <v>1.54</v>
      </c>
      <c r="K18" s="2">
        <f t="shared" si="52"/>
        <v>2.33</v>
      </c>
      <c r="L18" s="1">
        <v>1.62</v>
      </c>
      <c r="M18" s="1">
        <v>2.46</v>
      </c>
      <c r="N18" s="1">
        <f>J14+I18*(D14+1)</f>
        <v>1.53</v>
      </c>
      <c r="P18" s="2" t="str">
        <f t="shared" si="45"/>
        <v>T3高</v>
      </c>
      <c r="Q18" s="2" t="str">
        <f t="shared" si="46"/>
        <v>T3高3</v>
      </c>
      <c r="R18" s="2" t="str">
        <f t="shared" si="47"/>
        <v>T3高5</v>
      </c>
      <c r="S18" s="2">
        <f>N6</f>
        <v>9</v>
      </c>
      <c r="T18" s="2">
        <f t="shared" si="48"/>
        <v>5</v>
      </c>
      <c r="U18" s="2" t="s">
        <v>790</v>
      </c>
      <c r="Y18" s="2" t="s">
        <v>793</v>
      </c>
      <c r="Z18" s="34">
        <f t="shared" si="37"/>
        <v>2.62</v>
      </c>
      <c r="AA18" s="34">
        <v>2.62</v>
      </c>
      <c r="AB18" s="2"/>
      <c r="AE18" s="2" t="str">
        <f t="shared" si="2"/>
        <v>T5中5</v>
      </c>
      <c r="AF18" s="2">
        <f t="shared" si="38"/>
        <v>2096</v>
      </c>
      <c r="AG18" s="2">
        <f t="shared" si="53"/>
        <v>228</v>
      </c>
      <c r="AH18" s="2">
        <f t="shared" si="53"/>
        <v>786</v>
      </c>
      <c r="AI18" s="2">
        <f t="shared" si="53"/>
        <v>314</v>
      </c>
      <c r="AJ18" s="2">
        <f t="shared" si="53"/>
        <v>786</v>
      </c>
      <c r="AK18" s="2">
        <f t="shared" si="53"/>
        <v>210</v>
      </c>
      <c r="AM18" s="2" t="str">
        <f t="shared" si="4"/>
        <v>T5中5</v>
      </c>
      <c r="AN18" s="2">
        <f t="shared" si="39"/>
        <v>2096</v>
      </c>
      <c r="AO18" s="2">
        <f t="shared" si="54"/>
        <v>123</v>
      </c>
      <c r="AP18" s="2">
        <f t="shared" si="54"/>
        <v>861</v>
      </c>
      <c r="AQ18" s="2">
        <f t="shared" si="54"/>
        <v>344</v>
      </c>
      <c r="AR18" s="2">
        <f t="shared" si="54"/>
        <v>786</v>
      </c>
      <c r="AS18" s="2">
        <f t="shared" si="54"/>
        <v>210</v>
      </c>
      <c r="AT18" s="25"/>
      <c r="AU18" s="2" t="str">
        <f t="shared" si="6"/>
        <v>T5中5</v>
      </c>
      <c r="AV18" s="2">
        <f t="shared" si="40"/>
        <v>2096</v>
      </c>
      <c r="AW18" s="2">
        <f t="shared" si="55"/>
        <v>476</v>
      </c>
      <c r="AX18" s="2">
        <f t="shared" si="55"/>
        <v>936</v>
      </c>
      <c r="AY18" s="2">
        <f t="shared" si="55"/>
        <v>374</v>
      </c>
      <c r="AZ18" s="2">
        <f t="shared" si="55"/>
        <v>786</v>
      </c>
      <c r="BA18" s="2">
        <f t="shared" si="55"/>
        <v>210</v>
      </c>
      <c r="BB18" s="25"/>
      <c r="BC18" s="2" t="str">
        <f t="shared" si="8"/>
        <v>T5中5</v>
      </c>
      <c r="BD18" s="2">
        <f t="shared" si="41"/>
        <v>2209</v>
      </c>
      <c r="BE18" s="2">
        <f t="shared" si="56"/>
        <v>208</v>
      </c>
      <c r="BF18" s="2">
        <f t="shared" si="56"/>
        <v>749</v>
      </c>
      <c r="BG18" s="2">
        <f t="shared" si="56"/>
        <v>337</v>
      </c>
      <c r="BH18" s="2">
        <f t="shared" si="56"/>
        <v>943</v>
      </c>
      <c r="BI18" s="2">
        <f t="shared" si="56"/>
        <v>221</v>
      </c>
      <c r="BK18" s="2" t="str">
        <f t="shared" si="10"/>
        <v>T5中5</v>
      </c>
      <c r="BL18" s="2">
        <f t="shared" si="42"/>
        <v>2209</v>
      </c>
      <c r="BM18" s="2">
        <f t="shared" si="57"/>
        <v>253</v>
      </c>
      <c r="BN18" s="2">
        <f t="shared" si="57"/>
        <v>861</v>
      </c>
      <c r="BO18" s="2">
        <f t="shared" si="57"/>
        <v>387</v>
      </c>
      <c r="BP18" s="2">
        <f t="shared" si="57"/>
        <v>943</v>
      </c>
      <c r="BQ18" s="2">
        <f t="shared" si="57"/>
        <v>221</v>
      </c>
      <c r="BS18" s="2" t="str">
        <f t="shared" si="12"/>
        <v>T5中5</v>
      </c>
      <c r="BT18" s="2">
        <f t="shared" si="43"/>
        <v>2385</v>
      </c>
      <c r="BU18" s="2">
        <f t="shared" si="58"/>
        <v>814</v>
      </c>
      <c r="BV18" s="2">
        <f t="shared" si="58"/>
        <v>299</v>
      </c>
      <c r="BW18" s="2">
        <f t="shared" si="58"/>
        <v>749</v>
      </c>
      <c r="BX18" s="2">
        <f t="shared" si="58"/>
        <v>1100</v>
      </c>
      <c r="BY18" s="2">
        <f t="shared" si="58"/>
        <v>238</v>
      </c>
      <c r="CA18" s="2" t="str">
        <f t="shared" si="14"/>
        <v>T5中5</v>
      </c>
      <c r="CB18" s="2">
        <f t="shared" si="44"/>
        <v>2385</v>
      </c>
      <c r="CC18" s="2">
        <f t="shared" si="59"/>
        <v>1086</v>
      </c>
      <c r="CD18" s="2">
        <f t="shared" si="59"/>
        <v>329</v>
      </c>
      <c r="CE18" s="2">
        <f t="shared" si="59"/>
        <v>823</v>
      </c>
      <c r="CF18" s="2">
        <f t="shared" si="59"/>
        <v>1100</v>
      </c>
      <c r="CG18" s="2">
        <f t="shared" si="59"/>
        <v>238</v>
      </c>
      <c r="CH18" s="25"/>
    </row>
    <row r="19" spans="2:86" x14ac:dyDescent="0.3">
      <c r="B19" s="2" t="s">
        <v>617</v>
      </c>
      <c r="C19" s="2" t="s">
        <v>175</v>
      </c>
      <c r="D19" s="2">
        <f>C7</f>
        <v>4</v>
      </c>
      <c r="E19" s="2">
        <f>D7</f>
        <v>7</v>
      </c>
      <c r="F19" s="2" t="str">
        <f t="shared" si="49"/>
        <v>T4低4</v>
      </c>
      <c r="G19" s="2" t="str">
        <f t="shared" si="50"/>
        <v>T4低7</v>
      </c>
      <c r="H19" s="33">
        <f>L7</f>
        <v>18</v>
      </c>
      <c r="I19" s="29">
        <f t="shared" si="51"/>
        <v>0.1</v>
      </c>
      <c r="J19" s="2">
        <v>1.92</v>
      </c>
      <c r="K19" s="2">
        <f t="shared" si="52"/>
        <v>3.2800000000000002</v>
      </c>
      <c r="L19" s="1">
        <v>1.9</v>
      </c>
      <c r="M19" s="1">
        <v>2.98</v>
      </c>
      <c r="N19" s="1">
        <f>J16+I19*(D16+1)</f>
        <v>1.88</v>
      </c>
      <c r="P19" s="2" t="str">
        <f t="shared" si="45"/>
        <v>T4低</v>
      </c>
      <c r="Q19" s="2" t="str">
        <f t="shared" si="46"/>
        <v>T4低4</v>
      </c>
      <c r="R19" s="2" t="str">
        <f t="shared" si="47"/>
        <v>T4低7</v>
      </c>
      <c r="S19" s="2">
        <f>L7</f>
        <v>18</v>
      </c>
      <c r="T19" s="2">
        <f t="shared" si="48"/>
        <v>7</v>
      </c>
      <c r="U19" s="2" t="s">
        <v>794</v>
      </c>
      <c r="Y19" s="2" t="s">
        <v>795</v>
      </c>
      <c r="Z19" s="34">
        <f t="shared" si="37"/>
        <v>2.62</v>
      </c>
      <c r="AA19" s="34">
        <v>2.62</v>
      </c>
      <c r="AB19" s="2"/>
      <c r="AE19" s="2" t="str">
        <f t="shared" si="2"/>
        <v>T5高5</v>
      </c>
      <c r="AF19" s="2">
        <f t="shared" si="38"/>
        <v>2096</v>
      </c>
      <c r="AG19" s="2">
        <f t="shared" si="53"/>
        <v>228</v>
      </c>
      <c r="AH19" s="2">
        <f t="shared" si="53"/>
        <v>786</v>
      </c>
      <c r="AI19" s="2">
        <f t="shared" si="53"/>
        <v>314</v>
      </c>
      <c r="AJ19" s="2">
        <f t="shared" si="53"/>
        <v>786</v>
      </c>
      <c r="AK19" s="2">
        <f t="shared" si="53"/>
        <v>210</v>
      </c>
      <c r="AM19" s="2" t="str">
        <f t="shared" si="4"/>
        <v>T5高5</v>
      </c>
      <c r="AN19" s="2">
        <f t="shared" si="39"/>
        <v>2096</v>
      </c>
      <c r="AO19" s="2">
        <f t="shared" si="54"/>
        <v>123</v>
      </c>
      <c r="AP19" s="2">
        <f t="shared" si="54"/>
        <v>861</v>
      </c>
      <c r="AQ19" s="2">
        <f t="shared" si="54"/>
        <v>344</v>
      </c>
      <c r="AR19" s="2">
        <f t="shared" si="54"/>
        <v>786</v>
      </c>
      <c r="AS19" s="2">
        <f t="shared" si="54"/>
        <v>210</v>
      </c>
      <c r="AT19" s="25"/>
      <c r="AU19" s="2" t="str">
        <f t="shared" si="6"/>
        <v>T5高5</v>
      </c>
      <c r="AV19" s="2">
        <f t="shared" si="40"/>
        <v>2096</v>
      </c>
      <c r="AW19" s="2">
        <f t="shared" si="55"/>
        <v>476</v>
      </c>
      <c r="AX19" s="2">
        <f t="shared" si="55"/>
        <v>936</v>
      </c>
      <c r="AY19" s="2">
        <f t="shared" si="55"/>
        <v>374</v>
      </c>
      <c r="AZ19" s="2">
        <f t="shared" si="55"/>
        <v>786</v>
      </c>
      <c r="BA19" s="2">
        <f t="shared" si="55"/>
        <v>210</v>
      </c>
      <c r="BB19" s="25"/>
      <c r="BC19" s="2" t="str">
        <f t="shared" si="8"/>
        <v>T5高5</v>
      </c>
      <c r="BD19" s="2">
        <f t="shared" si="41"/>
        <v>2209</v>
      </c>
      <c r="BE19" s="2">
        <f t="shared" si="56"/>
        <v>208</v>
      </c>
      <c r="BF19" s="2">
        <f t="shared" si="56"/>
        <v>749</v>
      </c>
      <c r="BG19" s="2">
        <f t="shared" si="56"/>
        <v>337</v>
      </c>
      <c r="BH19" s="2">
        <f t="shared" si="56"/>
        <v>943</v>
      </c>
      <c r="BI19" s="2">
        <f t="shared" si="56"/>
        <v>221</v>
      </c>
      <c r="BK19" s="2" t="str">
        <f t="shared" si="10"/>
        <v>T5高5</v>
      </c>
      <c r="BL19" s="2">
        <f t="shared" si="42"/>
        <v>2209</v>
      </c>
      <c r="BM19" s="2">
        <f t="shared" si="57"/>
        <v>253</v>
      </c>
      <c r="BN19" s="2">
        <f t="shared" si="57"/>
        <v>861</v>
      </c>
      <c r="BO19" s="2">
        <f t="shared" si="57"/>
        <v>387</v>
      </c>
      <c r="BP19" s="2">
        <f t="shared" si="57"/>
        <v>943</v>
      </c>
      <c r="BQ19" s="2">
        <f t="shared" si="57"/>
        <v>221</v>
      </c>
      <c r="BS19" s="2" t="str">
        <f t="shared" si="12"/>
        <v>T5高5</v>
      </c>
      <c r="BT19" s="2">
        <f t="shared" si="43"/>
        <v>2385</v>
      </c>
      <c r="BU19" s="2">
        <f t="shared" si="58"/>
        <v>814</v>
      </c>
      <c r="BV19" s="2">
        <f t="shared" si="58"/>
        <v>299</v>
      </c>
      <c r="BW19" s="2">
        <f t="shared" si="58"/>
        <v>749</v>
      </c>
      <c r="BX19" s="2">
        <f t="shared" si="58"/>
        <v>1100</v>
      </c>
      <c r="BY19" s="2">
        <f t="shared" si="58"/>
        <v>238</v>
      </c>
      <c r="CA19" s="2" t="str">
        <f t="shared" si="14"/>
        <v>T5高5</v>
      </c>
      <c r="CB19" s="2">
        <f t="shared" si="44"/>
        <v>2385</v>
      </c>
      <c r="CC19" s="2">
        <f t="shared" si="59"/>
        <v>1086</v>
      </c>
      <c r="CD19" s="2">
        <f t="shared" si="59"/>
        <v>329</v>
      </c>
      <c r="CE19" s="2">
        <f t="shared" si="59"/>
        <v>823</v>
      </c>
      <c r="CF19" s="2">
        <f t="shared" si="59"/>
        <v>1100</v>
      </c>
      <c r="CG19" s="2">
        <f t="shared" si="59"/>
        <v>238</v>
      </c>
      <c r="CH19" s="25"/>
    </row>
    <row r="20" spans="2:86" x14ac:dyDescent="0.3">
      <c r="B20" s="2" t="s">
        <v>617</v>
      </c>
      <c r="C20" s="2" t="s">
        <v>177</v>
      </c>
      <c r="D20" s="2">
        <f>E7</f>
        <v>4</v>
      </c>
      <c r="E20" s="2">
        <f>F7</f>
        <v>7</v>
      </c>
      <c r="F20" s="2" t="str">
        <f t="shared" si="49"/>
        <v>T4中4</v>
      </c>
      <c r="G20" s="2" t="str">
        <f t="shared" si="50"/>
        <v>T4中7</v>
      </c>
      <c r="H20" s="33">
        <f>M7</f>
        <v>18</v>
      </c>
      <c r="I20" s="29">
        <f t="shared" si="51"/>
        <v>0.11</v>
      </c>
      <c r="J20" s="2">
        <v>2</v>
      </c>
      <c r="K20" s="2">
        <f t="shared" si="52"/>
        <v>3.43</v>
      </c>
      <c r="L20" s="1">
        <v>1.96</v>
      </c>
      <c r="M20" s="1">
        <v>3.18</v>
      </c>
      <c r="N20" s="1">
        <f>J16+I20*(D16+1)</f>
        <v>1.92</v>
      </c>
      <c r="P20" s="2" t="str">
        <f t="shared" si="45"/>
        <v>T4中</v>
      </c>
      <c r="Q20" s="2" t="str">
        <f t="shared" si="46"/>
        <v>T4中4</v>
      </c>
      <c r="R20" s="2" t="str">
        <f t="shared" si="47"/>
        <v>T4中7</v>
      </c>
      <c r="S20" s="2">
        <f>M7</f>
        <v>18</v>
      </c>
      <c r="T20" s="2">
        <f t="shared" si="48"/>
        <v>7</v>
      </c>
      <c r="U20" s="2" t="s">
        <v>794</v>
      </c>
      <c r="Y20" s="2" t="s">
        <v>796</v>
      </c>
      <c r="Z20" s="34" t="e">
        <f t="shared" si="37"/>
        <v>#N/A</v>
      </c>
      <c r="AA20" s="34">
        <v>2.76</v>
      </c>
      <c r="AB20" s="2"/>
      <c r="AE20" s="2" t="str">
        <f t="shared" si="2"/>
        <v>T4低6</v>
      </c>
      <c r="AF20" s="2">
        <f t="shared" si="38"/>
        <v>2208</v>
      </c>
      <c r="AG20" s="2" t="e">
        <f t="shared" si="53"/>
        <v>#N/A</v>
      </c>
      <c r="AH20" s="2" t="e">
        <f t="shared" si="53"/>
        <v>#N/A</v>
      </c>
      <c r="AI20" s="2" t="e">
        <f t="shared" si="53"/>
        <v>#N/A</v>
      </c>
      <c r="AJ20" s="2" t="e">
        <f t="shared" si="53"/>
        <v>#N/A</v>
      </c>
      <c r="AK20" s="2" t="e">
        <f t="shared" si="53"/>
        <v>#N/A</v>
      </c>
      <c r="AM20" s="2" t="str">
        <f t="shared" si="4"/>
        <v>T4低6</v>
      </c>
      <c r="AN20" s="2">
        <f t="shared" si="39"/>
        <v>2208</v>
      </c>
      <c r="AO20" s="2" t="e">
        <f t="shared" si="54"/>
        <v>#N/A</v>
      </c>
      <c r="AP20" s="2" t="e">
        <f t="shared" si="54"/>
        <v>#N/A</v>
      </c>
      <c r="AQ20" s="2" t="e">
        <f t="shared" si="54"/>
        <v>#N/A</v>
      </c>
      <c r="AR20" s="2" t="e">
        <f t="shared" si="54"/>
        <v>#N/A</v>
      </c>
      <c r="AS20" s="2" t="e">
        <f t="shared" si="54"/>
        <v>#N/A</v>
      </c>
      <c r="AT20" s="25"/>
      <c r="AU20" s="2" t="str">
        <f t="shared" si="6"/>
        <v>T4低6</v>
      </c>
      <c r="AV20" s="2">
        <f t="shared" si="40"/>
        <v>2208</v>
      </c>
      <c r="AW20" s="2" t="e">
        <f t="shared" si="55"/>
        <v>#N/A</v>
      </c>
      <c r="AX20" s="2" t="e">
        <f t="shared" si="55"/>
        <v>#N/A</v>
      </c>
      <c r="AY20" s="2" t="e">
        <f t="shared" si="55"/>
        <v>#N/A</v>
      </c>
      <c r="AZ20" s="2" t="e">
        <f t="shared" si="55"/>
        <v>#N/A</v>
      </c>
      <c r="BA20" s="2" t="e">
        <f t="shared" si="55"/>
        <v>#N/A</v>
      </c>
      <c r="BB20" s="25"/>
      <c r="BC20" s="2" t="str">
        <f t="shared" si="8"/>
        <v>T4低6</v>
      </c>
      <c r="BD20" s="2">
        <f t="shared" si="41"/>
        <v>2327</v>
      </c>
      <c r="BE20" s="2" t="e">
        <f t="shared" si="56"/>
        <v>#N/A</v>
      </c>
      <c r="BF20" s="2" t="e">
        <f t="shared" si="56"/>
        <v>#N/A</v>
      </c>
      <c r="BG20" s="2" t="e">
        <f t="shared" si="56"/>
        <v>#N/A</v>
      </c>
      <c r="BH20" s="2" t="e">
        <f t="shared" si="56"/>
        <v>#N/A</v>
      </c>
      <c r="BI20" s="2" t="e">
        <f t="shared" si="56"/>
        <v>#N/A</v>
      </c>
      <c r="BK20" s="2" t="str">
        <f t="shared" si="10"/>
        <v>T4低6</v>
      </c>
      <c r="BL20" s="2">
        <f t="shared" si="42"/>
        <v>2327</v>
      </c>
      <c r="BM20" s="2" t="e">
        <f t="shared" si="57"/>
        <v>#N/A</v>
      </c>
      <c r="BN20" s="2" t="e">
        <f t="shared" si="57"/>
        <v>#N/A</v>
      </c>
      <c r="BO20" s="2" t="e">
        <f t="shared" si="57"/>
        <v>#N/A</v>
      </c>
      <c r="BP20" s="2" t="e">
        <f t="shared" si="57"/>
        <v>#N/A</v>
      </c>
      <c r="BQ20" s="2" t="e">
        <f t="shared" si="57"/>
        <v>#N/A</v>
      </c>
      <c r="BS20" s="2" t="str">
        <f t="shared" si="12"/>
        <v>T4低6</v>
      </c>
      <c r="BT20" s="2">
        <f t="shared" si="43"/>
        <v>2512</v>
      </c>
      <c r="BU20" s="2" t="e">
        <f t="shared" si="58"/>
        <v>#N/A</v>
      </c>
      <c r="BV20" s="2" t="e">
        <f t="shared" si="58"/>
        <v>#N/A</v>
      </c>
      <c r="BW20" s="2" t="e">
        <f t="shared" si="58"/>
        <v>#N/A</v>
      </c>
      <c r="BX20" s="2" t="e">
        <f t="shared" si="58"/>
        <v>#N/A</v>
      </c>
      <c r="BY20" s="2" t="e">
        <f t="shared" si="58"/>
        <v>#N/A</v>
      </c>
      <c r="CA20" s="2" t="str">
        <f t="shared" si="14"/>
        <v>T4低6</v>
      </c>
      <c r="CB20" s="2">
        <f t="shared" si="44"/>
        <v>2512</v>
      </c>
      <c r="CC20" s="2" t="e">
        <f t="shared" si="59"/>
        <v>#N/A</v>
      </c>
      <c r="CD20" s="2" t="e">
        <f t="shared" si="59"/>
        <v>#N/A</v>
      </c>
      <c r="CE20" s="2" t="e">
        <f t="shared" si="59"/>
        <v>#N/A</v>
      </c>
      <c r="CF20" s="2" t="e">
        <f t="shared" si="59"/>
        <v>#N/A</v>
      </c>
      <c r="CG20" s="2" t="e">
        <f t="shared" si="59"/>
        <v>#N/A</v>
      </c>
      <c r="CH20" s="25"/>
    </row>
    <row r="21" spans="2:86" x14ac:dyDescent="0.3">
      <c r="B21" s="2" t="s">
        <v>617</v>
      </c>
      <c r="C21" s="2" t="s">
        <v>176</v>
      </c>
      <c r="D21" s="2">
        <f>G7</f>
        <v>4</v>
      </c>
      <c r="E21" s="2">
        <f>H7</f>
        <v>7</v>
      </c>
      <c r="F21" s="2" t="str">
        <f t="shared" si="49"/>
        <v>T4高4</v>
      </c>
      <c r="G21" s="2" t="str">
        <f t="shared" si="50"/>
        <v>T4高7</v>
      </c>
      <c r="H21" s="33">
        <f>N7</f>
        <v>18</v>
      </c>
      <c r="I21" s="29">
        <f t="shared" si="51"/>
        <v>0.12</v>
      </c>
      <c r="J21" s="2">
        <v>2</v>
      </c>
      <c r="K21" s="2">
        <f t="shared" si="52"/>
        <v>3.5</v>
      </c>
      <c r="L21" s="1">
        <v>2.06</v>
      </c>
      <c r="M21" s="1">
        <v>3.18</v>
      </c>
      <c r="N21" s="1">
        <f>J16+I21*(D16+1)</f>
        <v>1.96</v>
      </c>
      <c r="P21" s="2" t="str">
        <f t="shared" si="45"/>
        <v>T4高</v>
      </c>
      <c r="Q21" s="2" t="str">
        <f t="shared" si="46"/>
        <v>T4高4</v>
      </c>
      <c r="R21" s="2" t="str">
        <f t="shared" si="47"/>
        <v>T4高7</v>
      </c>
      <c r="S21" s="2">
        <f>N7</f>
        <v>18</v>
      </c>
      <c r="T21" s="2">
        <f t="shared" si="48"/>
        <v>7</v>
      </c>
      <c r="U21" s="2" t="s">
        <v>794</v>
      </c>
      <c r="Y21" s="2" t="s">
        <v>797</v>
      </c>
      <c r="Z21" s="34">
        <f t="shared" si="37"/>
        <v>2.2800000000000002</v>
      </c>
      <c r="AA21" s="34">
        <v>2.2799999999999998</v>
      </c>
      <c r="AB21" s="2"/>
      <c r="AE21" s="2" t="str">
        <f t="shared" si="2"/>
        <v>T3中5</v>
      </c>
      <c r="AF21" s="2">
        <f t="shared" si="38"/>
        <v>1824</v>
      </c>
      <c r="AG21" s="2">
        <f t="shared" si="53"/>
        <v>198</v>
      </c>
      <c r="AH21" s="2">
        <f t="shared" si="53"/>
        <v>684</v>
      </c>
      <c r="AI21" s="2">
        <f t="shared" si="53"/>
        <v>274</v>
      </c>
      <c r="AJ21" s="2">
        <f t="shared" si="53"/>
        <v>684</v>
      </c>
      <c r="AK21" s="2">
        <f t="shared" si="53"/>
        <v>182</v>
      </c>
      <c r="AM21" s="2" t="str">
        <f t="shared" si="4"/>
        <v>T3中5</v>
      </c>
      <c r="AN21" s="2">
        <f t="shared" si="39"/>
        <v>1824</v>
      </c>
      <c r="AO21" s="2">
        <f t="shared" si="54"/>
        <v>107</v>
      </c>
      <c r="AP21" s="2">
        <f t="shared" si="54"/>
        <v>749</v>
      </c>
      <c r="AQ21" s="2">
        <f t="shared" si="54"/>
        <v>300</v>
      </c>
      <c r="AR21" s="2">
        <f t="shared" si="54"/>
        <v>684</v>
      </c>
      <c r="AS21" s="2">
        <f t="shared" si="54"/>
        <v>182</v>
      </c>
      <c r="AT21" s="25"/>
      <c r="AU21" s="2" t="str">
        <f t="shared" si="6"/>
        <v>T3中5</v>
      </c>
      <c r="AV21" s="2">
        <f t="shared" si="40"/>
        <v>1824</v>
      </c>
      <c r="AW21" s="2">
        <f t="shared" si="55"/>
        <v>414</v>
      </c>
      <c r="AX21" s="2">
        <f t="shared" si="55"/>
        <v>814</v>
      </c>
      <c r="AY21" s="2">
        <f t="shared" si="55"/>
        <v>326</v>
      </c>
      <c r="AZ21" s="2">
        <f t="shared" si="55"/>
        <v>684</v>
      </c>
      <c r="BA21" s="2">
        <f t="shared" si="55"/>
        <v>182</v>
      </c>
      <c r="BB21" s="25"/>
      <c r="BC21" s="2" t="str">
        <f t="shared" si="8"/>
        <v>T3中5</v>
      </c>
      <c r="BD21" s="2">
        <f t="shared" si="41"/>
        <v>1922</v>
      </c>
      <c r="BE21" s="2">
        <f t="shared" si="56"/>
        <v>181</v>
      </c>
      <c r="BF21" s="2">
        <f t="shared" si="56"/>
        <v>651</v>
      </c>
      <c r="BG21" s="2">
        <f t="shared" si="56"/>
        <v>293</v>
      </c>
      <c r="BH21" s="2">
        <f t="shared" si="56"/>
        <v>821</v>
      </c>
      <c r="BI21" s="2">
        <f t="shared" si="56"/>
        <v>192</v>
      </c>
      <c r="BK21" s="2" t="str">
        <f t="shared" si="10"/>
        <v>T3中5</v>
      </c>
      <c r="BL21" s="2">
        <f t="shared" si="42"/>
        <v>1922</v>
      </c>
      <c r="BM21" s="2">
        <f t="shared" si="57"/>
        <v>220</v>
      </c>
      <c r="BN21" s="2">
        <f t="shared" si="57"/>
        <v>749</v>
      </c>
      <c r="BO21" s="2">
        <f t="shared" si="57"/>
        <v>337</v>
      </c>
      <c r="BP21" s="2">
        <f t="shared" si="57"/>
        <v>821</v>
      </c>
      <c r="BQ21" s="2">
        <f t="shared" si="57"/>
        <v>192</v>
      </c>
      <c r="BS21" s="2" t="str">
        <f t="shared" si="12"/>
        <v>T3中5</v>
      </c>
      <c r="BT21" s="2">
        <f t="shared" si="43"/>
        <v>2075</v>
      </c>
      <c r="BU21" s="2">
        <f t="shared" si="58"/>
        <v>708</v>
      </c>
      <c r="BV21" s="2">
        <f t="shared" si="58"/>
        <v>261</v>
      </c>
      <c r="BW21" s="2">
        <f t="shared" si="58"/>
        <v>651</v>
      </c>
      <c r="BX21" s="2">
        <f t="shared" si="58"/>
        <v>958</v>
      </c>
      <c r="BY21" s="2">
        <f t="shared" si="58"/>
        <v>208</v>
      </c>
      <c r="CA21" s="2" t="str">
        <f t="shared" si="14"/>
        <v>T3中5</v>
      </c>
      <c r="CB21" s="2">
        <f t="shared" si="44"/>
        <v>2075</v>
      </c>
      <c r="CC21" s="2">
        <f t="shared" si="59"/>
        <v>945</v>
      </c>
      <c r="CD21" s="2">
        <f t="shared" si="59"/>
        <v>287</v>
      </c>
      <c r="CE21" s="2">
        <f t="shared" si="59"/>
        <v>717</v>
      </c>
      <c r="CF21" s="2">
        <f t="shared" si="59"/>
        <v>958</v>
      </c>
      <c r="CG21" s="2">
        <f t="shared" si="59"/>
        <v>208</v>
      </c>
      <c r="CH21" s="25"/>
    </row>
    <row r="22" spans="2:86" x14ac:dyDescent="0.3">
      <c r="B22" s="2" t="s">
        <v>624</v>
      </c>
      <c r="C22" s="2" t="s">
        <v>175</v>
      </c>
      <c r="D22" s="2">
        <f>C8</f>
        <v>5</v>
      </c>
      <c r="E22" s="2">
        <f>D8</f>
        <v>8</v>
      </c>
      <c r="F22" s="2" t="str">
        <f t="shared" si="49"/>
        <v>T5低5</v>
      </c>
      <c r="G22" s="2" t="str">
        <f t="shared" si="50"/>
        <v>T5低8</v>
      </c>
      <c r="H22" s="33">
        <f>L8</f>
        <v>21</v>
      </c>
      <c r="I22" s="29">
        <f t="shared" si="51"/>
        <v>0.11</v>
      </c>
      <c r="J22" s="2">
        <v>2.52</v>
      </c>
      <c r="K22" s="2">
        <f t="shared" si="52"/>
        <v>4.18</v>
      </c>
      <c r="L22" s="1">
        <v>2.4</v>
      </c>
      <c r="M22" s="1">
        <v>3.84</v>
      </c>
      <c r="N22" s="1">
        <f>J19+I22*(D19+1)</f>
        <v>2.4699999999999998</v>
      </c>
      <c r="P22" s="2" t="str">
        <f t="shared" si="45"/>
        <v>T5低</v>
      </c>
      <c r="Q22" s="2" t="str">
        <f t="shared" si="46"/>
        <v>T5低5</v>
      </c>
      <c r="R22" s="2" t="str">
        <f t="shared" si="47"/>
        <v>T5低8</v>
      </c>
      <c r="S22" s="2">
        <f>L8</f>
        <v>21</v>
      </c>
      <c r="T22" s="2">
        <f t="shared" si="48"/>
        <v>8</v>
      </c>
      <c r="U22" s="2" t="s">
        <v>798</v>
      </c>
      <c r="Y22" s="2" t="s">
        <v>799</v>
      </c>
      <c r="Z22" s="34">
        <f t="shared" si="37"/>
        <v>2.33</v>
      </c>
      <c r="AA22" s="34">
        <v>2.2799999999999998</v>
      </c>
      <c r="AB22" s="2"/>
      <c r="AE22" s="2" t="str">
        <f t="shared" si="2"/>
        <v>T3高5</v>
      </c>
      <c r="AF22" s="2">
        <f t="shared" si="38"/>
        <v>1824</v>
      </c>
      <c r="AG22" s="2">
        <f t="shared" si="53"/>
        <v>203</v>
      </c>
      <c r="AH22" s="2">
        <f t="shared" si="53"/>
        <v>699</v>
      </c>
      <c r="AI22" s="2">
        <f t="shared" si="53"/>
        <v>280</v>
      </c>
      <c r="AJ22" s="2">
        <f t="shared" si="53"/>
        <v>699</v>
      </c>
      <c r="AK22" s="2">
        <f t="shared" si="53"/>
        <v>186</v>
      </c>
      <c r="AM22" s="2" t="str">
        <f t="shared" si="4"/>
        <v>T3高5</v>
      </c>
      <c r="AN22" s="2">
        <f t="shared" si="39"/>
        <v>1824</v>
      </c>
      <c r="AO22" s="2">
        <f t="shared" si="54"/>
        <v>110</v>
      </c>
      <c r="AP22" s="2">
        <f t="shared" si="54"/>
        <v>766</v>
      </c>
      <c r="AQ22" s="2">
        <f t="shared" si="54"/>
        <v>306</v>
      </c>
      <c r="AR22" s="2">
        <f t="shared" si="54"/>
        <v>699</v>
      </c>
      <c r="AS22" s="2">
        <f t="shared" si="54"/>
        <v>186</v>
      </c>
      <c r="AT22" s="25"/>
      <c r="AU22" s="2" t="str">
        <f t="shared" si="6"/>
        <v>T3高5</v>
      </c>
      <c r="AV22" s="2">
        <f t="shared" si="40"/>
        <v>1824</v>
      </c>
      <c r="AW22" s="2">
        <f t="shared" si="55"/>
        <v>423</v>
      </c>
      <c r="AX22" s="2">
        <f t="shared" si="55"/>
        <v>832</v>
      </c>
      <c r="AY22" s="2">
        <f t="shared" si="55"/>
        <v>333</v>
      </c>
      <c r="AZ22" s="2">
        <f t="shared" si="55"/>
        <v>699</v>
      </c>
      <c r="BA22" s="2">
        <f t="shared" si="55"/>
        <v>186</v>
      </c>
      <c r="BB22" s="25"/>
      <c r="BC22" s="2" t="str">
        <f t="shared" si="8"/>
        <v>T3高5</v>
      </c>
      <c r="BD22" s="2">
        <f t="shared" si="41"/>
        <v>1922</v>
      </c>
      <c r="BE22" s="2">
        <f t="shared" si="56"/>
        <v>185</v>
      </c>
      <c r="BF22" s="2">
        <f t="shared" si="56"/>
        <v>666</v>
      </c>
      <c r="BG22" s="2">
        <f t="shared" si="56"/>
        <v>300</v>
      </c>
      <c r="BH22" s="2">
        <f t="shared" si="56"/>
        <v>839</v>
      </c>
      <c r="BI22" s="2">
        <f t="shared" si="56"/>
        <v>196</v>
      </c>
      <c r="BK22" s="2" t="str">
        <f t="shared" si="10"/>
        <v>T3高5</v>
      </c>
      <c r="BL22" s="2">
        <f t="shared" si="42"/>
        <v>1922</v>
      </c>
      <c r="BM22" s="2">
        <f t="shared" si="57"/>
        <v>225</v>
      </c>
      <c r="BN22" s="2">
        <f t="shared" si="57"/>
        <v>766</v>
      </c>
      <c r="BO22" s="2">
        <f t="shared" si="57"/>
        <v>345</v>
      </c>
      <c r="BP22" s="2">
        <f t="shared" si="57"/>
        <v>839</v>
      </c>
      <c r="BQ22" s="2">
        <f t="shared" si="57"/>
        <v>196</v>
      </c>
      <c r="BS22" s="2" t="str">
        <f t="shared" si="12"/>
        <v>T3高5</v>
      </c>
      <c r="BT22" s="2">
        <f t="shared" si="43"/>
        <v>2075</v>
      </c>
      <c r="BU22" s="2">
        <f t="shared" si="58"/>
        <v>723</v>
      </c>
      <c r="BV22" s="2">
        <f t="shared" si="58"/>
        <v>266</v>
      </c>
      <c r="BW22" s="2">
        <f t="shared" si="58"/>
        <v>666</v>
      </c>
      <c r="BX22" s="2">
        <f t="shared" si="58"/>
        <v>979</v>
      </c>
      <c r="BY22" s="2">
        <f t="shared" si="58"/>
        <v>212</v>
      </c>
      <c r="CA22" s="2" t="str">
        <f t="shared" si="14"/>
        <v>T3高5</v>
      </c>
      <c r="CB22" s="2">
        <f t="shared" si="44"/>
        <v>2075</v>
      </c>
      <c r="CC22" s="2">
        <f t="shared" si="59"/>
        <v>966</v>
      </c>
      <c r="CD22" s="2">
        <f t="shared" si="59"/>
        <v>293</v>
      </c>
      <c r="CE22" s="2">
        <f t="shared" si="59"/>
        <v>732</v>
      </c>
      <c r="CF22" s="2">
        <f t="shared" si="59"/>
        <v>979</v>
      </c>
      <c r="CG22" s="2">
        <f t="shared" si="59"/>
        <v>212</v>
      </c>
      <c r="CH22" s="25"/>
    </row>
    <row r="23" spans="2:86" x14ac:dyDescent="0.3">
      <c r="B23" s="2" t="s">
        <v>624</v>
      </c>
      <c r="C23" s="2" t="s">
        <v>177</v>
      </c>
      <c r="D23" s="2">
        <f>E8</f>
        <v>5</v>
      </c>
      <c r="E23" s="2">
        <f>F8</f>
        <v>8</v>
      </c>
      <c r="F23" s="2" t="str">
        <f t="shared" si="49"/>
        <v>T5中5</v>
      </c>
      <c r="G23" s="2" t="str">
        <f t="shared" si="50"/>
        <v>T5中8</v>
      </c>
      <c r="H23" s="33">
        <f>M8</f>
        <v>21</v>
      </c>
      <c r="I23" s="29">
        <f t="shared" si="51"/>
        <v>0.12</v>
      </c>
      <c r="J23" s="2">
        <v>2.62</v>
      </c>
      <c r="K23" s="2">
        <f t="shared" si="52"/>
        <v>4.3600000000000003</v>
      </c>
      <c r="L23" s="1">
        <v>2.4750000000000001</v>
      </c>
      <c r="M23" s="1">
        <v>4.08</v>
      </c>
      <c r="N23" s="1">
        <f>J19+I23*(D19+1)</f>
        <v>2.52</v>
      </c>
      <c r="P23" s="2" t="str">
        <f t="shared" si="45"/>
        <v>T5中</v>
      </c>
      <c r="Q23" s="2" t="str">
        <f t="shared" si="46"/>
        <v>T5中5</v>
      </c>
      <c r="R23" s="2" t="str">
        <f t="shared" si="47"/>
        <v>T5中8</v>
      </c>
      <c r="S23" s="2">
        <f>M8</f>
        <v>21</v>
      </c>
      <c r="T23" s="2">
        <f t="shared" si="48"/>
        <v>8</v>
      </c>
      <c r="U23" s="2" t="s">
        <v>798</v>
      </c>
      <c r="Y23" s="2" t="s">
        <v>800</v>
      </c>
      <c r="Z23" s="34" t="e">
        <f t="shared" si="37"/>
        <v>#N/A</v>
      </c>
      <c r="AA23" s="34">
        <v>3.58</v>
      </c>
      <c r="AB23" s="2"/>
      <c r="AE23" s="2" t="str">
        <f t="shared" si="2"/>
        <v>T5低7</v>
      </c>
      <c r="AF23" s="2">
        <f t="shared" si="38"/>
        <v>2864</v>
      </c>
      <c r="AG23" s="2" t="e">
        <f t="shared" si="53"/>
        <v>#N/A</v>
      </c>
      <c r="AH23" s="2" t="e">
        <f t="shared" si="53"/>
        <v>#N/A</v>
      </c>
      <c r="AI23" s="2" t="e">
        <f t="shared" si="53"/>
        <v>#N/A</v>
      </c>
      <c r="AJ23" s="2" t="e">
        <f t="shared" si="53"/>
        <v>#N/A</v>
      </c>
      <c r="AK23" s="2" t="e">
        <f t="shared" si="53"/>
        <v>#N/A</v>
      </c>
      <c r="AM23" s="2" t="str">
        <f t="shared" si="4"/>
        <v>T5低7</v>
      </c>
      <c r="AN23" s="2">
        <f t="shared" si="39"/>
        <v>2864</v>
      </c>
      <c r="AO23" s="2" t="e">
        <f t="shared" si="54"/>
        <v>#N/A</v>
      </c>
      <c r="AP23" s="2" t="e">
        <f t="shared" si="54"/>
        <v>#N/A</v>
      </c>
      <c r="AQ23" s="2" t="e">
        <f t="shared" si="54"/>
        <v>#N/A</v>
      </c>
      <c r="AR23" s="2" t="e">
        <f t="shared" si="54"/>
        <v>#N/A</v>
      </c>
      <c r="AS23" s="2" t="e">
        <f t="shared" si="54"/>
        <v>#N/A</v>
      </c>
      <c r="AT23" s="25"/>
      <c r="AU23" s="2" t="str">
        <f t="shared" si="6"/>
        <v>T5低7</v>
      </c>
      <c r="AV23" s="2">
        <f t="shared" si="40"/>
        <v>2864</v>
      </c>
      <c r="AW23" s="2" t="e">
        <f t="shared" si="55"/>
        <v>#N/A</v>
      </c>
      <c r="AX23" s="2" t="e">
        <f t="shared" si="55"/>
        <v>#N/A</v>
      </c>
      <c r="AY23" s="2" t="e">
        <f t="shared" si="55"/>
        <v>#N/A</v>
      </c>
      <c r="AZ23" s="2" t="e">
        <f t="shared" si="55"/>
        <v>#N/A</v>
      </c>
      <c r="BA23" s="2" t="e">
        <f t="shared" si="55"/>
        <v>#N/A</v>
      </c>
      <c r="BB23" s="25"/>
      <c r="BC23" s="2" t="str">
        <f t="shared" si="8"/>
        <v>T5低7</v>
      </c>
      <c r="BD23" s="2">
        <f t="shared" si="41"/>
        <v>3018</v>
      </c>
      <c r="BE23" s="2" t="e">
        <f t="shared" si="56"/>
        <v>#N/A</v>
      </c>
      <c r="BF23" s="2" t="e">
        <f t="shared" si="56"/>
        <v>#N/A</v>
      </c>
      <c r="BG23" s="2" t="e">
        <f t="shared" si="56"/>
        <v>#N/A</v>
      </c>
      <c r="BH23" s="2" t="e">
        <f t="shared" si="56"/>
        <v>#N/A</v>
      </c>
      <c r="BI23" s="2" t="e">
        <f t="shared" si="56"/>
        <v>#N/A</v>
      </c>
      <c r="BK23" s="2" t="str">
        <f t="shared" si="10"/>
        <v>T5低7</v>
      </c>
      <c r="BL23" s="2">
        <f t="shared" si="42"/>
        <v>3018</v>
      </c>
      <c r="BM23" s="2" t="e">
        <f t="shared" si="57"/>
        <v>#N/A</v>
      </c>
      <c r="BN23" s="2" t="e">
        <f t="shared" si="57"/>
        <v>#N/A</v>
      </c>
      <c r="BO23" s="2" t="e">
        <f t="shared" si="57"/>
        <v>#N/A</v>
      </c>
      <c r="BP23" s="2" t="e">
        <f t="shared" si="57"/>
        <v>#N/A</v>
      </c>
      <c r="BQ23" s="2" t="e">
        <f t="shared" si="57"/>
        <v>#N/A</v>
      </c>
      <c r="BS23" s="2" t="str">
        <f t="shared" si="12"/>
        <v>T5低7</v>
      </c>
      <c r="BT23" s="2">
        <f t="shared" si="43"/>
        <v>3258</v>
      </c>
      <c r="BU23" s="2" t="e">
        <f t="shared" si="58"/>
        <v>#N/A</v>
      </c>
      <c r="BV23" s="2" t="e">
        <f t="shared" si="58"/>
        <v>#N/A</v>
      </c>
      <c r="BW23" s="2" t="e">
        <f t="shared" si="58"/>
        <v>#N/A</v>
      </c>
      <c r="BX23" s="2" t="e">
        <f t="shared" si="58"/>
        <v>#N/A</v>
      </c>
      <c r="BY23" s="2" t="e">
        <f t="shared" si="58"/>
        <v>#N/A</v>
      </c>
      <c r="CA23" s="2" t="str">
        <f t="shared" si="14"/>
        <v>T5低7</v>
      </c>
      <c r="CB23" s="2">
        <f t="shared" si="44"/>
        <v>3258</v>
      </c>
      <c r="CC23" s="2" t="e">
        <f t="shared" si="59"/>
        <v>#N/A</v>
      </c>
      <c r="CD23" s="2" t="e">
        <f t="shared" si="59"/>
        <v>#N/A</v>
      </c>
      <c r="CE23" s="2" t="e">
        <f t="shared" si="59"/>
        <v>#N/A</v>
      </c>
      <c r="CF23" s="2" t="e">
        <f t="shared" si="59"/>
        <v>#N/A</v>
      </c>
      <c r="CG23" s="2" t="e">
        <f t="shared" si="59"/>
        <v>#N/A</v>
      </c>
      <c r="CH23" s="25"/>
    </row>
    <row r="24" spans="2:86" x14ac:dyDescent="0.3">
      <c r="B24" s="2" t="s">
        <v>624</v>
      </c>
      <c r="C24" s="2" t="s">
        <v>176</v>
      </c>
      <c r="D24" s="2">
        <f>G8</f>
        <v>5</v>
      </c>
      <c r="E24" s="2">
        <f>H8</f>
        <v>8</v>
      </c>
      <c r="F24" s="2" t="str">
        <f t="shared" si="49"/>
        <v>T5高5</v>
      </c>
      <c r="G24" s="2" t="str">
        <f t="shared" si="50"/>
        <v>T5高8</v>
      </c>
      <c r="H24" s="33">
        <f>N8</f>
        <v>21</v>
      </c>
      <c r="I24" s="29">
        <f t="shared" si="51"/>
        <v>0.13</v>
      </c>
      <c r="J24" s="2">
        <v>2.62</v>
      </c>
      <c r="K24" s="2">
        <f t="shared" si="52"/>
        <v>4.4400000000000004</v>
      </c>
      <c r="L24" s="1">
        <v>2.6</v>
      </c>
      <c r="M24" s="1">
        <v>4.08</v>
      </c>
      <c r="N24" s="1">
        <f>J19+I24*(D19+1)</f>
        <v>2.57</v>
      </c>
      <c r="P24" s="2" t="str">
        <f t="shared" si="45"/>
        <v>T5高</v>
      </c>
      <c r="Q24" s="2" t="str">
        <f t="shared" si="46"/>
        <v>T5高5</v>
      </c>
      <c r="R24" s="2" t="str">
        <f t="shared" si="47"/>
        <v>T5高8</v>
      </c>
      <c r="S24" s="2">
        <f>N8</f>
        <v>21</v>
      </c>
      <c r="T24" s="2">
        <f t="shared" si="48"/>
        <v>8</v>
      </c>
      <c r="U24" s="2" t="s">
        <v>798</v>
      </c>
      <c r="Y24" s="2" t="s">
        <v>801</v>
      </c>
      <c r="Z24" s="34" t="e">
        <f t="shared" si="37"/>
        <v>#N/A</v>
      </c>
      <c r="AA24" s="34">
        <v>2.96</v>
      </c>
      <c r="AB24" s="2"/>
      <c r="AE24" s="2" t="str">
        <f t="shared" si="2"/>
        <v>T4中6</v>
      </c>
      <c r="AF24" s="2">
        <f t="shared" si="38"/>
        <v>2368</v>
      </c>
      <c r="AG24" s="2" t="e">
        <f t="shared" si="53"/>
        <v>#N/A</v>
      </c>
      <c r="AH24" s="2" t="e">
        <f t="shared" si="53"/>
        <v>#N/A</v>
      </c>
      <c r="AI24" s="2" t="e">
        <f t="shared" si="53"/>
        <v>#N/A</v>
      </c>
      <c r="AJ24" s="2" t="e">
        <f t="shared" si="53"/>
        <v>#N/A</v>
      </c>
      <c r="AK24" s="2" t="e">
        <f t="shared" si="53"/>
        <v>#N/A</v>
      </c>
      <c r="AM24" s="2" t="str">
        <f t="shared" si="4"/>
        <v>T4中6</v>
      </c>
      <c r="AN24" s="2">
        <f t="shared" si="39"/>
        <v>2368</v>
      </c>
      <c r="AO24" s="2" t="e">
        <f t="shared" si="54"/>
        <v>#N/A</v>
      </c>
      <c r="AP24" s="2" t="e">
        <f t="shared" si="54"/>
        <v>#N/A</v>
      </c>
      <c r="AQ24" s="2" t="e">
        <f t="shared" si="54"/>
        <v>#N/A</v>
      </c>
      <c r="AR24" s="2" t="e">
        <f t="shared" si="54"/>
        <v>#N/A</v>
      </c>
      <c r="AS24" s="2" t="e">
        <f t="shared" si="54"/>
        <v>#N/A</v>
      </c>
      <c r="AT24" s="25"/>
      <c r="AU24" s="2" t="str">
        <f t="shared" si="6"/>
        <v>T4中6</v>
      </c>
      <c r="AV24" s="2">
        <f t="shared" si="40"/>
        <v>2368</v>
      </c>
      <c r="AW24" s="2" t="e">
        <f t="shared" si="55"/>
        <v>#N/A</v>
      </c>
      <c r="AX24" s="2" t="e">
        <f t="shared" si="55"/>
        <v>#N/A</v>
      </c>
      <c r="AY24" s="2" t="e">
        <f t="shared" si="55"/>
        <v>#N/A</v>
      </c>
      <c r="AZ24" s="2" t="e">
        <f t="shared" si="55"/>
        <v>#N/A</v>
      </c>
      <c r="BA24" s="2" t="e">
        <f t="shared" si="55"/>
        <v>#N/A</v>
      </c>
      <c r="BB24" s="25"/>
      <c r="BC24" s="2" t="str">
        <f t="shared" si="8"/>
        <v>T4中6</v>
      </c>
      <c r="BD24" s="2">
        <f t="shared" si="41"/>
        <v>2495</v>
      </c>
      <c r="BE24" s="2" t="e">
        <f t="shared" si="56"/>
        <v>#N/A</v>
      </c>
      <c r="BF24" s="2" t="e">
        <f t="shared" si="56"/>
        <v>#N/A</v>
      </c>
      <c r="BG24" s="2" t="e">
        <f t="shared" si="56"/>
        <v>#N/A</v>
      </c>
      <c r="BH24" s="2" t="e">
        <f t="shared" si="56"/>
        <v>#N/A</v>
      </c>
      <c r="BI24" s="2" t="e">
        <f t="shared" si="56"/>
        <v>#N/A</v>
      </c>
      <c r="BJ24" s="25"/>
      <c r="BK24" s="2" t="str">
        <f t="shared" si="10"/>
        <v>T4中6</v>
      </c>
      <c r="BL24" s="2">
        <f t="shared" si="42"/>
        <v>2495</v>
      </c>
      <c r="BM24" s="2" t="e">
        <f t="shared" si="57"/>
        <v>#N/A</v>
      </c>
      <c r="BN24" s="2" t="e">
        <f t="shared" si="57"/>
        <v>#N/A</v>
      </c>
      <c r="BO24" s="2" t="e">
        <f t="shared" si="57"/>
        <v>#N/A</v>
      </c>
      <c r="BP24" s="2" t="e">
        <f t="shared" si="57"/>
        <v>#N/A</v>
      </c>
      <c r="BQ24" s="2" t="e">
        <f t="shared" si="57"/>
        <v>#N/A</v>
      </c>
      <c r="BS24" s="2" t="str">
        <f t="shared" si="12"/>
        <v>T4中6</v>
      </c>
      <c r="BT24" s="2">
        <f t="shared" si="43"/>
        <v>2694</v>
      </c>
      <c r="BU24" s="2" t="e">
        <f t="shared" si="58"/>
        <v>#N/A</v>
      </c>
      <c r="BV24" s="2" t="e">
        <f t="shared" si="58"/>
        <v>#N/A</v>
      </c>
      <c r="BW24" s="2" t="e">
        <f t="shared" si="58"/>
        <v>#N/A</v>
      </c>
      <c r="BX24" s="2" t="e">
        <f t="shared" si="58"/>
        <v>#N/A</v>
      </c>
      <c r="BY24" s="2" t="e">
        <f t="shared" si="58"/>
        <v>#N/A</v>
      </c>
      <c r="CA24" s="2" t="str">
        <f t="shared" si="14"/>
        <v>T4中6</v>
      </c>
      <c r="CB24" s="2">
        <f t="shared" si="44"/>
        <v>2694</v>
      </c>
      <c r="CC24" s="2" t="e">
        <f t="shared" si="59"/>
        <v>#N/A</v>
      </c>
      <c r="CD24" s="2" t="e">
        <f t="shared" si="59"/>
        <v>#N/A</v>
      </c>
      <c r="CE24" s="2" t="e">
        <f t="shared" si="59"/>
        <v>#N/A</v>
      </c>
      <c r="CF24" s="2" t="e">
        <f t="shared" si="59"/>
        <v>#N/A</v>
      </c>
      <c r="CG24" s="2" t="e">
        <f t="shared" si="59"/>
        <v>#N/A</v>
      </c>
      <c r="CH24" s="25"/>
    </row>
    <row r="25" spans="2:86" x14ac:dyDescent="0.3">
      <c r="Y25" s="2" t="s">
        <v>802</v>
      </c>
      <c r="Z25" s="34" t="e">
        <f t="shared" si="37"/>
        <v>#N/A</v>
      </c>
      <c r="AA25" s="34">
        <v>2.96</v>
      </c>
      <c r="AB25" s="2"/>
      <c r="AE25" s="2" t="str">
        <f t="shared" si="2"/>
        <v>T4高6</v>
      </c>
      <c r="AF25" s="2">
        <f t="shared" si="38"/>
        <v>2368</v>
      </c>
      <c r="AG25" s="2" t="e">
        <f t="shared" si="53"/>
        <v>#N/A</v>
      </c>
      <c r="AH25" s="2" t="e">
        <f t="shared" si="53"/>
        <v>#N/A</v>
      </c>
      <c r="AI25" s="2" t="e">
        <f t="shared" si="53"/>
        <v>#N/A</v>
      </c>
      <c r="AJ25" s="2" t="e">
        <f t="shared" si="53"/>
        <v>#N/A</v>
      </c>
      <c r="AK25" s="2" t="e">
        <f t="shared" si="53"/>
        <v>#N/A</v>
      </c>
      <c r="AM25" s="2" t="str">
        <f t="shared" si="4"/>
        <v>T4高6</v>
      </c>
      <c r="AN25" s="2">
        <f t="shared" si="39"/>
        <v>2368</v>
      </c>
      <c r="AO25" s="2" t="e">
        <f t="shared" si="54"/>
        <v>#N/A</v>
      </c>
      <c r="AP25" s="2" t="e">
        <f t="shared" si="54"/>
        <v>#N/A</v>
      </c>
      <c r="AQ25" s="2" t="e">
        <f t="shared" si="54"/>
        <v>#N/A</v>
      </c>
      <c r="AR25" s="2" t="e">
        <f t="shared" si="54"/>
        <v>#N/A</v>
      </c>
      <c r="AS25" s="2" t="e">
        <f t="shared" si="54"/>
        <v>#N/A</v>
      </c>
      <c r="AT25" s="25"/>
      <c r="AU25" s="2" t="str">
        <f t="shared" si="6"/>
        <v>T4高6</v>
      </c>
      <c r="AV25" s="2">
        <f t="shared" si="40"/>
        <v>2368</v>
      </c>
      <c r="AW25" s="2" t="e">
        <f t="shared" si="55"/>
        <v>#N/A</v>
      </c>
      <c r="AX25" s="2" t="e">
        <f t="shared" si="55"/>
        <v>#N/A</v>
      </c>
      <c r="AY25" s="2" t="e">
        <f t="shared" si="55"/>
        <v>#N/A</v>
      </c>
      <c r="AZ25" s="2" t="e">
        <f t="shared" si="55"/>
        <v>#N/A</v>
      </c>
      <c r="BA25" s="2" t="e">
        <f t="shared" si="55"/>
        <v>#N/A</v>
      </c>
      <c r="BB25" s="25"/>
      <c r="BC25" s="2" t="str">
        <f t="shared" si="8"/>
        <v>T4高6</v>
      </c>
      <c r="BD25" s="2">
        <f t="shared" si="41"/>
        <v>2495</v>
      </c>
      <c r="BE25" s="2" t="e">
        <f t="shared" si="56"/>
        <v>#N/A</v>
      </c>
      <c r="BF25" s="2" t="e">
        <f t="shared" si="56"/>
        <v>#N/A</v>
      </c>
      <c r="BG25" s="2" t="e">
        <f t="shared" si="56"/>
        <v>#N/A</v>
      </c>
      <c r="BH25" s="2" t="e">
        <f t="shared" si="56"/>
        <v>#N/A</v>
      </c>
      <c r="BI25" s="2" t="e">
        <f t="shared" si="56"/>
        <v>#N/A</v>
      </c>
      <c r="BJ25" s="25"/>
      <c r="BK25" s="2" t="str">
        <f t="shared" si="10"/>
        <v>T4高6</v>
      </c>
      <c r="BL25" s="2">
        <f t="shared" si="42"/>
        <v>2495</v>
      </c>
      <c r="BM25" s="2" t="e">
        <f t="shared" si="57"/>
        <v>#N/A</v>
      </c>
      <c r="BN25" s="2" t="e">
        <f t="shared" si="57"/>
        <v>#N/A</v>
      </c>
      <c r="BO25" s="2" t="e">
        <f t="shared" si="57"/>
        <v>#N/A</v>
      </c>
      <c r="BP25" s="2" t="e">
        <f t="shared" si="57"/>
        <v>#N/A</v>
      </c>
      <c r="BQ25" s="2" t="e">
        <f t="shared" si="57"/>
        <v>#N/A</v>
      </c>
      <c r="BS25" s="2" t="str">
        <f t="shared" si="12"/>
        <v>T4高6</v>
      </c>
      <c r="BT25" s="2">
        <f t="shared" si="43"/>
        <v>2694</v>
      </c>
      <c r="BU25" s="2" t="e">
        <f t="shared" si="58"/>
        <v>#N/A</v>
      </c>
      <c r="BV25" s="2" t="e">
        <f t="shared" si="58"/>
        <v>#N/A</v>
      </c>
      <c r="BW25" s="2" t="e">
        <f t="shared" si="58"/>
        <v>#N/A</v>
      </c>
      <c r="BX25" s="2" t="e">
        <f t="shared" si="58"/>
        <v>#N/A</v>
      </c>
      <c r="BY25" s="2" t="e">
        <f t="shared" si="58"/>
        <v>#N/A</v>
      </c>
      <c r="CA25" s="2" t="str">
        <f t="shared" si="14"/>
        <v>T4高6</v>
      </c>
      <c r="CB25" s="2">
        <f t="shared" si="44"/>
        <v>2694</v>
      </c>
      <c r="CC25" s="2" t="e">
        <f t="shared" si="59"/>
        <v>#N/A</v>
      </c>
      <c r="CD25" s="2" t="e">
        <f t="shared" si="59"/>
        <v>#N/A</v>
      </c>
      <c r="CE25" s="2" t="e">
        <f t="shared" si="59"/>
        <v>#N/A</v>
      </c>
      <c r="CF25" s="2" t="e">
        <f t="shared" si="59"/>
        <v>#N/A</v>
      </c>
      <c r="CG25" s="2" t="e">
        <f t="shared" si="59"/>
        <v>#N/A</v>
      </c>
      <c r="CH25" s="25"/>
    </row>
    <row r="26" spans="2:86" x14ac:dyDescent="0.3">
      <c r="B26" s="351" t="s">
        <v>803</v>
      </c>
      <c r="C26" s="351"/>
      <c r="D26" s="351"/>
      <c r="F26" s="351" t="s">
        <v>804</v>
      </c>
      <c r="G26" s="351"/>
      <c r="H26" s="351"/>
      <c r="J26" s="351" t="s">
        <v>805</v>
      </c>
      <c r="K26" s="351"/>
      <c r="L26" s="351"/>
      <c r="Y26" s="2" t="s">
        <v>806</v>
      </c>
      <c r="Z26" s="34" t="e">
        <f t="shared" si="37"/>
        <v>#N/A</v>
      </c>
      <c r="AA26" s="34">
        <v>3.82</v>
      </c>
      <c r="AB26" s="2"/>
      <c r="AE26" s="2" t="str">
        <f t="shared" si="2"/>
        <v>T5中7</v>
      </c>
      <c r="AF26" s="2">
        <f t="shared" si="38"/>
        <v>3056</v>
      </c>
      <c r="AG26" s="2" t="e">
        <f t="shared" si="53"/>
        <v>#N/A</v>
      </c>
      <c r="AH26" s="2" t="e">
        <f t="shared" si="53"/>
        <v>#N/A</v>
      </c>
      <c r="AI26" s="2" t="e">
        <f t="shared" si="53"/>
        <v>#N/A</v>
      </c>
      <c r="AJ26" s="2" t="e">
        <f t="shared" si="53"/>
        <v>#N/A</v>
      </c>
      <c r="AK26" s="2" t="e">
        <f t="shared" si="53"/>
        <v>#N/A</v>
      </c>
      <c r="AM26" s="2" t="str">
        <f t="shared" si="4"/>
        <v>T5中7</v>
      </c>
      <c r="AN26" s="2">
        <f t="shared" si="39"/>
        <v>3056</v>
      </c>
      <c r="AO26" s="2" t="e">
        <f t="shared" si="54"/>
        <v>#N/A</v>
      </c>
      <c r="AP26" s="2" t="e">
        <f t="shared" si="54"/>
        <v>#N/A</v>
      </c>
      <c r="AQ26" s="2" t="e">
        <f t="shared" si="54"/>
        <v>#N/A</v>
      </c>
      <c r="AR26" s="2" t="e">
        <f t="shared" si="54"/>
        <v>#N/A</v>
      </c>
      <c r="AS26" s="2" t="e">
        <f t="shared" si="54"/>
        <v>#N/A</v>
      </c>
      <c r="AT26" s="25"/>
      <c r="AU26" s="2" t="str">
        <f t="shared" si="6"/>
        <v>T5中7</v>
      </c>
      <c r="AV26" s="2">
        <f t="shared" si="40"/>
        <v>3056</v>
      </c>
      <c r="AW26" s="2" t="e">
        <f t="shared" si="55"/>
        <v>#N/A</v>
      </c>
      <c r="AX26" s="2" t="e">
        <f t="shared" si="55"/>
        <v>#N/A</v>
      </c>
      <c r="AY26" s="2" t="e">
        <f t="shared" si="55"/>
        <v>#N/A</v>
      </c>
      <c r="AZ26" s="2" t="e">
        <f t="shared" si="55"/>
        <v>#N/A</v>
      </c>
      <c r="BA26" s="2" t="e">
        <f t="shared" si="55"/>
        <v>#N/A</v>
      </c>
      <c r="BB26" s="25"/>
      <c r="BC26" s="2" t="str">
        <f t="shared" si="8"/>
        <v>T5中7</v>
      </c>
      <c r="BD26" s="2">
        <f t="shared" si="41"/>
        <v>3220</v>
      </c>
      <c r="BE26" s="2" t="e">
        <f t="shared" si="56"/>
        <v>#N/A</v>
      </c>
      <c r="BF26" s="2" t="e">
        <f t="shared" si="56"/>
        <v>#N/A</v>
      </c>
      <c r="BG26" s="2" t="e">
        <f t="shared" si="56"/>
        <v>#N/A</v>
      </c>
      <c r="BH26" s="2" t="e">
        <f t="shared" si="56"/>
        <v>#N/A</v>
      </c>
      <c r="BI26" s="2" t="e">
        <f t="shared" si="56"/>
        <v>#N/A</v>
      </c>
      <c r="BJ26" s="25"/>
      <c r="BK26" s="2" t="str">
        <f t="shared" si="10"/>
        <v>T5中7</v>
      </c>
      <c r="BL26" s="2">
        <f t="shared" si="42"/>
        <v>3220</v>
      </c>
      <c r="BM26" s="2" t="e">
        <f t="shared" si="57"/>
        <v>#N/A</v>
      </c>
      <c r="BN26" s="2" t="e">
        <f t="shared" si="57"/>
        <v>#N/A</v>
      </c>
      <c r="BO26" s="2" t="e">
        <f t="shared" si="57"/>
        <v>#N/A</v>
      </c>
      <c r="BP26" s="2" t="e">
        <f t="shared" si="57"/>
        <v>#N/A</v>
      </c>
      <c r="BQ26" s="2" t="e">
        <f t="shared" si="57"/>
        <v>#N/A</v>
      </c>
      <c r="BS26" s="2" t="str">
        <f t="shared" si="12"/>
        <v>T5中7</v>
      </c>
      <c r="BT26" s="2">
        <f t="shared" si="43"/>
        <v>3477</v>
      </c>
      <c r="BU26" s="2" t="e">
        <f t="shared" si="58"/>
        <v>#N/A</v>
      </c>
      <c r="BV26" s="2" t="e">
        <f t="shared" si="58"/>
        <v>#N/A</v>
      </c>
      <c r="BW26" s="2" t="e">
        <f t="shared" si="58"/>
        <v>#N/A</v>
      </c>
      <c r="BX26" s="2" t="e">
        <f t="shared" si="58"/>
        <v>#N/A</v>
      </c>
      <c r="BY26" s="2" t="e">
        <f t="shared" si="58"/>
        <v>#N/A</v>
      </c>
      <c r="CA26" s="2" t="str">
        <f t="shared" si="14"/>
        <v>T5中7</v>
      </c>
      <c r="CB26" s="2">
        <f t="shared" si="44"/>
        <v>3477</v>
      </c>
      <c r="CC26" s="2" t="e">
        <f t="shared" si="59"/>
        <v>#N/A</v>
      </c>
      <c r="CD26" s="2" t="e">
        <f t="shared" si="59"/>
        <v>#N/A</v>
      </c>
      <c r="CE26" s="2" t="e">
        <f t="shared" si="59"/>
        <v>#N/A</v>
      </c>
      <c r="CF26" s="2" t="e">
        <f t="shared" si="59"/>
        <v>#N/A</v>
      </c>
      <c r="CG26" s="2" t="e">
        <f t="shared" si="59"/>
        <v>#N/A</v>
      </c>
      <c r="CH26" s="25"/>
    </row>
    <row r="27" spans="2:86" x14ac:dyDescent="0.3">
      <c r="B27" s="2" t="s">
        <v>803</v>
      </c>
      <c r="C27" s="2" t="s">
        <v>807</v>
      </c>
      <c r="D27" s="2" t="s">
        <v>803</v>
      </c>
      <c r="F27" s="2" t="s">
        <v>804</v>
      </c>
      <c r="G27" s="2" t="s">
        <v>775</v>
      </c>
      <c r="H27" s="2" t="s">
        <v>804</v>
      </c>
      <c r="J27" s="2" t="s">
        <v>804</v>
      </c>
      <c r="K27" s="2" t="s">
        <v>602</v>
      </c>
      <c r="L27" s="2" t="s">
        <v>804</v>
      </c>
      <c r="Y27" s="2" t="s">
        <v>808</v>
      </c>
      <c r="Z27" s="34" t="e">
        <f t="shared" si="37"/>
        <v>#N/A</v>
      </c>
      <c r="AA27" s="34">
        <v>3.82</v>
      </c>
      <c r="AB27" s="2"/>
      <c r="AE27" s="2" t="str">
        <f t="shared" si="2"/>
        <v>T5高7</v>
      </c>
      <c r="AF27" s="2">
        <f t="shared" si="38"/>
        <v>3056</v>
      </c>
      <c r="AG27" s="2" t="e">
        <f t="shared" si="53"/>
        <v>#N/A</v>
      </c>
      <c r="AH27" s="2" t="e">
        <f t="shared" si="53"/>
        <v>#N/A</v>
      </c>
      <c r="AI27" s="2" t="e">
        <f t="shared" si="53"/>
        <v>#N/A</v>
      </c>
      <c r="AJ27" s="2" t="e">
        <f t="shared" si="53"/>
        <v>#N/A</v>
      </c>
      <c r="AK27" s="2" t="e">
        <f t="shared" si="53"/>
        <v>#N/A</v>
      </c>
      <c r="AM27" s="2" t="str">
        <f t="shared" si="4"/>
        <v>T5高7</v>
      </c>
      <c r="AN27" s="2">
        <f t="shared" si="39"/>
        <v>3056</v>
      </c>
      <c r="AO27" s="2" t="e">
        <f t="shared" si="54"/>
        <v>#N/A</v>
      </c>
      <c r="AP27" s="2" t="e">
        <f t="shared" si="54"/>
        <v>#N/A</v>
      </c>
      <c r="AQ27" s="2" t="e">
        <f t="shared" si="54"/>
        <v>#N/A</v>
      </c>
      <c r="AR27" s="2" t="e">
        <f t="shared" si="54"/>
        <v>#N/A</v>
      </c>
      <c r="AS27" s="2" t="e">
        <f t="shared" si="54"/>
        <v>#N/A</v>
      </c>
      <c r="AT27" s="25"/>
      <c r="AU27" s="2" t="str">
        <f t="shared" si="6"/>
        <v>T5高7</v>
      </c>
      <c r="AV27" s="2">
        <f t="shared" si="40"/>
        <v>3056</v>
      </c>
      <c r="AW27" s="2" t="e">
        <f t="shared" si="55"/>
        <v>#N/A</v>
      </c>
      <c r="AX27" s="2" t="e">
        <f t="shared" si="55"/>
        <v>#N/A</v>
      </c>
      <c r="AY27" s="2" t="e">
        <f t="shared" si="55"/>
        <v>#N/A</v>
      </c>
      <c r="AZ27" s="2" t="e">
        <f t="shared" si="55"/>
        <v>#N/A</v>
      </c>
      <c r="BA27" s="2" t="e">
        <f t="shared" si="55"/>
        <v>#N/A</v>
      </c>
      <c r="BB27" s="25"/>
      <c r="BC27" s="2" t="str">
        <f t="shared" si="8"/>
        <v>T5高7</v>
      </c>
      <c r="BD27" s="2">
        <f t="shared" si="41"/>
        <v>3220</v>
      </c>
      <c r="BE27" s="2" t="e">
        <f t="shared" si="56"/>
        <v>#N/A</v>
      </c>
      <c r="BF27" s="2" t="e">
        <f t="shared" si="56"/>
        <v>#N/A</v>
      </c>
      <c r="BG27" s="2" t="e">
        <f t="shared" si="56"/>
        <v>#N/A</v>
      </c>
      <c r="BH27" s="2" t="e">
        <f t="shared" si="56"/>
        <v>#N/A</v>
      </c>
      <c r="BI27" s="2" t="e">
        <f t="shared" si="56"/>
        <v>#N/A</v>
      </c>
      <c r="BJ27" s="25"/>
      <c r="BK27" s="2" t="str">
        <f t="shared" si="10"/>
        <v>T5高7</v>
      </c>
      <c r="BL27" s="2">
        <f t="shared" si="42"/>
        <v>3220</v>
      </c>
      <c r="BM27" s="2" t="e">
        <f t="shared" si="57"/>
        <v>#N/A</v>
      </c>
      <c r="BN27" s="2" t="e">
        <f t="shared" si="57"/>
        <v>#N/A</v>
      </c>
      <c r="BO27" s="2" t="e">
        <f t="shared" si="57"/>
        <v>#N/A</v>
      </c>
      <c r="BP27" s="2" t="e">
        <f t="shared" si="57"/>
        <v>#N/A</v>
      </c>
      <c r="BQ27" s="2" t="e">
        <f t="shared" si="57"/>
        <v>#N/A</v>
      </c>
      <c r="BS27" s="2" t="str">
        <f t="shared" si="12"/>
        <v>T5高7</v>
      </c>
      <c r="BT27" s="2">
        <f t="shared" si="43"/>
        <v>3477</v>
      </c>
      <c r="BU27" s="2" t="e">
        <f t="shared" si="58"/>
        <v>#N/A</v>
      </c>
      <c r="BV27" s="2" t="e">
        <f t="shared" si="58"/>
        <v>#N/A</v>
      </c>
      <c r="BW27" s="2" t="e">
        <f t="shared" si="58"/>
        <v>#N/A</v>
      </c>
      <c r="BX27" s="2" t="e">
        <f t="shared" si="58"/>
        <v>#N/A</v>
      </c>
      <c r="BY27" s="2" t="e">
        <f t="shared" si="58"/>
        <v>#N/A</v>
      </c>
      <c r="CA27" s="2" t="str">
        <f t="shared" si="14"/>
        <v>T5高7</v>
      </c>
      <c r="CB27" s="2">
        <f t="shared" si="44"/>
        <v>3477</v>
      </c>
      <c r="CC27" s="2" t="e">
        <f t="shared" si="59"/>
        <v>#N/A</v>
      </c>
      <c r="CD27" s="2" t="e">
        <f t="shared" si="59"/>
        <v>#N/A</v>
      </c>
      <c r="CE27" s="2" t="e">
        <f t="shared" si="59"/>
        <v>#N/A</v>
      </c>
      <c r="CF27" s="2" t="e">
        <f t="shared" si="59"/>
        <v>#N/A</v>
      </c>
      <c r="CG27" s="2" t="e">
        <f t="shared" si="59"/>
        <v>#N/A</v>
      </c>
      <c r="CH27" s="25"/>
    </row>
    <row r="28" spans="2:86" x14ac:dyDescent="0.3">
      <c r="B28" s="2">
        <v>1</v>
      </c>
      <c r="C28" s="2" t="s">
        <v>785</v>
      </c>
      <c r="D28" s="2">
        <v>1</v>
      </c>
      <c r="F28" s="2">
        <v>1</v>
      </c>
      <c r="G28" s="2" t="s">
        <v>604</v>
      </c>
      <c r="H28" s="2">
        <v>1</v>
      </c>
      <c r="J28" s="2">
        <v>1</v>
      </c>
      <c r="K28" s="2" t="s">
        <v>175</v>
      </c>
      <c r="L28" s="2">
        <v>1</v>
      </c>
      <c r="Y28" s="25"/>
      <c r="Z28" s="25"/>
      <c r="AA28" s="25"/>
      <c r="AC28" s="132"/>
      <c r="AE28" s="25"/>
      <c r="AF28" s="25"/>
      <c r="AG28" s="25"/>
      <c r="AH28" s="25"/>
      <c r="AI28" s="25"/>
      <c r="AJ28" s="25"/>
      <c r="AK28" s="25"/>
      <c r="AM28" s="25"/>
      <c r="AN28" s="25"/>
      <c r="AO28" s="25"/>
      <c r="AP28" s="25"/>
      <c r="AQ28" s="25"/>
      <c r="AR28" s="25"/>
      <c r="AS28" s="25"/>
      <c r="AT28" s="25"/>
      <c r="AU28" s="25"/>
      <c r="AV28" s="25"/>
      <c r="AW28" s="25"/>
      <c r="AX28" s="25"/>
      <c r="AY28" s="25"/>
      <c r="AZ28" s="25"/>
      <c r="BA28" s="25"/>
      <c r="BB28" s="25"/>
      <c r="BC28" s="25"/>
      <c r="BD28" s="25"/>
      <c r="BE28" s="25"/>
      <c r="BF28" s="25"/>
      <c r="BH28" s="25"/>
      <c r="BI28" s="25"/>
      <c r="BJ28" s="25"/>
      <c r="BK28" s="25"/>
      <c r="BL28" s="25"/>
      <c r="BM28" s="25"/>
      <c r="BN28" s="25"/>
      <c r="CH28" s="25"/>
    </row>
    <row r="29" spans="2:86" x14ac:dyDescent="0.3">
      <c r="B29" s="2">
        <v>2</v>
      </c>
      <c r="C29" s="2" t="s">
        <v>787</v>
      </c>
      <c r="D29" s="2">
        <v>2</v>
      </c>
      <c r="F29" s="2">
        <v>2</v>
      </c>
      <c r="G29" s="2" t="s">
        <v>606</v>
      </c>
      <c r="H29" s="2">
        <v>2</v>
      </c>
      <c r="J29" s="2">
        <v>2</v>
      </c>
      <c r="K29" s="2" t="s">
        <v>177</v>
      </c>
      <c r="L29" s="2">
        <v>2</v>
      </c>
      <c r="AC29" s="132"/>
      <c r="AE29" s="351" t="s">
        <v>809</v>
      </c>
      <c r="AF29" s="351"/>
      <c r="AG29" s="351"/>
      <c r="AH29" s="351"/>
      <c r="AI29" s="351"/>
      <c r="AJ29" s="351"/>
      <c r="AK29" s="351"/>
      <c r="AL29" s="25"/>
      <c r="AM29" s="351" t="s">
        <v>810</v>
      </c>
      <c r="AN29" s="351"/>
      <c r="AO29" s="351"/>
      <c r="AP29" s="351"/>
      <c r="AQ29" s="351"/>
      <c r="AR29" s="351"/>
      <c r="AS29" s="351"/>
      <c r="AT29" s="25"/>
      <c r="AU29" s="351" t="s">
        <v>811</v>
      </c>
      <c r="AV29" s="351"/>
      <c r="AW29" s="351"/>
      <c r="AX29" s="351"/>
      <c r="AY29" s="351"/>
      <c r="AZ29" s="351"/>
      <c r="BA29" s="351"/>
      <c r="BB29" s="25"/>
      <c r="BC29" s="351" t="s">
        <v>812</v>
      </c>
      <c r="BD29" s="351"/>
      <c r="BE29" s="351"/>
      <c r="BF29" s="351"/>
      <c r="BG29" s="351"/>
      <c r="BH29" s="351"/>
      <c r="BI29" s="351"/>
      <c r="BK29" s="351" t="s">
        <v>813</v>
      </c>
      <c r="BL29" s="351"/>
      <c r="BM29" s="351"/>
      <c r="BN29" s="351"/>
      <c r="BO29" s="351"/>
      <c r="BP29" s="351"/>
      <c r="BQ29" s="351"/>
      <c r="BS29" s="351" t="s">
        <v>814</v>
      </c>
      <c r="BT29" s="351"/>
      <c r="BU29" s="351"/>
      <c r="BV29" s="351"/>
      <c r="BW29" s="351"/>
      <c r="BX29" s="351"/>
      <c r="BY29" s="351"/>
      <c r="CA29" s="351" t="s">
        <v>815</v>
      </c>
      <c r="CB29" s="351"/>
      <c r="CC29" s="351"/>
      <c r="CD29" s="351"/>
      <c r="CE29" s="351"/>
      <c r="CF29" s="351"/>
      <c r="CG29" s="351"/>
      <c r="CH29" s="25"/>
    </row>
    <row r="30" spans="2:86" x14ac:dyDescent="0.3">
      <c r="B30" s="2">
        <v>3</v>
      </c>
      <c r="C30" s="2" t="s">
        <v>790</v>
      </c>
      <c r="D30" s="2">
        <v>3</v>
      </c>
      <c r="F30" s="2">
        <v>3</v>
      </c>
      <c r="G30" s="2" t="s">
        <v>610</v>
      </c>
      <c r="H30" s="2">
        <v>3</v>
      </c>
      <c r="J30" s="2">
        <v>3</v>
      </c>
      <c r="K30" s="2" t="s">
        <v>176</v>
      </c>
      <c r="L30" s="2">
        <v>3</v>
      </c>
      <c r="AC30" s="132"/>
      <c r="AE30" s="2" t="s">
        <v>816</v>
      </c>
      <c r="AF30" s="2" t="s">
        <v>759</v>
      </c>
      <c r="AG30" s="2" t="s">
        <v>760</v>
      </c>
      <c r="AH30" s="2" t="s">
        <v>761</v>
      </c>
      <c r="AI30" s="2" t="s">
        <v>76</v>
      </c>
      <c r="AJ30" s="2" t="s">
        <v>124</v>
      </c>
      <c r="AK30" s="2" t="s">
        <v>762</v>
      </c>
      <c r="AL30" s="25"/>
      <c r="AM30" s="2" t="s">
        <v>816</v>
      </c>
      <c r="AN30" s="2" t="s">
        <v>759</v>
      </c>
      <c r="AO30" s="2" t="s">
        <v>760</v>
      </c>
      <c r="AP30" s="2" t="s">
        <v>761</v>
      </c>
      <c r="AQ30" s="2" t="s">
        <v>76</v>
      </c>
      <c r="AR30" s="2" t="s">
        <v>124</v>
      </c>
      <c r="AS30" s="2" t="s">
        <v>762</v>
      </c>
      <c r="AT30" s="25"/>
      <c r="AU30" s="2" t="s">
        <v>816</v>
      </c>
      <c r="AV30" s="2" t="s">
        <v>759</v>
      </c>
      <c r="AW30" s="2" t="s">
        <v>760</v>
      </c>
      <c r="AX30" s="2" t="s">
        <v>761</v>
      </c>
      <c r="AY30" s="2" t="s">
        <v>76</v>
      </c>
      <c r="AZ30" s="2" t="s">
        <v>124</v>
      </c>
      <c r="BA30" s="2" t="s">
        <v>762</v>
      </c>
      <c r="BB30" s="25"/>
      <c r="BC30" s="2" t="s">
        <v>816</v>
      </c>
      <c r="BD30" s="2" t="s">
        <v>759</v>
      </c>
      <c r="BE30" s="2" t="s">
        <v>760</v>
      </c>
      <c r="BF30" s="2" t="s">
        <v>761</v>
      </c>
      <c r="BG30" s="2" t="s">
        <v>76</v>
      </c>
      <c r="BH30" s="2" t="s">
        <v>124</v>
      </c>
      <c r="BI30" s="2" t="s">
        <v>762</v>
      </c>
      <c r="BK30" s="2" t="s">
        <v>816</v>
      </c>
      <c r="BL30" s="2" t="s">
        <v>759</v>
      </c>
      <c r="BM30" s="2" t="s">
        <v>760</v>
      </c>
      <c r="BN30" s="2" t="s">
        <v>761</v>
      </c>
      <c r="BO30" s="2" t="s">
        <v>76</v>
      </c>
      <c r="BP30" s="2" t="s">
        <v>124</v>
      </c>
      <c r="BQ30" s="2" t="s">
        <v>762</v>
      </c>
      <c r="BS30" s="2" t="s">
        <v>816</v>
      </c>
      <c r="BT30" s="2" t="s">
        <v>759</v>
      </c>
      <c r="BU30" s="2" t="s">
        <v>760</v>
      </c>
      <c r="BV30" s="2" t="s">
        <v>761</v>
      </c>
      <c r="BW30" s="2" t="s">
        <v>76</v>
      </c>
      <c r="BX30" s="2" t="s">
        <v>124</v>
      </c>
      <c r="BY30" s="2" t="s">
        <v>762</v>
      </c>
      <c r="CA30" s="2" t="s">
        <v>816</v>
      </c>
      <c r="CB30" s="2" t="s">
        <v>759</v>
      </c>
      <c r="CC30" s="2" t="s">
        <v>760</v>
      </c>
      <c r="CD30" s="2" t="s">
        <v>761</v>
      </c>
      <c r="CE30" s="2" t="s">
        <v>76</v>
      </c>
      <c r="CF30" s="2" t="s">
        <v>124</v>
      </c>
      <c r="CG30" s="2" t="s">
        <v>762</v>
      </c>
      <c r="CH30" s="25"/>
    </row>
    <row r="31" spans="2:86" x14ac:dyDescent="0.3">
      <c r="B31" s="2">
        <v>4</v>
      </c>
      <c r="C31" s="2" t="s">
        <v>794</v>
      </c>
      <c r="D31" s="2">
        <v>4</v>
      </c>
      <c r="F31" s="2">
        <v>4</v>
      </c>
      <c r="G31" s="2" t="s">
        <v>617</v>
      </c>
      <c r="H31" s="2">
        <v>4</v>
      </c>
      <c r="AC31" s="132"/>
      <c r="AE31" s="2" t="str">
        <f>F13</f>
        <v>T1低1</v>
      </c>
      <c r="AF31" s="2">
        <f t="shared" ref="AF31:AK42" si="60">VLOOKUP($AE31,轻坦半自动_阶段属性,MATCH(AF$30,属性标头_阶段属性,0),FALSE)</f>
        <v>600</v>
      </c>
      <c r="AG31" s="2">
        <f t="shared" si="60"/>
        <v>87</v>
      </c>
      <c r="AH31" s="2">
        <f t="shared" si="60"/>
        <v>300</v>
      </c>
      <c r="AI31" s="2">
        <f t="shared" si="60"/>
        <v>120</v>
      </c>
      <c r="AJ31" s="2">
        <f t="shared" si="60"/>
        <v>300</v>
      </c>
      <c r="AK31" s="2">
        <f t="shared" si="60"/>
        <v>80</v>
      </c>
      <c r="AL31" s="25"/>
      <c r="AM31" s="2" t="str">
        <f t="shared" ref="AM31:AM42" si="61">AE31</f>
        <v>T1低1</v>
      </c>
      <c r="AN31" s="2">
        <f t="shared" ref="AN31:AS42" si="62">VLOOKUP($AM31,轻坦弹夹_阶段属性,MATCH(AN$30,属性标头_阶段属性,0),FALSE)</f>
        <v>600</v>
      </c>
      <c r="AO31" s="2">
        <f t="shared" si="62"/>
        <v>47</v>
      </c>
      <c r="AP31" s="2">
        <f t="shared" si="62"/>
        <v>329</v>
      </c>
      <c r="AQ31" s="2">
        <f t="shared" si="62"/>
        <v>131</v>
      </c>
      <c r="AR31" s="2">
        <f t="shared" si="62"/>
        <v>300</v>
      </c>
      <c r="AS31" s="2">
        <f t="shared" si="62"/>
        <v>80</v>
      </c>
      <c r="AT31" s="25"/>
      <c r="AU31" s="2" t="str">
        <f t="shared" ref="AU31:AU42" si="63">AM31</f>
        <v>T1低1</v>
      </c>
      <c r="AV31" s="2">
        <f t="shared" ref="AV31:BA42" si="64">VLOOKUP($AM31,轻坦单发_阶段属性,MATCH(AV$30,属性标头_阶段属性,0),FALSE)</f>
        <v>600</v>
      </c>
      <c r="AW31" s="2">
        <f t="shared" si="64"/>
        <v>182</v>
      </c>
      <c r="AX31" s="2">
        <f t="shared" si="64"/>
        <v>357</v>
      </c>
      <c r="AY31" s="2">
        <f t="shared" si="64"/>
        <v>143</v>
      </c>
      <c r="AZ31" s="2">
        <f t="shared" si="64"/>
        <v>300</v>
      </c>
      <c r="BA31" s="2">
        <f t="shared" si="64"/>
        <v>80</v>
      </c>
      <c r="BB31" s="25"/>
      <c r="BC31" s="2" t="str">
        <f t="shared" ref="BC31:BC42" si="65">AU31</f>
        <v>T1低1</v>
      </c>
      <c r="BD31" s="2">
        <f t="shared" ref="BD31:BI42" si="66">VLOOKUP($BC31,中坦弹夹_阶段属性,MATCH(BD$30,属性标头_阶段属性,0),FALSE)</f>
        <v>632</v>
      </c>
      <c r="BE31" s="2">
        <f t="shared" si="66"/>
        <v>79</v>
      </c>
      <c r="BF31" s="2">
        <f t="shared" si="66"/>
        <v>286</v>
      </c>
      <c r="BG31" s="2">
        <f t="shared" si="66"/>
        <v>129</v>
      </c>
      <c r="BH31" s="2">
        <f t="shared" si="66"/>
        <v>360</v>
      </c>
      <c r="BI31" s="2">
        <f t="shared" si="66"/>
        <v>84</v>
      </c>
      <c r="BK31" s="2" t="str">
        <f t="shared" ref="BK31:BK42" si="67">BC31</f>
        <v>T1低1</v>
      </c>
      <c r="BL31" s="2">
        <f t="shared" ref="BL31:BQ42" si="68">VLOOKUP($BK31,中坦自动_阶段属性,MATCH(BL$30,属性标头_阶段属性,0),FALSE)</f>
        <v>632</v>
      </c>
      <c r="BM31" s="2">
        <f t="shared" si="68"/>
        <v>97</v>
      </c>
      <c r="BN31" s="2">
        <f t="shared" si="68"/>
        <v>329</v>
      </c>
      <c r="BO31" s="2">
        <f t="shared" si="68"/>
        <v>148</v>
      </c>
      <c r="BP31" s="2">
        <f t="shared" si="68"/>
        <v>360</v>
      </c>
      <c r="BQ31" s="2">
        <f t="shared" si="68"/>
        <v>84</v>
      </c>
      <c r="BS31" s="2" t="str">
        <f t="shared" ref="BS31:BS42" si="69">BK31</f>
        <v>T1低1</v>
      </c>
      <c r="BT31" s="2">
        <f t="shared" ref="BT31:BY42" si="70">VLOOKUP($BS31,重坦自动_阶段属性,MATCH(BT$30,属性标头_阶段属性,0),FALSE)</f>
        <v>683</v>
      </c>
      <c r="BU31" s="2">
        <f t="shared" si="70"/>
        <v>311</v>
      </c>
      <c r="BV31" s="2">
        <f t="shared" si="70"/>
        <v>114</v>
      </c>
      <c r="BW31" s="2">
        <f t="shared" si="70"/>
        <v>286</v>
      </c>
      <c r="BX31" s="2">
        <f t="shared" si="70"/>
        <v>420</v>
      </c>
      <c r="BY31" s="2">
        <f t="shared" si="70"/>
        <v>91</v>
      </c>
      <c r="CA31" s="2" t="str">
        <f>BS31</f>
        <v>T1低1</v>
      </c>
      <c r="CB31" s="2">
        <f t="shared" ref="CB31:CG42" si="71">VLOOKUP($CA31,重坦单发_阶段属性,MATCH(CB$30,属性标头_阶段属性,0),FALSE)</f>
        <v>683</v>
      </c>
      <c r="CC31" s="2">
        <f t="shared" si="71"/>
        <v>415</v>
      </c>
      <c r="CD31" s="2">
        <f t="shared" si="71"/>
        <v>126</v>
      </c>
      <c r="CE31" s="2">
        <f t="shared" si="71"/>
        <v>314</v>
      </c>
      <c r="CF31" s="2">
        <f t="shared" si="71"/>
        <v>420</v>
      </c>
      <c r="CG31" s="2">
        <f t="shared" si="71"/>
        <v>91</v>
      </c>
      <c r="CH31" s="25"/>
    </row>
    <row r="32" spans="2:86" x14ac:dyDescent="0.3">
      <c r="B32" s="2">
        <v>5</v>
      </c>
      <c r="C32" s="2" t="s">
        <v>798</v>
      </c>
      <c r="D32" s="2">
        <v>5</v>
      </c>
      <c r="F32" s="2">
        <v>5</v>
      </c>
      <c r="G32" s="2" t="s">
        <v>624</v>
      </c>
      <c r="H32" s="2">
        <v>5</v>
      </c>
      <c r="AB32" s="25"/>
      <c r="AC32" s="25"/>
      <c r="AE32" s="2" t="str">
        <f t="shared" ref="AE32:AE42" si="72">F14</f>
        <v>T2低2</v>
      </c>
      <c r="AF32" s="2">
        <f t="shared" si="60"/>
        <v>944</v>
      </c>
      <c r="AG32" s="2">
        <f t="shared" si="60"/>
        <v>104</v>
      </c>
      <c r="AH32" s="2">
        <f t="shared" si="60"/>
        <v>360</v>
      </c>
      <c r="AI32" s="2">
        <f t="shared" si="60"/>
        <v>144</v>
      </c>
      <c r="AJ32" s="2">
        <f t="shared" si="60"/>
        <v>360</v>
      </c>
      <c r="AK32" s="2">
        <f t="shared" si="60"/>
        <v>96</v>
      </c>
      <c r="AL32" s="25"/>
      <c r="AM32" s="2" t="str">
        <f t="shared" si="61"/>
        <v>T2低2</v>
      </c>
      <c r="AN32" s="2">
        <f t="shared" si="62"/>
        <v>944</v>
      </c>
      <c r="AO32" s="2">
        <f t="shared" si="62"/>
        <v>57</v>
      </c>
      <c r="AP32" s="2">
        <f t="shared" si="62"/>
        <v>394</v>
      </c>
      <c r="AQ32" s="2">
        <f t="shared" si="62"/>
        <v>158</v>
      </c>
      <c r="AR32" s="2">
        <f t="shared" si="62"/>
        <v>360</v>
      </c>
      <c r="AS32" s="2">
        <f t="shared" si="62"/>
        <v>96</v>
      </c>
      <c r="AT32" s="25"/>
      <c r="AU32" s="2" t="str">
        <f t="shared" si="63"/>
        <v>T2低2</v>
      </c>
      <c r="AV32" s="2">
        <f t="shared" si="64"/>
        <v>944</v>
      </c>
      <c r="AW32" s="2">
        <f t="shared" si="64"/>
        <v>218</v>
      </c>
      <c r="AX32" s="2">
        <f t="shared" si="64"/>
        <v>429</v>
      </c>
      <c r="AY32" s="2">
        <f t="shared" si="64"/>
        <v>171</v>
      </c>
      <c r="AZ32" s="2">
        <f t="shared" si="64"/>
        <v>360</v>
      </c>
      <c r="BA32" s="2">
        <f t="shared" si="64"/>
        <v>96</v>
      </c>
      <c r="BB32" s="25"/>
      <c r="BC32" s="2" t="str">
        <f t="shared" si="65"/>
        <v>T2低2</v>
      </c>
      <c r="BD32" s="2">
        <f t="shared" si="66"/>
        <v>995</v>
      </c>
      <c r="BE32" s="2">
        <f t="shared" si="66"/>
        <v>95</v>
      </c>
      <c r="BF32" s="2">
        <f t="shared" si="66"/>
        <v>343</v>
      </c>
      <c r="BG32" s="2">
        <f t="shared" si="66"/>
        <v>154</v>
      </c>
      <c r="BH32" s="2">
        <f t="shared" si="66"/>
        <v>432</v>
      </c>
      <c r="BI32" s="2">
        <f t="shared" si="66"/>
        <v>101</v>
      </c>
      <c r="BK32" s="2" t="str">
        <f t="shared" si="67"/>
        <v>T2低2</v>
      </c>
      <c r="BL32" s="2">
        <f t="shared" si="68"/>
        <v>995</v>
      </c>
      <c r="BM32" s="2">
        <f t="shared" si="68"/>
        <v>116</v>
      </c>
      <c r="BN32" s="2">
        <f t="shared" si="68"/>
        <v>394</v>
      </c>
      <c r="BO32" s="2">
        <f t="shared" si="68"/>
        <v>177</v>
      </c>
      <c r="BP32" s="2">
        <f t="shared" si="68"/>
        <v>432</v>
      </c>
      <c r="BQ32" s="2">
        <f t="shared" si="68"/>
        <v>101</v>
      </c>
      <c r="BS32" s="2" t="str">
        <f t="shared" si="69"/>
        <v>T2低2</v>
      </c>
      <c r="BT32" s="2">
        <f t="shared" si="70"/>
        <v>1074</v>
      </c>
      <c r="BU32" s="2">
        <f t="shared" si="70"/>
        <v>373</v>
      </c>
      <c r="BV32" s="2">
        <f t="shared" si="70"/>
        <v>137</v>
      </c>
      <c r="BW32" s="2">
        <f t="shared" si="70"/>
        <v>343</v>
      </c>
      <c r="BX32" s="2">
        <f t="shared" si="70"/>
        <v>504</v>
      </c>
      <c r="BY32" s="2">
        <f t="shared" si="70"/>
        <v>109</v>
      </c>
      <c r="CA32" s="2" t="str">
        <f t="shared" ref="CA32:CA42" si="73">BS32</f>
        <v>T2低2</v>
      </c>
      <c r="CB32" s="2">
        <f t="shared" si="71"/>
        <v>1074</v>
      </c>
      <c r="CC32" s="2">
        <f t="shared" si="71"/>
        <v>498</v>
      </c>
      <c r="CD32" s="2">
        <f t="shared" si="71"/>
        <v>151</v>
      </c>
      <c r="CE32" s="2">
        <f t="shared" si="71"/>
        <v>377</v>
      </c>
      <c r="CF32" s="2">
        <f t="shared" si="71"/>
        <v>504</v>
      </c>
      <c r="CG32" s="2">
        <f t="shared" si="71"/>
        <v>109</v>
      </c>
      <c r="CH32" s="25"/>
    </row>
    <row r="33" spans="2:86" x14ac:dyDescent="0.3">
      <c r="AE33" s="2" t="str">
        <f t="shared" si="72"/>
        <v>T2中2</v>
      </c>
      <c r="AF33" s="2">
        <f t="shared" si="60"/>
        <v>976</v>
      </c>
      <c r="AG33" s="2">
        <f t="shared" si="60"/>
        <v>106</v>
      </c>
      <c r="AH33" s="2">
        <f t="shared" si="60"/>
        <v>366</v>
      </c>
      <c r="AI33" s="2">
        <f t="shared" si="60"/>
        <v>146</v>
      </c>
      <c r="AJ33" s="2">
        <f t="shared" si="60"/>
        <v>366</v>
      </c>
      <c r="AK33" s="2">
        <f t="shared" si="60"/>
        <v>98</v>
      </c>
      <c r="AL33" s="25"/>
      <c r="AM33" s="2" t="str">
        <f t="shared" si="61"/>
        <v>T2中2</v>
      </c>
      <c r="AN33" s="2">
        <f t="shared" si="62"/>
        <v>976</v>
      </c>
      <c r="AO33" s="2">
        <f t="shared" si="62"/>
        <v>58</v>
      </c>
      <c r="AP33" s="2">
        <f t="shared" si="62"/>
        <v>401</v>
      </c>
      <c r="AQ33" s="2">
        <f t="shared" si="62"/>
        <v>160</v>
      </c>
      <c r="AR33" s="2">
        <f t="shared" si="62"/>
        <v>366</v>
      </c>
      <c r="AS33" s="2">
        <f t="shared" si="62"/>
        <v>98</v>
      </c>
      <c r="AT33" s="25"/>
      <c r="AU33" s="2" t="str">
        <f t="shared" si="63"/>
        <v>T2中2</v>
      </c>
      <c r="AV33" s="2">
        <f t="shared" si="64"/>
        <v>976</v>
      </c>
      <c r="AW33" s="2">
        <f t="shared" si="64"/>
        <v>222</v>
      </c>
      <c r="AX33" s="2">
        <f t="shared" si="64"/>
        <v>436</v>
      </c>
      <c r="AY33" s="2">
        <f t="shared" si="64"/>
        <v>174</v>
      </c>
      <c r="AZ33" s="2">
        <f t="shared" si="64"/>
        <v>366</v>
      </c>
      <c r="BA33" s="2">
        <f t="shared" si="64"/>
        <v>98</v>
      </c>
      <c r="BB33" s="25"/>
      <c r="BC33" s="2" t="str">
        <f t="shared" si="65"/>
        <v>T2中2</v>
      </c>
      <c r="BD33" s="2">
        <f t="shared" si="66"/>
        <v>1028</v>
      </c>
      <c r="BE33" s="2">
        <f t="shared" si="66"/>
        <v>97</v>
      </c>
      <c r="BF33" s="2">
        <f t="shared" si="66"/>
        <v>349</v>
      </c>
      <c r="BG33" s="2">
        <f t="shared" si="66"/>
        <v>157</v>
      </c>
      <c r="BH33" s="2">
        <f t="shared" si="66"/>
        <v>439</v>
      </c>
      <c r="BI33" s="2">
        <f t="shared" si="66"/>
        <v>103</v>
      </c>
      <c r="BK33" s="2" t="str">
        <f t="shared" si="67"/>
        <v>T2中2</v>
      </c>
      <c r="BL33" s="2">
        <f t="shared" si="68"/>
        <v>1028</v>
      </c>
      <c r="BM33" s="2">
        <f t="shared" si="68"/>
        <v>118</v>
      </c>
      <c r="BN33" s="2">
        <f t="shared" si="68"/>
        <v>401</v>
      </c>
      <c r="BO33" s="2">
        <f t="shared" si="68"/>
        <v>180</v>
      </c>
      <c r="BP33" s="2">
        <f t="shared" si="68"/>
        <v>439</v>
      </c>
      <c r="BQ33" s="2">
        <f t="shared" si="68"/>
        <v>103</v>
      </c>
      <c r="BS33" s="2" t="str">
        <f t="shared" si="69"/>
        <v>T2中2</v>
      </c>
      <c r="BT33" s="2">
        <f t="shared" si="70"/>
        <v>1110</v>
      </c>
      <c r="BU33" s="2">
        <f t="shared" si="70"/>
        <v>379</v>
      </c>
      <c r="BV33" s="2">
        <f t="shared" si="70"/>
        <v>139</v>
      </c>
      <c r="BW33" s="2">
        <f t="shared" si="70"/>
        <v>349</v>
      </c>
      <c r="BX33" s="2">
        <f t="shared" si="70"/>
        <v>512</v>
      </c>
      <c r="BY33" s="2">
        <f t="shared" si="70"/>
        <v>111</v>
      </c>
      <c r="CA33" s="2" t="str">
        <f t="shared" si="73"/>
        <v>T2中2</v>
      </c>
      <c r="CB33" s="2">
        <f t="shared" si="71"/>
        <v>1110</v>
      </c>
      <c r="CC33" s="2">
        <f t="shared" si="71"/>
        <v>506</v>
      </c>
      <c r="CD33" s="2">
        <f t="shared" si="71"/>
        <v>153</v>
      </c>
      <c r="CE33" s="2">
        <f t="shared" si="71"/>
        <v>383</v>
      </c>
      <c r="CF33" s="2">
        <f t="shared" si="71"/>
        <v>512</v>
      </c>
      <c r="CG33" s="2">
        <f t="shared" si="71"/>
        <v>111</v>
      </c>
      <c r="CH33" s="25"/>
    </row>
    <row r="34" spans="2:86" x14ac:dyDescent="0.3">
      <c r="B34" s="352" t="s">
        <v>817</v>
      </c>
      <c r="C34" s="353"/>
      <c r="D34" s="353"/>
      <c r="E34" s="353"/>
      <c r="F34" s="353"/>
      <c r="G34" s="354"/>
      <c r="AE34" s="2" t="str">
        <f t="shared" si="72"/>
        <v>T3低3</v>
      </c>
      <c r="AF34" s="2">
        <f t="shared" si="60"/>
        <v>1184</v>
      </c>
      <c r="AG34" s="2">
        <f t="shared" si="60"/>
        <v>129</v>
      </c>
      <c r="AH34" s="2">
        <f t="shared" si="60"/>
        <v>444</v>
      </c>
      <c r="AI34" s="2">
        <f t="shared" si="60"/>
        <v>178</v>
      </c>
      <c r="AJ34" s="2">
        <f t="shared" si="60"/>
        <v>444</v>
      </c>
      <c r="AK34" s="2">
        <f t="shared" si="60"/>
        <v>118</v>
      </c>
      <c r="AL34" s="25"/>
      <c r="AM34" s="2" t="str">
        <f t="shared" si="61"/>
        <v>T3低3</v>
      </c>
      <c r="AN34" s="2">
        <f t="shared" si="62"/>
        <v>1184</v>
      </c>
      <c r="AO34" s="2">
        <f t="shared" si="62"/>
        <v>70</v>
      </c>
      <c r="AP34" s="2">
        <f t="shared" si="62"/>
        <v>486</v>
      </c>
      <c r="AQ34" s="2">
        <f t="shared" si="62"/>
        <v>195</v>
      </c>
      <c r="AR34" s="2">
        <f t="shared" si="62"/>
        <v>444</v>
      </c>
      <c r="AS34" s="2">
        <f t="shared" si="62"/>
        <v>118</v>
      </c>
      <c r="AT34" s="25"/>
      <c r="AU34" s="2" t="str">
        <f t="shared" si="63"/>
        <v>T3低3</v>
      </c>
      <c r="AV34" s="2">
        <f t="shared" si="64"/>
        <v>1184</v>
      </c>
      <c r="AW34" s="2">
        <f t="shared" si="64"/>
        <v>269</v>
      </c>
      <c r="AX34" s="2">
        <f t="shared" si="64"/>
        <v>529</v>
      </c>
      <c r="AY34" s="2">
        <f t="shared" si="64"/>
        <v>211</v>
      </c>
      <c r="AZ34" s="2">
        <f t="shared" si="64"/>
        <v>444</v>
      </c>
      <c r="BA34" s="2">
        <f t="shared" si="64"/>
        <v>118</v>
      </c>
      <c r="BB34" s="25"/>
      <c r="BC34" s="2" t="str">
        <f t="shared" si="65"/>
        <v>T3低3</v>
      </c>
      <c r="BD34" s="2">
        <f t="shared" si="66"/>
        <v>1248</v>
      </c>
      <c r="BE34" s="2">
        <f t="shared" si="66"/>
        <v>118</v>
      </c>
      <c r="BF34" s="2">
        <f t="shared" si="66"/>
        <v>423</v>
      </c>
      <c r="BG34" s="2">
        <f t="shared" si="66"/>
        <v>190</v>
      </c>
      <c r="BH34" s="2">
        <f t="shared" si="66"/>
        <v>533</v>
      </c>
      <c r="BI34" s="2">
        <f t="shared" si="66"/>
        <v>125</v>
      </c>
      <c r="BK34" s="2" t="str">
        <f t="shared" si="67"/>
        <v>T3低3</v>
      </c>
      <c r="BL34" s="2">
        <f t="shared" si="68"/>
        <v>1248</v>
      </c>
      <c r="BM34" s="2">
        <f t="shared" si="68"/>
        <v>143</v>
      </c>
      <c r="BN34" s="2">
        <f t="shared" si="68"/>
        <v>486</v>
      </c>
      <c r="BO34" s="2">
        <f t="shared" si="68"/>
        <v>219</v>
      </c>
      <c r="BP34" s="2">
        <f t="shared" si="68"/>
        <v>533</v>
      </c>
      <c r="BQ34" s="2">
        <f t="shared" si="68"/>
        <v>125</v>
      </c>
      <c r="BS34" s="2" t="str">
        <f t="shared" si="69"/>
        <v>T3低3</v>
      </c>
      <c r="BT34" s="2">
        <f t="shared" si="70"/>
        <v>1347</v>
      </c>
      <c r="BU34" s="2">
        <f t="shared" si="70"/>
        <v>460</v>
      </c>
      <c r="BV34" s="2">
        <f t="shared" si="70"/>
        <v>169</v>
      </c>
      <c r="BW34" s="2">
        <f t="shared" si="70"/>
        <v>423</v>
      </c>
      <c r="BX34" s="2">
        <f t="shared" si="70"/>
        <v>622</v>
      </c>
      <c r="BY34" s="2">
        <f t="shared" si="70"/>
        <v>135</v>
      </c>
      <c r="CA34" s="2" t="str">
        <f t="shared" si="73"/>
        <v>T3低3</v>
      </c>
      <c r="CB34" s="2">
        <f t="shared" si="71"/>
        <v>1347</v>
      </c>
      <c r="CC34" s="2">
        <f t="shared" si="71"/>
        <v>614</v>
      </c>
      <c r="CD34" s="2">
        <f t="shared" si="71"/>
        <v>186</v>
      </c>
      <c r="CE34" s="2">
        <f t="shared" si="71"/>
        <v>465</v>
      </c>
      <c r="CF34" s="2">
        <f t="shared" si="71"/>
        <v>622</v>
      </c>
      <c r="CG34" s="2">
        <f t="shared" si="71"/>
        <v>135</v>
      </c>
      <c r="CH34" s="25"/>
    </row>
    <row r="35" spans="2:86" x14ac:dyDescent="0.3">
      <c r="B35" s="2" t="s">
        <v>71</v>
      </c>
      <c r="C35" s="2" t="s">
        <v>122</v>
      </c>
      <c r="D35" s="2" t="s">
        <v>137</v>
      </c>
      <c r="E35" s="2" t="s">
        <v>138</v>
      </c>
      <c r="F35" s="2" t="s">
        <v>124</v>
      </c>
      <c r="G35" s="2" t="s">
        <v>762</v>
      </c>
      <c r="AE35" s="2" t="str">
        <f t="shared" si="72"/>
        <v>T3中3</v>
      </c>
      <c r="AF35" s="2">
        <f t="shared" si="60"/>
        <v>1232</v>
      </c>
      <c r="AG35" s="2">
        <f t="shared" si="60"/>
        <v>134</v>
      </c>
      <c r="AH35" s="2">
        <f t="shared" si="60"/>
        <v>462</v>
      </c>
      <c r="AI35" s="2">
        <f t="shared" si="60"/>
        <v>185</v>
      </c>
      <c r="AJ35" s="2">
        <f t="shared" si="60"/>
        <v>462</v>
      </c>
      <c r="AK35" s="2">
        <f t="shared" si="60"/>
        <v>123</v>
      </c>
      <c r="AL35" s="25"/>
      <c r="AM35" s="2" t="str">
        <f t="shared" si="61"/>
        <v>T3中3</v>
      </c>
      <c r="AN35" s="2">
        <f t="shared" si="62"/>
        <v>1232</v>
      </c>
      <c r="AO35" s="2">
        <f t="shared" si="62"/>
        <v>73</v>
      </c>
      <c r="AP35" s="2">
        <f t="shared" si="62"/>
        <v>506</v>
      </c>
      <c r="AQ35" s="2">
        <f t="shared" si="62"/>
        <v>202</v>
      </c>
      <c r="AR35" s="2">
        <f t="shared" si="62"/>
        <v>462</v>
      </c>
      <c r="AS35" s="2">
        <f t="shared" si="62"/>
        <v>123</v>
      </c>
      <c r="AT35" s="25"/>
      <c r="AU35" s="2" t="str">
        <f t="shared" si="63"/>
        <v>T3中3</v>
      </c>
      <c r="AV35" s="2">
        <f t="shared" si="64"/>
        <v>1232</v>
      </c>
      <c r="AW35" s="2">
        <f t="shared" si="64"/>
        <v>280</v>
      </c>
      <c r="AX35" s="2">
        <f t="shared" si="64"/>
        <v>550</v>
      </c>
      <c r="AY35" s="2">
        <f t="shared" si="64"/>
        <v>220</v>
      </c>
      <c r="AZ35" s="2">
        <f t="shared" si="64"/>
        <v>462</v>
      </c>
      <c r="BA35" s="2">
        <f t="shared" si="64"/>
        <v>123</v>
      </c>
      <c r="BB35" s="25"/>
      <c r="BC35" s="2" t="str">
        <f t="shared" si="65"/>
        <v>T3中3</v>
      </c>
      <c r="BD35" s="2">
        <f t="shared" si="66"/>
        <v>1298</v>
      </c>
      <c r="BE35" s="2">
        <f t="shared" si="66"/>
        <v>122</v>
      </c>
      <c r="BF35" s="2">
        <f t="shared" si="66"/>
        <v>440</v>
      </c>
      <c r="BG35" s="2">
        <f t="shared" si="66"/>
        <v>198</v>
      </c>
      <c r="BH35" s="2">
        <f t="shared" si="66"/>
        <v>554</v>
      </c>
      <c r="BI35" s="2">
        <f t="shared" si="66"/>
        <v>130</v>
      </c>
      <c r="BK35" s="2" t="str">
        <f t="shared" si="67"/>
        <v>T3中3</v>
      </c>
      <c r="BL35" s="2">
        <f t="shared" si="68"/>
        <v>1298</v>
      </c>
      <c r="BM35" s="2">
        <f t="shared" si="68"/>
        <v>149</v>
      </c>
      <c r="BN35" s="2">
        <f t="shared" si="68"/>
        <v>506</v>
      </c>
      <c r="BO35" s="2">
        <f t="shared" si="68"/>
        <v>228</v>
      </c>
      <c r="BP35" s="2">
        <f t="shared" si="68"/>
        <v>554</v>
      </c>
      <c r="BQ35" s="2">
        <f t="shared" si="68"/>
        <v>130</v>
      </c>
      <c r="BS35" s="2" t="str">
        <f t="shared" si="69"/>
        <v>T3中3</v>
      </c>
      <c r="BT35" s="2">
        <f t="shared" si="70"/>
        <v>1402</v>
      </c>
      <c r="BU35" s="2">
        <f t="shared" si="70"/>
        <v>478</v>
      </c>
      <c r="BV35" s="2">
        <f t="shared" si="70"/>
        <v>176</v>
      </c>
      <c r="BW35" s="2">
        <f t="shared" si="70"/>
        <v>440</v>
      </c>
      <c r="BX35" s="2">
        <f t="shared" si="70"/>
        <v>647</v>
      </c>
      <c r="BY35" s="2">
        <f t="shared" si="70"/>
        <v>140</v>
      </c>
      <c r="CA35" s="2" t="str">
        <f t="shared" si="73"/>
        <v>T3中3</v>
      </c>
      <c r="CB35" s="2">
        <f t="shared" si="71"/>
        <v>1402</v>
      </c>
      <c r="CC35" s="2">
        <f t="shared" si="71"/>
        <v>639</v>
      </c>
      <c r="CD35" s="2">
        <f t="shared" si="71"/>
        <v>194</v>
      </c>
      <c r="CE35" s="2">
        <f t="shared" si="71"/>
        <v>484</v>
      </c>
      <c r="CF35" s="2">
        <f t="shared" si="71"/>
        <v>647</v>
      </c>
      <c r="CG35" s="2">
        <f t="shared" si="71"/>
        <v>140</v>
      </c>
      <c r="CH35" s="25"/>
    </row>
    <row r="36" spans="2:86" x14ac:dyDescent="0.3">
      <c r="B36" s="2" t="s">
        <v>77</v>
      </c>
      <c r="C36" s="42">
        <f>VLOOKUP(LEFT($B36,2),标准坦克设计!$B$33:$F$36,MATCH(C$35,标准坦克设计!$B$33:$F$33,0),FALSE)</f>
        <v>800</v>
      </c>
      <c r="D36" s="42">
        <f>VLOOKUP($B36,标准坦克设计!$B$39:$H$46,MATCH(D$35,标准坦克设计!$B$39:$H$39,0),FALSE)</f>
        <v>87.014724963936814</v>
      </c>
      <c r="E36" s="42">
        <f>VLOOKUP($B36,标准坦克设计!$B$39:$H$46,MATCH(E$35,标准坦克设计!$B$39:$H$39,0),FALSE)</f>
        <v>300</v>
      </c>
      <c r="F36" s="42">
        <f>VLOOKUP(LEFT($B36,2),标准坦克设计!$B$33:$F$36,MATCH(F$35,标准坦克设计!$B$33:$F$33,0),FALSE)</f>
        <v>300</v>
      </c>
      <c r="G36" s="42">
        <f>C36*基础属性系数!$C$57</f>
        <v>80</v>
      </c>
      <c r="AE36" s="2" t="str">
        <f t="shared" si="72"/>
        <v>T3高3</v>
      </c>
      <c r="AF36" s="2">
        <f t="shared" si="60"/>
        <v>1232</v>
      </c>
      <c r="AG36" s="2">
        <f t="shared" si="60"/>
        <v>134</v>
      </c>
      <c r="AH36" s="2">
        <f t="shared" si="60"/>
        <v>462</v>
      </c>
      <c r="AI36" s="2">
        <f t="shared" si="60"/>
        <v>185</v>
      </c>
      <c r="AJ36" s="2">
        <f t="shared" si="60"/>
        <v>462</v>
      </c>
      <c r="AK36" s="2">
        <f t="shared" si="60"/>
        <v>123</v>
      </c>
      <c r="AL36" s="25"/>
      <c r="AM36" s="2" t="str">
        <f t="shared" si="61"/>
        <v>T3高3</v>
      </c>
      <c r="AN36" s="2">
        <f t="shared" si="62"/>
        <v>1232</v>
      </c>
      <c r="AO36" s="2">
        <f t="shared" si="62"/>
        <v>73</v>
      </c>
      <c r="AP36" s="2">
        <f t="shared" si="62"/>
        <v>506</v>
      </c>
      <c r="AQ36" s="2">
        <f t="shared" si="62"/>
        <v>202</v>
      </c>
      <c r="AR36" s="2">
        <f t="shared" si="62"/>
        <v>462</v>
      </c>
      <c r="AS36" s="2">
        <f t="shared" si="62"/>
        <v>123</v>
      </c>
      <c r="AT36" s="25"/>
      <c r="AU36" s="2" t="str">
        <f t="shared" si="63"/>
        <v>T3高3</v>
      </c>
      <c r="AV36" s="2">
        <f t="shared" si="64"/>
        <v>1232</v>
      </c>
      <c r="AW36" s="2">
        <f t="shared" si="64"/>
        <v>280</v>
      </c>
      <c r="AX36" s="2">
        <f t="shared" si="64"/>
        <v>550</v>
      </c>
      <c r="AY36" s="2">
        <f t="shared" si="64"/>
        <v>220</v>
      </c>
      <c r="AZ36" s="2">
        <f t="shared" si="64"/>
        <v>462</v>
      </c>
      <c r="BA36" s="2">
        <f t="shared" si="64"/>
        <v>123</v>
      </c>
      <c r="BB36" s="25"/>
      <c r="BC36" s="2" t="str">
        <f t="shared" si="65"/>
        <v>T3高3</v>
      </c>
      <c r="BD36" s="2">
        <f t="shared" si="66"/>
        <v>1298</v>
      </c>
      <c r="BE36" s="2">
        <f t="shared" si="66"/>
        <v>122</v>
      </c>
      <c r="BF36" s="2">
        <f t="shared" si="66"/>
        <v>440</v>
      </c>
      <c r="BG36" s="2">
        <f t="shared" si="66"/>
        <v>198</v>
      </c>
      <c r="BH36" s="2">
        <f t="shared" si="66"/>
        <v>554</v>
      </c>
      <c r="BI36" s="2">
        <f t="shared" si="66"/>
        <v>130</v>
      </c>
      <c r="BK36" s="2" t="str">
        <f t="shared" si="67"/>
        <v>T3高3</v>
      </c>
      <c r="BL36" s="2">
        <f t="shared" si="68"/>
        <v>1298</v>
      </c>
      <c r="BM36" s="2">
        <f t="shared" si="68"/>
        <v>149</v>
      </c>
      <c r="BN36" s="2">
        <f t="shared" si="68"/>
        <v>506</v>
      </c>
      <c r="BO36" s="2">
        <f t="shared" si="68"/>
        <v>228</v>
      </c>
      <c r="BP36" s="2">
        <f t="shared" si="68"/>
        <v>554</v>
      </c>
      <c r="BQ36" s="2">
        <f t="shared" si="68"/>
        <v>130</v>
      </c>
      <c r="BS36" s="2" t="str">
        <f t="shared" si="69"/>
        <v>T3高3</v>
      </c>
      <c r="BT36" s="2">
        <f t="shared" si="70"/>
        <v>1402</v>
      </c>
      <c r="BU36" s="2">
        <f t="shared" si="70"/>
        <v>478</v>
      </c>
      <c r="BV36" s="2">
        <f t="shared" si="70"/>
        <v>176</v>
      </c>
      <c r="BW36" s="2">
        <f t="shared" si="70"/>
        <v>440</v>
      </c>
      <c r="BX36" s="2">
        <f t="shared" si="70"/>
        <v>647</v>
      </c>
      <c r="BY36" s="2">
        <f t="shared" si="70"/>
        <v>140</v>
      </c>
      <c r="CA36" s="2" t="str">
        <f t="shared" si="73"/>
        <v>T3高3</v>
      </c>
      <c r="CB36" s="2">
        <f t="shared" si="71"/>
        <v>1402</v>
      </c>
      <c r="CC36" s="2">
        <f t="shared" si="71"/>
        <v>639</v>
      </c>
      <c r="CD36" s="2">
        <f t="shared" si="71"/>
        <v>194</v>
      </c>
      <c r="CE36" s="2">
        <f t="shared" si="71"/>
        <v>484</v>
      </c>
      <c r="CF36" s="2">
        <f t="shared" si="71"/>
        <v>647</v>
      </c>
      <c r="CG36" s="2">
        <f t="shared" si="71"/>
        <v>140</v>
      </c>
      <c r="CH36" s="25"/>
    </row>
    <row r="37" spans="2:86" x14ac:dyDescent="0.3">
      <c r="B37" s="2" t="s">
        <v>78</v>
      </c>
      <c r="C37" s="42">
        <f>VLOOKUP(LEFT($B37,2),标准坦克设计!$B$33:$F$36,MATCH(C$35,标准坦克设计!$B$33:$F$33,0),FALSE)</f>
        <v>800</v>
      </c>
      <c r="D37" s="42">
        <f>VLOOKUP($B37,标准坦克设计!$B$39:$H$46,MATCH(D$35,标准坦克设计!$B$39:$H$39,0),FALSE)</f>
        <v>47.136383957262886</v>
      </c>
      <c r="E37" s="42">
        <f>VLOOKUP($B37,标准坦克设计!$B$39:$H$46,MATCH(E$35,标准坦克设计!$B$39:$H$39,0),FALSE)</f>
        <v>328.57142857142856</v>
      </c>
      <c r="F37" s="42">
        <f>VLOOKUP(LEFT($B37,2),标准坦克设计!$B$33:$F$36,MATCH(F$35,标准坦克设计!$B$33:$F$33,0),FALSE)</f>
        <v>300</v>
      </c>
      <c r="G37" s="42">
        <f>C37*基础属性系数!$C$57</f>
        <v>80</v>
      </c>
      <c r="AE37" s="2" t="str">
        <f t="shared" si="72"/>
        <v>T4低4</v>
      </c>
      <c r="AF37" s="2">
        <f t="shared" si="60"/>
        <v>1536</v>
      </c>
      <c r="AG37" s="2">
        <f t="shared" si="60"/>
        <v>167</v>
      </c>
      <c r="AH37" s="2">
        <f t="shared" si="60"/>
        <v>576</v>
      </c>
      <c r="AI37" s="2">
        <f t="shared" si="60"/>
        <v>230</v>
      </c>
      <c r="AJ37" s="2">
        <f t="shared" si="60"/>
        <v>576</v>
      </c>
      <c r="AK37" s="2">
        <f t="shared" si="60"/>
        <v>154</v>
      </c>
      <c r="AL37" s="25"/>
      <c r="AM37" s="2" t="str">
        <f t="shared" si="61"/>
        <v>T4低4</v>
      </c>
      <c r="AN37" s="2">
        <f t="shared" si="62"/>
        <v>1536</v>
      </c>
      <c r="AO37" s="2">
        <f t="shared" si="62"/>
        <v>91</v>
      </c>
      <c r="AP37" s="2">
        <f t="shared" si="62"/>
        <v>631</v>
      </c>
      <c r="AQ37" s="2">
        <f t="shared" si="62"/>
        <v>252</v>
      </c>
      <c r="AR37" s="2">
        <f t="shared" si="62"/>
        <v>576</v>
      </c>
      <c r="AS37" s="2">
        <f t="shared" si="62"/>
        <v>154</v>
      </c>
      <c r="AT37" s="25"/>
      <c r="AU37" s="2" t="str">
        <f t="shared" si="63"/>
        <v>T4低4</v>
      </c>
      <c r="AV37" s="2">
        <f t="shared" si="64"/>
        <v>1536</v>
      </c>
      <c r="AW37" s="2">
        <f t="shared" si="64"/>
        <v>349</v>
      </c>
      <c r="AX37" s="2">
        <f t="shared" si="64"/>
        <v>686</v>
      </c>
      <c r="AY37" s="2">
        <f t="shared" si="64"/>
        <v>274</v>
      </c>
      <c r="AZ37" s="2">
        <f t="shared" si="64"/>
        <v>576</v>
      </c>
      <c r="BA37" s="2">
        <f t="shared" si="64"/>
        <v>154</v>
      </c>
      <c r="BB37" s="25"/>
      <c r="BC37" s="2" t="str">
        <f t="shared" si="65"/>
        <v>T4低4</v>
      </c>
      <c r="BD37" s="2">
        <f t="shared" si="66"/>
        <v>1619</v>
      </c>
      <c r="BE37" s="2">
        <f t="shared" si="66"/>
        <v>153</v>
      </c>
      <c r="BF37" s="2">
        <f t="shared" si="66"/>
        <v>549</v>
      </c>
      <c r="BG37" s="2">
        <f t="shared" si="66"/>
        <v>247</v>
      </c>
      <c r="BH37" s="2">
        <f t="shared" si="66"/>
        <v>691</v>
      </c>
      <c r="BI37" s="2">
        <f t="shared" si="66"/>
        <v>162</v>
      </c>
      <c r="BK37" s="2" t="str">
        <f t="shared" si="67"/>
        <v>T4低4</v>
      </c>
      <c r="BL37" s="2">
        <f t="shared" si="68"/>
        <v>1619</v>
      </c>
      <c r="BM37" s="2">
        <f t="shared" si="68"/>
        <v>185</v>
      </c>
      <c r="BN37" s="2">
        <f t="shared" si="68"/>
        <v>631</v>
      </c>
      <c r="BO37" s="2">
        <f t="shared" si="68"/>
        <v>284</v>
      </c>
      <c r="BP37" s="2">
        <f t="shared" si="68"/>
        <v>691</v>
      </c>
      <c r="BQ37" s="2">
        <f t="shared" si="68"/>
        <v>162</v>
      </c>
      <c r="BS37" s="2" t="str">
        <f t="shared" si="69"/>
        <v>T4低4</v>
      </c>
      <c r="BT37" s="2">
        <f t="shared" si="70"/>
        <v>1748</v>
      </c>
      <c r="BU37" s="2">
        <f t="shared" si="70"/>
        <v>596</v>
      </c>
      <c r="BV37" s="2">
        <f t="shared" si="70"/>
        <v>219</v>
      </c>
      <c r="BW37" s="2">
        <f t="shared" si="70"/>
        <v>549</v>
      </c>
      <c r="BX37" s="2">
        <f t="shared" si="70"/>
        <v>806</v>
      </c>
      <c r="BY37" s="2">
        <f t="shared" si="70"/>
        <v>175</v>
      </c>
      <c r="CA37" s="2" t="str">
        <f t="shared" si="73"/>
        <v>T4低4</v>
      </c>
      <c r="CB37" s="2">
        <f t="shared" si="71"/>
        <v>1748</v>
      </c>
      <c r="CC37" s="2">
        <f t="shared" si="71"/>
        <v>796</v>
      </c>
      <c r="CD37" s="2">
        <f t="shared" si="71"/>
        <v>241</v>
      </c>
      <c r="CE37" s="2">
        <f t="shared" si="71"/>
        <v>603</v>
      </c>
      <c r="CF37" s="2">
        <f t="shared" si="71"/>
        <v>806</v>
      </c>
      <c r="CG37" s="2">
        <f t="shared" si="71"/>
        <v>175</v>
      </c>
      <c r="CH37" s="25"/>
    </row>
    <row r="38" spans="2:86" x14ac:dyDescent="0.3">
      <c r="B38" s="2" t="s">
        <v>79</v>
      </c>
      <c r="C38" s="42">
        <f>VLOOKUP(LEFT($B38,2),标准坦克设计!$B$33:$F$36,MATCH(C$35,标准坦克设计!$B$33:$F$33,0),FALSE)</f>
        <v>800</v>
      </c>
      <c r="D38" s="42">
        <f>VLOOKUP($B38,标准坦克设计!$B$39:$H$46,MATCH(D$35,标准坦克设计!$B$39:$H$39,0),FALSE)</f>
        <v>181.69341155253699</v>
      </c>
      <c r="E38" s="42">
        <f>VLOOKUP($B38,标准坦克设计!$B$39:$H$46,MATCH(E$35,标准坦克设计!$B$39:$H$39,0),FALSE)</f>
        <v>357.14285714285717</v>
      </c>
      <c r="F38" s="42">
        <f>VLOOKUP(LEFT($B38,2),标准坦克设计!$B$33:$F$36,MATCH(F$35,标准坦克设计!$B$33:$F$33,0),FALSE)</f>
        <v>300</v>
      </c>
      <c r="G38" s="42">
        <f>C38*基础属性系数!$C$57</f>
        <v>80</v>
      </c>
      <c r="AE38" s="2" t="str">
        <f t="shared" si="72"/>
        <v>T4中4</v>
      </c>
      <c r="AF38" s="2">
        <f t="shared" si="60"/>
        <v>1600</v>
      </c>
      <c r="AG38" s="2">
        <f t="shared" si="60"/>
        <v>174</v>
      </c>
      <c r="AH38" s="2">
        <f t="shared" si="60"/>
        <v>600</v>
      </c>
      <c r="AI38" s="2">
        <f t="shared" si="60"/>
        <v>240</v>
      </c>
      <c r="AJ38" s="2">
        <f t="shared" si="60"/>
        <v>600</v>
      </c>
      <c r="AK38" s="2">
        <f t="shared" si="60"/>
        <v>160</v>
      </c>
      <c r="AL38" s="25"/>
      <c r="AM38" s="2" t="str">
        <f t="shared" si="61"/>
        <v>T4中4</v>
      </c>
      <c r="AN38" s="2">
        <f t="shared" si="62"/>
        <v>1600</v>
      </c>
      <c r="AO38" s="2">
        <f t="shared" si="62"/>
        <v>94</v>
      </c>
      <c r="AP38" s="2">
        <f t="shared" si="62"/>
        <v>657</v>
      </c>
      <c r="AQ38" s="2">
        <f t="shared" si="62"/>
        <v>263</v>
      </c>
      <c r="AR38" s="2">
        <f t="shared" si="62"/>
        <v>600</v>
      </c>
      <c r="AS38" s="2">
        <f t="shared" si="62"/>
        <v>160</v>
      </c>
      <c r="AT38" s="25"/>
      <c r="AU38" s="2" t="str">
        <f t="shared" si="63"/>
        <v>T4中4</v>
      </c>
      <c r="AV38" s="2">
        <f t="shared" si="64"/>
        <v>1600</v>
      </c>
      <c r="AW38" s="2">
        <f t="shared" si="64"/>
        <v>363</v>
      </c>
      <c r="AX38" s="2">
        <f t="shared" si="64"/>
        <v>714</v>
      </c>
      <c r="AY38" s="2">
        <f t="shared" si="64"/>
        <v>286</v>
      </c>
      <c r="AZ38" s="2">
        <f t="shared" si="64"/>
        <v>600</v>
      </c>
      <c r="BA38" s="2">
        <f t="shared" si="64"/>
        <v>160</v>
      </c>
      <c r="BB38" s="25"/>
      <c r="BC38" s="2" t="str">
        <f t="shared" si="65"/>
        <v>T4中4</v>
      </c>
      <c r="BD38" s="2">
        <f t="shared" si="66"/>
        <v>1686</v>
      </c>
      <c r="BE38" s="2">
        <f t="shared" si="66"/>
        <v>159</v>
      </c>
      <c r="BF38" s="2">
        <f t="shared" si="66"/>
        <v>571</v>
      </c>
      <c r="BG38" s="2">
        <f t="shared" si="66"/>
        <v>257</v>
      </c>
      <c r="BH38" s="2">
        <f t="shared" si="66"/>
        <v>720</v>
      </c>
      <c r="BI38" s="2">
        <f t="shared" si="66"/>
        <v>169</v>
      </c>
      <c r="BK38" s="2" t="str">
        <f t="shared" si="67"/>
        <v>T4中4</v>
      </c>
      <c r="BL38" s="2">
        <f t="shared" si="68"/>
        <v>1686</v>
      </c>
      <c r="BM38" s="2">
        <f t="shared" si="68"/>
        <v>193</v>
      </c>
      <c r="BN38" s="2">
        <f t="shared" si="68"/>
        <v>657</v>
      </c>
      <c r="BO38" s="2">
        <f t="shared" si="68"/>
        <v>296</v>
      </c>
      <c r="BP38" s="2">
        <f t="shared" si="68"/>
        <v>720</v>
      </c>
      <c r="BQ38" s="2">
        <f t="shared" si="68"/>
        <v>169</v>
      </c>
      <c r="BS38" s="2" t="str">
        <f t="shared" si="69"/>
        <v>T4中4</v>
      </c>
      <c r="BT38" s="2">
        <f t="shared" si="70"/>
        <v>1820</v>
      </c>
      <c r="BU38" s="2">
        <f t="shared" si="70"/>
        <v>621</v>
      </c>
      <c r="BV38" s="2">
        <f t="shared" si="70"/>
        <v>229</v>
      </c>
      <c r="BW38" s="2">
        <f t="shared" si="70"/>
        <v>571</v>
      </c>
      <c r="BX38" s="2">
        <f t="shared" si="70"/>
        <v>840</v>
      </c>
      <c r="BY38" s="2">
        <f t="shared" si="70"/>
        <v>182</v>
      </c>
      <c r="CA38" s="2" t="str">
        <f t="shared" si="73"/>
        <v>T4中4</v>
      </c>
      <c r="CB38" s="2">
        <f t="shared" si="71"/>
        <v>1820</v>
      </c>
      <c r="CC38" s="2">
        <f t="shared" si="71"/>
        <v>829</v>
      </c>
      <c r="CD38" s="2">
        <f t="shared" si="71"/>
        <v>251</v>
      </c>
      <c r="CE38" s="2">
        <f t="shared" si="71"/>
        <v>629</v>
      </c>
      <c r="CF38" s="2">
        <f t="shared" si="71"/>
        <v>840</v>
      </c>
      <c r="CG38" s="2">
        <f t="shared" si="71"/>
        <v>182</v>
      </c>
      <c r="CH38" s="25"/>
    </row>
    <row r="39" spans="2:86" x14ac:dyDescent="0.3">
      <c r="B39" s="2" t="s">
        <v>80</v>
      </c>
      <c r="C39" s="42">
        <f>VLOOKUP(LEFT($B39,2),标准坦克设计!$B$33:$F$36,MATCH(C$35,标准坦克设计!$B$33:$F$33,0),FALSE)</f>
        <v>842.97092134600007</v>
      </c>
      <c r="D39" s="42">
        <f>VLOOKUP($B39,标准坦克设计!$B$39:$H$46,MATCH(D$35,标准坦克设计!$B$39:$H$39,0),FALSE)</f>
        <v>79.47294491793599</v>
      </c>
      <c r="E39" s="42">
        <f>VLOOKUP($B39,标准坦克设计!$B$39:$H$46,MATCH(E$35,标准坦克设计!$B$39:$H$39,0),FALSE)</f>
        <v>285.71428571428572</v>
      </c>
      <c r="F39" s="42">
        <f>VLOOKUP(LEFT($B39,2),标准坦克设计!$B$33:$F$36,MATCH(F$35,标准坦克设计!$B$33:$F$33,0),FALSE)</f>
        <v>360</v>
      </c>
      <c r="G39" s="42">
        <f>C39*基础属性系数!$C$57</f>
        <v>84.297092134600007</v>
      </c>
      <c r="AE39" s="2" t="str">
        <f t="shared" si="72"/>
        <v>T4高4</v>
      </c>
      <c r="AF39" s="2">
        <f t="shared" si="60"/>
        <v>1600</v>
      </c>
      <c r="AG39" s="2">
        <f t="shared" si="60"/>
        <v>174</v>
      </c>
      <c r="AH39" s="2">
        <f t="shared" si="60"/>
        <v>600</v>
      </c>
      <c r="AI39" s="2">
        <f t="shared" si="60"/>
        <v>240</v>
      </c>
      <c r="AJ39" s="2">
        <f t="shared" si="60"/>
        <v>600</v>
      </c>
      <c r="AK39" s="2">
        <f t="shared" si="60"/>
        <v>160</v>
      </c>
      <c r="AL39" s="25"/>
      <c r="AM39" s="2" t="str">
        <f t="shared" si="61"/>
        <v>T4高4</v>
      </c>
      <c r="AN39" s="2">
        <f t="shared" si="62"/>
        <v>1600</v>
      </c>
      <c r="AO39" s="2">
        <f t="shared" si="62"/>
        <v>94</v>
      </c>
      <c r="AP39" s="2">
        <f t="shared" si="62"/>
        <v>657</v>
      </c>
      <c r="AQ39" s="2">
        <f t="shared" si="62"/>
        <v>263</v>
      </c>
      <c r="AR39" s="2">
        <f t="shared" si="62"/>
        <v>600</v>
      </c>
      <c r="AS39" s="2">
        <f t="shared" si="62"/>
        <v>160</v>
      </c>
      <c r="AT39" s="25"/>
      <c r="AU39" s="2" t="str">
        <f t="shared" si="63"/>
        <v>T4高4</v>
      </c>
      <c r="AV39" s="2">
        <f t="shared" si="64"/>
        <v>1600</v>
      </c>
      <c r="AW39" s="2">
        <f t="shared" si="64"/>
        <v>363</v>
      </c>
      <c r="AX39" s="2">
        <f t="shared" si="64"/>
        <v>714</v>
      </c>
      <c r="AY39" s="2">
        <f t="shared" si="64"/>
        <v>286</v>
      </c>
      <c r="AZ39" s="2">
        <f t="shared" si="64"/>
        <v>600</v>
      </c>
      <c r="BA39" s="2">
        <f t="shared" si="64"/>
        <v>160</v>
      </c>
      <c r="BB39" s="25"/>
      <c r="BC39" s="2" t="str">
        <f t="shared" si="65"/>
        <v>T4高4</v>
      </c>
      <c r="BD39" s="2">
        <f t="shared" si="66"/>
        <v>1686</v>
      </c>
      <c r="BE39" s="2">
        <f t="shared" si="66"/>
        <v>159</v>
      </c>
      <c r="BF39" s="2">
        <f t="shared" si="66"/>
        <v>571</v>
      </c>
      <c r="BG39" s="2">
        <f t="shared" si="66"/>
        <v>257</v>
      </c>
      <c r="BH39" s="2">
        <f t="shared" si="66"/>
        <v>720</v>
      </c>
      <c r="BI39" s="2">
        <f t="shared" si="66"/>
        <v>169</v>
      </c>
      <c r="BK39" s="2" t="str">
        <f t="shared" si="67"/>
        <v>T4高4</v>
      </c>
      <c r="BL39" s="2">
        <f t="shared" si="68"/>
        <v>1686</v>
      </c>
      <c r="BM39" s="2">
        <f t="shared" si="68"/>
        <v>193</v>
      </c>
      <c r="BN39" s="2">
        <f t="shared" si="68"/>
        <v>657</v>
      </c>
      <c r="BO39" s="2">
        <f t="shared" si="68"/>
        <v>296</v>
      </c>
      <c r="BP39" s="2">
        <f t="shared" si="68"/>
        <v>720</v>
      </c>
      <c r="BQ39" s="2">
        <f t="shared" si="68"/>
        <v>169</v>
      </c>
      <c r="BS39" s="2" t="str">
        <f t="shared" si="69"/>
        <v>T4高4</v>
      </c>
      <c r="BT39" s="2">
        <f t="shared" si="70"/>
        <v>1820</v>
      </c>
      <c r="BU39" s="2">
        <f t="shared" si="70"/>
        <v>621</v>
      </c>
      <c r="BV39" s="2">
        <f t="shared" si="70"/>
        <v>229</v>
      </c>
      <c r="BW39" s="2">
        <f t="shared" si="70"/>
        <v>571</v>
      </c>
      <c r="BX39" s="2">
        <f t="shared" si="70"/>
        <v>840</v>
      </c>
      <c r="BY39" s="2">
        <f t="shared" si="70"/>
        <v>182</v>
      </c>
      <c r="CA39" s="2" t="str">
        <f t="shared" si="73"/>
        <v>T4高4</v>
      </c>
      <c r="CB39" s="2">
        <f t="shared" si="71"/>
        <v>1820</v>
      </c>
      <c r="CC39" s="2">
        <f t="shared" si="71"/>
        <v>829</v>
      </c>
      <c r="CD39" s="2">
        <f t="shared" si="71"/>
        <v>251</v>
      </c>
      <c r="CE39" s="2">
        <f t="shared" si="71"/>
        <v>629</v>
      </c>
      <c r="CF39" s="2">
        <f t="shared" si="71"/>
        <v>840</v>
      </c>
      <c r="CG39" s="2">
        <f t="shared" si="71"/>
        <v>182</v>
      </c>
      <c r="CH39" s="25"/>
    </row>
    <row r="40" spans="2:86" x14ac:dyDescent="0.3">
      <c r="B40" s="2" t="s">
        <v>81</v>
      </c>
      <c r="C40" s="42">
        <f>VLOOKUP(LEFT($B40,2),标准坦克设计!$B$33:$F$36,MATCH(C$35,标准坦克设计!$B$33:$F$33,0),FALSE)</f>
        <v>842.97092134600007</v>
      </c>
      <c r="D40" s="42">
        <f>VLOOKUP($B40,标准坦克设计!$B$39:$H$46,MATCH(D$35,标准坦克设计!$B$39:$H$39,0),FALSE)</f>
        <v>96.578184605704067</v>
      </c>
      <c r="E40" s="42">
        <f>VLOOKUP($B40,标准坦克设计!$B$39:$H$46,MATCH(E$35,标准坦克设计!$B$39:$H$39,0),FALSE)</f>
        <v>328.57142857142856</v>
      </c>
      <c r="F40" s="42">
        <f>VLOOKUP(LEFT($B40,2),标准坦克设计!$B$33:$F$36,MATCH(F$35,标准坦克设计!$B$33:$F$33,0),FALSE)</f>
        <v>360</v>
      </c>
      <c r="G40" s="42">
        <f>C40*基础属性系数!$C$57</f>
        <v>84.297092134600007</v>
      </c>
      <c r="AE40" s="2" t="str">
        <f t="shared" si="72"/>
        <v>T5低5</v>
      </c>
      <c r="AF40" s="2">
        <f t="shared" si="60"/>
        <v>2016</v>
      </c>
      <c r="AG40" s="2">
        <f t="shared" si="60"/>
        <v>219</v>
      </c>
      <c r="AH40" s="2">
        <f t="shared" si="60"/>
        <v>756</v>
      </c>
      <c r="AI40" s="2">
        <f t="shared" si="60"/>
        <v>302</v>
      </c>
      <c r="AJ40" s="2">
        <f t="shared" si="60"/>
        <v>756</v>
      </c>
      <c r="AK40" s="2">
        <f t="shared" si="60"/>
        <v>202</v>
      </c>
      <c r="AL40" s="25"/>
      <c r="AM40" s="2" t="str">
        <f t="shared" si="61"/>
        <v>T5低5</v>
      </c>
      <c r="AN40" s="2">
        <f t="shared" si="62"/>
        <v>2016</v>
      </c>
      <c r="AO40" s="2">
        <f t="shared" si="62"/>
        <v>119</v>
      </c>
      <c r="AP40" s="2">
        <f t="shared" si="62"/>
        <v>828</v>
      </c>
      <c r="AQ40" s="2">
        <f t="shared" si="62"/>
        <v>331</v>
      </c>
      <c r="AR40" s="2">
        <f t="shared" si="62"/>
        <v>756</v>
      </c>
      <c r="AS40" s="2">
        <f t="shared" si="62"/>
        <v>202</v>
      </c>
      <c r="AT40" s="25"/>
      <c r="AU40" s="2" t="str">
        <f t="shared" si="63"/>
        <v>T5低5</v>
      </c>
      <c r="AV40" s="2">
        <f t="shared" si="64"/>
        <v>2016</v>
      </c>
      <c r="AW40" s="2">
        <f t="shared" si="64"/>
        <v>458</v>
      </c>
      <c r="AX40" s="2">
        <f t="shared" si="64"/>
        <v>900</v>
      </c>
      <c r="AY40" s="2">
        <f t="shared" si="64"/>
        <v>360</v>
      </c>
      <c r="AZ40" s="2">
        <f t="shared" si="64"/>
        <v>756</v>
      </c>
      <c r="BA40" s="2">
        <f t="shared" si="64"/>
        <v>202</v>
      </c>
      <c r="BB40" s="25"/>
      <c r="BC40" s="2" t="str">
        <f t="shared" si="65"/>
        <v>T5低5</v>
      </c>
      <c r="BD40" s="2">
        <f t="shared" si="66"/>
        <v>2124</v>
      </c>
      <c r="BE40" s="2">
        <f t="shared" si="66"/>
        <v>200</v>
      </c>
      <c r="BF40" s="2">
        <f t="shared" si="66"/>
        <v>720</v>
      </c>
      <c r="BG40" s="2">
        <f t="shared" si="66"/>
        <v>324</v>
      </c>
      <c r="BH40" s="2">
        <f t="shared" si="66"/>
        <v>907</v>
      </c>
      <c r="BI40" s="2">
        <f t="shared" si="66"/>
        <v>212</v>
      </c>
      <c r="BK40" s="2" t="str">
        <f t="shared" si="67"/>
        <v>T5低5</v>
      </c>
      <c r="BL40" s="2">
        <f t="shared" si="68"/>
        <v>2124</v>
      </c>
      <c r="BM40" s="2">
        <f t="shared" si="68"/>
        <v>243</v>
      </c>
      <c r="BN40" s="2">
        <f t="shared" si="68"/>
        <v>828</v>
      </c>
      <c r="BO40" s="2">
        <f t="shared" si="68"/>
        <v>373</v>
      </c>
      <c r="BP40" s="2">
        <f t="shared" si="68"/>
        <v>907</v>
      </c>
      <c r="BQ40" s="2">
        <f t="shared" si="68"/>
        <v>212</v>
      </c>
      <c r="BS40" s="2" t="str">
        <f t="shared" si="69"/>
        <v>T5低5</v>
      </c>
      <c r="BT40" s="2">
        <f t="shared" si="70"/>
        <v>2294</v>
      </c>
      <c r="BU40" s="2">
        <f t="shared" si="70"/>
        <v>782</v>
      </c>
      <c r="BV40" s="2">
        <f t="shared" si="70"/>
        <v>288</v>
      </c>
      <c r="BW40" s="2">
        <f t="shared" si="70"/>
        <v>720</v>
      </c>
      <c r="BX40" s="2">
        <f t="shared" si="70"/>
        <v>1058</v>
      </c>
      <c r="BY40" s="2">
        <f t="shared" si="70"/>
        <v>229</v>
      </c>
      <c r="CA40" s="2" t="str">
        <f t="shared" si="73"/>
        <v>T5低5</v>
      </c>
      <c r="CB40" s="2">
        <f t="shared" si="71"/>
        <v>2294</v>
      </c>
      <c r="CC40" s="2">
        <f t="shared" si="71"/>
        <v>1045</v>
      </c>
      <c r="CD40" s="2">
        <f t="shared" si="71"/>
        <v>317</v>
      </c>
      <c r="CE40" s="2">
        <f t="shared" si="71"/>
        <v>792</v>
      </c>
      <c r="CF40" s="2">
        <f t="shared" si="71"/>
        <v>1058</v>
      </c>
      <c r="CG40" s="2">
        <f t="shared" si="71"/>
        <v>229</v>
      </c>
      <c r="CH40" s="25"/>
    </row>
    <row r="41" spans="2:86" x14ac:dyDescent="0.3">
      <c r="B41" s="2" t="s">
        <v>82</v>
      </c>
      <c r="C41" s="42">
        <f>VLOOKUP(LEFT($B41,2),标准坦克设计!$B$33:$F$36,MATCH(C$35,标准坦克设计!$B$33:$F$33,0),FALSE)</f>
        <v>910.18144838235173</v>
      </c>
      <c r="D41" s="42">
        <f>VLOOKUP($B41,标准坦克设计!$B$39:$H$46,MATCH(D$35,标准坦克设计!$B$39:$H$39,0),FALSE)</f>
        <v>310.50618394414687</v>
      </c>
      <c r="E41" s="42">
        <f>VLOOKUP($B41,标准坦克设计!$B$39:$H$46,MATCH(E$35,标准坦克设计!$B$39:$H$39,0),FALSE)</f>
        <v>285.71428571428572</v>
      </c>
      <c r="F41" s="42">
        <f>VLOOKUP(LEFT($B41,2),标准坦克设计!$B$33:$F$36,MATCH(F$35,标准坦克设计!$B$33:$F$33,0),FALSE)</f>
        <v>420</v>
      </c>
      <c r="G41" s="42">
        <f>C41*基础属性系数!$C$57</f>
        <v>91.018144838235173</v>
      </c>
      <c r="AE41" s="2" t="str">
        <f t="shared" si="72"/>
        <v>T5中5</v>
      </c>
      <c r="AF41" s="2">
        <f t="shared" si="60"/>
        <v>2096</v>
      </c>
      <c r="AG41" s="2">
        <f t="shared" si="60"/>
        <v>228</v>
      </c>
      <c r="AH41" s="2">
        <f t="shared" si="60"/>
        <v>786</v>
      </c>
      <c r="AI41" s="2">
        <f t="shared" si="60"/>
        <v>314</v>
      </c>
      <c r="AJ41" s="2">
        <f t="shared" si="60"/>
        <v>786</v>
      </c>
      <c r="AK41" s="2">
        <f t="shared" si="60"/>
        <v>210</v>
      </c>
      <c r="AL41" s="25"/>
      <c r="AM41" s="2" t="str">
        <f t="shared" si="61"/>
        <v>T5中5</v>
      </c>
      <c r="AN41" s="2">
        <f t="shared" si="62"/>
        <v>2096</v>
      </c>
      <c r="AO41" s="2">
        <f t="shared" si="62"/>
        <v>123</v>
      </c>
      <c r="AP41" s="2">
        <f t="shared" si="62"/>
        <v>861</v>
      </c>
      <c r="AQ41" s="2">
        <f t="shared" si="62"/>
        <v>344</v>
      </c>
      <c r="AR41" s="2">
        <f t="shared" si="62"/>
        <v>786</v>
      </c>
      <c r="AS41" s="2">
        <f t="shared" si="62"/>
        <v>210</v>
      </c>
      <c r="AT41" s="25"/>
      <c r="AU41" s="2" t="str">
        <f t="shared" si="63"/>
        <v>T5中5</v>
      </c>
      <c r="AV41" s="2">
        <f t="shared" si="64"/>
        <v>2096</v>
      </c>
      <c r="AW41" s="2">
        <f t="shared" si="64"/>
        <v>476</v>
      </c>
      <c r="AX41" s="2">
        <f t="shared" si="64"/>
        <v>936</v>
      </c>
      <c r="AY41" s="2">
        <f t="shared" si="64"/>
        <v>374</v>
      </c>
      <c r="AZ41" s="2">
        <f t="shared" si="64"/>
        <v>786</v>
      </c>
      <c r="BA41" s="2">
        <f t="shared" si="64"/>
        <v>210</v>
      </c>
      <c r="BB41" s="25"/>
      <c r="BC41" s="2" t="str">
        <f t="shared" si="65"/>
        <v>T5中5</v>
      </c>
      <c r="BD41" s="2">
        <f t="shared" si="66"/>
        <v>2209</v>
      </c>
      <c r="BE41" s="2">
        <f t="shared" si="66"/>
        <v>208</v>
      </c>
      <c r="BF41" s="2">
        <f t="shared" si="66"/>
        <v>749</v>
      </c>
      <c r="BG41" s="2">
        <f t="shared" si="66"/>
        <v>337</v>
      </c>
      <c r="BH41" s="2">
        <f t="shared" si="66"/>
        <v>943</v>
      </c>
      <c r="BI41" s="2">
        <f t="shared" si="66"/>
        <v>221</v>
      </c>
      <c r="BK41" s="2" t="str">
        <f t="shared" si="67"/>
        <v>T5中5</v>
      </c>
      <c r="BL41" s="2">
        <f t="shared" si="68"/>
        <v>2209</v>
      </c>
      <c r="BM41" s="2">
        <f t="shared" si="68"/>
        <v>253</v>
      </c>
      <c r="BN41" s="2">
        <f t="shared" si="68"/>
        <v>861</v>
      </c>
      <c r="BO41" s="2">
        <f t="shared" si="68"/>
        <v>387</v>
      </c>
      <c r="BP41" s="2">
        <f t="shared" si="68"/>
        <v>943</v>
      </c>
      <c r="BQ41" s="2">
        <f t="shared" si="68"/>
        <v>221</v>
      </c>
      <c r="BS41" s="2" t="str">
        <f t="shared" si="69"/>
        <v>T5中5</v>
      </c>
      <c r="BT41" s="2">
        <f t="shared" si="70"/>
        <v>2385</v>
      </c>
      <c r="BU41" s="2">
        <f t="shared" si="70"/>
        <v>814</v>
      </c>
      <c r="BV41" s="2">
        <f t="shared" si="70"/>
        <v>299</v>
      </c>
      <c r="BW41" s="2">
        <f t="shared" si="70"/>
        <v>749</v>
      </c>
      <c r="BX41" s="2">
        <f t="shared" si="70"/>
        <v>1100</v>
      </c>
      <c r="BY41" s="2">
        <f t="shared" si="70"/>
        <v>238</v>
      </c>
      <c r="CA41" s="2" t="str">
        <f t="shared" si="73"/>
        <v>T5中5</v>
      </c>
      <c r="CB41" s="2">
        <f t="shared" si="71"/>
        <v>2385</v>
      </c>
      <c r="CC41" s="2">
        <f t="shared" si="71"/>
        <v>1086</v>
      </c>
      <c r="CD41" s="2">
        <f t="shared" si="71"/>
        <v>329</v>
      </c>
      <c r="CE41" s="2">
        <f t="shared" si="71"/>
        <v>823</v>
      </c>
      <c r="CF41" s="2">
        <f t="shared" si="71"/>
        <v>1100</v>
      </c>
      <c r="CG41" s="2">
        <f t="shared" si="71"/>
        <v>238</v>
      </c>
      <c r="CH41" s="25"/>
    </row>
    <row r="42" spans="2:86" x14ac:dyDescent="0.3">
      <c r="B42" s="2" t="s">
        <v>83</v>
      </c>
      <c r="C42" s="42">
        <f>VLOOKUP(LEFT($B42,2),标准坦克设计!$B$33:$F$36,MATCH(C$35,标准坦克设计!$B$33:$F$33,0),FALSE)</f>
        <v>910.18144838235173</v>
      </c>
      <c r="D42" s="42">
        <f>VLOOKUP($B42,标准坦克设计!$B$39:$H$46,MATCH(D$35,标准坦克设计!$B$39:$H$39,0),FALSE)</f>
        <v>414.65550678464405</v>
      </c>
      <c r="E42" s="42">
        <f>VLOOKUP($B42,标准坦克设计!$B$39:$H$46,MATCH(E$35,标准坦克设计!$B$39:$H$39,0),FALSE)</f>
        <v>314.28571428571433</v>
      </c>
      <c r="F42" s="42">
        <f>VLOOKUP(LEFT($B42,2),标准坦克设计!$B$33:$F$36,MATCH(F$35,标准坦克设计!$B$33:$F$33,0),FALSE)</f>
        <v>420</v>
      </c>
      <c r="G42" s="42">
        <f>C42*基础属性系数!$C$57</f>
        <v>91.018144838235173</v>
      </c>
      <c r="AE42" s="2" t="str">
        <f t="shared" si="72"/>
        <v>T5高5</v>
      </c>
      <c r="AF42" s="2">
        <f t="shared" si="60"/>
        <v>2096</v>
      </c>
      <c r="AG42" s="2">
        <f t="shared" si="60"/>
        <v>228</v>
      </c>
      <c r="AH42" s="2">
        <f t="shared" si="60"/>
        <v>786</v>
      </c>
      <c r="AI42" s="2">
        <f t="shared" si="60"/>
        <v>314</v>
      </c>
      <c r="AJ42" s="2">
        <f t="shared" si="60"/>
        <v>786</v>
      </c>
      <c r="AK42" s="2">
        <f t="shared" si="60"/>
        <v>210</v>
      </c>
      <c r="AL42" s="25"/>
      <c r="AM42" s="2" t="str">
        <f t="shared" si="61"/>
        <v>T5高5</v>
      </c>
      <c r="AN42" s="2">
        <f t="shared" si="62"/>
        <v>2096</v>
      </c>
      <c r="AO42" s="2">
        <f t="shared" si="62"/>
        <v>123</v>
      </c>
      <c r="AP42" s="2">
        <f t="shared" si="62"/>
        <v>861</v>
      </c>
      <c r="AQ42" s="2">
        <f t="shared" si="62"/>
        <v>344</v>
      </c>
      <c r="AR42" s="2">
        <f t="shared" si="62"/>
        <v>786</v>
      </c>
      <c r="AS42" s="2">
        <f t="shared" si="62"/>
        <v>210</v>
      </c>
      <c r="AT42" s="25"/>
      <c r="AU42" s="2" t="str">
        <f t="shared" si="63"/>
        <v>T5高5</v>
      </c>
      <c r="AV42" s="2">
        <f t="shared" si="64"/>
        <v>2096</v>
      </c>
      <c r="AW42" s="2">
        <f t="shared" si="64"/>
        <v>476</v>
      </c>
      <c r="AX42" s="2">
        <f t="shared" si="64"/>
        <v>936</v>
      </c>
      <c r="AY42" s="2">
        <f t="shared" si="64"/>
        <v>374</v>
      </c>
      <c r="AZ42" s="2">
        <f t="shared" si="64"/>
        <v>786</v>
      </c>
      <c r="BA42" s="2">
        <f t="shared" si="64"/>
        <v>210</v>
      </c>
      <c r="BB42" s="25"/>
      <c r="BC42" s="2" t="str">
        <f t="shared" si="65"/>
        <v>T5高5</v>
      </c>
      <c r="BD42" s="2">
        <f t="shared" si="66"/>
        <v>2209</v>
      </c>
      <c r="BE42" s="2">
        <f t="shared" si="66"/>
        <v>208</v>
      </c>
      <c r="BF42" s="2">
        <f t="shared" si="66"/>
        <v>749</v>
      </c>
      <c r="BG42" s="2">
        <f t="shared" si="66"/>
        <v>337</v>
      </c>
      <c r="BH42" s="2">
        <f t="shared" si="66"/>
        <v>943</v>
      </c>
      <c r="BI42" s="2">
        <f t="shared" si="66"/>
        <v>221</v>
      </c>
      <c r="BK42" s="2" t="str">
        <f t="shared" si="67"/>
        <v>T5高5</v>
      </c>
      <c r="BL42" s="2">
        <f t="shared" si="68"/>
        <v>2209</v>
      </c>
      <c r="BM42" s="2">
        <f t="shared" si="68"/>
        <v>253</v>
      </c>
      <c r="BN42" s="2">
        <f t="shared" si="68"/>
        <v>861</v>
      </c>
      <c r="BO42" s="2">
        <f t="shared" si="68"/>
        <v>387</v>
      </c>
      <c r="BP42" s="2">
        <f t="shared" si="68"/>
        <v>943</v>
      </c>
      <c r="BQ42" s="2">
        <f t="shared" si="68"/>
        <v>221</v>
      </c>
      <c r="BS42" s="2" t="str">
        <f t="shared" si="69"/>
        <v>T5高5</v>
      </c>
      <c r="BT42" s="2">
        <f t="shared" si="70"/>
        <v>2385</v>
      </c>
      <c r="BU42" s="2">
        <f t="shared" si="70"/>
        <v>814</v>
      </c>
      <c r="BV42" s="2">
        <f t="shared" si="70"/>
        <v>299</v>
      </c>
      <c r="BW42" s="2">
        <f t="shared" si="70"/>
        <v>749</v>
      </c>
      <c r="BX42" s="2">
        <f t="shared" si="70"/>
        <v>1100</v>
      </c>
      <c r="BY42" s="2">
        <f t="shared" si="70"/>
        <v>238</v>
      </c>
      <c r="CA42" s="2" t="str">
        <f t="shared" si="73"/>
        <v>T5高5</v>
      </c>
      <c r="CB42" s="2">
        <f t="shared" si="71"/>
        <v>2385</v>
      </c>
      <c r="CC42" s="2">
        <f t="shared" si="71"/>
        <v>1086</v>
      </c>
      <c r="CD42" s="2">
        <f t="shared" si="71"/>
        <v>329</v>
      </c>
      <c r="CE42" s="2">
        <f t="shared" si="71"/>
        <v>823</v>
      </c>
      <c r="CF42" s="2">
        <f t="shared" si="71"/>
        <v>1100</v>
      </c>
      <c r="CG42" s="2">
        <f t="shared" si="71"/>
        <v>238</v>
      </c>
      <c r="CH42" s="25"/>
    </row>
    <row r="43" spans="2:86" x14ac:dyDescent="0.3">
      <c r="CH43" s="25"/>
    </row>
    <row r="44" spans="2:86" x14ac:dyDescent="0.3">
      <c r="B44" s="352" t="s">
        <v>818</v>
      </c>
      <c r="C44" s="353"/>
      <c r="D44" s="353"/>
      <c r="E44" s="353"/>
      <c r="F44" s="353"/>
      <c r="G44" s="353"/>
      <c r="H44" s="354"/>
      <c r="CH44" s="25"/>
    </row>
    <row r="45" spans="2:86" x14ac:dyDescent="0.3">
      <c r="B45" s="2" t="s">
        <v>71</v>
      </c>
      <c r="C45" s="2" t="s">
        <v>759</v>
      </c>
      <c r="D45" s="2" t="s">
        <v>760</v>
      </c>
      <c r="E45" s="2" t="s">
        <v>761</v>
      </c>
      <c r="F45" s="2" t="s">
        <v>76</v>
      </c>
      <c r="G45" s="2" t="s">
        <v>124</v>
      </c>
      <c r="H45" s="2" t="s">
        <v>762</v>
      </c>
      <c r="CH45" s="25"/>
    </row>
    <row r="46" spans="2:86" x14ac:dyDescent="0.3">
      <c r="B46" s="2" t="s">
        <v>77</v>
      </c>
      <c r="C46" s="42">
        <f>C36</f>
        <v>800</v>
      </c>
      <c r="D46" s="42">
        <f>D36</f>
        <v>87.014724963936814</v>
      </c>
      <c r="E46" s="42">
        <f>E36*标准坦克设计!D4</f>
        <v>300</v>
      </c>
      <c r="F46" s="42">
        <f>E36*标准坦克设计!E4</f>
        <v>120</v>
      </c>
      <c r="G46" s="42">
        <f t="shared" ref="G46:G52" si="74">F36</f>
        <v>300</v>
      </c>
      <c r="H46" s="42">
        <f>C46*基础属性系数!$C$57</f>
        <v>80</v>
      </c>
      <c r="CH46" s="25"/>
    </row>
    <row r="47" spans="2:86" x14ac:dyDescent="0.3">
      <c r="B47" s="2" t="s">
        <v>78</v>
      </c>
      <c r="C47" s="42">
        <f t="shared" ref="C47:D52" si="75">C37</f>
        <v>800</v>
      </c>
      <c r="D47" s="42">
        <f t="shared" si="75"/>
        <v>47.136383957262886</v>
      </c>
      <c r="E47" s="42">
        <f>E37*标准坦克设计!D5</f>
        <v>328.57142857142856</v>
      </c>
      <c r="F47" s="42">
        <f>E37*标准坦克设计!E5</f>
        <v>131.42857142857142</v>
      </c>
      <c r="G47" s="42">
        <f t="shared" si="74"/>
        <v>300</v>
      </c>
      <c r="H47" s="42">
        <f>C47*基础属性系数!$C$57</f>
        <v>80</v>
      </c>
      <c r="CH47" s="25"/>
    </row>
    <row r="48" spans="2:86" x14ac:dyDescent="0.3">
      <c r="B48" s="2" t="s">
        <v>79</v>
      </c>
      <c r="C48" s="42">
        <f t="shared" si="75"/>
        <v>800</v>
      </c>
      <c r="D48" s="42">
        <f t="shared" si="75"/>
        <v>181.69341155253699</v>
      </c>
      <c r="E48" s="42">
        <f>E38*标准坦克设计!D6</f>
        <v>357.14285714285717</v>
      </c>
      <c r="F48" s="42">
        <f>E38*标准坦克设计!E6</f>
        <v>142.85714285714286</v>
      </c>
      <c r="G48" s="42">
        <f t="shared" si="74"/>
        <v>300</v>
      </c>
      <c r="H48" s="42">
        <f>C48*基础属性系数!$C$57</f>
        <v>80</v>
      </c>
      <c r="CH48" s="25"/>
    </row>
    <row r="49" spans="2:94" x14ac:dyDescent="0.3">
      <c r="B49" s="2" t="s">
        <v>80</v>
      </c>
      <c r="C49" s="42">
        <f t="shared" si="75"/>
        <v>842.97092134600007</v>
      </c>
      <c r="D49" s="42">
        <f t="shared" si="75"/>
        <v>79.47294491793599</v>
      </c>
      <c r="E49" s="42">
        <f>E39*标准坦克设计!D7</f>
        <v>285.71428571428572</v>
      </c>
      <c r="F49" s="42">
        <f>E39*标准坦克设计!E7</f>
        <v>128.57142857142858</v>
      </c>
      <c r="G49" s="42">
        <f t="shared" si="74"/>
        <v>360</v>
      </c>
      <c r="H49" s="42">
        <f>C49*基础属性系数!$C$57</f>
        <v>84.297092134600007</v>
      </c>
      <c r="CH49" s="25"/>
      <c r="CK49" s="25"/>
      <c r="CL49" s="25"/>
      <c r="CM49" s="25"/>
      <c r="CN49" s="25"/>
      <c r="CO49" s="25"/>
      <c r="CP49" s="25"/>
    </row>
    <row r="50" spans="2:94" x14ac:dyDescent="0.3">
      <c r="B50" s="2" t="s">
        <v>81</v>
      </c>
      <c r="C50" s="42">
        <f t="shared" si="75"/>
        <v>842.97092134600007</v>
      </c>
      <c r="D50" s="42">
        <f t="shared" si="75"/>
        <v>96.578184605704067</v>
      </c>
      <c r="E50" s="42">
        <f>E40*标准坦克设计!D8</f>
        <v>328.57142857142856</v>
      </c>
      <c r="F50" s="42">
        <f>E40*标准坦克设计!E8</f>
        <v>147.85714285714286</v>
      </c>
      <c r="G50" s="42">
        <f t="shared" si="74"/>
        <v>360</v>
      </c>
      <c r="H50" s="42">
        <f>C50*基础属性系数!$C$57</f>
        <v>84.297092134600007</v>
      </c>
      <c r="CH50" s="25"/>
      <c r="CK50" s="25"/>
      <c r="CL50" s="25"/>
      <c r="CM50" s="25"/>
      <c r="CN50" s="25"/>
      <c r="CO50" s="25"/>
      <c r="CP50" s="25"/>
    </row>
    <row r="51" spans="2:94" x14ac:dyDescent="0.3">
      <c r="B51" s="2" t="s">
        <v>82</v>
      </c>
      <c r="C51" s="42">
        <f t="shared" si="75"/>
        <v>910.18144838235173</v>
      </c>
      <c r="D51" s="42">
        <f t="shared" si="75"/>
        <v>310.50618394414687</v>
      </c>
      <c r="E51" s="42">
        <f>E41*标准坦克设计!D9</f>
        <v>114.28571428571429</v>
      </c>
      <c r="F51" s="42">
        <f>E41*标准坦克设计!E9</f>
        <v>285.71428571428572</v>
      </c>
      <c r="G51" s="42">
        <f t="shared" si="74"/>
        <v>420</v>
      </c>
      <c r="H51" s="42">
        <f>C51*基础属性系数!$C$57</f>
        <v>91.018144838235173</v>
      </c>
      <c r="CH51" s="25"/>
      <c r="CK51" s="25"/>
      <c r="CL51" s="25"/>
      <c r="CM51" s="25"/>
      <c r="CN51" s="25"/>
      <c r="CO51" s="25"/>
      <c r="CP51" s="25"/>
    </row>
    <row r="52" spans="2:94" x14ac:dyDescent="0.3">
      <c r="B52" s="2" t="s">
        <v>83</v>
      </c>
      <c r="C52" s="42">
        <f t="shared" si="75"/>
        <v>910.18144838235173</v>
      </c>
      <c r="D52" s="42">
        <f t="shared" si="75"/>
        <v>414.65550678464405</v>
      </c>
      <c r="E52" s="42">
        <f>E42*标准坦克设计!D10</f>
        <v>125.71428571428574</v>
      </c>
      <c r="F52" s="42">
        <f>E42*标准坦克设计!E10</f>
        <v>314.28571428571433</v>
      </c>
      <c r="G52" s="42">
        <f t="shared" si="74"/>
        <v>420</v>
      </c>
      <c r="H52" s="42">
        <f>C52*基础属性系数!$C$57</f>
        <v>91.018144838235173</v>
      </c>
      <c r="CH52" s="25"/>
      <c r="CK52" s="25"/>
      <c r="CL52" s="25"/>
      <c r="CM52" s="25"/>
      <c r="CN52" s="25"/>
      <c r="CO52" s="25"/>
      <c r="CP52" s="25"/>
    </row>
    <row r="53" spans="2:94" x14ac:dyDescent="0.3">
      <c r="CH53" s="25"/>
      <c r="CK53" s="25"/>
      <c r="CL53" s="25"/>
      <c r="CM53" s="25"/>
      <c r="CN53" s="25"/>
      <c r="CO53" s="25"/>
      <c r="CP53" s="25"/>
    </row>
    <row r="54" spans="2:94" x14ac:dyDescent="0.3">
      <c r="B54" s="351" t="s">
        <v>819</v>
      </c>
      <c r="C54" s="351"/>
      <c r="D54" s="351"/>
      <c r="E54" s="351"/>
      <c r="F54" s="351"/>
      <c r="G54" s="351"/>
      <c r="H54" s="351"/>
      <c r="I54" s="351"/>
      <c r="J54" s="351"/>
      <c r="K54" s="351"/>
      <c r="L54" s="351"/>
      <c r="M54" s="351"/>
      <c r="N54" s="351"/>
      <c r="O54" s="351"/>
      <c r="P54" s="351"/>
      <c r="Q54" s="351"/>
      <c r="CH54" s="25"/>
      <c r="CK54" s="25"/>
      <c r="CL54" s="25"/>
      <c r="CM54" s="25"/>
      <c r="CN54" s="25"/>
      <c r="CO54" s="25"/>
      <c r="CP54" s="25"/>
    </row>
    <row r="55" spans="2:94" x14ac:dyDescent="0.3">
      <c r="B55" s="2" t="s">
        <v>71</v>
      </c>
      <c r="C55" s="2" t="s">
        <v>137</v>
      </c>
      <c r="D55" s="2" t="s">
        <v>86</v>
      </c>
      <c r="E55" s="2" t="s">
        <v>87</v>
      </c>
      <c r="F55" s="2" t="s">
        <v>88</v>
      </c>
      <c r="G55" s="2" t="s">
        <v>89</v>
      </c>
      <c r="H55" s="2" t="s">
        <v>90</v>
      </c>
      <c r="I55" s="2" t="s">
        <v>820</v>
      </c>
      <c r="J55" s="2" t="s">
        <v>821</v>
      </c>
      <c r="K55" s="2" t="s">
        <v>822</v>
      </c>
      <c r="L55" s="2" t="s">
        <v>111</v>
      </c>
      <c r="M55" s="2" t="s">
        <v>112</v>
      </c>
      <c r="N55" s="2" t="s">
        <v>113</v>
      </c>
      <c r="O55" s="2" t="s">
        <v>823</v>
      </c>
      <c r="P55" s="2" t="s">
        <v>823</v>
      </c>
      <c r="Q55" s="2" t="s">
        <v>823</v>
      </c>
      <c r="CH55" s="25"/>
      <c r="CK55" s="25"/>
      <c r="CL55" s="25"/>
      <c r="CM55" s="25"/>
      <c r="CN55" s="25"/>
      <c r="CO55" s="25"/>
      <c r="CP55" s="25"/>
    </row>
    <row r="56" spans="2:94" x14ac:dyDescent="0.3">
      <c r="B56" s="2" t="s">
        <v>77</v>
      </c>
      <c r="C56" s="2">
        <f>ROUND(VLOOKUP(B56,标准坦克设计!$B$39:$H$46,6,FALSE),0)</f>
        <v>87</v>
      </c>
      <c r="D56" s="21">
        <v>6</v>
      </c>
      <c r="E56" s="2">
        <f>VLOOKUP($B56,标准坦克设计!$B$13:$K$20,MATCH(E$55,标准坦克设计!$B$13:$K$13,0),FALSE)</f>
        <v>1.4</v>
      </c>
      <c r="F56" s="2">
        <f>VLOOKUP($B56,标准坦克设计!$B$13:$K$20,MATCH(F$55,标准坦克设计!$B$13:$K$13,0),FALSE)</f>
        <v>1.4</v>
      </c>
      <c r="G56" s="2">
        <f>VLOOKUP($B56,标准坦克设计!$B$13:$K$20,MATCH(G$55,标准坦克设计!$B$13:$K$13,0),FALSE)</f>
        <v>0</v>
      </c>
      <c r="H56" s="2">
        <f>VLOOKUP($B56,标准坦克设计!$B$13:$K$20,MATCH(H$55,标准坦克设计!$B$13:$K$13,0),FALSE)</f>
        <v>0.4</v>
      </c>
      <c r="I56" s="34">
        <f>VLOOKUP($B56,标准坦克设计!$B$23:$U$30,MATCH("对轻坦输出",标准坦克设计!$B$23:$U$23,0),FALSE)</f>
        <v>1.2236423832449441</v>
      </c>
      <c r="J56" s="34">
        <f>VLOOKUP($B56,标准坦克设计!$B$23:$U$30,MATCH("对中坦输出",标准坦克设计!$B$23:$U$23,0),FALSE)</f>
        <v>1.0734437062442121</v>
      </c>
      <c r="K56" s="34">
        <f>VLOOKUP($B56,标准坦克设计!$B$23:$U$30,MATCH("对重坦输出",标准坦克设计!$B$23:$U$23,0),FALSE)</f>
        <v>0.8749419045936434</v>
      </c>
      <c r="L56" s="2">
        <f>(ROUNDUP($C$46*(1-基础属性系数!$C$111)/(C56*I56),0)-D56)*F56+(D56-1)*H56</f>
        <v>0.60000000000000009</v>
      </c>
      <c r="M56" s="2">
        <f>(ROUNDUP($C$49*(1-基础属性系数!$C$111)/(C56*J56),0)-D56)*F56+(D56-1)*H56</f>
        <v>2</v>
      </c>
      <c r="N56" s="2">
        <f>(ROUNDUP($C$51*(1-基础属性系数!$C$111)/(C56*K56),0)-D56)*F56+(D56-1)*H56</f>
        <v>4.8</v>
      </c>
      <c r="O56" s="34"/>
      <c r="P56" s="34"/>
      <c r="Q56" s="34"/>
      <c r="CH56" s="25"/>
      <c r="CK56" s="25"/>
      <c r="CL56" s="25"/>
      <c r="CM56" s="25"/>
      <c r="CN56" s="25"/>
      <c r="CO56" s="25"/>
      <c r="CP56" s="25"/>
    </row>
    <row r="57" spans="2:94" x14ac:dyDescent="0.3">
      <c r="B57" s="2" t="s">
        <v>77</v>
      </c>
      <c r="C57" s="2">
        <f>ROUND(VLOOKUP(B57,标准坦克设计!$B$39:$H$46,6,FALSE),0)</f>
        <v>87</v>
      </c>
      <c r="D57" s="21">
        <v>7</v>
      </c>
      <c r="E57" s="2">
        <f>VLOOKUP($B57,标准坦克设计!$B$13:$K$20,MATCH(E$55,标准坦克设计!$B$13:$K$13,0),FALSE)</f>
        <v>1.4</v>
      </c>
      <c r="F57" s="2">
        <f>VLOOKUP($B57,标准坦克设计!$B$13:$K$20,MATCH(F$55,标准坦克设计!$B$13:$K$13,0),FALSE)</f>
        <v>1.4</v>
      </c>
      <c r="G57" s="2">
        <f>VLOOKUP($B57,标准坦克设计!$B$13:$K$20,MATCH(G$55,标准坦克设计!$B$13:$K$13,0),FALSE)</f>
        <v>0</v>
      </c>
      <c r="H57" s="2">
        <f>VLOOKUP($B57,标准坦克设计!$B$13:$K$20,MATCH(H$55,标准坦克设计!$B$13:$K$13,0),FALSE)</f>
        <v>0.4</v>
      </c>
      <c r="I57" s="34">
        <f>VLOOKUP($B57,标准坦克设计!$B$23:$U$30,MATCH("对轻坦输出",标准坦克设计!$B$23:$U$23,0),FALSE)</f>
        <v>1.2236423832449441</v>
      </c>
      <c r="J57" s="34">
        <f>VLOOKUP($B57,标准坦克设计!$B$23:$U$30,MATCH("对中坦输出",标准坦克设计!$B$23:$U$23,0),FALSE)</f>
        <v>1.0734437062442121</v>
      </c>
      <c r="K57" s="34">
        <f>VLOOKUP($B57,标准坦克设计!$B$23:$U$30,MATCH("对重坦输出",标准坦克设计!$B$23:$U$23,0),FALSE)</f>
        <v>0.8749419045936434</v>
      </c>
      <c r="L57" s="2">
        <f>(ROUNDUP($C$46*(1-基础属性系数!$C$111)/(C57*I57),0)-D57)*F57+(D57-1)*H57</f>
        <v>-0.39999999999999947</v>
      </c>
      <c r="M57" s="2">
        <f>(ROUNDUP($C$49*(1-基础属性系数!$C$111)/(C57*J57),0)-D57)*F57+(D57-1)*H57</f>
        <v>1.0000000000000004</v>
      </c>
      <c r="N57" s="2">
        <f>(ROUNDUP($C$51*(1-基础属性系数!$C$111)/(C57*K57),0)-D57)*F57+(D57-1)*H57</f>
        <v>3.8000000000000003</v>
      </c>
      <c r="O57" s="34">
        <f t="shared" ref="O57:Q58" si="76">(L$56-L57)/L$56</f>
        <v>1.6666666666666656</v>
      </c>
      <c r="P57" s="34">
        <f t="shared" si="76"/>
        <v>0.49999999999999978</v>
      </c>
      <c r="Q57" s="34">
        <f t="shared" si="76"/>
        <v>0.20833333333333326</v>
      </c>
      <c r="CH57" s="25"/>
      <c r="CK57" s="25"/>
      <c r="CL57" s="25"/>
      <c r="CM57" s="25"/>
      <c r="CN57" s="25"/>
      <c r="CO57" s="25"/>
      <c r="CP57" s="25"/>
    </row>
    <row r="58" spans="2:94" x14ac:dyDescent="0.3">
      <c r="B58" s="2" t="s">
        <v>77</v>
      </c>
      <c r="C58" s="2">
        <f>ROUND(VLOOKUP(B58,标准坦克设计!$B$39:$H$46,6,FALSE),0)</f>
        <v>87</v>
      </c>
      <c r="D58" s="21">
        <v>8</v>
      </c>
      <c r="E58" s="2">
        <f>VLOOKUP($B58,标准坦克设计!$B$13:$K$20,MATCH(E$55,标准坦克设计!$B$13:$K$13,0),FALSE)</f>
        <v>1.4</v>
      </c>
      <c r="F58" s="2">
        <f>VLOOKUP($B58,标准坦克设计!$B$13:$K$20,MATCH(F$55,标准坦克设计!$B$13:$K$13,0),FALSE)</f>
        <v>1.4</v>
      </c>
      <c r="G58" s="2">
        <f>VLOOKUP($B58,标准坦克设计!$B$13:$K$20,MATCH(G$55,标准坦克设计!$B$13:$K$13,0),FALSE)</f>
        <v>0</v>
      </c>
      <c r="H58" s="2">
        <f>VLOOKUP($B58,标准坦克设计!$B$13:$K$20,MATCH(H$55,标准坦克设计!$B$13:$K$13,0),FALSE)</f>
        <v>0.4</v>
      </c>
      <c r="I58" s="34">
        <f>VLOOKUP($B58,标准坦克设计!$B$23:$U$30,MATCH("对轻坦输出",标准坦克设计!$B$23:$U$23,0),FALSE)</f>
        <v>1.2236423832449441</v>
      </c>
      <c r="J58" s="34">
        <f>VLOOKUP($B58,标准坦克设计!$B$23:$U$30,MATCH("对中坦输出",标准坦克设计!$B$23:$U$23,0),FALSE)</f>
        <v>1.0734437062442121</v>
      </c>
      <c r="K58" s="34">
        <f>VLOOKUP($B58,标准坦克设计!$B$23:$U$30,MATCH("对重坦输出",标准坦克设计!$B$23:$U$23,0),FALSE)</f>
        <v>0.8749419045936434</v>
      </c>
      <c r="L58" s="2">
        <f>(ROUNDUP($C$46*(1-基础属性系数!$C$111)/(C58*I58),0)-D58)*F58+(D58-1)*H58</f>
        <v>-1.399999999999999</v>
      </c>
      <c r="M58" s="2">
        <f>(ROUNDUP($C$49*(1-基础属性系数!$C$111)/(C58*J58),0)-D58)*F58+(D58-1)*H58</f>
        <v>0</v>
      </c>
      <c r="N58" s="2">
        <f>(ROUNDUP($C$51*(1-基础属性系数!$C$111)/(C58*K58),0)-D58)*F58+(D58-1)*H58</f>
        <v>2.8000000000000003</v>
      </c>
      <c r="O58" s="34">
        <f t="shared" si="76"/>
        <v>3.3333333333333313</v>
      </c>
      <c r="P58" s="34">
        <f t="shared" si="76"/>
        <v>1</v>
      </c>
      <c r="Q58" s="34">
        <f t="shared" si="76"/>
        <v>0.41666666666666657</v>
      </c>
      <c r="CH58" s="25"/>
      <c r="CK58" s="25"/>
      <c r="CL58" s="25"/>
      <c r="CM58" s="25"/>
      <c r="CN58" s="25"/>
      <c r="CO58" s="25"/>
      <c r="CP58" s="25"/>
    </row>
    <row r="59" spans="2:94" x14ac:dyDescent="0.3">
      <c r="B59" s="2" t="s">
        <v>78</v>
      </c>
      <c r="C59" s="2">
        <f>ROUND(VLOOKUP(B59,标准坦克设计!$B$39:$H$46,6,FALSE),0)</f>
        <v>47</v>
      </c>
      <c r="D59" s="21">
        <v>9</v>
      </c>
      <c r="E59" s="2">
        <f>VLOOKUP($B59,标准坦克设计!$B$13:$K$20,MATCH(E$55,标准坦克设计!$B$13:$K$13,0),FALSE)</f>
        <v>0.7</v>
      </c>
      <c r="F59" s="2">
        <f>VLOOKUP($B59,标准坦克设计!$B$13:$K$20,MATCH(F$55,标准坦克设计!$B$13:$K$13,0),FALSE)</f>
        <v>0</v>
      </c>
      <c r="G59" s="2">
        <f>VLOOKUP($B59,标准坦克设计!$B$13:$K$20,MATCH(G$55,标准坦克设计!$B$13:$K$13,0),FALSE)</f>
        <v>6.3</v>
      </c>
      <c r="H59" s="2">
        <f>VLOOKUP($B59,标准坦克设计!$B$13:$K$20,MATCH(H$55,标准坦克设计!$B$13:$K$13,0),FALSE)</f>
        <v>0.4</v>
      </c>
      <c r="I59" s="34">
        <f>VLOOKUP($B59,标准坦克设计!$B$23:$U$30,MATCH("对轻坦输出",标准坦克设计!$B$23:$U$23,0),FALSE)</f>
        <v>1.2747744627993174</v>
      </c>
      <c r="J59" s="34">
        <f>VLOOKUP($B59,标准坦克设计!$B$23:$U$30,MATCH("对中坦输出",标准坦克设计!$B$23:$U$23,0),FALSE)</f>
        <v>1.1182994661756926</v>
      </c>
      <c r="K59" s="34">
        <f>VLOOKUP($B59,标准坦克设计!$B$23:$U$30,MATCH("对重坦输出",标准坦克设计!$B$23:$U$23,0),FALSE)</f>
        <v>0.91150291268205108</v>
      </c>
      <c r="L59" s="2">
        <f>ROUNDUP(($C$46*(1-基础属性系数!$C$111)/(C59*I59)-D59)/D59,0)*G59+(ROUNDUP($C$46*(1-基础属性系数!$C$111)/(C59*I59),0)-ROUNDUP(($C$46*(1-基础属性系数!$C$111)/(C59*I59)-D59)/D59,0)-1)*H59</f>
        <v>-2.6999999999999997</v>
      </c>
      <c r="M59" s="2">
        <f>ROUNDUP(($C$49*(1-基础属性系数!$C$111)/(C59*J59)-D59)/D59,0)*G59+(ROUNDUP($C$49*(1-基础属性系数!$C$111)/(C59*J59),0)-ROUNDUP(($C$49*(1-基础属性系数!$C$111)/(C59*J59)-D59)/D59,0)-1)*H59</f>
        <v>9.5</v>
      </c>
      <c r="N59" s="2">
        <f>ROUNDUP(($C$51*(1-基础属性系数!$C$111)/(C59*K59)-D59)/D59,0)*G59+(ROUNDUP($C$51*(1-基础属性系数!$C$111)/(C59*K59),0)-ROUNDUP(($C$51*(1-基础属性系数!$C$111)/(C59*K59)-D59)/D59,0)-1)*H59</f>
        <v>10.7</v>
      </c>
      <c r="O59" s="34"/>
      <c r="P59" s="34"/>
      <c r="Q59" s="34"/>
      <c r="CH59" s="25"/>
      <c r="CK59" s="25"/>
      <c r="CL59" s="25"/>
      <c r="CM59" s="25"/>
      <c r="CN59" s="25"/>
      <c r="CO59" s="25"/>
      <c r="CP59" s="25"/>
    </row>
    <row r="60" spans="2:94" x14ac:dyDescent="0.3">
      <c r="B60" s="2" t="s">
        <v>78</v>
      </c>
      <c r="C60" s="2">
        <f>ROUND(VLOOKUP(B60,标准坦克设计!$B$39:$H$46,6,FALSE),0)</f>
        <v>47</v>
      </c>
      <c r="D60" s="21">
        <v>10</v>
      </c>
      <c r="E60" s="2">
        <f>VLOOKUP($B60,标准坦克设计!$B$13:$K$20,MATCH(E$55,标准坦克设计!$B$13:$K$13,0),FALSE)</f>
        <v>0.7</v>
      </c>
      <c r="F60" s="2">
        <f>VLOOKUP($B60,标准坦克设计!$B$13:$K$20,MATCH(F$55,标准坦克设计!$B$13:$K$13,0),FALSE)</f>
        <v>0</v>
      </c>
      <c r="G60" s="2">
        <f>VLOOKUP($B60,标准坦克设计!$B$13:$K$20,MATCH(G$55,标准坦克设计!$B$13:$K$13,0),FALSE)</f>
        <v>6.3</v>
      </c>
      <c r="H60" s="2">
        <f>VLOOKUP($B60,标准坦克设计!$B$13:$K$20,MATCH(H$55,标准坦克设计!$B$13:$K$13,0),FALSE)</f>
        <v>0.4</v>
      </c>
      <c r="I60" s="34">
        <f>VLOOKUP($B60,标准坦克设计!$B$23:$U$30,MATCH("对轻坦输出",标准坦克设计!$B$23:$U$23,0),FALSE)</f>
        <v>1.2747744627993174</v>
      </c>
      <c r="J60" s="34">
        <f>VLOOKUP($B60,标准坦克设计!$B$23:$U$30,MATCH("对中坦输出",标准坦克设计!$B$23:$U$23,0),FALSE)</f>
        <v>1.1182994661756926</v>
      </c>
      <c r="K60" s="34">
        <f>VLOOKUP($B60,标准坦克设计!$B$23:$U$30,MATCH("对重坦输出",标准坦克设计!$B$23:$U$23,0),FALSE)</f>
        <v>0.91150291268205108</v>
      </c>
      <c r="L60" s="2">
        <f>ROUNDUP(($C$46*(1-基础属性系数!$C$111)/(C60*I60)-D60)/D60,0)*G60+(ROUNDUP($C$46*(1-基础属性系数!$C$111)/(C60*I60),0)-ROUNDUP(($C$46*(1-基础属性系数!$C$111)/(C60*I60)-D60)/D60,0)-1)*H60</f>
        <v>-2.6999999999999997</v>
      </c>
      <c r="M60" s="2">
        <f>ROUNDUP(($C$49*(1-基础属性系数!$C$111)/(C60*J60)-D60)/D60,0)*G60+(ROUNDUP($C$49*(1-基础属性系数!$C$111)/(C60*J60),0)-ROUNDUP(($C$49*(1-基础属性系数!$C$111)/(C60*J60)-D60)/D60,0)-1)*H60</f>
        <v>-2.2999999999999998</v>
      </c>
      <c r="N60" s="2">
        <f>ROUNDUP(($C$51*(1-基础属性系数!$C$111)/(C60*K60)-D60)/D60,0)*G60+(ROUNDUP($C$51*(1-基础属性系数!$C$111)/(C60*K60),0)-ROUNDUP(($C$51*(1-基础属性系数!$C$111)/(C60*K60)-D60)/D60,0)-1)*H60</f>
        <v>10.7</v>
      </c>
      <c r="O60" s="34">
        <f t="shared" ref="O60:Q62" si="77">(L$59-L60)/L$59</f>
        <v>0</v>
      </c>
      <c r="P60" s="34">
        <f t="shared" si="77"/>
        <v>1.2421052631578948</v>
      </c>
      <c r="Q60" s="34">
        <f t="shared" si="77"/>
        <v>0</v>
      </c>
      <c r="CH60" s="25"/>
      <c r="CK60" s="25"/>
      <c r="CL60" s="25"/>
      <c r="CM60" s="25"/>
      <c r="CN60" s="25"/>
      <c r="CO60" s="25"/>
      <c r="CP60" s="25"/>
    </row>
    <row r="61" spans="2:94" x14ac:dyDescent="0.3">
      <c r="B61" s="2" t="s">
        <v>78</v>
      </c>
      <c r="C61" s="2">
        <f>ROUND(VLOOKUP(B61,标准坦克设计!$B$39:$H$46,6,FALSE),0)</f>
        <v>47</v>
      </c>
      <c r="D61" s="21">
        <v>11</v>
      </c>
      <c r="E61" s="2">
        <f>VLOOKUP($B61,标准坦克设计!$B$13:$K$20,MATCH(E$55,标准坦克设计!$B$13:$K$13,0),FALSE)</f>
        <v>0.7</v>
      </c>
      <c r="F61" s="2">
        <f>VLOOKUP($B61,标准坦克设计!$B$13:$K$20,MATCH(F$55,标准坦克设计!$B$13:$K$13,0),FALSE)</f>
        <v>0</v>
      </c>
      <c r="G61" s="2">
        <f>VLOOKUP($B61,标准坦克设计!$B$13:$K$20,MATCH(G$55,标准坦克设计!$B$13:$K$13,0),FALSE)</f>
        <v>6.3</v>
      </c>
      <c r="H61" s="2">
        <f>VLOOKUP($B61,标准坦克设计!$B$13:$K$20,MATCH(H$55,标准坦克设计!$B$13:$K$13,0),FALSE)</f>
        <v>0.4</v>
      </c>
      <c r="I61" s="34">
        <f>VLOOKUP($B61,标准坦克设计!$B$23:$U$30,MATCH("对轻坦输出",标准坦克设计!$B$23:$U$23,0),FALSE)</f>
        <v>1.2747744627993174</v>
      </c>
      <c r="J61" s="34">
        <f>VLOOKUP($B61,标准坦克设计!$B$23:$U$30,MATCH("对中坦输出",标准坦克设计!$B$23:$U$23,0),FALSE)</f>
        <v>1.1182994661756926</v>
      </c>
      <c r="K61" s="34">
        <f>VLOOKUP($B61,标准坦克设计!$B$23:$U$30,MATCH("对重坦输出",标准坦克设计!$B$23:$U$23,0),FALSE)</f>
        <v>0.91150291268205108</v>
      </c>
      <c r="L61" s="2">
        <f>ROUNDUP(($C$46*(1-基础属性系数!$C$111)/(C61*I61)-D61)/D61,0)*G61+(ROUNDUP($C$46*(1-基础属性系数!$C$111)/(C61*I61),0)-ROUNDUP(($C$46*(1-基础属性系数!$C$111)/(C61*I61)-D61)/D61,0)-1)*H61</f>
        <v>-2.6999999999999997</v>
      </c>
      <c r="M61" s="2">
        <f>ROUNDUP(($C$49*(1-基础属性系数!$C$111)/(C61*J61)-D61)/D61,0)*G61+(ROUNDUP($C$49*(1-基础属性系数!$C$111)/(C61*J61),0)-ROUNDUP(($C$49*(1-基础属性系数!$C$111)/(C61*J61)-D61)/D61,0)-1)*H61</f>
        <v>-2.2999999999999998</v>
      </c>
      <c r="N61" s="2">
        <f>ROUNDUP(($C$51*(1-基础属性系数!$C$111)/(C61*K61)-D61)/D61,0)*G61+(ROUNDUP($C$51*(1-基础属性系数!$C$111)/(C61*K61),0)-ROUNDUP(($C$51*(1-基础属性系数!$C$111)/(C61*K61)-D61)/D61,0)-1)*H61</f>
        <v>10.7</v>
      </c>
      <c r="O61" s="34">
        <f t="shared" si="77"/>
        <v>0</v>
      </c>
      <c r="P61" s="34">
        <f t="shared" si="77"/>
        <v>1.2421052631578948</v>
      </c>
      <c r="Q61" s="34">
        <f t="shared" si="77"/>
        <v>0</v>
      </c>
      <c r="CH61" s="25"/>
      <c r="CK61" s="25"/>
      <c r="CL61" s="25"/>
      <c r="CM61" s="25"/>
      <c r="CN61" s="25"/>
      <c r="CO61" s="25"/>
      <c r="CP61" s="25"/>
    </row>
    <row r="62" spans="2:94" x14ac:dyDescent="0.3">
      <c r="B62" s="2" t="s">
        <v>78</v>
      </c>
      <c r="C62" s="2">
        <f>ROUND(VLOOKUP(B62,标准坦克设计!$B$39:$H$46,6,FALSE),0)</f>
        <v>47</v>
      </c>
      <c r="D62" s="21">
        <v>12</v>
      </c>
      <c r="E62" s="2">
        <f>VLOOKUP($B62,标准坦克设计!$B$13:$K$20,MATCH(E$55,标准坦克设计!$B$13:$K$13,0),FALSE)</f>
        <v>0.7</v>
      </c>
      <c r="F62" s="2">
        <f>VLOOKUP($B62,标准坦克设计!$B$13:$K$20,MATCH(F$55,标准坦克设计!$B$13:$K$13,0),FALSE)</f>
        <v>0</v>
      </c>
      <c r="G62" s="2">
        <f>VLOOKUP($B62,标准坦克设计!$B$13:$K$20,MATCH(G$55,标准坦克设计!$B$13:$K$13,0),FALSE)</f>
        <v>6.3</v>
      </c>
      <c r="H62" s="2">
        <f>VLOOKUP($B62,标准坦克设计!$B$13:$K$20,MATCH(H$55,标准坦克设计!$B$13:$K$13,0),FALSE)</f>
        <v>0.4</v>
      </c>
      <c r="I62" s="34">
        <f>VLOOKUP($B62,标准坦克设计!$B$23:$U$30,MATCH("对轻坦输出",标准坦克设计!$B$23:$U$23,0),FALSE)</f>
        <v>1.2747744627993174</v>
      </c>
      <c r="J62" s="34">
        <f>VLOOKUP($B62,标准坦克设计!$B$23:$U$30,MATCH("对中坦输出",标准坦克设计!$B$23:$U$23,0),FALSE)</f>
        <v>1.1182994661756926</v>
      </c>
      <c r="K62" s="34">
        <f>VLOOKUP($B62,标准坦克设计!$B$23:$U$30,MATCH("对重坦输出",标准坦克设计!$B$23:$U$23,0),FALSE)</f>
        <v>0.91150291268205108</v>
      </c>
      <c r="L62" s="2">
        <f>ROUNDUP(($C$46*(1-基础属性系数!$C$111)/(C62*I62)-D62)/D62,0)*G62+(ROUNDUP($C$46*(1-基础属性系数!$C$111)/(C62*I62),0)-ROUNDUP(($C$46*(1-基础属性系数!$C$111)/(C62*I62)-D62)/D62,0)-1)*H62</f>
        <v>-2.6999999999999997</v>
      </c>
      <c r="M62" s="2">
        <f>ROUNDUP(($C$49*(1-基础属性系数!$C$111)/(C62*J62)-D62)/D62,0)*G62+(ROUNDUP($C$49*(1-基础属性系数!$C$111)/(C62*J62),0)-ROUNDUP(($C$49*(1-基础属性系数!$C$111)/(C62*J62)-D62)/D62,0)-1)*H62</f>
        <v>-2.2999999999999998</v>
      </c>
      <c r="N62" s="2">
        <f>ROUNDUP(($C$51*(1-基础属性系数!$C$111)/(C62*K62)-D62)/D62,0)*G62+(ROUNDUP($C$51*(1-基础属性系数!$C$111)/(C62*K62),0)-ROUNDUP(($C$51*(1-基础属性系数!$C$111)/(C62*K62)-D62)/D62,0)-1)*H62</f>
        <v>10.7</v>
      </c>
      <c r="O62" s="34">
        <f t="shared" si="77"/>
        <v>0</v>
      </c>
      <c r="P62" s="34">
        <f t="shared" si="77"/>
        <v>1.2421052631578948</v>
      </c>
      <c r="Q62" s="34">
        <f t="shared" si="77"/>
        <v>0</v>
      </c>
      <c r="AD62" s="129"/>
      <c r="CH62" s="25"/>
      <c r="CK62" s="25"/>
      <c r="CL62" s="25"/>
      <c r="CM62" s="25"/>
      <c r="CN62" s="25"/>
      <c r="CO62" s="25"/>
      <c r="CP62" s="25"/>
    </row>
    <row r="63" spans="2:94" x14ac:dyDescent="0.3">
      <c r="B63" s="2" t="s">
        <v>80</v>
      </c>
      <c r="C63" s="2">
        <f>ROUND(VLOOKUP(B63,标准坦克设计!$B$39:$H$46,6,FALSE),0)</f>
        <v>79</v>
      </c>
      <c r="D63" s="21">
        <v>4</v>
      </c>
      <c r="E63" s="2">
        <f>VLOOKUP($B63,标准坦克设计!$B$13:$K$20,MATCH(E$55,标准坦克设计!$B$13:$K$13,0),FALSE)</f>
        <v>1</v>
      </c>
      <c r="F63" s="2">
        <f>VLOOKUP($B63,标准坦克设计!$B$13:$K$20,MATCH(F$55,标准坦克设计!$B$13:$K$13,0),FALSE)</f>
        <v>0</v>
      </c>
      <c r="G63" s="2">
        <f>VLOOKUP($B63,标准坦克设计!$B$13:$K$20,MATCH(G$55,标准坦克设计!$B$13:$K$13,0),FALSE)</f>
        <v>6</v>
      </c>
      <c r="H63" s="2">
        <f>VLOOKUP($B63,标准坦克设计!$B$13:$K$20,MATCH(H$55,标准坦克设计!$B$13:$K$13,0),FALSE)</f>
        <v>0.5</v>
      </c>
      <c r="I63" s="34">
        <f>VLOOKUP($B63,标准坦克设计!$B$23:$U$30,MATCH("对轻坦输出",标准坦克设计!$B$23:$U$23,0),FALSE)</f>
        <v>1.2063856359599889</v>
      </c>
      <c r="J63" s="34">
        <f>VLOOKUP($B63,标准坦克设计!$B$23:$U$30,MATCH("对中坦输出",标准坦克设计!$B$23:$U$23,0),FALSE)</f>
        <v>1.0646565544933513</v>
      </c>
      <c r="K63" s="34">
        <f>VLOOKUP($B63,标准坦克设计!$B$23:$U$30,MATCH("对重坦输出",标准坦克设计!$B$23:$U$23,0),FALSE)</f>
        <v>0.97000742513258131</v>
      </c>
      <c r="L63" s="2">
        <f>ROUNDUP(($C$46*(1-基础属性系数!$C$111)/(C63*I63)-D63)/D63,0)*G63+(ROUNDUP($C$46*(1-基础属性系数!$C$111)/(C63*I63),0)-ROUNDUP(($C$46*(1-基础属性系数!$C$111)/(C63*I63)-D63)/D63,0)-1)*H63</f>
        <v>8</v>
      </c>
      <c r="M63" s="2">
        <f>ROUNDUP(($C$49*(1-基础属性系数!$C$111)/(C63*J63)-D63)/D63,0)*G63+(ROUNDUP($C$49*(1-基础属性系数!$C$111)/(C63*J63),0)-ROUNDUP(($C$49*(1-基础属性系数!$C$111)/(C63*J63)-D63)/D63,0)-1)*H63</f>
        <v>8.5</v>
      </c>
      <c r="N63" s="2">
        <f>ROUNDUP(($C$51*(1-基础属性系数!$C$111)/(C63*K63)-D63)/D63,0)*G63+(ROUNDUP($C$51*(1-基础属性系数!$C$111)/(C63*K63),0)-ROUNDUP(($C$51*(1-基础属性系数!$C$111)/(C63*K63)-D63)/D63,0)-1)*H63</f>
        <v>9</v>
      </c>
      <c r="O63" s="34"/>
      <c r="P63" s="34"/>
      <c r="Q63" s="34"/>
      <c r="CH63" s="25"/>
      <c r="CK63" s="25"/>
      <c r="CL63" s="25"/>
      <c r="CM63" s="25"/>
      <c r="CN63" s="25"/>
      <c r="CO63" s="25"/>
      <c r="CP63" s="25"/>
    </row>
    <row r="64" spans="2:94" x14ac:dyDescent="0.3">
      <c r="B64" s="2" t="s">
        <v>80</v>
      </c>
      <c r="C64" s="2">
        <f>ROUND(VLOOKUP(B64,标准坦克设计!$B$39:$H$46,6,FALSE),0)</f>
        <v>79</v>
      </c>
      <c r="D64" s="21">
        <v>5</v>
      </c>
      <c r="E64" s="2">
        <f>VLOOKUP($B64,标准坦克设计!$B$13:$K$20,MATCH(E$55,标准坦克设计!$B$13:$K$13,0),FALSE)</f>
        <v>1</v>
      </c>
      <c r="F64" s="2">
        <f>VLOOKUP($B64,标准坦克设计!$B$13:$K$20,MATCH(F$55,标准坦克设计!$B$13:$K$13,0),FALSE)</f>
        <v>0</v>
      </c>
      <c r="G64" s="2">
        <f>VLOOKUP($B64,标准坦克设计!$B$13:$K$20,MATCH(G$55,标准坦克设计!$B$13:$K$13,0),FALSE)</f>
        <v>6</v>
      </c>
      <c r="H64" s="2">
        <f>VLOOKUP($B64,标准坦克设计!$B$13:$K$20,MATCH(H$55,标准坦克设计!$B$13:$K$13,0),FALSE)</f>
        <v>0.5</v>
      </c>
      <c r="I64" s="34">
        <f>VLOOKUP($B64,标准坦克设计!$B$23:$U$30,MATCH("对轻坦输出",标准坦克设计!$B$23:$U$23,0),FALSE)</f>
        <v>1.2063856359599889</v>
      </c>
      <c r="J64" s="34">
        <f>VLOOKUP($B64,标准坦克设计!$B$23:$U$30,MATCH("对中坦输出",标准坦克设计!$B$23:$U$23,0),FALSE)</f>
        <v>1.0646565544933513</v>
      </c>
      <c r="K64" s="34">
        <f>VLOOKUP($B64,标准坦克设计!$B$23:$U$30,MATCH("对重坦输出",标准坦克设计!$B$23:$U$23,0),FALSE)</f>
        <v>0.97000742513258131</v>
      </c>
      <c r="L64" s="2">
        <f>ROUNDUP(($C$46*(1-基础属性系数!$C$111)/(C64*I64)-D64)/D64,0)*G64+(ROUNDUP($C$46*(1-基础属性系数!$C$111)/(C64*I64),0)-ROUNDUP(($C$46*(1-基础属性系数!$C$111)/(C64*I64)-D64)/D64,0)-1)*H64</f>
        <v>8</v>
      </c>
      <c r="M64" s="2">
        <f>ROUNDUP(($C$49*(1-基础属性系数!$C$111)/(C64*J64)-D64)/D64,0)*G64+(ROUNDUP($C$49*(1-基础属性系数!$C$111)/(C64*J64),0)-ROUNDUP(($C$49*(1-基础属性系数!$C$111)/(C64*J64)-D64)/D64,0)-1)*H64</f>
        <v>8.5</v>
      </c>
      <c r="N64" s="2">
        <f>ROUNDUP(($C$51*(1-基础属性系数!$C$111)/(C64*K64)-D64)/D64,0)*G64+(ROUNDUP($C$51*(1-基础属性系数!$C$111)/(C64*K64),0)-ROUNDUP(($C$51*(1-基础属性系数!$C$111)/(C64*K64)-D64)/D64,0)-1)*H64</f>
        <v>9</v>
      </c>
      <c r="O64" s="34">
        <f t="shared" ref="O64:Q65" si="78">(L$63-L64)/L$63</f>
        <v>0</v>
      </c>
      <c r="P64" s="34">
        <f t="shared" si="78"/>
        <v>0</v>
      </c>
      <c r="Q64" s="34">
        <f t="shared" si="78"/>
        <v>0</v>
      </c>
    </row>
    <row r="65" spans="2:27" x14ac:dyDescent="0.3">
      <c r="B65" s="2" t="s">
        <v>80</v>
      </c>
      <c r="C65" s="2">
        <f>ROUND(VLOOKUP(B65,标准坦克设计!$B$39:$H$46,6,FALSE),0)</f>
        <v>79</v>
      </c>
      <c r="D65" s="21">
        <v>6</v>
      </c>
      <c r="E65" s="2">
        <f>VLOOKUP($B65,标准坦克设计!$B$13:$K$20,MATCH(E$55,标准坦克设计!$B$13:$K$13,0),FALSE)</f>
        <v>1</v>
      </c>
      <c r="F65" s="2">
        <f>VLOOKUP($B65,标准坦克设计!$B$13:$K$20,MATCH(F$55,标准坦克设计!$B$13:$K$13,0),FALSE)</f>
        <v>0</v>
      </c>
      <c r="G65" s="2">
        <f>VLOOKUP($B65,标准坦克设计!$B$13:$K$20,MATCH(G$55,标准坦克设计!$B$13:$K$13,0),FALSE)</f>
        <v>6</v>
      </c>
      <c r="H65" s="2">
        <f>VLOOKUP($B65,标准坦克设计!$B$13:$K$20,MATCH(H$55,标准坦克设计!$B$13:$K$13,0),FALSE)</f>
        <v>0.5</v>
      </c>
      <c r="I65" s="34">
        <f>VLOOKUP($B65,标准坦克设计!$B$23:$U$30,MATCH("对轻坦输出",标准坦克设计!$B$23:$U$23,0),FALSE)</f>
        <v>1.2063856359599889</v>
      </c>
      <c r="J65" s="34">
        <f>VLOOKUP($B65,标准坦克设计!$B$23:$U$30,MATCH("对中坦输出",标准坦克设计!$B$23:$U$23,0),FALSE)</f>
        <v>1.0646565544933513</v>
      </c>
      <c r="K65" s="34">
        <f>VLOOKUP($B65,标准坦克设计!$B$23:$U$30,MATCH("对重坦输出",标准坦克设计!$B$23:$U$23,0),FALSE)</f>
        <v>0.97000742513258131</v>
      </c>
      <c r="L65" s="2">
        <f>ROUNDUP(($C$46*(1-基础属性系数!$C$111)/(C65*I65)-D65)/D65,0)*G65+(ROUNDUP($C$46*(1-基础属性系数!$C$111)/(C65*I65),0)-ROUNDUP(($C$46*(1-基础属性系数!$C$111)/(C65*I65)-D65)/D65,0)-1)*H65</f>
        <v>-3</v>
      </c>
      <c r="M65" s="2">
        <f>ROUNDUP(($C$49*(1-基础属性系数!$C$111)/(C65*J65)-D65)/D65,0)*G65+(ROUNDUP($C$49*(1-基础属性系数!$C$111)/(C65*J65),0)-ROUNDUP(($C$49*(1-基础属性系数!$C$111)/(C65*J65)-D65)/D65,0)-1)*H65</f>
        <v>8.5</v>
      </c>
      <c r="N65" s="2">
        <f>ROUNDUP(($C$51*(1-基础属性系数!$C$111)/(C65*K65)-D65)/D65,0)*G65+(ROUNDUP($C$51*(1-基础属性系数!$C$111)/(C65*K65),0)-ROUNDUP(($C$51*(1-基础属性系数!$C$111)/(C65*K65)-D65)/D65,0)-1)*H65</f>
        <v>9</v>
      </c>
      <c r="O65" s="34">
        <f t="shared" si="78"/>
        <v>1.375</v>
      </c>
      <c r="P65" s="34">
        <f t="shared" si="78"/>
        <v>0</v>
      </c>
      <c r="Q65" s="34">
        <f t="shared" si="78"/>
        <v>0</v>
      </c>
    </row>
    <row r="66" spans="2:27" x14ac:dyDescent="0.3">
      <c r="B66" s="2" t="s">
        <v>82</v>
      </c>
      <c r="C66" s="2">
        <f>ROUND(VLOOKUP(B66,标准坦克设计!$B$39:$H$46,6,FALSE),0)</f>
        <v>311</v>
      </c>
      <c r="D66" s="21">
        <v>2</v>
      </c>
      <c r="E66" s="2">
        <f>VLOOKUP($B66,标准坦克设计!$B$13:$K$20,MATCH(E$55,标准坦克设计!$B$13:$K$13,0),FALSE)</f>
        <v>4.5</v>
      </c>
      <c r="F66" s="2">
        <f>VLOOKUP($B66,标准坦克设计!$B$13:$K$20,MATCH(F$55,标准坦克设计!$B$13:$K$13,0),FALSE)</f>
        <v>4.5</v>
      </c>
      <c r="G66" s="2">
        <f>VLOOKUP($B66,标准坦克设计!$B$13:$K$20,MATCH(G$55,标准坦克设计!$B$13:$K$13,0),FALSE)</f>
        <v>0</v>
      </c>
      <c r="H66" s="2">
        <f>VLOOKUP($B66,标准坦克设计!$B$13:$K$20,MATCH(H$55,标准坦克设计!$B$13:$K$13,0),FALSE)</f>
        <v>1.8</v>
      </c>
      <c r="I66" s="34">
        <f>VLOOKUP($B66,标准坦克设计!$B$23:$U$30,MATCH("对轻坦输出",标准坦克设计!$B$23:$U$23,0),FALSE)</f>
        <v>1.2796136748423361</v>
      </c>
      <c r="J66" s="34">
        <f>VLOOKUP($B66,标准坦克设计!$B$23:$U$30,MATCH("对中坦输出",标准坦克设计!$B$23:$U$23,0),FALSE)</f>
        <v>1.1788195015302407</v>
      </c>
      <c r="K66" s="34">
        <f>VLOOKUP($B66,标准坦克设计!$B$23:$U$30,MATCH("对重坦输出",标准坦克设计!$B$23:$U$23,0),FALSE)</f>
        <v>1.0998190973956736</v>
      </c>
      <c r="L66" s="2">
        <f>(ROUNDUP($C$46*(1-基础属性系数!$C$111)/(C66*I66),0)-D66)*F66+(D66-1)*H66</f>
        <v>1.8</v>
      </c>
      <c r="M66" s="2">
        <f>(ROUNDUP($C$49*(1-基础属性系数!$C$111)/(C66*J66),0)-D66)*F66+(D66-1)*H66</f>
        <v>1.8</v>
      </c>
      <c r="N66" s="2">
        <f>(ROUNDUP($C$51*(1-基础属性系数!$C$111)/(C66*K66),0)-D66)*F66+(D66-1)*H66</f>
        <v>1.8</v>
      </c>
      <c r="O66" s="34"/>
      <c r="P66" s="34"/>
      <c r="Q66" s="34"/>
    </row>
    <row r="67" spans="2:27" x14ac:dyDescent="0.3">
      <c r="B67" s="2" t="s">
        <v>82</v>
      </c>
      <c r="C67" s="2">
        <f>ROUND(VLOOKUP(B67,标准坦克设计!$B$39:$H$46,6,FALSE),0)</f>
        <v>311</v>
      </c>
      <c r="D67" s="21">
        <v>3</v>
      </c>
      <c r="E67" s="2">
        <f>VLOOKUP($B67,标准坦克设计!$B$13:$K$20,MATCH(E$55,标准坦克设计!$B$13:$K$13,0),FALSE)</f>
        <v>4.5</v>
      </c>
      <c r="F67" s="2">
        <f>VLOOKUP($B67,标准坦克设计!$B$13:$K$20,MATCH(F$55,标准坦克设计!$B$13:$K$13,0),FALSE)</f>
        <v>4.5</v>
      </c>
      <c r="G67" s="2">
        <f>VLOOKUP($B67,标准坦克设计!$B$13:$K$20,MATCH(G$55,标准坦克设计!$B$13:$K$13,0),FALSE)</f>
        <v>0</v>
      </c>
      <c r="H67" s="2">
        <f>VLOOKUP($B67,标准坦克设计!$B$13:$K$20,MATCH(H$55,标准坦克设计!$B$13:$K$13,0),FALSE)</f>
        <v>1.8</v>
      </c>
      <c r="I67" s="34">
        <f>VLOOKUP($B67,标准坦克设计!$B$23:$U$30,MATCH("对轻坦输出",标准坦克设计!$B$23:$U$23,0),FALSE)</f>
        <v>1.2796136748423361</v>
      </c>
      <c r="J67" s="34">
        <f>VLOOKUP($B67,标准坦克设计!$B$23:$U$30,MATCH("对中坦输出",标准坦克设计!$B$23:$U$23,0),FALSE)</f>
        <v>1.1788195015302407</v>
      </c>
      <c r="K67" s="34">
        <f>VLOOKUP($B67,标准坦克设计!$B$23:$U$30,MATCH("对重坦输出",标准坦克设计!$B$23:$U$23,0),FALSE)</f>
        <v>1.0998190973956736</v>
      </c>
      <c r="L67" s="2">
        <f>(ROUNDUP($C$46*(1-基础属性系数!$C$111)/(C67*I67),0)-D67)*F67+(D67-1)*H67</f>
        <v>-0.89999999999999991</v>
      </c>
      <c r="M67" s="2">
        <f>(ROUNDUP($C$49*(1-基础属性系数!$C$111)/(C67*J67),0)-D67)*F67+(D67-1)*H67</f>
        <v>-0.89999999999999991</v>
      </c>
      <c r="N67" s="2">
        <f>(ROUNDUP($C$51*(1-基础属性系数!$C$111)/(C67*K67),0)-D67)*F67+(D67-1)*H67</f>
        <v>-0.89999999999999991</v>
      </c>
      <c r="O67" s="34">
        <f>(L$66-L67)/L$66</f>
        <v>1.5</v>
      </c>
      <c r="P67" s="34">
        <f>(M$66-M67)/M$66</f>
        <v>1.5</v>
      </c>
      <c r="Q67" s="34">
        <f>(N$66-N67)/N$66</f>
        <v>1.5</v>
      </c>
    </row>
    <row r="68" spans="2:27" x14ac:dyDescent="0.3">
      <c r="X68" s="25"/>
      <c r="Y68" s="25"/>
      <c r="Z68" s="24"/>
      <c r="AA68" s="24"/>
    </row>
    <row r="69" spans="2:27" x14ac:dyDescent="0.3">
      <c r="B69" s="351" t="s">
        <v>824</v>
      </c>
      <c r="C69" s="351"/>
      <c r="D69" s="351"/>
      <c r="E69" s="351"/>
      <c r="F69" s="351"/>
      <c r="G69" s="351"/>
      <c r="H69" s="351"/>
      <c r="I69" s="351"/>
      <c r="J69" s="351"/>
      <c r="K69" s="351"/>
      <c r="L69" s="351"/>
      <c r="M69" s="351"/>
      <c r="N69" s="351"/>
      <c r="O69" s="351"/>
      <c r="P69" s="351"/>
      <c r="Q69" s="351"/>
      <c r="R69" s="351"/>
      <c r="S69" s="351"/>
      <c r="T69" s="351"/>
      <c r="U69" s="351"/>
      <c r="V69" s="351"/>
      <c r="W69" s="351"/>
      <c r="X69" s="351"/>
    </row>
    <row r="70" spans="2:27" x14ac:dyDescent="0.3">
      <c r="B70" s="2" t="s">
        <v>71</v>
      </c>
      <c r="C70" s="2" t="s">
        <v>137</v>
      </c>
      <c r="D70" s="2" t="s">
        <v>86</v>
      </c>
      <c r="E70" s="2" t="s">
        <v>87</v>
      </c>
      <c r="F70" s="2" t="s">
        <v>88</v>
      </c>
      <c r="G70" s="2" t="s">
        <v>89</v>
      </c>
      <c r="H70" s="2" t="s">
        <v>90</v>
      </c>
      <c r="I70" s="2" t="s">
        <v>820</v>
      </c>
      <c r="J70" s="2" t="s">
        <v>821</v>
      </c>
      <c r="K70" s="2" t="s">
        <v>822</v>
      </c>
      <c r="L70" s="2" t="s">
        <v>111</v>
      </c>
      <c r="M70" s="2" t="s">
        <v>112</v>
      </c>
      <c r="N70" s="2" t="s">
        <v>113</v>
      </c>
      <c r="O70" s="2" t="s">
        <v>825</v>
      </c>
      <c r="P70" s="2" t="s">
        <v>826</v>
      </c>
      <c r="Q70" s="2" t="s">
        <v>827</v>
      </c>
      <c r="R70" s="2" t="s">
        <v>828</v>
      </c>
      <c r="S70" s="2" t="s">
        <v>829</v>
      </c>
      <c r="T70" s="2" t="s">
        <v>830</v>
      </c>
      <c r="U70" s="2" t="s">
        <v>831</v>
      </c>
      <c r="V70" s="2" t="s">
        <v>832</v>
      </c>
      <c r="W70" s="2" t="s">
        <v>833</v>
      </c>
      <c r="X70" s="2" t="s">
        <v>834</v>
      </c>
    </row>
    <row r="71" spans="2:27" x14ac:dyDescent="0.3">
      <c r="B71" s="2" t="s">
        <v>77</v>
      </c>
      <c r="C71" s="2">
        <f>ROUND(VLOOKUP(B71,标准坦克设计!$B$39:$H$46,6,FALSE),0)</f>
        <v>87</v>
      </c>
      <c r="D71" s="29">
        <f>VLOOKUP($B71,标准坦克设计!$B$13:$K$20,MATCH(D$70,标准坦克设计!$B$13:$K$13,0),FALSE)</f>
        <v>6</v>
      </c>
      <c r="E71" s="29">
        <f>VLOOKUP($B71,标准坦克设计!$B$13:$K$20,MATCH(E$70,标准坦克设计!$B$13:$K$13,0),FALSE)</f>
        <v>1.4</v>
      </c>
      <c r="F71" s="29">
        <f>VLOOKUP($B71,标准坦克设计!$B$13:$K$20,MATCH(F$70,标准坦克设计!$B$13:$K$13,0),FALSE)</f>
        <v>1.4</v>
      </c>
      <c r="G71" s="29">
        <f>VLOOKUP($B71,标准坦克设计!$B$13:$K$20,MATCH(G$70,标准坦克设计!$B$13:$K$13,0),FALSE)</f>
        <v>0</v>
      </c>
      <c r="H71" s="29">
        <f>VLOOKUP($B71,标准坦克设计!$B$13:$K$20,MATCH(H$70,标准坦克设计!$B$13:$K$13,0),FALSE)</f>
        <v>0.4</v>
      </c>
      <c r="I71" s="34">
        <f>标准坦克设计!R24</f>
        <v>1.2236423832449441</v>
      </c>
      <c r="J71" s="34">
        <f>标准坦克设计!S24</f>
        <v>1.0734437062442121</v>
      </c>
      <c r="K71" s="34">
        <f>标准坦克设计!T24</f>
        <v>0.8749419045936434</v>
      </c>
      <c r="L71" s="2">
        <f>(ROUNDUP($C$46*(1-基础属性系数!$C$111)/(C71*I71),0)-D71)*F71+(D71-1)*H71</f>
        <v>0.60000000000000009</v>
      </c>
      <c r="M71" s="2">
        <f>(ROUNDUP($C$49*(1-基础属性系数!$C$111)/(C71*J71),0)-D71)*F71+(D71-1)*H71</f>
        <v>2</v>
      </c>
      <c r="N71" s="2">
        <f>(ROUNDUP($C$51*(1-基础属性系数!$C$111)/(C71*K71),0)-D71)*F71+(D71-1)*H71</f>
        <v>4.8</v>
      </c>
      <c r="O71" s="41">
        <v>0.1</v>
      </c>
      <c r="P71" s="158">
        <f>(((ROUNDUP($C$46*(1-基础属性系数!$C$111)/(C71*I71),0)-D71)*F71+(D71-1)*(H71+$O71))-L71)/L71</f>
        <v>0.83333333333333326</v>
      </c>
      <c r="Q71" s="158">
        <f>(((ROUNDUP($C$49*(1-基础属性系数!$C$111)/(C71*J71),0)-D71)*F71+(D71-1)*(H71+$O71))-M71)/M71</f>
        <v>0.25</v>
      </c>
      <c r="R71" s="158">
        <f>(((ROUNDUP($C$51*(1-基础属性系数!$C$111)/(C71*K71),0)-D71)*F71+(D71-1)*(H71+$O71))-N71)/N71</f>
        <v>0.10416666666666667</v>
      </c>
      <c r="S71" s="41">
        <v>0.2</v>
      </c>
      <c r="T71" s="158">
        <f>(((ROUNDUP($C$46*(1-基础属性系数!$C$111)/(C71*I71),0)-D71)*F71+(D71-1)*(H71+$S71))-L71)/L71</f>
        <v>1.6666666666666672</v>
      </c>
      <c r="U71" s="158">
        <f>(((ROUNDUP($C$49*(1-基础属性系数!$C$111)/(C71*J71),0)-D71)*F71+(D71-1)*(H71+$S71))-M71)/M71</f>
        <v>0.50000000000000022</v>
      </c>
      <c r="V71" s="158">
        <f>(((ROUNDUP($C$51*(1-基础属性系数!$C$111)/(C71*K71),0)-D71)*F71+(D71-1)*(H71+$S71))-N71)/N71</f>
        <v>0.20833333333333354</v>
      </c>
      <c r="W71" s="34">
        <f>IFERROR(O71/H71,0)</f>
        <v>0.25</v>
      </c>
      <c r="X71" s="158">
        <f>AVERAGE(AVERAGE(T71:V71)/(S71/O71),P71:R71)</f>
        <v>0.39583333333333337</v>
      </c>
    </row>
    <row r="72" spans="2:27" x14ac:dyDescent="0.3">
      <c r="B72" s="2" t="s">
        <v>78</v>
      </c>
      <c r="C72" s="2">
        <f>ROUND(VLOOKUP(B72,标准坦克设计!$B$39:$H$46,6,FALSE),0)</f>
        <v>47</v>
      </c>
      <c r="D72" s="29">
        <f>VLOOKUP($B72,标准坦克设计!$B$13:$K$20,MATCH(D$70,标准坦克设计!$B$13:$K$13,0),FALSE)</f>
        <v>9</v>
      </c>
      <c r="E72" s="29">
        <f>VLOOKUP($B72,标准坦克设计!$B$13:$K$20,MATCH(E$70,标准坦克设计!$B$13:$K$13,0),FALSE)</f>
        <v>0.7</v>
      </c>
      <c r="F72" s="29">
        <f>VLOOKUP($B72,标准坦克设计!$B$13:$K$20,MATCH(F$70,标准坦克设计!$B$13:$K$13,0),FALSE)</f>
        <v>0</v>
      </c>
      <c r="G72" s="29">
        <f>VLOOKUP($B72,标准坦克设计!$B$13:$K$20,MATCH(G$70,标准坦克设计!$B$13:$K$13,0),FALSE)</f>
        <v>6.3</v>
      </c>
      <c r="H72" s="29">
        <f>VLOOKUP($B72,标准坦克设计!$B$13:$K$20,MATCH(H$70,标准坦克设计!$B$13:$K$13,0),FALSE)</f>
        <v>0.4</v>
      </c>
      <c r="I72" s="34">
        <f>标准坦克设计!R25</f>
        <v>1.2747744627993174</v>
      </c>
      <c r="J72" s="34">
        <f>标准坦克设计!S25</f>
        <v>1.1182994661756926</v>
      </c>
      <c r="K72" s="34">
        <f>标准坦克设计!T25</f>
        <v>0.91150291268205108</v>
      </c>
      <c r="L72" s="2">
        <f>ROUNDUP(($C$46*(1-基础属性系数!$C$111)/(C72*I72)-D72)/D72,0)*G72+(ROUNDUP($C$46*(1-基础属性系数!$C$111)/(C72*I72),0)-ROUNDUP(($C$46*(1-基础属性系数!$C$111)/(C72*I72)-D72)/D72,0)-1)*H72</f>
        <v>-2.6999999999999997</v>
      </c>
      <c r="M72" s="2">
        <f>ROUNDUP(($C$49*(1-基础属性系数!$C$111)/(C72*J72)-D72)/D72,0)*G72+(ROUNDUP($C$49*(1-基础属性系数!$C$111)/(C72*J72),0)-ROUNDUP(($C$49*(1-基础属性系数!$C$111)/(C72*J72)-D72)/D72,0)-1)*H72</f>
        <v>9.5</v>
      </c>
      <c r="N72" s="2">
        <f>ROUNDUP(($C$51*(1-基础属性系数!$C$111)/(C72*K72)-D72)/D72,0)*G72+(ROUNDUP($C$51*(1-基础属性系数!$C$111)/(C72*K72),0)-ROUNDUP(($C$51*(1-基础属性系数!$C$111)/(C72*K72)-D72)/D72,0)-1)*H72</f>
        <v>10.7</v>
      </c>
      <c r="O72" s="41">
        <v>0.1</v>
      </c>
      <c r="P72" s="158">
        <f>((ROUNDUP(($C$46*(1-基础属性系数!$C$111)/(C72*I72)-D72)/D72,0)*G72+(ROUNDUP($C$46*(1-基础属性系数!$C$111)/(C72*I72),0)-ROUNDUP(($C$46*(1-基础属性系数!$C$111)/(C72*I72)-D72)/D72,0)-1)*(H72+O72))-L72)/L72</f>
        <v>-0.33333333333333331</v>
      </c>
      <c r="Q72" s="158">
        <f>((ROUNDUP(($C$49*(1-基础属性系数!$C$111)/(C72*J72)-D72)/D72,0)*G72+(ROUNDUP($C$49*(1-基础属性系数!$C$111)/(C72*J72),0)-ROUNDUP(($C$49*(1-基础属性系数!$C$111)/(C72*J72)-D72)/D72,0)-1)*(H72+O72))-M72)/M72</f>
        <v>8.4210526315789555E-2</v>
      </c>
      <c r="R72" s="158">
        <f>((ROUNDUP(($C$51*(1-基础属性系数!$C$111)/(C72*K72)-D72)/D72,0)*G72+(ROUNDUP($C$51*(1-基础属性系数!$C$111)/(C72*K72),0)-ROUNDUP(($C$51*(1-基础属性系数!$C$111)/(C72*K72)-D72)/D72,0)-1)*(H72+O72))-N72)/N72</f>
        <v>0.10280373831775715</v>
      </c>
      <c r="S72" s="41">
        <v>0.2</v>
      </c>
      <c r="T72" s="158">
        <f>((ROUNDUP(($C$46*(1-基础属性系数!$C$111)/(C72*I72)-D72)/D72,0)*G72+(ROUNDUP($C$46*(1-基础属性系数!$C$111)/(C72*I72),0)-ROUNDUP(($C$46*(1-基础属性系数!$C$111)/(C72*I72)-D72)/D72,0)-1)*(H72+S72))-L72)/L72</f>
        <v>-0.66666666666666685</v>
      </c>
      <c r="U72" s="158">
        <f>((ROUNDUP(($C$49*(1-基础属性系数!$C$111)/(C72*J72)-D72)/D72,0)*G72+(ROUNDUP($C$49*(1-基础属性系数!$C$111)/(C72*J72),0)-ROUNDUP(($C$49*(1-基础属性系数!$C$111)/(C72*J72)-D72)/D72,0)-1)*(H72+S72))-M72)/M72</f>
        <v>0.16842105263157911</v>
      </c>
      <c r="V72" s="158">
        <f>((ROUNDUP(($C$51*(1-基础属性系数!$C$111)/(C72*K72)-D72)/D72,0)*G72+(ROUNDUP($C$51*(1-基础属性系数!$C$111)/(C72*K72),0)-ROUNDUP(($C$51*(1-基础属性系数!$C$111)/(C72*K72)-D72)/D72,0)-1)*(H72+S72))-N72)/N72</f>
        <v>0.20560747663551429</v>
      </c>
      <c r="W72" s="34">
        <f t="shared" ref="W72:W77" si="79">IFERROR(O72/H72,0)</f>
        <v>0.25</v>
      </c>
      <c r="X72" s="158">
        <f t="shared" ref="X72:X77" si="80">AVERAGE(AVERAGE(T72:V72)/(S72/O72),P72:R72)</f>
        <v>-4.8773022899928881E-2</v>
      </c>
    </row>
    <row r="73" spans="2:27" x14ac:dyDescent="0.3">
      <c r="B73" s="2" t="s">
        <v>79</v>
      </c>
      <c r="C73" s="2">
        <f>ROUND(VLOOKUP(B73,标准坦克设计!$B$39:$H$46,6,FALSE),0)</f>
        <v>182</v>
      </c>
      <c r="D73" s="29">
        <f>VLOOKUP($B73,标准坦克设计!$B$13:$K$20,MATCH(D$70,标准坦克设计!$B$13:$K$13,0),FALSE)</f>
        <v>1</v>
      </c>
      <c r="E73" s="29">
        <f>VLOOKUP($B73,标准坦克设计!$B$13:$K$20,MATCH(E$70,标准坦克设计!$B$13:$K$13,0),FALSE)</f>
        <v>3</v>
      </c>
      <c r="F73" s="29">
        <f>VLOOKUP($B73,标准坦克设计!$B$13:$K$20,MATCH(F$70,标准坦克设计!$B$13:$K$13,0),FALSE)</f>
        <v>3</v>
      </c>
      <c r="G73" s="29">
        <f>VLOOKUP($B73,标准坦克设计!$B$13:$K$20,MATCH(G$70,标准坦克设计!$B$13:$K$13,0),FALSE)</f>
        <v>0</v>
      </c>
      <c r="H73" s="29">
        <f>VLOOKUP($B73,标准坦克设计!$B$13:$K$20,MATCH(H$70,标准坦克设计!$B$13:$K$13,0),FALSE)</f>
        <v>0</v>
      </c>
      <c r="I73" s="34">
        <f>标准坦克设计!R26</f>
        <v>1.3235148926068896</v>
      </c>
      <c r="J73" s="34">
        <f>标准坦克设计!S26</f>
        <v>1.1610571446714555</v>
      </c>
      <c r="K73" s="34">
        <f>标准坦克设计!T26</f>
        <v>0.94635381770992466</v>
      </c>
      <c r="L73" s="2">
        <f>(ROUNDUP($C$46*(1-基础属性系数!$C$111)/(C73*I73),0)-D73)*F73+(D73-1)*H73</f>
        <v>3</v>
      </c>
      <c r="M73" s="2">
        <f>(ROUNDUP($C$49*(1-基础属性系数!$C$111)/(C73*J73),0)-D73)*F73+(D73-1)*H73</f>
        <v>6</v>
      </c>
      <c r="N73" s="2">
        <f>(ROUNDUP($C$51*(1-基础属性系数!$C$111)/(C73*K73),0)-D73)*F73+(D73-1)*H73</f>
        <v>9</v>
      </c>
      <c r="O73" s="41">
        <v>0.1</v>
      </c>
      <c r="P73" s="158">
        <f>(((ROUNDUP($C$46*(1-基础属性系数!$C$111)/(C73*I73),0)-D73)*F73+(D73-1)*(H73+$O73))-L73)/L73</f>
        <v>0</v>
      </c>
      <c r="Q73" s="158">
        <f>(((ROUNDUP($C$49*(1-基础属性系数!$C$111)/(C73*J73),0)-D73)*F73+(D73-1)*(H73+$O73))-M73)/M73</f>
        <v>0</v>
      </c>
      <c r="R73" s="158">
        <f>(((ROUNDUP($C$51*(1-基础属性系数!$C$111)/(C73*K73),0)-D73)*F73+(D73-1)*(H73+$O73))-N73)/N73</f>
        <v>0</v>
      </c>
      <c r="S73" s="41">
        <v>0.2</v>
      </c>
      <c r="T73" s="158">
        <f>(((ROUNDUP($C$46*(1-基础属性系数!$C$111)/(C73*I73),0)-D73)*F73+(D73-1)*(H73+$S73))-L73)/L73</f>
        <v>0</v>
      </c>
      <c r="U73" s="158">
        <f>(((ROUNDUP($C$49*(1-基础属性系数!$C$111)/(C73*J73),0)-D73)*F73+(D73-1)*(H73+$S73))-M73)/M73</f>
        <v>0</v>
      </c>
      <c r="V73" s="158">
        <f>(((ROUNDUP($C$51*(1-基础属性系数!$C$111)/(C73*K73),0)-D73)*F73+(D73-1)*(H73+$S73))-N73)/N73</f>
        <v>0</v>
      </c>
      <c r="W73" s="34">
        <f t="shared" si="79"/>
        <v>0</v>
      </c>
      <c r="X73" s="158">
        <f t="shared" si="80"/>
        <v>0</v>
      </c>
    </row>
    <row r="74" spans="2:27" x14ac:dyDescent="0.3">
      <c r="B74" s="2" t="s">
        <v>80</v>
      </c>
      <c r="C74" s="2">
        <f>ROUND(VLOOKUP(B74,标准坦克设计!$B$39:$H$46,6,FALSE),0)</f>
        <v>79</v>
      </c>
      <c r="D74" s="29">
        <f>VLOOKUP($B74,标准坦克设计!$B$13:$K$20,MATCH(D$70,标准坦克设计!$B$13:$K$13,0),FALSE)</f>
        <v>6</v>
      </c>
      <c r="E74" s="29">
        <f>VLOOKUP($B74,标准坦克设计!$B$13:$K$20,MATCH(E$70,标准坦克设计!$B$13:$K$13,0),FALSE)</f>
        <v>1</v>
      </c>
      <c r="F74" s="29">
        <f>VLOOKUP($B74,标准坦克设计!$B$13:$K$20,MATCH(F$70,标准坦克设计!$B$13:$K$13,0),FALSE)</f>
        <v>0</v>
      </c>
      <c r="G74" s="29">
        <f>VLOOKUP($B74,标准坦克设计!$B$13:$K$20,MATCH(G$70,标准坦克设计!$B$13:$K$13,0),FALSE)</f>
        <v>6</v>
      </c>
      <c r="H74" s="29">
        <f>VLOOKUP($B74,标准坦克设计!$B$13:$K$20,MATCH(H$70,标准坦克设计!$B$13:$K$13,0),FALSE)</f>
        <v>0.5</v>
      </c>
      <c r="I74" s="34">
        <f>标准坦克设计!R27</f>
        <v>1.2063856359599889</v>
      </c>
      <c r="J74" s="34">
        <f>标准坦克设计!S27</f>
        <v>1.0646565544933513</v>
      </c>
      <c r="K74" s="34">
        <f>标准坦克设计!T27</f>
        <v>0.97000742513258131</v>
      </c>
      <c r="L74" s="2">
        <f>ROUNDUP(($C$46*(1-基础属性系数!$C$111)/(C74*I74)-D74)/D74,0)*G74+(ROUNDUP($C$46*(1-基础属性系数!$C$111)/(C74*I74),0)-ROUNDUP(($C$46*(1-基础属性系数!$C$111)/(C74*I74)-D74)/D74,0)-1)*H74</f>
        <v>-3</v>
      </c>
      <c r="M74" s="2">
        <f>ROUNDUP(($C$49*(1-基础属性系数!$C$111)/(C74*J74)-D74)/D74,0)*G74+(ROUNDUP($C$49*(1-基础属性系数!$C$111)/(C74*J74),0)-ROUNDUP(($C$49*(1-基础属性系数!$C$111)/(C74*J74)-D74)/D74,0)-1)*H74</f>
        <v>8.5</v>
      </c>
      <c r="N74" s="2">
        <f>ROUNDUP(($C$51*(1-基础属性系数!$C$111)/(C74*K74)-D74)/D74,0)*G74+(ROUNDUP($C$51*(1-基础属性系数!$C$111)/(C74*K74),0)-ROUNDUP(($C$51*(1-基础属性系数!$C$111)/(C74*K74)-D74)/D74,0)-1)*H74</f>
        <v>9</v>
      </c>
      <c r="O74" s="41">
        <v>0.1</v>
      </c>
      <c r="P74" s="158">
        <f>((ROUNDUP(($C$46*(1-基础属性系数!$C$111)/(C74*I74)-D74)/D74,0)*G74+(ROUNDUP($C$46*(1-基础属性系数!$C$111)/(C74*I74),0)-ROUNDUP(($C$46*(1-基础属性系数!$C$111)/(C74*I74)-D74)/D74,0)-1)*(H74+O74))-L74)/L74</f>
        <v>-0.19999999999999987</v>
      </c>
      <c r="Q74" s="158">
        <f>((ROUNDUP(($C$49*(1-基础属性系数!$C$111)/(C74*J74)-D74)/D74,0)*G74+(ROUNDUP($C$49*(1-基础属性系数!$C$111)/(C74*J74),0)-ROUNDUP(($C$49*(1-基础属性系数!$C$111)/(C74*J74)-D74)/D74,0)-1)*(H74+O74))-M74)/M74</f>
        <v>5.8823529411764705E-2</v>
      </c>
      <c r="R74" s="158">
        <f>((ROUNDUP(($C$51*(1-基础属性系数!$C$111)/(C74*K74)-D74)/D74,0)*G74+(ROUNDUP($C$51*(1-基础属性系数!$C$111)/(C74*K74),0)-ROUNDUP(($C$51*(1-基础属性系数!$C$111)/(C74*K74)-D74)/D74,0)-1)*(H74+O74))-N74)/N74</f>
        <v>6.6666666666666624E-2</v>
      </c>
      <c r="S74" s="41">
        <v>0.2</v>
      </c>
      <c r="T74" s="158">
        <f>((ROUNDUP(($C$46*(1-基础属性系数!$C$111)/(C74*I74)-D74)/D74,0)*G74+(ROUNDUP($C$46*(1-基础属性系数!$C$111)/(C74*I74),0)-ROUNDUP(($C$46*(1-基础属性系数!$C$111)/(C74*I74)-D74)/D74,0)-1)*(H74+S74))-L74)/L74</f>
        <v>-0.39999999999999974</v>
      </c>
      <c r="U74" s="158">
        <f>((ROUNDUP(($C$49*(1-基础属性系数!$C$111)/(C74*J74)-D74)/D74,0)*G74+(ROUNDUP($C$49*(1-基础属性系数!$C$111)/(C74*J74),0)-ROUNDUP(($C$49*(1-基础属性系数!$C$111)/(C74*J74)-D74)/D74,0)-1)*(H74+S74))-M74)/M74</f>
        <v>0.11764705882352941</v>
      </c>
      <c r="V74" s="158">
        <f>((ROUNDUP(($C$51*(1-基础属性系数!$C$111)/(C74*K74)-D74)/D74,0)*G74+(ROUNDUP($C$51*(1-基础属性系数!$C$111)/(C74*K74),0)-ROUNDUP(($C$51*(1-基础属性系数!$C$111)/(C74*K74)-D74)/D74,0)-1)*(H74+S74))-N74)/N74</f>
        <v>0.13333333333333325</v>
      </c>
      <c r="W74" s="34">
        <f t="shared" si="79"/>
        <v>0.2</v>
      </c>
      <c r="X74" s="158">
        <f t="shared" si="80"/>
        <v>-2.4836601307189517E-2</v>
      </c>
    </row>
    <row r="75" spans="2:27" x14ac:dyDescent="0.3">
      <c r="B75" s="2" t="s">
        <v>81</v>
      </c>
      <c r="C75" s="2">
        <f>ROUND(VLOOKUP(B75,标准坦克设计!$B$39:$H$46,6,FALSE),0)</f>
        <v>97</v>
      </c>
      <c r="D75" s="29">
        <f>VLOOKUP($B75,标准坦克设计!$B$13:$K$20,MATCH(D$70,标准坦克设计!$B$13:$K$13,0),FALSE)</f>
        <v>6</v>
      </c>
      <c r="E75" s="29">
        <f>VLOOKUP($B75,标准坦克设计!$B$13:$K$20,MATCH(E$70,标准坦克设计!$B$13:$K$13,0),FALSE)</f>
        <v>2</v>
      </c>
      <c r="F75" s="29">
        <f>VLOOKUP($B75,标准坦克设计!$B$13:$K$20,MATCH(F$70,标准坦克设计!$B$13:$K$13,0),FALSE)</f>
        <v>2</v>
      </c>
      <c r="G75" s="29">
        <f>VLOOKUP($B75,标准坦克设计!$B$13:$K$20,MATCH(G$70,标准坦克设计!$B$13:$K$13,0),FALSE)</f>
        <v>0</v>
      </c>
      <c r="H75" s="29">
        <f>VLOOKUP($B75,标准坦克设计!$B$13:$K$20,MATCH(H$70,标准坦克设计!$B$13:$K$13,0),FALSE)</f>
        <v>1</v>
      </c>
      <c r="I75" s="34">
        <f>标准坦克设计!R28</f>
        <v>1.2846954491924161</v>
      </c>
      <c r="J75" s="34">
        <f>标准坦克设计!S28</f>
        <v>1.1337663428179687</v>
      </c>
      <c r="K75" s="34">
        <f>标准坦克设计!T28</f>
        <v>1.0329732778681819</v>
      </c>
      <c r="L75" s="2">
        <f>(ROUNDUP($C$46*(1-基础属性系数!$C$111)/(C75*I75),0)-D75)*F75+(D75-1)*H75</f>
        <v>1</v>
      </c>
      <c r="M75" s="2">
        <f>(ROUNDUP($C$49*(1-基础属性系数!$C$111)/(C75*J75),0)-D75)*F75+(D75-1)*H75</f>
        <v>3</v>
      </c>
      <c r="N75" s="2">
        <f>(ROUNDUP($C$51*(1-基础属性系数!$C$111)/(C75*K75),0)-D75)*F75+(D75-1)*H75</f>
        <v>5</v>
      </c>
      <c r="O75" s="41">
        <v>0.1</v>
      </c>
      <c r="P75" s="158">
        <f>(((ROUNDUP($C$46*(1-基础属性系数!$C$111)/(C75*I75),0)-D75)*F75+(D75-1)*(H75+$O75))-L75)/L75</f>
        <v>0.5</v>
      </c>
      <c r="Q75" s="158">
        <f>(((ROUNDUP($C$49*(1-基础属性系数!$C$111)/(C75*J75),0)-D75)*F75+(D75-1)*(H75+$O75))-M75)/M75</f>
        <v>0.16666666666666666</v>
      </c>
      <c r="R75" s="158">
        <f>(((ROUNDUP($C$51*(1-基础属性系数!$C$111)/(C75*K75),0)-D75)*F75+(D75-1)*(H75+$O75))-N75)/N75</f>
        <v>0.1</v>
      </c>
      <c r="S75" s="41">
        <v>0.2</v>
      </c>
      <c r="T75" s="158">
        <f>(((ROUNDUP($C$46*(1-基础属性系数!$C$111)/(C75*I75),0)-D75)*F75+(D75-1)*(H75+$S75))-L75)/L75</f>
        <v>1</v>
      </c>
      <c r="U75" s="158">
        <f>(((ROUNDUP($C$49*(1-基础属性系数!$C$111)/(C75*J75),0)-D75)*F75+(D75-1)*(H75+$S75))-M75)/M75</f>
        <v>0.33333333333333331</v>
      </c>
      <c r="V75" s="158">
        <f>(((ROUNDUP($C$51*(1-基础属性系数!$C$111)/(C75*K75),0)-D75)*F75+(D75-1)*(H75+$S75))-N75)/N75</f>
        <v>0.2</v>
      </c>
      <c r="W75" s="34">
        <f t="shared" si="79"/>
        <v>0.1</v>
      </c>
      <c r="X75" s="158">
        <f t="shared" si="80"/>
        <v>0.25555555555555554</v>
      </c>
    </row>
    <row r="76" spans="2:27" x14ac:dyDescent="0.3">
      <c r="B76" s="2" t="s">
        <v>82</v>
      </c>
      <c r="C76" s="2">
        <f>ROUND(VLOOKUP(B76,标准坦克设计!$B$39:$H$46,6,FALSE),0)</f>
        <v>311</v>
      </c>
      <c r="D76" s="29">
        <f>VLOOKUP($B76,标准坦克设计!$B$13:$K$20,MATCH(D$70,标准坦克设计!$B$13:$K$13,0),FALSE)</f>
        <v>2</v>
      </c>
      <c r="E76" s="29">
        <f>VLOOKUP($B76,标准坦克设计!$B$13:$K$20,MATCH(E$70,标准坦克设计!$B$13:$K$13,0),FALSE)</f>
        <v>4.5</v>
      </c>
      <c r="F76" s="29">
        <f>VLOOKUP($B76,标准坦克设计!$B$13:$K$20,MATCH(F$70,标准坦克设计!$B$13:$K$13,0),FALSE)</f>
        <v>4.5</v>
      </c>
      <c r="G76" s="29">
        <f>VLOOKUP($B76,标准坦克设计!$B$13:$K$20,MATCH(G$70,标准坦克设计!$B$13:$K$13,0),FALSE)</f>
        <v>0</v>
      </c>
      <c r="H76" s="29">
        <f>VLOOKUP($B76,标准坦克设计!$B$13:$K$20,MATCH(H$70,标准坦克设计!$B$13:$K$13,0),FALSE)</f>
        <v>1.8</v>
      </c>
      <c r="I76" s="34">
        <f>标准坦克设计!R29</f>
        <v>1.2796136748423361</v>
      </c>
      <c r="J76" s="34">
        <f>标准坦克设计!S29</f>
        <v>1.1788195015302407</v>
      </c>
      <c r="K76" s="34">
        <f>标准坦克设计!T29</f>
        <v>1.0998190973956736</v>
      </c>
      <c r="L76" s="2">
        <f>(ROUNDUP($C$46*(1-基础属性系数!$C$111)/(C76*I76),0)-D76)*F76+(D76-1)*H76</f>
        <v>1.8</v>
      </c>
      <c r="M76" s="2">
        <f>(ROUNDUP($C$49*(1-基础属性系数!$C$111)/(C76*J76),0)-D76)*F76+(D76-1)*H76</f>
        <v>1.8</v>
      </c>
      <c r="N76" s="2">
        <f>(ROUNDUP($C$51*(1-基础属性系数!$C$111)/(C76*K76),0)-D76)*F76+(D76-1)*H76</f>
        <v>1.8</v>
      </c>
      <c r="O76" s="41">
        <v>0.1</v>
      </c>
      <c r="P76" s="158">
        <f>(((ROUNDUP($C$46*(1-基础属性系数!$C$111)/(C76*I76),0)-D76)*F76+(D76-1)*(H76+$O76))-L76)/L76</f>
        <v>5.5555555555555601E-2</v>
      </c>
      <c r="Q76" s="158">
        <f>(((ROUNDUP($C$49*(1-基础属性系数!$C$111)/(C76*J76),0)-D76)*F76+(D76-1)*(H76+$O76))-M76)/M76</f>
        <v>5.5555555555555601E-2</v>
      </c>
      <c r="R76" s="158">
        <f>(((ROUNDUP($C$51*(1-基础属性系数!$C$111)/(C76*K76),0)-D76)*F76+(D76-1)*(H76+$O76))-N76)/N76</f>
        <v>5.5555555555555601E-2</v>
      </c>
      <c r="S76" s="41">
        <v>0.2</v>
      </c>
      <c r="T76" s="158">
        <f>(((ROUNDUP($C$46*(1-基础属性系数!$C$111)/(C76*I76),0)-D76)*F76+(D76-1)*(H76+$S76))-L76)/L76</f>
        <v>0.11111111111111108</v>
      </c>
      <c r="U76" s="158">
        <f>(((ROUNDUP($C$49*(1-基础属性系数!$C$111)/(C76*J76),0)-D76)*F76+(D76-1)*(H76+$S76))-M76)/M76</f>
        <v>0.11111111111111108</v>
      </c>
      <c r="V76" s="158">
        <f>(((ROUNDUP($C$51*(1-基础属性系数!$C$111)/(C76*K76),0)-D76)*F76+(D76-1)*(H76+$S76))-N76)/N76</f>
        <v>0.11111111111111108</v>
      </c>
      <c r="W76" s="34">
        <f t="shared" si="79"/>
        <v>5.5555555555555559E-2</v>
      </c>
      <c r="X76" s="158">
        <f t="shared" si="80"/>
        <v>5.5555555555555587E-2</v>
      </c>
    </row>
    <row r="77" spans="2:27" x14ac:dyDescent="0.3">
      <c r="B77" s="2" t="s">
        <v>83</v>
      </c>
      <c r="C77" s="2">
        <f>ROUND(VLOOKUP(B77,标准坦克设计!$B$39:$H$46,6,FALSE),0)</f>
        <v>415</v>
      </c>
      <c r="D77" s="29">
        <f>VLOOKUP($B77,标准坦克设计!$B$13:$K$20,MATCH(D$70,标准坦克设计!$B$13:$K$13,0),FALSE)</f>
        <v>1</v>
      </c>
      <c r="E77" s="29">
        <f>VLOOKUP($B77,标准坦克设计!$B$13:$K$20,MATCH(E$70,标准坦克设计!$B$13:$K$13,0),FALSE)</f>
        <v>6</v>
      </c>
      <c r="F77" s="29">
        <f>VLOOKUP($B77,标准坦克设计!$B$13:$K$20,MATCH(F$70,标准坦克设计!$B$13:$K$13,0),FALSE)</f>
        <v>6</v>
      </c>
      <c r="G77" s="29">
        <f>VLOOKUP($B77,标准坦克设计!$B$13:$K$20,MATCH(G$70,标准坦克设计!$B$13:$K$13,0),FALSE)</f>
        <v>0</v>
      </c>
      <c r="H77" s="29">
        <f>VLOOKUP($B77,标准坦克设计!$B$13:$K$20,MATCH(H$70,标准坦克设计!$B$13:$K$13,0),FALSE)</f>
        <v>0</v>
      </c>
      <c r="I77" s="34">
        <f>标准坦克设计!R30</f>
        <v>1.3356897121541118</v>
      </c>
      <c r="J77" s="34">
        <f>标准坦克设计!S30</f>
        <v>1.2304784730239633</v>
      </c>
      <c r="K77" s="34">
        <f>标准坦克设计!T30</f>
        <v>1.1480160633661738</v>
      </c>
      <c r="L77" s="2">
        <f>(ROUNDUP($C$46*(1-基础属性系数!$C$111)/(C77*I77),0)-D77)*F77+(D77-1)*H77</f>
        <v>0</v>
      </c>
      <c r="M77" s="2">
        <f>(ROUNDUP($C$49*(1-基础属性系数!$C$111)/(C77*J77),0)-D77)*F77+(D77-1)*H77</f>
        <v>0</v>
      </c>
      <c r="N77" s="2">
        <f>(ROUNDUP($C$51*(1-基础属性系数!$C$111)/(C77*K77),0)-D77)*F77+(D77-1)*H77</f>
        <v>6</v>
      </c>
      <c r="O77" s="41">
        <v>0.1</v>
      </c>
      <c r="P77" s="158" t="e">
        <f>(((ROUNDUP($C$46*(1-基础属性系数!$C$111)/(C77*I77),0)-D77)*F77+(D77-1)*(H77+$O77))-L77)/L77</f>
        <v>#DIV/0!</v>
      </c>
      <c r="Q77" s="158" t="e">
        <f>(((ROUNDUP($C$49*(1-基础属性系数!$C$111)/(C77*J77),0)-D77)*F77+(D77-1)*(H77+$O77))-M77)/M77</f>
        <v>#DIV/0!</v>
      </c>
      <c r="R77" s="158">
        <f>(((ROUNDUP($C$51*(1-基础属性系数!$C$111)/(C77*K77),0)-D77)*F77+(D77-1)*(H77+$O77))-N77)/N77</f>
        <v>0</v>
      </c>
      <c r="S77" s="41">
        <v>0.2</v>
      </c>
      <c r="T77" s="158" t="e">
        <f>(((ROUNDUP($C$46*(1-基础属性系数!$C$111)/(C77*I77),0)-D77)*F77+(D77-1)*(H77+$S77))-L77)/L77</f>
        <v>#DIV/0!</v>
      </c>
      <c r="U77" s="158" t="e">
        <f>(((ROUNDUP($C$49*(1-基础属性系数!$C$111)/(C77*J77),0)-D77)*F77+(D77-1)*(H77+$S77))-M77)/M77</f>
        <v>#DIV/0!</v>
      </c>
      <c r="V77" s="158">
        <f>(((ROUNDUP($C$51*(1-基础属性系数!$C$111)/(C77*K77),0)-D77)*F77+(D77-1)*(H77+$S77))-N77)/N77</f>
        <v>0</v>
      </c>
      <c r="W77" s="34">
        <f t="shared" si="79"/>
        <v>0</v>
      </c>
      <c r="X77" s="158" t="e">
        <f t="shared" si="80"/>
        <v>#DIV/0!</v>
      </c>
    </row>
    <row r="78" spans="2:27" x14ac:dyDescent="0.3">
      <c r="B78" s="25"/>
      <c r="C78" s="25"/>
    </row>
    <row r="79" spans="2:27" x14ac:dyDescent="0.3">
      <c r="B79" s="351" t="s">
        <v>835</v>
      </c>
      <c r="C79" s="351"/>
      <c r="D79" s="351"/>
      <c r="E79" s="351"/>
      <c r="F79" s="351"/>
      <c r="G79" s="351"/>
      <c r="H79" s="351"/>
      <c r="I79" s="351"/>
      <c r="J79" s="351"/>
      <c r="K79" s="351"/>
      <c r="L79" s="351"/>
      <c r="M79" s="351"/>
      <c r="N79" s="351"/>
      <c r="O79" s="351"/>
      <c r="P79" s="351"/>
      <c r="Q79" s="351"/>
      <c r="R79" s="351"/>
      <c r="S79" s="351"/>
      <c r="T79" s="351"/>
      <c r="U79" s="351"/>
      <c r="V79" s="351"/>
      <c r="W79" s="351"/>
      <c r="X79" s="351"/>
      <c r="Y79" s="216"/>
    </row>
    <row r="80" spans="2:27" x14ac:dyDescent="0.3">
      <c r="B80" s="2" t="s">
        <v>71</v>
      </c>
      <c r="C80" s="2" t="s">
        <v>137</v>
      </c>
      <c r="D80" s="2" t="s">
        <v>86</v>
      </c>
      <c r="E80" s="2" t="s">
        <v>87</v>
      </c>
      <c r="F80" s="2" t="s">
        <v>88</v>
      </c>
      <c r="G80" s="2" t="s">
        <v>89</v>
      </c>
      <c r="H80" s="2" t="s">
        <v>90</v>
      </c>
      <c r="I80" s="2" t="s">
        <v>820</v>
      </c>
      <c r="J80" s="2" t="s">
        <v>821</v>
      </c>
      <c r="K80" s="2" t="s">
        <v>822</v>
      </c>
      <c r="L80" s="2" t="s">
        <v>111</v>
      </c>
      <c r="M80" s="2" t="s">
        <v>112</v>
      </c>
      <c r="N80" s="2" t="s">
        <v>113</v>
      </c>
      <c r="O80" s="2" t="s">
        <v>825</v>
      </c>
      <c r="P80" s="2" t="s">
        <v>826</v>
      </c>
      <c r="Q80" s="2" t="s">
        <v>827</v>
      </c>
      <c r="R80" s="2" t="s">
        <v>828</v>
      </c>
      <c r="S80" s="2" t="s">
        <v>829</v>
      </c>
      <c r="T80" s="2" t="s">
        <v>830</v>
      </c>
      <c r="U80" s="2" t="s">
        <v>831</v>
      </c>
      <c r="V80" s="2" t="s">
        <v>832</v>
      </c>
      <c r="W80" s="2" t="s">
        <v>836</v>
      </c>
      <c r="X80" s="2" t="s">
        <v>837</v>
      </c>
      <c r="Z80" s="25"/>
      <c r="AA80" s="25"/>
    </row>
    <row r="81" spans="2:27" x14ac:dyDescent="0.3">
      <c r="B81" s="2" t="s">
        <v>77</v>
      </c>
      <c r="C81" s="2">
        <f>ROUND(VLOOKUP(B81,标准坦克设计!$B$39:$H$46,6,FALSE),0)</f>
        <v>87</v>
      </c>
      <c r="D81" s="29">
        <f>VLOOKUP($B81,标准坦克设计!$B$13:$K$20,MATCH(D$80,标准坦克设计!$B$13:$K$13,0),FALSE)</f>
        <v>6</v>
      </c>
      <c r="E81" s="29">
        <f>VLOOKUP($B81,标准坦克设计!$B$13:$K$20,MATCH(E$80,标准坦克设计!$B$13:$K$13,0),FALSE)</f>
        <v>1.4</v>
      </c>
      <c r="F81" s="29">
        <f>VLOOKUP($B81,标准坦克设计!$B$13:$K$20,MATCH(F$80,标准坦克设计!$B$13:$K$13,0),FALSE)</f>
        <v>1.4</v>
      </c>
      <c r="G81" s="29">
        <f>VLOOKUP($B81,标准坦克设计!$B$13:$K$20,MATCH(G$80,标准坦克设计!$B$13:$K$13,0),FALSE)</f>
        <v>0</v>
      </c>
      <c r="H81" s="29">
        <f>VLOOKUP($B81,标准坦克设计!$B$13:$K$20,MATCH(H$80,标准坦克设计!$B$13:$K$13,0),FALSE)</f>
        <v>0.4</v>
      </c>
      <c r="I81" s="34">
        <f>标准坦克设计!R24</f>
        <v>1.2236423832449441</v>
      </c>
      <c r="J81" s="34">
        <f>标准坦克设计!S24</f>
        <v>1.0734437062442121</v>
      </c>
      <c r="K81" s="34">
        <f>标准坦克设计!T24</f>
        <v>0.8749419045936434</v>
      </c>
      <c r="L81" s="2">
        <f>(ROUNDUP($C$46*(1-基础属性系数!$C$111)/(C81*I81),0)-D81)*F81+(D81-1)*H81</f>
        <v>0.60000000000000009</v>
      </c>
      <c r="M81" s="2">
        <f>(ROUNDUP($C$49*(1-基础属性系数!$C$111)/(C81*J81),0)-D81)*F81+(D81-1)*H81</f>
        <v>2</v>
      </c>
      <c r="N81" s="2">
        <f>(ROUNDUP($C$51*(1-基础属性系数!$C$111)/(C81*K81),0)-D81)*F81+(D81-1)*H81</f>
        <v>4.8</v>
      </c>
      <c r="O81" s="41">
        <v>0.1</v>
      </c>
      <c r="P81" s="158">
        <f>(L81-((ROUNDUP($C$46*(1-基础属性系数!$C$111)/(C81*I81),0)-D81)*(F81-$O81)+(D81-1)*H81))/L81</f>
        <v>-0.1666666666666668</v>
      </c>
      <c r="Q81" s="158">
        <f>(M81-((ROUNDUP($C$49*(1-基础属性系数!$C$111)/(C81*J81),0)-D81)*(F81-$O81)+(D81-1)*H81))/M81</f>
        <v>0</v>
      </c>
      <c r="R81" s="158">
        <f>(N81-((ROUNDUP($C$51*(1-基础属性系数!$C$111)/(C81*K81),0)-D81)*(F81-$O81)+(D81-1)*H81))/N81</f>
        <v>4.1666666666666706E-2</v>
      </c>
      <c r="S81" s="41">
        <v>1</v>
      </c>
      <c r="T81" s="158">
        <f>(L81-((ROUNDUP($C$46*(1-基础属性系数!$C$111)/(C81*I81),0)-D81)*(F81-$S81)+(D81-1)*H81))/L81</f>
        <v>-1.6666666666666665</v>
      </c>
      <c r="U81" s="158">
        <f>(M81-((ROUNDUP($C$49*(1-基础属性系数!$C$111)/(C81*J81),0)-D81)*(F81-$S81)+(D81-1)*H81))/M81</f>
        <v>0</v>
      </c>
      <c r="V81" s="158">
        <f>(N81-((ROUNDUP($C$51*(1-基础属性系数!$C$111)/(C81*K81),0)-D81)*(F81-$S81)+(D81-1)*H81))/N81</f>
        <v>0.41666666666666669</v>
      </c>
      <c r="W81" s="34">
        <f>S81/F81</f>
        <v>0.7142857142857143</v>
      </c>
      <c r="X81" s="158">
        <f t="shared" ref="X81:X87" si="81">AVERAGE(T81:V81)</f>
        <v>-0.41666666666666657</v>
      </c>
      <c r="Z81" s="25"/>
      <c r="AA81" s="25"/>
    </row>
    <row r="82" spans="2:27" x14ac:dyDescent="0.3">
      <c r="B82" s="2" t="s">
        <v>78</v>
      </c>
      <c r="C82" s="2">
        <f>ROUND(VLOOKUP(B82,标准坦克设计!$B$39:$H$46,6,FALSE),0)</f>
        <v>47</v>
      </c>
      <c r="D82" s="29">
        <f>VLOOKUP($B82,标准坦克设计!$B$13:$K$20,MATCH(D$80,标准坦克设计!$B$13:$K$13,0),FALSE)</f>
        <v>9</v>
      </c>
      <c r="E82" s="29">
        <f>VLOOKUP($B82,标准坦克设计!$B$13:$K$20,MATCH(E$80,标准坦克设计!$B$13:$K$13,0),FALSE)</f>
        <v>0.7</v>
      </c>
      <c r="F82" s="29">
        <f>VLOOKUP($B82,标准坦克设计!$B$13:$K$20,MATCH(F$80,标准坦克设计!$B$13:$K$13,0),FALSE)</f>
        <v>0</v>
      </c>
      <c r="G82" s="29">
        <f>VLOOKUP($B82,标准坦克设计!$B$13:$K$20,MATCH(G$80,标准坦克设计!$B$13:$K$13,0),FALSE)</f>
        <v>6.3</v>
      </c>
      <c r="H82" s="29">
        <f>VLOOKUP($B82,标准坦克设计!$B$13:$K$20,MATCH(H$80,标准坦克设计!$B$13:$K$13,0),FALSE)</f>
        <v>0.4</v>
      </c>
      <c r="I82" s="34">
        <f>标准坦克设计!R25</f>
        <v>1.2747744627993174</v>
      </c>
      <c r="J82" s="34">
        <f>标准坦克设计!S25</f>
        <v>1.1182994661756926</v>
      </c>
      <c r="K82" s="34">
        <f>标准坦克设计!T25</f>
        <v>0.91150291268205108</v>
      </c>
      <c r="L82" s="2">
        <f>ROUNDUP(($C$46*(1-基础属性系数!$C$111)/(C82*I82)-D82)/D82,0)*G82+(ROUNDUP($C$46*(1-基础属性系数!$C$111)/(C82*I82),0)-ROUNDUP(($C$46*(1-基础属性系数!$C$111)/(C82*I82)-D82)/D82,0)-1)*H82</f>
        <v>-2.6999999999999997</v>
      </c>
      <c r="M82" s="2">
        <f>ROUNDUP(($C$49*(1-基础属性系数!$C$111)/(C82*J82)-D82)/D82,0)*G82+(ROUNDUP($C$49*(1-基础属性系数!$C$111)/(C82*J82),0)-ROUNDUP(($C$49*(1-基础属性系数!$C$111)/(C82*J82)-D82)/D82,0)-1)*H82</f>
        <v>9.5</v>
      </c>
      <c r="N82" s="2">
        <f>ROUNDUP(($C$51*(1-基础属性系数!$C$111)/(C82*K82)-D82)/D82,0)*G82+(ROUNDUP($C$51*(1-基础属性系数!$C$111)/(C82*K82),0)-ROUNDUP(($C$51*(1-基础属性系数!$C$111)/(C82*K82)-D82)/D82,0)-1)*H82</f>
        <v>10.7</v>
      </c>
      <c r="O82" s="41">
        <v>0.1</v>
      </c>
      <c r="P82" s="158">
        <f>(L82-(ROUNDUP(($C$46*(1-基础属性系数!$C$111)/(C82*I82)-D82)/D82,0)*(G82-O82)+(ROUNDUP($C$46*(1-基础属性系数!$C$111)/(C82*I82),0)-ROUNDUP(($C$46*(1-基础属性系数!$C$111)/(C82*I82)-D82)/D82,0)-1)*H82))/L82</f>
        <v>3.703703703703691E-2</v>
      </c>
      <c r="Q82" s="158">
        <f>(M82-(ROUNDUP(($C$49*(1-基础属性系数!$C$111)/(C82*J82)-D82)/D82,0)*(G82-O82)+(ROUNDUP($C$49*(1-基础属性系数!$C$111)/(C82*J82),0)-ROUNDUP(($C$49*(1-基础属性系数!$C$111)/(C82*J82)-D82)/D82,0)-1)*H82))/M82</f>
        <v>1.0526315789473648E-2</v>
      </c>
      <c r="R82" s="158">
        <f>(N82-(ROUNDUP(($C$51*(1-基础属性系数!$C$111)/(C82*K82)-D82)/D82,0)*(G82-O82)+(ROUNDUP($C$51*(1-基础属性系数!$C$111)/(C82*K82),0)-ROUNDUP(($C$51*(1-基础属性系数!$C$111)/(C82*K82)-D82)/D82,0)-1)*H82))/N82</f>
        <v>9.345794392523166E-3</v>
      </c>
      <c r="S82" s="41">
        <v>1</v>
      </c>
      <c r="T82" s="158">
        <f>(L82-(ROUNDUP(($C$46*(1-基础属性系数!$C$111)/(C82*I82)-D82)/D82,0)*(G82-S82)+(ROUNDUP($C$46*(1-基础属性系数!$C$111)/(C82*I82),0)-ROUNDUP(($C$46*(1-基础属性系数!$C$111)/(C82*I82)-D82)/D82,0)-1)*H82))/L82</f>
        <v>0.37037037037037041</v>
      </c>
      <c r="U82" s="158">
        <f>(M82-(ROUNDUP(($C$49*(1-基础属性系数!$C$111)/(C82*J82)-D82)/D82,0)*(G82-S82)+(ROUNDUP($C$49*(1-基础属性系数!$C$111)/(C82*J82),0)-ROUNDUP(($C$49*(1-基础属性系数!$C$111)/(C82*J82)-D82)/D82,0)-1)*H82))/M82</f>
        <v>0.10526315789473684</v>
      </c>
      <c r="V82" s="158">
        <f>(N82-(ROUNDUP(($C$51*(1-基础属性系数!$C$111)/(C82*K82)-D82)/D82,0)*(G82-S82)+(ROUNDUP($C$51*(1-基础属性系数!$C$111)/(C82*K82),0)-ROUNDUP(($C$51*(1-基础属性系数!$C$111)/(C82*K82)-D82)/D82,0)-1)*H82))/N82</f>
        <v>9.3457943925233655E-2</v>
      </c>
      <c r="W82" s="34">
        <f>S82/G82</f>
        <v>0.15873015873015872</v>
      </c>
      <c r="X82" s="158">
        <f t="shared" si="81"/>
        <v>0.18969715739678028</v>
      </c>
      <c r="Z82" s="132"/>
      <c r="AA82" s="132"/>
    </row>
    <row r="83" spans="2:27" x14ac:dyDescent="0.3">
      <c r="B83" s="2" t="s">
        <v>79</v>
      </c>
      <c r="C83" s="2">
        <f>ROUND(VLOOKUP(B83,标准坦克设计!$B$39:$H$46,6,FALSE),0)</f>
        <v>182</v>
      </c>
      <c r="D83" s="29">
        <f>VLOOKUP($B83,标准坦克设计!$B$13:$K$20,MATCH(D$80,标准坦克设计!$B$13:$K$13,0),FALSE)</f>
        <v>1</v>
      </c>
      <c r="E83" s="29">
        <f>VLOOKUP($B83,标准坦克设计!$B$13:$K$20,MATCH(E$80,标准坦克设计!$B$13:$K$13,0),FALSE)</f>
        <v>3</v>
      </c>
      <c r="F83" s="29">
        <f>VLOOKUP($B83,标准坦克设计!$B$13:$K$20,MATCH(F$80,标准坦克设计!$B$13:$K$13,0),FALSE)</f>
        <v>3</v>
      </c>
      <c r="G83" s="29">
        <f>VLOOKUP($B83,标准坦克设计!$B$13:$K$20,MATCH(G$80,标准坦克设计!$B$13:$K$13,0),FALSE)</f>
        <v>0</v>
      </c>
      <c r="H83" s="29">
        <f>VLOOKUP($B83,标准坦克设计!$B$13:$K$20,MATCH(H$80,标准坦克设计!$B$13:$K$13,0),FALSE)</f>
        <v>0</v>
      </c>
      <c r="I83" s="34">
        <f>标准坦克设计!R26</f>
        <v>1.3235148926068896</v>
      </c>
      <c r="J83" s="34">
        <f>标准坦克设计!S26</f>
        <v>1.1610571446714555</v>
      </c>
      <c r="K83" s="34">
        <f>标准坦克设计!T26</f>
        <v>0.94635381770992466</v>
      </c>
      <c r="L83" s="2">
        <f>(ROUNDUP($C$46*(1-基础属性系数!$C$111)/(C83*I83),0)-D83)*F83+(D83-1)*H83</f>
        <v>3</v>
      </c>
      <c r="M83" s="2">
        <f>(ROUNDUP($C$49*(1-基础属性系数!$C$111)/(C83*J83),0)-D83)*F83+(D83-1)*H83</f>
        <v>6</v>
      </c>
      <c r="N83" s="2">
        <f>(ROUNDUP($C$51*(1-基础属性系数!$C$111)/(C83*K83),0)-D83)*F83+(D83-1)*H83</f>
        <v>9</v>
      </c>
      <c r="O83" s="41">
        <v>0.1</v>
      </c>
      <c r="P83" s="158">
        <f>(L83-((ROUNDUP($C$46*(1-基础属性系数!$C$111)/(C83*I83),0)-D83)*(F83-$O83)+(D83-1)*H83))/L83</f>
        <v>3.3333333333333361E-2</v>
      </c>
      <c r="Q83" s="158">
        <f>(M83-((ROUNDUP($C$49*(1-基础属性系数!$C$111)/(C83*J83),0)-D83)*(F83-$O83)+(D83-1)*H83))/M83</f>
        <v>3.3333333333333361E-2</v>
      </c>
      <c r="R83" s="158">
        <f>(N83-((ROUNDUP($C$51*(1-基础属性系数!$C$111)/(C83*K83),0)-D83)*(F83-$O83)+(D83-1)*H83))/N83</f>
        <v>3.3333333333333409E-2</v>
      </c>
      <c r="S83" s="41">
        <v>1</v>
      </c>
      <c r="T83" s="158">
        <f>(L83-((ROUNDUP($C$46*(1-基础属性系数!$C$111)/(C83*I83),0)-D83)*(F83-$S83)+(D83-1)*H83))/L83</f>
        <v>0.33333333333333331</v>
      </c>
      <c r="U83" s="158">
        <f>(M83-((ROUNDUP($C$49*(1-基础属性系数!$C$111)/(C83*J83),0)-D83)*(F83-$S83)+(D83-1)*H83))/M83</f>
        <v>0.33333333333333331</v>
      </c>
      <c r="V83" s="158">
        <f>(N83-((ROUNDUP($C$51*(1-基础属性系数!$C$111)/(C83*K83),0)-D83)*(F83-$S83)+(D83-1)*H83))/N83</f>
        <v>0.33333333333333331</v>
      </c>
      <c r="W83" s="34">
        <f>S83/F83</f>
        <v>0.33333333333333331</v>
      </c>
      <c r="X83" s="158">
        <f t="shared" si="81"/>
        <v>0.33333333333333331</v>
      </c>
      <c r="Z83" s="132"/>
      <c r="AA83" s="132"/>
    </row>
    <row r="84" spans="2:27" x14ac:dyDescent="0.3">
      <c r="B84" s="2" t="s">
        <v>80</v>
      </c>
      <c r="C84" s="2">
        <f>ROUND(VLOOKUP(B84,标准坦克设计!$B$39:$H$46,6,FALSE),0)</f>
        <v>79</v>
      </c>
      <c r="D84" s="29">
        <f>VLOOKUP($B84,标准坦克设计!$B$13:$K$20,MATCH(D$80,标准坦克设计!$B$13:$K$13,0),FALSE)</f>
        <v>6</v>
      </c>
      <c r="E84" s="29">
        <f>VLOOKUP($B84,标准坦克设计!$B$13:$K$20,MATCH(E$80,标准坦克设计!$B$13:$K$13,0),FALSE)</f>
        <v>1</v>
      </c>
      <c r="F84" s="29">
        <f>VLOOKUP($B84,标准坦克设计!$B$13:$K$20,MATCH(F$80,标准坦克设计!$B$13:$K$13,0),FALSE)</f>
        <v>0</v>
      </c>
      <c r="G84" s="29">
        <f>VLOOKUP($B84,标准坦克设计!$B$13:$K$20,MATCH(G$80,标准坦克设计!$B$13:$K$13,0),FALSE)</f>
        <v>6</v>
      </c>
      <c r="H84" s="29">
        <f>VLOOKUP($B84,标准坦克设计!$B$13:$K$20,MATCH(H$80,标准坦克设计!$B$13:$K$13,0),FALSE)</f>
        <v>0.5</v>
      </c>
      <c r="I84" s="34">
        <f>标准坦克设计!R27</f>
        <v>1.2063856359599889</v>
      </c>
      <c r="J84" s="34">
        <f>标准坦克设计!S27</f>
        <v>1.0646565544933513</v>
      </c>
      <c r="K84" s="34">
        <f>标准坦克设计!T27</f>
        <v>0.97000742513258131</v>
      </c>
      <c r="L84" s="2">
        <f>ROUNDUP(($C$46*(1-基础属性系数!$C$111)/(C84*I84)-D84)/D84,0)*G84+(ROUNDUP($C$46*(1-基础属性系数!$C$111)/(C84*I84),0)-ROUNDUP(($C$46*(1-基础属性系数!$C$111)/(C84*I84)-D84)/D84,0)-1)*H84</f>
        <v>-3</v>
      </c>
      <c r="M84" s="2">
        <f>ROUNDUP(($C$49*(1-基础属性系数!$C$111)/(C84*J84)-D84)/D84,0)*G84+(ROUNDUP($C$49*(1-基础属性系数!$C$111)/(C84*J84),0)-ROUNDUP(($C$49*(1-基础属性系数!$C$111)/(C84*J84)-D84)/D84,0)-1)*H84</f>
        <v>8.5</v>
      </c>
      <c r="N84" s="2">
        <f>ROUNDUP(($C$51*(1-基础属性系数!$C$111)/(C84*K84)-D84)/D84,0)*G84+(ROUNDUP($C$51*(1-基础属性系数!$C$111)/(C84*K84),0)-ROUNDUP(($C$51*(1-基础属性系数!$C$111)/(C84*K84)-D84)/D84,0)-1)*H84</f>
        <v>9</v>
      </c>
      <c r="O84" s="41">
        <v>0.1</v>
      </c>
      <c r="P84" s="158">
        <f>(L84-(ROUNDUP(($C$46*(1-基础属性系数!$C$111)/(C84*I84)-D84)/D84,0)*(G84-O84)+(ROUNDUP($C$46*(1-基础属性系数!$C$111)/(C84*I84),0)-ROUNDUP(($C$46*(1-基础属性系数!$C$111)/(C84*I84)-D84)/D84,0)-1)*H84))/L84</f>
        <v>3.3333333333333215E-2</v>
      </c>
      <c r="Q84" s="158">
        <f>(M84-(ROUNDUP(($C$49*(1-基础属性系数!$C$111)/(C84*J84)-D84)/D84,0)*(G84-O84)+(ROUNDUP($C$49*(1-基础属性系数!$C$111)/(C84*J84),0)-ROUNDUP(($C$49*(1-基础属性系数!$C$111)/(C84*J84)-D84)/D84,0)-1)*H84))/M84</f>
        <v>1.1764705882352899E-2</v>
      </c>
      <c r="R84" s="158">
        <f>(N84-(ROUNDUP(($C$51*(1-基础属性系数!$C$111)/(C84*K84)-D84)/D84,0)*(G84-O84)+(ROUNDUP($C$51*(1-基础属性系数!$C$111)/(C84*K84),0)-ROUNDUP(($C$51*(1-基础属性系数!$C$111)/(C84*K84)-D84)/D84,0)-1)*H84))/N84</f>
        <v>1.1111111111111072E-2</v>
      </c>
      <c r="S84" s="41">
        <v>1</v>
      </c>
      <c r="T84" s="158">
        <f>(L84-(ROUNDUP(($C$46*(1-基础属性系数!$C$111)/(C84*I84)-D84)/D84,0)*(G84-S84)+(ROUNDUP($C$46*(1-基础属性系数!$C$111)/(C84*I84),0)-ROUNDUP(($C$46*(1-基础属性系数!$C$111)/(C84*I84)-D84)/D84,0)-1)*H84))/L84</f>
        <v>0.33333333333333331</v>
      </c>
      <c r="U84" s="158">
        <f>(M84-(ROUNDUP(($C$49*(1-基础属性系数!$C$111)/(C84*J84)-D84)/D84,0)*(G84-S84)+(ROUNDUP($C$49*(1-基础属性系数!$C$111)/(C84*J84),0)-ROUNDUP(($C$49*(1-基础属性系数!$C$111)/(C84*J84)-D84)/D84,0)-1)*H84))/M84</f>
        <v>0.11764705882352941</v>
      </c>
      <c r="V84" s="158">
        <f>(N84-(ROUNDUP(($C$51*(1-基础属性系数!$C$111)/(C84*K84)-D84)/D84,0)*(G84-S84)+(ROUNDUP($C$51*(1-基础属性系数!$C$111)/(C84*K84),0)-ROUNDUP(($C$51*(1-基础属性系数!$C$111)/(C84*K84)-D84)/D84,0)-1)*H84))/N84</f>
        <v>0.1111111111111111</v>
      </c>
      <c r="W84" s="34">
        <f>S84/G84</f>
        <v>0.16666666666666666</v>
      </c>
      <c r="X84" s="158">
        <f t="shared" si="81"/>
        <v>0.18736383442265794</v>
      </c>
      <c r="Z84" s="132"/>
      <c r="AA84" s="132"/>
    </row>
    <row r="85" spans="2:27" x14ac:dyDescent="0.3">
      <c r="B85" s="2" t="s">
        <v>81</v>
      </c>
      <c r="C85" s="2">
        <f>ROUND(VLOOKUP(B85,标准坦克设计!$B$39:$H$46,6,FALSE),0)</f>
        <v>97</v>
      </c>
      <c r="D85" s="29">
        <f>VLOOKUP($B85,标准坦克设计!$B$13:$K$20,MATCH(D$80,标准坦克设计!$B$13:$K$13,0),FALSE)</f>
        <v>6</v>
      </c>
      <c r="E85" s="29">
        <f>VLOOKUP($B85,标准坦克设计!$B$13:$K$20,MATCH(E$80,标准坦克设计!$B$13:$K$13,0),FALSE)</f>
        <v>2</v>
      </c>
      <c r="F85" s="29">
        <f>VLOOKUP($B85,标准坦克设计!$B$13:$K$20,MATCH(F$80,标准坦克设计!$B$13:$K$13,0),FALSE)</f>
        <v>2</v>
      </c>
      <c r="G85" s="29">
        <f>VLOOKUP($B85,标准坦克设计!$B$13:$K$20,MATCH(G$80,标准坦克设计!$B$13:$K$13,0),FALSE)</f>
        <v>0</v>
      </c>
      <c r="H85" s="29">
        <f>VLOOKUP($B85,标准坦克设计!$B$13:$K$20,MATCH(H$80,标准坦克设计!$B$13:$K$13,0),FALSE)</f>
        <v>1</v>
      </c>
      <c r="I85" s="34">
        <f>标准坦克设计!R28</f>
        <v>1.2846954491924161</v>
      </c>
      <c r="J85" s="34">
        <f>标准坦克设计!S28</f>
        <v>1.1337663428179687</v>
      </c>
      <c r="K85" s="34">
        <f>标准坦克设计!T28</f>
        <v>1.0329732778681819</v>
      </c>
      <c r="L85" s="2">
        <f>(ROUNDUP($C$46*(1-基础属性系数!$C$111)/(C85*I85),0)-D85)*F85+(D85-1)*H85</f>
        <v>1</v>
      </c>
      <c r="M85" s="2">
        <f>(ROUNDUP($C$49*(1-基础属性系数!$C$111)/(C85*J85),0)-D85)*F85+(D85-1)*H85</f>
        <v>3</v>
      </c>
      <c r="N85" s="2">
        <f>(ROUNDUP($C$51*(1-基础属性系数!$C$111)/(C85*K85),0)-D85)*F85+(D85-1)*H85</f>
        <v>5</v>
      </c>
      <c r="O85" s="41">
        <v>0.1</v>
      </c>
      <c r="P85" s="158">
        <f>(L85-((ROUNDUP($C$46*(1-基础属性系数!$C$111)/(C85*I85),0)-D85)*(F85-$O85)+(D85-1)*H85))/L85</f>
        <v>-0.20000000000000018</v>
      </c>
      <c r="Q85" s="158">
        <f>(M85-((ROUNDUP($C$49*(1-基础属性系数!$C$111)/(C85*J85),0)-D85)*(F85-$O85)+(D85-1)*H85))/M85</f>
        <v>-3.3333333333333361E-2</v>
      </c>
      <c r="R85" s="158">
        <f>(N85-((ROUNDUP($C$51*(1-基础属性系数!$C$111)/(C85*K85),0)-D85)*(F85-$O85)+(D85-1)*H85))/N85</f>
        <v>0</v>
      </c>
      <c r="S85" s="41">
        <v>1</v>
      </c>
      <c r="T85" s="158">
        <f>(L85-((ROUNDUP($C$46*(1-基础属性系数!$C$111)/(C85*I85),0)-D85)*(F85-$S85)+(D85-1)*H85))/L85</f>
        <v>-2</v>
      </c>
      <c r="U85" s="158">
        <f>(M85-((ROUNDUP($C$49*(1-基础属性系数!$C$111)/(C85*J85),0)-D85)*(F85-$S85)+(D85-1)*H85))/M85</f>
        <v>-0.33333333333333331</v>
      </c>
      <c r="V85" s="158">
        <f>(N85-((ROUNDUP($C$51*(1-基础属性系数!$C$111)/(C85*K85),0)-D85)*(F85-$S85)+(D85-1)*H85))/N85</f>
        <v>0</v>
      </c>
      <c r="W85" s="34">
        <f>S85/F85</f>
        <v>0.5</v>
      </c>
      <c r="X85" s="158">
        <f t="shared" si="81"/>
        <v>-0.77777777777777779</v>
      </c>
      <c r="Z85" s="25"/>
      <c r="AA85" s="25"/>
    </row>
    <row r="86" spans="2:27" x14ac:dyDescent="0.3">
      <c r="B86" s="2" t="s">
        <v>82</v>
      </c>
      <c r="C86" s="2">
        <f>ROUND(VLOOKUP(B86,标准坦克设计!$B$39:$H$46,6,FALSE),0)</f>
        <v>311</v>
      </c>
      <c r="D86" s="29">
        <f>VLOOKUP($B86,标准坦克设计!$B$13:$K$20,MATCH(D$80,标准坦克设计!$B$13:$K$13,0),FALSE)</f>
        <v>2</v>
      </c>
      <c r="E86" s="29">
        <f>VLOOKUP($B86,标准坦克设计!$B$13:$K$20,MATCH(E$80,标准坦克设计!$B$13:$K$13,0),FALSE)</f>
        <v>4.5</v>
      </c>
      <c r="F86" s="29">
        <f>VLOOKUP($B86,标准坦克设计!$B$13:$K$20,MATCH(F$80,标准坦克设计!$B$13:$K$13,0),FALSE)</f>
        <v>4.5</v>
      </c>
      <c r="G86" s="29">
        <f>VLOOKUP($B86,标准坦克设计!$B$13:$K$20,MATCH(G$80,标准坦克设计!$B$13:$K$13,0),FALSE)</f>
        <v>0</v>
      </c>
      <c r="H86" s="29">
        <f>VLOOKUP($B86,标准坦克设计!$B$13:$K$20,MATCH(H$80,标准坦克设计!$B$13:$K$13,0),FALSE)</f>
        <v>1.8</v>
      </c>
      <c r="I86" s="34">
        <f>标准坦克设计!R29</f>
        <v>1.2796136748423361</v>
      </c>
      <c r="J86" s="34">
        <f>标准坦克设计!S29</f>
        <v>1.1788195015302407</v>
      </c>
      <c r="K86" s="34">
        <f>标准坦克设计!T29</f>
        <v>1.0998190973956736</v>
      </c>
      <c r="L86" s="2">
        <f>(ROUNDUP($C$46*(1-基础属性系数!$C$111)/(C86*I86),0)-D86)*F86+(D86-1)*H86</f>
        <v>1.8</v>
      </c>
      <c r="M86" s="2">
        <f>(ROUNDUP($C$49*(1-基础属性系数!$C$111)/(C86*J86),0)-D86)*F86+(D86-1)*H86</f>
        <v>1.8</v>
      </c>
      <c r="N86" s="2">
        <f>(ROUNDUP($C$51*(1-基础属性系数!$C$111)/(C86*K86),0)-D86)*F86+(D86-1)*H86</f>
        <v>1.8</v>
      </c>
      <c r="O86" s="41">
        <v>0.1</v>
      </c>
      <c r="P86" s="158">
        <f>(L86-((ROUNDUP($C$46*(1-基础属性系数!$C$111)/(C86*I86),0)-D86)*(F86-$O86)+(D86-1)*H86))/L86</f>
        <v>0</v>
      </c>
      <c r="Q86" s="158">
        <f>(M86-((ROUNDUP($C$49*(1-基础属性系数!$C$111)/(C86*J86),0)-D86)*(F86-$O86)+(D86-1)*H86))/M86</f>
        <v>0</v>
      </c>
      <c r="R86" s="158">
        <f>(N86-((ROUNDUP($C$51*(1-基础属性系数!$C$111)/(C86*K86),0)-D86)*(F86-$O86)+(D86-1)*H86))/N86</f>
        <v>0</v>
      </c>
      <c r="S86" s="41">
        <v>1</v>
      </c>
      <c r="T86" s="158">
        <f>(L86-((ROUNDUP($C$46*(1-基础属性系数!$C$111)/(C86*I86),0)-D86)*(F86-$S86)+(D86-1)*H86))/L86</f>
        <v>0</v>
      </c>
      <c r="U86" s="158">
        <f>(M86-((ROUNDUP($C$49*(1-基础属性系数!$C$111)/(C86*J86),0)-D86)*(F86-$S86)+(D86-1)*H86))/M86</f>
        <v>0</v>
      </c>
      <c r="V86" s="158">
        <f>(N86-((ROUNDUP($C$51*(1-基础属性系数!$C$111)/(C86*K86),0)-D86)*(F86-$S86)+(D86-1)*H86))/N86</f>
        <v>0</v>
      </c>
      <c r="W86" s="34">
        <f>S86/F86</f>
        <v>0.22222222222222221</v>
      </c>
      <c r="X86" s="158">
        <f t="shared" si="81"/>
        <v>0</v>
      </c>
      <c r="Z86" s="132"/>
      <c r="AA86" s="132"/>
    </row>
    <row r="87" spans="2:27" x14ac:dyDescent="0.3">
      <c r="B87" s="2" t="s">
        <v>83</v>
      </c>
      <c r="C87" s="2">
        <f>ROUND(VLOOKUP(B87,标准坦克设计!$B$39:$H$46,6,FALSE),0)</f>
        <v>415</v>
      </c>
      <c r="D87" s="29">
        <f>VLOOKUP($B87,标准坦克设计!$B$13:$K$20,MATCH(D$80,标准坦克设计!$B$13:$K$13,0),FALSE)</f>
        <v>1</v>
      </c>
      <c r="E87" s="29">
        <f>VLOOKUP($B87,标准坦克设计!$B$13:$K$20,MATCH(E$80,标准坦克设计!$B$13:$K$13,0),FALSE)</f>
        <v>6</v>
      </c>
      <c r="F87" s="29">
        <f>VLOOKUP($B87,标准坦克设计!$B$13:$K$20,MATCH(F$80,标准坦克设计!$B$13:$K$13,0),FALSE)</f>
        <v>6</v>
      </c>
      <c r="G87" s="29">
        <f>VLOOKUP($B87,标准坦克设计!$B$13:$K$20,MATCH(G$80,标准坦克设计!$B$13:$K$13,0),FALSE)</f>
        <v>0</v>
      </c>
      <c r="H87" s="29">
        <f>VLOOKUP($B87,标准坦克设计!$B$13:$K$20,MATCH(H$80,标准坦克设计!$B$13:$K$13,0),FALSE)</f>
        <v>0</v>
      </c>
      <c r="I87" s="34">
        <f>标准坦克设计!R30</f>
        <v>1.3356897121541118</v>
      </c>
      <c r="J87" s="34">
        <f>标准坦克设计!S30</f>
        <v>1.2304784730239633</v>
      </c>
      <c r="K87" s="34">
        <f>标准坦克设计!T30</f>
        <v>1.1480160633661738</v>
      </c>
      <c r="L87" s="2">
        <f>(ROUNDUP($C$46*(1-基础属性系数!$C$111)/(C87*I87),0)-D87)*F87+(D87-1)*H87</f>
        <v>0</v>
      </c>
      <c r="M87" s="2">
        <f>(ROUNDUP($C$49*(1-基础属性系数!$C$111)/(C87*J87),0)-D87)*F87+(D87-1)*H87</f>
        <v>0</v>
      </c>
      <c r="N87" s="2">
        <f>(ROUNDUP($C$51*(1-基础属性系数!$C$111)/(C87*K87),0)-D87)*F87+(D87-1)*H87</f>
        <v>6</v>
      </c>
      <c r="O87" s="41">
        <v>0.1</v>
      </c>
      <c r="P87" s="158" t="e">
        <f>(L87-((ROUNDUP($C$46*(1-基础属性系数!$C$111)/(C87*I87),0)-D87)*(F87-$O87)+(D87-1)*H87))/L87</f>
        <v>#DIV/0!</v>
      </c>
      <c r="Q87" s="158" t="e">
        <f>(M87-((ROUNDUP($C$49*(1-基础属性系数!$C$111)/(C87*J87),0)-D87)*(F87-$O87)+(D87-1)*H87))/M87</f>
        <v>#DIV/0!</v>
      </c>
      <c r="R87" s="158">
        <f>(N87-((ROUNDUP($C$51*(1-基础属性系数!$C$111)/(C87*K87),0)-D87)*(F87-$O87)+(D87-1)*H87))/N87</f>
        <v>1.6666666666666607E-2</v>
      </c>
      <c r="S87" s="41">
        <v>1</v>
      </c>
      <c r="T87" s="158" t="e">
        <f>(L87-((ROUNDUP($C$46*(1-基础属性系数!$C$111)/(C87*I87),0)-D87)*(F87-$S87)+(D87-1)*H87))/L87</f>
        <v>#DIV/0!</v>
      </c>
      <c r="U87" s="158" t="e">
        <f>(M87-((ROUNDUP($C$49*(1-基础属性系数!$C$111)/(C87*J87),0)-D87)*(F87-$S87)+(D87-1)*H87))/M87</f>
        <v>#DIV/0!</v>
      </c>
      <c r="V87" s="158">
        <f>(N87-((ROUNDUP($C$51*(1-基础属性系数!$C$111)/(C87*K87),0)-D87)*(F87-$S87)+(D87-1)*H87))/N87</f>
        <v>0.16666666666666666</v>
      </c>
      <c r="W87" s="34">
        <f>S87/F87</f>
        <v>0.16666666666666666</v>
      </c>
      <c r="X87" s="158" t="e">
        <f t="shared" si="81"/>
        <v>#DIV/0!</v>
      </c>
      <c r="Z87" s="25"/>
      <c r="AA87" s="25"/>
    </row>
    <row r="88" spans="2:27" x14ac:dyDescent="0.3">
      <c r="B88" s="25"/>
      <c r="C88" s="25"/>
    </row>
    <row r="89" spans="2:27" x14ac:dyDescent="0.3">
      <c r="B89" s="351" t="s">
        <v>838</v>
      </c>
      <c r="C89" s="351"/>
      <c r="D89" s="351"/>
      <c r="E89" s="351"/>
      <c r="F89" s="351"/>
      <c r="G89" s="351"/>
      <c r="H89" s="351"/>
      <c r="I89" s="351"/>
      <c r="J89" s="351"/>
      <c r="K89" s="351"/>
      <c r="L89" s="351"/>
      <c r="M89" s="351"/>
      <c r="N89" s="351"/>
      <c r="O89" s="351"/>
      <c r="P89" s="351"/>
      <c r="Q89" s="351"/>
      <c r="R89" s="351"/>
      <c r="S89" s="351"/>
      <c r="T89" s="351"/>
      <c r="U89" s="351"/>
      <c r="V89" s="351"/>
      <c r="W89" s="351"/>
      <c r="X89" s="351"/>
      <c r="Y89" s="351"/>
    </row>
    <row r="90" spans="2:27" x14ac:dyDescent="0.3">
      <c r="B90" s="2" t="s">
        <v>71</v>
      </c>
      <c r="C90" s="2" t="s">
        <v>86</v>
      </c>
      <c r="D90" s="2" t="s">
        <v>87</v>
      </c>
      <c r="E90" s="2" t="s">
        <v>88</v>
      </c>
      <c r="F90" s="2" t="s">
        <v>89</v>
      </c>
      <c r="G90" s="2" t="s">
        <v>90</v>
      </c>
      <c r="H90" s="2" t="s">
        <v>839</v>
      </c>
      <c r="I90" s="2" t="s">
        <v>840</v>
      </c>
      <c r="J90" s="2" t="s">
        <v>841</v>
      </c>
      <c r="K90" s="2" t="s">
        <v>171</v>
      </c>
      <c r="L90" s="2" t="s">
        <v>842</v>
      </c>
      <c r="M90" s="2" t="s">
        <v>843</v>
      </c>
      <c r="N90" s="2" t="s">
        <v>844</v>
      </c>
      <c r="O90" s="2" t="s">
        <v>845</v>
      </c>
      <c r="P90" s="2" t="s">
        <v>846</v>
      </c>
      <c r="Q90" s="2" t="s">
        <v>847</v>
      </c>
      <c r="R90" s="2" t="s">
        <v>848</v>
      </c>
      <c r="S90" s="2" t="s">
        <v>849</v>
      </c>
      <c r="T90" s="2" t="s">
        <v>850</v>
      </c>
      <c r="U90" s="2" t="s">
        <v>851</v>
      </c>
      <c r="V90" s="2" t="s">
        <v>852</v>
      </c>
      <c r="W90" s="2" t="s">
        <v>853</v>
      </c>
      <c r="X90" s="2" t="s">
        <v>854</v>
      </c>
      <c r="Y90" s="2" t="s">
        <v>855</v>
      </c>
    </row>
    <row r="91" spans="2:27" x14ac:dyDescent="0.3">
      <c r="B91" s="2" t="s">
        <v>77</v>
      </c>
      <c r="C91" s="29">
        <f>VLOOKUP($B91,标准坦克设计!$B$13:$K$20,MATCH(C$90,标准坦克设计!$B$13:$K$13,0),FALSE)</f>
        <v>6</v>
      </c>
      <c r="D91" s="29">
        <f>VLOOKUP($B91,标准坦克设计!$B$13:$K$20,MATCH(D$90,标准坦克设计!$B$13:$K$13,0),FALSE)</f>
        <v>1.4</v>
      </c>
      <c r="E91" s="29">
        <f>VLOOKUP($B91,标准坦克设计!$B$13:$K$20,MATCH(E$90,标准坦克设计!$B$13:$K$13,0),FALSE)</f>
        <v>1.4</v>
      </c>
      <c r="F91" s="29">
        <f>VLOOKUP($B91,标准坦克设计!$B$13:$K$20,MATCH(F$90,标准坦克设计!$B$13:$K$13,0),FALSE)</f>
        <v>0</v>
      </c>
      <c r="G91" s="29">
        <f>VLOOKUP($B91,标准坦克设计!$B$13:$K$20,MATCH(G$90,标准坦克设计!$B$13:$K$13,0),FALSE)</f>
        <v>0.4</v>
      </c>
      <c r="H91" s="2">
        <f>VLOOKUP($B91,坦克类型系数!$AQ$3:$AX$10,MATCH(H$90,坦克类型系数!$AQ$3:$AX$3,0),FALSE)</f>
        <v>2</v>
      </c>
      <c r="I91" s="2">
        <f>VLOOKUP(B91,坦克类型系数!$AM$3:$AO$10,2,FALSE)</f>
        <v>0.2</v>
      </c>
      <c r="J91" s="2">
        <f>VLOOKUP($B91,坦克类型系数!$AQ$3:$AX$10,MATCH(J$90,坦克类型系数!$AQ$3:$AX$3,0),FALSE)</f>
        <v>1.08</v>
      </c>
      <c r="K91" s="2">
        <f>VLOOKUP($B91,坦克类型系数!$AQ$3:$AX$10,MATCH(K$90,坦克类型系数!$AQ$3:$AX$3,0),FALSE)</f>
        <v>1.2</v>
      </c>
      <c r="L91" s="2">
        <f>(G91-I91)*(H91-1)</f>
        <v>0.2</v>
      </c>
      <c r="M91" s="34">
        <f>J91*H91/K91-L91+I91</f>
        <v>1.8000000000000003</v>
      </c>
      <c r="N91" s="34">
        <f>M91+G91*(H91-1)</f>
        <v>2.2000000000000002</v>
      </c>
      <c r="O91" s="34">
        <f>J91/K91</f>
        <v>0.90000000000000013</v>
      </c>
      <c r="P91" s="21">
        <v>0.1</v>
      </c>
      <c r="Q91" s="34">
        <f>J91/(O91*(1-P91))</f>
        <v>1.3333333333333333</v>
      </c>
      <c r="R91" s="34">
        <f>J91*H91/Q91-L91+I91+G91*(H91-1)</f>
        <v>2.02</v>
      </c>
      <c r="S91" s="34">
        <f>(N91-R91)/N91</f>
        <v>8.1818181818181887E-2</v>
      </c>
      <c r="T91" s="21">
        <v>0.5</v>
      </c>
      <c r="U91" s="34">
        <f>J91/(O91*(1-T91))</f>
        <v>2.4</v>
      </c>
      <c r="V91" s="34">
        <f>J91*H91/U91-L91+I91+G91*(H91-1)</f>
        <v>1.3000000000000003</v>
      </c>
      <c r="W91" s="34">
        <f>(N91-V91)/R91</f>
        <v>0.4455445544554455</v>
      </c>
      <c r="X91" s="2" t="s">
        <v>856</v>
      </c>
      <c r="Y91" s="34">
        <f>W91/T91</f>
        <v>0.89108910891089099</v>
      </c>
      <c r="Z91" s="25"/>
      <c r="AA91" s="25"/>
    </row>
    <row r="92" spans="2:27" x14ac:dyDescent="0.3">
      <c r="B92" s="2" t="s">
        <v>78</v>
      </c>
      <c r="C92" s="29">
        <f>VLOOKUP($B92,标准坦克设计!$B$13:$K$20,MATCH(C$90,标准坦克设计!$B$13:$K$13,0),FALSE)</f>
        <v>9</v>
      </c>
      <c r="D92" s="29">
        <f>VLOOKUP($B92,标准坦克设计!$B$13:$K$20,MATCH(D$90,标准坦克设计!$B$13:$K$13,0),FALSE)</f>
        <v>0.7</v>
      </c>
      <c r="E92" s="29">
        <f>VLOOKUP($B92,标准坦克设计!$B$13:$K$20,MATCH(E$90,标准坦克设计!$B$13:$K$13,0),FALSE)</f>
        <v>0</v>
      </c>
      <c r="F92" s="29">
        <f>VLOOKUP($B92,标准坦克设计!$B$13:$K$20,MATCH(F$90,标准坦克设计!$B$13:$K$13,0),FALSE)</f>
        <v>6.3</v>
      </c>
      <c r="G92" s="29">
        <f>VLOOKUP($B92,标准坦克设计!$B$13:$K$20,MATCH(G$90,标准坦克设计!$B$13:$K$13,0),FALSE)</f>
        <v>0.4</v>
      </c>
      <c r="H92" s="2">
        <f>VLOOKUP($B92,坦克类型系数!$AQ$3:$AX$10,MATCH(H$90,坦克类型系数!$AQ$3:$AX$3,0),FALSE)</f>
        <v>3</v>
      </c>
      <c r="I92" s="2">
        <f>VLOOKUP(B92,坦克类型系数!$AM$3:$AO$10,2,FALSE)</f>
        <v>0.4</v>
      </c>
      <c r="J92" s="2">
        <f>VLOOKUP($B92,坦克类型系数!$AQ$3:$AX$10,MATCH(J$90,坦克类型系数!$AQ$3:$AX$3,0),FALSE)</f>
        <v>1.08</v>
      </c>
      <c r="K92" s="2">
        <f>VLOOKUP($B92,坦克类型系数!$AQ$3:$AX$10,MATCH(K$90,坦克类型系数!$AQ$3:$AX$3,0),FALSE)</f>
        <v>1.2</v>
      </c>
      <c r="L92" s="2">
        <f t="shared" ref="L92:L97" si="82">(G92-I92)*(H92-1)</f>
        <v>0</v>
      </c>
      <c r="M92" s="34">
        <f>J92*H92/K92-L92+I92</f>
        <v>3.1</v>
      </c>
      <c r="N92" s="34">
        <f t="shared" ref="N92:N97" si="83">M92+G92*(H92-1)</f>
        <v>3.9000000000000004</v>
      </c>
      <c r="O92" s="34">
        <f t="shared" ref="O92:O97" si="84">J92/K92</f>
        <v>0.90000000000000013</v>
      </c>
      <c r="P92" s="21">
        <v>0.1</v>
      </c>
      <c r="Q92" s="34">
        <f t="shared" ref="Q92:Q97" si="85">J92/(O92*(1-P92))</f>
        <v>1.3333333333333333</v>
      </c>
      <c r="R92" s="34">
        <f>J92*H92/Q92-L92+I92+G92*(H92-1)</f>
        <v>3.63</v>
      </c>
      <c r="S92" s="34">
        <f t="shared" ref="S92:S97" si="86">(N92-R92)/N92</f>
        <v>6.9230769230769346E-2</v>
      </c>
      <c r="T92" s="21">
        <v>0.5</v>
      </c>
      <c r="U92" s="34">
        <f t="shared" ref="U92:U97" si="87">J92/(O92*(1-T92))</f>
        <v>2.4</v>
      </c>
      <c r="V92" s="34">
        <f>J92*H92/U92-L92+I92+G92*(H92-1)</f>
        <v>2.5499999999999998</v>
      </c>
      <c r="W92" s="34">
        <f t="shared" ref="W92:W97" si="88">(N92-V92)/R92</f>
        <v>0.37190082644628114</v>
      </c>
      <c r="X92" s="2" t="s">
        <v>856</v>
      </c>
      <c r="Y92" s="34">
        <f>W92/T92</f>
        <v>0.74380165289256228</v>
      </c>
    </row>
    <row r="93" spans="2:27" x14ac:dyDescent="0.3">
      <c r="B93" s="2" t="s">
        <v>79</v>
      </c>
      <c r="C93" s="29">
        <f>VLOOKUP($B93,标准坦克设计!$B$13:$K$20,MATCH(C$90,标准坦克设计!$B$13:$K$13,0),FALSE)</f>
        <v>1</v>
      </c>
      <c r="D93" s="29">
        <f>VLOOKUP($B93,标准坦克设计!$B$13:$K$20,MATCH(D$90,标准坦克设计!$B$13:$K$13,0),FALSE)</f>
        <v>3</v>
      </c>
      <c r="E93" s="29">
        <f>VLOOKUP($B93,标准坦克设计!$B$13:$K$20,MATCH(E$90,标准坦克设计!$B$13:$K$13,0),FALSE)</f>
        <v>3</v>
      </c>
      <c r="F93" s="29">
        <f>VLOOKUP($B93,标准坦克设计!$B$13:$K$20,MATCH(F$90,标准坦克设计!$B$13:$K$13,0),FALSE)</f>
        <v>0</v>
      </c>
      <c r="G93" s="29">
        <f>VLOOKUP($B93,标准坦克设计!$B$13:$K$20,MATCH(G$90,标准坦克设计!$B$13:$K$13,0),FALSE)</f>
        <v>0</v>
      </c>
      <c r="H93" s="2">
        <f>VLOOKUP($B93,坦克类型系数!$AQ$3:$AX$10,MATCH(H$90,坦克类型系数!$AQ$3:$AX$3,0),FALSE)</f>
        <v>1</v>
      </c>
      <c r="I93" s="2">
        <f>VLOOKUP(B93,坦克类型系数!$AM$3:$AO$10,2,FALSE)</f>
        <v>0</v>
      </c>
      <c r="J93" s="2">
        <f>VLOOKUP($B93,坦克类型系数!$AQ$3:$AX$10,MATCH(J$90,坦克类型系数!$AQ$3:$AX$3,0),FALSE)</f>
        <v>1.8</v>
      </c>
      <c r="K93" s="2">
        <f>VLOOKUP($B93,坦克类型系数!$AQ$3:$AX$10,MATCH(K$90,坦克类型系数!$AQ$3:$AX$3,0),FALSE)</f>
        <v>1</v>
      </c>
      <c r="L93" s="2">
        <f t="shared" si="82"/>
        <v>0</v>
      </c>
      <c r="M93" s="34">
        <f>MAX(J93/K93+I93,E93)</f>
        <v>3</v>
      </c>
      <c r="N93" s="34">
        <f t="shared" si="83"/>
        <v>3</v>
      </c>
      <c r="O93" s="34">
        <f t="shared" si="84"/>
        <v>1.8</v>
      </c>
      <c r="P93" s="21">
        <v>0.1</v>
      </c>
      <c r="Q93" s="34">
        <f t="shared" si="85"/>
        <v>1.1111111111111112</v>
      </c>
      <c r="R93" s="34">
        <f>MAX(J93/Q93+I93,E93)+G93*(H93-1)</f>
        <v>3</v>
      </c>
      <c r="S93" s="34">
        <f t="shared" si="86"/>
        <v>0</v>
      </c>
      <c r="T93" s="21">
        <v>0.5</v>
      </c>
      <c r="U93" s="34">
        <f t="shared" si="87"/>
        <v>2</v>
      </c>
      <c r="V93" s="34">
        <f>MAX(J93/U93+I93,E93)+G93*(H93-1)</f>
        <v>3</v>
      </c>
      <c r="W93" s="34">
        <f t="shared" si="88"/>
        <v>0</v>
      </c>
      <c r="X93" s="2" t="s">
        <v>857</v>
      </c>
      <c r="Y93" s="2">
        <v>0</v>
      </c>
    </row>
    <row r="94" spans="2:27" x14ac:dyDescent="0.3">
      <c r="B94" s="2" t="s">
        <v>80</v>
      </c>
      <c r="C94" s="29">
        <f>VLOOKUP($B94,标准坦克设计!$B$13:$K$20,MATCH(C$90,标准坦克设计!$B$13:$K$13,0),FALSE)</f>
        <v>6</v>
      </c>
      <c r="D94" s="29">
        <f>VLOOKUP($B94,标准坦克设计!$B$13:$K$20,MATCH(D$90,标准坦克设计!$B$13:$K$13,0),FALSE)</f>
        <v>1</v>
      </c>
      <c r="E94" s="29">
        <f>VLOOKUP($B94,标准坦克设计!$B$13:$K$20,MATCH(E$90,标准坦克设计!$B$13:$K$13,0),FALSE)</f>
        <v>0</v>
      </c>
      <c r="F94" s="29">
        <f>VLOOKUP($B94,标准坦克设计!$B$13:$K$20,MATCH(F$90,标准坦克设计!$B$13:$K$13,0),FALSE)</f>
        <v>6</v>
      </c>
      <c r="G94" s="29">
        <f>VLOOKUP($B94,标准坦克设计!$B$13:$K$20,MATCH(G$90,标准坦克设计!$B$13:$K$13,0),FALSE)</f>
        <v>0.5</v>
      </c>
      <c r="H94" s="2">
        <f>VLOOKUP($B94,坦克类型系数!$AQ$3:$AX$10,MATCH(H$90,坦克类型系数!$AQ$3:$AX$3,0),FALSE)</f>
        <v>2</v>
      </c>
      <c r="I94" s="2">
        <f>VLOOKUP(B94,坦克类型系数!$AM$3:$AO$10,2,FALSE)</f>
        <v>0.4</v>
      </c>
      <c r="J94" s="2">
        <f>VLOOKUP($B94,坦克类型系数!$AQ$3:$AX$10,MATCH(J$90,坦克类型系数!$AQ$3:$AX$3,0),FALSE)</f>
        <v>1.68</v>
      </c>
      <c r="K94" s="2">
        <f>VLOOKUP($B94,坦克类型系数!$AQ$3:$AX$10,MATCH(K$90,坦克类型系数!$AQ$3:$AX$3,0),FALSE)</f>
        <v>1.2</v>
      </c>
      <c r="L94" s="2">
        <f t="shared" si="82"/>
        <v>9.9999999999999978E-2</v>
      </c>
      <c r="M94" s="34">
        <f>J94*H94/K94-L94+I94</f>
        <v>3.0999999999999996</v>
      </c>
      <c r="N94" s="34">
        <f t="shared" si="83"/>
        <v>3.5999999999999996</v>
      </c>
      <c r="O94" s="34">
        <f t="shared" si="84"/>
        <v>1.4</v>
      </c>
      <c r="P94" s="21">
        <v>0.1</v>
      </c>
      <c r="Q94" s="34">
        <f t="shared" si="85"/>
        <v>1.3333333333333333</v>
      </c>
      <c r="R94" s="34">
        <f>J94*H94/Q94-L94+I94+G94*(H94-1)</f>
        <v>3.32</v>
      </c>
      <c r="S94" s="34">
        <f t="shared" si="86"/>
        <v>7.7777777777777737E-2</v>
      </c>
      <c r="T94" s="21">
        <v>0.5</v>
      </c>
      <c r="U94" s="34">
        <f t="shared" si="87"/>
        <v>2.4</v>
      </c>
      <c r="V94" s="34">
        <f>J94*H94/U94-L94+I94+G94*(H94-1)</f>
        <v>2.1999999999999997</v>
      </c>
      <c r="W94" s="34">
        <f t="shared" si="88"/>
        <v>0.42168674698795178</v>
      </c>
      <c r="X94" s="2" t="s">
        <v>856</v>
      </c>
      <c r="Y94" s="34">
        <f>W94/T94</f>
        <v>0.84337349397590355</v>
      </c>
    </row>
    <row r="95" spans="2:27" x14ac:dyDescent="0.3">
      <c r="B95" s="2" t="s">
        <v>81</v>
      </c>
      <c r="C95" s="29">
        <f>VLOOKUP($B95,标准坦克设计!$B$13:$K$20,MATCH(C$90,标准坦克设计!$B$13:$K$13,0),FALSE)</f>
        <v>6</v>
      </c>
      <c r="D95" s="29">
        <f>VLOOKUP($B95,标准坦克设计!$B$13:$K$20,MATCH(D$90,标准坦克设计!$B$13:$K$13,0),FALSE)</f>
        <v>2</v>
      </c>
      <c r="E95" s="29">
        <f>VLOOKUP($B95,标准坦克设计!$B$13:$K$20,MATCH(E$90,标准坦克设计!$B$13:$K$13,0),FALSE)</f>
        <v>2</v>
      </c>
      <c r="F95" s="29">
        <f>VLOOKUP($B95,标准坦克设计!$B$13:$K$20,MATCH(F$90,标准坦克设计!$B$13:$K$13,0),FALSE)</f>
        <v>0</v>
      </c>
      <c r="G95" s="29">
        <f>VLOOKUP($B95,标准坦克设计!$B$13:$K$20,MATCH(G$90,标准坦克设计!$B$13:$K$13,0),FALSE)</f>
        <v>1</v>
      </c>
      <c r="H95" s="2">
        <f>VLOOKUP($B95,坦克类型系数!$AQ$3:$AX$10,MATCH(H$90,坦克类型系数!$AQ$3:$AX$3,0),FALSE)</f>
        <v>2</v>
      </c>
      <c r="I95" s="2">
        <f>VLOOKUP(B95,坦克类型系数!$AM$3:$AO$10,2,FALSE)</f>
        <v>0.2</v>
      </c>
      <c r="J95" s="2">
        <f>VLOOKUP($B95,坦克类型系数!$AQ$3:$AX$10,MATCH(J$90,坦克类型系数!$AQ$3:$AX$3,0),FALSE)</f>
        <v>1.35</v>
      </c>
      <c r="K95" s="2">
        <f>VLOOKUP($B95,坦克类型系数!$AQ$3:$AX$10,MATCH(K$90,坦克类型系数!$AQ$3:$AX$3,0),FALSE)</f>
        <v>1</v>
      </c>
      <c r="L95" s="2">
        <f t="shared" si="82"/>
        <v>0.8</v>
      </c>
      <c r="M95" s="34">
        <f>MAX(J95/K95+I95,E95)</f>
        <v>2</v>
      </c>
      <c r="N95" s="34">
        <f t="shared" si="83"/>
        <v>3</v>
      </c>
      <c r="O95" s="34">
        <f t="shared" si="84"/>
        <v>1.35</v>
      </c>
      <c r="P95" s="21">
        <v>0.1</v>
      </c>
      <c r="Q95" s="34">
        <f t="shared" si="85"/>
        <v>1.1111111111111112</v>
      </c>
      <c r="R95" s="34">
        <f>MAX(J95/Q95+I95,E95)+G95*(H95-1)</f>
        <v>3</v>
      </c>
      <c r="S95" s="34">
        <f t="shared" si="86"/>
        <v>0</v>
      </c>
      <c r="T95" s="21">
        <v>0.5</v>
      </c>
      <c r="U95" s="34">
        <f t="shared" si="87"/>
        <v>2</v>
      </c>
      <c r="V95" s="34">
        <f>MAX(J95/U95+I95,E95)+G95*(H95-1)</f>
        <v>3</v>
      </c>
      <c r="W95" s="34">
        <f t="shared" si="88"/>
        <v>0</v>
      </c>
      <c r="X95" s="2" t="s">
        <v>858</v>
      </c>
      <c r="Y95" s="2">
        <v>0.8</v>
      </c>
    </row>
    <row r="96" spans="2:27" x14ac:dyDescent="0.3">
      <c r="B96" s="2" t="s">
        <v>82</v>
      </c>
      <c r="C96" s="29">
        <f>VLOOKUP($B96,标准坦克设计!$B$13:$K$20,MATCH(C$90,标准坦克设计!$B$13:$K$13,0),FALSE)</f>
        <v>2</v>
      </c>
      <c r="D96" s="29">
        <f>VLOOKUP($B96,标准坦克设计!$B$13:$K$20,MATCH(D$90,标准坦克设计!$B$13:$K$13,0),FALSE)</f>
        <v>4.5</v>
      </c>
      <c r="E96" s="29">
        <f>VLOOKUP($B96,标准坦克设计!$B$13:$K$20,MATCH(E$90,标准坦克设计!$B$13:$K$13,0),FALSE)</f>
        <v>4.5</v>
      </c>
      <c r="F96" s="29">
        <f>VLOOKUP($B96,标准坦克设计!$B$13:$K$20,MATCH(F$90,标准坦克设计!$B$13:$K$13,0),FALSE)</f>
        <v>0</v>
      </c>
      <c r="G96" s="29">
        <f>VLOOKUP($B96,标准坦克设计!$B$13:$K$20,MATCH(G$90,标准坦克设计!$B$13:$K$13,0),FALSE)</f>
        <v>1.8</v>
      </c>
      <c r="H96" s="2">
        <f>VLOOKUP($B96,坦克类型系数!$AQ$3:$AX$10,MATCH(H$90,坦克类型系数!$AQ$3:$AX$3,0),FALSE)</f>
        <v>2</v>
      </c>
      <c r="I96" s="2">
        <f>VLOOKUP(B96,坦克类型系数!$AM$3:$AO$10,2,FALSE)</f>
        <v>1.6</v>
      </c>
      <c r="J96" s="2">
        <f>VLOOKUP($B96,坦克类型系数!$AQ$3:$AX$10,MATCH(J$90,坦克类型系数!$AQ$3:$AX$3,0),FALSE)</f>
        <v>2.58</v>
      </c>
      <c r="K96" s="2">
        <f>VLOOKUP($B96,坦克类型系数!$AQ$3:$AX$10,MATCH(K$90,坦克类型系数!$AQ$3:$AX$3,0),FALSE)</f>
        <v>1.2</v>
      </c>
      <c r="L96" s="2">
        <f t="shared" si="82"/>
        <v>0.19999999999999996</v>
      </c>
      <c r="M96" s="34">
        <f>J96*H96/K96-L96+I96</f>
        <v>5.7000000000000011</v>
      </c>
      <c r="N96" s="34">
        <f t="shared" si="83"/>
        <v>7.5000000000000009</v>
      </c>
      <c r="O96" s="34">
        <f t="shared" si="84"/>
        <v>2.1500000000000004</v>
      </c>
      <c r="P96" s="21">
        <v>0.1</v>
      </c>
      <c r="Q96" s="34">
        <f t="shared" si="85"/>
        <v>1.3333333333333333</v>
      </c>
      <c r="R96" s="34">
        <f>J96*H96/Q96-L96+I96+G96*(H96-1)</f>
        <v>7.0699999999999994</v>
      </c>
      <c r="S96" s="34">
        <f t="shared" si="86"/>
        <v>5.7333333333333528E-2</v>
      </c>
      <c r="T96" s="21">
        <v>0.5</v>
      </c>
      <c r="U96" s="34">
        <f t="shared" si="87"/>
        <v>2.3999999999999995</v>
      </c>
      <c r="V96" s="34">
        <f>J96*H96/U96-L96+I96+G96*(H96-1)</f>
        <v>5.3500000000000005</v>
      </c>
      <c r="W96" s="34">
        <f t="shared" si="88"/>
        <v>0.30410183875530417</v>
      </c>
      <c r="X96" s="2" t="s">
        <v>856</v>
      </c>
      <c r="Y96" s="34">
        <f>W96/T96</f>
        <v>0.60820367751060833</v>
      </c>
    </row>
    <row r="97" spans="2:25" x14ac:dyDescent="0.3">
      <c r="B97" s="2" t="s">
        <v>83</v>
      </c>
      <c r="C97" s="29">
        <f>VLOOKUP($B97,标准坦克设计!$B$13:$K$20,MATCH(C$90,标准坦克设计!$B$13:$K$13,0),FALSE)</f>
        <v>1</v>
      </c>
      <c r="D97" s="29">
        <f>VLOOKUP($B97,标准坦克设计!$B$13:$K$20,MATCH(D$90,标准坦克设计!$B$13:$K$13,0),FALSE)</f>
        <v>6</v>
      </c>
      <c r="E97" s="29">
        <f>VLOOKUP($B97,标准坦克设计!$B$13:$K$20,MATCH(E$90,标准坦克设计!$B$13:$K$13,0),FALSE)</f>
        <v>6</v>
      </c>
      <c r="F97" s="29">
        <f>VLOOKUP($B97,标准坦克设计!$B$13:$K$20,MATCH(F$90,标准坦克设计!$B$13:$K$13,0),FALSE)</f>
        <v>0</v>
      </c>
      <c r="G97" s="29">
        <f>VLOOKUP($B97,标准坦克设计!$B$13:$K$20,MATCH(G$90,标准坦克设计!$B$13:$K$13,0),FALSE)</f>
        <v>0</v>
      </c>
      <c r="H97" s="2">
        <f>VLOOKUP($B97,坦克类型系数!$AQ$3:$AX$10,MATCH(H$90,坦克类型系数!$AQ$3:$AX$3,0),FALSE)</f>
        <v>1</v>
      </c>
      <c r="I97" s="2">
        <f>VLOOKUP(B97,坦克类型系数!$AM$3:$AO$10,2,FALSE)</f>
        <v>0</v>
      </c>
      <c r="J97" s="2">
        <f>VLOOKUP($B97,坦克类型系数!$AQ$3:$AX$10,MATCH(J$90,坦克类型系数!$AQ$3:$AX$3,0),FALSE)</f>
        <v>3</v>
      </c>
      <c r="K97" s="2">
        <f>VLOOKUP($B97,坦克类型系数!$AQ$3:$AX$10,MATCH(K$90,坦克类型系数!$AQ$3:$AX$3,0),FALSE)</f>
        <v>1</v>
      </c>
      <c r="L97" s="2">
        <f t="shared" si="82"/>
        <v>0</v>
      </c>
      <c r="M97" s="34">
        <f>MAX(J97/K97+I97,E97)</f>
        <v>6</v>
      </c>
      <c r="N97" s="34">
        <f t="shared" si="83"/>
        <v>6</v>
      </c>
      <c r="O97" s="34">
        <f t="shared" si="84"/>
        <v>3</v>
      </c>
      <c r="P97" s="21">
        <v>0.1</v>
      </c>
      <c r="Q97" s="34">
        <f t="shared" si="85"/>
        <v>1.1111111111111109</v>
      </c>
      <c r="R97" s="34">
        <f>MAX(J97/Q97+I97,E97)+G97*(H97-1)</f>
        <v>6</v>
      </c>
      <c r="S97" s="34">
        <f t="shared" si="86"/>
        <v>0</v>
      </c>
      <c r="T97" s="21">
        <v>0.5</v>
      </c>
      <c r="U97" s="34">
        <f t="shared" si="87"/>
        <v>2</v>
      </c>
      <c r="V97" s="34">
        <f>MAX(J97/U97+I97,E97)+G97*(H97-1)</f>
        <v>6</v>
      </c>
      <c r="W97" s="34">
        <f t="shared" si="88"/>
        <v>0</v>
      </c>
      <c r="X97" s="2" t="s">
        <v>857</v>
      </c>
      <c r="Y97" s="2">
        <v>0</v>
      </c>
    </row>
    <row r="99" spans="2:25" x14ac:dyDescent="0.3">
      <c r="B99" s="205" t="s">
        <v>724</v>
      </c>
      <c r="C99" s="22" t="s">
        <v>753</v>
      </c>
      <c r="D99" s="217" t="s">
        <v>859</v>
      </c>
      <c r="E99" s="205" t="s">
        <v>754</v>
      </c>
      <c r="F99" s="217" t="s">
        <v>859</v>
      </c>
      <c r="G99" s="205" t="s">
        <v>755</v>
      </c>
      <c r="H99" s="217" t="s">
        <v>859</v>
      </c>
    </row>
    <row r="100" spans="2:25" x14ac:dyDescent="0.3">
      <c r="B100" s="205">
        <v>1</v>
      </c>
      <c r="C100" s="205">
        <v>1</v>
      </c>
      <c r="D100" s="2">
        <v>1</v>
      </c>
      <c r="E100" s="205"/>
      <c r="F100" s="205"/>
      <c r="G100" s="205"/>
      <c r="H100" s="205"/>
    </row>
    <row r="101" spans="2:25" x14ac:dyDescent="0.3">
      <c r="B101" s="205">
        <v>1</v>
      </c>
      <c r="C101" s="205">
        <v>2</v>
      </c>
      <c r="D101" s="205">
        <f>D$100+(C101-C$100)*VLOOKUP(B101,$B$3:$T$9,MATCH($C$99,$B$3:$T$3,0))</f>
        <v>1.06</v>
      </c>
      <c r="E101" s="205"/>
      <c r="F101" s="205"/>
      <c r="G101" s="205"/>
      <c r="H101" s="205"/>
    </row>
    <row r="102" spans="2:25" x14ac:dyDescent="0.3">
      <c r="B102" s="205">
        <v>1</v>
      </c>
      <c r="C102" s="205">
        <v>3</v>
      </c>
      <c r="D102" s="205">
        <f>D$100+(C102-C$100)*VLOOKUP(B102,$B$3:$T$9,MATCH($C$99,$B$3:$T$3,0))</f>
        <v>1.1200000000000001</v>
      </c>
      <c r="E102" s="205"/>
      <c r="F102" s="205"/>
      <c r="G102" s="205"/>
      <c r="H102" s="205"/>
    </row>
    <row r="103" spans="2:25" x14ac:dyDescent="0.3">
      <c r="B103" s="205">
        <v>1</v>
      </c>
      <c r="C103" s="205">
        <v>4</v>
      </c>
      <c r="D103" s="205">
        <f>D$100+(C103-C$100)*VLOOKUP(B103,$B$3:$T$9,MATCH($C$99,$B$3:$T$3,0))</f>
        <v>1.18</v>
      </c>
      <c r="E103" s="205"/>
      <c r="F103" s="205"/>
      <c r="G103" s="205"/>
      <c r="H103" s="205"/>
    </row>
    <row r="104" spans="2:25" x14ac:dyDescent="0.3">
      <c r="B104" s="205">
        <v>1</v>
      </c>
      <c r="C104" s="205">
        <v>5</v>
      </c>
      <c r="D104" s="205">
        <f>D$100+(C104-C$100)*VLOOKUP(B104,$B$3:$T$9,MATCH($C$99,$B$3:$T$3,0))</f>
        <v>1.24</v>
      </c>
      <c r="E104" s="205"/>
      <c r="F104" s="205"/>
      <c r="G104" s="205"/>
      <c r="H104" s="205"/>
    </row>
    <row r="105" spans="2:25" x14ac:dyDescent="0.3">
      <c r="B105" s="205">
        <v>1</v>
      </c>
      <c r="C105" s="205">
        <v>6</v>
      </c>
      <c r="D105" s="205">
        <f>D$100+(C105-C$100)*VLOOKUP(B105,$B$3:$T$9,MATCH($C$99,$B$3:$T$3,0))</f>
        <v>1.3</v>
      </c>
      <c r="E105" s="205"/>
      <c r="F105" s="205"/>
      <c r="G105" s="205"/>
      <c r="H105" s="205"/>
    </row>
    <row r="106" spans="2:25" x14ac:dyDescent="0.3">
      <c r="B106" s="205">
        <v>2</v>
      </c>
      <c r="C106" s="205">
        <v>1</v>
      </c>
      <c r="D106" s="205">
        <f>D100+B106*VLOOKUP(B106,$B$3:$T$9,MATCH($C$99,$B$3:$T$3,0))</f>
        <v>1.1599999999999999</v>
      </c>
      <c r="E106" s="205">
        <v>1</v>
      </c>
      <c r="F106" s="205">
        <f>D100+B106*VLOOKUP(B106,$B$3:$T$9,MATCH($E$99,$B$3:$T$3,0))</f>
        <v>1.18</v>
      </c>
      <c r="G106" s="205"/>
      <c r="H106" s="205"/>
    </row>
    <row r="107" spans="2:25" x14ac:dyDescent="0.3">
      <c r="B107" s="205">
        <v>2</v>
      </c>
      <c r="C107" s="205">
        <v>2</v>
      </c>
      <c r="D107" s="205">
        <f t="shared" ref="D107:D112" si="89">D$106+(C107-C$100)*VLOOKUP(B107,$B$3:$T$9,MATCH($C$99,$B$3:$T$3,0))</f>
        <v>1.24</v>
      </c>
      <c r="E107" s="205">
        <v>2</v>
      </c>
      <c r="F107" s="205">
        <f t="shared" ref="F107:F113" si="90">F106+VLOOKUP(B107,$B$3:$T$9,MATCH($C$99,$B$3:$T$3,0))</f>
        <v>1.26</v>
      </c>
      <c r="G107" s="205"/>
      <c r="H107" s="205"/>
    </row>
    <row r="108" spans="2:25" x14ac:dyDescent="0.3">
      <c r="B108" s="205">
        <v>2</v>
      </c>
      <c r="C108" s="205">
        <v>3</v>
      </c>
      <c r="D108" s="205">
        <f t="shared" si="89"/>
        <v>1.3199999999999998</v>
      </c>
      <c r="E108" s="205">
        <v>3</v>
      </c>
      <c r="F108" s="205">
        <f t="shared" si="90"/>
        <v>1.34</v>
      </c>
      <c r="G108" s="205"/>
      <c r="H108" s="205"/>
    </row>
    <row r="109" spans="2:25" x14ac:dyDescent="0.3">
      <c r="B109" s="205">
        <v>2</v>
      </c>
      <c r="C109" s="205">
        <v>4</v>
      </c>
      <c r="D109" s="205">
        <f t="shared" si="89"/>
        <v>1.4</v>
      </c>
      <c r="E109" s="205">
        <v>4</v>
      </c>
      <c r="F109" s="205">
        <f t="shared" si="90"/>
        <v>1.4200000000000002</v>
      </c>
      <c r="G109" s="205"/>
      <c r="H109" s="205"/>
    </row>
    <row r="110" spans="2:25" x14ac:dyDescent="0.3">
      <c r="B110" s="205">
        <v>2</v>
      </c>
      <c r="C110" s="205">
        <v>5</v>
      </c>
      <c r="D110" s="205">
        <f t="shared" si="89"/>
        <v>1.48</v>
      </c>
      <c r="E110" s="205">
        <v>5</v>
      </c>
      <c r="F110" s="205">
        <f t="shared" si="90"/>
        <v>1.5000000000000002</v>
      </c>
      <c r="G110" s="205"/>
      <c r="H110" s="205"/>
    </row>
    <row r="111" spans="2:25" x14ac:dyDescent="0.3">
      <c r="B111" s="205">
        <v>2</v>
      </c>
      <c r="C111" s="205">
        <v>6</v>
      </c>
      <c r="D111" s="205">
        <f t="shared" si="89"/>
        <v>1.56</v>
      </c>
      <c r="E111" s="205">
        <v>6</v>
      </c>
      <c r="F111" s="205">
        <f t="shared" si="90"/>
        <v>1.5800000000000003</v>
      </c>
      <c r="G111" s="205"/>
      <c r="H111" s="205"/>
    </row>
    <row r="112" spans="2:25" x14ac:dyDescent="0.3">
      <c r="B112" s="205">
        <v>2</v>
      </c>
      <c r="C112" s="205">
        <v>7</v>
      </c>
      <c r="D112" s="205">
        <f t="shared" si="89"/>
        <v>1.64</v>
      </c>
      <c r="E112" s="205">
        <v>7</v>
      </c>
      <c r="F112" s="205">
        <f t="shared" si="90"/>
        <v>1.6600000000000004</v>
      </c>
      <c r="G112" s="205"/>
      <c r="H112" s="205"/>
    </row>
    <row r="113" spans="2:8" x14ac:dyDescent="0.3">
      <c r="B113" s="205">
        <v>2</v>
      </c>
      <c r="C113" s="205"/>
      <c r="D113" s="205"/>
      <c r="E113" s="205">
        <v>8</v>
      </c>
      <c r="F113" s="205">
        <f t="shared" si="90"/>
        <v>1.7400000000000004</v>
      </c>
      <c r="G113" s="205"/>
      <c r="H113" s="205"/>
    </row>
    <row r="114" spans="2:8" x14ac:dyDescent="0.3">
      <c r="B114" s="205">
        <v>2</v>
      </c>
      <c r="C114" s="205"/>
      <c r="D114" s="205"/>
      <c r="E114" s="205">
        <v>9</v>
      </c>
      <c r="F114" s="205">
        <f>F113+VLOOKUP(B114,$B$3:$T$9,MATCH($E$99,$B$3:$T$3,0))</f>
        <v>1.8300000000000005</v>
      </c>
      <c r="G114" s="205"/>
      <c r="H114" s="205"/>
    </row>
    <row r="115" spans="2:8" x14ac:dyDescent="0.3">
      <c r="B115" s="205">
        <v>2</v>
      </c>
      <c r="C115" s="205"/>
      <c r="D115" s="205"/>
      <c r="E115" s="205">
        <v>10</v>
      </c>
      <c r="F115" s="205">
        <f>F114+VLOOKUP(B115,$B$3:$T$9,MATCH($E$99,$B$3:$T$3,0))</f>
        <v>1.9200000000000006</v>
      </c>
      <c r="G115" s="205"/>
      <c r="H115" s="205"/>
    </row>
    <row r="116" spans="2:8" x14ac:dyDescent="0.3">
      <c r="B116" s="205">
        <v>2</v>
      </c>
      <c r="C116" s="205"/>
      <c r="D116" s="205"/>
      <c r="E116" s="205">
        <v>11</v>
      </c>
      <c r="F116" s="205">
        <f>F115+VLOOKUP(B116,$B$3:$T$9,MATCH($E$99,$B$3:$T$3,0))</f>
        <v>2.0100000000000007</v>
      </c>
      <c r="G116" s="205"/>
      <c r="H116" s="205"/>
    </row>
    <row r="117" spans="2:8" x14ac:dyDescent="0.3">
      <c r="B117" s="205">
        <v>2</v>
      </c>
      <c r="C117" s="205"/>
      <c r="D117" s="205"/>
      <c r="E117" s="205">
        <v>12</v>
      </c>
      <c r="F117" s="205">
        <f>F116+VLOOKUP(B117,$B$3:$T$9,MATCH($E$99,$B$3:$T$3,0))</f>
        <v>2.1000000000000005</v>
      </c>
      <c r="G117" s="205"/>
      <c r="H117" s="205"/>
    </row>
    <row r="118" spans="2:8" x14ac:dyDescent="0.3">
      <c r="B118" s="205">
        <v>3</v>
      </c>
      <c r="C118" s="205">
        <v>1</v>
      </c>
      <c r="D118" s="205">
        <f>D106+B118*VLOOKUP(B118,$B$3:$T$9,MATCH($C$99,$B$3:$T$3,0))</f>
        <v>1.43</v>
      </c>
      <c r="E118" s="205">
        <v>1</v>
      </c>
      <c r="F118" s="205">
        <f>D106+B118*VLOOKUP(B118,$B$3:$T$9,MATCH($E$99,$B$3:$T$3,0))</f>
        <v>1.46</v>
      </c>
      <c r="G118" s="205">
        <v>1</v>
      </c>
      <c r="H118" s="205">
        <f>D106+B118*VLOOKUP(B118,$B$3:$T$9,MATCH($G$99,$B$3:$T$3,0))</f>
        <v>1.49</v>
      </c>
    </row>
    <row r="119" spans="2:8" x14ac:dyDescent="0.3">
      <c r="B119" s="205">
        <v>3</v>
      </c>
      <c r="C119" s="205">
        <v>2</v>
      </c>
      <c r="D119" s="205">
        <f t="shared" ref="D119:D126" si="91">D$118+(C119-C$100)*VLOOKUP(B119,$B$3:$T$9,MATCH($C$99,$B$3:$T$3,0))</f>
        <v>1.52</v>
      </c>
      <c r="E119" s="205">
        <v>2</v>
      </c>
      <c r="F119" s="205">
        <f t="shared" ref="F119:F127" si="92">F118+VLOOKUP(B119,$B$3:$T$9,MATCH($C$99,$B$3:$T$3,0))</f>
        <v>1.55</v>
      </c>
      <c r="G119" s="205">
        <v>2</v>
      </c>
      <c r="H119" s="205">
        <f t="shared" ref="H119:H127" si="93">H118+VLOOKUP(B119,$B$3:$T$9,MATCH($C$99,$B$3:$T$3,0))</f>
        <v>1.58</v>
      </c>
    </row>
    <row r="120" spans="2:8" x14ac:dyDescent="0.3">
      <c r="B120" s="205">
        <v>3</v>
      </c>
      <c r="C120" s="205">
        <v>3</v>
      </c>
      <c r="D120" s="205">
        <f t="shared" si="91"/>
        <v>1.6099999999999999</v>
      </c>
      <c r="E120" s="205">
        <v>3</v>
      </c>
      <c r="F120" s="205">
        <f t="shared" si="92"/>
        <v>1.6400000000000001</v>
      </c>
      <c r="G120" s="205">
        <v>3</v>
      </c>
      <c r="H120" s="205">
        <f t="shared" si="93"/>
        <v>1.6700000000000002</v>
      </c>
    </row>
    <row r="121" spans="2:8" x14ac:dyDescent="0.3">
      <c r="B121" s="205">
        <v>3</v>
      </c>
      <c r="C121" s="205">
        <v>4</v>
      </c>
      <c r="D121" s="205">
        <f t="shared" si="91"/>
        <v>1.7</v>
      </c>
      <c r="E121" s="205">
        <v>4</v>
      </c>
      <c r="F121" s="205">
        <f t="shared" si="92"/>
        <v>1.7300000000000002</v>
      </c>
      <c r="G121" s="205">
        <v>4</v>
      </c>
      <c r="H121" s="205">
        <f t="shared" si="93"/>
        <v>1.7600000000000002</v>
      </c>
    </row>
    <row r="122" spans="2:8" x14ac:dyDescent="0.3">
      <c r="B122" s="205">
        <v>3</v>
      </c>
      <c r="C122" s="205">
        <v>5</v>
      </c>
      <c r="D122" s="205">
        <f t="shared" si="91"/>
        <v>1.79</v>
      </c>
      <c r="E122" s="205">
        <v>5</v>
      </c>
      <c r="F122" s="205">
        <f t="shared" si="92"/>
        <v>1.8200000000000003</v>
      </c>
      <c r="G122" s="205">
        <v>5</v>
      </c>
      <c r="H122" s="205">
        <f t="shared" si="93"/>
        <v>1.8500000000000003</v>
      </c>
    </row>
    <row r="123" spans="2:8" x14ac:dyDescent="0.3">
      <c r="B123" s="205">
        <v>3</v>
      </c>
      <c r="C123" s="205">
        <v>6</v>
      </c>
      <c r="D123" s="205">
        <f t="shared" si="91"/>
        <v>1.88</v>
      </c>
      <c r="E123" s="205">
        <v>6</v>
      </c>
      <c r="F123" s="205">
        <f t="shared" si="92"/>
        <v>1.9100000000000004</v>
      </c>
      <c r="G123" s="205">
        <v>6</v>
      </c>
      <c r="H123" s="205">
        <f t="shared" si="93"/>
        <v>1.9400000000000004</v>
      </c>
    </row>
    <row r="124" spans="2:8" x14ac:dyDescent="0.3">
      <c r="B124" s="205">
        <v>3</v>
      </c>
      <c r="C124" s="205">
        <v>7</v>
      </c>
      <c r="D124" s="205">
        <f t="shared" si="91"/>
        <v>1.97</v>
      </c>
      <c r="E124" s="205">
        <v>7</v>
      </c>
      <c r="F124" s="205">
        <f t="shared" si="92"/>
        <v>2.0000000000000004</v>
      </c>
      <c r="G124" s="205">
        <v>7</v>
      </c>
      <c r="H124" s="205">
        <f t="shared" si="93"/>
        <v>2.0300000000000002</v>
      </c>
    </row>
    <row r="125" spans="2:8" x14ac:dyDescent="0.3">
      <c r="B125" s="205">
        <v>3</v>
      </c>
      <c r="C125" s="205">
        <v>8</v>
      </c>
      <c r="D125" s="205">
        <f t="shared" si="91"/>
        <v>2.06</v>
      </c>
      <c r="E125" s="205">
        <v>8</v>
      </c>
      <c r="F125" s="205">
        <f t="shared" si="92"/>
        <v>2.0900000000000003</v>
      </c>
      <c r="G125" s="205">
        <v>8</v>
      </c>
      <c r="H125" s="205">
        <f t="shared" si="93"/>
        <v>2.12</v>
      </c>
    </row>
    <row r="126" spans="2:8" x14ac:dyDescent="0.3">
      <c r="B126" s="205">
        <v>3</v>
      </c>
      <c r="C126" s="205">
        <v>9</v>
      </c>
      <c r="D126" s="205">
        <f t="shared" si="91"/>
        <v>2.15</v>
      </c>
      <c r="E126" s="205">
        <v>9</v>
      </c>
      <c r="F126" s="205">
        <f t="shared" si="92"/>
        <v>2.1800000000000002</v>
      </c>
      <c r="G126" s="205">
        <v>9</v>
      </c>
      <c r="H126" s="205">
        <f t="shared" si="93"/>
        <v>2.21</v>
      </c>
    </row>
    <row r="127" spans="2:8" x14ac:dyDescent="0.3">
      <c r="B127" s="205">
        <v>3</v>
      </c>
      <c r="C127" s="205"/>
      <c r="D127" s="205"/>
      <c r="E127" s="205">
        <v>10</v>
      </c>
      <c r="F127" s="205">
        <f t="shared" si="92"/>
        <v>2.27</v>
      </c>
      <c r="G127" s="205">
        <v>10</v>
      </c>
      <c r="H127" s="205">
        <f t="shared" si="93"/>
        <v>2.2999999999999998</v>
      </c>
    </row>
    <row r="128" spans="2:8" x14ac:dyDescent="0.3">
      <c r="B128" s="205">
        <v>3</v>
      </c>
      <c r="C128" s="205"/>
      <c r="D128" s="205"/>
      <c r="E128" s="205">
        <v>11</v>
      </c>
      <c r="F128" s="205">
        <f>F127+VLOOKUP(B128,$B$3:$T$9,MATCH($E$99,$B$3:$T$3,0))</f>
        <v>2.37</v>
      </c>
      <c r="G128" s="205">
        <v>11</v>
      </c>
      <c r="H128" s="205">
        <f>H127+VLOOKUP(B128,$B$3:$T$9,MATCH($G$99,$B$3:$T$3,0))</f>
        <v>2.4099999999999997</v>
      </c>
    </row>
    <row r="129" spans="2:8" x14ac:dyDescent="0.3">
      <c r="B129" s="205">
        <v>3</v>
      </c>
      <c r="C129" s="205"/>
      <c r="D129" s="205"/>
      <c r="E129" s="205">
        <v>12</v>
      </c>
      <c r="F129" s="205">
        <f>F128+VLOOKUP(B129,$B$3:$T$9,MATCH($E$99,$B$3:$T$3,0))</f>
        <v>2.4700000000000002</v>
      </c>
      <c r="G129" s="205">
        <v>12</v>
      </c>
      <c r="H129" s="205">
        <f>H128+VLOOKUP(B129,$B$3:$T$9,MATCH($G$99,$B$3:$T$3,0))</f>
        <v>2.5199999999999996</v>
      </c>
    </row>
    <row r="130" spans="2:8" x14ac:dyDescent="0.3">
      <c r="B130" s="205">
        <v>3</v>
      </c>
      <c r="C130" s="205"/>
      <c r="D130" s="205"/>
      <c r="E130" s="205">
        <v>13</v>
      </c>
      <c r="F130" s="205">
        <f>F129+VLOOKUP(B130,$B$3:$T$9,MATCH($E$99,$B$3:$T$3,0))</f>
        <v>2.5700000000000003</v>
      </c>
      <c r="G130" s="205">
        <v>13</v>
      </c>
      <c r="H130" s="205">
        <f>H129+VLOOKUP(B130,$B$3:$T$9,MATCH($G$99,$B$3:$T$3,0))</f>
        <v>2.6299999999999994</v>
      </c>
    </row>
    <row r="131" spans="2:8" x14ac:dyDescent="0.3">
      <c r="B131" s="205">
        <v>3</v>
      </c>
      <c r="C131" s="205"/>
      <c r="D131" s="205"/>
      <c r="E131" s="205">
        <v>14</v>
      </c>
      <c r="F131" s="205">
        <f>F130+VLOOKUP(B131,$B$3:$T$9,MATCH($E$99,$B$3:$T$3,0))</f>
        <v>2.6700000000000004</v>
      </c>
      <c r="G131" s="205">
        <v>14</v>
      </c>
      <c r="H131" s="205">
        <f>H130+VLOOKUP(B131,$B$3:$T$9,MATCH($G$99,$B$3:$T$3,0))</f>
        <v>2.7399999999999993</v>
      </c>
    </row>
    <row r="132" spans="2:8" x14ac:dyDescent="0.3">
      <c r="B132" s="205">
        <v>3</v>
      </c>
      <c r="C132" s="205"/>
      <c r="D132" s="205"/>
      <c r="E132" s="205">
        <v>15</v>
      </c>
      <c r="F132" s="205">
        <f>F131+VLOOKUP(B132,$B$3:$T$9,MATCH($E$99,$B$3:$T$3,0))</f>
        <v>2.7700000000000005</v>
      </c>
      <c r="G132" s="205">
        <v>15</v>
      </c>
      <c r="H132" s="205">
        <f>H131+VLOOKUP(B132,$B$3:$T$9,MATCH($G$99,$B$3:$T$3,0))</f>
        <v>2.8499999999999992</v>
      </c>
    </row>
    <row r="133" spans="2:8" x14ac:dyDescent="0.3">
      <c r="B133" s="205">
        <v>4</v>
      </c>
      <c r="C133" s="205">
        <v>1</v>
      </c>
      <c r="D133" s="205">
        <f>D118+B133*VLOOKUP(B133,$B$3:$T$9,MATCH($C$99,$B$3:$T$3,0))</f>
        <v>1.83</v>
      </c>
      <c r="E133" s="205">
        <v>1</v>
      </c>
      <c r="F133" s="205">
        <f>D118+B133*VLOOKUP(B133,$B$3:$T$9,MATCH($E$99,$B$3:$T$3,0))</f>
        <v>1.8699999999999999</v>
      </c>
      <c r="G133" s="205">
        <v>1</v>
      </c>
      <c r="H133" s="205">
        <f>D118+B133*VLOOKUP(B133,$B$3:$T$9,MATCH($G$99,$B$3:$T$3,0))</f>
        <v>1.91</v>
      </c>
    </row>
    <row r="134" spans="2:8" x14ac:dyDescent="0.3">
      <c r="B134" s="205">
        <v>4</v>
      </c>
      <c r="C134" s="205">
        <v>2</v>
      </c>
      <c r="D134" s="205">
        <f t="shared" ref="D134:D143" si="94">D$133+(C134-C$100)*VLOOKUP(B134,$B$3:$T$9,MATCH($C$99,$B$3:$T$3,0))</f>
        <v>1.9300000000000002</v>
      </c>
      <c r="E134" s="205">
        <v>2</v>
      </c>
      <c r="F134" s="205">
        <f t="shared" ref="F134:F144" si="95">F133+VLOOKUP(B134,$B$3:$T$9,MATCH($C$99,$B$3:$T$3,0))</f>
        <v>1.97</v>
      </c>
      <c r="G134" s="205">
        <v>2</v>
      </c>
      <c r="H134" s="205">
        <f t="shared" ref="H134:H144" si="96">H133+VLOOKUP(B134,$B$3:$T$9,MATCH($C$99,$B$3:$T$3,0))</f>
        <v>2.0099999999999998</v>
      </c>
    </row>
    <row r="135" spans="2:8" x14ac:dyDescent="0.3">
      <c r="B135" s="205">
        <v>4</v>
      </c>
      <c r="C135" s="205">
        <v>3</v>
      </c>
      <c r="D135" s="205">
        <f t="shared" si="94"/>
        <v>2.0300000000000002</v>
      </c>
      <c r="E135" s="205">
        <v>3</v>
      </c>
      <c r="F135" s="205">
        <f t="shared" si="95"/>
        <v>2.0699999999999998</v>
      </c>
      <c r="G135" s="205">
        <v>3</v>
      </c>
      <c r="H135" s="205">
        <f t="shared" si="96"/>
        <v>2.11</v>
      </c>
    </row>
    <row r="136" spans="2:8" x14ac:dyDescent="0.3">
      <c r="B136" s="205">
        <v>4</v>
      </c>
      <c r="C136" s="205">
        <v>4</v>
      </c>
      <c r="D136" s="205">
        <f t="shared" si="94"/>
        <v>2.13</v>
      </c>
      <c r="E136" s="205">
        <v>4</v>
      </c>
      <c r="F136" s="205">
        <f t="shared" si="95"/>
        <v>2.17</v>
      </c>
      <c r="G136" s="205">
        <v>4</v>
      </c>
      <c r="H136" s="205">
        <f t="shared" si="96"/>
        <v>2.21</v>
      </c>
    </row>
    <row r="137" spans="2:8" x14ac:dyDescent="0.3">
      <c r="B137" s="205">
        <v>4</v>
      </c>
      <c r="C137" s="205">
        <v>5</v>
      </c>
      <c r="D137" s="205">
        <f t="shared" si="94"/>
        <v>2.23</v>
      </c>
      <c r="E137" s="205">
        <v>5</v>
      </c>
      <c r="F137" s="205">
        <f t="shared" si="95"/>
        <v>2.27</v>
      </c>
      <c r="G137" s="205">
        <v>5</v>
      </c>
      <c r="H137" s="205">
        <f t="shared" si="96"/>
        <v>2.31</v>
      </c>
    </row>
    <row r="138" spans="2:8" x14ac:dyDescent="0.3">
      <c r="B138" s="205">
        <v>4</v>
      </c>
      <c r="C138" s="205">
        <v>6</v>
      </c>
      <c r="D138" s="205">
        <f t="shared" si="94"/>
        <v>2.33</v>
      </c>
      <c r="E138" s="205">
        <v>6</v>
      </c>
      <c r="F138" s="205">
        <f t="shared" si="95"/>
        <v>2.37</v>
      </c>
      <c r="G138" s="205">
        <v>6</v>
      </c>
      <c r="H138" s="205">
        <f t="shared" si="96"/>
        <v>2.41</v>
      </c>
    </row>
    <row r="139" spans="2:8" x14ac:dyDescent="0.3">
      <c r="B139" s="205">
        <v>4</v>
      </c>
      <c r="C139" s="205">
        <v>7</v>
      </c>
      <c r="D139" s="205">
        <f t="shared" si="94"/>
        <v>2.4300000000000002</v>
      </c>
      <c r="E139" s="205">
        <v>7</v>
      </c>
      <c r="F139" s="205">
        <f t="shared" si="95"/>
        <v>2.4700000000000002</v>
      </c>
      <c r="G139" s="205">
        <v>7</v>
      </c>
      <c r="H139" s="205">
        <f t="shared" si="96"/>
        <v>2.5100000000000002</v>
      </c>
    </row>
    <row r="140" spans="2:8" x14ac:dyDescent="0.3">
      <c r="B140" s="205">
        <v>4</v>
      </c>
      <c r="C140" s="205">
        <v>8</v>
      </c>
      <c r="D140" s="205">
        <f t="shared" si="94"/>
        <v>2.5300000000000002</v>
      </c>
      <c r="E140" s="205">
        <v>8</v>
      </c>
      <c r="F140" s="205">
        <f t="shared" si="95"/>
        <v>2.5700000000000003</v>
      </c>
      <c r="G140" s="205">
        <v>8</v>
      </c>
      <c r="H140" s="205">
        <f t="shared" si="96"/>
        <v>2.6100000000000003</v>
      </c>
    </row>
    <row r="141" spans="2:8" x14ac:dyDescent="0.3">
      <c r="B141" s="205">
        <v>4</v>
      </c>
      <c r="C141" s="205">
        <v>9</v>
      </c>
      <c r="D141" s="205">
        <f t="shared" si="94"/>
        <v>2.63</v>
      </c>
      <c r="E141" s="205">
        <v>9</v>
      </c>
      <c r="F141" s="205">
        <f t="shared" si="95"/>
        <v>2.6700000000000004</v>
      </c>
      <c r="G141" s="205">
        <v>9</v>
      </c>
      <c r="H141" s="205">
        <f t="shared" si="96"/>
        <v>2.7100000000000004</v>
      </c>
    </row>
    <row r="142" spans="2:8" x14ac:dyDescent="0.3">
      <c r="B142" s="205">
        <v>4</v>
      </c>
      <c r="C142" s="205">
        <v>10</v>
      </c>
      <c r="D142" s="205">
        <f t="shared" si="94"/>
        <v>2.73</v>
      </c>
      <c r="E142" s="205">
        <v>10</v>
      </c>
      <c r="F142" s="205">
        <f t="shared" si="95"/>
        <v>2.7700000000000005</v>
      </c>
      <c r="G142" s="205">
        <v>10</v>
      </c>
      <c r="H142" s="205">
        <f t="shared" si="96"/>
        <v>2.8100000000000005</v>
      </c>
    </row>
    <row r="143" spans="2:8" x14ac:dyDescent="0.3">
      <c r="B143" s="205">
        <v>4</v>
      </c>
      <c r="C143" s="205">
        <v>11</v>
      </c>
      <c r="D143" s="205">
        <f t="shared" si="94"/>
        <v>2.83</v>
      </c>
      <c r="E143" s="205">
        <v>11</v>
      </c>
      <c r="F143" s="205">
        <f t="shared" si="95"/>
        <v>2.8700000000000006</v>
      </c>
      <c r="G143" s="205">
        <v>11</v>
      </c>
      <c r="H143" s="205">
        <f t="shared" si="96"/>
        <v>2.9100000000000006</v>
      </c>
    </row>
    <row r="144" spans="2:8" x14ac:dyDescent="0.3">
      <c r="B144" s="205">
        <v>4</v>
      </c>
      <c r="C144" s="205"/>
      <c r="D144" s="205"/>
      <c r="E144" s="205">
        <v>12</v>
      </c>
      <c r="F144" s="205">
        <f t="shared" si="95"/>
        <v>2.9700000000000006</v>
      </c>
      <c r="G144" s="205">
        <v>12</v>
      </c>
      <c r="H144" s="205">
        <f t="shared" si="96"/>
        <v>3.0100000000000007</v>
      </c>
    </row>
    <row r="145" spans="2:8" x14ac:dyDescent="0.3">
      <c r="B145" s="205">
        <v>4</v>
      </c>
      <c r="C145" s="205"/>
      <c r="D145" s="205"/>
      <c r="E145" s="205">
        <v>13</v>
      </c>
      <c r="F145" s="205">
        <f t="shared" ref="F145:F150" si="97">F144+VLOOKUP(B145,$B$3:$T$9,MATCH($E$99,$B$3:$T$3,0))</f>
        <v>3.0800000000000005</v>
      </c>
      <c r="G145" s="205">
        <v>13</v>
      </c>
      <c r="H145" s="205">
        <f t="shared" ref="H145:H150" si="98">H144+VLOOKUP(B145,$B$3:$T$9,MATCH($G$99,$B$3:$T$3,0))</f>
        <v>3.1300000000000008</v>
      </c>
    </row>
    <row r="146" spans="2:8" x14ac:dyDescent="0.3">
      <c r="B146" s="205">
        <v>4</v>
      </c>
      <c r="C146" s="205"/>
      <c r="D146" s="205"/>
      <c r="E146" s="205">
        <v>14</v>
      </c>
      <c r="F146" s="205">
        <f t="shared" si="97"/>
        <v>3.1900000000000004</v>
      </c>
      <c r="G146" s="205">
        <v>14</v>
      </c>
      <c r="H146" s="205">
        <f t="shared" si="98"/>
        <v>3.2500000000000009</v>
      </c>
    </row>
    <row r="147" spans="2:8" x14ac:dyDescent="0.3">
      <c r="B147" s="205">
        <v>4</v>
      </c>
      <c r="C147" s="205"/>
      <c r="D147" s="205"/>
      <c r="E147" s="205">
        <v>15</v>
      </c>
      <c r="F147" s="205">
        <f t="shared" si="97"/>
        <v>3.3000000000000003</v>
      </c>
      <c r="G147" s="205">
        <v>15</v>
      </c>
      <c r="H147" s="205">
        <f t="shared" si="98"/>
        <v>3.370000000000001</v>
      </c>
    </row>
    <row r="148" spans="2:8" x14ac:dyDescent="0.3">
      <c r="B148" s="205">
        <v>4</v>
      </c>
      <c r="C148" s="205"/>
      <c r="D148" s="205"/>
      <c r="E148" s="205">
        <v>16</v>
      </c>
      <c r="F148" s="205">
        <f t="shared" si="97"/>
        <v>3.41</v>
      </c>
      <c r="G148" s="205">
        <v>16</v>
      </c>
      <c r="H148" s="205">
        <f t="shared" si="98"/>
        <v>3.4900000000000011</v>
      </c>
    </row>
    <row r="149" spans="2:8" x14ac:dyDescent="0.3">
      <c r="B149" s="205">
        <v>4</v>
      </c>
      <c r="C149" s="205"/>
      <c r="D149" s="205"/>
      <c r="E149" s="205">
        <v>17</v>
      </c>
      <c r="F149" s="205">
        <f t="shared" si="97"/>
        <v>3.52</v>
      </c>
      <c r="G149" s="205">
        <v>17</v>
      </c>
      <c r="H149" s="205">
        <f t="shared" si="98"/>
        <v>3.6100000000000012</v>
      </c>
    </row>
    <row r="150" spans="2:8" x14ac:dyDescent="0.3">
      <c r="B150" s="205">
        <v>4</v>
      </c>
      <c r="C150" s="205"/>
      <c r="D150" s="205"/>
      <c r="E150" s="205">
        <v>18</v>
      </c>
      <c r="F150" s="205">
        <f t="shared" si="97"/>
        <v>3.63</v>
      </c>
      <c r="G150" s="205">
        <v>18</v>
      </c>
      <c r="H150" s="205">
        <f t="shared" si="98"/>
        <v>3.7300000000000013</v>
      </c>
    </row>
    <row r="151" spans="2:8" x14ac:dyDescent="0.3">
      <c r="B151" s="205">
        <v>5</v>
      </c>
      <c r="C151" s="205">
        <v>1</v>
      </c>
      <c r="D151" s="205">
        <f>D133+B151*VLOOKUP(B151,$B$3:$T$9,MATCH($C$99,$B$3:$T$3,0))</f>
        <v>2.38</v>
      </c>
      <c r="E151" s="205">
        <v>1</v>
      </c>
      <c r="F151" s="205">
        <f>D133+B151*VLOOKUP(B151,$B$3:$T$9,MATCH($E$99,$B$3:$T$3,0))</f>
        <v>2.4300000000000002</v>
      </c>
      <c r="G151" s="205">
        <v>1</v>
      </c>
      <c r="H151" s="205">
        <f>D133+B151*VLOOKUP(B151,$B$3:$T$9,MATCH($G$99,$B$3:$T$3,0))</f>
        <v>2.48</v>
      </c>
    </row>
    <row r="152" spans="2:8" x14ac:dyDescent="0.3">
      <c r="B152" s="205">
        <v>5</v>
      </c>
      <c r="C152" s="205">
        <v>2</v>
      </c>
      <c r="D152" s="205">
        <f t="shared" ref="D152:D163" si="99">D$151+(C152-C$100)*VLOOKUP(B152,$B$3:$T$9,MATCH($C$99,$B$3:$T$3,0))</f>
        <v>2.4899999999999998</v>
      </c>
      <c r="E152" s="205">
        <v>2</v>
      </c>
      <c r="F152" s="205">
        <f t="shared" ref="F152:F164" si="100">F151+VLOOKUP(B152,$B$3:$T$9,MATCH($C$99,$B$3:$T$3,0))</f>
        <v>2.54</v>
      </c>
      <c r="G152" s="205">
        <v>2</v>
      </c>
      <c r="H152" s="205">
        <f t="shared" ref="H152:H164" si="101">H151+VLOOKUP(B152,$B$3:$T$9,MATCH($C$99,$B$3:$T$3,0))</f>
        <v>2.59</v>
      </c>
    </row>
    <row r="153" spans="2:8" x14ac:dyDescent="0.3">
      <c r="B153" s="205">
        <v>5</v>
      </c>
      <c r="C153" s="205">
        <v>3</v>
      </c>
      <c r="D153" s="205">
        <f t="shared" si="99"/>
        <v>2.6</v>
      </c>
      <c r="E153" s="205">
        <v>3</v>
      </c>
      <c r="F153" s="205">
        <f t="shared" si="100"/>
        <v>2.65</v>
      </c>
      <c r="G153" s="205">
        <v>3</v>
      </c>
      <c r="H153" s="205">
        <f t="shared" si="101"/>
        <v>2.6999999999999997</v>
      </c>
    </row>
    <row r="154" spans="2:8" x14ac:dyDescent="0.3">
      <c r="B154" s="205">
        <v>5</v>
      </c>
      <c r="C154" s="205">
        <v>4</v>
      </c>
      <c r="D154" s="205">
        <f t="shared" si="99"/>
        <v>2.71</v>
      </c>
      <c r="E154" s="205">
        <v>4</v>
      </c>
      <c r="F154" s="205">
        <f t="shared" si="100"/>
        <v>2.76</v>
      </c>
      <c r="G154" s="205">
        <v>4</v>
      </c>
      <c r="H154" s="205">
        <f t="shared" si="101"/>
        <v>2.8099999999999996</v>
      </c>
    </row>
    <row r="155" spans="2:8" x14ac:dyDescent="0.3">
      <c r="B155" s="205">
        <v>5</v>
      </c>
      <c r="C155" s="205">
        <v>5</v>
      </c>
      <c r="D155" s="205">
        <f t="shared" si="99"/>
        <v>2.82</v>
      </c>
      <c r="E155" s="205">
        <v>5</v>
      </c>
      <c r="F155" s="205">
        <f t="shared" si="100"/>
        <v>2.8699999999999997</v>
      </c>
      <c r="G155" s="205">
        <v>5</v>
      </c>
      <c r="H155" s="205">
        <f t="shared" si="101"/>
        <v>2.9199999999999995</v>
      </c>
    </row>
    <row r="156" spans="2:8" x14ac:dyDescent="0.3">
      <c r="B156" s="205">
        <v>5</v>
      </c>
      <c r="C156" s="205">
        <v>6</v>
      </c>
      <c r="D156" s="205">
        <f t="shared" si="99"/>
        <v>2.9299999999999997</v>
      </c>
      <c r="E156" s="205">
        <v>6</v>
      </c>
      <c r="F156" s="205">
        <f t="shared" si="100"/>
        <v>2.9799999999999995</v>
      </c>
      <c r="G156" s="205">
        <v>6</v>
      </c>
      <c r="H156" s="205">
        <f t="shared" si="101"/>
        <v>3.0299999999999994</v>
      </c>
    </row>
    <row r="157" spans="2:8" x14ac:dyDescent="0.3">
      <c r="B157" s="205">
        <v>5</v>
      </c>
      <c r="C157" s="205">
        <v>7</v>
      </c>
      <c r="D157" s="205">
        <f t="shared" si="99"/>
        <v>3.04</v>
      </c>
      <c r="E157" s="205">
        <v>7</v>
      </c>
      <c r="F157" s="205">
        <f t="shared" si="100"/>
        <v>3.0899999999999994</v>
      </c>
      <c r="G157" s="205">
        <v>7</v>
      </c>
      <c r="H157" s="205">
        <f t="shared" si="101"/>
        <v>3.1399999999999992</v>
      </c>
    </row>
    <row r="158" spans="2:8" x14ac:dyDescent="0.3">
      <c r="B158" s="205">
        <v>5</v>
      </c>
      <c r="C158" s="205">
        <v>8</v>
      </c>
      <c r="D158" s="205">
        <f t="shared" si="99"/>
        <v>3.15</v>
      </c>
      <c r="E158" s="205">
        <v>8</v>
      </c>
      <c r="F158" s="205">
        <f t="shared" si="100"/>
        <v>3.1999999999999993</v>
      </c>
      <c r="G158" s="205">
        <v>8</v>
      </c>
      <c r="H158" s="205">
        <f t="shared" si="101"/>
        <v>3.2499999999999991</v>
      </c>
    </row>
    <row r="159" spans="2:8" x14ac:dyDescent="0.3">
      <c r="B159" s="205">
        <v>5</v>
      </c>
      <c r="C159" s="205">
        <v>9</v>
      </c>
      <c r="D159" s="205">
        <f t="shared" si="99"/>
        <v>3.26</v>
      </c>
      <c r="E159" s="205">
        <v>9</v>
      </c>
      <c r="F159" s="205">
        <f t="shared" si="100"/>
        <v>3.3099999999999992</v>
      </c>
      <c r="G159" s="205">
        <v>9</v>
      </c>
      <c r="H159" s="205">
        <f t="shared" si="101"/>
        <v>3.359999999999999</v>
      </c>
    </row>
    <row r="160" spans="2:8" x14ac:dyDescent="0.3">
      <c r="B160" s="205">
        <v>5</v>
      </c>
      <c r="C160" s="205">
        <v>10</v>
      </c>
      <c r="D160" s="205">
        <f t="shared" si="99"/>
        <v>3.37</v>
      </c>
      <c r="E160" s="205">
        <v>10</v>
      </c>
      <c r="F160" s="205">
        <f t="shared" si="100"/>
        <v>3.419999999999999</v>
      </c>
      <c r="G160" s="205">
        <v>10</v>
      </c>
      <c r="H160" s="205">
        <f t="shared" si="101"/>
        <v>3.4699999999999989</v>
      </c>
    </row>
    <row r="161" spans="2:8" x14ac:dyDescent="0.3">
      <c r="B161" s="205">
        <v>5</v>
      </c>
      <c r="C161" s="205">
        <v>11</v>
      </c>
      <c r="D161" s="205">
        <f t="shared" si="99"/>
        <v>3.48</v>
      </c>
      <c r="E161" s="205">
        <v>11</v>
      </c>
      <c r="F161" s="205">
        <f t="shared" si="100"/>
        <v>3.5299999999999989</v>
      </c>
      <c r="G161" s="205">
        <v>11</v>
      </c>
      <c r="H161" s="205">
        <f t="shared" si="101"/>
        <v>3.5799999999999987</v>
      </c>
    </row>
    <row r="162" spans="2:8" x14ac:dyDescent="0.3">
      <c r="B162" s="205">
        <v>5</v>
      </c>
      <c r="C162" s="205">
        <v>12</v>
      </c>
      <c r="D162" s="205">
        <f t="shared" si="99"/>
        <v>3.59</v>
      </c>
      <c r="E162" s="205">
        <v>12</v>
      </c>
      <c r="F162" s="205">
        <f t="shared" si="100"/>
        <v>3.6399999999999988</v>
      </c>
      <c r="G162" s="205">
        <v>12</v>
      </c>
      <c r="H162" s="205">
        <f t="shared" si="101"/>
        <v>3.6899999999999986</v>
      </c>
    </row>
    <row r="163" spans="2:8" x14ac:dyDescent="0.3">
      <c r="B163" s="205">
        <v>5</v>
      </c>
      <c r="C163" s="205">
        <v>13</v>
      </c>
      <c r="D163" s="205">
        <f t="shared" si="99"/>
        <v>3.7</v>
      </c>
      <c r="E163" s="205">
        <v>13</v>
      </c>
      <c r="F163" s="205">
        <f t="shared" si="100"/>
        <v>3.7499999999999987</v>
      </c>
      <c r="G163" s="205">
        <v>13</v>
      </c>
      <c r="H163" s="205">
        <f t="shared" si="101"/>
        <v>3.7999999999999985</v>
      </c>
    </row>
    <row r="164" spans="2:8" x14ac:dyDescent="0.3">
      <c r="B164" s="205">
        <v>5</v>
      </c>
      <c r="C164" s="205"/>
      <c r="D164" s="205"/>
      <c r="E164" s="205">
        <v>14</v>
      </c>
      <c r="F164" s="205">
        <f t="shared" si="100"/>
        <v>3.8599999999999985</v>
      </c>
      <c r="G164" s="205">
        <v>14</v>
      </c>
      <c r="H164" s="205">
        <f t="shared" si="101"/>
        <v>3.9099999999999984</v>
      </c>
    </row>
    <row r="165" spans="2:8" x14ac:dyDescent="0.3">
      <c r="B165" s="205">
        <v>5</v>
      </c>
      <c r="C165" s="205"/>
      <c r="D165" s="205"/>
      <c r="E165" s="205">
        <v>15</v>
      </c>
      <c r="F165" s="205">
        <f t="shared" ref="F165:F171" si="102">F164+VLOOKUP(B165,$B$3:$T$9,MATCH($E$99,$B$3:$T$3,0))</f>
        <v>3.9799999999999986</v>
      </c>
      <c r="G165" s="205">
        <v>15</v>
      </c>
      <c r="H165" s="205">
        <f t="shared" ref="H165:H171" si="103">H164+VLOOKUP(B165,$B$3:$T$9,MATCH($G$99,$B$3:$T$3,0))</f>
        <v>4.0399999999999983</v>
      </c>
    </row>
    <row r="166" spans="2:8" x14ac:dyDescent="0.3">
      <c r="B166" s="205">
        <v>5</v>
      </c>
      <c r="C166" s="205"/>
      <c r="D166" s="205"/>
      <c r="E166" s="205">
        <v>16</v>
      </c>
      <c r="F166" s="205">
        <f t="shared" si="102"/>
        <v>4.0999999999999988</v>
      </c>
      <c r="G166" s="205">
        <v>16</v>
      </c>
      <c r="H166" s="205">
        <f t="shared" si="103"/>
        <v>4.1699999999999982</v>
      </c>
    </row>
    <row r="167" spans="2:8" x14ac:dyDescent="0.3">
      <c r="B167" s="205">
        <v>5</v>
      </c>
      <c r="C167" s="205"/>
      <c r="D167" s="205"/>
      <c r="E167" s="205">
        <v>17</v>
      </c>
      <c r="F167" s="205">
        <f t="shared" si="102"/>
        <v>4.2199999999999989</v>
      </c>
      <c r="G167" s="205">
        <v>17</v>
      </c>
      <c r="H167" s="205">
        <f t="shared" si="103"/>
        <v>4.299999999999998</v>
      </c>
    </row>
    <row r="168" spans="2:8" x14ac:dyDescent="0.3">
      <c r="B168" s="205">
        <v>5</v>
      </c>
      <c r="C168" s="205"/>
      <c r="D168" s="205"/>
      <c r="E168" s="205">
        <v>18</v>
      </c>
      <c r="F168" s="205">
        <f t="shared" si="102"/>
        <v>4.339999999999999</v>
      </c>
      <c r="G168" s="205">
        <v>18</v>
      </c>
      <c r="H168" s="205">
        <f t="shared" si="103"/>
        <v>4.4299999999999979</v>
      </c>
    </row>
    <row r="169" spans="2:8" x14ac:dyDescent="0.3">
      <c r="B169" s="205">
        <v>5</v>
      </c>
      <c r="C169" s="205"/>
      <c r="D169" s="205"/>
      <c r="E169" s="205">
        <v>19</v>
      </c>
      <c r="F169" s="205">
        <f t="shared" si="102"/>
        <v>4.4599999999999991</v>
      </c>
      <c r="G169" s="205">
        <v>19</v>
      </c>
      <c r="H169" s="205">
        <f t="shared" si="103"/>
        <v>4.5599999999999978</v>
      </c>
    </row>
    <row r="170" spans="2:8" x14ac:dyDescent="0.3">
      <c r="B170" s="205">
        <v>5</v>
      </c>
      <c r="C170" s="205"/>
      <c r="D170" s="205"/>
      <c r="E170" s="205">
        <v>20</v>
      </c>
      <c r="F170" s="205">
        <f t="shared" si="102"/>
        <v>4.5799999999999992</v>
      </c>
      <c r="G170" s="205">
        <v>20</v>
      </c>
      <c r="H170" s="205">
        <f t="shared" si="103"/>
        <v>4.6899999999999977</v>
      </c>
    </row>
    <row r="171" spans="2:8" x14ac:dyDescent="0.3">
      <c r="B171" s="205">
        <v>5</v>
      </c>
      <c r="C171" s="205"/>
      <c r="D171" s="205"/>
      <c r="E171" s="205">
        <v>21</v>
      </c>
      <c r="F171" s="205">
        <f t="shared" si="102"/>
        <v>4.6999999999999993</v>
      </c>
      <c r="G171" s="205">
        <v>21</v>
      </c>
      <c r="H171" s="205">
        <f t="shared" si="103"/>
        <v>4.8199999999999976</v>
      </c>
    </row>
  </sheetData>
  <mergeCells count="37">
    <mergeCell ref="B2:H2"/>
    <mergeCell ref="I2:K2"/>
    <mergeCell ref="L2:N2"/>
    <mergeCell ref="O2:Q2"/>
    <mergeCell ref="R2:T2"/>
    <mergeCell ref="DJ2:DQ2"/>
    <mergeCell ref="DS2:DZ2"/>
    <mergeCell ref="EB2:EI2"/>
    <mergeCell ref="EK2:ER2"/>
    <mergeCell ref="B11:K11"/>
    <mergeCell ref="P11:U11"/>
    <mergeCell ref="BS2:BY2"/>
    <mergeCell ref="CA2:CG2"/>
    <mergeCell ref="CI2:CP2"/>
    <mergeCell ref="CR2:CY2"/>
    <mergeCell ref="DA2:DH2"/>
    <mergeCell ref="AE2:AK2"/>
    <mergeCell ref="AM2:AS2"/>
    <mergeCell ref="AU2:BA2"/>
    <mergeCell ref="BC2:BI2"/>
    <mergeCell ref="BK2:BQ2"/>
    <mergeCell ref="B26:D26"/>
    <mergeCell ref="F26:H26"/>
    <mergeCell ref="J26:L26"/>
    <mergeCell ref="AE29:AK29"/>
    <mergeCell ref="AM29:AS29"/>
    <mergeCell ref="AU29:BA29"/>
    <mergeCell ref="BC29:BI29"/>
    <mergeCell ref="BK29:BQ29"/>
    <mergeCell ref="BS29:BY29"/>
    <mergeCell ref="CA29:CG29"/>
    <mergeCell ref="B89:Y89"/>
    <mergeCell ref="B34:G34"/>
    <mergeCell ref="B44:H44"/>
    <mergeCell ref="B54:Q54"/>
    <mergeCell ref="B69:X69"/>
    <mergeCell ref="B79:X79"/>
  </mergeCells>
  <phoneticPr fontId="32" type="noConversion"/>
  <pageMargins left="0.7" right="0.7" top="0.75" bottom="0.75" header="0.3" footer="0.3"/>
  <pageSetup paperSize="9" orientation="portrait"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11"/>
  <dimension ref="A1:FM245"/>
  <sheetViews>
    <sheetView workbookViewId="0">
      <selection activeCell="P37" sqref="P37"/>
    </sheetView>
  </sheetViews>
  <sheetFormatPr defaultColWidth="9" defaultRowHeight="13.5" x14ac:dyDescent="0.15"/>
  <cols>
    <col min="1" max="2" width="9" style="183"/>
    <col min="3" max="3" width="10.5" style="183" customWidth="1"/>
    <col min="4" max="16384" width="9" style="183"/>
  </cols>
  <sheetData>
    <row r="1" spans="1:169" ht="14.25" x14ac:dyDescent="0.3">
      <c r="A1" s="184"/>
      <c r="B1" s="184"/>
      <c r="C1" s="184"/>
      <c r="D1" s="184"/>
      <c r="E1" s="184"/>
      <c r="F1" s="184"/>
      <c r="G1" s="184"/>
      <c r="H1" s="184"/>
      <c r="I1" s="184"/>
      <c r="J1" s="193"/>
      <c r="K1" s="184"/>
      <c r="L1" s="184"/>
      <c r="M1" s="184"/>
      <c r="N1" s="184"/>
      <c r="O1" s="184"/>
      <c r="P1" s="184"/>
      <c r="Q1" s="184"/>
      <c r="R1" s="184"/>
      <c r="S1" s="184"/>
      <c r="T1" s="184"/>
      <c r="U1" s="184"/>
      <c r="V1" s="184"/>
      <c r="W1" s="184"/>
      <c r="X1" s="184"/>
      <c r="Y1" s="184"/>
      <c r="Z1" s="184"/>
      <c r="AA1" s="184"/>
      <c r="AB1" s="184"/>
      <c r="AC1" s="184"/>
      <c r="AD1" s="184"/>
      <c r="AE1" s="184"/>
      <c r="AF1" s="184"/>
      <c r="AG1" s="184"/>
      <c r="AH1" s="184"/>
      <c r="AI1" s="193"/>
      <c r="AJ1" s="184"/>
      <c r="AK1" s="184"/>
      <c r="AL1" s="184"/>
      <c r="AM1" s="184"/>
      <c r="AN1" s="184"/>
      <c r="AO1" s="184"/>
      <c r="AP1" s="184"/>
      <c r="AQ1" s="184"/>
      <c r="AR1" s="184"/>
      <c r="AS1" s="193"/>
      <c r="AT1" s="193"/>
      <c r="AU1" s="193"/>
      <c r="AV1" s="193"/>
      <c r="AW1" s="193"/>
      <c r="AX1" s="193"/>
      <c r="AY1" s="193"/>
      <c r="AZ1" s="193"/>
      <c r="BA1" s="193"/>
      <c r="BB1" s="193"/>
      <c r="BC1" s="193"/>
      <c r="BD1" s="193"/>
      <c r="BE1" s="193"/>
      <c r="BF1" s="193"/>
      <c r="BG1" s="193"/>
      <c r="BH1" s="193"/>
      <c r="BI1" s="193"/>
      <c r="BJ1" s="193"/>
      <c r="BK1" s="193"/>
      <c r="BL1" s="193"/>
      <c r="BM1" s="193"/>
      <c r="BN1" s="193"/>
      <c r="BO1" s="193"/>
    </row>
    <row r="2" spans="1:169" x14ac:dyDescent="0.15">
      <c r="A2" s="185"/>
      <c r="B2" s="361" t="s">
        <v>77</v>
      </c>
      <c r="C2" s="361"/>
      <c r="D2" s="361"/>
      <c r="E2" s="361"/>
      <c r="F2" s="361"/>
      <c r="G2" s="361"/>
      <c r="H2" s="361"/>
      <c r="I2" s="361"/>
      <c r="J2" s="361"/>
      <c r="K2" s="361"/>
      <c r="L2" s="361"/>
      <c r="M2" s="361"/>
      <c r="N2" s="361"/>
      <c r="O2" s="361"/>
      <c r="P2" s="361"/>
      <c r="Q2" s="361"/>
      <c r="R2" s="361"/>
      <c r="S2" s="361"/>
      <c r="T2" s="361"/>
      <c r="U2" s="361"/>
      <c r="V2" s="361"/>
      <c r="W2" s="361"/>
      <c r="X2" s="361"/>
      <c r="Y2" s="361"/>
      <c r="Z2" s="361" t="s">
        <v>78</v>
      </c>
      <c r="AA2" s="361"/>
      <c r="AB2" s="361"/>
      <c r="AC2" s="361"/>
      <c r="AD2" s="361"/>
      <c r="AE2" s="361"/>
      <c r="AF2" s="361"/>
      <c r="AG2" s="361"/>
      <c r="AH2" s="361"/>
      <c r="AI2" s="361"/>
      <c r="AJ2" s="361"/>
      <c r="AK2" s="361"/>
      <c r="AL2" s="361"/>
      <c r="AM2" s="361"/>
      <c r="AN2" s="361"/>
      <c r="AO2" s="361"/>
      <c r="AP2" s="361"/>
      <c r="AQ2" s="361"/>
      <c r="AR2" s="361"/>
      <c r="AS2" s="361"/>
      <c r="AT2" s="361"/>
      <c r="AU2" s="361"/>
      <c r="AV2" s="361"/>
      <c r="AW2" s="361"/>
      <c r="AX2" s="361" t="s">
        <v>79</v>
      </c>
      <c r="AY2" s="361"/>
      <c r="AZ2" s="361"/>
      <c r="BA2" s="361"/>
      <c r="BB2" s="361"/>
      <c r="BC2" s="361"/>
      <c r="BD2" s="361"/>
      <c r="BE2" s="361"/>
      <c r="BF2" s="361"/>
      <c r="BG2" s="361"/>
      <c r="BH2" s="361"/>
      <c r="BI2" s="361"/>
      <c r="BJ2" s="361"/>
      <c r="BK2" s="361"/>
      <c r="BL2" s="361"/>
      <c r="BM2" s="361"/>
      <c r="BN2" s="361"/>
      <c r="BO2" s="361"/>
      <c r="BP2" s="361"/>
      <c r="BQ2" s="361"/>
      <c r="BR2" s="361"/>
      <c r="BS2" s="361"/>
      <c r="BT2" s="361"/>
      <c r="BU2" s="361"/>
      <c r="BV2" s="361" t="s">
        <v>80</v>
      </c>
      <c r="BW2" s="361"/>
      <c r="BX2" s="361"/>
      <c r="BY2" s="361"/>
      <c r="BZ2" s="361"/>
      <c r="CA2" s="361"/>
      <c r="CB2" s="361"/>
      <c r="CC2" s="361"/>
      <c r="CD2" s="361"/>
      <c r="CE2" s="361"/>
      <c r="CF2" s="361"/>
      <c r="CG2" s="361"/>
      <c r="CH2" s="361"/>
      <c r="CI2" s="361"/>
      <c r="CJ2" s="361"/>
      <c r="CK2" s="361"/>
      <c r="CL2" s="361"/>
      <c r="CM2" s="361"/>
      <c r="CN2" s="361"/>
      <c r="CO2" s="361"/>
      <c r="CP2" s="361"/>
      <c r="CQ2" s="361"/>
      <c r="CR2" s="361"/>
      <c r="CS2" s="361"/>
      <c r="CT2" s="361" t="s">
        <v>860</v>
      </c>
      <c r="CU2" s="361"/>
      <c r="CV2" s="361"/>
      <c r="CW2" s="361"/>
      <c r="CX2" s="361"/>
      <c r="CY2" s="361"/>
      <c r="CZ2" s="361"/>
      <c r="DA2" s="361"/>
      <c r="DB2" s="361"/>
      <c r="DC2" s="361"/>
      <c r="DD2" s="361"/>
      <c r="DE2" s="361"/>
      <c r="DF2" s="361"/>
      <c r="DG2" s="361"/>
      <c r="DH2" s="361"/>
      <c r="DI2" s="361"/>
      <c r="DJ2" s="361"/>
      <c r="DK2" s="361"/>
      <c r="DL2" s="361"/>
      <c r="DM2" s="361"/>
      <c r="DN2" s="361"/>
      <c r="DO2" s="361"/>
      <c r="DP2" s="361"/>
      <c r="DQ2" s="361"/>
      <c r="DR2" s="361" t="s">
        <v>82</v>
      </c>
      <c r="DS2" s="361"/>
      <c r="DT2" s="361"/>
      <c r="DU2" s="361"/>
      <c r="DV2" s="361"/>
      <c r="DW2" s="361"/>
      <c r="DX2" s="361"/>
      <c r="DY2" s="361"/>
      <c r="DZ2" s="361"/>
      <c r="EA2" s="361"/>
      <c r="EB2" s="361"/>
      <c r="EC2" s="361"/>
      <c r="ED2" s="361"/>
      <c r="EE2" s="361"/>
      <c r="EF2" s="361"/>
      <c r="EG2" s="361"/>
      <c r="EH2" s="361"/>
      <c r="EI2" s="361"/>
      <c r="EJ2" s="361"/>
      <c r="EK2" s="361"/>
      <c r="EL2" s="361"/>
      <c r="EM2" s="361"/>
      <c r="EN2" s="361"/>
      <c r="EO2" s="361"/>
      <c r="EP2" s="361" t="s">
        <v>83</v>
      </c>
      <c r="EQ2" s="361"/>
      <c r="ER2" s="361"/>
      <c r="ES2" s="361"/>
      <c r="ET2" s="361"/>
      <c r="EU2" s="361"/>
      <c r="EV2" s="361"/>
      <c r="EW2" s="361"/>
      <c r="EX2" s="361"/>
      <c r="EY2" s="361"/>
      <c r="EZ2" s="361"/>
      <c r="FA2" s="361"/>
      <c r="FB2" s="361"/>
      <c r="FC2" s="361"/>
      <c r="FD2" s="361"/>
      <c r="FE2" s="361"/>
      <c r="FF2" s="361"/>
      <c r="FG2" s="361"/>
      <c r="FH2" s="361"/>
      <c r="FI2" s="361"/>
      <c r="FJ2" s="361"/>
      <c r="FK2" s="361"/>
      <c r="FL2" s="361"/>
      <c r="FM2" s="361"/>
    </row>
    <row r="3" spans="1:169" ht="14.25" x14ac:dyDescent="0.3">
      <c r="A3" s="185" t="s">
        <v>724</v>
      </c>
      <c r="B3" s="186" t="s">
        <v>753</v>
      </c>
      <c r="C3" s="187" t="s">
        <v>122</v>
      </c>
      <c r="D3" s="187" t="s">
        <v>137</v>
      </c>
      <c r="E3" s="187" t="s">
        <v>138</v>
      </c>
      <c r="F3" s="187" t="s">
        <v>761</v>
      </c>
      <c r="G3" s="187" t="s">
        <v>76</v>
      </c>
      <c r="H3" s="187" t="s">
        <v>124</v>
      </c>
      <c r="I3" s="194" t="s">
        <v>762</v>
      </c>
      <c r="J3" s="195" t="s">
        <v>754</v>
      </c>
      <c r="K3" s="196" t="s">
        <v>122</v>
      </c>
      <c r="L3" s="196" t="s">
        <v>137</v>
      </c>
      <c r="M3" s="196" t="s">
        <v>138</v>
      </c>
      <c r="N3" s="196" t="s">
        <v>761</v>
      </c>
      <c r="O3" s="196" t="s">
        <v>76</v>
      </c>
      <c r="P3" s="196" t="s">
        <v>124</v>
      </c>
      <c r="Q3" s="200" t="s">
        <v>762</v>
      </c>
      <c r="R3" s="195" t="s">
        <v>755</v>
      </c>
      <c r="S3" s="196" t="s">
        <v>122</v>
      </c>
      <c r="T3" s="196" t="s">
        <v>137</v>
      </c>
      <c r="U3" s="196" t="s">
        <v>138</v>
      </c>
      <c r="V3" s="196" t="s">
        <v>761</v>
      </c>
      <c r="W3" s="196" t="s">
        <v>76</v>
      </c>
      <c r="X3" s="196" t="s">
        <v>124</v>
      </c>
      <c r="Y3" s="200" t="s">
        <v>762</v>
      </c>
      <c r="Z3" s="186" t="s">
        <v>753</v>
      </c>
      <c r="AA3" s="187" t="s">
        <v>122</v>
      </c>
      <c r="AB3" s="187" t="s">
        <v>137</v>
      </c>
      <c r="AC3" s="187" t="s">
        <v>138</v>
      </c>
      <c r="AD3" s="187" t="s">
        <v>761</v>
      </c>
      <c r="AE3" s="187" t="s">
        <v>76</v>
      </c>
      <c r="AF3" s="187" t="s">
        <v>124</v>
      </c>
      <c r="AG3" s="194" t="s">
        <v>762</v>
      </c>
      <c r="AH3" s="195" t="s">
        <v>754</v>
      </c>
      <c r="AI3" s="196" t="s">
        <v>122</v>
      </c>
      <c r="AJ3" s="196" t="s">
        <v>137</v>
      </c>
      <c r="AK3" s="196" t="s">
        <v>138</v>
      </c>
      <c r="AL3" s="196" t="s">
        <v>761</v>
      </c>
      <c r="AM3" s="196" t="s">
        <v>76</v>
      </c>
      <c r="AN3" s="196" t="s">
        <v>124</v>
      </c>
      <c r="AO3" s="200" t="s">
        <v>762</v>
      </c>
      <c r="AP3" s="195" t="s">
        <v>755</v>
      </c>
      <c r="AQ3" s="196" t="s">
        <v>122</v>
      </c>
      <c r="AR3" s="196" t="s">
        <v>137</v>
      </c>
      <c r="AS3" s="196" t="s">
        <v>138</v>
      </c>
      <c r="AT3" s="196" t="s">
        <v>761</v>
      </c>
      <c r="AU3" s="196" t="s">
        <v>76</v>
      </c>
      <c r="AV3" s="196" t="s">
        <v>124</v>
      </c>
      <c r="AW3" s="200" t="s">
        <v>762</v>
      </c>
      <c r="AX3" s="186" t="s">
        <v>753</v>
      </c>
      <c r="AY3" s="187" t="s">
        <v>122</v>
      </c>
      <c r="AZ3" s="187" t="s">
        <v>137</v>
      </c>
      <c r="BA3" s="187" t="s">
        <v>138</v>
      </c>
      <c r="BB3" s="187" t="s">
        <v>761</v>
      </c>
      <c r="BC3" s="187" t="s">
        <v>76</v>
      </c>
      <c r="BD3" s="187" t="s">
        <v>124</v>
      </c>
      <c r="BE3" s="194" t="s">
        <v>762</v>
      </c>
      <c r="BF3" s="195" t="s">
        <v>754</v>
      </c>
      <c r="BG3" s="196" t="s">
        <v>122</v>
      </c>
      <c r="BH3" s="196" t="s">
        <v>137</v>
      </c>
      <c r="BI3" s="196" t="s">
        <v>138</v>
      </c>
      <c r="BJ3" s="196" t="s">
        <v>761</v>
      </c>
      <c r="BK3" s="196" t="s">
        <v>76</v>
      </c>
      <c r="BL3" s="196" t="s">
        <v>124</v>
      </c>
      <c r="BM3" s="200" t="s">
        <v>762</v>
      </c>
      <c r="BN3" s="195" t="s">
        <v>755</v>
      </c>
      <c r="BO3" s="196" t="s">
        <v>122</v>
      </c>
      <c r="BP3" s="196" t="s">
        <v>137</v>
      </c>
      <c r="BQ3" s="196" t="s">
        <v>138</v>
      </c>
      <c r="BR3" s="196" t="s">
        <v>761</v>
      </c>
      <c r="BS3" s="196" t="s">
        <v>76</v>
      </c>
      <c r="BT3" s="196" t="s">
        <v>124</v>
      </c>
      <c r="BU3" s="200" t="s">
        <v>762</v>
      </c>
      <c r="BV3" s="186" t="s">
        <v>753</v>
      </c>
      <c r="BW3" s="187" t="s">
        <v>122</v>
      </c>
      <c r="BX3" s="187" t="s">
        <v>137</v>
      </c>
      <c r="BY3" s="187" t="s">
        <v>138</v>
      </c>
      <c r="BZ3" s="187" t="s">
        <v>761</v>
      </c>
      <c r="CA3" s="187" t="s">
        <v>76</v>
      </c>
      <c r="CB3" s="187" t="s">
        <v>124</v>
      </c>
      <c r="CC3" s="194" t="s">
        <v>762</v>
      </c>
      <c r="CD3" s="195" t="s">
        <v>754</v>
      </c>
      <c r="CE3" s="196" t="s">
        <v>122</v>
      </c>
      <c r="CF3" s="196" t="s">
        <v>137</v>
      </c>
      <c r="CG3" s="196" t="s">
        <v>138</v>
      </c>
      <c r="CH3" s="196" t="s">
        <v>761</v>
      </c>
      <c r="CI3" s="196" t="s">
        <v>76</v>
      </c>
      <c r="CJ3" s="196" t="s">
        <v>124</v>
      </c>
      <c r="CK3" s="200" t="s">
        <v>762</v>
      </c>
      <c r="CL3" s="195" t="s">
        <v>755</v>
      </c>
      <c r="CM3" s="196" t="s">
        <v>122</v>
      </c>
      <c r="CN3" s="196" t="s">
        <v>137</v>
      </c>
      <c r="CO3" s="196" t="s">
        <v>138</v>
      </c>
      <c r="CP3" s="196" t="s">
        <v>761</v>
      </c>
      <c r="CQ3" s="196" t="s">
        <v>76</v>
      </c>
      <c r="CR3" s="196" t="s">
        <v>124</v>
      </c>
      <c r="CS3" s="200" t="s">
        <v>762</v>
      </c>
      <c r="CT3" s="186" t="s">
        <v>753</v>
      </c>
      <c r="CU3" s="187" t="s">
        <v>122</v>
      </c>
      <c r="CV3" s="187" t="s">
        <v>137</v>
      </c>
      <c r="CW3" s="187" t="s">
        <v>138</v>
      </c>
      <c r="CX3" s="187" t="s">
        <v>761</v>
      </c>
      <c r="CY3" s="187" t="s">
        <v>76</v>
      </c>
      <c r="CZ3" s="187" t="s">
        <v>124</v>
      </c>
      <c r="DA3" s="194" t="s">
        <v>762</v>
      </c>
      <c r="DB3" s="195" t="s">
        <v>754</v>
      </c>
      <c r="DC3" s="196" t="s">
        <v>122</v>
      </c>
      <c r="DD3" s="196" t="s">
        <v>137</v>
      </c>
      <c r="DE3" s="196" t="s">
        <v>138</v>
      </c>
      <c r="DF3" s="196" t="s">
        <v>761</v>
      </c>
      <c r="DG3" s="196" t="s">
        <v>76</v>
      </c>
      <c r="DH3" s="196" t="s">
        <v>124</v>
      </c>
      <c r="DI3" s="200" t="s">
        <v>762</v>
      </c>
      <c r="DJ3" s="195" t="s">
        <v>755</v>
      </c>
      <c r="DK3" s="196" t="s">
        <v>122</v>
      </c>
      <c r="DL3" s="196" t="s">
        <v>137</v>
      </c>
      <c r="DM3" s="196" t="s">
        <v>138</v>
      </c>
      <c r="DN3" s="196" t="s">
        <v>761</v>
      </c>
      <c r="DO3" s="196" t="s">
        <v>76</v>
      </c>
      <c r="DP3" s="196" t="s">
        <v>124</v>
      </c>
      <c r="DQ3" s="200" t="s">
        <v>762</v>
      </c>
      <c r="DR3" s="186" t="s">
        <v>753</v>
      </c>
      <c r="DS3" s="187" t="s">
        <v>122</v>
      </c>
      <c r="DT3" s="187" t="s">
        <v>137</v>
      </c>
      <c r="DU3" s="187" t="s">
        <v>138</v>
      </c>
      <c r="DV3" s="187" t="s">
        <v>761</v>
      </c>
      <c r="DW3" s="187" t="s">
        <v>76</v>
      </c>
      <c r="DX3" s="187" t="s">
        <v>124</v>
      </c>
      <c r="DY3" s="194" t="s">
        <v>762</v>
      </c>
      <c r="DZ3" s="195" t="s">
        <v>754</v>
      </c>
      <c r="EA3" s="196" t="s">
        <v>122</v>
      </c>
      <c r="EB3" s="196" t="s">
        <v>137</v>
      </c>
      <c r="EC3" s="196" t="s">
        <v>138</v>
      </c>
      <c r="ED3" s="196" t="s">
        <v>761</v>
      </c>
      <c r="EE3" s="196" t="s">
        <v>76</v>
      </c>
      <c r="EF3" s="196" t="s">
        <v>124</v>
      </c>
      <c r="EG3" s="200" t="s">
        <v>762</v>
      </c>
      <c r="EH3" s="195" t="s">
        <v>755</v>
      </c>
      <c r="EI3" s="196" t="s">
        <v>122</v>
      </c>
      <c r="EJ3" s="196" t="s">
        <v>137</v>
      </c>
      <c r="EK3" s="196" t="s">
        <v>138</v>
      </c>
      <c r="EL3" s="196" t="s">
        <v>761</v>
      </c>
      <c r="EM3" s="196" t="s">
        <v>76</v>
      </c>
      <c r="EN3" s="196" t="s">
        <v>124</v>
      </c>
      <c r="EO3" s="200" t="s">
        <v>762</v>
      </c>
      <c r="EP3" s="186" t="s">
        <v>753</v>
      </c>
      <c r="EQ3" s="187" t="s">
        <v>122</v>
      </c>
      <c r="ER3" s="187" t="s">
        <v>137</v>
      </c>
      <c r="ES3" s="187" t="s">
        <v>138</v>
      </c>
      <c r="ET3" s="187" t="s">
        <v>761</v>
      </c>
      <c r="EU3" s="187" t="s">
        <v>76</v>
      </c>
      <c r="EV3" s="187" t="s">
        <v>124</v>
      </c>
      <c r="EW3" s="194" t="s">
        <v>762</v>
      </c>
      <c r="EX3" s="195" t="s">
        <v>754</v>
      </c>
      <c r="EY3" s="196" t="s">
        <v>122</v>
      </c>
      <c r="EZ3" s="196" t="s">
        <v>137</v>
      </c>
      <c r="FA3" s="196" t="s">
        <v>138</v>
      </c>
      <c r="FB3" s="196" t="s">
        <v>761</v>
      </c>
      <c r="FC3" s="196" t="s">
        <v>76</v>
      </c>
      <c r="FD3" s="196" t="s">
        <v>124</v>
      </c>
      <c r="FE3" s="200" t="s">
        <v>762</v>
      </c>
      <c r="FF3" s="195" t="s">
        <v>755</v>
      </c>
      <c r="FG3" s="196" t="s">
        <v>122</v>
      </c>
      <c r="FH3" s="196" t="s">
        <v>137</v>
      </c>
      <c r="FI3" s="196" t="s">
        <v>138</v>
      </c>
      <c r="FJ3" s="196" t="s">
        <v>761</v>
      </c>
      <c r="FK3" s="196" t="s">
        <v>76</v>
      </c>
      <c r="FL3" s="196" t="s">
        <v>124</v>
      </c>
      <c r="FM3" s="200" t="s">
        <v>762</v>
      </c>
    </row>
    <row r="4" spans="1:169" ht="14.25" x14ac:dyDescent="0.3">
      <c r="A4" s="188">
        <v>1</v>
      </c>
      <c r="B4" s="189">
        <v>1</v>
      </c>
      <c r="C4" s="190">
        <f>ROUND(坦克等级成长!$D100*VLOOKUP($B$2,坦克等级成长!$B$36:$G$42,MATCH(C$3,坦克等级成长!$B$35:$G$35,0)),0)</f>
        <v>800</v>
      </c>
      <c r="D4" s="190">
        <f>ROUND(坦克等级成长!$D100*VLOOKUP($B$2,坦克等级成长!$B$36:$G$42,MATCH(D$3,坦克等级成长!$B$35:$G$35,0)),0)</f>
        <v>87</v>
      </c>
      <c r="E4" s="190">
        <f>ROUND(坦克等级成长!$D100*VLOOKUP($B$2,坦克等级成长!$B$36:$G$42,MATCH(E$3,坦克等级成长!$B$35:$G$35,0)),0)</f>
        <v>300</v>
      </c>
      <c r="F4" s="190">
        <f>E4</f>
        <v>300</v>
      </c>
      <c r="G4" s="190">
        <v>210</v>
      </c>
      <c r="H4" s="190">
        <f>ROUND(坦克等级成长!$D100*VLOOKUP($B$2,坦克等级成长!$B$36:$G$42,MATCH(H$3,坦克等级成长!$B$35:$G$35,0)),0)</f>
        <v>300</v>
      </c>
      <c r="I4" s="190">
        <f>ROUND(坦克等级成长!$D100*VLOOKUP($B$2,坦克等级成长!$B$36:$G$42,MATCH(I$3,坦克等级成长!$B$35:$G$35,0)),0)</f>
        <v>80</v>
      </c>
      <c r="J4" s="197"/>
      <c r="K4" s="197"/>
      <c r="L4" s="197"/>
      <c r="M4" s="197"/>
      <c r="N4" s="197"/>
      <c r="O4" s="197"/>
      <c r="P4" s="197"/>
      <c r="Q4" s="201"/>
      <c r="R4" s="202"/>
      <c r="S4" s="197"/>
      <c r="T4" s="197"/>
      <c r="U4" s="197"/>
      <c r="V4" s="197"/>
      <c r="W4" s="197"/>
      <c r="X4" s="197"/>
      <c r="Y4" s="201"/>
      <c r="Z4" s="189">
        <v>1</v>
      </c>
      <c r="AA4" s="190">
        <f>ROUND(坦克等级成长!$D100*VLOOKUP($Z$2,坦克等级成长!$B$36:$G$42,MATCH(AA$3,坦克等级成长!$B$35:$G$35,0)),0)</f>
        <v>800</v>
      </c>
      <c r="AB4" s="190">
        <f>ROUND(坦克等级成长!$D100*VLOOKUP($Z$2,坦克等级成长!$B$36:$G$42,MATCH(AB$3,坦克等级成长!$B$35:$G$35,0)),0)</f>
        <v>47</v>
      </c>
      <c r="AC4" s="190">
        <f>ROUND(坦克等级成长!$D100*VLOOKUP($Z$2,坦克等级成长!$B$36:$G$42,MATCH(AC$3,坦克等级成长!$B$35:$G$35,0)),0)</f>
        <v>329</v>
      </c>
      <c r="AD4" s="190">
        <f>AC4</f>
        <v>329</v>
      </c>
      <c r="AE4" s="190">
        <v>230.3</v>
      </c>
      <c r="AF4" s="190">
        <f>ROUND(坦克等级成长!$D100*VLOOKUP($Z$2,坦克等级成长!$B$36:$G$42,MATCH(AF$3,坦克等级成长!$B$35:$G$35,0)),0)</f>
        <v>300</v>
      </c>
      <c r="AG4" s="190">
        <f>ROUND(坦克等级成长!$D100*VLOOKUP($Z$2,坦克等级成长!$B$36:$G$42,MATCH(AG$3,坦克等级成长!$B$35:$G$35,0)),0)</f>
        <v>80</v>
      </c>
      <c r="AH4" s="197"/>
      <c r="AI4" s="197"/>
      <c r="AJ4" s="197"/>
      <c r="AK4" s="197"/>
      <c r="AL4" s="197"/>
      <c r="AM4" s="197"/>
      <c r="AN4" s="197"/>
      <c r="AO4" s="201"/>
      <c r="AP4" s="202"/>
      <c r="AQ4" s="197"/>
      <c r="AR4" s="197"/>
      <c r="AS4" s="197"/>
      <c r="AT4" s="197"/>
      <c r="AU4" s="197"/>
      <c r="AV4" s="197"/>
      <c r="AW4" s="201"/>
      <c r="AX4" s="189">
        <v>1</v>
      </c>
      <c r="AY4" s="190">
        <f>ROUND(坦克等级成长!$D100*VLOOKUP($AX$2,坦克等级成长!$B$36:$G$42,MATCH(AY$3,坦克等级成长!$B$35:$G$35,0)),0)</f>
        <v>800</v>
      </c>
      <c r="AZ4" s="190">
        <f>ROUND(坦克等级成长!$D100*VLOOKUP($AX$2,坦克等级成长!$B$36:$G$42,MATCH(AZ$3,坦克等级成长!$B$35:$G$35,0)),0)</f>
        <v>87</v>
      </c>
      <c r="BA4" s="190">
        <f>ROUND(坦克等级成长!$D100*VLOOKUP($AX$2,坦克等级成长!$B$36:$G$42,MATCH(BA$3,坦克等级成长!$B$35:$G$35,0)),0)</f>
        <v>300</v>
      </c>
      <c r="BB4" s="190">
        <f>BA4</f>
        <v>300</v>
      </c>
      <c r="BC4" s="190">
        <v>210</v>
      </c>
      <c r="BD4" s="190">
        <f>ROUND(坦克等级成长!$D100*VLOOKUP($AX$2,坦克等级成长!$B$36:$G$42,MATCH(BD$3,坦克等级成长!$B$35:$G$35,0)),0)</f>
        <v>300</v>
      </c>
      <c r="BE4" s="190">
        <f>ROUND(坦克等级成长!$D100*VLOOKUP($AX$2,坦克等级成长!$B$36:$G$42,MATCH(BE$3,坦克等级成长!$B$35:$G$35,0)),0)</f>
        <v>80</v>
      </c>
      <c r="BF4" s="197"/>
      <c r="BG4" s="197"/>
      <c r="BH4" s="197"/>
      <c r="BI4" s="197"/>
      <c r="BJ4" s="197"/>
      <c r="BK4" s="197"/>
      <c r="BL4" s="197"/>
      <c r="BM4" s="201"/>
      <c r="BN4" s="202"/>
      <c r="BO4" s="197"/>
      <c r="BP4" s="197"/>
      <c r="BQ4" s="197"/>
      <c r="BR4" s="197"/>
      <c r="BS4" s="197"/>
      <c r="BT4" s="197"/>
      <c r="BU4" s="201"/>
      <c r="BV4" s="189">
        <v>1</v>
      </c>
      <c r="BW4" s="190">
        <f>ROUND(坦克等级成长!$D100*VLOOKUP($BV$2,坦克等级成长!$B$36:$G$42,MATCH(BW$3,坦克等级成长!$B$35:$G$35,0)),0)</f>
        <v>843</v>
      </c>
      <c r="BX4" s="190">
        <f>ROUND(坦克等级成长!$D100*VLOOKUP($BV$2,坦克等级成长!$B$36:$G$42,MATCH(BX$3,坦克等级成长!$B$35:$G$35,0)),0)</f>
        <v>79</v>
      </c>
      <c r="BY4" s="190">
        <f>ROUND(坦克等级成长!$D100*VLOOKUP($BV$2,坦克等级成长!$B$36:$G$42,MATCH(BY$3,坦克等级成长!$B$35:$G$35,0)),0)</f>
        <v>286</v>
      </c>
      <c r="BZ4" s="190">
        <f>BY4</f>
        <v>286</v>
      </c>
      <c r="CA4" s="190">
        <v>214.5</v>
      </c>
      <c r="CB4" s="190">
        <f>ROUND(坦克等级成长!$D100*VLOOKUP($BV$2,坦克等级成长!$B$36:$G$42,MATCH(CB$3,坦克等级成长!$B$35:$G$35,0)),0)</f>
        <v>360</v>
      </c>
      <c r="CC4" s="190">
        <f>ROUND(坦克等级成长!$D100*VLOOKUP($BV$2,坦克等级成长!$B$36:$G$42,MATCH(CC$3,坦克等级成长!$B$35:$G$35,0)),0)</f>
        <v>84</v>
      </c>
      <c r="CD4" s="197"/>
      <c r="CE4" s="197"/>
      <c r="CF4" s="197"/>
      <c r="CG4" s="197"/>
      <c r="CH4" s="197"/>
      <c r="CI4" s="197"/>
      <c r="CJ4" s="197"/>
      <c r="CK4" s="201"/>
      <c r="CL4" s="202"/>
      <c r="CM4" s="197"/>
      <c r="CN4" s="197"/>
      <c r="CO4" s="197"/>
      <c r="CP4" s="197"/>
      <c r="CQ4" s="197"/>
      <c r="CR4" s="197"/>
      <c r="CS4" s="201"/>
      <c r="CT4" s="189">
        <v>1</v>
      </c>
      <c r="CU4" s="190">
        <f>ROUND(坦克等级成长!$D100*VLOOKUP($CT$2,坦克等级成长!$B$36:$G$42,MATCH(CU$3,坦克等级成长!$B$35:$G$35,0)),0)</f>
        <v>800</v>
      </c>
      <c r="CV4" s="190">
        <f>ROUND(坦克等级成长!$D100*VLOOKUP($CT$2,坦克等级成长!$B$36:$G$42,MATCH(CV$3,坦克等级成长!$B$35:$G$35,0)),0)</f>
        <v>182</v>
      </c>
      <c r="CW4" s="190">
        <f>ROUND(坦克等级成长!$D100*VLOOKUP($CT$2,坦克等级成长!$B$36:$G$42,MATCH(CW$3,坦克等级成长!$B$35:$G$35,0)),0)</f>
        <v>357</v>
      </c>
      <c r="CX4" s="190">
        <f>CW4</f>
        <v>357</v>
      </c>
      <c r="CY4" s="190">
        <v>267.75</v>
      </c>
      <c r="CZ4" s="190">
        <f>ROUND(坦克等级成长!$D100*VLOOKUP($CT$2,坦克等级成长!$B$36:$G$42,MATCH(CZ$3,坦克等级成长!$B$35:$G$35,0)),0)</f>
        <v>300</v>
      </c>
      <c r="DA4" s="190">
        <f>ROUND(坦克等级成长!$D100*VLOOKUP($CT$2,坦克等级成长!$B$36:$G$42,MATCH(DA$3,坦克等级成长!$B$35:$G$35,0)),0)</f>
        <v>80</v>
      </c>
      <c r="DB4" s="197"/>
      <c r="DC4" s="197"/>
      <c r="DD4" s="197"/>
      <c r="DE4" s="197"/>
      <c r="DF4" s="197"/>
      <c r="DG4" s="197"/>
      <c r="DH4" s="197"/>
      <c r="DI4" s="201"/>
      <c r="DJ4" s="202"/>
      <c r="DK4" s="197"/>
      <c r="DL4" s="197"/>
      <c r="DM4" s="197"/>
      <c r="DN4" s="197"/>
      <c r="DO4" s="197"/>
      <c r="DP4" s="197"/>
      <c r="DQ4" s="201"/>
      <c r="DR4" s="189">
        <v>1</v>
      </c>
      <c r="DS4" s="190">
        <f>ROUND(坦克等级成长!$D100*VLOOKUP($DR$2,坦克等级成长!$B$36:$G$42,MATCH(DS$3,坦克等级成长!$B$35:$G$35,0)),0)</f>
        <v>910</v>
      </c>
      <c r="DT4" s="190">
        <f>ROUND(坦克等级成长!$D100*VLOOKUP($DR$2,坦克等级成长!$B$36:$G$42,MATCH(DT$3,坦克等级成长!$B$35:$G$35,0)),0)</f>
        <v>311</v>
      </c>
      <c r="DU4" s="190">
        <f>ROUND(坦克等级成长!$D100*VLOOKUP($DR$2,坦克等级成长!$B$36:$G$42,MATCH(DU$3,坦克等级成长!$B$35:$G$35,0)),0)</f>
        <v>286</v>
      </c>
      <c r="DV4" s="190">
        <f>DU4</f>
        <v>286</v>
      </c>
      <c r="DW4" s="190">
        <v>228.8</v>
      </c>
      <c r="DX4" s="190">
        <f>ROUND(坦克等级成长!$D100*VLOOKUP($DR$2,坦克等级成长!$B$36:$G$42,MATCH(DX$3,坦克等级成长!$B$35:$G$35,0)),0)</f>
        <v>420</v>
      </c>
      <c r="DY4" s="190">
        <f>ROUND(坦克等级成长!$D100*VLOOKUP($DR$2,坦克等级成长!$B$36:$G$42,MATCH(DY$3,坦克等级成长!$B$35:$G$35,0)),0)</f>
        <v>91</v>
      </c>
      <c r="DZ4" s="197"/>
      <c r="EA4" s="197"/>
      <c r="EB4" s="197"/>
      <c r="EC4" s="197"/>
      <c r="ED4" s="197"/>
      <c r="EE4" s="197"/>
      <c r="EF4" s="197"/>
      <c r="EG4" s="201"/>
      <c r="EH4" s="202"/>
      <c r="EI4" s="197"/>
      <c r="EJ4" s="197"/>
      <c r="EK4" s="197"/>
      <c r="EL4" s="197"/>
      <c r="EM4" s="197"/>
      <c r="EN4" s="197"/>
      <c r="EO4" s="201"/>
      <c r="EP4" s="189">
        <v>1</v>
      </c>
      <c r="EQ4" s="190">
        <f>ROUND(坦克等级成长!$D100*VLOOKUP($EP$2,坦克等级成长!$B$36:$G$42,MATCH(EQ$3,坦克等级成长!$B$35:$G$35,0)),0)</f>
        <v>843</v>
      </c>
      <c r="ER4" s="190">
        <f>ROUND(坦克等级成长!$D100*VLOOKUP($EP$2,坦克等级成长!$B$36:$G$42,MATCH(ER$3,坦克等级成长!$B$35:$G$35,0)),0)</f>
        <v>97</v>
      </c>
      <c r="ES4" s="190">
        <f>ROUND(坦克等级成长!$D100*VLOOKUP($EP$2,坦克等级成长!$B$36:$G$42,MATCH(ES$3,坦克等级成长!$B$35:$G$35,0)),0)</f>
        <v>329</v>
      </c>
      <c r="ET4" s="190">
        <f>ES4</f>
        <v>329</v>
      </c>
      <c r="EU4" s="190">
        <v>246.75</v>
      </c>
      <c r="EV4" s="190">
        <f>ROUND(坦克等级成长!$D100*VLOOKUP($EP$2,坦克等级成长!$B$36:$G$42,MATCH(EV$3,坦克等级成长!$B$35:$G$35,0)),0)</f>
        <v>360</v>
      </c>
      <c r="EW4" s="190">
        <f>ROUND(坦克等级成长!$D100*VLOOKUP($EP$2,坦克等级成长!$B$36:$G$42,MATCH(EW$3,坦克等级成长!$B$35:$G$35,0)),0)</f>
        <v>84</v>
      </c>
      <c r="EX4" s="197"/>
      <c r="EY4" s="197"/>
      <c r="EZ4" s="197"/>
      <c r="FA4" s="197"/>
      <c r="FB4" s="197"/>
      <c r="FC4" s="197"/>
      <c r="FD4" s="197"/>
      <c r="FE4" s="201"/>
      <c r="FF4" s="202"/>
      <c r="FG4" s="197"/>
      <c r="FH4" s="197"/>
      <c r="FI4" s="197"/>
      <c r="FJ4" s="197"/>
      <c r="FK4" s="197"/>
      <c r="FL4" s="197"/>
      <c r="FM4" s="201"/>
    </row>
    <row r="5" spans="1:169" ht="14.25" x14ac:dyDescent="0.3">
      <c r="A5" s="188">
        <v>1</v>
      </c>
      <c r="B5" s="191">
        <v>2</v>
      </c>
      <c r="C5" s="33">
        <f>ROUND(坦克等级成长!$D101*VLOOKUP($B$2,坦克等级成长!$B$36:$G$42,MATCH(C$3,坦克等级成长!$B$35:$G$35,0)),0)</f>
        <v>848</v>
      </c>
      <c r="D5" s="33">
        <f>ROUND(坦克等级成长!$D101*VLOOKUP($B$2,坦克等级成长!$B$36:$G$42,MATCH(D$3,坦克等级成长!$B$35:$G$35,0)),0)</f>
        <v>92</v>
      </c>
      <c r="E5" s="33">
        <f>ROUND(坦克等级成长!$D101*VLOOKUP($B$2,坦克等级成长!$B$36:$G$42,MATCH(E$3,坦克等级成长!$B$35:$G$35,0)),0)</f>
        <v>318</v>
      </c>
      <c r="F5" s="33">
        <f t="shared" ref="F5:F15" si="0">E5</f>
        <v>318</v>
      </c>
      <c r="G5" s="33">
        <v>226.8</v>
      </c>
      <c r="H5" s="33">
        <f>ROUND(坦克等级成长!$D101*VLOOKUP($B$2,坦克等级成长!$B$36:$G$42,MATCH(H$3,坦克等级成长!$B$35:$G$35,0)),0)</f>
        <v>318</v>
      </c>
      <c r="I5" s="33">
        <f>ROUND(坦克等级成长!$D101*VLOOKUP($B$2,坦克等级成长!$B$36:$G$42,MATCH(I$3,坦克等级成长!$B$35:$G$35,0)),0)</f>
        <v>85</v>
      </c>
      <c r="J5" s="188"/>
      <c r="K5" s="188"/>
      <c r="L5" s="188"/>
      <c r="M5" s="188"/>
      <c r="N5" s="188"/>
      <c r="O5" s="188"/>
      <c r="P5" s="188"/>
      <c r="Q5" s="199"/>
      <c r="R5" s="192"/>
      <c r="S5" s="188"/>
      <c r="T5" s="188"/>
      <c r="U5" s="188"/>
      <c r="V5" s="188"/>
      <c r="W5" s="188"/>
      <c r="X5" s="188"/>
      <c r="Y5" s="199"/>
      <c r="Z5" s="191">
        <v>2</v>
      </c>
      <c r="AA5" s="33">
        <f>ROUND(坦克等级成长!$D101*VLOOKUP($Z$2,坦克等级成长!$B$36:$G$42,MATCH(AA$3,坦克等级成长!$B$35:$G$35,0)),0)</f>
        <v>848</v>
      </c>
      <c r="AB5" s="33">
        <f>ROUND(坦克等级成长!$D101*VLOOKUP($Z$2,坦克等级成长!$B$36:$G$42,MATCH(AB$3,坦克等级成长!$B$35:$G$35,0)),0)</f>
        <v>50</v>
      </c>
      <c r="AC5" s="33">
        <f>ROUND(坦克等级成长!$D101*VLOOKUP($Z$2,坦克等级成长!$B$36:$G$42,MATCH(AC$3,坦克等级成长!$B$35:$G$35,0)),0)</f>
        <v>348</v>
      </c>
      <c r="AD5" s="33">
        <f t="shared" ref="AD5:AD15" si="1">AC5</f>
        <v>348</v>
      </c>
      <c r="AE5" s="33">
        <v>248.5</v>
      </c>
      <c r="AF5" s="33">
        <f>ROUND(坦克等级成长!$D101*VLOOKUP($Z$2,坦克等级成长!$B$36:$G$42,MATCH(AF$3,坦克等级成长!$B$35:$G$35,0)),0)</f>
        <v>318</v>
      </c>
      <c r="AG5" s="33">
        <f>ROUND(坦克等级成长!$D101*VLOOKUP($Z$2,坦克等级成长!$B$36:$G$42,MATCH(AG$3,坦克等级成长!$B$35:$G$35,0)),0)</f>
        <v>85</v>
      </c>
      <c r="AH5" s="188"/>
      <c r="AI5" s="188"/>
      <c r="AJ5" s="188"/>
      <c r="AK5" s="188"/>
      <c r="AL5" s="188"/>
      <c r="AM5" s="188"/>
      <c r="AN5" s="188"/>
      <c r="AO5" s="199"/>
      <c r="AP5" s="192"/>
      <c r="AQ5" s="188"/>
      <c r="AR5" s="188"/>
      <c r="AS5" s="188"/>
      <c r="AT5" s="188"/>
      <c r="AU5" s="188"/>
      <c r="AV5" s="188"/>
      <c r="AW5" s="199"/>
      <c r="AX5" s="191">
        <v>2</v>
      </c>
      <c r="AY5" s="33">
        <f>ROUND(坦克等级成长!$D101*VLOOKUP($AX$2,坦克等级成长!$B$36:$G$42,MATCH(AY$3,坦克等级成长!$B$35:$G$35,0)),0)</f>
        <v>848</v>
      </c>
      <c r="AZ5" s="33">
        <f>ROUND(坦克等级成长!$D101*VLOOKUP($AX$2,坦克等级成长!$B$36:$G$42,MATCH(AZ$3,坦克等级成长!$B$35:$G$35,0)),0)</f>
        <v>92</v>
      </c>
      <c r="BA5" s="33">
        <f>ROUND(坦克等级成长!$D101*VLOOKUP($AX$2,坦克等级成长!$B$36:$G$42,MATCH(BA$3,坦克等级成长!$B$35:$G$35,0)),0)</f>
        <v>318</v>
      </c>
      <c r="BB5" s="33">
        <f t="shared" ref="BB5:BB15" si="2">BA5</f>
        <v>318</v>
      </c>
      <c r="BC5" s="33">
        <v>226.8</v>
      </c>
      <c r="BD5" s="33">
        <f>ROUND(坦克等级成长!$D101*VLOOKUP($AX$2,坦克等级成长!$B$36:$G$42,MATCH(BD$3,坦克等级成长!$B$35:$G$35,0)),0)</f>
        <v>318</v>
      </c>
      <c r="BE5" s="33">
        <f>ROUND(坦克等级成长!$D101*VLOOKUP($AX$2,坦克等级成长!$B$36:$G$42,MATCH(BE$3,坦克等级成长!$B$35:$G$35,0)),0)</f>
        <v>85</v>
      </c>
      <c r="BF5" s="188"/>
      <c r="BG5" s="188"/>
      <c r="BH5" s="188"/>
      <c r="BI5" s="188"/>
      <c r="BJ5" s="188"/>
      <c r="BK5" s="188"/>
      <c r="BL5" s="188"/>
      <c r="BM5" s="199"/>
      <c r="BN5" s="192"/>
      <c r="BO5" s="188"/>
      <c r="BP5" s="188"/>
      <c r="BQ5" s="188"/>
      <c r="BR5" s="188"/>
      <c r="BS5" s="188"/>
      <c r="BT5" s="188"/>
      <c r="BU5" s="199"/>
      <c r="BV5" s="191">
        <v>2</v>
      </c>
      <c r="BW5" s="33">
        <f>ROUND(坦克等级成长!$D101*VLOOKUP($BV$2,坦克等级成长!$B$36:$G$42,MATCH(BW$3,坦克等级成长!$B$35:$G$35,0)),0)</f>
        <v>894</v>
      </c>
      <c r="BX5" s="33">
        <f>ROUND(坦克等级成长!$D101*VLOOKUP($BV$2,坦克等级成长!$B$36:$G$42,MATCH(BX$3,坦克等级成长!$B$35:$G$35,0)),0)</f>
        <v>84</v>
      </c>
      <c r="BY5" s="33">
        <f>ROUND(坦克等级成长!$D101*VLOOKUP($BV$2,坦克等级成长!$B$36:$G$42,MATCH(BY$3,坦克等级成长!$B$35:$G$35,0)),0)</f>
        <v>303</v>
      </c>
      <c r="BZ5" s="33">
        <f t="shared" ref="BZ5:BZ15" si="3">BY5</f>
        <v>303</v>
      </c>
      <c r="CA5" s="33">
        <v>231.75</v>
      </c>
      <c r="CB5" s="33">
        <f>ROUND(坦克等级成长!$D101*VLOOKUP($BV$2,坦克等级成长!$B$36:$G$42,MATCH(CB$3,坦克等级成长!$B$35:$G$35,0)),0)</f>
        <v>382</v>
      </c>
      <c r="CC5" s="33">
        <f>ROUND(坦克等级成长!$D101*VLOOKUP($BV$2,坦克等级成长!$B$36:$G$42,MATCH(CC$3,坦克等级成长!$B$35:$G$35,0)),0)</f>
        <v>89</v>
      </c>
      <c r="CD5" s="188"/>
      <c r="CE5" s="188"/>
      <c r="CF5" s="188"/>
      <c r="CG5" s="188"/>
      <c r="CH5" s="188"/>
      <c r="CI5" s="188"/>
      <c r="CJ5" s="188"/>
      <c r="CK5" s="199"/>
      <c r="CL5" s="192"/>
      <c r="CM5" s="188"/>
      <c r="CN5" s="188"/>
      <c r="CO5" s="188"/>
      <c r="CP5" s="188"/>
      <c r="CQ5" s="188"/>
      <c r="CR5" s="188"/>
      <c r="CS5" s="199"/>
      <c r="CT5" s="191">
        <v>2</v>
      </c>
      <c r="CU5" s="33">
        <f>ROUND(坦克等级成长!$D101*VLOOKUP($CT$2,坦克等级成长!$B$36:$G$42,MATCH(CU$3,坦克等级成长!$B$35:$G$35,0)),0)</f>
        <v>848</v>
      </c>
      <c r="CV5" s="33">
        <f>ROUND(坦克等级成长!$D101*VLOOKUP($CT$2,坦克等级成长!$B$36:$G$42,MATCH(CV$3,坦克等级成长!$B$35:$G$35,0)),0)</f>
        <v>193</v>
      </c>
      <c r="CW5" s="33">
        <f>ROUND(坦克等级成长!$D101*VLOOKUP($CT$2,坦克等级成长!$B$36:$G$42,MATCH(CW$3,坦克等级成长!$B$35:$G$35,0)),0)</f>
        <v>379</v>
      </c>
      <c r="CX5" s="33">
        <f t="shared" ref="CX5:CX15" si="4">CW5</f>
        <v>379</v>
      </c>
      <c r="CY5" s="33">
        <v>289.5</v>
      </c>
      <c r="CZ5" s="33">
        <f>ROUND(坦克等级成长!$D101*VLOOKUP($CT$2,坦克等级成长!$B$36:$G$42,MATCH(CZ$3,坦克等级成长!$B$35:$G$35,0)),0)</f>
        <v>318</v>
      </c>
      <c r="DA5" s="33">
        <f>ROUND(坦克等级成长!$D101*VLOOKUP($CT$2,坦克等级成长!$B$36:$G$42,MATCH(DA$3,坦克等级成长!$B$35:$G$35,0)),0)</f>
        <v>85</v>
      </c>
      <c r="DB5" s="188"/>
      <c r="DC5" s="188"/>
      <c r="DD5" s="188"/>
      <c r="DE5" s="188"/>
      <c r="DF5" s="188"/>
      <c r="DG5" s="188"/>
      <c r="DH5" s="188"/>
      <c r="DI5" s="199"/>
      <c r="DJ5" s="192"/>
      <c r="DK5" s="188"/>
      <c r="DL5" s="188"/>
      <c r="DM5" s="188"/>
      <c r="DN5" s="188"/>
      <c r="DO5" s="188"/>
      <c r="DP5" s="188"/>
      <c r="DQ5" s="199"/>
      <c r="DR5" s="191">
        <v>2</v>
      </c>
      <c r="DS5" s="33">
        <f>ROUND(坦克等级成长!$D101*VLOOKUP($DR$2,坦克等级成长!$B$36:$G$42,MATCH(DS$3,坦克等级成长!$B$35:$G$35,0)),0)</f>
        <v>965</v>
      </c>
      <c r="DT5" s="33">
        <f>ROUND(坦克等级成长!$D101*VLOOKUP($DR$2,坦克等级成长!$B$36:$G$42,MATCH(DT$3,坦克等级成长!$B$35:$G$35,0)),0)</f>
        <v>329</v>
      </c>
      <c r="DU5" s="33">
        <f>ROUND(坦克等级成长!$D101*VLOOKUP($DR$2,坦克等级成长!$B$36:$G$42,MATCH(DU$3,坦克等级成长!$B$35:$G$35,0)),0)</f>
        <v>303</v>
      </c>
      <c r="DV5" s="33">
        <f t="shared" ref="DV5:DV15" si="5">DU5</f>
        <v>303</v>
      </c>
      <c r="DW5" s="33">
        <v>247.2</v>
      </c>
      <c r="DX5" s="33">
        <f>ROUND(坦克等级成长!$D101*VLOOKUP($DR$2,坦克等级成长!$B$36:$G$42,MATCH(DX$3,坦克等级成长!$B$35:$G$35,0)),0)</f>
        <v>445</v>
      </c>
      <c r="DY5" s="33">
        <f>ROUND(坦克等级成长!$D101*VLOOKUP($DR$2,坦克等级成长!$B$36:$G$42,MATCH(DY$3,坦克等级成长!$B$35:$G$35,0)),0)</f>
        <v>96</v>
      </c>
      <c r="DZ5" s="188"/>
      <c r="EA5" s="188"/>
      <c r="EB5" s="188"/>
      <c r="EC5" s="188"/>
      <c r="ED5" s="188"/>
      <c r="EE5" s="188"/>
      <c r="EF5" s="188"/>
      <c r="EG5" s="199"/>
      <c r="EH5" s="192"/>
      <c r="EI5" s="188"/>
      <c r="EJ5" s="188"/>
      <c r="EK5" s="188"/>
      <c r="EL5" s="188"/>
      <c r="EM5" s="188"/>
      <c r="EN5" s="188"/>
      <c r="EO5" s="199"/>
      <c r="EP5" s="191">
        <v>2</v>
      </c>
      <c r="EQ5" s="33">
        <f>ROUND(坦克等级成长!$D101*VLOOKUP($EP$2,坦克等级成长!$B$36:$G$42,MATCH(EQ$3,坦克等级成长!$B$35:$G$35,0)),0)</f>
        <v>894</v>
      </c>
      <c r="ER5" s="33">
        <f>ROUND(坦克等级成长!$D101*VLOOKUP($EP$2,坦克等级成长!$B$36:$G$42,MATCH(ER$3,坦克等级成长!$B$35:$G$35,0)),0)</f>
        <v>102</v>
      </c>
      <c r="ES5" s="33">
        <f>ROUND(坦克等级成长!$D101*VLOOKUP($EP$2,坦克等级成长!$B$36:$G$42,MATCH(ES$3,坦克等级成长!$B$35:$G$35,0)),0)</f>
        <v>348</v>
      </c>
      <c r="ET5" s="33">
        <f t="shared" ref="ET5:ET15" si="6">ES5</f>
        <v>348</v>
      </c>
      <c r="EU5" s="33">
        <v>266.25</v>
      </c>
      <c r="EV5" s="33">
        <f>ROUND(坦克等级成长!$D101*VLOOKUP($EP$2,坦克等级成长!$B$36:$G$42,MATCH(EV$3,坦克等级成长!$B$35:$G$35,0)),0)</f>
        <v>382</v>
      </c>
      <c r="EW5" s="33">
        <f>ROUND(坦克等级成长!$D101*VLOOKUP($EP$2,坦克等级成长!$B$36:$G$42,MATCH(EW$3,坦克等级成长!$B$35:$G$35,0)),0)</f>
        <v>89</v>
      </c>
      <c r="EX5" s="188"/>
      <c r="EY5" s="188"/>
      <c r="EZ5" s="188"/>
      <c r="FA5" s="188"/>
      <c r="FB5" s="188"/>
      <c r="FC5" s="188"/>
      <c r="FD5" s="188"/>
      <c r="FE5" s="199"/>
      <c r="FF5" s="192"/>
      <c r="FG5" s="188"/>
      <c r="FH5" s="188"/>
      <c r="FI5" s="188"/>
      <c r="FJ5" s="188"/>
      <c r="FK5" s="188"/>
      <c r="FL5" s="188"/>
      <c r="FM5" s="199"/>
    </row>
    <row r="6" spans="1:169" ht="14.25" x14ac:dyDescent="0.3">
      <c r="A6" s="188">
        <v>1</v>
      </c>
      <c r="B6" s="191">
        <v>3</v>
      </c>
      <c r="C6" s="33">
        <f>ROUND(坦克等级成长!$D102*VLOOKUP($B$2,坦克等级成长!$B$36:$G$42,MATCH(C$3,坦克等级成长!$B$35:$G$35,0)),0)</f>
        <v>896</v>
      </c>
      <c r="D6" s="33">
        <f>ROUND(坦克等级成长!$D102*VLOOKUP($B$2,坦克等级成长!$B$36:$G$42,MATCH(D$3,坦克等级成长!$B$35:$G$35,0)),0)</f>
        <v>97</v>
      </c>
      <c r="E6" s="33">
        <f>ROUND(坦克等级成长!$D102*VLOOKUP($B$2,坦克等级成长!$B$36:$G$42,MATCH(E$3,坦克等级成长!$B$35:$G$35,0)),0)</f>
        <v>336</v>
      </c>
      <c r="F6" s="33">
        <f t="shared" si="0"/>
        <v>336</v>
      </c>
      <c r="G6" s="33">
        <v>243.6</v>
      </c>
      <c r="H6" s="33">
        <f>ROUND(坦克等级成长!$D102*VLOOKUP($B$2,坦克等级成长!$B$36:$G$42,MATCH(H$3,坦克等级成长!$B$35:$G$35,0)),0)</f>
        <v>336</v>
      </c>
      <c r="I6" s="33">
        <f>ROUND(坦克等级成长!$D102*VLOOKUP($B$2,坦克等级成长!$B$36:$G$42,MATCH(I$3,坦克等级成长!$B$35:$G$35,0)),0)</f>
        <v>90</v>
      </c>
      <c r="J6" s="188"/>
      <c r="K6" s="188"/>
      <c r="L6" s="188"/>
      <c r="M6" s="188"/>
      <c r="N6" s="188"/>
      <c r="O6" s="188"/>
      <c r="P6" s="188"/>
      <c r="Q6" s="199"/>
      <c r="R6" s="192"/>
      <c r="S6" s="188"/>
      <c r="T6" s="188"/>
      <c r="U6" s="188"/>
      <c r="V6" s="188"/>
      <c r="W6" s="188"/>
      <c r="X6" s="188"/>
      <c r="Y6" s="199"/>
      <c r="Z6" s="191">
        <v>3</v>
      </c>
      <c r="AA6" s="33">
        <f>ROUND(坦克等级成长!$D102*VLOOKUP($Z$2,坦克等级成长!$B$36:$G$42,MATCH(AA$3,坦克等级成长!$B$35:$G$35,0)),0)</f>
        <v>896</v>
      </c>
      <c r="AB6" s="33">
        <f>ROUND(坦克等级成长!$D102*VLOOKUP($Z$2,坦克等级成长!$B$36:$G$42,MATCH(AB$3,坦克等级成长!$B$35:$G$35,0)),0)</f>
        <v>53</v>
      </c>
      <c r="AC6" s="33">
        <f>ROUND(坦克等级成长!$D102*VLOOKUP($Z$2,坦克等级成长!$B$36:$G$42,MATCH(AC$3,坦克等级成长!$B$35:$G$35,0)),0)</f>
        <v>368</v>
      </c>
      <c r="AD6" s="33">
        <f t="shared" si="1"/>
        <v>368</v>
      </c>
      <c r="AE6" s="33">
        <v>266.7</v>
      </c>
      <c r="AF6" s="33">
        <f>ROUND(坦克等级成长!$D102*VLOOKUP($Z$2,坦克等级成长!$B$36:$G$42,MATCH(AF$3,坦克等级成长!$B$35:$G$35,0)),0)</f>
        <v>336</v>
      </c>
      <c r="AG6" s="33">
        <f>ROUND(坦克等级成长!$D102*VLOOKUP($Z$2,坦克等级成长!$B$36:$G$42,MATCH(AG$3,坦克等级成长!$B$35:$G$35,0)),0)</f>
        <v>90</v>
      </c>
      <c r="AH6" s="188"/>
      <c r="AI6" s="188"/>
      <c r="AJ6" s="188"/>
      <c r="AK6" s="188"/>
      <c r="AL6" s="188"/>
      <c r="AM6" s="188"/>
      <c r="AN6" s="188"/>
      <c r="AO6" s="199"/>
      <c r="AP6" s="192"/>
      <c r="AQ6" s="188"/>
      <c r="AR6" s="188"/>
      <c r="AS6" s="188"/>
      <c r="AT6" s="188"/>
      <c r="AU6" s="188"/>
      <c r="AV6" s="188"/>
      <c r="AW6" s="199"/>
      <c r="AX6" s="191">
        <v>3</v>
      </c>
      <c r="AY6" s="33">
        <f>ROUND(坦克等级成长!$D102*VLOOKUP($AX$2,坦克等级成长!$B$36:$G$42,MATCH(AY$3,坦克等级成长!$B$35:$G$35,0)),0)</f>
        <v>896</v>
      </c>
      <c r="AZ6" s="33">
        <f>ROUND(坦克等级成长!$D102*VLOOKUP($AX$2,坦克等级成长!$B$36:$G$42,MATCH(AZ$3,坦克等级成长!$B$35:$G$35,0)),0)</f>
        <v>97</v>
      </c>
      <c r="BA6" s="33">
        <f>ROUND(坦克等级成长!$D102*VLOOKUP($AX$2,坦克等级成长!$B$36:$G$42,MATCH(BA$3,坦克等级成长!$B$35:$G$35,0)),0)</f>
        <v>336</v>
      </c>
      <c r="BB6" s="33">
        <f t="shared" si="2"/>
        <v>336</v>
      </c>
      <c r="BC6" s="33">
        <v>243.6</v>
      </c>
      <c r="BD6" s="33">
        <f>ROUND(坦克等级成长!$D102*VLOOKUP($AX$2,坦克等级成长!$B$36:$G$42,MATCH(BD$3,坦克等级成长!$B$35:$G$35,0)),0)</f>
        <v>336</v>
      </c>
      <c r="BE6" s="33">
        <f>ROUND(坦克等级成长!$D102*VLOOKUP($AX$2,坦克等级成长!$B$36:$G$42,MATCH(BE$3,坦克等级成长!$B$35:$G$35,0)),0)</f>
        <v>90</v>
      </c>
      <c r="BF6" s="188"/>
      <c r="BG6" s="188"/>
      <c r="BH6" s="188"/>
      <c r="BI6" s="188"/>
      <c r="BJ6" s="188"/>
      <c r="BK6" s="188"/>
      <c r="BL6" s="188"/>
      <c r="BM6" s="199"/>
      <c r="BN6" s="192"/>
      <c r="BO6" s="188"/>
      <c r="BP6" s="188"/>
      <c r="BQ6" s="188"/>
      <c r="BR6" s="188"/>
      <c r="BS6" s="188"/>
      <c r="BT6" s="188"/>
      <c r="BU6" s="199"/>
      <c r="BV6" s="191">
        <v>3</v>
      </c>
      <c r="BW6" s="33">
        <f>ROUND(坦克等级成长!$D102*VLOOKUP($BV$2,坦克等级成长!$B$36:$G$42,MATCH(BW$3,坦克等级成长!$B$35:$G$35,0)),0)</f>
        <v>944</v>
      </c>
      <c r="BX6" s="33">
        <f>ROUND(坦克等级成长!$D102*VLOOKUP($BV$2,坦克等级成长!$B$36:$G$42,MATCH(BX$3,坦克等级成长!$B$35:$G$35,0)),0)</f>
        <v>89</v>
      </c>
      <c r="BY6" s="33">
        <f>ROUND(坦克等级成长!$D102*VLOOKUP($BV$2,坦克等级成长!$B$36:$G$42,MATCH(BY$3,坦克等级成长!$B$35:$G$35,0)),0)</f>
        <v>320</v>
      </c>
      <c r="BZ6" s="33">
        <f t="shared" si="3"/>
        <v>320</v>
      </c>
      <c r="CA6" s="33">
        <v>248.25</v>
      </c>
      <c r="CB6" s="33">
        <f>ROUND(坦克等级成长!$D102*VLOOKUP($BV$2,坦克等级成长!$B$36:$G$42,MATCH(CB$3,坦克等级成长!$B$35:$G$35,0)),0)</f>
        <v>403</v>
      </c>
      <c r="CC6" s="33">
        <f>ROUND(坦克等级成长!$D102*VLOOKUP($BV$2,坦克等级成长!$B$36:$G$42,MATCH(CC$3,坦克等级成长!$B$35:$G$35,0)),0)</f>
        <v>94</v>
      </c>
      <c r="CD6" s="188"/>
      <c r="CE6" s="188"/>
      <c r="CF6" s="188"/>
      <c r="CG6" s="188"/>
      <c r="CH6" s="188"/>
      <c r="CI6" s="188"/>
      <c r="CJ6" s="188"/>
      <c r="CK6" s="199"/>
      <c r="CL6" s="192"/>
      <c r="CM6" s="188"/>
      <c r="CN6" s="188"/>
      <c r="CO6" s="188"/>
      <c r="CP6" s="188"/>
      <c r="CQ6" s="188"/>
      <c r="CR6" s="188"/>
      <c r="CS6" s="199"/>
      <c r="CT6" s="191">
        <v>3</v>
      </c>
      <c r="CU6" s="33">
        <f>ROUND(坦克等级成长!$D102*VLOOKUP($CT$2,坦克等级成长!$B$36:$G$42,MATCH(CU$3,坦克等级成长!$B$35:$G$35,0)),0)</f>
        <v>896</v>
      </c>
      <c r="CV6" s="33">
        <f>ROUND(坦克等级成长!$D102*VLOOKUP($CT$2,坦克等级成长!$B$36:$G$42,MATCH(CV$3,坦克等级成长!$B$35:$G$35,0)),0)</f>
        <v>203</v>
      </c>
      <c r="CW6" s="33">
        <f>ROUND(坦克等级成长!$D102*VLOOKUP($CT$2,坦克等级成长!$B$36:$G$42,MATCH(CW$3,坦克等级成长!$B$35:$G$35,0)),0)</f>
        <v>400</v>
      </c>
      <c r="CX6" s="33">
        <f t="shared" si="4"/>
        <v>400</v>
      </c>
      <c r="CY6" s="33">
        <v>310.5</v>
      </c>
      <c r="CZ6" s="33">
        <f>ROUND(坦克等级成长!$D102*VLOOKUP($CT$2,坦克等级成长!$B$36:$G$42,MATCH(CZ$3,坦克等级成长!$B$35:$G$35,0)),0)</f>
        <v>336</v>
      </c>
      <c r="DA6" s="33">
        <f>ROUND(坦克等级成长!$D102*VLOOKUP($CT$2,坦克等级成长!$B$36:$G$42,MATCH(DA$3,坦克等级成长!$B$35:$G$35,0)),0)</f>
        <v>90</v>
      </c>
      <c r="DB6" s="188"/>
      <c r="DC6" s="188"/>
      <c r="DD6" s="188"/>
      <c r="DE6" s="188"/>
      <c r="DF6" s="188"/>
      <c r="DG6" s="188"/>
      <c r="DH6" s="188"/>
      <c r="DI6" s="199"/>
      <c r="DJ6" s="192"/>
      <c r="DK6" s="188"/>
      <c r="DL6" s="188"/>
      <c r="DM6" s="188"/>
      <c r="DN6" s="188"/>
      <c r="DO6" s="188"/>
      <c r="DP6" s="188"/>
      <c r="DQ6" s="199"/>
      <c r="DR6" s="191">
        <v>3</v>
      </c>
      <c r="DS6" s="33">
        <f>ROUND(坦克等级成长!$D102*VLOOKUP($DR$2,坦克等级成长!$B$36:$G$42,MATCH(DS$3,坦克等级成长!$B$35:$G$35,0)),0)</f>
        <v>1019</v>
      </c>
      <c r="DT6" s="33">
        <f>ROUND(坦克等级成长!$D102*VLOOKUP($DR$2,坦克等级成长!$B$36:$G$42,MATCH(DT$3,坦克等级成长!$B$35:$G$35,0)),0)</f>
        <v>348</v>
      </c>
      <c r="DU6" s="33">
        <f>ROUND(坦克等级成长!$D102*VLOOKUP($DR$2,坦克等级成长!$B$36:$G$42,MATCH(DU$3,坦克等级成长!$B$35:$G$35,0)),0)</f>
        <v>320</v>
      </c>
      <c r="DV6" s="33">
        <f t="shared" si="5"/>
        <v>320</v>
      </c>
      <c r="DW6" s="33">
        <v>264.8</v>
      </c>
      <c r="DX6" s="33">
        <f>ROUND(坦克等级成长!$D102*VLOOKUP($DR$2,坦克等级成长!$B$36:$G$42,MATCH(DX$3,坦克等级成长!$B$35:$G$35,0)),0)</f>
        <v>470</v>
      </c>
      <c r="DY6" s="33">
        <f>ROUND(坦克等级成长!$D102*VLOOKUP($DR$2,坦克等级成长!$B$36:$G$42,MATCH(DY$3,坦克等级成长!$B$35:$G$35,0)),0)</f>
        <v>102</v>
      </c>
      <c r="DZ6" s="188"/>
      <c r="EA6" s="188"/>
      <c r="EB6" s="188"/>
      <c r="EC6" s="188"/>
      <c r="ED6" s="188"/>
      <c r="EE6" s="188"/>
      <c r="EF6" s="188"/>
      <c r="EG6" s="199"/>
      <c r="EH6" s="192"/>
      <c r="EI6" s="188"/>
      <c r="EJ6" s="188"/>
      <c r="EK6" s="188"/>
      <c r="EL6" s="188"/>
      <c r="EM6" s="188"/>
      <c r="EN6" s="188"/>
      <c r="EO6" s="199"/>
      <c r="EP6" s="191">
        <v>3</v>
      </c>
      <c r="EQ6" s="33">
        <f>ROUND(坦克等级成长!$D102*VLOOKUP($EP$2,坦克等级成长!$B$36:$G$42,MATCH(EQ$3,坦克等级成长!$B$35:$G$35,0)),0)</f>
        <v>944</v>
      </c>
      <c r="ER6" s="33">
        <f>ROUND(坦克等级成长!$D102*VLOOKUP($EP$2,坦克等级成长!$B$36:$G$42,MATCH(ER$3,坦克等级成长!$B$35:$G$35,0)),0)</f>
        <v>108</v>
      </c>
      <c r="ES6" s="33">
        <f>ROUND(坦克等级成长!$D102*VLOOKUP($EP$2,坦克等级成长!$B$36:$G$42,MATCH(ES$3,坦克等级成长!$B$35:$G$35,0)),0)</f>
        <v>368</v>
      </c>
      <c r="ET6" s="33">
        <f t="shared" si="6"/>
        <v>368</v>
      </c>
      <c r="EU6" s="33">
        <v>285.75</v>
      </c>
      <c r="EV6" s="33">
        <f>ROUND(坦克等级成长!$D102*VLOOKUP($EP$2,坦克等级成长!$B$36:$G$42,MATCH(EV$3,坦克等级成长!$B$35:$G$35,0)),0)</f>
        <v>403</v>
      </c>
      <c r="EW6" s="33">
        <f>ROUND(坦克等级成长!$D102*VLOOKUP($EP$2,坦克等级成长!$B$36:$G$42,MATCH(EW$3,坦克等级成长!$B$35:$G$35,0)),0)</f>
        <v>94</v>
      </c>
      <c r="EX6" s="188"/>
      <c r="EY6" s="188"/>
      <c r="EZ6" s="188"/>
      <c r="FA6" s="188"/>
      <c r="FB6" s="188"/>
      <c r="FC6" s="188"/>
      <c r="FD6" s="188"/>
      <c r="FE6" s="199"/>
      <c r="FF6" s="192"/>
      <c r="FG6" s="188"/>
      <c r="FH6" s="188"/>
      <c r="FI6" s="188"/>
      <c r="FJ6" s="188"/>
      <c r="FK6" s="188"/>
      <c r="FL6" s="188"/>
      <c r="FM6" s="199"/>
    </row>
    <row r="7" spans="1:169" ht="14.25" x14ac:dyDescent="0.3">
      <c r="A7" s="188">
        <v>1</v>
      </c>
      <c r="B7" s="191">
        <v>4</v>
      </c>
      <c r="C7" s="33">
        <f>ROUND(坦克等级成长!$D103*VLOOKUP($B$2,坦克等级成长!$B$36:$G$42,MATCH(C$3,坦克等级成长!$B$35:$G$35,0)),0)</f>
        <v>944</v>
      </c>
      <c r="D7" s="33">
        <f>ROUND(坦克等级成长!$D103*VLOOKUP($B$2,坦克等级成长!$B$36:$G$42,MATCH(D$3,坦克等级成长!$B$35:$G$35,0)),0)</f>
        <v>103</v>
      </c>
      <c r="E7" s="33">
        <f>ROUND(坦克等级成长!$D103*VLOOKUP($B$2,坦克等级成长!$B$36:$G$42,MATCH(E$3,坦克等级成长!$B$35:$G$35,0)),0)</f>
        <v>354</v>
      </c>
      <c r="F7" s="33">
        <f t="shared" si="0"/>
        <v>354</v>
      </c>
      <c r="G7" s="33">
        <v>260.39999999999998</v>
      </c>
      <c r="H7" s="33">
        <f>ROUND(坦克等级成长!$D103*VLOOKUP($B$2,坦克等级成长!$B$36:$G$42,MATCH(H$3,坦克等级成长!$B$35:$G$35,0)),0)</f>
        <v>354</v>
      </c>
      <c r="I7" s="33">
        <f>ROUND(坦克等级成长!$D103*VLOOKUP($B$2,坦克等级成长!$B$36:$G$42,MATCH(I$3,坦克等级成长!$B$35:$G$35,0)),0)</f>
        <v>94</v>
      </c>
      <c r="J7" s="188"/>
      <c r="K7" s="188"/>
      <c r="L7" s="188"/>
      <c r="M7" s="188"/>
      <c r="N7" s="188"/>
      <c r="O7" s="188"/>
      <c r="P7" s="188"/>
      <c r="Q7" s="199"/>
      <c r="R7" s="192"/>
      <c r="S7" s="188"/>
      <c r="T7" s="188"/>
      <c r="U7" s="188"/>
      <c r="V7" s="188"/>
      <c r="W7" s="188"/>
      <c r="X7" s="188"/>
      <c r="Y7" s="199"/>
      <c r="Z7" s="191">
        <v>4</v>
      </c>
      <c r="AA7" s="33">
        <f>ROUND(坦克等级成长!$D103*VLOOKUP($Z$2,坦克等级成长!$B$36:$G$42,MATCH(AA$3,坦克等级成长!$B$35:$G$35,0)),0)</f>
        <v>944</v>
      </c>
      <c r="AB7" s="33">
        <f>ROUND(坦克等级成长!$D103*VLOOKUP($Z$2,坦克等级成长!$B$36:$G$42,MATCH(AB$3,坦克等级成长!$B$35:$G$35,0)),0)</f>
        <v>56</v>
      </c>
      <c r="AC7" s="33">
        <f>ROUND(坦克等级成长!$D103*VLOOKUP($Z$2,坦克等级成长!$B$36:$G$42,MATCH(AC$3,坦克等级成长!$B$35:$G$35,0)),0)</f>
        <v>388</v>
      </c>
      <c r="AD7" s="33">
        <f t="shared" si="1"/>
        <v>388</v>
      </c>
      <c r="AE7" s="33">
        <v>284.89999999999998</v>
      </c>
      <c r="AF7" s="33">
        <f>ROUND(坦克等级成长!$D103*VLOOKUP($Z$2,坦克等级成长!$B$36:$G$42,MATCH(AF$3,坦克等级成长!$B$35:$G$35,0)),0)</f>
        <v>354</v>
      </c>
      <c r="AG7" s="33">
        <f>ROUND(坦克等级成长!$D103*VLOOKUP($Z$2,坦克等级成长!$B$36:$G$42,MATCH(AG$3,坦克等级成长!$B$35:$G$35,0)),0)</f>
        <v>94</v>
      </c>
      <c r="AH7" s="188"/>
      <c r="AI7" s="188"/>
      <c r="AJ7" s="188"/>
      <c r="AK7" s="188"/>
      <c r="AL7" s="188"/>
      <c r="AM7" s="188"/>
      <c r="AN7" s="188"/>
      <c r="AO7" s="199"/>
      <c r="AP7" s="192"/>
      <c r="AQ7" s="188"/>
      <c r="AR7" s="188"/>
      <c r="AS7" s="188"/>
      <c r="AT7" s="188"/>
      <c r="AU7" s="188"/>
      <c r="AV7" s="188"/>
      <c r="AW7" s="199"/>
      <c r="AX7" s="191">
        <v>4</v>
      </c>
      <c r="AY7" s="33">
        <f>ROUND(坦克等级成长!$D103*VLOOKUP($AX$2,坦克等级成长!$B$36:$G$42,MATCH(AY$3,坦克等级成长!$B$35:$G$35,0)),0)</f>
        <v>944</v>
      </c>
      <c r="AZ7" s="33">
        <f>ROUND(坦克等级成长!$D103*VLOOKUP($AX$2,坦克等级成长!$B$36:$G$42,MATCH(AZ$3,坦克等级成长!$B$35:$G$35,0)),0)</f>
        <v>103</v>
      </c>
      <c r="BA7" s="33">
        <f>ROUND(坦克等级成长!$D103*VLOOKUP($AX$2,坦克等级成长!$B$36:$G$42,MATCH(BA$3,坦克等级成长!$B$35:$G$35,0)),0)</f>
        <v>354</v>
      </c>
      <c r="BB7" s="33">
        <f t="shared" si="2"/>
        <v>354</v>
      </c>
      <c r="BC7" s="33">
        <v>260.39999999999998</v>
      </c>
      <c r="BD7" s="33">
        <f>ROUND(坦克等级成长!$D103*VLOOKUP($AX$2,坦克等级成长!$B$36:$G$42,MATCH(BD$3,坦克等级成长!$B$35:$G$35,0)),0)</f>
        <v>354</v>
      </c>
      <c r="BE7" s="33">
        <f>ROUND(坦克等级成长!$D103*VLOOKUP($AX$2,坦克等级成长!$B$36:$G$42,MATCH(BE$3,坦克等级成长!$B$35:$G$35,0)),0)</f>
        <v>94</v>
      </c>
      <c r="BF7" s="188"/>
      <c r="BG7" s="188"/>
      <c r="BH7" s="188"/>
      <c r="BI7" s="188"/>
      <c r="BJ7" s="188"/>
      <c r="BK7" s="188"/>
      <c r="BL7" s="188"/>
      <c r="BM7" s="199"/>
      <c r="BN7" s="192"/>
      <c r="BO7" s="188"/>
      <c r="BP7" s="188"/>
      <c r="BQ7" s="188"/>
      <c r="BR7" s="188"/>
      <c r="BS7" s="188"/>
      <c r="BT7" s="188"/>
      <c r="BU7" s="199"/>
      <c r="BV7" s="191">
        <v>4</v>
      </c>
      <c r="BW7" s="33">
        <f>ROUND(坦克等级成长!$D103*VLOOKUP($BV$2,坦克等级成长!$B$36:$G$42,MATCH(BW$3,坦克等级成长!$B$35:$G$35,0)),0)</f>
        <v>995</v>
      </c>
      <c r="BX7" s="33">
        <f>ROUND(坦克等级成长!$D103*VLOOKUP($BV$2,坦克等级成长!$B$36:$G$42,MATCH(BX$3,坦克等级成长!$B$35:$G$35,0)),0)</f>
        <v>94</v>
      </c>
      <c r="BY7" s="33">
        <f>ROUND(坦克等级成长!$D103*VLOOKUP($BV$2,坦克等级成长!$B$36:$G$42,MATCH(BY$3,坦克等级成长!$B$35:$G$35,0)),0)</f>
        <v>337</v>
      </c>
      <c r="BZ7" s="33">
        <f t="shared" si="3"/>
        <v>337</v>
      </c>
      <c r="CA7" s="33">
        <v>265.5</v>
      </c>
      <c r="CB7" s="33">
        <f>ROUND(坦克等级成长!$D103*VLOOKUP($BV$2,坦克等级成长!$B$36:$G$42,MATCH(CB$3,坦克等级成长!$B$35:$G$35,0)),0)</f>
        <v>425</v>
      </c>
      <c r="CC7" s="33">
        <f>ROUND(坦克等级成长!$D103*VLOOKUP($BV$2,坦克等级成长!$B$36:$G$42,MATCH(CC$3,坦克等级成长!$B$35:$G$35,0)),0)</f>
        <v>99</v>
      </c>
      <c r="CD7" s="188"/>
      <c r="CE7" s="188"/>
      <c r="CF7" s="188"/>
      <c r="CG7" s="188"/>
      <c r="CH7" s="188"/>
      <c r="CI7" s="188"/>
      <c r="CJ7" s="188"/>
      <c r="CK7" s="199"/>
      <c r="CL7" s="192"/>
      <c r="CM7" s="188"/>
      <c r="CN7" s="188"/>
      <c r="CO7" s="188"/>
      <c r="CP7" s="188"/>
      <c r="CQ7" s="188"/>
      <c r="CR7" s="188"/>
      <c r="CS7" s="199"/>
      <c r="CT7" s="191">
        <v>4</v>
      </c>
      <c r="CU7" s="33">
        <f>ROUND(坦克等级成长!$D103*VLOOKUP($CT$2,坦克等级成长!$B$36:$G$42,MATCH(CU$3,坦克等级成长!$B$35:$G$35,0)),0)</f>
        <v>944</v>
      </c>
      <c r="CV7" s="33">
        <f>ROUND(坦克等级成长!$D103*VLOOKUP($CT$2,坦克等级成长!$B$36:$G$42,MATCH(CV$3,坦克等级成长!$B$35:$G$35,0)),0)</f>
        <v>214</v>
      </c>
      <c r="CW7" s="33">
        <f>ROUND(坦克等级成长!$D103*VLOOKUP($CT$2,坦克等级成长!$B$36:$G$42,MATCH(CW$3,坦克等级成长!$B$35:$G$35,0)),0)</f>
        <v>421</v>
      </c>
      <c r="CX7" s="33">
        <f t="shared" si="4"/>
        <v>421</v>
      </c>
      <c r="CY7" s="33">
        <v>332.25</v>
      </c>
      <c r="CZ7" s="33">
        <f>ROUND(坦克等级成长!$D103*VLOOKUP($CT$2,坦克等级成长!$B$36:$G$42,MATCH(CZ$3,坦克等级成长!$B$35:$G$35,0)),0)</f>
        <v>354</v>
      </c>
      <c r="DA7" s="33">
        <f>ROUND(坦克等级成长!$D103*VLOOKUP($CT$2,坦克等级成长!$B$36:$G$42,MATCH(DA$3,坦克等级成长!$B$35:$G$35,0)),0)</f>
        <v>94</v>
      </c>
      <c r="DB7" s="188"/>
      <c r="DC7" s="188"/>
      <c r="DD7" s="188"/>
      <c r="DE7" s="188"/>
      <c r="DF7" s="188"/>
      <c r="DG7" s="188"/>
      <c r="DH7" s="188"/>
      <c r="DI7" s="199"/>
      <c r="DJ7" s="192"/>
      <c r="DK7" s="188"/>
      <c r="DL7" s="188"/>
      <c r="DM7" s="188"/>
      <c r="DN7" s="188"/>
      <c r="DO7" s="188"/>
      <c r="DP7" s="188"/>
      <c r="DQ7" s="199"/>
      <c r="DR7" s="191">
        <v>4</v>
      </c>
      <c r="DS7" s="33">
        <f>ROUND(坦克等级成长!$D103*VLOOKUP($DR$2,坦克等级成长!$B$36:$G$42,MATCH(DS$3,坦克等级成长!$B$35:$G$35,0)),0)</f>
        <v>1074</v>
      </c>
      <c r="DT7" s="33">
        <f>ROUND(坦克等级成长!$D103*VLOOKUP($DR$2,坦克等级成长!$B$36:$G$42,MATCH(DT$3,坦克等级成长!$B$35:$G$35,0)),0)</f>
        <v>366</v>
      </c>
      <c r="DU7" s="33">
        <f>ROUND(坦克等级成长!$D103*VLOOKUP($DR$2,坦克等级成长!$B$36:$G$42,MATCH(DU$3,坦克等级成长!$B$35:$G$35,0)),0)</f>
        <v>337</v>
      </c>
      <c r="DV7" s="33">
        <f t="shared" si="5"/>
        <v>337</v>
      </c>
      <c r="DW7" s="33">
        <v>283.2</v>
      </c>
      <c r="DX7" s="33">
        <f>ROUND(坦克等级成长!$D103*VLOOKUP($DR$2,坦克等级成长!$B$36:$G$42,MATCH(DX$3,坦克等级成长!$B$35:$G$35,0)),0)</f>
        <v>496</v>
      </c>
      <c r="DY7" s="33">
        <f>ROUND(坦克等级成长!$D103*VLOOKUP($DR$2,坦克等级成长!$B$36:$G$42,MATCH(DY$3,坦克等级成长!$B$35:$G$35,0)),0)</f>
        <v>107</v>
      </c>
      <c r="DZ7" s="188"/>
      <c r="EA7" s="188"/>
      <c r="EB7" s="188"/>
      <c r="EC7" s="188"/>
      <c r="ED7" s="188"/>
      <c r="EE7" s="188"/>
      <c r="EF7" s="188"/>
      <c r="EG7" s="199"/>
      <c r="EH7" s="192"/>
      <c r="EI7" s="188"/>
      <c r="EJ7" s="188"/>
      <c r="EK7" s="188"/>
      <c r="EL7" s="188"/>
      <c r="EM7" s="188"/>
      <c r="EN7" s="188"/>
      <c r="EO7" s="199"/>
      <c r="EP7" s="191">
        <v>4</v>
      </c>
      <c r="EQ7" s="33">
        <f>ROUND(坦克等级成长!$D103*VLOOKUP($EP$2,坦克等级成长!$B$36:$G$42,MATCH(EQ$3,坦克等级成长!$B$35:$G$35,0)),0)</f>
        <v>995</v>
      </c>
      <c r="ER7" s="33">
        <f>ROUND(坦克等级成长!$D103*VLOOKUP($EP$2,坦克等级成长!$B$36:$G$42,MATCH(ER$3,坦克等级成长!$B$35:$G$35,0)),0)</f>
        <v>114</v>
      </c>
      <c r="ES7" s="33">
        <f>ROUND(坦克等级成长!$D103*VLOOKUP($EP$2,坦克等级成长!$B$36:$G$42,MATCH(ES$3,坦克等级成长!$B$35:$G$35,0)),0)</f>
        <v>388</v>
      </c>
      <c r="ET7" s="33">
        <f t="shared" si="6"/>
        <v>388</v>
      </c>
      <c r="EU7" s="33">
        <v>305.25</v>
      </c>
      <c r="EV7" s="33">
        <f>ROUND(坦克等级成长!$D103*VLOOKUP($EP$2,坦克等级成长!$B$36:$G$42,MATCH(EV$3,坦克等级成长!$B$35:$G$35,0)),0)</f>
        <v>425</v>
      </c>
      <c r="EW7" s="33">
        <f>ROUND(坦克等级成长!$D103*VLOOKUP($EP$2,坦克等级成长!$B$36:$G$42,MATCH(EW$3,坦克等级成长!$B$35:$G$35,0)),0)</f>
        <v>99</v>
      </c>
      <c r="EX7" s="188"/>
      <c r="EY7" s="188"/>
      <c r="EZ7" s="188"/>
      <c r="FA7" s="188"/>
      <c r="FB7" s="188"/>
      <c r="FC7" s="188"/>
      <c r="FD7" s="188"/>
      <c r="FE7" s="199"/>
      <c r="FF7" s="192"/>
      <c r="FG7" s="188"/>
      <c r="FH7" s="188"/>
      <c r="FI7" s="188"/>
      <c r="FJ7" s="188"/>
      <c r="FK7" s="188"/>
      <c r="FL7" s="188"/>
      <c r="FM7" s="199"/>
    </row>
    <row r="8" spans="1:169" ht="14.25" x14ac:dyDescent="0.3">
      <c r="A8" s="188">
        <v>1</v>
      </c>
      <c r="B8" s="191">
        <v>5</v>
      </c>
      <c r="C8" s="33">
        <f>ROUND(坦克等级成长!$D104*VLOOKUP($B$2,坦克等级成长!$B$36:$G$42,MATCH(C$3,坦克等级成长!$B$35:$G$35,0)),0)</f>
        <v>992</v>
      </c>
      <c r="D8" s="33">
        <f>ROUND(坦克等级成长!$D104*VLOOKUP($B$2,坦克等级成长!$B$36:$G$42,MATCH(D$3,坦克等级成长!$B$35:$G$35,0)),0)</f>
        <v>108</v>
      </c>
      <c r="E8" s="33">
        <f>ROUND(坦克等级成长!$D104*VLOOKUP($B$2,坦克等级成长!$B$36:$G$42,MATCH(E$3,坦克等级成长!$B$35:$G$35,0)),0)</f>
        <v>372</v>
      </c>
      <c r="F8" s="33">
        <f t="shared" si="0"/>
        <v>372</v>
      </c>
      <c r="G8" s="33">
        <v>277.2</v>
      </c>
      <c r="H8" s="33">
        <f>ROUND(坦克等级成长!$D104*VLOOKUP($B$2,坦克等级成长!$B$36:$G$42,MATCH(H$3,坦克等级成长!$B$35:$G$35,0)),0)</f>
        <v>372</v>
      </c>
      <c r="I8" s="33">
        <f>ROUND(坦克等级成长!$D104*VLOOKUP($B$2,坦克等级成长!$B$36:$G$42,MATCH(I$3,坦克等级成长!$B$35:$G$35,0)),0)</f>
        <v>99</v>
      </c>
      <c r="J8" s="188"/>
      <c r="K8" s="188"/>
      <c r="L8" s="188"/>
      <c r="M8" s="188"/>
      <c r="N8" s="188"/>
      <c r="O8" s="188"/>
      <c r="P8" s="188"/>
      <c r="Q8" s="199"/>
      <c r="R8" s="192"/>
      <c r="S8" s="188"/>
      <c r="T8" s="188"/>
      <c r="U8" s="188"/>
      <c r="V8" s="188"/>
      <c r="W8" s="188"/>
      <c r="X8" s="188"/>
      <c r="Y8" s="199"/>
      <c r="Z8" s="191">
        <v>5</v>
      </c>
      <c r="AA8" s="33">
        <f>ROUND(坦克等级成长!$D104*VLOOKUP($Z$2,坦克等级成长!$B$36:$G$42,MATCH(AA$3,坦克等级成长!$B$35:$G$35,0)),0)</f>
        <v>992</v>
      </c>
      <c r="AB8" s="33">
        <f>ROUND(坦克等级成长!$D104*VLOOKUP($Z$2,坦克等级成长!$B$36:$G$42,MATCH(AB$3,坦克等级成长!$B$35:$G$35,0)),0)</f>
        <v>58</v>
      </c>
      <c r="AC8" s="33">
        <f>ROUND(坦克等级成长!$D104*VLOOKUP($Z$2,坦克等级成长!$B$36:$G$42,MATCH(AC$3,坦克等级成长!$B$35:$G$35,0)),0)</f>
        <v>407</v>
      </c>
      <c r="AD8" s="33">
        <f t="shared" si="1"/>
        <v>407</v>
      </c>
      <c r="AE8" s="33">
        <v>303.8</v>
      </c>
      <c r="AF8" s="33">
        <f>ROUND(坦克等级成长!$D104*VLOOKUP($Z$2,坦克等级成长!$B$36:$G$42,MATCH(AF$3,坦克等级成长!$B$35:$G$35,0)),0)</f>
        <v>372</v>
      </c>
      <c r="AG8" s="33">
        <f>ROUND(坦克等级成长!$D104*VLOOKUP($Z$2,坦克等级成长!$B$36:$G$42,MATCH(AG$3,坦克等级成长!$B$35:$G$35,0)),0)</f>
        <v>99</v>
      </c>
      <c r="AH8" s="188"/>
      <c r="AI8" s="188"/>
      <c r="AJ8" s="188"/>
      <c r="AK8" s="188"/>
      <c r="AL8" s="188"/>
      <c r="AM8" s="188"/>
      <c r="AN8" s="188"/>
      <c r="AO8" s="199"/>
      <c r="AP8" s="192"/>
      <c r="AQ8" s="188"/>
      <c r="AR8" s="188"/>
      <c r="AS8" s="188"/>
      <c r="AT8" s="188"/>
      <c r="AU8" s="188"/>
      <c r="AV8" s="188"/>
      <c r="AW8" s="199"/>
      <c r="AX8" s="191">
        <v>5</v>
      </c>
      <c r="AY8" s="33">
        <f>ROUND(坦克等级成长!$D104*VLOOKUP($AX$2,坦克等级成长!$B$36:$G$42,MATCH(AY$3,坦克等级成长!$B$35:$G$35,0)),0)</f>
        <v>992</v>
      </c>
      <c r="AZ8" s="33">
        <f>ROUND(坦克等级成长!$D104*VLOOKUP($AX$2,坦克等级成长!$B$36:$G$42,MATCH(AZ$3,坦克等级成长!$B$35:$G$35,0)),0)</f>
        <v>108</v>
      </c>
      <c r="BA8" s="33">
        <f>ROUND(坦克等级成长!$D104*VLOOKUP($AX$2,坦克等级成长!$B$36:$G$42,MATCH(BA$3,坦克等级成长!$B$35:$G$35,0)),0)</f>
        <v>372</v>
      </c>
      <c r="BB8" s="33">
        <f t="shared" si="2"/>
        <v>372</v>
      </c>
      <c r="BC8" s="33">
        <v>277.2</v>
      </c>
      <c r="BD8" s="33">
        <f>ROUND(坦克等级成长!$D104*VLOOKUP($AX$2,坦克等级成长!$B$36:$G$42,MATCH(BD$3,坦克等级成长!$B$35:$G$35,0)),0)</f>
        <v>372</v>
      </c>
      <c r="BE8" s="33">
        <f>ROUND(坦克等级成长!$D104*VLOOKUP($AX$2,坦克等级成长!$B$36:$G$42,MATCH(BE$3,坦克等级成长!$B$35:$G$35,0)),0)</f>
        <v>99</v>
      </c>
      <c r="BF8" s="188"/>
      <c r="BG8" s="188"/>
      <c r="BH8" s="188"/>
      <c r="BI8" s="188"/>
      <c r="BJ8" s="188"/>
      <c r="BK8" s="188"/>
      <c r="BL8" s="188"/>
      <c r="BM8" s="199"/>
      <c r="BN8" s="192"/>
      <c r="BO8" s="188"/>
      <c r="BP8" s="188"/>
      <c r="BQ8" s="188"/>
      <c r="BR8" s="188"/>
      <c r="BS8" s="188"/>
      <c r="BT8" s="188"/>
      <c r="BU8" s="199"/>
      <c r="BV8" s="191">
        <v>5</v>
      </c>
      <c r="BW8" s="33">
        <f>ROUND(坦克等级成长!$D104*VLOOKUP($BV$2,坦克等级成长!$B$36:$G$42,MATCH(BW$3,坦克等级成长!$B$35:$G$35,0)),0)</f>
        <v>1045</v>
      </c>
      <c r="BX8" s="33">
        <f>ROUND(坦克等级成长!$D104*VLOOKUP($BV$2,坦克等级成长!$B$36:$G$42,MATCH(BX$3,坦克等级成长!$B$35:$G$35,0)),0)</f>
        <v>99</v>
      </c>
      <c r="BY8" s="33">
        <f>ROUND(坦克等级成长!$D104*VLOOKUP($BV$2,坦克等级成长!$B$36:$G$42,MATCH(BY$3,坦克等级成长!$B$35:$G$35,0)),0)</f>
        <v>354</v>
      </c>
      <c r="BZ8" s="33">
        <f t="shared" si="3"/>
        <v>354</v>
      </c>
      <c r="CA8" s="33">
        <v>282.75</v>
      </c>
      <c r="CB8" s="33">
        <f>ROUND(坦克等级成长!$D104*VLOOKUP($BV$2,坦克等级成长!$B$36:$G$42,MATCH(CB$3,坦克等级成长!$B$35:$G$35,0)),0)</f>
        <v>446</v>
      </c>
      <c r="CC8" s="33">
        <f>ROUND(坦克等级成长!$D104*VLOOKUP($BV$2,坦克等级成长!$B$36:$G$42,MATCH(CC$3,坦克等级成长!$B$35:$G$35,0)),0)</f>
        <v>105</v>
      </c>
      <c r="CD8" s="188"/>
      <c r="CE8" s="188"/>
      <c r="CF8" s="188"/>
      <c r="CG8" s="188"/>
      <c r="CH8" s="188"/>
      <c r="CI8" s="188"/>
      <c r="CJ8" s="188"/>
      <c r="CK8" s="199"/>
      <c r="CL8" s="192"/>
      <c r="CM8" s="188"/>
      <c r="CN8" s="188"/>
      <c r="CO8" s="188"/>
      <c r="CP8" s="188"/>
      <c r="CQ8" s="188"/>
      <c r="CR8" s="188"/>
      <c r="CS8" s="199"/>
      <c r="CT8" s="191">
        <v>5</v>
      </c>
      <c r="CU8" s="33">
        <f>ROUND(坦克等级成长!$D104*VLOOKUP($CT$2,坦克等级成长!$B$36:$G$42,MATCH(CU$3,坦克等级成长!$B$35:$G$35,0)),0)</f>
        <v>992</v>
      </c>
      <c r="CV8" s="33">
        <f>ROUND(坦克等级成长!$D104*VLOOKUP($CT$2,坦克等级成长!$B$36:$G$42,MATCH(CV$3,坦克等级成长!$B$35:$G$35,0)),0)</f>
        <v>225</v>
      </c>
      <c r="CW8" s="33">
        <f>ROUND(坦克等级成长!$D104*VLOOKUP($CT$2,坦克等级成长!$B$36:$G$42,MATCH(CW$3,坦克等级成长!$B$35:$G$35,0)),0)</f>
        <v>443</v>
      </c>
      <c r="CX8" s="33">
        <f t="shared" si="4"/>
        <v>443</v>
      </c>
      <c r="CY8" s="33">
        <v>353.25</v>
      </c>
      <c r="CZ8" s="33">
        <f>ROUND(坦克等级成长!$D104*VLOOKUP($CT$2,坦克等级成长!$B$36:$G$42,MATCH(CZ$3,坦克等级成长!$B$35:$G$35,0)),0)</f>
        <v>372</v>
      </c>
      <c r="DA8" s="33">
        <f>ROUND(坦克等级成长!$D104*VLOOKUP($CT$2,坦克等级成长!$B$36:$G$42,MATCH(DA$3,坦克等级成长!$B$35:$G$35,0)),0)</f>
        <v>99</v>
      </c>
      <c r="DB8" s="188"/>
      <c r="DC8" s="188"/>
      <c r="DD8" s="188"/>
      <c r="DE8" s="188"/>
      <c r="DF8" s="188"/>
      <c r="DG8" s="188"/>
      <c r="DH8" s="188"/>
      <c r="DI8" s="199"/>
      <c r="DJ8" s="192"/>
      <c r="DK8" s="188"/>
      <c r="DL8" s="188"/>
      <c r="DM8" s="188"/>
      <c r="DN8" s="188"/>
      <c r="DO8" s="188"/>
      <c r="DP8" s="188"/>
      <c r="DQ8" s="199"/>
      <c r="DR8" s="191">
        <v>5</v>
      </c>
      <c r="DS8" s="33">
        <f>ROUND(坦克等级成长!$D104*VLOOKUP($DR$2,坦克等级成长!$B$36:$G$42,MATCH(DS$3,坦克等级成长!$B$35:$G$35,0)),0)</f>
        <v>1129</v>
      </c>
      <c r="DT8" s="33">
        <f>ROUND(坦克等级成长!$D104*VLOOKUP($DR$2,坦克等级成长!$B$36:$G$42,MATCH(DT$3,坦克等级成长!$B$35:$G$35,0)),0)</f>
        <v>385</v>
      </c>
      <c r="DU8" s="33">
        <f>ROUND(坦克等级成长!$D104*VLOOKUP($DR$2,坦克等级成长!$B$36:$G$42,MATCH(DU$3,坦克等级成长!$B$35:$G$35,0)),0)</f>
        <v>354</v>
      </c>
      <c r="DV8" s="33">
        <f t="shared" si="5"/>
        <v>354</v>
      </c>
      <c r="DW8" s="33">
        <v>301.60000000000002</v>
      </c>
      <c r="DX8" s="33">
        <f>ROUND(坦克等级成长!$D104*VLOOKUP($DR$2,坦克等级成长!$B$36:$G$42,MATCH(DX$3,坦克等级成长!$B$35:$G$35,0)),0)</f>
        <v>521</v>
      </c>
      <c r="DY8" s="33">
        <f>ROUND(坦克等级成长!$D104*VLOOKUP($DR$2,坦克等级成长!$B$36:$G$42,MATCH(DY$3,坦克等级成长!$B$35:$G$35,0)),0)</f>
        <v>113</v>
      </c>
      <c r="DZ8" s="188"/>
      <c r="EA8" s="188"/>
      <c r="EB8" s="188"/>
      <c r="EC8" s="188"/>
      <c r="ED8" s="188"/>
      <c r="EE8" s="188"/>
      <c r="EF8" s="188"/>
      <c r="EG8" s="199"/>
      <c r="EH8" s="192"/>
      <c r="EI8" s="188"/>
      <c r="EJ8" s="188"/>
      <c r="EK8" s="188"/>
      <c r="EL8" s="188"/>
      <c r="EM8" s="188"/>
      <c r="EN8" s="188"/>
      <c r="EO8" s="199"/>
      <c r="EP8" s="191">
        <v>5</v>
      </c>
      <c r="EQ8" s="33">
        <f>ROUND(坦克等级成长!$D104*VLOOKUP($EP$2,坦克等级成长!$B$36:$G$42,MATCH(EQ$3,坦克等级成长!$B$35:$G$35,0)),0)</f>
        <v>1045</v>
      </c>
      <c r="ER8" s="33">
        <f>ROUND(坦克等级成长!$D104*VLOOKUP($EP$2,坦克等级成长!$B$36:$G$42,MATCH(ER$3,坦克等级成长!$B$35:$G$35,0)),0)</f>
        <v>120</v>
      </c>
      <c r="ES8" s="33">
        <f>ROUND(坦克等级成长!$D104*VLOOKUP($EP$2,坦克等级成长!$B$36:$G$42,MATCH(ES$3,坦克等级成长!$B$35:$G$35,0)),0)</f>
        <v>407</v>
      </c>
      <c r="ET8" s="33">
        <f t="shared" si="6"/>
        <v>407</v>
      </c>
      <c r="EU8" s="33">
        <v>325.5</v>
      </c>
      <c r="EV8" s="33">
        <f>ROUND(坦克等级成长!$D104*VLOOKUP($EP$2,坦克等级成长!$B$36:$G$42,MATCH(EV$3,坦克等级成长!$B$35:$G$35,0)),0)</f>
        <v>446</v>
      </c>
      <c r="EW8" s="33">
        <f>ROUND(坦克等级成长!$D104*VLOOKUP($EP$2,坦克等级成长!$B$36:$G$42,MATCH(EW$3,坦克等级成长!$B$35:$G$35,0)),0)</f>
        <v>105</v>
      </c>
      <c r="EX8" s="188"/>
      <c r="EY8" s="188"/>
      <c r="EZ8" s="188"/>
      <c r="FA8" s="188"/>
      <c r="FB8" s="188"/>
      <c r="FC8" s="188"/>
      <c r="FD8" s="188"/>
      <c r="FE8" s="199"/>
      <c r="FF8" s="192"/>
      <c r="FG8" s="188"/>
      <c r="FH8" s="188"/>
      <c r="FI8" s="188"/>
      <c r="FJ8" s="188"/>
      <c r="FK8" s="188"/>
      <c r="FL8" s="188"/>
      <c r="FM8" s="199"/>
    </row>
    <row r="9" spans="1:169" ht="14.25" x14ac:dyDescent="0.3">
      <c r="A9" s="188">
        <v>2</v>
      </c>
      <c r="B9" s="191">
        <v>1</v>
      </c>
      <c r="C9" s="33">
        <f>ROUND(坦克等级成长!$D106*VLOOKUP($B$2,坦克等级成长!$B$36:$G$42,MATCH(C$3,坦克等级成长!$B$35:$G$35,0)),0)</f>
        <v>928</v>
      </c>
      <c r="D9" s="33">
        <f>ROUND(坦克等级成长!$D106*VLOOKUP($B$2,坦克等级成长!$B$36:$G$42,MATCH(D$3,坦克等级成长!$B$35:$G$35,0)),0)</f>
        <v>101</v>
      </c>
      <c r="E9" s="33">
        <f>ROUND(坦克等级成长!$D106*VLOOKUP($B$2,坦克等级成长!$B$36:$G$42,MATCH(E$3,坦克等级成长!$B$35:$G$35,0)),0)</f>
        <v>348</v>
      </c>
      <c r="F9" s="33">
        <f t="shared" si="0"/>
        <v>348</v>
      </c>
      <c r="G9" s="33">
        <v>247.8</v>
      </c>
      <c r="H9" s="33">
        <f>ROUND(坦克等级成长!$D106*VLOOKUP($B$2,坦克等级成长!$B$36:$G$42,MATCH(H$3,坦克等级成长!$B$35:$G$35,0)),0)</f>
        <v>348</v>
      </c>
      <c r="I9" s="33">
        <f>ROUND(坦克等级成长!$D106*VLOOKUP($B$2,坦克等级成长!$B$36:$G$42,MATCH(I$3,坦克等级成长!$B$35:$G$35,0)),0)</f>
        <v>93</v>
      </c>
      <c r="J9" s="198">
        <v>1</v>
      </c>
      <c r="K9" s="33">
        <f>ROUND(坦克等级成长!$F106*VLOOKUP($B$2,坦克等级成长!$B$36:$G$42,MATCH(K$3,坦克等级成长!$B$35:$G$35,0)),0)</f>
        <v>944</v>
      </c>
      <c r="L9" s="33">
        <f>ROUND(坦克等级成长!$F106*VLOOKUP($B$2,坦克等级成长!$B$36:$G$42,MATCH(L$3,坦克等级成长!$B$35:$G$35,0)),0)</f>
        <v>103</v>
      </c>
      <c r="M9" s="33">
        <f>ROUND(坦克等级成长!$F106*VLOOKUP($B$2,坦克等级成长!$B$36:$G$42,MATCH(M$3,坦克等级成长!$B$35:$G$35,0)),0)</f>
        <v>354</v>
      </c>
      <c r="N9" s="33">
        <f>M9</f>
        <v>354</v>
      </c>
      <c r="O9" s="33">
        <v>256</v>
      </c>
      <c r="P9" s="33">
        <f>ROUND(坦克等级成长!$F106*VLOOKUP($B$2,坦克等级成长!$B$36:$G$42,MATCH(P$3,坦克等级成长!$B$35:$G$35,0)),0)</f>
        <v>354</v>
      </c>
      <c r="Q9" s="33">
        <f>ROUND(坦克等级成长!$F106*VLOOKUP($B$2,坦克等级成长!$B$36:$G$42,MATCH(Q$3,坦克等级成长!$B$35:$G$35,0)),0)</f>
        <v>94</v>
      </c>
      <c r="R9" s="192"/>
      <c r="S9" s="188"/>
      <c r="T9" s="188"/>
      <c r="U9" s="188"/>
      <c r="V9" s="188"/>
      <c r="W9" s="188"/>
      <c r="X9" s="188"/>
      <c r="Y9" s="199"/>
      <c r="Z9" s="191">
        <v>1</v>
      </c>
      <c r="AA9" s="33">
        <f>ROUND(坦克等级成长!$D106*VLOOKUP($Z$2,坦克等级成长!$B$36:$G$42,MATCH(AA$3,坦克等级成长!$B$35:$G$35,0)),0)</f>
        <v>928</v>
      </c>
      <c r="AB9" s="33">
        <f>ROUND(坦克等级成长!$D106*VLOOKUP($Z$2,坦克等级成长!$B$36:$G$42,MATCH(AB$3,坦克等级成长!$B$35:$G$35,0)),0)</f>
        <v>55</v>
      </c>
      <c r="AC9" s="33">
        <f>ROUND(坦克等级成长!$D106*VLOOKUP($Z$2,坦克等级成长!$B$36:$G$42,MATCH(AC$3,坦克等级成长!$B$35:$G$35,0)),0)</f>
        <v>381</v>
      </c>
      <c r="AD9" s="33">
        <f t="shared" si="1"/>
        <v>381</v>
      </c>
      <c r="AE9" s="33">
        <v>271.60000000000002</v>
      </c>
      <c r="AF9" s="33">
        <f>ROUND(坦克等级成长!$D106*VLOOKUP($Z$2,坦克等级成长!$B$36:$G$42,MATCH(AF$3,坦克等级成长!$B$35:$G$35,0)),0)</f>
        <v>348</v>
      </c>
      <c r="AG9" s="33">
        <f>ROUND(坦克等级成长!$D106*VLOOKUP($Z$2,坦克等级成长!$B$36:$G$42,MATCH(AG$3,坦克等级成长!$B$35:$G$35,0)),0)</f>
        <v>93</v>
      </c>
      <c r="AH9" s="198">
        <v>1</v>
      </c>
      <c r="AI9" s="33">
        <f>ROUND(坦克等级成长!$F106*VLOOKUP($Z$2,坦克等级成长!$B$36:$G$42,MATCH(AI$3,坦克等级成长!$B$35:$G$35,0)),0)</f>
        <v>944</v>
      </c>
      <c r="AJ9" s="33">
        <f>ROUND(坦克等级成长!$F106*VLOOKUP($Z$2,坦克等级成长!$B$36:$G$42,MATCH(AJ$3,坦克等级成长!$B$35:$G$35,0)),0)</f>
        <v>56</v>
      </c>
      <c r="AK9" s="33">
        <f>ROUND(坦克等级成长!$F106*VLOOKUP($Z$2,坦克等级成长!$B$36:$G$42,MATCH(AK$3,坦克等级成长!$B$35:$G$35,0)),0)</f>
        <v>388</v>
      </c>
      <c r="AL9" s="33">
        <f>AK9</f>
        <v>388</v>
      </c>
      <c r="AM9" s="33">
        <v>281</v>
      </c>
      <c r="AN9" s="33">
        <f>ROUND(坦克等级成长!$F106*VLOOKUP($Z$2,坦克等级成长!$B$36:$G$42,MATCH(AN$3,坦克等级成长!$B$35:$G$35,0)),0)</f>
        <v>354</v>
      </c>
      <c r="AO9" s="33">
        <f>ROUND(坦克等级成长!$F106*VLOOKUP($Z$2,坦克等级成长!$B$36:$G$42,MATCH(AO$3,坦克等级成长!$B$35:$G$35,0)),0)</f>
        <v>94</v>
      </c>
      <c r="AP9" s="192"/>
      <c r="AQ9" s="188"/>
      <c r="AR9" s="188"/>
      <c r="AS9" s="188"/>
      <c r="AT9" s="188"/>
      <c r="AU9" s="188"/>
      <c r="AV9" s="188"/>
      <c r="AW9" s="199"/>
      <c r="AX9" s="191">
        <v>1</v>
      </c>
      <c r="AY9" s="33">
        <f>ROUND(坦克等级成长!$D106*VLOOKUP($AX$2,坦克等级成长!$B$36:$G$42,MATCH(AY$3,坦克等级成长!$B$35:$G$35,0)),0)</f>
        <v>928</v>
      </c>
      <c r="AZ9" s="33">
        <f>ROUND(坦克等级成长!$D106*VLOOKUP($AX$2,坦克等级成长!$B$36:$G$42,MATCH(AZ$3,坦克等级成长!$B$35:$G$35,0)),0)</f>
        <v>101</v>
      </c>
      <c r="BA9" s="33">
        <f>ROUND(坦克等级成长!$D106*VLOOKUP($AX$2,坦克等级成长!$B$36:$G$42,MATCH(BA$3,坦克等级成长!$B$35:$G$35,0)),0)</f>
        <v>348</v>
      </c>
      <c r="BB9" s="33">
        <f t="shared" si="2"/>
        <v>348</v>
      </c>
      <c r="BC9" s="33">
        <v>247.8</v>
      </c>
      <c r="BD9" s="33">
        <f>ROUND(坦克等级成长!$D106*VLOOKUP($AX$2,坦克等级成长!$B$36:$G$42,MATCH(BD$3,坦克等级成长!$B$35:$G$35,0)),0)</f>
        <v>348</v>
      </c>
      <c r="BE9" s="33">
        <f>ROUND(坦克等级成长!$D106*VLOOKUP($AX$2,坦克等级成长!$B$36:$G$42,MATCH(BE$3,坦克等级成长!$B$35:$G$35,0)),0)</f>
        <v>93</v>
      </c>
      <c r="BF9" s="198">
        <v>1</v>
      </c>
      <c r="BG9" s="33">
        <f>ROUND(坦克等级成长!$F106*VLOOKUP($AX$2,坦克等级成长!$B$36:$G$42,MATCH(BG$3,坦克等级成长!$B$35:$G$35,0)),0)</f>
        <v>944</v>
      </c>
      <c r="BH9" s="33">
        <f>ROUND(坦克等级成长!$F106*VLOOKUP($AX$2,坦克等级成长!$B$36:$G$42,MATCH(BH$3,坦克等级成长!$B$35:$G$35,0)),0)</f>
        <v>103</v>
      </c>
      <c r="BI9" s="33">
        <f>ROUND(坦克等级成长!$F106*VLOOKUP($AX$2,坦克等级成长!$B$36:$G$42,MATCH(BI$3,坦克等级成长!$B$35:$G$35,0)),0)</f>
        <v>354</v>
      </c>
      <c r="BJ9" s="33">
        <f>BI9</f>
        <v>354</v>
      </c>
      <c r="BK9" s="33">
        <v>256</v>
      </c>
      <c r="BL9" s="33">
        <f>ROUND(坦克等级成长!$F106*VLOOKUP($AX$2,坦克等级成长!$B$36:$G$42,MATCH(BL$3,坦克等级成长!$B$35:$G$35,0)),0)</f>
        <v>354</v>
      </c>
      <c r="BM9" s="33">
        <f>ROUND(坦克等级成长!$F106*VLOOKUP($AX$2,坦克等级成长!$B$36:$G$42,MATCH(BM$3,坦克等级成长!$B$35:$G$35,0)),0)</f>
        <v>94</v>
      </c>
      <c r="BN9" s="192"/>
      <c r="BO9" s="188"/>
      <c r="BP9" s="188"/>
      <c r="BQ9" s="188"/>
      <c r="BR9" s="188"/>
      <c r="BS9" s="188"/>
      <c r="BT9" s="188"/>
      <c r="BU9" s="199"/>
      <c r="BV9" s="191">
        <v>1</v>
      </c>
      <c r="BW9" s="33">
        <f>ROUND(坦克等级成长!$D106*VLOOKUP($BV$2,坦克等级成长!$B$36:$G$42,MATCH(BW$3,坦克等级成长!$B$35:$G$35,0)),0)</f>
        <v>978</v>
      </c>
      <c r="BX9" s="33">
        <f>ROUND(坦克等级成长!$D106*VLOOKUP($BV$2,坦克等级成长!$B$36:$G$42,MATCH(BX$3,坦克等级成长!$B$35:$G$35,0)),0)</f>
        <v>92</v>
      </c>
      <c r="BY9" s="33">
        <f>ROUND(坦克等级成长!$D106*VLOOKUP($BV$2,坦克等级成长!$B$36:$G$42,MATCH(BY$3,坦克等级成长!$B$35:$G$35,0)),0)</f>
        <v>331</v>
      </c>
      <c r="BZ9" s="33">
        <f t="shared" si="3"/>
        <v>331</v>
      </c>
      <c r="CA9" s="33">
        <v>252.75</v>
      </c>
      <c r="CB9" s="33">
        <f>ROUND(坦克等级成长!$D106*VLOOKUP($BV$2,坦克等级成长!$B$36:$G$42,MATCH(CB$3,坦克等级成长!$B$35:$G$35,0)),0)</f>
        <v>418</v>
      </c>
      <c r="CC9" s="33">
        <f>ROUND(坦克等级成长!$D106*VLOOKUP($BV$2,坦克等级成长!$B$36:$G$42,MATCH(CC$3,坦克等级成长!$B$35:$G$35,0)),0)</f>
        <v>98</v>
      </c>
      <c r="CD9" s="198">
        <v>1</v>
      </c>
      <c r="CE9" s="33">
        <f>ROUND(坦克等级成长!$F106*VLOOKUP($BV$2,坦克等级成长!$B$36:$G$42,MATCH(CE$3,坦克等级成长!$B$35:$G$35,0)),0)</f>
        <v>995</v>
      </c>
      <c r="CF9" s="33">
        <f>ROUND(坦克等级成长!$F106*VLOOKUP($BV$2,坦克等级成长!$B$36:$G$42,MATCH(CF$3,坦克等级成长!$B$35:$G$35,0)),0)</f>
        <v>94</v>
      </c>
      <c r="CG9" s="33">
        <f>ROUND(坦克等级成长!$F106*VLOOKUP($BV$2,坦克等级成长!$B$36:$G$42,MATCH(CG$3,坦克等级成长!$B$35:$G$35,0)),0)</f>
        <v>337</v>
      </c>
      <c r="CH9" s="33">
        <f>CG9</f>
        <v>337</v>
      </c>
      <c r="CI9" s="33">
        <v>262</v>
      </c>
      <c r="CJ9" s="33">
        <f>ROUND(坦克等级成长!$F106*VLOOKUP($BV$2,坦克等级成长!$B$36:$G$42,MATCH(CJ$3,坦克等级成长!$B$35:$G$35,0)),0)</f>
        <v>425</v>
      </c>
      <c r="CK9" s="33">
        <f>ROUND(坦克等级成长!$F106*VLOOKUP($BV$2,坦克等级成长!$B$36:$G$42,MATCH(CK$3,坦克等级成长!$B$35:$G$35,0)),0)</f>
        <v>99</v>
      </c>
      <c r="CL9" s="192"/>
      <c r="CM9" s="188"/>
      <c r="CN9" s="188"/>
      <c r="CO9" s="188"/>
      <c r="CP9" s="188"/>
      <c r="CQ9" s="188"/>
      <c r="CR9" s="188"/>
      <c r="CS9" s="199"/>
      <c r="CT9" s="191">
        <v>1</v>
      </c>
      <c r="CU9" s="33">
        <f>ROUND(坦克等级成长!$D106*VLOOKUP($CT$2,坦克等级成长!$B$36:$G$42,MATCH(CU$3,坦克等级成长!$B$35:$G$35,0)),0)</f>
        <v>928</v>
      </c>
      <c r="CV9" s="33">
        <f>ROUND(坦克等级成长!$D106*VLOOKUP($CT$2,坦克等级成长!$B$36:$G$42,MATCH(CV$3,坦克等级成长!$B$35:$G$35,0)),0)</f>
        <v>211</v>
      </c>
      <c r="CW9" s="33">
        <f>ROUND(坦克等级成长!$D106*VLOOKUP($CT$2,坦克等级成长!$B$36:$G$42,MATCH(CW$3,坦克等级成长!$B$35:$G$35,0)),0)</f>
        <v>414</v>
      </c>
      <c r="CX9" s="33">
        <f t="shared" si="4"/>
        <v>414</v>
      </c>
      <c r="CY9" s="33">
        <v>315.75</v>
      </c>
      <c r="CZ9" s="33">
        <f>ROUND(坦克等级成长!$D106*VLOOKUP($CT$2,坦克等级成长!$B$36:$G$42,MATCH(CZ$3,坦克等级成长!$B$35:$G$35,0)),0)</f>
        <v>348</v>
      </c>
      <c r="DA9" s="33">
        <f>ROUND(坦克等级成长!$D106*VLOOKUP($CT$2,坦克等级成长!$B$36:$G$42,MATCH(DA$3,坦克等级成长!$B$35:$G$35,0)),0)</f>
        <v>93</v>
      </c>
      <c r="DB9" s="198">
        <v>1</v>
      </c>
      <c r="DC9" s="33">
        <f>ROUND(坦克等级成长!$F106*VLOOKUP($CT$2,坦克等级成长!$B$36:$G$42,MATCH(DC$3,坦克等级成长!$B$35:$G$35,0)),0)</f>
        <v>944</v>
      </c>
      <c r="DD9" s="33">
        <f>ROUND(坦克等级成长!$F106*VLOOKUP($CT$2,坦克等级成长!$B$36:$G$42,MATCH(DD$3,坦克等级成长!$B$35:$G$35,0)),0)</f>
        <v>214</v>
      </c>
      <c r="DE9" s="33">
        <f>ROUND(坦克等级成长!$F106*VLOOKUP($CT$2,坦克等级成长!$B$36:$G$42,MATCH(DE$3,坦克等级成长!$B$35:$G$35,0)),0)</f>
        <v>421</v>
      </c>
      <c r="DF9" s="33">
        <f>DE9</f>
        <v>421</v>
      </c>
      <c r="DG9" s="33">
        <v>327</v>
      </c>
      <c r="DH9" s="33">
        <f>ROUND(坦克等级成长!$F106*VLOOKUP($CT$2,坦克等级成长!$B$36:$G$42,MATCH(DH$3,坦克等级成长!$B$35:$G$35,0)),0)</f>
        <v>354</v>
      </c>
      <c r="DI9" s="33">
        <f>ROUND(坦克等级成长!$F106*VLOOKUP($CT$2,坦克等级成长!$B$36:$G$42,MATCH(DI$3,坦克等级成长!$B$35:$G$35,0)),0)</f>
        <v>94</v>
      </c>
      <c r="DJ9" s="192"/>
      <c r="DK9" s="188"/>
      <c r="DL9" s="188"/>
      <c r="DM9" s="188"/>
      <c r="DN9" s="188"/>
      <c r="DO9" s="188"/>
      <c r="DP9" s="188"/>
      <c r="DQ9" s="199"/>
      <c r="DR9" s="191">
        <v>1</v>
      </c>
      <c r="DS9" s="33">
        <f>ROUND(坦克等级成长!$D106*VLOOKUP($DR$2,坦克等级成长!$B$36:$G$42,MATCH(DS$3,坦克等级成长!$B$35:$G$35,0)),0)</f>
        <v>1056</v>
      </c>
      <c r="DT9" s="33">
        <f>ROUND(坦克等级成长!$D106*VLOOKUP($DR$2,坦克等级成长!$B$36:$G$42,MATCH(DT$3,坦克等级成长!$B$35:$G$35,0)),0)</f>
        <v>360</v>
      </c>
      <c r="DU9" s="33">
        <f>ROUND(坦克等级成长!$D106*VLOOKUP($DR$2,坦克等级成长!$B$36:$G$42,MATCH(DU$3,坦克等级成长!$B$35:$G$35,0)),0)</f>
        <v>331</v>
      </c>
      <c r="DV9" s="33">
        <f t="shared" si="5"/>
        <v>331</v>
      </c>
      <c r="DW9" s="33">
        <v>269.60000000000002</v>
      </c>
      <c r="DX9" s="33">
        <f>ROUND(坦克等级成长!$D106*VLOOKUP($DR$2,坦克等级成长!$B$36:$G$42,MATCH(DX$3,坦克等级成长!$B$35:$G$35,0)),0)</f>
        <v>487</v>
      </c>
      <c r="DY9" s="33">
        <f>ROUND(坦克等级成长!$D106*VLOOKUP($DR$2,坦克等级成长!$B$36:$G$42,MATCH(DY$3,坦克等级成长!$B$35:$G$35,0)),0)</f>
        <v>106</v>
      </c>
      <c r="DZ9" s="198">
        <v>1</v>
      </c>
      <c r="EA9" s="33">
        <f>ROUND(坦克等级成长!$F106*VLOOKUP($DR$2,坦克等级成长!$B$36:$G$42,MATCH(EA$3,坦克等级成长!$B$35:$G$35,0)),0)</f>
        <v>1074</v>
      </c>
      <c r="EB9" s="33">
        <f>ROUND(坦克等级成长!$F106*VLOOKUP($DR$2,坦克等级成长!$B$36:$G$42,MATCH(EB$3,坦克等级成长!$B$35:$G$35,0)),0)</f>
        <v>366</v>
      </c>
      <c r="EC9" s="33">
        <f>ROUND(坦克等级成长!$F106*VLOOKUP($DR$2,坦克等级成长!$B$36:$G$42,MATCH(EC$3,坦克等级成长!$B$35:$G$35,0)),0)</f>
        <v>337</v>
      </c>
      <c r="ED9" s="33">
        <f>EC9</f>
        <v>337</v>
      </c>
      <c r="EE9" s="33">
        <v>279</v>
      </c>
      <c r="EF9" s="33">
        <f>ROUND(坦克等级成长!$F106*VLOOKUP($DR$2,坦克等级成长!$B$36:$G$42,MATCH(EF$3,坦克等级成长!$B$35:$G$35,0)),0)</f>
        <v>496</v>
      </c>
      <c r="EG9" s="33">
        <f>ROUND(坦克等级成长!$F106*VLOOKUP($DR$2,坦克等级成长!$B$36:$G$42,MATCH(EG$3,坦克等级成长!$B$35:$G$35,0)),0)</f>
        <v>107</v>
      </c>
      <c r="EH9" s="192"/>
      <c r="EI9" s="188"/>
      <c r="EJ9" s="188"/>
      <c r="EK9" s="188"/>
      <c r="EL9" s="188"/>
      <c r="EM9" s="188"/>
      <c r="EN9" s="188"/>
      <c r="EO9" s="199"/>
      <c r="EP9" s="191">
        <v>1</v>
      </c>
      <c r="EQ9" s="33">
        <f>ROUND(坦克等级成长!$D106*VLOOKUP($EP$2,坦克等级成长!$B$36:$G$42,MATCH(EQ$3,坦克等级成长!$B$35:$G$35,0)),0)</f>
        <v>978</v>
      </c>
      <c r="ER9" s="33">
        <f>ROUND(坦克等级成长!$D106*VLOOKUP($EP$2,坦克等级成长!$B$36:$G$42,MATCH(ER$3,坦克等级成长!$B$35:$G$35,0)),0)</f>
        <v>112</v>
      </c>
      <c r="ES9" s="33">
        <f>ROUND(坦克等级成长!$D106*VLOOKUP($EP$2,坦克等级成长!$B$36:$G$42,MATCH(ES$3,坦克等级成长!$B$35:$G$35,0)),0)</f>
        <v>381</v>
      </c>
      <c r="ET9" s="33">
        <f t="shared" si="6"/>
        <v>381</v>
      </c>
      <c r="EU9" s="33">
        <v>291</v>
      </c>
      <c r="EV9" s="33">
        <f>ROUND(坦克等级成长!$D106*VLOOKUP($EP$2,坦克等级成长!$B$36:$G$42,MATCH(EV$3,坦克等级成长!$B$35:$G$35,0)),0)</f>
        <v>418</v>
      </c>
      <c r="EW9" s="33">
        <f>ROUND(坦克等级成长!$D106*VLOOKUP($EP$2,坦克等级成长!$B$36:$G$42,MATCH(EW$3,坦克等级成长!$B$35:$G$35,0)),0)</f>
        <v>98</v>
      </c>
      <c r="EX9" s="198">
        <v>1</v>
      </c>
      <c r="EY9" s="33">
        <f>ROUND(坦克等级成长!$F106*VLOOKUP($EP$2,坦克等级成长!$B$36:$G$42,MATCH(EY$3,坦克等级成长!$B$35:$G$35,0)),0)</f>
        <v>995</v>
      </c>
      <c r="EZ9" s="33">
        <f>ROUND(坦克等级成长!$F106*VLOOKUP($EP$2,坦克等级成长!$B$36:$G$42,MATCH(EZ$3,坦克等级成长!$B$35:$G$35,0)),0)</f>
        <v>114</v>
      </c>
      <c r="FA9" s="33">
        <f>ROUND(坦克等级成长!$F106*VLOOKUP($EP$2,坦克等级成长!$B$36:$G$42,MATCH(FA$3,坦克等级成长!$B$35:$G$35,0)),0)</f>
        <v>388</v>
      </c>
      <c r="FB9" s="33">
        <f>FA9</f>
        <v>388</v>
      </c>
      <c r="FC9" s="33">
        <v>301</v>
      </c>
      <c r="FD9" s="33">
        <f>ROUND(坦克等级成长!$F106*VLOOKUP($EP$2,坦克等级成长!$B$36:$G$42,MATCH(FD$3,坦克等级成长!$B$35:$G$35,0)),0)</f>
        <v>425</v>
      </c>
      <c r="FE9" s="33">
        <f>ROUND(坦克等级成长!$F106*VLOOKUP($EP$2,坦克等级成长!$B$36:$G$42,MATCH(FE$3,坦克等级成长!$B$35:$G$35,0)),0)</f>
        <v>99</v>
      </c>
      <c r="FF9" s="192"/>
      <c r="FG9" s="188"/>
      <c r="FH9" s="188"/>
      <c r="FI9" s="188"/>
      <c r="FJ9" s="188"/>
      <c r="FK9" s="188"/>
      <c r="FL9" s="188"/>
      <c r="FM9" s="199"/>
    </row>
    <row r="10" spans="1:169" ht="14.25" x14ac:dyDescent="0.3">
      <c r="A10" s="188">
        <v>2</v>
      </c>
      <c r="B10" s="191">
        <v>2</v>
      </c>
      <c r="C10" s="33">
        <f>ROUND(坦克等级成长!$D107*VLOOKUP($B$2,坦克等级成长!$B$36:$G$42,MATCH(C$3,坦克等级成长!$B$35:$G$35,0)),0)</f>
        <v>992</v>
      </c>
      <c r="D10" s="33">
        <f>ROUND(坦克等级成长!$D107*VLOOKUP($B$2,坦克等级成长!$B$36:$G$42,MATCH(D$3,坦克等级成长!$B$35:$G$35,0)),0)</f>
        <v>108</v>
      </c>
      <c r="E10" s="33">
        <f>ROUND(坦克等级成长!$D107*VLOOKUP($B$2,坦克等级成长!$B$36:$G$42,MATCH(E$3,坦克等级成长!$B$35:$G$35,0)),0)</f>
        <v>372</v>
      </c>
      <c r="F10" s="33">
        <f t="shared" si="0"/>
        <v>372</v>
      </c>
      <c r="G10" s="33">
        <v>266.7</v>
      </c>
      <c r="H10" s="33">
        <f>ROUND(坦克等级成长!$D107*VLOOKUP($B$2,坦克等级成长!$B$36:$G$42,MATCH(H$3,坦克等级成长!$B$35:$G$35,0)),0)</f>
        <v>372</v>
      </c>
      <c r="I10" s="33">
        <f>ROUND(坦克等级成长!$D107*VLOOKUP($B$2,坦克等级成长!$B$36:$G$42,MATCH(I$3,坦克等级成长!$B$35:$G$35,0)),0)</f>
        <v>99</v>
      </c>
      <c r="J10" s="198">
        <v>2</v>
      </c>
      <c r="K10" s="33">
        <f>ROUND(坦克等级成长!$F107*VLOOKUP($B$2,坦克等级成长!$B$36:$G$42,MATCH(K$3,坦克等级成长!$B$35:$G$35,0)),0)</f>
        <v>1008</v>
      </c>
      <c r="L10" s="33">
        <f>ROUND(坦克等级成长!$F107*VLOOKUP($B$2,坦克等级成长!$B$36:$G$42,MATCH(L$3,坦克等级成长!$B$35:$G$35,0)),0)</f>
        <v>110</v>
      </c>
      <c r="M10" s="33">
        <f>ROUND(坦克等级成长!$F107*VLOOKUP($B$2,坦克等级成长!$B$36:$G$42,MATCH(M$3,坦克等级成长!$B$35:$G$35,0)),0)</f>
        <v>378</v>
      </c>
      <c r="N10" s="33">
        <f t="shared" ref="N10:N73" si="7">M10</f>
        <v>378</v>
      </c>
      <c r="O10" s="33">
        <v>275</v>
      </c>
      <c r="P10" s="33">
        <f>ROUND(坦克等级成长!$F107*VLOOKUP($B$2,坦克等级成长!$B$36:$G$42,MATCH(P$3,坦克等级成长!$B$35:$G$35,0)),0)</f>
        <v>378</v>
      </c>
      <c r="Q10" s="33">
        <f>ROUND(坦克等级成长!$F107*VLOOKUP($B$2,坦克等级成长!$B$36:$G$42,MATCH(Q$3,坦克等级成长!$B$35:$G$35,0)),0)</f>
        <v>101</v>
      </c>
      <c r="R10" s="192"/>
      <c r="S10" s="188"/>
      <c r="T10" s="188"/>
      <c r="U10" s="188"/>
      <c r="V10" s="188"/>
      <c r="W10" s="188"/>
      <c r="X10" s="188"/>
      <c r="Y10" s="199"/>
      <c r="Z10" s="191">
        <v>2</v>
      </c>
      <c r="AA10" s="33">
        <f>ROUND(坦克等级成长!$D107*VLOOKUP($Z$2,坦克等级成长!$B$36:$G$42,MATCH(AA$3,坦克等级成长!$B$35:$G$35,0)),0)</f>
        <v>992</v>
      </c>
      <c r="AB10" s="33">
        <f>ROUND(坦克等级成长!$D107*VLOOKUP($Z$2,坦克等级成长!$B$36:$G$42,MATCH(AB$3,坦克等级成长!$B$35:$G$35,0)),0)</f>
        <v>58</v>
      </c>
      <c r="AC10" s="33">
        <f>ROUND(坦克等级成长!$D107*VLOOKUP($Z$2,坦克等级成长!$B$36:$G$42,MATCH(AC$3,坦克等级成长!$B$35:$G$35,0)),0)</f>
        <v>407</v>
      </c>
      <c r="AD10" s="33">
        <f t="shared" si="1"/>
        <v>407</v>
      </c>
      <c r="AE10" s="33">
        <v>291.89999999999998</v>
      </c>
      <c r="AF10" s="33">
        <f>ROUND(坦克等级成长!$D107*VLOOKUP($Z$2,坦克等级成长!$B$36:$G$42,MATCH(AF$3,坦克等级成长!$B$35:$G$35,0)),0)</f>
        <v>372</v>
      </c>
      <c r="AG10" s="33">
        <f>ROUND(坦克等级成长!$D107*VLOOKUP($Z$2,坦克等级成长!$B$36:$G$42,MATCH(AG$3,坦克等级成长!$B$35:$G$35,0)),0)</f>
        <v>99</v>
      </c>
      <c r="AH10" s="198">
        <v>2</v>
      </c>
      <c r="AI10" s="33">
        <f>ROUND(坦克等级成长!$F107*VLOOKUP($Z$2,坦克等级成长!$B$36:$G$42,MATCH(AI$3,坦克等级成长!$B$35:$G$35,0)),0)</f>
        <v>1008</v>
      </c>
      <c r="AJ10" s="33">
        <f>ROUND(坦克等级成长!$F107*VLOOKUP($Z$2,坦克等级成长!$B$36:$G$42,MATCH(AJ$3,坦克等级成长!$B$35:$G$35,0)),0)</f>
        <v>59</v>
      </c>
      <c r="AK10" s="33">
        <f>ROUND(坦克等级成长!$F107*VLOOKUP($Z$2,坦克等级成长!$B$36:$G$42,MATCH(AK$3,坦克等级成长!$B$35:$G$35,0)),0)</f>
        <v>414</v>
      </c>
      <c r="AL10" s="33">
        <f t="shared" ref="AL10:AL73" si="8">AK10</f>
        <v>414</v>
      </c>
      <c r="AM10" s="33">
        <v>301</v>
      </c>
      <c r="AN10" s="33">
        <f>ROUND(坦克等级成长!$F107*VLOOKUP($Z$2,坦克等级成长!$B$36:$G$42,MATCH(AN$3,坦克等级成长!$B$35:$G$35,0)),0)</f>
        <v>378</v>
      </c>
      <c r="AO10" s="33">
        <f>ROUND(坦克等级成长!$F107*VLOOKUP($Z$2,坦克等级成长!$B$36:$G$42,MATCH(AO$3,坦克等级成长!$B$35:$G$35,0)),0)</f>
        <v>101</v>
      </c>
      <c r="AP10" s="192"/>
      <c r="AQ10" s="188"/>
      <c r="AR10" s="188"/>
      <c r="AS10" s="188"/>
      <c r="AT10" s="188"/>
      <c r="AU10" s="188"/>
      <c r="AV10" s="188"/>
      <c r="AW10" s="199"/>
      <c r="AX10" s="191">
        <v>2</v>
      </c>
      <c r="AY10" s="33">
        <f>ROUND(坦克等级成长!$D107*VLOOKUP($AX$2,坦克等级成长!$B$36:$G$42,MATCH(AY$3,坦克等级成长!$B$35:$G$35,0)),0)</f>
        <v>992</v>
      </c>
      <c r="AZ10" s="33">
        <f>ROUND(坦克等级成长!$D107*VLOOKUP($AX$2,坦克等级成长!$B$36:$G$42,MATCH(AZ$3,坦克等级成长!$B$35:$G$35,0)),0)</f>
        <v>108</v>
      </c>
      <c r="BA10" s="33">
        <f>ROUND(坦克等级成长!$D107*VLOOKUP($AX$2,坦克等级成长!$B$36:$G$42,MATCH(BA$3,坦克等级成长!$B$35:$G$35,0)),0)</f>
        <v>372</v>
      </c>
      <c r="BB10" s="33">
        <f t="shared" si="2"/>
        <v>372</v>
      </c>
      <c r="BC10" s="33">
        <v>266.7</v>
      </c>
      <c r="BD10" s="33">
        <f>ROUND(坦克等级成长!$D107*VLOOKUP($AX$2,坦克等级成长!$B$36:$G$42,MATCH(BD$3,坦克等级成长!$B$35:$G$35,0)),0)</f>
        <v>372</v>
      </c>
      <c r="BE10" s="33">
        <f>ROUND(坦克等级成长!$D107*VLOOKUP($AX$2,坦克等级成长!$B$36:$G$42,MATCH(BE$3,坦克等级成长!$B$35:$G$35,0)),0)</f>
        <v>99</v>
      </c>
      <c r="BF10" s="198">
        <v>2</v>
      </c>
      <c r="BG10" s="33">
        <f>ROUND(坦克等级成长!$F107*VLOOKUP($AX$2,坦克等级成长!$B$36:$G$42,MATCH(BG$3,坦克等级成长!$B$35:$G$35,0)),0)</f>
        <v>1008</v>
      </c>
      <c r="BH10" s="33">
        <f>ROUND(坦克等级成长!$F107*VLOOKUP($AX$2,坦克等级成长!$B$36:$G$42,MATCH(BH$3,坦克等级成长!$B$35:$G$35,0)),0)</f>
        <v>110</v>
      </c>
      <c r="BI10" s="33">
        <f>ROUND(坦克等级成长!$F107*VLOOKUP($AX$2,坦克等级成长!$B$36:$G$42,MATCH(BI$3,坦克等级成长!$B$35:$G$35,0)),0)</f>
        <v>378</v>
      </c>
      <c r="BJ10" s="33">
        <f t="shared" ref="BJ10:BJ73" si="9">BI10</f>
        <v>378</v>
      </c>
      <c r="BK10" s="33">
        <v>275</v>
      </c>
      <c r="BL10" s="33">
        <f>ROUND(坦克等级成长!$F107*VLOOKUP($AX$2,坦克等级成长!$B$36:$G$42,MATCH(BL$3,坦克等级成长!$B$35:$G$35,0)),0)</f>
        <v>378</v>
      </c>
      <c r="BM10" s="33">
        <f>ROUND(坦克等级成长!$F107*VLOOKUP($AX$2,坦克等级成长!$B$36:$G$42,MATCH(BM$3,坦克等级成长!$B$35:$G$35,0)),0)</f>
        <v>101</v>
      </c>
      <c r="BN10" s="192"/>
      <c r="BO10" s="188"/>
      <c r="BP10" s="188"/>
      <c r="BQ10" s="188"/>
      <c r="BR10" s="188"/>
      <c r="BS10" s="188"/>
      <c r="BT10" s="188"/>
      <c r="BU10" s="199"/>
      <c r="BV10" s="191">
        <v>2</v>
      </c>
      <c r="BW10" s="33">
        <f>ROUND(坦克等级成长!$D107*VLOOKUP($BV$2,坦克等级成长!$B$36:$G$42,MATCH(BW$3,坦克等级成长!$B$35:$G$35,0)),0)</f>
        <v>1045</v>
      </c>
      <c r="BX10" s="33">
        <f>ROUND(坦克等级成长!$D107*VLOOKUP($BV$2,坦克等级成长!$B$36:$G$42,MATCH(BX$3,坦克等级成长!$B$35:$G$35,0)),0)</f>
        <v>99</v>
      </c>
      <c r="BY10" s="33">
        <f>ROUND(坦克等级成长!$D107*VLOOKUP($BV$2,坦克等级成长!$B$36:$G$42,MATCH(BY$3,坦克等级成长!$B$35:$G$35,0)),0)</f>
        <v>354</v>
      </c>
      <c r="BZ10" s="33">
        <f t="shared" si="3"/>
        <v>354</v>
      </c>
      <c r="CA10" s="33">
        <v>272.25</v>
      </c>
      <c r="CB10" s="33">
        <f>ROUND(坦克等级成长!$D107*VLOOKUP($BV$2,坦克等级成长!$B$36:$G$42,MATCH(CB$3,坦克等级成长!$B$35:$G$35,0)),0)</f>
        <v>446</v>
      </c>
      <c r="CC10" s="33">
        <f>ROUND(坦克等级成长!$D107*VLOOKUP($BV$2,坦克等级成长!$B$36:$G$42,MATCH(CC$3,坦克等级成长!$B$35:$G$35,0)),0)</f>
        <v>105</v>
      </c>
      <c r="CD10" s="198">
        <v>2</v>
      </c>
      <c r="CE10" s="33">
        <f>ROUND(坦克等级成长!$F107*VLOOKUP($BV$2,坦克等级成长!$B$36:$G$42,MATCH(CE$3,坦克等级成长!$B$35:$G$35,0)),0)</f>
        <v>1062</v>
      </c>
      <c r="CF10" s="33">
        <f>ROUND(坦克等级成长!$F107*VLOOKUP($BV$2,坦克等级成长!$B$36:$G$42,MATCH(CF$3,坦克等级成长!$B$35:$G$35,0)),0)</f>
        <v>100</v>
      </c>
      <c r="CG10" s="33">
        <f>ROUND(坦克等级成长!$F107*VLOOKUP($BV$2,坦克等级成长!$B$36:$G$42,MATCH(CG$3,坦克等级成长!$B$35:$G$35,0)),0)</f>
        <v>360</v>
      </c>
      <c r="CH10" s="33">
        <f t="shared" ref="CH10:CH73" si="10">CG10</f>
        <v>360</v>
      </c>
      <c r="CI10" s="33">
        <v>281</v>
      </c>
      <c r="CJ10" s="33">
        <f>ROUND(坦克等级成长!$F107*VLOOKUP($BV$2,坦克等级成长!$B$36:$G$42,MATCH(CJ$3,坦克等级成长!$B$35:$G$35,0)),0)</f>
        <v>454</v>
      </c>
      <c r="CK10" s="33">
        <f>ROUND(坦克等级成长!$F107*VLOOKUP($BV$2,坦克等级成长!$B$36:$G$42,MATCH(CK$3,坦克等级成长!$B$35:$G$35,0)),0)</f>
        <v>106</v>
      </c>
      <c r="CL10" s="192"/>
      <c r="CM10" s="188"/>
      <c r="CN10" s="188"/>
      <c r="CO10" s="188"/>
      <c r="CP10" s="188"/>
      <c r="CQ10" s="188"/>
      <c r="CR10" s="188"/>
      <c r="CS10" s="199"/>
      <c r="CT10" s="191">
        <v>2</v>
      </c>
      <c r="CU10" s="33">
        <f>ROUND(坦克等级成长!$D107*VLOOKUP($CT$2,坦克等级成长!$B$36:$G$42,MATCH(CU$3,坦克等级成长!$B$35:$G$35,0)),0)</f>
        <v>992</v>
      </c>
      <c r="CV10" s="33">
        <f>ROUND(坦克等级成长!$D107*VLOOKUP($CT$2,坦克等级成长!$B$36:$G$42,MATCH(CV$3,坦克等级成长!$B$35:$G$35,0)),0)</f>
        <v>225</v>
      </c>
      <c r="CW10" s="33">
        <f>ROUND(坦克等级成长!$D107*VLOOKUP($CT$2,坦克等级成长!$B$36:$G$42,MATCH(CW$3,坦克等级成长!$B$35:$G$35,0)),0)</f>
        <v>443</v>
      </c>
      <c r="CX10" s="33">
        <f t="shared" si="4"/>
        <v>443</v>
      </c>
      <c r="CY10" s="33">
        <v>340.5</v>
      </c>
      <c r="CZ10" s="33">
        <f>ROUND(坦克等级成长!$D107*VLOOKUP($CT$2,坦克等级成长!$B$36:$G$42,MATCH(CZ$3,坦克等级成长!$B$35:$G$35,0)),0)</f>
        <v>372</v>
      </c>
      <c r="DA10" s="33">
        <f>ROUND(坦克等级成长!$D107*VLOOKUP($CT$2,坦克等级成长!$B$36:$G$42,MATCH(DA$3,坦克等级成长!$B$35:$G$35,0)),0)</f>
        <v>99</v>
      </c>
      <c r="DB10" s="198">
        <v>2</v>
      </c>
      <c r="DC10" s="33">
        <f>ROUND(坦克等级成长!$F107*VLOOKUP($CT$2,坦克等级成长!$B$36:$G$42,MATCH(DC$3,坦克等级成长!$B$35:$G$35,0)),0)</f>
        <v>1008</v>
      </c>
      <c r="DD10" s="33">
        <f>ROUND(坦克等级成长!$F107*VLOOKUP($CT$2,坦克等级成长!$B$36:$G$42,MATCH(DD$3,坦克等级成长!$B$35:$G$35,0)),0)</f>
        <v>229</v>
      </c>
      <c r="DE10" s="33">
        <f>ROUND(坦克等级成长!$F107*VLOOKUP($CT$2,坦克等级成长!$B$36:$G$42,MATCH(DE$3,坦克等级成长!$B$35:$G$35,0)),0)</f>
        <v>450</v>
      </c>
      <c r="DF10" s="33">
        <f t="shared" ref="DF10:DF73" si="11">DE10</f>
        <v>450</v>
      </c>
      <c r="DG10" s="33">
        <v>351</v>
      </c>
      <c r="DH10" s="33">
        <f>ROUND(坦克等级成长!$F107*VLOOKUP($CT$2,坦克等级成长!$B$36:$G$42,MATCH(DH$3,坦克等级成长!$B$35:$G$35,0)),0)</f>
        <v>378</v>
      </c>
      <c r="DI10" s="33">
        <f>ROUND(坦克等级成长!$F107*VLOOKUP($CT$2,坦克等级成长!$B$36:$G$42,MATCH(DI$3,坦克等级成长!$B$35:$G$35,0)),0)</f>
        <v>101</v>
      </c>
      <c r="DJ10" s="192"/>
      <c r="DK10" s="188"/>
      <c r="DL10" s="188"/>
      <c r="DM10" s="188"/>
      <c r="DN10" s="188"/>
      <c r="DO10" s="188"/>
      <c r="DP10" s="188"/>
      <c r="DQ10" s="199"/>
      <c r="DR10" s="191">
        <v>2</v>
      </c>
      <c r="DS10" s="33">
        <f>ROUND(坦克等级成长!$D107*VLOOKUP($DR$2,坦克等级成长!$B$36:$G$42,MATCH(DS$3,坦克等级成长!$B$35:$G$35,0)),0)</f>
        <v>1129</v>
      </c>
      <c r="DT10" s="33">
        <f>ROUND(坦克等级成长!$D107*VLOOKUP($DR$2,坦克等级成长!$B$36:$G$42,MATCH(DT$3,坦克等级成长!$B$35:$G$35,0)),0)</f>
        <v>385</v>
      </c>
      <c r="DU10" s="33">
        <f>ROUND(坦克等级成长!$D107*VLOOKUP($DR$2,坦克等级成长!$B$36:$G$42,MATCH(DU$3,坦克等级成长!$B$35:$G$35,0)),0)</f>
        <v>354</v>
      </c>
      <c r="DV10" s="33">
        <f t="shared" si="5"/>
        <v>354</v>
      </c>
      <c r="DW10" s="33">
        <v>290.39999999999998</v>
      </c>
      <c r="DX10" s="33">
        <f>ROUND(坦克等级成长!$D107*VLOOKUP($DR$2,坦克等级成长!$B$36:$G$42,MATCH(DX$3,坦克等级成长!$B$35:$G$35,0)),0)</f>
        <v>521</v>
      </c>
      <c r="DY10" s="33">
        <f>ROUND(坦克等级成长!$D107*VLOOKUP($DR$2,坦克等级成长!$B$36:$G$42,MATCH(DY$3,坦克等级成长!$B$35:$G$35,0)),0)</f>
        <v>113</v>
      </c>
      <c r="DZ10" s="198">
        <v>2</v>
      </c>
      <c r="EA10" s="33">
        <f>ROUND(坦克等级成长!$F107*VLOOKUP($DR$2,坦克等级成长!$B$36:$G$42,MATCH(EA$3,坦克等级成长!$B$35:$G$35,0)),0)</f>
        <v>1147</v>
      </c>
      <c r="EB10" s="33">
        <f>ROUND(坦克等级成长!$F107*VLOOKUP($DR$2,坦克等级成长!$B$36:$G$42,MATCH(EB$3,坦克等级成长!$B$35:$G$35,0)),0)</f>
        <v>391</v>
      </c>
      <c r="EC10" s="33">
        <f>ROUND(坦克等级成长!$F107*VLOOKUP($DR$2,坦克等级成长!$B$36:$G$42,MATCH(EC$3,坦克等级成长!$B$35:$G$35,0)),0)</f>
        <v>360</v>
      </c>
      <c r="ED10" s="33">
        <f t="shared" ref="ED10:ED73" si="12">EC10</f>
        <v>360</v>
      </c>
      <c r="EE10" s="33">
        <v>299</v>
      </c>
      <c r="EF10" s="33">
        <f>ROUND(坦克等级成长!$F107*VLOOKUP($DR$2,坦克等级成长!$B$36:$G$42,MATCH(EF$3,坦克等级成长!$B$35:$G$35,0)),0)</f>
        <v>529</v>
      </c>
      <c r="EG10" s="33">
        <f>ROUND(坦克等级成长!$F107*VLOOKUP($DR$2,坦克等级成长!$B$36:$G$42,MATCH(EG$3,坦克等级成长!$B$35:$G$35,0)),0)</f>
        <v>115</v>
      </c>
      <c r="EH10" s="192"/>
      <c r="EI10" s="188"/>
      <c r="EJ10" s="188"/>
      <c r="EK10" s="188"/>
      <c r="EL10" s="188"/>
      <c r="EM10" s="188"/>
      <c r="EN10" s="188"/>
      <c r="EO10" s="199"/>
      <c r="EP10" s="191">
        <v>2</v>
      </c>
      <c r="EQ10" s="33">
        <f>ROUND(坦克等级成长!$D107*VLOOKUP($EP$2,坦克等级成长!$B$36:$G$42,MATCH(EQ$3,坦克等级成长!$B$35:$G$35,0)),0)</f>
        <v>1045</v>
      </c>
      <c r="ER10" s="33">
        <f>ROUND(坦克等级成长!$D107*VLOOKUP($EP$2,坦克等级成长!$B$36:$G$42,MATCH(ER$3,坦克等级成长!$B$35:$G$35,0)),0)</f>
        <v>120</v>
      </c>
      <c r="ES10" s="33">
        <f>ROUND(坦克等级成长!$D107*VLOOKUP($EP$2,坦克等级成长!$B$36:$G$42,MATCH(ES$3,坦克等级成长!$B$35:$G$35,0)),0)</f>
        <v>407</v>
      </c>
      <c r="ET10" s="33">
        <f t="shared" si="6"/>
        <v>407</v>
      </c>
      <c r="EU10" s="33">
        <v>312.75</v>
      </c>
      <c r="EV10" s="33">
        <f>ROUND(坦克等级成长!$D107*VLOOKUP($EP$2,坦克等级成长!$B$36:$G$42,MATCH(EV$3,坦克等级成长!$B$35:$G$35,0)),0)</f>
        <v>446</v>
      </c>
      <c r="EW10" s="33">
        <f>ROUND(坦克等级成长!$D107*VLOOKUP($EP$2,坦克等级成长!$B$36:$G$42,MATCH(EW$3,坦克等级成长!$B$35:$G$35,0)),0)</f>
        <v>105</v>
      </c>
      <c r="EX10" s="198">
        <v>2</v>
      </c>
      <c r="EY10" s="33">
        <f>ROUND(坦克等级成长!$F107*VLOOKUP($EP$2,坦克等级成长!$B$36:$G$42,MATCH(EY$3,坦克等级成长!$B$35:$G$35,0)),0)</f>
        <v>1062</v>
      </c>
      <c r="EZ10" s="33">
        <f>ROUND(坦克等级成长!$F107*VLOOKUP($EP$2,坦克等级成长!$B$36:$G$42,MATCH(EZ$3,坦克等级成长!$B$35:$G$35,0)),0)</f>
        <v>122</v>
      </c>
      <c r="FA10" s="33">
        <f>ROUND(坦克等级成长!$F107*VLOOKUP($EP$2,坦克等级成长!$B$36:$G$42,MATCH(FA$3,坦克等级成长!$B$35:$G$35,0)),0)</f>
        <v>414</v>
      </c>
      <c r="FB10" s="33">
        <f t="shared" ref="FB10:FB73" si="13">FA10</f>
        <v>414</v>
      </c>
      <c r="FC10" s="33">
        <v>323</v>
      </c>
      <c r="FD10" s="33">
        <f>ROUND(坦克等级成长!$F107*VLOOKUP($EP$2,坦克等级成长!$B$36:$G$42,MATCH(FD$3,坦克等级成长!$B$35:$G$35,0)),0)</f>
        <v>454</v>
      </c>
      <c r="FE10" s="33">
        <f>ROUND(坦克等级成长!$F107*VLOOKUP($EP$2,坦克等级成长!$B$36:$G$42,MATCH(FE$3,坦克等级成长!$B$35:$G$35,0)),0)</f>
        <v>106</v>
      </c>
      <c r="FF10" s="192"/>
      <c r="FG10" s="188"/>
      <c r="FH10" s="188"/>
      <c r="FI10" s="188"/>
      <c r="FJ10" s="188"/>
      <c r="FK10" s="188"/>
      <c r="FL10" s="188"/>
      <c r="FM10" s="199"/>
    </row>
    <row r="11" spans="1:169" ht="14.25" x14ac:dyDescent="0.3">
      <c r="A11" s="188">
        <v>2</v>
      </c>
      <c r="B11" s="191">
        <v>3</v>
      </c>
      <c r="C11" s="33">
        <f>ROUND(坦克等级成长!$D108*VLOOKUP($B$2,坦克等级成长!$B$36:$G$42,MATCH(C$3,坦克等级成长!$B$35:$G$35,0)),0)</f>
        <v>1056</v>
      </c>
      <c r="D11" s="33">
        <f>ROUND(坦克等级成长!$D108*VLOOKUP($B$2,坦克等级成长!$B$36:$G$42,MATCH(D$3,坦克等级成长!$B$35:$G$35,0)),0)</f>
        <v>115</v>
      </c>
      <c r="E11" s="33">
        <f>ROUND(坦克等级成长!$D108*VLOOKUP($B$2,坦克等级成长!$B$36:$G$42,MATCH(E$3,坦克等级成长!$B$35:$G$35,0)),0)</f>
        <v>396</v>
      </c>
      <c r="F11" s="33">
        <f t="shared" si="0"/>
        <v>396</v>
      </c>
      <c r="G11" s="33">
        <v>285.60000000000002</v>
      </c>
      <c r="H11" s="33">
        <f>ROUND(坦克等级成长!$D108*VLOOKUP($B$2,坦克等级成长!$B$36:$G$42,MATCH(H$3,坦克等级成长!$B$35:$G$35,0)),0)</f>
        <v>396</v>
      </c>
      <c r="I11" s="33">
        <f>ROUND(坦克等级成长!$D108*VLOOKUP($B$2,坦克等级成长!$B$36:$G$42,MATCH(I$3,坦克等级成长!$B$35:$G$35,0)),0)</f>
        <v>106</v>
      </c>
      <c r="J11" s="198">
        <v>3</v>
      </c>
      <c r="K11" s="33">
        <f>ROUND(坦克等级成长!$F108*VLOOKUP($B$2,坦克等级成长!$B$36:$G$42,MATCH(K$3,坦克等级成长!$B$35:$G$35,0)),0)</f>
        <v>1072</v>
      </c>
      <c r="L11" s="33">
        <f>ROUND(坦克等级成长!$F108*VLOOKUP($B$2,坦克等级成长!$B$36:$G$42,MATCH(L$3,坦克等级成长!$B$35:$G$35,0)),0)</f>
        <v>117</v>
      </c>
      <c r="M11" s="33">
        <f>ROUND(坦克等级成长!$F108*VLOOKUP($B$2,坦克等级成长!$B$36:$G$42,MATCH(M$3,坦克等级成长!$B$35:$G$35,0)),0)</f>
        <v>402</v>
      </c>
      <c r="N11" s="33">
        <f t="shared" si="7"/>
        <v>402</v>
      </c>
      <c r="O11" s="33">
        <v>294</v>
      </c>
      <c r="P11" s="33">
        <f>ROUND(坦克等级成长!$F108*VLOOKUP($B$2,坦克等级成长!$B$36:$G$42,MATCH(P$3,坦克等级成长!$B$35:$G$35,0)),0)</f>
        <v>402</v>
      </c>
      <c r="Q11" s="33">
        <f>ROUND(坦克等级成长!$F108*VLOOKUP($B$2,坦克等级成长!$B$36:$G$42,MATCH(Q$3,坦克等级成长!$B$35:$G$35,0)),0)</f>
        <v>107</v>
      </c>
      <c r="R11" s="192"/>
      <c r="S11" s="188"/>
      <c r="T11" s="188"/>
      <c r="U11" s="188"/>
      <c r="V11" s="188"/>
      <c r="W11" s="188"/>
      <c r="X11" s="188"/>
      <c r="Y11" s="199"/>
      <c r="Z11" s="191">
        <v>3</v>
      </c>
      <c r="AA11" s="33">
        <f>ROUND(坦克等级成长!$D108*VLOOKUP($Z$2,坦克等级成长!$B$36:$G$42,MATCH(AA$3,坦克等级成长!$B$35:$G$35,0)),0)</f>
        <v>1056</v>
      </c>
      <c r="AB11" s="33">
        <f>ROUND(坦克等级成长!$D108*VLOOKUP($Z$2,坦克等级成长!$B$36:$G$42,MATCH(AB$3,坦克等级成长!$B$35:$G$35,0)),0)</f>
        <v>62</v>
      </c>
      <c r="AC11" s="33">
        <f>ROUND(坦克等级成长!$D108*VLOOKUP($Z$2,坦克等级成长!$B$36:$G$42,MATCH(AC$3,坦克等级成长!$B$35:$G$35,0)),0)</f>
        <v>434</v>
      </c>
      <c r="AD11" s="33">
        <f t="shared" si="1"/>
        <v>434</v>
      </c>
      <c r="AE11" s="33">
        <v>312.89999999999998</v>
      </c>
      <c r="AF11" s="33">
        <f>ROUND(坦克等级成长!$D108*VLOOKUP($Z$2,坦克等级成长!$B$36:$G$42,MATCH(AF$3,坦克等级成长!$B$35:$G$35,0)),0)</f>
        <v>396</v>
      </c>
      <c r="AG11" s="33">
        <f>ROUND(坦克等级成长!$D108*VLOOKUP($Z$2,坦克等级成长!$B$36:$G$42,MATCH(AG$3,坦克等级成长!$B$35:$G$35,0)),0)</f>
        <v>106</v>
      </c>
      <c r="AH11" s="198">
        <v>3</v>
      </c>
      <c r="AI11" s="33">
        <f>ROUND(坦克等级成长!$F108*VLOOKUP($Z$2,坦克等级成长!$B$36:$G$42,MATCH(AI$3,坦克等级成长!$B$35:$G$35,0)),0)</f>
        <v>1072</v>
      </c>
      <c r="AJ11" s="33">
        <f>ROUND(坦克等级成长!$F108*VLOOKUP($Z$2,坦克等级成长!$B$36:$G$42,MATCH(AJ$3,坦克等级成长!$B$35:$G$35,0)),0)</f>
        <v>63</v>
      </c>
      <c r="AK11" s="33">
        <f>ROUND(坦克等级成长!$F108*VLOOKUP($Z$2,坦克等级成长!$B$36:$G$42,MATCH(AK$3,坦克等级成长!$B$35:$G$35,0)),0)</f>
        <v>440</v>
      </c>
      <c r="AL11" s="33">
        <f t="shared" si="8"/>
        <v>440</v>
      </c>
      <c r="AM11" s="33">
        <v>322</v>
      </c>
      <c r="AN11" s="33">
        <f>ROUND(坦克等级成长!$F108*VLOOKUP($Z$2,坦克等级成长!$B$36:$G$42,MATCH(AN$3,坦克等级成长!$B$35:$G$35,0)),0)</f>
        <v>402</v>
      </c>
      <c r="AO11" s="33">
        <f>ROUND(坦克等级成长!$F108*VLOOKUP($Z$2,坦克等级成长!$B$36:$G$42,MATCH(AO$3,坦克等级成长!$B$35:$G$35,0)),0)</f>
        <v>107</v>
      </c>
      <c r="AP11" s="192"/>
      <c r="AQ11" s="188"/>
      <c r="AR11" s="188"/>
      <c r="AS11" s="188"/>
      <c r="AT11" s="188"/>
      <c r="AU11" s="188"/>
      <c r="AV11" s="188"/>
      <c r="AW11" s="199"/>
      <c r="AX11" s="191">
        <v>3</v>
      </c>
      <c r="AY11" s="33">
        <f>ROUND(坦克等级成长!$D108*VLOOKUP($AX$2,坦克等级成长!$B$36:$G$42,MATCH(AY$3,坦克等级成长!$B$35:$G$35,0)),0)</f>
        <v>1056</v>
      </c>
      <c r="AZ11" s="33">
        <f>ROUND(坦克等级成长!$D108*VLOOKUP($AX$2,坦克等级成长!$B$36:$G$42,MATCH(AZ$3,坦克等级成长!$B$35:$G$35,0)),0)</f>
        <v>115</v>
      </c>
      <c r="BA11" s="33">
        <f>ROUND(坦克等级成长!$D108*VLOOKUP($AX$2,坦克等级成长!$B$36:$G$42,MATCH(BA$3,坦克等级成长!$B$35:$G$35,0)),0)</f>
        <v>396</v>
      </c>
      <c r="BB11" s="33">
        <f t="shared" si="2"/>
        <v>396</v>
      </c>
      <c r="BC11" s="33">
        <v>285.60000000000002</v>
      </c>
      <c r="BD11" s="33">
        <f>ROUND(坦克等级成长!$D108*VLOOKUP($AX$2,坦克等级成长!$B$36:$G$42,MATCH(BD$3,坦克等级成长!$B$35:$G$35,0)),0)</f>
        <v>396</v>
      </c>
      <c r="BE11" s="33">
        <f>ROUND(坦克等级成长!$D108*VLOOKUP($AX$2,坦克等级成长!$B$36:$G$42,MATCH(BE$3,坦克等级成长!$B$35:$G$35,0)),0)</f>
        <v>106</v>
      </c>
      <c r="BF11" s="198">
        <v>3</v>
      </c>
      <c r="BG11" s="33">
        <f>ROUND(坦克等级成长!$F108*VLOOKUP($AX$2,坦克等级成长!$B$36:$G$42,MATCH(BG$3,坦克等级成长!$B$35:$G$35,0)),0)</f>
        <v>1072</v>
      </c>
      <c r="BH11" s="33">
        <f>ROUND(坦克等级成长!$F108*VLOOKUP($AX$2,坦克等级成长!$B$36:$G$42,MATCH(BH$3,坦克等级成长!$B$35:$G$35,0)),0)</f>
        <v>117</v>
      </c>
      <c r="BI11" s="33">
        <f>ROUND(坦克等级成长!$F108*VLOOKUP($AX$2,坦克等级成长!$B$36:$G$42,MATCH(BI$3,坦克等级成长!$B$35:$G$35,0)),0)</f>
        <v>402</v>
      </c>
      <c r="BJ11" s="33">
        <f t="shared" si="9"/>
        <v>402</v>
      </c>
      <c r="BK11" s="33">
        <v>294</v>
      </c>
      <c r="BL11" s="33">
        <f>ROUND(坦克等级成长!$F108*VLOOKUP($AX$2,坦克等级成长!$B$36:$G$42,MATCH(BL$3,坦克等级成长!$B$35:$G$35,0)),0)</f>
        <v>402</v>
      </c>
      <c r="BM11" s="33">
        <f>ROUND(坦克等级成长!$F108*VLOOKUP($AX$2,坦克等级成长!$B$36:$G$42,MATCH(BM$3,坦克等级成长!$B$35:$G$35,0)),0)</f>
        <v>107</v>
      </c>
      <c r="BN11" s="192"/>
      <c r="BO11" s="188"/>
      <c r="BP11" s="188"/>
      <c r="BQ11" s="188"/>
      <c r="BR11" s="188"/>
      <c r="BS11" s="188"/>
      <c r="BT11" s="188"/>
      <c r="BU11" s="199"/>
      <c r="BV11" s="191">
        <v>3</v>
      </c>
      <c r="BW11" s="33">
        <f>ROUND(坦克等级成长!$D108*VLOOKUP($BV$2,坦克等级成长!$B$36:$G$42,MATCH(BW$3,坦克等级成长!$B$35:$G$35,0)),0)</f>
        <v>1113</v>
      </c>
      <c r="BX11" s="33">
        <f>ROUND(坦克等级成长!$D108*VLOOKUP($BV$2,坦克等级成长!$B$36:$G$42,MATCH(BX$3,坦克等级成长!$B$35:$G$35,0)),0)</f>
        <v>105</v>
      </c>
      <c r="BY11" s="33">
        <f>ROUND(坦克等级成长!$D108*VLOOKUP($BV$2,坦克等级成长!$B$36:$G$42,MATCH(BY$3,坦克等级成长!$B$35:$G$35,0)),0)</f>
        <v>377</v>
      </c>
      <c r="BZ11" s="33">
        <f t="shared" si="3"/>
        <v>377</v>
      </c>
      <c r="CA11" s="33">
        <v>291.75</v>
      </c>
      <c r="CB11" s="33">
        <f>ROUND(坦克等级成长!$D108*VLOOKUP($BV$2,坦克等级成长!$B$36:$G$42,MATCH(CB$3,坦克等级成长!$B$35:$G$35,0)),0)</f>
        <v>475</v>
      </c>
      <c r="CC11" s="33">
        <f>ROUND(坦克等级成长!$D108*VLOOKUP($BV$2,坦克等级成长!$B$36:$G$42,MATCH(CC$3,坦克等级成长!$B$35:$G$35,0)),0)</f>
        <v>111</v>
      </c>
      <c r="CD11" s="198">
        <v>3</v>
      </c>
      <c r="CE11" s="33">
        <f>ROUND(坦克等级成长!$F108*VLOOKUP($BV$2,坦克等级成长!$B$36:$G$42,MATCH(CE$3,坦克等级成长!$B$35:$G$35,0)),0)</f>
        <v>1130</v>
      </c>
      <c r="CF11" s="33">
        <f>ROUND(坦克等级成长!$F108*VLOOKUP($BV$2,坦克等级成长!$B$36:$G$42,MATCH(CF$3,坦克等级成长!$B$35:$G$35,0)),0)</f>
        <v>106</v>
      </c>
      <c r="CG11" s="33">
        <f>ROUND(坦克等级成长!$F108*VLOOKUP($BV$2,坦克等级成长!$B$36:$G$42,MATCH(CG$3,坦克等级成长!$B$35:$G$35,0)),0)</f>
        <v>383</v>
      </c>
      <c r="CH11" s="33">
        <f t="shared" si="10"/>
        <v>383</v>
      </c>
      <c r="CI11" s="33">
        <v>300</v>
      </c>
      <c r="CJ11" s="33">
        <f>ROUND(坦克等级成长!$F108*VLOOKUP($BV$2,坦克等级成长!$B$36:$G$42,MATCH(CJ$3,坦克等级成长!$B$35:$G$35,0)),0)</f>
        <v>482</v>
      </c>
      <c r="CK11" s="33">
        <f>ROUND(坦克等级成长!$F108*VLOOKUP($BV$2,坦克等级成长!$B$36:$G$42,MATCH(CK$3,坦克等级成长!$B$35:$G$35,0)),0)</f>
        <v>113</v>
      </c>
      <c r="CL11" s="192"/>
      <c r="CM11" s="188"/>
      <c r="CN11" s="188"/>
      <c r="CO11" s="188"/>
      <c r="CP11" s="188"/>
      <c r="CQ11" s="188"/>
      <c r="CR11" s="188"/>
      <c r="CS11" s="199"/>
      <c r="CT11" s="191">
        <v>3</v>
      </c>
      <c r="CU11" s="33">
        <f>ROUND(坦克等级成长!$D108*VLOOKUP($CT$2,坦克等级成长!$B$36:$G$42,MATCH(CU$3,坦克等级成长!$B$35:$G$35,0)),0)</f>
        <v>1056</v>
      </c>
      <c r="CV11" s="33">
        <f>ROUND(坦克等级成长!$D108*VLOOKUP($CT$2,坦克等级成长!$B$36:$G$42,MATCH(CV$3,坦克等级成长!$B$35:$G$35,0)),0)</f>
        <v>240</v>
      </c>
      <c r="CW11" s="33">
        <f>ROUND(坦克等级成长!$D108*VLOOKUP($CT$2,坦克等级成长!$B$36:$G$42,MATCH(CW$3,坦克等级成长!$B$35:$G$35,0)),0)</f>
        <v>471</v>
      </c>
      <c r="CX11" s="33">
        <f t="shared" si="4"/>
        <v>471</v>
      </c>
      <c r="CY11" s="33">
        <v>364.5</v>
      </c>
      <c r="CZ11" s="33">
        <f>ROUND(坦克等级成长!$D108*VLOOKUP($CT$2,坦克等级成长!$B$36:$G$42,MATCH(CZ$3,坦克等级成长!$B$35:$G$35,0)),0)</f>
        <v>396</v>
      </c>
      <c r="DA11" s="33">
        <f>ROUND(坦克等级成长!$D108*VLOOKUP($CT$2,坦克等级成长!$B$36:$G$42,MATCH(DA$3,坦克等级成长!$B$35:$G$35,0)),0)</f>
        <v>106</v>
      </c>
      <c r="DB11" s="198">
        <v>3</v>
      </c>
      <c r="DC11" s="33">
        <f>ROUND(坦克等级成长!$F108*VLOOKUP($CT$2,坦克等级成长!$B$36:$G$42,MATCH(DC$3,坦克等级成长!$B$35:$G$35,0)),0)</f>
        <v>1072</v>
      </c>
      <c r="DD11" s="33">
        <f>ROUND(坦克等级成长!$F108*VLOOKUP($CT$2,坦克等级成长!$B$36:$G$42,MATCH(DD$3,坦克等级成长!$B$35:$G$35,0)),0)</f>
        <v>243</v>
      </c>
      <c r="DE11" s="33">
        <f>ROUND(坦克等级成长!$F108*VLOOKUP($CT$2,坦克等级成长!$B$36:$G$42,MATCH(DE$3,坦克等级成长!$B$35:$G$35,0)),0)</f>
        <v>479</v>
      </c>
      <c r="DF11" s="33">
        <f t="shared" si="11"/>
        <v>479</v>
      </c>
      <c r="DG11" s="33">
        <v>375</v>
      </c>
      <c r="DH11" s="33">
        <f>ROUND(坦克等级成长!$F108*VLOOKUP($CT$2,坦克等级成长!$B$36:$G$42,MATCH(DH$3,坦克等级成长!$B$35:$G$35,0)),0)</f>
        <v>402</v>
      </c>
      <c r="DI11" s="33">
        <f>ROUND(坦克等级成长!$F108*VLOOKUP($CT$2,坦克等级成长!$B$36:$G$42,MATCH(DI$3,坦克等级成长!$B$35:$G$35,0)),0)</f>
        <v>107</v>
      </c>
      <c r="DJ11" s="192"/>
      <c r="DK11" s="188"/>
      <c r="DL11" s="188"/>
      <c r="DM11" s="188"/>
      <c r="DN11" s="188"/>
      <c r="DO11" s="188"/>
      <c r="DP11" s="188"/>
      <c r="DQ11" s="199"/>
      <c r="DR11" s="191">
        <v>3</v>
      </c>
      <c r="DS11" s="33">
        <f>ROUND(坦克等级成长!$D108*VLOOKUP($DR$2,坦克等级成长!$B$36:$G$42,MATCH(DS$3,坦克等级成长!$B$35:$G$35,0)),0)</f>
        <v>1201</v>
      </c>
      <c r="DT11" s="33">
        <f>ROUND(坦克等级成长!$D108*VLOOKUP($DR$2,坦克等级成长!$B$36:$G$42,MATCH(DT$3,坦克等级成长!$B$35:$G$35,0)),0)</f>
        <v>410</v>
      </c>
      <c r="DU11" s="33">
        <f>ROUND(坦克等级成长!$D108*VLOOKUP($DR$2,坦克等级成长!$B$36:$G$42,MATCH(DU$3,坦克等级成长!$B$35:$G$35,0)),0)</f>
        <v>377</v>
      </c>
      <c r="DV11" s="33">
        <f t="shared" si="5"/>
        <v>377</v>
      </c>
      <c r="DW11" s="33">
        <v>311.2</v>
      </c>
      <c r="DX11" s="33">
        <f>ROUND(坦克等级成长!$D108*VLOOKUP($DR$2,坦克等级成长!$B$36:$G$42,MATCH(DX$3,坦克等级成长!$B$35:$G$35,0)),0)</f>
        <v>554</v>
      </c>
      <c r="DY11" s="33">
        <f>ROUND(坦克等级成长!$D108*VLOOKUP($DR$2,坦克等级成长!$B$36:$G$42,MATCH(DY$3,坦克等级成长!$B$35:$G$35,0)),0)</f>
        <v>120</v>
      </c>
      <c r="DZ11" s="198">
        <v>3</v>
      </c>
      <c r="EA11" s="33">
        <f>ROUND(坦克等级成长!$F108*VLOOKUP($DR$2,坦克等级成长!$B$36:$G$42,MATCH(EA$3,坦克等级成长!$B$35:$G$35,0)),0)</f>
        <v>1220</v>
      </c>
      <c r="EB11" s="33">
        <f>ROUND(坦克等级成长!$F108*VLOOKUP($DR$2,坦克等级成长!$B$36:$G$42,MATCH(EB$3,坦克等级成长!$B$35:$G$35,0)),0)</f>
        <v>416</v>
      </c>
      <c r="EC11" s="33">
        <f>ROUND(坦克等级成长!$F108*VLOOKUP($DR$2,坦克等级成长!$B$36:$G$42,MATCH(EC$3,坦克等级成长!$B$35:$G$35,0)),0)</f>
        <v>383</v>
      </c>
      <c r="ED11" s="33">
        <f t="shared" si="12"/>
        <v>383</v>
      </c>
      <c r="EE11" s="33">
        <v>320</v>
      </c>
      <c r="EF11" s="33">
        <f>ROUND(坦克等级成长!$F108*VLOOKUP($DR$2,坦克等级成长!$B$36:$G$42,MATCH(EF$3,坦克等级成长!$B$35:$G$35,0)),0)</f>
        <v>563</v>
      </c>
      <c r="EG11" s="33">
        <f>ROUND(坦克等级成长!$F108*VLOOKUP($DR$2,坦克等级成长!$B$36:$G$42,MATCH(EG$3,坦克等级成长!$B$35:$G$35,0)),0)</f>
        <v>122</v>
      </c>
      <c r="EH11" s="192"/>
      <c r="EI11" s="188"/>
      <c r="EJ11" s="188"/>
      <c r="EK11" s="188"/>
      <c r="EL11" s="188"/>
      <c r="EM11" s="188"/>
      <c r="EN11" s="188"/>
      <c r="EO11" s="199"/>
      <c r="EP11" s="191">
        <v>3</v>
      </c>
      <c r="EQ11" s="33">
        <f>ROUND(坦克等级成长!$D108*VLOOKUP($EP$2,坦克等级成长!$B$36:$G$42,MATCH(EQ$3,坦克等级成长!$B$35:$G$35,0)),0)</f>
        <v>1113</v>
      </c>
      <c r="ER11" s="33">
        <f>ROUND(坦克等级成长!$D108*VLOOKUP($EP$2,坦克等级成长!$B$36:$G$42,MATCH(ER$3,坦克等级成长!$B$35:$G$35,0)),0)</f>
        <v>127</v>
      </c>
      <c r="ES11" s="33">
        <f>ROUND(坦克等级成长!$D108*VLOOKUP($EP$2,坦克等级成长!$B$36:$G$42,MATCH(ES$3,坦克等级成长!$B$35:$G$35,0)),0)</f>
        <v>434</v>
      </c>
      <c r="ET11" s="33">
        <f t="shared" si="6"/>
        <v>434</v>
      </c>
      <c r="EU11" s="33">
        <v>335.25</v>
      </c>
      <c r="EV11" s="33">
        <f>ROUND(坦克等级成长!$D108*VLOOKUP($EP$2,坦克等级成长!$B$36:$G$42,MATCH(EV$3,坦克等级成长!$B$35:$G$35,0)),0)</f>
        <v>475</v>
      </c>
      <c r="EW11" s="33">
        <f>ROUND(坦克等级成长!$D108*VLOOKUP($EP$2,坦克等级成长!$B$36:$G$42,MATCH(EW$3,坦克等级成长!$B$35:$G$35,0)),0)</f>
        <v>111</v>
      </c>
      <c r="EX11" s="198">
        <v>3</v>
      </c>
      <c r="EY11" s="33">
        <f>ROUND(坦克等级成长!$F108*VLOOKUP($EP$2,坦克等级成长!$B$36:$G$42,MATCH(EY$3,坦克等级成长!$B$35:$G$35,0)),0)</f>
        <v>1130</v>
      </c>
      <c r="EZ11" s="33">
        <f>ROUND(坦克等级成长!$F108*VLOOKUP($EP$2,坦克等级成长!$B$36:$G$42,MATCH(EZ$3,坦克等级成长!$B$35:$G$35,0)),0)</f>
        <v>129</v>
      </c>
      <c r="FA11" s="33">
        <f>ROUND(坦克等级成长!$F108*VLOOKUP($EP$2,坦克等级成长!$B$36:$G$42,MATCH(FA$3,坦克等级成长!$B$35:$G$35,0)),0)</f>
        <v>440</v>
      </c>
      <c r="FB11" s="33">
        <f t="shared" si="13"/>
        <v>440</v>
      </c>
      <c r="FC11" s="33">
        <v>345</v>
      </c>
      <c r="FD11" s="33">
        <f>ROUND(坦克等级成长!$F108*VLOOKUP($EP$2,坦克等级成长!$B$36:$G$42,MATCH(FD$3,坦克等级成长!$B$35:$G$35,0)),0)</f>
        <v>482</v>
      </c>
      <c r="FE11" s="33">
        <f>ROUND(坦克等级成长!$F108*VLOOKUP($EP$2,坦克等级成长!$B$36:$G$42,MATCH(FE$3,坦克等级成长!$B$35:$G$35,0)),0)</f>
        <v>113</v>
      </c>
      <c r="FF11" s="192"/>
      <c r="FG11" s="188"/>
      <c r="FH11" s="188"/>
      <c r="FI11" s="188"/>
      <c r="FJ11" s="188"/>
      <c r="FK11" s="188"/>
      <c r="FL11" s="188"/>
      <c r="FM11" s="199"/>
    </row>
    <row r="12" spans="1:169" ht="14.25" x14ac:dyDescent="0.3">
      <c r="A12" s="188">
        <v>2</v>
      </c>
      <c r="B12" s="191">
        <v>4</v>
      </c>
      <c r="C12" s="33">
        <f>ROUND(坦克等级成长!$D109*VLOOKUP($B$2,坦克等级成长!$B$36:$G$42,MATCH(C$3,坦克等级成长!$B$35:$G$35,0)),0)</f>
        <v>1120</v>
      </c>
      <c r="D12" s="33">
        <f>ROUND(坦克等级成长!$D109*VLOOKUP($B$2,坦克等级成长!$B$36:$G$42,MATCH(D$3,坦克等级成长!$B$35:$G$35,0)),0)</f>
        <v>122</v>
      </c>
      <c r="E12" s="33">
        <f>ROUND(坦克等级成长!$D109*VLOOKUP($B$2,坦克等级成长!$B$36:$G$42,MATCH(E$3,坦克等级成长!$B$35:$G$35,0)),0)</f>
        <v>420</v>
      </c>
      <c r="F12" s="33">
        <f t="shared" si="0"/>
        <v>420</v>
      </c>
      <c r="G12" s="33">
        <v>304.5</v>
      </c>
      <c r="H12" s="33">
        <f>ROUND(坦克等级成长!$D109*VLOOKUP($B$2,坦克等级成长!$B$36:$G$42,MATCH(H$3,坦克等级成长!$B$35:$G$35,0)),0)</f>
        <v>420</v>
      </c>
      <c r="I12" s="33">
        <f>ROUND(坦克等级成长!$D109*VLOOKUP($B$2,坦克等级成长!$B$36:$G$42,MATCH(I$3,坦克等级成长!$B$35:$G$35,0)),0)</f>
        <v>112</v>
      </c>
      <c r="J12" s="198">
        <v>4</v>
      </c>
      <c r="K12" s="33">
        <f>ROUND(坦克等级成长!$F109*VLOOKUP($B$2,坦克等级成长!$B$36:$G$42,MATCH(K$3,坦克等级成长!$B$35:$G$35,0)),0)</f>
        <v>1136</v>
      </c>
      <c r="L12" s="33">
        <f>ROUND(坦克等级成长!$F109*VLOOKUP($B$2,坦克等级成长!$B$36:$G$42,MATCH(L$3,坦克等级成长!$B$35:$G$35,0)),0)</f>
        <v>124</v>
      </c>
      <c r="M12" s="33">
        <f>ROUND(坦克等级成长!$F109*VLOOKUP($B$2,坦克等级成长!$B$36:$G$42,MATCH(M$3,坦克等级成长!$B$35:$G$35,0)),0)</f>
        <v>426</v>
      </c>
      <c r="N12" s="33">
        <f t="shared" si="7"/>
        <v>426</v>
      </c>
      <c r="O12" s="33">
        <v>313</v>
      </c>
      <c r="P12" s="33">
        <f>ROUND(坦克等级成长!$F109*VLOOKUP($B$2,坦克等级成长!$B$36:$G$42,MATCH(P$3,坦克等级成长!$B$35:$G$35,0)),0)</f>
        <v>426</v>
      </c>
      <c r="Q12" s="33">
        <f>ROUND(坦克等级成长!$F109*VLOOKUP($B$2,坦克等级成长!$B$36:$G$42,MATCH(Q$3,坦克等级成长!$B$35:$G$35,0)),0)</f>
        <v>114</v>
      </c>
      <c r="R12" s="192"/>
      <c r="S12" s="188"/>
      <c r="T12" s="188"/>
      <c r="U12" s="188"/>
      <c r="V12" s="188"/>
      <c r="W12" s="188"/>
      <c r="X12" s="188"/>
      <c r="Y12" s="199"/>
      <c r="Z12" s="191">
        <v>4</v>
      </c>
      <c r="AA12" s="33">
        <f>ROUND(坦克等级成长!$D109*VLOOKUP($Z$2,坦克等级成长!$B$36:$G$42,MATCH(AA$3,坦克等级成长!$B$35:$G$35,0)),0)</f>
        <v>1120</v>
      </c>
      <c r="AB12" s="33">
        <f>ROUND(坦克等级成长!$D109*VLOOKUP($Z$2,坦克等级成长!$B$36:$G$42,MATCH(AB$3,坦克等级成长!$B$35:$G$35,0)),0)</f>
        <v>66</v>
      </c>
      <c r="AC12" s="33">
        <f>ROUND(坦克等级成长!$D109*VLOOKUP($Z$2,坦克等级成长!$B$36:$G$42,MATCH(AC$3,坦克等级成长!$B$35:$G$35,0)),0)</f>
        <v>460</v>
      </c>
      <c r="AD12" s="33">
        <f t="shared" si="1"/>
        <v>460</v>
      </c>
      <c r="AE12" s="33">
        <v>333.2</v>
      </c>
      <c r="AF12" s="33">
        <f>ROUND(坦克等级成长!$D109*VLOOKUP($Z$2,坦克等级成长!$B$36:$G$42,MATCH(AF$3,坦克等级成长!$B$35:$G$35,0)),0)</f>
        <v>420</v>
      </c>
      <c r="AG12" s="33">
        <f>ROUND(坦克等级成长!$D109*VLOOKUP($Z$2,坦克等级成长!$B$36:$G$42,MATCH(AG$3,坦克等级成长!$B$35:$G$35,0)),0)</f>
        <v>112</v>
      </c>
      <c r="AH12" s="198">
        <v>4</v>
      </c>
      <c r="AI12" s="33">
        <f>ROUND(坦克等级成长!$F109*VLOOKUP($Z$2,坦克等级成长!$B$36:$G$42,MATCH(AI$3,坦克等级成长!$B$35:$G$35,0)),0)</f>
        <v>1136</v>
      </c>
      <c r="AJ12" s="33">
        <f>ROUND(坦克等级成长!$F109*VLOOKUP($Z$2,坦克等级成长!$B$36:$G$42,MATCH(AJ$3,坦克等级成长!$B$35:$G$35,0)),0)</f>
        <v>67</v>
      </c>
      <c r="AK12" s="33">
        <f>ROUND(坦克等级成长!$F109*VLOOKUP($Z$2,坦克等级成长!$B$36:$G$42,MATCH(AK$3,坦克等级成长!$B$35:$G$35,0)),0)</f>
        <v>467</v>
      </c>
      <c r="AL12" s="33">
        <f t="shared" si="8"/>
        <v>467</v>
      </c>
      <c r="AM12" s="33">
        <v>343</v>
      </c>
      <c r="AN12" s="33">
        <f>ROUND(坦克等级成长!$F109*VLOOKUP($Z$2,坦克等级成长!$B$36:$G$42,MATCH(AN$3,坦克等级成长!$B$35:$G$35,0)),0)</f>
        <v>426</v>
      </c>
      <c r="AO12" s="33">
        <f>ROUND(坦克等级成长!$F109*VLOOKUP($Z$2,坦克等级成长!$B$36:$G$42,MATCH(AO$3,坦克等级成长!$B$35:$G$35,0)),0)</f>
        <v>114</v>
      </c>
      <c r="AP12" s="192"/>
      <c r="AQ12" s="188"/>
      <c r="AR12" s="188"/>
      <c r="AS12" s="188"/>
      <c r="AT12" s="188"/>
      <c r="AU12" s="188"/>
      <c r="AV12" s="188"/>
      <c r="AW12" s="199"/>
      <c r="AX12" s="191">
        <v>4</v>
      </c>
      <c r="AY12" s="33">
        <f>ROUND(坦克等级成长!$D109*VLOOKUP($AX$2,坦克等级成长!$B$36:$G$42,MATCH(AY$3,坦克等级成长!$B$35:$G$35,0)),0)</f>
        <v>1120</v>
      </c>
      <c r="AZ12" s="33">
        <f>ROUND(坦克等级成长!$D109*VLOOKUP($AX$2,坦克等级成长!$B$36:$G$42,MATCH(AZ$3,坦克等级成长!$B$35:$G$35,0)),0)</f>
        <v>122</v>
      </c>
      <c r="BA12" s="33">
        <f>ROUND(坦克等级成长!$D109*VLOOKUP($AX$2,坦克等级成长!$B$36:$G$42,MATCH(BA$3,坦克等级成长!$B$35:$G$35,0)),0)</f>
        <v>420</v>
      </c>
      <c r="BB12" s="33">
        <f t="shared" si="2"/>
        <v>420</v>
      </c>
      <c r="BC12" s="33">
        <v>304.5</v>
      </c>
      <c r="BD12" s="33">
        <f>ROUND(坦克等级成长!$D109*VLOOKUP($AX$2,坦克等级成长!$B$36:$G$42,MATCH(BD$3,坦克等级成长!$B$35:$G$35,0)),0)</f>
        <v>420</v>
      </c>
      <c r="BE12" s="33">
        <f>ROUND(坦克等级成长!$D109*VLOOKUP($AX$2,坦克等级成长!$B$36:$G$42,MATCH(BE$3,坦克等级成长!$B$35:$G$35,0)),0)</f>
        <v>112</v>
      </c>
      <c r="BF12" s="198">
        <v>4</v>
      </c>
      <c r="BG12" s="33">
        <f>ROUND(坦克等级成长!$F109*VLOOKUP($AX$2,坦克等级成长!$B$36:$G$42,MATCH(BG$3,坦克等级成长!$B$35:$G$35,0)),0)</f>
        <v>1136</v>
      </c>
      <c r="BH12" s="33">
        <f>ROUND(坦克等级成长!$F109*VLOOKUP($AX$2,坦克等级成长!$B$36:$G$42,MATCH(BH$3,坦克等级成长!$B$35:$G$35,0)),0)</f>
        <v>124</v>
      </c>
      <c r="BI12" s="33">
        <f>ROUND(坦克等级成长!$F109*VLOOKUP($AX$2,坦克等级成长!$B$36:$G$42,MATCH(BI$3,坦克等级成长!$B$35:$G$35,0)),0)</f>
        <v>426</v>
      </c>
      <c r="BJ12" s="33">
        <f t="shared" si="9"/>
        <v>426</v>
      </c>
      <c r="BK12" s="33">
        <v>313</v>
      </c>
      <c r="BL12" s="33">
        <f>ROUND(坦克等级成长!$F109*VLOOKUP($AX$2,坦克等级成长!$B$36:$G$42,MATCH(BL$3,坦克等级成长!$B$35:$G$35,0)),0)</f>
        <v>426</v>
      </c>
      <c r="BM12" s="33">
        <f>ROUND(坦克等级成长!$F109*VLOOKUP($AX$2,坦克等级成长!$B$36:$G$42,MATCH(BM$3,坦克等级成长!$B$35:$G$35,0)),0)</f>
        <v>114</v>
      </c>
      <c r="BN12" s="192"/>
      <c r="BO12" s="188"/>
      <c r="BP12" s="188"/>
      <c r="BQ12" s="188"/>
      <c r="BR12" s="188"/>
      <c r="BS12" s="188"/>
      <c r="BT12" s="188"/>
      <c r="BU12" s="199"/>
      <c r="BV12" s="191">
        <v>4</v>
      </c>
      <c r="BW12" s="33">
        <f>ROUND(坦克等级成长!$D109*VLOOKUP($BV$2,坦克等级成长!$B$36:$G$42,MATCH(BW$3,坦克等级成长!$B$35:$G$35,0)),0)</f>
        <v>1180</v>
      </c>
      <c r="BX12" s="33">
        <f>ROUND(坦克等级成长!$D109*VLOOKUP($BV$2,坦克等级成长!$B$36:$G$42,MATCH(BX$3,坦克等级成长!$B$35:$G$35,0)),0)</f>
        <v>111</v>
      </c>
      <c r="BY12" s="33">
        <f>ROUND(坦克等级成长!$D109*VLOOKUP($BV$2,坦克等级成长!$B$36:$G$42,MATCH(BY$3,坦克等级成长!$B$35:$G$35,0)),0)</f>
        <v>400</v>
      </c>
      <c r="BZ12" s="33">
        <f t="shared" si="3"/>
        <v>400</v>
      </c>
      <c r="CA12" s="33">
        <v>310.5</v>
      </c>
      <c r="CB12" s="33">
        <f>ROUND(坦克等级成长!$D109*VLOOKUP($BV$2,坦克等级成长!$B$36:$G$42,MATCH(CB$3,坦克等级成长!$B$35:$G$35,0)),0)</f>
        <v>504</v>
      </c>
      <c r="CC12" s="33">
        <f>ROUND(坦克等级成长!$D109*VLOOKUP($BV$2,坦克等级成长!$B$36:$G$42,MATCH(CC$3,坦克等级成长!$B$35:$G$35,0)),0)</f>
        <v>118</v>
      </c>
      <c r="CD12" s="198">
        <v>4</v>
      </c>
      <c r="CE12" s="33">
        <f>ROUND(坦克等级成长!$F109*VLOOKUP($BV$2,坦克等级成长!$B$36:$G$42,MATCH(CE$3,坦克等级成长!$B$35:$G$35,0)),0)</f>
        <v>1197</v>
      </c>
      <c r="CF12" s="33">
        <f>ROUND(坦克等级成长!$F109*VLOOKUP($BV$2,坦克等级成长!$B$36:$G$42,MATCH(CF$3,坦克等级成长!$B$35:$G$35,0)),0)</f>
        <v>113</v>
      </c>
      <c r="CG12" s="33">
        <f>ROUND(坦克等级成长!$F109*VLOOKUP($BV$2,坦克等级成长!$B$36:$G$42,MATCH(CG$3,坦克等级成长!$B$35:$G$35,0)),0)</f>
        <v>406</v>
      </c>
      <c r="CH12" s="33">
        <f t="shared" si="10"/>
        <v>406</v>
      </c>
      <c r="CI12" s="33">
        <v>320</v>
      </c>
      <c r="CJ12" s="33">
        <f>ROUND(坦克等级成长!$F109*VLOOKUP($BV$2,坦克等级成长!$B$36:$G$42,MATCH(CJ$3,坦克等级成长!$B$35:$G$35,0)),0)</f>
        <v>511</v>
      </c>
      <c r="CK12" s="33">
        <f>ROUND(坦克等级成长!$F109*VLOOKUP($BV$2,坦克等级成长!$B$36:$G$42,MATCH(CK$3,坦克等级成长!$B$35:$G$35,0)),0)</f>
        <v>120</v>
      </c>
      <c r="CL12" s="192"/>
      <c r="CM12" s="188"/>
      <c r="CN12" s="188"/>
      <c r="CO12" s="188"/>
      <c r="CP12" s="188"/>
      <c r="CQ12" s="188"/>
      <c r="CR12" s="188"/>
      <c r="CS12" s="199"/>
      <c r="CT12" s="191">
        <v>4</v>
      </c>
      <c r="CU12" s="33">
        <f>ROUND(坦克等级成长!$D109*VLOOKUP($CT$2,坦克等级成长!$B$36:$G$42,MATCH(CU$3,坦克等级成长!$B$35:$G$35,0)),0)</f>
        <v>1120</v>
      </c>
      <c r="CV12" s="33">
        <f>ROUND(坦克等级成长!$D109*VLOOKUP($CT$2,坦克等级成长!$B$36:$G$42,MATCH(CV$3,坦克等级成长!$B$35:$G$35,0)),0)</f>
        <v>254</v>
      </c>
      <c r="CW12" s="33">
        <f>ROUND(坦克等级成长!$D109*VLOOKUP($CT$2,坦克等级成长!$B$36:$G$42,MATCH(CW$3,坦克等级成长!$B$35:$G$35,0)),0)</f>
        <v>500</v>
      </c>
      <c r="CX12" s="33">
        <f t="shared" si="4"/>
        <v>500</v>
      </c>
      <c r="CY12" s="33">
        <v>388.5</v>
      </c>
      <c r="CZ12" s="33">
        <f>ROUND(坦克等级成长!$D109*VLOOKUP($CT$2,坦克等级成长!$B$36:$G$42,MATCH(CZ$3,坦克等级成长!$B$35:$G$35,0)),0)</f>
        <v>420</v>
      </c>
      <c r="DA12" s="33">
        <f>ROUND(坦克等级成长!$D109*VLOOKUP($CT$2,坦克等级成长!$B$36:$G$42,MATCH(DA$3,坦克等级成长!$B$35:$G$35,0)),0)</f>
        <v>112</v>
      </c>
      <c r="DB12" s="198">
        <v>4</v>
      </c>
      <c r="DC12" s="33">
        <f>ROUND(坦克等级成长!$F109*VLOOKUP($CT$2,坦克等级成长!$B$36:$G$42,MATCH(DC$3,坦克等级成长!$B$35:$G$35,0)),0)</f>
        <v>1136</v>
      </c>
      <c r="DD12" s="33">
        <f>ROUND(坦克等级成长!$F109*VLOOKUP($CT$2,坦克等级成长!$B$36:$G$42,MATCH(DD$3,坦克等级成长!$B$35:$G$35,0)),0)</f>
        <v>258</v>
      </c>
      <c r="DE12" s="33">
        <f>ROUND(坦克等级成长!$F109*VLOOKUP($CT$2,坦克等级成长!$B$36:$G$42,MATCH(DE$3,坦克等级成长!$B$35:$G$35,0)),0)</f>
        <v>507</v>
      </c>
      <c r="DF12" s="33">
        <f t="shared" si="11"/>
        <v>507</v>
      </c>
      <c r="DG12" s="33">
        <v>399</v>
      </c>
      <c r="DH12" s="33">
        <f>ROUND(坦克等级成长!$F109*VLOOKUP($CT$2,坦克等级成长!$B$36:$G$42,MATCH(DH$3,坦克等级成长!$B$35:$G$35,0)),0)</f>
        <v>426</v>
      </c>
      <c r="DI12" s="33">
        <f>ROUND(坦克等级成长!$F109*VLOOKUP($CT$2,坦克等级成长!$B$36:$G$42,MATCH(DI$3,坦克等级成长!$B$35:$G$35,0)),0)</f>
        <v>114</v>
      </c>
      <c r="DJ12" s="192"/>
      <c r="DK12" s="188"/>
      <c r="DL12" s="188"/>
      <c r="DM12" s="188"/>
      <c r="DN12" s="188"/>
      <c r="DO12" s="188"/>
      <c r="DP12" s="188"/>
      <c r="DQ12" s="199"/>
      <c r="DR12" s="191">
        <v>4</v>
      </c>
      <c r="DS12" s="33">
        <f>ROUND(坦克等级成长!$D109*VLOOKUP($DR$2,坦克等级成长!$B$36:$G$42,MATCH(DS$3,坦克等级成长!$B$35:$G$35,0)),0)</f>
        <v>1274</v>
      </c>
      <c r="DT12" s="33">
        <f>ROUND(坦克等级成长!$D109*VLOOKUP($DR$2,坦克等级成长!$B$36:$G$42,MATCH(DT$3,坦克等级成长!$B$35:$G$35,0)),0)</f>
        <v>435</v>
      </c>
      <c r="DU12" s="33">
        <f>ROUND(坦克等级成长!$D109*VLOOKUP($DR$2,坦克等级成长!$B$36:$G$42,MATCH(DU$3,坦克等级成长!$B$35:$G$35,0)),0)</f>
        <v>400</v>
      </c>
      <c r="DV12" s="33">
        <f t="shared" si="5"/>
        <v>400</v>
      </c>
      <c r="DW12" s="33">
        <v>331.2</v>
      </c>
      <c r="DX12" s="33">
        <f>ROUND(坦克等级成长!$D109*VLOOKUP($DR$2,坦克等级成长!$B$36:$G$42,MATCH(DX$3,坦克等级成长!$B$35:$G$35,0)),0)</f>
        <v>588</v>
      </c>
      <c r="DY12" s="33">
        <f>ROUND(坦克等级成长!$D109*VLOOKUP($DR$2,坦克等级成长!$B$36:$G$42,MATCH(DY$3,坦克等级成长!$B$35:$G$35,0)),0)</f>
        <v>127</v>
      </c>
      <c r="DZ12" s="198">
        <v>4</v>
      </c>
      <c r="EA12" s="33">
        <f>ROUND(坦克等级成长!$F109*VLOOKUP($DR$2,坦克等级成长!$B$36:$G$42,MATCH(EA$3,坦克等级成长!$B$35:$G$35,0)),0)</f>
        <v>1292</v>
      </c>
      <c r="EB12" s="33">
        <f>ROUND(坦克等级成长!$F109*VLOOKUP($DR$2,坦克等级成长!$B$36:$G$42,MATCH(EB$3,坦克等级成长!$B$35:$G$35,0)),0)</f>
        <v>441</v>
      </c>
      <c r="EC12" s="33">
        <f>ROUND(坦克等级成长!$F109*VLOOKUP($DR$2,坦克等级成长!$B$36:$G$42,MATCH(EC$3,坦克等级成长!$B$35:$G$35,0)),0)</f>
        <v>406</v>
      </c>
      <c r="ED12" s="33">
        <f t="shared" si="12"/>
        <v>406</v>
      </c>
      <c r="EE12" s="33">
        <v>341</v>
      </c>
      <c r="EF12" s="33">
        <f>ROUND(坦克等级成长!$F109*VLOOKUP($DR$2,坦克等级成长!$B$36:$G$42,MATCH(EF$3,坦克等级成长!$B$35:$G$35,0)),0)</f>
        <v>596</v>
      </c>
      <c r="EG12" s="33">
        <f>ROUND(坦克等级成长!$F109*VLOOKUP($DR$2,坦克等级成长!$B$36:$G$42,MATCH(EG$3,坦克等级成长!$B$35:$G$35,0)),0)</f>
        <v>129</v>
      </c>
      <c r="EH12" s="192"/>
      <c r="EI12" s="188"/>
      <c r="EJ12" s="188"/>
      <c r="EK12" s="188"/>
      <c r="EL12" s="188"/>
      <c r="EM12" s="188"/>
      <c r="EN12" s="188"/>
      <c r="EO12" s="199"/>
      <c r="EP12" s="191">
        <v>4</v>
      </c>
      <c r="EQ12" s="33">
        <f>ROUND(坦克等级成长!$D109*VLOOKUP($EP$2,坦克等级成长!$B$36:$G$42,MATCH(EQ$3,坦克等级成长!$B$35:$G$35,0)),0)</f>
        <v>1180</v>
      </c>
      <c r="ER12" s="33">
        <f>ROUND(坦克等级成长!$D109*VLOOKUP($EP$2,坦克等级成长!$B$36:$G$42,MATCH(ER$3,坦克等级成长!$B$35:$G$35,0)),0)</f>
        <v>135</v>
      </c>
      <c r="ES12" s="33">
        <f>ROUND(坦克等级成长!$D109*VLOOKUP($EP$2,坦克等级成长!$B$36:$G$42,MATCH(ES$3,坦克等级成长!$B$35:$G$35,0)),0)</f>
        <v>460</v>
      </c>
      <c r="ET12" s="33">
        <f t="shared" si="6"/>
        <v>460</v>
      </c>
      <c r="EU12" s="33">
        <v>357</v>
      </c>
      <c r="EV12" s="33">
        <f>ROUND(坦克等级成长!$D109*VLOOKUP($EP$2,坦克等级成长!$B$36:$G$42,MATCH(EV$3,坦克等级成长!$B$35:$G$35,0)),0)</f>
        <v>504</v>
      </c>
      <c r="EW12" s="33">
        <f>ROUND(坦克等级成长!$D109*VLOOKUP($EP$2,坦克等级成长!$B$36:$G$42,MATCH(EW$3,坦克等级成长!$B$35:$G$35,0)),0)</f>
        <v>118</v>
      </c>
      <c r="EX12" s="198">
        <v>4</v>
      </c>
      <c r="EY12" s="33">
        <f>ROUND(坦克等级成长!$F109*VLOOKUP($EP$2,坦克等级成长!$B$36:$G$42,MATCH(EY$3,坦克等级成长!$B$35:$G$35,0)),0)</f>
        <v>1197</v>
      </c>
      <c r="EZ12" s="33">
        <f>ROUND(坦克等级成长!$F109*VLOOKUP($EP$2,坦克等级成长!$B$36:$G$42,MATCH(EZ$3,坦克等级成长!$B$35:$G$35,0)),0)</f>
        <v>137</v>
      </c>
      <c r="FA12" s="33">
        <f>ROUND(坦克等级成长!$F109*VLOOKUP($EP$2,坦克等级成长!$B$36:$G$42,MATCH(FA$3,坦克等级成长!$B$35:$G$35,0)),0)</f>
        <v>467</v>
      </c>
      <c r="FB12" s="33">
        <f t="shared" si="13"/>
        <v>467</v>
      </c>
      <c r="FC12" s="33">
        <v>368</v>
      </c>
      <c r="FD12" s="33">
        <f>ROUND(坦克等级成长!$F109*VLOOKUP($EP$2,坦克等级成长!$B$36:$G$42,MATCH(FD$3,坦克等级成长!$B$35:$G$35,0)),0)</f>
        <v>511</v>
      </c>
      <c r="FE12" s="33">
        <f>ROUND(坦克等级成长!$F109*VLOOKUP($EP$2,坦克等级成长!$B$36:$G$42,MATCH(FE$3,坦克等级成长!$B$35:$G$35,0)),0)</f>
        <v>120</v>
      </c>
      <c r="FF12" s="192"/>
      <c r="FG12" s="188"/>
      <c r="FH12" s="188"/>
      <c r="FI12" s="188"/>
      <c r="FJ12" s="188"/>
      <c r="FK12" s="188"/>
      <c r="FL12" s="188"/>
      <c r="FM12" s="199"/>
    </row>
    <row r="13" spans="1:169" ht="14.25" x14ac:dyDescent="0.3">
      <c r="A13" s="188">
        <v>2</v>
      </c>
      <c r="B13" s="191">
        <v>5</v>
      </c>
      <c r="C13" s="33">
        <f>ROUND(坦克等级成长!$D110*VLOOKUP($B$2,坦克等级成长!$B$36:$G$42,MATCH(C$3,坦克等级成长!$B$35:$G$35,0)),0)</f>
        <v>1184</v>
      </c>
      <c r="D13" s="33">
        <f>ROUND(坦克等级成长!$D110*VLOOKUP($B$2,坦克等级成长!$B$36:$G$42,MATCH(D$3,坦克等级成长!$B$35:$G$35,0)),0)</f>
        <v>129</v>
      </c>
      <c r="E13" s="33">
        <f>ROUND(坦克等级成长!$D110*VLOOKUP($B$2,坦克等级成长!$B$36:$G$42,MATCH(E$3,坦克等级成长!$B$35:$G$35,0)),0)</f>
        <v>444</v>
      </c>
      <c r="F13" s="33">
        <f t="shared" si="0"/>
        <v>444</v>
      </c>
      <c r="G13" s="33">
        <v>323.39999999999998</v>
      </c>
      <c r="H13" s="33">
        <f>ROUND(坦克等级成长!$D110*VLOOKUP($B$2,坦克等级成长!$B$36:$G$42,MATCH(H$3,坦克等级成长!$B$35:$G$35,0)),0)</f>
        <v>444</v>
      </c>
      <c r="I13" s="33">
        <f>ROUND(坦克等级成长!$D110*VLOOKUP($B$2,坦克等级成长!$B$36:$G$42,MATCH(I$3,坦克等级成长!$B$35:$G$35,0)),0)</f>
        <v>118</v>
      </c>
      <c r="J13" s="198">
        <v>5</v>
      </c>
      <c r="K13" s="33">
        <f>ROUND(坦克等级成长!$F110*VLOOKUP($B$2,坦克等级成长!$B$36:$G$42,MATCH(K$3,坦克等级成长!$B$35:$G$35,0)),0)</f>
        <v>1200</v>
      </c>
      <c r="L13" s="33">
        <f>ROUND(坦克等级成长!$F110*VLOOKUP($B$2,坦克等级成长!$B$36:$G$42,MATCH(L$3,坦克等级成长!$B$35:$G$35,0)),0)</f>
        <v>131</v>
      </c>
      <c r="M13" s="33">
        <f>ROUND(坦克等级成长!$F110*VLOOKUP($B$2,坦克等级成长!$B$36:$G$42,MATCH(M$3,坦克等级成长!$B$35:$G$35,0)),0)</f>
        <v>450</v>
      </c>
      <c r="N13" s="33">
        <f t="shared" si="7"/>
        <v>450</v>
      </c>
      <c r="O13" s="33">
        <v>332</v>
      </c>
      <c r="P13" s="33">
        <f>ROUND(坦克等级成长!$F110*VLOOKUP($B$2,坦克等级成长!$B$36:$G$42,MATCH(P$3,坦克等级成长!$B$35:$G$35,0)),0)</f>
        <v>450</v>
      </c>
      <c r="Q13" s="33">
        <f>ROUND(坦克等级成长!$F110*VLOOKUP($B$2,坦克等级成长!$B$36:$G$42,MATCH(Q$3,坦克等级成长!$B$35:$G$35,0)),0)</f>
        <v>120</v>
      </c>
      <c r="R13" s="192"/>
      <c r="S13" s="188"/>
      <c r="T13" s="188"/>
      <c r="U13" s="188"/>
      <c r="V13" s="188"/>
      <c r="W13" s="188"/>
      <c r="X13" s="188"/>
      <c r="Y13" s="199"/>
      <c r="Z13" s="191">
        <v>5</v>
      </c>
      <c r="AA13" s="33">
        <f>ROUND(坦克等级成长!$D110*VLOOKUP($Z$2,坦克等级成长!$B$36:$G$42,MATCH(AA$3,坦克等级成长!$B$35:$G$35,0)),0)</f>
        <v>1184</v>
      </c>
      <c r="AB13" s="33">
        <f>ROUND(坦克等级成长!$D110*VLOOKUP($Z$2,坦克等级成长!$B$36:$G$42,MATCH(AB$3,坦克等级成长!$B$35:$G$35,0)),0)</f>
        <v>70</v>
      </c>
      <c r="AC13" s="33">
        <f>ROUND(坦克等级成长!$D110*VLOOKUP($Z$2,坦克等级成长!$B$36:$G$42,MATCH(AC$3,坦克等级成长!$B$35:$G$35,0)),0)</f>
        <v>486</v>
      </c>
      <c r="AD13" s="33">
        <f t="shared" si="1"/>
        <v>486</v>
      </c>
      <c r="AE13" s="33">
        <v>354.2</v>
      </c>
      <c r="AF13" s="33">
        <f>ROUND(坦克等级成长!$D110*VLOOKUP($Z$2,坦克等级成长!$B$36:$G$42,MATCH(AF$3,坦克等级成长!$B$35:$G$35,0)),0)</f>
        <v>444</v>
      </c>
      <c r="AG13" s="33">
        <f>ROUND(坦克等级成长!$D110*VLOOKUP($Z$2,坦克等级成长!$B$36:$G$42,MATCH(AG$3,坦克等级成长!$B$35:$G$35,0)),0)</f>
        <v>118</v>
      </c>
      <c r="AH13" s="198">
        <v>5</v>
      </c>
      <c r="AI13" s="33">
        <f>ROUND(坦克等级成长!$F110*VLOOKUP($Z$2,坦克等级成长!$B$36:$G$42,MATCH(AI$3,坦克等级成长!$B$35:$G$35,0)),0)</f>
        <v>1200</v>
      </c>
      <c r="AJ13" s="33">
        <f>ROUND(坦克等级成长!$F110*VLOOKUP($Z$2,坦克等级成长!$B$36:$G$42,MATCH(AJ$3,坦克等级成长!$B$35:$G$35,0)),0)</f>
        <v>71</v>
      </c>
      <c r="AK13" s="33">
        <f>ROUND(坦克等级成长!$F110*VLOOKUP($Z$2,坦克等级成长!$B$36:$G$42,MATCH(AK$3,坦克等级成长!$B$35:$G$35,0)),0)</f>
        <v>493</v>
      </c>
      <c r="AL13" s="33">
        <f t="shared" si="8"/>
        <v>493</v>
      </c>
      <c r="AM13" s="33">
        <v>363</v>
      </c>
      <c r="AN13" s="33">
        <f>ROUND(坦克等级成长!$F110*VLOOKUP($Z$2,坦克等级成长!$B$36:$G$42,MATCH(AN$3,坦克等级成长!$B$35:$G$35,0)),0)</f>
        <v>450</v>
      </c>
      <c r="AO13" s="33">
        <f>ROUND(坦克等级成长!$F110*VLOOKUP($Z$2,坦克等级成长!$B$36:$G$42,MATCH(AO$3,坦克等级成长!$B$35:$G$35,0)),0)</f>
        <v>120</v>
      </c>
      <c r="AP13" s="192"/>
      <c r="AQ13" s="188"/>
      <c r="AR13" s="188"/>
      <c r="AS13" s="188"/>
      <c r="AT13" s="188"/>
      <c r="AU13" s="188"/>
      <c r="AV13" s="188"/>
      <c r="AW13" s="199"/>
      <c r="AX13" s="191">
        <v>5</v>
      </c>
      <c r="AY13" s="33">
        <f>ROUND(坦克等级成长!$D110*VLOOKUP($AX$2,坦克等级成长!$B$36:$G$42,MATCH(AY$3,坦克等级成长!$B$35:$G$35,0)),0)</f>
        <v>1184</v>
      </c>
      <c r="AZ13" s="33">
        <f>ROUND(坦克等级成长!$D110*VLOOKUP($AX$2,坦克等级成长!$B$36:$G$42,MATCH(AZ$3,坦克等级成长!$B$35:$G$35,0)),0)</f>
        <v>129</v>
      </c>
      <c r="BA13" s="33">
        <f>ROUND(坦克等级成长!$D110*VLOOKUP($AX$2,坦克等级成长!$B$36:$G$42,MATCH(BA$3,坦克等级成长!$B$35:$G$35,0)),0)</f>
        <v>444</v>
      </c>
      <c r="BB13" s="33">
        <f t="shared" si="2"/>
        <v>444</v>
      </c>
      <c r="BC13" s="33">
        <v>323.39999999999998</v>
      </c>
      <c r="BD13" s="33">
        <f>ROUND(坦克等级成长!$D110*VLOOKUP($AX$2,坦克等级成长!$B$36:$G$42,MATCH(BD$3,坦克等级成长!$B$35:$G$35,0)),0)</f>
        <v>444</v>
      </c>
      <c r="BE13" s="33">
        <f>ROUND(坦克等级成长!$D110*VLOOKUP($AX$2,坦克等级成长!$B$36:$G$42,MATCH(BE$3,坦克等级成长!$B$35:$G$35,0)),0)</f>
        <v>118</v>
      </c>
      <c r="BF13" s="198">
        <v>5</v>
      </c>
      <c r="BG13" s="33">
        <f>ROUND(坦克等级成长!$F110*VLOOKUP($AX$2,坦克等级成长!$B$36:$G$42,MATCH(BG$3,坦克等级成长!$B$35:$G$35,0)),0)</f>
        <v>1200</v>
      </c>
      <c r="BH13" s="33">
        <f>ROUND(坦克等级成长!$F110*VLOOKUP($AX$2,坦克等级成长!$B$36:$G$42,MATCH(BH$3,坦克等级成长!$B$35:$G$35,0)),0)</f>
        <v>131</v>
      </c>
      <c r="BI13" s="33">
        <f>ROUND(坦克等级成长!$F110*VLOOKUP($AX$2,坦克等级成长!$B$36:$G$42,MATCH(BI$3,坦克等级成长!$B$35:$G$35,0)),0)</f>
        <v>450</v>
      </c>
      <c r="BJ13" s="33">
        <f t="shared" si="9"/>
        <v>450</v>
      </c>
      <c r="BK13" s="33">
        <v>332</v>
      </c>
      <c r="BL13" s="33">
        <f>ROUND(坦克等级成长!$F110*VLOOKUP($AX$2,坦克等级成长!$B$36:$G$42,MATCH(BL$3,坦克等级成长!$B$35:$G$35,0)),0)</f>
        <v>450</v>
      </c>
      <c r="BM13" s="33">
        <f>ROUND(坦克等级成长!$F110*VLOOKUP($AX$2,坦克等级成长!$B$36:$G$42,MATCH(BM$3,坦克等级成长!$B$35:$G$35,0)),0)</f>
        <v>120</v>
      </c>
      <c r="BN13" s="192"/>
      <c r="BO13" s="188"/>
      <c r="BP13" s="188"/>
      <c r="BQ13" s="188"/>
      <c r="BR13" s="188"/>
      <c r="BS13" s="188"/>
      <c r="BT13" s="188"/>
      <c r="BU13" s="199"/>
      <c r="BV13" s="191">
        <v>5</v>
      </c>
      <c r="BW13" s="33">
        <f>ROUND(坦克等级成长!$D110*VLOOKUP($BV$2,坦克等级成长!$B$36:$G$42,MATCH(BW$3,坦克等级成长!$B$35:$G$35,0)),0)</f>
        <v>1248</v>
      </c>
      <c r="BX13" s="33">
        <f>ROUND(坦克等级成长!$D110*VLOOKUP($BV$2,坦克等级成长!$B$36:$G$42,MATCH(BX$3,坦克等级成长!$B$35:$G$35,0)),0)</f>
        <v>118</v>
      </c>
      <c r="BY13" s="33">
        <f>ROUND(坦克等级成长!$D110*VLOOKUP($BV$2,坦克等级成长!$B$36:$G$42,MATCH(BY$3,坦克等级成长!$B$35:$G$35,0)),0)</f>
        <v>423</v>
      </c>
      <c r="BZ13" s="33">
        <f t="shared" si="3"/>
        <v>423</v>
      </c>
      <c r="CA13" s="33">
        <v>330</v>
      </c>
      <c r="CB13" s="33">
        <f>ROUND(坦克等级成长!$D110*VLOOKUP($BV$2,坦克等级成长!$B$36:$G$42,MATCH(CB$3,坦克等级成长!$B$35:$G$35,0)),0)</f>
        <v>533</v>
      </c>
      <c r="CC13" s="33">
        <f>ROUND(坦克等级成长!$D110*VLOOKUP($BV$2,坦克等级成长!$B$36:$G$42,MATCH(CC$3,坦克等级成长!$B$35:$G$35,0)),0)</f>
        <v>125</v>
      </c>
      <c r="CD13" s="198">
        <v>5</v>
      </c>
      <c r="CE13" s="33">
        <f>ROUND(坦克等级成长!$F110*VLOOKUP($BV$2,坦克等级成长!$B$36:$G$42,MATCH(CE$3,坦克等级成长!$B$35:$G$35,0)),0)</f>
        <v>1264</v>
      </c>
      <c r="CF13" s="33">
        <f>ROUND(坦克等级成长!$F110*VLOOKUP($BV$2,坦克等级成长!$B$36:$G$42,MATCH(CF$3,坦克等级成长!$B$35:$G$35,0)),0)</f>
        <v>119</v>
      </c>
      <c r="CG13" s="33">
        <f>ROUND(坦克等级成长!$F110*VLOOKUP($BV$2,坦克等级成长!$B$36:$G$42,MATCH(CG$3,坦克等级成长!$B$35:$G$35,0)),0)</f>
        <v>429</v>
      </c>
      <c r="CH13" s="33">
        <f t="shared" si="10"/>
        <v>429</v>
      </c>
      <c r="CI13" s="33">
        <v>338</v>
      </c>
      <c r="CJ13" s="33">
        <f>ROUND(坦克等级成长!$F110*VLOOKUP($BV$2,坦克等级成长!$B$36:$G$42,MATCH(CJ$3,坦克等级成长!$B$35:$G$35,0)),0)</f>
        <v>540</v>
      </c>
      <c r="CK13" s="33">
        <f>ROUND(坦克等级成长!$F110*VLOOKUP($BV$2,坦克等级成长!$B$36:$G$42,MATCH(CK$3,坦克等级成长!$B$35:$G$35,0)),0)</f>
        <v>126</v>
      </c>
      <c r="CL13" s="192"/>
      <c r="CM13" s="188"/>
      <c r="CN13" s="188"/>
      <c r="CO13" s="188"/>
      <c r="CP13" s="188"/>
      <c r="CQ13" s="188"/>
      <c r="CR13" s="188"/>
      <c r="CS13" s="199"/>
      <c r="CT13" s="191">
        <v>5</v>
      </c>
      <c r="CU13" s="33">
        <f>ROUND(坦克等级成长!$D110*VLOOKUP($CT$2,坦克等级成长!$B$36:$G$42,MATCH(CU$3,坦克等级成长!$B$35:$G$35,0)),0)</f>
        <v>1184</v>
      </c>
      <c r="CV13" s="33">
        <f>ROUND(坦克等级成长!$D110*VLOOKUP($CT$2,坦克等级成长!$B$36:$G$42,MATCH(CV$3,坦克等级成长!$B$35:$G$35,0)),0)</f>
        <v>269</v>
      </c>
      <c r="CW13" s="33">
        <f>ROUND(坦克等级成长!$D110*VLOOKUP($CT$2,坦克等级成长!$B$36:$G$42,MATCH(CW$3,坦克等级成长!$B$35:$G$35,0)),0)</f>
        <v>529</v>
      </c>
      <c r="CX13" s="33">
        <f t="shared" si="4"/>
        <v>529</v>
      </c>
      <c r="CY13" s="33">
        <v>412.5</v>
      </c>
      <c r="CZ13" s="33">
        <f>ROUND(坦克等级成长!$D110*VLOOKUP($CT$2,坦克等级成长!$B$36:$G$42,MATCH(CZ$3,坦克等级成长!$B$35:$G$35,0)),0)</f>
        <v>444</v>
      </c>
      <c r="DA13" s="33">
        <f>ROUND(坦克等级成长!$D110*VLOOKUP($CT$2,坦克等级成长!$B$36:$G$42,MATCH(DA$3,坦克等级成长!$B$35:$G$35,0)),0)</f>
        <v>118</v>
      </c>
      <c r="DB13" s="198">
        <v>5</v>
      </c>
      <c r="DC13" s="33">
        <f>ROUND(坦克等级成长!$F110*VLOOKUP($CT$2,坦克等级成长!$B$36:$G$42,MATCH(DC$3,坦克等级成长!$B$35:$G$35,0)),0)</f>
        <v>1200</v>
      </c>
      <c r="DD13" s="33">
        <f>ROUND(坦克等级成长!$F110*VLOOKUP($CT$2,坦克等级成长!$B$36:$G$42,MATCH(DD$3,坦克等级成长!$B$35:$G$35,0)),0)</f>
        <v>273</v>
      </c>
      <c r="DE13" s="33">
        <f>ROUND(坦克等级成长!$F110*VLOOKUP($CT$2,坦克等级成长!$B$36:$G$42,MATCH(DE$3,坦克等级成长!$B$35:$G$35,0)),0)</f>
        <v>536</v>
      </c>
      <c r="DF13" s="33">
        <f t="shared" si="11"/>
        <v>536</v>
      </c>
      <c r="DG13" s="33">
        <v>423</v>
      </c>
      <c r="DH13" s="33">
        <f>ROUND(坦克等级成长!$F110*VLOOKUP($CT$2,坦克等级成长!$B$36:$G$42,MATCH(DH$3,坦克等级成长!$B$35:$G$35,0)),0)</f>
        <v>450</v>
      </c>
      <c r="DI13" s="33">
        <f>ROUND(坦克等级成长!$F110*VLOOKUP($CT$2,坦克等级成长!$B$36:$G$42,MATCH(DI$3,坦克等级成长!$B$35:$G$35,0)),0)</f>
        <v>120</v>
      </c>
      <c r="DJ13" s="192"/>
      <c r="DK13" s="188"/>
      <c r="DL13" s="188"/>
      <c r="DM13" s="188"/>
      <c r="DN13" s="188"/>
      <c r="DO13" s="188"/>
      <c r="DP13" s="188"/>
      <c r="DQ13" s="199"/>
      <c r="DR13" s="191">
        <v>5</v>
      </c>
      <c r="DS13" s="33">
        <f>ROUND(坦克等级成长!$D110*VLOOKUP($DR$2,坦克等级成长!$B$36:$G$42,MATCH(DS$3,坦克等级成长!$B$35:$G$35,0)),0)</f>
        <v>1347</v>
      </c>
      <c r="DT13" s="33">
        <f>ROUND(坦克等级成长!$D110*VLOOKUP($DR$2,坦克等级成长!$B$36:$G$42,MATCH(DT$3,坦克等级成长!$B$35:$G$35,0)),0)</f>
        <v>460</v>
      </c>
      <c r="DU13" s="33">
        <f>ROUND(坦克等级成长!$D110*VLOOKUP($DR$2,坦克等级成长!$B$36:$G$42,MATCH(DU$3,坦克等级成长!$B$35:$G$35,0)),0)</f>
        <v>423</v>
      </c>
      <c r="DV13" s="33">
        <f t="shared" si="5"/>
        <v>423</v>
      </c>
      <c r="DW13" s="33">
        <v>352</v>
      </c>
      <c r="DX13" s="33">
        <f>ROUND(坦克等级成长!$D110*VLOOKUP($DR$2,坦克等级成长!$B$36:$G$42,MATCH(DX$3,坦克等级成长!$B$35:$G$35,0)),0)</f>
        <v>622</v>
      </c>
      <c r="DY13" s="33">
        <f>ROUND(坦克等级成长!$D110*VLOOKUP($DR$2,坦克等级成长!$B$36:$G$42,MATCH(DY$3,坦克等级成长!$B$35:$G$35,0)),0)</f>
        <v>135</v>
      </c>
      <c r="DZ13" s="198">
        <v>5</v>
      </c>
      <c r="EA13" s="33">
        <f>ROUND(坦克等级成长!$F110*VLOOKUP($DR$2,坦克等级成长!$B$36:$G$42,MATCH(EA$3,坦克等级成长!$B$35:$G$35,0)),0)</f>
        <v>1365</v>
      </c>
      <c r="EB13" s="33">
        <f>ROUND(坦克等级成长!$F110*VLOOKUP($DR$2,坦克等级成长!$B$36:$G$42,MATCH(EB$3,坦克等级成长!$B$35:$G$35,0)),0)</f>
        <v>466</v>
      </c>
      <c r="EC13" s="33">
        <f>ROUND(坦克等级成长!$F110*VLOOKUP($DR$2,坦克等级成长!$B$36:$G$42,MATCH(EC$3,坦克等级成长!$B$35:$G$35,0)),0)</f>
        <v>429</v>
      </c>
      <c r="ED13" s="33">
        <f t="shared" si="12"/>
        <v>429</v>
      </c>
      <c r="EE13" s="33">
        <v>361</v>
      </c>
      <c r="EF13" s="33">
        <f>ROUND(坦克等级成长!$F110*VLOOKUP($DR$2,坦克等级成长!$B$36:$G$42,MATCH(EF$3,坦克等级成长!$B$35:$G$35,0)),0)</f>
        <v>630</v>
      </c>
      <c r="EG13" s="33">
        <f>ROUND(坦克等级成长!$F110*VLOOKUP($DR$2,坦克等级成长!$B$36:$G$42,MATCH(EG$3,坦克等级成长!$B$35:$G$35,0)),0)</f>
        <v>137</v>
      </c>
      <c r="EH13" s="192"/>
      <c r="EI13" s="188"/>
      <c r="EJ13" s="188"/>
      <c r="EK13" s="188"/>
      <c r="EL13" s="188"/>
      <c r="EM13" s="188"/>
      <c r="EN13" s="188"/>
      <c r="EO13" s="199"/>
      <c r="EP13" s="191">
        <v>5</v>
      </c>
      <c r="EQ13" s="33">
        <f>ROUND(坦克等级成长!$D110*VLOOKUP($EP$2,坦克等级成长!$B$36:$G$42,MATCH(EQ$3,坦克等级成长!$B$35:$G$35,0)),0)</f>
        <v>1248</v>
      </c>
      <c r="ER13" s="33">
        <f>ROUND(坦克等级成长!$D110*VLOOKUP($EP$2,坦克等级成长!$B$36:$G$42,MATCH(ER$3,坦克等级成长!$B$35:$G$35,0)),0)</f>
        <v>143</v>
      </c>
      <c r="ES13" s="33">
        <f>ROUND(坦克等级成长!$D110*VLOOKUP($EP$2,坦克等级成长!$B$36:$G$42,MATCH(ES$3,坦克等级成长!$B$35:$G$35,0)),0)</f>
        <v>486</v>
      </c>
      <c r="ET13" s="33">
        <f t="shared" si="6"/>
        <v>486</v>
      </c>
      <c r="EU13" s="33">
        <v>379.5</v>
      </c>
      <c r="EV13" s="33">
        <f>ROUND(坦克等级成长!$D110*VLOOKUP($EP$2,坦克等级成长!$B$36:$G$42,MATCH(EV$3,坦克等级成长!$B$35:$G$35,0)),0)</f>
        <v>533</v>
      </c>
      <c r="EW13" s="33">
        <f>ROUND(坦克等级成长!$D110*VLOOKUP($EP$2,坦克等级成长!$B$36:$G$42,MATCH(EW$3,坦克等级成长!$B$35:$G$35,0)),0)</f>
        <v>125</v>
      </c>
      <c r="EX13" s="198">
        <v>5</v>
      </c>
      <c r="EY13" s="33">
        <f>ROUND(坦克等级成长!$F110*VLOOKUP($EP$2,坦克等级成长!$B$36:$G$42,MATCH(EY$3,坦克等级成长!$B$35:$G$35,0)),0)</f>
        <v>1264</v>
      </c>
      <c r="EZ13" s="33">
        <f>ROUND(坦克等级成长!$F110*VLOOKUP($EP$2,坦克等级成长!$B$36:$G$42,MATCH(EZ$3,坦克等级成长!$B$35:$G$35,0)),0)</f>
        <v>145</v>
      </c>
      <c r="FA13" s="33">
        <f>ROUND(坦克等级成长!$F110*VLOOKUP($EP$2,坦克等级成长!$B$36:$G$42,MATCH(FA$3,坦克等级成长!$B$35:$G$35,0)),0)</f>
        <v>493</v>
      </c>
      <c r="FB13" s="33">
        <f t="shared" si="13"/>
        <v>493</v>
      </c>
      <c r="FC13" s="33">
        <v>389</v>
      </c>
      <c r="FD13" s="33">
        <f>ROUND(坦克等级成长!$F110*VLOOKUP($EP$2,坦克等级成长!$B$36:$G$42,MATCH(FD$3,坦克等级成长!$B$35:$G$35,0)),0)</f>
        <v>540</v>
      </c>
      <c r="FE13" s="33">
        <f>ROUND(坦克等级成长!$F110*VLOOKUP($EP$2,坦克等级成长!$B$36:$G$42,MATCH(FE$3,坦克等级成长!$B$35:$G$35,0)),0)</f>
        <v>126</v>
      </c>
      <c r="FF13" s="192"/>
      <c r="FG13" s="188"/>
      <c r="FH13" s="188"/>
      <c r="FI13" s="188"/>
      <c r="FJ13" s="188"/>
      <c r="FK13" s="188"/>
      <c r="FL13" s="188"/>
      <c r="FM13" s="199"/>
    </row>
    <row r="14" spans="1:169" ht="14.25" x14ac:dyDescent="0.3">
      <c r="A14" s="188">
        <v>2</v>
      </c>
      <c r="B14" s="191">
        <v>6</v>
      </c>
      <c r="C14" s="33">
        <f>ROUND(坦克等级成长!$D111*VLOOKUP($B$2,坦克等级成长!$B$36:$G$42,MATCH(C$3,坦克等级成长!$B$35:$G$35,0)),0)</f>
        <v>1248</v>
      </c>
      <c r="D14" s="33">
        <f>ROUND(坦克等级成长!$D111*VLOOKUP($B$2,坦克等级成长!$B$36:$G$42,MATCH(D$3,坦克等级成长!$B$35:$G$35,0)),0)</f>
        <v>136</v>
      </c>
      <c r="E14" s="33">
        <f>ROUND(坦克等级成长!$D111*VLOOKUP($B$2,坦克等级成长!$B$36:$G$42,MATCH(E$3,坦克等级成长!$B$35:$G$35,0)),0)</f>
        <v>468</v>
      </c>
      <c r="F14" s="33">
        <f t="shared" si="0"/>
        <v>468</v>
      </c>
      <c r="G14" s="33">
        <v>342.3</v>
      </c>
      <c r="H14" s="33">
        <f>ROUND(坦克等级成长!$D111*VLOOKUP($B$2,坦克等级成长!$B$36:$G$42,MATCH(H$3,坦克等级成长!$B$35:$G$35,0)),0)</f>
        <v>468</v>
      </c>
      <c r="I14" s="33">
        <f>ROUND(坦克等级成长!$D111*VLOOKUP($B$2,坦克等级成长!$B$36:$G$42,MATCH(I$3,坦克等级成长!$B$35:$G$35,0)),0)</f>
        <v>125</v>
      </c>
      <c r="J14" s="198">
        <v>6</v>
      </c>
      <c r="K14" s="33">
        <f>ROUND(坦克等级成长!$F111*VLOOKUP($B$2,坦克等级成长!$B$36:$G$42,MATCH(K$3,坦克等级成长!$B$35:$G$35,0)),0)</f>
        <v>1264</v>
      </c>
      <c r="L14" s="33">
        <f>ROUND(坦克等级成长!$F111*VLOOKUP($B$2,坦克等级成长!$B$36:$G$42,MATCH(L$3,坦克等级成长!$B$35:$G$35,0)),0)</f>
        <v>137</v>
      </c>
      <c r="M14" s="33">
        <f>ROUND(坦克等级成长!$F111*VLOOKUP($B$2,坦克等级成长!$B$36:$G$42,MATCH(M$3,坦克等级成长!$B$35:$G$35,0)),0)</f>
        <v>474</v>
      </c>
      <c r="N14" s="33">
        <f t="shared" si="7"/>
        <v>474</v>
      </c>
      <c r="O14" s="33">
        <v>351</v>
      </c>
      <c r="P14" s="33">
        <f>ROUND(坦克等级成长!$F111*VLOOKUP($B$2,坦克等级成长!$B$36:$G$42,MATCH(P$3,坦克等级成长!$B$35:$G$35,0)),0)</f>
        <v>474</v>
      </c>
      <c r="Q14" s="33">
        <f>ROUND(坦克等级成长!$F111*VLOOKUP($B$2,坦克等级成长!$B$36:$G$42,MATCH(Q$3,坦克等级成长!$B$35:$G$35,0)),0)</f>
        <v>126</v>
      </c>
      <c r="R14" s="192"/>
      <c r="S14" s="188"/>
      <c r="T14" s="188"/>
      <c r="U14" s="188"/>
      <c r="V14" s="188"/>
      <c r="W14" s="188"/>
      <c r="X14" s="188"/>
      <c r="Y14" s="199"/>
      <c r="Z14" s="191">
        <v>6</v>
      </c>
      <c r="AA14" s="33">
        <f>ROUND(坦克等级成长!$D111*VLOOKUP($Z$2,坦克等级成长!$B$36:$G$42,MATCH(AA$3,坦克等级成长!$B$35:$G$35,0)),0)</f>
        <v>1248</v>
      </c>
      <c r="AB14" s="33">
        <f>ROUND(坦克等级成长!$D111*VLOOKUP($Z$2,坦克等级成长!$B$36:$G$42,MATCH(AB$3,坦克等级成长!$B$35:$G$35,0)),0)</f>
        <v>74</v>
      </c>
      <c r="AC14" s="33">
        <f>ROUND(坦克等级成长!$D111*VLOOKUP($Z$2,坦克等级成长!$B$36:$G$42,MATCH(AC$3,坦克等级成长!$B$35:$G$35,0)),0)</f>
        <v>513</v>
      </c>
      <c r="AD14" s="33">
        <f t="shared" si="1"/>
        <v>513</v>
      </c>
      <c r="AE14" s="33">
        <v>375.2</v>
      </c>
      <c r="AF14" s="33">
        <f>ROUND(坦克等级成长!$D111*VLOOKUP($Z$2,坦克等级成长!$B$36:$G$42,MATCH(AF$3,坦克等级成长!$B$35:$G$35,0)),0)</f>
        <v>468</v>
      </c>
      <c r="AG14" s="33">
        <f>ROUND(坦克等级成长!$D111*VLOOKUP($Z$2,坦克等级成长!$B$36:$G$42,MATCH(AG$3,坦克等级成长!$B$35:$G$35,0)),0)</f>
        <v>125</v>
      </c>
      <c r="AH14" s="198">
        <v>6</v>
      </c>
      <c r="AI14" s="33">
        <f>ROUND(坦克等级成长!$F111*VLOOKUP($Z$2,坦克等级成长!$B$36:$G$42,MATCH(AI$3,坦克等级成长!$B$35:$G$35,0)),0)</f>
        <v>1264</v>
      </c>
      <c r="AJ14" s="33">
        <f>ROUND(坦克等级成长!$F111*VLOOKUP($Z$2,坦克等级成长!$B$36:$G$42,MATCH(AJ$3,坦克等级成长!$B$35:$G$35,0)),0)</f>
        <v>74</v>
      </c>
      <c r="AK14" s="33">
        <f>ROUND(坦克等级成长!$F111*VLOOKUP($Z$2,坦克等级成长!$B$36:$G$42,MATCH(AK$3,坦克等级成长!$B$35:$G$35,0)),0)</f>
        <v>519</v>
      </c>
      <c r="AL14" s="33">
        <f t="shared" si="8"/>
        <v>519</v>
      </c>
      <c r="AM14" s="33">
        <v>384</v>
      </c>
      <c r="AN14" s="33">
        <f>ROUND(坦克等级成长!$F111*VLOOKUP($Z$2,坦克等级成长!$B$36:$G$42,MATCH(AN$3,坦克等级成长!$B$35:$G$35,0)),0)</f>
        <v>474</v>
      </c>
      <c r="AO14" s="33">
        <f>ROUND(坦克等级成长!$F111*VLOOKUP($Z$2,坦克等级成长!$B$36:$G$42,MATCH(AO$3,坦克等级成长!$B$35:$G$35,0)),0)</f>
        <v>126</v>
      </c>
      <c r="AP14" s="192"/>
      <c r="AQ14" s="188"/>
      <c r="AR14" s="188"/>
      <c r="AS14" s="188"/>
      <c r="AT14" s="188"/>
      <c r="AU14" s="188"/>
      <c r="AV14" s="188"/>
      <c r="AW14" s="199"/>
      <c r="AX14" s="191">
        <v>6</v>
      </c>
      <c r="AY14" s="33">
        <f>ROUND(坦克等级成长!$D111*VLOOKUP($AX$2,坦克等级成长!$B$36:$G$42,MATCH(AY$3,坦克等级成长!$B$35:$G$35,0)),0)</f>
        <v>1248</v>
      </c>
      <c r="AZ14" s="33">
        <f>ROUND(坦克等级成长!$D111*VLOOKUP($AX$2,坦克等级成长!$B$36:$G$42,MATCH(AZ$3,坦克等级成长!$B$35:$G$35,0)),0)</f>
        <v>136</v>
      </c>
      <c r="BA14" s="33">
        <f>ROUND(坦克等级成长!$D111*VLOOKUP($AX$2,坦克等级成长!$B$36:$G$42,MATCH(BA$3,坦克等级成长!$B$35:$G$35,0)),0)</f>
        <v>468</v>
      </c>
      <c r="BB14" s="33">
        <f t="shared" si="2"/>
        <v>468</v>
      </c>
      <c r="BC14" s="33">
        <v>342.3</v>
      </c>
      <c r="BD14" s="33">
        <f>ROUND(坦克等级成长!$D111*VLOOKUP($AX$2,坦克等级成长!$B$36:$G$42,MATCH(BD$3,坦克等级成长!$B$35:$G$35,0)),0)</f>
        <v>468</v>
      </c>
      <c r="BE14" s="33">
        <f>ROUND(坦克等级成长!$D111*VLOOKUP($AX$2,坦克等级成长!$B$36:$G$42,MATCH(BE$3,坦克等级成长!$B$35:$G$35,0)),0)</f>
        <v>125</v>
      </c>
      <c r="BF14" s="198">
        <v>6</v>
      </c>
      <c r="BG14" s="33">
        <f>ROUND(坦克等级成长!$F111*VLOOKUP($AX$2,坦克等级成长!$B$36:$G$42,MATCH(BG$3,坦克等级成长!$B$35:$G$35,0)),0)</f>
        <v>1264</v>
      </c>
      <c r="BH14" s="33">
        <f>ROUND(坦克等级成长!$F111*VLOOKUP($AX$2,坦克等级成长!$B$36:$G$42,MATCH(BH$3,坦克等级成长!$B$35:$G$35,0)),0)</f>
        <v>137</v>
      </c>
      <c r="BI14" s="33">
        <f>ROUND(坦克等级成长!$F111*VLOOKUP($AX$2,坦克等级成长!$B$36:$G$42,MATCH(BI$3,坦克等级成长!$B$35:$G$35,0)),0)</f>
        <v>474</v>
      </c>
      <c r="BJ14" s="33">
        <f t="shared" si="9"/>
        <v>474</v>
      </c>
      <c r="BK14" s="33">
        <v>351</v>
      </c>
      <c r="BL14" s="33">
        <f>ROUND(坦克等级成长!$F111*VLOOKUP($AX$2,坦克等级成长!$B$36:$G$42,MATCH(BL$3,坦克等级成长!$B$35:$G$35,0)),0)</f>
        <v>474</v>
      </c>
      <c r="BM14" s="33">
        <f>ROUND(坦克等级成长!$F111*VLOOKUP($AX$2,坦克等级成长!$B$36:$G$42,MATCH(BM$3,坦克等级成长!$B$35:$G$35,0)),0)</f>
        <v>126</v>
      </c>
      <c r="BN14" s="192"/>
      <c r="BO14" s="188"/>
      <c r="BP14" s="188"/>
      <c r="BQ14" s="188"/>
      <c r="BR14" s="188"/>
      <c r="BS14" s="188"/>
      <c r="BT14" s="188"/>
      <c r="BU14" s="199"/>
      <c r="BV14" s="191">
        <v>6</v>
      </c>
      <c r="BW14" s="33">
        <f>ROUND(坦克等级成长!$D111*VLOOKUP($BV$2,坦克等级成长!$B$36:$G$42,MATCH(BW$3,坦克等级成长!$B$35:$G$35,0)),0)</f>
        <v>1315</v>
      </c>
      <c r="BX14" s="33">
        <f>ROUND(坦克等级成长!$D111*VLOOKUP($BV$2,坦克等级成长!$B$36:$G$42,MATCH(BX$3,坦克等级成长!$B$35:$G$35,0)),0)</f>
        <v>124</v>
      </c>
      <c r="BY14" s="33">
        <f>ROUND(坦克等级成长!$D111*VLOOKUP($BV$2,坦克等级成长!$B$36:$G$42,MATCH(BY$3,坦克等级成长!$B$35:$G$35,0)),0)</f>
        <v>446</v>
      </c>
      <c r="BZ14" s="33">
        <f t="shared" si="3"/>
        <v>446</v>
      </c>
      <c r="CA14" s="33">
        <v>349.5</v>
      </c>
      <c r="CB14" s="33">
        <f>ROUND(坦克等级成长!$D111*VLOOKUP($BV$2,坦克等级成长!$B$36:$G$42,MATCH(CB$3,坦克等级成长!$B$35:$G$35,0)),0)</f>
        <v>562</v>
      </c>
      <c r="CC14" s="33">
        <f>ROUND(坦克等级成长!$D111*VLOOKUP($BV$2,坦克等级成长!$B$36:$G$42,MATCH(CC$3,坦克等级成长!$B$35:$G$35,0)),0)</f>
        <v>132</v>
      </c>
      <c r="CD14" s="198">
        <v>6</v>
      </c>
      <c r="CE14" s="33">
        <f>ROUND(坦克等级成长!$F111*VLOOKUP($BV$2,坦克等级成长!$B$36:$G$42,MATCH(CE$3,坦克等级成长!$B$35:$G$35,0)),0)</f>
        <v>1332</v>
      </c>
      <c r="CF14" s="33">
        <f>ROUND(坦克等级成长!$F111*VLOOKUP($BV$2,坦克等级成长!$B$36:$G$42,MATCH(CF$3,坦克等级成长!$B$35:$G$35,0)),0)</f>
        <v>126</v>
      </c>
      <c r="CG14" s="33">
        <f>ROUND(坦克等级成长!$F111*VLOOKUP($BV$2,坦克等级成长!$B$36:$G$42,MATCH(CG$3,坦克等级成长!$B$35:$G$35,0)),0)</f>
        <v>451</v>
      </c>
      <c r="CH14" s="33">
        <f t="shared" si="10"/>
        <v>451</v>
      </c>
      <c r="CI14" s="33">
        <v>358</v>
      </c>
      <c r="CJ14" s="33">
        <f>ROUND(坦克等级成长!$F111*VLOOKUP($BV$2,坦克等级成长!$B$36:$G$42,MATCH(CJ$3,坦克等级成长!$B$35:$G$35,0)),0)</f>
        <v>569</v>
      </c>
      <c r="CK14" s="33">
        <f>ROUND(坦克等级成长!$F111*VLOOKUP($BV$2,坦克等级成长!$B$36:$G$42,MATCH(CK$3,坦克等级成长!$B$35:$G$35,0)),0)</f>
        <v>133</v>
      </c>
      <c r="CL14" s="192"/>
      <c r="CM14" s="188"/>
      <c r="CN14" s="188"/>
      <c r="CO14" s="188"/>
      <c r="CP14" s="188"/>
      <c r="CQ14" s="188"/>
      <c r="CR14" s="188"/>
      <c r="CS14" s="199"/>
      <c r="CT14" s="191">
        <v>6</v>
      </c>
      <c r="CU14" s="33">
        <f>ROUND(坦克等级成长!$D111*VLOOKUP($CT$2,坦克等级成长!$B$36:$G$42,MATCH(CU$3,坦克等级成长!$B$35:$G$35,0)),0)</f>
        <v>1248</v>
      </c>
      <c r="CV14" s="33">
        <f>ROUND(坦克等级成长!$D111*VLOOKUP($CT$2,坦克等级成长!$B$36:$G$42,MATCH(CV$3,坦克等级成长!$B$35:$G$35,0)),0)</f>
        <v>283</v>
      </c>
      <c r="CW14" s="33">
        <f>ROUND(坦克等级成长!$D111*VLOOKUP($CT$2,坦克等级成长!$B$36:$G$42,MATCH(CW$3,坦克等级成长!$B$35:$G$35,0)),0)</f>
        <v>557</v>
      </c>
      <c r="CX14" s="33">
        <f t="shared" si="4"/>
        <v>557</v>
      </c>
      <c r="CY14" s="33">
        <v>436.5</v>
      </c>
      <c r="CZ14" s="33">
        <f>ROUND(坦克等级成长!$D111*VLOOKUP($CT$2,坦克等级成长!$B$36:$G$42,MATCH(CZ$3,坦克等级成长!$B$35:$G$35,0)),0)</f>
        <v>468</v>
      </c>
      <c r="DA14" s="33">
        <f>ROUND(坦克等级成长!$D111*VLOOKUP($CT$2,坦克等级成长!$B$36:$G$42,MATCH(DA$3,坦克等级成长!$B$35:$G$35,0)),0)</f>
        <v>125</v>
      </c>
      <c r="DB14" s="198">
        <v>6</v>
      </c>
      <c r="DC14" s="33">
        <f>ROUND(坦克等级成长!$F111*VLOOKUP($CT$2,坦克等级成长!$B$36:$G$42,MATCH(DC$3,坦克等级成长!$B$35:$G$35,0)),0)</f>
        <v>1264</v>
      </c>
      <c r="DD14" s="33">
        <f>ROUND(坦克等级成长!$F111*VLOOKUP($CT$2,坦克等级成长!$B$36:$G$42,MATCH(DD$3,坦克等级成长!$B$35:$G$35,0)),0)</f>
        <v>287</v>
      </c>
      <c r="DE14" s="33">
        <f>ROUND(坦克等级成长!$F111*VLOOKUP($CT$2,坦克等级成长!$B$36:$G$42,MATCH(DE$3,坦克等级成长!$B$35:$G$35,0)),0)</f>
        <v>564</v>
      </c>
      <c r="DF14" s="33">
        <f t="shared" si="11"/>
        <v>564</v>
      </c>
      <c r="DG14" s="33">
        <v>447</v>
      </c>
      <c r="DH14" s="33">
        <f>ROUND(坦克等级成长!$F111*VLOOKUP($CT$2,坦克等级成长!$B$36:$G$42,MATCH(DH$3,坦克等级成长!$B$35:$G$35,0)),0)</f>
        <v>474</v>
      </c>
      <c r="DI14" s="33">
        <f>ROUND(坦克等级成长!$F111*VLOOKUP($CT$2,坦克等级成长!$B$36:$G$42,MATCH(DI$3,坦克等级成长!$B$35:$G$35,0)),0)</f>
        <v>126</v>
      </c>
      <c r="DJ14" s="192"/>
      <c r="DK14" s="188"/>
      <c r="DL14" s="188"/>
      <c r="DM14" s="188"/>
      <c r="DN14" s="188"/>
      <c r="DO14" s="188"/>
      <c r="DP14" s="188"/>
      <c r="DQ14" s="199"/>
      <c r="DR14" s="191">
        <v>6</v>
      </c>
      <c r="DS14" s="33">
        <f>ROUND(坦克等级成长!$D111*VLOOKUP($DR$2,坦克等级成长!$B$36:$G$42,MATCH(DS$3,坦克等级成长!$B$35:$G$35,0)),0)</f>
        <v>1420</v>
      </c>
      <c r="DT14" s="33">
        <f>ROUND(坦克等级成长!$D111*VLOOKUP($DR$2,坦克等级成长!$B$36:$G$42,MATCH(DT$3,坦克等级成长!$B$35:$G$35,0)),0)</f>
        <v>484</v>
      </c>
      <c r="DU14" s="33">
        <f>ROUND(坦克等级成长!$D111*VLOOKUP($DR$2,坦克等级成长!$B$36:$G$42,MATCH(DU$3,坦克等级成长!$B$35:$G$35,0)),0)</f>
        <v>446</v>
      </c>
      <c r="DV14" s="33">
        <f t="shared" si="5"/>
        <v>446</v>
      </c>
      <c r="DW14" s="33">
        <v>372.8</v>
      </c>
      <c r="DX14" s="33">
        <f>ROUND(坦克等级成长!$D111*VLOOKUP($DR$2,坦克等级成长!$B$36:$G$42,MATCH(DX$3,坦克等级成长!$B$35:$G$35,0)),0)</f>
        <v>655</v>
      </c>
      <c r="DY14" s="33">
        <f>ROUND(坦克等级成长!$D111*VLOOKUP($DR$2,坦克等级成长!$B$36:$G$42,MATCH(DY$3,坦克等级成长!$B$35:$G$35,0)),0)</f>
        <v>142</v>
      </c>
      <c r="DZ14" s="198">
        <v>6</v>
      </c>
      <c r="EA14" s="33">
        <f>ROUND(坦克等级成长!$F111*VLOOKUP($DR$2,坦克等级成长!$B$36:$G$42,MATCH(EA$3,坦克等级成长!$B$35:$G$35,0)),0)</f>
        <v>1438</v>
      </c>
      <c r="EB14" s="33">
        <f>ROUND(坦克等级成长!$F111*VLOOKUP($DR$2,坦克等级成长!$B$36:$G$42,MATCH(EB$3,坦克等级成长!$B$35:$G$35,0)),0)</f>
        <v>491</v>
      </c>
      <c r="EC14" s="33">
        <f>ROUND(坦克等级成长!$F111*VLOOKUP($DR$2,坦克等级成长!$B$36:$G$42,MATCH(EC$3,坦克等级成长!$B$35:$G$35,0)),0)</f>
        <v>451</v>
      </c>
      <c r="ED14" s="33">
        <f t="shared" si="12"/>
        <v>451</v>
      </c>
      <c r="EE14" s="33">
        <v>382</v>
      </c>
      <c r="EF14" s="33">
        <f>ROUND(坦克等级成长!$F111*VLOOKUP($DR$2,坦克等级成长!$B$36:$G$42,MATCH(EF$3,坦克等级成长!$B$35:$G$35,0)),0)</f>
        <v>664</v>
      </c>
      <c r="EG14" s="33">
        <f>ROUND(坦克等级成长!$F111*VLOOKUP($DR$2,坦克等级成长!$B$36:$G$42,MATCH(EG$3,坦克等级成长!$B$35:$G$35,0)),0)</f>
        <v>144</v>
      </c>
      <c r="EH14" s="192"/>
      <c r="EI14" s="188"/>
      <c r="EJ14" s="188"/>
      <c r="EK14" s="188"/>
      <c r="EL14" s="188"/>
      <c r="EM14" s="188"/>
      <c r="EN14" s="188"/>
      <c r="EO14" s="199"/>
      <c r="EP14" s="191">
        <v>6</v>
      </c>
      <c r="EQ14" s="33">
        <f>ROUND(坦克等级成长!$D111*VLOOKUP($EP$2,坦克等级成长!$B$36:$G$42,MATCH(EQ$3,坦克等级成长!$B$35:$G$35,0)),0)</f>
        <v>1315</v>
      </c>
      <c r="ER14" s="33">
        <f>ROUND(坦克等级成长!$D111*VLOOKUP($EP$2,坦克等级成长!$B$36:$G$42,MATCH(ER$3,坦克等级成长!$B$35:$G$35,0)),0)</f>
        <v>151</v>
      </c>
      <c r="ES14" s="33">
        <f>ROUND(坦克等级成长!$D111*VLOOKUP($EP$2,坦克等级成长!$B$36:$G$42,MATCH(ES$3,坦克等级成长!$B$35:$G$35,0)),0)</f>
        <v>513</v>
      </c>
      <c r="ET14" s="33">
        <f t="shared" si="6"/>
        <v>513</v>
      </c>
      <c r="EU14" s="33">
        <v>402</v>
      </c>
      <c r="EV14" s="33">
        <f>ROUND(坦克等级成长!$D111*VLOOKUP($EP$2,坦克等级成长!$B$36:$G$42,MATCH(EV$3,坦克等级成长!$B$35:$G$35,0)),0)</f>
        <v>562</v>
      </c>
      <c r="EW14" s="33">
        <f>ROUND(坦克等级成长!$D111*VLOOKUP($EP$2,坦克等级成长!$B$36:$G$42,MATCH(EW$3,坦克等级成长!$B$35:$G$35,0)),0)</f>
        <v>132</v>
      </c>
      <c r="EX14" s="198">
        <v>6</v>
      </c>
      <c r="EY14" s="33">
        <f>ROUND(坦克等级成长!$F111*VLOOKUP($EP$2,坦克等级成长!$B$36:$G$42,MATCH(EY$3,坦克等级成长!$B$35:$G$35,0)),0)</f>
        <v>1332</v>
      </c>
      <c r="EZ14" s="33">
        <f>ROUND(坦克等级成长!$F111*VLOOKUP($EP$2,坦克等级成长!$B$36:$G$42,MATCH(EZ$3,坦克等级成长!$B$35:$G$35,0)),0)</f>
        <v>153</v>
      </c>
      <c r="FA14" s="33">
        <f>ROUND(坦克等级成长!$F111*VLOOKUP($EP$2,坦克等级成长!$B$36:$G$42,MATCH(FA$3,坦克等级成长!$B$35:$G$35,0)),0)</f>
        <v>519</v>
      </c>
      <c r="FB14" s="33">
        <f t="shared" si="13"/>
        <v>519</v>
      </c>
      <c r="FC14" s="33">
        <v>412</v>
      </c>
      <c r="FD14" s="33">
        <f>ROUND(坦克等级成长!$F111*VLOOKUP($EP$2,坦克等级成长!$B$36:$G$42,MATCH(FD$3,坦克等级成长!$B$35:$G$35,0)),0)</f>
        <v>569</v>
      </c>
      <c r="FE14" s="33">
        <f>ROUND(坦克等级成长!$F111*VLOOKUP($EP$2,坦克等级成长!$B$36:$G$42,MATCH(FE$3,坦克等级成长!$B$35:$G$35,0)),0)</f>
        <v>133</v>
      </c>
      <c r="FF14" s="192"/>
      <c r="FG14" s="188"/>
      <c r="FH14" s="188"/>
      <c r="FI14" s="188"/>
      <c r="FJ14" s="188"/>
      <c r="FK14" s="188"/>
      <c r="FL14" s="188"/>
      <c r="FM14" s="199"/>
    </row>
    <row r="15" spans="1:169" ht="14.25" x14ac:dyDescent="0.3">
      <c r="A15" s="188">
        <v>2</v>
      </c>
      <c r="B15" s="191">
        <v>7</v>
      </c>
      <c r="C15" s="33">
        <f>ROUND(坦克等级成长!$D112*VLOOKUP($B$2,坦克等级成长!$B$36:$G$42,MATCH(C$3,坦克等级成长!$B$35:$G$35,0)),0)</f>
        <v>1312</v>
      </c>
      <c r="D15" s="33">
        <f>ROUND(坦克等级成长!$D112*VLOOKUP($B$2,坦克等级成长!$B$36:$G$42,MATCH(D$3,坦克等级成长!$B$35:$G$35,0)),0)</f>
        <v>143</v>
      </c>
      <c r="E15" s="33">
        <f>ROUND(坦克等级成长!$D112*VLOOKUP($B$2,坦克等级成长!$B$36:$G$42,MATCH(E$3,坦克等级成长!$B$35:$G$35,0)),0)</f>
        <v>492</v>
      </c>
      <c r="F15" s="33">
        <f t="shared" si="0"/>
        <v>492</v>
      </c>
      <c r="G15" s="33">
        <v>361.2</v>
      </c>
      <c r="H15" s="33">
        <f>ROUND(坦克等级成长!$D112*VLOOKUP($B$2,坦克等级成长!$B$36:$G$42,MATCH(H$3,坦克等级成长!$B$35:$G$35,0)),0)</f>
        <v>492</v>
      </c>
      <c r="I15" s="33">
        <f>ROUND(坦克等级成长!$D112*VLOOKUP($B$2,坦克等级成长!$B$36:$G$42,MATCH(I$3,坦克等级成长!$B$35:$G$35,0)),0)</f>
        <v>131</v>
      </c>
      <c r="J15" s="198">
        <v>7</v>
      </c>
      <c r="K15" s="33">
        <f>ROUND(坦克等级成长!$F112*VLOOKUP($B$2,坦克等级成长!$B$36:$G$42,MATCH(K$3,坦克等级成长!$B$35:$G$35,0)),0)</f>
        <v>1328</v>
      </c>
      <c r="L15" s="33">
        <f>ROUND(坦克等级成长!$F112*VLOOKUP($B$2,坦克等级成长!$B$36:$G$42,MATCH(L$3,坦克等级成长!$B$35:$G$35,0)),0)</f>
        <v>144</v>
      </c>
      <c r="M15" s="33">
        <f>ROUND(坦克等级成长!$F112*VLOOKUP($B$2,坦克等级成长!$B$36:$G$42,MATCH(M$3,坦克等级成长!$B$35:$G$35,0)),0)</f>
        <v>498</v>
      </c>
      <c r="N15" s="33">
        <f t="shared" si="7"/>
        <v>498</v>
      </c>
      <c r="O15" s="33">
        <v>370</v>
      </c>
      <c r="P15" s="33">
        <f>ROUND(坦克等级成长!$F112*VLOOKUP($B$2,坦克等级成长!$B$36:$G$42,MATCH(P$3,坦克等级成长!$B$35:$G$35,0)),0)</f>
        <v>498</v>
      </c>
      <c r="Q15" s="33">
        <f>ROUND(坦克等级成长!$F112*VLOOKUP($B$2,坦克等级成长!$B$36:$G$42,MATCH(Q$3,坦克等级成长!$B$35:$G$35,0)),0)</f>
        <v>133</v>
      </c>
      <c r="R15" s="192"/>
      <c r="S15" s="188"/>
      <c r="T15" s="188"/>
      <c r="U15" s="188"/>
      <c r="V15" s="188"/>
      <c r="W15" s="188"/>
      <c r="X15" s="188"/>
      <c r="Y15" s="199"/>
      <c r="Z15" s="191">
        <v>7</v>
      </c>
      <c r="AA15" s="33">
        <f>ROUND(坦克等级成长!$D112*VLOOKUP($Z$2,坦克等级成长!$B$36:$G$42,MATCH(AA$3,坦克等级成长!$B$35:$G$35,0)),0)</f>
        <v>1312</v>
      </c>
      <c r="AB15" s="33">
        <f>ROUND(坦克等级成长!$D112*VLOOKUP($Z$2,坦克等级成长!$B$36:$G$42,MATCH(AB$3,坦克等级成长!$B$35:$G$35,0)),0)</f>
        <v>77</v>
      </c>
      <c r="AC15" s="33">
        <f>ROUND(坦克等级成长!$D112*VLOOKUP($Z$2,坦克等级成长!$B$36:$G$42,MATCH(AC$3,坦克等级成长!$B$35:$G$35,0)),0)</f>
        <v>539</v>
      </c>
      <c r="AD15" s="33">
        <f t="shared" si="1"/>
        <v>539</v>
      </c>
      <c r="AE15" s="33">
        <v>395.5</v>
      </c>
      <c r="AF15" s="33">
        <f>ROUND(坦克等级成长!$D112*VLOOKUP($Z$2,坦克等级成长!$B$36:$G$42,MATCH(AF$3,坦克等级成长!$B$35:$G$35,0)),0)</f>
        <v>492</v>
      </c>
      <c r="AG15" s="33">
        <f>ROUND(坦克等级成长!$D112*VLOOKUP($Z$2,坦克等级成长!$B$36:$G$42,MATCH(AG$3,坦克等级成长!$B$35:$G$35,0)),0)</f>
        <v>131</v>
      </c>
      <c r="AH15" s="198">
        <v>7</v>
      </c>
      <c r="AI15" s="33">
        <f>ROUND(坦克等级成长!$F112*VLOOKUP($Z$2,坦克等级成长!$B$36:$G$42,MATCH(AI$3,坦克等级成长!$B$35:$G$35,0)),0)</f>
        <v>1328</v>
      </c>
      <c r="AJ15" s="33">
        <f>ROUND(坦克等级成长!$F112*VLOOKUP($Z$2,坦克等级成长!$B$36:$G$42,MATCH(AJ$3,坦克等级成长!$B$35:$G$35,0)),0)</f>
        <v>78</v>
      </c>
      <c r="AK15" s="33">
        <f>ROUND(坦克等级成长!$F112*VLOOKUP($Z$2,坦克等级成长!$B$36:$G$42,MATCH(AK$3,坦克等级成长!$B$35:$G$35,0)),0)</f>
        <v>545</v>
      </c>
      <c r="AL15" s="33">
        <f t="shared" si="8"/>
        <v>545</v>
      </c>
      <c r="AM15" s="33">
        <v>405</v>
      </c>
      <c r="AN15" s="33">
        <f>ROUND(坦克等级成长!$F112*VLOOKUP($Z$2,坦克等级成长!$B$36:$G$42,MATCH(AN$3,坦克等级成长!$B$35:$G$35,0)),0)</f>
        <v>498</v>
      </c>
      <c r="AO15" s="33">
        <f>ROUND(坦克等级成长!$F112*VLOOKUP($Z$2,坦克等级成长!$B$36:$G$42,MATCH(AO$3,坦克等级成长!$B$35:$G$35,0)),0)</f>
        <v>133</v>
      </c>
      <c r="AP15" s="192"/>
      <c r="AQ15" s="188"/>
      <c r="AR15" s="188"/>
      <c r="AS15" s="188"/>
      <c r="AT15" s="188"/>
      <c r="AU15" s="188"/>
      <c r="AV15" s="188"/>
      <c r="AW15" s="199"/>
      <c r="AX15" s="191">
        <v>7</v>
      </c>
      <c r="AY15" s="33">
        <f>ROUND(坦克等级成长!$D112*VLOOKUP($AX$2,坦克等级成长!$B$36:$G$42,MATCH(AY$3,坦克等级成长!$B$35:$G$35,0)),0)</f>
        <v>1312</v>
      </c>
      <c r="AZ15" s="33">
        <f>ROUND(坦克等级成长!$D112*VLOOKUP($AX$2,坦克等级成长!$B$36:$G$42,MATCH(AZ$3,坦克等级成长!$B$35:$G$35,0)),0)</f>
        <v>143</v>
      </c>
      <c r="BA15" s="33">
        <f>ROUND(坦克等级成长!$D112*VLOOKUP($AX$2,坦克等级成长!$B$36:$G$42,MATCH(BA$3,坦克等级成长!$B$35:$G$35,0)),0)</f>
        <v>492</v>
      </c>
      <c r="BB15" s="33">
        <f t="shared" si="2"/>
        <v>492</v>
      </c>
      <c r="BC15" s="33">
        <v>361.2</v>
      </c>
      <c r="BD15" s="33">
        <f>ROUND(坦克等级成长!$D112*VLOOKUP($AX$2,坦克等级成长!$B$36:$G$42,MATCH(BD$3,坦克等级成长!$B$35:$G$35,0)),0)</f>
        <v>492</v>
      </c>
      <c r="BE15" s="33">
        <f>ROUND(坦克等级成长!$D112*VLOOKUP($AX$2,坦克等级成长!$B$36:$G$42,MATCH(BE$3,坦克等级成长!$B$35:$G$35,0)),0)</f>
        <v>131</v>
      </c>
      <c r="BF15" s="198">
        <v>7</v>
      </c>
      <c r="BG15" s="33">
        <f>ROUND(坦克等级成长!$F112*VLOOKUP($AX$2,坦克等级成长!$B$36:$G$42,MATCH(BG$3,坦克等级成长!$B$35:$G$35,0)),0)</f>
        <v>1328</v>
      </c>
      <c r="BH15" s="33">
        <f>ROUND(坦克等级成长!$F112*VLOOKUP($AX$2,坦克等级成长!$B$36:$G$42,MATCH(BH$3,坦克等级成长!$B$35:$G$35,0)),0)</f>
        <v>144</v>
      </c>
      <c r="BI15" s="33">
        <f>ROUND(坦克等级成长!$F112*VLOOKUP($AX$2,坦克等级成长!$B$36:$G$42,MATCH(BI$3,坦克等级成长!$B$35:$G$35,0)),0)</f>
        <v>498</v>
      </c>
      <c r="BJ15" s="33">
        <f t="shared" si="9"/>
        <v>498</v>
      </c>
      <c r="BK15" s="33">
        <v>370</v>
      </c>
      <c r="BL15" s="33">
        <f>ROUND(坦克等级成长!$F112*VLOOKUP($AX$2,坦克等级成长!$B$36:$G$42,MATCH(BL$3,坦克等级成长!$B$35:$G$35,0)),0)</f>
        <v>498</v>
      </c>
      <c r="BM15" s="33">
        <f>ROUND(坦克等级成长!$F112*VLOOKUP($AX$2,坦克等级成长!$B$36:$G$42,MATCH(BM$3,坦克等级成长!$B$35:$G$35,0)),0)</f>
        <v>133</v>
      </c>
      <c r="BN15" s="192"/>
      <c r="BO15" s="188"/>
      <c r="BP15" s="188"/>
      <c r="BQ15" s="188"/>
      <c r="BR15" s="188"/>
      <c r="BS15" s="188"/>
      <c r="BT15" s="188"/>
      <c r="BU15" s="199"/>
      <c r="BV15" s="191">
        <v>7</v>
      </c>
      <c r="BW15" s="33">
        <f>ROUND(坦克等级成长!$D112*VLOOKUP($BV$2,坦克等级成长!$B$36:$G$42,MATCH(BW$3,坦克等级成长!$B$35:$G$35,0)),0)</f>
        <v>1382</v>
      </c>
      <c r="BX15" s="33">
        <f>ROUND(坦克等级成长!$D112*VLOOKUP($BV$2,坦克等级成长!$B$36:$G$42,MATCH(BX$3,坦克等级成长!$B$35:$G$35,0)),0)</f>
        <v>130</v>
      </c>
      <c r="BY15" s="33">
        <f>ROUND(坦克等级成长!$D112*VLOOKUP($BV$2,坦克等级成长!$B$36:$G$42,MATCH(BY$3,坦克等级成长!$B$35:$G$35,0)),0)</f>
        <v>469</v>
      </c>
      <c r="BZ15" s="33">
        <f t="shared" si="3"/>
        <v>469</v>
      </c>
      <c r="CA15" s="33">
        <v>368.25</v>
      </c>
      <c r="CB15" s="33">
        <f>ROUND(坦克等级成长!$D112*VLOOKUP($BV$2,坦克等级成长!$B$36:$G$42,MATCH(CB$3,坦克等级成长!$B$35:$G$35,0)),0)</f>
        <v>590</v>
      </c>
      <c r="CC15" s="33">
        <f>ROUND(坦克等级成长!$D112*VLOOKUP($BV$2,坦克等级成长!$B$36:$G$42,MATCH(CC$3,坦克等级成长!$B$35:$G$35,0)),0)</f>
        <v>138</v>
      </c>
      <c r="CD15" s="198">
        <v>7</v>
      </c>
      <c r="CE15" s="33">
        <f>ROUND(坦克等级成长!$F112*VLOOKUP($BV$2,坦克等级成长!$B$36:$G$42,MATCH(CE$3,坦克等级成长!$B$35:$G$35,0)),0)</f>
        <v>1399</v>
      </c>
      <c r="CF15" s="33">
        <f>ROUND(坦克等级成长!$F112*VLOOKUP($BV$2,坦克等级成长!$B$36:$G$42,MATCH(CF$3,坦克等级成长!$B$35:$G$35,0)),0)</f>
        <v>132</v>
      </c>
      <c r="CG15" s="33">
        <f>ROUND(坦克等级成长!$F112*VLOOKUP($BV$2,坦克等级成长!$B$36:$G$42,MATCH(CG$3,坦克等级成长!$B$35:$G$35,0)),0)</f>
        <v>474</v>
      </c>
      <c r="CH15" s="33">
        <f t="shared" si="10"/>
        <v>474</v>
      </c>
      <c r="CI15" s="33">
        <v>377</v>
      </c>
      <c r="CJ15" s="33">
        <f>ROUND(坦克等级成长!$F112*VLOOKUP($BV$2,坦克等级成长!$B$36:$G$42,MATCH(CJ$3,坦克等级成长!$B$35:$G$35,0)),0)</f>
        <v>598</v>
      </c>
      <c r="CK15" s="33">
        <f>ROUND(坦克等级成长!$F112*VLOOKUP($BV$2,坦克等级成长!$B$36:$G$42,MATCH(CK$3,坦克等级成长!$B$35:$G$35,0)),0)</f>
        <v>140</v>
      </c>
      <c r="CL15" s="192"/>
      <c r="CM15" s="188"/>
      <c r="CN15" s="188"/>
      <c r="CO15" s="188"/>
      <c r="CP15" s="188"/>
      <c r="CQ15" s="188"/>
      <c r="CR15" s="188"/>
      <c r="CS15" s="199"/>
      <c r="CT15" s="191">
        <v>7</v>
      </c>
      <c r="CU15" s="33">
        <f>ROUND(坦克等级成长!$D112*VLOOKUP($CT$2,坦克等级成长!$B$36:$G$42,MATCH(CU$3,坦克等级成长!$B$35:$G$35,0)),0)</f>
        <v>1312</v>
      </c>
      <c r="CV15" s="33">
        <f>ROUND(坦克等级成长!$D112*VLOOKUP($CT$2,坦克等级成长!$B$36:$G$42,MATCH(CV$3,坦克等级成长!$B$35:$G$35,0)),0)</f>
        <v>298</v>
      </c>
      <c r="CW15" s="33">
        <f>ROUND(坦克等级成长!$D112*VLOOKUP($CT$2,坦克等级成长!$B$36:$G$42,MATCH(CW$3,坦克等级成长!$B$35:$G$35,0)),0)</f>
        <v>586</v>
      </c>
      <c r="CX15" s="33">
        <f t="shared" si="4"/>
        <v>586</v>
      </c>
      <c r="CY15" s="33">
        <v>460.5</v>
      </c>
      <c r="CZ15" s="33">
        <f>ROUND(坦克等级成长!$D112*VLOOKUP($CT$2,坦克等级成长!$B$36:$G$42,MATCH(CZ$3,坦克等级成长!$B$35:$G$35,0)),0)</f>
        <v>492</v>
      </c>
      <c r="DA15" s="33">
        <f>ROUND(坦克等级成长!$D112*VLOOKUP($CT$2,坦克等级成长!$B$36:$G$42,MATCH(DA$3,坦克等级成长!$B$35:$G$35,0)),0)</f>
        <v>131</v>
      </c>
      <c r="DB15" s="198">
        <v>7</v>
      </c>
      <c r="DC15" s="33">
        <f>ROUND(坦克等级成长!$F112*VLOOKUP($CT$2,坦克等级成长!$B$36:$G$42,MATCH(DC$3,坦克等级成长!$B$35:$G$35,0)),0)</f>
        <v>1328</v>
      </c>
      <c r="DD15" s="33">
        <f>ROUND(坦克等级成长!$F112*VLOOKUP($CT$2,坦克等级成长!$B$36:$G$42,MATCH(DD$3,坦克等级成长!$B$35:$G$35,0)),0)</f>
        <v>302</v>
      </c>
      <c r="DE15" s="33">
        <f>ROUND(坦克等级成长!$F112*VLOOKUP($CT$2,坦克等级成长!$B$36:$G$42,MATCH(DE$3,坦克等级成长!$B$35:$G$35,0)),0)</f>
        <v>593</v>
      </c>
      <c r="DF15" s="33">
        <f t="shared" si="11"/>
        <v>593</v>
      </c>
      <c r="DG15" s="33">
        <v>472</v>
      </c>
      <c r="DH15" s="33">
        <f>ROUND(坦克等级成长!$F112*VLOOKUP($CT$2,坦克等级成长!$B$36:$G$42,MATCH(DH$3,坦克等级成长!$B$35:$G$35,0)),0)</f>
        <v>498</v>
      </c>
      <c r="DI15" s="33">
        <f>ROUND(坦克等级成长!$F112*VLOOKUP($CT$2,坦克等级成长!$B$36:$G$42,MATCH(DI$3,坦克等级成长!$B$35:$G$35,0)),0)</f>
        <v>133</v>
      </c>
      <c r="DJ15" s="192"/>
      <c r="DK15" s="188"/>
      <c r="DL15" s="188"/>
      <c r="DM15" s="188"/>
      <c r="DN15" s="188"/>
      <c r="DO15" s="188"/>
      <c r="DP15" s="188"/>
      <c r="DQ15" s="199"/>
      <c r="DR15" s="191">
        <v>7</v>
      </c>
      <c r="DS15" s="33">
        <f>ROUND(坦克等级成长!$D112*VLOOKUP($DR$2,坦克等级成长!$B$36:$G$42,MATCH(DS$3,坦克等级成长!$B$35:$G$35,0)),0)</f>
        <v>1493</v>
      </c>
      <c r="DT15" s="33">
        <f>ROUND(坦克等级成长!$D112*VLOOKUP($DR$2,坦克等级成长!$B$36:$G$42,MATCH(DT$3,坦克等级成长!$B$35:$G$35,0)),0)</f>
        <v>509</v>
      </c>
      <c r="DU15" s="33">
        <f>ROUND(坦克等级成长!$D112*VLOOKUP($DR$2,坦克等级成长!$B$36:$G$42,MATCH(DU$3,坦克等级成长!$B$35:$G$35,0)),0)</f>
        <v>469</v>
      </c>
      <c r="DV15" s="33">
        <f t="shared" si="5"/>
        <v>469</v>
      </c>
      <c r="DW15" s="33">
        <v>392.8</v>
      </c>
      <c r="DX15" s="33">
        <f>ROUND(坦克等级成长!$D112*VLOOKUP($DR$2,坦克等级成长!$B$36:$G$42,MATCH(DX$3,坦克等级成长!$B$35:$G$35,0)),0)</f>
        <v>689</v>
      </c>
      <c r="DY15" s="33">
        <f>ROUND(坦克等级成长!$D112*VLOOKUP($DR$2,坦克等级成长!$B$36:$G$42,MATCH(DY$3,坦克等级成长!$B$35:$G$35,0)),0)</f>
        <v>149</v>
      </c>
      <c r="DZ15" s="198">
        <v>7</v>
      </c>
      <c r="EA15" s="33">
        <f>ROUND(坦克等级成长!$F112*VLOOKUP($DR$2,坦克等级成长!$B$36:$G$42,MATCH(EA$3,坦克等级成长!$B$35:$G$35,0)),0)</f>
        <v>1511</v>
      </c>
      <c r="EB15" s="33">
        <f>ROUND(坦克等级成长!$F112*VLOOKUP($DR$2,坦克等级成长!$B$36:$G$42,MATCH(EB$3,坦克等级成长!$B$35:$G$35,0)),0)</f>
        <v>515</v>
      </c>
      <c r="EC15" s="33">
        <f>ROUND(坦克等级成长!$F112*VLOOKUP($DR$2,坦克等级成长!$B$36:$G$42,MATCH(EC$3,坦克等级成长!$B$35:$G$35,0)),0)</f>
        <v>474</v>
      </c>
      <c r="ED15" s="33">
        <f t="shared" si="12"/>
        <v>474</v>
      </c>
      <c r="EE15" s="33">
        <v>402</v>
      </c>
      <c r="EF15" s="33">
        <f>ROUND(坦克等级成长!$F112*VLOOKUP($DR$2,坦克等级成长!$B$36:$G$42,MATCH(EF$3,坦克等级成长!$B$35:$G$35,0)),0)</f>
        <v>697</v>
      </c>
      <c r="EG15" s="33">
        <f>ROUND(坦克等级成长!$F112*VLOOKUP($DR$2,坦克等级成长!$B$36:$G$42,MATCH(EG$3,坦克等级成长!$B$35:$G$35,0)),0)</f>
        <v>151</v>
      </c>
      <c r="EH15" s="192"/>
      <c r="EI15" s="188"/>
      <c r="EJ15" s="188"/>
      <c r="EK15" s="188"/>
      <c r="EL15" s="188"/>
      <c r="EM15" s="188"/>
      <c r="EN15" s="188"/>
      <c r="EO15" s="199"/>
      <c r="EP15" s="191">
        <v>7</v>
      </c>
      <c r="EQ15" s="33">
        <f>ROUND(坦克等级成长!$D112*VLOOKUP($EP$2,坦克等级成长!$B$36:$G$42,MATCH(EQ$3,坦克等级成长!$B$35:$G$35,0)),0)</f>
        <v>1382</v>
      </c>
      <c r="ER15" s="33">
        <f>ROUND(坦克等级成长!$D112*VLOOKUP($EP$2,坦克等级成长!$B$36:$G$42,MATCH(ER$3,坦克等级成长!$B$35:$G$35,0)),0)</f>
        <v>158</v>
      </c>
      <c r="ES15" s="33">
        <f>ROUND(坦克等级成长!$D112*VLOOKUP($EP$2,坦克等级成长!$B$36:$G$42,MATCH(ES$3,坦克等级成长!$B$35:$G$35,0)),0)</f>
        <v>539</v>
      </c>
      <c r="ET15" s="33">
        <f t="shared" si="6"/>
        <v>539</v>
      </c>
      <c r="EU15" s="33">
        <v>423.75</v>
      </c>
      <c r="EV15" s="33">
        <f>ROUND(坦克等级成长!$D112*VLOOKUP($EP$2,坦克等级成长!$B$36:$G$42,MATCH(EV$3,坦克等级成长!$B$35:$G$35,0)),0)</f>
        <v>590</v>
      </c>
      <c r="EW15" s="33">
        <f>ROUND(坦克等级成长!$D112*VLOOKUP($EP$2,坦克等级成长!$B$36:$G$42,MATCH(EW$3,坦克等级成长!$B$35:$G$35,0)),0)</f>
        <v>138</v>
      </c>
      <c r="EX15" s="198">
        <v>7</v>
      </c>
      <c r="EY15" s="33">
        <f>ROUND(坦克等级成长!$F112*VLOOKUP($EP$2,坦克等级成长!$B$36:$G$42,MATCH(EY$3,坦克等级成长!$B$35:$G$35,0)),0)</f>
        <v>1399</v>
      </c>
      <c r="EZ15" s="33">
        <f>ROUND(坦克等级成长!$F112*VLOOKUP($EP$2,坦克等级成长!$B$36:$G$42,MATCH(EZ$3,坦克等级成长!$B$35:$G$35,0)),0)</f>
        <v>160</v>
      </c>
      <c r="FA15" s="33">
        <f>ROUND(坦克等级成长!$F112*VLOOKUP($EP$2,坦克等级成长!$B$36:$G$42,MATCH(FA$3,坦克等级成长!$B$35:$G$35,0)),0)</f>
        <v>545</v>
      </c>
      <c r="FB15" s="33">
        <f t="shared" si="13"/>
        <v>545</v>
      </c>
      <c r="FC15" s="33">
        <v>434</v>
      </c>
      <c r="FD15" s="33">
        <f>ROUND(坦克等级成长!$F112*VLOOKUP($EP$2,坦克等级成长!$B$36:$G$42,MATCH(FD$3,坦克等级成长!$B$35:$G$35,0)),0)</f>
        <v>598</v>
      </c>
      <c r="FE15" s="33">
        <f>ROUND(坦克等级成长!$F112*VLOOKUP($EP$2,坦克等级成长!$B$36:$G$42,MATCH(FE$3,坦克等级成长!$B$35:$G$35,0)),0)</f>
        <v>140</v>
      </c>
      <c r="FF15" s="192"/>
      <c r="FG15" s="188"/>
      <c r="FH15" s="188"/>
      <c r="FI15" s="188"/>
      <c r="FJ15" s="188"/>
      <c r="FK15" s="188"/>
      <c r="FL15" s="188"/>
      <c r="FM15" s="199"/>
    </row>
    <row r="16" spans="1:169" ht="14.25" x14ac:dyDescent="0.3">
      <c r="A16" s="188">
        <v>2</v>
      </c>
      <c r="B16" s="192"/>
      <c r="C16" s="188"/>
      <c r="D16" s="188"/>
      <c r="E16" s="188"/>
      <c r="F16" s="188"/>
      <c r="G16" s="188"/>
      <c r="H16" s="188"/>
      <c r="I16" s="199"/>
      <c r="J16" s="198">
        <v>8</v>
      </c>
      <c r="K16" s="33">
        <f>ROUND(坦克等级成长!$F113*VLOOKUP($B$2,坦克等级成长!$B$36:$G$42,MATCH(K$3,坦克等级成长!$B$35:$G$35,0)),0)</f>
        <v>1392</v>
      </c>
      <c r="L16" s="33">
        <f>ROUND(坦克等级成长!$F113*VLOOKUP($B$2,坦克等级成长!$B$36:$G$42,MATCH(L$3,坦克等级成长!$B$35:$G$35,0)),0)</f>
        <v>151</v>
      </c>
      <c r="M16" s="33">
        <f>ROUND(坦克等级成长!$F113*VLOOKUP($B$2,坦克等级成长!$B$36:$G$42,MATCH(M$3,坦克等级成长!$B$35:$G$35,0)),0)</f>
        <v>522</v>
      </c>
      <c r="N16" s="33">
        <f t="shared" si="7"/>
        <v>522</v>
      </c>
      <c r="O16" s="33">
        <v>389</v>
      </c>
      <c r="P16" s="33">
        <f>ROUND(坦克等级成长!$F113*VLOOKUP($B$2,坦克等级成长!$B$36:$G$42,MATCH(P$3,坦克等级成长!$B$35:$G$35,0)),0)</f>
        <v>522</v>
      </c>
      <c r="Q16" s="33">
        <f>ROUND(坦克等级成长!$F113*VLOOKUP($B$2,坦克等级成长!$B$36:$G$42,MATCH(Q$3,坦克等级成长!$B$35:$G$35,0)),0)</f>
        <v>139</v>
      </c>
      <c r="R16" s="192"/>
      <c r="S16" s="188"/>
      <c r="T16" s="188"/>
      <c r="U16" s="188"/>
      <c r="V16" s="188"/>
      <c r="W16" s="188"/>
      <c r="X16" s="188"/>
      <c r="Y16" s="199"/>
      <c r="Z16" s="192"/>
      <c r="AA16" s="188"/>
      <c r="AB16" s="188"/>
      <c r="AC16" s="188"/>
      <c r="AD16" s="188"/>
      <c r="AE16" s="188"/>
      <c r="AF16" s="188"/>
      <c r="AG16" s="199"/>
      <c r="AH16" s="198">
        <v>8</v>
      </c>
      <c r="AI16" s="33">
        <f>ROUND(坦克等级成长!$F113*VLOOKUP($Z$2,坦克等级成长!$B$36:$G$42,MATCH(AI$3,坦克等级成长!$B$35:$G$35,0)),0)</f>
        <v>1392</v>
      </c>
      <c r="AJ16" s="33">
        <f>ROUND(坦克等级成长!$F113*VLOOKUP($Z$2,坦克等级成长!$B$36:$G$42,MATCH(AJ$3,坦克等级成长!$B$35:$G$35,0)),0)</f>
        <v>82</v>
      </c>
      <c r="AK16" s="33">
        <f>ROUND(坦克等级成长!$F113*VLOOKUP($Z$2,坦克等级成长!$B$36:$G$42,MATCH(AK$3,坦克等级成长!$B$35:$G$35,0)),0)</f>
        <v>572</v>
      </c>
      <c r="AL16" s="33">
        <f t="shared" si="8"/>
        <v>572</v>
      </c>
      <c r="AM16" s="33">
        <v>426</v>
      </c>
      <c r="AN16" s="33">
        <f>ROUND(坦克等级成长!$F113*VLOOKUP($Z$2,坦克等级成长!$B$36:$G$42,MATCH(AN$3,坦克等级成长!$B$35:$G$35,0)),0)</f>
        <v>522</v>
      </c>
      <c r="AO16" s="33">
        <f>ROUND(坦克等级成长!$F113*VLOOKUP($Z$2,坦克等级成长!$B$36:$G$42,MATCH(AO$3,坦克等级成长!$B$35:$G$35,0)),0)</f>
        <v>139</v>
      </c>
      <c r="AP16" s="192"/>
      <c r="AQ16" s="188"/>
      <c r="AR16" s="188"/>
      <c r="AS16" s="188"/>
      <c r="AT16" s="188"/>
      <c r="AU16" s="188"/>
      <c r="AV16" s="188"/>
      <c r="AW16" s="199"/>
      <c r="AX16" s="192"/>
      <c r="AY16" s="188"/>
      <c r="AZ16" s="188"/>
      <c r="BA16" s="188"/>
      <c r="BB16" s="188"/>
      <c r="BC16" s="188"/>
      <c r="BD16" s="188"/>
      <c r="BE16" s="199"/>
      <c r="BF16" s="198">
        <v>8</v>
      </c>
      <c r="BG16" s="33">
        <f>ROUND(坦克等级成长!$F113*VLOOKUP($AX$2,坦克等级成长!$B$36:$G$42,MATCH(BG$3,坦克等级成长!$B$35:$G$35,0)),0)</f>
        <v>1392</v>
      </c>
      <c r="BH16" s="33">
        <f>ROUND(坦克等级成长!$F113*VLOOKUP($AX$2,坦克等级成长!$B$36:$G$42,MATCH(BH$3,坦克等级成长!$B$35:$G$35,0)),0)</f>
        <v>151</v>
      </c>
      <c r="BI16" s="33">
        <f>ROUND(坦克等级成长!$F113*VLOOKUP($AX$2,坦克等级成长!$B$36:$G$42,MATCH(BI$3,坦克等级成长!$B$35:$G$35,0)),0)</f>
        <v>522</v>
      </c>
      <c r="BJ16" s="33">
        <f t="shared" si="9"/>
        <v>522</v>
      </c>
      <c r="BK16" s="33">
        <v>389</v>
      </c>
      <c r="BL16" s="33">
        <f>ROUND(坦克等级成长!$F113*VLOOKUP($AX$2,坦克等级成长!$B$36:$G$42,MATCH(BL$3,坦克等级成长!$B$35:$G$35,0)),0)</f>
        <v>522</v>
      </c>
      <c r="BM16" s="33">
        <f>ROUND(坦克等级成长!$F113*VLOOKUP($AX$2,坦克等级成长!$B$36:$G$42,MATCH(BM$3,坦克等级成长!$B$35:$G$35,0)),0)</f>
        <v>139</v>
      </c>
      <c r="BN16" s="192"/>
      <c r="BO16" s="188"/>
      <c r="BP16" s="188"/>
      <c r="BQ16" s="188"/>
      <c r="BR16" s="188"/>
      <c r="BS16" s="188"/>
      <c r="BT16" s="188"/>
      <c r="BU16" s="199"/>
      <c r="BV16" s="192"/>
      <c r="BW16" s="188"/>
      <c r="BX16" s="188"/>
      <c r="BY16" s="188"/>
      <c r="BZ16" s="188"/>
      <c r="CA16" s="188"/>
      <c r="CB16" s="188"/>
      <c r="CC16" s="199"/>
      <c r="CD16" s="198">
        <v>8</v>
      </c>
      <c r="CE16" s="33">
        <f>ROUND(坦克等级成长!$F113*VLOOKUP($BV$2,坦克等级成长!$B$36:$G$42,MATCH(CE$3,坦克等级成长!$B$35:$G$35,0)),0)</f>
        <v>1467</v>
      </c>
      <c r="CF16" s="33">
        <f>ROUND(坦克等级成长!$F113*VLOOKUP($BV$2,坦克等级成长!$B$36:$G$42,MATCH(CF$3,坦克等级成长!$B$35:$G$35,0)),0)</f>
        <v>138</v>
      </c>
      <c r="CG16" s="33">
        <f>ROUND(坦克等级成长!$F113*VLOOKUP($BV$2,坦克等级成长!$B$36:$G$42,MATCH(CG$3,坦克等级成长!$B$35:$G$35,0)),0)</f>
        <v>497</v>
      </c>
      <c r="CH16" s="33">
        <f t="shared" si="10"/>
        <v>497</v>
      </c>
      <c r="CI16" s="33">
        <v>397</v>
      </c>
      <c r="CJ16" s="33">
        <f>ROUND(坦克等级成长!$F113*VLOOKUP($BV$2,坦克等级成长!$B$36:$G$42,MATCH(CJ$3,坦克等级成长!$B$35:$G$35,0)),0)</f>
        <v>626</v>
      </c>
      <c r="CK16" s="33">
        <f>ROUND(坦克等级成长!$F113*VLOOKUP($BV$2,坦克等级成长!$B$36:$G$42,MATCH(CK$3,坦克等级成长!$B$35:$G$35,0)),0)</f>
        <v>147</v>
      </c>
      <c r="CL16" s="192"/>
      <c r="CM16" s="188"/>
      <c r="CN16" s="188"/>
      <c r="CO16" s="188"/>
      <c r="CP16" s="188"/>
      <c r="CQ16" s="188"/>
      <c r="CR16" s="188"/>
      <c r="CS16" s="199"/>
      <c r="CT16" s="192"/>
      <c r="CU16" s="188"/>
      <c r="CV16" s="188"/>
      <c r="CW16" s="188"/>
      <c r="CX16" s="188"/>
      <c r="CY16" s="188"/>
      <c r="CZ16" s="188"/>
      <c r="DA16" s="199"/>
      <c r="DB16" s="198">
        <v>8</v>
      </c>
      <c r="DC16" s="33">
        <f>ROUND(坦克等级成长!$F113*VLOOKUP($CT$2,坦克等级成长!$B$36:$G$42,MATCH(DC$3,坦克等级成长!$B$35:$G$35,0)),0)</f>
        <v>1392</v>
      </c>
      <c r="DD16" s="33">
        <f>ROUND(坦克等级成长!$F113*VLOOKUP($CT$2,坦克等级成长!$B$36:$G$42,MATCH(DD$3,坦克等级成长!$B$35:$G$35,0)),0)</f>
        <v>316</v>
      </c>
      <c r="DE16" s="33">
        <f>ROUND(坦克等级成长!$F113*VLOOKUP($CT$2,坦克等级成长!$B$36:$G$42,MATCH(DE$3,坦克等级成长!$B$35:$G$35,0)),0)</f>
        <v>621</v>
      </c>
      <c r="DF16" s="33">
        <f t="shared" si="11"/>
        <v>621</v>
      </c>
      <c r="DG16" s="33">
        <v>496</v>
      </c>
      <c r="DH16" s="33">
        <f>ROUND(坦克等级成长!$F113*VLOOKUP($CT$2,坦克等级成长!$B$36:$G$42,MATCH(DH$3,坦克等级成长!$B$35:$G$35,0)),0)</f>
        <v>522</v>
      </c>
      <c r="DI16" s="33">
        <f>ROUND(坦克等级成长!$F113*VLOOKUP($CT$2,坦克等级成长!$B$36:$G$42,MATCH(DI$3,坦克等级成长!$B$35:$G$35,0)),0)</f>
        <v>139</v>
      </c>
      <c r="DJ16" s="192"/>
      <c r="DK16" s="188"/>
      <c r="DL16" s="188"/>
      <c r="DM16" s="188"/>
      <c r="DN16" s="188"/>
      <c r="DO16" s="188"/>
      <c r="DP16" s="188"/>
      <c r="DQ16" s="199"/>
      <c r="DR16" s="192"/>
      <c r="DS16" s="188"/>
      <c r="DT16" s="188"/>
      <c r="DU16" s="188"/>
      <c r="DV16" s="188"/>
      <c r="DW16" s="188"/>
      <c r="DX16" s="188"/>
      <c r="DY16" s="199"/>
      <c r="DZ16" s="198">
        <v>8</v>
      </c>
      <c r="EA16" s="33">
        <f>ROUND(坦克等级成长!$F113*VLOOKUP($DR$2,坦克等级成长!$B$36:$G$42,MATCH(EA$3,坦克等级成长!$B$35:$G$35,0)),0)</f>
        <v>1584</v>
      </c>
      <c r="EB16" s="33">
        <f>ROUND(坦克等级成长!$F113*VLOOKUP($DR$2,坦克等级成长!$B$36:$G$42,MATCH(EB$3,坦克等级成长!$B$35:$G$35,0)),0)</f>
        <v>540</v>
      </c>
      <c r="EC16" s="33">
        <f>ROUND(坦克等级成长!$F113*VLOOKUP($DR$2,坦克等级成长!$B$36:$G$42,MATCH(EC$3,坦克等级成长!$B$35:$G$35,0)),0)</f>
        <v>497</v>
      </c>
      <c r="ED16" s="33">
        <f t="shared" si="12"/>
        <v>497</v>
      </c>
      <c r="EE16" s="33">
        <v>423</v>
      </c>
      <c r="EF16" s="33">
        <f>ROUND(坦克等级成长!$F113*VLOOKUP($DR$2,坦克等级成长!$B$36:$G$42,MATCH(EF$3,坦克等级成长!$B$35:$G$35,0)),0)</f>
        <v>731</v>
      </c>
      <c r="EG16" s="33">
        <f>ROUND(坦克等级成长!$F113*VLOOKUP($DR$2,坦克等级成长!$B$36:$G$42,MATCH(EG$3,坦克等级成长!$B$35:$G$35,0)),0)</f>
        <v>158</v>
      </c>
      <c r="EH16" s="192"/>
      <c r="EI16" s="188"/>
      <c r="EJ16" s="188"/>
      <c r="EK16" s="188"/>
      <c r="EL16" s="188"/>
      <c r="EM16" s="188"/>
      <c r="EN16" s="188"/>
      <c r="EO16" s="199"/>
      <c r="EP16" s="192"/>
      <c r="EQ16" s="188"/>
      <c r="ER16" s="188"/>
      <c r="ES16" s="188"/>
      <c r="ET16" s="188"/>
      <c r="EU16" s="188"/>
      <c r="EV16" s="188"/>
      <c r="EW16" s="199"/>
      <c r="EX16" s="198">
        <v>8</v>
      </c>
      <c r="EY16" s="33">
        <f>ROUND(坦克等级成长!$F113*VLOOKUP($EP$2,坦克等级成长!$B$36:$G$42,MATCH(EY$3,坦克等级成长!$B$35:$G$35,0)),0)</f>
        <v>1467</v>
      </c>
      <c r="EZ16" s="33">
        <f>ROUND(坦克等级成长!$F113*VLOOKUP($EP$2,坦克等级成长!$B$36:$G$42,MATCH(EZ$3,坦克等级成长!$B$35:$G$35,0)),0)</f>
        <v>168</v>
      </c>
      <c r="FA16" s="33">
        <f>ROUND(坦克等级成长!$F113*VLOOKUP($EP$2,坦克等级成长!$B$36:$G$42,MATCH(FA$3,坦克等级成长!$B$35:$G$35,0)),0)</f>
        <v>572</v>
      </c>
      <c r="FB16" s="33">
        <f t="shared" si="13"/>
        <v>572</v>
      </c>
      <c r="FC16" s="33">
        <v>456</v>
      </c>
      <c r="FD16" s="33">
        <f>ROUND(坦克等级成长!$F113*VLOOKUP($EP$2,坦克等级成长!$B$36:$G$42,MATCH(FD$3,坦克等级成长!$B$35:$G$35,0)),0)</f>
        <v>626</v>
      </c>
      <c r="FE16" s="33">
        <f>ROUND(坦克等级成长!$F113*VLOOKUP($EP$2,坦克等级成长!$B$36:$G$42,MATCH(FE$3,坦克等级成长!$B$35:$G$35,0)),0)</f>
        <v>147</v>
      </c>
      <c r="FF16" s="192"/>
      <c r="FG16" s="188"/>
      <c r="FH16" s="188"/>
      <c r="FI16" s="188"/>
      <c r="FJ16" s="188"/>
      <c r="FK16" s="188"/>
      <c r="FL16" s="188"/>
      <c r="FM16" s="199"/>
    </row>
    <row r="17" spans="1:169" ht="14.25" x14ac:dyDescent="0.3">
      <c r="A17" s="188">
        <v>2</v>
      </c>
      <c r="B17" s="192"/>
      <c r="C17" s="188"/>
      <c r="D17" s="188"/>
      <c r="E17" s="188"/>
      <c r="F17" s="188"/>
      <c r="G17" s="188"/>
      <c r="H17" s="188"/>
      <c r="I17" s="199"/>
      <c r="J17" s="198">
        <v>9</v>
      </c>
      <c r="K17" s="33">
        <f>ROUND(坦克等级成长!$F114*VLOOKUP($B$2,坦克等级成长!$B$36:$G$42,MATCH(K$3,坦克等级成长!$B$35:$G$35,0)),0)</f>
        <v>1464</v>
      </c>
      <c r="L17" s="33">
        <f>ROUND(坦克等级成长!$F114*VLOOKUP($B$2,坦克等级成长!$B$36:$G$42,MATCH(L$3,坦克等级成长!$B$35:$G$35,0)),0)</f>
        <v>159</v>
      </c>
      <c r="M17" s="33">
        <f>ROUND(坦克等级成长!$F114*VLOOKUP($B$2,坦克等级成长!$B$36:$G$42,MATCH(M$3,坦克等级成长!$B$35:$G$35,0)),0)</f>
        <v>549</v>
      </c>
      <c r="N17" s="33">
        <f t="shared" si="7"/>
        <v>549</v>
      </c>
      <c r="O17" s="33">
        <v>412</v>
      </c>
      <c r="P17" s="33">
        <f>ROUND(坦克等级成长!$F114*VLOOKUP($B$2,坦克等级成长!$B$36:$G$42,MATCH(P$3,坦克等级成长!$B$35:$G$35,0)),0)</f>
        <v>549</v>
      </c>
      <c r="Q17" s="33">
        <f>ROUND(坦克等级成长!$F114*VLOOKUP($B$2,坦克等级成长!$B$36:$G$42,MATCH(Q$3,坦克等级成长!$B$35:$G$35,0)),0)</f>
        <v>146</v>
      </c>
      <c r="R17" s="192"/>
      <c r="S17" s="188"/>
      <c r="T17" s="188"/>
      <c r="U17" s="188"/>
      <c r="V17" s="188"/>
      <c r="W17" s="188"/>
      <c r="X17" s="188"/>
      <c r="Y17" s="199"/>
      <c r="Z17" s="192"/>
      <c r="AA17" s="188"/>
      <c r="AB17" s="188"/>
      <c r="AC17" s="188"/>
      <c r="AD17" s="188"/>
      <c r="AE17" s="188"/>
      <c r="AF17" s="188"/>
      <c r="AG17" s="199"/>
      <c r="AH17" s="198">
        <v>9</v>
      </c>
      <c r="AI17" s="33">
        <f>ROUND(坦克等级成长!$F114*VLOOKUP($Z$2,坦克等级成长!$B$36:$G$42,MATCH(AI$3,坦克等级成长!$B$35:$G$35,0)),0)</f>
        <v>1464</v>
      </c>
      <c r="AJ17" s="33">
        <f>ROUND(坦克等级成长!$F114*VLOOKUP($Z$2,坦克等级成长!$B$36:$G$42,MATCH(AJ$3,坦克等级成长!$B$35:$G$35,0)),0)</f>
        <v>86</v>
      </c>
      <c r="AK17" s="33">
        <f>ROUND(坦克等级成长!$F114*VLOOKUP($Z$2,坦克等级成长!$B$36:$G$42,MATCH(AK$3,坦克等级成长!$B$35:$G$35,0)),0)</f>
        <v>601</v>
      </c>
      <c r="AL17" s="33">
        <f t="shared" si="8"/>
        <v>601</v>
      </c>
      <c r="AM17" s="33">
        <v>451</v>
      </c>
      <c r="AN17" s="33">
        <f>ROUND(坦克等级成长!$F114*VLOOKUP($Z$2,坦克等级成长!$B$36:$G$42,MATCH(AN$3,坦克等级成长!$B$35:$G$35,0)),0)</f>
        <v>549</v>
      </c>
      <c r="AO17" s="33">
        <f>ROUND(坦克等级成长!$F114*VLOOKUP($Z$2,坦克等级成长!$B$36:$G$42,MATCH(AO$3,坦克等级成长!$B$35:$G$35,0)),0)</f>
        <v>146</v>
      </c>
      <c r="AP17" s="192"/>
      <c r="AQ17" s="188"/>
      <c r="AR17" s="188"/>
      <c r="AS17" s="188"/>
      <c r="AT17" s="188"/>
      <c r="AU17" s="188"/>
      <c r="AV17" s="188"/>
      <c r="AW17" s="199"/>
      <c r="AX17" s="192"/>
      <c r="AY17" s="188"/>
      <c r="AZ17" s="188"/>
      <c r="BA17" s="188"/>
      <c r="BB17" s="188"/>
      <c r="BC17" s="188"/>
      <c r="BD17" s="188"/>
      <c r="BE17" s="199"/>
      <c r="BF17" s="198">
        <v>9</v>
      </c>
      <c r="BG17" s="33">
        <f>ROUND(坦克等级成长!$F114*VLOOKUP($AX$2,坦克等级成长!$B$36:$G$42,MATCH(BG$3,坦克等级成长!$B$35:$G$35,0)),0)</f>
        <v>1464</v>
      </c>
      <c r="BH17" s="33">
        <f>ROUND(坦克等级成长!$F114*VLOOKUP($AX$2,坦克等级成长!$B$36:$G$42,MATCH(BH$3,坦克等级成长!$B$35:$G$35,0)),0)</f>
        <v>159</v>
      </c>
      <c r="BI17" s="33">
        <f>ROUND(坦克等级成长!$F114*VLOOKUP($AX$2,坦克等级成长!$B$36:$G$42,MATCH(BI$3,坦克等级成长!$B$35:$G$35,0)),0)</f>
        <v>549</v>
      </c>
      <c r="BJ17" s="33">
        <f t="shared" si="9"/>
        <v>549</v>
      </c>
      <c r="BK17" s="33">
        <v>412</v>
      </c>
      <c r="BL17" s="33">
        <f>ROUND(坦克等级成长!$F114*VLOOKUP($AX$2,坦克等级成长!$B$36:$G$42,MATCH(BL$3,坦克等级成长!$B$35:$G$35,0)),0)</f>
        <v>549</v>
      </c>
      <c r="BM17" s="33">
        <f>ROUND(坦克等级成长!$F114*VLOOKUP($AX$2,坦克等级成长!$B$36:$G$42,MATCH(BM$3,坦克等级成长!$B$35:$G$35,0)),0)</f>
        <v>146</v>
      </c>
      <c r="BN17" s="192"/>
      <c r="BO17" s="188"/>
      <c r="BP17" s="188"/>
      <c r="BQ17" s="188"/>
      <c r="BR17" s="188"/>
      <c r="BS17" s="188"/>
      <c r="BT17" s="188"/>
      <c r="BU17" s="199"/>
      <c r="BV17" s="192"/>
      <c r="BW17" s="188"/>
      <c r="BX17" s="188"/>
      <c r="BY17" s="188"/>
      <c r="BZ17" s="188"/>
      <c r="CA17" s="188"/>
      <c r="CB17" s="188"/>
      <c r="CC17" s="199"/>
      <c r="CD17" s="198">
        <v>9</v>
      </c>
      <c r="CE17" s="33">
        <f>ROUND(坦克等级成长!$F114*VLOOKUP($BV$2,坦克等级成长!$B$36:$G$42,MATCH(CE$3,坦克等级成长!$B$35:$G$35,0)),0)</f>
        <v>1543</v>
      </c>
      <c r="CF17" s="33">
        <f>ROUND(坦克等级成长!$F114*VLOOKUP($BV$2,坦克等级成长!$B$36:$G$42,MATCH(CF$3,坦克等级成长!$B$35:$G$35,0)),0)</f>
        <v>145</v>
      </c>
      <c r="CG17" s="33">
        <f>ROUND(坦克等级成长!$F114*VLOOKUP($BV$2,坦克等级成长!$B$36:$G$42,MATCH(CG$3,坦克等级成长!$B$35:$G$35,0)),0)</f>
        <v>523</v>
      </c>
      <c r="CH17" s="33">
        <f t="shared" si="10"/>
        <v>523</v>
      </c>
      <c r="CI17" s="33">
        <v>420</v>
      </c>
      <c r="CJ17" s="33">
        <f>ROUND(坦克等级成长!$F114*VLOOKUP($BV$2,坦克等级成长!$B$36:$G$42,MATCH(CJ$3,坦克等级成长!$B$35:$G$35,0)),0)</f>
        <v>659</v>
      </c>
      <c r="CK17" s="33">
        <f>ROUND(坦克等级成长!$F114*VLOOKUP($BV$2,坦克等级成长!$B$36:$G$42,MATCH(CK$3,坦克等级成长!$B$35:$G$35,0)),0)</f>
        <v>154</v>
      </c>
      <c r="CL17" s="192"/>
      <c r="CM17" s="188"/>
      <c r="CN17" s="188"/>
      <c r="CO17" s="188"/>
      <c r="CP17" s="188"/>
      <c r="CQ17" s="188"/>
      <c r="CR17" s="188"/>
      <c r="CS17" s="199"/>
      <c r="CT17" s="192"/>
      <c r="CU17" s="188"/>
      <c r="CV17" s="188"/>
      <c r="CW17" s="188"/>
      <c r="CX17" s="188"/>
      <c r="CY17" s="188"/>
      <c r="CZ17" s="188"/>
      <c r="DA17" s="199"/>
      <c r="DB17" s="198">
        <v>9</v>
      </c>
      <c r="DC17" s="33">
        <f>ROUND(坦克等级成长!$F114*VLOOKUP($CT$2,坦克等级成长!$B$36:$G$42,MATCH(DC$3,坦克等级成长!$B$35:$G$35,0)),0)</f>
        <v>1464</v>
      </c>
      <c r="DD17" s="33">
        <f>ROUND(坦克等级成长!$F114*VLOOKUP($CT$2,坦克等级成长!$B$36:$G$42,MATCH(DD$3,坦克等级成长!$B$35:$G$35,0)),0)</f>
        <v>332</v>
      </c>
      <c r="DE17" s="33">
        <f>ROUND(坦克等级成长!$F114*VLOOKUP($CT$2,坦克等级成长!$B$36:$G$42,MATCH(DE$3,坦克等级成长!$B$35:$G$35,0)),0)</f>
        <v>654</v>
      </c>
      <c r="DF17" s="33">
        <f t="shared" si="11"/>
        <v>654</v>
      </c>
      <c r="DG17" s="33">
        <v>525</v>
      </c>
      <c r="DH17" s="33">
        <f>ROUND(坦克等级成长!$F114*VLOOKUP($CT$2,坦克等级成长!$B$36:$G$42,MATCH(DH$3,坦克等级成长!$B$35:$G$35,0)),0)</f>
        <v>549</v>
      </c>
      <c r="DI17" s="33">
        <f>ROUND(坦克等级成长!$F114*VLOOKUP($CT$2,坦克等级成长!$B$36:$G$42,MATCH(DI$3,坦克等级成长!$B$35:$G$35,0)),0)</f>
        <v>146</v>
      </c>
      <c r="DJ17" s="192"/>
      <c r="DK17" s="188"/>
      <c r="DL17" s="188"/>
      <c r="DM17" s="188"/>
      <c r="DN17" s="188"/>
      <c r="DO17" s="188"/>
      <c r="DP17" s="188"/>
      <c r="DQ17" s="199"/>
      <c r="DR17" s="192"/>
      <c r="DS17" s="188"/>
      <c r="DT17" s="188"/>
      <c r="DU17" s="188"/>
      <c r="DV17" s="188"/>
      <c r="DW17" s="188"/>
      <c r="DX17" s="188"/>
      <c r="DY17" s="199"/>
      <c r="DZ17" s="198">
        <v>9</v>
      </c>
      <c r="EA17" s="33">
        <f>ROUND(坦克等级成长!$F114*VLOOKUP($DR$2,坦克等级成长!$B$36:$G$42,MATCH(EA$3,坦克等级成长!$B$35:$G$35,0)),0)</f>
        <v>1666</v>
      </c>
      <c r="EB17" s="33">
        <f>ROUND(坦克等级成长!$F114*VLOOKUP($DR$2,坦克等级成长!$B$36:$G$42,MATCH(EB$3,坦克等级成长!$B$35:$G$35,0)),0)</f>
        <v>568</v>
      </c>
      <c r="EC17" s="33">
        <f>ROUND(坦克等级成长!$F114*VLOOKUP($DR$2,坦克等级成长!$B$36:$G$42,MATCH(EC$3,坦克等级成长!$B$35:$G$35,0)),0)</f>
        <v>523</v>
      </c>
      <c r="ED17" s="33">
        <f t="shared" si="12"/>
        <v>523</v>
      </c>
      <c r="EE17" s="33">
        <v>448</v>
      </c>
      <c r="EF17" s="33">
        <f>ROUND(坦克等级成长!$F114*VLOOKUP($DR$2,坦克等级成长!$B$36:$G$42,MATCH(EF$3,坦克等级成长!$B$35:$G$35,0)),0)</f>
        <v>769</v>
      </c>
      <c r="EG17" s="33">
        <f>ROUND(坦克等级成长!$F114*VLOOKUP($DR$2,坦克等级成长!$B$36:$G$42,MATCH(EG$3,坦克等级成长!$B$35:$G$35,0)),0)</f>
        <v>167</v>
      </c>
      <c r="EH17" s="192"/>
      <c r="EI17" s="188"/>
      <c r="EJ17" s="188"/>
      <c r="EK17" s="188"/>
      <c r="EL17" s="188"/>
      <c r="EM17" s="188"/>
      <c r="EN17" s="188"/>
      <c r="EO17" s="199"/>
      <c r="EP17" s="192"/>
      <c r="EQ17" s="188"/>
      <c r="ER17" s="188"/>
      <c r="ES17" s="188"/>
      <c r="ET17" s="188"/>
      <c r="EU17" s="188"/>
      <c r="EV17" s="188"/>
      <c r="EW17" s="199"/>
      <c r="EX17" s="198">
        <v>9</v>
      </c>
      <c r="EY17" s="33">
        <f>ROUND(坦克等级成长!$F114*VLOOKUP($EP$2,坦克等级成长!$B$36:$G$42,MATCH(EY$3,坦克等级成长!$B$35:$G$35,0)),0)</f>
        <v>1543</v>
      </c>
      <c r="EZ17" s="33">
        <f>ROUND(坦克等级成长!$F114*VLOOKUP($EP$2,坦克等级成长!$B$36:$G$42,MATCH(EZ$3,坦克等级成长!$B$35:$G$35,0)),0)</f>
        <v>177</v>
      </c>
      <c r="FA17" s="33">
        <f>ROUND(坦克等级成长!$F114*VLOOKUP($EP$2,坦克等级成长!$B$36:$G$42,MATCH(FA$3,坦克等级成长!$B$35:$G$35,0)),0)</f>
        <v>601</v>
      </c>
      <c r="FB17" s="33">
        <f t="shared" si="13"/>
        <v>601</v>
      </c>
      <c r="FC17" s="33">
        <v>483</v>
      </c>
      <c r="FD17" s="33">
        <f>ROUND(坦克等级成长!$F114*VLOOKUP($EP$2,坦克等级成长!$B$36:$G$42,MATCH(FD$3,坦克等级成长!$B$35:$G$35,0)),0)</f>
        <v>659</v>
      </c>
      <c r="FE17" s="33">
        <f>ROUND(坦克等级成长!$F114*VLOOKUP($EP$2,坦克等级成长!$B$36:$G$42,MATCH(FE$3,坦克等级成长!$B$35:$G$35,0)),0)</f>
        <v>154</v>
      </c>
      <c r="FF17" s="192"/>
      <c r="FG17" s="188"/>
      <c r="FH17" s="188"/>
      <c r="FI17" s="188"/>
      <c r="FJ17" s="188"/>
      <c r="FK17" s="188"/>
      <c r="FL17" s="188"/>
      <c r="FM17" s="199"/>
    </row>
    <row r="18" spans="1:169" ht="14.25" x14ac:dyDescent="0.3">
      <c r="A18" s="188">
        <v>2</v>
      </c>
      <c r="B18" s="192"/>
      <c r="C18" s="188"/>
      <c r="D18" s="188"/>
      <c r="E18" s="188"/>
      <c r="F18" s="188"/>
      <c r="G18" s="188"/>
      <c r="H18" s="188"/>
      <c r="I18" s="199"/>
      <c r="J18" s="198">
        <v>10</v>
      </c>
      <c r="K18" s="33">
        <f>ROUND(坦克等级成长!$F115*VLOOKUP($B$2,坦克等级成长!$B$36:$G$42,MATCH(K$3,坦克等级成长!$B$35:$G$35,0)),0)</f>
        <v>1536</v>
      </c>
      <c r="L18" s="33">
        <f>ROUND(坦克等级成长!$F115*VLOOKUP($B$2,坦克等级成长!$B$36:$G$42,MATCH(L$3,坦克等级成长!$B$35:$G$35,0)),0)</f>
        <v>167</v>
      </c>
      <c r="M18" s="33">
        <f>ROUND(坦克等级成长!$F115*VLOOKUP($B$2,坦克等级成长!$B$36:$G$42,MATCH(M$3,坦克等级成长!$B$35:$G$35,0)),0)</f>
        <v>576</v>
      </c>
      <c r="N18" s="33">
        <f t="shared" si="7"/>
        <v>576</v>
      </c>
      <c r="O18" s="33">
        <v>435</v>
      </c>
      <c r="P18" s="33">
        <f>ROUND(坦克等级成长!$F115*VLOOKUP($B$2,坦克等级成长!$B$36:$G$42,MATCH(P$3,坦克等级成长!$B$35:$G$35,0)),0)</f>
        <v>576</v>
      </c>
      <c r="Q18" s="33">
        <f>ROUND(坦克等级成长!$F115*VLOOKUP($B$2,坦克等级成长!$B$36:$G$42,MATCH(Q$3,坦克等级成长!$B$35:$G$35,0)),0)</f>
        <v>154</v>
      </c>
      <c r="R18" s="192"/>
      <c r="S18" s="188"/>
      <c r="T18" s="188"/>
      <c r="U18" s="188"/>
      <c r="V18" s="188"/>
      <c r="W18" s="188"/>
      <c r="X18" s="188"/>
      <c r="Y18" s="199"/>
      <c r="Z18" s="192"/>
      <c r="AA18" s="188"/>
      <c r="AB18" s="188"/>
      <c r="AC18" s="188"/>
      <c r="AD18" s="188"/>
      <c r="AE18" s="188"/>
      <c r="AF18" s="188"/>
      <c r="AG18" s="199"/>
      <c r="AH18" s="198">
        <v>10</v>
      </c>
      <c r="AI18" s="33">
        <f>ROUND(坦克等级成长!$F115*VLOOKUP($Z$2,坦克等级成长!$B$36:$G$42,MATCH(AI$3,坦克等级成长!$B$35:$G$35,0)),0)</f>
        <v>1536</v>
      </c>
      <c r="AJ18" s="33">
        <f>ROUND(坦克等级成长!$F115*VLOOKUP($Z$2,坦克等级成长!$B$36:$G$42,MATCH(AJ$3,坦克等级成长!$B$35:$G$35,0)),0)</f>
        <v>91</v>
      </c>
      <c r="AK18" s="33">
        <f>ROUND(坦克等级成长!$F115*VLOOKUP($Z$2,坦克等级成长!$B$36:$G$42,MATCH(AK$3,坦克等级成长!$B$35:$G$35,0)),0)</f>
        <v>631</v>
      </c>
      <c r="AL18" s="33">
        <f t="shared" si="8"/>
        <v>631</v>
      </c>
      <c r="AM18" s="33">
        <v>476</v>
      </c>
      <c r="AN18" s="33">
        <f>ROUND(坦克等级成长!$F115*VLOOKUP($Z$2,坦克等级成长!$B$36:$G$42,MATCH(AN$3,坦克等级成长!$B$35:$G$35,0)),0)</f>
        <v>576</v>
      </c>
      <c r="AO18" s="33">
        <f>ROUND(坦克等级成长!$F115*VLOOKUP($Z$2,坦克等级成长!$B$36:$G$42,MATCH(AO$3,坦克等级成长!$B$35:$G$35,0)),0)</f>
        <v>154</v>
      </c>
      <c r="AP18" s="192"/>
      <c r="AQ18" s="188"/>
      <c r="AR18" s="188"/>
      <c r="AS18" s="188"/>
      <c r="AT18" s="188"/>
      <c r="AU18" s="188"/>
      <c r="AV18" s="188"/>
      <c r="AW18" s="199"/>
      <c r="AX18" s="192"/>
      <c r="AY18" s="188"/>
      <c r="AZ18" s="188"/>
      <c r="BA18" s="188"/>
      <c r="BB18" s="188"/>
      <c r="BC18" s="188"/>
      <c r="BD18" s="188"/>
      <c r="BE18" s="199"/>
      <c r="BF18" s="198">
        <v>10</v>
      </c>
      <c r="BG18" s="33">
        <f>ROUND(坦克等级成长!$F115*VLOOKUP($AX$2,坦克等级成长!$B$36:$G$42,MATCH(BG$3,坦克等级成长!$B$35:$G$35,0)),0)</f>
        <v>1536</v>
      </c>
      <c r="BH18" s="33">
        <f>ROUND(坦克等级成长!$F115*VLOOKUP($AX$2,坦克等级成长!$B$36:$G$42,MATCH(BH$3,坦克等级成长!$B$35:$G$35,0)),0)</f>
        <v>167</v>
      </c>
      <c r="BI18" s="33">
        <f>ROUND(坦克等级成长!$F115*VLOOKUP($AX$2,坦克等级成长!$B$36:$G$42,MATCH(BI$3,坦克等级成长!$B$35:$G$35,0)),0)</f>
        <v>576</v>
      </c>
      <c r="BJ18" s="33">
        <f t="shared" si="9"/>
        <v>576</v>
      </c>
      <c r="BK18" s="33">
        <v>435</v>
      </c>
      <c r="BL18" s="33">
        <f>ROUND(坦克等级成长!$F115*VLOOKUP($AX$2,坦克等级成长!$B$36:$G$42,MATCH(BL$3,坦克等级成长!$B$35:$G$35,0)),0)</f>
        <v>576</v>
      </c>
      <c r="BM18" s="33">
        <f>ROUND(坦克等级成长!$F115*VLOOKUP($AX$2,坦克等级成长!$B$36:$G$42,MATCH(BM$3,坦克等级成长!$B$35:$G$35,0)),0)</f>
        <v>154</v>
      </c>
      <c r="BN18" s="192"/>
      <c r="BO18" s="188"/>
      <c r="BP18" s="188"/>
      <c r="BQ18" s="188"/>
      <c r="BR18" s="188"/>
      <c r="BS18" s="188"/>
      <c r="BT18" s="188"/>
      <c r="BU18" s="199"/>
      <c r="BV18" s="192"/>
      <c r="BW18" s="188"/>
      <c r="BX18" s="188"/>
      <c r="BY18" s="188"/>
      <c r="BZ18" s="188"/>
      <c r="CA18" s="188"/>
      <c r="CB18" s="188"/>
      <c r="CC18" s="199"/>
      <c r="CD18" s="198">
        <v>10</v>
      </c>
      <c r="CE18" s="33">
        <f>ROUND(坦克等级成长!$F115*VLOOKUP($BV$2,坦克等级成长!$B$36:$G$42,MATCH(CE$3,坦克等级成长!$B$35:$G$35,0)),0)</f>
        <v>1619</v>
      </c>
      <c r="CF18" s="33">
        <f>ROUND(坦克等级成长!$F115*VLOOKUP($BV$2,坦克等级成长!$B$36:$G$42,MATCH(CF$3,坦克等级成长!$B$35:$G$35,0)),0)</f>
        <v>153</v>
      </c>
      <c r="CG18" s="33">
        <f>ROUND(坦克等级成长!$F115*VLOOKUP($BV$2,坦克等级成长!$B$36:$G$42,MATCH(CG$3,坦克等级成长!$B$35:$G$35,0)),0)</f>
        <v>549</v>
      </c>
      <c r="CH18" s="33">
        <f t="shared" si="10"/>
        <v>549</v>
      </c>
      <c r="CI18" s="33">
        <v>443</v>
      </c>
      <c r="CJ18" s="33">
        <f>ROUND(坦克等级成长!$F115*VLOOKUP($BV$2,坦克等级成长!$B$36:$G$42,MATCH(CJ$3,坦克等级成长!$B$35:$G$35,0)),0)</f>
        <v>691</v>
      </c>
      <c r="CK18" s="33">
        <f>ROUND(坦克等级成长!$F115*VLOOKUP($BV$2,坦克等级成长!$B$36:$G$42,MATCH(CK$3,坦克等级成长!$B$35:$G$35,0)),0)</f>
        <v>162</v>
      </c>
      <c r="CL18" s="192"/>
      <c r="CM18" s="188"/>
      <c r="CN18" s="188"/>
      <c r="CO18" s="188"/>
      <c r="CP18" s="188"/>
      <c r="CQ18" s="188"/>
      <c r="CR18" s="188"/>
      <c r="CS18" s="199"/>
      <c r="CT18" s="192"/>
      <c r="CU18" s="188"/>
      <c r="CV18" s="188"/>
      <c r="CW18" s="188"/>
      <c r="CX18" s="188"/>
      <c r="CY18" s="188"/>
      <c r="CZ18" s="188"/>
      <c r="DA18" s="199"/>
      <c r="DB18" s="198">
        <v>10</v>
      </c>
      <c r="DC18" s="33">
        <f>ROUND(坦克等级成长!$F115*VLOOKUP($CT$2,坦克等级成长!$B$36:$G$42,MATCH(DC$3,坦克等级成长!$B$35:$G$35,0)),0)</f>
        <v>1536</v>
      </c>
      <c r="DD18" s="33">
        <f>ROUND(坦克等级成长!$F115*VLOOKUP($CT$2,坦克等级成长!$B$36:$G$42,MATCH(DD$3,坦克等级成长!$B$35:$G$35,0)),0)</f>
        <v>349</v>
      </c>
      <c r="DE18" s="33">
        <f>ROUND(坦克等级成长!$F115*VLOOKUP($CT$2,坦克等级成长!$B$36:$G$42,MATCH(DE$3,坦克等级成长!$B$35:$G$35,0)),0)</f>
        <v>686</v>
      </c>
      <c r="DF18" s="33">
        <f t="shared" si="11"/>
        <v>686</v>
      </c>
      <c r="DG18" s="33">
        <v>554</v>
      </c>
      <c r="DH18" s="33">
        <f>ROUND(坦克等级成长!$F115*VLOOKUP($CT$2,坦克等级成长!$B$36:$G$42,MATCH(DH$3,坦克等级成长!$B$35:$G$35,0)),0)</f>
        <v>576</v>
      </c>
      <c r="DI18" s="33">
        <f>ROUND(坦克等级成长!$F115*VLOOKUP($CT$2,坦克等级成长!$B$36:$G$42,MATCH(DI$3,坦克等级成长!$B$35:$G$35,0)),0)</f>
        <v>154</v>
      </c>
      <c r="DJ18" s="192"/>
      <c r="DK18" s="188"/>
      <c r="DL18" s="188"/>
      <c r="DM18" s="188"/>
      <c r="DN18" s="188"/>
      <c r="DO18" s="188"/>
      <c r="DP18" s="188"/>
      <c r="DQ18" s="199"/>
      <c r="DR18" s="192"/>
      <c r="DS18" s="188"/>
      <c r="DT18" s="188"/>
      <c r="DU18" s="188"/>
      <c r="DV18" s="188"/>
      <c r="DW18" s="188"/>
      <c r="DX18" s="188"/>
      <c r="DY18" s="199"/>
      <c r="DZ18" s="198">
        <v>10</v>
      </c>
      <c r="EA18" s="33">
        <f>ROUND(坦克等级成长!$F115*VLOOKUP($DR$2,坦克等级成长!$B$36:$G$42,MATCH(EA$3,坦克等级成长!$B$35:$G$35,0)),0)</f>
        <v>1748</v>
      </c>
      <c r="EB18" s="33">
        <f>ROUND(坦克等级成长!$F115*VLOOKUP($DR$2,坦克等级成长!$B$36:$G$42,MATCH(EB$3,坦克等级成长!$B$35:$G$35,0)),0)</f>
        <v>596</v>
      </c>
      <c r="EC18" s="33">
        <f>ROUND(坦克等级成长!$F115*VLOOKUP($DR$2,坦克等级成长!$B$36:$G$42,MATCH(EC$3,坦克等级成长!$B$35:$G$35,0)),0)</f>
        <v>549</v>
      </c>
      <c r="ED18" s="33">
        <f t="shared" si="12"/>
        <v>549</v>
      </c>
      <c r="EE18" s="33">
        <v>473</v>
      </c>
      <c r="EF18" s="33">
        <f>ROUND(坦克等级成长!$F115*VLOOKUP($DR$2,坦克等级成长!$B$36:$G$42,MATCH(EF$3,坦克等级成长!$B$35:$G$35,0)),0)</f>
        <v>806</v>
      </c>
      <c r="EG18" s="33">
        <f>ROUND(坦克等级成长!$F115*VLOOKUP($DR$2,坦克等级成长!$B$36:$G$42,MATCH(EG$3,坦克等级成长!$B$35:$G$35,0)),0)</f>
        <v>175</v>
      </c>
      <c r="EH18" s="192"/>
      <c r="EI18" s="188"/>
      <c r="EJ18" s="188"/>
      <c r="EK18" s="188"/>
      <c r="EL18" s="188"/>
      <c r="EM18" s="188"/>
      <c r="EN18" s="188"/>
      <c r="EO18" s="199"/>
      <c r="EP18" s="192"/>
      <c r="EQ18" s="188"/>
      <c r="ER18" s="188"/>
      <c r="ES18" s="188"/>
      <c r="ET18" s="188"/>
      <c r="EU18" s="188"/>
      <c r="EV18" s="188"/>
      <c r="EW18" s="199"/>
      <c r="EX18" s="198">
        <v>10</v>
      </c>
      <c r="EY18" s="33">
        <f>ROUND(坦克等级成长!$F115*VLOOKUP($EP$2,坦克等级成长!$B$36:$G$42,MATCH(EY$3,坦克等级成长!$B$35:$G$35,0)),0)</f>
        <v>1619</v>
      </c>
      <c r="EZ18" s="33">
        <f>ROUND(坦克等级成长!$F115*VLOOKUP($EP$2,坦克等级成长!$B$36:$G$42,MATCH(EZ$3,坦克等级成长!$B$35:$G$35,0)),0)</f>
        <v>185</v>
      </c>
      <c r="FA18" s="33">
        <f>ROUND(坦克等级成长!$F115*VLOOKUP($EP$2,坦克等级成长!$B$36:$G$42,MATCH(FA$3,坦克等级成长!$B$35:$G$35,0)),0)</f>
        <v>631</v>
      </c>
      <c r="FB18" s="33">
        <f t="shared" si="13"/>
        <v>631</v>
      </c>
      <c r="FC18" s="33">
        <v>510</v>
      </c>
      <c r="FD18" s="33">
        <f>ROUND(坦克等级成长!$F115*VLOOKUP($EP$2,坦克等级成长!$B$36:$G$42,MATCH(FD$3,坦克等级成长!$B$35:$G$35,0)),0)</f>
        <v>691</v>
      </c>
      <c r="FE18" s="33">
        <f>ROUND(坦克等级成长!$F115*VLOOKUP($EP$2,坦克等级成长!$B$36:$G$42,MATCH(FE$3,坦克等级成长!$B$35:$G$35,0)),0)</f>
        <v>162</v>
      </c>
      <c r="FF18" s="192"/>
      <c r="FG18" s="188"/>
      <c r="FH18" s="188"/>
      <c r="FI18" s="188"/>
      <c r="FJ18" s="188"/>
      <c r="FK18" s="188"/>
      <c r="FL18" s="188"/>
      <c r="FM18" s="199"/>
    </row>
    <row r="19" spans="1:169" ht="14.25" x14ac:dyDescent="0.3">
      <c r="A19" s="188">
        <v>2</v>
      </c>
      <c r="B19" s="192"/>
      <c r="C19" s="188"/>
      <c r="D19" s="188"/>
      <c r="E19" s="188"/>
      <c r="F19" s="188"/>
      <c r="G19" s="188"/>
      <c r="H19" s="188"/>
      <c r="I19" s="199"/>
      <c r="J19" s="198">
        <v>11</v>
      </c>
      <c r="K19" s="33">
        <f>ROUND(坦克等级成长!$F116*VLOOKUP($B$2,坦克等级成长!$B$36:$G$42,MATCH(K$3,坦克等级成长!$B$35:$G$35,0)),0)</f>
        <v>1608</v>
      </c>
      <c r="L19" s="33">
        <f>ROUND(坦克等级成长!$F116*VLOOKUP($B$2,坦克等级成长!$B$36:$G$42,MATCH(L$3,坦克等级成长!$B$35:$G$35,0)),0)</f>
        <v>175</v>
      </c>
      <c r="M19" s="33">
        <f>ROUND(坦克等级成长!$F116*VLOOKUP($B$2,坦克等级成长!$B$36:$G$42,MATCH(M$3,坦克等级成长!$B$35:$G$35,0)),0)</f>
        <v>603</v>
      </c>
      <c r="N19" s="33">
        <f t="shared" si="7"/>
        <v>603</v>
      </c>
      <c r="O19" s="33">
        <v>458</v>
      </c>
      <c r="P19" s="33">
        <f>ROUND(坦克等级成长!$F116*VLOOKUP($B$2,坦克等级成长!$B$36:$G$42,MATCH(P$3,坦克等级成长!$B$35:$G$35,0)),0)</f>
        <v>603</v>
      </c>
      <c r="Q19" s="33">
        <f>ROUND(坦克等级成长!$F116*VLOOKUP($B$2,坦克等级成长!$B$36:$G$42,MATCH(Q$3,坦克等级成长!$B$35:$G$35,0)),0)</f>
        <v>161</v>
      </c>
      <c r="R19" s="192"/>
      <c r="S19" s="188"/>
      <c r="T19" s="188"/>
      <c r="U19" s="188"/>
      <c r="V19" s="188"/>
      <c r="W19" s="188"/>
      <c r="X19" s="188"/>
      <c r="Y19" s="199"/>
      <c r="Z19" s="192"/>
      <c r="AA19" s="188"/>
      <c r="AB19" s="188"/>
      <c r="AC19" s="188"/>
      <c r="AD19" s="188"/>
      <c r="AE19" s="188"/>
      <c r="AF19" s="188"/>
      <c r="AG19" s="199"/>
      <c r="AH19" s="198">
        <v>11</v>
      </c>
      <c r="AI19" s="33">
        <f>ROUND(坦克等级成长!$F116*VLOOKUP($Z$2,坦克等级成长!$B$36:$G$42,MATCH(AI$3,坦克等级成长!$B$35:$G$35,0)),0)</f>
        <v>1608</v>
      </c>
      <c r="AJ19" s="33">
        <f>ROUND(坦克等级成长!$F116*VLOOKUP($Z$2,坦克等级成长!$B$36:$G$42,MATCH(AJ$3,坦克等级成长!$B$35:$G$35,0)),0)</f>
        <v>95</v>
      </c>
      <c r="AK19" s="33">
        <f>ROUND(坦克等级成长!$F116*VLOOKUP($Z$2,坦克等级成长!$B$36:$G$42,MATCH(AK$3,坦克等级成长!$B$35:$G$35,0)),0)</f>
        <v>660</v>
      </c>
      <c r="AL19" s="33">
        <f t="shared" si="8"/>
        <v>660</v>
      </c>
      <c r="AM19" s="33">
        <v>501</v>
      </c>
      <c r="AN19" s="33">
        <f>ROUND(坦克等级成长!$F116*VLOOKUP($Z$2,坦克等级成长!$B$36:$G$42,MATCH(AN$3,坦克等级成长!$B$35:$G$35,0)),0)</f>
        <v>603</v>
      </c>
      <c r="AO19" s="33">
        <f>ROUND(坦克等级成长!$F116*VLOOKUP($Z$2,坦克等级成长!$B$36:$G$42,MATCH(AO$3,坦克等级成长!$B$35:$G$35,0)),0)</f>
        <v>161</v>
      </c>
      <c r="AP19" s="192"/>
      <c r="AQ19" s="188"/>
      <c r="AR19" s="188"/>
      <c r="AS19" s="188"/>
      <c r="AT19" s="188"/>
      <c r="AU19" s="188"/>
      <c r="AV19" s="188"/>
      <c r="AW19" s="199"/>
      <c r="AX19" s="192"/>
      <c r="AY19" s="188"/>
      <c r="AZ19" s="188"/>
      <c r="BA19" s="188"/>
      <c r="BB19" s="188"/>
      <c r="BC19" s="188"/>
      <c r="BD19" s="188"/>
      <c r="BE19" s="199"/>
      <c r="BF19" s="198">
        <v>11</v>
      </c>
      <c r="BG19" s="33">
        <f>ROUND(坦克等级成长!$F116*VLOOKUP($AX$2,坦克等级成长!$B$36:$G$42,MATCH(BG$3,坦克等级成长!$B$35:$G$35,0)),0)</f>
        <v>1608</v>
      </c>
      <c r="BH19" s="33">
        <f>ROUND(坦克等级成长!$F116*VLOOKUP($AX$2,坦克等级成长!$B$36:$G$42,MATCH(BH$3,坦克等级成长!$B$35:$G$35,0)),0)</f>
        <v>175</v>
      </c>
      <c r="BI19" s="33">
        <f>ROUND(坦克等级成长!$F116*VLOOKUP($AX$2,坦克等级成长!$B$36:$G$42,MATCH(BI$3,坦克等级成长!$B$35:$G$35,0)),0)</f>
        <v>603</v>
      </c>
      <c r="BJ19" s="33">
        <f t="shared" si="9"/>
        <v>603</v>
      </c>
      <c r="BK19" s="33">
        <v>458</v>
      </c>
      <c r="BL19" s="33">
        <f>ROUND(坦克等级成长!$F116*VLOOKUP($AX$2,坦克等级成长!$B$36:$G$42,MATCH(BL$3,坦克等级成长!$B$35:$G$35,0)),0)</f>
        <v>603</v>
      </c>
      <c r="BM19" s="33">
        <f>ROUND(坦克等级成长!$F116*VLOOKUP($AX$2,坦克等级成长!$B$36:$G$42,MATCH(BM$3,坦克等级成长!$B$35:$G$35,0)),0)</f>
        <v>161</v>
      </c>
      <c r="BN19" s="192"/>
      <c r="BO19" s="188"/>
      <c r="BP19" s="188"/>
      <c r="BQ19" s="188"/>
      <c r="BR19" s="188"/>
      <c r="BS19" s="188"/>
      <c r="BT19" s="188"/>
      <c r="BU19" s="199"/>
      <c r="BV19" s="192"/>
      <c r="BW19" s="188"/>
      <c r="BX19" s="188"/>
      <c r="BY19" s="188"/>
      <c r="BZ19" s="188"/>
      <c r="CA19" s="188"/>
      <c r="CB19" s="188"/>
      <c r="CC19" s="199"/>
      <c r="CD19" s="198">
        <v>11</v>
      </c>
      <c r="CE19" s="33">
        <f>ROUND(坦克等级成长!$F116*VLOOKUP($BV$2,坦克等级成长!$B$36:$G$42,MATCH(CE$3,坦克等级成长!$B$35:$G$35,0)),0)</f>
        <v>1694</v>
      </c>
      <c r="CF19" s="33">
        <f>ROUND(坦克等级成长!$F116*VLOOKUP($BV$2,坦克等级成长!$B$36:$G$42,MATCH(CF$3,坦克等级成长!$B$35:$G$35,0)),0)</f>
        <v>160</v>
      </c>
      <c r="CG19" s="33">
        <f>ROUND(坦克等级成长!$F116*VLOOKUP($BV$2,坦克等级成长!$B$36:$G$42,MATCH(CG$3,坦克等级成长!$B$35:$G$35,0)),0)</f>
        <v>574</v>
      </c>
      <c r="CH19" s="33">
        <f t="shared" si="10"/>
        <v>574</v>
      </c>
      <c r="CI19" s="33">
        <v>467</v>
      </c>
      <c r="CJ19" s="33">
        <f>ROUND(坦克等级成长!$F116*VLOOKUP($BV$2,坦克等级成长!$B$36:$G$42,MATCH(CJ$3,坦克等级成长!$B$35:$G$35,0)),0)</f>
        <v>724</v>
      </c>
      <c r="CK19" s="33">
        <f>ROUND(坦克等级成长!$F116*VLOOKUP($BV$2,坦克等级成长!$B$36:$G$42,MATCH(CK$3,坦克等级成长!$B$35:$G$35,0)),0)</f>
        <v>169</v>
      </c>
      <c r="CL19" s="192"/>
      <c r="CM19" s="188"/>
      <c r="CN19" s="188"/>
      <c r="CO19" s="188"/>
      <c r="CP19" s="188"/>
      <c r="CQ19" s="188"/>
      <c r="CR19" s="188"/>
      <c r="CS19" s="199"/>
      <c r="CT19" s="192"/>
      <c r="CU19" s="188"/>
      <c r="CV19" s="188"/>
      <c r="CW19" s="188"/>
      <c r="CX19" s="188"/>
      <c r="CY19" s="188"/>
      <c r="CZ19" s="188"/>
      <c r="DA19" s="199"/>
      <c r="DB19" s="198">
        <v>11</v>
      </c>
      <c r="DC19" s="33">
        <f>ROUND(坦克等级成长!$F116*VLOOKUP($CT$2,坦克等级成长!$B$36:$G$42,MATCH(DC$3,坦克等级成长!$B$35:$G$35,0)),0)</f>
        <v>1608</v>
      </c>
      <c r="DD19" s="33">
        <f>ROUND(坦克等级成长!$F116*VLOOKUP($CT$2,坦克等级成长!$B$36:$G$42,MATCH(DD$3,坦克等级成长!$B$35:$G$35,0)),0)</f>
        <v>365</v>
      </c>
      <c r="DE19" s="33">
        <f>ROUND(坦克等级成长!$F116*VLOOKUP($CT$2,坦克等级成长!$B$36:$G$42,MATCH(DE$3,坦克等级成长!$B$35:$G$35,0)),0)</f>
        <v>718</v>
      </c>
      <c r="DF19" s="33">
        <f t="shared" si="11"/>
        <v>718</v>
      </c>
      <c r="DG19" s="33">
        <v>584</v>
      </c>
      <c r="DH19" s="33">
        <f>ROUND(坦克等级成长!$F116*VLOOKUP($CT$2,坦克等级成长!$B$36:$G$42,MATCH(DH$3,坦克等级成长!$B$35:$G$35,0)),0)</f>
        <v>603</v>
      </c>
      <c r="DI19" s="33">
        <f>ROUND(坦克等级成长!$F116*VLOOKUP($CT$2,坦克等级成长!$B$36:$G$42,MATCH(DI$3,坦克等级成长!$B$35:$G$35,0)),0)</f>
        <v>161</v>
      </c>
      <c r="DJ19" s="192"/>
      <c r="DK19" s="188"/>
      <c r="DL19" s="188"/>
      <c r="DM19" s="188"/>
      <c r="DN19" s="188"/>
      <c r="DO19" s="188"/>
      <c r="DP19" s="188"/>
      <c r="DQ19" s="199"/>
      <c r="DR19" s="192"/>
      <c r="DS19" s="188"/>
      <c r="DT19" s="188"/>
      <c r="DU19" s="188"/>
      <c r="DV19" s="188"/>
      <c r="DW19" s="188"/>
      <c r="DX19" s="188"/>
      <c r="DY19" s="199"/>
      <c r="DZ19" s="198">
        <v>11</v>
      </c>
      <c r="EA19" s="33">
        <f>ROUND(坦克等级成长!$F116*VLOOKUP($DR$2,坦克等级成长!$B$36:$G$42,MATCH(EA$3,坦克等级成长!$B$35:$G$35,0)),0)</f>
        <v>1829</v>
      </c>
      <c r="EB19" s="33">
        <f>ROUND(坦克等级成长!$F116*VLOOKUP($DR$2,坦克等级成长!$B$36:$G$42,MATCH(EB$3,坦克等级成长!$B$35:$G$35,0)),0)</f>
        <v>624</v>
      </c>
      <c r="EC19" s="33">
        <f>ROUND(坦克等级成长!$F116*VLOOKUP($DR$2,坦克等级成长!$B$36:$G$42,MATCH(EC$3,坦克等级成长!$B$35:$G$35,0)),0)</f>
        <v>574</v>
      </c>
      <c r="ED19" s="33">
        <f t="shared" si="12"/>
        <v>574</v>
      </c>
      <c r="EE19" s="33">
        <v>498</v>
      </c>
      <c r="EF19" s="33">
        <f>ROUND(坦克等级成长!$F116*VLOOKUP($DR$2,坦克等级成长!$B$36:$G$42,MATCH(EF$3,坦克等级成长!$B$35:$G$35,0)),0)</f>
        <v>844</v>
      </c>
      <c r="EG19" s="33">
        <f>ROUND(坦克等级成长!$F116*VLOOKUP($DR$2,坦克等级成长!$B$36:$G$42,MATCH(EG$3,坦克等级成长!$B$35:$G$35,0)),0)</f>
        <v>183</v>
      </c>
      <c r="EH19" s="192"/>
      <c r="EI19" s="188"/>
      <c r="EJ19" s="188"/>
      <c r="EK19" s="188"/>
      <c r="EL19" s="188"/>
      <c r="EM19" s="188"/>
      <c r="EN19" s="188"/>
      <c r="EO19" s="199"/>
      <c r="EP19" s="192"/>
      <c r="EQ19" s="188"/>
      <c r="ER19" s="188"/>
      <c r="ES19" s="188"/>
      <c r="ET19" s="188"/>
      <c r="EU19" s="188"/>
      <c r="EV19" s="188"/>
      <c r="EW19" s="199"/>
      <c r="EX19" s="198">
        <v>11</v>
      </c>
      <c r="EY19" s="33">
        <f>ROUND(坦克等级成长!$F116*VLOOKUP($EP$2,坦克等级成长!$B$36:$G$42,MATCH(EY$3,坦克等级成长!$B$35:$G$35,0)),0)</f>
        <v>1694</v>
      </c>
      <c r="EZ19" s="33">
        <f>ROUND(坦克等级成长!$F116*VLOOKUP($EP$2,坦克等级成长!$B$36:$G$42,MATCH(EZ$3,坦克等级成长!$B$35:$G$35,0)),0)</f>
        <v>194</v>
      </c>
      <c r="FA19" s="33">
        <f>ROUND(坦克等级成长!$F116*VLOOKUP($EP$2,坦克等级成长!$B$36:$G$42,MATCH(FA$3,坦克等级成长!$B$35:$G$35,0)),0)</f>
        <v>660</v>
      </c>
      <c r="FB19" s="33">
        <f t="shared" si="13"/>
        <v>660</v>
      </c>
      <c r="FC19" s="33">
        <v>537</v>
      </c>
      <c r="FD19" s="33">
        <f>ROUND(坦克等级成长!$F116*VLOOKUP($EP$2,坦克等级成长!$B$36:$G$42,MATCH(FD$3,坦克等级成长!$B$35:$G$35,0)),0)</f>
        <v>724</v>
      </c>
      <c r="FE19" s="33">
        <f>ROUND(坦克等级成长!$F116*VLOOKUP($EP$2,坦克等级成长!$B$36:$G$42,MATCH(FE$3,坦克等级成长!$B$35:$G$35,0)),0)</f>
        <v>169</v>
      </c>
      <c r="FF19" s="192"/>
      <c r="FG19" s="188"/>
      <c r="FH19" s="188"/>
      <c r="FI19" s="188"/>
      <c r="FJ19" s="188"/>
      <c r="FK19" s="188"/>
      <c r="FL19" s="188"/>
      <c r="FM19" s="199"/>
    </row>
    <row r="20" spans="1:169" ht="14.25" x14ac:dyDescent="0.3">
      <c r="A20" s="188">
        <v>2</v>
      </c>
      <c r="B20" s="192"/>
      <c r="C20" s="188"/>
      <c r="D20" s="188"/>
      <c r="E20" s="188"/>
      <c r="F20" s="188"/>
      <c r="G20" s="188"/>
      <c r="H20" s="188"/>
      <c r="I20" s="199"/>
      <c r="J20" s="198">
        <v>12</v>
      </c>
      <c r="K20" s="33">
        <f>ROUND(坦克等级成长!$F117*VLOOKUP($B$2,坦克等级成长!$B$36:$G$42,MATCH(K$3,坦克等级成长!$B$35:$G$35,0)),0)</f>
        <v>1680</v>
      </c>
      <c r="L20" s="33">
        <f>ROUND(坦克等级成长!$F117*VLOOKUP($B$2,坦克等级成长!$B$36:$G$42,MATCH(L$3,坦克等级成长!$B$35:$G$35,0)),0)</f>
        <v>183</v>
      </c>
      <c r="M20" s="33">
        <f>ROUND(坦克等级成长!$F117*VLOOKUP($B$2,坦克等级成长!$B$36:$G$42,MATCH(M$3,坦克等级成长!$B$35:$G$35,0)),0)</f>
        <v>630</v>
      </c>
      <c r="N20" s="33">
        <f t="shared" si="7"/>
        <v>630</v>
      </c>
      <c r="O20" s="33">
        <v>481</v>
      </c>
      <c r="P20" s="33">
        <f>ROUND(坦克等级成长!$F117*VLOOKUP($B$2,坦克等级成长!$B$36:$G$42,MATCH(P$3,坦克等级成长!$B$35:$G$35,0)),0)</f>
        <v>630</v>
      </c>
      <c r="Q20" s="33">
        <f>ROUND(坦克等级成长!$F117*VLOOKUP($B$2,坦克等级成长!$B$36:$G$42,MATCH(Q$3,坦克等级成长!$B$35:$G$35,0)),0)</f>
        <v>168</v>
      </c>
      <c r="R20" s="192"/>
      <c r="S20" s="188"/>
      <c r="T20" s="188"/>
      <c r="U20" s="188"/>
      <c r="V20" s="188"/>
      <c r="W20" s="188"/>
      <c r="X20" s="188"/>
      <c r="Y20" s="199"/>
      <c r="Z20" s="192"/>
      <c r="AA20" s="188"/>
      <c r="AB20" s="188"/>
      <c r="AC20" s="188"/>
      <c r="AD20" s="188"/>
      <c r="AE20" s="188"/>
      <c r="AF20" s="188"/>
      <c r="AG20" s="199"/>
      <c r="AH20" s="198">
        <v>12</v>
      </c>
      <c r="AI20" s="33">
        <f>ROUND(坦克等级成长!$F117*VLOOKUP($Z$2,坦克等级成长!$B$36:$G$42,MATCH(AI$3,坦克等级成长!$B$35:$G$35,0)),0)</f>
        <v>1680</v>
      </c>
      <c r="AJ20" s="33">
        <f>ROUND(坦克等级成长!$F117*VLOOKUP($Z$2,坦克等级成长!$B$36:$G$42,MATCH(AJ$3,坦克等级成长!$B$35:$G$35,0)),0)</f>
        <v>99</v>
      </c>
      <c r="AK20" s="33">
        <f>ROUND(坦克等级成长!$F117*VLOOKUP($Z$2,坦克等级成长!$B$36:$G$42,MATCH(AK$3,坦克等级成长!$B$35:$G$35,0)),0)</f>
        <v>690</v>
      </c>
      <c r="AL20" s="33">
        <f t="shared" si="8"/>
        <v>690</v>
      </c>
      <c r="AM20" s="33">
        <v>526</v>
      </c>
      <c r="AN20" s="33">
        <f>ROUND(坦克等级成长!$F117*VLOOKUP($Z$2,坦克等级成长!$B$36:$G$42,MATCH(AN$3,坦克等级成长!$B$35:$G$35,0)),0)</f>
        <v>630</v>
      </c>
      <c r="AO20" s="33">
        <f>ROUND(坦克等级成长!$F117*VLOOKUP($Z$2,坦克等级成长!$B$36:$G$42,MATCH(AO$3,坦克等级成长!$B$35:$G$35,0)),0)</f>
        <v>168</v>
      </c>
      <c r="AP20" s="192"/>
      <c r="AQ20" s="188"/>
      <c r="AR20" s="188"/>
      <c r="AS20" s="188"/>
      <c r="AT20" s="188"/>
      <c r="AU20" s="188"/>
      <c r="AV20" s="188"/>
      <c r="AW20" s="199"/>
      <c r="AX20" s="192"/>
      <c r="AY20" s="188"/>
      <c r="AZ20" s="188"/>
      <c r="BA20" s="188"/>
      <c r="BB20" s="188"/>
      <c r="BC20" s="188"/>
      <c r="BD20" s="188"/>
      <c r="BE20" s="199"/>
      <c r="BF20" s="198">
        <v>12</v>
      </c>
      <c r="BG20" s="33">
        <f>ROUND(坦克等级成长!$F117*VLOOKUP($AX$2,坦克等级成长!$B$36:$G$42,MATCH(BG$3,坦克等级成长!$B$35:$G$35,0)),0)</f>
        <v>1680</v>
      </c>
      <c r="BH20" s="33">
        <f>ROUND(坦克等级成长!$F117*VLOOKUP($AX$2,坦克等级成长!$B$36:$G$42,MATCH(BH$3,坦克等级成长!$B$35:$G$35,0)),0)</f>
        <v>183</v>
      </c>
      <c r="BI20" s="33">
        <f>ROUND(坦克等级成长!$F117*VLOOKUP($AX$2,坦克等级成长!$B$36:$G$42,MATCH(BI$3,坦克等级成长!$B$35:$G$35,0)),0)</f>
        <v>630</v>
      </c>
      <c r="BJ20" s="33">
        <f t="shared" si="9"/>
        <v>630</v>
      </c>
      <c r="BK20" s="33">
        <v>481</v>
      </c>
      <c r="BL20" s="33">
        <f>ROUND(坦克等级成长!$F117*VLOOKUP($AX$2,坦克等级成长!$B$36:$G$42,MATCH(BL$3,坦克等级成长!$B$35:$G$35,0)),0)</f>
        <v>630</v>
      </c>
      <c r="BM20" s="33">
        <f>ROUND(坦克等级成长!$F117*VLOOKUP($AX$2,坦克等级成长!$B$36:$G$42,MATCH(BM$3,坦克等级成长!$B$35:$G$35,0)),0)</f>
        <v>168</v>
      </c>
      <c r="BN20" s="192"/>
      <c r="BO20" s="188"/>
      <c r="BP20" s="188"/>
      <c r="BQ20" s="188"/>
      <c r="BR20" s="188"/>
      <c r="BS20" s="188"/>
      <c r="BT20" s="188"/>
      <c r="BU20" s="199"/>
      <c r="BV20" s="192"/>
      <c r="BW20" s="188"/>
      <c r="BX20" s="188"/>
      <c r="BY20" s="188"/>
      <c r="BZ20" s="188"/>
      <c r="CA20" s="188"/>
      <c r="CB20" s="188"/>
      <c r="CC20" s="199"/>
      <c r="CD20" s="198">
        <v>12</v>
      </c>
      <c r="CE20" s="33">
        <f>ROUND(坦克等级成长!$F117*VLOOKUP($BV$2,坦克等级成长!$B$36:$G$42,MATCH(CE$3,坦克等级成长!$B$35:$G$35,0)),0)</f>
        <v>1770</v>
      </c>
      <c r="CF20" s="33">
        <f>ROUND(坦克等级成长!$F117*VLOOKUP($BV$2,坦克等级成长!$B$36:$G$42,MATCH(CF$3,坦克等级成长!$B$35:$G$35,0)),0)</f>
        <v>167</v>
      </c>
      <c r="CG20" s="33">
        <f>ROUND(坦克等级成长!$F117*VLOOKUP($BV$2,坦克等级成长!$B$36:$G$42,MATCH(CG$3,坦克等级成长!$B$35:$G$35,0)),0)</f>
        <v>600</v>
      </c>
      <c r="CH20" s="33">
        <f t="shared" si="10"/>
        <v>600</v>
      </c>
      <c r="CI20" s="33">
        <v>491</v>
      </c>
      <c r="CJ20" s="33">
        <f>ROUND(坦克等级成长!$F117*VLOOKUP($BV$2,坦克等级成长!$B$36:$G$42,MATCH(CJ$3,坦克等级成长!$B$35:$G$35,0)),0)</f>
        <v>756</v>
      </c>
      <c r="CK20" s="33">
        <f>ROUND(坦克等级成长!$F117*VLOOKUP($BV$2,坦克等级成长!$B$36:$G$42,MATCH(CK$3,坦克等级成长!$B$35:$G$35,0)),0)</f>
        <v>177</v>
      </c>
      <c r="CL20" s="192"/>
      <c r="CM20" s="188"/>
      <c r="CN20" s="188"/>
      <c r="CO20" s="188"/>
      <c r="CP20" s="188"/>
      <c r="CQ20" s="188"/>
      <c r="CR20" s="188"/>
      <c r="CS20" s="199"/>
      <c r="CT20" s="192"/>
      <c r="CU20" s="188"/>
      <c r="CV20" s="188"/>
      <c r="CW20" s="188"/>
      <c r="CX20" s="188"/>
      <c r="CY20" s="188"/>
      <c r="CZ20" s="188"/>
      <c r="DA20" s="199"/>
      <c r="DB20" s="198">
        <v>12</v>
      </c>
      <c r="DC20" s="33">
        <f>ROUND(坦克等级成长!$F117*VLOOKUP($CT$2,坦克等级成长!$B$36:$G$42,MATCH(DC$3,坦克等级成长!$B$35:$G$35,0)),0)</f>
        <v>1680</v>
      </c>
      <c r="DD20" s="33">
        <f>ROUND(坦克等级成长!$F117*VLOOKUP($CT$2,坦克等级成长!$B$36:$G$42,MATCH(DD$3,坦克等级成长!$B$35:$G$35,0)),0)</f>
        <v>382</v>
      </c>
      <c r="DE20" s="33">
        <f>ROUND(坦克等级成长!$F117*VLOOKUP($CT$2,坦克等级成长!$B$36:$G$42,MATCH(DE$3,坦克等级成长!$B$35:$G$35,0)),0)</f>
        <v>750</v>
      </c>
      <c r="DF20" s="33">
        <f t="shared" si="11"/>
        <v>750</v>
      </c>
      <c r="DG20" s="33">
        <v>614</v>
      </c>
      <c r="DH20" s="33">
        <f>ROUND(坦克等级成长!$F117*VLOOKUP($CT$2,坦克等级成长!$B$36:$G$42,MATCH(DH$3,坦克等级成长!$B$35:$G$35,0)),0)</f>
        <v>630</v>
      </c>
      <c r="DI20" s="33">
        <f>ROUND(坦克等级成长!$F117*VLOOKUP($CT$2,坦克等级成长!$B$36:$G$42,MATCH(DI$3,坦克等级成长!$B$35:$G$35,0)),0)</f>
        <v>168</v>
      </c>
      <c r="DJ20" s="192"/>
      <c r="DK20" s="188"/>
      <c r="DL20" s="188"/>
      <c r="DM20" s="188"/>
      <c r="DN20" s="188"/>
      <c r="DO20" s="188"/>
      <c r="DP20" s="188"/>
      <c r="DQ20" s="199"/>
      <c r="DR20" s="192"/>
      <c r="DS20" s="188"/>
      <c r="DT20" s="188"/>
      <c r="DU20" s="188"/>
      <c r="DV20" s="188"/>
      <c r="DW20" s="188"/>
      <c r="DX20" s="188"/>
      <c r="DY20" s="199"/>
      <c r="DZ20" s="198">
        <v>12</v>
      </c>
      <c r="EA20" s="33">
        <f>ROUND(坦克等级成长!$F117*VLOOKUP($DR$2,坦克等级成长!$B$36:$G$42,MATCH(EA$3,坦克等级成长!$B$35:$G$35,0)),0)</f>
        <v>1911</v>
      </c>
      <c r="EB20" s="33">
        <f>ROUND(坦克等级成长!$F117*VLOOKUP($DR$2,坦克等级成长!$B$36:$G$42,MATCH(EB$3,坦克等级成长!$B$35:$G$35,0)),0)</f>
        <v>652</v>
      </c>
      <c r="EC20" s="33">
        <f>ROUND(坦克等级成长!$F117*VLOOKUP($DR$2,坦克等级成长!$B$36:$G$42,MATCH(EC$3,坦克等级成长!$B$35:$G$35,0)),0)</f>
        <v>600</v>
      </c>
      <c r="ED20" s="33">
        <f t="shared" si="12"/>
        <v>600</v>
      </c>
      <c r="EE20" s="33">
        <v>523</v>
      </c>
      <c r="EF20" s="33">
        <f>ROUND(坦克等级成长!$F117*VLOOKUP($DR$2,坦克等级成长!$B$36:$G$42,MATCH(EF$3,坦克等级成长!$B$35:$G$35,0)),0)</f>
        <v>882</v>
      </c>
      <c r="EG20" s="33">
        <f>ROUND(坦克等级成长!$F117*VLOOKUP($DR$2,坦克等级成长!$B$36:$G$42,MATCH(EG$3,坦克等级成长!$B$35:$G$35,0)),0)</f>
        <v>191</v>
      </c>
      <c r="EH20" s="192"/>
      <c r="EI20" s="188"/>
      <c r="EJ20" s="188"/>
      <c r="EK20" s="188"/>
      <c r="EL20" s="188"/>
      <c r="EM20" s="188"/>
      <c r="EN20" s="188"/>
      <c r="EO20" s="199"/>
      <c r="EP20" s="192"/>
      <c r="EQ20" s="188"/>
      <c r="ER20" s="188"/>
      <c r="ES20" s="188"/>
      <c r="ET20" s="188"/>
      <c r="EU20" s="188"/>
      <c r="EV20" s="188"/>
      <c r="EW20" s="199"/>
      <c r="EX20" s="198">
        <v>12</v>
      </c>
      <c r="EY20" s="33">
        <f>ROUND(坦克等级成长!$F117*VLOOKUP($EP$2,坦克等级成长!$B$36:$G$42,MATCH(EY$3,坦克等级成长!$B$35:$G$35,0)),0)</f>
        <v>1770</v>
      </c>
      <c r="EZ20" s="33">
        <f>ROUND(坦克等级成长!$F117*VLOOKUP($EP$2,坦克等级成长!$B$36:$G$42,MATCH(EZ$3,坦克等级成长!$B$35:$G$35,0)),0)</f>
        <v>203</v>
      </c>
      <c r="FA20" s="33">
        <f>ROUND(坦克等级成长!$F117*VLOOKUP($EP$2,坦克等级成长!$B$36:$G$42,MATCH(FA$3,坦克等级成长!$B$35:$G$35,0)),0)</f>
        <v>690</v>
      </c>
      <c r="FB20" s="33">
        <f t="shared" si="13"/>
        <v>690</v>
      </c>
      <c r="FC20" s="33">
        <v>564</v>
      </c>
      <c r="FD20" s="33">
        <f>ROUND(坦克等级成长!$F117*VLOOKUP($EP$2,坦克等级成长!$B$36:$G$42,MATCH(FD$3,坦克等级成长!$B$35:$G$35,0)),0)</f>
        <v>756</v>
      </c>
      <c r="FE20" s="33">
        <f>ROUND(坦克等级成长!$F117*VLOOKUP($EP$2,坦克等级成长!$B$36:$G$42,MATCH(FE$3,坦克等级成长!$B$35:$G$35,0)),0)</f>
        <v>177</v>
      </c>
      <c r="FF20" s="192"/>
      <c r="FG20" s="188"/>
      <c r="FH20" s="188"/>
      <c r="FI20" s="188"/>
      <c r="FJ20" s="188"/>
      <c r="FK20" s="188"/>
      <c r="FL20" s="188"/>
      <c r="FM20" s="199"/>
    </row>
    <row r="21" spans="1:169" ht="14.25" x14ac:dyDescent="0.3">
      <c r="A21" s="188">
        <v>3</v>
      </c>
      <c r="B21" s="191">
        <v>1</v>
      </c>
      <c r="C21" s="33">
        <f>ROUND(坦克等级成长!$D118*VLOOKUP($B$2,坦克等级成长!$B$36:$G$42,MATCH(C$3,坦克等级成长!$B$35:$G$35,0)),0)</f>
        <v>1144</v>
      </c>
      <c r="D21" s="33">
        <f>ROUND(坦克等级成长!$D118*VLOOKUP($B$2,坦克等级成长!$B$36:$G$42,MATCH(D$3,坦克等级成长!$B$35:$G$35,0)),0)</f>
        <v>124</v>
      </c>
      <c r="E21" s="33">
        <f>ROUND(坦克等级成长!$D118*VLOOKUP($B$2,坦克等级成长!$B$36:$G$42,MATCH(E$3,坦克等级成长!$B$35:$G$35,0)),0)</f>
        <v>429</v>
      </c>
      <c r="F21" s="33">
        <f t="shared" ref="F21:F29" si="14">E21</f>
        <v>429</v>
      </c>
      <c r="G21" s="33">
        <v>310.8</v>
      </c>
      <c r="H21" s="33">
        <f>ROUND(坦克等级成长!$D118*VLOOKUP($B$2,坦克等级成长!$B$36:$G$42,MATCH(H$3,坦克等级成长!$B$35:$G$35,0)),0)</f>
        <v>429</v>
      </c>
      <c r="I21" s="33">
        <f>ROUND(坦克等级成长!$D118*VLOOKUP($B$2,坦克等级成长!$B$36:$G$42,MATCH(I$3,坦克等级成长!$B$35:$G$35,0)),0)</f>
        <v>114</v>
      </c>
      <c r="J21" s="198">
        <v>1</v>
      </c>
      <c r="K21" s="33">
        <f>ROUND(坦克等级成长!$F118*VLOOKUP($B$2,坦克等级成长!$B$36:$G$42,MATCH(K$3,坦克等级成长!$B$35:$G$35,0)),0)</f>
        <v>1168</v>
      </c>
      <c r="L21" s="33">
        <f>ROUND(坦克等级成长!$F118*VLOOKUP($B$2,坦克等级成长!$B$36:$G$42,MATCH(L$3,坦克等级成长!$B$35:$G$35,0)),0)</f>
        <v>127</v>
      </c>
      <c r="M21" s="33">
        <f>ROUND(坦克等级成长!$F118*VLOOKUP($B$2,坦克等级成长!$B$36:$G$42,MATCH(M$3,坦克等级成长!$B$35:$G$35,0)),0)</f>
        <v>438</v>
      </c>
      <c r="N21" s="33">
        <f t="shared" si="7"/>
        <v>438</v>
      </c>
      <c r="O21" s="33">
        <v>323</v>
      </c>
      <c r="P21" s="33">
        <f>ROUND(坦克等级成长!$F118*VLOOKUP($B$2,坦克等级成长!$B$36:$G$42,MATCH(P$3,坦克等级成长!$B$35:$G$35,0)),0)</f>
        <v>438</v>
      </c>
      <c r="Q21" s="33">
        <f>ROUND(坦克等级成长!$F118*VLOOKUP($B$2,坦克等级成长!$B$36:$G$42,MATCH(Q$3,坦克等级成长!$B$35:$G$35,0)),0)</f>
        <v>117</v>
      </c>
      <c r="R21" s="191">
        <v>1</v>
      </c>
      <c r="S21" s="33">
        <f>ROUND(坦克等级成长!$H118*VLOOKUP($B$2,坦克等级成长!$B$36:$G$42,MATCH(S$3,坦克等级成长!$B$35:$G$35,0)),0)</f>
        <v>1192</v>
      </c>
      <c r="T21" s="33">
        <f>ROUND(坦克等级成长!$H118*VLOOKUP($B$2,坦克等级成长!$B$36:$G$42,MATCH(T$3,坦克等级成长!$B$35:$G$35,0)),0)</f>
        <v>130</v>
      </c>
      <c r="U21" s="33">
        <f>ROUND(坦克等级成长!$H118*VLOOKUP($B$2,坦克等级成长!$B$36:$G$42,MATCH(U$3,坦克等级成长!$B$35:$G$35,0)),0)</f>
        <v>447</v>
      </c>
      <c r="V21" s="33">
        <f>U21</f>
        <v>447</v>
      </c>
      <c r="W21" s="33">
        <v>323</v>
      </c>
      <c r="X21" s="33">
        <f>ROUND(坦克等级成长!$H118*VLOOKUP($B$2,坦克等级成长!$B$36:$G$42,MATCH(X$3,坦克等级成长!$B$35:$G$35,0)),0)</f>
        <v>447</v>
      </c>
      <c r="Y21" s="33">
        <f>ROUND(坦克等级成长!$H118*VLOOKUP($B$2,坦克等级成长!$B$36:$G$42,MATCH(Y$3,坦克等级成长!$B$35:$G$35,0)),0)</f>
        <v>119</v>
      </c>
      <c r="Z21" s="191">
        <v>1</v>
      </c>
      <c r="AA21" s="33">
        <f>ROUND(坦克等级成长!$D118*VLOOKUP($Z$2,坦克等级成长!$B$36:$G$42,MATCH(AA$3,坦克等级成长!$B$35:$G$35,0)),0)</f>
        <v>1144</v>
      </c>
      <c r="AB21" s="33">
        <f>ROUND(坦克等级成长!$D118*VLOOKUP($Z$2,坦克等级成长!$B$36:$G$42,MATCH(AB$3,坦克等级成长!$B$35:$G$35,0)),0)</f>
        <v>67</v>
      </c>
      <c r="AC21" s="33">
        <f>ROUND(坦克等级成长!$D118*VLOOKUP($Z$2,坦克等级成长!$B$36:$G$42,MATCH(AC$3,坦克等级成长!$B$35:$G$35,0)),0)</f>
        <v>470</v>
      </c>
      <c r="AD21" s="33">
        <f t="shared" ref="AD21:AD29" si="15">AC21</f>
        <v>470</v>
      </c>
      <c r="AE21" s="33">
        <v>340.2</v>
      </c>
      <c r="AF21" s="33">
        <f>ROUND(坦克等级成长!$D118*VLOOKUP($Z$2,坦克等级成长!$B$36:$G$42,MATCH(AF$3,坦克等级成长!$B$35:$G$35,0)),0)</f>
        <v>429</v>
      </c>
      <c r="AG21" s="33">
        <f>ROUND(坦克等级成长!$D118*VLOOKUP($Z$2,坦克等级成长!$B$36:$G$42,MATCH(AG$3,坦克等级成长!$B$35:$G$35,0)),0)</f>
        <v>114</v>
      </c>
      <c r="AH21" s="198">
        <v>1</v>
      </c>
      <c r="AI21" s="33">
        <f>ROUND(坦克等级成长!$F118*VLOOKUP($Z$2,坦克等级成长!$B$36:$G$42,MATCH(AI$3,坦克等级成长!$B$35:$G$35,0)),0)</f>
        <v>1168</v>
      </c>
      <c r="AJ21" s="33">
        <f>ROUND(坦克等级成长!$F118*VLOOKUP($Z$2,坦克等级成长!$B$36:$G$42,MATCH(AJ$3,坦克等级成长!$B$35:$G$35,0)),0)</f>
        <v>69</v>
      </c>
      <c r="AK21" s="33">
        <f>ROUND(坦克等级成长!$F118*VLOOKUP($Z$2,坦克等级成长!$B$36:$G$42,MATCH(AK$3,坦克等级成长!$B$35:$G$35,0)),0)</f>
        <v>480</v>
      </c>
      <c r="AL21" s="33">
        <f t="shared" si="8"/>
        <v>480</v>
      </c>
      <c r="AM21" s="33">
        <v>354</v>
      </c>
      <c r="AN21" s="33">
        <f>ROUND(坦克等级成长!$F118*VLOOKUP($Z$2,坦克等级成长!$B$36:$G$42,MATCH(AN$3,坦克等级成长!$B$35:$G$35,0)),0)</f>
        <v>438</v>
      </c>
      <c r="AO21" s="33">
        <f>ROUND(坦克等级成长!$F118*VLOOKUP($Z$2,坦克等级成长!$B$36:$G$42,MATCH(AO$3,坦克等级成长!$B$35:$G$35,0)),0)</f>
        <v>117</v>
      </c>
      <c r="AP21" s="191">
        <v>1</v>
      </c>
      <c r="AQ21" s="33">
        <f>ROUND(坦克等级成长!$H118*VLOOKUP($Z$2,坦克等级成长!$B$36:$G$42,MATCH(AQ$3,坦克等级成长!$B$35:$G$35,0)),0)</f>
        <v>1192</v>
      </c>
      <c r="AR21" s="33">
        <f>ROUND(坦克等级成长!$H118*VLOOKUP($Z$2,坦克等级成长!$B$36:$G$42,MATCH(AR$3,坦克等级成长!$B$35:$G$35,0)),0)</f>
        <v>70</v>
      </c>
      <c r="AS21" s="33">
        <f>ROUND(坦克等级成长!$H118*VLOOKUP($Z$2,坦克等级成长!$B$36:$G$42,MATCH(AS$3,坦克等级成长!$B$35:$G$35,0)),0)</f>
        <v>490</v>
      </c>
      <c r="AT21" s="33">
        <f>AS21</f>
        <v>490</v>
      </c>
      <c r="AU21" s="33">
        <v>354</v>
      </c>
      <c r="AV21" s="33">
        <f>ROUND(坦克等级成长!$H118*VLOOKUP($Z$2,坦克等级成长!$B$36:$G$42,MATCH(AV$3,坦克等级成长!$B$35:$G$35,0)),0)</f>
        <v>447</v>
      </c>
      <c r="AW21" s="33">
        <f>ROUND(坦克等级成长!$H118*VLOOKUP($Z$2,坦克等级成长!$B$36:$G$42,MATCH(AW$3,坦克等级成长!$B$35:$G$35,0)),0)</f>
        <v>119</v>
      </c>
      <c r="AX21" s="191">
        <v>1</v>
      </c>
      <c r="AY21" s="33">
        <f>ROUND(坦克等级成长!$D118*VLOOKUP($AX$2,坦克等级成长!$B$36:$G$42,MATCH(AY$3,坦克等级成长!$B$35:$G$35,0)),0)</f>
        <v>1144</v>
      </c>
      <c r="AZ21" s="33">
        <f>ROUND(坦克等级成长!$D118*VLOOKUP($AX$2,坦克等级成长!$B$36:$G$42,MATCH(AZ$3,坦克等级成长!$B$35:$G$35,0)),0)</f>
        <v>124</v>
      </c>
      <c r="BA21" s="33">
        <f>ROUND(坦克等级成长!$D118*VLOOKUP($AX$2,坦克等级成长!$B$36:$G$42,MATCH(BA$3,坦克等级成长!$B$35:$G$35,0)),0)</f>
        <v>429</v>
      </c>
      <c r="BB21" s="33">
        <f t="shared" ref="BB21:BB29" si="16">BA21</f>
        <v>429</v>
      </c>
      <c r="BC21" s="33">
        <v>310.8</v>
      </c>
      <c r="BD21" s="33">
        <f>ROUND(坦克等级成长!$D118*VLOOKUP($AX$2,坦克等级成长!$B$36:$G$42,MATCH(BD$3,坦克等级成长!$B$35:$G$35,0)),0)</f>
        <v>429</v>
      </c>
      <c r="BE21" s="33">
        <f>ROUND(坦克等级成长!$D118*VLOOKUP($AX$2,坦克等级成长!$B$36:$G$42,MATCH(BE$3,坦克等级成长!$B$35:$G$35,0)),0)</f>
        <v>114</v>
      </c>
      <c r="BF21" s="198">
        <v>1</v>
      </c>
      <c r="BG21" s="33">
        <f>ROUND(坦克等级成长!$F118*VLOOKUP($AX$2,坦克等级成长!$B$36:$G$42,MATCH(BG$3,坦克等级成长!$B$35:$G$35,0)),0)</f>
        <v>1168</v>
      </c>
      <c r="BH21" s="33">
        <f>ROUND(坦克等级成长!$F118*VLOOKUP($AX$2,坦克等级成长!$B$36:$G$42,MATCH(BH$3,坦克等级成长!$B$35:$G$35,0)),0)</f>
        <v>127</v>
      </c>
      <c r="BI21" s="33">
        <f>ROUND(坦克等级成长!$F118*VLOOKUP($AX$2,坦克等级成长!$B$36:$G$42,MATCH(BI$3,坦克等级成长!$B$35:$G$35,0)),0)</f>
        <v>438</v>
      </c>
      <c r="BJ21" s="33">
        <f t="shared" si="9"/>
        <v>438</v>
      </c>
      <c r="BK21" s="33">
        <v>323</v>
      </c>
      <c r="BL21" s="33">
        <f>ROUND(坦克等级成长!$F118*VLOOKUP($AX$2,坦克等级成长!$B$36:$G$42,MATCH(BL$3,坦克等级成长!$B$35:$G$35,0)),0)</f>
        <v>438</v>
      </c>
      <c r="BM21" s="33">
        <f>ROUND(坦克等级成长!$F118*VLOOKUP($AX$2,坦克等级成长!$B$36:$G$42,MATCH(BM$3,坦克等级成长!$B$35:$G$35,0)),0)</f>
        <v>117</v>
      </c>
      <c r="BN21" s="191">
        <v>1</v>
      </c>
      <c r="BO21" s="33">
        <f>ROUND(坦克等级成长!$H118*VLOOKUP($AX$2,坦克等级成长!$B$36:$G$42,MATCH(BO$3,坦克等级成长!$B$35:$G$35,0)),0)</f>
        <v>1192</v>
      </c>
      <c r="BP21" s="33">
        <f>ROUND(坦克等级成长!$H118*VLOOKUP($AX$2,坦克等级成长!$B$36:$G$42,MATCH(BP$3,坦克等级成长!$B$35:$G$35,0)),0)</f>
        <v>130</v>
      </c>
      <c r="BQ21" s="33">
        <f>ROUND(坦克等级成长!$H118*VLOOKUP($AX$2,坦克等级成长!$B$36:$G$42,MATCH(BQ$3,坦克等级成长!$B$35:$G$35,0)),0)</f>
        <v>447</v>
      </c>
      <c r="BR21" s="33">
        <f>BQ21</f>
        <v>447</v>
      </c>
      <c r="BS21" s="33">
        <v>323</v>
      </c>
      <c r="BT21" s="33">
        <f>ROUND(坦克等级成长!$H118*VLOOKUP($AX$2,坦克等级成长!$B$36:$G$42,MATCH(BT$3,坦克等级成长!$B$35:$G$35,0)),0)</f>
        <v>447</v>
      </c>
      <c r="BU21" s="33">
        <f>ROUND(坦克等级成长!$H118*VLOOKUP($AX$2,坦克等级成长!$B$36:$G$42,MATCH(BU$3,坦克等级成长!$B$35:$G$35,0)),0)</f>
        <v>119</v>
      </c>
      <c r="BV21" s="191">
        <v>1</v>
      </c>
      <c r="BW21" s="33">
        <f>ROUND(坦克等级成长!$D118*VLOOKUP($BV$2,坦克等级成长!$B$36:$G$42,MATCH(BW$3,坦克等级成长!$B$35:$G$35,0)),0)</f>
        <v>1205</v>
      </c>
      <c r="BX21" s="33">
        <f>ROUND(坦克等级成长!$D118*VLOOKUP($BV$2,坦克等级成长!$B$36:$G$42,MATCH(BX$3,坦克等级成长!$B$35:$G$35,0)),0)</f>
        <v>114</v>
      </c>
      <c r="BY21" s="33">
        <f>ROUND(坦克等级成长!$D118*VLOOKUP($BV$2,坦克等级成长!$B$36:$G$42,MATCH(BY$3,坦克等级成长!$B$35:$G$35,0)),0)</f>
        <v>409</v>
      </c>
      <c r="BZ21" s="33">
        <f t="shared" ref="BZ21:BZ29" si="17">BY21</f>
        <v>409</v>
      </c>
      <c r="CA21" s="33">
        <v>317.25</v>
      </c>
      <c r="CB21" s="33">
        <f>ROUND(坦克等级成长!$D118*VLOOKUP($BV$2,坦克等级成长!$B$36:$G$42,MATCH(CB$3,坦克等级成长!$B$35:$G$35,0)),0)</f>
        <v>515</v>
      </c>
      <c r="CC21" s="33">
        <f>ROUND(坦克等级成长!$D118*VLOOKUP($BV$2,坦克等级成长!$B$36:$G$42,MATCH(CC$3,坦克等级成长!$B$35:$G$35,0)),0)</f>
        <v>121</v>
      </c>
      <c r="CD21" s="198">
        <v>1</v>
      </c>
      <c r="CE21" s="33">
        <f>ROUND(坦克等级成长!$F118*VLOOKUP($BV$2,坦克等级成长!$B$36:$G$42,MATCH(CE$3,坦克等级成长!$B$35:$G$35,0)),0)</f>
        <v>1231</v>
      </c>
      <c r="CF21" s="33">
        <f>ROUND(坦克等级成长!$F118*VLOOKUP($BV$2,坦克等级成长!$B$36:$G$42,MATCH(CF$3,坦克等级成长!$B$35:$G$35,0)),0)</f>
        <v>116</v>
      </c>
      <c r="CG21" s="33">
        <f>ROUND(坦克等级成长!$F118*VLOOKUP($BV$2,坦克等级成长!$B$36:$G$42,MATCH(CG$3,坦克等级成长!$B$35:$G$35,0)),0)</f>
        <v>417</v>
      </c>
      <c r="CH21" s="33">
        <f t="shared" si="10"/>
        <v>417</v>
      </c>
      <c r="CI21" s="33">
        <v>330</v>
      </c>
      <c r="CJ21" s="33">
        <f>ROUND(坦克等级成长!$F118*VLOOKUP($BV$2,坦克等级成长!$B$36:$G$42,MATCH(CJ$3,坦克等级成长!$B$35:$G$35,0)),0)</f>
        <v>526</v>
      </c>
      <c r="CK21" s="33">
        <f>ROUND(坦克等级成长!$F118*VLOOKUP($BV$2,坦克等级成长!$B$36:$G$42,MATCH(CK$3,坦克等级成长!$B$35:$G$35,0)),0)</f>
        <v>123</v>
      </c>
      <c r="CL21" s="191">
        <v>1</v>
      </c>
      <c r="CM21" s="33">
        <f>ROUND(坦克等级成长!$H118*VLOOKUP($BV$2,坦克等级成长!$B$36:$G$42,MATCH(CM$3,坦克等级成长!$B$35:$G$35,0)),0)</f>
        <v>1256</v>
      </c>
      <c r="CN21" s="33">
        <f>ROUND(坦克等级成长!$H118*VLOOKUP($BV$2,坦克等级成长!$B$36:$G$42,MATCH(CN$3,坦克等级成长!$B$35:$G$35,0)),0)</f>
        <v>118</v>
      </c>
      <c r="CO21" s="33">
        <f>ROUND(坦克等级成长!$H118*VLOOKUP($BV$2,坦克等级成长!$B$36:$G$42,MATCH(CO$3,坦克等级成长!$B$35:$G$35,0)),0)</f>
        <v>426</v>
      </c>
      <c r="CP21" s="33">
        <f>CO21</f>
        <v>426</v>
      </c>
      <c r="CQ21" s="33">
        <v>330</v>
      </c>
      <c r="CR21" s="33">
        <f>ROUND(坦克等级成长!$H118*VLOOKUP($BV$2,坦克等级成长!$B$36:$G$42,MATCH(CR$3,坦克等级成长!$B$35:$G$35,0)),0)</f>
        <v>536</v>
      </c>
      <c r="CS21" s="33">
        <f>ROUND(坦克等级成长!$H118*VLOOKUP($BV$2,坦克等级成长!$B$36:$G$42,MATCH(CS$3,坦克等级成长!$B$35:$G$35,0)),0)</f>
        <v>126</v>
      </c>
      <c r="CT21" s="191">
        <v>1</v>
      </c>
      <c r="CU21" s="33">
        <f>ROUND(坦克等级成长!$D118*VLOOKUP($CT$2,坦克等级成长!$B$36:$G$42,MATCH(CU$3,坦克等级成长!$B$35:$G$35,0)),0)</f>
        <v>1144</v>
      </c>
      <c r="CV21" s="33">
        <f>ROUND(坦克等级成长!$D118*VLOOKUP($CT$2,坦克等级成长!$B$36:$G$42,MATCH(CV$3,坦克等级成长!$B$35:$G$35,0)),0)</f>
        <v>260</v>
      </c>
      <c r="CW21" s="33">
        <f>ROUND(坦克等级成长!$D118*VLOOKUP($CT$2,坦克等级成长!$B$36:$G$42,MATCH(CW$3,坦克等级成长!$B$35:$G$35,0)),0)</f>
        <v>511</v>
      </c>
      <c r="CX21" s="33">
        <f t="shared" ref="CX21:CX29" si="18">CW21</f>
        <v>511</v>
      </c>
      <c r="CY21" s="33">
        <v>396.75</v>
      </c>
      <c r="CZ21" s="33">
        <f>ROUND(坦克等级成长!$D118*VLOOKUP($CT$2,坦克等级成长!$B$36:$G$42,MATCH(CZ$3,坦克等级成长!$B$35:$G$35,0)),0)</f>
        <v>429</v>
      </c>
      <c r="DA21" s="33">
        <f>ROUND(坦克等级成长!$D118*VLOOKUP($CT$2,坦克等级成长!$B$36:$G$42,MATCH(DA$3,坦克等级成长!$B$35:$G$35,0)),0)</f>
        <v>114</v>
      </c>
      <c r="DB21" s="198">
        <v>1</v>
      </c>
      <c r="DC21" s="33">
        <f>ROUND(坦克等级成长!$F118*VLOOKUP($CT$2,坦克等级成长!$B$36:$G$42,MATCH(DC$3,坦克等级成长!$B$35:$G$35,0)),0)</f>
        <v>1168</v>
      </c>
      <c r="DD21" s="33">
        <f>ROUND(坦克等级成长!$F118*VLOOKUP($CT$2,坦克等级成长!$B$36:$G$42,MATCH(DD$3,坦克等级成长!$B$35:$G$35,0)),0)</f>
        <v>265</v>
      </c>
      <c r="DE21" s="33">
        <f>ROUND(坦克等级成长!$F118*VLOOKUP($CT$2,坦克等级成长!$B$36:$G$42,MATCH(DE$3,坦克等级成长!$B$35:$G$35,0)),0)</f>
        <v>521</v>
      </c>
      <c r="DF21" s="33">
        <f t="shared" si="11"/>
        <v>521</v>
      </c>
      <c r="DG21" s="33">
        <v>413</v>
      </c>
      <c r="DH21" s="33">
        <f>ROUND(坦克等级成长!$F118*VLOOKUP($CT$2,坦克等级成长!$B$36:$G$42,MATCH(DH$3,坦克等级成长!$B$35:$G$35,0)),0)</f>
        <v>438</v>
      </c>
      <c r="DI21" s="33">
        <f>ROUND(坦克等级成长!$F118*VLOOKUP($CT$2,坦克等级成长!$B$36:$G$42,MATCH(DI$3,坦克等级成长!$B$35:$G$35,0)),0)</f>
        <v>117</v>
      </c>
      <c r="DJ21" s="191">
        <v>1</v>
      </c>
      <c r="DK21" s="33">
        <f>ROUND(坦克等级成长!$H118*VLOOKUP($CT$2,坦克等级成长!$B$36:$G$42,MATCH(DK$3,坦克等级成长!$B$35:$G$35,0)),0)</f>
        <v>1192</v>
      </c>
      <c r="DL21" s="33">
        <f>ROUND(坦克等级成长!$H118*VLOOKUP($CT$2,坦克等级成长!$B$36:$G$42,MATCH(DL$3,坦克等级成长!$B$35:$G$35,0)),0)</f>
        <v>271</v>
      </c>
      <c r="DM21" s="33">
        <f>ROUND(坦克等级成长!$H118*VLOOKUP($CT$2,坦克等级成长!$B$36:$G$42,MATCH(DM$3,坦克等级成长!$B$35:$G$35,0)),0)</f>
        <v>532</v>
      </c>
      <c r="DN21" s="33">
        <f>DM21</f>
        <v>532</v>
      </c>
      <c r="DO21" s="33">
        <v>413</v>
      </c>
      <c r="DP21" s="33">
        <f>ROUND(坦克等级成长!$H118*VLOOKUP($CT$2,坦克等级成长!$B$36:$G$42,MATCH(DP$3,坦克等级成长!$B$35:$G$35,0)),0)</f>
        <v>447</v>
      </c>
      <c r="DQ21" s="33">
        <f>ROUND(坦克等级成长!$H118*VLOOKUP($CT$2,坦克等级成长!$B$36:$G$42,MATCH(DQ$3,坦克等级成长!$B$35:$G$35,0)),0)</f>
        <v>119</v>
      </c>
      <c r="DR21" s="191">
        <v>1</v>
      </c>
      <c r="DS21" s="33">
        <f>ROUND(坦克等级成长!$D118*VLOOKUP($DR$2,坦克等级成长!$B$36:$G$42,MATCH(DS$3,坦克等级成长!$B$35:$G$35,0)),0)</f>
        <v>1302</v>
      </c>
      <c r="DT21" s="33">
        <f>ROUND(坦克等级成长!$D118*VLOOKUP($DR$2,坦克等级成长!$B$36:$G$42,MATCH(DT$3,坦克等级成长!$B$35:$G$35,0)),0)</f>
        <v>444</v>
      </c>
      <c r="DU21" s="33">
        <f>ROUND(坦克等级成长!$D118*VLOOKUP($DR$2,坦克等级成长!$B$36:$G$42,MATCH(DU$3,坦克等级成长!$B$35:$G$35,0)),0)</f>
        <v>409</v>
      </c>
      <c r="DV21" s="33">
        <f t="shared" ref="DV21:DV29" si="19">DU21</f>
        <v>409</v>
      </c>
      <c r="DW21" s="33">
        <v>338.4</v>
      </c>
      <c r="DX21" s="33">
        <f>ROUND(坦克等级成长!$D118*VLOOKUP($DR$2,坦克等级成长!$B$36:$G$42,MATCH(DX$3,坦克等级成长!$B$35:$G$35,0)),0)</f>
        <v>601</v>
      </c>
      <c r="DY21" s="33">
        <f>ROUND(坦克等级成长!$D118*VLOOKUP($DR$2,坦克等级成长!$B$36:$G$42,MATCH(DY$3,坦克等级成长!$B$35:$G$35,0)),0)</f>
        <v>130</v>
      </c>
      <c r="DZ21" s="198">
        <v>1</v>
      </c>
      <c r="EA21" s="33">
        <f>ROUND(坦克等级成长!$F118*VLOOKUP($DR$2,坦克等级成长!$B$36:$G$42,MATCH(EA$3,坦克等级成长!$B$35:$G$35,0)),0)</f>
        <v>1329</v>
      </c>
      <c r="EB21" s="33">
        <f>ROUND(坦克等级成长!$F118*VLOOKUP($DR$2,坦克等级成长!$B$36:$G$42,MATCH(EB$3,坦克等级成长!$B$35:$G$35,0)),0)</f>
        <v>453</v>
      </c>
      <c r="EC21" s="33">
        <f>ROUND(坦克等级成长!$F118*VLOOKUP($DR$2,坦克等级成长!$B$36:$G$42,MATCH(EC$3,坦克等级成长!$B$35:$G$35,0)),0)</f>
        <v>417</v>
      </c>
      <c r="ED21" s="33">
        <f t="shared" si="12"/>
        <v>417</v>
      </c>
      <c r="EE21" s="33">
        <v>352</v>
      </c>
      <c r="EF21" s="33">
        <f>ROUND(坦克等级成长!$F118*VLOOKUP($DR$2,坦克等级成长!$B$36:$G$42,MATCH(EF$3,坦克等级成长!$B$35:$G$35,0)),0)</f>
        <v>613</v>
      </c>
      <c r="EG21" s="33">
        <f>ROUND(坦克等级成长!$F118*VLOOKUP($DR$2,坦克等级成长!$B$36:$G$42,MATCH(EG$3,坦克等级成长!$B$35:$G$35,0)),0)</f>
        <v>133</v>
      </c>
      <c r="EH21" s="191">
        <v>1</v>
      </c>
      <c r="EI21" s="33">
        <f>ROUND(坦克等级成长!$H118*VLOOKUP($DR$2,坦克等级成长!$B$36:$G$42,MATCH(EI$3,坦克等级成长!$B$35:$G$35,0)),0)</f>
        <v>1356</v>
      </c>
      <c r="EJ21" s="33">
        <f>ROUND(坦克等级成长!$H118*VLOOKUP($DR$2,坦克等级成长!$B$36:$G$42,MATCH(EJ$3,坦克等级成长!$B$35:$G$35,0)),0)</f>
        <v>463</v>
      </c>
      <c r="EK21" s="33">
        <f>ROUND(坦克等级成长!$H118*VLOOKUP($DR$2,坦克等级成长!$B$36:$G$42,MATCH(EK$3,坦克等级成长!$B$35:$G$35,0)),0)</f>
        <v>426</v>
      </c>
      <c r="EL21" s="33">
        <f>EK21</f>
        <v>426</v>
      </c>
      <c r="EM21" s="33">
        <v>352</v>
      </c>
      <c r="EN21" s="33">
        <f>ROUND(坦克等级成长!$H118*VLOOKUP($DR$2,坦克等级成长!$B$36:$G$42,MATCH(EN$3,坦克等级成长!$B$35:$G$35,0)),0)</f>
        <v>626</v>
      </c>
      <c r="EO21" s="33">
        <f>ROUND(坦克等级成长!$H118*VLOOKUP($DR$2,坦克等级成长!$B$36:$G$42,MATCH(EO$3,坦克等级成长!$B$35:$G$35,0)),0)</f>
        <v>136</v>
      </c>
      <c r="EP21" s="191">
        <v>1</v>
      </c>
      <c r="EQ21" s="33">
        <f>ROUND(坦克等级成长!$D118*VLOOKUP($EP$2,坦克等级成长!$B$36:$G$42,MATCH(EQ$3,坦克等级成长!$B$35:$G$35,0)),0)</f>
        <v>1205</v>
      </c>
      <c r="ER21" s="33">
        <f>ROUND(坦克等级成长!$D118*VLOOKUP($EP$2,坦克等级成长!$B$36:$G$42,MATCH(ER$3,坦克等级成长!$B$35:$G$35,0)),0)</f>
        <v>138</v>
      </c>
      <c r="ES21" s="33">
        <f>ROUND(坦克等级成长!$D118*VLOOKUP($EP$2,坦克等级成长!$B$36:$G$42,MATCH(ES$3,坦克等级成长!$B$35:$G$35,0)),0)</f>
        <v>470</v>
      </c>
      <c r="ET21" s="33">
        <f t="shared" ref="ET21:ET29" si="20">ES21</f>
        <v>470</v>
      </c>
      <c r="EU21" s="33">
        <v>364.5</v>
      </c>
      <c r="EV21" s="33">
        <f>ROUND(坦克等级成长!$D118*VLOOKUP($EP$2,坦克等级成长!$B$36:$G$42,MATCH(EV$3,坦克等级成长!$B$35:$G$35,0)),0)</f>
        <v>515</v>
      </c>
      <c r="EW21" s="33">
        <f>ROUND(坦克等级成长!$D118*VLOOKUP($EP$2,坦克等级成长!$B$36:$G$42,MATCH(EW$3,坦克等级成长!$B$35:$G$35,0)),0)</f>
        <v>121</v>
      </c>
      <c r="EX21" s="198">
        <v>1</v>
      </c>
      <c r="EY21" s="33">
        <f>ROUND(坦克等级成长!$F118*VLOOKUP($EP$2,坦克等级成长!$B$36:$G$42,MATCH(EY$3,坦克等级成长!$B$35:$G$35,0)),0)</f>
        <v>1231</v>
      </c>
      <c r="EZ21" s="33">
        <f>ROUND(坦克等级成长!$F118*VLOOKUP($EP$2,坦克等级成长!$B$36:$G$42,MATCH(EZ$3,坦克等级成长!$B$35:$G$35,0)),0)</f>
        <v>141</v>
      </c>
      <c r="FA21" s="33">
        <f>ROUND(坦克等级成长!$F118*VLOOKUP($EP$2,坦克等级成长!$B$36:$G$42,MATCH(FA$3,坦克等级成长!$B$35:$G$35,0)),0)</f>
        <v>480</v>
      </c>
      <c r="FB21" s="33">
        <f t="shared" si="13"/>
        <v>480</v>
      </c>
      <c r="FC21" s="33">
        <v>380</v>
      </c>
      <c r="FD21" s="33">
        <f>ROUND(坦克等级成长!$F118*VLOOKUP($EP$2,坦克等级成长!$B$36:$G$42,MATCH(FD$3,坦克等级成长!$B$35:$G$35,0)),0)</f>
        <v>526</v>
      </c>
      <c r="FE21" s="33">
        <f>ROUND(坦克等级成长!$F118*VLOOKUP($EP$2,坦克等级成长!$B$36:$G$42,MATCH(FE$3,坦克等级成长!$B$35:$G$35,0)),0)</f>
        <v>123</v>
      </c>
      <c r="FF21" s="191">
        <v>1</v>
      </c>
      <c r="FG21" s="33">
        <f>ROUND(坦克等级成长!$H118*VLOOKUP($EP$2,坦克等级成长!$B$36:$G$42,MATCH(FG$3,坦克等级成长!$B$35:$G$35,0)),0)</f>
        <v>1256</v>
      </c>
      <c r="FH21" s="33">
        <f>ROUND(坦克等级成长!$H118*VLOOKUP($EP$2,坦克等级成长!$B$36:$G$42,MATCH(FH$3,坦克等级成长!$B$35:$G$35,0)),0)</f>
        <v>144</v>
      </c>
      <c r="FI21" s="33">
        <f>ROUND(坦克等级成长!$H118*VLOOKUP($EP$2,坦克等级成长!$B$36:$G$42,MATCH(FI$3,坦克等级成长!$B$35:$G$35,0)),0)</f>
        <v>490</v>
      </c>
      <c r="FJ21" s="33">
        <f>FI21</f>
        <v>490</v>
      </c>
      <c r="FK21" s="33">
        <v>380</v>
      </c>
      <c r="FL21" s="33">
        <f>ROUND(坦克等级成长!$H118*VLOOKUP($EP$2,坦克等级成长!$B$36:$G$42,MATCH(FL$3,坦克等级成长!$B$35:$G$35,0)),0)</f>
        <v>536</v>
      </c>
      <c r="FM21" s="33">
        <f>ROUND(坦克等级成长!$H118*VLOOKUP($EP$2,坦克等级成长!$B$36:$G$42,MATCH(FM$3,坦克等级成长!$B$35:$G$35,0)),0)</f>
        <v>126</v>
      </c>
    </row>
    <row r="22" spans="1:169" ht="14.25" x14ac:dyDescent="0.3">
      <c r="A22" s="188">
        <v>3</v>
      </c>
      <c r="B22" s="191">
        <v>2</v>
      </c>
      <c r="C22" s="33">
        <f>ROUND(坦克等级成长!$D119*VLOOKUP($B$2,坦克等级成长!$B$36:$G$42,MATCH(C$3,坦克等级成长!$B$35:$G$35,0)),0)</f>
        <v>1216</v>
      </c>
      <c r="D22" s="33">
        <f>ROUND(坦克等级成长!$D119*VLOOKUP($B$2,坦克等级成长!$B$36:$G$42,MATCH(D$3,坦克等级成长!$B$35:$G$35,0)),0)</f>
        <v>132</v>
      </c>
      <c r="E22" s="33">
        <f>ROUND(坦克等级成长!$D119*VLOOKUP($B$2,坦克等级成长!$B$36:$G$42,MATCH(E$3,坦克等级成长!$B$35:$G$35,0)),0)</f>
        <v>456</v>
      </c>
      <c r="F22" s="33">
        <f t="shared" si="14"/>
        <v>456</v>
      </c>
      <c r="G22" s="33">
        <v>331.8</v>
      </c>
      <c r="H22" s="33">
        <f>ROUND(坦克等级成长!$D119*VLOOKUP($B$2,坦克等级成长!$B$36:$G$42,MATCH(H$3,坦克等级成长!$B$35:$G$35,0)),0)</f>
        <v>456</v>
      </c>
      <c r="I22" s="33">
        <f>ROUND(坦克等级成长!$D119*VLOOKUP($B$2,坦克等级成长!$B$36:$G$42,MATCH(I$3,坦克等级成长!$B$35:$G$35,0)),0)</f>
        <v>122</v>
      </c>
      <c r="J22" s="198">
        <v>2</v>
      </c>
      <c r="K22" s="33">
        <f>ROUND(坦克等级成长!$F119*VLOOKUP($B$2,坦克等级成长!$B$36:$G$42,MATCH(K$3,坦克等级成长!$B$35:$G$35,0)),0)</f>
        <v>1240</v>
      </c>
      <c r="L22" s="33">
        <f>ROUND(坦克等级成长!$F119*VLOOKUP($B$2,坦克等级成长!$B$36:$G$42,MATCH(L$3,坦克等级成长!$B$35:$G$35,0)),0)</f>
        <v>135</v>
      </c>
      <c r="M22" s="33">
        <f>ROUND(坦克等级成长!$F119*VLOOKUP($B$2,坦克等级成长!$B$36:$G$42,MATCH(M$3,坦克等级成长!$B$35:$G$35,0)),0)</f>
        <v>465</v>
      </c>
      <c r="N22" s="33">
        <f t="shared" si="7"/>
        <v>465</v>
      </c>
      <c r="O22" s="33">
        <v>344</v>
      </c>
      <c r="P22" s="33">
        <f>ROUND(坦克等级成长!$F119*VLOOKUP($B$2,坦克等级成长!$B$36:$G$42,MATCH(P$3,坦克等级成长!$B$35:$G$35,0)),0)</f>
        <v>465</v>
      </c>
      <c r="Q22" s="33">
        <f>ROUND(坦克等级成长!$F119*VLOOKUP($B$2,坦克等级成长!$B$36:$G$42,MATCH(Q$3,坦克等级成长!$B$35:$G$35,0)),0)</f>
        <v>124</v>
      </c>
      <c r="R22" s="191">
        <v>2</v>
      </c>
      <c r="S22" s="33">
        <f>ROUND(坦克等级成长!$H119*VLOOKUP($B$2,坦克等级成长!$B$36:$G$42,MATCH(S$3,坦克等级成长!$B$35:$G$35,0)),0)</f>
        <v>1264</v>
      </c>
      <c r="T22" s="33">
        <f>ROUND(坦克等级成长!$H119*VLOOKUP($B$2,坦克等级成长!$B$36:$G$42,MATCH(T$3,坦克等级成长!$B$35:$G$35,0)),0)</f>
        <v>137</v>
      </c>
      <c r="U22" s="33">
        <f>ROUND(坦克等级成长!$H119*VLOOKUP($B$2,坦克等级成长!$B$36:$G$42,MATCH(U$3,坦克等级成长!$B$35:$G$35,0)),0)</f>
        <v>474</v>
      </c>
      <c r="V22" s="33">
        <f t="shared" ref="V22:V74" si="21">U22</f>
        <v>474</v>
      </c>
      <c r="W22" s="33">
        <v>344</v>
      </c>
      <c r="X22" s="33">
        <f>ROUND(坦克等级成长!$H119*VLOOKUP($B$2,坦克等级成长!$B$36:$G$42,MATCH(X$3,坦克等级成长!$B$35:$G$35,0)),0)</f>
        <v>474</v>
      </c>
      <c r="Y22" s="33">
        <f>ROUND(坦克等级成长!$H119*VLOOKUP($B$2,坦克等级成长!$B$36:$G$42,MATCH(Y$3,坦克等级成长!$B$35:$G$35,0)),0)</f>
        <v>126</v>
      </c>
      <c r="Z22" s="191">
        <v>2</v>
      </c>
      <c r="AA22" s="33">
        <f>ROUND(坦克等级成长!$D119*VLOOKUP($Z$2,坦克等级成长!$B$36:$G$42,MATCH(AA$3,坦克等级成长!$B$35:$G$35,0)),0)</f>
        <v>1216</v>
      </c>
      <c r="AB22" s="33">
        <f>ROUND(坦克等级成长!$D119*VLOOKUP($Z$2,坦克等级成长!$B$36:$G$42,MATCH(AB$3,坦克等级成长!$B$35:$G$35,0)),0)</f>
        <v>72</v>
      </c>
      <c r="AC22" s="33">
        <f>ROUND(坦克等级成长!$D119*VLOOKUP($Z$2,坦克等级成长!$B$36:$G$42,MATCH(AC$3,坦克等级成长!$B$35:$G$35,0)),0)</f>
        <v>499</v>
      </c>
      <c r="AD22" s="33">
        <f t="shared" si="15"/>
        <v>499</v>
      </c>
      <c r="AE22" s="33">
        <v>363.3</v>
      </c>
      <c r="AF22" s="33">
        <f>ROUND(坦克等级成长!$D119*VLOOKUP($Z$2,坦克等级成长!$B$36:$G$42,MATCH(AF$3,坦克等级成长!$B$35:$G$35,0)),0)</f>
        <v>456</v>
      </c>
      <c r="AG22" s="33">
        <f>ROUND(坦克等级成长!$D119*VLOOKUP($Z$2,坦克等级成长!$B$36:$G$42,MATCH(AG$3,坦克等级成长!$B$35:$G$35,0)),0)</f>
        <v>122</v>
      </c>
      <c r="AH22" s="198">
        <v>2</v>
      </c>
      <c r="AI22" s="33">
        <f>ROUND(坦克等级成长!$F119*VLOOKUP($Z$2,坦克等级成长!$B$36:$G$42,MATCH(AI$3,坦克等级成长!$B$35:$G$35,0)),0)</f>
        <v>1240</v>
      </c>
      <c r="AJ22" s="33">
        <f>ROUND(坦克等级成长!$F119*VLOOKUP($Z$2,坦克等级成长!$B$36:$G$42,MATCH(AJ$3,坦克等级成长!$B$35:$G$35,0)),0)</f>
        <v>73</v>
      </c>
      <c r="AK22" s="33">
        <f>ROUND(坦克等级成长!$F119*VLOOKUP($Z$2,坦克等级成长!$B$36:$G$42,MATCH(AK$3,坦克等级成长!$B$35:$G$35,0)),0)</f>
        <v>509</v>
      </c>
      <c r="AL22" s="33">
        <f t="shared" si="8"/>
        <v>509</v>
      </c>
      <c r="AM22" s="33">
        <v>377</v>
      </c>
      <c r="AN22" s="33">
        <f>ROUND(坦克等级成长!$F119*VLOOKUP($Z$2,坦克等级成长!$B$36:$G$42,MATCH(AN$3,坦克等级成长!$B$35:$G$35,0)),0)</f>
        <v>465</v>
      </c>
      <c r="AO22" s="33">
        <f>ROUND(坦克等级成长!$F119*VLOOKUP($Z$2,坦克等级成长!$B$36:$G$42,MATCH(AO$3,坦克等级成长!$B$35:$G$35,0)),0)</f>
        <v>124</v>
      </c>
      <c r="AP22" s="191">
        <v>2</v>
      </c>
      <c r="AQ22" s="33">
        <f>ROUND(坦克等级成长!$H119*VLOOKUP($Z$2,坦克等级成长!$B$36:$G$42,MATCH(AQ$3,坦克等级成长!$B$35:$G$35,0)),0)</f>
        <v>1264</v>
      </c>
      <c r="AR22" s="33">
        <f>ROUND(坦克等级成长!$H119*VLOOKUP($Z$2,坦克等级成长!$B$36:$G$42,MATCH(AR$3,坦克等级成长!$B$35:$G$35,0)),0)</f>
        <v>74</v>
      </c>
      <c r="AS22" s="33">
        <f>ROUND(坦克等级成长!$H119*VLOOKUP($Z$2,坦克等级成长!$B$36:$G$42,MATCH(AS$3,坦克等级成长!$B$35:$G$35,0)),0)</f>
        <v>519</v>
      </c>
      <c r="AT22" s="33">
        <f t="shared" ref="AT22:AT74" si="22">AS22</f>
        <v>519</v>
      </c>
      <c r="AU22" s="33">
        <v>377</v>
      </c>
      <c r="AV22" s="33">
        <f>ROUND(坦克等级成长!$H119*VLOOKUP($Z$2,坦克等级成长!$B$36:$G$42,MATCH(AV$3,坦克等级成长!$B$35:$G$35,0)),0)</f>
        <v>474</v>
      </c>
      <c r="AW22" s="33">
        <f>ROUND(坦克等级成长!$H119*VLOOKUP($Z$2,坦克等级成长!$B$36:$G$42,MATCH(AW$3,坦克等级成长!$B$35:$G$35,0)),0)</f>
        <v>126</v>
      </c>
      <c r="AX22" s="191">
        <v>2</v>
      </c>
      <c r="AY22" s="33">
        <f>ROUND(坦克等级成长!$D119*VLOOKUP($AX$2,坦克等级成长!$B$36:$G$42,MATCH(AY$3,坦克等级成长!$B$35:$G$35,0)),0)</f>
        <v>1216</v>
      </c>
      <c r="AZ22" s="33">
        <f>ROUND(坦克等级成长!$D119*VLOOKUP($AX$2,坦克等级成长!$B$36:$G$42,MATCH(AZ$3,坦克等级成长!$B$35:$G$35,0)),0)</f>
        <v>132</v>
      </c>
      <c r="BA22" s="33">
        <f>ROUND(坦克等级成长!$D119*VLOOKUP($AX$2,坦克等级成长!$B$36:$G$42,MATCH(BA$3,坦克等级成长!$B$35:$G$35,0)),0)</f>
        <v>456</v>
      </c>
      <c r="BB22" s="33">
        <f t="shared" si="16"/>
        <v>456</v>
      </c>
      <c r="BC22" s="33">
        <v>331.8</v>
      </c>
      <c r="BD22" s="33">
        <f>ROUND(坦克等级成长!$D119*VLOOKUP($AX$2,坦克等级成长!$B$36:$G$42,MATCH(BD$3,坦克等级成长!$B$35:$G$35,0)),0)</f>
        <v>456</v>
      </c>
      <c r="BE22" s="33">
        <f>ROUND(坦克等级成长!$D119*VLOOKUP($AX$2,坦克等级成长!$B$36:$G$42,MATCH(BE$3,坦克等级成长!$B$35:$G$35,0)),0)</f>
        <v>122</v>
      </c>
      <c r="BF22" s="198">
        <v>2</v>
      </c>
      <c r="BG22" s="33">
        <f>ROUND(坦克等级成长!$F119*VLOOKUP($AX$2,坦克等级成长!$B$36:$G$42,MATCH(BG$3,坦克等级成长!$B$35:$G$35,0)),0)</f>
        <v>1240</v>
      </c>
      <c r="BH22" s="33">
        <f>ROUND(坦克等级成长!$F119*VLOOKUP($AX$2,坦克等级成长!$B$36:$G$42,MATCH(BH$3,坦克等级成长!$B$35:$G$35,0)),0)</f>
        <v>135</v>
      </c>
      <c r="BI22" s="33">
        <f>ROUND(坦克等级成长!$F119*VLOOKUP($AX$2,坦克等级成长!$B$36:$G$42,MATCH(BI$3,坦克等级成长!$B$35:$G$35,0)),0)</f>
        <v>465</v>
      </c>
      <c r="BJ22" s="33">
        <f t="shared" si="9"/>
        <v>465</v>
      </c>
      <c r="BK22" s="33">
        <v>344</v>
      </c>
      <c r="BL22" s="33">
        <f>ROUND(坦克等级成长!$F119*VLOOKUP($AX$2,坦克等级成长!$B$36:$G$42,MATCH(BL$3,坦克等级成长!$B$35:$G$35,0)),0)</f>
        <v>465</v>
      </c>
      <c r="BM22" s="33">
        <f>ROUND(坦克等级成长!$F119*VLOOKUP($AX$2,坦克等级成长!$B$36:$G$42,MATCH(BM$3,坦克等级成长!$B$35:$G$35,0)),0)</f>
        <v>124</v>
      </c>
      <c r="BN22" s="191">
        <v>2</v>
      </c>
      <c r="BO22" s="33">
        <f>ROUND(坦克等级成长!$H119*VLOOKUP($AX$2,坦克等级成长!$B$36:$G$42,MATCH(BO$3,坦克等级成长!$B$35:$G$35,0)),0)</f>
        <v>1264</v>
      </c>
      <c r="BP22" s="33">
        <f>ROUND(坦克等级成长!$H119*VLOOKUP($AX$2,坦克等级成长!$B$36:$G$42,MATCH(BP$3,坦克等级成长!$B$35:$G$35,0)),0)</f>
        <v>137</v>
      </c>
      <c r="BQ22" s="33">
        <f>ROUND(坦克等级成长!$H119*VLOOKUP($AX$2,坦克等级成长!$B$36:$G$42,MATCH(BQ$3,坦克等级成长!$B$35:$G$35,0)),0)</f>
        <v>474</v>
      </c>
      <c r="BR22" s="33">
        <f t="shared" ref="BR22:BR74" si="23">BQ22</f>
        <v>474</v>
      </c>
      <c r="BS22" s="33">
        <v>344</v>
      </c>
      <c r="BT22" s="33">
        <f>ROUND(坦克等级成长!$H119*VLOOKUP($AX$2,坦克等级成长!$B$36:$G$42,MATCH(BT$3,坦克等级成长!$B$35:$G$35,0)),0)</f>
        <v>474</v>
      </c>
      <c r="BU22" s="33">
        <f>ROUND(坦克等级成长!$H119*VLOOKUP($AX$2,坦克等级成长!$B$36:$G$42,MATCH(BU$3,坦克等级成长!$B$35:$G$35,0)),0)</f>
        <v>126</v>
      </c>
      <c r="BV22" s="191">
        <v>2</v>
      </c>
      <c r="BW22" s="33">
        <f>ROUND(坦克等级成长!$D119*VLOOKUP($BV$2,坦克等级成长!$B$36:$G$42,MATCH(BW$3,坦克等级成长!$B$35:$G$35,0)),0)</f>
        <v>1281</v>
      </c>
      <c r="BX22" s="33">
        <f>ROUND(坦克等级成长!$D119*VLOOKUP($BV$2,坦克等级成长!$B$36:$G$42,MATCH(BX$3,坦克等级成长!$B$35:$G$35,0)),0)</f>
        <v>121</v>
      </c>
      <c r="BY22" s="33">
        <f>ROUND(坦克等级成长!$D119*VLOOKUP($BV$2,坦克等级成长!$B$36:$G$42,MATCH(BY$3,坦克等级成长!$B$35:$G$35,0)),0)</f>
        <v>434</v>
      </c>
      <c r="BZ22" s="33">
        <f t="shared" si="17"/>
        <v>434</v>
      </c>
      <c r="CA22" s="33">
        <v>338.25</v>
      </c>
      <c r="CB22" s="33">
        <f>ROUND(坦克等级成长!$D119*VLOOKUP($BV$2,坦克等级成长!$B$36:$G$42,MATCH(CB$3,坦克等级成长!$B$35:$G$35,0)),0)</f>
        <v>547</v>
      </c>
      <c r="CC22" s="33">
        <f>ROUND(坦克等级成长!$D119*VLOOKUP($BV$2,坦克等级成长!$B$36:$G$42,MATCH(CC$3,坦克等级成长!$B$35:$G$35,0)),0)</f>
        <v>128</v>
      </c>
      <c r="CD22" s="198">
        <v>2</v>
      </c>
      <c r="CE22" s="33">
        <f>ROUND(坦克等级成长!$F119*VLOOKUP($BV$2,坦克等级成长!$B$36:$G$42,MATCH(CE$3,坦克等级成长!$B$35:$G$35,0)),0)</f>
        <v>1307</v>
      </c>
      <c r="CF22" s="33">
        <f>ROUND(坦克等级成长!$F119*VLOOKUP($BV$2,坦克等级成长!$B$36:$G$42,MATCH(CF$3,坦克等级成长!$B$35:$G$35,0)),0)</f>
        <v>123</v>
      </c>
      <c r="CG22" s="33">
        <f>ROUND(坦克等级成长!$F119*VLOOKUP($BV$2,坦克等级成长!$B$36:$G$42,MATCH(CG$3,坦克等级成长!$B$35:$G$35,0)),0)</f>
        <v>443</v>
      </c>
      <c r="CH22" s="33">
        <f t="shared" si="10"/>
        <v>443</v>
      </c>
      <c r="CI22" s="33">
        <v>352</v>
      </c>
      <c r="CJ22" s="33">
        <f>ROUND(坦克等级成长!$F119*VLOOKUP($BV$2,坦克等级成长!$B$36:$G$42,MATCH(CJ$3,坦克等级成长!$B$35:$G$35,0)),0)</f>
        <v>558</v>
      </c>
      <c r="CK22" s="33">
        <f>ROUND(坦克等级成长!$F119*VLOOKUP($BV$2,坦克等级成长!$B$36:$G$42,MATCH(CK$3,坦克等级成长!$B$35:$G$35,0)),0)</f>
        <v>131</v>
      </c>
      <c r="CL22" s="191">
        <v>2</v>
      </c>
      <c r="CM22" s="33">
        <f>ROUND(坦克等级成长!$H119*VLOOKUP($BV$2,坦克等级成长!$B$36:$G$42,MATCH(CM$3,坦克等级成长!$B$35:$G$35,0)),0)</f>
        <v>1332</v>
      </c>
      <c r="CN22" s="33">
        <f>ROUND(坦克等级成长!$H119*VLOOKUP($BV$2,坦克等级成长!$B$36:$G$42,MATCH(CN$3,坦克等级成长!$B$35:$G$35,0)),0)</f>
        <v>126</v>
      </c>
      <c r="CO22" s="33">
        <f>ROUND(坦克等级成长!$H119*VLOOKUP($BV$2,坦克等级成长!$B$36:$G$42,MATCH(CO$3,坦克等级成长!$B$35:$G$35,0)),0)</f>
        <v>451</v>
      </c>
      <c r="CP22" s="33">
        <f t="shared" ref="CP22:CP74" si="24">CO22</f>
        <v>451</v>
      </c>
      <c r="CQ22" s="33">
        <v>352</v>
      </c>
      <c r="CR22" s="33">
        <f>ROUND(坦克等级成长!$H119*VLOOKUP($BV$2,坦克等级成长!$B$36:$G$42,MATCH(CR$3,坦克等级成长!$B$35:$G$35,0)),0)</f>
        <v>569</v>
      </c>
      <c r="CS22" s="33">
        <f>ROUND(坦克等级成长!$H119*VLOOKUP($BV$2,坦克等级成长!$B$36:$G$42,MATCH(CS$3,坦克等级成长!$B$35:$G$35,0)),0)</f>
        <v>133</v>
      </c>
      <c r="CT22" s="191">
        <v>2</v>
      </c>
      <c r="CU22" s="33">
        <f>ROUND(坦克等级成长!$D119*VLOOKUP($CT$2,坦克等级成长!$B$36:$G$42,MATCH(CU$3,坦克等级成长!$B$35:$G$35,0)),0)</f>
        <v>1216</v>
      </c>
      <c r="CV22" s="33">
        <f>ROUND(坦克等级成长!$D119*VLOOKUP($CT$2,坦克等级成长!$B$36:$G$42,MATCH(CV$3,坦克等级成长!$B$35:$G$35,0)),0)</f>
        <v>276</v>
      </c>
      <c r="CW22" s="33">
        <f>ROUND(坦克等级成长!$D119*VLOOKUP($CT$2,坦克等级成长!$B$36:$G$42,MATCH(CW$3,坦克等级成长!$B$35:$G$35,0)),0)</f>
        <v>543</v>
      </c>
      <c r="CX22" s="33">
        <f t="shared" si="18"/>
        <v>543</v>
      </c>
      <c r="CY22" s="33">
        <v>423</v>
      </c>
      <c r="CZ22" s="33">
        <f>ROUND(坦克等级成长!$D119*VLOOKUP($CT$2,坦克等级成长!$B$36:$G$42,MATCH(CZ$3,坦克等级成长!$B$35:$G$35,0)),0)</f>
        <v>456</v>
      </c>
      <c r="DA22" s="33">
        <f>ROUND(坦克等级成长!$D119*VLOOKUP($CT$2,坦克等级成长!$B$36:$G$42,MATCH(DA$3,坦克等级成长!$B$35:$G$35,0)),0)</f>
        <v>122</v>
      </c>
      <c r="DB22" s="198">
        <v>2</v>
      </c>
      <c r="DC22" s="33">
        <f>ROUND(坦克等级成长!$F119*VLOOKUP($CT$2,坦克等级成长!$B$36:$G$42,MATCH(DC$3,坦克等级成长!$B$35:$G$35,0)),0)</f>
        <v>1240</v>
      </c>
      <c r="DD22" s="33">
        <f>ROUND(坦克等级成长!$F119*VLOOKUP($CT$2,坦克等级成长!$B$36:$G$42,MATCH(DD$3,坦克等级成长!$B$35:$G$35,0)),0)</f>
        <v>282</v>
      </c>
      <c r="DE22" s="33">
        <f>ROUND(坦克等级成长!$F119*VLOOKUP($CT$2,坦克等级成长!$B$36:$G$42,MATCH(DE$3,坦克等级成长!$B$35:$G$35,0)),0)</f>
        <v>554</v>
      </c>
      <c r="DF22" s="33">
        <f t="shared" si="11"/>
        <v>554</v>
      </c>
      <c r="DG22" s="33">
        <v>440</v>
      </c>
      <c r="DH22" s="33">
        <f>ROUND(坦克等级成长!$F119*VLOOKUP($CT$2,坦克等级成长!$B$36:$G$42,MATCH(DH$3,坦克等级成长!$B$35:$G$35,0)),0)</f>
        <v>465</v>
      </c>
      <c r="DI22" s="33">
        <f>ROUND(坦克等级成长!$F119*VLOOKUP($CT$2,坦克等级成长!$B$36:$G$42,MATCH(DI$3,坦克等级成长!$B$35:$G$35,0)),0)</f>
        <v>124</v>
      </c>
      <c r="DJ22" s="191">
        <v>2</v>
      </c>
      <c r="DK22" s="33">
        <f>ROUND(坦克等级成长!$H119*VLOOKUP($CT$2,坦克等级成长!$B$36:$G$42,MATCH(DK$3,坦克等级成长!$B$35:$G$35,0)),0)</f>
        <v>1264</v>
      </c>
      <c r="DL22" s="33">
        <f>ROUND(坦克等级成长!$H119*VLOOKUP($CT$2,坦克等级成长!$B$36:$G$42,MATCH(DL$3,坦克等级成长!$B$35:$G$35,0)),0)</f>
        <v>287</v>
      </c>
      <c r="DM22" s="33">
        <f>ROUND(坦克等级成长!$H119*VLOOKUP($CT$2,坦克等级成长!$B$36:$G$42,MATCH(DM$3,坦克等级成长!$B$35:$G$35,0)),0)</f>
        <v>564</v>
      </c>
      <c r="DN22" s="33">
        <f t="shared" ref="DN22:DN74" si="25">DM22</f>
        <v>564</v>
      </c>
      <c r="DO22" s="33">
        <v>440</v>
      </c>
      <c r="DP22" s="33">
        <f>ROUND(坦克等级成长!$H119*VLOOKUP($CT$2,坦克等级成长!$B$36:$G$42,MATCH(DP$3,坦克等级成长!$B$35:$G$35,0)),0)</f>
        <v>474</v>
      </c>
      <c r="DQ22" s="33">
        <f>ROUND(坦克等级成长!$H119*VLOOKUP($CT$2,坦克等级成长!$B$36:$G$42,MATCH(DQ$3,坦克等级成长!$B$35:$G$35,0)),0)</f>
        <v>126</v>
      </c>
      <c r="DR22" s="191">
        <v>2</v>
      </c>
      <c r="DS22" s="33">
        <f>ROUND(坦克等级成长!$D119*VLOOKUP($DR$2,坦克等级成长!$B$36:$G$42,MATCH(DS$3,坦克等级成长!$B$35:$G$35,0)),0)</f>
        <v>1383</v>
      </c>
      <c r="DT22" s="33">
        <f>ROUND(坦克等级成长!$D119*VLOOKUP($DR$2,坦克等级成长!$B$36:$G$42,MATCH(DT$3,坦克等级成长!$B$35:$G$35,0)),0)</f>
        <v>472</v>
      </c>
      <c r="DU22" s="33">
        <f>ROUND(坦克等级成长!$D119*VLOOKUP($DR$2,坦克等级成长!$B$36:$G$42,MATCH(DU$3,坦克等级成长!$B$35:$G$35,0)),0)</f>
        <v>434</v>
      </c>
      <c r="DV22" s="33">
        <f t="shared" si="19"/>
        <v>434</v>
      </c>
      <c r="DW22" s="33">
        <v>360.8</v>
      </c>
      <c r="DX22" s="33">
        <f>ROUND(坦克等级成长!$D119*VLOOKUP($DR$2,坦克等级成长!$B$36:$G$42,MATCH(DX$3,坦克等级成长!$B$35:$G$35,0)),0)</f>
        <v>638</v>
      </c>
      <c r="DY22" s="33">
        <f>ROUND(坦克等级成长!$D119*VLOOKUP($DR$2,坦克等级成长!$B$36:$G$42,MATCH(DY$3,坦克等级成长!$B$35:$G$35,0)),0)</f>
        <v>138</v>
      </c>
      <c r="DZ22" s="198">
        <v>2</v>
      </c>
      <c r="EA22" s="33">
        <f>ROUND(坦克等级成长!$F119*VLOOKUP($DR$2,坦克等级成长!$B$36:$G$42,MATCH(EA$3,坦克等级成长!$B$35:$G$35,0)),0)</f>
        <v>1411</v>
      </c>
      <c r="EB22" s="33">
        <f>ROUND(坦克等级成长!$F119*VLOOKUP($DR$2,坦克等级成长!$B$36:$G$42,MATCH(EB$3,坦克等级成长!$B$35:$G$35,0)),0)</f>
        <v>481</v>
      </c>
      <c r="EC22" s="33">
        <f>ROUND(坦克等级成长!$F119*VLOOKUP($DR$2,坦克等级成长!$B$36:$G$42,MATCH(EC$3,坦克等级成长!$B$35:$G$35,0)),0)</f>
        <v>443</v>
      </c>
      <c r="ED22" s="33">
        <f t="shared" si="12"/>
        <v>443</v>
      </c>
      <c r="EE22" s="33">
        <v>375</v>
      </c>
      <c r="EF22" s="33">
        <f>ROUND(坦克等级成长!$F119*VLOOKUP($DR$2,坦克等级成长!$B$36:$G$42,MATCH(EF$3,坦克等级成长!$B$35:$G$35,0)),0)</f>
        <v>651</v>
      </c>
      <c r="EG22" s="33">
        <f>ROUND(坦克等级成长!$F119*VLOOKUP($DR$2,坦克等级成长!$B$36:$G$42,MATCH(EG$3,坦克等级成长!$B$35:$G$35,0)),0)</f>
        <v>141</v>
      </c>
      <c r="EH22" s="191">
        <v>2</v>
      </c>
      <c r="EI22" s="33">
        <f>ROUND(坦克等级成长!$H119*VLOOKUP($DR$2,坦克等级成长!$B$36:$G$42,MATCH(EI$3,坦克等级成长!$B$35:$G$35,0)),0)</f>
        <v>1438</v>
      </c>
      <c r="EJ22" s="33">
        <f>ROUND(坦克等级成长!$H119*VLOOKUP($DR$2,坦克等级成长!$B$36:$G$42,MATCH(EJ$3,坦克等级成长!$B$35:$G$35,0)),0)</f>
        <v>491</v>
      </c>
      <c r="EK22" s="33">
        <f>ROUND(坦克等级成长!$H119*VLOOKUP($DR$2,坦克等级成长!$B$36:$G$42,MATCH(EK$3,坦克等级成长!$B$35:$G$35,0)),0)</f>
        <v>451</v>
      </c>
      <c r="EL22" s="33">
        <f t="shared" ref="EL22:EL74" si="26">EK22</f>
        <v>451</v>
      </c>
      <c r="EM22" s="33">
        <v>375</v>
      </c>
      <c r="EN22" s="33">
        <f>ROUND(坦克等级成长!$H119*VLOOKUP($DR$2,坦克等级成长!$B$36:$G$42,MATCH(EN$3,坦克等级成长!$B$35:$G$35,0)),0)</f>
        <v>664</v>
      </c>
      <c r="EO22" s="33">
        <f>ROUND(坦克等级成长!$H119*VLOOKUP($DR$2,坦克等级成长!$B$36:$G$42,MATCH(EO$3,坦克等级成长!$B$35:$G$35,0)),0)</f>
        <v>144</v>
      </c>
      <c r="EP22" s="191">
        <v>2</v>
      </c>
      <c r="EQ22" s="33">
        <f>ROUND(坦克等级成长!$D119*VLOOKUP($EP$2,坦克等级成长!$B$36:$G$42,MATCH(EQ$3,坦克等级成长!$B$35:$G$35,0)),0)</f>
        <v>1281</v>
      </c>
      <c r="ER22" s="33">
        <f>ROUND(坦克等级成长!$D119*VLOOKUP($EP$2,坦克等级成长!$B$36:$G$42,MATCH(ER$3,坦克等级成长!$B$35:$G$35,0)),0)</f>
        <v>147</v>
      </c>
      <c r="ES22" s="33">
        <f>ROUND(坦克等级成长!$D119*VLOOKUP($EP$2,坦克等级成长!$B$36:$G$42,MATCH(ES$3,坦克等级成长!$B$35:$G$35,0)),0)</f>
        <v>499</v>
      </c>
      <c r="ET22" s="33">
        <f t="shared" si="20"/>
        <v>499</v>
      </c>
      <c r="EU22" s="33">
        <v>389.25</v>
      </c>
      <c r="EV22" s="33">
        <f>ROUND(坦克等级成长!$D119*VLOOKUP($EP$2,坦克等级成长!$B$36:$G$42,MATCH(EV$3,坦克等级成长!$B$35:$G$35,0)),0)</f>
        <v>547</v>
      </c>
      <c r="EW22" s="33">
        <f>ROUND(坦克等级成长!$D119*VLOOKUP($EP$2,坦克等级成长!$B$36:$G$42,MATCH(EW$3,坦克等级成长!$B$35:$G$35,0)),0)</f>
        <v>128</v>
      </c>
      <c r="EX22" s="198">
        <v>2</v>
      </c>
      <c r="EY22" s="33">
        <f>ROUND(坦克等级成长!$F119*VLOOKUP($EP$2,坦克等级成长!$B$36:$G$42,MATCH(EY$3,坦克等级成长!$B$35:$G$35,0)),0)</f>
        <v>1307</v>
      </c>
      <c r="EZ22" s="33">
        <f>ROUND(坦克等级成长!$F119*VLOOKUP($EP$2,坦克等级成长!$B$36:$G$42,MATCH(EZ$3,坦克等级成长!$B$35:$G$35,0)),0)</f>
        <v>150</v>
      </c>
      <c r="FA22" s="33">
        <f>ROUND(坦克等级成长!$F119*VLOOKUP($EP$2,坦克等级成长!$B$36:$G$42,MATCH(FA$3,坦克等级成长!$B$35:$G$35,0)),0)</f>
        <v>509</v>
      </c>
      <c r="FB22" s="33">
        <f t="shared" si="13"/>
        <v>509</v>
      </c>
      <c r="FC22" s="33">
        <v>404</v>
      </c>
      <c r="FD22" s="33">
        <f>ROUND(坦克等级成长!$F119*VLOOKUP($EP$2,坦克等级成长!$B$36:$G$42,MATCH(FD$3,坦克等级成长!$B$35:$G$35,0)),0)</f>
        <v>558</v>
      </c>
      <c r="FE22" s="33">
        <f>ROUND(坦克等级成长!$F119*VLOOKUP($EP$2,坦克等级成长!$B$36:$G$42,MATCH(FE$3,坦克等级成长!$B$35:$G$35,0)),0)</f>
        <v>131</v>
      </c>
      <c r="FF22" s="191">
        <v>2</v>
      </c>
      <c r="FG22" s="33">
        <f>ROUND(坦克等级成长!$H119*VLOOKUP($EP$2,坦克等级成长!$B$36:$G$42,MATCH(FG$3,坦克等级成长!$B$35:$G$35,0)),0)</f>
        <v>1332</v>
      </c>
      <c r="FH22" s="33">
        <f>ROUND(坦克等级成长!$H119*VLOOKUP($EP$2,坦克等级成长!$B$36:$G$42,MATCH(FH$3,坦克等级成长!$B$35:$G$35,0)),0)</f>
        <v>153</v>
      </c>
      <c r="FI22" s="33">
        <f>ROUND(坦克等级成长!$H119*VLOOKUP($EP$2,坦克等级成长!$B$36:$G$42,MATCH(FI$3,坦克等级成长!$B$35:$G$35,0)),0)</f>
        <v>519</v>
      </c>
      <c r="FJ22" s="33">
        <f t="shared" ref="FJ22:FJ74" si="27">FI22</f>
        <v>519</v>
      </c>
      <c r="FK22" s="33">
        <v>404</v>
      </c>
      <c r="FL22" s="33">
        <f>ROUND(坦克等级成长!$H119*VLOOKUP($EP$2,坦克等级成长!$B$36:$G$42,MATCH(FL$3,坦克等级成长!$B$35:$G$35,0)),0)</f>
        <v>569</v>
      </c>
      <c r="FM22" s="33">
        <f>ROUND(坦克等级成长!$H119*VLOOKUP($EP$2,坦克等级成长!$B$36:$G$42,MATCH(FM$3,坦克等级成长!$B$35:$G$35,0)),0)</f>
        <v>133</v>
      </c>
    </row>
    <row r="23" spans="1:169" ht="14.25" x14ac:dyDescent="0.3">
      <c r="A23" s="188">
        <v>3</v>
      </c>
      <c r="B23" s="191">
        <v>3</v>
      </c>
      <c r="C23" s="33">
        <f>ROUND(坦克等级成长!$D120*VLOOKUP($B$2,坦克等级成长!$B$36:$G$42,MATCH(C$3,坦克等级成长!$B$35:$G$35,0)),0)</f>
        <v>1288</v>
      </c>
      <c r="D23" s="33">
        <f>ROUND(坦克等级成长!$D120*VLOOKUP($B$2,坦克等级成长!$B$36:$G$42,MATCH(D$3,坦克等级成长!$B$35:$G$35,0)),0)</f>
        <v>140</v>
      </c>
      <c r="E23" s="33">
        <f>ROUND(坦克等级成长!$D120*VLOOKUP($B$2,坦克等级成长!$B$36:$G$42,MATCH(E$3,坦克等级成长!$B$35:$G$35,0)),0)</f>
        <v>483</v>
      </c>
      <c r="F23" s="33">
        <f t="shared" si="14"/>
        <v>483</v>
      </c>
      <c r="G23" s="33">
        <v>352.8</v>
      </c>
      <c r="H23" s="33">
        <f>ROUND(坦克等级成长!$D120*VLOOKUP($B$2,坦克等级成长!$B$36:$G$42,MATCH(H$3,坦克等级成长!$B$35:$G$35,0)),0)</f>
        <v>483</v>
      </c>
      <c r="I23" s="33">
        <f>ROUND(坦克等级成长!$D120*VLOOKUP($B$2,坦克等级成长!$B$36:$G$42,MATCH(I$3,坦克等级成长!$B$35:$G$35,0)),0)</f>
        <v>129</v>
      </c>
      <c r="J23" s="198">
        <v>3</v>
      </c>
      <c r="K23" s="33">
        <f>ROUND(坦克等级成长!$F120*VLOOKUP($B$2,坦克等级成长!$B$36:$G$42,MATCH(K$3,坦克等级成长!$B$35:$G$35,0)),0)</f>
        <v>1312</v>
      </c>
      <c r="L23" s="33">
        <f>ROUND(坦克等级成长!$F120*VLOOKUP($B$2,坦克等级成长!$B$36:$G$42,MATCH(L$3,坦克等级成长!$B$35:$G$35,0)),0)</f>
        <v>143</v>
      </c>
      <c r="M23" s="33">
        <f>ROUND(坦克等级成长!$F120*VLOOKUP($B$2,坦克等级成长!$B$36:$G$42,MATCH(M$3,坦克等级成长!$B$35:$G$35,0)),0)</f>
        <v>492</v>
      </c>
      <c r="N23" s="33">
        <f t="shared" si="7"/>
        <v>492</v>
      </c>
      <c r="O23" s="33">
        <v>365</v>
      </c>
      <c r="P23" s="33">
        <f>ROUND(坦克等级成长!$F120*VLOOKUP($B$2,坦克等级成长!$B$36:$G$42,MATCH(P$3,坦克等级成长!$B$35:$G$35,0)),0)</f>
        <v>492</v>
      </c>
      <c r="Q23" s="33">
        <f>ROUND(坦克等级成长!$F120*VLOOKUP($B$2,坦克等级成长!$B$36:$G$42,MATCH(Q$3,坦克等级成长!$B$35:$G$35,0)),0)</f>
        <v>131</v>
      </c>
      <c r="R23" s="191">
        <v>3</v>
      </c>
      <c r="S23" s="33">
        <f>ROUND(坦克等级成长!$H120*VLOOKUP($B$2,坦克等级成长!$B$36:$G$42,MATCH(S$3,坦克等级成长!$B$35:$G$35,0)),0)</f>
        <v>1336</v>
      </c>
      <c r="T23" s="33">
        <f>ROUND(坦克等级成长!$H120*VLOOKUP($B$2,坦克等级成长!$B$36:$G$42,MATCH(T$3,坦克等级成长!$B$35:$G$35,0)),0)</f>
        <v>145</v>
      </c>
      <c r="U23" s="33">
        <f>ROUND(坦克等级成长!$H120*VLOOKUP($B$2,坦克等级成长!$B$36:$G$42,MATCH(U$3,坦克等级成长!$B$35:$G$35,0)),0)</f>
        <v>501</v>
      </c>
      <c r="V23" s="33">
        <f t="shared" si="21"/>
        <v>501</v>
      </c>
      <c r="W23" s="33">
        <v>365</v>
      </c>
      <c r="X23" s="33">
        <f>ROUND(坦克等级成长!$H120*VLOOKUP($B$2,坦克等级成长!$B$36:$G$42,MATCH(X$3,坦克等级成长!$B$35:$G$35,0)),0)</f>
        <v>501</v>
      </c>
      <c r="Y23" s="33">
        <f>ROUND(坦克等级成长!$H120*VLOOKUP($B$2,坦克等级成长!$B$36:$G$42,MATCH(Y$3,坦克等级成长!$B$35:$G$35,0)),0)</f>
        <v>134</v>
      </c>
      <c r="Z23" s="191">
        <v>3</v>
      </c>
      <c r="AA23" s="33">
        <f>ROUND(坦克等级成长!$D120*VLOOKUP($Z$2,坦克等级成长!$B$36:$G$42,MATCH(AA$3,坦克等级成长!$B$35:$G$35,0)),0)</f>
        <v>1288</v>
      </c>
      <c r="AB23" s="33">
        <f>ROUND(坦克等级成长!$D120*VLOOKUP($Z$2,坦克等级成长!$B$36:$G$42,MATCH(AB$3,坦克等级成长!$B$35:$G$35,0)),0)</f>
        <v>76</v>
      </c>
      <c r="AC23" s="33">
        <f>ROUND(坦克等级成长!$D120*VLOOKUP($Z$2,坦克等级成长!$B$36:$G$42,MATCH(AC$3,坦克等级成长!$B$35:$G$35,0)),0)</f>
        <v>529</v>
      </c>
      <c r="AD23" s="33">
        <f t="shared" si="15"/>
        <v>529</v>
      </c>
      <c r="AE23" s="33">
        <v>386.4</v>
      </c>
      <c r="AF23" s="33">
        <f>ROUND(坦克等级成长!$D120*VLOOKUP($Z$2,坦克等级成长!$B$36:$G$42,MATCH(AF$3,坦克等级成长!$B$35:$G$35,0)),0)</f>
        <v>483</v>
      </c>
      <c r="AG23" s="33">
        <f>ROUND(坦克等级成长!$D120*VLOOKUP($Z$2,坦克等级成长!$B$36:$G$42,MATCH(AG$3,坦克等级成长!$B$35:$G$35,0)),0)</f>
        <v>129</v>
      </c>
      <c r="AH23" s="198">
        <v>3</v>
      </c>
      <c r="AI23" s="33">
        <f>ROUND(坦克等级成长!$F120*VLOOKUP($Z$2,坦克等级成长!$B$36:$G$42,MATCH(AI$3,坦克等级成长!$B$35:$G$35,0)),0)</f>
        <v>1312</v>
      </c>
      <c r="AJ23" s="33">
        <f>ROUND(坦克等级成长!$F120*VLOOKUP($Z$2,坦克等级成长!$B$36:$G$42,MATCH(AJ$3,坦克等级成长!$B$35:$G$35,0)),0)</f>
        <v>77</v>
      </c>
      <c r="AK23" s="33">
        <f>ROUND(坦克等级成长!$F120*VLOOKUP($Z$2,坦克等级成长!$B$36:$G$42,MATCH(AK$3,坦克等级成长!$B$35:$G$35,0)),0)</f>
        <v>539</v>
      </c>
      <c r="AL23" s="33">
        <f t="shared" si="8"/>
        <v>539</v>
      </c>
      <c r="AM23" s="33">
        <v>400</v>
      </c>
      <c r="AN23" s="33">
        <f>ROUND(坦克等级成长!$F120*VLOOKUP($Z$2,坦克等级成长!$B$36:$G$42,MATCH(AN$3,坦克等级成长!$B$35:$G$35,0)),0)</f>
        <v>492</v>
      </c>
      <c r="AO23" s="33">
        <f>ROUND(坦克等级成长!$F120*VLOOKUP($Z$2,坦克等级成长!$B$36:$G$42,MATCH(AO$3,坦克等级成长!$B$35:$G$35,0)),0)</f>
        <v>131</v>
      </c>
      <c r="AP23" s="191">
        <v>3</v>
      </c>
      <c r="AQ23" s="33">
        <f>ROUND(坦克等级成长!$H120*VLOOKUP($Z$2,坦克等级成长!$B$36:$G$42,MATCH(AQ$3,坦克等级成长!$B$35:$G$35,0)),0)</f>
        <v>1336</v>
      </c>
      <c r="AR23" s="33">
        <f>ROUND(坦克等级成长!$H120*VLOOKUP($Z$2,坦克等级成长!$B$36:$G$42,MATCH(AR$3,坦克等级成长!$B$35:$G$35,0)),0)</f>
        <v>79</v>
      </c>
      <c r="AS23" s="33">
        <f>ROUND(坦克等级成长!$H120*VLOOKUP($Z$2,坦克等级成长!$B$36:$G$42,MATCH(AS$3,坦克等级成长!$B$35:$G$35,0)),0)</f>
        <v>549</v>
      </c>
      <c r="AT23" s="33">
        <f t="shared" si="22"/>
        <v>549</v>
      </c>
      <c r="AU23" s="33">
        <v>400</v>
      </c>
      <c r="AV23" s="33">
        <f>ROUND(坦克等级成长!$H120*VLOOKUP($Z$2,坦克等级成长!$B$36:$G$42,MATCH(AV$3,坦克等级成长!$B$35:$G$35,0)),0)</f>
        <v>501</v>
      </c>
      <c r="AW23" s="33">
        <f>ROUND(坦克等级成长!$H120*VLOOKUP($Z$2,坦克等级成长!$B$36:$G$42,MATCH(AW$3,坦克等级成长!$B$35:$G$35,0)),0)</f>
        <v>134</v>
      </c>
      <c r="AX23" s="191">
        <v>3</v>
      </c>
      <c r="AY23" s="33">
        <f>ROUND(坦克等级成长!$D120*VLOOKUP($AX$2,坦克等级成长!$B$36:$G$42,MATCH(AY$3,坦克等级成长!$B$35:$G$35,0)),0)</f>
        <v>1288</v>
      </c>
      <c r="AZ23" s="33">
        <f>ROUND(坦克等级成长!$D120*VLOOKUP($AX$2,坦克等级成长!$B$36:$G$42,MATCH(AZ$3,坦克等级成长!$B$35:$G$35,0)),0)</f>
        <v>140</v>
      </c>
      <c r="BA23" s="33">
        <f>ROUND(坦克等级成长!$D120*VLOOKUP($AX$2,坦克等级成长!$B$36:$G$42,MATCH(BA$3,坦克等级成长!$B$35:$G$35,0)),0)</f>
        <v>483</v>
      </c>
      <c r="BB23" s="33">
        <f t="shared" si="16"/>
        <v>483</v>
      </c>
      <c r="BC23" s="33">
        <v>352.8</v>
      </c>
      <c r="BD23" s="33">
        <f>ROUND(坦克等级成长!$D120*VLOOKUP($AX$2,坦克等级成长!$B$36:$G$42,MATCH(BD$3,坦克等级成长!$B$35:$G$35,0)),0)</f>
        <v>483</v>
      </c>
      <c r="BE23" s="33">
        <f>ROUND(坦克等级成长!$D120*VLOOKUP($AX$2,坦克等级成长!$B$36:$G$42,MATCH(BE$3,坦克等级成长!$B$35:$G$35,0)),0)</f>
        <v>129</v>
      </c>
      <c r="BF23" s="198">
        <v>3</v>
      </c>
      <c r="BG23" s="33">
        <f>ROUND(坦克等级成长!$F120*VLOOKUP($AX$2,坦克等级成长!$B$36:$G$42,MATCH(BG$3,坦克等级成长!$B$35:$G$35,0)),0)</f>
        <v>1312</v>
      </c>
      <c r="BH23" s="33">
        <f>ROUND(坦克等级成长!$F120*VLOOKUP($AX$2,坦克等级成长!$B$36:$G$42,MATCH(BH$3,坦克等级成长!$B$35:$G$35,0)),0)</f>
        <v>143</v>
      </c>
      <c r="BI23" s="33">
        <f>ROUND(坦克等级成长!$F120*VLOOKUP($AX$2,坦克等级成长!$B$36:$G$42,MATCH(BI$3,坦克等级成长!$B$35:$G$35,0)),0)</f>
        <v>492</v>
      </c>
      <c r="BJ23" s="33">
        <f t="shared" si="9"/>
        <v>492</v>
      </c>
      <c r="BK23" s="33">
        <v>365</v>
      </c>
      <c r="BL23" s="33">
        <f>ROUND(坦克等级成长!$F120*VLOOKUP($AX$2,坦克等级成长!$B$36:$G$42,MATCH(BL$3,坦克等级成长!$B$35:$G$35,0)),0)</f>
        <v>492</v>
      </c>
      <c r="BM23" s="33">
        <f>ROUND(坦克等级成长!$F120*VLOOKUP($AX$2,坦克等级成长!$B$36:$G$42,MATCH(BM$3,坦克等级成长!$B$35:$G$35,0)),0)</f>
        <v>131</v>
      </c>
      <c r="BN23" s="191">
        <v>3</v>
      </c>
      <c r="BO23" s="33">
        <f>ROUND(坦克等级成长!$H120*VLOOKUP($AX$2,坦克等级成长!$B$36:$G$42,MATCH(BO$3,坦克等级成长!$B$35:$G$35,0)),0)</f>
        <v>1336</v>
      </c>
      <c r="BP23" s="33">
        <f>ROUND(坦克等级成长!$H120*VLOOKUP($AX$2,坦克等级成长!$B$36:$G$42,MATCH(BP$3,坦克等级成长!$B$35:$G$35,0)),0)</f>
        <v>145</v>
      </c>
      <c r="BQ23" s="33">
        <f>ROUND(坦克等级成长!$H120*VLOOKUP($AX$2,坦克等级成长!$B$36:$G$42,MATCH(BQ$3,坦克等级成长!$B$35:$G$35,0)),0)</f>
        <v>501</v>
      </c>
      <c r="BR23" s="33">
        <f t="shared" si="23"/>
        <v>501</v>
      </c>
      <c r="BS23" s="33">
        <v>365</v>
      </c>
      <c r="BT23" s="33">
        <f>ROUND(坦克等级成长!$H120*VLOOKUP($AX$2,坦克等级成长!$B$36:$G$42,MATCH(BT$3,坦克等级成长!$B$35:$G$35,0)),0)</f>
        <v>501</v>
      </c>
      <c r="BU23" s="33">
        <f>ROUND(坦克等级成长!$H120*VLOOKUP($AX$2,坦克等级成长!$B$36:$G$42,MATCH(BU$3,坦克等级成长!$B$35:$G$35,0)),0)</f>
        <v>134</v>
      </c>
      <c r="BV23" s="191">
        <v>3</v>
      </c>
      <c r="BW23" s="33">
        <f>ROUND(坦克等级成长!$D120*VLOOKUP($BV$2,坦克等级成长!$B$36:$G$42,MATCH(BW$3,坦克等级成长!$B$35:$G$35,0)),0)</f>
        <v>1357</v>
      </c>
      <c r="BX23" s="33">
        <f>ROUND(坦克等级成长!$D120*VLOOKUP($BV$2,坦克等级成长!$B$36:$G$42,MATCH(BX$3,坦克等级成长!$B$35:$G$35,0)),0)</f>
        <v>128</v>
      </c>
      <c r="BY23" s="33">
        <f>ROUND(坦克等级成长!$D120*VLOOKUP($BV$2,坦克等级成长!$B$36:$G$42,MATCH(BY$3,坦克等级成长!$B$35:$G$35,0)),0)</f>
        <v>460</v>
      </c>
      <c r="BZ23" s="33">
        <f t="shared" si="17"/>
        <v>460</v>
      </c>
      <c r="CA23" s="33">
        <v>360</v>
      </c>
      <c r="CB23" s="33">
        <f>ROUND(坦克等级成长!$D120*VLOOKUP($BV$2,坦克等级成长!$B$36:$G$42,MATCH(CB$3,坦克等级成长!$B$35:$G$35,0)),0)</f>
        <v>580</v>
      </c>
      <c r="CC23" s="33">
        <f>ROUND(坦克等级成长!$D120*VLOOKUP($BV$2,坦克等级成长!$B$36:$G$42,MATCH(CC$3,坦克等级成长!$B$35:$G$35,0)),0)</f>
        <v>136</v>
      </c>
      <c r="CD23" s="198">
        <v>3</v>
      </c>
      <c r="CE23" s="33">
        <f>ROUND(坦克等级成长!$F120*VLOOKUP($BV$2,坦克等级成长!$B$36:$G$42,MATCH(CE$3,坦克等级成长!$B$35:$G$35,0)),0)</f>
        <v>1382</v>
      </c>
      <c r="CF23" s="33">
        <f>ROUND(坦克等级成长!$F120*VLOOKUP($BV$2,坦克等级成长!$B$36:$G$42,MATCH(CF$3,坦克等级成长!$B$35:$G$35,0)),0)</f>
        <v>130</v>
      </c>
      <c r="CG23" s="33">
        <f>ROUND(坦克等级成长!$F120*VLOOKUP($BV$2,坦克等级成长!$B$36:$G$42,MATCH(CG$3,坦克等级成长!$B$35:$G$35,0)),0)</f>
        <v>469</v>
      </c>
      <c r="CH23" s="33">
        <f t="shared" si="10"/>
        <v>469</v>
      </c>
      <c r="CI23" s="33">
        <v>373</v>
      </c>
      <c r="CJ23" s="33">
        <f>ROUND(坦克等级成长!$F120*VLOOKUP($BV$2,坦克等级成长!$B$36:$G$42,MATCH(CJ$3,坦克等级成长!$B$35:$G$35,0)),0)</f>
        <v>590</v>
      </c>
      <c r="CK23" s="33">
        <f>ROUND(坦克等级成长!$F120*VLOOKUP($BV$2,坦克等级成长!$B$36:$G$42,MATCH(CK$3,坦克等级成长!$B$35:$G$35,0)),0)</f>
        <v>138</v>
      </c>
      <c r="CL23" s="191">
        <v>3</v>
      </c>
      <c r="CM23" s="33">
        <f>ROUND(坦克等级成长!$H120*VLOOKUP($BV$2,坦克等级成长!$B$36:$G$42,MATCH(CM$3,坦克等级成长!$B$35:$G$35,0)),0)</f>
        <v>1408</v>
      </c>
      <c r="CN23" s="33">
        <f>ROUND(坦克等级成长!$H120*VLOOKUP($BV$2,坦克等级成长!$B$36:$G$42,MATCH(CN$3,坦克等级成长!$B$35:$G$35,0)),0)</f>
        <v>133</v>
      </c>
      <c r="CO23" s="33">
        <f>ROUND(坦克等级成长!$H120*VLOOKUP($BV$2,坦克等级成长!$B$36:$G$42,MATCH(CO$3,坦克等级成长!$B$35:$G$35,0)),0)</f>
        <v>477</v>
      </c>
      <c r="CP23" s="33">
        <f t="shared" si="24"/>
        <v>477</v>
      </c>
      <c r="CQ23" s="33">
        <v>373</v>
      </c>
      <c r="CR23" s="33">
        <f>ROUND(坦克等级成长!$H120*VLOOKUP($BV$2,坦克等级成长!$B$36:$G$42,MATCH(CR$3,坦克等级成长!$B$35:$G$35,0)),0)</f>
        <v>601</v>
      </c>
      <c r="CS23" s="33">
        <f>ROUND(坦克等级成长!$H120*VLOOKUP($BV$2,坦克等级成长!$B$36:$G$42,MATCH(CS$3,坦克等级成长!$B$35:$G$35,0)),0)</f>
        <v>141</v>
      </c>
      <c r="CT23" s="191">
        <v>3</v>
      </c>
      <c r="CU23" s="33">
        <f>ROUND(坦克等级成长!$D120*VLOOKUP($CT$2,坦克等级成长!$B$36:$G$42,MATCH(CU$3,坦克等级成长!$B$35:$G$35,0)),0)</f>
        <v>1288</v>
      </c>
      <c r="CV23" s="33">
        <f>ROUND(坦克等级成长!$D120*VLOOKUP($CT$2,坦克等级成长!$B$36:$G$42,MATCH(CV$3,坦克等级成长!$B$35:$G$35,0)),0)</f>
        <v>293</v>
      </c>
      <c r="CW23" s="33">
        <f>ROUND(坦克等级成长!$D120*VLOOKUP($CT$2,坦克等级成长!$B$36:$G$42,MATCH(CW$3,坦克等级成长!$B$35:$G$35,0)),0)</f>
        <v>575</v>
      </c>
      <c r="CX23" s="33">
        <f t="shared" si="18"/>
        <v>575</v>
      </c>
      <c r="CY23" s="33">
        <v>450</v>
      </c>
      <c r="CZ23" s="33">
        <f>ROUND(坦克等级成长!$D120*VLOOKUP($CT$2,坦克等级成长!$B$36:$G$42,MATCH(CZ$3,坦克等级成长!$B$35:$G$35,0)),0)</f>
        <v>483</v>
      </c>
      <c r="DA23" s="33">
        <f>ROUND(坦克等级成长!$D120*VLOOKUP($CT$2,坦克等级成长!$B$36:$G$42,MATCH(DA$3,坦克等级成长!$B$35:$G$35,0)),0)</f>
        <v>129</v>
      </c>
      <c r="DB23" s="198">
        <v>3</v>
      </c>
      <c r="DC23" s="33">
        <f>ROUND(坦克等级成长!$F120*VLOOKUP($CT$2,坦克等级成长!$B$36:$G$42,MATCH(DC$3,坦克等级成长!$B$35:$G$35,0)),0)</f>
        <v>1312</v>
      </c>
      <c r="DD23" s="33">
        <f>ROUND(坦克等级成长!$F120*VLOOKUP($CT$2,坦克等级成长!$B$36:$G$42,MATCH(DD$3,坦克等级成长!$B$35:$G$35,0)),0)</f>
        <v>298</v>
      </c>
      <c r="DE23" s="33">
        <f>ROUND(坦克等级成长!$F120*VLOOKUP($CT$2,坦克等级成长!$B$36:$G$42,MATCH(DE$3,坦克等级成长!$B$35:$G$35,0)),0)</f>
        <v>586</v>
      </c>
      <c r="DF23" s="33">
        <f t="shared" si="11"/>
        <v>586</v>
      </c>
      <c r="DG23" s="33">
        <v>466</v>
      </c>
      <c r="DH23" s="33">
        <f>ROUND(坦克等级成长!$F120*VLOOKUP($CT$2,坦克等级成长!$B$36:$G$42,MATCH(DH$3,坦克等级成长!$B$35:$G$35,0)),0)</f>
        <v>492</v>
      </c>
      <c r="DI23" s="33">
        <f>ROUND(坦克等级成长!$F120*VLOOKUP($CT$2,坦克等级成长!$B$36:$G$42,MATCH(DI$3,坦克等级成长!$B$35:$G$35,0)),0)</f>
        <v>131</v>
      </c>
      <c r="DJ23" s="191">
        <v>3</v>
      </c>
      <c r="DK23" s="33">
        <f>ROUND(坦克等级成长!$H120*VLOOKUP($CT$2,坦克等级成长!$B$36:$G$42,MATCH(DK$3,坦克等级成长!$B$35:$G$35,0)),0)</f>
        <v>1336</v>
      </c>
      <c r="DL23" s="33">
        <f>ROUND(坦克等级成长!$H120*VLOOKUP($CT$2,坦克等级成长!$B$36:$G$42,MATCH(DL$3,坦克等级成长!$B$35:$G$35,0)),0)</f>
        <v>303</v>
      </c>
      <c r="DM23" s="33">
        <f>ROUND(坦克等级成长!$H120*VLOOKUP($CT$2,坦克等级成长!$B$36:$G$42,MATCH(DM$3,坦克等级成长!$B$35:$G$35,0)),0)</f>
        <v>596</v>
      </c>
      <c r="DN23" s="33">
        <f t="shared" si="25"/>
        <v>596</v>
      </c>
      <c r="DO23" s="33">
        <v>466</v>
      </c>
      <c r="DP23" s="33">
        <f>ROUND(坦克等级成长!$H120*VLOOKUP($CT$2,坦克等级成长!$B$36:$G$42,MATCH(DP$3,坦克等级成长!$B$35:$G$35,0)),0)</f>
        <v>501</v>
      </c>
      <c r="DQ23" s="33">
        <f>ROUND(坦克等级成长!$H120*VLOOKUP($CT$2,坦克等级成长!$B$36:$G$42,MATCH(DQ$3,坦克等级成长!$B$35:$G$35,0)),0)</f>
        <v>134</v>
      </c>
      <c r="DR23" s="191">
        <v>3</v>
      </c>
      <c r="DS23" s="33">
        <f>ROUND(坦克等级成长!$D120*VLOOKUP($DR$2,坦克等级成长!$B$36:$G$42,MATCH(DS$3,坦克等级成长!$B$35:$G$35,0)),0)</f>
        <v>1465</v>
      </c>
      <c r="DT23" s="33">
        <f>ROUND(坦克等级成长!$D120*VLOOKUP($DR$2,坦克等级成长!$B$36:$G$42,MATCH(DT$3,坦克等级成长!$B$35:$G$35,0)),0)</f>
        <v>500</v>
      </c>
      <c r="DU23" s="33">
        <f>ROUND(坦克等级成长!$D120*VLOOKUP($DR$2,坦克等级成长!$B$36:$G$42,MATCH(DU$3,坦克等级成长!$B$35:$G$35,0)),0)</f>
        <v>460</v>
      </c>
      <c r="DV23" s="33">
        <f t="shared" si="19"/>
        <v>460</v>
      </c>
      <c r="DW23" s="33">
        <v>384</v>
      </c>
      <c r="DX23" s="33">
        <f>ROUND(坦克等级成长!$D120*VLOOKUP($DR$2,坦克等级成长!$B$36:$G$42,MATCH(DX$3,坦克等级成长!$B$35:$G$35,0)),0)</f>
        <v>676</v>
      </c>
      <c r="DY23" s="33">
        <f>ROUND(坦克等级成长!$D120*VLOOKUP($DR$2,坦克等级成长!$B$36:$G$42,MATCH(DY$3,坦克等级成长!$B$35:$G$35,0)),0)</f>
        <v>147</v>
      </c>
      <c r="DZ23" s="198">
        <v>3</v>
      </c>
      <c r="EA23" s="33">
        <f>ROUND(坦克等级成长!$F120*VLOOKUP($DR$2,坦克等级成长!$B$36:$G$42,MATCH(EA$3,坦克等级成长!$B$35:$G$35,0)),0)</f>
        <v>1493</v>
      </c>
      <c r="EB23" s="33">
        <f>ROUND(坦克等级成长!$F120*VLOOKUP($DR$2,坦克等级成长!$B$36:$G$42,MATCH(EB$3,坦克等级成长!$B$35:$G$35,0)),0)</f>
        <v>509</v>
      </c>
      <c r="EC23" s="33">
        <f>ROUND(坦克等级成长!$F120*VLOOKUP($DR$2,坦克等级成长!$B$36:$G$42,MATCH(EC$3,坦克等级成长!$B$35:$G$35,0)),0)</f>
        <v>469</v>
      </c>
      <c r="ED23" s="33">
        <f t="shared" si="12"/>
        <v>469</v>
      </c>
      <c r="EE23" s="33">
        <v>398</v>
      </c>
      <c r="EF23" s="33">
        <f>ROUND(坦克等级成长!$F120*VLOOKUP($DR$2,坦克等级成长!$B$36:$G$42,MATCH(EF$3,坦克等级成长!$B$35:$G$35,0)),0)</f>
        <v>689</v>
      </c>
      <c r="EG23" s="33">
        <f>ROUND(坦克等级成长!$F120*VLOOKUP($DR$2,坦克等级成长!$B$36:$G$42,MATCH(EG$3,坦克等级成长!$B$35:$G$35,0)),0)</f>
        <v>149</v>
      </c>
      <c r="EH23" s="191">
        <v>3</v>
      </c>
      <c r="EI23" s="33">
        <f>ROUND(坦克等级成长!$H120*VLOOKUP($DR$2,坦克等级成长!$B$36:$G$42,MATCH(EI$3,坦克等级成长!$B$35:$G$35,0)),0)</f>
        <v>1520</v>
      </c>
      <c r="EJ23" s="33">
        <f>ROUND(坦克等级成长!$H120*VLOOKUP($DR$2,坦克等级成长!$B$36:$G$42,MATCH(EJ$3,坦克等级成长!$B$35:$G$35,0)),0)</f>
        <v>519</v>
      </c>
      <c r="EK23" s="33">
        <f>ROUND(坦克等级成长!$H120*VLOOKUP($DR$2,坦克等级成长!$B$36:$G$42,MATCH(EK$3,坦克等级成长!$B$35:$G$35,0)),0)</f>
        <v>477</v>
      </c>
      <c r="EL23" s="33">
        <f t="shared" si="26"/>
        <v>477</v>
      </c>
      <c r="EM23" s="33">
        <v>398</v>
      </c>
      <c r="EN23" s="33">
        <f>ROUND(坦克等级成长!$H120*VLOOKUP($DR$2,坦克等级成长!$B$36:$G$42,MATCH(EN$3,坦克等级成长!$B$35:$G$35,0)),0)</f>
        <v>701</v>
      </c>
      <c r="EO23" s="33">
        <f>ROUND(坦克等级成长!$H120*VLOOKUP($DR$2,坦克等级成长!$B$36:$G$42,MATCH(EO$3,坦克等级成长!$B$35:$G$35,0)),0)</f>
        <v>152</v>
      </c>
      <c r="EP23" s="191">
        <v>3</v>
      </c>
      <c r="EQ23" s="33">
        <f>ROUND(坦克等级成长!$D120*VLOOKUP($EP$2,坦克等级成长!$B$36:$G$42,MATCH(EQ$3,坦克等级成长!$B$35:$G$35,0)),0)</f>
        <v>1357</v>
      </c>
      <c r="ER23" s="33">
        <f>ROUND(坦克等级成长!$D120*VLOOKUP($EP$2,坦克等级成长!$B$36:$G$42,MATCH(ER$3,坦克等级成长!$B$35:$G$35,0)),0)</f>
        <v>155</v>
      </c>
      <c r="ES23" s="33">
        <f>ROUND(坦克等级成长!$D120*VLOOKUP($EP$2,坦克等级成长!$B$36:$G$42,MATCH(ES$3,坦克等级成长!$B$35:$G$35,0)),0)</f>
        <v>529</v>
      </c>
      <c r="ET23" s="33">
        <f t="shared" si="20"/>
        <v>529</v>
      </c>
      <c r="EU23" s="33">
        <v>414</v>
      </c>
      <c r="EV23" s="33">
        <f>ROUND(坦克等级成长!$D120*VLOOKUP($EP$2,坦克等级成长!$B$36:$G$42,MATCH(EV$3,坦克等级成长!$B$35:$G$35,0)),0)</f>
        <v>580</v>
      </c>
      <c r="EW23" s="33">
        <f>ROUND(坦克等级成长!$D120*VLOOKUP($EP$2,坦克等级成长!$B$36:$G$42,MATCH(EW$3,坦克等级成长!$B$35:$G$35,0)),0)</f>
        <v>136</v>
      </c>
      <c r="EX23" s="198">
        <v>3</v>
      </c>
      <c r="EY23" s="33">
        <f>ROUND(坦克等级成长!$F120*VLOOKUP($EP$2,坦克等级成长!$B$36:$G$42,MATCH(EY$3,坦克等级成长!$B$35:$G$35,0)),0)</f>
        <v>1382</v>
      </c>
      <c r="EZ23" s="33">
        <f>ROUND(坦克等级成长!$F120*VLOOKUP($EP$2,坦克等级成长!$B$36:$G$42,MATCH(EZ$3,坦克等级成长!$B$35:$G$35,0)),0)</f>
        <v>158</v>
      </c>
      <c r="FA23" s="33">
        <f>ROUND(坦克等级成长!$F120*VLOOKUP($EP$2,坦克等级成长!$B$36:$G$42,MATCH(FA$3,坦克等级成长!$B$35:$G$35,0)),0)</f>
        <v>539</v>
      </c>
      <c r="FB23" s="33">
        <f t="shared" si="13"/>
        <v>539</v>
      </c>
      <c r="FC23" s="33">
        <v>429</v>
      </c>
      <c r="FD23" s="33">
        <f>ROUND(坦克等级成长!$F120*VLOOKUP($EP$2,坦克等级成长!$B$36:$G$42,MATCH(FD$3,坦克等级成长!$B$35:$G$35,0)),0)</f>
        <v>590</v>
      </c>
      <c r="FE23" s="33">
        <f>ROUND(坦克等级成长!$F120*VLOOKUP($EP$2,坦克等级成长!$B$36:$G$42,MATCH(FE$3,坦克等级成长!$B$35:$G$35,0)),0)</f>
        <v>138</v>
      </c>
      <c r="FF23" s="191">
        <v>3</v>
      </c>
      <c r="FG23" s="33">
        <f>ROUND(坦克等级成长!$H120*VLOOKUP($EP$2,坦克等级成长!$B$36:$G$42,MATCH(FG$3,坦克等级成长!$B$35:$G$35,0)),0)</f>
        <v>1408</v>
      </c>
      <c r="FH23" s="33">
        <f>ROUND(坦克等级成长!$H120*VLOOKUP($EP$2,坦克等级成长!$B$36:$G$42,MATCH(FH$3,坦克等级成长!$B$35:$G$35,0)),0)</f>
        <v>161</v>
      </c>
      <c r="FI23" s="33">
        <f>ROUND(坦克等级成长!$H120*VLOOKUP($EP$2,坦克等级成长!$B$36:$G$42,MATCH(FI$3,坦克等级成长!$B$35:$G$35,0)),0)</f>
        <v>549</v>
      </c>
      <c r="FJ23" s="33">
        <f t="shared" si="27"/>
        <v>549</v>
      </c>
      <c r="FK23" s="33">
        <v>429</v>
      </c>
      <c r="FL23" s="33">
        <f>ROUND(坦克等级成长!$H120*VLOOKUP($EP$2,坦克等级成长!$B$36:$G$42,MATCH(FL$3,坦克等级成长!$B$35:$G$35,0)),0)</f>
        <v>601</v>
      </c>
      <c r="FM23" s="33">
        <f>ROUND(坦克等级成长!$H120*VLOOKUP($EP$2,坦克等级成长!$B$36:$G$42,MATCH(FM$3,坦克等级成长!$B$35:$G$35,0)),0)</f>
        <v>141</v>
      </c>
    </row>
    <row r="24" spans="1:169" ht="14.25" x14ac:dyDescent="0.3">
      <c r="A24" s="188">
        <v>3</v>
      </c>
      <c r="B24" s="191">
        <v>4</v>
      </c>
      <c r="C24" s="33">
        <f>ROUND(坦克等级成长!$D121*VLOOKUP($B$2,坦克等级成长!$B$36:$G$42,MATCH(C$3,坦克等级成长!$B$35:$G$35,0)),0)</f>
        <v>1360</v>
      </c>
      <c r="D24" s="33">
        <f>ROUND(坦克等级成长!$D121*VLOOKUP($B$2,坦克等级成长!$B$36:$G$42,MATCH(D$3,坦克等级成长!$B$35:$G$35,0)),0)</f>
        <v>148</v>
      </c>
      <c r="E24" s="33">
        <f>ROUND(坦克等级成长!$D121*VLOOKUP($B$2,坦克等级成长!$B$36:$G$42,MATCH(E$3,坦克等级成长!$B$35:$G$35,0)),0)</f>
        <v>510</v>
      </c>
      <c r="F24" s="33">
        <f t="shared" si="14"/>
        <v>510</v>
      </c>
      <c r="G24" s="33">
        <v>373.8</v>
      </c>
      <c r="H24" s="33">
        <f>ROUND(坦克等级成长!$D121*VLOOKUP($B$2,坦克等级成长!$B$36:$G$42,MATCH(H$3,坦克等级成长!$B$35:$G$35,0)),0)</f>
        <v>510</v>
      </c>
      <c r="I24" s="33">
        <f>ROUND(坦克等级成长!$D121*VLOOKUP($B$2,坦克等级成长!$B$36:$G$42,MATCH(I$3,坦克等级成长!$B$35:$G$35,0)),0)</f>
        <v>136</v>
      </c>
      <c r="J24" s="198">
        <v>4</v>
      </c>
      <c r="K24" s="33">
        <f>ROUND(坦克等级成长!$F121*VLOOKUP($B$2,坦克等级成长!$B$36:$G$42,MATCH(K$3,坦克等级成长!$B$35:$G$35,0)),0)</f>
        <v>1384</v>
      </c>
      <c r="L24" s="33">
        <f>ROUND(坦克等级成长!$F121*VLOOKUP($B$2,坦克等级成长!$B$36:$G$42,MATCH(L$3,坦克等级成长!$B$35:$G$35,0)),0)</f>
        <v>151</v>
      </c>
      <c r="M24" s="33">
        <f>ROUND(坦克等级成长!$F121*VLOOKUP($B$2,坦克等级成长!$B$36:$G$42,MATCH(M$3,坦克等级成长!$B$35:$G$35,0)),0)</f>
        <v>519</v>
      </c>
      <c r="N24" s="33">
        <f t="shared" si="7"/>
        <v>519</v>
      </c>
      <c r="O24" s="33">
        <v>386</v>
      </c>
      <c r="P24" s="33">
        <f>ROUND(坦克等级成长!$F121*VLOOKUP($B$2,坦克等级成长!$B$36:$G$42,MATCH(P$3,坦克等级成长!$B$35:$G$35,0)),0)</f>
        <v>519</v>
      </c>
      <c r="Q24" s="33">
        <f>ROUND(坦克等级成长!$F121*VLOOKUP($B$2,坦克等级成长!$B$36:$G$42,MATCH(Q$3,坦克等级成长!$B$35:$G$35,0)),0)</f>
        <v>138</v>
      </c>
      <c r="R24" s="191">
        <v>4</v>
      </c>
      <c r="S24" s="33">
        <f>ROUND(坦克等级成长!$H121*VLOOKUP($B$2,坦克等级成长!$B$36:$G$42,MATCH(S$3,坦克等级成长!$B$35:$G$35,0)),0)</f>
        <v>1408</v>
      </c>
      <c r="T24" s="33">
        <f>ROUND(坦克等级成长!$H121*VLOOKUP($B$2,坦克等级成长!$B$36:$G$42,MATCH(T$3,坦克等级成长!$B$35:$G$35,0)),0)</f>
        <v>153</v>
      </c>
      <c r="U24" s="33">
        <f>ROUND(坦克等级成长!$H121*VLOOKUP($B$2,坦克等级成长!$B$36:$G$42,MATCH(U$3,坦克等级成长!$B$35:$G$35,0)),0)</f>
        <v>528</v>
      </c>
      <c r="V24" s="33">
        <f t="shared" si="21"/>
        <v>528</v>
      </c>
      <c r="W24" s="33">
        <v>386</v>
      </c>
      <c r="X24" s="33">
        <f>ROUND(坦克等级成长!$H121*VLOOKUP($B$2,坦克等级成长!$B$36:$G$42,MATCH(X$3,坦克等级成长!$B$35:$G$35,0)),0)</f>
        <v>528</v>
      </c>
      <c r="Y24" s="33">
        <f>ROUND(坦克等级成长!$H121*VLOOKUP($B$2,坦克等级成长!$B$36:$G$42,MATCH(Y$3,坦克等级成长!$B$35:$G$35,0)),0)</f>
        <v>141</v>
      </c>
      <c r="Z24" s="191">
        <v>4</v>
      </c>
      <c r="AA24" s="33">
        <f>ROUND(坦克等级成长!$D121*VLOOKUP($Z$2,坦克等级成长!$B$36:$G$42,MATCH(AA$3,坦克等级成长!$B$35:$G$35,0)),0)</f>
        <v>1360</v>
      </c>
      <c r="AB24" s="33">
        <f>ROUND(坦克等级成长!$D121*VLOOKUP($Z$2,坦克等级成长!$B$36:$G$42,MATCH(AB$3,坦克等级成长!$B$35:$G$35,0)),0)</f>
        <v>80</v>
      </c>
      <c r="AC24" s="33">
        <f>ROUND(坦克等级成长!$D121*VLOOKUP($Z$2,坦克等级成长!$B$36:$G$42,MATCH(AC$3,坦克等级成长!$B$35:$G$35,0)),0)</f>
        <v>559</v>
      </c>
      <c r="AD24" s="33">
        <f t="shared" si="15"/>
        <v>559</v>
      </c>
      <c r="AE24" s="33">
        <v>409.5</v>
      </c>
      <c r="AF24" s="33">
        <f>ROUND(坦克等级成长!$D121*VLOOKUP($Z$2,坦克等级成长!$B$36:$G$42,MATCH(AF$3,坦克等级成长!$B$35:$G$35,0)),0)</f>
        <v>510</v>
      </c>
      <c r="AG24" s="33">
        <f>ROUND(坦克等级成长!$D121*VLOOKUP($Z$2,坦克等级成长!$B$36:$G$42,MATCH(AG$3,坦克等级成长!$B$35:$G$35,0)),0)</f>
        <v>136</v>
      </c>
      <c r="AH24" s="198">
        <v>4</v>
      </c>
      <c r="AI24" s="33">
        <f>ROUND(坦克等级成长!$F121*VLOOKUP($Z$2,坦克等级成长!$B$36:$G$42,MATCH(AI$3,坦克等级成长!$B$35:$G$35,0)),0)</f>
        <v>1384</v>
      </c>
      <c r="AJ24" s="33">
        <f>ROUND(坦克等级成长!$F121*VLOOKUP($Z$2,坦克等级成长!$B$36:$G$42,MATCH(AJ$3,坦克等级成长!$B$35:$G$35,0)),0)</f>
        <v>82</v>
      </c>
      <c r="AK24" s="33">
        <f>ROUND(坦克等级成长!$F121*VLOOKUP($Z$2,坦克等级成长!$B$36:$G$42,MATCH(AK$3,坦克等级成长!$B$35:$G$35,0)),0)</f>
        <v>568</v>
      </c>
      <c r="AL24" s="33">
        <f t="shared" si="8"/>
        <v>568</v>
      </c>
      <c r="AM24" s="33">
        <v>424</v>
      </c>
      <c r="AN24" s="33">
        <f>ROUND(坦克等级成长!$F121*VLOOKUP($Z$2,坦克等级成长!$B$36:$G$42,MATCH(AN$3,坦克等级成长!$B$35:$G$35,0)),0)</f>
        <v>519</v>
      </c>
      <c r="AO24" s="33">
        <f>ROUND(坦克等级成长!$F121*VLOOKUP($Z$2,坦克等级成长!$B$36:$G$42,MATCH(AO$3,坦克等级成长!$B$35:$G$35,0)),0)</f>
        <v>138</v>
      </c>
      <c r="AP24" s="191">
        <v>4</v>
      </c>
      <c r="AQ24" s="33">
        <f>ROUND(坦克等级成长!$H121*VLOOKUP($Z$2,坦克等级成长!$B$36:$G$42,MATCH(AQ$3,坦克等级成长!$B$35:$G$35,0)),0)</f>
        <v>1408</v>
      </c>
      <c r="AR24" s="33">
        <f>ROUND(坦克等级成长!$H121*VLOOKUP($Z$2,坦克等级成长!$B$36:$G$42,MATCH(AR$3,坦克等级成长!$B$35:$G$35,0)),0)</f>
        <v>83</v>
      </c>
      <c r="AS24" s="33">
        <f>ROUND(坦克等级成长!$H121*VLOOKUP($Z$2,坦克等级成长!$B$36:$G$42,MATCH(AS$3,坦克等级成长!$B$35:$G$35,0)),0)</f>
        <v>578</v>
      </c>
      <c r="AT24" s="33">
        <f t="shared" si="22"/>
        <v>578</v>
      </c>
      <c r="AU24" s="33">
        <v>424</v>
      </c>
      <c r="AV24" s="33">
        <f>ROUND(坦克等级成长!$H121*VLOOKUP($Z$2,坦克等级成长!$B$36:$G$42,MATCH(AV$3,坦克等级成长!$B$35:$G$35,0)),0)</f>
        <v>528</v>
      </c>
      <c r="AW24" s="33">
        <f>ROUND(坦克等级成长!$H121*VLOOKUP($Z$2,坦克等级成长!$B$36:$G$42,MATCH(AW$3,坦克等级成长!$B$35:$G$35,0)),0)</f>
        <v>141</v>
      </c>
      <c r="AX24" s="191">
        <v>4</v>
      </c>
      <c r="AY24" s="33">
        <f>ROUND(坦克等级成长!$D121*VLOOKUP($AX$2,坦克等级成长!$B$36:$G$42,MATCH(AY$3,坦克等级成长!$B$35:$G$35,0)),0)</f>
        <v>1360</v>
      </c>
      <c r="AZ24" s="33">
        <f>ROUND(坦克等级成长!$D121*VLOOKUP($AX$2,坦克等级成长!$B$36:$G$42,MATCH(AZ$3,坦克等级成长!$B$35:$G$35,0)),0)</f>
        <v>148</v>
      </c>
      <c r="BA24" s="33">
        <f>ROUND(坦克等级成长!$D121*VLOOKUP($AX$2,坦克等级成长!$B$36:$G$42,MATCH(BA$3,坦克等级成长!$B$35:$G$35,0)),0)</f>
        <v>510</v>
      </c>
      <c r="BB24" s="33">
        <f t="shared" si="16"/>
        <v>510</v>
      </c>
      <c r="BC24" s="33">
        <v>373.8</v>
      </c>
      <c r="BD24" s="33">
        <f>ROUND(坦克等级成长!$D121*VLOOKUP($AX$2,坦克等级成长!$B$36:$G$42,MATCH(BD$3,坦克等级成长!$B$35:$G$35,0)),0)</f>
        <v>510</v>
      </c>
      <c r="BE24" s="33">
        <f>ROUND(坦克等级成长!$D121*VLOOKUP($AX$2,坦克等级成长!$B$36:$G$42,MATCH(BE$3,坦克等级成长!$B$35:$G$35,0)),0)</f>
        <v>136</v>
      </c>
      <c r="BF24" s="198">
        <v>4</v>
      </c>
      <c r="BG24" s="33">
        <f>ROUND(坦克等级成长!$F121*VLOOKUP($AX$2,坦克等级成长!$B$36:$G$42,MATCH(BG$3,坦克等级成长!$B$35:$G$35,0)),0)</f>
        <v>1384</v>
      </c>
      <c r="BH24" s="33">
        <f>ROUND(坦克等级成长!$F121*VLOOKUP($AX$2,坦克等级成长!$B$36:$G$42,MATCH(BH$3,坦克等级成长!$B$35:$G$35,0)),0)</f>
        <v>151</v>
      </c>
      <c r="BI24" s="33">
        <f>ROUND(坦克等级成长!$F121*VLOOKUP($AX$2,坦克等级成长!$B$36:$G$42,MATCH(BI$3,坦克等级成长!$B$35:$G$35,0)),0)</f>
        <v>519</v>
      </c>
      <c r="BJ24" s="33">
        <f t="shared" si="9"/>
        <v>519</v>
      </c>
      <c r="BK24" s="33">
        <v>386</v>
      </c>
      <c r="BL24" s="33">
        <f>ROUND(坦克等级成长!$F121*VLOOKUP($AX$2,坦克等级成长!$B$36:$G$42,MATCH(BL$3,坦克等级成长!$B$35:$G$35,0)),0)</f>
        <v>519</v>
      </c>
      <c r="BM24" s="33">
        <f>ROUND(坦克等级成长!$F121*VLOOKUP($AX$2,坦克等级成长!$B$36:$G$42,MATCH(BM$3,坦克等级成长!$B$35:$G$35,0)),0)</f>
        <v>138</v>
      </c>
      <c r="BN24" s="191">
        <v>4</v>
      </c>
      <c r="BO24" s="33">
        <f>ROUND(坦克等级成长!$H121*VLOOKUP($AX$2,坦克等级成长!$B$36:$G$42,MATCH(BO$3,坦克等级成长!$B$35:$G$35,0)),0)</f>
        <v>1408</v>
      </c>
      <c r="BP24" s="33">
        <f>ROUND(坦克等级成长!$H121*VLOOKUP($AX$2,坦克等级成长!$B$36:$G$42,MATCH(BP$3,坦克等级成长!$B$35:$G$35,0)),0)</f>
        <v>153</v>
      </c>
      <c r="BQ24" s="33">
        <f>ROUND(坦克等级成长!$H121*VLOOKUP($AX$2,坦克等级成长!$B$36:$G$42,MATCH(BQ$3,坦克等级成长!$B$35:$G$35,0)),0)</f>
        <v>528</v>
      </c>
      <c r="BR24" s="33">
        <f t="shared" si="23"/>
        <v>528</v>
      </c>
      <c r="BS24" s="33">
        <v>386</v>
      </c>
      <c r="BT24" s="33">
        <f>ROUND(坦克等级成长!$H121*VLOOKUP($AX$2,坦克等级成长!$B$36:$G$42,MATCH(BT$3,坦克等级成长!$B$35:$G$35,0)),0)</f>
        <v>528</v>
      </c>
      <c r="BU24" s="33">
        <f>ROUND(坦克等级成长!$H121*VLOOKUP($AX$2,坦克等级成长!$B$36:$G$42,MATCH(BU$3,坦克等级成长!$B$35:$G$35,0)),0)</f>
        <v>141</v>
      </c>
      <c r="BV24" s="191">
        <v>4</v>
      </c>
      <c r="BW24" s="33">
        <f>ROUND(坦克等级成长!$D121*VLOOKUP($BV$2,坦克等级成长!$B$36:$G$42,MATCH(BW$3,坦克等级成长!$B$35:$G$35,0)),0)</f>
        <v>1433</v>
      </c>
      <c r="BX24" s="33">
        <f>ROUND(坦克等级成长!$D121*VLOOKUP($BV$2,坦克等级成长!$B$36:$G$42,MATCH(BX$3,坦克等级成长!$B$35:$G$35,0)),0)</f>
        <v>135</v>
      </c>
      <c r="BY24" s="33">
        <f>ROUND(坦克等级成长!$D121*VLOOKUP($BV$2,坦克等级成长!$B$36:$G$42,MATCH(BY$3,坦克等级成长!$B$35:$G$35,0)),0)</f>
        <v>486</v>
      </c>
      <c r="BZ24" s="33">
        <f t="shared" si="17"/>
        <v>486</v>
      </c>
      <c r="CA24" s="33">
        <v>381.75</v>
      </c>
      <c r="CB24" s="33">
        <f>ROUND(坦克等级成长!$D121*VLOOKUP($BV$2,坦克等级成长!$B$36:$G$42,MATCH(CB$3,坦克等级成长!$B$35:$G$35,0)),0)</f>
        <v>612</v>
      </c>
      <c r="CC24" s="33">
        <f>ROUND(坦克等级成长!$D121*VLOOKUP($BV$2,坦克等级成长!$B$36:$G$42,MATCH(CC$3,坦克等级成长!$B$35:$G$35,0)),0)</f>
        <v>143</v>
      </c>
      <c r="CD24" s="198">
        <v>4</v>
      </c>
      <c r="CE24" s="33">
        <f>ROUND(坦克等级成长!$F121*VLOOKUP($BV$2,坦克等级成长!$B$36:$G$42,MATCH(CE$3,坦克等级成长!$B$35:$G$35,0)),0)</f>
        <v>1458</v>
      </c>
      <c r="CF24" s="33">
        <f>ROUND(坦克等级成长!$F121*VLOOKUP($BV$2,坦克等级成长!$B$36:$G$42,MATCH(CF$3,坦克等级成长!$B$35:$G$35,0)),0)</f>
        <v>137</v>
      </c>
      <c r="CG24" s="33">
        <f>ROUND(坦克等级成长!$F121*VLOOKUP($BV$2,坦克等级成长!$B$36:$G$42,MATCH(CG$3,坦克等级成长!$B$35:$G$35,0)),0)</f>
        <v>494</v>
      </c>
      <c r="CH24" s="33">
        <f t="shared" si="10"/>
        <v>494</v>
      </c>
      <c r="CI24" s="33">
        <v>395</v>
      </c>
      <c r="CJ24" s="33">
        <f>ROUND(坦克等级成长!$F121*VLOOKUP($BV$2,坦克等级成长!$B$36:$G$42,MATCH(CJ$3,坦克等级成长!$B$35:$G$35,0)),0)</f>
        <v>623</v>
      </c>
      <c r="CK24" s="33">
        <f>ROUND(坦克等级成长!$F121*VLOOKUP($BV$2,坦克等级成长!$B$36:$G$42,MATCH(CK$3,坦克等级成长!$B$35:$G$35,0)),0)</f>
        <v>146</v>
      </c>
      <c r="CL24" s="191">
        <v>4</v>
      </c>
      <c r="CM24" s="33">
        <f>ROUND(坦克等级成长!$H121*VLOOKUP($BV$2,坦克等级成长!$B$36:$G$42,MATCH(CM$3,坦克等级成长!$B$35:$G$35,0)),0)</f>
        <v>1484</v>
      </c>
      <c r="CN24" s="33">
        <f>ROUND(坦克等级成长!$H121*VLOOKUP($BV$2,坦克等级成长!$B$36:$G$42,MATCH(CN$3,坦克等级成长!$B$35:$G$35,0)),0)</f>
        <v>140</v>
      </c>
      <c r="CO24" s="33">
        <f>ROUND(坦克等级成长!$H121*VLOOKUP($BV$2,坦克等级成长!$B$36:$G$42,MATCH(CO$3,坦克等级成长!$B$35:$G$35,0)),0)</f>
        <v>503</v>
      </c>
      <c r="CP24" s="33">
        <f t="shared" si="24"/>
        <v>503</v>
      </c>
      <c r="CQ24" s="33">
        <v>395</v>
      </c>
      <c r="CR24" s="33">
        <f>ROUND(坦克等级成长!$H121*VLOOKUP($BV$2,坦克等级成长!$B$36:$G$42,MATCH(CR$3,坦克等级成长!$B$35:$G$35,0)),0)</f>
        <v>634</v>
      </c>
      <c r="CS24" s="33">
        <f>ROUND(坦克等级成长!$H121*VLOOKUP($BV$2,坦克等级成长!$B$36:$G$42,MATCH(CS$3,坦克等级成长!$B$35:$G$35,0)),0)</f>
        <v>148</v>
      </c>
      <c r="CT24" s="191">
        <v>4</v>
      </c>
      <c r="CU24" s="33">
        <f>ROUND(坦克等级成长!$D121*VLOOKUP($CT$2,坦克等级成长!$B$36:$G$42,MATCH(CU$3,坦克等级成长!$B$35:$G$35,0)),0)</f>
        <v>1360</v>
      </c>
      <c r="CV24" s="33">
        <f>ROUND(坦克等级成长!$D121*VLOOKUP($CT$2,坦克等级成长!$B$36:$G$42,MATCH(CV$3,坦克等级成长!$B$35:$G$35,0)),0)</f>
        <v>309</v>
      </c>
      <c r="CW24" s="33">
        <f>ROUND(坦克等级成长!$D121*VLOOKUP($CT$2,坦克等级成长!$B$36:$G$42,MATCH(CW$3,坦克等级成长!$B$35:$G$35,0)),0)</f>
        <v>607</v>
      </c>
      <c r="CX24" s="33">
        <f t="shared" si="18"/>
        <v>607</v>
      </c>
      <c r="CY24" s="33">
        <v>477</v>
      </c>
      <c r="CZ24" s="33">
        <f>ROUND(坦克等级成长!$D121*VLOOKUP($CT$2,坦克等级成长!$B$36:$G$42,MATCH(CZ$3,坦克等级成长!$B$35:$G$35,0)),0)</f>
        <v>510</v>
      </c>
      <c r="DA24" s="33">
        <f>ROUND(坦克等级成长!$D121*VLOOKUP($CT$2,坦克等级成长!$B$36:$G$42,MATCH(DA$3,坦克等级成长!$B$35:$G$35,0)),0)</f>
        <v>136</v>
      </c>
      <c r="DB24" s="198">
        <v>4</v>
      </c>
      <c r="DC24" s="33">
        <f>ROUND(坦克等级成长!$F121*VLOOKUP($CT$2,坦克等级成长!$B$36:$G$42,MATCH(DC$3,坦克等级成长!$B$35:$G$35,0)),0)</f>
        <v>1384</v>
      </c>
      <c r="DD24" s="33">
        <f>ROUND(坦克等级成长!$F121*VLOOKUP($CT$2,坦克等级成长!$B$36:$G$42,MATCH(DD$3,坦克等级成长!$B$35:$G$35,0)),0)</f>
        <v>314</v>
      </c>
      <c r="DE24" s="33">
        <f>ROUND(坦克等级成长!$F121*VLOOKUP($CT$2,坦克等级成长!$B$36:$G$42,MATCH(DE$3,坦克等级成长!$B$35:$G$35,0)),0)</f>
        <v>618</v>
      </c>
      <c r="DF24" s="33">
        <f t="shared" si="11"/>
        <v>618</v>
      </c>
      <c r="DG24" s="33">
        <v>493</v>
      </c>
      <c r="DH24" s="33">
        <f>ROUND(坦克等级成长!$F121*VLOOKUP($CT$2,坦克等级成长!$B$36:$G$42,MATCH(DH$3,坦克等级成长!$B$35:$G$35,0)),0)</f>
        <v>519</v>
      </c>
      <c r="DI24" s="33">
        <f>ROUND(坦克等级成长!$F121*VLOOKUP($CT$2,坦克等级成长!$B$36:$G$42,MATCH(DI$3,坦克等级成长!$B$35:$G$35,0)),0)</f>
        <v>138</v>
      </c>
      <c r="DJ24" s="191">
        <v>4</v>
      </c>
      <c r="DK24" s="33">
        <f>ROUND(坦克等级成长!$H121*VLOOKUP($CT$2,坦克等级成长!$B$36:$G$42,MATCH(DK$3,坦克等级成长!$B$35:$G$35,0)),0)</f>
        <v>1408</v>
      </c>
      <c r="DL24" s="33">
        <f>ROUND(坦克等级成长!$H121*VLOOKUP($CT$2,坦克等级成长!$B$36:$G$42,MATCH(DL$3,坦克等级成长!$B$35:$G$35,0)),0)</f>
        <v>320</v>
      </c>
      <c r="DM24" s="33">
        <f>ROUND(坦克等级成长!$H121*VLOOKUP($CT$2,坦克等级成长!$B$36:$G$42,MATCH(DM$3,坦克等级成长!$B$35:$G$35,0)),0)</f>
        <v>629</v>
      </c>
      <c r="DN24" s="33">
        <f t="shared" si="25"/>
        <v>629</v>
      </c>
      <c r="DO24" s="33">
        <v>493</v>
      </c>
      <c r="DP24" s="33">
        <f>ROUND(坦克等级成长!$H121*VLOOKUP($CT$2,坦克等级成长!$B$36:$G$42,MATCH(DP$3,坦克等级成长!$B$35:$G$35,0)),0)</f>
        <v>528</v>
      </c>
      <c r="DQ24" s="33">
        <f>ROUND(坦克等级成长!$H121*VLOOKUP($CT$2,坦克等级成长!$B$36:$G$42,MATCH(DQ$3,坦克等级成长!$B$35:$G$35,0)),0)</f>
        <v>141</v>
      </c>
      <c r="DR24" s="191">
        <v>4</v>
      </c>
      <c r="DS24" s="33">
        <f>ROUND(坦克等级成长!$D121*VLOOKUP($DR$2,坦克等级成长!$B$36:$G$42,MATCH(DS$3,坦克等级成长!$B$35:$G$35,0)),0)</f>
        <v>1547</v>
      </c>
      <c r="DT24" s="33">
        <f>ROUND(坦克等级成长!$D121*VLOOKUP($DR$2,坦克等级成长!$B$36:$G$42,MATCH(DT$3,坦克等级成长!$B$35:$G$35,0)),0)</f>
        <v>528</v>
      </c>
      <c r="DU24" s="33">
        <f>ROUND(坦克等级成长!$D121*VLOOKUP($DR$2,坦克等级成长!$B$36:$G$42,MATCH(DU$3,坦克等级成长!$B$35:$G$35,0)),0)</f>
        <v>486</v>
      </c>
      <c r="DV24" s="33">
        <f t="shared" si="19"/>
        <v>486</v>
      </c>
      <c r="DW24" s="33">
        <v>407.2</v>
      </c>
      <c r="DX24" s="33">
        <f>ROUND(坦克等级成长!$D121*VLOOKUP($DR$2,坦克等级成长!$B$36:$G$42,MATCH(DX$3,坦克等级成长!$B$35:$G$35,0)),0)</f>
        <v>714</v>
      </c>
      <c r="DY24" s="33">
        <f>ROUND(坦克等级成长!$D121*VLOOKUP($DR$2,坦克等级成长!$B$36:$G$42,MATCH(DY$3,坦克等级成长!$B$35:$G$35,0)),0)</f>
        <v>155</v>
      </c>
      <c r="DZ24" s="198">
        <v>4</v>
      </c>
      <c r="EA24" s="33">
        <f>ROUND(坦克等级成长!$F121*VLOOKUP($DR$2,坦克等级成长!$B$36:$G$42,MATCH(EA$3,坦克等级成长!$B$35:$G$35,0)),0)</f>
        <v>1575</v>
      </c>
      <c r="EB24" s="33">
        <f>ROUND(坦克等级成长!$F121*VLOOKUP($DR$2,坦克等级成长!$B$36:$G$42,MATCH(EB$3,坦克等级成长!$B$35:$G$35,0)),0)</f>
        <v>537</v>
      </c>
      <c r="EC24" s="33">
        <f>ROUND(坦克等级成长!$F121*VLOOKUP($DR$2,坦克等级成长!$B$36:$G$42,MATCH(EC$3,坦克等级成长!$B$35:$G$35,0)),0)</f>
        <v>494</v>
      </c>
      <c r="ED24" s="33">
        <f t="shared" si="12"/>
        <v>494</v>
      </c>
      <c r="EE24" s="33">
        <v>421</v>
      </c>
      <c r="EF24" s="33">
        <f>ROUND(坦克等级成长!$F121*VLOOKUP($DR$2,坦克等级成长!$B$36:$G$42,MATCH(EF$3,坦克等级成长!$B$35:$G$35,0)),0)</f>
        <v>727</v>
      </c>
      <c r="EG24" s="33">
        <f>ROUND(坦克等级成长!$F121*VLOOKUP($DR$2,坦克等级成长!$B$36:$G$42,MATCH(EG$3,坦克等级成长!$B$35:$G$35,0)),0)</f>
        <v>157</v>
      </c>
      <c r="EH24" s="191">
        <v>4</v>
      </c>
      <c r="EI24" s="33">
        <f>ROUND(坦克等级成长!$H121*VLOOKUP($DR$2,坦克等级成长!$B$36:$G$42,MATCH(EI$3,坦克等级成长!$B$35:$G$35,0)),0)</f>
        <v>1602</v>
      </c>
      <c r="EJ24" s="33">
        <f>ROUND(坦克等级成长!$H121*VLOOKUP($DR$2,坦克等级成长!$B$36:$G$42,MATCH(EJ$3,坦克等级成长!$B$35:$G$35,0)),0)</f>
        <v>546</v>
      </c>
      <c r="EK24" s="33">
        <f>ROUND(坦克等级成长!$H121*VLOOKUP($DR$2,坦克等级成长!$B$36:$G$42,MATCH(EK$3,坦克等级成长!$B$35:$G$35,0)),0)</f>
        <v>503</v>
      </c>
      <c r="EL24" s="33">
        <f t="shared" si="26"/>
        <v>503</v>
      </c>
      <c r="EM24" s="33">
        <v>421</v>
      </c>
      <c r="EN24" s="33">
        <f>ROUND(坦克等级成长!$H121*VLOOKUP($DR$2,坦克等级成长!$B$36:$G$42,MATCH(EN$3,坦克等级成长!$B$35:$G$35,0)),0)</f>
        <v>739</v>
      </c>
      <c r="EO24" s="33">
        <f>ROUND(坦克等级成长!$H121*VLOOKUP($DR$2,坦克等级成长!$B$36:$G$42,MATCH(EO$3,坦克等级成长!$B$35:$G$35,0)),0)</f>
        <v>160</v>
      </c>
      <c r="EP24" s="191">
        <v>4</v>
      </c>
      <c r="EQ24" s="33">
        <f>ROUND(坦克等级成长!$D121*VLOOKUP($EP$2,坦克等级成长!$B$36:$G$42,MATCH(EQ$3,坦克等级成长!$B$35:$G$35,0)),0)</f>
        <v>1433</v>
      </c>
      <c r="ER24" s="33">
        <f>ROUND(坦克等级成长!$D121*VLOOKUP($EP$2,坦克等级成长!$B$36:$G$42,MATCH(ER$3,坦克等级成长!$B$35:$G$35,0)),0)</f>
        <v>164</v>
      </c>
      <c r="ES24" s="33">
        <f>ROUND(坦克等级成长!$D121*VLOOKUP($EP$2,坦克等级成长!$B$36:$G$42,MATCH(ES$3,坦克等级成长!$B$35:$G$35,0)),0)</f>
        <v>559</v>
      </c>
      <c r="ET24" s="33">
        <f t="shared" si="20"/>
        <v>559</v>
      </c>
      <c r="EU24" s="33">
        <v>438.75</v>
      </c>
      <c r="EV24" s="33">
        <f>ROUND(坦克等级成长!$D121*VLOOKUP($EP$2,坦克等级成长!$B$36:$G$42,MATCH(EV$3,坦克等级成长!$B$35:$G$35,0)),0)</f>
        <v>612</v>
      </c>
      <c r="EW24" s="33">
        <f>ROUND(坦克等级成长!$D121*VLOOKUP($EP$2,坦克等级成长!$B$36:$G$42,MATCH(EW$3,坦克等级成长!$B$35:$G$35,0)),0)</f>
        <v>143</v>
      </c>
      <c r="EX24" s="198">
        <v>4</v>
      </c>
      <c r="EY24" s="33">
        <f>ROUND(坦克等级成长!$F121*VLOOKUP($EP$2,坦克等级成长!$B$36:$G$42,MATCH(EY$3,坦克等级成长!$B$35:$G$35,0)),0)</f>
        <v>1458</v>
      </c>
      <c r="EZ24" s="33">
        <f>ROUND(坦克等级成长!$F121*VLOOKUP($EP$2,坦克等级成长!$B$36:$G$42,MATCH(EZ$3,坦克等级成长!$B$35:$G$35,0)),0)</f>
        <v>167</v>
      </c>
      <c r="FA24" s="33">
        <f>ROUND(坦克等级成长!$F121*VLOOKUP($EP$2,坦克等级成长!$B$36:$G$42,MATCH(FA$3,坦克等级成长!$B$35:$G$35,0)),0)</f>
        <v>568</v>
      </c>
      <c r="FB24" s="33">
        <f t="shared" si="13"/>
        <v>568</v>
      </c>
      <c r="FC24" s="33">
        <v>454</v>
      </c>
      <c r="FD24" s="33">
        <f>ROUND(坦克等级成长!$F121*VLOOKUP($EP$2,坦克等级成长!$B$36:$G$42,MATCH(FD$3,坦克等级成长!$B$35:$G$35,0)),0)</f>
        <v>623</v>
      </c>
      <c r="FE24" s="33">
        <f>ROUND(坦克等级成长!$F121*VLOOKUP($EP$2,坦克等级成长!$B$36:$G$42,MATCH(FE$3,坦克等级成长!$B$35:$G$35,0)),0)</f>
        <v>146</v>
      </c>
      <c r="FF24" s="191">
        <v>4</v>
      </c>
      <c r="FG24" s="33">
        <f>ROUND(坦克等级成长!$H121*VLOOKUP($EP$2,坦克等级成长!$B$36:$G$42,MATCH(FG$3,坦克等级成长!$B$35:$G$35,0)),0)</f>
        <v>1484</v>
      </c>
      <c r="FH24" s="33">
        <f>ROUND(坦克等级成长!$H121*VLOOKUP($EP$2,坦克等级成长!$B$36:$G$42,MATCH(FH$3,坦克等级成长!$B$35:$G$35,0)),0)</f>
        <v>170</v>
      </c>
      <c r="FI24" s="33">
        <f>ROUND(坦克等级成长!$H121*VLOOKUP($EP$2,坦克等级成长!$B$36:$G$42,MATCH(FI$3,坦克等级成长!$B$35:$G$35,0)),0)</f>
        <v>578</v>
      </c>
      <c r="FJ24" s="33">
        <f t="shared" si="27"/>
        <v>578</v>
      </c>
      <c r="FK24" s="33">
        <v>454</v>
      </c>
      <c r="FL24" s="33">
        <f>ROUND(坦克等级成长!$H121*VLOOKUP($EP$2,坦克等级成长!$B$36:$G$42,MATCH(FL$3,坦克等级成长!$B$35:$G$35,0)),0)</f>
        <v>634</v>
      </c>
      <c r="FM24" s="33">
        <f>ROUND(坦克等级成长!$H121*VLOOKUP($EP$2,坦克等级成长!$B$36:$G$42,MATCH(FM$3,坦克等级成长!$B$35:$G$35,0)),0)</f>
        <v>148</v>
      </c>
    </row>
    <row r="25" spans="1:169" ht="14.25" x14ac:dyDescent="0.3">
      <c r="A25" s="188">
        <v>3</v>
      </c>
      <c r="B25" s="191">
        <v>5</v>
      </c>
      <c r="C25" s="33">
        <f>ROUND(坦克等级成长!$D122*VLOOKUP($B$2,坦克等级成长!$B$36:$G$42,MATCH(C$3,坦克等级成长!$B$35:$G$35,0)),0)</f>
        <v>1432</v>
      </c>
      <c r="D25" s="33">
        <f>ROUND(坦克等级成长!$D122*VLOOKUP($B$2,坦克等级成长!$B$36:$G$42,MATCH(D$3,坦克等级成长!$B$35:$G$35,0)),0)</f>
        <v>156</v>
      </c>
      <c r="E25" s="33">
        <f>ROUND(坦克等级成长!$D122*VLOOKUP($B$2,坦克等级成长!$B$36:$G$42,MATCH(E$3,坦克等级成长!$B$35:$G$35,0)),0)</f>
        <v>537</v>
      </c>
      <c r="F25" s="33">
        <f t="shared" si="14"/>
        <v>537</v>
      </c>
      <c r="G25" s="33">
        <v>394.8</v>
      </c>
      <c r="H25" s="33">
        <f>ROUND(坦克等级成长!$D122*VLOOKUP($B$2,坦克等级成长!$B$36:$G$42,MATCH(H$3,坦克等级成长!$B$35:$G$35,0)),0)</f>
        <v>537</v>
      </c>
      <c r="I25" s="33">
        <f>ROUND(坦克等级成长!$D122*VLOOKUP($B$2,坦克等级成长!$B$36:$G$42,MATCH(I$3,坦克等级成长!$B$35:$G$35,0)),0)</f>
        <v>143</v>
      </c>
      <c r="J25" s="198">
        <v>5</v>
      </c>
      <c r="K25" s="33">
        <f>ROUND(坦克等级成长!$F122*VLOOKUP($B$2,坦克等级成长!$B$36:$G$42,MATCH(K$3,坦克等级成长!$B$35:$G$35,0)),0)</f>
        <v>1456</v>
      </c>
      <c r="L25" s="33">
        <f>ROUND(坦克等级成长!$F122*VLOOKUP($B$2,坦克等级成长!$B$36:$G$42,MATCH(L$3,坦克等级成长!$B$35:$G$35,0)),0)</f>
        <v>158</v>
      </c>
      <c r="M25" s="33">
        <f>ROUND(坦克等级成长!$F122*VLOOKUP($B$2,坦克等级成长!$B$36:$G$42,MATCH(M$3,坦克等级成长!$B$35:$G$35,0)),0)</f>
        <v>546</v>
      </c>
      <c r="N25" s="33">
        <f t="shared" si="7"/>
        <v>546</v>
      </c>
      <c r="O25" s="33">
        <v>407</v>
      </c>
      <c r="P25" s="33">
        <f>ROUND(坦克等级成长!$F122*VLOOKUP($B$2,坦克等级成长!$B$36:$G$42,MATCH(P$3,坦克等级成长!$B$35:$G$35,0)),0)</f>
        <v>546</v>
      </c>
      <c r="Q25" s="33">
        <f>ROUND(坦克等级成长!$F122*VLOOKUP($B$2,坦克等级成长!$B$36:$G$42,MATCH(Q$3,坦克等级成长!$B$35:$G$35,0)),0)</f>
        <v>146</v>
      </c>
      <c r="R25" s="191">
        <v>5</v>
      </c>
      <c r="S25" s="33">
        <f>ROUND(坦克等级成长!$H122*VLOOKUP($B$2,坦克等级成长!$B$36:$G$42,MATCH(S$3,坦克等级成长!$B$35:$G$35,0)),0)</f>
        <v>1480</v>
      </c>
      <c r="T25" s="33">
        <f>ROUND(坦克等级成长!$H122*VLOOKUP($B$2,坦克等级成长!$B$36:$G$42,MATCH(T$3,坦克等级成长!$B$35:$G$35,0)),0)</f>
        <v>161</v>
      </c>
      <c r="U25" s="33">
        <f>ROUND(坦克等级成长!$H122*VLOOKUP($B$2,坦克等级成长!$B$36:$G$42,MATCH(U$3,坦克等级成长!$B$35:$G$35,0)),0)</f>
        <v>555</v>
      </c>
      <c r="V25" s="33">
        <f t="shared" si="21"/>
        <v>555</v>
      </c>
      <c r="W25" s="33">
        <v>407</v>
      </c>
      <c r="X25" s="33">
        <f>ROUND(坦克等级成长!$H122*VLOOKUP($B$2,坦克等级成长!$B$36:$G$42,MATCH(X$3,坦克等级成长!$B$35:$G$35,0)),0)</f>
        <v>555</v>
      </c>
      <c r="Y25" s="33">
        <f>ROUND(坦克等级成长!$H122*VLOOKUP($B$2,坦克等级成长!$B$36:$G$42,MATCH(Y$3,坦克等级成长!$B$35:$G$35,0)),0)</f>
        <v>148</v>
      </c>
      <c r="Z25" s="191">
        <v>5</v>
      </c>
      <c r="AA25" s="33">
        <f>ROUND(坦克等级成长!$D122*VLOOKUP($Z$2,坦克等级成长!$B$36:$G$42,MATCH(AA$3,坦克等级成长!$B$35:$G$35,0)),0)</f>
        <v>1432</v>
      </c>
      <c r="AB25" s="33">
        <f>ROUND(坦克等级成长!$D122*VLOOKUP($Z$2,坦克等级成长!$B$36:$G$42,MATCH(AB$3,坦克等级成长!$B$35:$G$35,0)),0)</f>
        <v>84</v>
      </c>
      <c r="AC25" s="33">
        <f>ROUND(坦克等级成长!$D122*VLOOKUP($Z$2,坦克等级成长!$B$36:$G$42,MATCH(AC$3,坦克等级成长!$B$35:$G$35,0)),0)</f>
        <v>588</v>
      </c>
      <c r="AD25" s="33">
        <f t="shared" si="15"/>
        <v>588</v>
      </c>
      <c r="AE25" s="33">
        <v>432.6</v>
      </c>
      <c r="AF25" s="33">
        <f>ROUND(坦克等级成长!$D122*VLOOKUP($Z$2,坦克等级成长!$B$36:$G$42,MATCH(AF$3,坦克等级成长!$B$35:$G$35,0)),0)</f>
        <v>537</v>
      </c>
      <c r="AG25" s="33">
        <f>ROUND(坦克等级成长!$D122*VLOOKUP($Z$2,坦克等级成长!$B$36:$G$42,MATCH(AG$3,坦克等级成长!$B$35:$G$35,0)),0)</f>
        <v>143</v>
      </c>
      <c r="AH25" s="198">
        <v>5</v>
      </c>
      <c r="AI25" s="33">
        <f>ROUND(坦克等级成长!$F122*VLOOKUP($Z$2,坦克等级成长!$B$36:$G$42,MATCH(AI$3,坦克等级成长!$B$35:$G$35,0)),0)</f>
        <v>1456</v>
      </c>
      <c r="AJ25" s="33">
        <f>ROUND(坦克等级成长!$F122*VLOOKUP($Z$2,坦克等级成长!$B$36:$G$42,MATCH(AJ$3,坦克等级成长!$B$35:$G$35,0)),0)</f>
        <v>86</v>
      </c>
      <c r="AK25" s="33">
        <f>ROUND(坦克等级成长!$F122*VLOOKUP($Z$2,坦克等级成长!$B$36:$G$42,MATCH(AK$3,坦克等级成长!$B$35:$G$35,0)),0)</f>
        <v>598</v>
      </c>
      <c r="AL25" s="33">
        <f t="shared" si="8"/>
        <v>598</v>
      </c>
      <c r="AM25" s="33">
        <v>446</v>
      </c>
      <c r="AN25" s="33">
        <f>ROUND(坦克等级成长!$F122*VLOOKUP($Z$2,坦克等级成长!$B$36:$G$42,MATCH(AN$3,坦克等级成长!$B$35:$G$35,0)),0)</f>
        <v>546</v>
      </c>
      <c r="AO25" s="33">
        <f>ROUND(坦克等级成长!$F122*VLOOKUP($Z$2,坦克等级成长!$B$36:$G$42,MATCH(AO$3,坦克等级成长!$B$35:$G$35,0)),0)</f>
        <v>146</v>
      </c>
      <c r="AP25" s="191">
        <v>5</v>
      </c>
      <c r="AQ25" s="33">
        <f>ROUND(坦克等级成长!$H122*VLOOKUP($Z$2,坦克等级成长!$B$36:$G$42,MATCH(AQ$3,坦克等级成长!$B$35:$G$35,0)),0)</f>
        <v>1480</v>
      </c>
      <c r="AR25" s="33">
        <f>ROUND(坦克等级成长!$H122*VLOOKUP($Z$2,坦克等级成长!$B$36:$G$42,MATCH(AR$3,坦克等级成长!$B$35:$G$35,0)),0)</f>
        <v>87</v>
      </c>
      <c r="AS25" s="33">
        <f>ROUND(坦克等级成长!$H122*VLOOKUP($Z$2,坦克等级成长!$B$36:$G$42,MATCH(AS$3,坦克等级成长!$B$35:$G$35,0)),0)</f>
        <v>608</v>
      </c>
      <c r="AT25" s="33">
        <f t="shared" si="22"/>
        <v>608</v>
      </c>
      <c r="AU25" s="33">
        <v>446</v>
      </c>
      <c r="AV25" s="33">
        <f>ROUND(坦克等级成长!$H122*VLOOKUP($Z$2,坦克等级成长!$B$36:$G$42,MATCH(AV$3,坦克等级成长!$B$35:$G$35,0)),0)</f>
        <v>555</v>
      </c>
      <c r="AW25" s="33">
        <f>ROUND(坦克等级成长!$H122*VLOOKUP($Z$2,坦克等级成长!$B$36:$G$42,MATCH(AW$3,坦克等级成长!$B$35:$G$35,0)),0)</f>
        <v>148</v>
      </c>
      <c r="AX25" s="191">
        <v>5</v>
      </c>
      <c r="AY25" s="33">
        <f>ROUND(坦克等级成长!$D122*VLOOKUP($AX$2,坦克等级成长!$B$36:$G$42,MATCH(AY$3,坦克等级成长!$B$35:$G$35,0)),0)</f>
        <v>1432</v>
      </c>
      <c r="AZ25" s="33">
        <f>ROUND(坦克等级成长!$D122*VLOOKUP($AX$2,坦克等级成长!$B$36:$G$42,MATCH(AZ$3,坦克等级成长!$B$35:$G$35,0)),0)</f>
        <v>156</v>
      </c>
      <c r="BA25" s="33">
        <f>ROUND(坦克等级成长!$D122*VLOOKUP($AX$2,坦克等级成长!$B$36:$G$42,MATCH(BA$3,坦克等级成长!$B$35:$G$35,0)),0)</f>
        <v>537</v>
      </c>
      <c r="BB25" s="33">
        <f t="shared" si="16"/>
        <v>537</v>
      </c>
      <c r="BC25" s="33">
        <v>394.8</v>
      </c>
      <c r="BD25" s="33">
        <f>ROUND(坦克等级成长!$D122*VLOOKUP($AX$2,坦克等级成长!$B$36:$G$42,MATCH(BD$3,坦克等级成长!$B$35:$G$35,0)),0)</f>
        <v>537</v>
      </c>
      <c r="BE25" s="33">
        <f>ROUND(坦克等级成长!$D122*VLOOKUP($AX$2,坦克等级成长!$B$36:$G$42,MATCH(BE$3,坦克等级成长!$B$35:$G$35,0)),0)</f>
        <v>143</v>
      </c>
      <c r="BF25" s="198">
        <v>5</v>
      </c>
      <c r="BG25" s="33">
        <f>ROUND(坦克等级成长!$F122*VLOOKUP($AX$2,坦克等级成长!$B$36:$G$42,MATCH(BG$3,坦克等级成长!$B$35:$G$35,0)),0)</f>
        <v>1456</v>
      </c>
      <c r="BH25" s="33">
        <f>ROUND(坦克等级成长!$F122*VLOOKUP($AX$2,坦克等级成长!$B$36:$G$42,MATCH(BH$3,坦克等级成长!$B$35:$G$35,0)),0)</f>
        <v>158</v>
      </c>
      <c r="BI25" s="33">
        <f>ROUND(坦克等级成长!$F122*VLOOKUP($AX$2,坦克等级成长!$B$36:$G$42,MATCH(BI$3,坦克等级成长!$B$35:$G$35,0)),0)</f>
        <v>546</v>
      </c>
      <c r="BJ25" s="33">
        <f t="shared" si="9"/>
        <v>546</v>
      </c>
      <c r="BK25" s="33">
        <v>407</v>
      </c>
      <c r="BL25" s="33">
        <f>ROUND(坦克等级成长!$F122*VLOOKUP($AX$2,坦克等级成长!$B$36:$G$42,MATCH(BL$3,坦克等级成长!$B$35:$G$35,0)),0)</f>
        <v>546</v>
      </c>
      <c r="BM25" s="33">
        <f>ROUND(坦克等级成长!$F122*VLOOKUP($AX$2,坦克等级成长!$B$36:$G$42,MATCH(BM$3,坦克等级成长!$B$35:$G$35,0)),0)</f>
        <v>146</v>
      </c>
      <c r="BN25" s="191">
        <v>5</v>
      </c>
      <c r="BO25" s="33">
        <f>ROUND(坦克等级成长!$H122*VLOOKUP($AX$2,坦克等级成长!$B$36:$G$42,MATCH(BO$3,坦克等级成长!$B$35:$G$35,0)),0)</f>
        <v>1480</v>
      </c>
      <c r="BP25" s="33">
        <f>ROUND(坦克等级成长!$H122*VLOOKUP($AX$2,坦克等级成长!$B$36:$G$42,MATCH(BP$3,坦克等级成长!$B$35:$G$35,0)),0)</f>
        <v>161</v>
      </c>
      <c r="BQ25" s="33">
        <f>ROUND(坦克等级成长!$H122*VLOOKUP($AX$2,坦克等级成长!$B$36:$G$42,MATCH(BQ$3,坦克等级成长!$B$35:$G$35,0)),0)</f>
        <v>555</v>
      </c>
      <c r="BR25" s="33">
        <f t="shared" si="23"/>
        <v>555</v>
      </c>
      <c r="BS25" s="33">
        <v>407</v>
      </c>
      <c r="BT25" s="33">
        <f>ROUND(坦克等级成长!$H122*VLOOKUP($AX$2,坦克等级成长!$B$36:$G$42,MATCH(BT$3,坦克等级成长!$B$35:$G$35,0)),0)</f>
        <v>555</v>
      </c>
      <c r="BU25" s="33">
        <f>ROUND(坦克等级成长!$H122*VLOOKUP($AX$2,坦克等级成长!$B$36:$G$42,MATCH(BU$3,坦克等级成长!$B$35:$G$35,0)),0)</f>
        <v>148</v>
      </c>
      <c r="BV25" s="191">
        <v>5</v>
      </c>
      <c r="BW25" s="33">
        <f>ROUND(坦克等级成长!$D122*VLOOKUP($BV$2,坦克等级成长!$B$36:$G$42,MATCH(BW$3,坦克等级成长!$B$35:$G$35,0)),0)</f>
        <v>1509</v>
      </c>
      <c r="BX25" s="33">
        <f>ROUND(坦克等级成长!$D122*VLOOKUP($BV$2,坦克等级成长!$B$36:$G$42,MATCH(BX$3,坦克等级成长!$B$35:$G$35,0)),0)</f>
        <v>142</v>
      </c>
      <c r="BY25" s="33">
        <f>ROUND(坦克等级成长!$D122*VLOOKUP($BV$2,坦克等级成长!$B$36:$G$42,MATCH(BY$3,坦克等级成长!$B$35:$G$35,0)),0)</f>
        <v>511</v>
      </c>
      <c r="BZ25" s="33">
        <f t="shared" si="17"/>
        <v>511</v>
      </c>
      <c r="CA25" s="33">
        <v>402.75</v>
      </c>
      <c r="CB25" s="33">
        <f>ROUND(坦克等级成长!$D122*VLOOKUP($BV$2,坦克等级成长!$B$36:$G$42,MATCH(CB$3,坦克等级成长!$B$35:$G$35,0)),0)</f>
        <v>644</v>
      </c>
      <c r="CC25" s="33">
        <f>ROUND(坦克等级成长!$D122*VLOOKUP($BV$2,坦克等级成长!$B$36:$G$42,MATCH(CC$3,坦克等级成长!$B$35:$G$35,0)),0)</f>
        <v>151</v>
      </c>
      <c r="CD25" s="198">
        <v>5</v>
      </c>
      <c r="CE25" s="33">
        <f>ROUND(坦克等级成长!$F122*VLOOKUP($BV$2,坦克等级成长!$B$36:$G$42,MATCH(CE$3,坦克等级成长!$B$35:$G$35,0)),0)</f>
        <v>1534</v>
      </c>
      <c r="CF25" s="33">
        <f>ROUND(坦克等级成长!$F122*VLOOKUP($BV$2,坦克等级成长!$B$36:$G$42,MATCH(CF$3,坦克等级成长!$B$35:$G$35,0)),0)</f>
        <v>145</v>
      </c>
      <c r="CG25" s="33">
        <f>ROUND(坦克等级成长!$F122*VLOOKUP($BV$2,坦克等级成长!$B$36:$G$42,MATCH(CG$3,坦克等级成长!$B$35:$G$35,0)),0)</f>
        <v>520</v>
      </c>
      <c r="CH25" s="33">
        <f t="shared" si="10"/>
        <v>520</v>
      </c>
      <c r="CI25" s="33">
        <v>416</v>
      </c>
      <c r="CJ25" s="33">
        <f>ROUND(坦克等级成长!$F122*VLOOKUP($BV$2,坦克等级成长!$B$36:$G$42,MATCH(CJ$3,坦克等级成长!$B$35:$G$35,0)),0)</f>
        <v>655</v>
      </c>
      <c r="CK25" s="33">
        <f>ROUND(坦克等级成长!$F122*VLOOKUP($BV$2,坦克等级成长!$B$36:$G$42,MATCH(CK$3,坦克等级成长!$B$35:$G$35,0)),0)</f>
        <v>153</v>
      </c>
      <c r="CL25" s="191">
        <v>5</v>
      </c>
      <c r="CM25" s="33">
        <f>ROUND(坦克等级成长!$H122*VLOOKUP($BV$2,坦克等级成长!$B$36:$G$42,MATCH(CM$3,坦克等级成长!$B$35:$G$35,0)),0)</f>
        <v>1559</v>
      </c>
      <c r="CN25" s="33">
        <f>ROUND(坦克等级成长!$H122*VLOOKUP($BV$2,坦克等级成长!$B$36:$G$42,MATCH(CN$3,坦克等级成长!$B$35:$G$35,0)),0)</f>
        <v>147</v>
      </c>
      <c r="CO25" s="33">
        <f>ROUND(坦克等级成长!$H122*VLOOKUP($BV$2,坦克等级成长!$B$36:$G$42,MATCH(CO$3,坦克等级成长!$B$35:$G$35,0)),0)</f>
        <v>529</v>
      </c>
      <c r="CP25" s="33">
        <f t="shared" si="24"/>
        <v>529</v>
      </c>
      <c r="CQ25" s="33">
        <v>416</v>
      </c>
      <c r="CR25" s="33">
        <f>ROUND(坦克等级成长!$H122*VLOOKUP($BV$2,坦克等级成长!$B$36:$G$42,MATCH(CR$3,坦克等级成长!$B$35:$G$35,0)),0)</f>
        <v>666</v>
      </c>
      <c r="CS25" s="33">
        <f>ROUND(坦克等级成长!$H122*VLOOKUP($BV$2,坦克等级成长!$B$36:$G$42,MATCH(CS$3,坦克等级成长!$B$35:$G$35,0)),0)</f>
        <v>156</v>
      </c>
      <c r="CT25" s="191">
        <v>5</v>
      </c>
      <c r="CU25" s="33">
        <f>ROUND(坦克等级成长!$D122*VLOOKUP($CT$2,坦克等级成长!$B$36:$G$42,MATCH(CU$3,坦克等级成长!$B$35:$G$35,0)),0)</f>
        <v>1432</v>
      </c>
      <c r="CV25" s="33">
        <f>ROUND(坦克等级成长!$D122*VLOOKUP($CT$2,坦克等级成长!$B$36:$G$42,MATCH(CV$3,坦克等级成长!$B$35:$G$35,0)),0)</f>
        <v>325</v>
      </c>
      <c r="CW25" s="33">
        <f>ROUND(坦克等级成长!$D122*VLOOKUP($CT$2,坦克等级成长!$B$36:$G$42,MATCH(CW$3,坦克等级成长!$B$35:$G$35,0)),0)</f>
        <v>639</v>
      </c>
      <c r="CX25" s="33">
        <f t="shared" si="18"/>
        <v>639</v>
      </c>
      <c r="CY25" s="33">
        <v>503.25</v>
      </c>
      <c r="CZ25" s="33">
        <f>ROUND(坦克等级成长!$D122*VLOOKUP($CT$2,坦克等级成长!$B$36:$G$42,MATCH(CZ$3,坦克等级成长!$B$35:$G$35,0)),0)</f>
        <v>537</v>
      </c>
      <c r="DA25" s="33">
        <f>ROUND(坦克等级成长!$D122*VLOOKUP($CT$2,坦克等级成长!$B$36:$G$42,MATCH(DA$3,坦克等级成长!$B$35:$G$35,0)),0)</f>
        <v>143</v>
      </c>
      <c r="DB25" s="198">
        <v>5</v>
      </c>
      <c r="DC25" s="33">
        <f>ROUND(坦克等级成长!$F122*VLOOKUP($CT$2,坦克等级成长!$B$36:$G$42,MATCH(DC$3,坦克等级成长!$B$35:$G$35,0)),0)</f>
        <v>1456</v>
      </c>
      <c r="DD25" s="33">
        <f>ROUND(坦克等级成长!$F122*VLOOKUP($CT$2,坦克等级成长!$B$36:$G$42,MATCH(DD$3,坦克等级成长!$B$35:$G$35,0)),0)</f>
        <v>331</v>
      </c>
      <c r="DE25" s="33">
        <f>ROUND(坦克等级成长!$F122*VLOOKUP($CT$2,坦克等级成长!$B$36:$G$42,MATCH(DE$3,坦克等级成长!$B$35:$G$35,0)),0)</f>
        <v>650</v>
      </c>
      <c r="DF25" s="33">
        <f t="shared" si="11"/>
        <v>650</v>
      </c>
      <c r="DG25" s="33">
        <v>520</v>
      </c>
      <c r="DH25" s="33">
        <f>ROUND(坦克等级成长!$F122*VLOOKUP($CT$2,坦克等级成长!$B$36:$G$42,MATCH(DH$3,坦克等级成长!$B$35:$G$35,0)),0)</f>
        <v>546</v>
      </c>
      <c r="DI25" s="33">
        <f>ROUND(坦克等级成长!$F122*VLOOKUP($CT$2,坦克等级成长!$B$36:$G$42,MATCH(DI$3,坦克等级成长!$B$35:$G$35,0)),0)</f>
        <v>146</v>
      </c>
      <c r="DJ25" s="191">
        <v>5</v>
      </c>
      <c r="DK25" s="33">
        <f>ROUND(坦克等级成长!$H122*VLOOKUP($CT$2,坦克等级成长!$B$36:$G$42,MATCH(DK$3,坦克等级成长!$B$35:$G$35,0)),0)</f>
        <v>1480</v>
      </c>
      <c r="DL25" s="33">
        <f>ROUND(坦克等级成长!$H122*VLOOKUP($CT$2,坦克等级成长!$B$36:$G$42,MATCH(DL$3,坦克等级成长!$B$35:$G$35,0)),0)</f>
        <v>336</v>
      </c>
      <c r="DM25" s="33">
        <f>ROUND(坦克等级成长!$H122*VLOOKUP($CT$2,坦克等级成长!$B$36:$G$42,MATCH(DM$3,坦克等级成长!$B$35:$G$35,0)),0)</f>
        <v>661</v>
      </c>
      <c r="DN25" s="33">
        <f t="shared" si="25"/>
        <v>661</v>
      </c>
      <c r="DO25" s="33">
        <v>520</v>
      </c>
      <c r="DP25" s="33">
        <f>ROUND(坦克等级成长!$H122*VLOOKUP($CT$2,坦克等级成长!$B$36:$G$42,MATCH(DP$3,坦克等级成长!$B$35:$G$35,0)),0)</f>
        <v>555</v>
      </c>
      <c r="DQ25" s="33">
        <f>ROUND(坦克等级成长!$H122*VLOOKUP($CT$2,坦克等级成长!$B$36:$G$42,MATCH(DQ$3,坦克等级成长!$B$35:$G$35,0)),0)</f>
        <v>148</v>
      </c>
      <c r="DR25" s="191">
        <v>5</v>
      </c>
      <c r="DS25" s="33">
        <f>ROUND(坦克等级成长!$D122*VLOOKUP($DR$2,坦克等级成长!$B$36:$G$42,MATCH(DS$3,坦克等级成长!$B$35:$G$35,0)),0)</f>
        <v>1629</v>
      </c>
      <c r="DT25" s="33">
        <f>ROUND(坦克等级成长!$D122*VLOOKUP($DR$2,坦克等级成长!$B$36:$G$42,MATCH(DT$3,坦克等级成长!$B$35:$G$35,0)),0)</f>
        <v>556</v>
      </c>
      <c r="DU25" s="33">
        <f>ROUND(坦克等级成长!$D122*VLOOKUP($DR$2,坦克等级成长!$B$36:$G$42,MATCH(DU$3,坦克等级成长!$B$35:$G$35,0)),0)</f>
        <v>511</v>
      </c>
      <c r="DV25" s="33">
        <f t="shared" si="19"/>
        <v>511</v>
      </c>
      <c r="DW25" s="33">
        <v>429.6</v>
      </c>
      <c r="DX25" s="33">
        <f>ROUND(坦克等级成长!$D122*VLOOKUP($DR$2,坦克等级成长!$B$36:$G$42,MATCH(DX$3,坦克等级成长!$B$35:$G$35,0)),0)</f>
        <v>752</v>
      </c>
      <c r="DY25" s="33">
        <f>ROUND(坦克等级成长!$D122*VLOOKUP($DR$2,坦克等级成长!$B$36:$G$42,MATCH(DY$3,坦克等级成长!$B$35:$G$35,0)),0)</f>
        <v>163</v>
      </c>
      <c r="DZ25" s="198">
        <v>5</v>
      </c>
      <c r="EA25" s="33">
        <f>ROUND(坦克等级成长!$F122*VLOOKUP($DR$2,坦克等级成长!$B$36:$G$42,MATCH(EA$3,坦克等级成长!$B$35:$G$35,0)),0)</f>
        <v>1657</v>
      </c>
      <c r="EB25" s="33">
        <f>ROUND(坦克等级成长!$F122*VLOOKUP($DR$2,坦克等级成长!$B$36:$G$42,MATCH(EB$3,坦克等级成长!$B$35:$G$35,0)),0)</f>
        <v>565</v>
      </c>
      <c r="EC25" s="33">
        <f>ROUND(坦克等级成长!$F122*VLOOKUP($DR$2,坦克等级成长!$B$36:$G$42,MATCH(EC$3,坦克等级成长!$B$35:$G$35,0)),0)</f>
        <v>520</v>
      </c>
      <c r="ED25" s="33">
        <f t="shared" si="12"/>
        <v>520</v>
      </c>
      <c r="EE25" s="33">
        <v>443</v>
      </c>
      <c r="EF25" s="33">
        <f>ROUND(坦克等级成长!$F122*VLOOKUP($DR$2,坦克等级成长!$B$36:$G$42,MATCH(EF$3,坦克等级成长!$B$35:$G$35,0)),0)</f>
        <v>764</v>
      </c>
      <c r="EG25" s="33">
        <f>ROUND(坦克等级成长!$F122*VLOOKUP($DR$2,坦克等级成长!$B$36:$G$42,MATCH(EG$3,坦克等级成长!$B$35:$G$35,0)),0)</f>
        <v>166</v>
      </c>
      <c r="EH25" s="191">
        <v>5</v>
      </c>
      <c r="EI25" s="33">
        <f>ROUND(坦克等级成长!$H122*VLOOKUP($DR$2,坦克等级成长!$B$36:$G$42,MATCH(EI$3,坦克等级成长!$B$35:$G$35,0)),0)</f>
        <v>1684</v>
      </c>
      <c r="EJ25" s="33">
        <f>ROUND(坦克等级成长!$H122*VLOOKUP($DR$2,坦克等级成长!$B$36:$G$42,MATCH(EJ$3,坦克等级成长!$B$35:$G$35,0)),0)</f>
        <v>574</v>
      </c>
      <c r="EK25" s="33">
        <f>ROUND(坦克等级成长!$H122*VLOOKUP($DR$2,坦克等级成长!$B$36:$G$42,MATCH(EK$3,坦克等级成长!$B$35:$G$35,0)),0)</f>
        <v>529</v>
      </c>
      <c r="EL25" s="33">
        <f t="shared" si="26"/>
        <v>529</v>
      </c>
      <c r="EM25" s="33">
        <v>443</v>
      </c>
      <c r="EN25" s="33">
        <f>ROUND(坦克等级成长!$H122*VLOOKUP($DR$2,坦克等级成长!$B$36:$G$42,MATCH(EN$3,坦克等级成长!$B$35:$G$35,0)),0)</f>
        <v>777</v>
      </c>
      <c r="EO25" s="33">
        <f>ROUND(坦克等级成长!$H122*VLOOKUP($DR$2,坦克等级成长!$B$36:$G$42,MATCH(EO$3,坦克等级成长!$B$35:$G$35,0)),0)</f>
        <v>168</v>
      </c>
      <c r="EP25" s="191">
        <v>5</v>
      </c>
      <c r="EQ25" s="33">
        <f>ROUND(坦克等级成长!$D122*VLOOKUP($EP$2,坦克等级成长!$B$36:$G$42,MATCH(EQ$3,坦克等级成长!$B$35:$G$35,0)),0)</f>
        <v>1509</v>
      </c>
      <c r="ER25" s="33">
        <f>ROUND(坦克等级成长!$D122*VLOOKUP($EP$2,坦克等级成长!$B$36:$G$42,MATCH(ER$3,坦克等级成长!$B$35:$G$35,0)),0)</f>
        <v>173</v>
      </c>
      <c r="ES25" s="33">
        <f>ROUND(坦克等级成长!$D122*VLOOKUP($EP$2,坦克等级成长!$B$36:$G$42,MATCH(ES$3,坦克等级成长!$B$35:$G$35,0)),0)</f>
        <v>588</v>
      </c>
      <c r="ET25" s="33">
        <f t="shared" si="20"/>
        <v>588</v>
      </c>
      <c r="EU25" s="33">
        <v>463.5</v>
      </c>
      <c r="EV25" s="33">
        <f>ROUND(坦克等级成长!$D122*VLOOKUP($EP$2,坦克等级成长!$B$36:$G$42,MATCH(EV$3,坦克等级成长!$B$35:$G$35,0)),0)</f>
        <v>644</v>
      </c>
      <c r="EW25" s="33">
        <f>ROUND(坦克等级成长!$D122*VLOOKUP($EP$2,坦克等级成长!$B$36:$G$42,MATCH(EW$3,坦克等级成长!$B$35:$G$35,0)),0)</f>
        <v>151</v>
      </c>
      <c r="EX25" s="198">
        <v>5</v>
      </c>
      <c r="EY25" s="33">
        <f>ROUND(坦克等级成长!$F122*VLOOKUP($EP$2,坦克等级成长!$B$36:$G$42,MATCH(EY$3,坦克等级成长!$B$35:$G$35,0)),0)</f>
        <v>1534</v>
      </c>
      <c r="EZ25" s="33">
        <f>ROUND(坦克等级成长!$F122*VLOOKUP($EP$2,坦克等级成长!$B$36:$G$42,MATCH(EZ$3,坦克等级成长!$B$35:$G$35,0)),0)</f>
        <v>176</v>
      </c>
      <c r="FA25" s="33">
        <f>ROUND(坦克等级成长!$F122*VLOOKUP($EP$2,坦克等级成长!$B$36:$G$42,MATCH(FA$3,坦克等级成长!$B$35:$G$35,0)),0)</f>
        <v>598</v>
      </c>
      <c r="FB25" s="33">
        <f t="shared" si="13"/>
        <v>598</v>
      </c>
      <c r="FC25" s="33">
        <v>478</v>
      </c>
      <c r="FD25" s="33">
        <f>ROUND(坦克等级成长!$F122*VLOOKUP($EP$2,坦克等级成长!$B$36:$G$42,MATCH(FD$3,坦克等级成长!$B$35:$G$35,0)),0)</f>
        <v>655</v>
      </c>
      <c r="FE25" s="33">
        <f>ROUND(坦克等级成长!$F122*VLOOKUP($EP$2,坦克等级成长!$B$36:$G$42,MATCH(FE$3,坦克等级成长!$B$35:$G$35,0)),0)</f>
        <v>153</v>
      </c>
      <c r="FF25" s="191">
        <v>5</v>
      </c>
      <c r="FG25" s="33">
        <f>ROUND(坦克等级成长!$H122*VLOOKUP($EP$2,坦克等级成长!$B$36:$G$42,MATCH(FG$3,坦克等级成长!$B$35:$G$35,0)),0)</f>
        <v>1559</v>
      </c>
      <c r="FH25" s="33">
        <f>ROUND(坦克等级成长!$H122*VLOOKUP($EP$2,坦克等级成长!$B$36:$G$42,MATCH(FH$3,坦克等级成长!$B$35:$G$35,0)),0)</f>
        <v>179</v>
      </c>
      <c r="FI25" s="33">
        <f>ROUND(坦克等级成长!$H122*VLOOKUP($EP$2,坦克等级成长!$B$36:$G$42,MATCH(FI$3,坦克等级成长!$B$35:$G$35,0)),0)</f>
        <v>608</v>
      </c>
      <c r="FJ25" s="33">
        <f t="shared" si="27"/>
        <v>608</v>
      </c>
      <c r="FK25" s="33">
        <v>478</v>
      </c>
      <c r="FL25" s="33">
        <f>ROUND(坦克等级成长!$H122*VLOOKUP($EP$2,坦克等级成长!$B$36:$G$42,MATCH(FL$3,坦克等级成长!$B$35:$G$35,0)),0)</f>
        <v>666</v>
      </c>
      <c r="FM25" s="33">
        <f>ROUND(坦克等级成长!$H122*VLOOKUP($EP$2,坦克等级成长!$B$36:$G$42,MATCH(FM$3,坦克等级成长!$B$35:$G$35,0)),0)</f>
        <v>156</v>
      </c>
    </row>
    <row r="26" spans="1:169" ht="14.25" x14ac:dyDescent="0.3">
      <c r="A26" s="188">
        <v>3</v>
      </c>
      <c r="B26" s="191">
        <v>6</v>
      </c>
      <c r="C26" s="33">
        <f>ROUND(坦克等级成长!$D123*VLOOKUP($B$2,坦克等级成长!$B$36:$G$42,MATCH(C$3,坦克等级成长!$B$35:$G$35,0)),0)</f>
        <v>1504</v>
      </c>
      <c r="D26" s="33">
        <f>ROUND(坦克等级成长!$D123*VLOOKUP($B$2,坦克等级成长!$B$36:$G$42,MATCH(D$3,坦克等级成长!$B$35:$G$35,0)),0)</f>
        <v>164</v>
      </c>
      <c r="E26" s="33">
        <f>ROUND(坦克等级成长!$D123*VLOOKUP($B$2,坦克等级成长!$B$36:$G$42,MATCH(E$3,坦克等级成长!$B$35:$G$35,0)),0)</f>
        <v>564</v>
      </c>
      <c r="F26" s="33">
        <f t="shared" si="14"/>
        <v>564</v>
      </c>
      <c r="G26" s="33">
        <v>415.8</v>
      </c>
      <c r="H26" s="33">
        <f>ROUND(坦克等级成长!$D123*VLOOKUP($B$2,坦克等级成长!$B$36:$G$42,MATCH(H$3,坦克等级成长!$B$35:$G$35,0)),0)</f>
        <v>564</v>
      </c>
      <c r="I26" s="33">
        <f>ROUND(坦克等级成长!$D123*VLOOKUP($B$2,坦克等级成长!$B$36:$G$42,MATCH(I$3,坦克等级成长!$B$35:$G$35,0)),0)</f>
        <v>150</v>
      </c>
      <c r="J26" s="198">
        <v>6</v>
      </c>
      <c r="K26" s="33">
        <f>ROUND(坦克等级成长!$F123*VLOOKUP($B$2,坦克等级成长!$B$36:$G$42,MATCH(K$3,坦克等级成长!$B$35:$G$35,0)),0)</f>
        <v>1528</v>
      </c>
      <c r="L26" s="33">
        <f>ROUND(坦克等级成长!$F123*VLOOKUP($B$2,坦克等级成长!$B$36:$G$42,MATCH(L$3,坦克等级成长!$B$35:$G$35,0)),0)</f>
        <v>166</v>
      </c>
      <c r="M26" s="33">
        <f>ROUND(坦克等级成长!$F123*VLOOKUP($B$2,坦克等级成长!$B$36:$G$42,MATCH(M$3,坦克等级成长!$B$35:$G$35,0)),0)</f>
        <v>573</v>
      </c>
      <c r="N26" s="33">
        <f t="shared" si="7"/>
        <v>573</v>
      </c>
      <c r="O26" s="33">
        <v>428</v>
      </c>
      <c r="P26" s="33">
        <f>ROUND(坦克等级成长!$F123*VLOOKUP($B$2,坦克等级成长!$B$36:$G$42,MATCH(P$3,坦克等级成长!$B$35:$G$35,0)),0)</f>
        <v>573</v>
      </c>
      <c r="Q26" s="33">
        <f>ROUND(坦克等级成长!$F123*VLOOKUP($B$2,坦克等级成长!$B$36:$G$42,MATCH(Q$3,坦克等级成长!$B$35:$G$35,0)),0)</f>
        <v>153</v>
      </c>
      <c r="R26" s="191">
        <v>6</v>
      </c>
      <c r="S26" s="33">
        <f>ROUND(坦克等级成长!$H123*VLOOKUP($B$2,坦克等级成长!$B$36:$G$42,MATCH(S$3,坦克等级成长!$B$35:$G$35,0)),0)</f>
        <v>1552</v>
      </c>
      <c r="T26" s="33">
        <f>ROUND(坦克等级成长!$H123*VLOOKUP($B$2,坦克等级成长!$B$36:$G$42,MATCH(T$3,坦克等级成长!$B$35:$G$35,0)),0)</f>
        <v>169</v>
      </c>
      <c r="U26" s="33">
        <f>ROUND(坦克等级成长!$H123*VLOOKUP($B$2,坦克等级成长!$B$36:$G$42,MATCH(U$3,坦克等级成长!$B$35:$G$35,0)),0)</f>
        <v>582</v>
      </c>
      <c r="V26" s="33">
        <f t="shared" si="21"/>
        <v>582</v>
      </c>
      <c r="W26" s="33">
        <v>428</v>
      </c>
      <c r="X26" s="33">
        <f>ROUND(坦克等级成长!$H123*VLOOKUP($B$2,坦克等级成长!$B$36:$G$42,MATCH(X$3,坦克等级成长!$B$35:$G$35,0)),0)</f>
        <v>582</v>
      </c>
      <c r="Y26" s="33">
        <f>ROUND(坦克等级成长!$H123*VLOOKUP($B$2,坦克等级成长!$B$36:$G$42,MATCH(Y$3,坦克等级成长!$B$35:$G$35,0)),0)</f>
        <v>155</v>
      </c>
      <c r="Z26" s="191">
        <v>6</v>
      </c>
      <c r="AA26" s="33">
        <f>ROUND(坦克等级成长!$D123*VLOOKUP($Z$2,坦克等级成长!$B$36:$G$42,MATCH(AA$3,坦克等级成长!$B$35:$G$35,0)),0)</f>
        <v>1504</v>
      </c>
      <c r="AB26" s="33">
        <f>ROUND(坦克等级成长!$D123*VLOOKUP($Z$2,坦克等级成长!$B$36:$G$42,MATCH(AB$3,坦克等级成长!$B$35:$G$35,0)),0)</f>
        <v>89</v>
      </c>
      <c r="AC26" s="33">
        <f>ROUND(坦克等级成长!$D123*VLOOKUP($Z$2,坦克等级成长!$B$36:$G$42,MATCH(AC$3,坦克等级成长!$B$35:$G$35,0)),0)</f>
        <v>618</v>
      </c>
      <c r="AD26" s="33">
        <f t="shared" si="15"/>
        <v>618</v>
      </c>
      <c r="AE26" s="33">
        <v>455.7</v>
      </c>
      <c r="AF26" s="33">
        <f>ROUND(坦克等级成长!$D123*VLOOKUP($Z$2,坦克等级成长!$B$36:$G$42,MATCH(AF$3,坦克等级成长!$B$35:$G$35,0)),0)</f>
        <v>564</v>
      </c>
      <c r="AG26" s="33">
        <f>ROUND(坦克等级成长!$D123*VLOOKUP($Z$2,坦克等级成长!$B$36:$G$42,MATCH(AG$3,坦克等级成长!$B$35:$G$35,0)),0)</f>
        <v>150</v>
      </c>
      <c r="AH26" s="198">
        <v>6</v>
      </c>
      <c r="AI26" s="33">
        <f>ROUND(坦克等级成长!$F123*VLOOKUP($Z$2,坦克等级成长!$B$36:$G$42,MATCH(AI$3,坦克等级成长!$B$35:$G$35,0)),0)</f>
        <v>1528</v>
      </c>
      <c r="AJ26" s="33">
        <f>ROUND(坦克等级成长!$F123*VLOOKUP($Z$2,坦克等级成长!$B$36:$G$42,MATCH(AJ$3,坦克等级成长!$B$35:$G$35,0)),0)</f>
        <v>90</v>
      </c>
      <c r="AK26" s="33">
        <f>ROUND(坦克等级成长!$F123*VLOOKUP($Z$2,坦克等级成长!$B$36:$G$42,MATCH(AK$3,坦克等级成长!$B$35:$G$35,0)),0)</f>
        <v>628</v>
      </c>
      <c r="AL26" s="33">
        <f t="shared" si="8"/>
        <v>628</v>
      </c>
      <c r="AM26" s="33">
        <v>469</v>
      </c>
      <c r="AN26" s="33">
        <f>ROUND(坦克等级成长!$F123*VLOOKUP($Z$2,坦克等级成长!$B$36:$G$42,MATCH(AN$3,坦克等级成长!$B$35:$G$35,0)),0)</f>
        <v>573</v>
      </c>
      <c r="AO26" s="33">
        <f>ROUND(坦克等级成长!$F123*VLOOKUP($Z$2,坦克等级成长!$B$36:$G$42,MATCH(AO$3,坦克等级成长!$B$35:$G$35,0)),0)</f>
        <v>153</v>
      </c>
      <c r="AP26" s="191">
        <v>6</v>
      </c>
      <c r="AQ26" s="33">
        <f>ROUND(坦克等级成长!$H123*VLOOKUP($Z$2,坦克等级成长!$B$36:$G$42,MATCH(AQ$3,坦克等级成长!$B$35:$G$35,0)),0)</f>
        <v>1552</v>
      </c>
      <c r="AR26" s="33">
        <f>ROUND(坦克等级成长!$H123*VLOOKUP($Z$2,坦克等级成长!$B$36:$G$42,MATCH(AR$3,坦克等级成长!$B$35:$G$35,0)),0)</f>
        <v>91</v>
      </c>
      <c r="AS26" s="33">
        <f>ROUND(坦克等级成长!$H123*VLOOKUP($Z$2,坦克等级成长!$B$36:$G$42,MATCH(AS$3,坦克等级成长!$B$35:$G$35,0)),0)</f>
        <v>637</v>
      </c>
      <c r="AT26" s="33">
        <f t="shared" si="22"/>
        <v>637</v>
      </c>
      <c r="AU26" s="33">
        <v>469</v>
      </c>
      <c r="AV26" s="33">
        <f>ROUND(坦克等级成长!$H123*VLOOKUP($Z$2,坦克等级成长!$B$36:$G$42,MATCH(AV$3,坦克等级成长!$B$35:$G$35,0)),0)</f>
        <v>582</v>
      </c>
      <c r="AW26" s="33">
        <f>ROUND(坦克等级成长!$H123*VLOOKUP($Z$2,坦克等级成长!$B$36:$G$42,MATCH(AW$3,坦克等级成长!$B$35:$G$35,0)),0)</f>
        <v>155</v>
      </c>
      <c r="AX26" s="191">
        <v>6</v>
      </c>
      <c r="AY26" s="33">
        <f>ROUND(坦克等级成长!$D123*VLOOKUP($AX$2,坦克等级成长!$B$36:$G$42,MATCH(AY$3,坦克等级成长!$B$35:$G$35,0)),0)</f>
        <v>1504</v>
      </c>
      <c r="AZ26" s="33">
        <f>ROUND(坦克等级成长!$D123*VLOOKUP($AX$2,坦克等级成长!$B$36:$G$42,MATCH(AZ$3,坦克等级成长!$B$35:$G$35,0)),0)</f>
        <v>164</v>
      </c>
      <c r="BA26" s="33">
        <f>ROUND(坦克等级成长!$D123*VLOOKUP($AX$2,坦克等级成长!$B$36:$G$42,MATCH(BA$3,坦克等级成长!$B$35:$G$35,0)),0)</f>
        <v>564</v>
      </c>
      <c r="BB26" s="33">
        <f t="shared" si="16"/>
        <v>564</v>
      </c>
      <c r="BC26" s="33">
        <v>415.8</v>
      </c>
      <c r="BD26" s="33">
        <f>ROUND(坦克等级成长!$D123*VLOOKUP($AX$2,坦克等级成长!$B$36:$G$42,MATCH(BD$3,坦克等级成长!$B$35:$G$35,0)),0)</f>
        <v>564</v>
      </c>
      <c r="BE26" s="33">
        <f>ROUND(坦克等级成长!$D123*VLOOKUP($AX$2,坦克等级成长!$B$36:$G$42,MATCH(BE$3,坦克等级成长!$B$35:$G$35,0)),0)</f>
        <v>150</v>
      </c>
      <c r="BF26" s="198">
        <v>6</v>
      </c>
      <c r="BG26" s="33">
        <f>ROUND(坦克等级成长!$F123*VLOOKUP($AX$2,坦克等级成长!$B$36:$G$42,MATCH(BG$3,坦克等级成长!$B$35:$G$35,0)),0)</f>
        <v>1528</v>
      </c>
      <c r="BH26" s="33">
        <f>ROUND(坦克等级成长!$F123*VLOOKUP($AX$2,坦克等级成长!$B$36:$G$42,MATCH(BH$3,坦克等级成长!$B$35:$G$35,0)),0)</f>
        <v>166</v>
      </c>
      <c r="BI26" s="33">
        <f>ROUND(坦克等级成长!$F123*VLOOKUP($AX$2,坦克等级成长!$B$36:$G$42,MATCH(BI$3,坦克等级成长!$B$35:$G$35,0)),0)</f>
        <v>573</v>
      </c>
      <c r="BJ26" s="33">
        <f t="shared" si="9"/>
        <v>573</v>
      </c>
      <c r="BK26" s="33">
        <v>428</v>
      </c>
      <c r="BL26" s="33">
        <f>ROUND(坦克等级成长!$F123*VLOOKUP($AX$2,坦克等级成长!$B$36:$G$42,MATCH(BL$3,坦克等级成长!$B$35:$G$35,0)),0)</f>
        <v>573</v>
      </c>
      <c r="BM26" s="33">
        <f>ROUND(坦克等级成长!$F123*VLOOKUP($AX$2,坦克等级成长!$B$36:$G$42,MATCH(BM$3,坦克等级成长!$B$35:$G$35,0)),0)</f>
        <v>153</v>
      </c>
      <c r="BN26" s="191">
        <v>6</v>
      </c>
      <c r="BO26" s="33">
        <f>ROUND(坦克等级成长!$H123*VLOOKUP($AX$2,坦克等级成长!$B$36:$G$42,MATCH(BO$3,坦克等级成长!$B$35:$G$35,0)),0)</f>
        <v>1552</v>
      </c>
      <c r="BP26" s="33">
        <f>ROUND(坦克等级成长!$H123*VLOOKUP($AX$2,坦克等级成长!$B$36:$G$42,MATCH(BP$3,坦克等级成长!$B$35:$G$35,0)),0)</f>
        <v>169</v>
      </c>
      <c r="BQ26" s="33">
        <f>ROUND(坦克等级成长!$H123*VLOOKUP($AX$2,坦克等级成长!$B$36:$G$42,MATCH(BQ$3,坦克等级成长!$B$35:$G$35,0)),0)</f>
        <v>582</v>
      </c>
      <c r="BR26" s="33">
        <f t="shared" si="23"/>
        <v>582</v>
      </c>
      <c r="BS26" s="33">
        <v>428</v>
      </c>
      <c r="BT26" s="33">
        <f>ROUND(坦克等级成长!$H123*VLOOKUP($AX$2,坦克等级成长!$B$36:$G$42,MATCH(BT$3,坦克等级成长!$B$35:$G$35,0)),0)</f>
        <v>582</v>
      </c>
      <c r="BU26" s="33">
        <f>ROUND(坦克等级成长!$H123*VLOOKUP($AX$2,坦克等级成长!$B$36:$G$42,MATCH(BU$3,坦克等级成长!$B$35:$G$35,0)),0)</f>
        <v>155</v>
      </c>
      <c r="BV26" s="191">
        <v>6</v>
      </c>
      <c r="BW26" s="33">
        <f>ROUND(坦克等级成长!$D123*VLOOKUP($BV$2,坦克等级成长!$B$36:$G$42,MATCH(BW$3,坦克等级成长!$B$35:$G$35,0)),0)</f>
        <v>1585</v>
      </c>
      <c r="BX26" s="33">
        <f>ROUND(坦克等级成长!$D123*VLOOKUP($BV$2,坦克等级成长!$B$36:$G$42,MATCH(BX$3,坦克等级成长!$B$35:$G$35,0)),0)</f>
        <v>149</v>
      </c>
      <c r="BY26" s="33">
        <f>ROUND(坦克等级成长!$D123*VLOOKUP($BV$2,坦克等级成长!$B$36:$G$42,MATCH(BY$3,坦克等级成长!$B$35:$G$35,0)),0)</f>
        <v>537</v>
      </c>
      <c r="BZ26" s="33">
        <f t="shared" si="17"/>
        <v>537</v>
      </c>
      <c r="CA26" s="33">
        <v>424.5</v>
      </c>
      <c r="CB26" s="33">
        <f>ROUND(坦克等级成长!$D123*VLOOKUP($BV$2,坦克等级成长!$B$36:$G$42,MATCH(CB$3,坦克等级成长!$B$35:$G$35,0)),0)</f>
        <v>677</v>
      </c>
      <c r="CC26" s="33">
        <f>ROUND(坦克等级成长!$D123*VLOOKUP($BV$2,坦克等级成长!$B$36:$G$42,MATCH(CC$3,坦克等级成长!$B$35:$G$35,0)),0)</f>
        <v>158</v>
      </c>
      <c r="CD26" s="198">
        <v>6</v>
      </c>
      <c r="CE26" s="33">
        <f>ROUND(坦克等级成长!$F123*VLOOKUP($BV$2,坦克等级成长!$B$36:$G$42,MATCH(CE$3,坦克等级成长!$B$35:$G$35,0)),0)</f>
        <v>1610</v>
      </c>
      <c r="CF26" s="33">
        <f>ROUND(坦克等级成长!$F123*VLOOKUP($BV$2,坦克等级成长!$B$36:$G$42,MATCH(CF$3,坦克等级成长!$B$35:$G$35,0)),0)</f>
        <v>152</v>
      </c>
      <c r="CG26" s="33">
        <f>ROUND(坦克等级成长!$F123*VLOOKUP($BV$2,坦克等级成长!$B$36:$G$42,MATCH(CG$3,坦克等级成长!$B$35:$G$35,0)),0)</f>
        <v>546</v>
      </c>
      <c r="CH26" s="33">
        <f t="shared" si="10"/>
        <v>546</v>
      </c>
      <c r="CI26" s="33">
        <v>437</v>
      </c>
      <c r="CJ26" s="33">
        <f>ROUND(坦克等级成长!$F123*VLOOKUP($BV$2,坦克等级成长!$B$36:$G$42,MATCH(CJ$3,坦克等级成长!$B$35:$G$35,0)),0)</f>
        <v>688</v>
      </c>
      <c r="CK26" s="33">
        <f>ROUND(坦克等级成长!$F123*VLOOKUP($BV$2,坦克等级成长!$B$36:$G$42,MATCH(CK$3,坦克等级成长!$B$35:$G$35,0)),0)</f>
        <v>161</v>
      </c>
      <c r="CL26" s="191">
        <v>6</v>
      </c>
      <c r="CM26" s="33">
        <f>ROUND(坦克等级成长!$H123*VLOOKUP($BV$2,坦克等级成长!$B$36:$G$42,MATCH(CM$3,坦克等级成长!$B$35:$G$35,0)),0)</f>
        <v>1635</v>
      </c>
      <c r="CN26" s="33">
        <f>ROUND(坦克等级成长!$H123*VLOOKUP($BV$2,坦克等级成长!$B$36:$G$42,MATCH(CN$3,坦克等级成长!$B$35:$G$35,0)),0)</f>
        <v>154</v>
      </c>
      <c r="CO26" s="33">
        <f>ROUND(坦克等级成长!$H123*VLOOKUP($BV$2,坦克等级成长!$B$36:$G$42,MATCH(CO$3,坦克等级成长!$B$35:$G$35,0)),0)</f>
        <v>554</v>
      </c>
      <c r="CP26" s="33">
        <f t="shared" si="24"/>
        <v>554</v>
      </c>
      <c r="CQ26" s="33">
        <v>437</v>
      </c>
      <c r="CR26" s="33">
        <f>ROUND(坦克等级成长!$H123*VLOOKUP($BV$2,坦克等级成长!$B$36:$G$42,MATCH(CR$3,坦克等级成长!$B$35:$G$35,0)),0)</f>
        <v>698</v>
      </c>
      <c r="CS26" s="33">
        <f>ROUND(坦克等级成长!$H123*VLOOKUP($BV$2,坦克等级成长!$B$36:$G$42,MATCH(CS$3,坦克等级成长!$B$35:$G$35,0)),0)</f>
        <v>164</v>
      </c>
      <c r="CT26" s="191">
        <v>6</v>
      </c>
      <c r="CU26" s="33">
        <f>ROUND(坦克等级成长!$D123*VLOOKUP($CT$2,坦克等级成长!$B$36:$G$42,MATCH(CU$3,坦克等级成长!$B$35:$G$35,0)),0)</f>
        <v>1504</v>
      </c>
      <c r="CV26" s="33">
        <f>ROUND(坦克等级成长!$D123*VLOOKUP($CT$2,坦克等级成长!$B$36:$G$42,MATCH(CV$3,坦克等级成长!$B$35:$G$35,0)),0)</f>
        <v>342</v>
      </c>
      <c r="CW26" s="33">
        <f>ROUND(坦克等级成长!$D123*VLOOKUP($CT$2,坦克等级成长!$B$36:$G$42,MATCH(CW$3,坦克等级成长!$B$35:$G$35,0)),0)</f>
        <v>671</v>
      </c>
      <c r="CX26" s="33">
        <f t="shared" si="18"/>
        <v>671</v>
      </c>
      <c r="CY26" s="33">
        <v>530.25</v>
      </c>
      <c r="CZ26" s="33">
        <f>ROUND(坦克等级成长!$D123*VLOOKUP($CT$2,坦克等级成长!$B$36:$G$42,MATCH(CZ$3,坦克等级成长!$B$35:$G$35,0)),0)</f>
        <v>564</v>
      </c>
      <c r="DA26" s="33">
        <f>ROUND(坦克等级成长!$D123*VLOOKUP($CT$2,坦克等级成长!$B$36:$G$42,MATCH(DA$3,坦克等级成长!$B$35:$G$35,0)),0)</f>
        <v>150</v>
      </c>
      <c r="DB26" s="198">
        <v>6</v>
      </c>
      <c r="DC26" s="33">
        <f>ROUND(坦克等级成长!$F123*VLOOKUP($CT$2,坦克等级成长!$B$36:$G$42,MATCH(DC$3,坦克等级成长!$B$35:$G$35,0)),0)</f>
        <v>1528</v>
      </c>
      <c r="DD26" s="33">
        <f>ROUND(坦克等级成长!$F123*VLOOKUP($CT$2,坦克等级成长!$B$36:$G$42,MATCH(DD$3,坦克等级成长!$B$35:$G$35,0)),0)</f>
        <v>347</v>
      </c>
      <c r="DE26" s="33">
        <f>ROUND(坦克等级成长!$F123*VLOOKUP($CT$2,坦克等级成长!$B$36:$G$42,MATCH(DE$3,坦克等级成长!$B$35:$G$35,0)),0)</f>
        <v>682</v>
      </c>
      <c r="DF26" s="33">
        <f t="shared" si="11"/>
        <v>682</v>
      </c>
      <c r="DG26" s="33">
        <v>547</v>
      </c>
      <c r="DH26" s="33">
        <f>ROUND(坦克等级成长!$F123*VLOOKUP($CT$2,坦克等级成长!$B$36:$G$42,MATCH(DH$3,坦克等级成长!$B$35:$G$35,0)),0)</f>
        <v>573</v>
      </c>
      <c r="DI26" s="33">
        <f>ROUND(坦克等级成长!$F123*VLOOKUP($CT$2,坦克等级成长!$B$36:$G$42,MATCH(DI$3,坦克等级成长!$B$35:$G$35,0)),0)</f>
        <v>153</v>
      </c>
      <c r="DJ26" s="191">
        <v>6</v>
      </c>
      <c r="DK26" s="33">
        <f>ROUND(坦克等级成长!$H123*VLOOKUP($CT$2,坦克等级成长!$B$36:$G$42,MATCH(DK$3,坦克等级成长!$B$35:$G$35,0)),0)</f>
        <v>1552</v>
      </c>
      <c r="DL26" s="33">
        <f>ROUND(坦克等级成长!$H123*VLOOKUP($CT$2,坦克等级成长!$B$36:$G$42,MATCH(DL$3,坦克等级成长!$B$35:$G$35,0)),0)</f>
        <v>352</v>
      </c>
      <c r="DM26" s="33">
        <f>ROUND(坦克等级成长!$H123*VLOOKUP($CT$2,坦克等级成长!$B$36:$G$42,MATCH(DM$3,坦克等级成长!$B$35:$G$35,0)),0)</f>
        <v>693</v>
      </c>
      <c r="DN26" s="33">
        <f t="shared" si="25"/>
        <v>693</v>
      </c>
      <c r="DO26" s="33">
        <v>547</v>
      </c>
      <c r="DP26" s="33">
        <f>ROUND(坦克等级成长!$H123*VLOOKUP($CT$2,坦克等级成长!$B$36:$G$42,MATCH(DP$3,坦克等级成长!$B$35:$G$35,0)),0)</f>
        <v>582</v>
      </c>
      <c r="DQ26" s="33">
        <f>ROUND(坦克等级成长!$H123*VLOOKUP($CT$2,坦克等级成长!$B$36:$G$42,MATCH(DQ$3,坦克等级成长!$B$35:$G$35,0)),0)</f>
        <v>155</v>
      </c>
      <c r="DR26" s="191">
        <v>6</v>
      </c>
      <c r="DS26" s="33">
        <f>ROUND(坦克等级成长!$D123*VLOOKUP($DR$2,坦克等级成长!$B$36:$G$42,MATCH(DS$3,坦克等级成长!$B$35:$G$35,0)),0)</f>
        <v>1711</v>
      </c>
      <c r="DT26" s="33">
        <f>ROUND(坦克等级成长!$D123*VLOOKUP($DR$2,坦克等级成长!$B$36:$G$42,MATCH(DT$3,坦克等级成长!$B$35:$G$35,0)),0)</f>
        <v>584</v>
      </c>
      <c r="DU26" s="33">
        <f>ROUND(坦克等级成长!$D123*VLOOKUP($DR$2,坦克等级成长!$B$36:$G$42,MATCH(DU$3,坦克等级成长!$B$35:$G$35,0)),0)</f>
        <v>537</v>
      </c>
      <c r="DV26" s="33">
        <f t="shared" si="19"/>
        <v>537</v>
      </c>
      <c r="DW26" s="33">
        <v>452.8</v>
      </c>
      <c r="DX26" s="33">
        <f>ROUND(坦克等级成长!$D123*VLOOKUP($DR$2,坦克等级成长!$B$36:$G$42,MATCH(DX$3,坦克等级成长!$B$35:$G$35,0)),0)</f>
        <v>790</v>
      </c>
      <c r="DY26" s="33">
        <f>ROUND(坦克等级成长!$D123*VLOOKUP($DR$2,坦克等级成长!$B$36:$G$42,MATCH(DY$3,坦克等级成长!$B$35:$G$35,0)),0)</f>
        <v>171</v>
      </c>
      <c r="DZ26" s="198">
        <v>6</v>
      </c>
      <c r="EA26" s="33">
        <f>ROUND(坦克等级成长!$F123*VLOOKUP($DR$2,坦克等级成长!$B$36:$G$42,MATCH(EA$3,坦克等级成长!$B$35:$G$35,0)),0)</f>
        <v>1738</v>
      </c>
      <c r="EB26" s="33">
        <f>ROUND(坦克等级成长!$F123*VLOOKUP($DR$2,坦克等级成长!$B$36:$G$42,MATCH(EB$3,坦克等级成长!$B$35:$G$35,0)),0)</f>
        <v>593</v>
      </c>
      <c r="EC26" s="33">
        <f>ROUND(坦克等级成长!$F123*VLOOKUP($DR$2,坦克等级成长!$B$36:$G$42,MATCH(EC$3,坦克等级成长!$B$35:$G$35,0)),0)</f>
        <v>546</v>
      </c>
      <c r="ED26" s="33">
        <f t="shared" si="12"/>
        <v>546</v>
      </c>
      <c r="EE26" s="33">
        <v>466</v>
      </c>
      <c r="EF26" s="33">
        <f>ROUND(坦克等级成长!$F123*VLOOKUP($DR$2,坦克等级成长!$B$36:$G$42,MATCH(EF$3,坦克等级成长!$B$35:$G$35,0)),0)</f>
        <v>802</v>
      </c>
      <c r="EG26" s="33">
        <f>ROUND(坦克等级成长!$F123*VLOOKUP($DR$2,坦克等级成长!$B$36:$G$42,MATCH(EG$3,坦克等级成长!$B$35:$G$35,0)),0)</f>
        <v>174</v>
      </c>
      <c r="EH26" s="191">
        <v>6</v>
      </c>
      <c r="EI26" s="33">
        <f>ROUND(坦克等级成长!$H123*VLOOKUP($DR$2,坦克等级成长!$B$36:$G$42,MATCH(EI$3,坦克等级成长!$B$35:$G$35,0)),0)</f>
        <v>1766</v>
      </c>
      <c r="EJ26" s="33">
        <f>ROUND(坦克等级成长!$H123*VLOOKUP($DR$2,坦克等级成长!$B$36:$G$42,MATCH(EJ$3,坦克等级成长!$B$35:$G$35,0)),0)</f>
        <v>602</v>
      </c>
      <c r="EK26" s="33">
        <f>ROUND(坦克等级成长!$H123*VLOOKUP($DR$2,坦克等级成长!$B$36:$G$42,MATCH(EK$3,坦克等级成长!$B$35:$G$35,0)),0)</f>
        <v>554</v>
      </c>
      <c r="EL26" s="33">
        <f t="shared" si="26"/>
        <v>554</v>
      </c>
      <c r="EM26" s="33">
        <v>466</v>
      </c>
      <c r="EN26" s="33">
        <f>ROUND(坦克等级成长!$H123*VLOOKUP($DR$2,坦克等级成长!$B$36:$G$42,MATCH(EN$3,坦克等级成长!$B$35:$G$35,0)),0)</f>
        <v>815</v>
      </c>
      <c r="EO26" s="33">
        <f>ROUND(坦克等级成长!$H123*VLOOKUP($DR$2,坦克等级成长!$B$36:$G$42,MATCH(EO$3,坦克等级成长!$B$35:$G$35,0)),0)</f>
        <v>177</v>
      </c>
      <c r="EP26" s="191">
        <v>6</v>
      </c>
      <c r="EQ26" s="33">
        <f>ROUND(坦克等级成长!$D123*VLOOKUP($EP$2,坦克等级成长!$B$36:$G$42,MATCH(EQ$3,坦克等级成长!$B$35:$G$35,0)),0)</f>
        <v>1585</v>
      </c>
      <c r="ER26" s="33">
        <f>ROUND(坦克等级成长!$D123*VLOOKUP($EP$2,坦克等级成长!$B$36:$G$42,MATCH(ER$3,坦克等级成长!$B$35:$G$35,0)),0)</f>
        <v>182</v>
      </c>
      <c r="ES26" s="33">
        <f>ROUND(坦克等级成长!$D123*VLOOKUP($EP$2,坦克等级成长!$B$36:$G$42,MATCH(ES$3,坦克等级成长!$B$35:$G$35,0)),0)</f>
        <v>618</v>
      </c>
      <c r="ET26" s="33">
        <f t="shared" si="20"/>
        <v>618</v>
      </c>
      <c r="EU26" s="33">
        <v>488.25</v>
      </c>
      <c r="EV26" s="33">
        <f>ROUND(坦克等级成长!$D123*VLOOKUP($EP$2,坦克等级成长!$B$36:$G$42,MATCH(EV$3,坦克等级成长!$B$35:$G$35,0)),0)</f>
        <v>677</v>
      </c>
      <c r="EW26" s="33">
        <f>ROUND(坦克等级成长!$D123*VLOOKUP($EP$2,坦克等级成长!$B$36:$G$42,MATCH(EW$3,坦克等级成长!$B$35:$G$35,0)),0)</f>
        <v>158</v>
      </c>
      <c r="EX26" s="198">
        <v>6</v>
      </c>
      <c r="EY26" s="33">
        <f>ROUND(坦克等级成长!$F123*VLOOKUP($EP$2,坦克等级成长!$B$36:$G$42,MATCH(EY$3,坦克等级成长!$B$35:$G$35,0)),0)</f>
        <v>1610</v>
      </c>
      <c r="EZ26" s="33">
        <f>ROUND(坦克等级成长!$F123*VLOOKUP($EP$2,坦克等级成长!$B$36:$G$42,MATCH(EZ$3,坦克等级成长!$B$35:$G$35,0)),0)</f>
        <v>184</v>
      </c>
      <c r="FA26" s="33">
        <f>ROUND(坦克等级成长!$F123*VLOOKUP($EP$2,坦克等级成长!$B$36:$G$42,MATCH(FA$3,坦克等级成长!$B$35:$G$35,0)),0)</f>
        <v>628</v>
      </c>
      <c r="FB26" s="33">
        <f t="shared" si="13"/>
        <v>628</v>
      </c>
      <c r="FC26" s="33">
        <v>503</v>
      </c>
      <c r="FD26" s="33">
        <f>ROUND(坦克等级成长!$F123*VLOOKUP($EP$2,坦克等级成长!$B$36:$G$42,MATCH(FD$3,坦克等级成长!$B$35:$G$35,0)),0)</f>
        <v>688</v>
      </c>
      <c r="FE26" s="33">
        <f>ROUND(坦克等级成长!$F123*VLOOKUP($EP$2,坦克等级成长!$B$36:$G$42,MATCH(FE$3,坦克等级成长!$B$35:$G$35,0)),0)</f>
        <v>161</v>
      </c>
      <c r="FF26" s="191">
        <v>6</v>
      </c>
      <c r="FG26" s="33">
        <f>ROUND(坦克等级成长!$H123*VLOOKUP($EP$2,坦克等级成长!$B$36:$G$42,MATCH(FG$3,坦克等级成长!$B$35:$G$35,0)),0)</f>
        <v>1635</v>
      </c>
      <c r="FH26" s="33">
        <f>ROUND(坦克等级成长!$H123*VLOOKUP($EP$2,坦克等级成长!$B$36:$G$42,MATCH(FH$3,坦克等级成长!$B$35:$G$35,0)),0)</f>
        <v>187</v>
      </c>
      <c r="FI26" s="33">
        <f>ROUND(坦克等级成长!$H123*VLOOKUP($EP$2,坦克等级成长!$B$36:$G$42,MATCH(FI$3,坦克等级成长!$B$35:$G$35,0)),0)</f>
        <v>637</v>
      </c>
      <c r="FJ26" s="33">
        <f t="shared" si="27"/>
        <v>637</v>
      </c>
      <c r="FK26" s="33">
        <v>503</v>
      </c>
      <c r="FL26" s="33">
        <f>ROUND(坦克等级成长!$H123*VLOOKUP($EP$2,坦克等级成长!$B$36:$G$42,MATCH(FL$3,坦克等级成长!$B$35:$G$35,0)),0)</f>
        <v>698</v>
      </c>
      <c r="FM26" s="33">
        <f>ROUND(坦克等级成长!$H123*VLOOKUP($EP$2,坦克等级成长!$B$36:$G$42,MATCH(FM$3,坦克等级成长!$B$35:$G$35,0)),0)</f>
        <v>164</v>
      </c>
    </row>
    <row r="27" spans="1:169" ht="14.25" x14ac:dyDescent="0.3">
      <c r="A27" s="188">
        <v>3</v>
      </c>
      <c r="B27" s="191">
        <v>7</v>
      </c>
      <c r="C27" s="33">
        <f>ROUND(坦克等级成长!$D124*VLOOKUP($B$2,坦克等级成长!$B$36:$G$42,MATCH(C$3,坦克等级成长!$B$35:$G$35,0)),0)</f>
        <v>1576</v>
      </c>
      <c r="D27" s="33">
        <f>ROUND(坦克等级成长!$D124*VLOOKUP($B$2,坦克等级成长!$B$36:$G$42,MATCH(D$3,坦克等级成长!$B$35:$G$35,0)),0)</f>
        <v>171</v>
      </c>
      <c r="E27" s="33">
        <f>ROUND(坦克等级成长!$D124*VLOOKUP($B$2,坦克等级成长!$B$36:$G$42,MATCH(E$3,坦克等级成长!$B$35:$G$35,0)),0)</f>
        <v>591</v>
      </c>
      <c r="F27" s="33">
        <f t="shared" si="14"/>
        <v>591</v>
      </c>
      <c r="G27" s="33">
        <v>436.8</v>
      </c>
      <c r="H27" s="33">
        <f>ROUND(坦克等级成长!$D124*VLOOKUP($B$2,坦克等级成长!$B$36:$G$42,MATCH(H$3,坦克等级成长!$B$35:$G$35,0)),0)</f>
        <v>591</v>
      </c>
      <c r="I27" s="33">
        <f>ROUND(坦克等级成长!$D124*VLOOKUP($B$2,坦克等级成长!$B$36:$G$42,MATCH(I$3,坦克等级成长!$B$35:$G$35,0)),0)</f>
        <v>158</v>
      </c>
      <c r="J27" s="198">
        <v>7</v>
      </c>
      <c r="K27" s="33">
        <f>ROUND(坦克等级成长!$F124*VLOOKUP($B$2,坦克等级成长!$B$36:$G$42,MATCH(K$3,坦克等级成长!$B$35:$G$35,0)),0)</f>
        <v>1600</v>
      </c>
      <c r="L27" s="33">
        <f>ROUND(坦克等级成长!$F124*VLOOKUP($B$2,坦克等级成长!$B$36:$G$42,MATCH(L$3,坦克等级成长!$B$35:$G$35,0)),0)</f>
        <v>174</v>
      </c>
      <c r="M27" s="33">
        <f>ROUND(坦克等级成长!$F124*VLOOKUP($B$2,坦克等级成长!$B$36:$G$42,MATCH(M$3,坦克等级成长!$B$35:$G$35,0)),0)</f>
        <v>600</v>
      </c>
      <c r="N27" s="33">
        <f t="shared" si="7"/>
        <v>600</v>
      </c>
      <c r="O27" s="33">
        <v>449</v>
      </c>
      <c r="P27" s="33">
        <f>ROUND(坦克等级成长!$F124*VLOOKUP($B$2,坦克等级成长!$B$36:$G$42,MATCH(P$3,坦克等级成长!$B$35:$G$35,0)),0)</f>
        <v>600</v>
      </c>
      <c r="Q27" s="33">
        <f>ROUND(坦克等级成长!$F124*VLOOKUP($B$2,坦克等级成长!$B$36:$G$42,MATCH(Q$3,坦克等级成长!$B$35:$G$35,0)),0)</f>
        <v>160</v>
      </c>
      <c r="R27" s="191">
        <v>7</v>
      </c>
      <c r="S27" s="33">
        <f>ROUND(坦克等级成长!$H124*VLOOKUP($B$2,坦克等级成长!$B$36:$G$42,MATCH(S$3,坦克等级成长!$B$35:$G$35,0)),0)</f>
        <v>1624</v>
      </c>
      <c r="T27" s="33">
        <f>ROUND(坦克等级成长!$H124*VLOOKUP($B$2,坦克等级成长!$B$36:$G$42,MATCH(T$3,坦克等级成长!$B$35:$G$35,0)),0)</f>
        <v>177</v>
      </c>
      <c r="U27" s="33">
        <f>ROUND(坦克等级成长!$H124*VLOOKUP($B$2,坦克等级成长!$B$36:$G$42,MATCH(U$3,坦克等级成长!$B$35:$G$35,0)),0)</f>
        <v>609</v>
      </c>
      <c r="V27" s="33">
        <f t="shared" si="21"/>
        <v>609</v>
      </c>
      <c r="W27" s="33">
        <v>449</v>
      </c>
      <c r="X27" s="33">
        <f>ROUND(坦克等级成长!$H124*VLOOKUP($B$2,坦克等级成长!$B$36:$G$42,MATCH(X$3,坦克等级成长!$B$35:$G$35,0)),0)</f>
        <v>609</v>
      </c>
      <c r="Y27" s="33">
        <f>ROUND(坦克等级成长!$H124*VLOOKUP($B$2,坦克等级成长!$B$36:$G$42,MATCH(Y$3,坦克等级成长!$B$35:$G$35,0)),0)</f>
        <v>162</v>
      </c>
      <c r="Z27" s="191">
        <v>7</v>
      </c>
      <c r="AA27" s="33">
        <f>ROUND(坦克等级成长!$D124*VLOOKUP($Z$2,坦克等级成长!$B$36:$G$42,MATCH(AA$3,坦克等级成长!$B$35:$G$35,0)),0)</f>
        <v>1576</v>
      </c>
      <c r="AB27" s="33">
        <f>ROUND(坦克等级成长!$D124*VLOOKUP($Z$2,坦克等级成长!$B$36:$G$42,MATCH(AB$3,坦克等级成长!$B$35:$G$35,0)),0)</f>
        <v>93</v>
      </c>
      <c r="AC27" s="33">
        <f>ROUND(坦克等级成长!$D124*VLOOKUP($Z$2,坦克等级成长!$B$36:$G$42,MATCH(AC$3,坦克等级成长!$B$35:$G$35,0)),0)</f>
        <v>647</v>
      </c>
      <c r="AD27" s="33">
        <f t="shared" si="15"/>
        <v>647</v>
      </c>
      <c r="AE27" s="33">
        <v>478.1</v>
      </c>
      <c r="AF27" s="33">
        <f>ROUND(坦克等级成长!$D124*VLOOKUP($Z$2,坦克等级成长!$B$36:$G$42,MATCH(AF$3,坦克等级成长!$B$35:$G$35,0)),0)</f>
        <v>591</v>
      </c>
      <c r="AG27" s="33">
        <f>ROUND(坦克等级成长!$D124*VLOOKUP($Z$2,坦克等级成长!$B$36:$G$42,MATCH(AG$3,坦克等级成长!$B$35:$G$35,0)),0)</f>
        <v>158</v>
      </c>
      <c r="AH27" s="198">
        <v>7</v>
      </c>
      <c r="AI27" s="33">
        <f>ROUND(坦克等级成长!$F124*VLOOKUP($Z$2,坦克等级成长!$B$36:$G$42,MATCH(AI$3,坦克等级成长!$B$35:$G$35,0)),0)</f>
        <v>1600</v>
      </c>
      <c r="AJ27" s="33">
        <f>ROUND(坦克等级成长!$F124*VLOOKUP($Z$2,坦克等级成长!$B$36:$G$42,MATCH(AJ$3,坦克等级成长!$B$35:$G$35,0)),0)</f>
        <v>94</v>
      </c>
      <c r="AK27" s="33">
        <f>ROUND(坦克等级成长!$F124*VLOOKUP($Z$2,坦克等级成长!$B$36:$G$42,MATCH(AK$3,坦克等级成长!$B$35:$G$35,0)),0)</f>
        <v>657</v>
      </c>
      <c r="AL27" s="33">
        <f t="shared" si="8"/>
        <v>657</v>
      </c>
      <c r="AM27" s="33">
        <v>492</v>
      </c>
      <c r="AN27" s="33">
        <f>ROUND(坦克等级成长!$F124*VLOOKUP($Z$2,坦克等级成长!$B$36:$G$42,MATCH(AN$3,坦克等级成长!$B$35:$G$35,0)),0)</f>
        <v>600</v>
      </c>
      <c r="AO27" s="33">
        <f>ROUND(坦克等级成长!$F124*VLOOKUP($Z$2,坦克等级成长!$B$36:$G$42,MATCH(AO$3,坦克等级成长!$B$35:$G$35,0)),0)</f>
        <v>160</v>
      </c>
      <c r="AP27" s="191">
        <v>7</v>
      </c>
      <c r="AQ27" s="33">
        <f>ROUND(坦克等级成长!$H124*VLOOKUP($Z$2,坦克等级成长!$B$36:$G$42,MATCH(AQ$3,坦克等级成长!$B$35:$G$35,0)),0)</f>
        <v>1624</v>
      </c>
      <c r="AR27" s="33">
        <f>ROUND(坦克等级成长!$H124*VLOOKUP($Z$2,坦克等级成长!$B$36:$G$42,MATCH(AR$3,坦克等级成长!$B$35:$G$35,0)),0)</f>
        <v>96</v>
      </c>
      <c r="AS27" s="33">
        <f>ROUND(坦克等级成长!$H124*VLOOKUP($Z$2,坦克等级成长!$B$36:$G$42,MATCH(AS$3,坦克等级成长!$B$35:$G$35,0)),0)</f>
        <v>667</v>
      </c>
      <c r="AT27" s="33">
        <f t="shared" si="22"/>
        <v>667</v>
      </c>
      <c r="AU27" s="33">
        <v>492</v>
      </c>
      <c r="AV27" s="33">
        <f>ROUND(坦克等级成长!$H124*VLOOKUP($Z$2,坦克等级成长!$B$36:$G$42,MATCH(AV$3,坦克等级成长!$B$35:$G$35,0)),0)</f>
        <v>609</v>
      </c>
      <c r="AW27" s="33">
        <f>ROUND(坦克等级成长!$H124*VLOOKUP($Z$2,坦克等级成长!$B$36:$G$42,MATCH(AW$3,坦克等级成长!$B$35:$G$35,0)),0)</f>
        <v>162</v>
      </c>
      <c r="AX27" s="191">
        <v>7</v>
      </c>
      <c r="AY27" s="33">
        <f>ROUND(坦克等级成长!$D124*VLOOKUP($AX$2,坦克等级成长!$B$36:$G$42,MATCH(AY$3,坦克等级成长!$B$35:$G$35,0)),0)</f>
        <v>1576</v>
      </c>
      <c r="AZ27" s="33">
        <f>ROUND(坦克等级成长!$D124*VLOOKUP($AX$2,坦克等级成长!$B$36:$G$42,MATCH(AZ$3,坦克等级成长!$B$35:$G$35,0)),0)</f>
        <v>171</v>
      </c>
      <c r="BA27" s="33">
        <f>ROUND(坦克等级成长!$D124*VLOOKUP($AX$2,坦克等级成长!$B$36:$G$42,MATCH(BA$3,坦克等级成长!$B$35:$G$35,0)),0)</f>
        <v>591</v>
      </c>
      <c r="BB27" s="33">
        <f t="shared" si="16"/>
        <v>591</v>
      </c>
      <c r="BC27" s="33">
        <v>436.8</v>
      </c>
      <c r="BD27" s="33">
        <f>ROUND(坦克等级成长!$D124*VLOOKUP($AX$2,坦克等级成长!$B$36:$G$42,MATCH(BD$3,坦克等级成长!$B$35:$G$35,0)),0)</f>
        <v>591</v>
      </c>
      <c r="BE27" s="33">
        <f>ROUND(坦克等级成长!$D124*VLOOKUP($AX$2,坦克等级成长!$B$36:$G$42,MATCH(BE$3,坦克等级成长!$B$35:$G$35,0)),0)</f>
        <v>158</v>
      </c>
      <c r="BF27" s="198">
        <v>7</v>
      </c>
      <c r="BG27" s="33">
        <f>ROUND(坦克等级成长!$F124*VLOOKUP($AX$2,坦克等级成长!$B$36:$G$42,MATCH(BG$3,坦克等级成长!$B$35:$G$35,0)),0)</f>
        <v>1600</v>
      </c>
      <c r="BH27" s="33">
        <f>ROUND(坦克等级成长!$F124*VLOOKUP($AX$2,坦克等级成长!$B$36:$G$42,MATCH(BH$3,坦克等级成长!$B$35:$G$35,0)),0)</f>
        <v>174</v>
      </c>
      <c r="BI27" s="33">
        <f>ROUND(坦克等级成长!$F124*VLOOKUP($AX$2,坦克等级成长!$B$36:$G$42,MATCH(BI$3,坦克等级成长!$B$35:$G$35,0)),0)</f>
        <v>600</v>
      </c>
      <c r="BJ27" s="33">
        <f t="shared" si="9"/>
        <v>600</v>
      </c>
      <c r="BK27" s="33">
        <v>449</v>
      </c>
      <c r="BL27" s="33">
        <f>ROUND(坦克等级成长!$F124*VLOOKUP($AX$2,坦克等级成长!$B$36:$G$42,MATCH(BL$3,坦克等级成长!$B$35:$G$35,0)),0)</f>
        <v>600</v>
      </c>
      <c r="BM27" s="33">
        <f>ROUND(坦克等级成长!$F124*VLOOKUP($AX$2,坦克等级成长!$B$36:$G$42,MATCH(BM$3,坦克等级成长!$B$35:$G$35,0)),0)</f>
        <v>160</v>
      </c>
      <c r="BN27" s="191">
        <v>7</v>
      </c>
      <c r="BO27" s="33">
        <f>ROUND(坦克等级成长!$H124*VLOOKUP($AX$2,坦克等级成长!$B$36:$G$42,MATCH(BO$3,坦克等级成长!$B$35:$G$35,0)),0)</f>
        <v>1624</v>
      </c>
      <c r="BP27" s="33">
        <f>ROUND(坦克等级成长!$H124*VLOOKUP($AX$2,坦克等级成长!$B$36:$G$42,MATCH(BP$3,坦克等级成长!$B$35:$G$35,0)),0)</f>
        <v>177</v>
      </c>
      <c r="BQ27" s="33">
        <f>ROUND(坦克等级成长!$H124*VLOOKUP($AX$2,坦克等级成长!$B$36:$G$42,MATCH(BQ$3,坦克等级成长!$B$35:$G$35,0)),0)</f>
        <v>609</v>
      </c>
      <c r="BR27" s="33">
        <f t="shared" si="23"/>
        <v>609</v>
      </c>
      <c r="BS27" s="33">
        <v>449</v>
      </c>
      <c r="BT27" s="33">
        <f>ROUND(坦克等级成长!$H124*VLOOKUP($AX$2,坦克等级成长!$B$36:$G$42,MATCH(BT$3,坦克等级成长!$B$35:$G$35,0)),0)</f>
        <v>609</v>
      </c>
      <c r="BU27" s="33">
        <f>ROUND(坦克等级成长!$H124*VLOOKUP($AX$2,坦克等级成长!$B$36:$G$42,MATCH(BU$3,坦克等级成长!$B$35:$G$35,0)),0)</f>
        <v>162</v>
      </c>
      <c r="BV27" s="191">
        <v>7</v>
      </c>
      <c r="BW27" s="33">
        <f>ROUND(坦克等级成长!$D124*VLOOKUP($BV$2,坦克等级成长!$B$36:$G$42,MATCH(BW$3,坦克等级成长!$B$35:$G$35,0)),0)</f>
        <v>1661</v>
      </c>
      <c r="BX27" s="33">
        <f>ROUND(坦克等级成长!$D124*VLOOKUP($BV$2,坦克等级成长!$B$36:$G$42,MATCH(BX$3,坦克等级成长!$B$35:$G$35,0)),0)</f>
        <v>157</v>
      </c>
      <c r="BY27" s="33">
        <f>ROUND(坦克等级成长!$D124*VLOOKUP($BV$2,坦克等级成长!$B$36:$G$42,MATCH(BY$3,坦克等级成长!$B$35:$G$35,0)),0)</f>
        <v>563</v>
      </c>
      <c r="BZ27" s="33">
        <f t="shared" si="17"/>
        <v>563</v>
      </c>
      <c r="CA27" s="33">
        <v>445.5</v>
      </c>
      <c r="CB27" s="33">
        <f>ROUND(坦克等级成长!$D124*VLOOKUP($BV$2,坦克等级成长!$B$36:$G$42,MATCH(CB$3,坦克等级成长!$B$35:$G$35,0)),0)</f>
        <v>709</v>
      </c>
      <c r="CC27" s="33">
        <f>ROUND(坦克等级成长!$D124*VLOOKUP($BV$2,坦克等级成长!$B$36:$G$42,MATCH(CC$3,坦克等级成长!$B$35:$G$35,0)),0)</f>
        <v>166</v>
      </c>
      <c r="CD27" s="198">
        <v>7</v>
      </c>
      <c r="CE27" s="33">
        <f>ROUND(坦克等级成长!$F124*VLOOKUP($BV$2,坦克等级成长!$B$36:$G$42,MATCH(CE$3,坦克等级成长!$B$35:$G$35,0)),0)</f>
        <v>1686</v>
      </c>
      <c r="CF27" s="33">
        <f>ROUND(坦克等级成长!$F124*VLOOKUP($BV$2,坦克等级成长!$B$36:$G$42,MATCH(CF$3,坦克等级成长!$B$35:$G$35,0)),0)</f>
        <v>159</v>
      </c>
      <c r="CG27" s="33">
        <f>ROUND(坦克等级成长!$F124*VLOOKUP($BV$2,坦克等级成长!$B$36:$G$42,MATCH(CG$3,坦克等级成长!$B$35:$G$35,0)),0)</f>
        <v>571</v>
      </c>
      <c r="CH27" s="33">
        <f t="shared" si="10"/>
        <v>571</v>
      </c>
      <c r="CI27" s="33">
        <v>458</v>
      </c>
      <c r="CJ27" s="33">
        <f>ROUND(坦克等级成长!$F124*VLOOKUP($BV$2,坦克等级成长!$B$36:$G$42,MATCH(CJ$3,坦克等级成长!$B$35:$G$35,0)),0)</f>
        <v>720</v>
      </c>
      <c r="CK27" s="33">
        <f>ROUND(坦克等级成长!$F124*VLOOKUP($BV$2,坦克等级成长!$B$36:$G$42,MATCH(CK$3,坦克等级成长!$B$35:$G$35,0)),0)</f>
        <v>169</v>
      </c>
      <c r="CL27" s="191">
        <v>7</v>
      </c>
      <c r="CM27" s="33">
        <f>ROUND(坦克等级成长!$H124*VLOOKUP($BV$2,坦克等级成长!$B$36:$G$42,MATCH(CM$3,坦克等级成长!$B$35:$G$35,0)),0)</f>
        <v>1711</v>
      </c>
      <c r="CN27" s="33">
        <f>ROUND(坦克等级成长!$H124*VLOOKUP($BV$2,坦克等级成长!$B$36:$G$42,MATCH(CN$3,坦克等级成长!$B$35:$G$35,0)),0)</f>
        <v>161</v>
      </c>
      <c r="CO27" s="33">
        <f>ROUND(坦克等级成长!$H124*VLOOKUP($BV$2,坦克等级成长!$B$36:$G$42,MATCH(CO$3,坦克等级成长!$B$35:$G$35,0)),0)</f>
        <v>580</v>
      </c>
      <c r="CP27" s="33">
        <f t="shared" si="24"/>
        <v>580</v>
      </c>
      <c r="CQ27" s="33">
        <v>458</v>
      </c>
      <c r="CR27" s="33">
        <f>ROUND(坦克等级成长!$H124*VLOOKUP($BV$2,坦克等级成长!$B$36:$G$42,MATCH(CR$3,坦克等级成长!$B$35:$G$35,0)),0)</f>
        <v>731</v>
      </c>
      <c r="CS27" s="33">
        <f>ROUND(坦克等级成长!$H124*VLOOKUP($BV$2,坦克等级成长!$B$36:$G$42,MATCH(CS$3,坦克等级成长!$B$35:$G$35,0)),0)</f>
        <v>171</v>
      </c>
      <c r="CT27" s="191">
        <v>7</v>
      </c>
      <c r="CU27" s="33">
        <f>ROUND(坦克等级成长!$D124*VLOOKUP($CT$2,坦克等级成长!$B$36:$G$42,MATCH(CU$3,坦克等级成长!$B$35:$G$35,0)),0)</f>
        <v>1576</v>
      </c>
      <c r="CV27" s="33">
        <f>ROUND(坦克等级成长!$D124*VLOOKUP($CT$2,坦克等级成长!$B$36:$G$42,MATCH(CV$3,坦克等级成长!$B$35:$G$35,0)),0)</f>
        <v>358</v>
      </c>
      <c r="CW27" s="33">
        <f>ROUND(坦克等级成长!$D124*VLOOKUP($CT$2,坦克等级成长!$B$36:$G$42,MATCH(CW$3,坦克等级成长!$B$35:$G$35,0)),0)</f>
        <v>704</v>
      </c>
      <c r="CX27" s="33">
        <f t="shared" si="18"/>
        <v>704</v>
      </c>
      <c r="CY27" s="33">
        <v>557.25</v>
      </c>
      <c r="CZ27" s="33">
        <f>ROUND(坦克等级成长!$D124*VLOOKUP($CT$2,坦克等级成长!$B$36:$G$42,MATCH(CZ$3,坦克等级成长!$B$35:$G$35,0)),0)</f>
        <v>591</v>
      </c>
      <c r="DA27" s="33">
        <f>ROUND(坦克等级成长!$D124*VLOOKUP($CT$2,坦克等级成长!$B$36:$G$42,MATCH(DA$3,坦克等级成长!$B$35:$G$35,0)),0)</f>
        <v>158</v>
      </c>
      <c r="DB27" s="198">
        <v>7</v>
      </c>
      <c r="DC27" s="33">
        <f>ROUND(坦克等级成长!$F124*VLOOKUP($CT$2,坦克等级成长!$B$36:$G$42,MATCH(DC$3,坦克等级成长!$B$35:$G$35,0)),0)</f>
        <v>1600</v>
      </c>
      <c r="DD27" s="33">
        <f>ROUND(坦克等级成长!$F124*VLOOKUP($CT$2,坦克等级成长!$B$36:$G$42,MATCH(DD$3,坦克等级成长!$B$35:$G$35,0)),0)</f>
        <v>363</v>
      </c>
      <c r="DE27" s="33">
        <f>ROUND(坦克等级成长!$F124*VLOOKUP($CT$2,坦克等级成长!$B$36:$G$42,MATCH(DE$3,坦克等级成长!$B$35:$G$35,0)),0)</f>
        <v>714</v>
      </c>
      <c r="DF27" s="33">
        <f t="shared" si="11"/>
        <v>714</v>
      </c>
      <c r="DG27" s="33">
        <v>573</v>
      </c>
      <c r="DH27" s="33">
        <f>ROUND(坦克等级成长!$F124*VLOOKUP($CT$2,坦克等级成长!$B$36:$G$42,MATCH(DH$3,坦克等级成长!$B$35:$G$35,0)),0)</f>
        <v>600</v>
      </c>
      <c r="DI27" s="33">
        <f>ROUND(坦克等级成长!$F124*VLOOKUP($CT$2,坦克等级成长!$B$36:$G$42,MATCH(DI$3,坦克等级成长!$B$35:$G$35,0)),0)</f>
        <v>160</v>
      </c>
      <c r="DJ27" s="191">
        <v>7</v>
      </c>
      <c r="DK27" s="33">
        <f>ROUND(坦克等级成长!$H124*VLOOKUP($CT$2,坦克等级成长!$B$36:$G$42,MATCH(DK$3,坦克等级成长!$B$35:$G$35,0)),0)</f>
        <v>1624</v>
      </c>
      <c r="DL27" s="33">
        <f>ROUND(坦克等级成长!$H124*VLOOKUP($CT$2,坦克等级成长!$B$36:$G$42,MATCH(DL$3,坦克等级成长!$B$35:$G$35,0)),0)</f>
        <v>369</v>
      </c>
      <c r="DM27" s="33">
        <f>ROUND(坦克等级成长!$H124*VLOOKUP($CT$2,坦克等级成长!$B$36:$G$42,MATCH(DM$3,坦克等级成长!$B$35:$G$35,0)),0)</f>
        <v>725</v>
      </c>
      <c r="DN27" s="33">
        <f t="shared" si="25"/>
        <v>725</v>
      </c>
      <c r="DO27" s="33">
        <v>573</v>
      </c>
      <c r="DP27" s="33">
        <f>ROUND(坦克等级成长!$H124*VLOOKUP($CT$2,坦克等级成长!$B$36:$G$42,MATCH(DP$3,坦克等级成长!$B$35:$G$35,0)),0)</f>
        <v>609</v>
      </c>
      <c r="DQ27" s="33">
        <f>ROUND(坦克等级成长!$H124*VLOOKUP($CT$2,坦克等级成长!$B$36:$G$42,MATCH(DQ$3,坦克等级成长!$B$35:$G$35,0)),0)</f>
        <v>162</v>
      </c>
      <c r="DR27" s="191">
        <v>7</v>
      </c>
      <c r="DS27" s="33">
        <f>ROUND(坦克等级成长!$D124*VLOOKUP($DR$2,坦克等级成长!$B$36:$G$42,MATCH(DS$3,坦克等级成长!$B$35:$G$35,0)),0)</f>
        <v>1793</v>
      </c>
      <c r="DT27" s="33">
        <f>ROUND(坦克等级成长!$D124*VLOOKUP($DR$2,坦克等级成长!$B$36:$G$42,MATCH(DT$3,坦克等级成长!$B$35:$G$35,0)),0)</f>
        <v>612</v>
      </c>
      <c r="DU27" s="33">
        <f>ROUND(坦克等级成长!$D124*VLOOKUP($DR$2,坦克等级成长!$B$36:$G$42,MATCH(DU$3,坦克等级成长!$B$35:$G$35,0)),0)</f>
        <v>563</v>
      </c>
      <c r="DV27" s="33">
        <f t="shared" si="19"/>
        <v>563</v>
      </c>
      <c r="DW27" s="33">
        <v>475.2</v>
      </c>
      <c r="DX27" s="33">
        <f>ROUND(坦克等级成长!$D124*VLOOKUP($DR$2,坦克等级成长!$B$36:$G$42,MATCH(DX$3,坦克等级成长!$B$35:$G$35,0)),0)</f>
        <v>827</v>
      </c>
      <c r="DY27" s="33">
        <f>ROUND(坦克等级成长!$D124*VLOOKUP($DR$2,坦克等级成长!$B$36:$G$42,MATCH(DY$3,坦克等级成长!$B$35:$G$35,0)),0)</f>
        <v>179</v>
      </c>
      <c r="DZ27" s="198">
        <v>7</v>
      </c>
      <c r="EA27" s="33">
        <f>ROUND(坦克等级成长!$F124*VLOOKUP($DR$2,坦克等级成长!$B$36:$G$42,MATCH(EA$3,坦克等级成长!$B$35:$G$35,0)),0)</f>
        <v>1820</v>
      </c>
      <c r="EB27" s="33">
        <f>ROUND(坦克等级成长!$F124*VLOOKUP($DR$2,坦克等级成长!$B$36:$G$42,MATCH(EB$3,坦克等级成长!$B$35:$G$35,0)),0)</f>
        <v>621</v>
      </c>
      <c r="EC27" s="33">
        <f>ROUND(坦克等级成长!$F124*VLOOKUP($DR$2,坦克等级成长!$B$36:$G$42,MATCH(EC$3,坦克等级成长!$B$35:$G$35,0)),0)</f>
        <v>571</v>
      </c>
      <c r="ED27" s="33">
        <f t="shared" si="12"/>
        <v>571</v>
      </c>
      <c r="EE27" s="33">
        <v>489</v>
      </c>
      <c r="EF27" s="33">
        <f>ROUND(坦克等级成长!$F124*VLOOKUP($DR$2,坦克等级成长!$B$36:$G$42,MATCH(EF$3,坦克等级成长!$B$35:$G$35,0)),0)</f>
        <v>840</v>
      </c>
      <c r="EG27" s="33">
        <f>ROUND(坦克等级成长!$F124*VLOOKUP($DR$2,坦克等级成长!$B$36:$G$42,MATCH(EG$3,坦克等级成长!$B$35:$G$35,0)),0)</f>
        <v>182</v>
      </c>
      <c r="EH27" s="191">
        <v>7</v>
      </c>
      <c r="EI27" s="33">
        <f>ROUND(坦克等级成长!$H124*VLOOKUP($DR$2,坦克等级成长!$B$36:$G$42,MATCH(EI$3,坦克等级成长!$B$35:$G$35,0)),0)</f>
        <v>1848</v>
      </c>
      <c r="EJ27" s="33">
        <f>ROUND(坦克等级成长!$H124*VLOOKUP($DR$2,坦克等级成长!$B$36:$G$42,MATCH(EJ$3,坦克等级成长!$B$35:$G$35,0)),0)</f>
        <v>630</v>
      </c>
      <c r="EK27" s="33">
        <f>ROUND(坦克等级成长!$H124*VLOOKUP($DR$2,坦克等级成长!$B$36:$G$42,MATCH(EK$3,坦克等级成长!$B$35:$G$35,0)),0)</f>
        <v>580</v>
      </c>
      <c r="EL27" s="33">
        <f t="shared" si="26"/>
        <v>580</v>
      </c>
      <c r="EM27" s="33">
        <v>489</v>
      </c>
      <c r="EN27" s="33">
        <f>ROUND(坦克等级成长!$H124*VLOOKUP($DR$2,坦克等级成长!$B$36:$G$42,MATCH(EN$3,坦克等级成长!$B$35:$G$35,0)),0)</f>
        <v>853</v>
      </c>
      <c r="EO27" s="33">
        <f>ROUND(坦克等级成长!$H124*VLOOKUP($DR$2,坦克等级成长!$B$36:$G$42,MATCH(EO$3,坦克等级成长!$B$35:$G$35,0)),0)</f>
        <v>185</v>
      </c>
      <c r="EP27" s="191">
        <v>7</v>
      </c>
      <c r="EQ27" s="33">
        <f>ROUND(坦克等级成长!$D124*VLOOKUP($EP$2,坦克等级成长!$B$36:$G$42,MATCH(EQ$3,坦克等级成长!$B$35:$G$35,0)),0)</f>
        <v>1661</v>
      </c>
      <c r="ER27" s="33">
        <f>ROUND(坦克等级成长!$D124*VLOOKUP($EP$2,坦克等级成长!$B$36:$G$42,MATCH(ER$3,坦克等级成长!$B$35:$G$35,0)),0)</f>
        <v>190</v>
      </c>
      <c r="ES27" s="33">
        <f>ROUND(坦克等级成长!$D124*VLOOKUP($EP$2,坦克等级成长!$B$36:$G$42,MATCH(ES$3,坦克等级成长!$B$35:$G$35,0)),0)</f>
        <v>647</v>
      </c>
      <c r="ET27" s="33">
        <f t="shared" si="20"/>
        <v>647</v>
      </c>
      <c r="EU27" s="33">
        <v>512.25</v>
      </c>
      <c r="EV27" s="33">
        <f>ROUND(坦克等级成长!$D124*VLOOKUP($EP$2,坦克等级成长!$B$36:$G$42,MATCH(EV$3,坦克等级成长!$B$35:$G$35,0)),0)</f>
        <v>709</v>
      </c>
      <c r="EW27" s="33">
        <f>ROUND(坦克等级成长!$D124*VLOOKUP($EP$2,坦克等级成长!$B$36:$G$42,MATCH(EW$3,坦克等级成长!$B$35:$G$35,0)),0)</f>
        <v>166</v>
      </c>
      <c r="EX27" s="198">
        <v>7</v>
      </c>
      <c r="EY27" s="33">
        <f>ROUND(坦克等级成长!$F124*VLOOKUP($EP$2,坦克等级成长!$B$36:$G$42,MATCH(EY$3,坦克等级成长!$B$35:$G$35,0)),0)</f>
        <v>1686</v>
      </c>
      <c r="EZ27" s="33">
        <f>ROUND(坦克等级成长!$F124*VLOOKUP($EP$2,坦克等级成长!$B$36:$G$42,MATCH(EZ$3,坦克等级成长!$B$35:$G$35,0)),0)</f>
        <v>193</v>
      </c>
      <c r="FA27" s="33">
        <f>ROUND(坦克等级成长!$F124*VLOOKUP($EP$2,坦克等级成长!$B$36:$G$42,MATCH(FA$3,坦克等级成长!$B$35:$G$35,0)),0)</f>
        <v>657</v>
      </c>
      <c r="FB27" s="33">
        <f t="shared" si="13"/>
        <v>657</v>
      </c>
      <c r="FC27" s="33">
        <v>527</v>
      </c>
      <c r="FD27" s="33">
        <f>ROUND(坦克等级成长!$F124*VLOOKUP($EP$2,坦克等级成长!$B$36:$G$42,MATCH(FD$3,坦克等级成长!$B$35:$G$35,0)),0)</f>
        <v>720</v>
      </c>
      <c r="FE27" s="33">
        <f>ROUND(坦克等级成长!$F124*VLOOKUP($EP$2,坦克等级成长!$B$36:$G$42,MATCH(FE$3,坦克等级成长!$B$35:$G$35,0)),0)</f>
        <v>169</v>
      </c>
      <c r="FF27" s="191">
        <v>7</v>
      </c>
      <c r="FG27" s="33">
        <f>ROUND(坦克等级成长!$H124*VLOOKUP($EP$2,坦克等级成长!$B$36:$G$42,MATCH(FG$3,坦克等级成长!$B$35:$G$35,0)),0)</f>
        <v>1711</v>
      </c>
      <c r="FH27" s="33">
        <f>ROUND(坦克等级成长!$H124*VLOOKUP($EP$2,坦克等级成长!$B$36:$G$42,MATCH(FH$3,坦克等级成长!$B$35:$G$35,0)),0)</f>
        <v>196</v>
      </c>
      <c r="FI27" s="33">
        <f>ROUND(坦克等级成长!$H124*VLOOKUP($EP$2,坦克等级成长!$B$36:$G$42,MATCH(FI$3,坦克等级成长!$B$35:$G$35,0)),0)</f>
        <v>667</v>
      </c>
      <c r="FJ27" s="33">
        <f t="shared" si="27"/>
        <v>667</v>
      </c>
      <c r="FK27" s="33">
        <v>527</v>
      </c>
      <c r="FL27" s="33">
        <f>ROUND(坦克等级成长!$H124*VLOOKUP($EP$2,坦克等级成长!$B$36:$G$42,MATCH(FL$3,坦克等级成长!$B$35:$G$35,0)),0)</f>
        <v>731</v>
      </c>
      <c r="FM27" s="33">
        <f>ROUND(坦克等级成长!$H124*VLOOKUP($EP$2,坦克等级成长!$B$36:$G$42,MATCH(FM$3,坦克等级成长!$B$35:$G$35,0)),0)</f>
        <v>171</v>
      </c>
    </row>
    <row r="28" spans="1:169" ht="14.25" x14ac:dyDescent="0.3">
      <c r="A28" s="188">
        <v>3</v>
      </c>
      <c r="B28" s="191">
        <v>8</v>
      </c>
      <c r="C28" s="33">
        <f>ROUND(坦克等级成长!$D125*VLOOKUP($B$2,坦克等级成长!$B$36:$G$42,MATCH(C$3,坦克等级成长!$B$35:$G$35,0)),0)</f>
        <v>1648</v>
      </c>
      <c r="D28" s="33">
        <f>ROUND(坦克等级成长!$D125*VLOOKUP($B$2,坦克等级成长!$B$36:$G$42,MATCH(D$3,坦克等级成长!$B$35:$G$35,0)),0)</f>
        <v>179</v>
      </c>
      <c r="E28" s="33">
        <f>ROUND(坦克等级成长!$D125*VLOOKUP($B$2,坦克等级成长!$B$36:$G$42,MATCH(E$3,坦克等级成长!$B$35:$G$35,0)),0)</f>
        <v>618</v>
      </c>
      <c r="F28" s="33">
        <f t="shared" si="14"/>
        <v>618</v>
      </c>
      <c r="G28" s="33">
        <v>457.8</v>
      </c>
      <c r="H28" s="33">
        <f>ROUND(坦克等级成长!$D125*VLOOKUP($B$2,坦克等级成长!$B$36:$G$42,MATCH(H$3,坦克等级成长!$B$35:$G$35,0)),0)</f>
        <v>618</v>
      </c>
      <c r="I28" s="33">
        <f>ROUND(坦克等级成长!$D125*VLOOKUP($B$2,坦克等级成长!$B$36:$G$42,MATCH(I$3,坦克等级成长!$B$35:$G$35,0)),0)</f>
        <v>165</v>
      </c>
      <c r="J28" s="198">
        <v>8</v>
      </c>
      <c r="K28" s="33">
        <f>ROUND(坦克等级成长!$F125*VLOOKUP($B$2,坦克等级成长!$B$36:$G$42,MATCH(K$3,坦克等级成长!$B$35:$G$35,0)),0)</f>
        <v>1672</v>
      </c>
      <c r="L28" s="33">
        <f>ROUND(坦克等级成长!$F125*VLOOKUP($B$2,坦克等级成长!$B$36:$G$42,MATCH(L$3,坦克等级成长!$B$35:$G$35,0)),0)</f>
        <v>182</v>
      </c>
      <c r="M28" s="33">
        <f>ROUND(坦克等级成长!$F125*VLOOKUP($B$2,坦克等级成长!$B$36:$G$42,MATCH(M$3,坦克等级成长!$B$35:$G$35,0)),0)</f>
        <v>627</v>
      </c>
      <c r="N28" s="33">
        <f t="shared" si="7"/>
        <v>627</v>
      </c>
      <c r="O28" s="33">
        <v>470</v>
      </c>
      <c r="P28" s="33">
        <f>ROUND(坦克等级成长!$F125*VLOOKUP($B$2,坦克等级成长!$B$36:$G$42,MATCH(P$3,坦克等级成长!$B$35:$G$35,0)),0)</f>
        <v>627</v>
      </c>
      <c r="Q28" s="33">
        <f>ROUND(坦克等级成长!$F125*VLOOKUP($B$2,坦克等级成长!$B$36:$G$42,MATCH(Q$3,坦克等级成长!$B$35:$G$35,0)),0)</f>
        <v>167</v>
      </c>
      <c r="R28" s="191">
        <v>8</v>
      </c>
      <c r="S28" s="33">
        <f>ROUND(坦克等级成长!$H125*VLOOKUP($B$2,坦克等级成长!$B$36:$G$42,MATCH(S$3,坦克等级成长!$B$35:$G$35,0)),0)</f>
        <v>1696</v>
      </c>
      <c r="T28" s="33">
        <f>ROUND(坦克等级成长!$H125*VLOOKUP($B$2,坦克等级成长!$B$36:$G$42,MATCH(T$3,坦克等级成长!$B$35:$G$35,0)),0)</f>
        <v>184</v>
      </c>
      <c r="U28" s="33">
        <f>ROUND(坦克等级成长!$H125*VLOOKUP($B$2,坦克等级成长!$B$36:$G$42,MATCH(U$3,坦克等级成长!$B$35:$G$35,0)),0)</f>
        <v>636</v>
      </c>
      <c r="V28" s="33">
        <f t="shared" si="21"/>
        <v>636</v>
      </c>
      <c r="W28" s="33">
        <v>470</v>
      </c>
      <c r="X28" s="33">
        <f>ROUND(坦克等级成长!$H125*VLOOKUP($B$2,坦克等级成长!$B$36:$G$42,MATCH(X$3,坦克等级成长!$B$35:$G$35,0)),0)</f>
        <v>636</v>
      </c>
      <c r="Y28" s="33">
        <f>ROUND(坦克等级成长!$H125*VLOOKUP($B$2,坦克等级成长!$B$36:$G$42,MATCH(Y$3,坦克等级成长!$B$35:$G$35,0)),0)</f>
        <v>170</v>
      </c>
      <c r="Z28" s="191">
        <v>8</v>
      </c>
      <c r="AA28" s="33">
        <f>ROUND(坦克等级成长!$D125*VLOOKUP($Z$2,坦克等级成长!$B$36:$G$42,MATCH(AA$3,坦克等级成长!$B$35:$G$35,0)),0)</f>
        <v>1648</v>
      </c>
      <c r="AB28" s="33">
        <f>ROUND(坦克等级成长!$D125*VLOOKUP($Z$2,坦克等级成长!$B$36:$G$42,MATCH(AB$3,坦克等级成长!$B$35:$G$35,0)),0)</f>
        <v>97</v>
      </c>
      <c r="AC28" s="33">
        <f>ROUND(坦克等级成长!$D125*VLOOKUP($Z$2,坦克等级成长!$B$36:$G$42,MATCH(AC$3,坦克等级成长!$B$35:$G$35,0)),0)</f>
        <v>677</v>
      </c>
      <c r="AD28" s="33">
        <f t="shared" si="15"/>
        <v>677</v>
      </c>
      <c r="AE28" s="33">
        <v>501.2</v>
      </c>
      <c r="AF28" s="33">
        <f>ROUND(坦克等级成长!$D125*VLOOKUP($Z$2,坦克等级成长!$B$36:$G$42,MATCH(AF$3,坦克等级成长!$B$35:$G$35,0)),0)</f>
        <v>618</v>
      </c>
      <c r="AG28" s="33">
        <f>ROUND(坦克等级成长!$D125*VLOOKUP($Z$2,坦克等级成长!$B$36:$G$42,MATCH(AG$3,坦克等级成长!$B$35:$G$35,0)),0)</f>
        <v>165</v>
      </c>
      <c r="AH28" s="198">
        <v>8</v>
      </c>
      <c r="AI28" s="33">
        <f>ROUND(坦克等级成长!$F125*VLOOKUP($Z$2,坦克等级成长!$B$36:$G$42,MATCH(AI$3,坦克等级成长!$B$35:$G$35,0)),0)</f>
        <v>1672</v>
      </c>
      <c r="AJ28" s="33">
        <f>ROUND(坦克等级成长!$F125*VLOOKUP($Z$2,坦克等级成长!$B$36:$G$42,MATCH(AJ$3,坦克等级成长!$B$35:$G$35,0)),0)</f>
        <v>99</v>
      </c>
      <c r="AK28" s="33">
        <f>ROUND(坦克等级成长!$F125*VLOOKUP($Z$2,坦克等级成长!$B$36:$G$42,MATCH(AK$3,坦克等级成长!$B$35:$G$35,0)),0)</f>
        <v>687</v>
      </c>
      <c r="AL28" s="33">
        <f t="shared" si="8"/>
        <v>687</v>
      </c>
      <c r="AM28" s="33">
        <v>515</v>
      </c>
      <c r="AN28" s="33">
        <f>ROUND(坦克等级成长!$F125*VLOOKUP($Z$2,坦克等级成长!$B$36:$G$42,MATCH(AN$3,坦克等级成长!$B$35:$G$35,0)),0)</f>
        <v>627</v>
      </c>
      <c r="AO28" s="33">
        <f>ROUND(坦克等级成长!$F125*VLOOKUP($Z$2,坦克等级成长!$B$36:$G$42,MATCH(AO$3,坦克等级成长!$B$35:$G$35,0)),0)</f>
        <v>167</v>
      </c>
      <c r="AP28" s="191">
        <v>8</v>
      </c>
      <c r="AQ28" s="33">
        <f>ROUND(坦克等级成长!$H125*VLOOKUP($Z$2,坦克等级成长!$B$36:$G$42,MATCH(AQ$3,坦克等级成长!$B$35:$G$35,0)),0)</f>
        <v>1696</v>
      </c>
      <c r="AR28" s="33">
        <f>ROUND(坦克等级成长!$H125*VLOOKUP($Z$2,坦克等级成长!$B$36:$G$42,MATCH(AR$3,坦克等级成长!$B$35:$G$35,0)),0)</f>
        <v>100</v>
      </c>
      <c r="AS28" s="33">
        <f>ROUND(坦克等级成长!$H125*VLOOKUP($Z$2,坦克等级成长!$B$36:$G$42,MATCH(AS$3,坦克等级成长!$B$35:$G$35,0)),0)</f>
        <v>697</v>
      </c>
      <c r="AT28" s="33">
        <f t="shared" si="22"/>
        <v>697</v>
      </c>
      <c r="AU28" s="33">
        <v>515</v>
      </c>
      <c r="AV28" s="33">
        <f>ROUND(坦克等级成长!$H125*VLOOKUP($Z$2,坦克等级成长!$B$36:$G$42,MATCH(AV$3,坦克等级成长!$B$35:$G$35,0)),0)</f>
        <v>636</v>
      </c>
      <c r="AW28" s="33">
        <f>ROUND(坦克等级成长!$H125*VLOOKUP($Z$2,坦克等级成长!$B$36:$G$42,MATCH(AW$3,坦克等级成长!$B$35:$G$35,0)),0)</f>
        <v>170</v>
      </c>
      <c r="AX28" s="191">
        <v>8</v>
      </c>
      <c r="AY28" s="33">
        <f>ROUND(坦克等级成长!$D125*VLOOKUP($AX$2,坦克等级成长!$B$36:$G$42,MATCH(AY$3,坦克等级成长!$B$35:$G$35,0)),0)</f>
        <v>1648</v>
      </c>
      <c r="AZ28" s="33">
        <f>ROUND(坦克等级成长!$D125*VLOOKUP($AX$2,坦克等级成长!$B$36:$G$42,MATCH(AZ$3,坦克等级成长!$B$35:$G$35,0)),0)</f>
        <v>179</v>
      </c>
      <c r="BA28" s="33">
        <f>ROUND(坦克等级成长!$D125*VLOOKUP($AX$2,坦克等级成长!$B$36:$G$42,MATCH(BA$3,坦克等级成长!$B$35:$G$35,0)),0)</f>
        <v>618</v>
      </c>
      <c r="BB28" s="33">
        <f t="shared" si="16"/>
        <v>618</v>
      </c>
      <c r="BC28" s="33">
        <v>457.8</v>
      </c>
      <c r="BD28" s="33">
        <f>ROUND(坦克等级成长!$D125*VLOOKUP($AX$2,坦克等级成长!$B$36:$G$42,MATCH(BD$3,坦克等级成长!$B$35:$G$35,0)),0)</f>
        <v>618</v>
      </c>
      <c r="BE28" s="33">
        <f>ROUND(坦克等级成长!$D125*VLOOKUP($AX$2,坦克等级成长!$B$36:$G$42,MATCH(BE$3,坦克等级成长!$B$35:$G$35,0)),0)</f>
        <v>165</v>
      </c>
      <c r="BF28" s="198">
        <v>8</v>
      </c>
      <c r="BG28" s="33">
        <f>ROUND(坦克等级成长!$F125*VLOOKUP($AX$2,坦克等级成长!$B$36:$G$42,MATCH(BG$3,坦克等级成长!$B$35:$G$35,0)),0)</f>
        <v>1672</v>
      </c>
      <c r="BH28" s="33">
        <f>ROUND(坦克等级成长!$F125*VLOOKUP($AX$2,坦克等级成长!$B$36:$G$42,MATCH(BH$3,坦克等级成长!$B$35:$G$35,0)),0)</f>
        <v>182</v>
      </c>
      <c r="BI28" s="33">
        <f>ROUND(坦克等级成长!$F125*VLOOKUP($AX$2,坦克等级成长!$B$36:$G$42,MATCH(BI$3,坦克等级成长!$B$35:$G$35,0)),0)</f>
        <v>627</v>
      </c>
      <c r="BJ28" s="33">
        <f t="shared" si="9"/>
        <v>627</v>
      </c>
      <c r="BK28" s="33">
        <v>470</v>
      </c>
      <c r="BL28" s="33">
        <f>ROUND(坦克等级成长!$F125*VLOOKUP($AX$2,坦克等级成长!$B$36:$G$42,MATCH(BL$3,坦克等级成长!$B$35:$G$35,0)),0)</f>
        <v>627</v>
      </c>
      <c r="BM28" s="33">
        <f>ROUND(坦克等级成长!$F125*VLOOKUP($AX$2,坦克等级成长!$B$36:$G$42,MATCH(BM$3,坦克等级成长!$B$35:$G$35,0)),0)</f>
        <v>167</v>
      </c>
      <c r="BN28" s="191">
        <v>8</v>
      </c>
      <c r="BO28" s="33">
        <f>ROUND(坦克等级成长!$H125*VLOOKUP($AX$2,坦克等级成长!$B$36:$G$42,MATCH(BO$3,坦克等级成长!$B$35:$G$35,0)),0)</f>
        <v>1696</v>
      </c>
      <c r="BP28" s="33">
        <f>ROUND(坦克等级成长!$H125*VLOOKUP($AX$2,坦克等级成长!$B$36:$G$42,MATCH(BP$3,坦克等级成长!$B$35:$G$35,0)),0)</f>
        <v>184</v>
      </c>
      <c r="BQ28" s="33">
        <f>ROUND(坦克等级成长!$H125*VLOOKUP($AX$2,坦克等级成长!$B$36:$G$42,MATCH(BQ$3,坦克等级成长!$B$35:$G$35,0)),0)</f>
        <v>636</v>
      </c>
      <c r="BR28" s="33">
        <f t="shared" si="23"/>
        <v>636</v>
      </c>
      <c r="BS28" s="33">
        <v>470</v>
      </c>
      <c r="BT28" s="33">
        <f>ROUND(坦克等级成长!$H125*VLOOKUP($AX$2,坦克等级成长!$B$36:$G$42,MATCH(BT$3,坦克等级成长!$B$35:$G$35,0)),0)</f>
        <v>636</v>
      </c>
      <c r="BU28" s="33">
        <f>ROUND(坦克等级成长!$H125*VLOOKUP($AX$2,坦克等级成长!$B$36:$G$42,MATCH(BU$3,坦克等级成长!$B$35:$G$35,0)),0)</f>
        <v>170</v>
      </c>
      <c r="BV28" s="191">
        <v>8</v>
      </c>
      <c r="BW28" s="33">
        <f>ROUND(坦克等级成长!$D125*VLOOKUP($BV$2,坦克等级成长!$B$36:$G$42,MATCH(BW$3,坦克等级成长!$B$35:$G$35,0)),0)</f>
        <v>1737</v>
      </c>
      <c r="BX28" s="33">
        <f>ROUND(坦克等级成长!$D125*VLOOKUP($BV$2,坦克等级成长!$B$36:$G$42,MATCH(BX$3,坦克等级成长!$B$35:$G$35,0)),0)</f>
        <v>164</v>
      </c>
      <c r="BY28" s="33">
        <f>ROUND(坦克等级成长!$D125*VLOOKUP($BV$2,坦克等级成长!$B$36:$G$42,MATCH(BY$3,坦克等级成长!$B$35:$G$35,0)),0)</f>
        <v>589</v>
      </c>
      <c r="BZ28" s="33">
        <f t="shared" si="17"/>
        <v>589</v>
      </c>
      <c r="CA28" s="33">
        <v>467.25</v>
      </c>
      <c r="CB28" s="33">
        <f>ROUND(坦克等级成长!$D125*VLOOKUP($BV$2,坦克等级成长!$B$36:$G$42,MATCH(CB$3,坦克等级成长!$B$35:$G$35,0)),0)</f>
        <v>742</v>
      </c>
      <c r="CC28" s="33">
        <f>ROUND(坦克等级成长!$D125*VLOOKUP($BV$2,坦克等级成长!$B$36:$G$42,MATCH(CC$3,坦克等级成长!$B$35:$G$35,0)),0)</f>
        <v>174</v>
      </c>
      <c r="CD28" s="198">
        <v>8</v>
      </c>
      <c r="CE28" s="33">
        <f>ROUND(坦克等级成长!$F125*VLOOKUP($BV$2,坦克等级成长!$B$36:$G$42,MATCH(CE$3,坦克等级成长!$B$35:$G$35,0)),0)</f>
        <v>1762</v>
      </c>
      <c r="CF28" s="33">
        <f>ROUND(坦克等级成长!$F125*VLOOKUP($BV$2,坦克等级成长!$B$36:$G$42,MATCH(CF$3,坦克等级成长!$B$35:$G$35,0)),0)</f>
        <v>166</v>
      </c>
      <c r="CG28" s="33">
        <f>ROUND(坦克等级成长!$F125*VLOOKUP($BV$2,坦克等级成长!$B$36:$G$42,MATCH(CG$3,坦克等级成长!$B$35:$G$35,0)),0)</f>
        <v>597</v>
      </c>
      <c r="CH28" s="33">
        <f t="shared" si="10"/>
        <v>597</v>
      </c>
      <c r="CI28" s="33">
        <v>480</v>
      </c>
      <c r="CJ28" s="33">
        <f>ROUND(坦克等级成长!$F125*VLOOKUP($BV$2,坦克等级成长!$B$36:$G$42,MATCH(CJ$3,坦克等级成长!$B$35:$G$35,0)),0)</f>
        <v>752</v>
      </c>
      <c r="CK28" s="33">
        <f>ROUND(坦克等级成长!$F125*VLOOKUP($BV$2,坦克等级成长!$B$36:$G$42,MATCH(CK$3,坦克等级成长!$B$35:$G$35,0)),0)</f>
        <v>176</v>
      </c>
      <c r="CL28" s="191">
        <v>8</v>
      </c>
      <c r="CM28" s="33">
        <f>ROUND(坦克等级成长!$H125*VLOOKUP($BV$2,坦克等级成长!$B$36:$G$42,MATCH(CM$3,坦克等级成长!$B$35:$G$35,0)),0)</f>
        <v>1787</v>
      </c>
      <c r="CN28" s="33">
        <f>ROUND(坦克等级成长!$H125*VLOOKUP($BV$2,坦克等级成长!$B$36:$G$42,MATCH(CN$3,坦克等级成长!$B$35:$G$35,0)),0)</f>
        <v>168</v>
      </c>
      <c r="CO28" s="33">
        <f>ROUND(坦克等级成长!$H125*VLOOKUP($BV$2,坦克等级成长!$B$36:$G$42,MATCH(CO$3,坦克等级成长!$B$35:$G$35,0)),0)</f>
        <v>606</v>
      </c>
      <c r="CP28" s="33">
        <f t="shared" si="24"/>
        <v>606</v>
      </c>
      <c r="CQ28" s="33">
        <v>480</v>
      </c>
      <c r="CR28" s="33">
        <f>ROUND(坦克等级成长!$H125*VLOOKUP($BV$2,坦克等级成长!$B$36:$G$42,MATCH(CR$3,坦克等级成长!$B$35:$G$35,0)),0)</f>
        <v>763</v>
      </c>
      <c r="CS28" s="33">
        <f>ROUND(坦克等级成长!$H125*VLOOKUP($BV$2,坦克等级成长!$B$36:$G$42,MATCH(CS$3,坦克等级成长!$B$35:$G$35,0)),0)</f>
        <v>179</v>
      </c>
      <c r="CT28" s="191">
        <v>8</v>
      </c>
      <c r="CU28" s="33">
        <f>ROUND(坦克等级成长!$D125*VLOOKUP($CT$2,坦克等级成长!$B$36:$G$42,MATCH(CU$3,坦克等级成长!$B$35:$G$35,0)),0)</f>
        <v>1648</v>
      </c>
      <c r="CV28" s="33">
        <f>ROUND(坦克等级成长!$D125*VLOOKUP($CT$2,坦克等级成长!$B$36:$G$42,MATCH(CV$3,坦克等级成长!$B$35:$G$35,0)),0)</f>
        <v>374</v>
      </c>
      <c r="CW28" s="33">
        <f>ROUND(坦克等级成长!$D125*VLOOKUP($CT$2,坦克等级成长!$B$36:$G$42,MATCH(CW$3,坦克等级成长!$B$35:$G$35,0)),0)</f>
        <v>736</v>
      </c>
      <c r="CX28" s="33">
        <f t="shared" si="18"/>
        <v>736</v>
      </c>
      <c r="CY28" s="33">
        <v>584.25</v>
      </c>
      <c r="CZ28" s="33">
        <f>ROUND(坦克等级成长!$D125*VLOOKUP($CT$2,坦克等级成长!$B$36:$G$42,MATCH(CZ$3,坦克等级成长!$B$35:$G$35,0)),0)</f>
        <v>618</v>
      </c>
      <c r="DA28" s="33">
        <f>ROUND(坦克等级成长!$D125*VLOOKUP($CT$2,坦克等级成长!$B$36:$G$42,MATCH(DA$3,坦克等级成长!$B$35:$G$35,0)),0)</f>
        <v>165</v>
      </c>
      <c r="DB28" s="198">
        <v>8</v>
      </c>
      <c r="DC28" s="33">
        <f>ROUND(坦克等级成长!$F125*VLOOKUP($CT$2,坦克等级成长!$B$36:$G$42,MATCH(DC$3,坦克等级成长!$B$35:$G$35,0)),0)</f>
        <v>1672</v>
      </c>
      <c r="DD28" s="33">
        <f>ROUND(坦克等级成长!$F125*VLOOKUP($CT$2,坦克等级成长!$B$36:$G$42,MATCH(DD$3,坦克等级成长!$B$35:$G$35,0)),0)</f>
        <v>380</v>
      </c>
      <c r="DE28" s="33">
        <f>ROUND(坦克等级成长!$F125*VLOOKUP($CT$2,坦克等级成长!$B$36:$G$42,MATCH(DE$3,坦克等级成长!$B$35:$G$35,0)),0)</f>
        <v>746</v>
      </c>
      <c r="DF28" s="33">
        <f t="shared" si="11"/>
        <v>746</v>
      </c>
      <c r="DG28" s="33">
        <v>600</v>
      </c>
      <c r="DH28" s="33">
        <f>ROUND(坦克等级成长!$F125*VLOOKUP($CT$2,坦克等级成长!$B$36:$G$42,MATCH(DH$3,坦克等级成长!$B$35:$G$35,0)),0)</f>
        <v>627</v>
      </c>
      <c r="DI28" s="33">
        <f>ROUND(坦克等级成长!$F125*VLOOKUP($CT$2,坦克等级成长!$B$36:$G$42,MATCH(DI$3,坦克等级成长!$B$35:$G$35,0)),0)</f>
        <v>167</v>
      </c>
      <c r="DJ28" s="191">
        <v>8</v>
      </c>
      <c r="DK28" s="33">
        <f>ROUND(坦克等级成长!$H125*VLOOKUP($CT$2,坦克等级成长!$B$36:$G$42,MATCH(DK$3,坦克等级成长!$B$35:$G$35,0)),0)</f>
        <v>1696</v>
      </c>
      <c r="DL28" s="33">
        <f>ROUND(坦克等级成长!$H125*VLOOKUP($CT$2,坦克等级成长!$B$36:$G$42,MATCH(DL$3,坦克等级成长!$B$35:$G$35,0)),0)</f>
        <v>385</v>
      </c>
      <c r="DM28" s="33">
        <f>ROUND(坦克等级成长!$H125*VLOOKUP($CT$2,坦克等级成长!$B$36:$G$42,MATCH(DM$3,坦克等级成长!$B$35:$G$35,0)),0)</f>
        <v>757</v>
      </c>
      <c r="DN28" s="33">
        <f t="shared" si="25"/>
        <v>757</v>
      </c>
      <c r="DO28" s="33">
        <v>600</v>
      </c>
      <c r="DP28" s="33">
        <f>ROUND(坦克等级成长!$H125*VLOOKUP($CT$2,坦克等级成长!$B$36:$G$42,MATCH(DP$3,坦克等级成长!$B$35:$G$35,0)),0)</f>
        <v>636</v>
      </c>
      <c r="DQ28" s="33">
        <f>ROUND(坦克等级成长!$H125*VLOOKUP($CT$2,坦克等级成长!$B$36:$G$42,MATCH(DQ$3,坦克等级成长!$B$35:$G$35,0)),0)</f>
        <v>170</v>
      </c>
      <c r="DR28" s="191">
        <v>8</v>
      </c>
      <c r="DS28" s="33">
        <f>ROUND(坦克等级成长!$D125*VLOOKUP($DR$2,坦克等级成长!$B$36:$G$42,MATCH(DS$3,坦克等级成长!$B$35:$G$35,0)),0)</f>
        <v>1875</v>
      </c>
      <c r="DT28" s="33">
        <f>ROUND(坦克等级成长!$D125*VLOOKUP($DR$2,坦克等级成长!$B$36:$G$42,MATCH(DT$3,坦克等级成长!$B$35:$G$35,0)),0)</f>
        <v>640</v>
      </c>
      <c r="DU28" s="33">
        <f>ROUND(坦克等级成长!$D125*VLOOKUP($DR$2,坦克等级成长!$B$36:$G$42,MATCH(DU$3,坦克等级成长!$B$35:$G$35,0)),0)</f>
        <v>589</v>
      </c>
      <c r="DV28" s="33">
        <f t="shared" si="19"/>
        <v>589</v>
      </c>
      <c r="DW28" s="33">
        <v>498.4</v>
      </c>
      <c r="DX28" s="33">
        <f>ROUND(坦克等级成长!$D125*VLOOKUP($DR$2,坦克等级成长!$B$36:$G$42,MATCH(DX$3,坦克等级成长!$B$35:$G$35,0)),0)</f>
        <v>865</v>
      </c>
      <c r="DY28" s="33">
        <f>ROUND(坦克等级成长!$D125*VLOOKUP($DR$2,坦克等级成长!$B$36:$G$42,MATCH(DY$3,坦克等级成长!$B$35:$G$35,0)),0)</f>
        <v>187</v>
      </c>
      <c r="DZ28" s="198">
        <v>8</v>
      </c>
      <c r="EA28" s="33">
        <f>ROUND(坦克等级成长!$F125*VLOOKUP($DR$2,坦克等级成长!$B$36:$G$42,MATCH(EA$3,坦克等级成长!$B$35:$G$35,0)),0)</f>
        <v>1902</v>
      </c>
      <c r="EB28" s="33">
        <f>ROUND(坦克等级成长!$F125*VLOOKUP($DR$2,坦克等级成长!$B$36:$G$42,MATCH(EB$3,坦克等级成长!$B$35:$G$35,0)),0)</f>
        <v>649</v>
      </c>
      <c r="EC28" s="33">
        <f>ROUND(坦克等级成长!$F125*VLOOKUP($DR$2,坦克等级成长!$B$36:$G$42,MATCH(EC$3,坦克等级成长!$B$35:$G$35,0)),0)</f>
        <v>597</v>
      </c>
      <c r="ED28" s="33">
        <f t="shared" si="12"/>
        <v>597</v>
      </c>
      <c r="EE28" s="33">
        <v>512</v>
      </c>
      <c r="EF28" s="33">
        <f>ROUND(坦克等级成长!$F125*VLOOKUP($DR$2,坦克等级成长!$B$36:$G$42,MATCH(EF$3,坦克等级成长!$B$35:$G$35,0)),0)</f>
        <v>878</v>
      </c>
      <c r="EG28" s="33">
        <f>ROUND(坦克等级成长!$F125*VLOOKUP($DR$2,坦克等级成长!$B$36:$G$42,MATCH(EG$3,坦克等级成长!$B$35:$G$35,0)),0)</f>
        <v>190</v>
      </c>
      <c r="EH28" s="191">
        <v>8</v>
      </c>
      <c r="EI28" s="33">
        <f>ROUND(坦克等级成长!$H125*VLOOKUP($DR$2,坦克等级成长!$B$36:$G$42,MATCH(EI$3,坦克等级成长!$B$35:$G$35,0)),0)</f>
        <v>1930</v>
      </c>
      <c r="EJ28" s="33">
        <f>ROUND(坦克等级成长!$H125*VLOOKUP($DR$2,坦克等级成长!$B$36:$G$42,MATCH(EJ$3,坦克等级成长!$B$35:$G$35,0)),0)</f>
        <v>658</v>
      </c>
      <c r="EK28" s="33">
        <f>ROUND(坦克等级成长!$H125*VLOOKUP($DR$2,坦克等级成长!$B$36:$G$42,MATCH(EK$3,坦克等级成长!$B$35:$G$35,0)),0)</f>
        <v>606</v>
      </c>
      <c r="EL28" s="33">
        <f t="shared" si="26"/>
        <v>606</v>
      </c>
      <c r="EM28" s="33">
        <v>512</v>
      </c>
      <c r="EN28" s="33">
        <f>ROUND(坦克等级成长!$H125*VLOOKUP($DR$2,坦克等级成长!$B$36:$G$42,MATCH(EN$3,坦克等级成长!$B$35:$G$35,0)),0)</f>
        <v>890</v>
      </c>
      <c r="EO28" s="33">
        <f>ROUND(坦克等级成长!$H125*VLOOKUP($DR$2,坦克等级成长!$B$36:$G$42,MATCH(EO$3,坦克等级成长!$B$35:$G$35,0)),0)</f>
        <v>193</v>
      </c>
      <c r="EP28" s="191">
        <v>8</v>
      </c>
      <c r="EQ28" s="33">
        <f>ROUND(坦克等级成长!$D125*VLOOKUP($EP$2,坦克等级成长!$B$36:$G$42,MATCH(EQ$3,坦克等级成长!$B$35:$G$35,0)),0)</f>
        <v>1737</v>
      </c>
      <c r="ER28" s="33">
        <f>ROUND(坦克等级成长!$D125*VLOOKUP($EP$2,坦克等级成长!$B$36:$G$42,MATCH(ER$3,坦克等级成长!$B$35:$G$35,0)),0)</f>
        <v>199</v>
      </c>
      <c r="ES28" s="33">
        <f>ROUND(坦克等级成长!$D125*VLOOKUP($EP$2,坦克等级成长!$B$36:$G$42,MATCH(ES$3,坦克等级成长!$B$35:$G$35,0)),0)</f>
        <v>677</v>
      </c>
      <c r="ET28" s="33">
        <f t="shared" si="20"/>
        <v>677</v>
      </c>
      <c r="EU28" s="33">
        <v>537</v>
      </c>
      <c r="EV28" s="33">
        <f>ROUND(坦克等级成长!$D125*VLOOKUP($EP$2,坦克等级成长!$B$36:$G$42,MATCH(EV$3,坦克等级成长!$B$35:$G$35,0)),0)</f>
        <v>742</v>
      </c>
      <c r="EW28" s="33">
        <f>ROUND(坦克等级成长!$D125*VLOOKUP($EP$2,坦克等级成长!$B$36:$G$42,MATCH(EW$3,坦克等级成长!$B$35:$G$35,0)),0)</f>
        <v>174</v>
      </c>
      <c r="EX28" s="198">
        <v>8</v>
      </c>
      <c r="EY28" s="33">
        <f>ROUND(坦克等级成长!$F125*VLOOKUP($EP$2,坦克等级成长!$B$36:$G$42,MATCH(EY$3,坦克等级成长!$B$35:$G$35,0)),0)</f>
        <v>1762</v>
      </c>
      <c r="EZ28" s="33">
        <f>ROUND(坦克等级成长!$F125*VLOOKUP($EP$2,坦克等级成长!$B$36:$G$42,MATCH(EZ$3,坦克等级成长!$B$35:$G$35,0)),0)</f>
        <v>202</v>
      </c>
      <c r="FA28" s="33">
        <f>ROUND(坦克等级成长!$F125*VLOOKUP($EP$2,坦克等级成长!$B$36:$G$42,MATCH(FA$3,坦克等级成长!$B$35:$G$35,0)),0)</f>
        <v>687</v>
      </c>
      <c r="FB28" s="33">
        <f t="shared" si="13"/>
        <v>687</v>
      </c>
      <c r="FC28" s="33">
        <v>552</v>
      </c>
      <c r="FD28" s="33">
        <f>ROUND(坦克等级成长!$F125*VLOOKUP($EP$2,坦克等级成长!$B$36:$G$42,MATCH(FD$3,坦克等级成长!$B$35:$G$35,0)),0)</f>
        <v>752</v>
      </c>
      <c r="FE28" s="33">
        <f>ROUND(坦克等级成长!$F125*VLOOKUP($EP$2,坦克等级成长!$B$36:$G$42,MATCH(FE$3,坦克等级成长!$B$35:$G$35,0)),0)</f>
        <v>176</v>
      </c>
      <c r="FF28" s="191">
        <v>8</v>
      </c>
      <c r="FG28" s="33">
        <f>ROUND(坦克等级成长!$H125*VLOOKUP($EP$2,坦克等级成长!$B$36:$G$42,MATCH(FG$3,坦克等级成长!$B$35:$G$35,0)),0)</f>
        <v>1787</v>
      </c>
      <c r="FH28" s="33">
        <f>ROUND(坦克等级成长!$H125*VLOOKUP($EP$2,坦克等级成长!$B$36:$G$42,MATCH(FH$3,坦克等级成长!$B$35:$G$35,0)),0)</f>
        <v>205</v>
      </c>
      <c r="FI28" s="33">
        <f>ROUND(坦克等级成长!$H125*VLOOKUP($EP$2,坦克等级成长!$B$36:$G$42,MATCH(FI$3,坦克等级成长!$B$35:$G$35,0)),0)</f>
        <v>697</v>
      </c>
      <c r="FJ28" s="33">
        <f t="shared" si="27"/>
        <v>697</v>
      </c>
      <c r="FK28" s="33">
        <v>552</v>
      </c>
      <c r="FL28" s="33">
        <f>ROUND(坦克等级成长!$H125*VLOOKUP($EP$2,坦克等级成长!$B$36:$G$42,MATCH(FL$3,坦克等级成长!$B$35:$G$35,0)),0)</f>
        <v>763</v>
      </c>
      <c r="FM28" s="33">
        <f>ROUND(坦克等级成长!$H125*VLOOKUP($EP$2,坦克等级成长!$B$36:$G$42,MATCH(FM$3,坦克等级成长!$B$35:$G$35,0)),0)</f>
        <v>179</v>
      </c>
    </row>
    <row r="29" spans="1:169" ht="14.25" x14ac:dyDescent="0.3">
      <c r="A29" s="188">
        <v>3</v>
      </c>
      <c r="B29" s="191">
        <v>9</v>
      </c>
      <c r="C29" s="33">
        <f>ROUND(坦克等级成长!$D126*VLOOKUP($B$2,坦克等级成长!$B$36:$G$42,MATCH(C$3,坦克等级成长!$B$35:$G$35,0)),0)</f>
        <v>1720</v>
      </c>
      <c r="D29" s="33">
        <f>ROUND(坦克等级成长!$D126*VLOOKUP($B$2,坦克等级成长!$B$36:$G$42,MATCH(D$3,坦克等级成长!$B$35:$G$35,0)),0)</f>
        <v>187</v>
      </c>
      <c r="E29" s="33">
        <f>ROUND(坦克等级成长!$D126*VLOOKUP($B$2,坦克等级成长!$B$36:$G$42,MATCH(E$3,坦克等级成长!$B$35:$G$35,0)),0)</f>
        <v>645</v>
      </c>
      <c r="F29" s="33">
        <f t="shared" si="14"/>
        <v>645</v>
      </c>
      <c r="G29" s="33">
        <v>478.8</v>
      </c>
      <c r="H29" s="33">
        <f>ROUND(坦克等级成长!$D126*VLOOKUP($B$2,坦克等级成长!$B$36:$G$42,MATCH(H$3,坦克等级成长!$B$35:$G$35,0)),0)</f>
        <v>645</v>
      </c>
      <c r="I29" s="33">
        <f>ROUND(坦克等级成长!$D126*VLOOKUP($B$2,坦克等级成长!$B$36:$G$42,MATCH(I$3,坦克等级成长!$B$35:$G$35,0)),0)</f>
        <v>172</v>
      </c>
      <c r="J29" s="198">
        <v>9</v>
      </c>
      <c r="K29" s="33">
        <f>ROUND(坦克等级成长!$F126*VLOOKUP($B$2,坦克等级成长!$B$36:$G$42,MATCH(K$3,坦克等级成长!$B$35:$G$35,0)),0)</f>
        <v>1744</v>
      </c>
      <c r="L29" s="33">
        <f>ROUND(坦克等级成长!$F126*VLOOKUP($B$2,坦克等级成长!$B$36:$G$42,MATCH(L$3,坦克等级成长!$B$35:$G$35,0)),0)</f>
        <v>190</v>
      </c>
      <c r="M29" s="33">
        <f>ROUND(坦克等级成长!$F126*VLOOKUP($B$2,坦克等级成长!$B$36:$G$42,MATCH(M$3,坦克等级成长!$B$35:$G$35,0)),0)</f>
        <v>654</v>
      </c>
      <c r="N29" s="33">
        <f t="shared" si="7"/>
        <v>654</v>
      </c>
      <c r="O29" s="33">
        <v>491</v>
      </c>
      <c r="P29" s="33">
        <f>ROUND(坦克等级成长!$F126*VLOOKUP($B$2,坦克等级成长!$B$36:$G$42,MATCH(P$3,坦克等级成长!$B$35:$G$35,0)),0)</f>
        <v>654</v>
      </c>
      <c r="Q29" s="33">
        <f>ROUND(坦克等级成长!$F126*VLOOKUP($B$2,坦克等级成长!$B$36:$G$42,MATCH(Q$3,坦克等级成长!$B$35:$G$35,0)),0)</f>
        <v>174</v>
      </c>
      <c r="R29" s="191">
        <v>9</v>
      </c>
      <c r="S29" s="33">
        <f>ROUND(坦克等级成长!$H126*VLOOKUP($B$2,坦克等级成长!$B$36:$G$42,MATCH(S$3,坦克等级成长!$B$35:$G$35,0)),0)</f>
        <v>1768</v>
      </c>
      <c r="T29" s="33">
        <f>ROUND(坦克等级成长!$H126*VLOOKUP($B$2,坦克等级成长!$B$36:$G$42,MATCH(T$3,坦克等级成长!$B$35:$G$35,0)),0)</f>
        <v>192</v>
      </c>
      <c r="U29" s="33">
        <f>ROUND(坦克等级成长!$H126*VLOOKUP($B$2,坦克等级成长!$B$36:$G$42,MATCH(U$3,坦克等级成长!$B$35:$G$35,0)),0)</f>
        <v>663</v>
      </c>
      <c r="V29" s="33">
        <f t="shared" si="21"/>
        <v>663</v>
      </c>
      <c r="W29" s="33">
        <v>491</v>
      </c>
      <c r="X29" s="33">
        <f>ROUND(坦克等级成长!$H126*VLOOKUP($B$2,坦克等级成长!$B$36:$G$42,MATCH(X$3,坦克等级成长!$B$35:$G$35,0)),0)</f>
        <v>663</v>
      </c>
      <c r="Y29" s="33">
        <f>ROUND(坦克等级成长!$H126*VLOOKUP($B$2,坦克等级成长!$B$36:$G$42,MATCH(Y$3,坦克等级成长!$B$35:$G$35,0)),0)</f>
        <v>177</v>
      </c>
      <c r="Z29" s="191">
        <v>9</v>
      </c>
      <c r="AA29" s="33">
        <f>ROUND(坦克等级成长!$D126*VLOOKUP($Z$2,坦克等级成长!$B$36:$G$42,MATCH(AA$3,坦克等级成长!$B$35:$G$35,0)),0)</f>
        <v>1720</v>
      </c>
      <c r="AB29" s="33">
        <f>ROUND(坦克等级成长!$D126*VLOOKUP($Z$2,坦克等级成长!$B$36:$G$42,MATCH(AB$3,坦克等级成长!$B$35:$G$35,0)),0)</f>
        <v>101</v>
      </c>
      <c r="AC29" s="33">
        <f>ROUND(坦克等级成长!$D126*VLOOKUP($Z$2,坦克等级成长!$B$36:$G$42,MATCH(AC$3,坦克等级成长!$B$35:$G$35,0)),0)</f>
        <v>706</v>
      </c>
      <c r="AD29" s="33">
        <f t="shared" si="15"/>
        <v>706</v>
      </c>
      <c r="AE29" s="33">
        <v>524.29999999999995</v>
      </c>
      <c r="AF29" s="33">
        <f>ROUND(坦克等级成长!$D126*VLOOKUP($Z$2,坦克等级成长!$B$36:$G$42,MATCH(AF$3,坦克等级成长!$B$35:$G$35,0)),0)</f>
        <v>645</v>
      </c>
      <c r="AG29" s="33">
        <f>ROUND(坦克等级成长!$D126*VLOOKUP($Z$2,坦克等级成长!$B$36:$G$42,MATCH(AG$3,坦克等级成长!$B$35:$G$35,0)),0)</f>
        <v>172</v>
      </c>
      <c r="AH29" s="198">
        <v>9</v>
      </c>
      <c r="AI29" s="33">
        <f>ROUND(坦克等级成长!$F126*VLOOKUP($Z$2,坦克等级成长!$B$36:$G$42,MATCH(AI$3,坦克等级成长!$B$35:$G$35,0)),0)</f>
        <v>1744</v>
      </c>
      <c r="AJ29" s="33">
        <f>ROUND(坦克等级成长!$F126*VLOOKUP($Z$2,坦克等级成长!$B$36:$G$42,MATCH(AJ$3,坦克等级成长!$B$35:$G$35,0)),0)</f>
        <v>103</v>
      </c>
      <c r="AK29" s="33">
        <f>ROUND(坦克等级成长!$F126*VLOOKUP($Z$2,坦克等级成长!$B$36:$G$42,MATCH(AK$3,坦克等级成长!$B$35:$G$35,0)),0)</f>
        <v>716</v>
      </c>
      <c r="AL29" s="33">
        <f t="shared" si="8"/>
        <v>716</v>
      </c>
      <c r="AM29" s="33">
        <v>538</v>
      </c>
      <c r="AN29" s="33">
        <f>ROUND(坦克等级成长!$F126*VLOOKUP($Z$2,坦克等级成长!$B$36:$G$42,MATCH(AN$3,坦克等级成长!$B$35:$G$35,0)),0)</f>
        <v>654</v>
      </c>
      <c r="AO29" s="33">
        <f>ROUND(坦克等级成长!$F126*VLOOKUP($Z$2,坦克等级成长!$B$36:$G$42,MATCH(AO$3,坦克等级成长!$B$35:$G$35,0)),0)</f>
        <v>174</v>
      </c>
      <c r="AP29" s="191">
        <v>9</v>
      </c>
      <c r="AQ29" s="33">
        <f>ROUND(坦克等级成长!$H126*VLOOKUP($Z$2,坦克等级成长!$B$36:$G$42,MATCH(AQ$3,坦克等级成长!$B$35:$G$35,0)),0)</f>
        <v>1768</v>
      </c>
      <c r="AR29" s="33">
        <f>ROUND(坦克等级成长!$H126*VLOOKUP($Z$2,坦克等级成长!$B$36:$G$42,MATCH(AR$3,坦克等级成长!$B$35:$G$35,0)),0)</f>
        <v>104</v>
      </c>
      <c r="AS29" s="33">
        <f>ROUND(坦克等级成长!$H126*VLOOKUP($Z$2,坦克等级成长!$B$36:$G$42,MATCH(AS$3,坦克等级成长!$B$35:$G$35,0)),0)</f>
        <v>726</v>
      </c>
      <c r="AT29" s="33">
        <f t="shared" si="22"/>
        <v>726</v>
      </c>
      <c r="AU29" s="33">
        <v>538</v>
      </c>
      <c r="AV29" s="33">
        <f>ROUND(坦克等级成长!$H126*VLOOKUP($Z$2,坦克等级成长!$B$36:$G$42,MATCH(AV$3,坦克等级成长!$B$35:$G$35,0)),0)</f>
        <v>663</v>
      </c>
      <c r="AW29" s="33">
        <f>ROUND(坦克等级成长!$H126*VLOOKUP($Z$2,坦克等级成长!$B$36:$G$42,MATCH(AW$3,坦克等级成长!$B$35:$G$35,0)),0)</f>
        <v>177</v>
      </c>
      <c r="AX29" s="191">
        <v>9</v>
      </c>
      <c r="AY29" s="33">
        <f>ROUND(坦克等级成长!$D126*VLOOKUP($AX$2,坦克等级成长!$B$36:$G$42,MATCH(AY$3,坦克等级成长!$B$35:$G$35,0)),0)</f>
        <v>1720</v>
      </c>
      <c r="AZ29" s="33">
        <f>ROUND(坦克等级成长!$D126*VLOOKUP($AX$2,坦克等级成长!$B$36:$G$42,MATCH(AZ$3,坦克等级成长!$B$35:$G$35,0)),0)</f>
        <v>187</v>
      </c>
      <c r="BA29" s="33">
        <f>ROUND(坦克等级成长!$D126*VLOOKUP($AX$2,坦克等级成长!$B$36:$G$42,MATCH(BA$3,坦克等级成长!$B$35:$G$35,0)),0)</f>
        <v>645</v>
      </c>
      <c r="BB29" s="33">
        <f t="shared" si="16"/>
        <v>645</v>
      </c>
      <c r="BC29" s="33">
        <v>478.8</v>
      </c>
      <c r="BD29" s="33">
        <f>ROUND(坦克等级成长!$D126*VLOOKUP($AX$2,坦克等级成长!$B$36:$G$42,MATCH(BD$3,坦克等级成长!$B$35:$G$35,0)),0)</f>
        <v>645</v>
      </c>
      <c r="BE29" s="33">
        <f>ROUND(坦克等级成长!$D126*VLOOKUP($AX$2,坦克等级成长!$B$36:$G$42,MATCH(BE$3,坦克等级成长!$B$35:$G$35,0)),0)</f>
        <v>172</v>
      </c>
      <c r="BF29" s="198">
        <v>9</v>
      </c>
      <c r="BG29" s="33">
        <f>ROUND(坦克等级成长!$F126*VLOOKUP($AX$2,坦克等级成长!$B$36:$G$42,MATCH(BG$3,坦克等级成长!$B$35:$G$35,0)),0)</f>
        <v>1744</v>
      </c>
      <c r="BH29" s="33">
        <f>ROUND(坦克等级成长!$F126*VLOOKUP($AX$2,坦克等级成长!$B$36:$G$42,MATCH(BH$3,坦克等级成长!$B$35:$G$35,0)),0)</f>
        <v>190</v>
      </c>
      <c r="BI29" s="33">
        <f>ROUND(坦克等级成长!$F126*VLOOKUP($AX$2,坦克等级成长!$B$36:$G$42,MATCH(BI$3,坦克等级成长!$B$35:$G$35,0)),0)</f>
        <v>654</v>
      </c>
      <c r="BJ29" s="33">
        <f t="shared" si="9"/>
        <v>654</v>
      </c>
      <c r="BK29" s="33">
        <v>491</v>
      </c>
      <c r="BL29" s="33">
        <f>ROUND(坦克等级成长!$F126*VLOOKUP($AX$2,坦克等级成长!$B$36:$G$42,MATCH(BL$3,坦克等级成长!$B$35:$G$35,0)),0)</f>
        <v>654</v>
      </c>
      <c r="BM29" s="33">
        <f>ROUND(坦克等级成长!$F126*VLOOKUP($AX$2,坦克等级成长!$B$36:$G$42,MATCH(BM$3,坦克等级成长!$B$35:$G$35,0)),0)</f>
        <v>174</v>
      </c>
      <c r="BN29" s="191">
        <v>9</v>
      </c>
      <c r="BO29" s="33">
        <f>ROUND(坦克等级成长!$H126*VLOOKUP($AX$2,坦克等级成长!$B$36:$G$42,MATCH(BO$3,坦克等级成长!$B$35:$G$35,0)),0)</f>
        <v>1768</v>
      </c>
      <c r="BP29" s="33">
        <f>ROUND(坦克等级成长!$H126*VLOOKUP($AX$2,坦克等级成长!$B$36:$G$42,MATCH(BP$3,坦克等级成长!$B$35:$G$35,0)),0)</f>
        <v>192</v>
      </c>
      <c r="BQ29" s="33">
        <f>ROUND(坦克等级成长!$H126*VLOOKUP($AX$2,坦克等级成长!$B$36:$G$42,MATCH(BQ$3,坦克等级成长!$B$35:$G$35,0)),0)</f>
        <v>663</v>
      </c>
      <c r="BR29" s="33">
        <f t="shared" si="23"/>
        <v>663</v>
      </c>
      <c r="BS29" s="33">
        <v>491</v>
      </c>
      <c r="BT29" s="33">
        <f>ROUND(坦克等级成长!$H126*VLOOKUP($AX$2,坦克等级成长!$B$36:$G$42,MATCH(BT$3,坦克等级成长!$B$35:$G$35,0)),0)</f>
        <v>663</v>
      </c>
      <c r="BU29" s="33">
        <f>ROUND(坦克等级成长!$H126*VLOOKUP($AX$2,坦克等级成长!$B$36:$G$42,MATCH(BU$3,坦克等级成长!$B$35:$G$35,0)),0)</f>
        <v>177</v>
      </c>
      <c r="BV29" s="191">
        <v>9</v>
      </c>
      <c r="BW29" s="33">
        <f>ROUND(坦克等级成长!$D126*VLOOKUP($BV$2,坦克等级成长!$B$36:$G$42,MATCH(BW$3,坦克等级成长!$B$35:$G$35,0)),0)</f>
        <v>1812</v>
      </c>
      <c r="BX29" s="33">
        <f>ROUND(坦克等级成长!$D126*VLOOKUP($BV$2,坦克等级成长!$B$36:$G$42,MATCH(BX$3,坦克等级成长!$B$35:$G$35,0)),0)</f>
        <v>171</v>
      </c>
      <c r="BY29" s="33">
        <f>ROUND(坦克等级成长!$D126*VLOOKUP($BV$2,坦克等级成长!$B$36:$G$42,MATCH(BY$3,坦克等级成长!$B$35:$G$35,0)),0)</f>
        <v>614</v>
      </c>
      <c r="BZ29" s="33">
        <f t="shared" si="17"/>
        <v>614</v>
      </c>
      <c r="CA29" s="33">
        <v>488.25</v>
      </c>
      <c r="CB29" s="33">
        <f>ROUND(坦克等级成长!$D126*VLOOKUP($BV$2,坦克等级成长!$B$36:$G$42,MATCH(CB$3,坦克等级成长!$B$35:$G$35,0)),0)</f>
        <v>774</v>
      </c>
      <c r="CC29" s="33">
        <f>ROUND(坦克等级成长!$D126*VLOOKUP($BV$2,坦克等级成长!$B$36:$G$42,MATCH(CC$3,坦克等级成长!$B$35:$G$35,0)),0)</f>
        <v>181</v>
      </c>
      <c r="CD29" s="198">
        <v>9</v>
      </c>
      <c r="CE29" s="33">
        <f>ROUND(坦克等级成长!$F126*VLOOKUP($BV$2,坦克等级成长!$B$36:$G$42,MATCH(CE$3,坦克等级成长!$B$35:$G$35,0)),0)</f>
        <v>1838</v>
      </c>
      <c r="CF29" s="33">
        <f>ROUND(坦克等级成长!$F126*VLOOKUP($BV$2,坦克等级成长!$B$36:$G$42,MATCH(CF$3,坦克等级成长!$B$35:$G$35,0)),0)</f>
        <v>173</v>
      </c>
      <c r="CG29" s="33">
        <f>ROUND(坦克等级成长!$F126*VLOOKUP($BV$2,坦克等级成长!$B$36:$G$42,MATCH(CG$3,坦克等级成长!$B$35:$G$35,0)),0)</f>
        <v>623</v>
      </c>
      <c r="CH29" s="33">
        <f t="shared" si="10"/>
        <v>623</v>
      </c>
      <c r="CI29" s="33">
        <v>502</v>
      </c>
      <c r="CJ29" s="33">
        <f>ROUND(坦克等级成长!$F126*VLOOKUP($BV$2,坦克等级成长!$B$36:$G$42,MATCH(CJ$3,坦克等级成长!$B$35:$G$35,0)),0)</f>
        <v>785</v>
      </c>
      <c r="CK29" s="33">
        <f>ROUND(坦克等级成长!$F126*VLOOKUP($BV$2,坦克等级成长!$B$36:$G$42,MATCH(CK$3,坦克等级成长!$B$35:$G$35,0)),0)</f>
        <v>184</v>
      </c>
      <c r="CL29" s="191">
        <v>9</v>
      </c>
      <c r="CM29" s="33">
        <f>ROUND(坦克等级成长!$H126*VLOOKUP($BV$2,坦克等级成长!$B$36:$G$42,MATCH(CM$3,坦克等级成长!$B$35:$G$35,0)),0)</f>
        <v>1863</v>
      </c>
      <c r="CN29" s="33">
        <f>ROUND(坦克等级成长!$H126*VLOOKUP($BV$2,坦克等级成长!$B$36:$G$42,MATCH(CN$3,坦克等级成长!$B$35:$G$35,0)),0)</f>
        <v>176</v>
      </c>
      <c r="CO29" s="33">
        <f>ROUND(坦克等级成长!$H126*VLOOKUP($BV$2,坦克等级成长!$B$36:$G$42,MATCH(CO$3,坦克等级成长!$B$35:$G$35,0)),0)</f>
        <v>631</v>
      </c>
      <c r="CP29" s="33">
        <f t="shared" si="24"/>
        <v>631</v>
      </c>
      <c r="CQ29" s="33">
        <v>502</v>
      </c>
      <c r="CR29" s="33">
        <f>ROUND(坦克等级成长!$H126*VLOOKUP($BV$2,坦克等级成长!$B$36:$G$42,MATCH(CR$3,坦克等级成长!$B$35:$G$35,0)),0)</f>
        <v>796</v>
      </c>
      <c r="CS29" s="33">
        <f>ROUND(坦克等级成长!$H126*VLOOKUP($BV$2,坦克等级成长!$B$36:$G$42,MATCH(CS$3,坦克等级成长!$B$35:$G$35,0)),0)</f>
        <v>186</v>
      </c>
      <c r="CT29" s="191">
        <v>9</v>
      </c>
      <c r="CU29" s="33">
        <f>ROUND(坦克等级成长!$D126*VLOOKUP($CT$2,坦克等级成长!$B$36:$G$42,MATCH(CU$3,坦克等级成长!$B$35:$G$35,0)),0)</f>
        <v>1720</v>
      </c>
      <c r="CV29" s="33">
        <f>ROUND(坦克等级成长!$D126*VLOOKUP($CT$2,坦克等级成长!$B$36:$G$42,MATCH(CV$3,坦克等级成长!$B$35:$G$35,0)),0)</f>
        <v>391</v>
      </c>
      <c r="CW29" s="33">
        <f>ROUND(坦克等级成长!$D126*VLOOKUP($CT$2,坦克等级成长!$B$36:$G$42,MATCH(CW$3,坦克等级成长!$B$35:$G$35,0)),0)</f>
        <v>768</v>
      </c>
      <c r="CX29" s="33">
        <f t="shared" si="18"/>
        <v>768</v>
      </c>
      <c r="CY29" s="33">
        <v>610.5</v>
      </c>
      <c r="CZ29" s="33">
        <f>ROUND(坦克等级成长!$D126*VLOOKUP($CT$2,坦克等级成长!$B$36:$G$42,MATCH(CZ$3,坦克等级成长!$B$35:$G$35,0)),0)</f>
        <v>645</v>
      </c>
      <c r="DA29" s="33">
        <f>ROUND(坦克等级成长!$D126*VLOOKUP($CT$2,坦克等级成长!$B$36:$G$42,MATCH(DA$3,坦克等级成长!$B$35:$G$35,0)),0)</f>
        <v>172</v>
      </c>
      <c r="DB29" s="198">
        <v>9</v>
      </c>
      <c r="DC29" s="33">
        <f>ROUND(坦克等级成长!$F126*VLOOKUP($CT$2,坦克等级成长!$B$36:$G$42,MATCH(DC$3,坦克等级成长!$B$35:$G$35,0)),0)</f>
        <v>1744</v>
      </c>
      <c r="DD29" s="33">
        <f>ROUND(坦克等级成长!$F126*VLOOKUP($CT$2,坦克等级成长!$B$36:$G$42,MATCH(DD$3,坦克等级成长!$B$35:$G$35,0)),0)</f>
        <v>396</v>
      </c>
      <c r="DE29" s="33">
        <f>ROUND(坦克等级成长!$F126*VLOOKUP($CT$2,坦克等级成长!$B$36:$G$42,MATCH(DE$3,坦克等级成长!$B$35:$G$35,0)),0)</f>
        <v>779</v>
      </c>
      <c r="DF29" s="33">
        <f t="shared" si="11"/>
        <v>779</v>
      </c>
      <c r="DG29" s="33">
        <v>627</v>
      </c>
      <c r="DH29" s="33">
        <f>ROUND(坦克等级成长!$F126*VLOOKUP($CT$2,坦克等级成长!$B$36:$G$42,MATCH(DH$3,坦克等级成长!$B$35:$G$35,0)),0)</f>
        <v>654</v>
      </c>
      <c r="DI29" s="33">
        <f>ROUND(坦克等级成长!$F126*VLOOKUP($CT$2,坦克等级成长!$B$36:$G$42,MATCH(DI$3,坦克等级成长!$B$35:$G$35,0)),0)</f>
        <v>174</v>
      </c>
      <c r="DJ29" s="191">
        <v>9</v>
      </c>
      <c r="DK29" s="33">
        <f>ROUND(坦克等级成长!$H126*VLOOKUP($CT$2,坦克等级成长!$B$36:$G$42,MATCH(DK$3,坦克等级成长!$B$35:$G$35,0)),0)</f>
        <v>1768</v>
      </c>
      <c r="DL29" s="33">
        <f>ROUND(坦克等级成长!$H126*VLOOKUP($CT$2,坦克等级成长!$B$36:$G$42,MATCH(DL$3,坦克等级成长!$B$35:$G$35,0)),0)</f>
        <v>402</v>
      </c>
      <c r="DM29" s="33">
        <f>ROUND(坦克等级成长!$H126*VLOOKUP($CT$2,坦克等级成长!$B$36:$G$42,MATCH(DM$3,坦克等级成长!$B$35:$G$35,0)),0)</f>
        <v>789</v>
      </c>
      <c r="DN29" s="33">
        <f t="shared" si="25"/>
        <v>789</v>
      </c>
      <c r="DO29" s="33">
        <v>627</v>
      </c>
      <c r="DP29" s="33">
        <f>ROUND(坦克等级成长!$H126*VLOOKUP($CT$2,坦克等级成长!$B$36:$G$42,MATCH(DP$3,坦克等级成长!$B$35:$G$35,0)),0)</f>
        <v>663</v>
      </c>
      <c r="DQ29" s="33">
        <f>ROUND(坦克等级成长!$H126*VLOOKUP($CT$2,坦克等级成长!$B$36:$G$42,MATCH(DQ$3,坦克等级成长!$B$35:$G$35,0)),0)</f>
        <v>177</v>
      </c>
      <c r="DR29" s="191">
        <v>9</v>
      </c>
      <c r="DS29" s="33">
        <f>ROUND(坦克等级成长!$D126*VLOOKUP($DR$2,坦克等级成长!$B$36:$G$42,MATCH(DS$3,坦克等级成长!$B$35:$G$35,0)),0)</f>
        <v>1957</v>
      </c>
      <c r="DT29" s="33">
        <f>ROUND(坦克等级成长!$D126*VLOOKUP($DR$2,坦克等级成长!$B$36:$G$42,MATCH(DT$3,坦克等级成长!$B$35:$G$35,0)),0)</f>
        <v>668</v>
      </c>
      <c r="DU29" s="33">
        <f>ROUND(坦克等级成长!$D126*VLOOKUP($DR$2,坦克等级成长!$B$36:$G$42,MATCH(DU$3,坦克等级成长!$B$35:$G$35,0)),0)</f>
        <v>614</v>
      </c>
      <c r="DV29" s="33">
        <f t="shared" si="19"/>
        <v>614</v>
      </c>
      <c r="DW29" s="33">
        <v>520.79999999999995</v>
      </c>
      <c r="DX29" s="33">
        <f>ROUND(坦克等级成长!$D126*VLOOKUP($DR$2,坦克等级成长!$B$36:$G$42,MATCH(DX$3,坦克等级成长!$B$35:$G$35,0)),0)</f>
        <v>903</v>
      </c>
      <c r="DY29" s="33">
        <f>ROUND(坦克等级成长!$D126*VLOOKUP($DR$2,坦克等级成长!$B$36:$G$42,MATCH(DY$3,坦克等级成长!$B$35:$G$35,0)),0)</f>
        <v>196</v>
      </c>
      <c r="DZ29" s="198">
        <v>9</v>
      </c>
      <c r="EA29" s="33">
        <f>ROUND(坦克等级成长!$F126*VLOOKUP($DR$2,坦克等级成长!$B$36:$G$42,MATCH(EA$3,坦克等级成长!$B$35:$G$35,0)),0)</f>
        <v>1984</v>
      </c>
      <c r="EB29" s="33">
        <f>ROUND(坦克等级成长!$F126*VLOOKUP($DR$2,坦克等级成长!$B$36:$G$42,MATCH(EB$3,坦克等级成长!$B$35:$G$35,0)),0)</f>
        <v>677</v>
      </c>
      <c r="EC29" s="33">
        <f>ROUND(坦克等级成长!$F126*VLOOKUP($DR$2,坦克等级成长!$B$36:$G$42,MATCH(EC$3,坦克等级成长!$B$35:$G$35,0)),0)</f>
        <v>623</v>
      </c>
      <c r="ED29" s="33">
        <f t="shared" si="12"/>
        <v>623</v>
      </c>
      <c r="EE29" s="33">
        <v>535</v>
      </c>
      <c r="EF29" s="33">
        <f>ROUND(坦克等级成长!$F126*VLOOKUP($DR$2,坦克等级成长!$B$36:$G$42,MATCH(EF$3,坦克等级成长!$B$35:$G$35,0)),0)</f>
        <v>916</v>
      </c>
      <c r="EG29" s="33">
        <f>ROUND(坦克等级成长!$F126*VLOOKUP($DR$2,坦克等级成长!$B$36:$G$42,MATCH(EG$3,坦克等级成长!$B$35:$G$35,0)),0)</f>
        <v>198</v>
      </c>
      <c r="EH29" s="191">
        <v>9</v>
      </c>
      <c r="EI29" s="33">
        <f>ROUND(坦克等级成长!$H126*VLOOKUP($DR$2,坦克等级成长!$B$36:$G$42,MATCH(EI$3,坦克等级成长!$B$35:$G$35,0)),0)</f>
        <v>2012</v>
      </c>
      <c r="EJ29" s="33">
        <f>ROUND(坦克等级成长!$H126*VLOOKUP($DR$2,坦克等级成长!$B$36:$G$42,MATCH(EJ$3,坦克等级成长!$B$35:$G$35,0)),0)</f>
        <v>686</v>
      </c>
      <c r="EK29" s="33">
        <f>ROUND(坦克等级成长!$H126*VLOOKUP($DR$2,坦克等级成长!$B$36:$G$42,MATCH(EK$3,坦克等级成长!$B$35:$G$35,0)),0)</f>
        <v>631</v>
      </c>
      <c r="EL29" s="33">
        <f t="shared" si="26"/>
        <v>631</v>
      </c>
      <c r="EM29" s="33">
        <v>535</v>
      </c>
      <c r="EN29" s="33">
        <f>ROUND(坦克等级成长!$H126*VLOOKUP($DR$2,坦克等级成长!$B$36:$G$42,MATCH(EN$3,坦克等级成长!$B$35:$G$35,0)),0)</f>
        <v>928</v>
      </c>
      <c r="EO29" s="33">
        <f>ROUND(坦克等级成长!$H126*VLOOKUP($DR$2,坦克等级成长!$B$36:$G$42,MATCH(EO$3,坦克等级成长!$B$35:$G$35,0)),0)</f>
        <v>201</v>
      </c>
      <c r="EP29" s="191">
        <v>9</v>
      </c>
      <c r="EQ29" s="33">
        <f>ROUND(坦克等级成长!$D126*VLOOKUP($EP$2,坦克等级成长!$B$36:$G$42,MATCH(EQ$3,坦克等级成长!$B$35:$G$35,0)),0)</f>
        <v>1812</v>
      </c>
      <c r="ER29" s="33">
        <f>ROUND(坦克等级成长!$D126*VLOOKUP($EP$2,坦克等级成长!$B$36:$G$42,MATCH(ER$3,坦克等级成长!$B$35:$G$35,0)),0)</f>
        <v>208</v>
      </c>
      <c r="ES29" s="33">
        <f>ROUND(坦克等级成长!$D126*VLOOKUP($EP$2,坦克等级成长!$B$36:$G$42,MATCH(ES$3,坦克等级成长!$B$35:$G$35,0)),0)</f>
        <v>706</v>
      </c>
      <c r="ET29" s="33">
        <f t="shared" si="20"/>
        <v>706</v>
      </c>
      <c r="EU29" s="33">
        <v>561.75</v>
      </c>
      <c r="EV29" s="33">
        <f>ROUND(坦克等级成长!$D126*VLOOKUP($EP$2,坦克等级成长!$B$36:$G$42,MATCH(EV$3,坦克等级成长!$B$35:$G$35,0)),0)</f>
        <v>774</v>
      </c>
      <c r="EW29" s="33">
        <f>ROUND(坦克等级成长!$D126*VLOOKUP($EP$2,坦克等级成长!$B$36:$G$42,MATCH(EW$3,坦克等级成长!$B$35:$G$35,0)),0)</f>
        <v>181</v>
      </c>
      <c r="EX29" s="198">
        <v>9</v>
      </c>
      <c r="EY29" s="33">
        <f>ROUND(坦克等级成长!$F126*VLOOKUP($EP$2,坦克等级成长!$B$36:$G$42,MATCH(EY$3,坦克等级成长!$B$35:$G$35,0)),0)</f>
        <v>1838</v>
      </c>
      <c r="EZ29" s="33">
        <f>ROUND(坦克等级成长!$F126*VLOOKUP($EP$2,坦克等级成长!$B$36:$G$42,MATCH(EZ$3,坦克等级成长!$B$35:$G$35,0)),0)</f>
        <v>211</v>
      </c>
      <c r="FA29" s="33">
        <f>ROUND(坦克等级成长!$F126*VLOOKUP($EP$2,坦克等级成长!$B$36:$G$42,MATCH(FA$3,坦克等级成长!$B$35:$G$35,0)),0)</f>
        <v>716</v>
      </c>
      <c r="FB29" s="33">
        <f t="shared" si="13"/>
        <v>716</v>
      </c>
      <c r="FC29" s="33">
        <v>577</v>
      </c>
      <c r="FD29" s="33">
        <f>ROUND(坦克等级成长!$F126*VLOOKUP($EP$2,坦克等级成长!$B$36:$G$42,MATCH(FD$3,坦克等级成长!$B$35:$G$35,0)),0)</f>
        <v>785</v>
      </c>
      <c r="FE29" s="33">
        <f>ROUND(坦克等级成长!$F126*VLOOKUP($EP$2,坦克等级成长!$B$36:$G$42,MATCH(FE$3,坦克等级成长!$B$35:$G$35,0)),0)</f>
        <v>184</v>
      </c>
      <c r="FF29" s="191">
        <v>9</v>
      </c>
      <c r="FG29" s="33">
        <f>ROUND(坦克等级成长!$H126*VLOOKUP($EP$2,坦克等级成长!$B$36:$G$42,MATCH(FG$3,坦克等级成长!$B$35:$G$35,0)),0)</f>
        <v>1863</v>
      </c>
      <c r="FH29" s="33">
        <f>ROUND(坦克等级成长!$H126*VLOOKUP($EP$2,坦克等级成长!$B$36:$G$42,MATCH(FH$3,坦克等级成长!$B$35:$G$35,0)),0)</f>
        <v>213</v>
      </c>
      <c r="FI29" s="33">
        <f>ROUND(坦克等级成长!$H126*VLOOKUP($EP$2,坦克等级成长!$B$36:$G$42,MATCH(FI$3,坦克等级成长!$B$35:$G$35,0)),0)</f>
        <v>726</v>
      </c>
      <c r="FJ29" s="33">
        <f t="shared" si="27"/>
        <v>726</v>
      </c>
      <c r="FK29" s="33">
        <v>577</v>
      </c>
      <c r="FL29" s="33">
        <f>ROUND(坦克等级成长!$H126*VLOOKUP($EP$2,坦克等级成长!$B$36:$G$42,MATCH(FL$3,坦克等级成长!$B$35:$G$35,0)),0)</f>
        <v>796</v>
      </c>
      <c r="FM29" s="33">
        <f>ROUND(坦克等级成长!$H126*VLOOKUP($EP$2,坦克等级成长!$B$36:$G$42,MATCH(FM$3,坦克等级成长!$B$35:$G$35,0)),0)</f>
        <v>186</v>
      </c>
    </row>
    <row r="30" spans="1:169" ht="14.25" x14ac:dyDescent="0.3">
      <c r="A30" s="188">
        <v>3</v>
      </c>
      <c r="B30" s="192"/>
      <c r="C30" s="188"/>
      <c r="D30" s="188"/>
      <c r="E30" s="188"/>
      <c r="F30" s="188"/>
      <c r="G30" s="188"/>
      <c r="H30" s="188"/>
      <c r="I30" s="199"/>
      <c r="J30" s="198">
        <v>10</v>
      </c>
      <c r="K30" s="33">
        <f>ROUND(坦克等级成长!$F127*VLOOKUP($B$2,坦克等级成长!$B$36:$G$42,MATCH(K$3,坦克等级成长!$B$35:$G$35,0)),0)</f>
        <v>1816</v>
      </c>
      <c r="L30" s="33">
        <f>ROUND(坦克等级成长!$F127*VLOOKUP($B$2,坦克等级成长!$B$36:$G$42,MATCH(L$3,坦克等级成长!$B$35:$G$35,0)),0)</f>
        <v>198</v>
      </c>
      <c r="M30" s="33">
        <f>ROUND(坦克等级成长!$F127*VLOOKUP($B$2,坦克等级成长!$B$36:$G$42,MATCH(M$3,坦克等级成长!$B$35:$G$35,0)),0)</f>
        <v>681</v>
      </c>
      <c r="N30" s="33">
        <f t="shared" si="7"/>
        <v>681</v>
      </c>
      <c r="O30" s="33">
        <v>512</v>
      </c>
      <c r="P30" s="33">
        <f>ROUND(坦克等级成长!$F127*VLOOKUP($B$2,坦克等级成长!$B$36:$G$42,MATCH(P$3,坦克等级成长!$B$35:$G$35,0)),0)</f>
        <v>681</v>
      </c>
      <c r="Q30" s="33">
        <f>ROUND(坦克等级成长!$F127*VLOOKUP($B$2,坦克等级成长!$B$36:$G$42,MATCH(Q$3,坦克等级成长!$B$35:$G$35,0)),0)</f>
        <v>182</v>
      </c>
      <c r="R30" s="191">
        <v>10</v>
      </c>
      <c r="S30" s="33">
        <f>ROUND(坦克等级成长!$H127*VLOOKUP($B$2,坦克等级成长!$B$36:$G$42,MATCH(S$3,坦克等级成长!$B$35:$G$35,0)),0)</f>
        <v>1840</v>
      </c>
      <c r="T30" s="33">
        <f>ROUND(坦克等级成长!$H127*VLOOKUP($B$2,坦克等级成长!$B$36:$G$42,MATCH(T$3,坦克等级成长!$B$35:$G$35,0)),0)</f>
        <v>200</v>
      </c>
      <c r="U30" s="33">
        <f>ROUND(坦克等级成长!$H127*VLOOKUP($B$2,坦克等级成长!$B$36:$G$42,MATCH(U$3,坦克等级成长!$B$35:$G$35,0)),0)</f>
        <v>690</v>
      </c>
      <c r="V30" s="33">
        <f t="shared" si="21"/>
        <v>690</v>
      </c>
      <c r="W30" s="33">
        <v>512</v>
      </c>
      <c r="X30" s="33">
        <f>ROUND(坦克等级成长!$H127*VLOOKUP($B$2,坦克等级成长!$B$36:$G$42,MATCH(X$3,坦克等级成长!$B$35:$G$35,0)),0)</f>
        <v>690</v>
      </c>
      <c r="Y30" s="33">
        <f>ROUND(坦克等级成长!$H127*VLOOKUP($B$2,坦克等级成长!$B$36:$G$42,MATCH(Y$3,坦克等级成长!$B$35:$G$35,0)),0)</f>
        <v>184</v>
      </c>
      <c r="Z30" s="192"/>
      <c r="AA30" s="188"/>
      <c r="AB30" s="188"/>
      <c r="AC30" s="188"/>
      <c r="AD30" s="188"/>
      <c r="AE30" s="188"/>
      <c r="AF30" s="188"/>
      <c r="AG30" s="199"/>
      <c r="AH30" s="198">
        <v>10</v>
      </c>
      <c r="AI30" s="33">
        <f>ROUND(坦克等级成长!$F127*VLOOKUP($Z$2,坦克等级成长!$B$36:$G$42,MATCH(AI$3,坦克等级成长!$B$35:$G$35,0)),0)</f>
        <v>1816</v>
      </c>
      <c r="AJ30" s="33">
        <f>ROUND(坦克等级成长!$F127*VLOOKUP($Z$2,坦克等级成长!$B$36:$G$42,MATCH(AJ$3,坦克等级成长!$B$35:$G$35,0)),0)</f>
        <v>107</v>
      </c>
      <c r="AK30" s="33">
        <f>ROUND(坦克等级成长!$F127*VLOOKUP($Z$2,坦克等级成长!$B$36:$G$42,MATCH(AK$3,坦克等级成长!$B$35:$G$35,0)),0)</f>
        <v>746</v>
      </c>
      <c r="AL30" s="33">
        <f t="shared" si="8"/>
        <v>746</v>
      </c>
      <c r="AM30" s="33">
        <v>561</v>
      </c>
      <c r="AN30" s="33">
        <f>ROUND(坦克等级成长!$F127*VLOOKUP($Z$2,坦克等级成长!$B$36:$G$42,MATCH(AN$3,坦克等级成长!$B$35:$G$35,0)),0)</f>
        <v>681</v>
      </c>
      <c r="AO30" s="33">
        <f>ROUND(坦克等级成长!$F127*VLOOKUP($Z$2,坦克等级成长!$B$36:$G$42,MATCH(AO$3,坦克等级成长!$B$35:$G$35,0)),0)</f>
        <v>182</v>
      </c>
      <c r="AP30" s="191">
        <v>10</v>
      </c>
      <c r="AQ30" s="33">
        <f>ROUND(坦克等级成长!$H127*VLOOKUP($Z$2,坦克等级成长!$B$36:$G$42,MATCH(AQ$3,坦克等级成长!$B$35:$G$35,0)),0)</f>
        <v>1840</v>
      </c>
      <c r="AR30" s="33">
        <f>ROUND(坦克等级成长!$H127*VLOOKUP($Z$2,坦克等级成长!$B$36:$G$42,MATCH(AR$3,坦克等级成长!$B$35:$G$35,0)),0)</f>
        <v>108</v>
      </c>
      <c r="AS30" s="33">
        <f>ROUND(坦克等级成长!$H127*VLOOKUP($Z$2,坦克等级成长!$B$36:$G$42,MATCH(AS$3,坦克等级成长!$B$35:$G$35,0)),0)</f>
        <v>756</v>
      </c>
      <c r="AT30" s="33">
        <f t="shared" si="22"/>
        <v>756</v>
      </c>
      <c r="AU30" s="33">
        <v>561</v>
      </c>
      <c r="AV30" s="33">
        <f>ROUND(坦克等级成长!$H127*VLOOKUP($Z$2,坦克等级成长!$B$36:$G$42,MATCH(AV$3,坦克等级成长!$B$35:$G$35,0)),0)</f>
        <v>690</v>
      </c>
      <c r="AW30" s="33">
        <f>ROUND(坦克等级成长!$H127*VLOOKUP($Z$2,坦克等级成长!$B$36:$G$42,MATCH(AW$3,坦克等级成长!$B$35:$G$35,0)),0)</f>
        <v>184</v>
      </c>
      <c r="AX30" s="192"/>
      <c r="AY30" s="188"/>
      <c r="AZ30" s="188"/>
      <c r="BA30" s="188"/>
      <c r="BB30" s="188"/>
      <c r="BC30" s="188"/>
      <c r="BD30" s="188"/>
      <c r="BE30" s="199"/>
      <c r="BF30" s="198">
        <v>10</v>
      </c>
      <c r="BG30" s="33">
        <f>ROUND(坦克等级成长!$F127*VLOOKUP($AX$2,坦克等级成长!$B$36:$G$42,MATCH(BG$3,坦克等级成长!$B$35:$G$35,0)),0)</f>
        <v>1816</v>
      </c>
      <c r="BH30" s="33">
        <f>ROUND(坦克等级成长!$F127*VLOOKUP($AX$2,坦克等级成长!$B$36:$G$42,MATCH(BH$3,坦克等级成长!$B$35:$G$35,0)),0)</f>
        <v>198</v>
      </c>
      <c r="BI30" s="33">
        <f>ROUND(坦克等级成长!$F127*VLOOKUP($AX$2,坦克等级成长!$B$36:$G$42,MATCH(BI$3,坦克等级成长!$B$35:$G$35,0)),0)</f>
        <v>681</v>
      </c>
      <c r="BJ30" s="33">
        <f t="shared" si="9"/>
        <v>681</v>
      </c>
      <c r="BK30" s="33">
        <v>512</v>
      </c>
      <c r="BL30" s="33">
        <f>ROUND(坦克等级成长!$F127*VLOOKUP($AX$2,坦克等级成长!$B$36:$G$42,MATCH(BL$3,坦克等级成长!$B$35:$G$35,0)),0)</f>
        <v>681</v>
      </c>
      <c r="BM30" s="33">
        <f>ROUND(坦克等级成长!$F127*VLOOKUP($AX$2,坦克等级成长!$B$36:$G$42,MATCH(BM$3,坦克等级成长!$B$35:$G$35,0)),0)</f>
        <v>182</v>
      </c>
      <c r="BN30" s="191">
        <v>10</v>
      </c>
      <c r="BO30" s="33">
        <f>ROUND(坦克等级成长!$H127*VLOOKUP($AX$2,坦克等级成长!$B$36:$G$42,MATCH(BO$3,坦克等级成长!$B$35:$G$35,0)),0)</f>
        <v>1840</v>
      </c>
      <c r="BP30" s="33">
        <f>ROUND(坦克等级成长!$H127*VLOOKUP($AX$2,坦克等级成长!$B$36:$G$42,MATCH(BP$3,坦克等级成长!$B$35:$G$35,0)),0)</f>
        <v>200</v>
      </c>
      <c r="BQ30" s="33">
        <f>ROUND(坦克等级成长!$H127*VLOOKUP($AX$2,坦克等级成长!$B$36:$G$42,MATCH(BQ$3,坦克等级成长!$B$35:$G$35,0)),0)</f>
        <v>690</v>
      </c>
      <c r="BR30" s="33">
        <f t="shared" si="23"/>
        <v>690</v>
      </c>
      <c r="BS30" s="33">
        <v>512</v>
      </c>
      <c r="BT30" s="33">
        <f>ROUND(坦克等级成长!$H127*VLOOKUP($AX$2,坦克等级成长!$B$36:$G$42,MATCH(BT$3,坦克等级成长!$B$35:$G$35,0)),0)</f>
        <v>690</v>
      </c>
      <c r="BU30" s="33">
        <f>ROUND(坦克等级成长!$H127*VLOOKUP($AX$2,坦克等级成长!$B$36:$G$42,MATCH(BU$3,坦克等级成长!$B$35:$G$35,0)),0)</f>
        <v>184</v>
      </c>
      <c r="BV30" s="192"/>
      <c r="BW30" s="188"/>
      <c r="BX30" s="188"/>
      <c r="BY30" s="188"/>
      <c r="BZ30" s="188"/>
      <c r="CA30" s="188"/>
      <c r="CB30" s="188"/>
      <c r="CC30" s="199"/>
      <c r="CD30" s="198">
        <v>10</v>
      </c>
      <c r="CE30" s="33">
        <f>ROUND(坦克等级成长!$F127*VLOOKUP($BV$2,坦克等级成长!$B$36:$G$42,MATCH(CE$3,坦克等级成长!$B$35:$G$35,0)),0)</f>
        <v>1914</v>
      </c>
      <c r="CF30" s="33">
        <f>ROUND(坦克等级成长!$F127*VLOOKUP($BV$2,坦克等级成长!$B$36:$G$42,MATCH(CF$3,坦克等级成长!$B$35:$G$35,0)),0)</f>
        <v>180</v>
      </c>
      <c r="CG30" s="33">
        <f>ROUND(坦克等级成长!$F127*VLOOKUP($BV$2,坦克等级成长!$B$36:$G$42,MATCH(CG$3,坦克等级成长!$B$35:$G$35,0)),0)</f>
        <v>649</v>
      </c>
      <c r="CH30" s="33">
        <f t="shared" si="10"/>
        <v>649</v>
      </c>
      <c r="CI30" s="33">
        <v>523</v>
      </c>
      <c r="CJ30" s="33">
        <f>ROUND(坦克等级成长!$F127*VLOOKUP($BV$2,坦克等级成长!$B$36:$G$42,MATCH(CJ$3,坦克等级成长!$B$35:$G$35,0)),0)</f>
        <v>817</v>
      </c>
      <c r="CK30" s="33">
        <f>ROUND(坦克等级成长!$F127*VLOOKUP($BV$2,坦克等级成长!$B$36:$G$42,MATCH(CK$3,坦克等级成长!$B$35:$G$35,0)),0)</f>
        <v>191</v>
      </c>
      <c r="CL30" s="191">
        <v>10</v>
      </c>
      <c r="CM30" s="33">
        <f>ROUND(坦克等级成长!$H127*VLOOKUP($BV$2,坦克等级成长!$B$36:$G$42,MATCH(CM$3,坦克等级成长!$B$35:$G$35,0)),0)</f>
        <v>1939</v>
      </c>
      <c r="CN30" s="33">
        <f>ROUND(坦克等级成长!$H127*VLOOKUP($BV$2,坦克等级成长!$B$36:$G$42,MATCH(CN$3,坦克等级成长!$B$35:$G$35,0)),0)</f>
        <v>183</v>
      </c>
      <c r="CO30" s="33">
        <f>ROUND(坦克等级成长!$H127*VLOOKUP($BV$2,坦克等级成长!$B$36:$G$42,MATCH(CO$3,坦克等级成长!$B$35:$G$35,0)),0)</f>
        <v>657</v>
      </c>
      <c r="CP30" s="33">
        <f t="shared" si="24"/>
        <v>657</v>
      </c>
      <c r="CQ30" s="33">
        <v>523</v>
      </c>
      <c r="CR30" s="33">
        <f>ROUND(坦克等级成长!$H127*VLOOKUP($BV$2,坦克等级成长!$B$36:$G$42,MATCH(CR$3,坦克等级成长!$B$35:$G$35,0)),0)</f>
        <v>828</v>
      </c>
      <c r="CS30" s="33">
        <f>ROUND(坦克等级成长!$H127*VLOOKUP($BV$2,坦克等级成长!$B$36:$G$42,MATCH(CS$3,坦克等级成长!$B$35:$G$35,0)),0)</f>
        <v>194</v>
      </c>
      <c r="CT30" s="192"/>
      <c r="CU30" s="188"/>
      <c r="CV30" s="188"/>
      <c r="CW30" s="188"/>
      <c r="CX30" s="188"/>
      <c r="CY30" s="188"/>
      <c r="CZ30" s="188"/>
      <c r="DA30" s="199"/>
      <c r="DB30" s="198">
        <v>10</v>
      </c>
      <c r="DC30" s="33">
        <f>ROUND(坦克等级成长!$F127*VLOOKUP($CT$2,坦克等级成长!$B$36:$G$42,MATCH(DC$3,坦克等级成长!$B$35:$G$35,0)),0)</f>
        <v>1816</v>
      </c>
      <c r="DD30" s="33">
        <f>ROUND(坦克等级成长!$F127*VLOOKUP($CT$2,坦克等级成长!$B$36:$G$42,MATCH(DD$3,坦克等级成长!$B$35:$G$35,0)),0)</f>
        <v>412</v>
      </c>
      <c r="DE30" s="33">
        <f>ROUND(坦克等级成长!$F127*VLOOKUP($CT$2,坦克等级成长!$B$36:$G$42,MATCH(DE$3,坦克等级成长!$B$35:$G$35,0)),0)</f>
        <v>811</v>
      </c>
      <c r="DF30" s="33">
        <f t="shared" si="11"/>
        <v>811</v>
      </c>
      <c r="DG30" s="33">
        <v>653</v>
      </c>
      <c r="DH30" s="33">
        <f>ROUND(坦克等级成长!$F127*VLOOKUP($CT$2,坦克等级成长!$B$36:$G$42,MATCH(DH$3,坦克等级成长!$B$35:$G$35,0)),0)</f>
        <v>681</v>
      </c>
      <c r="DI30" s="33">
        <f>ROUND(坦克等级成长!$F127*VLOOKUP($CT$2,坦克等级成长!$B$36:$G$42,MATCH(DI$3,坦克等级成长!$B$35:$G$35,0)),0)</f>
        <v>182</v>
      </c>
      <c r="DJ30" s="191">
        <v>10</v>
      </c>
      <c r="DK30" s="33">
        <f>ROUND(坦克等级成长!$H127*VLOOKUP($CT$2,坦克等级成长!$B$36:$G$42,MATCH(DK$3,坦克等级成长!$B$35:$G$35,0)),0)</f>
        <v>1840</v>
      </c>
      <c r="DL30" s="33">
        <f>ROUND(坦克等级成长!$H127*VLOOKUP($CT$2,坦克等级成长!$B$36:$G$42,MATCH(DL$3,坦克等级成长!$B$35:$G$35,0)),0)</f>
        <v>418</v>
      </c>
      <c r="DM30" s="33">
        <f>ROUND(坦克等级成长!$H127*VLOOKUP($CT$2,坦克等级成长!$B$36:$G$42,MATCH(DM$3,坦克等级成长!$B$35:$G$35,0)),0)</f>
        <v>821</v>
      </c>
      <c r="DN30" s="33">
        <f t="shared" si="25"/>
        <v>821</v>
      </c>
      <c r="DO30" s="33">
        <v>653</v>
      </c>
      <c r="DP30" s="33">
        <f>ROUND(坦克等级成长!$H127*VLOOKUP($CT$2,坦克等级成长!$B$36:$G$42,MATCH(DP$3,坦克等级成长!$B$35:$G$35,0)),0)</f>
        <v>690</v>
      </c>
      <c r="DQ30" s="33">
        <f>ROUND(坦克等级成长!$H127*VLOOKUP($CT$2,坦克等级成长!$B$36:$G$42,MATCH(DQ$3,坦克等级成长!$B$35:$G$35,0)),0)</f>
        <v>184</v>
      </c>
      <c r="DR30" s="192"/>
      <c r="DS30" s="188"/>
      <c r="DT30" s="188"/>
      <c r="DU30" s="188"/>
      <c r="DV30" s="188"/>
      <c r="DW30" s="188"/>
      <c r="DX30" s="188"/>
      <c r="DY30" s="199"/>
      <c r="DZ30" s="198">
        <v>10</v>
      </c>
      <c r="EA30" s="33">
        <f>ROUND(坦克等级成长!$F127*VLOOKUP($DR$2,坦克等级成长!$B$36:$G$42,MATCH(EA$3,坦克等级成长!$B$35:$G$35,0)),0)</f>
        <v>2066</v>
      </c>
      <c r="EB30" s="33">
        <f>ROUND(坦克等级成长!$F127*VLOOKUP($DR$2,坦克等级成长!$B$36:$G$42,MATCH(EB$3,坦克等级成长!$B$35:$G$35,0)),0)</f>
        <v>705</v>
      </c>
      <c r="EC30" s="33">
        <f>ROUND(坦克等级成长!$F127*VLOOKUP($DR$2,坦克等级成长!$B$36:$G$42,MATCH(EC$3,坦克等级成长!$B$35:$G$35,0)),0)</f>
        <v>649</v>
      </c>
      <c r="ED30" s="33">
        <f t="shared" si="12"/>
        <v>649</v>
      </c>
      <c r="EE30" s="33">
        <v>558</v>
      </c>
      <c r="EF30" s="33">
        <f>ROUND(坦克等级成长!$F127*VLOOKUP($DR$2,坦克等级成长!$B$36:$G$42,MATCH(EF$3,坦克等级成长!$B$35:$G$35,0)),0)</f>
        <v>953</v>
      </c>
      <c r="EG30" s="33">
        <f>ROUND(坦克等级成长!$F127*VLOOKUP($DR$2,坦克等级成长!$B$36:$G$42,MATCH(EG$3,坦克等级成长!$B$35:$G$35,0)),0)</f>
        <v>207</v>
      </c>
      <c r="EH30" s="191">
        <v>10</v>
      </c>
      <c r="EI30" s="33">
        <f>ROUND(坦克等级成长!$H127*VLOOKUP($DR$2,坦克等级成长!$B$36:$G$42,MATCH(EI$3,坦克等级成长!$B$35:$G$35,0)),0)</f>
        <v>2093</v>
      </c>
      <c r="EJ30" s="33">
        <f>ROUND(坦克等级成长!$H127*VLOOKUP($DR$2,坦克等级成长!$B$36:$G$42,MATCH(EJ$3,坦克等级成长!$B$35:$G$35,0)),0)</f>
        <v>714</v>
      </c>
      <c r="EK30" s="33">
        <f>ROUND(坦克等级成长!$H127*VLOOKUP($DR$2,坦克等级成长!$B$36:$G$42,MATCH(EK$3,坦克等级成长!$B$35:$G$35,0)),0)</f>
        <v>657</v>
      </c>
      <c r="EL30" s="33">
        <f t="shared" si="26"/>
        <v>657</v>
      </c>
      <c r="EM30" s="33">
        <v>558</v>
      </c>
      <c r="EN30" s="33">
        <f>ROUND(坦克等级成长!$H127*VLOOKUP($DR$2,坦克等级成长!$B$36:$G$42,MATCH(EN$3,坦克等级成长!$B$35:$G$35,0)),0)</f>
        <v>966</v>
      </c>
      <c r="EO30" s="33">
        <f>ROUND(坦克等级成长!$H127*VLOOKUP($DR$2,坦克等级成长!$B$36:$G$42,MATCH(EO$3,坦克等级成长!$B$35:$G$35,0)),0)</f>
        <v>209</v>
      </c>
      <c r="EP30" s="192"/>
      <c r="EQ30" s="188"/>
      <c r="ER30" s="188"/>
      <c r="ES30" s="188"/>
      <c r="ET30" s="188"/>
      <c r="EU30" s="188"/>
      <c r="EV30" s="188"/>
      <c r="EW30" s="199"/>
      <c r="EX30" s="198">
        <v>10</v>
      </c>
      <c r="EY30" s="33">
        <f>ROUND(坦克等级成长!$F127*VLOOKUP($EP$2,坦克等级成长!$B$36:$G$42,MATCH(EY$3,坦克等级成长!$B$35:$G$35,0)),0)</f>
        <v>1914</v>
      </c>
      <c r="EZ30" s="33">
        <f>ROUND(坦克等级成长!$F127*VLOOKUP($EP$2,坦克等级成长!$B$36:$G$42,MATCH(EZ$3,坦克等级成长!$B$35:$G$35,0)),0)</f>
        <v>219</v>
      </c>
      <c r="FA30" s="33">
        <f>ROUND(坦克等级成长!$F127*VLOOKUP($EP$2,坦克等级成长!$B$36:$G$42,MATCH(FA$3,坦克等级成长!$B$35:$G$35,0)),0)</f>
        <v>746</v>
      </c>
      <c r="FB30" s="33">
        <f t="shared" si="13"/>
        <v>746</v>
      </c>
      <c r="FC30" s="33">
        <v>602</v>
      </c>
      <c r="FD30" s="33">
        <f>ROUND(坦克等级成长!$F127*VLOOKUP($EP$2,坦克等级成长!$B$36:$G$42,MATCH(FD$3,坦克等级成长!$B$35:$G$35,0)),0)</f>
        <v>817</v>
      </c>
      <c r="FE30" s="33">
        <f>ROUND(坦克等级成长!$F127*VLOOKUP($EP$2,坦克等级成长!$B$36:$G$42,MATCH(FE$3,坦克等级成长!$B$35:$G$35,0)),0)</f>
        <v>191</v>
      </c>
      <c r="FF30" s="191">
        <v>10</v>
      </c>
      <c r="FG30" s="33">
        <f>ROUND(坦克等级成长!$H127*VLOOKUP($EP$2,坦克等级成长!$B$36:$G$42,MATCH(FG$3,坦克等级成长!$B$35:$G$35,0)),0)</f>
        <v>1939</v>
      </c>
      <c r="FH30" s="33">
        <f>ROUND(坦克等级成长!$H127*VLOOKUP($EP$2,坦克等级成长!$B$36:$G$42,MATCH(FH$3,坦克等级成长!$B$35:$G$35,0)),0)</f>
        <v>222</v>
      </c>
      <c r="FI30" s="33">
        <f>ROUND(坦克等级成长!$H127*VLOOKUP($EP$2,坦克等级成长!$B$36:$G$42,MATCH(FI$3,坦克等级成长!$B$35:$G$35,0)),0)</f>
        <v>756</v>
      </c>
      <c r="FJ30" s="33">
        <f t="shared" si="27"/>
        <v>756</v>
      </c>
      <c r="FK30" s="33">
        <v>602</v>
      </c>
      <c r="FL30" s="33">
        <f>ROUND(坦克等级成长!$H127*VLOOKUP($EP$2,坦克等级成长!$B$36:$G$42,MATCH(FL$3,坦克等级成长!$B$35:$G$35,0)),0)</f>
        <v>828</v>
      </c>
      <c r="FM30" s="33">
        <f>ROUND(坦克等级成长!$H127*VLOOKUP($EP$2,坦克等级成长!$B$36:$G$42,MATCH(FM$3,坦克等级成长!$B$35:$G$35,0)),0)</f>
        <v>194</v>
      </c>
    </row>
    <row r="31" spans="1:169" ht="14.25" x14ac:dyDescent="0.3">
      <c r="A31" s="188">
        <v>3</v>
      </c>
      <c r="B31" s="192"/>
      <c r="C31" s="188"/>
      <c r="D31" s="188"/>
      <c r="E31" s="188"/>
      <c r="F31" s="188"/>
      <c r="G31" s="188"/>
      <c r="H31" s="188"/>
      <c r="I31" s="199"/>
      <c r="J31" s="198">
        <v>11</v>
      </c>
      <c r="K31" s="33">
        <f>ROUND(坦克等级成长!$F128*VLOOKUP($B$2,坦克等级成长!$B$36:$G$42,MATCH(K$3,坦克等级成长!$B$35:$G$35,0)),0)</f>
        <v>1896</v>
      </c>
      <c r="L31" s="33">
        <f>ROUND(坦克等级成长!$F128*VLOOKUP($B$2,坦克等级成长!$B$36:$G$42,MATCH(L$3,坦克等级成长!$B$35:$G$35,0)),0)</f>
        <v>206</v>
      </c>
      <c r="M31" s="33">
        <f>ROUND(坦克等级成长!$F128*VLOOKUP($B$2,坦克等级成长!$B$36:$G$42,MATCH(M$3,坦克等级成长!$B$35:$G$35,0)),0)</f>
        <v>711</v>
      </c>
      <c r="N31" s="33">
        <f t="shared" si="7"/>
        <v>711</v>
      </c>
      <c r="O31" s="33">
        <v>538</v>
      </c>
      <c r="P31" s="33">
        <f>ROUND(坦克等级成长!$F128*VLOOKUP($B$2,坦克等级成长!$B$36:$G$42,MATCH(P$3,坦克等级成长!$B$35:$G$35,0)),0)</f>
        <v>711</v>
      </c>
      <c r="Q31" s="33">
        <f>ROUND(坦克等级成长!$F128*VLOOKUP($B$2,坦克等级成长!$B$36:$G$42,MATCH(Q$3,坦克等级成长!$B$35:$G$35,0)),0)</f>
        <v>190</v>
      </c>
      <c r="R31" s="191">
        <v>11</v>
      </c>
      <c r="S31" s="33">
        <f>ROUND(坦克等级成长!$H128*VLOOKUP($B$2,坦克等级成长!$B$36:$G$42,MATCH(S$3,坦克等级成长!$B$35:$G$35,0)),0)</f>
        <v>1928</v>
      </c>
      <c r="T31" s="33">
        <f>ROUND(坦克等级成长!$H128*VLOOKUP($B$2,坦克等级成长!$B$36:$G$42,MATCH(T$3,坦克等级成长!$B$35:$G$35,0)),0)</f>
        <v>210</v>
      </c>
      <c r="U31" s="33">
        <f>ROUND(坦克等级成长!$H128*VLOOKUP($B$2,坦克等级成长!$B$36:$G$42,MATCH(U$3,坦克等级成长!$B$35:$G$35,0)),0)</f>
        <v>723</v>
      </c>
      <c r="V31" s="33">
        <f t="shared" si="21"/>
        <v>723</v>
      </c>
      <c r="W31" s="33">
        <v>538</v>
      </c>
      <c r="X31" s="33">
        <f>ROUND(坦克等级成长!$H128*VLOOKUP($B$2,坦克等级成长!$B$36:$G$42,MATCH(X$3,坦克等级成长!$B$35:$G$35,0)),0)</f>
        <v>723</v>
      </c>
      <c r="Y31" s="33">
        <f>ROUND(坦克等级成长!$H128*VLOOKUP($B$2,坦克等级成长!$B$36:$G$42,MATCH(Y$3,坦克等级成长!$B$35:$G$35,0)),0)</f>
        <v>193</v>
      </c>
      <c r="Z31" s="192"/>
      <c r="AA31" s="188"/>
      <c r="AB31" s="188"/>
      <c r="AC31" s="188"/>
      <c r="AD31" s="188"/>
      <c r="AE31" s="188"/>
      <c r="AF31" s="188"/>
      <c r="AG31" s="199"/>
      <c r="AH31" s="198">
        <v>11</v>
      </c>
      <c r="AI31" s="33">
        <f>ROUND(坦克等级成长!$F128*VLOOKUP($Z$2,坦克等级成长!$B$36:$G$42,MATCH(AI$3,坦克等级成长!$B$35:$G$35,0)),0)</f>
        <v>1896</v>
      </c>
      <c r="AJ31" s="33">
        <f>ROUND(坦克等级成长!$F128*VLOOKUP($Z$2,坦克等级成长!$B$36:$G$42,MATCH(AJ$3,坦克等级成长!$B$35:$G$35,0)),0)</f>
        <v>112</v>
      </c>
      <c r="AK31" s="33">
        <f>ROUND(坦克等级成长!$F128*VLOOKUP($Z$2,坦克等级成长!$B$36:$G$42,MATCH(AK$3,坦克等级成长!$B$35:$G$35,0)),0)</f>
        <v>779</v>
      </c>
      <c r="AL31" s="33">
        <f t="shared" si="8"/>
        <v>779</v>
      </c>
      <c r="AM31" s="33">
        <v>589</v>
      </c>
      <c r="AN31" s="33">
        <f>ROUND(坦克等级成长!$F128*VLOOKUP($Z$2,坦克等级成长!$B$36:$G$42,MATCH(AN$3,坦克等级成长!$B$35:$G$35,0)),0)</f>
        <v>711</v>
      </c>
      <c r="AO31" s="33">
        <f>ROUND(坦克等级成长!$F128*VLOOKUP($Z$2,坦克等级成长!$B$36:$G$42,MATCH(AO$3,坦克等级成长!$B$35:$G$35,0)),0)</f>
        <v>190</v>
      </c>
      <c r="AP31" s="191">
        <v>11</v>
      </c>
      <c r="AQ31" s="33">
        <f>ROUND(坦克等级成长!$H128*VLOOKUP($Z$2,坦克等级成长!$B$36:$G$42,MATCH(AQ$3,坦克等级成长!$B$35:$G$35,0)),0)</f>
        <v>1928</v>
      </c>
      <c r="AR31" s="33">
        <f>ROUND(坦克等级成长!$H128*VLOOKUP($Z$2,坦克等级成长!$B$36:$G$42,MATCH(AR$3,坦克等级成长!$B$35:$G$35,0)),0)</f>
        <v>114</v>
      </c>
      <c r="AS31" s="33">
        <f>ROUND(坦克等级成长!$H128*VLOOKUP($Z$2,坦克等级成长!$B$36:$G$42,MATCH(AS$3,坦克等级成长!$B$35:$G$35,0)),0)</f>
        <v>792</v>
      </c>
      <c r="AT31" s="33">
        <f t="shared" si="22"/>
        <v>792</v>
      </c>
      <c r="AU31" s="33">
        <v>589</v>
      </c>
      <c r="AV31" s="33">
        <f>ROUND(坦克等级成长!$H128*VLOOKUP($Z$2,坦克等级成长!$B$36:$G$42,MATCH(AV$3,坦克等级成长!$B$35:$G$35,0)),0)</f>
        <v>723</v>
      </c>
      <c r="AW31" s="33">
        <f>ROUND(坦克等级成长!$H128*VLOOKUP($Z$2,坦克等级成长!$B$36:$G$42,MATCH(AW$3,坦克等级成长!$B$35:$G$35,0)),0)</f>
        <v>193</v>
      </c>
      <c r="AX31" s="192"/>
      <c r="AY31" s="188"/>
      <c r="AZ31" s="188"/>
      <c r="BA31" s="188"/>
      <c r="BB31" s="188"/>
      <c r="BC31" s="188"/>
      <c r="BD31" s="188"/>
      <c r="BE31" s="199"/>
      <c r="BF31" s="198">
        <v>11</v>
      </c>
      <c r="BG31" s="33">
        <f>ROUND(坦克等级成长!$F128*VLOOKUP($AX$2,坦克等级成长!$B$36:$G$42,MATCH(BG$3,坦克等级成长!$B$35:$G$35,0)),0)</f>
        <v>1896</v>
      </c>
      <c r="BH31" s="33">
        <f>ROUND(坦克等级成长!$F128*VLOOKUP($AX$2,坦克等级成长!$B$36:$G$42,MATCH(BH$3,坦克等级成长!$B$35:$G$35,0)),0)</f>
        <v>206</v>
      </c>
      <c r="BI31" s="33">
        <f>ROUND(坦克等级成长!$F128*VLOOKUP($AX$2,坦克等级成长!$B$36:$G$42,MATCH(BI$3,坦克等级成长!$B$35:$G$35,0)),0)</f>
        <v>711</v>
      </c>
      <c r="BJ31" s="33">
        <f t="shared" si="9"/>
        <v>711</v>
      </c>
      <c r="BK31" s="33">
        <v>538</v>
      </c>
      <c r="BL31" s="33">
        <f>ROUND(坦克等级成长!$F128*VLOOKUP($AX$2,坦克等级成长!$B$36:$G$42,MATCH(BL$3,坦克等级成长!$B$35:$G$35,0)),0)</f>
        <v>711</v>
      </c>
      <c r="BM31" s="33">
        <f>ROUND(坦克等级成长!$F128*VLOOKUP($AX$2,坦克等级成长!$B$36:$G$42,MATCH(BM$3,坦克等级成长!$B$35:$G$35,0)),0)</f>
        <v>190</v>
      </c>
      <c r="BN31" s="191">
        <v>11</v>
      </c>
      <c r="BO31" s="33">
        <f>ROUND(坦克等级成长!$H128*VLOOKUP($AX$2,坦克等级成长!$B$36:$G$42,MATCH(BO$3,坦克等级成长!$B$35:$G$35,0)),0)</f>
        <v>1928</v>
      </c>
      <c r="BP31" s="33">
        <f>ROUND(坦克等级成长!$H128*VLOOKUP($AX$2,坦克等级成长!$B$36:$G$42,MATCH(BP$3,坦克等级成长!$B$35:$G$35,0)),0)</f>
        <v>210</v>
      </c>
      <c r="BQ31" s="33">
        <f>ROUND(坦克等级成长!$H128*VLOOKUP($AX$2,坦克等级成长!$B$36:$G$42,MATCH(BQ$3,坦克等级成长!$B$35:$G$35,0)),0)</f>
        <v>723</v>
      </c>
      <c r="BR31" s="33">
        <f t="shared" si="23"/>
        <v>723</v>
      </c>
      <c r="BS31" s="33">
        <v>538</v>
      </c>
      <c r="BT31" s="33">
        <f>ROUND(坦克等级成长!$H128*VLOOKUP($AX$2,坦克等级成长!$B$36:$G$42,MATCH(BT$3,坦克等级成长!$B$35:$G$35,0)),0)</f>
        <v>723</v>
      </c>
      <c r="BU31" s="33">
        <f>ROUND(坦克等级成长!$H128*VLOOKUP($AX$2,坦克等级成长!$B$36:$G$42,MATCH(BU$3,坦克等级成长!$B$35:$G$35,0)),0)</f>
        <v>193</v>
      </c>
      <c r="BV31" s="192"/>
      <c r="BW31" s="188"/>
      <c r="BX31" s="188"/>
      <c r="BY31" s="188"/>
      <c r="BZ31" s="188"/>
      <c r="CA31" s="188"/>
      <c r="CB31" s="188"/>
      <c r="CC31" s="199"/>
      <c r="CD31" s="198">
        <v>11</v>
      </c>
      <c r="CE31" s="33">
        <f>ROUND(坦克等级成长!$F128*VLOOKUP($BV$2,坦克等级成长!$B$36:$G$42,MATCH(CE$3,坦克等级成长!$B$35:$G$35,0)),0)</f>
        <v>1998</v>
      </c>
      <c r="CF31" s="33">
        <f>ROUND(坦克等级成长!$F128*VLOOKUP($BV$2,坦克等级成长!$B$36:$G$42,MATCH(CF$3,坦克等级成长!$B$35:$G$35,0)),0)</f>
        <v>188</v>
      </c>
      <c r="CG31" s="33">
        <f>ROUND(坦克等级成长!$F128*VLOOKUP($BV$2,坦克等级成长!$B$36:$G$42,MATCH(CG$3,坦克等级成长!$B$35:$G$35,0)),0)</f>
        <v>677</v>
      </c>
      <c r="CH31" s="33">
        <f t="shared" si="10"/>
        <v>677</v>
      </c>
      <c r="CI31" s="33">
        <v>548</v>
      </c>
      <c r="CJ31" s="33">
        <f>ROUND(坦克等级成长!$F128*VLOOKUP($BV$2,坦克等级成长!$B$36:$G$42,MATCH(CJ$3,坦克等级成长!$B$35:$G$35,0)),0)</f>
        <v>853</v>
      </c>
      <c r="CK31" s="33">
        <f>ROUND(坦克等级成长!$F128*VLOOKUP($BV$2,坦克等级成长!$B$36:$G$42,MATCH(CK$3,坦克等级成长!$B$35:$G$35,0)),0)</f>
        <v>200</v>
      </c>
      <c r="CL31" s="191">
        <v>11</v>
      </c>
      <c r="CM31" s="33">
        <f>ROUND(坦克等级成长!$H128*VLOOKUP($BV$2,坦克等级成长!$B$36:$G$42,MATCH(CM$3,坦克等级成长!$B$35:$G$35,0)),0)</f>
        <v>2032</v>
      </c>
      <c r="CN31" s="33">
        <f>ROUND(坦克等级成长!$H128*VLOOKUP($BV$2,坦克等级成长!$B$36:$G$42,MATCH(CN$3,坦克等级成长!$B$35:$G$35,0)),0)</f>
        <v>192</v>
      </c>
      <c r="CO31" s="33">
        <f>ROUND(坦克等级成长!$H128*VLOOKUP($BV$2,坦克等级成长!$B$36:$G$42,MATCH(CO$3,坦克等级成长!$B$35:$G$35,0)),0)</f>
        <v>689</v>
      </c>
      <c r="CP31" s="33">
        <f t="shared" si="24"/>
        <v>689</v>
      </c>
      <c r="CQ31" s="33">
        <v>548</v>
      </c>
      <c r="CR31" s="33">
        <f>ROUND(坦克等级成长!$H128*VLOOKUP($BV$2,坦克等级成长!$B$36:$G$42,MATCH(CR$3,坦克等级成长!$B$35:$G$35,0)),0)</f>
        <v>868</v>
      </c>
      <c r="CS31" s="33">
        <f>ROUND(坦克等级成长!$H128*VLOOKUP($BV$2,坦克等级成长!$B$36:$G$42,MATCH(CS$3,坦克等级成长!$B$35:$G$35,0)),0)</f>
        <v>203</v>
      </c>
      <c r="CT31" s="192"/>
      <c r="CU31" s="188"/>
      <c r="CV31" s="188"/>
      <c r="CW31" s="188"/>
      <c r="CX31" s="188"/>
      <c r="CY31" s="188"/>
      <c r="CZ31" s="188"/>
      <c r="DA31" s="199"/>
      <c r="DB31" s="198">
        <v>11</v>
      </c>
      <c r="DC31" s="33">
        <f>ROUND(坦克等级成长!$F128*VLOOKUP($CT$2,坦克等级成长!$B$36:$G$42,MATCH(DC$3,坦克等级成长!$B$35:$G$35,0)),0)</f>
        <v>1896</v>
      </c>
      <c r="DD31" s="33">
        <f>ROUND(坦克等级成长!$F128*VLOOKUP($CT$2,坦克等级成长!$B$36:$G$42,MATCH(DD$3,坦克等级成长!$B$35:$G$35,0)),0)</f>
        <v>431</v>
      </c>
      <c r="DE31" s="33">
        <f>ROUND(坦克等级成长!$F128*VLOOKUP($CT$2,坦克等级成长!$B$36:$G$42,MATCH(DE$3,坦克等级成长!$B$35:$G$35,0)),0)</f>
        <v>846</v>
      </c>
      <c r="DF31" s="33">
        <f t="shared" si="11"/>
        <v>846</v>
      </c>
      <c r="DG31" s="33">
        <v>686</v>
      </c>
      <c r="DH31" s="33">
        <f>ROUND(坦克等级成长!$F128*VLOOKUP($CT$2,坦克等级成长!$B$36:$G$42,MATCH(DH$3,坦克等级成长!$B$35:$G$35,0)),0)</f>
        <v>711</v>
      </c>
      <c r="DI31" s="33">
        <f>ROUND(坦克等级成长!$F128*VLOOKUP($CT$2,坦克等级成长!$B$36:$G$42,MATCH(DI$3,坦克等级成长!$B$35:$G$35,0)),0)</f>
        <v>190</v>
      </c>
      <c r="DJ31" s="191">
        <v>11</v>
      </c>
      <c r="DK31" s="33">
        <f>ROUND(坦克等级成长!$H128*VLOOKUP($CT$2,坦克等级成长!$B$36:$G$42,MATCH(DK$3,坦克等级成长!$B$35:$G$35,0)),0)</f>
        <v>1928</v>
      </c>
      <c r="DL31" s="33">
        <f>ROUND(坦克等级成长!$H128*VLOOKUP($CT$2,坦克等级成长!$B$36:$G$42,MATCH(DL$3,坦克等级成长!$B$35:$G$35,0)),0)</f>
        <v>438</v>
      </c>
      <c r="DM31" s="33">
        <f>ROUND(坦克等级成长!$H128*VLOOKUP($CT$2,坦克等级成长!$B$36:$G$42,MATCH(DM$3,坦克等级成长!$B$35:$G$35,0)),0)</f>
        <v>861</v>
      </c>
      <c r="DN31" s="33">
        <f t="shared" si="25"/>
        <v>861</v>
      </c>
      <c r="DO31" s="33">
        <v>686</v>
      </c>
      <c r="DP31" s="33">
        <f>ROUND(坦克等级成长!$H128*VLOOKUP($CT$2,坦克等级成长!$B$36:$G$42,MATCH(DP$3,坦克等级成长!$B$35:$G$35,0)),0)</f>
        <v>723</v>
      </c>
      <c r="DQ31" s="33">
        <f>ROUND(坦克等级成长!$H128*VLOOKUP($CT$2,坦克等级成长!$B$36:$G$42,MATCH(DQ$3,坦克等级成长!$B$35:$G$35,0)),0)</f>
        <v>193</v>
      </c>
      <c r="DR31" s="192"/>
      <c r="DS31" s="188"/>
      <c r="DT31" s="188"/>
      <c r="DU31" s="188"/>
      <c r="DV31" s="188"/>
      <c r="DW31" s="188"/>
      <c r="DX31" s="188"/>
      <c r="DY31" s="199"/>
      <c r="DZ31" s="198">
        <v>11</v>
      </c>
      <c r="EA31" s="33">
        <f>ROUND(坦克等级成长!$F128*VLOOKUP($DR$2,坦克等级成长!$B$36:$G$42,MATCH(EA$3,坦克等级成长!$B$35:$G$35,0)),0)</f>
        <v>2157</v>
      </c>
      <c r="EB31" s="33">
        <f>ROUND(坦克等级成长!$F128*VLOOKUP($DR$2,坦克等级成长!$B$36:$G$42,MATCH(EB$3,坦克等级成长!$B$35:$G$35,0)),0)</f>
        <v>736</v>
      </c>
      <c r="EC31" s="33">
        <f>ROUND(坦克等级成长!$F128*VLOOKUP($DR$2,坦克等级成长!$B$36:$G$42,MATCH(EC$3,坦克等级成长!$B$35:$G$35,0)),0)</f>
        <v>677</v>
      </c>
      <c r="ED31" s="33">
        <f t="shared" si="12"/>
        <v>677</v>
      </c>
      <c r="EE31" s="33">
        <v>585</v>
      </c>
      <c r="EF31" s="33">
        <f>ROUND(坦克等级成长!$F128*VLOOKUP($DR$2,坦克等级成长!$B$36:$G$42,MATCH(EF$3,坦克等级成长!$B$35:$G$35,0)),0)</f>
        <v>995</v>
      </c>
      <c r="EG31" s="33">
        <f>ROUND(坦克等级成长!$F128*VLOOKUP($DR$2,坦克等级成长!$B$36:$G$42,MATCH(EG$3,坦克等级成长!$B$35:$G$35,0)),0)</f>
        <v>216</v>
      </c>
      <c r="EH31" s="191">
        <v>11</v>
      </c>
      <c r="EI31" s="33">
        <f>ROUND(坦克等级成长!$H128*VLOOKUP($DR$2,坦克等级成长!$B$36:$G$42,MATCH(EI$3,坦克等级成长!$B$35:$G$35,0)),0)</f>
        <v>2194</v>
      </c>
      <c r="EJ31" s="33">
        <f>ROUND(坦克等级成长!$H128*VLOOKUP($DR$2,坦克等级成长!$B$36:$G$42,MATCH(EJ$3,坦克等级成长!$B$35:$G$35,0)),0)</f>
        <v>748</v>
      </c>
      <c r="EK31" s="33">
        <f>ROUND(坦克等级成长!$H128*VLOOKUP($DR$2,坦克等级成长!$B$36:$G$42,MATCH(EK$3,坦克等级成长!$B$35:$G$35,0)),0)</f>
        <v>689</v>
      </c>
      <c r="EL31" s="33">
        <f t="shared" si="26"/>
        <v>689</v>
      </c>
      <c r="EM31" s="33">
        <v>585</v>
      </c>
      <c r="EN31" s="33">
        <f>ROUND(坦克等级成长!$H128*VLOOKUP($DR$2,坦克等级成长!$B$36:$G$42,MATCH(EN$3,坦克等级成长!$B$35:$G$35,0)),0)</f>
        <v>1012</v>
      </c>
      <c r="EO31" s="33">
        <f>ROUND(坦克等级成长!$H128*VLOOKUP($DR$2,坦克等级成长!$B$36:$G$42,MATCH(EO$3,坦克等级成长!$B$35:$G$35,0)),0)</f>
        <v>219</v>
      </c>
      <c r="EP31" s="192"/>
      <c r="EQ31" s="188"/>
      <c r="ER31" s="188"/>
      <c r="ES31" s="188"/>
      <c r="ET31" s="188"/>
      <c r="EU31" s="188"/>
      <c r="EV31" s="188"/>
      <c r="EW31" s="199"/>
      <c r="EX31" s="198">
        <v>11</v>
      </c>
      <c r="EY31" s="33">
        <f>ROUND(坦克等级成长!$F128*VLOOKUP($EP$2,坦克等级成长!$B$36:$G$42,MATCH(EY$3,坦克等级成长!$B$35:$G$35,0)),0)</f>
        <v>1998</v>
      </c>
      <c r="EZ31" s="33">
        <f>ROUND(坦克等级成长!$F128*VLOOKUP($EP$2,坦克等级成长!$B$36:$G$42,MATCH(EZ$3,坦克等级成长!$B$35:$G$35,0)),0)</f>
        <v>229</v>
      </c>
      <c r="FA31" s="33">
        <f>ROUND(坦克等级成长!$F128*VLOOKUP($EP$2,坦克等级成长!$B$36:$G$42,MATCH(FA$3,坦克等级成长!$B$35:$G$35,0)),0)</f>
        <v>779</v>
      </c>
      <c r="FB31" s="33">
        <f t="shared" si="13"/>
        <v>779</v>
      </c>
      <c r="FC31" s="33">
        <v>631</v>
      </c>
      <c r="FD31" s="33">
        <f>ROUND(坦克等级成长!$F128*VLOOKUP($EP$2,坦克等级成长!$B$36:$G$42,MATCH(FD$3,坦克等级成长!$B$35:$G$35,0)),0)</f>
        <v>853</v>
      </c>
      <c r="FE31" s="33">
        <f>ROUND(坦克等级成长!$F128*VLOOKUP($EP$2,坦克等级成长!$B$36:$G$42,MATCH(FE$3,坦克等级成长!$B$35:$G$35,0)),0)</f>
        <v>200</v>
      </c>
      <c r="FF31" s="191">
        <v>11</v>
      </c>
      <c r="FG31" s="33">
        <f>ROUND(坦克等级成长!$H128*VLOOKUP($EP$2,坦克等级成长!$B$36:$G$42,MATCH(FG$3,坦克等级成长!$B$35:$G$35,0)),0)</f>
        <v>2032</v>
      </c>
      <c r="FH31" s="33">
        <f>ROUND(坦克等级成长!$H128*VLOOKUP($EP$2,坦克等级成长!$B$36:$G$42,MATCH(FH$3,坦克等级成长!$B$35:$G$35,0)),0)</f>
        <v>233</v>
      </c>
      <c r="FI31" s="33">
        <f>ROUND(坦克等级成长!$H128*VLOOKUP($EP$2,坦克等级成长!$B$36:$G$42,MATCH(FI$3,坦克等级成长!$B$35:$G$35,0)),0)</f>
        <v>792</v>
      </c>
      <c r="FJ31" s="33">
        <f t="shared" si="27"/>
        <v>792</v>
      </c>
      <c r="FK31" s="33">
        <v>631</v>
      </c>
      <c r="FL31" s="33">
        <f>ROUND(坦克等级成长!$H128*VLOOKUP($EP$2,坦克等级成长!$B$36:$G$42,MATCH(FL$3,坦克等级成长!$B$35:$G$35,0)),0)</f>
        <v>868</v>
      </c>
      <c r="FM31" s="33">
        <f>ROUND(坦克等级成长!$H128*VLOOKUP($EP$2,坦克等级成长!$B$36:$G$42,MATCH(FM$3,坦克等级成长!$B$35:$G$35,0)),0)</f>
        <v>203</v>
      </c>
    </row>
    <row r="32" spans="1:169" ht="14.25" x14ac:dyDescent="0.3">
      <c r="A32" s="188">
        <v>3</v>
      </c>
      <c r="B32" s="192"/>
      <c r="C32" s="188"/>
      <c r="D32" s="188"/>
      <c r="E32" s="188"/>
      <c r="F32" s="188"/>
      <c r="G32" s="188"/>
      <c r="H32" s="188"/>
      <c r="I32" s="199"/>
      <c r="J32" s="198">
        <v>12</v>
      </c>
      <c r="K32" s="33">
        <f>ROUND(坦克等级成长!$F129*VLOOKUP($B$2,坦克等级成长!$B$36:$G$42,MATCH(K$3,坦克等级成长!$B$35:$G$35,0)),0)</f>
        <v>1976</v>
      </c>
      <c r="L32" s="33">
        <f>ROUND(坦克等级成长!$F129*VLOOKUP($B$2,坦克等级成长!$B$36:$G$42,MATCH(L$3,坦克等级成长!$B$35:$G$35,0)),0)</f>
        <v>215</v>
      </c>
      <c r="M32" s="33">
        <f>ROUND(坦克等级成长!$F129*VLOOKUP($B$2,坦克等级成长!$B$36:$G$42,MATCH(M$3,坦克等级成长!$B$35:$G$35,0)),0)</f>
        <v>741</v>
      </c>
      <c r="N32" s="33">
        <f t="shared" si="7"/>
        <v>741</v>
      </c>
      <c r="O32" s="33">
        <v>563</v>
      </c>
      <c r="P32" s="33">
        <f>ROUND(坦克等级成长!$F129*VLOOKUP($B$2,坦克等级成长!$B$36:$G$42,MATCH(P$3,坦克等级成长!$B$35:$G$35,0)),0)</f>
        <v>741</v>
      </c>
      <c r="Q32" s="33">
        <f>ROUND(坦克等级成长!$F129*VLOOKUP($B$2,坦克等级成长!$B$36:$G$42,MATCH(Q$3,坦克等级成长!$B$35:$G$35,0)),0)</f>
        <v>198</v>
      </c>
      <c r="R32" s="191">
        <v>12</v>
      </c>
      <c r="S32" s="33">
        <f>ROUND(坦克等级成长!$H129*VLOOKUP($B$2,坦克等级成长!$B$36:$G$42,MATCH(S$3,坦克等级成长!$B$35:$G$35,0)),0)</f>
        <v>2016</v>
      </c>
      <c r="T32" s="33">
        <f>ROUND(坦克等级成长!$H129*VLOOKUP($B$2,坦克等级成长!$B$36:$G$42,MATCH(T$3,坦克等级成长!$B$35:$G$35,0)),0)</f>
        <v>219</v>
      </c>
      <c r="U32" s="33">
        <f>ROUND(坦克等级成长!$H129*VLOOKUP($B$2,坦克等级成长!$B$36:$G$42,MATCH(U$3,坦克等级成长!$B$35:$G$35,0)),0)</f>
        <v>756</v>
      </c>
      <c r="V32" s="33">
        <f t="shared" si="21"/>
        <v>756</v>
      </c>
      <c r="W32" s="33">
        <v>563</v>
      </c>
      <c r="X32" s="33">
        <f>ROUND(坦克等级成长!$H129*VLOOKUP($B$2,坦克等级成长!$B$36:$G$42,MATCH(X$3,坦克等级成长!$B$35:$G$35,0)),0)</f>
        <v>756</v>
      </c>
      <c r="Y32" s="33">
        <f>ROUND(坦克等级成长!$H129*VLOOKUP($B$2,坦克等级成长!$B$36:$G$42,MATCH(Y$3,坦克等级成长!$B$35:$G$35,0)),0)</f>
        <v>202</v>
      </c>
      <c r="Z32" s="192"/>
      <c r="AA32" s="188"/>
      <c r="AB32" s="188"/>
      <c r="AC32" s="188"/>
      <c r="AD32" s="188"/>
      <c r="AE32" s="188"/>
      <c r="AF32" s="188"/>
      <c r="AG32" s="199"/>
      <c r="AH32" s="198">
        <v>12</v>
      </c>
      <c r="AI32" s="33">
        <f>ROUND(坦克等级成长!$F129*VLOOKUP($Z$2,坦克等级成长!$B$36:$G$42,MATCH(AI$3,坦克等级成长!$B$35:$G$35,0)),0)</f>
        <v>1976</v>
      </c>
      <c r="AJ32" s="33">
        <f>ROUND(坦克等级成长!$F129*VLOOKUP($Z$2,坦克等级成长!$B$36:$G$42,MATCH(AJ$3,坦克等级成长!$B$35:$G$35,0)),0)</f>
        <v>116</v>
      </c>
      <c r="AK32" s="33">
        <f>ROUND(坦克等级成长!$F129*VLOOKUP($Z$2,坦克等级成长!$B$36:$G$42,MATCH(AK$3,坦克等级成长!$B$35:$G$35,0)),0)</f>
        <v>812</v>
      </c>
      <c r="AL32" s="33">
        <f t="shared" si="8"/>
        <v>812</v>
      </c>
      <c r="AM32" s="33">
        <v>617</v>
      </c>
      <c r="AN32" s="33">
        <f>ROUND(坦克等级成长!$F129*VLOOKUP($Z$2,坦克等级成长!$B$36:$G$42,MATCH(AN$3,坦克等级成长!$B$35:$G$35,0)),0)</f>
        <v>741</v>
      </c>
      <c r="AO32" s="33">
        <f>ROUND(坦克等级成长!$F129*VLOOKUP($Z$2,坦克等级成长!$B$36:$G$42,MATCH(AO$3,坦克等级成长!$B$35:$G$35,0)),0)</f>
        <v>198</v>
      </c>
      <c r="AP32" s="191">
        <v>12</v>
      </c>
      <c r="AQ32" s="33">
        <f>ROUND(坦克等级成长!$H129*VLOOKUP($Z$2,坦克等级成长!$B$36:$G$42,MATCH(AQ$3,坦克等级成长!$B$35:$G$35,0)),0)</f>
        <v>2016</v>
      </c>
      <c r="AR32" s="33">
        <f>ROUND(坦克等级成长!$H129*VLOOKUP($Z$2,坦克等级成长!$B$36:$G$42,MATCH(AR$3,坦克等级成长!$B$35:$G$35,0)),0)</f>
        <v>119</v>
      </c>
      <c r="AS32" s="33">
        <f>ROUND(坦克等级成长!$H129*VLOOKUP($Z$2,坦克等级成长!$B$36:$G$42,MATCH(AS$3,坦克等级成长!$B$35:$G$35,0)),0)</f>
        <v>828</v>
      </c>
      <c r="AT32" s="33">
        <f t="shared" si="22"/>
        <v>828</v>
      </c>
      <c r="AU32" s="33">
        <v>617</v>
      </c>
      <c r="AV32" s="33">
        <f>ROUND(坦克等级成长!$H129*VLOOKUP($Z$2,坦克等级成长!$B$36:$G$42,MATCH(AV$3,坦克等级成长!$B$35:$G$35,0)),0)</f>
        <v>756</v>
      </c>
      <c r="AW32" s="33">
        <f>ROUND(坦克等级成长!$H129*VLOOKUP($Z$2,坦克等级成长!$B$36:$G$42,MATCH(AW$3,坦克等级成长!$B$35:$G$35,0)),0)</f>
        <v>202</v>
      </c>
      <c r="AX32" s="192"/>
      <c r="AY32" s="188"/>
      <c r="AZ32" s="188"/>
      <c r="BA32" s="188"/>
      <c r="BB32" s="188"/>
      <c r="BC32" s="188"/>
      <c r="BD32" s="188"/>
      <c r="BE32" s="199"/>
      <c r="BF32" s="198">
        <v>12</v>
      </c>
      <c r="BG32" s="33">
        <f>ROUND(坦克等级成长!$F129*VLOOKUP($AX$2,坦克等级成长!$B$36:$G$42,MATCH(BG$3,坦克等级成长!$B$35:$G$35,0)),0)</f>
        <v>1976</v>
      </c>
      <c r="BH32" s="33">
        <f>ROUND(坦克等级成长!$F129*VLOOKUP($AX$2,坦克等级成长!$B$36:$G$42,MATCH(BH$3,坦克等级成长!$B$35:$G$35,0)),0)</f>
        <v>215</v>
      </c>
      <c r="BI32" s="33">
        <f>ROUND(坦克等级成长!$F129*VLOOKUP($AX$2,坦克等级成长!$B$36:$G$42,MATCH(BI$3,坦克等级成长!$B$35:$G$35,0)),0)</f>
        <v>741</v>
      </c>
      <c r="BJ32" s="33">
        <f t="shared" si="9"/>
        <v>741</v>
      </c>
      <c r="BK32" s="33">
        <v>563</v>
      </c>
      <c r="BL32" s="33">
        <f>ROUND(坦克等级成长!$F129*VLOOKUP($AX$2,坦克等级成长!$B$36:$G$42,MATCH(BL$3,坦克等级成长!$B$35:$G$35,0)),0)</f>
        <v>741</v>
      </c>
      <c r="BM32" s="33">
        <f>ROUND(坦克等级成长!$F129*VLOOKUP($AX$2,坦克等级成长!$B$36:$G$42,MATCH(BM$3,坦克等级成长!$B$35:$G$35,0)),0)</f>
        <v>198</v>
      </c>
      <c r="BN32" s="191">
        <v>12</v>
      </c>
      <c r="BO32" s="33">
        <f>ROUND(坦克等级成长!$H129*VLOOKUP($AX$2,坦克等级成长!$B$36:$G$42,MATCH(BO$3,坦克等级成长!$B$35:$G$35,0)),0)</f>
        <v>2016</v>
      </c>
      <c r="BP32" s="33">
        <f>ROUND(坦克等级成长!$H129*VLOOKUP($AX$2,坦克等级成长!$B$36:$G$42,MATCH(BP$3,坦克等级成长!$B$35:$G$35,0)),0)</f>
        <v>219</v>
      </c>
      <c r="BQ32" s="33">
        <f>ROUND(坦克等级成长!$H129*VLOOKUP($AX$2,坦克等级成长!$B$36:$G$42,MATCH(BQ$3,坦克等级成长!$B$35:$G$35,0)),0)</f>
        <v>756</v>
      </c>
      <c r="BR32" s="33">
        <f t="shared" si="23"/>
        <v>756</v>
      </c>
      <c r="BS32" s="33">
        <v>563</v>
      </c>
      <c r="BT32" s="33">
        <f>ROUND(坦克等级成长!$H129*VLOOKUP($AX$2,坦克等级成长!$B$36:$G$42,MATCH(BT$3,坦克等级成长!$B$35:$G$35,0)),0)</f>
        <v>756</v>
      </c>
      <c r="BU32" s="33">
        <f>ROUND(坦克等级成长!$H129*VLOOKUP($AX$2,坦克等级成长!$B$36:$G$42,MATCH(BU$3,坦克等级成长!$B$35:$G$35,0)),0)</f>
        <v>202</v>
      </c>
      <c r="BV32" s="192"/>
      <c r="BW32" s="188"/>
      <c r="BX32" s="188"/>
      <c r="BY32" s="188"/>
      <c r="BZ32" s="188"/>
      <c r="CA32" s="188"/>
      <c r="CB32" s="188"/>
      <c r="CC32" s="199"/>
      <c r="CD32" s="198">
        <v>12</v>
      </c>
      <c r="CE32" s="33">
        <f>ROUND(坦克等级成长!$F129*VLOOKUP($BV$2,坦克等级成长!$B$36:$G$42,MATCH(CE$3,坦克等级成长!$B$35:$G$35,0)),0)</f>
        <v>2082</v>
      </c>
      <c r="CF32" s="33">
        <f>ROUND(坦克等级成长!$F129*VLOOKUP($BV$2,坦克等级成长!$B$36:$G$42,MATCH(CF$3,坦克等级成长!$B$35:$G$35,0)),0)</f>
        <v>196</v>
      </c>
      <c r="CG32" s="33">
        <f>ROUND(坦克等级成长!$F129*VLOOKUP($BV$2,坦克等级成长!$B$36:$G$42,MATCH(CG$3,坦克等级成长!$B$35:$G$35,0)),0)</f>
        <v>706</v>
      </c>
      <c r="CH32" s="33">
        <f t="shared" si="10"/>
        <v>706</v>
      </c>
      <c r="CI32" s="33">
        <v>575</v>
      </c>
      <c r="CJ32" s="33">
        <f>ROUND(坦克等级成长!$F129*VLOOKUP($BV$2,坦克等级成长!$B$36:$G$42,MATCH(CJ$3,坦克等级成长!$B$35:$G$35,0)),0)</f>
        <v>889</v>
      </c>
      <c r="CK32" s="33">
        <f>ROUND(坦克等级成长!$F129*VLOOKUP($BV$2,坦克等级成长!$B$36:$G$42,MATCH(CK$3,坦克等级成长!$B$35:$G$35,0)),0)</f>
        <v>208</v>
      </c>
      <c r="CL32" s="191">
        <v>12</v>
      </c>
      <c r="CM32" s="33">
        <f>ROUND(坦克等级成长!$H129*VLOOKUP($BV$2,坦克等级成长!$B$36:$G$42,MATCH(CM$3,坦克等级成长!$B$35:$G$35,0)),0)</f>
        <v>2124</v>
      </c>
      <c r="CN32" s="33">
        <f>ROUND(坦克等级成长!$H129*VLOOKUP($BV$2,坦克等级成长!$B$36:$G$42,MATCH(CN$3,坦克等级成长!$B$35:$G$35,0)),0)</f>
        <v>200</v>
      </c>
      <c r="CO32" s="33">
        <f>ROUND(坦克等级成长!$H129*VLOOKUP($BV$2,坦克等级成长!$B$36:$G$42,MATCH(CO$3,坦克等级成长!$B$35:$G$35,0)),0)</f>
        <v>720</v>
      </c>
      <c r="CP32" s="33">
        <f t="shared" si="24"/>
        <v>720</v>
      </c>
      <c r="CQ32" s="33">
        <v>575</v>
      </c>
      <c r="CR32" s="33">
        <f>ROUND(坦克等级成长!$H129*VLOOKUP($BV$2,坦克等级成长!$B$36:$G$42,MATCH(CR$3,坦克等级成长!$B$35:$G$35,0)),0)</f>
        <v>907</v>
      </c>
      <c r="CS32" s="33">
        <f>ROUND(坦克等级成长!$H129*VLOOKUP($BV$2,坦克等级成长!$B$36:$G$42,MATCH(CS$3,坦克等级成长!$B$35:$G$35,0)),0)</f>
        <v>212</v>
      </c>
      <c r="CT32" s="192"/>
      <c r="CU32" s="188"/>
      <c r="CV32" s="188"/>
      <c r="CW32" s="188"/>
      <c r="CX32" s="188"/>
      <c r="CY32" s="188"/>
      <c r="CZ32" s="188"/>
      <c r="DA32" s="199"/>
      <c r="DB32" s="198">
        <v>12</v>
      </c>
      <c r="DC32" s="33">
        <f>ROUND(坦克等级成长!$F129*VLOOKUP($CT$2,坦克等级成长!$B$36:$G$42,MATCH(DC$3,坦克等级成长!$B$35:$G$35,0)),0)</f>
        <v>1976</v>
      </c>
      <c r="DD32" s="33">
        <f>ROUND(坦克等级成长!$F129*VLOOKUP($CT$2,坦克等级成长!$B$36:$G$42,MATCH(DD$3,坦克等级成长!$B$35:$G$35,0)),0)</f>
        <v>449</v>
      </c>
      <c r="DE32" s="33">
        <f>ROUND(坦克等级成长!$F129*VLOOKUP($CT$2,坦克等级成长!$B$36:$G$42,MATCH(DE$3,坦克等级成长!$B$35:$G$35,0)),0)</f>
        <v>882</v>
      </c>
      <c r="DF32" s="33">
        <f t="shared" si="11"/>
        <v>882</v>
      </c>
      <c r="DG32" s="33">
        <v>718</v>
      </c>
      <c r="DH32" s="33">
        <f>ROUND(坦克等级成长!$F129*VLOOKUP($CT$2,坦克等级成长!$B$36:$G$42,MATCH(DH$3,坦克等级成长!$B$35:$G$35,0)),0)</f>
        <v>741</v>
      </c>
      <c r="DI32" s="33">
        <f>ROUND(坦克等级成长!$F129*VLOOKUP($CT$2,坦克等级成长!$B$36:$G$42,MATCH(DI$3,坦克等级成长!$B$35:$G$35,0)),0)</f>
        <v>198</v>
      </c>
      <c r="DJ32" s="191">
        <v>12</v>
      </c>
      <c r="DK32" s="33">
        <f>ROUND(坦克等级成长!$H129*VLOOKUP($CT$2,坦克等级成长!$B$36:$G$42,MATCH(DK$3,坦克等级成长!$B$35:$G$35,0)),0)</f>
        <v>2016</v>
      </c>
      <c r="DL32" s="33">
        <f>ROUND(坦克等级成长!$H129*VLOOKUP($CT$2,坦克等级成长!$B$36:$G$42,MATCH(DL$3,坦克等级成长!$B$35:$G$35,0)),0)</f>
        <v>458</v>
      </c>
      <c r="DM32" s="33">
        <f>ROUND(坦克等级成长!$H129*VLOOKUP($CT$2,坦克等级成长!$B$36:$G$42,MATCH(DM$3,坦克等级成长!$B$35:$G$35,0)),0)</f>
        <v>900</v>
      </c>
      <c r="DN32" s="33">
        <f t="shared" si="25"/>
        <v>900</v>
      </c>
      <c r="DO32" s="33">
        <v>718</v>
      </c>
      <c r="DP32" s="33">
        <f>ROUND(坦克等级成长!$H129*VLOOKUP($CT$2,坦克等级成长!$B$36:$G$42,MATCH(DP$3,坦克等级成长!$B$35:$G$35,0)),0)</f>
        <v>756</v>
      </c>
      <c r="DQ32" s="33">
        <f>ROUND(坦克等级成长!$H129*VLOOKUP($CT$2,坦克等级成长!$B$36:$G$42,MATCH(DQ$3,坦克等级成长!$B$35:$G$35,0)),0)</f>
        <v>202</v>
      </c>
      <c r="DR32" s="192"/>
      <c r="DS32" s="188"/>
      <c r="DT32" s="188"/>
      <c r="DU32" s="188"/>
      <c r="DV32" s="188"/>
      <c r="DW32" s="188"/>
      <c r="DX32" s="188"/>
      <c r="DY32" s="199"/>
      <c r="DZ32" s="198">
        <v>12</v>
      </c>
      <c r="EA32" s="33">
        <f>ROUND(坦克等级成长!$F129*VLOOKUP($DR$2,坦克等级成长!$B$36:$G$42,MATCH(EA$3,坦克等级成长!$B$35:$G$35,0)),0)</f>
        <v>2248</v>
      </c>
      <c r="EB32" s="33">
        <f>ROUND(坦克等级成长!$F129*VLOOKUP($DR$2,坦克等级成长!$B$36:$G$42,MATCH(EB$3,坦克等级成长!$B$35:$G$35,0)),0)</f>
        <v>767</v>
      </c>
      <c r="EC32" s="33">
        <f>ROUND(坦克等级成长!$F129*VLOOKUP($DR$2,坦克等级成长!$B$36:$G$42,MATCH(EC$3,坦克等级成长!$B$35:$G$35,0)),0)</f>
        <v>706</v>
      </c>
      <c r="ED32" s="33">
        <f t="shared" si="12"/>
        <v>706</v>
      </c>
      <c r="EE32" s="33">
        <v>613</v>
      </c>
      <c r="EF32" s="33">
        <f>ROUND(坦克等级成长!$F129*VLOOKUP($DR$2,坦克等级成长!$B$36:$G$42,MATCH(EF$3,坦克等级成长!$B$35:$G$35,0)),0)</f>
        <v>1037</v>
      </c>
      <c r="EG32" s="33">
        <f>ROUND(坦克等级成长!$F129*VLOOKUP($DR$2,坦克等级成长!$B$36:$G$42,MATCH(EG$3,坦克等级成长!$B$35:$G$35,0)),0)</f>
        <v>225</v>
      </c>
      <c r="EH32" s="191">
        <v>12</v>
      </c>
      <c r="EI32" s="33">
        <f>ROUND(坦克等级成长!$H129*VLOOKUP($DR$2,坦克等级成长!$B$36:$G$42,MATCH(EI$3,坦克等级成长!$B$35:$G$35,0)),0)</f>
        <v>2294</v>
      </c>
      <c r="EJ32" s="33">
        <f>ROUND(坦克等级成长!$H129*VLOOKUP($DR$2,坦克等级成长!$B$36:$G$42,MATCH(EJ$3,坦克等级成长!$B$35:$G$35,0)),0)</f>
        <v>782</v>
      </c>
      <c r="EK32" s="33">
        <f>ROUND(坦克等级成长!$H129*VLOOKUP($DR$2,坦克等级成长!$B$36:$G$42,MATCH(EK$3,坦克等级成长!$B$35:$G$35,0)),0)</f>
        <v>720</v>
      </c>
      <c r="EL32" s="33">
        <f t="shared" si="26"/>
        <v>720</v>
      </c>
      <c r="EM32" s="33">
        <v>613</v>
      </c>
      <c r="EN32" s="33">
        <f>ROUND(坦克等级成长!$H129*VLOOKUP($DR$2,坦克等级成长!$B$36:$G$42,MATCH(EN$3,坦克等级成长!$B$35:$G$35,0)),0)</f>
        <v>1058</v>
      </c>
      <c r="EO32" s="33">
        <f>ROUND(坦克等级成长!$H129*VLOOKUP($DR$2,坦克等级成长!$B$36:$G$42,MATCH(EO$3,坦克等级成长!$B$35:$G$35,0)),0)</f>
        <v>229</v>
      </c>
      <c r="EP32" s="192"/>
      <c r="EQ32" s="188"/>
      <c r="ER32" s="188"/>
      <c r="ES32" s="188"/>
      <c r="ET32" s="188"/>
      <c r="EU32" s="188"/>
      <c r="EV32" s="188"/>
      <c r="EW32" s="199"/>
      <c r="EX32" s="198">
        <v>12</v>
      </c>
      <c r="EY32" s="33">
        <f>ROUND(坦克等级成长!$F129*VLOOKUP($EP$2,坦克等级成长!$B$36:$G$42,MATCH(EY$3,坦克等级成长!$B$35:$G$35,0)),0)</f>
        <v>2082</v>
      </c>
      <c r="EZ32" s="33">
        <f>ROUND(坦克等级成长!$F129*VLOOKUP($EP$2,坦克等级成长!$B$36:$G$42,MATCH(EZ$3,坦克等级成长!$B$35:$G$35,0)),0)</f>
        <v>239</v>
      </c>
      <c r="FA32" s="33">
        <f>ROUND(坦克等级成长!$F129*VLOOKUP($EP$2,坦克等级成长!$B$36:$G$42,MATCH(FA$3,坦克等级成长!$B$35:$G$35,0)),0)</f>
        <v>812</v>
      </c>
      <c r="FB32" s="33">
        <f t="shared" si="13"/>
        <v>812</v>
      </c>
      <c r="FC32" s="33">
        <v>661</v>
      </c>
      <c r="FD32" s="33">
        <f>ROUND(坦克等级成长!$F129*VLOOKUP($EP$2,坦克等级成长!$B$36:$G$42,MATCH(FD$3,坦克等级成长!$B$35:$G$35,0)),0)</f>
        <v>889</v>
      </c>
      <c r="FE32" s="33">
        <f>ROUND(坦克等级成长!$F129*VLOOKUP($EP$2,坦克等级成长!$B$36:$G$42,MATCH(FE$3,坦克等级成长!$B$35:$G$35,0)),0)</f>
        <v>208</v>
      </c>
      <c r="FF32" s="191">
        <v>12</v>
      </c>
      <c r="FG32" s="33">
        <f>ROUND(坦克等级成长!$H129*VLOOKUP($EP$2,坦克等级成长!$B$36:$G$42,MATCH(FG$3,坦克等级成长!$B$35:$G$35,0)),0)</f>
        <v>2124</v>
      </c>
      <c r="FH32" s="33">
        <f>ROUND(坦克等级成长!$H129*VLOOKUP($EP$2,坦克等级成长!$B$36:$G$42,MATCH(FH$3,坦克等级成长!$B$35:$G$35,0)),0)</f>
        <v>243</v>
      </c>
      <c r="FI32" s="33">
        <f>ROUND(坦克等级成长!$H129*VLOOKUP($EP$2,坦克等级成长!$B$36:$G$42,MATCH(FI$3,坦克等级成长!$B$35:$G$35,0)),0)</f>
        <v>828</v>
      </c>
      <c r="FJ32" s="33">
        <f t="shared" si="27"/>
        <v>828</v>
      </c>
      <c r="FK32" s="33">
        <v>661</v>
      </c>
      <c r="FL32" s="33">
        <f>ROUND(坦克等级成长!$H129*VLOOKUP($EP$2,坦克等级成长!$B$36:$G$42,MATCH(FL$3,坦克等级成长!$B$35:$G$35,0)),0)</f>
        <v>907</v>
      </c>
      <c r="FM32" s="33">
        <f>ROUND(坦克等级成长!$H129*VLOOKUP($EP$2,坦克等级成长!$B$36:$G$42,MATCH(FM$3,坦克等级成长!$B$35:$G$35,0)),0)</f>
        <v>212</v>
      </c>
    </row>
    <row r="33" spans="1:169" ht="14.25" x14ac:dyDescent="0.3">
      <c r="A33" s="188">
        <v>3</v>
      </c>
      <c r="B33" s="192"/>
      <c r="C33" s="188"/>
      <c r="D33" s="188"/>
      <c r="E33" s="188"/>
      <c r="F33" s="188"/>
      <c r="G33" s="188"/>
      <c r="H33" s="188"/>
      <c r="I33" s="199"/>
      <c r="J33" s="198">
        <v>13</v>
      </c>
      <c r="K33" s="33">
        <f>ROUND(坦克等级成长!$F130*VLOOKUP($B$2,坦克等级成长!$B$36:$G$42,MATCH(K$3,坦克等级成长!$B$35:$G$35,0)),0)</f>
        <v>2056</v>
      </c>
      <c r="L33" s="33">
        <f>ROUND(坦克等级成长!$F130*VLOOKUP($B$2,坦克等级成长!$B$36:$G$42,MATCH(L$3,坦克等级成长!$B$35:$G$35,0)),0)</f>
        <v>224</v>
      </c>
      <c r="M33" s="33">
        <f>ROUND(坦克等级成长!$F130*VLOOKUP($B$2,坦克等级成长!$B$36:$G$42,MATCH(M$3,坦克等级成长!$B$35:$G$35,0)),0)</f>
        <v>771</v>
      </c>
      <c r="N33" s="33">
        <f t="shared" si="7"/>
        <v>771</v>
      </c>
      <c r="O33" s="33">
        <v>588</v>
      </c>
      <c r="P33" s="33">
        <f>ROUND(坦克等级成长!$F130*VLOOKUP($B$2,坦克等级成长!$B$36:$G$42,MATCH(P$3,坦克等级成长!$B$35:$G$35,0)),0)</f>
        <v>771</v>
      </c>
      <c r="Q33" s="33">
        <f>ROUND(坦克等级成长!$F130*VLOOKUP($B$2,坦克等级成长!$B$36:$G$42,MATCH(Q$3,坦克等级成长!$B$35:$G$35,0)),0)</f>
        <v>206</v>
      </c>
      <c r="R33" s="191">
        <v>13</v>
      </c>
      <c r="S33" s="33">
        <f>ROUND(坦克等级成长!$H130*VLOOKUP($B$2,坦克等级成长!$B$36:$G$42,MATCH(S$3,坦克等级成长!$B$35:$G$35,0)),0)</f>
        <v>2104</v>
      </c>
      <c r="T33" s="33">
        <f>ROUND(坦克等级成长!$H130*VLOOKUP($B$2,坦克等级成长!$B$36:$G$42,MATCH(T$3,坦克等级成长!$B$35:$G$35,0)),0)</f>
        <v>229</v>
      </c>
      <c r="U33" s="33">
        <f>ROUND(坦克等级成长!$H130*VLOOKUP($B$2,坦克等级成长!$B$36:$G$42,MATCH(U$3,坦克等级成长!$B$35:$G$35,0)),0)</f>
        <v>789</v>
      </c>
      <c r="V33" s="33">
        <f t="shared" si="21"/>
        <v>789</v>
      </c>
      <c r="W33" s="33">
        <v>588</v>
      </c>
      <c r="X33" s="33">
        <f>ROUND(坦克等级成长!$H130*VLOOKUP($B$2,坦克等级成长!$B$36:$G$42,MATCH(X$3,坦克等级成长!$B$35:$G$35,0)),0)</f>
        <v>789</v>
      </c>
      <c r="Y33" s="33">
        <f>ROUND(坦克等级成长!$H130*VLOOKUP($B$2,坦克等级成长!$B$36:$G$42,MATCH(Y$3,坦克等级成长!$B$35:$G$35,0)),0)</f>
        <v>210</v>
      </c>
      <c r="Z33" s="192"/>
      <c r="AA33" s="188"/>
      <c r="AB33" s="188"/>
      <c r="AC33" s="188"/>
      <c r="AD33" s="188"/>
      <c r="AE33" s="188"/>
      <c r="AF33" s="188"/>
      <c r="AG33" s="199"/>
      <c r="AH33" s="198">
        <v>13</v>
      </c>
      <c r="AI33" s="33">
        <f>ROUND(坦克等级成长!$F130*VLOOKUP($Z$2,坦克等级成长!$B$36:$G$42,MATCH(AI$3,坦克等级成长!$B$35:$G$35,0)),0)</f>
        <v>2056</v>
      </c>
      <c r="AJ33" s="33">
        <f>ROUND(坦克等级成长!$F130*VLOOKUP($Z$2,坦克等级成长!$B$36:$G$42,MATCH(AJ$3,坦克等级成长!$B$35:$G$35,0)),0)</f>
        <v>121</v>
      </c>
      <c r="AK33" s="33">
        <f>ROUND(坦克等级成长!$F130*VLOOKUP($Z$2,坦克等级成长!$B$36:$G$42,MATCH(AK$3,坦克等级成长!$B$35:$G$35,0)),0)</f>
        <v>844</v>
      </c>
      <c r="AL33" s="33">
        <f t="shared" si="8"/>
        <v>844</v>
      </c>
      <c r="AM33" s="33">
        <v>644</v>
      </c>
      <c r="AN33" s="33">
        <f>ROUND(坦克等级成长!$F130*VLOOKUP($Z$2,坦克等级成长!$B$36:$G$42,MATCH(AN$3,坦克等级成长!$B$35:$G$35,0)),0)</f>
        <v>771</v>
      </c>
      <c r="AO33" s="33">
        <f>ROUND(坦克等级成长!$F130*VLOOKUP($Z$2,坦克等级成长!$B$36:$G$42,MATCH(AO$3,坦克等级成长!$B$35:$G$35,0)),0)</f>
        <v>206</v>
      </c>
      <c r="AP33" s="191">
        <v>13</v>
      </c>
      <c r="AQ33" s="33">
        <f>ROUND(坦克等级成长!$H130*VLOOKUP($Z$2,坦克等级成长!$B$36:$G$42,MATCH(AQ$3,坦克等级成长!$B$35:$G$35,0)),0)</f>
        <v>2104</v>
      </c>
      <c r="AR33" s="33">
        <f>ROUND(坦克等级成长!$H130*VLOOKUP($Z$2,坦克等级成长!$B$36:$G$42,MATCH(AR$3,坦克等级成长!$B$35:$G$35,0)),0)</f>
        <v>124</v>
      </c>
      <c r="AS33" s="33">
        <f>ROUND(坦克等级成长!$H130*VLOOKUP($Z$2,坦克等级成长!$B$36:$G$42,MATCH(AS$3,坦克等级成长!$B$35:$G$35,0)),0)</f>
        <v>864</v>
      </c>
      <c r="AT33" s="33">
        <f t="shared" si="22"/>
        <v>864</v>
      </c>
      <c r="AU33" s="33">
        <v>644</v>
      </c>
      <c r="AV33" s="33">
        <f>ROUND(坦克等级成长!$H130*VLOOKUP($Z$2,坦克等级成长!$B$36:$G$42,MATCH(AV$3,坦克等级成长!$B$35:$G$35,0)),0)</f>
        <v>789</v>
      </c>
      <c r="AW33" s="33">
        <f>ROUND(坦克等级成长!$H130*VLOOKUP($Z$2,坦克等级成长!$B$36:$G$42,MATCH(AW$3,坦克等级成长!$B$35:$G$35,0)),0)</f>
        <v>210</v>
      </c>
      <c r="AX33" s="192"/>
      <c r="AY33" s="188"/>
      <c r="AZ33" s="188"/>
      <c r="BA33" s="188"/>
      <c r="BB33" s="188"/>
      <c r="BC33" s="188"/>
      <c r="BD33" s="188"/>
      <c r="BE33" s="199"/>
      <c r="BF33" s="198">
        <v>13</v>
      </c>
      <c r="BG33" s="33">
        <f>ROUND(坦克等级成长!$F130*VLOOKUP($AX$2,坦克等级成长!$B$36:$G$42,MATCH(BG$3,坦克等级成长!$B$35:$G$35,0)),0)</f>
        <v>2056</v>
      </c>
      <c r="BH33" s="33">
        <f>ROUND(坦克等级成长!$F130*VLOOKUP($AX$2,坦克等级成长!$B$36:$G$42,MATCH(BH$3,坦克等级成长!$B$35:$G$35,0)),0)</f>
        <v>224</v>
      </c>
      <c r="BI33" s="33">
        <f>ROUND(坦克等级成长!$F130*VLOOKUP($AX$2,坦克等级成长!$B$36:$G$42,MATCH(BI$3,坦克等级成长!$B$35:$G$35,0)),0)</f>
        <v>771</v>
      </c>
      <c r="BJ33" s="33">
        <f t="shared" si="9"/>
        <v>771</v>
      </c>
      <c r="BK33" s="33">
        <v>588</v>
      </c>
      <c r="BL33" s="33">
        <f>ROUND(坦克等级成长!$F130*VLOOKUP($AX$2,坦克等级成长!$B$36:$G$42,MATCH(BL$3,坦克等级成长!$B$35:$G$35,0)),0)</f>
        <v>771</v>
      </c>
      <c r="BM33" s="33">
        <f>ROUND(坦克等级成长!$F130*VLOOKUP($AX$2,坦克等级成长!$B$36:$G$42,MATCH(BM$3,坦克等级成长!$B$35:$G$35,0)),0)</f>
        <v>206</v>
      </c>
      <c r="BN33" s="191">
        <v>13</v>
      </c>
      <c r="BO33" s="33">
        <f>ROUND(坦克等级成长!$H130*VLOOKUP($AX$2,坦克等级成长!$B$36:$G$42,MATCH(BO$3,坦克等级成长!$B$35:$G$35,0)),0)</f>
        <v>2104</v>
      </c>
      <c r="BP33" s="33">
        <f>ROUND(坦克等级成长!$H130*VLOOKUP($AX$2,坦克等级成长!$B$36:$G$42,MATCH(BP$3,坦克等级成长!$B$35:$G$35,0)),0)</f>
        <v>229</v>
      </c>
      <c r="BQ33" s="33">
        <f>ROUND(坦克等级成长!$H130*VLOOKUP($AX$2,坦克等级成长!$B$36:$G$42,MATCH(BQ$3,坦克等级成长!$B$35:$G$35,0)),0)</f>
        <v>789</v>
      </c>
      <c r="BR33" s="33">
        <f t="shared" si="23"/>
        <v>789</v>
      </c>
      <c r="BS33" s="33">
        <v>588</v>
      </c>
      <c r="BT33" s="33">
        <f>ROUND(坦克等级成长!$H130*VLOOKUP($AX$2,坦克等级成长!$B$36:$G$42,MATCH(BT$3,坦克等级成长!$B$35:$G$35,0)),0)</f>
        <v>789</v>
      </c>
      <c r="BU33" s="33">
        <f>ROUND(坦克等级成长!$H130*VLOOKUP($AX$2,坦克等级成长!$B$36:$G$42,MATCH(BU$3,坦克等级成长!$B$35:$G$35,0)),0)</f>
        <v>210</v>
      </c>
      <c r="BV33" s="192"/>
      <c r="BW33" s="188"/>
      <c r="BX33" s="188"/>
      <c r="BY33" s="188"/>
      <c r="BZ33" s="188"/>
      <c r="CA33" s="188"/>
      <c r="CB33" s="188"/>
      <c r="CC33" s="199"/>
      <c r="CD33" s="198">
        <v>13</v>
      </c>
      <c r="CE33" s="33">
        <f>ROUND(坦克等级成长!$F130*VLOOKUP($BV$2,坦克等级成长!$B$36:$G$42,MATCH(CE$3,坦克等级成长!$B$35:$G$35,0)),0)</f>
        <v>2166</v>
      </c>
      <c r="CF33" s="33">
        <f>ROUND(坦克等级成长!$F130*VLOOKUP($BV$2,坦克等级成长!$B$36:$G$42,MATCH(CF$3,坦克等级成长!$B$35:$G$35,0)),0)</f>
        <v>204</v>
      </c>
      <c r="CG33" s="33">
        <f>ROUND(坦克等级成长!$F130*VLOOKUP($BV$2,坦克等级成长!$B$36:$G$42,MATCH(CG$3,坦克等级成长!$B$35:$G$35,0)),0)</f>
        <v>734</v>
      </c>
      <c r="CH33" s="33">
        <f t="shared" si="10"/>
        <v>734</v>
      </c>
      <c r="CI33" s="33">
        <v>600</v>
      </c>
      <c r="CJ33" s="33">
        <f>ROUND(坦克等级成长!$F130*VLOOKUP($BV$2,坦克等级成长!$B$36:$G$42,MATCH(CJ$3,坦克等级成长!$B$35:$G$35,0)),0)</f>
        <v>925</v>
      </c>
      <c r="CK33" s="33">
        <f>ROUND(坦克等级成长!$F130*VLOOKUP($BV$2,坦克等级成长!$B$36:$G$42,MATCH(CK$3,坦克等级成长!$B$35:$G$35,0)),0)</f>
        <v>217</v>
      </c>
      <c r="CL33" s="191">
        <v>13</v>
      </c>
      <c r="CM33" s="33">
        <f>ROUND(坦克等级成长!$H130*VLOOKUP($BV$2,坦克等级成长!$B$36:$G$42,MATCH(CM$3,坦克等级成长!$B$35:$G$35,0)),0)</f>
        <v>2217</v>
      </c>
      <c r="CN33" s="33">
        <f>ROUND(坦克等级成长!$H130*VLOOKUP($BV$2,坦克等级成长!$B$36:$G$42,MATCH(CN$3,坦克等级成长!$B$35:$G$35,0)),0)</f>
        <v>209</v>
      </c>
      <c r="CO33" s="33">
        <f>ROUND(坦克等级成长!$H130*VLOOKUP($BV$2,坦克等级成长!$B$36:$G$42,MATCH(CO$3,坦克等级成长!$B$35:$G$35,0)),0)</f>
        <v>751</v>
      </c>
      <c r="CP33" s="33">
        <f t="shared" si="24"/>
        <v>751</v>
      </c>
      <c r="CQ33" s="33">
        <v>600</v>
      </c>
      <c r="CR33" s="33">
        <f>ROUND(坦克等级成长!$H130*VLOOKUP($BV$2,坦克等级成长!$B$36:$G$42,MATCH(CR$3,坦克等级成长!$B$35:$G$35,0)),0)</f>
        <v>947</v>
      </c>
      <c r="CS33" s="33">
        <f>ROUND(坦克等级成长!$H130*VLOOKUP($BV$2,坦克等级成长!$B$36:$G$42,MATCH(CS$3,坦克等级成长!$B$35:$G$35,0)),0)</f>
        <v>222</v>
      </c>
      <c r="CT33" s="192"/>
      <c r="CU33" s="188"/>
      <c r="CV33" s="188"/>
      <c r="CW33" s="188"/>
      <c r="CX33" s="188"/>
      <c r="CY33" s="188"/>
      <c r="CZ33" s="188"/>
      <c r="DA33" s="199"/>
      <c r="DB33" s="198">
        <v>13</v>
      </c>
      <c r="DC33" s="33">
        <f>ROUND(坦克等级成长!$F130*VLOOKUP($CT$2,坦克等级成长!$B$36:$G$42,MATCH(DC$3,坦克等级成长!$B$35:$G$35,0)),0)</f>
        <v>2056</v>
      </c>
      <c r="DD33" s="33">
        <f>ROUND(坦克等级成长!$F130*VLOOKUP($CT$2,坦克等级成长!$B$36:$G$42,MATCH(DD$3,坦克等级成长!$B$35:$G$35,0)),0)</f>
        <v>467</v>
      </c>
      <c r="DE33" s="33">
        <f>ROUND(坦克等级成长!$F130*VLOOKUP($CT$2,坦克等级成长!$B$36:$G$42,MATCH(DE$3,坦克等级成长!$B$35:$G$35,0)),0)</f>
        <v>918</v>
      </c>
      <c r="DF33" s="33">
        <f t="shared" si="11"/>
        <v>918</v>
      </c>
      <c r="DG33" s="33">
        <v>750</v>
      </c>
      <c r="DH33" s="33">
        <f>ROUND(坦克等级成长!$F130*VLOOKUP($CT$2,坦克等级成长!$B$36:$G$42,MATCH(DH$3,坦克等级成长!$B$35:$G$35,0)),0)</f>
        <v>771</v>
      </c>
      <c r="DI33" s="33">
        <f>ROUND(坦克等级成长!$F130*VLOOKUP($CT$2,坦克等级成长!$B$36:$G$42,MATCH(DI$3,坦克等级成长!$B$35:$G$35,0)),0)</f>
        <v>206</v>
      </c>
      <c r="DJ33" s="191">
        <v>13</v>
      </c>
      <c r="DK33" s="33">
        <f>ROUND(坦克等级成长!$H130*VLOOKUP($CT$2,坦克等级成长!$B$36:$G$42,MATCH(DK$3,坦克等级成长!$B$35:$G$35,0)),0)</f>
        <v>2104</v>
      </c>
      <c r="DL33" s="33">
        <f>ROUND(坦克等级成长!$H130*VLOOKUP($CT$2,坦克等级成长!$B$36:$G$42,MATCH(DL$3,坦克等级成长!$B$35:$G$35,0)),0)</f>
        <v>478</v>
      </c>
      <c r="DM33" s="33">
        <f>ROUND(坦克等级成长!$H130*VLOOKUP($CT$2,坦克等级成长!$B$36:$G$42,MATCH(DM$3,坦克等级成长!$B$35:$G$35,0)),0)</f>
        <v>939</v>
      </c>
      <c r="DN33" s="33">
        <f t="shared" si="25"/>
        <v>939</v>
      </c>
      <c r="DO33" s="33">
        <v>750</v>
      </c>
      <c r="DP33" s="33">
        <f>ROUND(坦克等级成长!$H130*VLOOKUP($CT$2,坦克等级成长!$B$36:$G$42,MATCH(DP$3,坦克等级成长!$B$35:$G$35,0)),0)</f>
        <v>789</v>
      </c>
      <c r="DQ33" s="33">
        <f>ROUND(坦克等级成长!$H130*VLOOKUP($CT$2,坦克等级成长!$B$36:$G$42,MATCH(DQ$3,坦克等级成长!$B$35:$G$35,0)),0)</f>
        <v>210</v>
      </c>
      <c r="DR33" s="192"/>
      <c r="DS33" s="188"/>
      <c r="DT33" s="188"/>
      <c r="DU33" s="188"/>
      <c r="DV33" s="188"/>
      <c r="DW33" s="188"/>
      <c r="DX33" s="188"/>
      <c r="DY33" s="199"/>
      <c r="DZ33" s="198">
        <v>13</v>
      </c>
      <c r="EA33" s="33">
        <f>ROUND(坦克等级成长!$F130*VLOOKUP($DR$2,坦克等级成长!$B$36:$G$42,MATCH(EA$3,坦克等级成长!$B$35:$G$35,0)),0)</f>
        <v>2339</v>
      </c>
      <c r="EB33" s="33">
        <f>ROUND(坦克等级成长!$F130*VLOOKUP($DR$2,坦克等级成长!$B$36:$G$42,MATCH(EB$3,坦克等级成长!$B$35:$G$35,0)),0)</f>
        <v>798</v>
      </c>
      <c r="EC33" s="33">
        <f>ROUND(坦克等级成长!$F130*VLOOKUP($DR$2,坦克等级成长!$B$36:$G$42,MATCH(EC$3,坦克等级成长!$B$35:$G$35,0)),0)</f>
        <v>734</v>
      </c>
      <c r="ED33" s="33">
        <f t="shared" si="12"/>
        <v>734</v>
      </c>
      <c r="EE33" s="33">
        <v>640</v>
      </c>
      <c r="EF33" s="33">
        <f>ROUND(坦克等级成长!$F130*VLOOKUP($DR$2,坦克等级成长!$B$36:$G$42,MATCH(EF$3,坦克等级成长!$B$35:$G$35,0)),0)</f>
        <v>1079</v>
      </c>
      <c r="EG33" s="33">
        <f>ROUND(坦克等级成长!$F130*VLOOKUP($DR$2,坦克等级成长!$B$36:$G$42,MATCH(EG$3,坦克等级成长!$B$35:$G$35,0)),0)</f>
        <v>234</v>
      </c>
      <c r="EH33" s="191">
        <v>13</v>
      </c>
      <c r="EI33" s="33">
        <f>ROUND(坦克等级成长!$H130*VLOOKUP($DR$2,坦克等级成长!$B$36:$G$42,MATCH(EI$3,坦克等级成长!$B$35:$G$35,0)),0)</f>
        <v>2394</v>
      </c>
      <c r="EJ33" s="33">
        <f>ROUND(坦克等级成长!$H130*VLOOKUP($DR$2,坦克等级成长!$B$36:$G$42,MATCH(EJ$3,坦克等级成长!$B$35:$G$35,0)),0)</f>
        <v>817</v>
      </c>
      <c r="EK33" s="33">
        <f>ROUND(坦克等级成长!$H130*VLOOKUP($DR$2,坦克等级成长!$B$36:$G$42,MATCH(EK$3,坦克等级成长!$B$35:$G$35,0)),0)</f>
        <v>751</v>
      </c>
      <c r="EL33" s="33">
        <f t="shared" si="26"/>
        <v>751</v>
      </c>
      <c r="EM33" s="33">
        <v>640</v>
      </c>
      <c r="EN33" s="33">
        <f>ROUND(坦克等级成长!$H130*VLOOKUP($DR$2,坦克等级成长!$B$36:$G$42,MATCH(EN$3,坦克等级成长!$B$35:$G$35,0)),0)</f>
        <v>1105</v>
      </c>
      <c r="EO33" s="33">
        <f>ROUND(坦克等级成长!$H130*VLOOKUP($DR$2,坦克等级成长!$B$36:$G$42,MATCH(EO$3,坦克等级成长!$B$35:$G$35,0)),0)</f>
        <v>239</v>
      </c>
      <c r="EP33" s="192"/>
      <c r="EQ33" s="188"/>
      <c r="ER33" s="188"/>
      <c r="ES33" s="188"/>
      <c r="ET33" s="188"/>
      <c r="EU33" s="188"/>
      <c r="EV33" s="188"/>
      <c r="EW33" s="199"/>
      <c r="EX33" s="198">
        <v>13</v>
      </c>
      <c r="EY33" s="33">
        <f>ROUND(坦克等级成长!$F130*VLOOKUP($EP$2,坦克等级成长!$B$36:$G$42,MATCH(EY$3,坦克等级成长!$B$35:$G$35,0)),0)</f>
        <v>2166</v>
      </c>
      <c r="EZ33" s="33">
        <f>ROUND(坦克等级成长!$F130*VLOOKUP($EP$2,坦克等级成长!$B$36:$G$42,MATCH(EZ$3,坦克等级成长!$B$35:$G$35,0)),0)</f>
        <v>248</v>
      </c>
      <c r="FA33" s="33">
        <f>ROUND(坦克等级成长!$F130*VLOOKUP($EP$2,坦克等级成长!$B$36:$G$42,MATCH(FA$3,坦克等级成长!$B$35:$G$35,0)),0)</f>
        <v>844</v>
      </c>
      <c r="FB33" s="33">
        <f t="shared" si="13"/>
        <v>844</v>
      </c>
      <c r="FC33" s="33">
        <v>690</v>
      </c>
      <c r="FD33" s="33">
        <f>ROUND(坦克等级成长!$F130*VLOOKUP($EP$2,坦克等级成长!$B$36:$G$42,MATCH(FD$3,坦克等级成长!$B$35:$G$35,0)),0)</f>
        <v>925</v>
      </c>
      <c r="FE33" s="33">
        <f>ROUND(坦克等级成长!$F130*VLOOKUP($EP$2,坦克等级成长!$B$36:$G$42,MATCH(FE$3,坦克等级成长!$B$35:$G$35,0)),0)</f>
        <v>217</v>
      </c>
      <c r="FF33" s="191">
        <v>13</v>
      </c>
      <c r="FG33" s="33">
        <f>ROUND(坦克等级成长!$H130*VLOOKUP($EP$2,坦克等级成长!$B$36:$G$42,MATCH(FG$3,坦克等级成长!$B$35:$G$35,0)),0)</f>
        <v>2217</v>
      </c>
      <c r="FH33" s="33">
        <f>ROUND(坦克等级成长!$H130*VLOOKUP($EP$2,坦克等级成长!$B$36:$G$42,MATCH(FH$3,坦克等级成长!$B$35:$G$35,0)),0)</f>
        <v>254</v>
      </c>
      <c r="FI33" s="33">
        <f>ROUND(坦克等级成长!$H130*VLOOKUP($EP$2,坦克等级成长!$B$36:$G$42,MATCH(FI$3,坦克等级成长!$B$35:$G$35,0)),0)</f>
        <v>864</v>
      </c>
      <c r="FJ33" s="33">
        <f t="shared" si="27"/>
        <v>864</v>
      </c>
      <c r="FK33" s="33">
        <v>690</v>
      </c>
      <c r="FL33" s="33">
        <f>ROUND(坦克等级成长!$H130*VLOOKUP($EP$2,坦克等级成长!$B$36:$G$42,MATCH(FL$3,坦克等级成长!$B$35:$G$35,0)),0)</f>
        <v>947</v>
      </c>
      <c r="FM33" s="33">
        <f>ROUND(坦克等级成长!$H130*VLOOKUP($EP$2,坦克等级成长!$B$36:$G$42,MATCH(FM$3,坦克等级成长!$B$35:$G$35,0)),0)</f>
        <v>222</v>
      </c>
    </row>
    <row r="34" spans="1:169" ht="14.25" x14ac:dyDescent="0.3">
      <c r="A34" s="188">
        <v>3</v>
      </c>
      <c r="B34" s="192"/>
      <c r="C34" s="188"/>
      <c r="D34" s="188"/>
      <c r="E34" s="188"/>
      <c r="F34" s="188"/>
      <c r="G34" s="188"/>
      <c r="H34" s="188"/>
      <c r="I34" s="199"/>
      <c r="J34" s="198">
        <v>14</v>
      </c>
      <c r="K34" s="33">
        <f>ROUND(坦克等级成长!$F131*VLOOKUP($B$2,坦克等级成长!$B$36:$G$42,MATCH(K$3,坦克等级成长!$B$35:$G$35,0)),0)</f>
        <v>2136</v>
      </c>
      <c r="L34" s="33">
        <f>ROUND(坦克等级成长!$F131*VLOOKUP($B$2,坦克等级成长!$B$36:$G$42,MATCH(L$3,坦克等级成长!$B$35:$G$35,0)),0)</f>
        <v>232</v>
      </c>
      <c r="M34" s="33">
        <f>ROUND(坦克等级成长!$F131*VLOOKUP($B$2,坦克等级成长!$B$36:$G$42,MATCH(M$3,坦克等级成长!$B$35:$G$35,0)),0)</f>
        <v>801</v>
      </c>
      <c r="N34" s="33">
        <f t="shared" si="7"/>
        <v>801</v>
      </c>
      <c r="O34" s="33">
        <v>613</v>
      </c>
      <c r="P34" s="33">
        <f>ROUND(坦克等级成长!$F131*VLOOKUP($B$2,坦克等级成长!$B$36:$G$42,MATCH(P$3,坦克等级成长!$B$35:$G$35,0)),0)</f>
        <v>801</v>
      </c>
      <c r="Q34" s="33">
        <f>ROUND(坦克等级成长!$F131*VLOOKUP($B$2,坦克等级成长!$B$36:$G$42,MATCH(Q$3,坦克等级成长!$B$35:$G$35,0)),0)</f>
        <v>214</v>
      </c>
      <c r="R34" s="191">
        <v>14</v>
      </c>
      <c r="S34" s="33">
        <f>ROUND(坦克等级成长!$H131*VLOOKUP($B$2,坦克等级成长!$B$36:$G$42,MATCH(S$3,坦克等级成长!$B$35:$G$35,0)),0)</f>
        <v>2192</v>
      </c>
      <c r="T34" s="33">
        <f>ROUND(坦克等级成长!$H131*VLOOKUP($B$2,坦克等级成长!$B$36:$G$42,MATCH(T$3,坦克等级成长!$B$35:$G$35,0)),0)</f>
        <v>238</v>
      </c>
      <c r="U34" s="33">
        <f>ROUND(坦克等级成长!$H131*VLOOKUP($B$2,坦克等级成长!$B$36:$G$42,MATCH(U$3,坦克等级成长!$B$35:$G$35,0)),0)</f>
        <v>822</v>
      </c>
      <c r="V34" s="33">
        <f t="shared" si="21"/>
        <v>822</v>
      </c>
      <c r="W34" s="33">
        <v>613</v>
      </c>
      <c r="X34" s="33">
        <f>ROUND(坦克等级成长!$H131*VLOOKUP($B$2,坦克等级成长!$B$36:$G$42,MATCH(X$3,坦克等级成长!$B$35:$G$35,0)),0)</f>
        <v>822</v>
      </c>
      <c r="Y34" s="33">
        <f>ROUND(坦克等级成长!$H131*VLOOKUP($B$2,坦克等级成长!$B$36:$G$42,MATCH(Y$3,坦克等级成长!$B$35:$G$35,0)),0)</f>
        <v>219</v>
      </c>
      <c r="Z34" s="192"/>
      <c r="AA34" s="188"/>
      <c r="AB34" s="188"/>
      <c r="AC34" s="188"/>
      <c r="AD34" s="188"/>
      <c r="AE34" s="188"/>
      <c r="AF34" s="188"/>
      <c r="AG34" s="199"/>
      <c r="AH34" s="198">
        <v>14</v>
      </c>
      <c r="AI34" s="33">
        <f>ROUND(坦克等级成长!$F131*VLOOKUP($Z$2,坦克等级成长!$B$36:$G$42,MATCH(AI$3,坦克等级成长!$B$35:$G$35,0)),0)</f>
        <v>2136</v>
      </c>
      <c r="AJ34" s="33">
        <f>ROUND(坦克等级成长!$F131*VLOOKUP($Z$2,坦克等级成长!$B$36:$G$42,MATCH(AJ$3,坦克等级成长!$B$35:$G$35,0)),0)</f>
        <v>126</v>
      </c>
      <c r="AK34" s="33">
        <f>ROUND(坦克等级成长!$F131*VLOOKUP($Z$2,坦克等级成长!$B$36:$G$42,MATCH(AK$3,坦克等级成长!$B$35:$G$35,0)),0)</f>
        <v>877</v>
      </c>
      <c r="AL34" s="33">
        <f t="shared" si="8"/>
        <v>877</v>
      </c>
      <c r="AM34" s="33">
        <v>671</v>
      </c>
      <c r="AN34" s="33">
        <f>ROUND(坦克等级成长!$F131*VLOOKUP($Z$2,坦克等级成长!$B$36:$G$42,MATCH(AN$3,坦克等级成长!$B$35:$G$35,0)),0)</f>
        <v>801</v>
      </c>
      <c r="AO34" s="33">
        <f>ROUND(坦克等级成长!$F131*VLOOKUP($Z$2,坦克等级成长!$B$36:$G$42,MATCH(AO$3,坦克等级成长!$B$35:$G$35,0)),0)</f>
        <v>214</v>
      </c>
      <c r="AP34" s="191">
        <v>14</v>
      </c>
      <c r="AQ34" s="33">
        <f>ROUND(坦克等级成长!$H131*VLOOKUP($Z$2,坦克等级成长!$B$36:$G$42,MATCH(AQ$3,坦克等级成长!$B$35:$G$35,0)),0)</f>
        <v>2192</v>
      </c>
      <c r="AR34" s="33">
        <f>ROUND(坦克等级成长!$H131*VLOOKUP($Z$2,坦克等级成长!$B$36:$G$42,MATCH(AR$3,坦克等级成长!$B$35:$G$35,0)),0)</f>
        <v>129</v>
      </c>
      <c r="AS34" s="33">
        <f>ROUND(坦克等级成长!$H131*VLOOKUP($Z$2,坦克等级成长!$B$36:$G$42,MATCH(AS$3,坦克等级成长!$B$35:$G$35,0)),0)</f>
        <v>900</v>
      </c>
      <c r="AT34" s="33">
        <f t="shared" si="22"/>
        <v>900</v>
      </c>
      <c r="AU34" s="33">
        <v>671</v>
      </c>
      <c r="AV34" s="33">
        <f>ROUND(坦克等级成长!$H131*VLOOKUP($Z$2,坦克等级成长!$B$36:$G$42,MATCH(AV$3,坦克等级成长!$B$35:$G$35,0)),0)</f>
        <v>822</v>
      </c>
      <c r="AW34" s="33">
        <f>ROUND(坦克等级成长!$H131*VLOOKUP($Z$2,坦克等级成长!$B$36:$G$42,MATCH(AW$3,坦克等级成长!$B$35:$G$35,0)),0)</f>
        <v>219</v>
      </c>
      <c r="AX34" s="192"/>
      <c r="AY34" s="188"/>
      <c r="AZ34" s="188"/>
      <c r="BA34" s="188"/>
      <c r="BB34" s="188"/>
      <c r="BC34" s="188"/>
      <c r="BD34" s="188"/>
      <c r="BE34" s="199"/>
      <c r="BF34" s="198">
        <v>14</v>
      </c>
      <c r="BG34" s="33">
        <f>ROUND(坦克等级成长!$F131*VLOOKUP($AX$2,坦克等级成长!$B$36:$G$42,MATCH(BG$3,坦克等级成长!$B$35:$G$35,0)),0)</f>
        <v>2136</v>
      </c>
      <c r="BH34" s="33">
        <f>ROUND(坦克等级成长!$F131*VLOOKUP($AX$2,坦克等级成长!$B$36:$G$42,MATCH(BH$3,坦克等级成长!$B$35:$G$35,0)),0)</f>
        <v>232</v>
      </c>
      <c r="BI34" s="33">
        <f>ROUND(坦克等级成长!$F131*VLOOKUP($AX$2,坦克等级成长!$B$36:$G$42,MATCH(BI$3,坦克等级成长!$B$35:$G$35,0)),0)</f>
        <v>801</v>
      </c>
      <c r="BJ34" s="33">
        <f t="shared" si="9"/>
        <v>801</v>
      </c>
      <c r="BK34" s="33">
        <v>613</v>
      </c>
      <c r="BL34" s="33">
        <f>ROUND(坦克等级成长!$F131*VLOOKUP($AX$2,坦克等级成长!$B$36:$G$42,MATCH(BL$3,坦克等级成长!$B$35:$G$35,0)),0)</f>
        <v>801</v>
      </c>
      <c r="BM34" s="33">
        <f>ROUND(坦克等级成长!$F131*VLOOKUP($AX$2,坦克等级成长!$B$36:$G$42,MATCH(BM$3,坦克等级成长!$B$35:$G$35,0)),0)</f>
        <v>214</v>
      </c>
      <c r="BN34" s="191">
        <v>14</v>
      </c>
      <c r="BO34" s="33">
        <f>ROUND(坦克等级成长!$H131*VLOOKUP($AX$2,坦克等级成长!$B$36:$G$42,MATCH(BO$3,坦克等级成长!$B$35:$G$35,0)),0)</f>
        <v>2192</v>
      </c>
      <c r="BP34" s="33">
        <f>ROUND(坦克等级成长!$H131*VLOOKUP($AX$2,坦克等级成长!$B$36:$G$42,MATCH(BP$3,坦克等级成长!$B$35:$G$35,0)),0)</f>
        <v>238</v>
      </c>
      <c r="BQ34" s="33">
        <f>ROUND(坦克等级成长!$H131*VLOOKUP($AX$2,坦克等级成长!$B$36:$G$42,MATCH(BQ$3,坦克等级成长!$B$35:$G$35,0)),0)</f>
        <v>822</v>
      </c>
      <c r="BR34" s="33">
        <f t="shared" si="23"/>
        <v>822</v>
      </c>
      <c r="BS34" s="33">
        <v>613</v>
      </c>
      <c r="BT34" s="33">
        <f>ROUND(坦克等级成长!$H131*VLOOKUP($AX$2,坦克等级成长!$B$36:$G$42,MATCH(BT$3,坦克等级成长!$B$35:$G$35,0)),0)</f>
        <v>822</v>
      </c>
      <c r="BU34" s="33">
        <f>ROUND(坦克等级成长!$H131*VLOOKUP($AX$2,坦克等级成长!$B$36:$G$42,MATCH(BU$3,坦克等级成长!$B$35:$G$35,0)),0)</f>
        <v>219</v>
      </c>
      <c r="BV34" s="192"/>
      <c r="BW34" s="188"/>
      <c r="BX34" s="188"/>
      <c r="BY34" s="188"/>
      <c r="BZ34" s="188"/>
      <c r="CA34" s="188"/>
      <c r="CB34" s="188"/>
      <c r="CC34" s="199"/>
      <c r="CD34" s="198">
        <v>14</v>
      </c>
      <c r="CE34" s="33">
        <f>ROUND(坦克等级成长!$F131*VLOOKUP($BV$2,坦克等级成长!$B$36:$G$42,MATCH(CE$3,坦克等级成长!$B$35:$G$35,0)),0)</f>
        <v>2251</v>
      </c>
      <c r="CF34" s="33">
        <f>ROUND(坦克等级成长!$F131*VLOOKUP($BV$2,坦克等级成长!$B$36:$G$42,MATCH(CF$3,坦克等级成长!$B$35:$G$35,0)),0)</f>
        <v>212</v>
      </c>
      <c r="CG34" s="33">
        <f>ROUND(坦克等级成长!$F131*VLOOKUP($BV$2,坦克等级成长!$B$36:$G$42,MATCH(CG$3,坦克等级成长!$B$35:$G$35,0)),0)</f>
        <v>763</v>
      </c>
      <c r="CH34" s="33">
        <f t="shared" si="10"/>
        <v>763</v>
      </c>
      <c r="CI34" s="33">
        <v>626</v>
      </c>
      <c r="CJ34" s="33">
        <f>ROUND(坦克等级成长!$F131*VLOOKUP($BV$2,坦克等级成长!$B$36:$G$42,MATCH(CJ$3,坦克等级成长!$B$35:$G$35,0)),0)</f>
        <v>961</v>
      </c>
      <c r="CK34" s="33">
        <f>ROUND(坦克等级成长!$F131*VLOOKUP($BV$2,坦克等级成长!$B$36:$G$42,MATCH(CK$3,坦克等级成长!$B$35:$G$35,0)),0)</f>
        <v>225</v>
      </c>
      <c r="CL34" s="191">
        <v>14</v>
      </c>
      <c r="CM34" s="33">
        <f>ROUND(坦克等级成长!$H131*VLOOKUP($BV$2,坦克等级成长!$B$36:$G$42,MATCH(CM$3,坦克等级成长!$B$35:$G$35,0)),0)</f>
        <v>2310</v>
      </c>
      <c r="CN34" s="33">
        <f>ROUND(坦克等级成长!$H131*VLOOKUP($BV$2,坦克等级成长!$B$36:$G$42,MATCH(CN$3,坦克等级成长!$B$35:$G$35,0)),0)</f>
        <v>218</v>
      </c>
      <c r="CO34" s="33">
        <f>ROUND(坦克等级成长!$H131*VLOOKUP($BV$2,坦克等级成长!$B$36:$G$42,MATCH(CO$3,坦克等级成长!$B$35:$G$35,0)),0)</f>
        <v>783</v>
      </c>
      <c r="CP34" s="33">
        <f t="shared" si="24"/>
        <v>783</v>
      </c>
      <c r="CQ34" s="33">
        <v>626</v>
      </c>
      <c r="CR34" s="33">
        <f>ROUND(坦克等级成长!$H131*VLOOKUP($BV$2,坦克等级成长!$B$36:$G$42,MATCH(CR$3,坦克等级成长!$B$35:$G$35,0)),0)</f>
        <v>986</v>
      </c>
      <c r="CS34" s="33">
        <f>ROUND(坦克等级成长!$H131*VLOOKUP($BV$2,坦克等级成长!$B$36:$G$42,MATCH(CS$3,坦克等级成长!$B$35:$G$35,0)),0)</f>
        <v>231</v>
      </c>
      <c r="CT34" s="192"/>
      <c r="CU34" s="188"/>
      <c r="CV34" s="188"/>
      <c r="CW34" s="188"/>
      <c r="CX34" s="188"/>
      <c r="CY34" s="188"/>
      <c r="CZ34" s="188"/>
      <c r="DA34" s="199"/>
      <c r="DB34" s="198">
        <v>14</v>
      </c>
      <c r="DC34" s="33">
        <f>ROUND(坦克等级成长!$F131*VLOOKUP($CT$2,坦克等级成长!$B$36:$G$42,MATCH(DC$3,坦克等级成长!$B$35:$G$35,0)),0)</f>
        <v>2136</v>
      </c>
      <c r="DD34" s="33">
        <f>ROUND(坦克等级成长!$F131*VLOOKUP($CT$2,坦克等级成长!$B$36:$G$42,MATCH(DD$3,坦克等级成长!$B$35:$G$35,0)),0)</f>
        <v>485</v>
      </c>
      <c r="DE34" s="33">
        <f>ROUND(坦克等级成长!$F131*VLOOKUP($CT$2,坦克等级成长!$B$36:$G$42,MATCH(DE$3,坦克等级成长!$B$35:$G$35,0)),0)</f>
        <v>954</v>
      </c>
      <c r="DF34" s="33">
        <f t="shared" si="11"/>
        <v>954</v>
      </c>
      <c r="DG34" s="33">
        <v>782</v>
      </c>
      <c r="DH34" s="33">
        <f>ROUND(坦克等级成长!$F131*VLOOKUP($CT$2,坦克等级成长!$B$36:$G$42,MATCH(DH$3,坦克等级成长!$B$35:$G$35,0)),0)</f>
        <v>801</v>
      </c>
      <c r="DI34" s="33">
        <f>ROUND(坦克等级成长!$F131*VLOOKUP($CT$2,坦克等级成长!$B$36:$G$42,MATCH(DI$3,坦克等级成长!$B$35:$G$35,0)),0)</f>
        <v>214</v>
      </c>
      <c r="DJ34" s="191">
        <v>14</v>
      </c>
      <c r="DK34" s="33">
        <f>ROUND(坦克等级成长!$H131*VLOOKUP($CT$2,坦克等级成长!$B$36:$G$42,MATCH(DK$3,坦克等级成长!$B$35:$G$35,0)),0)</f>
        <v>2192</v>
      </c>
      <c r="DL34" s="33">
        <f>ROUND(坦克等级成长!$H131*VLOOKUP($CT$2,坦克等级成长!$B$36:$G$42,MATCH(DL$3,坦克等级成长!$B$35:$G$35,0)),0)</f>
        <v>498</v>
      </c>
      <c r="DM34" s="33">
        <f>ROUND(坦克等级成长!$H131*VLOOKUP($CT$2,坦克等级成长!$B$36:$G$42,MATCH(DM$3,坦克等级成长!$B$35:$G$35,0)),0)</f>
        <v>979</v>
      </c>
      <c r="DN34" s="33">
        <f t="shared" si="25"/>
        <v>979</v>
      </c>
      <c r="DO34" s="33">
        <v>782</v>
      </c>
      <c r="DP34" s="33">
        <f>ROUND(坦克等级成长!$H131*VLOOKUP($CT$2,坦克等级成长!$B$36:$G$42,MATCH(DP$3,坦克等级成长!$B$35:$G$35,0)),0)</f>
        <v>822</v>
      </c>
      <c r="DQ34" s="33">
        <f>ROUND(坦克等级成长!$H131*VLOOKUP($CT$2,坦克等级成长!$B$36:$G$42,MATCH(DQ$3,坦克等级成长!$B$35:$G$35,0)),0)</f>
        <v>219</v>
      </c>
      <c r="DR34" s="192"/>
      <c r="DS34" s="188"/>
      <c r="DT34" s="188"/>
      <c r="DU34" s="188"/>
      <c r="DV34" s="188"/>
      <c r="DW34" s="188"/>
      <c r="DX34" s="188"/>
      <c r="DY34" s="199"/>
      <c r="DZ34" s="198">
        <v>14</v>
      </c>
      <c r="EA34" s="33">
        <f>ROUND(坦克等级成长!$F131*VLOOKUP($DR$2,坦克等级成长!$B$36:$G$42,MATCH(EA$3,坦克等级成长!$B$35:$G$35,0)),0)</f>
        <v>2430</v>
      </c>
      <c r="EB34" s="33">
        <f>ROUND(坦克等级成长!$F131*VLOOKUP($DR$2,坦克等级成长!$B$36:$G$42,MATCH(EB$3,坦克等级成长!$B$35:$G$35,0)),0)</f>
        <v>829</v>
      </c>
      <c r="EC34" s="33">
        <f>ROUND(坦克等级成长!$F131*VLOOKUP($DR$2,坦克等级成长!$B$36:$G$42,MATCH(EC$3,坦克等级成长!$B$35:$G$35,0)),0)</f>
        <v>763</v>
      </c>
      <c r="ED34" s="33">
        <f t="shared" si="12"/>
        <v>763</v>
      </c>
      <c r="EE34" s="33">
        <v>667</v>
      </c>
      <c r="EF34" s="33">
        <f>ROUND(坦克等级成长!$F131*VLOOKUP($DR$2,坦克等级成长!$B$36:$G$42,MATCH(EF$3,坦克等级成长!$B$35:$G$35,0)),0)</f>
        <v>1121</v>
      </c>
      <c r="EG34" s="33">
        <f>ROUND(坦克等级成长!$F131*VLOOKUP($DR$2,坦克等级成长!$B$36:$G$42,MATCH(EG$3,坦克等级成长!$B$35:$G$35,0)),0)</f>
        <v>243</v>
      </c>
      <c r="EH34" s="191">
        <v>14</v>
      </c>
      <c r="EI34" s="33">
        <f>ROUND(坦克等级成长!$H131*VLOOKUP($DR$2,坦克等级成长!$B$36:$G$42,MATCH(EI$3,坦克等级成长!$B$35:$G$35,0)),0)</f>
        <v>2494</v>
      </c>
      <c r="EJ34" s="33">
        <f>ROUND(坦克等级成长!$H131*VLOOKUP($DR$2,坦克等级成长!$B$36:$G$42,MATCH(EJ$3,坦克等级成长!$B$35:$G$35,0)),0)</f>
        <v>851</v>
      </c>
      <c r="EK34" s="33">
        <f>ROUND(坦克等级成长!$H131*VLOOKUP($DR$2,坦克等级成长!$B$36:$G$42,MATCH(EK$3,坦克等级成长!$B$35:$G$35,0)),0)</f>
        <v>783</v>
      </c>
      <c r="EL34" s="33">
        <f t="shared" si="26"/>
        <v>783</v>
      </c>
      <c r="EM34" s="33">
        <v>667</v>
      </c>
      <c r="EN34" s="33">
        <f>ROUND(坦克等级成长!$H131*VLOOKUP($DR$2,坦克等级成长!$B$36:$G$42,MATCH(EN$3,坦克等级成长!$B$35:$G$35,0)),0)</f>
        <v>1151</v>
      </c>
      <c r="EO34" s="33">
        <f>ROUND(坦克等级成长!$H131*VLOOKUP($DR$2,坦克等级成长!$B$36:$G$42,MATCH(EO$3,坦克等级成长!$B$35:$G$35,0)),0)</f>
        <v>249</v>
      </c>
      <c r="EP34" s="192"/>
      <c r="EQ34" s="188"/>
      <c r="ER34" s="188"/>
      <c r="ES34" s="188"/>
      <c r="ET34" s="188"/>
      <c r="EU34" s="188"/>
      <c r="EV34" s="188"/>
      <c r="EW34" s="199"/>
      <c r="EX34" s="198">
        <v>14</v>
      </c>
      <c r="EY34" s="33">
        <f>ROUND(坦克等级成长!$F131*VLOOKUP($EP$2,坦克等级成长!$B$36:$G$42,MATCH(EY$3,坦克等级成长!$B$35:$G$35,0)),0)</f>
        <v>2251</v>
      </c>
      <c r="EZ34" s="33">
        <f>ROUND(坦克等级成长!$F131*VLOOKUP($EP$2,坦克等级成长!$B$36:$G$42,MATCH(EZ$3,坦克等级成长!$B$35:$G$35,0)),0)</f>
        <v>258</v>
      </c>
      <c r="FA34" s="33">
        <f>ROUND(坦克等级成长!$F131*VLOOKUP($EP$2,坦克等级成长!$B$36:$G$42,MATCH(FA$3,坦克等级成长!$B$35:$G$35,0)),0)</f>
        <v>877</v>
      </c>
      <c r="FB34" s="33">
        <f t="shared" si="13"/>
        <v>877</v>
      </c>
      <c r="FC34" s="33">
        <v>719</v>
      </c>
      <c r="FD34" s="33">
        <f>ROUND(坦克等级成长!$F131*VLOOKUP($EP$2,坦克等级成长!$B$36:$G$42,MATCH(FD$3,坦克等级成长!$B$35:$G$35,0)),0)</f>
        <v>961</v>
      </c>
      <c r="FE34" s="33">
        <f>ROUND(坦克等级成长!$F131*VLOOKUP($EP$2,坦克等级成长!$B$36:$G$42,MATCH(FE$3,坦克等级成长!$B$35:$G$35,0)),0)</f>
        <v>225</v>
      </c>
      <c r="FF34" s="191">
        <v>14</v>
      </c>
      <c r="FG34" s="33">
        <f>ROUND(坦克等级成长!$H131*VLOOKUP($EP$2,坦克等级成长!$B$36:$G$42,MATCH(FG$3,坦克等级成长!$B$35:$G$35,0)),0)</f>
        <v>2310</v>
      </c>
      <c r="FH34" s="33">
        <f>ROUND(坦克等级成长!$H131*VLOOKUP($EP$2,坦克等级成长!$B$36:$G$42,MATCH(FH$3,坦克等级成长!$B$35:$G$35,0)),0)</f>
        <v>265</v>
      </c>
      <c r="FI34" s="33">
        <f>ROUND(坦克等级成长!$H131*VLOOKUP($EP$2,坦克等级成长!$B$36:$G$42,MATCH(FI$3,坦克等级成长!$B$35:$G$35,0)),0)</f>
        <v>900</v>
      </c>
      <c r="FJ34" s="33">
        <f t="shared" si="27"/>
        <v>900</v>
      </c>
      <c r="FK34" s="33">
        <v>719</v>
      </c>
      <c r="FL34" s="33">
        <f>ROUND(坦克等级成长!$H131*VLOOKUP($EP$2,坦克等级成长!$B$36:$G$42,MATCH(FL$3,坦克等级成长!$B$35:$G$35,0)),0)</f>
        <v>986</v>
      </c>
      <c r="FM34" s="33">
        <f>ROUND(坦克等级成长!$H131*VLOOKUP($EP$2,坦克等级成长!$B$36:$G$42,MATCH(FM$3,坦克等级成长!$B$35:$G$35,0)),0)</f>
        <v>231</v>
      </c>
    </row>
    <row r="35" spans="1:169" ht="14.25" x14ac:dyDescent="0.3">
      <c r="A35" s="188">
        <v>3</v>
      </c>
      <c r="B35" s="192"/>
      <c r="C35" s="188"/>
      <c r="D35" s="188"/>
      <c r="E35" s="188"/>
      <c r="F35" s="188"/>
      <c r="G35" s="188"/>
      <c r="H35" s="188"/>
      <c r="I35" s="199"/>
      <c r="J35" s="198">
        <v>15</v>
      </c>
      <c r="K35" s="33">
        <f>ROUND(坦克等级成长!$F132*VLOOKUP($B$2,坦克等级成长!$B$36:$G$42,MATCH(K$3,坦克等级成长!$B$35:$G$35,0)),0)</f>
        <v>2216</v>
      </c>
      <c r="L35" s="33">
        <f>ROUND(坦克等级成长!$F132*VLOOKUP($B$2,坦克等级成长!$B$36:$G$42,MATCH(L$3,坦克等级成长!$B$35:$G$35,0)),0)</f>
        <v>241</v>
      </c>
      <c r="M35" s="33">
        <f>ROUND(坦克等级成长!$F132*VLOOKUP($B$2,坦克等级成长!$B$36:$G$42,MATCH(M$3,坦克等级成长!$B$35:$G$35,0)),0)</f>
        <v>831</v>
      </c>
      <c r="N35" s="33">
        <f t="shared" si="7"/>
        <v>831</v>
      </c>
      <c r="O35" s="33">
        <v>638</v>
      </c>
      <c r="P35" s="33">
        <f>ROUND(坦克等级成长!$F132*VLOOKUP($B$2,坦克等级成长!$B$36:$G$42,MATCH(P$3,坦克等级成长!$B$35:$G$35,0)),0)</f>
        <v>831</v>
      </c>
      <c r="Q35" s="33">
        <f>ROUND(坦克等级成长!$F132*VLOOKUP($B$2,坦克等级成长!$B$36:$G$42,MATCH(Q$3,坦克等级成长!$B$35:$G$35,0)),0)</f>
        <v>222</v>
      </c>
      <c r="R35" s="191">
        <v>15</v>
      </c>
      <c r="S35" s="33">
        <f>ROUND(坦克等级成长!$H132*VLOOKUP($B$2,坦克等级成长!$B$36:$G$42,MATCH(S$3,坦克等级成长!$B$35:$G$35,0)),0)</f>
        <v>2280</v>
      </c>
      <c r="T35" s="33">
        <f>ROUND(坦克等级成长!$H132*VLOOKUP($B$2,坦克等级成长!$B$36:$G$42,MATCH(T$3,坦克等级成长!$B$35:$G$35,0)),0)</f>
        <v>248</v>
      </c>
      <c r="U35" s="33">
        <f>ROUND(坦克等级成长!$H132*VLOOKUP($B$2,坦克等级成长!$B$36:$G$42,MATCH(U$3,坦克等级成长!$B$35:$G$35,0)),0)</f>
        <v>855</v>
      </c>
      <c r="V35" s="33">
        <f t="shared" si="21"/>
        <v>855</v>
      </c>
      <c r="W35" s="33">
        <v>638</v>
      </c>
      <c r="X35" s="33">
        <f>ROUND(坦克等级成长!$H132*VLOOKUP($B$2,坦克等级成长!$B$36:$G$42,MATCH(X$3,坦克等级成长!$B$35:$G$35,0)),0)</f>
        <v>855</v>
      </c>
      <c r="Y35" s="33">
        <f>ROUND(坦克等级成长!$H132*VLOOKUP($B$2,坦克等级成长!$B$36:$G$42,MATCH(Y$3,坦克等级成长!$B$35:$G$35,0)),0)</f>
        <v>228</v>
      </c>
      <c r="Z35" s="192"/>
      <c r="AA35" s="188"/>
      <c r="AB35" s="188"/>
      <c r="AC35" s="188"/>
      <c r="AD35" s="188"/>
      <c r="AE35" s="188"/>
      <c r="AF35" s="188"/>
      <c r="AG35" s="199"/>
      <c r="AH35" s="198">
        <v>15</v>
      </c>
      <c r="AI35" s="33">
        <f>ROUND(坦克等级成长!$F132*VLOOKUP($Z$2,坦克等级成长!$B$36:$G$42,MATCH(AI$3,坦克等级成长!$B$35:$G$35,0)),0)</f>
        <v>2216</v>
      </c>
      <c r="AJ35" s="33">
        <f>ROUND(坦克等级成长!$F132*VLOOKUP($Z$2,坦克等级成长!$B$36:$G$42,MATCH(AJ$3,坦克等级成长!$B$35:$G$35,0)),0)</f>
        <v>131</v>
      </c>
      <c r="AK35" s="33">
        <f>ROUND(坦克等级成长!$F132*VLOOKUP($Z$2,坦克等级成长!$B$36:$G$42,MATCH(AK$3,坦克等级成长!$B$35:$G$35,0)),0)</f>
        <v>910</v>
      </c>
      <c r="AL35" s="33">
        <f t="shared" si="8"/>
        <v>910</v>
      </c>
      <c r="AM35" s="33">
        <v>699</v>
      </c>
      <c r="AN35" s="33">
        <f>ROUND(坦克等级成长!$F132*VLOOKUP($Z$2,坦克等级成长!$B$36:$G$42,MATCH(AN$3,坦克等级成长!$B$35:$G$35,0)),0)</f>
        <v>831</v>
      </c>
      <c r="AO35" s="33">
        <f>ROUND(坦克等级成长!$F132*VLOOKUP($Z$2,坦克等级成长!$B$36:$G$42,MATCH(AO$3,坦克等级成长!$B$35:$G$35,0)),0)</f>
        <v>222</v>
      </c>
      <c r="AP35" s="191">
        <v>15</v>
      </c>
      <c r="AQ35" s="33">
        <f>ROUND(坦克等级成长!$H132*VLOOKUP($Z$2,坦克等级成长!$B$36:$G$42,MATCH(AQ$3,坦克等级成长!$B$35:$G$35,0)),0)</f>
        <v>2280</v>
      </c>
      <c r="AR35" s="33">
        <f>ROUND(坦克等级成长!$H132*VLOOKUP($Z$2,坦克等级成长!$B$36:$G$42,MATCH(AR$3,坦克等级成长!$B$35:$G$35,0)),0)</f>
        <v>134</v>
      </c>
      <c r="AS35" s="33">
        <f>ROUND(坦克等级成长!$H132*VLOOKUP($Z$2,坦克等级成长!$B$36:$G$42,MATCH(AS$3,坦克等级成长!$B$35:$G$35,0)),0)</f>
        <v>936</v>
      </c>
      <c r="AT35" s="33">
        <f t="shared" si="22"/>
        <v>936</v>
      </c>
      <c r="AU35" s="33">
        <v>699</v>
      </c>
      <c r="AV35" s="33">
        <f>ROUND(坦克等级成长!$H132*VLOOKUP($Z$2,坦克等级成长!$B$36:$G$42,MATCH(AV$3,坦克等级成长!$B$35:$G$35,0)),0)</f>
        <v>855</v>
      </c>
      <c r="AW35" s="33">
        <f>ROUND(坦克等级成长!$H132*VLOOKUP($Z$2,坦克等级成长!$B$36:$G$42,MATCH(AW$3,坦克等级成长!$B$35:$G$35,0)),0)</f>
        <v>228</v>
      </c>
      <c r="AX35" s="192"/>
      <c r="AY35" s="188"/>
      <c r="AZ35" s="188"/>
      <c r="BA35" s="188"/>
      <c r="BB35" s="188"/>
      <c r="BC35" s="188"/>
      <c r="BD35" s="188"/>
      <c r="BE35" s="199"/>
      <c r="BF35" s="198">
        <v>15</v>
      </c>
      <c r="BG35" s="33">
        <f>ROUND(坦克等级成长!$F132*VLOOKUP($AX$2,坦克等级成长!$B$36:$G$42,MATCH(BG$3,坦克等级成长!$B$35:$G$35,0)),0)</f>
        <v>2216</v>
      </c>
      <c r="BH35" s="33">
        <f>ROUND(坦克等级成长!$F132*VLOOKUP($AX$2,坦克等级成长!$B$36:$G$42,MATCH(BH$3,坦克等级成长!$B$35:$G$35,0)),0)</f>
        <v>241</v>
      </c>
      <c r="BI35" s="33">
        <f>ROUND(坦克等级成长!$F132*VLOOKUP($AX$2,坦克等级成长!$B$36:$G$42,MATCH(BI$3,坦克等级成长!$B$35:$G$35,0)),0)</f>
        <v>831</v>
      </c>
      <c r="BJ35" s="33">
        <f t="shared" si="9"/>
        <v>831</v>
      </c>
      <c r="BK35" s="33">
        <v>638</v>
      </c>
      <c r="BL35" s="33">
        <f>ROUND(坦克等级成长!$F132*VLOOKUP($AX$2,坦克等级成长!$B$36:$G$42,MATCH(BL$3,坦克等级成长!$B$35:$G$35,0)),0)</f>
        <v>831</v>
      </c>
      <c r="BM35" s="33">
        <f>ROUND(坦克等级成长!$F132*VLOOKUP($AX$2,坦克等级成长!$B$36:$G$42,MATCH(BM$3,坦克等级成长!$B$35:$G$35,0)),0)</f>
        <v>222</v>
      </c>
      <c r="BN35" s="191">
        <v>15</v>
      </c>
      <c r="BO35" s="33">
        <f>ROUND(坦克等级成长!$H132*VLOOKUP($AX$2,坦克等级成长!$B$36:$G$42,MATCH(BO$3,坦克等级成长!$B$35:$G$35,0)),0)</f>
        <v>2280</v>
      </c>
      <c r="BP35" s="33">
        <f>ROUND(坦克等级成长!$H132*VLOOKUP($AX$2,坦克等级成长!$B$36:$G$42,MATCH(BP$3,坦克等级成长!$B$35:$G$35,0)),0)</f>
        <v>248</v>
      </c>
      <c r="BQ35" s="33">
        <f>ROUND(坦克等级成长!$H132*VLOOKUP($AX$2,坦克等级成长!$B$36:$G$42,MATCH(BQ$3,坦克等级成长!$B$35:$G$35,0)),0)</f>
        <v>855</v>
      </c>
      <c r="BR35" s="33">
        <f t="shared" si="23"/>
        <v>855</v>
      </c>
      <c r="BS35" s="33">
        <v>638</v>
      </c>
      <c r="BT35" s="33">
        <f>ROUND(坦克等级成长!$H132*VLOOKUP($AX$2,坦克等级成长!$B$36:$G$42,MATCH(BT$3,坦克等级成长!$B$35:$G$35,0)),0)</f>
        <v>855</v>
      </c>
      <c r="BU35" s="33">
        <f>ROUND(坦克等级成长!$H132*VLOOKUP($AX$2,坦克等级成长!$B$36:$G$42,MATCH(BU$3,坦克等级成长!$B$35:$G$35,0)),0)</f>
        <v>228</v>
      </c>
      <c r="BV35" s="192"/>
      <c r="BW35" s="188"/>
      <c r="BX35" s="188"/>
      <c r="BY35" s="188"/>
      <c r="BZ35" s="188"/>
      <c r="CA35" s="188"/>
      <c r="CB35" s="188"/>
      <c r="CC35" s="199"/>
      <c r="CD35" s="198">
        <v>15</v>
      </c>
      <c r="CE35" s="33">
        <f>ROUND(坦克等级成长!$F132*VLOOKUP($BV$2,坦克等级成长!$B$36:$G$42,MATCH(CE$3,坦克等级成长!$B$35:$G$35,0)),0)</f>
        <v>2335</v>
      </c>
      <c r="CF35" s="33">
        <f>ROUND(坦克等级成长!$F132*VLOOKUP($BV$2,坦克等级成长!$B$36:$G$42,MATCH(CF$3,坦克等级成长!$B$35:$G$35,0)),0)</f>
        <v>220</v>
      </c>
      <c r="CG35" s="33">
        <f>ROUND(坦克等级成长!$F132*VLOOKUP($BV$2,坦克等级成长!$B$36:$G$42,MATCH(CG$3,坦克等级成长!$B$35:$G$35,0)),0)</f>
        <v>791</v>
      </c>
      <c r="CH35" s="33">
        <f t="shared" si="10"/>
        <v>791</v>
      </c>
      <c r="CI35" s="33">
        <v>652</v>
      </c>
      <c r="CJ35" s="33">
        <f>ROUND(坦克等级成长!$F132*VLOOKUP($BV$2,坦克等级成长!$B$36:$G$42,MATCH(CJ$3,坦克等级成长!$B$35:$G$35,0)),0)</f>
        <v>997</v>
      </c>
      <c r="CK35" s="33">
        <f>ROUND(坦克等级成长!$F132*VLOOKUP($BV$2,坦克等级成长!$B$36:$G$42,MATCH(CK$3,坦克等级成长!$B$35:$G$35,0)),0)</f>
        <v>234</v>
      </c>
      <c r="CL35" s="191">
        <v>15</v>
      </c>
      <c r="CM35" s="33">
        <f>ROUND(坦克等级成长!$H132*VLOOKUP($BV$2,坦克等级成长!$B$36:$G$42,MATCH(CM$3,坦克等级成长!$B$35:$G$35,0)),0)</f>
        <v>2402</v>
      </c>
      <c r="CN35" s="33">
        <f>ROUND(坦克等级成长!$H132*VLOOKUP($BV$2,坦克等级成长!$B$36:$G$42,MATCH(CN$3,坦克等级成长!$B$35:$G$35,0)),0)</f>
        <v>226</v>
      </c>
      <c r="CO35" s="33">
        <f>ROUND(坦克等级成长!$H132*VLOOKUP($BV$2,坦克等级成长!$B$36:$G$42,MATCH(CO$3,坦克等级成长!$B$35:$G$35,0)),0)</f>
        <v>814</v>
      </c>
      <c r="CP35" s="33">
        <f t="shared" si="24"/>
        <v>814</v>
      </c>
      <c r="CQ35" s="33">
        <v>652</v>
      </c>
      <c r="CR35" s="33">
        <f>ROUND(坦克等级成长!$H132*VLOOKUP($BV$2,坦克等级成长!$B$36:$G$42,MATCH(CR$3,坦克等级成长!$B$35:$G$35,0)),0)</f>
        <v>1026</v>
      </c>
      <c r="CS35" s="33">
        <f>ROUND(坦克等级成长!$H132*VLOOKUP($BV$2,坦克等级成长!$B$36:$G$42,MATCH(CS$3,坦克等级成长!$B$35:$G$35,0)),0)</f>
        <v>240</v>
      </c>
      <c r="CT35" s="192"/>
      <c r="CU35" s="188"/>
      <c r="CV35" s="188"/>
      <c r="CW35" s="188"/>
      <c r="CX35" s="188"/>
      <c r="CY35" s="188"/>
      <c r="CZ35" s="188"/>
      <c r="DA35" s="199"/>
      <c r="DB35" s="198">
        <v>15</v>
      </c>
      <c r="DC35" s="33">
        <f>ROUND(坦克等级成长!$F132*VLOOKUP($CT$2,坦克等级成长!$B$36:$G$42,MATCH(DC$3,坦克等级成长!$B$35:$G$35,0)),0)</f>
        <v>2216</v>
      </c>
      <c r="DD35" s="33">
        <f>ROUND(坦克等级成长!$F132*VLOOKUP($CT$2,坦克等级成长!$B$36:$G$42,MATCH(DD$3,坦克等级成长!$B$35:$G$35,0)),0)</f>
        <v>503</v>
      </c>
      <c r="DE35" s="33">
        <f>ROUND(坦克等级成长!$F132*VLOOKUP($CT$2,坦克等级成长!$B$36:$G$42,MATCH(DE$3,坦克等级成长!$B$35:$G$35,0)),0)</f>
        <v>989</v>
      </c>
      <c r="DF35" s="33">
        <f t="shared" si="11"/>
        <v>989</v>
      </c>
      <c r="DG35" s="33">
        <v>815</v>
      </c>
      <c r="DH35" s="33">
        <f>ROUND(坦克等级成长!$F132*VLOOKUP($CT$2,坦克等级成长!$B$36:$G$42,MATCH(DH$3,坦克等级成长!$B$35:$G$35,0)),0)</f>
        <v>831</v>
      </c>
      <c r="DI35" s="33">
        <f>ROUND(坦克等级成长!$F132*VLOOKUP($CT$2,坦克等级成长!$B$36:$G$42,MATCH(DI$3,坦克等级成长!$B$35:$G$35,0)),0)</f>
        <v>222</v>
      </c>
      <c r="DJ35" s="191">
        <v>15</v>
      </c>
      <c r="DK35" s="33">
        <f>ROUND(坦克等级成长!$H132*VLOOKUP($CT$2,坦克等级成长!$B$36:$G$42,MATCH(DK$3,坦克等级成长!$B$35:$G$35,0)),0)</f>
        <v>2280</v>
      </c>
      <c r="DL35" s="33">
        <f>ROUND(坦克等级成长!$H132*VLOOKUP($CT$2,坦克等级成长!$B$36:$G$42,MATCH(DL$3,坦克等级成长!$B$35:$G$35,0)),0)</f>
        <v>518</v>
      </c>
      <c r="DM35" s="33">
        <f>ROUND(坦克等级成长!$H132*VLOOKUP($CT$2,坦克等级成长!$B$36:$G$42,MATCH(DM$3,坦克等级成长!$B$35:$G$35,0)),0)</f>
        <v>1018</v>
      </c>
      <c r="DN35" s="33">
        <f t="shared" si="25"/>
        <v>1018</v>
      </c>
      <c r="DO35" s="33">
        <v>815</v>
      </c>
      <c r="DP35" s="33">
        <f>ROUND(坦克等级成长!$H132*VLOOKUP($CT$2,坦克等级成长!$B$36:$G$42,MATCH(DP$3,坦克等级成长!$B$35:$G$35,0)),0)</f>
        <v>855</v>
      </c>
      <c r="DQ35" s="33">
        <f>ROUND(坦克等级成长!$H132*VLOOKUP($CT$2,坦克等级成长!$B$36:$G$42,MATCH(DQ$3,坦克等级成长!$B$35:$G$35,0)),0)</f>
        <v>228</v>
      </c>
      <c r="DR35" s="192"/>
      <c r="DS35" s="188"/>
      <c r="DT35" s="188"/>
      <c r="DU35" s="188"/>
      <c r="DV35" s="188"/>
      <c r="DW35" s="188"/>
      <c r="DX35" s="188"/>
      <c r="DY35" s="199"/>
      <c r="DZ35" s="198">
        <v>15</v>
      </c>
      <c r="EA35" s="33">
        <f>ROUND(坦克等级成长!$F132*VLOOKUP($DR$2,坦克等级成长!$B$36:$G$42,MATCH(EA$3,坦克等级成长!$B$35:$G$35,0)),0)</f>
        <v>2521</v>
      </c>
      <c r="EB35" s="33">
        <f>ROUND(坦克等级成长!$F132*VLOOKUP($DR$2,坦克等级成长!$B$36:$G$42,MATCH(EB$3,坦克等级成长!$B$35:$G$35,0)),0)</f>
        <v>860</v>
      </c>
      <c r="EC35" s="33">
        <f>ROUND(坦克等级成长!$F132*VLOOKUP($DR$2,坦克等级成长!$B$36:$G$42,MATCH(EC$3,坦克等级成长!$B$35:$G$35,0)),0)</f>
        <v>791</v>
      </c>
      <c r="ED35" s="33">
        <f t="shared" si="12"/>
        <v>791</v>
      </c>
      <c r="EE35" s="33">
        <v>695</v>
      </c>
      <c r="EF35" s="33">
        <f>ROUND(坦克等级成长!$F132*VLOOKUP($DR$2,坦克等级成长!$B$36:$G$42,MATCH(EF$3,坦克等级成长!$B$35:$G$35,0)),0)</f>
        <v>1163</v>
      </c>
      <c r="EG35" s="33">
        <f>ROUND(坦克等级成长!$F132*VLOOKUP($DR$2,坦克等级成长!$B$36:$G$42,MATCH(EG$3,坦克等级成长!$B$35:$G$35,0)),0)</f>
        <v>252</v>
      </c>
      <c r="EH35" s="191">
        <v>15</v>
      </c>
      <c r="EI35" s="33">
        <f>ROUND(坦克等级成长!$H132*VLOOKUP($DR$2,坦克等级成长!$B$36:$G$42,MATCH(EI$3,坦克等级成长!$B$35:$G$35,0)),0)</f>
        <v>2594</v>
      </c>
      <c r="EJ35" s="33">
        <f>ROUND(坦克等级成长!$H132*VLOOKUP($DR$2,坦克等级成长!$B$36:$G$42,MATCH(EJ$3,坦克等级成长!$B$35:$G$35,0)),0)</f>
        <v>885</v>
      </c>
      <c r="EK35" s="33">
        <f>ROUND(坦克等级成长!$H132*VLOOKUP($DR$2,坦克等级成长!$B$36:$G$42,MATCH(EK$3,坦克等级成长!$B$35:$G$35,0)),0)</f>
        <v>814</v>
      </c>
      <c r="EL35" s="33">
        <f t="shared" si="26"/>
        <v>814</v>
      </c>
      <c r="EM35" s="33">
        <v>695</v>
      </c>
      <c r="EN35" s="33">
        <f>ROUND(坦克等级成长!$H132*VLOOKUP($DR$2,坦克等级成长!$B$36:$G$42,MATCH(EN$3,坦克等级成长!$B$35:$G$35,0)),0)</f>
        <v>1197</v>
      </c>
      <c r="EO35" s="33">
        <f>ROUND(坦克等级成长!$H132*VLOOKUP($DR$2,坦克等级成长!$B$36:$G$42,MATCH(EO$3,坦克等级成长!$B$35:$G$35,0)),0)</f>
        <v>259</v>
      </c>
      <c r="EP35" s="192"/>
      <c r="EQ35" s="188"/>
      <c r="ER35" s="188"/>
      <c r="ES35" s="188"/>
      <c r="ET35" s="188"/>
      <c r="EU35" s="188"/>
      <c r="EV35" s="188"/>
      <c r="EW35" s="199"/>
      <c r="EX35" s="198">
        <v>15</v>
      </c>
      <c r="EY35" s="33">
        <f>ROUND(坦克等级成长!$F132*VLOOKUP($EP$2,坦克等级成长!$B$36:$G$42,MATCH(EY$3,坦克等级成长!$B$35:$G$35,0)),0)</f>
        <v>2335</v>
      </c>
      <c r="EZ35" s="33">
        <f>ROUND(坦克等级成长!$F132*VLOOKUP($EP$2,坦克等级成长!$B$36:$G$42,MATCH(EZ$3,坦克等级成长!$B$35:$G$35,0)),0)</f>
        <v>268</v>
      </c>
      <c r="FA35" s="33">
        <f>ROUND(坦克等级成长!$F132*VLOOKUP($EP$2,坦克等级成长!$B$36:$G$42,MATCH(FA$3,坦克等级成长!$B$35:$G$35,0)),0)</f>
        <v>910</v>
      </c>
      <c r="FB35" s="33">
        <f t="shared" si="13"/>
        <v>910</v>
      </c>
      <c r="FC35" s="33">
        <v>749</v>
      </c>
      <c r="FD35" s="33">
        <f>ROUND(坦克等级成长!$F132*VLOOKUP($EP$2,坦克等级成长!$B$36:$G$42,MATCH(FD$3,坦克等级成长!$B$35:$G$35,0)),0)</f>
        <v>997</v>
      </c>
      <c r="FE35" s="33">
        <f>ROUND(坦克等级成长!$F132*VLOOKUP($EP$2,坦克等级成长!$B$36:$G$42,MATCH(FE$3,坦克等级成长!$B$35:$G$35,0)),0)</f>
        <v>234</v>
      </c>
      <c r="FF35" s="191">
        <v>15</v>
      </c>
      <c r="FG35" s="33">
        <f>ROUND(坦克等级成长!$H132*VLOOKUP($EP$2,坦克等级成长!$B$36:$G$42,MATCH(FG$3,坦克等级成长!$B$35:$G$35,0)),0)</f>
        <v>2402</v>
      </c>
      <c r="FH35" s="33">
        <f>ROUND(坦克等级成长!$H132*VLOOKUP($EP$2,坦克等级成长!$B$36:$G$42,MATCH(FH$3,坦克等级成长!$B$35:$G$35,0)),0)</f>
        <v>275</v>
      </c>
      <c r="FI35" s="33">
        <f>ROUND(坦克等级成长!$H132*VLOOKUP($EP$2,坦克等级成长!$B$36:$G$42,MATCH(FI$3,坦克等级成长!$B$35:$G$35,0)),0)</f>
        <v>936</v>
      </c>
      <c r="FJ35" s="33">
        <f t="shared" si="27"/>
        <v>936</v>
      </c>
      <c r="FK35" s="33">
        <v>749</v>
      </c>
      <c r="FL35" s="33">
        <f>ROUND(坦克等级成长!$H132*VLOOKUP($EP$2,坦克等级成长!$B$36:$G$42,MATCH(FL$3,坦克等级成长!$B$35:$G$35,0)),0)</f>
        <v>1026</v>
      </c>
      <c r="FM35" s="33">
        <f>ROUND(坦克等级成长!$H132*VLOOKUP($EP$2,坦克等级成长!$B$36:$G$42,MATCH(FM$3,坦克等级成长!$B$35:$G$35,0)),0)</f>
        <v>240</v>
      </c>
    </row>
    <row r="36" spans="1:169" ht="14.25" x14ac:dyDescent="0.3">
      <c r="A36" s="188">
        <v>4</v>
      </c>
      <c r="B36" s="191">
        <v>1</v>
      </c>
      <c r="C36" s="33">
        <f>ROUND(坦克等级成长!$D133*VLOOKUP($B$2,坦克等级成长!$B$36:$G$42,MATCH(C$3,坦克等级成长!$B$35:$G$35,0)),0)</f>
        <v>1464</v>
      </c>
      <c r="D36" s="33">
        <f>ROUND(坦克等级成长!$D133*VLOOKUP($B$2,坦克等级成长!$B$36:$G$42,MATCH(D$3,坦克等级成长!$B$35:$G$35,0)),0)</f>
        <v>159</v>
      </c>
      <c r="E36" s="33">
        <f>ROUND(坦克等级成长!$D133*VLOOKUP($B$2,坦克等级成长!$B$36:$G$42,MATCH(E$3,坦克等级成长!$B$35:$G$35,0)),0)</f>
        <v>549</v>
      </c>
      <c r="F36" s="33">
        <f t="shared" ref="F36:F46" si="28">E36</f>
        <v>549</v>
      </c>
      <c r="G36" s="33">
        <v>403.2</v>
      </c>
      <c r="H36" s="33">
        <f>ROUND(坦克等级成长!$D133*VLOOKUP($B$2,坦克等级成长!$B$36:$G$42,MATCH(H$3,坦克等级成长!$B$35:$G$35,0)),0)</f>
        <v>549</v>
      </c>
      <c r="I36" s="33">
        <f>ROUND(坦克等级成长!$D133*VLOOKUP($B$2,坦克等级成长!$B$36:$G$42,MATCH(I$3,坦克等级成长!$B$35:$G$35,0)),0)</f>
        <v>146</v>
      </c>
      <c r="J36" s="198">
        <v>1</v>
      </c>
      <c r="K36" s="33">
        <f>ROUND(坦克等级成长!$F133*VLOOKUP($B$2,坦克等级成长!$B$36:$G$42,MATCH(K$3,坦克等级成长!$B$35:$G$35,0)),0)</f>
        <v>1496</v>
      </c>
      <c r="L36" s="33">
        <f>ROUND(坦克等级成长!$F133*VLOOKUP($B$2,坦克等级成长!$B$36:$G$42,MATCH(L$3,坦克等级成长!$B$35:$G$35,0)),0)</f>
        <v>163</v>
      </c>
      <c r="M36" s="33">
        <f>ROUND(坦克等级成长!$F133*VLOOKUP($B$2,坦克等级成长!$B$36:$G$42,MATCH(M$3,坦克等级成长!$B$35:$G$35,0)),0)</f>
        <v>561</v>
      </c>
      <c r="N36" s="33">
        <f t="shared" si="7"/>
        <v>561</v>
      </c>
      <c r="O36" s="33">
        <v>420</v>
      </c>
      <c r="P36" s="33">
        <f>ROUND(坦克等级成长!$F133*VLOOKUP($B$2,坦克等级成长!$B$36:$G$42,MATCH(P$3,坦克等级成长!$B$35:$G$35,0)),0)</f>
        <v>561</v>
      </c>
      <c r="Q36" s="33">
        <f>ROUND(坦克等级成长!$F133*VLOOKUP($B$2,坦克等级成长!$B$36:$G$42,MATCH(Q$3,坦克等级成长!$B$35:$G$35,0)),0)</f>
        <v>150</v>
      </c>
      <c r="R36" s="191">
        <v>1</v>
      </c>
      <c r="S36" s="33">
        <f>ROUND(坦克等级成长!$H133*VLOOKUP($B$2,坦克等级成长!$B$36:$G$42,MATCH(S$3,坦克等级成长!$B$35:$G$35,0)),0)</f>
        <v>1528</v>
      </c>
      <c r="T36" s="33">
        <f>ROUND(坦克等级成长!$H133*VLOOKUP($B$2,坦克等级成长!$B$36:$G$42,MATCH(T$3,坦克等级成长!$B$35:$G$35,0)),0)</f>
        <v>166</v>
      </c>
      <c r="U36" s="33">
        <f>ROUND(坦克等级成长!$H133*VLOOKUP($B$2,坦克等级成长!$B$36:$G$42,MATCH(U$3,坦克等级成长!$B$35:$G$35,0)),0)</f>
        <v>573</v>
      </c>
      <c r="V36" s="33">
        <f t="shared" si="21"/>
        <v>573</v>
      </c>
      <c r="W36" s="33">
        <v>420</v>
      </c>
      <c r="X36" s="33">
        <f>ROUND(坦克等级成长!$H133*VLOOKUP($B$2,坦克等级成长!$B$36:$G$42,MATCH(X$3,坦克等级成长!$B$35:$G$35,0)),0)</f>
        <v>573</v>
      </c>
      <c r="Y36" s="33">
        <f>ROUND(坦克等级成长!$H133*VLOOKUP($B$2,坦克等级成长!$B$36:$G$42,MATCH(Y$3,坦克等级成长!$B$35:$G$35,0)),0)</f>
        <v>153</v>
      </c>
      <c r="Z36" s="191">
        <v>1</v>
      </c>
      <c r="AA36" s="33">
        <f>ROUND(坦克等级成长!$D133*VLOOKUP($Z$2,坦克等级成长!$B$36:$G$42,MATCH(AA$3,坦克等级成长!$B$35:$G$35,0)),0)</f>
        <v>1464</v>
      </c>
      <c r="AB36" s="33">
        <f>ROUND(坦克等级成长!$D133*VLOOKUP($Z$2,坦克等级成长!$B$36:$G$42,MATCH(AB$3,坦克等级成长!$B$35:$G$35,0)),0)</f>
        <v>86</v>
      </c>
      <c r="AC36" s="33">
        <f>ROUND(坦克等级成长!$D133*VLOOKUP($Z$2,坦克等级成长!$B$36:$G$42,MATCH(AC$3,坦克等级成长!$B$35:$G$35,0)),0)</f>
        <v>601</v>
      </c>
      <c r="AD36" s="33">
        <f t="shared" ref="AD36:AD46" si="29">AC36</f>
        <v>601</v>
      </c>
      <c r="AE36" s="33">
        <v>441.7</v>
      </c>
      <c r="AF36" s="33">
        <f>ROUND(坦克等级成长!$D133*VLOOKUP($Z$2,坦克等级成长!$B$36:$G$42,MATCH(AF$3,坦克等级成长!$B$35:$G$35,0)),0)</f>
        <v>549</v>
      </c>
      <c r="AG36" s="33">
        <f>ROUND(坦克等级成长!$D133*VLOOKUP($Z$2,坦克等级成长!$B$36:$G$42,MATCH(AG$3,坦克等级成长!$B$35:$G$35,0)),0)</f>
        <v>146</v>
      </c>
      <c r="AH36" s="198">
        <v>1</v>
      </c>
      <c r="AI36" s="33">
        <f>ROUND(坦克等级成长!$F133*VLOOKUP($Z$2,坦克等级成长!$B$36:$G$42,MATCH(AI$3,坦克等级成长!$B$35:$G$35,0)),0)</f>
        <v>1496</v>
      </c>
      <c r="AJ36" s="33">
        <f>ROUND(坦克等级成长!$F133*VLOOKUP($Z$2,坦克等级成长!$B$36:$G$42,MATCH(AJ$3,坦克等级成长!$B$35:$G$35,0)),0)</f>
        <v>88</v>
      </c>
      <c r="AK36" s="33">
        <f>ROUND(坦克等级成长!$F133*VLOOKUP($Z$2,坦克等级成长!$B$36:$G$42,MATCH(AK$3,坦克等级成长!$B$35:$G$35,0)),0)</f>
        <v>614</v>
      </c>
      <c r="AL36" s="33">
        <f t="shared" si="8"/>
        <v>614</v>
      </c>
      <c r="AM36" s="33">
        <v>460</v>
      </c>
      <c r="AN36" s="33">
        <f>ROUND(坦克等级成长!$F133*VLOOKUP($Z$2,坦克等级成长!$B$36:$G$42,MATCH(AN$3,坦克等级成长!$B$35:$G$35,0)),0)</f>
        <v>561</v>
      </c>
      <c r="AO36" s="33">
        <f>ROUND(坦克等级成长!$F133*VLOOKUP($Z$2,坦克等级成长!$B$36:$G$42,MATCH(AO$3,坦克等级成长!$B$35:$G$35,0)),0)</f>
        <v>150</v>
      </c>
      <c r="AP36" s="191">
        <v>1</v>
      </c>
      <c r="AQ36" s="33">
        <f>ROUND(坦克等级成长!$H133*VLOOKUP($Z$2,坦克等级成长!$B$36:$G$42,MATCH(AQ$3,坦克等级成长!$B$35:$G$35,0)),0)</f>
        <v>1528</v>
      </c>
      <c r="AR36" s="33">
        <f>ROUND(坦克等级成长!$H133*VLOOKUP($Z$2,坦克等级成长!$B$36:$G$42,MATCH(AR$3,坦克等级成长!$B$35:$G$35,0)),0)</f>
        <v>90</v>
      </c>
      <c r="AS36" s="33">
        <f>ROUND(坦克等级成长!$H133*VLOOKUP($Z$2,坦克等级成长!$B$36:$G$42,MATCH(AS$3,坦克等级成长!$B$35:$G$35,0)),0)</f>
        <v>628</v>
      </c>
      <c r="AT36" s="33">
        <f t="shared" si="22"/>
        <v>628</v>
      </c>
      <c r="AU36" s="33">
        <v>460</v>
      </c>
      <c r="AV36" s="33">
        <f>ROUND(坦克等级成长!$H133*VLOOKUP($Z$2,坦克等级成长!$B$36:$G$42,MATCH(AV$3,坦克等级成长!$B$35:$G$35,0)),0)</f>
        <v>573</v>
      </c>
      <c r="AW36" s="33">
        <f>ROUND(坦克等级成长!$H133*VLOOKUP($Z$2,坦克等级成长!$B$36:$G$42,MATCH(AW$3,坦克等级成长!$B$35:$G$35,0)),0)</f>
        <v>153</v>
      </c>
      <c r="AX36" s="191">
        <v>1</v>
      </c>
      <c r="AY36" s="33">
        <f>ROUND(坦克等级成长!$D133*VLOOKUP($AX$2,坦克等级成长!$B$36:$G$42,MATCH(AY$3,坦克等级成长!$B$35:$G$35,0)),0)</f>
        <v>1464</v>
      </c>
      <c r="AZ36" s="33">
        <f>ROUND(坦克等级成长!$D133*VLOOKUP($AX$2,坦克等级成长!$B$36:$G$42,MATCH(AZ$3,坦克等级成长!$B$35:$G$35,0)),0)</f>
        <v>159</v>
      </c>
      <c r="BA36" s="33">
        <f>ROUND(坦克等级成长!$D133*VLOOKUP($AX$2,坦克等级成长!$B$36:$G$42,MATCH(BA$3,坦克等级成长!$B$35:$G$35,0)),0)</f>
        <v>549</v>
      </c>
      <c r="BB36" s="33">
        <f t="shared" ref="BB36:BB46" si="30">BA36</f>
        <v>549</v>
      </c>
      <c r="BC36" s="33">
        <v>403.2</v>
      </c>
      <c r="BD36" s="33">
        <f>ROUND(坦克等级成长!$D133*VLOOKUP($AX$2,坦克等级成长!$B$36:$G$42,MATCH(BD$3,坦克等级成长!$B$35:$G$35,0)),0)</f>
        <v>549</v>
      </c>
      <c r="BE36" s="33">
        <f>ROUND(坦克等级成长!$D133*VLOOKUP($AX$2,坦克等级成长!$B$36:$G$42,MATCH(BE$3,坦克等级成长!$B$35:$G$35,0)),0)</f>
        <v>146</v>
      </c>
      <c r="BF36" s="198">
        <v>1</v>
      </c>
      <c r="BG36" s="33">
        <f>ROUND(坦克等级成长!$F133*VLOOKUP($AX$2,坦克等级成长!$B$36:$G$42,MATCH(BG$3,坦克等级成长!$B$35:$G$35,0)),0)</f>
        <v>1496</v>
      </c>
      <c r="BH36" s="33">
        <f>ROUND(坦克等级成长!$F133*VLOOKUP($AX$2,坦克等级成长!$B$36:$G$42,MATCH(BH$3,坦克等级成长!$B$35:$G$35,0)),0)</f>
        <v>163</v>
      </c>
      <c r="BI36" s="33">
        <f>ROUND(坦克等级成长!$F133*VLOOKUP($AX$2,坦克等级成长!$B$36:$G$42,MATCH(BI$3,坦克等级成长!$B$35:$G$35,0)),0)</f>
        <v>561</v>
      </c>
      <c r="BJ36" s="33">
        <f t="shared" si="9"/>
        <v>561</v>
      </c>
      <c r="BK36" s="33">
        <v>420</v>
      </c>
      <c r="BL36" s="33">
        <f>ROUND(坦克等级成长!$F133*VLOOKUP($AX$2,坦克等级成长!$B$36:$G$42,MATCH(BL$3,坦克等级成长!$B$35:$G$35,0)),0)</f>
        <v>561</v>
      </c>
      <c r="BM36" s="33">
        <f>ROUND(坦克等级成长!$F133*VLOOKUP($AX$2,坦克等级成长!$B$36:$G$42,MATCH(BM$3,坦克等级成长!$B$35:$G$35,0)),0)</f>
        <v>150</v>
      </c>
      <c r="BN36" s="191">
        <v>1</v>
      </c>
      <c r="BO36" s="33">
        <f>ROUND(坦克等级成长!$H133*VLOOKUP($AX$2,坦克等级成长!$B$36:$G$42,MATCH(BO$3,坦克等级成长!$B$35:$G$35,0)),0)</f>
        <v>1528</v>
      </c>
      <c r="BP36" s="33">
        <f>ROUND(坦克等级成长!$H133*VLOOKUP($AX$2,坦克等级成长!$B$36:$G$42,MATCH(BP$3,坦克等级成长!$B$35:$G$35,0)),0)</f>
        <v>166</v>
      </c>
      <c r="BQ36" s="33">
        <f>ROUND(坦克等级成长!$H133*VLOOKUP($AX$2,坦克等级成长!$B$36:$G$42,MATCH(BQ$3,坦克等级成长!$B$35:$G$35,0)),0)</f>
        <v>573</v>
      </c>
      <c r="BR36" s="33">
        <f t="shared" si="23"/>
        <v>573</v>
      </c>
      <c r="BS36" s="33">
        <v>420</v>
      </c>
      <c r="BT36" s="33">
        <f>ROUND(坦克等级成长!$H133*VLOOKUP($AX$2,坦克等级成长!$B$36:$G$42,MATCH(BT$3,坦克等级成长!$B$35:$G$35,0)),0)</f>
        <v>573</v>
      </c>
      <c r="BU36" s="33">
        <f>ROUND(坦克等级成长!$H133*VLOOKUP($AX$2,坦克等级成长!$B$36:$G$42,MATCH(BU$3,坦克等级成长!$B$35:$G$35,0)),0)</f>
        <v>153</v>
      </c>
      <c r="BV36" s="191">
        <v>1</v>
      </c>
      <c r="BW36" s="33">
        <f>ROUND(坦克等级成长!$D133*VLOOKUP($BV$2,坦克等级成长!$B$36:$G$42,MATCH(BW$3,坦克等级成长!$B$35:$G$35,0)),0)</f>
        <v>1543</v>
      </c>
      <c r="BX36" s="33">
        <f>ROUND(坦克等级成长!$D133*VLOOKUP($BV$2,坦克等级成长!$B$36:$G$42,MATCH(BX$3,坦克等级成长!$B$35:$G$35,0)),0)</f>
        <v>145</v>
      </c>
      <c r="BY36" s="33">
        <f>ROUND(坦克等级成长!$D133*VLOOKUP($BV$2,坦克等级成长!$B$36:$G$42,MATCH(BY$3,坦克等级成长!$B$35:$G$35,0)),0)</f>
        <v>523</v>
      </c>
      <c r="BZ36" s="33">
        <f t="shared" ref="BZ36:BZ46" si="31">BY36</f>
        <v>523</v>
      </c>
      <c r="CA36" s="33">
        <v>411.75</v>
      </c>
      <c r="CB36" s="33">
        <f>ROUND(坦克等级成长!$D133*VLOOKUP($BV$2,坦克等级成长!$B$36:$G$42,MATCH(CB$3,坦克等级成长!$B$35:$G$35,0)),0)</f>
        <v>659</v>
      </c>
      <c r="CC36" s="33">
        <f>ROUND(坦克等级成长!$D133*VLOOKUP($BV$2,坦克等级成长!$B$36:$G$42,MATCH(CC$3,坦克等级成长!$B$35:$G$35,0)),0)</f>
        <v>154</v>
      </c>
      <c r="CD36" s="198">
        <v>1</v>
      </c>
      <c r="CE36" s="33">
        <f>ROUND(坦克等级成长!$F133*VLOOKUP($BV$2,坦克等级成长!$B$36:$G$42,MATCH(CE$3,坦克等级成长!$B$35:$G$35,0)),0)</f>
        <v>1576</v>
      </c>
      <c r="CF36" s="33">
        <f>ROUND(坦克等级成长!$F133*VLOOKUP($BV$2,坦克等级成长!$B$36:$G$42,MATCH(CF$3,坦克等级成长!$B$35:$G$35,0)),0)</f>
        <v>149</v>
      </c>
      <c r="CG36" s="33">
        <f>ROUND(坦克等级成长!$F133*VLOOKUP($BV$2,坦克等级成长!$B$36:$G$42,MATCH(CG$3,坦克等级成长!$B$35:$G$35,0)),0)</f>
        <v>534</v>
      </c>
      <c r="CH36" s="33">
        <f t="shared" si="10"/>
        <v>534</v>
      </c>
      <c r="CI36" s="33">
        <v>428</v>
      </c>
      <c r="CJ36" s="33">
        <f>ROUND(坦克等级成长!$F133*VLOOKUP($BV$2,坦克等级成长!$B$36:$G$42,MATCH(CJ$3,坦克等级成长!$B$35:$G$35,0)),0)</f>
        <v>673</v>
      </c>
      <c r="CK36" s="33">
        <f>ROUND(坦克等级成长!$F133*VLOOKUP($BV$2,坦克等级成长!$B$36:$G$42,MATCH(CK$3,坦克等级成长!$B$35:$G$35,0)),0)</f>
        <v>158</v>
      </c>
      <c r="CL36" s="191">
        <v>1</v>
      </c>
      <c r="CM36" s="33">
        <f>ROUND(坦克等级成长!$H133*VLOOKUP($BV$2,坦克等级成长!$B$36:$G$42,MATCH(CM$3,坦克等级成长!$B$35:$G$35,0)),0)</f>
        <v>1610</v>
      </c>
      <c r="CN36" s="33">
        <f>ROUND(坦克等级成长!$H133*VLOOKUP($BV$2,坦克等级成长!$B$36:$G$42,MATCH(CN$3,坦克等级成长!$B$35:$G$35,0)),0)</f>
        <v>152</v>
      </c>
      <c r="CO36" s="33">
        <f>ROUND(坦克等级成长!$H133*VLOOKUP($BV$2,坦克等级成长!$B$36:$G$42,MATCH(CO$3,坦克等级成长!$B$35:$G$35,0)),0)</f>
        <v>546</v>
      </c>
      <c r="CP36" s="33">
        <f t="shared" si="24"/>
        <v>546</v>
      </c>
      <c r="CQ36" s="33">
        <v>428</v>
      </c>
      <c r="CR36" s="33">
        <f>ROUND(坦克等级成长!$H133*VLOOKUP($BV$2,坦克等级成长!$B$36:$G$42,MATCH(CR$3,坦克等级成长!$B$35:$G$35,0)),0)</f>
        <v>688</v>
      </c>
      <c r="CS36" s="33">
        <f>ROUND(坦克等级成长!$H133*VLOOKUP($BV$2,坦克等级成长!$B$36:$G$42,MATCH(CS$3,坦克等级成长!$B$35:$G$35,0)),0)</f>
        <v>161</v>
      </c>
      <c r="CT36" s="191">
        <v>1</v>
      </c>
      <c r="CU36" s="33">
        <f>ROUND(坦克等级成长!$D133*VLOOKUP($CT$2,坦克等级成长!$B$36:$G$42,MATCH(CU$3,坦克等级成长!$B$35:$G$35,0)),0)</f>
        <v>1464</v>
      </c>
      <c r="CV36" s="33">
        <f>ROUND(坦克等级成长!$D133*VLOOKUP($CT$2,坦克等级成长!$B$36:$G$42,MATCH(CV$3,坦克等级成长!$B$35:$G$35,0)),0)</f>
        <v>332</v>
      </c>
      <c r="CW36" s="33">
        <f>ROUND(坦克等级成长!$D133*VLOOKUP($CT$2,坦克等级成长!$B$36:$G$42,MATCH(CW$3,坦克等级成长!$B$35:$G$35,0)),0)</f>
        <v>654</v>
      </c>
      <c r="CX36" s="33">
        <f t="shared" ref="CX36:CX46" si="32">CW36</f>
        <v>654</v>
      </c>
      <c r="CY36" s="33">
        <v>514.5</v>
      </c>
      <c r="CZ36" s="33">
        <f>ROUND(坦克等级成长!$D133*VLOOKUP($CT$2,坦克等级成长!$B$36:$G$42,MATCH(CZ$3,坦克等级成长!$B$35:$G$35,0)),0)</f>
        <v>549</v>
      </c>
      <c r="DA36" s="33">
        <f>ROUND(坦克等级成长!$D133*VLOOKUP($CT$2,坦克等级成长!$B$36:$G$42,MATCH(DA$3,坦克等级成长!$B$35:$G$35,0)),0)</f>
        <v>146</v>
      </c>
      <c r="DB36" s="198">
        <v>1</v>
      </c>
      <c r="DC36" s="33">
        <f>ROUND(坦克等级成长!$F133*VLOOKUP($CT$2,坦克等级成长!$B$36:$G$42,MATCH(DC$3,坦克等级成长!$B$35:$G$35,0)),0)</f>
        <v>1496</v>
      </c>
      <c r="DD36" s="33">
        <f>ROUND(坦克等级成长!$F133*VLOOKUP($CT$2,坦克等级成长!$B$36:$G$42,MATCH(DD$3,坦克等级成长!$B$35:$G$35,0)),0)</f>
        <v>340</v>
      </c>
      <c r="DE36" s="33">
        <f>ROUND(坦克等级成长!$F133*VLOOKUP($CT$2,坦克等级成长!$B$36:$G$42,MATCH(DE$3,坦克等级成长!$B$35:$G$35,0)),0)</f>
        <v>668</v>
      </c>
      <c r="DF36" s="33">
        <f t="shared" si="11"/>
        <v>668</v>
      </c>
      <c r="DG36" s="33">
        <v>536</v>
      </c>
      <c r="DH36" s="33">
        <f>ROUND(坦克等级成长!$F133*VLOOKUP($CT$2,坦克等级成长!$B$36:$G$42,MATCH(DH$3,坦克等级成长!$B$35:$G$35,0)),0)</f>
        <v>561</v>
      </c>
      <c r="DI36" s="33">
        <f>ROUND(坦克等级成长!$F133*VLOOKUP($CT$2,坦克等级成长!$B$36:$G$42,MATCH(DI$3,坦克等级成长!$B$35:$G$35,0)),0)</f>
        <v>150</v>
      </c>
      <c r="DJ36" s="191">
        <v>1</v>
      </c>
      <c r="DK36" s="33">
        <f>ROUND(坦克等级成长!$H133*VLOOKUP($CT$2,坦克等级成长!$B$36:$G$42,MATCH(DK$3,坦克等级成长!$B$35:$G$35,0)),0)</f>
        <v>1528</v>
      </c>
      <c r="DL36" s="33">
        <f>ROUND(坦克等级成长!$H133*VLOOKUP($CT$2,坦克等级成长!$B$36:$G$42,MATCH(DL$3,坦克等级成长!$B$35:$G$35,0)),0)</f>
        <v>347</v>
      </c>
      <c r="DM36" s="33">
        <f>ROUND(坦克等级成长!$H133*VLOOKUP($CT$2,坦克等级成长!$B$36:$G$42,MATCH(DM$3,坦克等级成长!$B$35:$G$35,0)),0)</f>
        <v>682</v>
      </c>
      <c r="DN36" s="33">
        <f t="shared" si="25"/>
        <v>682</v>
      </c>
      <c r="DO36" s="33">
        <v>536</v>
      </c>
      <c r="DP36" s="33">
        <f>ROUND(坦克等级成长!$H133*VLOOKUP($CT$2,坦克等级成长!$B$36:$G$42,MATCH(DP$3,坦克等级成长!$B$35:$G$35,0)),0)</f>
        <v>573</v>
      </c>
      <c r="DQ36" s="33">
        <f>ROUND(坦克等级成长!$H133*VLOOKUP($CT$2,坦克等级成长!$B$36:$G$42,MATCH(DQ$3,坦克等级成长!$B$35:$G$35,0)),0)</f>
        <v>153</v>
      </c>
      <c r="DR36" s="191">
        <v>1</v>
      </c>
      <c r="DS36" s="33">
        <f>ROUND(坦克等级成长!$D133*VLOOKUP($DR$2,坦克等级成长!$B$36:$G$42,MATCH(DS$3,坦克等级成长!$B$35:$G$35,0)),0)</f>
        <v>1666</v>
      </c>
      <c r="DT36" s="33">
        <f>ROUND(坦克等级成长!$D133*VLOOKUP($DR$2,坦克等级成长!$B$36:$G$42,MATCH(DT$3,坦克等级成长!$B$35:$G$35,0)),0)</f>
        <v>568</v>
      </c>
      <c r="DU36" s="33">
        <f>ROUND(坦克等级成长!$D133*VLOOKUP($DR$2,坦克等级成长!$B$36:$G$42,MATCH(DU$3,坦克等级成长!$B$35:$G$35,0)),0)</f>
        <v>523</v>
      </c>
      <c r="DV36" s="33">
        <f t="shared" ref="DV36:DV46" si="33">DU36</f>
        <v>523</v>
      </c>
      <c r="DW36" s="33">
        <v>439.2</v>
      </c>
      <c r="DX36" s="33">
        <f>ROUND(坦克等级成长!$D133*VLOOKUP($DR$2,坦克等级成长!$B$36:$G$42,MATCH(DX$3,坦克等级成长!$B$35:$G$35,0)),0)</f>
        <v>769</v>
      </c>
      <c r="DY36" s="33">
        <f>ROUND(坦克等级成长!$D133*VLOOKUP($DR$2,坦克等级成长!$B$36:$G$42,MATCH(DY$3,坦克等级成长!$B$35:$G$35,0)),0)</f>
        <v>167</v>
      </c>
      <c r="DZ36" s="198">
        <v>1</v>
      </c>
      <c r="EA36" s="33">
        <f>ROUND(坦克等级成长!$F133*VLOOKUP($DR$2,坦克等级成长!$B$36:$G$42,MATCH(EA$3,坦克等级成长!$B$35:$G$35,0)),0)</f>
        <v>1702</v>
      </c>
      <c r="EB36" s="33">
        <f>ROUND(坦克等级成长!$F133*VLOOKUP($DR$2,坦克等级成长!$B$36:$G$42,MATCH(EB$3,坦克等级成长!$B$35:$G$35,0)),0)</f>
        <v>581</v>
      </c>
      <c r="EC36" s="33">
        <f>ROUND(坦克等级成长!$F133*VLOOKUP($DR$2,坦克等级成长!$B$36:$G$42,MATCH(EC$3,坦克等级成长!$B$35:$G$35,0)),0)</f>
        <v>534</v>
      </c>
      <c r="ED36" s="33">
        <f t="shared" si="12"/>
        <v>534</v>
      </c>
      <c r="EE36" s="33">
        <v>457</v>
      </c>
      <c r="EF36" s="33">
        <f>ROUND(坦克等级成长!$F133*VLOOKUP($DR$2,坦克等级成长!$B$36:$G$42,MATCH(EF$3,坦克等级成长!$B$35:$G$35,0)),0)</f>
        <v>785</v>
      </c>
      <c r="EG36" s="33">
        <f>ROUND(坦克等级成长!$F133*VLOOKUP($DR$2,坦克等级成长!$B$36:$G$42,MATCH(EG$3,坦克等级成长!$B$35:$G$35,0)),0)</f>
        <v>170</v>
      </c>
      <c r="EH36" s="191">
        <v>1</v>
      </c>
      <c r="EI36" s="33">
        <f>ROUND(坦克等级成长!$H133*VLOOKUP($DR$2,坦克等级成长!$B$36:$G$42,MATCH(EI$3,坦克等级成长!$B$35:$G$35,0)),0)</f>
        <v>1738</v>
      </c>
      <c r="EJ36" s="33">
        <f>ROUND(坦克等级成长!$H133*VLOOKUP($DR$2,坦克等级成长!$B$36:$G$42,MATCH(EJ$3,坦克等级成长!$B$35:$G$35,0)),0)</f>
        <v>593</v>
      </c>
      <c r="EK36" s="33">
        <f>ROUND(坦克等级成长!$H133*VLOOKUP($DR$2,坦克等级成长!$B$36:$G$42,MATCH(EK$3,坦克等级成长!$B$35:$G$35,0)),0)</f>
        <v>546</v>
      </c>
      <c r="EL36" s="33">
        <f t="shared" si="26"/>
        <v>546</v>
      </c>
      <c r="EM36" s="33">
        <v>457</v>
      </c>
      <c r="EN36" s="33">
        <f>ROUND(坦克等级成长!$H133*VLOOKUP($DR$2,坦克等级成长!$B$36:$G$42,MATCH(EN$3,坦克等级成长!$B$35:$G$35,0)),0)</f>
        <v>802</v>
      </c>
      <c r="EO36" s="33">
        <f>ROUND(坦克等级成长!$H133*VLOOKUP($DR$2,坦克等级成长!$B$36:$G$42,MATCH(EO$3,坦克等级成长!$B$35:$G$35,0)),0)</f>
        <v>174</v>
      </c>
      <c r="EP36" s="191">
        <v>1</v>
      </c>
      <c r="EQ36" s="33">
        <f>ROUND(坦克等级成长!$D133*VLOOKUP($EP$2,坦克等级成长!$B$36:$G$42,MATCH(EQ$3,坦克等级成长!$B$35:$G$35,0)),0)</f>
        <v>1543</v>
      </c>
      <c r="ER36" s="33">
        <f>ROUND(坦克等级成长!$D133*VLOOKUP($EP$2,坦克等级成长!$B$36:$G$42,MATCH(ER$3,坦克等级成长!$B$35:$G$35,0)),0)</f>
        <v>177</v>
      </c>
      <c r="ES36" s="33">
        <f>ROUND(坦克等级成长!$D133*VLOOKUP($EP$2,坦克等级成长!$B$36:$G$42,MATCH(ES$3,坦克等级成长!$B$35:$G$35,0)),0)</f>
        <v>601</v>
      </c>
      <c r="ET36" s="33">
        <f t="shared" ref="ET36:ET46" si="34">ES36</f>
        <v>601</v>
      </c>
      <c r="EU36" s="33">
        <v>473.25</v>
      </c>
      <c r="EV36" s="33">
        <f>ROUND(坦克等级成长!$D133*VLOOKUP($EP$2,坦克等级成长!$B$36:$G$42,MATCH(EV$3,坦克等级成长!$B$35:$G$35,0)),0)</f>
        <v>659</v>
      </c>
      <c r="EW36" s="33">
        <f>ROUND(坦克等级成长!$D133*VLOOKUP($EP$2,坦克等级成长!$B$36:$G$42,MATCH(EW$3,坦克等级成长!$B$35:$G$35,0)),0)</f>
        <v>154</v>
      </c>
      <c r="EX36" s="198">
        <v>1</v>
      </c>
      <c r="EY36" s="33">
        <f>ROUND(坦克等级成长!$F133*VLOOKUP($EP$2,坦克等级成长!$B$36:$G$42,MATCH(EY$3,坦克等级成长!$B$35:$G$35,0)),0)</f>
        <v>1576</v>
      </c>
      <c r="EZ36" s="33">
        <f>ROUND(坦克等级成长!$F133*VLOOKUP($EP$2,坦克等级成长!$B$36:$G$42,MATCH(EZ$3,坦克等级成长!$B$35:$G$35,0)),0)</f>
        <v>181</v>
      </c>
      <c r="FA36" s="33">
        <f>ROUND(坦克等级成长!$F133*VLOOKUP($EP$2,坦克等级成长!$B$36:$G$42,MATCH(FA$3,坦克等级成长!$B$35:$G$35,0)),0)</f>
        <v>614</v>
      </c>
      <c r="FB36" s="33">
        <f t="shared" si="13"/>
        <v>614</v>
      </c>
      <c r="FC36" s="33">
        <v>493</v>
      </c>
      <c r="FD36" s="33">
        <f>ROUND(坦克等级成长!$F133*VLOOKUP($EP$2,坦克等级成长!$B$36:$G$42,MATCH(FD$3,坦克等级成长!$B$35:$G$35,0)),0)</f>
        <v>673</v>
      </c>
      <c r="FE36" s="33">
        <f>ROUND(坦克等级成长!$F133*VLOOKUP($EP$2,坦克等级成长!$B$36:$G$42,MATCH(FE$3,坦克等级成长!$B$35:$G$35,0)),0)</f>
        <v>158</v>
      </c>
      <c r="FF36" s="191">
        <v>1</v>
      </c>
      <c r="FG36" s="33">
        <f>ROUND(坦克等级成长!$H133*VLOOKUP($EP$2,坦克等级成长!$B$36:$G$42,MATCH(FG$3,坦克等级成长!$B$35:$G$35,0)),0)</f>
        <v>1610</v>
      </c>
      <c r="FH36" s="33">
        <f>ROUND(坦克等级成长!$H133*VLOOKUP($EP$2,坦克等级成长!$B$36:$G$42,MATCH(FH$3,坦克等级成长!$B$35:$G$35,0)),0)</f>
        <v>184</v>
      </c>
      <c r="FI36" s="33">
        <f>ROUND(坦克等级成长!$H133*VLOOKUP($EP$2,坦克等级成长!$B$36:$G$42,MATCH(FI$3,坦克等级成长!$B$35:$G$35,0)),0)</f>
        <v>628</v>
      </c>
      <c r="FJ36" s="33">
        <f t="shared" si="27"/>
        <v>628</v>
      </c>
      <c r="FK36" s="33">
        <v>493</v>
      </c>
      <c r="FL36" s="33">
        <f>ROUND(坦克等级成长!$H133*VLOOKUP($EP$2,坦克等级成长!$B$36:$G$42,MATCH(FL$3,坦克等级成长!$B$35:$G$35,0)),0)</f>
        <v>688</v>
      </c>
      <c r="FM36" s="33">
        <f>ROUND(坦克等级成长!$H133*VLOOKUP($EP$2,坦克等级成长!$B$36:$G$42,MATCH(FM$3,坦克等级成长!$B$35:$G$35,0)),0)</f>
        <v>161</v>
      </c>
    </row>
    <row r="37" spans="1:169" ht="14.25" x14ac:dyDescent="0.3">
      <c r="A37" s="188">
        <v>4</v>
      </c>
      <c r="B37" s="191">
        <v>2</v>
      </c>
      <c r="C37" s="33">
        <f>ROUND(坦克等级成长!$D134*VLOOKUP($B$2,坦克等级成长!$B$36:$G$42,MATCH(C$3,坦克等级成长!$B$35:$G$35,0)),0)</f>
        <v>1544</v>
      </c>
      <c r="D37" s="33">
        <f>ROUND(坦克等级成长!$D134*VLOOKUP($B$2,坦克等级成长!$B$36:$G$42,MATCH(D$3,坦克等级成长!$B$35:$G$35,0)),0)</f>
        <v>168</v>
      </c>
      <c r="E37" s="33">
        <f>ROUND(坦克等级成长!$D134*VLOOKUP($B$2,坦克等级成长!$B$36:$G$42,MATCH(E$3,坦克等级成长!$B$35:$G$35,0)),0)</f>
        <v>579</v>
      </c>
      <c r="F37" s="33">
        <f t="shared" si="28"/>
        <v>579</v>
      </c>
      <c r="G37" s="33">
        <v>426.3</v>
      </c>
      <c r="H37" s="33">
        <f>ROUND(坦克等级成长!$D134*VLOOKUP($B$2,坦克等级成长!$B$36:$G$42,MATCH(H$3,坦克等级成长!$B$35:$G$35,0)),0)</f>
        <v>579</v>
      </c>
      <c r="I37" s="33">
        <f>ROUND(坦克等级成长!$D134*VLOOKUP($B$2,坦克等级成长!$B$36:$G$42,MATCH(I$3,坦克等级成长!$B$35:$G$35,0)),0)</f>
        <v>154</v>
      </c>
      <c r="J37" s="198">
        <v>2</v>
      </c>
      <c r="K37" s="33">
        <f>ROUND(坦克等级成长!$F134*VLOOKUP($B$2,坦克等级成长!$B$36:$G$42,MATCH(K$3,坦克等级成长!$B$35:$G$35,0)),0)</f>
        <v>1576</v>
      </c>
      <c r="L37" s="33">
        <f>ROUND(坦克等级成长!$F134*VLOOKUP($B$2,坦克等级成长!$B$36:$G$42,MATCH(L$3,坦克等级成长!$B$35:$G$35,0)),0)</f>
        <v>171</v>
      </c>
      <c r="M37" s="33">
        <f>ROUND(坦克等级成长!$F134*VLOOKUP($B$2,坦克等级成长!$B$36:$G$42,MATCH(M$3,坦克等级成长!$B$35:$G$35,0)),0)</f>
        <v>591</v>
      </c>
      <c r="N37" s="33">
        <f t="shared" si="7"/>
        <v>591</v>
      </c>
      <c r="O37" s="33">
        <v>443</v>
      </c>
      <c r="P37" s="33">
        <f>ROUND(坦克等级成长!$F134*VLOOKUP($B$2,坦克等级成长!$B$36:$G$42,MATCH(P$3,坦克等级成长!$B$35:$G$35,0)),0)</f>
        <v>591</v>
      </c>
      <c r="Q37" s="33">
        <f>ROUND(坦克等级成长!$F134*VLOOKUP($B$2,坦克等级成长!$B$36:$G$42,MATCH(Q$3,坦克等级成长!$B$35:$G$35,0)),0)</f>
        <v>158</v>
      </c>
      <c r="R37" s="191">
        <v>2</v>
      </c>
      <c r="S37" s="33">
        <f>ROUND(坦克等级成长!$H134*VLOOKUP($B$2,坦克等级成长!$B$36:$G$42,MATCH(S$3,坦克等级成长!$B$35:$G$35,0)),0)</f>
        <v>1608</v>
      </c>
      <c r="T37" s="33">
        <f>ROUND(坦克等级成长!$H134*VLOOKUP($B$2,坦克等级成长!$B$36:$G$42,MATCH(T$3,坦克等级成长!$B$35:$G$35,0)),0)</f>
        <v>175</v>
      </c>
      <c r="U37" s="33">
        <f>ROUND(坦克等级成长!$H134*VLOOKUP($B$2,坦克等级成长!$B$36:$G$42,MATCH(U$3,坦克等级成长!$B$35:$G$35,0)),0)</f>
        <v>603</v>
      </c>
      <c r="V37" s="33">
        <f t="shared" si="21"/>
        <v>603</v>
      </c>
      <c r="W37" s="33">
        <v>443</v>
      </c>
      <c r="X37" s="33">
        <f>ROUND(坦克等级成长!$H134*VLOOKUP($B$2,坦克等级成长!$B$36:$G$42,MATCH(X$3,坦克等级成长!$B$35:$G$35,0)),0)</f>
        <v>603</v>
      </c>
      <c r="Y37" s="33">
        <f>ROUND(坦克等级成长!$H134*VLOOKUP($B$2,坦克等级成长!$B$36:$G$42,MATCH(Y$3,坦克等级成长!$B$35:$G$35,0)),0)</f>
        <v>161</v>
      </c>
      <c r="Z37" s="191">
        <v>2</v>
      </c>
      <c r="AA37" s="33">
        <f>ROUND(坦克等级成长!$D134*VLOOKUP($Z$2,坦克等级成长!$B$36:$G$42,MATCH(AA$3,坦克等级成长!$B$35:$G$35,0)),0)</f>
        <v>1544</v>
      </c>
      <c r="AB37" s="33">
        <f>ROUND(坦克等级成长!$D134*VLOOKUP($Z$2,坦克等级成长!$B$36:$G$42,MATCH(AB$3,坦克等级成长!$B$35:$G$35,0)),0)</f>
        <v>91</v>
      </c>
      <c r="AC37" s="33">
        <f>ROUND(坦克等级成长!$D134*VLOOKUP($Z$2,坦克等级成长!$B$36:$G$42,MATCH(AC$3,坦克等级成长!$B$35:$G$35,0)),0)</f>
        <v>634</v>
      </c>
      <c r="AD37" s="33">
        <f t="shared" si="29"/>
        <v>634</v>
      </c>
      <c r="AE37" s="33">
        <v>466.9</v>
      </c>
      <c r="AF37" s="33">
        <f>ROUND(坦克等级成长!$D134*VLOOKUP($Z$2,坦克等级成长!$B$36:$G$42,MATCH(AF$3,坦克等级成长!$B$35:$G$35,0)),0)</f>
        <v>579</v>
      </c>
      <c r="AG37" s="33">
        <f>ROUND(坦克等级成长!$D134*VLOOKUP($Z$2,坦克等级成长!$B$36:$G$42,MATCH(AG$3,坦克等级成长!$B$35:$G$35,0)),0)</f>
        <v>154</v>
      </c>
      <c r="AH37" s="198">
        <v>2</v>
      </c>
      <c r="AI37" s="33">
        <f>ROUND(坦克等级成长!$F134*VLOOKUP($Z$2,坦克等级成长!$B$36:$G$42,MATCH(AI$3,坦克等级成长!$B$35:$G$35,0)),0)</f>
        <v>1576</v>
      </c>
      <c r="AJ37" s="33">
        <f>ROUND(坦克等级成长!$F134*VLOOKUP($Z$2,坦克等级成长!$B$36:$G$42,MATCH(AJ$3,坦克等级成长!$B$35:$G$35,0)),0)</f>
        <v>93</v>
      </c>
      <c r="AK37" s="33">
        <f>ROUND(坦克等级成长!$F134*VLOOKUP($Z$2,坦克等级成长!$B$36:$G$42,MATCH(AK$3,坦克等级成长!$B$35:$G$35,0)),0)</f>
        <v>647</v>
      </c>
      <c r="AL37" s="33">
        <f t="shared" si="8"/>
        <v>647</v>
      </c>
      <c r="AM37" s="33">
        <v>485</v>
      </c>
      <c r="AN37" s="33">
        <f>ROUND(坦克等级成长!$F134*VLOOKUP($Z$2,坦克等级成长!$B$36:$G$42,MATCH(AN$3,坦克等级成长!$B$35:$G$35,0)),0)</f>
        <v>591</v>
      </c>
      <c r="AO37" s="33">
        <f>ROUND(坦克等级成长!$F134*VLOOKUP($Z$2,坦克等级成长!$B$36:$G$42,MATCH(AO$3,坦克等级成长!$B$35:$G$35,0)),0)</f>
        <v>158</v>
      </c>
      <c r="AP37" s="191">
        <v>2</v>
      </c>
      <c r="AQ37" s="33">
        <f>ROUND(坦克等级成长!$H134*VLOOKUP($Z$2,坦克等级成长!$B$36:$G$42,MATCH(AQ$3,坦克等级成长!$B$35:$G$35,0)),0)</f>
        <v>1608</v>
      </c>
      <c r="AR37" s="33">
        <f>ROUND(坦克等级成长!$H134*VLOOKUP($Z$2,坦克等级成长!$B$36:$G$42,MATCH(AR$3,坦克等级成长!$B$35:$G$35,0)),0)</f>
        <v>95</v>
      </c>
      <c r="AS37" s="33">
        <f>ROUND(坦克等级成长!$H134*VLOOKUP($Z$2,坦克等级成长!$B$36:$G$42,MATCH(AS$3,坦克等级成长!$B$35:$G$35,0)),0)</f>
        <v>660</v>
      </c>
      <c r="AT37" s="33">
        <f t="shared" si="22"/>
        <v>660</v>
      </c>
      <c r="AU37" s="33">
        <v>485</v>
      </c>
      <c r="AV37" s="33">
        <f>ROUND(坦克等级成长!$H134*VLOOKUP($Z$2,坦克等级成长!$B$36:$G$42,MATCH(AV$3,坦克等级成长!$B$35:$G$35,0)),0)</f>
        <v>603</v>
      </c>
      <c r="AW37" s="33">
        <f>ROUND(坦克等级成长!$H134*VLOOKUP($Z$2,坦克等级成长!$B$36:$G$42,MATCH(AW$3,坦克等级成长!$B$35:$G$35,0)),0)</f>
        <v>161</v>
      </c>
      <c r="AX37" s="191">
        <v>2</v>
      </c>
      <c r="AY37" s="33">
        <f>ROUND(坦克等级成长!$D134*VLOOKUP($AX$2,坦克等级成长!$B$36:$G$42,MATCH(AY$3,坦克等级成长!$B$35:$G$35,0)),0)</f>
        <v>1544</v>
      </c>
      <c r="AZ37" s="33">
        <f>ROUND(坦克等级成长!$D134*VLOOKUP($AX$2,坦克等级成长!$B$36:$G$42,MATCH(AZ$3,坦克等级成长!$B$35:$G$35,0)),0)</f>
        <v>168</v>
      </c>
      <c r="BA37" s="33">
        <f>ROUND(坦克等级成长!$D134*VLOOKUP($AX$2,坦克等级成长!$B$36:$G$42,MATCH(BA$3,坦克等级成长!$B$35:$G$35,0)),0)</f>
        <v>579</v>
      </c>
      <c r="BB37" s="33">
        <f t="shared" si="30"/>
        <v>579</v>
      </c>
      <c r="BC37" s="33">
        <v>426.3</v>
      </c>
      <c r="BD37" s="33">
        <f>ROUND(坦克等级成长!$D134*VLOOKUP($AX$2,坦克等级成长!$B$36:$G$42,MATCH(BD$3,坦克等级成长!$B$35:$G$35,0)),0)</f>
        <v>579</v>
      </c>
      <c r="BE37" s="33">
        <f>ROUND(坦克等级成长!$D134*VLOOKUP($AX$2,坦克等级成长!$B$36:$G$42,MATCH(BE$3,坦克等级成长!$B$35:$G$35,0)),0)</f>
        <v>154</v>
      </c>
      <c r="BF37" s="198">
        <v>2</v>
      </c>
      <c r="BG37" s="33">
        <f>ROUND(坦克等级成长!$F134*VLOOKUP($AX$2,坦克等级成长!$B$36:$G$42,MATCH(BG$3,坦克等级成长!$B$35:$G$35,0)),0)</f>
        <v>1576</v>
      </c>
      <c r="BH37" s="33">
        <f>ROUND(坦克等级成长!$F134*VLOOKUP($AX$2,坦克等级成长!$B$36:$G$42,MATCH(BH$3,坦克等级成长!$B$35:$G$35,0)),0)</f>
        <v>171</v>
      </c>
      <c r="BI37" s="33">
        <f>ROUND(坦克等级成长!$F134*VLOOKUP($AX$2,坦克等级成长!$B$36:$G$42,MATCH(BI$3,坦克等级成长!$B$35:$G$35,0)),0)</f>
        <v>591</v>
      </c>
      <c r="BJ37" s="33">
        <f t="shared" si="9"/>
        <v>591</v>
      </c>
      <c r="BK37" s="33">
        <v>443</v>
      </c>
      <c r="BL37" s="33">
        <f>ROUND(坦克等级成长!$F134*VLOOKUP($AX$2,坦克等级成长!$B$36:$G$42,MATCH(BL$3,坦克等级成长!$B$35:$G$35,0)),0)</f>
        <v>591</v>
      </c>
      <c r="BM37" s="33">
        <f>ROUND(坦克等级成长!$F134*VLOOKUP($AX$2,坦克等级成长!$B$36:$G$42,MATCH(BM$3,坦克等级成长!$B$35:$G$35,0)),0)</f>
        <v>158</v>
      </c>
      <c r="BN37" s="191">
        <v>2</v>
      </c>
      <c r="BO37" s="33">
        <f>ROUND(坦克等级成长!$H134*VLOOKUP($AX$2,坦克等级成长!$B$36:$G$42,MATCH(BO$3,坦克等级成长!$B$35:$G$35,0)),0)</f>
        <v>1608</v>
      </c>
      <c r="BP37" s="33">
        <f>ROUND(坦克等级成长!$H134*VLOOKUP($AX$2,坦克等级成长!$B$36:$G$42,MATCH(BP$3,坦克等级成长!$B$35:$G$35,0)),0)</f>
        <v>175</v>
      </c>
      <c r="BQ37" s="33">
        <f>ROUND(坦克等级成长!$H134*VLOOKUP($AX$2,坦克等级成长!$B$36:$G$42,MATCH(BQ$3,坦克等级成长!$B$35:$G$35,0)),0)</f>
        <v>603</v>
      </c>
      <c r="BR37" s="33">
        <f t="shared" si="23"/>
        <v>603</v>
      </c>
      <c r="BS37" s="33">
        <v>443</v>
      </c>
      <c r="BT37" s="33">
        <f>ROUND(坦克等级成长!$H134*VLOOKUP($AX$2,坦克等级成长!$B$36:$G$42,MATCH(BT$3,坦克等级成长!$B$35:$G$35,0)),0)</f>
        <v>603</v>
      </c>
      <c r="BU37" s="33">
        <f>ROUND(坦克等级成长!$H134*VLOOKUP($AX$2,坦克等级成长!$B$36:$G$42,MATCH(BU$3,坦克等级成长!$B$35:$G$35,0)),0)</f>
        <v>161</v>
      </c>
      <c r="BV37" s="191">
        <v>2</v>
      </c>
      <c r="BW37" s="33">
        <f>ROUND(坦克等级成长!$D134*VLOOKUP($BV$2,坦克等级成长!$B$36:$G$42,MATCH(BW$3,坦克等级成长!$B$35:$G$35,0)),0)</f>
        <v>1627</v>
      </c>
      <c r="BX37" s="33">
        <f>ROUND(坦克等级成长!$D134*VLOOKUP($BV$2,坦克等级成长!$B$36:$G$42,MATCH(BX$3,坦克等级成长!$B$35:$G$35,0)),0)</f>
        <v>153</v>
      </c>
      <c r="BY37" s="33">
        <f>ROUND(坦克等级成长!$D134*VLOOKUP($BV$2,坦克等级成长!$B$36:$G$42,MATCH(BY$3,坦克等级成长!$B$35:$G$35,0)),0)</f>
        <v>551</v>
      </c>
      <c r="BZ37" s="33">
        <f t="shared" si="31"/>
        <v>551</v>
      </c>
      <c r="CA37" s="33">
        <v>435</v>
      </c>
      <c r="CB37" s="33">
        <f>ROUND(坦克等级成长!$D134*VLOOKUP($BV$2,坦克等级成长!$B$36:$G$42,MATCH(CB$3,坦克等级成长!$B$35:$G$35,0)),0)</f>
        <v>695</v>
      </c>
      <c r="CC37" s="33">
        <f>ROUND(坦克等级成长!$D134*VLOOKUP($BV$2,坦克等级成长!$B$36:$G$42,MATCH(CC$3,坦克等级成长!$B$35:$G$35,0)),0)</f>
        <v>163</v>
      </c>
      <c r="CD37" s="198">
        <v>2</v>
      </c>
      <c r="CE37" s="33">
        <f>ROUND(坦克等级成长!$F134*VLOOKUP($BV$2,坦克等级成长!$B$36:$G$42,MATCH(CE$3,坦克等级成长!$B$35:$G$35,0)),0)</f>
        <v>1661</v>
      </c>
      <c r="CF37" s="33">
        <f>ROUND(坦克等级成长!$F134*VLOOKUP($BV$2,坦克等级成长!$B$36:$G$42,MATCH(CF$3,坦克等级成长!$B$35:$G$35,0)),0)</f>
        <v>157</v>
      </c>
      <c r="CG37" s="33">
        <f>ROUND(坦克等级成长!$F134*VLOOKUP($BV$2,坦克等级成长!$B$36:$G$42,MATCH(CG$3,坦克等级成长!$B$35:$G$35,0)),0)</f>
        <v>563</v>
      </c>
      <c r="CH37" s="33">
        <f t="shared" si="10"/>
        <v>563</v>
      </c>
      <c r="CI37" s="33">
        <v>452</v>
      </c>
      <c r="CJ37" s="33">
        <f>ROUND(坦克等级成长!$F134*VLOOKUP($BV$2,坦克等级成长!$B$36:$G$42,MATCH(CJ$3,坦克等级成长!$B$35:$G$35,0)),0)</f>
        <v>709</v>
      </c>
      <c r="CK37" s="33">
        <f>ROUND(坦克等级成长!$F134*VLOOKUP($BV$2,坦克等级成长!$B$36:$G$42,MATCH(CK$3,坦克等级成长!$B$35:$G$35,0)),0)</f>
        <v>166</v>
      </c>
      <c r="CL37" s="191">
        <v>2</v>
      </c>
      <c r="CM37" s="33">
        <f>ROUND(坦克等级成长!$H134*VLOOKUP($BV$2,坦克等级成长!$B$36:$G$42,MATCH(CM$3,坦克等级成长!$B$35:$G$35,0)),0)</f>
        <v>1694</v>
      </c>
      <c r="CN37" s="33">
        <f>ROUND(坦克等级成长!$H134*VLOOKUP($BV$2,坦克等级成长!$B$36:$G$42,MATCH(CN$3,坦克等级成长!$B$35:$G$35,0)),0)</f>
        <v>160</v>
      </c>
      <c r="CO37" s="33">
        <f>ROUND(坦克等级成长!$H134*VLOOKUP($BV$2,坦克等级成长!$B$36:$G$42,MATCH(CO$3,坦克等级成长!$B$35:$G$35,0)),0)</f>
        <v>574</v>
      </c>
      <c r="CP37" s="33">
        <f t="shared" si="24"/>
        <v>574</v>
      </c>
      <c r="CQ37" s="33">
        <v>452</v>
      </c>
      <c r="CR37" s="33">
        <f>ROUND(坦克等级成长!$H134*VLOOKUP($BV$2,坦克等级成长!$B$36:$G$42,MATCH(CR$3,坦克等级成长!$B$35:$G$35,0)),0)</f>
        <v>724</v>
      </c>
      <c r="CS37" s="33">
        <f>ROUND(坦克等级成长!$H134*VLOOKUP($BV$2,坦克等级成长!$B$36:$G$42,MATCH(CS$3,坦克等级成长!$B$35:$G$35,0)),0)</f>
        <v>169</v>
      </c>
      <c r="CT37" s="191">
        <v>2</v>
      </c>
      <c r="CU37" s="33">
        <f>ROUND(坦克等级成长!$D134*VLOOKUP($CT$2,坦克等级成长!$B$36:$G$42,MATCH(CU$3,坦克等级成长!$B$35:$G$35,0)),0)</f>
        <v>1544</v>
      </c>
      <c r="CV37" s="33">
        <f>ROUND(坦克等级成长!$D134*VLOOKUP($CT$2,坦克等级成长!$B$36:$G$42,MATCH(CV$3,坦克等级成长!$B$35:$G$35,0)),0)</f>
        <v>351</v>
      </c>
      <c r="CW37" s="33">
        <f>ROUND(坦克等级成长!$D134*VLOOKUP($CT$2,坦克等级成长!$B$36:$G$42,MATCH(CW$3,坦克等级成长!$B$35:$G$35,0)),0)</f>
        <v>689</v>
      </c>
      <c r="CX37" s="33">
        <f t="shared" si="32"/>
        <v>689</v>
      </c>
      <c r="CY37" s="33">
        <v>543.75</v>
      </c>
      <c r="CZ37" s="33">
        <f>ROUND(坦克等级成长!$D134*VLOOKUP($CT$2,坦克等级成长!$B$36:$G$42,MATCH(CZ$3,坦克等级成长!$B$35:$G$35,0)),0)</f>
        <v>579</v>
      </c>
      <c r="DA37" s="33">
        <f>ROUND(坦克等级成长!$D134*VLOOKUP($CT$2,坦克等级成长!$B$36:$G$42,MATCH(DA$3,坦克等级成长!$B$35:$G$35,0)),0)</f>
        <v>154</v>
      </c>
      <c r="DB37" s="198">
        <v>2</v>
      </c>
      <c r="DC37" s="33">
        <f>ROUND(坦克等级成长!$F134*VLOOKUP($CT$2,坦克等级成长!$B$36:$G$42,MATCH(DC$3,坦克等级成长!$B$35:$G$35,0)),0)</f>
        <v>1576</v>
      </c>
      <c r="DD37" s="33">
        <f>ROUND(坦克等级成长!$F134*VLOOKUP($CT$2,坦克等级成长!$B$36:$G$42,MATCH(DD$3,坦克等级成长!$B$35:$G$35,0)),0)</f>
        <v>358</v>
      </c>
      <c r="DE37" s="33">
        <f>ROUND(坦克等级成长!$F134*VLOOKUP($CT$2,坦克等级成长!$B$36:$G$42,MATCH(DE$3,坦克等级成长!$B$35:$G$35,0)),0)</f>
        <v>704</v>
      </c>
      <c r="DF37" s="33">
        <f t="shared" si="11"/>
        <v>704</v>
      </c>
      <c r="DG37" s="33">
        <v>566</v>
      </c>
      <c r="DH37" s="33">
        <f>ROUND(坦克等级成长!$F134*VLOOKUP($CT$2,坦克等级成长!$B$36:$G$42,MATCH(DH$3,坦克等级成长!$B$35:$G$35,0)),0)</f>
        <v>591</v>
      </c>
      <c r="DI37" s="33">
        <f>ROUND(坦克等级成长!$F134*VLOOKUP($CT$2,坦克等级成长!$B$36:$G$42,MATCH(DI$3,坦克等级成长!$B$35:$G$35,0)),0)</f>
        <v>158</v>
      </c>
      <c r="DJ37" s="191">
        <v>2</v>
      </c>
      <c r="DK37" s="33">
        <f>ROUND(坦克等级成长!$H134*VLOOKUP($CT$2,坦克等级成长!$B$36:$G$42,MATCH(DK$3,坦克等级成长!$B$35:$G$35,0)),0)</f>
        <v>1608</v>
      </c>
      <c r="DL37" s="33">
        <f>ROUND(坦克等级成长!$H134*VLOOKUP($CT$2,坦克等级成长!$B$36:$G$42,MATCH(DL$3,坦克等级成长!$B$35:$G$35,0)),0)</f>
        <v>365</v>
      </c>
      <c r="DM37" s="33">
        <f>ROUND(坦克等级成长!$H134*VLOOKUP($CT$2,坦克等级成长!$B$36:$G$42,MATCH(DM$3,坦克等级成长!$B$35:$G$35,0)),0)</f>
        <v>718</v>
      </c>
      <c r="DN37" s="33">
        <f t="shared" si="25"/>
        <v>718</v>
      </c>
      <c r="DO37" s="33">
        <v>566</v>
      </c>
      <c r="DP37" s="33">
        <f>ROUND(坦克等级成长!$H134*VLOOKUP($CT$2,坦克等级成长!$B$36:$G$42,MATCH(DP$3,坦克等级成长!$B$35:$G$35,0)),0)</f>
        <v>603</v>
      </c>
      <c r="DQ37" s="33">
        <f>ROUND(坦克等级成长!$H134*VLOOKUP($CT$2,坦克等级成长!$B$36:$G$42,MATCH(DQ$3,坦克等级成长!$B$35:$G$35,0)),0)</f>
        <v>161</v>
      </c>
      <c r="DR37" s="191">
        <v>2</v>
      </c>
      <c r="DS37" s="33">
        <f>ROUND(坦克等级成长!$D134*VLOOKUP($DR$2,坦克等级成长!$B$36:$G$42,MATCH(DS$3,坦克等级成长!$B$35:$G$35,0)),0)</f>
        <v>1757</v>
      </c>
      <c r="DT37" s="33">
        <f>ROUND(坦克等级成长!$D134*VLOOKUP($DR$2,坦克等级成长!$B$36:$G$42,MATCH(DT$3,坦克等级成长!$B$35:$G$35,0)),0)</f>
        <v>599</v>
      </c>
      <c r="DU37" s="33">
        <f>ROUND(坦克等级成长!$D134*VLOOKUP($DR$2,坦克等级成长!$B$36:$G$42,MATCH(DU$3,坦克等级成长!$B$35:$G$35,0)),0)</f>
        <v>551</v>
      </c>
      <c r="DV37" s="33">
        <f t="shared" si="33"/>
        <v>551</v>
      </c>
      <c r="DW37" s="33">
        <v>464</v>
      </c>
      <c r="DX37" s="33">
        <f>ROUND(坦克等级成长!$D134*VLOOKUP($DR$2,坦克等级成长!$B$36:$G$42,MATCH(DX$3,坦克等级成长!$B$35:$G$35,0)),0)</f>
        <v>811</v>
      </c>
      <c r="DY37" s="33">
        <f>ROUND(坦克等级成长!$D134*VLOOKUP($DR$2,坦克等级成长!$B$36:$G$42,MATCH(DY$3,坦克等级成长!$B$35:$G$35,0)),0)</f>
        <v>176</v>
      </c>
      <c r="DZ37" s="198">
        <v>2</v>
      </c>
      <c r="EA37" s="33">
        <f>ROUND(坦克等级成长!$F134*VLOOKUP($DR$2,坦克等级成长!$B$36:$G$42,MATCH(EA$3,坦克等级成长!$B$35:$G$35,0)),0)</f>
        <v>1793</v>
      </c>
      <c r="EB37" s="33">
        <f>ROUND(坦克等级成长!$F134*VLOOKUP($DR$2,坦克等级成长!$B$36:$G$42,MATCH(EB$3,坦克等级成长!$B$35:$G$35,0)),0)</f>
        <v>612</v>
      </c>
      <c r="EC37" s="33">
        <f>ROUND(坦克等级成长!$F134*VLOOKUP($DR$2,坦克等级成长!$B$36:$G$42,MATCH(EC$3,坦克等级成长!$B$35:$G$35,0)),0)</f>
        <v>563</v>
      </c>
      <c r="ED37" s="33">
        <f t="shared" si="12"/>
        <v>563</v>
      </c>
      <c r="EE37" s="33">
        <v>482</v>
      </c>
      <c r="EF37" s="33">
        <f>ROUND(坦克等级成长!$F134*VLOOKUP($DR$2,坦克等级成长!$B$36:$G$42,MATCH(EF$3,坦克等级成长!$B$35:$G$35,0)),0)</f>
        <v>827</v>
      </c>
      <c r="EG37" s="33">
        <f>ROUND(坦克等级成长!$F134*VLOOKUP($DR$2,坦克等级成长!$B$36:$G$42,MATCH(EG$3,坦克等级成长!$B$35:$G$35,0)),0)</f>
        <v>179</v>
      </c>
      <c r="EH37" s="191">
        <v>2</v>
      </c>
      <c r="EI37" s="33">
        <f>ROUND(坦克等级成长!$H134*VLOOKUP($DR$2,坦克等级成长!$B$36:$G$42,MATCH(EI$3,坦克等级成长!$B$35:$G$35,0)),0)</f>
        <v>1829</v>
      </c>
      <c r="EJ37" s="33">
        <f>ROUND(坦克等级成长!$H134*VLOOKUP($DR$2,坦克等级成长!$B$36:$G$42,MATCH(EJ$3,坦克等级成长!$B$35:$G$35,0)),0)</f>
        <v>624</v>
      </c>
      <c r="EK37" s="33">
        <f>ROUND(坦克等级成长!$H134*VLOOKUP($DR$2,坦克等级成长!$B$36:$G$42,MATCH(EK$3,坦克等级成长!$B$35:$G$35,0)),0)</f>
        <v>574</v>
      </c>
      <c r="EL37" s="33">
        <f t="shared" si="26"/>
        <v>574</v>
      </c>
      <c r="EM37" s="33">
        <v>482</v>
      </c>
      <c r="EN37" s="33">
        <f>ROUND(坦克等级成长!$H134*VLOOKUP($DR$2,坦克等级成长!$B$36:$G$42,MATCH(EN$3,坦克等级成长!$B$35:$G$35,0)),0)</f>
        <v>844</v>
      </c>
      <c r="EO37" s="33">
        <f>ROUND(坦克等级成长!$H134*VLOOKUP($DR$2,坦克等级成长!$B$36:$G$42,MATCH(EO$3,坦克等级成长!$B$35:$G$35,0)),0)</f>
        <v>183</v>
      </c>
      <c r="EP37" s="191">
        <v>2</v>
      </c>
      <c r="EQ37" s="33">
        <f>ROUND(坦克等级成长!$D134*VLOOKUP($EP$2,坦克等级成长!$B$36:$G$42,MATCH(EQ$3,坦克等级成长!$B$35:$G$35,0)),0)</f>
        <v>1627</v>
      </c>
      <c r="ER37" s="33">
        <f>ROUND(坦克等级成长!$D134*VLOOKUP($EP$2,坦克等级成长!$B$36:$G$42,MATCH(ER$3,坦克等级成长!$B$35:$G$35,0)),0)</f>
        <v>186</v>
      </c>
      <c r="ES37" s="33">
        <f>ROUND(坦克等级成长!$D134*VLOOKUP($EP$2,坦克等级成长!$B$36:$G$42,MATCH(ES$3,坦克等级成长!$B$35:$G$35,0)),0)</f>
        <v>634</v>
      </c>
      <c r="ET37" s="33">
        <f t="shared" si="34"/>
        <v>634</v>
      </c>
      <c r="EU37" s="33">
        <v>500.25</v>
      </c>
      <c r="EV37" s="33">
        <f>ROUND(坦克等级成长!$D134*VLOOKUP($EP$2,坦克等级成长!$B$36:$G$42,MATCH(EV$3,坦克等级成长!$B$35:$G$35,0)),0)</f>
        <v>695</v>
      </c>
      <c r="EW37" s="33">
        <f>ROUND(坦克等级成长!$D134*VLOOKUP($EP$2,坦克等级成长!$B$36:$G$42,MATCH(EW$3,坦克等级成长!$B$35:$G$35,0)),0)</f>
        <v>163</v>
      </c>
      <c r="EX37" s="198">
        <v>2</v>
      </c>
      <c r="EY37" s="33">
        <f>ROUND(坦克等级成长!$F134*VLOOKUP($EP$2,坦克等级成长!$B$36:$G$42,MATCH(EY$3,坦克等级成长!$B$35:$G$35,0)),0)</f>
        <v>1661</v>
      </c>
      <c r="EZ37" s="33">
        <f>ROUND(坦克等级成长!$F134*VLOOKUP($EP$2,坦克等级成长!$B$36:$G$42,MATCH(EZ$3,坦克等级成长!$B$35:$G$35,0)),0)</f>
        <v>190</v>
      </c>
      <c r="FA37" s="33">
        <f>ROUND(坦克等级成长!$F134*VLOOKUP($EP$2,坦克等级成长!$B$36:$G$42,MATCH(FA$3,坦克等级成长!$B$35:$G$35,0)),0)</f>
        <v>647</v>
      </c>
      <c r="FB37" s="33">
        <f t="shared" si="13"/>
        <v>647</v>
      </c>
      <c r="FC37" s="33">
        <v>520</v>
      </c>
      <c r="FD37" s="33">
        <f>ROUND(坦克等级成长!$F134*VLOOKUP($EP$2,坦克等级成长!$B$36:$G$42,MATCH(FD$3,坦克等级成长!$B$35:$G$35,0)),0)</f>
        <v>709</v>
      </c>
      <c r="FE37" s="33">
        <f>ROUND(坦克等级成长!$F134*VLOOKUP($EP$2,坦克等级成长!$B$36:$G$42,MATCH(FE$3,坦克等级成长!$B$35:$G$35,0)),0)</f>
        <v>166</v>
      </c>
      <c r="FF37" s="191">
        <v>2</v>
      </c>
      <c r="FG37" s="33">
        <f>ROUND(坦克等级成长!$H134*VLOOKUP($EP$2,坦克等级成长!$B$36:$G$42,MATCH(FG$3,坦克等级成长!$B$35:$G$35,0)),0)</f>
        <v>1694</v>
      </c>
      <c r="FH37" s="33">
        <f>ROUND(坦克等级成长!$H134*VLOOKUP($EP$2,坦克等级成长!$B$36:$G$42,MATCH(FH$3,坦克等级成长!$B$35:$G$35,0)),0)</f>
        <v>194</v>
      </c>
      <c r="FI37" s="33">
        <f>ROUND(坦克等级成长!$H134*VLOOKUP($EP$2,坦克等级成长!$B$36:$G$42,MATCH(FI$3,坦克等级成长!$B$35:$G$35,0)),0)</f>
        <v>660</v>
      </c>
      <c r="FJ37" s="33">
        <f t="shared" si="27"/>
        <v>660</v>
      </c>
      <c r="FK37" s="33">
        <v>520</v>
      </c>
      <c r="FL37" s="33">
        <f>ROUND(坦克等级成长!$H134*VLOOKUP($EP$2,坦克等级成长!$B$36:$G$42,MATCH(FL$3,坦克等级成长!$B$35:$G$35,0)),0)</f>
        <v>724</v>
      </c>
      <c r="FM37" s="33">
        <f>ROUND(坦克等级成长!$H134*VLOOKUP($EP$2,坦克等级成长!$B$36:$G$42,MATCH(FM$3,坦克等级成长!$B$35:$G$35,0)),0)</f>
        <v>169</v>
      </c>
    </row>
    <row r="38" spans="1:169" ht="14.25" x14ac:dyDescent="0.3">
      <c r="A38" s="188">
        <v>4</v>
      </c>
      <c r="B38" s="191">
        <v>3</v>
      </c>
      <c r="C38" s="33">
        <f>ROUND(坦克等级成长!$D135*VLOOKUP($B$2,坦克等级成长!$B$36:$G$42,MATCH(C$3,坦克等级成长!$B$35:$G$35,0)),0)</f>
        <v>1624</v>
      </c>
      <c r="D38" s="33">
        <f>ROUND(坦克等级成长!$D135*VLOOKUP($B$2,坦克等级成长!$B$36:$G$42,MATCH(D$3,坦克等级成长!$B$35:$G$35,0)),0)</f>
        <v>177</v>
      </c>
      <c r="E38" s="33">
        <f>ROUND(坦克等级成长!$D135*VLOOKUP($B$2,坦克等级成长!$B$36:$G$42,MATCH(E$3,坦克等级成长!$B$35:$G$35,0)),0)</f>
        <v>609</v>
      </c>
      <c r="F38" s="33">
        <f t="shared" si="28"/>
        <v>609</v>
      </c>
      <c r="G38" s="33">
        <v>449.4</v>
      </c>
      <c r="H38" s="33">
        <f>ROUND(坦克等级成长!$D135*VLOOKUP($B$2,坦克等级成长!$B$36:$G$42,MATCH(H$3,坦克等级成长!$B$35:$G$35,0)),0)</f>
        <v>609</v>
      </c>
      <c r="I38" s="33">
        <f>ROUND(坦克等级成长!$D135*VLOOKUP($B$2,坦克等级成长!$B$36:$G$42,MATCH(I$3,坦克等级成长!$B$35:$G$35,0)),0)</f>
        <v>162</v>
      </c>
      <c r="J38" s="198">
        <v>3</v>
      </c>
      <c r="K38" s="33">
        <f>ROUND(坦克等级成长!$F135*VLOOKUP($B$2,坦克等级成长!$B$36:$G$42,MATCH(K$3,坦克等级成长!$B$35:$G$35,0)),0)</f>
        <v>1656</v>
      </c>
      <c r="L38" s="33">
        <f>ROUND(坦克等级成长!$F135*VLOOKUP($B$2,坦克等级成长!$B$36:$G$42,MATCH(L$3,坦克等级成长!$B$35:$G$35,0)),0)</f>
        <v>180</v>
      </c>
      <c r="M38" s="33">
        <f>ROUND(坦克等级成长!$F135*VLOOKUP($B$2,坦克等级成长!$B$36:$G$42,MATCH(M$3,坦克等级成长!$B$35:$G$35,0)),0)</f>
        <v>621</v>
      </c>
      <c r="N38" s="33">
        <f t="shared" si="7"/>
        <v>621</v>
      </c>
      <c r="O38" s="33">
        <v>466</v>
      </c>
      <c r="P38" s="33">
        <f>ROUND(坦克等级成长!$F135*VLOOKUP($B$2,坦克等级成长!$B$36:$G$42,MATCH(P$3,坦克等级成长!$B$35:$G$35,0)),0)</f>
        <v>621</v>
      </c>
      <c r="Q38" s="33">
        <f>ROUND(坦克等级成长!$F135*VLOOKUP($B$2,坦克等级成长!$B$36:$G$42,MATCH(Q$3,坦克等级成长!$B$35:$G$35,0)),0)</f>
        <v>166</v>
      </c>
      <c r="R38" s="191">
        <v>3</v>
      </c>
      <c r="S38" s="33">
        <f>ROUND(坦克等级成长!$H135*VLOOKUP($B$2,坦克等级成长!$B$36:$G$42,MATCH(S$3,坦克等级成长!$B$35:$G$35,0)),0)</f>
        <v>1688</v>
      </c>
      <c r="T38" s="33">
        <f>ROUND(坦克等级成长!$H135*VLOOKUP($B$2,坦克等级成长!$B$36:$G$42,MATCH(T$3,坦克等级成长!$B$35:$G$35,0)),0)</f>
        <v>184</v>
      </c>
      <c r="U38" s="33">
        <f>ROUND(坦克等级成长!$H135*VLOOKUP($B$2,坦克等级成长!$B$36:$G$42,MATCH(U$3,坦克等级成长!$B$35:$G$35,0)),0)</f>
        <v>633</v>
      </c>
      <c r="V38" s="33">
        <f t="shared" si="21"/>
        <v>633</v>
      </c>
      <c r="W38" s="33">
        <v>466</v>
      </c>
      <c r="X38" s="33">
        <f>ROUND(坦克等级成长!$H135*VLOOKUP($B$2,坦克等级成长!$B$36:$G$42,MATCH(X$3,坦克等级成长!$B$35:$G$35,0)),0)</f>
        <v>633</v>
      </c>
      <c r="Y38" s="33">
        <f>ROUND(坦克等级成长!$H135*VLOOKUP($B$2,坦克等级成长!$B$36:$G$42,MATCH(Y$3,坦克等级成长!$B$35:$G$35,0)),0)</f>
        <v>169</v>
      </c>
      <c r="Z38" s="191">
        <v>3</v>
      </c>
      <c r="AA38" s="33">
        <f>ROUND(坦克等级成长!$D135*VLOOKUP($Z$2,坦克等级成长!$B$36:$G$42,MATCH(AA$3,坦克等级成长!$B$35:$G$35,0)),0)</f>
        <v>1624</v>
      </c>
      <c r="AB38" s="33">
        <f>ROUND(坦克等级成长!$D135*VLOOKUP($Z$2,坦克等级成长!$B$36:$G$42,MATCH(AB$3,坦克等级成长!$B$35:$G$35,0)),0)</f>
        <v>96</v>
      </c>
      <c r="AC38" s="33">
        <f>ROUND(坦克等级成长!$D135*VLOOKUP($Z$2,坦克等级成长!$B$36:$G$42,MATCH(AC$3,坦克等级成长!$B$35:$G$35,0)),0)</f>
        <v>667</v>
      </c>
      <c r="AD38" s="33">
        <f t="shared" si="29"/>
        <v>667</v>
      </c>
      <c r="AE38" s="33">
        <v>492.1</v>
      </c>
      <c r="AF38" s="33">
        <f>ROUND(坦克等级成长!$D135*VLOOKUP($Z$2,坦克等级成长!$B$36:$G$42,MATCH(AF$3,坦克等级成长!$B$35:$G$35,0)),0)</f>
        <v>609</v>
      </c>
      <c r="AG38" s="33">
        <f>ROUND(坦克等级成长!$D135*VLOOKUP($Z$2,坦克等级成长!$B$36:$G$42,MATCH(AG$3,坦克等级成长!$B$35:$G$35,0)),0)</f>
        <v>162</v>
      </c>
      <c r="AH38" s="198">
        <v>3</v>
      </c>
      <c r="AI38" s="33">
        <f>ROUND(坦克等级成长!$F135*VLOOKUP($Z$2,坦克等级成长!$B$36:$G$42,MATCH(AI$3,坦克等级成长!$B$35:$G$35,0)),0)</f>
        <v>1656</v>
      </c>
      <c r="AJ38" s="33">
        <f>ROUND(坦克等级成长!$F135*VLOOKUP($Z$2,坦克等级成长!$B$36:$G$42,MATCH(AJ$3,坦克等级成长!$B$35:$G$35,0)),0)</f>
        <v>98</v>
      </c>
      <c r="AK38" s="33">
        <f>ROUND(坦克等级成长!$F135*VLOOKUP($Z$2,坦克等级成长!$B$36:$G$42,MATCH(AK$3,坦克等级成长!$B$35:$G$35,0)),0)</f>
        <v>680</v>
      </c>
      <c r="AL38" s="33">
        <f t="shared" si="8"/>
        <v>680</v>
      </c>
      <c r="AM38" s="33">
        <v>510</v>
      </c>
      <c r="AN38" s="33">
        <f>ROUND(坦克等级成长!$F135*VLOOKUP($Z$2,坦克等级成长!$B$36:$G$42,MATCH(AN$3,坦克等级成长!$B$35:$G$35,0)),0)</f>
        <v>621</v>
      </c>
      <c r="AO38" s="33">
        <f>ROUND(坦克等级成长!$F135*VLOOKUP($Z$2,坦克等级成长!$B$36:$G$42,MATCH(AO$3,坦克等级成长!$B$35:$G$35,0)),0)</f>
        <v>166</v>
      </c>
      <c r="AP38" s="191">
        <v>3</v>
      </c>
      <c r="AQ38" s="33">
        <f>ROUND(坦克等级成长!$H135*VLOOKUP($Z$2,坦克等级成长!$B$36:$G$42,MATCH(AQ$3,坦克等级成长!$B$35:$G$35,0)),0)</f>
        <v>1688</v>
      </c>
      <c r="AR38" s="33">
        <f>ROUND(坦克等级成长!$H135*VLOOKUP($Z$2,坦克等级成长!$B$36:$G$42,MATCH(AR$3,坦克等级成长!$B$35:$G$35,0)),0)</f>
        <v>99</v>
      </c>
      <c r="AS38" s="33">
        <f>ROUND(坦克等级成长!$H135*VLOOKUP($Z$2,坦克等级成长!$B$36:$G$42,MATCH(AS$3,坦克等级成长!$B$35:$G$35,0)),0)</f>
        <v>693</v>
      </c>
      <c r="AT38" s="33">
        <f t="shared" si="22"/>
        <v>693</v>
      </c>
      <c r="AU38" s="33">
        <v>510</v>
      </c>
      <c r="AV38" s="33">
        <f>ROUND(坦克等级成长!$H135*VLOOKUP($Z$2,坦克等级成长!$B$36:$G$42,MATCH(AV$3,坦克等级成长!$B$35:$G$35,0)),0)</f>
        <v>633</v>
      </c>
      <c r="AW38" s="33">
        <f>ROUND(坦克等级成长!$H135*VLOOKUP($Z$2,坦克等级成长!$B$36:$G$42,MATCH(AW$3,坦克等级成长!$B$35:$G$35,0)),0)</f>
        <v>169</v>
      </c>
      <c r="AX38" s="191">
        <v>3</v>
      </c>
      <c r="AY38" s="33">
        <f>ROUND(坦克等级成长!$D135*VLOOKUP($AX$2,坦克等级成长!$B$36:$G$42,MATCH(AY$3,坦克等级成长!$B$35:$G$35,0)),0)</f>
        <v>1624</v>
      </c>
      <c r="AZ38" s="33">
        <f>ROUND(坦克等级成长!$D135*VLOOKUP($AX$2,坦克等级成长!$B$36:$G$42,MATCH(AZ$3,坦克等级成长!$B$35:$G$35,0)),0)</f>
        <v>177</v>
      </c>
      <c r="BA38" s="33">
        <f>ROUND(坦克等级成长!$D135*VLOOKUP($AX$2,坦克等级成长!$B$36:$G$42,MATCH(BA$3,坦克等级成长!$B$35:$G$35,0)),0)</f>
        <v>609</v>
      </c>
      <c r="BB38" s="33">
        <f t="shared" si="30"/>
        <v>609</v>
      </c>
      <c r="BC38" s="33">
        <v>449.4</v>
      </c>
      <c r="BD38" s="33">
        <f>ROUND(坦克等级成长!$D135*VLOOKUP($AX$2,坦克等级成长!$B$36:$G$42,MATCH(BD$3,坦克等级成长!$B$35:$G$35,0)),0)</f>
        <v>609</v>
      </c>
      <c r="BE38" s="33">
        <f>ROUND(坦克等级成长!$D135*VLOOKUP($AX$2,坦克等级成长!$B$36:$G$42,MATCH(BE$3,坦克等级成长!$B$35:$G$35,0)),0)</f>
        <v>162</v>
      </c>
      <c r="BF38" s="198">
        <v>3</v>
      </c>
      <c r="BG38" s="33">
        <f>ROUND(坦克等级成长!$F135*VLOOKUP($AX$2,坦克等级成长!$B$36:$G$42,MATCH(BG$3,坦克等级成长!$B$35:$G$35,0)),0)</f>
        <v>1656</v>
      </c>
      <c r="BH38" s="33">
        <f>ROUND(坦克等级成长!$F135*VLOOKUP($AX$2,坦克等级成长!$B$36:$G$42,MATCH(BH$3,坦克等级成长!$B$35:$G$35,0)),0)</f>
        <v>180</v>
      </c>
      <c r="BI38" s="33">
        <f>ROUND(坦克等级成长!$F135*VLOOKUP($AX$2,坦克等级成长!$B$36:$G$42,MATCH(BI$3,坦克等级成长!$B$35:$G$35,0)),0)</f>
        <v>621</v>
      </c>
      <c r="BJ38" s="33">
        <f t="shared" si="9"/>
        <v>621</v>
      </c>
      <c r="BK38" s="33">
        <v>466</v>
      </c>
      <c r="BL38" s="33">
        <f>ROUND(坦克等级成长!$F135*VLOOKUP($AX$2,坦克等级成长!$B$36:$G$42,MATCH(BL$3,坦克等级成长!$B$35:$G$35,0)),0)</f>
        <v>621</v>
      </c>
      <c r="BM38" s="33">
        <f>ROUND(坦克等级成长!$F135*VLOOKUP($AX$2,坦克等级成长!$B$36:$G$42,MATCH(BM$3,坦克等级成长!$B$35:$G$35,0)),0)</f>
        <v>166</v>
      </c>
      <c r="BN38" s="191">
        <v>3</v>
      </c>
      <c r="BO38" s="33">
        <f>ROUND(坦克等级成长!$H135*VLOOKUP($AX$2,坦克等级成长!$B$36:$G$42,MATCH(BO$3,坦克等级成长!$B$35:$G$35,0)),0)</f>
        <v>1688</v>
      </c>
      <c r="BP38" s="33">
        <f>ROUND(坦克等级成长!$H135*VLOOKUP($AX$2,坦克等级成长!$B$36:$G$42,MATCH(BP$3,坦克等级成长!$B$35:$G$35,0)),0)</f>
        <v>184</v>
      </c>
      <c r="BQ38" s="33">
        <f>ROUND(坦克等级成长!$H135*VLOOKUP($AX$2,坦克等级成长!$B$36:$G$42,MATCH(BQ$3,坦克等级成长!$B$35:$G$35,0)),0)</f>
        <v>633</v>
      </c>
      <c r="BR38" s="33">
        <f t="shared" si="23"/>
        <v>633</v>
      </c>
      <c r="BS38" s="33">
        <v>466</v>
      </c>
      <c r="BT38" s="33">
        <f>ROUND(坦克等级成长!$H135*VLOOKUP($AX$2,坦克等级成长!$B$36:$G$42,MATCH(BT$3,坦克等级成长!$B$35:$G$35,0)),0)</f>
        <v>633</v>
      </c>
      <c r="BU38" s="33">
        <f>ROUND(坦克等级成长!$H135*VLOOKUP($AX$2,坦克等级成长!$B$36:$G$42,MATCH(BU$3,坦克等级成长!$B$35:$G$35,0)),0)</f>
        <v>169</v>
      </c>
      <c r="BV38" s="191">
        <v>3</v>
      </c>
      <c r="BW38" s="33">
        <f>ROUND(坦克等级成长!$D135*VLOOKUP($BV$2,坦克等级成长!$B$36:$G$42,MATCH(BW$3,坦克等级成长!$B$35:$G$35,0)),0)</f>
        <v>1711</v>
      </c>
      <c r="BX38" s="33">
        <f>ROUND(坦克等级成长!$D135*VLOOKUP($BV$2,坦克等级成长!$B$36:$G$42,MATCH(BX$3,坦克等级成长!$B$35:$G$35,0)),0)</f>
        <v>161</v>
      </c>
      <c r="BY38" s="33">
        <f>ROUND(坦克等级成长!$D135*VLOOKUP($BV$2,坦克等级成长!$B$36:$G$42,MATCH(BY$3,坦克等级成长!$B$35:$G$35,0)),0)</f>
        <v>580</v>
      </c>
      <c r="BZ38" s="33">
        <f t="shared" si="31"/>
        <v>580</v>
      </c>
      <c r="CA38" s="33">
        <v>458.25</v>
      </c>
      <c r="CB38" s="33">
        <f>ROUND(坦克等级成长!$D135*VLOOKUP($BV$2,坦克等级成长!$B$36:$G$42,MATCH(CB$3,坦克等级成长!$B$35:$G$35,0)),0)</f>
        <v>731</v>
      </c>
      <c r="CC38" s="33">
        <f>ROUND(坦克等级成长!$D135*VLOOKUP($BV$2,坦克等级成长!$B$36:$G$42,MATCH(CC$3,坦克等级成长!$B$35:$G$35,0)),0)</f>
        <v>171</v>
      </c>
      <c r="CD38" s="198">
        <v>3</v>
      </c>
      <c r="CE38" s="33">
        <f>ROUND(坦克等级成长!$F135*VLOOKUP($BV$2,坦克等级成长!$B$36:$G$42,MATCH(CE$3,坦克等级成长!$B$35:$G$35,0)),0)</f>
        <v>1745</v>
      </c>
      <c r="CF38" s="33">
        <f>ROUND(坦克等级成长!$F135*VLOOKUP($BV$2,坦克等级成长!$B$36:$G$42,MATCH(CF$3,坦克等级成长!$B$35:$G$35,0)),0)</f>
        <v>165</v>
      </c>
      <c r="CG38" s="33">
        <f>ROUND(坦克等级成长!$F135*VLOOKUP($BV$2,坦克等级成长!$B$36:$G$42,MATCH(CG$3,坦克等级成长!$B$35:$G$35,0)),0)</f>
        <v>591</v>
      </c>
      <c r="CH38" s="33">
        <f t="shared" si="10"/>
        <v>591</v>
      </c>
      <c r="CI38" s="33">
        <v>476</v>
      </c>
      <c r="CJ38" s="33">
        <f>ROUND(坦克等级成长!$F135*VLOOKUP($BV$2,坦克等级成长!$B$36:$G$42,MATCH(CJ$3,坦克等级成长!$B$35:$G$35,0)),0)</f>
        <v>745</v>
      </c>
      <c r="CK38" s="33">
        <f>ROUND(坦克等级成长!$F135*VLOOKUP($BV$2,坦克等级成长!$B$36:$G$42,MATCH(CK$3,坦克等级成长!$B$35:$G$35,0)),0)</f>
        <v>174</v>
      </c>
      <c r="CL38" s="191">
        <v>3</v>
      </c>
      <c r="CM38" s="33">
        <f>ROUND(坦克等级成长!$H135*VLOOKUP($BV$2,坦克等级成长!$B$36:$G$42,MATCH(CM$3,坦克等级成长!$B$35:$G$35,0)),0)</f>
        <v>1779</v>
      </c>
      <c r="CN38" s="33">
        <f>ROUND(坦克等级成长!$H135*VLOOKUP($BV$2,坦克等级成长!$B$36:$G$42,MATCH(CN$3,坦克等级成长!$B$35:$G$35,0)),0)</f>
        <v>168</v>
      </c>
      <c r="CO38" s="33">
        <f>ROUND(坦克等级成长!$H135*VLOOKUP($BV$2,坦克等级成长!$B$36:$G$42,MATCH(CO$3,坦克等级成长!$B$35:$G$35,0)),0)</f>
        <v>603</v>
      </c>
      <c r="CP38" s="33">
        <f t="shared" si="24"/>
        <v>603</v>
      </c>
      <c r="CQ38" s="33">
        <v>476</v>
      </c>
      <c r="CR38" s="33">
        <f>ROUND(坦克等级成长!$H135*VLOOKUP($BV$2,坦克等级成长!$B$36:$G$42,MATCH(CR$3,坦克等级成长!$B$35:$G$35,0)),0)</f>
        <v>760</v>
      </c>
      <c r="CS38" s="33">
        <f>ROUND(坦克等级成长!$H135*VLOOKUP($BV$2,坦克等级成长!$B$36:$G$42,MATCH(CS$3,坦克等级成长!$B$35:$G$35,0)),0)</f>
        <v>178</v>
      </c>
      <c r="CT38" s="191">
        <v>3</v>
      </c>
      <c r="CU38" s="33">
        <f>ROUND(坦克等级成长!$D135*VLOOKUP($CT$2,坦克等级成长!$B$36:$G$42,MATCH(CU$3,坦克等级成长!$B$35:$G$35,0)),0)</f>
        <v>1624</v>
      </c>
      <c r="CV38" s="33">
        <f>ROUND(坦克等级成长!$D135*VLOOKUP($CT$2,坦克等级成长!$B$36:$G$42,MATCH(CV$3,坦克等级成长!$B$35:$G$35,0)),0)</f>
        <v>369</v>
      </c>
      <c r="CW38" s="33">
        <f>ROUND(坦克等级成长!$D135*VLOOKUP($CT$2,坦克等级成长!$B$36:$G$42,MATCH(CW$3,坦克等级成长!$B$35:$G$35,0)),0)</f>
        <v>725</v>
      </c>
      <c r="CX38" s="33">
        <f t="shared" si="32"/>
        <v>725</v>
      </c>
      <c r="CY38" s="33">
        <v>573</v>
      </c>
      <c r="CZ38" s="33">
        <f>ROUND(坦克等级成长!$D135*VLOOKUP($CT$2,坦克等级成长!$B$36:$G$42,MATCH(CZ$3,坦克等级成长!$B$35:$G$35,0)),0)</f>
        <v>609</v>
      </c>
      <c r="DA38" s="33">
        <f>ROUND(坦克等级成长!$D135*VLOOKUP($CT$2,坦克等级成长!$B$36:$G$42,MATCH(DA$3,坦克等级成长!$B$35:$G$35,0)),0)</f>
        <v>162</v>
      </c>
      <c r="DB38" s="198">
        <v>3</v>
      </c>
      <c r="DC38" s="33">
        <f>ROUND(坦克等级成长!$F135*VLOOKUP($CT$2,坦克等级成长!$B$36:$G$42,MATCH(DC$3,坦克等级成长!$B$35:$G$35,0)),0)</f>
        <v>1656</v>
      </c>
      <c r="DD38" s="33">
        <f>ROUND(坦克等级成长!$F135*VLOOKUP($CT$2,坦克等级成长!$B$36:$G$42,MATCH(DD$3,坦克等级成长!$B$35:$G$35,0)),0)</f>
        <v>376</v>
      </c>
      <c r="DE38" s="33">
        <f>ROUND(坦克等级成长!$F135*VLOOKUP($CT$2,坦克等级成长!$B$36:$G$42,MATCH(DE$3,坦克等级成长!$B$35:$G$35,0)),0)</f>
        <v>739</v>
      </c>
      <c r="DF38" s="33">
        <f t="shared" si="11"/>
        <v>739</v>
      </c>
      <c r="DG38" s="33">
        <v>595</v>
      </c>
      <c r="DH38" s="33">
        <f>ROUND(坦克等级成长!$F135*VLOOKUP($CT$2,坦克等级成长!$B$36:$G$42,MATCH(DH$3,坦克等级成长!$B$35:$G$35,0)),0)</f>
        <v>621</v>
      </c>
      <c r="DI38" s="33">
        <f>ROUND(坦克等级成长!$F135*VLOOKUP($CT$2,坦克等级成长!$B$36:$G$42,MATCH(DI$3,坦克等级成长!$B$35:$G$35,0)),0)</f>
        <v>166</v>
      </c>
      <c r="DJ38" s="191">
        <v>3</v>
      </c>
      <c r="DK38" s="33">
        <f>ROUND(坦克等级成长!$H135*VLOOKUP($CT$2,坦克等级成长!$B$36:$G$42,MATCH(DK$3,坦克等级成长!$B$35:$G$35,0)),0)</f>
        <v>1688</v>
      </c>
      <c r="DL38" s="33">
        <f>ROUND(坦克等级成长!$H135*VLOOKUP($CT$2,坦克等级成长!$B$36:$G$42,MATCH(DL$3,坦克等级成长!$B$35:$G$35,0)),0)</f>
        <v>383</v>
      </c>
      <c r="DM38" s="33">
        <f>ROUND(坦克等级成长!$H135*VLOOKUP($CT$2,坦克等级成长!$B$36:$G$42,MATCH(DM$3,坦克等级成长!$B$35:$G$35,0)),0)</f>
        <v>754</v>
      </c>
      <c r="DN38" s="33">
        <f t="shared" si="25"/>
        <v>754</v>
      </c>
      <c r="DO38" s="33">
        <v>595</v>
      </c>
      <c r="DP38" s="33">
        <f>ROUND(坦克等级成长!$H135*VLOOKUP($CT$2,坦克等级成长!$B$36:$G$42,MATCH(DP$3,坦克等级成长!$B$35:$G$35,0)),0)</f>
        <v>633</v>
      </c>
      <c r="DQ38" s="33">
        <f>ROUND(坦克等级成长!$H135*VLOOKUP($CT$2,坦克等级成长!$B$36:$G$42,MATCH(DQ$3,坦克等级成长!$B$35:$G$35,0)),0)</f>
        <v>169</v>
      </c>
      <c r="DR38" s="191">
        <v>3</v>
      </c>
      <c r="DS38" s="33">
        <f>ROUND(坦克等级成长!$D135*VLOOKUP($DR$2,坦克等级成长!$B$36:$G$42,MATCH(DS$3,坦克等级成长!$B$35:$G$35,0)),0)</f>
        <v>1848</v>
      </c>
      <c r="DT38" s="33">
        <f>ROUND(坦克等级成长!$D135*VLOOKUP($DR$2,坦克等级成长!$B$36:$G$42,MATCH(DT$3,坦克等级成长!$B$35:$G$35,0)),0)</f>
        <v>630</v>
      </c>
      <c r="DU38" s="33">
        <f>ROUND(坦克等级成长!$D135*VLOOKUP($DR$2,坦克等级成长!$B$36:$G$42,MATCH(DU$3,坦克等级成长!$B$35:$G$35,0)),0)</f>
        <v>580</v>
      </c>
      <c r="DV38" s="33">
        <f t="shared" si="33"/>
        <v>580</v>
      </c>
      <c r="DW38" s="33">
        <v>488.8</v>
      </c>
      <c r="DX38" s="33">
        <f>ROUND(坦克等级成长!$D135*VLOOKUP($DR$2,坦克等级成长!$B$36:$G$42,MATCH(DX$3,坦克等级成长!$B$35:$G$35,0)),0)</f>
        <v>853</v>
      </c>
      <c r="DY38" s="33">
        <f>ROUND(坦克等级成长!$D135*VLOOKUP($DR$2,坦克等级成长!$B$36:$G$42,MATCH(DY$3,坦克等级成长!$B$35:$G$35,0)),0)</f>
        <v>185</v>
      </c>
      <c r="DZ38" s="198">
        <v>3</v>
      </c>
      <c r="EA38" s="33">
        <f>ROUND(坦克等级成长!$F135*VLOOKUP($DR$2,坦克等级成长!$B$36:$G$42,MATCH(EA$3,坦克等级成长!$B$35:$G$35,0)),0)</f>
        <v>1884</v>
      </c>
      <c r="EB38" s="33">
        <f>ROUND(坦克等级成长!$F135*VLOOKUP($DR$2,坦克等级成长!$B$36:$G$42,MATCH(EB$3,坦克等级成长!$B$35:$G$35,0)),0)</f>
        <v>643</v>
      </c>
      <c r="EC38" s="33">
        <f>ROUND(坦克等级成长!$F135*VLOOKUP($DR$2,坦克等级成长!$B$36:$G$42,MATCH(EC$3,坦克等级成长!$B$35:$G$35,0)),0)</f>
        <v>591</v>
      </c>
      <c r="ED38" s="33">
        <f t="shared" si="12"/>
        <v>591</v>
      </c>
      <c r="EE38" s="33">
        <v>507</v>
      </c>
      <c r="EF38" s="33">
        <f>ROUND(坦克等级成长!$F135*VLOOKUP($DR$2,坦克等级成长!$B$36:$G$42,MATCH(EF$3,坦克等级成长!$B$35:$G$35,0)),0)</f>
        <v>869</v>
      </c>
      <c r="EG38" s="33">
        <f>ROUND(坦克等级成长!$F135*VLOOKUP($DR$2,坦克等级成长!$B$36:$G$42,MATCH(EG$3,坦克等级成长!$B$35:$G$35,0)),0)</f>
        <v>188</v>
      </c>
      <c r="EH38" s="191">
        <v>3</v>
      </c>
      <c r="EI38" s="33">
        <f>ROUND(坦克等级成长!$H135*VLOOKUP($DR$2,坦克等级成长!$B$36:$G$42,MATCH(EI$3,坦克等级成长!$B$35:$G$35,0)),0)</f>
        <v>1920</v>
      </c>
      <c r="EJ38" s="33">
        <f>ROUND(坦克等级成长!$H135*VLOOKUP($DR$2,坦克等级成长!$B$36:$G$42,MATCH(EJ$3,坦克等级成长!$B$35:$G$35,0)),0)</f>
        <v>655</v>
      </c>
      <c r="EK38" s="33">
        <f>ROUND(坦克等级成长!$H135*VLOOKUP($DR$2,坦克等级成长!$B$36:$G$42,MATCH(EK$3,坦克等级成长!$B$35:$G$35,0)),0)</f>
        <v>603</v>
      </c>
      <c r="EL38" s="33">
        <f t="shared" si="26"/>
        <v>603</v>
      </c>
      <c r="EM38" s="33">
        <v>507</v>
      </c>
      <c r="EN38" s="33">
        <f>ROUND(坦克等级成长!$H135*VLOOKUP($DR$2,坦克等级成长!$B$36:$G$42,MATCH(EN$3,坦克等级成长!$B$35:$G$35,0)),0)</f>
        <v>886</v>
      </c>
      <c r="EO38" s="33">
        <f>ROUND(坦克等级成长!$H135*VLOOKUP($DR$2,坦克等级成长!$B$36:$G$42,MATCH(EO$3,坦克等级成长!$B$35:$G$35,0)),0)</f>
        <v>192</v>
      </c>
      <c r="EP38" s="191">
        <v>3</v>
      </c>
      <c r="EQ38" s="33">
        <f>ROUND(坦克等级成长!$D135*VLOOKUP($EP$2,坦克等级成长!$B$36:$G$42,MATCH(EQ$3,坦克等级成长!$B$35:$G$35,0)),0)</f>
        <v>1711</v>
      </c>
      <c r="ER38" s="33">
        <f>ROUND(坦克等级成长!$D135*VLOOKUP($EP$2,坦克等级成长!$B$36:$G$42,MATCH(ER$3,坦克等级成长!$B$35:$G$35,0)),0)</f>
        <v>196</v>
      </c>
      <c r="ES38" s="33">
        <f>ROUND(坦克等级成长!$D135*VLOOKUP($EP$2,坦克等级成长!$B$36:$G$42,MATCH(ES$3,坦克等级成长!$B$35:$G$35,0)),0)</f>
        <v>667</v>
      </c>
      <c r="ET38" s="33">
        <f t="shared" si="34"/>
        <v>667</v>
      </c>
      <c r="EU38" s="33">
        <v>527.25</v>
      </c>
      <c r="EV38" s="33">
        <f>ROUND(坦克等级成长!$D135*VLOOKUP($EP$2,坦克等级成长!$B$36:$G$42,MATCH(EV$3,坦克等级成长!$B$35:$G$35,0)),0)</f>
        <v>731</v>
      </c>
      <c r="EW38" s="33">
        <f>ROUND(坦克等级成长!$D135*VLOOKUP($EP$2,坦克等级成长!$B$36:$G$42,MATCH(EW$3,坦克等级成长!$B$35:$G$35,0)),0)</f>
        <v>171</v>
      </c>
      <c r="EX38" s="198">
        <v>3</v>
      </c>
      <c r="EY38" s="33">
        <f>ROUND(坦克等级成长!$F135*VLOOKUP($EP$2,坦克等级成长!$B$36:$G$42,MATCH(EY$3,坦克等级成长!$B$35:$G$35,0)),0)</f>
        <v>1745</v>
      </c>
      <c r="EZ38" s="33">
        <f>ROUND(坦克等级成长!$F135*VLOOKUP($EP$2,坦克等级成长!$B$36:$G$42,MATCH(EZ$3,坦克等级成长!$B$35:$G$35,0)),0)</f>
        <v>200</v>
      </c>
      <c r="FA38" s="33">
        <f>ROUND(坦克等级成长!$F135*VLOOKUP($EP$2,坦克等级成长!$B$36:$G$42,MATCH(FA$3,坦克等级成长!$B$35:$G$35,0)),0)</f>
        <v>680</v>
      </c>
      <c r="FB38" s="33">
        <f t="shared" si="13"/>
        <v>680</v>
      </c>
      <c r="FC38" s="33">
        <v>547</v>
      </c>
      <c r="FD38" s="33">
        <f>ROUND(坦克等级成长!$F135*VLOOKUP($EP$2,坦克等级成长!$B$36:$G$42,MATCH(FD$3,坦克等级成长!$B$35:$G$35,0)),0)</f>
        <v>745</v>
      </c>
      <c r="FE38" s="33">
        <f>ROUND(坦克等级成长!$F135*VLOOKUP($EP$2,坦克等级成长!$B$36:$G$42,MATCH(FE$3,坦克等级成长!$B$35:$G$35,0)),0)</f>
        <v>174</v>
      </c>
      <c r="FF38" s="191">
        <v>3</v>
      </c>
      <c r="FG38" s="33">
        <f>ROUND(坦克等级成长!$H135*VLOOKUP($EP$2,坦克等级成长!$B$36:$G$42,MATCH(FG$3,坦克等级成长!$B$35:$G$35,0)),0)</f>
        <v>1779</v>
      </c>
      <c r="FH38" s="33">
        <f>ROUND(坦克等级成长!$H135*VLOOKUP($EP$2,坦克等级成长!$B$36:$G$42,MATCH(FH$3,坦克等级成长!$B$35:$G$35,0)),0)</f>
        <v>204</v>
      </c>
      <c r="FI38" s="33">
        <f>ROUND(坦克等级成长!$H135*VLOOKUP($EP$2,坦克等级成长!$B$36:$G$42,MATCH(FI$3,坦克等级成长!$B$35:$G$35,0)),0)</f>
        <v>693</v>
      </c>
      <c r="FJ38" s="33">
        <f t="shared" si="27"/>
        <v>693</v>
      </c>
      <c r="FK38" s="33">
        <v>547</v>
      </c>
      <c r="FL38" s="33">
        <f>ROUND(坦克等级成长!$H135*VLOOKUP($EP$2,坦克等级成长!$B$36:$G$42,MATCH(FL$3,坦克等级成长!$B$35:$G$35,0)),0)</f>
        <v>760</v>
      </c>
      <c r="FM38" s="33">
        <f>ROUND(坦克等级成长!$H135*VLOOKUP($EP$2,坦克等级成长!$B$36:$G$42,MATCH(FM$3,坦克等级成长!$B$35:$G$35,0)),0)</f>
        <v>178</v>
      </c>
    </row>
    <row r="39" spans="1:169" ht="14.25" x14ac:dyDescent="0.3">
      <c r="A39" s="188">
        <v>4</v>
      </c>
      <c r="B39" s="191">
        <v>4</v>
      </c>
      <c r="C39" s="33">
        <f>ROUND(坦克等级成长!$D136*VLOOKUP($B$2,坦克等级成长!$B$36:$G$42,MATCH(C$3,坦克等级成长!$B$35:$G$35,0)),0)</f>
        <v>1704</v>
      </c>
      <c r="D39" s="33">
        <f>ROUND(坦克等级成长!$D136*VLOOKUP($B$2,坦克等级成长!$B$36:$G$42,MATCH(D$3,坦克等级成长!$B$35:$G$35,0)),0)</f>
        <v>185</v>
      </c>
      <c r="E39" s="33">
        <f>ROUND(坦克等级成长!$D136*VLOOKUP($B$2,坦克等级成长!$B$36:$G$42,MATCH(E$3,坦克等级成长!$B$35:$G$35,0)),0)</f>
        <v>639</v>
      </c>
      <c r="F39" s="33">
        <f t="shared" si="28"/>
        <v>639</v>
      </c>
      <c r="G39" s="33">
        <v>472.5</v>
      </c>
      <c r="H39" s="33">
        <f>ROUND(坦克等级成长!$D136*VLOOKUP($B$2,坦克等级成长!$B$36:$G$42,MATCH(H$3,坦克等级成长!$B$35:$G$35,0)),0)</f>
        <v>639</v>
      </c>
      <c r="I39" s="33">
        <f>ROUND(坦克等级成长!$D136*VLOOKUP($B$2,坦克等级成长!$B$36:$G$42,MATCH(I$3,坦克等级成长!$B$35:$G$35,0)),0)</f>
        <v>170</v>
      </c>
      <c r="J39" s="198">
        <v>4</v>
      </c>
      <c r="K39" s="33">
        <f>ROUND(坦克等级成长!$F136*VLOOKUP($B$2,坦克等级成长!$B$36:$G$42,MATCH(K$3,坦克等级成长!$B$35:$G$35,0)),0)</f>
        <v>1736</v>
      </c>
      <c r="L39" s="33">
        <f>ROUND(坦克等级成长!$F136*VLOOKUP($B$2,坦克等级成长!$B$36:$G$42,MATCH(L$3,坦克等级成长!$B$35:$G$35,0)),0)</f>
        <v>189</v>
      </c>
      <c r="M39" s="33">
        <f>ROUND(坦克等级成长!$F136*VLOOKUP($B$2,坦克等级成长!$B$36:$G$42,MATCH(M$3,坦克等级成长!$B$35:$G$35,0)),0)</f>
        <v>651</v>
      </c>
      <c r="N39" s="33">
        <f t="shared" si="7"/>
        <v>651</v>
      </c>
      <c r="O39" s="33">
        <v>489</v>
      </c>
      <c r="P39" s="33">
        <f>ROUND(坦克等级成长!$F136*VLOOKUP($B$2,坦克等级成长!$B$36:$G$42,MATCH(P$3,坦克等级成长!$B$35:$G$35,0)),0)</f>
        <v>651</v>
      </c>
      <c r="Q39" s="33">
        <f>ROUND(坦克等级成长!$F136*VLOOKUP($B$2,坦克等级成长!$B$36:$G$42,MATCH(Q$3,坦克等级成长!$B$35:$G$35,0)),0)</f>
        <v>174</v>
      </c>
      <c r="R39" s="191">
        <v>4</v>
      </c>
      <c r="S39" s="33">
        <f>ROUND(坦克等级成长!$H136*VLOOKUP($B$2,坦克等级成长!$B$36:$G$42,MATCH(S$3,坦克等级成长!$B$35:$G$35,0)),0)</f>
        <v>1768</v>
      </c>
      <c r="T39" s="33">
        <f>ROUND(坦克等级成长!$H136*VLOOKUP($B$2,坦克等级成长!$B$36:$G$42,MATCH(T$3,坦克等级成长!$B$35:$G$35,0)),0)</f>
        <v>192</v>
      </c>
      <c r="U39" s="33">
        <f>ROUND(坦克等级成长!$H136*VLOOKUP($B$2,坦克等级成长!$B$36:$G$42,MATCH(U$3,坦克等级成长!$B$35:$G$35,0)),0)</f>
        <v>663</v>
      </c>
      <c r="V39" s="33">
        <f t="shared" si="21"/>
        <v>663</v>
      </c>
      <c r="W39" s="33">
        <v>489</v>
      </c>
      <c r="X39" s="33">
        <f>ROUND(坦克等级成长!$H136*VLOOKUP($B$2,坦克等级成长!$B$36:$G$42,MATCH(X$3,坦克等级成长!$B$35:$G$35,0)),0)</f>
        <v>663</v>
      </c>
      <c r="Y39" s="33">
        <f>ROUND(坦克等级成长!$H136*VLOOKUP($B$2,坦克等级成长!$B$36:$G$42,MATCH(Y$3,坦克等级成长!$B$35:$G$35,0)),0)</f>
        <v>177</v>
      </c>
      <c r="Z39" s="191">
        <v>4</v>
      </c>
      <c r="AA39" s="33">
        <f>ROUND(坦克等级成长!$D136*VLOOKUP($Z$2,坦克等级成长!$B$36:$G$42,MATCH(AA$3,坦克等级成长!$B$35:$G$35,0)),0)</f>
        <v>1704</v>
      </c>
      <c r="AB39" s="33">
        <f>ROUND(坦克等级成长!$D136*VLOOKUP($Z$2,坦克等级成长!$B$36:$G$42,MATCH(AB$3,坦克等级成长!$B$35:$G$35,0)),0)</f>
        <v>100</v>
      </c>
      <c r="AC39" s="33">
        <f>ROUND(坦克等级成长!$D136*VLOOKUP($Z$2,坦克等级成长!$B$36:$G$42,MATCH(AC$3,坦克等级成长!$B$35:$G$35,0)),0)</f>
        <v>700</v>
      </c>
      <c r="AD39" s="33">
        <f t="shared" si="29"/>
        <v>700</v>
      </c>
      <c r="AE39" s="33">
        <v>517.29999999999995</v>
      </c>
      <c r="AF39" s="33">
        <f>ROUND(坦克等级成长!$D136*VLOOKUP($Z$2,坦克等级成长!$B$36:$G$42,MATCH(AF$3,坦克等级成长!$B$35:$G$35,0)),0)</f>
        <v>639</v>
      </c>
      <c r="AG39" s="33">
        <f>ROUND(坦克等级成长!$D136*VLOOKUP($Z$2,坦克等级成长!$B$36:$G$42,MATCH(AG$3,坦克等级成长!$B$35:$G$35,0)),0)</f>
        <v>170</v>
      </c>
      <c r="AH39" s="198">
        <v>4</v>
      </c>
      <c r="AI39" s="33">
        <f>ROUND(坦克等级成长!$F136*VLOOKUP($Z$2,坦克等级成长!$B$36:$G$42,MATCH(AI$3,坦克等级成长!$B$35:$G$35,0)),0)</f>
        <v>1736</v>
      </c>
      <c r="AJ39" s="33">
        <f>ROUND(坦克等级成长!$F136*VLOOKUP($Z$2,坦克等级成长!$B$36:$G$42,MATCH(AJ$3,坦克等级成长!$B$35:$G$35,0)),0)</f>
        <v>102</v>
      </c>
      <c r="AK39" s="33">
        <f>ROUND(坦克等级成长!$F136*VLOOKUP($Z$2,坦克等级成长!$B$36:$G$42,MATCH(AK$3,坦克等级成长!$B$35:$G$35,0)),0)</f>
        <v>713</v>
      </c>
      <c r="AL39" s="33">
        <f t="shared" si="8"/>
        <v>713</v>
      </c>
      <c r="AM39" s="33">
        <v>536</v>
      </c>
      <c r="AN39" s="33">
        <f>ROUND(坦克等级成长!$F136*VLOOKUP($Z$2,坦克等级成长!$B$36:$G$42,MATCH(AN$3,坦克等级成长!$B$35:$G$35,0)),0)</f>
        <v>651</v>
      </c>
      <c r="AO39" s="33">
        <f>ROUND(坦克等级成长!$F136*VLOOKUP($Z$2,坦克等级成长!$B$36:$G$42,MATCH(AO$3,坦克等级成长!$B$35:$G$35,0)),0)</f>
        <v>174</v>
      </c>
      <c r="AP39" s="191">
        <v>4</v>
      </c>
      <c r="AQ39" s="33">
        <f>ROUND(坦克等级成长!$H136*VLOOKUP($Z$2,坦克等级成长!$B$36:$G$42,MATCH(AQ$3,坦克等级成长!$B$35:$G$35,0)),0)</f>
        <v>1768</v>
      </c>
      <c r="AR39" s="33">
        <f>ROUND(坦克等级成长!$H136*VLOOKUP($Z$2,坦克等级成长!$B$36:$G$42,MATCH(AR$3,坦克等级成长!$B$35:$G$35,0)),0)</f>
        <v>104</v>
      </c>
      <c r="AS39" s="33">
        <f>ROUND(坦克等级成长!$H136*VLOOKUP($Z$2,坦克等级成长!$B$36:$G$42,MATCH(AS$3,坦克等级成长!$B$35:$G$35,0)),0)</f>
        <v>726</v>
      </c>
      <c r="AT39" s="33">
        <f t="shared" si="22"/>
        <v>726</v>
      </c>
      <c r="AU39" s="33">
        <v>536</v>
      </c>
      <c r="AV39" s="33">
        <f>ROUND(坦克等级成长!$H136*VLOOKUP($Z$2,坦克等级成长!$B$36:$G$42,MATCH(AV$3,坦克等级成长!$B$35:$G$35,0)),0)</f>
        <v>663</v>
      </c>
      <c r="AW39" s="33">
        <f>ROUND(坦克等级成长!$H136*VLOOKUP($Z$2,坦克等级成长!$B$36:$G$42,MATCH(AW$3,坦克等级成长!$B$35:$G$35,0)),0)</f>
        <v>177</v>
      </c>
      <c r="AX39" s="191">
        <v>4</v>
      </c>
      <c r="AY39" s="33">
        <f>ROUND(坦克等级成长!$D136*VLOOKUP($AX$2,坦克等级成长!$B$36:$G$42,MATCH(AY$3,坦克等级成长!$B$35:$G$35,0)),0)</f>
        <v>1704</v>
      </c>
      <c r="AZ39" s="33">
        <f>ROUND(坦克等级成长!$D136*VLOOKUP($AX$2,坦克等级成长!$B$36:$G$42,MATCH(AZ$3,坦克等级成长!$B$35:$G$35,0)),0)</f>
        <v>185</v>
      </c>
      <c r="BA39" s="33">
        <f>ROUND(坦克等级成长!$D136*VLOOKUP($AX$2,坦克等级成长!$B$36:$G$42,MATCH(BA$3,坦克等级成长!$B$35:$G$35,0)),0)</f>
        <v>639</v>
      </c>
      <c r="BB39" s="33">
        <f t="shared" si="30"/>
        <v>639</v>
      </c>
      <c r="BC39" s="33">
        <v>472.5</v>
      </c>
      <c r="BD39" s="33">
        <f>ROUND(坦克等级成长!$D136*VLOOKUP($AX$2,坦克等级成长!$B$36:$G$42,MATCH(BD$3,坦克等级成长!$B$35:$G$35,0)),0)</f>
        <v>639</v>
      </c>
      <c r="BE39" s="33">
        <f>ROUND(坦克等级成长!$D136*VLOOKUP($AX$2,坦克等级成长!$B$36:$G$42,MATCH(BE$3,坦克等级成长!$B$35:$G$35,0)),0)</f>
        <v>170</v>
      </c>
      <c r="BF39" s="198">
        <v>4</v>
      </c>
      <c r="BG39" s="33">
        <f>ROUND(坦克等级成长!$F136*VLOOKUP($AX$2,坦克等级成长!$B$36:$G$42,MATCH(BG$3,坦克等级成长!$B$35:$G$35,0)),0)</f>
        <v>1736</v>
      </c>
      <c r="BH39" s="33">
        <f>ROUND(坦克等级成长!$F136*VLOOKUP($AX$2,坦克等级成长!$B$36:$G$42,MATCH(BH$3,坦克等级成长!$B$35:$G$35,0)),0)</f>
        <v>189</v>
      </c>
      <c r="BI39" s="33">
        <f>ROUND(坦克等级成长!$F136*VLOOKUP($AX$2,坦克等级成长!$B$36:$G$42,MATCH(BI$3,坦克等级成长!$B$35:$G$35,0)),0)</f>
        <v>651</v>
      </c>
      <c r="BJ39" s="33">
        <f t="shared" si="9"/>
        <v>651</v>
      </c>
      <c r="BK39" s="33">
        <v>489</v>
      </c>
      <c r="BL39" s="33">
        <f>ROUND(坦克等级成长!$F136*VLOOKUP($AX$2,坦克等级成长!$B$36:$G$42,MATCH(BL$3,坦克等级成长!$B$35:$G$35,0)),0)</f>
        <v>651</v>
      </c>
      <c r="BM39" s="33">
        <f>ROUND(坦克等级成长!$F136*VLOOKUP($AX$2,坦克等级成长!$B$36:$G$42,MATCH(BM$3,坦克等级成长!$B$35:$G$35,0)),0)</f>
        <v>174</v>
      </c>
      <c r="BN39" s="191">
        <v>4</v>
      </c>
      <c r="BO39" s="33">
        <f>ROUND(坦克等级成长!$H136*VLOOKUP($AX$2,坦克等级成长!$B$36:$G$42,MATCH(BO$3,坦克等级成长!$B$35:$G$35,0)),0)</f>
        <v>1768</v>
      </c>
      <c r="BP39" s="33">
        <f>ROUND(坦克等级成长!$H136*VLOOKUP($AX$2,坦克等级成长!$B$36:$G$42,MATCH(BP$3,坦克等级成长!$B$35:$G$35,0)),0)</f>
        <v>192</v>
      </c>
      <c r="BQ39" s="33">
        <f>ROUND(坦克等级成长!$H136*VLOOKUP($AX$2,坦克等级成长!$B$36:$G$42,MATCH(BQ$3,坦克等级成长!$B$35:$G$35,0)),0)</f>
        <v>663</v>
      </c>
      <c r="BR39" s="33">
        <f t="shared" si="23"/>
        <v>663</v>
      </c>
      <c r="BS39" s="33">
        <v>489</v>
      </c>
      <c r="BT39" s="33">
        <f>ROUND(坦克等级成长!$H136*VLOOKUP($AX$2,坦克等级成长!$B$36:$G$42,MATCH(BT$3,坦克等级成长!$B$35:$G$35,0)),0)</f>
        <v>663</v>
      </c>
      <c r="BU39" s="33">
        <f>ROUND(坦克等级成长!$H136*VLOOKUP($AX$2,坦克等级成长!$B$36:$G$42,MATCH(BU$3,坦克等级成长!$B$35:$G$35,0)),0)</f>
        <v>177</v>
      </c>
      <c r="BV39" s="191">
        <v>4</v>
      </c>
      <c r="BW39" s="33">
        <f>ROUND(坦克等级成长!$D136*VLOOKUP($BV$2,坦克等级成长!$B$36:$G$42,MATCH(BW$3,坦克等级成长!$B$35:$G$35,0)),0)</f>
        <v>1796</v>
      </c>
      <c r="BX39" s="33">
        <f>ROUND(坦克等级成长!$D136*VLOOKUP($BV$2,坦克等级成长!$B$36:$G$42,MATCH(BX$3,坦克等级成长!$B$35:$G$35,0)),0)</f>
        <v>169</v>
      </c>
      <c r="BY39" s="33">
        <f>ROUND(坦克等级成长!$D136*VLOOKUP($BV$2,坦克等级成长!$B$36:$G$42,MATCH(BY$3,坦克等级成长!$B$35:$G$35,0)),0)</f>
        <v>609</v>
      </c>
      <c r="BZ39" s="33">
        <f t="shared" si="31"/>
        <v>609</v>
      </c>
      <c r="CA39" s="33">
        <v>482.25</v>
      </c>
      <c r="CB39" s="33">
        <f>ROUND(坦克等级成长!$D136*VLOOKUP($BV$2,坦克等级成长!$B$36:$G$42,MATCH(CB$3,坦克等级成长!$B$35:$G$35,0)),0)</f>
        <v>767</v>
      </c>
      <c r="CC39" s="33">
        <f>ROUND(坦克等级成长!$D136*VLOOKUP($BV$2,坦克等级成长!$B$36:$G$42,MATCH(CC$3,坦克等级成长!$B$35:$G$35,0)),0)</f>
        <v>180</v>
      </c>
      <c r="CD39" s="198">
        <v>4</v>
      </c>
      <c r="CE39" s="33">
        <f>ROUND(坦克等级成长!$F136*VLOOKUP($BV$2,坦克等级成长!$B$36:$G$42,MATCH(CE$3,坦克等级成长!$B$35:$G$35,0)),0)</f>
        <v>1829</v>
      </c>
      <c r="CF39" s="33">
        <f>ROUND(坦克等级成长!$F136*VLOOKUP($BV$2,坦克等级成长!$B$36:$G$42,MATCH(CF$3,坦克等级成长!$B$35:$G$35,0)),0)</f>
        <v>172</v>
      </c>
      <c r="CG39" s="33">
        <f>ROUND(坦克等级成长!$F136*VLOOKUP($BV$2,坦克等级成长!$B$36:$G$42,MATCH(CG$3,坦克等级成长!$B$35:$G$35,0)),0)</f>
        <v>620</v>
      </c>
      <c r="CH39" s="33">
        <f t="shared" si="10"/>
        <v>620</v>
      </c>
      <c r="CI39" s="33">
        <v>500</v>
      </c>
      <c r="CJ39" s="33">
        <f>ROUND(坦克等级成长!$F136*VLOOKUP($BV$2,坦克等级成长!$B$36:$G$42,MATCH(CJ$3,坦克等级成长!$B$35:$G$35,0)),0)</f>
        <v>781</v>
      </c>
      <c r="CK39" s="33">
        <f>ROUND(坦克等级成长!$F136*VLOOKUP($BV$2,坦克等级成长!$B$36:$G$42,MATCH(CK$3,坦克等级成长!$B$35:$G$35,0)),0)</f>
        <v>183</v>
      </c>
      <c r="CL39" s="191">
        <v>4</v>
      </c>
      <c r="CM39" s="33">
        <f>ROUND(坦克等级成长!$H136*VLOOKUP($BV$2,坦克等级成长!$B$36:$G$42,MATCH(CM$3,坦克等级成长!$B$35:$G$35,0)),0)</f>
        <v>1863</v>
      </c>
      <c r="CN39" s="33">
        <f>ROUND(坦克等级成长!$H136*VLOOKUP($BV$2,坦克等级成长!$B$36:$G$42,MATCH(CN$3,坦克等级成长!$B$35:$G$35,0)),0)</f>
        <v>176</v>
      </c>
      <c r="CO39" s="33">
        <f>ROUND(坦克等级成长!$H136*VLOOKUP($BV$2,坦克等级成长!$B$36:$G$42,MATCH(CO$3,坦克等级成长!$B$35:$G$35,0)),0)</f>
        <v>631</v>
      </c>
      <c r="CP39" s="33">
        <f t="shared" si="24"/>
        <v>631</v>
      </c>
      <c r="CQ39" s="33">
        <v>500</v>
      </c>
      <c r="CR39" s="33">
        <f>ROUND(坦克等级成长!$H136*VLOOKUP($BV$2,坦克等级成长!$B$36:$G$42,MATCH(CR$3,坦克等级成长!$B$35:$G$35,0)),0)</f>
        <v>796</v>
      </c>
      <c r="CS39" s="33">
        <f>ROUND(坦克等级成长!$H136*VLOOKUP($BV$2,坦克等级成长!$B$36:$G$42,MATCH(CS$3,坦克等级成长!$B$35:$G$35,0)),0)</f>
        <v>186</v>
      </c>
      <c r="CT39" s="191">
        <v>4</v>
      </c>
      <c r="CU39" s="33">
        <f>ROUND(坦克等级成长!$D136*VLOOKUP($CT$2,坦克等级成长!$B$36:$G$42,MATCH(CU$3,坦克等级成长!$B$35:$G$35,0)),0)</f>
        <v>1704</v>
      </c>
      <c r="CV39" s="33">
        <f>ROUND(坦克等级成长!$D136*VLOOKUP($CT$2,坦克等级成长!$B$36:$G$42,MATCH(CV$3,坦克等级成长!$B$35:$G$35,0)),0)</f>
        <v>387</v>
      </c>
      <c r="CW39" s="33">
        <f>ROUND(坦克等级成长!$D136*VLOOKUP($CT$2,坦克等级成长!$B$36:$G$42,MATCH(CW$3,坦克等级成长!$B$35:$G$35,0)),0)</f>
        <v>761</v>
      </c>
      <c r="CX39" s="33">
        <f t="shared" si="32"/>
        <v>761</v>
      </c>
      <c r="CY39" s="33">
        <v>603</v>
      </c>
      <c r="CZ39" s="33">
        <f>ROUND(坦克等级成长!$D136*VLOOKUP($CT$2,坦克等级成长!$B$36:$G$42,MATCH(CZ$3,坦克等级成长!$B$35:$G$35,0)),0)</f>
        <v>639</v>
      </c>
      <c r="DA39" s="33">
        <f>ROUND(坦克等级成长!$D136*VLOOKUP($CT$2,坦克等级成长!$B$36:$G$42,MATCH(DA$3,坦克等级成长!$B$35:$G$35,0)),0)</f>
        <v>170</v>
      </c>
      <c r="DB39" s="198">
        <v>4</v>
      </c>
      <c r="DC39" s="33">
        <f>ROUND(坦克等级成长!$F136*VLOOKUP($CT$2,坦克等级成长!$B$36:$G$42,MATCH(DC$3,坦克等级成长!$B$35:$G$35,0)),0)</f>
        <v>1736</v>
      </c>
      <c r="DD39" s="33">
        <f>ROUND(坦克等级成长!$F136*VLOOKUP($CT$2,坦克等级成长!$B$36:$G$42,MATCH(DD$3,坦克等级成长!$B$35:$G$35,0)),0)</f>
        <v>394</v>
      </c>
      <c r="DE39" s="33">
        <f>ROUND(坦克等级成长!$F136*VLOOKUP($CT$2,坦克等级成长!$B$36:$G$42,MATCH(DE$3,坦克等级成长!$B$35:$G$35,0)),0)</f>
        <v>775</v>
      </c>
      <c r="DF39" s="33">
        <f t="shared" si="11"/>
        <v>775</v>
      </c>
      <c r="DG39" s="33">
        <v>624</v>
      </c>
      <c r="DH39" s="33">
        <f>ROUND(坦克等级成长!$F136*VLOOKUP($CT$2,坦克等级成长!$B$36:$G$42,MATCH(DH$3,坦克等级成长!$B$35:$G$35,0)),0)</f>
        <v>651</v>
      </c>
      <c r="DI39" s="33">
        <f>ROUND(坦克等级成长!$F136*VLOOKUP($CT$2,坦克等级成长!$B$36:$G$42,MATCH(DI$3,坦克等级成长!$B$35:$G$35,0)),0)</f>
        <v>174</v>
      </c>
      <c r="DJ39" s="191">
        <v>4</v>
      </c>
      <c r="DK39" s="33">
        <f>ROUND(坦克等级成长!$H136*VLOOKUP($CT$2,坦克等级成长!$B$36:$G$42,MATCH(DK$3,坦克等级成长!$B$35:$G$35,0)),0)</f>
        <v>1768</v>
      </c>
      <c r="DL39" s="33">
        <f>ROUND(坦克等级成长!$H136*VLOOKUP($CT$2,坦克等级成长!$B$36:$G$42,MATCH(DL$3,坦克等级成长!$B$35:$G$35,0)),0)</f>
        <v>402</v>
      </c>
      <c r="DM39" s="33">
        <f>ROUND(坦克等级成长!$H136*VLOOKUP($CT$2,坦克等级成长!$B$36:$G$42,MATCH(DM$3,坦克等级成长!$B$35:$G$35,0)),0)</f>
        <v>789</v>
      </c>
      <c r="DN39" s="33">
        <f t="shared" si="25"/>
        <v>789</v>
      </c>
      <c r="DO39" s="33">
        <v>624</v>
      </c>
      <c r="DP39" s="33">
        <f>ROUND(坦克等级成长!$H136*VLOOKUP($CT$2,坦克等级成长!$B$36:$G$42,MATCH(DP$3,坦克等级成长!$B$35:$G$35,0)),0)</f>
        <v>663</v>
      </c>
      <c r="DQ39" s="33">
        <f>ROUND(坦克等级成长!$H136*VLOOKUP($CT$2,坦克等级成长!$B$36:$G$42,MATCH(DQ$3,坦克等级成长!$B$35:$G$35,0)),0)</f>
        <v>177</v>
      </c>
      <c r="DR39" s="191">
        <v>4</v>
      </c>
      <c r="DS39" s="33">
        <f>ROUND(坦克等级成长!$D136*VLOOKUP($DR$2,坦克等级成长!$B$36:$G$42,MATCH(DS$3,坦克等级成长!$B$35:$G$35,0)),0)</f>
        <v>1939</v>
      </c>
      <c r="DT39" s="33">
        <f>ROUND(坦克等级成长!$D136*VLOOKUP($DR$2,坦克等级成长!$B$36:$G$42,MATCH(DT$3,坦克等级成长!$B$35:$G$35,0)),0)</f>
        <v>661</v>
      </c>
      <c r="DU39" s="33">
        <f>ROUND(坦克等级成长!$D136*VLOOKUP($DR$2,坦克等级成长!$B$36:$G$42,MATCH(DU$3,坦克等级成长!$B$35:$G$35,0)),0)</f>
        <v>609</v>
      </c>
      <c r="DV39" s="33">
        <f t="shared" si="33"/>
        <v>609</v>
      </c>
      <c r="DW39" s="33">
        <v>514.4</v>
      </c>
      <c r="DX39" s="33">
        <f>ROUND(坦克等级成长!$D136*VLOOKUP($DR$2,坦克等级成长!$B$36:$G$42,MATCH(DX$3,坦克等级成长!$B$35:$G$35,0)),0)</f>
        <v>895</v>
      </c>
      <c r="DY39" s="33">
        <f>ROUND(坦克等级成长!$D136*VLOOKUP($DR$2,坦克等级成长!$B$36:$G$42,MATCH(DY$3,坦克等级成长!$B$35:$G$35,0)),0)</f>
        <v>194</v>
      </c>
      <c r="DZ39" s="198">
        <v>4</v>
      </c>
      <c r="EA39" s="33">
        <f>ROUND(坦克等级成长!$F136*VLOOKUP($DR$2,坦克等级成长!$B$36:$G$42,MATCH(EA$3,坦克等级成长!$B$35:$G$35,0)),0)</f>
        <v>1975</v>
      </c>
      <c r="EB39" s="33">
        <f>ROUND(坦克等级成长!$F136*VLOOKUP($DR$2,坦克等级成长!$B$36:$G$42,MATCH(EB$3,坦克等级成长!$B$35:$G$35,0)),0)</f>
        <v>674</v>
      </c>
      <c r="EC39" s="33">
        <f>ROUND(坦克等级成长!$F136*VLOOKUP($DR$2,坦克等级成长!$B$36:$G$42,MATCH(EC$3,坦克等级成长!$B$35:$G$35,0)),0)</f>
        <v>620</v>
      </c>
      <c r="ED39" s="33">
        <f t="shared" si="12"/>
        <v>620</v>
      </c>
      <c r="EE39" s="33">
        <v>533</v>
      </c>
      <c r="EF39" s="33">
        <f>ROUND(坦克等级成长!$F136*VLOOKUP($DR$2,坦克等级成长!$B$36:$G$42,MATCH(EF$3,坦克等级成长!$B$35:$G$35,0)),0)</f>
        <v>911</v>
      </c>
      <c r="EG39" s="33">
        <f>ROUND(坦克等级成长!$F136*VLOOKUP($DR$2,坦克等级成长!$B$36:$G$42,MATCH(EG$3,坦克等级成长!$B$35:$G$35,0)),0)</f>
        <v>198</v>
      </c>
      <c r="EH39" s="191">
        <v>4</v>
      </c>
      <c r="EI39" s="33">
        <f>ROUND(坦克等级成长!$H136*VLOOKUP($DR$2,坦克等级成长!$B$36:$G$42,MATCH(EI$3,坦克等级成长!$B$35:$G$35,0)),0)</f>
        <v>2012</v>
      </c>
      <c r="EJ39" s="33">
        <f>ROUND(坦克等级成长!$H136*VLOOKUP($DR$2,坦克等级成长!$B$36:$G$42,MATCH(EJ$3,坦克等级成长!$B$35:$G$35,0)),0)</f>
        <v>686</v>
      </c>
      <c r="EK39" s="33">
        <f>ROUND(坦克等级成长!$H136*VLOOKUP($DR$2,坦克等级成长!$B$36:$G$42,MATCH(EK$3,坦克等级成长!$B$35:$G$35,0)),0)</f>
        <v>631</v>
      </c>
      <c r="EL39" s="33">
        <f t="shared" si="26"/>
        <v>631</v>
      </c>
      <c r="EM39" s="33">
        <v>533</v>
      </c>
      <c r="EN39" s="33">
        <f>ROUND(坦克等级成长!$H136*VLOOKUP($DR$2,坦克等级成长!$B$36:$G$42,MATCH(EN$3,坦克等级成长!$B$35:$G$35,0)),0)</f>
        <v>928</v>
      </c>
      <c r="EO39" s="33">
        <f>ROUND(坦克等级成长!$H136*VLOOKUP($DR$2,坦克等级成长!$B$36:$G$42,MATCH(EO$3,坦克等级成长!$B$35:$G$35,0)),0)</f>
        <v>201</v>
      </c>
      <c r="EP39" s="191">
        <v>4</v>
      </c>
      <c r="EQ39" s="33">
        <f>ROUND(坦克等级成长!$D136*VLOOKUP($EP$2,坦克等级成长!$B$36:$G$42,MATCH(EQ$3,坦克等级成长!$B$35:$G$35,0)),0)</f>
        <v>1796</v>
      </c>
      <c r="ER39" s="33">
        <f>ROUND(坦克等级成长!$D136*VLOOKUP($EP$2,坦克等级成长!$B$36:$G$42,MATCH(ER$3,坦克等级成长!$B$35:$G$35,0)),0)</f>
        <v>206</v>
      </c>
      <c r="ES39" s="33">
        <f>ROUND(坦克等级成长!$D136*VLOOKUP($EP$2,坦克等级成长!$B$36:$G$42,MATCH(ES$3,坦克等级成长!$B$35:$G$35,0)),0)</f>
        <v>700</v>
      </c>
      <c r="ET39" s="33">
        <f t="shared" si="34"/>
        <v>700</v>
      </c>
      <c r="EU39" s="33">
        <v>554.25</v>
      </c>
      <c r="EV39" s="33">
        <f>ROUND(坦克等级成长!$D136*VLOOKUP($EP$2,坦克等级成长!$B$36:$G$42,MATCH(EV$3,坦克等级成长!$B$35:$G$35,0)),0)</f>
        <v>767</v>
      </c>
      <c r="EW39" s="33">
        <f>ROUND(坦克等级成长!$D136*VLOOKUP($EP$2,坦克等级成长!$B$36:$G$42,MATCH(EW$3,坦克等级成长!$B$35:$G$35,0)),0)</f>
        <v>180</v>
      </c>
      <c r="EX39" s="198">
        <v>4</v>
      </c>
      <c r="EY39" s="33">
        <f>ROUND(坦克等级成长!$F136*VLOOKUP($EP$2,坦克等级成长!$B$36:$G$42,MATCH(EY$3,坦克等级成长!$B$35:$G$35,0)),0)</f>
        <v>1829</v>
      </c>
      <c r="EZ39" s="33">
        <f>ROUND(坦克等级成长!$F136*VLOOKUP($EP$2,坦克等级成长!$B$36:$G$42,MATCH(EZ$3,坦克等级成长!$B$35:$G$35,0)),0)</f>
        <v>210</v>
      </c>
      <c r="FA39" s="33">
        <f>ROUND(坦克等级成长!$F136*VLOOKUP($EP$2,坦克等级成长!$B$36:$G$42,MATCH(FA$3,坦克等级成长!$B$35:$G$35,0)),0)</f>
        <v>713</v>
      </c>
      <c r="FB39" s="33">
        <f t="shared" si="13"/>
        <v>713</v>
      </c>
      <c r="FC39" s="33">
        <v>575</v>
      </c>
      <c r="FD39" s="33">
        <f>ROUND(坦克等级成长!$F136*VLOOKUP($EP$2,坦克等级成长!$B$36:$G$42,MATCH(FD$3,坦克等级成长!$B$35:$G$35,0)),0)</f>
        <v>781</v>
      </c>
      <c r="FE39" s="33">
        <f>ROUND(坦克等级成长!$F136*VLOOKUP($EP$2,坦克等级成长!$B$36:$G$42,MATCH(FE$3,坦克等级成长!$B$35:$G$35,0)),0)</f>
        <v>183</v>
      </c>
      <c r="FF39" s="191">
        <v>4</v>
      </c>
      <c r="FG39" s="33">
        <f>ROUND(坦克等级成长!$H136*VLOOKUP($EP$2,坦克等级成长!$B$36:$G$42,MATCH(FG$3,坦克等级成长!$B$35:$G$35,0)),0)</f>
        <v>1863</v>
      </c>
      <c r="FH39" s="33">
        <f>ROUND(坦克等级成长!$H136*VLOOKUP($EP$2,坦克等级成长!$B$36:$G$42,MATCH(FH$3,坦克等级成长!$B$35:$G$35,0)),0)</f>
        <v>213</v>
      </c>
      <c r="FI39" s="33">
        <f>ROUND(坦克等级成长!$H136*VLOOKUP($EP$2,坦克等级成长!$B$36:$G$42,MATCH(FI$3,坦克等级成长!$B$35:$G$35,0)),0)</f>
        <v>726</v>
      </c>
      <c r="FJ39" s="33">
        <f t="shared" si="27"/>
        <v>726</v>
      </c>
      <c r="FK39" s="33">
        <v>575</v>
      </c>
      <c r="FL39" s="33">
        <f>ROUND(坦克等级成长!$H136*VLOOKUP($EP$2,坦克等级成长!$B$36:$G$42,MATCH(FL$3,坦克等级成长!$B$35:$G$35,0)),0)</f>
        <v>796</v>
      </c>
      <c r="FM39" s="33">
        <f>ROUND(坦克等级成长!$H136*VLOOKUP($EP$2,坦克等级成长!$B$36:$G$42,MATCH(FM$3,坦克等级成长!$B$35:$G$35,0)),0)</f>
        <v>186</v>
      </c>
    </row>
    <row r="40" spans="1:169" ht="14.25" x14ac:dyDescent="0.3">
      <c r="A40" s="188">
        <v>4</v>
      </c>
      <c r="B40" s="191">
        <v>5</v>
      </c>
      <c r="C40" s="33">
        <f>ROUND(坦克等级成长!$D137*VLOOKUP($B$2,坦克等级成长!$B$36:$G$42,MATCH(C$3,坦克等级成长!$B$35:$G$35,0)),0)</f>
        <v>1784</v>
      </c>
      <c r="D40" s="33">
        <f>ROUND(坦克等级成长!$D137*VLOOKUP($B$2,坦克等级成长!$B$36:$G$42,MATCH(D$3,坦克等级成长!$B$35:$G$35,0)),0)</f>
        <v>194</v>
      </c>
      <c r="E40" s="33">
        <f>ROUND(坦克等级成长!$D137*VLOOKUP($B$2,坦克等级成长!$B$36:$G$42,MATCH(E$3,坦克等级成长!$B$35:$G$35,0)),0)</f>
        <v>669</v>
      </c>
      <c r="F40" s="33">
        <f t="shared" si="28"/>
        <v>669</v>
      </c>
      <c r="G40" s="33">
        <v>495.6</v>
      </c>
      <c r="H40" s="33">
        <f>ROUND(坦克等级成长!$D137*VLOOKUP($B$2,坦克等级成长!$B$36:$G$42,MATCH(H$3,坦克等级成长!$B$35:$G$35,0)),0)</f>
        <v>669</v>
      </c>
      <c r="I40" s="33">
        <f>ROUND(坦克等级成长!$D137*VLOOKUP($B$2,坦克等级成长!$B$36:$G$42,MATCH(I$3,坦克等级成长!$B$35:$G$35,0)),0)</f>
        <v>178</v>
      </c>
      <c r="J40" s="198">
        <v>5</v>
      </c>
      <c r="K40" s="33">
        <f>ROUND(坦克等级成长!$F137*VLOOKUP($B$2,坦克等级成长!$B$36:$G$42,MATCH(K$3,坦克等级成长!$B$35:$G$35,0)),0)</f>
        <v>1816</v>
      </c>
      <c r="L40" s="33">
        <f>ROUND(坦克等级成长!$F137*VLOOKUP($B$2,坦克等级成长!$B$36:$G$42,MATCH(L$3,坦克等级成长!$B$35:$G$35,0)),0)</f>
        <v>198</v>
      </c>
      <c r="M40" s="33">
        <f>ROUND(坦克等级成长!$F137*VLOOKUP($B$2,坦克等级成长!$B$36:$G$42,MATCH(M$3,坦克等级成长!$B$35:$G$35,0)),0)</f>
        <v>681</v>
      </c>
      <c r="N40" s="33">
        <f t="shared" si="7"/>
        <v>681</v>
      </c>
      <c r="O40" s="33">
        <v>512</v>
      </c>
      <c r="P40" s="33">
        <f>ROUND(坦克等级成长!$F137*VLOOKUP($B$2,坦克等级成长!$B$36:$G$42,MATCH(P$3,坦克等级成长!$B$35:$G$35,0)),0)</f>
        <v>681</v>
      </c>
      <c r="Q40" s="33">
        <f>ROUND(坦克等级成长!$F137*VLOOKUP($B$2,坦克等级成长!$B$36:$G$42,MATCH(Q$3,坦克等级成长!$B$35:$G$35,0)),0)</f>
        <v>182</v>
      </c>
      <c r="R40" s="191">
        <v>5</v>
      </c>
      <c r="S40" s="33">
        <f>ROUND(坦克等级成长!$H137*VLOOKUP($B$2,坦克等级成长!$B$36:$G$42,MATCH(S$3,坦克等级成长!$B$35:$G$35,0)),0)</f>
        <v>1848</v>
      </c>
      <c r="T40" s="33">
        <f>ROUND(坦克等级成长!$H137*VLOOKUP($B$2,坦克等级成长!$B$36:$G$42,MATCH(T$3,坦克等级成长!$B$35:$G$35,0)),0)</f>
        <v>201</v>
      </c>
      <c r="U40" s="33">
        <f>ROUND(坦克等级成长!$H137*VLOOKUP($B$2,坦克等级成长!$B$36:$G$42,MATCH(U$3,坦克等级成长!$B$35:$G$35,0)),0)</f>
        <v>693</v>
      </c>
      <c r="V40" s="33">
        <f t="shared" si="21"/>
        <v>693</v>
      </c>
      <c r="W40" s="33">
        <v>512</v>
      </c>
      <c r="X40" s="33">
        <f>ROUND(坦克等级成长!$H137*VLOOKUP($B$2,坦克等级成长!$B$36:$G$42,MATCH(X$3,坦克等级成长!$B$35:$G$35,0)),0)</f>
        <v>693</v>
      </c>
      <c r="Y40" s="33">
        <f>ROUND(坦克等级成长!$H137*VLOOKUP($B$2,坦克等级成长!$B$36:$G$42,MATCH(Y$3,坦克等级成长!$B$35:$G$35,0)),0)</f>
        <v>185</v>
      </c>
      <c r="Z40" s="191">
        <v>5</v>
      </c>
      <c r="AA40" s="33">
        <f>ROUND(坦克等级成长!$D137*VLOOKUP($Z$2,坦克等级成长!$B$36:$G$42,MATCH(AA$3,坦克等级成长!$B$35:$G$35,0)),0)</f>
        <v>1784</v>
      </c>
      <c r="AB40" s="33">
        <f>ROUND(坦克等级成长!$D137*VLOOKUP($Z$2,坦克等级成长!$B$36:$G$42,MATCH(AB$3,坦克等级成长!$B$35:$G$35,0)),0)</f>
        <v>105</v>
      </c>
      <c r="AC40" s="33">
        <f>ROUND(坦克等级成长!$D137*VLOOKUP($Z$2,坦克等级成长!$B$36:$G$42,MATCH(AC$3,坦克等级成长!$B$35:$G$35,0)),0)</f>
        <v>733</v>
      </c>
      <c r="AD40" s="33">
        <f t="shared" si="29"/>
        <v>733</v>
      </c>
      <c r="AE40" s="33">
        <v>542.5</v>
      </c>
      <c r="AF40" s="33">
        <f>ROUND(坦克等级成长!$D137*VLOOKUP($Z$2,坦克等级成长!$B$36:$G$42,MATCH(AF$3,坦克等级成长!$B$35:$G$35,0)),0)</f>
        <v>669</v>
      </c>
      <c r="AG40" s="33">
        <f>ROUND(坦克等级成长!$D137*VLOOKUP($Z$2,坦克等级成长!$B$36:$G$42,MATCH(AG$3,坦克等级成长!$B$35:$G$35,0)),0)</f>
        <v>178</v>
      </c>
      <c r="AH40" s="198">
        <v>5</v>
      </c>
      <c r="AI40" s="33">
        <f>ROUND(坦克等级成长!$F137*VLOOKUP($Z$2,坦克等级成长!$B$36:$G$42,MATCH(AI$3,坦克等级成长!$B$35:$G$35,0)),0)</f>
        <v>1816</v>
      </c>
      <c r="AJ40" s="33">
        <f>ROUND(坦克等级成长!$F137*VLOOKUP($Z$2,坦克等级成长!$B$36:$G$42,MATCH(AJ$3,坦克等级成长!$B$35:$G$35,0)),0)</f>
        <v>107</v>
      </c>
      <c r="AK40" s="33">
        <f>ROUND(坦克等级成长!$F137*VLOOKUP($Z$2,坦克等级成长!$B$36:$G$42,MATCH(AK$3,坦克等级成长!$B$35:$G$35,0)),0)</f>
        <v>746</v>
      </c>
      <c r="AL40" s="33">
        <f t="shared" si="8"/>
        <v>746</v>
      </c>
      <c r="AM40" s="33">
        <v>561</v>
      </c>
      <c r="AN40" s="33">
        <f>ROUND(坦克等级成长!$F137*VLOOKUP($Z$2,坦克等级成长!$B$36:$G$42,MATCH(AN$3,坦克等级成长!$B$35:$G$35,0)),0)</f>
        <v>681</v>
      </c>
      <c r="AO40" s="33">
        <f>ROUND(坦克等级成长!$F137*VLOOKUP($Z$2,坦克等级成长!$B$36:$G$42,MATCH(AO$3,坦克等级成长!$B$35:$G$35,0)),0)</f>
        <v>182</v>
      </c>
      <c r="AP40" s="191">
        <v>5</v>
      </c>
      <c r="AQ40" s="33">
        <f>ROUND(坦克等级成长!$H137*VLOOKUP($Z$2,坦克等级成长!$B$36:$G$42,MATCH(AQ$3,坦克等级成长!$B$35:$G$35,0)),0)</f>
        <v>1848</v>
      </c>
      <c r="AR40" s="33">
        <f>ROUND(坦克等级成长!$H137*VLOOKUP($Z$2,坦克等级成长!$B$36:$G$42,MATCH(AR$3,坦克等级成长!$B$35:$G$35,0)),0)</f>
        <v>109</v>
      </c>
      <c r="AS40" s="33">
        <f>ROUND(坦克等级成长!$H137*VLOOKUP($Z$2,坦克等级成长!$B$36:$G$42,MATCH(AS$3,坦克等级成长!$B$35:$G$35,0)),0)</f>
        <v>759</v>
      </c>
      <c r="AT40" s="33">
        <f t="shared" si="22"/>
        <v>759</v>
      </c>
      <c r="AU40" s="33">
        <v>561</v>
      </c>
      <c r="AV40" s="33">
        <f>ROUND(坦克等级成长!$H137*VLOOKUP($Z$2,坦克等级成长!$B$36:$G$42,MATCH(AV$3,坦克等级成长!$B$35:$G$35,0)),0)</f>
        <v>693</v>
      </c>
      <c r="AW40" s="33">
        <f>ROUND(坦克等级成长!$H137*VLOOKUP($Z$2,坦克等级成长!$B$36:$G$42,MATCH(AW$3,坦克等级成长!$B$35:$G$35,0)),0)</f>
        <v>185</v>
      </c>
      <c r="AX40" s="191">
        <v>5</v>
      </c>
      <c r="AY40" s="33">
        <f>ROUND(坦克等级成长!$D137*VLOOKUP($AX$2,坦克等级成长!$B$36:$G$42,MATCH(AY$3,坦克等级成长!$B$35:$G$35,0)),0)</f>
        <v>1784</v>
      </c>
      <c r="AZ40" s="33">
        <f>ROUND(坦克等级成长!$D137*VLOOKUP($AX$2,坦克等级成长!$B$36:$G$42,MATCH(AZ$3,坦克等级成长!$B$35:$G$35,0)),0)</f>
        <v>194</v>
      </c>
      <c r="BA40" s="33">
        <f>ROUND(坦克等级成长!$D137*VLOOKUP($AX$2,坦克等级成长!$B$36:$G$42,MATCH(BA$3,坦克等级成长!$B$35:$G$35,0)),0)</f>
        <v>669</v>
      </c>
      <c r="BB40" s="33">
        <f t="shared" si="30"/>
        <v>669</v>
      </c>
      <c r="BC40" s="33">
        <v>495.6</v>
      </c>
      <c r="BD40" s="33">
        <f>ROUND(坦克等级成长!$D137*VLOOKUP($AX$2,坦克等级成长!$B$36:$G$42,MATCH(BD$3,坦克等级成长!$B$35:$G$35,0)),0)</f>
        <v>669</v>
      </c>
      <c r="BE40" s="33">
        <f>ROUND(坦克等级成长!$D137*VLOOKUP($AX$2,坦克等级成长!$B$36:$G$42,MATCH(BE$3,坦克等级成长!$B$35:$G$35,0)),0)</f>
        <v>178</v>
      </c>
      <c r="BF40" s="198">
        <v>5</v>
      </c>
      <c r="BG40" s="33">
        <f>ROUND(坦克等级成长!$F137*VLOOKUP($AX$2,坦克等级成长!$B$36:$G$42,MATCH(BG$3,坦克等级成长!$B$35:$G$35,0)),0)</f>
        <v>1816</v>
      </c>
      <c r="BH40" s="33">
        <f>ROUND(坦克等级成长!$F137*VLOOKUP($AX$2,坦克等级成长!$B$36:$G$42,MATCH(BH$3,坦克等级成长!$B$35:$G$35,0)),0)</f>
        <v>198</v>
      </c>
      <c r="BI40" s="33">
        <f>ROUND(坦克等级成长!$F137*VLOOKUP($AX$2,坦克等级成长!$B$36:$G$42,MATCH(BI$3,坦克等级成长!$B$35:$G$35,0)),0)</f>
        <v>681</v>
      </c>
      <c r="BJ40" s="33">
        <f t="shared" si="9"/>
        <v>681</v>
      </c>
      <c r="BK40" s="33">
        <v>512</v>
      </c>
      <c r="BL40" s="33">
        <f>ROUND(坦克等级成长!$F137*VLOOKUP($AX$2,坦克等级成长!$B$36:$G$42,MATCH(BL$3,坦克等级成长!$B$35:$G$35,0)),0)</f>
        <v>681</v>
      </c>
      <c r="BM40" s="33">
        <f>ROUND(坦克等级成长!$F137*VLOOKUP($AX$2,坦克等级成长!$B$36:$G$42,MATCH(BM$3,坦克等级成长!$B$35:$G$35,0)),0)</f>
        <v>182</v>
      </c>
      <c r="BN40" s="191">
        <v>5</v>
      </c>
      <c r="BO40" s="33">
        <f>ROUND(坦克等级成长!$H137*VLOOKUP($AX$2,坦克等级成长!$B$36:$G$42,MATCH(BO$3,坦克等级成长!$B$35:$G$35,0)),0)</f>
        <v>1848</v>
      </c>
      <c r="BP40" s="33">
        <f>ROUND(坦克等级成长!$H137*VLOOKUP($AX$2,坦克等级成长!$B$36:$G$42,MATCH(BP$3,坦克等级成长!$B$35:$G$35,0)),0)</f>
        <v>201</v>
      </c>
      <c r="BQ40" s="33">
        <f>ROUND(坦克等级成长!$H137*VLOOKUP($AX$2,坦克等级成长!$B$36:$G$42,MATCH(BQ$3,坦克等级成长!$B$35:$G$35,0)),0)</f>
        <v>693</v>
      </c>
      <c r="BR40" s="33">
        <f t="shared" si="23"/>
        <v>693</v>
      </c>
      <c r="BS40" s="33">
        <v>512</v>
      </c>
      <c r="BT40" s="33">
        <f>ROUND(坦克等级成长!$H137*VLOOKUP($AX$2,坦克等级成长!$B$36:$G$42,MATCH(BT$3,坦克等级成长!$B$35:$G$35,0)),0)</f>
        <v>693</v>
      </c>
      <c r="BU40" s="33">
        <f>ROUND(坦克等级成长!$H137*VLOOKUP($AX$2,坦克等级成长!$B$36:$G$42,MATCH(BU$3,坦克等级成长!$B$35:$G$35,0)),0)</f>
        <v>185</v>
      </c>
      <c r="BV40" s="191">
        <v>5</v>
      </c>
      <c r="BW40" s="33">
        <f>ROUND(坦克等级成长!$D137*VLOOKUP($BV$2,坦克等级成长!$B$36:$G$42,MATCH(BW$3,坦克等级成长!$B$35:$G$35,0)),0)</f>
        <v>1880</v>
      </c>
      <c r="BX40" s="33">
        <f>ROUND(坦克等级成长!$D137*VLOOKUP($BV$2,坦克等级成长!$B$36:$G$42,MATCH(BX$3,坦克等级成长!$B$35:$G$35,0)),0)</f>
        <v>177</v>
      </c>
      <c r="BY40" s="33">
        <f>ROUND(坦克等级成长!$D137*VLOOKUP($BV$2,坦克等级成长!$B$36:$G$42,MATCH(BY$3,坦克等级成长!$B$35:$G$35,0)),0)</f>
        <v>637</v>
      </c>
      <c r="BZ40" s="33">
        <f t="shared" si="31"/>
        <v>637</v>
      </c>
      <c r="CA40" s="33">
        <v>505.5</v>
      </c>
      <c r="CB40" s="33">
        <f>ROUND(坦克等级成长!$D137*VLOOKUP($BV$2,坦克等级成长!$B$36:$G$42,MATCH(CB$3,坦克等级成长!$B$35:$G$35,0)),0)</f>
        <v>803</v>
      </c>
      <c r="CC40" s="33">
        <f>ROUND(坦克等级成长!$D137*VLOOKUP($BV$2,坦克等级成长!$B$36:$G$42,MATCH(CC$3,坦克等级成长!$B$35:$G$35,0)),0)</f>
        <v>188</v>
      </c>
      <c r="CD40" s="198">
        <v>5</v>
      </c>
      <c r="CE40" s="33">
        <f>ROUND(坦克等级成长!$F137*VLOOKUP($BV$2,坦克等级成长!$B$36:$G$42,MATCH(CE$3,坦克等级成长!$B$35:$G$35,0)),0)</f>
        <v>1914</v>
      </c>
      <c r="CF40" s="33">
        <f>ROUND(坦克等级成长!$F137*VLOOKUP($BV$2,坦克等级成长!$B$36:$G$42,MATCH(CF$3,坦克等级成长!$B$35:$G$35,0)),0)</f>
        <v>180</v>
      </c>
      <c r="CG40" s="33">
        <f>ROUND(坦克等级成长!$F137*VLOOKUP($BV$2,坦克等级成长!$B$36:$G$42,MATCH(CG$3,坦克等级成长!$B$35:$G$35,0)),0)</f>
        <v>649</v>
      </c>
      <c r="CH40" s="33">
        <f t="shared" si="10"/>
        <v>649</v>
      </c>
      <c r="CI40" s="33">
        <v>523</v>
      </c>
      <c r="CJ40" s="33">
        <f>ROUND(坦克等级成长!$F137*VLOOKUP($BV$2,坦克等级成长!$B$36:$G$42,MATCH(CJ$3,坦克等级成长!$B$35:$G$35,0)),0)</f>
        <v>817</v>
      </c>
      <c r="CK40" s="33">
        <f>ROUND(坦克等级成长!$F137*VLOOKUP($BV$2,坦克等级成长!$B$36:$G$42,MATCH(CK$3,坦克等级成长!$B$35:$G$35,0)),0)</f>
        <v>191</v>
      </c>
      <c r="CL40" s="191">
        <v>5</v>
      </c>
      <c r="CM40" s="33">
        <f>ROUND(坦克等级成长!$H137*VLOOKUP($BV$2,坦克等级成长!$B$36:$G$42,MATCH(CM$3,坦克等级成长!$B$35:$G$35,0)),0)</f>
        <v>1947</v>
      </c>
      <c r="CN40" s="33">
        <f>ROUND(坦克等级成长!$H137*VLOOKUP($BV$2,坦克等级成长!$B$36:$G$42,MATCH(CN$3,坦克等级成长!$B$35:$G$35,0)),0)</f>
        <v>184</v>
      </c>
      <c r="CO40" s="33">
        <f>ROUND(坦克等级成长!$H137*VLOOKUP($BV$2,坦克等级成长!$B$36:$G$42,MATCH(CO$3,坦克等级成长!$B$35:$G$35,0)),0)</f>
        <v>660</v>
      </c>
      <c r="CP40" s="33">
        <f t="shared" si="24"/>
        <v>660</v>
      </c>
      <c r="CQ40" s="33">
        <v>523</v>
      </c>
      <c r="CR40" s="33">
        <f>ROUND(坦克等级成长!$H137*VLOOKUP($BV$2,坦克等级成长!$B$36:$G$42,MATCH(CR$3,坦克等级成长!$B$35:$G$35,0)),0)</f>
        <v>832</v>
      </c>
      <c r="CS40" s="33">
        <f>ROUND(坦克等级成长!$H137*VLOOKUP($BV$2,坦克等级成长!$B$36:$G$42,MATCH(CS$3,坦克等级成长!$B$35:$G$35,0)),0)</f>
        <v>195</v>
      </c>
      <c r="CT40" s="191">
        <v>5</v>
      </c>
      <c r="CU40" s="33">
        <f>ROUND(坦克等级成长!$D137*VLOOKUP($CT$2,坦克等级成长!$B$36:$G$42,MATCH(CU$3,坦克等级成长!$B$35:$G$35,0)),0)</f>
        <v>1784</v>
      </c>
      <c r="CV40" s="33">
        <f>ROUND(坦克等级成长!$D137*VLOOKUP($CT$2,坦克等级成长!$B$36:$G$42,MATCH(CV$3,坦克等级成长!$B$35:$G$35,0)),0)</f>
        <v>405</v>
      </c>
      <c r="CW40" s="33">
        <f>ROUND(坦克等级成长!$D137*VLOOKUP($CT$2,坦克等级成长!$B$36:$G$42,MATCH(CW$3,坦克等级成长!$B$35:$G$35,0)),0)</f>
        <v>796</v>
      </c>
      <c r="CX40" s="33">
        <f t="shared" si="32"/>
        <v>796</v>
      </c>
      <c r="CY40" s="33">
        <v>632.25</v>
      </c>
      <c r="CZ40" s="33">
        <f>ROUND(坦克等级成长!$D137*VLOOKUP($CT$2,坦克等级成长!$B$36:$G$42,MATCH(CZ$3,坦克等级成长!$B$35:$G$35,0)),0)</f>
        <v>669</v>
      </c>
      <c r="DA40" s="33">
        <f>ROUND(坦克等级成长!$D137*VLOOKUP($CT$2,坦克等级成长!$B$36:$G$42,MATCH(DA$3,坦克等级成长!$B$35:$G$35,0)),0)</f>
        <v>178</v>
      </c>
      <c r="DB40" s="198">
        <v>5</v>
      </c>
      <c r="DC40" s="33">
        <f>ROUND(坦克等级成长!$F137*VLOOKUP($CT$2,坦克等级成长!$B$36:$G$42,MATCH(DC$3,坦克等级成长!$B$35:$G$35,0)),0)</f>
        <v>1816</v>
      </c>
      <c r="DD40" s="33">
        <f>ROUND(坦克等级成长!$F137*VLOOKUP($CT$2,坦克等级成长!$B$36:$G$42,MATCH(DD$3,坦克等级成长!$B$35:$G$35,0)),0)</f>
        <v>412</v>
      </c>
      <c r="DE40" s="33">
        <f>ROUND(坦克等级成长!$F137*VLOOKUP($CT$2,坦克等级成长!$B$36:$G$42,MATCH(DE$3,坦克等级成长!$B$35:$G$35,0)),0)</f>
        <v>811</v>
      </c>
      <c r="DF40" s="33">
        <f t="shared" si="11"/>
        <v>811</v>
      </c>
      <c r="DG40" s="33">
        <v>653</v>
      </c>
      <c r="DH40" s="33">
        <f>ROUND(坦克等级成长!$F137*VLOOKUP($CT$2,坦克等级成长!$B$36:$G$42,MATCH(DH$3,坦克等级成长!$B$35:$G$35,0)),0)</f>
        <v>681</v>
      </c>
      <c r="DI40" s="33">
        <f>ROUND(坦克等级成长!$F137*VLOOKUP($CT$2,坦克等级成长!$B$36:$G$42,MATCH(DI$3,坦克等级成长!$B$35:$G$35,0)),0)</f>
        <v>182</v>
      </c>
      <c r="DJ40" s="191">
        <v>5</v>
      </c>
      <c r="DK40" s="33">
        <f>ROUND(坦克等级成长!$H137*VLOOKUP($CT$2,坦克等级成长!$B$36:$G$42,MATCH(DK$3,坦克等级成长!$B$35:$G$35,0)),0)</f>
        <v>1848</v>
      </c>
      <c r="DL40" s="33">
        <f>ROUND(坦克等级成长!$H137*VLOOKUP($CT$2,坦克等级成长!$B$36:$G$42,MATCH(DL$3,坦克等级成长!$B$35:$G$35,0)),0)</f>
        <v>420</v>
      </c>
      <c r="DM40" s="33">
        <f>ROUND(坦克等级成长!$H137*VLOOKUP($CT$2,坦克等级成长!$B$36:$G$42,MATCH(DM$3,坦克等级成长!$B$35:$G$35,0)),0)</f>
        <v>825</v>
      </c>
      <c r="DN40" s="33">
        <f t="shared" si="25"/>
        <v>825</v>
      </c>
      <c r="DO40" s="33">
        <v>653</v>
      </c>
      <c r="DP40" s="33">
        <f>ROUND(坦克等级成长!$H137*VLOOKUP($CT$2,坦克等级成长!$B$36:$G$42,MATCH(DP$3,坦克等级成长!$B$35:$G$35,0)),0)</f>
        <v>693</v>
      </c>
      <c r="DQ40" s="33">
        <f>ROUND(坦克等级成长!$H137*VLOOKUP($CT$2,坦克等级成长!$B$36:$G$42,MATCH(DQ$3,坦克等级成长!$B$35:$G$35,0)),0)</f>
        <v>185</v>
      </c>
      <c r="DR40" s="191">
        <v>5</v>
      </c>
      <c r="DS40" s="33">
        <f>ROUND(坦克等级成长!$D137*VLOOKUP($DR$2,坦克等级成长!$B$36:$G$42,MATCH(DS$3,坦克等级成长!$B$35:$G$35,0)),0)</f>
        <v>2030</v>
      </c>
      <c r="DT40" s="33">
        <f>ROUND(坦克等级成长!$D137*VLOOKUP($DR$2,坦克等级成长!$B$36:$G$42,MATCH(DT$3,坦克等级成长!$B$35:$G$35,0)),0)</f>
        <v>692</v>
      </c>
      <c r="DU40" s="33">
        <f>ROUND(坦克等级成长!$D137*VLOOKUP($DR$2,坦克等级成长!$B$36:$G$42,MATCH(DU$3,坦克等级成长!$B$35:$G$35,0)),0)</f>
        <v>637</v>
      </c>
      <c r="DV40" s="33">
        <f t="shared" si="33"/>
        <v>637</v>
      </c>
      <c r="DW40" s="33">
        <v>539.20000000000005</v>
      </c>
      <c r="DX40" s="33">
        <f>ROUND(坦克等级成长!$D137*VLOOKUP($DR$2,坦克等级成长!$B$36:$G$42,MATCH(DX$3,坦克等级成长!$B$35:$G$35,0)),0)</f>
        <v>937</v>
      </c>
      <c r="DY40" s="33">
        <f>ROUND(坦克等级成长!$D137*VLOOKUP($DR$2,坦克等级成长!$B$36:$G$42,MATCH(DY$3,坦克等级成长!$B$35:$G$35,0)),0)</f>
        <v>203</v>
      </c>
      <c r="DZ40" s="198">
        <v>5</v>
      </c>
      <c r="EA40" s="33">
        <f>ROUND(坦克等级成长!$F137*VLOOKUP($DR$2,坦克等级成长!$B$36:$G$42,MATCH(EA$3,坦克等级成长!$B$35:$G$35,0)),0)</f>
        <v>2066</v>
      </c>
      <c r="EB40" s="33">
        <f>ROUND(坦克等级成长!$F137*VLOOKUP($DR$2,坦克等级成长!$B$36:$G$42,MATCH(EB$3,坦克等级成长!$B$35:$G$35,0)),0)</f>
        <v>705</v>
      </c>
      <c r="EC40" s="33">
        <f>ROUND(坦克等级成长!$F137*VLOOKUP($DR$2,坦克等级成长!$B$36:$G$42,MATCH(EC$3,坦克等级成长!$B$35:$G$35,0)),0)</f>
        <v>649</v>
      </c>
      <c r="ED40" s="33">
        <f t="shared" si="12"/>
        <v>649</v>
      </c>
      <c r="EE40" s="33">
        <v>558</v>
      </c>
      <c r="EF40" s="33">
        <f>ROUND(坦克等级成长!$F137*VLOOKUP($DR$2,坦克等级成长!$B$36:$G$42,MATCH(EF$3,坦克等级成长!$B$35:$G$35,0)),0)</f>
        <v>953</v>
      </c>
      <c r="EG40" s="33">
        <f>ROUND(坦克等级成长!$F137*VLOOKUP($DR$2,坦克等级成长!$B$36:$G$42,MATCH(EG$3,坦克等级成长!$B$35:$G$35,0)),0)</f>
        <v>207</v>
      </c>
      <c r="EH40" s="191">
        <v>5</v>
      </c>
      <c r="EI40" s="33">
        <f>ROUND(坦克等级成长!$H137*VLOOKUP($DR$2,坦克等级成长!$B$36:$G$42,MATCH(EI$3,坦克等级成长!$B$35:$G$35,0)),0)</f>
        <v>2103</v>
      </c>
      <c r="EJ40" s="33">
        <f>ROUND(坦克等级成长!$H137*VLOOKUP($DR$2,坦克等级成长!$B$36:$G$42,MATCH(EJ$3,坦克等级成长!$B$35:$G$35,0)),0)</f>
        <v>717</v>
      </c>
      <c r="EK40" s="33">
        <f>ROUND(坦克等级成长!$H137*VLOOKUP($DR$2,坦克等级成长!$B$36:$G$42,MATCH(EK$3,坦克等级成长!$B$35:$G$35,0)),0)</f>
        <v>660</v>
      </c>
      <c r="EL40" s="33">
        <f t="shared" si="26"/>
        <v>660</v>
      </c>
      <c r="EM40" s="33">
        <v>558</v>
      </c>
      <c r="EN40" s="33">
        <f>ROUND(坦克等级成长!$H137*VLOOKUP($DR$2,坦克等级成长!$B$36:$G$42,MATCH(EN$3,坦克等级成长!$B$35:$G$35,0)),0)</f>
        <v>970</v>
      </c>
      <c r="EO40" s="33">
        <f>ROUND(坦克等级成长!$H137*VLOOKUP($DR$2,坦克等级成长!$B$36:$G$42,MATCH(EO$3,坦克等级成长!$B$35:$G$35,0)),0)</f>
        <v>210</v>
      </c>
      <c r="EP40" s="191">
        <v>5</v>
      </c>
      <c r="EQ40" s="33">
        <f>ROUND(坦克等级成长!$D137*VLOOKUP($EP$2,坦克等级成长!$B$36:$G$42,MATCH(EQ$3,坦克等级成长!$B$35:$G$35,0)),0)</f>
        <v>1880</v>
      </c>
      <c r="ER40" s="33">
        <f>ROUND(坦克等级成长!$D137*VLOOKUP($EP$2,坦克等级成长!$B$36:$G$42,MATCH(ER$3,坦克等级成长!$B$35:$G$35,0)),0)</f>
        <v>215</v>
      </c>
      <c r="ES40" s="33">
        <f>ROUND(坦克等级成长!$D137*VLOOKUP($EP$2,坦克等级成长!$B$36:$G$42,MATCH(ES$3,坦克等级成长!$B$35:$G$35,0)),0)</f>
        <v>733</v>
      </c>
      <c r="ET40" s="33">
        <f t="shared" si="34"/>
        <v>733</v>
      </c>
      <c r="EU40" s="33">
        <v>581.25</v>
      </c>
      <c r="EV40" s="33">
        <f>ROUND(坦克等级成长!$D137*VLOOKUP($EP$2,坦克等级成长!$B$36:$G$42,MATCH(EV$3,坦克等级成长!$B$35:$G$35,0)),0)</f>
        <v>803</v>
      </c>
      <c r="EW40" s="33">
        <f>ROUND(坦克等级成长!$D137*VLOOKUP($EP$2,坦克等级成长!$B$36:$G$42,MATCH(EW$3,坦克等级成长!$B$35:$G$35,0)),0)</f>
        <v>188</v>
      </c>
      <c r="EX40" s="198">
        <v>5</v>
      </c>
      <c r="EY40" s="33">
        <f>ROUND(坦克等级成长!$F137*VLOOKUP($EP$2,坦克等级成长!$B$36:$G$42,MATCH(EY$3,坦克等级成长!$B$35:$G$35,0)),0)</f>
        <v>1914</v>
      </c>
      <c r="EZ40" s="33">
        <f>ROUND(坦克等级成长!$F137*VLOOKUP($EP$2,坦克等级成长!$B$36:$G$42,MATCH(EZ$3,坦克等级成长!$B$35:$G$35,0)),0)</f>
        <v>219</v>
      </c>
      <c r="FA40" s="33">
        <f>ROUND(坦克等级成长!$F137*VLOOKUP($EP$2,坦克等级成长!$B$36:$G$42,MATCH(FA$3,坦克等级成长!$B$35:$G$35,0)),0)</f>
        <v>746</v>
      </c>
      <c r="FB40" s="33">
        <f t="shared" si="13"/>
        <v>746</v>
      </c>
      <c r="FC40" s="33">
        <v>602</v>
      </c>
      <c r="FD40" s="33">
        <f>ROUND(坦克等级成长!$F137*VLOOKUP($EP$2,坦克等级成长!$B$36:$G$42,MATCH(FD$3,坦克等级成长!$B$35:$G$35,0)),0)</f>
        <v>817</v>
      </c>
      <c r="FE40" s="33">
        <f>ROUND(坦克等级成长!$F137*VLOOKUP($EP$2,坦克等级成长!$B$36:$G$42,MATCH(FE$3,坦克等级成长!$B$35:$G$35,0)),0)</f>
        <v>191</v>
      </c>
      <c r="FF40" s="191">
        <v>5</v>
      </c>
      <c r="FG40" s="33">
        <f>ROUND(坦克等级成长!$H137*VLOOKUP($EP$2,坦克等级成长!$B$36:$G$42,MATCH(FG$3,坦克等级成长!$B$35:$G$35,0)),0)</f>
        <v>1947</v>
      </c>
      <c r="FH40" s="33">
        <f>ROUND(坦克等级成长!$H137*VLOOKUP($EP$2,坦克等级成长!$B$36:$G$42,MATCH(FH$3,坦克等级成长!$B$35:$G$35,0)),0)</f>
        <v>223</v>
      </c>
      <c r="FI40" s="33">
        <f>ROUND(坦克等级成长!$H137*VLOOKUP($EP$2,坦克等级成长!$B$36:$G$42,MATCH(FI$3,坦克等级成长!$B$35:$G$35,0)),0)</f>
        <v>759</v>
      </c>
      <c r="FJ40" s="33">
        <f t="shared" si="27"/>
        <v>759</v>
      </c>
      <c r="FK40" s="33">
        <v>602</v>
      </c>
      <c r="FL40" s="33">
        <f>ROUND(坦克等级成长!$H137*VLOOKUP($EP$2,坦克等级成长!$B$36:$G$42,MATCH(FL$3,坦克等级成长!$B$35:$G$35,0)),0)</f>
        <v>832</v>
      </c>
      <c r="FM40" s="33">
        <f>ROUND(坦克等级成长!$H137*VLOOKUP($EP$2,坦克等级成长!$B$36:$G$42,MATCH(FM$3,坦克等级成长!$B$35:$G$35,0)),0)</f>
        <v>195</v>
      </c>
    </row>
    <row r="41" spans="1:169" ht="14.25" x14ac:dyDescent="0.3">
      <c r="A41" s="188">
        <v>4</v>
      </c>
      <c r="B41" s="191">
        <v>6</v>
      </c>
      <c r="C41" s="33">
        <f>ROUND(坦克等级成长!$D138*VLOOKUP($B$2,坦克等级成长!$B$36:$G$42,MATCH(C$3,坦克等级成长!$B$35:$G$35,0)),0)</f>
        <v>1864</v>
      </c>
      <c r="D41" s="33">
        <f>ROUND(坦克等级成长!$D138*VLOOKUP($B$2,坦克等级成长!$B$36:$G$42,MATCH(D$3,坦克等级成长!$B$35:$G$35,0)),0)</f>
        <v>203</v>
      </c>
      <c r="E41" s="33">
        <f>ROUND(坦克等级成长!$D138*VLOOKUP($B$2,坦克等级成长!$B$36:$G$42,MATCH(E$3,坦克等级成长!$B$35:$G$35,0)),0)</f>
        <v>699</v>
      </c>
      <c r="F41" s="33">
        <f t="shared" si="28"/>
        <v>699</v>
      </c>
      <c r="G41" s="33">
        <v>518.70000000000005</v>
      </c>
      <c r="H41" s="33">
        <f>ROUND(坦克等级成长!$D138*VLOOKUP($B$2,坦克等级成长!$B$36:$G$42,MATCH(H$3,坦克等级成长!$B$35:$G$35,0)),0)</f>
        <v>699</v>
      </c>
      <c r="I41" s="33">
        <f>ROUND(坦克等级成长!$D138*VLOOKUP($B$2,坦克等级成长!$B$36:$G$42,MATCH(I$3,坦克等级成长!$B$35:$G$35,0)),0)</f>
        <v>186</v>
      </c>
      <c r="J41" s="198">
        <v>6</v>
      </c>
      <c r="K41" s="33">
        <f>ROUND(坦克等级成长!$F138*VLOOKUP($B$2,坦克等级成长!$B$36:$G$42,MATCH(K$3,坦克等级成长!$B$35:$G$35,0)),0)</f>
        <v>1896</v>
      </c>
      <c r="L41" s="33">
        <f>ROUND(坦克等级成长!$F138*VLOOKUP($B$2,坦克等级成长!$B$36:$G$42,MATCH(L$3,坦克等级成长!$B$35:$G$35,0)),0)</f>
        <v>206</v>
      </c>
      <c r="M41" s="33">
        <f>ROUND(坦克等级成长!$F138*VLOOKUP($B$2,坦克等级成长!$B$36:$G$42,MATCH(M$3,坦克等级成长!$B$35:$G$35,0)),0)</f>
        <v>711</v>
      </c>
      <c r="N41" s="33">
        <f t="shared" si="7"/>
        <v>711</v>
      </c>
      <c r="O41" s="33">
        <v>536</v>
      </c>
      <c r="P41" s="33">
        <f>ROUND(坦克等级成长!$F138*VLOOKUP($B$2,坦克等级成长!$B$36:$G$42,MATCH(P$3,坦克等级成长!$B$35:$G$35,0)),0)</f>
        <v>711</v>
      </c>
      <c r="Q41" s="33">
        <f>ROUND(坦克等级成长!$F138*VLOOKUP($B$2,坦克等级成长!$B$36:$G$42,MATCH(Q$3,坦克等级成长!$B$35:$G$35,0)),0)</f>
        <v>190</v>
      </c>
      <c r="R41" s="191">
        <v>6</v>
      </c>
      <c r="S41" s="33">
        <f>ROUND(坦克等级成长!$H138*VLOOKUP($B$2,坦克等级成长!$B$36:$G$42,MATCH(S$3,坦克等级成长!$B$35:$G$35,0)),0)</f>
        <v>1928</v>
      </c>
      <c r="T41" s="33">
        <f>ROUND(坦克等级成长!$H138*VLOOKUP($B$2,坦克等级成长!$B$36:$G$42,MATCH(T$3,坦克等级成长!$B$35:$G$35,0)),0)</f>
        <v>210</v>
      </c>
      <c r="U41" s="33">
        <f>ROUND(坦克等级成长!$H138*VLOOKUP($B$2,坦克等级成长!$B$36:$G$42,MATCH(U$3,坦克等级成长!$B$35:$G$35,0)),0)</f>
        <v>723</v>
      </c>
      <c r="V41" s="33">
        <f t="shared" si="21"/>
        <v>723</v>
      </c>
      <c r="W41" s="33">
        <v>536</v>
      </c>
      <c r="X41" s="33">
        <f>ROUND(坦克等级成长!$H138*VLOOKUP($B$2,坦克等级成长!$B$36:$G$42,MATCH(X$3,坦克等级成长!$B$35:$G$35,0)),0)</f>
        <v>723</v>
      </c>
      <c r="Y41" s="33">
        <f>ROUND(坦克等级成长!$H138*VLOOKUP($B$2,坦克等级成长!$B$36:$G$42,MATCH(Y$3,坦克等级成长!$B$35:$G$35,0)),0)</f>
        <v>193</v>
      </c>
      <c r="Z41" s="191">
        <v>6</v>
      </c>
      <c r="AA41" s="33">
        <f>ROUND(坦克等级成长!$D138*VLOOKUP($Z$2,坦克等级成长!$B$36:$G$42,MATCH(AA$3,坦克等级成长!$B$35:$G$35,0)),0)</f>
        <v>1864</v>
      </c>
      <c r="AB41" s="33">
        <f>ROUND(坦克等级成长!$D138*VLOOKUP($Z$2,坦克等级成长!$B$36:$G$42,MATCH(AB$3,坦克等级成长!$B$35:$G$35,0)),0)</f>
        <v>110</v>
      </c>
      <c r="AC41" s="33">
        <f>ROUND(坦克等级成长!$D138*VLOOKUP($Z$2,坦克等级成长!$B$36:$G$42,MATCH(AC$3,坦克等级成长!$B$35:$G$35,0)),0)</f>
        <v>766</v>
      </c>
      <c r="AD41" s="33">
        <f t="shared" si="29"/>
        <v>766</v>
      </c>
      <c r="AE41" s="33">
        <v>568.4</v>
      </c>
      <c r="AF41" s="33">
        <f>ROUND(坦克等级成长!$D138*VLOOKUP($Z$2,坦克等级成长!$B$36:$G$42,MATCH(AF$3,坦克等级成长!$B$35:$G$35,0)),0)</f>
        <v>699</v>
      </c>
      <c r="AG41" s="33">
        <f>ROUND(坦克等级成长!$D138*VLOOKUP($Z$2,坦克等级成长!$B$36:$G$42,MATCH(AG$3,坦克等级成长!$B$35:$G$35,0)),0)</f>
        <v>186</v>
      </c>
      <c r="AH41" s="198">
        <v>6</v>
      </c>
      <c r="AI41" s="33">
        <f>ROUND(坦克等级成长!$F138*VLOOKUP($Z$2,坦克等级成长!$B$36:$G$42,MATCH(AI$3,坦克等级成长!$B$35:$G$35,0)),0)</f>
        <v>1896</v>
      </c>
      <c r="AJ41" s="33">
        <f>ROUND(坦克等级成长!$F138*VLOOKUP($Z$2,坦克等级成长!$B$36:$G$42,MATCH(AJ$3,坦克等级成长!$B$35:$G$35,0)),0)</f>
        <v>112</v>
      </c>
      <c r="AK41" s="33">
        <f>ROUND(坦克等级成长!$F138*VLOOKUP($Z$2,坦克等级成长!$B$36:$G$42,MATCH(AK$3,坦克等级成长!$B$35:$G$35,0)),0)</f>
        <v>779</v>
      </c>
      <c r="AL41" s="33">
        <f t="shared" si="8"/>
        <v>779</v>
      </c>
      <c r="AM41" s="33">
        <v>587</v>
      </c>
      <c r="AN41" s="33">
        <f>ROUND(坦克等级成长!$F138*VLOOKUP($Z$2,坦克等级成长!$B$36:$G$42,MATCH(AN$3,坦克等级成长!$B$35:$G$35,0)),0)</f>
        <v>711</v>
      </c>
      <c r="AO41" s="33">
        <f>ROUND(坦克等级成长!$F138*VLOOKUP($Z$2,坦克等级成长!$B$36:$G$42,MATCH(AO$3,坦克等级成长!$B$35:$G$35,0)),0)</f>
        <v>190</v>
      </c>
      <c r="AP41" s="191">
        <v>6</v>
      </c>
      <c r="AQ41" s="33">
        <f>ROUND(坦克等级成长!$H138*VLOOKUP($Z$2,坦克等级成长!$B$36:$G$42,MATCH(AQ$3,坦克等级成长!$B$35:$G$35,0)),0)</f>
        <v>1928</v>
      </c>
      <c r="AR41" s="33">
        <f>ROUND(坦克等级成长!$H138*VLOOKUP($Z$2,坦克等级成长!$B$36:$G$42,MATCH(AR$3,坦克等级成长!$B$35:$G$35,0)),0)</f>
        <v>114</v>
      </c>
      <c r="AS41" s="33">
        <f>ROUND(坦克等级成长!$H138*VLOOKUP($Z$2,坦克等级成长!$B$36:$G$42,MATCH(AS$3,坦克等级成长!$B$35:$G$35,0)),0)</f>
        <v>792</v>
      </c>
      <c r="AT41" s="33">
        <f t="shared" si="22"/>
        <v>792</v>
      </c>
      <c r="AU41" s="33">
        <v>587</v>
      </c>
      <c r="AV41" s="33">
        <f>ROUND(坦克等级成长!$H138*VLOOKUP($Z$2,坦克等级成长!$B$36:$G$42,MATCH(AV$3,坦克等级成长!$B$35:$G$35,0)),0)</f>
        <v>723</v>
      </c>
      <c r="AW41" s="33">
        <f>ROUND(坦克等级成长!$H138*VLOOKUP($Z$2,坦克等级成长!$B$36:$G$42,MATCH(AW$3,坦克等级成长!$B$35:$G$35,0)),0)</f>
        <v>193</v>
      </c>
      <c r="AX41" s="191">
        <v>6</v>
      </c>
      <c r="AY41" s="33">
        <f>ROUND(坦克等级成长!$D138*VLOOKUP($AX$2,坦克等级成长!$B$36:$G$42,MATCH(AY$3,坦克等级成长!$B$35:$G$35,0)),0)</f>
        <v>1864</v>
      </c>
      <c r="AZ41" s="33">
        <f>ROUND(坦克等级成长!$D138*VLOOKUP($AX$2,坦克等级成长!$B$36:$G$42,MATCH(AZ$3,坦克等级成长!$B$35:$G$35,0)),0)</f>
        <v>203</v>
      </c>
      <c r="BA41" s="33">
        <f>ROUND(坦克等级成长!$D138*VLOOKUP($AX$2,坦克等级成长!$B$36:$G$42,MATCH(BA$3,坦克等级成长!$B$35:$G$35,0)),0)</f>
        <v>699</v>
      </c>
      <c r="BB41" s="33">
        <f t="shared" si="30"/>
        <v>699</v>
      </c>
      <c r="BC41" s="33">
        <v>518.70000000000005</v>
      </c>
      <c r="BD41" s="33">
        <f>ROUND(坦克等级成长!$D138*VLOOKUP($AX$2,坦克等级成长!$B$36:$G$42,MATCH(BD$3,坦克等级成长!$B$35:$G$35,0)),0)</f>
        <v>699</v>
      </c>
      <c r="BE41" s="33">
        <f>ROUND(坦克等级成长!$D138*VLOOKUP($AX$2,坦克等级成长!$B$36:$G$42,MATCH(BE$3,坦克等级成长!$B$35:$G$35,0)),0)</f>
        <v>186</v>
      </c>
      <c r="BF41" s="198">
        <v>6</v>
      </c>
      <c r="BG41" s="33">
        <f>ROUND(坦克等级成长!$F138*VLOOKUP($AX$2,坦克等级成长!$B$36:$G$42,MATCH(BG$3,坦克等级成长!$B$35:$G$35,0)),0)</f>
        <v>1896</v>
      </c>
      <c r="BH41" s="33">
        <f>ROUND(坦克等级成长!$F138*VLOOKUP($AX$2,坦克等级成长!$B$36:$G$42,MATCH(BH$3,坦克等级成长!$B$35:$G$35,0)),0)</f>
        <v>206</v>
      </c>
      <c r="BI41" s="33">
        <f>ROUND(坦克等级成长!$F138*VLOOKUP($AX$2,坦克等级成长!$B$36:$G$42,MATCH(BI$3,坦克等级成长!$B$35:$G$35,0)),0)</f>
        <v>711</v>
      </c>
      <c r="BJ41" s="33">
        <f t="shared" si="9"/>
        <v>711</v>
      </c>
      <c r="BK41" s="33">
        <v>536</v>
      </c>
      <c r="BL41" s="33">
        <f>ROUND(坦克等级成长!$F138*VLOOKUP($AX$2,坦克等级成长!$B$36:$G$42,MATCH(BL$3,坦克等级成长!$B$35:$G$35,0)),0)</f>
        <v>711</v>
      </c>
      <c r="BM41" s="33">
        <f>ROUND(坦克等级成长!$F138*VLOOKUP($AX$2,坦克等级成长!$B$36:$G$42,MATCH(BM$3,坦克等级成长!$B$35:$G$35,0)),0)</f>
        <v>190</v>
      </c>
      <c r="BN41" s="191">
        <v>6</v>
      </c>
      <c r="BO41" s="33">
        <f>ROUND(坦克等级成长!$H138*VLOOKUP($AX$2,坦克等级成长!$B$36:$G$42,MATCH(BO$3,坦克等级成长!$B$35:$G$35,0)),0)</f>
        <v>1928</v>
      </c>
      <c r="BP41" s="33">
        <f>ROUND(坦克等级成长!$H138*VLOOKUP($AX$2,坦克等级成长!$B$36:$G$42,MATCH(BP$3,坦克等级成长!$B$35:$G$35,0)),0)</f>
        <v>210</v>
      </c>
      <c r="BQ41" s="33">
        <f>ROUND(坦克等级成长!$H138*VLOOKUP($AX$2,坦克等级成长!$B$36:$G$42,MATCH(BQ$3,坦克等级成长!$B$35:$G$35,0)),0)</f>
        <v>723</v>
      </c>
      <c r="BR41" s="33">
        <f t="shared" si="23"/>
        <v>723</v>
      </c>
      <c r="BS41" s="33">
        <v>536</v>
      </c>
      <c r="BT41" s="33">
        <f>ROUND(坦克等级成长!$H138*VLOOKUP($AX$2,坦克等级成长!$B$36:$G$42,MATCH(BT$3,坦克等级成长!$B$35:$G$35,0)),0)</f>
        <v>723</v>
      </c>
      <c r="BU41" s="33">
        <f>ROUND(坦克等级成长!$H138*VLOOKUP($AX$2,坦克等级成长!$B$36:$G$42,MATCH(BU$3,坦克等级成长!$B$35:$G$35,0)),0)</f>
        <v>193</v>
      </c>
      <c r="BV41" s="191">
        <v>6</v>
      </c>
      <c r="BW41" s="33">
        <f>ROUND(坦克等级成长!$D138*VLOOKUP($BV$2,坦克等级成长!$B$36:$G$42,MATCH(BW$3,坦克等级成长!$B$35:$G$35,0)),0)</f>
        <v>1964</v>
      </c>
      <c r="BX41" s="33">
        <f>ROUND(坦克等级成长!$D138*VLOOKUP($BV$2,坦克等级成长!$B$36:$G$42,MATCH(BX$3,坦克等级成长!$B$35:$G$35,0)),0)</f>
        <v>185</v>
      </c>
      <c r="BY41" s="33">
        <f>ROUND(坦克等级成长!$D138*VLOOKUP($BV$2,坦克等级成长!$B$36:$G$42,MATCH(BY$3,坦克等级成长!$B$35:$G$35,0)),0)</f>
        <v>666</v>
      </c>
      <c r="BZ41" s="33">
        <f t="shared" si="31"/>
        <v>666</v>
      </c>
      <c r="CA41" s="33">
        <v>529.5</v>
      </c>
      <c r="CB41" s="33">
        <f>ROUND(坦克等级成长!$D138*VLOOKUP($BV$2,坦克等级成长!$B$36:$G$42,MATCH(CB$3,坦克等级成长!$B$35:$G$35,0)),0)</f>
        <v>839</v>
      </c>
      <c r="CC41" s="33">
        <f>ROUND(坦克等级成长!$D138*VLOOKUP($BV$2,坦克等级成长!$B$36:$G$42,MATCH(CC$3,坦克等级成长!$B$35:$G$35,0)),0)</f>
        <v>196</v>
      </c>
      <c r="CD41" s="198">
        <v>6</v>
      </c>
      <c r="CE41" s="33">
        <f>ROUND(坦克等级成长!$F138*VLOOKUP($BV$2,坦克等级成长!$B$36:$G$42,MATCH(CE$3,坦克等级成长!$B$35:$G$35,0)),0)</f>
        <v>1998</v>
      </c>
      <c r="CF41" s="33">
        <f>ROUND(坦克等级成长!$F138*VLOOKUP($BV$2,坦克等级成长!$B$36:$G$42,MATCH(CF$3,坦克等级成长!$B$35:$G$35,0)),0)</f>
        <v>188</v>
      </c>
      <c r="CG41" s="33">
        <f>ROUND(坦克等级成长!$F138*VLOOKUP($BV$2,坦克等级成长!$B$36:$G$42,MATCH(CG$3,坦克等级成长!$B$35:$G$35,0)),0)</f>
        <v>677</v>
      </c>
      <c r="CH41" s="33">
        <f t="shared" si="10"/>
        <v>677</v>
      </c>
      <c r="CI41" s="33">
        <v>547</v>
      </c>
      <c r="CJ41" s="33">
        <f>ROUND(坦克等级成长!$F138*VLOOKUP($BV$2,坦克等级成长!$B$36:$G$42,MATCH(CJ$3,坦克等级成长!$B$35:$G$35,0)),0)</f>
        <v>853</v>
      </c>
      <c r="CK41" s="33">
        <f>ROUND(坦克等级成长!$F138*VLOOKUP($BV$2,坦克等级成长!$B$36:$G$42,MATCH(CK$3,坦克等级成长!$B$35:$G$35,0)),0)</f>
        <v>200</v>
      </c>
      <c r="CL41" s="191">
        <v>6</v>
      </c>
      <c r="CM41" s="33">
        <f>ROUND(坦克等级成长!$H138*VLOOKUP($BV$2,坦克等级成长!$B$36:$G$42,MATCH(CM$3,坦克等级成长!$B$35:$G$35,0)),0)</f>
        <v>2032</v>
      </c>
      <c r="CN41" s="33">
        <f>ROUND(坦克等级成长!$H138*VLOOKUP($BV$2,坦克等级成长!$B$36:$G$42,MATCH(CN$3,坦克等级成长!$B$35:$G$35,0)),0)</f>
        <v>192</v>
      </c>
      <c r="CO41" s="33">
        <f>ROUND(坦克等级成长!$H138*VLOOKUP($BV$2,坦克等级成长!$B$36:$G$42,MATCH(CO$3,坦克等级成长!$B$35:$G$35,0)),0)</f>
        <v>689</v>
      </c>
      <c r="CP41" s="33">
        <f t="shared" si="24"/>
        <v>689</v>
      </c>
      <c r="CQ41" s="33">
        <v>547</v>
      </c>
      <c r="CR41" s="33">
        <f>ROUND(坦克等级成长!$H138*VLOOKUP($BV$2,坦克等级成长!$B$36:$G$42,MATCH(CR$3,坦克等级成长!$B$35:$G$35,0)),0)</f>
        <v>868</v>
      </c>
      <c r="CS41" s="33">
        <f>ROUND(坦克等级成长!$H138*VLOOKUP($BV$2,坦克等级成长!$B$36:$G$42,MATCH(CS$3,坦克等级成长!$B$35:$G$35,0)),0)</f>
        <v>203</v>
      </c>
      <c r="CT41" s="191">
        <v>6</v>
      </c>
      <c r="CU41" s="33">
        <f>ROUND(坦克等级成长!$D138*VLOOKUP($CT$2,坦克等级成长!$B$36:$G$42,MATCH(CU$3,坦克等级成长!$B$35:$G$35,0)),0)</f>
        <v>1864</v>
      </c>
      <c r="CV41" s="33">
        <f>ROUND(坦克等级成长!$D138*VLOOKUP($CT$2,坦克等级成长!$B$36:$G$42,MATCH(CV$3,坦克等级成长!$B$35:$G$35,0)),0)</f>
        <v>423</v>
      </c>
      <c r="CW41" s="33">
        <f>ROUND(坦克等级成长!$D138*VLOOKUP($CT$2,坦克等级成长!$B$36:$G$42,MATCH(CW$3,坦克等级成长!$B$35:$G$35,0)),0)</f>
        <v>832</v>
      </c>
      <c r="CX41" s="33">
        <f t="shared" si="32"/>
        <v>832</v>
      </c>
      <c r="CY41" s="33">
        <v>661.5</v>
      </c>
      <c r="CZ41" s="33">
        <f>ROUND(坦克等级成长!$D138*VLOOKUP($CT$2,坦克等级成长!$B$36:$G$42,MATCH(CZ$3,坦克等级成长!$B$35:$G$35,0)),0)</f>
        <v>699</v>
      </c>
      <c r="DA41" s="33">
        <f>ROUND(坦克等级成长!$D138*VLOOKUP($CT$2,坦克等级成长!$B$36:$G$42,MATCH(DA$3,坦克等级成长!$B$35:$G$35,0)),0)</f>
        <v>186</v>
      </c>
      <c r="DB41" s="198">
        <v>6</v>
      </c>
      <c r="DC41" s="33">
        <f>ROUND(坦克等级成长!$F138*VLOOKUP($CT$2,坦克等级成长!$B$36:$G$42,MATCH(DC$3,坦克等级成长!$B$35:$G$35,0)),0)</f>
        <v>1896</v>
      </c>
      <c r="DD41" s="33">
        <f>ROUND(坦克等级成长!$F138*VLOOKUP($CT$2,坦克等级成长!$B$36:$G$42,MATCH(DD$3,坦克等级成长!$B$35:$G$35,0)),0)</f>
        <v>431</v>
      </c>
      <c r="DE41" s="33">
        <f>ROUND(坦克等级成长!$F138*VLOOKUP($CT$2,坦克等级成长!$B$36:$G$42,MATCH(DE$3,坦克等级成长!$B$35:$G$35,0)),0)</f>
        <v>846</v>
      </c>
      <c r="DF41" s="33">
        <f t="shared" si="11"/>
        <v>846</v>
      </c>
      <c r="DG41" s="33">
        <v>683</v>
      </c>
      <c r="DH41" s="33">
        <f>ROUND(坦克等级成长!$F138*VLOOKUP($CT$2,坦克等级成长!$B$36:$G$42,MATCH(DH$3,坦克等级成长!$B$35:$G$35,0)),0)</f>
        <v>711</v>
      </c>
      <c r="DI41" s="33">
        <f>ROUND(坦克等级成长!$F138*VLOOKUP($CT$2,坦克等级成长!$B$36:$G$42,MATCH(DI$3,坦克等级成长!$B$35:$G$35,0)),0)</f>
        <v>190</v>
      </c>
      <c r="DJ41" s="191">
        <v>6</v>
      </c>
      <c r="DK41" s="33">
        <f>ROUND(坦克等级成长!$H138*VLOOKUP($CT$2,坦克等级成长!$B$36:$G$42,MATCH(DK$3,坦克等级成长!$B$35:$G$35,0)),0)</f>
        <v>1928</v>
      </c>
      <c r="DL41" s="33">
        <f>ROUND(坦克等级成长!$H138*VLOOKUP($CT$2,坦克等级成长!$B$36:$G$42,MATCH(DL$3,坦克等级成长!$B$35:$G$35,0)),0)</f>
        <v>438</v>
      </c>
      <c r="DM41" s="33">
        <f>ROUND(坦克等级成长!$H138*VLOOKUP($CT$2,坦克等级成长!$B$36:$G$42,MATCH(DM$3,坦克等级成长!$B$35:$G$35,0)),0)</f>
        <v>861</v>
      </c>
      <c r="DN41" s="33">
        <f t="shared" si="25"/>
        <v>861</v>
      </c>
      <c r="DO41" s="33">
        <v>683</v>
      </c>
      <c r="DP41" s="33">
        <f>ROUND(坦克等级成长!$H138*VLOOKUP($CT$2,坦克等级成长!$B$36:$G$42,MATCH(DP$3,坦克等级成长!$B$35:$G$35,0)),0)</f>
        <v>723</v>
      </c>
      <c r="DQ41" s="33">
        <f>ROUND(坦克等级成长!$H138*VLOOKUP($CT$2,坦克等级成长!$B$36:$G$42,MATCH(DQ$3,坦克等级成长!$B$35:$G$35,0)),0)</f>
        <v>193</v>
      </c>
      <c r="DR41" s="191">
        <v>6</v>
      </c>
      <c r="DS41" s="33">
        <f>ROUND(坦克等级成长!$D138*VLOOKUP($DR$2,坦克等级成长!$B$36:$G$42,MATCH(DS$3,坦克等级成长!$B$35:$G$35,0)),0)</f>
        <v>2121</v>
      </c>
      <c r="DT41" s="33">
        <f>ROUND(坦克等级成长!$D138*VLOOKUP($DR$2,坦克等级成长!$B$36:$G$42,MATCH(DT$3,坦克等级成长!$B$35:$G$35,0)),0)</f>
        <v>723</v>
      </c>
      <c r="DU41" s="33">
        <f>ROUND(坦克等级成长!$D138*VLOOKUP($DR$2,坦克等级成长!$B$36:$G$42,MATCH(DU$3,坦克等级成长!$B$35:$G$35,0)),0)</f>
        <v>666</v>
      </c>
      <c r="DV41" s="33">
        <f t="shared" si="33"/>
        <v>666</v>
      </c>
      <c r="DW41" s="33">
        <v>564.79999999999995</v>
      </c>
      <c r="DX41" s="33">
        <f>ROUND(坦克等级成长!$D138*VLOOKUP($DR$2,坦克等级成长!$B$36:$G$42,MATCH(DX$3,坦克等级成长!$B$35:$G$35,0)),0)</f>
        <v>979</v>
      </c>
      <c r="DY41" s="33">
        <f>ROUND(坦克等级成长!$D138*VLOOKUP($DR$2,坦克等级成长!$B$36:$G$42,MATCH(DY$3,坦克等级成长!$B$35:$G$35,0)),0)</f>
        <v>212</v>
      </c>
      <c r="DZ41" s="198">
        <v>6</v>
      </c>
      <c r="EA41" s="33">
        <f>ROUND(坦克等级成长!$F138*VLOOKUP($DR$2,坦克等级成长!$B$36:$G$42,MATCH(EA$3,坦克等级成长!$B$35:$G$35,0)),0)</f>
        <v>2157</v>
      </c>
      <c r="EB41" s="33">
        <f>ROUND(坦克等级成长!$F138*VLOOKUP($DR$2,坦克等级成长!$B$36:$G$42,MATCH(EB$3,坦克等级成长!$B$35:$G$35,0)),0)</f>
        <v>736</v>
      </c>
      <c r="EC41" s="33">
        <f>ROUND(坦克等级成长!$F138*VLOOKUP($DR$2,坦克等级成长!$B$36:$G$42,MATCH(EC$3,坦克等级成长!$B$35:$G$35,0)),0)</f>
        <v>677</v>
      </c>
      <c r="ED41" s="33">
        <f t="shared" si="12"/>
        <v>677</v>
      </c>
      <c r="EE41" s="33">
        <v>583</v>
      </c>
      <c r="EF41" s="33">
        <f>ROUND(坦克等级成长!$F138*VLOOKUP($DR$2,坦克等级成长!$B$36:$G$42,MATCH(EF$3,坦克等级成长!$B$35:$G$35,0)),0)</f>
        <v>995</v>
      </c>
      <c r="EG41" s="33">
        <f>ROUND(坦克等级成长!$F138*VLOOKUP($DR$2,坦克等级成长!$B$36:$G$42,MATCH(EG$3,坦克等级成长!$B$35:$G$35,0)),0)</f>
        <v>216</v>
      </c>
      <c r="EH41" s="191">
        <v>6</v>
      </c>
      <c r="EI41" s="33">
        <f>ROUND(坦克等级成长!$H138*VLOOKUP($DR$2,坦克等级成长!$B$36:$G$42,MATCH(EI$3,坦克等级成长!$B$35:$G$35,0)),0)</f>
        <v>2194</v>
      </c>
      <c r="EJ41" s="33">
        <f>ROUND(坦克等级成长!$H138*VLOOKUP($DR$2,坦克等级成长!$B$36:$G$42,MATCH(EJ$3,坦克等级成长!$B$35:$G$35,0)),0)</f>
        <v>748</v>
      </c>
      <c r="EK41" s="33">
        <f>ROUND(坦克等级成长!$H138*VLOOKUP($DR$2,坦克等级成长!$B$36:$G$42,MATCH(EK$3,坦克等级成长!$B$35:$G$35,0)),0)</f>
        <v>689</v>
      </c>
      <c r="EL41" s="33">
        <f t="shared" si="26"/>
        <v>689</v>
      </c>
      <c r="EM41" s="33">
        <v>583</v>
      </c>
      <c r="EN41" s="33">
        <f>ROUND(坦克等级成长!$H138*VLOOKUP($DR$2,坦克等级成长!$B$36:$G$42,MATCH(EN$3,坦克等级成长!$B$35:$G$35,0)),0)</f>
        <v>1012</v>
      </c>
      <c r="EO41" s="33">
        <f>ROUND(坦克等级成长!$H138*VLOOKUP($DR$2,坦克等级成长!$B$36:$G$42,MATCH(EO$3,坦克等级成长!$B$35:$G$35,0)),0)</f>
        <v>219</v>
      </c>
      <c r="EP41" s="191">
        <v>6</v>
      </c>
      <c r="EQ41" s="33">
        <f>ROUND(坦克等级成长!$D138*VLOOKUP($EP$2,坦克等级成长!$B$36:$G$42,MATCH(EQ$3,坦克等级成长!$B$35:$G$35,0)),0)</f>
        <v>1964</v>
      </c>
      <c r="ER41" s="33">
        <f>ROUND(坦克等级成长!$D138*VLOOKUP($EP$2,坦克等级成长!$B$36:$G$42,MATCH(ER$3,坦克等级成长!$B$35:$G$35,0)),0)</f>
        <v>225</v>
      </c>
      <c r="ES41" s="33">
        <f>ROUND(坦克等级成长!$D138*VLOOKUP($EP$2,坦克等级成长!$B$36:$G$42,MATCH(ES$3,坦克等级成长!$B$35:$G$35,0)),0)</f>
        <v>766</v>
      </c>
      <c r="ET41" s="33">
        <f t="shared" si="34"/>
        <v>766</v>
      </c>
      <c r="EU41" s="33">
        <v>609</v>
      </c>
      <c r="EV41" s="33">
        <f>ROUND(坦克等级成长!$D138*VLOOKUP($EP$2,坦克等级成长!$B$36:$G$42,MATCH(EV$3,坦克等级成长!$B$35:$G$35,0)),0)</f>
        <v>839</v>
      </c>
      <c r="EW41" s="33">
        <f>ROUND(坦克等级成长!$D138*VLOOKUP($EP$2,坦克等级成长!$B$36:$G$42,MATCH(EW$3,坦克等级成长!$B$35:$G$35,0)),0)</f>
        <v>196</v>
      </c>
      <c r="EX41" s="198">
        <v>6</v>
      </c>
      <c r="EY41" s="33">
        <f>ROUND(坦克等级成长!$F138*VLOOKUP($EP$2,坦克等级成长!$B$36:$G$42,MATCH(EY$3,坦克等级成长!$B$35:$G$35,0)),0)</f>
        <v>1998</v>
      </c>
      <c r="EZ41" s="33">
        <f>ROUND(坦克等级成长!$F138*VLOOKUP($EP$2,坦克等级成长!$B$36:$G$42,MATCH(EZ$3,坦克等级成长!$B$35:$G$35,0)),0)</f>
        <v>229</v>
      </c>
      <c r="FA41" s="33">
        <f>ROUND(坦克等级成长!$F138*VLOOKUP($EP$2,坦克等级成长!$B$36:$G$42,MATCH(FA$3,坦克等级成长!$B$35:$G$35,0)),0)</f>
        <v>779</v>
      </c>
      <c r="FB41" s="33">
        <f t="shared" si="13"/>
        <v>779</v>
      </c>
      <c r="FC41" s="33">
        <v>629</v>
      </c>
      <c r="FD41" s="33">
        <f>ROUND(坦克等级成长!$F138*VLOOKUP($EP$2,坦克等级成长!$B$36:$G$42,MATCH(FD$3,坦克等级成长!$B$35:$G$35,0)),0)</f>
        <v>853</v>
      </c>
      <c r="FE41" s="33">
        <f>ROUND(坦克等级成长!$F138*VLOOKUP($EP$2,坦克等级成长!$B$36:$G$42,MATCH(FE$3,坦克等级成长!$B$35:$G$35,0)),0)</f>
        <v>200</v>
      </c>
      <c r="FF41" s="191">
        <v>6</v>
      </c>
      <c r="FG41" s="33">
        <f>ROUND(坦克等级成长!$H138*VLOOKUP($EP$2,坦克等级成长!$B$36:$G$42,MATCH(FG$3,坦克等级成长!$B$35:$G$35,0)),0)</f>
        <v>2032</v>
      </c>
      <c r="FH41" s="33">
        <f>ROUND(坦克等级成长!$H138*VLOOKUP($EP$2,坦克等级成长!$B$36:$G$42,MATCH(FH$3,坦克等级成长!$B$35:$G$35,0)),0)</f>
        <v>233</v>
      </c>
      <c r="FI41" s="33">
        <f>ROUND(坦克等级成长!$H138*VLOOKUP($EP$2,坦克等级成长!$B$36:$G$42,MATCH(FI$3,坦克等级成长!$B$35:$G$35,0)),0)</f>
        <v>792</v>
      </c>
      <c r="FJ41" s="33">
        <f t="shared" si="27"/>
        <v>792</v>
      </c>
      <c r="FK41" s="33">
        <v>629</v>
      </c>
      <c r="FL41" s="33">
        <f>ROUND(坦克等级成长!$H138*VLOOKUP($EP$2,坦克等级成长!$B$36:$G$42,MATCH(FL$3,坦克等级成长!$B$35:$G$35,0)),0)</f>
        <v>868</v>
      </c>
      <c r="FM41" s="33">
        <f>ROUND(坦克等级成长!$H138*VLOOKUP($EP$2,坦克等级成长!$B$36:$G$42,MATCH(FM$3,坦克等级成长!$B$35:$G$35,0)),0)</f>
        <v>203</v>
      </c>
    </row>
    <row r="42" spans="1:169" ht="14.25" x14ac:dyDescent="0.3">
      <c r="A42" s="188">
        <v>4</v>
      </c>
      <c r="B42" s="191">
        <v>7</v>
      </c>
      <c r="C42" s="33">
        <f>ROUND(坦克等级成长!$D139*VLOOKUP($B$2,坦克等级成长!$B$36:$G$42,MATCH(C$3,坦克等级成长!$B$35:$G$35,0)),0)</f>
        <v>1944</v>
      </c>
      <c r="D42" s="33">
        <f>ROUND(坦克等级成长!$D139*VLOOKUP($B$2,坦克等级成长!$B$36:$G$42,MATCH(D$3,坦克等级成长!$B$35:$G$35,0)),0)</f>
        <v>211</v>
      </c>
      <c r="E42" s="33">
        <f>ROUND(坦克等级成长!$D139*VLOOKUP($B$2,坦克等级成长!$B$36:$G$42,MATCH(E$3,坦克等级成长!$B$35:$G$35,0)),0)</f>
        <v>729</v>
      </c>
      <c r="F42" s="33">
        <f t="shared" si="28"/>
        <v>729</v>
      </c>
      <c r="G42" s="33">
        <v>541.79999999999995</v>
      </c>
      <c r="H42" s="33">
        <f>ROUND(坦克等级成长!$D139*VLOOKUP($B$2,坦克等级成长!$B$36:$G$42,MATCH(H$3,坦克等级成长!$B$35:$G$35,0)),0)</f>
        <v>729</v>
      </c>
      <c r="I42" s="33">
        <f>ROUND(坦克等级成长!$D139*VLOOKUP($B$2,坦克等级成长!$B$36:$G$42,MATCH(I$3,坦克等级成长!$B$35:$G$35,0)),0)</f>
        <v>194</v>
      </c>
      <c r="J42" s="198">
        <v>7</v>
      </c>
      <c r="K42" s="33">
        <f>ROUND(坦克等级成长!$F139*VLOOKUP($B$2,坦克等级成长!$B$36:$G$42,MATCH(K$3,坦克等级成长!$B$35:$G$35,0)),0)</f>
        <v>1976</v>
      </c>
      <c r="L42" s="33">
        <f>ROUND(坦克等级成长!$F139*VLOOKUP($B$2,坦克等级成长!$B$36:$G$42,MATCH(L$3,坦克等级成长!$B$35:$G$35,0)),0)</f>
        <v>215</v>
      </c>
      <c r="M42" s="33">
        <f>ROUND(坦克等级成长!$F139*VLOOKUP($B$2,坦克等级成长!$B$36:$G$42,MATCH(M$3,坦克等级成长!$B$35:$G$35,0)),0)</f>
        <v>741</v>
      </c>
      <c r="N42" s="33">
        <f t="shared" si="7"/>
        <v>741</v>
      </c>
      <c r="O42" s="33">
        <v>559</v>
      </c>
      <c r="P42" s="33">
        <f>ROUND(坦克等级成长!$F139*VLOOKUP($B$2,坦克等级成长!$B$36:$G$42,MATCH(P$3,坦克等级成长!$B$35:$G$35,0)),0)</f>
        <v>741</v>
      </c>
      <c r="Q42" s="33">
        <f>ROUND(坦克等级成长!$F139*VLOOKUP($B$2,坦克等级成长!$B$36:$G$42,MATCH(Q$3,坦克等级成长!$B$35:$G$35,0)),0)</f>
        <v>198</v>
      </c>
      <c r="R42" s="191">
        <v>7</v>
      </c>
      <c r="S42" s="33">
        <f>ROUND(坦克等级成长!$H139*VLOOKUP($B$2,坦克等级成长!$B$36:$G$42,MATCH(S$3,坦克等级成长!$B$35:$G$35,0)),0)</f>
        <v>2008</v>
      </c>
      <c r="T42" s="33">
        <f>ROUND(坦克等级成长!$H139*VLOOKUP($B$2,坦克等级成长!$B$36:$G$42,MATCH(T$3,坦克等级成长!$B$35:$G$35,0)),0)</f>
        <v>218</v>
      </c>
      <c r="U42" s="33">
        <f>ROUND(坦克等级成长!$H139*VLOOKUP($B$2,坦克等级成长!$B$36:$G$42,MATCH(U$3,坦克等级成长!$B$35:$G$35,0)),0)</f>
        <v>753</v>
      </c>
      <c r="V42" s="33">
        <f t="shared" si="21"/>
        <v>753</v>
      </c>
      <c r="W42" s="33">
        <v>559</v>
      </c>
      <c r="X42" s="33">
        <f>ROUND(坦克等级成长!$H139*VLOOKUP($B$2,坦克等级成长!$B$36:$G$42,MATCH(X$3,坦克等级成长!$B$35:$G$35,0)),0)</f>
        <v>753</v>
      </c>
      <c r="Y42" s="33">
        <f>ROUND(坦克等级成长!$H139*VLOOKUP($B$2,坦克等级成长!$B$36:$G$42,MATCH(Y$3,坦克等级成长!$B$35:$G$35,0)),0)</f>
        <v>201</v>
      </c>
      <c r="Z42" s="191">
        <v>7</v>
      </c>
      <c r="AA42" s="33">
        <f>ROUND(坦克等级成长!$D139*VLOOKUP($Z$2,坦克等级成长!$B$36:$G$42,MATCH(AA$3,坦克等级成长!$B$35:$G$35,0)),0)</f>
        <v>1944</v>
      </c>
      <c r="AB42" s="33">
        <f>ROUND(坦克等级成长!$D139*VLOOKUP($Z$2,坦克等级成长!$B$36:$G$42,MATCH(AB$3,坦克等级成长!$B$35:$G$35,0)),0)</f>
        <v>115</v>
      </c>
      <c r="AC42" s="33">
        <f>ROUND(坦克等级成长!$D139*VLOOKUP($Z$2,坦克等级成长!$B$36:$G$42,MATCH(AC$3,坦克等级成长!$B$35:$G$35,0)),0)</f>
        <v>798</v>
      </c>
      <c r="AD42" s="33">
        <f t="shared" si="29"/>
        <v>798</v>
      </c>
      <c r="AE42" s="33">
        <v>593.6</v>
      </c>
      <c r="AF42" s="33">
        <f>ROUND(坦克等级成长!$D139*VLOOKUP($Z$2,坦克等级成长!$B$36:$G$42,MATCH(AF$3,坦克等级成长!$B$35:$G$35,0)),0)</f>
        <v>729</v>
      </c>
      <c r="AG42" s="33">
        <f>ROUND(坦克等级成长!$D139*VLOOKUP($Z$2,坦克等级成长!$B$36:$G$42,MATCH(AG$3,坦克等级成长!$B$35:$G$35,0)),0)</f>
        <v>194</v>
      </c>
      <c r="AH42" s="198">
        <v>7</v>
      </c>
      <c r="AI42" s="33">
        <f>ROUND(坦克等级成长!$F139*VLOOKUP($Z$2,坦克等级成长!$B$36:$G$42,MATCH(AI$3,坦克等级成长!$B$35:$G$35,0)),0)</f>
        <v>1976</v>
      </c>
      <c r="AJ42" s="33">
        <f>ROUND(坦克等级成长!$F139*VLOOKUP($Z$2,坦克等级成长!$B$36:$G$42,MATCH(AJ$3,坦克等级成长!$B$35:$G$35,0)),0)</f>
        <v>116</v>
      </c>
      <c r="AK42" s="33">
        <f>ROUND(坦克等级成长!$F139*VLOOKUP($Z$2,坦克等级成长!$B$36:$G$42,MATCH(AK$3,坦克等级成长!$B$35:$G$35,0)),0)</f>
        <v>812</v>
      </c>
      <c r="AL42" s="33">
        <f t="shared" si="8"/>
        <v>812</v>
      </c>
      <c r="AM42" s="33">
        <v>612</v>
      </c>
      <c r="AN42" s="33">
        <f>ROUND(坦克等级成长!$F139*VLOOKUP($Z$2,坦克等级成长!$B$36:$G$42,MATCH(AN$3,坦克等级成长!$B$35:$G$35,0)),0)</f>
        <v>741</v>
      </c>
      <c r="AO42" s="33">
        <f>ROUND(坦克等级成长!$F139*VLOOKUP($Z$2,坦克等级成长!$B$36:$G$42,MATCH(AO$3,坦克等级成长!$B$35:$G$35,0)),0)</f>
        <v>198</v>
      </c>
      <c r="AP42" s="191">
        <v>7</v>
      </c>
      <c r="AQ42" s="33">
        <f>ROUND(坦克等级成长!$H139*VLOOKUP($Z$2,坦克等级成长!$B$36:$G$42,MATCH(AQ$3,坦克等级成长!$B$35:$G$35,0)),0)</f>
        <v>2008</v>
      </c>
      <c r="AR42" s="33">
        <f>ROUND(坦克等级成长!$H139*VLOOKUP($Z$2,坦克等级成长!$B$36:$G$42,MATCH(AR$3,坦克等级成长!$B$35:$G$35,0)),0)</f>
        <v>118</v>
      </c>
      <c r="AS42" s="33">
        <f>ROUND(坦克等级成长!$H139*VLOOKUP($Z$2,坦克等级成长!$B$36:$G$42,MATCH(AS$3,坦克等级成长!$B$35:$G$35,0)),0)</f>
        <v>825</v>
      </c>
      <c r="AT42" s="33">
        <f t="shared" si="22"/>
        <v>825</v>
      </c>
      <c r="AU42" s="33">
        <v>612</v>
      </c>
      <c r="AV42" s="33">
        <f>ROUND(坦克等级成长!$H139*VLOOKUP($Z$2,坦克等级成长!$B$36:$G$42,MATCH(AV$3,坦克等级成长!$B$35:$G$35,0)),0)</f>
        <v>753</v>
      </c>
      <c r="AW42" s="33">
        <f>ROUND(坦克等级成长!$H139*VLOOKUP($Z$2,坦克等级成长!$B$36:$G$42,MATCH(AW$3,坦克等级成长!$B$35:$G$35,0)),0)</f>
        <v>201</v>
      </c>
      <c r="AX42" s="191">
        <v>7</v>
      </c>
      <c r="AY42" s="33">
        <f>ROUND(坦克等级成长!$D139*VLOOKUP($AX$2,坦克等级成长!$B$36:$G$42,MATCH(AY$3,坦克等级成长!$B$35:$G$35,0)),0)</f>
        <v>1944</v>
      </c>
      <c r="AZ42" s="33">
        <f>ROUND(坦克等级成长!$D139*VLOOKUP($AX$2,坦克等级成长!$B$36:$G$42,MATCH(AZ$3,坦克等级成长!$B$35:$G$35,0)),0)</f>
        <v>211</v>
      </c>
      <c r="BA42" s="33">
        <f>ROUND(坦克等级成长!$D139*VLOOKUP($AX$2,坦克等级成长!$B$36:$G$42,MATCH(BA$3,坦克等级成长!$B$35:$G$35,0)),0)</f>
        <v>729</v>
      </c>
      <c r="BB42" s="33">
        <f t="shared" si="30"/>
        <v>729</v>
      </c>
      <c r="BC42" s="33">
        <v>541.79999999999995</v>
      </c>
      <c r="BD42" s="33">
        <f>ROUND(坦克等级成长!$D139*VLOOKUP($AX$2,坦克等级成长!$B$36:$G$42,MATCH(BD$3,坦克等级成长!$B$35:$G$35,0)),0)</f>
        <v>729</v>
      </c>
      <c r="BE42" s="33">
        <f>ROUND(坦克等级成长!$D139*VLOOKUP($AX$2,坦克等级成长!$B$36:$G$42,MATCH(BE$3,坦克等级成长!$B$35:$G$35,0)),0)</f>
        <v>194</v>
      </c>
      <c r="BF42" s="198">
        <v>7</v>
      </c>
      <c r="BG42" s="33">
        <f>ROUND(坦克等级成长!$F139*VLOOKUP($AX$2,坦克等级成长!$B$36:$G$42,MATCH(BG$3,坦克等级成长!$B$35:$G$35,0)),0)</f>
        <v>1976</v>
      </c>
      <c r="BH42" s="33">
        <f>ROUND(坦克等级成长!$F139*VLOOKUP($AX$2,坦克等级成长!$B$36:$G$42,MATCH(BH$3,坦克等级成长!$B$35:$G$35,0)),0)</f>
        <v>215</v>
      </c>
      <c r="BI42" s="33">
        <f>ROUND(坦克等级成长!$F139*VLOOKUP($AX$2,坦克等级成长!$B$36:$G$42,MATCH(BI$3,坦克等级成长!$B$35:$G$35,0)),0)</f>
        <v>741</v>
      </c>
      <c r="BJ42" s="33">
        <f t="shared" si="9"/>
        <v>741</v>
      </c>
      <c r="BK42" s="33">
        <v>559</v>
      </c>
      <c r="BL42" s="33">
        <f>ROUND(坦克等级成长!$F139*VLOOKUP($AX$2,坦克等级成长!$B$36:$G$42,MATCH(BL$3,坦克等级成长!$B$35:$G$35,0)),0)</f>
        <v>741</v>
      </c>
      <c r="BM42" s="33">
        <f>ROUND(坦克等级成长!$F139*VLOOKUP($AX$2,坦克等级成长!$B$36:$G$42,MATCH(BM$3,坦克等级成长!$B$35:$G$35,0)),0)</f>
        <v>198</v>
      </c>
      <c r="BN42" s="191">
        <v>7</v>
      </c>
      <c r="BO42" s="33">
        <f>ROUND(坦克等级成长!$H139*VLOOKUP($AX$2,坦克等级成长!$B$36:$G$42,MATCH(BO$3,坦克等级成长!$B$35:$G$35,0)),0)</f>
        <v>2008</v>
      </c>
      <c r="BP42" s="33">
        <f>ROUND(坦克等级成长!$H139*VLOOKUP($AX$2,坦克等级成长!$B$36:$G$42,MATCH(BP$3,坦克等级成长!$B$35:$G$35,0)),0)</f>
        <v>218</v>
      </c>
      <c r="BQ42" s="33">
        <f>ROUND(坦克等级成长!$H139*VLOOKUP($AX$2,坦克等级成长!$B$36:$G$42,MATCH(BQ$3,坦克等级成长!$B$35:$G$35,0)),0)</f>
        <v>753</v>
      </c>
      <c r="BR42" s="33">
        <f t="shared" si="23"/>
        <v>753</v>
      </c>
      <c r="BS42" s="33">
        <v>559</v>
      </c>
      <c r="BT42" s="33">
        <f>ROUND(坦克等级成长!$H139*VLOOKUP($AX$2,坦克等级成长!$B$36:$G$42,MATCH(BT$3,坦克等级成长!$B$35:$G$35,0)),0)</f>
        <v>753</v>
      </c>
      <c r="BU42" s="33">
        <f>ROUND(坦克等级成长!$H139*VLOOKUP($AX$2,坦克等级成长!$B$36:$G$42,MATCH(BU$3,坦克等级成长!$B$35:$G$35,0)),0)</f>
        <v>201</v>
      </c>
      <c r="BV42" s="191">
        <v>7</v>
      </c>
      <c r="BW42" s="33">
        <f>ROUND(坦克等级成长!$D139*VLOOKUP($BV$2,坦克等级成长!$B$36:$G$42,MATCH(BW$3,坦克等级成长!$B$35:$G$35,0)),0)</f>
        <v>2048</v>
      </c>
      <c r="BX42" s="33">
        <f>ROUND(坦克等级成长!$D139*VLOOKUP($BV$2,坦克等级成长!$B$36:$G$42,MATCH(BX$3,坦克等级成长!$B$35:$G$35,0)),0)</f>
        <v>193</v>
      </c>
      <c r="BY42" s="33">
        <f>ROUND(坦克等级成长!$D139*VLOOKUP($BV$2,坦克等级成长!$B$36:$G$42,MATCH(BY$3,坦克等级成长!$B$35:$G$35,0)),0)</f>
        <v>694</v>
      </c>
      <c r="BZ42" s="33">
        <f t="shared" si="31"/>
        <v>694</v>
      </c>
      <c r="CA42" s="33">
        <v>552.75</v>
      </c>
      <c r="CB42" s="33">
        <f>ROUND(坦克等级成长!$D139*VLOOKUP($BV$2,坦克等级成长!$B$36:$G$42,MATCH(CB$3,坦克等级成长!$B$35:$G$35,0)),0)</f>
        <v>875</v>
      </c>
      <c r="CC42" s="33">
        <f>ROUND(坦克等级成长!$D139*VLOOKUP($BV$2,坦克等级成长!$B$36:$G$42,MATCH(CC$3,坦克等级成长!$B$35:$G$35,0)),0)</f>
        <v>205</v>
      </c>
      <c r="CD42" s="198">
        <v>7</v>
      </c>
      <c r="CE42" s="33">
        <f>ROUND(坦克等级成长!$F139*VLOOKUP($BV$2,坦克等级成长!$B$36:$G$42,MATCH(CE$3,坦克等级成长!$B$35:$G$35,0)),0)</f>
        <v>2082</v>
      </c>
      <c r="CF42" s="33">
        <f>ROUND(坦克等级成长!$F139*VLOOKUP($BV$2,坦克等级成长!$B$36:$G$42,MATCH(CF$3,坦克等级成长!$B$35:$G$35,0)),0)</f>
        <v>196</v>
      </c>
      <c r="CG42" s="33">
        <f>ROUND(坦克等级成长!$F139*VLOOKUP($BV$2,坦克等级成长!$B$36:$G$42,MATCH(CG$3,坦克等级成长!$B$35:$G$35,0)),0)</f>
        <v>706</v>
      </c>
      <c r="CH42" s="33">
        <f t="shared" si="10"/>
        <v>706</v>
      </c>
      <c r="CI42" s="33">
        <v>570</v>
      </c>
      <c r="CJ42" s="33">
        <f>ROUND(坦克等级成长!$F139*VLOOKUP($BV$2,坦克等级成长!$B$36:$G$42,MATCH(CJ$3,坦克等级成长!$B$35:$G$35,0)),0)</f>
        <v>889</v>
      </c>
      <c r="CK42" s="33">
        <f>ROUND(坦克等级成长!$F139*VLOOKUP($BV$2,坦克等级成长!$B$36:$G$42,MATCH(CK$3,坦克等级成长!$B$35:$G$35,0)),0)</f>
        <v>208</v>
      </c>
      <c r="CL42" s="191">
        <v>7</v>
      </c>
      <c r="CM42" s="33">
        <f>ROUND(坦克等级成长!$H139*VLOOKUP($BV$2,坦克等级成长!$B$36:$G$42,MATCH(CM$3,坦克等级成长!$B$35:$G$35,0)),0)</f>
        <v>2116</v>
      </c>
      <c r="CN42" s="33">
        <f>ROUND(坦克等级成长!$H139*VLOOKUP($BV$2,坦克等级成长!$B$36:$G$42,MATCH(CN$3,坦克等级成长!$B$35:$G$35,0)),0)</f>
        <v>199</v>
      </c>
      <c r="CO42" s="33">
        <f>ROUND(坦克等级成长!$H139*VLOOKUP($BV$2,坦克等级成长!$B$36:$G$42,MATCH(CO$3,坦克等级成长!$B$35:$G$35,0)),0)</f>
        <v>717</v>
      </c>
      <c r="CP42" s="33">
        <f t="shared" si="24"/>
        <v>717</v>
      </c>
      <c r="CQ42" s="33">
        <v>570</v>
      </c>
      <c r="CR42" s="33">
        <f>ROUND(坦克等级成长!$H139*VLOOKUP($BV$2,坦克等级成长!$B$36:$G$42,MATCH(CR$3,坦克等级成长!$B$35:$G$35,0)),0)</f>
        <v>904</v>
      </c>
      <c r="CS42" s="33">
        <f>ROUND(坦克等级成长!$H139*VLOOKUP($BV$2,坦克等级成长!$B$36:$G$42,MATCH(CS$3,坦克等级成长!$B$35:$G$35,0)),0)</f>
        <v>212</v>
      </c>
      <c r="CT42" s="191">
        <v>7</v>
      </c>
      <c r="CU42" s="33">
        <f>ROUND(坦克等级成长!$D139*VLOOKUP($CT$2,坦克等级成长!$B$36:$G$42,MATCH(CU$3,坦克等级成长!$B$35:$G$35,0)),0)</f>
        <v>1944</v>
      </c>
      <c r="CV42" s="33">
        <f>ROUND(坦克等级成长!$D139*VLOOKUP($CT$2,坦克等级成长!$B$36:$G$42,MATCH(CV$3,坦克等级成长!$B$35:$G$35,0)),0)</f>
        <v>442</v>
      </c>
      <c r="CW42" s="33">
        <f>ROUND(坦克等级成长!$D139*VLOOKUP($CT$2,坦克等级成长!$B$36:$G$42,MATCH(CW$3,坦克等级成长!$B$35:$G$35,0)),0)</f>
        <v>868</v>
      </c>
      <c r="CX42" s="33">
        <f t="shared" si="32"/>
        <v>868</v>
      </c>
      <c r="CY42" s="33">
        <v>690.75</v>
      </c>
      <c r="CZ42" s="33">
        <f>ROUND(坦克等级成长!$D139*VLOOKUP($CT$2,坦克等级成长!$B$36:$G$42,MATCH(CZ$3,坦克等级成长!$B$35:$G$35,0)),0)</f>
        <v>729</v>
      </c>
      <c r="DA42" s="33">
        <f>ROUND(坦克等级成长!$D139*VLOOKUP($CT$2,坦克等级成长!$B$36:$G$42,MATCH(DA$3,坦克等级成长!$B$35:$G$35,0)),0)</f>
        <v>194</v>
      </c>
      <c r="DB42" s="198">
        <v>7</v>
      </c>
      <c r="DC42" s="33">
        <f>ROUND(坦克等级成长!$F139*VLOOKUP($CT$2,坦克等级成长!$B$36:$G$42,MATCH(DC$3,坦克等级成长!$B$35:$G$35,0)),0)</f>
        <v>1976</v>
      </c>
      <c r="DD42" s="33">
        <f>ROUND(坦克等级成长!$F139*VLOOKUP($CT$2,坦克等级成长!$B$36:$G$42,MATCH(DD$3,坦克等级成长!$B$35:$G$35,0)),0)</f>
        <v>449</v>
      </c>
      <c r="DE42" s="33">
        <f>ROUND(坦克等级成长!$F139*VLOOKUP($CT$2,坦克等级成长!$B$36:$G$42,MATCH(DE$3,坦克等级成长!$B$35:$G$35,0)),0)</f>
        <v>882</v>
      </c>
      <c r="DF42" s="33">
        <f t="shared" si="11"/>
        <v>882</v>
      </c>
      <c r="DG42" s="33">
        <v>713</v>
      </c>
      <c r="DH42" s="33">
        <f>ROUND(坦克等级成长!$F139*VLOOKUP($CT$2,坦克等级成长!$B$36:$G$42,MATCH(DH$3,坦克等级成长!$B$35:$G$35,0)),0)</f>
        <v>741</v>
      </c>
      <c r="DI42" s="33">
        <f>ROUND(坦克等级成长!$F139*VLOOKUP($CT$2,坦克等级成长!$B$36:$G$42,MATCH(DI$3,坦克等级成长!$B$35:$G$35,0)),0)</f>
        <v>198</v>
      </c>
      <c r="DJ42" s="191">
        <v>7</v>
      </c>
      <c r="DK42" s="33">
        <f>ROUND(坦克等级成长!$H139*VLOOKUP($CT$2,坦克等级成长!$B$36:$G$42,MATCH(DK$3,坦克等级成长!$B$35:$G$35,0)),0)</f>
        <v>2008</v>
      </c>
      <c r="DL42" s="33">
        <f>ROUND(坦克等级成长!$H139*VLOOKUP($CT$2,坦克等级成长!$B$36:$G$42,MATCH(DL$3,坦克等级成长!$B$35:$G$35,0)),0)</f>
        <v>456</v>
      </c>
      <c r="DM42" s="33">
        <f>ROUND(坦克等级成长!$H139*VLOOKUP($CT$2,坦克等级成长!$B$36:$G$42,MATCH(DM$3,坦克等级成长!$B$35:$G$35,0)),0)</f>
        <v>896</v>
      </c>
      <c r="DN42" s="33">
        <f t="shared" si="25"/>
        <v>896</v>
      </c>
      <c r="DO42" s="33">
        <v>713</v>
      </c>
      <c r="DP42" s="33">
        <f>ROUND(坦克等级成长!$H139*VLOOKUP($CT$2,坦克等级成长!$B$36:$G$42,MATCH(DP$3,坦克等级成长!$B$35:$G$35,0)),0)</f>
        <v>753</v>
      </c>
      <c r="DQ42" s="33">
        <f>ROUND(坦克等级成长!$H139*VLOOKUP($CT$2,坦克等级成长!$B$36:$G$42,MATCH(DQ$3,坦克等级成长!$B$35:$G$35,0)),0)</f>
        <v>201</v>
      </c>
      <c r="DR42" s="191">
        <v>7</v>
      </c>
      <c r="DS42" s="33">
        <f>ROUND(坦克等级成长!$D139*VLOOKUP($DR$2,坦克等级成长!$B$36:$G$42,MATCH(DS$3,坦克等级成长!$B$35:$G$35,0)),0)</f>
        <v>2212</v>
      </c>
      <c r="DT42" s="33">
        <f>ROUND(坦克等级成长!$D139*VLOOKUP($DR$2,坦克等级成长!$B$36:$G$42,MATCH(DT$3,坦克等级成长!$B$35:$G$35,0)),0)</f>
        <v>755</v>
      </c>
      <c r="DU42" s="33">
        <f>ROUND(坦克等级成长!$D139*VLOOKUP($DR$2,坦克等级成长!$B$36:$G$42,MATCH(DU$3,坦克等级成长!$B$35:$G$35,0)),0)</f>
        <v>694</v>
      </c>
      <c r="DV42" s="33">
        <f t="shared" si="33"/>
        <v>694</v>
      </c>
      <c r="DW42" s="33">
        <v>589.6</v>
      </c>
      <c r="DX42" s="33">
        <f>ROUND(坦克等级成长!$D139*VLOOKUP($DR$2,坦克等级成长!$B$36:$G$42,MATCH(DX$3,坦克等级成长!$B$35:$G$35,0)),0)</f>
        <v>1021</v>
      </c>
      <c r="DY42" s="33">
        <f>ROUND(坦克等级成长!$D139*VLOOKUP($DR$2,坦克等级成长!$B$36:$G$42,MATCH(DY$3,坦克等级成长!$B$35:$G$35,0)),0)</f>
        <v>221</v>
      </c>
      <c r="DZ42" s="198">
        <v>7</v>
      </c>
      <c r="EA42" s="33">
        <f>ROUND(坦克等级成长!$F139*VLOOKUP($DR$2,坦克等级成长!$B$36:$G$42,MATCH(EA$3,坦克等级成长!$B$35:$G$35,0)),0)</f>
        <v>2248</v>
      </c>
      <c r="EB42" s="33">
        <f>ROUND(坦克等级成长!$F139*VLOOKUP($DR$2,坦克等级成长!$B$36:$G$42,MATCH(EB$3,坦克等级成长!$B$35:$G$35,0)),0)</f>
        <v>767</v>
      </c>
      <c r="EC42" s="33">
        <f>ROUND(坦克等级成长!$F139*VLOOKUP($DR$2,坦克等级成长!$B$36:$G$42,MATCH(EC$3,坦克等级成长!$B$35:$G$35,0)),0)</f>
        <v>706</v>
      </c>
      <c r="ED42" s="33">
        <f t="shared" si="12"/>
        <v>706</v>
      </c>
      <c r="EE42" s="33">
        <v>608</v>
      </c>
      <c r="EF42" s="33">
        <f>ROUND(坦克等级成长!$F139*VLOOKUP($DR$2,坦克等级成长!$B$36:$G$42,MATCH(EF$3,坦克等级成长!$B$35:$G$35,0)),0)</f>
        <v>1037</v>
      </c>
      <c r="EG42" s="33">
        <f>ROUND(坦克等级成长!$F139*VLOOKUP($DR$2,坦克等级成长!$B$36:$G$42,MATCH(EG$3,坦克等级成长!$B$35:$G$35,0)),0)</f>
        <v>225</v>
      </c>
      <c r="EH42" s="191">
        <v>7</v>
      </c>
      <c r="EI42" s="33">
        <f>ROUND(坦克等级成长!$H139*VLOOKUP($DR$2,坦克等级成长!$B$36:$G$42,MATCH(EI$3,坦克等级成长!$B$35:$G$35,0)),0)</f>
        <v>2285</v>
      </c>
      <c r="EJ42" s="33">
        <f>ROUND(坦克等级成长!$H139*VLOOKUP($DR$2,坦克等级成长!$B$36:$G$42,MATCH(EJ$3,坦克等级成长!$B$35:$G$35,0)),0)</f>
        <v>779</v>
      </c>
      <c r="EK42" s="33">
        <f>ROUND(坦克等级成长!$H139*VLOOKUP($DR$2,坦克等级成长!$B$36:$G$42,MATCH(EK$3,坦克等级成长!$B$35:$G$35,0)),0)</f>
        <v>717</v>
      </c>
      <c r="EL42" s="33">
        <f t="shared" si="26"/>
        <v>717</v>
      </c>
      <c r="EM42" s="33">
        <v>608</v>
      </c>
      <c r="EN42" s="33">
        <f>ROUND(坦克等级成长!$H139*VLOOKUP($DR$2,坦克等级成长!$B$36:$G$42,MATCH(EN$3,坦克等级成长!$B$35:$G$35,0)),0)</f>
        <v>1054</v>
      </c>
      <c r="EO42" s="33">
        <f>ROUND(坦克等级成长!$H139*VLOOKUP($DR$2,坦克等级成长!$B$36:$G$42,MATCH(EO$3,坦克等级成长!$B$35:$G$35,0)),0)</f>
        <v>228</v>
      </c>
      <c r="EP42" s="191">
        <v>7</v>
      </c>
      <c r="EQ42" s="33">
        <f>ROUND(坦克等级成长!$D139*VLOOKUP($EP$2,坦克等级成长!$B$36:$G$42,MATCH(EQ$3,坦克等级成长!$B$35:$G$35,0)),0)</f>
        <v>2048</v>
      </c>
      <c r="ER42" s="33">
        <f>ROUND(坦克等级成长!$D139*VLOOKUP($EP$2,坦克等级成长!$B$36:$G$42,MATCH(ER$3,坦克等级成长!$B$35:$G$35,0)),0)</f>
        <v>235</v>
      </c>
      <c r="ES42" s="33">
        <f>ROUND(坦克等级成长!$D139*VLOOKUP($EP$2,坦克等级成长!$B$36:$G$42,MATCH(ES$3,坦克等级成长!$B$35:$G$35,0)),0)</f>
        <v>798</v>
      </c>
      <c r="ET42" s="33">
        <f t="shared" si="34"/>
        <v>798</v>
      </c>
      <c r="EU42" s="33">
        <v>636</v>
      </c>
      <c r="EV42" s="33">
        <f>ROUND(坦克等级成长!$D139*VLOOKUP($EP$2,坦克等级成长!$B$36:$G$42,MATCH(EV$3,坦克等级成长!$B$35:$G$35,0)),0)</f>
        <v>875</v>
      </c>
      <c r="EW42" s="33">
        <f>ROUND(坦克等级成长!$D139*VLOOKUP($EP$2,坦克等级成长!$B$36:$G$42,MATCH(EW$3,坦克等级成长!$B$35:$G$35,0)),0)</f>
        <v>205</v>
      </c>
      <c r="EX42" s="198">
        <v>7</v>
      </c>
      <c r="EY42" s="33">
        <f>ROUND(坦克等级成长!$F139*VLOOKUP($EP$2,坦克等级成长!$B$36:$G$42,MATCH(EY$3,坦克等级成长!$B$35:$G$35,0)),0)</f>
        <v>2082</v>
      </c>
      <c r="EZ42" s="33">
        <f>ROUND(坦克等级成长!$F139*VLOOKUP($EP$2,坦克等级成长!$B$36:$G$42,MATCH(EZ$3,坦克等级成长!$B$35:$G$35,0)),0)</f>
        <v>239</v>
      </c>
      <c r="FA42" s="33">
        <f>ROUND(坦克等级成长!$F139*VLOOKUP($EP$2,坦克等级成长!$B$36:$G$42,MATCH(FA$3,坦克等级成长!$B$35:$G$35,0)),0)</f>
        <v>812</v>
      </c>
      <c r="FB42" s="33">
        <f t="shared" si="13"/>
        <v>812</v>
      </c>
      <c r="FC42" s="33">
        <v>656</v>
      </c>
      <c r="FD42" s="33">
        <f>ROUND(坦克等级成长!$F139*VLOOKUP($EP$2,坦克等级成长!$B$36:$G$42,MATCH(FD$3,坦克等级成长!$B$35:$G$35,0)),0)</f>
        <v>889</v>
      </c>
      <c r="FE42" s="33">
        <f>ROUND(坦克等级成长!$F139*VLOOKUP($EP$2,坦克等级成长!$B$36:$G$42,MATCH(FE$3,坦克等级成长!$B$35:$G$35,0)),0)</f>
        <v>208</v>
      </c>
      <c r="FF42" s="191">
        <v>7</v>
      </c>
      <c r="FG42" s="33">
        <f>ROUND(坦克等级成长!$H139*VLOOKUP($EP$2,坦克等级成长!$B$36:$G$42,MATCH(FG$3,坦克等级成长!$B$35:$G$35,0)),0)</f>
        <v>2116</v>
      </c>
      <c r="FH42" s="33">
        <f>ROUND(坦克等级成长!$H139*VLOOKUP($EP$2,坦克等级成长!$B$36:$G$42,MATCH(FH$3,坦克等级成长!$B$35:$G$35,0)),0)</f>
        <v>242</v>
      </c>
      <c r="FI42" s="33">
        <f>ROUND(坦克等级成长!$H139*VLOOKUP($EP$2,坦克等级成长!$B$36:$G$42,MATCH(FI$3,坦克等级成长!$B$35:$G$35,0)),0)</f>
        <v>825</v>
      </c>
      <c r="FJ42" s="33">
        <f t="shared" si="27"/>
        <v>825</v>
      </c>
      <c r="FK42" s="33">
        <v>656</v>
      </c>
      <c r="FL42" s="33">
        <f>ROUND(坦克等级成长!$H139*VLOOKUP($EP$2,坦克等级成长!$B$36:$G$42,MATCH(FL$3,坦克等级成长!$B$35:$G$35,0)),0)</f>
        <v>904</v>
      </c>
      <c r="FM42" s="33">
        <f>ROUND(坦克等级成长!$H139*VLOOKUP($EP$2,坦克等级成长!$B$36:$G$42,MATCH(FM$3,坦克等级成长!$B$35:$G$35,0)),0)</f>
        <v>212</v>
      </c>
    </row>
    <row r="43" spans="1:169" ht="14.25" x14ac:dyDescent="0.3">
      <c r="A43" s="188">
        <v>4</v>
      </c>
      <c r="B43" s="191">
        <v>8</v>
      </c>
      <c r="C43" s="33">
        <f>ROUND(坦克等级成长!$D140*VLOOKUP($B$2,坦克等级成长!$B$36:$G$42,MATCH(C$3,坦克等级成长!$B$35:$G$35,0)),0)</f>
        <v>2024</v>
      </c>
      <c r="D43" s="33">
        <f>ROUND(坦克等级成长!$D140*VLOOKUP($B$2,坦克等级成长!$B$36:$G$42,MATCH(D$3,坦克等级成长!$B$35:$G$35,0)),0)</f>
        <v>220</v>
      </c>
      <c r="E43" s="33">
        <f>ROUND(坦克等级成长!$D140*VLOOKUP($B$2,坦克等级成长!$B$36:$G$42,MATCH(E$3,坦克等级成长!$B$35:$G$35,0)),0)</f>
        <v>759</v>
      </c>
      <c r="F43" s="33">
        <f t="shared" si="28"/>
        <v>759</v>
      </c>
      <c r="G43" s="33">
        <v>564.9</v>
      </c>
      <c r="H43" s="33">
        <f>ROUND(坦克等级成长!$D140*VLOOKUP($B$2,坦克等级成长!$B$36:$G$42,MATCH(H$3,坦克等级成长!$B$35:$G$35,0)),0)</f>
        <v>759</v>
      </c>
      <c r="I43" s="33">
        <f>ROUND(坦克等级成长!$D140*VLOOKUP($B$2,坦克等级成长!$B$36:$G$42,MATCH(I$3,坦克等级成长!$B$35:$G$35,0)),0)</f>
        <v>202</v>
      </c>
      <c r="J43" s="198">
        <v>8</v>
      </c>
      <c r="K43" s="33">
        <f>ROUND(坦克等级成长!$F140*VLOOKUP($B$2,坦克等级成长!$B$36:$G$42,MATCH(K$3,坦克等级成长!$B$35:$G$35,0)),0)</f>
        <v>2056</v>
      </c>
      <c r="L43" s="33">
        <f>ROUND(坦克等级成长!$F140*VLOOKUP($B$2,坦克等级成长!$B$36:$G$42,MATCH(L$3,坦克等级成长!$B$35:$G$35,0)),0)</f>
        <v>224</v>
      </c>
      <c r="M43" s="33">
        <f>ROUND(坦克等级成长!$F140*VLOOKUP($B$2,坦克等级成长!$B$36:$G$42,MATCH(M$3,坦克等级成长!$B$35:$G$35,0)),0)</f>
        <v>771</v>
      </c>
      <c r="N43" s="33">
        <f t="shared" si="7"/>
        <v>771</v>
      </c>
      <c r="O43" s="33">
        <v>582</v>
      </c>
      <c r="P43" s="33">
        <f>ROUND(坦克等级成长!$F140*VLOOKUP($B$2,坦克等级成长!$B$36:$G$42,MATCH(P$3,坦克等级成长!$B$35:$G$35,0)),0)</f>
        <v>771</v>
      </c>
      <c r="Q43" s="33">
        <f>ROUND(坦克等级成长!$F140*VLOOKUP($B$2,坦克等级成长!$B$36:$G$42,MATCH(Q$3,坦克等级成长!$B$35:$G$35,0)),0)</f>
        <v>206</v>
      </c>
      <c r="R43" s="191">
        <v>8</v>
      </c>
      <c r="S43" s="33">
        <f>ROUND(坦克等级成长!$H140*VLOOKUP($B$2,坦克等级成长!$B$36:$G$42,MATCH(S$3,坦克等级成长!$B$35:$G$35,0)),0)</f>
        <v>2088</v>
      </c>
      <c r="T43" s="33">
        <f>ROUND(坦克等级成长!$H140*VLOOKUP($B$2,坦克等级成长!$B$36:$G$42,MATCH(T$3,坦克等级成长!$B$35:$G$35,0)),0)</f>
        <v>227</v>
      </c>
      <c r="U43" s="33">
        <f>ROUND(坦克等级成长!$H140*VLOOKUP($B$2,坦克等级成长!$B$36:$G$42,MATCH(U$3,坦克等级成长!$B$35:$G$35,0)),0)</f>
        <v>783</v>
      </c>
      <c r="V43" s="33">
        <f t="shared" si="21"/>
        <v>783</v>
      </c>
      <c r="W43" s="33">
        <v>582</v>
      </c>
      <c r="X43" s="33">
        <f>ROUND(坦克等级成长!$H140*VLOOKUP($B$2,坦克等级成长!$B$36:$G$42,MATCH(X$3,坦克等级成长!$B$35:$G$35,0)),0)</f>
        <v>783</v>
      </c>
      <c r="Y43" s="33">
        <f>ROUND(坦克等级成长!$H140*VLOOKUP($B$2,坦克等级成长!$B$36:$G$42,MATCH(Y$3,坦克等级成长!$B$35:$G$35,0)),0)</f>
        <v>209</v>
      </c>
      <c r="Z43" s="191">
        <v>8</v>
      </c>
      <c r="AA43" s="33">
        <f>ROUND(坦克等级成长!$D140*VLOOKUP($Z$2,坦克等级成长!$B$36:$G$42,MATCH(AA$3,坦克等级成长!$B$35:$G$35,0)),0)</f>
        <v>2024</v>
      </c>
      <c r="AB43" s="33">
        <f>ROUND(坦克等级成长!$D140*VLOOKUP($Z$2,坦克等级成长!$B$36:$G$42,MATCH(AB$3,坦克等级成长!$B$35:$G$35,0)),0)</f>
        <v>119</v>
      </c>
      <c r="AC43" s="33">
        <f>ROUND(坦克等级成长!$D140*VLOOKUP($Z$2,坦克等级成长!$B$36:$G$42,MATCH(AC$3,坦克等级成长!$B$35:$G$35,0)),0)</f>
        <v>831</v>
      </c>
      <c r="AD43" s="33">
        <f t="shared" si="29"/>
        <v>831</v>
      </c>
      <c r="AE43" s="33">
        <v>618.79999999999995</v>
      </c>
      <c r="AF43" s="33">
        <f>ROUND(坦克等级成长!$D140*VLOOKUP($Z$2,坦克等级成长!$B$36:$G$42,MATCH(AF$3,坦克等级成长!$B$35:$G$35,0)),0)</f>
        <v>759</v>
      </c>
      <c r="AG43" s="33">
        <f>ROUND(坦克等级成长!$D140*VLOOKUP($Z$2,坦克等级成长!$B$36:$G$42,MATCH(AG$3,坦克等级成长!$B$35:$G$35,0)),0)</f>
        <v>202</v>
      </c>
      <c r="AH43" s="198">
        <v>8</v>
      </c>
      <c r="AI43" s="33">
        <f>ROUND(坦克等级成长!$F140*VLOOKUP($Z$2,坦克等级成长!$B$36:$G$42,MATCH(AI$3,坦克等级成长!$B$35:$G$35,0)),0)</f>
        <v>2056</v>
      </c>
      <c r="AJ43" s="33">
        <f>ROUND(坦克等级成长!$F140*VLOOKUP($Z$2,坦克等级成长!$B$36:$G$42,MATCH(AJ$3,坦克等级成长!$B$35:$G$35,0)),0)</f>
        <v>121</v>
      </c>
      <c r="AK43" s="33">
        <f>ROUND(坦克等级成长!$F140*VLOOKUP($Z$2,坦克等级成长!$B$36:$G$42,MATCH(AK$3,坦克等级成长!$B$35:$G$35,0)),0)</f>
        <v>844</v>
      </c>
      <c r="AL43" s="33">
        <f t="shared" si="8"/>
        <v>844</v>
      </c>
      <c r="AM43" s="33">
        <v>637</v>
      </c>
      <c r="AN43" s="33">
        <f>ROUND(坦克等级成长!$F140*VLOOKUP($Z$2,坦克等级成长!$B$36:$G$42,MATCH(AN$3,坦克等级成长!$B$35:$G$35,0)),0)</f>
        <v>771</v>
      </c>
      <c r="AO43" s="33">
        <f>ROUND(坦克等级成长!$F140*VLOOKUP($Z$2,坦克等级成长!$B$36:$G$42,MATCH(AO$3,坦克等级成长!$B$35:$G$35,0)),0)</f>
        <v>206</v>
      </c>
      <c r="AP43" s="191">
        <v>8</v>
      </c>
      <c r="AQ43" s="33">
        <f>ROUND(坦克等级成长!$H140*VLOOKUP($Z$2,坦克等级成长!$B$36:$G$42,MATCH(AQ$3,坦克等级成长!$B$35:$G$35,0)),0)</f>
        <v>2088</v>
      </c>
      <c r="AR43" s="33">
        <f>ROUND(坦克等级成长!$H140*VLOOKUP($Z$2,坦克等级成长!$B$36:$G$42,MATCH(AR$3,坦克等级成长!$B$35:$G$35,0)),0)</f>
        <v>123</v>
      </c>
      <c r="AS43" s="33">
        <f>ROUND(坦克等级成长!$H140*VLOOKUP($Z$2,坦克等级成长!$B$36:$G$42,MATCH(AS$3,坦克等级成长!$B$35:$G$35,0)),0)</f>
        <v>858</v>
      </c>
      <c r="AT43" s="33">
        <f t="shared" si="22"/>
        <v>858</v>
      </c>
      <c r="AU43" s="33">
        <v>637</v>
      </c>
      <c r="AV43" s="33">
        <f>ROUND(坦克等级成长!$H140*VLOOKUP($Z$2,坦克等级成长!$B$36:$G$42,MATCH(AV$3,坦克等级成长!$B$35:$G$35,0)),0)</f>
        <v>783</v>
      </c>
      <c r="AW43" s="33">
        <f>ROUND(坦克等级成长!$H140*VLOOKUP($Z$2,坦克等级成长!$B$36:$G$42,MATCH(AW$3,坦克等级成长!$B$35:$G$35,0)),0)</f>
        <v>209</v>
      </c>
      <c r="AX43" s="191">
        <v>8</v>
      </c>
      <c r="AY43" s="33">
        <f>ROUND(坦克等级成长!$D140*VLOOKUP($AX$2,坦克等级成长!$B$36:$G$42,MATCH(AY$3,坦克等级成长!$B$35:$G$35,0)),0)</f>
        <v>2024</v>
      </c>
      <c r="AZ43" s="33">
        <f>ROUND(坦克等级成长!$D140*VLOOKUP($AX$2,坦克等级成长!$B$36:$G$42,MATCH(AZ$3,坦克等级成长!$B$35:$G$35,0)),0)</f>
        <v>220</v>
      </c>
      <c r="BA43" s="33">
        <f>ROUND(坦克等级成长!$D140*VLOOKUP($AX$2,坦克等级成长!$B$36:$G$42,MATCH(BA$3,坦克等级成长!$B$35:$G$35,0)),0)</f>
        <v>759</v>
      </c>
      <c r="BB43" s="33">
        <f t="shared" si="30"/>
        <v>759</v>
      </c>
      <c r="BC43" s="33">
        <v>564.9</v>
      </c>
      <c r="BD43" s="33">
        <f>ROUND(坦克等级成长!$D140*VLOOKUP($AX$2,坦克等级成长!$B$36:$G$42,MATCH(BD$3,坦克等级成长!$B$35:$G$35,0)),0)</f>
        <v>759</v>
      </c>
      <c r="BE43" s="33">
        <f>ROUND(坦克等级成长!$D140*VLOOKUP($AX$2,坦克等级成长!$B$36:$G$42,MATCH(BE$3,坦克等级成长!$B$35:$G$35,0)),0)</f>
        <v>202</v>
      </c>
      <c r="BF43" s="198">
        <v>8</v>
      </c>
      <c r="BG43" s="33">
        <f>ROUND(坦克等级成长!$F140*VLOOKUP($AX$2,坦克等级成长!$B$36:$G$42,MATCH(BG$3,坦克等级成长!$B$35:$G$35,0)),0)</f>
        <v>2056</v>
      </c>
      <c r="BH43" s="33">
        <f>ROUND(坦克等级成长!$F140*VLOOKUP($AX$2,坦克等级成长!$B$36:$G$42,MATCH(BH$3,坦克等级成长!$B$35:$G$35,0)),0)</f>
        <v>224</v>
      </c>
      <c r="BI43" s="33">
        <f>ROUND(坦克等级成长!$F140*VLOOKUP($AX$2,坦克等级成长!$B$36:$G$42,MATCH(BI$3,坦克等级成长!$B$35:$G$35,0)),0)</f>
        <v>771</v>
      </c>
      <c r="BJ43" s="33">
        <f t="shared" si="9"/>
        <v>771</v>
      </c>
      <c r="BK43" s="33">
        <v>582</v>
      </c>
      <c r="BL43" s="33">
        <f>ROUND(坦克等级成长!$F140*VLOOKUP($AX$2,坦克等级成长!$B$36:$G$42,MATCH(BL$3,坦克等级成长!$B$35:$G$35,0)),0)</f>
        <v>771</v>
      </c>
      <c r="BM43" s="33">
        <f>ROUND(坦克等级成长!$F140*VLOOKUP($AX$2,坦克等级成长!$B$36:$G$42,MATCH(BM$3,坦克等级成长!$B$35:$G$35,0)),0)</f>
        <v>206</v>
      </c>
      <c r="BN43" s="191">
        <v>8</v>
      </c>
      <c r="BO43" s="33">
        <f>ROUND(坦克等级成长!$H140*VLOOKUP($AX$2,坦克等级成长!$B$36:$G$42,MATCH(BO$3,坦克等级成长!$B$35:$G$35,0)),0)</f>
        <v>2088</v>
      </c>
      <c r="BP43" s="33">
        <f>ROUND(坦克等级成长!$H140*VLOOKUP($AX$2,坦克等级成长!$B$36:$G$42,MATCH(BP$3,坦克等级成长!$B$35:$G$35,0)),0)</f>
        <v>227</v>
      </c>
      <c r="BQ43" s="33">
        <f>ROUND(坦克等级成长!$H140*VLOOKUP($AX$2,坦克等级成长!$B$36:$G$42,MATCH(BQ$3,坦克等级成长!$B$35:$G$35,0)),0)</f>
        <v>783</v>
      </c>
      <c r="BR43" s="33">
        <f t="shared" si="23"/>
        <v>783</v>
      </c>
      <c r="BS43" s="33">
        <v>582</v>
      </c>
      <c r="BT43" s="33">
        <f>ROUND(坦克等级成长!$H140*VLOOKUP($AX$2,坦克等级成长!$B$36:$G$42,MATCH(BT$3,坦克等级成长!$B$35:$G$35,0)),0)</f>
        <v>783</v>
      </c>
      <c r="BU43" s="33">
        <f>ROUND(坦克等级成长!$H140*VLOOKUP($AX$2,坦克等级成长!$B$36:$G$42,MATCH(BU$3,坦克等级成长!$B$35:$G$35,0)),0)</f>
        <v>209</v>
      </c>
      <c r="BV43" s="191">
        <v>8</v>
      </c>
      <c r="BW43" s="33">
        <f>ROUND(坦克等级成长!$D140*VLOOKUP($BV$2,坦克等级成长!$B$36:$G$42,MATCH(BW$3,坦克等级成长!$B$35:$G$35,0)),0)</f>
        <v>2133</v>
      </c>
      <c r="BX43" s="33">
        <f>ROUND(坦克等级成长!$D140*VLOOKUP($BV$2,坦克等级成长!$B$36:$G$42,MATCH(BX$3,坦克等级成长!$B$35:$G$35,0)),0)</f>
        <v>201</v>
      </c>
      <c r="BY43" s="33">
        <f>ROUND(坦克等级成长!$D140*VLOOKUP($BV$2,坦克等级成长!$B$36:$G$42,MATCH(BY$3,坦克等级成长!$B$35:$G$35,0)),0)</f>
        <v>723</v>
      </c>
      <c r="BZ43" s="33">
        <f t="shared" si="31"/>
        <v>723</v>
      </c>
      <c r="CA43" s="33">
        <v>576.75</v>
      </c>
      <c r="CB43" s="33">
        <f>ROUND(坦克等级成长!$D140*VLOOKUP($BV$2,坦克等级成长!$B$36:$G$42,MATCH(CB$3,坦克等级成长!$B$35:$G$35,0)),0)</f>
        <v>911</v>
      </c>
      <c r="CC43" s="33">
        <f>ROUND(坦克等级成长!$D140*VLOOKUP($BV$2,坦克等级成长!$B$36:$G$42,MATCH(CC$3,坦克等级成长!$B$35:$G$35,0)),0)</f>
        <v>213</v>
      </c>
      <c r="CD43" s="198">
        <v>8</v>
      </c>
      <c r="CE43" s="33">
        <f>ROUND(坦克等级成长!$F140*VLOOKUP($BV$2,坦克等级成长!$B$36:$G$42,MATCH(CE$3,坦克等级成长!$B$35:$G$35,0)),0)</f>
        <v>2166</v>
      </c>
      <c r="CF43" s="33">
        <f>ROUND(坦克等级成长!$F140*VLOOKUP($BV$2,坦克等级成长!$B$36:$G$42,MATCH(CF$3,坦克等级成长!$B$35:$G$35,0)),0)</f>
        <v>204</v>
      </c>
      <c r="CG43" s="33">
        <f>ROUND(坦克等级成长!$F140*VLOOKUP($BV$2,坦克等级成长!$B$36:$G$42,MATCH(CG$3,坦克等级成长!$B$35:$G$35,0)),0)</f>
        <v>734</v>
      </c>
      <c r="CH43" s="33">
        <f t="shared" si="10"/>
        <v>734</v>
      </c>
      <c r="CI43" s="33">
        <v>593</v>
      </c>
      <c r="CJ43" s="33">
        <f>ROUND(坦克等级成长!$F140*VLOOKUP($BV$2,坦克等级成长!$B$36:$G$42,MATCH(CJ$3,坦克等级成长!$B$35:$G$35,0)),0)</f>
        <v>925</v>
      </c>
      <c r="CK43" s="33">
        <f>ROUND(坦克等级成长!$F140*VLOOKUP($BV$2,坦克等级成长!$B$36:$G$42,MATCH(CK$3,坦克等级成长!$B$35:$G$35,0)),0)</f>
        <v>217</v>
      </c>
      <c r="CL43" s="191">
        <v>8</v>
      </c>
      <c r="CM43" s="33">
        <f>ROUND(坦克等级成长!$H140*VLOOKUP($BV$2,坦克等级成长!$B$36:$G$42,MATCH(CM$3,坦克等级成长!$B$35:$G$35,0)),0)</f>
        <v>2200</v>
      </c>
      <c r="CN43" s="33">
        <f>ROUND(坦克等级成长!$H140*VLOOKUP($BV$2,坦克等级成长!$B$36:$G$42,MATCH(CN$3,坦克等级成长!$B$35:$G$35,0)),0)</f>
        <v>207</v>
      </c>
      <c r="CO43" s="33">
        <f>ROUND(坦克等级成长!$H140*VLOOKUP($BV$2,坦克等级成长!$B$36:$G$42,MATCH(CO$3,坦克等级成长!$B$35:$G$35,0)),0)</f>
        <v>746</v>
      </c>
      <c r="CP43" s="33">
        <f t="shared" si="24"/>
        <v>746</v>
      </c>
      <c r="CQ43" s="33">
        <v>593</v>
      </c>
      <c r="CR43" s="33">
        <f>ROUND(坦克等级成长!$H140*VLOOKUP($BV$2,坦克等级成长!$B$36:$G$42,MATCH(CR$3,坦克等级成长!$B$35:$G$35,0)),0)</f>
        <v>940</v>
      </c>
      <c r="CS43" s="33">
        <f>ROUND(坦克等级成长!$H140*VLOOKUP($BV$2,坦克等级成长!$B$36:$G$42,MATCH(CS$3,坦克等级成长!$B$35:$G$35,0)),0)</f>
        <v>220</v>
      </c>
      <c r="CT43" s="191">
        <v>8</v>
      </c>
      <c r="CU43" s="33">
        <f>ROUND(坦克等级成长!$D140*VLOOKUP($CT$2,坦克等级成长!$B$36:$G$42,MATCH(CU$3,坦克等级成长!$B$35:$G$35,0)),0)</f>
        <v>2024</v>
      </c>
      <c r="CV43" s="33">
        <f>ROUND(坦克等级成长!$D140*VLOOKUP($CT$2,坦克等级成长!$B$36:$G$42,MATCH(CV$3,坦克等级成长!$B$35:$G$35,0)),0)</f>
        <v>460</v>
      </c>
      <c r="CW43" s="33">
        <f>ROUND(坦克等级成长!$D140*VLOOKUP($CT$2,坦克等级成长!$B$36:$G$42,MATCH(CW$3,坦克等级成长!$B$35:$G$35,0)),0)</f>
        <v>904</v>
      </c>
      <c r="CX43" s="33">
        <f t="shared" si="32"/>
        <v>904</v>
      </c>
      <c r="CY43" s="33">
        <v>720.75</v>
      </c>
      <c r="CZ43" s="33">
        <f>ROUND(坦克等级成长!$D140*VLOOKUP($CT$2,坦克等级成长!$B$36:$G$42,MATCH(CZ$3,坦克等级成长!$B$35:$G$35,0)),0)</f>
        <v>759</v>
      </c>
      <c r="DA43" s="33">
        <f>ROUND(坦克等级成长!$D140*VLOOKUP($CT$2,坦克等级成长!$B$36:$G$42,MATCH(DA$3,坦克等级成长!$B$35:$G$35,0)),0)</f>
        <v>202</v>
      </c>
      <c r="DB43" s="198">
        <v>8</v>
      </c>
      <c r="DC43" s="33">
        <f>ROUND(坦克等级成长!$F140*VLOOKUP($CT$2,坦克等级成长!$B$36:$G$42,MATCH(DC$3,坦克等级成长!$B$35:$G$35,0)),0)</f>
        <v>2056</v>
      </c>
      <c r="DD43" s="33">
        <f>ROUND(坦克等级成长!$F140*VLOOKUP($CT$2,坦克等级成长!$B$36:$G$42,MATCH(DD$3,坦克等级成长!$B$35:$G$35,0)),0)</f>
        <v>467</v>
      </c>
      <c r="DE43" s="33">
        <f>ROUND(坦克等级成长!$F140*VLOOKUP($CT$2,坦克等级成长!$B$36:$G$42,MATCH(DE$3,坦克等级成长!$B$35:$G$35,0)),0)</f>
        <v>918</v>
      </c>
      <c r="DF43" s="33">
        <f t="shared" si="11"/>
        <v>918</v>
      </c>
      <c r="DG43" s="33">
        <v>742</v>
      </c>
      <c r="DH43" s="33">
        <f>ROUND(坦克等级成长!$F140*VLOOKUP($CT$2,坦克等级成长!$B$36:$G$42,MATCH(DH$3,坦克等级成长!$B$35:$G$35,0)),0)</f>
        <v>771</v>
      </c>
      <c r="DI43" s="33">
        <f>ROUND(坦克等级成长!$F140*VLOOKUP($CT$2,坦克等级成长!$B$36:$G$42,MATCH(DI$3,坦克等级成长!$B$35:$G$35,0)),0)</f>
        <v>206</v>
      </c>
      <c r="DJ43" s="191">
        <v>8</v>
      </c>
      <c r="DK43" s="33">
        <f>ROUND(坦克等级成长!$H140*VLOOKUP($CT$2,坦克等级成长!$B$36:$G$42,MATCH(DK$3,坦克等级成长!$B$35:$G$35,0)),0)</f>
        <v>2088</v>
      </c>
      <c r="DL43" s="33">
        <f>ROUND(坦克等级成长!$H140*VLOOKUP($CT$2,坦克等级成长!$B$36:$G$42,MATCH(DL$3,坦克等级成长!$B$35:$G$35,0)),0)</f>
        <v>474</v>
      </c>
      <c r="DM43" s="33">
        <f>ROUND(坦克等级成长!$H140*VLOOKUP($CT$2,坦克等级成长!$B$36:$G$42,MATCH(DM$3,坦克等级成长!$B$35:$G$35,0)),0)</f>
        <v>932</v>
      </c>
      <c r="DN43" s="33">
        <f t="shared" si="25"/>
        <v>932</v>
      </c>
      <c r="DO43" s="33">
        <v>742</v>
      </c>
      <c r="DP43" s="33">
        <f>ROUND(坦克等级成长!$H140*VLOOKUP($CT$2,坦克等级成长!$B$36:$G$42,MATCH(DP$3,坦克等级成长!$B$35:$G$35,0)),0)</f>
        <v>783</v>
      </c>
      <c r="DQ43" s="33">
        <f>ROUND(坦克等级成长!$H140*VLOOKUP($CT$2,坦克等级成长!$B$36:$G$42,MATCH(DQ$3,坦克等级成长!$B$35:$G$35,0)),0)</f>
        <v>209</v>
      </c>
      <c r="DR43" s="191">
        <v>8</v>
      </c>
      <c r="DS43" s="33">
        <f>ROUND(坦克等级成长!$D140*VLOOKUP($DR$2,坦克等级成长!$B$36:$G$42,MATCH(DS$3,坦克等级成长!$B$35:$G$35,0)),0)</f>
        <v>2303</v>
      </c>
      <c r="DT43" s="33">
        <f>ROUND(坦克等级成长!$D140*VLOOKUP($DR$2,坦克等级成长!$B$36:$G$42,MATCH(DT$3,坦克等级成长!$B$35:$G$35,0)),0)</f>
        <v>786</v>
      </c>
      <c r="DU43" s="33">
        <f>ROUND(坦克等级成长!$D140*VLOOKUP($DR$2,坦克等级成长!$B$36:$G$42,MATCH(DU$3,坦克等级成长!$B$35:$G$35,0)),0)</f>
        <v>723</v>
      </c>
      <c r="DV43" s="33">
        <f t="shared" si="33"/>
        <v>723</v>
      </c>
      <c r="DW43" s="33">
        <v>615.20000000000005</v>
      </c>
      <c r="DX43" s="33">
        <f>ROUND(坦克等级成长!$D140*VLOOKUP($DR$2,坦克等级成长!$B$36:$G$42,MATCH(DX$3,坦克等级成长!$B$35:$G$35,0)),0)</f>
        <v>1063</v>
      </c>
      <c r="DY43" s="33">
        <f>ROUND(坦克等级成长!$D140*VLOOKUP($DR$2,坦克等级成长!$B$36:$G$42,MATCH(DY$3,坦克等级成长!$B$35:$G$35,0)),0)</f>
        <v>230</v>
      </c>
      <c r="DZ43" s="198">
        <v>8</v>
      </c>
      <c r="EA43" s="33">
        <f>ROUND(坦克等级成长!$F140*VLOOKUP($DR$2,坦克等级成长!$B$36:$G$42,MATCH(EA$3,坦克等级成长!$B$35:$G$35,0)),0)</f>
        <v>2339</v>
      </c>
      <c r="EB43" s="33">
        <f>ROUND(坦克等级成长!$F140*VLOOKUP($DR$2,坦克等级成长!$B$36:$G$42,MATCH(EB$3,坦克等级成长!$B$35:$G$35,0)),0)</f>
        <v>798</v>
      </c>
      <c r="EC43" s="33">
        <f>ROUND(坦克等级成长!$F140*VLOOKUP($DR$2,坦克等级成长!$B$36:$G$42,MATCH(EC$3,坦克等级成长!$B$35:$G$35,0)),0)</f>
        <v>734</v>
      </c>
      <c r="ED43" s="33">
        <f t="shared" si="12"/>
        <v>734</v>
      </c>
      <c r="EE43" s="33">
        <v>633</v>
      </c>
      <c r="EF43" s="33">
        <f>ROUND(坦克等级成长!$F140*VLOOKUP($DR$2,坦克等级成长!$B$36:$G$42,MATCH(EF$3,坦克等级成长!$B$35:$G$35,0)),0)</f>
        <v>1079</v>
      </c>
      <c r="EG43" s="33">
        <f>ROUND(坦克等级成长!$F140*VLOOKUP($DR$2,坦克等级成长!$B$36:$G$42,MATCH(EG$3,坦克等级成长!$B$35:$G$35,0)),0)</f>
        <v>234</v>
      </c>
      <c r="EH43" s="191">
        <v>8</v>
      </c>
      <c r="EI43" s="33">
        <f>ROUND(坦克等级成长!$H140*VLOOKUP($DR$2,坦克等级成长!$B$36:$G$42,MATCH(EI$3,坦克等级成长!$B$35:$G$35,0)),0)</f>
        <v>2376</v>
      </c>
      <c r="EJ43" s="33">
        <f>ROUND(坦克等级成长!$H140*VLOOKUP($DR$2,坦克等级成长!$B$36:$G$42,MATCH(EJ$3,坦克等级成长!$B$35:$G$35,0)),0)</f>
        <v>810</v>
      </c>
      <c r="EK43" s="33">
        <f>ROUND(坦克等级成长!$H140*VLOOKUP($DR$2,坦克等级成长!$B$36:$G$42,MATCH(EK$3,坦克等级成长!$B$35:$G$35,0)),0)</f>
        <v>746</v>
      </c>
      <c r="EL43" s="33">
        <f t="shared" si="26"/>
        <v>746</v>
      </c>
      <c r="EM43" s="33">
        <v>633</v>
      </c>
      <c r="EN43" s="33">
        <f>ROUND(坦克等级成长!$H140*VLOOKUP($DR$2,坦克等级成长!$B$36:$G$42,MATCH(EN$3,坦克等级成长!$B$35:$G$35,0)),0)</f>
        <v>1096</v>
      </c>
      <c r="EO43" s="33">
        <f>ROUND(坦克等级成长!$H140*VLOOKUP($DR$2,坦克等级成长!$B$36:$G$42,MATCH(EO$3,坦克等级成长!$B$35:$G$35,0)),0)</f>
        <v>238</v>
      </c>
      <c r="EP43" s="191">
        <v>8</v>
      </c>
      <c r="EQ43" s="33">
        <f>ROUND(坦克等级成长!$D140*VLOOKUP($EP$2,坦克等级成长!$B$36:$G$42,MATCH(EQ$3,坦克等级成长!$B$35:$G$35,0)),0)</f>
        <v>2133</v>
      </c>
      <c r="ER43" s="33">
        <f>ROUND(坦克等级成长!$D140*VLOOKUP($EP$2,坦克等级成长!$B$36:$G$42,MATCH(ER$3,坦克等级成长!$B$35:$G$35,0)),0)</f>
        <v>244</v>
      </c>
      <c r="ES43" s="33">
        <f>ROUND(坦克等级成长!$D140*VLOOKUP($EP$2,坦克等级成长!$B$36:$G$42,MATCH(ES$3,坦克等级成长!$B$35:$G$35,0)),0)</f>
        <v>831</v>
      </c>
      <c r="ET43" s="33">
        <f t="shared" si="34"/>
        <v>831</v>
      </c>
      <c r="EU43" s="33">
        <v>663</v>
      </c>
      <c r="EV43" s="33">
        <f>ROUND(坦克等级成长!$D140*VLOOKUP($EP$2,坦克等级成长!$B$36:$G$42,MATCH(EV$3,坦克等级成长!$B$35:$G$35,0)),0)</f>
        <v>911</v>
      </c>
      <c r="EW43" s="33">
        <f>ROUND(坦克等级成长!$D140*VLOOKUP($EP$2,坦克等级成长!$B$36:$G$42,MATCH(EW$3,坦克等级成长!$B$35:$G$35,0)),0)</f>
        <v>213</v>
      </c>
      <c r="EX43" s="198">
        <v>8</v>
      </c>
      <c r="EY43" s="33">
        <f>ROUND(坦克等级成长!$F140*VLOOKUP($EP$2,坦克等级成长!$B$36:$G$42,MATCH(EY$3,坦克等级成长!$B$35:$G$35,0)),0)</f>
        <v>2166</v>
      </c>
      <c r="EZ43" s="33">
        <f>ROUND(坦克等级成长!$F140*VLOOKUP($EP$2,坦克等级成长!$B$36:$G$42,MATCH(EZ$3,坦克等级成长!$B$35:$G$35,0)),0)</f>
        <v>248</v>
      </c>
      <c r="FA43" s="33">
        <f>ROUND(坦克等级成长!$F140*VLOOKUP($EP$2,坦克等级成长!$B$36:$G$42,MATCH(FA$3,坦克等级成长!$B$35:$G$35,0)),0)</f>
        <v>844</v>
      </c>
      <c r="FB43" s="33">
        <f t="shared" si="13"/>
        <v>844</v>
      </c>
      <c r="FC43" s="33">
        <v>683</v>
      </c>
      <c r="FD43" s="33">
        <f>ROUND(坦克等级成长!$F140*VLOOKUP($EP$2,坦克等级成长!$B$36:$G$42,MATCH(FD$3,坦克等级成长!$B$35:$G$35,0)),0)</f>
        <v>925</v>
      </c>
      <c r="FE43" s="33">
        <f>ROUND(坦克等级成长!$F140*VLOOKUP($EP$2,坦克等级成长!$B$36:$G$42,MATCH(FE$3,坦克等级成长!$B$35:$G$35,0)),0)</f>
        <v>217</v>
      </c>
      <c r="FF43" s="191">
        <v>8</v>
      </c>
      <c r="FG43" s="33">
        <f>ROUND(坦克等级成长!$H140*VLOOKUP($EP$2,坦克等级成长!$B$36:$G$42,MATCH(FG$3,坦克等级成长!$B$35:$G$35,0)),0)</f>
        <v>2200</v>
      </c>
      <c r="FH43" s="33">
        <f>ROUND(坦克等级成长!$H140*VLOOKUP($EP$2,坦克等级成长!$B$36:$G$42,MATCH(FH$3,坦克等级成长!$B$35:$G$35,0)),0)</f>
        <v>252</v>
      </c>
      <c r="FI43" s="33">
        <f>ROUND(坦克等级成长!$H140*VLOOKUP($EP$2,坦克等级成长!$B$36:$G$42,MATCH(FI$3,坦克等级成长!$B$35:$G$35,0)),0)</f>
        <v>858</v>
      </c>
      <c r="FJ43" s="33">
        <f t="shared" si="27"/>
        <v>858</v>
      </c>
      <c r="FK43" s="33">
        <v>683</v>
      </c>
      <c r="FL43" s="33">
        <f>ROUND(坦克等级成长!$H140*VLOOKUP($EP$2,坦克等级成长!$B$36:$G$42,MATCH(FL$3,坦克等级成长!$B$35:$G$35,0)),0)</f>
        <v>940</v>
      </c>
      <c r="FM43" s="33">
        <f>ROUND(坦克等级成长!$H140*VLOOKUP($EP$2,坦克等级成长!$B$36:$G$42,MATCH(FM$3,坦克等级成长!$B$35:$G$35,0)),0)</f>
        <v>220</v>
      </c>
    </row>
    <row r="44" spans="1:169" ht="14.25" x14ac:dyDescent="0.3">
      <c r="A44" s="188">
        <v>4</v>
      </c>
      <c r="B44" s="191">
        <v>9</v>
      </c>
      <c r="C44" s="33">
        <f>ROUND(坦克等级成长!$D141*VLOOKUP($B$2,坦克等级成长!$B$36:$G$42,MATCH(C$3,坦克等级成长!$B$35:$G$35,0)),0)</f>
        <v>2104</v>
      </c>
      <c r="D44" s="33">
        <f>ROUND(坦克等级成长!$D141*VLOOKUP($B$2,坦克等级成长!$B$36:$G$42,MATCH(D$3,坦克等级成长!$B$35:$G$35,0)),0)</f>
        <v>229</v>
      </c>
      <c r="E44" s="33">
        <f>ROUND(坦克等级成长!$D141*VLOOKUP($B$2,坦克等级成长!$B$36:$G$42,MATCH(E$3,坦克等级成长!$B$35:$G$35,0)),0)</f>
        <v>789</v>
      </c>
      <c r="F44" s="33">
        <f t="shared" si="28"/>
        <v>789</v>
      </c>
      <c r="G44" s="33">
        <v>588</v>
      </c>
      <c r="H44" s="33">
        <f>ROUND(坦克等级成长!$D141*VLOOKUP($B$2,坦克等级成长!$B$36:$G$42,MATCH(H$3,坦克等级成长!$B$35:$G$35,0)),0)</f>
        <v>789</v>
      </c>
      <c r="I44" s="33">
        <f>ROUND(坦克等级成长!$D141*VLOOKUP($B$2,坦克等级成长!$B$36:$G$42,MATCH(I$3,坦克等级成长!$B$35:$G$35,0)),0)</f>
        <v>210</v>
      </c>
      <c r="J44" s="198">
        <v>9</v>
      </c>
      <c r="K44" s="33">
        <f>ROUND(坦克等级成长!$F141*VLOOKUP($B$2,坦克等级成长!$B$36:$G$42,MATCH(K$3,坦克等级成长!$B$35:$G$35,0)),0)</f>
        <v>2136</v>
      </c>
      <c r="L44" s="33">
        <f>ROUND(坦克等级成长!$F141*VLOOKUP($B$2,坦克等级成长!$B$36:$G$42,MATCH(L$3,坦克等级成长!$B$35:$G$35,0)),0)</f>
        <v>232</v>
      </c>
      <c r="M44" s="33">
        <f>ROUND(坦克等级成长!$F141*VLOOKUP($B$2,坦克等级成长!$B$36:$G$42,MATCH(M$3,坦克等级成长!$B$35:$G$35,0)),0)</f>
        <v>801</v>
      </c>
      <c r="N44" s="33">
        <f t="shared" si="7"/>
        <v>801</v>
      </c>
      <c r="O44" s="33">
        <v>605</v>
      </c>
      <c r="P44" s="33">
        <f>ROUND(坦克等级成长!$F141*VLOOKUP($B$2,坦克等级成长!$B$36:$G$42,MATCH(P$3,坦克等级成长!$B$35:$G$35,0)),0)</f>
        <v>801</v>
      </c>
      <c r="Q44" s="33">
        <f>ROUND(坦克等级成长!$F141*VLOOKUP($B$2,坦克等级成长!$B$36:$G$42,MATCH(Q$3,坦克等级成长!$B$35:$G$35,0)),0)</f>
        <v>214</v>
      </c>
      <c r="R44" s="191">
        <v>9</v>
      </c>
      <c r="S44" s="33">
        <f>ROUND(坦克等级成长!$H141*VLOOKUP($B$2,坦克等级成长!$B$36:$G$42,MATCH(S$3,坦克等级成长!$B$35:$G$35,0)),0)</f>
        <v>2168</v>
      </c>
      <c r="T44" s="33">
        <f>ROUND(坦克等级成长!$H141*VLOOKUP($B$2,坦克等级成长!$B$36:$G$42,MATCH(T$3,坦克等级成长!$B$35:$G$35,0)),0)</f>
        <v>236</v>
      </c>
      <c r="U44" s="33">
        <f>ROUND(坦克等级成长!$H141*VLOOKUP($B$2,坦克等级成长!$B$36:$G$42,MATCH(U$3,坦克等级成长!$B$35:$G$35,0)),0)</f>
        <v>813</v>
      </c>
      <c r="V44" s="33">
        <f t="shared" si="21"/>
        <v>813</v>
      </c>
      <c r="W44" s="33">
        <v>605</v>
      </c>
      <c r="X44" s="33">
        <f>ROUND(坦克等级成长!$H141*VLOOKUP($B$2,坦克等级成长!$B$36:$G$42,MATCH(X$3,坦克等级成长!$B$35:$G$35,0)),0)</f>
        <v>813</v>
      </c>
      <c r="Y44" s="33">
        <f>ROUND(坦克等级成长!$H141*VLOOKUP($B$2,坦克等级成长!$B$36:$G$42,MATCH(Y$3,坦克等级成长!$B$35:$G$35,0)),0)</f>
        <v>217</v>
      </c>
      <c r="Z44" s="191">
        <v>9</v>
      </c>
      <c r="AA44" s="33">
        <f>ROUND(坦克等级成长!$D141*VLOOKUP($Z$2,坦克等级成长!$B$36:$G$42,MATCH(AA$3,坦克等级成长!$B$35:$G$35,0)),0)</f>
        <v>2104</v>
      </c>
      <c r="AB44" s="33">
        <f>ROUND(坦克等级成长!$D141*VLOOKUP($Z$2,坦克等级成长!$B$36:$G$42,MATCH(AB$3,坦克等级成长!$B$35:$G$35,0)),0)</f>
        <v>124</v>
      </c>
      <c r="AC44" s="33">
        <f>ROUND(坦克等级成长!$D141*VLOOKUP($Z$2,坦克等级成长!$B$36:$G$42,MATCH(AC$3,坦克等级成长!$B$35:$G$35,0)),0)</f>
        <v>864</v>
      </c>
      <c r="AD44" s="33">
        <f t="shared" si="29"/>
        <v>864</v>
      </c>
      <c r="AE44" s="33">
        <v>644</v>
      </c>
      <c r="AF44" s="33">
        <f>ROUND(坦克等级成长!$D141*VLOOKUP($Z$2,坦克等级成长!$B$36:$G$42,MATCH(AF$3,坦克等级成长!$B$35:$G$35,0)),0)</f>
        <v>789</v>
      </c>
      <c r="AG44" s="33">
        <f>ROUND(坦克等级成长!$D141*VLOOKUP($Z$2,坦克等级成长!$B$36:$G$42,MATCH(AG$3,坦克等级成长!$B$35:$G$35,0)),0)</f>
        <v>210</v>
      </c>
      <c r="AH44" s="198">
        <v>9</v>
      </c>
      <c r="AI44" s="33">
        <f>ROUND(坦克等级成长!$F141*VLOOKUP($Z$2,坦克等级成长!$B$36:$G$42,MATCH(AI$3,坦克等级成长!$B$35:$G$35,0)),0)</f>
        <v>2136</v>
      </c>
      <c r="AJ44" s="33">
        <f>ROUND(坦克等级成长!$F141*VLOOKUP($Z$2,坦克等级成长!$B$36:$G$42,MATCH(AJ$3,坦克等级成长!$B$35:$G$35,0)),0)</f>
        <v>126</v>
      </c>
      <c r="AK44" s="33">
        <f>ROUND(坦克等级成长!$F141*VLOOKUP($Z$2,坦克等级成长!$B$36:$G$42,MATCH(AK$3,坦克等级成长!$B$35:$G$35,0)),0)</f>
        <v>877</v>
      </c>
      <c r="AL44" s="33">
        <f t="shared" si="8"/>
        <v>877</v>
      </c>
      <c r="AM44" s="33">
        <v>662</v>
      </c>
      <c r="AN44" s="33">
        <f>ROUND(坦克等级成长!$F141*VLOOKUP($Z$2,坦克等级成长!$B$36:$G$42,MATCH(AN$3,坦克等级成长!$B$35:$G$35,0)),0)</f>
        <v>801</v>
      </c>
      <c r="AO44" s="33">
        <f>ROUND(坦克等级成长!$F141*VLOOKUP($Z$2,坦克等级成长!$B$36:$G$42,MATCH(AO$3,坦克等级成长!$B$35:$G$35,0)),0)</f>
        <v>214</v>
      </c>
      <c r="AP44" s="191">
        <v>9</v>
      </c>
      <c r="AQ44" s="33">
        <f>ROUND(坦克等级成长!$H141*VLOOKUP($Z$2,坦克等级成长!$B$36:$G$42,MATCH(AQ$3,坦克等级成长!$B$35:$G$35,0)),0)</f>
        <v>2168</v>
      </c>
      <c r="AR44" s="33">
        <f>ROUND(坦克等级成长!$H141*VLOOKUP($Z$2,坦克等级成长!$B$36:$G$42,MATCH(AR$3,坦克等级成长!$B$35:$G$35,0)),0)</f>
        <v>128</v>
      </c>
      <c r="AS44" s="33">
        <f>ROUND(坦克等级成长!$H141*VLOOKUP($Z$2,坦克等级成长!$B$36:$G$42,MATCH(AS$3,坦克等级成长!$B$35:$G$35,0)),0)</f>
        <v>890</v>
      </c>
      <c r="AT44" s="33">
        <f t="shared" si="22"/>
        <v>890</v>
      </c>
      <c r="AU44" s="33">
        <v>662</v>
      </c>
      <c r="AV44" s="33">
        <f>ROUND(坦克等级成长!$H141*VLOOKUP($Z$2,坦克等级成长!$B$36:$G$42,MATCH(AV$3,坦克等级成长!$B$35:$G$35,0)),0)</f>
        <v>813</v>
      </c>
      <c r="AW44" s="33">
        <f>ROUND(坦克等级成长!$H141*VLOOKUP($Z$2,坦克等级成长!$B$36:$G$42,MATCH(AW$3,坦克等级成长!$B$35:$G$35,0)),0)</f>
        <v>217</v>
      </c>
      <c r="AX44" s="191">
        <v>9</v>
      </c>
      <c r="AY44" s="33">
        <f>ROUND(坦克等级成长!$D141*VLOOKUP($AX$2,坦克等级成长!$B$36:$G$42,MATCH(AY$3,坦克等级成长!$B$35:$G$35,0)),0)</f>
        <v>2104</v>
      </c>
      <c r="AZ44" s="33">
        <f>ROUND(坦克等级成长!$D141*VLOOKUP($AX$2,坦克等级成长!$B$36:$G$42,MATCH(AZ$3,坦克等级成长!$B$35:$G$35,0)),0)</f>
        <v>229</v>
      </c>
      <c r="BA44" s="33">
        <f>ROUND(坦克等级成长!$D141*VLOOKUP($AX$2,坦克等级成长!$B$36:$G$42,MATCH(BA$3,坦克等级成长!$B$35:$G$35,0)),0)</f>
        <v>789</v>
      </c>
      <c r="BB44" s="33">
        <f t="shared" si="30"/>
        <v>789</v>
      </c>
      <c r="BC44" s="33">
        <v>588</v>
      </c>
      <c r="BD44" s="33">
        <f>ROUND(坦克等级成长!$D141*VLOOKUP($AX$2,坦克等级成长!$B$36:$G$42,MATCH(BD$3,坦克等级成长!$B$35:$G$35,0)),0)</f>
        <v>789</v>
      </c>
      <c r="BE44" s="33">
        <f>ROUND(坦克等级成长!$D141*VLOOKUP($AX$2,坦克等级成长!$B$36:$G$42,MATCH(BE$3,坦克等级成长!$B$35:$G$35,0)),0)</f>
        <v>210</v>
      </c>
      <c r="BF44" s="198">
        <v>9</v>
      </c>
      <c r="BG44" s="33">
        <f>ROUND(坦克等级成长!$F141*VLOOKUP($AX$2,坦克等级成长!$B$36:$G$42,MATCH(BG$3,坦克等级成长!$B$35:$G$35,0)),0)</f>
        <v>2136</v>
      </c>
      <c r="BH44" s="33">
        <f>ROUND(坦克等级成长!$F141*VLOOKUP($AX$2,坦克等级成长!$B$36:$G$42,MATCH(BH$3,坦克等级成长!$B$35:$G$35,0)),0)</f>
        <v>232</v>
      </c>
      <c r="BI44" s="33">
        <f>ROUND(坦克等级成长!$F141*VLOOKUP($AX$2,坦克等级成长!$B$36:$G$42,MATCH(BI$3,坦克等级成长!$B$35:$G$35,0)),0)</f>
        <v>801</v>
      </c>
      <c r="BJ44" s="33">
        <f t="shared" si="9"/>
        <v>801</v>
      </c>
      <c r="BK44" s="33">
        <v>605</v>
      </c>
      <c r="BL44" s="33">
        <f>ROUND(坦克等级成长!$F141*VLOOKUP($AX$2,坦克等级成长!$B$36:$G$42,MATCH(BL$3,坦克等级成长!$B$35:$G$35,0)),0)</f>
        <v>801</v>
      </c>
      <c r="BM44" s="33">
        <f>ROUND(坦克等级成长!$F141*VLOOKUP($AX$2,坦克等级成长!$B$36:$G$42,MATCH(BM$3,坦克等级成长!$B$35:$G$35,0)),0)</f>
        <v>214</v>
      </c>
      <c r="BN44" s="191">
        <v>9</v>
      </c>
      <c r="BO44" s="33">
        <f>ROUND(坦克等级成长!$H141*VLOOKUP($AX$2,坦克等级成长!$B$36:$G$42,MATCH(BO$3,坦克等级成长!$B$35:$G$35,0)),0)</f>
        <v>2168</v>
      </c>
      <c r="BP44" s="33">
        <f>ROUND(坦克等级成长!$H141*VLOOKUP($AX$2,坦克等级成长!$B$36:$G$42,MATCH(BP$3,坦克等级成长!$B$35:$G$35,0)),0)</f>
        <v>236</v>
      </c>
      <c r="BQ44" s="33">
        <f>ROUND(坦克等级成长!$H141*VLOOKUP($AX$2,坦克等级成长!$B$36:$G$42,MATCH(BQ$3,坦克等级成长!$B$35:$G$35,0)),0)</f>
        <v>813</v>
      </c>
      <c r="BR44" s="33">
        <f t="shared" si="23"/>
        <v>813</v>
      </c>
      <c r="BS44" s="33">
        <v>605</v>
      </c>
      <c r="BT44" s="33">
        <f>ROUND(坦克等级成长!$H141*VLOOKUP($AX$2,坦克等级成长!$B$36:$G$42,MATCH(BT$3,坦克等级成长!$B$35:$G$35,0)),0)</f>
        <v>813</v>
      </c>
      <c r="BU44" s="33">
        <f>ROUND(坦克等级成长!$H141*VLOOKUP($AX$2,坦克等级成长!$B$36:$G$42,MATCH(BU$3,坦克等级成长!$B$35:$G$35,0)),0)</f>
        <v>217</v>
      </c>
      <c r="BV44" s="191">
        <v>9</v>
      </c>
      <c r="BW44" s="33">
        <f>ROUND(坦克等级成长!$D141*VLOOKUP($BV$2,坦克等级成长!$B$36:$G$42,MATCH(BW$3,坦克等级成长!$B$35:$G$35,0)),0)</f>
        <v>2217</v>
      </c>
      <c r="BX44" s="33">
        <f>ROUND(坦克等级成长!$D141*VLOOKUP($BV$2,坦克等级成长!$B$36:$G$42,MATCH(BX$3,坦克等级成长!$B$35:$G$35,0)),0)</f>
        <v>209</v>
      </c>
      <c r="BY44" s="33">
        <f>ROUND(坦克等级成长!$D141*VLOOKUP($BV$2,坦克等级成长!$B$36:$G$42,MATCH(BY$3,坦克等级成长!$B$35:$G$35,0)),0)</f>
        <v>751</v>
      </c>
      <c r="BZ44" s="33">
        <f t="shared" si="31"/>
        <v>751</v>
      </c>
      <c r="CA44" s="33">
        <v>600</v>
      </c>
      <c r="CB44" s="33">
        <f>ROUND(坦克等级成长!$D141*VLOOKUP($BV$2,坦克等级成长!$B$36:$G$42,MATCH(CB$3,坦克等级成长!$B$35:$G$35,0)),0)</f>
        <v>947</v>
      </c>
      <c r="CC44" s="33">
        <f>ROUND(坦克等级成长!$D141*VLOOKUP($BV$2,坦克等级成长!$B$36:$G$42,MATCH(CC$3,坦克等级成长!$B$35:$G$35,0)),0)</f>
        <v>222</v>
      </c>
      <c r="CD44" s="198">
        <v>9</v>
      </c>
      <c r="CE44" s="33">
        <f>ROUND(坦克等级成长!$F141*VLOOKUP($BV$2,坦克等级成长!$B$36:$G$42,MATCH(CE$3,坦克等级成长!$B$35:$G$35,0)),0)</f>
        <v>2251</v>
      </c>
      <c r="CF44" s="33">
        <f>ROUND(坦克等级成长!$F141*VLOOKUP($BV$2,坦克等级成长!$B$36:$G$42,MATCH(CF$3,坦克等级成长!$B$35:$G$35,0)),0)</f>
        <v>212</v>
      </c>
      <c r="CG44" s="33">
        <f>ROUND(坦克等级成长!$F141*VLOOKUP($BV$2,坦克等级成长!$B$36:$G$42,MATCH(CG$3,坦克等级成长!$B$35:$G$35,0)),0)</f>
        <v>763</v>
      </c>
      <c r="CH44" s="33">
        <f t="shared" si="10"/>
        <v>763</v>
      </c>
      <c r="CI44" s="33">
        <v>617</v>
      </c>
      <c r="CJ44" s="33">
        <f>ROUND(坦克等级成长!$F141*VLOOKUP($BV$2,坦克等级成长!$B$36:$G$42,MATCH(CJ$3,坦克等级成长!$B$35:$G$35,0)),0)</f>
        <v>961</v>
      </c>
      <c r="CK44" s="33">
        <f>ROUND(坦克等级成长!$F141*VLOOKUP($BV$2,坦克等级成长!$B$36:$G$42,MATCH(CK$3,坦克等级成长!$B$35:$G$35,0)),0)</f>
        <v>225</v>
      </c>
      <c r="CL44" s="191">
        <v>9</v>
      </c>
      <c r="CM44" s="33">
        <f>ROUND(坦克等级成长!$H141*VLOOKUP($BV$2,坦克等级成长!$B$36:$G$42,MATCH(CM$3,坦克等级成长!$B$35:$G$35,0)),0)</f>
        <v>2284</v>
      </c>
      <c r="CN44" s="33">
        <f>ROUND(坦克等级成长!$H141*VLOOKUP($BV$2,坦克等级成长!$B$36:$G$42,MATCH(CN$3,坦克等级成长!$B$35:$G$35,0)),0)</f>
        <v>215</v>
      </c>
      <c r="CO44" s="33">
        <f>ROUND(坦克等级成长!$H141*VLOOKUP($BV$2,坦克等级成长!$B$36:$G$42,MATCH(CO$3,坦克等级成长!$B$35:$G$35,0)),0)</f>
        <v>774</v>
      </c>
      <c r="CP44" s="33">
        <f t="shared" si="24"/>
        <v>774</v>
      </c>
      <c r="CQ44" s="33">
        <v>617</v>
      </c>
      <c r="CR44" s="33">
        <f>ROUND(坦克等级成长!$H141*VLOOKUP($BV$2,坦克等级成长!$B$36:$G$42,MATCH(CR$3,坦克等级成长!$B$35:$G$35,0)),0)</f>
        <v>976</v>
      </c>
      <c r="CS44" s="33">
        <f>ROUND(坦克等级成长!$H141*VLOOKUP($BV$2,坦克等级成长!$B$36:$G$42,MATCH(CS$3,坦克等级成长!$B$35:$G$35,0)),0)</f>
        <v>228</v>
      </c>
      <c r="CT44" s="191">
        <v>9</v>
      </c>
      <c r="CU44" s="33">
        <f>ROUND(坦克等级成长!$D141*VLOOKUP($CT$2,坦克等级成长!$B$36:$G$42,MATCH(CU$3,坦克等级成长!$B$35:$G$35,0)),0)</f>
        <v>2104</v>
      </c>
      <c r="CV44" s="33">
        <f>ROUND(坦克等级成长!$D141*VLOOKUP($CT$2,坦克等级成长!$B$36:$G$42,MATCH(CV$3,坦克等级成长!$B$35:$G$35,0)),0)</f>
        <v>478</v>
      </c>
      <c r="CW44" s="33">
        <f>ROUND(坦克等级成长!$D141*VLOOKUP($CT$2,坦克等级成长!$B$36:$G$42,MATCH(CW$3,坦克等级成长!$B$35:$G$35,0)),0)</f>
        <v>939</v>
      </c>
      <c r="CX44" s="33">
        <f t="shared" si="32"/>
        <v>939</v>
      </c>
      <c r="CY44" s="33">
        <v>750</v>
      </c>
      <c r="CZ44" s="33">
        <f>ROUND(坦克等级成长!$D141*VLOOKUP($CT$2,坦克等级成长!$B$36:$G$42,MATCH(CZ$3,坦克等级成长!$B$35:$G$35,0)),0)</f>
        <v>789</v>
      </c>
      <c r="DA44" s="33">
        <f>ROUND(坦克等级成长!$D141*VLOOKUP($CT$2,坦克等级成长!$B$36:$G$42,MATCH(DA$3,坦克等级成长!$B$35:$G$35,0)),0)</f>
        <v>210</v>
      </c>
      <c r="DB44" s="198">
        <v>9</v>
      </c>
      <c r="DC44" s="33">
        <f>ROUND(坦克等级成长!$F141*VLOOKUP($CT$2,坦克等级成长!$B$36:$G$42,MATCH(DC$3,坦克等级成长!$B$35:$G$35,0)),0)</f>
        <v>2136</v>
      </c>
      <c r="DD44" s="33">
        <f>ROUND(坦克等级成长!$F141*VLOOKUP($CT$2,坦克等级成长!$B$36:$G$42,MATCH(DD$3,坦克等级成长!$B$35:$G$35,0)),0)</f>
        <v>485</v>
      </c>
      <c r="DE44" s="33">
        <f>ROUND(坦克等级成长!$F141*VLOOKUP($CT$2,坦克等级成长!$B$36:$G$42,MATCH(DE$3,坦克等级成长!$B$35:$G$35,0)),0)</f>
        <v>954</v>
      </c>
      <c r="DF44" s="33">
        <f t="shared" si="11"/>
        <v>954</v>
      </c>
      <c r="DG44" s="33">
        <v>772</v>
      </c>
      <c r="DH44" s="33">
        <f>ROUND(坦克等级成长!$F141*VLOOKUP($CT$2,坦克等级成长!$B$36:$G$42,MATCH(DH$3,坦克等级成长!$B$35:$G$35,0)),0)</f>
        <v>801</v>
      </c>
      <c r="DI44" s="33">
        <f>ROUND(坦克等级成长!$F141*VLOOKUP($CT$2,坦克等级成长!$B$36:$G$42,MATCH(DI$3,坦克等级成长!$B$35:$G$35,0)),0)</f>
        <v>214</v>
      </c>
      <c r="DJ44" s="191">
        <v>9</v>
      </c>
      <c r="DK44" s="33">
        <f>ROUND(坦克等级成长!$H141*VLOOKUP($CT$2,坦克等级成长!$B$36:$G$42,MATCH(DK$3,坦克等级成长!$B$35:$G$35,0)),0)</f>
        <v>2168</v>
      </c>
      <c r="DL44" s="33">
        <f>ROUND(坦克等级成长!$H141*VLOOKUP($CT$2,坦克等级成长!$B$36:$G$42,MATCH(DL$3,坦克等级成长!$B$35:$G$35,0)),0)</f>
        <v>492</v>
      </c>
      <c r="DM44" s="33">
        <f>ROUND(坦克等级成长!$H141*VLOOKUP($CT$2,坦克等级成长!$B$36:$G$42,MATCH(DM$3,坦克等级成长!$B$35:$G$35,0)),0)</f>
        <v>968</v>
      </c>
      <c r="DN44" s="33">
        <f t="shared" si="25"/>
        <v>968</v>
      </c>
      <c r="DO44" s="33">
        <v>772</v>
      </c>
      <c r="DP44" s="33">
        <f>ROUND(坦克等级成长!$H141*VLOOKUP($CT$2,坦克等级成长!$B$36:$G$42,MATCH(DP$3,坦克等级成长!$B$35:$G$35,0)),0)</f>
        <v>813</v>
      </c>
      <c r="DQ44" s="33">
        <f>ROUND(坦克等级成长!$H141*VLOOKUP($CT$2,坦克等级成长!$B$36:$G$42,MATCH(DQ$3,坦克等级成长!$B$35:$G$35,0)),0)</f>
        <v>217</v>
      </c>
      <c r="DR44" s="191">
        <v>9</v>
      </c>
      <c r="DS44" s="33">
        <f>ROUND(坦克等级成长!$D141*VLOOKUP($DR$2,坦克等级成长!$B$36:$G$42,MATCH(DS$3,坦克等级成长!$B$35:$G$35,0)),0)</f>
        <v>2394</v>
      </c>
      <c r="DT44" s="33">
        <f>ROUND(坦克等级成长!$D141*VLOOKUP($DR$2,坦克等级成长!$B$36:$G$42,MATCH(DT$3,坦克等级成长!$B$35:$G$35,0)),0)</f>
        <v>817</v>
      </c>
      <c r="DU44" s="33">
        <f>ROUND(坦克等级成长!$D141*VLOOKUP($DR$2,坦克等级成长!$B$36:$G$42,MATCH(DU$3,坦克等级成长!$B$35:$G$35,0)),0)</f>
        <v>751</v>
      </c>
      <c r="DV44" s="33">
        <f t="shared" si="33"/>
        <v>751</v>
      </c>
      <c r="DW44" s="33">
        <v>640</v>
      </c>
      <c r="DX44" s="33">
        <f>ROUND(坦克等级成长!$D141*VLOOKUP($DR$2,坦克等级成长!$B$36:$G$42,MATCH(DX$3,坦克等级成长!$B$35:$G$35,0)),0)</f>
        <v>1105</v>
      </c>
      <c r="DY44" s="33">
        <f>ROUND(坦克等级成长!$D141*VLOOKUP($DR$2,坦克等级成长!$B$36:$G$42,MATCH(DY$3,坦克等级成长!$B$35:$G$35,0)),0)</f>
        <v>239</v>
      </c>
      <c r="DZ44" s="198">
        <v>9</v>
      </c>
      <c r="EA44" s="33">
        <f>ROUND(坦克等级成长!$F141*VLOOKUP($DR$2,坦克等级成长!$B$36:$G$42,MATCH(EA$3,坦克等级成长!$B$35:$G$35,0)),0)</f>
        <v>2430</v>
      </c>
      <c r="EB44" s="33">
        <f>ROUND(坦克等级成长!$F141*VLOOKUP($DR$2,坦克等级成长!$B$36:$G$42,MATCH(EB$3,坦克等级成长!$B$35:$G$35,0)),0)</f>
        <v>829</v>
      </c>
      <c r="EC44" s="33">
        <f>ROUND(坦克等级成长!$F141*VLOOKUP($DR$2,坦克等级成长!$B$36:$G$42,MATCH(EC$3,坦克等级成长!$B$35:$G$35,0)),0)</f>
        <v>763</v>
      </c>
      <c r="ED44" s="33">
        <f t="shared" si="12"/>
        <v>763</v>
      </c>
      <c r="EE44" s="33">
        <v>658</v>
      </c>
      <c r="EF44" s="33">
        <f>ROUND(坦克等级成长!$F141*VLOOKUP($DR$2,坦克等级成长!$B$36:$G$42,MATCH(EF$3,坦克等级成长!$B$35:$G$35,0)),0)</f>
        <v>1121</v>
      </c>
      <c r="EG44" s="33">
        <f>ROUND(坦克等级成长!$F141*VLOOKUP($DR$2,坦克等级成长!$B$36:$G$42,MATCH(EG$3,坦克等级成长!$B$35:$G$35,0)),0)</f>
        <v>243</v>
      </c>
      <c r="EH44" s="191">
        <v>9</v>
      </c>
      <c r="EI44" s="33">
        <f>ROUND(坦克等级成长!$H141*VLOOKUP($DR$2,坦克等级成长!$B$36:$G$42,MATCH(EI$3,坦克等级成长!$B$35:$G$35,0)),0)</f>
        <v>2467</v>
      </c>
      <c r="EJ44" s="33">
        <f>ROUND(坦克等级成长!$H141*VLOOKUP($DR$2,坦克等级成长!$B$36:$G$42,MATCH(EJ$3,坦克等级成长!$B$35:$G$35,0)),0)</f>
        <v>841</v>
      </c>
      <c r="EK44" s="33">
        <f>ROUND(坦克等级成长!$H141*VLOOKUP($DR$2,坦克等级成长!$B$36:$G$42,MATCH(EK$3,坦克等级成长!$B$35:$G$35,0)),0)</f>
        <v>774</v>
      </c>
      <c r="EL44" s="33">
        <f t="shared" si="26"/>
        <v>774</v>
      </c>
      <c r="EM44" s="33">
        <v>658</v>
      </c>
      <c r="EN44" s="33">
        <f>ROUND(坦克等级成长!$H141*VLOOKUP($DR$2,坦克等级成长!$B$36:$G$42,MATCH(EN$3,坦克等级成长!$B$35:$G$35,0)),0)</f>
        <v>1138</v>
      </c>
      <c r="EO44" s="33">
        <f>ROUND(坦克等级成长!$H141*VLOOKUP($DR$2,坦克等级成长!$B$36:$G$42,MATCH(EO$3,坦克等级成长!$B$35:$G$35,0)),0)</f>
        <v>247</v>
      </c>
      <c r="EP44" s="191">
        <v>9</v>
      </c>
      <c r="EQ44" s="33">
        <f>ROUND(坦克等级成长!$D141*VLOOKUP($EP$2,坦克等级成长!$B$36:$G$42,MATCH(EQ$3,坦克等级成长!$B$35:$G$35,0)),0)</f>
        <v>2217</v>
      </c>
      <c r="ER44" s="33">
        <f>ROUND(坦克等级成长!$D141*VLOOKUP($EP$2,坦克等级成长!$B$36:$G$42,MATCH(ER$3,坦克等级成长!$B$35:$G$35,0)),0)</f>
        <v>254</v>
      </c>
      <c r="ES44" s="33">
        <f>ROUND(坦克等级成长!$D141*VLOOKUP($EP$2,坦克等级成长!$B$36:$G$42,MATCH(ES$3,坦克等级成长!$B$35:$G$35,0)),0)</f>
        <v>864</v>
      </c>
      <c r="ET44" s="33">
        <f t="shared" si="34"/>
        <v>864</v>
      </c>
      <c r="EU44" s="33">
        <v>690</v>
      </c>
      <c r="EV44" s="33">
        <f>ROUND(坦克等级成长!$D141*VLOOKUP($EP$2,坦克等级成长!$B$36:$G$42,MATCH(EV$3,坦克等级成长!$B$35:$G$35,0)),0)</f>
        <v>947</v>
      </c>
      <c r="EW44" s="33">
        <f>ROUND(坦克等级成长!$D141*VLOOKUP($EP$2,坦克等级成长!$B$36:$G$42,MATCH(EW$3,坦克等级成长!$B$35:$G$35,0)),0)</f>
        <v>222</v>
      </c>
      <c r="EX44" s="198">
        <v>9</v>
      </c>
      <c r="EY44" s="33">
        <f>ROUND(坦克等级成长!$F141*VLOOKUP($EP$2,坦克等级成长!$B$36:$G$42,MATCH(EY$3,坦克等级成长!$B$35:$G$35,0)),0)</f>
        <v>2251</v>
      </c>
      <c r="EZ44" s="33">
        <f>ROUND(坦克等级成长!$F141*VLOOKUP($EP$2,坦克等级成长!$B$36:$G$42,MATCH(EZ$3,坦克等级成长!$B$35:$G$35,0)),0)</f>
        <v>258</v>
      </c>
      <c r="FA44" s="33">
        <f>ROUND(坦克等级成长!$F141*VLOOKUP($EP$2,坦克等级成长!$B$36:$G$42,MATCH(FA$3,坦克等级成长!$B$35:$G$35,0)),0)</f>
        <v>877</v>
      </c>
      <c r="FB44" s="33">
        <f t="shared" si="13"/>
        <v>877</v>
      </c>
      <c r="FC44" s="33">
        <v>710</v>
      </c>
      <c r="FD44" s="33">
        <f>ROUND(坦克等级成长!$F141*VLOOKUP($EP$2,坦克等级成长!$B$36:$G$42,MATCH(FD$3,坦克等级成长!$B$35:$G$35,0)),0)</f>
        <v>961</v>
      </c>
      <c r="FE44" s="33">
        <f>ROUND(坦克等级成长!$F141*VLOOKUP($EP$2,坦克等级成长!$B$36:$G$42,MATCH(FE$3,坦克等级成长!$B$35:$G$35,0)),0)</f>
        <v>225</v>
      </c>
      <c r="FF44" s="191">
        <v>9</v>
      </c>
      <c r="FG44" s="33">
        <f>ROUND(坦克等级成长!$H141*VLOOKUP($EP$2,坦克等级成长!$B$36:$G$42,MATCH(FG$3,坦克等级成长!$B$35:$G$35,0)),0)</f>
        <v>2284</v>
      </c>
      <c r="FH44" s="33">
        <f>ROUND(坦克等级成长!$H141*VLOOKUP($EP$2,坦克等级成长!$B$36:$G$42,MATCH(FH$3,坦克等级成长!$B$35:$G$35,0)),0)</f>
        <v>262</v>
      </c>
      <c r="FI44" s="33">
        <f>ROUND(坦克等级成长!$H141*VLOOKUP($EP$2,坦克等级成长!$B$36:$G$42,MATCH(FI$3,坦克等级成长!$B$35:$G$35,0)),0)</f>
        <v>890</v>
      </c>
      <c r="FJ44" s="33">
        <f t="shared" si="27"/>
        <v>890</v>
      </c>
      <c r="FK44" s="33">
        <v>710</v>
      </c>
      <c r="FL44" s="33">
        <f>ROUND(坦克等级成长!$H141*VLOOKUP($EP$2,坦克等级成长!$B$36:$G$42,MATCH(FL$3,坦克等级成长!$B$35:$G$35,0)),0)</f>
        <v>976</v>
      </c>
      <c r="FM44" s="33">
        <f>ROUND(坦克等级成长!$H141*VLOOKUP($EP$2,坦克等级成长!$B$36:$G$42,MATCH(FM$3,坦克等级成长!$B$35:$G$35,0)),0)</f>
        <v>228</v>
      </c>
    </row>
    <row r="45" spans="1:169" ht="14.25" x14ac:dyDescent="0.3">
      <c r="A45" s="188">
        <v>4</v>
      </c>
      <c r="B45" s="191">
        <v>10</v>
      </c>
      <c r="C45" s="33">
        <f>ROUND(坦克等级成长!$D142*VLOOKUP($B$2,坦克等级成长!$B$36:$G$42,MATCH(C$3,坦克等级成长!$B$35:$G$35,0)),0)</f>
        <v>2184</v>
      </c>
      <c r="D45" s="33">
        <f>ROUND(坦克等级成长!$D142*VLOOKUP($B$2,坦克等级成长!$B$36:$G$42,MATCH(D$3,坦克等级成长!$B$35:$G$35,0)),0)</f>
        <v>238</v>
      </c>
      <c r="E45" s="33">
        <f>ROUND(坦克等级成长!$D142*VLOOKUP($B$2,坦克等级成长!$B$36:$G$42,MATCH(E$3,坦克等级成长!$B$35:$G$35,0)),0)</f>
        <v>819</v>
      </c>
      <c r="F45" s="33">
        <f t="shared" si="28"/>
        <v>819</v>
      </c>
      <c r="G45" s="33">
        <v>611.1</v>
      </c>
      <c r="H45" s="33">
        <f>ROUND(坦克等级成长!$D142*VLOOKUP($B$2,坦克等级成长!$B$36:$G$42,MATCH(H$3,坦克等级成长!$B$35:$G$35,0)),0)</f>
        <v>819</v>
      </c>
      <c r="I45" s="33">
        <f>ROUND(坦克等级成长!$D142*VLOOKUP($B$2,坦克等级成长!$B$36:$G$42,MATCH(I$3,坦克等级成长!$B$35:$G$35,0)),0)</f>
        <v>218</v>
      </c>
      <c r="J45" s="198">
        <v>10</v>
      </c>
      <c r="K45" s="33">
        <f>ROUND(坦克等级成长!$F142*VLOOKUP($B$2,坦克等级成长!$B$36:$G$42,MATCH(K$3,坦克等级成长!$B$35:$G$35,0)),0)</f>
        <v>2216</v>
      </c>
      <c r="L45" s="33">
        <f>ROUND(坦克等级成长!$F142*VLOOKUP($B$2,坦克等级成长!$B$36:$G$42,MATCH(L$3,坦克等级成长!$B$35:$G$35,0)),0)</f>
        <v>241</v>
      </c>
      <c r="M45" s="33">
        <f>ROUND(坦克等级成长!$F142*VLOOKUP($B$2,坦克等级成长!$B$36:$G$42,MATCH(M$3,坦克等级成长!$B$35:$G$35,0)),0)</f>
        <v>831</v>
      </c>
      <c r="N45" s="33">
        <f t="shared" si="7"/>
        <v>831</v>
      </c>
      <c r="O45" s="33">
        <v>628</v>
      </c>
      <c r="P45" s="33">
        <f>ROUND(坦克等级成长!$F142*VLOOKUP($B$2,坦克等级成长!$B$36:$G$42,MATCH(P$3,坦克等级成长!$B$35:$G$35,0)),0)</f>
        <v>831</v>
      </c>
      <c r="Q45" s="33">
        <f>ROUND(坦克等级成长!$F142*VLOOKUP($B$2,坦克等级成长!$B$36:$G$42,MATCH(Q$3,坦克等级成长!$B$35:$G$35,0)),0)</f>
        <v>222</v>
      </c>
      <c r="R45" s="191">
        <v>10</v>
      </c>
      <c r="S45" s="33">
        <f>ROUND(坦克等级成长!$H142*VLOOKUP($B$2,坦克等级成长!$B$36:$G$42,MATCH(S$3,坦克等级成长!$B$35:$G$35,0)),0)</f>
        <v>2248</v>
      </c>
      <c r="T45" s="33">
        <f>ROUND(坦克等级成长!$H142*VLOOKUP($B$2,坦克等级成长!$B$36:$G$42,MATCH(T$3,坦克等级成长!$B$35:$G$35,0)),0)</f>
        <v>245</v>
      </c>
      <c r="U45" s="33">
        <f>ROUND(坦克等级成长!$H142*VLOOKUP($B$2,坦克等级成长!$B$36:$G$42,MATCH(U$3,坦克等级成长!$B$35:$G$35,0)),0)</f>
        <v>843</v>
      </c>
      <c r="V45" s="33">
        <f t="shared" si="21"/>
        <v>843</v>
      </c>
      <c r="W45" s="33">
        <v>628</v>
      </c>
      <c r="X45" s="33">
        <f>ROUND(坦克等级成长!$H142*VLOOKUP($B$2,坦克等级成长!$B$36:$G$42,MATCH(X$3,坦克等级成长!$B$35:$G$35,0)),0)</f>
        <v>843</v>
      </c>
      <c r="Y45" s="33">
        <f>ROUND(坦克等级成长!$H142*VLOOKUP($B$2,坦克等级成长!$B$36:$G$42,MATCH(Y$3,坦克等级成长!$B$35:$G$35,0)),0)</f>
        <v>225</v>
      </c>
      <c r="Z45" s="191">
        <v>10</v>
      </c>
      <c r="AA45" s="33">
        <f>ROUND(坦克等级成长!$D142*VLOOKUP($Z$2,坦克等级成长!$B$36:$G$42,MATCH(AA$3,坦克等级成长!$B$35:$G$35,0)),0)</f>
        <v>2184</v>
      </c>
      <c r="AB45" s="33">
        <f>ROUND(坦克等级成长!$D142*VLOOKUP($Z$2,坦克等级成长!$B$36:$G$42,MATCH(AB$3,坦克等级成长!$B$35:$G$35,0)),0)</f>
        <v>129</v>
      </c>
      <c r="AC45" s="33">
        <f>ROUND(坦克等级成长!$D142*VLOOKUP($Z$2,坦克等级成长!$B$36:$G$42,MATCH(AC$3,坦克等级成长!$B$35:$G$35,0)),0)</f>
        <v>897</v>
      </c>
      <c r="AD45" s="33">
        <f t="shared" si="29"/>
        <v>897</v>
      </c>
      <c r="AE45" s="33">
        <v>669.2</v>
      </c>
      <c r="AF45" s="33">
        <f>ROUND(坦克等级成长!$D142*VLOOKUP($Z$2,坦克等级成长!$B$36:$G$42,MATCH(AF$3,坦克等级成长!$B$35:$G$35,0)),0)</f>
        <v>819</v>
      </c>
      <c r="AG45" s="33">
        <f>ROUND(坦克等级成长!$D142*VLOOKUP($Z$2,坦克等级成长!$B$36:$G$42,MATCH(AG$3,坦克等级成长!$B$35:$G$35,0)),0)</f>
        <v>218</v>
      </c>
      <c r="AH45" s="198">
        <v>10</v>
      </c>
      <c r="AI45" s="33">
        <f>ROUND(坦克等级成长!$F142*VLOOKUP($Z$2,坦克等级成长!$B$36:$G$42,MATCH(AI$3,坦克等级成长!$B$35:$G$35,0)),0)</f>
        <v>2216</v>
      </c>
      <c r="AJ45" s="33">
        <f>ROUND(坦克等级成长!$F142*VLOOKUP($Z$2,坦克等级成长!$B$36:$G$42,MATCH(AJ$3,坦克等级成长!$B$35:$G$35,0)),0)</f>
        <v>131</v>
      </c>
      <c r="AK45" s="33">
        <f>ROUND(坦克等级成长!$F142*VLOOKUP($Z$2,坦克等级成长!$B$36:$G$42,MATCH(AK$3,坦克等级成长!$B$35:$G$35,0)),0)</f>
        <v>910</v>
      </c>
      <c r="AL45" s="33">
        <f t="shared" si="8"/>
        <v>910</v>
      </c>
      <c r="AM45" s="33">
        <v>687</v>
      </c>
      <c r="AN45" s="33">
        <f>ROUND(坦克等级成长!$F142*VLOOKUP($Z$2,坦克等级成长!$B$36:$G$42,MATCH(AN$3,坦克等级成长!$B$35:$G$35,0)),0)</f>
        <v>831</v>
      </c>
      <c r="AO45" s="33">
        <f>ROUND(坦克等级成长!$F142*VLOOKUP($Z$2,坦克等级成长!$B$36:$G$42,MATCH(AO$3,坦克等级成长!$B$35:$G$35,0)),0)</f>
        <v>222</v>
      </c>
      <c r="AP45" s="191">
        <v>10</v>
      </c>
      <c r="AQ45" s="33">
        <f>ROUND(坦克等级成长!$H142*VLOOKUP($Z$2,坦克等级成长!$B$36:$G$42,MATCH(AQ$3,坦克等级成长!$B$35:$G$35,0)),0)</f>
        <v>2248</v>
      </c>
      <c r="AR45" s="33">
        <f>ROUND(坦克等级成长!$H142*VLOOKUP($Z$2,坦克等级成长!$B$36:$G$42,MATCH(AR$3,坦克等级成长!$B$35:$G$35,0)),0)</f>
        <v>132</v>
      </c>
      <c r="AS45" s="33">
        <f>ROUND(坦克等级成长!$H142*VLOOKUP($Z$2,坦克等级成长!$B$36:$G$42,MATCH(AS$3,坦克等级成长!$B$35:$G$35,0)),0)</f>
        <v>923</v>
      </c>
      <c r="AT45" s="33">
        <f t="shared" si="22"/>
        <v>923</v>
      </c>
      <c r="AU45" s="33">
        <v>687</v>
      </c>
      <c r="AV45" s="33">
        <f>ROUND(坦克等级成长!$H142*VLOOKUP($Z$2,坦克等级成长!$B$36:$G$42,MATCH(AV$3,坦克等级成长!$B$35:$G$35,0)),0)</f>
        <v>843</v>
      </c>
      <c r="AW45" s="33">
        <f>ROUND(坦克等级成长!$H142*VLOOKUP($Z$2,坦克等级成长!$B$36:$G$42,MATCH(AW$3,坦克等级成长!$B$35:$G$35,0)),0)</f>
        <v>225</v>
      </c>
      <c r="AX45" s="191">
        <v>10</v>
      </c>
      <c r="AY45" s="33">
        <f>ROUND(坦克等级成长!$D142*VLOOKUP($AX$2,坦克等级成长!$B$36:$G$42,MATCH(AY$3,坦克等级成长!$B$35:$G$35,0)),0)</f>
        <v>2184</v>
      </c>
      <c r="AZ45" s="33">
        <f>ROUND(坦克等级成长!$D142*VLOOKUP($AX$2,坦克等级成长!$B$36:$G$42,MATCH(AZ$3,坦克等级成长!$B$35:$G$35,0)),0)</f>
        <v>238</v>
      </c>
      <c r="BA45" s="33">
        <f>ROUND(坦克等级成长!$D142*VLOOKUP($AX$2,坦克等级成长!$B$36:$G$42,MATCH(BA$3,坦克等级成长!$B$35:$G$35,0)),0)</f>
        <v>819</v>
      </c>
      <c r="BB45" s="33">
        <f t="shared" si="30"/>
        <v>819</v>
      </c>
      <c r="BC45" s="33">
        <v>611.1</v>
      </c>
      <c r="BD45" s="33">
        <f>ROUND(坦克等级成长!$D142*VLOOKUP($AX$2,坦克等级成长!$B$36:$G$42,MATCH(BD$3,坦克等级成长!$B$35:$G$35,0)),0)</f>
        <v>819</v>
      </c>
      <c r="BE45" s="33">
        <f>ROUND(坦克等级成长!$D142*VLOOKUP($AX$2,坦克等级成长!$B$36:$G$42,MATCH(BE$3,坦克等级成长!$B$35:$G$35,0)),0)</f>
        <v>218</v>
      </c>
      <c r="BF45" s="198">
        <v>10</v>
      </c>
      <c r="BG45" s="33">
        <f>ROUND(坦克等级成长!$F142*VLOOKUP($AX$2,坦克等级成长!$B$36:$G$42,MATCH(BG$3,坦克等级成长!$B$35:$G$35,0)),0)</f>
        <v>2216</v>
      </c>
      <c r="BH45" s="33">
        <f>ROUND(坦克等级成长!$F142*VLOOKUP($AX$2,坦克等级成长!$B$36:$G$42,MATCH(BH$3,坦克等级成长!$B$35:$G$35,0)),0)</f>
        <v>241</v>
      </c>
      <c r="BI45" s="33">
        <f>ROUND(坦克等级成长!$F142*VLOOKUP($AX$2,坦克等级成长!$B$36:$G$42,MATCH(BI$3,坦克等级成长!$B$35:$G$35,0)),0)</f>
        <v>831</v>
      </c>
      <c r="BJ45" s="33">
        <f t="shared" si="9"/>
        <v>831</v>
      </c>
      <c r="BK45" s="33">
        <v>628</v>
      </c>
      <c r="BL45" s="33">
        <f>ROUND(坦克等级成长!$F142*VLOOKUP($AX$2,坦克等级成长!$B$36:$G$42,MATCH(BL$3,坦克等级成长!$B$35:$G$35,0)),0)</f>
        <v>831</v>
      </c>
      <c r="BM45" s="33">
        <f>ROUND(坦克等级成长!$F142*VLOOKUP($AX$2,坦克等级成长!$B$36:$G$42,MATCH(BM$3,坦克等级成长!$B$35:$G$35,0)),0)</f>
        <v>222</v>
      </c>
      <c r="BN45" s="191">
        <v>10</v>
      </c>
      <c r="BO45" s="33">
        <f>ROUND(坦克等级成长!$H142*VLOOKUP($AX$2,坦克等级成长!$B$36:$G$42,MATCH(BO$3,坦克等级成长!$B$35:$G$35,0)),0)</f>
        <v>2248</v>
      </c>
      <c r="BP45" s="33">
        <f>ROUND(坦克等级成长!$H142*VLOOKUP($AX$2,坦克等级成长!$B$36:$G$42,MATCH(BP$3,坦克等级成长!$B$35:$G$35,0)),0)</f>
        <v>245</v>
      </c>
      <c r="BQ45" s="33">
        <f>ROUND(坦克等级成长!$H142*VLOOKUP($AX$2,坦克等级成长!$B$36:$G$42,MATCH(BQ$3,坦克等级成长!$B$35:$G$35,0)),0)</f>
        <v>843</v>
      </c>
      <c r="BR45" s="33">
        <f t="shared" si="23"/>
        <v>843</v>
      </c>
      <c r="BS45" s="33">
        <v>628</v>
      </c>
      <c r="BT45" s="33">
        <f>ROUND(坦克等级成长!$H142*VLOOKUP($AX$2,坦克等级成长!$B$36:$G$42,MATCH(BT$3,坦克等级成长!$B$35:$G$35,0)),0)</f>
        <v>843</v>
      </c>
      <c r="BU45" s="33">
        <f>ROUND(坦克等级成长!$H142*VLOOKUP($AX$2,坦克等级成长!$B$36:$G$42,MATCH(BU$3,坦克等级成长!$B$35:$G$35,0)),0)</f>
        <v>225</v>
      </c>
      <c r="BV45" s="191">
        <v>10</v>
      </c>
      <c r="BW45" s="33">
        <f>ROUND(坦克等级成长!$D142*VLOOKUP($BV$2,坦克等级成长!$B$36:$G$42,MATCH(BW$3,坦克等级成长!$B$35:$G$35,0)),0)</f>
        <v>2301</v>
      </c>
      <c r="BX45" s="33">
        <f>ROUND(坦克等级成长!$D142*VLOOKUP($BV$2,坦克等级成长!$B$36:$G$42,MATCH(BX$3,坦克等级成长!$B$35:$G$35,0)),0)</f>
        <v>217</v>
      </c>
      <c r="BY45" s="33">
        <f>ROUND(坦克等级成长!$D142*VLOOKUP($BV$2,坦克等级成长!$B$36:$G$42,MATCH(BY$3,坦克等级成长!$B$35:$G$35,0)),0)</f>
        <v>780</v>
      </c>
      <c r="BZ45" s="33">
        <f t="shared" si="31"/>
        <v>780</v>
      </c>
      <c r="CA45" s="33">
        <v>623.25</v>
      </c>
      <c r="CB45" s="33">
        <f>ROUND(坦克等级成长!$D142*VLOOKUP($BV$2,坦克等级成长!$B$36:$G$42,MATCH(CB$3,坦克等级成长!$B$35:$G$35,0)),0)</f>
        <v>983</v>
      </c>
      <c r="CC45" s="33">
        <f>ROUND(坦克等级成长!$D142*VLOOKUP($BV$2,坦克等级成长!$B$36:$G$42,MATCH(CC$3,坦克等级成长!$B$35:$G$35,0)),0)</f>
        <v>230</v>
      </c>
      <c r="CD45" s="198">
        <v>10</v>
      </c>
      <c r="CE45" s="33">
        <f>ROUND(坦克等级成长!$F142*VLOOKUP($BV$2,坦克等级成长!$B$36:$G$42,MATCH(CE$3,坦克等级成长!$B$35:$G$35,0)),0)</f>
        <v>2335</v>
      </c>
      <c r="CF45" s="33">
        <f>ROUND(坦克等级成长!$F142*VLOOKUP($BV$2,坦克等级成长!$B$36:$G$42,MATCH(CF$3,坦克等级成长!$B$35:$G$35,0)),0)</f>
        <v>220</v>
      </c>
      <c r="CG45" s="33">
        <f>ROUND(坦克等级成长!$F142*VLOOKUP($BV$2,坦克等级成长!$B$36:$G$42,MATCH(CG$3,坦克等级成长!$B$35:$G$35,0)),0)</f>
        <v>791</v>
      </c>
      <c r="CH45" s="33">
        <f t="shared" si="10"/>
        <v>791</v>
      </c>
      <c r="CI45" s="33">
        <v>641</v>
      </c>
      <c r="CJ45" s="33">
        <f>ROUND(坦克等级成长!$F142*VLOOKUP($BV$2,坦克等级成长!$B$36:$G$42,MATCH(CJ$3,坦克等级成长!$B$35:$G$35,0)),0)</f>
        <v>997</v>
      </c>
      <c r="CK45" s="33">
        <f>ROUND(坦克等级成长!$F142*VLOOKUP($BV$2,坦克等级成长!$B$36:$G$42,MATCH(CK$3,坦克等级成长!$B$35:$G$35,0)),0)</f>
        <v>234</v>
      </c>
      <c r="CL45" s="191">
        <v>10</v>
      </c>
      <c r="CM45" s="33">
        <f>ROUND(坦克等级成长!$H142*VLOOKUP($BV$2,坦克等级成长!$B$36:$G$42,MATCH(CM$3,坦克等级成长!$B$35:$G$35,0)),0)</f>
        <v>2369</v>
      </c>
      <c r="CN45" s="33">
        <f>ROUND(坦克等级成长!$H142*VLOOKUP($BV$2,坦克等级成长!$B$36:$G$42,MATCH(CN$3,坦克等级成长!$B$35:$G$35,0)),0)</f>
        <v>223</v>
      </c>
      <c r="CO45" s="33">
        <f>ROUND(坦克等级成长!$H142*VLOOKUP($BV$2,坦克等级成长!$B$36:$G$42,MATCH(CO$3,坦克等级成长!$B$35:$G$35,0)),0)</f>
        <v>803</v>
      </c>
      <c r="CP45" s="33">
        <f t="shared" si="24"/>
        <v>803</v>
      </c>
      <c r="CQ45" s="33">
        <v>641</v>
      </c>
      <c r="CR45" s="33">
        <f>ROUND(坦克等级成长!$H142*VLOOKUP($BV$2,坦克等级成长!$B$36:$G$42,MATCH(CR$3,坦克等级成长!$B$35:$G$35,0)),0)</f>
        <v>1012</v>
      </c>
      <c r="CS45" s="33">
        <f>ROUND(坦克等级成长!$H142*VLOOKUP($BV$2,坦克等级成长!$B$36:$G$42,MATCH(CS$3,坦克等级成长!$B$35:$G$35,0)),0)</f>
        <v>237</v>
      </c>
      <c r="CT45" s="191">
        <v>10</v>
      </c>
      <c r="CU45" s="33">
        <f>ROUND(坦克等级成长!$D142*VLOOKUP($CT$2,坦克等级成长!$B$36:$G$42,MATCH(CU$3,坦克等级成长!$B$35:$G$35,0)),0)</f>
        <v>2184</v>
      </c>
      <c r="CV45" s="33">
        <f>ROUND(坦克等级成长!$D142*VLOOKUP($CT$2,坦克等级成长!$B$36:$G$42,MATCH(CV$3,坦克等级成长!$B$35:$G$35,0)),0)</f>
        <v>496</v>
      </c>
      <c r="CW45" s="33">
        <f>ROUND(坦克等级成长!$D142*VLOOKUP($CT$2,坦克等级成长!$B$36:$G$42,MATCH(CW$3,坦克等级成长!$B$35:$G$35,0)),0)</f>
        <v>975</v>
      </c>
      <c r="CX45" s="33">
        <f t="shared" si="32"/>
        <v>975</v>
      </c>
      <c r="CY45" s="33">
        <v>779.25</v>
      </c>
      <c r="CZ45" s="33">
        <f>ROUND(坦克等级成长!$D142*VLOOKUP($CT$2,坦克等级成长!$B$36:$G$42,MATCH(CZ$3,坦克等级成长!$B$35:$G$35,0)),0)</f>
        <v>819</v>
      </c>
      <c r="DA45" s="33">
        <f>ROUND(坦克等级成长!$D142*VLOOKUP($CT$2,坦克等级成长!$B$36:$G$42,MATCH(DA$3,坦克等级成长!$B$35:$G$35,0)),0)</f>
        <v>218</v>
      </c>
      <c r="DB45" s="198">
        <v>10</v>
      </c>
      <c r="DC45" s="33">
        <f>ROUND(坦克等级成长!$F142*VLOOKUP($CT$2,坦克等级成长!$B$36:$G$42,MATCH(DC$3,坦克等级成长!$B$35:$G$35,0)),0)</f>
        <v>2216</v>
      </c>
      <c r="DD45" s="33">
        <f>ROUND(坦克等级成长!$F142*VLOOKUP($CT$2,坦克等级成长!$B$36:$G$42,MATCH(DD$3,坦克等级成长!$B$35:$G$35,0)),0)</f>
        <v>503</v>
      </c>
      <c r="DE45" s="33">
        <f>ROUND(坦克等级成长!$F142*VLOOKUP($CT$2,坦克等级成长!$B$36:$G$42,MATCH(DE$3,坦克等级成长!$B$35:$G$35,0)),0)</f>
        <v>989</v>
      </c>
      <c r="DF45" s="33">
        <f t="shared" si="11"/>
        <v>989</v>
      </c>
      <c r="DG45" s="33">
        <v>801</v>
      </c>
      <c r="DH45" s="33">
        <f>ROUND(坦克等级成长!$F142*VLOOKUP($CT$2,坦克等级成长!$B$36:$G$42,MATCH(DH$3,坦克等级成长!$B$35:$G$35,0)),0)</f>
        <v>831</v>
      </c>
      <c r="DI45" s="33">
        <f>ROUND(坦克等级成长!$F142*VLOOKUP($CT$2,坦克等级成长!$B$36:$G$42,MATCH(DI$3,坦克等级成长!$B$35:$G$35,0)),0)</f>
        <v>222</v>
      </c>
      <c r="DJ45" s="191">
        <v>10</v>
      </c>
      <c r="DK45" s="33">
        <f>ROUND(坦克等级成长!$H142*VLOOKUP($CT$2,坦克等级成长!$B$36:$G$42,MATCH(DK$3,坦克等级成长!$B$35:$G$35,0)),0)</f>
        <v>2248</v>
      </c>
      <c r="DL45" s="33">
        <f>ROUND(坦克等级成长!$H142*VLOOKUP($CT$2,坦克等级成长!$B$36:$G$42,MATCH(DL$3,坦克等级成长!$B$35:$G$35,0)),0)</f>
        <v>511</v>
      </c>
      <c r="DM45" s="33">
        <f>ROUND(坦克等级成长!$H142*VLOOKUP($CT$2,坦克等级成长!$B$36:$G$42,MATCH(DM$3,坦克等级成长!$B$35:$G$35,0)),0)</f>
        <v>1004</v>
      </c>
      <c r="DN45" s="33">
        <f t="shared" si="25"/>
        <v>1004</v>
      </c>
      <c r="DO45" s="33">
        <v>801</v>
      </c>
      <c r="DP45" s="33">
        <f>ROUND(坦克等级成长!$H142*VLOOKUP($CT$2,坦克等级成长!$B$36:$G$42,MATCH(DP$3,坦克等级成长!$B$35:$G$35,0)),0)</f>
        <v>843</v>
      </c>
      <c r="DQ45" s="33">
        <f>ROUND(坦克等级成长!$H142*VLOOKUP($CT$2,坦克等级成长!$B$36:$G$42,MATCH(DQ$3,坦克等级成长!$B$35:$G$35,0)),0)</f>
        <v>225</v>
      </c>
      <c r="DR45" s="191">
        <v>10</v>
      </c>
      <c r="DS45" s="33">
        <f>ROUND(坦克等级成长!$D142*VLOOKUP($DR$2,坦克等级成长!$B$36:$G$42,MATCH(DS$3,坦克等级成长!$B$35:$G$35,0)),0)</f>
        <v>2485</v>
      </c>
      <c r="DT45" s="33">
        <f>ROUND(坦克等级成长!$D142*VLOOKUP($DR$2,坦克等级成长!$B$36:$G$42,MATCH(DT$3,坦克等级成长!$B$35:$G$35,0)),0)</f>
        <v>848</v>
      </c>
      <c r="DU45" s="33">
        <f>ROUND(坦克等级成长!$D142*VLOOKUP($DR$2,坦克等级成长!$B$36:$G$42,MATCH(DU$3,坦克等级成长!$B$35:$G$35,0)),0)</f>
        <v>780</v>
      </c>
      <c r="DV45" s="33">
        <f t="shared" si="33"/>
        <v>780</v>
      </c>
      <c r="DW45" s="33">
        <v>664.8</v>
      </c>
      <c r="DX45" s="33">
        <f>ROUND(坦克等级成长!$D142*VLOOKUP($DR$2,坦克等级成长!$B$36:$G$42,MATCH(DX$3,坦克等级成长!$B$35:$G$35,0)),0)</f>
        <v>1147</v>
      </c>
      <c r="DY45" s="33">
        <f>ROUND(坦克等级成长!$D142*VLOOKUP($DR$2,坦克等级成长!$B$36:$G$42,MATCH(DY$3,坦克等级成长!$B$35:$G$35,0)),0)</f>
        <v>248</v>
      </c>
      <c r="DZ45" s="198">
        <v>10</v>
      </c>
      <c r="EA45" s="33">
        <f>ROUND(坦克等级成长!$F142*VLOOKUP($DR$2,坦克等级成长!$B$36:$G$42,MATCH(EA$3,坦克等级成长!$B$35:$G$35,0)),0)</f>
        <v>2521</v>
      </c>
      <c r="EB45" s="33">
        <f>ROUND(坦克等级成长!$F142*VLOOKUP($DR$2,坦克等级成长!$B$36:$G$42,MATCH(EB$3,坦克等级成长!$B$35:$G$35,0)),0)</f>
        <v>860</v>
      </c>
      <c r="EC45" s="33">
        <f>ROUND(坦克等级成长!$F142*VLOOKUP($DR$2,坦克等级成长!$B$36:$G$42,MATCH(EC$3,坦克等级成长!$B$35:$G$35,0)),0)</f>
        <v>791</v>
      </c>
      <c r="ED45" s="33">
        <f t="shared" si="12"/>
        <v>791</v>
      </c>
      <c r="EE45" s="33">
        <v>683</v>
      </c>
      <c r="EF45" s="33">
        <f>ROUND(坦克等级成长!$F142*VLOOKUP($DR$2,坦克等级成长!$B$36:$G$42,MATCH(EF$3,坦克等级成长!$B$35:$G$35,0)),0)</f>
        <v>1163</v>
      </c>
      <c r="EG45" s="33">
        <f>ROUND(坦克等级成长!$F142*VLOOKUP($DR$2,坦克等级成长!$B$36:$G$42,MATCH(EG$3,坦克等级成长!$B$35:$G$35,0)),0)</f>
        <v>252</v>
      </c>
      <c r="EH45" s="191">
        <v>10</v>
      </c>
      <c r="EI45" s="33">
        <f>ROUND(坦克等级成长!$H142*VLOOKUP($DR$2,坦克等级成长!$B$36:$G$42,MATCH(EI$3,坦克等级成长!$B$35:$G$35,0)),0)</f>
        <v>2558</v>
      </c>
      <c r="EJ45" s="33">
        <f>ROUND(坦克等级成长!$H142*VLOOKUP($DR$2,坦克等级成长!$B$36:$G$42,MATCH(EJ$3,坦克等级成长!$B$35:$G$35,0)),0)</f>
        <v>873</v>
      </c>
      <c r="EK45" s="33">
        <f>ROUND(坦克等级成长!$H142*VLOOKUP($DR$2,坦克等级成长!$B$36:$G$42,MATCH(EK$3,坦克等级成长!$B$35:$G$35,0)),0)</f>
        <v>803</v>
      </c>
      <c r="EL45" s="33">
        <f t="shared" si="26"/>
        <v>803</v>
      </c>
      <c r="EM45" s="33">
        <v>683</v>
      </c>
      <c r="EN45" s="33">
        <f>ROUND(坦克等级成长!$H142*VLOOKUP($DR$2,坦克等级成长!$B$36:$G$42,MATCH(EN$3,坦克等级成长!$B$35:$G$35,0)),0)</f>
        <v>1180</v>
      </c>
      <c r="EO45" s="33">
        <f>ROUND(坦克等级成长!$H142*VLOOKUP($DR$2,坦克等级成长!$B$36:$G$42,MATCH(EO$3,坦克等级成长!$B$35:$G$35,0)),0)</f>
        <v>256</v>
      </c>
      <c r="EP45" s="191">
        <v>10</v>
      </c>
      <c r="EQ45" s="33">
        <f>ROUND(坦克等级成长!$D142*VLOOKUP($EP$2,坦克等级成长!$B$36:$G$42,MATCH(EQ$3,坦克等级成长!$B$35:$G$35,0)),0)</f>
        <v>2301</v>
      </c>
      <c r="ER45" s="33">
        <f>ROUND(坦克等级成长!$D142*VLOOKUP($EP$2,坦克等级成长!$B$36:$G$42,MATCH(ER$3,坦克等级成长!$B$35:$G$35,0)),0)</f>
        <v>264</v>
      </c>
      <c r="ES45" s="33">
        <f>ROUND(坦克等级成长!$D142*VLOOKUP($EP$2,坦克等级成长!$B$36:$G$42,MATCH(ES$3,坦克等级成长!$B$35:$G$35,0)),0)</f>
        <v>897</v>
      </c>
      <c r="ET45" s="33">
        <f t="shared" si="34"/>
        <v>897</v>
      </c>
      <c r="EU45" s="33">
        <v>717</v>
      </c>
      <c r="EV45" s="33">
        <f>ROUND(坦克等级成长!$D142*VLOOKUP($EP$2,坦克等级成长!$B$36:$G$42,MATCH(EV$3,坦克等级成长!$B$35:$G$35,0)),0)</f>
        <v>983</v>
      </c>
      <c r="EW45" s="33">
        <f>ROUND(坦克等级成长!$D142*VLOOKUP($EP$2,坦克等级成长!$B$36:$G$42,MATCH(EW$3,坦克等级成长!$B$35:$G$35,0)),0)</f>
        <v>230</v>
      </c>
      <c r="EX45" s="198">
        <v>10</v>
      </c>
      <c r="EY45" s="33">
        <f>ROUND(坦克等级成长!$F142*VLOOKUP($EP$2,坦克等级成长!$B$36:$G$42,MATCH(EY$3,坦克等级成长!$B$35:$G$35,0)),0)</f>
        <v>2335</v>
      </c>
      <c r="EZ45" s="33">
        <f>ROUND(坦克等级成长!$F142*VLOOKUP($EP$2,坦克等级成长!$B$36:$G$42,MATCH(EZ$3,坦克等级成长!$B$35:$G$35,0)),0)</f>
        <v>268</v>
      </c>
      <c r="FA45" s="33">
        <f>ROUND(坦克等级成长!$F142*VLOOKUP($EP$2,坦克等级成长!$B$36:$G$42,MATCH(FA$3,坦克等级成长!$B$35:$G$35,0)),0)</f>
        <v>910</v>
      </c>
      <c r="FB45" s="33">
        <f t="shared" si="13"/>
        <v>910</v>
      </c>
      <c r="FC45" s="33">
        <v>737</v>
      </c>
      <c r="FD45" s="33">
        <f>ROUND(坦克等级成长!$F142*VLOOKUP($EP$2,坦克等级成长!$B$36:$G$42,MATCH(FD$3,坦克等级成长!$B$35:$G$35,0)),0)</f>
        <v>997</v>
      </c>
      <c r="FE45" s="33">
        <f>ROUND(坦克等级成长!$F142*VLOOKUP($EP$2,坦克等级成长!$B$36:$G$42,MATCH(FE$3,坦克等级成长!$B$35:$G$35,0)),0)</f>
        <v>234</v>
      </c>
      <c r="FF45" s="191">
        <v>10</v>
      </c>
      <c r="FG45" s="33">
        <f>ROUND(坦克等级成长!$H142*VLOOKUP($EP$2,坦克等级成长!$B$36:$G$42,MATCH(FG$3,坦克等级成长!$B$35:$G$35,0)),0)</f>
        <v>2369</v>
      </c>
      <c r="FH45" s="33">
        <f>ROUND(坦克等级成长!$H142*VLOOKUP($EP$2,坦克等级成长!$B$36:$G$42,MATCH(FH$3,坦克等级成长!$B$35:$G$35,0)),0)</f>
        <v>271</v>
      </c>
      <c r="FI45" s="33">
        <f>ROUND(坦克等级成长!$H142*VLOOKUP($EP$2,坦克等级成长!$B$36:$G$42,MATCH(FI$3,坦克等级成长!$B$35:$G$35,0)),0)</f>
        <v>923</v>
      </c>
      <c r="FJ45" s="33">
        <f t="shared" si="27"/>
        <v>923</v>
      </c>
      <c r="FK45" s="33">
        <v>737</v>
      </c>
      <c r="FL45" s="33">
        <f>ROUND(坦克等级成长!$H142*VLOOKUP($EP$2,坦克等级成长!$B$36:$G$42,MATCH(FL$3,坦克等级成长!$B$35:$G$35,0)),0)</f>
        <v>1012</v>
      </c>
      <c r="FM45" s="33">
        <f>ROUND(坦克等级成长!$H142*VLOOKUP($EP$2,坦克等级成长!$B$36:$G$42,MATCH(FM$3,坦克等级成长!$B$35:$G$35,0)),0)</f>
        <v>237</v>
      </c>
    </row>
    <row r="46" spans="1:169" ht="14.25" x14ac:dyDescent="0.3">
      <c r="A46" s="188">
        <v>4</v>
      </c>
      <c r="B46" s="191">
        <v>11</v>
      </c>
      <c r="C46" s="33">
        <f>ROUND(坦克等级成长!$D143*VLOOKUP($B$2,坦克等级成长!$B$36:$G$42,MATCH(C$3,坦克等级成长!$B$35:$G$35,0)),0)</f>
        <v>2264</v>
      </c>
      <c r="D46" s="33">
        <f>ROUND(坦克等级成长!$D143*VLOOKUP($B$2,坦克等级成长!$B$36:$G$42,MATCH(D$3,坦克等级成长!$B$35:$G$35,0)),0)</f>
        <v>246</v>
      </c>
      <c r="E46" s="33">
        <f>ROUND(坦克等级成长!$D143*VLOOKUP($B$2,坦克等级成长!$B$36:$G$42,MATCH(E$3,坦克等级成长!$B$35:$G$35,0)),0)</f>
        <v>849</v>
      </c>
      <c r="F46" s="33">
        <f t="shared" si="28"/>
        <v>849</v>
      </c>
      <c r="G46" s="33">
        <v>634.20000000000005</v>
      </c>
      <c r="H46" s="33">
        <f>ROUND(坦克等级成长!$D143*VLOOKUP($B$2,坦克等级成长!$B$36:$G$42,MATCH(H$3,坦克等级成长!$B$35:$G$35,0)),0)</f>
        <v>849</v>
      </c>
      <c r="I46" s="33">
        <f>ROUND(坦克等级成长!$D143*VLOOKUP($B$2,坦克等级成长!$B$36:$G$42,MATCH(I$3,坦克等级成长!$B$35:$G$35,0)),0)</f>
        <v>226</v>
      </c>
      <c r="J46" s="198">
        <v>11</v>
      </c>
      <c r="K46" s="33">
        <f>ROUND(坦克等级成长!$F143*VLOOKUP($B$2,坦克等级成长!$B$36:$G$42,MATCH(K$3,坦克等级成长!$B$35:$G$35,0)),0)</f>
        <v>2296</v>
      </c>
      <c r="L46" s="33">
        <f>ROUND(坦克等级成长!$F143*VLOOKUP($B$2,坦克等级成长!$B$36:$G$42,MATCH(L$3,坦克等级成长!$B$35:$G$35,0)),0)</f>
        <v>250</v>
      </c>
      <c r="M46" s="33">
        <f>ROUND(坦克等级成长!$F143*VLOOKUP($B$2,坦克等级成长!$B$36:$G$42,MATCH(M$3,坦克等级成长!$B$35:$G$35,0)),0)</f>
        <v>861</v>
      </c>
      <c r="N46" s="33">
        <f t="shared" si="7"/>
        <v>861</v>
      </c>
      <c r="O46" s="33">
        <v>651</v>
      </c>
      <c r="P46" s="33">
        <f>ROUND(坦克等级成长!$F143*VLOOKUP($B$2,坦克等级成长!$B$36:$G$42,MATCH(P$3,坦克等级成长!$B$35:$G$35,0)),0)</f>
        <v>861</v>
      </c>
      <c r="Q46" s="33">
        <f>ROUND(坦克等级成长!$F143*VLOOKUP($B$2,坦克等级成长!$B$36:$G$42,MATCH(Q$3,坦克等级成长!$B$35:$G$35,0)),0)</f>
        <v>230</v>
      </c>
      <c r="R46" s="191">
        <v>11</v>
      </c>
      <c r="S46" s="33">
        <f>ROUND(坦克等级成长!$H143*VLOOKUP($B$2,坦克等级成长!$B$36:$G$42,MATCH(S$3,坦克等级成长!$B$35:$G$35,0)),0)</f>
        <v>2328</v>
      </c>
      <c r="T46" s="33">
        <f>ROUND(坦克等级成长!$H143*VLOOKUP($B$2,坦克等级成长!$B$36:$G$42,MATCH(T$3,坦克等级成长!$B$35:$G$35,0)),0)</f>
        <v>253</v>
      </c>
      <c r="U46" s="33">
        <f>ROUND(坦克等级成长!$H143*VLOOKUP($B$2,坦克等级成长!$B$36:$G$42,MATCH(U$3,坦克等级成长!$B$35:$G$35,0)),0)</f>
        <v>873</v>
      </c>
      <c r="V46" s="33">
        <f t="shared" si="21"/>
        <v>873</v>
      </c>
      <c r="W46" s="33">
        <v>651</v>
      </c>
      <c r="X46" s="33">
        <f>ROUND(坦克等级成长!$H143*VLOOKUP($B$2,坦克等级成长!$B$36:$G$42,MATCH(X$3,坦克等级成长!$B$35:$G$35,0)),0)</f>
        <v>873</v>
      </c>
      <c r="Y46" s="33">
        <f>ROUND(坦克等级成长!$H143*VLOOKUP($B$2,坦克等级成长!$B$36:$G$42,MATCH(Y$3,坦克等级成长!$B$35:$G$35,0)),0)</f>
        <v>233</v>
      </c>
      <c r="Z46" s="191">
        <v>11</v>
      </c>
      <c r="AA46" s="33">
        <f>ROUND(坦克等级成长!$D143*VLOOKUP($Z$2,坦克等级成长!$B$36:$G$42,MATCH(AA$3,坦克等级成长!$B$35:$G$35,0)),0)</f>
        <v>2264</v>
      </c>
      <c r="AB46" s="33">
        <f>ROUND(坦克等级成长!$D143*VLOOKUP($Z$2,坦克等级成长!$B$36:$G$42,MATCH(AB$3,坦克等级成长!$B$35:$G$35,0)),0)</f>
        <v>133</v>
      </c>
      <c r="AC46" s="33">
        <f>ROUND(坦克等级成长!$D143*VLOOKUP($Z$2,坦克等级成长!$B$36:$G$42,MATCH(AC$3,坦克等级成长!$B$35:$G$35,0)),0)</f>
        <v>930</v>
      </c>
      <c r="AD46" s="33">
        <f t="shared" si="29"/>
        <v>930</v>
      </c>
      <c r="AE46" s="33">
        <v>694.4</v>
      </c>
      <c r="AF46" s="33">
        <f>ROUND(坦克等级成长!$D143*VLOOKUP($Z$2,坦克等级成长!$B$36:$G$42,MATCH(AF$3,坦克等级成长!$B$35:$G$35,0)),0)</f>
        <v>849</v>
      </c>
      <c r="AG46" s="33">
        <f>ROUND(坦克等级成长!$D143*VLOOKUP($Z$2,坦克等级成长!$B$36:$G$42,MATCH(AG$3,坦克等级成长!$B$35:$G$35,0)),0)</f>
        <v>226</v>
      </c>
      <c r="AH46" s="198">
        <v>11</v>
      </c>
      <c r="AI46" s="33">
        <f>ROUND(坦克等级成长!$F143*VLOOKUP($Z$2,坦克等级成长!$B$36:$G$42,MATCH(AI$3,坦克等级成长!$B$35:$G$35,0)),0)</f>
        <v>2296</v>
      </c>
      <c r="AJ46" s="33">
        <f>ROUND(坦克等级成长!$F143*VLOOKUP($Z$2,坦克等级成长!$B$36:$G$42,MATCH(AJ$3,坦克等级成长!$B$35:$G$35,0)),0)</f>
        <v>135</v>
      </c>
      <c r="AK46" s="33">
        <f>ROUND(坦克等级成长!$F143*VLOOKUP($Z$2,坦克等级成长!$B$36:$G$42,MATCH(AK$3,坦克等级成长!$B$35:$G$35,0)),0)</f>
        <v>943</v>
      </c>
      <c r="AL46" s="33">
        <f t="shared" si="8"/>
        <v>943</v>
      </c>
      <c r="AM46" s="33">
        <v>713</v>
      </c>
      <c r="AN46" s="33">
        <f>ROUND(坦克等级成长!$F143*VLOOKUP($Z$2,坦克等级成长!$B$36:$G$42,MATCH(AN$3,坦克等级成长!$B$35:$G$35,0)),0)</f>
        <v>861</v>
      </c>
      <c r="AO46" s="33">
        <f>ROUND(坦克等级成长!$F143*VLOOKUP($Z$2,坦克等级成长!$B$36:$G$42,MATCH(AO$3,坦克等级成长!$B$35:$G$35,0)),0)</f>
        <v>230</v>
      </c>
      <c r="AP46" s="191">
        <v>11</v>
      </c>
      <c r="AQ46" s="33">
        <f>ROUND(坦克等级成长!$H143*VLOOKUP($Z$2,坦克等级成长!$B$36:$G$42,MATCH(AQ$3,坦克等级成长!$B$35:$G$35,0)),0)</f>
        <v>2328</v>
      </c>
      <c r="AR46" s="33">
        <f>ROUND(坦克等级成长!$H143*VLOOKUP($Z$2,坦克等级成长!$B$36:$G$42,MATCH(AR$3,坦克等级成长!$B$35:$G$35,0)),0)</f>
        <v>137</v>
      </c>
      <c r="AS46" s="33">
        <f>ROUND(坦克等级成长!$H143*VLOOKUP($Z$2,坦克等级成长!$B$36:$G$42,MATCH(AS$3,坦克等级成长!$B$35:$G$35,0)),0)</f>
        <v>956</v>
      </c>
      <c r="AT46" s="33">
        <f t="shared" si="22"/>
        <v>956</v>
      </c>
      <c r="AU46" s="33">
        <v>713</v>
      </c>
      <c r="AV46" s="33">
        <f>ROUND(坦克等级成长!$H143*VLOOKUP($Z$2,坦克等级成长!$B$36:$G$42,MATCH(AV$3,坦克等级成长!$B$35:$G$35,0)),0)</f>
        <v>873</v>
      </c>
      <c r="AW46" s="33">
        <f>ROUND(坦克等级成长!$H143*VLOOKUP($Z$2,坦克等级成长!$B$36:$G$42,MATCH(AW$3,坦克等级成长!$B$35:$G$35,0)),0)</f>
        <v>233</v>
      </c>
      <c r="AX46" s="191">
        <v>11</v>
      </c>
      <c r="AY46" s="33">
        <f>ROUND(坦克等级成长!$D143*VLOOKUP($AX$2,坦克等级成长!$B$36:$G$42,MATCH(AY$3,坦克等级成长!$B$35:$G$35,0)),0)</f>
        <v>2264</v>
      </c>
      <c r="AZ46" s="33">
        <f>ROUND(坦克等级成长!$D143*VLOOKUP($AX$2,坦克等级成长!$B$36:$G$42,MATCH(AZ$3,坦克等级成长!$B$35:$G$35,0)),0)</f>
        <v>246</v>
      </c>
      <c r="BA46" s="33">
        <f>ROUND(坦克等级成长!$D143*VLOOKUP($AX$2,坦克等级成长!$B$36:$G$42,MATCH(BA$3,坦克等级成长!$B$35:$G$35,0)),0)</f>
        <v>849</v>
      </c>
      <c r="BB46" s="33">
        <f t="shared" si="30"/>
        <v>849</v>
      </c>
      <c r="BC46" s="33">
        <v>634.20000000000005</v>
      </c>
      <c r="BD46" s="33">
        <f>ROUND(坦克等级成长!$D143*VLOOKUP($AX$2,坦克等级成长!$B$36:$G$42,MATCH(BD$3,坦克等级成长!$B$35:$G$35,0)),0)</f>
        <v>849</v>
      </c>
      <c r="BE46" s="33">
        <f>ROUND(坦克等级成长!$D143*VLOOKUP($AX$2,坦克等级成长!$B$36:$G$42,MATCH(BE$3,坦克等级成长!$B$35:$G$35,0)),0)</f>
        <v>226</v>
      </c>
      <c r="BF46" s="198">
        <v>11</v>
      </c>
      <c r="BG46" s="33">
        <f>ROUND(坦克等级成长!$F143*VLOOKUP($AX$2,坦克等级成长!$B$36:$G$42,MATCH(BG$3,坦克等级成长!$B$35:$G$35,0)),0)</f>
        <v>2296</v>
      </c>
      <c r="BH46" s="33">
        <f>ROUND(坦克等级成长!$F143*VLOOKUP($AX$2,坦克等级成长!$B$36:$G$42,MATCH(BH$3,坦克等级成长!$B$35:$G$35,0)),0)</f>
        <v>250</v>
      </c>
      <c r="BI46" s="33">
        <f>ROUND(坦克等级成长!$F143*VLOOKUP($AX$2,坦克等级成长!$B$36:$G$42,MATCH(BI$3,坦克等级成长!$B$35:$G$35,0)),0)</f>
        <v>861</v>
      </c>
      <c r="BJ46" s="33">
        <f t="shared" si="9"/>
        <v>861</v>
      </c>
      <c r="BK46" s="33">
        <v>651</v>
      </c>
      <c r="BL46" s="33">
        <f>ROUND(坦克等级成长!$F143*VLOOKUP($AX$2,坦克等级成长!$B$36:$G$42,MATCH(BL$3,坦克等级成长!$B$35:$G$35,0)),0)</f>
        <v>861</v>
      </c>
      <c r="BM46" s="33">
        <f>ROUND(坦克等级成长!$F143*VLOOKUP($AX$2,坦克等级成长!$B$36:$G$42,MATCH(BM$3,坦克等级成长!$B$35:$G$35,0)),0)</f>
        <v>230</v>
      </c>
      <c r="BN46" s="191">
        <v>11</v>
      </c>
      <c r="BO46" s="33">
        <f>ROUND(坦克等级成长!$H143*VLOOKUP($AX$2,坦克等级成长!$B$36:$G$42,MATCH(BO$3,坦克等级成长!$B$35:$G$35,0)),0)</f>
        <v>2328</v>
      </c>
      <c r="BP46" s="33">
        <f>ROUND(坦克等级成长!$H143*VLOOKUP($AX$2,坦克等级成长!$B$36:$G$42,MATCH(BP$3,坦克等级成长!$B$35:$G$35,0)),0)</f>
        <v>253</v>
      </c>
      <c r="BQ46" s="33">
        <f>ROUND(坦克等级成长!$H143*VLOOKUP($AX$2,坦克等级成长!$B$36:$G$42,MATCH(BQ$3,坦克等级成长!$B$35:$G$35,0)),0)</f>
        <v>873</v>
      </c>
      <c r="BR46" s="33">
        <f t="shared" si="23"/>
        <v>873</v>
      </c>
      <c r="BS46" s="33">
        <v>651</v>
      </c>
      <c r="BT46" s="33">
        <f>ROUND(坦克等级成长!$H143*VLOOKUP($AX$2,坦克等级成长!$B$36:$G$42,MATCH(BT$3,坦克等级成长!$B$35:$G$35,0)),0)</f>
        <v>873</v>
      </c>
      <c r="BU46" s="33">
        <f>ROUND(坦克等级成长!$H143*VLOOKUP($AX$2,坦克等级成长!$B$36:$G$42,MATCH(BU$3,坦克等级成长!$B$35:$G$35,0)),0)</f>
        <v>233</v>
      </c>
      <c r="BV46" s="191">
        <v>11</v>
      </c>
      <c r="BW46" s="33">
        <f>ROUND(坦克等级成长!$D143*VLOOKUP($BV$2,坦克等级成长!$B$36:$G$42,MATCH(BW$3,坦克等级成长!$B$35:$G$35,0)),0)</f>
        <v>2386</v>
      </c>
      <c r="BX46" s="33">
        <f>ROUND(坦克等级成长!$D143*VLOOKUP($BV$2,坦克等级成长!$B$36:$G$42,MATCH(BX$3,坦克等级成长!$B$35:$G$35,0)),0)</f>
        <v>225</v>
      </c>
      <c r="BY46" s="33">
        <f>ROUND(坦克等级成长!$D143*VLOOKUP($BV$2,坦克等级成长!$B$36:$G$42,MATCH(BY$3,坦克等级成长!$B$35:$G$35,0)),0)</f>
        <v>809</v>
      </c>
      <c r="BZ46" s="33">
        <f t="shared" si="31"/>
        <v>809</v>
      </c>
      <c r="CA46" s="33">
        <v>647.25</v>
      </c>
      <c r="CB46" s="33">
        <f>ROUND(坦克等级成长!$D143*VLOOKUP($BV$2,坦克等级成长!$B$36:$G$42,MATCH(CB$3,坦克等级成长!$B$35:$G$35,0)),0)</f>
        <v>1019</v>
      </c>
      <c r="CC46" s="33">
        <f>ROUND(坦克等级成长!$D143*VLOOKUP($BV$2,坦克等级成长!$B$36:$G$42,MATCH(CC$3,坦克等级成长!$B$35:$G$35,0)),0)</f>
        <v>239</v>
      </c>
      <c r="CD46" s="198">
        <v>11</v>
      </c>
      <c r="CE46" s="33">
        <f>ROUND(坦克等级成长!$F143*VLOOKUP($BV$2,坦克等级成长!$B$36:$G$42,MATCH(CE$3,坦克等级成长!$B$35:$G$35,0)),0)</f>
        <v>2419</v>
      </c>
      <c r="CF46" s="33">
        <f>ROUND(坦克等级成长!$F143*VLOOKUP($BV$2,坦克等级成长!$B$36:$G$42,MATCH(CF$3,坦克等级成长!$B$35:$G$35,0)),0)</f>
        <v>228</v>
      </c>
      <c r="CG46" s="33">
        <f>ROUND(坦克等级成长!$F143*VLOOKUP($BV$2,坦克等级成长!$B$36:$G$42,MATCH(CG$3,坦克等级成长!$B$35:$G$35,0)),0)</f>
        <v>820</v>
      </c>
      <c r="CH46" s="33">
        <f t="shared" si="10"/>
        <v>820</v>
      </c>
      <c r="CI46" s="33">
        <v>665</v>
      </c>
      <c r="CJ46" s="33">
        <f>ROUND(坦克等级成长!$F143*VLOOKUP($BV$2,坦克等级成长!$B$36:$G$42,MATCH(CJ$3,坦克等级成长!$B$35:$G$35,0)),0)</f>
        <v>1033</v>
      </c>
      <c r="CK46" s="33">
        <f>ROUND(坦克等级成长!$F143*VLOOKUP($BV$2,坦克等级成长!$B$36:$G$42,MATCH(CK$3,坦克等级成长!$B$35:$G$35,0)),0)</f>
        <v>242</v>
      </c>
      <c r="CL46" s="191">
        <v>11</v>
      </c>
      <c r="CM46" s="33">
        <f>ROUND(坦克等级成长!$H143*VLOOKUP($BV$2,坦克等级成长!$B$36:$G$42,MATCH(CM$3,坦克等级成长!$B$35:$G$35,0)),0)</f>
        <v>2453</v>
      </c>
      <c r="CN46" s="33">
        <f>ROUND(坦克等级成长!$H143*VLOOKUP($BV$2,坦克等级成长!$B$36:$G$42,MATCH(CN$3,坦克等级成长!$B$35:$G$35,0)),0)</f>
        <v>231</v>
      </c>
      <c r="CO46" s="33">
        <f>ROUND(坦克等级成长!$H143*VLOOKUP($BV$2,坦克等级成长!$B$36:$G$42,MATCH(CO$3,坦克等级成长!$B$35:$G$35,0)),0)</f>
        <v>831</v>
      </c>
      <c r="CP46" s="33">
        <f t="shared" si="24"/>
        <v>831</v>
      </c>
      <c r="CQ46" s="33">
        <v>665</v>
      </c>
      <c r="CR46" s="33">
        <f>ROUND(坦克等级成长!$H143*VLOOKUP($BV$2,坦克等级成长!$B$36:$G$42,MATCH(CR$3,坦克等级成长!$B$35:$G$35,0)),0)</f>
        <v>1048</v>
      </c>
      <c r="CS46" s="33">
        <f>ROUND(坦克等级成长!$H143*VLOOKUP($BV$2,坦克等级成长!$B$36:$G$42,MATCH(CS$3,坦克等级成长!$B$35:$G$35,0)),0)</f>
        <v>245</v>
      </c>
      <c r="CT46" s="191">
        <v>11</v>
      </c>
      <c r="CU46" s="33">
        <f>ROUND(坦克等级成长!$D143*VLOOKUP($CT$2,坦克等级成长!$B$36:$G$42,MATCH(CU$3,坦克等级成长!$B$35:$G$35,0)),0)</f>
        <v>2264</v>
      </c>
      <c r="CV46" s="33">
        <f>ROUND(坦克等级成长!$D143*VLOOKUP($CT$2,坦克等级成长!$B$36:$G$42,MATCH(CV$3,坦克等级成长!$B$35:$G$35,0)),0)</f>
        <v>514</v>
      </c>
      <c r="CW46" s="33">
        <f>ROUND(坦克等级成长!$D143*VLOOKUP($CT$2,坦克等级成长!$B$36:$G$42,MATCH(CW$3,坦克等级成长!$B$35:$G$35,0)),0)</f>
        <v>1011</v>
      </c>
      <c r="CX46" s="33">
        <f t="shared" si="32"/>
        <v>1011</v>
      </c>
      <c r="CY46" s="33">
        <v>809.25</v>
      </c>
      <c r="CZ46" s="33">
        <f>ROUND(坦克等级成长!$D143*VLOOKUP($CT$2,坦克等级成长!$B$36:$G$42,MATCH(CZ$3,坦克等级成长!$B$35:$G$35,0)),0)</f>
        <v>849</v>
      </c>
      <c r="DA46" s="33">
        <f>ROUND(坦克等级成长!$D143*VLOOKUP($CT$2,坦克等级成长!$B$36:$G$42,MATCH(DA$3,坦克等级成长!$B$35:$G$35,0)),0)</f>
        <v>226</v>
      </c>
      <c r="DB46" s="198">
        <v>11</v>
      </c>
      <c r="DC46" s="33">
        <f>ROUND(坦克等级成长!$F143*VLOOKUP($CT$2,坦克等级成长!$B$36:$G$42,MATCH(DC$3,坦克等级成长!$B$35:$G$35,0)),0)</f>
        <v>2296</v>
      </c>
      <c r="DD46" s="33">
        <f>ROUND(坦克等级成长!$F143*VLOOKUP($CT$2,坦克等级成长!$B$36:$G$42,MATCH(DD$3,坦克等级成长!$B$35:$G$35,0)),0)</f>
        <v>521</v>
      </c>
      <c r="DE46" s="33">
        <f>ROUND(坦克等级成长!$F143*VLOOKUP($CT$2,坦克等级成长!$B$36:$G$42,MATCH(DE$3,坦克等级成长!$B$35:$G$35,0)),0)</f>
        <v>1025</v>
      </c>
      <c r="DF46" s="33">
        <f t="shared" si="11"/>
        <v>1025</v>
      </c>
      <c r="DG46" s="33">
        <v>830</v>
      </c>
      <c r="DH46" s="33">
        <f>ROUND(坦克等级成长!$F143*VLOOKUP($CT$2,坦克等级成长!$B$36:$G$42,MATCH(DH$3,坦克等级成长!$B$35:$G$35,0)),0)</f>
        <v>861</v>
      </c>
      <c r="DI46" s="33">
        <f>ROUND(坦克等级成长!$F143*VLOOKUP($CT$2,坦克等级成长!$B$36:$G$42,MATCH(DI$3,坦克等级成长!$B$35:$G$35,0)),0)</f>
        <v>230</v>
      </c>
      <c r="DJ46" s="191">
        <v>11</v>
      </c>
      <c r="DK46" s="33">
        <f>ROUND(坦克等级成长!$H143*VLOOKUP($CT$2,坦克等级成长!$B$36:$G$42,MATCH(DK$3,坦克等级成长!$B$35:$G$35,0)),0)</f>
        <v>2328</v>
      </c>
      <c r="DL46" s="33">
        <f>ROUND(坦克等级成长!$H143*VLOOKUP($CT$2,坦克等级成长!$B$36:$G$42,MATCH(DL$3,坦克等级成长!$B$35:$G$35,0)),0)</f>
        <v>529</v>
      </c>
      <c r="DM46" s="33">
        <f>ROUND(坦克等级成长!$H143*VLOOKUP($CT$2,坦克等级成长!$B$36:$G$42,MATCH(DM$3,坦克等级成长!$B$35:$G$35,0)),0)</f>
        <v>1039</v>
      </c>
      <c r="DN46" s="33">
        <f t="shared" si="25"/>
        <v>1039</v>
      </c>
      <c r="DO46" s="33">
        <v>830</v>
      </c>
      <c r="DP46" s="33">
        <f>ROUND(坦克等级成长!$H143*VLOOKUP($CT$2,坦克等级成长!$B$36:$G$42,MATCH(DP$3,坦克等级成长!$B$35:$G$35,0)),0)</f>
        <v>873</v>
      </c>
      <c r="DQ46" s="33">
        <f>ROUND(坦克等级成长!$H143*VLOOKUP($CT$2,坦克等级成长!$B$36:$G$42,MATCH(DQ$3,坦克等级成长!$B$35:$G$35,0)),0)</f>
        <v>233</v>
      </c>
      <c r="DR46" s="191">
        <v>11</v>
      </c>
      <c r="DS46" s="33">
        <f>ROUND(坦克等级成长!$D143*VLOOKUP($DR$2,坦克等级成长!$B$36:$G$42,MATCH(DS$3,坦克等级成长!$B$35:$G$35,0)),0)</f>
        <v>2576</v>
      </c>
      <c r="DT46" s="33">
        <f>ROUND(坦克等级成长!$D143*VLOOKUP($DR$2,坦克等级成长!$B$36:$G$42,MATCH(DT$3,坦克等级成长!$B$35:$G$35,0)),0)</f>
        <v>879</v>
      </c>
      <c r="DU46" s="33">
        <f>ROUND(坦克等级成长!$D143*VLOOKUP($DR$2,坦克等级成长!$B$36:$G$42,MATCH(DU$3,坦克等级成长!$B$35:$G$35,0)),0)</f>
        <v>809</v>
      </c>
      <c r="DV46" s="33">
        <f t="shared" si="33"/>
        <v>809</v>
      </c>
      <c r="DW46" s="33">
        <v>690.4</v>
      </c>
      <c r="DX46" s="33">
        <f>ROUND(坦克等级成长!$D143*VLOOKUP($DR$2,坦克等级成长!$B$36:$G$42,MATCH(DX$3,坦克等级成长!$B$35:$G$35,0)),0)</f>
        <v>1189</v>
      </c>
      <c r="DY46" s="33">
        <f>ROUND(坦克等级成长!$D143*VLOOKUP($DR$2,坦克等级成长!$B$36:$G$42,MATCH(DY$3,坦克等级成长!$B$35:$G$35,0)),0)</f>
        <v>258</v>
      </c>
      <c r="DZ46" s="198">
        <v>11</v>
      </c>
      <c r="EA46" s="33">
        <f>ROUND(坦克等级成长!$F143*VLOOKUP($DR$2,坦克等级成长!$B$36:$G$42,MATCH(EA$3,坦克等级成长!$B$35:$G$35,0)),0)</f>
        <v>2612</v>
      </c>
      <c r="EB46" s="33">
        <f>ROUND(坦克等级成长!$F143*VLOOKUP($DR$2,坦克等级成长!$B$36:$G$42,MATCH(EB$3,坦克等级成长!$B$35:$G$35,0)),0)</f>
        <v>891</v>
      </c>
      <c r="EC46" s="33">
        <f>ROUND(坦克等级成长!$F143*VLOOKUP($DR$2,坦克等级成长!$B$36:$G$42,MATCH(EC$3,坦克等级成长!$B$35:$G$35,0)),0)</f>
        <v>820</v>
      </c>
      <c r="ED46" s="33">
        <f t="shared" si="12"/>
        <v>820</v>
      </c>
      <c r="EE46" s="33">
        <v>709</v>
      </c>
      <c r="EF46" s="33">
        <f>ROUND(坦克等级成长!$F143*VLOOKUP($DR$2,坦克等级成长!$B$36:$G$42,MATCH(EF$3,坦克等级成长!$B$35:$G$35,0)),0)</f>
        <v>1205</v>
      </c>
      <c r="EG46" s="33">
        <f>ROUND(坦克等级成长!$F143*VLOOKUP($DR$2,坦克等级成长!$B$36:$G$42,MATCH(EG$3,坦克等级成长!$B$35:$G$35,0)),0)</f>
        <v>261</v>
      </c>
      <c r="EH46" s="191">
        <v>11</v>
      </c>
      <c r="EI46" s="33">
        <f>ROUND(坦克等级成长!$H143*VLOOKUP($DR$2,坦克等级成长!$B$36:$G$42,MATCH(EI$3,坦克等级成长!$B$35:$G$35,0)),0)</f>
        <v>2649</v>
      </c>
      <c r="EJ46" s="33">
        <f>ROUND(坦克等级成长!$H143*VLOOKUP($DR$2,坦克等级成长!$B$36:$G$42,MATCH(EJ$3,坦克等级成长!$B$35:$G$35,0)),0)</f>
        <v>904</v>
      </c>
      <c r="EK46" s="33">
        <f>ROUND(坦克等级成长!$H143*VLOOKUP($DR$2,坦克等级成长!$B$36:$G$42,MATCH(EK$3,坦克等级成长!$B$35:$G$35,0)),0)</f>
        <v>831</v>
      </c>
      <c r="EL46" s="33">
        <f t="shared" si="26"/>
        <v>831</v>
      </c>
      <c r="EM46" s="33">
        <v>709</v>
      </c>
      <c r="EN46" s="33">
        <f>ROUND(坦克等级成长!$H143*VLOOKUP($DR$2,坦克等级成长!$B$36:$G$42,MATCH(EN$3,坦克等级成长!$B$35:$G$35,0)),0)</f>
        <v>1222</v>
      </c>
      <c r="EO46" s="33">
        <f>ROUND(坦克等级成长!$H143*VLOOKUP($DR$2,坦克等级成长!$B$36:$G$42,MATCH(EO$3,坦克等级成长!$B$35:$G$35,0)),0)</f>
        <v>265</v>
      </c>
      <c r="EP46" s="191">
        <v>11</v>
      </c>
      <c r="EQ46" s="33">
        <f>ROUND(坦克等级成长!$D143*VLOOKUP($EP$2,坦克等级成长!$B$36:$G$42,MATCH(EQ$3,坦克等级成长!$B$35:$G$35,0)),0)</f>
        <v>2386</v>
      </c>
      <c r="ER46" s="33">
        <f>ROUND(坦克等级成长!$D143*VLOOKUP($EP$2,坦克等级成长!$B$36:$G$42,MATCH(ER$3,坦克等级成长!$B$35:$G$35,0)),0)</f>
        <v>273</v>
      </c>
      <c r="ES46" s="33">
        <f>ROUND(坦克等级成长!$D143*VLOOKUP($EP$2,坦克等级成长!$B$36:$G$42,MATCH(ES$3,坦克等级成长!$B$35:$G$35,0)),0)</f>
        <v>930</v>
      </c>
      <c r="ET46" s="33">
        <f t="shared" si="34"/>
        <v>930</v>
      </c>
      <c r="EU46" s="33">
        <v>744</v>
      </c>
      <c r="EV46" s="33">
        <f>ROUND(坦克等级成长!$D143*VLOOKUP($EP$2,坦克等级成长!$B$36:$G$42,MATCH(EV$3,坦克等级成长!$B$35:$G$35,0)),0)</f>
        <v>1019</v>
      </c>
      <c r="EW46" s="33">
        <f>ROUND(坦克等级成长!$D143*VLOOKUP($EP$2,坦克等级成长!$B$36:$G$42,MATCH(EW$3,坦克等级成长!$B$35:$G$35,0)),0)</f>
        <v>239</v>
      </c>
      <c r="EX46" s="198">
        <v>11</v>
      </c>
      <c r="EY46" s="33">
        <f>ROUND(坦克等级成长!$F143*VLOOKUP($EP$2,坦克等级成长!$B$36:$G$42,MATCH(EY$3,坦克等级成长!$B$35:$G$35,0)),0)</f>
        <v>2419</v>
      </c>
      <c r="EZ46" s="33">
        <f>ROUND(坦克等级成长!$F143*VLOOKUP($EP$2,坦克等级成长!$B$36:$G$42,MATCH(EZ$3,坦克等级成长!$B$35:$G$35,0)),0)</f>
        <v>277</v>
      </c>
      <c r="FA46" s="33">
        <f>ROUND(坦克等级成长!$F143*VLOOKUP($EP$2,坦克等级成长!$B$36:$G$42,MATCH(FA$3,坦克等级成长!$B$35:$G$35,0)),0)</f>
        <v>943</v>
      </c>
      <c r="FB46" s="33">
        <f t="shared" si="13"/>
        <v>943</v>
      </c>
      <c r="FC46" s="33">
        <v>764</v>
      </c>
      <c r="FD46" s="33">
        <f>ROUND(坦克等级成长!$F143*VLOOKUP($EP$2,坦克等级成长!$B$36:$G$42,MATCH(FD$3,坦克等级成长!$B$35:$G$35,0)),0)</f>
        <v>1033</v>
      </c>
      <c r="FE46" s="33">
        <f>ROUND(坦克等级成长!$F143*VLOOKUP($EP$2,坦克等级成长!$B$36:$G$42,MATCH(FE$3,坦克等级成长!$B$35:$G$35,0)),0)</f>
        <v>242</v>
      </c>
      <c r="FF46" s="191">
        <v>11</v>
      </c>
      <c r="FG46" s="33">
        <f>ROUND(坦克等级成长!$H143*VLOOKUP($EP$2,坦克等级成长!$B$36:$G$42,MATCH(FG$3,坦克等级成长!$B$35:$G$35,0)),0)</f>
        <v>2453</v>
      </c>
      <c r="FH46" s="33">
        <f>ROUND(坦克等级成长!$H143*VLOOKUP($EP$2,坦克等级成长!$B$36:$G$42,MATCH(FH$3,坦克等级成长!$B$35:$G$35,0)),0)</f>
        <v>281</v>
      </c>
      <c r="FI46" s="33">
        <f>ROUND(坦克等级成长!$H143*VLOOKUP($EP$2,坦克等级成长!$B$36:$G$42,MATCH(FI$3,坦克等级成长!$B$35:$G$35,0)),0)</f>
        <v>956</v>
      </c>
      <c r="FJ46" s="33">
        <f t="shared" si="27"/>
        <v>956</v>
      </c>
      <c r="FK46" s="33">
        <v>764</v>
      </c>
      <c r="FL46" s="33">
        <f>ROUND(坦克等级成长!$H143*VLOOKUP($EP$2,坦克等级成长!$B$36:$G$42,MATCH(FL$3,坦克等级成长!$B$35:$G$35,0)),0)</f>
        <v>1048</v>
      </c>
      <c r="FM46" s="33">
        <f>ROUND(坦克等级成长!$H143*VLOOKUP($EP$2,坦克等级成长!$B$36:$G$42,MATCH(FM$3,坦克等级成长!$B$35:$G$35,0)),0)</f>
        <v>245</v>
      </c>
    </row>
    <row r="47" spans="1:169" ht="14.25" x14ac:dyDescent="0.3">
      <c r="A47" s="188">
        <v>4</v>
      </c>
      <c r="B47" s="192"/>
      <c r="C47" s="188"/>
      <c r="D47" s="188"/>
      <c r="E47" s="188"/>
      <c r="F47" s="188"/>
      <c r="G47" s="188"/>
      <c r="H47" s="188"/>
      <c r="I47" s="199"/>
      <c r="J47" s="198">
        <v>12</v>
      </c>
      <c r="K47" s="33">
        <f>ROUND(坦克等级成长!$F144*VLOOKUP($B$2,坦克等级成长!$B$36:$G$42,MATCH(K$3,坦克等级成长!$B$35:$G$35,0)),0)</f>
        <v>2376</v>
      </c>
      <c r="L47" s="33">
        <f>ROUND(坦克等级成长!$F144*VLOOKUP($B$2,坦克等级成长!$B$36:$G$42,MATCH(L$3,坦克等级成长!$B$35:$G$35,0)),0)</f>
        <v>258</v>
      </c>
      <c r="M47" s="33">
        <f>ROUND(坦克等级成长!$F144*VLOOKUP($B$2,坦克等级成长!$B$36:$G$42,MATCH(M$3,坦克等级成长!$B$35:$G$35,0)),0)</f>
        <v>891</v>
      </c>
      <c r="N47" s="33">
        <f t="shared" si="7"/>
        <v>891</v>
      </c>
      <c r="O47" s="33">
        <v>674</v>
      </c>
      <c r="P47" s="33">
        <f>ROUND(坦克等级成长!$F144*VLOOKUP($B$2,坦克等级成长!$B$36:$G$42,MATCH(P$3,坦克等级成长!$B$35:$G$35,0)),0)</f>
        <v>891</v>
      </c>
      <c r="Q47" s="33">
        <f>ROUND(坦克等级成长!$F144*VLOOKUP($B$2,坦克等级成长!$B$36:$G$42,MATCH(Q$3,坦克等级成长!$B$35:$G$35,0)),0)</f>
        <v>238</v>
      </c>
      <c r="R47" s="191">
        <v>12</v>
      </c>
      <c r="S47" s="33">
        <f>ROUND(坦克等级成长!$H144*VLOOKUP($B$2,坦克等级成长!$B$36:$G$42,MATCH(S$3,坦克等级成长!$B$35:$G$35,0)),0)</f>
        <v>2408</v>
      </c>
      <c r="T47" s="33">
        <f>ROUND(坦克等级成长!$H144*VLOOKUP($B$2,坦克等级成长!$B$36:$G$42,MATCH(T$3,坦克等级成长!$B$35:$G$35,0)),0)</f>
        <v>262</v>
      </c>
      <c r="U47" s="33">
        <f>ROUND(坦克等级成长!$H144*VLOOKUP($B$2,坦克等级成长!$B$36:$G$42,MATCH(U$3,坦克等级成长!$B$35:$G$35,0)),0)</f>
        <v>903</v>
      </c>
      <c r="V47" s="33">
        <f t="shared" si="21"/>
        <v>903</v>
      </c>
      <c r="W47" s="33">
        <v>674</v>
      </c>
      <c r="X47" s="33">
        <f>ROUND(坦克等级成长!$H144*VLOOKUP($B$2,坦克等级成长!$B$36:$G$42,MATCH(X$3,坦克等级成长!$B$35:$G$35,0)),0)</f>
        <v>903</v>
      </c>
      <c r="Y47" s="33">
        <f>ROUND(坦克等级成长!$H144*VLOOKUP($B$2,坦克等级成长!$B$36:$G$42,MATCH(Y$3,坦克等级成长!$B$35:$G$35,0)),0)</f>
        <v>241</v>
      </c>
      <c r="Z47" s="192"/>
      <c r="AA47" s="188"/>
      <c r="AB47" s="188"/>
      <c r="AC47" s="188"/>
      <c r="AD47" s="188"/>
      <c r="AE47" s="188"/>
      <c r="AF47" s="188"/>
      <c r="AG47" s="199"/>
      <c r="AH47" s="198">
        <v>12</v>
      </c>
      <c r="AI47" s="33">
        <f>ROUND(坦克等级成长!$F144*VLOOKUP($Z$2,坦克等级成长!$B$36:$G$42,MATCH(AI$3,坦克等级成长!$B$35:$G$35,0)),0)</f>
        <v>2376</v>
      </c>
      <c r="AJ47" s="33">
        <f>ROUND(坦克等级成长!$F144*VLOOKUP($Z$2,坦克等级成长!$B$36:$G$42,MATCH(AJ$3,坦克等级成长!$B$35:$G$35,0)),0)</f>
        <v>140</v>
      </c>
      <c r="AK47" s="33">
        <f>ROUND(坦克等级成长!$F144*VLOOKUP($Z$2,坦克等级成长!$B$36:$G$42,MATCH(AK$3,坦克等级成长!$B$35:$G$35,0)),0)</f>
        <v>976</v>
      </c>
      <c r="AL47" s="33">
        <f t="shared" si="8"/>
        <v>976</v>
      </c>
      <c r="AM47" s="33">
        <v>739</v>
      </c>
      <c r="AN47" s="33">
        <f>ROUND(坦克等级成长!$F144*VLOOKUP($Z$2,坦克等级成长!$B$36:$G$42,MATCH(AN$3,坦克等级成长!$B$35:$G$35,0)),0)</f>
        <v>891</v>
      </c>
      <c r="AO47" s="33">
        <f>ROUND(坦克等级成长!$F144*VLOOKUP($Z$2,坦克等级成长!$B$36:$G$42,MATCH(AO$3,坦克等级成长!$B$35:$G$35,0)),0)</f>
        <v>238</v>
      </c>
      <c r="AP47" s="191">
        <v>12</v>
      </c>
      <c r="AQ47" s="33">
        <f>ROUND(坦克等级成长!$H144*VLOOKUP($Z$2,坦克等级成长!$B$36:$G$42,MATCH(AQ$3,坦克等级成长!$B$35:$G$35,0)),0)</f>
        <v>2408</v>
      </c>
      <c r="AR47" s="33">
        <f>ROUND(坦克等级成长!$H144*VLOOKUP($Z$2,坦克等级成长!$B$36:$G$42,MATCH(AR$3,坦克等级成长!$B$35:$G$35,0)),0)</f>
        <v>142</v>
      </c>
      <c r="AS47" s="33">
        <f>ROUND(坦克等级成长!$H144*VLOOKUP($Z$2,坦克等级成长!$B$36:$G$42,MATCH(AS$3,坦克等级成长!$B$35:$G$35,0)),0)</f>
        <v>989</v>
      </c>
      <c r="AT47" s="33">
        <f t="shared" si="22"/>
        <v>989</v>
      </c>
      <c r="AU47" s="33">
        <v>739</v>
      </c>
      <c r="AV47" s="33">
        <f>ROUND(坦克等级成长!$H144*VLOOKUP($Z$2,坦克等级成长!$B$36:$G$42,MATCH(AV$3,坦克等级成长!$B$35:$G$35,0)),0)</f>
        <v>903</v>
      </c>
      <c r="AW47" s="33">
        <f>ROUND(坦克等级成长!$H144*VLOOKUP($Z$2,坦克等级成长!$B$36:$G$42,MATCH(AW$3,坦克等级成长!$B$35:$G$35,0)),0)</f>
        <v>241</v>
      </c>
      <c r="AX47" s="192"/>
      <c r="AY47" s="188"/>
      <c r="AZ47" s="188"/>
      <c r="BA47" s="188"/>
      <c r="BB47" s="188"/>
      <c r="BC47" s="188"/>
      <c r="BD47" s="188"/>
      <c r="BE47" s="199"/>
      <c r="BF47" s="198">
        <v>12</v>
      </c>
      <c r="BG47" s="33">
        <f>ROUND(坦克等级成长!$F144*VLOOKUP($AX$2,坦克等级成长!$B$36:$G$42,MATCH(BG$3,坦克等级成长!$B$35:$G$35,0)),0)</f>
        <v>2376</v>
      </c>
      <c r="BH47" s="33">
        <f>ROUND(坦克等级成长!$F144*VLOOKUP($AX$2,坦克等级成长!$B$36:$G$42,MATCH(BH$3,坦克等级成长!$B$35:$G$35,0)),0)</f>
        <v>258</v>
      </c>
      <c r="BI47" s="33">
        <f>ROUND(坦克等级成长!$F144*VLOOKUP($AX$2,坦克等级成长!$B$36:$G$42,MATCH(BI$3,坦克等级成长!$B$35:$G$35,0)),0)</f>
        <v>891</v>
      </c>
      <c r="BJ47" s="33">
        <f t="shared" si="9"/>
        <v>891</v>
      </c>
      <c r="BK47" s="33">
        <v>674</v>
      </c>
      <c r="BL47" s="33">
        <f>ROUND(坦克等级成长!$F144*VLOOKUP($AX$2,坦克等级成长!$B$36:$G$42,MATCH(BL$3,坦克等级成长!$B$35:$G$35,0)),0)</f>
        <v>891</v>
      </c>
      <c r="BM47" s="33">
        <f>ROUND(坦克等级成长!$F144*VLOOKUP($AX$2,坦克等级成长!$B$36:$G$42,MATCH(BM$3,坦克等级成长!$B$35:$G$35,0)),0)</f>
        <v>238</v>
      </c>
      <c r="BN47" s="191">
        <v>12</v>
      </c>
      <c r="BO47" s="33">
        <f>ROUND(坦克等级成长!$H144*VLOOKUP($AX$2,坦克等级成长!$B$36:$G$42,MATCH(BO$3,坦克等级成长!$B$35:$G$35,0)),0)</f>
        <v>2408</v>
      </c>
      <c r="BP47" s="33">
        <f>ROUND(坦克等级成长!$H144*VLOOKUP($AX$2,坦克等级成长!$B$36:$G$42,MATCH(BP$3,坦克等级成长!$B$35:$G$35,0)),0)</f>
        <v>262</v>
      </c>
      <c r="BQ47" s="33">
        <f>ROUND(坦克等级成长!$H144*VLOOKUP($AX$2,坦克等级成长!$B$36:$G$42,MATCH(BQ$3,坦克等级成长!$B$35:$G$35,0)),0)</f>
        <v>903</v>
      </c>
      <c r="BR47" s="33">
        <f t="shared" si="23"/>
        <v>903</v>
      </c>
      <c r="BS47" s="33">
        <v>674</v>
      </c>
      <c r="BT47" s="33">
        <f>ROUND(坦克等级成长!$H144*VLOOKUP($AX$2,坦克等级成长!$B$36:$G$42,MATCH(BT$3,坦克等级成长!$B$35:$G$35,0)),0)</f>
        <v>903</v>
      </c>
      <c r="BU47" s="33">
        <f>ROUND(坦克等级成长!$H144*VLOOKUP($AX$2,坦克等级成长!$B$36:$G$42,MATCH(BU$3,坦克等级成长!$B$35:$G$35,0)),0)</f>
        <v>241</v>
      </c>
      <c r="BV47" s="192"/>
      <c r="BW47" s="188"/>
      <c r="BX47" s="188"/>
      <c r="BY47" s="188"/>
      <c r="BZ47" s="188"/>
      <c r="CA47" s="188"/>
      <c r="CB47" s="188"/>
      <c r="CC47" s="199"/>
      <c r="CD47" s="198">
        <v>12</v>
      </c>
      <c r="CE47" s="33">
        <f>ROUND(坦克等级成长!$F144*VLOOKUP($BV$2,坦克等级成长!$B$36:$G$42,MATCH(CE$3,坦克等级成长!$B$35:$G$35,0)),0)</f>
        <v>2504</v>
      </c>
      <c r="CF47" s="33">
        <f>ROUND(坦克等级成长!$F144*VLOOKUP($BV$2,坦克等级成长!$B$36:$G$42,MATCH(CF$3,坦克等级成长!$B$35:$G$35,0)),0)</f>
        <v>236</v>
      </c>
      <c r="CG47" s="33">
        <f>ROUND(坦克等级成长!$F144*VLOOKUP($BV$2,坦克等级成长!$B$36:$G$42,MATCH(CG$3,坦克等级成长!$B$35:$G$35,0)),0)</f>
        <v>849</v>
      </c>
      <c r="CH47" s="33">
        <f t="shared" si="10"/>
        <v>849</v>
      </c>
      <c r="CI47" s="33">
        <v>688</v>
      </c>
      <c r="CJ47" s="33">
        <f>ROUND(坦克等级成长!$F144*VLOOKUP($BV$2,坦克等级成长!$B$36:$G$42,MATCH(CJ$3,坦克等级成长!$B$35:$G$35,0)),0)</f>
        <v>1069</v>
      </c>
      <c r="CK47" s="33">
        <f>ROUND(坦克等级成长!$F144*VLOOKUP($BV$2,坦克等级成长!$B$36:$G$42,MATCH(CK$3,坦克等级成长!$B$35:$G$35,0)),0)</f>
        <v>250</v>
      </c>
      <c r="CL47" s="191">
        <v>12</v>
      </c>
      <c r="CM47" s="33">
        <f>ROUND(坦克等级成长!$H144*VLOOKUP($BV$2,坦克等级成长!$B$36:$G$42,MATCH(CM$3,坦克等级成长!$B$35:$G$35,0)),0)</f>
        <v>2537</v>
      </c>
      <c r="CN47" s="33">
        <f>ROUND(坦克等级成长!$H144*VLOOKUP($BV$2,坦克等级成长!$B$36:$G$42,MATCH(CN$3,坦克等级成长!$B$35:$G$35,0)),0)</f>
        <v>239</v>
      </c>
      <c r="CO47" s="33">
        <f>ROUND(坦克等级成长!$H144*VLOOKUP($BV$2,坦克等级成长!$B$36:$G$42,MATCH(CO$3,坦克等级成长!$B$35:$G$35,0)),0)</f>
        <v>860</v>
      </c>
      <c r="CP47" s="33">
        <f t="shared" si="24"/>
        <v>860</v>
      </c>
      <c r="CQ47" s="33">
        <v>688</v>
      </c>
      <c r="CR47" s="33">
        <f>ROUND(坦克等级成长!$H144*VLOOKUP($BV$2,坦克等级成长!$B$36:$G$42,MATCH(CR$3,坦克等级成长!$B$35:$G$35,0)),0)</f>
        <v>1084</v>
      </c>
      <c r="CS47" s="33">
        <f>ROUND(坦克等级成长!$H144*VLOOKUP($BV$2,坦克等级成长!$B$36:$G$42,MATCH(CS$3,坦克等级成长!$B$35:$G$35,0)),0)</f>
        <v>254</v>
      </c>
      <c r="CT47" s="192"/>
      <c r="CU47" s="188"/>
      <c r="CV47" s="188"/>
      <c r="CW47" s="188"/>
      <c r="CX47" s="188"/>
      <c r="CY47" s="188"/>
      <c r="CZ47" s="188"/>
      <c r="DA47" s="199"/>
      <c r="DB47" s="198">
        <v>12</v>
      </c>
      <c r="DC47" s="33">
        <f>ROUND(坦克等级成长!$F144*VLOOKUP($CT$2,坦克等级成长!$B$36:$G$42,MATCH(DC$3,坦克等级成长!$B$35:$G$35,0)),0)</f>
        <v>2376</v>
      </c>
      <c r="DD47" s="33">
        <f>ROUND(坦克等级成长!$F144*VLOOKUP($CT$2,坦克等级成长!$B$36:$G$42,MATCH(DD$3,坦克等级成长!$B$35:$G$35,0)),0)</f>
        <v>540</v>
      </c>
      <c r="DE47" s="33">
        <f>ROUND(坦克等级成长!$F144*VLOOKUP($CT$2,坦克等级成长!$B$36:$G$42,MATCH(DE$3,坦克等级成长!$B$35:$G$35,0)),0)</f>
        <v>1061</v>
      </c>
      <c r="DF47" s="33">
        <f t="shared" si="11"/>
        <v>1061</v>
      </c>
      <c r="DG47" s="33">
        <v>860</v>
      </c>
      <c r="DH47" s="33">
        <f>ROUND(坦克等级成长!$F144*VLOOKUP($CT$2,坦克等级成长!$B$36:$G$42,MATCH(DH$3,坦克等级成长!$B$35:$G$35,0)),0)</f>
        <v>891</v>
      </c>
      <c r="DI47" s="33">
        <f>ROUND(坦克等级成长!$F144*VLOOKUP($CT$2,坦克等级成长!$B$36:$G$42,MATCH(DI$3,坦克等级成长!$B$35:$G$35,0)),0)</f>
        <v>238</v>
      </c>
      <c r="DJ47" s="191">
        <v>12</v>
      </c>
      <c r="DK47" s="33">
        <f>ROUND(坦克等级成长!$H144*VLOOKUP($CT$2,坦克等级成长!$B$36:$G$42,MATCH(DK$3,坦克等级成长!$B$35:$G$35,0)),0)</f>
        <v>2408</v>
      </c>
      <c r="DL47" s="33">
        <f>ROUND(坦克等级成长!$H144*VLOOKUP($CT$2,坦克等级成长!$B$36:$G$42,MATCH(DL$3,坦克等级成长!$B$35:$G$35,0)),0)</f>
        <v>547</v>
      </c>
      <c r="DM47" s="33">
        <f>ROUND(坦克等级成长!$H144*VLOOKUP($CT$2,坦克等级成长!$B$36:$G$42,MATCH(DM$3,坦克等级成长!$B$35:$G$35,0)),0)</f>
        <v>1075</v>
      </c>
      <c r="DN47" s="33">
        <f t="shared" si="25"/>
        <v>1075</v>
      </c>
      <c r="DO47" s="33">
        <v>860</v>
      </c>
      <c r="DP47" s="33">
        <f>ROUND(坦克等级成长!$H144*VLOOKUP($CT$2,坦克等级成长!$B$36:$G$42,MATCH(DP$3,坦克等级成长!$B$35:$G$35,0)),0)</f>
        <v>903</v>
      </c>
      <c r="DQ47" s="33">
        <f>ROUND(坦克等级成长!$H144*VLOOKUP($CT$2,坦克等级成长!$B$36:$G$42,MATCH(DQ$3,坦克等级成长!$B$35:$G$35,0)),0)</f>
        <v>241</v>
      </c>
      <c r="DR47" s="192"/>
      <c r="DS47" s="188"/>
      <c r="DT47" s="188"/>
      <c r="DU47" s="188"/>
      <c r="DV47" s="188"/>
      <c r="DW47" s="188"/>
      <c r="DX47" s="188"/>
      <c r="DY47" s="199"/>
      <c r="DZ47" s="198">
        <v>12</v>
      </c>
      <c r="EA47" s="33">
        <f>ROUND(坦克等级成长!$F144*VLOOKUP($DR$2,坦克等级成长!$B$36:$G$42,MATCH(EA$3,坦克等级成长!$B$35:$G$35,0)),0)</f>
        <v>2703</v>
      </c>
      <c r="EB47" s="33">
        <f>ROUND(坦克等级成长!$F144*VLOOKUP($DR$2,坦克等级成长!$B$36:$G$42,MATCH(EB$3,坦克等级成长!$B$35:$G$35,0)),0)</f>
        <v>922</v>
      </c>
      <c r="EC47" s="33">
        <f>ROUND(坦克等级成长!$F144*VLOOKUP($DR$2,坦克等级成长!$B$36:$G$42,MATCH(EC$3,坦克等级成长!$B$35:$G$35,0)),0)</f>
        <v>849</v>
      </c>
      <c r="ED47" s="33">
        <f t="shared" si="12"/>
        <v>849</v>
      </c>
      <c r="EE47" s="33">
        <v>734</v>
      </c>
      <c r="EF47" s="33">
        <f>ROUND(坦克等级成长!$F144*VLOOKUP($DR$2,坦克等级成长!$B$36:$G$42,MATCH(EF$3,坦克等级成长!$B$35:$G$35,0)),0)</f>
        <v>1247</v>
      </c>
      <c r="EG47" s="33">
        <f>ROUND(坦克等级成长!$F144*VLOOKUP($DR$2,坦克等级成长!$B$36:$G$42,MATCH(EG$3,坦克等级成长!$B$35:$G$35,0)),0)</f>
        <v>270</v>
      </c>
      <c r="EH47" s="191">
        <v>12</v>
      </c>
      <c r="EI47" s="33">
        <f>ROUND(坦克等级成长!$H144*VLOOKUP($DR$2,坦克等级成长!$B$36:$G$42,MATCH(EI$3,坦克等级成长!$B$35:$G$35,0)),0)</f>
        <v>2740</v>
      </c>
      <c r="EJ47" s="33">
        <f>ROUND(坦克等级成长!$H144*VLOOKUP($DR$2,坦克等级成长!$B$36:$G$42,MATCH(EJ$3,坦克等级成长!$B$35:$G$35,0)),0)</f>
        <v>935</v>
      </c>
      <c r="EK47" s="33">
        <f>ROUND(坦克等级成长!$H144*VLOOKUP($DR$2,坦克等级成长!$B$36:$G$42,MATCH(EK$3,坦克等级成长!$B$35:$G$35,0)),0)</f>
        <v>860</v>
      </c>
      <c r="EL47" s="33">
        <f t="shared" si="26"/>
        <v>860</v>
      </c>
      <c r="EM47" s="33">
        <v>734</v>
      </c>
      <c r="EN47" s="33">
        <f>ROUND(坦克等级成长!$H144*VLOOKUP($DR$2,坦克等级成长!$B$36:$G$42,MATCH(EN$3,坦克等级成长!$B$35:$G$35,0)),0)</f>
        <v>1264</v>
      </c>
      <c r="EO47" s="33">
        <f>ROUND(坦克等级成长!$H144*VLOOKUP($DR$2,坦克等级成长!$B$36:$G$42,MATCH(EO$3,坦克等级成长!$B$35:$G$35,0)),0)</f>
        <v>274</v>
      </c>
      <c r="EP47" s="192"/>
      <c r="EQ47" s="188"/>
      <c r="ER47" s="188"/>
      <c r="ES47" s="188"/>
      <c r="ET47" s="188"/>
      <c r="EU47" s="188"/>
      <c r="EV47" s="188"/>
      <c r="EW47" s="199"/>
      <c r="EX47" s="198">
        <v>12</v>
      </c>
      <c r="EY47" s="33">
        <f>ROUND(坦克等级成长!$F144*VLOOKUP($EP$2,坦克等级成长!$B$36:$G$42,MATCH(EY$3,坦克等级成长!$B$35:$G$35,0)),0)</f>
        <v>2504</v>
      </c>
      <c r="EZ47" s="33">
        <f>ROUND(坦克等级成长!$F144*VLOOKUP($EP$2,坦克等级成长!$B$36:$G$42,MATCH(EZ$3,坦克等级成长!$B$35:$G$35,0)),0)</f>
        <v>287</v>
      </c>
      <c r="FA47" s="33">
        <f>ROUND(坦克等级成长!$F144*VLOOKUP($EP$2,坦克等级成长!$B$36:$G$42,MATCH(FA$3,坦克等级成长!$B$35:$G$35,0)),0)</f>
        <v>976</v>
      </c>
      <c r="FB47" s="33">
        <f t="shared" si="13"/>
        <v>976</v>
      </c>
      <c r="FC47" s="33">
        <v>791</v>
      </c>
      <c r="FD47" s="33">
        <f>ROUND(坦克等级成长!$F144*VLOOKUP($EP$2,坦克等级成长!$B$36:$G$42,MATCH(FD$3,坦克等级成长!$B$35:$G$35,0)),0)</f>
        <v>1069</v>
      </c>
      <c r="FE47" s="33">
        <f>ROUND(坦克等级成长!$F144*VLOOKUP($EP$2,坦克等级成长!$B$36:$G$42,MATCH(FE$3,坦克等级成长!$B$35:$G$35,0)),0)</f>
        <v>250</v>
      </c>
      <c r="FF47" s="191">
        <v>12</v>
      </c>
      <c r="FG47" s="33">
        <f>ROUND(坦克等级成长!$H144*VLOOKUP($EP$2,坦克等级成长!$B$36:$G$42,MATCH(FG$3,坦克等级成长!$B$35:$G$35,0)),0)</f>
        <v>2537</v>
      </c>
      <c r="FH47" s="33">
        <f>ROUND(坦克等级成长!$H144*VLOOKUP($EP$2,坦克等级成长!$B$36:$G$42,MATCH(FH$3,坦克等级成长!$B$35:$G$35,0)),0)</f>
        <v>291</v>
      </c>
      <c r="FI47" s="33">
        <f>ROUND(坦克等级成长!$H144*VLOOKUP($EP$2,坦克等级成长!$B$36:$G$42,MATCH(FI$3,坦克等级成长!$B$35:$G$35,0)),0)</f>
        <v>989</v>
      </c>
      <c r="FJ47" s="33">
        <f t="shared" si="27"/>
        <v>989</v>
      </c>
      <c r="FK47" s="33">
        <v>791</v>
      </c>
      <c r="FL47" s="33">
        <f>ROUND(坦克等级成长!$H144*VLOOKUP($EP$2,坦克等级成长!$B$36:$G$42,MATCH(FL$3,坦克等级成长!$B$35:$G$35,0)),0)</f>
        <v>1084</v>
      </c>
      <c r="FM47" s="33">
        <f>ROUND(坦克等级成长!$H144*VLOOKUP($EP$2,坦克等级成长!$B$36:$G$42,MATCH(FM$3,坦克等级成长!$B$35:$G$35,0)),0)</f>
        <v>254</v>
      </c>
    </row>
    <row r="48" spans="1:169" ht="14.25" x14ac:dyDescent="0.3">
      <c r="A48" s="188">
        <v>4</v>
      </c>
      <c r="B48" s="192"/>
      <c r="C48" s="188"/>
      <c r="D48" s="188"/>
      <c r="E48" s="188"/>
      <c r="F48" s="188"/>
      <c r="G48" s="188"/>
      <c r="H48" s="188"/>
      <c r="I48" s="199"/>
      <c r="J48" s="198">
        <v>13</v>
      </c>
      <c r="K48" s="33">
        <f>ROUND(坦克等级成长!$F145*VLOOKUP($B$2,坦克等级成长!$B$36:$G$42,MATCH(K$3,坦克等级成长!$B$35:$G$35,0)),0)</f>
        <v>2464</v>
      </c>
      <c r="L48" s="33">
        <f>ROUND(坦克等级成长!$F145*VLOOKUP($B$2,坦克等级成长!$B$36:$G$42,MATCH(L$3,坦克等级成长!$B$35:$G$35,0)),0)</f>
        <v>268</v>
      </c>
      <c r="M48" s="33">
        <f>ROUND(坦克等级成长!$F145*VLOOKUP($B$2,坦克等级成长!$B$36:$G$42,MATCH(M$3,坦克等级成长!$B$35:$G$35,0)),0)</f>
        <v>924</v>
      </c>
      <c r="N48" s="33">
        <f t="shared" si="7"/>
        <v>924</v>
      </c>
      <c r="O48" s="33">
        <v>701</v>
      </c>
      <c r="P48" s="33">
        <f>ROUND(坦克等级成长!$F145*VLOOKUP($B$2,坦克等级成长!$B$36:$G$42,MATCH(P$3,坦克等级成长!$B$35:$G$35,0)),0)</f>
        <v>924</v>
      </c>
      <c r="Q48" s="33">
        <f>ROUND(坦克等级成长!$F145*VLOOKUP($B$2,坦克等级成长!$B$36:$G$42,MATCH(Q$3,坦克等级成长!$B$35:$G$35,0)),0)</f>
        <v>246</v>
      </c>
      <c r="R48" s="191">
        <v>13</v>
      </c>
      <c r="S48" s="33">
        <f>ROUND(坦克等级成长!$H145*VLOOKUP($B$2,坦克等级成长!$B$36:$G$42,MATCH(S$3,坦克等级成长!$B$35:$G$35,0)),0)</f>
        <v>2504</v>
      </c>
      <c r="T48" s="33">
        <f>ROUND(坦克等级成长!$H145*VLOOKUP($B$2,坦克等级成长!$B$36:$G$42,MATCH(T$3,坦克等级成长!$B$35:$G$35,0)),0)</f>
        <v>272</v>
      </c>
      <c r="U48" s="33">
        <f>ROUND(坦克等级成长!$H145*VLOOKUP($B$2,坦克等级成长!$B$36:$G$42,MATCH(U$3,坦克等级成长!$B$35:$G$35,0)),0)</f>
        <v>939</v>
      </c>
      <c r="V48" s="33">
        <f t="shared" si="21"/>
        <v>939</v>
      </c>
      <c r="W48" s="33">
        <v>701</v>
      </c>
      <c r="X48" s="33">
        <f>ROUND(坦克等级成长!$H145*VLOOKUP($B$2,坦克等级成长!$B$36:$G$42,MATCH(X$3,坦克等级成长!$B$35:$G$35,0)),0)</f>
        <v>939</v>
      </c>
      <c r="Y48" s="33">
        <f>ROUND(坦克等级成长!$H145*VLOOKUP($B$2,坦克等级成长!$B$36:$G$42,MATCH(Y$3,坦克等级成长!$B$35:$G$35,0)),0)</f>
        <v>250</v>
      </c>
      <c r="Z48" s="192"/>
      <c r="AA48" s="188"/>
      <c r="AB48" s="188"/>
      <c r="AC48" s="188"/>
      <c r="AD48" s="188"/>
      <c r="AE48" s="188"/>
      <c r="AF48" s="188"/>
      <c r="AG48" s="199"/>
      <c r="AH48" s="198">
        <v>13</v>
      </c>
      <c r="AI48" s="33">
        <f>ROUND(坦克等级成长!$F145*VLOOKUP($Z$2,坦克等级成长!$B$36:$G$42,MATCH(AI$3,坦克等级成长!$B$35:$G$35,0)),0)</f>
        <v>2464</v>
      </c>
      <c r="AJ48" s="33">
        <f>ROUND(坦克等级成长!$F145*VLOOKUP($Z$2,坦克等级成长!$B$36:$G$42,MATCH(AJ$3,坦克等级成长!$B$35:$G$35,0)),0)</f>
        <v>145</v>
      </c>
      <c r="AK48" s="33">
        <f>ROUND(坦克等级成长!$F145*VLOOKUP($Z$2,坦克等级成长!$B$36:$G$42,MATCH(AK$3,坦克等级成长!$B$35:$G$35,0)),0)</f>
        <v>1012</v>
      </c>
      <c r="AL48" s="33">
        <f t="shared" si="8"/>
        <v>1012</v>
      </c>
      <c r="AM48" s="33">
        <v>768</v>
      </c>
      <c r="AN48" s="33">
        <f>ROUND(坦克等级成长!$F145*VLOOKUP($Z$2,坦克等级成长!$B$36:$G$42,MATCH(AN$3,坦克等级成长!$B$35:$G$35,0)),0)</f>
        <v>924</v>
      </c>
      <c r="AO48" s="33">
        <f>ROUND(坦克等级成长!$F145*VLOOKUP($Z$2,坦克等级成长!$B$36:$G$42,MATCH(AO$3,坦克等级成长!$B$35:$G$35,0)),0)</f>
        <v>246</v>
      </c>
      <c r="AP48" s="191">
        <v>13</v>
      </c>
      <c r="AQ48" s="33">
        <f>ROUND(坦克等级成长!$H145*VLOOKUP($Z$2,坦克等级成长!$B$36:$G$42,MATCH(AQ$3,坦克等级成长!$B$35:$G$35,0)),0)</f>
        <v>2504</v>
      </c>
      <c r="AR48" s="33">
        <f>ROUND(坦克等级成长!$H145*VLOOKUP($Z$2,坦克等级成长!$B$36:$G$42,MATCH(AR$3,坦克等级成长!$B$35:$G$35,0)),0)</f>
        <v>148</v>
      </c>
      <c r="AS48" s="33">
        <f>ROUND(坦克等级成长!$H145*VLOOKUP($Z$2,坦克等级成长!$B$36:$G$42,MATCH(AS$3,坦克等级成长!$B$35:$G$35,0)),0)</f>
        <v>1028</v>
      </c>
      <c r="AT48" s="33">
        <f t="shared" si="22"/>
        <v>1028</v>
      </c>
      <c r="AU48" s="33">
        <v>768</v>
      </c>
      <c r="AV48" s="33">
        <f>ROUND(坦克等级成长!$H145*VLOOKUP($Z$2,坦克等级成长!$B$36:$G$42,MATCH(AV$3,坦克等级成长!$B$35:$G$35,0)),0)</f>
        <v>939</v>
      </c>
      <c r="AW48" s="33">
        <f>ROUND(坦克等级成长!$H145*VLOOKUP($Z$2,坦克等级成长!$B$36:$G$42,MATCH(AW$3,坦克等级成长!$B$35:$G$35,0)),0)</f>
        <v>250</v>
      </c>
      <c r="AX48" s="192"/>
      <c r="AY48" s="188"/>
      <c r="AZ48" s="188"/>
      <c r="BA48" s="188"/>
      <c r="BB48" s="188"/>
      <c r="BC48" s="188"/>
      <c r="BD48" s="188"/>
      <c r="BE48" s="199"/>
      <c r="BF48" s="198">
        <v>13</v>
      </c>
      <c r="BG48" s="33">
        <f>ROUND(坦克等级成长!$F145*VLOOKUP($AX$2,坦克等级成长!$B$36:$G$42,MATCH(BG$3,坦克等级成长!$B$35:$G$35,0)),0)</f>
        <v>2464</v>
      </c>
      <c r="BH48" s="33">
        <f>ROUND(坦克等级成长!$F145*VLOOKUP($AX$2,坦克等级成长!$B$36:$G$42,MATCH(BH$3,坦克等级成长!$B$35:$G$35,0)),0)</f>
        <v>268</v>
      </c>
      <c r="BI48" s="33">
        <f>ROUND(坦克等级成长!$F145*VLOOKUP($AX$2,坦克等级成长!$B$36:$G$42,MATCH(BI$3,坦克等级成长!$B$35:$G$35,0)),0)</f>
        <v>924</v>
      </c>
      <c r="BJ48" s="33">
        <f t="shared" si="9"/>
        <v>924</v>
      </c>
      <c r="BK48" s="33">
        <v>701</v>
      </c>
      <c r="BL48" s="33">
        <f>ROUND(坦克等级成长!$F145*VLOOKUP($AX$2,坦克等级成长!$B$36:$G$42,MATCH(BL$3,坦克等级成长!$B$35:$G$35,0)),0)</f>
        <v>924</v>
      </c>
      <c r="BM48" s="33">
        <f>ROUND(坦克等级成长!$F145*VLOOKUP($AX$2,坦克等级成长!$B$36:$G$42,MATCH(BM$3,坦克等级成长!$B$35:$G$35,0)),0)</f>
        <v>246</v>
      </c>
      <c r="BN48" s="191">
        <v>13</v>
      </c>
      <c r="BO48" s="33">
        <f>ROUND(坦克等级成长!$H145*VLOOKUP($AX$2,坦克等级成长!$B$36:$G$42,MATCH(BO$3,坦克等级成长!$B$35:$G$35,0)),0)</f>
        <v>2504</v>
      </c>
      <c r="BP48" s="33">
        <f>ROUND(坦克等级成长!$H145*VLOOKUP($AX$2,坦克等级成长!$B$36:$G$42,MATCH(BP$3,坦克等级成长!$B$35:$G$35,0)),0)</f>
        <v>272</v>
      </c>
      <c r="BQ48" s="33">
        <f>ROUND(坦克等级成长!$H145*VLOOKUP($AX$2,坦克等级成长!$B$36:$G$42,MATCH(BQ$3,坦克等级成长!$B$35:$G$35,0)),0)</f>
        <v>939</v>
      </c>
      <c r="BR48" s="33">
        <f t="shared" si="23"/>
        <v>939</v>
      </c>
      <c r="BS48" s="33">
        <v>701</v>
      </c>
      <c r="BT48" s="33">
        <f>ROUND(坦克等级成长!$H145*VLOOKUP($AX$2,坦克等级成长!$B$36:$G$42,MATCH(BT$3,坦克等级成长!$B$35:$G$35,0)),0)</f>
        <v>939</v>
      </c>
      <c r="BU48" s="33">
        <f>ROUND(坦克等级成长!$H145*VLOOKUP($AX$2,坦克等级成长!$B$36:$G$42,MATCH(BU$3,坦克等级成长!$B$35:$G$35,0)),0)</f>
        <v>250</v>
      </c>
      <c r="BV48" s="192"/>
      <c r="BW48" s="188"/>
      <c r="BX48" s="188"/>
      <c r="BY48" s="188"/>
      <c r="BZ48" s="188"/>
      <c r="CA48" s="188"/>
      <c r="CB48" s="188"/>
      <c r="CC48" s="199"/>
      <c r="CD48" s="198">
        <v>13</v>
      </c>
      <c r="CE48" s="33">
        <f>ROUND(坦克等级成长!$F145*VLOOKUP($BV$2,坦克等级成长!$B$36:$G$42,MATCH(CE$3,坦克等级成长!$B$35:$G$35,0)),0)</f>
        <v>2596</v>
      </c>
      <c r="CF48" s="33">
        <f>ROUND(坦克等级成长!$F145*VLOOKUP($BV$2,坦克等级成长!$B$36:$G$42,MATCH(CF$3,坦克等级成长!$B$35:$G$35,0)),0)</f>
        <v>245</v>
      </c>
      <c r="CG48" s="33">
        <f>ROUND(坦克等级成长!$F145*VLOOKUP($BV$2,坦克等级成长!$B$36:$G$42,MATCH(CG$3,坦克等级成长!$B$35:$G$35,0)),0)</f>
        <v>880</v>
      </c>
      <c r="CH48" s="33">
        <f t="shared" si="10"/>
        <v>880</v>
      </c>
      <c r="CI48" s="33">
        <v>716</v>
      </c>
      <c r="CJ48" s="33">
        <f>ROUND(坦克等级成长!$F145*VLOOKUP($BV$2,坦克等级成长!$B$36:$G$42,MATCH(CJ$3,坦克等级成长!$B$35:$G$35,0)),0)</f>
        <v>1109</v>
      </c>
      <c r="CK48" s="33">
        <f>ROUND(坦克等级成长!$F145*VLOOKUP($BV$2,坦克等级成长!$B$36:$G$42,MATCH(CK$3,坦克等级成长!$B$35:$G$35,0)),0)</f>
        <v>260</v>
      </c>
      <c r="CL48" s="191">
        <v>13</v>
      </c>
      <c r="CM48" s="33">
        <f>ROUND(坦克等级成长!$H145*VLOOKUP($BV$2,坦克等级成长!$B$36:$G$42,MATCH(CM$3,坦克等级成长!$B$35:$G$35,0)),0)</f>
        <v>2638</v>
      </c>
      <c r="CN48" s="33">
        <f>ROUND(坦克等级成长!$H145*VLOOKUP($BV$2,坦克等级成长!$B$36:$G$42,MATCH(CN$3,坦克等级成长!$B$35:$G$35,0)),0)</f>
        <v>249</v>
      </c>
      <c r="CO48" s="33">
        <f>ROUND(坦克等级成长!$H145*VLOOKUP($BV$2,坦克等级成长!$B$36:$G$42,MATCH(CO$3,坦克等级成长!$B$35:$G$35,0)),0)</f>
        <v>894</v>
      </c>
      <c r="CP48" s="33">
        <f t="shared" si="24"/>
        <v>894</v>
      </c>
      <c r="CQ48" s="33">
        <v>716</v>
      </c>
      <c r="CR48" s="33">
        <f>ROUND(坦克等级成长!$H145*VLOOKUP($BV$2,坦克等级成长!$B$36:$G$42,MATCH(CR$3,坦克等级成长!$B$35:$G$35,0)),0)</f>
        <v>1127</v>
      </c>
      <c r="CS48" s="33">
        <f>ROUND(坦克等级成长!$H145*VLOOKUP($BV$2,坦克等级成长!$B$36:$G$42,MATCH(CS$3,坦克等级成长!$B$35:$G$35,0)),0)</f>
        <v>264</v>
      </c>
      <c r="CT48" s="192"/>
      <c r="CU48" s="188"/>
      <c r="CV48" s="188"/>
      <c r="CW48" s="188"/>
      <c r="CX48" s="188"/>
      <c r="CY48" s="188"/>
      <c r="CZ48" s="188"/>
      <c r="DA48" s="199"/>
      <c r="DB48" s="198">
        <v>13</v>
      </c>
      <c r="DC48" s="33">
        <f>ROUND(坦克等级成长!$F145*VLOOKUP($CT$2,坦克等级成长!$B$36:$G$42,MATCH(DC$3,坦克等级成长!$B$35:$G$35,0)),0)</f>
        <v>2464</v>
      </c>
      <c r="DD48" s="33">
        <f>ROUND(坦克等级成长!$F145*VLOOKUP($CT$2,坦克等级成长!$B$36:$G$42,MATCH(DD$3,坦克等级成长!$B$35:$G$35,0)),0)</f>
        <v>560</v>
      </c>
      <c r="DE48" s="33">
        <f>ROUND(坦克等级成长!$F145*VLOOKUP($CT$2,坦克等级成长!$B$36:$G$42,MATCH(DE$3,坦克等级成长!$B$35:$G$35,0)),0)</f>
        <v>1100</v>
      </c>
      <c r="DF48" s="33">
        <f t="shared" si="11"/>
        <v>1100</v>
      </c>
      <c r="DG48" s="33">
        <v>895</v>
      </c>
      <c r="DH48" s="33">
        <f>ROUND(坦克等级成长!$F145*VLOOKUP($CT$2,坦克等级成长!$B$36:$G$42,MATCH(DH$3,坦克等级成长!$B$35:$G$35,0)),0)</f>
        <v>924</v>
      </c>
      <c r="DI48" s="33">
        <f>ROUND(坦克等级成长!$F145*VLOOKUP($CT$2,坦克等级成长!$B$36:$G$42,MATCH(DI$3,坦克等级成长!$B$35:$G$35,0)),0)</f>
        <v>246</v>
      </c>
      <c r="DJ48" s="191">
        <v>13</v>
      </c>
      <c r="DK48" s="33">
        <f>ROUND(坦克等级成长!$H145*VLOOKUP($CT$2,坦克等级成长!$B$36:$G$42,MATCH(DK$3,坦克等级成长!$B$35:$G$35,0)),0)</f>
        <v>2504</v>
      </c>
      <c r="DL48" s="33">
        <f>ROUND(坦克等级成长!$H145*VLOOKUP($CT$2,坦克等级成长!$B$36:$G$42,MATCH(DL$3,坦克等级成长!$B$35:$G$35,0)),0)</f>
        <v>569</v>
      </c>
      <c r="DM48" s="33">
        <f>ROUND(坦克等级成长!$H145*VLOOKUP($CT$2,坦克等级成长!$B$36:$G$42,MATCH(DM$3,坦克等级成长!$B$35:$G$35,0)),0)</f>
        <v>1118</v>
      </c>
      <c r="DN48" s="33">
        <f t="shared" si="25"/>
        <v>1118</v>
      </c>
      <c r="DO48" s="33">
        <v>895</v>
      </c>
      <c r="DP48" s="33">
        <f>ROUND(坦克等级成长!$H145*VLOOKUP($CT$2,坦克等级成长!$B$36:$G$42,MATCH(DP$3,坦克等级成长!$B$35:$G$35,0)),0)</f>
        <v>939</v>
      </c>
      <c r="DQ48" s="33">
        <f>ROUND(坦克等级成长!$H145*VLOOKUP($CT$2,坦克等级成长!$B$36:$G$42,MATCH(DQ$3,坦克等级成长!$B$35:$G$35,0)),0)</f>
        <v>250</v>
      </c>
      <c r="DR48" s="192"/>
      <c r="DS48" s="188"/>
      <c r="DT48" s="188"/>
      <c r="DU48" s="188"/>
      <c r="DV48" s="188"/>
      <c r="DW48" s="188"/>
      <c r="DX48" s="188"/>
      <c r="DY48" s="199"/>
      <c r="DZ48" s="198">
        <v>13</v>
      </c>
      <c r="EA48" s="33">
        <f>ROUND(坦克等级成长!$F145*VLOOKUP($DR$2,坦克等级成长!$B$36:$G$42,MATCH(EA$3,坦克等级成长!$B$35:$G$35,0)),0)</f>
        <v>2803</v>
      </c>
      <c r="EB48" s="33">
        <f>ROUND(坦克等级成长!$F145*VLOOKUP($DR$2,坦克等级成长!$B$36:$G$42,MATCH(EB$3,坦克等级成长!$B$35:$G$35,0)),0)</f>
        <v>956</v>
      </c>
      <c r="EC48" s="33">
        <f>ROUND(坦克等级成长!$F145*VLOOKUP($DR$2,坦克等级成长!$B$36:$G$42,MATCH(EC$3,坦克等级成长!$B$35:$G$35,0)),0)</f>
        <v>880</v>
      </c>
      <c r="ED48" s="33">
        <f t="shared" si="12"/>
        <v>880</v>
      </c>
      <c r="EE48" s="33">
        <v>763</v>
      </c>
      <c r="EF48" s="33">
        <f>ROUND(坦克等级成长!$F145*VLOOKUP($DR$2,坦克等级成长!$B$36:$G$42,MATCH(EF$3,坦克等级成长!$B$35:$G$35,0)),0)</f>
        <v>1294</v>
      </c>
      <c r="EG48" s="33">
        <f>ROUND(坦克等级成长!$F145*VLOOKUP($DR$2,坦克等级成长!$B$36:$G$42,MATCH(EG$3,坦克等级成长!$B$35:$G$35,0)),0)</f>
        <v>280</v>
      </c>
      <c r="EH48" s="191">
        <v>13</v>
      </c>
      <c r="EI48" s="33">
        <f>ROUND(坦克等级成长!$H145*VLOOKUP($DR$2,坦克等级成长!$B$36:$G$42,MATCH(EI$3,坦克等级成长!$B$35:$G$35,0)),0)</f>
        <v>2849</v>
      </c>
      <c r="EJ48" s="33">
        <f>ROUND(坦克等级成长!$H145*VLOOKUP($DR$2,坦克等级成长!$B$36:$G$42,MATCH(EJ$3,坦克等级成长!$B$35:$G$35,0)),0)</f>
        <v>972</v>
      </c>
      <c r="EK48" s="33">
        <f>ROUND(坦克等级成长!$H145*VLOOKUP($DR$2,坦克等级成长!$B$36:$G$42,MATCH(EK$3,坦克等级成长!$B$35:$G$35,0)),0)</f>
        <v>894</v>
      </c>
      <c r="EL48" s="33">
        <f t="shared" si="26"/>
        <v>894</v>
      </c>
      <c r="EM48" s="33">
        <v>763</v>
      </c>
      <c r="EN48" s="33">
        <f>ROUND(坦克等级成长!$H145*VLOOKUP($DR$2,坦克等级成长!$B$36:$G$42,MATCH(EN$3,坦克等级成长!$B$35:$G$35,0)),0)</f>
        <v>1315</v>
      </c>
      <c r="EO48" s="33">
        <f>ROUND(坦克等级成长!$H145*VLOOKUP($DR$2,坦克等级成长!$B$36:$G$42,MATCH(EO$3,坦克等级成长!$B$35:$G$35,0)),0)</f>
        <v>285</v>
      </c>
      <c r="EP48" s="192"/>
      <c r="EQ48" s="188"/>
      <c r="ER48" s="188"/>
      <c r="ES48" s="188"/>
      <c r="ET48" s="188"/>
      <c r="EU48" s="188"/>
      <c r="EV48" s="188"/>
      <c r="EW48" s="199"/>
      <c r="EX48" s="198">
        <v>13</v>
      </c>
      <c r="EY48" s="33">
        <f>ROUND(坦克等级成长!$F145*VLOOKUP($EP$2,坦克等级成长!$B$36:$G$42,MATCH(EY$3,坦克等级成长!$B$35:$G$35,0)),0)</f>
        <v>2596</v>
      </c>
      <c r="EZ48" s="33">
        <f>ROUND(坦克等级成长!$F145*VLOOKUP($EP$2,坦克等级成长!$B$36:$G$42,MATCH(EZ$3,坦克等级成长!$B$35:$G$35,0)),0)</f>
        <v>297</v>
      </c>
      <c r="FA48" s="33">
        <f>ROUND(坦克等级成长!$F145*VLOOKUP($EP$2,坦克等级成长!$B$36:$G$42,MATCH(FA$3,坦克等级成长!$B$35:$G$35,0)),0)</f>
        <v>1012</v>
      </c>
      <c r="FB48" s="33">
        <f t="shared" si="13"/>
        <v>1012</v>
      </c>
      <c r="FC48" s="33">
        <v>823</v>
      </c>
      <c r="FD48" s="33">
        <f>ROUND(坦克等级成长!$F145*VLOOKUP($EP$2,坦克等级成长!$B$36:$G$42,MATCH(FD$3,坦克等级成长!$B$35:$G$35,0)),0)</f>
        <v>1109</v>
      </c>
      <c r="FE48" s="33">
        <f>ROUND(坦克等级成长!$F145*VLOOKUP($EP$2,坦克等级成长!$B$36:$G$42,MATCH(FE$3,坦克等级成长!$B$35:$G$35,0)),0)</f>
        <v>260</v>
      </c>
      <c r="FF48" s="191">
        <v>13</v>
      </c>
      <c r="FG48" s="33">
        <f>ROUND(坦克等级成长!$H145*VLOOKUP($EP$2,坦克等级成长!$B$36:$G$42,MATCH(FG$3,坦克等级成长!$B$35:$G$35,0)),0)</f>
        <v>2638</v>
      </c>
      <c r="FH48" s="33">
        <f>ROUND(坦克等级成长!$H145*VLOOKUP($EP$2,坦克等级成长!$B$36:$G$42,MATCH(FH$3,坦克等级成长!$B$35:$G$35,0)),0)</f>
        <v>302</v>
      </c>
      <c r="FI48" s="33">
        <f>ROUND(坦克等级成长!$H145*VLOOKUP($EP$2,坦克等级成长!$B$36:$G$42,MATCH(FI$3,坦克等级成长!$B$35:$G$35,0)),0)</f>
        <v>1028</v>
      </c>
      <c r="FJ48" s="33">
        <f t="shared" si="27"/>
        <v>1028</v>
      </c>
      <c r="FK48" s="33">
        <v>823</v>
      </c>
      <c r="FL48" s="33">
        <f>ROUND(坦克等级成长!$H145*VLOOKUP($EP$2,坦克等级成长!$B$36:$G$42,MATCH(FL$3,坦克等级成长!$B$35:$G$35,0)),0)</f>
        <v>1127</v>
      </c>
      <c r="FM48" s="33">
        <f>ROUND(坦克等级成长!$H145*VLOOKUP($EP$2,坦克等级成长!$B$36:$G$42,MATCH(FM$3,坦克等级成长!$B$35:$G$35,0)),0)</f>
        <v>264</v>
      </c>
    </row>
    <row r="49" spans="1:169" ht="14.25" x14ac:dyDescent="0.3">
      <c r="A49" s="188">
        <v>4</v>
      </c>
      <c r="B49" s="192"/>
      <c r="C49" s="188"/>
      <c r="D49" s="188"/>
      <c r="E49" s="188"/>
      <c r="F49" s="188"/>
      <c r="G49" s="188"/>
      <c r="H49" s="188"/>
      <c r="I49" s="199"/>
      <c r="J49" s="198">
        <v>14</v>
      </c>
      <c r="K49" s="33">
        <f>ROUND(坦克等级成长!$F146*VLOOKUP($B$2,坦克等级成长!$B$36:$G$42,MATCH(K$3,坦克等级成长!$B$35:$G$35,0)),0)</f>
        <v>2552</v>
      </c>
      <c r="L49" s="33">
        <f>ROUND(坦克等级成长!$F146*VLOOKUP($B$2,坦克等级成长!$B$36:$G$42,MATCH(L$3,坦克等级成长!$B$35:$G$35,0)),0)</f>
        <v>278</v>
      </c>
      <c r="M49" s="33">
        <f>ROUND(坦克等级成长!$F146*VLOOKUP($B$2,坦克等级成长!$B$36:$G$42,MATCH(M$3,坦克等级成长!$B$35:$G$35,0)),0)</f>
        <v>957</v>
      </c>
      <c r="N49" s="33">
        <f t="shared" si="7"/>
        <v>957</v>
      </c>
      <c r="O49" s="33">
        <v>729</v>
      </c>
      <c r="P49" s="33">
        <f>ROUND(坦克等级成长!$F146*VLOOKUP($B$2,坦克等级成长!$B$36:$G$42,MATCH(P$3,坦克等级成长!$B$35:$G$35,0)),0)</f>
        <v>957</v>
      </c>
      <c r="Q49" s="33">
        <f>ROUND(坦克等级成长!$F146*VLOOKUP($B$2,坦克等级成长!$B$36:$G$42,MATCH(Q$3,坦克等级成长!$B$35:$G$35,0)),0)</f>
        <v>255</v>
      </c>
      <c r="R49" s="191">
        <v>14</v>
      </c>
      <c r="S49" s="33">
        <f>ROUND(坦克等级成长!$H146*VLOOKUP($B$2,坦克等级成长!$B$36:$G$42,MATCH(S$3,坦克等级成长!$B$35:$G$35,0)),0)</f>
        <v>2600</v>
      </c>
      <c r="T49" s="33">
        <f>ROUND(坦克等级成长!$H146*VLOOKUP($B$2,坦克等级成长!$B$36:$G$42,MATCH(T$3,坦克等级成长!$B$35:$G$35,0)),0)</f>
        <v>283</v>
      </c>
      <c r="U49" s="33">
        <f>ROUND(坦克等级成长!$H146*VLOOKUP($B$2,坦克等级成长!$B$36:$G$42,MATCH(U$3,坦克等级成长!$B$35:$G$35,0)),0)</f>
        <v>975</v>
      </c>
      <c r="V49" s="33">
        <f t="shared" si="21"/>
        <v>975</v>
      </c>
      <c r="W49" s="33">
        <v>729</v>
      </c>
      <c r="X49" s="33">
        <f>ROUND(坦克等级成长!$H146*VLOOKUP($B$2,坦克等级成长!$B$36:$G$42,MATCH(X$3,坦克等级成长!$B$35:$G$35,0)),0)</f>
        <v>975</v>
      </c>
      <c r="Y49" s="33">
        <f>ROUND(坦克等级成长!$H146*VLOOKUP($B$2,坦克等级成长!$B$36:$G$42,MATCH(Y$3,坦克等级成长!$B$35:$G$35,0)),0)</f>
        <v>260</v>
      </c>
      <c r="Z49" s="192"/>
      <c r="AA49" s="188"/>
      <c r="AB49" s="188"/>
      <c r="AC49" s="188"/>
      <c r="AD49" s="188"/>
      <c r="AE49" s="188"/>
      <c r="AF49" s="188"/>
      <c r="AG49" s="199"/>
      <c r="AH49" s="198">
        <v>14</v>
      </c>
      <c r="AI49" s="33">
        <f>ROUND(坦克等级成长!$F146*VLOOKUP($Z$2,坦克等级成长!$B$36:$G$42,MATCH(AI$3,坦克等级成长!$B$35:$G$35,0)),0)</f>
        <v>2552</v>
      </c>
      <c r="AJ49" s="33">
        <f>ROUND(坦克等级成长!$F146*VLOOKUP($Z$2,坦克等级成长!$B$36:$G$42,MATCH(AJ$3,坦克等级成长!$B$35:$G$35,0)),0)</f>
        <v>150</v>
      </c>
      <c r="AK49" s="33">
        <f>ROUND(坦克等级成长!$F146*VLOOKUP($Z$2,坦克等级成长!$B$36:$G$42,MATCH(AK$3,坦克等级成长!$B$35:$G$35,0)),0)</f>
        <v>1048</v>
      </c>
      <c r="AL49" s="33">
        <f t="shared" si="8"/>
        <v>1048</v>
      </c>
      <c r="AM49" s="33">
        <v>798</v>
      </c>
      <c r="AN49" s="33">
        <f>ROUND(坦克等级成长!$F146*VLOOKUP($Z$2,坦克等级成长!$B$36:$G$42,MATCH(AN$3,坦克等级成长!$B$35:$G$35,0)),0)</f>
        <v>957</v>
      </c>
      <c r="AO49" s="33">
        <f>ROUND(坦克等级成长!$F146*VLOOKUP($Z$2,坦克等级成长!$B$36:$G$42,MATCH(AO$3,坦克等级成长!$B$35:$G$35,0)),0)</f>
        <v>255</v>
      </c>
      <c r="AP49" s="191">
        <v>14</v>
      </c>
      <c r="AQ49" s="33">
        <f>ROUND(坦克等级成长!$H146*VLOOKUP($Z$2,坦克等级成长!$B$36:$G$42,MATCH(AQ$3,坦克等级成长!$B$35:$G$35,0)),0)</f>
        <v>2600</v>
      </c>
      <c r="AR49" s="33">
        <f>ROUND(坦克等级成长!$H146*VLOOKUP($Z$2,坦克等级成长!$B$36:$G$42,MATCH(AR$3,坦克等级成长!$B$35:$G$35,0)),0)</f>
        <v>153</v>
      </c>
      <c r="AS49" s="33">
        <f>ROUND(坦克等级成长!$H146*VLOOKUP($Z$2,坦克等级成长!$B$36:$G$42,MATCH(AS$3,坦克等级成长!$B$35:$G$35,0)),0)</f>
        <v>1068</v>
      </c>
      <c r="AT49" s="33">
        <f t="shared" si="22"/>
        <v>1068</v>
      </c>
      <c r="AU49" s="33">
        <v>798</v>
      </c>
      <c r="AV49" s="33">
        <f>ROUND(坦克等级成长!$H146*VLOOKUP($Z$2,坦克等级成长!$B$36:$G$42,MATCH(AV$3,坦克等级成长!$B$35:$G$35,0)),0)</f>
        <v>975</v>
      </c>
      <c r="AW49" s="33">
        <f>ROUND(坦克等级成长!$H146*VLOOKUP($Z$2,坦克等级成长!$B$36:$G$42,MATCH(AW$3,坦克等级成长!$B$35:$G$35,0)),0)</f>
        <v>260</v>
      </c>
      <c r="AX49" s="192"/>
      <c r="AY49" s="188"/>
      <c r="AZ49" s="188"/>
      <c r="BA49" s="188"/>
      <c r="BB49" s="188"/>
      <c r="BC49" s="188"/>
      <c r="BD49" s="188"/>
      <c r="BE49" s="199"/>
      <c r="BF49" s="198">
        <v>14</v>
      </c>
      <c r="BG49" s="33">
        <f>ROUND(坦克等级成长!$F146*VLOOKUP($AX$2,坦克等级成长!$B$36:$G$42,MATCH(BG$3,坦克等级成长!$B$35:$G$35,0)),0)</f>
        <v>2552</v>
      </c>
      <c r="BH49" s="33">
        <f>ROUND(坦克等级成长!$F146*VLOOKUP($AX$2,坦克等级成长!$B$36:$G$42,MATCH(BH$3,坦克等级成长!$B$35:$G$35,0)),0)</f>
        <v>278</v>
      </c>
      <c r="BI49" s="33">
        <f>ROUND(坦克等级成长!$F146*VLOOKUP($AX$2,坦克等级成长!$B$36:$G$42,MATCH(BI$3,坦克等级成长!$B$35:$G$35,0)),0)</f>
        <v>957</v>
      </c>
      <c r="BJ49" s="33">
        <f t="shared" si="9"/>
        <v>957</v>
      </c>
      <c r="BK49" s="33">
        <v>729</v>
      </c>
      <c r="BL49" s="33">
        <f>ROUND(坦克等级成长!$F146*VLOOKUP($AX$2,坦克等级成长!$B$36:$G$42,MATCH(BL$3,坦克等级成长!$B$35:$G$35,0)),0)</f>
        <v>957</v>
      </c>
      <c r="BM49" s="33">
        <f>ROUND(坦克等级成长!$F146*VLOOKUP($AX$2,坦克等级成长!$B$36:$G$42,MATCH(BM$3,坦克等级成长!$B$35:$G$35,0)),0)</f>
        <v>255</v>
      </c>
      <c r="BN49" s="191">
        <v>14</v>
      </c>
      <c r="BO49" s="33">
        <f>ROUND(坦克等级成长!$H146*VLOOKUP($AX$2,坦克等级成长!$B$36:$G$42,MATCH(BO$3,坦克等级成长!$B$35:$G$35,0)),0)</f>
        <v>2600</v>
      </c>
      <c r="BP49" s="33">
        <f>ROUND(坦克等级成长!$H146*VLOOKUP($AX$2,坦克等级成长!$B$36:$G$42,MATCH(BP$3,坦克等级成长!$B$35:$G$35,0)),0)</f>
        <v>283</v>
      </c>
      <c r="BQ49" s="33">
        <f>ROUND(坦克等级成长!$H146*VLOOKUP($AX$2,坦克等级成长!$B$36:$G$42,MATCH(BQ$3,坦克等级成长!$B$35:$G$35,0)),0)</f>
        <v>975</v>
      </c>
      <c r="BR49" s="33">
        <f t="shared" si="23"/>
        <v>975</v>
      </c>
      <c r="BS49" s="33">
        <v>729</v>
      </c>
      <c r="BT49" s="33">
        <f>ROUND(坦克等级成长!$H146*VLOOKUP($AX$2,坦克等级成长!$B$36:$G$42,MATCH(BT$3,坦克等级成长!$B$35:$G$35,0)),0)</f>
        <v>975</v>
      </c>
      <c r="BU49" s="33">
        <f>ROUND(坦克等级成长!$H146*VLOOKUP($AX$2,坦克等级成长!$B$36:$G$42,MATCH(BU$3,坦克等级成长!$B$35:$G$35,0)),0)</f>
        <v>260</v>
      </c>
      <c r="BV49" s="192"/>
      <c r="BW49" s="188"/>
      <c r="BX49" s="188"/>
      <c r="BY49" s="188"/>
      <c r="BZ49" s="188"/>
      <c r="CA49" s="188"/>
      <c r="CB49" s="188"/>
      <c r="CC49" s="199"/>
      <c r="CD49" s="198">
        <v>14</v>
      </c>
      <c r="CE49" s="33">
        <f>ROUND(坦克等级成长!$F146*VLOOKUP($BV$2,坦克等级成长!$B$36:$G$42,MATCH(CE$3,坦克等级成长!$B$35:$G$35,0)),0)</f>
        <v>2689</v>
      </c>
      <c r="CF49" s="33">
        <f>ROUND(坦克等级成长!$F146*VLOOKUP($BV$2,坦克等级成长!$B$36:$G$42,MATCH(CF$3,坦克等级成长!$B$35:$G$35,0)),0)</f>
        <v>254</v>
      </c>
      <c r="CG49" s="33">
        <f>ROUND(坦克等级成长!$F146*VLOOKUP($BV$2,坦克等级成长!$B$36:$G$42,MATCH(CG$3,坦克等级成长!$B$35:$G$35,0)),0)</f>
        <v>911</v>
      </c>
      <c r="CH49" s="33">
        <f t="shared" si="10"/>
        <v>911</v>
      </c>
      <c r="CI49" s="33">
        <v>743</v>
      </c>
      <c r="CJ49" s="33">
        <f>ROUND(坦克等级成长!$F146*VLOOKUP($BV$2,坦克等级成长!$B$36:$G$42,MATCH(CJ$3,坦克等级成长!$B$35:$G$35,0)),0)</f>
        <v>1148</v>
      </c>
      <c r="CK49" s="33">
        <f>ROUND(坦克等级成长!$F146*VLOOKUP($BV$2,坦克等级成长!$B$36:$G$42,MATCH(CK$3,坦克等级成长!$B$35:$G$35,0)),0)</f>
        <v>269</v>
      </c>
      <c r="CL49" s="191">
        <v>14</v>
      </c>
      <c r="CM49" s="33">
        <f>ROUND(坦克等级成长!$H146*VLOOKUP($BV$2,坦克等级成长!$B$36:$G$42,MATCH(CM$3,坦克等级成长!$B$35:$G$35,0)),0)</f>
        <v>2740</v>
      </c>
      <c r="CN49" s="33">
        <f>ROUND(坦克等级成长!$H146*VLOOKUP($BV$2,坦克等级成长!$B$36:$G$42,MATCH(CN$3,坦克等级成长!$B$35:$G$35,0)),0)</f>
        <v>258</v>
      </c>
      <c r="CO49" s="33">
        <f>ROUND(坦克等级成长!$H146*VLOOKUP($BV$2,坦克等级成长!$B$36:$G$42,MATCH(CO$3,坦克等级成长!$B$35:$G$35,0)),0)</f>
        <v>929</v>
      </c>
      <c r="CP49" s="33">
        <f t="shared" si="24"/>
        <v>929</v>
      </c>
      <c r="CQ49" s="33">
        <v>743</v>
      </c>
      <c r="CR49" s="33">
        <f>ROUND(坦克等级成长!$H146*VLOOKUP($BV$2,坦克等级成长!$B$36:$G$42,MATCH(CR$3,坦克等级成长!$B$35:$G$35,0)),0)</f>
        <v>1170</v>
      </c>
      <c r="CS49" s="33">
        <f>ROUND(坦克等级成长!$H146*VLOOKUP($BV$2,坦克等级成长!$B$36:$G$42,MATCH(CS$3,坦克等级成长!$B$35:$G$35,0)),0)</f>
        <v>274</v>
      </c>
      <c r="CT49" s="192"/>
      <c r="CU49" s="188"/>
      <c r="CV49" s="188"/>
      <c r="CW49" s="188"/>
      <c r="CX49" s="188"/>
      <c r="CY49" s="188"/>
      <c r="CZ49" s="188"/>
      <c r="DA49" s="199"/>
      <c r="DB49" s="198">
        <v>14</v>
      </c>
      <c r="DC49" s="33">
        <f>ROUND(坦克等级成长!$F146*VLOOKUP($CT$2,坦克等级成长!$B$36:$G$42,MATCH(DC$3,坦克等级成长!$B$35:$G$35,0)),0)</f>
        <v>2552</v>
      </c>
      <c r="DD49" s="33">
        <f>ROUND(坦克等级成长!$F146*VLOOKUP($CT$2,坦克等级成长!$B$36:$G$42,MATCH(DD$3,坦克等级成长!$B$35:$G$35,0)),0)</f>
        <v>580</v>
      </c>
      <c r="DE49" s="33">
        <f>ROUND(坦克等级成长!$F146*VLOOKUP($CT$2,坦克等级成长!$B$36:$G$42,MATCH(DE$3,坦克等级成长!$B$35:$G$35,0)),0)</f>
        <v>1139</v>
      </c>
      <c r="DF49" s="33">
        <f t="shared" si="11"/>
        <v>1139</v>
      </c>
      <c r="DG49" s="33">
        <v>929</v>
      </c>
      <c r="DH49" s="33">
        <f>ROUND(坦克等级成长!$F146*VLOOKUP($CT$2,坦克等级成长!$B$36:$G$42,MATCH(DH$3,坦克等级成长!$B$35:$G$35,0)),0)</f>
        <v>957</v>
      </c>
      <c r="DI49" s="33">
        <f>ROUND(坦克等级成长!$F146*VLOOKUP($CT$2,坦克等级成长!$B$36:$G$42,MATCH(DI$3,坦克等级成长!$B$35:$G$35,0)),0)</f>
        <v>255</v>
      </c>
      <c r="DJ49" s="191">
        <v>14</v>
      </c>
      <c r="DK49" s="33">
        <f>ROUND(坦克等级成长!$H146*VLOOKUP($CT$2,坦克等级成长!$B$36:$G$42,MATCH(DK$3,坦克等级成长!$B$35:$G$35,0)),0)</f>
        <v>2600</v>
      </c>
      <c r="DL49" s="33">
        <f>ROUND(坦克等级成长!$H146*VLOOKUP($CT$2,坦克等级成长!$B$36:$G$42,MATCH(DL$3,坦克等级成长!$B$35:$G$35,0)),0)</f>
        <v>591</v>
      </c>
      <c r="DM49" s="33">
        <f>ROUND(坦克等级成长!$H146*VLOOKUP($CT$2,坦克等级成长!$B$36:$G$42,MATCH(DM$3,坦克等级成长!$B$35:$G$35,0)),0)</f>
        <v>1161</v>
      </c>
      <c r="DN49" s="33">
        <f t="shared" si="25"/>
        <v>1161</v>
      </c>
      <c r="DO49" s="33">
        <v>929</v>
      </c>
      <c r="DP49" s="33">
        <f>ROUND(坦克等级成长!$H146*VLOOKUP($CT$2,坦克等级成长!$B$36:$G$42,MATCH(DP$3,坦克等级成长!$B$35:$G$35,0)),0)</f>
        <v>975</v>
      </c>
      <c r="DQ49" s="33">
        <f>ROUND(坦克等级成长!$H146*VLOOKUP($CT$2,坦克等级成长!$B$36:$G$42,MATCH(DQ$3,坦克等级成长!$B$35:$G$35,0)),0)</f>
        <v>260</v>
      </c>
      <c r="DR49" s="192"/>
      <c r="DS49" s="188"/>
      <c r="DT49" s="188"/>
      <c r="DU49" s="188"/>
      <c r="DV49" s="188"/>
      <c r="DW49" s="188"/>
      <c r="DX49" s="188"/>
      <c r="DY49" s="199"/>
      <c r="DZ49" s="198">
        <v>14</v>
      </c>
      <c r="EA49" s="33">
        <f>ROUND(坦克等级成长!$F146*VLOOKUP($DR$2,坦克等级成长!$B$36:$G$42,MATCH(EA$3,坦克等级成长!$B$35:$G$35,0)),0)</f>
        <v>2903</v>
      </c>
      <c r="EB49" s="33">
        <f>ROUND(坦克等级成长!$F146*VLOOKUP($DR$2,坦克等级成长!$B$36:$G$42,MATCH(EB$3,坦克等级成长!$B$35:$G$35,0)),0)</f>
        <v>991</v>
      </c>
      <c r="EC49" s="33">
        <f>ROUND(坦克等级成长!$F146*VLOOKUP($DR$2,坦克等级成长!$B$36:$G$42,MATCH(EC$3,坦克等级成长!$B$35:$G$35,0)),0)</f>
        <v>911</v>
      </c>
      <c r="ED49" s="33">
        <f t="shared" si="12"/>
        <v>911</v>
      </c>
      <c r="EE49" s="33">
        <v>793</v>
      </c>
      <c r="EF49" s="33">
        <f>ROUND(坦克等级成长!$F146*VLOOKUP($DR$2,坦克等级成长!$B$36:$G$42,MATCH(EF$3,坦克等级成长!$B$35:$G$35,0)),0)</f>
        <v>1340</v>
      </c>
      <c r="EG49" s="33">
        <f>ROUND(坦克等级成长!$F146*VLOOKUP($DR$2,坦克等级成长!$B$36:$G$42,MATCH(EG$3,坦克等级成长!$B$35:$G$35,0)),0)</f>
        <v>290</v>
      </c>
      <c r="EH49" s="191">
        <v>14</v>
      </c>
      <c r="EI49" s="33">
        <f>ROUND(坦克等级成长!$H146*VLOOKUP($DR$2,坦克等级成长!$B$36:$G$42,MATCH(EI$3,坦克等级成长!$B$35:$G$35,0)),0)</f>
        <v>2958</v>
      </c>
      <c r="EJ49" s="33">
        <f>ROUND(坦克等级成长!$H146*VLOOKUP($DR$2,坦克等级成长!$B$36:$G$42,MATCH(EJ$3,坦克等级成长!$B$35:$G$35,0)),0)</f>
        <v>1009</v>
      </c>
      <c r="EK49" s="33">
        <f>ROUND(坦克等级成长!$H146*VLOOKUP($DR$2,坦克等级成长!$B$36:$G$42,MATCH(EK$3,坦克等级成长!$B$35:$G$35,0)),0)</f>
        <v>929</v>
      </c>
      <c r="EL49" s="33">
        <f t="shared" si="26"/>
        <v>929</v>
      </c>
      <c r="EM49" s="33">
        <v>793</v>
      </c>
      <c r="EN49" s="33">
        <f>ROUND(坦克等级成长!$H146*VLOOKUP($DR$2,坦克等级成长!$B$36:$G$42,MATCH(EN$3,坦克等级成长!$B$35:$G$35,0)),0)</f>
        <v>1365</v>
      </c>
      <c r="EO49" s="33">
        <f>ROUND(坦克等级成长!$H146*VLOOKUP($DR$2,坦克等级成长!$B$36:$G$42,MATCH(EO$3,坦克等级成长!$B$35:$G$35,0)),0)</f>
        <v>296</v>
      </c>
      <c r="EP49" s="192"/>
      <c r="EQ49" s="188"/>
      <c r="ER49" s="188"/>
      <c r="ES49" s="188"/>
      <c r="ET49" s="188"/>
      <c r="EU49" s="188"/>
      <c r="EV49" s="188"/>
      <c r="EW49" s="199"/>
      <c r="EX49" s="198">
        <v>14</v>
      </c>
      <c r="EY49" s="33">
        <f>ROUND(坦克等级成长!$F146*VLOOKUP($EP$2,坦克等级成长!$B$36:$G$42,MATCH(EY$3,坦克等级成长!$B$35:$G$35,0)),0)</f>
        <v>2689</v>
      </c>
      <c r="EZ49" s="33">
        <f>ROUND(坦克等级成长!$F146*VLOOKUP($EP$2,坦克等级成长!$B$36:$G$42,MATCH(EZ$3,坦克等级成长!$B$35:$G$35,0)),0)</f>
        <v>308</v>
      </c>
      <c r="FA49" s="33">
        <f>ROUND(坦克等级成长!$F146*VLOOKUP($EP$2,坦克等级成长!$B$36:$G$42,MATCH(FA$3,坦克等级成长!$B$35:$G$35,0)),0)</f>
        <v>1048</v>
      </c>
      <c r="FB49" s="33">
        <f t="shared" si="13"/>
        <v>1048</v>
      </c>
      <c r="FC49" s="33">
        <v>855</v>
      </c>
      <c r="FD49" s="33">
        <f>ROUND(坦克等级成长!$F146*VLOOKUP($EP$2,坦克等级成长!$B$36:$G$42,MATCH(FD$3,坦克等级成长!$B$35:$G$35,0)),0)</f>
        <v>1148</v>
      </c>
      <c r="FE49" s="33">
        <f>ROUND(坦克等级成长!$F146*VLOOKUP($EP$2,坦克等级成长!$B$36:$G$42,MATCH(FE$3,坦克等级成长!$B$35:$G$35,0)),0)</f>
        <v>269</v>
      </c>
      <c r="FF49" s="191">
        <v>14</v>
      </c>
      <c r="FG49" s="33">
        <f>ROUND(坦克等级成长!$H146*VLOOKUP($EP$2,坦克等级成长!$B$36:$G$42,MATCH(FG$3,坦克等级成长!$B$35:$G$35,0)),0)</f>
        <v>2740</v>
      </c>
      <c r="FH49" s="33">
        <f>ROUND(坦克等级成长!$H146*VLOOKUP($EP$2,坦克等级成长!$B$36:$G$42,MATCH(FH$3,坦克等级成长!$B$35:$G$35,0)),0)</f>
        <v>314</v>
      </c>
      <c r="FI49" s="33">
        <f>ROUND(坦克等级成长!$H146*VLOOKUP($EP$2,坦克等级成长!$B$36:$G$42,MATCH(FI$3,坦克等级成长!$B$35:$G$35,0)),0)</f>
        <v>1068</v>
      </c>
      <c r="FJ49" s="33">
        <f t="shared" si="27"/>
        <v>1068</v>
      </c>
      <c r="FK49" s="33">
        <v>855</v>
      </c>
      <c r="FL49" s="33">
        <f>ROUND(坦克等级成长!$H146*VLOOKUP($EP$2,坦克等级成长!$B$36:$G$42,MATCH(FL$3,坦克等级成长!$B$35:$G$35,0)),0)</f>
        <v>1170</v>
      </c>
      <c r="FM49" s="33">
        <f>ROUND(坦克等级成长!$H146*VLOOKUP($EP$2,坦克等级成长!$B$36:$G$42,MATCH(FM$3,坦克等级成长!$B$35:$G$35,0)),0)</f>
        <v>274</v>
      </c>
    </row>
    <row r="50" spans="1:169" ht="14.25" x14ac:dyDescent="0.3">
      <c r="A50" s="188">
        <v>4</v>
      </c>
      <c r="B50" s="192"/>
      <c r="C50" s="188"/>
      <c r="D50" s="188"/>
      <c r="E50" s="188"/>
      <c r="F50" s="188"/>
      <c r="G50" s="188"/>
      <c r="H50" s="188"/>
      <c r="I50" s="199"/>
      <c r="J50" s="198">
        <v>15</v>
      </c>
      <c r="K50" s="33">
        <f>ROUND(坦克等级成长!$F147*VLOOKUP($B$2,坦克等级成长!$B$36:$G$42,MATCH(K$3,坦克等级成长!$B$35:$G$35,0)),0)</f>
        <v>2640</v>
      </c>
      <c r="L50" s="33">
        <f>ROUND(坦克等级成长!$F147*VLOOKUP($B$2,坦克等级成长!$B$36:$G$42,MATCH(L$3,坦克等级成长!$B$35:$G$35,0)),0)</f>
        <v>287</v>
      </c>
      <c r="M50" s="33">
        <f>ROUND(坦克等级成长!$F147*VLOOKUP($B$2,坦克等级成长!$B$36:$G$42,MATCH(M$3,坦克等级成长!$B$35:$G$35,0)),0)</f>
        <v>990</v>
      </c>
      <c r="N50" s="33">
        <f t="shared" si="7"/>
        <v>990</v>
      </c>
      <c r="O50" s="33">
        <v>756</v>
      </c>
      <c r="P50" s="33">
        <f>ROUND(坦克等级成长!$F147*VLOOKUP($B$2,坦克等级成长!$B$36:$G$42,MATCH(P$3,坦克等级成长!$B$35:$G$35,0)),0)</f>
        <v>990</v>
      </c>
      <c r="Q50" s="33">
        <f>ROUND(坦克等级成长!$F147*VLOOKUP($B$2,坦克等级成长!$B$36:$G$42,MATCH(Q$3,坦克等级成长!$B$35:$G$35,0)),0)</f>
        <v>264</v>
      </c>
      <c r="R50" s="191">
        <v>15</v>
      </c>
      <c r="S50" s="33">
        <f>ROUND(坦克等级成长!$H147*VLOOKUP($B$2,坦克等级成长!$B$36:$G$42,MATCH(S$3,坦克等级成长!$B$35:$G$35,0)),0)</f>
        <v>2696</v>
      </c>
      <c r="T50" s="33">
        <f>ROUND(坦克等级成长!$H147*VLOOKUP($B$2,坦克等级成长!$B$36:$G$42,MATCH(T$3,坦克等级成长!$B$35:$G$35,0)),0)</f>
        <v>293</v>
      </c>
      <c r="U50" s="33">
        <f>ROUND(坦克等级成长!$H147*VLOOKUP($B$2,坦克等级成长!$B$36:$G$42,MATCH(U$3,坦克等级成长!$B$35:$G$35,0)),0)</f>
        <v>1011</v>
      </c>
      <c r="V50" s="33">
        <f t="shared" si="21"/>
        <v>1011</v>
      </c>
      <c r="W50" s="33">
        <v>756</v>
      </c>
      <c r="X50" s="33">
        <f>ROUND(坦克等级成长!$H147*VLOOKUP($B$2,坦克等级成长!$B$36:$G$42,MATCH(X$3,坦克等级成长!$B$35:$G$35,0)),0)</f>
        <v>1011</v>
      </c>
      <c r="Y50" s="33">
        <f>ROUND(坦克等级成长!$H147*VLOOKUP($B$2,坦克等级成长!$B$36:$G$42,MATCH(Y$3,坦克等级成长!$B$35:$G$35,0)),0)</f>
        <v>270</v>
      </c>
      <c r="Z50" s="192"/>
      <c r="AA50" s="188"/>
      <c r="AB50" s="188"/>
      <c r="AC50" s="188"/>
      <c r="AD50" s="188"/>
      <c r="AE50" s="188"/>
      <c r="AF50" s="188"/>
      <c r="AG50" s="199"/>
      <c r="AH50" s="198">
        <v>15</v>
      </c>
      <c r="AI50" s="33">
        <f>ROUND(坦克等级成长!$F147*VLOOKUP($Z$2,坦克等级成长!$B$36:$G$42,MATCH(AI$3,坦克等级成长!$B$35:$G$35,0)),0)</f>
        <v>2640</v>
      </c>
      <c r="AJ50" s="33">
        <f>ROUND(坦克等级成长!$F147*VLOOKUP($Z$2,坦克等级成长!$B$36:$G$42,MATCH(AJ$3,坦克等级成长!$B$35:$G$35,0)),0)</f>
        <v>156</v>
      </c>
      <c r="AK50" s="33">
        <f>ROUND(坦克等级成长!$F147*VLOOKUP($Z$2,坦克等级成长!$B$36:$G$42,MATCH(AK$3,坦克等级成长!$B$35:$G$35,0)),0)</f>
        <v>1084</v>
      </c>
      <c r="AL50" s="33">
        <f t="shared" si="8"/>
        <v>1084</v>
      </c>
      <c r="AM50" s="33">
        <v>828</v>
      </c>
      <c r="AN50" s="33">
        <f>ROUND(坦克等级成长!$F147*VLOOKUP($Z$2,坦克等级成长!$B$36:$G$42,MATCH(AN$3,坦克等级成长!$B$35:$G$35,0)),0)</f>
        <v>990</v>
      </c>
      <c r="AO50" s="33">
        <f>ROUND(坦克等级成长!$F147*VLOOKUP($Z$2,坦克等级成长!$B$36:$G$42,MATCH(AO$3,坦克等级成长!$B$35:$G$35,0)),0)</f>
        <v>264</v>
      </c>
      <c r="AP50" s="191">
        <v>15</v>
      </c>
      <c r="AQ50" s="33">
        <f>ROUND(坦克等级成长!$H147*VLOOKUP($Z$2,坦克等级成长!$B$36:$G$42,MATCH(AQ$3,坦克等级成长!$B$35:$G$35,0)),0)</f>
        <v>2696</v>
      </c>
      <c r="AR50" s="33">
        <f>ROUND(坦克等级成长!$H147*VLOOKUP($Z$2,坦克等级成长!$B$36:$G$42,MATCH(AR$3,坦克等级成长!$B$35:$G$35,0)),0)</f>
        <v>159</v>
      </c>
      <c r="AS50" s="33">
        <f>ROUND(坦克等级成长!$H147*VLOOKUP($Z$2,坦克等级成长!$B$36:$G$42,MATCH(AS$3,坦克等级成长!$B$35:$G$35,0)),0)</f>
        <v>1107</v>
      </c>
      <c r="AT50" s="33">
        <f t="shared" si="22"/>
        <v>1107</v>
      </c>
      <c r="AU50" s="33">
        <v>828</v>
      </c>
      <c r="AV50" s="33">
        <f>ROUND(坦克等级成长!$H147*VLOOKUP($Z$2,坦克等级成长!$B$36:$G$42,MATCH(AV$3,坦克等级成长!$B$35:$G$35,0)),0)</f>
        <v>1011</v>
      </c>
      <c r="AW50" s="33">
        <f>ROUND(坦克等级成长!$H147*VLOOKUP($Z$2,坦克等级成长!$B$36:$G$42,MATCH(AW$3,坦克等级成长!$B$35:$G$35,0)),0)</f>
        <v>270</v>
      </c>
      <c r="AX50" s="192"/>
      <c r="AY50" s="188"/>
      <c r="AZ50" s="188"/>
      <c r="BA50" s="188"/>
      <c r="BB50" s="188"/>
      <c r="BC50" s="188"/>
      <c r="BD50" s="188"/>
      <c r="BE50" s="199"/>
      <c r="BF50" s="198">
        <v>15</v>
      </c>
      <c r="BG50" s="33">
        <f>ROUND(坦克等级成长!$F147*VLOOKUP($AX$2,坦克等级成长!$B$36:$G$42,MATCH(BG$3,坦克等级成长!$B$35:$G$35,0)),0)</f>
        <v>2640</v>
      </c>
      <c r="BH50" s="33">
        <f>ROUND(坦克等级成长!$F147*VLOOKUP($AX$2,坦克等级成长!$B$36:$G$42,MATCH(BH$3,坦克等级成长!$B$35:$G$35,0)),0)</f>
        <v>287</v>
      </c>
      <c r="BI50" s="33">
        <f>ROUND(坦克等级成长!$F147*VLOOKUP($AX$2,坦克等级成长!$B$36:$G$42,MATCH(BI$3,坦克等级成长!$B$35:$G$35,0)),0)</f>
        <v>990</v>
      </c>
      <c r="BJ50" s="33">
        <f t="shared" si="9"/>
        <v>990</v>
      </c>
      <c r="BK50" s="33">
        <v>756</v>
      </c>
      <c r="BL50" s="33">
        <f>ROUND(坦克等级成长!$F147*VLOOKUP($AX$2,坦克等级成长!$B$36:$G$42,MATCH(BL$3,坦克等级成长!$B$35:$G$35,0)),0)</f>
        <v>990</v>
      </c>
      <c r="BM50" s="33">
        <f>ROUND(坦克等级成长!$F147*VLOOKUP($AX$2,坦克等级成长!$B$36:$G$42,MATCH(BM$3,坦克等级成长!$B$35:$G$35,0)),0)</f>
        <v>264</v>
      </c>
      <c r="BN50" s="191">
        <v>15</v>
      </c>
      <c r="BO50" s="33">
        <f>ROUND(坦克等级成长!$H147*VLOOKUP($AX$2,坦克等级成长!$B$36:$G$42,MATCH(BO$3,坦克等级成长!$B$35:$G$35,0)),0)</f>
        <v>2696</v>
      </c>
      <c r="BP50" s="33">
        <f>ROUND(坦克等级成长!$H147*VLOOKUP($AX$2,坦克等级成长!$B$36:$G$42,MATCH(BP$3,坦克等级成长!$B$35:$G$35,0)),0)</f>
        <v>293</v>
      </c>
      <c r="BQ50" s="33">
        <f>ROUND(坦克等级成长!$H147*VLOOKUP($AX$2,坦克等级成长!$B$36:$G$42,MATCH(BQ$3,坦克等级成长!$B$35:$G$35,0)),0)</f>
        <v>1011</v>
      </c>
      <c r="BR50" s="33">
        <f t="shared" si="23"/>
        <v>1011</v>
      </c>
      <c r="BS50" s="33">
        <v>756</v>
      </c>
      <c r="BT50" s="33">
        <f>ROUND(坦克等级成长!$H147*VLOOKUP($AX$2,坦克等级成长!$B$36:$G$42,MATCH(BT$3,坦克等级成长!$B$35:$G$35,0)),0)</f>
        <v>1011</v>
      </c>
      <c r="BU50" s="33">
        <f>ROUND(坦克等级成长!$H147*VLOOKUP($AX$2,坦克等级成长!$B$36:$G$42,MATCH(BU$3,坦克等级成长!$B$35:$G$35,0)),0)</f>
        <v>270</v>
      </c>
      <c r="BV50" s="192"/>
      <c r="BW50" s="188"/>
      <c r="BX50" s="188"/>
      <c r="BY50" s="188"/>
      <c r="BZ50" s="188"/>
      <c r="CA50" s="188"/>
      <c r="CB50" s="188"/>
      <c r="CC50" s="199"/>
      <c r="CD50" s="198">
        <v>15</v>
      </c>
      <c r="CE50" s="33">
        <f>ROUND(坦克等级成长!$F147*VLOOKUP($BV$2,坦克等级成长!$B$36:$G$42,MATCH(CE$3,坦克等级成长!$B$35:$G$35,0)),0)</f>
        <v>2782</v>
      </c>
      <c r="CF50" s="33">
        <f>ROUND(坦克等级成长!$F147*VLOOKUP($BV$2,坦克等级成长!$B$36:$G$42,MATCH(CF$3,坦克等级成长!$B$35:$G$35,0)),0)</f>
        <v>262</v>
      </c>
      <c r="CG50" s="33">
        <f>ROUND(坦克等级成长!$F147*VLOOKUP($BV$2,坦克等级成长!$B$36:$G$42,MATCH(CG$3,坦克等级成长!$B$35:$G$35,0)),0)</f>
        <v>943</v>
      </c>
      <c r="CH50" s="33">
        <f t="shared" si="10"/>
        <v>943</v>
      </c>
      <c r="CI50" s="33">
        <v>772</v>
      </c>
      <c r="CJ50" s="33">
        <f>ROUND(坦克等级成长!$F147*VLOOKUP($BV$2,坦克等级成长!$B$36:$G$42,MATCH(CJ$3,坦克等级成长!$B$35:$G$35,0)),0)</f>
        <v>1188</v>
      </c>
      <c r="CK50" s="33">
        <f>ROUND(坦克等级成长!$F147*VLOOKUP($BV$2,坦克等级成长!$B$36:$G$42,MATCH(CK$3,坦克等级成长!$B$35:$G$35,0)),0)</f>
        <v>278</v>
      </c>
      <c r="CL50" s="191">
        <v>15</v>
      </c>
      <c r="CM50" s="33">
        <f>ROUND(坦克等级成长!$H147*VLOOKUP($BV$2,坦克等级成长!$B$36:$G$42,MATCH(CM$3,坦克等级成长!$B$35:$G$35,0)),0)</f>
        <v>2841</v>
      </c>
      <c r="CN50" s="33">
        <f>ROUND(坦克等级成长!$H147*VLOOKUP($BV$2,坦克等级成长!$B$36:$G$42,MATCH(CN$3,坦克等级成长!$B$35:$G$35,0)),0)</f>
        <v>268</v>
      </c>
      <c r="CO50" s="33">
        <f>ROUND(坦克等级成长!$H147*VLOOKUP($BV$2,坦克等级成长!$B$36:$G$42,MATCH(CO$3,坦克等级成长!$B$35:$G$35,0)),0)</f>
        <v>963</v>
      </c>
      <c r="CP50" s="33">
        <f t="shared" si="24"/>
        <v>963</v>
      </c>
      <c r="CQ50" s="33">
        <v>772</v>
      </c>
      <c r="CR50" s="33">
        <f>ROUND(坦克等级成长!$H147*VLOOKUP($BV$2,坦克等级成长!$B$36:$G$42,MATCH(CR$3,坦克等级成长!$B$35:$G$35,0)),0)</f>
        <v>1213</v>
      </c>
      <c r="CS50" s="33">
        <f>ROUND(坦克等级成长!$H147*VLOOKUP($BV$2,坦克等级成长!$B$36:$G$42,MATCH(CS$3,坦克等级成长!$B$35:$G$35,0)),0)</f>
        <v>284</v>
      </c>
      <c r="CT50" s="192"/>
      <c r="CU50" s="188"/>
      <c r="CV50" s="188"/>
      <c r="CW50" s="188"/>
      <c r="CX50" s="188"/>
      <c r="CY50" s="188"/>
      <c r="CZ50" s="188"/>
      <c r="DA50" s="199"/>
      <c r="DB50" s="198">
        <v>15</v>
      </c>
      <c r="DC50" s="33">
        <f>ROUND(坦克等级成长!$F147*VLOOKUP($CT$2,坦克等级成长!$B$36:$G$42,MATCH(DC$3,坦克等级成长!$B$35:$G$35,0)),0)</f>
        <v>2640</v>
      </c>
      <c r="DD50" s="33">
        <f>ROUND(坦克等级成长!$F147*VLOOKUP($CT$2,坦克等级成长!$B$36:$G$42,MATCH(DD$3,坦克等级成长!$B$35:$G$35,0)),0)</f>
        <v>600</v>
      </c>
      <c r="DE50" s="33">
        <f>ROUND(坦克等级成长!$F147*VLOOKUP($CT$2,坦克等级成长!$B$36:$G$42,MATCH(DE$3,坦克等级成长!$B$35:$G$35,0)),0)</f>
        <v>1179</v>
      </c>
      <c r="DF50" s="33">
        <f t="shared" si="11"/>
        <v>1179</v>
      </c>
      <c r="DG50" s="33">
        <v>965</v>
      </c>
      <c r="DH50" s="33">
        <f>ROUND(坦克等级成长!$F147*VLOOKUP($CT$2,坦克等级成长!$B$36:$G$42,MATCH(DH$3,坦克等级成长!$B$35:$G$35,0)),0)</f>
        <v>990</v>
      </c>
      <c r="DI50" s="33">
        <f>ROUND(坦克等级成长!$F147*VLOOKUP($CT$2,坦克等级成长!$B$36:$G$42,MATCH(DI$3,坦克等级成长!$B$35:$G$35,0)),0)</f>
        <v>264</v>
      </c>
      <c r="DJ50" s="191">
        <v>15</v>
      </c>
      <c r="DK50" s="33">
        <f>ROUND(坦克等级成长!$H147*VLOOKUP($CT$2,坦克等级成长!$B$36:$G$42,MATCH(DK$3,坦克等级成长!$B$35:$G$35,0)),0)</f>
        <v>2696</v>
      </c>
      <c r="DL50" s="33">
        <f>ROUND(坦克等级成长!$H147*VLOOKUP($CT$2,坦克等级成长!$B$36:$G$42,MATCH(DL$3,坦克等级成长!$B$35:$G$35,0)),0)</f>
        <v>612</v>
      </c>
      <c r="DM50" s="33">
        <f>ROUND(坦克等级成长!$H147*VLOOKUP($CT$2,坦克等级成长!$B$36:$G$42,MATCH(DM$3,坦克等级成长!$B$35:$G$35,0)),0)</f>
        <v>1204</v>
      </c>
      <c r="DN50" s="33">
        <f t="shared" si="25"/>
        <v>1204</v>
      </c>
      <c r="DO50" s="33">
        <v>965</v>
      </c>
      <c r="DP50" s="33">
        <f>ROUND(坦克等级成长!$H147*VLOOKUP($CT$2,坦克等级成长!$B$36:$G$42,MATCH(DP$3,坦克等级成长!$B$35:$G$35,0)),0)</f>
        <v>1011</v>
      </c>
      <c r="DQ50" s="33">
        <f>ROUND(坦克等级成长!$H147*VLOOKUP($CT$2,坦克等级成长!$B$36:$G$42,MATCH(DQ$3,坦克等级成长!$B$35:$G$35,0)),0)</f>
        <v>270</v>
      </c>
      <c r="DR50" s="192"/>
      <c r="DS50" s="188"/>
      <c r="DT50" s="188"/>
      <c r="DU50" s="188"/>
      <c r="DV50" s="188"/>
      <c r="DW50" s="188"/>
      <c r="DX50" s="188"/>
      <c r="DY50" s="199"/>
      <c r="DZ50" s="198">
        <v>15</v>
      </c>
      <c r="EA50" s="33">
        <f>ROUND(坦克等级成长!$F147*VLOOKUP($DR$2,坦克等级成长!$B$36:$G$42,MATCH(EA$3,坦克等级成长!$B$35:$G$35,0)),0)</f>
        <v>3004</v>
      </c>
      <c r="EB50" s="33">
        <f>ROUND(坦克等级成长!$F147*VLOOKUP($DR$2,坦克等级成长!$B$36:$G$42,MATCH(EB$3,坦克等级成长!$B$35:$G$35,0)),0)</f>
        <v>1025</v>
      </c>
      <c r="EC50" s="33">
        <f>ROUND(坦克等级成长!$F147*VLOOKUP($DR$2,坦克等级成长!$B$36:$G$42,MATCH(EC$3,坦克等级成长!$B$35:$G$35,0)),0)</f>
        <v>943</v>
      </c>
      <c r="ED50" s="33">
        <f t="shared" si="12"/>
        <v>943</v>
      </c>
      <c r="EE50" s="33">
        <v>823</v>
      </c>
      <c r="EF50" s="33">
        <f>ROUND(坦克等级成长!$F147*VLOOKUP($DR$2,坦克等级成长!$B$36:$G$42,MATCH(EF$3,坦克等级成长!$B$35:$G$35,0)),0)</f>
        <v>1386</v>
      </c>
      <c r="EG50" s="33">
        <f>ROUND(坦克等级成长!$F147*VLOOKUP($DR$2,坦克等级成长!$B$36:$G$42,MATCH(EG$3,坦克等级成长!$B$35:$G$35,0)),0)</f>
        <v>300</v>
      </c>
      <c r="EH50" s="191">
        <v>15</v>
      </c>
      <c r="EI50" s="33">
        <f>ROUND(坦克等级成长!$H147*VLOOKUP($DR$2,坦克等级成长!$B$36:$G$42,MATCH(EI$3,坦克等级成长!$B$35:$G$35,0)),0)</f>
        <v>3067</v>
      </c>
      <c r="EJ50" s="33">
        <f>ROUND(坦克等级成长!$H147*VLOOKUP($DR$2,坦克等级成长!$B$36:$G$42,MATCH(EJ$3,坦克等级成长!$B$35:$G$35,0)),0)</f>
        <v>1046</v>
      </c>
      <c r="EK50" s="33">
        <f>ROUND(坦克等级成长!$H147*VLOOKUP($DR$2,坦克等级成长!$B$36:$G$42,MATCH(EK$3,坦克等级成长!$B$35:$G$35,0)),0)</f>
        <v>963</v>
      </c>
      <c r="EL50" s="33">
        <f t="shared" si="26"/>
        <v>963</v>
      </c>
      <c r="EM50" s="33">
        <v>823</v>
      </c>
      <c r="EN50" s="33">
        <f>ROUND(坦克等级成长!$H147*VLOOKUP($DR$2,坦克等级成长!$B$36:$G$42,MATCH(EN$3,坦克等级成长!$B$35:$G$35,0)),0)</f>
        <v>1415</v>
      </c>
      <c r="EO50" s="33">
        <f>ROUND(坦克等级成长!$H147*VLOOKUP($DR$2,坦克等级成长!$B$36:$G$42,MATCH(EO$3,坦克等级成长!$B$35:$G$35,0)),0)</f>
        <v>307</v>
      </c>
      <c r="EP50" s="192"/>
      <c r="EQ50" s="188"/>
      <c r="ER50" s="188"/>
      <c r="ES50" s="188"/>
      <c r="ET50" s="188"/>
      <c r="EU50" s="188"/>
      <c r="EV50" s="188"/>
      <c r="EW50" s="199"/>
      <c r="EX50" s="198">
        <v>15</v>
      </c>
      <c r="EY50" s="33">
        <f>ROUND(坦克等级成长!$F147*VLOOKUP($EP$2,坦克等级成长!$B$36:$G$42,MATCH(EY$3,坦克等级成长!$B$35:$G$35,0)),0)</f>
        <v>2782</v>
      </c>
      <c r="EZ50" s="33">
        <f>ROUND(坦克等级成长!$F147*VLOOKUP($EP$2,坦克等级成长!$B$36:$G$42,MATCH(EZ$3,坦克等级成长!$B$35:$G$35,0)),0)</f>
        <v>319</v>
      </c>
      <c r="FA50" s="33">
        <f>ROUND(坦克等级成长!$F147*VLOOKUP($EP$2,坦克等级成长!$B$36:$G$42,MATCH(FA$3,坦克等级成长!$B$35:$G$35,0)),0)</f>
        <v>1084</v>
      </c>
      <c r="FB50" s="33">
        <f t="shared" si="13"/>
        <v>1084</v>
      </c>
      <c r="FC50" s="33">
        <v>887</v>
      </c>
      <c r="FD50" s="33">
        <f>ROUND(坦克等级成长!$F147*VLOOKUP($EP$2,坦克等级成长!$B$36:$G$42,MATCH(FD$3,坦克等级成长!$B$35:$G$35,0)),0)</f>
        <v>1188</v>
      </c>
      <c r="FE50" s="33">
        <f>ROUND(坦克等级成长!$F147*VLOOKUP($EP$2,坦克等级成长!$B$36:$G$42,MATCH(FE$3,坦克等级成长!$B$35:$G$35,0)),0)</f>
        <v>278</v>
      </c>
      <c r="FF50" s="191">
        <v>15</v>
      </c>
      <c r="FG50" s="33">
        <f>ROUND(坦克等级成长!$H147*VLOOKUP($EP$2,坦克等级成长!$B$36:$G$42,MATCH(FG$3,坦克等级成长!$B$35:$G$35,0)),0)</f>
        <v>2841</v>
      </c>
      <c r="FH50" s="33">
        <f>ROUND(坦克等级成长!$H147*VLOOKUP($EP$2,坦克等级成长!$B$36:$G$42,MATCH(FH$3,坦克等级成长!$B$35:$G$35,0)),0)</f>
        <v>325</v>
      </c>
      <c r="FI50" s="33">
        <f>ROUND(坦克等级成长!$H147*VLOOKUP($EP$2,坦克等级成长!$B$36:$G$42,MATCH(FI$3,坦克等级成长!$B$35:$G$35,0)),0)</f>
        <v>1107</v>
      </c>
      <c r="FJ50" s="33">
        <f t="shared" si="27"/>
        <v>1107</v>
      </c>
      <c r="FK50" s="33">
        <v>887</v>
      </c>
      <c r="FL50" s="33">
        <f>ROUND(坦克等级成长!$H147*VLOOKUP($EP$2,坦克等级成长!$B$36:$G$42,MATCH(FL$3,坦克等级成长!$B$35:$G$35,0)),0)</f>
        <v>1213</v>
      </c>
      <c r="FM50" s="33">
        <f>ROUND(坦克等级成长!$H147*VLOOKUP($EP$2,坦克等级成长!$B$36:$G$42,MATCH(FM$3,坦克等级成长!$B$35:$G$35,0)),0)</f>
        <v>284</v>
      </c>
    </row>
    <row r="51" spans="1:169" ht="14.25" x14ac:dyDescent="0.3">
      <c r="A51" s="188">
        <v>4</v>
      </c>
      <c r="B51" s="192"/>
      <c r="C51" s="188"/>
      <c r="D51" s="188"/>
      <c r="E51" s="188"/>
      <c r="F51" s="188"/>
      <c r="G51" s="188"/>
      <c r="H51" s="188"/>
      <c r="I51" s="199"/>
      <c r="J51" s="198">
        <v>16</v>
      </c>
      <c r="K51" s="33">
        <f>ROUND(坦克等级成长!$F148*VLOOKUP($B$2,坦克等级成长!$B$36:$G$42,MATCH(K$3,坦克等级成长!$B$35:$G$35,0)),0)</f>
        <v>2728</v>
      </c>
      <c r="L51" s="33">
        <f>ROUND(坦克等级成长!$F148*VLOOKUP($B$2,坦克等级成长!$B$36:$G$42,MATCH(L$3,坦克等级成长!$B$35:$G$35,0)),0)</f>
        <v>297</v>
      </c>
      <c r="M51" s="33">
        <f>ROUND(坦克等级成长!$F148*VLOOKUP($B$2,坦克等级成长!$B$36:$G$42,MATCH(M$3,坦克等级成长!$B$35:$G$35,0)),0)</f>
        <v>1023</v>
      </c>
      <c r="N51" s="33">
        <f t="shared" si="7"/>
        <v>1023</v>
      </c>
      <c r="O51" s="33">
        <v>783</v>
      </c>
      <c r="P51" s="33">
        <f>ROUND(坦克等级成长!$F148*VLOOKUP($B$2,坦克等级成长!$B$36:$G$42,MATCH(P$3,坦克等级成长!$B$35:$G$35,0)),0)</f>
        <v>1023</v>
      </c>
      <c r="Q51" s="33">
        <f>ROUND(坦克等级成长!$F148*VLOOKUP($B$2,坦克等级成长!$B$36:$G$42,MATCH(Q$3,坦克等级成长!$B$35:$G$35,0)),0)</f>
        <v>273</v>
      </c>
      <c r="R51" s="191">
        <v>16</v>
      </c>
      <c r="S51" s="33">
        <f>ROUND(坦克等级成长!$H148*VLOOKUP($B$2,坦克等级成长!$B$36:$G$42,MATCH(S$3,坦克等级成长!$B$35:$G$35,0)),0)</f>
        <v>2792</v>
      </c>
      <c r="T51" s="33">
        <f>ROUND(坦克等级成长!$H148*VLOOKUP($B$2,坦克等级成长!$B$36:$G$42,MATCH(T$3,坦克等级成长!$B$35:$G$35,0)),0)</f>
        <v>304</v>
      </c>
      <c r="U51" s="33">
        <f>ROUND(坦克等级成长!$H148*VLOOKUP($B$2,坦克等级成长!$B$36:$G$42,MATCH(U$3,坦克等级成长!$B$35:$G$35,0)),0)</f>
        <v>1047</v>
      </c>
      <c r="V51" s="33">
        <f t="shared" si="21"/>
        <v>1047</v>
      </c>
      <c r="W51" s="33">
        <v>783</v>
      </c>
      <c r="X51" s="33">
        <f>ROUND(坦克等级成长!$H148*VLOOKUP($B$2,坦克等级成长!$B$36:$G$42,MATCH(X$3,坦克等级成长!$B$35:$G$35,0)),0)</f>
        <v>1047</v>
      </c>
      <c r="Y51" s="33">
        <f>ROUND(坦克等级成长!$H148*VLOOKUP($B$2,坦克等级成长!$B$36:$G$42,MATCH(Y$3,坦克等级成长!$B$35:$G$35,0)),0)</f>
        <v>279</v>
      </c>
      <c r="Z51" s="192"/>
      <c r="AA51" s="188"/>
      <c r="AB51" s="188"/>
      <c r="AC51" s="188"/>
      <c r="AD51" s="188"/>
      <c r="AE51" s="188"/>
      <c r="AF51" s="188"/>
      <c r="AG51" s="199"/>
      <c r="AH51" s="198">
        <v>16</v>
      </c>
      <c r="AI51" s="33">
        <f>ROUND(坦克等级成长!$F148*VLOOKUP($Z$2,坦克等级成长!$B$36:$G$42,MATCH(AI$3,坦克等级成长!$B$35:$G$35,0)),0)</f>
        <v>2728</v>
      </c>
      <c r="AJ51" s="33">
        <f>ROUND(坦克等级成长!$F148*VLOOKUP($Z$2,坦克等级成长!$B$36:$G$42,MATCH(AJ$3,坦克等级成长!$B$35:$G$35,0)),0)</f>
        <v>161</v>
      </c>
      <c r="AK51" s="33">
        <f>ROUND(坦克等级成长!$F148*VLOOKUP($Z$2,坦克等级成长!$B$36:$G$42,MATCH(AK$3,坦克等级成长!$B$35:$G$35,0)),0)</f>
        <v>1120</v>
      </c>
      <c r="AL51" s="33">
        <f t="shared" si="8"/>
        <v>1120</v>
      </c>
      <c r="AM51" s="33">
        <v>858</v>
      </c>
      <c r="AN51" s="33">
        <f>ROUND(坦克等级成长!$F148*VLOOKUP($Z$2,坦克等级成长!$B$36:$G$42,MATCH(AN$3,坦克等级成长!$B$35:$G$35,0)),0)</f>
        <v>1023</v>
      </c>
      <c r="AO51" s="33">
        <f>ROUND(坦克等级成长!$F148*VLOOKUP($Z$2,坦克等级成长!$B$36:$G$42,MATCH(AO$3,坦克等级成长!$B$35:$G$35,0)),0)</f>
        <v>273</v>
      </c>
      <c r="AP51" s="191">
        <v>16</v>
      </c>
      <c r="AQ51" s="33">
        <f>ROUND(坦克等级成长!$H148*VLOOKUP($Z$2,坦克等级成长!$B$36:$G$42,MATCH(AQ$3,坦克等级成长!$B$35:$G$35,0)),0)</f>
        <v>2792</v>
      </c>
      <c r="AR51" s="33">
        <f>ROUND(坦克等级成长!$H148*VLOOKUP($Z$2,坦克等级成长!$B$36:$G$42,MATCH(AR$3,坦克等级成长!$B$35:$G$35,0)),0)</f>
        <v>165</v>
      </c>
      <c r="AS51" s="33">
        <f>ROUND(坦克等级成长!$H148*VLOOKUP($Z$2,坦克等级成长!$B$36:$G$42,MATCH(AS$3,坦克等级成长!$B$35:$G$35,0)),0)</f>
        <v>1147</v>
      </c>
      <c r="AT51" s="33">
        <f t="shared" si="22"/>
        <v>1147</v>
      </c>
      <c r="AU51" s="33">
        <v>858</v>
      </c>
      <c r="AV51" s="33">
        <f>ROUND(坦克等级成长!$H148*VLOOKUP($Z$2,坦克等级成长!$B$36:$G$42,MATCH(AV$3,坦克等级成长!$B$35:$G$35,0)),0)</f>
        <v>1047</v>
      </c>
      <c r="AW51" s="33">
        <f>ROUND(坦克等级成长!$H148*VLOOKUP($Z$2,坦克等级成长!$B$36:$G$42,MATCH(AW$3,坦克等级成长!$B$35:$G$35,0)),0)</f>
        <v>279</v>
      </c>
      <c r="AX51" s="192"/>
      <c r="AY51" s="188"/>
      <c r="AZ51" s="188"/>
      <c r="BA51" s="188"/>
      <c r="BB51" s="188"/>
      <c r="BC51" s="188"/>
      <c r="BD51" s="188"/>
      <c r="BE51" s="199"/>
      <c r="BF51" s="198">
        <v>16</v>
      </c>
      <c r="BG51" s="33">
        <f>ROUND(坦克等级成长!$F148*VLOOKUP($AX$2,坦克等级成长!$B$36:$G$42,MATCH(BG$3,坦克等级成长!$B$35:$G$35,0)),0)</f>
        <v>2728</v>
      </c>
      <c r="BH51" s="33">
        <f>ROUND(坦克等级成长!$F148*VLOOKUP($AX$2,坦克等级成长!$B$36:$G$42,MATCH(BH$3,坦克等级成长!$B$35:$G$35,0)),0)</f>
        <v>297</v>
      </c>
      <c r="BI51" s="33">
        <f>ROUND(坦克等级成长!$F148*VLOOKUP($AX$2,坦克等级成长!$B$36:$G$42,MATCH(BI$3,坦克等级成长!$B$35:$G$35,0)),0)</f>
        <v>1023</v>
      </c>
      <c r="BJ51" s="33">
        <f t="shared" si="9"/>
        <v>1023</v>
      </c>
      <c r="BK51" s="33">
        <v>783</v>
      </c>
      <c r="BL51" s="33">
        <f>ROUND(坦克等级成长!$F148*VLOOKUP($AX$2,坦克等级成长!$B$36:$G$42,MATCH(BL$3,坦克等级成长!$B$35:$G$35,0)),0)</f>
        <v>1023</v>
      </c>
      <c r="BM51" s="33">
        <f>ROUND(坦克等级成长!$F148*VLOOKUP($AX$2,坦克等级成长!$B$36:$G$42,MATCH(BM$3,坦克等级成长!$B$35:$G$35,0)),0)</f>
        <v>273</v>
      </c>
      <c r="BN51" s="191">
        <v>16</v>
      </c>
      <c r="BO51" s="33">
        <f>ROUND(坦克等级成长!$H148*VLOOKUP($AX$2,坦克等级成长!$B$36:$G$42,MATCH(BO$3,坦克等级成长!$B$35:$G$35,0)),0)</f>
        <v>2792</v>
      </c>
      <c r="BP51" s="33">
        <f>ROUND(坦克等级成长!$H148*VLOOKUP($AX$2,坦克等级成长!$B$36:$G$42,MATCH(BP$3,坦克等级成长!$B$35:$G$35,0)),0)</f>
        <v>304</v>
      </c>
      <c r="BQ51" s="33">
        <f>ROUND(坦克等级成长!$H148*VLOOKUP($AX$2,坦克等级成长!$B$36:$G$42,MATCH(BQ$3,坦克等级成长!$B$35:$G$35,0)),0)</f>
        <v>1047</v>
      </c>
      <c r="BR51" s="33">
        <f t="shared" si="23"/>
        <v>1047</v>
      </c>
      <c r="BS51" s="33">
        <v>783</v>
      </c>
      <c r="BT51" s="33">
        <f>ROUND(坦克等级成长!$H148*VLOOKUP($AX$2,坦克等级成长!$B$36:$G$42,MATCH(BT$3,坦克等级成长!$B$35:$G$35,0)),0)</f>
        <v>1047</v>
      </c>
      <c r="BU51" s="33">
        <f>ROUND(坦克等级成长!$H148*VLOOKUP($AX$2,坦克等级成长!$B$36:$G$42,MATCH(BU$3,坦克等级成长!$B$35:$G$35,0)),0)</f>
        <v>279</v>
      </c>
      <c r="BV51" s="192"/>
      <c r="BW51" s="188"/>
      <c r="BX51" s="188"/>
      <c r="BY51" s="188"/>
      <c r="BZ51" s="188"/>
      <c r="CA51" s="188"/>
      <c r="CB51" s="188"/>
      <c r="CC51" s="199"/>
      <c r="CD51" s="198">
        <v>16</v>
      </c>
      <c r="CE51" s="33">
        <f>ROUND(坦克等级成长!$F148*VLOOKUP($BV$2,坦克等级成长!$B$36:$G$42,MATCH(CE$3,坦克等级成长!$B$35:$G$35,0)),0)</f>
        <v>2875</v>
      </c>
      <c r="CF51" s="33">
        <f>ROUND(坦克等级成长!$F148*VLOOKUP($BV$2,坦克等级成长!$B$36:$G$42,MATCH(CF$3,坦克等级成长!$B$35:$G$35,0)),0)</f>
        <v>271</v>
      </c>
      <c r="CG51" s="33">
        <f>ROUND(坦克等级成长!$F148*VLOOKUP($BV$2,坦克等级成长!$B$36:$G$42,MATCH(CG$3,坦克等级成长!$B$35:$G$35,0)),0)</f>
        <v>974</v>
      </c>
      <c r="CH51" s="33">
        <f t="shared" si="10"/>
        <v>974</v>
      </c>
      <c r="CI51" s="33">
        <v>800</v>
      </c>
      <c r="CJ51" s="33">
        <f>ROUND(坦克等级成长!$F148*VLOOKUP($BV$2,坦克等级成长!$B$36:$G$42,MATCH(CJ$3,坦克等级成长!$B$35:$G$35,0)),0)</f>
        <v>1228</v>
      </c>
      <c r="CK51" s="33">
        <f>ROUND(坦克等级成长!$F148*VLOOKUP($BV$2,坦克等级成长!$B$36:$G$42,MATCH(CK$3,坦克等级成长!$B$35:$G$35,0)),0)</f>
        <v>287</v>
      </c>
      <c r="CL51" s="191">
        <v>16</v>
      </c>
      <c r="CM51" s="33">
        <f>ROUND(坦克等级成长!$H148*VLOOKUP($BV$2,坦克等级成长!$B$36:$G$42,MATCH(CM$3,坦克等级成长!$B$35:$G$35,0)),0)</f>
        <v>2942</v>
      </c>
      <c r="CN51" s="33">
        <f>ROUND(坦克等级成长!$H148*VLOOKUP($BV$2,坦克等级成长!$B$36:$G$42,MATCH(CN$3,坦克等级成长!$B$35:$G$35,0)),0)</f>
        <v>277</v>
      </c>
      <c r="CO51" s="33">
        <f>ROUND(坦克等级成长!$H148*VLOOKUP($BV$2,坦克等级成长!$B$36:$G$42,MATCH(CO$3,坦克等级成长!$B$35:$G$35,0)),0)</f>
        <v>997</v>
      </c>
      <c r="CP51" s="33">
        <f t="shared" si="24"/>
        <v>997</v>
      </c>
      <c r="CQ51" s="33">
        <v>800</v>
      </c>
      <c r="CR51" s="33">
        <f>ROUND(坦克等级成长!$H148*VLOOKUP($BV$2,坦克等级成长!$B$36:$G$42,MATCH(CR$3,坦克等级成长!$B$35:$G$35,0)),0)</f>
        <v>1256</v>
      </c>
      <c r="CS51" s="33">
        <f>ROUND(坦克等级成长!$H148*VLOOKUP($BV$2,坦克等级成长!$B$36:$G$42,MATCH(CS$3,坦克等级成长!$B$35:$G$35,0)),0)</f>
        <v>294</v>
      </c>
      <c r="CT51" s="192"/>
      <c r="CU51" s="188"/>
      <c r="CV51" s="188"/>
      <c r="CW51" s="188"/>
      <c r="CX51" s="188"/>
      <c r="CY51" s="188"/>
      <c r="CZ51" s="188"/>
      <c r="DA51" s="199"/>
      <c r="DB51" s="198">
        <v>16</v>
      </c>
      <c r="DC51" s="33">
        <f>ROUND(坦克等级成长!$F148*VLOOKUP($CT$2,坦克等级成长!$B$36:$G$42,MATCH(DC$3,坦克等级成长!$B$35:$G$35,0)),0)</f>
        <v>2728</v>
      </c>
      <c r="DD51" s="33">
        <f>ROUND(坦克等级成长!$F148*VLOOKUP($CT$2,坦克等级成长!$B$36:$G$42,MATCH(DD$3,坦克等级成长!$B$35:$G$35,0)),0)</f>
        <v>620</v>
      </c>
      <c r="DE51" s="33">
        <f>ROUND(坦克等级成长!$F148*VLOOKUP($CT$2,坦克等级成长!$B$36:$G$42,MATCH(DE$3,坦克等级成长!$B$35:$G$35,0)),0)</f>
        <v>1218</v>
      </c>
      <c r="DF51" s="33">
        <f t="shared" si="11"/>
        <v>1218</v>
      </c>
      <c r="DG51" s="33">
        <v>999</v>
      </c>
      <c r="DH51" s="33">
        <f>ROUND(坦克等级成长!$F148*VLOOKUP($CT$2,坦克等级成长!$B$36:$G$42,MATCH(DH$3,坦克等级成长!$B$35:$G$35,0)),0)</f>
        <v>1023</v>
      </c>
      <c r="DI51" s="33">
        <f>ROUND(坦克等级成长!$F148*VLOOKUP($CT$2,坦克等级成长!$B$36:$G$42,MATCH(DI$3,坦克等级成长!$B$35:$G$35,0)),0)</f>
        <v>273</v>
      </c>
      <c r="DJ51" s="191">
        <v>16</v>
      </c>
      <c r="DK51" s="33">
        <f>ROUND(坦克等级成长!$H148*VLOOKUP($CT$2,坦克等级成长!$B$36:$G$42,MATCH(DK$3,坦克等级成长!$B$35:$G$35,0)),0)</f>
        <v>2792</v>
      </c>
      <c r="DL51" s="33">
        <f>ROUND(坦克等级成长!$H148*VLOOKUP($CT$2,坦克等级成长!$B$36:$G$42,MATCH(DL$3,坦克等级成长!$B$35:$G$35,0)),0)</f>
        <v>634</v>
      </c>
      <c r="DM51" s="33">
        <f>ROUND(坦克等级成长!$H148*VLOOKUP($CT$2,坦克等级成长!$B$36:$G$42,MATCH(DM$3,坦克等级成长!$B$35:$G$35,0)),0)</f>
        <v>1246</v>
      </c>
      <c r="DN51" s="33">
        <f t="shared" si="25"/>
        <v>1246</v>
      </c>
      <c r="DO51" s="33">
        <v>999</v>
      </c>
      <c r="DP51" s="33">
        <f>ROUND(坦克等级成长!$H148*VLOOKUP($CT$2,坦克等级成长!$B$36:$G$42,MATCH(DP$3,坦克等级成长!$B$35:$G$35,0)),0)</f>
        <v>1047</v>
      </c>
      <c r="DQ51" s="33">
        <f>ROUND(坦克等级成长!$H148*VLOOKUP($CT$2,坦克等级成长!$B$36:$G$42,MATCH(DQ$3,坦克等级成长!$B$35:$G$35,0)),0)</f>
        <v>279</v>
      </c>
      <c r="DR51" s="192"/>
      <c r="DS51" s="188"/>
      <c r="DT51" s="188"/>
      <c r="DU51" s="188"/>
      <c r="DV51" s="188"/>
      <c r="DW51" s="188"/>
      <c r="DX51" s="188"/>
      <c r="DY51" s="199"/>
      <c r="DZ51" s="198">
        <v>16</v>
      </c>
      <c r="EA51" s="33">
        <f>ROUND(坦克等级成长!$F148*VLOOKUP($DR$2,坦克等级成长!$B$36:$G$42,MATCH(EA$3,坦克等级成长!$B$35:$G$35,0)),0)</f>
        <v>3104</v>
      </c>
      <c r="EB51" s="33">
        <f>ROUND(坦克等级成长!$F148*VLOOKUP($DR$2,坦克等级成长!$B$36:$G$42,MATCH(EB$3,坦克等级成长!$B$35:$G$35,0)),0)</f>
        <v>1059</v>
      </c>
      <c r="EC51" s="33">
        <f>ROUND(坦克等级成长!$F148*VLOOKUP($DR$2,坦克等级成长!$B$36:$G$42,MATCH(EC$3,坦克等级成长!$B$35:$G$35,0)),0)</f>
        <v>974</v>
      </c>
      <c r="ED51" s="33">
        <f t="shared" si="12"/>
        <v>974</v>
      </c>
      <c r="EE51" s="33">
        <v>853</v>
      </c>
      <c r="EF51" s="33">
        <f>ROUND(坦克等级成长!$F148*VLOOKUP($DR$2,坦克等级成长!$B$36:$G$42,MATCH(EF$3,坦克等级成长!$B$35:$G$35,0)),0)</f>
        <v>1432</v>
      </c>
      <c r="EG51" s="33">
        <f>ROUND(坦克等级成长!$F148*VLOOKUP($DR$2,坦克等级成长!$B$36:$G$42,MATCH(EG$3,坦克等级成长!$B$35:$G$35,0)),0)</f>
        <v>310</v>
      </c>
      <c r="EH51" s="191">
        <v>16</v>
      </c>
      <c r="EI51" s="33">
        <f>ROUND(坦克等级成长!$H148*VLOOKUP($DR$2,坦克等级成长!$B$36:$G$42,MATCH(EI$3,坦克等级成长!$B$35:$G$35,0)),0)</f>
        <v>3177</v>
      </c>
      <c r="EJ51" s="33">
        <f>ROUND(坦克等级成长!$H148*VLOOKUP($DR$2,坦克等级成长!$B$36:$G$42,MATCH(EJ$3,坦克等级成长!$B$35:$G$35,0)),0)</f>
        <v>1084</v>
      </c>
      <c r="EK51" s="33">
        <f>ROUND(坦克等级成长!$H148*VLOOKUP($DR$2,坦克等级成长!$B$36:$G$42,MATCH(EK$3,坦克等级成长!$B$35:$G$35,0)),0)</f>
        <v>997</v>
      </c>
      <c r="EL51" s="33">
        <f t="shared" si="26"/>
        <v>997</v>
      </c>
      <c r="EM51" s="33">
        <v>853</v>
      </c>
      <c r="EN51" s="33">
        <f>ROUND(坦克等级成长!$H148*VLOOKUP($DR$2,坦克等级成长!$B$36:$G$42,MATCH(EN$3,坦克等级成长!$B$35:$G$35,0)),0)</f>
        <v>1466</v>
      </c>
      <c r="EO51" s="33">
        <f>ROUND(坦克等级成长!$H148*VLOOKUP($DR$2,坦克等级成长!$B$36:$G$42,MATCH(EO$3,坦克等级成长!$B$35:$G$35,0)),0)</f>
        <v>318</v>
      </c>
      <c r="EP51" s="192"/>
      <c r="EQ51" s="188"/>
      <c r="ER51" s="188"/>
      <c r="ES51" s="188"/>
      <c r="ET51" s="188"/>
      <c r="EU51" s="188"/>
      <c r="EV51" s="188"/>
      <c r="EW51" s="199"/>
      <c r="EX51" s="198">
        <v>16</v>
      </c>
      <c r="EY51" s="33">
        <f>ROUND(坦克等级成长!$F148*VLOOKUP($EP$2,坦克等级成长!$B$36:$G$42,MATCH(EY$3,坦克等级成长!$B$35:$G$35,0)),0)</f>
        <v>2875</v>
      </c>
      <c r="EZ51" s="33">
        <f>ROUND(坦克等级成长!$F148*VLOOKUP($EP$2,坦克等级成长!$B$36:$G$42,MATCH(EZ$3,坦克等级成长!$B$35:$G$35,0)),0)</f>
        <v>329</v>
      </c>
      <c r="FA51" s="33">
        <f>ROUND(坦克等级成长!$F148*VLOOKUP($EP$2,坦克等级成长!$B$36:$G$42,MATCH(FA$3,坦克等级成长!$B$35:$G$35,0)),0)</f>
        <v>1120</v>
      </c>
      <c r="FB51" s="33">
        <f t="shared" si="13"/>
        <v>1120</v>
      </c>
      <c r="FC51" s="33">
        <v>920</v>
      </c>
      <c r="FD51" s="33">
        <f>ROUND(坦克等级成长!$F148*VLOOKUP($EP$2,坦克等级成长!$B$36:$G$42,MATCH(FD$3,坦克等级成长!$B$35:$G$35,0)),0)</f>
        <v>1228</v>
      </c>
      <c r="FE51" s="33">
        <f>ROUND(坦克等级成长!$F148*VLOOKUP($EP$2,坦克等级成长!$B$36:$G$42,MATCH(FE$3,坦克等级成长!$B$35:$G$35,0)),0)</f>
        <v>287</v>
      </c>
      <c r="FF51" s="191">
        <v>16</v>
      </c>
      <c r="FG51" s="33">
        <f>ROUND(坦克等级成长!$H148*VLOOKUP($EP$2,坦克等级成长!$B$36:$G$42,MATCH(FG$3,坦克等级成长!$B$35:$G$35,0)),0)</f>
        <v>2942</v>
      </c>
      <c r="FH51" s="33">
        <f>ROUND(坦克等级成长!$H148*VLOOKUP($EP$2,坦克等级成长!$B$36:$G$42,MATCH(FH$3,坦克等级成长!$B$35:$G$35,0)),0)</f>
        <v>337</v>
      </c>
      <c r="FI51" s="33">
        <f>ROUND(坦克等级成长!$H148*VLOOKUP($EP$2,坦克等级成长!$B$36:$G$42,MATCH(FI$3,坦克等级成长!$B$35:$G$35,0)),0)</f>
        <v>1147</v>
      </c>
      <c r="FJ51" s="33">
        <f t="shared" si="27"/>
        <v>1147</v>
      </c>
      <c r="FK51" s="33">
        <v>920</v>
      </c>
      <c r="FL51" s="33">
        <f>ROUND(坦克等级成长!$H148*VLOOKUP($EP$2,坦克等级成长!$B$36:$G$42,MATCH(FL$3,坦克等级成长!$B$35:$G$35,0)),0)</f>
        <v>1256</v>
      </c>
      <c r="FM51" s="33">
        <f>ROUND(坦克等级成长!$H148*VLOOKUP($EP$2,坦克等级成长!$B$36:$G$42,MATCH(FM$3,坦克等级成长!$B$35:$G$35,0)),0)</f>
        <v>294</v>
      </c>
    </row>
    <row r="52" spans="1:169" ht="14.25" x14ac:dyDescent="0.3">
      <c r="A52" s="188">
        <v>4</v>
      </c>
      <c r="B52" s="192"/>
      <c r="C52" s="188"/>
      <c r="D52" s="188"/>
      <c r="E52" s="188"/>
      <c r="F52" s="188"/>
      <c r="G52" s="188"/>
      <c r="H52" s="188"/>
      <c r="I52" s="199"/>
      <c r="J52" s="198">
        <v>17</v>
      </c>
      <c r="K52" s="33">
        <f>ROUND(坦克等级成长!$F149*VLOOKUP($B$2,坦克等级成长!$B$36:$G$42,MATCH(K$3,坦克等级成长!$B$35:$G$35,0)),0)</f>
        <v>2816</v>
      </c>
      <c r="L52" s="33">
        <f>ROUND(坦克等级成长!$F149*VLOOKUP($B$2,坦克等级成长!$B$36:$G$42,MATCH(L$3,坦克等级成长!$B$35:$G$35,0)),0)</f>
        <v>306</v>
      </c>
      <c r="M52" s="33">
        <f>ROUND(坦克等级成长!$F149*VLOOKUP($B$2,坦克等级成长!$B$36:$G$42,MATCH(M$3,坦克等级成长!$B$35:$G$35,0)),0)</f>
        <v>1056</v>
      </c>
      <c r="N52" s="33">
        <f t="shared" si="7"/>
        <v>1056</v>
      </c>
      <c r="O52" s="33">
        <v>811</v>
      </c>
      <c r="P52" s="33">
        <f>ROUND(坦克等级成长!$F149*VLOOKUP($B$2,坦克等级成长!$B$36:$G$42,MATCH(P$3,坦克等级成长!$B$35:$G$35,0)),0)</f>
        <v>1056</v>
      </c>
      <c r="Q52" s="33">
        <f>ROUND(坦克等级成长!$F149*VLOOKUP($B$2,坦克等级成长!$B$36:$G$42,MATCH(Q$3,坦克等级成长!$B$35:$G$35,0)),0)</f>
        <v>282</v>
      </c>
      <c r="R52" s="191">
        <v>17</v>
      </c>
      <c r="S52" s="33">
        <f>ROUND(坦克等级成长!$H149*VLOOKUP($B$2,坦克等级成长!$B$36:$G$42,MATCH(S$3,坦克等级成长!$B$35:$G$35,0)),0)</f>
        <v>2888</v>
      </c>
      <c r="T52" s="33">
        <f>ROUND(坦克等级成长!$H149*VLOOKUP($B$2,坦克等级成长!$B$36:$G$42,MATCH(T$3,坦克等级成长!$B$35:$G$35,0)),0)</f>
        <v>314</v>
      </c>
      <c r="U52" s="33">
        <f>ROUND(坦克等级成长!$H149*VLOOKUP($B$2,坦克等级成长!$B$36:$G$42,MATCH(U$3,坦克等级成长!$B$35:$G$35,0)),0)</f>
        <v>1083</v>
      </c>
      <c r="V52" s="33">
        <f t="shared" si="21"/>
        <v>1083</v>
      </c>
      <c r="W52" s="33">
        <v>811</v>
      </c>
      <c r="X52" s="33">
        <f>ROUND(坦克等级成长!$H149*VLOOKUP($B$2,坦克等级成长!$B$36:$G$42,MATCH(X$3,坦克等级成长!$B$35:$G$35,0)),0)</f>
        <v>1083</v>
      </c>
      <c r="Y52" s="33">
        <f>ROUND(坦克等级成长!$H149*VLOOKUP($B$2,坦克等级成长!$B$36:$G$42,MATCH(Y$3,坦克等级成长!$B$35:$G$35,0)),0)</f>
        <v>289</v>
      </c>
      <c r="Z52" s="192"/>
      <c r="AA52" s="188"/>
      <c r="AB52" s="188"/>
      <c r="AC52" s="188"/>
      <c r="AD52" s="188"/>
      <c r="AE52" s="188"/>
      <c r="AF52" s="188"/>
      <c r="AG52" s="199"/>
      <c r="AH52" s="198">
        <v>17</v>
      </c>
      <c r="AI52" s="33">
        <f>ROUND(坦克等级成长!$F149*VLOOKUP($Z$2,坦克等级成长!$B$36:$G$42,MATCH(AI$3,坦克等级成长!$B$35:$G$35,0)),0)</f>
        <v>2816</v>
      </c>
      <c r="AJ52" s="33">
        <f>ROUND(坦克等级成长!$F149*VLOOKUP($Z$2,坦克等级成长!$B$36:$G$42,MATCH(AJ$3,坦克等级成长!$B$35:$G$35,0)),0)</f>
        <v>166</v>
      </c>
      <c r="AK52" s="33">
        <f>ROUND(坦克等级成长!$F149*VLOOKUP($Z$2,坦克等级成长!$B$36:$G$42,MATCH(AK$3,坦克等级成长!$B$35:$G$35,0)),0)</f>
        <v>1157</v>
      </c>
      <c r="AL52" s="33">
        <f t="shared" si="8"/>
        <v>1157</v>
      </c>
      <c r="AM52" s="33">
        <v>888</v>
      </c>
      <c r="AN52" s="33">
        <f>ROUND(坦克等级成长!$F149*VLOOKUP($Z$2,坦克等级成长!$B$36:$G$42,MATCH(AN$3,坦克等级成长!$B$35:$G$35,0)),0)</f>
        <v>1056</v>
      </c>
      <c r="AO52" s="33">
        <f>ROUND(坦克等级成长!$F149*VLOOKUP($Z$2,坦克等级成长!$B$36:$G$42,MATCH(AO$3,坦克等级成长!$B$35:$G$35,0)),0)</f>
        <v>282</v>
      </c>
      <c r="AP52" s="191">
        <v>17</v>
      </c>
      <c r="AQ52" s="33">
        <f>ROUND(坦克等级成长!$H149*VLOOKUP($Z$2,坦克等级成长!$B$36:$G$42,MATCH(AQ$3,坦克等级成长!$B$35:$G$35,0)),0)</f>
        <v>2888</v>
      </c>
      <c r="AR52" s="33">
        <f>ROUND(坦克等级成长!$H149*VLOOKUP($Z$2,坦克等级成长!$B$36:$G$42,MATCH(AR$3,坦克等级成长!$B$35:$G$35,0)),0)</f>
        <v>170</v>
      </c>
      <c r="AS52" s="33">
        <f>ROUND(坦克等级成长!$H149*VLOOKUP($Z$2,坦克等级成长!$B$36:$G$42,MATCH(AS$3,坦克等级成长!$B$35:$G$35,0)),0)</f>
        <v>1186</v>
      </c>
      <c r="AT52" s="33">
        <f t="shared" si="22"/>
        <v>1186</v>
      </c>
      <c r="AU52" s="33">
        <v>888</v>
      </c>
      <c r="AV52" s="33">
        <f>ROUND(坦克等级成长!$H149*VLOOKUP($Z$2,坦克等级成长!$B$36:$G$42,MATCH(AV$3,坦克等级成长!$B$35:$G$35,0)),0)</f>
        <v>1083</v>
      </c>
      <c r="AW52" s="33">
        <f>ROUND(坦克等级成长!$H149*VLOOKUP($Z$2,坦克等级成长!$B$36:$G$42,MATCH(AW$3,坦克等级成长!$B$35:$G$35,0)),0)</f>
        <v>289</v>
      </c>
      <c r="AX52" s="192"/>
      <c r="AY52" s="188"/>
      <c r="AZ52" s="188"/>
      <c r="BA52" s="188"/>
      <c r="BB52" s="188"/>
      <c r="BC52" s="188"/>
      <c r="BD52" s="188"/>
      <c r="BE52" s="199"/>
      <c r="BF52" s="198">
        <v>17</v>
      </c>
      <c r="BG52" s="33">
        <f>ROUND(坦克等级成长!$F149*VLOOKUP($AX$2,坦克等级成长!$B$36:$G$42,MATCH(BG$3,坦克等级成长!$B$35:$G$35,0)),0)</f>
        <v>2816</v>
      </c>
      <c r="BH52" s="33">
        <f>ROUND(坦克等级成长!$F149*VLOOKUP($AX$2,坦克等级成长!$B$36:$G$42,MATCH(BH$3,坦克等级成长!$B$35:$G$35,0)),0)</f>
        <v>306</v>
      </c>
      <c r="BI52" s="33">
        <f>ROUND(坦克等级成长!$F149*VLOOKUP($AX$2,坦克等级成长!$B$36:$G$42,MATCH(BI$3,坦克等级成长!$B$35:$G$35,0)),0)</f>
        <v>1056</v>
      </c>
      <c r="BJ52" s="33">
        <f t="shared" si="9"/>
        <v>1056</v>
      </c>
      <c r="BK52" s="33">
        <v>811</v>
      </c>
      <c r="BL52" s="33">
        <f>ROUND(坦克等级成长!$F149*VLOOKUP($AX$2,坦克等级成长!$B$36:$G$42,MATCH(BL$3,坦克等级成长!$B$35:$G$35,0)),0)</f>
        <v>1056</v>
      </c>
      <c r="BM52" s="33">
        <f>ROUND(坦克等级成长!$F149*VLOOKUP($AX$2,坦克等级成长!$B$36:$G$42,MATCH(BM$3,坦克等级成长!$B$35:$G$35,0)),0)</f>
        <v>282</v>
      </c>
      <c r="BN52" s="191">
        <v>17</v>
      </c>
      <c r="BO52" s="33">
        <f>ROUND(坦克等级成长!$H149*VLOOKUP($AX$2,坦克等级成长!$B$36:$G$42,MATCH(BO$3,坦克等级成长!$B$35:$G$35,0)),0)</f>
        <v>2888</v>
      </c>
      <c r="BP52" s="33">
        <f>ROUND(坦克等级成长!$H149*VLOOKUP($AX$2,坦克等级成长!$B$36:$G$42,MATCH(BP$3,坦克等级成长!$B$35:$G$35,0)),0)</f>
        <v>314</v>
      </c>
      <c r="BQ52" s="33">
        <f>ROUND(坦克等级成长!$H149*VLOOKUP($AX$2,坦克等级成长!$B$36:$G$42,MATCH(BQ$3,坦克等级成长!$B$35:$G$35,0)),0)</f>
        <v>1083</v>
      </c>
      <c r="BR52" s="33">
        <f t="shared" si="23"/>
        <v>1083</v>
      </c>
      <c r="BS52" s="33">
        <v>811</v>
      </c>
      <c r="BT52" s="33">
        <f>ROUND(坦克等级成长!$H149*VLOOKUP($AX$2,坦克等级成长!$B$36:$G$42,MATCH(BT$3,坦克等级成长!$B$35:$G$35,0)),0)</f>
        <v>1083</v>
      </c>
      <c r="BU52" s="33">
        <f>ROUND(坦克等级成长!$H149*VLOOKUP($AX$2,坦克等级成长!$B$36:$G$42,MATCH(BU$3,坦克等级成长!$B$35:$G$35,0)),0)</f>
        <v>289</v>
      </c>
      <c r="BV52" s="192"/>
      <c r="BW52" s="188"/>
      <c r="BX52" s="188"/>
      <c r="BY52" s="188"/>
      <c r="BZ52" s="188"/>
      <c r="CA52" s="188"/>
      <c r="CB52" s="188"/>
      <c r="CC52" s="199"/>
      <c r="CD52" s="198">
        <v>17</v>
      </c>
      <c r="CE52" s="33">
        <f>ROUND(坦克等级成长!$F149*VLOOKUP($BV$2,坦克等级成长!$B$36:$G$42,MATCH(CE$3,坦克等级成长!$B$35:$G$35,0)),0)</f>
        <v>2967</v>
      </c>
      <c r="CF52" s="33">
        <f>ROUND(坦克等级成长!$F149*VLOOKUP($BV$2,坦克等级成长!$B$36:$G$42,MATCH(CF$3,坦克等级成长!$B$35:$G$35,0)),0)</f>
        <v>280</v>
      </c>
      <c r="CG52" s="33">
        <f>ROUND(坦克等级成长!$F149*VLOOKUP($BV$2,坦克等级成长!$B$36:$G$42,MATCH(CG$3,坦克等级成长!$B$35:$G$35,0)),0)</f>
        <v>1006</v>
      </c>
      <c r="CH52" s="33">
        <f t="shared" si="10"/>
        <v>1006</v>
      </c>
      <c r="CI52" s="33">
        <v>827</v>
      </c>
      <c r="CJ52" s="33">
        <f>ROUND(坦克等级成长!$F149*VLOOKUP($BV$2,坦克等级成长!$B$36:$G$42,MATCH(CJ$3,坦克等级成长!$B$35:$G$35,0)),0)</f>
        <v>1267</v>
      </c>
      <c r="CK52" s="33">
        <f>ROUND(坦克等级成长!$F149*VLOOKUP($BV$2,坦克等级成长!$B$36:$G$42,MATCH(CK$3,坦克等级成长!$B$35:$G$35,0)),0)</f>
        <v>297</v>
      </c>
      <c r="CL52" s="191">
        <v>17</v>
      </c>
      <c r="CM52" s="33">
        <f>ROUND(坦克等级成长!$H149*VLOOKUP($BV$2,坦克等级成长!$B$36:$G$42,MATCH(CM$3,坦克等级成长!$B$35:$G$35,0)),0)</f>
        <v>3043</v>
      </c>
      <c r="CN52" s="33">
        <f>ROUND(坦克等级成长!$H149*VLOOKUP($BV$2,坦克等级成长!$B$36:$G$42,MATCH(CN$3,坦克等级成长!$B$35:$G$35,0)),0)</f>
        <v>287</v>
      </c>
      <c r="CO52" s="33">
        <f>ROUND(坦克等级成长!$H149*VLOOKUP($BV$2,坦克等级成长!$B$36:$G$42,MATCH(CO$3,坦克等级成长!$B$35:$G$35,0)),0)</f>
        <v>1031</v>
      </c>
      <c r="CP52" s="33">
        <f t="shared" si="24"/>
        <v>1031</v>
      </c>
      <c r="CQ52" s="33">
        <v>827</v>
      </c>
      <c r="CR52" s="33">
        <f>ROUND(坦克等级成长!$H149*VLOOKUP($BV$2,坦克等级成长!$B$36:$G$42,MATCH(CR$3,坦克等级成长!$B$35:$G$35,0)),0)</f>
        <v>1300</v>
      </c>
      <c r="CS52" s="33">
        <f>ROUND(坦克等级成长!$H149*VLOOKUP($BV$2,坦克等级成长!$B$36:$G$42,MATCH(CS$3,坦克等级成长!$B$35:$G$35,0)),0)</f>
        <v>304</v>
      </c>
      <c r="CT52" s="192"/>
      <c r="CU52" s="188"/>
      <c r="CV52" s="188"/>
      <c r="CW52" s="188"/>
      <c r="CX52" s="188"/>
      <c r="CY52" s="188"/>
      <c r="CZ52" s="188"/>
      <c r="DA52" s="199"/>
      <c r="DB52" s="198">
        <v>17</v>
      </c>
      <c r="DC52" s="33">
        <f>ROUND(坦克等级成长!$F149*VLOOKUP($CT$2,坦克等级成长!$B$36:$G$42,MATCH(DC$3,坦克等级成长!$B$35:$G$35,0)),0)</f>
        <v>2816</v>
      </c>
      <c r="DD52" s="33">
        <f>ROUND(坦克等级成长!$F149*VLOOKUP($CT$2,坦克等级成长!$B$36:$G$42,MATCH(DD$3,坦克等级成长!$B$35:$G$35,0)),0)</f>
        <v>640</v>
      </c>
      <c r="DE52" s="33">
        <f>ROUND(坦克等级成长!$F149*VLOOKUP($CT$2,坦克等级成长!$B$36:$G$42,MATCH(DE$3,坦克等级成长!$B$35:$G$35,0)),0)</f>
        <v>1257</v>
      </c>
      <c r="DF52" s="33">
        <f t="shared" si="11"/>
        <v>1257</v>
      </c>
      <c r="DG52" s="33">
        <v>1034</v>
      </c>
      <c r="DH52" s="33">
        <f>ROUND(坦克等级成长!$F149*VLOOKUP($CT$2,坦克等级成长!$B$36:$G$42,MATCH(DH$3,坦克等级成长!$B$35:$G$35,0)),0)</f>
        <v>1056</v>
      </c>
      <c r="DI52" s="33">
        <f>ROUND(坦克等级成长!$F149*VLOOKUP($CT$2,坦克等级成长!$B$36:$G$42,MATCH(DI$3,坦克等级成长!$B$35:$G$35,0)),0)</f>
        <v>282</v>
      </c>
      <c r="DJ52" s="191">
        <v>17</v>
      </c>
      <c r="DK52" s="33">
        <f>ROUND(坦克等级成长!$H149*VLOOKUP($CT$2,坦克等级成长!$B$36:$G$42,MATCH(DK$3,坦克等级成长!$B$35:$G$35,0)),0)</f>
        <v>2888</v>
      </c>
      <c r="DL52" s="33">
        <f>ROUND(坦克等级成长!$H149*VLOOKUP($CT$2,坦克等级成长!$B$36:$G$42,MATCH(DL$3,坦克等级成长!$B$35:$G$35,0)),0)</f>
        <v>656</v>
      </c>
      <c r="DM52" s="33">
        <f>ROUND(坦克等级成长!$H149*VLOOKUP($CT$2,坦克等级成长!$B$36:$G$42,MATCH(DM$3,坦克等级成长!$B$35:$G$35,0)),0)</f>
        <v>1289</v>
      </c>
      <c r="DN52" s="33">
        <f t="shared" si="25"/>
        <v>1289</v>
      </c>
      <c r="DO52" s="33">
        <v>1034</v>
      </c>
      <c r="DP52" s="33">
        <f>ROUND(坦克等级成长!$H149*VLOOKUP($CT$2,坦克等级成长!$B$36:$G$42,MATCH(DP$3,坦克等级成长!$B$35:$G$35,0)),0)</f>
        <v>1083</v>
      </c>
      <c r="DQ52" s="33">
        <f>ROUND(坦克等级成长!$H149*VLOOKUP($CT$2,坦克等级成长!$B$36:$G$42,MATCH(DQ$3,坦克等级成长!$B$35:$G$35,0)),0)</f>
        <v>289</v>
      </c>
      <c r="DR52" s="192"/>
      <c r="DS52" s="188"/>
      <c r="DT52" s="188"/>
      <c r="DU52" s="188"/>
      <c r="DV52" s="188"/>
      <c r="DW52" s="188"/>
      <c r="DX52" s="188"/>
      <c r="DY52" s="199"/>
      <c r="DZ52" s="198">
        <v>17</v>
      </c>
      <c r="EA52" s="33">
        <f>ROUND(坦克等级成长!$F149*VLOOKUP($DR$2,坦克等级成长!$B$36:$G$42,MATCH(EA$3,坦克等级成长!$B$35:$G$35,0)),0)</f>
        <v>3204</v>
      </c>
      <c r="EB52" s="33">
        <f>ROUND(坦克等级成长!$F149*VLOOKUP($DR$2,坦克等级成长!$B$36:$G$42,MATCH(EB$3,坦克等级成长!$B$35:$G$35,0)),0)</f>
        <v>1093</v>
      </c>
      <c r="EC52" s="33">
        <f>ROUND(坦克等级成长!$F149*VLOOKUP($DR$2,坦克等级成长!$B$36:$G$42,MATCH(EC$3,坦克等级成长!$B$35:$G$35,0)),0)</f>
        <v>1006</v>
      </c>
      <c r="ED52" s="33">
        <f t="shared" si="12"/>
        <v>1006</v>
      </c>
      <c r="EE52" s="33">
        <v>882</v>
      </c>
      <c r="EF52" s="33">
        <f>ROUND(坦克等级成长!$F149*VLOOKUP($DR$2,坦克等级成长!$B$36:$G$42,MATCH(EF$3,坦克等级成长!$B$35:$G$35,0)),0)</f>
        <v>1478</v>
      </c>
      <c r="EG52" s="33">
        <f>ROUND(坦克等级成长!$F149*VLOOKUP($DR$2,坦克等级成长!$B$36:$G$42,MATCH(EG$3,坦克等级成长!$B$35:$G$35,0)),0)</f>
        <v>320</v>
      </c>
      <c r="EH52" s="191">
        <v>17</v>
      </c>
      <c r="EI52" s="33">
        <f>ROUND(坦克等级成长!$H149*VLOOKUP($DR$2,坦克等级成长!$B$36:$G$42,MATCH(EI$3,坦克等级成长!$B$35:$G$35,0)),0)</f>
        <v>3286</v>
      </c>
      <c r="EJ52" s="33">
        <f>ROUND(坦克等级成长!$H149*VLOOKUP($DR$2,坦克等级成长!$B$36:$G$42,MATCH(EJ$3,坦克等级成长!$B$35:$G$35,0)),0)</f>
        <v>1121</v>
      </c>
      <c r="EK52" s="33">
        <f>ROUND(坦克等级成长!$H149*VLOOKUP($DR$2,坦克等级成长!$B$36:$G$42,MATCH(EK$3,坦克等级成长!$B$35:$G$35,0)),0)</f>
        <v>1031</v>
      </c>
      <c r="EL52" s="33">
        <f t="shared" si="26"/>
        <v>1031</v>
      </c>
      <c r="EM52" s="33">
        <v>882</v>
      </c>
      <c r="EN52" s="33">
        <f>ROUND(坦克等级成长!$H149*VLOOKUP($DR$2,坦克等级成长!$B$36:$G$42,MATCH(EN$3,坦克等级成长!$B$35:$G$35,0)),0)</f>
        <v>1516</v>
      </c>
      <c r="EO52" s="33">
        <f>ROUND(坦克等级成长!$H149*VLOOKUP($DR$2,坦克等级成长!$B$36:$G$42,MATCH(EO$3,坦克等级成长!$B$35:$G$35,0)),0)</f>
        <v>329</v>
      </c>
      <c r="EP52" s="192"/>
      <c r="EQ52" s="188"/>
      <c r="ER52" s="188"/>
      <c r="ES52" s="188"/>
      <c r="ET52" s="188"/>
      <c r="EU52" s="188"/>
      <c r="EV52" s="188"/>
      <c r="EW52" s="199"/>
      <c r="EX52" s="198">
        <v>17</v>
      </c>
      <c r="EY52" s="33">
        <f>ROUND(坦克等级成长!$F149*VLOOKUP($EP$2,坦克等级成长!$B$36:$G$42,MATCH(EY$3,坦克等级成长!$B$35:$G$35,0)),0)</f>
        <v>2967</v>
      </c>
      <c r="EZ52" s="33">
        <f>ROUND(坦克等级成长!$F149*VLOOKUP($EP$2,坦克等级成长!$B$36:$G$42,MATCH(EZ$3,坦克等级成长!$B$35:$G$35,0)),0)</f>
        <v>340</v>
      </c>
      <c r="FA52" s="33">
        <f>ROUND(坦克等级成长!$F149*VLOOKUP($EP$2,坦克等级成长!$B$36:$G$42,MATCH(FA$3,坦克等级成长!$B$35:$G$35,0)),0)</f>
        <v>1157</v>
      </c>
      <c r="FB52" s="33">
        <f t="shared" si="13"/>
        <v>1157</v>
      </c>
      <c r="FC52" s="33">
        <v>951</v>
      </c>
      <c r="FD52" s="33">
        <f>ROUND(坦克等级成长!$F149*VLOOKUP($EP$2,坦克等级成长!$B$36:$G$42,MATCH(FD$3,坦克等级成长!$B$35:$G$35,0)),0)</f>
        <v>1267</v>
      </c>
      <c r="FE52" s="33">
        <f>ROUND(坦克等级成长!$F149*VLOOKUP($EP$2,坦克等级成长!$B$36:$G$42,MATCH(FE$3,坦克等级成长!$B$35:$G$35,0)),0)</f>
        <v>297</v>
      </c>
      <c r="FF52" s="191">
        <v>17</v>
      </c>
      <c r="FG52" s="33">
        <f>ROUND(坦克等级成长!$H149*VLOOKUP($EP$2,坦克等级成长!$B$36:$G$42,MATCH(FG$3,坦克等级成长!$B$35:$G$35,0)),0)</f>
        <v>3043</v>
      </c>
      <c r="FH52" s="33">
        <f>ROUND(坦克等级成长!$H149*VLOOKUP($EP$2,坦克等级成长!$B$36:$G$42,MATCH(FH$3,坦克等级成长!$B$35:$G$35,0)),0)</f>
        <v>349</v>
      </c>
      <c r="FI52" s="33">
        <f>ROUND(坦克等级成长!$H149*VLOOKUP($EP$2,坦克等级成长!$B$36:$G$42,MATCH(FI$3,坦克等级成长!$B$35:$G$35,0)),0)</f>
        <v>1186</v>
      </c>
      <c r="FJ52" s="33">
        <f t="shared" si="27"/>
        <v>1186</v>
      </c>
      <c r="FK52" s="33">
        <v>951</v>
      </c>
      <c r="FL52" s="33">
        <f>ROUND(坦克等级成长!$H149*VLOOKUP($EP$2,坦克等级成长!$B$36:$G$42,MATCH(FL$3,坦克等级成长!$B$35:$G$35,0)),0)</f>
        <v>1300</v>
      </c>
      <c r="FM52" s="33">
        <f>ROUND(坦克等级成长!$H149*VLOOKUP($EP$2,坦克等级成长!$B$36:$G$42,MATCH(FM$3,坦克等级成长!$B$35:$G$35,0)),0)</f>
        <v>304</v>
      </c>
    </row>
    <row r="53" spans="1:169" ht="14.25" x14ac:dyDescent="0.3">
      <c r="A53" s="188">
        <v>4</v>
      </c>
      <c r="B53" s="192"/>
      <c r="C53" s="188"/>
      <c r="D53" s="188"/>
      <c r="E53" s="188"/>
      <c r="F53" s="188"/>
      <c r="G53" s="188"/>
      <c r="H53" s="188"/>
      <c r="I53" s="199"/>
      <c r="J53" s="198">
        <v>18</v>
      </c>
      <c r="K53" s="33">
        <f>ROUND(坦克等级成长!$F150*VLOOKUP($B$2,坦克等级成长!$B$36:$G$42,MATCH(K$3,坦克等级成长!$B$35:$G$35,0)),0)</f>
        <v>2904</v>
      </c>
      <c r="L53" s="33">
        <f>ROUND(坦克等级成长!$F150*VLOOKUP($B$2,坦克等级成长!$B$36:$G$42,MATCH(L$3,坦克等级成长!$B$35:$G$35,0)),0)</f>
        <v>316</v>
      </c>
      <c r="M53" s="33">
        <f>ROUND(坦克等级成长!$F150*VLOOKUP($B$2,坦克等级成长!$B$36:$G$42,MATCH(M$3,坦克等级成长!$B$35:$G$35,0)),0)</f>
        <v>1089</v>
      </c>
      <c r="N53" s="33">
        <f t="shared" si="7"/>
        <v>1089</v>
      </c>
      <c r="O53" s="33">
        <v>838</v>
      </c>
      <c r="P53" s="33">
        <f>ROUND(坦克等级成长!$F150*VLOOKUP($B$2,坦克等级成长!$B$36:$G$42,MATCH(P$3,坦克等级成长!$B$35:$G$35,0)),0)</f>
        <v>1089</v>
      </c>
      <c r="Q53" s="33">
        <f>ROUND(坦克等级成长!$F150*VLOOKUP($B$2,坦克等级成长!$B$36:$G$42,MATCH(Q$3,坦克等级成长!$B$35:$G$35,0)),0)</f>
        <v>290</v>
      </c>
      <c r="R53" s="191">
        <v>18</v>
      </c>
      <c r="S53" s="33">
        <f>ROUND(坦克等级成长!$H150*VLOOKUP($B$2,坦克等级成长!$B$36:$G$42,MATCH(S$3,坦克等级成长!$B$35:$G$35,0)),0)</f>
        <v>2984</v>
      </c>
      <c r="T53" s="33">
        <f>ROUND(坦克等级成长!$H150*VLOOKUP($B$2,坦克等级成长!$B$36:$G$42,MATCH(T$3,坦克等级成长!$B$35:$G$35,0)),0)</f>
        <v>325</v>
      </c>
      <c r="U53" s="33">
        <f>ROUND(坦克等级成长!$H150*VLOOKUP($B$2,坦克等级成长!$B$36:$G$42,MATCH(U$3,坦克等级成长!$B$35:$G$35,0)),0)</f>
        <v>1119</v>
      </c>
      <c r="V53" s="33">
        <f t="shared" si="21"/>
        <v>1119</v>
      </c>
      <c r="W53" s="33">
        <v>838</v>
      </c>
      <c r="X53" s="33">
        <f>ROUND(坦克等级成长!$H150*VLOOKUP($B$2,坦克等级成长!$B$36:$G$42,MATCH(X$3,坦克等级成长!$B$35:$G$35,0)),0)</f>
        <v>1119</v>
      </c>
      <c r="Y53" s="33">
        <f>ROUND(坦克等级成长!$H150*VLOOKUP($B$2,坦克等级成长!$B$36:$G$42,MATCH(Y$3,坦克等级成长!$B$35:$G$35,0)),0)</f>
        <v>298</v>
      </c>
      <c r="Z53" s="192"/>
      <c r="AA53" s="188"/>
      <c r="AB53" s="188"/>
      <c r="AC53" s="188"/>
      <c r="AD53" s="188"/>
      <c r="AE53" s="188"/>
      <c r="AF53" s="188"/>
      <c r="AG53" s="199"/>
      <c r="AH53" s="198">
        <v>18</v>
      </c>
      <c r="AI53" s="33">
        <f>ROUND(坦克等级成长!$F150*VLOOKUP($Z$2,坦克等级成长!$B$36:$G$42,MATCH(AI$3,坦克等级成长!$B$35:$G$35,0)),0)</f>
        <v>2904</v>
      </c>
      <c r="AJ53" s="33">
        <f>ROUND(坦克等级成长!$F150*VLOOKUP($Z$2,坦克等级成长!$B$36:$G$42,MATCH(AJ$3,坦克等级成长!$B$35:$G$35,0)),0)</f>
        <v>171</v>
      </c>
      <c r="AK53" s="33">
        <f>ROUND(坦克等级成长!$F150*VLOOKUP($Z$2,坦克等级成长!$B$36:$G$42,MATCH(AK$3,坦克等级成长!$B$35:$G$35,0)),0)</f>
        <v>1193</v>
      </c>
      <c r="AL53" s="33">
        <f t="shared" si="8"/>
        <v>1193</v>
      </c>
      <c r="AM53" s="33">
        <v>918</v>
      </c>
      <c r="AN53" s="33">
        <f>ROUND(坦克等级成长!$F150*VLOOKUP($Z$2,坦克等级成长!$B$36:$G$42,MATCH(AN$3,坦克等级成长!$B$35:$G$35,0)),0)</f>
        <v>1089</v>
      </c>
      <c r="AO53" s="33">
        <f>ROUND(坦克等级成长!$F150*VLOOKUP($Z$2,坦克等级成长!$B$36:$G$42,MATCH(AO$3,坦克等级成长!$B$35:$G$35,0)),0)</f>
        <v>290</v>
      </c>
      <c r="AP53" s="191">
        <v>18</v>
      </c>
      <c r="AQ53" s="33">
        <f>ROUND(坦克等级成长!$H150*VLOOKUP($Z$2,坦克等级成长!$B$36:$G$42,MATCH(AQ$3,坦克等级成长!$B$35:$G$35,0)),0)</f>
        <v>2984</v>
      </c>
      <c r="AR53" s="33">
        <f>ROUND(坦克等级成长!$H150*VLOOKUP($Z$2,坦克等级成长!$B$36:$G$42,MATCH(AR$3,坦克等级成长!$B$35:$G$35,0)),0)</f>
        <v>176</v>
      </c>
      <c r="AS53" s="33">
        <f>ROUND(坦克等级成长!$H150*VLOOKUP($Z$2,坦克等级成长!$B$36:$G$42,MATCH(AS$3,坦克等级成长!$B$35:$G$35,0)),0)</f>
        <v>1226</v>
      </c>
      <c r="AT53" s="33">
        <f t="shared" si="22"/>
        <v>1226</v>
      </c>
      <c r="AU53" s="33">
        <v>918</v>
      </c>
      <c r="AV53" s="33">
        <f>ROUND(坦克等级成长!$H150*VLOOKUP($Z$2,坦克等级成长!$B$36:$G$42,MATCH(AV$3,坦克等级成长!$B$35:$G$35,0)),0)</f>
        <v>1119</v>
      </c>
      <c r="AW53" s="33">
        <f>ROUND(坦克等级成长!$H150*VLOOKUP($Z$2,坦克等级成长!$B$36:$G$42,MATCH(AW$3,坦克等级成长!$B$35:$G$35,0)),0)</f>
        <v>298</v>
      </c>
      <c r="AX53" s="192"/>
      <c r="AY53" s="188"/>
      <c r="AZ53" s="188"/>
      <c r="BA53" s="188"/>
      <c r="BB53" s="188"/>
      <c r="BC53" s="188"/>
      <c r="BD53" s="188"/>
      <c r="BE53" s="199"/>
      <c r="BF53" s="198">
        <v>18</v>
      </c>
      <c r="BG53" s="33">
        <f>ROUND(坦克等级成长!$F150*VLOOKUP($AX$2,坦克等级成长!$B$36:$G$42,MATCH(BG$3,坦克等级成长!$B$35:$G$35,0)),0)</f>
        <v>2904</v>
      </c>
      <c r="BH53" s="33">
        <f>ROUND(坦克等级成长!$F150*VLOOKUP($AX$2,坦克等级成长!$B$36:$G$42,MATCH(BH$3,坦克等级成长!$B$35:$G$35,0)),0)</f>
        <v>316</v>
      </c>
      <c r="BI53" s="33">
        <f>ROUND(坦克等级成长!$F150*VLOOKUP($AX$2,坦克等级成长!$B$36:$G$42,MATCH(BI$3,坦克等级成长!$B$35:$G$35,0)),0)</f>
        <v>1089</v>
      </c>
      <c r="BJ53" s="33">
        <f t="shared" si="9"/>
        <v>1089</v>
      </c>
      <c r="BK53" s="33">
        <v>838</v>
      </c>
      <c r="BL53" s="33">
        <f>ROUND(坦克等级成长!$F150*VLOOKUP($AX$2,坦克等级成长!$B$36:$G$42,MATCH(BL$3,坦克等级成长!$B$35:$G$35,0)),0)</f>
        <v>1089</v>
      </c>
      <c r="BM53" s="33">
        <f>ROUND(坦克等级成长!$F150*VLOOKUP($AX$2,坦克等级成长!$B$36:$G$42,MATCH(BM$3,坦克等级成长!$B$35:$G$35,0)),0)</f>
        <v>290</v>
      </c>
      <c r="BN53" s="191">
        <v>18</v>
      </c>
      <c r="BO53" s="33">
        <f>ROUND(坦克等级成长!$H150*VLOOKUP($AX$2,坦克等级成长!$B$36:$G$42,MATCH(BO$3,坦克等级成长!$B$35:$G$35,0)),0)</f>
        <v>2984</v>
      </c>
      <c r="BP53" s="33">
        <f>ROUND(坦克等级成长!$H150*VLOOKUP($AX$2,坦克等级成长!$B$36:$G$42,MATCH(BP$3,坦克等级成长!$B$35:$G$35,0)),0)</f>
        <v>325</v>
      </c>
      <c r="BQ53" s="33">
        <f>ROUND(坦克等级成长!$H150*VLOOKUP($AX$2,坦克等级成长!$B$36:$G$42,MATCH(BQ$3,坦克等级成长!$B$35:$G$35,0)),0)</f>
        <v>1119</v>
      </c>
      <c r="BR53" s="33">
        <f t="shared" si="23"/>
        <v>1119</v>
      </c>
      <c r="BS53" s="33">
        <v>838</v>
      </c>
      <c r="BT53" s="33">
        <f>ROUND(坦克等级成长!$H150*VLOOKUP($AX$2,坦克等级成长!$B$36:$G$42,MATCH(BT$3,坦克等级成长!$B$35:$G$35,0)),0)</f>
        <v>1119</v>
      </c>
      <c r="BU53" s="33">
        <f>ROUND(坦克等级成长!$H150*VLOOKUP($AX$2,坦克等级成长!$B$36:$G$42,MATCH(BU$3,坦克等级成长!$B$35:$G$35,0)),0)</f>
        <v>298</v>
      </c>
      <c r="BV53" s="192"/>
      <c r="BW53" s="188"/>
      <c r="BX53" s="188"/>
      <c r="BY53" s="188"/>
      <c r="BZ53" s="188"/>
      <c r="CA53" s="188"/>
      <c r="CB53" s="188"/>
      <c r="CC53" s="199"/>
      <c r="CD53" s="198">
        <v>18</v>
      </c>
      <c r="CE53" s="33">
        <f>ROUND(坦克等级成长!$F150*VLOOKUP($BV$2,坦克等级成长!$B$36:$G$42,MATCH(CE$3,坦克等级成长!$B$35:$G$35,0)),0)</f>
        <v>3060</v>
      </c>
      <c r="CF53" s="33">
        <f>ROUND(坦克等级成长!$F150*VLOOKUP($BV$2,坦克等级成长!$B$36:$G$42,MATCH(CF$3,坦克等级成长!$B$35:$G$35,0)),0)</f>
        <v>288</v>
      </c>
      <c r="CG53" s="33">
        <f>ROUND(坦克等级成长!$F150*VLOOKUP($BV$2,坦克等级成长!$B$36:$G$42,MATCH(CG$3,坦克等级成长!$B$35:$G$35,0)),0)</f>
        <v>1037</v>
      </c>
      <c r="CH53" s="33">
        <f t="shared" si="10"/>
        <v>1037</v>
      </c>
      <c r="CI53" s="33">
        <v>855</v>
      </c>
      <c r="CJ53" s="33">
        <f>ROUND(坦克等级成长!$F150*VLOOKUP($BV$2,坦克等级成长!$B$36:$G$42,MATCH(CJ$3,坦克等级成长!$B$35:$G$35,0)),0)</f>
        <v>1307</v>
      </c>
      <c r="CK53" s="33">
        <f>ROUND(坦克等级成长!$F150*VLOOKUP($BV$2,坦克等级成长!$B$36:$G$42,MATCH(CK$3,坦克等级成长!$B$35:$G$35,0)),0)</f>
        <v>306</v>
      </c>
      <c r="CL53" s="191">
        <v>18</v>
      </c>
      <c r="CM53" s="33">
        <f>ROUND(坦克等级成长!$H150*VLOOKUP($BV$2,坦克等级成长!$B$36:$G$42,MATCH(CM$3,坦克等级成长!$B$35:$G$35,0)),0)</f>
        <v>3144</v>
      </c>
      <c r="CN53" s="33">
        <f>ROUND(坦克等级成长!$H150*VLOOKUP($BV$2,坦克等级成长!$B$36:$G$42,MATCH(CN$3,坦克等级成长!$B$35:$G$35,0)),0)</f>
        <v>296</v>
      </c>
      <c r="CO53" s="33">
        <f>ROUND(坦克等级成长!$H150*VLOOKUP($BV$2,坦克等级成长!$B$36:$G$42,MATCH(CO$3,坦克等级成长!$B$35:$G$35,0)),0)</f>
        <v>1066</v>
      </c>
      <c r="CP53" s="33">
        <f t="shared" si="24"/>
        <v>1066</v>
      </c>
      <c r="CQ53" s="33">
        <v>855</v>
      </c>
      <c r="CR53" s="33">
        <f>ROUND(坦克等级成长!$H150*VLOOKUP($BV$2,坦克等级成长!$B$36:$G$42,MATCH(CR$3,坦克等级成长!$B$35:$G$35,0)),0)</f>
        <v>1343</v>
      </c>
      <c r="CS53" s="33">
        <f>ROUND(坦克等级成长!$H150*VLOOKUP($BV$2,坦克等级成长!$B$36:$G$42,MATCH(CS$3,坦克等级成长!$B$35:$G$35,0)),0)</f>
        <v>314</v>
      </c>
      <c r="CT53" s="192"/>
      <c r="CU53" s="188"/>
      <c r="CV53" s="188"/>
      <c r="CW53" s="188"/>
      <c r="CX53" s="188"/>
      <c r="CY53" s="188"/>
      <c r="CZ53" s="188"/>
      <c r="DA53" s="199"/>
      <c r="DB53" s="198">
        <v>18</v>
      </c>
      <c r="DC53" s="33">
        <f>ROUND(坦克等级成长!$F150*VLOOKUP($CT$2,坦克等级成长!$B$36:$G$42,MATCH(DC$3,坦克等级成长!$B$35:$G$35,0)),0)</f>
        <v>2904</v>
      </c>
      <c r="DD53" s="33">
        <f>ROUND(坦克等级成长!$F150*VLOOKUP($CT$2,坦克等级成长!$B$36:$G$42,MATCH(DD$3,坦克等级成长!$B$35:$G$35,0)),0)</f>
        <v>660</v>
      </c>
      <c r="DE53" s="33">
        <f>ROUND(坦克等级成长!$F150*VLOOKUP($CT$2,坦克等级成长!$B$36:$G$42,MATCH(DE$3,坦克等级成长!$B$35:$G$35,0)),0)</f>
        <v>1296</v>
      </c>
      <c r="DF53" s="33">
        <f t="shared" si="11"/>
        <v>1296</v>
      </c>
      <c r="DG53" s="33">
        <v>1069</v>
      </c>
      <c r="DH53" s="33">
        <f>ROUND(坦克等级成长!$F150*VLOOKUP($CT$2,坦克等级成长!$B$36:$G$42,MATCH(DH$3,坦克等级成长!$B$35:$G$35,0)),0)</f>
        <v>1089</v>
      </c>
      <c r="DI53" s="33">
        <f>ROUND(坦克等级成长!$F150*VLOOKUP($CT$2,坦克等级成长!$B$36:$G$42,MATCH(DI$3,坦克等级成长!$B$35:$G$35,0)),0)</f>
        <v>290</v>
      </c>
      <c r="DJ53" s="191">
        <v>18</v>
      </c>
      <c r="DK53" s="33">
        <f>ROUND(坦克等级成长!$H150*VLOOKUP($CT$2,坦克等级成长!$B$36:$G$42,MATCH(DK$3,坦克等级成长!$B$35:$G$35,0)),0)</f>
        <v>2984</v>
      </c>
      <c r="DL53" s="33">
        <f>ROUND(坦克等级成长!$H150*VLOOKUP($CT$2,坦克等级成长!$B$36:$G$42,MATCH(DL$3,坦克等级成长!$B$35:$G$35,0)),0)</f>
        <v>678</v>
      </c>
      <c r="DM53" s="33">
        <f>ROUND(坦克等级成长!$H150*VLOOKUP($CT$2,坦克等级成长!$B$36:$G$42,MATCH(DM$3,坦克等级成长!$B$35:$G$35,0)),0)</f>
        <v>1332</v>
      </c>
      <c r="DN53" s="33">
        <f t="shared" si="25"/>
        <v>1332</v>
      </c>
      <c r="DO53" s="33">
        <v>1069</v>
      </c>
      <c r="DP53" s="33">
        <f>ROUND(坦克等级成长!$H150*VLOOKUP($CT$2,坦克等级成长!$B$36:$G$42,MATCH(DP$3,坦克等级成长!$B$35:$G$35,0)),0)</f>
        <v>1119</v>
      </c>
      <c r="DQ53" s="33">
        <f>ROUND(坦克等级成长!$H150*VLOOKUP($CT$2,坦克等级成长!$B$36:$G$42,MATCH(DQ$3,坦克等级成长!$B$35:$G$35,0)),0)</f>
        <v>298</v>
      </c>
      <c r="DR53" s="192"/>
      <c r="DS53" s="188"/>
      <c r="DT53" s="188"/>
      <c r="DU53" s="188"/>
      <c r="DV53" s="188"/>
      <c r="DW53" s="188"/>
      <c r="DX53" s="188"/>
      <c r="DY53" s="199"/>
      <c r="DZ53" s="198">
        <v>18</v>
      </c>
      <c r="EA53" s="33">
        <f>ROUND(坦克等级成长!$F150*VLOOKUP($DR$2,坦克等级成长!$B$36:$G$42,MATCH(EA$3,坦克等级成长!$B$35:$G$35,0)),0)</f>
        <v>3304</v>
      </c>
      <c r="EB53" s="33">
        <f>ROUND(坦克等级成长!$F150*VLOOKUP($DR$2,坦克等级成长!$B$36:$G$42,MATCH(EB$3,坦克等级成长!$B$35:$G$35,0)),0)</f>
        <v>1127</v>
      </c>
      <c r="EC53" s="33">
        <f>ROUND(坦克等级成长!$F150*VLOOKUP($DR$2,坦克等级成长!$B$36:$G$42,MATCH(EC$3,坦克等级成长!$B$35:$G$35,0)),0)</f>
        <v>1037</v>
      </c>
      <c r="ED53" s="33">
        <f t="shared" si="12"/>
        <v>1037</v>
      </c>
      <c r="EE53" s="33">
        <v>912</v>
      </c>
      <c r="EF53" s="33">
        <f>ROUND(坦克等级成长!$F150*VLOOKUP($DR$2,坦克等级成长!$B$36:$G$42,MATCH(EF$3,坦克等级成长!$B$35:$G$35,0)),0)</f>
        <v>1525</v>
      </c>
      <c r="EG53" s="33">
        <f>ROUND(坦克等级成长!$F150*VLOOKUP($DR$2,坦克等级成长!$B$36:$G$42,MATCH(EG$3,坦克等级成长!$B$35:$G$35,0)),0)</f>
        <v>330</v>
      </c>
      <c r="EH53" s="191">
        <v>18</v>
      </c>
      <c r="EI53" s="33">
        <f>ROUND(坦克等级成长!$H150*VLOOKUP($DR$2,坦克等级成长!$B$36:$G$42,MATCH(EI$3,坦克等级成长!$B$35:$G$35,0)),0)</f>
        <v>3395</v>
      </c>
      <c r="EJ53" s="33">
        <f>ROUND(坦克等级成长!$H150*VLOOKUP($DR$2,坦克等级成长!$B$36:$G$42,MATCH(EJ$3,坦克等级成长!$B$35:$G$35,0)),0)</f>
        <v>1158</v>
      </c>
      <c r="EK53" s="33">
        <f>ROUND(坦克等级成长!$H150*VLOOKUP($DR$2,坦克等级成长!$B$36:$G$42,MATCH(EK$3,坦克等级成长!$B$35:$G$35,0)),0)</f>
        <v>1066</v>
      </c>
      <c r="EL53" s="33">
        <f t="shared" si="26"/>
        <v>1066</v>
      </c>
      <c r="EM53" s="33">
        <v>912</v>
      </c>
      <c r="EN53" s="33">
        <f>ROUND(坦克等级成长!$H150*VLOOKUP($DR$2,坦克等级成长!$B$36:$G$42,MATCH(EN$3,坦克等级成长!$B$35:$G$35,0)),0)</f>
        <v>1567</v>
      </c>
      <c r="EO53" s="33">
        <f>ROUND(坦克等级成长!$H150*VLOOKUP($DR$2,坦克等级成长!$B$36:$G$42,MATCH(EO$3,坦克等级成长!$B$35:$G$35,0)),0)</f>
        <v>339</v>
      </c>
      <c r="EP53" s="192"/>
      <c r="EQ53" s="188"/>
      <c r="ER53" s="188"/>
      <c r="ES53" s="188"/>
      <c r="ET53" s="188"/>
      <c r="EU53" s="188"/>
      <c r="EV53" s="188"/>
      <c r="EW53" s="199"/>
      <c r="EX53" s="198">
        <v>18</v>
      </c>
      <c r="EY53" s="33">
        <f>ROUND(坦克等级成长!$F150*VLOOKUP($EP$2,坦克等级成长!$B$36:$G$42,MATCH(EY$3,坦克等级成长!$B$35:$G$35,0)),0)</f>
        <v>3060</v>
      </c>
      <c r="EZ53" s="33">
        <f>ROUND(坦克等级成长!$F150*VLOOKUP($EP$2,坦克等级成长!$B$36:$G$42,MATCH(EZ$3,坦克等级成长!$B$35:$G$35,0)),0)</f>
        <v>351</v>
      </c>
      <c r="FA53" s="33">
        <f>ROUND(坦克等级成长!$F150*VLOOKUP($EP$2,坦克等级成长!$B$36:$G$42,MATCH(FA$3,坦克等级成长!$B$35:$G$35,0)),0)</f>
        <v>1193</v>
      </c>
      <c r="FB53" s="33">
        <f t="shared" si="13"/>
        <v>1193</v>
      </c>
      <c r="FC53" s="33">
        <v>983</v>
      </c>
      <c r="FD53" s="33">
        <f>ROUND(坦克等级成长!$F150*VLOOKUP($EP$2,坦克等级成长!$B$36:$G$42,MATCH(FD$3,坦克等级成长!$B$35:$G$35,0)),0)</f>
        <v>1307</v>
      </c>
      <c r="FE53" s="33">
        <f>ROUND(坦克等级成长!$F150*VLOOKUP($EP$2,坦克等级成长!$B$36:$G$42,MATCH(FE$3,坦克等级成长!$B$35:$G$35,0)),0)</f>
        <v>306</v>
      </c>
      <c r="FF53" s="191">
        <v>18</v>
      </c>
      <c r="FG53" s="33">
        <f>ROUND(坦克等级成长!$H150*VLOOKUP($EP$2,坦克等级成长!$B$36:$G$42,MATCH(FG$3,坦克等级成长!$B$35:$G$35,0)),0)</f>
        <v>3144</v>
      </c>
      <c r="FH53" s="33">
        <f>ROUND(坦克等级成长!$H150*VLOOKUP($EP$2,坦克等级成长!$B$36:$G$42,MATCH(FH$3,坦克等级成长!$B$35:$G$35,0)),0)</f>
        <v>360</v>
      </c>
      <c r="FI53" s="33">
        <f>ROUND(坦克等级成长!$H150*VLOOKUP($EP$2,坦克等级成长!$B$36:$G$42,MATCH(FI$3,坦克等级成长!$B$35:$G$35,0)),0)</f>
        <v>1226</v>
      </c>
      <c r="FJ53" s="33">
        <f t="shared" si="27"/>
        <v>1226</v>
      </c>
      <c r="FK53" s="33">
        <v>983</v>
      </c>
      <c r="FL53" s="33">
        <f>ROUND(坦克等级成长!$H150*VLOOKUP($EP$2,坦克等级成长!$B$36:$G$42,MATCH(FL$3,坦克等级成长!$B$35:$G$35,0)),0)</f>
        <v>1343</v>
      </c>
      <c r="FM53" s="33">
        <f>ROUND(坦克等级成长!$H150*VLOOKUP($EP$2,坦克等级成长!$B$36:$G$42,MATCH(FM$3,坦克等级成长!$B$35:$G$35,0)),0)</f>
        <v>314</v>
      </c>
    </row>
    <row r="54" spans="1:169" ht="14.25" x14ac:dyDescent="0.3">
      <c r="A54" s="188">
        <v>5</v>
      </c>
      <c r="B54" s="191">
        <v>1</v>
      </c>
      <c r="C54" s="33">
        <f>ROUND(坦克等级成长!$D151*VLOOKUP($B$2,坦克等级成长!$B$36:$G$42,MATCH(C$3,坦克等级成长!$B$35:$G$35,0)),0)</f>
        <v>1904</v>
      </c>
      <c r="D54" s="33">
        <f>ROUND(坦克等级成长!$D151*VLOOKUP($B$2,坦克等级成长!$B$36:$G$42,MATCH(D$3,坦克等级成长!$B$35:$G$35,0)),0)</f>
        <v>207</v>
      </c>
      <c r="E54" s="33">
        <f>ROUND(坦克等级成长!$D151*VLOOKUP($B$2,坦克等级成长!$B$36:$G$42,MATCH(E$3,坦克等级成长!$B$35:$G$35,0)),0)</f>
        <v>714</v>
      </c>
      <c r="F54" s="33">
        <f t="shared" ref="F54:F66" si="35">E54</f>
        <v>714</v>
      </c>
      <c r="G54" s="33">
        <v>529.20000000000005</v>
      </c>
      <c r="H54" s="33">
        <f>ROUND(坦克等级成长!$D151*VLOOKUP($B$2,坦克等级成长!$B$36:$G$42,MATCH(H$3,坦克等级成长!$B$35:$G$35,0)),0)</f>
        <v>714</v>
      </c>
      <c r="I54" s="33">
        <f>ROUND(坦克等级成长!$D151*VLOOKUP($B$2,坦克等级成长!$B$36:$G$42,MATCH(I$3,坦克等级成长!$B$35:$G$35,0)),0)</f>
        <v>190</v>
      </c>
      <c r="J54" s="198">
        <v>1</v>
      </c>
      <c r="K54" s="33">
        <f>ROUND(坦克等级成长!$F151*VLOOKUP($B$2,坦克等级成长!$B$36:$G$42,MATCH(K$3,坦克等级成长!$B$35:$G$35,0)),0)</f>
        <v>1944</v>
      </c>
      <c r="L54" s="33">
        <f>ROUND(坦克等级成长!$F151*VLOOKUP($B$2,坦克等级成长!$B$36:$G$42,MATCH(L$3,坦克等级成长!$B$35:$G$35,0)),0)</f>
        <v>211</v>
      </c>
      <c r="M54" s="33">
        <f>ROUND(坦克等级成长!$F151*VLOOKUP($B$2,坦克等级成长!$B$36:$G$42,MATCH(M$3,坦克等级成长!$B$35:$G$35,0)),0)</f>
        <v>729</v>
      </c>
      <c r="N54" s="33">
        <f t="shared" si="7"/>
        <v>729</v>
      </c>
      <c r="O54" s="33">
        <v>550</v>
      </c>
      <c r="P54" s="33">
        <f>ROUND(坦克等级成长!$F151*VLOOKUP($B$2,坦克等级成长!$B$36:$G$42,MATCH(P$3,坦克等级成长!$B$35:$G$35,0)),0)</f>
        <v>729</v>
      </c>
      <c r="Q54" s="33">
        <f>ROUND(坦克等级成长!$F151*VLOOKUP($B$2,坦克等级成长!$B$36:$G$42,MATCH(Q$3,坦克等级成长!$B$35:$G$35,0)),0)</f>
        <v>194</v>
      </c>
      <c r="R54" s="191">
        <v>1</v>
      </c>
      <c r="S54" s="33">
        <f>ROUND(坦克等级成长!$H151*VLOOKUP($B$2,坦克等级成长!$B$36:$G$42,MATCH(S$3,坦克等级成长!$B$35:$G$35,0)),0)</f>
        <v>1984</v>
      </c>
      <c r="T54" s="33">
        <f>ROUND(坦克等级成长!$H151*VLOOKUP($B$2,坦克等级成长!$B$36:$G$42,MATCH(T$3,坦克等级成长!$B$35:$G$35,0)),0)</f>
        <v>216</v>
      </c>
      <c r="U54" s="33">
        <f>ROUND(坦克等级成长!$H151*VLOOKUP($B$2,坦克等级成长!$B$36:$G$42,MATCH(U$3,坦克等级成长!$B$35:$G$35,0)),0)</f>
        <v>744</v>
      </c>
      <c r="V54" s="33">
        <f t="shared" si="21"/>
        <v>744</v>
      </c>
      <c r="W54" s="33">
        <v>550</v>
      </c>
      <c r="X54" s="33">
        <f>ROUND(坦克等级成长!$H151*VLOOKUP($B$2,坦克等级成长!$B$36:$G$42,MATCH(X$3,坦克等级成长!$B$35:$G$35,0)),0)</f>
        <v>744</v>
      </c>
      <c r="Y54" s="33">
        <f>ROUND(坦克等级成长!$H151*VLOOKUP($B$2,坦克等级成长!$B$36:$G$42,MATCH(Y$3,坦克等级成长!$B$35:$G$35,0)),0)</f>
        <v>198</v>
      </c>
      <c r="Z54" s="191">
        <v>1</v>
      </c>
      <c r="AA54" s="33">
        <f>ROUND(坦克等级成长!$D151*VLOOKUP($Z$2,坦克等级成长!$B$36:$G$42,MATCH(AA$3,坦克等级成长!$B$35:$G$35,0)),0)</f>
        <v>1904</v>
      </c>
      <c r="AB54" s="33">
        <f>ROUND(坦克等级成长!$D151*VLOOKUP($Z$2,坦克等级成长!$B$36:$G$42,MATCH(AB$3,坦克等级成长!$B$35:$G$35,0)),0)</f>
        <v>112</v>
      </c>
      <c r="AC54" s="33">
        <f>ROUND(坦克等级成长!$D151*VLOOKUP($Z$2,坦克等级成长!$B$36:$G$42,MATCH(AC$3,坦克等级成长!$B$35:$G$35,0)),0)</f>
        <v>782</v>
      </c>
      <c r="AD54" s="33">
        <f t="shared" ref="AD54:AD66" si="36">AC54</f>
        <v>782</v>
      </c>
      <c r="AE54" s="33">
        <v>579.6</v>
      </c>
      <c r="AF54" s="33">
        <f>ROUND(坦克等级成长!$D151*VLOOKUP($Z$2,坦克等级成长!$B$36:$G$42,MATCH(AF$3,坦克等级成长!$B$35:$G$35,0)),0)</f>
        <v>714</v>
      </c>
      <c r="AG54" s="33">
        <f>ROUND(坦克等级成长!$D151*VLOOKUP($Z$2,坦克等级成长!$B$36:$G$42,MATCH(AG$3,坦克等级成长!$B$35:$G$35,0)),0)</f>
        <v>190</v>
      </c>
      <c r="AH54" s="198">
        <v>1</v>
      </c>
      <c r="AI54" s="33">
        <f>ROUND(坦克等级成长!$F151*VLOOKUP($Z$2,坦克等级成长!$B$36:$G$42,MATCH(AI$3,坦克等级成长!$B$35:$G$35,0)),0)</f>
        <v>1944</v>
      </c>
      <c r="AJ54" s="33">
        <f>ROUND(坦克等级成长!$F151*VLOOKUP($Z$2,坦克等级成长!$B$36:$G$42,MATCH(AJ$3,坦克等级成长!$B$35:$G$35,0)),0)</f>
        <v>115</v>
      </c>
      <c r="AK54" s="33">
        <f>ROUND(坦克等级成长!$F151*VLOOKUP($Z$2,坦克等级成长!$B$36:$G$42,MATCH(AK$3,坦克等级成长!$B$35:$G$35,0)),0)</f>
        <v>798</v>
      </c>
      <c r="AL54" s="33">
        <f t="shared" si="8"/>
        <v>798</v>
      </c>
      <c r="AM54" s="33">
        <v>603</v>
      </c>
      <c r="AN54" s="33">
        <f>ROUND(坦克等级成长!$F151*VLOOKUP($Z$2,坦克等级成长!$B$36:$G$42,MATCH(AN$3,坦克等级成长!$B$35:$G$35,0)),0)</f>
        <v>729</v>
      </c>
      <c r="AO54" s="33">
        <f>ROUND(坦克等级成长!$F151*VLOOKUP($Z$2,坦克等级成长!$B$36:$G$42,MATCH(AO$3,坦克等级成长!$B$35:$G$35,0)),0)</f>
        <v>194</v>
      </c>
      <c r="AP54" s="191">
        <v>1</v>
      </c>
      <c r="AQ54" s="33">
        <f>ROUND(坦克等级成长!$H151*VLOOKUP($Z$2,坦克等级成长!$B$36:$G$42,MATCH(AQ$3,坦克等级成长!$B$35:$G$35,0)),0)</f>
        <v>1984</v>
      </c>
      <c r="AR54" s="33">
        <f>ROUND(坦克等级成长!$H151*VLOOKUP($Z$2,坦克等级成长!$B$36:$G$42,MATCH(AR$3,坦克等级成长!$B$35:$G$35,0)),0)</f>
        <v>117</v>
      </c>
      <c r="AS54" s="33">
        <f>ROUND(坦克等级成长!$H151*VLOOKUP($Z$2,坦克等级成长!$B$36:$G$42,MATCH(AS$3,坦克等级成长!$B$35:$G$35,0)),0)</f>
        <v>815</v>
      </c>
      <c r="AT54" s="33">
        <f t="shared" si="22"/>
        <v>815</v>
      </c>
      <c r="AU54" s="33">
        <v>603</v>
      </c>
      <c r="AV54" s="33">
        <f>ROUND(坦克等级成长!$H151*VLOOKUP($Z$2,坦克等级成长!$B$36:$G$42,MATCH(AV$3,坦克等级成长!$B$35:$G$35,0)),0)</f>
        <v>744</v>
      </c>
      <c r="AW54" s="33">
        <f>ROUND(坦克等级成长!$H151*VLOOKUP($Z$2,坦克等级成长!$B$36:$G$42,MATCH(AW$3,坦克等级成长!$B$35:$G$35,0)),0)</f>
        <v>198</v>
      </c>
      <c r="AX54" s="191">
        <v>1</v>
      </c>
      <c r="AY54" s="33">
        <f>ROUND(坦克等级成长!$D151*VLOOKUP($AX$2,坦克等级成长!$B$36:$G$42,MATCH(AY$3,坦克等级成长!$B$35:$G$35,0)),0)</f>
        <v>1904</v>
      </c>
      <c r="AZ54" s="33">
        <f>ROUND(坦克等级成长!$D151*VLOOKUP($AX$2,坦克等级成长!$B$36:$G$42,MATCH(AZ$3,坦克等级成长!$B$35:$G$35,0)),0)</f>
        <v>207</v>
      </c>
      <c r="BA54" s="33">
        <f>ROUND(坦克等级成长!$D151*VLOOKUP($AX$2,坦克等级成长!$B$36:$G$42,MATCH(BA$3,坦克等级成长!$B$35:$G$35,0)),0)</f>
        <v>714</v>
      </c>
      <c r="BB54" s="33">
        <f t="shared" ref="BB54:BB66" si="37">BA54</f>
        <v>714</v>
      </c>
      <c r="BC54" s="33">
        <v>529.20000000000005</v>
      </c>
      <c r="BD54" s="33">
        <f>ROUND(坦克等级成长!$D151*VLOOKUP($AX$2,坦克等级成长!$B$36:$G$42,MATCH(BD$3,坦克等级成长!$B$35:$G$35,0)),0)</f>
        <v>714</v>
      </c>
      <c r="BE54" s="33">
        <f>ROUND(坦克等级成长!$D151*VLOOKUP($AX$2,坦克等级成长!$B$36:$G$42,MATCH(BE$3,坦克等级成长!$B$35:$G$35,0)),0)</f>
        <v>190</v>
      </c>
      <c r="BF54" s="198">
        <v>1</v>
      </c>
      <c r="BG54" s="33">
        <f>ROUND(坦克等级成长!$F151*VLOOKUP($AX$2,坦克等级成长!$B$36:$G$42,MATCH(BG$3,坦克等级成长!$B$35:$G$35,0)),0)</f>
        <v>1944</v>
      </c>
      <c r="BH54" s="33">
        <f>ROUND(坦克等级成长!$F151*VLOOKUP($AX$2,坦克等级成长!$B$36:$G$42,MATCH(BH$3,坦克等级成长!$B$35:$G$35,0)),0)</f>
        <v>211</v>
      </c>
      <c r="BI54" s="33">
        <f>ROUND(坦克等级成长!$F151*VLOOKUP($AX$2,坦克等级成长!$B$36:$G$42,MATCH(BI$3,坦克等级成长!$B$35:$G$35,0)),0)</f>
        <v>729</v>
      </c>
      <c r="BJ54" s="33">
        <f t="shared" si="9"/>
        <v>729</v>
      </c>
      <c r="BK54" s="33">
        <v>550</v>
      </c>
      <c r="BL54" s="33">
        <f>ROUND(坦克等级成长!$F151*VLOOKUP($AX$2,坦克等级成长!$B$36:$G$42,MATCH(BL$3,坦克等级成长!$B$35:$G$35,0)),0)</f>
        <v>729</v>
      </c>
      <c r="BM54" s="33">
        <f>ROUND(坦克等级成长!$F151*VLOOKUP($AX$2,坦克等级成长!$B$36:$G$42,MATCH(BM$3,坦克等级成长!$B$35:$G$35,0)),0)</f>
        <v>194</v>
      </c>
      <c r="BN54" s="191">
        <v>1</v>
      </c>
      <c r="BO54" s="33">
        <f>ROUND(坦克等级成长!$H151*VLOOKUP($AX$2,坦克等级成长!$B$36:$G$42,MATCH(BO$3,坦克等级成长!$B$35:$G$35,0)),0)</f>
        <v>1984</v>
      </c>
      <c r="BP54" s="33">
        <f>ROUND(坦克等级成长!$H151*VLOOKUP($AX$2,坦克等级成长!$B$36:$G$42,MATCH(BP$3,坦克等级成长!$B$35:$G$35,0)),0)</f>
        <v>216</v>
      </c>
      <c r="BQ54" s="33">
        <f>ROUND(坦克等级成长!$H151*VLOOKUP($AX$2,坦克等级成长!$B$36:$G$42,MATCH(BQ$3,坦克等级成长!$B$35:$G$35,0)),0)</f>
        <v>744</v>
      </c>
      <c r="BR54" s="33">
        <f t="shared" si="23"/>
        <v>744</v>
      </c>
      <c r="BS54" s="33">
        <v>550</v>
      </c>
      <c r="BT54" s="33">
        <f>ROUND(坦克等级成长!$H151*VLOOKUP($AX$2,坦克等级成长!$B$36:$G$42,MATCH(BT$3,坦克等级成长!$B$35:$G$35,0)),0)</f>
        <v>744</v>
      </c>
      <c r="BU54" s="33">
        <f>ROUND(坦克等级成长!$H151*VLOOKUP($AX$2,坦克等级成长!$B$36:$G$42,MATCH(BU$3,坦克等级成长!$B$35:$G$35,0)),0)</f>
        <v>198</v>
      </c>
      <c r="BV54" s="191">
        <v>1</v>
      </c>
      <c r="BW54" s="33">
        <f>ROUND(坦克等级成长!$D151*VLOOKUP($BV$2,坦克等级成长!$B$36:$G$42,MATCH(BW$3,坦克等级成长!$B$35:$G$35,0)),0)</f>
        <v>2006</v>
      </c>
      <c r="BX54" s="33">
        <f>ROUND(坦克等级成长!$D151*VLOOKUP($BV$2,坦克等级成长!$B$36:$G$42,MATCH(BX$3,坦克等级成长!$B$35:$G$35,0)),0)</f>
        <v>189</v>
      </c>
      <c r="BY54" s="33">
        <f>ROUND(坦克等级成长!$D151*VLOOKUP($BV$2,坦克等级成长!$B$36:$G$42,MATCH(BY$3,坦克等级成长!$B$35:$G$35,0)),0)</f>
        <v>680</v>
      </c>
      <c r="BZ54" s="33">
        <f t="shared" ref="BZ54:BZ66" si="38">BY54</f>
        <v>680</v>
      </c>
      <c r="CA54" s="33">
        <v>540</v>
      </c>
      <c r="CB54" s="33">
        <f>ROUND(坦克等级成长!$D151*VLOOKUP($BV$2,坦克等级成长!$B$36:$G$42,MATCH(CB$3,坦克等级成长!$B$35:$G$35,0)),0)</f>
        <v>857</v>
      </c>
      <c r="CC54" s="33">
        <f>ROUND(坦克等级成长!$D151*VLOOKUP($BV$2,坦克等级成长!$B$36:$G$42,MATCH(CC$3,坦克等级成长!$B$35:$G$35,0)),0)</f>
        <v>201</v>
      </c>
      <c r="CD54" s="198">
        <v>1</v>
      </c>
      <c r="CE54" s="33">
        <f>ROUND(坦克等级成长!$F151*VLOOKUP($BV$2,坦克等级成长!$B$36:$G$42,MATCH(CE$3,坦克等级成长!$B$35:$G$35,0)),0)</f>
        <v>2048</v>
      </c>
      <c r="CF54" s="33">
        <f>ROUND(坦克等级成长!$F151*VLOOKUP($BV$2,坦克等级成长!$B$36:$G$42,MATCH(CF$3,坦克等级成长!$B$35:$G$35,0)),0)</f>
        <v>193</v>
      </c>
      <c r="CG54" s="33">
        <f>ROUND(坦克等级成长!$F151*VLOOKUP($BV$2,坦克等级成长!$B$36:$G$42,MATCH(CG$3,坦克等级成长!$B$35:$G$35,0)),0)</f>
        <v>694</v>
      </c>
      <c r="CH54" s="33">
        <f t="shared" si="10"/>
        <v>694</v>
      </c>
      <c r="CI54" s="33">
        <v>562</v>
      </c>
      <c r="CJ54" s="33">
        <f>ROUND(坦克等级成长!$F151*VLOOKUP($BV$2,坦克等级成长!$B$36:$G$42,MATCH(CJ$3,坦克等级成长!$B$35:$G$35,0)),0)</f>
        <v>875</v>
      </c>
      <c r="CK54" s="33">
        <f>ROUND(坦克等级成长!$F151*VLOOKUP($BV$2,坦克等级成长!$B$36:$G$42,MATCH(CK$3,坦克等级成长!$B$35:$G$35,0)),0)</f>
        <v>205</v>
      </c>
      <c r="CL54" s="191">
        <v>1</v>
      </c>
      <c r="CM54" s="33">
        <f>ROUND(坦克等级成长!$H151*VLOOKUP($BV$2,坦克等级成长!$B$36:$G$42,MATCH(CM$3,坦克等级成长!$B$35:$G$35,0)),0)</f>
        <v>2091</v>
      </c>
      <c r="CN54" s="33">
        <f>ROUND(坦克等级成长!$H151*VLOOKUP($BV$2,坦克等级成长!$B$36:$G$42,MATCH(CN$3,坦克等级成长!$B$35:$G$35,0)),0)</f>
        <v>197</v>
      </c>
      <c r="CO54" s="33">
        <f>ROUND(坦克等级成长!$H151*VLOOKUP($BV$2,坦克等级成长!$B$36:$G$42,MATCH(CO$3,坦克等级成长!$B$35:$G$35,0)),0)</f>
        <v>709</v>
      </c>
      <c r="CP54" s="33">
        <f t="shared" si="24"/>
        <v>709</v>
      </c>
      <c r="CQ54" s="33">
        <v>562</v>
      </c>
      <c r="CR54" s="33">
        <f>ROUND(坦克等级成长!$H151*VLOOKUP($BV$2,坦克等级成长!$B$36:$G$42,MATCH(CR$3,坦克等级成长!$B$35:$G$35,0)),0)</f>
        <v>893</v>
      </c>
      <c r="CS54" s="33">
        <f>ROUND(坦克等级成长!$H151*VLOOKUP($BV$2,坦克等级成长!$B$36:$G$42,MATCH(CS$3,坦克等级成长!$B$35:$G$35,0)),0)</f>
        <v>209</v>
      </c>
      <c r="CT54" s="191">
        <v>1</v>
      </c>
      <c r="CU54" s="33">
        <f>ROUND(坦克等级成长!$D151*VLOOKUP($CT$2,坦克等级成长!$B$36:$G$42,MATCH(CU$3,坦克等级成长!$B$35:$G$35,0)),0)</f>
        <v>1904</v>
      </c>
      <c r="CV54" s="33">
        <f>ROUND(坦克等级成长!$D151*VLOOKUP($CT$2,坦克等级成长!$B$36:$G$42,MATCH(CV$3,坦克等级成长!$B$35:$G$35,0)),0)</f>
        <v>432</v>
      </c>
      <c r="CW54" s="33">
        <f>ROUND(坦克等级成长!$D151*VLOOKUP($CT$2,坦克等级成长!$B$36:$G$42,MATCH(CW$3,坦克等级成长!$B$35:$G$35,0)),0)</f>
        <v>850</v>
      </c>
      <c r="CX54" s="33">
        <f t="shared" ref="CX54:CX66" si="39">CW54</f>
        <v>850</v>
      </c>
      <c r="CY54" s="33">
        <v>675</v>
      </c>
      <c r="CZ54" s="33">
        <f>ROUND(坦克等级成长!$D151*VLOOKUP($CT$2,坦克等级成长!$B$36:$G$42,MATCH(CZ$3,坦克等级成长!$B$35:$G$35,0)),0)</f>
        <v>714</v>
      </c>
      <c r="DA54" s="33">
        <f>ROUND(坦克等级成长!$D151*VLOOKUP($CT$2,坦克等级成长!$B$36:$G$42,MATCH(DA$3,坦克等级成长!$B$35:$G$35,0)),0)</f>
        <v>190</v>
      </c>
      <c r="DB54" s="198">
        <v>1</v>
      </c>
      <c r="DC54" s="33">
        <f>ROUND(坦克等级成长!$F151*VLOOKUP($CT$2,坦克等级成长!$B$36:$G$42,MATCH(DC$3,坦克等级成长!$B$35:$G$35,0)),0)</f>
        <v>1944</v>
      </c>
      <c r="DD54" s="33">
        <f>ROUND(坦克等级成长!$F151*VLOOKUP($CT$2,坦克等级成长!$B$36:$G$42,MATCH(DD$3,坦克等级成长!$B$35:$G$35,0)),0)</f>
        <v>442</v>
      </c>
      <c r="DE54" s="33">
        <f>ROUND(坦克等级成长!$F151*VLOOKUP($CT$2,坦克等级成长!$B$36:$G$42,MATCH(DE$3,坦克等级成长!$B$35:$G$35,0)),0)</f>
        <v>868</v>
      </c>
      <c r="DF54" s="33">
        <f t="shared" si="11"/>
        <v>868</v>
      </c>
      <c r="DG54" s="33">
        <v>702</v>
      </c>
      <c r="DH54" s="33">
        <f>ROUND(坦克等级成长!$F151*VLOOKUP($CT$2,坦克等级成长!$B$36:$G$42,MATCH(DH$3,坦克等级成长!$B$35:$G$35,0)),0)</f>
        <v>729</v>
      </c>
      <c r="DI54" s="33">
        <f>ROUND(坦克等级成长!$F151*VLOOKUP($CT$2,坦克等级成长!$B$36:$G$42,MATCH(DI$3,坦克等级成长!$B$35:$G$35,0)),0)</f>
        <v>194</v>
      </c>
      <c r="DJ54" s="191">
        <v>1</v>
      </c>
      <c r="DK54" s="33">
        <f>ROUND(坦克等级成长!$H151*VLOOKUP($CT$2,坦克等级成长!$B$36:$G$42,MATCH(DK$3,坦克等级成长!$B$35:$G$35,0)),0)</f>
        <v>1984</v>
      </c>
      <c r="DL54" s="33">
        <f>ROUND(坦克等级成长!$H151*VLOOKUP($CT$2,坦克等级成长!$B$36:$G$42,MATCH(DL$3,坦克等级成长!$B$35:$G$35,0)),0)</f>
        <v>451</v>
      </c>
      <c r="DM54" s="33">
        <f>ROUND(坦克等级成长!$H151*VLOOKUP($CT$2,坦克等级成长!$B$36:$G$42,MATCH(DM$3,坦克等级成长!$B$35:$G$35,0)),0)</f>
        <v>886</v>
      </c>
      <c r="DN54" s="33">
        <f t="shared" si="25"/>
        <v>886</v>
      </c>
      <c r="DO54" s="33">
        <v>702</v>
      </c>
      <c r="DP54" s="33">
        <f>ROUND(坦克等级成长!$H151*VLOOKUP($CT$2,坦克等级成长!$B$36:$G$42,MATCH(DP$3,坦克等级成长!$B$35:$G$35,0)),0)</f>
        <v>744</v>
      </c>
      <c r="DQ54" s="33">
        <f>ROUND(坦克等级成长!$H151*VLOOKUP($CT$2,坦克等级成长!$B$36:$G$42,MATCH(DQ$3,坦克等级成长!$B$35:$G$35,0)),0)</f>
        <v>198</v>
      </c>
      <c r="DR54" s="191">
        <v>1</v>
      </c>
      <c r="DS54" s="33">
        <f>ROUND(坦克等级成长!$D151*VLOOKUP($DR$2,坦克等级成长!$B$36:$G$42,MATCH(DS$3,坦克等级成长!$B$35:$G$35,0)),0)</f>
        <v>2166</v>
      </c>
      <c r="DT54" s="33">
        <f>ROUND(坦克等级成长!$D151*VLOOKUP($DR$2,坦克等级成长!$B$36:$G$42,MATCH(DT$3,坦克等级成长!$B$35:$G$35,0)),0)</f>
        <v>739</v>
      </c>
      <c r="DU54" s="33">
        <f>ROUND(坦克等级成长!$D151*VLOOKUP($DR$2,坦克等级成长!$B$36:$G$42,MATCH(DU$3,坦克等级成长!$B$35:$G$35,0)),0)</f>
        <v>680</v>
      </c>
      <c r="DV54" s="33">
        <f t="shared" ref="DV54:DV66" si="40">DU54</f>
        <v>680</v>
      </c>
      <c r="DW54" s="33">
        <v>576</v>
      </c>
      <c r="DX54" s="33">
        <f>ROUND(坦克等级成长!$D151*VLOOKUP($DR$2,坦克等级成长!$B$36:$G$42,MATCH(DX$3,坦克等级成长!$B$35:$G$35,0)),0)</f>
        <v>1000</v>
      </c>
      <c r="DY54" s="33">
        <f>ROUND(坦克等级成长!$D151*VLOOKUP($DR$2,坦克等级成长!$B$36:$G$42,MATCH(DY$3,坦克等级成长!$B$35:$G$35,0)),0)</f>
        <v>217</v>
      </c>
      <c r="DZ54" s="198">
        <v>1</v>
      </c>
      <c r="EA54" s="33">
        <f>ROUND(坦克等级成长!$F151*VLOOKUP($DR$2,坦克等级成长!$B$36:$G$42,MATCH(EA$3,坦克等级成长!$B$35:$G$35,0)),0)</f>
        <v>2212</v>
      </c>
      <c r="EB54" s="33">
        <f>ROUND(坦克等级成长!$F151*VLOOKUP($DR$2,坦克等级成长!$B$36:$G$42,MATCH(EB$3,坦克等级成长!$B$35:$G$35,0)),0)</f>
        <v>755</v>
      </c>
      <c r="EC54" s="33">
        <f>ROUND(坦克等级成长!$F151*VLOOKUP($DR$2,坦克等级成长!$B$36:$G$42,MATCH(EC$3,坦克等级成长!$B$35:$G$35,0)),0)</f>
        <v>694</v>
      </c>
      <c r="ED54" s="33">
        <f t="shared" si="12"/>
        <v>694</v>
      </c>
      <c r="EE54" s="33">
        <v>599</v>
      </c>
      <c r="EF54" s="33">
        <f>ROUND(坦克等级成长!$F151*VLOOKUP($DR$2,坦克等级成长!$B$36:$G$42,MATCH(EF$3,坦克等级成长!$B$35:$G$35,0)),0)</f>
        <v>1021</v>
      </c>
      <c r="EG54" s="33">
        <f>ROUND(坦克等级成长!$F151*VLOOKUP($DR$2,坦克等级成长!$B$36:$G$42,MATCH(EG$3,坦克等级成长!$B$35:$G$35,0)),0)</f>
        <v>221</v>
      </c>
      <c r="EH54" s="191">
        <v>1</v>
      </c>
      <c r="EI54" s="33">
        <f>ROUND(坦克等级成长!$H151*VLOOKUP($DR$2,坦克等级成长!$B$36:$G$42,MATCH(EI$3,坦克等级成长!$B$35:$G$35,0)),0)</f>
        <v>2257</v>
      </c>
      <c r="EJ54" s="33">
        <f>ROUND(坦克等级成长!$H151*VLOOKUP($DR$2,坦克等级成长!$B$36:$G$42,MATCH(EJ$3,坦克等级成长!$B$35:$G$35,0)),0)</f>
        <v>770</v>
      </c>
      <c r="EK54" s="33">
        <f>ROUND(坦克等级成长!$H151*VLOOKUP($DR$2,坦克等级成长!$B$36:$G$42,MATCH(EK$3,坦克等级成长!$B$35:$G$35,0)),0)</f>
        <v>709</v>
      </c>
      <c r="EL54" s="33">
        <f t="shared" si="26"/>
        <v>709</v>
      </c>
      <c r="EM54" s="33">
        <v>599</v>
      </c>
      <c r="EN54" s="33">
        <f>ROUND(坦克等级成长!$H151*VLOOKUP($DR$2,坦克等级成长!$B$36:$G$42,MATCH(EN$3,坦克等级成长!$B$35:$G$35,0)),0)</f>
        <v>1042</v>
      </c>
      <c r="EO54" s="33">
        <f>ROUND(坦克等级成长!$H151*VLOOKUP($DR$2,坦克等级成长!$B$36:$G$42,MATCH(EO$3,坦克等级成长!$B$35:$G$35,0)),0)</f>
        <v>226</v>
      </c>
      <c r="EP54" s="191">
        <v>1</v>
      </c>
      <c r="EQ54" s="33">
        <f>ROUND(坦克等级成长!$D151*VLOOKUP($EP$2,坦克等级成长!$B$36:$G$42,MATCH(EQ$3,坦克等级成长!$B$35:$G$35,0)),0)</f>
        <v>2006</v>
      </c>
      <c r="ER54" s="33">
        <f>ROUND(坦克等级成长!$D151*VLOOKUP($EP$2,坦克等级成长!$B$36:$G$42,MATCH(ER$3,坦克等级成长!$B$35:$G$35,0)),0)</f>
        <v>230</v>
      </c>
      <c r="ES54" s="33">
        <f>ROUND(坦克等级成长!$D151*VLOOKUP($EP$2,坦克等级成长!$B$36:$G$42,MATCH(ES$3,坦克等级成长!$B$35:$G$35,0)),0)</f>
        <v>782</v>
      </c>
      <c r="ET54" s="33">
        <f t="shared" ref="ET54:ET66" si="41">ES54</f>
        <v>782</v>
      </c>
      <c r="EU54" s="33">
        <v>621</v>
      </c>
      <c r="EV54" s="33">
        <f>ROUND(坦克等级成长!$D151*VLOOKUP($EP$2,坦克等级成长!$B$36:$G$42,MATCH(EV$3,坦克等级成长!$B$35:$G$35,0)),0)</f>
        <v>857</v>
      </c>
      <c r="EW54" s="33">
        <f>ROUND(坦克等级成长!$D151*VLOOKUP($EP$2,坦克等级成长!$B$36:$G$42,MATCH(EW$3,坦克等级成长!$B$35:$G$35,0)),0)</f>
        <v>201</v>
      </c>
      <c r="EX54" s="198">
        <v>1</v>
      </c>
      <c r="EY54" s="33">
        <f>ROUND(坦克等级成长!$F151*VLOOKUP($EP$2,坦克等级成长!$B$36:$G$42,MATCH(EY$3,坦克等级成长!$B$35:$G$35,0)),0)</f>
        <v>2048</v>
      </c>
      <c r="EZ54" s="33">
        <f>ROUND(坦克等级成长!$F151*VLOOKUP($EP$2,坦克等级成长!$B$36:$G$42,MATCH(EZ$3,坦克等级成长!$B$35:$G$35,0)),0)</f>
        <v>235</v>
      </c>
      <c r="FA54" s="33">
        <f>ROUND(坦克等级成长!$F151*VLOOKUP($EP$2,坦克等级成长!$B$36:$G$42,MATCH(FA$3,坦克等级成长!$B$35:$G$35,0)),0)</f>
        <v>798</v>
      </c>
      <c r="FB54" s="33">
        <f t="shared" si="13"/>
        <v>798</v>
      </c>
      <c r="FC54" s="33">
        <v>646</v>
      </c>
      <c r="FD54" s="33">
        <f>ROUND(坦克等级成长!$F151*VLOOKUP($EP$2,坦克等级成长!$B$36:$G$42,MATCH(FD$3,坦克等级成长!$B$35:$G$35,0)),0)</f>
        <v>875</v>
      </c>
      <c r="FE54" s="33">
        <f>ROUND(坦克等级成长!$F151*VLOOKUP($EP$2,坦克等级成长!$B$36:$G$42,MATCH(FE$3,坦克等级成长!$B$35:$G$35,0)),0)</f>
        <v>205</v>
      </c>
      <c r="FF54" s="191">
        <v>1</v>
      </c>
      <c r="FG54" s="33">
        <f>ROUND(坦克等级成长!$H151*VLOOKUP($EP$2,坦克等级成长!$B$36:$G$42,MATCH(FG$3,坦克等级成长!$B$35:$G$35,0)),0)</f>
        <v>2091</v>
      </c>
      <c r="FH54" s="33">
        <f>ROUND(坦克等级成长!$H151*VLOOKUP($EP$2,坦克等级成长!$B$36:$G$42,MATCH(FH$3,坦克等级成长!$B$35:$G$35,0)),0)</f>
        <v>240</v>
      </c>
      <c r="FI54" s="33">
        <f>ROUND(坦克等级成长!$H151*VLOOKUP($EP$2,坦克等级成长!$B$36:$G$42,MATCH(FI$3,坦克等级成长!$B$35:$G$35,0)),0)</f>
        <v>815</v>
      </c>
      <c r="FJ54" s="33">
        <f t="shared" si="27"/>
        <v>815</v>
      </c>
      <c r="FK54" s="33">
        <v>646</v>
      </c>
      <c r="FL54" s="33">
        <f>ROUND(坦克等级成长!$H151*VLOOKUP($EP$2,坦克等级成长!$B$36:$G$42,MATCH(FL$3,坦克等级成长!$B$35:$G$35,0)),0)</f>
        <v>893</v>
      </c>
      <c r="FM54" s="33">
        <f>ROUND(坦克等级成长!$H151*VLOOKUP($EP$2,坦克等级成长!$B$36:$G$42,MATCH(FM$3,坦克等级成长!$B$35:$G$35,0)),0)</f>
        <v>209</v>
      </c>
    </row>
    <row r="55" spans="1:169" ht="14.25" x14ac:dyDescent="0.3">
      <c r="A55" s="188">
        <v>5</v>
      </c>
      <c r="B55" s="191">
        <v>2</v>
      </c>
      <c r="C55" s="33">
        <f>ROUND(坦克等级成长!$D152*VLOOKUP($B$2,坦克等级成长!$B$36:$G$42,MATCH(C$3,坦克等级成长!$B$35:$G$35,0)),0)</f>
        <v>1992</v>
      </c>
      <c r="D55" s="33">
        <f>ROUND(坦克等级成长!$D152*VLOOKUP($B$2,坦克等级成长!$B$36:$G$42,MATCH(D$3,坦克等级成长!$B$35:$G$35,0)),0)</f>
        <v>217</v>
      </c>
      <c r="E55" s="33">
        <f>ROUND(坦克等级成长!$D152*VLOOKUP($B$2,坦克等级成长!$B$36:$G$42,MATCH(E$3,坦克等级成长!$B$35:$G$35,0)),0)</f>
        <v>747</v>
      </c>
      <c r="F55" s="33">
        <f t="shared" si="35"/>
        <v>747</v>
      </c>
      <c r="G55" s="33">
        <v>554.4</v>
      </c>
      <c r="H55" s="33">
        <f>ROUND(坦克等级成长!$D152*VLOOKUP($B$2,坦克等级成长!$B$36:$G$42,MATCH(H$3,坦克等级成长!$B$35:$G$35,0)),0)</f>
        <v>747</v>
      </c>
      <c r="I55" s="33">
        <f>ROUND(坦克等级成长!$D152*VLOOKUP($B$2,坦克等级成长!$B$36:$G$42,MATCH(I$3,坦克等级成长!$B$35:$G$35,0)),0)</f>
        <v>199</v>
      </c>
      <c r="J55" s="198">
        <v>2</v>
      </c>
      <c r="K55" s="33">
        <f>ROUND(坦克等级成长!$F152*VLOOKUP($B$2,坦克等级成长!$B$36:$G$42,MATCH(K$3,坦克等级成长!$B$35:$G$35,0)),0)</f>
        <v>2032</v>
      </c>
      <c r="L55" s="33">
        <f>ROUND(坦克等级成长!$F152*VLOOKUP($B$2,坦克等级成长!$B$36:$G$42,MATCH(L$3,坦克等级成长!$B$35:$G$35,0)),0)</f>
        <v>221</v>
      </c>
      <c r="M55" s="33">
        <f>ROUND(坦克等级成长!$F152*VLOOKUP($B$2,坦克等级成长!$B$36:$G$42,MATCH(M$3,坦克等级成长!$B$35:$G$35,0)),0)</f>
        <v>762</v>
      </c>
      <c r="N55" s="33">
        <f t="shared" si="7"/>
        <v>762</v>
      </c>
      <c r="O55" s="33">
        <v>575</v>
      </c>
      <c r="P55" s="33">
        <f>ROUND(坦克等级成长!$F152*VLOOKUP($B$2,坦克等级成长!$B$36:$G$42,MATCH(P$3,坦克等级成长!$B$35:$G$35,0)),0)</f>
        <v>762</v>
      </c>
      <c r="Q55" s="33">
        <f>ROUND(坦克等级成长!$F152*VLOOKUP($B$2,坦克等级成长!$B$36:$G$42,MATCH(Q$3,坦克等级成长!$B$35:$G$35,0)),0)</f>
        <v>203</v>
      </c>
      <c r="R55" s="191">
        <v>2</v>
      </c>
      <c r="S55" s="33">
        <f>ROUND(坦克等级成长!$H152*VLOOKUP($B$2,坦克等级成长!$B$36:$G$42,MATCH(S$3,坦克等级成长!$B$35:$G$35,0)),0)</f>
        <v>2072</v>
      </c>
      <c r="T55" s="33">
        <f>ROUND(坦克等级成长!$H152*VLOOKUP($B$2,坦克等级成长!$B$36:$G$42,MATCH(T$3,坦克等级成长!$B$35:$G$35,0)),0)</f>
        <v>225</v>
      </c>
      <c r="U55" s="33">
        <f>ROUND(坦克等级成长!$H152*VLOOKUP($B$2,坦克等级成长!$B$36:$G$42,MATCH(U$3,坦克等级成长!$B$35:$G$35,0)),0)</f>
        <v>777</v>
      </c>
      <c r="V55" s="33">
        <f t="shared" si="21"/>
        <v>777</v>
      </c>
      <c r="W55" s="33">
        <v>575</v>
      </c>
      <c r="X55" s="33">
        <f>ROUND(坦克等级成长!$H152*VLOOKUP($B$2,坦克等级成长!$B$36:$G$42,MATCH(X$3,坦克等级成长!$B$35:$G$35,0)),0)</f>
        <v>777</v>
      </c>
      <c r="Y55" s="33">
        <f>ROUND(坦克等级成长!$H152*VLOOKUP($B$2,坦克等级成长!$B$36:$G$42,MATCH(Y$3,坦克等级成长!$B$35:$G$35,0)),0)</f>
        <v>207</v>
      </c>
      <c r="Z55" s="191">
        <v>2</v>
      </c>
      <c r="AA55" s="33">
        <f>ROUND(坦克等级成长!$D152*VLOOKUP($Z$2,坦克等级成长!$B$36:$G$42,MATCH(AA$3,坦克等级成长!$B$35:$G$35,0)),0)</f>
        <v>1992</v>
      </c>
      <c r="AB55" s="33">
        <f>ROUND(坦克等级成长!$D152*VLOOKUP($Z$2,坦克等级成长!$B$36:$G$42,MATCH(AB$3,坦克等级成长!$B$35:$G$35,0)),0)</f>
        <v>117</v>
      </c>
      <c r="AC55" s="33">
        <f>ROUND(坦克等级成长!$D152*VLOOKUP($Z$2,坦克等级成长!$B$36:$G$42,MATCH(AC$3,坦克等级成长!$B$35:$G$35,0)),0)</f>
        <v>818</v>
      </c>
      <c r="AD55" s="33">
        <f t="shared" si="36"/>
        <v>818</v>
      </c>
      <c r="AE55" s="33">
        <v>606.9</v>
      </c>
      <c r="AF55" s="33">
        <f>ROUND(坦克等级成长!$D152*VLOOKUP($Z$2,坦克等级成长!$B$36:$G$42,MATCH(AF$3,坦克等级成长!$B$35:$G$35,0)),0)</f>
        <v>747</v>
      </c>
      <c r="AG55" s="33">
        <f>ROUND(坦克等级成长!$D152*VLOOKUP($Z$2,坦克等级成长!$B$36:$G$42,MATCH(AG$3,坦克等级成长!$B$35:$G$35,0)),0)</f>
        <v>199</v>
      </c>
      <c r="AH55" s="198">
        <v>2</v>
      </c>
      <c r="AI55" s="33">
        <f>ROUND(坦克等级成长!$F152*VLOOKUP($Z$2,坦克等级成长!$B$36:$G$42,MATCH(AI$3,坦克等级成长!$B$35:$G$35,0)),0)</f>
        <v>2032</v>
      </c>
      <c r="AJ55" s="33">
        <f>ROUND(坦克等级成长!$F152*VLOOKUP($Z$2,坦克等级成长!$B$36:$G$42,MATCH(AJ$3,坦克等级成长!$B$35:$G$35,0)),0)</f>
        <v>120</v>
      </c>
      <c r="AK55" s="33">
        <f>ROUND(坦克等级成长!$F152*VLOOKUP($Z$2,坦克等级成长!$B$36:$G$42,MATCH(AK$3,坦克等级成长!$B$35:$G$35,0)),0)</f>
        <v>835</v>
      </c>
      <c r="AL55" s="33">
        <f t="shared" si="8"/>
        <v>835</v>
      </c>
      <c r="AM55" s="33">
        <v>630</v>
      </c>
      <c r="AN55" s="33">
        <f>ROUND(坦克等级成长!$F152*VLOOKUP($Z$2,坦克等级成长!$B$36:$G$42,MATCH(AN$3,坦克等级成长!$B$35:$G$35,0)),0)</f>
        <v>762</v>
      </c>
      <c r="AO55" s="33">
        <f>ROUND(坦克等级成长!$F152*VLOOKUP($Z$2,坦克等级成长!$B$36:$G$42,MATCH(AO$3,坦克等级成长!$B$35:$G$35,0)),0)</f>
        <v>203</v>
      </c>
      <c r="AP55" s="191">
        <v>2</v>
      </c>
      <c r="AQ55" s="33">
        <f>ROUND(坦克等级成长!$H152*VLOOKUP($Z$2,坦克等级成长!$B$36:$G$42,MATCH(AQ$3,坦克等级成长!$B$35:$G$35,0)),0)</f>
        <v>2072</v>
      </c>
      <c r="AR55" s="33">
        <f>ROUND(坦克等级成长!$H152*VLOOKUP($Z$2,坦克等级成长!$B$36:$G$42,MATCH(AR$3,坦克等级成长!$B$35:$G$35,0)),0)</f>
        <v>122</v>
      </c>
      <c r="AS55" s="33">
        <f>ROUND(坦克等级成长!$H152*VLOOKUP($Z$2,坦克等级成长!$B$36:$G$42,MATCH(AS$3,坦克等级成长!$B$35:$G$35,0)),0)</f>
        <v>851</v>
      </c>
      <c r="AT55" s="33">
        <f t="shared" si="22"/>
        <v>851</v>
      </c>
      <c r="AU55" s="33">
        <v>630</v>
      </c>
      <c r="AV55" s="33">
        <f>ROUND(坦克等级成长!$H152*VLOOKUP($Z$2,坦克等级成长!$B$36:$G$42,MATCH(AV$3,坦克等级成长!$B$35:$G$35,0)),0)</f>
        <v>777</v>
      </c>
      <c r="AW55" s="33">
        <f>ROUND(坦克等级成长!$H152*VLOOKUP($Z$2,坦克等级成长!$B$36:$G$42,MATCH(AW$3,坦克等级成长!$B$35:$G$35,0)),0)</f>
        <v>207</v>
      </c>
      <c r="AX55" s="191">
        <v>2</v>
      </c>
      <c r="AY55" s="33">
        <f>ROUND(坦克等级成长!$D152*VLOOKUP($AX$2,坦克等级成长!$B$36:$G$42,MATCH(AY$3,坦克等级成长!$B$35:$G$35,0)),0)</f>
        <v>1992</v>
      </c>
      <c r="AZ55" s="33">
        <f>ROUND(坦克等级成长!$D152*VLOOKUP($AX$2,坦克等级成长!$B$36:$G$42,MATCH(AZ$3,坦克等级成长!$B$35:$G$35,0)),0)</f>
        <v>217</v>
      </c>
      <c r="BA55" s="33">
        <f>ROUND(坦克等级成长!$D152*VLOOKUP($AX$2,坦克等级成长!$B$36:$G$42,MATCH(BA$3,坦克等级成长!$B$35:$G$35,0)),0)</f>
        <v>747</v>
      </c>
      <c r="BB55" s="33">
        <f t="shared" si="37"/>
        <v>747</v>
      </c>
      <c r="BC55" s="33">
        <v>554.4</v>
      </c>
      <c r="BD55" s="33">
        <f>ROUND(坦克等级成长!$D152*VLOOKUP($AX$2,坦克等级成长!$B$36:$G$42,MATCH(BD$3,坦克等级成长!$B$35:$G$35,0)),0)</f>
        <v>747</v>
      </c>
      <c r="BE55" s="33">
        <f>ROUND(坦克等级成长!$D152*VLOOKUP($AX$2,坦克等级成长!$B$36:$G$42,MATCH(BE$3,坦克等级成长!$B$35:$G$35,0)),0)</f>
        <v>199</v>
      </c>
      <c r="BF55" s="198">
        <v>2</v>
      </c>
      <c r="BG55" s="33">
        <f>ROUND(坦克等级成长!$F152*VLOOKUP($AX$2,坦克等级成长!$B$36:$G$42,MATCH(BG$3,坦克等级成长!$B$35:$G$35,0)),0)</f>
        <v>2032</v>
      </c>
      <c r="BH55" s="33">
        <f>ROUND(坦克等级成长!$F152*VLOOKUP($AX$2,坦克等级成长!$B$36:$G$42,MATCH(BH$3,坦克等级成长!$B$35:$G$35,0)),0)</f>
        <v>221</v>
      </c>
      <c r="BI55" s="33">
        <f>ROUND(坦克等级成长!$F152*VLOOKUP($AX$2,坦克等级成长!$B$36:$G$42,MATCH(BI$3,坦克等级成长!$B$35:$G$35,0)),0)</f>
        <v>762</v>
      </c>
      <c r="BJ55" s="33">
        <f t="shared" si="9"/>
        <v>762</v>
      </c>
      <c r="BK55" s="33">
        <v>575</v>
      </c>
      <c r="BL55" s="33">
        <f>ROUND(坦克等级成长!$F152*VLOOKUP($AX$2,坦克等级成长!$B$36:$G$42,MATCH(BL$3,坦克等级成长!$B$35:$G$35,0)),0)</f>
        <v>762</v>
      </c>
      <c r="BM55" s="33">
        <f>ROUND(坦克等级成长!$F152*VLOOKUP($AX$2,坦克等级成长!$B$36:$G$42,MATCH(BM$3,坦克等级成长!$B$35:$G$35,0)),0)</f>
        <v>203</v>
      </c>
      <c r="BN55" s="191">
        <v>2</v>
      </c>
      <c r="BO55" s="33">
        <f>ROUND(坦克等级成长!$H152*VLOOKUP($AX$2,坦克等级成长!$B$36:$G$42,MATCH(BO$3,坦克等级成长!$B$35:$G$35,0)),0)</f>
        <v>2072</v>
      </c>
      <c r="BP55" s="33">
        <f>ROUND(坦克等级成长!$H152*VLOOKUP($AX$2,坦克等级成长!$B$36:$G$42,MATCH(BP$3,坦克等级成长!$B$35:$G$35,0)),0)</f>
        <v>225</v>
      </c>
      <c r="BQ55" s="33">
        <f>ROUND(坦克等级成长!$H152*VLOOKUP($AX$2,坦克等级成长!$B$36:$G$42,MATCH(BQ$3,坦克等级成长!$B$35:$G$35,0)),0)</f>
        <v>777</v>
      </c>
      <c r="BR55" s="33">
        <f t="shared" si="23"/>
        <v>777</v>
      </c>
      <c r="BS55" s="33">
        <v>575</v>
      </c>
      <c r="BT55" s="33">
        <f>ROUND(坦克等级成长!$H152*VLOOKUP($AX$2,坦克等级成长!$B$36:$G$42,MATCH(BT$3,坦克等级成长!$B$35:$G$35,0)),0)</f>
        <v>777</v>
      </c>
      <c r="BU55" s="33">
        <f>ROUND(坦克等级成长!$H152*VLOOKUP($AX$2,坦克等级成长!$B$36:$G$42,MATCH(BU$3,坦克等级成长!$B$35:$G$35,0)),0)</f>
        <v>207</v>
      </c>
      <c r="BV55" s="191">
        <v>2</v>
      </c>
      <c r="BW55" s="33">
        <f>ROUND(坦克等级成长!$D152*VLOOKUP($BV$2,坦克等级成长!$B$36:$G$42,MATCH(BW$3,坦克等级成长!$B$35:$G$35,0)),0)</f>
        <v>2099</v>
      </c>
      <c r="BX55" s="33">
        <f>ROUND(坦克等级成长!$D152*VLOOKUP($BV$2,坦克等级成长!$B$36:$G$42,MATCH(BX$3,坦克等级成长!$B$35:$G$35,0)),0)</f>
        <v>198</v>
      </c>
      <c r="BY55" s="33">
        <f>ROUND(坦克等级成长!$D152*VLOOKUP($BV$2,坦克等级成长!$B$36:$G$42,MATCH(BY$3,坦克等级成长!$B$35:$G$35,0)),0)</f>
        <v>711</v>
      </c>
      <c r="BZ55" s="33">
        <f t="shared" si="38"/>
        <v>711</v>
      </c>
      <c r="CA55" s="33">
        <v>565.5</v>
      </c>
      <c r="CB55" s="33">
        <f>ROUND(坦克等级成长!$D152*VLOOKUP($BV$2,坦克等级成长!$B$36:$G$42,MATCH(CB$3,坦克等级成长!$B$35:$G$35,0)),0)</f>
        <v>896</v>
      </c>
      <c r="CC55" s="33">
        <f>ROUND(坦克等级成长!$D152*VLOOKUP($BV$2,坦克等级成长!$B$36:$G$42,MATCH(CC$3,坦克等级成长!$B$35:$G$35,0)),0)</f>
        <v>210</v>
      </c>
      <c r="CD55" s="198">
        <v>2</v>
      </c>
      <c r="CE55" s="33">
        <f>ROUND(坦克等级成长!$F152*VLOOKUP($BV$2,坦克等级成长!$B$36:$G$42,MATCH(CE$3,坦克等级成长!$B$35:$G$35,0)),0)</f>
        <v>2141</v>
      </c>
      <c r="CF55" s="33">
        <f>ROUND(坦克等级成长!$F152*VLOOKUP($BV$2,坦克等级成长!$B$36:$G$42,MATCH(CF$3,坦克等级成长!$B$35:$G$35,0)),0)</f>
        <v>202</v>
      </c>
      <c r="CG55" s="33">
        <f>ROUND(坦克等级成长!$F152*VLOOKUP($BV$2,坦克等级成长!$B$36:$G$42,MATCH(CG$3,坦克等级成长!$B$35:$G$35,0)),0)</f>
        <v>726</v>
      </c>
      <c r="CH55" s="33">
        <f t="shared" si="10"/>
        <v>726</v>
      </c>
      <c r="CI55" s="33">
        <v>587</v>
      </c>
      <c r="CJ55" s="33">
        <f>ROUND(坦克等级成长!$F152*VLOOKUP($BV$2,坦克等级成长!$B$36:$G$42,MATCH(CJ$3,坦克等级成长!$B$35:$G$35,0)),0)</f>
        <v>914</v>
      </c>
      <c r="CK55" s="33">
        <f>ROUND(坦克等级成长!$F152*VLOOKUP($BV$2,坦克等级成长!$B$36:$G$42,MATCH(CK$3,坦克等级成长!$B$35:$G$35,0)),0)</f>
        <v>214</v>
      </c>
      <c r="CL55" s="191">
        <v>2</v>
      </c>
      <c r="CM55" s="33">
        <f>ROUND(坦克等级成长!$H152*VLOOKUP($BV$2,坦克等级成长!$B$36:$G$42,MATCH(CM$3,坦克等级成长!$B$35:$G$35,0)),0)</f>
        <v>2183</v>
      </c>
      <c r="CN55" s="33">
        <f>ROUND(坦克等级成长!$H152*VLOOKUP($BV$2,坦克等级成长!$B$36:$G$42,MATCH(CN$3,坦克等级成长!$B$35:$G$35,0)),0)</f>
        <v>206</v>
      </c>
      <c r="CO55" s="33">
        <f>ROUND(坦克等级成长!$H152*VLOOKUP($BV$2,坦克等级成长!$B$36:$G$42,MATCH(CO$3,坦克等级成长!$B$35:$G$35,0)),0)</f>
        <v>740</v>
      </c>
      <c r="CP55" s="33">
        <f t="shared" si="24"/>
        <v>740</v>
      </c>
      <c r="CQ55" s="33">
        <v>587</v>
      </c>
      <c r="CR55" s="33">
        <f>ROUND(坦克等级成长!$H152*VLOOKUP($BV$2,坦克等级成长!$B$36:$G$42,MATCH(CR$3,坦克等级成长!$B$35:$G$35,0)),0)</f>
        <v>932</v>
      </c>
      <c r="CS55" s="33">
        <f>ROUND(坦克等级成长!$H152*VLOOKUP($BV$2,坦克等级成长!$B$36:$G$42,MATCH(CS$3,坦克等级成长!$B$35:$G$35,0)),0)</f>
        <v>218</v>
      </c>
      <c r="CT55" s="191">
        <v>2</v>
      </c>
      <c r="CU55" s="33">
        <f>ROUND(坦克等级成长!$D152*VLOOKUP($CT$2,坦克等级成长!$B$36:$G$42,MATCH(CU$3,坦克等级成长!$B$35:$G$35,0)),0)</f>
        <v>1992</v>
      </c>
      <c r="CV55" s="33">
        <f>ROUND(坦克等级成长!$D152*VLOOKUP($CT$2,坦克等级成长!$B$36:$G$42,MATCH(CV$3,坦克等级成长!$B$35:$G$35,0)),0)</f>
        <v>452</v>
      </c>
      <c r="CW55" s="33">
        <f>ROUND(坦克等级成长!$D152*VLOOKUP($CT$2,坦克等级成长!$B$36:$G$42,MATCH(CW$3,坦克等级成长!$B$35:$G$35,0)),0)</f>
        <v>889</v>
      </c>
      <c r="CX55" s="33">
        <f t="shared" si="39"/>
        <v>889</v>
      </c>
      <c r="CY55" s="33">
        <v>707.25</v>
      </c>
      <c r="CZ55" s="33">
        <f>ROUND(坦克等级成长!$D152*VLOOKUP($CT$2,坦克等级成长!$B$36:$G$42,MATCH(CZ$3,坦克等级成长!$B$35:$G$35,0)),0)</f>
        <v>747</v>
      </c>
      <c r="DA55" s="33">
        <f>ROUND(坦克等级成长!$D152*VLOOKUP($CT$2,坦克等级成长!$B$36:$G$42,MATCH(DA$3,坦克等级成长!$B$35:$G$35,0)),0)</f>
        <v>199</v>
      </c>
      <c r="DB55" s="198">
        <v>2</v>
      </c>
      <c r="DC55" s="33">
        <f>ROUND(坦克等级成长!$F152*VLOOKUP($CT$2,坦克等级成长!$B$36:$G$42,MATCH(DC$3,坦克等级成长!$B$35:$G$35,0)),0)</f>
        <v>2032</v>
      </c>
      <c r="DD55" s="33">
        <f>ROUND(坦克等级成长!$F152*VLOOKUP($CT$2,坦克等级成长!$B$36:$G$42,MATCH(DD$3,坦克等级成长!$B$35:$G$35,0)),0)</f>
        <v>462</v>
      </c>
      <c r="DE55" s="33">
        <f>ROUND(坦克等级成长!$F152*VLOOKUP($CT$2,坦克等级成长!$B$36:$G$42,MATCH(DE$3,坦克等级成长!$B$35:$G$35,0)),0)</f>
        <v>907</v>
      </c>
      <c r="DF55" s="33">
        <f t="shared" si="11"/>
        <v>907</v>
      </c>
      <c r="DG55" s="33">
        <v>734</v>
      </c>
      <c r="DH55" s="33">
        <f>ROUND(坦克等级成长!$F152*VLOOKUP($CT$2,坦克等级成长!$B$36:$G$42,MATCH(DH$3,坦克等级成长!$B$35:$G$35,0)),0)</f>
        <v>762</v>
      </c>
      <c r="DI55" s="33">
        <f>ROUND(坦克等级成长!$F152*VLOOKUP($CT$2,坦克等级成长!$B$36:$G$42,MATCH(DI$3,坦克等级成长!$B$35:$G$35,0)),0)</f>
        <v>203</v>
      </c>
      <c r="DJ55" s="191">
        <v>2</v>
      </c>
      <c r="DK55" s="33">
        <f>ROUND(坦克等级成长!$H152*VLOOKUP($CT$2,坦克等级成长!$B$36:$G$42,MATCH(DK$3,坦克等级成长!$B$35:$G$35,0)),0)</f>
        <v>2072</v>
      </c>
      <c r="DL55" s="33">
        <f>ROUND(坦克等级成长!$H152*VLOOKUP($CT$2,坦克等级成长!$B$36:$G$42,MATCH(DL$3,坦克等级成长!$B$35:$G$35,0)),0)</f>
        <v>471</v>
      </c>
      <c r="DM55" s="33">
        <f>ROUND(坦克等级成长!$H152*VLOOKUP($CT$2,坦克等级成长!$B$36:$G$42,MATCH(DM$3,坦克等级成长!$B$35:$G$35,0)),0)</f>
        <v>925</v>
      </c>
      <c r="DN55" s="33">
        <f t="shared" si="25"/>
        <v>925</v>
      </c>
      <c r="DO55" s="33">
        <v>734</v>
      </c>
      <c r="DP55" s="33">
        <f>ROUND(坦克等级成长!$H152*VLOOKUP($CT$2,坦克等级成长!$B$36:$G$42,MATCH(DP$3,坦克等级成长!$B$35:$G$35,0)),0)</f>
        <v>777</v>
      </c>
      <c r="DQ55" s="33">
        <f>ROUND(坦克等级成长!$H152*VLOOKUP($CT$2,坦克等级成长!$B$36:$G$42,MATCH(DQ$3,坦克等级成长!$B$35:$G$35,0)),0)</f>
        <v>207</v>
      </c>
      <c r="DR55" s="191">
        <v>2</v>
      </c>
      <c r="DS55" s="33">
        <f>ROUND(坦克等级成长!$D152*VLOOKUP($DR$2,坦克等级成长!$B$36:$G$42,MATCH(DS$3,坦克等级成长!$B$35:$G$35,0)),0)</f>
        <v>2266</v>
      </c>
      <c r="DT55" s="33">
        <f>ROUND(坦克等级成长!$D152*VLOOKUP($DR$2,坦克等级成长!$B$36:$G$42,MATCH(DT$3,坦克等级成长!$B$35:$G$35,0)),0)</f>
        <v>773</v>
      </c>
      <c r="DU55" s="33">
        <f>ROUND(坦克等级成长!$D152*VLOOKUP($DR$2,坦克等级成长!$B$36:$G$42,MATCH(DU$3,坦克等级成长!$B$35:$G$35,0)),0)</f>
        <v>711</v>
      </c>
      <c r="DV55" s="33">
        <f t="shared" si="40"/>
        <v>711</v>
      </c>
      <c r="DW55" s="33">
        <v>603.20000000000005</v>
      </c>
      <c r="DX55" s="33">
        <f>ROUND(坦克等级成长!$D152*VLOOKUP($DR$2,坦克等级成长!$B$36:$G$42,MATCH(DX$3,坦克等级成长!$B$35:$G$35,0)),0)</f>
        <v>1046</v>
      </c>
      <c r="DY55" s="33">
        <f>ROUND(坦克等级成长!$D152*VLOOKUP($DR$2,坦克等级成长!$B$36:$G$42,MATCH(DY$3,坦克等级成长!$B$35:$G$35,0)),0)</f>
        <v>227</v>
      </c>
      <c r="DZ55" s="198">
        <v>2</v>
      </c>
      <c r="EA55" s="33">
        <f>ROUND(坦克等级成长!$F152*VLOOKUP($DR$2,坦克等级成长!$B$36:$G$42,MATCH(EA$3,坦克等级成长!$B$35:$G$35,0)),0)</f>
        <v>2312</v>
      </c>
      <c r="EB55" s="33">
        <f>ROUND(坦克等级成长!$F152*VLOOKUP($DR$2,坦克等级成长!$B$36:$G$42,MATCH(EB$3,坦克等级成长!$B$35:$G$35,0)),0)</f>
        <v>789</v>
      </c>
      <c r="EC55" s="33">
        <f>ROUND(坦克等级成长!$F152*VLOOKUP($DR$2,坦克等级成长!$B$36:$G$42,MATCH(EC$3,坦克等级成长!$B$35:$G$35,0)),0)</f>
        <v>726</v>
      </c>
      <c r="ED55" s="33">
        <f t="shared" si="12"/>
        <v>726</v>
      </c>
      <c r="EE55" s="33">
        <v>626</v>
      </c>
      <c r="EF55" s="33">
        <f>ROUND(坦克等级成长!$F152*VLOOKUP($DR$2,坦克等级成长!$B$36:$G$42,MATCH(EF$3,坦克等级成长!$B$35:$G$35,0)),0)</f>
        <v>1067</v>
      </c>
      <c r="EG55" s="33">
        <f>ROUND(坦克等级成长!$F152*VLOOKUP($DR$2,坦克等级成长!$B$36:$G$42,MATCH(EG$3,坦克等级成长!$B$35:$G$35,0)),0)</f>
        <v>231</v>
      </c>
      <c r="EH55" s="191">
        <v>2</v>
      </c>
      <c r="EI55" s="33">
        <f>ROUND(坦克等级成长!$H152*VLOOKUP($DR$2,坦克等级成长!$B$36:$G$42,MATCH(EI$3,坦克等级成长!$B$35:$G$35,0)),0)</f>
        <v>2357</v>
      </c>
      <c r="EJ55" s="33">
        <f>ROUND(坦克等级成长!$H152*VLOOKUP($DR$2,坦克等级成长!$B$36:$G$42,MATCH(EJ$3,坦克等级成长!$B$35:$G$35,0)),0)</f>
        <v>804</v>
      </c>
      <c r="EK55" s="33">
        <f>ROUND(坦克等级成长!$H152*VLOOKUP($DR$2,坦克等级成长!$B$36:$G$42,MATCH(EK$3,坦克等级成长!$B$35:$G$35,0)),0)</f>
        <v>740</v>
      </c>
      <c r="EL55" s="33">
        <f t="shared" si="26"/>
        <v>740</v>
      </c>
      <c r="EM55" s="33">
        <v>626</v>
      </c>
      <c r="EN55" s="33">
        <f>ROUND(坦克等级成长!$H152*VLOOKUP($DR$2,坦克等级成长!$B$36:$G$42,MATCH(EN$3,坦克等级成长!$B$35:$G$35,0)),0)</f>
        <v>1088</v>
      </c>
      <c r="EO55" s="33">
        <f>ROUND(坦克等级成长!$H152*VLOOKUP($DR$2,坦克等级成长!$B$36:$G$42,MATCH(EO$3,坦克等级成长!$B$35:$G$35,0)),0)</f>
        <v>236</v>
      </c>
      <c r="EP55" s="191">
        <v>2</v>
      </c>
      <c r="EQ55" s="33">
        <f>ROUND(坦克等级成长!$D152*VLOOKUP($EP$2,坦克等级成长!$B$36:$G$42,MATCH(EQ$3,坦克等级成长!$B$35:$G$35,0)),0)</f>
        <v>2099</v>
      </c>
      <c r="ER55" s="33">
        <f>ROUND(坦克等级成长!$D152*VLOOKUP($EP$2,坦克等级成长!$B$36:$G$42,MATCH(ER$3,坦克等级成长!$B$35:$G$35,0)),0)</f>
        <v>240</v>
      </c>
      <c r="ES55" s="33">
        <f>ROUND(坦克等级成长!$D152*VLOOKUP($EP$2,坦克等级成长!$B$36:$G$42,MATCH(ES$3,坦克等级成长!$B$35:$G$35,0)),0)</f>
        <v>818</v>
      </c>
      <c r="ET55" s="33">
        <f t="shared" si="41"/>
        <v>818</v>
      </c>
      <c r="EU55" s="33">
        <v>650.25</v>
      </c>
      <c r="EV55" s="33">
        <f>ROUND(坦克等级成长!$D152*VLOOKUP($EP$2,坦克等级成长!$B$36:$G$42,MATCH(EV$3,坦克等级成长!$B$35:$G$35,0)),0)</f>
        <v>896</v>
      </c>
      <c r="EW55" s="33">
        <f>ROUND(坦克等级成长!$D152*VLOOKUP($EP$2,坦克等级成长!$B$36:$G$42,MATCH(EW$3,坦克等级成长!$B$35:$G$35,0)),0)</f>
        <v>210</v>
      </c>
      <c r="EX55" s="198">
        <v>2</v>
      </c>
      <c r="EY55" s="33">
        <f>ROUND(坦克等级成长!$F152*VLOOKUP($EP$2,坦克等级成长!$B$36:$G$42,MATCH(EY$3,坦克等级成长!$B$35:$G$35,0)),0)</f>
        <v>2141</v>
      </c>
      <c r="EZ55" s="33">
        <f>ROUND(坦克等级成长!$F152*VLOOKUP($EP$2,坦克等级成长!$B$36:$G$42,MATCH(EZ$3,坦克等级成长!$B$35:$G$35,0)),0)</f>
        <v>245</v>
      </c>
      <c r="FA55" s="33">
        <f>ROUND(坦克等级成长!$F152*VLOOKUP($EP$2,坦克等级成长!$B$36:$G$42,MATCH(FA$3,坦克等级成长!$B$35:$G$35,0)),0)</f>
        <v>835</v>
      </c>
      <c r="FB55" s="33">
        <f t="shared" si="13"/>
        <v>835</v>
      </c>
      <c r="FC55" s="33">
        <v>675</v>
      </c>
      <c r="FD55" s="33">
        <f>ROUND(坦克等级成长!$F152*VLOOKUP($EP$2,坦克等级成长!$B$36:$G$42,MATCH(FD$3,坦克等级成长!$B$35:$G$35,0)),0)</f>
        <v>914</v>
      </c>
      <c r="FE55" s="33">
        <f>ROUND(坦克等级成长!$F152*VLOOKUP($EP$2,坦克等级成长!$B$36:$G$42,MATCH(FE$3,坦克等级成长!$B$35:$G$35,0)),0)</f>
        <v>214</v>
      </c>
      <c r="FF55" s="191">
        <v>2</v>
      </c>
      <c r="FG55" s="33">
        <f>ROUND(坦克等级成长!$H152*VLOOKUP($EP$2,坦克等级成长!$B$36:$G$42,MATCH(FG$3,坦克等级成长!$B$35:$G$35,0)),0)</f>
        <v>2183</v>
      </c>
      <c r="FH55" s="33">
        <f>ROUND(坦克等级成长!$H152*VLOOKUP($EP$2,坦克等级成长!$B$36:$G$42,MATCH(FH$3,坦克等级成长!$B$35:$G$35,0)),0)</f>
        <v>250</v>
      </c>
      <c r="FI55" s="33">
        <f>ROUND(坦克等级成长!$H152*VLOOKUP($EP$2,坦克等级成长!$B$36:$G$42,MATCH(FI$3,坦克等级成长!$B$35:$G$35,0)),0)</f>
        <v>851</v>
      </c>
      <c r="FJ55" s="33">
        <f t="shared" si="27"/>
        <v>851</v>
      </c>
      <c r="FK55" s="33">
        <v>675</v>
      </c>
      <c r="FL55" s="33">
        <f>ROUND(坦克等级成长!$H152*VLOOKUP($EP$2,坦克等级成长!$B$36:$G$42,MATCH(FL$3,坦克等级成长!$B$35:$G$35,0)),0)</f>
        <v>932</v>
      </c>
      <c r="FM55" s="33">
        <f>ROUND(坦克等级成长!$H152*VLOOKUP($EP$2,坦克等级成长!$B$36:$G$42,MATCH(FM$3,坦克等级成长!$B$35:$G$35,0)),0)</f>
        <v>218</v>
      </c>
    </row>
    <row r="56" spans="1:169" ht="14.25" x14ac:dyDescent="0.3">
      <c r="A56" s="188">
        <v>5</v>
      </c>
      <c r="B56" s="191">
        <v>3</v>
      </c>
      <c r="C56" s="33">
        <f>ROUND(坦克等级成长!$D153*VLOOKUP($B$2,坦克等级成长!$B$36:$G$42,MATCH(C$3,坦克等级成长!$B$35:$G$35,0)),0)</f>
        <v>2080</v>
      </c>
      <c r="D56" s="33">
        <f>ROUND(坦克等级成长!$D153*VLOOKUP($B$2,坦克等级成长!$B$36:$G$42,MATCH(D$3,坦克等级成长!$B$35:$G$35,0)),0)</f>
        <v>226</v>
      </c>
      <c r="E56" s="33">
        <f>ROUND(坦克等级成长!$D153*VLOOKUP($B$2,坦克等级成长!$B$36:$G$42,MATCH(E$3,坦克等级成长!$B$35:$G$35,0)),0)</f>
        <v>780</v>
      </c>
      <c r="F56" s="33">
        <f t="shared" si="35"/>
        <v>780</v>
      </c>
      <c r="G56" s="33">
        <v>579.6</v>
      </c>
      <c r="H56" s="33">
        <f>ROUND(坦克等级成长!$D153*VLOOKUP($B$2,坦克等级成长!$B$36:$G$42,MATCH(H$3,坦克等级成长!$B$35:$G$35,0)),0)</f>
        <v>780</v>
      </c>
      <c r="I56" s="33">
        <f>ROUND(坦克等级成长!$D153*VLOOKUP($B$2,坦克等级成长!$B$36:$G$42,MATCH(I$3,坦克等级成长!$B$35:$G$35,0)),0)</f>
        <v>208</v>
      </c>
      <c r="J56" s="198">
        <v>3</v>
      </c>
      <c r="K56" s="33">
        <f>ROUND(坦克等级成长!$F153*VLOOKUP($B$2,坦克等级成长!$B$36:$G$42,MATCH(K$3,坦克等级成长!$B$35:$G$35,0)),0)</f>
        <v>2120</v>
      </c>
      <c r="L56" s="33">
        <f>ROUND(坦克等级成长!$F153*VLOOKUP($B$2,坦克等级成长!$B$36:$G$42,MATCH(L$3,坦克等级成长!$B$35:$G$35,0)),0)</f>
        <v>231</v>
      </c>
      <c r="M56" s="33">
        <f>ROUND(坦克等级成长!$F153*VLOOKUP($B$2,坦克等级成长!$B$36:$G$42,MATCH(M$3,坦克等级成长!$B$35:$G$35,0)),0)</f>
        <v>795</v>
      </c>
      <c r="N56" s="33">
        <f t="shared" si="7"/>
        <v>795</v>
      </c>
      <c r="O56" s="33">
        <v>601</v>
      </c>
      <c r="P56" s="33">
        <f>ROUND(坦克等级成长!$F153*VLOOKUP($B$2,坦克等级成长!$B$36:$G$42,MATCH(P$3,坦克等级成长!$B$35:$G$35,0)),0)</f>
        <v>795</v>
      </c>
      <c r="Q56" s="33">
        <f>ROUND(坦克等级成长!$F153*VLOOKUP($B$2,坦克等级成长!$B$36:$G$42,MATCH(Q$3,坦克等级成长!$B$35:$G$35,0)),0)</f>
        <v>212</v>
      </c>
      <c r="R56" s="191">
        <v>3</v>
      </c>
      <c r="S56" s="33">
        <f>ROUND(坦克等级成长!$H153*VLOOKUP($B$2,坦克等级成长!$B$36:$G$42,MATCH(S$3,坦克等级成长!$B$35:$G$35,0)),0)</f>
        <v>2160</v>
      </c>
      <c r="T56" s="33">
        <f>ROUND(坦克等级成长!$H153*VLOOKUP($B$2,坦克等级成长!$B$36:$G$42,MATCH(T$3,坦克等级成长!$B$35:$G$35,0)),0)</f>
        <v>235</v>
      </c>
      <c r="U56" s="33">
        <f>ROUND(坦克等级成长!$H153*VLOOKUP($B$2,坦克等级成长!$B$36:$G$42,MATCH(U$3,坦克等级成长!$B$35:$G$35,0)),0)</f>
        <v>810</v>
      </c>
      <c r="V56" s="33">
        <f t="shared" si="21"/>
        <v>810</v>
      </c>
      <c r="W56" s="33">
        <v>601</v>
      </c>
      <c r="X56" s="33">
        <f>ROUND(坦克等级成长!$H153*VLOOKUP($B$2,坦克等级成长!$B$36:$G$42,MATCH(X$3,坦克等级成长!$B$35:$G$35,0)),0)</f>
        <v>810</v>
      </c>
      <c r="Y56" s="33">
        <f>ROUND(坦克等级成长!$H153*VLOOKUP($B$2,坦克等级成长!$B$36:$G$42,MATCH(Y$3,坦克等级成长!$B$35:$G$35,0)),0)</f>
        <v>216</v>
      </c>
      <c r="Z56" s="191">
        <v>3</v>
      </c>
      <c r="AA56" s="33">
        <f>ROUND(坦克等级成长!$D153*VLOOKUP($Z$2,坦克等级成长!$B$36:$G$42,MATCH(AA$3,坦克等级成长!$B$35:$G$35,0)),0)</f>
        <v>2080</v>
      </c>
      <c r="AB56" s="33">
        <f>ROUND(坦克等级成长!$D153*VLOOKUP($Z$2,坦克等级成长!$B$36:$G$42,MATCH(AB$3,坦克等级成长!$B$35:$G$35,0)),0)</f>
        <v>123</v>
      </c>
      <c r="AC56" s="33">
        <f>ROUND(坦克等级成长!$D153*VLOOKUP($Z$2,坦克等级成长!$B$36:$G$42,MATCH(AC$3,坦克等级成长!$B$35:$G$35,0)),0)</f>
        <v>854</v>
      </c>
      <c r="AD56" s="33">
        <f t="shared" si="36"/>
        <v>854</v>
      </c>
      <c r="AE56" s="33">
        <v>634.9</v>
      </c>
      <c r="AF56" s="33">
        <f>ROUND(坦克等级成长!$D153*VLOOKUP($Z$2,坦克等级成长!$B$36:$G$42,MATCH(AF$3,坦克等级成长!$B$35:$G$35,0)),0)</f>
        <v>780</v>
      </c>
      <c r="AG56" s="33">
        <f>ROUND(坦克等级成长!$D153*VLOOKUP($Z$2,坦克等级成长!$B$36:$G$42,MATCH(AG$3,坦克等级成长!$B$35:$G$35,0)),0)</f>
        <v>208</v>
      </c>
      <c r="AH56" s="198">
        <v>3</v>
      </c>
      <c r="AI56" s="33">
        <f>ROUND(坦克等级成长!$F153*VLOOKUP($Z$2,坦克等级成长!$B$36:$G$42,MATCH(AI$3,坦克等级成长!$B$35:$G$35,0)),0)</f>
        <v>2120</v>
      </c>
      <c r="AJ56" s="33">
        <f>ROUND(坦克等级成长!$F153*VLOOKUP($Z$2,坦克等级成长!$B$36:$G$42,MATCH(AJ$3,坦克等级成长!$B$35:$G$35,0)),0)</f>
        <v>125</v>
      </c>
      <c r="AK56" s="33">
        <f>ROUND(坦克等级成长!$F153*VLOOKUP($Z$2,坦克等级成长!$B$36:$G$42,MATCH(AK$3,坦克等级成长!$B$35:$G$35,0)),0)</f>
        <v>871</v>
      </c>
      <c r="AL56" s="33">
        <f t="shared" si="8"/>
        <v>871</v>
      </c>
      <c r="AM56" s="33">
        <v>658</v>
      </c>
      <c r="AN56" s="33">
        <f>ROUND(坦克等级成长!$F153*VLOOKUP($Z$2,坦克等级成长!$B$36:$G$42,MATCH(AN$3,坦克等级成长!$B$35:$G$35,0)),0)</f>
        <v>795</v>
      </c>
      <c r="AO56" s="33">
        <f>ROUND(坦克等级成长!$F153*VLOOKUP($Z$2,坦克等级成长!$B$36:$G$42,MATCH(AO$3,坦克等级成长!$B$35:$G$35,0)),0)</f>
        <v>212</v>
      </c>
      <c r="AP56" s="191">
        <v>3</v>
      </c>
      <c r="AQ56" s="33">
        <f>ROUND(坦克等级成长!$H153*VLOOKUP($Z$2,坦克等级成长!$B$36:$G$42,MATCH(AQ$3,坦克等级成长!$B$35:$G$35,0)),0)</f>
        <v>2160</v>
      </c>
      <c r="AR56" s="33">
        <f>ROUND(坦克等级成长!$H153*VLOOKUP($Z$2,坦克等级成长!$B$36:$G$42,MATCH(AR$3,坦克等级成长!$B$35:$G$35,0)),0)</f>
        <v>127</v>
      </c>
      <c r="AS56" s="33">
        <f>ROUND(坦克等级成长!$H153*VLOOKUP($Z$2,坦克等级成长!$B$36:$G$42,MATCH(AS$3,坦克等级成长!$B$35:$G$35,0)),0)</f>
        <v>887</v>
      </c>
      <c r="AT56" s="33">
        <f t="shared" si="22"/>
        <v>887</v>
      </c>
      <c r="AU56" s="33">
        <v>658</v>
      </c>
      <c r="AV56" s="33">
        <f>ROUND(坦克等级成长!$H153*VLOOKUP($Z$2,坦克等级成长!$B$36:$G$42,MATCH(AV$3,坦克等级成长!$B$35:$G$35,0)),0)</f>
        <v>810</v>
      </c>
      <c r="AW56" s="33">
        <f>ROUND(坦克等级成长!$H153*VLOOKUP($Z$2,坦克等级成长!$B$36:$G$42,MATCH(AW$3,坦克等级成长!$B$35:$G$35,0)),0)</f>
        <v>216</v>
      </c>
      <c r="AX56" s="191">
        <v>3</v>
      </c>
      <c r="AY56" s="33">
        <f>ROUND(坦克等级成长!$D153*VLOOKUP($AX$2,坦克等级成长!$B$36:$G$42,MATCH(AY$3,坦克等级成长!$B$35:$G$35,0)),0)</f>
        <v>2080</v>
      </c>
      <c r="AZ56" s="33">
        <f>ROUND(坦克等级成长!$D153*VLOOKUP($AX$2,坦克等级成长!$B$36:$G$42,MATCH(AZ$3,坦克等级成长!$B$35:$G$35,0)),0)</f>
        <v>226</v>
      </c>
      <c r="BA56" s="33">
        <f>ROUND(坦克等级成长!$D153*VLOOKUP($AX$2,坦克等级成长!$B$36:$G$42,MATCH(BA$3,坦克等级成长!$B$35:$G$35,0)),0)</f>
        <v>780</v>
      </c>
      <c r="BB56" s="33">
        <f t="shared" si="37"/>
        <v>780</v>
      </c>
      <c r="BC56" s="33">
        <v>579.6</v>
      </c>
      <c r="BD56" s="33">
        <f>ROUND(坦克等级成长!$D153*VLOOKUP($AX$2,坦克等级成长!$B$36:$G$42,MATCH(BD$3,坦克等级成长!$B$35:$G$35,0)),0)</f>
        <v>780</v>
      </c>
      <c r="BE56" s="33">
        <f>ROUND(坦克等级成长!$D153*VLOOKUP($AX$2,坦克等级成长!$B$36:$G$42,MATCH(BE$3,坦克等级成长!$B$35:$G$35,0)),0)</f>
        <v>208</v>
      </c>
      <c r="BF56" s="198">
        <v>3</v>
      </c>
      <c r="BG56" s="33">
        <f>ROUND(坦克等级成长!$F153*VLOOKUP($AX$2,坦克等级成长!$B$36:$G$42,MATCH(BG$3,坦克等级成长!$B$35:$G$35,0)),0)</f>
        <v>2120</v>
      </c>
      <c r="BH56" s="33">
        <f>ROUND(坦克等级成长!$F153*VLOOKUP($AX$2,坦克等级成长!$B$36:$G$42,MATCH(BH$3,坦克等级成长!$B$35:$G$35,0)),0)</f>
        <v>231</v>
      </c>
      <c r="BI56" s="33">
        <f>ROUND(坦克等级成长!$F153*VLOOKUP($AX$2,坦克等级成长!$B$36:$G$42,MATCH(BI$3,坦克等级成长!$B$35:$G$35,0)),0)</f>
        <v>795</v>
      </c>
      <c r="BJ56" s="33">
        <f t="shared" si="9"/>
        <v>795</v>
      </c>
      <c r="BK56" s="33">
        <v>601</v>
      </c>
      <c r="BL56" s="33">
        <f>ROUND(坦克等级成长!$F153*VLOOKUP($AX$2,坦克等级成长!$B$36:$G$42,MATCH(BL$3,坦克等级成长!$B$35:$G$35,0)),0)</f>
        <v>795</v>
      </c>
      <c r="BM56" s="33">
        <f>ROUND(坦克等级成长!$F153*VLOOKUP($AX$2,坦克等级成长!$B$36:$G$42,MATCH(BM$3,坦克等级成长!$B$35:$G$35,0)),0)</f>
        <v>212</v>
      </c>
      <c r="BN56" s="191">
        <v>3</v>
      </c>
      <c r="BO56" s="33">
        <f>ROUND(坦克等级成长!$H153*VLOOKUP($AX$2,坦克等级成长!$B$36:$G$42,MATCH(BO$3,坦克等级成长!$B$35:$G$35,0)),0)</f>
        <v>2160</v>
      </c>
      <c r="BP56" s="33">
        <f>ROUND(坦克等级成长!$H153*VLOOKUP($AX$2,坦克等级成长!$B$36:$G$42,MATCH(BP$3,坦克等级成长!$B$35:$G$35,0)),0)</f>
        <v>235</v>
      </c>
      <c r="BQ56" s="33">
        <f>ROUND(坦克等级成长!$H153*VLOOKUP($AX$2,坦克等级成长!$B$36:$G$42,MATCH(BQ$3,坦克等级成长!$B$35:$G$35,0)),0)</f>
        <v>810</v>
      </c>
      <c r="BR56" s="33">
        <f t="shared" si="23"/>
        <v>810</v>
      </c>
      <c r="BS56" s="33">
        <v>601</v>
      </c>
      <c r="BT56" s="33">
        <f>ROUND(坦克等级成长!$H153*VLOOKUP($AX$2,坦克等级成长!$B$36:$G$42,MATCH(BT$3,坦克等级成长!$B$35:$G$35,0)),0)</f>
        <v>810</v>
      </c>
      <c r="BU56" s="33">
        <f>ROUND(坦克等级成长!$H153*VLOOKUP($AX$2,坦克等级成长!$B$36:$G$42,MATCH(BU$3,坦克等级成长!$B$35:$G$35,0)),0)</f>
        <v>216</v>
      </c>
      <c r="BV56" s="191">
        <v>3</v>
      </c>
      <c r="BW56" s="33">
        <f>ROUND(坦克等级成长!$D153*VLOOKUP($BV$2,坦克等级成长!$B$36:$G$42,MATCH(BW$3,坦克等级成长!$B$35:$G$35,0)),0)</f>
        <v>2192</v>
      </c>
      <c r="BX56" s="33">
        <f>ROUND(坦克等级成长!$D153*VLOOKUP($BV$2,坦克等级成长!$B$36:$G$42,MATCH(BX$3,坦克等级成长!$B$35:$G$35,0)),0)</f>
        <v>207</v>
      </c>
      <c r="BY56" s="33">
        <f>ROUND(坦克等级成长!$D153*VLOOKUP($BV$2,坦克等级成长!$B$36:$G$42,MATCH(BY$3,坦克等级成长!$B$35:$G$35,0)),0)</f>
        <v>743</v>
      </c>
      <c r="BZ56" s="33">
        <f t="shared" si="38"/>
        <v>743</v>
      </c>
      <c r="CA56" s="33">
        <v>591.75</v>
      </c>
      <c r="CB56" s="33">
        <f>ROUND(坦克等级成长!$D153*VLOOKUP($BV$2,坦克等级成长!$B$36:$G$42,MATCH(CB$3,坦克等级成长!$B$35:$G$35,0)),0)</f>
        <v>936</v>
      </c>
      <c r="CC56" s="33">
        <f>ROUND(坦克等级成长!$D153*VLOOKUP($BV$2,坦克等级成长!$B$36:$G$42,MATCH(CC$3,坦克等级成长!$B$35:$G$35,0)),0)</f>
        <v>219</v>
      </c>
      <c r="CD56" s="198">
        <v>3</v>
      </c>
      <c r="CE56" s="33">
        <f>ROUND(坦克等级成长!$F153*VLOOKUP($BV$2,坦克等级成长!$B$36:$G$42,MATCH(CE$3,坦克等级成长!$B$35:$G$35,0)),0)</f>
        <v>2234</v>
      </c>
      <c r="CF56" s="33">
        <f>ROUND(坦克等级成长!$F153*VLOOKUP($BV$2,坦克等级成长!$B$36:$G$42,MATCH(CF$3,坦克等级成长!$B$35:$G$35,0)),0)</f>
        <v>211</v>
      </c>
      <c r="CG56" s="33">
        <f>ROUND(坦克等级成长!$F153*VLOOKUP($BV$2,坦克等级成长!$B$36:$G$42,MATCH(CG$3,坦克等级成长!$B$35:$G$35,0)),0)</f>
        <v>757</v>
      </c>
      <c r="CH56" s="33">
        <f t="shared" si="10"/>
        <v>757</v>
      </c>
      <c r="CI56" s="33">
        <v>613</v>
      </c>
      <c r="CJ56" s="33">
        <f>ROUND(坦克等级成长!$F153*VLOOKUP($BV$2,坦克等级成长!$B$36:$G$42,MATCH(CJ$3,坦克等级成长!$B$35:$G$35,0)),0)</f>
        <v>954</v>
      </c>
      <c r="CK56" s="33">
        <f>ROUND(坦克等级成长!$F153*VLOOKUP($BV$2,坦克等级成长!$B$36:$G$42,MATCH(CK$3,坦克等级成长!$B$35:$G$35,0)),0)</f>
        <v>223</v>
      </c>
      <c r="CL56" s="191">
        <v>3</v>
      </c>
      <c r="CM56" s="33">
        <f>ROUND(坦克等级成长!$H153*VLOOKUP($BV$2,坦克等级成长!$B$36:$G$42,MATCH(CM$3,坦克等级成长!$B$35:$G$35,0)),0)</f>
        <v>2276</v>
      </c>
      <c r="CN56" s="33">
        <f>ROUND(坦克等级成长!$H153*VLOOKUP($BV$2,坦克等级成长!$B$36:$G$42,MATCH(CN$3,坦克等级成长!$B$35:$G$35,0)),0)</f>
        <v>215</v>
      </c>
      <c r="CO56" s="33">
        <f>ROUND(坦克等级成长!$H153*VLOOKUP($BV$2,坦克等级成长!$B$36:$G$42,MATCH(CO$3,坦克等级成长!$B$35:$G$35,0)),0)</f>
        <v>771</v>
      </c>
      <c r="CP56" s="33">
        <f t="shared" si="24"/>
        <v>771</v>
      </c>
      <c r="CQ56" s="33">
        <v>613</v>
      </c>
      <c r="CR56" s="33">
        <f>ROUND(坦克等级成长!$H153*VLOOKUP($BV$2,坦克等级成长!$B$36:$G$42,MATCH(CR$3,坦克等级成长!$B$35:$G$35,0)),0)</f>
        <v>972</v>
      </c>
      <c r="CS56" s="33">
        <f>ROUND(坦克等级成长!$H153*VLOOKUP($BV$2,坦克等级成长!$B$36:$G$42,MATCH(CS$3,坦克等级成长!$B$35:$G$35,0)),0)</f>
        <v>228</v>
      </c>
      <c r="CT56" s="191">
        <v>3</v>
      </c>
      <c r="CU56" s="33">
        <f>ROUND(坦克等级成长!$D153*VLOOKUP($CT$2,坦克等级成长!$B$36:$G$42,MATCH(CU$3,坦克等级成长!$B$35:$G$35,0)),0)</f>
        <v>2080</v>
      </c>
      <c r="CV56" s="33">
        <f>ROUND(坦克等级成长!$D153*VLOOKUP($CT$2,坦克等级成长!$B$36:$G$42,MATCH(CV$3,坦克等级成长!$B$35:$G$35,0)),0)</f>
        <v>472</v>
      </c>
      <c r="CW56" s="33">
        <f>ROUND(坦克等级成长!$D153*VLOOKUP($CT$2,坦克等级成长!$B$36:$G$42,MATCH(CW$3,坦克等级成长!$B$35:$G$35,0)),0)</f>
        <v>929</v>
      </c>
      <c r="CX56" s="33">
        <f t="shared" si="39"/>
        <v>929</v>
      </c>
      <c r="CY56" s="33">
        <v>739.5</v>
      </c>
      <c r="CZ56" s="33">
        <f>ROUND(坦克等级成长!$D153*VLOOKUP($CT$2,坦克等级成长!$B$36:$G$42,MATCH(CZ$3,坦克等级成长!$B$35:$G$35,0)),0)</f>
        <v>780</v>
      </c>
      <c r="DA56" s="33">
        <f>ROUND(坦克等级成长!$D153*VLOOKUP($CT$2,坦克等级成长!$B$36:$G$42,MATCH(DA$3,坦克等级成长!$B$35:$G$35,0)),0)</f>
        <v>208</v>
      </c>
      <c r="DB56" s="198">
        <v>3</v>
      </c>
      <c r="DC56" s="33">
        <f>ROUND(坦克等级成长!$F153*VLOOKUP($CT$2,坦克等级成长!$B$36:$G$42,MATCH(DC$3,坦克等级成长!$B$35:$G$35,0)),0)</f>
        <v>2120</v>
      </c>
      <c r="DD56" s="33">
        <f>ROUND(坦克等级成长!$F153*VLOOKUP($CT$2,坦克等级成长!$B$36:$G$42,MATCH(DD$3,坦克等级成长!$B$35:$G$35,0)),0)</f>
        <v>481</v>
      </c>
      <c r="DE56" s="33">
        <f>ROUND(坦克等级成长!$F153*VLOOKUP($CT$2,坦克等级成长!$B$36:$G$42,MATCH(DE$3,坦克等级成长!$B$35:$G$35,0)),0)</f>
        <v>946</v>
      </c>
      <c r="DF56" s="33">
        <f t="shared" si="11"/>
        <v>946</v>
      </c>
      <c r="DG56" s="33">
        <v>766</v>
      </c>
      <c r="DH56" s="33">
        <f>ROUND(坦克等级成长!$F153*VLOOKUP($CT$2,坦克等级成长!$B$36:$G$42,MATCH(DH$3,坦克等级成长!$B$35:$G$35,0)),0)</f>
        <v>795</v>
      </c>
      <c r="DI56" s="33">
        <f>ROUND(坦克等级成长!$F153*VLOOKUP($CT$2,坦克等级成长!$B$36:$G$42,MATCH(DI$3,坦克等级成长!$B$35:$G$35,0)),0)</f>
        <v>212</v>
      </c>
      <c r="DJ56" s="191">
        <v>3</v>
      </c>
      <c r="DK56" s="33">
        <f>ROUND(坦克等级成长!$H153*VLOOKUP($CT$2,坦克等级成长!$B$36:$G$42,MATCH(DK$3,坦克等级成长!$B$35:$G$35,0)),0)</f>
        <v>2160</v>
      </c>
      <c r="DL56" s="33">
        <f>ROUND(坦克等级成长!$H153*VLOOKUP($CT$2,坦克等级成长!$B$36:$G$42,MATCH(DL$3,坦克等级成长!$B$35:$G$35,0)),0)</f>
        <v>491</v>
      </c>
      <c r="DM56" s="33">
        <f>ROUND(坦克等级成长!$H153*VLOOKUP($CT$2,坦克等级成长!$B$36:$G$42,MATCH(DM$3,坦克等级成长!$B$35:$G$35,0)),0)</f>
        <v>964</v>
      </c>
      <c r="DN56" s="33">
        <f t="shared" si="25"/>
        <v>964</v>
      </c>
      <c r="DO56" s="33">
        <v>766</v>
      </c>
      <c r="DP56" s="33">
        <f>ROUND(坦克等级成长!$H153*VLOOKUP($CT$2,坦克等级成长!$B$36:$G$42,MATCH(DP$3,坦克等级成长!$B$35:$G$35,0)),0)</f>
        <v>810</v>
      </c>
      <c r="DQ56" s="33">
        <f>ROUND(坦克等级成长!$H153*VLOOKUP($CT$2,坦克等级成长!$B$36:$G$42,MATCH(DQ$3,坦克等级成长!$B$35:$G$35,0)),0)</f>
        <v>216</v>
      </c>
      <c r="DR56" s="191">
        <v>3</v>
      </c>
      <c r="DS56" s="33">
        <f>ROUND(坦克等级成长!$D153*VLOOKUP($DR$2,坦克等级成长!$B$36:$G$42,MATCH(DS$3,坦克等级成长!$B$35:$G$35,0)),0)</f>
        <v>2366</v>
      </c>
      <c r="DT56" s="33">
        <f>ROUND(坦克等级成长!$D153*VLOOKUP($DR$2,坦克等级成长!$B$36:$G$42,MATCH(DT$3,坦克等级成长!$B$35:$G$35,0)),0)</f>
        <v>807</v>
      </c>
      <c r="DU56" s="33">
        <f>ROUND(坦克等级成长!$D153*VLOOKUP($DR$2,坦克等级成长!$B$36:$G$42,MATCH(DU$3,坦克等级成长!$B$35:$G$35,0)),0)</f>
        <v>743</v>
      </c>
      <c r="DV56" s="33">
        <f t="shared" si="40"/>
        <v>743</v>
      </c>
      <c r="DW56" s="33">
        <v>631.20000000000005</v>
      </c>
      <c r="DX56" s="33">
        <f>ROUND(坦克等级成长!$D153*VLOOKUP($DR$2,坦克等级成长!$B$36:$G$42,MATCH(DX$3,坦克等级成长!$B$35:$G$35,0)),0)</f>
        <v>1092</v>
      </c>
      <c r="DY56" s="33">
        <f>ROUND(坦克等级成长!$D153*VLOOKUP($DR$2,坦克等级成长!$B$36:$G$42,MATCH(DY$3,坦克等级成长!$B$35:$G$35,0)),0)</f>
        <v>237</v>
      </c>
      <c r="DZ56" s="198">
        <v>3</v>
      </c>
      <c r="EA56" s="33">
        <f>ROUND(坦克等级成长!$F153*VLOOKUP($DR$2,坦克等级成长!$B$36:$G$42,MATCH(EA$3,坦克等级成长!$B$35:$G$35,0)),0)</f>
        <v>2412</v>
      </c>
      <c r="EB56" s="33">
        <f>ROUND(坦克等级成长!$F153*VLOOKUP($DR$2,坦克等级成长!$B$36:$G$42,MATCH(EB$3,坦克等级成长!$B$35:$G$35,0)),0)</f>
        <v>823</v>
      </c>
      <c r="EC56" s="33">
        <f>ROUND(坦克等级成长!$F153*VLOOKUP($DR$2,坦克等级成长!$B$36:$G$42,MATCH(EC$3,坦克等级成长!$B$35:$G$35,0)),0)</f>
        <v>757</v>
      </c>
      <c r="ED56" s="33">
        <f t="shared" si="12"/>
        <v>757</v>
      </c>
      <c r="EE56" s="33">
        <v>654</v>
      </c>
      <c r="EF56" s="33">
        <f>ROUND(坦克等级成长!$F153*VLOOKUP($DR$2,坦克等级成长!$B$36:$G$42,MATCH(EF$3,坦克等级成长!$B$35:$G$35,0)),0)</f>
        <v>1113</v>
      </c>
      <c r="EG56" s="33">
        <f>ROUND(坦克等级成长!$F153*VLOOKUP($DR$2,坦克等级成长!$B$36:$G$42,MATCH(EG$3,坦克等级成长!$B$35:$G$35,0)),0)</f>
        <v>241</v>
      </c>
      <c r="EH56" s="191">
        <v>3</v>
      </c>
      <c r="EI56" s="33">
        <f>ROUND(坦克等级成长!$H153*VLOOKUP($DR$2,坦克等级成长!$B$36:$G$42,MATCH(EI$3,坦克等级成长!$B$35:$G$35,0)),0)</f>
        <v>2457</v>
      </c>
      <c r="EJ56" s="33">
        <f>ROUND(坦克等级成长!$H153*VLOOKUP($DR$2,坦克等级成长!$B$36:$G$42,MATCH(EJ$3,坦克等级成长!$B$35:$G$35,0)),0)</f>
        <v>838</v>
      </c>
      <c r="EK56" s="33">
        <f>ROUND(坦克等级成长!$H153*VLOOKUP($DR$2,坦克等级成长!$B$36:$G$42,MATCH(EK$3,坦克等级成长!$B$35:$G$35,0)),0)</f>
        <v>771</v>
      </c>
      <c r="EL56" s="33">
        <f t="shared" si="26"/>
        <v>771</v>
      </c>
      <c r="EM56" s="33">
        <v>654</v>
      </c>
      <c r="EN56" s="33">
        <f>ROUND(坦克等级成长!$H153*VLOOKUP($DR$2,坦克等级成长!$B$36:$G$42,MATCH(EN$3,坦克等级成长!$B$35:$G$35,0)),0)</f>
        <v>1134</v>
      </c>
      <c r="EO56" s="33">
        <f>ROUND(坦克等级成长!$H153*VLOOKUP($DR$2,坦克等级成长!$B$36:$G$42,MATCH(EO$3,坦克等级成长!$B$35:$G$35,0)),0)</f>
        <v>246</v>
      </c>
      <c r="EP56" s="191">
        <v>3</v>
      </c>
      <c r="EQ56" s="33">
        <f>ROUND(坦克等级成长!$D153*VLOOKUP($EP$2,坦克等级成长!$B$36:$G$42,MATCH(EQ$3,坦克等级成长!$B$35:$G$35,0)),0)</f>
        <v>2192</v>
      </c>
      <c r="ER56" s="33">
        <f>ROUND(坦克等级成长!$D153*VLOOKUP($EP$2,坦克等级成长!$B$36:$G$42,MATCH(ER$3,坦克等级成长!$B$35:$G$35,0)),0)</f>
        <v>251</v>
      </c>
      <c r="ES56" s="33">
        <f>ROUND(坦克等级成长!$D153*VLOOKUP($EP$2,坦克等级成长!$B$36:$G$42,MATCH(ES$3,坦克等级成长!$B$35:$G$35,0)),0)</f>
        <v>854</v>
      </c>
      <c r="ET56" s="33">
        <f t="shared" si="41"/>
        <v>854</v>
      </c>
      <c r="EU56" s="33">
        <v>680.25</v>
      </c>
      <c r="EV56" s="33">
        <f>ROUND(坦克等级成长!$D153*VLOOKUP($EP$2,坦克等级成长!$B$36:$G$42,MATCH(EV$3,坦克等级成长!$B$35:$G$35,0)),0)</f>
        <v>936</v>
      </c>
      <c r="EW56" s="33">
        <f>ROUND(坦克等级成长!$D153*VLOOKUP($EP$2,坦克等级成长!$B$36:$G$42,MATCH(EW$3,坦克等级成长!$B$35:$G$35,0)),0)</f>
        <v>219</v>
      </c>
      <c r="EX56" s="198">
        <v>3</v>
      </c>
      <c r="EY56" s="33">
        <f>ROUND(坦克等级成长!$F153*VLOOKUP($EP$2,坦克等级成长!$B$36:$G$42,MATCH(EY$3,坦克等级成长!$B$35:$G$35,0)),0)</f>
        <v>2234</v>
      </c>
      <c r="EZ56" s="33">
        <f>ROUND(坦克等级成长!$F153*VLOOKUP($EP$2,坦克等级成长!$B$36:$G$42,MATCH(EZ$3,坦克等级成长!$B$35:$G$35,0)),0)</f>
        <v>256</v>
      </c>
      <c r="FA56" s="33">
        <f>ROUND(坦克等级成长!$F153*VLOOKUP($EP$2,坦克等级成长!$B$36:$G$42,MATCH(FA$3,坦克等级成长!$B$35:$G$35,0)),0)</f>
        <v>871</v>
      </c>
      <c r="FB56" s="33">
        <f t="shared" si="13"/>
        <v>871</v>
      </c>
      <c r="FC56" s="33">
        <v>705</v>
      </c>
      <c r="FD56" s="33">
        <f>ROUND(坦克等级成长!$F153*VLOOKUP($EP$2,坦克等级成长!$B$36:$G$42,MATCH(FD$3,坦克等级成长!$B$35:$G$35,0)),0)</f>
        <v>954</v>
      </c>
      <c r="FE56" s="33">
        <f>ROUND(坦克等级成长!$F153*VLOOKUP($EP$2,坦克等级成长!$B$36:$G$42,MATCH(FE$3,坦克等级成长!$B$35:$G$35,0)),0)</f>
        <v>223</v>
      </c>
      <c r="FF56" s="191">
        <v>3</v>
      </c>
      <c r="FG56" s="33">
        <f>ROUND(坦克等级成长!$H153*VLOOKUP($EP$2,坦克等级成长!$B$36:$G$42,MATCH(FG$3,坦克等级成长!$B$35:$G$35,0)),0)</f>
        <v>2276</v>
      </c>
      <c r="FH56" s="33">
        <f>ROUND(坦克等级成长!$H153*VLOOKUP($EP$2,坦克等级成长!$B$36:$G$42,MATCH(FH$3,坦克等级成长!$B$35:$G$35,0)),0)</f>
        <v>261</v>
      </c>
      <c r="FI56" s="33">
        <f>ROUND(坦克等级成长!$H153*VLOOKUP($EP$2,坦克等级成长!$B$36:$G$42,MATCH(FI$3,坦克等级成长!$B$35:$G$35,0)),0)</f>
        <v>887</v>
      </c>
      <c r="FJ56" s="33">
        <f t="shared" si="27"/>
        <v>887</v>
      </c>
      <c r="FK56" s="33">
        <v>705</v>
      </c>
      <c r="FL56" s="33">
        <f>ROUND(坦克等级成长!$H153*VLOOKUP($EP$2,坦克等级成长!$B$36:$G$42,MATCH(FL$3,坦克等级成长!$B$35:$G$35,0)),0)</f>
        <v>972</v>
      </c>
      <c r="FM56" s="33">
        <f>ROUND(坦克等级成长!$H153*VLOOKUP($EP$2,坦克等级成长!$B$36:$G$42,MATCH(FM$3,坦克等级成长!$B$35:$G$35,0)),0)</f>
        <v>228</v>
      </c>
    </row>
    <row r="57" spans="1:169" ht="14.25" x14ac:dyDescent="0.3">
      <c r="A57" s="188">
        <v>5</v>
      </c>
      <c r="B57" s="191">
        <v>4</v>
      </c>
      <c r="C57" s="33">
        <f>ROUND(坦克等级成长!$D154*VLOOKUP($B$2,坦克等级成长!$B$36:$G$42,MATCH(C$3,坦克等级成长!$B$35:$G$35,0)),0)</f>
        <v>2168</v>
      </c>
      <c r="D57" s="33">
        <f>ROUND(坦克等级成长!$D154*VLOOKUP($B$2,坦克等级成长!$B$36:$G$42,MATCH(D$3,坦克等级成长!$B$35:$G$35,0)),0)</f>
        <v>236</v>
      </c>
      <c r="E57" s="33">
        <f>ROUND(坦克等级成长!$D154*VLOOKUP($B$2,坦克等级成长!$B$36:$G$42,MATCH(E$3,坦克等级成长!$B$35:$G$35,0)),0)</f>
        <v>813</v>
      </c>
      <c r="F57" s="33">
        <f t="shared" si="35"/>
        <v>813</v>
      </c>
      <c r="G57" s="33">
        <v>604.79999999999995</v>
      </c>
      <c r="H57" s="33">
        <f>ROUND(坦克等级成长!$D154*VLOOKUP($B$2,坦克等级成长!$B$36:$G$42,MATCH(H$3,坦克等级成长!$B$35:$G$35,0)),0)</f>
        <v>813</v>
      </c>
      <c r="I57" s="33">
        <f>ROUND(坦克等级成长!$D154*VLOOKUP($B$2,坦克等级成长!$B$36:$G$42,MATCH(I$3,坦克等级成长!$B$35:$G$35,0)),0)</f>
        <v>217</v>
      </c>
      <c r="J57" s="198">
        <v>4</v>
      </c>
      <c r="K57" s="33">
        <f>ROUND(坦克等级成长!$F154*VLOOKUP($B$2,坦克等级成长!$B$36:$G$42,MATCH(K$3,坦克等级成长!$B$35:$G$35,0)),0)</f>
        <v>2208</v>
      </c>
      <c r="L57" s="33">
        <f>ROUND(坦克等级成长!$F154*VLOOKUP($B$2,坦克等级成长!$B$36:$G$42,MATCH(L$3,坦克等级成长!$B$35:$G$35,0)),0)</f>
        <v>240</v>
      </c>
      <c r="M57" s="33">
        <f>ROUND(坦克等级成长!$F154*VLOOKUP($B$2,坦克等级成长!$B$36:$G$42,MATCH(M$3,坦克等级成长!$B$35:$G$35,0)),0)</f>
        <v>828</v>
      </c>
      <c r="N57" s="33">
        <f t="shared" si="7"/>
        <v>828</v>
      </c>
      <c r="O57" s="33">
        <v>626</v>
      </c>
      <c r="P57" s="33">
        <f>ROUND(坦克等级成长!$F154*VLOOKUP($B$2,坦克等级成长!$B$36:$G$42,MATCH(P$3,坦克等级成长!$B$35:$G$35,0)),0)</f>
        <v>828</v>
      </c>
      <c r="Q57" s="33">
        <f>ROUND(坦克等级成长!$F154*VLOOKUP($B$2,坦克等级成长!$B$36:$G$42,MATCH(Q$3,坦克等级成长!$B$35:$G$35,0)),0)</f>
        <v>221</v>
      </c>
      <c r="R57" s="191">
        <v>4</v>
      </c>
      <c r="S57" s="33">
        <f>ROUND(坦克等级成长!$H154*VLOOKUP($B$2,坦克等级成长!$B$36:$G$42,MATCH(S$3,坦克等级成长!$B$35:$G$35,0)),0)</f>
        <v>2248</v>
      </c>
      <c r="T57" s="33">
        <f>ROUND(坦克等级成长!$H154*VLOOKUP($B$2,坦克等级成长!$B$36:$G$42,MATCH(T$3,坦克等级成长!$B$35:$G$35,0)),0)</f>
        <v>245</v>
      </c>
      <c r="U57" s="33">
        <f>ROUND(坦克等级成长!$H154*VLOOKUP($B$2,坦克等级成长!$B$36:$G$42,MATCH(U$3,坦克等级成长!$B$35:$G$35,0)),0)</f>
        <v>843</v>
      </c>
      <c r="V57" s="33">
        <f t="shared" si="21"/>
        <v>843</v>
      </c>
      <c r="W57" s="33">
        <v>626</v>
      </c>
      <c r="X57" s="33">
        <f>ROUND(坦克等级成长!$H154*VLOOKUP($B$2,坦克等级成长!$B$36:$G$42,MATCH(X$3,坦克等级成长!$B$35:$G$35,0)),0)</f>
        <v>843</v>
      </c>
      <c r="Y57" s="33">
        <f>ROUND(坦克等级成长!$H154*VLOOKUP($B$2,坦克等级成长!$B$36:$G$42,MATCH(Y$3,坦克等级成长!$B$35:$G$35,0)),0)</f>
        <v>225</v>
      </c>
      <c r="Z57" s="191">
        <v>4</v>
      </c>
      <c r="AA57" s="33">
        <f>ROUND(坦克等级成长!$D154*VLOOKUP($Z$2,坦克等级成长!$B$36:$G$42,MATCH(AA$3,坦克等级成长!$B$35:$G$35,0)),0)</f>
        <v>2168</v>
      </c>
      <c r="AB57" s="33">
        <f>ROUND(坦克等级成长!$D154*VLOOKUP($Z$2,坦克等级成长!$B$36:$G$42,MATCH(AB$3,坦克等级成长!$B$35:$G$35,0)),0)</f>
        <v>128</v>
      </c>
      <c r="AC57" s="33">
        <f>ROUND(坦克等级成长!$D154*VLOOKUP($Z$2,坦克等级成长!$B$36:$G$42,MATCH(AC$3,坦克等级成长!$B$35:$G$35,0)),0)</f>
        <v>890</v>
      </c>
      <c r="AD57" s="33">
        <f t="shared" si="36"/>
        <v>890</v>
      </c>
      <c r="AE57" s="33">
        <v>662.2</v>
      </c>
      <c r="AF57" s="33">
        <f>ROUND(坦克等级成长!$D154*VLOOKUP($Z$2,坦克等级成长!$B$36:$G$42,MATCH(AF$3,坦克等级成长!$B$35:$G$35,0)),0)</f>
        <v>813</v>
      </c>
      <c r="AG57" s="33">
        <f>ROUND(坦克等级成长!$D154*VLOOKUP($Z$2,坦克等级成长!$B$36:$G$42,MATCH(AG$3,坦克等级成长!$B$35:$G$35,0)),0)</f>
        <v>217</v>
      </c>
      <c r="AH57" s="198">
        <v>4</v>
      </c>
      <c r="AI57" s="33">
        <f>ROUND(坦克等级成长!$F154*VLOOKUP($Z$2,坦克等级成长!$B$36:$G$42,MATCH(AI$3,坦克等级成长!$B$35:$G$35,0)),0)</f>
        <v>2208</v>
      </c>
      <c r="AJ57" s="33">
        <f>ROUND(坦克等级成长!$F154*VLOOKUP($Z$2,坦克等级成长!$B$36:$G$42,MATCH(AJ$3,坦克等级成长!$B$35:$G$35,0)),0)</f>
        <v>130</v>
      </c>
      <c r="AK57" s="33">
        <f>ROUND(坦克等级成长!$F154*VLOOKUP($Z$2,坦克等级成长!$B$36:$G$42,MATCH(AK$3,坦克等级成长!$B$35:$G$35,0)),0)</f>
        <v>907</v>
      </c>
      <c r="AL57" s="33">
        <f t="shared" si="8"/>
        <v>907</v>
      </c>
      <c r="AM57" s="33">
        <v>685</v>
      </c>
      <c r="AN57" s="33">
        <f>ROUND(坦克等级成长!$F154*VLOOKUP($Z$2,坦克等级成长!$B$36:$G$42,MATCH(AN$3,坦克等级成长!$B$35:$G$35,0)),0)</f>
        <v>828</v>
      </c>
      <c r="AO57" s="33">
        <f>ROUND(坦克等级成长!$F154*VLOOKUP($Z$2,坦克等级成长!$B$36:$G$42,MATCH(AO$3,坦克等级成长!$B$35:$G$35,0)),0)</f>
        <v>221</v>
      </c>
      <c r="AP57" s="191">
        <v>4</v>
      </c>
      <c r="AQ57" s="33">
        <f>ROUND(坦克等级成长!$H154*VLOOKUP($Z$2,坦克等级成长!$B$36:$G$42,MATCH(AQ$3,坦克等级成长!$B$35:$G$35,0)),0)</f>
        <v>2248</v>
      </c>
      <c r="AR57" s="33">
        <f>ROUND(坦克等级成长!$H154*VLOOKUP($Z$2,坦克等级成长!$B$36:$G$42,MATCH(AR$3,坦克等级成长!$B$35:$G$35,0)),0)</f>
        <v>132</v>
      </c>
      <c r="AS57" s="33">
        <f>ROUND(坦克等级成长!$H154*VLOOKUP($Z$2,坦克等级成长!$B$36:$G$42,MATCH(AS$3,坦克等级成长!$B$35:$G$35,0)),0)</f>
        <v>923</v>
      </c>
      <c r="AT57" s="33">
        <f t="shared" si="22"/>
        <v>923</v>
      </c>
      <c r="AU57" s="33">
        <v>685</v>
      </c>
      <c r="AV57" s="33">
        <f>ROUND(坦克等级成长!$H154*VLOOKUP($Z$2,坦克等级成长!$B$36:$G$42,MATCH(AV$3,坦克等级成长!$B$35:$G$35,0)),0)</f>
        <v>843</v>
      </c>
      <c r="AW57" s="33">
        <f>ROUND(坦克等级成长!$H154*VLOOKUP($Z$2,坦克等级成长!$B$36:$G$42,MATCH(AW$3,坦克等级成长!$B$35:$G$35,0)),0)</f>
        <v>225</v>
      </c>
      <c r="AX57" s="191">
        <v>4</v>
      </c>
      <c r="AY57" s="33">
        <f>ROUND(坦克等级成长!$D154*VLOOKUP($AX$2,坦克等级成长!$B$36:$G$42,MATCH(AY$3,坦克等级成长!$B$35:$G$35,0)),0)</f>
        <v>2168</v>
      </c>
      <c r="AZ57" s="33">
        <f>ROUND(坦克等级成长!$D154*VLOOKUP($AX$2,坦克等级成长!$B$36:$G$42,MATCH(AZ$3,坦克等级成长!$B$35:$G$35,0)),0)</f>
        <v>236</v>
      </c>
      <c r="BA57" s="33">
        <f>ROUND(坦克等级成长!$D154*VLOOKUP($AX$2,坦克等级成长!$B$36:$G$42,MATCH(BA$3,坦克等级成长!$B$35:$G$35,0)),0)</f>
        <v>813</v>
      </c>
      <c r="BB57" s="33">
        <f t="shared" si="37"/>
        <v>813</v>
      </c>
      <c r="BC57" s="33">
        <v>604.79999999999995</v>
      </c>
      <c r="BD57" s="33">
        <f>ROUND(坦克等级成长!$D154*VLOOKUP($AX$2,坦克等级成长!$B$36:$G$42,MATCH(BD$3,坦克等级成长!$B$35:$G$35,0)),0)</f>
        <v>813</v>
      </c>
      <c r="BE57" s="33">
        <f>ROUND(坦克等级成长!$D154*VLOOKUP($AX$2,坦克等级成长!$B$36:$G$42,MATCH(BE$3,坦克等级成长!$B$35:$G$35,0)),0)</f>
        <v>217</v>
      </c>
      <c r="BF57" s="198">
        <v>4</v>
      </c>
      <c r="BG57" s="33">
        <f>ROUND(坦克等级成长!$F154*VLOOKUP($AX$2,坦克等级成长!$B$36:$G$42,MATCH(BG$3,坦克等级成长!$B$35:$G$35,0)),0)</f>
        <v>2208</v>
      </c>
      <c r="BH57" s="33">
        <f>ROUND(坦克等级成长!$F154*VLOOKUP($AX$2,坦克等级成长!$B$36:$G$42,MATCH(BH$3,坦克等级成长!$B$35:$G$35,0)),0)</f>
        <v>240</v>
      </c>
      <c r="BI57" s="33">
        <f>ROUND(坦克等级成长!$F154*VLOOKUP($AX$2,坦克等级成长!$B$36:$G$42,MATCH(BI$3,坦克等级成长!$B$35:$G$35,0)),0)</f>
        <v>828</v>
      </c>
      <c r="BJ57" s="33">
        <f t="shared" si="9"/>
        <v>828</v>
      </c>
      <c r="BK57" s="33">
        <v>626</v>
      </c>
      <c r="BL57" s="33">
        <f>ROUND(坦克等级成长!$F154*VLOOKUP($AX$2,坦克等级成长!$B$36:$G$42,MATCH(BL$3,坦克等级成长!$B$35:$G$35,0)),0)</f>
        <v>828</v>
      </c>
      <c r="BM57" s="33">
        <f>ROUND(坦克等级成长!$F154*VLOOKUP($AX$2,坦克等级成长!$B$36:$G$42,MATCH(BM$3,坦克等级成长!$B$35:$G$35,0)),0)</f>
        <v>221</v>
      </c>
      <c r="BN57" s="191">
        <v>4</v>
      </c>
      <c r="BO57" s="33">
        <f>ROUND(坦克等级成长!$H154*VLOOKUP($AX$2,坦克等级成长!$B$36:$G$42,MATCH(BO$3,坦克等级成长!$B$35:$G$35,0)),0)</f>
        <v>2248</v>
      </c>
      <c r="BP57" s="33">
        <f>ROUND(坦克等级成长!$H154*VLOOKUP($AX$2,坦克等级成长!$B$36:$G$42,MATCH(BP$3,坦克等级成长!$B$35:$G$35,0)),0)</f>
        <v>245</v>
      </c>
      <c r="BQ57" s="33">
        <f>ROUND(坦克等级成长!$H154*VLOOKUP($AX$2,坦克等级成长!$B$36:$G$42,MATCH(BQ$3,坦克等级成长!$B$35:$G$35,0)),0)</f>
        <v>843</v>
      </c>
      <c r="BR57" s="33">
        <f t="shared" si="23"/>
        <v>843</v>
      </c>
      <c r="BS57" s="33">
        <v>626</v>
      </c>
      <c r="BT57" s="33">
        <f>ROUND(坦克等级成长!$H154*VLOOKUP($AX$2,坦克等级成长!$B$36:$G$42,MATCH(BT$3,坦克等级成长!$B$35:$G$35,0)),0)</f>
        <v>843</v>
      </c>
      <c r="BU57" s="33">
        <f>ROUND(坦克等级成长!$H154*VLOOKUP($AX$2,坦克等级成长!$B$36:$G$42,MATCH(BU$3,坦克等级成长!$B$35:$G$35,0)),0)</f>
        <v>225</v>
      </c>
      <c r="BV57" s="191">
        <v>4</v>
      </c>
      <c r="BW57" s="33">
        <f>ROUND(坦克等级成长!$D154*VLOOKUP($BV$2,坦克等级成长!$B$36:$G$42,MATCH(BW$3,坦克等级成长!$B$35:$G$35,0)),0)</f>
        <v>2284</v>
      </c>
      <c r="BX57" s="33">
        <f>ROUND(坦克等级成长!$D154*VLOOKUP($BV$2,坦克等级成长!$B$36:$G$42,MATCH(BX$3,坦克等级成长!$B$35:$G$35,0)),0)</f>
        <v>215</v>
      </c>
      <c r="BY57" s="33">
        <f>ROUND(坦克等级成长!$D154*VLOOKUP($BV$2,坦克等级成长!$B$36:$G$42,MATCH(BY$3,坦克等级成长!$B$35:$G$35,0)),0)</f>
        <v>774</v>
      </c>
      <c r="BZ57" s="33">
        <f t="shared" si="38"/>
        <v>774</v>
      </c>
      <c r="CA57" s="33">
        <v>617.25</v>
      </c>
      <c r="CB57" s="33">
        <f>ROUND(坦克等级成长!$D154*VLOOKUP($BV$2,坦克等级成长!$B$36:$G$42,MATCH(CB$3,坦克等级成长!$B$35:$G$35,0)),0)</f>
        <v>976</v>
      </c>
      <c r="CC57" s="33">
        <f>ROUND(坦克等级成长!$D154*VLOOKUP($BV$2,坦克等级成长!$B$36:$G$42,MATCH(CC$3,坦克等级成长!$B$35:$G$35,0)),0)</f>
        <v>228</v>
      </c>
      <c r="CD57" s="198">
        <v>4</v>
      </c>
      <c r="CE57" s="33">
        <f>ROUND(坦克等级成长!$F154*VLOOKUP($BV$2,坦克等级成长!$B$36:$G$42,MATCH(CE$3,坦克等级成长!$B$35:$G$35,0)),0)</f>
        <v>2327</v>
      </c>
      <c r="CF57" s="33">
        <f>ROUND(坦克等级成长!$F154*VLOOKUP($BV$2,坦克等级成长!$B$36:$G$42,MATCH(CF$3,坦克等级成长!$B$35:$G$35,0)),0)</f>
        <v>219</v>
      </c>
      <c r="CG57" s="33">
        <f>ROUND(坦克等级成长!$F154*VLOOKUP($BV$2,坦克等级成长!$B$36:$G$42,MATCH(CG$3,坦克等级成长!$B$35:$G$35,0)),0)</f>
        <v>789</v>
      </c>
      <c r="CH57" s="33">
        <f t="shared" si="10"/>
        <v>789</v>
      </c>
      <c r="CI57" s="33">
        <v>638</v>
      </c>
      <c r="CJ57" s="33">
        <f>ROUND(坦克等级成长!$F154*VLOOKUP($BV$2,坦克等级成长!$B$36:$G$42,MATCH(CJ$3,坦克等级成长!$B$35:$G$35,0)),0)</f>
        <v>994</v>
      </c>
      <c r="CK57" s="33">
        <f>ROUND(坦克等级成长!$F154*VLOOKUP($BV$2,坦克等级成长!$B$36:$G$42,MATCH(CK$3,坦克等级成长!$B$35:$G$35,0)),0)</f>
        <v>233</v>
      </c>
      <c r="CL57" s="191">
        <v>4</v>
      </c>
      <c r="CM57" s="33">
        <f>ROUND(坦克等级成长!$H154*VLOOKUP($BV$2,坦克等级成长!$B$36:$G$42,MATCH(CM$3,坦克等级成长!$B$35:$G$35,0)),0)</f>
        <v>2369</v>
      </c>
      <c r="CN57" s="33">
        <f>ROUND(坦克等级成长!$H154*VLOOKUP($BV$2,坦克等级成长!$B$36:$G$42,MATCH(CN$3,坦克等级成长!$B$35:$G$35,0)),0)</f>
        <v>223</v>
      </c>
      <c r="CO57" s="33">
        <f>ROUND(坦克等级成长!$H154*VLOOKUP($BV$2,坦克等级成长!$B$36:$G$42,MATCH(CO$3,坦克等级成长!$B$35:$G$35,0)),0)</f>
        <v>803</v>
      </c>
      <c r="CP57" s="33">
        <f t="shared" si="24"/>
        <v>803</v>
      </c>
      <c r="CQ57" s="33">
        <v>638</v>
      </c>
      <c r="CR57" s="33">
        <f>ROUND(坦克等级成长!$H154*VLOOKUP($BV$2,坦克等级成长!$B$36:$G$42,MATCH(CR$3,坦克等级成长!$B$35:$G$35,0)),0)</f>
        <v>1012</v>
      </c>
      <c r="CS57" s="33">
        <f>ROUND(坦克等级成长!$H154*VLOOKUP($BV$2,坦克等级成长!$B$36:$G$42,MATCH(CS$3,坦克等级成长!$B$35:$G$35,0)),0)</f>
        <v>237</v>
      </c>
      <c r="CT57" s="191">
        <v>4</v>
      </c>
      <c r="CU57" s="33">
        <f>ROUND(坦克等级成长!$D154*VLOOKUP($CT$2,坦克等级成长!$B$36:$G$42,MATCH(CU$3,坦克等级成长!$B$35:$G$35,0)),0)</f>
        <v>2168</v>
      </c>
      <c r="CV57" s="33">
        <f>ROUND(坦克等级成长!$D154*VLOOKUP($CT$2,坦克等级成长!$B$36:$G$42,MATCH(CV$3,坦克等级成长!$B$35:$G$35,0)),0)</f>
        <v>492</v>
      </c>
      <c r="CW57" s="33">
        <f>ROUND(坦克等级成长!$D154*VLOOKUP($CT$2,坦克等级成长!$B$36:$G$42,MATCH(CW$3,坦克等级成长!$B$35:$G$35,0)),0)</f>
        <v>968</v>
      </c>
      <c r="CX57" s="33">
        <f t="shared" si="39"/>
        <v>968</v>
      </c>
      <c r="CY57" s="33">
        <v>771.75</v>
      </c>
      <c r="CZ57" s="33">
        <f>ROUND(坦克等级成长!$D154*VLOOKUP($CT$2,坦克等级成长!$B$36:$G$42,MATCH(CZ$3,坦克等级成长!$B$35:$G$35,0)),0)</f>
        <v>813</v>
      </c>
      <c r="DA57" s="33">
        <f>ROUND(坦克等级成长!$D154*VLOOKUP($CT$2,坦克等级成长!$B$36:$G$42,MATCH(DA$3,坦克等级成长!$B$35:$G$35,0)),0)</f>
        <v>217</v>
      </c>
      <c r="DB57" s="198">
        <v>4</v>
      </c>
      <c r="DC57" s="33">
        <f>ROUND(坦克等级成长!$F154*VLOOKUP($CT$2,坦克等级成长!$B$36:$G$42,MATCH(DC$3,坦克等级成长!$B$35:$G$35,0)),0)</f>
        <v>2208</v>
      </c>
      <c r="DD57" s="33">
        <f>ROUND(坦克等级成长!$F154*VLOOKUP($CT$2,坦克等级成长!$B$36:$G$42,MATCH(DD$3,坦克等级成长!$B$35:$G$35,0)),0)</f>
        <v>501</v>
      </c>
      <c r="DE57" s="33">
        <f>ROUND(坦克等级成长!$F154*VLOOKUP($CT$2,坦克等级成长!$B$36:$G$42,MATCH(DE$3,坦克等级成长!$B$35:$G$35,0)),0)</f>
        <v>986</v>
      </c>
      <c r="DF57" s="33">
        <f t="shared" si="11"/>
        <v>986</v>
      </c>
      <c r="DG57" s="33">
        <v>798</v>
      </c>
      <c r="DH57" s="33">
        <f>ROUND(坦克等级成长!$F154*VLOOKUP($CT$2,坦克等级成长!$B$36:$G$42,MATCH(DH$3,坦克等级成长!$B$35:$G$35,0)),0)</f>
        <v>828</v>
      </c>
      <c r="DI57" s="33">
        <f>ROUND(坦克等级成长!$F154*VLOOKUP($CT$2,坦克等级成长!$B$36:$G$42,MATCH(DI$3,坦克等级成长!$B$35:$G$35,0)),0)</f>
        <v>221</v>
      </c>
      <c r="DJ57" s="191">
        <v>4</v>
      </c>
      <c r="DK57" s="33">
        <f>ROUND(坦克等级成长!$H154*VLOOKUP($CT$2,坦克等级成长!$B$36:$G$42,MATCH(DK$3,坦克等级成长!$B$35:$G$35,0)),0)</f>
        <v>2248</v>
      </c>
      <c r="DL57" s="33">
        <f>ROUND(坦克等级成长!$H154*VLOOKUP($CT$2,坦克等级成长!$B$36:$G$42,MATCH(DL$3,坦克等级成长!$B$35:$G$35,0)),0)</f>
        <v>511</v>
      </c>
      <c r="DM57" s="33">
        <f>ROUND(坦克等级成长!$H154*VLOOKUP($CT$2,坦克等级成长!$B$36:$G$42,MATCH(DM$3,坦克等级成长!$B$35:$G$35,0)),0)</f>
        <v>1004</v>
      </c>
      <c r="DN57" s="33">
        <f t="shared" si="25"/>
        <v>1004</v>
      </c>
      <c r="DO57" s="33">
        <v>798</v>
      </c>
      <c r="DP57" s="33">
        <f>ROUND(坦克等级成长!$H154*VLOOKUP($CT$2,坦克等级成长!$B$36:$G$42,MATCH(DP$3,坦克等级成长!$B$35:$G$35,0)),0)</f>
        <v>843</v>
      </c>
      <c r="DQ57" s="33">
        <f>ROUND(坦克等级成长!$H154*VLOOKUP($CT$2,坦克等级成长!$B$36:$G$42,MATCH(DQ$3,坦克等级成长!$B$35:$G$35,0)),0)</f>
        <v>225</v>
      </c>
      <c r="DR57" s="191">
        <v>4</v>
      </c>
      <c r="DS57" s="33">
        <f>ROUND(坦克等级成长!$D154*VLOOKUP($DR$2,坦克等级成长!$B$36:$G$42,MATCH(DS$3,坦克等级成长!$B$35:$G$35,0)),0)</f>
        <v>2467</v>
      </c>
      <c r="DT57" s="33">
        <f>ROUND(坦克等级成长!$D154*VLOOKUP($DR$2,坦克等级成长!$B$36:$G$42,MATCH(DT$3,坦克等级成长!$B$35:$G$35,0)),0)</f>
        <v>841</v>
      </c>
      <c r="DU57" s="33">
        <f>ROUND(坦克等级成长!$D154*VLOOKUP($DR$2,坦克等级成长!$B$36:$G$42,MATCH(DU$3,坦克等级成长!$B$35:$G$35,0)),0)</f>
        <v>774</v>
      </c>
      <c r="DV57" s="33">
        <f t="shared" si="40"/>
        <v>774</v>
      </c>
      <c r="DW57" s="33">
        <v>658.4</v>
      </c>
      <c r="DX57" s="33">
        <f>ROUND(坦克等级成长!$D154*VLOOKUP($DR$2,坦克等级成长!$B$36:$G$42,MATCH(DX$3,坦克等级成长!$B$35:$G$35,0)),0)</f>
        <v>1138</v>
      </c>
      <c r="DY57" s="33">
        <f>ROUND(坦克等级成长!$D154*VLOOKUP($DR$2,坦克等级成长!$B$36:$G$42,MATCH(DY$3,坦克等级成长!$B$35:$G$35,0)),0)</f>
        <v>247</v>
      </c>
      <c r="DZ57" s="198">
        <v>4</v>
      </c>
      <c r="EA57" s="33">
        <f>ROUND(坦克等级成长!$F154*VLOOKUP($DR$2,坦克等级成长!$B$36:$G$42,MATCH(EA$3,坦克等级成长!$B$35:$G$35,0)),0)</f>
        <v>2512</v>
      </c>
      <c r="EB57" s="33">
        <f>ROUND(坦克等级成长!$F154*VLOOKUP($DR$2,坦克等级成长!$B$36:$G$42,MATCH(EB$3,坦克等级成长!$B$35:$G$35,0)),0)</f>
        <v>857</v>
      </c>
      <c r="EC57" s="33">
        <f>ROUND(坦克等级成长!$F154*VLOOKUP($DR$2,坦克等级成长!$B$36:$G$42,MATCH(EC$3,坦克等级成长!$B$35:$G$35,0)),0)</f>
        <v>789</v>
      </c>
      <c r="ED57" s="33">
        <f t="shared" si="12"/>
        <v>789</v>
      </c>
      <c r="EE57" s="33">
        <v>681</v>
      </c>
      <c r="EF57" s="33">
        <f>ROUND(坦克等级成长!$F154*VLOOKUP($DR$2,坦克等级成长!$B$36:$G$42,MATCH(EF$3,坦克等级成长!$B$35:$G$35,0)),0)</f>
        <v>1159</v>
      </c>
      <c r="EG57" s="33">
        <f>ROUND(坦克等级成长!$F154*VLOOKUP($DR$2,坦克等级成长!$B$36:$G$42,MATCH(EG$3,坦克等级成长!$B$35:$G$35,0)),0)</f>
        <v>251</v>
      </c>
      <c r="EH57" s="191">
        <v>4</v>
      </c>
      <c r="EI57" s="33">
        <f>ROUND(坦克等级成长!$H154*VLOOKUP($DR$2,坦克等级成长!$B$36:$G$42,MATCH(EI$3,坦克等级成长!$B$35:$G$35,0)),0)</f>
        <v>2558</v>
      </c>
      <c r="EJ57" s="33">
        <f>ROUND(坦克等级成长!$H154*VLOOKUP($DR$2,坦克等级成长!$B$36:$G$42,MATCH(EJ$3,坦克等级成长!$B$35:$G$35,0)),0)</f>
        <v>873</v>
      </c>
      <c r="EK57" s="33">
        <f>ROUND(坦克等级成长!$H154*VLOOKUP($DR$2,坦克等级成长!$B$36:$G$42,MATCH(EK$3,坦克等级成长!$B$35:$G$35,0)),0)</f>
        <v>803</v>
      </c>
      <c r="EL57" s="33">
        <f t="shared" si="26"/>
        <v>803</v>
      </c>
      <c r="EM57" s="33">
        <v>681</v>
      </c>
      <c r="EN57" s="33">
        <f>ROUND(坦克等级成长!$H154*VLOOKUP($DR$2,坦克等级成长!$B$36:$G$42,MATCH(EN$3,坦克等级成长!$B$35:$G$35,0)),0)</f>
        <v>1180</v>
      </c>
      <c r="EO57" s="33">
        <f>ROUND(坦克等级成长!$H154*VLOOKUP($DR$2,坦克等级成长!$B$36:$G$42,MATCH(EO$3,坦克等级成长!$B$35:$G$35,0)),0)</f>
        <v>256</v>
      </c>
      <c r="EP57" s="191">
        <v>4</v>
      </c>
      <c r="EQ57" s="33">
        <f>ROUND(坦克等级成长!$D154*VLOOKUP($EP$2,坦克等级成长!$B$36:$G$42,MATCH(EQ$3,坦克等级成长!$B$35:$G$35,0)),0)</f>
        <v>2284</v>
      </c>
      <c r="ER57" s="33">
        <f>ROUND(坦克等级成长!$D154*VLOOKUP($EP$2,坦克等级成长!$B$36:$G$42,MATCH(ER$3,坦克等级成长!$B$35:$G$35,0)),0)</f>
        <v>262</v>
      </c>
      <c r="ES57" s="33">
        <f>ROUND(坦克等级成长!$D154*VLOOKUP($EP$2,坦克等级成长!$B$36:$G$42,MATCH(ES$3,坦克等级成长!$B$35:$G$35,0)),0)</f>
        <v>890</v>
      </c>
      <c r="ET57" s="33">
        <f t="shared" si="41"/>
        <v>890</v>
      </c>
      <c r="EU57" s="33">
        <v>709.5</v>
      </c>
      <c r="EV57" s="33">
        <f>ROUND(坦克等级成长!$D154*VLOOKUP($EP$2,坦克等级成长!$B$36:$G$42,MATCH(EV$3,坦克等级成长!$B$35:$G$35,0)),0)</f>
        <v>976</v>
      </c>
      <c r="EW57" s="33">
        <f>ROUND(坦克等级成长!$D154*VLOOKUP($EP$2,坦克等级成长!$B$36:$G$42,MATCH(EW$3,坦克等级成长!$B$35:$G$35,0)),0)</f>
        <v>228</v>
      </c>
      <c r="EX57" s="198">
        <v>4</v>
      </c>
      <c r="EY57" s="33">
        <f>ROUND(坦克等级成长!$F154*VLOOKUP($EP$2,坦克等级成长!$B$36:$G$42,MATCH(EY$3,坦克等级成长!$B$35:$G$35,0)),0)</f>
        <v>2327</v>
      </c>
      <c r="EZ57" s="33">
        <f>ROUND(坦克等级成长!$F154*VLOOKUP($EP$2,坦克等级成长!$B$36:$G$42,MATCH(EZ$3,坦克等级成长!$B$35:$G$35,0)),0)</f>
        <v>267</v>
      </c>
      <c r="FA57" s="33">
        <f>ROUND(坦克等级成长!$F154*VLOOKUP($EP$2,坦克等级成长!$B$36:$G$42,MATCH(FA$3,坦克等级成长!$B$35:$G$35,0)),0)</f>
        <v>907</v>
      </c>
      <c r="FB57" s="33">
        <f t="shared" si="13"/>
        <v>907</v>
      </c>
      <c r="FC57" s="33">
        <v>734</v>
      </c>
      <c r="FD57" s="33">
        <f>ROUND(坦克等级成长!$F154*VLOOKUP($EP$2,坦克等级成长!$B$36:$G$42,MATCH(FD$3,坦克等级成长!$B$35:$G$35,0)),0)</f>
        <v>994</v>
      </c>
      <c r="FE57" s="33">
        <f>ROUND(坦克等级成长!$F154*VLOOKUP($EP$2,坦克等级成长!$B$36:$G$42,MATCH(FE$3,坦克等级成长!$B$35:$G$35,0)),0)</f>
        <v>233</v>
      </c>
      <c r="FF57" s="191">
        <v>4</v>
      </c>
      <c r="FG57" s="33">
        <f>ROUND(坦克等级成长!$H154*VLOOKUP($EP$2,坦克等级成长!$B$36:$G$42,MATCH(FG$3,坦克等级成长!$B$35:$G$35,0)),0)</f>
        <v>2369</v>
      </c>
      <c r="FH57" s="33">
        <f>ROUND(坦克等级成长!$H154*VLOOKUP($EP$2,坦克等级成长!$B$36:$G$42,MATCH(FH$3,坦克等级成长!$B$35:$G$35,0)),0)</f>
        <v>271</v>
      </c>
      <c r="FI57" s="33">
        <f>ROUND(坦克等级成长!$H154*VLOOKUP($EP$2,坦克等级成长!$B$36:$G$42,MATCH(FI$3,坦克等级成长!$B$35:$G$35,0)),0)</f>
        <v>923</v>
      </c>
      <c r="FJ57" s="33">
        <f t="shared" si="27"/>
        <v>923</v>
      </c>
      <c r="FK57" s="33">
        <v>734</v>
      </c>
      <c r="FL57" s="33">
        <f>ROUND(坦克等级成长!$H154*VLOOKUP($EP$2,坦克等级成长!$B$36:$G$42,MATCH(FL$3,坦克等级成长!$B$35:$G$35,0)),0)</f>
        <v>1012</v>
      </c>
      <c r="FM57" s="33">
        <f>ROUND(坦克等级成长!$H154*VLOOKUP($EP$2,坦克等级成长!$B$36:$G$42,MATCH(FM$3,坦克等级成长!$B$35:$G$35,0)),0)</f>
        <v>237</v>
      </c>
    </row>
    <row r="58" spans="1:169" ht="14.25" x14ac:dyDescent="0.3">
      <c r="A58" s="188">
        <v>5</v>
      </c>
      <c r="B58" s="191">
        <v>5</v>
      </c>
      <c r="C58" s="33">
        <f>ROUND(坦克等级成长!$D155*VLOOKUP($B$2,坦克等级成长!$B$36:$G$42,MATCH(C$3,坦克等级成长!$B$35:$G$35,0)),0)</f>
        <v>2256</v>
      </c>
      <c r="D58" s="33">
        <f>ROUND(坦克等级成长!$D155*VLOOKUP($B$2,坦克等级成长!$B$36:$G$42,MATCH(D$3,坦克等级成长!$B$35:$G$35,0)),0)</f>
        <v>245</v>
      </c>
      <c r="E58" s="33">
        <f>ROUND(坦克等级成长!$D155*VLOOKUP($B$2,坦克等级成长!$B$36:$G$42,MATCH(E$3,坦克等级成长!$B$35:$G$35,0)),0)</f>
        <v>846</v>
      </c>
      <c r="F58" s="33">
        <f t="shared" si="35"/>
        <v>846</v>
      </c>
      <c r="G58" s="33">
        <v>630</v>
      </c>
      <c r="H58" s="33">
        <f>ROUND(坦克等级成长!$D155*VLOOKUP($B$2,坦克等级成长!$B$36:$G$42,MATCH(H$3,坦克等级成长!$B$35:$G$35,0)),0)</f>
        <v>846</v>
      </c>
      <c r="I58" s="33">
        <f>ROUND(坦克等级成长!$D155*VLOOKUP($B$2,坦克等级成长!$B$36:$G$42,MATCH(I$3,坦克等级成长!$B$35:$G$35,0)),0)</f>
        <v>226</v>
      </c>
      <c r="J58" s="198">
        <v>5</v>
      </c>
      <c r="K58" s="33">
        <f>ROUND(坦克等级成长!$F155*VLOOKUP($B$2,坦克等级成长!$B$36:$G$42,MATCH(K$3,坦克等级成长!$B$35:$G$35,0)),0)</f>
        <v>2296</v>
      </c>
      <c r="L58" s="33">
        <f>ROUND(坦克等级成长!$F155*VLOOKUP($B$2,坦克等级成长!$B$36:$G$42,MATCH(L$3,坦克等级成长!$B$35:$G$35,0)),0)</f>
        <v>250</v>
      </c>
      <c r="M58" s="33">
        <f>ROUND(坦克等级成长!$F155*VLOOKUP($B$2,坦克等级成长!$B$36:$G$42,MATCH(M$3,坦克等级成长!$B$35:$G$35,0)),0)</f>
        <v>861</v>
      </c>
      <c r="N58" s="33">
        <f t="shared" si="7"/>
        <v>861</v>
      </c>
      <c r="O58" s="33">
        <v>651</v>
      </c>
      <c r="P58" s="33">
        <f>ROUND(坦克等级成长!$F155*VLOOKUP($B$2,坦克等级成长!$B$36:$G$42,MATCH(P$3,坦克等级成长!$B$35:$G$35,0)),0)</f>
        <v>861</v>
      </c>
      <c r="Q58" s="33">
        <f>ROUND(坦克等级成长!$F155*VLOOKUP($B$2,坦克等级成长!$B$36:$G$42,MATCH(Q$3,坦克等级成长!$B$35:$G$35,0)),0)</f>
        <v>230</v>
      </c>
      <c r="R58" s="191">
        <v>5</v>
      </c>
      <c r="S58" s="33">
        <f>ROUND(坦克等级成长!$H155*VLOOKUP($B$2,坦克等级成长!$B$36:$G$42,MATCH(S$3,坦克等级成长!$B$35:$G$35,0)),0)</f>
        <v>2336</v>
      </c>
      <c r="T58" s="33">
        <f>ROUND(坦克等级成长!$H155*VLOOKUP($B$2,坦克等级成长!$B$36:$G$42,MATCH(T$3,坦克等级成长!$B$35:$G$35,0)),0)</f>
        <v>254</v>
      </c>
      <c r="U58" s="33">
        <f>ROUND(坦克等级成长!$H155*VLOOKUP($B$2,坦克等级成长!$B$36:$G$42,MATCH(U$3,坦克等级成长!$B$35:$G$35,0)),0)</f>
        <v>876</v>
      </c>
      <c r="V58" s="33">
        <f t="shared" si="21"/>
        <v>876</v>
      </c>
      <c r="W58" s="33">
        <v>651</v>
      </c>
      <c r="X58" s="33">
        <f>ROUND(坦克等级成长!$H155*VLOOKUP($B$2,坦克等级成长!$B$36:$G$42,MATCH(X$3,坦克等级成长!$B$35:$G$35,0)),0)</f>
        <v>876</v>
      </c>
      <c r="Y58" s="33">
        <f>ROUND(坦克等级成长!$H155*VLOOKUP($B$2,坦克等级成长!$B$36:$G$42,MATCH(Y$3,坦克等级成长!$B$35:$G$35,0)),0)</f>
        <v>234</v>
      </c>
      <c r="Z58" s="191">
        <v>5</v>
      </c>
      <c r="AA58" s="33">
        <f>ROUND(坦克等级成长!$D155*VLOOKUP($Z$2,坦克等级成长!$B$36:$G$42,MATCH(AA$3,坦克等级成长!$B$35:$G$35,0)),0)</f>
        <v>2256</v>
      </c>
      <c r="AB58" s="33">
        <f>ROUND(坦克等级成长!$D155*VLOOKUP($Z$2,坦克等级成长!$B$36:$G$42,MATCH(AB$3,坦克等级成长!$B$35:$G$35,0)),0)</f>
        <v>133</v>
      </c>
      <c r="AC58" s="33">
        <f>ROUND(坦克等级成长!$D155*VLOOKUP($Z$2,坦克等级成长!$B$36:$G$42,MATCH(AC$3,坦克等级成长!$B$35:$G$35,0)),0)</f>
        <v>927</v>
      </c>
      <c r="AD58" s="33">
        <f t="shared" si="36"/>
        <v>927</v>
      </c>
      <c r="AE58" s="33">
        <v>690.2</v>
      </c>
      <c r="AF58" s="33">
        <f>ROUND(坦克等级成长!$D155*VLOOKUP($Z$2,坦克等级成长!$B$36:$G$42,MATCH(AF$3,坦克等级成长!$B$35:$G$35,0)),0)</f>
        <v>846</v>
      </c>
      <c r="AG58" s="33">
        <f>ROUND(坦克等级成长!$D155*VLOOKUP($Z$2,坦克等级成长!$B$36:$G$42,MATCH(AG$3,坦克等级成长!$B$35:$G$35,0)),0)</f>
        <v>226</v>
      </c>
      <c r="AH58" s="198">
        <v>5</v>
      </c>
      <c r="AI58" s="33">
        <f>ROUND(坦克等级成长!$F155*VLOOKUP($Z$2,坦克等级成长!$B$36:$G$42,MATCH(AI$3,坦克等级成长!$B$35:$G$35,0)),0)</f>
        <v>2296</v>
      </c>
      <c r="AJ58" s="33">
        <f>ROUND(坦克等级成长!$F155*VLOOKUP($Z$2,坦克等级成长!$B$36:$G$42,MATCH(AJ$3,坦克等级成长!$B$35:$G$35,0)),0)</f>
        <v>135</v>
      </c>
      <c r="AK58" s="33">
        <f>ROUND(坦克等级成长!$F155*VLOOKUP($Z$2,坦克等级成长!$B$36:$G$42,MATCH(AK$3,坦克等级成长!$B$35:$G$35,0)),0)</f>
        <v>943</v>
      </c>
      <c r="AL58" s="33">
        <f t="shared" si="8"/>
        <v>943</v>
      </c>
      <c r="AM58" s="33">
        <v>713</v>
      </c>
      <c r="AN58" s="33">
        <f>ROUND(坦克等级成长!$F155*VLOOKUP($Z$2,坦克等级成长!$B$36:$G$42,MATCH(AN$3,坦克等级成长!$B$35:$G$35,0)),0)</f>
        <v>861</v>
      </c>
      <c r="AO58" s="33">
        <f>ROUND(坦克等级成长!$F155*VLOOKUP($Z$2,坦克等级成长!$B$36:$G$42,MATCH(AO$3,坦克等级成长!$B$35:$G$35,0)),0)</f>
        <v>230</v>
      </c>
      <c r="AP58" s="191">
        <v>5</v>
      </c>
      <c r="AQ58" s="33">
        <f>ROUND(坦克等级成长!$H155*VLOOKUP($Z$2,坦克等级成长!$B$36:$G$42,MATCH(AQ$3,坦克等级成长!$B$35:$G$35,0)),0)</f>
        <v>2336</v>
      </c>
      <c r="AR58" s="33">
        <f>ROUND(坦克等级成长!$H155*VLOOKUP($Z$2,坦克等级成长!$B$36:$G$42,MATCH(AR$3,坦克等级成长!$B$35:$G$35,0)),0)</f>
        <v>138</v>
      </c>
      <c r="AS58" s="33">
        <f>ROUND(坦克等级成长!$H155*VLOOKUP($Z$2,坦克等级成长!$B$36:$G$42,MATCH(AS$3,坦克等级成长!$B$35:$G$35,0)),0)</f>
        <v>959</v>
      </c>
      <c r="AT58" s="33">
        <f t="shared" si="22"/>
        <v>959</v>
      </c>
      <c r="AU58" s="33">
        <v>713</v>
      </c>
      <c r="AV58" s="33">
        <f>ROUND(坦克等级成长!$H155*VLOOKUP($Z$2,坦克等级成长!$B$36:$G$42,MATCH(AV$3,坦克等级成长!$B$35:$G$35,0)),0)</f>
        <v>876</v>
      </c>
      <c r="AW58" s="33">
        <f>ROUND(坦克等级成长!$H155*VLOOKUP($Z$2,坦克等级成长!$B$36:$G$42,MATCH(AW$3,坦克等级成长!$B$35:$G$35,0)),0)</f>
        <v>234</v>
      </c>
      <c r="AX58" s="191">
        <v>5</v>
      </c>
      <c r="AY58" s="33">
        <f>ROUND(坦克等级成长!$D155*VLOOKUP($AX$2,坦克等级成长!$B$36:$G$42,MATCH(AY$3,坦克等级成长!$B$35:$G$35,0)),0)</f>
        <v>2256</v>
      </c>
      <c r="AZ58" s="33">
        <f>ROUND(坦克等级成长!$D155*VLOOKUP($AX$2,坦克等级成长!$B$36:$G$42,MATCH(AZ$3,坦克等级成长!$B$35:$G$35,0)),0)</f>
        <v>245</v>
      </c>
      <c r="BA58" s="33">
        <f>ROUND(坦克等级成长!$D155*VLOOKUP($AX$2,坦克等级成长!$B$36:$G$42,MATCH(BA$3,坦克等级成长!$B$35:$G$35,0)),0)</f>
        <v>846</v>
      </c>
      <c r="BB58" s="33">
        <f t="shared" si="37"/>
        <v>846</v>
      </c>
      <c r="BC58" s="33">
        <v>630</v>
      </c>
      <c r="BD58" s="33">
        <f>ROUND(坦克等级成长!$D155*VLOOKUP($AX$2,坦克等级成长!$B$36:$G$42,MATCH(BD$3,坦克等级成长!$B$35:$G$35,0)),0)</f>
        <v>846</v>
      </c>
      <c r="BE58" s="33">
        <f>ROUND(坦克等级成长!$D155*VLOOKUP($AX$2,坦克等级成长!$B$36:$G$42,MATCH(BE$3,坦克等级成长!$B$35:$G$35,0)),0)</f>
        <v>226</v>
      </c>
      <c r="BF58" s="198">
        <v>5</v>
      </c>
      <c r="BG58" s="33">
        <f>ROUND(坦克等级成长!$F155*VLOOKUP($AX$2,坦克等级成长!$B$36:$G$42,MATCH(BG$3,坦克等级成长!$B$35:$G$35,0)),0)</f>
        <v>2296</v>
      </c>
      <c r="BH58" s="33">
        <f>ROUND(坦克等级成长!$F155*VLOOKUP($AX$2,坦克等级成长!$B$36:$G$42,MATCH(BH$3,坦克等级成长!$B$35:$G$35,0)),0)</f>
        <v>250</v>
      </c>
      <c r="BI58" s="33">
        <f>ROUND(坦克等级成长!$F155*VLOOKUP($AX$2,坦克等级成长!$B$36:$G$42,MATCH(BI$3,坦克等级成长!$B$35:$G$35,0)),0)</f>
        <v>861</v>
      </c>
      <c r="BJ58" s="33">
        <f t="shared" si="9"/>
        <v>861</v>
      </c>
      <c r="BK58" s="33">
        <v>651</v>
      </c>
      <c r="BL58" s="33">
        <f>ROUND(坦克等级成长!$F155*VLOOKUP($AX$2,坦克等级成长!$B$36:$G$42,MATCH(BL$3,坦克等级成长!$B$35:$G$35,0)),0)</f>
        <v>861</v>
      </c>
      <c r="BM58" s="33">
        <f>ROUND(坦克等级成长!$F155*VLOOKUP($AX$2,坦克等级成长!$B$36:$G$42,MATCH(BM$3,坦克等级成长!$B$35:$G$35,0)),0)</f>
        <v>230</v>
      </c>
      <c r="BN58" s="191">
        <v>5</v>
      </c>
      <c r="BO58" s="33">
        <f>ROUND(坦克等级成长!$H155*VLOOKUP($AX$2,坦克等级成长!$B$36:$G$42,MATCH(BO$3,坦克等级成长!$B$35:$G$35,0)),0)</f>
        <v>2336</v>
      </c>
      <c r="BP58" s="33">
        <f>ROUND(坦克等级成长!$H155*VLOOKUP($AX$2,坦克等级成长!$B$36:$G$42,MATCH(BP$3,坦克等级成长!$B$35:$G$35,0)),0)</f>
        <v>254</v>
      </c>
      <c r="BQ58" s="33">
        <f>ROUND(坦克等级成长!$H155*VLOOKUP($AX$2,坦克等级成长!$B$36:$G$42,MATCH(BQ$3,坦克等级成长!$B$35:$G$35,0)),0)</f>
        <v>876</v>
      </c>
      <c r="BR58" s="33">
        <f t="shared" si="23"/>
        <v>876</v>
      </c>
      <c r="BS58" s="33">
        <v>651</v>
      </c>
      <c r="BT58" s="33">
        <f>ROUND(坦克等级成长!$H155*VLOOKUP($AX$2,坦克等级成长!$B$36:$G$42,MATCH(BT$3,坦克等级成长!$B$35:$G$35,0)),0)</f>
        <v>876</v>
      </c>
      <c r="BU58" s="33">
        <f>ROUND(坦克等级成长!$H155*VLOOKUP($AX$2,坦克等级成长!$B$36:$G$42,MATCH(BU$3,坦克等级成长!$B$35:$G$35,0)),0)</f>
        <v>234</v>
      </c>
      <c r="BV58" s="191">
        <v>5</v>
      </c>
      <c r="BW58" s="33">
        <f>ROUND(坦克等级成长!$D155*VLOOKUP($BV$2,坦克等级成长!$B$36:$G$42,MATCH(BW$3,坦克等级成长!$B$35:$G$35,0)),0)</f>
        <v>2377</v>
      </c>
      <c r="BX58" s="33">
        <f>ROUND(坦克等级成长!$D155*VLOOKUP($BV$2,坦克等级成长!$B$36:$G$42,MATCH(BX$3,坦克等级成长!$B$35:$G$35,0)),0)</f>
        <v>224</v>
      </c>
      <c r="BY58" s="33">
        <f>ROUND(坦克等级成长!$D155*VLOOKUP($BV$2,坦克等级成长!$B$36:$G$42,MATCH(BY$3,坦克等级成长!$B$35:$G$35,0)),0)</f>
        <v>806</v>
      </c>
      <c r="BZ58" s="33">
        <f t="shared" si="38"/>
        <v>806</v>
      </c>
      <c r="CA58" s="33">
        <v>642.75</v>
      </c>
      <c r="CB58" s="33">
        <f>ROUND(坦克等级成长!$D155*VLOOKUP($BV$2,坦克等级成长!$B$36:$G$42,MATCH(CB$3,坦克等级成长!$B$35:$G$35,0)),0)</f>
        <v>1015</v>
      </c>
      <c r="CC58" s="33">
        <f>ROUND(坦克等级成长!$D155*VLOOKUP($BV$2,坦克等级成长!$B$36:$G$42,MATCH(CC$3,坦克等级成长!$B$35:$G$35,0)),0)</f>
        <v>238</v>
      </c>
      <c r="CD58" s="198">
        <v>5</v>
      </c>
      <c r="CE58" s="33">
        <f>ROUND(坦克等级成长!$F155*VLOOKUP($BV$2,坦克等级成长!$B$36:$G$42,MATCH(CE$3,坦克等级成长!$B$35:$G$35,0)),0)</f>
        <v>2419</v>
      </c>
      <c r="CF58" s="33">
        <f>ROUND(坦克等级成长!$F155*VLOOKUP($BV$2,坦克等级成长!$B$36:$G$42,MATCH(CF$3,坦克等级成长!$B$35:$G$35,0)),0)</f>
        <v>228</v>
      </c>
      <c r="CG58" s="33">
        <f>ROUND(坦克等级成长!$F155*VLOOKUP($BV$2,坦克等级成长!$B$36:$G$42,MATCH(CG$3,坦克等级成长!$B$35:$G$35,0)),0)</f>
        <v>820</v>
      </c>
      <c r="CH58" s="33">
        <f t="shared" si="10"/>
        <v>820</v>
      </c>
      <c r="CI58" s="33">
        <v>665</v>
      </c>
      <c r="CJ58" s="33">
        <f>ROUND(坦克等级成长!$F155*VLOOKUP($BV$2,坦克等级成长!$B$36:$G$42,MATCH(CJ$3,坦克等级成长!$B$35:$G$35,0)),0)</f>
        <v>1033</v>
      </c>
      <c r="CK58" s="33">
        <f>ROUND(坦克等级成长!$F155*VLOOKUP($BV$2,坦克等级成长!$B$36:$G$42,MATCH(CK$3,坦克等级成长!$B$35:$G$35,0)),0)</f>
        <v>242</v>
      </c>
      <c r="CL58" s="191">
        <v>5</v>
      </c>
      <c r="CM58" s="33">
        <f>ROUND(坦克等级成长!$H155*VLOOKUP($BV$2,坦克等级成长!$B$36:$G$42,MATCH(CM$3,坦克等级成长!$B$35:$G$35,0)),0)</f>
        <v>2461</v>
      </c>
      <c r="CN58" s="33">
        <f>ROUND(坦克等级成长!$H155*VLOOKUP($BV$2,坦克等级成长!$B$36:$G$42,MATCH(CN$3,坦克等级成长!$B$35:$G$35,0)),0)</f>
        <v>232</v>
      </c>
      <c r="CO58" s="33">
        <f>ROUND(坦克等级成长!$H155*VLOOKUP($BV$2,坦克等级成长!$B$36:$G$42,MATCH(CO$3,坦克等级成长!$B$35:$G$35,0)),0)</f>
        <v>834</v>
      </c>
      <c r="CP58" s="33">
        <f t="shared" si="24"/>
        <v>834</v>
      </c>
      <c r="CQ58" s="33">
        <v>665</v>
      </c>
      <c r="CR58" s="33">
        <f>ROUND(坦克等级成长!$H155*VLOOKUP($BV$2,坦克等级成长!$B$36:$G$42,MATCH(CR$3,坦克等级成长!$B$35:$G$35,0)),0)</f>
        <v>1051</v>
      </c>
      <c r="CS58" s="33">
        <f>ROUND(坦克等级成长!$H155*VLOOKUP($BV$2,坦克等级成长!$B$36:$G$42,MATCH(CS$3,坦克等级成长!$B$35:$G$35,0)),0)</f>
        <v>246</v>
      </c>
      <c r="CT58" s="191">
        <v>5</v>
      </c>
      <c r="CU58" s="33">
        <f>ROUND(坦克等级成长!$D155*VLOOKUP($CT$2,坦克等级成长!$B$36:$G$42,MATCH(CU$3,坦克等级成长!$B$35:$G$35,0)),0)</f>
        <v>2256</v>
      </c>
      <c r="CV58" s="33">
        <f>ROUND(坦克等级成长!$D155*VLOOKUP($CT$2,坦克等级成长!$B$36:$G$42,MATCH(CV$3,坦克等级成长!$B$35:$G$35,0)),0)</f>
        <v>512</v>
      </c>
      <c r="CW58" s="33">
        <f>ROUND(坦克等级成长!$D155*VLOOKUP($CT$2,坦克等级成长!$B$36:$G$42,MATCH(CW$3,坦克等级成长!$B$35:$G$35,0)),0)</f>
        <v>1007</v>
      </c>
      <c r="CX58" s="33">
        <f t="shared" si="39"/>
        <v>1007</v>
      </c>
      <c r="CY58" s="33">
        <v>803.25</v>
      </c>
      <c r="CZ58" s="33">
        <f>ROUND(坦克等级成长!$D155*VLOOKUP($CT$2,坦克等级成长!$B$36:$G$42,MATCH(CZ$3,坦克等级成长!$B$35:$G$35,0)),0)</f>
        <v>846</v>
      </c>
      <c r="DA58" s="33">
        <f>ROUND(坦克等级成长!$D155*VLOOKUP($CT$2,坦克等级成长!$B$36:$G$42,MATCH(DA$3,坦克等级成长!$B$35:$G$35,0)),0)</f>
        <v>226</v>
      </c>
      <c r="DB58" s="198">
        <v>5</v>
      </c>
      <c r="DC58" s="33">
        <f>ROUND(坦克等级成长!$F155*VLOOKUP($CT$2,坦克等级成长!$B$36:$G$42,MATCH(DC$3,坦克等级成长!$B$35:$G$35,0)),0)</f>
        <v>2296</v>
      </c>
      <c r="DD58" s="33">
        <f>ROUND(坦克等级成长!$F155*VLOOKUP($CT$2,坦克等级成长!$B$36:$G$42,MATCH(DD$3,坦克等级成长!$B$35:$G$35,0)),0)</f>
        <v>521</v>
      </c>
      <c r="DE58" s="33">
        <f>ROUND(坦克等级成长!$F155*VLOOKUP($CT$2,坦克等级成长!$B$36:$G$42,MATCH(DE$3,坦克等级成长!$B$35:$G$35,0)),0)</f>
        <v>1025</v>
      </c>
      <c r="DF58" s="33">
        <f t="shared" si="11"/>
        <v>1025</v>
      </c>
      <c r="DG58" s="33">
        <v>830</v>
      </c>
      <c r="DH58" s="33">
        <f>ROUND(坦克等级成长!$F155*VLOOKUP($CT$2,坦克等级成长!$B$36:$G$42,MATCH(DH$3,坦克等级成长!$B$35:$G$35,0)),0)</f>
        <v>861</v>
      </c>
      <c r="DI58" s="33">
        <f>ROUND(坦克等级成长!$F155*VLOOKUP($CT$2,坦克等级成长!$B$36:$G$42,MATCH(DI$3,坦克等级成长!$B$35:$G$35,0)),0)</f>
        <v>230</v>
      </c>
      <c r="DJ58" s="191">
        <v>5</v>
      </c>
      <c r="DK58" s="33">
        <f>ROUND(坦克等级成长!$H155*VLOOKUP($CT$2,坦克等级成长!$B$36:$G$42,MATCH(DK$3,坦克等级成长!$B$35:$G$35,0)),0)</f>
        <v>2336</v>
      </c>
      <c r="DL58" s="33">
        <f>ROUND(坦克等级成长!$H155*VLOOKUP($CT$2,坦克等级成长!$B$36:$G$42,MATCH(DL$3,坦克等级成长!$B$35:$G$35,0)),0)</f>
        <v>531</v>
      </c>
      <c r="DM58" s="33">
        <f>ROUND(坦克等级成长!$H155*VLOOKUP($CT$2,坦克等级成长!$B$36:$G$42,MATCH(DM$3,坦克等级成长!$B$35:$G$35,0)),0)</f>
        <v>1043</v>
      </c>
      <c r="DN58" s="33">
        <f t="shared" si="25"/>
        <v>1043</v>
      </c>
      <c r="DO58" s="33">
        <v>830</v>
      </c>
      <c r="DP58" s="33">
        <f>ROUND(坦克等级成长!$H155*VLOOKUP($CT$2,坦克等级成长!$B$36:$G$42,MATCH(DP$3,坦克等级成长!$B$35:$G$35,0)),0)</f>
        <v>876</v>
      </c>
      <c r="DQ58" s="33">
        <f>ROUND(坦克等级成长!$H155*VLOOKUP($CT$2,坦克等级成长!$B$36:$G$42,MATCH(DQ$3,坦克等级成长!$B$35:$G$35,0)),0)</f>
        <v>234</v>
      </c>
      <c r="DR58" s="191">
        <v>5</v>
      </c>
      <c r="DS58" s="33">
        <f>ROUND(坦克等级成长!$D155*VLOOKUP($DR$2,坦克等级成长!$B$36:$G$42,MATCH(DS$3,坦克等级成长!$B$35:$G$35,0)),0)</f>
        <v>2567</v>
      </c>
      <c r="DT58" s="33">
        <f>ROUND(坦克等级成长!$D155*VLOOKUP($DR$2,坦克等级成长!$B$36:$G$42,MATCH(DT$3,坦克等级成长!$B$35:$G$35,0)),0)</f>
        <v>876</v>
      </c>
      <c r="DU58" s="33">
        <f>ROUND(坦克等级成长!$D155*VLOOKUP($DR$2,坦克等级成长!$B$36:$G$42,MATCH(DU$3,坦克等级成长!$B$35:$G$35,0)),0)</f>
        <v>806</v>
      </c>
      <c r="DV58" s="33">
        <f t="shared" si="40"/>
        <v>806</v>
      </c>
      <c r="DW58" s="33">
        <v>685.6</v>
      </c>
      <c r="DX58" s="33">
        <f>ROUND(坦克等级成长!$D155*VLOOKUP($DR$2,坦克等级成长!$B$36:$G$42,MATCH(DX$3,坦克等级成长!$B$35:$G$35,0)),0)</f>
        <v>1184</v>
      </c>
      <c r="DY58" s="33">
        <f>ROUND(坦克等级成长!$D155*VLOOKUP($DR$2,坦克等级成长!$B$36:$G$42,MATCH(DY$3,坦克等级成长!$B$35:$G$35,0)),0)</f>
        <v>257</v>
      </c>
      <c r="DZ58" s="198">
        <v>5</v>
      </c>
      <c r="EA58" s="33">
        <f>ROUND(坦克等级成长!$F155*VLOOKUP($DR$2,坦克等级成长!$B$36:$G$42,MATCH(EA$3,坦克等级成长!$B$35:$G$35,0)),0)</f>
        <v>2612</v>
      </c>
      <c r="EB58" s="33">
        <f>ROUND(坦克等级成长!$F155*VLOOKUP($DR$2,坦克等级成长!$B$36:$G$42,MATCH(EB$3,坦克等级成长!$B$35:$G$35,0)),0)</f>
        <v>891</v>
      </c>
      <c r="EC58" s="33">
        <f>ROUND(坦克等级成长!$F155*VLOOKUP($DR$2,坦克等级成长!$B$36:$G$42,MATCH(EC$3,坦克等级成长!$B$35:$G$35,0)),0)</f>
        <v>820</v>
      </c>
      <c r="ED58" s="33">
        <f t="shared" si="12"/>
        <v>820</v>
      </c>
      <c r="EE58" s="33">
        <v>709</v>
      </c>
      <c r="EF58" s="33">
        <f>ROUND(坦克等级成长!$F155*VLOOKUP($DR$2,坦克等级成长!$B$36:$G$42,MATCH(EF$3,坦克等级成长!$B$35:$G$35,0)),0)</f>
        <v>1205</v>
      </c>
      <c r="EG58" s="33">
        <f>ROUND(坦克等级成长!$F155*VLOOKUP($DR$2,坦克等级成长!$B$36:$G$42,MATCH(EG$3,坦克等级成长!$B$35:$G$35,0)),0)</f>
        <v>261</v>
      </c>
      <c r="EH58" s="191">
        <v>5</v>
      </c>
      <c r="EI58" s="33">
        <f>ROUND(坦克等级成长!$H155*VLOOKUP($DR$2,坦克等级成长!$B$36:$G$42,MATCH(EI$3,坦克等级成长!$B$35:$G$35,0)),0)</f>
        <v>2658</v>
      </c>
      <c r="EJ58" s="33">
        <f>ROUND(坦克等级成长!$H155*VLOOKUP($DR$2,坦克等级成长!$B$36:$G$42,MATCH(EJ$3,坦克等级成长!$B$35:$G$35,0)),0)</f>
        <v>907</v>
      </c>
      <c r="EK58" s="33">
        <f>ROUND(坦克等级成长!$H155*VLOOKUP($DR$2,坦克等级成长!$B$36:$G$42,MATCH(EK$3,坦克等级成长!$B$35:$G$35,0)),0)</f>
        <v>834</v>
      </c>
      <c r="EL58" s="33">
        <f t="shared" si="26"/>
        <v>834</v>
      </c>
      <c r="EM58" s="33">
        <v>709</v>
      </c>
      <c r="EN58" s="33">
        <f>ROUND(坦克等级成长!$H155*VLOOKUP($DR$2,坦克等级成长!$B$36:$G$42,MATCH(EN$3,坦克等级成长!$B$35:$G$35,0)),0)</f>
        <v>1226</v>
      </c>
      <c r="EO58" s="33">
        <f>ROUND(坦克等级成长!$H155*VLOOKUP($DR$2,坦克等级成长!$B$36:$G$42,MATCH(EO$3,坦克等级成长!$B$35:$G$35,0)),0)</f>
        <v>266</v>
      </c>
      <c r="EP58" s="191">
        <v>5</v>
      </c>
      <c r="EQ58" s="33">
        <f>ROUND(坦克等级成长!$D155*VLOOKUP($EP$2,坦克等级成长!$B$36:$G$42,MATCH(EQ$3,坦克等级成长!$B$35:$G$35,0)),0)</f>
        <v>2377</v>
      </c>
      <c r="ER58" s="33">
        <f>ROUND(坦克等级成长!$D155*VLOOKUP($EP$2,坦克等级成长!$B$36:$G$42,MATCH(ER$3,坦克等级成长!$B$35:$G$35,0)),0)</f>
        <v>272</v>
      </c>
      <c r="ES58" s="33">
        <f>ROUND(坦克等级成长!$D155*VLOOKUP($EP$2,坦克等级成长!$B$36:$G$42,MATCH(ES$3,坦克等级成长!$B$35:$G$35,0)),0)</f>
        <v>927</v>
      </c>
      <c r="ET58" s="33">
        <f t="shared" si="41"/>
        <v>927</v>
      </c>
      <c r="EU58" s="33">
        <v>739.5</v>
      </c>
      <c r="EV58" s="33">
        <f>ROUND(坦克等级成长!$D155*VLOOKUP($EP$2,坦克等级成长!$B$36:$G$42,MATCH(EV$3,坦克等级成长!$B$35:$G$35,0)),0)</f>
        <v>1015</v>
      </c>
      <c r="EW58" s="33">
        <f>ROUND(坦克等级成长!$D155*VLOOKUP($EP$2,坦克等级成长!$B$36:$G$42,MATCH(EW$3,坦克等级成长!$B$35:$G$35,0)),0)</f>
        <v>238</v>
      </c>
      <c r="EX58" s="198">
        <v>5</v>
      </c>
      <c r="EY58" s="33">
        <f>ROUND(坦克等级成长!$F155*VLOOKUP($EP$2,坦克等级成长!$B$36:$G$42,MATCH(EY$3,坦克等级成长!$B$35:$G$35,0)),0)</f>
        <v>2419</v>
      </c>
      <c r="EZ58" s="33">
        <f>ROUND(坦克等级成长!$F155*VLOOKUP($EP$2,坦克等级成长!$B$36:$G$42,MATCH(EZ$3,坦克等级成长!$B$35:$G$35,0)),0)</f>
        <v>277</v>
      </c>
      <c r="FA58" s="33">
        <f>ROUND(坦克等级成长!$F155*VLOOKUP($EP$2,坦克等级成长!$B$36:$G$42,MATCH(FA$3,坦克等级成长!$B$35:$G$35,0)),0)</f>
        <v>943</v>
      </c>
      <c r="FB58" s="33">
        <f t="shared" si="13"/>
        <v>943</v>
      </c>
      <c r="FC58" s="33">
        <v>764</v>
      </c>
      <c r="FD58" s="33">
        <f>ROUND(坦克等级成长!$F155*VLOOKUP($EP$2,坦克等级成长!$B$36:$G$42,MATCH(FD$3,坦克等级成长!$B$35:$G$35,0)),0)</f>
        <v>1033</v>
      </c>
      <c r="FE58" s="33">
        <f>ROUND(坦克等级成长!$F155*VLOOKUP($EP$2,坦克等级成长!$B$36:$G$42,MATCH(FE$3,坦克等级成长!$B$35:$G$35,0)),0)</f>
        <v>242</v>
      </c>
      <c r="FF58" s="191">
        <v>5</v>
      </c>
      <c r="FG58" s="33">
        <f>ROUND(坦克等级成长!$H155*VLOOKUP($EP$2,坦克等级成长!$B$36:$G$42,MATCH(FG$3,坦克等级成长!$B$35:$G$35,0)),0)</f>
        <v>2461</v>
      </c>
      <c r="FH58" s="33">
        <f>ROUND(坦克等级成长!$H155*VLOOKUP($EP$2,坦克等级成长!$B$36:$G$42,MATCH(FH$3,坦克等级成长!$B$35:$G$35,0)),0)</f>
        <v>282</v>
      </c>
      <c r="FI58" s="33">
        <f>ROUND(坦克等级成长!$H155*VLOOKUP($EP$2,坦克等级成长!$B$36:$G$42,MATCH(FI$3,坦克等级成长!$B$35:$G$35,0)),0)</f>
        <v>959</v>
      </c>
      <c r="FJ58" s="33">
        <f t="shared" si="27"/>
        <v>959</v>
      </c>
      <c r="FK58" s="33">
        <v>764</v>
      </c>
      <c r="FL58" s="33">
        <f>ROUND(坦克等级成长!$H155*VLOOKUP($EP$2,坦克等级成长!$B$36:$G$42,MATCH(FL$3,坦克等级成长!$B$35:$G$35,0)),0)</f>
        <v>1051</v>
      </c>
      <c r="FM58" s="33">
        <f>ROUND(坦克等级成长!$H155*VLOOKUP($EP$2,坦克等级成长!$B$36:$G$42,MATCH(FM$3,坦克等级成长!$B$35:$G$35,0)),0)</f>
        <v>246</v>
      </c>
    </row>
    <row r="59" spans="1:169" ht="14.25" x14ac:dyDescent="0.3">
      <c r="A59" s="188">
        <v>5</v>
      </c>
      <c r="B59" s="191">
        <v>6</v>
      </c>
      <c r="C59" s="33">
        <f>ROUND(坦克等级成长!$D156*VLOOKUP($B$2,坦克等级成长!$B$36:$G$42,MATCH(C$3,坦克等级成长!$B$35:$G$35,0)),0)</f>
        <v>2344</v>
      </c>
      <c r="D59" s="33">
        <f>ROUND(坦克等级成长!$D156*VLOOKUP($B$2,坦克等级成长!$B$36:$G$42,MATCH(D$3,坦克等级成长!$B$35:$G$35,0)),0)</f>
        <v>255</v>
      </c>
      <c r="E59" s="33">
        <f>ROUND(坦克等级成长!$D156*VLOOKUP($B$2,坦克等级成长!$B$36:$G$42,MATCH(E$3,坦克等级成长!$B$35:$G$35,0)),0)</f>
        <v>879</v>
      </c>
      <c r="F59" s="33">
        <f t="shared" si="35"/>
        <v>879</v>
      </c>
      <c r="G59" s="33">
        <v>655.20000000000005</v>
      </c>
      <c r="H59" s="33">
        <f>ROUND(坦克等级成长!$D156*VLOOKUP($B$2,坦克等级成长!$B$36:$G$42,MATCH(H$3,坦克等级成长!$B$35:$G$35,0)),0)</f>
        <v>879</v>
      </c>
      <c r="I59" s="33">
        <f>ROUND(坦克等级成长!$D156*VLOOKUP($B$2,坦克等级成长!$B$36:$G$42,MATCH(I$3,坦克等级成长!$B$35:$G$35,0)),0)</f>
        <v>234</v>
      </c>
      <c r="J59" s="198">
        <v>7</v>
      </c>
      <c r="K59" s="33">
        <f>ROUND(坦克等级成长!$F156*VLOOKUP($B$2,坦克等级成长!$B$36:$G$42,MATCH(K$3,坦克等级成长!$B$35:$G$35,0)),0)</f>
        <v>2384</v>
      </c>
      <c r="L59" s="33">
        <f>ROUND(坦克等级成长!$F156*VLOOKUP($B$2,坦克等级成长!$B$36:$G$42,MATCH(L$3,坦克等级成长!$B$35:$G$35,0)),0)</f>
        <v>259</v>
      </c>
      <c r="M59" s="33">
        <f>ROUND(坦克等级成长!$F156*VLOOKUP($B$2,坦克等级成长!$B$36:$G$42,MATCH(M$3,坦克等级成长!$B$35:$G$35,0)),0)</f>
        <v>894</v>
      </c>
      <c r="N59" s="33">
        <f t="shared" si="7"/>
        <v>894</v>
      </c>
      <c r="O59" s="33">
        <v>676</v>
      </c>
      <c r="P59" s="33">
        <f>ROUND(坦克等级成长!$F156*VLOOKUP($B$2,坦克等级成长!$B$36:$G$42,MATCH(P$3,坦克等级成长!$B$35:$G$35,0)),0)</f>
        <v>894</v>
      </c>
      <c r="Q59" s="33">
        <f>ROUND(坦克等级成长!$F156*VLOOKUP($B$2,坦克等级成长!$B$36:$G$42,MATCH(Q$3,坦克等级成长!$B$35:$G$35,0)),0)</f>
        <v>238</v>
      </c>
      <c r="R59" s="191">
        <v>6</v>
      </c>
      <c r="S59" s="33">
        <f>ROUND(坦克等级成长!$H156*VLOOKUP($B$2,坦克等级成长!$B$36:$G$42,MATCH(S$3,坦克等级成长!$B$35:$G$35,0)),0)</f>
        <v>2424</v>
      </c>
      <c r="T59" s="33">
        <f>ROUND(坦克等级成长!$H156*VLOOKUP($B$2,坦克等级成长!$B$36:$G$42,MATCH(T$3,坦克等级成长!$B$35:$G$35,0)),0)</f>
        <v>264</v>
      </c>
      <c r="U59" s="33">
        <f>ROUND(坦克等级成长!$H156*VLOOKUP($B$2,坦克等级成长!$B$36:$G$42,MATCH(U$3,坦克等级成长!$B$35:$G$35,0)),0)</f>
        <v>909</v>
      </c>
      <c r="V59" s="33">
        <f t="shared" si="21"/>
        <v>909</v>
      </c>
      <c r="W59" s="33">
        <v>676</v>
      </c>
      <c r="X59" s="33">
        <f>ROUND(坦克等级成长!$H156*VLOOKUP($B$2,坦克等级成长!$B$36:$G$42,MATCH(X$3,坦克等级成长!$B$35:$G$35,0)),0)</f>
        <v>909</v>
      </c>
      <c r="Y59" s="33">
        <f>ROUND(坦克等级成长!$H156*VLOOKUP($B$2,坦克等级成长!$B$36:$G$42,MATCH(Y$3,坦克等级成长!$B$35:$G$35,0)),0)</f>
        <v>242</v>
      </c>
      <c r="Z59" s="191">
        <v>6</v>
      </c>
      <c r="AA59" s="33">
        <f>ROUND(坦克等级成长!$D156*VLOOKUP($Z$2,坦克等级成长!$B$36:$G$42,MATCH(AA$3,坦克等级成长!$B$35:$G$35,0)),0)</f>
        <v>2344</v>
      </c>
      <c r="AB59" s="33">
        <f>ROUND(坦克等级成长!$D156*VLOOKUP($Z$2,坦克等级成长!$B$36:$G$42,MATCH(AB$3,坦克等级成长!$B$35:$G$35,0)),0)</f>
        <v>138</v>
      </c>
      <c r="AC59" s="33">
        <f>ROUND(坦克等级成长!$D156*VLOOKUP($Z$2,坦克等级成长!$B$36:$G$42,MATCH(AC$3,坦克等级成长!$B$35:$G$35,0)),0)</f>
        <v>963</v>
      </c>
      <c r="AD59" s="33">
        <f t="shared" si="36"/>
        <v>963</v>
      </c>
      <c r="AE59" s="33">
        <v>717.5</v>
      </c>
      <c r="AF59" s="33">
        <f>ROUND(坦克等级成长!$D156*VLOOKUP($Z$2,坦克等级成长!$B$36:$G$42,MATCH(AF$3,坦克等级成长!$B$35:$G$35,0)),0)</f>
        <v>879</v>
      </c>
      <c r="AG59" s="33">
        <f>ROUND(坦克等级成长!$D156*VLOOKUP($Z$2,坦克等级成长!$B$36:$G$42,MATCH(AG$3,坦克等级成长!$B$35:$G$35,0)),0)</f>
        <v>234</v>
      </c>
      <c r="AH59" s="198">
        <v>6</v>
      </c>
      <c r="AI59" s="33">
        <f>ROUND(坦克等级成长!$F156*VLOOKUP($Z$2,坦克等级成长!$B$36:$G$42,MATCH(AI$3,坦克等级成长!$B$35:$G$35,0)),0)</f>
        <v>2384</v>
      </c>
      <c r="AJ59" s="33">
        <f>ROUND(坦克等级成长!$F156*VLOOKUP($Z$2,坦克等级成长!$B$36:$G$42,MATCH(AJ$3,坦克等级成长!$B$35:$G$35,0)),0)</f>
        <v>140</v>
      </c>
      <c r="AK59" s="33">
        <f>ROUND(坦克等级成长!$F156*VLOOKUP($Z$2,坦克等级成长!$B$36:$G$42,MATCH(AK$3,坦克等级成长!$B$35:$G$35,0)),0)</f>
        <v>979</v>
      </c>
      <c r="AL59" s="33">
        <f t="shared" si="8"/>
        <v>979</v>
      </c>
      <c r="AM59" s="33">
        <v>741</v>
      </c>
      <c r="AN59" s="33">
        <f>ROUND(坦克等级成长!$F156*VLOOKUP($Z$2,坦克等级成长!$B$36:$G$42,MATCH(AN$3,坦克等级成长!$B$35:$G$35,0)),0)</f>
        <v>894</v>
      </c>
      <c r="AO59" s="33">
        <f>ROUND(坦克等级成长!$F156*VLOOKUP($Z$2,坦克等级成长!$B$36:$G$42,MATCH(AO$3,坦克等级成长!$B$35:$G$35,0)),0)</f>
        <v>238</v>
      </c>
      <c r="AP59" s="191">
        <v>6</v>
      </c>
      <c r="AQ59" s="33">
        <f>ROUND(坦克等级成长!$H156*VLOOKUP($Z$2,坦克等级成长!$B$36:$G$42,MATCH(AQ$3,坦克等级成长!$B$35:$G$35,0)),0)</f>
        <v>2424</v>
      </c>
      <c r="AR59" s="33">
        <f>ROUND(坦克等级成长!$H156*VLOOKUP($Z$2,坦克等级成长!$B$36:$G$42,MATCH(AR$3,坦克等级成长!$B$35:$G$35,0)),0)</f>
        <v>143</v>
      </c>
      <c r="AS59" s="33">
        <f>ROUND(坦克等级成长!$H156*VLOOKUP($Z$2,坦克等级成长!$B$36:$G$42,MATCH(AS$3,坦克等级成长!$B$35:$G$35,0)),0)</f>
        <v>996</v>
      </c>
      <c r="AT59" s="33">
        <f t="shared" si="22"/>
        <v>996</v>
      </c>
      <c r="AU59" s="33">
        <v>741</v>
      </c>
      <c r="AV59" s="33">
        <f>ROUND(坦克等级成长!$H156*VLOOKUP($Z$2,坦克等级成长!$B$36:$G$42,MATCH(AV$3,坦克等级成长!$B$35:$G$35,0)),0)</f>
        <v>909</v>
      </c>
      <c r="AW59" s="33">
        <f>ROUND(坦克等级成长!$H156*VLOOKUP($Z$2,坦克等级成长!$B$36:$G$42,MATCH(AW$3,坦克等级成长!$B$35:$G$35,0)),0)</f>
        <v>242</v>
      </c>
      <c r="AX59" s="191">
        <v>6</v>
      </c>
      <c r="AY59" s="33">
        <f>ROUND(坦克等级成长!$D156*VLOOKUP($AX$2,坦克等级成长!$B$36:$G$42,MATCH(AY$3,坦克等级成长!$B$35:$G$35,0)),0)</f>
        <v>2344</v>
      </c>
      <c r="AZ59" s="33">
        <f>ROUND(坦克等级成长!$D156*VLOOKUP($AX$2,坦克等级成长!$B$36:$G$42,MATCH(AZ$3,坦克等级成长!$B$35:$G$35,0)),0)</f>
        <v>255</v>
      </c>
      <c r="BA59" s="33">
        <f>ROUND(坦克等级成长!$D156*VLOOKUP($AX$2,坦克等级成长!$B$36:$G$42,MATCH(BA$3,坦克等级成长!$B$35:$G$35,0)),0)</f>
        <v>879</v>
      </c>
      <c r="BB59" s="33">
        <f t="shared" si="37"/>
        <v>879</v>
      </c>
      <c r="BC59" s="33">
        <v>655.20000000000005</v>
      </c>
      <c r="BD59" s="33">
        <f>ROUND(坦克等级成长!$D156*VLOOKUP($AX$2,坦克等级成长!$B$36:$G$42,MATCH(BD$3,坦克等级成长!$B$35:$G$35,0)),0)</f>
        <v>879</v>
      </c>
      <c r="BE59" s="33">
        <f>ROUND(坦克等级成长!$D156*VLOOKUP($AX$2,坦克等级成长!$B$36:$G$42,MATCH(BE$3,坦克等级成长!$B$35:$G$35,0)),0)</f>
        <v>234</v>
      </c>
      <c r="BF59" s="198">
        <v>6</v>
      </c>
      <c r="BG59" s="33">
        <f>ROUND(坦克等级成长!$F156*VLOOKUP($AX$2,坦克等级成长!$B$36:$G$42,MATCH(BG$3,坦克等级成长!$B$35:$G$35,0)),0)</f>
        <v>2384</v>
      </c>
      <c r="BH59" s="33">
        <f>ROUND(坦克等级成长!$F156*VLOOKUP($AX$2,坦克等级成长!$B$36:$G$42,MATCH(BH$3,坦克等级成长!$B$35:$G$35,0)),0)</f>
        <v>259</v>
      </c>
      <c r="BI59" s="33">
        <f>ROUND(坦克等级成长!$F156*VLOOKUP($AX$2,坦克等级成长!$B$36:$G$42,MATCH(BI$3,坦克等级成长!$B$35:$G$35,0)),0)</f>
        <v>894</v>
      </c>
      <c r="BJ59" s="33">
        <f t="shared" si="9"/>
        <v>894</v>
      </c>
      <c r="BK59" s="33">
        <v>676</v>
      </c>
      <c r="BL59" s="33">
        <f>ROUND(坦克等级成长!$F156*VLOOKUP($AX$2,坦克等级成长!$B$36:$G$42,MATCH(BL$3,坦克等级成长!$B$35:$G$35,0)),0)</f>
        <v>894</v>
      </c>
      <c r="BM59" s="33">
        <f>ROUND(坦克等级成长!$F156*VLOOKUP($AX$2,坦克等级成长!$B$36:$G$42,MATCH(BM$3,坦克等级成长!$B$35:$G$35,0)),0)</f>
        <v>238</v>
      </c>
      <c r="BN59" s="191">
        <v>6</v>
      </c>
      <c r="BO59" s="33">
        <f>ROUND(坦克等级成长!$H156*VLOOKUP($AX$2,坦克等级成长!$B$36:$G$42,MATCH(BO$3,坦克等级成长!$B$35:$G$35,0)),0)</f>
        <v>2424</v>
      </c>
      <c r="BP59" s="33">
        <f>ROUND(坦克等级成长!$H156*VLOOKUP($AX$2,坦克等级成长!$B$36:$G$42,MATCH(BP$3,坦克等级成长!$B$35:$G$35,0)),0)</f>
        <v>264</v>
      </c>
      <c r="BQ59" s="33">
        <f>ROUND(坦克等级成长!$H156*VLOOKUP($AX$2,坦克等级成长!$B$36:$G$42,MATCH(BQ$3,坦克等级成长!$B$35:$G$35,0)),0)</f>
        <v>909</v>
      </c>
      <c r="BR59" s="33">
        <f t="shared" si="23"/>
        <v>909</v>
      </c>
      <c r="BS59" s="33">
        <v>676</v>
      </c>
      <c r="BT59" s="33">
        <f>ROUND(坦克等级成长!$H156*VLOOKUP($AX$2,坦克等级成长!$B$36:$G$42,MATCH(BT$3,坦克等级成长!$B$35:$G$35,0)),0)</f>
        <v>909</v>
      </c>
      <c r="BU59" s="33">
        <f>ROUND(坦克等级成长!$H156*VLOOKUP($AX$2,坦克等级成长!$B$36:$G$42,MATCH(BU$3,坦克等级成长!$B$35:$G$35,0)),0)</f>
        <v>242</v>
      </c>
      <c r="BV59" s="191">
        <v>6</v>
      </c>
      <c r="BW59" s="33">
        <f>ROUND(坦克等级成长!$D156*VLOOKUP($BV$2,坦克等级成长!$B$36:$G$42,MATCH(BW$3,坦克等级成长!$B$35:$G$35,0)),0)</f>
        <v>2470</v>
      </c>
      <c r="BX59" s="33">
        <f>ROUND(坦克等级成长!$D156*VLOOKUP($BV$2,坦克等级成长!$B$36:$G$42,MATCH(BX$3,坦克等级成长!$B$35:$G$35,0)),0)</f>
        <v>233</v>
      </c>
      <c r="BY59" s="33">
        <f>ROUND(坦克等级成长!$D156*VLOOKUP($BV$2,坦克等级成长!$B$36:$G$42,MATCH(BY$3,坦克等级成长!$B$35:$G$35,0)),0)</f>
        <v>837</v>
      </c>
      <c r="BZ59" s="33">
        <f t="shared" si="38"/>
        <v>837</v>
      </c>
      <c r="CA59" s="33">
        <v>668.25</v>
      </c>
      <c r="CB59" s="33">
        <f>ROUND(坦克等级成长!$D156*VLOOKUP($BV$2,坦克等级成长!$B$36:$G$42,MATCH(CB$3,坦克等级成长!$B$35:$G$35,0)),0)</f>
        <v>1055</v>
      </c>
      <c r="CC59" s="33">
        <f>ROUND(坦克等级成长!$D156*VLOOKUP($BV$2,坦克等级成长!$B$36:$G$42,MATCH(CC$3,坦克等级成长!$B$35:$G$35,0)),0)</f>
        <v>247</v>
      </c>
      <c r="CD59" s="198">
        <v>6</v>
      </c>
      <c r="CE59" s="33">
        <f>ROUND(坦克等级成长!$F156*VLOOKUP($BV$2,坦克等级成长!$B$36:$G$42,MATCH(CE$3,坦克等级成长!$B$35:$G$35,0)),0)</f>
        <v>2512</v>
      </c>
      <c r="CF59" s="33">
        <f>ROUND(坦克等级成长!$F156*VLOOKUP($BV$2,坦克等级成长!$B$36:$G$42,MATCH(CF$3,坦克等级成长!$B$35:$G$35,0)),0)</f>
        <v>237</v>
      </c>
      <c r="CG59" s="33">
        <f>ROUND(坦克等级成长!$F156*VLOOKUP($BV$2,坦克等级成长!$B$36:$G$42,MATCH(CG$3,坦克等级成长!$B$35:$G$35,0)),0)</f>
        <v>851</v>
      </c>
      <c r="CH59" s="33">
        <f t="shared" si="10"/>
        <v>851</v>
      </c>
      <c r="CI59" s="33">
        <v>690</v>
      </c>
      <c r="CJ59" s="33">
        <f>ROUND(坦克等级成长!$F156*VLOOKUP($BV$2,坦克等级成长!$B$36:$G$42,MATCH(CJ$3,坦克等级成长!$B$35:$G$35,0)),0)</f>
        <v>1073</v>
      </c>
      <c r="CK59" s="33">
        <f>ROUND(坦克等级成长!$F156*VLOOKUP($BV$2,坦克等级成长!$B$36:$G$42,MATCH(CK$3,坦克等级成长!$B$35:$G$35,0)),0)</f>
        <v>251</v>
      </c>
      <c r="CL59" s="191">
        <v>6</v>
      </c>
      <c r="CM59" s="33">
        <f>ROUND(坦克等级成长!$H156*VLOOKUP($BV$2,坦克等级成长!$B$36:$G$42,MATCH(CM$3,坦克等级成长!$B$35:$G$35,0)),0)</f>
        <v>2554</v>
      </c>
      <c r="CN59" s="33">
        <f>ROUND(坦克等级成长!$H156*VLOOKUP($BV$2,坦克等级成长!$B$36:$G$42,MATCH(CN$3,坦克等级成长!$B$35:$G$35,0)),0)</f>
        <v>241</v>
      </c>
      <c r="CO59" s="33">
        <f>ROUND(坦克等级成长!$H156*VLOOKUP($BV$2,坦克等级成长!$B$36:$G$42,MATCH(CO$3,坦克等级成长!$B$35:$G$35,0)),0)</f>
        <v>866</v>
      </c>
      <c r="CP59" s="33">
        <f t="shared" si="24"/>
        <v>866</v>
      </c>
      <c r="CQ59" s="33">
        <v>690</v>
      </c>
      <c r="CR59" s="33">
        <f>ROUND(坦克等级成长!$H156*VLOOKUP($BV$2,坦克等级成长!$B$36:$G$42,MATCH(CR$3,坦克等级成长!$B$35:$G$35,0)),0)</f>
        <v>1091</v>
      </c>
      <c r="CS59" s="33">
        <f>ROUND(坦克等级成长!$H156*VLOOKUP($BV$2,坦克等级成长!$B$36:$G$42,MATCH(CS$3,坦克等级成长!$B$35:$G$35,0)),0)</f>
        <v>255</v>
      </c>
      <c r="CT59" s="191">
        <v>6</v>
      </c>
      <c r="CU59" s="33">
        <f>ROUND(坦克等级成长!$D156*VLOOKUP($CT$2,坦克等级成长!$B$36:$G$42,MATCH(CU$3,坦克等级成长!$B$35:$G$35,0)),0)</f>
        <v>2344</v>
      </c>
      <c r="CV59" s="33">
        <f>ROUND(坦克等级成长!$D156*VLOOKUP($CT$2,坦克等级成长!$B$36:$G$42,MATCH(CV$3,坦克等级成长!$B$35:$G$35,0)),0)</f>
        <v>532</v>
      </c>
      <c r="CW59" s="33">
        <f>ROUND(坦克等级成长!$D156*VLOOKUP($CT$2,坦克等级成长!$B$36:$G$42,MATCH(CW$3,坦克等级成长!$B$35:$G$35,0)),0)</f>
        <v>1046</v>
      </c>
      <c r="CX59" s="33">
        <f t="shared" si="39"/>
        <v>1046</v>
      </c>
      <c r="CY59" s="33">
        <v>835.5</v>
      </c>
      <c r="CZ59" s="33">
        <f>ROUND(坦克等级成长!$D156*VLOOKUP($CT$2,坦克等级成长!$B$36:$G$42,MATCH(CZ$3,坦克等级成长!$B$35:$G$35,0)),0)</f>
        <v>879</v>
      </c>
      <c r="DA59" s="33">
        <f>ROUND(坦克等级成长!$D156*VLOOKUP($CT$2,坦克等级成长!$B$36:$G$42,MATCH(DA$3,坦克等级成长!$B$35:$G$35,0)),0)</f>
        <v>234</v>
      </c>
      <c r="DB59" s="198">
        <v>6</v>
      </c>
      <c r="DC59" s="33">
        <f>ROUND(坦克等级成长!$F156*VLOOKUP($CT$2,坦克等级成长!$B$36:$G$42,MATCH(DC$3,坦克等级成长!$B$35:$G$35,0)),0)</f>
        <v>2384</v>
      </c>
      <c r="DD59" s="33">
        <f>ROUND(坦克等级成长!$F156*VLOOKUP($CT$2,坦克等级成长!$B$36:$G$42,MATCH(DD$3,坦克等级成长!$B$35:$G$35,0)),0)</f>
        <v>541</v>
      </c>
      <c r="DE59" s="33">
        <f>ROUND(坦克等级成长!$F156*VLOOKUP($CT$2,坦克等级成长!$B$36:$G$42,MATCH(DE$3,坦克等级成长!$B$35:$G$35,0)),0)</f>
        <v>1064</v>
      </c>
      <c r="DF59" s="33">
        <f t="shared" si="11"/>
        <v>1064</v>
      </c>
      <c r="DG59" s="33">
        <v>863</v>
      </c>
      <c r="DH59" s="33">
        <f>ROUND(坦克等级成长!$F156*VLOOKUP($CT$2,坦克等级成长!$B$36:$G$42,MATCH(DH$3,坦克等级成长!$B$35:$G$35,0)),0)</f>
        <v>894</v>
      </c>
      <c r="DI59" s="33">
        <f>ROUND(坦克等级成长!$F156*VLOOKUP($CT$2,坦克等级成长!$B$36:$G$42,MATCH(DI$3,坦克等级成长!$B$35:$G$35,0)),0)</f>
        <v>238</v>
      </c>
      <c r="DJ59" s="191">
        <v>6</v>
      </c>
      <c r="DK59" s="33">
        <f>ROUND(坦克等级成长!$H156*VLOOKUP($CT$2,坦克等级成长!$B$36:$G$42,MATCH(DK$3,坦克等级成长!$B$35:$G$35,0)),0)</f>
        <v>2424</v>
      </c>
      <c r="DL59" s="33">
        <f>ROUND(坦克等级成长!$H156*VLOOKUP($CT$2,坦克等级成长!$B$36:$G$42,MATCH(DL$3,坦克等级成长!$B$35:$G$35,0)),0)</f>
        <v>551</v>
      </c>
      <c r="DM59" s="33">
        <f>ROUND(坦克等级成长!$H156*VLOOKUP($CT$2,坦克等级成长!$B$36:$G$42,MATCH(DM$3,坦克等级成长!$B$35:$G$35,0)),0)</f>
        <v>1082</v>
      </c>
      <c r="DN59" s="33">
        <f t="shared" si="25"/>
        <v>1082</v>
      </c>
      <c r="DO59" s="33">
        <v>863</v>
      </c>
      <c r="DP59" s="33">
        <f>ROUND(坦克等级成长!$H156*VLOOKUP($CT$2,坦克等级成长!$B$36:$G$42,MATCH(DP$3,坦克等级成长!$B$35:$G$35,0)),0)</f>
        <v>909</v>
      </c>
      <c r="DQ59" s="33">
        <f>ROUND(坦克等级成长!$H156*VLOOKUP($CT$2,坦克等级成长!$B$36:$G$42,MATCH(DQ$3,坦克等级成长!$B$35:$G$35,0)),0)</f>
        <v>242</v>
      </c>
      <c r="DR59" s="191">
        <v>6</v>
      </c>
      <c r="DS59" s="33">
        <f>ROUND(坦克等级成长!$D156*VLOOKUP($DR$2,坦克等级成长!$B$36:$G$42,MATCH(DS$3,坦克等级成长!$B$35:$G$35,0)),0)</f>
        <v>2667</v>
      </c>
      <c r="DT59" s="33">
        <f>ROUND(坦克等级成长!$D156*VLOOKUP($DR$2,坦克等级成长!$B$36:$G$42,MATCH(DT$3,坦克等级成长!$B$35:$G$35,0)),0)</f>
        <v>910</v>
      </c>
      <c r="DU59" s="33">
        <f>ROUND(坦克等级成长!$D156*VLOOKUP($DR$2,坦克等级成长!$B$36:$G$42,MATCH(DU$3,坦克等级成长!$B$35:$G$35,0)),0)</f>
        <v>837</v>
      </c>
      <c r="DV59" s="33">
        <f t="shared" si="40"/>
        <v>837</v>
      </c>
      <c r="DW59" s="33">
        <v>712.8</v>
      </c>
      <c r="DX59" s="33">
        <f>ROUND(坦克等级成长!$D156*VLOOKUP($DR$2,坦克等级成长!$B$36:$G$42,MATCH(DX$3,坦克等级成长!$B$35:$G$35,0)),0)</f>
        <v>1231</v>
      </c>
      <c r="DY59" s="33">
        <f>ROUND(坦克等级成长!$D156*VLOOKUP($DR$2,坦克等级成长!$B$36:$G$42,MATCH(DY$3,坦克等级成长!$B$35:$G$35,0)),0)</f>
        <v>267</v>
      </c>
      <c r="DZ59" s="198">
        <v>6</v>
      </c>
      <c r="EA59" s="33">
        <f>ROUND(坦克等级成长!$F156*VLOOKUP($DR$2,坦克等级成长!$B$36:$G$42,MATCH(EA$3,坦克等级成长!$B$35:$G$35,0)),0)</f>
        <v>2712</v>
      </c>
      <c r="EB59" s="33">
        <f>ROUND(坦克等级成长!$F156*VLOOKUP($DR$2,坦克等级成长!$B$36:$G$42,MATCH(EB$3,坦克等级成长!$B$35:$G$35,0)),0)</f>
        <v>925</v>
      </c>
      <c r="EC59" s="33">
        <f>ROUND(坦克等级成长!$F156*VLOOKUP($DR$2,坦克等级成长!$B$36:$G$42,MATCH(EC$3,坦克等级成长!$B$35:$G$35,0)),0)</f>
        <v>851</v>
      </c>
      <c r="ED59" s="33">
        <f t="shared" si="12"/>
        <v>851</v>
      </c>
      <c r="EE59" s="33">
        <v>736</v>
      </c>
      <c r="EF59" s="33">
        <f>ROUND(坦克等级成长!$F156*VLOOKUP($DR$2,坦克等级成长!$B$36:$G$42,MATCH(EF$3,坦克等级成长!$B$35:$G$35,0)),0)</f>
        <v>1252</v>
      </c>
      <c r="EG59" s="33">
        <f>ROUND(坦克等级成长!$F156*VLOOKUP($DR$2,坦克等级成长!$B$36:$G$42,MATCH(EG$3,坦克等级成长!$B$35:$G$35,0)),0)</f>
        <v>271</v>
      </c>
      <c r="EH59" s="191">
        <v>6</v>
      </c>
      <c r="EI59" s="33">
        <f>ROUND(坦克等级成长!$H156*VLOOKUP($DR$2,坦克等级成长!$B$36:$G$42,MATCH(EI$3,坦克等级成长!$B$35:$G$35,0)),0)</f>
        <v>2758</v>
      </c>
      <c r="EJ59" s="33">
        <f>ROUND(坦克等级成长!$H156*VLOOKUP($DR$2,坦克等级成长!$B$36:$G$42,MATCH(EJ$3,坦克等级成长!$B$35:$G$35,0)),0)</f>
        <v>941</v>
      </c>
      <c r="EK59" s="33">
        <f>ROUND(坦克等级成长!$H156*VLOOKUP($DR$2,坦克等级成长!$B$36:$G$42,MATCH(EK$3,坦克等级成长!$B$35:$G$35,0)),0)</f>
        <v>866</v>
      </c>
      <c r="EL59" s="33">
        <f t="shared" si="26"/>
        <v>866</v>
      </c>
      <c r="EM59" s="33">
        <v>736</v>
      </c>
      <c r="EN59" s="33">
        <f>ROUND(坦克等级成长!$H156*VLOOKUP($DR$2,坦克等级成长!$B$36:$G$42,MATCH(EN$3,坦克等级成长!$B$35:$G$35,0)),0)</f>
        <v>1273</v>
      </c>
      <c r="EO59" s="33">
        <f>ROUND(坦克等级成长!$H156*VLOOKUP($DR$2,坦克等级成长!$B$36:$G$42,MATCH(EO$3,坦克等级成长!$B$35:$G$35,0)),0)</f>
        <v>276</v>
      </c>
      <c r="EP59" s="191">
        <v>6</v>
      </c>
      <c r="EQ59" s="33">
        <f>ROUND(坦克等级成长!$D156*VLOOKUP($EP$2,坦克等级成长!$B$36:$G$42,MATCH(EQ$3,坦克等级成长!$B$35:$G$35,0)),0)</f>
        <v>2470</v>
      </c>
      <c r="ER59" s="33">
        <f>ROUND(坦克等级成长!$D156*VLOOKUP($EP$2,坦克等级成长!$B$36:$G$42,MATCH(ER$3,坦克等级成长!$B$35:$G$35,0)),0)</f>
        <v>283</v>
      </c>
      <c r="ES59" s="33">
        <f>ROUND(坦克等级成长!$D156*VLOOKUP($EP$2,坦克等级成长!$B$36:$G$42,MATCH(ES$3,坦克等级成长!$B$35:$G$35,0)),0)</f>
        <v>963</v>
      </c>
      <c r="ET59" s="33">
        <f t="shared" si="41"/>
        <v>963</v>
      </c>
      <c r="EU59" s="33">
        <v>768.75</v>
      </c>
      <c r="EV59" s="33">
        <f>ROUND(坦克等级成长!$D156*VLOOKUP($EP$2,坦克等级成长!$B$36:$G$42,MATCH(EV$3,坦克等级成长!$B$35:$G$35,0)),0)</f>
        <v>1055</v>
      </c>
      <c r="EW59" s="33">
        <f>ROUND(坦克等级成长!$D156*VLOOKUP($EP$2,坦克等级成长!$B$36:$G$42,MATCH(EW$3,坦克等级成长!$B$35:$G$35,0)),0)</f>
        <v>247</v>
      </c>
      <c r="EX59" s="198">
        <v>6</v>
      </c>
      <c r="EY59" s="33">
        <f>ROUND(坦克等级成长!$F156*VLOOKUP($EP$2,坦克等级成长!$B$36:$G$42,MATCH(EY$3,坦克等级成长!$B$35:$G$35,0)),0)</f>
        <v>2512</v>
      </c>
      <c r="EZ59" s="33">
        <f>ROUND(坦克等级成长!$F156*VLOOKUP($EP$2,坦克等级成长!$B$36:$G$42,MATCH(EZ$3,坦克等级成长!$B$35:$G$35,0)),0)</f>
        <v>288</v>
      </c>
      <c r="FA59" s="33">
        <f>ROUND(坦克等级成长!$F156*VLOOKUP($EP$2,坦克等级成长!$B$36:$G$42,MATCH(FA$3,坦克等级成长!$B$35:$G$35,0)),0)</f>
        <v>979</v>
      </c>
      <c r="FB59" s="33">
        <f t="shared" si="13"/>
        <v>979</v>
      </c>
      <c r="FC59" s="33">
        <v>794</v>
      </c>
      <c r="FD59" s="33">
        <f>ROUND(坦克等级成长!$F156*VLOOKUP($EP$2,坦克等级成长!$B$36:$G$42,MATCH(FD$3,坦克等级成长!$B$35:$G$35,0)),0)</f>
        <v>1073</v>
      </c>
      <c r="FE59" s="33">
        <f>ROUND(坦克等级成长!$F156*VLOOKUP($EP$2,坦克等级成长!$B$36:$G$42,MATCH(FE$3,坦克等级成长!$B$35:$G$35,0)),0)</f>
        <v>251</v>
      </c>
      <c r="FF59" s="191">
        <v>6</v>
      </c>
      <c r="FG59" s="33">
        <f>ROUND(坦克等级成长!$H156*VLOOKUP($EP$2,坦克等级成长!$B$36:$G$42,MATCH(FG$3,坦克等级成长!$B$35:$G$35,0)),0)</f>
        <v>2554</v>
      </c>
      <c r="FH59" s="33">
        <f>ROUND(坦克等级成长!$H156*VLOOKUP($EP$2,坦克等级成长!$B$36:$G$42,MATCH(FH$3,坦克等级成长!$B$35:$G$35,0)),0)</f>
        <v>293</v>
      </c>
      <c r="FI59" s="33">
        <f>ROUND(坦克等级成长!$H156*VLOOKUP($EP$2,坦克等级成长!$B$36:$G$42,MATCH(FI$3,坦克等级成长!$B$35:$G$35,0)),0)</f>
        <v>996</v>
      </c>
      <c r="FJ59" s="33">
        <f t="shared" si="27"/>
        <v>996</v>
      </c>
      <c r="FK59" s="33">
        <v>794</v>
      </c>
      <c r="FL59" s="33">
        <f>ROUND(坦克等级成长!$H156*VLOOKUP($EP$2,坦克等级成长!$B$36:$G$42,MATCH(FL$3,坦克等级成长!$B$35:$G$35,0)),0)</f>
        <v>1091</v>
      </c>
      <c r="FM59" s="33">
        <f>ROUND(坦克等级成长!$H156*VLOOKUP($EP$2,坦克等级成长!$B$36:$G$42,MATCH(FM$3,坦克等级成长!$B$35:$G$35,0)),0)</f>
        <v>255</v>
      </c>
    </row>
    <row r="60" spans="1:169" ht="14.25" x14ac:dyDescent="0.3">
      <c r="A60" s="188">
        <v>5</v>
      </c>
      <c r="B60" s="191">
        <v>7</v>
      </c>
      <c r="C60" s="33">
        <f>ROUND(坦克等级成长!$D157*VLOOKUP($B$2,坦克等级成长!$B$36:$G$42,MATCH(C$3,坦克等级成长!$B$35:$G$35,0)),0)</f>
        <v>2432</v>
      </c>
      <c r="D60" s="33">
        <f>ROUND(坦克等级成长!$D157*VLOOKUP($B$2,坦克等级成长!$B$36:$G$42,MATCH(D$3,坦克等级成长!$B$35:$G$35,0)),0)</f>
        <v>265</v>
      </c>
      <c r="E60" s="33">
        <f>ROUND(坦克等级成长!$D157*VLOOKUP($B$2,坦克等级成长!$B$36:$G$42,MATCH(E$3,坦克等级成长!$B$35:$G$35,0)),0)</f>
        <v>912</v>
      </c>
      <c r="F60" s="33">
        <f t="shared" si="35"/>
        <v>912</v>
      </c>
      <c r="G60" s="33">
        <v>680.4</v>
      </c>
      <c r="H60" s="33">
        <f>ROUND(坦克等级成长!$D157*VLOOKUP($B$2,坦克等级成长!$B$36:$G$42,MATCH(H$3,坦克等级成长!$B$35:$G$35,0)),0)</f>
        <v>912</v>
      </c>
      <c r="I60" s="33">
        <f>ROUND(坦克等级成长!$D157*VLOOKUP($B$2,坦克等级成长!$B$36:$G$42,MATCH(I$3,坦克等级成长!$B$35:$G$35,0)),0)</f>
        <v>243</v>
      </c>
      <c r="J60" s="198">
        <v>7</v>
      </c>
      <c r="K60" s="33">
        <f>ROUND(坦克等级成长!$F157*VLOOKUP($B$2,坦克等级成长!$B$36:$G$42,MATCH(K$3,坦克等级成长!$B$35:$G$35,0)),0)</f>
        <v>2472</v>
      </c>
      <c r="L60" s="33">
        <f>ROUND(坦克等级成长!$F157*VLOOKUP($B$2,坦克等级成长!$B$36:$G$42,MATCH(L$3,坦克等级成长!$B$35:$G$35,0)),0)</f>
        <v>269</v>
      </c>
      <c r="M60" s="33">
        <f>ROUND(坦克等级成长!$F157*VLOOKUP($B$2,坦克等级成长!$B$36:$G$42,MATCH(M$3,坦克等级成长!$B$35:$G$35,0)),0)</f>
        <v>927</v>
      </c>
      <c r="N60" s="33">
        <f t="shared" si="7"/>
        <v>927</v>
      </c>
      <c r="O60" s="33">
        <v>701</v>
      </c>
      <c r="P60" s="33">
        <f>ROUND(坦克等级成长!$F157*VLOOKUP($B$2,坦克等级成长!$B$36:$G$42,MATCH(P$3,坦克等级成长!$B$35:$G$35,0)),0)</f>
        <v>927</v>
      </c>
      <c r="Q60" s="33">
        <f>ROUND(坦克等级成长!$F157*VLOOKUP($B$2,坦克等级成长!$B$36:$G$42,MATCH(Q$3,坦克等级成长!$B$35:$G$35,0)),0)</f>
        <v>247</v>
      </c>
      <c r="R60" s="191">
        <v>7</v>
      </c>
      <c r="S60" s="33">
        <f>ROUND(坦克等级成长!$H157*VLOOKUP($B$2,坦克等级成长!$B$36:$G$42,MATCH(S$3,坦克等级成长!$B$35:$G$35,0)),0)</f>
        <v>2512</v>
      </c>
      <c r="T60" s="33">
        <f>ROUND(坦克等级成长!$H157*VLOOKUP($B$2,坦克等级成长!$B$36:$G$42,MATCH(T$3,坦克等级成长!$B$35:$G$35,0)),0)</f>
        <v>273</v>
      </c>
      <c r="U60" s="33">
        <f>ROUND(坦克等级成长!$H157*VLOOKUP($B$2,坦克等级成长!$B$36:$G$42,MATCH(U$3,坦克等级成长!$B$35:$G$35,0)),0)</f>
        <v>942</v>
      </c>
      <c r="V60" s="33">
        <f t="shared" si="21"/>
        <v>942</v>
      </c>
      <c r="W60" s="33">
        <v>701</v>
      </c>
      <c r="X60" s="33">
        <f>ROUND(坦克等级成长!$H157*VLOOKUP($B$2,坦克等级成长!$B$36:$G$42,MATCH(X$3,坦克等级成长!$B$35:$G$35,0)),0)</f>
        <v>942</v>
      </c>
      <c r="Y60" s="33">
        <f>ROUND(坦克等级成长!$H157*VLOOKUP($B$2,坦克等级成长!$B$36:$G$42,MATCH(Y$3,坦克等级成长!$B$35:$G$35,0)),0)</f>
        <v>251</v>
      </c>
      <c r="Z60" s="191">
        <v>7</v>
      </c>
      <c r="AA60" s="33">
        <f>ROUND(坦克等级成长!$D157*VLOOKUP($Z$2,坦克等级成长!$B$36:$G$42,MATCH(AA$3,坦克等级成长!$B$35:$G$35,0)),0)</f>
        <v>2432</v>
      </c>
      <c r="AB60" s="33">
        <f>ROUND(坦克等级成长!$D157*VLOOKUP($Z$2,坦克等级成长!$B$36:$G$42,MATCH(AB$3,坦克等级成长!$B$35:$G$35,0)),0)</f>
        <v>143</v>
      </c>
      <c r="AC60" s="33">
        <f>ROUND(坦克等级成长!$D157*VLOOKUP($Z$2,坦克等级成长!$B$36:$G$42,MATCH(AC$3,坦克等级成长!$B$35:$G$35,0)),0)</f>
        <v>999</v>
      </c>
      <c r="AD60" s="33">
        <f t="shared" si="36"/>
        <v>999</v>
      </c>
      <c r="AE60" s="33">
        <v>745.5</v>
      </c>
      <c r="AF60" s="33">
        <f>ROUND(坦克等级成长!$D157*VLOOKUP($Z$2,坦克等级成长!$B$36:$G$42,MATCH(AF$3,坦克等级成长!$B$35:$G$35,0)),0)</f>
        <v>912</v>
      </c>
      <c r="AG60" s="33">
        <f>ROUND(坦克等级成长!$D157*VLOOKUP($Z$2,坦克等级成长!$B$36:$G$42,MATCH(AG$3,坦克等级成长!$B$35:$G$35,0)),0)</f>
        <v>243</v>
      </c>
      <c r="AH60" s="198">
        <v>7</v>
      </c>
      <c r="AI60" s="33">
        <f>ROUND(坦克等级成长!$F157*VLOOKUP($Z$2,坦克等级成长!$B$36:$G$42,MATCH(AI$3,坦克等级成长!$B$35:$G$35,0)),0)</f>
        <v>2472</v>
      </c>
      <c r="AJ60" s="33">
        <f>ROUND(坦克等级成长!$F157*VLOOKUP($Z$2,坦克等级成长!$B$36:$G$42,MATCH(AJ$3,坦克等级成长!$B$35:$G$35,0)),0)</f>
        <v>146</v>
      </c>
      <c r="AK60" s="33">
        <f>ROUND(坦克等级成长!$F157*VLOOKUP($Z$2,坦克等级成长!$B$36:$G$42,MATCH(AK$3,坦克等级成长!$B$35:$G$35,0)),0)</f>
        <v>1015</v>
      </c>
      <c r="AL60" s="33">
        <f t="shared" si="8"/>
        <v>1015</v>
      </c>
      <c r="AM60" s="33">
        <v>768</v>
      </c>
      <c r="AN60" s="33">
        <f>ROUND(坦克等级成长!$F157*VLOOKUP($Z$2,坦克等级成长!$B$36:$G$42,MATCH(AN$3,坦克等级成长!$B$35:$G$35,0)),0)</f>
        <v>927</v>
      </c>
      <c r="AO60" s="33">
        <f>ROUND(坦克等级成长!$F157*VLOOKUP($Z$2,坦克等级成长!$B$36:$G$42,MATCH(AO$3,坦克等级成长!$B$35:$G$35,0)),0)</f>
        <v>247</v>
      </c>
      <c r="AP60" s="191">
        <v>7</v>
      </c>
      <c r="AQ60" s="33">
        <f>ROUND(坦克等级成长!$H157*VLOOKUP($Z$2,坦克等级成长!$B$36:$G$42,MATCH(AQ$3,坦克等级成长!$B$35:$G$35,0)),0)</f>
        <v>2512</v>
      </c>
      <c r="AR60" s="33">
        <f>ROUND(坦克等级成长!$H157*VLOOKUP($Z$2,坦克等级成长!$B$36:$G$42,MATCH(AR$3,坦克等级成长!$B$35:$G$35,0)),0)</f>
        <v>148</v>
      </c>
      <c r="AS60" s="33">
        <f>ROUND(坦克等级成长!$H157*VLOOKUP($Z$2,坦克等级成长!$B$36:$G$42,MATCH(AS$3,坦克等级成长!$B$35:$G$35,0)),0)</f>
        <v>1032</v>
      </c>
      <c r="AT60" s="33">
        <f t="shared" si="22"/>
        <v>1032</v>
      </c>
      <c r="AU60" s="33">
        <v>768</v>
      </c>
      <c r="AV60" s="33">
        <f>ROUND(坦克等级成长!$H157*VLOOKUP($Z$2,坦克等级成长!$B$36:$G$42,MATCH(AV$3,坦克等级成长!$B$35:$G$35,0)),0)</f>
        <v>942</v>
      </c>
      <c r="AW60" s="33">
        <f>ROUND(坦克等级成长!$H157*VLOOKUP($Z$2,坦克等级成长!$B$36:$G$42,MATCH(AW$3,坦克等级成长!$B$35:$G$35,0)),0)</f>
        <v>251</v>
      </c>
      <c r="AX60" s="191">
        <v>7</v>
      </c>
      <c r="AY60" s="33">
        <f>ROUND(坦克等级成长!$D157*VLOOKUP($AX$2,坦克等级成长!$B$36:$G$42,MATCH(AY$3,坦克等级成长!$B$35:$G$35,0)),0)</f>
        <v>2432</v>
      </c>
      <c r="AZ60" s="33">
        <f>ROUND(坦克等级成长!$D157*VLOOKUP($AX$2,坦克等级成长!$B$36:$G$42,MATCH(AZ$3,坦克等级成长!$B$35:$G$35,0)),0)</f>
        <v>265</v>
      </c>
      <c r="BA60" s="33">
        <f>ROUND(坦克等级成长!$D157*VLOOKUP($AX$2,坦克等级成长!$B$36:$G$42,MATCH(BA$3,坦克等级成长!$B$35:$G$35,0)),0)</f>
        <v>912</v>
      </c>
      <c r="BB60" s="33">
        <f t="shared" si="37"/>
        <v>912</v>
      </c>
      <c r="BC60" s="33">
        <v>680.4</v>
      </c>
      <c r="BD60" s="33">
        <f>ROUND(坦克等级成长!$D157*VLOOKUP($AX$2,坦克等级成长!$B$36:$G$42,MATCH(BD$3,坦克等级成长!$B$35:$G$35,0)),0)</f>
        <v>912</v>
      </c>
      <c r="BE60" s="33">
        <f>ROUND(坦克等级成长!$D157*VLOOKUP($AX$2,坦克等级成长!$B$36:$G$42,MATCH(BE$3,坦克等级成长!$B$35:$G$35,0)),0)</f>
        <v>243</v>
      </c>
      <c r="BF60" s="198">
        <v>7</v>
      </c>
      <c r="BG60" s="33">
        <f>ROUND(坦克等级成长!$F157*VLOOKUP($AX$2,坦克等级成长!$B$36:$G$42,MATCH(BG$3,坦克等级成长!$B$35:$G$35,0)),0)</f>
        <v>2472</v>
      </c>
      <c r="BH60" s="33">
        <f>ROUND(坦克等级成长!$F157*VLOOKUP($AX$2,坦克等级成长!$B$36:$G$42,MATCH(BH$3,坦克等级成长!$B$35:$G$35,0)),0)</f>
        <v>269</v>
      </c>
      <c r="BI60" s="33">
        <f>ROUND(坦克等级成长!$F157*VLOOKUP($AX$2,坦克等级成长!$B$36:$G$42,MATCH(BI$3,坦克等级成长!$B$35:$G$35,0)),0)</f>
        <v>927</v>
      </c>
      <c r="BJ60" s="33">
        <f t="shared" si="9"/>
        <v>927</v>
      </c>
      <c r="BK60" s="33">
        <v>701</v>
      </c>
      <c r="BL60" s="33">
        <f>ROUND(坦克等级成长!$F157*VLOOKUP($AX$2,坦克等级成长!$B$36:$G$42,MATCH(BL$3,坦克等级成长!$B$35:$G$35,0)),0)</f>
        <v>927</v>
      </c>
      <c r="BM60" s="33">
        <f>ROUND(坦克等级成长!$F157*VLOOKUP($AX$2,坦克等级成长!$B$36:$G$42,MATCH(BM$3,坦克等级成长!$B$35:$G$35,0)),0)</f>
        <v>247</v>
      </c>
      <c r="BN60" s="191">
        <v>7</v>
      </c>
      <c r="BO60" s="33">
        <f>ROUND(坦克等级成长!$H157*VLOOKUP($AX$2,坦克等级成长!$B$36:$G$42,MATCH(BO$3,坦克等级成长!$B$35:$G$35,0)),0)</f>
        <v>2512</v>
      </c>
      <c r="BP60" s="33">
        <f>ROUND(坦克等级成长!$H157*VLOOKUP($AX$2,坦克等级成长!$B$36:$G$42,MATCH(BP$3,坦克等级成长!$B$35:$G$35,0)),0)</f>
        <v>273</v>
      </c>
      <c r="BQ60" s="33">
        <f>ROUND(坦克等级成长!$H157*VLOOKUP($AX$2,坦克等级成长!$B$36:$G$42,MATCH(BQ$3,坦克等级成长!$B$35:$G$35,0)),0)</f>
        <v>942</v>
      </c>
      <c r="BR60" s="33">
        <f t="shared" si="23"/>
        <v>942</v>
      </c>
      <c r="BS60" s="33">
        <v>701</v>
      </c>
      <c r="BT60" s="33">
        <f>ROUND(坦克等级成长!$H157*VLOOKUP($AX$2,坦克等级成长!$B$36:$G$42,MATCH(BT$3,坦克等级成长!$B$35:$G$35,0)),0)</f>
        <v>942</v>
      </c>
      <c r="BU60" s="33">
        <f>ROUND(坦克等级成长!$H157*VLOOKUP($AX$2,坦克等级成长!$B$36:$G$42,MATCH(BU$3,坦克等级成长!$B$35:$G$35,0)),0)</f>
        <v>251</v>
      </c>
      <c r="BV60" s="191">
        <v>7</v>
      </c>
      <c r="BW60" s="33">
        <f>ROUND(坦克等级成长!$D157*VLOOKUP($BV$2,坦克等级成长!$B$36:$G$42,MATCH(BW$3,坦克等级成长!$B$35:$G$35,0)),0)</f>
        <v>2563</v>
      </c>
      <c r="BX60" s="33">
        <f>ROUND(坦克等级成长!$D157*VLOOKUP($BV$2,坦克等级成长!$B$36:$G$42,MATCH(BX$3,坦克等级成长!$B$35:$G$35,0)),0)</f>
        <v>242</v>
      </c>
      <c r="BY60" s="33">
        <f>ROUND(坦克等级成长!$D157*VLOOKUP($BV$2,坦克等级成长!$B$36:$G$42,MATCH(BY$3,坦克等级成长!$B$35:$G$35,0)),0)</f>
        <v>869</v>
      </c>
      <c r="BZ60" s="33">
        <f t="shared" si="38"/>
        <v>869</v>
      </c>
      <c r="CA60" s="33">
        <v>694.5</v>
      </c>
      <c r="CB60" s="33">
        <f>ROUND(坦克等级成长!$D157*VLOOKUP($BV$2,坦克等级成长!$B$36:$G$42,MATCH(CB$3,坦克等级成长!$B$35:$G$35,0)),0)</f>
        <v>1094</v>
      </c>
      <c r="CC60" s="33">
        <f>ROUND(坦克等级成长!$D157*VLOOKUP($BV$2,坦克等级成长!$B$36:$G$42,MATCH(CC$3,坦克等级成长!$B$35:$G$35,0)),0)</f>
        <v>256</v>
      </c>
      <c r="CD60" s="198">
        <v>7</v>
      </c>
      <c r="CE60" s="33">
        <f>ROUND(坦克等级成长!$F157*VLOOKUP($BV$2,坦克等级成长!$B$36:$G$42,MATCH(CE$3,坦克等级成长!$B$35:$G$35,0)),0)</f>
        <v>2605</v>
      </c>
      <c r="CF60" s="33">
        <f>ROUND(坦克等级成长!$F157*VLOOKUP($BV$2,坦克等级成长!$B$36:$G$42,MATCH(CF$3,坦克等级成长!$B$35:$G$35,0)),0)</f>
        <v>246</v>
      </c>
      <c r="CG60" s="33">
        <f>ROUND(坦克等级成长!$F157*VLOOKUP($BV$2,坦克等级成长!$B$36:$G$42,MATCH(CG$3,坦克等级成长!$B$35:$G$35,0)),0)</f>
        <v>883</v>
      </c>
      <c r="CH60" s="33">
        <f t="shared" si="10"/>
        <v>883</v>
      </c>
      <c r="CI60" s="33">
        <v>716</v>
      </c>
      <c r="CJ60" s="33">
        <f>ROUND(坦克等级成长!$F157*VLOOKUP($BV$2,坦克等级成长!$B$36:$G$42,MATCH(CJ$3,坦克等级成长!$B$35:$G$35,0)),0)</f>
        <v>1112</v>
      </c>
      <c r="CK60" s="33">
        <f>ROUND(坦克等级成长!$F157*VLOOKUP($BV$2,坦克等级成长!$B$36:$G$42,MATCH(CK$3,坦克等级成长!$B$35:$G$35,0)),0)</f>
        <v>260</v>
      </c>
      <c r="CL60" s="191">
        <v>7</v>
      </c>
      <c r="CM60" s="33">
        <f>ROUND(坦克等级成长!$H157*VLOOKUP($BV$2,坦克等级成长!$B$36:$G$42,MATCH(CM$3,坦克等级成长!$B$35:$G$35,0)),0)</f>
        <v>2647</v>
      </c>
      <c r="CN60" s="33">
        <f>ROUND(坦克等级成长!$H157*VLOOKUP($BV$2,坦克等级成长!$B$36:$G$42,MATCH(CN$3,坦克等级成长!$B$35:$G$35,0)),0)</f>
        <v>250</v>
      </c>
      <c r="CO60" s="33">
        <f>ROUND(坦克等级成长!$H157*VLOOKUP($BV$2,坦克等级成长!$B$36:$G$42,MATCH(CO$3,坦克等级成长!$B$35:$G$35,0)),0)</f>
        <v>897</v>
      </c>
      <c r="CP60" s="33">
        <f t="shared" si="24"/>
        <v>897</v>
      </c>
      <c r="CQ60" s="33">
        <v>716</v>
      </c>
      <c r="CR60" s="33">
        <f>ROUND(坦克等级成长!$H157*VLOOKUP($BV$2,坦克等级成长!$B$36:$G$42,MATCH(CR$3,坦克等级成长!$B$35:$G$35,0)),0)</f>
        <v>1130</v>
      </c>
      <c r="CS60" s="33">
        <f>ROUND(坦克等级成长!$H157*VLOOKUP($BV$2,坦克等级成长!$B$36:$G$42,MATCH(CS$3,坦克等级成长!$B$35:$G$35,0)),0)</f>
        <v>265</v>
      </c>
      <c r="CT60" s="191">
        <v>7</v>
      </c>
      <c r="CU60" s="33">
        <f>ROUND(坦克等级成长!$D157*VLOOKUP($CT$2,坦克等级成长!$B$36:$G$42,MATCH(CU$3,坦克等级成长!$B$35:$G$35,0)),0)</f>
        <v>2432</v>
      </c>
      <c r="CV60" s="33">
        <f>ROUND(坦克等级成长!$D157*VLOOKUP($CT$2,坦克等级成长!$B$36:$G$42,MATCH(CV$3,坦克等级成长!$B$35:$G$35,0)),0)</f>
        <v>552</v>
      </c>
      <c r="CW60" s="33">
        <f>ROUND(坦克等级成长!$D157*VLOOKUP($CT$2,坦克等级成长!$B$36:$G$42,MATCH(CW$3,坦克等级成长!$B$35:$G$35,0)),0)</f>
        <v>1086</v>
      </c>
      <c r="CX60" s="33">
        <f t="shared" si="39"/>
        <v>1086</v>
      </c>
      <c r="CY60" s="33">
        <v>867.75</v>
      </c>
      <c r="CZ60" s="33">
        <f>ROUND(坦克等级成长!$D157*VLOOKUP($CT$2,坦克等级成长!$B$36:$G$42,MATCH(CZ$3,坦克等级成长!$B$35:$G$35,0)),0)</f>
        <v>912</v>
      </c>
      <c r="DA60" s="33">
        <f>ROUND(坦克等级成长!$D157*VLOOKUP($CT$2,坦克等级成长!$B$36:$G$42,MATCH(DA$3,坦克等级成长!$B$35:$G$35,0)),0)</f>
        <v>243</v>
      </c>
      <c r="DB60" s="198">
        <v>7</v>
      </c>
      <c r="DC60" s="33">
        <f>ROUND(坦克等级成长!$F157*VLOOKUP($CT$2,坦克等级成长!$B$36:$G$42,MATCH(DC$3,坦克等级成长!$B$35:$G$35,0)),0)</f>
        <v>2472</v>
      </c>
      <c r="DD60" s="33">
        <f>ROUND(坦克等级成长!$F157*VLOOKUP($CT$2,坦克等级成长!$B$36:$G$42,MATCH(DD$3,坦克等级成长!$B$35:$G$35,0)),0)</f>
        <v>561</v>
      </c>
      <c r="DE60" s="33">
        <f>ROUND(坦克等级成长!$F157*VLOOKUP($CT$2,坦克等级成长!$B$36:$G$42,MATCH(DE$3,坦克等级成长!$B$35:$G$35,0)),0)</f>
        <v>1104</v>
      </c>
      <c r="DF60" s="33">
        <f t="shared" si="11"/>
        <v>1104</v>
      </c>
      <c r="DG60" s="33">
        <v>895</v>
      </c>
      <c r="DH60" s="33">
        <f>ROUND(坦克等级成长!$F157*VLOOKUP($CT$2,坦克等级成长!$B$36:$G$42,MATCH(DH$3,坦克等级成长!$B$35:$G$35,0)),0)</f>
        <v>927</v>
      </c>
      <c r="DI60" s="33">
        <f>ROUND(坦克等级成长!$F157*VLOOKUP($CT$2,坦克等级成长!$B$36:$G$42,MATCH(DI$3,坦克等级成长!$B$35:$G$35,0)),0)</f>
        <v>247</v>
      </c>
      <c r="DJ60" s="191">
        <v>7</v>
      </c>
      <c r="DK60" s="33">
        <f>ROUND(坦克等级成长!$H157*VLOOKUP($CT$2,坦克等级成长!$B$36:$G$42,MATCH(DK$3,坦克等级成长!$B$35:$G$35,0)),0)</f>
        <v>2512</v>
      </c>
      <c r="DL60" s="33">
        <f>ROUND(坦克等级成长!$H157*VLOOKUP($CT$2,坦克等级成长!$B$36:$G$42,MATCH(DL$3,坦克等级成长!$B$35:$G$35,0)),0)</f>
        <v>571</v>
      </c>
      <c r="DM60" s="33">
        <f>ROUND(坦克等级成长!$H157*VLOOKUP($CT$2,坦克等级成长!$B$36:$G$42,MATCH(DM$3,坦克等级成长!$B$35:$G$35,0)),0)</f>
        <v>1121</v>
      </c>
      <c r="DN60" s="33">
        <f t="shared" si="25"/>
        <v>1121</v>
      </c>
      <c r="DO60" s="33">
        <v>895</v>
      </c>
      <c r="DP60" s="33">
        <f>ROUND(坦克等级成长!$H157*VLOOKUP($CT$2,坦克等级成长!$B$36:$G$42,MATCH(DP$3,坦克等级成长!$B$35:$G$35,0)),0)</f>
        <v>942</v>
      </c>
      <c r="DQ60" s="33">
        <f>ROUND(坦克等级成长!$H157*VLOOKUP($CT$2,坦克等级成长!$B$36:$G$42,MATCH(DQ$3,坦克等级成长!$B$35:$G$35,0)),0)</f>
        <v>251</v>
      </c>
      <c r="DR60" s="191">
        <v>7</v>
      </c>
      <c r="DS60" s="33">
        <f>ROUND(坦克等级成长!$D157*VLOOKUP($DR$2,坦克等级成长!$B$36:$G$42,MATCH(DS$3,坦克等级成长!$B$35:$G$35,0)),0)</f>
        <v>2767</v>
      </c>
      <c r="DT60" s="33">
        <f>ROUND(坦克等级成长!$D157*VLOOKUP($DR$2,坦克等级成长!$B$36:$G$42,MATCH(DT$3,坦克等级成长!$B$35:$G$35,0)),0)</f>
        <v>944</v>
      </c>
      <c r="DU60" s="33">
        <f>ROUND(坦克等级成长!$D157*VLOOKUP($DR$2,坦克等级成长!$B$36:$G$42,MATCH(DU$3,坦克等级成长!$B$35:$G$35,0)),0)</f>
        <v>869</v>
      </c>
      <c r="DV60" s="33">
        <f t="shared" si="40"/>
        <v>869</v>
      </c>
      <c r="DW60" s="33">
        <v>740.8</v>
      </c>
      <c r="DX60" s="33">
        <f>ROUND(坦克等级成长!$D157*VLOOKUP($DR$2,坦克等级成长!$B$36:$G$42,MATCH(DX$3,坦克等级成长!$B$35:$G$35,0)),0)</f>
        <v>1277</v>
      </c>
      <c r="DY60" s="33">
        <f>ROUND(坦克等级成长!$D157*VLOOKUP($DR$2,坦克等级成长!$B$36:$G$42,MATCH(DY$3,坦克等级成长!$B$35:$G$35,0)),0)</f>
        <v>277</v>
      </c>
      <c r="DZ60" s="198">
        <v>7</v>
      </c>
      <c r="EA60" s="33">
        <f>ROUND(坦克等级成长!$F157*VLOOKUP($DR$2,坦克等级成长!$B$36:$G$42,MATCH(EA$3,坦克等级成长!$B$35:$G$35,0)),0)</f>
        <v>2812</v>
      </c>
      <c r="EB60" s="33">
        <f>ROUND(坦克等级成长!$F157*VLOOKUP($DR$2,坦克等级成长!$B$36:$G$42,MATCH(EB$3,坦克等级成长!$B$35:$G$35,0)),0)</f>
        <v>959</v>
      </c>
      <c r="EC60" s="33">
        <f>ROUND(坦克等级成长!$F157*VLOOKUP($DR$2,坦克等级成长!$B$36:$G$42,MATCH(EC$3,坦克等级成长!$B$35:$G$35,0)),0)</f>
        <v>883</v>
      </c>
      <c r="ED60" s="33">
        <f t="shared" si="12"/>
        <v>883</v>
      </c>
      <c r="EE60" s="33">
        <v>763</v>
      </c>
      <c r="EF60" s="33">
        <f>ROUND(坦克等级成长!$F157*VLOOKUP($DR$2,坦克等级成长!$B$36:$G$42,MATCH(EF$3,坦克等级成长!$B$35:$G$35,0)),0)</f>
        <v>1298</v>
      </c>
      <c r="EG60" s="33">
        <f>ROUND(坦克等级成长!$F157*VLOOKUP($DR$2,坦克等级成长!$B$36:$G$42,MATCH(EG$3,坦克等级成长!$B$35:$G$35,0)),0)</f>
        <v>281</v>
      </c>
      <c r="EH60" s="191">
        <v>7</v>
      </c>
      <c r="EI60" s="33">
        <f>ROUND(坦克等级成长!$H157*VLOOKUP($DR$2,坦克等级成长!$B$36:$G$42,MATCH(EI$3,坦克等级成长!$B$35:$G$35,0)),0)</f>
        <v>2858</v>
      </c>
      <c r="EJ60" s="33">
        <f>ROUND(坦克等级成长!$H157*VLOOKUP($DR$2,坦克等级成长!$B$36:$G$42,MATCH(EJ$3,坦克等级成长!$B$35:$G$35,0)),0)</f>
        <v>975</v>
      </c>
      <c r="EK60" s="33">
        <f>ROUND(坦克等级成长!$H157*VLOOKUP($DR$2,坦克等级成长!$B$36:$G$42,MATCH(EK$3,坦克等级成长!$B$35:$G$35,0)),0)</f>
        <v>897</v>
      </c>
      <c r="EL60" s="33">
        <f t="shared" si="26"/>
        <v>897</v>
      </c>
      <c r="EM60" s="33">
        <v>763</v>
      </c>
      <c r="EN60" s="33">
        <f>ROUND(坦克等级成长!$H157*VLOOKUP($DR$2,坦克等级成长!$B$36:$G$42,MATCH(EN$3,坦克等级成长!$B$35:$G$35,0)),0)</f>
        <v>1319</v>
      </c>
      <c r="EO60" s="33">
        <f>ROUND(坦克等级成长!$H157*VLOOKUP($DR$2,坦克等级成长!$B$36:$G$42,MATCH(EO$3,坦克等级成长!$B$35:$G$35,0)),0)</f>
        <v>286</v>
      </c>
      <c r="EP60" s="191">
        <v>7</v>
      </c>
      <c r="EQ60" s="33">
        <f>ROUND(坦克等级成长!$D157*VLOOKUP($EP$2,坦克等级成长!$B$36:$G$42,MATCH(EQ$3,坦克等级成长!$B$35:$G$35,0)),0)</f>
        <v>2563</v>
      </c>
      <c r="ER60" s="33">
        <f>ROUND(坦克等级成长!$D157*VLOOKUP($EP$2,坦克等级成长!$B$36:$G$42,MATCH(ER$3,坦克等级成长!$B$35:$G$35,0)),0)</f>
        <v>294</v>
      </c>
      <c r="ES60" s="33">
        <f>ROUND(坦克等级成长!$D157*VLOOKUP($EP$2,坦克等级成长!$B$36:$G$42,MATCH(ES$3,坦克等级成长!$B$35:$G$35,0)),0)</f>
        <v>999</v>
      </c>
      <c r="ET60" s="33">
        <f t="shared" si="41"/>
        <v>999</v>
      </c>
      <c r="EU60" s="33">
        <v>798.75</v>
      </c>
      <c r="EV60" s="33">
        <f>ROUND(坦克等级成长!$D157*VLOOKUP($EP$2,坦克等级成长!$B$36:$G$42,MATCH(EV$3,坦克等级成长!$B$35:$G$35,0)),0)</f>
        <v>1094</v>
      </c>
      <c r="EW60" s="33">
        <f>ROUND(坦克等级成长!$D157*VLOOKUP($EP$2,坦克等级成长!$B$36:$G$42,MATCH(EW$3,坦克等级成长!$B$35:$G$35,0)),0)</f>
        <v>256</v>
      </c>
      <c r="EX60" s="198">
        <v>7</v>
      </c>
      <c r="EY60" s="33">
        <f>ROUND(坦克等级成长!$F157*VLOOKUP($EP$2,坦克等级成长!$B$36:$G$42,MATCH(EY$3,坦克等级成长!$B$35:$G$35,0)),0)</f>
        <v>2605</v>
      </c>
      <c r="EZ60" s="33">
        <f>ROUND(坦克等级成长!$F157*VLOOKUP($EP$2,坦克等级成长!$B$36:$G$42,MATCH(EZ$3,坦克等级成长!$B$35:$G$35,0)),0)</f>
        <v>298</v>
      </c>
      <c r="FA60" s="33">
        <f>ROUND(坦克等级成长!$F157*VLOOKUP($EP$2,坦克等级成长!$B$36:$G$42,MATCH(FA$3,坦克等级成长!$B$35:$G$35,0)),0)</f>
        <v>1015</v>
      </c>
      <c r="FB60" s="33">
        <f t="shared" si="13"/>
        <v>1015</v>
      </c>
      <c r="FC60" s="33">
        <v>823</v>
      </c>
      <c r="FD60" s="33">
        <f>ROUND(坦克等级成长!$F157*VLOOKUP($EP$2,坦克等级成长!$B$36:$G$42,MATCH(FD$3,坦克等级成长!$B$35:$G$35,0)),0)</f>
        <v>1112</v>
      </c>
      <c r="FE60" s="33">
        <f>ROUND(坦克等级成长!$F157*VLOOKUP($EP$2,坦克等级成长!$B$36:$G$42,MATCH(FE$3,坦克等级成长!$B$35:$G$35,0)),0)</f>
        <v>260</v>
      </c>
      <c r="FF60" s="191">
        <v>7</v>
      </c>
      <c r="FG60" s="33">
        <f>ROUND(坦克等级成长!$H157*VLOOKUP($EP$2,坦克等级成长!$B$36:$G$42,MATCH(FG$3,坦克等级成长!$B$35:$G$35,0)),0)</f>
        <v>2647</v>
      </c>
      <c r="FH60" s="33">
        <f>ROUND(坦克等级成长!$H157*VLOOKUP($EP$2,坦克等级成长!$B$36:$G$42,MATCH(FH$3,坦克等级成长!$B$35:$G$35,0)),0)</f>
        <v>303</v>
      </c>
      <c r="FI60" s="33">
        <f>ROUND(坦克等级成长!$H157*VLOOKUP($EP$2,坦克等级成长!$B$36:$G$42,MATCH(FI$3,坦克等级成长!$B$35:$G$35,0)),0)</f>
        <v>1032</v>
      </c>
      <c r="FJ60" s="33">
        <f t="shared" si="27"/>
        <v>1032</v>
      </c>
      <c r="FK60" s="33">
        <v>823</v>
      </c>
      <c r="FL60" s="33">
        <f>ROUND(坦克等级成长!$H157*VLOOKUP($EP$2,坦克等级成长!$B$36:$G$42,MATCH(FL$3,坦克等级成长!$B$35:$G$35,0)),0)</f>
        <v>1130</v>
      </c>
      <c r="FM60" s="33">
        <f>ROUND(坦克等级成长!$H157*VLOOKUP($EP$2,坦克等级成长!$B$36:$G$42,MATCH(FM$3,坦克等级成长!$B$35:$G$35,0)),0)</f>
        <v>265</v>
      </c>
    </row>
    <row r="61" spans="1:169" ht="14.25" x14ac:dyDescent="0.3">
      <c r="A61" s="188">
        <v>5</v>
      </c>
      <c r="B61" s="191">
        <v>8</v>
      </c>
      <c r="C61" s="33">
        <f>ROUND(坦克等级成长!$D158*VLOOKUP($B$2,坦克等级成长!$B$36:$G$42,MATCH(C$3,坦克等级成长!$B$35:$G$35,0)),0)</f>
        <v>2520</v>
      </c>
      <c r="D61" s="33">
        <f>ROUND(坦克等级成长!$D158*VLOOKUP($B$2,坦克等级成长!$B$36:$G$42,MATCH(D$3,坦克等级成长!$B$35:$G$35,0)),0)</f>
        <v>274</v>
      </c>
      <c r="E61" s="33">
        <f>ROUND(坦克等级成长!$D158*VLOOKUP($B$2,坦克等级成长!$B$36:$G$42,MATCH(E$3,坦克等级成长!$B$35:$G$35,0)),0)</f>
        <v>945</v>
      </c>
      <c r="F61" s="33">
        <f t="shared" si="35"/>
        <v>945</v>
      </c>
      <c r="G61" s="33">
        <v>705.6</v>
      </c>
      <c r="H61" s="33">
        <f>ROUND(坦克等级成长!$D158*VLOOKUP($B$2,坦克等级成长!$B$36:$G$42,MATCH(H$3,坦克等级成长!$B$35:$G$35,0)),0)</f>
        <v>945</v>
      </c>
      <c r="I61" s="33">
        <f>ROUND(坦克等级成长!$D158*VLOOKUP($B$2,坦克等级成长!$B$36:$G$42,MATCH(I$3,坦克等级成长!$B$35:$G$35,0)),0)</f>
        <v>252</v>
      </c>
      <c r="J61" s="198">
        <v>8</v>
      </c>
      <c r="K61" s="33">
        <f>ROUND(坦克等级成长!$F158*VLOOKUP($B$2,坦克等级成长!$B$36:$G$42,MATCH(K$3,坦克等级成长!$B$35:$G$35,0)),0)</f>
        <v>2560</v>
      </c>
      <c r="L61" s="33">
        <f>ROUND(坦克等级成长!$F158*VLOOKUP($B$2,坦克等级成长!$B$36:$G$42,MATCH(L$3,坦克等级成长!$B$35:$G$35,0)),0)</f>
        <v>278</v>
      </c>
      <c r="M61" s="33">
        <f>ROUND(坦克等级成长!$F158*VLOOKUP($B$2,坦克等级成长!$B$36:$G$42,MATCH(M$3,坦克等级成长!$B$35:$G$35,0)),0)</f>
        <v>960</v>
      </c>
      <c r="N61" s="33">
        <f t="shared" si="7"/>
        <v>960</v>
      </c>
      <c r="O61" s="33">
        <v>727</v>
      </c>
      <c r="P61" s="33">
        <f>ROUND(坦克等级成长!$F158*VLOOKUP($B$2,坦克等级成长!$B$36:$G$42,MATCH(P$3,坦克等级成长!$B$35:$G$35,0)),0)</f>
        <v>960</v>
      </c>
      <c r="Q61" s="33">
        <f>ROUND(坦克等级成长!$F158*VLOOKUP($B$2,坦克等级成长!$B$36:$G$42,MATCH(Q$3,坦克等级成长!$B$35:$G$35,0)),0)</f>
        <v>256</v>
      </c>
      <c r="R61" s="191">
        <v>8</v>
      </c>
      <c r="S61" s="33">
        <f>ROUND(坦克等级成长!$H158*VLOOKUP($B$2,坦克等级成长!$B$36:$G$42,MATCH(S$3,坦克等级成长!$B$35:$G$35,0)),0)</f>
        <v>2600</v>
      </c>
      <c r="T61" s="33">
        <f>ROUND(坦克等级成长!$H158*VLOOKUP($B$2,坦克等级成长!$B$36:$G$42,MATCH(T$3,坦克等级成长!$B$35:$G$35,0)),0)</f>
        <v>283</v>
      </c>
      <c r="U61" s="33">
        <f>ROUND(坦克等级成长!$H158*VLOOKUP($B$2,坦克等级成长!$B$36:$G$42,MATCH(U$3,坦克等级成长!$B$35:$G$35,0)),0)</f>
        <v>975</v>
      </c>
      <c r="V61" s="33">
        <f t="shared" si="21"/>
        <v>975</v>
      </c>
      <c r="W61" s="33">
        <v>727</v>
      </c>
      <c r="X61" s="33">
        <f>ROUND(坦克等级成长!$H158*VLOOKUP($B$2,坦克等级成长!$B$36:$G$42,MATCH(X$3,坦克等级成长!$B$35:$G$35,0)),0)</f>
        <v>975</v>
      </c>
      <c r="Y61" s="33">
        <f>ROUND(坦克等级成长!$H158*VLOOKUP($B$2,坦克等级成长!$B$36:$G$42,MATCH(Y$3,坦克等级成长!$B$35:$G$35,0)),0)</f>
        <v>260</v>
      </c>
      <c r="Z61" s="191">
        <v>8</v>
      </c>
      <c r="AA61" s="33">
        <f>ROUND(坦克等级成长!$D158*VLOOKUP($Z$2,坦克等级成长!$B$36:$G$42,MATCH(AA$3,坦克等级成长!$B$35:$G$35,0)),0)</f>
        <v>2520</v>
      </c>
      <c r="AB61" s="33">
        <f>ROUND(坦克等级成长!$D158*VLOOKUP($Z$2,坦克等级成长!$B$36:$G$42,MATCH(AB$3,坦克等级成长!$B$35:$G$35,0)),0)</f>
        <v>148</v>
      </c>
      <c r="AC61" s="33">
        <f>ROUND(坦克等级成长!$D158*VLOOKUP($Z$2,坦克等级成长!$B$36:$G$42,MATCH(AC$3,坦克等级成长!$B$35:$G$35,0)),0)</f>
        <v>1035</v>
      </c>
      <c r="AD61" s="33">
        <f t="shared" si="36"/>
        <v>1035</v>
      </c>
      <c r="AE61" s="33">
        <v>772.8</v>
      </c>
      <c r="AF61" s="33">
        <f>ROUND(坦克等级成长!$D158*VLOOKUP($Z$2,坦克等级成长!$B$36:$G$42,MATCH(AF$3,坦克等级成长!$B$35:$G$35,0)),0)</f>
        <v>945</v>
      </c>
      <c r="AG61" s="33">
        <f>ROUND(坦克等级成长!$D158*VLOOKUP($Z$2,坦克等级成长!$B$36:$G$42,MATCH(AG$3,坦克等级成长!$B$35:$G$35,0)),0)</f>
        <v>252</v>
      </c>
      <c r="AH61" s="198">
        <v>8</v>
      </c>
      <c r="AI61" s="33">
        <f>ROUND(坦克等级成长!$F158*VLOOKUP($Z$2,坦克等级成长!$B$36:$G$42,MATCH(AI$3,坦克等级成长!$B$35:$G$35,0)),0)</f>
        <v>2560</v>
      </c>
      <c r="AJ61" s="33">
        <f>ROUND(坦克等级成长!$F158*VLOOKUP($Z$2,坦克等级成长!$B$36:$G$42,MATCH(AJ$3,坦克等级成长!$B$35:$G$35,0)),0)</f>
        <v>151</v>
      </c>
      <c r="AK61" s="33">
        <f>ROUND(坦克等级成长!$F158*VLOOKUP($Z$2,坦克等级成长!$B$36:$G$42,MATCH(AK$3,坦克等级成长!$B$35:$G$35,0)),0)</f>
        <v>1051</v>
      </c>
      <c r="AL61" s="33">
        <f t="shared" si="8"/>
        <v>1051</v>
      </c>
      <c r="AM61" s="33">
        <v>796</v>
      </c>
      <c r="AN61" s="33">
        <f>ROUND(坦克等级成长!$F158*VLOOKUP($Z$2,坦克等级成长!$B$36:$G$42,MATCH(AN$3,坦克等级成长!$B$35:$G$35,0)),0)</f>
        <v>960</v>
      </c>
      <c r="AO61" s="33">
        <f>ROUND(坦克等级成长!$F158*VLOOKUP($Z$2,坦克等级成长!$B$36:$G$42,MATCH(AO$3,坦克等级成长!$B$35:$G$35,0)),0)</f>
        <v>256</v>
      </c>
      <c r="AP61" s="191">
        <v>8</v>
      </c>
      <c r="AQ61" s="33">
        <f>ROUND(坦克等级成长!$H158*VLOOKUP($Z$2,坦克等级成长!$B$36:$G$42,MATCH(AQ$3,坦克等级成长!$B$35:$G$35,0)),0)</f>
        <v>2600</v>
      </c>
      <c r="AR61" s="33">
        <f>ROUND(坦克等级成长!$H158*VLOOKUP($Z$2,坦克等级成长!$B$36:$G$42,MATCH(AR$3,坦克等级成长!$B$35:$G$35,0)),0)</f>
        <v>153</v>
      </c>
      <c r="AS61" s="33">
        <f>ROUND(坦克等级成长!$H158*VLOOKUP($Z$2,坦克等级成长!$B$36:$G$42,MATCH(AS$3,坦克等级成长!$B$35:$G$35,0)),0)</f>
        <v>1068</v>
      </c>
      <c r="AT61" s="33">
        <f t="shared" si="22"/>
        <v>1068</v>
      </c>
      <c r="AU61" s="33">
        <v>796</v>
      </c>
      <c r="AV61" s="33">
        <f>ROUND(坦克等级成长!$H158*VLOOKUP($Z$2,坦克等级成长!$B$36:$G$42,MATCH(AV$3,坦克等级成长!$B$35:$G$35,0)),0)</f>
        <v>975</v>
      </c>
      <c r="AW61" s="33">
        <f>ROUND(坦克等级成长!$H158*VLOOKUP($Z$2,坦克等级成长!$B$36:$G$42,MATCH(AW$3,坦克等级成长!$B$35:$G$35,0)),0)</f>
        <v>260</v>
      </c>
      <c r="AX61" s="191">
        <v>8</v>
      </c>
      <c r="AY61" s="33">
        <f>ROUND(坦克等级成长!$D158*VLOOKUP($AX$2,坦克等级成长!$B$36:$G$42,MATCH(AY$3,坦克等级成长!$B$35:$G$35,0)),0)</f>
        <v>2520</v>
      </c>
      <c r="AZ61" s="33">
        <f>ROUND(坦克等级成长!$D158*VLOOKUP($AX$2,坦克等级成长!$B$36:$G$42,MATCH(AZ$3,坦克等级成长!$B$35:$G$35,0)),0)</f>
        <v>274</v>
      </c>
      <c r="BA61" s="33">
        <f>ROUND(坦克等级成长!$D158*VLOOKUP($AX$2,坦克等级成长!$B$36:$G$42,MATCH(BA$3,坦克等级成长!$B$35:$G$35,0)),0)</f>
        <v>945</v>
      </c>
      <c r="BB61" s="33">
        <f t="shared" si="37"/>
        <v>945</v>
      </c>
      <c r="BC61" s="33">
        <v>705.6</v>
      </c>
      <c r="BD61" s="33">
        <f>ROUND(坦克等级成长!$D158*VLOOKUP($AX$2,坦克等级成长!$B$36:$G$42,MATCH(BD$3,坦克等级成长!$B$35:$G$35,0)),0)</f>
        <v>945</v>
      </c>
      <c r="BE61" s="33">
        <f>ROUND(坦克等级成长!$D158*VLOOKUP($AX$2,坦克等级成长!$B$36:$G$42,MATCH(BE$3,坦克等级成长!$B$35:$G$35,0)),0)</f>
        <v>252</v>
      </c>
      <c r="BF61" s="198">
        <v>8</v>
      </c>
      <c r="BG61" s="33">
        <f>ROUND(坦克等级成长!$F158*VLOOKUP($AX$2,坦克等级成长!$B$36:$G$42,MATCH(BG$3,坦克等级成长!$B$35:$G$35,0)),0)</f>
        <v>2560</v>
      </c>
      <c r="BH61" s="33">
        <f>ROUND(坦克等级成长!$F158*VLOOKUP($AX$2,坦克等级成长!$B$36:$G$42,MATCH(BH$3,坦克等级成长!$B$35:$G$35,0)),0)</f>
        <v>278</v>
      </c>
      <c r="BI61" s="33">
        <f>ROUND(坦克等级成长!$F158*VLOOKUP($AX$2,坦克等级成长!$B$36:$G$42,MATCH(BI$3,坦克等级成长!$B$35:$G$35,0)),0)</f>
        <v>960</v>
      </c>
      <c r="BJ61" s="33">
        <f t="shared" si="9"/>
        <v>960</v>
      </c>
      <c r="BK61" s="33">
        <v>727</v>
      </c>
      <c r="BL61" s="33">
        <f>ROUND(坦克等级成长!$F158*VLOOKUP($AX$2,坦克等级成长!$B$36:$G$42,MATCH(BL$3,坦克等级成长!$B$35:$G$35,0)),0)</f>
        <v>960</v>
      </c>
      <c r="BM61" s="33">
        <f>ROUND(坦克等级成长!$F158*VLOOKUP($AX$2,坦克等级成长!$B$36:$G$42,MATCH(BM$3,坦克等级成长!$B$35:$G$35,0)),0)</f>
        <v>256</v>
      </c>
      <c r="BN61" s="191">
        <v>8</v>
      </c>
      <c r="BO61" s="33">
        <f>ROUND(坦克等级成长!$H158*VLOOKUP($AX$2,坦克等级成长!$B$36:$G$42,MATCH(BO$3,坦克等级成长!$B$35:$G$35,0)),0)</f>
        <v>2600</v>
      </c>
      <c r="BP61" s="33">
        <f>ROUND(坦克等级成长!$H158*VLOOKUP($AX$2,坦克等级成长!$B$36:$G$42,MATCH(BP$3,坦克等级成长!$B$35:$G$35,0)),0)</f>
        <v>283</v>
      </c>
      <c r="BQ61" s="33">
        <f>ROUND(坦克等级成长!$H158*VLOOKUP($AX$2,坦克等级成长!$B$36:$G$42,MATCH(BQ$3,坦克等级成长!$B$35:$G$35,0)),0)</f>
        <v>975</v>
      </c>
      <c r="BR61" s="33">
        <f t="shared" si="23"/>
        <v>975</v>
      </c>
      <c r="BS61" s="33">
        <v>727</v>
      </c>
      <c r="BT61" s="33">
        <f>ROUND(坦克等级成长!$H158*VLOOKUP($AX$2,坦克等级成长!$B$36:$G$42,MATCH(BT$3,坦克等级成长!$B$35:$G$35,0)),0)</f>
        <v>975</v>
      </c>
      <c r="BU61" s="33">
        <f>ROUND(坦克等级成长!$H158*VLOOKUP($AX$2,坦克等级成长!$B$36:$G$42,MATCH(BU$3,坦克等级成长!$B$35:$G$35,0)),0)</f>
        <v>260</v>
      </c>
      <c r="BV61" s="191">
        <v>8</v>
      </c>
      <c r="BW61" s="33">
        <f>ROUND(坦克等级成长!$D158*VLOOKUP($BV$2,坦克等级成长!$B$36:$G$42,MATCH(BW$3,坦克等级成长!$B$35:$G$35,0)),0)</f>
        <v>2655</v>
      </c>
      <c r="BX61" s="33">
        <f>ROUND(坦克等级成长!$D158*VLOOKUP($BV$2,坦克等级成长!$B$36:$G$42,MATCH(BX$3,坦克等级成长!$B$35:$G$35,0)),0)</f>
        <v>250</v>
      </c>
      <c r="BY61" s="33">
        <f>ROUND(坦克等级成长!$D158*VLOOKUP($BV$2,坦克等级成长!$B$36:$G$42,MATCH(BY$3,坦克等级成长!$B$35:$G$35,0)),0)</f>
        <v>900</v>
      </c>
      <c r="BZ61" s="33">
        <f t="shared" si="38"/>
        <v>900</v>
      </c>
      <c r="CA61" s="33">
        <v>720</v>
      </c>
      <c r="CB61" s="33">
        <f>ROUND(坦克等级成长!$D158*VLOOKUP($BV$2,坦克等级成长!$B$36:$G$42,MATCH(CB$3,坦克等级成长!$B$35:$G$35,0)),0)</f>
        <v>1134</v>
      </c>
      <c r="CC61" s="33">
        <f>ROUND(坦克等级成长!$D158*VLOOKUP($BV$2,坦克等级成长!$B$36:$G$42,MATCH(CC$3,坦克等级成长!$B$35:$G$35,0)),0)</f>
        <v>266</v>
      </c>
      <c r="CD61" s="198">
        <v>8</v>
      </c>
      <c r="CE61" s="33">
        <f>ROUND(坦克等级成长!$F158*VLOOKUP($BV$2,坦克等级成长!$B$36:$G$42,MATCH(CE$3,坦克等级成长!$B$35:$G$35,0)),0)</f>
        <v>2698</v>
      </c>
      <c r="CF61" s="33">
        <f>ROUND(坦克等级成长!$F158*VLOOKUP($BV$2,坦克等级成长!$B$36:$G$42,MATCH(CF$3,坦克等级成长!$B$35:$G$35,0)),0)</f>
        <v>254</v>
      </c>
      <c r="CG61" s="33">
        <f>ROUND(坦克等级成长!$F158*VLOOKUP($BV$2,坦克等级成长!$B$36:$G$42,MATCH(CG$3,坦克等级成长!$B$35:$G$35,0)),0)</f>
        <v>914</v>
      </c>
      <c r="CH61" s="33">
        <f t="shared" si="10"/>
        <v>914</v>
      </c>
      <c r="CI61" s="33">
        <v>742</v>
      </c>
      <c r="CJ61" s="33">
        <f>ROUND(坦克等级成长!$F158*VLOOKUP($BV$2,坦克等级成长!$B$36:$G$42,MATCH(CJ$3,坦克等级成长!$B$35:$G$35,0)),0)</f>
        <v>1152</v>
      </c>
      <c r="CK61" s="33">
        <f>ROUND(坦克等级成长!$F158*VLOOKUP($BV$2,坦克等级成长!$B$36:$G$42,MATCH(CK$3,坦克等级成长!$B$35:$G$35,0)),0)</f>
        <v>270</v>
      </c>
      <c r="CL61" s="191">
        <v>8</v>
      </c>
      <c r="CM61" s="33">
        <f>ROUND(坦克等级成长!$H158*VLOOKUP($BV$2,坦克等级成长!$B$36:$G$42,MATCH(CM$3,坦克等级成长!$B$35:$G$35,0)),0)</f>
        <v>2740</v>
      </c>
      <c r="CN61" s="33">
        <f>ROUND(坦克等级成长!$H158*VLOOKUP($BV$2,坦克等级成长!$B$36:$G$42,MATCH(CN$3,坦克等级成长!$B$35:$G$35,0)),0)</f>
        <v>258</v>
      </c>
      <c r="CO61" s="33">
        <f>ROUND(坦克等级成长!$H158*VLOOKUP($BV$2,坦克等级成长!$B$36:$G$42,MATCH(CO$3,坦克等级成长!$B$35:$G$35,0)),0)</f>
        <v>929</v>
      </c>
      <c r="CP61" s="33">
        <f t="shared" si="24"/>
        <v>929</v>
      </c>
      <c r="CQ61" s="33">
        <v>742</v>
      </c>
      <c r="CR61" s="33">
        <f>ROUND(坦克等级成长!$H158*VLOOKUP($BV$2,坦克等级成长!$B$36:$G$42,MATCH(CR$3,坦克等级成长!$B$35:$G$35,0)),0)</f>
        <v>1170</v>
      </c>
      <c r="CS61" s="33">
        <f>ROUND(坦克等级成长!$H158*VLOOKUP($BV$2,坦克等级成长!$B$36:$G$42,MATCH(CS$3,坦克等级成长!$B$35:$G$35,0)),0)</f>
        <v>274</v>
      </c>
      <c r="CT61" s="191">
        <v>8</v>
      </c>
      <c r="CU61" s="33">
        <f>ROUND(坦克等级成长!$D158*VLOOKUP($CT$2,坦克等级成长!$B$36:$G$42,MATCH(CU$3,坦克等级成长!$B$35:$G$35,0)),0)</f>
        <v>2520</v>
      </c>
      <c r="CV61" s="33">
        <f>ROUND(坦克等级成长!$D158*VLOOKUP($CT$2,坦克等级成长!$B$36:$G$42,MATCH(CV$3,坦克等级成长!$B$35:$G$35,0)),0)</f>
        <v>572</v>
      </c>
      <c r="CW61" s="33">
        <f>ROUND(坦克等级成长!$D158*VLOOKUP($CT$2,坦克等级成长!$B$36:$G$42,MATCH(CW$3,坦克等级成长!$B$35:$G$35,0)),0)</f>
        <v>1125</v>
      </c>
      <c r="CX61" s="33">
        <f t="shared" si="39"/>
        <v>1125</v>
      </c>
      <c r="CY61" s="33">
        <v>900</v>
      </c>
      <c r="CZ61" s="33">
        <f>ROUND(坦克等级成长!$D158*VLOOKUP($CT$2,坦克等级成长!$B$36:$G$42,MATCH(CZ$3,坦克等级成长!$B$35:$G$35,0)),0)</f>
        <v>945</v>
      </c>
      <c r="DA61" s="33">
        <f>ROUND(坦克等级成长!$D158*VLOOKUP($CT$2,坦克等级成长!$B$36:$G$42,MATCH(DA$3,坦克等级成长!$B$35:$G$35,0)),0)</f>
        <v>252</v>
      </c>
      <c r="DB61" s="198">
        <v>8</v>
      </c>
      <c r="DC61" s="33">
        <f>ROUND(坦克等级成长!$F158*VLOOKUP($CT$2,坦克等级成长!$B$36:$G$42,MATCH(DC$3,坦克等级成长!$B$35:$G$35,0)),0)</f>
        <v>2560</v>
      </c>
      <c r="DD61" s="33">
        <f>ROUND(坦克等级成长!$F158*VLOOKUP($CT$2,坦克等级成长!$B$36:$G$42,MATCH(DD$3,坦克等级成长!$B$35:$G$35,0)),0)</f>
        <v>581</v>
      </c>
      <c r="DE61" s="33">
        <f>ROUND(坦克等级成长!$F158*VLOOKUP($CT$2,坦克等级成长!$B$36:$G$42,MATCH(DE$3,坦克等级成长!$B$35:$G$35,0)),0)</f>
        <v>1143</v>
      </c>
      <c r="DF61" s="33">
        <f t="shared" si="11"/>
        <v>1143</v>
      </c>
      <c r="DG61" s="33">
        <v>927</v>
      </c>
      <c r="DH61" s="33">
        <f>ROUND(坦克等级成长!$F158*VLOOKUP($CT$2,坦克等级成长!$B$36:$G$42,MATCH(DH$3,坦克等级成长!$B$35:$G$35,0)),0)</f>
        <v>960</v>
      </c>
      <c r="DI61" s="33">
        <f>ROUND(坦克等级成长!$F158*VLOOKUP($CT$2,坦克等级成长!$B$36:$G$42,MATCH(DI$3,坦克等级成长!$B$35:$G$35,0)),0)</f>
        <v>256</v>
      </c>
      <c r="DJ61" s="191">
        <v>8</v>
      </c>
      <c r="DK61" s="33">
        <f>ROUND(坦克等级成长!$H158*VLOOKUP($CT$2,坦克等级成长!$B$36:$G$42,MATCH(DK$3,坦克等级成长!$B$35:$G$35,0)),0)</f>
        <v>2600</v>
      </c>
      <c r="DL61" s="33">
        <f>ROUND(坦克等级成长!$H158*VLOOKUP($CT$2,坦克等级成长!$B$36:$G$42,MATCH(DL$3,坦克等级成长!$B$35:$G$35,0)),0)</f>
        <v>591</v>
      </c>
      <c r="DM61" s="33">
        <f>ROUND(坦克等级成长!$H158*VLOOKUP($CT$2,坦克等级成长!$B$36:$G$42,MATCH(DM$3,坦克等级成长!$B$35:$G$35,0)),0)</f>
        <v>1161</v>
      </c>
      <c r="DN61" s="33">
        <f t="shared" si="25"/>
        <v>1161</v>
      </c>
      <c r="DO61" s="33">
        <v>927</v>
      </c>
      <c r="DP61" s="33">
        <f>ROUND(坦克等级成长!$H158*VLOOKUP($CT$2,坦克等级成长!$B$36:$G$42,MATCH(DP$3,坦克等级成长!$B$35:$G$35,0)),0)</f>
        <v>975</v>
      </c>
      <c r="DQ61" s="33">
        <f>ROUND(坦克等级成长!$H158*VLOOKUP($CT$2,坦克等级成长!$B$36:$G$42,MATCH(DQ$3,坦克等级成长!$B$35:$G$35,0)),0)</f>
        <v>260</v>
      </c>
      <c r="DR61" s="191">
        <v>8</v>
      </c>
      <c r="DS61" s="33">
        <f>ROUND(坦克等级成长!$D158*VLOOKUP($DR$2,坦克等级成长!$B$36:$G$42,MATCH(DS$3,坦克等级成长!$B$35:$G$35,0)),0)</f>
        <v>2867</v>
      </c>
      <c r="DT61" s="33">
        <f>ROUND(坦克等级成长!$D158*VLOOKUP($DR$2,坦克等级成长!$B$36:$G$42,MATCH(DT$3,坦克等级成长!$B$35:$G$35,0)),0)</f>
        <v>978</v>
      </c>
      <c r="DU61" s="33">
        <f>ROUND(坦克等级成长!$D158*VLOOKUP($DR$2,坦克等级成长!$B$36:$G$42,MATCH(DU$3,坦克等级成长!$B$35:$G$35,0)),0)</f>
        <v>900</v>
      </c>
      <c r="DV61" s="33">
        <f t="shared" si="40"/>
        <v>900</v>
      </c>
      <c r="DW61" s="33">
        <v>768</v>
      </c>
      <c r="DX61" s="33">
        <f>ROUND(坦克等级成长!$D158*VLOOKUP($DR$2,坦克等级成长!$B$36:$G$42,MATCH(DX$3,坦克等级成长!$B$35:$G$35,0)),0)</f>
        <v>1323</v>
      </c>
      <c r="DY61" s="33">
        <f>ROUND(坦克等级成长!$D158*VLOOKUP($DR$2,坦克等级成长!$B$36:$G$42,MATCH(DY$3,坦克等级成长!$B$35:$G$35,0)),0)</f>
        <v>287</v>
      </c>
      <c r="DZ61" s="198">
        <v>8</v>
      </c>
      <c r="EA61" s="33">
        <f>ROUND(坦克等级成长!$F158*VLOOKUP($DR$2,坦克等级成长!$B$36:$G$42,MATCH(EA$3,坦克等级成长!$B$35:$G$35,0)),0)</f>
        <v>2913</v>
      </c>
      <c r="EB61" s="33">
        <f>ROUND(坦克等级成长!$F158*VLOOKUP($DR$2,坦克等级成长!$B$36:$G$42,MATCH(EB$3,坦克等级成长!$B$35:$G$35,0)),0)</f>
        <v>994</v>
      </c>
      <c r="EC61" s="33">
        <f>ROUND(坦克等级成长!$F158*VLOOKUP($DR$2,坦克等级成长!$B$36:$G$42,MATCH(EC$3,坦克等级成长!$B$35:$G$35,0)),0)</f>
        <v>914</v>
      </c>
      <c r="ED61" s="33">
        <f t="shared" si="12"/>
        <v>914</v>
      </c>
      <c r="EE61" s="33">
        <v>791</v>
      </c>
      <c r="EF61" s="33">
        <f>ROUND(坦克等级成长!$F158*VLOOKUP($DR$2,坦克等级成长!$B$36:$G$42,MATCH(EF$3,坦克等级成长!$B$35:$G$35,0)),0)</f>
        <v>1344</v>
      </c>
      <c r="EG61" s="33">
        <f>ROUND(坦克等级成长!$F158*VLOOKUP($DR$2,坦克等级成长!$B$36:$G$42,MATCH(EG$3,坦克等级成长!$B$35:$G$35,0)),0)</f>
        <v>291</v>
      </c>
      <c r="EH61" s="191">
        <v>8</v>
      </c>
      <c r="EI61" s="33">
        <f>ROUND(坦克等级成长!$H158*VLOOKUP($DR$2,坦克等级成长!$B$36:$G$42,MATCH(EI$3,坦克等级成长!$B$35:$G$35,0)),0)</f>
        <v>2958</v>
      </c>
      <c r="EJ61" s="33">
        <f>ROUND(坦克等级成长!$H158*VLOOKUP($DR$2,坦克等级成长!$B$36:$G$42,MATCH(EJ$3,坦克等级成长!$B$35:$G$35,0)),0)</f>
        <v>1009</v>
      </c>
      <c r="EK61" s="33">
        <f>ROUND(坦克等级成长!$H158*VLOOKUP($DR$2,坦克等级成长!$B$36:$G$42,MATCH(EK$3,坦克等级成长!$B$35:$G$35,0)),0)</f>
        <v>929</v>
      </c>
      <c r="EL61" s="33">
        <f t="shared" si="26"/>
        <v>929</v>
      </c>
      <c r="EM61" s="33">
        <v>791</v>
      </c>
      <c r="EN61" s="33">
        <f>ROUND(坦克等级成长!$H158*VLOOKUP($DR$2,坦克等级成长!$B$36:$G$42,MATCH(EN$3,坦克等级成长!$B$35:$G$35,0)),0)</f>
        <v>1365</v>
      </c>
      <c r="EO61" s="33">
        <f>ROUND(坦克等级成长!$H158*VLOOKUP($DR$2,坦克等级成长!$B$36:$G$42,MATCH(EO$3,坦克等级成长!$B$35:$G$35,0)),0)</f>
        <v>296</v>
      </c>
      <c r="EP61" s="191">
        <v>8</v>
      </c>
      <c r="EQ61" s="33">
        <f>ROUND(坦克等级成长!$D158*VLOOKUP($EP$2,坦克等级成长!$B$36:$G$42,MATCH(EQ$3,坦克等级成长!$B$35:$G$35,0)),0)</f>
        <v>2655</v>
      </c>
      <c r="ER61" s="33">
        <f>ROUND(坦克等级成长!$D158*VLOOKUP($EP$2,坦克等级成长!$B$36:$G$42,MATCH(ER$3,坦克等级成长!$B$35:$G$35,0)),0)</f>
        <v>304</v>
      </c>
      <c r="ES61" s="33">
        <f>ROUND(坦克等级成长!$D158*VLOOKUP($EP$2,坦克等级成长!$B$36:$G$42,MATCH(ES$3,坦克等级成长!$B$35:$G$35,0)),0)</f>
        <v>1035</v>
      </c>
      <c r="ET61" s="33">
        <f t="shared" si="41"/>
        <v>1035</v>
      </c>
      <c r="EU61" s="33">
        <v>828</v>
      </c>
      <c r="EV61" s="33">
        <f>ROUND(坦克等级成长!$D158*VLOOKUP($EP$2,坦克等级成长!$B$36:$G$42,MATCH(EV$3,坦克等级成长!$B$35:$G$35,0)),0)</f>
        <v>1134</v>
      </c>
      <c r="EW61" s="33">
        <f>ROUND(坦克等级成长!$D158*VLOOKUP($EP$2,坦克等级成长!$B$36:$G$42,MATCH(EW$3,坦克等级成长!$B$35:$G$35,0)),0)</f>
        <v>266</v>
      </c>
      <c r="EX61" s="198">
        <v>8</v>
      </c>
      <c r="EY61" s="33">
        <f>ROUND(坦克等级成长!$F158*VLOOKUP($EP$2,坦克等级成长!$B$36:$G$42,MATCH(EY$3,坦克等级成长!$B$35:$G$35,0)),0)</f>
        <v>2698</v>
      </c>
      <c r="EZ61" s="33">
        <f>ROUND(坦克等级成长!$F158*VLOOKUP($EP$2,坦克等级成长!$B$36:$G$42,MATCH(EZ$3,坦克等级成长!$B$35:$G$35,0)),0)</f>
        <v>309</v>
      </c>
      <c r="FA61" s="33">
        <f>ROUND(坦克等级成长!$F158*VLOOKUP($EP$2,坦克等级成长!$B$36:$G$42,MATCH(FA$3,坦克等级成长!$B$35:$G$35,0)),0)</f>
        <v>1051</v>
      </c>
      <c r="FB61" s="33">
        <f t="shared" si="13"/>
        <v>1051</v>
      </c>
      <c r="FC61" s="33">
        <v>853</v>
      </c>
      <c r="FD61" s="33">
        <f>ROUND(坦克等级成长!$F158*VLOOKUP($EP$2,坦克等级成长!$B$36:$G$42,MATCH(FD$3,坦克等级成长!$B$35:$G$35,0)),0)</f>
        <v>1152</v>
      </c>
      <c r="FE61" s="33">
        <f>ROUND(坦克等级成长!$F158*VLOOKUP($EP$2,坦克等级成长!$B$36:$G$42,MATCH(FE$3,坦克等级成长!$B$35:$G$35,0)),0)</f>
        <v>270</v>
      </c>
      <c r="FF61" s="191">
        <v>8</v>
      </c>
      <c r="FG61" s="33">
        <f>ROUND(坦克等级成长!$H158*VLOOKUP($EP$2,坦克等级成长!$B$36:$G$42,MATCH(FG$3,坦克等级成长!$B$35:$G$35,0)),0)</f>
        <v>2740</v>
      </c>
      <c r="FH61" s="33">
        <f>ROUND(坦克等级成长!$H158*VLOOKUP($EP$2,坦克等级成长!$B$36:$G$42,MATCH(FH$3,坦克等级成长!$B$35:$G$35,0)),0)</f>
        <v>314</v>
      </c>
      <c r="FI61" s="33">
        <f>ROUND(坦克等级成长!$H158*VLOOKUP($EP$2,坦克等级成长!$B$36:$G$42,MATCH(FI$3,坦克等级成长!$B$35:$G$35,0)),0)</f>
        <v>1068</v>
      </c>
      <c r="FJ61" s="33">
        <f t="shared" si="27"/>
        <v>1068</v>
      </c>
      <c r="FK61" s="33">
        <v>853</v>
      </c>
      <c r="FL61" s="33">
        <f>ROUND(坦克等级成长!$H158*VLOOKUP($EP$2,坦克等级成长!$B$36:$G$42,MATCH(FL$3,坦克等级成长!$B$35:$G$35,0)),0)</f>
        <v>1170</v>
      </c>
      <c r="FM61" s="33">
        <f>ROUND(坦克等级成长!$H158*VLOOKUP($EP$2,坦克等级成长!$B$36:$G$42,MATCH(FM$3,坦克等级成长!$B$35:$G$35,0)),0)</f>
        <v>274</v>
      </c>
    </row>
    <row r="62" spans="1:169" ht="14.25" x14ac:dyDescent="0.3">
      <c r="A62" s="188">
        <v>5</v>
      </c>
      <c r="B62" s="191">
        <v>9</v>
      </c>
      <c r="C62" s="33">
        <f>ROUND(坦克等级成长!$D159*VLOOKUP($B$2,坦克等级成长!$B$36:$G$42,MATCH(C$3,坦克等级成长!$B$35:$G$35,0)),0)</f>
        <v>2608</v>
      </c>
      <c r="D62" s="33">
        <f>ROUND(坦克等级成长!$D159*VLOOKUP($B$2,坦克等级成长!$B$36:$G$42,MATCH(D$3,坦克等级成长!$B$35:$G$35,0)),0)</f>
        <v>284</v>
      </c>
      <c r="E62" s="33">
        <f>ROUND(坦克等级成长!$D159*VLOOKUP($B$2,坦克等级成长!$B$36:$G$42,MATCH(E$3,坦克等级成长!$B$35:$G$35,0)),0)</f>
        <v>978</v>
      </c>
      <c r="F62" s="33">
        <f t="shared" si="35"/>
        <v>978</v>
      </c>
      <c r="G62" s="33">
        <v>730.8</v>
      </c>
      <c r="H62" s="33">
        <f>ROUND(坦克等级成长!$D159*VLOOKUP($B$2,坦克等级成长!$B$36:$G$42,MATCH(H$3,坦克等级成长!$B$35:$G$35,0)),0)</f>
        <v>978</v>
      </c>
      <c r="I62" s="33">
        <f>ROUND(坦克等级成长!$D159*VLOOKUP($B$2,坦克等级成长!$B$36:$G$42,MATCH(I$3,坦克等级成长!$B$35:$G$35,0)),0)</f>
        <v>261</v>
      </c>
      <c r="J62" s="198">
        <v>9</v>
      </c>
      <c r="K62" s="33">
        <f>ROUND(坦克等级成长!$F159*VLOOKUP($B$2,坦克等级成长!$B$36:$G$42,MATCH(K$3,坦克等级成长!$B$35:$G$35,0)),0)</f>
        <v>2648</v>
      </c>
      <c r="L62" s="33">
        <f>ROUND(坦克等级成长!$F159*VLOOKUP($B$2,坦克等级成长!$B$36:$G$42,MATCH(L$3,坦克等级成长!$B$35:$G$35,0)),0)</f>
        <v>288</v>
      </c>
      <c r="M62" s="33">
        <f>ROUND(坦克等级成长!$F159*VLOOKUP($B$2,坦克等级成长!$B$36:$G$42,MATCH(M$3,坦克等级成长!$B$35:$G$35,0)),0)</f>
        <v>993</v>
      </c>
      <c r="N62" s="33">
        <f t="shared" si="7"/>
        <v>993</v>
      </c>
      <c r="O62" s="33">
        <v>752</v>
      </c>
      <c r="P62" s="33">
        <f>ROUND(坦克等级成长!$F159*VLOOKUP($B$2,坦克等级成长!$B$36:$G$42,MATCH(P$3,坦克等级成长!$B$35:$G$35,0)),0)</f>
        <v>993</v>
      </c>
      <c r="Q62" s="33">
        <f>ROUND(坦克等级成长!$F159*VLOOKUP($B$2,坦克等级成长!$B$36:$G$42,MATCH(Q$3,坦克等级成长!$B$35:$G$35,0)),0)</f>
        <v>265</v>
      </c>
      <c r="R62" s="191">
        <v>9</v>
      </c>
      <c r="S62" s="33">
        <f>ROUND(坦克等级成长!$H159*VLOOKUP($B$2,坦克等级成长!$B$36:$G$42,MATCH(S$3,坦克等级成长!$B$35:$G$35,0)),0)</f>
        <v>2688</v>
      </c>
      <c r="T62" s="33">
        <f>ROUND(坦克等级成长!$H159*VLOOKUP($B$2,坦克等级成长!$B$36:$G$42,MATCH(T$3,坦克等级成长!$B$35:$G$35,0)),0)</f>
        <v>292</v>
      </c>
      <c r="U62" s="33">
        <f>ROUND(坦克等级成长!$H159*VLOOKUP($B$2,坦克等级成长!$B$36:$G$42,MATCH(U$3,坦克等级成长!$B$35:$G$35,0)),0)</f>
        <v>1008</v>
      </c>
      <c r="V62" s="33">
        <f t="shared" si="21"/>
        <v>1008</v>
      </c>
      <c r="W62" s="33">
        <v>752</v>
      </c>
      <c r="X62" s="33">
        <f>ROUND(坦克等级成长!$H159*VLOOKUP($B$2,坦克等级成长!$B$36:$G$42,MATCH(X$3,坦克等级成长!$B$35:$G$35,0)),0)</f>
        <v>1008</v>
      </c>
      <c r="Y62" s="33">
        <f>ROUND(坦克等级成长!$H159*VLOOKUP($B$2,坦克等级成长!$B$36:$G$42,MATCH(Y$3,坦克等级成长!$B$35:$G$35,0)),0)</f>
        <v>269</v>
      </c>
      <c r="Z62" s="191">
        <v>9</v>
      </c>
      <c r="AA62" s="33">
        <f>ROUND(坦克等级成长!$D159*VLOOKUP($Z$2,坦克等级成长!$B$36:$G$42,MATCH(AA$3,坦克等级成长!$B$35:$G$35,0)),0)</f>
        <v>2608</v>
      </c>
      <c r="AB62" s="33">
        <f>ROUND(坦克等级成长!$D159*VLOOKUP($Z$2,坦克等级成长!$B$36:$G$42,MATCH(AB$3,坦克等级成长!$B$35:$G$35,0)),0)</f>
        <v>154</v>
      </c>
      <c r="AC62" s="33">
        <f>ROUND(坦克等级成长!$D159*VLOOKUP($Z$2,坦克等级成长!$B$36:$G$42,MATCH(AC$3,坦克等级成长!$B$35:$G$35,0)),0)</f>
        <v>1071</v>
      </c>
      <c r="AD62" s="33">
        <f t="shared" si="36"/>
        <v>1071</v>
      </c>
      <c r="AE62" s="33">
        <v>800.1</v>
      </c>
      <c r="AF62" s="33">
        <f>ROUND(坦克等级成长!$D159*VLOOKUP($Z$2,坦克等级成长!$B$36:$G$42,MATCH(AF$3,坦克等级成长!$B$35:$G$35,0)),0)</f>
        <v>978</v>
      </c>
      <c r="AG62" s="33">
        <f>ROUND(坦克等级成长!$D159*VLOOKUP($Z$2,坦克等级成长!$B$36:$G$42,MATCH(AG$3,坦克等级成长!$B$35:$G$35,0)),0)</f>
        <v>261</v>
      </c>
      <c r="AH62" s="198">
        <v>9</v>
      </c>
      <c r="AI62" s="33">
        <f>ROUND(坦克等级成长!$F159*VLOOKUP($Z$2,坦克等级成长!$B$36:$G$42,MATCH(AI$3,坦克等级成长!$B$35:$G$35,0)),0)</f>
        <v>2648</v>
      </c>
      <c r="AJ62" s="33">
        <f>ROUND(坦克等级成长!$F159*VLOOKUP($Z$2,坦克等级成长!$B$36:$G$42,MATCH(AJ$3,坦克等级成长!$B$35:$G$35,0)),0)</f>
        <v>156</v>
      </c>
      <c r="AK62" s="33">
        <f>ROUND(坦克等级成长!$F159*VLOOKUP($Z$2,坦克等级成长!$B$36:$G$42,MATCH(AK$3,坦克等级成长!$B$35:$G$35,0)),0)</f>
        <v>1088</v>
      </c>
      <c r="AL62" s="33">
        <f t="shared" si="8"/>
        <v>1088</v>
      </c>
      <c r="AM62" s="33">
        <v>823</v>
      </c>
      <c r="AN62" s="33">
        <f>ROUND(坦克等级成长!$F159*VLOOKUP($Z$2,坦克等级成长!$B$36:$G$42,MATCH(AN$3,坦克等级成长!$B$35:$G$35,0)),0)</f>
        <v>993</v>
      </c>
      <c r="AO62" s="33">
        <f>ROUND(坦克等级成长!$F159*VLOOKUP($Z$2,坦克等级成长!$B$36:$G$42,MATCH(AO$3,坦克等级成长!$B$35:$G$35,0)),0)</f>
        <v>265</v>
      </c>
      <c r="AP62" s="191">
        <v>9</v>
      </c>
      <c r="AQ62" s="33">
        <f>ROUND(坦克等级成长!$H159*VLOOKUP($Z$2,坦克等级成长!$B$36:$G$42,MATCH(AQ$3,坦克等级成长!$B$35:$G$35,0)),0)</f>
        <v>2688</v>
      </c>
      <c r="AR62" s="33">
        <f>ROUND(坦克等级成长!$H159*VLOOKUP($Z$2,坦克等级成长!$B$36:$G$42,MATCH(AR$3,坦克等级成长!$B$35:$G$35,0)),0)</f>
        <v>158</v>
      </c>
      <c r="AS62" s="33">
        <f>ROUND(坦克等级成长!$H159*VLOOKUP($Z$2,坦克等级成长!$B$36:$G$42,MATCH(AS$3,坦克等级成长!$B$35:$G$35,0)),0)</f>
        <v>1104</v>
      </c>
      <c r="AT62" s="33">
        <f t="shared" si="22"/>
        <v>1104</v>
      </c>
      <c r="AU62" s="33">
        <v>823</v>
      </c>
      <c r="AV62" s="33">
        <f>ROUND(坦克等级成长!$H159*VLOOKUP($Z$2,坦克等级成长!$B$36:$G$42,MATCH(AV$3,坦克等级成长!$B$35:$G$35,0)),0)</f>
        <v>1008</v>
      </c>
      <c r="AW62" s="33">
        <f>ROUND(坦克等级成长!$H159*VLOOKUP($Z$2,坦克等级成长!$B$36:$G$42,MATCH(AW$3,坦克等级成长!$B$35:$G$35,0)),0)</f>
        <v>269</v>
      </c>
      <c r="AX62" s="191">
        <v>9</v>
      </c>
      <c r="AY62" s="33">
        <f>ROUND(坦克等级成长!$D159*VLOOKUP($AX$2,坦克等级成长!$B$36:$G$42,MATCH(AY$3,坦克等级成长!$B$35:$G$35,0)),0)</f>
        <v>2608</v>
      </c>
      <c r="AZ62" s="33">
        <f>ROUND(坦克等级成长!$D159*VLOOKUP($AX$2,坦克等级成长!$B$36:$G$42,MATCH(AZ$3,坦克等级成长!$B$35:$G$35,0)),0)</f>
        <v>284</v>
      </c>
      <c r="BA62" s="33">
        <f>ROUND(坦克等级成长!$D159*VLOOKUP($AX$2,坦克等级成长!$B$36:$G$42,MATCH(BA$3,坦克等级成长!$B$35:$G$35,0)),0)</f>
        <v>978</v>
      </c>
      <c r="BB62" s="33">
        <f t="shared" si="37"/>
        <v>978</v>
      </c>
      <c r="BC62" s="33">
        <v>730.8</v>
      </c>
      <c r="BD62" s="33">
        <f>ROUND(坦克等级成长!$D159*VLOOKUP($AX$2,坦克等级成长!$B$36:$G$42,MATCH(BD$3,坦克等级成长!$B$35:$G$35,0)),0)</f>
        <v>978</v>
      </c>
      <c r="BE62" s="33">
        <f>ROUND(坦克等级成长!$D159*VLOOKUP($AX$2,坦克等级成长!$B$36:$G$42,MATCH(BE$3,坦克等级成长!$B$35:$G$35,0)),0)</f>
        <v>261</v>
      </c>
      <c r="BF62" s="198">
        <v>9</v>
      </c>
      <c r="BG62" s="33">
        <f>ROUND(坦克等级成长!$F159*VLOOKUP($AX$2,坦克等级成长!$B$36:$G$42,MATCH(BG$3,坦克等级成长!$B$35:$G$35,0)),0)</f>
        <v>2648</v>
      </c>
      <c r="BH62" s="33">
        <f>ROUND(坦克等级成长!$F159*VLOOKUP($AX$2,坦克等级成长!$B$36:$G$42,MATCH(BH$3,坦克等级成长!$B$35:$G$35,0)),0)</f>
        <v>288</v>
      </c>
      <c r="BI62" s="33">
        <f>ROUND(坦克等级成长!$F159*VLOOKUP($AX$2,坦克等级成长!$B$36:$G$42,MATCH(BI$3,坦克等级成长!$B$35:$G$35,0)),0)</f>
        <v>993</v>
      </c>
      <c r="BJ62" s="33">
        <f t="shared" si="9"/>
        <v>993</v>
      </c>
      <c r="BK62" s="33">
        <v>752</v>
      </c>
      <c r="BL62" s="33">
        <f>ROUND(坦克等级成长!$F159*VLOOKUP($AX$2,坦克等级成长!$B$36:$G$42,MATCH(BL$3,坦克等级成长!$B$35:$G$35,0)),0)</f>
        <v>993</v>
      </c>
      <c r="BM62" s="33">
        <f>ROUND(坦克等级成长!$F159*VLOOKUP($AX$2,坦克等级成长!$B$36:$G$42,MATCH(BM$3,坦克等级成长!$B$35:$G$35,0)),0)</f>
        <v>265</v>
      </c>
      <c r="BN62" s="191">
        <v>9</v>
      </c>
      <c r="BO62" s="33">
        <f>ROUND(坦克等级成长!$H159*VLOOKUP($AX$2,坦克等级成长!$B$36:$G$42,MATCH(BO$3,坦克等级成长!$B$35:$G$35,0)),0)</f>
        <v>2688</v>
      </c>
      <c r="BP62" s="33">
        <f>ROUND(坦克等级成长!$H159*VLOOKUP($AX$2,坦克等级成长!$B$36:$G$42,MATCH(BP$3,坦克等级成长!$B$35:$G$35,0)),0)</f>
        <v>292</v>
      </c>
      <c r="BQ62" s="33">
        <f>ROUND(坦克等级成长!$H159*VLOOKUP($AX$2,坦克等级成长!$B$36:$G$42,MATCH(BQ$3,坦克等级成长!$B$35:$G$35,0)),0)</f>
        <v>1008</v>
      </c>
      <c r="BR62" s="33">
        <f t="shared" si="23"/>
        <v>1008</v>
      </c>
      <c r="BS62" s="33">
        <v>752</v>
      </c>
      <c r="BT62" s="33">
        <f>ROUND(坦克等级成长!$H159*VLOOKUP($AX$2,坦克等级成长!$B$36:$G$42,MATCH(BT$3,坦克等级成长!$B$35:$G$35,0)),0)</f>
        <v>1008</v>
      </c>
      <c r="BU62" s="33">
        <f>ROUND(坦克等级成长!$H159*VLOOKUP($AX$2,坦克等级成长!$B$36:$G$42,MATCH(BU$3,坦克等级成长!$B$35:$G$35,0)),0)</f>
        <v>269</v>
      </c>
      <c r="BV62" s="191">
        <v>9</v>
      </c>
      <c r="BW62" s="33">
        <f>ROUND(坦克等级成长!$D159*VLOOKUP($BV$2,坦克等级成长!$B$36:$G$42,MATCH(BW$3,坦克等级成长!$B$35:$G$35,0)),0)</f>
        <v>2748</v>
      </c>
      <c r="BX62" s="33">
        <f>ROUND(坦克等级成长!$D159*VLOOKUP($BV$2,坦克等级成长!$B$36:$G$42,MATCH(BX$3,坦克等级成长!$B$35:$G$35,0)),0)</f>
        <v>259</v>
      </c>
      <c r="BY62" s="33">
        <f>ROUND(坦克等级成长!$D159*VLOOKUP($BV$2,坦克等级成长!$B$36:$G$42,MATCH(BY$3,坦克等级成长!$B$35:$G$35,0)),0)</f>
        <v>931</v>
      </c>
      <c r="BZ62" s="33">
        <f t="shared" si="38"/>
        <v>931</v>
      </c>
      <c r="CA62" s="33">
        <v>745.5</v>
      </c>
      <c r="CB62" s="33">
        <f>ROUND(坦克等级成长!$D159*VLOOKUP($BV$2,坦克等级成长!$B$36:$G$42,MATCH(CB$3,坦克等级成长!$B$35:$G$35,0)),0)</f>
        <v>1174</v>
      </c>
      <c r="CC62" s="33">
        <f>ROUND(坦克等级成长!$D159*VLOOKUP($BV$2,坦克等级成长!$B$36:$G$42,MATCH(CC$3,坦克等级成长!$B$35:$G$35,0)),0)</f>
        <v>275</v>
      </c>
      <c r="CD62" s="198">
        <v>9</v>
      </c>
      <c r="CE62" s="33">
        <f>ROUND(坦克等级成长!$F159*VLOOKUP($BV$2,坦克等级成长!$B$36:$G$42,MATCH(CE$3,坦克等级成长!$B$35:$G$35,0)),0)</f>
        <v>2790</v>
      </c>
      <c r="CF62" s="33">
        <f>ROUND(坦克等级成长!$F159*VLOOKUP($BV$2,坦克等级成长!$B$36:$G$42,MATCH(CF$3,坦克等级成长!$B$35:$G$35,0)),0)</f>
        <v>263</v>
      </c>
      <c r="CG62" s="33">
        <f>ROUND(坦克等级成长!$F159*VLOOKUP($BV$2,坦克等级成长!$B$36:$G$42,MATCH(CG$3,坦克等级成长!$B$35:$G$35,0)),0)</f>
        <v>946</v>
      </c>
      <c r="CH62" s="33">
        <f t="shared" si="10"/>
        <v>946</v>
      </c>
      <c r="CI62" s="33">
        <v>767</v>
      </c>
      <c r="CJ62" s="33">
        <f>ROUND(坦克等级成长!$F159*VLOOKUP($BV$2,坦克等级成长!$B$36:$G$42,MATCH(CJ$3,坦克等级成长!$B$35:$G$35,0)),0)</f>
        <v>1192</v>
      </c>
      <c r="CK62" s="33">
        <f>ROUND(坦克等级成长!$F159*VLOOKUP($BV$2,坦克等级成长!$B$36:$G$42,MATCH(CK$3,坦克等级成长!$B$35:$G$35,0)),0)</f>
        <v>279</v>
      </c>
      <c r="CL62" s="191">
        <v>9</v>
      </c>
      <c r="CM62" s="33">
        <f>ROUND(坦克等级成长!$H159*VLOOKUP($BV$2,坦克等级成长!$B$36:$G$42,MATCH(CM$3,坦克等级成长!$B$35:$G$35,0)),0)</f>
        <v>2832</v>
      </c>
      <c r="CN62" s="33">
        <f>ROUND(坦克等级成长!$H159*VLOOKUP($BV$2,坦克等级成长!$B$36:$G$42,MATCH(CN$3,坦克等级成长!$B$35:$G$35,0)),0)</f>
        <v>267</v>
      </c>
      <c r="CO62" s="33">
        <f>ROUND(坦克等级成长!$H159*VLOOKUP($BV$2,坦克等级成长!$B$36:$G$42,MATCH(CO$3,坦克等级成长!$B$35:$G$35,0)),0)</f>
        <v>960</v>
      </c>
      <c r="CP62" s="33">
        <f t="shared" si="24"/>
        <v>960</v>
      </c>
      <c r="CQ62" s="33">
        <v>767</v>
      </c>
      <c r="CR62" s="33">
        <f>ROUND(坦克等级成长!$H159*VLOOKUP($BV$2,坦克等级成长!$B$36:$G$42,MATCH(CR$3,坦克等级成长!$B$35:$G$35,0)),0)</f>
        <v>1210</v>
      </c>
      <c r="CS62" s="33">
        <f>ROUND(坦克等级成长!$H159*VLOOKUP($BV$2,坦克等级成长!$B$36:$G$42,MATCH(CS$3,坦克等级成长!$B$35:$G$35,0)),0)</f>
        <v>283</v>
      </c>
      <c r="CT62" s="191">
        <v>9</v>
      </c>
      <c r="CU62" s="33">
        <f>ROUND(坦克等级成长!$D159*VLOOKUP($CT$2,坦克等级成长!$B$36:$G$42,MATCH(CU$3,坦克等级成长!$B$35:$G$35,0)),0)</f>
        <v>2608</v>
      </c>
      <c r="CV62" s="33">
        <f>ROUND(坦克等级成长!$D159*VLOOKUP($CT$2,坦克等级成长!$B$36:$G$42,MATCH(CV$3,坦克等级成长!$B$35:$G$35,0)),0)</f>
        <v>592</v>
      </c>
      <c r="CW62" s="33">
        <f>ROUND(坦克等级成长!$D159*VLOOKUP($CT$2,坦克等级成长!$B$36:$G$42,MATCH(CW$3,坦克等级成长!$B$35:$G$35,0)),0)</f>
        <v>1164</v>
      </c>
      <c r="CX62" s="33">
        <f t="shared" si="39"/>
        <v>1164</v>
      </c>
      <c r="CY62" s="33">
        <v>932.25</v>
      </c>
      <c r="CZ62" s="33">
        <f>ROUND(坦克等级成长!$D159*VLOOKUP($CT$2,坦克等级成长!$B$36:$G$42,MATCH(CZ$3,坦克等级成长!$B$35:$G$35,0)),0)</f>
        <v>978</v>
      </c>
      <c r="DA62" s="33">
        <f>ROUND(坦克等级成长!$D159*VLOOKUP($CT$2,坦克等级成长!$B$36:$G$42,MATCH(DA$3,坦克等级成长!$B$35:$G$35,0)),0)</f>
        <v>261</v>
      </c>
      <c r="DB62" s="198">
        <v>9</v>
      </c>
      <c r="DC62" s="33">
        <f>ROUND(坦克等级成长!$F159*VLOOKUP($CT$2,坦克等级成长!$B$36:$G$42,MATCH(DC$3,坦克等级成长!$B$35:$G$35,0)),0)</f>
        <v>2648</v>
      </c>
      <c r="DD62" s="33">
        <f>ROUND(坦克等级成长!$F159*VLOOKUP($CT$2,坦克等级成长!$B$36:$G$42,MATCH(DD$3,坦克等级成长!$B$35:$G$35,0)),0)</f>
        <v>601</v>
      </c>
      <c r="DE62" s="33">
        <f>ROUND(坦克等级成长!$F159*VLOOKUP($CT$2,坦克等级成长!$B$36:$G$42,MATCH(DE$3,坦克等级成长!$B$35:$G$35,0)),0)</f>
        <v>1182</v>
      </c>
      <c r="DF62" s="33">
        <f t="shared" si="11"/>
        <v>1182</v>
      </c>
      <c r="DG62" s="33">
        <v>959</v>
      </c>
      <c r="DH62" s="33">
        <f>ROUND(坦克等级成长!$F159*VLOOKUP($CT$2,坦克等级成长!$B$36:$G$42,MATCH(DH$3,坦克等级成长!$B$35:$G$35,0)),0)</f>
        <v>993</v>
      </c>
      <c r="DI62" s="33">
        <f>ROUND(坦克等级成长!$F159*VLOOKUP($CT$2,坦克等级成长!$B$36:$G$42,MATCH(DI$3,坦克等级成长!$B$35:$G$35,0)),0)</f>
        <v>265</v>
      </c>
      <c r="DJ62" s="191">
        <v>9</v>
      </c>
      <c r="DK62" s="33">
        <f>ROUND(坦克等级成长!$H159*VLOOKUP($CT$2,坦克等级成长!$B$36:$G$42,MATCH(DK$3,坦克等级成长!$B$35:$G$35,0)),0)</f>
        <v>2688</v>
      </c>
      <c r="DL62" s="33">
        <f>ROUND(坦克等级成长!$H159*VLOOKUP($CT$2,坦克等级成长!$B$36:$G$42,MATCH(DL$3,坦克等级成长!$B$35:$G$35,0)),0)</f>
        <v>610</v>
      </c>
      <c r="DM62" s="33">
        <f>ROUND(坦克等级成长!$H159*VLOOKUP($CT$2,坦克等级成长!$B$36:$G$42,MATCH(DM$3,坦克等级成长!$B$35:$G$35,0)),0)</f>
        <v>1200</v>
      </c>
      <c r="DN62" s="33">
        <f t="shared" si="25"/>
        <v>1200</v>
      </c>
      <c r="DO62" s="33">
        <v>959</v>
      </c>
      <c r="DP62" s="33">
        <f>ROUND(坦克等级成长!$H159*VLOOKUP($CT$2,坦克等级成长!$B$36:$G$42,MATCH(DP$3,坦克等级成长!$B$35:$G$35,0)),0)</f>
        <v>1008</v>
      </c>
      <c r="DQ62" s="33">
        <f>ROUND(坦克等级成长!$H159*VLOOKUP($CT$2,坦克等级成长!$B$36:$G$42,MATCH(DQ$3,坦克等级成长!$B$35:$G$35,0)),0)</f>
        <v>269</v>
      </c>
      <c r="DR62" s="191">
        <v>9</v>
      </c>
      <c r="DS62" s="33">
        <f>ROUND(坦克等级成长!$D159*VLOOKUP($DR$2,坦克等级成长!$B$36:$G$42,MATCH(DS$3,坦克等级成长!$B$35:$G$35,0)),0)</f>
        <v>2967</v>
      </c>
      <c r="DT62" s="33">
        <f>ROUND(坦克等级成长!$D159*VLOOKUP($DR$2,坦克等级成长!$B$36:$G$42,MATCH(DT$3,坦克等级成长!$B$35:$G$35,0)),0)</f>
        <v>1012</v>
      </c>
      <c r="DU62" s="33">
        <f>ROUND(坦克等级成长!$D159*VLOOKUP($DR$2,坦克等级成长!$B$36:$G$42,MATCH(DU$3,坦克等级成长!$B$35:$G$35,0)),0)</f>
        <v>931</v>
      </c>
      <c r="DV62" s="33">
        <f t="shared" si="40"/>
        <v>931</v>
      </c>
      <c r="DW62" s="33">
        <v>795.2</v>
      </c>
      <c r="DX62" s="33">
        <f>ROUND(坦克等级成长!$D159*VLOOKUP($DR$2,坦克等级成长!$B$36:$G$42,MATCH(DX$3,坦克等级成长!$B$35:$G$35,0)),0)</f>
        <v>1369</v>
      </c>
      <c r="DY62" s="33">
        <f>ROUND(坦克等级成长!$D159*VLOOKUP($DR$2,坦克等级成长!$B$36:$G$42,MATCH(DY$3,坦克等级成长!$B$35:$G$35,0)),0)</f>
        <v>297</v>
      </c>
      <c r="DZ62" s="198">
        <v>9</v>
      </c>
      <c r="EA62" s="33">
        <f>ROUND(坦克等级成长!$F159*VLOOKUP($DR$2,坦克等级成长!$B$36:$G$42,MATCH(EA$3,坦克等级成长!$B$35:$G$35,0)),0)</f>
        <v>3013</v>
      </c>
      <c r="EB62" s="33">
        <f>ROUND(坦克等级成长!$F159*VLOOKUP($DR$2,坦克等级成长!$B$36:$G$42,MATCH(EB$3,坦克等级成长!$B$35:$G$35,0)),0)</f>
        <v>1028</v>
      </c>
      <c r="EC62" s="33">
        <f>ROUND(坦克等级成长!$F159*VLOOKUP($DR$2,坦克等级成长!$B$36:$G$42,MATCH(EC$3,坦克等级成长!$B$35:$G$35,0)),0)</f>
        <v>946</v>
      </c>
      <c r="ED62" s="33">
        <f t="shared" si="12"/>
        <v>946</v>
      </c>
      <c r="EE62" s="33">
        <v>818</v>
      </c>
      <c r="EF62" s="33">
        <f>ROUND(坦克等级成长!$F159*VLOOKUP($DR$2,坦克等级成长!$B$36:$G$42,MATCH(EF$3,坦克等级成长!$B$35:$G$35,0)),0)</f>
        <v>1390</v>
      </c>
      <c r="EG62" s="33">
        <f>ROUND(坦克等级成长!$F159*VLOOKUP($DR$2,坦克等级成长!$B$36:$G$42,MATCH(EG$3,坦克等级成长!$B$35:$G$35,0)),0)</f>
        <v>301</v>
      </c>
      <c r="EH62" s="191">
        <v>9</v>
      </c>
      <c r="EI62" s="33">
        <f>ROUND(坦克等级成长!$H159*VLOOKUP($DR$2,坦克等级成长!$B$36:$G$42,MATCH(EI$3,坦克等级成长!$B$35:$G$35,0)),0)</f>
        <v>3058</v>
      </c>
      <c r="EJ62" s="33">
        <f>ROUND(坦克等级成长!$H159*VLOOKUP($DR$2,坦克等级成长!$B$36:$G$42,MATCH(EJ$3,坦克等级成长!$B$35:$G$35,0)),0)</f>
        <v>1043</v>
      </c>
      <c r="EK62" s="33">
        <f>ROUND(坦克等级成长!$H159*VLOOKUP($DR$2,坦克等级成长!$B$36:$G$42,MATCH(EK$3,坦克等级成长!$B$35:$G$35,0)),0)</f>
        <v>960</v>
      </c>
      <c r="EL62" s="33">
        <f t="shared" si="26"/>
        <v>960</v>
      </c>
      <c r="EM62" s="33">
        <v>818</v>
      </c>
      <c r="EN62" s="33">
        <f>ROUND(坦克等级成长!$H159*VLOOKUP($DR$2,坦克等级成长!$B$36:$G$42,MATCH(EN$3,坦克等级成长!$B$35:$G$35,0)),0)</f>
        <v>1411</v>
      </c>
      <c r="EO62" s="33">
        <f>ROUND(坦克等级成长!$H159*VLOOKUP($DR$2,坦克等级成长!$B$36:$G$42,MATCH(EO$3,坦克等级成长!$B$35:$G$35,0)),0)</f>
        <v>306</v>
      </c>
      <c r="EP62" s="191">
        <v>9</v>
      </c>
      <c r="EQ62" s="33">
        <f>ROUND(坦克等级成长!$D159*VLOOKUP($EP$2,坦克等级成长!$B$36:$G$42,MATCH(EQ$3,坦克等级成长!$B$35:$G$35,0)),0)</f>
        <v>2748</v>
      </c>
      <c r="ER62" s="33">
        <f>ROUND(坦克等级成长!$D159*VLOOKUP($EP$2,坦克等级成长!$B$36:$G$42,MATCH(ER$3,坦克等级成长!$B$35:$G$35,0)),0)</f>
        <v>315</v>
      </c>
      <c r="ES62" s="33">
        <f>ROUND(坦克等级成长!$D159*VLOOKUP($EP$2,坦克等级成长!$B$36:$G$42,MATCH(ES$3,坦克等级成长!$B$35:$G$35,0)),0)</f>
        <v>1071</v>
      </c>
      <c r="ET62" s="33">
        <f t="shared" si="41"/>
        <v>1071</v>
      </c>
      <c r="EU62" s="33">
        <v>857.25</v>
      </c>
      <c r="EV62" s="33">
        <f>ROUND(坦克等级成长!$D159*VLOOKUP($EP$2,坦克等级成长!$B$36:$G$42,MATCH(EV$3,坦克等级成长!$B$35:$G$35,0)),0)</f>
        <v>1174</v>
      </c>
      <c r="EW62" s="33">
        <f>ROUND(坦克等级成长!$D159*VLOOKUP($EP$2,坦克等级成长!$B$36:$G$42,MATCH(EW$3,坦克等级成长!$B$35:$G$35,0)),0)</f>
        <v>275</v>
      </c>
      <c r="EX62" s="198">
        <v>9</v>
      </c>
      <c r="EY62" s="33">
        <f>ROUND(坦克等级成长!$F159*VLOOKUP($EP$2,坦克等级成长!$B$36:$G$42,MATCH(EY$3,坦克等级成长!$B$35:$G$35,0)),0)</f>
        <v>2790</v>
      </c>
      <c r="EZ62" s="33">
        <f>ROUND(坦克等级成长!$F159*VLOOKUP($EP$2,坦克等级成长!$B$36:$G$42,MATCH(EZ$3,坦克等级成长!$B$35:$G$35,0)),0)</f>
        <v>320</v>
      </c>
      <c r="FA62" s="33">
        <f>ROUND(坦克等级成长!$F159*VLOOKUP($EP$2,坦克等级成长!$B$36:$G$42,MATCH(FA$3,坦克等级成长!$B$35:$G$35,0)),0)</f>
        <v>1088</v>
      </c>
      <c r="FB62" s="33">
        <f t="shared" si="13"/>
        <v>1088</v>
      </c>
      <c r="FC62" s="33">
        <v>882</v>
      </c>
      <c r="FD62" s="33">
        <f>ROUND(坦克等级成长!$F159*VLOOKUP($EP$2,坦克等级成长!$B$36:$G$42,MATCH(FD$3,坦克等级成长!$B$35:$G$35,0)),0)</f>
        <v>1192</v>
      </c>
      <c r="FE62" s="33">
        <f>ROUND(坦克等级成长!$F159*VLOOKUP($EP$2,坦克等级成长!$B$36:$G$42,MATCH(FE$3,坦克等级成长!$B$35:$G$35,0)),0)</f>
        <v>279</v>
      </c>
      <c r="FF62" s="191">
        <v>9</v>
      </c>
      <c r="FG62" s="33">
        <f>ROUND(坦克等级成长!$H159*VLOOKUP($EP$2,坦克等级成长!$B$36:$G$42,MATCH(FG$3,坦克等级成长!$B$35:$G$35,0)),0)</f>
        <v>2832</v>
      </c>
      <c r="FH62" s="33">
        <f>ROUND(坦克等级成长!$H159*VLOOKUP($EP$2,坦克等级成长!$B$36:$G$42,MATCH(FH$3,坦克等级成长!$B$35:$G$35,0)),0)</f>
        <v>325</v>
      </c>
      <c r="FI62" s="33">
        <f>ROUND(坦克等级成长!$H159*VLOOKUP($EP$2,坦克等级成长!$B$36:$G$42,MATCH(FI$3,坦克等级成长!$B$35:$G$35,0)),0)</f>
        <v>1104</v>
      </c>
      <c r="FJ62" s="33">
        <f t="shared" si="27"/>
        <v>1104</v>
      </c>
      <c r="FK62" s="33">
        <v>882</v>
      </c>
      <c r="FL62" s="33">
        <f>ROUND(坦克等级成长!$H159*VLOOKUP($EP$2,坦克等级成长!$B$36:$G$42,MATCH(FL$3,坦克等级成长!$B$35:$G$35,0)),0)</f>
        <v>1210</v>
      </c>
      <c r="FM62" s="33">
        <f>ROUND(坦克等级成长!$H159*VLOOKUP($EP$2,坦克等级成长!$B$36:$G$42,MATCH(FM$3,坦克等级成长!$B$35:$G$35,0)),0)</f>
        <v>283</v>
      </c>
    </row>
    <row r="63" spans="1:169" ht="14.25" x14ac:dyDescent="0.3">
      <c r="A63" s="188">
        <v>5</v>
      </c>
      <c r="B63" s="191">
        <v>10</v>
      </c>
      <c r="C63" s="33">
        <f>ROUND(坦克等级成长!$D160*VLOOKUP($B$2,坦克等级成长!$B$36:$G$42,MATCH(C$3,坦克等级成长!$B$35:$G$35,0)),0)</f>
        <v>2696</v>
      </c>
      <c r="D63" s="33">
        <f>ROUND(坦克等级成长!$D160*VLOOKUP($B$2,坦克等级成长!$B$36:$G$42,MATCH(D$3,坦克等级成长!$B$35:$G$35,0)),0)</f>
        <v>293</v>
      </c>
      <c r="E63" s="33">
        <f>ROUND(坦克等级成长!$D160*VLOOKUP($B$2,坦克等级成长!$B$36:$G$42,MATCH(E$3,坦克等级成长!$B$35:$G$35,0)),0)</f>
        <v>1011</v>
      </c>
      <c r="F63" s="33">
        <f t="shared" si="35"/>
        <v>1011</v>
      </c>
      <c r="G63" s="33">
        <v>756</v>
      </c>
      <c r="H63" s="33">
        <f>ROUND(坦克等级成长!$D160*VLOOKUP($B$2,坦克等级成长!$B$36:$G$42,MATCH(H$3,坦克等级成长!$B$35:$G$35,0)),0)</f>
        <v>1011</v>
      </c>
      <c r="I63" s="33">
        <f>ROUND(坦克等级成长!$D160*VLOOKUP($B$2,坦克等级成长!$B$36:$G$42,MATCH(I$3,坦克等级成长!$B$35:$G$35,0)),0)</f>
        <v>270</v>
      </c>
      <c r="J63" s="198">
        <v>10</v>
      </c>
      <c r="K63" s="33">
        <f>ROUND(坦克等级成长!$F160*VLOOKUP($B$2,坦克等级成长!$B$36:$G$42,MATCH(K$3,坦克等级成长!$B$35:$G$35,0)),0)</f>
        <v>2736</v>
      </c>
      <c r="L63" s="33">
        <f>ROUND(坦克等级成长!$F160*VLOOKUP($B$2,坦克等级成长!$B$36:$G$42,MATCH(L$3,坦克等级成长!$B$35:$G$35,0)),0)</f>
        <v>298</v>
      </c>
      <c r="M63" s="33">
        <f>ROUND(坦克等级成长!$F160*VLOOKUP($B$2,坦克等级成长!$B$36:$G$42,MATCH(M$3,坦克等级成长!$B$35:$G$35,0)),0)</f>
        <v>1026</v>
      </c>
      <c r="N63" s="33">
        <f t="shared" si="7"/>
        <v>1026</v>
      </c>
      <c r="O63" s="33">
        <v>777</v>
      </c>
      <c r="P63" s="33">
        <f>ROUND(坦克等级成长!$F160*VLOOKUP($B$2,坦克等级成长!$B$36:$G$42,MATCH(P$3,坦克等级成长!$B$35:$G$35,0)),0)</f>
        <v>1026</v>
      </c>
      <c r="Q63" s="33">
        <f>ROUND(坦克等级成长!$F160*VLOOKUP($B$2,坦克等级成长!$B$36:$G$42,MATCH(Q$3,坦克等级成长!$B$35:$G$35,0)),0)</f>
        <v>274</v>
      </c>
      <c r="R63" s="191">
        <v>10</v>
      </c>
      <c r="S63" s="33">
        <f>ROUND(坦克等级成长!$H160*VLOOKUP($B$2,坦克等级成长!$B$36:$G$42,MATCH(S$3,坦克等级成长!$B$35:$G$35,0)),0)</f>
        <v>2776</v>
      </c>
      <c r="T63" s="33">
        <f>ROUND(坦克等级成长!$H160*VLOOKUP($B$2,坦克等级成长!$B$36:$G$42,MATCH(T$3,坦克等级成长!$B$35:$G$35,0)),0)</f>
        <v>302</v>
      </c>
      <c r="U63" s="33">
        <f>ROUND(坦克等级成长!$H160*VLOOKUP($B$2,坦克等级成长!$B$36:$G$42,MATCH(U$3,坦克等级成长!$B$35:$G$35,0)),0)</f>
        <v>1041</v>
      </c>
      <c r="V63" s="33">
        <f t="shared" si="21"/>
        <v>1041</v>
      </c>
      <c r="W63" s="33">
        <v>777</v>
      </c>
      <c r="X63" s="33">
        <f>ROUND(坦克等级成长!$H160*VLOOKUP($B$2,坦克等级成长!$B$36:$G$42,MATCH(X$3,坦克等级成长!$B$35:$G$35,0)),0)</f>
        <v>1041</v>
      </c>
      <c r="Y63" s="33">
        <f>ROUND(坦克等级成长!$H160*VLOOKUP($B$2,坦克等级成长!$B$36:$G$42,MATCH(Y$3,坦克等级成长!$B$35:$G$35,0)),0)</f>
        <v>278</v>
      </c>
      <c r="Z63" s="191">
        <v>10</v>
      </c>
      <c r="AA63" s="33">
        <f>ROUND(坦克等级成长!$D160*VLOOKUP($Z$2,坦克等级成长!$B$36:$G$42,MATCH(AA$3,坦克等级成长!$B$35:$G$35,0)),0)</f>
        <v>2696</v>
      </c>
      <c r="AB63" s="33">
        <f>ROUND(坦克等级成长!$D160*VLOOKUP($Z$2,坦克等级成长!$B$36:$G$42,MATCH(AB$3,坦克等级成长!$B$35:$G$35,0)),0)</f>
        <v>159</v>
      </c>
      <c r="AC63" s="33">
        <f>ROUND(坦克等级成长!$D160*VLOOKUP($Z$2,坦克等级成长!$B$36:$G$42,MATCH(AC$3,坦克等级成长!$B$35:$G$35,0)),0)</f>
        <v>1107</v>
      </c>
      <c r="AD63" s="33">
        <f t="shared" si="36"/>
        <v>1107</v>
      </c>
      <c r="AE63" s="33">
        <v>828.1</v>
      </c>
      <c r="AF63" s="33">
        <f>ROUND(坦克等级成长!$D160*VLOOKUP($Z$2,坦克等级成长!$B$36:$G$42,MATCH(AF$3,坦克等级成长!$B$35:$G$35,0)),0)</f>
        <v>1011</v>
      </c>
      <c r="AG63" s="33">
        <f>ROUND(坦克等级成长!$D160*VLOOKUP($Z$2,坦克等级成长!$B$36:$G$42,MATCH(AG$3,坦克等级成长!$B$35:$G$35,0)),0)</f>
        <v>270</v>
      </c>
      <c r="AH63" s="198">
        <v>10</v>
      </c>
      <c r="AI63" s="33">
        <f>ROUND(坦克等级成长!$F160*VLOOKUP($Z$2,坦克等级成长!$B$36:$G$42,MATCH(AI$3,坦克等级成长!$B$35:$G$35,0)),0)</f>
        <v>2736</v>
      </c>
      <c r="AJ63" s="33">
        <f>ROUND(坦克等级成长!$F160*VLOOKUP($Z$2,坦克等级成长!$B$36:$G$42,MATCH(AJ$3,坦克等级成长!$B$35:$G$35,0)),0)</f>
        <v>161</v>
      </c>
      <c r="AK63" s="33">
        <f>ROUND(坦克等级成长!$F160*VLOOKUP($Z$2,坦克等级成长!$B$36:$G$42,MATCH(AK$3,坦克等级成长!$B$35:$G$35,0)),0)</f>
        <v>1124</v>
      </c>
      <c r="AL63" s="33">
        <f t="shared" si="8"/>
        <v>1124</v>
      </c>
      <c r="AM63" s="33">
        <v>851</v>
      </c>
      <c r="AN63" s="33">
        <f>ROUND(坦克等级成长!$F160*VLOOKUP($Z$2,坦克等级成长!$B$36:$G$42,MATCH(AN$3,坦克等级成长!$B$35:$G$35,0)),0)</f>
        <v>1026</v>
      </c>
      <c r="AO63" s="33">
        <f>ROUND(坦克等级成长!$F160*VLOOKUP($Z$2,坦克等级成长!$B$36:$G$42,MATCH(AO$3,坦克等级成长!$B$35:$G$35,0)),0)</f>
        <v>274</v>
      </c>
      <c r="AP63" s="191">
        <v>10</v>
      </c>
      <c r="AQ63" s="33">
        <f>ROUND(坦克等级成长!$H160*VLOOKUP($Z$2,坦克等级成长!$B$36:$G$42,MATCH(AQ$3,坦克等级成长!$B$35:$G$35,0)),0)</f>
        <v>2776</v>
      </c>
      <c r="AR63" s="33">
        <f>ROUND(坦克等级成长!$H160*VLOOKUP($Z$2,坦克等级成长!$B$36:$G$42,MATCH(AR$3,坦克等级成长!$B$35:$G$35,0)),0)</f>
        <v>164</v>
      </c>
      <c r="AS63" s="33">
        <f>ROUND(坦克等级成长!$H160*VLOOKUP($Z$2,坦克等级成长!$B$36:$G$42,MATCH(AS$3,坦克等级成长!$B$35:$G$35,0)),0)</f>
        <v>1140</v>
      </c>
      <c r="AT63" s="33">
        <f t="shared" si="22"/>
        <v>1140</v>
      </c>
      <c r="AU63" s="33">
        <v>851</v>
      </c>
      <c r="AV63" s="33">
        <f>ROUND(坦克等级成长!$H160*VLOOKUP($Z$2,坦克等级成长!$B$36:$G$42,MATCH(AV$3,坦克等级成长!$B$35:$G$35,0)),0)</f>
        <v>1041</v>
      </c>
      <c r="AW63" s="33">
        <f>ROUND(坦克等级成长!$H160*VLOOKUP($Z$2,坦克等级成长!$B$36:$G$42,MATCH(AW$3,坦克等级成长!$B$35:$G$35,0)),0)</f>
        <v>278</v>
      </c>
      <c r="AX63" s="191">
        <v>10</v>
      </c>
      <c r="AY63" s="33">
        <f>ROUND(坦克等级成长!$D160*VLOOKUP($AX$2,坦克等级成长!$B$36:$G$42,MATCH(AY$3,坦克等级成长!$B$35:$G$35,0)),0)</f>
        <v>2696</v>
      </c>
      <c r="AZ63" s="33">
        <f>ROUND(坦克等级成长!$D160*VLOOKUP($AX$2,坦克等级成长!$B$36:$G$42,MATCH(AZ$3,坦克等级成长!$B$35:$G$35,0)),0)</f>
        <v>293</v>
      </c>
      <c r="BA63" s="33">
        <f>ROUND(坦克等级成长!$D160*VLOOKUP($AX$2,坦克等级成长!$B$36:$G$42,MATCH(BA$3,坦克等级成长!$B$35:$G$35,0)),0)</f>
        <v>1011</v>
      </c>
      <c r="BB63" s="33">
        <f t="shared" si="37"/>
        <v>1011</v>
      </c>
      <c r="BC63" s="33">
        <v>756</v>
      </c>
      <c r="BD63" s="33">
        <f>ROUND(坦克等级成长!$D160*VLOOKUP($AX$2,坦克等级成长!$B$36:$G$42,MATCH(BD$3,坦克等级成长!$B$35:$G$35,0)),0)</f>
        <v>1011</v>
      </c>
      <c r="BE63" s="33">
        <f>ROUND(坦克等级成长!$D160*VLOOKUP($AX$2,坦克等级成长!$B$36:$G$42,MATCH(BE$3,坦克等级成长!$B$35:$G$35,0)),0)</f>
        <v>270</v>
      </c>
      <c r="BF63" s="198">
        <v>10</v>
      </c>
      <c r="BG63" s="33">
        <f>ROUND(坦克等级成长!$F160*VLOOKUP($AX$2,坦克等级成长!$B$36:$G$42,MATCH(BG$3,坦克等级成长!$B$35:$G$35,0)),0)</f>
        <v>2736</v>
      </c>
      <c r="BH63" s="33">
        <f>ROUND(坦克等级成长!$F160*VLOOKUP($AX$2,坦克等级成长!$B$36:$G$42,MATCH(BH$3,坦克等级成长!$B$35:$G$35,0)),0)</f>
        <v>298</v>
      </c>
      <c r="BI63" s="33">
        <f>ROUND(坦克等级成长!$F160*VLOOKUP($AX$2,坦克等级成长!$B$36:$G$42,MATCH(BI$3,坦克等级成长!$B$35:$G$35,0)),0)</f>
        <v>1026</v>
      </c>
      <c r="BJ63" s="33">
        <f t="shared" si="9"/>
        <v>1026</v>
      </c>
      <c r="BK63" s="33">
        <v>777</v>
      </c>
      <c r="BL63" s="33">
        <f>ROUND(坦克等级成长!$F160*VLOOKUP($AX$2,坦克等级成长!$B$36:$G$42,MATCH(BL$3,坦克等级成长!$B$35:$G$35,0)),0)</f>
        <v>1026</v>
      </c>
      <c r="BM63" s="33">
        <f>ROUND(坦克等级成长!$F160*VLOOKUP($AX$2,坦克等级成长!$B$36:$G$42,MATCH(BM$3,坦克等级成长!$B$35:$G$35,0)),0)</f>
        <v>274</v>
      </c>
      <c r="BN63" s="191">
        <v>10</v>
      </c>
      <c r="BO63" s="33">
        <f>ROUND(坦克等级成长!$H160*VLOOKUP($AX$2,坦克等级成长!$B$36:$G$42,MATCH(BO$3,坦克等级成长!$B$35:$G$35,0)),0)</f>
        <v>2776</v>
      </c>
      <c r="BP63" s="33">
        <f>ROUND(坦克等级成长!$H160*VLOOKUP($AX$2,坦克等级成长!$B$36:$G$42,MATCH(BP$3,坦克等级成长!$B$35:$G$35,0)),0)</f>
        <v>302</v>
      </c>
      <c r="BQ63" s="33">
        <f>ROUND(坦克等级成长!$H160*VLOOKUP($AX$2,坦克等级成长!$B$36:$G$42,MATCH(BQ$3,坦克等级成长!$B$35:$G$35,0)),0)</f>
        <v>1041</v>
      </c>
      <c r="BR63" s="33">
        <f t="shared" si="23"/>
        <v>1041</v>
      </c>
      <c r="BS63" s="33">
        <v>777</v>
      </c>
      <c r="BT63" s="33">
        <f>ROUND(坦克等级成长!$H160*VLOOKUP($AX$2,坦克等级成长!$B$36:$G$42,MATCH(BT$3,坦克等级成长!$B$35:$G$35,0)),0)</f>
        <v>1041</v>
      </c>
      <c r="BU63" s="33">
        <f>ROUND(坦克等级成长!$H160*VLOOKUP($AX$2,坦克等级成长!$B$36:$G$42,MATCH(BU$3,坦克等级成长!$B$35:$G$35,0)),0)</f>
        <v>278</v>
      </c>
      <c r="BV63" s="191">
        <v>10</v>
      </c>
      <c r="BW63" s="33">
        <f>ROUND(坦克等级成长!$D160*VLOOKUP($BV$2,坦克等级成长!$B$36:$G$42,MATCH(BW$3,坦克等级成长!$B$35:$G$35,0)),0)</f>
        <v>2841</v>
      </c>
      <c r="BX63" s="33">
        <f>ROUND(坦克等级成长!$D160*VLOOKUP($BV$2,坦克等级成长!$B$36:$G$42,MATCH(BX$3,坦克等级成长!$B$35:$G$35,0)),0)</f>
        <v>268</v>
      </c>
      <c r="BY63" s="33">
        <f>ROUND(坦克等级成长!$D160*VLOOKUP($BV$2,坦克等级成长!$B$36:$G$42,MATCH(BY$3,坦克等级成长!$B$35:$G$35,0)),0)</f>
        <v>963</v>
      </c>
      <c r="BZ63" s="33">
        <f t="shared" si="38"/>
        <v>963</v>
      </c>
      <c r="CA63" s="33">
        <v>771.75</v>
      </c>
      <c r="CB63" s="33">
        <f>ROUND(坦克等级成长!$D160*VLOOKUP($BV$2,坦克等级成长!$B$36:$G$42,MATCH(CB$3,坦克等级成长!$B$35:$G$35,0)),0)</f>
        <v>1213</v>
      </c>
      <c r="CC63" s="33">
        <f>ROUND(坦克等级成长!$D160*VLOOKUP($BV$2,坦克等级成长!$B$36:$G$42,MATCH(CC$3,坦克等级成长!$B$35:$G$35,0)),0)</f>
        <v>284</v>
      </c>
      <c r="CD63" s="198">
        <v>10</v>
      </c>
      <c r="CE63" s="33">
        <f>ROUND(坦克等级成长!$F160*VLOOKUP($BV$2,坦克等级成长!$B$36:$G$42,MATCH(CE$3,坦克等级成长!$B$35:$G$35,0)),0)</f>
        <v>2883</v>
      </c>
      <c r="CF63" s="33">
        <f>ROUND(坦克等级成长!$F160*VLOOKUP($BV$2,坦克等级成长!$B$36:$G$42,MATCH(CF$3,坦克等级成长!$B$35:$G$35,0)),0)</f>
        <v>272</v>
      </c>
      <c r="CG63" s="33">
        <f>ROUND(坦克等级成长!$F160*VLOOKUP($BV$2,坦克等级成长!$B$36:$G$42,MATCH(CG$3,坦克等级成长!$B$35:$G$35,0)),0)</f>
        <v>977</v>
      </c>
      <c r="CH63" s="33">
        <f t="shared" si="10"/>
        <v>977</v>
      </c>
      <c r="CI63" s="33">
        <v>793</v>
      </c>
      <c r="CJ63" s="33">
        <f>ROUND(坦克等级成长!$F160*VLOOKUP($BV$2,坦克等级成长!$B$36:$G$42,MATCH(CJ$3,坦克等级成长!$B$35:$G$35,0)),0)</f>
        <v>1231</v>
      </c>
      <c r="CK63" s="33">
        <f>ROUND(坦克等级成长!$F160*VLOOKUP($BV$2,坦克等级成长!$B$36:$G$42,MATCH(CK$3,坦克等级成长!$B$35:$G$35,0)),0)</f>
        <v>288</v>
      </c>
      <c r="CL63" s="191">
        <v>10</v>
      </c>
      <c r="CM63" s="33">
        <f>ROUND(坦克等级成长!$H160*VLOOKUP($BV$2,坦克等级成长!$B$36:$G$42,MATCH(CM$3,坦克等级成长!$B$35:$G$35,0)),0)</f>
        <v>2925</v>
      </c>
      <c r="CN63" s="33">
        <f>ROUND(坦克等级成长!$H160*VLOOKUP($BV$2,坦克等级成长!$B$36:$G$42,MATCH(CN$3,坦克等级成长!$B$35:$G$35,0)),0)</f>
        <v>276</v>
      </c>
      <c r="CO63" s="33">
        <f>ROUND(坦克等级成长!$H160*VLOOKUP($BV$2,坦克等级成长!$B$36:$G$42,MATCH(CO$3,坦克等级成长!$B$35:$G$35,0)),0)</f>
        <v>991</v>
      </c>
      <c r="CP63" s="33">
        <f t="shared" si="24"/>
        <v>991</v>
      </c>
      <c r="CQ63" s="33">
        <v>793</v>
      </c>
      <c r="CR63" s="33">
        <f>ROUND(坦克等级成长!$H160*VLOOKUP($BV$2,坦克等级成长!$B$36:$G$42,MATCH(CR$3,坦克等级成长!$B$35:$G$35,0)),0)</f>
        <v>1249</v>
      </c>
      <c r="CS63" s="33">
        <f>ROUND(坦克等级成长!$H160*VLOOKUP($BV$2,坦克等级成长!$B$36:$G$42,MATCH(CS$3,坦克等级成长!$B$35:$G$35,0)),0)</f>
        <v>293</v>
      </c>
      <c r="CT63" s="191">
        <v>10</v>
      </c>
      <c r="CU63" s="33">
        <f>ROUND(坦克等级成长!$D160*VLOOKUP($CT$2,坦克等级成长!$B$36:$G$42,MATCH(CU$3,坦克等级成长!$B$35:$G$35,0)),0)</f>
        <v>2696</v>
      </c>
      <c r="CV63" s="33">
        <f>ROUND(坦克等级成长!$D160*VLOOKUP($CT$2,坦克等级成长!$B$36:$G$42,MATCH(CV$3,坦克等级成长!$B$35:$G$35,0)),0)</f>
        <v>612</v>
      </c>
      <c r="CW63" s="33">
        <f>ROUND(坦克等级成长!$D160*VLOOKUP($CT$2,坦克等级成长!$B$36:$G$42,MATCH(CW$3,坦克等级成长!$B$35:$G$35,0)),0)</f>
        <v>1204</v>
      </c>
      <c r="CX63" s="33">
        <f t="shared" si="39"/>
        <v>1204</v>
      </c>
      <c r="CY63" s="33">
        <v>964.5</v>
      </c>
      <c r="CZ63" s="33">
        <f>ROUND(坦克等级成长!$D160*VLOOKUP($CT$2,坦克等级成长!$B$36:$G$42,MATCH(CZ$3,坦克等级成长!$B$35:$G$35,0)),0)</f>
        <v>1011</v>
      </c>
      <c r="DA63" s="33">
        <f>ROUND(坦克等级成长!$D160*VLOOKUP($CT$2,坦克等级成长!$B$36:$G$42,MATCH(DA$3,坦克等级成长!$B$35:$G$35,0)),0)</f>
        <v>270</v>
      </c>
      <c r="DB63" s="198">
        <v>10</v>
      </c>
      <c r="DC63" s="33">
        <f>ROUND(坦克等级成长!$F160*VLOOKUP($CT$2,坦克等级成长!$B$36:$G$42,MATCH(DC$3,坦克等级成长!$B$35:$G$35,0)),0)</f>
        <v>2736</v>
      </c>
      <c r="DD63" s="33">
        <f>ROUND(坦克等级成长!$F160*VLOOKUP($CT$2,坦克等级成长!$B$36:$G$42,MATCH(DD$3,坦克等级成长!$B$35:$G$35,0)),0)</f>
        <v>621</v>
      </c>
      <c r="DE63" s="33">
        <f>ROUND(坦克等级成长!$F160*VLOOKUP($CT$2,坦克等级成长!$B$36:$G$42,MATCH(DE$3,坦克等级成长!$B$35:$G$35,0)),0)</f>
        <v>1221</v>
      </c>
      <c r="DF63" s="33">
        <f t="shared" si="11"/>
        <v>1221</v>
      </c>
      <c r="DG63" s="33">
        <v>991</v>
      </c>
      <c r="DH63" s="33">
        <f>ROUND(坦克等级成长!$F160*VLOOKUP($CT$2,坦克等级成长!$B$36:$G$42,MATCH(DH$3,坦克等级成长!$B$35:$G$35,0)),0)</f>
        <v>1026</v>
      </c>
      <c r="DI63" s="33">
        <f>ROUND(坦克等级成长!$F160*VLOOKUP($CT$2,坦克等级成长!$B$36:$G$42,MATCH(DI$3,坦克等级成长!$B$35:$G$35,0)),0)</f>
        <v>274</v>
      </c>
      <c r="DJ63" s="191">
        <v>10</v>
      </c>
      <c r="DK63" s="33">
        <f>ROUND(坦克等级成长!$H160*VLOOKUP($CT$2,坦克等级成长!$B$36:$G$42,MATCH(DK$3,坦克等级成长!$B$35:$G$35,0)),0)</f>
        <v>2776</v>
      </c>
      <c r="DL63" s="33">
        <f>ROUND(坦克等级成长!$H160*VLOOKUP($CT$2,坦克等级成长!$B$36:$G$42,MATCH(DL$3,坦克等级成长!$B$35:$G$35,0)),0)</f>
        <v>630</v>
      </c>
      <c r="DM63" s="33">
        <f>ROUND(坦克等级成长!$H160*VLOOKUP($CT$2,坦克等级成长!$B$36:$G$42,MATCH(DM$3,坦克等级成长!$B$35:$G$35,0)),0)</f>
        <v>1239</v>
      </c>
      <c r="DN63" s="33">
        <f t="shared" si="25"/>
        <v>1239</v>
      </c>
      <c r="DO63" s="33">
        <v>991</v>
      </c>
      <c r="DP63" s="33">
        <f>ROUND(坦克等级成长!$H160*VLOOKUP($CT$2,坦克等级成长!$B$36:$G$42,MATCH(DP$3,坦克等级成长!$B$35:$G$35,0)),0)</f>
        <v>1041</v>
      </c>
      <c r="DQ63" s="33">
        <f>ROUND(坦克等级成长!$H160*VLOOKUP($CT$2,坦克等级成长!$B$36:$G$42,MATCH(DQ$3,坦克等级成长!$B$35:$G$35,0)),0)</f>
        <v>278</v>
      </c>
      <c r="DR63" s="191">
        <v>10</v>
      </c>
      <c r="DS63" s="33">
        <f>ROUND(坦克等级成长!$D160*VLOOKUP($DR$2,坦克等级成长!$B$36:$G$42,MATCH(DS$3,坦克等级成长!$B$35:$G$35,0)),0)</f>
        <v>3067</v>
      </c>
      <c r="DT63" s="33">
        <f>ROUND(坦克等级成长!$D160*VLOOKUP($DR$2,坦克等级成长!$B$36:$G$42,MATCH(DT$3,坦克等级成长!$B$35:$G$35,0)),0)</f>
        <v>1046</v>
      </c>
      <c r="DU63" s="33">
        <f>ROUND(坦克等级成长!$D160*VLOOKUP($DR$2,坦克等级成长!$B$36:$G$42,MATCH(DU$3,坦克等级成长!$B$35:$G$35,0)),0)</f>
        <v>963</v>
      </c>
      <c r="DV63" s="33">
        <f t="shared" si="40"/>
        <v>963</v>
      </c>
      <c r="DW63" s="33">
        <v>823.2</v>
      </c>
      <c r="DX63" s="33">
        <f>ROUND(坦克等级成长!$D160*VLOOKUP($DR$2,坦克等级成长!$B$36:$G$42,MATCH(DX$3,坦克等级成长!$B$35:$G$35,0)),0)</f>
        <v>1415</v>
      </c>
      <c r="DY63" s="33">
        <f>ROUND(坦克等级成长!$D160*VLOOKUP($DR$2,坦克等级成长!$B$36:$G$42,MATCH(DY$3,坦克等级成长!$B$35:$G$35,0)),0)</f>
        <v>307</v>
      </c>
      <c r="DZ63" s="198">
        <v>10</v>
      </c>
      <c r="EA63" s="33">
        <f>ROUND(坦克等级成长!$F160*VLOOKUP($DR$2,坦克等级成长!$B$36:$G$42,MATCH(EA$3,坦克等级成长!$B$35:$G$35,0)),0)</f>
        <v>3113</v>
      </c>
      <c r="EB63" s="33">
        <f>ROUND(坦克等级成长!$F160*VLOOKUP($DR$2,坦克等级成长!$B$36:$G$42,MATCH(EB$3,坦克等级成长!$B$35:$G$35,0)),0)</f>
        <v>1062</v>
      </c>
      <c r="EC63" s="33">
        <f>ROUND(坦克等级成长!$F160*VLOOKUP($DR$2,坦克等级成长!$B$36:$G$42,MATCH(EC$3,坦克等级成长!$B$35:$G$35,0)),0)</f>
        <v>977</v>
      </c>
      <c r="ED63" s="33">
        <f t="shared" si="12"/>
        <v>977</v>
      </c>
      <c r="EE63" s="33">
        <v>846</v>
      </c>
      <c r="EF63" s="33">
        <f>ROUND(坦克等级成长!$F160*VLOOKUP($DR$2,坦克等级成长!$B$36:$G$42,MATCH(EF$3,坦克等级成长!$B$35:$G$35,0)),0)</f>
        <v>1436</v>
      </c>
      <c r="EG63" s="33">
        <f>ROUND(坦克等级成长!$F160*VLOOKUP($DR$2,坦克等级成长!$B$36:$G$42,MATCH(EG$3,坦克等级成长!$B$35:$G$35,0)),0)</f>
        <v>311</v>
      </c>
      <c r="EH63" s="191">
        <v>10</v>
      </c>
      <c r="EI63" s="33">
        <f>ROUND(坦克等级成长!$H160*VLOOKUP($DR$2,坦克等级成长!$B$36:$G$42,MATCH(EI$3,坦克等级成长!$B$35:$G$35,0)),0)</f>
        <v>3158</v>
      </c>
      <c r="EJ63" s="33">
        <f>ROUND(坦克等级成长!$H160*VLOOKUP($DR$2,坦克等级成长!$B$36:$G$42,MATCH(EJ$3,坦克等级成长!$B$35:$G$35,0)),0)</f>
        <v>1077</v>
      </c>
      <c r="EK63" s="33">
        <f>ROUND(坦克等级成长!$H160*VLOOKUP($DR$2,坦克等级成长!$B$36:$G$42,MATCH(EK$3,坦克等级成长!$B$35:$G$35,0)),0)</f>
        <v>991</v>
      </c>
      <c r="EL63" s="33">
        <f t="shared" si="26"/>
        <v>991</v>
      </c>
      <c r="EM63" s="33">
        <v>846</v>
      </c>
      <c r="EN63" s="33">
        <f>ROUND(坦克等级成长!$H160*VLOOKUP($DR$2,坦克等级成长!$B$36:$G$42,MATCH(EN$3,坦克等级成长!$B$35:$G$35,0)),0)</f>
        <v>1457</v>
      </c>
      <c r="EO63" s="33">
        <f>ROUND(坦克等级成长!$H160*VLOOKUP($DR$2,坦克等级成长!$B$36:$G$42,MATCH(EO$3,坦克等级成长!$B$35:$G$35,0)),0)</f>
        <v>316</v>
      </c>
      <c r="EP63" s="191">
        <v>10</v>
      </c>
      <c r="EQ63" s="33">
        <f>ROUND(坦克等级成长!$D160*VLOOKUP($EP$2,坦克等级成长!$B$36:$G$42,MATCH(EQ$3,坦克等级成长!$B$35:$G$35,0)),0)</f>
        <v>2841</v>
      </c>
      <c r="ER63" s="33">
        <f>ROUND(坦克等级成长!$D160*VLOOKUP($EP$2,坦克等级成长!$B$36:$G$42,MATCH(ER$3,坦克等级成长!$B$35:$G$35,0)),0)</f>
        <v>325</v>
      </c>
      <c r="ES63" s="33">
        <f>ROUND(坦克等级成长!$D160*VLOOKUP($EP$2,坦克等级成长!$B$36:$G$42,MATCH(ES$3,坦克等级成长!$B$35:$G$35,0)),0)</f>
        <v>1107</v>
      </c>
      <c r="ET63" s="33">
        <f t="shared" si="41"/>
        <v>1107</v>
      </c>
      <c r="EU63" s="33">
        <v>887.25</v>
      </c>
      <c r="EV63" s="33">
        <f>ROUND(坦克等级成长!$D160*VLOOKUP($EP$2,坦克等级成长!$B$36:$G$42,MATCH(EV$3,坦克等级成长!$B$35:$G$35,0)),0)</f>
        <v>1213</v>
      </c>
      <c r="EW63" s="33">
        <f>ROUND(坦克等级成长!$D160*VLOOKUP($EP$2,坦克等级成长!$B$36:$G$42,MATCH(EW$3,坦克等级成长!$B$35:$G$35,0)),0)</f>
        <v>284</v>
      </c>
      <c r="EX63" s="198">
        <v>10</v>
      </c>
      <c r="EY63" s="33">
        <f>ROUND(坦克等级成长!$F160*VLOOKUP($EP$2,坦克等级成长!$B$36:$G$42,MATCH(EY$3,坦克等级成长!$B$35:$G$35,0)),0)</f>
        <v>2883</v>
      </c>
      <c r="EZ63" s="33">
        <f>ROUND(坦克等级成长!$F160*VLOOKUP($EP$2,坦克等级成长!$B$36:$G$42,MATCH(EZ$3,坦克等级成长!$B$35:$G$35,0)),0)</f>
        <v>330</v>
      </c>
      <c r="FA63" s="33">
        <f>ROUND(坦克等级成长!$F160*VLOOKUP($EP$2,坦克等级成长!$B$36:$G$42,MATCH(FA$3,坦克等级成长!$B$35:$G$35,0)),0)</f>
        <v>1124</v>
      </c>
      <c r="FB63" s="33">
        <f t="shared" si="13"/>
        <v>1124</v>
      </c>
      <c r="FC63" s="33">
        <v>912</v>
      </c>
      <c r="FD63" s="33">
        <f>ROUND(坦克等级成长!$F160*VLOOKUP($EP$2,坦克等级成长!$B$36:$G$42,MATCH(FD$3,坦克等级成长!$B$35:$G$35,0)),0)</f>
        <v>1231</v>
      </c>
      <c r="FE63" s="33">
        <f>ROUND(坦克等级成长!$F160*VLOOKUP($EP$2,坦克等级成长!$B$36:$G$42,MATCH(FE$3,坦克等级成长!$B$35:$G$35,0)),0)</f>
        <v>288</v>
      </c>
      <c r="FF63" s="191">
        <v>10</v>
      </c>
      <c r="FG63" s="33">
        <f>ROUND(坦克等级成长!$H160*VLOOKUP($EP$2,坦克等级成长!$B$36:$G$42,MATCH(FG$3,坦克等级成长!$B$35:$G$35,0)),0)</f>
        <v>2925</v>
      </c>
      <c r="FH63" s="33">
        <f>ROUND(坦克等级成长!$H160*VLOOKUP($EP$2,坦克等级成长!$B$36:$G$42,MATCH(FH$3,坦克等级成长!$B$35:$G$35,0)),0)</f>
        <v>335</v>
      </c>
      <c r="FI63" s="33">
        <f>ROUND(坦克等级成长!$H160*VLOOKUP($EP$2,坦克等级成长!$B$36:$G$42,MATCH(FI$3,坦克等级成长!$B$35:$G$35,0)),0)</f>
        <v>1140</v>
      </c>
      <c r="FJ63" s="33">
        <f t="shared" si="27"/>
        <v>1140</v>
      </c>
      <c r="FK63" s="33">
        <v>912</v>
      </c>
      <c r="FL63" s="33">
        <f>ROUND(坦克等级成长!$H160*VLOOKUP($EP$2,坦克等级成长!$B$36:$G$42,MATCH(FL$3,坦克等级成长!$B$35:$G$35,0)),0)</f>
        <v>1249</v>
      </c>
      <c r="FM63" s="33">
        <f>ROUND(坦克等级成长!$H160*VLOOKUP($EP$2,坦克等级成长!$B$36:$G$42,MATCH(FM$3,坦克等级成长!$B$35:$G$35,0)),0)</f>
        <v>293</v>
      </c>
    </row>
    <row r="64" spans="1:169" ht="14.25" x14ac:dyDescent="0.3">
      <c r="A64" s="188">
        <v>5</v>
      </c>
      <c r="B64" s="191">
        <v>11</v>
      </c>
      <c r="C64" s="33">
        <f>ROUND(坦克等级成长!$D161*VLOOKUP($B$2,坦克等级成长!$B$36:$G$42,MATCH(C$3,坦克等级成长!$B$35:$G$35,0)),0)</f>
        <v>2784</v>
      </c>
      <c r="D64" s="33">
        <f>ROUND(坦克等级成长!$D161*VLOOKUP($B$2,坦克等级成长!$B$36:$G$42,MATCH(D$3,坦克等级成长!$B$35:$G$35,0)),0)</f>
        <v>303</v>
      </c>
      <c r="E64" s="33">
        <f>ROUND(坦克等级成长!$D161*VLOOKUP($B$2,坦克等级成长!$B$36:$G$42,MATCH(E$3,坦克等级成长!$B$35:$G$35,0)),0)</f>
        <v>1044</v>
      </c>
      <c r="F64" s="33">
        <f t="shared" si="35"/>
        <v>1044</v>
      </c>
      <c r="G64" s="33">
        <v>781.2</v>
      </c>
      <c r="H64" s="33">
        <f>ROUND(坦克等级成长!$D161*VLOOKUP($B$2,坦克等级成长!$B$36:$G$42,MATCH(H$3,坦克等级成长!$B$35:$G$35,0)),0)</f>
        <v>1044</v>
      </c>
      <c r="I64" s="33">
        <f>ROUND(坦克等级成长!$D161*VLOOKUP($B$2,坦克等级成长!$B$36:$G$42,MATCH(I$3,坦克等级成长!$B$35:$G$35,0)),0)</f>
        <v>278</v>
      </c>
      <c r="J64" s="198">
        <v>11</v>
      </c>
      <c r="K64" s="33">
        <f>ROUND(坦克等级成长!$F161*VLOOKUP($B$2,坦克等级成长!$B$36:$G$42,MATCH(K$3,坦克等级成长!$B$35:$G$35,0)),0)</f>
        <v>2824</v>
      </c>
      <c r="L64" s="33">
        <f>ROUND(坦克等级成长!$F161*VLOOKUP($B$2,坦克等级成长!$B$36:$G$42,MATCH(L$3,坦克等级成长!$B$35:$G$35,0)),0)</f>
        <v>307</v>
      </c>
      <c r="M64" s="33">
        <f>ROUND(坦克等级成长!$F161*VLOOKUP($B$2,坦克等级成长!$B$36:$G$42,MATCH(M$3,坦克等级成长!$B$35:$G$35,0)),0)</f>
        <v>1059</v>
      </c>
      <c r="N64" s="33">
        <f t="shared" si="7"/>
        <v>1059</v>
      </c>
      <c r="O64" s="33">
        <v>802</v>
      </c>
      <c r="P64" s="33">
        <f>ROUND(坦克等级成长!$F161*VLOOKUP($B$2,坦克等级成长!$B$36:$G$42,MATCH(P$3,坦克等级成长!$B$35:$G$35,0)),0)</f>
        <v>1059</v>
      </c>
      <c r="Q64" s="33">
        <f>ROUND(坦克等级成长!$F161*VLOOKUP($B$2,坦克等级成长!$B$36:$G$42,MATCH(Q$3,坦克等级成长!$B$35:$G$35,0)),0)</f>
        <v>282</v>
      </c>
      <c r="R64" s="191">
        <v>11</v>
      </c>
      <c r="S64" s="33">
        <f>ROUND(坦克等级成长!$H161*VLOOKUP($B$2,坦克等级成长!$B$36:$G$42,MATCH(S$3,坦克等级成长!$B$35:$G$35,0)),0)</f>
        <v>2864</v>
      </c>
      <c r="T64" s="33">
        <f>ROUND(坦克等级成长!$H161*VLOOKUP($B$2,坦克等级成长!$B$36:$G$42,MATCH(T$3,坦克等级成长!$B$35:$G$35,0)),0)</f>
        <v>312</v>
      </c>
      <c r="U64" s="33">
        <f>ROUND(坦克等级成长!$H161*VLOOKUP($B$2,坦克等级成长!$B$36:$G$42,MATCH(U$3,坦克等级成长!$B$35:$G$35,0)),0)</f>
        <v>1074</v>
      </c>
      <c r="V64" s="33">
        <f t="shared" si="21"/>
        <v>1074</v>
      </c>
      <c r="W64" s="33">
        <v>802</v>
      </c>
      <c r="X64" s="33">
        <f>ROUND(坦克等级成长!$H161*VLOOKUP($B$2,坦克等级成长!$B$36:$G$42,MATCH(X$3,坦克等级成长!$B$35:$G$35,0)),0)</f>
        <v>1074</v>
      </c>
      <c r="Y64" s="33">
        <f>ROUND(坦克等级成长!$H161*VLOOKUP($B$2,坦克等级成长!$B$36:$G$42,MATCH(Y$3,坦克等级成长!$B$35:$G$35,0)),0)</f>
        <v>286</v>
      </c>
      <c r="Z64" s="191">
        <v>11</v>
      </c>
      <c r="AA64" s="33">
        <f>ROUND(坦克等级成长!$D161*VLOOKUP($Z$2,坦克等级成长!$B$36:$G$42,MATCH(AA$3,坦克等级成长!$B$35:$G$35,0)),0)</f>
        <v>2784</v>
      </c>
      <c r="AB64" s="33">
        <f>ROUND(坦克等级成长!$D161*VLOOKUP($Z$2,坦克等级成长!$B$36:$G$42,MATCH(AB$3,坦克等级成长!$B$35:$G$35,0)),0)</f>
        <v>164</v>
      </c>
      <c r="AC64" s="33">
        <f>ROUND(坦克等级成长!$D161*VLOOKUP($Z$2,坦克等级成长!$B$36:$G$42,MATCH(AC$3,坦克等级成长!$B$35:$G$35,0)),0)</f>
        <v>1143</v>
      </c>
      <c r="AD64" s="33">
        <f t="shared" si="36"/>
        <v>1143</v>
      </c>
      <c r="AE64" s="33">
        <v>855.4</v>
      </c>
      <c r="AF64" s="33">
        <f>ROUND(坦克等级成长!$D161*VLOOKUP($Z$2,坦克等级成长!$B$36:$G$42,MATCH(AF$3,坦克等级成长!$B$35:$G$35,0)),0)</f>
        <v>1044</v>
      </c>
      <c r="AG64" s="33">
        <f>ROUND(坦克等级成长!$D161*VLOOKUP($Z$2,坦克等级成长!$B$36:$G$42,MATCH(AG$3,坦克等级成长!$B$35:$G$35,0)),0)</f>
        <v>278</v>
      </c>
      <c r="AH64" s="198">
        <v>11</v>
      </c>
      <c r="AI64" s="33">
        <f>ROUND(坦克等级成长!$F161*VLOOKUP($Z$2,坦克等级成长!$B$36:$G$42,MATCH(AI$3,坦克等级成长!$B$35:$G$35,0)),0)</f>
        <v>2824</v>
      </c>
      <c r="AJ64" s="33">
        <f>ROUND(坦克等级成长!$F161*VLOOKUP($Z$2,坦克等级成长!$B$36:$G$42,MATCH(AJ$3,坦克等级成长!$B$35:$G$35,0)),0)</f>
        <v>166</v>
      </c>
      <c r="AK64" s="33">
        <f>ROUND(坦克等级成长!$F161*VLOOKUP($Z$2,坦克等级成长!$B$36:$G$42,MATCH(AK$3,坦克等级成长!$B$35:$G$35,0)),0)</f>
        <v>1160</v>
      </c>
      <c r="AL64" s="33">
        <f t="shared" si="8"/>
        <v>1160</v>
      </c>
      <c r="AM64" s="33">
        <v>879</v>
      </c>
      <c r="AN64" s="33">
        <f>ROUND(坦克等级成长!$F161*VLOOKUP($Z$2,坦克等级成长!$B$36:$G$42,MATCH(AN$3,坦克等级成长!$B$35:$G$35,0)),0)</f>
        <v>1059</v>
      </c>
      <c r="AO64" s="33">
        <f>ROUND(坦克等级成长!$F161*VLOOKUP($Z$2,坦克等级成长!$B$36:$G$42,MATCH(AO$3,坦克等级成长!$B$35:$G$35,0)),0)</f>
        <v>282</v>
      </c>
      <c r="AP64" s="191">
        <v>11</v>
      </c>
      <c r="AQ64" s="33">
        <f>ROUND(坦克等级成长!$H161*VLOOKUP($Z$2,坦克等级成长!$B$36:$G$42,MATCH(AQ$3,坦克等级成长!$B$35:$G$35,0)),0)</f>
        <v>2864</v>
      </c>
      <c r="AR64" s="33">
        <f>ROUND(坦克等级成长!$H161*VLOOKUP($Z$2,坦克等级成长!$B$36:$G$42,MATCH(AR$3,坦克等级成长!$B$35:$G$35,0)),0)</f>
        <v>169</v>
      </c>
      <c r="AS64" s="33">
        <f>ROUND(坦克等级成长!$H161*VLOOKUP($Z$2,坦克等级成长!$B$36:$G$42,MATCH(AS$3,坦克等级成长!$B$35:$G$35,0)),0)</f>
        <v>1176</v>
      </c>
      <c r="AT64" s="33">
        <f t="shared" si="22"/>
        <v>1176</v>
      </c>
      <c r="AU64" s="33">
        <v>879</v>
      </c>
      <c r="AV64" s="33">
        <f>ROUND(坦克等级成长!$H161*VLOOKUP($Z$2,坦克等级成长!$B$36:$G$42,MATCH(AV$3,坦克等级成长!$B$35:$G$35,0)),0)</f>
        <v>1074</v>
      </c>
      <c r="AW64" s="33">
        <f>ROUND(坦克等级成长!$H161*VLOOKUP($Z$2,坦克等级成长!$B$36:$G$42,MATCH(AW$3,坦克等级成长!$B$35:$G$35,0)),0)</f>
        <v>286</v>
      </c>
      <c r="AX64" s="191">
        <v>11</v>
      </c>
      <c r="AY64" s="33">
        <f>ROUND(坦克等级成长!$D161*VLOOKUP($AX$2,坦克等级成长!$B$36:$G$42,MATCH(AY$3,坦克等级成长!$B$35:$G$35,0)),0)</f>
        <v>2784</v>
      </c>
      <c r="AZ64" s="33">
        <f>ROUND(坦克等级成长!$D161*VLOOKUP($AX$2,坦克等级成长!$B$36:$G$42,MATCH(AZ$3,坦克等级成长!$B$35:$G$35,0)),0)</f>
        <v>303</v>
      </c>
      <c r="BA64" s="33">
        <f>ROUND(坦克等级成长!$D161*VLOOKUP($AX$2,坦克等级成长!$B$36:$G$42,MATCH(BA$3,坦克等级成长!$B$35:$G$35,0)),0)</f>
        <v>1044</v>
      </c>
      <c r="BB64" s="33">
        <f t="shared" si="37"/>
        <v>1044</v>
      </c>
      <c r="BC64" s="33">
        <v>781.2</v>
      </c>
      <c r="BD64" s="33">
        <f>ROUND(坦克等级成长!$D161*VLOOKUP($AX$2,坦克等级成长!$B$36:$G$42,MATCH(BD$3,坦克等级成长!$B$35:$G$35,0)),0)</f>
        <v>1044</v>
      </c>
      <c r="BE64" s="33">
        <f>ROUND(坦克等级成长!$D161*VLOOKUP($AX$2,坦克等级成长!$B$36:$G$42,MATCH(BE$3,坦克等级成长!$B$35:$G$35,0)),0)</f>
        <v>278</v>
      </c>
      <c r="BF64" s="198">
        <v>11</v>
      </c>
      <c r="BG64" s="33">
        <f>ROUND(坦克等级成长!$F161*VLOOKUP($AX$2,坦克等级成长!$B$36:$G$42,MATCH(BG$3,坦克等级成长!$B$35:$G$35,0)),0)</f>
        <v>2824</v>
      </c>
      <c r="BH64" s="33">
        <f>ROUND(坦克等级成长!$F161*VLOOKUP($AX$2,坦克等级成长!$B$36:$G$42,MATCH(BH$3,坦克等级成长!$B$35:$G$35,0)),0)</f>
        <v>307</v>
      </c>
      <c r="BI64" s="33">
        <f>ROUND(坦克等级成长!$F161*VLOOKUP($AX$2,坦克等级成长!$B$36:$G$42,MATCH(BI$3,坦克等级成长!$B$35:$G$35,0)),0)</f>
        <v>1059</v>
      </c>
      <c r="BJ64" s="33">
        <f t="shared" si="9"/>
        <v>1059</v>
      </c>
      <c r="BK64" s="33">
        <v>802</v>
      </c>
      <c r="BL64" s="33">
        <f>ROUND(坦克等级成长!$F161*VLOOKUP($AX$2,坦克等级成长!$B$36:$G$42,MATCH(BL$3,坦克等级成长!$B$35:$G$35,0)),0)</f>
        <v>1059</v>
      </c>
      <c r="BM64" s="33">
        <f>ROUND(坦克等级成长!$F161*VLOOKUP($AX$2,坦克等级成长!$B$36:$G$42,MATCH(BM$3,坦克等级成长!$B$35:$G$35,0)),0)</f>
        <v>282</v>
      </c>
      <c r="BN64" s="191">
        <v>11</v>
      </c>
      <c r="BO64" s="33">
        <f>ROUND(坦克等级成长!$H161*VLOOKUP($AX$2,坦克等级成长!$B$36:$G$42,MATCH(BO$3,坦克等级成长!$B$35:$G$35,0)),0)</f>
        <v>2864</v>
      </c>
      <c r="BP64" s="33">
        <f>ROUND(坦克等级成长!$H161*VLOOKUP($AX$2,坦克等级成长!$B$36:$G$42,MATCH(BP$3,坦克等级成长!$B$35:$G$35,0)),0)</f>
        <v>312</v>
      </c>
      <c r="BQ64" s="33">
        <f>ROUND(坦克等级成长!$H161*VLOOKUP($AX$2,坦克等级成长!$B$36:$G$42,MATCH(BQ$3,坦克等级成长!$B$35:$G$35,0)),0)</f>
        <v>1074</v>
      </c>
      <c r="BR64" s="33">
        <f t="shared" si="23"/>
        <v>1074</v>
      </c>
      <c r="BS64" s="33">
        <v>802</v>
      </c>
      <c r="BT64" s="33">
        <f>ROUND(坦克等级成长!$H161*VLOOKUP($AX$2,坦克等级成长!$B$36:$G$42,MATCH(BT$3,坦克等级成长!$B$35:$G$35,0)),0)</f>
        <v>1074</v>
      </c>
      <c r="BU64" s="33">
        <f>ROUND(坦克等级成长!$H161*VLOOKUP($AX$2,坦克等级成长!$B$36:$G$42,MATCH(BU$3,坦克等级成长!$B$35:$G$35,0)),0)</f>
        <v>286</v>
      </c>
      <c r="BV64" s="191">
        <v>11</v>
      </c>
      <c r="BW64" s="33">
        <f>ROUND(坦克等级成长!$D161*VLOOKUP($BV$2,坦克等级成长!$B$36:$G$42,MATCH(BW$3,坦克等级成长!$B$35:$G$35,0)),0)</f>
        <v>2934</v>
      </c>
      <c r="BX64" s="33">
        <f>ROUND(坦克等级成长!$D161*VLOOKUP($BV$2,坦克等级成长!$B$36:$G$42,MATCH(BX$3,坦克等级成长!$B$35:$G$35,0)),0)</f>
        <v>277</v>
      </c>
      <c r="BY64" s="33">
        <f>ROUND(坦克等级成长!$D161*VLOOKUP($BV$2,坦克等级成长!$B$36:$G$42,MATCH(BY$3,坦克等级成长!$B$35:$G$35,0)),0)</f>
        <v>994</v>
      </c>
      <c r="BZ64" s="33">
        <f t="shared" si="38"/>
        <v>994</v>
      </c>
      <c r="CA64" s="33">
        <v>797.25</v>
      </c>
      <c r="CB64" s="33">
        <f>ROUND(坦克等级成长!$D161*VLOOKUP($BV$2,坦克等级成长!$B$36:$G$42,MATCH(CB$3,坦克等级成长!$B$35:$G$35,0)),0)</f>
        <v>1253</v>
      </c>
      <c r="CC64" s="33">
        <f>ROUND(坦克等级成长!$D161*VLOOKUP($BV$2,坦克等级成长!$B$36:$G$42,MATCH(CC$3,坦克等级成长!$B$35:$G$35,0)),0)</f>
        <v>293</v>
      </c>
      <c r="CD64" s="198">
        <v>11</v>
      </c>
      <c r="CE64" s="33">
        <f>ROUND(坦克等级成长!$F161*VLOOKUP($BV$2,坦克等级成长!$B$36:$G$42,MATCH(CE$3,坦克等级成长!$B$35:$G$35,0)),0)</f>
        <v>2976</v>
      </c>
      <c r="CF64" s="33">
        <f>ROUND(坦克等级成长!$F161*VLOOKUP($BV$2,坦克等级成长!$B$36:$G$42,MATCH(CF$3,坦克等级成长!$B$35:$G$35,0)),0)</f>
        <v>281</v>
      </c>
      <c r="CG64" s="33">
        <f>ROUND(坦克等级成长!$F161*VLOOKUP($BV$2,坦克等级成长!$B$36:$G$42,MATCH(CG$3,坦克等级成长!$B$35:$G$35,0)),0)</f>
        <v>1009</v>
      </c>
      <c r="CH64" s="33">
        <f t="shared" si="10"/>
        <v>1009</v>
      </c>
      <c r="CI64" s="33">
        <v>818</v>
      </c>
      <c r="CJ64" s="33">
        <f>ROUND(坦克等级成长!$F161*VLOOKUP($BV$2,坦克等级成长!$B$36:$G$42,MATCH(CJ$3,坦克等级成长!$B$35:$G$35,0)),0)</f>
        <v>1271</v>
      </c>
      <c r="CK64" s="33">
        <f>ROUND(坦克等级成长!$F161*VLOOKUP($BV$2,坦克等级成长!$B$36:$G$42,MATCH(CK$3,坦克等级成长!$B$35:$G$35,0)),0)</f>
        <v>298</v>
      </c>
      <c r="CL64" s="191">
        <v>11</v>
      </c>
      <c r="CM64" s="33">
        <f>ROUND(坦克等级成长!$H161*VLOOKUP($BV$2,坦克等级成长!$B$36:$G$42,MATCH(CM$3,坦克等级成长!$B$35:$G$35,0)),0)</f>
        <v>3018</v>
      </c>
      <c r="CN64" s="33">
        <f>ROUND(坦克等级成长!$H161*VLOOKUP($BV$2,坦克等级成长!$B$36:$G$42,MATCH(CN$3,坦克等级成长!$B$35:$G$35,0)),0)</f>
        <v>285</v>
      </c>
      <c r="CO64" s="33">
        <f>ROUND(坦克等级成长!$H161*VLOOKUP($BV$2,坦克等级成长!$B$36:$G$42,MATCH(CO$3,坦克等级成长!$B$35:$G$35,0)),0)</f>
        <v>1023</v>
      </c>
      <c r="CP64" s="33">
        <f t="shared" si="24"/>
        <v>1023</v>
      </c>
      <c r="CQ64" s="33">
        <v>818</v>
      </c>
      <c r="CR64" s="33">
        <f>ROUND(坦克等级成长!$H161*VLOOKUP($BV$2,坦克等级成长!$B$36:$G$42,MATCH(CR$3,坦克等级成长!$B$35:$G$35,0)),0)</f>
        <v>1289</v>
      </c>
      <c r="CS64" s="33">
        <f>ROUND(坦克等级成长!$H161*VLOOKUP($BV$2,坦克等级成长!$B$36:$G$42,MATCH(CS$3,坦克等级成长!$B$35:$G$35,0)),0)</f>
        <v>302</v>
      </c>
      <c r="CT64" s="191">
        <v>11</v>
      </c>
      <c r="CU64" s="33">
        <f>ROUND(坦克等级成长!$D161*VLOOKUP($CT$2,坦克等级成长!$B$36:$G$42,MATCH(CU$3,坦克等级成长!$B$35:$G$35,0)),0)</f>
        <v>2784</v>
      </c>
      <c r="CV64" s="33">
        <f>ROUND(坦克等级成长!$D161*VLOOKUP($CT$2,坦克等级成长!$B$36:$G$42,MATCH(CV$3,坦克等级成长!$B$35:$G$35,0)),0)</f>
        <v>632</v>
      </c>
      <c r="CW64" s="33">
        <f>ROUND(坦克等级成长!$D161*VLOOKUP($CT$2,坦克等级成长!$B$36:$G$42,MATCH(CW$3,坦克等级成长!$B$35:$G$35,0)),0)</f>
        <v>1243</v>
      </c>
      <c r="CX64" s="33">
        <f t="shared" si="39"/>
        <v>1243</v>
      </c>
      <c r="CY64" s="33">
        <v>996.75</v>
      </c>
      <c r="CZ64" s="33">
        <f>ROUND(坦克等级成长!$D161*VLOOKUP($CT$2,坦克等级成长!$B$36:$G$42,MATCH(CZ$3,坦克等级成长!$B$35:$G$35,0)),0)</f>
        <v>1044</v>
      </c>
      <c r="DA64" s="33">
        <f>ROUND(坦克等级成长!$D161*VLOOKUP($CT$2,坦克等级成长!$B$36:$G$42,MATCH(DA$3,坦克等级成长!$B$35:$G$35,0)),0)</f>
        <v>278</v>
      </c>
      <c r="DB64" s="198">
        <v>11</v>
      </c>
      <c r="DC64" s="33">
        <f>ROUND(坦克等级成长!$F161*VLOOKUP($CT$2,坦克等级成长!$B$36:$G$42,MATCH(DC$3,坦克等级成长!$B$35:$G$35,0)),0)</f>
        <v>2824</v>
      </c>
      <c r="DD64" s="33">
        <f>ROUND(坦克等级成长!$F161*VLOOKUP($CT$2,坦克等级成长!$B$36:$G$42,MATCH(DD$3,坦克等级成长!$B$35:$G$35,0)),0)</f>
        <v>641</v>
      </c>
      <c r="DE64" s="33">
        <f>ROUND(坦克等级成长!$F161*VLOOKUP($CT$2,坦克等级成长!$B$36:$G$42,MATCH(DE$3,坦克等级成长!$B$35:$G$35,0)),0)</f>
        <v>1261</v>
      </c>
      <c r="DF64" s="33">
        <f t="shared" si="11"/>
        <v>1261</v>
      </c>
      <c r="DG64" s="33">
        <v>1023</v>
      </c>
      <c r="DH64" s="33">
        <f>ROUND(坦克等级成长!$F161*VLOOKUP($CT$2,坦克等级成长!$B$36:$G$42,MATCH(DH$3,坦克等级成长!$B$35:$G$35,0)),0)</f>
        <v>1059</v>
      </c>
      <c r="DI64" s="33">
        <f>ROUND(坦克等级成长!$F161*VLOOKUP($CT$2,坦克等级成长!$B$36:$G$42,MATCH(DI$3,坦克等级成长!$B$35:$G$35,0)),0)</f>
        <v>282</v>
      </c>
      <c r="DJ64" s="191">
        <v>11</v>
      </c>
      <c r="DK64" s="33">
        <f>ROUND(坦克等级成长!$H161*VLOOKUP($CT$2,坦克等级成长!$B$36:$G$42,MATCH(DK$3,坦克等级成长!$B$35:$G$35,0)),0)</f>
        <v>2864</v>
      </c>
      <c r="DL64" s="33">
        <f>ROUND(坦克等级成长!$H161*VLOOKUP($CT$2,坦克等级成长!$B$36:$G$42,MATCH(DL$3,坦克等级成长!$B$35:$G$35,0)),0)</f>
        <v>650</v>
      </c>
      <c r="DM64" s="33">
        <f>ROUND(坦克等级成长!$H161*VLOOKUP($CT$2,坦克等级成长!$B$36:$G$42,MATCH(DM$3,坦克等级成长!$B$35:$G$35,0)),0)</f>
        <v>1279</v>
      </c>
      <c r="DN64" s="33">
        <f t="shared" si="25"/>
        <v>1279</v>
      </c>
      <c r="DO64" s="33">
        <v>1023</v>
      </c>
      <c r="DP64" s="33">
        <f>ROUND(坦克等级成长!$H161*VLOOKUP($CT$2,坦克等级成长!$B$36:$G$42,MATCH(DP$3,坦克等级成长!$B$35:$G$35,0)),0)</f>
        <v>1074</v>
      </c>
      <c r="DQ64" s="33">
        <f>ROUND(坦克等级成长!$H161*VLOOKUP($CT$2,坦克等级成长!$B$36:$G$42,MATCH(DQ$3,坦克等级成长!$B$35:$G$35,0)),0)</f>
        <v>286</v>
      </c>
      <c r="DR64" s="191">
        <v>11</v>
      </c>
      <c r="DS64" s="33">
        <f>ROUND(坦克等级成长!$D161*VLOOKUP($DR$2,坦克等级成长!$B$36:$G$42,MATCH(DS$3,坦克等级成长!$B$35:$G$35,0)),0)</f>
        <v>3167</v>
      </c>
      <c r="DT64" s="33">
        <f>ROUND(坦克等级成长!$D161*VLOOKUP($DR$2,坦克等级成长!$B$36:$G$42,MATCH(DT$3,坦克等级成长!$B$35:$G$35,0)),0)</f>
        <v>1081</v>
      </c>
      <c r="DU64" s="33">
        <f>ROUND(坦克等级成长!$D161*VLOOKUP($DR$2,坦克等级成长!$B$36:$G$42,MATCH(DU$3,坦克等级成长!$B$35:$G$35,0)),0)</f>
        <v>994</v>
      </c>
      <c r="DV64" s="33">
        <f t="shared" si="40"/>
        <v>994</v>
      </c>
      <c r="DW64" s="33">
        <v>850.4</v>
      </c>
      <c r="DX64" s="33">
        <f>ROUND(坦克等级成长!$D161*VLOOKUP($DR$2,坦克等级成长!$B$36:$G$42,MATCH(DX$3,坦克等级成长!$B$35:$G$35,0)),0)</f>
        <v>1462</v>
      </c>
      <c r="DY64" s="33">
        <f>ROUND(坦克等级成长!$D161*VLOOKUP($DR$2,坦克等级成长!$B$36:$G$42,MATCH(DY$3,坦克等级成长!$B$35:$G$35,0)),0)</f>
        <v>317</v>
      </c>
      <c r="DZ64" s="198">
        <v>11</v>
      </c>
      <c r="EA64" s="33">
        <f>ROUND(坦克等级成长!$F161*VLOOKUP($DR$2,坦克等级成长!$B$36:$G$42,MATCH(EA$3,坦克等级成长!$B$35:$G$35,0)),0)</f>
        <v>3213</v>
      </c>
      <c r="EB64" s="33">
        <f>ROUND(坦克等级成长!$F161*VLOOKUP($DR$2,坦克等级成长!$B$36:$G$42,MATCH(EB$3,坦克等级成长!$B$35:$G$35,0)),0)</f>
        <v>1096</v>
      </c>
      <c r="EC64" s="33">
        <f>ROUND(坦克等级成长!$F161*VLOOKUP($DR$2,坦克等级成长!$B$36:$G$42,MATCH(EC$3,坦克等级成长!$B$35:$G$35,0)),0)</f>
        <v>1009</v>
      </c>
      <c r="ED64" s="33">
        <f t="shared" si="12"/>
        <v>1009</v>
      </c>
      <c r="EE64" s="33">
        <v>873</v>
      </c>
      <c r="EF64" s="33">
        <f>ROUND(坦克等级成长!$F161*VLOOKUP($DR$2,坦克等级成长!$B$36:$G$42,MATCH(EF$3,坦克等级成长!$B$35:$G$35,0)),0)</f>
        <v>1483</v>
      </c>
      <c r="EG64" s="33">
        <f>ROUND(坦克等级成长!$F161*VLOOKUP($DR$2,坦克等级成长!$B$36:$G$42,MATCH(EG$3,坦克等级成长!$B$35:$G$35,0)),0)</f>
        <v>321</v>
      </c>
      <c r="EH64" s="191">
        <v>11</v>
      </c>
      <c r="EI64" s="33">
        <f>ROUND(坦克等级成长!$H161*VLOOKUP($DR$2,坦克等级成长!$B$36:$G$42,MATCH(EI$3,坦克等级成长!$B$35:$G$35,0)),0)</f>
        <v>3258</v>
      </c>
      <c r="EJ64" s="33">
        <f>ROUND(坦克等级成长!$H161*VLOOKUP($DR$2,坦克等级成长!$B$36:$G$42,MATCH(EJ$3,坦克等级成长!$B$35:$G$35,0)),0)</f>
        <v>1112</v>
      </c>
      <c r="EK64" s="33">
        <f>ROUND(坦克等级成长!$H161*VLOOKUP($DR$2,坦克等级成长!$B$36:$G$42,MATCH(EK$3,坦克等级成长!$B$35:$G$35,0)),0)</f>
        <v>1023</v>
      </c>
      <c r="EL64" s="33">
        <f t="shared" si="26"/>
        <v>1023</v>
      </c>
      <c r="EM64" s="33">
        <v>873</v>
      </c>
      <c r="EN64" s="33">
        <f>ROUND(坦克等级成长!$H161*VLOOKUP($DR$2,坦克等级成长!$B$36:$G$42,MATCH(EN$3,坦克等级成长!$B$35:$G$35,0)),0)</f>
        <v>1504</v>
      </c>
      <c r="EO64" s="33">
        <f>ROUND(坦克等级成长!$H161*VLOOKUP($DR$2,坦克等级成长!$B$36:$G$42,MATCH(EO$3,坦克等级成长!$B$35:$G$35,0)),0)</f>
        <v>326</v>
      </c>
      <c r="EP64" s="191">
        <v>11</v>
      </c>
      <c r="EQ64" s="33">
        <f>ROUND(坦克等级成长!$D161*VLOOKUP($EP$2,坦克等级成长!$B$36:$G$42,MATCH(EQ$3,坦克等级成长!$B$35:$G$35,0)),0)</f>
        <v>2934</v>
      </c>
      <c r="ER64" s="33">
        <f>ROUND(坦克等级成长!$D161*VLOOKUP($EP$2,坦克等级成长!$B$36:$G$42,MATCH(ER$3,坦克等级成长!$B$35:$G$35,0)),0)</f>
        <v>336</v>
      </c>
      <c r="ES64" s="33">
        <f>ROUND(坦克等级成长!$D161*VLOOKUP($EP$2,坦克等级成长!$B$36:$G$42,MATCH(ES$3,坦克等级成长!$B$35:$G$35,0)),0)</f>
        <v>1143</v>
      </c>
      <c r="ET64" s="33">
        <f t="shared" si="41"/>
        <v>1143</v>
      </c>
      <c r="EU64" s="33">
        <v>916.5</v>
      </c>
      <c r="EV64" s="33">
        <f>ROUND(坦克等级成长!$D161*VLOOKUP($EP$2,坦克等级成长!$B$36:$G$42,MATCH(EV$3,坦克等级成长!$B$35:$G$35,0)),0)</f>
        <v>1253</v>
      </c>
      <c r="EW64" s="33">
        <f>ROUND(坦克等级成长!$D161*VLOOKUP($EP$2,坦克等级成长!$B$36:$G$42,MATCH(EW$3,坦克等级成长!$B$35:$G$35,0)),0)</f>
        <v>293</v>
      </c>
      <c r="EX64" s="198">
        <v>11</v>
      </c>
      <c r="EY64" s="33">
        <f>ROUND(坦克等级成长!$F161*VLOOKUP($EP$2,坦克等级成长!$B$36:$G$42,MATCH(EY$3,坦克等级成长!$B$35:$G$35,0)),0)</f>
        <v>2976</v>
      </c>
      <c r="EZ64" s="33">
        <f>ROUND(坦克等级成长!$F161*VLOOKUP($EP$2,坦克等级成长!$B$36:$G$42,MATCH(EZ$3,坦克等级成长!$B$35:$G$35,0)),0)</f>
        <v>341</v>
      </c>
      <c r="FA64" s="33">
        <f>ROUND(坦克等级成长!$F161*VLOOKUP($EP$2,坦克等级成长!$B$36:$G$42,MATCH(FA$3,坦克等级成长!$B$35:$G$35,0)),0)</f>
        <v>1160</v>
      </c>
      <c r="FB64" s="33">
        <f t="shared" si="13"/>
        <v>1160</v>
      </c>
      <c r="FC64" s="33">
        <v>941</v>
      </c>
      <c r="FD64" s="33">
        <f>ROUND(坦克等级成长!$F161*VLOOKUP($EP$2,坦克等级成长!$B$36:$G$42,MATCH(FD$3,坦克等级成长!$B$35:$G$35,0)),0)</f>
        <v>1271</v>
      </c>
      <c r="FE64" s="33">
        <f>ROUND(坦克等级成长!$F161*VLOOKUP($EP$2,坦克等级成长!$B$36:$G$42,MATCH(FE$3,坦克等级成长!$B$35:$G$35,0)),0)</f>
        <v>298</v>
      </c>
      <c r="FF64" s="191">
        <v>11</v>
      </c>
      <c r="FG64" s="33">
        <f>ROUND(坦克等级成长!$H161*VLOOKUP($EP$2,坦克等级成长!$B$36:$G$42,MATCH(FG$3,坦克等级成长!$B$35:$G$35,0)),0)</f>
        <v>3018</v>
      </c>
      <c r="FH64" s="33">
        <f>ROUND(坦克等级成长!$H161*VLOOKUP($EP$2,坦克等级成长!$B$36:$G$42,MATCH(FH$3,坦克等级成长!$B$35:$G$35,0)),0)</f>
        <v>346</v>
      </c>
      <c r="FI64" s="33">
        <f>ROUND(坦克等级成长!$H161*VLOOKUP($EP$2,坦克等级成长!$B$36:$G$42,MATCH(FI$3,坦克等级成长!$B$35:$G$35,0)),0)</f>
        <v>1176</v>
      </c>
      <c r="FJ64" s="33">
        <f t="shared" si="27"/>
        <v>1176</v>
      </c>
      <c r="FK64" s="33">
        <v>941</v>
      </c>
      <c r="FL64" s="33">
        <f>ROUND(坦克等级成长!$H161*VLOOKUP($EP$2,坦克等级成长!$B$36:$G$42,MATCH(FL$3,坦克等级成长!$B$35:$G$35,0)),0)</f>
        <v>1289</v>
      </c>
      <c r="FM64" s="33">
        <f>ROUND(坦克等级成长!$H161*VLOOKUP($EP$2,坦克等级成长!$B$36:$G$42,MATCH(FM$3,坦克等级成长!$B$35:$G$35,0)),0)</f>
        <v>302</v>
      </c>
    </row>
    <row r="65" spans="1:169" ht="14.25" x14ac:dyDescent="0.3">
      <c r="A65" s="188">
        <v>5</v>
      </c>
      <c r="B65" s="191">
        <v>12</v>
      </c>
      <c r="C65" s="33">
        <f>ROUND(坦克等级成长!$D162*VLOOKUP($B$2,坦克等级成长!$B$36:$G$42,MATCH(C$3,坦克等级成长!$B$35:$G$35,0)),0)</f>
        <v>2872</v>
      </c>
      <c r="D65" s="33">
        <f>ROUND(坦克等级成长!$D162*VLOOKUP($B$2,坦克等级成长!$B$36:$G$42,MATCH(D$3,坦克等级成长!$B$35:$G$35,0)),0)</f>
        <v>312</v>
      </c>
      <c r="E65" s="33">
        <f>ROUND(坦克等级成长!$D162*VLOOKUP($B$2,坦克等级成长!$B$36:$G$42,MATCH(E$3,坦克等级成长!$B$35:$G$35,0)),0)</f>
        <v>1077</v>
      </c>
      <c r="F65" s="33">
        <f t="shared" si="35"/>
        <v>1077</v>
      </c>
      <c r="G65" s="33">
        <v>806.4</v>
      </c>
      <c r="H65" s="33">
        <f>ROUND(坦克等级成长!$D162*VLOOKUP($B$2,坦克等级成长!$B$36:$G$42,MATCH(H$3,坦克等级成长!$B$35:$G$35,0)),0)</f>
        <v>1077</v>
      </c>
      <c r="I65" s="33">
        <f>ROUND(坦克等级成长!$D162*VLOOKUP($B$2,坦克等级成长!$B$36:$G$42,MATCH(I$3,坦克等级成长!$B$35:$G$35,0)),0)</f>
        <v>287</v>
      </c>
      <c r="J65" s="198">
        <v>12</v>
      </c>
      <c r="K65" s="33">
        <f>ROUND(坦克等级成长!$F162*VLOOKUP($B$2,坦克等级成长!$B$36:$G$42,MATCH(K$3,坦克等级成长!$B$35:$G$35,0)),0)</f>
        <v>2912</v>
      </c>
      <c r="L65" s="33">
        <f>ROUND(坦克等级成长!$F162*VLOOKUP($B$2,坦克等级成长!$B$36:$G$42,MATCH(L$3,坦克等级成长!$B$35:$G$35,0)),0)</f>
        <v>317</v>
      </c>
      <c r="M65" s="33">
        <f>ROUND(坦克等级成长!$F162*VLOOKUP($B$2,坦克等级成长!$B$36:$G$42,MATCH(M$3,坦克等级成长!$B$35:$G$35,0)),0)</f>
        <v>1092</v>
      </c>
      <c r="N65" s="33">
        <f t="shared" si="7"/>
        <v>1092</v>
      </c>
      <c r="O65" s="33">
        <v>827</v>
      </c>
      <c r="P65" s="33">
        <f>ROUND(坦克等级成长!$F162*VLOOKUP($B$2,坦克等级成长!$B$36:$G$42,MATCH(P$3,坦克等级成长!$B$35:$G$35,0)),0)</f>
        <v>1092</v>
      </c>
      <c r="Q65" s="33">
        <f>ROUND(坦克等级成长!$F162*VLOOKUP($B$2,坦克等级成长!$B$36:$G$42,MATCH(Q$3,坦克等级成长!$B$35:$G$35,0)),0)</f>
        <v>291</v>
      </c>
      <c r="R65" s="191">
        <v>12</v>
      </c>
      <c r="S65" s="33">
        <f>ROUND(坦克等级成长!$H162*VLOOKUP($B$2,坦克等级成长!$B$36:$G$42,MATCH(S$3,坦克等级成长!$B$35:$G$35,0)),0)</f>
        <v>2952</v>
      </c>
      <c r="T65" s="33">
        <f>ROUND(坦克等级成长!$H162*VLOOKUP($B$2,坦克等级成长!$B$36:$G$42,MATCH(T$3,坦克等级成长!$B$35:$G$35,0)),0)</f>
        <v>321</v>
      </c>
      <c r="U65" s="33">
        <f>ROUND(坦克等级成长!$H162*VLOOKUP($B$2,坦克等级成长!$B$36:$G$42,MATCH(U$3,坦克等级成长!$B$35:$G$35,0)),0)</f>
        <v>1107</v>
      </c>
      <c r="V65" s="33">
        <f t="shared" si="21"/>
        <v>1107</v>
      </c>
      <c r="W65" s="33">
        <v>827</v>
      </c>
      <c r="X65" s="33">
        <f>ROUND(坦克等级成长!$H162*VLOOKUP($B$2,坦克等级成长!$B$36:$G$42,MATCH(X$3,坦克等级成长!$B$35:$G$35,0)),0)</f>
        <v>1107</v>
      </c>
      <c r="Y65" s="33">
        <f>ROUND(坦克等级成长!$H162*VLOOKUP($B$2,坦克等级成长!$B$36:$G$42,MATCH(Y$3,坦克等级成长!$B$35:$G$35,0)),0)</f>
        <v>295</v>
      </c>
      <c r="Z65" s="191">
        <v>12</v>
      </c>
      <c r="AA65" s="33">
        <f>ROUND(坦克等级成长!$D162*VLOOKUP($Z$2,坦克等级成长!$B$36:$G$42,MATCH(AA$3,坦克等级成长!$B$35:$G$35,0)),0)</f>
        <v>2872</v>
      </c>
      <c r="AB65" s="33">
        <f>ROUND(坦克等级成长!$D162*VLOOKUP($Z$2,坦克等级成长!$B$36:$G$42,MATCH(AB$3,坦克等级成长!$B$35:$G$35,0)),0)</f>
        <v>169</v>
      </c>
      <c r="AC65" s="33">
        <f>ROUND(坦克等级成长!$D162*VLOOKUP($Z$2,坦克等级成长!$B$36:$G$42,MATCH(AC$3,坦克等级成长!$B$35:$G$35,0)),0)</f>
        <v>1180</v>
      </c>
      <c r="AD65" s="33">
        <f t="shared" si="36"/>
        <v>1180</v>
      </c>
      <c r="AE65" s="33">
        <v>883.4</v>
      </c>
      <c r="AF65" s="33">
        <f>ROUND(坦克等级成长!$D162*VLOOKUP($Z$2,坦克等级成长!$B$36:$G$42,MATCH(AF$3,坦克等级成长!$B$35:$G$35,0)),0)</f>
        <v>1077</v>
      </c>
      <c r="AG65" s="33">
        <f>ROUND(坦克等级成长!$D162*VLOOKUP($Z$2,坦克等级成长!$B$36:$G$42,MATCH(AG$3,坦克等级成长!$B$35:$G$35,0)),0)</f>
        <v>287</v>
      </c>
      <c r="AH65" s="198">
        <v>12</v>
      </c>
      <c r="AI65" s="33">
        <f>ROUND(坦克等级成长!$F162*VLOOKUP($Z$2,坦克等级成长!$B$36:$G$42,MATCH(AI$3,坦克等级成长!$B$35:$G$35,0)),0)</f>
        <v>2912</v>
      </c>
      <c r="AJ65" s="33">
        <f>ROUND(坦克等级成长!$F162*VLOOKUP($Z$2,坦克等级成长!$B$36:$G$42,MATCH(AJ$3,坦克等级成长!$B$35:$G$35,0)),0)</f>
        <v>172</v>
      </c>
      <c r="AK65" s="33">
        <f>ROUND(坦克等级成长!$F162*VLOOKUP($Z$2,坦克等级成长!$B$36:$G$42,MATCH(AK$3,坦克等级成长!$B$35:$G$35,0)),0)</f>
        <v>1196</v>
      </c>
      <c r="AL65" s="33">
        <f t="shared" si="8"/>
        <v>1196</v>
      </c>
      <c r="AM65" s="33">
        <v>907</v>
      </c>
      <c r="AN65" s="33">
        <f>ROUND(坦克等级成长!$F162*VLOOKUP($Z$2,坦克等级成长!$B$36:$G$42,MATCH(AN$3,坦克等级成长!$B$35:$G$35,0)),0)</f>
        <v>1092</v>
      </c>
      <c r="AO65" s="33">
        <f>ROUND(坦克等级成长!$F162*VLOOKUP($Z$2,坦克等级成长!$B$36:$G$42,MATCH(AO$3,坦克等级成长!$B$35:$G$35,0)),0)</f>
        <v>291</v>
      </c>
      <c r="AP65" s="191">
        <v>12</v>
      </c>
      <c r="AQ65" s="33">
        <f>ROUND(坦克等级成长!$H162*VLOOKUP($Z$2,坦克等级成长!$B$36:$G$42,MATCH(AQ$3,坦克等级成长!$B$35:$G$35,0)),0)</f>
        <v>2952</v>
      </c>
      <c r="AR65" s="33">
        <f>ROUND(坦克等级成长!$H162*VLOOKUP($Z$2,坦克等级成长!$B$36:$G$42,MATCH(AR$3,坦克等级成长!$B$35:$G$35,0)),0)</f>
        <v>174</v>
      </c>
      <c r="AS65" s="33">
        <f>ROUND(坦克等级成长!$H162*VLOOKUP($Z$2,坦克等级成长!$B$36:$G$42,MATCH(AS$3,坦克等级成长!$B$35:$G$35,0)),0)</f>
        <v>1212</v>
      </c>
      <c r="AT65" s="33">
        <f t="shared" si="22"/>
        <v>1212</v>
      </c>
      <c r="AU65" s="33">
        <v>907</v>
      </c>
      <c r="AV65" s="33">
        <f>ROUND(坦克等级成长!$H162*VLOOKUP($Z$2,坦克等级成长!$B$36:$G$42,MATCH(AV$3,坦克等级成长!$B$35:$G$35,0)),0)</f>
        <v>1107</v>
      </c>
      <c r="AW65" s="33">
        <f>ROUND(坦克等级成长!$H162*VLOOKUP($Z$2,坦克等级成长!$B$36:$G$42,MATCH(AW$3,坦克等级成长!$B$35:$G$35,0)),0)</f>
        <v>295</v>
      </c>
      <c r="AX65" s="191">
        <v>12</v>
      </c>
      <c r="AY65" s="33">
        <f>ROUND(坦克等级成长!$D162*VLOOKUP($AX$2,坦克等级成长!$B$36:$G$42,MATCH(AY$3,坦克等级成长!$B$35:$G$35,0)),0)</f>
        <v>2872</v>
      </c>
      <c r="AZ65" s="33">
        <f>ROUND(坦克等级成长!$D162*VLOOKUP($AX$2,坦克等级成长!$B$36:$G$42,MATCH(AZ$3,坦克等级成长!$B$35:$G$35,0)),0)</f>
        <v>312</v>
      </c>
      <c r="BA65" s="33">
        <f>ROUND(坦克等级成长!$D162*VLOOKUP($AX$2,坦克等级成长!$B$36:$G$42,MATCH(BA$3,坦克等级成长!$B$35:$G$35,0)),0)</f>
        <v>1077</v>
      </c>
      <c r="BB65" s="33">
        <f t="shared" si="37"/>
        <v>1077</v>
      </c>
      <c r="BC65" s="33">
        <v>806.4</v>
      </c>
      <c r="BD65" s="33">
        <f>ROUND(坦克等级成长!$D162*VLOOKUP($AX$2,坦克等级成长!$B$36:$G$42,MATCH(BD$3,坦克等级成长!$B$35:$G$35,0)),0)</f>
        <v>1077</v>
      </c>
      <c r="BE65" s="33">
        <f>ROUND(坦克等级成长!$D162*VLOOKUP($AX$2,坦克等级成长!$B$36:$G$42,MATCH(BE$3,坦克等级成长!$B$35:$G$35,0)),0)</f>
        <v>287</v>
      </c>
      <c r="BF65" s="198">
        <v>12</v>
      </c>
      <c r="BG65" s="33">
        <f>ROUND(坦克等级成长!$F162*VLOOKUP($AX$2,坦克等级成长!$B$36:$G$42,MATCH(BG$3,坦克等级成长!$B$35:$G$35,0)),0)</f>
        <v>2912</v>
      </c>
      <c r="BH65" s="33">
        <f>ROUND(坦克等级成长!$F162*VLOOKUP($AX$2,坦克等级成长!$B$36:$G$42,MATCH(BH$3,坦克等级成长!$B$35:$G$35,0)),0)</f>
        <v>317</v>
      </c>
      <c r="BI65" s="33">
        <f>ROUND(坦克等级成长!$F162*VLOOKUP($AX$2,坦克等级成长!$B$36:$G$42,MATCH(BI$3,坦克等级成长!$B$35:$G$35,0)),0)</f>
        <v>1092</v>
      </c>
      <c r="BJ65" s="33">
        <f t="shared" si="9"/>
        <v>1092</v>
      </c>
      <c r="BK65" s="33">
        <v>827</v>
      </c>
      <c r="BL65" s="33">
        <f>ROUND(坦克等级成长!$F162*VLOOKUP($AX$2,坦克等级成长!$B$36:$G$42,MATCH(BL$3,坦克等级成长!$B$35:$G$35,0)),0)</f>
        <v>1092</v>
      </c>
      <c r="BM65" s="33">
        <f>ROUND(坦克等级成长!$F162*VLOOKUP($AX$2,坦克等级成长!$B$36:$G$42,MATCH(BM$3,坦克等级成长!$B$35:$G$35,0)),0)</f>
        <v>291</v>
      </c>
      <c r="BN65" s="191">
        <v>12</v>
      </c>
      <c r="BO65" s="33">
        <f>ROUND(坦克等级成长!$H162*VLOOKUP($AX$2,坦克等级成长!$B$36:$G$42,MATCH(BO$3,坦克等级成长!$B$35:$G$35,0)),0)</f>
        <v>2952</v>
      </c>
      <c r="BP65" s="33">
        <f>ROUND(坦克等级成长!$H162*VLOOKUP($AX$2,坦克等级成长!$B$36:$G$42,MATCH(BP$3,坦克等级成长!$B$35:$G$35,0)),0)</f>
        <v>321</v>
      </c>
      <c r="BQ65" s="33">
        <f>ROUND(坦克等级成长!$H162*VLOOKUP($AX$2,坦克等级成长!$B$36:$G$42,MATCH(BQ$3,坦克等级成长!$B$35:$G$35,0)),0)</f>
        <v>1107</v>
      </c>
      <c r="BR65" s="33">
        <f t="shared" si="23"/>
        <v>1107</v>
      </c>
      <c r="BS65" s="33">
        <v>827</v>
      </c>
      <c r="BT65" s="33">
        <f>ROUND(坦克等级成长!$H162*VLOOKUP($AX$2,坦克等级成长!$B$36:$G$42,MATCH(BT$3,坦克等级成长!$B$35:$G$35,0)),0)</f>
        <v>1107</v>
      </c>
      <c r="BU65" s="33">
        <f>ROUND(坦克等级成长!$H162*VLOOKUP($AX$2,坦克等级成长!$B$36:$G$42,MATCH(BU$3,坦克等级成长!$B$35:$G$35,0)),0)</f>
        <v>295</v>
      </c>
      <c r="BV65" s="191">
        <v>12</v>
      </c>
      <c r="BW65" s="33">
        <f>ROUND(坦克等级成长!$D162*VLOOKUP($BV$2,坦克等级成长!$B$36:$G$42,MATCH(BW$3,坦克等级成长!$B$35:$G$35,0)),0)</f>
        <v>3026</v>
      </c>
      <c r="BX65" s="33">
        <f>ROUND(坦克等级成长!$D162*VLOOKUP($BV$2,坦克等级成长!$B$36:$G$42,MATCH(BX$3,坦克等级成长!$B$35:$G$35,0)),0)</f>
        <v>285</v>
      </c>
      <c r="BY65" s="33">
        <f>ROUND(坦克等级成长!$D162*VLOOKUP($BV$2,坦克等级成长!$B$36:$G$42,MATCH(BY$3,坦克等级成长!$B$35:$G$35,0)),0)</f>
        <v>1026</v>
      </c>
      <c r="BZ65" s="33">
        <f t="shared" si="38"/>
        <v>1026</v>
      </c>
      <c r="CA65" s="33">
        <v>822.75</v>
      </c>
      <c r="CB65" s="33">
        <f>ROUND(坦克等级成长!$D162*VLOOKUP($BV$2,坦克等级成长!$B$36:$G$42,MATCH(CB$3,坦克等级成长!$B$35:$G$35,0)),0)</f>
        <v>1292</v>
      </c>
      <c r="CC65" s="33">
        <f>ROUND(坦克等级成长!$D162*VLOOKUP($BV$2,坦克等级成长!$B$36:$G$42,MATCH(CC$3,坦克等级成长!$B$35:$G$35,0)),0)</f>
        <v>303</v>
      </c>
      <c r="CD65" s="198">
        <v>12</v>
      </c>
      <c r="CE65" s="33">
        <f>ROUND(坦克等级成长!$F162*VLOOKUP($BV$2,坦克等级成长!$B$36:$G$42,MATCH(CE$3,坦克等级成长!$B$35:$G$35,0)),0)</f>
        <v>3068</v>
      </c>
      <c r="CF65" s="33">
        <f>ROUND(坦克等级成长!$F162*VLOOKUP($BV$2,坦克等级成长!$B$36:$G$42,MATCH(CF$3,坦克等级成长!$B$35:$G$35,0)),0)</f>
        <v>289</v>
      </c>
      <c r="CG65" s="33">
        <f>ROUND(坦克等级成长!$F162*VLOOKUP($BV$2,坦克等级成长!$B$36:$G$42,MATCH(CG$3,坦克等级成长!$B$35:$G$35,0)),0)</f>
        <v>1040</v>
      </c>
      <c r="CH65" s="33">
        <f t="shared" si="10"/>
        <v>1040</v>
      </c>
      <c r="CI65" s="33">
        <v>845</v>
      </c>
      <c r="CJ65" s="33">
        <f>ROUND(坦克等级成长!$F162*VLOOKUP($BV$2,坦克等级成长!$B$36:$G$42,MATCH(CJ$3,坦克等级成长!$B$35:$G$35,0)),0)</f>
        <v>1310</v>
      </c>
      <c r="CK65" s="33">
        <f>ROUND(坦克等级成长!$F162*VLOOKUP($BV$2,坦克等级成长!$B$36:$G$42,MATCH(CK$3,坦克等级成长!$B$35:$G$35,0)),0)</f>
        <v>307</v>
      </c>
      <c r="CL65" s="191">
        <v>12</v>
      </c>
      <c r="CM65" s="33">
        <f>ROUND(坦克等级成长!$H162*VLOOKUP($BV$2,坦克等级成长!$B$36:$G$42,MATCH(CM$3,坦克等级成长!$B$35:$G$35,0)),0)</f>
        <v>3111</v>
      </c>
      <c r="CN65" s="33">
        <f>ROUND(坦克等级成长!$H162*VLOOKUP($BV$2,坦克等级成长!$B$36:$G$42,MATCH(CN$3,坦克等级成长!$B$35:$G$35,0)),0)</f>
        <v>293</v>
      </c>
      <c r="CO65" s="33">
        <f>ROUND(坦克等级成长!$H162*VLOOKUP($BV$2,坦克等级成长!$B$36:$G$42,MATCH(CO$3,坦克等级成长!$B$35:$G$35,0)),0)</f>
        <v>1054</v>
      </c>
      <c r="CP65" s="33">
        <f t="shared" si="24"/>
        <v>1054</v>
      </c>
      <c r="CQ65" s="33">
        <v>845</v>
      </c>
      <c r="CR65" s="33">
        <f>ROUND(坦克等级成长!$H162*VLOOKUP($BV$2,坦克等级成长!$B$36:$G$42,MATCH(CR$3,坦克等级成长!$B$35:$G$35,0)),0)</f>
        <v>1328</v>
      </c>
      <c r="CS65" s="33">
        <f>ROUND(坦克等级成长!$H162*VLOOKUP($BV$2,坦克等级成长!$B$36:$G$42,MATCH(CS$3,坦克等级成长!$B$35:$G$35,0)),0)</f>
        <v>311</v>
      </c>
      <c r="CT65" s="191">
        <v>12</v>
      </c>
      <c r="CU65" s="33">
        <f>ROUND(坦克等级成长!$D162*VLOOKUP($CT$2,坦克等级成长!$B$36:$G$42,MATCH(CU$3,坦克等级成长!$B$35:$G$35,0)),0)</f>
        <v>2872</v>
      </c>
      <c r="CV65" s="33">
        <f>ROUND(坦克等级成长!$D162*VLOOKUP($CT$2,坦克等级成长!$B$36:$G$42,MATCH(CV$3,坦克等级成长!$B$35:$G$35,0)),0)</f>
        <v>652</v>
      </c>
      <c r="CW65" s="33">
        <f>ROUND(坦克等级成长!$D162*VLOOKUP($CT$2,坦克等级成长!$B$36:$G$42,MATCH(CW$3,坦克等级成长!$B$35:$G$35,0)),0)</f>
        <v>1282</v>
      </c>
      <c r="CX65" s="33">
        <f t="shared" si="39"/>
        <v>1282</v>
      </c>
      <c r="CY65" s="33">
        <v>1028.25</v>
      </c>
      <c r="CZ65" s="33">
        <f>ROUND(坦克等级成长!$D162*VLOOKUP($CT$2,坦克等级成长!$B$36:$G$42,MATCH(CZ$3,坦克等级成长!$B$35:$G$35,0)),0)</f>
        <v>1077</v>
      </c>
      <c r="DA65" s="33">
        <f>ROUND(坦克等级成长!$D162*VLOOKUP($CT$2,坦克等级成长!$B$36:$G$42,MATCH(DA$3,坦克等级成长!$B$35:$G$35,0)),0)</f>
        <v>287</v>
      </c>
      <c r="DB65" s="198">
        <v>12</v>
      </c>
      <c r="DC65" s="33">
        <f>ROUND(坦克等级成长!$F162*VLOOKUP($CT$2,坦克等级成长!$B$36:$G$42,MATCH(DC$3,坦克等级成长!$B$35:$G$35,0)),0)</f>
        <v>2912</v>
      </c>
      <c r="DD65" s="33">
        <f>ROUND(坦克等级成长!$F162*VLOOKUP($CT$2,坦克等级成长!$B$36:$G$42,MATCH(DD$3,坦克等级成长!$B$35:$G$35,0)),0)</f>
        <v>661</v>
      </c>
      <c r="DE65" s="33">
        <f>ROUND(坦克等级成长!$F162*VLOOKUP($CT$2,坦克等级成长!$B$36:$G$42,MATCH(DE$3,坦克等级成长!$B$35:$G$35,0)),0)</f>
        <v>1300</v>
      </c>
      <c r="DF65" s="33">
        <f t="shared" si="11"/>
        <v>1300</v>
      </c>
      <c r="DG65" s="33">
        <v>1055</v>
      </c>
      <c r="DH65" s="33">
        <f>ROUND(坦克等级成长!$F162*VLOOKUP($CT$2,坦克等级成长!$B$36:$G$42,MATCH(DH$3,坦克等级成长!$B$35:$G$35,0)),0)</f>
        <v>1092</v>
      </c>
      <c r="DI65" s="33">
        <f>ROUND(坦克等级成长!$F162*VLOOKUP($CT$2,坦克等级成长!$B$36:$G$42,MATCH(DI$3,坦克等级成长!$B$35:$G$35,0)),0)</f>
        <v>291</v>
      </c>
      <c r="DJ65" s="191">
        <v>12</v>
      </c>
      <c r="DK65" s="33">
        <f>ROUND(坦克等级成长!$H162*VLOOKUP($CT$2,坦克等级成长!$B$36:$G$42,MATCH(DK$3,坦克等级成长!$B$35:$G$35,0)),0)</f>
        <v>2952</v>
      </c>
      <c r="DL65" s="33">
        <f>ROUND(坦克等级成长!$H162*VLOOKUP($CT$2,坦克等级成长!$B$36:$G$42,MATCH(DL$3,坦克等级成长!$B$35:$G$35,0)),0)</f>
        <v>670</v>
      </c>
      <c r="DM65" s="33">
        <f>ROUND(坦克等级成长!$H162*VLOOKUP($CT$2,坦克等级成长!$B$36:$G$42,MATCH(DM$3,坦克等级成长!$B$35:$G$35,0)),0)</f>
        <v>1318</v>
      </c>
      <c r="DN65" s="33">
        <f t="shared" si="25"/>
        <v>1318</v>
      </c>
      <c r="DO65" s="33">
        <v>1055</v>
      </c>
      <c r="DP65" s="33">
        <f>ROUND(坦克等级成长!$H162*VLOOKUP($CT$2,坦克等级成长!$B$36:$G$42,MATCH(DP$3,坦克等级成长!$B$35:$G$35,0)),0)</f>
        <v>1107</v>
      </c>
      <c r="DQ65" s="33">
        <f>ROUND(坦克等级成长!$H162*VLOOKUP($CT$2,坦克等级成长!$B$36:$G$42,MATCH(DQ$3,坦克等级成长!$B$35:$G$35,0)),0)</f>
        <v>295</v>
      </c>
      <c r="DR65" s="191">
        <v>12</v>
      </c>
      <c r="DS65" s="33">
        <f>ROUND(坦克等级成长!$D162*VLOOKUP($DR$2,坦克等级成长!$B$36:$G$42,MATCH(DS$3,坦克等级成长!$B$35:$G$35,0)),0)</f>
        <v>3268</v>
      </c>
      <c r="DT65" s="33">
        <f>ROUND(坦克等级成长!$D162*VLOOKUP($DR$2,坦克等级成长!$B$36:$G$42,MATCH(DT$3,坦克等级成长!$B$35:$G$35,0)),0)</f>
        <v>1115</v>
      </c>
      <c r="DU65" s="33">
        <f>ROUND(坦克等级成长!$D162*VLOOKUP($DR$2,坦克等级成长!$B$36:$G$42,MATCH(DU$3,坦克等级成长!$B$35:$G$35,0)),0)</f>
        <v>1026</v>
      </c>
      <c r="DV65" s="33">
        <f t="shared" si="40"/>
        <v>1026</v>
      </c>
      <c r="DW65" s="33">
        <v>877.6</v>
      </c>
      <c r="DX65" s="33">
        <f>ROUND(坦克等级成长!$D162*VLOOKUP($DR$2,坦克等级成长!$B$36:$G$42,MATCH(DX$3,坦克等级成长!$B$35:$G$35,0)),0)</f>
        <v>1508</v>
      </c>
      <c r="DY65" s="33">
        <f>ROUND(坦克等级成长!$D162*VLOOKUP($DR$2,坦克等级成长!$B$36:$G$42,MATCH(DY$3,坦克等级成长!$B$35:$G$35,0)),0)</f>
        <v>327</v>
      </c>
      <c r="DZ65" s="198">
        <v>12</v>
      </c>
      <c r="EA65" s="33">
        <f>ROUND(坦克等级成长!$F162*VLOOKUP($DR$2,坦克等级成长!$B$36:$G$42,MATCH(EA$3,坦克等级成长!$B$35:$G$35,0)),0)</f>
        <v>3313</v>
      </c>
      <c r="EB65" s="33">
        <f>ROUND(坦克等级成长!$F162*VLOOKUP($DR$2,坦克等级成长!$B$36:$G$42,MATCH(EB$3,坦克等级成长!$B$35:$G$35,0)),0)</f>
        <v>1130</v>
      </c>
      <c r="EC65" s="33">
        <f>ROUND(坦克等级成长!$F162*VLOOKUP($DR$2,坦克等级成长!$B$36:$G$42,MATCH(EC$3,坦克等级成长!$B$35:$G$35,0)),0)</f>
        <v>1040</v>
      </c>
      <c r="ED65" s="33">
        <f t="shared" si="12"/>
        <v>1040</v>
      </c>
      <c r="EE65" s="33">
        <v>901</v>
      </c>
      <c r="EF65" s="33">
        <f>ROUND(坦克等级成长!$F162*VLOOKUP($DR$2,坦克等级成长!$B$36:$G$42,MATCH(EF$3,坦克等级成长!$B$35:$G$35,0)),0)</f>
        <v>1529</v>
      </c>
      <c r="EG65" s="33">
        <f>ROUND(坦克等级成长!$F162*VLOOKUP($DR$2,坦克等级成长!$B$36:$G$42,MATCH(EG$3,坦克等级成长!$B$35:$G$35,0)),0)</f>
        <v>331</v>
      </c>
      <c r="EH65" s="191">
        <v>12</v>
      </c>
      <c r="EI65" s="33">
        <f>ROUND(坦克等级成长!$H162*VLOOKUP($DR$2,坦克等级成长!$B$36:$G$42,MATCH(EI$3,坦克等级成长!$B$35:$G$35,0)),0)</f>
        <v>3359</v>
      </c>
      <c r="EJ65" s="33">
        <f>ROUND(坦克等级成长!$H162*VLOOKUP($DR$2,坦克等级成长!$B$36:$G$42,MATCH(EJ$3,坦克等级成长!$B$35:$G$35,0)),0)</f>
        <v>1146</v>
      </c>
      <c r="EK65" s="33">
        <f>ROUND(坦克等级成长!$H162*VLOOKUP($DR$2,坦克等级成长!$B$36:$G$42,MATCH(EK$3,坦克等级成长!$B$35:$G$35,0)),0)</f>
        <v>1054</v>
      </c>
      <c r="EL65" s="33">
        <f t="shared" si="26"/>
        <v>1054</v>
      </c>
      <c r="EM65" s="33">
        <v>901</v>
      </c>
      <c r="EN65" s="33">
        <f>ROUND(坦克等级成长!$H162*VLOOKUP($DR$2,坦克等级成长!$B$36:$G$42,MATCH(EN$3,坦克等级成长!$B$35:$G$35,0)),0)</f>
        <v>1550</v>
      </c>
      <c r="EO65" s="33">
        <f>ROUND(坦克等级成长!$H162*VLOOKUP($DR$2,坦克等级成长!$B$36:$G$42,MATCH(EO$3,坦克等级成长!$B$35:$G$35,0)),0)</f>
        <v>336</v>
      </c>
      <c r="EP65" s="191">
        <v>12</v>
      </c>
      <c r="EQ65" s="33">
        <f>ROUND(坦克等级成长!$D162*VLOOKUP($EP$2,坦克等级成长!$B$36:$G$42,MATCH(EQ$3,坦克等级成长!$B$35:$G$35,0)),0)</f>
        <v>3026</v>
      </c>
      <c r="ER65" s="33">
        <f>ROUND(坦克等级成长!$D162*VLOOKUP($EP$2,坦克等级成长!$B$36:$G$42,MATCH(ER$3,坦克等级成长!$B$35:$G$35,0)),0)</f>
        <v>347</v>
      </c>
      <c r="ES65" s="33">
        <f>ROUND(坦克等级成长!$D162*VLOOKUP($EP$2,坦克等级成长!$B$36:$G$42,MATCH(ES$3,坦克等级成长!$B$35:$G$35,0)),0)</f>
        <v>1180</v>
      </c>
      <c r="ET65" s="33">
        <f t="shared" si="41"/>
        <v>1180</v>
      </c>
      <c r="EU65" s="33">
        <v>946.5</v>
      </c>
      <c r="EV65" s="33">
        <f>ROUND(坦克等级成长!$D162*VLOOKUP($EP$2,坦克等级成长!$B$36:$G$42,MATCH(EV$3,坦克等级成长!$B$35:$G$35,0)),0)</f>
        <v>1292</v>
      </c>
      <c r="EW65" s="33">
        <f>ROUND(坦克等级成长!$D162*VLOOKUP($EP$2,坦克等级成长!$B$36:$G$42,MATCH(EW$3,坦克等级成长!$B$35:$G$35,0)),0)</f>
        <v>303</v>
      </c>
      <c r="EX65" s="198">
        <v>12</v>
      </c>
      <c r="EY65" s="33">
        <f>ROUND(坦克等级成长!$F162*VLOOKUP($EP$2,坦克等级成长!$B$36:$G$42,MATCH(EY$3,坦克等级成长!$B$35:$G$35,0)),0)</f>
        <v>3068</v>
      </c>
      <c r="EZ65" s="33">
        <f>ROUND(坦克等级成长!$F162*VLOOKUP($EP$2,坦克等级成长!$B$36:$G$42,MATCH(EZ$3,坦克等级成长!$B$35:$G$35,0)),0)</f>
        <v>352</v>
      </c>
      <c r="FA65" s="33">
        <f>ROUND(坦克等级成长!$F162*VLOOKUP($EP$2,坦克等级成长!$B$36:$G$42,MATCH(FA$3,坦克等级成长!$B$35:$G$35,0)),0)</f>
        <v>1196</v>
      </c>
      <c r="FB65" s="33">
        <f t="shared" si="13"/>
        <v>1196</v>
      </c>
      <c r="FC65" s="33">
        <v>971</v>
      </c>
      <c r="FD65" s="33">
        <f>ROUND(坦克等级成长!$F162*VLOOKUP($EP$2,坦克等级成长!$B$36:$G$42,MATCH(FD$3,坦克等级成长!$B$35:$G$35,0)),0)</f>
        <v>1310</v>
      </c>
      <c r="FE65" s="33">
        <f>ROUND(坦克等级成长!$F162*VLOOKUP($EP$2,坦克等级成长!$B$36:$G$42,MATCH(FE$3,坦克等级成长!$B$35:$G$35,0)),0)</f>
        <v>307</v>
      </c>
      <c r="FF65" s="191">
        <v>12</v>
      </c>
      <c r="FG65" s="33">
        <f>ROUND(坦克等级成长!$H162*VLOOKUP($EP$2,坦克等级成长!$B$36:$G$42,MATCH(FG$3,坦克等级成长!$B$35:$G$35,0)),0)</f>
        <v>3111</v>
      </c>
      <c r="FH65" s="33">
        <f>ROUND(坦克等级成长!$H162*VLOOKUP($EP$2,坦克等级成长!$B$36:$G$42,MATCH(FH$3,坦克等级成长!$B$35:$G$35,0)),0)</f>
        <v>356</v>
      </c>
      <c r="FI65" s="33">
        <f>ROUND(坦克等级成长!$H162*VLOOKUP($EP$2,坦克等级成长!$B$36:$G$42,MATCH(FI$3,坦克等级成长!$B$35:$G$35,0)),0)</f>
        <v>1212</v>
      </c>
      <c r="FJ65" s="33">
        <f t="shared" si="27"/>
        <v>1212</v>
      </c>
      <c r="FK65" s="33">
        <v>971</v>
      </c>
      <c r="FL65" s="33">
        <f>ROUND(坦克等级成长!$H162*VLOOKUP($EP$2,坦克等级成长!$B$36:$G$42,MATCH(FL$3,坦克等级成长!$B$35:$G$35,0)),0)</f>
        <v>1328</v>
      </c>
      <c r="FM65" s="33">
        <f>ROUND(坦克等级成长!$H162*VLOOKUP($EP$2,坦克等级成长!$B$36:$G$42,MATCH(FM$3,坦克等级成长!$B$35:$G$35,0)),0)</f>
        <v>311</v>
      </c>
    </row>
    <row r="66" spans="1:169" ht="14.25" x14ac:dyDescent="0.3">
      <c r="A66" s="188">
        <v>5</v>
      </c>
      <c r="B66" s="191">
        <v>13</v>
      </c>
      <c r="C66" s="33">
        <f>ROUND(坦克等级成长!$D163*VLOOKUP($B$2,坦克等级成长!$B$36:$G$42,MATCH(C$3,坦克等级成长!$B$35:$G$35,0)),0)</f>
        <v>2960</v>
      </c>
      <c r="D66" s="33">
        <f>ROUND(坦克等级成长!$D163*VLOOKUP($B$2,坦克等级成长!$B$36:$G$42,MATCH(D$3,坦克等级成长!$B$35:$G$35,0)),0)</f>
        <v>322</v>
      </c>
      <c r="E66" s="33">
        <f>ROUND(坦克等级成长!$D163*VLOOKUP($B$2,坦克等级成长!$B$36:$G$42,MATCH(E$3,坦克等级成长!$B$35:$G$35,0)),0)</f>
        <v>1110</v>
      </c>
      <c r="F66" s="33">
        <f t="shared" si="35"/>
        <v>1110</v>
      </c>
      <c r="G66" s="33">
        <v>831.6</v>
      </c>
      <c r="H66" s="33">
        <f>ROUND(坦克等级成长!$D163*VLOOKUP($B$2,坦克等级成长!$B$36:$G$42,MATCH(H$3,坦克等级成长!$B$35:$G$35,0)),0)</f>
        <v>1110</v>
      </c>
      <c r="I66" s="33">
        <f>ROUND(坦克等级成长!$D163*VLOOKUP($B$2,坦克等级成长!$B$36:$G$42,MATCH(I$3,坦克等级成长!$B$35:$G$35,0)),0)</f>
        <v>296</v>
      </c>
      <c r="J66" s="198">
        <v>13</v>
      </c>
      <c r="K66" s="33">
        <f>ROUND(坦克等级成长!$F163*VLOOKUP($B$2,坦克等级成长!$B$36:$G$42,MATCH(K$3,坦克等级成长!$B$35:$G$35,0)),0)</f>
        <v>3000</v>
      </c>
      <c r="L66" s="33">
        <f>ROUND(坦克等级成长!$F163*VLOOKUP($B$2,坦克等级成长!$B$36:$G$42,MATCH(L$3,坦克等级成长!$B$35:$G$35,0)),0)</f>
        <v>326</v>
      </c>
      <c r="M66" s="33">
        <f>ROUND(坦克等级成长!$F163*VLOOKUP($B$2,坦克等级成长!$B$36:$G$42,MATCH(M$3,坦克等级成长!$B$35:$G$35,0)),0)</f>
        <v>1125</v>
      </c>
      <c r="N66" s="33">
        <f t="shared" si="7"/>
        <v>1125</v>
      </c>
      <c r="O66" s="33">
        <v>853</v>
      </c>
      <c r="P66" s="33">
        <f>ROUND(坦克等级成长!$F163*VLOOKUP($B$2,坦克等级成长!$B$36:$G$42,MATCH(P$3,坦克等级成长!$B$35:$G$35,0)),0)</f>
        <v>1125</v>
      </c>
      <c r="Q66" s="33">
        <f>ROUND(坦克等级成长!$F163*VLOOKUP($B$2,坦克等级成长!$B$36:$G$42,MATCH(Q$3,坦克等级成长!$B$35:$G$35,0)),0)</f>
        <v>300</v>
      </c>
      <c r="R66" s="191">
        <v>13</v>
      </c>
      <c r="S66" s="33">
        <f>ROUND(坦克等级成长!$H163*VLOOKUP($B$2,坦克等级成长!$B$36:$G$42,MATCH(S$3,坦克等级成长!$B$35:$G$35,0)),0)</f>
        <v>3040</v>
      </c>
      <c r="T66" s="33">
        <f>ROUND(坦克等级成长!$H163*VLOOKUP($B$2,坦克等级成长!$B$36:$G$42,MATCH(T$3,坦克等级成长!$B$35:$G$35,0)),0)</f>
        <v>331</v>
      </c>
      <c r="U66" s="33">
        <f>ROUND(坦克等级成长!$H163*VLOOKUP($B$2,坦克等级成长!$B$36:$G$42,MATCH(U$3,坦克等级成长!$B$35:$G$35,0)),0)</f>
        <v>1140</v>
      </c>
      <c r="V66" s="33">
        <f t="shared" si="21"/>
        <v>1140</v>
      </c>
      <c r="W66" s="33">
        <v>853</v>
      </c>
      <c r="X66" s="33">
        <f>ROUND(坦克等级成长!$H163*VLOOKUP($B$2,坦克等级成长!$B$36:$G$42,MATCH(X$3,坦克等级成长!$B$35:$G$35,0)),0)</f>
        <v>1140</v>
      </c>
      <c r="Y66" s="33">
        <f>ROUND(坦克等级成长!$H163*VLOOKUP($B$2,坦克等级成长!$B$36:$G$42,MATCH(Y$3,坦克等级成长!$B$35:$G$35,0)),0)</f>
        <v>304</v>
      </c>
      <c r="Z66" s="191">
        <v>13</v>
      </c>
      <c r="AA66" s="33">
        <f>ROUND(坦克等级成长!$D163*VLOOKUP($Z$2,坦克等级成长!$B$36:$G$42,MATCH(AA$3,坦克等级成长!$B$35:$G$35,0)),0)</f>
        <v>2960</v>
      </c>
      <c r="AB66" s="33">
        <f>ROUND(坦克等级成长!$D163*VLOOKUP($Z$2,坦克等级成长!$B$36:$G$42,MATCH(AB$3,坦克等级成长!$B$35:$G$35,0)),0)</f>
        <v>174</v>
      </c>
      <c r="AC66" s="33">
        <f>ROUND(坦克等级成长!$D163*VLOOKUP($Z$2,坦克等级成长!$B$36:$G$42,MATCH(AC$3,坦克等级成长!$B$35:$G$35,0)),0)</f>
        <v>1216</v>
      </c>
      <c r="AD66" s="33">
        <f t="shared" si="36"/>
        <v>1216</v>
      </c>
      <c r="AE66" s="33">
        <v>910.7</v>
      </c>
      <c r="AF66" s="33">
        <f>ROUND(坦克等级成长!$D163*VLOOKUP($Z$2,坦克等级成长!$B$36:$G$42,MATCH(AF$3,坦克等级成长!$B$35:$G$35,0)),0)</f>
        <v>1110</v>
      </c>
      <c r="AG66" s="33">
        <f>ROUND(坦克等级成长!$D163*VLOOKUP($Z$2,坦克等级成长!$B$36:$G$42,MATCH(AG$3,坦克等级成长!$B$35:$G$35,0)),0)</f>
        <v>296</v>
      </c>
      <c r="AH66" s="198">
        <v>13</v>
      </c>
      <c r="AI66" s="33">
        <f>ROUND(坦克等级成长!$F163*VLOOKUP($Z$2,坦克等级成长!$B$36:$G$42,MATCH(AI$3,坦克等级成长!$B$35:$G$35,0)),0)</f>
        <v>3000</v>
      </c>
      <c r="AJ66" s="33">
        <f>ROUND(坦克等级成长!$F163*VLOOKUP($Z$2,坦克等级成长!$B$36:$G$42,MATCH(AJ$3,坦克等级成长!$B$35:$G$35,0)),0)</f>
        <v>177</v>
      </c>
      <c r="AK66" s="33">
        <f>ROUND(坦克等级成长!$F163*VLOOKUP($Z$2,坦克等级成长!$B$36:$G$42,MATCH(AK$3,坦克等级成长!$B$35:$G$35,0)),0)</f>
        <v>1232</v>
      </c>
      <c r="AL66" s="33">
        <f t="shared" si="8"/>
        <v>1232</v>
      </c>
      <c r="AM66" s="33">
        <v>934</v>
      </c>
      <c r="AN66" s="33">
        <f>ROUND(坦克等级成长!$F163*VLOOKUP($Z$2,坦克等级成长!$B$36:$G$42,MATCH(AN$3,坦克等级成长!$B$35:$G$35,0)),0)</f>
        <v>1125</v>
      </c>
      <c r="AO66" s="33">
        <f>ROUND(坦克等级成长!$F163*VLOOKUP($Z$2,坦克等级成长!$B$36:$G$42,MATCH(AO$3,坦克等级成长!$B$35:$G$35,0)),0)</f>
        <v>300</v>
      </c>
      <c r="AP66" s="191">
        <v>13</v>
      </c>
      <c r="AQ66" s="33">
        <f>ROUND(坦克等级成长!$H163*VLOOKUP($Z$2,坦克等级成长!$B$36:$G$42,MATCH(AQ$3,坦克等级成长!$B$35:$G$35,0)),0)</f>
        <v>3040</v>
      </c>
      <c r="AR66" s="33">
        <f>ROUND(坦克等级成长!$H163*VLOOKUP($Z$2,坦克等级成长!$B$36:$G$42,MATCH(AR$3,坦克等级成长!$B$35:$G$35,0)),0)</f>
        <v>179</v>
      </c>
      <c r="AS66" s="33">
        <f>ROUND(坦克等级成长!$H163*VLOOKUP($Z$2,坦克等级成长!$B$36:$G$42,MATCH(AS$3,坦克等级成长!$B$35:$G$35,0)),0)</f>
        <v>1249</v>
      </c>
      <c r="AT66" s="33">
        <f t="shared" si="22"/>
        <v>1249</v>
      </c>
      <c r="AU66" s="33">
        <v>934</v>
      </c>
      <c r="AV66" s="33">
        <f>ROUND(坦克等级成长!$H163*VLOOKUP($Z$2,坦克等级成长!$B$36:$G$42,MATCH(AV$3,坦克等级成长!$B$35:$G$35,0)),0)</f>
        <v>1140</v>
      </c>
      <c r="AW66" s="33">
        <f>ROUND(坦克等级成长!$H163*VLOOKUP($Z$2,坦克等级成长!$B$36:$G$42,MATCH(AW$3,坦克等级成长!$B$35:$G$35,0)),0)</f>
        <v>304</v>
      </c>
      <c r="AX66" s="191">
        <v>13</v>
      </c>
      <c r="AY66" s="33">
        <f>ROUND(坦克等级成长!$D163*VLOOKUP($AX$2,坦克等级成长!$B$36:$G$42,MATCH(AY$3,坦克等级成长!$B$35:$G$35,0)),0)</f>
        <v>2960</v>
      </c>
      <c r="AZ66" s="33">
        <f>ROUND(坦克等级成长!$D163*VLOOKUP($AX$2,坦克等级成长!$B$36:$G$42,MATCH(AZ$3,坦克等级成长!$B$35:$G$35,0)),0)</f>
        <v>322</v>
      </c>
      <c r="BA66" s="33">
        <f>ROUND(坦克等级成长!$D163*VLOOKUP($AX$2,坦克等级成长!$B$36:$G$42,MATCH(BA$3,坦克等级成长!$B$35:$G$35,0)),0)</f>
        <v>1110</v>
      </c>
      <c r="BB66" s="33">
        <f t="shared" si="37"/>
        <v>1110</v>
      </c>
      <c r="BC66" s="33">
        <v>831.6</v>
      </c>
      <c r="BD66" s="33">
        <f>ROUND(坦克等级成长!$D163*VLOOKUP($AX$2,坦克等级成长!$B$36:$G$42,MATCH(BD$3,坦克等级成长!$B$35:$G$35,0)),0)</f>
        <v>1110</v>
      </c>
      <c r="BE66" s="33">
        <f>ROUND(坦克等级成长!$D163*VLOOKUP($AX$2,坦克等级成长!$B$36:$G$42,MATCH(BE$3,坦克等级成长!$B$35:$G$35,0)),0)</f>
        <v>296</v>
      </c>
      <c r="BF66" s="198">
        <v>13</v>
      </c>
      <c r="BG66" s="33">
        <f>ROUND(坦克等级成长!$F163*VLOOKUP($AX$2,坦克等级成长!$B$36:$G$42,MATCH(BG$3,坦克等级成长!$B$35:$G$35,0)),0)</f>
        <v>3000</v>
      </c>
      <c r="BH66" s="33">
        <f>ROUND(坦克等级成长!$F163*VLOOKUP($AX$2,坦克等级成长!$B$36:$G$42,MATCH(BH$3,坦克等级成长!$B$35:$G$35,0)),0)</f>
        <v>326</v>
      </c>
      <c r="BI66" s="33">
        <f>ROUND(坦克等级成长!$F163*VLOOKUP($AX$2,坦克等级成长!$B$36:$G$42,MATCH(BI$3,坦克等级成长!$B$35:$G$35,0)),0)</f>
        <v>1125</v>
      </c>
      <c r="BJ66" s="33">
        <f t="shared" si="9"/>
        <v>1125</v>
      </c>
      <c r="BK66" s="33">
        <v>853</v>
      </c>
      <c r="BL66" s="33">
        <f>ROUND(坦克等级成长!$F163*VLOOKUP($AX$2,坦克等级成长!$B$36:$G$42,MATCH(BL$3,坦克等级成长!$B$35:$G$35,0)),0)</f>
        <v>1125</v>
      </c>
      <c r="BM66" s="33">
        <f>ROUND(坦克等级成长!$F163*VLOOKUP($AX$2,坦克等级成长!$B$36:$G$42,MATCH(BM$3,坦克等级成长!$B$35:$G$35,0)),0)</f>
        <v>300</v>
      </c>
      <c r="BN66" s="191">
        <v>13</v>
      </c>
      <c r="BO66" s="33">
        <f>ROUND(坦克等级成长!$H163*VLOOKUP($AX$2,坦克等级成长!$B$36:$G$42,MATCH(BO$3,坦克等级成长!$B$35:$G$35,0)),0)</f>
        <v>3040</v>
      </c>
      <c r="BP66" s="33">
        <f>ROUND(坦克等级成长!$H163*VLOOKUP($AX$2,坦克等级成长!$B$36:$G$42,MATCH(BP$3,坦克等级成长!$B$35:$G$35,0)),0)</f>
        <v>331</v>
      </c>
      <c r="BQ66" s="33">
        <f>ROUND(坦克等级成长!$H163*VLOOKUP($AX$2,坦克等级成长!$B$36:$G$42,MATCH(BQ$3,坦克等级成长!$B$35:$G$35,0)),0)</f>
        <v>1140</v>
      </c>
      <c r="BR66" s="33">
        <f t="shared" si="23"/>
        <v>1140</v>
      </c>
      <c r="BS66" s="33">
        <v>853</v>
      </c>
      <c r="BT66" s="33">
        <f>ROUND(坦克等级成长!$H163*VLOOKUP($AX$2,坦克等级成长!$B$36:$G$42,MATCH(BT$3,坦克等级成长!$B$35:$G$35,0)),0)</f>
        <v>1140</v>
      </c>
      <c r="BU66" s="33">
        <f>ROUND(坦克等级成长!$H163*VLOOKUP($AX$2,坦克等级成长!$B$36:$G$42,MATCH(BU$3,坦克等级成长!$B$35:$G$35,0)),0)</f>
        <v>304</v>
      </c>
      <c r="BV66" s="191">
        <v>13</v>
      </c>
      <c r="BW66" s="33">
        <f>ROUND(坦克等级成长!$D163*VLOOKUP($BV$2,坦克等级成长!$B$36:$G$42,MATCH(BW$3,坦克等级成长!$B$35:$G$35,0)),0)</f>
        <v>3119</v>
      </c>
      <c r="BX66" s="33">
        <f>ROUND(坦克等级成长!$D163*VLOOKUP($BV$2,坦克等级成长!$B$36:$G$42,MATCH(BX$3,坦克等级成长!$B$35:$G$35,0)),0)</f>
        <v>294</v>
      </c>
      <c r="BY66" s="33">
        <f>ROUND(坦克等级成长!$D163*VLOOKUP($BV$2,坦克等级成长!$B$36:$G$42,MATCH(BY$3,坦克等级成长!$B$35:$G$35,0)),0)</f>
        <v>1057</v>
      </c>
      <c r="BZ66" s="33">
        <f t="shared" si="38"/>
        <v>1057</v>
      </c>
      <c r="CA66" s="33">
        <v>848.25</v>
      </c>
      <c r="CB66" s="33">
        <f>ROUND(坦克等级成长!$D163*VLOOKUP($BV$2,坦克等级成长!$B$36:$G$42,MATCH(CB$3,坦克等级成长!$B$35:$G$35,0)),0)</f>
        <v>1332</v>
      </c>
      <c r="CC66" s="33">
        <f>ROUND(坦克等级成长!$D163*VLOOKUP($BV$2,坦克等级成长!$B$36:$G$42,MATCH(CC$3,坦克等级成长!$B$35:$G$35,0)),0)</f>
        <v>312</v>
      </c>
      <c r="CD66" s="198">
        <v>13</v>
      </c>
      <c r="CE66" s="33">
        <f>ROUND(坦克等级成长!$F163*VLOOKUP($BV$2,坦克等级成长!$B$36:$G$42,MATCH(CE$3,坦克等级成长!$B$35:$G$35,0)),0)</f>
        <v>3161</v>
      </c>
      <c r="CF66" s="33">
        <f>ROUND(坦克等级成长!$F163*VLOOKUP($BV$2,坦克等级成长!$B$36:$G$42,MATCH(CF$3,坦克等级成长!$B$35:$G$35,0)),0)</f>
        <v>298</v>
      </c>
      <c r="CG66" s="33">
        <f>ROUND(坦克等级成长!$F163*VLOOKUP($BV$2,坦克等级成长!$B$36:$G$42,MATCH(CG$3,坦克等级成长!$B$35:$G$35,0)),0)</f>
        <v>1071</v>
      </c>
      <c r="CH66" s="33">
        <f t="shared" si="10"/>
        <v>1071</v>
      </c>
      <c r="CI66" s="33">
        <v>870</v>
      </c>
      <c r="CJ66" s="33">
        <f>ROUND(坦克等级成长!$F163*VLOOKUP($BV$2,坦克等级成长!$B$36:$G$42,MATCH(CJ$3,坦克等级成长!$B$35:$G$35,0)),0)</f>
        <v>1350</v>
      </c>
      <c r="CK66" s="33">
        <f>ROUND(坦克等级成长!$F163*VLOOKUP($BV$2,坦克等级成长!$B$36:$G$42,MATCH(CK$3,坦克等级成长!$B$35:$G$35,0)),0)</f>
        <v>316</v>
      </c>
      <c r="CL66" s="191">
        <v>13</v>
      </c>
      <c r="CM66" s="33">
        <f>ROUND(坦克等级成长!$H163*VLOOKUP($BV$2,坦克等级成长!$B$36:$G$42,MATCH(CM$3,坦克等级成长!$B$35:$G$35,0)),0)</f>
        <v>3203</v>
      </c>
      <c r="CN66" s="33">
        <f>ROUND(坦克等级成长!$H163*VLOOKUP($BV$2,坦克等级成长!$B$36:$G$42,MATCH(CN$3,坦克等级成长!$B$35:$G$35,0)),0)</f>
        <v>302</v>
      </c>
      <c r="CO66" s="33">
        <f>ROUND(坦克等级成长!$H163*VLOOKUP($BV$2,坦克等级成长!$B$36:$G$42,MATCH(CO$3,坦克等级成长!$B$35:$G$35,0)),0)</f>
        <v>1086</v>
      </c>
      <c r="CP66" s="33">
        <f t="shared" si="24"/>
        <v>1086</v>
      </c>
      <c r="CQ66" s="33">
        <v>870</v>
      </c>
      <c r="CR66" s="33">
        <f>ROUND(坦克等级成长!$H163*VLOOKUP($BV$2,坦克等级成长!$B$36:$G$42,MATCH(CR$3,坦克等级成长!$B$35:$G$35,0)),0)</f>
        <v>1368</v>
      </c>
      <c r="CS66" s="33">
        <f>ROUND(坦克等级成长!$H163*VLOOKUP($BV$2,坦克等级成长!$B$36:$G$42,MATCH(CS$3,坦克等级成长!$B$35:$G$35,0)),0)</f>
        <v>320</v>
      </c>
      <c r="CT66" s="191">
        <v>13</v>
      </c>
      <c r="CU66" s="33">
        <f>ROUND(坦克等级成长!$D163*VLOOKUP($CT$2,坦克等级成长!$B$36:$G$42,MATCH(CU$3,坦克等级成长!$B$35:$G$35,0)),0)</f>
        <v>2960</v>
      </c>
      <c r="CV66" s="33">
        <f>ROUND(坦克等级成长!$D163*VLOOKUP($CT$2,坦克等级成长!$B$36:$G$42,MATCH(CV$3,坦克等级成长!$B$35:$G$35,0)),0)</f>
        <v>672</v>
      </c>
      <c r="CW66" s="33">
        <f>ROUND(坦克等级成长!$D163*VLOOKUP($CT$2,坦克等级成长!$B$36:$G$42,MATCH(CW$3,坦克等级成长!$B$35:$G$35,0)),0)</f>
        <v>1321</v>
      </c>
      <c r="CX66" s="33">
        <f t="shared" si="39"/>
        <v>1321</v>
      </c>
      <c r="CY66" s="33">
        <v>1060.5</v>
      </c>
      <c r="CZ66" s="33">
        <f>ROUND(坦克等级成长!$D163*VLOOKUP($CT$2,坦克等级成长!$B$36:$G$42,MATCH(CZ$3,坦克等级成长!$B$35:$G$35,0)),0)</f>
        <v>1110</v>
      </c>
      <c r="DA66" s="33">
        <f>ROUND(坦克等级成长!$D163*VLOOKUP($CT$2,坦克等级成长!$B$36:$G$42,MATCH(DA$3,坦克等级成长!$B$35:$G$35,0)),0)</f>
        <v>296</v>
      </c>
      <c r="DB66" s="198">
        <v>13</v>
      </c>
      <c r="DC66" s="33">
        <f>ROUND(坦克等级成长!$F163*VLOOKUP($CT$2,坦克等级成长!$B$36:$G$42,MATCH(DC$3,坦克等级成长!$B$35:$G$35,0)),0)</f>
        <v>3000</v>
      </c>
      <c r="DD66" s="33">
        <f>ROUND(坦克等级成长!$F163*VLOOKUP($CT$2,坦克等级成长!$B$36:$G$42,MATCH(DD$3,坦克等级成长!$B$35:$G$35,0)),0)</f>
        <v>681</v>
      </c>
      <c r="DE66" s="33">
        <f>ROUND(坦克等级成长!$F163*VLOOKUP($CT$2,坦克等级成长!$B$36:$G$42,MATCH(DE$3,坦克等级成长!$B$35:$G$35,0)),0)</f>
        <v>1339</v>
      </c>
      <c r="DF66" s="33">
        <f t="shared" si="11"/>
        <v>1339</v>
      </c>
      <c r="DG66" s="33">
        <v>1088</v>
      </c>
      <c r="DH66" s="33">
        <f>ROUND(坦克等级成长!$F163*VLOOKUP($CT$2,坦克等级成长!$B$36:$G$42,MATCH(DH$3,坦克等级成长!$B$35:$G$35,0)),0)</f>
        <v>1125</v>
      </c>
      <c r="DI66" s="33">
        <f>ROUND(坦克等级成长!$F163*VLOOKUP($CT$2,坦克等级成长!$B$36:$G$42,MATCH(DI$3,坦克等级成长!$B$35:$G$35,0)),0)</f>
        <v>300</v>
      </c>
      <c r="DJ66" s="191">
        <v>13</v>
      </c>
      <c r="DK66" s="33">
        <f>ROUND(坦克等级成长!$H163*VLOOKUP($CT$2,坦克等级成长!$B$36:$G$42,MATCH(DK$3,坦克等级成长!$B$35:$G$35,0)),0)</f>
        <v>3040</v>
      </c>
      <c r="DL66" s="33">
        <f>ROUND(坦克等级成长!$H163*VLOOKUP($CT$2,坦克等级成长!$B$36:$G$42,MATCH(DL$3,坦克等级成长!$B$35:$G$35,0)),0)</f>
        <v>690</v>
      </c>
      <c r="DM66" s="33">
        <f>ROUND(坦克等级成长!$H163*VLOOKUP($CT$2,坦克等级成长!$B$36:$G$42,MATCH(DM$3,坦克等级成长!$B$35:$G$35,0)),0)</f>
        <v>1357</v>
      </c>
      <c r="DN66" s="33">
        <f t="shared" si="25"/>
        <v>1357</v>
      </c>
      <c r="DO66" s="33">
        <v>1088</v>
      </c>
      <c r="DP66" s="33">
        <f>ROUND(坦克等级成长!$H163*VLOOKUP($CT$2,坦克等级成长!$B$36:$G$42,MATCH(DP$3,坦克等级成长!$B$35:$G$35,0)),0)</f>
        <v>1140</v>
      </c>
      <c r="DQ66" s="33">
        <f>ROUND(坦克等级成长!$H163*VLOOKUP($CT$2,坦克等级成长!$B$36:$G$42,MATCH(DQ$3,坦克等级成长!$B$35:$G$35,0)),0)</f>
        <v>304</v>
      </c>
      <c r="DR66" s="191">
        <v>13</v>
      </c>
      <c r="DS66" s="33">
        <f>ROUND(坦克等级成长!$D163*VLOOKUP($DR$2,坦克等级成长!$B$36:$G$42,MATCH(DS$3,坦克等级成长!$B$35:$G$35,0)),0)</f>
        <v>3368</v>
      </c>
      <c r="DT66" s="33">
        <f>ROUND(坦克等级成长!$D163*VLOOKUP($DR$2,坦克等级成长!$B$36:$G$42,MATCH(DT$3,坦克等级成长!$B$35:$G$35,0)),0)</f>
        <v>1149</v>
      </c>
      <c r="DU66" s="33">
        <f>ROUND(坦克等级成长!$D163*VLOOKUP($DR$2,坦克等级成长!$B$36:$G$42,MATCH(DU$3,坦克等级成长!$B$35:$G$35,0)),0)</f>
        <v>1057</v>
      </c>
      <c r="DV66" s="33">
        <f t="shared" si="40"/>
        <v>1057</v>
      </c>
      <c r="DW66" s="33">
        <v>904.8</v>
      </c>
      <c r="DX66" s="33">
        <f>ROUND(坦克等级成长!$D163*VLOOKUP($DR$2,坦克等级成长!$B$36:$G$42,MATCH(DX$3,坦克等级成长!$B$35:$G$35,0)),0)</f>
        <v>1554</v>
      </c>
      <c r="DY66" s="33">
        <f>ROUND(坦克等级成长!$D163*VLOOKUP($DR$2,坦克等级成长!$B$36:$G$42,MATCH(DY$3,坦克等级成长!$B$35:$G$35,0)),0)</f>
        <v>337</v>
      </c>
      <c r="DZ66" s="198">
        <v>13</v>
      </c>
      <c r="EA66" s="33">
        <f>ROUND(坦克等级成长!$F163*VLOOKUP($DR$2,坦克等级成长!$B$36:$G$42,MATCH(EA$3,坦克等级成长!$B$35:$G$35,0)),0)</f>
        <v>3413</v>
      </c>
      <c r="EB66" s="33">
        <f>ROUND(坦克等级成长!$F163*VLOOKUP($DR$2,坦克等级成长!$B$36:$G$42,MATCH(EB$3,坦克等级成长!$B$35:$G$35,0)),0)</f>
        <v>1164</v>
      </c>
      <c r="EC66" s="33">
        <f>ROUND(坦克等级成长!$F163*VLOOKUP($DR$2,坦克等级成长!$B$36:$G$42,MATCH(EC$3,坦克等级成长!$B$35:$G$35,0)),0)</f>
        <v>1071</v>
      </c>
      <c r="ED66" s="33">
        <f t="shared" si="12"/>
        <v>1071</v>
      </c>
      <c r="EE66" s="33">
        <v>928</v>
      </c>
      <c r="EF66" s="33">
        <f>ROUND(坦克等级成长!$F163*VLOOKUP($DR$2,坦克等级成长!$B$36:$G$42,MATCH(EF$3,坦克等级成长!$B$35:$G$35,0)),0)</f>
        <v>1575</v>
      </c>
      <c r="EG66" s="33">
        <f>ROUND(坦克等级成长!$F163*VLOOKUP($DR$2,坦克等级成长!$B$36:$G$42,MATCH(EG$3,坦克等级成长!$B$35:$G$35,0)),0)</f>
        <v>341</v>
      </c>
      <c r="EH66" s="191">
        <v>13</v>
      </c>
      <c r="EI66" s="33">
        <f>ROUND(坦克等级成长!$H163*VLOOKUP($DR$2,坦克等级成长!$B$36:$G$42,MATCH(EI$3,坦克等级成长!$B$35:$G$35,0)),0)</f>
        <v>3459</v>
      </c>
      <c r="EJ66" s="33">
        <f>ROUND(坦克等级成长!$H163*VLOOKUP($DR$2,坦克等级成长!$B$36:$G$42,MATCH(EJ$3,坦克等级成长!$B$35:$G$35,0)),0)</f>
        <v>1180</v>
      </c>
      <c r="EK66" s="33">
        <f>ROUND(坦克等级成长!$H163*VLOOKUP($DR$2,坦克等级成长!$B$36:$G$42,MATCH(EK$3,坦克等级成长!$B$35:$G$35,0)),0)</f>
        <v>1086</v>
      </c>
      <c r="EL66" s="33">
        <f t="shared" si="26"/>
        <v>1086</v>
      </c>
      <c r="EM66" s="33">
        <v>928</v>
      </c>
      <c r="EN66" s="33">
        <f>ROUND(坦克等级成长!$H163*VLOOKUP($DR$2,坦克等级成长!$B$36:$G$42,MATCH(EN$3,坦克等级成长!$B$35:$G$35,0)),0)</f>
        <v>1596</v>
      </c>
      <c r="EO66" s="33">
        <f>ROUND(坦克等级成长!$H163*VLOOKUP($DR$2,坦克等级成长!$B$36:$G$42,MATCH(EO$3,坦克等级成长!$B$35:$G$35,0)),0)</f>
        <v>346</v>
      </c>
      <c r="EP66" s="191">
        <v>13</v>
      </c>
      <c r="EQ66" s="33">
        <f>ROUND(坦克等级成长!$D163*VLOOKUP($EP$2,坦克等级成长!$B$36:$G$42,MATCH(EQ$3,坦克等级成长!$B$35:$G$35,0)),0)</f>
        <v>3119</v>
      </c>
      <c r="ER66" s="33">
        <f>ROUND(坦克等级成长!$D163*VLOOKUP($EP$2,坦克等级成长!$B$36:$G$42,MATCH(ER$3,坦克等级成长!$B$35:$G$35,0)),0)</f>
        <v>357</v>
      </c>
      <c r="ES66" s="33">
        <f>ROUND(坦克等级成长!$D163*VLOOKUP($EP$2,坦克等级成长!$B$36:$G$42,MATCH(ES$3,坦克等级成长!$B$35:$G$35,0)),0)</f>
        <v>1216</v>
      </c>
      <c r="ET66" s="33">
        <f t="shared" si="41"/>
        <v>1216</v>
      </c>
      <c r="EU66" s="33">
        <v>975.75</v>
      </c>
      <c r="EV66" s="33">
        <f>ROUND(坦克等级成长!$D163*VLOOKUP($EP$2,坦克等级成长!$B$36:$G$42,MATCH(EV$3,坦克等级成长!$B$35:$G$35,0)),0)</f>
        <v>1332</v>
      </c>
      <c r="EW66" s="33">
        <f>ROUND(坦克等级成长!$D163*VLOOKUP($EP$2,坦克等级成长!$B$36:$G$42,MATCH(EW$3,坦克等级成长!$B$35:$G$35,0)),0)</f>
        <v>312</v>
      </c>
      <c r="EX66" s="198">
        <v>13</v>
      </c>
      <c r="EY66" s="33">
        <f>ROUND(坦克等级成长!$F163*VLOOKUP($EP$2,坦克等级成长!$B$36:$G$42,MATCH(EY$3,坦克等级成长!$B$35:$G$35,0)),0)</f>
        <v>3161</v>
      </c>
      <c r="EZ66" s="33">
        <f>ROUND(坦克等级成长!$F163*VLOOKUP($EP$2,坦克等级成长!$B$36:$G$42,MATCH(EZ$3,坦克等级成长!$B$35:$G$35,0)),0)</f>
        <v>362</v>
      </c>
      <c r="FA66" s="33">
        <f>ROUND(坦克等级成长!$F163*VLOOKUP($EP$2,坦克等级成长!$B$36:$G$42,MATCH(FA$3,坦克等级成长!$B$35:$G$35,0)),0)</f>
        <v>1232</v>
      </c>
      <c r="FB66" s="33">
        <f t="shared" si="13"/>
        <v>1232</v>
      </c>
      <c r="FC66" s="33">
        <v>1001</v>
      </c>
      <c r="FD66" s="33">
        <f>ROUND(坦克等级成长!$F163*VLOOKUP($EP$2,坦克等级成长!$B$36:$G$42,MATCH(FD$3,坦克等级成长!$B$35:$G$35,0)),0)</f>
        <v>1350</v>
      </c>
      <c r="FE66" s="33">
        <f>ROUND(坦克等级成长!$F163*VLOOKUP($EP$2,坦克等级成长!$B$36:$G$42,MATCH(FE$3,坦克等级成长!$B$35:$G$35,0)),0)</f>
        <v>316</v>
      </c>
      <c r="FF66" s="191">
        <v>13</v>
      </c>
      <c r="FG66" s="33">
        <f>ROUND(坦克等级成长!$H163*VLOOKUP($EP$2,坦克等级成长!$B$36:$G$42,MATCH(FG$3,坦克等级成长!$B$35:$G$35,0)),0)</f>
        <v>3203</v>
      </c>
      <c r="FH66" s="33">
        <f>ROUND(坦克等级成长!$H163*VLOOKUP($EP$2,坦克等级成长!$B$36:$G$42,MATCH(FH$3,坦克等级成长!$B$35:$G$35,0)),0)</f>
        <v>367</v>
      </c>
      <c r="FI66" s="33">
        <f>ROUND(坦克等级成长!$H163*VLOOKUP($EP$2,坦克等级成长!$B$36:$G$42,MATCH(FI$3,坦克等级成长!$B$35:$G$35,0)),0)</f>
        <v>1249</v>
      </c>
      <c r="FJ66" s="33">
        <f t="shared" si="27"/>
        <v>1249</v>
      </c>
      <c r="FK66" s="33">
        <v>1001</v>
      </c>
      <c r="FL66" s="33">
        <f>ROUND(坦克等级成长!$H163*VLOOKUP($EP$2,坦克等级成长!$B$36:$G$42,MATCH(FL$3,坦克等级成长!$B$35:$G$35,0)),0)</f>
        <v>1368</v>
      </c>
      <c r="FM66" s="33">
        <f>ROUND(坦克等级成长!$H163*VLOOKUP($EP$2,坦克等级成长!$B$36:$G$42,MATCH(FM$3,坦克等级成长!$B$35:$G$35,0)),0)</f>
        <v>320</v>
      </c>
    </row>
    <row r="67" spans="1:169" ht="14.25" x14ac:dyDescent="0.3">
      <c r="A67" s="188">
        <v>5</v>
      </c>
      <c r="B67" s="192"/>
      <c r="C67" s="188"/>
      <c r="D67" s="188"/>
      <c r="E67" s="188"/>
      <c r="F67" s="188"/>
      <c r="G67" s="188"/>
      <c r="H67" s="188"/>
      <c r="I67" s="199"/>
      <c r="J67" s="198">
        <v>14</v>
      </c>
      <c r="K67" s="33">
        <f>ROUND(坦克等级成长!$F164*VLOOKUP($B$2,坦克等级成长!$B$36:$G$42,MATCH(K$3,坦克等级成长!$B$35:$G$35,0)),0)</f>
        <v>3088</v>
      </c>
      <c r="L67" s="33">
        <f>ROUND(坦克等级成长!$F164*VLOOKUP($B$2,坦克等级成长!$B$36:$G$42,MATCH(L$3,坦克等级成长!$B$35:$G$35,0)),0)</f>
        <v>336</v>
      </c>
      <c r="M67" s="33">
        <f>ROUND(坦克等级成长!$F164*VLOOKUP($B$2,坦克等级成长!$B$36:$G$42,MATCH(M$3,坦克等级成长!$B$35:$G$35,0)),0)</f>
        <v>1158</v>
      </c>
      <c r="N67" s="33">
        <f t="shared" si="7"/>
        <v>1158</v>
      </c>
      <c r="O67" s="33">
        <v>878</v>
      </c>
      <c r="P67" s="33">
        <f>ROUND(坦克等级成长!$F164*VLOOKUP($B$2,坦克等级成长!$B$36:$G$42,MATCH(P$3,坦克等级成长!$B$35:$G$35,0)),0)</f>
        <v>1158</v>
      </c>
      <c r="Q67" s="33">
        <f>ROUND(坦克等级成长!$F164*VLOOKUP($B$2,坦克等级成长!$B$36:$G$42,MATCH(Q$3,坦克等级成长!$B$35:$G$35,0)),0)</f>
        <v>309</v>
      </c>
      <c r="R67" s="191">
        <v>14</v>
      </c>
      <c r="S67" s="33">
        <f>ROUND(坦克等级成长!$H164*VLOOKUP($B$2,坦克等级成长!$B$36:$G$42,MATCH(S$3,坦克等级成长!$B$35:$G$35,0)),0)</f>
        <v>3128</v>
      </c>
      <c r="T67" s="33">
        <f>ROUND(坦克等级成长!$H164*VLOOKUP($B$2,坦克等级成长!$B$36:$G$42,MATCH(T$3,坦克等级成长!$B$35:$G$35,0)),0)</f>
        <v>340</v>
      </c>
      <c r="U67" s="33">
        <f>ROUND(坦克等级成长!$H164*VLOOKUP($B$2,坦克等级成长!$B$36:$G$42,MATCH(U$3,坦克等级成长!$B$35:$G$35,0)),0)</f>
        <v>1173</v>
      </c>
      <c r="V67" s="33">
        <f t="shared" si="21"/>
        <v>1173</v>
      </c>
      <c r="W67" s="33">
        <v>878</v>
      </c>
      <c r="X67" s="33">
        <f>ROUND(坦克等级成长!$H164*VLOOKUP($B$2,坦克等级成长!$B$36:$G$42,MATCH(X$3,坦克等级成长!$B$35:$G$35,0)),0)</f>
        <v>1173</v>
      </c>
      <c r="Y67" s="33">
        <f>ROUND(坦克等级成长!$H164*VLOOKUP($B$2,坦克等级成长!$B$36:$G$42,MATCH(Y$3,坦克等级成长!$B$35:$G$35,0)),0)</f>
        <v>313</v>
      </c>
      <c r="Z67" s="192"/>
      <c r="AA67" s="188"/>
      <c r="AB67" s="188"/>
      <c r="AC67" s="188"/>
      <c r="AD67" s="188"/>
      <c r="AE67" s="188"/>
      <c r="AF67" s="188"/>
      <c r="AG67" s="199"/>
      <c r="AH67" s="198">
        <v>14</v>
      </c>
      <c r="AI67" s="33">
        <f>ROUND(坦克等级成长!$F164*VLOOKUP($Z$2,坦克等级成长!$B$36:$G$42,MATCH(AI$3,坦克等级成长!$B$35:$G$35,0)),0)</f>
        <v>3088</v>
      </c>
      <c r="AJ67" s="33">
        <f>ROUND(坦克等级成长!$F164*VLOOKUP($Z$2,坦克等级成长!$B$36:$G$42,MATCH(AJ$3,坦克等级成长!$B$35:$G$35,0)),0)</f>
        <v>182</v>
      </c>
      <c r="AK67" s="33">
        <f>ROUND(坦克等级成长!$F164*VLOOKUP($Z$2,坦克等级成长!$B$36:$G$42,MATCH(AK$3,坦克等级成长!$B$35:$G$35,0)),0)</f>
        <v>1268</v>
      </c>
      <c r="AL67" s="33">
        <f t="shared" si="8"/>
        <v>1268</v>
      </c>
      <c r="AM67" s="33">
        <v>961</v>
      </c>
      <c r="AN67" s="33">
        <f>ROUND(坦克等级成长!$F164*VLOOKUP($Z$2,坦克等级成长!$B$36:$G$42,MATCH(AN$3,坦克等级成长!$B$35:$G$35,0)),0)</f>
        <v>1158</v>
      </c>
      <c r="AO67" s="33">
        <f>ROUND(坦克等级成长!$F164*VLOOKUP($Z$2,坦克等级成长!$B$36:$G$42,MATCH(AO$3,坦克等级成长!$B$35:$G$35,0)),0)</f>
        <v>309</v>
      </c>
      <c r="AP67" s="191">
        <v>14</v>
      </c>
      <c r="AQ67" s="33">
        <f>ROUND(坦克等级成长!$H164*VLOOKUP($Z$2,坦克等级成长!$B$36:$G$42,MATCH(AQ$3,坦克等级成长!$B$35:$G$35,0)),0)</f>
        <v>3128</v>
      </c>
      <c r="AR67" s="33">
        <f>ROUND(坦克等级成长!$H164*VLOOKUP($Z$2,坦克等级成长!$B$36:$G$42,MATCH(AR$3,坦克等级成长!$B$35:$G$35,0)),0)</f>
        <v>184</v>
      </c>
      <c r="AS67" s="33">
        <f>ROUND(坦克等级成长!$H164*VLOOKUP($Z$2,坦克等级成长!$B$36:$G$42,MATCH(AS$3,坦克等级成长!$B$35:$G$35,0)),0)</f>
        <v>1285</v>
      </c>
      <c r="AT67" s="33">
        <f t="shared" si="22"/>
        <v>1285</v>
      </c>
      <c r="AU67" s="33">
        <v>961</v>
      </c>
      <c r="AV67" s="33">
        <f>ROUND(坦克等级成长!$H164*VLOOKUP($Z$2,坦克等级成长!$B$36:$G$42,MATCH(AV$3,坦克等级成长!$B$35:$G$35,0)),0)</f>
        <v>1173</v>
      </c>
      <c r="AW67" s="33">
        <f>ROUND(坦克等级成长!$H164*VLOOKUP($Z$2,坦克等级成长!$B$36:$G$42,MATCH(AW$3,坦克等级成长!$B$35:$G$35,0)),0)</f>
        <v>313</v>
      </c>
      <c r="AX67" s="192"/>
      <c r="AY67" s="188"/>
      <c r="AZ67" s="188"/>
      <c r="BA67" s="188"/>
      <c r="BB67" s="188"/>
      <c r="BC67" s="188"/>
      <c r="BD67" s="188"/>
      <c r="BE67" s="199"/>
      <c r="BF67" s="198">
        <v>14</v>
      </c>
      <c r="BG67" s="33">
        <f>ROUND(坦克等级成长!$F164*VLOOKUP($AX$2,坦克等级成长!$B$36:$G$42,MATCH(BG$3,坦克等级成长!$B$35:$G$35,0)),0)</f>
        <v>3088</v>
      </c>
      <c r="BH67" s="33">
        <f>ROUND(坦克等级成长!$F164*VLOOKUP($AX$2,坦克等级成长!$B$36:$G$42,MATCH(BH$3,坦克等级成长!$B$35:$G$35,0)),0)</f>
        <v>336</v>
      </c>
      <c r="BI67" s="33">
        <f>ROUND(坦克等级成长!$F164*VLOOKUP($AX$2,坦克等级成长!$B$36:$G$42,MATCH(BI$3,坦克等级成长!$B$35:$G$35,0)),0)</f>
        <v>1158</v>
      </c>
      <c r="BJ67" s="33">
        <f t="shared" si="9"/>
        <v>1158</v>
      </c>
      <c r="BK67" s="33">
        <v>878</v>
      </c>
      <c r="BL67" s="33">
        <f>ROUND(坦克等级成长!$F164*VLOOKUP($AX$2,坦克等级成长!$B$36:$G$42,MATCH(BL$3,坦克等级成长!$B$35:$G$35,0)),0)</f>
        <v>1158</v>
      </c>
      <c r="BM67" s="33">
        <f>ROUND(坦克等级成长!$F164*VLOOKUP($AX$2,坦克等级成长!$B$36:$G$42,MATCH(BM$3,坦克等级成长!$B$35:$G$35,0)),0)</f>
        <v>309</v>
      </c>
      <c r="BN67" s="191">
        <v>14</v>
      </c>
      <c r="BO67" s="33">
        <f>ROUND(坦克等级成长!$H164*VLOOKUP($AX$2,坦克等级成长!$B$36:$G$42,MATCH(BO$3,坦克等级成长!$B$35:$G$35,0)),0)</f>
        <v>3128</v>
      </c>
      <c r="BP67" s="33">
        <f>ROUND(坦克等级成长!$H164*VLOOKUP($AX$2,坦克等级成长!$B$36:$G$42,MATCH(BP$3,坦克等级成长!$B$35:$G$35,0)),0)</f>
        <v>340</v>
      </c>
      <c r="BQ67" s="33">
        <f>ROUND(坦克等级成长!$H164*VLOOKUP($AX$2,坦克等级成长!$B$36:$G$42,MATCH(BQ$3,坦克等级成长!$B$35:$G$35,0)),0)</f>
        <v>1173</v>
      </c>
      <c r="BR67" s="33">
        <f t="shared" si="23"/>
        <v>1173</v>
      </c>
      <c r="BS67" s="33">
        <v>878</v>
      </c>
      <c r="BT67" s="33">
        <f>ROUND(坦克等级成长!$H164*VLOOKUP($AX$2,坦克等级成长!$B$36:$G$42,MATCH(BT$3,坦克等级成长!$B$35:$G$35,0)),0)</f>
        <v>1173</v>
      </c>
      <c r="BU67" s="33">
        <f>ROUND(坦克等级成长!$H164*VLOOKUP($AX$2,坦克等级成长!$B$36:$G$42,MATCH(BU$3,坦克等级成长!$B$35:$G$35,0)),0)</f>
        <v>313</v>
      </c>
      <c r="BV67" s="192"/>
      <c r="BW67" s="188"/>
      <c r="BX67" s="188"/>
      <c r="BY67" s="188"/>
      <c r="BZ67" s="188"/>
      <c r="CA67" s="188"/>
      <c r="CB67" s="188"/>
      <c r="CC67" s="199"/>
      <c r="CD67" s="198">
        <v>14</v>
      </c>
      <c r="CE67" s="33">
        <f>ROUND(坦克等级成长!$F164*VLOOKUP($BV$2,坦克等级成长!$B$36:$G$42,MATCH(CE$3,坦克等级成长!$B$35:$G$35,0)),0)</f>
        <v>3254</v>
      </c>
      <c r="CF67" s="33">
        <f>ROUND(坦克等级成长!$F164*VLOOKUP($BV$2,坦克等级成长!$B$36:$G$42,MATCH(CF$3,坦克等级成长!$B$35:$G$35,0)),0)</f>
        <v>307</v>
      </c>
      <c r="CG67" s="33">
        <f>ROUND(坦克等级成长!$F164*VLOOKUP($BV$2,坦克等级成长!$B$36:$G$42,MATCH(CG$3,坦克等级成长!$B$35:$G$35,0)),0)</f>
        <v>1103</v>
      </c>
      <c r="CH67" s="33">
        <f t="shared" si="10"/>
        <v>1103</v>
      </c>
      <c r="CI67" s="33">
        <v>896</v>
      </c>
      <c r="CJ67" s="33">
        <f>ROUND(坦克等级成长!$F164*VLOOKUP($BV$2,坦克等级成长!$B$36:$G$42,MATCH(CJ$3,坦克等级成长!$B$35:$G$35,0)),0)</f>
        <v>1390</v>
      </c>
      <c r="CK67" s="33">
        <f>ROUND(坦克等级成长!$F164*VLOOKUP($BV$2,坦克等级成长!$B$36:$G$42,MATCH(CK$3,坦克等级成长!$B$35:$G$35,0)),0)</f>
        <v>325</v>
      </c>
      <c r="CL67" s="191">
        <v>14</v>
      </c>
      <c r="CM67" s="33">
        <f>ROUND(坦克等级成长!$H164*VLOOKUP($BV$2,坦克等级成长!$B$36:$G$42,MATCH(CM$3,坦克等级成长!$B$35:$G$35,0)),0)</f>
        <v>3296</v>
      </c>
      <c r="CN67" s="33">
        <f>ROUND(坦克等级成长!$H164*VLOOKUP($BV$2,坦克等级成长!$B$36:$G$42,MATCH(CN$3,坦克等级成长!$B$35:$G$35,0)),0)</f>
        <v>311</v>
      </c>
      <c r="CO67" s="33">
        <f>ROUND(坦克等级成长!$H164*VLOOKUP($BV$2,坦克等级成长!$B$36:$G$42,MATCH(CO$3,坦克等级成长!$B$35:$G$35,0)),0)</f>
        <v>1117</v>
      </c>
      <c r="CP67" s="33">
        <f t="shared" si="24"/>
        <v>1117</v>
      </c>
      <c r="CQ67" s="33">
        <v>896</v>
      </c>
      <c r="CR67" s="33">
        <f>ROUND(坦克等级成长!$H164*VLOOKUP($BV$2,坦克等级成长!$B$36:$G$42,MATCH(CR$3,坦克等级成长!$B$35:$G$35,0)),0)</f>
        <v>1408</v>
      </c>
      <c r="CS67" s="33">
        <f>ROUND(坦克等级成长!$H164*VLOOKUP($BV$2,坦克等级成长!$B$36:$G$42,MATCH(CS$3,坦克等级成长!$B$35:$G$35,0)),0)</f>
        <v>330</v>
      </c>
      <c r="CT67" s="192"/>
      <c r="CU67" s="188"/>
      <c r="CV67" s="188"/>
      <c r="CW67" s="188"/>
      <c r="CX67" s="188"/>
      <c r="CY67" s="188"/>
      <c r="CZ67" s="188"/>
      <c r="DA67" s="199"/>
      <c r="DB67" s="198">
        <v>14</v>
      </c>
      <c r="DC67" s="33">
        <f>ROUND(坦克等级成长!$F164*VLOOKUP($CT$2,坦克等级成长!$B$36:$G$42,MATCH(DC$3,坦克等级成长!$B$35:$G$35,0)),0)</f>
        <v>3088</v>
      </c>
      <c r="DD67" s="33">
        <f>ROUND(坦克等级成长!$F164*VLOOKUP($CT$2,坦克等级成长!$B$36:$G$42,MATCH(DD$3,坦克等级成长!$B$35:$G$35,0)),0)</f>
        <v>701</v>
      </c>
      <c r="DE67" s="33">
        <f>ROUND(坦克等级成长!$F164*VLOOKUP($CT$2,坦克等级成长!$B$36:$G$42,MATCH(DE$3,坦克等级成长!$B$35:$G$35,0)),0)</f>
        <v>1379</v>
      </c>
      <c r="DF67" s="33">
        <f t="shared" si="11"/>
        <v>1379</v>
      </c>
      <c r="DG67" s="33">
        <v>1120</v>
      </c>
      <c r="DH67" s="33">
        <f>ROUND(坦克等级成长!$F164*VLOOKUP($CT$2,坦克等级成长!$B$36:$G$42,MATCH(DH$3,坦克等级成长!$B$35:$G$35,0)),0)</f>
        <v>1158</v>
      </c>
      <c r="DI67" s="33">
        <f>ROUND(坦克等级成长!$F164*VLOOKUP($CT$2,坦克等级成长!$B$36:$G$42,MATCH(DI$3,坦克等级成长!$B$35:$G$35,0)),0)</f>
        <v>309</v>
      </c>
      <c r="DJ67" s="191">
        <v>14</v>
      </c>
      <c r="DK67" s="33">
        <f>ROUND(坦克等级成长!$H164*VLOOKUP($CT$2,坦克等级成长!$B$36:$G$42,MATCH(DK$3,坦克等级成长!$B$35:$G$35,0)),0)</f>
        <v>3128</v>
      </c>
      <c r="DL67" s="33">
        <f>ROUND(坦克等级成长!$H164*VLOOKUP($CT$2,坦克等级成长!$B$36:$G$42,MATCH(DL$3,坦克等级成长!$B$35:$G$35,0)),0)</f>
        <v>710</v>
      </c>
      <c r="DM67" s="33">
        <f>ROUND(坦克等级成长!$H164*VLOOKUP($CT$2,坦克等级成长!$B$36:$G$42,MATCH(DM$3,坦克等级成长!$B$35:$G$35,0)),0)</f>
        <v>1396</v>
      </c>
      <c r="DN67" s="33">
        <f t="shared" si="25"/>
        <v>1396</v>
      </c>
      <c r="DO67" s="33">
        <v>1120</v>
      </c>
      <c r="DP67" s="33">
        <f>ROUND(坦克等级成长!$H164*VLOOKUP($CT$2,坦克等级成长!$B$36:$G$42,MATCH(DP$3,坦克等级成长!$B$35:$G$35,0)),0)</f>
        <v>1173</v>
      </c>
      <c r="DQ67" s="33">
        <f>ROUND(坦克等级成长!$H164*VLOOKUP($CT$2,坦克等级成长!$B$36:$G$42,MATCH(DQ$3,坦克等级成长!$B$35:$G$35,0)),0)</f>
        <v>313</v>
      </c>
      <c r="DR67" s="192"/>
      <c r="DS67" s="188"/>
      <c r="DT67" s="188"/>
      <c r="DU67" s="188"/>
      <c r="DV67" s="188"/>
      <c r="DW67" s="188"/>
      <c r="DX67" s="188"/>
      <c r="DY67" s="199"/>
      <c r="DZ67" s="198">
        <v>14</v>
      </c>
      <c r="EA67" s="33">
        <f>ROUND(坦克等级成长!$F164*VLOOKUP($DR$2,坦克等级成长!$B$36:$G$42,MATCH(EA$3,坦克等级成长!$B$35:$G$35,0)),0)</f>
        <v>3513</v>
      </c>
      <c r="EB67" s="33">
        <f>ROUND(坦克等级成长!$F164*VLOOKUP($DR$2,坦克等级成长!$B$36:$G$42,MATCH(EB$3,坦克等级成长!$B$35:$G$35,0)),0)</f>
        <v>1199</v>
      </c>
      <c r="EC67" s="33">
        <f>ROUND(坦克等级成长!$F164*VLOOKUP($DR$2,坦克等级成长!$B$36:$G$42,MATCH(EC$3,坦克等级成长!$B$35:$G$35,0)),0)</f>
        <v>1103</v>
      </c>
      <c r="ED67" s="33">
        <f t="shared" si="12"/>
        <v>1103</v>
      </c>
      <c r="EE67" s="33">
        <v>955</v>
      </c>
      <c r="EF67" s="33">
        <f>ROUND(坦克等级成长!$F164*VLOOKUP($DR$2,坦克等级成长!$B$36:$G$42,MATCH(EF$3,坦克等级成长!$B$35:$G$35,0)),0)</f>
        <v>1621</v>
      </c>
      <c r="EG67" s="33">
        <f>ROUND(坦克等级成长!$F164*VLOOKUP($DR$2,坦克等级成长!$B$36:$G$42,MATCH(EG$3,坦克等级成长!$B$35:$G$35,0)),0)</f>
        <v>351</v>
      </c>
      <c r="EH67" s="191">
        <v>14</v>
      </c>
      <c r="EI67" s="33">
        <f>ROUND(坦克等级成长!$H164*VLOOKUP($DR$2,坦克等级成长!$B$36:$G$42,MATCH(EI$3,坦克等级成长!$B$35:$G$35,0)),0)</f>
        <v>3559</v>
      </c>
      <c r="EJ67" s="33">
        <f>ROUND(坦克等级成长!$H164*VLOOKUP($DR$2,坦克等级成长!$B$36:$G$42,MATCH(EJ$3,坦克等级成长!$B$35:$G$35,0)),0)</f>
        <v>1214</v>
      </c>
      <c r="EK67" s="33">
        <f>ROUND(坦克等级成长!$H164*VLOOKUP($DR$2,坦克等级成长!$B$36:$G$42,MATCH(EK$3,坦克等级成长!$B$35:$G$35,0)),0)</f>
        <v>1117</v>
      </c>
      <c r="EL67" s="33">
        <f t="shared" si="26"/>
        <v>1117</v>
      </c>
      <c r="EM67" s="33">
        <v>955</v>
      </c>
      <c r="EN67" s="33">
        <f>ROUND(坦克等级成长!$H164*VLOOKUP($DR$2,坦克等级成长!$B$36:$G$42,MATCH(EN$3,坦克等级成长!$B$35:$G$35,0)),0)</f>
        <v>1642</v>
      </c>
      <c r="EO67" s="33">
        <f>ROUND(坦克等级成长!$H164*VLOOKUP($DR$2,坦克等级成长!$B$36:$G$42,MATCH(EO$3,坦克等级成长!$B$35:$G$35,0)),0)</f>
        <v>356</v>
      </c>
      <c r="EP67" s="192"/>
      <c r="EQ67" s="188"/>
      <c r="ER67" s="188"/>
      <c r="ES67" s="188"/>
      <c r="ET67" s="188"/>
      <c r="EU67" s="188"/>
      <c r="EV67" s="188"/>
      <c r="EW67" s="199"/>
      <c r="EX67" s="198">
        <v>14</v>
      </c>
      <c r="EY67" s="33">
        <f>ROUND(坦克等级成长!$F164*VLOOKUP($EP$2,坦克等级成长!$B$36:$G$42,MATCH(EY$3,坦克等级成长!$B$35:$G$35,0)),0)</f>
        <v>3254</v>
      </c>
      <c r="EZ67" s="33">
        <f>ROUND(坦克等级成长!$F164*VLOOKUP($EP$2,坦克等级成长!$B$36:$G$42,MATCH(EZ$3,坦克等级成长!$B$35:$G$35,0)),0)</f>
        <v>373</v>
      </c>
      <c r="FA67" s="33">
        <f>ROUND(坦克等级成长!$F164*VLOOKUP($EP$2,坦克等级成长!$B$36:$G$42,MATCH(FA$3,坦克等级成长!$B$35:$G$35,0)),0)</f>
        <v>1268</v>
      </c>
      <c r="FB67" s="33">
        <f t="shared" si="13"/>
        <v>1268</v>
      </c>
      <c r="FC67" s="33">
        <v>1030</v>
      </c>
      <c r="FD67" s="33">
        <f>ROUND(坦克等级成长!$F164*VLOOKUP($EP$2,坦克等级成长!$B$36:$G$42,MATCH(FD$3,坦克等级成长!$B$35:$G$35,0)),0)</f>
        <v>1390</v>
      </c>
      <c r="FE67" s="33">
        <f>ROUND(坦克等级成长!$F164*VLOOKUP($EP$2,坦克等级成长!$B$36:$G$42,MATCH(FE$3,坦克等级成长!$B$35:$G$35,0)),0)</f>
        <v>325</v>
      </c>
      <c r="FF67" s="191">
        <v>14</v>
      </c>
      <c r="FG67" s="33">
        <f>ROUND(坦克等级成长!$H164*VLOOKUP($EP$2,坦克等级成长!$B$36:$G$42,MATCH(FG$3,坦克等级成长!$B$35:$G$35,0)),0)</f>
        <v>3296</v>
      </c>
      <c r="FH67" s="33">
        <f>ROUND(坦克等级成长!$H164*VLOOKUP($EP$2,坦克等级成长!$B$36:$G$42,MATCH(FH$3,坦克等级成长!$B$35:$G$35,0)),0)</f>
        <v>378</v>
      </c>
      <c r="FI67" s="33">
        <f>ROUND(坦克等级成长!$H164*VLOOKUP($EP$2,坦克等级成长!$B$36:$G$42,MATCH(FI$3,坦克等级成长!$B$35:$G$35,0)),0)</f>
        <v>1285</v>
      </c>
      <c r="FJ67" s="33">
        <f t="shared" si="27"/>
        <v>1285</v>
      </c>
      <c r="FK67" s="33">
        <v>1030</v>
      </c>
      <c r="FL67" s="33">
        <f>ROUND(坦克等级成长!$H164*VLOOKUP($EP$2,坦克等级成长!$B$36:$G$42,MATCH(FL$3,坦克等级成长!$B$35:$G$35,0)),0)</f>
        <v>1408</v>
      </c>
      <c r="FM67" s="33">
        <f>ROUND(坦克等级成长!$H164*VLOOKUP($EP$2,坦克等级成长!$B$36:$G$42,MATCH(FM$3,坦克等级成长!$B$35:$G$35,0)),0)</f>
        <v>330</v>
      </c>
    </row>
    <row r="68" spans="1:169" ht="14.25" x14ac:dyDescent="0.3">
      <c r="A68" s="188">
        <v>5</v>
      </c>
      <c r="B68" s="192"/>
      <c r="C68" s="188"/>
      <c r="D68" s="188"/>
      <c r="E68" s="188"/>
      <c r="F68" s="188"/>
      <c r="G68" s="188"/>
      <c r="H68" s="188"/>
      <c r="I68" s="199"/>
      <c r="J68" s="198">
        <v>15</v>
      </c>
      <c r="K68" s="33">
        <f>ROUND(坦克等级成长!$F165*VLOOKUP($B$2,坦克等级成长!$B$36:$G$42,MATCH(K$3,坦克等级成长!$B$35:$G$35,0)),0)</f>
        <v>3184</v>
      </c>
      <c r="L68" s="33">
        <f>ROUND(坦克等级成长!$F165*VLOOKUP($B$2,坦克等级成长!$B$36:$G$42,MATCH(L$3,坦克等级成长!$B$35:$G$35,0)),0)</f>
        <v>346</v>
      </c>
      <c r="M68" s="33">
        <f>ROUND(坦克等级成长!$F165*VLOOKUP($B$2,坦克等级成长!$B$36:$G$42,MATCH(M$3,坦克等级成长!$B$35:$G$35,0)),0)</f>
        <v>1194</v>
      </c>
      <c r="N68" s="33">
        <f t="shared" si="7"/>
        <v>1194</v>
      </c>
      <c r="O68" s="33">
        <v>907</v>
      </c>
      <c r="P68" s="33">
        <f>ROUND(坦克等级成长!$F165*VLOOKUP($B$2,坦克等级成长!$B$36:$G$42,MATCH(P$3,坦克等级成长!$B$35:$G$35,0)),0)</f>
        <v>1194</v>
      </c>
      <c r="Q68" s="33">
        <f>ROUND(坦克等级成长!$F165*VLOOKUP($B$2,坦克等级成长!$B$36:$G$42,MATCH(Q$3,坦克等级成长!$B$35:$G$35,0)),0)</f>
        <v>318</v>
      </c>
      <c r="R68" s="191">
        <v>15</v>
      </c>
      <c r="S68" s="33">
        <f>ROUND(坦克等级成长!$H165*VLOOKUP($B$2,坦克等级成长!$B$36:$G$42,MATCH(S$3,坦克等级成长!$B$35:$G$35,0)),0)</f>
        <v>3232</v>
      </c>
      <c r="T68" s="33">
        <f>ROUND(坦克等级成长!$H165*VLOOKUP($B$2,坦克等级成长!$B$36:$G$42,MATCH(T$3,坦克等级成长!$B$35:$G$35,0)),0)</f>
        <v>352</v>
      </c>
      <c r="U68" s="33">
        <f>ROUND(坦克等级成长!$H165*VLOOKUP($B$2,坦克等级成长!$B$36:$G$42,MATCH(U$3,坦克等级成长!$B$35:$G$35,0)),0)</f>
        <v>1212</v>
      </c>
      <c r="V68" s="33">
        <f t="shared" si="21"/>
        <v>1212</v>
      </c>
      <c r="W68" s="33">
        <v>907</v>
      </c>
      <c r="X68" s="33">
        <f>ROUND(坦克等级成长!$H165*VLOOKUP($B$2,坦克等级成长!$B$36:$G$42,MATCH(X$3,坦克等级成长!$B$35:$G$35,0)),0)</f>
        <v>1212</v>
      </c>
      <c r="Y68" s="33">
        <f>ROUND(坦克等级成长!$H165*VLOOKUP($B$2,坦克等级成长!$B$36:$G$42,MATCH(Y$3,坦克等级成长!$B$35:$G$35,0)),0)</f>
        <v>323</v>
      </c>
      <c r="Z68" s="192"/>
      <c r="AA68" s="188"/>
      <c r="AB68" s="188"/>
      <c r="AC68" s="188"/>
      <c r="AD68" s="188"/>
      <c r="AE68" s="188"/>
      <c r="AF68" s="188"/>
      <c r="AG68" s="199"/>
      <c r="AH68" s="198">
        <v>15</v>
      </c>
      <c r="AI68" s="33">
        <f>ROUND(坦克等级成长!$F165*VLOOKUP($Z$2,坦克等级成长!$B$36:$G$42,MATCH(AI$3,坦克等级成长!$B$35:$G$35,0)),0)</f>
        <v>3184</v>
      </c>
      <c r="AJ68" s="33">
        <f>ROUND(坦克等级成长!$F165*VLOOKUP($Z$2,坦克等级成长!$B$36:$G$42,MATCH(AJ$3,坦克等级成长!$B$35:$G$35,0)),0)</f>
        <v>188</v>
      </c>
      <c r="AK68" s="33">
        <f>ROUND(坦克等级成长!$F165*VLOOKUP($Z$2,坦克等级成长!$B$36:$G$42,MATCH(AK$3,坦克等级成长!$B$35:$G$35,0)),0)</f>
        <v>1308</v>
      </c>
      <c r="AL68" s="33">
        <f t="shared" si="8"/>
        <v>1308</v>
      </c>
      <c r="AM68" s="33">
        <v>993</v>
      </c>
      <c r="AN68" s="33">
        <f>ROUND(坦克等级成长!$F165*VLOOKUP($Z$2,坦克等级成长!$B$36:$G$42,MATCH(AN$3,坦克等级成长!$B$35:$G$35,0)),0)</f>
        <v>1194</v>
      </c>
      <c r="AO68" s="33">
        <f>ROUND(坦克等级成长!$F165*VLOOKUP($Z$2,坦克等级成长!$B$36:$G$42,MATCH(AO$3,坦克等级成长!$B$35:$G$35,0)),0)</f>
        <v>318</v>
      </c>
      <c r="AP68" s="191">
        <v>15</v>
      </c>
      <c r="AQ68" s="33">
        <f>ROUND(坦克等级成长!$H165*VLOOKUP($Z$2,坦克等级成长!$B$36:$G$42,MATCH(AQ$3,坦克等级成长!$B$35:$G$35,0)),0)</f>
        <v>3232</v>
      </c>
      <c r="AR68" s="33">
        <f>ROUND(坦克等级成长!$H165*VLOOKUP($Z$2,坦克等级成长!$B$36:$G$42,MATCH(AR$3,坦克等级成长!$B$35:$G$35,0)),0)</f>
        <v>190</v>
      </c>
      <c r="AS68" s="33">
        <f>ROUND(坦克等级成长!$H165*VLOOKUP($Z$2,坦克等级成长!$B$36:$G$42,MATCH(AS$3,坦克等级成长!$B$35:$G$35,0)),0)</f>
        <v>1327</v>
      </c>
      <c r="AT68" s="33">
        <f t="shared" si="22"/>
        <v>1327</v>
      </c>
      <c r="AU68" s="33">
        <v>993</v>
      </c>
      <c r="AV68" s="33">
        <f>ROUND(坦克等级成长!$H165*VLOOKUP($Z$2,坦克等级成长!$B$36:$G$42,MATCH(AV$3,坦克等级成长!$B$35:$G$35,0)),0)</f>
        <v>1212</v>
      </c>
      <c r="AW68" s="33">
        <f>ROUND(坦克等级成长!$H165*VLOOKUP($Z$2,坦克等级成长!$B$36:$G$42,MATCH(AW$3,坦克等级成长!$B$35:$G$35,0)),0)</f>
        <v>323</v>
      </c>
      <c r="AX68" s="192"/>
      <c r="AY68" s="188"/>
      <c r="AZ68" s="188"/>
      <c r="BA68" s="188"/>
      <c r="BB68" s="188"/>
      <c r="BC68" s="188"/>
      <c r="BD68" s="188"/>
      <c r="BE68" s="199"/>
      <c r="BF68" s="198">
        <v>15</v>
      </c>
      <c r="BG68" s="33">
        <f>ROUND(坦克等级成长!$F165*VLOOKUP($AX$2,坦克等级成长!$B$36:$G$42,MATCH(BG$3,坦克等级成长!$B$35:$G$35,0)),0)</f>
        <v>3184</v>
      </c>
      <c r="BH68" s="33">
        <f>ROUND(坦克等级成长!$F165*VLOOKUP($AX$2,坦克等级成长!$B$36:$G$42,MATCH(BH$3,坦克等级成长!$B$35:$G$35,0)),0)</f>
        <v>346</v>
      </c>
      <c r="BI68" s="33">
        <f>ROUND(坦克等级成长!$F165*VLOOKUP($AX$2,坦克等级成长!$B$36:$G$42,MATCH(BI$3,坦克等级成长!$B$35:$G$35,0)),0)</f>
        <v>1194</v>
      </c>
      <c r="BJ68" s="33">
        <f t="shared" si="9"/>
        <v>1194</v>
      </c>
      <c r="BK68" s="33">
        <v>907</v>
      </c>
      <c r="BL68" s="33">
        <f>ROUND(坦克等级成长!$F165*VLOOKUP($AX$2,坦克等级成长!$B$36:$G$42,MATCH(BL$3,坦克等级成长!$B$35:$G$35,0)),0)</f>
        <v>1194</v>
      </c>
      <c r="BM68" s="33">
        <f>ROUND(坦克等级成长!$F165*VLOOKUP($AX$2,坦克等级成长!$B$36:$G$42,MATCH(BM$3,坦克等级成长!$B$35:$G$35,0)),0)</f>
        <v>318</v>
      </c>
      <c r="BN68" s="191">
        <v>15</v>
      </c>
      <c r="BO68" s="33">
        <f>ROUND(坦克等级成长!$H165*VLOOKUP($AX$2,坦克等级成长!$B$36:$G$42,MATCH(BO$3,坦克等级成长!$B$35:$G$35,0)),0)</f>
        <v>3232</v>
      </c>
      <c r="BP68" s="33">
        <f>ROUND(坦克等级成长!$H165*VLOOKUP($AX$2,坦克等级成长!$B$36:$G$42,MATCH(BP$3,坦克等级成长!$B$35:$G$35,0)),0)</f>
        <v>352</v>
      </c>
      <c r="BQ68" s="33">
        <f>ROUND(坦克等级成长!$H165*VLOOKUP($AX$2,坦克等级成长!$B$36:$G$42,MATCH(BQ$3,坦克等级成长!$B$35:$G$35,0)),0)</f>
        <v>1212</v>
      </c>
      <c r="BR68" s="33">
        <f t="shared" si="23"/>
        <v>1212</v>
      </c>
      <c r="BS68" s="33">
        <v>907</v>
      </c>
      <c r="BT68" s="33">
        <f>ROUND(坦克等级成长!$H165*VLOOKUP($AX$2,坦克等级成长!$B$36:$G$42,MATCH(BT$3,坦克等级成长!$B$35:$G$35,0)),0)</f>
        <v>1212</v>
      </c>
      <c r="BU68" s="33">
        <f>ROUND(坦克等级成长!$H165*VLOOKUP($AX$2,坦克等级成长!$B$36:$G$42,MATCH(BU$3,坦克等级成长!$B$35:$G$35,0)),0)</f>
        <v>323</v>
      </c>
      <c r="BV68" s="192"/>
      <c r="BW68" s="188"/>
      <c r="BX68" s="188"/>
      <c r="BY68" s="188"/>
      <c r="BZ68" s="188"/>
      <c r="CA68" s="188"/>
      <c r="CB68" s="188"/>
      <c r="CC68" s="199"/>
      <c r="CD68" s="198">
        <v>15</v>
      </c>
      <c r="CE68" s="33">
        <f>ROUND(坦克等级成长!$F165*VLOOKUP($BV$2,坦克等级成长!$B$36:$G$42,MATCH(CE$3,坦克等级成长!$B$35:$G$35,0)),0)</f>
        <v>3355</v>
      </c>
      <c r="CF68" s="33">
        <f>ROUND(坦克等级成长!$F165*VLOOKUP($BV$2,坦克等级成长!$B$36:$G$42,MATCH(CF$3,坦克等级成长!$B$35:$G$35,0)),0)</f>
        <v>316</v>
      </c>
      <c r="CG68" s="33">
        <f>ROUND(坦克等级成长!$F165*VLOOKUP($BV$2,坦克等级成长!$B$36:$G$42,MATCH(CG$3,坦克等级成长!$B$35:$G$35,0)),0)</f>
        <v>1137</v>
      </c>
      <c r="CH68" s="33">
        <f t="shared" si="10"/>
        <v>1137</v>
      </c>
      <c r="CI68" s="33">
        <v>926</v>
      </c>
      <c r="CJ68" s="33">
        <f>ROUND(坦克等级成长!$F165*VLOOKUP($BV$2,坦克等级成长!$B$36:$G$42,MATCH(CJ$3,坦克等级成长!$B$35:$G$35,0)),0)</f>
        <v>1433</v>
      </c>
      <c r="CK68" s="33">
        <f>ROUND(坦克等级成长!$F165*VLOOKUP($BV$2,坦克等级成长!$B$36:$G$42,MATCH(CK$3,坦克等级成长!$B$35:$G$35,0)),0)</f>
        <v>336</v>
      </c>
      <c r="CL68" s="191">
        <v>15</v>
      </c>
      <c r="CM68" s="33">
        <f>ROUND(坦克等级成长!$H165*VLOOKUP($BV$2,坦克等级成长!$B$36:$G$42,MATCH(CM$3,坦克等级成长!$B$35:$G$35,0)),0)</f>
        <v>3406</v>
      </c>
      <c r="CN68" s="33">
        <f>ROUND(坦克等级成长!$H165*VLOOKUP($BV$2,坦克等级成长!$B$36:$G$42,MATCH(CN$3,坦克等级成长!$B$35:$G$35,0)),0)</f>
        <v>321</v>
      </c>
      <c r="CO68" s="33">
        <f>ROUND(坦克等级成长!$H165*VLOOKUP($BV$2,坦克等级成长!$B$36:$G$42,MATCH(CO$3,坦克等级成长!$B$35:$G$35,0)),0)</f>
        <v>1154</v>
      </c>
      <c r="CP68" s="33">
        <f t="shared" si="24"/>
        <v>1154</v>
      </c>
      <c r="CQ68" s="33">
        <v>926</v>
      </c>
      <c r="CR68" s="33">
        <f>ROUND(坦克等级成长!$H165*VLOOKUP($BV$2,坦克等级成长!$B$36:$G$42,MATCH(CR$3,坦克等级成长!$B$35:$G$35,0)),0)</f>
        <v>1454</v>
      </c>
      <c r="CS68" s="33">
        <f>ROUND(坦克等级成长!$H165*VLOOKUP($BV$2,坦克等级成长!$B$36:$G$42,MATCH(CS$3,坦克等级成长!$B$35:$G$35,0)),0)</f>
        <v>341</v>
      </c>
      <c r="CT68" s="192"/>
      <c r="CU68" s="188"/>
      <c r="CV68" s="188"/>
      <c r="CW68" s="188"/>
      <c r="CX68" s="188"/>
      <c r="CY68" s="188"/>
      <c r="CZ68" s="188"/>
      <c r="DA68" s="199"/>
      <c r="DB68" s="198">
        <v>15</v>
      </c>
      <c r="DC68" s="33">
        <f>ROUND(坦克等级成长!$F165*VLOOKUP($CT$2,坦克等级成长!$B$36:$G$42,MATCH(DC$3,坦克等级成长!$B$35:$G$35,0)),0)</f>
        <v>3184</v>
      </c>
      <c r="DD68" s="33">
        <f>ROUND(坦克等级成长!$F165*VLOOKUP($CT$2,坦克等级成长!$B$36:$G$42,MATCH(DD$3,坦克等级成长!$B$35:$G$35,0)),0)</f>
        <v>723</v>
      </c>
      <c r="DE68" s="33">
        <f>ROUND(坦克等级成长!$F165*VLOOKUP($CT$2,坦克等级成长!$B$36:$G$42,MATCH(DE$3,坦克等级成长!$B$35:$G$35,0)),0)</f>
        <v>1421</v>
      </c>
      <c r="DF68" s="33">
        <f t="shared" si="11"/>
        <v>1421</v>
      </c>
      <c r="DG68" s="33">
        <v>1157</v>
      </c>
      <c r="DH68" s="33">
        <f>ROUND(坦克等级成长!$F165*VLOOKUP($CT$2,坦克等级成长!$B$36:$G$42,MATCH(DH$3,坦克等级成长!$B$35:$G$35,0)),0)</f>
        <v>1194</v>
      </c>
      <c r="DI68" s="33">
        <f>ROUND(坦克等级成长!$F165*VLOOKUP($CT$2,坦克等级成长!$B$36:$G$42,MATCH(DI$3,坦克等级成长!$B$35:$G$35,0)),0)</f>
        <v>318</v>
      </c>
      <c r="DJ68" s="191">
        <v>15</v>
      </c>
      <c r="DK68" s="33">
        <f>ROUND(坦克等级成长!$H165*VLOOKUP($CT$2,坦克等级成长!$B$36:$G$42,MATCH(DK$3,坦克等级成长!$B$35:$G$35,0)),0)</f>
        <v>3232</v>
      </c>
      <c r="DL68" s="33">
        <f>ROUND(坦克等级成长!$H165*VLOOKUP($CT$2,坦克等级成长!$B$36:$G$42,MATCH(DL$3,坦克等级成长!$B$35:$G$35,0)),0)</f>
        <v>734</v>
      </c>
      <c r="DM68" s="33">
        <f>ROUND(坦克等级成长!$H165*VLOOKUP($CT$2,坦克等级成长!$B$36:$G$42,MATCH(DM$3,坦克等级成长!$B$35:$G$35,0)),0)</f>
        <v>1443</v>
      </c>
      <c r="DN68" s="33">
        <f t="shared" si="25"/>
        <v>1443</v>
      </c>
      <c r="DO68" s="33">
        <v>1157</v>
      </c>
      <c r="DP68" s="33">
        <f>ROUND(坦克等级成长!$H165*VLOOKUP($CT$2,坦克等级成长!$B$36:$G$42,MATCH(DP$3,坦克等级成长!$B$35:$G$35,0)),0)</f>
        <v>1212</v>
      </c>
      <c r="DQ68" s="33">
        <f>ROUND(坦克等级成长!$H165*VLOOKUP($CT$2,坦克等级成长!$B$36:$G$42,MATCH(DQ$3,坦克等级成长!$B$35:$G$35,0)),0)</f>
        <v>323</v>
      </c>
      <c r="DR68" s="192"/>
      <c r="DS68" s="188"/>
      <c r="DT68" s="188"/>
      <c r="DU68" s="188"/>
      <c r="DV68" s="188"/>
      <c r="DW68" s="188"/>
      <c r="DX68" s="188"/>
      <c r="DY68" s="199"/>
      <c r="DZ68" s="198">
        <v>15</v>
      </c>
      <c r="EA68" s="33">
        <f>ROUND(坦克等级成长!$F165*VLOOKUP($DR$2,坦克等级成长!$B$36:$G$42,MATCH(EA$3,坦克等级成长!$B$35:$G$35,0)),0)</f>
        <v>3623</v>
      </c>
      <c r="EB68" s="33">
        <f>ROUND(坦克等级成长!$F165*VLOOKUP($DR$2,坦克等级成长!$B$36:$G$42,MATCH(EB$3,坦克等级成长!$B$35:$G$35,0)),0)</f>
        <v>1236</v>
      </c>
      <c r="EC68" s="33">
        <f>ROUND(坦克等级成长!$F165*VLOOKUP($DR$2,坦克等级成长!$B$36:$G$42,MATCH(EC$3,坦克等级成长!$B$35:$G$35,0)),0)</f>
        <v>1137</v>
      </c>
      <c r="ED68" s="33">
        <f t="shared" si="12"/>
        <v>1137</v>
      </c>
      <c r="EE68" s="33">
        <v>987</v>
      </c>
      <c r="EF68" s="33">
        <f>ROUND(坦克等级成长!$F165*VLOOKUP($DR$2,坦克等级成长!$B$36:$G$42,MATCH(EF$3,坦克等级成长!$B$35:$G$35,0)),0)</f>
        <v>1672</v>
      </c>
      <c r="EG68" s="33">
        <f>ROUND(坦克等级成长!$F165*VLOOKUP($DR$2,坦克等级成长!$B$36:$G$42,MATCH(EG$3,坦克等级成长!$B$35:$G$35,0)),0)</f>
        <v>362</v>
      </c>
      <c r="EH68" s="191">
        <v>15</v>
      </c>
      <c r="EI68" s="33">
        <f>ROUND(坦克等级成长!$H165*VLOOKUP($DR$2,坦克等级成长!$B$36:$G$42,MATCH(EI$3,坦克等级成长!$B$35:$G$35,0)),0)</f>
        <v>3677</v>
      </c>
      <c r="EJ68" s="33">
        <f>ROUND(坦克等级成长!$H165*VLOOKUP($DR$2,坦克等级成长!$B$36:$G$42,MATCH(EJ$3,坦克等级成长!$B$35:$G$35,0)),0)</f>
        <v>1254</v>
      </c>
      <c r="EK68" s="33">
        <f>ROUND(坦克等级成长!$H165*VLOOKUP($DR$2,坦克等级成长!$B$36:$G$42,MATCH(EK$3,坦克等级成长!$B$35:$G$35,0)),0)</f>
        <v>1154</v>
      </c>
      <c r="EL68" s="33">
        <f t="shared" si="26"/>
        <v>1154</v>
      </c>
      <c r="EM68" s="33">
        <v>987</v>
      </c>
      <c r="EN68" s="33">
        <f>ROUND(坦克等级成长!$H165*VLOOKUP($DR$2,坦克等级成长!$B$36:$G$42,MATCH(EN$3,坦克等级成长!$B$35:$G$35,0)),0)</f>
        <v>1697</v>
      </c>
      <c r="EO68" s="33">
        <f>ROUND(坦克等级成长!$H165*VLOOKUP($DR$2,坦克等级成长!$B$36:$G$42,MATCH(EO$3,坦克等级成长!$B$35:$G$35,0)),0)</f>
        <v>368</v>
      </c>
      <c r="EP68" s="192"/>
      <c r="EQ68" s="188"/>
      <c r="ER68" s="188"/>
      <c r="ES68" s="188"/>
      <c r="ET68" s="188"/>
      <c r="EU68" s="188"/>
      <c r="EV68" s="188"/>
      <c r="EW68" s="199"/>
      <c r="EX68" s="198">
        <v>15</v>
      </c>
      <c r="EY68" s="33">
        <f>ROUND(坦克等级成长!$F165*VLOOKUP($EP$2,坦克等级成长!$B$36:$G$42,MATCH(EY$3,坦克等级成长!$B$35:$G$35,0)),0)</f>
        <v>3355</v>
      </c>
      <c r="EZ68" s="33">
        <f>ROUND(坦克等级成长!$F165*VLOOKUP($EP$2,坦克等级成长!$B$36:$G$42,MATCH(EZ$3,坦克等级成长!$B$35:$G$35,0)),0)</f>
        <v>384</v>
      </c>
      <c r="FA68" s="33">
        <f>ROUND(坦克等级成长!$F165*VLOOKUP($EP$2,坦克等级成长!$B$36:$G$42,MATCH(FA$3,坦克等级成长!$B$35:$G$35,0)),0)</f>
        <v>1308</v>
      </c>
      <c r="FB68" s="33">
        <f t="shared" si="13"/>
        <v>1308</v>
      </c>
      <c r="FC68" s="33">
        <v>1064</v>
      </c>
      <c r="FD68" s="33">
        <f>ROUND(坦克等级成长!$F165*VLOOKUP($EP$2,坦克等级成长!$B$36:$G$42,MATCH(FD$3,坦克等级成长!$B$35:$G$35,0)),0)</f>
        <v>1433</v>
      </c>
      <c r="FE68" s="33">
        <f>ROUND(坦克等级成长!$F165*VLOOKUP($EP$2,坦克等级成长!$B$36:$G$42,MATCH(FE$3,坦克等级成长!$B$35:$G$35,0)),0)</f>
        <v>336</v>
      </c>
      <c r="FF68" s="191">
        <v>15</v>
      </c>
      <c r="FG68" s="33">
        <f>ROUND(坦克等级成长!$H165*VLOOKUP($EP$2,坦克等级成长!$B$36:$G$42,MATCH(FG$3,坦克等级成长!$B$35:$G$35,0)),0)</f>
        <v>3406</v>
      </c>
      <c r="FH68" s="33">
        <f>ROUND(坦克等级成长!$H165*VLOOKUP($EP$2,坦克等级成长!$B$36:$G$42,MATCH(FH$3,坦克等级成长!$B$35:$G$35,0)),0)</f>
        <v>390</v>
      </c>
      <c r="FI68" s="33">
        <f>ROUND(坦克等级成长!$H165*VLOOKUP($EP$2,坦克等级成长!$B$36:$G$42,MATCH(FI$3,坦克等级成长!$B$35:$G$35,0)),0)</f>
        <v>1327</v>
      </c>
      <c r="FJ68" s="33">
        <f t="shared" si="27"/>
        <v>1327</v>
      </c>
      <c r="FK68" s="33">
        <v>1064</v>
      </c>
      <c r="FL68" s="33">
        <f>ROUND(坦克等级成长!$H165*VLOOKUP($EP$2,坦克等级成长!$B$36:$G$42,MATCH(FL$3,坦克等级成长!$B$35:$G$35,0)),0)</f>
        <v>1454</v>
      </c>
      <c r="FM68" s="33">
        <f>ROUND(坦克等级成长!$H165*VLOOKUP($EP$2,坦克等级成长!$B$36:$G$42,MATCH(FM$3,坦克等级成长!$B$35:$G$35,0)),0)</f>
        <v>341</v>
      </c>
    </row>
    <row r="69" spans="1:169" ht="14.25" x14ac:dyDescent="0.3">
      <c r="A69" s="188">
        <v>5</v>
      </c>
      <c r="B69" s="192"/>
      <c r="C69" s="188"/>
      <c r="D69" s="188"/>
      <c r="E69" s="188"/>
      <c r="F69" s="188"/>
      <c r="G69" s="188"/>
      <c r="H69" s="188"/>
      <c r="I69" s="199"/>
      <c r="J69" s="198">
        <v>16</v>
      </c>
      <c r="K69" s="33">
        <f>ROUND(坦克等级成长!$F166*VLOOKUP($B$2,坦克等级成长!$B$36:$G$42,MATCH(K$3,坦克等级成长!$B$35:$G$35,0)),0)</f>
        <v>3280</v>
      </c>
      <c r="L69" s="33">
        <f>ROUND(坦克等级成长!$F166*VLOOKUP($B$2,坦克等级成长!$B$36:$G$42,MATCH(L$3,坦克等级成长!$B$35:$G$35,0)),0)</f>
        <v>357</v>
      </c>
      <c r="M69" s="33">
        <f>ROUND(坦克等级成长!$F166*VLOOKUP($B$2,坦克等级成长!$B$36:$G$42,MATCH(M$3,坦克等级成长!$B$35:$G$35,0)),0)</f>
        <v>1230</v>
      </c>
      <c r="N69" s="33">
        <f t="shared" si="7"/>
        <v>1230</v>
      </c>
      <c r="O69" s="33">
        <v>937</v>
      </c>
      <c r="P69" s="33">
        <f>ROUND(坦克等级成长!$F166*VLOOKUP($B$2,坦克等级成长!$B$36:$G$42,MATCH(P$3,坦克等级成长!$B$35:$G$35,0)),0)</f>
        <v>1230</v>
      </c>
      <c r="Q69" s="33">
        <f>ROUND(坦克等级成长!$F166*VLOOKUP($B$2,坦克等级成长!$B$36:$G$42,MATCH(Q$3,坦克等级成长!$B$35:$G$35,0)),0)</f>
        <v>328</v>
      </c>
      <c r="R69" s="191">
        <v>16</v>
      </c>
      <c r="S69" s="33">
        <f>ROUND(坦克等级成长!$H166*VLOOKUP($B$2,坦克等级成长!$B$36:$G$42,MATCH(S$3,坦克等级成长!$B$35:$G$35,0)),0)</f>
        <v>3336</v>
      </c>
      <c r="T69" s="33">
        <f>ROUND(坦克等级成长!$H166*VLOOKUP($B$2,坦克等级成长!$B$36:$G$42,MATCH(T$3,坦克等级成长!$B$35:$G$35,0)),0)</f>
        <v>363</v>
      </c>
      <c r="U69" s="33">
        <f>ROUND(坦克等级成长!$H166*VLOOKUP($B$2,坦克等级成长!$B$36:$G$42,MATCH(U$3,坦克等级成长!$B$35:$G$35,0)),0)</f>
        <v>1251</v>
      </c>
      <c r="V69" s="33">
        <f t="shared" si="21"/>
        <v>1251</v>
      </c>
      <c r="W69" s="33">
        <v>937</v>
      </c>
      <c r="X69" s="33">
        <f>ROUND(坦克等级成长!$H166*VLOOKUP($B$2,坦克等级成长!$B$36:$G$42,MATCH(X$3,坦克等级成长!$B$35:$G$35,0)),0)</f>
        <v>1251</v>
      </c>
      <c r="Y69" s="33">
        <f>ROUND(坦克等级成长!$H166*VLOOKUP($B$2,坦克等级成长!$B$36:$G$42,MATCH(Y$3,坦克等级成长!$B$35:$G$35,0)),0)</f>
        <v>334</v>
      </c>
      <c r="Z69" s="192"/>
      <c r="AA69" s="188"/>
      <c r="AB69" s="188"/>
      <c r="AC69" s="188"/>
      <c r="AD69" s="188"/>
      <c r="AE69" s="188"/>
      <c r="AF69" s="188"/>
      <c r="AG69" s="199"/>
      <c r="AH69" s="198">
        <v>16</v>
      </c>
      <c r="AI69" s="33">
        <f>ROUND(坦克等级成长!$F166*VLOOKUP($Z$2,坦克等级成长!$B$36:$G$42,MATCH(AI$3,坦克等级成长!$B$35:$G$35,0)),0)</f>
        <v>3280</v>
      </c>
      <c r="AJ69" s="33">
        <f>ROUND(坦克等级成长!$F166*VLOOKUP($Z$2,坦克等级成长!$B$36:$G$42,MATCH(AJ$3,坦克等级成长!$B$35:$G$35,0)),0)</f>
        <v>193</v>
      </c>
      <c r="AK69" s="33">
        <f>ROUND(坦克等级成长!$F166*VLOOKUP($Z$2,坦克等级成长!$B$36:$G$42,MATCH(AK$3,坦克等级成长!$B$35:$G$35,0)),0)</f>
        <v>1347</v>
      </c>
      <c r="AL69" s="33">
        <f t="shared" si="8"/>
        <v>1347</v>
      </c>
      <c r="AM69" s="33">
        <v>1026</v>
      </c>
      <c r="AN69" s="33">
        <f>ROUND(坦克等级成长!$F166*VLOOKUP($Z$2,坦克等级成长!$B$36:$G$42,MATCH(AN$3,坦克等级成长!$B$35:$G$35,0)),0)</f>
        <v>1230</v>
      </c>
      <c r="AO69" s="33">
        <f>ROUND(坦克等级成长!$F166*VLOOKUP($Z$2,坦克等级成长!$B$36:$G$42,MATCH(AO$3,坦克等级成长!$B$35:$G$35,0)),0)</f>
        <v>328</v>
      </c>
      <c r="AP69" s="191">
        <v>16</v>
      </c>
      <c r="AQ69" s="33">
        <f>ROUND(坦克等级成长!$H166*VLOOKUP($Z$2,坦克等级成长!$B$36:$G$42,MATCH(AQ$3,坦克等级成长!$B$35:$G$35,0)),0)</f>
        <v>3336</v>
      </c>
      <c r="AR69" s="33">
        <f>ROUND(坦克等级成长!$H166*VLOOKUP($Z$2,坦克等级成长!$B$36:$G$42,MATCH(AR$3,坦克等级成长!$B$35:$G$35,0)),0)</f>
        <v>197</v>
      </c>
      <c r="AS69" s="33">
        <f>ROUND(坦克等级成长!$H166*VLOOKUP($Z$2,坦克等级成长!$B$36:$G$42,MATCH(AS$3,坦克等级成长!$B$35:$G$35,0)),0)</f>
        <v>1370</v>
      </c>
      <c r="AT69" s="33">
        <f t="shared" si="22"/>
        <v>1370</v>
      </c>
      <c r="AU69" s="33">
        <v>1026</v>
      </c>
      <c r="AV69" s="33">
        <f>ROUND(坦克等级成长!$H166*VLOOKUP($Z$2,坦克等级成长!$B$36:$G$42,MATCH(AV$3,坦克等级成长!$B$35:$G$35,0)),0)</f>
        <v>1251</v>
      </c>
      <c r="AW69" s="33">
        <f>ROUND(坦克等级成长!$H166*VLOOKUP($Z$2,坦克等级成长!$B$36:$G$42,MATCH(AW$3,坦克等级成长!$B$35:$G$35,0)),0)</f>
        <v>334</v>
      </c>
      <c r="AX69" s="192"/>
      <c r="AY69" s="188"/>
      <c r="AZ69" s="188"/>
      <c r="BA69" s="188"/>
      <c r="BB69" s="188"/>
      <c r="BC69" s="188"/>
      <c r="BD69" s="188"/>
      <c r="BE69" s="199"/>
      <c r="BF69" s="198">
        <v>16</v>
      </c>
      <c r="BG69" s="33">
        <f>ROUND(坦克等级成长!$F166*VLOOKUP($AX$2,坦克等级成长!$B$36:$G$42,MATCH(BG$3,坦克等级成长!$B$35:$G$35,0)),0)</f>
        <v>3280</v>
      </c>
      <c r="BH69" s="33">
        <f>ROUND(坦克等级成长!$F166*VLOOKUP($AX$2,坦克等级成长!$B$36:$G$42,MATCH(BH$3,坦克等级成长!$B$35:$G$35,0)),0)</f>
        <v>357</v>
      </c>
      <c r="BI69" s="33">
        <f>ROUND(坦克等级成长!$F166*VLOOKUP($AX$2,坦克等级成长!$B$36:$G$42,MATCH(BI$3,坦克等级成长!$B$35:$G$35,0)),0)</f>
        <v>1230</v>
      </c>
      <c r="BJ69" s="33">
        <f t="shared" si="9"/>
        <v>1230</v>
      </c>
      <c r="BK69" s="33">
        <v>937</v>
      </c>
      <c r="BL69" s="33">
        <f>ROUND(坦克等级成长!$F166*VLOOKUP($AX$2,坦克等级成长!$B$36:$G$42,MATCH(BL$3,坦克等级成长!$B$35:$G$35,0)),0)</f>
        <v>1230</v>
      </c>
      <c r="BM69" s="33">
        <f>ROUND(坦克等级成长!$F166*VLOOKUP($AX$2,坦克等级成长!$B$36:$G$42,MATCH(BM$3,坦克等级成长!$B$35:$G$35,0)),0)</f>
        <v>328</v>
      </c>
      <c r="BN69" s="191">
        <v>16</v>
      </c>
      <c r="BO69" s="33">
        <f>ROUND(坦克等级成长!$H166*VLOOKUP($AX$2,坦克等级成长!$B$36:$G$42,MATCH(BO$3,坦克等级成长!$B$35:$G$35,0)),0)</f>
        <v>3336</v>
      </c>
      <c r="BP69" s="33">
        <f>ROUND(坦克等级成长!$H166*VLOOKUP($AX$2,坦克等级成长!$B$36:$G$42,MATCH(BP$3,坦克等级成长!$B$35:$G$35,0)),0)</f>
        <v>363</v>
      </c>
      <c r="BQ69" s="33">
        <f>ROUND(坦克等级成长!$H166*VLOOKUP($AX$2,坦克等级成长!$B$36:$G$42,MATCH(BQ$3,坦克等级成长!$B$35:$G$35,0)),0)</f>
        <v>1251</v>
      </c>
      <c r="BR69" s="33">
        <f t="shared" si="23"/>
        <v>1251</v>
      </c>
      <c r="BS69" s="33">
        <v>937</v>
      </c>
      <c r="BT69" s="33">
        <f>ROUND(坦克等级成长!$H166*VLOOKUP($AX$2,坦克等级成长!$B$36:$G$42,MATCH(BT$3,坦克等级成长!$B$35:$G$35,0)),0)</f>
        <v>1251</v>
      </c>
      <c r="BU69" s="33">
        <f>ROUND(坦克等级成长!$H166*VLOOKUP($AX$2,坦克等级成长!$B$36:$G$42,MATCH(BU$3,坦克等级成长!$B$35:$G$35,0)),0)</f>
        <v>334</v>
      </c>
      <c r="BV69" s="192"/>
      <c r="BW69" s="188"/>
      <c r="BX69" s="188"/>
      <c r="BY69" s="188"/>
      <c r="BZ69" s="188"/>
      <c r="CA69" s="188"/>
      <c r="CB69" s="188"/>
      <c r="CC69" s="199"/>
      <c r="CD69" s="198">
        <v>16</v>
      </c>
      <c r="CE69" s="33">
        <f>ROUND(坦克等级成长!$F166*VLOOKUP($BV$2,坦克等级成长!$B$36:$G$42,MATCH(CE$3,坦克等级成长!$B$35:$G$35,0)),0)</f>
        <v>3456</v>
      </c>
      <c r="CF69" s="33">
        <f>ROUND(坦克等级成长!$F166*VLOOKUP($BV$2,坦克等级成长!$B$36:$G$42,MATCH(CF$3,坦克等级成长!$B$35:$G$35,0)),0)</f>
        <v>326</v>
      </c>
      <c r="CG69" s="33">
        <f>ROUND(坦克等级成长!$F166*VLOOKUP($BV$2,坦克等级成长!$B$36:$G$42,MATCH(CG$3,坦克等级成长!$B$35:$G$35,0)),0)</f>
        <v>1171</v>
      </c>
      <c r="CH69" s="33">
        <f t="shared" si="10"/>
        <v>1171</v>
      </c>
      <c r="CI69" s="33">
        <v>956</v>
      </c>
      <c r="CJ69" s="33">
        <f>ROUND(坦克等级成长!$F166*VLOOKUP($BV$2,坦克等级成长!$B$36:$G$42,MATCH(CJ$3,坦克等级成长!$B$35:$G$35,0)),0)</f>
        <v>1476</v>
      </c>
      <c r="CK69" s="33">
        <f>ROUND(坦克等级成长!$F166*VLOOKUP($BV$2,坦克等级成长!$B$36:$G$42,MATCH(CK$3,坦克等级成长!$B$35:$G$35,0)),0)</f>
        <v>346</v>
      </c>
      <c r="CL69" s="191">
        <v>16</v>
      </c>
      <c r="CM69" s="33">
        <f>ROUND(坦克等级成长!$H166*VLOOKUP($BV$2,坦克等级成长!$B$36:$G$42,MATCH(CM$3,坦克等级成长!$B$35:$G$35,0)),0)</f>
        <v>3515</v>
      </c>
      <c r="CN69" s="33">
        <f>ROUND(坦克等级成长!$H166*VLOOKUP($BV$2,坦克等级成长!$B$36:$G$42,MATCH(CN$3,坦克等级成长!$B$35:$G$35,0)),0)</f>
        <v>331</v>
      </c>
      <c r="CO69" s="33">
        <f>ROUND(坦克等级成长!$H166*VLOOKUP($BV$2,坦克等级成长!$B$36:$G$42,MATCH(CO$3,坦克等级成长!$B$35:$G$35,0)),0)</f>
        <v>1191</v>
      </c>
      <c r="CP69" s="33">
        <f t="shared" si="24"/>
        <v>1191</v>
      </c>
      <c r="CQ69" s="33">
        <v>956</v>
      </c>
      <c r="CR69" s="33">
        <f>ROUND(坦克等级成长!$H166*VLOOKUP($BV$2,坦克等级成长!$B$36:$G$42,MATCH(CR$3,坦克等级成长!$B$35:$G$35,0)),0)</f>
        <v>1501</v>
      </c>
      <c r="CS69" s="33">
        <f>ROUND(坦克等级成长!$H166*VLOOKUP($BV$2,坦克等级成长!$B$36:$G$42,MATCH(CS$3,坦克等级成长!$B$35:$G$35,0)),0)</f>
        <v>352</v>
      </c>
      <c r="CT69" s="192"/>
      <c r="CU69" s="188"/>
      <c r="CV69" s="188"/>
      <c r="CW69" s="188"/>
      <c r="CX69" s="188"/>
      <c r="CY69" s="188"/>
      <c r="CZ69" s="188"/>
      <c r="DA69" s="199"/>
      <c r="DB69" s="198">
        <v>16</v>
      </c>
      <c r="DC69" s="33">
        <f>ROUND(坦克等级成长!$F166*VLOOKUP($CT$2,坦克等级成长!$B$36:$G$42,MATCH(DC$3,坦克等级成长!$B$35:$G$35,0)),0)</f>
        <v>3280</v>
      </c>
      <c r="DD69" s="33">
        <f>ROUND(坦克等级成长!$F166*VLOOKUP($CT$2,坦克等级成长!$B$36:$G$42,MATCH(DD$3,坦克等级成长!$B$35:$G$35,0)),0)</f>
        <v>745</v>
      </c>
      <c r="DE69" s="33">
        <f>ROUND(坦克等级成长!$F166*VLOOKUP($CT$2,坦克等级成长!$B$36:$G$42,MATCH(DE$3,坦克等级成长!$B$35:$G$35,0)),0)</f>
        <v>1464</v>
      </c>
      <c r="DF69" s="33">
        <f t="shared" si="11"/>
        <v>1464</v>
      </c>
      <c r="DG69" s="33">
        <v>1195</v>
      </c>
      <c r="DH69" s="33">
        <f>ROUND(坦克等级成长!$F166*VLOOKUP($CT$2,坦克等级成长!$B$36:$G$42,MATCH(DH$3,坦克等级成长!$B$35:$G$35,0)),0)</f>
        <v>1230</v>
      </c>
      <c r="DI69" s="33">
        <f>ROUND(坦克等级成长!$F166*VLOOKUP($CT$2,坦克等级成长!$B$36:$G$42,MATCH(DI$3,坦克等级成长!$B$35:$G$35,0)),0)</f>
        <v>328</v>
      </c>
      <c r="DJ69" s="191">
        <v>16</v>
      </c>
      <c r="DK69" s="33">
        <f>ROUND(坦克等级成长!$H166*VLOOKUP($CT$2,坦克等级成长!$B$36:$G$42,MATCH(DK$3,坦克等级成长!$B$35:$G$35,0)),0)</f>
        <v>3336</v>
      </c>
      <c r="DL69" s="33">
        <f>ROUND(坦克等级成长!$H166*VLOOKUP($CT$2,坦克等级成长!$B$36:$G$42,MATCH(DL$3,坦克等级成长!$B$35:$G$35,0)),0)</f>
        <v>758</v>
      </c>
      <c r="DM69" s="33">
        <f>ROUND(坦克等级成长!$H166*VLOOKUP($CT$2,坦克等级成长!$B$36:$G$42,MATCH(DM$3,坦克等级成长!$B$35:$G$35,0)),0)</f>
        <v>1489</v>
      </c>
      <c r="DN69" s="33">
        <f t="shared" si="25"/>
        <v>1489</v>
      </c>
      <c r="DO69" s="33">
        <v>1195</v>
      </c>
      <c r="DP69" s="33">
        <f>ROUND(坦克等级成长!$H166*VLOOKUP($CT$2,坦克等级成长!$B$36:$G$42,MATCH(DP$3,坦克等级成长!$B$35:$G$35,0)),0)</f>
        <v>1251</v>
      </c>
      <c r="DQ69" s="33">
        <f>ROUND(坦克等级成长!$H166*VLOOKUP($CT$2,坦克等级成长!$B$36:$G$42,MATCH(DQ$3,坦克等级成长!$B$35:$G$35,0)),0)</f>
        <v>334</v>
      </c>
      <c r="DR69" s="192"/>
      <c r="DS69" s="188"/>
      <c r="DT69" s="188"/>
      <c r="DU69" s="188"/>
      <c r="DV69" s="188"/>
      <c r="DW69" s="188"/>
      <c r="DX69" s="188"/>
      <c r="DY69" s="199"/>
      <c r="DZ69" s="198">
        <v>16</v>
      </c>
      <c r="EA69" s="33">
        <f>ROUND(坦克等级成长!$F166*VLOOKUP($DR$2,坦克等级成长!$B$36:$G$42,MATCH(EA$3,坦克等级成长!$B$35:$G$35,0)),0)</f>
        <v>3732</v>
      </c>
      <c r="EB69" s="33">
        <f>ROUND(坦克等级成长!$F166*VLOOKUP($DR$2,坦克等级成长!$B$36:$G$42,MATCH(EB$3,坦克等级成长!$B$35:$G$35,0)),0)</f>
        <v>1273</v>
      </c>
      <c r="EC69" s="33">
        <f>ROUND(坦克等级成长!$F166*VLOOKUP($DR$2,坦克等级成长!$B$36:$G$42,MATCH(EC$3,坦克等级成长!$B$35:$G$35,0)),0)</f>
        <v>1171</v>
      </c>
      <c r="ED69" s="33">
        <f t="shared" si="12"/>
        <v>1171</v>
      </c>
      <c r="EE69" s="33">
        <v>1019</v>
      </c>
      <c r="EF69" s="33">
        <f>ROUND(坦克等级成长!$F166*VLOOKUP($DR$2,坦克等级成长!$B$36:$G$42,MATCH(EF$3,坦克等级成长!$B$35:$G$35,0)),0)</f>
        <v>1722</v>
      </c>
      <c r="EG69" s="33">
        <f>ROUND(坦克等级成长!$F166*VLOOKUP($DR$2,坦克等级成长!$B$36:$G$42,MATCH(EG$3,坦克等级成长!$B$35:$G$35,0)),0)</f>
        <v>373</v>
      </c>
      <c r="EH69" s="191">
        <v>16</v>
      </c>
      <c r="EI69" s="33">
        <f>ROUND(坦克等级成长!$H166*VLOOKUP($DR$2,坦克等级成长!$B$36:$G$42,MATCH(EI$3,坦克等级成长!$B$35:$G$35,0)),0)</f>
        <v>3795</v>
      </c>
      <c r="EJ69" s="33">
        <f>ROUND(坦克等级成长!$H166*VLOOKUP($DR$2,坦克等级成长!$B$36:$G$42,MATCH(EJ$3,坦克等级成长!$B$35:$G$35,0)),0)</f>
        <v>1295</v>
      </c>
      <c r="EK69" s="33">
        <f>ROUND(坦克等级成长!$H166*VLOOKUP($DR$2,坦克等级成长!$B$36:$G$42,MATCH(EK$3,坦克等级成长!$B$35:$G$35,0)),0)</f>
        <v>1191</v>
      </c>
      <c r="EL69" s="33">
        <f t="shared" si="26"/>
        <v>1191</v>
      </c>
      <c r="EM69" s="33">
        <v>1019</v>
      </c>
      <c r="EN69" s="33">
        <f>ROUND(坦克等级成长!$H166*VLOOKUP($DR$2,坦克等级成长!$B$36:$G$42,MATCH(EN$3,坦克等级成长!$B$35:$G$35,0)),0)</f>
        <v>1751</v>
      </c>
      <c r="EO69" s="33">
        <f>ROUND(坦克等级成长!$H166*VLOOKUP($DR$2,坦克等级成长!$B$36:$G$42,MATCH(EO$3,坦克等级成长!$B$35:$G$35,0)),0)</f>
        <v>380</v>
      </c>
      <c r="EP69" s="192"/>
      <c r="EQ69" s="188"/>
      <c r="ER69" s="188"/>
      <c r="ES69" s="188"/>
      <c r="ET69" s="188"/>
      <c r="EU69" s="188"/>
      <c r="EV69" s="188"/>
      <c r="EW69" s="199"/>
      <c r="EX69" s="198">
        <v>16</v>
      </c>
      <c r="EY69" s="33">
        <f>ROUND(坦克等级成长!$F166*VLOOKUP($EP$2,坦克等级成长!$B$36:$G$42,MATCH(EY$3,坦克等级成长!$B$35:$G$35,0)),0)</f>
        <v>3456</v>
      </c>
      <c r="EZ69" s="33">
        <f>ROUND(坦克等级成长!$F166*VLOOKUP($EP$2,坦克等级成长!$B$36:$G$42,MATCH(EZ$3,坦克等级成长!$B$35:$G$35,0)),0)</f>
        <v>396</v>
      </c>
      <c r="FA69" s="33">
        <f>ROUND(坦克等级成长!$F166*VLOOKUP($EP$2,坦克等级成长!$B$36:$G$42,MATCH(FA$3,坦克等级成长!$B$35:$G$35,0)),0)</f>
        <v>1347</v>
      </c>
      <c r="FB69" s="33">
        <f t="shared" si="13"/>
        <v>1347</v>
      </c>
      <c r="FC69" s="33">
        <v>1099</v>
      </c>
      <c r="FD69" s="33">
        <f>ROUND(坦克等级成长!$F166*VLOOKUP($EP$2,坦克等级成长!$B$36:$G$42,MATCH(FD$3,坦克等级成长!$B$35:$G$35,0)),0)</f>
        <v>1476</v>
      </c>
      <c r="FE69" s="33">
        <f>ROUND(坦克等级成长!$F166*VLOOKUP($EP$2,坦克等级成长!$B$36:$G$42,MATCH(FE$3,坦克等级成长!$B$35:$G$35,0)),0)</f>
        <v>346</v>
      </c>
      <c r="FF69" s="191">
        <v>16</v>
      </c>
      <c r="FG69" s="33">
        <f>ROUND(坦克等级成长!$H166*VLOOKUP($EP$2,坦克等级成长!$B$36:$G$42,MATCH(FG$3,坦克等级成长!$B$35:$G$35,0)),0)</f>
        <v>3515</v>
      </c>
      <c r="FH69" s="33">
        <f>ROUND(坦克等级成长!$H166*VLOOKUP($EP$2,坦克等级成长!$B$36:$G$42,MATCH(FH$3,坦克等级成长!$B$35:$G$35,0)),0)</f>
        <v>403</v>
      </c>
      <c r="FI69" s="33">
        <f>ROUND(坦克等级成长!$H166*VLOOKUP($EP$2,坦克等级成长!$B$36:$G$42,MATCH(FI$3,坦克等级成长!$B$35:$G$35,0)),0)</f>
        <v>1370</v>
      </c>
      <c r="FJ69" s="33">
        <f t="shared" si="27"/>
        <v>1370</v>
      </c>
      <c r="FK69" s="33">
        <v>1099</v>
      </c>
      <c r="FL69" s="33">
        <f>ROUND(坦克等级成长!$H166*VLOOKUP($EP$2,坦克等级成长!$B$36:$G$42,MATCH(FL$3,坦克等级成长!$B$35:$G$35,0)),0)</f>
        <v>1501</v>
      </c>
      <c r="FM69" s="33">
        <f>ROUND(坦克等级成长!$H166*VLOOKUP($EP$2,坦克等级成长!$B$36:$G$42,MATCH(FM$3,坦克等级成长!$B$35:$G$35,0)),0)</f>
        <v>352</v>
      </c>
    </row>
    <row r="70" spans="1:169" ht="14.25" x14ac:dyDescent="0.3">
      <c r="A70" s="188">
        <v>5</v>
      </c>
      <c r="B70" s="192"/>
      <c r="C70" s="188"/>
      <c r="D70" s="188"/>
      <c r="E70" s="188"/>
      <c r="F70" s="188"/>
      <c r="G70" s="188"/>
      <c r="H70" s="188"/>
      <c r="I70" s="199"/>
      <c r="J70" s="198">
        <v>17</v>
      </c>
      <c r="K70" s="33">
        <f>ROUND(坦克等级成长!$F167*VLOOKUP($B$2,坦克等级成长!$B$36:$G$42,MATCH(K$3,坦克等级成长!$B$35:$G$35,0)),0)</f>
        <v>3376</v>
      </c>
      <c r="L70" s="33">
        <f>ROUND(坦克等级成长!$F167*VLOOKUP($B$2,坦克等级成长!$B$36:$G$42,MATCH(L$3,坦克等级成长!$B$35:$G$35,0)),0)</f>
        <v>367</v>
      </c>
      <c r="M70" s="33">
        <f>ROUND(坦克等级成长!$F167*VLOOKUP($B$2,坦克等级成长!$B$36:$G$42,MATCH(M$3,坦克等级成长!$B$35:$G$35,0)),0)</f>
        <v>1266</v>
      </c>
      <c r="N70" s="33">
        <f t="shared" si="7"/>
        <v>1266</v>
      </c>
      <c r="O70" s="33">
        <v>966</v>
      </c>
      <c r="P70" s="33">
        <f>ROUND(坦克等级成长!$F167*VLOOKUP($B$2,坦克等级成长!$B$36:$G$42,MATCH(P$3,坦克等级成长!$B$35:$G$35,0)),0)</f>
        <v>1266</v>
      </c>
      <c r="Q70" s="33">
        <f>ROUND(坦克等级成长!$F167*VLOOKUP($B$2,坦克等级成长!$B$36:$G$42,MATCH(Q$3,坦克等级成长!$B$35:$G$35,0)),0)</f>
        <v>338</v>
      </c>
      <c r="R70" s="191">
        <v>17</v>
      </c>
      <c r="S70" s="33">
        <f>ROUND(坦克等级成长!$H167*VLOOKUP($B$2,坦克等级成长!$B$36:$G$42,MATCH(S$3,坦克等级成长!$B$35:$G$35,0)),0)</f>
        <v>3440</v>
      </c>
      <c r="T70" s="33">
        <f>ROUND(坦克等级成长!$H167*VLOOKUP($B$2,坦克等级成长!$B$36:$G$42,MATCH(T$3,坦克等级成长!$B$35:$G$35,0)),0)</f>
        <v>374</v>
      </c>
      <c r="U70" s="33">
        <f>ROUND(坦克等级成长!$H167*VLOOKUP($B$2,坦克等级成长!$B$36:$G$42,MATCH(U$3,坦克等级成长!$B$35:$G$35,0)),0)</f>
        <v>1290</v>
      </c>
      <c r="V70" s="33">
        <f t="shared" si="21"/>
        <v>1290</v>
      </c>
      <c r="W70" s="33">
        <v>966</v>
      </c>
      <c r="X70" s="33">
        <f>ROUND(坦克等级成长!$H167*VLOOKUP($B$2,坦克等级成长!$B$36:$G$42,MATCH(X$3,坦克等级成长!$B$35:$G$35,0)),0)</f>
        <v>1290</v>
      </c>
      <c r="Y70" s="33">
        <f>ROUND(坦克等级成长!$H167*VLOOKUP($B$2,坦克等级成长!$B$36:$G$42,MATCH(Y$3,坦克等级成长!$B$35:$G$35,0)),0)</f>
        <v>344</v>
      </c>
      <c r="Z70" s="192"/>
      <c r="AA70" s="188"/>
      <c r="AB70" s="188"/>
      <c r="AC70" s="188"/>
      <c r="AD70" s="188"/>
      <c r="AE70" s="188"/>
      <c r="AF70" s="188"/>
      <c r="AG70" s="199"/>
      <c r="AH70" s="198">
        <v>17</v>
      </c>
      <c r="AI70" s="33">
        <f>ROUND(坦克等级成长!$F167*VLOOKUP($Z$2,坦克等级成长!$B$36:$G$42,MATCH(AI$3,坦克等级成长!$B$35:$G$35,0)),0)</f>
        <v>3376</v>
      </c>
      <c r="AJ70" s="33">
        <f>ROUND(坦克等级成长!$F167*VLOOKUP($Z$2,坦克等级成长!$B$36:$G$42,MATCH(AJ$3,坦克等级成长!$B$35:$G$35,0)),0)</f>
        <v>199</v>
      </c>
      <c r="AK70" s="33">
        <f>ROUND(坦克等级成长!$F167*VLOOKUP($Z$2,坦克等级成长!$B$36:$G$42,MATCH(AK$3,坦克等级成长!$B$35:$G$35,0)),0)</f>
        <v>1387</v>
      </c>
      <c r="AL70" s="33">
        <f t="shared" si="8"/>
        <v>1387</v>
      </c>
      <c r="AM70" s="33">
        <v>1058</v>
      </c>
      <c r="AN70" s="33">
        <f>ROUND(坦克等级成长!$F167*VLOOKUP($Z$2,坦克等级成长!$B$36:$G$42,MATCH(AN$3,坦克等级成长!$B$35:$G$35,0)),0)</f>
        <v>1266</v>
      </c>
      <c r="AO70" s="33">
        <f>ROUND(坦克等级成长!$F167*VLOOKUP($Z$2,坦克等级成长!$B$36:$G$42,MATCH(AO$3,坦克等级成长!$B$35:$G$35,0)),0)</f>
        <v>338</v>
      </c>
      <c r="AP70" s="191">
        <v>17</v>
      </c>
      <c r="AQ70" s="33">
        <f>ROUND(坦克等级成长!$H167*VLOOKUP($Z$2,坦克等级成长!$B$36:$G$42,MATCH(AQ$3,坦克等级成长!$B$35:$G$35,0)),0)</f>
        <v>3440</v>
      </c>
      <c r="AR70" s="33">
        <f>ROUND(坦克等级成长!$H167*VLOOKUP($Z$2,坦克等级成长!$B$36:$G$42,MATCH(AR$3,坦克等级成长!$B$35:$G$35,0)),0)</f>
        <v>203</v>
      </c>
      <c r="AS70" s="33">
        <f>ROUND(坦克等级成长!$H167*VLOOKUP($Z$2,坦克等级成长!$B$36:$G$42,MATCH(AS$3,坦克等级成长!$B$35:$G$35,0)),0)</f>
        <v>1413</v>
      </c>
      <c r="AT70" s="33">
        <f t="shared" si="22"/>
        <v>1413</v>
      </c>
      <c r="AU70" s="33">
        <v>1058</v>
      </c>
      <c r="AV70" s="33">
        <f>ROUND(坦克等级成长!$H167*VLOOKUP($Z$2,坦克等级成长!$B$36:$G$42,MATCH(AV$3,坦克等级成长!$B$35:$G$35,0)),0)</f>
        <v>1290</v>
      </c>
      <c r="AW70" s="33">
        <f>ROUND(坦克等级成长!$H167*VLOOKUP($Z$2,坦克等级成长!$B$36:$G$42,MATCH(AW$3,坦克等级成长!$B$35:$G$35,0)),0)</f>
        <v>344</v>
      </c>
      <c r="AX70" s="192"/>
      <c r="AY70" s="188"/>
      <c r="AZ70" s="188"/>
      <c r="BA70" s="188"/>
      <c r="BB70" s="188"/>
      <c r="BC70" s="188"/>
      <c r="BD70" s="188"/>
      <c r="BE70" s="199"/>
      <c r="BF70" s="198">
        <v>17</v>
      </c>
      <c r="BG70" s="33">
        <f>ROUND(坦克等级成长!$F167*VLOOKUP($AX$2,坦克等级成长!$B$36:$G$42,MATCH(BG$3,坦克等级成长!$B$35:$G$35,0)),0)</f>
        <v>3376</v>
      </c>
      <c r="BH70" s="33">
        <f>ROUND(坦克等级成长!$F167*VLOOKUP($AX$2,坦克等级成长!$B$36:$G$42,MATCH(BH$3,坦克等级成长!$B$35:$G$35,0)),0)</f>
        <v>367</v>
      </c>
      <c r="BI70" s="33">
        <f>ROUND(坦克等级成长!$F167*VLOOKUP($AX$2,坦克等级成长!$B$36:$G$42,MATCH(BI$3,坦克等级成长!$B$35:$G$35,0)),0)</f>
        <v>1266</v>
      </c>
      <c r="BJ70" s="33">
        <f t="shared" si="9"/>
        <v>1266</v>
      </c>
      <c r="BK70" s="33">
        <v>966</v>
      </c>
      <c r="BL70" s="33">
        <f>ROUND(坦克等级成长!$F167*VLOOKUP($AX$2,坦克等级成长!$B$36:$G$42,MATCH(BL$3,坦克等级成长!$B$35:$G$35,0)),0)</f>
        <v>1266</v>
      </c>
      <c r="BM70" s="33">
        <f>ROUND(坦克等级成长!$F167*VLOOKUP($AX$2,坦克等级成长!$B$36:$G$42,MATCH(BM$3,坦克等级成长!$B$35:$G$35,0)),0)</f>
        <v>338</v>
      </c>
      <c r="BN70" s="191">
        <v>17</v>
      </c>
      <c r="BO70" s="33">
        <f>ROUND(坦克等级成长!$H167*VLOOKUP($AX$2,坦克等级成长!$B$36:$G$42,MATCH(BO$3,坦克等级成长!$B$35:$G$35,0)),0)</f>
        <v>3440</v>
      </c>
      <c r="BP70" s="33">
        <f>ROUND(坦克等级成长!$H167*VLOOKUP($AX$2,坦克等级成长!$B$36:$G$42,MATCH(BP$3,坦克等级成长!$B$35:$G$35,0)),0)</f>
        <v>374</v>
      </c>
      <c r="BQ70" s="33">
        <f>ROUND(坦克等级成长!$H167*VLOOKUP($AX$2,坦克等级成长!$B$36:$G$42,MATCH(BQ$3,坦克等级成长!$B$35:$G$35,0)),0)</f>
        <v>1290</v>
      </c>
      <c r="BR70" s="33">
        <f t="shared" si="23"/>
        <v>1290</v>
      </c>
      <c r="BS70" s="33">
        <v>966</v>
      </c>
      <c r="BT70" s="33">
        <f>ROUND(坦克等级成长!$H167*VLOOKUP($AX$2,坦克等级成长!$B$36:$G$42,MATCH(BT$3,坦克等级成长!$B$35:$G$35,0)),0)</f>
        <v>1290</v>
      </c>
      <c r="BU70" s="33">
        <f>ROUND(坦克等级成长!$H167*VLOOKUP($AX$2,坦克等级成长!$B$36:$G$42,MATCH(BU$3,坦克等级成长!$B$35:$G$35,0)),0)</f>
        <v>344</v>
      </c>
      <c r="BV70" s="192"/>
      <c r="BW70" s="188"/>
      <c r="BX70" s="188"/>
      <c r="BY70" s="188"/>
      <c r="BZ70" s="188"/>
      <c r="CA70" s="188"/>
      <c r="CB70" s="188"/>
      <c r="CC70" s="199"/>
      <c r="CD70" s="198">
        <v>17</v>
      </c>
      <c r="CE70" s="33">
        <f>ROUND(坦克等级成长!$F167*VLOOKUP($BV$2,坦克等级成长!$B$36:$G$42,MATCH(CE$3,坦克等级成长!$B$35:$G$35,0)),0)</f>
        <v>3557</v>
      </c>
      <c r="CF70" s="33">
        <f>ROUND(坦克等级成长!$F167*VLOOKUP($BV$2,坦克等级成长!$B$36:$G$42,MATCH(CF$3,坦克等级成长!$B$35:$G$35,0)),0)</f>
        <v>335</v>
      </c>
      <c r="CG70" s="33">
        <f>ROUND(坦克等级成长!$F167*VLOOKUP($BV$2,坦克等级成长!$B$36:$G$42,MATCH(CG$3,坦克等级成长!$B$35:$G$35,0)),0)</f>
        <v>1206</v>
      </c>
      <c r="CH70" s="33">
        <f t="shared" si="10"/>
        <v>1206</v>
      </c>
      <c r="CI70" s="33">
        <v>986</v>
      </c>
      <c r="CJ70" s="33">
        <f>ROUND(坦克等级成长!$F167*VLOOKUP($BV$2,坦克等级成长!$B$36:$G$42,MATCH(CJ$3,坦克等级成长!$B$35:$G$35,0)),0)</f>
        <v>1519</v>
      </c>
      <c r="CK70" s="33">
        <f>ROUND(坦克等级成长!$F167*VLOOKUP($BV$2,坦克等级成长!$B$36:$G$42,MATCH(CK$3,坦克等级成长!$B$35:$G$35,0)),0)</f>
        <v>356</v>
      </c>
      <c r="CL70" s="191">
        <v>17</v>
      </c>
      <c r="CM70" s="33">
        <f>ROUND(坦克等级成长!$H167*VLOOKUP($BV$2,坦克等级成长!$B$36:$G$42,MATCH(CM$3,坦克等级成长!$B$35:$G$35,0)),0)</f>
        <v>3625</v>
      </c>
      <c r="CN70" s="33">
        <f>ROUND(坦克等级成长!$H167*VLOOKUP($BV$2,坦克等级成长!$B$36:$G$42,MATCH(CN$3,坦克等级成长!$B$35:$G$35,0)),0)</f>
        <v>342</v>
      </c>
      <c r="CO70" s="33">
        <f>ROUND(坦克等级成长!$H167*VLOOKUP($BV$2,坦克等级成长!$B$36:$G$42,MATCH(CO$3,坦克等级成长!$B$35:$G$35,0)),0)</f>
        <v>1229</v>
      </c>
      <c r="CP70" s="33">
        <f t="shared" si="24"/>
        <v>1229</v>
      </c>
      <c r="CQ70" s="33">
        <v>986</v>
      </c>
      <c r="CR70" s="33">
        <f>ROUND(坦克等级成长!$H167*VLOOKUP($BV$2,坦克等级成长!$B$36:$G$42,MATCH(CR$3,坦克等级成长!$B$35:$G$35,0)),0)</f>
        <v>1548</v>
      </c>
      <c r="CS70" s="33">
        <f>ROUND(坦克等级成长!$H167*VLOOKUP($BV$2,坦克等级成长!$B$36:$G$42,MATCH(CS$3,坦克等级成长!$B$35:$G$35,0)),0)</f>
        <v>362</v>
      </c>
      <c r="CT70" s="192"/>
      <c r="CU70" s="188"/>
      <c r="CV70" s="188"/>
      <c r="CW70" s="188"/>
      <c r="CX70" s="188"/>
      <c r="CY70" s="188"/>
      <c r="CZ70" s="188"/>
      <c r="DA70" s="199"/>
      <c r="DB70" s="198">
        <v>17</v>
      </c>
      <c r="DC70" s="33">
        <f>ROUND(坦克等级成长!$F167*VLOOKUP($CT$2,坦克等级成长!$B$36:$G$42,MATCH(DC$3,坦克等级成长!$B$35:$G$35,0)),0)</f>
        <v>3376</v>
      </c>
      <c r="DD70" s="33">
        <f>ROUND(坦克等级成长!$F167*VLOOKUP($CT$2,坦克等级成长!$B$36:$G$42,MATCH(DD$3,坦克等级成长!$B$35:$G$35,0)),0)</f>
        <v>767</v>
      </c>
      <c r="DE70" s="33">
        <f>ROUND(坦克等级成长!$F167*VLOOKUP($CT$2,坦克等级成长!$B$36:$G$42,MATCH(DE$3,坦克等级成长!$B$35:$G$35,0)),0)</f>
        <v>1507</v>
      </c>
      <c r="DF70" s="33">
        <f t="shared" si="11"/>
        <v>1507</v>
      </c>
      <c r="DG70" s="33">
        <v>1232</v>
      </c>
      <c r="DH70" s="33">
        <f>ROUND(坦克等级成长!$F167*VLOOKUP($CT$2,坦克等级成长!$B$36:$G$42,MATCH(DH$3,坦克等级成长!$B$35:$G$35,0)),0)</f>
        <v>1266</v>
      </c>
      <c r="DI70" s="33">
        <f>ROUND(坦克等级成长!$F167*VLOOKUP($CT$2,坦克等级成长!$B$36:$G$42,MATCH(DI$3,坦克等级成长!$B$35:$G$35,0)),0)</f>
        <v>338</v>
      </c>
      <c r="DJ70" s="191">
        <v>17</v>
      </c>
      <c r="DK70" s="33">
        <f>ROUND(坦克等级成长!$H167*VLOOKUP($CT$2,坦克等级成长!$B$36:$G$42,MATCH(DK$3,坦克等级成长!$B$35:$G$35,0)),0)</f>
        <v>3440</v>
      </c>
      <c r="DL70" s="33">
        <f>ROUND(坦克等级成长!$H167*VLOOKUP($CT$2,坦克等级成长!$B$36:$G$42,MATCH(DL$3,坦克等级成长!$B$35:$G$35,0)),0)</f>
        <v>781</v>
      </c>
      <c r="DM70" s="33">
        <f>ROUND(坦克等级成长!$H167*VLOOKUP($CT$2,坦克等级成长!$B$36:$G$42,MATCH(DM$3,坦克等级成长!$B$35:$G$35,0)),0)</f>
        <v>1536</v>
      </c>
      <c r="DN70" s="33">
        <f t="shared" si="25"/>
        <v>1536</v>
      </c>
      <c r="DO70" s="33">
        <v>1232</v>
      </c>
      <c r="DP70" s="33">
        <f>ROUND(坦克等级成长!$H167*VLOOKUP($CT$2,坦克等级成长!$B$36:$G$42,MATCH(DP$3,坦克等级成长!$B$35:$G$35,0)),0)</f>
        <v>1290</v>
      </c>
      <c r="DQ70" s="33">
        <f>ROUND(坦克等级成长!$H167*VLOOKUP($CT$2,坦克等级成长!$B$36:$G$42,MATCH(DQ$3,坦克等级成长!$B$35:$G$35,0)),0)</f>
        <v>344</v>
      </c>
      <c r="DR70" s="192"/>
      <c r="DS70" s="188"/>
      <c r="DT70" s="188"/>
      <c r="DU70" s="188"/>
      <c r="DV70" s="188"/>
      <c r="DW70" s="188"/>
      <c r="DX70" s="188"/>
      <c r="DY70" s="199"/>
      <c r="DZ70" s="198">
        <v>17</v>
      </c>
      <c r="EA70" s="33">
        <f>ROUND(坦克等级成长!$F167*VLOOKUP($DR$2,坦克等级成长!$B$36:$G$42,MATCH(EA$3,坦克等级成长!$B$35:$G$35,0)),0)</f>
        <v>3841</v>
      </c>
      <c r="EB70" s="33">
        <f>ROUND(坦克等级成长!$F167*VLOOKUP($DR$2,坦克等级成长!$B$36:$G$42,MATCH(EB$3,坦克等级成长!$B$35:$G$35,0)),0)</f>
        <v>1310</v>
      </c>
      <c r="EC70" s="33">
        <f>ROUND(坦克等级成长!$F167*VLOOKUP($DR$2,坦克等级成长!$B$36:$G$42,MATCH(EC$3,坦克等级成长!$B$35:$G$35,0)),0)</f>
        <v>1206</v>
      </c>
      <c r="ED70" s="33">
        <f t="shared" si="12"/>
        <v>1206</v>
      </c>
      <c r="EE70" s="33">
        <v>1051</v>
      </c>
      <c r="EF70" s="33">
        <f>ROUND(坦克等级成长!$F167*VLOOKUP($DR$2,坦克等级成长!$B$36:$G$42,MATCH(EF$3,坦克等级成长!$B$35:$G$35,0)),0)</f>
        <v>1772</v>
      </c>
      <c r="EG70" s="33">
        <f>ROUND(坦克等级成长!$F167*VLOOKUP($DR$2,坦克等级成长!$B$36:$G$42,MATCH(EG$3,坦克等级成长!$B$35:$G$35,0)),0)</f>
        <v>384</v>
      </c>
      <c r="EH70" s="191">
        <v>17</v>
      </c>
      <c r="EI70" s="33">
        <f>ROUND(坦克等级成长!$H167*VLOOKUP($DR$2,坦克等级成长!$B$36:$G$42,MATCH(EI$3,坦克等级成长!$B$35:$G$35,0)),0)</f>
        <v>3914</v>
      </c>
      <c r="EJ70" s="33">
        <f>ROUND(坦克等级成长!$H167*VLOOKUP($DR$2,坦克等级成长!$B$36:$G$42,MATCH(EJ$3,坦克等级成长!$B$35:$G$35,0)),0)</f>
        <v>1335</v>
      </c>
      <c r="EK70" s="33">
        <f>ROUND(坦克等级成长!$H167*VLOOKUP($DR$2,坦克等级成长!$B$36:$G$42,MATCH(EK$3,坦克等级成长!$B$35:$G$35,0)),0)</f>
        <v>1229</v>
      </c>
      <c r="EL70" s="33">
        <f t="shared" si="26"/>
        <v>1229</v>
      </c>
      <c r="EM70" s="33">
        <v>1051</v>
      </c>
      <c r="EN70" s="33">
        <f>ROUND(坦克等级成长!$H167*VLOOKUP($DR$2,坦克等级成长!$B$36:$G$42,MATCH(EN$3,坦克等级成长!$B$35:$G$35,0)),0)</f>
        <v>1806</v>
      </c>
      <c r="EO70" s="33">
        <f>ROUND(坦克等级成长!$H167*VLOOKUP($DR$2,坦克等级成长!$B$36:$G$42,MATCH(EO$3,坦克等级成长!$B$35:$G$35,0)),0)</f>
        <v>391</v>
      </c>
      <c r="EP70" s="192"/>
      <c r="EQ70" s="188"/>
      <c r="ER70" s="188"/>
      <c r="ES70" s="188"/>
      <c r="ET70" s="188"/>
      <c r="EU70" s="188"/>
      <c r="EV70" s="188"/>
      <c r="EW70" s="199"/>
      <c r="EX70" s="198">
        <v>17</v>
      </c>
      <c r="EY70" s="33">
        <f>ROUND(坦克等级成长!$F167*VLOOKUP($EP$2,坦克等级成长!$B$36:$G$42,MATCH(EY$3,坦克等级成长!$B$35:$G$35,0)),0)</f>
        <v>3557</v>
      </c>
      <c r="EZ70" s="33">
        <f>ROUND(坦克等级成长!$F167*VLOOKUP($EP$2,坦克等级成长!$B$36:$G$42,MATCH(EZ$3,坦克等级成长!$B$35:$G$35,0)),0)</f>
        <v>408</v>
      </c>
      <c r="FA70" s="33">
        <f>ROUND(坦克等级成长!$F167*VLOOKUP($EP$2,坦克等级成长!$B$36:$G$42,MATCH(FA$3,坦克等级成长!$B$35:$G$35,0)),0)</f>
        <v>1387</v>
      </c>
      <c r="FB70" s="33">
        <f t="shared" si="13"/>
        <v>1387</v>
      </c>
      <c r="FC70" s="33">
        <v>1133</v>
      </c>
      <c r="FD70" s="33">
        <f>ROUND(坦克等级成长!$F167*VLOOKUP($EP$2,坦克等级成长!$B$36:$G$42,MATCH(FD$3,坦克等级成长!$B$35:$G$35,0)),0)</f>
        <v>1519</v>
      </c>
      <c r="FE70" s="33">
        <f>ROUND(坦克等级成长!$F167*VLOOKUP($EP$2,坦克等级成长!$B$36:$G$42,MATCH(FE$3,坦克等级成长!$B$35:$G$35,0)),0)</f>
        <v>356</v>
      </c>
      <c r="FF70" s="191">
        <v>17</v>
      </c>
      <c r="FG70" s="33">
        <f>ROUND(坦克等级成长!$H167*VLOOKUP($EP$2,坦克等级成长!$B$36:$G$42,MATCH(FG$3,坦克等级成长!$B$35:$G$35,0)),0)</f>
        <v>3625</v>
      </c>
      <c r="FH70" s="33">
        <f>ROUND(坦克等级成长!$H167*VLOOKUP($EP$2,坦克等级成长!$B$36:$G$42,MATCH(FH$3,坦克等级成长!$B$35:$G$35,0)),0)</f>
        <v>415</v>
      </c>
      <c r="FI70" s="33">
        <f>ROUND(坦克等级成长!$H167*VLOOKUP($EP$2,坦克等级成长!$B$36:$G$42,MATCH(FI$3,坦克等级成长!$B$35:$G$35,0)),0)</f>
        <v>1413</v>
      </c>
      <c r="FJ70" s="33">
        <f t="shared" si="27"/>
        <v>1413</v>
      </c>
      <c r="FK70" s="33">
        <v>1133</v>
      </c>
      <c r="FL70" s="33">
        <f>ROUND(坦克等级成长!$H167*VLOOKUP($EP$2,坦克等级成长!$B$36:$G$42,MATCH(FL$3,坦克等级成长!$B$35:$G$35,0)),0)</f>
        <v>1548</v>
      </c>
      <c r="FM70" s="33">
        <f>ROUND(坦克等级成长!$H167*VLOOKUP($EP$2,坦克等级成长!$B$36:$G$42,MATCH(FM$3,坦克等级成长!$B$35:$G$35,0)),0)</f>
        <v>362</v>
      </c>
    </row>
    <row r="71" spans="1:169" ht="14.25" x14ac:dyDescent="0.3">
      <c r="A71" s="188">
        <v>5</v>
      </c>
      <c r="B71" s="192"/>
      <c r="C71" s="188"/>
      <c r="D71" s="188"/>
      <c r="E71" s="188"/>
      <c r="F71" s="188"/>
      <c r="G71" s="188"/>
      <c r="H71" s="188"/>
      <c r="I71" s="199"/>
      <c r="J71" s="198">
        <v>18</v>
      </c>
      <c r="K71" s="33">
        <f>ROUND(坦克等级成长!$F168*VLOOKUP($B$2,坦克等级成长!$B$36:$G$42,MATCH(K$3,坦克等级成长!$B$35:$G$35,0)),0)</f>
        <v>3472</v>
      </c>
      <c r="L71" s="33">
        <f>ROUND(坦克等级成长!$F168*VLOOKUP($B$2,坦克等级成长!$B$36:$G$42,MATCH(L$3,坦克等级成长!$B$35:$G$35,0)),0)</f>
        <v>378</v>
      </c>
      <c r="M71" s="33">
        <f>ROUND(坦克等级成长!$F168*VLOOKUP($B$2,坦克等级成长!$B$36:$G$42,MATCH(M$3,坦克等级成长!$B$35:$G$35,0)),0)</f>
        <v>1302</v>
      </c>
      <c r="N71" s="33">
        <f t="shared" si="7"/>
        <v>1302</v>
      </c>
      <c r="O71" s="33">
        <v>995</v>
      </c>
      <c r="P71" s="33">
        <f>ROUND(坦克等级成长!$F168*VLOOKUP($B$2,坦克等级成长!$B$36:$G$42,MATCH(P$3,坦克等级成长!$B$35:$G$35,0)),0)</f>
        <v>1302</v>
      </c>
      <c r="Q71" s="33">
        <f>ROUND(坦克等级成长!$F168*VLOOKUP($B$2,坦克等级成长!$B$36:$G$42,MATCH(Q$3,坦克等级成长!$B$35:$G$35,0)),0)</f>
        <v>347</v>
      </c>
      <c r="R71" s="191">
        <v>18</v>
      </c>
      <c r="S71" s="33">
        <f>ROUND(坦克等级成长!$H168*VLOOKUP($B$2,坦克等级成长!$B$36:$G$42,MATCH(S$3,坦克等级成长!$B$35:$G$35,0)),0)</f>
        <v>3544</v>
      </c>
      <c r="T71" s="33">
        <f>ROUND(坦克等级成长!$H168*VLOOKUP($B$2,坦克等级成长!$B$36:$G$42,MATCH(T$3,坦克等级成长!$B$35:$G$35,0)),0)</f>
        <v>385</v>
      </c>
      <c r="U71" s="33">
        <f>ROUND(坦克等级成长!$H168*VLOOKUP($B$2,坦克等级成长!$B$36:$G$42,MATCH(U$3,坦克等级成长!$B$35:$G$35,0)),0)</f>
        <v>1329</v>
      </c>
      <c r="V71" s="33">
        <f t="shared" si="21"/>
        <v>1329</v>
      </c>
      <c r="W71" s="33">
        <v>995</v>
      </c>
      <c r="X71" s="33">
        <f>ROUND(坦克等级成长!$H168*VLOOKUP($B$2,坦克等级成长!$B$36:$G$42,MATCH(X$3,坦克等级成长!$B$35:$G$35,0)),0)</f>
        <v>1329</v>
      </c>
      <c r="Y71" s="33">
        <f>ROUND(坦克等级成长!$H168*VLOOKUP($B$2,坦克等级成长!$B$36:$G$42,MATCH(Y$3,坦克等级成长!$B$35:$G$35,0)),0)</f>
        <v>354</v>
      </c>
      <c r="Z71" s="192"/>
      <c r="AA71" s="188"/>
      <c r="AB71" s="188"/>
      <c r="AC71" s="188"/>
      <c r="AD71" s="188"/>
      <c r="AE71" s="188"/>
      <c r="AF71" s="188"/>
      <c r="AG71" s="199"/>
      <c r="AH71" s="198">
        <v>18</v>
      </c>
      <c r="AI71" s="33">
        <f>ROUND(坦克等级成长!$F168*VLOOKUP($Z$2,坦克等级成长!$B$36:$G$42,MATCH(AI$3,坦克等级成长!$B$35:$G$35,0)),0)</f>
        <v>3472</v>
      </c>
      <c r="AJ71" s="33">
        <f>ROUND(坦克等级成长!$F168*VLOOKUP($Z$2,坦克等级成长!$B$36:$G$42,MATCH(AJ$3,坦克等级成长!$B$35:$G$35,0)),0)</f>
        <v>205</v>
      </c>
      <c r="AK71" s="33">
        <f>ROUND(坦克等级成长!$F168*VLOOKUP($Z$2,坦克等级成长!$B$36:$G$42,MATCH(AK$3,坦克等级成长!$B$35:$G$35,0)),0)</f>
        <v>1426</v>
      </c>
      <c r="AL71" s="33">
        <f t="shared" si="8"/>
        <v>1426</v>
      </c>
      <c r="AM71" s="33">
        <v>1090</v>
      </c>
      <c r="AN71" s="33">
        <f>ROUND(坦克等级成长!$F168*VLOOKUP($Z$2,坦克等级成长!$B$36:$G$42,MATCH(AN$3,坦克等级成长!$B$35:$G$35,0)),0)</f>
        <v>1302</v>
      </c>
      <c r="AO71" s="33">
        <f>ROUND(坦克等级成长!$F168*VLOOKUP($Z$2,坦克等级成长!$B$36:$G$42,MATCH(AO$3,坦克等级成长!$B$35:$G$35,0)),0)</f>
        <v>347</v>
      </c>
      <c r="AP71" s="191">
        <v>18</v>
      </c>
      <c r="AQ71" s="33">
        <f>ROUND(坦克等级成长!$H168*VLOOKUP($Z$2,坦克等级成长!$B$36:$G$42,MATCH(AQ$3,坦克等级成长!$B$35:$G$35,0)),0)</f>
        <v>3544</v>
      </c>
      <c r="AR71" s="33">
        <f>ROUND(坦克等级成长!$H168*VLOOKUP($Z$2,坦克等级成长!$B$36:$G$42,MATCH(AR$3,坦克等级成长!$B$35:$G$35,0)),0)</f>
        <v>209</v>
      </c>
      <c r="AS71" s="33">
        <f>ROUND(坦克等级成长!$H168*VLOOKUP($Z$2,坦克等级成长!$B$36:$G$42,MATCH(AS$3,坦克等级成长!$B$35:$G$35,0)),0)</f>
        <v>1456</v>
      </c>
      <c r="AT71" s="33">
        <f t="shared" si="22"/>
        <v>1456</v>
      </c>
      <c r="AU71" s="33">
        <v>1090</v>
      </c>
      <c r="AV71" s="33">
        <f>ROUND(坦克等级成长!$H168*VLOOKUP($Z$2,坦克等级成长!$B$36:$G$42,MATCH(AV$3,坦克等级成长!$B$35:$G$35,0)),0)</f>
        <v>1329</v>
      </c>
      <c r="AW71" s="33">
        <f>ROUND(坦克等级成长!$H168*VLOOKUP($Z$2,坦克等级成长!$B$36:$G$42,MATCH(AW$3,坦克等级成长!$B$35:$G$35,0)),0)</f>
        <v>354</v>
      </c>
      <c r="AX71" s="192"/>
      <c r="AY71" s="188"/>
      <c r="AZ71" s="188"/>
      <c r="BA71" s="188"/>
      <c r="BB71" s="188"/>
      <c r="BC71" s="188"/>
      <c r="BD71" s="188"/>
      <c r="BE71" s="199"/>
      <c r="BF71" s="198">
        <v>18</v>
      </c>
      <c r="BG71" s="33">
        <f>ROUND(坦克等级成长!$F168*VLOOKUP($AX$2,坦克等级成长!$B$36:$G$42,MATCH(BG$3,坦克等级成长!$B$35:$G$35,0)),0)</f>
        <v>3472</v>
      </c>
      <c r="BH71" s="33">
        <f>ROUND(坦克等级成长!$F168*VLOOKUP($AX$2,坦克等级成长!$B$36:$G$42,MATCH(BH$3,坦克等级成长!$B$35:$G$35,0)),0)</f>
        <v>378</v>
      </c>
      <c r="BI71" s="33">
        <f>ROUND(坦克等级成长!$F168*VLOOKUP($AX$2,坦克等级成长!$B$36:$G$42,MATCH(BI$3,坦克等级成长!$B$35:$G$35,0)),0)</f>
        <v>1302</v>
      </c>
      <c r="BJ71" s="33">
        <f t="shared" si="9"/>
        <v>1302</v>
      </c>
      <c r="BK71" s="33">
        <v>995</v>
      </c>
      <c r="BL71" s="33">
        <f>ROUND(坦克等级成长!$F168*VLOOKUP($AX$2,坦克等级成长!$B$36:$G$42,MATCH(BL$3,坦克等级成长!$B$35:$G$35,0)),0)</f>
        <v>1302</v>
      </c>
      <c r="BM71" s="33">
        <f>ROUND(坦克等级成长!$F168*VLOOKUP($AX$2,坦克等级成长!$B$36:$G$42,MATCH(BM$3,坦克等级成长!$B$35:$G$35,0)),0)</f>
        <v>347</v>
      </c>
      <c r="BN71" s="191">
        <v>18</v>
      </c>
      <c r="BO71" s="33">
        <f>ROUND(坦克等级成长!$H168*VLOOKUP($AX$2,坦克等级成长!$B$36:$G$42,MATCH(BO$3,坦克等级成长!$B$35:$G$35,0)),0)</f>
        <v>3544</v>
      </c>
      <c r="BP71" s="33">
        <f>ROUND(坦克等级成长!$H168*VLOOKUP($AX$2,坦克等级成长!$B$36:$G$42,MATCH(BP$3,坦克等级成长!$B$35:$G$35,0)),0)</f>
        <v>385</v>
      </c>
      <c r="BQ71" s="33">
        <f>ROUND(坦克等级成长!$H168*VLOOKUP($AX$2,坦克等级成长!$B$36:$G$42,MATCH(BQ$3,坦克等级成长!$B$35:$G$35,0)),0)</f>
        <v>1329</v>
      </c>
      <c r="BR71" s="33">
        <f t="shared" si="23"/>
        <v>1329</v>
      </c>
      <c r="BS71" s="33">
        <v>995</v>
      </c>
      <c r="BT71" s="33">
        <f>ROUND(坦克等级成长!$H168*VLOOKUP($AX$2,坦克等级成长!$B$36:$G$42,MATCH(BT$3,坦克等级成长!$B$35:$G$35,0)),0)</f>
        <v>1329</v>
      </c>
      <c r="BU71" s="33">
        <f>ROUND(坦克等级成长!$H168*VLOOKUP($AX$2,坦克等级成长!$B$36:$G$42,MATCH(BU$3,坦克等级成长!$B$35:$G$35,0)),0)</f>
        <v>354</v>
      </c>
      <c r="BV71" s="192"/>
      <c r="BW71" s="188"/>
      <c r="BX71" s="188"/>
      <c r="BY71" s="188"/>
      <c r="BZ71" s="188"/>
      <c r="CA71" s="188"/>
      <c r="CB71" s="188"/>
      <c r="CC71" s="199"/>
      <c r="CD71" s="198">
        <v>18</v>
      </c>
      <c r="CE71" s="33">
        <f>ROUND(坦克等级成长!$F168*VLOOKUP($BV$2,坦克等级成长!$B$36:$G$42,MATCH(CE$3,坦克等级成长!$B$35:$G$35,0)),0)</f>
        <v>3658</v>
      </c>
      <c r="CF71" s="33">
        <f>ROUND(坦克等级成长!$F168*VLOOKUP($BV$2,坦克等级成长!$B$36:$G$42,MATCH(CF$3,坦克等级成长!$B$35:$G$35,0)),0)</f>
        <v>345</v>
      </c>
      <c r="CG71" s="33">
        <f>ROUND(坦克等级成长!$F168*VLOOKUP($BV$2,坦克等级成长!$B$36:$G$42,MATCH(CG$3,坦克等级成长!$B$35:$G$35,0)),0)</f>
        <v>1240</v>
      </c>
      <c r="CH71" s="33">
        <f t="shared" si="10"/>
        <v>1240</v>
      </c>
      <c r="CI71" s="33">
        <v>1016</v>
      </c>
      <c r="CJ71" s="33">
        <f>ROUND(坦克等级成长!$F168*VLOOKUP($BV$2,坦克等级成长!$B$36:$G$42,MATCH(CJ$3,坦克等级成长!$B$35:$G$35,0)),0)</f>
        <v>1562</v>
      </c>
      <c r="CK71" s="33">
        <f>ROUND(坦克等级成长!$F168*VLOOKUP($BV$2,坦克等级成长!$B$36:$G$42,MATCH(CK$3,坦克等级成长!$B$35:$G$35,0)),0)</f>
        <v>366</v>
      </c>
      <c r="CL71" s="191">
        <v>18</v>
      </c>
      <c r="CM71" s="33">
        <f>ROUND(坦克等级成长!$H168*VLOOKUP($BV$2,坦克等级成长!$B$36:$G$42,MATCH(CM$3,坦克等级成长!$B$35:$G$35,0)),0)</f>
        <v>3734</v>
      </c>
      <c r="CN71" s="33">
        <f>ROUND(坦克等级成长!$H168*VLOOKUP($BV$2,坦克等级成长!$B$36:$G$42,MATCH(CN$3,坦克等级成长!$B$35:$G$35,0)),0)</f>
        <v>352</v>
      </c>
      <c r="CO71" s="33">
        <f>ROUND(坦克等级成长!$H168*VLOOKUP($BV$2,坦克等级成长!$B$36:$G$42,MATCH(CO$3,坦克等级成长!$B$35:$G$35,0)),0)</f>
        <v>1266</v>
      </c>
      <c r="CP71" s="33">
        <f t="shared" si="24"/>
        <v>1266</v>
      </c>
      <c r="CQ71" s="33">
        <v>1016</v>
      </c>
      <c r="CR71" s="33">
        <f>ROUND(坦克等级成长!$H168*VLOOKUP($BV$2,坦克等级成长!$B$36:$G$42,MATCH(CR$3,坦克等级成长!$B$35:$G$35,0)),0)</f>
        <v>1595</v>
      </c>
      <c r="CS71" s="33">
        <f>ROUND(坦克等级成长!$H168*VLOOKUP($BV$2,坦克等级成长!$B$36:$G$42,MATCH(CS$3,坦克等级成长!$B$35:$G$35,0)),0)</f>
        <v>373</v>
      </c>
      <c r="CT71" s="192"/>
      <c r="CU71" s="188"/>
      <c r="CV71" s="188"/>
      <c r="CW71" s="188"/>
      <c r="CX71" s="188"/>
      <c r="CY71" s="188"/>
      <c r="CZ71" s="188"/>
      <c r="DA71" s="199"/>
      <c r="DB71" s="198">
        <v>18</v>
      </c>
      <c r="DC71" s="33">
        <f>ROUND(坦克等级成长!$F168*VLOOKUP($CT$2,坦克等级成长!$B$36:$G$42,MATCH(DC$3,坦克等级成长!$B$35:$G$35,0)),0)</f>
        <v>3472</v>
      </c>
      <c r="DD71" s="33">
        <f>ROUND(坦克等级成长!$F168*VLOOKUP($CT$2,坦克等级成长!$B$36:$G$42,MATCH(DD$3,坦克等级成长!$B$35:$G$35,0)),0)</f>
        <v>789</v>
      </c>
      <c r="DE71" s="33">
        <f>ROUND(坦克等级成长!$F168*VLOOKUP($CT$2,坦克等级成长!$B$36:$G$42,MATCH(DE$3,坦克等级成长!$B$35:$G$35,0)),0)</f>
        <v>1550</v>
      </c>
      <c r="DF71" s="33">
        <f t="shared" si="11"/>
        <v>1550</v>
      </c>
      <c r="DG71" s="33">
        <v>1270</v>
      </c>
      <c r="DH71" s="33">
        <f>ROUND(坦克等级成长!$F168*VLOOKUP($CT$2,坦克等级成长!$B$36:$G$42,MATCH(DH$3,坦克等级成长!$B$35:$G$35,0)),0)</f>
        <v>1302</v>
      </c>
      <c r="DI71" s="33">
        <f>ROUND(坦克等级成长!$F168*VLOOKUP($CT$2,坦克等级成长!$B$36:$G$42,MATCH(DI$3,坦克等级成长!$B$35:$G$35,0)),0)</f>
        <v>347</v>
      </c>
      <c r="DJ71" s="191">
        <v>18</v>
      </c>
      <c r="DK71" s="33">
        <f>ROUND(坦克等级成长!$H168*VLOOKUP($CT$2,坦克等级成长!$B$36:$G$42,MATCH(DK$3,坦克等级成长!$B$35:$G$35,0)),0)</f>
        <v>3544</v>
      </c>
      <c r="DL71" s="33">
        <f>ROUND(坦克等级成长!$H168*VLOOKUP($CT$2,坦克等级成长!$B$36:$G$42,MATCH(DL$3,坦克等级成长!$B$35:$G$35,0)),0)</f>
        <v>805</v>
      </c>
      <c r="DM71" s="33">
        <f>ROUND(坦克等级成长!$H168*VLOOKUP($CT$2,坦克等级成长!$B$36:$G$42,MATCH(DM$3,坦克等级成长!$B$35:$G$35,0)),0)</f>
        <v>1582</v>
      </c>
      <c r="DN71" s="33">
        <f t="shared" si="25"/>
        <v>1582</v>
      </c>
      <c r="DO71" s="33">
        <v>1270</v>
      </c>
      <c r="DP71" s="33">
        <f>ROUND(坦克等级成长!$H168*VLOOKUP($CT$2,坦克等级成长!$B$36:$G$42,MATCH(DP$3,坦克等级成长!$B$35:$G$35,0)),0)</f>
        <v>1329</v>
      </c>
      <c r="DQ71" s="33">
        <f>ROUND(坦克等级成长!$H168*VLOOKUP($CT$2,坦克等级成长!$B$36:$G$42,MATCH(DQ$3,坦克等级成长!$B$35:$G$35,0)),0)</f>
        <v>354</v>
      </c>
      <c r="DR71" s="192"/>
      <c r="DS71" s="188"/>
      <c r="DT71" s="188"/>
      <c r="DU71" s="188"/>
      <c r="DV71" s="188"/>
      <c r="DW71" s="188"/>
      <c r="DX71" s="188"/>
      <c r="DY71" s="199"/>
      <c r="DZ71" s="198">
        <v>18</v>
      </c>
      <c r="EA71" s="33">
        <f>ROUND(坦克等级成长!$F168*VLOOKUP($DR$2,坦克等级成长!$B$36:$G$42,MATCH(EA$3,坦克等级成长!$B$35:$G$35,0)),0)</f>
        <v>3950</v>
      </c>
      <c r="EB71" s="33">
        <f>ROUND(坦克等级成长!$F168*VLOOKUP($DR$2,坦克等级成长!$B$36:$G$42,MATCH(EB$3,坦克等级成长!$B$35:$G$35,0)),0)</f>
        <v>1348</v>
      </c>
      <c r="EC71" s="33">
        <f>ROUND(坦克等级成长!$F168*VLOOKUP($DR$2,坦克等级成长!$B$36:$G$42,MATCH(EC$3,坦克等级成长!$B$35:$G$35,0)),0)</f>
        <v>1240</v>
      </c>
      <c r="ED71" s="33">
        <f t="shared" si="12"/>
        <v>1240</v>
      </c>
      <c r="EE71" s="33">
        <v>1083</v>
      </c>
      <c r="EF71" s="33">
        <f>ROUND(坦克等级成长!$F168*VLOOKUP($DR$2,坦克等级成长!$B$36:$G$42,MATCH(EF$3,坦克等级成长!$B$35:$G$35,0)),0)</f>
        <v>1823</v>
      </c>
      <c r="EG71" s="33">
        <f>ROUND(坦克等级成长!$F168*VLOOKUP($DR$2,坦克等级成长!$B$36:$G$42,MATCH(EG$3,坦克等级成长!$B$35:$G$35,0)),0)</f>
        <v>395</v>
      </c>
      <c r="EH71" s="191">
        <v>18</v>
      </c>
      <c r="EI71" s="33">
        <f>ROUND(坦克等级成长!$H168*VLOOKUP($DR$2,坦克等级成长!$B$36:$G$42,MATCH(EI$3,坦克等级成长!$B$35:$G$35,0)),0)</f>
        <v>4032</v>
      </c>
      <c r="EJ71" s="33">
        <f>ROUND(坦克等级成长!$H168*VLOOKUP($DR$2,坦克等级成长!$B$36:$G$42,MATCH(EJ$3,坦克等级成长!$B$35:$G$35,0)),0)</f>
        <v>1376</v>
      </c>
      <c r="EK71" s="33">
        <f>ROUND(坦克等级成长!$H168*VLOOKUP($DR$2,坦克等级成长!$B$36:$G$42,MATCH(EK$3,坦克等级成长!$B$35:$G$35,0)),0)</f>
        <v>1266</v>
      </c>
      <c r="EL71" s="33">
        <f t="shared" si="26"/>
        <v>1266</v>
      </c>
      <c r="EM71" s="33">
        <v>1083</v>
      </c>
      <c r="EN71" s="33">
        <f>ROUND(坦克等级成长!$H168*VLOOKUP($DR$2,坦克等级成长!$B$36:$G$42,MATCH(EN$3,坦克等级成长!$B$35:$G$35,0)),0)</f>
        <v>1861</v>
      </c>
      <c r="EO71" s="33">
        <f>ROUND(坦克等级成长!$H168*VLOOKUP($DR$2,坦克等级成长!$B$36:$G$42,MATCH(EO$3,坦克等级成长!$B$35:$G$35,0)),0)</f>
        <v>403</v>
      </c>
      <c r="EP71" s="192"/>
      <c r="EQ71" s="188"/>
      <c r="ER71" s="188"/>
      <c r="ES71" s="188"/>
      <c r="ET71" s="188"/>
      <c r="EU71" s="188"/>
      <c r="EV71" s="188"/>
      <c r="EW71" s="199"/>
      <c r="EX71" s="198">
        <v>18</v>
      </c>
      <c r="EY71" s="33">
        <f>ROUND(坦克等级成长!$F168*VLOOKUP($EP$2,坦克等级成长!$B$36:$G$42,MATCH(EY$3,坦克等级成长!$B$35:$G$35,0)),0)</f>
        <v>3658</v>
      </c>
      <c r="EZ71" s="33">
        <f>ROUND(坦克等级成长!$F168*VLOOKUP($EP$2,坦克等级成长!$B$36:$G$42,MATCH(EZ$3,坦克等级成长!$B$35:$G$35,0)),0)</f>
        <v>419</v>
      </c>
      <c r="FA71" s="33">
        <f>ROUND(坦克等级成长!$F168*VLOOKUP($EP$2,坦克等级成长!$B$36:$G$42,MATCH(FA$3,坦克等级成长!$B$35:$G$35,0)),0)</f>
        <v>1426</v>
      </c>
      <c r="FB71" s="33">
        <f t="shared" si="13"/>
        <v>1426</v>
      </c>
      <c r="FC71" s="33">
        <v>1168</v>
      </c>
      <c r="FD71" s="33">
        <f>ROUND(坦克等级成长!$F168*VLOOKUP($EP$2,坦克等级成长!$B$36:$G$42,MATCH(FD$3,坦克等级成长!$B$35:$G$35,0)),0)</f>
        <v>1562</v>
      </c>
      <c r="FE71" s="33">
        <f>ROUND(坦克等级成长!$F168*VLOOKUP($EP$2,坦克等级成长!$B$36:$G$42,MATCH(FE$3,坦克等级成长!$B$35:$G$35,0)),0)</f>
        <v>366</v>
      </c>
      <c r="FF71" s="191">
        <v>18</v>
      </c>
      <c r="FG71" s="33">
        <f>ROUND(坦克等级成长!$H168*VLOOKUP($EP$2,坦克等级成长!$B$36:$G$42,MATCH(FG$3,坦克等级成长!$B$35:$G$35,0)),0)</f>
        <v>3734</v>
      </c>
      <c r="FH71" s="33">
        <f>ROUND(坦克等级成长!$H168*VLOOKUP($EP$2,坦克等级成长!$B$36:$G$42,MATCH(FH$3,坦克等级成长!$B$35:$G$35,0)),0)</f>
        <v>428</v>
      </c>
      <c r="FI71" s="33">
        <f>ROUND(坦克等级成长!$H168*VLOOKUP($EP$2,坦克等级成长!$B$36:$G$42,MATCH(FI$3,坦克等级成长!$B$35:$G$35,0)),0)</f>
        <v>1456</v>
      </c>
      <c r="FJ71" s="33">
        <f t="shared" si="27"/>
        <v>1456</v>
      </c>
      <c r="FK71" s="33">
        <v>1168</v>
      </c>
      <c r="FL71" s="33">
        <f>ROUND(坦克等级成长!$H168*VLOOKUP($EP$2,坦克等级成长!$B$36:$G$42,MATCH(FL$3,坦克等级成长!$B$35:$G$35,0)),0)</f>
        <v>1595</v>
      </c>
      <c r="FM71" s="33">
        <f>ROUND(坦克等级成长!$H168*VLOOKUP($EP$2,坦克等级成长!$B$36:$G$42,MATCH(FM$3,坦克等级成长!$B$35:$G$35,0)),0)</f>
        <v>373</v>
      </c>
    </row>
    <row r="72" spans="1:169" ht="14.25" x14ac:dyDescent="0.3">
      <c r="A72" s="188">
        <v>5</v>
      </c>
      <c r="B72" s="192"/>
      <c r="C72" s="188"/>
      <c r="D72" s="188"/>
      <c r="E72" s="188"/>
      <c r="F72" s="188"/>
      <c r="G72" s="188"/>
      <c r="H72" s="188"/>
      <c r="I72" s="199"/>
      <c r="J72" s="198">
        <v>19</v>
      </c>
      <c r="K72" s="33">
        <f>ROUND(坦克等级成长!$F169*VLOOKUP($B$2,坦克等级成长!$B$36:$G$42,MATCH(K$3,坦克等级成长!$B$35:$G$35,0)),0)</f>
        <v>3568</v>
      </c>
      <c r="L72" s="33">
        <f>ROUND(坦克等级成长!$F169*VLOOKUP($B$2,坦克等级成长!$B$36:$G$42,MATCH(L$3,坦克等级成长!$B$35:$G$35,0)),0)</f>
        <v>388</v>
      </c>
      <c r="M72" s="33">
        <f>ROUND(坦克等级成长!$F169*VLOOKUP($B$2,坦克等级成长!$B$36:$G$42,MATCH(M$3,坦克等级成长!$B$35:$G$35,0)),0)</f>
        <v>1338</v>
      </c>
      <c r="N72" s="33">
        <f t="shared" si="7"/>
        <v>1338</v>
      </c>
      <c r="O72" s="33">
        <v>1025</v>
      </c>
      <c r="P72" s="33">
        <f>ROUND(坦克等级成长!$F169*VLOOKUP($B$2,坦克等级成长!$B$36:$G$42,MATCH(P$3,坦克等级成长!$B$35:$G$35,0)),0)</f>
        <v>1338</v>
      </c>
      <c r="Q72" s="33">
        <f>ROUND(坦克等级成长!$F169*VLOOKUP($B$2,坦克等级成长!$B$36:$G$42,MATCH(Q$3,坦克等级成长!$B$35:$G$35,0)),0)</f>
        <v>357</v>
      </c>
      <c r="R72" s="191">
        <v>19</v>
      </c>
      <c r="S72" s="33">
        <f>ROUND(坦克等级成长!$H169*VLOOKUP($B$2,坦克等级成长!$B$36:$G$42,MATCH(S$3,坦克等级成长!$B$35:$G$35,0)),0)</f>
        <v>3648</v>
      </c>
      <c r="T72" s="33">
        <f>ROUND(坦克等级成长!$H169*VLOOKUP($B$2,坦克等级成长!$B$36:$G$42,MATCH(T$3,坦克等级成长!$B$35:$G$35,0)),0)</f>
        <v>397</v>
      </c>
      <c r="U72" s="33">
        <f>ROUND(坦克等级成长!$H169*VLOOKUP($B$2,坦克等级成长!$B$36:$G$42,MATCH(U$3,坦克等级成长!$B$35:$G$35,0)),0)</f>
        <v>1368</v>
      </c>
      <c r="V72" s="33">
        <f t="shared" si="21"/>
        <v>1368</v>
      </c>
      <c r="W72" s="33">
        <v>1025</v>
      </c>
      <c r="X72" s="33">
        <f>ROUND(坦克等级成长!$H169*VLOOKUP($B$2,坦克等级成长!$B$36:$G$42,MATCH(X$3,坦克等级成长!$B$35:$G$35,0)),0)</f>
        <v>1368</v>
      </c>
      <c r="Y72" s="33">
        <f>ROUND(坦克等级成长!$H169*VLOOKUP($B$2,坦克等级成长!$B$36:$G$42,MATCH(Y$3,坦克等级成长!$B$35:$G$35,0)),0)</f>
        <v>365</v>
      </c>
      <c r="Z72" s="192"/>
      <c r="AA72" s="188"/>
      <c r="AB72" s="188"/>
      <c r="AC72" s="188"/>
      <c r="AD72" s="188"/>
      <c r="AE72" s="188"/>
      <c r="AF72" s="188"/>
      <c r="AG72" s="199"/>
      <c r="AH72" s="198">
        <v>19</v>
      </c>
      <c r="AI72" s="33">
        <f>ROUND(坦克等级成长!$F169*VLOOKUP($Z$2,坦克等级成长!$B$36:$G$42,MATCH(AI$3,坦克等级成长!$B$35:$G$35,0)),0)</f>
        <v>3568</v>
      </c>
      <c r="AJ72" s="33">
        <f>ROUND(坦克等级成长!$F169*VLOOKUP($Z$2,坦克等级成长!$B$36:$G$42,MATCH(AJ$3,坦克等级成长!$B$35:$G$35,0)),0)</f>
        <v>210</v>
      </c>
      <c r="AK72" s="33">
        <f>ROUND(坦克等级成长!$F169*VLOOKUP($Z$2,坦克等级成长!$B$36:$G$42,MATCH(AK$3,坦克等级成长!$B$35:$G$35,0)),0)</f>
        <v>1465</v>
      </c>
      <c r="AL72" s="33">
        <f t="shared" si="8"/>
        <v>1465</v>
      </c>
      <c r="AM72" s="33">
        <v>1122</v>
      </c>
      <c r="AN72" s="33">
        <f>ROUND(坦克等级成长!$F169*VLOOKUP($Z$2,坦克等级成长!$B$36:$G$42,MATCH(AN$3,坦克等级成长!$B$35:$G$35,0)),0)</f>
        <v>1338</v>
      </c>
      <c r="AO72" s="33">
        <f>ROUND(坦克等级成长!$F169*VLOOKUP($Z$2,坦克等级成长!$B$36:$G$42,MATCH(AO$3,坦克等级成长!$B$35:$G$35,0)),0)</f>
        <v>357</v>
      </c>
      <c r="AP72" s="191">
        <v>19</v>
      </c>
      <c r="AQ72" s="33">
        <f>ROUND(坦克等级成长!$H169*VLOOKUP($Z$2,坦克等级成长!$B$36:$G$42,MATCH(AQ$3,坦克等级成长!$B$35:$G$35,0)),0)</f>
        <v>3648</v>
      </c>
      <c r="AR72" s="33">
        <f>ROUND(坦克等级成长!$H169*VLOOKUP($Z$2,坦克等级成长!$B$36:$G$42,MATCH(AR$3,坦克等级成长!$B$35:$G$35,0)),0)</f>
        <v>215</v>
      </c>
      <c r="AS72" s="33">
        <f>ROUND(坦克等级成长!$H169*VLOOKUP($Z$2,坦克等级成长!$B$36:$G$42,MATCH(AS$3,坦克等级成长!$B$35:$G$35,0)),0)</f>
        <v>1498</v>
      </c>
      <c r="AT72" s="33">
        <f t="shared" si="22"/>
        <v>1498</v>
      </c>
      <c r="AU72" s="33">
        <v>1122</v>
      </c>
      <c r="AV72" s="33">
        <f>ROUND(坦克等级成长!$H169*VLOOKUP($Z$2,坦克等级成长!$B$36:$G$42,MATCH(AV$3,坦克等级成长!$B$35:$G$35,0)),0)</f>
        <v>1368</v>
      </c>
      <c r="AW72" s="33">
        <f>ROUND(坦克等级成长!$H169*VLOOKUP($Z$2,坦克等级成长!$B$36:$G$42,MATCH(AW$3,坦克等级成长!$B$35:$G$35,0)),0)</f>
        <v>365</v>
      </c>
      <c r="AX72" s="192"/>
      <c r="AY72" s="188"/>
      <c r="AZ72" s="188"/>
      <c r="BA72" s="188"/>
      <c r="BB72" s="188"/>
      <c r="BC72" s="188"/>
      <c r="BD72" s="188"/>
      <c r="BE72" s="199"/>
      <c r="BF72" s="198">
        <v>19</v>
      </c>
      <c r="BG72" s="33">
        <f>ROUND(坦克等级成长!$F169*VLOOKUP($AX$2,坦克等级成长!$B$36:$G$42,MATCH(BG$3,坦克等级成长!$B$35:$G$35,0)),0)</f>
        <v>3568</v>
      </c>
      <c r="BH72" s="33">
        <f>ROUND(坦克等级成长!$F169*VLOOKUP($AX$2,坦克等级成长!$B$36:$G$42,MATCH(BH$3,坦克等级成长!$B$35:$G$35,0)),0)</f>
        <v>388</v>
      </c>
      <c r="BI72" s="33">
        <f>ROUND(坦克等级成长!$F169*VLOOKUP($AX$2,坦克等级成长!$B$36:$G$42,MATCH(BI$3,坦克等级成长!$B$35:$G$35,0)),0)</f>
        <v>1338</v>
      </c>
      <c r="BJ72" s="33">
        <f t="shared" si="9"/>
        <v>1338</v>
      </c>
      <c r="BK72" s="33">
        <v>1025</v>
      </c>
      <c r="BL72" s="33">
        <f>ROUND(坦克等级成长!$F169*VLOOKUP($AX$2,坦克等级成长!$B$36:$G$42,MATCH(BL$3,坦克等级成长!$B$35:$G$35,0)),0)</f>
        <v>1338</v>
      </c>
      <c r="BM72" s="33">
        <f>ROUND(坦克等级成长!$F169*VLOOKUP($AX$2,坦克等级成长!$B$36:$G$42,MATCH(BM$3,坦克等级成长!$B$35:$G$35,0)),0)</f>
        <v>357</v>
      </c>
      <c r="BN72" s="191">
        <v>19</v>
      </c>
      <c r="BO72" s="33">
        <f>ROUND(坦克等级成长!$H169*VLOOKUP($AX$2,坦克等级成长!$B$36:$G$42,MATCH(BO$3,坦克等级成长!$B$35:$G$35,0)),0)</f>
        <v>3648</v>
      </c>
      <c r="BP72" s="33">
        <f>ROUND(坦克等级成长!$H169*VLOOKUP($AX$2,坦克等级成长!$B$36:$G$42,MATCH(BP$3,坦克等级成长!$B$35:$G$35,0)),0)</f>
        <v>397</v>
      </c>
      <c r="BQ72" s="33">
        <f>ROUND(坦克等级成长!$H169*VLOOKUP($AX$2,坦克等级成长!$B$36:$G$42,MATCH(BQ$3,坦克等级成长!$B$35:$G$35,0)),0)</f>
        <v>1368</v>
      </c>
      <c r="BR72" s="33">
        <f t="shared" si="23"/>
        <v>1368</v>
      </c>
      <c r="BS72" s="33">
        <v>1025</v>
      </c>
      <c r="BT72" s="33">
        <f>ROUND(坦克等级成长!$H169*VLOOKUP($AX$2,坦克等级成长!$B$36:$G$42,MATCH(BT$3,坦克等级成长!$B$35:$G$35,0)),0)</f>
        <v>1368</v>
      </c>
      <c r="BU72" s="33">
        <f>ROUND(坦克等级成长!$H169*VLOOKUP($AX$2,坦克等级成长!$B$36:$G$42,MATCH(BU$3,坦克等级成长!$B$35:$G$35,0)),0)</f>
        <v>365</v>
      </c>
      <c r="BV72" s="192"/>
      <c r="BW72" s="188"/>
      <c r="BX72" s="188"/>
      <c r="BY72" s="188"/>
      <c r="BZ72" s="188"/>
      <c r="CA72" s="188"/>
      <c r="CB72" s="188"/>
      <c r="CC72" s="199"/>
      <c r="CD72" s="198">
        <v>19</v>
      </c>
      <c r="CE72" s="33">
        <f>ROUND(坦克等级成长!$F169*VLOOKUP($BV$2,坦克等级成长!$B$36:$G$42,MATCH(CE$3,坦克等级成长!$B$35:$G$35,0)),0)</f>
        <v>3760</v>
      </c>
      <c r="CF72" s="33">
        <f>ROUND(坦克等级成长!$F169*VLOOKUP($BV$2,坦克等级成长!$B$36:$G$42,MATCH(CF$3,坦克等级成长!$B$35:$G$35,0)),0)</f>
        <v>354</v>
      </c>
      <c r="CG72" s="33">
        <f>ROUND(坦克等级成长!$F169*VLOOKUP($BV$2,坦克等级成长!$B$36:$G$42,MATCH(CG$3,坦克等级成长!$B$35:$G$35,0)),0)</f>
        <v>1274</v>
      </c>
      <c r="CH72" s="33">
        <f t="shared" si="10"/>
        <v>1274</v>
      </c>
      <c r="CI72" s="33">
        <v>1046</v>
      </c>
      <c r="CJ72" s="33">
        <f>ROUND(坦克等级成长!$F169*VLOOKUP($BV$2,坦克等级成长!$B$36:$G$42,MATCH(CJ$3,坦克等级成长!$B$35:$G$35,0)),0)</f>
        <v>1606</v>
      </c>
      <c r="CK72" s="33">
        <f>ROUND(坦克等级成长!$F169*VLOOKUP($BV$2,坦克等级成长!$B$36:$G$42,MATCH(CK$3,坦克等级成长!$B$35:$G$35,0)),0)</f>
        <v>376</v>
      </c>
      <c r="CL72" s="191">
        <v>19</v>
      </c>
      <c r="CM72" s="33">
        <f>ROUND(坦克等级成长!$H169*VLOOKUP($BV$2,坦克等级成长!$B$36:$G$42,MATCH(CM$3,坦克等级成长!$B$35:$G$35,0)),0)</f>
        <v>3844</v>
      </c>
      <c r="CN72" s="33">
        <f>ROUND(坦克等级成长!$H169*VLOOKUP($BV$2,坦克等级成长!$B$36:$G$42,MATCH(CN$3,坦克等级成长!$B$35:$G$35,0)),0)</f>
        <v>362</v>
      </c>
      <c r="CO72" s="33">
        <f>ROUND(坦克等级成长!$H169*VLOOKUP($BV$2,坦克等级成长!$B$36:$G$42,MATCH(CO$3,坦克等级成长!$B$35:$G$35,0)),0)</f>
        <v>1303</v>
      </c>
      <c r="CP72" s="33">
        <f t="shared" si="24"/>
        <v>1303</v>
      </c>
      <c r="CQ72" s="33">
        <v>1046</v>
      </c>
      <c r="CR72" s="33">
        <f>ROUND(坦克等级成长!$H169*VLOOKUP($BV$2,坦克等级成长!$B$36:$G$42,MATCH(CR$3,坦克等级成长!$B$35:$G$35,0)),0)</f>
        <v>1642</v>
      </c>
      <c r="CS72" s="33">
        <f>ROUND(坦克等级成长!$H169*VLOOKUP($BV$2,坦克等级成长!$B$36:$G$42,MATCH(CS$3,坦克等级成长!$B$35:$G$35,0)),0)</f>
        <v>384</v>
      </c>
      <c r="CT72" s="192"/>
      <c r="CU72" s="188"/>
      <c r="CV72" s="188"/>
      <c r="CW72" s="188"/>
      <c r="CX72" s="188"/>
      <c r="CY72" s="188"/>
      <c r="CZ72" s="188"/>
      <c r="DA72" s="199"/>
      <c r="DB72" s="198">
        <v>19</v>
      </c>
      <c r="DC72" s="33">
        <f>ROUND(坦克等级成长!$F169*VLOOKUP($CT$2,坦克等级成长!$B$36:$G$42,MATCH(DC$3,坦克等级成长!$B$35:$G$35,0)),0)</f>
        <v>3568</v>
      </c>
      <c r="DD72" s="33">
        <f>ROUND(坦克等级成长!$F169*VLOOKUP($CT$2,坦克等级成长!$B$36:$G$42,MATCH(DD$3,坦克等级成长!$B$35:$G$35,0)),0)</f>
        <v>810</v>
      </c>
      <c r="DE72" s="33">
        <f>ROUND(坦克等级成长!$F169*VLOOKUP($CT$2,坦克等级成长!$B$36:$G$42,MATCH(DE$3,坦克等级成长!$B$35:$G$35,0)),0)</f>
        <v>1593</v>
      </c>
      <c r="DF72" s="33">
        <f t="shared" si="11"/>
        <v>1593</v>
      </c>
      <c r="DG72" s="33">
        <v>1307</v>
      </c>
      <c r="DH72" s="33">
        <f>ROUND(坦克等级成长!$F169*VLOOKUP($CT$2,坦克等级成长!$B$36:$G$42,MATCH(DH$3,坦克等级成长!$B$35:$G$35,0)),0)</f>
        <v>1338</v>
      </c>
      <c r="DI72" s="33">
        <f>ROUND(坦克等级成长!$F169*VLOOKUP($CT$2,坦克等级成长!$B$36:$G$42,MATCH(DI$3,坦克等级成长!$B$35:$G$35,0)),0)</f>
        <v>357</v>
      </c>
      <c r="DJ72" s="191">
        <v>19</v>
      </c>
      <c r="DK72" s="33">
        <f>ROUND(坦克等级成长!$H169*VLOOKUP($CT$2,坦克等级成长!$B$36:$G$42,MATCH(DK$3,坦克等级成长!$B$35:$G$35,0)),0)</f>
        <v>3648</v>
      </c>
      <c r="DL72" s="33">
        <f>ROUND(坦克等级成长!$H169*VLOOKUP($CT$2,坦克等级成长!$B$36:$G$42,MATCH(DL$3,坦克等级成长!$B$35:$G$35,0)),0)</f>
        <v>829</v>
      </c>
      <c r="DM72" s="33">
        <f>ROUND(坦克等级成长!$H169*VLOOKUP($CT$2,坦克等级成长!$B$36:$G$42,MATCH(DM$3,坦克等级成长!$B$35:$G$35,0)),0)</f>
        <v>1629</v>
      </c>
      <c r="DN72" s="33">
        <f t="shared" si="25"/>
        <v>1629</v>
      </c>
      <c r="DO72" s="33">
        <v>1307</v>
      </c>
      <c r="DP72" s="33">
        <f>ROUND(坦克等级成长!$H169*VLOOKUP($CT$2,坦克等级成长!$B$36:$G$42,MATCH(DP$3,坦克等级成长!$B$35:$G$35,0)),0)</f>
        <v>1368</v>
      </c>
      <c r="DQ72" s="33">
        <f>ROUND(坦克等级成长!$H169*VLOOKUP($CT$2,坦克等级成长!$B$36:$G$42,MATCH(DQ$3,坦克等级成长!$B$35:$G$35,0)),0)</f>
        <v>365</v>
      </c>
      <c r="DR72" s="192"/>
      <c r="DS72" s="188"/>
      <c r="DT72" s="188"/>
      <c r="DU72" s="188"/>
      <c r="DV72" s="188"/>
      <c r="DW72" s="188"/>
      <c r="DX72" s="188"/>
      <c r="DY72" s="199"/>
      <c r="DZ72" s="198">
        <v>19</v>
      </c>
      <c r="EA72" s="33">
        <f>ROUND(坦克等级成长!$F169*VLOOKUP($DR$2,坦克等级成长!$B$36:$G$42,MATCH(EA$3,坦克等级成长!$B$35:$G$35,0)),0)</f>
        <v>4059</v>
      </c>
      <c r="EB72" s="33">
        <f>ROUND(坦克等级成长!$F169*VLOOKUP($DR$2,坦克等级成长!$B$36:$G$42,MATCH(EB$3,坦克等级成长!$B$35:$G$35,0)),0)</f>
        <v>1385</v>
      </c>
      <c r="EC72" s="33">
        <f>ROUND(坦克等级成长!$F169*VLOOKUP($DR$2,坦克等级成长!$B$36:$G$42,MATCH(EC$3,坦克等级成长!$B$35:$G$35,0)),0)</f>
        <v>1274</v>
      </c>
      <c r="ED72" s="33">
        <f t="shared" si="12"/>
        <v>1274</v>
      </c>
      <c r="EE72" s="33">
        <v>1115</v>
      </c>
      <c r="EF72" s="33">
        <f>ROUND(坦克等级成长!$F169*VLOOKUP($DR$2,坦克等级成长!$B$36:$G$42,MATCH(EF$3,坦克等级成长!$B$35:$G$35,0)),0)</f>
        <v>1873</v>
      </c>
      <c r="EG72" s="33">
        <f>ROUND(坦克等级成长!$F169*VLOOKUP($DR$2,坦克等级成长!$B$36:$G$42,MATCH(EG$3,坦克等级成长!$B$35:$G$35,0)),0)</f>
        <v>406</v>
      </c>
      <c r="EH72" s="191">
        <v>19</v>
      </c>
      <c r="EI72" s="33">
        <f>ROUND(坦克等级成长!$H169*VLOOKUP($DR$2,坦克等级成长!$B$36:$G$42,MATCH(EI$3,坦克等级成长!$B$35:$G$35,0)),0)</f>
        <v>4150</v>
      </c>
      <c r="EJ72" s="33">
        <f>ROUND(坦克等级成长!$H169*VLOOKUP($DR$2,坦克等级成长!$B$36:$G$42,MATCH(EJ$3,坦克等级成长!$B$35:$G$35,0)),0)</f>
        <v>1416</v>
      </c>
      <c r="EK72" s="33">
        <f>ROUND(坦克等级成长!$H169*VLOOKUP($DR$2,坦克等级成长!$B$36:$G$42,MATCH(EK$3,坦克等级成长!$B$35:$G$35,0)),0)</f>
        <v>1303</v>
      </c>
      <c r="EL72" s="33">
        <f t="shared" si="26"/>
        <v>1303</v>
      </c>
      <c r="EM72" s="33">
        <v>1115</v>
      </c>
      <c r="EN72" s="33">
        <f>ROUND(坦克等级成长!$H169*VLOOKUP($DR$2,坦克等级成长!$B$36:$G$42,MATCH(EN$3,坦克等级成长!$B$35:$G$35,0)),0)</f>
        <v>1915</v>
      </c>
      <c r="EO72" s="33">
        <f>ROUND(坦克等级成长!$H169*VLOOKUP($DR$2,坦克等级成长!$B$36:$G$42,MATCH(EO$3,坦克等级成长!$B$35:$G$35,0)),0)</f>
        <v>415</v>
      </c>
      <c r="EP72" s="192"/>
      <c r="EQ72" s="188"/>
      <c r="ER72" s="188"/>
      <c r="ES72" s="188"/>
      <c r="ET72" s="188"/>
      <c r="EU72" s="188"/>
      <c r="EV72" s="188"/>
      <c r="EW72" s="199"/>
      <c r="EX72" s="198">
        <v>19</v>
      </c>
      <c r="EY72" s="33">
        <f>ROUND(坦克等级成长!$F169*VLOOKUP($EP$2,坦克等级成长!$B$36:$G$42,MATCH(EY$3,坦克等级成长!$B$35:$G$35,0)),0)</f>
        <v>3760</v>
      </c>
      <c r="EZ72" s="33">
        <f>ROUND(坦克等级成长!$F169*VLOOKUP($EP$2,坦克等级成长!$B$36:$G$42,MATCH(EZ$3,坦克等级成长!$B$35:$G$35,0)),0)</f>
        <v>431</v>
      </c>
      <c r="FA72" s="33">
        <f>ROUND(坦克等级成长!$F169*VLOOKUP($EP$2,坦克等级成长!$B$36:$G$42,MATCH(FA$3,坦克等级成长!$B$35:$G$35,0)),0)</f>
        <v>1465</v>
      </c>
      <c r="FB72" s="33">
        <f t="shared" si="13"/>
        <v>1465</v>
      </c>
      <c r="FC72" s="33">
        <v>1202</v>
      </c>
      <c r="FD72" s="33">
        <f>ROUND(坦克等级成长!$F169*VLOOKUP($EP$2,坦克等级成长!$B$36:$G$42,MATCH(FD$3,坦克等级成长!$B$35:$G$35,0)),0)</f>
        <v>1606</v>
      </c>
      <c r="FE72" s="33">
        <f>ROUND(坦克等级成长!$F169*VLOOKUP($EP$2,坦克等级成长!$B$36:$G$42,MATCH(FE$3,坦克等级成长!$B$35:$G$35,0)),0)</f>
        <v>376</v>
      </c>
      <c r="FF72" s="191">
        <v>19</v>
      </c>
      <c r="FG72" s="33">
        <f>ROUND(坦克等级成长!$H169*VLOOKUP($EP$2,坦克等级成长!$B$36:$G$42,MATCH(FG$3,坦克等级成长!$B$35:$G$35,0)),0)</f>
        <v>3844</v>
      </c>
      <c r="FH72" s="33">
        <f>ROUND(坦克等级成长!$H169*VLOOKUP($EP$2,坦克等级成长!$B$36:$G$42,MATCH(FH$3,坦克等级成长!$B$35:$G$35,0)),0)</f>
        <v>440</v>
      </c>
      <c r="FI72" s="33">
        <f>ROUND(坦克等级成长!$H169*VLOOKUP($EP$2,坦克等级成长!$B$36:$G$42,MATCH(FI$3,坦克等级成长!$B$35:$G$35,0)),0)</f>
        <v>1498</v>
      </c>
      <c r="FJ72" s="33">
        <f t="shared" si="27"/>
        <v>1498</v>
      </c>
      <c r="FK72" s="33">
        <v>1202</v>
      </c>
      <c r="FL72" s="33">
        <f>ROUND(坦克等级成长!$H169*VLOOKUP($EP$2,坦克等级成长!$B$36:$G$42,MATCH(FL$3,坦克等级成长!$B$35:$G$35,0)),0)</f>
        <v>1642</v>
      </c>
      <c r="FM72" s="33">
        <f>ROUND(坦克等级成长!$H169*VLOOKUP($EP$2,坦克等级成长!$B$36:$G$42,MATCH(FM$3,坦克等级成长!$B$35:$G$35,0)),0)</f>
        <v>384</v>
      </c>
    </row>
    <row r="73" spans="1:169" ht="14.25" x14ac:dyDescent="0.3">
      <c r="A73" s="188">
        <v>5</v>
      </c>
      <c r="B73" s="192"/>
      <c r="C73" s="188"/>
      <c r="D73" s="188"/>
      <c r="E73" s="188"/>
      <c r="F73" s="188"/>
      <c r="G73" s="188"/>
      <c r="H73" s="188"/>
      <c r="I73" s="199"/>
      <c r="J73" s="198">
        <v>20</v>
      </c>
      <c r="K73" s="33">
        <f>ROUND(坦克等级成长!$F170*VLOOKUP($B$2,坦克等级成长!$B$36:$G$42,MATCH(K$3,坦克等级成长!$B$35:$G$35,0)),0)</f>
        <v>3664</v>
      </c>
      <c r="L73" s="33">
        <f>ROUND(坦克等级成长!$F170*VLOOKUP($B$2,坦克等级成长!$B$36:$G$42,MATCH(L$3,坦克等级成长!$B$35:$G$35,0)),0)</f>
        <v>399</v>
      </c>
      <c r="M73" s="33">
        <f>ROUND(坦克等级成长!$F170*VLOOKUP($B$2,坦克等级成长!$B$36:$G$42,MATCH(M$3,坦克等级成长!$B$35:$G$35,0)),0)</f>
        <v>1374</v>
      </c>
      <c r="N73" s="33">
        <f t="shared" si="7"/>
        <v>1374</v>
      </c>
      <c r="O73" s="33">
        <v>1054</v>
      </c>
      <c r="P73" s="33">
        <f>ROUND(坦克等级成长!$F170*VLOOKUP($B$2,坦克等级成长!$B$36:$G$42,MATCH(P$3,坦克等级成长!$B$35:$G$35,0)),0)</f>
        <v>1374</v>
      </c>
      <c r="Q73" s="33">
        <f>ROUND(坦克等级成长!$F170*VLOOKUP($B$2,坦克等级成长!$B$36:$G$42,MATCH(Q$3,坦克等级成长!$B$35:$G$35,0)),0)</f>
        <v>366</v>
      </c>
      <c r="R73" s="191">
        <v>20</v>
      </c>
      <c r="S73" s="33">
        <f>ROUND(坦克等级成长!$H170*VLOOKUP($B$2,坦克等级成长!$B$36:$G$42,MATCH(S$3,坦克等级成长!$B$35:$G$35,0)),0)</f>
        <v>3752</v>
      </c>
      <c r="T73" s="33">
        <f>ROUND(坦克等级成长!$H170*VLOOKUP($B$2,坦克等级成长!$B$36:$G$42,MATCH(T$3,坦克等级成长!$B$35:$G$35,0)),0)</f>
        <v>408</v>
      </c>
      <c r="U73" s="33">
        <f>ROUND(坦克等级成长!$H170*VLOOKUP($B$2,坦克等级成长!$B$36:$G$42,MATCH(U$3,坦克等级成长!$B$35:$G$35,0)),0)</f>
        <v>1407</v>
      </c>
      <c r="V73" s="33">
        <f t="shared" si="21"/>
        <v>1407</v>
      </c>
      <c r="W73" s="33">
        <v>1054</v>
      </c>
      <c r="X73" s="33">
        <f>ROUND(坦克等级成长!$H170*VLOOKUP($B$2,坦克等级成长!$B$36:$G$42,MATCH(X$3,坦克等级成长!$B$35:$G$35,0)),0)</f>
        <v>1407</v>
      </c>
      <c r="Y73" s="33">
        <f>ROUND(坦克等级成长!$H170*VLOOKUP($B$2,坦克等级成长!$B$36:$G$42,MATCH(Y$3,坦克等级成长!$B$35:$G$35,0)),0)</f>
        <v>375</v>
      </c>
      <c r="Z73" s="192"/>
      <c r="AA73" s="188"/>
      <c r="AB73" s="188"/>
      <c r="AC73" s="188"/>
      <c r="AD73" s="188"/>
      <c r="AE73" s="188"/>
      <c r="AF73" s="188"/>
      <c r="AG73" s="199"/>
      <c r="AH73" s="198">
        <v>20</v>
      </c>
      <c r="AI73" s="33">
        <f>ROUND(坦克等级成长!$F170*VLOOKUP($Z$2,坦克等级成长!$B$36:$G$42,MATCH(AI$3,坦克等级成长!$B$35:$G$35,0)),0)</f>
        <v>3664</v>
      </c>
      <c r="AJ73" s="33">
        <f>ROUND(坦克等级成长!$F170*VLOOKUP($Z$2,坦克等级成长!$B$36:$G$42,MATCH(AJ$3,坦克等级成长!$B$35:$G$35,0)),0)</f>
        <v>216</v>
      </c>
      <c r="AK73" s="33">
        <f>ROUND(坦克等级成长!$F170*VLOOKUP($Z$2,坦克等级成长!$B$36:$G$42,MATCH(AK$3,坦克等级成长!$B$35:$G$35,0)),0)</f>
        <v>1505</v>
      </c>
      <c r="AL73" s="33">
        <f t="shared" si="8"/>
        <v>1505</v>
      </c>
      <c r="AM73" s="33">
        <v>1154</v>
      </c>
      <c r="AN73" s="33">
        <f>ROUND(坦克等级成长!$F170*VLOOKUP($Z$2,坦克等级成长!$B$36:$G$42,MATCH(AN$3,坦克等级成长!$B$35:$G$35,0)),0)</f>
        <v>1374</v>
      </c>
      <c r="AO73" s="33">
        <f>ROUND(坦克等级成长!$F170*VLOOKUP($Z$2,坦克等级成长!$B$36:$G$42,MATCH(AO$3,坦克等级成长!$B$35:$G$35,0)),0)</f>
        <v>366</v>
      </c>
      <c r="AP73" s="191">
        <v>20</v>
      </c>
      <c r="AQ73" s="33">
        <f>ROUND(坦克等级成长!$H170*VLOOKUP($Z$2,坦克等级成长!$B$36:$G$42,MATCH(AQ$3,坦克等级成长!$B$35:$G$35,0)),0)</f>
        <v>3752</v>
      </c>
      <c r="AR73" s="33">
        <f>ROUND(坦克等级成长!$H170*VLOOKUP($Z$2,坦克等级成长!$B$36:$G$42,MATCH(AR$3,坦克等级成长!$B$35:$G$35,0)),0)</f>
        <v>221</v>
      </c>
      <c r="AS73" s="33">
        <f>ROUND(坦克等级成长!$H170*VLOOKUP($Z$2,坦克等级成长!$B$36:$G$42,MATCH(AS$3,坦克等级成长!$B$35:$G$35,0)),0)</f>
        <v>1541</v>
      </c>
      <c r="AT73" s="33">
        <f t="shared" si="22"/>
        <v>1541</v>
      </c>
      <c r="AU73" s="33">
        <v>1154</v>
      </c>
      <c r="AV73" s="33">
        <f>ROUND(坦克等级成长!$H170*VLOOKUP($Z$2,坦克等级成长!$B$36:$G$42,MATCH(AV$3,坦克等级成长!$B$35:$G$35,0)),0)</f>
        <v>1407</v>
      </c>
      <c r="AW73" s="33">
        <f>ROUND(坦克等级成长!$H170*VLOOKUP($Z$2,坦克等级成长!$B$36:$G$42,MATCH(AW$3,坦克等级成长!$B$35:$G$35,0)),0)</f>
        <v>375</v>
      </c>
      <c r="AX73" s="192"/>
      <c r="AY73" s="188"/>
      <c r="AZ73" s="188"/>
      <c r="BA73" s="188"/>
      <c r="BB73" s="188"/>
      <c r="BC73" s="188"/>
      <c r="BD73" s="188"/>
      <c r="BE73" s="199"/>
      <c r="BF73" s="198">
        <v>20</v>
      </c>
      <c r="BG73" s="33">
        <f>ROUND(坦克等级成长!$F170*VLOOKUP($AX$2,坦克等级成长!$B$36:$G$42,MATCH(BG$3,坦克等级成长!$B$35:$G$35,0)),0)</f>
        <v>3664</v>
      </c>
      <c r="BH73" s="33">
        <f>ROUND(坦克等级成长!$F170*VLOOKUP($AX$2,坦克等级成长!$B$36:$G$42,MATCH(BH$3,坦克等级成长!$B$35:$G$35,0)),0)</f>
        <v>399</v>
      </c>
      <c r="BI73" s="33">
        <f>ROUND(坦克等级成长!$F170*VLOOKUP($AX$2,坦克等级成长!$B$36:$G$42,MATCH(BI$3,坦克等级成长!$B$35:$G$35,0)),0)</f>
        <v>1374</v>
      </c>
      <c r="BJ73" s="33">
        <f t="shared" si="9"/>
        <v>1374</v>
      </c>
      <c r="BK73" s="33">
        <v>1054</v>
      </c>
      <c r="BL73" s="33">
        <f>ROUND(坦克等级成长!$F170*VLOOKUP($AX$2,坦克等级成长!$B$36:$G$42,MATCH(BL$3,坦克等级成长!$B$35:$G$35,0)),0)</f>
        <v>1374</v>
      </c>
      <c r="BM73" s="33">
        <f>ROUND(坦克等级成长!$F170*VLOOKUP($AX$2,坦克等级成长!$B$36:$G$42,MATCH(BM$3,坦克等级成长!$B$35:$G$35,0)),0)</f>
        <v>366</v>
      </c>
      <c r="BN73" s="191">
        <v>20</v>
      </c>
      <c r="BO73" s="33">
        <f>ROUND(坦克等级成长!$H170*VLOOKUP($AX$2,坦克等级成长!$B$36:$G$42,MATCH(BO$3,坦克等级成长!$B$35:$G$35,0)),0)</f>
        <v>3752</v>
      </c>
      <c r="BP73" s="33">
        <f>ROUND(坦克等级成长!$H170*VLOOKUP($AX$2,坦克等级成长!$B$36:$G$42,MATCH(BP$3,坦克等级成长!$B$35:$G$35,0)),0)</f>
        <v>408</v>
      </c>
      <c r="BQ73" s="33">
        <f>ROUND(坦克等级成长!$H170*VLOOKUP($AX$2,坦克等级成长!$B$36:$G$42,MATCH(BQ$3,坦克等级成长!$B$35:$G$35,0)),0)</f>
        <v>1407</v>
      </c>
      <c r="BR73" s="33">
        <f t="shared" si="23"/>
        <v>1407</v>
      </c>
      <c r="BS73" s="33">
        <v>1054</v>
      </c>
      <c r="BT73" s="33">
        <f>ROUND(坦克等级成长!$H170*VLOOKUP($AX$2,坦克等级成长!$B$36:$G$42,MATCH(BT$3,坦克等级成长!$B$35:$G$35,0)),0)</f>
        <v>1407</v>
      </c>
      <c r="BU73" s="33">
        <f>ROUND(坦克等级成长!$H170*VLOOKUP($AX$2,坦克等级成长!$B$36:$G$42,MATCH(BU$3,坦克等级成长!$B$35:$G$35,0)),0)</f>
        <v>375</v>
      </c>
      <c r="BV73" s="192"/>
      <c r="BW73" s="188"/>
      <c r="BX73" s="188"/>
      <c r="BY73" s="188"/>
      <c r="BZ73" s="188"/>
      <c r="CA73" s="188"/>
      <c r="CB73" s="188"/>
      <c r="CC73" s="199"/>
      <c r="CD73" s="198">
        <v>20</v>
      </c>
      <c r="CE73" s="33">
        <f>ROUND(坦克等级成长!$F170*VLOOKUP($BV$2,坦克等级成长!$B$36:$G$42,MATCH(CE$3,坦克等级成长!$B$35:$G$35,0)),0)</f>
        <v>3861</v>
      </c>
      <c r="CF73" s="33">
        <f>ROUND(坦克等级成长!$F170*VLOOKUP($BV$2,坦克等级成长!$B$36:$G$42,MATCH(CF$3,坦克等级成长!$B$35:$G$35,0)),0)</f>
        <v>364</v>
      </c>
      <c r="CG73" s="33">
        <f>ROUND(坦克等级成长!$F170*VLOOKUP($BV$2,坦克等级成长!$B$36:$G$42,MATCH(CG$3,坦克等级成长!$B$35:$G$35,0)),0)</f>
        <v>1309</v>
      </c>
      <c r="CH73" s="33">
        <f t="shared" si="10"/>
        <v>1309</v>
      </c>
      <c r="CI73" s="33">
        <v>1076</v>
      </c>
      <c r="CJ73" s="33">
        <f>ROUND(坦克等级成长!$F170*VLOOKUP($BV$2,坦克等级成长!$B$36:$G$42,MATCH(CJ$3,坦克等级成长!$B$35:$G$35,0)),0)</f>
        <v>1649</v>
      </c>
      <c r="CK73" s="33">
        <f>ROUND(坦克等级成长!$F170*VLOOKUP($BV$2,坦克等级成长!$B$36:$G$42,MATCH(CK$3,坦克等级成长!$B$35:$G$35,0)),0)</f>
        <v>386</v>
      </c>
      <c r="CL73" s="191">
        <v>20</v>
      </c>
      <c r="CM73" s="33">
        <f>ROUND(坦克等级成长!$H170*VLOOKUP($BV$2,坦克等级成长!$B$36:$G$42,MATCH(CM$3,坦克等级成长!$B$35:$G$35,0)),0)</f>
        <v>3954</v>
      </c>
      <c r="CN73" s="33">
        <f>ROUND(坦克等级成长!$H170*VLOOKUP($BV$2,坦克等级成长!$B$36:$G$42,MATCH(CN$3,坦克等级成长!$B$35:$G$35,0)),0)</f>
        <v>373</v>
      </c>
      <c r="CO73" s="33">
        <f>ROUND(坦克等级成长!$H170*VLOOKUP($BV$2,坦克等级成长!$B$36:$G$42,MATCH(CO$3,坦克等级成长!$B$35:$G$35,0)),0)</f>
        <v>1340</v>
      </c>
      <c r="CP73" s="33">
        <f t="shared" si="24"/>
        <v>1340</v>
      </c>
      <c r="CQ73" s="33">
        <v>1076</v>
      </c>
      <c r="CR73" s="33">
        <f>ROUND(坦克等级成长!$H170*VLOOKUP($BV$2,坦克等级成长!$B$36:$G$42,MATCH(CR$3,坦克等级成长!$B$35:$G$35,0)),0)</f>
        <v>1688</v>
      </c>
      <c r="CS73" s="33">
        <f>ROUND(坦克等级成长!$H170*VLOOKUP($BV$2,坦克等级成长!$B$36:$G$42,MATCH(CS$3,坦克等级成长!$B$35:$G$35,0)),0)</f>
        <v>395</v>
      </c>
      <c r="CT73" s="192"/>
      <c r="CU73" s="188"/>
      <c r="CV73" s="188"/>
      <c r="CW73" s="188"/>
      <c r="CX73" s="188"/>
      <c r="CY73" s="188"/>
      <c r="CZ73" s="188"/>
      <c r="DA73" s="199"/>
      <c r="DB73" s="198">
        <v>20</v>
      </c>
      <c r="DC73" s="33">
        <f>ROUND(坦克等级成长!$F170*VLOOKUP($CT$2,坦克等级成长!$B$36:$G$42,MATCH(DC$3,坦克等级成长!$B$35:$G$35,0)),0)</f>
        <v>3664</v>
      </c>
      <c r="DD73" s="33">
        <f>ROUND(坦克等级成长!$F170*VLOOKUP($CT$2,坦克等级成长!$B$36:$G$42,MATCH(DD$3,坦克等级成长!$B$35:$G$35,0)),0)</f>
        <v>832</v>
      </c>
      <c r="DE73" s="33">
        <f>ROUND(坦克等级成长!$F170*VLOOKUP($CT$2,坦克等级成长!$B$36:$G$42,MATCH(DE$3,坦克等级成长!$B$35:$G$35,0)),0)</f>
        <v>1636</v>
      </c>
      <c r="DF73" s="33">
        <f t="shared" si="11"/>
        <v>1636</v>
      </c>
      <c r="DG73" s="33">
        <v>1345</v>
      </c>
      <c r="DH73" s="33">
        <f>ROUND(坦克等级成长!$F170*VLOOKUP($CT$2,坦克等级成长!$B$36:$G$42,MATCH(DH$3,坦克等级成长!$B$35:$G$35,0)),0)</f>
        <v>1374</v>
      </c>
      <c r="DI73" s="33">
        <f>ROUND(坦克等级成长!$F170*VLOOKUP($CT$2,坦克等级成长!$B$36:$G$42,MATCH(DI$3,坦克等级成长!$B$35:$G$35,0)),0)</f>
        <v>366</v>
      </c>
      <c r="DJ73" s="191">
        <v>20</v>
      </c>
      <c r="DK73" s="33">
        <f>ROUND(坦克等级成长!$H170*VLOOKUP($CT$2,坦克等级成长!$B$36:$G$42,MATCH(DK$3,坦克等级成长!$B$35:$G$35,0)),0)</f>
        <v>3752</v>
      </c>
      <c r="DL73" s="33">
        <f>ROUND(坦克等级成长!$H170*VLOOKUP($CT$2,坦克等级成长!$B$36:$G$42,MATCH(DL$3,坦克等级成长!$B$35:$G$35,0)),0)</f>
        <v>852</v>
      </c>
      <c r="DM73" s="33">
        <f>ROUND(坦克等级成长!$H170*VLOOKUP($CT$2,坦克等级成长!$B$36:$G$42,MATCH(DM$3,坦克等级成长!$B$35:$G$35,0)),0)</f>
        <v>1675</v>
      </c>
      <c r="DN73" s="33">
        <f t="shared" si="25"/>
        <v>1675</v>
      </c>
      <c r="DO73" s="33">
        <v>1345</v>
      </c>
      <c r="DP73" s="33">
        <f>ROUND(坦克等级成长!$H170*VLOOKUP($CT$2,坦克等级成长!$B$36:$G$42,MATCH(DP$3,坦克等级成长!$B$35:$G$35,0)),0)</f>
        <v>1407</v>
      </c>
      <c r="DQ73" s="33">
        <f>ROUND(坦克等级成长!$H170*VLOOKUP($CT$2,坦克等级成长!$B$36:$G$42,MATCH(DQ$3,坦克等级成长!$B$35:$G$35,0)),0)</f>
        <v>375</v>
      </c>
      <c r="DR73" s="192"/>
      <c r="DS73" s="188"/>
      <c r="DT73" s="188"/>
      <c r="DU73" s="188"/>
      <c r="DV73" s="188"/>
      <c r="DW73" s="188"/>
      <c r="DX73" s="188"/>
      <c r="DY73" s="199"/>
      <c r="DZ73" s="198">
        <v>20</v>
      </c>
      <c r="EA73" s="33">
        <f>ROUND(坦克等级成长!$F170*VLOOKUP($DR$2,坦克等级成长!$B$36:$G$42,MATCH(EA$3,坦克等级成长!$B$35:$G$35,0)),0)</f>
        <v>4169</v>
      </c>
      <c r="EB73" s="33">
        <f>ROUND(坦克等级成长!$F170*VLOOKUP($DR$2,坦克等级成长!$B$36:$G$42,MATCH(EB$3,坦克等级成长!$B$35:$G$35,0)),0)</f>
        <v>1422</v>
      </c>
      <c r="EC73" s="33">
        <f>ROUND(坦克等级成长!$F170*VLOOKUP($DR$2,坦克等级成长!$B$36:$G$42,MATCH(EC$3,坦克等级成长!$B$35:$G$35,0)),0)</f>
        <v>1309</v>
      </c>
      <c r="ED73" s="33">
        <f t="shared" si="12"/>
        <v>1309</v>
      </c>
      <c r="EE73" s="33">
        <v>1147</v>
      </c>
      <c r="EF73" s="33">
        <f>ROUND(坦克等级成长!$F170*VLOOKUP($DR$2,坦克等级成长!$B$36:$G$42,MATCH(EF$3,坦克等级成长!$B$35:$G$35,0)),0)</f>
        <v>1924</v>
      </c>
      <c r="EG73" s="33">
        <f>ROUND(坦克等级成长!$F170*VLOOKUP($DR$2,坦克等级成长!$B$36:$G$42,MATCH(EG$3,坦克等级成长!$B$35:$G$35,0)),0)</f>
        <v>417</v>
      </c>
      <c r="EH73" s="191">
        <v>20</v>
      </c>
      <c r="EI73" s="33">
        <f>ROUND(坦克等级成长!$H170*VLOOKUP($DR$2,坦克等级成长!$B$36:$G$42,MATCH(EI$3,坦克等级成长!$B$35:$G$35,0)),0)</f>
        <v>4269</v>
      </c>
      <c r="EJ73" s="33">
        <f>ROUND(坦克等级成长!$H170*VLOOKUP($DR$2,坦克等级成长!$B$36:$G$42,MATCH(EJ$3,坦克等级成长!$B$35:$G$35,0)),0)</f>
        <v>1456</v>
      </c>
      <c r="EK73" s="33">
        <f>ROUND(坦克等级成长!$H170*VLOOKUP($DR$2,坦克等级成长!$B$36:$G$42,MATCH(EK$3,坦克等级成长!$B$35:$G$35,0)),0)</f>
        <v>1340</v>
      </c>
      <c r="EL73" s="33">
        <f t="shared" si="26"/>
        <v>1340</v>
      </c>
      <c r="EM73" s="33">
        <v>1147</v>
      </c>
      <c r="EN73" s="33">
        <f>ROUND(坦克等级成长!$H170*VLOOKUP($DR$2,坦克等级成长!$B$36:$G$42,MATCH(EN$3,坦克等级成长!$B$35:$G$35,0)),0)</f>
        <v>1970</v>
      </c>
      <c r="EO73" s="33">
        <f>ROUND(坦克等级成长!$H170*VLOOKUP($DR$2,坦克等级成长!$B$36:$G$42,MATCH(EO$3,坦克等级成长!$B$35:$G$35,0)),0)</f>
        <v>427</v>
      </c>
      <c r="EP73" s="192"/>
      <c r="EQ73" s="188"/>
      <c r="ER73" s="188"/>
      <c r="ES73" s="188"/>
      <c r="ET73" s="188"/>
      <c r="EU73" s="188"/>
      <c r="EV73" s="188"/>
      <c r="EW73" s="199"/>
      <c r="EX73" s="198">
        <v>20</v>
      </c>
      <c r="EY73" s="33">
        <f>ROUND(坦克等级成长!$F170*VLOOKUP($EP$2,坦克等级成长!$B$36:$G$42,MATCH(EY$3,坦克等级成长!$B$35:$G$35,0)),0)</f>
        <v>3861</v>
      </c>
      <c r="EZ73" s="33">
        <f>ROUND(坦克等级成长!$F170*VLOOKUP($EP$2,坦克等级成长!$B$36:$G$42,MATCH(EZ$3,坦克等级成长!$B$35:$G$35,0)),0)</f>
        <v>442</v>
      </c>
      <c r="FA73" s="33">
        <f>ROUND(坦克等级成长!$F170*VLOOKUP($EP$2,坦克等级成长!$B$36:$G$42,MATCH(FA$3,坦克等级成长!$B$35:$G$35,0)),0)</f>
        <v>1505</v>
      </c>
      <c r="FB73" s="33">
        <f t="shared" si="13"/>
        <v>1505</v>
      </c>
      <c r="FC73" s="33">
        <v>1237</v>
      </c>
      <c r="FD73" s="33">
        <f>ROUND(坦克等级成长!$F170*VLOOKUP($EP$2,坦克等级成长!$B$36:$G$42,MATCH(FD$3,坦克等级成长!$B$35:$G$35,0)),0)</f>
        <v>1649</v>
      </c>
      <c r="FE73" s="33">
        <f>ROUND(坦克等级成长!$F170*VLOOKUP($EP$2,坦克等级成长!$B$36:$G$42,MATCH(FE$3,坦克等级成长!$B$35:$G$35,0)),0)</f>
        <v>386</v>
      </c>
      <c r="FF73" s="191">
        <v>20</v>
      </c>
      <c r="FG73" s="33">
        <f>ROUND(坦克等级成长!$H170*VLOOKUP($EP$2,坦克等级成长!$B$36:$G$42,MATCH(FG$3,坦克等级成长!$B$35:$G$35,0)),0)</f>
        <v>3954</v>
      </c>
      <c r="FH73" s="33">
        <f>ROUND(坦克等级成长!$H170*VLOOKUP($EP$2,坦克等级成长!$B$36:$G$42,MATCH(FH$3,坦克等级成长!$B$35:$G$35,0)),0)</f>
        <v>453</v>
      </c>
      <c r="FI73" s="33">
        <f>ROUND(坦克等级成长!$H170*VLOOKUP($EP$2,坦克等级成长!$B$36:$G$42,MATCH(FI$3,坦克等级成长!$B$35:$G$35,0)),0)</f>
        <v>1541</v>
      </c>
      <c r="FJ73" s="33">
        <f t="shared" si="27"/>
        <v>1541</v>
      </c>
      <c r="FK73" s="33">
        <v>1237</v>
      </c>
      <c r="FL73" s="33">
        <f>ROUND(坦克等级成长!$H170*VLOOKUP($EP$2,坦克等级成长!$B$36:$G$42,MATCH(FL$3,坦克等级成长!$B$35:$G$35,0)),0)</f>
        <v>1688</v>
      </c>
      <c r="FM73" s="33">
        <f>ROUND(坦克等级成长!$H170*VLOOKUP($EP$2,坦克等级成长!$B$36:$G$42,MATCH(FM$3,坦克等级成长!$B$35:$G$35,0)),0)</f>
        <v>395</v>
      </c>
    </row>
    <row r="74" spans="1:169" ht="14.25" x14ac:dyDescent="0.3">
      <c r="A74" s="188">
        <v>5</v>
      </c>
      <c r="B74" s="203"/>
      <c r="C74" s="204"/>
      <c r="D74" s="204"/>
      <c r="E74" s="204"/>
      <c r="F74" s="204"/>
      <c r="G74" s="204"/>
      <c r="H74" s="204"/>
      <c r="I74" s="207"/>
      <c r="J74" s="208">
        <v>21</v>
      </c>
      <c r="K74" s="33">
        <f>ROUND(坦克等级成长!$F171*VLOOKUP($B$2,坦克等级成长!$B$36:$G$42,MATCH(K$3,坦克等级成长!$B$35:$G$35,0)),0)</f>
        <v>3760</v>
      </c>
      <c r="L74" s="33">
        <f>ROUND(坦克等级成长!$F171*VLOOKUP($B$2,坦克等级成长!$B$36:$G$42,MATCH(L$3,坦克等级成长!$B$35:$G$35,0)),0)</f>
        <v>409</v>
      </c>
      <c r="M74" s="33">
        <f>ROUND(坦克等级成长!$F171*VLOOKUP($B$2,坦克等级成长!$B$36:$G$42,MATCH(M$3,坦克等级成长!$B$35:$G$35,0)),0)</f>
        <v>1410</v>
      </c>
      <c r="N74" s="209">
        <f>M74</f>
        <v>1410</v>
      </c>
      <c r="O74" s="209">
        <v>1084</v>
      </c>
      <c r="P74" s="33">
        <f>ROUND(坦克等级成长!$F171*VLOOKUP($B$2,坦克等级成长!$B$36:$G$42,MATCH(P$3,坦克等级成长!$B$35:$G$35,0)),0)</f>
        <v>1410</v>
      </c>
      <c r="Q74" s="33">
        <f>ROUND(坦克等级成长!$F171*VLOOKUP($B$2,坦克等级成长!$B$36:$G$42,MATCH(Q$3,坦克等级成长!$B$35:$G$35,0)),0)</f>
        <v>376</v>
      </c>
      <c r="R74" s="210">
        <v>21</v>
      </c>
      <c r="S74" s="33">
        <f>ROUND(坦克等级成长!$H171*VLOOKUP($B$2,坦克等级成长!$B$36:$G$42,MATCH(S$3,坦克等级成长!$B$35:$G$35,0)),0)</f>
        <v>3856</v>
      </c>
      <c r="T74" s="33">
        <f>ROUND(坦克等级成长!$H171*VLOOKUP($B$2,坦克等级成长!$B$36:$G$42,MATCH(T$3,坦克等级成长!$B$35:$G$35,0)),0)</f>
        <v>419</v>
      </c>
      <c r="U74" s="33">
        <f>ROUND(坦克等级成长!$H171*VLOOKUP($B$2,坦克等级成长!$B$36:$G$42,MATCH(U$3,坦克等级成长!$B$35:$G$35,0)),0)</f>
        <v>1446</v>
      </c>
      <c r="V74" s="209">
        <f t="shared" si="21"/>
        <v>1446</v>
      </c>
      <c r="W74" s="209">
        <v>1084</v>
      </c>
      <c r="X74" s="33">
        <f>ROUND(坦克等级成长!$H171*VLOOKUP($B$2,坦克等级成长!$B$36:$G$42,MATCH(X$3,坦克等级成长!$B$35:$G$35,0)),0)</f>
        <v>1446</v>
      </c>
      <c r="Y74" s="33">
        <f>ROUND(坦克等级成长!$H171*VLOOKUP($B$2,坦克等级成长!$B$36:$G$42,MATCH(Y$3,坦克等级成长!$B$35:$G$35,0)),0)</f>
        <v>386</v>
      </c>
      <c r="Z74" s="203"/>
      <c r="AA74" s="204"/>
      <c r="AB74" s="204"/>
      <c r="AC74" s="204"/>
      <c r="AD74" s="204"/>
      <c r="AE74" s="204"/>
      <c r="AF74" s="204"/>
      <c r="AG74" s="207"/>
      <c r="AH74" s="208">
        <v>21</v>
      </c>
      <c r="AI74" s="33">
        <f>ROUND(坦克等级成长!$F171*VLOOKUP($Z$2,坦克等级成长!$B$36:$G$42,MATCH(AI$3,坦克等级成长!$B$35:$G$35,0)),0)</f>
        <v>3760</v>
      </c>
      <c r="AJ74" s="33">
        <f>ROUND(坦克等级成长!$F171*VLOOKUP($Z$2,坦克等级成长!$B$36:$G$42,MATCH(AJ$3,坦克等级成长!$B$35:$G$35,0)),0)</f>
        <v>222</v>
      </c>
      <c r="AK74" s="33">
        <f>ROUND(坦克等级成长!$F171*VLOOKUP($Z$2,坦克等级成长!$B$36:$G$42,MATCH(AK$3,坦克等级成长!$B$35:$G$35,0)),0)</f>
        <v>1544</v>
      </c>
      <c r="AL74" s="209">
        <f>AK74</f>
        <v>1544</v>
      </c>
      <c r="AM74" s="209">
        <v>1187</v>
      </c>
      <c r="AN74" s="33">
        <f>ROUND(坦克等级成长!$F171*VLOOKUP($Z$2,坦克等级成长!$B$36:$G$42,MATCH(AN$3,坦克等级成长!$B$35:$G$35,0)),0)</f>
        <v>1410</v>
      </c>
      <c r="AO74" s="33">
        <f>ROUND(坦克等级成长!$F171*VLOOKUP($Z$2,坦克等级成长!$B$36:$G$42,MATCH(AO$3,坦克等级成长!$B$35:$G$35,0)),0)</f>
        <v>376</v>
      </c>
      <c r="AP74" s="210">
        <v>21</v>
      </c>
      <c r="AQ74" s="33">
        <f>ROUND(坦克等级成长!$H171*VLOOKUP($Z$2,坦克等级成长!$B$36:$G$42,MATCH(AQ$3,坦克等级成长!$B$35:$G$35,0)),0)</f>
        <v>3856</v>
      </c>
      <c r="AR74" s="33">
        <f>ROUND(坦克等级成长!$H171*VLOOKUP($Z$2,坦克等级成长!$B$36:$G$42,MATCH(AR$3,坦克等级成长!$B$35:$G$35,0)),0)</f>
        <v>227</v>
      </c>
      <c r="AS74" s="33">
        <f>ROUND(坦克等级成长!$H171*VLOOKUP($Z$2,坦克等级成长!$B$36:$G$42,MATCH(AS$3,坦克等级成长!$B$35:$G$35,0)),0)</f>
        <v>1584</v>
      </c>
      <c r="AT74" s="209">
        <f t="shared" si="22"/>
        <v>1584</v>
      </c>
      <c r="AU74" s="209">
        <v>1187</v>
      </c>
      <c r="AV74" s="33">
        <f>ROUND(坦克等级成长!$H171*VLOOKUP($Z$2,坦克等级成长!$B$36:$G$42,MATCH(AV$3,坦克等级成长!$B$35:$G$35,0)),0)</f>
        <v>1446</v>
      </c>
      <c r="AW74" s="33">
        <f>ROUND(坦克等级成长!$H171*VLOOKUP($Z$2,坦克等级成长!$B$36:$G$42,MATCH(AW$3,坦克等级成长!$B$35:$G$35,0)),0)</f>
        <v>386</v>
      </c>
      <c r="AX74" s="203"/>
      <c r="AY74" s="204"/>
      <c r="AZ74" s="204"/>
      <c r="BA74" s="204"/>
      <c r="BB74" s="204"/>
      <c r="BC74" s="204"/>
      <c r="BD74" s="204"/>
      <c r="BE74" s="207"/>
      <c r="BF74" s="208">
        <v>21</v>
      </c>
      <c r="BG74" s="33">
        <f>ROUND(坦克等级成长!$F171*VLOOKUP($AX$2,坦克等级成长!$B$36:$G$42,MATCH(BG$3,坦克等级成长!$B$35:$G$35,0)),0)</f>
        <v>3760</v>
      </c>
      <c r="BH74" s="33">
        <f>ROUND(坦克等级成长!$F171*VLOOKUP($AX$2,坦克等级成长!$B$36:$G$42,MATCH(BH$3,坦克等级成长!$B$35:$G$35,0)),0)</f>
        <v>409</v>
      </c>
      <c r="BI74" s="33">
        <f>ROUND(坦克等级成长!$F171*VLOOKUP($AX$2,坦克等级成长!$B$36:$G$42,MATCH(BI$3,坦克等级成长!$B$35:$G$35,0)),0)</f>
        <v>1410</v>
      </c>
      <c r="BJ74" s="209">
        <f>BI74</f>
        <v>1410</v>
      </c>
      <c r="BK74" s="209">
        <v>1084</v>
      </c>
      <c r="BL74" s="33">
        <f>ROUND(坦克等级成长!$F171*VLOOKUP($AX$2,坦克等级成长!$B$36:$G$42,MATCH(BL$3,坦克等级成长!$B$35:$G$35,0)),0)</f>
        <v>1410</v>
      </c>
      <c r="BM74" s="33">
        <f>ROUND(坦克等级成长!$F171*VLOOKUP($AX$2,坦克等级成长!$B$36:$G$42,MATCH(BM$3,坦克等级成长!$B$35:$G$35,0)),0)</f>
        <v>376</v>
      </c>
      <c r="BN74" s="210">
        <v>21</v>
      </c>
      <c r="BO74" s="33">
        <f>ROUND(坦克等级成长!$H171*VLOOKUP($AX$2,坦克等级成长!$B$36:$G$42,MATCH(BO$3,坦克等级成长!$B$35:$G$35,0)),0)</f>
        <v>3856</v>
      </c>
      <c r="BP74" s="33">
        <f>ROUND(坦克等级成长!$H171*VLOOKUP($AX$2,坦克等级成长!$B$36:$G$42,MATCH(BP$3,坦克等级成长!$B$35:$G$35,0)),0)</f>
        <v>419</v>
      </c>
      <c r="BQ74" s="33">
        <f>ROUND(坦克等级成长!$H171*VLOOKUP($AX$2,坦克等级成长!$B$36:$G$42,MATCH(BQ$3,坦克等级成长!$B$35:$G$35,0)),0)</f>
        <v>1446</v>
      </c>
      <c r="BR74" s="209">
        <f t="shared" si="23"/>
        <v>1446</v>
      </c>
      <c r="BS74" s="209">
        <v>1084</v>
      </c>
      <c r="BT74" s="33">
        <f>ROUND(坦克等级成长!$H171*VLOOKUP($AX$2,坦克等级成长!$B$36:$G$42,MATCH(BT$3,坦克等级成长!$B$35:$G$35,0)),0)</f>
        <v>1446</v>
      </c>
      <c r="BU74" s="33">
        <f>ROUND(坦克等级成长!$H171*VLOOKUP($AX$2,坦克等级成长!$B$36:$G$42,MATCH(BU$3,坦克等级成长!$B$35:$G$35,0)),0)</f>
        <v>386</v>
      </c>
      <c r="BV74" s="203"/>
      <c r="BW74" s="204"/>
      <c r="BX74" s="204"/>
      <c r="BY74" s="204"/>
      <c r="BZ74" s="204"/>
      <c r="CA74" s="204"/>
      <c r="CB74" s="204"/>
      <c r="CC74" s="207"/>
      <c r="CD74" s="208">
        <v>21</v>
      </c>
      <c r="CE74" s="33">
        <f>ROUND(坦克等级成长!$F171*VLOOKUP($BV$2,坦克等级成长!$B$36:$G$42,MATCH(CE$3,坦克等级成长!$B$35:$G$35,0)),0)</f>
        <v>3962</v>
      </c>
      <c r="CF74" s="33">
        <f>ROUND(坦克等级成长!$F171*VLOOKUP($BV$2,坦克等级成长!$B$36:$G$42,MATCH(CF$3,坦克等级成长!$B$35:$G$35,0)),0)</f>
        <v>374</v>
      </c>
      <c r="CG74" s="33">
        <f>ROUND(坦克等级成长!$F171*VLOOKUP($BV$2,坦克等级成长!$B$36:$G$42,MATCH(CG$3,坦克等级成长!$B$35:$G$35,0)),0)</f>
        <v>1343</v>
      </c>
      <c r="CH74" s="209">
        <f>CG74</f>
        <v>1343</v>
      </c>
      <c r="CI74" s="209">
        <v>1106</v>
      </c>
      <c r="CJ74" s="33">
        <f>ROUND(坦克等级成长!$F171*VLOOKUP($BV$2,坦克等级成长!$B$36:$G$42,MATCH(CJ$3,坦克等级成长!$B$35:$G$35,0)),0)</f>
        <v>1692</v>
      </c>
      <c r="CK74" s="33">
        <f>ROUND(坦克等级成长!$F171*VLOOKUP($BV$2,坦克等级成长!$B$36:$G$42,MATCH(CK$3,坦克等级成长!$B$35:$G$35,0)),0)</f>
        <v>396</v>
      </c>
      <c r="CL74" s="210">
        <v>21</v>
      </c>
      <c r="CM74" s="33">
        <f>ROUND(坦克等级成长!$H171*VLOOKUP($BV$2,坦克等级成长!$B$36:$G$42,MATCH(CM$3,坦克等级成长!$B$35:$G$35,0)),0)</f>
        <v>4063</v>
      </c>
      <c r="CN74" s="33">
        <f>ROUND(坦克等级成长!$H171*VLOOKUP($BV$2,坦克等级成长!$B$36:$G$42,MATCH(CN$3,坦克等级成长!$B$35:$G$35,0)),0)</f>
        <v>383</v>
      </c>
      <c r="CO74" s="33">
        <f>ROUND(坦克等级成长!$H171*VLOOKUP($BV$2,坦克等级成长!$B$36:$G$42,MATCH(CO$3,坦克等级成长!$B$35:$G$35,0)),0)</f>
        <v>1377</v>
      </c>
      <c r="CP74" s="209">
        <f t="shared" si="24"/>
        <v>1377</v>
      </c>
      <c r="CQ74" s="209">
        <v>1106</v>
      </c>
      <c r="CR74" s="33">
        <f>ROUND(坦克等级成长!$H171*VLOOKUP($BV$2,坦克等级成长!$B$36:$G$42,MATCH(CR$3,坦克等级成长!$B$35:$G$35,0)),0)</f>
        <v>1735</v>
      </c>
      <c r="CS74" s="33">
        <f>ROUND(坦克等级成长!$H171*VLOOKUP($BV$2,坦克等级成长!$B$36:$G$42,MATCH(CS$3,坦克等级成长!$B$35:$G$35,0)),0)</f>
        <v>406</v>
      </c>
      <c r="CT74" s="203"/>
      <c r="CU74" s="204"/>
      <c r="CV74" s="204"/>
      <c r="CW74" s="204"/>
      <c r="CX74" s="204"/>
      <c r="CY74" s="204"/>
      <c r="CZ74" s="204"/>
      <c r="DA74" s="207"/>
      <c r="DB74" s="208">
        <v>21</v>
      </c>
      <c r="DC74" s="33">
        <f>ROUND(坦克等级成长!$F171*VLOOKUP($CT$2,坦克等级成长!$B$36:$G$42,MATCH(DC$3,坦克等级成长!$B$35:$G$35,0)),0)</f>
        <v>3760</v>
      </c>
      <c r="DD74" s="33">
        <f>ROUND(坦克等级成长!$F171*VLOOKUP($CT$2,坦克等级成长!$B$36:$G$42,MATCH(DD$3,坦克等级成长!$B$35:$G$35,0)),0)</f>
        <v>854</v>
      </c>
      <c r="DE74" s="33">
        <f>ROUND(坦克等级成长!$F171*VLOOKUP($CT$2,坦克等级成长!$B$36:$G$42,MATCH(DE$3,坦克等级成长!$B$35:$G$35,0)),0)</f>
        <v>1679</v>
      </c>
      <c r="DF74" s="209">
        <f>DE74</f>
        <v>1679</v>
      </c>
      <c r="DG74" s="209">
        <v>1382</v>
      </c>
      <c r="DH74" s="33">
        <f>ROUND(坦克等级成长!$F171*VLOOKUP($CT$2,坦克等级成长!$B$36:$G$42,MATCH(DH$3,坦克等级成长!$B$35:$G$35,0)),0)</f>
        <v>1410</v>
      </c>
      <c r="DI74" s="33">
        <f>ROUND(坦克等级成长!$F171*VLOOKUP($CT$2,坦克等级成长!$B$36:$G$42,MATCH(DI$3,坦克等级成长!$B$35:$G$35,0)),0)</f>
        <v>376</v>
      </c>
      <c r="DJ74" s="210">
        <v>21</v>
      </c>
      <c r="DK74" s="33">
        <f>ROUND(坦克等级成长!$H171*VLOOKUP($CT$2,坦克等级成长!$B$36:$G$42,MATCH(DK$3,坦克等级成长!$B$35:$G$35,0)),0)</f>
        <v>3856</v>
      </c>
      <c r="DL74" s="33">
        <f>ROUND(坦克等级成长!$H171*VLOOKUP($CT$2,坦克等级成长!$B$36:$G$42,MATCH(DL$3,坦克等级成长!$B$35:$G$35,0)),0)</f>
        <v>876</v>
      </c>
      <c r="DM74" s="33">
        <f>ROUND(坦克等级成长!$H171*VLOOKUP($CT$2,坦克等级成长!$B$36:$G$42,MATCH(DM$3,坦克等级成长!$B$35:$G$35,0)),0)</f>
        <v>1721</v>
      </c>
      <c r="DN74" s="209">
        <f t="shared" si="25"/>
        <v>1721</v>
      </c>
      <c r="DO74" s="209">
        <v>1382</v>
      </c>
      <c r="DP74" s="33">
        <f>ROUND(坦克等级成长!$H171*VLOOKUP($CT$2,坦克等级成长!$B$36:$G$42,MATCH(DP$3,坦克等级成长!$B$35:$G$35,0)),0)</f>
        <v>1446</v>
      </c>
      <c r="DQ74" s="33">
        <f>ROUND(坦克等级成长!$H171*VLOOKUP($CT$2,坦克等级成长!$B$36:$G$42,MATCH(DQ$3,坦克等级成长!$B$35:$G$35,0)),0)</f>
        <v>386</v>
      </c>
      <c r="DR74" s="203"/>
      <c r="DS74" s="204"/>
      <c r="DT74" s="204"/>
      <c r="DU74" s="204"/>
      <c r="DV74" s="204"/>
      <c r="DW74" s="204"/>
      <c r="DX74" s="204"/>
      <c r="DY74" s="207"/>
      <c r="DZ74" s="208">
        <v>21</v>
      </c>
      <c r="EA74" s="33">
        <f>ROUND(坦克等级成长!$F171*VLOOKUP($DR$2,坦克等级成长!$B$36:$G$42,MATCH(EA$3,坦克等级成长!$B$35:$G$35,0)),0)</f>
        <v>4278</v>
      </c>
      <c r="EB74" s="33">
        <f>ROUND(坦克等级成长!$F171*VLOOKUP($DR$2,坦克等级成长!$B$36:$G$42,MATCH(EB$3,坦克等级成长!$B$35:$G$35,0)),0)</f>
        <v>1459</v>
      </c>
      <c r="EC74" s="33">
        <f>ROUND(坦克等级成长!$F171*VLOOKUP($DR$2,坦克等级成长!$B$36:$G$42,MATCH(EC$3,坦克等级成长!$B$35:$G$35,0)),0)</f>
        <v>1343</v>
      </c>
      <c r="ED74" s="209">
        <f>EC74</f>
        <v>1343</v>
      </c>
      <c r="EE74" s="209">
        <v>1179</v>
      </c>
      <c r="EF74" s="33">
        <f>ROUND(坦克等级成长!$F171*VLOOKUP($DR$2,坦克等级成长!$B$36:$G$42,MATCH(EF$3,坦克等级成长!$B$35:$G$35,0)),0)</f>
        <v>1974</v>
      </c>
      <c r="EG74" s="33">
        <f>ROUND(坦克等级成长!$F171*VLOOKUP($DR$2,坦克等级成长!$B$36:$G$42,MATCH(EG$3,坦克等级成长!$B$35:$G$35,0)),0)</f>
        <v>428</v>
      </c>
      <c r="EH74" s="210">
        <v>21</v>
      </c>
      <c r="EI74" s="33">
        <f>ROUND(坦克等级成长!$H171*VLOOKUP($DR$2,坦克等级成长!$B$36:$G$42,MATCH(EI$3,坦克等级成长!$B$35:$G$35,0)),0)</f>
        <v>4387</v>
      </c>
      <c r="EJ74" s="33">
        <f>ROUND(坦克等级成长!$H171*VLOOKUP($DR$2,坦克等级成长!$B$36:$G$42,MATCH(EJ$3,坦克等级成长!$B$35:$G$35,0)),0)</f>
        <v>1497</v>
      </c>
      <c r="EK74" s="33">
        <f>ROUND(坦克等级成长!$H171*VLOOKUP($DR$2,坦克等级成长!$B$36:$G$42,MATCH(EK$3,坦克等级成长!$B$35:$G$35,0)),0)</f>
        <v>1377</v>
      </c>
      <c r="EL74" s="209">
        <f t="shared" si="26"/>
        <v>1377</v>
      </c>
      <c r="EM74" s="209">
        <v>1179</v>
      </c>
      <c r="EN74" s="33">
        <f>ROUND(坦克等级成长!$H171*VLOOKUP($DR$2,坦克等级成长!$B$36:$G$42,MATCH(EN$3,坦克等级成长!$B$35:$G$35,0)),0)</f>
        <v>2024</v>
      </c>
      <c r="EO74" s="33">
        <f>ROUND(坦克等级成长!$H171*VLOOKUP($DR$2,坦克等级成长!$B$36:$G$42,MATCH(EO$3,坦克等级成长!$B$35:$G$35,0)),0)</f>
        <v>439</v>
      </c>
      <c r="EP74" s="203"/>
      <c r="EQ74" s="204"/>
      <c r="ER74" s="204"/>
      <c r="ES74" s="204"/>
      <c r="ET74" s="204"/>
      <c r="EU74" s="204"/>
      <c r="EV74" s="204"/>
      <c r="EW74" s="207"/>
      <c r="EX74" s="208">
        <v>21</v>
      </c>
      <c r="EY74" s="33">
        <f>ROUND(坦克等级成长!$F171*VLOOKUP($EP$2,坦克等级成长!$B$36:$G$42,MATCH(EY$3,坦克等级成长!$B$35:$G$35,0)),0)</f>
        <v>3962</v>
      </c>
      <c r="EZ74" s="33">
        <f>ROUND(坦克等级成长!$F171*VLOOKUP($EP$2,坦克等级成长!$B$36:$G$42,MATCH(EZ$3,坦克等级成长!$B$35:$G$35,0)),0)</f>
        <v>454</v>
      </c>
      <c r="FA74" s="33">
        <f>ROUND(坦克等级成长!$F171*VLOOKUP($EP$2,坦克等级成长!$B$36:$G$42,MATCH(FA$3,坦克等级成长!$B$35:$G$35,0)),0)</f>
        <v>1544</v>
      </c>
      <c r="FB74" s="209">
        <f>FA74</f>
        <v>1544</v>
      </c>
      <c r="FC74" s="209">
        <v>1271</v>
      </c>
      <c r="FD74" s="33">
        <f>ROUND(坦克等级成长!$F171*VLOOKUP($EP$2,坦克等级成长!$B$36:$G$42,MATCH(FD$3,坦克等级成长!$B$35:$G$35,0)),0)</f>
        <v>1692</v>
      </c>
      <c r="FE74" s="33">
        <f>ROUND(坦克等级成长!$F171*VLOOKUP($EP$2,坦克等级成长!$B$36:$G$42,MATCH(FE$3,坦克等级成长!$B$35:$G$35,0)),0)</f>
        <v>396</v>
      </c>
      <c r="FF74" s="210">
        <v>21</v>
      </c>
      <c r="FG74" s="33">
        <f>ROUND(坦克等级成长!$H171*VLOOKUP($EP$2,坦克等级成长!$B$36:$G$42,MATCH(FG$3,坦克等级成长!$B$35:$G$35,0)),0)</f>
        <v>4063</v>
      </c>
      <c r="FH74" s="33">
        <f>ROUND(坦克等级成长!$H171*VLOOKUP($EP$2,坦克等级成长!$B$36:$G$42,MATCH(FH$3,坦克等级成长!$B$35:$G$35,0)),0)</f>
        <v>466</v>
      </c>
      <c r="FI74" s="33">
        <f>ROUND(坦克等级成长!$H171*VLOOKUP($EP$2,坦克等级成长!$B$36:$G$42,MATCH(FI$3,坦克等级成长!$B$35:$G$35,0)),0)</f>
        <v>1584</v>
      </c>
      <c r="FJ74" s="209">
        <f t="shared" si="27"/>
        <v>1584</v>
      </c>
      <c r="FK74" s="209">
        <v>1271</v>
      </c>
      <c r="FL74" s="33">
        <f>ROUND(坦克等级成长!$H171*VLOOKUP($EP$2,坦克等级成长!$B$36:$G$42,MATCH(FL$3,坦克等级成长!$B$35:$G$35,0)),0)</f>
        <v>1735</v>
      </c>
      <c r="FM74" s="33">
        <f>ROUND(坦克等级成长!$H171*VLOOKUP($EP$2,坦克等级成长!$B$36:$G$42,MATCH(FM$3,坦克等级成长!$B$35:$G$35,0)),0)</f>
        <v>406</v>
      </c>
    </row>
    <row r="78" spans="1:169" x14ac:dyDescent="0.15">
      <c r="A78" s="183">
        <v>1</v>
      </c>
      <c r="B78" s="183">
        <v>2</v>
      </c>
      <c r="C78" s="183">
        <v>3</v>
      </c>
      <c r="D78" s="183">
        <v>4</v>
      </c>
      <c r="E78" s="183">
        <v>5</v>
      </c>
    </row>
    <row r="79" spans="1:169" ht="15.75" customHeight="1" x14ac:dyDescent="0.3">
      <c r="A79" s="362" t="s">
        <v>77</v>
      </c>
      <c r="B79" s="362"/>
      <c r="C79" s="362"/>
      <c r="D79" s="362"/>
      <c r="E79" s="362"/>
      <c r="F79" s="351" t="s">
        <v>78</v>
      </c>
      <c r="G79" s="351"/>
      <c r="H79" s="351"/>
      <c r="I79" s="351"/>
      <c r="J79" s="351"/>
      <c r="K79" s="351" t="s">
        <v>79</v>
      </c>
      <c r="L79" s="351"/>
      <c r="M79" s="351"/>
      <c r="N79" s="351"/>
      <c r="O79" s="351"/>
      <c r="P79" s="351" t="s">
        <v>80</v>
      </c>
      <c r="Q79" s="351"/>
      <c r="R79" s="351"/>
      <c r="S79" s="351"/>
      <c r="T79" s="351"/>
      <c r="U79" s="351" t="s">
        <v>860</v>
      </c>
      <c r="V79" s="351"/>
      <c r="W79" s="351"/>
      <c r="X79" s="351"/>
      <c r="Y79" s="351"/>
      <c r="Z79" s="351" t="s">
        <v>82</v>
      </c>
      <c r="AA79" s="351"/>
      <c r="AB79" s="351"/>
      <c r="AC79" s="351"/>
      <c r="AD79" s="351"/>
      <c r="AE79" s="351" t="s">
        <v>83</v>
      </c>
      <c r="AF79" s="351"/>
      <c r="AG79" s="351"/>
      <c r="AH79" s="351"/>
      <c r="AI79" s="351"/>
    </row>
    <row r="80" spans="1:169" ht="14.25" x14ac:dyDescent="0.3">
      <c r="A80" s="167" t="s">
        <v>861</v>
      </c>
      <c r="B80" s="33" t="s">
        <v>122</v>
      </c>
      <c r="C80" s="33" t="s">
        <v>137</v>
      </c>
      <c r="D80" s="33" t="s">
        <v>138</v>
      </c>
      <c r="E80" s="33" t="s">
        <v>124</v>
      </c>
      <c r="F80" s="167" t="s">
        <v>861</v>
      </c>
      <c r="G80" s="33" t="s">
        <v>122</v>
      </c>
      <c r="H80" s="33" t="s">
        <v>137</v>
      </c>
      <c r="I80" s="33" t="s">
        <v>138</v>
      </c>
      <c r="J80" s="33" t="s">
        <v>124</v>
      </c>
      <c r="K80" s="167" t="s">
        <v>861</v>
      </c>
      <c r="L80" s="33" t="s">
        <v>122</v>
      </c>
      <c r="M80" s="33" t="s">
        <v>137</v>
      </c>
      <c r="N80" s="33" t="s">
        <v>138</v>
      </c>
      <c r="O80" s="33" t="s">
        <v>124</v>
      </c>
      <c r="P80" s="167" t="s">
        <v>861</v>
      </c>
      <c r="Q80" s="33" t="s">
        <v>122</v>
      </c>
      <c r="R80" s="33" t="s">
        <v>137</v>
      </c>
      <c r="S80" s="33" t="s">
        <v>138</v>
      </c>
      <c r="T80" s="33" t="s">
        <v>124</v>
      </c>
      <c r="U80" s="167" t="s">
        <v>861</v>
      </c>
      <c r="V80" s="33" t="s">
        <v>122</v>
      </c>
      <c r="W80" s="33" t="s">
        <v>137</v>
      </c>
      <c r="X80" s="33" t="s">
        <v>138</v>
      </c>
      <c r="Y80" s="33" t="s">
        <v>124</v>
      </c>
      <c r="Z80" s="167" t="s">
        <v>861</v>
      </c>
      <c r="AA80" s="33" t="s">
        <v>122</v>
      </c>
      <c r="AB80" s="33" t="s">
        <v>137</v>
      </c>
      <c r="AC80" s="33" t="s">
        <v>138</v>
      </c>
      <c r="AD80" s="33" t="s">
        <v>124</v>
      </c>
      <c r="AE80" s="167" t="s">
        <v>861</v>
      </c>
      <c r="AF80" s="33" t="s">
        <v>122</v>
      </c>
      <c r="AG80" s="33" t="s">
        <v>137</v>
      </c>
      <c r="AH80" s="33" t="s">
        <v>138</v>
      </c>
      <c r="AI80" s="33" t="s">
        <v>124</v>
      </c>
    </row>
    <row r="81" spans="1:35" x14ac:dyDescent="0.15">
      <c r="A81" s="205">
        <v>10101</v>
      </c>
      <c r="B81" s="206">
        <f>C4</f>
        <v>800</v>
      </c>
      <c r="C81" s="206">
        <f>D4</f>
        <v>87</v>
      </c>
      <c r="D81" s="206">
        <f>E4</f>
        <v>300</v>
      </c>
      <c r="E81" s="206">
        <f t="shared" ref="E81:E92" si="42">H4</f>
        <v>300</v>
      </c>
      <c r="F81" s="205">
        <v>10101</v>
      </c>
      <c r="G81" s="206">
        <f t="shared" ref="G81:G92" si="43">AA4</f>
        <v>800</v>
      </c>
      <c r="H81" s="206">
        <f t="shared" ref="H81:H92" si="44">AB4</f>
        <v>47</v>
      </c>
      <c r="I81" s="206">
        <f t="shared" ref="I81:I92" si="45">AC4</f>
        <v>329</v>
      </c>
      <c r="J81" s="206">
        <f t="shared" ref="J81:J92" si="46">AF4</f>
        <v>300</v>
      </c>
      <c r="K81" s="205">
        <v>10101</v>
      </c>
      <c r="L81" s="206">
        <f t="shared" ref="L81:L92" si="47">AY4</f>
        <v>800</v>
      </c>
      <c r="M81" s="206">
        <f t="shared" ref="M81:M92" si="48">AZ4</f>
        <v>87</v>
      </c>
      <c r="N81" s="206">
        <f t="shared" ref="N81:N92" si="49">BA4</f>
        <v>300</v>
      </c>
      <c r="O81" s="206">
        <f t="shared" ref="O81:O92" si="50">BD4</f>
        <v>300</v>
      </c>
      <c r="P81" s="205">
        <v>10101</v>
      </c>
      <c r="Q81" s="206">
        <f t="shared" ref="Q81:Q92" si="51">BW4</f>
        <v>843</v>
      </c>
      <c r="R81" s="206">
        <f t="shared" ref="R81:R92" si="52">BX4</f>
        <v>79</v>
      </c>
      <c r="S81" s="206">
        <f t="shared" ref="S81:S92" si="53">BY4</f>
        <v>286</v>
      </c>
      <c r="T81" s="206">
        <f t="shared" ref="T81:T92" si="54">CB4</f>
        <v>360</v>
      </c>
      <c r="U81" s="205">
        <v>10101</v>
      </c>
      <c r="V81" s="206">
        <f t="shared" ref="V81:V92" si="55">CU4</f>
        <v>800</v>
      </c>
      <c r="W81" s="206">
        <f t="shared" ref="W81:W92" si="56">CV4</f>
        <v>182</v>
      </c>
      <c r="X81" s="206">
        <f t="shared" ref="X81:X92" si="57">CW4</f>
        <v>357</v>
      </c>
      <c r="Y81" s="206">
        <f t="shared" ref="Y81:Y92" si="58">CZ4</f>
        <v>300</v>
      </c>
      <c r="Z81" s="205">
        <v>10101</v>
      </c>
      <c r="AA81" s="206">
        <f t="shared" ref="AA81:AA92" si="59">DS4</f>
        <v>910</v>
      </c>
      <c r="AB81" s="206">
        <f t="shared" ref="AB81:AB92" si="60">DT4</f>
        <v>311</v>
      </c>
      <c r="AC81" s="206">
        <f t="shared" ref="AC81:AC92" si="61">DU4</f>
        <v>286</v>
      </c>
      <c r="AD81" s="206">
        <f t="shared" ref="AD81:AD92" si="62">DX4</f>
        <v>420</v>
      </c>
      <c r="AE81" s="205">
        <v>10101</v>
      </c>
      <c r="AF81" s="206">
        <f t="shared" ref="AF81:AF92" si="63">EQ4</f>
        <v>843</v>
      </c>
      <c r="AG81" s="206">
        <f t="shared" ref="AG81:AG92" si="64">ER4</f>
        <v>97</v>
      </c>
      <c r="AH81" s="206">
        <f t="shared" ref="AH81:AH92" si="65">ES4</f>
        <v>329</v>
      </c>
      <c r="AI81" s="206">
        <f t="shared" ref="AI81:AI92" si="66">EV4</f>
        <v>360</v>
      </c>
    </row>
    <row r="82" spans="1:35" x14ac:dyDescent="0.15">
      <c r="A82" s="205">
        <v>10102</v>
      </c>
      <c r="B82" s="206">
        <f t="shared" ref="B82:D92" si="67">C5</f>
        <v>848</v>
      </c>
      <c r="C82" s="206">
        <f t="shared" si="67"/>
        <v>92</v>
      </c>
      <c r="D82" s="206">
        <f t="shared" si="67"/>
        <v>318</v>
      </c>
      <c r="E82" s="206">
        <f t="shared" si="42"/>
        <v>318</v>
      </c>
      <c r="F82" s="205">
        <v>10102</v>
      </c>
      <c r="G82" s="206">
        <f t="shared" si="43"/>
        <v>848</v>
      </c>
      <c r="H82" s="206">
        <f t="shared" si="44"/>
        <v>50</v>
      </c>
      <c r="I82" s="206">
        <f t="shared" si="45"/>
        <v>348</v>
      </c>
      <c r="J82" s="206">
        <f t="shared" si="46"/>
        <v>318</v>
      </c>
      <c r="K82" s="205">
        <v>10102</v>
      </c>
      <c r="L82" s="206">
        <f t="shared" si="47"/>
        <v>848</v>
      </c>
      <c r="M82" s="206">
        <f t="shared" si="48"/>
        <v>92</v>
      </c>
      <c r="N82" s="206">
        <f t="shared" si="49"/>
        <v>318</v>
      </c>
      <c r="O82" s="206">
        <f t="shared" si="50"/>
        <v>318</v>
      </c>
      <c r="P82" s="205">
        <v>10102</v>
      </c>
      <c r="Q82" s="206">
        <f t="shared" si="51"/>
        <v>894</v>
      </c>
      <c r="R82" s="206">
        <f t="shared" si="52"/>
        <v>84</v>
      </c>
      <c r="S82" s="206">
        <f t="shared" si="53"/>
        <v>303</v>
      </c>
      <c r="T82" s="206">
        <f t="shared" si="54"/>
        <v>382</v>
      </c>
      <c r="U82" s="205">
        <v>10102</v>
      </c>
      <c r="V82" s="206">
        <f t="shared" si="55"/>
        <v>848</v>
      </c>
      <c r="W82" s="206">
        <f t="shared" si="56"/>
        <v>193</v>
      </c>
      <c r="X82" s="206">
        <f t="shared" si="57"/>
        <v>379</v>
      </c>
      <c r="Y82" s="206">
        <f t="shared" si="58"/>
        <v>318</v>
      </c>
      <c r="Z82" s="205">
        <v>10102</v>
      </c>
      <c r="AA82" s="206">
        <f t="shared" si="59"/>
        <v>965</v>
      </c>
      <c r="AB82" s="206">
        <f t="shared" si="60"/>
        <v>329</v>
      </c>
      <c r="AC82" s="206">
        <f t="shared" si="61"/>
        <v>303</v>
      </c>
      <c r="AD82" s="206">
        <f t="shared" si="62"/>
        <v>445</v>
      </c>
      <c r="AE82" s="205">
        <v>10102</v>
      </c>
      <c r="AF82" s="206">
        <f t="shared" si="63"/>
        <v>894</v>
      </c>
      <c r="AG82" s="206">
        <f t="shared" si="64"/>
        <v>102</v>
      </c>
      <c r="AH82" s="206">
        <f t="shared" si="65"/>
        <v>348</v>
      </c>
      <c r="AI82" s="206">
        <f t="shared" si="66"/>
        <v>382</v>
      </c>
    </row>
    <row r="83" spans="1:35" x14ac:dyDescent="0.15">
      <c r="A83" s="205">
        <v>10103</v>
      </c>
      <c r="B83" s="206">
        <f t="shared" si="67"/>
        <v>896</v>
      </c>
      <c r="C83" s="206">
        <f t="shared" si="67"/>
        <v>97</v>
      </c>
      <c r="D83" s="206">
        <f t="shared" si="67"/>
        <v>336</v>
      </c>
      <c r="E83" s="206">
        <f t="shared" si="42"/>
        <v>336</v>
      </c>
      <c r="F83" s="205">
        <v>10103</v>
      </c>
      <c r="G83" s="206">
        <f t="shared" si="43"/>
        <v>896</v>
      </c>
      <c r="H83" s="206">
        <f t="shared" si="44"/>
        <v>53</v>
      </c>
      <c r="I83" s="206">
        <f t="shared" si="45"/>
        <v>368</v>
      </c>
      <c r="J83" s="206">
        <f t="shared" si="46"/>
        <v>336</v>
      </c>
      <c r="K83" s="205">
        <v>10103</v>
      </c>
      <c r="L83" s="206">
        <f t="shared" si="47"/>
        <v>896</v>
      </c>
      <c r="M83" s="206">
        <f t="shared" si="48"/>
        <v>97</v>
      </c>
      <c r="N83" s="206">
        <f t="shared" si="49"/>
        <v>336</v>
      </c>
      <c r="O83" s="206">
        <f t="shared" si="50"/>
        <v>336</v>
      </c>
      <c r="P83" s="205">
        <v>10103</v>
      </c>
      <c r="Q83" s="206">
        <f t="shared" si="51"/>
        <v>944</v>
      </c>
      <c r="R83" s="206">
        <f t="shared" si="52"/>
        <v>89</v>
      </c>
      <c r="S83" s="206">
        <f t="shared" si="53"/>
        <v>320</v>
      </c>
      <c r="T83" s="206">
        <f t="shared" si="54"/>
        <v>403</v>
      </c>
      <c r="U83" s="205">
        <v>10103</v>
      </c>
      <c r="V83" s="206">
        <f t="shared" si="55"/>
        <v>896</v>
      </c>
      <c r="W83" s="206">
        <f t="shared" si="56"/>
        <v>203</v>
      </c>
      <c r="X83" s="206">
        <f t="shared" si="57"/>
        <v>400</v>
      </c>
      <c r="Y83" s="206">
        <f t="shared" si="58"/>
        <v>336</v>
      </c>
      <c r="Z83" s="205">
        <v>10103</v>
      </c>
      <c r="AA83" s="206">
        <f t="shared" si="59"/>
        <v>1019</v>
      </c>
      <c r="AB83" s="206">
        <f t="shared" si="60"/>
        <v>348</v>
      </c>
      <c r="AC83" s="206">
        <f t="shared" si="61"/>
        <v>320</v>
      </c>
      <c r="AD83" s="206">
        <f t="shared" si="62"/>
        <v>470</v>
      </c>
      <c r="AE83" s="205">
        <v>10103</v>
      </c>
      <c r="AF83" s="206">
        <f t="shared" si="63"/>
        <v>944</v>
      </c>
      <c r="AG83" s="206">
        <f t="shared" si="64"/>
        <v>108</v>
      </c>
      <c r="AH83" s="206">
        <f t="shared" si="65"/>
        <v>368</v>
      </c>
      <c r="AI83" s="206">
        <f t="shared" si="66"/>
        <v>403</v>
      </c>
    </row>
    <row r="84" spans="1:35" x14ac:dyDescent="0.15">
      <c r="A84" s="205">
        <v>10104</v>
      </c>
      <c r="B84" s="206">
        <f t="shared" si="67"/>
        <v>944</v>
      </c>
      <c r="C84" s="206">
        <f t="shared" si="67"/>
        <v>103</v>
      </c>
      <c r="D84" s="206">
        <f t="shared" si="67"/>
        <v>354</v>
      </c>
      <c r="E84" s="206">
        <f t="shared" si="42"/>
        <v>354</v>
      </c>
      <c r="F84" s="205">
        <v>10104</v>
      </c>
      <c r="G84" s="206">
        <f t="shared" si="43"/>
        <v>944</v>
      </c>
      <c r="H84" s="206">
        <f t="shared" si="44"/>
        <v>56</v>
      </c>
      <c r="I84" s="206">
        <f t="shared" si="45"/>
        <v>388</v>
      </c>
      <c r="J84" s="206">
        <f t="shared" si="46"/>
        <v>354</v>
      </c>
      <c r="K84" s="205">
        <v>10104</v>
      </c>
      <c r="L84" s="206">
        <f t="shared" si="47"/>
        <v>944</v>
      </c>
      <c r="M84" s="206">
        <f t="shared" si="48"/>
        <v>103</v>
      </c>
      <c r="N84" s="206">
        <f t="shared" si="49"/>
        <v>354</v>
      </c>
      <c r="O84" s="206">
        <f t="shared" si="50"/>
        <v>354</v>
      </c>
      <c r="P84" s="205">
        <v>10104</v>
      </c>
      <c r="Q84" s="206">
        <f t="shared" si="51"/>
        <v>995</v>
      </c>
      <c r="R84" s="206">
        <f t="shared" si="52"/>
        <v>94</v>
      </c>
      <c r="S84" s="206">
        <f t="shared" si="53"/>
        <v>337</v>
      </c>
      <c r="T84" s="206">
        <f t="shared" si="54"/>
        <v>425</v>
      </c>
      <c r="U84" s="205">
        <v>10104</v>
      </c>
      <c r="V84" s="206">
        <f t="shared" si="55"/>
        <v>944</v>
      </c>
      <c r="W84" s="206">
        <f t="shared" si="56"/>
        <v>214</v>
      </c>
      <c r="X84" s="206">
        <f t="shared" si="57"/>
        <v>421</v>
      </c>
      <c r="Y84" s="206">
        <f t="shared" si="58"/>
        <v>354</v>
      </c>
      <c r="Z84" s="205">
        <v>10104</v>
      </c>
      <c r="AA84" s="206">
        <f t="shared" si="59"/>
        <v>1074</v>
      </c>
      <c r="AB84" s="206">
        <f t="shared" si="60"/>
        <v>366</v>
      </c>
      <c r="AC84" s="206">
        <f t="shared" si="61"/>
        <v>337</v>
      </c>
      <c r="AD84" s="206">
        <f t="shared" si="62"/>
        <v>496</v>
      </c>
      <c r="AE84" s="205">
        <v>10104</v>
      </c>
      <c r="AF84" s="206">
        <f t="shared" si="63"/>
        <v>995</v>
      </c>
      <c r="AG84" s="206">
        <f t="shared" si="64"/>
        <v>114</v>
      </c>
      <c r="AH84" s="206">
        <f t="shared" si="65"/>
        <v>388</v>
      </c>
      <c r="AI84" s="206">
        <f t="shared" si="66"/>
        <v>425</v>
      </c>
    </row>
    <row r="85" spans="1:35" x14ac:dyDescent="0.15">
      <c r="A85" s="205">
        <v>10105</v>
      </c>
      <c r="B85" s="206">
        <f t="shared" si="67"/>
        <v>992</v>
      </c>
      <c r="C85" s="206">
        <f t="shared" si="67"/>
        <v>108</v>
      </c>
      <c r="D85" s="206">
        <f t="shared" si="67"/>
        <v>372</v>
      </c>
      <c r="E85" s="206">
        <f t="shared" si="42"/>
        <v>372</v>
      </c>
      <c r="F85" s="205">
        <v>10105</v>
      </c>
      <c r="G85" s="206">
        <f t="shared" si="43"/>
        <v>992</v>
      </c>
      <c r="H85" s="206">
        <f t="shared" si="44"/>
        <v>58</v>
      </c>
      <c r="I85" s="206">
        <f t="shared" si="45"/>
        <v>407</v>
      </c>
      <c r="J85" s="206">
        <f t="shared" si="46"/>
        <v>372</v>
      </c>
      <c r="K85" s="205">
        <v>10105</v>
      </c>
      <c r="L85" s="206">
        <f t="shared" si="47"/>
        <v>992</v>
      </c>
      <c r="M85" s="206">
        <f t="shared" si="48"/>
        <v>108</v>
      </c>
      <c r="N85" s="206">
        <f t="shared" si="49"/>
        <v>372</v>
      </c>
      <c r="O85" s="206">
        <f t="shared" si="50"/>
        <v>372</v>
      </c>
      <c r="P85" s="205">
        <v>10105</v>
      </c>
      <c r="Q85" s="206">
        <f t="shared" si="51"/>
        <v>1045</v>
      </c>
      <c r="R85" s="206">
        <f t="shared" si="52"/>
        <v>99</v>
      </c>
      <c r="S85" s="206">
        <f t="shared" si="53"/>
        <v>354</v>
      </c>
      <c r="T85" s="206">
        <f t="shared" si="54"/>
        <v>446</v>
      </c>
      <c r="U85" s="205">
        <v>10105</v>
      </c>
      <c r="V85" s="206">
        <f t="shared" si="55"/>
        <v>992</v>
      </c>
      <c r="W85" s="206">
        <f t="shared" si="56"/>
        <v>225</v>
      </c>
      <c r="X85" s="206">
        <f t="shared" si="57"/>
        <v>443</v>
      </c>
      <c r="Y85" s="206">
        <f t="shared" si="58"/>
        <v>372</v>
      </c>
      <c r="Z85" s="205">
        <v>10105</v>
      </c>
      <c r="AA85" s="206">
        <f t="shared" si="59"/>
        <v>1129</v>
      </c>
      <c r="AB85" s="206">
        <f t="shared" si="60"/>
        <v>385</v>
      </c>
      <c r="AC85" s="206">
        <f t="shared" si="61"/>
        <v>354</v>
      </c>
      <c r="AD85" s="206">
        <f t="shared" si="62"/>
        <v>521</v>
      </c>
      <c r="AE85" s="205">
        <v>10105</v>
      </c>
      <c r="AF85" s="206">
        <f t="shared" si="63"/>
        <v>1045</v>
      </c>
      <c r="AG85" s="206">
        <f t="shared" si="64"/>
        <v>120</v>
      </c>
      <c r="AH85" s="206">
        <f t="shared" si="65"/>
        <v>407</v>
      </c>
      <c r="AI85" s="206">
        <f t="shared" si="66"/>
        <v>446</v>
      </c>
    </row>
    <row r="86" spans="1:35" x14ac:dyDescent="0.15">
      <c r="A86" s="205">
        <v>10201</v>
      </c>
      <c r="B86" s="206">
        <f t="shared" si="67"/>
        <v>928</v>
      </c>
      <c r="C86" s="206">
        <f t="shared" si="67"/>
        <v>101</v>
      </c>
      <c r="D86" s="206">
        <f t="shared" si="67"/>
        <v>348</v>
      </c>
      <c r="E86" s="206">
        <f t="shared" si="42"/>
        <v>348</v>
      </c>
      <c r="F86" s="205">
        <v>10201</v>
      </c>
      <c r="G86" s="206">
        <f t="shared" si="43"/>
        <v>928</v>
      </c>
      <c r="H86" s="206">
        <f t="shared" si="44"/>
        <v>55</v>
      </c>
      <c r="I86" s="206">
        <f t="shared" si="45"/>
        <v>381</v>
      </c>
      <c r="J86" s="206">
        <f t="shared" si="46"/>
        <v>348</v>
      </c>
      <c r="K86" s="205">
        <v>10201</v>
      </c>
      <c r="L86" s="206">
        <f t="shared" si="47"/>
        <v>928</v>
      </c>
      <c r="M86" s="206">
        <f t="shared" si="48"/>
        <v>101</v>
      </c>
      <c r="N86" s="206">
        <f t="shared" si="49"/>
        <v>348</v>
      </c>
      <c r="O86" s="206">
        <f t="shared" si="50"/>
        <v>348</v>
      </c>
      <c r="P86" s="205">
        <v>10201</v>
      </c>
      <c r="Q86" s="206">
        <f t="shared" si="51"/>
        <v>978</v>
      </c>
      <c r="R86" s="206">
        <f t="shared" si="52"/>
        <v>92</v>
      </c>
      <c r="S86" s="206">
        <f t="shared" si="53"/>
        <v>331</v>
      </c>
      <c r="T86" s="206">
        <f t="shared" si="54"/>
        <v>418</v>
      </c>
      <c r="U86" s="205">
        <v>10201</v>
      </c>
      <c r="V86" s="206">
        <f t="shared" si="55"/>
        <v>928</v>
      </c>
      <c r="W86" s="206">
        <f t="shared" si="56"/>
        <v>211</v>
      </c>
      <c r="X86" s="206">
        <f t="shared" si="57"/>
        <v>414</v>
      </c>
      <c r="Y86" s="206">
        <f t="shared" si="58"/>
        <v>348</v>
      </c>
      <c r="Z86" s="205">
        <v>10201</v>
      </c>
      <c r="AA86" s="206">
        <f t="shared" si="59"/>
        <v>1056</v>
      </c>
      <c r="AB86" s="206">
        <f t="shared" si="60"/>
        <v>360</v>
      </c>
      <c r="AC86" s="206">
        <f t="shared" si="61"/>
        <v>331</v>
      </c>
      <c r="AD86" s="206">
        <f t="shared" si="62"/>
        <v>487</v>
      </c>
      <c r="AE86" s="205">
        <v>10201</v>
      </c>
      <c r="AF86" s="206">
        <f t="shared" si="63"/>
        <v>978</v>
      </c>
      <c r="AG86" s="206">
        <f t="shared" si="64"/>
        <v>112</v>
      </c>
      <c r="AH86" s="206">
        <f t="shared" si="65"/>
        <v>381</v>
      </c>
      <c r="AI86" s="206">
        <f t="shared" si="66"/>
        <v>418</v>
      </c>
    </row>
    <row r="87" spans="1:35" x14ac:dyDescent="0.15">
      <c r="A87" s="205">
        <v>10202</v>
      </c>
      <c r="B87" s="206">
        <f t="shared" si="67"/>
        <v>992</v>
      </c>
      <c r="C87" s="206">
        <f t="shared" si="67"/>
        <v>108</v>
      </c>
      <c r="D87" s="206">
        <f t="shared" si="67"/>
        <v>372</v>
      </c>
      <c r="E87" s="206">
        <f t="shared" si="42"/>
        <v>372</v>
      </c>
      <c r="F87" s="205">
        <v>10202</v>
      </c>
      <c r="G87" s="206">
        <f t="shared" si="43"/>
        <v>992</v>
      </c>
      <c r="H87" s="206">
        <f t="shared" si="44"/>
        <v>58</v>
      </c>
      <c r="I87" s="206">
        <f t="shared" si="45"/>
        <v>407</v>
      </c>
      <c r="J87" s="206">
        <f t="shared" si="46"/>
        <v>372</v>
      </c>
      <c r="K87" s="205">
        <v>10202</v>
      </c>
      <c r="L87" s="206">
        <f t="shared" si="47"/>
        <v>992</v>
      </c>
      <c r="M87" s="206">
        <f t="shared" si="48"/>
        <v>108</v>
      </c>
      <c r="N87" s="206">
        <f t="shared" si="49"/>
        <v>372</v>
      </c>
      <c r="O87" s="206">
        <f t="shared" si="50"/>
        <v>372</v>
      </c>
      <c r="P87" s="205">
        <v>10202</v>
      </c>
      <c r="Q87" s="206">
        <f t="shared" si="51"/>
        <v>1045</v>
      </c>
      <c r="R87" s="206">
        <f t="shared" si="52"/>
        <v>99</v>
      </c>
      <c r="S87" s="206">
        <f t="shared" si="53"/>
        <v>354</v>
      </c>
      <c r="T87" s="206">
        <f t="shared" si="54"/>
        <v>446</v>
      </c>
      <c r="U87" s="205">
        <v>10202</v>
      </c>
      <c r="V87" s="206">
        <f t="shared" si="55"/>
        <v>992</v>
      </c>
      <c r="W87" s="206">
        <f t="shared" si="56"/>
        <v>225</v>
      </c>
      <c r="X87" s="206">
        <f t="shared" si="57"/>
        <v>443</v>
      </c>
      <c r="Y87" s="206">
        <f t="shared" si="58"/>
        <v>372</v>
      </c>
      <c r="Z87" s="205">
        <v>10202</v>
      </c>
      <c r="AA87" s="206">
        <f t="shared" si="59"/>
        <v>1129</v>
      </c>
      <c r="AB87" s="206">
        <f t="shared" si="60"/>
        <v>385</v>
      </c>
      <c r="AC87" s="206">
        <f t="shared" si="61"/>
        <v>354</v>
      </c>
      <c r="AD87" s="206">
        <f t="shared" si="62"/>
        <v>521</v>
      </c>
      <c r="AE87" s="205">
        <v>10202</v>
      </c>
      <c r="AF87" s="206">
        <f t="shared" si="63"/>
        <v>1045</v>
      </c>
      <c r="AG87" s="206">
        <f t="shared" si="64"/>
        <v>120</v>
      </c>
      <c r="AH87" s="206">
        <f t="shared" si="65"/>
        <v>407</v>
      </c>
      <c r="AI87" s="206">
        <f t="shared" si="66"/>
        <v>446</v>
      </c>
    </row>
    <row r="88" spans="1:35" x14ac:dyDescent="0.15">
      <c r="A88" s="205">
        <v>10203</v>
      </c>
      <c r="B88" s="206">
        <f t="shared" si="67"/>
        <v>1056</v>
      </c>
      <c r="C88" s="206">
        <f t="shared" si="67"/>
        <v>115</v>
      </c>
      <c r="D88" s="206">
        <f t="shared" si="67"/>
        <v>396</v>
      </c>
      <c r="E88" s="206">
        <f t="shared" si="42"/>
        <v>396</v>
      </c>
      <c r="F88" s="205">
        <v>10203</v>
      </c>
      <c r="G88" s="206">
        <f t="shared" si="43"/>
        <v>1056</v>
      </c>
      <c r="H88" s="206">
        <f t="shared" si="44"/>
        <v>62</v>
      </c>
      <c r="I88" s="206">
        <f t="shared" si="45"/>
        <v>434</v>
      </c>
      <c r="J88" s="206">
        <f t="shared" si="46"/>
        <v>396</v>
      </c>
      <c r="K88" s="205">
        <v>10203</v>
      </c>
      <c r="L88" s="206">
        <f t="shared" si="47"/>
        <v>1056</v>
      </c>
      <c r="M88" s="206">
        <f t="shared" si="48"/>
        <v>115</v>
      </c>
      <c r="N88" s="206">
        <f t="shared" si="49"/>
        <v>396</v>
      </c>
      <c r="O88" s="206">
        <f t="shared" si="50"/>
        <v>396</v>
      </c>
      <c r="P88" s="205">
        <v>10203</v>
      </c>
      <c r="Q88" s="206">
        <f t="shared" si="51"/>
        <v>1113</v>
      </c>
      <c r="R88" s="206">
        <f t="shared" si="52"/>
        <v>105</v>
      </c>
      <c r="S88" s="206">
        <f t="shared" si="53"/>
        <v>377</v>
      </c>
      <c r="T88" s="206">
        <f t="shared" si="54"/>
        <v>475</v>
      </c>
      <c r="U88" s="205">
        <v>10203</v>
      </c>
      <c r="V88" s="206">
        <f t="shared" si="55"/>
        <v>1056</v>
      </c>
      <c r="W88" s="206">
        <f t="shared" si="56"/>
        <v>240</v>
      </c>
      <c r="X88" s="206">
        <f t="shared" si="57"/>
        <v>471</v>
      </c>
      <c r="Y88" s="206">
        <f t="shared" si="58"/>
        <v>396</v>
      </c>
      <c r="Z88" s="205">
        <v>10203</v>
      </c>
      <c r="AA88" s="206">
        <f t="shared" si="59"/>
        <v>1201</v>
      </c>
      <c r="AB88" s="206">
        <f t="shared" si="60"/>
        <v>410</v>
      </c>
      <c r="AC88" s="206">
        <f t="shared" si="61"/>
        <v>377</v>
      </c>
      <c r="AD88" s="206">
        <f t="shared" si="62"/>
        <v>554</v>
      </c>
      <c r="AE88" s="205">
        <v>10203</v>
      </c>
      <c r="AF88" s="206">
        <f t="shared" si="63"/>
        <v>1113</v>
      </c>
      <c r="AG88" s="206">
        <f t="shared" si="64"/>
        <v>127</v>
      </c>
      <c r="AH88" s="206">
        <f t="shared" si="65"/>
        <v>434</v>
      </c>
      <c r="AI88" s="206">
        <f t="shared" si="66"/>
        <v>475</v>
      </c>
    </row>
    <row r="89" spans="1:35" x14ac:dyDescent="0.15">
      <c r="A89" s="205">
        <v>10204</v>
      </c>
      <c r="B89" s="206">
        <f t="shared" si="67"/>
        <v>1120</v>
      </c>
      <c r="C89" s="206">
        <f t="shared" si="67"/>
        <v>122</v>
      </c>
      <c r="D89" s="206">
        <f t="shared" si="67"/>
        <v>420</v>
      </c>
      <c r="E89" s="206">
        <f t="shared" si="42"/>
        <v>420</v>
      </c>
      <c r="F89" s="205">
        <v>10204</v>
      </c>
      <c r="G89" s="206">
        <f t="shared" si="43"/>
        <v>1120</v>
      </c>
      <c r="H89" s="206">
        <f t="shared" si="44"/>
        <v>66</v>
      </c>
      <c r="I89" s="206">
        <f t="shared" si="45"/>
        <v>460</v>
      </c>
      <c r="J89" s="206">
        <f t="shared" si="46"/>
        <v>420</v>
      </c>
      <c r="K89" s="205">
        <v>10204</v>
      </c>
      <c r="L89" s="206">
        <f t="shared" si="47"/>
        <v>1120</v>
      </c>
      <c r="M89" s="206">
        <f t="shared" si="48"/>
        <v>122</v>
      </c>
      <c r="N89" s="206">
        <f t="shared" si="49"/>
        <v>420</v>
      </c>
      <c r="O89" s="206">
        <f t="shared" si="50"/>
        <v>420</v>
      </c>
      <c r="P89" s="205">
        <v>10204</v>
      </c>
      <c r="Q89" s="206">
        <f t="shared" si="51"/>
        <v>1180</v>
      </c>
      <c r="R89" s="206">
        <f t="shared" si="52"/>
        <v>111</v>
      </c>
      <c r="S89" s="206">
        <f t="shared" si="53"/>
        <v>400</v>
      </c>
      <c r="T89" s="206">
        <f t="shared" si="54"/>
        <v>504</v>
      </c>
      <c r="U89" s="205">
        <v>10204</v>
      </c>
      <c r="V89" s="206">
        <f t="shared" si="55"/>
        <v>1120</v>
      </c>
      <c r="W89" s="206">
        <f t="shared" si="56"/>
        <v>254</v>
      </c>
      <c r="X89" s="206">
        <f t="shared" si="57"/>
        <v>500</v>
      </c>
      <c r="Y89" s="206">
        <f t="shared" si="58"/>
        <v>420</v>
      </c>
      <c r="Z89" s="205">
        <v>10204</v>
      </c>
      <c r="AA89" s="206">
        <f t="shared" si="59"/>
        <v>1274</v>
      </c>
      <c r="AB89" s="206">
        <f t="shared" si="60"/>
        <v>435</v>
      </c>
      <c r="AC89" s="206">
        <f t="shared" si="61"/>
        <v>400</v>
      </c>
      <c r="AD89" s="206">
        <f t="shared" si="62"/>
        <v>588</v>
      </c>
      <c r="AE89" s="205">
        <v>10204</v>
      </c>
      <c r="AF89" s="206">
        <f t="shared" si="63"/>
        <v>1180</v>
      </c>
      <c r="AG89" s="206">
        <f t="shared" si="64"/>
        <v>135</v>
      </c>
      <c r="AH89" s="206">
        <f t="shared" si="65"/>
        <v>460</v>
      </c>
      <c r="AI89" s="206">
        <f t="shared" si="66"/>
        <v>504</v>
      </c>
    </row>
    <row r="90" spans="1:35" x14ac:dyDescent="0.15">
      <c r="A90" s="205">
        <v>10205</v>
      </c>
      <c r="B90" s="206">
        <f t="shared" si="67"/>
        <v>1184</v>
      </c>
      <c r="C90" s="206">
        <f t="shared" si="67"/>
        <v>129</v>
      </c>
      <c r="D90" s="206">
        <f t="shared" si="67"/>
        <v>444</v>
      </c>
      <c r="E90" s="206">
        <f t="shared" si="42"/>
        <v>444</v>
      </c>
      <c r="F90" s="205">
        <v>10205</v>
      </c>
      <c r="G90" s="206">
        <f t="shared" si="43"/>
        <v>1184</v>
      </c>
      <c r="H90" s="206">
        <f t="shared" si="44"/>
        <v>70</v>
      </c>
      <c r="I90" s="206">
        <f t="shared" si="45"/>
        <v>486</v>
      </c>
      <c r="J90" s="206">
        <f t="shared" si="46"/>
        <v>444</v>
      </c>
      <c r="K90" s="205">
        <v>10205</v>
      </c>
      <c r="L90" s="206">
        <f t="shared" si="47"/>
        <v>1184</v>
      </c>
      <c r="M90" s="206">
        <f t="shared" si="48"/>
        <v>129</v>
      </c>
      <c r="N90" s="206">
        <f t="shared" si="49"/>
        <v>444</v>
      </c>
      <c r="O90" s="206">
        <f t="shared" si="50"/>
        <v>444</v>
      </c>
      <c r="P90" s="205">
        <v>10205</v>
      </c>
      <c r="Q90" s="206">
        <f t="shared" si="51"/>
        <v>1248</v>
      </c>
      <c r="R90" s="206">
        <f t="shared" si="52"/>
        <v>118</v>
      </c>
      <c r="S90" s="206">
        <f t="shared" si="53"/>
        <v>423</v>
      </c>
      <c r="T90" s="206">
        <f t="shared" si="54"/>
        <v>533</v>
      </c>
      <c r="U90" s="205">
        <v>10205</v>
      </c>
      <c r="V90" s="206">
        <f t="shared" si="55"/>
        <v>1184</v>
      </c>
      <c r="W90" s="206">
        <f t="shared" si="56"/>
        <v>269</v>
      </c>
      <c r="X90" s="206">
        <f t="shared" si="57"/>
        <v>529</v>
      </c>
      <c r="Y90" s="206">
        <f t="shared" si="58"/>
        <v>444</v>
      </c>
      <c r="Z90" s="205">
        <v>10205</v>
      </c>
      <c r="AA90" s="206">
        <f t="shared" si="59"/>
        <v>1347</v>
      </c>
      <c r="AB90" s="206">
        <f t="shared" si="60"/>
        <v>460</v>
      </c>
      <c r="AC90" s="206">
        <f t="shared" si="61"/>
        <v>423</v>
      </c>
      <c r="AD90" s="206">
        <f t="shared" si="62"/>
        <v>622</v>
      </c>
      <c r="AE90" s="205">
        <v>10205</v>
      </c>
      <c r="AF90" s="206">
        <f t="shared" si="63"/>
        <v>1248</v>
      </c>
      <c r="AG90" s="206">
        <f t="shared" si="64"/>
        <v>143</v>
      </c>
      <c r="AH90" s="206">
        <f t="shared" si="65"/>
        <v>486</v>
      </c>
      <c r="AI90" s="206">
        <f t="shared" si="66"/>
        <v>533</v>
      </c>
    </row>
    <row r="91" spans="1:35" x14ac:dyDescent="0.15">
      <c r="A91" s="205">
        <v>10206</v>
      </c>
      <c r="B91" s="206">
        <f t="shared" si="67"/>
        <v>1248</v>
      </c>
      <c r="C91" s="206">
        <f t="shared" si="67"/>
        <v>136</v>
      </c>
      <c r="D91" s="206">
        <f t="shared" si="67"/>
        <v>468</v>
      </c>
      <c r="E91" s="206">
        <f t="shared" si="42"/>
        <v>468</v>
      </c>
      <c r="F91" s="205">
        <v>10206</v>
      </c>
      <c r="G91" s="206">
        <f t="shared" si="43"/>
        <v>1248</v>
      </c>
      <c r="H91" s="206">
        <f t="shared" si="44"/>
        <v>74</v>
      </c>
      <c r="I91" s="206">
        <f t="shared" si="45"/>
        <v>513</v>
      </c>
      <c r="J91" s="206">
        <f t="shared" si="46"/>
        <v>468</v>
      </c>
      <c r="K91" s="205">
        <v>10206</v>
      </c>
      <c r="L91" s="206">
        <f t="shared" si="47"/>
        <v>1248</v>
      </c>
      <c r="M91" s="206">
        <f t="shared" si="48"/>
        <v>136</v>
      </c>
      <c r="N91" s="206">
        <f t="shared" si="49"/>
        <v>468</v>
      </c>
      <c r="O91" s="206">
        <f t="shared" si="50"/>
        <v>468</v>
      </c>
      <c r="P91" s="205">
        <v>10206</v>
      </c>
      <c r="Q91" s="206">
        <f t="shared" si="51"/>
        <v>1315</v>
      </c>
      <c r="R91" s="206">
        <f t="shared" si="52"/>
        <v>124</v>
      </c>
      <c r="S91" s="206">
        <f t="shared" si="53"/>
        <v>446</v>
      </c>
      <c r="T91" s="206">
        <f t="shared" si="54"/>
        <v>562</v>
      </c>
      <c r="U91" s="205">
        <v>10206</v>
      </c>
      <c r="V91" s="206">
        <f t="shared" si="55"/>
        <v>1248</v>
      </c>
      <c r="W91" s="206">
        <f t="shared" si="56"/>
        <v>283</v>
      </c>
      <c r="X91" s="206">
        <f t="shared" si="57"/>
        <v>557</v>
      </c>
      <c r="Y91" s="206">
        <f t="shared" si="58"/>
        <v>468</v>
      </c>
      <c r="Z91" s="205">
        <v>10206</v>
      </c>
      <c r="AA91" s="206">
        <f t="shared" si="59"/>
        <v>1420</v>
      </c>
      <c r="AB91" s="206">
        <f t="shared" si="60"/>
        <v>484</v>
      </c>
      <c r="AC91" s="206">
        <f t="shared" si="61"/>
        <v>446</v>
      </c>
      <c r="AD91" s="206">
        <f t="shared" si="62"/>
        <v>655</v>
      </c>
      <c r="AE91" s="205">
        <v>10206</v>
      </c>
      <c r="AF91" s="206">
        <f t="shared" si="63"/>
        <v>1315</v>
      </c>
      <c r="AG91" s="206">
        <f t="shared" si="64"/>
        <v>151</v>
      </c>
      <c r="AH91" s="206">
        <f t="shared" si="65"/>
        <v>513</v>
      </c>
      <c r="AI91" s="206">
        <f t="shared" si="66"/>
        <v>562</v>
      </c>
    </row>
    <row r="92" spans="1:35" x14ac:dyDescent="0.15">
      <c r="A92" s="205">
        <v>10207</v>
      </c>
      <c r="B92" s="206">
        <f t="shared" si="67"/>
        <v>1312</v>
      </c>
      <c r="C92" s="206">
        <f t="shared" si="67"/>
        <v>143</v>
      </c>
      <c r="D92" s="206">
        <f t="shared" si="67"/>
        <v>492</v>
      </c>
      <c r="E92" s="206">
        <f t="shared" si="42"/>
        <v>492</v>
      </c>
      <c r="F92" s="205">
        <v>10207</v>
      </c>
      <c r="G92" s="206">
        <f t="shared" si="43"/>
        <v>1312</v>
      </c>
      <c r="H92" s="206">
        <f t="shared" si="44"/>
        <v>77</v>
      </c>
      <c r="I92" s="206">
        <f t="shared" si="45"/>
        <v>539</v>
      </c>
      <c r="J92" s="206">
        <f t="shared" si="46"/>
        <v>492</v>
      </c>
      <c r="K92" s="205">
        <v>10207</v>
      </c>
      <c r="L92" s="206">
        <f t="shared" si="47"/>
        <v>1312</v>
      </c>
      <c r="M92" s="206">
        <f t="shared" si="48"/>
        <v>143</v>
      </c>
      <c r="N92" s="206">
        <f t="shared" si="49"/>
        <v>492</v>
      </c>
      <c r="O92" s="206">
        <f t="shared" si="50"/>
        <v>492</v>
      </c>
      <c r="P92" s="205">
        <v>10207</v>
      </c>
      <c r="Q92" s="206">
        <f t="shared" si="51"/>
        <v>1382</v>
      </c>
      <c r="R92" s="206">
        <f t="shared" si="52"/>
        <v>130</v>
      </c>
      <c r="S92" s="206">
        <f t="shared" si="53"/>
        <v>469</v>
      </c>
      <c r="T92" s="206">
        <f t="shared" si="54"/>
        <v>590</v>
      </c>
      <c r="U92" s="205">
        <v>10207</v>
      </c>
      <c r="V92" s="206">
        <f t="shared" si="55"/>
        <v>1312</v>
      </c>
      <c r="W92" s="206">
        <f t="shared" si="56"/>
        <v>298</v>
      </c>
      <c r="X92" s="206">
        <f t="shared" si="57"/>
        <v>586</v>
      </c>
      <c r="Y92" s="206">
        <f t="shared" si="58"/>
        <v>492</v>
      </c>
      <c r="Z92" s="205">
        <v>10207</v>
      </c>
      <c r="AA92" s="206">
        <f t="shared" si="59"/>
        <v>1493</v>
      </c>
      <c r="AB92" s="206">
        <f t="shared" si="60"/>
        <v>509</v>
      </c>
      <c r="AC92" s="206">
        <f t="shared" si="61"/>
        <v>469</v>
      </c>
      <c r="AD92" s="206">
        <f t="shared" si="62"/>
        <v>689</v>
      </c>
      <c r="AE92" s="205">
        <v>10207</v>
      </c>
      <c r="AF92" s="206">
        <f t="shared" si="63"/>
        <v>1382</v>
      </c>
      <c r="AG92" s="206">
        <f t="shared" si="64"/>
        <v>158</v>
      </c>
      <c r="AH92" s="206">
        <f t="shared" si="65"/>
        <v>539</v>
      </c>
      <c r="AI92" s="206">
        <f t="shared" si="66"/>
        <v>590</v>
      </c>
    </row>
    <row r="93" spans="1:35" x14ac:dyDescent="0.15">
      <c r="A93" s="205">
        <v>10301</v>
      </c>
      <c r="B93" s="206">
        <f t="shared" ref="B93:B101" si="68">C21</f>
        <v>1144</v>
      </c>
      <c r="C93" s="206">
        <f t="shared" ref="C93:D101" si="69">D21</f>
        <v>124</v>
      </c>
      <c r="D93" s="206">
        <f t="shared" si="69"/>
        <v>429</v>
      </c>
      <c r="E93" s="206">
        <f t="shared" ref="E93:E101" si="70">H21</f>
        <v>429</v>
      </c>
      <c r="F93" s="205">
        <v>10301</v>
      </c>
      <c r="G93" s="206">
        <f t="shared" ref="G93:G101" si="71">AA21</f>
        <v>1144</v>
      </c>
      <c r="H93" s="206">
        <f t="shared" ref="H93:H101" si="72">AB21</f>
        <v>67</v>
      </c>
      <c r="I93" s="206">
        <f t="shared" ref="I93:I101" si="73">AC21</f>
        <v>470</v>
      </c>
      <c r="J93" s="206">
        <f t="shared" ref="J93:J101" si="74">AF21</f>
        <v>429</v>
      </c>
      <c r="K93" s="205">
        <v>10301</v>
      </c>
      <c r="L93" s="206">
        <f t="shared" ref="L93:L101" si="75">AY21</f>
        <v>1144</v>
      </c>
      <c r="M93" s="206">
        <f t="shared" ref="M93:M101" si="76">AZ21</f>
        <v>124</v>
      </c>
      <c r="N93" s="206">
        <f t="shared" ref="N93:N101" si="77">BA21</f>
        <v>429</v>
      </c>
      <c r="O93" s="206">
        <f t="shared" ref="O93:O101" si="78">BD21</f>
        <v>429</v>
      </c>
      <c r="P93" s="205">
        <v>10301</v>
      </c>
      <c r="Q93" s="206">
        <f t="shared" ref="Q93:Q101" si="79">BW21</f>
        <v>1205</v>
      </c>
      <c r="R93" s="206">
        <f t="shared" ref="R93:R101" si="80">BX21</f>
        <v>114</v>
      </c>
      <c r="S93" s="206">
        <f t="shared" ref="S93:S101" si="81">BY21</f>
        <v>409</v>
      </c>
      <c r="T93" s="206">
        <f t="shared" ref="T93:T101" si="82">CB21</f>
        <v>515</v>
      </c>
      <c r="U93" s="205">
        <v>10301</v>
      </c>
      <c r="V93" s="206">
        <f t="shared" ref="V93:V101" si="83">CU21</f>
        <v>1144</v>
      </c>
      <c r="W93" s="206">
        <f t="shared" ref="W93:W101" si="84">CV21</f>
        <v>260</v>
      </c>
      <c r="X93" s="206">
        <f t="shared" ref="X93:X101" si="85">CW21</f>
        <v>511</v>
      </c>
      <c r="Y93" s="206">
        <f t="shared" ref="Y93:Y101" si="86">CZ21</f>
        <v>429</v>
      </c>
      <c r="Z93" s="205">
        <v>10301</v>
      </c>
      <c r="AA93" s="206">
        <f t="shared" ref="AA93:AA101" si="87">DS21</f>
        <v>1302</v>
      </c>
      <c r="AB93" s="206">
        <f t="shared" ref="AB93:AB101" si="88">DT21</f>
        <v>444</v>
      </c>
      <c r="AC93" s="206">
        <f t="shared" ref="AC93:AC101" si="89">DU21</f>
        <v>409</v>
      </c>
      <c r="AD93" s="206">
        <f t="shared" ref="AD93:AD101" si="90">DX21</f>
        <v>601</v>
      </c>
      <c r="AE93" s="205">
        <v>10301</v>
      </c>
      <c r="AF93" s="206">
        <f t="shared" ref="AF93:AF101" si="91">EQ21</f>
        <v>1205</v>
      </c>
      <c r="AG93" s="206">
        <f t="shared" ref="AG93:AG101" si="92">ER21</f>
        <v>138</v>
      </c>
      <c r="AH93" s="206">
        <f t="shared" ref="AH93:AH101" si="93">ES21</f>
        <v>470</v>
      </c>
      <c r="AI93" s="206">
        <f t="shared" ref="AI93:AI101" si="94">EV21</f>
        <v>515</v>
      </c>
    </row>
    <row r="94" spans="1:35" x14ac:dyDescent="0.15">
      <c r="A94" s="205">
        <v>10302</v>
      </c>
      <c r="B94" s="206">
        <f t="shared" si="68"/>
        <v>1216</v>
      </c>
      <c r="C94" s="206">
        <f t="shared" si="69"/>
        <v>132</v>
      </c>
      <c r="D94" s="206">
        <f t="shared" si="69"/>
        <v>456</v>
      </c>
      <c r="E94" s="206">
        <f t="shared" si="70"/>
        <v>456</v>
      </c>
      <c r="F94" s="205">
        <v>10302</v>
      </c>
      <c r="G94" s="206">
        <f t="shared" si="71"/>
        <v>1216</v>
      </c>
      <c r="H94" s="206">
        <f t="shared" si="72"/>
        <v>72</v>
      </c>
      <c r="I94" s="206">
        <f t="shared" si="73"/>
        <v>499</v>
      </c>
      <c r="J94" s="206">
        <f t="shared" si="74"/>
        <v>456</v>
      </c>
      <c r="K94" s="205">
        <v>10302</v>
      </c>
      <c r="L94" s="206">
        <f t="shared" si="75"/>
        <v>1216</v>
      </c>
      <c r="M94" s="206">
        <f t="shared" si="76"/>
        <v>132</v>
      </c>
      <c r="N94" s="206">
        <f t="shared" si="77"/>
        <v>456</v>
      </c>
      <c r="O94" s="206">
        <f t="shared" si="78"/>
        <v>456</v>
      </c>
      <c r="P94" s="205">
        <v>10302</v>
      </c>
      <c r="Q94" s="206">
        <f t="shared" si="79"/>
        <v>1281</v>
      </c>
      <c r="R94" s="206">
        <f t="shared" si="80"/>
        <v>121</v>
      </c>
      <c r="S94" s="206">
        <f t="shared" si="81"/>
        <v>434</v>
      </c>
      <c r="T94" s="206">
        <f t="shared" si="82"/>
        <v>547</v>
      </c>
      <c r="U94" s="205">
        <v>10302</v>
      </c>
      <c r="V94" s="206">
        <f t="shared" si="83"/>
        <v>1216</v>
      </c>
      <c r="W94" s="206">
        <f t="shared" si="84"/>
        <v>276</v>
      </c>
      <c r="X94" s="206">
        <f t="shared" si="85"/>
        <v>543</v>
      </c>
      <c r="Y94" s="206">
        <f t="shared" si="86"/>
        <v>456</v>
      </c>
      <c r="Z94" s="205">
        <v>10302</v>
      </c>
      <c r="AA94" s="206">
        <f t="shared" si="87"/>
        <v>1383</v>
      </c>
      <c r="AB94" s="206">
        <f t="shared" si="88"/>
        <v>472</v>
      </c>
      <c r="AC94" s="206">
        <f t="shared" si="89"/>
        <v>434</v>
      </c>
      <c r="AD94" s="206">
        <f t="shared" si="90"/>
        <v>638</v>
      </c>
      <c r="AE94" s="205">
        <v>10302</v>
      </c>
      <c r="AF94" s="206">
        <f t="shared" si="91"/>
        <v>1281</v>
      </c>
      <c r="AG94" s="206">
        <f t="shared" si="92"/>
        <v>147</v>
      </c>
      <c r="AH94" s="206">
        <f t="shared" si="93"/>
        <v>499</v>
      </c>
      <c r="AI94" s="206">
        <f t="shared" si="94"/>
        <v>547</v>
      </c>
    </row>
    <row r="95" spans="1:35" x14ac:dyDescent="0.15">
      <c r="A95" s="205">
        <v>10303</v>
      </c>
      <c r="B95" s="206">
        <f t="shared" si="68"/>
        <v>1288</v>
      </c>
      <c r="C95" s="206">
        <f t="shared" si="69"/>
        <v>140</v>
      </c>
      <c r="D95" s="206">
        <f t="shared" si="69"/>
        <v>483</v>
      </c>
      <c r="E95" s="206">
        <f t="shared" si="70"/>
        <v>483</v>
      </c>
      <c r="F95" s="205">
        <v>10303</v>
      </c>
      <c r="G95" s="206">
        <f t="shared" si="71"/>
        <v>1288</v>
      </c>
      <c r="H95" s="206">
        <f t="shared" si="72"/>
        <v>76</v>
      </c>
      <c r="I95" s="206">
        <f t="shared" si="73"/>
        <v>529</v>
      </c>
      <c r="J95" s="206">
        <f t="shared" si="74"/>
        <v>483</v>
      </c>
      <c r="K95" s="205">
        <v>10303</v>
      </c>
      <c r="L95" s="206">
        <f t="shared" si="75"/>
        <v>1288</v>
      </c>
      <c r="M95" s="206">
        <f t="shared" si="76"/>
        <v>140</v>
      </c>
      <c r="N95" s="206">
        <f t="shared" si="77"/>
        <v>483</v>
      </c>
      <c r="O95" s="206">
        <f t="shared" si="78"/>
        <v>483</v>
      </c>
      <c r="P95" s="205">
        <v>10303</v>
      </c>
      <c r="Q95" s="206">
        <f t="shared" si="79"/>
        <v>1357</v>
      </c>
      <c r="R95" s="206">
        <f t="shared" si="80"/>
        <v>128</v>
      </c>
      <c r="S95" s="206">
        <f t="shared" si="81"/>
        <v>460</v>
      </c>
      <c r="T95" s="206">
        <f t="shared" si="82"/>
        <v>580</v>
      </c>
      <c r="U95" s="205">
        <v>10303</v>
      </c>
      <c r="V95" s="206">
        <f t="shared" si="83"/>
        <v>1288</v>
      </c>
      <c r="W95" s="206">
        <f t="shared" si="84"/>
        <v>293</v>
      </c>
      <c r="X95" s="206">
        <f t="shared" si="85"/>
        <v>575</v>
      </c>
      <c r="Y95" s="206">
        <f t="shared" si="86"/>
        <v>483</v>
      </c>
      <c r="Z95" s="205">
        <v>10303</v>
      </c>
      <c r="AA95" s="206">
        <f t="shared" si="87"/>
        <v>1465</v>
      </c>
      <c r="AB95" s="206">
        <f t="shared" si="88"/>
        <v>500</v>
      </c>
      <c r="AC95" s="206">
        <f t="shared" si="89"/>
        <v>460</v>
      </c>
      <c r="AD95" s="206">
        <f t="shared" si="90"/>
        <v>676</v>
      </c>
      <c r="AE95" s="205">
        <v>10303</v>
      </c>
      <c r="AF95" s="206">
        <f t="shared" si="91"/>
        <v>1357</v>
      </c>
      <c r="AG95" s="206">
        <f t="shared" si="92"/>
        <v>155</v>
      </c>
      <c r="AH95" s="206">
        <f t="shared" si="93"/>
        <v>529</v>
      </c>
      <c r="AI95" s="206">
        <f t="shared" si="94"/>
        <v>580</v>
      </c>
    </row>
    <row r="96" spans="1:35" x14ac:dyDescent="0.15">
      <c r="A96" s="205">
        <v>10304</v>
      </c>
      <c r="B96" s="206">
        <f t="shared" si="68"/>
        <v>1360</v>
      </c>
      <c r="C96" s="206">
        <f t="shared" si="69"/>
        <v>148</v>
      </c>
      <c r="D96" s="206">
        <f t="shared" si="69"/>
        <v>510</v>
      </c>
      <c r="E96" s="206">
        <f t="shared" si="70"/>
        <v>510</v>
      </c>
      <c r="F96" s="205">
        <v>10304</v>
      </c>
      <c r="G96" s="206">
        <f t="shared" si="71"/>
        <v>1360</v>
      </c>
      <c r="H96" s="206">
        <f t="shared" si="72"/>
        <v>80</v>
      </c>
      <c r="I96" s="206">
        <f t="shared" si="73"/>
        <v>559</v>
      </c>
      <c r="J96" s="206">
        <f t="shared" si="74"/>
        <v>510</v>
      </c>
      <c r="K96" s="205">
        <v>10304</v>
      </c>
      <c r="L96" s="206">
        <f t="shared" si="75"/>
        <v>1360</v>
      </c>
      <c r="M96" s="206">
        <f t="shared" si="76"/>
        <v>148</v>
      </c>
      <c r="N96" s="206">
        <f t="shared" si="77"/>
        <v>510</v>
      </c>
      <c r="O96" s="206">
        <f t="shared" si="78"/>
        <v>510</v>
      </c>
      <c r="P96" s="205">
        <v>10304</v>
      </c>
      <c r="Q96" s="206">
        <f t="shared" si="79"/>
        <v>1433</v>
      </c>
      <c r="R96" s="206">
        <f t="shared" si="80"/>
        <v>135</v>
      </c>
      <c r="S96" s="206">
        <f t="shared" si="81"/>
        <v>486</v>
      </c>
      <c r="T96" s="206">
        <f t="shared" si="82"/>
        <v>612</v>
      </c>
      <c r="U96" s="205">
        <v>10304</v>
      </c>
      <c r="V96" s="206">
        <f t="shared" si="83"/>
        <v>1360</v>
      </c>
      <c r="W96" s="206">
        <f t="shared" si="84"/>
        <v>309</v>
      </c>
      <c r="X96" s="206">
        <f t="shared" si="85"/>
        <v>607</v>
      </c>
      <c r="Y96" s="206">
        <f t="shared" si="86"/>
        <v>510</v>
      </c>
      <c r="Z96" s="205">
        <v>10304</v>
      </c>
      <c r="AA96" s="206">
        <f t="shared" si="87"/>
        <v>1547</v>
      </c>
      <c r="AB96" s="206">
        <f t="shared" si="88"/>
        <v>528</v>
      </c>
      <c r="AC96" s="206">
        <f t="shared" si="89"/>
        <v>486</v>
      </c>
      <c r="AD96" s="206">
        <f t="shared" si="90"/>
        <v>714</v>
      </c>
      <c r="AE96" s="205">
        <v>10304</v>
      </c>
      <c r="AF96" s="206">
        <f t="shared" si="91"/>
        <v>1433</v>
      </c>
      <c r="AG96" s="206">
        <f t="shared" si="92"/>
        <v>164</v>
      </c>
      <c r="AH96" s="206">
        <f t="shared" si="93"/>
        <v>559</v>
      </c>
      <c r="AI96" s="206">
        <f t="shared" si="94"/>
        <v>612</v>
      </c>
    </row>
    <row r="97" spans="1:35" x14ac:dyDescent="0.15">
      <c r="A97" s="205">
        <v>10305</v>
      </c>
      <c r="B97" s="206">
        <f t="shared" si="68"/>
        <v>1432</v>
      </c>
      <c r="C97" s="206">
        <f t="shared" si="69"/>
        <v>156</v>
      </c>
      <c r="D97" s="206">
        <f t="shared" si="69"/>
        <v>537</v>
      </c>
      <c r="E97" s="206">
        <f t="shared" si="70"/>
        <v>537</v>
      </c>
      <c r="F97" s="205">
        <v>10305</v>
      </c>
      <c r="G97" s="206">
        <f t="shared" si="71"/>
        <v>1432</v>
      </c>
      <c r="H97" s="206">
        <f t="shared" si="72"/>
        <v>84</v>
      </c>
      <c r="I97" s="206">
        <f t="shared" si="73"/>
        <v>588</v>
      </c>
      <c r="J97" s="206">
        <f t="shared" si="74"/>
        <v>537</v>
      </c>
      <c r="K97" s="205">
        <v>10305</v>
      </c>
      <c r="L97" s="206">
        <f t="shared" si="75"/>
        <v>1432</v>
      </c>
      <c r="M97" s="206">
        <f t="shared" si="76"/>
        <v>156</v>
      </c>
      <c r="N97" s="206">
        <f t="shared" si="77"/>
        <v>537</v>
      </c>
      <c r="O97" s="206">
        <f t="shared" si="78"/>
        <v>537</v>
      </c>
      <c r="P97" s="205">
        <v>10305</v>
      </c>
      <c r="Q97" s="206">
        <f t="shared" si="79"/>
        <v>1509</v>
      </c>
      <c r="R97" s="206">
        <f t="shared" si="80"/>
        <v>142</v>
      </c>
      <c r="S97" s="206">
        <f t="shared" si="81"/>
        <v>511</v>
      </c>
      <c r="T97" s="206">
        <f t="shared" si="82"/>
        <v>644</v>
      </c>
      <c r="U97" s="205">
        <v>10305</v>
      </c>
      <c r="V97" s="206">
        <f t="shared" si="83"/>
        <v>1432</v>
      </c>
      <c r="W97" s="206">
        <f t="shared" si="84"/>
        <v>325</v>
      </c>
      <c r="X97" s="206">
        <f t="shared" si="85"/>
        <v>639</v>
      </c>
      <c r="Y97" s="206">
        <f t="shared" si="86"/>
        <v>537</v>
      </c>
      <c r="Z97" s="205">
        <v>10305</v>
      </c>
      <c r="AA97" s="206">
        <f t="shared" si="87"/>
        <v>1629</v>
      </c>
      <c r="AB97" s="206">
        <f t="shared" si="88"/>
        <v>556</v>
      </c>
      <c r="AC97" s="206">
        <f t="shared" si="89"/>
        <v>511</v>
      </c>
      <c r="AD97" s="206">
        <f t="shared" si="90"/>
        <v>752</v>
      </c>
      <c r="AE97" s="205">
        <v>10305</v>
      </c>
      <c r="AF97" s="206">
        <f t="shared" si="91"/>
        <v>1509</v>
      </c>
      <c r="AG97" s="206">
        <f t="shared" si="92"/>
        <v>173</v>
      </c>
      <c r="AH97" s="206">
        <f t="shared" si="93"/>
        <v>588</v>
      </c>
      <c r="AI97" s="206">
        <f t="shared" si="94"/>
        <v>644</v>
      </c>
    </row>
    <row r="98" spans="1:35" x14ac:dyDescent="0.15">
      <c r="A98" s="205">
        <v>10306</v>
      </c>
      <c r="B98" s="206">
        <f t="shared" si="68"/>
        <v>1504</v>
      </c>
      <c r="C98" s="206">
        <f t="shared" si="69"/>
        <v>164</v>
      </c>
      <c r="D98" s="206">
        <f t="shared" si="69"/>
        <v>564</v>
      </c>
      <c r="E98" s="206">
        <f t="shared" si="70"/>
        <v>564</v>
      </c>
      <c r="F98" s="205">
        <v>10306</v>
      </c>
      <c r="G98" s="206">
        <f t="shared" si="71"/>
        <v>1504</v>
      </c>
      <c r="H98" s="206">
        <f t="shared" si="72"/>
        <v>89</v>
      </c>
      <c r="I98" s="206">
        <f t="shared" si="73"/>
        <v>618</v>
      </c>
      <c r="J98" s="206">
        <f t="shared" si="74"/>
        <v>564</v>
      </c>
      <c r="K98" s="205">
        <v>10306</v>
      </c>
      <c r="L98" s="206">
        <f t="shared" si="75"/>
        <v>1504</v>
      </c>
      <c r="M98" s="206">
        <f t="shared" si="76"/>
        <v>164</v>
      </c>
      <c r="N98" s="206">
        <f t="shared" si="77"/>
        <v>564</v>
      </c>
      <c r="O98" s="206">
        <f t="shared" si="78"/>
        <v>564</v>
      </c>
      <c r="P98" s="205">
        <v>10306</v>
      </c>
      <c r="Q98" s="206">
        <f t="shared" si="79"/>
        <v>1585</v>
      </c>
      <c r="R98" s="206">
        <f t="shared" si="80"/>
        <v>149</v>
      </c>
      <c r="S98" s="206">
        <f t="shared" si="81"/>
        <v>537</v>
      </c>
      <c r="T98" s="206">
        <f t="shared" si="82"/>
        <v>677</v>
      </c>
      <c r="U98" s="205">
        <v>10306</v>
      </c>
      <c r="V98" s="206">
        <f t="shared" si="83"/>
        <v>1504</v>
      </c>
      <c r="W98" s="206">
        <f t="shared" si="84"/>
        <v>342</v>
      </c>
      <c r="X98" s="206">
        <f t="shared" si="85"/>
        <v>671</v>
      </c>
      <c r="Y98" s="206">
        <f t="shared" si="86"/>
        <v>564</v>
      </c>
      <c r="Z98" s="205">
        <v>10306</v>
      </c>
      <c r="AA98" s="206">
        <f t="shared" si="87"/>
        <v>1711</v>
      </c>
      <c r="AB98" s="206">
        <f t="shared" si="88"/>
        <v>584</v>
      </c>
      <c r="AC98" s="206">
        <f t="shared" si="89"/>
        <v>537</v>
      </c>
      <c r="AD98" s="206">
        <f t="shared" si="90"/>
        <v>790</v>
      </c>
      <c r="AE98" s="205">
        <v>10306</v>
      </c>
      <c r="AF98" s="206">
        <f t="shared" si="91"/>
        <v>1585</v>
      </c>
      <c r="AG98" s="206">
        <f t="shared" si="92"/>
        <v>182</v>
      </c>
      <c r="AH98" s="206">
        <f t="shared" si="93"/>
        <v>618</v>
      </c>
      <c r="AI98" s="206">
        <f t="shared" si="94"/>
        <v>677</v>
      </c>
    </row>
    <row r="99" spans="1:35" x14ac:dyDescent="0.15">
      <c r="A99" s="205">
        <v>10307</v>
      </c>
      <c r="B99" s="206">
        <f t="shared" si="68"/>
        <v>1576</v>
      </c>
      <c r="C99" s="206">
        <f t="shared" si="69"/>
        <v>171</v>
      </c>
      <c r="D99" s="206">
        <f t="shared" si="69"/>
        <v>591</v>
      </c>
      <c r="E99" s="206">
        <f t="shared" si="70"/>
        <v>591</v>
      </c>
      <c r="F99" s="205">
        <v>10307</v>
      </c>
      <c r="G99" s="206">
        <f t="shared" si="71"/>
        <v>1576</v>
      </c>
      <c r="H99" s="206">
        <f t="shared" si="72"/>
        <v>93</v>
      </c>
      <c r="I99" s="206">
        <f t="shared" si="73"/>
        <v>647</v>
      </c>
      <c r="J99" s="206">
        <f t="shared" si="74"/>
        <v>591</v>
      </c>
      <c r="K99" s="205">
        <v>10307</v>
      </c>
      <c r="L99" s="206">
        <f t="shared" si="75"/>
        <v>1576</v>
      </c>
      <c r="M99" s="206">
        <f t="shared" si="76"/>
        <v>171</v>
      </c>
      <c r="N99" s="206">
        <f t="shared" si="77"/>
        <v>591</v>
      </c>
      <c r="O99" s="206">
        <f t="shared" si="78"/>
        <v>591</v>
      </c>
      <c r="P99" s="205">
        <v>10307</v>
      </c>
      <c r="Q99" s="206">
        <f t="shared" si="79"/>
        <v>1661</v>
      </c>
      <c r="R99" s="206">
        <f t="shared" si="80"/>
        <v>157</v>
      </c>
      <c r="S99" s="206">
        <f t="shared" si="81"/>
        <v>563</v>
      </c>
      <c r="T99" s="206">
        <f t="shared" si="82"/>
        <v>709</v>
      </c>
      <c r="U99" s="205">
        <v>10307</v>
      </c>
      <c r="V99" s="206">
        <f t="shared" si="83"/>
        <v>1576</v>
      </c>
      <c r="W99" s="206">
        <f t="shared" si="84"/>
        <v>358</v>
      </c>
      <c r="X99" s="206">
        <f t="shared" si="85"/>
        <v>704</v>
      </c>
      <c r="Y99" s="206">
        <f t="shared" si="86"/>
        <v>591</v>
      </c>
      <c r="Z99" s="205">
        <v>10307</v>
      </c>
      <c r="AA99" s="206">
        <f t="shared" si="87"/>
        <v>1793</v>
      </c>
      <c r="AB99" s="206">
        <f t="shared" si="88"/>
        <v>612</v>
      </c>
      <c r="AC99" s="206">
        <f t="shared" si="89"/>
        <v>563</v>
      </c>
      <c r="AD99" s="206">
        <f t="shared" si="90"/>
        <v>827</v>
      </c>
      <c r="AE99" s="205">
        <v>10307</v>
      </c>
      <c r="AF99" s="206">
        <f t="shared" si="91"/>
        <v>1661</v>
      </c>
      <c r="AG99" s="206">
        <f t="shared" si="92"/>
        <v>190</v>
      </c>
      <c r="AH99" s="206">
        <f t="shared" si="93"/>
        <v>647</v>
      </c>
      <c r="AI99" s="206">
        <f t="shared" si="94"/>
        <v>709</v>
      </c>
    </row>
    <row r="100" spans="1:35" x14ac:dyDescent="0.15">
      <c r="A100" s="205">
        <v>10308</v>
      </c>
      <c r="B100" s="206">
        <f t="shared" si="68"/>
        <v>1648</v>
      </c>
      <c r="C100" s="206">
        <f t="shared" si="69"/>
        <v>179</v>
      </c>
      <c r="D100" s="206">
        <f t="shared" si="69"/>
        <v>618</v>
      </c>
      <c r="E100" s="206">
        <f t="shared" si="70"/>
        <v>618</v>
      </c>
      <c r="F100" s="205">
        <v>10308</v>
      </c>
      <c r="G100" s="206">
        <f t="shared" si="71"/>
        <v>1648</v>
      </c>
      <c r="H100" s="206">
        <f t="shared" si="72"/>
        <v>97</v>
      </c>
      <c r="I100" s="206">
        <f t="shared" si="73"/>
        <v>677</v>
      </c>
      <c r="J100" s="206">
        <f t="shared" si="74"/>
        <v>618</v>
      </c>
      <c r="K100" s="205">
        <v>10308</v>
      </c>
      <c r="L100" s="206">
        <f t="shared" si="75"/>
        <v>1648</v>
      </c>
      <c r="M100" s="206">
        <f t="shared" si="76"/>
        <v>179</v>
      </c>
      <c r="N100" s="206">
        <f t="shared" si="77"/>
        <v>618</v>
      </c>
      <c r="O100" s="206">
        <f t="shared" si="78"/>
        <v>618</v>
      </c>
      <c r="P100" s="205">
        <v>10308</v>
      </c>
      <c r="Q100" s="206">
        <f t="shared" si="79"/>
        <v>1737</v>
      </c>
      <c r="R100" s="206">
        <f t="shared" si="80"/>
        <v>164</v>
      </c>
      <c r="S100" s="206">
        <f t="shared" si="81"/>
        <v>589</v>
      </c>
      <c r="T100" s="206">
        <f t="shared" si="82"/>
        <v>742</v>
      </c>
      <c r="U100" s="205">
        <v>10308</v>
      </c>
      <c r="V100" s="206">
        <f t="shared" si="83"/>
        <v>1648</v>
      </c>
      <c r="W100" s="206">
        <f t="shared" si="84"/>
        <v>374</v>
      </c>
      <c r="X100" s="206">
        <f t="shared" si="85"/>
        <v>736</v>
      </c>
      <c r="Y100" s="206">
        <f t="shared" si="86"/>
        <v>618</v>
      </c>
      <c r="Z100" s="205">
        <v>10308</v>
      </c>
      <c r="AA100" s="206">
        <f t="shared" si="87"/>
        <v>1875</v>
      </c>
      <c r="AB100" s="206">
        <f t="shared" si="88"/>
        <v>640</v>
      </c>
      <c r="AC100" s="206">
        <f t="shared" si="89"/>
        <v>589</v>
      </c>
      <c r="AD100" s="206">
        <f t="shared" si="90"/>
        <v>865</v>
      </c>
      <c r="AE100" s="205">
        <v>10308</v>
      </c>
      <c r="AF100" s="206">
        <f t="shared" si="91"/>
        <v>1737</v>
      </c>
      <c r="AG100" s="206">
        <f t="shared" si="92"/>
        <v>199</v>
      </c>
      <c r="AH100" s="206">
        <f t="shared" si="93"/>
        <v>677</v>
      </c>
      <c r="AI100" s="206">
        <f t="shared" si="94"/>
        <v>742</v>
      </c>
    </row>
    <row r="101" spans="1:35" x14ac:dyDescent="0.15">
      <c r="A101" s="205">
        <v>10309</v>
      </c>
      <c r="B101" s="206">
        <f t="shared" si="68"/>
        <v>1720</v>
      </c>
      <c r="C101" s="206">
        <f t="shared" si="69"/>
        <v>187</v>
      </c>
      <c r="D101" s="206">
        <f t="shared" si="69"/>
        <v>645</v>
      </c>
      <c r="E101" s="206">
        <f t="shared" si="70"/>
        <v>645</v>
      </c>
      <c r="F101" s="205">
        <v>10309</v>
      </c>
      <c r="G101" s="206">
        <f t="shared" si="71"/>
        <v>1720</v>
      </c>
      <c r="H101" s="206">
        <f t="shared" si="72"/>
        <v>101</v>
      </c>
      <c r="I101" s="206">
        <f t="shared" si="73"/>
        <v>706</v>
      </c>
      <c r="J101" s="206">
        <f t="shared" si="74"/>
        <v>645</v>
      </c>
      <c r="K101" s="205">
        <v>10309</v>
      </c>
      <c r="L101" s="206">
        <f t="shared" si="75"/>
        <v>1720</v>
      </c>
      <c r="M101" s="206">
        <f t="shared" si="76"/>
        <v>187</v>
      </c>
      <c r="N101" s="206">
        <f t="shared" si="77"/>
        <v>645</v>
      </c>
      <c r="O101" s="206">
        <f t="shared" si="78"/>
        <v>645</v>
      </c>
      <c r="P101" s="205">
        <v>10309</v>
      </c>
      <c r="Q101" s="206">
        <f t="shared" si="79"/>
        <v>1812</v>
      </c>
      <c r="R101" s="206">
        <f t="shared" si="80"/>
        <v>171</v>
      </c>
      <c r="S101" s="206">
        <f t="shared" si="81"/>
        <v>614</v>
      </c>
      <c r="T101" s="206">
        <f t="shared" si="82"/>
        <v>774</v>
      </c>
      <c r="U101" s="205">
        <v>10309</v>
      </c>
      <c r="V101" s="206">
        <f t="shared" si="83"/>
        <v>1720</v>
      </c>
      <c r="W101" s="206">
        <f t="shared" si="84"/>
        <v>391</v>
      </c>
      <c r="X101" s="206">
        <f t="shared" si="85"/>
        <v>768</v>
      </c>
      <c r="Y101" s="206">
        <f t="shared" si="86"/>
        <v>645</v>
      </c>
      <c r="Z101" s="205">
        <v>10309</v>
      </c>
      <c r="AA101" s="206">
        <f t="shared" si="87"/>
        <v>1957</v>
      </c>
      <c r="AB101" s="206">
        <f t="shared" si="88"/>
        <v>668</v>
      </c>
      <c r="AC101" s="206">
        <f t="shared" si="89"/>
        <v>614</v>
      </c>
      <c r="AD101" s="206">
        <f t="shared" si="90"/>
        <v>903</v>
      </c>
      <c r="AE101" s="205">
        <v>10309</v>
      </c>
      <c r="AF101" s="206">
        <f t="shared" si="91"/>
        <v>1812</v>
      </c>
      <c r="AG101" s="206">
        <f t="shared" si="92"/>
        <v>208</v>
      </c>
      <c r="AH101" s="206">
        <f t="shared" si="93"/>
        <v>706</v>
      </c>
      <c r="AI101" s="206">
        <f t="shared" si="94"/>
        <v>774</v>
      </c>
    </row>
    <row r="102" spans="1:35" x14ac:dyDescent="0.15">
      <c r="A102" s="205">
        <v>10401</v>
      </c>
      <c r="B102" s="206">
        <f t="shared" ref="B102:B112" si="95">C36</f>
        <v>1464</v>
      </c>
      <c r="C102" s="206">
        <f t="shared" ref="C102:D112" si="96">D36</f>
        <v>159</v>
      </c>
      <c r="D102" s="206">
        <f t="shared" si="96"/>
        <v>549</v>
      </c>
      <c r="E102" s="206">
        <f t="shared" ref="E102:E112" si="97">H36</f>
        <v>549</v>
      </c>
      <c r="F102" s="205">
        <v>10401</v>
      </c>
      <c r="G102" s="206">
        <f t="shared" ref="G102:G112" si="98">AA36</f>
        <v>1464</v>
      </c>
      <c r="H102" s="206">
        <f t="shared" ref="H102:H112" si="99">AB36</f>
        <v>86</v>
      </c>
      <c r="I102" s="206">
        <f t="shared" ref="I102:I112" si="100">AC36</f>
        <v>601</v>
      </c>
      <c r="J102" s="206">
        <f t="shared" ref="J102:J112" si="101">AF36</f>
        <v>549</v>
      </c>
      <c r="K102" s="205">
        <v>10401</v>
      </c>
      <c r="L102" s="206">
        <f t="shared" ref="L102:L112" si="102">AY36</f>
        <v>1464</v>
      </c>
      <c r="M102" s="206">
        <f t="shared" ref="M102:M112" si="103">AZ36</f>
        <v>159</v>
      </c>
      <c r="N102" s="206">
        <f t="shared" ref="N102:N112" si="104">BA36</f>
        <v>549</v>
      </c>
      <c r="O102" s="206">
        <f t="shared" ref="O102:O112" si="105">BD36</f>
        <v>549</v>
      </c>
      <c r="P102" s="205">
        <v>10401</v>
      </c>
      <c r="Q102" s="206">
        <f t="shared" ref="Q102:Q112" si="106">BW36</f>
        <v>1543</v>
      </c>
      <c r="R102" s="206">
        <f t="shared" ref="R102:R112" si="107">BX36</f>
        <v>145</v>
      </c>
      <c r="S102" s="206">
        <f t="shared" ref="S102:S112" si="108">BY36</f>
        <v>523</v>
      </c>
      <c r="T102" s="206">
        <f t="shared" ref="T102:T112" si="109">CB36</f>
        <v>659</v>
      </c>
      <c r="U102" s="205">
        <v>10401</v>
      </c>
      <c r="V102" s="206">
        <f t="shared" ref="V102:V112" si="110">CU36</f>
        <v>1464</v>
      </c>
      <c r="W102" s="206">
        <f t="shared" ref="W102:W112" si="111">CV36</f>
        <v>332</v>
      </c>
      <c r="X102" s="206">
        <f t="shared" ref="X102:X112" si="112">CW36</f>
        <v>654</v>
      </c>
      <c r="Y102" s="206">
        <f t="shared" ref="Y102:Y112" si="113">CZ36</f>
        <v>549</v>
      </c>
      <c r="Z102" s="205">
        <v>10401</v>
      </c>
      <c r="AA102" s="206">
        <f t="shared" ref="AA102:AA112" si="114">DS36</f>
        <v>1666</v>
      </c>
      <c r="AB102" s="206">
        <f t="shared" ref="AB102:AB112" si="115">DT36</f>
        <v>568</v>
      </c>
      <c r="AC102" s="206">
        <f t="shared" ref="AC102:AC112" si="116">DU36</f>
        <v>523</v>
      </c>
      <c r="AD102" s="206">
        <f t="shared" ref="AD102:AD112" si="117">DX36</f>
        <v>769</v>
      </c>
      <c r="AE102" s="205">
        <v>10401</v>
      </c>
      <c r="AF102" s="206">
        <f t="shared" ref="AF102:AF112" si="118">EQ36</f>
        <v>1543</v>
      </c>
      <c r="AG102" s="206">
        <f t="shared" ref="AG102:AG112" si="119">ER36</f>
        <v>177</v>
      </c>
      <c r="AH102" s="206">
        <f t="shared" ref="AH102:AH112" si="120">ES36</f>
        <v>601</v>
      </c>
      <c r="AI102" s="206">
        <f t="shared" ref="AI102:AI112" si="121">EV36</f>
        <v>659</v>
      </c>
    </row>
    <row r="103" spans="1:35" x14ac:dyDescent="0.15">
      <c r="A103" s="205">
        <v>10402</v>
      </c>
      <c r="B103" s="206">
        <f t="shared" si="95"/>
        <v>1544</v>
      </c>
      <c r="C103" s="206">
        <f t="shared" si="96"/>
        <v>168</v>
      </c>
      <c r="D103" s="206">
        <f t="shared" si="96"/>
        <v>579</v>
      </c>
      <c r="E103" s="206">
        <f t="shared" si="97"/>
        <v>579</v>
      </c>
      <c r="F103" s="205">
        <v>10402</v>
      </c>
      <c r="G103" s="206">
        <f t="shared" si="98"/>
        <v>1544</v>
      </c>
      <c r="H103" s="206">
        <f t="shared" si="99"/>
        <v>91</v>
      </c>
      <c r="I103" s="206">
        <f t="shared" si="100"/>
        <v>634</v>
      </c>
      <c r="J103" s="206">
        <f t="shared" si="101"/>
        <v>579</v>
      </c>
      <c r="K103" s="205">
        <v>10402</v>
      </c>
      <c r="L103" s="206">
        <f t="shared" si="102"/>
        <v>1544</v>
      </c>
      <c r="M103" s="206">
        <f t="shared" si="103"/>
        <v>168</v>
      </c>
      <c r="N103" s="206">
        <f t="shared" si="104"/>
        <v>579</v>
      </c>
      <c r="O103" s="206">
        <f t="shared" si="105"/>
        <v>579</v>
      </c>
      <c r="P103" s="205">
        <v>10402</v>
      </c>
      <c r="Q103" s="206">
        <f t="shared" si="106"/>
        <v>1627</v>
      </c>
      <c r="R103" s="206">
        <f t="shared" si="107"/>
        <v>153</v>
      </c>
      <c r="S103" s="206">
        <f t="shared" si="108"/>
        <v>551</v>
      </c>
      <c r="T103" s="206">
        <f t="shared" si="109"/>
        <v>695</v>
      </c>
      <c r="U103" s="205">
        <v>10402</v>
      </c>
      <c r="V103" s="206">
        <f t="shared" si="110"/>
        <v>1544</v>
      </c>
      <c r="W103" s="206">
        <f t="shared" si="111"/>
        <v>351</v>
      </c>
      <c r="X103" s="206">
        <f t="shared" si="112"/>
        <v>689</v>
      </c>
      <c r="Y103" s="206">
        <f t="shared" si="113"/>
        <v>579</v>
      </c>
      <c r="Z103" s="205">
        <v>10402</v>
      </c>
      <c r="AA103" s="206">
        <f t="shared" si="114"/>
        <v>1757</v>
      </c>
      <c r="AB103" s="206">
        <f t="shared" si="115"/>
        <v>599</v>
      </c>
      <c r="AC103" s="206">
        <f t="shared" si="116"/>
        <v>551</v>
      </c>
      <c r="AD103" s="206">
        <f t="shared" si="117"/>
        <v>811</v>
      </c>
      <c r="AE103" s="205">
        <v>10402</v>
      </c>
      <c r="AF103" s="206">
        <f t="shared" si="118"/>
        <v>1627</v>
      </c>
      <c r="AG103" s="206">
        <f t="shared" si="119"/>
        <v>186</v>
      </c>
      <c r="AH103" s="206">
        <f t="shared" si="120"/>
        <v>634</v>
      </c>
      <c r="AI103" s="206">
        <f t="shared" si="121"/>
        <v>695</v>
      </c>
    </row>
    <row r="104" spans="1:35" x14ac:dyDescent="0.15">
      <c r="A104" s="205">
        <v>10403</v>
      </c>
      <c r="B104" s="206">
        <f t="shared" si="95"/>
        <v>1624</v>
      </c>
      <c r="C104" s="206">
        <f t="shared" si="96"/>
        <v>177</v>
      </c>
      <c r="D104" s="206">
        <f t="shared" si="96"/>
        <v>609</v>
      </c>
      <c r="E104" s="206">
        <f t="shared" si="97"/>
        <v>609</v>
      </c>
      <c r="F104" s="205">
        <v>10403</v>
      </c>
      <c r="G104" s="206">
        <f t="shared" si="98"/>
        <v>1624</v>
      </c>
      <c r="H104" s="206">
        <f t="shared" si="99"/>
        <v>96</v>
      </c>
      <c r="I104" s="206">
        <f t="shared" si="100"/>
        <v>667</v>
      </c>
      <c r="J104" s="206">
        <f t="shared" si="101"/>
        <v>609</v>
      </c>
      <c r="K104" s="205">
        <v>10403</v>
      </c>
      <c r="L104" s="206">
        <f t="shared" si="102"/>
        <v>1624</v>
      </c>
      <c r="M104" s="206">
        <f t="shared" si="103"/>
        <v>177</v>
      </c>
      <c r="N104" s="206">
        <f t="shared" si="104"/>
        <v>609</v>
      </c>
      <c r="O104" s="206">
        <f t="shared" si="105"/>
        <v>609</v>
      </c>
      <c r="P104" s="205">
        <v>10403</v>
      </c>
      <c r="Q104" s="206">
        <f t="shared" si="106"/>
        <v>1711</v>
      </c>
      <c r="R104" s="206">
        <f t="shared" si="107"/>
        <v>161</v>
      </c>
      <c r="S104" s="206">
        <f t="shared" si="108"/>
        <v>580</v>
      </c>
      <c r="T104" s="206">
        <f t="shared" si="109"/>
        <v>731</v>
      </c>
      <c r="U104" s="205">
        <v>10403</v>
      </c>
      <c r="V104" s="206">
        <f t="shared" si="110"/>
        <v>1624</v>
      </c>
      <c r="W104" s="206">
        <f t="shared" si="111"/>
        <v>369</v>
      </c>
      <c r="X104" s="206">
        <f t="shared" si="112"/>
        <v>725</v>
      </c>
      <c r="Y104" s="206">
        <f t="shared" si="113"/>
        <v>609</v>
      </c>
      <c r="Z104" s="205">
        <v>10403</v>
      </c>
      <c r="AA104" s="206">
        <f t="shared" si="114"/>
        <v>1848</v>
      </c>
      <c r="AB104" s="206">
        <f t="shared" si="115"/>
        <v>630</v>
      </c>
      <c r="AC104" s="206">
        <f t="shared" si="116"/>
        <v>580</v>
      </c>
      <c r="AD104" s="206">
        <f t="shared" si="117"/>
        <v>853</v>
      </c>
      <c r="AE104" s="205">
        <v>10403</v>
      </c>
      <c r="AF104" s="206">
        <f t="shared" si="118"/>
        <v>1711</v>
      </c>
      <c r="AG104" s="206">
        <f t="shared" si="119"/>
        <v>196</v>
      </c>
      <c r="AH104" s="206">
        <f t="shared" si="120"/>
        <v>667</v>
      </c>
      <c r="AI104" s="206">
        <f t="shared" si="121"/>
        <v>731</v>
      </c>
    </row>
    <row r="105" spans="1:35" x14ac:dyDescent="0.15">
      <c r="A105" s="205">
        <v>10404</v>
      </c>
      <c r="B105" s="206">
        <f t="shared" si="95"/>
        <v>1704</v>
      </c>
      <c r="C105" s="206">
        <f t="shared" si="96"/>
        <v>185</v>
      </c>
      <c r="D105" s="206">
        <f t="shared" si="96"/>
        <v>639</v>
      </c>
      <c r="E105" s="206">
        <f t="shared" si="97"/>
        <v>639</v>
      </c>
      <c r="F105" s="205">
        <v>10404</v>
      </c>
      <c r="G105" s="206">
        <f t="shared" si="98"/>
        <v>1704</v>
      </c>
      <c r="H105" s="206">
        <f t="shared" si="99"/>
        <v>100</v>
      </c>
      <c r="I105" s="206">
        <f t="shared" si="100"/>
        <v>700</v>
      </c>
      <c r="J105" s="206">
        <f t="shared" si="101"/>
        <v>639</v>
      </c>
      <c r="K105" s="205">
        <v>10404</v>
      </c>
      <c r="L105" s="206">
        <f t="shared" si="102"/>
        <v>1704</v>
      </c>
      <c r="M105" s="206">
        <f t="shared" si="103"/>
        <v>185</v>
      </c>
      <c r="N105" s="206">
        <f t="shared" si="104"/>
        <v>639</v>
      </c>
      <c r="O105" s="206">
        <f t="shared" si="105"/>
        <v>639</v>
      </c>
      <c r="P105" s="205">
        <v>10404</v>
      </c>
      <c r="Q105" s="206">
        <f t="shared" si="106"/>
        <v>1796</v>
      </c>
      <c r="R105" s="206">
        <f t="shared" si="107"/>
        <v>169</v>
      </c>
      <c r="S105" s="206">
        <f t="shared" si="108"/>
        <v>609</v>
      </c>
      <c r="T105" s="206">
        <f t="shared" si="109"/>
        <v>767</v>
      </c>
      <c r="U105" s="205">
        <v>10404</v>
      </c>
      <c r="V105" s="206">
        <f t="shared" si="110"/>
        <v>1704</v>
      </c>
      <c r="W105" s="206">
        <f t="shared" si="111"/>
        <v>387</v>
      </c>
      <c r="X105" s="206">
        <f t="shared" si="112"/>
        <v>761</v>
      </c>
      <c r="Y105" s="206">
        <f t="shared" si="113"/>
        <v>639</v>
      </c>
      <c r="Z105" s="205">
        <v>10404</v>
      </c>
      <c r="AA105" s="206">
        <f t="shared" si="114"/>
        <v>1939</v>
      </c>
      <c r="AB105" s="206">
        <f t="shared" si="115"/>
        <v>661</v>
      </c>
      <c r="AC105" s="206">
        <f t="shared" si="116"/>
        <v>609</v>
      </c>
      <c r="AD105" s="206">
        <f t="shared" si="117"/>
        <v>895</v>
      </c>
      <c r="AE105" s="205">
        <v>10404</v>
      </c>
      <c r="AF105" s="206">
        <f t="shared" si="118"/>
        <v>1796</v>
      </c>
      <c r="AG105" s="206">
        <f t="shared" si="119"/>
        <v>206</v>
      </c>
      <c r="AH105" s="206">
        <f t="shared" si="120"/>
        <v>700</v>
      </c>
      <c r="AI105" s="206">
        <f t="shared" si="121"/>
        <v>767</v>
      </c>
    </row>
    <row r="106" spans="1:35" x14ac:dyDescent="0.15">
      <c r="A106" s="205">
        <v>10405</v>
      </c>
      <c r="B106" s="206">
        <f t="shared" si="95"/>
        <v>1784</v>
      </c>
      <c r="C106" s="206">
        <f t="shared" si="96"/>
        <v>194</v>
      </c>
      <c r="D106" s="206">
        <f t="shared" si="96"/>
        <v>669</v>
      </c>
      <c r="E106" s="206">
        <f t="shared" si="97"/>
        <v>669</v>
      </c>
      <c r="F106" s="205">
        <v>10405</v>
      </c>
      <c r="G106" s="206">
        <f t="shared" si="98"/>
        <v>1784</v>
      </c>
      <c r="H106" s="206">
        <f t="shared" si="99"/>
        <v>105</v>
      </c>
      <c r="I106" s="206">
        <f t="shared" si="100"/>
        <v>733</v>
      </c>
      <c r="J106" s="206">
        <f t="shared" si="101"/>
        <v>669</v>
      </c>
      <c r="K106" s="205">
        <v>10405</v>
      </c>
      <c r="L106" s="206">
        <f t="shared" si="102"/>
        <v>1784</v>
      </c>
      <c r="M106" s="206">
        <f t="shared" si="103"/>
        <v>194</v>
      </c>
      <c r="N106" s="206">
        <f t="shared" si="104"/>
        <v>669</v>
      </c>
      <c r="O106" s="206">
        <f t="shared" si="105"/>
        <v>669</v>
      </c>
      <c r="P106" s="205">
        <v>10405</v>
      </c>
      <c r="Q106" s="206">
        <f t="shared" si="106"/>
        <v>1880</v>
      </c>
      <c r="R106" s="206">
        <f t="shared" si="107"/>
        <v>177</v>
      </c>
      <c r="S106" s="206">
        <f t="shared" si="108"/>
        <v>637</v>
      </c>
      <c r="T106" s="206">
        <f t="shared" si="109"/>
        <v>803</v>
      </c>
      <c r="U106" s="205">
        <v>10405</v>
      </c>
      <c r="V106" s="206">
        <f t="shared" si="110"/>
        <v>1784</v>
      </c>
      <c r="W106" s="206">
        <f t="shared" si="111"/>
        <v>405</v>
      </c>
      <c r="X106" s="206">
        <f t="shared" si="112"/>
        <v>796</v>
      </c>
      <c r="Y106" s="206">
        <f t="shared" si="113"/>
        <v>669</v>
      </c>
      <c r="Z106" s="205">
        <v>10405</v>
      </c>
      <c r="AA106" s="206">
        <f t="shared" si="114"/>
        <v>2030</v>
      </c>
      <c r="AB106" s="206">
        <f t="shared" si="115"/>
        <v>692</v>
      </c>
      <c r="AC106" s="206">
        <f t="shared" si="116"/>
        <v>637</v>
      </c>
      <c r="AD106" s="206">
        <f t="shared" si="117"/>
        <v>937</v>
      </c>
      <c r="AE106" s="205">
        <v>10405</v>
      </c>
      <c r="AF106" s="206">
        <f t="shared" si="118"/>
        <v>1880</v>
      </c>
      <c r="AG106" s="206">
        <f t="shared" si="119"/>
        <v>215</v>
      </c>
      <c r="AH106" s="206">
        <f t="shared" si="120"/>
        <v>733</v>
      </c>
      <c r="AI106" s="206">
        <f t="shared" si="121"/>
        <v>803</v>
      </c>
    </row>
    <row r="107" spans="1:35" x14ac:dyDescent="0.15">
      <c r="A107" s="205">
        <v>10406</v>
      </c>
      <c r="B107" s="206">
        <f t="shared" si="95"/>
        <v>1864</v>
      </c>
      <c r="C107" s="206">
        <f t="shared" si="96"/>
        <v>203</v>
      </c>
      <c r="D107" s="206">
        <f t="shared" si="96"/>
        <v>699</v>
      </c>
      <c r="E107" s="206">
        <f t="shared" si="97"/>
        <v>699</v>
      </c>
      <c r="F107" s="205">
        <v>10406</v>
      </c>
      <c r="G107" s="206">
        <f t="shared" si="98"/>
        <v>1864</v>
      </c>
      <c r="H107" s="206">
        <f t="shared" si="99"/>
        <v>110</v>
      </c>
      <c r="I107" s="206">
        <f t="shared" si="100"/>
        <v>766</v>
      </c>
      <c r="J107" s="206">
        <f t="shared" si="101"/>
        <v>699</v>
      </c>
      <c r="K107" s="205">
        <v>10406</v>
      </c>
      <c r="L107" s="206">
        <f t="shared" si="102"/>
        <v>1864</v>
      </c>
      <c r="M107" s="206">
        <f t="shared" si="103"/>
        <v>203</v>
      </c>
      <c r="N107" s="206">
        <f t="shared" si="104"/>
        <v>699</v>
      </c>
      <c r="O107" s="206">
        <f t="shared" si="105"/>
        <v>699</v>
      </c>
      <c r="P107" s="205">
        <v>10406</v>
      </c>
      <c r="Q107" s="206">
        <f t="shared" si="106"/>
        <v>1964</v>
      </c>
      <c r="R107" s="206">
        <f t="shared" si="107"/>
        <v>185</v>
      </c>
      <c r="S107" s="206">
        <f t="shared" si="108"/>
        <v>666</v>
      </c>
      <c r="T107" s="206">
        <f t="shared" si="109"/>
        <v>839</v>
      </c>
      <c r="U107" s="205">
        <v>10406</v>
      </c>
      <c r="V107" s="206">
        <f t="shared" si="110"/>
        <v>1864</v>
      </c>
      <c r="W107" s="206">
        <f t="shared" si="111"/>
        <v>423</v>
      </c>
      <c r="X107" s="206">
        <f t="shared" si="112"/>
        <v>832</v>
      </c>
      <c r="Y107" s="206">
        <f t="shared" si="113"/>
        <v>699</v>
      </c>
      <c r="Z107" s="205">
        <v>10406</v>
      </c>
      <c r="AA107" s="206">
        <f t="shared" si="114"/>
        <v>2121</v>
      </c>
      <c r="AB107" s="206">
        <f t="shared" si="115"/>
        <v>723</v>
      </c>
      <c r="AC107" s="206">
        <f t="shared" si="116"/>
        <v>666</v>
      </c>
      <c r="AD107" s="206">
        <f t="shared" si="117"/>
        <v>979</v>
      </c>
      <c r="AE107" s="205">
        <v>10406</v>
      </c>
      <c r="AF107" s="206">
        <f t="shared" si="118"/>
        <v>1964</v>
      </c>
      <c r="AG107" s="206">
        <f t="shared" si="119"/>
        <v>225</v>
      </c>
      <c r="AH107" s="206">
        <f t="shared" si="120"/>
        <v>766</v>
      </c>
      <c r="AI107" s="206">
        <f t="shared" si="121"/>
        <v>839</v>
      </c>
    </row>
    <row r="108" spans="1:35" x14ac:dyDescent="0.15">
      <c r="A108" s="205">
        <v>10407</v>
      </c>
      <c r="B108" s="206">
        <f t="shared" si="95"/>
        <v>1944</v>
      </c>
      <c r="C108" s="206">
        <f t="shared" si="96"/>
        <v>211</v>
      </c>
      <c r="D108" s="206">
        <f t="shared" si="96"/>
        <v>729</v>
      </c>
      <c r="E108" s="206">
        <f t="shared" si="97"/>
        <v>729</v>
      </c>
      <c r="F108" s="205">
        <v>10407</v>
      </c>
      <c r="G108" s="206">
        <f t="shared" si="98"/>
        <v>1944</v>
      </c>
      <c r="H108" s="206">
        <f t="shared" si="99"/>
        <v>115</v>
      </c>
      <c r="I108" s="206">
        <f t="shared" si="100"/>
        <v>798</v>
      </c>
      <c r="J108" s="206">
        <f t="shared" si="101"/>
        <v>729</v>
      </c>
      <c r="K108" s="205">
        <v>10407</v>
      </c>
      <c r="L108" s="206">
        <f t="shared" si="102"/>
        <v>1944</v>
      </c>
      <c r="M108" s="206">
        <f t="shared" si="103"/>
        <v>211</v>
      </c>
      <c r="N108" s="206">
        <f t="shared" si="104"/>
        <v>729</v>
      </c>
      <c r="O108" s="206">
        <f t="shared" si="105"/>
        <v>729</v>
      </c>
      <c r="P108" s="205">
        <v>10407</v>
      </c>
      <c r="Q108" s="206">
        <f t="shared" si="106"/>
        <v>2048</v>
      </c>
      <c r="R108" s="206">
        <f t="shared" si="107"/>
        <v>193</v>
      </c>
      <c r="S108" s="206">
        <f t="shared" si="108"/>
        <v>694</v>
      </c>
      <c r="T108" s="206">
        <f t="shared" si="109"/>
        <v>875</v>
      </c>
      <c r="U108" s="205">
        <v>10407</v>
      </c>
      <c r="V108" s="206">
        <f t="shared" si="110"/>
        <v>1944</v>
      </c>
      <c r="W108" s="206">
        <f t="shared" si="111"/>
        <v>442</v>
      </c>
      <c r="X108" s="206">
        <f t="shared" si="112"/>
        <v>868</v>
      </c>
      <c r="Y108" s="206">
        <f t="shared" si="113"/>
        <v>729</v>
      </c>
      <c r="Z108" s="205">
        <v>10407</v>
      </c>
      <c r="AA108" s="206">
        <f t="shared" si="114"/>
        <v>2212</v>
      </c>
      <c r="AB108" s="206">
        <f t="shared" si="115"/>
        <v>755</v>
      </c>
      <c r="AC108" s="206">
        <f t="shared" si="116"/>
        <v>694</v>
      </c>
      <c r="AD108" s="206">
        <f t="shared" si="117"/>
        <v>1021</v>
      </c>
      <c r="AE108" s="205">
        <v>10407</v>
      </c>
      <c r="AF108" s="206">
        <f t="shared" si="118"/>
        <v>2048</v>
      </c>
      <c r="AG108" s="206">
        <f t="shared" si="119"/>
        <v>235</v>
      </c>
      <c r="AH108" s="206">
        <f t="shared" si="120"/>
        <v>798</v>
      </c>
      <c r="AI108" s="206">
        <f t="shared" si="121"/>
        <v>875</v>
      </c>
    </row>
    <row r="109" spans="1:35" x14ac:dyDescent="0.15">
      <c r="A109" s="205">
        <v>10408</v>
      </c>
      <c r="B109" s="206">
        <f t="shared" si="95"/>
        <v>2024</v>
      </c>
      <c r="C109" s="206">
        <f t="shared" si="96"/>
        <v>220</v>
      </c>
      <c r="D109" s="206">
        <f t="shared" si="96"/>
        <v>759</v>
      </c>
      <c r="E109" s="206">
        <f t="shared" si="97"/>
        <v>759</v>
      </c>
      <c r="F109" s="205">
        <v>10408</v>
      </c>
      <c r="G109" s="206">
        <f t="shared" si="98"/>
        <v>2024</v>
      </c>
      <c r="H109" s="206">
        <f t="shared" si="99"/>
        <v>119</v>
      </c>
      <c r="I109" s="206">
        <f t="shared" si="100"/>
        <v>831</v>
      </c>
      <c r="J109" s="206">
        <f t="shared" si="101"/>
        <v>759</v>
      </c>
      <c r="K109" s="205">
        <v>10408</v>
      </c>
      <c r="L109" s="206">
        <f t="shared" si="102"/>
        <v>2024</v>
      </c>
      <c r="M109" s="206">
        <f t="shared" si="103"/>
        <v>220</v>
      </c>
      <c r="N109" s="206">
        <f t="shared" si="104"/>
        <v>759</v>
      </c>
      <c r="O109" s="206">
        <f t="shared" si="105"/>
        <v>759</v>
      </c>
      <c r="P109" s="205">
        <v>10408</v>
      </c>
      <c r="Q109" s="206">
        <f t="shared" si="106"/>
        <v>2133</v>
      </c>
      <c r="R109" s="206">
        <f t="shared" si="107"/>
        <v>201</v>
      </c>
      <c r="S109" s="206">
        <f t="shared" si="108"/>
        <v>723</v>
      </c>
      <c r="T109" s="206">
        <f t="shared" si="109"/>
        <v>911</v>
      </c>
      <c r="U109" s="205">
        <v>10408</v>
      </c>
      <c r="V109" s="206">
        <f t="shared" si="110"/>
        <v>2024</v>
      </c>
      <c r="W109" s="206">
        <f t="shared" si="111"/>
        <v>460</v>
      </c>
      <c r="X109" s="206">
        <f t="shared" si="112"/>
        <v>904</v>
      </c>
      <c r="Y109" s="206">
        <f t="shared" si="113"/>
        <v>759</v>
      </c>
      <c r="Z109" s="205">
        <v>10408</v>
      </c>
      <c r="AA109" s="206">
        <f t="shared" si="114"/>
        <v>2303</v>
      </c>
      <c r="AB109" s="206">
        <f t="shared" si="115"/>
        <v>786</v>
      </c>
      <c r="AC109" s="206">
        <f t="shared" si="116"/>
        <v>723</v>
      </c>
      <c r="AD109" s="206">
        <f t="shared" si="117"/>
        <v>1063</v>
      </c>
      <c r="AE109" s="205">
        <v>10408</v>
      </c>
      <c r="AF109" s="206">
        <f t="shared" si="118"/>
        <v>2133</v>
      </c>
      <c r="AG109" s="206">
        <f t="shared" si="119"/>
        <v>244</v>
      </c>
      <c r="AH109" s="206">
        <f t="shared" si="120"/>
        <v>831</v>
      </c>
      <c r="AI109" s="206">
        <f t="shared" si="121"/>
        <v>911</v>
      </c>
    </row>
    <row r="110" spans="1:35" x14ac:dyDescent="0.15">
      <c r="A110" s="205">
        <v>10409</v>
      </c>
      <c r="B110" s="206">
        <f t="shared" si="95"/>
        <v>2104</v>
      </c>
      <c r="C110" s="206">
        <f t="shared" si="96"/>
        <v>229</v>
      </c>
      <c r="D110" s="206">
        <f t="shared" si="96"/>
        <v>789</v>
      </c>
      <c r="E110" s="206">
        <f t="shared" si="97"/>
        <v>789</v>
      </c>
      <c r="F110" s="205">
        <v>10409</v>
      </c>
      <c r="G110" s="206">
        <f t="shared" si="98"/>
        <v>2104</v>
      </c>
      <c r="H110" s="206">
        <f t="shared" si="99"/>
        <v>124</v>
      </c>
      <c r="I110" s="206">
        <f t="shared" si="100"/>
        <v>864</v>
      </c>
      <c r="J110" s="206">
        <f t="shared" si="101"/>
        <v>789</v>
      </c>
      <c r="K110" s="205">
        <v>10409</v>
      </c>
      <c r="L110" s="206">
        <f t="shared" si="102"/>
        <v>2104</v>
      </c>
      <c r="M110" s="206">
        <f t="shared" si="103"/>
        <v>229</v>
      </c>
      <c r="N110" s="206">
        <f t="shared" si="104"/>
        <v>789</v>
      </c>
      <c r="O110" s="206">
        <f t="shared" si="105"/>
        <v>789</v>
      </c>
      <c r="P110" s="205">
        <v>10409</v>
      </c>
      <c r="Q110" s="206">
        <f t="shared" si="106"/>
        <v>2217</v>
      </c>
      <c r="R110" s="206">
        <f t="shared" si="107"/>
        <v>209</v>
      </c>
      <c r="S110" s="206">
        <f t="shared" si="108"/>
        <v>751</v>
      </c>
      <c r="T110" s="206">
        <f t="shared" si="109"/>
        <v>947</v>
      </c>
      <c r="U110" s="205">
        <v>10409</v>
      </c>
      <c r="V110" s="206">
        <f t="shared" si="110"/>
        <v>2104</v>
      </c>
      <c r="W110" s="206">
        <f t="shared" si="111"/>
        <v>478</v>
      </c>
      <c r="X110" s="206">
        <f t="shared" si="112"/>
        <v>939</v>
      </c>
      <c r="Y110" s="206">
        <f t="shared" si="113"/>
        <v>789</v>
      </c>
      <c r="Z110" s="205">
        <v>10409</v>
      </c>
      <c r="AA110" s="206">
        <f t="shared" si="114"/>
        <v>2394</v>
      </c>
      <c r="AB110" s="206">
        <f t="shared" si="115"/>
        <v>817</v>
      </c>
      <c r="AC110" s="206">
        <f t="shared" si="116"/>
        <v>751</v>
      </c>
      <c r="AD110" s="206">
        <f t="shared" si="117"/>
        <v>1105</v>
      </c>
      <c r="AE110" s="205">
        <v>10409</v>
      </c>
      <c r="AF110" s="206">
        <f t="shared" si="118"/>
        <v>2217</v>
      </c>
      <c r="AG110" s="206">
        <f t="shared" si="119"/>
        <v>254</v>
      </c>
      <c r="AH110" s="206">
        <f t="shared" si="120"/>
        <v>864</v>
      </c>
      <c r="AI110" s="206">
        <f t="shared" si="121"/>
        <v>947</v>
      </c>
    </row>
    <row r="111" spans="1:35" x14ac:dyDescent="0.15">
      <c r="A111" s="205">
        <v>10410</v>
      </c>
      <c r="B111" s="206">
        <f t="shared" si="95"/>
        <v>2184</v>
      </c>
      <c r="C111" s="206">
        <f t="shared" si="96"/>
        <v>238</v>
      </c>
      <c r="D111" s="206">
        <f t="shared" si="96"/>
        <v>819</v>
      </c>
      <c r="E111" s="206">
        <f t="shared" si="97"/>
        <v>819</v>
      </c>
      <c r="F111" s="205">
        <v>10410</v>
      </c>
      <c r="G111" s="206">
        <f t="shared" si="98"/>
        <v>2184</v>
      </c>
      <c r="H111" s="206">
        <f t="shared" si="99"/>
        <v>129</v>
      </c>
      <c r="I111" s="206">
        <f t="shared" si="100"/>
        <v>897</v>
      </c>
      <c r="J111" s="206">
        <f t="shared" si="101"/>
        <v>819</v>
      </c>
      <c r="K111" s="205">
        <v>10410</v>
      </c>
      <c r="L111" s="206">
        <f t="shared" si="102"/>
        <v>2184</v>
      </c>
      <c r="M111" s="206">
        <f t="shared" si="103"/>
        <v>238</v>
      </c>
      <c r="N111" s="206">
        <f t="shared" si="104"/>
        <v>819</v>
      </c>
      <c r="O111" s="206">
        <f t="shared" si="105"/>
        <v>819</v>
      </c>
      <c r="P111" s="205">
        <v>10410</v>
      </c>
      <c r="Q111" s="206">
        <f t="shared" si="106"/>
        <v>2301</v>
      </c>
      <c r="R111" s="206">
        <f t="shared" si="107"/>
        <v>217</v>
      </c>
      <c r="S111" s="206">
        <f t="shared" si="108"/>
        <v>780</v>
      </c>
      <c r="T111" s="206">
        <f t="shared" si="109"/>
        <v>983</v>
      </c>
      <c r="U111" s="205">
        <v>10410</v>
      </c>
      <c r="V111" s="206">
        <f t="shared" si="110"/>
        <v>2184</v>
      </c>
      <c r="W111" s="206">
        <f t="shared" si="111"/>
        <v>496</v>
      </c>
      <c r="X111" s="206">
        <f t="shared" si="112"/>
        <v>975</v>
      </c>
      <c r="Y111" s="206">
        <f t="shared" si="113"/>
        <v>819</v>
      </c>
      <c r="Z111" s="205">
        <v>10410</v>
      </c>
      <c r="AA111" s="206">
        <f t="shared" si="114"/>
        <v>2485</v>
      </c>
      <c r="AB111" s="206">
        <f t="shared" si="115"/>
        <v>848</v>
      </c>
      <c r="AC111" s="206">
        <f t="shared" si="116"/>
        <v>780</v>
      </c>
      <c r="AD111" s="206">
        <f t="shared" si="117"/>
        <v>1147</v>
      </c>
      <c r="AE111" s="205">
        <v>10410</v>
      </c>
      <c r="AF111" s="206">
        <f t="shared" si="118"/>
        <v>2301</v>
      </c>
      <c r="AG111" s="206">
        <f t="shared" si="119"/>
        <v>264</v>
      </c>
      <c r="AH111" s="206">
        <f t="shared" si="120"/>
        <v>897</v>
      </c>
      <c r="AI111" s="206">
        <f t="shared" si="121"/>
        <v>983</v>
      </c>
    </row>
    <row r="112" spans="1:35" x14ac:dyDescent="0.15">
      <c r="A112" s="205">
        <v>10411</v>
      </c>
      <c r="B112" s="206">
        <f t="shared" si="95"/>
        <v>2264</v>
      </c>
      <c r="C112" s="206">
        <f t="shared" si="96"/>
        <v>246</v>
      </c>
      <c r="D112" s="206">
        <f t="shared" si="96"/>
        <v>849</v>
      </c>
      <c r="E112" s="206">
        <f t="shared" si="97"/>
        <v>849</v>
      </c>
      <c r="F112" s="205">
        <v>10411</v>
      </c>
      <c r="G112" s="206">
        <f t="shared" si="98"/>
        <v>2264</v>
      </c>
      <c r="H112" s="206">
        <f t="shared" si="99"/>
        <v>133</v>
      </c>
      <c r="I112" s="206">
        <f t="shared" si="100"/>
        <v>930</v>
      </c>
      <c r="J112" s="206">
        <f t="shared" si="101"/>
        <v>849</v>
      </c>
      <c r="K112" s="205">
        <v>10411</v>
      </c>
      <c r="L112" s="206">
        <f t="shared" si="102"/>
        <v>2264</v>
      </c>
      <c r="M112" s="206">
        <f t="shared" si="103"/>
        <v>246</v>
      </c>
      <c r="N112" s="206">
        <f t="shared" si="104"/>
        <v>849</v>
      </c>
      <c r="O112" s="206">
        <f t="shared" si="105"/>
        <v>849</v>
      </c>
      <c r="P112" s="205">
        <v>10411</v>
      </c>
      <c r="Q112" s="206">
        <f t="shared" si="106"/>
        <v>2386</v>
      </c>
      <c r="R112" s="206">
        <f t="shared" si="107"/>
        <v>225</v>
      </c>
      <c r="S112" s="206">
        <f t="shared" si="108"/>
        <v>809</v>
      </c>
      <c r="T112" s="206">
        <f t="shared" si="109"/>
        <v>1019</v>
      </c>
      <c r="U112" s="205">
        <v>10411</v>
      </c>
      <c r="V112" s="206">
        <f t="shared" si="110"/>
        <v>2264</v>
      </c>
      <c r="W112" s="206">
        <f t="shared" si="111"/>
        <v>514</v>
      </c>
      <c r="X112" s="206">
        <f t="shared" si="112"/>
        <v>1011</v>
      </c>
      <c r="Y112" s="206">
        <f t="shared" si="113"/>
        <v>849</v>
      </c>
      <c r="Z112" s="205">
        <v>10411</v>
      </c>
      <c r="AA112" s="206">
        <f t="shared" si="114"/>
        <v>2576</v>
      </c>
      <c r="AB112" s="206">
        <f t="shared" si="115"/>
        <v>879</v>
      </c>
      <c r="AC112" s="206">
        <f t="shared" si="116"/>
        <v>809</v>
      </c>
      <c r="AD112" s="206">
        <f t="shared" si="117"/>
        <v>1189</v>
      </c>
      <c r="AE112" s="205">
        <v>10411</v>
      </c>
      <c r="AF112" s="206">
        <f t="shared" si="118"/>
        <v>2386</v>
      </c>
      <c r="AG112" s="206">
        <f t="shared" si="119"/>
        <v>273</v>
      </c>
      <c r="AH112" s="206">
        <f t="shared" si="120"/>
        <v>930</v>
      </c>
      <c r="AI112" s="206">
        <f t="shared" si="121"/>
        <v>1019</v>
      </c>
    </row>
    <row r="113" spans="1:35" x14ac:dyDescent="0.15">
      <c r="A113" s="205">
        <v>10501</v>
      </c>
      <c r="B113" s="206">
        <f t="shared" ref="B113:B125" si="122">C54</f>
        <v>1904</v>
      </c>
      <c r="C113" s="206">
        <f t="shared" ref="C113:D125" si="123">D54</f>
        <v>207</v>
      </c>
      <c r="D113" s="206">
        <f t="shared" si="123"/>
        <v>714</v>
      </c>
      <c r="E113" s="206">
        <f t="shared" ref="E113:E125" si="124">H54</f>
        <v>714</v>
      </c>
      <c r="F113" s="205">
        <v>10501</v>
      </c>
      <c r="G113" s="206">
        <f t="shared" ref="G113:G125" si="125">AA54</f>
        <v>1904</v>
      </c>
      <c r="H113" s="206">
        <f t="shared" ref="H113:H125" si="126">AB54</f>
        <v>112</v>
      </c>
      <c r="I113" s="206">
        <f t="shared" ref="I113:I125" si="127">AC54</f>
        <v>782</v>
      </c>
      <c r="J113" s="206">
        <f t="shared" ref="J113:J125" si="128">AF54</f>
        <v>714</v>
      </c>
      <c r="K113" s="205">
        <v>10501</v>
      </c>
      <c r="L113" s="206">
        <f t="shared" ref="L113:L125" si="129">AY54</f>
        <v>1904</v>
      </c>
      <c r="M113" s="206">
        <f t="shared" ref="M113:M125" si="130">AZ54</f>
        <v>207</v>
      </c>
      <c r="N113" s="206">
        <f t="shared" ref="N113:N125" si="131">BA54</f>
        <v>714</v>
      </c>
      <c r="O113" s="206">
        <f t="shared" ref="O113:O125" si="132">BD54</f>
        <v>714</v>
      </c>
      <c r="P113" s="205">
        <v>10501</v>
      </c>
      <c r="Q113" s="206">
        <f t="shared" ref="Q113:Q125" si="133">BW54</f>
        <v>2006</v>
      </c>
      <c r="R113" s="206">
        <f t="shared" ref="R113:R125" si="134">BX54</f>
        <v>189</v>
      </c>
      <c r="S113" s="206">
        <f t="shared" ref="S113:S125" si="135">BY54</f>
        <v>680</v>
      </c>
      <c r="T113" s="206">
        <f t="shared" ref="T113:T125" si="136">CB54</f>
        <v>857</v>
      </c>
      <c r="U113" s="205">
        <v>10501</v>
      </c>
      <c r="V113" s="206">
        <f t="shared" ref="V113:V125" si="137">CU54</f>
        <v>1904</v>
      </c>
      <c r="W113" s="206">
        <f t="shared" ref="W113:W125" si="138">CV54</f>
        <v>432</v>
      </c>
      <c r="X113" s="206">
        <f t="shared" ref="X113:X125" si="139">CW54</f>
        <v>850</v>
      </c>
      <c r="Y113" s="206">
        <f t="shared" ref="Y113:Y125" si="140">CZ54</f>
        <v>714</v>
      </c>
      <c r="Z113" s="205">
        <v>10501</v>
      </c>
      <c r="AA113" s="206">
        <f t="shared" ref="AA113:AA125" si="141">DS54</f>
        <v>2166</v>
      </c>
      <c r="AB113" s="206">
        <f t="shared" ref="AB113:AB125" si="142">DT54</f>
        <v>739</v>
      </c>
      <c r="AC113" s="206">
        <f t="shared" ref="AC113:AC125" si="143">DU54</f>
        <v>680</v>
      </c>
      <c r="AD113" s="206">
        <f t="shared" ref="AD113:AD125" si="144">DX54</f>
        <v>1000</v>
      </c>
      <c r="AE113" s="205">
        <v>10501</v>
      </c>
      <c r="AF113" s="206">
        <f t="shared" ref="AF113:AF125" si="145">EQ54</f>
        <v>2006</v>
      </c>
      <c r="AG113" s="206">
        <f t="shared" ref="AG113:AG125" si="146">ER54</f>
        <v>230</v>
      </c>
      <c r="AH113" s="206">
        <f t="shared" ref="AH113:AH125" si="147">ES54</f>
        <v>782</v>
      </c>
      <c r="AI113" s="206">
        <f t="shared" ref="AI113:AI125" si="148">EV54</f>
        <v>857</v>
      </c>
    </row>
    <row r="114" spans="1:35" x14ac:dyDescent="0.15">
      <c r="A114" s="205">
        <v>10502</v>
      </c>
      <c r="B114" s="206">
        <f t="shared" si="122"/>
        <v>1992</v>
      </c>
      <c r="C114" s="206">
        <f t="shared" si="123"/>
        <v>217</v>
      </c>
      <c r="D114" s="206">
        <f t="shared" si="123"/>
        <v>747</v>
      </c>
      <c r="E114" s="206">
        <f t="shared" si="124"/>
        <v>747</v>
      </c>
      <c r="F114" s="205">
        <v>10502</v>
      </c>
      <c r="G114" s="206">
        <f t="shared" si="125"/>
        <v>1992</v>
      </c>
      <c r="H114" s="206">
        <f t="shared" si="126"/>
        <v>117</v>
      </c>
      <c r="I114" s="206">
        <f t="shared" si="127"/>
        <v>818</v>
      </c>
      <c r="J114" s="206">
        <f t="shared" si="128"/>
        <v>747</v>
      </c>
      <c r="K114" s="205">
        <v>10502</v>
      </c>
      <c r="L114" s="206">
        <f t="shared" si="129"/>
        <v>1992</v>
      </c>
      <c r="M114" s="206">
        <f t="shared" si="130"/>
        <v>217</v>
      </c>
      <c r="N114" s="206">
        <f t="shared" si="131"/>
        <v>747</v>
      </c>
      <c r="O114" s="206">
        <f t="shared" si="132"/>
        <v>747</v>
      </c>
      <c r="P114" s="205">
        <v>10502</v>
      </c>
      <c r="Q114" s="206">
        <f t="shared" si="133"/>
        <v>2099</v>
      </c>
      <c r="R114" s="206">
        <f t="shared" si="134"/>
        <v>198</v>
      </c>
      <c r="S114" s="206">
        <f t="shared" si="135"/>
        <v>711</v>
      </c>
      <c r="T114" s="206">
        <f t="shared" si="136"/>
        <v>896</v>
      </c>
      <c r="U114" s="205">
        <v>10502</v>
      </c>
      <c r="V114" s="206">
        <f t="shared" si="137"/>
        <v>1992</v>
      </c>
      <c r="W114" s="206">
        <f t="shared" si="138"/>
        <v>452</v>
      </c>
      <c r="X114" s="206">
        <f t="shared" si="139"/>
        <v>889</v>
      </c>
      <c r="Y114" s="206">
        <f t="shared" si="140"/>
        <v>747</v>
      </c>
      <c r="Z114" s="205">
        <v>10502</v>
      </c>
      <c r="AA114" s="206">
        <f t="shared" si="141"/>
        <v>2266</v>
      </c>
      <c r="AB114" s="206">
        <f t="shared" si="142"/>
        <v>773</v>
      </c>
      <c r="AC114" s="206">
        <f t="shared" si="143"/>
        <v>711</v>
      </c>
      <c r="AD114" s="206">
        <f t="shared" si="144"/>
        <v>1046</v>
      </c>
      <c r="AE114" s="205">
        <v>10502</v>
      </c>
      <c r="AF114" s="206">
        <f t="shared" si="145"/>
        <v>2099</v>
      </c>
      <c r="AG114" s="206">
        <f t="shared" si="146"/>
        <v>240</v>
      </c>
      <c r="AH114" s="206">
        <f t="shared" si="147"/>
        <v>818</v>
      </c>
      <c r="AI114" s="206">
        <f t="shared" si="148"/>
        <v>896</v>
      </c>
    </row>
    <row r="115" spans="1:35" x14ac:dyDescent="0.15">
      <c r="A115" s="205">
        <v>10503</v>
      </c>
      <c r="B115" s="206">
        <f t="shared" si="122"/>
        <v>2080</v>
      </c>
      <c r="C115" s="206">
        <f t="shared" si="123"/>
        <v>226</v>
      </c>
      <c r="D115" s="206">
        <f t="shared" si="123"/>
        <v>780</v>
      </c>
      <c r="E115" s="206">
        <f t="shared" si="124"/>
        <v>780</v>
      </c>
      <c r="F115" s="205">
        <v>10503</v>
      </c>
      <c r="G115" s="206">
        <f t="shared" si="125"/>
        <v>2080</v>
      </c>
      <c r="H115" s="206">
        <f t="shared" si="126"/>
        <v>123</v>
      </c>
      <c r="I115" s="206">
        <f t="shared" si="127"/>
        <v>854</v>
      </c>
      <c r="J115" s="206">
        <f t="shared" si="128"/>
        <v>780</v>
      </c>
      <c r="K115" s="205">
        <v>10503</v>
      </c>
      <c r="L115" s="206">
        <f t="shared" si="129"/>
        <v>2080</v>
      </c>
      <c r="M115" s="206">
        <f t="shared" si="130"/>
        <v>226</v>
      </c>
      <c r="N115" s="206">
        <f t="shared" si="131"/>
        <v>780</v>
      </c>
      <c r="O115" s="206">
        <f t="shared" si="132"/>
        <v>780</v>
      </c>
      <c r="P115" s="205">
        <v>10503</v>
      </c>
      <c r="Q115" s="206">
        <f t="shared" si="133"/>
        <v>2192</v>
      </c>
      <c r="R115" s="206">
        <f t="shared" si="134"/>
        <v>207</v>
      </c>
      <c r="S115" s="206">
        <f t="shared" si="135"/>
        <v>743</v>
      </c>
      <c r="T115" s="206">
        <f t="shared" si="136"/>
        <v>936</v>
      </c>
      <c r="U115" s="205">
        <v>10503</v>
      </c>
      <c r="V115" s="206">
        <f t="shared" si="137"/>
        <v>2080</v>
      </c>
      <c r="W115" s="206">
        <f t="shared" si="138"/>
        <v>472</v>
      </c>
      <c r="X115" s="206">
        <f t="shared" si="139"/>
        <v>929</v>
      </c>
      <c r="Y115" s="206">
        <f t="shared" si="140"/>
        <v>780</v>
      </c>
      <c r="Z115" s="205">
        <v>10503</v>
      </c>
      <c r="AA115" s="206">
        <f t="shared" si="141"/>
        <v>2366</v>
      </c>
      <c r="AB115" s="206">
        <f t="shared" si="142"/>
        <v>807</v>
      </c>
      <c r="AC115" s="206">
        <f t="shared" si="143"/>
        <v>743</v>
      </c>
      <c r="AD115" s="206">
        <f t="shared" si="144"/>
        <v>1092</v>
      </c>
      <c r="AE115" s="205">
        <v>10503</v>
      </c>
      <c r="AF115" s="206">
        <f t="shared" si="145"/>
        <v>2192</v>
      </c>
      <c r="AG115" s="206">
        <f t="shared" si="146"/>
        <v>251</v>
      </c>
      <c r="AH115" s="206">
        <f t="shared" si="147"/>
        <v>854</v>
      </c>
      <c r="AI115" s="206">
        <f t="shared" si="148"/>
        <v>936</v>
      </c>
    </row>
    <row r="116" spans="1:35" x14ac:dyDescent="0.15">
      <c r="A116" s="205">
        <v>10504</v>
      </c>
      <c r="B116" s="206">
        <f t="shared" si="122"/>
        <v>2168</v>
      </c>
      <c r="C116" s="206">
        <f t="shared" si="123"/>
        <v>236</v>
      </c>
      <c r="D116" s="206">
        <f t="shared" si="123"/>
        <v>813</v>
      </c>
      <c r="E116" s="206">
        <f t="shared" si="124"/>
        <v>813</v>
      </c>
      <c r="F116" s="205">
        <v>10504</v>
      </c>
      <c r="G116" s="206">
        <f t="shared" si="125"/>
        <v>2168</v>
      </c>
      <c r="H116" s="206">
        <f t="shared" si="126"/>
        <v>128</v>
      </c>
      <c r="I116" s="206">
        <f t="shared" si="127"/>
        <v>890</v>
      </c>
      <c r="J116" s="206">
        <f t="shared" si="128"/>
        <v>813</v>
      </c>
      <c r="K116" s="205">
        <v>10504</v>
      </c>
      <c r="L116" s="206">
        <f t="shared" si="129"/>
        <v>2168</v>
      </c>
      <c r="M116" s="206">
        <f t="shared" si="130"/>
        <v>236</v>
      </c>
      <c r="N116" s="206">
        <f t="shared" si="131"/>
        <v>813</v>
      </c>
      <c r="O116" s="206">
        <f t="shared" si="132"/>
        <v>813</v>
      </c>
      <c r="P116" s="205">
        <v>10504</v>
      </c>
      <c r="Q116" s="206">
        <f t="shared" si="133"/>
        <v>2284</v>
      </c>
      <c r="R116" s="206">
        <f t="shared" si="134"/>
        <v>215</v>
      </c>
      <c r="S116" s="206">
        <f t="shared" si="135"/>
        <v>774</v>
      </c>
      <c r="T116" s="206">
        <f t="shared" si="136"/>
        <v>976</v>
      </c>
      <c r="U116" s="205">
        <v>10504</v>
      </c>
      <c r="V116" s="206">
        <f t="shared" si="137"/>
        <v>2168</v>
      </c>
      <c r="W116" s="206">
        <f t="shared" si="138"/>
        <v>492</v>
      </c>
      <c r="X116" s="206">
        <f t="shared" si="139"/>
        <v>968</v>
      </c>
      <c r="Y116" s="206">
        <f t="shared" si="140"/>
        <v>813</v>
      </c>
      <c r="Z116" s="205">
        <v>10504</v>
      </c>
      <c r="AA116" s="206">
        <f t="shared" si="141"/>
        <v>2467</v>
      </c>
      <c r="AB116" s="206">
        <f t="shared" si="142"/>
        <v>841</v>
      </c>
      <c r="AC116" s="206">
        <f t="shared" si="143"/>
        <v>774</v>
      </c>
      <c r="AD116" s="206">
        <f t="shared" si="144"/>
        <v>1138</v>
      </c>
      <c r="AE116" s="205">
        <v>10504</v>
      </c>
      <c r="AF116" s="206">
        <f t="shared" si="145"/>
        <v>2284</v>
      </c>
      <c r="AG116" s="206">
        <f t="shared" si="146"/>
        <v>262</v>
      </c>
      <c r="AH116" s="206">
        <f t="shared" si="147"/>
        <v>890</v>
      </c>
      <c r="AI116" s="206">
        <f t="shared" si="148"/>
        <v>976</v>
      </c>
    </row>
    <row r="117" spans="1:35" x14ac:dyDescent="0.15">
      <c r="A117" s="205">
        <v>10505</v>
      </c>
      <c r="B117" s="206">
        <f t="shared" si="122"/>
        <v>2256</v>
      </c>
      <c r="C117" s="206">
        <f t="shared" si="123"/>
        <v>245</v>
      </c>
      <c r="D117" s="206">
        <f t="shared" si="123"/>
        <v>846</v>
      </c>
      <c r="E117" s="206">
        <f t="shared" si="124"/>
        <v>846</v>
      </c>
      <c r="F117" s="205">
        <v>10505</v>
      </c>
      <c r="G117" s="206">
        <f t="shared" si="125"/>
        <v>2256</v>
      </c>
      <c r="H117" s="206">
        <f t="shared" si="126"/>
        <v>133</v>
      </c>
      <c r="I117" s="206">
        <f t="shared" si="127"/>
        <v>927</v>
      </c>
      <c r="J117" s="206">
        <f t="shared" si="128"/>
        <v>846</v>
      </c>
      <c r="K117" s="205">
        <v>10505</v>
      </c>
      <c r="L117" s="206">
        <f t="shared" si="129"/>
        <v>2256</v>
      </c>
      <c r="M117" s="206">
        <f t="shared" si="130"/>
        <v>245</v>
      </c>
      <c r="N117" s="206">
        <f t="shared" si="131"/>
        <v>846</v>
      </c>
      <c r="O117" s="206">
        <f t="shared" si="132"/>
        <v>846</v>
      </c>
      <c r="P117" s="205">
        <v>10505</v>
      </c>
      <c r="Q117" s="206">
        <f t="shared" si="133"/>
        <v>2377</v>
      </c>
      <c r="R117" s="206">
        <f t="shared" si="134"/>
        <v>224</v>
      </c>
      <c r="S117" s="206">
        <f t="shared" si="135"/>
        <v>806</v>
      </c>
      <c r="T117" s="206">
        <f t="shared" si="136"/>
        <v>1015</v>
      </c>
      <c r="U117" s="205">
        <v>10505</v>
      </c>
      <c r="V117" s="206">
        <f t="shared" si="137"/>
        <v>2256</v>
      </c>
      <c r="W117" s="206">
        <f t="shared" si="138"/>
        <v>512</v>
      </c>
      <c r="X117" s="206">
        <f t="shared" si="139"/>
        <v>1007</v>
      </c>
      <c r="Y117" s="206">
        <f t="shared" si="140"/>
        <v>846</v>
      </c>
      <c r="Z117" s="205">
        <v>10505</v>
      </c>
      <c r="AA117" s="206">
        <f t="shared" si="141"/>
        <v>2567</v>
      </c>
      <c r="AB117" s="206">
        <f t="shared" si="142"/>
        <v>876</v>
      </c>
      <c r="AC117" s="206">
        <f t="shared" si="143"/>
        <v>806</v>
      </c>
      <c r="AD117" s="206">
        <f t="shared" si="144"/>
        <v>1184</v>
      </c>
      <c r="AE117" s="205">
        <v>10505</v>
      </c>
      <c r="AF117" s="206">
        <f t="shared" si="145"/>
        <v>2377</v>
      </c>
      <c r="AG117" s="206">
        <f t="shared" si="146"/>
        <v>272</v>
      </c>
      <c r="AH117" s="206">
        <f t="shared" si="147"/>
        <v>927</v>
      </c>
      <c r="AI117" s="206">
        <f t="shared" si="148"/>
        <v>1015</v>
      </c>
    </row>
    <row r="118" spans="1:35" x14ac:dyDescent="0.15">
      <c r="A118" s="205">
        <v>10506</v>
      </c>
      <c r="B118" s="206">
        <f t="shared" si="122"/>
        <v>2344</v>
      </c>
      <c r="C118" s="206">
        <f t="shared" si="123"/>
        <v>255</v>
      </c>
      <c r="D118" s="206">
        <f t="shared" si="123"/>
        <v>879</v>
      </c>
      <c r="E118" s="206">
        <f t="shared" si="124"/>
        <v>879</v>
      </c>
      <c r="F118" s="205">
        <v>10506</v>
      </c>
      <c r="G118" s="206">
        <f t="shared" si="125"/>
        <v>2344</v>
      </c>
      <c r="H118" s="206">
        <f t="shared" si="126"/>
        <v>138</v>
      </c>
      <c r="I118" s="206">
        <f t="shared" si="127"/>
        <v>963</v>
      </c>
      <c r="J118" s="206">
        <f t="shared" si="128"/>
        <v>879</v>
      </c>
      <c r="K118" s="205">
        <v>10506</v>
      </c>
      <c r="L118" s="206">
        <f t="shared" si="129"/>
        <v>2344</v>
      </c>
      <c r="M118" s="206">
        <f t="shared" si="130"/>
        <v>255</v>
      </c>
      <c r="N118" s="206">
        <f t="shared" si="131"/>
        <v>879</v>
      </c>
      <c r="O118" s="206">
        <f t="shared" si="132"/>
        <v>879</v>
      </c>
      <c r="P118" s="205">
        <v>10506</v>
      </c>
      <c r="Q118" s="206">
        <f t="shared" si="133"/>
        <v>2470</v>
      </c>
      <c r="R118" s="206">
        <f t="shared" si="134"/>
        <v>233</v>
      </c>
      <c r="S118" s="206">
        <f t="shared" si="135"/>
        <v>837</v>
      </c>
      <c r="T118" s="206">
        <f t="shared" si="136"/>
        <v>1055</v>
      </c>
      <c r="U118" s="205">
        <v>10506</v>
      </c>
      <c r="V118" s="206">
        <f t="shared" si="137"/>
        <v>2344</v>
      </c>
      <c r="W118" s="206">
        <f t="shared" si="138"/>
        <v>532</v>
      </c>
      <c r="X118" s="206">
        <f t="shared" si="139"/>
        <v>1046</v>
      </c>
      <c r="Y118" s="206">
        <f t="shared" si="140"/>
        <v>879</v>
      </c>
      <c r="Z118" s="205">
        <v>10506</v>
      </c>
      <c r="AA118" s="206">
        <f t="shared" si="141"/>
        <v>2667</v>
      </c>
      <c r="AB118" s="206">
        <f t="shared" si="142"/>
        <v>910</v>
      </c>
      <c r="AC118" s="206">
        <f t="shared" si="143"/>
        <v>837</v>
      </c>
      <c r="AD118" s="206">
        <f t="shared" si="144"/>
        <v>1231</v>
      </c>
      <c r="AE118" s="205">
        <v>10506</v>
      </c>
      <c r="AF118" s="206">
        <f t="shared" si="145"/>
        <v>2470</v>
      </c>
      <c r="AG118" s="206">
        <f t="shared" si="146"/>
        <v>283</v>
      </c>
      <c r="AH118" s="206">
        <f t="shared" si="147"/>
        <v>963</v>
      </c>
      <c r="AI118" s="206">
        <f t="shared" si="148"/>
        <v>1055</v>
      </c>
    </row>
    <row r="119" spans="1:35" x14ac:dyDescent="0.15">
      <c r="A119" s="205">
        <v>10507</v>
      </c>
      <c r="B119" s="206">
        <f t="shared" si="122"/>
        <v>2432</v>
      </c>
      <c r="C119" s="206">
        <f t="shared" si="123"/>
        <v>265</v>
      </c>
      <c r="D119" s="206">
        <f t="shared" si="123"/>
        <v>912</v>
      </c>
      <c r="E119" s="206">
        <f t="shared" si="124"/>
        <v>912</v>
      </c>
      <c r="F119" s="205">
        <v>10507</v>
      </c>
      <c r="G119" s="206">
        <f t="shared" si="125"/>
        <v>2432</v>
      </c>
      <c r="H119" s="206">
        <f t="shared" si="126"/>
        <v>143</v>
      </c>
      <c r="I119" s="206">
        <f t="shared" si="127"/>
        <v>999</v>
      </c>
      <c r="J119" s="206">
        <f t="shared" si="128"/>
        <v>912</v>
      </c>
      <c r="K119" s="205">
        <v>10507</v>
      </c>
      <c r="L119" s="206">
        <f t="shared" si="129"/>
        <v>2432</v>
      </c>
      <c r="M119" s="206">
        <f t="shared" si="130"/>
        <v>265</v>
      </c>
      <c r="N119" s="206">
        <f t="shared" si="131"/>
        <v>912</v>
      </c>
      <c r="O119" s="206">
        <f t="shared" si="132"/>
        <v>912</v>
      </c>
      <c r="P119" s="205">
        <v>10507</v>
      </c>
      <c r="Q119" s="206">
        <f t="shared" si="133"/>
        <v>2563</v>
      </c>
      <c r="R119" s="206">
        <f t="shared" si="134"/>
        <v>242</v>
      </c>
      <c r="S119" s="206">
        <f t="shared" si="135"/>
        <v>869</v>
      </c>
      <c r="T119" s="206">
        <f t="shared" si="136"/>
        <v>1094</v>
      </c>
      <c r="U119" s="205">
        <v>10507</v>
      </c>
      <c r="V119" s="206">
        <f t="shared" si="137"/>
        <v>2432</v>
      </c>
      <c r="W119" s="206">
        <f t="shared" si="138"/>
        <v>552</v>
      </c>
      <c r="X119" s="206">
        <f t="shared" si="139"/>
        <v>1086</v>
      </c>
      <c r="Y119" s="206">
        <f t="shared" si="140"/>
        <v>912</v>
      </c>
      <c r="Z119" s="205">
        <v>10507</v>
      </c>
      <c r="AA119" s="206">
        <f t="shared" si="141"/>
        <v>2767</v>
      </c>
      <c r="AB119" s="206">
        <f t="shared" si="142"/>
        <v>944</v>
      </c>
      <c r="AC119" s="206">
        <f t="shared" si="143"/>
        <v>869</v>
      </c>
      <c r="AD119" s="206">
        <f t="shared" si="144"/>
        <v>1277</v>
      </c>
      <c r="AE119" s="205">
        <v>10507</v>
      </c>
      <c r="AF119" s="206">
        <f t="shared" si="145"/>
        <v>2563</v>
      </c>
      <c r="AG119" s="206">
        <f t="shared" si="146"/>
        <v>294</v>
      </c>
      <c r="AH119" s="206">
        <f t="shared" si="147"/>
        <v>999</v>
      </c>
      <c r="AI119" s="206">
        <f t="shared" si="148"/>
        <v>1094</v>
      </c>
    </row>
    <row r="120" spans="1:35" x14ac:dyDescent="0.15">
      <c r="A120" s="205">
        <v>10508</v>
      </c>
      <c r="B120" s="206">
        <f t="shared" si="122"/>
        <v>2520</v>
      </c>
      <c r="C120" s="206">
        <f t="shared" si="123"/>
        <v>274</v>
      </c>
      <c r="D120" s="206">
        <f t="shared" si="123"/>
        <v>945</v>
      </c>
      <c r="E120" s="206">
        <f t="shared" si="124"/>
        <v>945</v>
      </c>
      <c r="F120" s="205">
        <v>10508</v>
      </c>
      <c r="G120" s="206">
        <f t="shared" si="125"/>
        <v>2520</v>
      </c>
      <c r="H120" s="206">
        <f t="shared" si="126"/>
        <v>148</v>
      </c>
      <c r="I120" s="206">
        <f t="shared" si="127"/>
        <v>1035</v>
      </c>
      <c r="J120" s="206">
        <f t="shared" si="128"/>
        <v>945</v>
      </c>
      <c r="K120" s="205">
        <v>10508</v>
      </c>
      <c r="L120" s="206">
        <f t="shared" si="129"/>
        <v>2520</v>
      </c>
      <c r="M120" s="206">
        <f t="shared" si="130"/>
        <v>274</v>
      </c>
      <c r="N120" s="206">
        <f t="shared" si="131"/>
        <v>945</v>
      </c>
      <c r="O120" s="206">
        <f t="shared" si="132"/>
        <v>945</v>
      </c>
      <c r="P120" s="205">
        <v>10508</v>
      </c>
      <c r="Q120" s="206">
        <f t="shared" si="133"/>
        <v>2655</v>
      </c>
      <c r="R120" s="206">
        <f t="shared" si="134"/>
        <v>250</v>
      </c>
      <c r="S120" s="206">
        <f t="shared" si="135"/>
        <v>900</v>
      </c>
      <c r="T120" s="206">
        <f t="shared" si="136"/>
        <v>1134</v>
      </c>
      <c r="U120" s="205">
        <v>10508</v>
      </c>
      <c r="V120" s="206">
        <f t="shared" si="137"/>
        <v>2520</v>
      </c>
      <c r="W120" s="206">
        <f t="shared" si="138"/>
        <v>572</v>
      </c>
      <c r="X120" s="206">
        <f t="shared" si="139"/>
        <v>1125</v>
      </c>
      <c r="Y120" s="206">
        <f t="shared" si="140"/>
        <v>945</v>
      </c>
      <c r="Z120" s="205">
        <v>10508</v>
      </c>
      <c r="AA120" s="206">
        <f t="shared" si="141"/>
        <v>2867</v>
      </c>
      <c r="AB120" s="206">
        <f t="shared" si="142"/>
        <v>978</v>
      </c>
      <c r="AC120" s="206">
        <f t="shared" si="143"/>
        <v>900</v>
      </c>
      <c r="AD120" s="206">
        <f t="shared" si="144"/>
        <v>1323</v>
      </c>
      <c r="AE120" s="205">
        <v>10508</v>
      </c>
      <c r="AF120" s="206">
        <f t="shared" si="145"/>
        <v>2655</v>
      </c>
      <c r="AG120" s="206">
        <f t="shared" si="146"/>
        <v>304</v>
      </c>
      <c r="AH120" s="206">
        <f t="shared" si="147"/>
        <v>1035</v>
      </c>
      <c r="AI120" s="206">
        <f t="shared" si="148"/>
        <v>1134</v>
      </c>
    </row>
    <row r="121" spans="1:35" x14ac:dyDescent="0.15">
      <c r="A121" s="205">
        <v>10509</v>
      </c>
      <c r="B121" s="206">
        <f t="shared" si="122"/>
        <v>2608</v>
      </c>
      <c r="C121" s="206">
        <f t="shared" si="123"/>
        <v>284</v>
      </c>
      <c r="D121" s="206">
        <f t="shared" si="123"/>
        <v>978</v>
      </c>
      <c r="E121" s="206">
        <f t="shared" si="124"/>
        <v>978</v>
      </c>
      <c r="F121" s="205">
        <v>10509</v>
      </c>
      <c r="G121" s="206">
        <f t="shared" si="125"/>
        <v>2608</v>
      </c>
      <c r="H121" s="206">
        <f t="shared" si="126"/>
        <v>154</v>
      </c>
      <c r="I121" s="206">
        <f t="shared" si="127"/>
        <v>1071</v>
      </c>
      <c r="J121" s="206">
        <f t="shared" si="128"/>
        <v>978</v>
      </c>
      <c r="K121" s="205">
        <v>10509</v>
      </c>
      <c r="L121" s="206">
        <f t="shared" si="129"/>
        <v>2608</v>
      </c>
      <c r="M121" s="206">
        <f t="shared" si="130"/>
        <v>284</v>
      </c>
      <c r="N121" s="206">
        <f t="shared" si="131"/>
        <v>978</v>
      </c>
      <c r="O121" s="206">
        <f t="shared" si="132"/>
        <v>978</v>
      </c>
      <c r="P121" s="205">
        <v>10509</v>
      </c>
      <c r="Q121" s="206">
        <f t="shared" si="133"/>
        <v>2748</v>
      </c>
      <c r="R121" s="206">
        <f t="shared" si="134"/>
        <v>259</v>
      </c>
      <c r="S121" s="206">
        <f t="shared" si="135"/>
        <v>931</v>
      </c>
      <c r="T121" s="206">
        <f t="shared" si="136"/>
        <v>1174</v>
      </c>
      <c r="U121" s="205">
        <v>10509</v>
      </c>
      <c r="V121" s="206">
        <f t="shared" si="137"/>
        <v>2608</v>
      </c>
      <c r="W121" s="206">
        <f t="shared" si="138"/>
        <v>592</v>
      </c>
      <c r="X121" s="206">
        <f t="shared" si="139"/>
        <v>1164</v>
      </c>
      <c r="Y121" s="206">
        <f t="shared" si="140"/>
        <v>978</v>
      </c>
      <c r="Z121" s="205">
        <v>10509</v>
      </c>
      <c r="AA121" s="206">
        <f t="shared" si="141"/>
        <v>2967</v>
      </c>
      <c r="AB121" s="206">
        <f t="shared" si="142"/>
        <v>1012</v>
      </c>
      <c r="AC121" s="206">
        <f t="shared" si="143"/>
        <v>931</v>
      </c>
      <c r="AD121" s="206">
        <f t="shared" si="144"/>
        <v>1369</v>
      </c>
      <c r="AE121" s="205">
        <v>10509</v>
      </c>
      <c r="AF121" s="206">
        <f t="shared" si="145"/>
        <v>2748</v>
      </c>
      <c r="AG121" s="206">
        <f t="shared" si="146"/>
        <v>315</v>
      </c>
      <c r="AH121" s="206">
        <f t="shared" si="147"/>
        <v>1071</v>
      </c>
      <c r="AI121" s="206">
        <f t="shared" si="148"/>
        <v>1174</v>
      </c>
    </row>
    <row r="122" spans="1:35" x14ac:dyDescent="0.15">
      <c r="A122" s="205">
        <v>10510</v>
      </c>
      <c r="B122" s="206">
        <f t="shared" si="122"/>
        <v>2696</v>
      </c>
      <c r="C122" s="206">
        <f t="shared" si="123"/>
        <v>293</v>
      </c>
      <c r="D122" s="206">
        <f t="shared" si="123"/>
        <v>1011</v>
      </c>
      <c r="E122" s="206">
        <f t="shared" si="124"/>
        <v>1011</v>
      </c>
      <c r="F122" s="205">
        <v>10510</v>
      </c>
      <c r="G122" s="206">
        <f t="shared" si="125"/>
        <v>2696</v>
      </c>
      <c r="H122" s="206">
        <f t="shared" si="126"/>
        <v>159</v>
      </c>
      <c r="I122" s="206">
        <f t="shared" si="127"/>
        <v>1107</v>
      </c>
      <c r="J122" s="206">
        <f t="shared" si="128"/>
        <v>1011</v>
      </c>
      <c r="K122" s="205">
        <v>10510</v>
      </c>
      <c r="L122" s="206">
        <f t="shared" si="129"/>
        <v>2696</v>
      </c>
      <c r="M122" s="206">
        <f t="shared" si="130"/>
        <v>293</v>
      </c>
      <c r="N122" s="206">
        <f t="shared" si="131"/>
        <v>1011</v>
      </c>
      <c r="O122" s="206">
        <f t="shared" si="132"/>
        <v>1011</v>
      </c>
      <c r="P122" s="205">
        <v>10510</v>
      </c>
      <c r="Q122" s="206">
        <f t="shared" si="133"/>
        <v>2841</v>
      </c>
      <c r="R122" s="206">
        <f t="shared" si="134"/>
        <v>268</v>
      </c>
      <c r="S122" s="206">
        <f t="shared" si="135"/>
        <v>963</v>
      </c>
      <c r="T122" s="206">
        <f t="shared" si="136"/>
        <v>1213</v>
      </c>
      <c r="U122" s="205">
        <v>10510</v>
      </c>
      <c r="V122" s="206">
        <f t="shared" si="137"/>
        <v>2696</v>
      </c>
      <c r="W122" s="206">
        <f t="shared" si="138"/>
        <v>612</v>
      </c>
      <c r="X122" s="206">
        <f t="shared" si="139"/>
        <v>1204</v>
      </c>
      <c r="Y122" s="206">
        <f t="shared" si="140"/>
        <v>1011</v>
      </c>
      <c r="Z122" s="205">
        <v>10510</v>
      </c>
      <c r="AA122" s="206">
        <f t="shared" si="141"/>
        <v>3067</v>
      </c>
      <c r="AB122" s="206">
        <f t="shared" si="142"/>
        <v>1046</v>
      </c>
      <c r="AC122" s="206">
        <f t="shared" si="143"/>
        <v>963</v>
      </c>
      <c r="AD122" s="206">
        <f t="shared" si="144"/>
        <v>1415</v>
      </c>
      <c r="AE122" s="205">
        <v>10510</v>
      </c>
      <c r="AF122" s="206">
        <f t="shared" si="145"/>
        <v>2841</v>
      </c>
      <c r="AG122" s="206">
        <f t="shared" si="146"/>
        <v>325</v>
      </c>
      <c r="AH122" s="206">
        <f t="shared" si="147"/>
        <v>1107</v>
      </c>
      <c r="AI122" s="206">
        <f t="shared" si="148"/>
        <v>1213</v>
      </c>
    </row>
    <row r="123" spans="1:35" x14ac:dyDescent="0.15">
      <c r="A123" s="205">
        <v>10511</v>
      </c>
      <c r="B123" s="206">
        <f t="shared" si="122"/>
        <v>2784</v>
      </c>
      <c r="C123" s="206">
        <f t="shared" si="123"/>
        <v>303</v>
      </c>
      <c r="D123" s="206">
        <f t="shared" si="123"/>
        <v>1044</v>
      </c>
      <c r="E123" s="206">
        <f t="shared" si="124"/>
        <v>1044</v>
      </c>
      <c r="F123" s="205">
        <v>10511</v>
      </c>
      <c r="G123" s="206">
        <f t="shared" si="125"/>
        <v>2784</v>
      </c>
      <c r="H123" s="206">
        <f t="shared" si="126"/>
        <v>164</v>
      </c>
      <c r="I123" s="206">
        <f t="shared" si="127"/>
        <v>1143</v>
      </c>
      <c r="J123" s="206">
        <f t="shared" si="128"/>
        <v>1044</v>
      </c>
      <c r="K123" s="205">
        <v>10511</v>
      </c>
      <c r="L123" s="206">
        <f t="shared" si="129"/>
        <v>2784</v>
      </c>
      <c r="M123" s="206">
        <f t="shared" si="130"/>
        <v>303</v>
      </c>
      <c r="N123" s="206">
        <f t="shared" si="131"/>
        <v>1044</v>
      </c>
      <c r="O123" s="206">
        <f t="shared" si="132"/>
        <v>1044</v>
      </c>
      <c r="P123" s="205">
        <v>10511</v>
      </c>
      <c r="Q123" s="206">
        <f t="shared" si="133"/>
        <v>2934</v>
      </c>
      <c r="R123" s="206">
        <f t="shared" si="134"/>
        <v>277</v>
      </c>
      <c r="S123" s="206">
        <f t="shared" si="135"/>
        <v>994</v>
      </c>
      <c r="T123" s="206">
        <f t="shared" si="136"/>
        <v>1253</v>
      </c>
      <c r="U123" s="205">
        <v>10511</v>
      </c>
      <c r="V123" s="206">
        <f t="shared" si="137"/>
        <v>2784</v>
      </c>
      <c r="W123" s="206">
        <f t="shared" si="138"/>
        <v>632</v>
      </c>
      <c r="X123" s="206">
        <f t="shared" si="139"/>
        <v>1243</v>
      </c>
      <c r="Y123" s="206">
        <f t="shared" si="140"/>
        <v>1044</v>
      </c>
      <c r="Z123" s="205">
        <v>10511</v>
      </c>
      <c r="AA123" s="206">
        <f t="shared" si="141"/>
        <v>3167</v>
      </c>
      <c r="AB123" s="206">
        <f t="shared" si="142"/>
        <v>1081</v>
      </c>
      <c r="AC123" s="206">
        <f t="shared" si="143"/>
        <v>994</v>
      </c>
      <c r="AD123" s="206">
        <f t="shared" si="144"/>
        <v>1462</v>
      </c>
      <c r="AE123" s="205">
        <v>10511</v>
      </c>
      <c r="AF123" s="206">
        <f t="shared" si="145"/>
        <v>2934</v>
      </c>
      <c r="AG123" s="206">
        <f t="shared" si="146"/>
        <v>336</v>
      </c>
      <c r="AH123" s="206">
        <f t="shared" si="147"/>
        <v>1143</v>
      </c>
      <c r="AI123" s="206">
        <f t="shared" si="148"/>
        <v>1253</v>
      </c>
    </row>
    <row r="124" spans="1:35" x14ac:dyDescent="0.15">
      <c r="A124" s="205">
        <v>10512</v>
      </c>
      <c r="B124" s="206">
        <f t="shared" si="122"/>
        <v>2872</v>
      </c>
      <c r="C124" s="206">
        <f t="shared" si="123"/>
        <v>312</v>
      </c>
      <c r="D124" s="206">
        <f t="shared" si="123"/>
        <v>1077</v>
      </c>
      <c r="E124" s="206">
        <f t="shared" si="124"/>
        <v>1077</v>
      </c>
      <c r="F124" s="205">
        <v>10512</v>
      </c>
      <c r="G124" s="206">
        <f t="shared" si="125"/>
        <v>2872</v>
      </c>
      <c r="H124" s="206">
        <f t="shared" si="126"/>
        <v>169</v>
      </c>
      <c r="I124" s="206">
        <f t="shared" si="127"/>
        <v>1180</v>
      </c>
      <c r="J124" s="206">
        <f t="shared" si="128"/>
        <v>1077</v>
      </c>
      <c r="K124" s="205">
        <v>10512</v>
      </c>
      <c r="L124" s="206">
        <f t="shared" si="129"/>
        <v>2872</v>
      </c>
      <c r="M124" s="206">
        <f t="shared" si="130"/>
        <v>312</v>
      </c>
      <c r="N124" s="206">
        <f t="shared" si="131"/>
        <v>1077</v>
      </c>
      <c r="O124" s="206">
        <f t="shared" si="132"/>
        <v>1077</v>
      </c>
      <c r="P124" s="205">
        <v>10512</v>
      </c>
      <c r="Q124" s="206">
        <f t="shared" si="133"/>
        <v>3026</v>
      </c>
      <c r="R124" s="206">
        <f t="shared" si="134"/>
        <v>285</v>
      </c>
      <c r="S124" s="206">
        <f t="shared" si="135"/>
        <v>1026</v>
      </c>
      <c r="T124" s="206">
        <f t="shared" si="136"/>
        <v>1292</v>
      </c>
      <c r="U124" s="205">
        <v>10512</v>
      </c>
      <c r="V124" s="206">
        <f t="shared" si="137"/>
        <v>2872</v>
      </c>
      <c r="W124" s="206">
        <f t="shared" si="138"/>
        <v>652</v>
      </c>
      <c r="X124" s="206">
        <f t="shared" si="139"/>
        <v>1282</v>
      </c>
      <c r="Y124" s="206">
        <f t="shared" si="140"/>
        <v>1077</v>
      </c>
      <c r="Z124" s="205">
        <v>10512</v>
      </c>
      <c r="AA124" s="206">
        <f t="shared" si="141"/>
        <v>3268</v>
      </c>
      <c r="AB124" s="206">
        <f t="shared" si="142"/>
        <v>1115</v>
      </c>
      <c r="AC124" s="206">
        <f t="shared" si="143"/>
        <v>1026</v>
      </c>
      <c r="AD124" s="206">
        <f t="shared" si="144"/>
        <v>1508</v>
      </c>
      <c r="AE124" s="205">
        <v>10512</v>
      </c>
      <c r="AF124" s="206">
        <f t="shared" si="145"/>
        <v>3026</v>
      </c>
      <c r="AG124" s="206">
        <f t="shared" si="146"/>
        <v>347</v>
      </c>
      <c r="AH124" s="206">
        <f t="shared" si="147"/>
        <v>1180</v>
      </c>
      <c r="AI124" s="206">
        <f t="shared" si="148"/>
        <v>1292</v>
      </c>
    </row>
    <row r="125" spans="1:35" x14ac:dyDescent="0.15">
      <c r="A125" s="205">
        <v>10513</v>
      </c>
      <c r="B125" s="206">
        <f t="shared" si="122"/>
        <v>2960</v>
      </c>
      <c r="C125" s="206">
        <f t="shared" si="123"/>
        <v>322</v>
      </c>
      <c r="D125" s="206">
        <f t="shared" si="123"/>
        <v>1110</v>
      </c>
      <c r="E125" s="206">
        <f t="shared" si="124"/>
        <v>1110</v>
      </c>
      <c r="F125" s="205">
        <v>10513</v>
      </c>
      <c r="G125" s="206">
        <f t="shared" si="125"/>
        <v>2960</v>
      </c>
      <c r="H125" s="206">
        <f t="shared" si="126"/>
        <v>174</v>
      </c>
      <c r="I125" s="206">
        <f t="shared" si="127"/>
        <v>1216</v>
      </c>
      <c r="J125" s="206">
        <f t="shared" si="128"/>
        <v>1110</v>
      </c>
      <c r="K125" s="205">
        <v>10513</v>
      </c>
      <c r="L125" s="206">
        <f t="shared" si="129"/>
        <v>2960</v>
      </c>
      <c r="M125" s="206">
        <f t="shared" si="130"/>
        <v>322</v>
      </c>
      <c r="N125" s="206">
        <f t="shared" si="131"/>
        <v>1110</v>
      </c>
      <c r="O125" s="206">
        <f t="shared" si="132"/>
        <v>1110</v>
      </c>
      <c r="P125" s="205">
        <v>10513</v>
      </c>
      <c r="Q125" s="206">
        <f t="shared" si="133"/>
        <v>3119</v>
      </c>
      <c r="R125" s="206">
        <f t="shared" si="134"/>
        <v>294</v>
      </c>
      <c r="S125" s="206">
        <f t="shared" si="135"/>
        <v>1057</v>
      </c>
      <c r="T125" s="206">
        <f t="shared" si="136"/>
        <v>1332</v>
      </c>
      <c r="U125" s="205">
        <v>10513</v>
      </c>
      <c r="V125" s="206">
        <f t="shared" si="137"/>
        <v>2960</v>
      </c>
      <c r="W125" s="206">
        <f t="shared" si="138"/>
        <v>672</v>
      </c>
      <c r="X125" s="206">
        <f t="shared" si="139"/>
        <v>1321</v>
      </c>
      <c r="Y125" s="206">
        <f t="shared" si="140"/>
        <v>1110</v>
      </c>
      <c r="Z125" s="205">
        <v>10513</v>
      </c>
      <c r="AA125" s="206">
        <f t="shared" si="141"/>
        <v>3368</v>
      </c>
      <c r="AB125" s="206">
        <f t="shared" si="142"/>
        <v>1149</v>
      </c>
      <c r="AC125" s="206">
        <f t="shared" si="143"/>
        <v>1057</v>
      </c>
      <c r="AD125" s="206">
        <f t="shared" si="144"/>
        <v>1554</v>
      </c>
      <c r="AE125" s="205">
        <v>10513</v>
      </c>
      <c r="AF125" s="206">
        <f t="shared" si="145"/>
        <v>3119</v>
      </c>
      <c r="AG125" s="206">
        <f t="shared" si="146"/>
        <v>357</v>
      </c>
      <c r="AH125" s="206">
        <f t="shared" si="147"/>
        <v>1216</v>
      </c>
      <c r="AI125" s="206">
        <f t="shared" si="148"/>
        <v>1332</v>
      </c>
    </row>
    <row r="126" spans="1:35" x14ac:dyDescent="0.15">
      <c r="A126" s="205">
        <v>20201</v>
      </c>
      <c r="B126" s="206">
        <f>K9</f>
        <v>944</v>
      </c>
      <c r="C126" s="206">
        <f t="shared" ref="C126:D141" si="149">L9</f>
        <v>103</v>
      </c>
      <c r="D126" s="206">
        <f t="shared" si="149"/>
        <v>354</v>
      </c>
      <c r="E126" s="206">
        <f t="shared" ref="E126:E141" si="150">P9</f>
        <v>354</v>
      </c>
      <c r="F126" s="205">
        <v>20201</v>
      </c>
      <c r="G126" s="206">
        <f t="shared" ref="G126:G157" si="151">AI9</f>
        <v>944</v>
      </c>
      <c r="H126" s="206">
        <f t="shared" ref="H126:H157" si="152">AJ9</f>
        <v>56</v>
      </c>
      <c r="I126" s="206">
        <f t="shared" ref="I126:I157" si="153">AK9</f>
        <v>388</v>
      </c>
      <c r="J126" s="206">
        <f t="shared" ref="J126:J157" si="154">AN9</f>
        <v>354</v>
      </c>
      <c r="K126" s="205">
        <v>20201</v>
      </c>
      <c r="L126" s="206">
        <f t="shared" ref="L126:L157" si="155">BG9</f>
        <v>944</v>
      </c>
      <c r="M126" s="206">
        <f t="shared" ref="M126:M157" si="156">BH9</f>
        <v>103</v>
      </c>
      <c r="N126" s="206">
        <f t="shared" ref="N126:N157" si="157">BI9</f>
        <v>354</v>
      </c>
      <c r="O126" s="206">
        <f t="shared" ref="O126:O157" si="158">BL9</f>
        <v>354</v>
      </c>
      <c r="P126" s="205">
        <v>20201</v>
      </c>
      <c r="Q126" s="206">
        <f t="shared" ref="Q126:Q157" si="159">CE9</f>
        <v>995</v>
      </c>
      <c r="R126" s="206">
        <f t="shared" ref="R126:R157" si="160">CF9</f>
        <v>94</v>
      </c>
      <c r="S126" s="206">
        <f t="shared" ref="S126:S157" si="161">CG9</f>
        <v>337</v>
      </c>
      <c r="T126" s="206">
        <f t="shared" ref="T126:T157" si="162">CJ9</f>
        <v>425</v>
      </c>
      <c r="U126" s="205">
        <v>20201</v>
      </c>
      <c r="V126" s="206">
        <f t="shared" ref="V126:V157" si="163">DC9</f>
        <v>944</v>
      </c>
      <c r="W126" s="206">
        <f t="shared" ref="W126:W157" si="164">DD9</f>
        <v>214</v>
      </c>
      <c r="X126" s="206">
        <f t="shared" ref="X126:X157" si="165">DE9</f>
        <v>421</v>
      </c>
      <c r="Y126" s="206">
        <f t="shared" ref="Y126:Y157" si="166">DH9</f>
        <v>354</v>
      </c>
      <c r="Z126" s="205">
        <v>20201</v>
      </c>
      <c r="AA126" s="206">
        <f t="shared" ref="AA126:AA157" si="167">EA9</f>
        <v>1074</v>
      </c>
      <c r="AB126" s="206">
        <f t="shared" ref="AB126:AB157" si="168">EB9</f>
        <v>366</v>
      </c>
      <c r="AC126" s="206">
        <f t="shared" ref="AC126:AC157" si="169">EC9</f>
        <v>337</v>
      </c>
      <c r="AD126" s="206">
        <f t="shared" ref="AD126:AD157" si="170">EF9</f>
        <v>496</v>
      </c>
      <c r="AE126" s="205">
        <v>20201</v>
      </c>
      <c r="AF126" s="206">
        <f t="shared" ref="AF126:AF157" si="171">EY9</f>
        <v>995</v>
      </c>
      <c r="AG126" s="206">
        <f t="shared" ref="AG126:AG157" si="172">EZ9</f>
        <v>114</v>
      </c>
      <c r="AH126" s="206">
        <f t="shared" ref="AH126:AH157" si="173">FA9</f>
        <v>388</v>
      </c>
      <c r="AI126" s="206">
        <f t="shared" ref="AI126:AI157" si="174">FD9</f>
        <v>425</v>
      </c>
    </row>
    <row r="127" spans="1:35" x14ac:dyDescent="0.15">
      <c r="A127" s="205">
        <v>20202</v>
      </c>
      <c r="B127" s="206">
        <f t="shared" ref="B127:B190" si="175">K10</f>
        <v>1008</v>
      </c>
      <c r="C127" s="206">
        <f t="shared" si="149"/>
        <v>110</v>
      </c>
      <c r="D127" s="206">
        <f t="shared" si="149"/>
        <v>378</v>
      </c>
      <c r="E127" s="206">
        <f t="shared" si="150"/>
        <v>378</v>
      </c>
      <c r="F127" s="205">
        <v>20202</v>
      </c>
      <c r="G127" s="206">
        <f t="shared" si="151"/>
        <v>1008</v>
      </c>
      <c r="H127" s="206">
        <f t="shared" si="152"/>
        <v>59</v>
      </c>
      <c r="I127" s="206">
        <f t="shared" si="153"/>
        <v>414</v>
      </c>
      <c r="J127" s="206">
        <f t="shared" si="154"/>
        <v>378</v>
      </c>
      <c r="K127" s="205">
        <v>20202</v>
      </c>
      <c r="L127" s="206">
        <f t="shared" si="155"/>
        <v>1008</v>
      </c>
      <c r="M127" s="206">
        <f t="shared" si="156"/>
        <v>110</v>
      </c>
      <c r="N127" s="206">
        <f t="shared" si="157"/>
        <v>378</v>
      </c>
      <c r="O127" s="206">
        <f t="shared" si="158"/>
        <v>378</v>
      </c>
      <c r="P127" s="205">
        <v>20202</v>
      </c>
      <c r="Q127" s="206">
        <f t="shared" si="159"/>
        <v>1062</v>
      </c>
      <c r="R127" s="206">
        <f t="shared" si="160"/>
        <v>100</v>
      </c>
      <c r="S127" s="206">
        <f t="shared" si="161"/>
        <v>360</v>
      </c>
      <c r="T127" s="206">
        <f t="shared" si="162"/>
        <v>454</v>
      </c>
      <c r="U127" s="205">
        <v>20202</v>
      </c>
      <c r="V127" s="206">
        <f t="shared" si="163"/>
        <v>1008</v>
      </c>
      <c r="W127" s="206">
        <f t="shared" si="164"/>
        <v>229</v>
      </c>
      <c r="X127" s="206">
        <f t="shared" si="165"/>
        <v>450</v>
      </c>
      <c r="Y127" s="206">
        <f t="shared" si="166"/>
        <v>378</v>
      </c>
      <c r="Z127" s="205">
        <v>20202</v>
      </c>
      <c r="AA127" s="206">
        <f t="shared" si="167"/>
        <v>1147</v>
      </c>
      <c r="AB127" s="206">
        <f t="shared" si="168"/>
        <v>391</v>
      </c>
      <c r="AC127" s="206">
        <f t="shared" si="169"/>
        <v>360</v>
      </c>
      <c r="AD127" s="206">
        <f t="shared" si="170"/>
        <v>529</v>
      </c>
      <c r="AE127" s="205">
        <v>20202</v>
      </c>
      <c r="AF127" s="206">
        <f t="shared" si="171"/>
        <v>1062</v>
      </c>
      <c r="AG127" s="206">
        <f t="shared" si="172"/>
        <v>122</v>
      </c>
      <c r="AH127" s="206">
        <f t="shared" si="173"/>
        <v>414</v>
      </c>
      <c r="AI127" s="206">
        <f t="shared" si="174"/>
        <v>454</v>
      </c>
    </row>
    <row r="128" spans="1:35" x14ac:dyDescent="0.15">
      <c r="A128" s="205">
        <v>20203</v>
      </c>
      <c r="B128" s="206">
        <f t="shared" si="175"/>
        <v>1072</v>
      </c>
      <c r="C128" s="206">
        <f t="shared" si="149"/>
        <v>117</v>
      </c>
      <c r="D128" s="206">
        <f t="shared" si="149"/>
        <v>402</v>
      </c>
      <c r="E128" s="206">
        <f t="shared" si="150"/>
        <v>402</v>
      </c>
      <c r="F128" s="205">
        <v>20203</v>
      </c>
      <c r="G128" s="206">
        <f t="shared" si="151"/>
        <v>1072</v>
      </c>
      <c r="H128" s="206">
        <f t="shared" si="152"/>
        <v>63</v>
      </c>
      <c r="I128" s="206">
        <f t="shared" si="153"/>
        <v>440</v>
      </c>
      <c r="J128" s="206">
        <f t="shared" si="154"/>
        <v>402</v>
      </c>
      <c r="K128" s="205">
        <v>20203</v>
      </c>
      <c r="L128" s="206">
        <f t="shared" si="155"/>
        <v>1072</v>
      </c>
      <c r="M128" s="206">
        <f t="shared" si="156"/>
        <v>117</v>
      </c>
      <c r="N128" s="206">
        <f t="shared" si="157"/>
        <v>402</v>
      </c>
      <c r="O128" s="206">
        <f t="shared" si="158"/>
        <v>402</v>
      </c>
      <c r="P128" s="205">
        <v>20203</v>
      </c>
      <c r="Q128" s="206">
        <f t="shared" si="159"/>
        <v>1130</v>
      </c>
      <c r="R128" s="206">
        <f t="shared" si="160"/>
        <v>106</v>
      </c>
      <c r="S128" s="206">
        <f t="shared" si="161"/>
        <v>383</v>
      </c>
      <c r="T128" s="206">
        <f t="shared" si="162"/>
        <v>482</v>
      </c>
      <c r="U128" s="205">
        <v>20203</v>
      </c>
      <c r="V128" s="206">
        <f t="shared" si="163"/>
        <v>1072</v>
      </c>
      <c r="W128" s="206">
        <f t="shared" si="164"/>
        <v>243</v>
      </c>
      <c r="X128" s="206">
        <f t="shared" si="165"/>
        <v>479</v>
      </c>
      <c r="Y128" s="206">
        <f t="shared" si="166"/>
        <v>402</v>
      </c>
      <c r="Z128" s="205">
        <v>20203</v>
      </c>
      <c r="AA128" s="206">
        <f t="shared" si="167"/>
        <v>1220</v>
      </c>
      <c r="AB128" s="206">
        <f t="shared" si="168"/>
        <v>416</v>
      </c>
      <c r="AC128" s="206">
        <f t="shared" si="169"/>
        <v>383</v>
      </c>
      <c r="AD128" s="206">
        <f t="shared" si="170"/>
        <v>563</v>
      </c>
      <c r="AE128" s="205">
        <v>20203</v>
      </c>
      <c r="AF128" s="206">
        <f t="shared" si="171"/>
        <v>1130</v>
      </c>
      <c r="AG128" s="206">
        <f t="shared" si="172"/>
        <v>129</v>
      </c>
      <c r="AH128" s="206">
        <f t="shared" si="173"/>
        <v>440</v>
      </c>
      <c r="AI128" s="206">
        <f t="shared" si="174"/>
        <v>482</v>
      </c>
    </row>
    <row r="129" spans="1:35" x14ac:dyDescent="0.15">
      <c r="A129" s="205">
        <v>20204</v>
      </c>
      <c r="B129" s="206">
        <f t="shared" si="175"/>
        <v>1136</v>
      </c>
      <c r="C129" s="206">
        <f t="shared" si="149"/>
        <v>124</v>
      </c>
      <c r="D129" s="206">
        <f t="shared" si="149"/>
        <v>426</v>
      </c>
      <c r="E129" s="206">
        <f t="shared" si="150"/>
        <v>426</v>
      </c>
      <c r="F129" s="205">
        <v>20204</v>
      </c>
      <c r="G129" s="206">
        <f t="shared" si="151"/>
        <v>1136</v>
      </c>
      <c r="H129" s="206">
        <f t="shared" si="152"/>
        <v>67</v>
      </c>
      <c r="I129" s="206">
        <f t="shared" si="153"/>
        <v>467</v>
      </c>
      <c r="J129" s="206">
        <f t="shared" si="154"/>
        <v>426</v>
      </c>
      <c r="K129" s="205">
        <v>20204</v>
      </c>
      <c r="L129" s="206">
        <f t="shared" si="155"/>
        <v>1136</v>
      </c>
      <c r="M129" s="206">
        <f t="shared" si="156"/>
        <v>124</v>
      </c>
      <c r="N129" s="206">
        <f t="shared" si="157"/>
        <v>426</v>
      </c>
      <c r="O129" s="206">
        <f t="shared" si="158"/>
        <v>426</v>
      </c>
      <c r="P129" s="205">
        <v>20204</v>
      </c>
      <c r="Q129" s="206">
        <f t="shared" si="159"/>
        <v>1197</v>
      </c>
      <c r="R129" s="206">
        <f t="shared" si="160"/>
        <v>113</v>
      </c>
      <c r="S129" s="206">
        <f t="shared" si="161"/>
        <v>406</v>
      </c>
      <c r="T129" s="206">
        <f t="shared" si="162"/>
        <v>511</v>
      </c>
      <c r="U129" s="205">
        <v>20204</v>
      </c>
      <c r="V129" s="206">
        <f t="shared" si="163"/>
        <v>1136</v>
      </c>
      <c r="W129" s="206">
        <f t="shared" si="164"/>
        <v>258</v>
      </c>
      <c r="X129" s="206">
        <f t="shared" si="165"/>
        <v>507</v>
      </c>
      <c r="Y129" s="206">
        <f t="shared" si="166"/>
        <v>426</v>
      </c>
      <c r="Z129" s="205">
        <v>20204</v>
      </c>
      <c r="AA129" s="206">
        <f t="shared" si="167"/>
        <v>1292</v>
      </c>
      <c r="AB129" s="206">
        <f t="shared" si="168"/>
        <v>441</v>
      </c>
      <c r="AC129" s="206">
        <f t="shared" si="169"/>
        <v>406</v>
      </c>
      <c r="AD129" s="206">
        <f t="shared" si="170"/>
        <v>596</v>
      </c>
      <c r="AE129" s="205">
        <v>20204</v>
      </c>
      <c r="AF129" s="206">
        <f t="shared" si="171"/>
        <v>1197</v>
      </c>
      <c r="AG129" s="206">
        <f t="shared" si="172"/>
        <v>137</v>
      </c>
      <c r="AH129" s="206">
        <f t="shared" si="173"/>
        <v>467</v>
      </c>
      <c r="AI129" s="206">
        <f t="shared" si="174"/>
        <v>511</v>
      </c>
    </row>
    <row r="130" spans="1:35" x14ac:dyDescent="0.15">
      <c r="A130" s="205">
        <v>20205</v>
      </c>
      <c r="B130" s="206">
        <f t="shared" si="175"/>
        <v>1200</v>
      </c>
      <c r="C130" s="206">
        <f t="shared" si="149"/>
        <v>131</v>
      </c>
      <c r="D130" s="206">
        <f t="shared" si="149"/>
        <v>450</v>
      </c>
      <c r="E130" s="206">
        <f t="shared" si="150"/>
        <v>450</v>
      </c>
      <c r="F130" s="205">
        <v>20205</v>
      </c>
      <c r="G130" s="206">
        <f t="shared" si="151"/>
        <v>1200</v>
      </c>
      <c r="H130" s="206">
        <f t="shared" si="152"/>
        <v>71</v>
      </c>
      <c r="I130" s="206">
        <f t="shared" si="153"/>
        <v>493</v>
      </c>
      <c r="J130" s="206">
        <f t="shared" si="154"/>
        <v>450</v>
      </c>
      <c r="K130" s="205">
        <v>20205</v>
      </c>
      <c r="L130" s="206">
        <f t="shared" si="155"/>
        <v>1200</v>
      </c>
      <c r="M130" s="206">
        <f t="shared" si="156"/>
        <v>131</v>
      </c>
      <c r="N130" s="206">
        <f t="shared" si="157"/>
        <v>450</v>
      </c>
      <c r="O130" s="206">
        <f t="shared" si="158"/>
        <v>450</v>
      </c>
      <c r="P130" s="205">
        <v>20205</v>
      </c>
      <c r="Q130" s="206">
        <f t="shared" si="159"/>
        <v>1264</v>
      </c>
      <c r="R130" s="206">
        <f t="shared" si="160"/>
        <v>119</v>
      </c>
      <c r="S130" s="206">
        <f t="shared" si="161"/>
        <v>429</v>
      </c>
      <c r="T130" s="206">
        <f t="shared" si="162"/>
        <v>540</v>
      </c>
      <c r="U130" s="205">
        <v>20205</v>
      </c>
      <c r="V130" s="206">
        <f t="shared" si="163"/>
        <v>1200</v>
      </c>
      <c r="W130" s="206">
        <f t="shared" si="164"/>
        <v>273</v>
      </c>
      <c r="X130" s="206">
        <f t="shared" si="165"/>
        <v>536</v>
      </c>
      <c r="Y130" s="206">
        <f t="shared" si="166"/>
        <v>450</v>
      </c>
      <c r="Z130" s="205">
        <v>20205</v>
      </c>
      <c r="AA130" s="206">
        <f t="shared" si="167"/>
        <v>1365</v>
      </c>
      <c r="AB130" s="206">
        <f t="shared" si="168"/>
        <v>466</v>
      </c>
      <c r="AC130" s="206">
        <f t="shared" si="169"/>
        <v>429</v>
      </c>
      <c r="AD130" s="206">
        <f t="shared" si="170"/>
        <v>630</v>
      </c>
      <c r="AE130" s="205">
        <v>20205</v>
      </c>
      <c r="AF130" s="206">
        <f t="shared" si="171"/>
        <v>1264</v>
      </c>
      <c r="AG130" s="206">
        <f t="shared" si="172"/>
        <v>145</v>
      </c>
      <c r="AH130" s="206">
        <f t="shared" si="173"/>
        <v>493</v>
      </c>
      <c r="AI130" s="206">
        <f t="shared" si="174"/>
        <v>540</v>
      </c>
    </row>
    <row r="131" spans="1:35" x14ac:dyDescent="0.15">
      <c r="A131" s="205">
        <v>20206</v>
      </c>
      <c r="B131" s="206">
        <f t="shared" si="175"/>
        <v>1264</v>
      </c>
      <c r="C131" s="206">
        <f t="shared" si="149"/>
        <v>137</v>
      </c>
      <c r="D131" s="206">
        <f t="shared" si="149"/>
        <v>474</v>
      </c>
      <c r="E131" s="206">
        <f t="shared" si="150"/>
        <v>474</v>
      </c>
      <c r="F131" s="205">
        <v>20206</v>
      </c>
      <c r="G131" s="206">
        <f t="shared" si="151"/>
        <v>1264</v>
      </c>
      <c r="H131" s="206">
        <f t="shared" si="152"/>
        <v>74</v>
      </c>
      <c r="I131" s="206">
        <f t="shared" si="153"/>
        <v>519</v>
      </c>
      <c r="J131" s="206">
        <f t="shared" si="154"/>
        <v>474</v>
      </c>
      <c r="K131" s="205">
        <v>20206</v>
      </c>
      <c r="L131" s="206">
        <f t="shared" si="155"/>
        <v>1264</v>
      </c>
      <c r="M131" s="206">
        <f t="shared" si="156"/>
        <v>137</v>
      </c>
      <c r="N131" s="206">
        <f t="shared" si="157"/>
        <v>474</v>
      </c>
      <c r="O131" s="206">
        <f t="shared" si="158"/>
        <v>474</v>
      </c>
      <c r="P131" s="205">
        <v>20206</v>
      </c>
      <c r="Q131" s="206">
        <f t="shared" si="159"/>
        <v>1332</v>
      </c>
      <c r="R131" s="206">
        <f t="shared" si="160"/>
        <v>126</v>
      </c>
      <c r="S131" s="206">
        <f t="shared" si="161"/>
        <v>451</v>
      </c>
      <c r="T131" s="206">
        <f t="shared" si="162"/>
        <v>569</v>
      </c>
      <c r="U131" s="205">
        <v>20206</v>
      </c>
      <c r="V131" s="206">
        <f t="shared" si="163"/>
        <v>1264</v>
      </c>
      <c r="W131" s="206">
        <f t="shared" si="164"/>
        <v>287</v>
      </c>
      <c r="X131" s="206">
        <f t="shared" si="165"/>
        <v>564</v>
      </c>
      <c r="Y131" s="206">
        <f t="shared" si="166"/>
        <v>474</v>
      </c>
      <c r="Z131" s="205">
        <v>20206</v>
      </c>
      <c r="AA131" s="206">
        <f t="shared" si="167"/>
        <v>1438</v>
      </c>
      <c r="AB131" s="206">
        <f t="shared" si="168"/>
        <v>491</v>
      </c>
      <c r="AC131" s="206">
        <f t="shared" si="169"/>
        <v>451</v>
      </c>
      <c r="AD131" s="206">
        <f t="shared" si="170"/>
        <v>664</v>
      </c>
      <c r="AE131" s="205">
        <v>20206</v>
      </c>
      <c r="AF131" s="206">
        <f t="shared" si="171"/>
        <v>1332</v>
      </c>
      <c r="AG131" s="206">
        <f t="shared" si="172"/>
        <v>153</v>
      </c>
      <c r="AH131" s="206">
        <f t="shared" si="173"/>
        <v>519</v>
      </c>
      <c r="AI131" s="206">
        <f t="shared" si="174"/>
        <v>569</v>
      </c>
    </row>
    <row r="132" spans="1:35" x14ac:dyDescent="0.15">
      <c r="A132" s="205">
        <v>20207</v>
      </c>
      <c r="B132" s="206">
        <f t="shared" si="175"/>
        <v>1328</v>
      </c>
      <c r="C132" s="206">
        <f t="shared" si="149"/>
        <v>144</v>
      </c>
      <c r="D132" s="206">
        <f t="shared" si="149"/>
        <v>498</v>
      </c>
      <c r="E132" s="206">
        <f t="shared" si="150"/>
        <v>498</v>
      </c>
      <c r="F132" s="205">
        <v>20207</v>
      </c>
      <c r="G132" s="206">
        <f t="shared" si="151"/>
        <v>1328</v>
      </c>
      <c r="H132" s="206">
        <f t="shared" si="152"/>
        <v>78</v>
      </c>
      <c r="I132" s="206">
        <f t="shared" si="153"/>
        <v>545</v>
      </c>
      <c r="J132" s="206">
        <f t="shared" si="154"/>
        <v>498</v>
      </c>
      <c r="K132" s="205">
        <v>20207</v>
      </c>
      <c r="L132" s="206">
        <f t="shared" si="155"/>
        <v>1328</v>
      </c>
      <c r="M132" s="206">
        <f t="shared" si="156"/>
        <v>144</v>
      </c>
      <c r="N132" s="206">
        <f t="shared" si="157"/>
        <v>498</v>
      </c>
      <c r="O132" s="206">
        <f t="shared" si="158"/>
        <v>498</v>
      </c>
      <c r="P132" s="205">
        <v>20207</v>
      </c>
      <c r="Q132" s="206">
        <f t="shared" si="159"/>
        <v>1399</v>
      </c>
      <c r="R132" s="206">
        <f t="shared" si="160"/>
        <v>132</v>
      </c>
      <c r="S132" s="206">
        <f t="shared" si="161"/>
        <v>474</v>
      </c>
      <c r="T132" s="206">
        <f t="shared" si="162"/>
        <v>598</v>
      </c>
      <c r="U132" s="205">
        <v>20207</v>
      </c>
      <c r="V132" s="206">
        <f t="shared" si="163"/>
        <v>1328</v>
      </c>
      <c r="W132" s="206">
        <f t="shared" si="164"/>
        <v>302</v>
      </c>
      <c r="X132" s="206">
        <f t="shared" si="165"/>
        <v>593</v>
      </c>
      <c r="Y132" s="206">
        <f t="shared" si="166"/>
        <v>498</v>
      </c>
      <c r="Z132" s="205">
        <v>20207</v>
      </c>
      <c r="AA132" s="206">
        <f t="shared" si="167"/>
        <v>1511</v>
      </c>
      <c r="AB132" s="206">
        <f t="shared" si="168"/>
        <v>515</v>
      </c>
      <c r="AC132" s="206">
        <f t="shared" si="169"/>
        <v>474</v>
      </c>
      <c r="AD132" s="206">
        <f t="shared" si="170"/>
        <v>697</v>
      </c>
      <c r="AE132" s="205">
        <v>20207</v>
      </c>
      <c r="AF132" s="206">
        <f t="shared" si="171"/>
        <v>1399</v>
      </c>
      <c r="AG132" s="206">
        <f t="shared" si="172"/>
        <v>160</v>
      </c>
      <c r="AH132" s="206">
        <f t="shared" si="173"/>
        <v>545</v>
      </c>
      <c r="AI132" s="206">
        <f t="shared" si="174"/>
        <v>598</v>
      </c>
    </row>
    <row r="133" spans="1:35" x14ac:dyDescent="0.15">
      <c r="A133" s="205">
        <v>20208</v>
      </c>
      <c r="B133" s="206">
        <f t="shared" si="175"/>
        <v>1392</v>
      </c>
      <c r="C133" s="206">
        <f t="shared" si="149"/>
        <v>151</v>
      </c>
      <c r="D133" s="206">
        <f t="shared" si="149"/>
        <v>522</v>
      </c>
      <c r="E133" s="206">
        <f t="shared" si="150"/>
        <v>522</v>
      </c>
      <c r="F133" s="205">
        <v>20208</v>
      </c>
      <c r="G133" s="206">
        <f t="shared" si="151"/>
        <v>1392</v>
      </c>
      <c r="H133" s="206">
        <f t="shared" si="152"/>
        <v>82</v>
      </c>
      <c r="I133" s="206">
        <f t="shared" si="153"/>
        <v>572</v>
      </c>
      <c r="J133" s="206">
        <f t="shared" si="154"/>
        <v>522</v>
      </c>
      <c r="K133" s="205">
        <v>20208</v>
      </c>
      <c r="L133" s="206">
        <f t="shared" si="155"/>
        <v>1392</v>
      </c>
      <c r="M133" s="206">
        <f t="shared" si="156"/>
        <v>151</v>
      </c>
      <c r="N133" s="206">
        <f t="shared" si="157"/>
        <v>522</v>
      </c>
      <c r="O133" s="206">
        <f t="shared" si="158"/>
        <v>522</v>
      </c>
      <c r="P133" s="205">
        <v>20208</v>
      </c>
      <c r="Q133" s="206">
        <f t="shared" si="159"/>
        <v>1467</v>
      </c>
      <c r="R133" s="206">
        <f t="shared" si="160"/>
        <v>138</v>
      </c>
      <c r="S133" s="206">
        <f t="shared" si="161"/>
        <v>497</v>
      </c>
      <c r="T133" s="206">
        <f t="shared" si="162"/>
        <v>626</v>
      </c>
      <c r="U133" s="205">
        <v>20208</v>
      </c>
      <c r="V133" s="206">
        <f t="shared" si="163"/>
        <v>1392</v>
      </c>
      <c r="W133" s="206">
        <f t="shared" si="164"/>
        <v>316</v>
      </c>
      <c r="X133" s="206">
        <f t="shared" si="165"/>
        <v>621</v>
      </c>
      <c r="Y133" s="206">
        <f t="shared" si="166"/>
        <v>522</v>
      </c>
      <c r="Z133" s="205">
        <v>20208</v>
      </c>
      <c r="AA133" s="206">
        <f t="shared" si="167"/>
        <v>1584</v>
      </c>
      <c r="AB133" s="206">
        <f t="shared" si="168"/>
        <v>540</v>
      </c>
      <c r="AC133" s="206">
        <f t="shared" si="169"/>
        <v>497</v>
      </c>
      <c r="AD133" s="206">
        <f t="shared" si="170"/>
        <v>731</v>
      </c>
      <c r="AE133" s="205">
        <v>20208</v>
      </c>
      <c r="AF133" s="206">
        <f t="shared" si="171"/>
        <v>1467</v>
      </c>
      <c r="AG133" s="206">
        <f t="shared" si="172"/>
        <v>168</v>
      </c>
      <c r="AH133" s="206">
        <f t="shared" si="173"/>
        <v>572</v>
      </c>
      <c r="AI133" s="206">
        <f t="shared" si="174"/>
        <v>626</v>
      </c>
    </row>
    <row r="134" spans="1:35" x14ac:dyDescent="0.15">
      <c r="A134" s="205">
        <v>20209</v>
      </c>
      <c r="B134" s="206">
        <f t="shared" si="175"/>
        <v>1464</v>
      </c>
      <c r="C134" s="206">
        <f t="shared" si="149"/>
        <v>159</v>
      </c>
      <c r="D134" s="206">
        <f t="shared" si="149"/>
        <v>549</v>
      </c>
      <c r="E134" s="206">
        <f t="shared" si="150"/>
        <v>549</v>
      </c>
      <c r="F134" s="205">
        <v>20209</v>
      </c>
      <c r="G134" s="206">
        <f t="shared" si="151"/>
        <v>1464</v>
      </c>
      <c r="H134" s="206">
        <f t="shared" si="152"/>
        <v>86</v>
      </c>
      <c r="I134" s="206">
        <f t="shared" si="153"/>
        <v>601</v>
      </c>
      <c r="J134" s="206">
        <f t="shared" si="154"/>
        <v>549</v>
      </c>
      <c r="K134" s="205">
        <v>20209</v>
      </c>
      <c r="L134" s="206">
        <f t="shared" si="155"/>
        <v>1464</v>
      </c>
      <c r="M134" s="206">
        <f t="shared" si="156"/>
        <v>159</v>
      </c>
      <c r="N134" s="206">
        <f t="shared" si="157"/>
        <v>549</v>
      </c>
      <c r="O134" s="206">
        <f t="shared" si="158"/>
        <v>549</v>
      </c>
      <c r="P134" s="205">
        <v>20209</v>
      </c>
      <c r="Q134" s="206">
        <f t="shared" si="159"/>
        <v>1543</v>
      </c>
      <c r="R134" s="206">
        <f t="shared" si="160"/>
        <v>145</v>
      </c>
      <c r="S134" s="206">
        <f t="shared" si="161"/>
        <v>523</v>
      </c>
      <c r="T134" s="206">
        <f t="shared" si="162"/>
        <v>659</v>
      </c>
      <c r="U134" s="205">
        <v>20209</v>
      </c>
      <c r="V134" s="206">
        <f t="shared" si="163"/>
        <v>1464</v>
      </c>
      <c r="W134" s="206">
        <f t="shared" si="164"/>
        <v>332</v>
      </c>
      <c r="X134" s="206">
        <f t="shared" si="165"/>
        <v>654</v>
      </c>
      <c r="Y134" s="206">
        <f t="shared" si="166"/>
        <v>549</v>
      </c>
      <c r="Z134" s="205">
        <v>20209</v>
      </c>
      <c r="AA134" s="206">
        <f t="shared" si="167"/>
        <v>1666</v>
      </c>
      <c r="AB134" s="206">
        <f t="shared" si="168"/>
        <v>568</v>
      </c>
      <c r="AC134" s="206">
        <f t="shared" si="169"/>
        <v>523</v>
      </c>
      <c r="AD134" s="206">
        <f t="shared" si="170"/>
        <v>769</v>
      </c>
      <c r="AE134" s="205">
        <v>20209</v>
      </c>
      <c r="AF134" s="206">
        <f t="shared" si="171"/>
        <v>1543</v>
      </c>
      <c r="AG134" s="206">
        <f t="shared" si="172"/>
        <v>177</v>
      </c>
      <c r="AH134" s="206">
        <f t="shared" si="173"/>
        <v>601</v>
      </c>
      <c r="AI134" s="206">
        <f t="shared" si="174"/>
        <v>659</v>
      </c>
    </row>
    <row r="135" spans="1:35" x14ac:dyDescent="0.15">
      <c r="A135" s="205">
        <v>20210</v>
      </c>
      <c r="B135" s="206">
        <f t="shared" si="175"/>
        <v>1536</v>
      </c>
      <c r="C135" s="206">
        <f t="shared" si="149"/>
        <v>167</v>
      </c>
      <c r="D135" s="206">
        <f t="shared" si="149"/>
        <v>576</v>
      </c>
      <c r="E135" s="206">
        <f t="shared" si="150"/>
        <v>576</v>
      </c>
      <c r="F135" s="205">
        <v>20210</v>
      </c>
      <c r="G135" s="206">
        <f t="shared" si="151"/>
        <v>1536</v>
      </c>
      <c r="H135" s="206">
        <f t="shared" si="152"/>
        <v>91</v>
      </c>
      <c r="I135" s="206">
        <f t="shared" si="153"/>
        <v>631</v>
      </c>
      <c r="J135" s="206">
        <f t="shared" si="154"/>
        <v>576</v>
      </c>
      <c r="K135" s="205">
        <v>20210</v>
      </c>
      <c r="L135" s="206">
        <f t="shared" si="155"/>
        <v>1536</v>
      </c>
      <c r="M135" s="206">
        <f t="shared" si="156"/>
        <v>167</v>
      </c>
      <c r="N135" s="206">
        <f t="shared" si="157"/>
        <v>576</v>
      </c>
      <c r="O135" s="206">
        <f t="shared" si="158"/>
        <v>576</v>
      </c>
      <c r="P135" s="205">
        <v>20210</v>
      </c>
      <c r="Q135" s="206">
        <f t="shared" si="159"/>
        <v>1619</v>
      </c>
      <c r="R135" s="206">
        <f t="shared" si="160"/>
        <v>153</v>
      </c>
      <c r="S135" s="206">
        <f t="shared" si="161"/>
        <v>549</v>
      </c>
      <c r="T135" s="206">
        <f t="shared" si="162"/>
        <v>691</v>
      </c>
      <c r="U135" s="205">
        <v>20210</v>
      </c>
      <c r="V135" s="206">
        <f t="shared" si="163"/>
        <v>1536</v>
      </c>
      <c r="W135" s="206">
        <f t="shared" si="164"/>
        <v>349</v>
      </c>
      <c r="X135" s="206">
        <f t="shared" si="165"/>
        <v>686</v>
      </c>
      <c r="Y135" s="206">
        <f t="shared" si="166"/>
        <v>576</v>
      </c>
      <c r="Z135" s="205">
        <v>20210</v>
      </c>
      <c r="AA135" s="206">
        <f t="shared" si="167"/>
        <v>1748</v>
      </c>
      <c r="AB135" s="206">
        <f t="shared" si="168"/>
        <v>596</v>
      </c>
      <c r="AC135" s="206">
        <f t="shared" si="169"/>
        <v>549</v>
      </c>
      <c r="AD135" s="206">
        <f t="shared" si="170"/>
        <v>806</v>
      </c>
      <c r="AE135" s="205">
        <v>20210</v>
      </c>
      <c r="AF135" s="206">
        <f t="shared" si="171"/>
        <v>1619</v>
      </c>
      <c r="AG135" s="206">
        <f t="shared" si="172"/>
        <v>185</v>
      </c>
      <c r="AH135" s="206">
        <f t="shared" si="173"/>
        <v>631</v>
      </c>
      <c r="AI135" s="206">
        <f t="shared" si="174"/>
        <v>691</v>
      </c>
    </row>
    <row r="136" spans="1:35" x14ac:dyDescent="0.15">
      <c r="A136" s="205">
        <v>20211</v>
      </c>
      <c r="B136" s="206">
        <f t="shared" si="175"/>
        <v>1608</v>
      </c>
      <c r="C136" s="206">
        <f t="shared" si="149"/>
        <v>175</v>
      </c>
      <c r="D136" s="206">
        <f t="shared" si="149"/>
        <v>603</v>
      </c>
      <c r="E136" s="206">
        <f t="shared" si="150"/>
        <v>603</v>
      </c>
      <c r="F136" s="205">
        <v>20211</v>
      </c>
      <c r="G136" s="206">
        <f t="shared" si="151"/>
        <v>1608</v>
      </c>
      <c r="H136" s="206">
        <f t="shared" si="152"/>
        <v>95</v>
      </c>
      <c r="I136" s="206">
        <f t="shared" si="153"/>
        <v>660</v>
      </c>
      <c r="J136" s="206">
        <f t="shared" si="154"/>
        <v>603</v>
      </c>
      <c r="K136" s="205">
        <v>20211</v>
      </c>
      <c r="L136" s="206">
        <f t="shared" si="155"/>
        <v>1608</v>
      </c>
      <c r="M136" s="206">
        <f t="shared" si="156"/>
        <v>175</v>
      </c>
      <c r="N136" s="206">
        <f t="shared" si="157"/>
        <v>603</v>
      </c>
      <c r="O136" s="206">
        <f t="shared" si="158"/>
        <v>603</v>
      </c>
      <c r="P136" s="205">
        <v>20211</v>
      </c>
      <c r="Q136" s="206">
        <f t="shared" si="159"/>
        <v>1694</v>
      </c>
      <c r="R136" s="206">
        <f t="shared" si="160"/>
        <v>160</v>
      </c>
      <c r="S136" s="206">
        <f t="shared" si="161"/>
        <v>574</v>
      </c>
      <c r="T136" s="206">
        <f t="shared" si="162"/>
        <v>724</v>
      </c>
      <c r="U136" s="205">
        <v>20211</v>
      </c>
      <c r="V136" s="206">
        <f t="shared" si="163"/>
        <v>1608</v>
      </c>
      <c r="W136" s="206">
        <f t="shared" si="164"/>
        <v>365</v>
      </c>
      <c r="X136" s="206">
        <f t="shared" si="165"/>
        <v>718</v>
      </c>
      <c r="Y136" s="206">
        <f t="shared" si="166"/>
        <v>603</v>
      </c>
      <c r="Z136" s="205">
        <v>20211</v>
      </c>
      <c r="AA136" s="206">
        <f t="shared" si="167"/>
        <v>1829</v>
      </c>
      <c r="AB136" s="206">
        <f t="shared" si="168"/>
        <v>624</v>
      </c>
      <c r="AC136" s="206">
        <f t="shared" si="169"/>
        <v>574</v>
      </c>
      <c r="AD136" s="206">
        <f t="shared" si="170"/>
        <v>844</v>
      </c>
      <c r="AE136" s="205">
        <v>20211</v>
      </c>
      <c r="AF136" s="206">
        <f t="shared" si="171"/>
        <v>1694</v>
      </c>
      <c r="AG136" s="206">
        <f t="shared" si="172"/>
        <v>194</v>
      </c>
      <c r="AH136" s="206">
        <f t="shared" si="173"/>
        <v>660</v>
      </c>
      <c r="AI136" s="206">
        <f t="shared" si="174"/>
        <v>724</v>
      </c>
    </row>
    <row r="137" spans="1:35" x14ac:dyDescent="0.15">
      <c r="A137" s="205">
        <v>20212</v>
      </c>
      <c r="B137" s="206">
        <f t="shared" si="175"/>
        <v>1680</v>
      </c>
      <c r="C137" s="206">
        <f t="shared" si="149"/>
        <v>183</v>
      </c>
      <c r="D137" s="206">
        <f t="shared" si="149"/>
        <v>630</v>
      </c>
      <c r="E137" s="206">
        <f t="shared" si="150"/>
        <v>630</v>
      </c>
      <c r="F137" s="205">
        <v>20212</v>
      </c>
      <c r="G137" s="206">
        <f t="shared" si="151"/>
        <v>1680</v>
      </c>
      <c r="H137" s="206">
        <f t="shared" si="152"/>
        <v>99</v>
      </c>
      <c r="I137" s="206">
        <f t="shared" si="153"/>
        <v>690</v>
      </c>
      <c r="J137" s="206">
        <f t="shared" si="154"/>
        <v>630</v>
      </c>
      <c r="K137" s="205">
        <v>20212</v>
      </c>
      <c r="L137" s="206">
        <f t="shared" si="155"/>
        <v>1680</v>
      </c>
      <c r="M137" s="206">
        <f t="shared" si="156"/>
        <v>183</v>
      </c>
      <c r="N137" s="206">
        <f t="shared" si="157"/>
        <v>630</v>
      </c>
      <c r="O137" s="206">
        <f t="shared" si="158"/>
        <v>630</v>
      </c>
      <c r="P137" s="205">
        <v>20212</v>
      </c>
      <c r="Q137" s="206">
        <f t="shared" si="159"/>
        <v>1770</v>
      </c>
      <c r="R137" s="206">
        <f t="shared" si="160"/>
        <v>167</v>
      </c>
      <c r="S137" s="206">
        <f t="shared" si="161"/>
        <v>600</v>
      </c>
      <c r="T137" s="206">
        <f t="shared" si="162"/>
        <v>756</v>
      </c>
      <c r="U137" s="205">
        <v>20212</v>
      </c>
      <c r="V137" s="206">
        <f t="shared" si="163"/>
        <v>1680</v>
      </c>
      <c r="W137" s="206">
        <f t="shared" si="164"/>
        <v>382</v>
      </c>
      <c r="X137" s="206">
        <f t="shared" si="165"/>
        <v>750</v>
      </c>
      <c r="Y137" s="206">
        <f t="shared" si="166"/>
        <v>630</v>
      </c>
      <c r="Z137" s="205">
        <v>20212</v>
      </c>
      <c r="AA137" s="206">
        <f t="shared" si="167"/>
        <v>1911</v>
      </c>
      <c r="AB137" s="206">
        <f t="shared" si="168"/>
        <v>652</v>
      </c>
      <c r="AC137" s="206">
        <f t="shared" si="169"/>
        <v>600</v>
      </c>
      <c r="AD137" s="206">
        <f t="shared" si="170"/>
        <v>882</v>
      </c>
      <c r="AE137" s="205">
        <v>20212</v>
      </c>
      <c r="AF137" s="206">
        <f t="shared" si="171"/>
        <v>1770</v>
      </c>
      <c r="AG137" s="206">
        <f t="shared" si="172"/>
        <v>203</v>
      </c>
      <c r="AH137" s="206">
        <f t="shared" si="173"/>
        <v>690</v>
      </c>
      <c r="AI137" s="206">
        <f t="shared" si="174"/>
        <v>756</v>
      </c>
    </row>
    <row r="138" spans="1:35" x14ac:dyDescent="0.15">
      <c r="A138" s="205">
        <v>20301</v>
      </c>
      <c r="B138" s="206">
        <f t="shared" si="175"/>
        <v>1168</v>
      </c>
      <c r="C138" s="206">
        <f t="shared" si="149"/>
        <v>127</v>
      </c>
      <c r="D138" s="206">
        <f t="shared" si="149"/>
        <v>438</v>
      </c>
      <c r="E138" s="206">
        <f t="shared" si="150"/>
        <v>438</v>
      </c>
      <c r="F138" s="205">
        <v>20301</v>
      </c>
      <c r="G138" s="206">
        <f t="shared" si="151"/>
        <v>1168</v>
      </c>
      <c r="H138" s="206">
        <f t="shared" si="152"/>
        <v>69</v>
      </c>
      <c r="I138" s="206">
        <f t="shared" si="153"/>
        <v>480</v>
      </c>
      <c r="J138" s="206">
        <f t="shared" si="154"/>
        <v>438</v>
      </c>
      <c r="K138" s="205">
        <v>20301</v>
      </c>
      <c r="L138" s="206">
        <f t="shared" si="155"/>
        <v>1168</v>
      </c>
      <c r="M138" s="206">
        <f t="shared" si="156"/>
        <v>127</v>
      </c>
      <c r="N138" s="206">
        <f t="shared" si="157"/>
        <v>438</v>
      </c>
      <c r="O138" s="206">
        <f t="shared" si="158"/>
        <v>438</v>
      </c>
      <c r="P138" s="205">
        <v>20301</v>
      </c>
      <c r="Q138" s="206">
        <f t="shared" si="159"/>
        <v>1231</v>
      </c>
      <c r="R138" s="206">
        <f t="shared" si="160"/>
        <v>116</v>
      </c>
      <c r="S138" s="206">
        <f t="shared" si="161"/>
        <v>417</v>
      </c>
      <c r="T138" s="206">
        <f t="shared" si="162"/>
        <v>526</v>
      </c>
      <c r="U138" s="205">
        <v>20301</v>
      </c>
      <c r="V138" s="206">
        <f t="shared" si="163"/>
        <v>1168</v>
      </c>
      <c r="W138" s="206">
        <f t="shared" si="164"/>
        <v>265</v>
      </c>
      <c r="X138" s="206">
        <f t="shared" si="165"/>
        <v>521</v>
      </c>
      <c r="Y138" s="206">
        <f t="shared" si="166"/>
        <v>438</v>
      </c>
      <c r="Z138" s="205">
        <v>20301</v>
      </c>
      <c r="AA138" s="206">
        <f t="shared" si="167"/>
        <v>1329</v>
      </c>
      <c r="AB138" s="206">
        <f t="shared" si="168"/>
        <v>453</v>
      </c>
      <c r="AC138" s="206">
        <f t="shared" si="169"/>
        <v>417</v>
      </c>
      <c r="AD138" s="206">
        <f t="shared" si="170"/>
        <v>613</v>
      </c>
      <c r="AE138" s="205">
        <v>20301</v>
      </c>
      <c r="AF138" s="206">
        <f t="shared" si="171"/>
        <v>1231</v>
      </c>
      <c r="AG138" s="206">
        <f t="shared" si="172"/>
        <v>141</v>
      </c>
      <c r="AH138" s="206">
        <f t="shared" si="173"/>
        <v>480</v>
      </c>
      <c r="AI138" s="206">
        <f t="shared" si="174"/>
        <v>526</v>
      </c>
    </row>
    <row r="139" spans="1:35" x14ac:dyDescent="0.15">
      <c r="A139" s="205">
        <v>20302</v>
      </c>
      <c r="B139" s="206">
        <f t="shared" si="175"/>
        <v>1240</v>
      </c>
      <c r="C139" s="206">
        <f t="shared" si="149"/>
        <v>135</v>
      </c>
      <c r="D139" s="206">
        <f t="shared" si="149"/>
        <v>465</v>
      </c>
      <c r="E139" s="206">
        <f t="shared" si="150"/>
        <v>465</v>
      </c>
      <c r="F139" s="205">
        <v>20302</v>
      </c>
      <c r="G139" s="206">
        <f t="shared" si="151"/>
        <v>1240</v>
      </c>
      <c r="H139" s="206">
        <f t="shared" si="152"/>
        <v>73</v>
      </c>
      <c r="I139" s="206">
        <f t="shared" si="153"/>
        <v>509</v>
      </c>
      <c r="J139" s="206">
        <f t="shared" si="154"/>
        <v>465</v>
      </c>
      <c r="K139" s="205">
        <v>20302</v>
      </c>
      <c r="L139" s="206">
        <f t="shared" si="155"/>
        <v>1240</v>
      </c>
      <c r="M139" s="206">
        <f t="shared" si="156"/>
        <v>135</v>
      </c>
      <c r="N139" s="206">
        <f t="shared" si="157"/>
        <v>465</v>
      </c>
      <c r="O139" s="206">
        <f t="shared" si="158"/>
        <v>465</v>
      </c>
      <c r="P139" s="205">
        <v>20302</v>
      </c>
      <c r="Q139" s="206">
        <f t="shared" si="159"/>
        <v>1307</v>
      </c>
      <c r="R139" s="206">
        <f t="shared" si="160"/>
        <v>123</v>
      </c>
      <c r="S139" s="206">
        <f t="shared" si="161"/>
        <v>443</v>
      </c>
      <c r="T139" s="206">
        <f t="shared" si="162"/>
        <v>558</v>
      </c>
      <c r="U139" s="205">
        <v>20302</v>
      </c>
      <c r="V139" s="206">
        <f t="shared" si="163"/>
        <v>1240</v>
      </c>
      <c r="W139" s="206">
        <f t="shared" si="164"/>
        <v>282</v>
      </c>
      <c r="X139" s="206">
        <f t="shared" si="165"/>
        <v>554</v>
      </c>
      <c r="Y139" s="206">
        <f t="shared" si="166"/>
        <v>465</v>
      </c>
      <c r="Z139" s="205">
        <v>20302</v>
      </c>
      <c r="AA139" s="206">
        <f t="shared" si="167"/>
        <v>1411</v>
      </c>
      <c r="AB139" s="206">
        <f t="shared" si="168"/>
        <v>481</v>
      </c>
      <c r="AC139" s="206">
        <f t="shared" si="169"/>
        <v>443</v>
      </c>
      <c r="AD139" s="206">
        <f t="shared" si="170"/>
        <v>651</v>
      </c>
      <c r="AE139" s="205">
        <v>20302</v>
      </c>
      <c r="AF139" s="206">
        <f t="shared" si="171"/>
        <v>1307</v>
      </c>
      <c r="AG139" s="206">
        <f t="shared" si="172"/>
        <v>150</v>
      </c>
      <c r="AH139" s="206">
        <f t="shared" si="173"/>
        <v>509</v>
      </c>
      <c r="AI139" s="206">
        <f t="shared" si="174"/>
        <v>558</v>
      </c>
    </row>
    <row r="140" spans="1:35" x14ac:dyDescent="0.15">
      <c r="A140" s="205">
        <v>20303</v>
      </c>
      <c r="B140" s="206">
        <f t="shared" si="175"/>
        <v>1312</v>
      </c>
      <c r="C140" s="206">
        <f t="shared" si="149"/>
        <v>143</v>
      </c>
      <c r="D140" s="206">
        <f t="shared" si="149"/>
        <v>492</v>
      </c>
      <c r="E140" s="206">
        <f t="shared" si="150"/>
        <v>492</v>
      </c>
      <c r="F140" s="205">
        <v>20303</v>
      </c>
      <c r="G140" s="206">
        <f t="shared" si="151"/>
        <v>1312</v>
      </c>
      <c r="H140" s="206">
        <f t="shared" si="152"/>
        <v>77</v>
      </c>
      <c r="I140" s="206">
        <f t="shared" si="153"/>
        <v>539</v>
      </c>
      <c r="J140" s="206">
        <f t="shared" si="154"/>
        <v>492</v>
      </c>
      <c r="K140" s="205">
        <v>20303</v>
      </c>
      <c r="L140" s="206">
        <f t="shared" si="155"/>
        <v>1312</v>
      </c>
      <c r="M140" s="206">
        <f t="shared" si="156"/>
        <v>143</v>
      </c>
      <c r="N140" s="206">
        <f t="shared" si="157"/>
        <v>492</v>
      </c>
      <c r="O140" s="206">
        <f t="shared" si="158"/>
        <v>492</v>
      </c>
      <c r="P140" s="205">
        <v>20303</v>
      </c>
      <c r="Q140" s="206">
        <f t="shared" si="159"/>
        <v>1382</v>
      </c>
      <c r="R140" s="206">
        <f t="shared" si="160"/>
        <v>130</v>
      </c>
      <c r="S140" s="206">
        <f t="shared" si="161"/>
        <v>469</v>
      </c>
      <c r="T140" s="206">
        <f t="shared" si="162"/>
        <v>590</v>
      </c>
      <c r="U140" s="205">
        <v>20303</v>
      </c>
      <c r="V140" s="206">
        <f t="shared" si="163"/>
        <v>1312</v>
      </c>
      <c r="W140" s="206">
        <f t="shared" si="164"/>
        <v>298</v>
      </c>
      <c r="X140" s="206">
        <f t="shared" si="165"/>
        <v>586</v>
      </c>
      <c r="Y140" s="206">
        <f t="shared" si="166"/>
        <v>492</v>
      </c>
      <c r="Z140" s="205">
        <v>20303</v>
      </c>
      <c r="AA140" s="206">
        <f t="shared" si="167"/>
        <v>1493</v>
      </c>
      <c r="AB140" s="206">
        <f t="shared" si="168"/>
        <v>509</v>
      </c>
      <c r="AC140" s="206">
        <f t="shared" si="169"/>
        <v>469</v>
      </c>
      <c r="AD140" s="206">
        <f t="shared" si="170"/>
        <v>689</v>
      </c>
      <c r="AE140" s="205">
        <v>20303</v>
      </c>
      <c r="AF140" s="206">
        <f t="shared" si="171"/>
        <v>1382</v>
      </c>
      <c r="AG140" s="206">
        <f t="shared" si="172"/>
        <v>158</v>
      </c>
      <c r="AH140" s="206">
        <f t="shared" si="173"/>
        <v>539</v>
      </c>
      <c r="AI140" s="206">
        <f t="shared" si="174"/>
        <v>590</v>
      </c>
    </row>
    <row r="141" spans="1:35" x14ac:dyDescent="0.15">
      <c r="A141" s="205">
        <v>20304</v>
      </c>
      <c r="B141" s="206">
        <f t="shared" si="175"/>
        <v>1384</v>
      </c>
      <c r="C141" s="206">
        <f t="shared" si="149"/>
        <v>151</v>
      </c>
      <c r="D141" s="206">
        <f t="shared" si="149"/>
        <v>519</v>
      </c>
      <c r="E141" s="206">
        <f t="shared" si="150"/>
        <v>519</v>
      </c>
      <c r="F141" s="205">
        <v>20304</v>
      </c>
      <c r="G141" s="206">
        <f t="shared" si="151"/>
        <v>1384</v>
      </c>
      <c r="H141" s="206">
        <f t="shared" si="152"/>
        <v>82</v>
      </c>
      <c r="I141" s="206">
        <f t="shared" si="153"/>
        <v>568</v>
      </c>
      <c r="J141" s="206">
        <f t="shared" si="154"/>
        <v>519</v>
      </c>
      <c r="K141" s="205">
        <v>20304</v>
      </c>
      <c r="L141" s="206">
        <f t="shared" si="155"/>
        <v>1384</v>
      </c>
      <c r="M141" s="206">
        <f t="shared" si="156"/>
        <v>151</v>
      </c>
      <c r="N141" s="206">
        <f t="shared" si="157"/>
        <v>519</v>
      </c>
      <c r="O141" s="206">
        <f t="shared" si="158"/>
        <v>519</v>
      </c>
      <c r="P141" s="205">
        <v>20304</v>
      </c>
      <c r="Q141" s="206">
        <f t="shared" si="159"/>
        <v>1458</v>
      </c>
      <c r="R141" s="206">
        <f t="shared" si="160"/>
        <v>137</v>
      </c>
      <c r="S141" s="206">
        <f t="shared" si="161"/>
        <v>494</v>
      </c>
      <c r="T141" s="206">
        <f t="shared" si="162"/>
        <v>623</v>
      </c>
      <c r="U141" s="205">
        <v>20304</v>
      </c>
      <c r="V141" s="206">
        <f t="shared" si="163"/>
        <v>1384</v>
      </c>
      <c r="W141" s="206">
        <f t="shared" si="164"/>
        <v>314</v>
      </c>
      <c r="X141" s="206">
        <f t="shared" si="165"/>
        <v>618</v>
      </c>
      <c r="Y141" s="206">
        <f t="shared" si="166"/>
        <v>519</v>
      </c>
      <c r="Z141" s="205">
        <v>20304</v>
      </c>
      <c r="AA141" s="206">
        <f t="shared" si="167"/>
        <v>1575</v>
      </c>
      <c r="AB141" s="206">
        <f t="shared" si="168"/>
        <v>537</v>
      </c>
      <c r="AC141" s="206">
        <f t="shared" si="169"/>
        <v>494</v>
      </c>
      <c r="AD141" s="206">
        <f t="shared" si="170"/>
        <v>727</v>
      </c>
      <c r="AE141" s="205">
        <v>20304</v>
      </c>
      <c r="AF141" s="206">
        <f t="shared" si="171"/>
        <v>1458</v>
      </c>
      <c r="AG141" s="206">
        <f t="shared" si="172"/>
        <v>167</v>
      </c>
      <c r="AH141" s="206">
        <f t="shared" si="173"/>
        <v>568</v>
      </c>
      <c r="AI141" s="206">
        <f t="shared" si="174"/>
        <v>623</v>
      </c>
    </row>
    <row r="142" spans="1:35" x14ac:dyDescent="0.15">
      <c r="A142" s="205">
        <v>20305</v>
      </c>
      <c r="B142" s="206">
        <f t="shared" si="175"/>
        <v>1456</v>
      </c>
      <c r="C142" s="206">
        <f t="shared" ref="C142:C191" si="176">L25</f>
        <v>158</v>
      </c>
      <c r="D142" s="206">
        <f t="shared" ref="D142:D191" si="177">M25</f>
        <v>546</v>
      </c>
      <c r="E142" s="206">
        <f t="shared" ref="E142:E191" si="178">P25</f>
        <v>546</v>
      </c>
      <c r="F142" s="205">
        <v>20305</v>
      </c>
      <c r="G142" s="206">
        <f t="shared" si="151"/>
        <v>1456</v>
      </c>
      <c r="H142" s="206">
        <f t="shared" si="152"/>
        <v>86</v>
      </c>
      <c r="I142" s="206">
        <f t="shared" si="153"/>
        <v>598</v>
      </c>
      <c r="J142" s="206">
        <f t="shared" si="154"/>
        <v>546</v>
      </c>
      <c r="K142" s="205">
        <v>20305</v>
      </c>
      <c r="L142" s="206">
        <f t="shared" si="155"/>
        <v>1456</v>
      </c>
      <c r="M142" s="206">
        <f t="shared" si="156"/>
        <v>158</v>
      </c>
      <c r="N142" s="206">
        <f t="shared" si="157"/>
        <v>546</v>
      </c>
      <c r="O142" s="206">
        <f t="shared" si="158"/>
        <v>546</v>
      </c>
      <c r="P142" s="205">
        <v>20305</v>
      </c>
      <c r="Q142" s="206">
        <f t="shared" si="159"/>
        <v>1534</v>
      </c>
      <c r="R142" s="206">
        <f t="shared" si="160"/>
        <v>145</v>
      </c>
      <c r="S142" s="206">
        <f t="shared" si="161"/>
        <v>520</v>
      </c>
      <c r="T142" s="206">
        <f t="shared" si="162"/>
        <v>655</v>
      </c>
      <c r="U142" s="205">
        <v>20305</v>
      </c>
      <c r="V142" s="206">
        <f t="shared" si="163"/>
        <v>1456</v>
      </c>
      <c r="W142" s="206">
        <f t="shared" si="164"/>
        <v>331</v>
      </c>
      <c r="X142" s="206">
        <f t="shared" si="165"/>
        <v>650</v>
      </c>
      <c r="Y142" s="206">
        <f t="shared" si="166"/>
        <v>546</v>
      </c>
      <c r="Z142" s="205">
        <v>20305</v>
      </c>
      <c r="AA142" s="206">
        <f t="shared" si="167"/>
        <v>1657</v>
      </c>
      <c r="AB142" s="206">
        <f t="shared" si="168"/>
        <v>565</v>
      </c>
      <c r="AC142" s="206">
        <f t="shared" si="169"/>
        <v>520</v>
      </c>
      <c r="AD142" s="206">
        <f t="shared" si="170"/>
        <v>764</v>
      </c>
      <c r="AE142" s="205">
        <v>20305</v>
      </c>
      <c r="AF142" s="206">
        <f t="shared" si="171"/>
        <v>1534</v>
      </c>
      <c r="AG142" s="206">
        <f t="shared" si="172"/>
        <v>176</v>
      </c>
      <c r="AH142" s="206">
        <f t="shared" si="173"/>
        <v>598</v>
      </c>
      <c r="AI142" s="206">
        <f t="shared" si="174"/>
        <v>655</v>
      </c>
    </row>
    <row r="143" spans="1:35" x14ac:dyDescent="0.15">
      <c r="A143" s="205">
        <v>20306</v>
      </c>
      <c r="B143" s="206">
        <f t="shared" si="175"/>
        <v>1528</v>
      </c>
      <c r="C143" s="206">
        <f t="shared" si="176"/>
        <v>166</v>
      </c>
      <c r="D143" s="206">
        <f t="shared" si="177"/>
        <v>573</v>
      </c>
      <c r="E143" s="206">
        <f t="shared" si="178"/>
        <v>573</v>
      </c>
      <c r="F143" s="205">
        <v>20306</v>
      </c>
      <c r="G143" s="206">
        <f t="shared" si="151"/>
        <v>1528</v>
      </c>
      <c r="H143" s="206">
        <f t="shared" si="152"/>
        <v>90</v>
      </c>
      <c r="I143" s="206">
        <f t="shared" si="153"/>
        <v>628</v>
      </c>
      <c r="J143" s="206">
        <f t="shared" si="154"/>
        <v>573</v>
      </c>
      <c r="K143" s="205">
        <v>20306</v>
      </c>
      <c r="L143" s="206">
        <f t="shared" si="155"/>
        <v>1528</v>
      </c>
      <c r="M143" s="206">
        <f t="shared" si="156"/>
        <v>166</v>
      </c>
      <c r="N143" s="206">
        <f t="shared" si="157"/>
        <v>573</v>
      </c>
      <c r="O143" s="206">
        <f t="shared" si="158"/>
        <v>573</v>
      </c>
      <c r="P143" s="205">
        <v>20306</v>
      </c>
      <c r="Q143" s="206">
        <f t="shared" si="159"/>
        <v>1610</v>
      </c>
      <c r="R143" s="206">
        <f t="shared" si="160"/>
        <v>152</v>
      </c>
      <c r="S143" s="206">
        <f t="shared" si="161"/>
        <v>546</v>
      </c>
      <c r="T143" s="206">
        <f t="shared" si="162"/>
        <v>688</v>
      </c>
      <c r="U143" s="205">
        <v>20306</v>
      </c>
      <c r="V143" s="206">
        <f t="shared" si="163"/>
        <v>1528</v>
      </c>
      <c r="W143" s="206">
        <f t="shared" si="164"/>
        <v>347</v>
      </c>
      <c r="X143" s="206">
        <f t="shared" si="165"/>
        <v>682</v>
      </c>
      <c r="Y143" s="206">
        <f t="shared" si="166"/>
        <v>573</v>
      </c>
      <c r="Z143" s="205">
        <v>20306</v>
      </c>
      <c r="AA143" s="206">
        <f t="shared" si="167"/>
        <v>1738</v>
      </c>
      <c r="AB143" s="206">
        <f t="shared" si="168"/>
        <v>593</v>
      </c>
      <c r="AC143" s="206">
        <f t="shared" si="169"/>
        <v>546</v>
      </c>
      <c r="AD143" s="206">
        <f t="shared" si="170"/>
        <v>802</v>
      </c>
      <c r="AE143" s="205">
        <v>20306</v>
      </c>
      <c r="AF143" s="206">
        <f t="shared" si="171"/>
        <v>1610</v>
      </c>
      <c r="AG143" s="206">
        <f t="shared" si="172"/>
        <v>184</v>
      </c>
      <c r="AH143" s="206">
        <f t="shared" si="173"/>
        <v>628</v>
      </c>
      <c r="AI143" s="206">
        <f t="shared" si="174"/>
        <v>688</v>
      </c>
    </row>
    <row r="144" spans="1:35" x14ac:dyDescent="0.15">
      <c r="A144" s="205">
        <v>20307</v>
      </c>
      <c r="B144" s="206">
        <f t="shared" si="175"/>
        <v>1600</v>
      </c>
      <c r="C144" s="206">
        <f t="shared" si="176"/>
        <v>174</v>
      </c>
      <c r="D144" s="206">
        <f t="shared" si="177"/>
        <v>600</v>
      </c>
      <c r="E144" s="206">
        <f t="shared" si="178"/>
        <v>600</v>
      </c>
      <c r="F144" s="205">
        <v>20307</v>
      </c>
      <c r="G144" s="206">
        <f t="shared" si="151"/>
        <v>1600</v>
      </c>
      <c r="H144" s="206">
        <f t="shared" si="152"/>
        <v>94</v>
      </c>
      <c r="I144" s="206">
        <f t="shared" si="153"/>
        <v>657</v>
      </c>
      <c r="J144" s="206">
        <f t="shared" si="154"/>
        <v>600</v>
      </c>
      <c r="K144" s="205">
        <v>20307</v>
      </c>
      <c r="L144" s="206">
        <f t="shared" si="155"/>
        <v>1600</v>
      </c>
      <c r="M144" s="206">
        <f t="shared" si="156"/>
        <v>174</v>
      </c>
      <c r="N144" s="206">
        <f t="shared" si="157"/>
        <v>600</v>
      </c>
      <c r="O144" s="206">
        <f t="shared" si="158"/>
        <v>600</v>
      </c>
      <c r="P144" s="205">
        <v>20307</v>
      </c>
      <c r="Q144" s="206">
        <f t="shared" si="159"/>
        <v>1686</v>
      </c>
      <c r="R144" s="206">
        <f t="shared" si="160"/>
        <v>159</v>
      </c>
      <c r="S144" s="206">
        <f t="shared" si="161"/>
        <v>571</v>
      </c>
      <c r="T144" s="206">
        <f t="shared" si="162"/>
        <v>720</v>
      </c>
      <c r="U144" s="205">
        <v>20307</v>
      </c>
      <c r="V144" s="206">
        <f t="shared" si="163"/>
        <v>1600</v>
      </c>
      <c r="W144" s="206">
        <f t="shared" si="164"/>
        <v>363</v>
      </c>
      <c r="X144" s="206">
        <f t="shared" si="165"/>
        <v>714</v>
      </c>
      <c r="Y144" s="206">
        <f t="shared" si="166"/>
        <v>600</v>
      </c>
      <c r="Z144" s="205">
        <v>20307</v>
      </c>
      <c r="AA144" s="206">
        <f t="shared" si="167"/>
        <v>1820</v>
      </c>
      <c r="AB144" s="206">
        <f t="shared" si="168"/>
        <v>621</v>
      </c>
      <c r="AC144" s="206">
        <f t="shared" si="169"/>
        <v>571</v>
      </c>
      <c r="AD144" s="206">
        <f t="shared" si="170"/>
        <v>840</v>
      </c>
      <c r="AE144" s="205">
        <v>20307</v>
      </c>
      <c r="AF144" s="206">
        <f t="shared" si="171"/>
        <v>1686</v>
      </c>
      <c r="AG144" s="206">
        <f t="shared" si="172"/>
        <v>193</v>
      </c>
      <c r="AH144" s="206">
        <f t="shared" si="173"/>
        <v>657</v>
      </c>
      <c r="AI144" s="206">
        <f t="shared" si="174"/>
        <v>720</v>
      </c>
    </row>
    <row r="145" spans="1:35" x14ac:dyDescent="0.15">
      <c r="A145" s="205">
        <v>20308</v>
      </c>
      <c r="B145" s="206">
        <f t="shared" si="175"/>
        <v>1672</v>
      </c>
      <c r="C145" s="206">
        <f t="shared" si="176"/>
        <v>182</v>
      </c>
      <c r="D145" s="206">
        <f t="shared" si="177"/>
        <v>627</v>
      </c>
      <c r="E145" s="206">
        <f t="shared" si="178"/>
        <v>627</v>
      </c>
      <c r="F145" s="205">
        <v>20308</v>
      </c>
      <c r="G145" s="206">
        <f t="shared" si="151"/>
        <v>1672</v>
      </c>
      <c r="H145" s="206">
        <f t="shared" si="152"/>
        <v>99</v>
      </c>
      <c r="I145" s="206">
        <f t="shared" si="153"/>
        <v>687</v>
      </c>
      <c r="J145" s="206">
        <f t="shared" si="154"/>
        <v>627</v>
      </c>
      <c r="K145" s="205">
        <v>20308</v>
      </c>
      <c r="L145" s="206">
        <f t="shared" si="155"/>
        <v>1672</v>
      </c>
      <c r="M145" s="206">
        <f t="shared" si="156"/>
        <v>182</v>
      </c>
      <c r="N145" s="206">
        <f t="shared" si="157"/>
        <v>627</v>
      </c>
      <c r="O145" s="206">
        <f t="shared" si="158"/>
        <v>627</v>
      </c>
      <c r="P145" s="205">
        <v>20308</v>
      </c>
      <c r="Q145" s="206">
        <f t="shared" si="159"/>
        <v>1762</v>
      </c>
      <c r="R145" s="206">
        <f t="shared" si="160"/>
        <v>166</v>
      </c>
      <c r="S145" s="206">
        <f t="shared" si="161"/>
        <v>597</v>
      </c>
      <c r="T145" s="206">
        <f t="shared" si="162"/>
        <v>752</v>
      </c>
      <c r="U145" s="205">
        <v>20308</v>
      </c>
      <c r="V145" s="206">
        <f t="shared" si="163"/>
        <v>1672</v>
      </c>
      <c r="W145" s="206">
        <f t="shared" si="164"/>
        <v>380</v>
      </c>
      <c r="X145" s="206">
        <f t="shared" si="165"/>
        <v>746</v>
      </c>
      <c r="Y145" s="206">
        <f t="shared" si="166"/>
        <v>627</v>
      </c>
      <c r="Z145" s="205">
        <v>20308</v>
      </c>
      <c r="AA145" s="206">
        <f t="shared" si="167"/>
        <v>1902</v>
      </c>
      <c r="AB145" s="206">
        <f t="shared" si="168"/>
        <v>649</v>
      </c>
      <c r="AC145" s="206">
        <f t="shared" si="169"/>
        <v>597</v>
      </c>
      <c r="AD145" s="206">
        <f t="shared" si="170"/>
        <v>878</v>
      </c>
      <c r="AE145" s="205">
        <v>20308</v>
      </c>
      <c r="AF145" s="206">
        <f t="shared" si="171"/>
        <v>1762</v>
      </c>
      <c r="AG145" s="206">
        <f t="shared" si="172"/>
        <v>202</v>
      </c>
      <c r="AH145" s="206">
        <f t="shared" si="173"/>
        <v>687</v>
      </c>
      <c r="AI145" s="206">
        <f t="shared" si="174"/>
        <v>752</v>
      </c>
    </row>
    <row r="146" spans="1:35" x14ac:dyDescent="0.15">
      <c r="A146" s="205">
        <v>20309</v>
      </c>
      <c r="B146" s="206">
        <f t="shared" si="175"/>
        <v>1744</v>
      </c>
      <c r="C146" s="206">
        <f t="shared" si="176"/>
        <v>190</v>
      </c>
      <c r="D146" s="206">
        <f t="shared" si="177"/>
        <v>654</v>
      </c>
      <c r="E146" s="206">
        <f t="shared" si="178"/>
        <v>654</v>
      </c>
      <c r="F146" s="205">
        <v>20309</v>
      </c>
      <c r="G146" s="206">
        <f t="shared" si="151"/>
        <v>1744</v>
      </c>
      <c r="H146" s="206">
        <f t="shared" si="152"/>
        <v>103</v>
      </c>
      <c r="I146" s="206">
        <f t="shared" si="153"/>
        <v>716</v>
      </c>
      <c r="J146" s="206">
        <f t="shared" si="154"/>
        <v>654</v>
      </c>
      <c r="K146" s="205">
        <v>20309</v>
      </c>
      <c r="L146" s="206">
        <f t="shared" si="155"/>
        <v>1744</v>
      </c>
      <c r="M146" s="206">
        <f t="shared" si="156"/>
        <v>190</v>
      </c>
      <c r="N146" s="206">
        <f t="shared" si="157"/>
        <v>654</v>
      </c>
      <c r="O146" s="206">
        <f t="shared" si="158"/>
        <v>654</v>
      </c>
      <c r="P146" s="205">
        <v>20309</v>
      </c>
      <c r="Q146" s="206">
        <f t="shared" si="159"/>
        <v>1838</v>
      </c>
      <c r="R146" s="206">
        <f t="shared" si="160"/>
        <v>173</v>
      </c>
      <c r="S146" s="206">
        <f t="shared" si="161"/>
        <v>623</v>
      </c>
      <c r="T146" s="206">
        <f t="shared" si="162"/>
        <v>785</v>
      </c>
      <c r="U146" s="205">
        <v>20309</v>
      </c>
      <c r="V146" s="206">
        <f t="shared" si="163"/>
        <v>1744</v>
      </c>
      <c r="W146" s="206">
        <f t="shared" si="164"/>
        <v>396</v>
      </c>
      <c r="X146" s="206">
        <f t="shared" si="165"/>
        <v>779</v>
      </c>
      <c r="Y146" s="206">
        <f t="shared" si="166"/>
        <v>654</v>
      </c>
      <c r="Z146" s="205">
        <v>20309</v>
      </c>
      <c r="AA146" s="206">
        <f t="shared" si="167"/>
        <v>1984</v>
      </c>
      <c r="AB146" s="206">
        <f t="shared" si="168"/>
        <v>677</v>
      </c>
      <c r="AC146" s="206">
        <f t="shared" si="169"/>
        <v>623</v>
      </c>
      <c r="AD146" s="206">
        <f t="shared" si="170"/>
        <v>916</v>
      </c>
      <c r="AE146" s="205">
        <v>20309</v>
      </c>
      <c r="AF146" s="206">
        <f t="shared" si="171"/>
        <v>1838</v>
      </c>
      <c r="AG146" s="206">
        <f t="shared" si="172"/>
        <v>211</v>
      </c>
      <c r="AH146" s="206">
        <f t="shared" si="173"/>
        <v>716</v>
      </c>
      <c r="AI146" s="206">
        <f t="shared" si="174"/>
        <v>785</v>
      </c>
    </row>
    <row r="147" spans="1:35" x14ac:dyDescent="0.15">
      <c r="A147" s="205">
        <v>20310</v>
      </c>
      <c r="B147" s="206">
        <f t="shared" si="175"/>
        <v>1816</v>
      </c>
      <c r="C147" s="206">
        <f t="shared" si="176"/>
        <v>198</v>
      </c>
      <c r="D147" s="206">
        <f t="shared" si="177"/>
        <v>681</v>
      </c>
      <c r="E147" s="206">
        <f t="shared" si="178"/>
        <v>681</v>
      </c>
      <c r="F147" s="205">
        <v>20310</v>
      </c>
      <c r="G147" s="206">
        <f t="shared" si="151"/>
        <v>1816</v>
      </c>
      <c r="H147" s="206">
        <f t="shared" si="152"/>
        <v>107</v>
      </c>
      <c r="I147" s="206">
        <f t="shared" si="153"/>
        <v>746</v>
      </c>
      <c r="J147" s="206">
        <f t="shared" si="154"/>
        <v>681</v>
      </c>
      <c r="K147" s="205">
        <v>20310</v>
      </c>
      <c r="L147" s="206">
        <f t="shared" si="155"/>
        <v>1816</v>
      </c>
      <c r="M147" s="206">
        <f t="shared" si="156"/>
        <v>198</v>
      </c>
      <c r="N147" s="206">
        <f t="shared" si="157"/>
        <v>681</v>
      </c>
      <c r="O147" s="206">
        <f t="shared" si="158"/>
        <v>681</v>
      </c>
      <c r="P147" s="205">
        <v>20310</v>
      </c>
      <c r="Q147" s="206">
        <f t="shared" si="159"/>
        <v>1914</v>
      </c>
      <c r="R147" s="206">
        <f t="shared" si="160"/>
        <v>180</v>
      </c>
      <c r="S147" s="206">
        <f t="shared" si="161"/>
        <v>649</v>
      </c>
      <c r="T147" s="206">
        <f t="shared" si="162"/>
        <v>817</v>
      </c>
      <c r="U147" s="205">
        <v>20310</v>
      </c>
      <c r="V147" s="206">
        <f t="shared" si="163"/>
        <v>1816</v>
      </c>
      <c r="W147" s="206">
        <f t="shared" si="164"/>
        <v>412</v>
      </c>
      <c r="X147" s="206">
        <f t="shared" si="165"/>
        <v>811</v>
      </c>
      <c r="Y147" s="206">
        <f t="shared" si="166"/>
        <v>681</v>
      </c>
      <c r="Z147" s="205">
        <v>20310</v>
      </c>
      <c r="AA147" s="206">
        <f t="shared" si="167"/>
        <v>2066</v>
      </c>
      <c r="AB147" s="206">
        <f t="shared" si="168"/>
        <v>705</v>
      </c>
      <c r="AC147" s="206">
        <f t="shared" si="169"/>
        <v>649</v>
      </c>
      <c r="AD147" s="206">
        <f t="shared" si="170"/>
        <v>953</v>
      </c>
      <c r="AE147" s="205">
        <v>20310</v>
      </c>
      <c r="AF147" s="206">
        <f t="shared" si="171"/>
        <v>1914</v>
      </c>
      <c r="AG147" s="206">
        <f t="shared" si="172"/>
        <v>219</v>
      </c>
      <c r="AH147" s="206">
        <f t="shared" si="173"/>
        <v>746</v>
      </c>
      <c r="AI147" s="206">
        <f t="shared" si="174"/>
        <v>817</v>
      </c>
    </row>
    <row r="148" spans="1:35" x14ac:dyDescent="0.15">
      <c r="A148" s="205">
        <v>20311</v>
      </c>
      <c r="B148" s="206">
        <f t="shared" si="175"/>
        <v>1896</v>
      </c>
      <c r="C148" s="206">
        <f t="shared" si="176"/>
        <v>206</v>
      </c>
      <c r="D148" s="206">
        <f t="shared" si="177"/>
        <v>711</v>
      </c>
      <c r="E148" s="206">
        <f t="shared" si="178"/>
        <v>711</v>
      </c>
      <c r="F148" s="205">
        <v>20311</v>
      </c>
      <c r="G148" s="206">
        <f t="shared" si="151"/>
        <v>1896</v>
      </c>
      <c r="H148" s="206">
        <f t="shared" si="152"/>
        <v>112</v>
      </c>
      <c r="I148" s="206">
        <f t="shared" si="153"/>
        <v>779</v>
      </c>
      <c r="J148" s="206">
        <f t="shared" si="154"/>
        <v>711</v>
      </c>
      <c r="K148" s="205">
        <v>20311</v>
      </c>
      <c r="L148" s="206">
        <f t="shared" si="155"/>
        <v>1896</v>
      </c>
      <c r="M148" s="206">
        <f t="shared" si="156"/>
        <v>206</v>
      </c>
      <c r="N148" s="206">
        <f t="shared" si="157"/>
        <v>711</v>
      </c>
      <c r="O148" s="206">
        <f t="shared" si="158"/>
        <v>711</v>
      </c>
      <c r="P148" s="205">
        <v>20311</v>
      </c>
      <c r="Q148" s="206">
        <f t="shared" si="159"/>
        <v>1998</v>
      </c>
      <c r="R148" s="206">
        <f t="shared" si="160"/>
        <v>188</v>
      </c>
      <c r="S148" s="206">
        <f t="shared" si="161"/>
        <v>677</v>
      </c>
      <c r="T148" s="206">
        <f t="shared" si="162"/>
        <v>853</v>
      </c>
      <c r="U148" s="205">
        <v>20311</v>
      </c>
      <c r="V148" s="206">
        <f t="shared" si="163"/>
        <v>1896</v>
      </c>
      <c r="W148" s="206">
        <f t="shared" si="164"/>
        <v>431</v>
      </c>
      <c r="X148" s="206">
        <f t="shared" si="165"/>
        <v>846</v>
      </c>
      <c r="Y148" s="206">
        <f t="shared" si="166"/>
        <v>711</v>
      </c>
      <c r="Z148" s="205">
        <v>20311</v>
      </c>
      <c r="AA148" s="206">
        <f t="shared" si="167"/>
        <v>2157</v>
      </c>
      <c r="AB148" s="206">
        <f t="shared" si="168"/>
        <v>736</v>
      </c>
      <c r="AC148" s="206">
        <f t="shared" si="169"/>
        <v>677</v>
      </c>
      <c r="AD148" s="206">
        <f t="shared" si="170"/>
        <v>995</v>
      </c>
      <c r="AE148" s="205">
        <v>20311</v>
      </c>
      <c r="AF148" s="206">
        <f t="shared" si="171"/>
        <v>1998</v>
      </c>
      <c r="AG148" s="206">
        <f t="shared" si="172"/>
        <v>229</v>
      </c>
      <c r="AH148" s="206">
        <f t="shared" si="173"/>
        <v>779</v>
      </c>
      <c r="AI148" s="206">
        <f t="shared" si="174"/>
        <v>853</v>
      </c>
    </row>
    <row r="149" spans="1:35" x14ac:dyDescent="0.15">
      <c r="A149" s="205">
        <v>20312</v>
      </c>
      <c r="B149" s="206">
        <f t="shared" si="175"/>
        <v>1976</v>
      </c>
      <c r="C149" s="206">
        <f t="shared" si="176"/>
        <v>215</v>
      </c>
      <c r="D149" s="206">
        <f t="shared" si="177"/>
        <v>741</v>
      </c>
      <c r="E149" s="206">
        <f t="shared" si="178"/>
        <v>741</v>
      </c>
      <c r="F149" s="205">
        <v>20312</v>
      </c>
      <c r="G149" s="206">
        <f t="shared" si="151"/>
        <v>1976</v>
      </c>
      <c r="H149" s="206">
        <f t="shared" si="152"/>
        <v>116</v>
      </c>
      <c r="I149" s="206">
        <f t="shared" si="153"/>
        <v>812</v>
      </c>
      <c r="J149" s="206">
        <f t="shared" si="154"/>
        <v>741</v>
      </c>
      <c r="K149" s="205">
        <v>20312</v>
      </c>
      <c r="L149" s="206">
        <f t="shared" si="155"/>
        <v>1976</v>
      </c>
      <c r="M149" s="206">
        <f t="shared" si="156"/>
        <v>215</v>
      </c>
      <c r="N149" s="206">
        <f t="shared" si="157"/>
        <v>741</v>
      </c>
      <c r="O149" s="206">
        <f t="shared" si="158"/>
        <v>741</v>
      </c>
      <c r="P149" s="205">
        <v>20312</v>
      </c>
      <c r="Q149" s="206">
        <f t="shared" si="159"/>
        <v>2082</v>
      </c>
      <c r="R149" s="206">
        <f t="shared" si="160"/>
        <v>196</v>
      </c>
      <c r="S149" s="206">
        <f t="shared" si="161"/>
        <v>706</v>
      </c>
      <c r="T149" s="206">
        <f t="shared" si="162"/>
        <v>889</v>
      </c>
      <c r="U149" s="205">
        <v>20312</v>
      </c>
      <c r="V149" s="206">
        <f t="shared" si="163"/>
        <v>1976</v>
      </c>
      <c r="W149" s="206">
        <f t="shared" si="164"/>
        <v>449</v>
      </c>
      <c r="X149" s="206">
        <f t="shared" si="165"/>
        <v>882</v>
      </c>
      <c r="Y149" s="206">
        <f t="shared" si="166"/>
        <v>741</v>
      </c>
      <c r="Z149" s="205">
        <v>20312</v>
      </c>
      <c r="AA149" s="206">
        <f t="shared" si="167"/>
        <v>2248</v>
      </c>
      <c r="AB149" s="206">
        <f t="shared" si="168"/>
        <v>767</v>
      </c>
      <c r="AC149" s="206">
        <f t="shared" si="169"/>
        <v>706</v>
      </c>
      <c r="AD149" s="206">
        <f t="shared" si="170"/>
        <v>1037</v>
      </c>
      <c r="AE149" s="205">
        <v>20312</v>
      </c>
      <c r="AF149" s="206">
        <f t="shared" si="171"/>
        <v>2082</v>
      </c>
      <c r="AG149" s="206">
        <f t="shared" si="172"/>
        <v>239</v>
      </c>
      <c r="AH149" s="206">
        <f t="shared" si="173"/>
        <v>812</v>
      </c>
      <c r="AI149" s="206">
        <f t="shared" si="174"/>
        <v>889</v>
      </c>
    </row>
    <row r="150" spans="1:35" x14ac:dyDescent="0.15">
      <c r="A150" s="205">
        <v>20313</v>
      </c>
      <c r="B150" s="206">
        <f t="shared" si="175"/>
        <v>2056</v>
      </c>
      <c r="C150" s="206">
        <f t="shared" si="176"/>
        <v>224</v>
      </c>
      <c r="D150" s="206">
        <f t="shared" si="177"/>
        <v>771</v>
      </c>
      <c r="E150" s="206">
        <f t="shared" si="178"/>
        <v>771</v>
      </c>
      <c r="F150" s="205">
        <v>20313</v>
      </c>
      <c r="G150" s="206">
        <f t="shared" si="151"/>
        <v>2056</v>
      </c>
      <c r="H150" s="206">
        <f t="shared" si="152"/>
        <v>121</v>
      </c>
      <c r="I150" s="206">
        <f t="shared" si="153"/>
        <v>844</v>
      </c>
      <c r="J150" s="206">
        <f t="shared" si="154"/>
        <v>771</v>
      </c>
      <c r="K150" s="205">
        <v>20313</v>
      </c>
      <c r="L150" s="206">
        <f t="shared" si="155"/>
        <v>2056</v>
      </c>
      <c r="M150" s="206">
        <f t="shared" si="156"/>
        <v>224</v>
      </c>
      <c r="N150" s="206">
        <f t="shared" si="157"/>
        <v>771</v>
      </c>
      <c r="O150" s="206">
        <f t="shared" si="158"/>
        <v>771</v>
      </c>
      <c r="P150" s="205">
        <v>20313</v>
      </c>
      <c r="Q150" s="206">
        <f t="shared" si="159"/>
        <v>2166</v>
      </c>
      <c r="R150" s="206">
        <f t="shared" si="160"/>
        <v>204</v>
      </c>
      <c r="S150" s="206">
        <f t="shared" si="161"/>
        <v>734</v>
      </c>
      <c r="T150" s="206">
        <f t="shared" si="162"/>
        <v>925</v>
      </c>
      <c r="U150" s="205">
        <v>20313</v>
      </c>
      <c r="V150" s="206">
        <f t="shared" si="163"/>
        <v>2056</v>
      </c>
      <c r="W150" s="206">
        <f t="shared" si="164"/>
        <v>467</v>
      </c>
      <c r="X150" s="206">
        <f t="shared" si="165"/>
        <v>918</v>
      </c>
      <c r="Y150" s="206">
        <f t="shared" si="166"/>
        <v>771</v>
      </c>
      <c r="Z150" s="205">
        <v>20313</v>
      </c>
      <c r="AA150" s="206">
        <f t="shared" si="167"/>
        <v>2339</v>
      </c>
      <c r="AB150" s="206">
        <f t="shared" si="168"/>
        <v>798</v>
      </c>
      <c r="AC150" s="206">
        <f t="shared" si="169"/>
        <v>734</v>
      </c>
      <c r="AD150" s="206">
        <f t="shared" si="170"/>
        <v>1079</v>
      </c>
      <c r="AE150" s="205">
        <v>20313</v>
      </c>
      <c r="AF150" s="206">
        <f t="shared" si="171"/>
        <v>2166</v>
      </c>
      <c r="AG150" s="206">
        <f t="shared" si="172"/>
        <v>248</v>
      </c>
      <c r="AH150" s="206">
        <f t="shared" si="173"/>
        <v>844</v>
      </c>
      <c r="AI150" s="206">
        <f t="shared" si="174"/>
        <v>925</v>
      </c>
    </row>
    <row r="151" spans="1:35" x14ac:dyDescent="0.15">
      <c r="A151" s="205">
        <v>20314</v>
      </c>
      <c r="B151" s="206">
        <f t="shared" si="175"/>
        <v>2136</v>
      </c>
      <c r="C151" s="206">
        <f t="shared" si="176"/>
        <v>232</v>
      </c>
      <c r="D151" s="206">
        <f t="shared" si="177"/>
        <v>801</v>
      </c>
      <c r="E151" s="206">
        <f t="shared" si="178"/>
        <v>801</v>
      </c>
      <c r="F151" s="205">
        <v>20314</v>
      </c>
      <c r="G151" s="206">
        <f t="shared" si="151"/>
        <v>2136</v>
      </c>
      <c r="H151" s="206">
        <f t="shared" si="152"/>
        <v>126</v>
      </c>
      <c r="I151" s="206">
        <f t="shared" si="153"/>
        <v>877</v>
      </c>
      <c r="J151" s="206">
        <f t="shared" si="154"/>
        <v>801</v>
      </c>
      <c r="K151" s="205">
        <v>20314</v>
      </c>
      <c r="L151" s="206">
        <f t="shared" si="155"/>
        <v>2136</v>
      </c>
      <c r="M151" s="206">
        <f t="shared" si="156"/>
        <v>232</v>
      </c>
      <c r="N151" s="206">
        <f t="shared" si="157"/>
        <v>801</v>
      </c>
      <c r="O151" s="206">
        <f t="shared" si="158"/>
        <v>801</v>
      </c>
      <c r="P151" s="205">
        <v>20314</v>
      </c>
      <c r="Q151" s="206">
        <f t="shared" si="159"/>
        <v>2251</v>
      </c>
      <c r="R151" s="206">
        <f t="shared" si="160"/>
        <v>212</v>
      </c>
      <c r="S151" s="206">
        <f t="shared" si="161"/>
        <v>763</v>
      </c>
      <c r="T151" s="206">
        <f t="shared" si="162"/>
        <v>961</v>
      </c>
      <c r="U151" s="205">
        <v>20314</v>
      </c>
      <c r="V151" s="206">
        <f t="shared" si="163"/>
        <v>2136</v>
      </c>
      <c r="W151" s="206">
        <f t="shared" si="164"/>
        <v>485</v>
      </c>
      <c r="X151" s="206">
        <f t="shared" si="165"/>
        <v>954</v>
      </c>
      <c r="Y151" s="206">
        <f t="shared" si="166"/>
        <v>801</v>
      </c>
      <c r="Z151" s="205">
        <v>20314</v>
      </c>
      <c r="AA151" s="206">
        <f t="shared" si="167"/>
        <v>2430</v>
      </c>
      <c r="AB151" s="206">
        <f t="shared" si="168"/>
        <v>829</v>
      </c>
      <c r="AC151" s="206">
        <f t="shared" si="169"/>
        <v>763</v>
      </c>
      <c r="AD151" s="206">
        <f t="shared" si="170"/>
        <v>1121</v>
      </c>
      <c r="AE151" s="205">
        <v>20314</v>
      </c>
      <c r="AF151" s="206">
        <f t="shared" si="171"/>
        <v>2251</v>
      </c>
      <c r="AG151" s="206">
        <f t="shared" si="172"/>
        <v>258</v>
      </c>
      <c r="AH151" s="206">
        <f t="shared" si="173"/>
        <v>877</v>
      </c>
      <c r="AI151" s="206">
        <f t="shared" si="174"/>
        <v>961</v>
      </c>
    </row>
    <row r="152" spans="1:35" x14ac:dyDescent="0.15">
      <c r="A152" s="205">
        <v>20315</v>
      </c>
      <c r="B152" s="206">
        <f t="shared" si="175"/>
        <v>2216</v>
      </c>
      <c r="C152" s="206">
        <f t="shared" si="176"/>
        <v>241</v>
      </c>
      <c r="D152" s="206">
        <f t="shared" si="177"/>
        <v>831</v>
      </c>
      <c r="E152" s="206">
        <f t="shared" si="178"/>
        <v>831</v>
      </c>
      <c r="F152" s="205">
        <v>20315</v>
      </c>
      <c r="G152" s="206">
        <f t="shared" si="151"/>
        <v>2216</v>
      </c>
      <c r="H152" s="206">
        <f t="shared" si="152"/>
        <v>131</v>
      </c>
      <c r="I152" s="206">
        <f t="shared" si="153"/>
        <v>910</v>
      </c>
      <c r="J152" s="206">
        <f t="shared" si="154"/>
        <v>831</v>
      </c>
      <c r="K152" s="205">
        <v>20315</v>
      </c>
      <c r="L152" s="206">
        <f t="shared" si="155"/>
        <v>2216</v>
      </c>
      <c r="M152" s="206">
        <f t="shared" si="156"/>
        <v>241</v>
      </c>
      <c r="N152" s="206">
        <f t="shared" si="157"/>
        <v>831</v>
      </c>
      <c r="O152" s="206">
        <f t="shared" si="158"/>
        <v>831</v>
      </c>
      <c r="P152" s="205">
        <v>20315</v>
      </c>
      <c r="Q152" s="206">
        <f t="shared" si="159"/>
        <v>2335</v>
      </c>
      <c r="R152" s="206">
        <f t="shared" si="160"/>
        <v>220</v>
      </c>
      <c r="S152" s="206">
        <f t="shared" si="161"/>
        <v>791</v>
      </c>
      <c r="T152" s="206">
        <f t="shared" si="162"/>
        <v>997</v>
      </c>
      <c r="U152" s="205">
        <v>20315</v>
      </c>
      <c r="V152" s="206">
        <f t="shared" si="163"/>
        <v>2216</v>
      </c>
      <c r="W152" s="206">
        <f t="shared" si="164"/>
        <v>503</v>
      </c>
      <c r="X152" s="206">
        <f t="shared" si="165"/>
        <v>989</v>
      </c>
      <c r="Y152" s="206">
        <f t="shared" si="166"/>
        <v>831</v>
      </c>
      <c r="Z152" s="205">
        <v>20315</v>
      </c>
      <c r="AA152" s="206">
        <f t="shared" si="167"/>
        <v>2521</v>
      </c>
      <c r="AB152" s="206">
        <f t="shared" si="168"/>
        <v>860</v>
      </c>
      <c r="AC152" s="206">
        <f t="shared" si="169"/>
        <v>791</v>
      </c>
      <c r="AD152" s="206">
        <f t="shared" si="170"/>
        <v>1163</v>
      </c>
      <c r="AE152" s="205">
        <v>20315</v>
      </c>
      <c r="AF152" s="206">
        <f t="shared" si="171"/>
        <v>2335</v>
      </c>
      <c r="AG152" s="206">
        <f t="shared" si="172"/>
        <v>268</v>
      </c>
      <c r="AH152" s="206">
        <f t="shared" si="173"/>
        <v>910</v>
      </c>
      <c r="AI152" s="206">
        <f t="shared" si="174"/>
        <v>997</v>
      </c>
    </row>
    <row r="153" spans="1:35" x14ac:dyDescent="0.15">
      <c r="A153" s="205">
        <v>20401</v>
      </c>
      <c r="B153" s="206">
        <f t="shared" si="175"/>
        <v>1496</v>
      </c>
      <c r="C153" s="206">
        <f t="shared" si="176"/>
        <v>163</v>
      </c>
      <c r="D153" s="206">
        <f t="shared" si="177"/>
        <v>561</v>
      </c>
      <c r="E153" s="206">
        <f t="shared" si="178"/>
        <v>561</v>
      </c>
      <c r="F153" s="205">
        <v>20401</v>
      </c>
      <c r="G153" s="206">
        <f t="shared" si="151"/>
        <v>1496</v>
      </c>
      <c r="H153" s="206">
        <f t="shared" si="152"/>
        <v>88</v>
      </c>
      <c r="I153" s="206">
        <f t="shared" si="153"/>
        <v>614</v>
      </c>
      <c r="J153" s="206">
        <f t="shared" si="154"/>
        <v>561</v>
      </c>
      <c r="K153" s="205">
        <v>20401</v>
      </c>
      <c r="L153" s="206">
        <f t="shared" si="155"/>
        <v>1496</v>
      </c>
      <c r="M153" s="206">
        <f t="shared" si="156"/>
        <v>163</v>
      </c>
      <c r="N153" s="206">
        <f t="shared" si="157"/>
        <v>561</v>
      </c>
      <c r="O153" s="206">
        <f t="shared" si="158"/>
        <v>561</v>
      </c>
      <c r="P153" s="205">
        <v>20401</v>
      </c>
      <c r="Q153" s="206">
        <f t="shared" si="159"/>
        <v>1576</v>
      </c>
      <c r="R153" s="206">
        <f t="shared" si="160"/>
        <v>149</v>
      </c>
      <c r="S153" s="206">
        <f t="shared" si="161"/>
        <v>534</v>
      </c>
      <c r="T153" s="206">
        <f t="shared" si="162"/>
        <v>673</v>
      </c>
      <c r="U153" s="205">
        <v>20401</v>
      </c>
      <c r="V153" s="206">
        <f t="shared" si="163"/>
        <v>1496</v>
      </c>
      <c r="W153" s="206">
        <f t="shared" si="164"/>
        <v>340</v>
      </c>
      <c r="X153" s="206">
        <f t="shared" si="165"/>
        <v>668</v>
      </c>
      <c r="Y153" s="206">
        <f t="shared" si="166"/>
        <v>561</v>
      </c>
      <c r="Z153" s="205">
        <v>20401</v>
      </c>
      <c r="AA153" s="206">
        <f t="shared" si="167"/>
        <v>1702</v>
      </c>
      <c r="AB153" s="206">
        <f t="shared" si="168"/>
        <v>581</v>
      </c>
      <c r="AC153" s="206">
        <f t="shared" si="169"/>
        <v>534</v>
      </c>
      <c r="AD153" s="206">
        <f t="shared" si="170"/>
        <v>785</v>
      </c>
      <c r="AE153" s="205">
        <v>20401</v>
      </c>
      <c r="AF153" s="206">
        <f t="shared" si="171"/>
        <v>1576</v>
      </c>
      <c r="AG153" s="206">
        <f t="shared" si="172"/>
        <v>181</v>
      </c>
      <c r="AH153" s="206">
        <f t="shared" si="173"/>
        <v>614</v>
      </c>
      <c r="AI153" s="206">
        <f t="shared" si="174"/>
        <v>673</v>
      </c>
    </row>
    <row r="154" spans="1:35" x14ac:dyDescent="0.15">
      <c r="A154" s="205">
        <v>20402</v>
      </c>
      <c r="B154" s="206">
        <f t="shared" si="175"/>
        <v>1576</v>
      </c>
      <c r="C154" s="206">
        <f t="shared" si="176"/>
        <v>171</v>
      </c>
      <c r="D154" s="206">
        <f t="shared" si="177"/>
        <v>591</v>
      </c>
      <c r="E154" s="206">
        <f t="shared" si="178"/>
        <v>591</v>
      </c>
      <c r="F154" s="205">
        <v>20402</v>
      </c>
      <c r="G154" s="206">
        <f t="shared" si="151"/>
        <v>1576</v>
      </c>
      <c r="H154" s="206">
        <f t="shared" si="152"/>
        <v>93</v>
      </c>
      <c r="I154" s="206">
        <f t="shared" si="153"/>
        <v>647</v>
      </c>
      <c r="J154" s="206">
        <f t="shared" si="154"/>
        <v>591</v>
      </c>
      <c r="K154" s="205">
        <v>20402</v>
      </c>
      <c r="L154" s="206">
        <f t="shared" si="155"/>
        <v>1576</v>
      </c>
      <c r="M154" s="206">
        <f t="shared" si="156"/>
        <v>171</v>
      </c>
      <c r="N154" s="206">
        <f t="shared" si="157"/>
        <v>591</v>
      </c>
      <c r="O154" s="206">
        <f t="shared" si="158"/>
        <v>591</v>
      </c>
      <c r="P154" s="205">
        <v>20402</v>
      </c>
      <c r="Q154" s="206">
        <f t="shared" si="159"/>
        <v>1661</v>
      </c>
      <c r="R154" s="206">
        <f t="shared" si="160"/>
        <v>157</v>
      </c>
      <c r="S154" s="206">
        <f t="shared" si="161"/>
        <v>563</v>
      </c>
      <c r="T154" s="206">
        <f t="shared" si="162"/>
        <v>709</v>
      </c>
      <c r="U154" s="205">
        <v>20402</v>
      </c>
      <c r="V154" s="206">
        <f t="shared" si="163"/>
        <v>1576</v>
      </c>
      <c r="W154" s="206">
        <f t="shared" si="164"/>
        <v>358</v>
      </c>
      <c r="X154" s="206">
        <f t="shared" si="165"/>
        <v>704</v>
      </c>
      <c r="Y154" s="206">
        <f t="shared" si="166"/>
        <v>591</v>
      </c>
      <c r="Z154" s="205">
        <v>20402</v>
      </c>
      <c r="AA154" s="206">
        <f t="shared" si="167"/>
        <v>1793</v>
      </c>
      <c r="AB154" s="206">
        <f t="shared" si="168"/>
        <v>612</v>
      </c>
      <c r="AC154" s="206">
        <f t="shared" si="169"/>
        <v>563</v>
      </c>
      <c r="AD154" s="206">
        <f t="shared" si="170"/>
        <v>827</v>
      </c>
      <c r="AE154" s="205">
        <v>20402</v>
      </c>
      <c r="AF154" s="206">
        <f t="shared" si="171"/>
        <v>1661</v>
      </c>
      <c r="AG154" s="206">
        <f t="shared" si="172"/>
        <v>190</v>
      </c>
      <c r="AH154" s="206">
        <f t="shared" si="173"/>
        <v>647</v>
      </c>
      <c r="AI154" s="206">
        <f t="shared" si="174"/>
        <v>709</v>
      </c>
    </row>
    <row r="155" spans="1:35" x14ac:dyDescent="0.15">
      <c r="A155" s="205">
        <v>20403</v>
      </c>
      <c r="B155" s="206">
        <f t="shared" si="175"/>
        <v>1656</v>
      </c>
      <c r="C155" s="206">
        <f t="shared" si="176"/>
        <v>180</v>
      </c>
      <c r="D155" s="206">
        <f t="shared" si="177"/>
        <v>621</v>
      </c>
      <c r="E155" s="206">
        <f t="shared" si="178"/>
        <v>621</v>
      </c>
      <c r="F155" s="205">
        <v>20403</v>
      </c>
      <c r="G155" s="206">
        <f t="shared" si="151"/>
        <v>1656</v>
      </c>
      <c r="H155" s="206">
        <f t="shared" si="152"/>
        <v>98</v>
      </c>
      <c r="I155" s="206">
        <f t="shared" si="153"/>
        <v>680</v>
      </c>
      <c r="J155" s="206">
        <f t="shared" si="154"/>
        <v>621</v>
      </c>
      <c r="K155" s="205">
        <v>20403</v>
      </c>
      <c r="L155" s="206">
        <f t="shared" si="155"/>
        <v>1656</v>
      </c>
      <c r="M155" s="206">
        <f t="shared" si="156"/>
        <v>180</v>
      </c>
      <c r="N155" s="206">
        <f t="shared" si="157"/>
        <v>621</v>
      </c>
      <c r="O155" s="206">
        <f t="shared" si="158"/>
        <v>621</v>
      </c>
      <c r="P155" s="205">
        <v>20403</v>
      </c>
      <c r="Q155" s="206">
        <f t="shared" si="159"/>
        <v>1745</v>
      </c>
      <c r="R155" s="206">
        <f t="shared" si="160"/>
        <v>165</v>
      </c>
      <c r="S155" s="206">
        <f t="shared" si="161"/>
        <v>591</v>
      </c>
      <c r="T155" s="206">
        <f t="shared" si="162"/>
        <v>745</v>
      </c>
      <c r="U155" s="205">
        <v>20403</v>
      </c>
      <c r="V155" s="206">
        <f t="shared" si="163"/>
        <v>1656</v>
      </c>
      <c r="W155" s="206">
        <f t="shared" si="164"/>
        <v>376</v>
      </c>
      <c r="X155" s="206">
        <f t="shared" si="165"/>
        <v>739</v>
      </c>
      <c r="Y155" s="206">
        <f t="shared" si="166"/>
        <v>621</v>
      </c>
      <c r="Z155" s="205">
        <v>20403</v>
      </c>
      <c r="AA155" s="206">
        <f t="shared" si="167"/>
        <v>1884</v>
      </c>
      <c r="AB155" s="206">
        <f t="shared" si="168"/>
        <v>643</v>
      </c>
      <c r="AC155" s="206">
        <f t="shared" si="169"/>
        <v>591</v>
      </c>
      <c r="AD155" s="206">
        <f t="shared" si="170"/>
        <v>869</v>
      </c>
      <c r="AE155" s="205">
        <v>20403</v>
      </c>
      <c r="AF155" s="206">
        <f t="shared" si="171"/>
        <v>1745</v>
      </c>
      <c r="AG155" s="206">
        <f t="shared" si="172"/>
        <v>200</v>
      </c>
      <c r="AH155" s="206">
        <f t="shared" si="173"/>
        <v>680</v>
      </c>
      <c r="AI155" s="206">
        <f t="shared" si="174"/>
        <v>745</v>
      </c>
    </row>
    <row r="156" spans="1:35" x14ac:dyDescent="0.15">
      <c r="A156" s="205">
        <v>20404</v>
      </c>
      <c r="B156" s="206">
        <f t="shared" si="175"/>
        <v>1736</v>
      </c>
      <c r="C156" s="206">
        <f t="shared" si="176"/>
        <v>189</v>
      </c>
      <c r="D156" s="206">
        <f t="shared" si="177"/>
        <v>651</v>
      </c>
      <c r="E156" s="206">
        <f t="shared" si="178"/>
        <v>651</v>
      </c>
      <c r="F156" s="205">
        <v>20404</v>
      </c>
      <c r="G156" s="206">
        <f t="shared" si="151"/>
        <v>1736</v>
      </c>
      <c r="H156" s="206">
        <f t="shared" si="152"/>
        <v>102</v>
      </c>
      <c r="I156" s="206">
        <f t="shared" si="153"/>
        <v>713</v>
      </c>
      <c r="J156" s="206">
        <f t="shared" si="154"/>
        <v>651</v>
      </c>
      <c r="K156" s="205">
        <v>20404</v>
      </c>
      <c r="L156" s="206">
        <f t="shared" si="155"/>
        <v>1736</v>
      </c>
      <c r="M156" s="206">
        <f t="shared" si="156"/>
        <v>189</v>
      </c>
      <c r="N156" s="206">
        <f t="shared" si="157"/>
        <v>651</v>
      </c>
      <c r="O156" s="206">
        <f t="shared" si="158"/>
        <v>651</v>
      </c>
      <c r="P156" s="205">
        <v>20404</v>
      </c>
      <c r="Q156" s="206">
        <f t="shared" si="159"/>
        <v>1829</v>
      </c>
      <c r="R156" s="206">
        <f t="shared" si="160"/>
        <v>172</v>
      </c>
      <c r="S156" s="206">
        <f t="shared" si="161"/>
        <v>620</v>
      </c>
      <c r="T156" s="206">
        <f t="shared" si="162"/>
        <v>781</v>
      </c>
      <c r="U156" s="205">
        <v>20404</v>
      </c>
      <c r="V156" s="206">
        <f t="shared" si="163"/>
        <v>1736</v>
      </c>
      <c r="W156" s="206">
        <f t="shared" si="164"/>
        <v>394</v>
      </c>
      <c r="X156" s="206">
        <f t="shared" si="165"/>
        <v>775</v>
      </c>
      <c r="Y156" s="206">
        <f t="shared" si="166"/>
        <v>651</v>
      </c>
      <c r="Z156" s="205">
        <v>20404</v>
      </c>
      <c r="AA156" s="206">
        <f t="shared" si="167"/>
        <v>1975</v>
      </c>
      <c r="AB156" s="206">
        <f t="shared" si="168"/>
        <v>674</v>
      </c>
      <c r="AC156" s="206">
        <f t="shared" si="169"/>
        <v>620</v>
      </c>
      <c r="AD156" s="206">
        <f t="shared" si="170"/>
        <v>911</v>
      </c>
      <c r="AE156" s="205">
        <v>20404</v>
      </c>
      <c r="AF156" s="206">
        <f t="shared" si="171"/>
        <v>1829</v>
      </c>
      <c r="AG156" s="206">
        <f t="shared" si="172"/>
        <v>210</v>
      </c>
      <c r="AH156" s="206">
        <f t="shared" si="173"/>
        <v>713</v>
      </c>
      <c r="AI156" s="206">
        <f t="shared" si="174"/>
        <v>781</v>
      </c>
    </row>
    <row r="157" spans="1:35" x14ac:dyDescent="0.15">
      <c r="A157" s="205">
        <v>20405</v>
      </c>
      <c r="B157" s="206">
        <f t="shared" si="175"/>
        <v>1816</v>
      </c>
      <c r="C157" s="206">
        <f t="shared" si="176"/>
        <v>198</v>
      </c>
      <c r="D157" s="206">
        <f t="shared" si="177"/>
        <v>681</v>
      </c>
      <c r="E157" s="206">
        <f t="shared" si="178"/>
        <v>681</v>
      </c>
      <c r="F157" s="205">
        <v>20405</v>
      </c>
      <c r="G157" s="206">
        <f t="shared" si="151"/>
        <v>1816</v>
      </c>
      <c r="H157" s="206">
        <f t="shared" si="152"/>
        <v>107</v>
      </c>
      <c r="I157" s="206">
        <f t="shared" si="153"/>
        <v>746</v>
      </c>
      <c r="J157" s="206">
        <f t="shared" si="154"/>
        <v>681</v>
      </c>
      <c r="K157" s="205">
        <v>20405</v>
      </c>
      <c r="L157" s="206">
        <f t="shared" si="155"/>
        <v>1816</v>
      </c>
      <c r="M157" s="206">
        <f t="shared" si="156"/>
        <v>198</v>
      </c>
      <c r="N157" s="206">
        <f t="shared" si="157"/>
        <v>681</v>
      </c>
      <c r="O157" s="206">
        <f t="shared" si="158"/>
        <v>681</v>
      </c>
      <c r="P157" s="205">
        <v>20405</v>
      </c>
      <c r="Q157" s="206">
        <f t="shared" si="159"/>
        <v>1914</v>
      </c>
      <c r="R157" s="206">
        <f t="shared" si="160"/>
        <v>180</v>
      </c>
      <c r="S157" s="206">
        <f t="shared" si="161"/>
        <v>649</v>
      </c>
      <c r="T157" s="206">
        <f t="shared" si="162"/>
        <v>817</v>
      </c>
      <c r="U157" s="205">
        <v>20405</v>
      </c>
      <c r="V157" s="206">
        <f t="shared" si="163"/>
        <v>1816</v>
      </c>
      <c r="W157" s="206">
        <f t="shared" si="164"/>
        <v>412</v>
      </c>
      <c r="X157" s="206">
        <f t="shared" si="165"/>
        <v>811</v>
      </c>
      <c r="Y157" s="206">
        <f t="shared" si="166"/>
        <v>681</v>
      </c>
      <c r="Z157" s="205">
        <v>20405</v>
      </c>
      <c r="AA157" s="206">
        <f t="shared" si="167"/>
        <v>2066</v>
      </c>
      <c r="AB157" s="206">
        <f t="shared" si="168"/>
        <v>705</v>
      </c>
      <c r="AC157" s="206">
        <f t="shared" si="169"/>
        <v>649</v>
      </c>
      <c r="AD157" s="206">
        <f t="shared" si="170"/>
        <v>953</v>
      </c>
      <c r="AE157" s="205">
        <v>20405</v>
      </c>
      <c r="AF157" s="206">
        <f t="shared" si="171"/>
        <v>1914</v>
      </c>
      <c r="AG157" s="206">
        <f t="shared" si="172"/>
        <v>219</v>
      </c>
      <c r="AH157" s="206">
        <f t="shared" si="173"/>
        <v>746</v>
      </c>
      <c r="AI157" s="206">
        <f t="shared" si="174"/>
        <v>817</v>
      </c>
    </row>
    <row r="158" spans="1:35" x14ac:dyDescent="0.15">
      <c r="A158" s="205">
        <v>20406</v>
      </c>
      <c r="B158" s="206">
        <f t="shared" si="175"/>
        <v>1896</v>
      </c>
      <c r="C158" s="206">
        <f t="shared" si="176"/>
        <v>206</v>
      </c>
      <c r="D158" s="206">
        <f t="shared" si="177"/>
        <v>711</v>
      </c>
      <c r="E158" s="206">
        <f t="shared" si="178"/>
        <v>711</v>
      </c>
      <c r="F158" s="205">
        <v>20406</v>
      </c>
      <c r="G158" s="206">
        <f t="shared" ref="G158:G189" si="179">AI41</f>
        <v>1896</v>
      </c>
      <c r="H158" s="206">
        <f t="shared" ref="H158:H189" si="180">AJ41</f>
        <v>112</v>
      </c>
      <c r="I158" s="206">
        <f t="shared" ref="I158:I189" si="181">AK41</f>
        <v>779</v>
      </c>
      <c r="J158" s="206">
        <f t="shared" ref="J158:J191" si="182">AN41</f>
        <v>711</v>
      </c>
      <c r="K158" s="205">
        <v>20406</v>
      </c>
      <c r="L158" s="206">
        <f t="shared" ref="L158:L189" si="183">BG41</f>
        <v>1896</v>
      </c>
      <c r="M158" s="206">
        <f t="shared" ref="M158:M189" si="184">BH41</f>
        <v>206</v>
      </c>
      <c r="N158" s="206">
        <f t="shared" ref="N158:N189" si="185">BI41</f>
        <v>711</v>
      </c>
      <c r="O158" s="206">
        <f t="shared" ref="O158:O191" si="186">BL41</f>
        <v>711</v>
      </c>
      <c r="P158" s="205">
        <v>20406</v>
      </c>
      <c r="Q158" s="206">
        <f t="shared" ref="Q158:Q189" si="187">CE41</f>
        <v>1998</v>
      </c>
      <c r="R158" s="206">
        <f t="shared" ref="R158:R189" si="188">CF41</f>
        <v>188</v>
      </c>
      <c r="S158" s="206">
        <f t="shared" ref="S158:S189" si="189">CG41</f>
        <v>677</v>
      </c>
      <c r="T158" s="206">
        <f t="shared" ref="T158:T191" si="190">CJ41</f>
        <v>853</v>
      </c>
      <c r="U158" s="205">
        <v>20406</v>
      </c>
      <c r="V158" s="206">
        <f t="shared" ref="V158:V189" si="191">DC41</f>
        <v>1896</v>
      </c>
      <c r="W158" s="206">
        <f t="shared" ref="W158:W189" si="192">DD41</f>
        <v>431</v>
      </c>
      <c r="X158" s="206">
        <f t="shared" ref="X158:X189" si="193">DE41</f>
        <v>846</v>
      </c>
      <c r="Y158" s="206">
        <f t="shared" ref="Y158:Y191" si="194">DH41</f>
        <v>711</v>
      </c>
      <c r="Z158" s="205">
        <v>20406</v>
      </c>
      <c r="AA158" s="206">
        <f t="shared" ref="AA158:AA189" si="195">EA41</f>
        <v>2157</v>
      </c>
      <c r="AB158" s="206">
        <f t="shared" ref="AB158:AB189" si="196">EB41</f>
        <v>736</v>
      </c>
      <c r="AC158" s="206">
        <f t="shared" ref="AC158:AC189" si="197">EC41</f>
        <v>677</v>
      </c>
      <c r="AD158" s="206">
        <f t="shared" ref="AD158:AD191" si="198">EF41</f>
        <v>995</v>
      </c>
      <c r="AE158" s="205">
        <v>20406</v>
      </c>
      <c r="AF158" s="206">
        <f t="shared" ref="AF158:AF189" si="199">EY41</f>
        <v>1998</v>
      </c>
      <c r="AG158" s="206">
        <f t="shared" ref="AG158:AG189" si="200">EZ41</f>
        <v>229</v>
      </c>
      <c r="AH158" s="206">
        <f t="shared" ref="AH158:AH189" si="201">FA41</f>
        <v>779</v>
      </c>
      <c r="AI158" s="206">
        <f t="shared" ref="AI158:AI191" si="202">FD41</f>
        <v>853</v>
      </c>
    </row>
    <row r="159" spans="1:35" x14ac:dyDescent="0.15">
      <c r="A159" s="205">
        <v>20407</v>
      </c>
      <c r="B159" s="206">
        <f t="shared" si="175"/>
        <v>1976</v>
      </c>
      <c r="C159" s="206">
        <f t="shared" si="176"/>
        <v>215</v>
      </c>
      <c r="D159" s="206">
        <f t="shared" si="177"/>
        <v>741</v>
      </c>
      <c r="E159" s="206">
        <f t="shared" si="178"/>
        <v>741</v>
      </c>
      <c r="F159" s="205">
        <v>20407</v>
      </c>
      <c r="G159" s="206">
        <f t="shared" si="179"/>
        <v>1976</v>
      </c>
      <c r="H159" s="206">
        <f t="shared" si="180"/>
        <v>116</v>
      </c>
      <c r="I159" s="206">
        <f t="shared" si="181"/>
        <v>812</v>
      </c>
      <c r="J159" s="206">
        <f t="shared" si="182"/>
        <v>741</v>
      </c>
      <c r="K159" s="205">
        <v>20407</v>
      </c>
      <c r="L159" s="206">
        <f t="shared" si="183"/>
        <v>1976</v>
      </c>
      <c r="M159" s="206">
        <f t="shared" si="184"/>
        <v>215</v>
      </c>
      <c r="N159" s="206">
        <f t="shared" si="185"/>
        <v>741</v>
      </c>
      <c r="O159" s="206">
        <f t="shared" si="186"/>
        <v>741</v>
      </c>
      <c r="P159" s="205">
        <v>20407</v>
      </c>
      <c r="Q159" s="206">
        <f t="shared" si="187"/>
        <v>2082</v>
      </c>
      <c r="R159" s="206">
        <f t="shared" si="188"/>
        <v>196</v>
      </c>
      <c r="S159" s="206">
        <f t="shared" si="189"/>
        <v>706</v>
      </c>
      <c r="T159" s="206">
        <f t="shared" si="190"/>
        <v>889</v>
      </c>
      <c r="U159" s="205">
        <v>20407</v>
      </c>
      <c r="V159" s="206">
        <f t="shared" si="191"/>
        <v>1976</v>
      </c>
      <c r="W159" s="206">
        <f t="shared" si="192"/>
        <v>449</v>
      </c>
      <c r="X159" s="206">
        <f t="shared" si="193"/>
        <v>882</v>
      </c>
      <c r="Y159" s="206">
        <f t="shared" si="194"/>
        <v>741</v>
      </c>
      <c r="Z159" s="205">
        <v>20407</v>
      </c>
      <c r="AA159" s="206">
        <f t="shared" si="195"/>
        <v>2248</v>
      </c>
      <c r="AB159" s="206">
        <f t="shared" si="196"/>
        <v>767</v>
      </c>
      <c r="AC159" s="206">
        <f t="shared" si="197"/>
        <v>706</v>
      </c>
      <c r="AD159" s="206">
        <f t="shared" si="198"/>
        <v>1037</v>
      </c>
      <c r="AE159" s="205">
        <v>20407</v>
      </c>
      <c r="AF159" s="206">
        <f t="shared" si="199"/>
        <v>2082</v>
      </c>
      <c r="AG159" s="206">
        <f t="shared" si="200"/>
        <v>239</v>
      </c>
      <c r="AH159" s="206">
        <f t="shared" si="201"/>
        <v>812</v>
      </c>
      <c r="AI159" s="206">
        <f t="shared" si="202"/>
        <v>889</v>
      </c>
    </row>
    <row r="160" spans="1:35" x14ac:dyDescent="0.15">
      <c r="A160" s="205">
        <v>20408</v>
      </c>
      <c r="B160" s="206">
        <f t="shared" si="175"/>
        <v>2056</v>
      </c>
      <c r="C160" s="206">
        <f t="shared" si="176"/>
        <v>224</v>
      </c>
      <c r="D160" s="206">
        <f t="shared" si="177"/>
        <v>771</v>
      </c>
      <c r="E160" s="206">
        <f t="shared" si="178"/>
        <v>771</v>
      </c>
      <c r="F160" s="205">
        <v>20408</v>
      </c>
      <c r="G160" s="206">
        <f t="shared" si="179"/>
        <v>2056</v>
      </c>
      <c r="H160" s="206">
        <f t="shared" si="180"/>
        <v>121</v>
      </c>
      <c r="I160" s="206">
        <f t="shared" si="181"/>
        <v>844</v>
      </c>
      <c r="J160" s="206">
        <f t="shared" si="182"/>
        <v>771</v>
      </c>
      <c r="K160" s="205">
        <v>20408</v>
      </c>
      <c r="L160" s="206">
        <f t="shared" si="183"/>
        <v>2056</v>
      </c>
      <c r="M160" s="206">
        <f t="shared" si="184"/>
        <v>224</v>
      </c>
      <c r="N160" s="206">
        <f t="shared" si="185"/>
        <v>771</v>
      </c>
      <c r="O160" s="206">
        <f t="shared" si="186"/>
        <v>771</v>
      </c>
      <c r="P160" s="205">
        <v>20408</v>
      </c>
      <c r="Q160" s="206">
        <f t="shared" si="187"/>
        <v>2166</v>
      </c>
      <c r="R160" s="206">
        <f t="shared" si="188"/>
        <v>204</v>
      </c>
      <c r="S160" s="206">
        <f t="shared" si="189"/>
        <v>734</v>
      </c>
      <c r="T160" s="206">
        <f t="shared" si="190"/>
        <v>925</v>
      </c>
      <c r="U160" s="205">
        <v>20408</v>
      </c>
      <c r="V160" s="206">
        <f t="shared" si="191"/>
        <v>2056</v>
      </c>
      <c r="W160" s="206">
        <f t="shared" si="192"/>
        <v>467</v>
      </c>
      <c r="X160" s="206">
        <f t="shared" si="193"/>
        <v>918</v>
      </c>
      <c r="Y160" s="206">
        <f t="shared" si="194"/>
        <v>771</v>
      </c>
      <c r="Z160" s="205">
        <v>20408</v>
      </c>
      <c r="AA160" s="206">
        <f t="shared" si="195"/>
        <v>2339</v>
      </c>
      <c r="AB160" s="206">
        <f t="shared" si="196"/>
        <v>798</v>
      </c>
      <c r="AC160" s="206">
        <f t="shared" si="197"/>
        <v>734</v>
      </c>
      <c r="AD160" s="206">
        <f t="shared" si="198"/>
        <v>1079</v>
      </c>
      <c r="AE160" s="205">
        <v>20408</v>
      </c>
      <c r="AF160" s="206">
        <f t="shared" si="199"/>
        <v>2166</v>
      </c>
      <c r="AG160" s="206">
        <f t="shared" si="200"/>
        <v>248</v>
      </c>
      <c r="AH160" s="206">
        <f t="shared" si="201"/>
        <v>844</v>
      </c>
      <c r="AI160" s="206">
        <f t="shared" si="202"/>
        <v>925</v>
      </c>
    </row>
    <row r="161" spans="1:35" x14ac:dyDescent="0.15">
      <c r="A161" s="205">
        <v>20409</v>
      </c>
      <c r="B161" s="206">
        <f t="shared" si="175"/>
        <v>2136</v>
      </c>
      <c r="C161" s="206">
        <f t="shared" si="176"/>
        <v>232</v>
      </c>
      <c r="D161" s="206">
        <f t="shared" si="177"/>
        <v>801</v>
      </c>
      <c r="E161" s="206">
        <f t="shared" si="178"/>
        <v>801</v>
      </c>
      <c r="F161" s="205">
        <v>20409</v>
      </c>
      <c r="G161" s="206">
        <f t="shared" si="179"/>
        <v>2136</v>
      </c>
      <c r="H161" s="206">
        <f t="shared" si="180"/>
        <v>126</v>
      </c>
      <c r="I161" s="206">
        <f t="shared" si="181"/>
        <v>877</v>
      </c>
      <c r="J161" s="206">
        <f t="shared" si="182"/>
        <v>801</v>
      </c>
      <c r="K161" s="205">
        <v>20409</v>
      </c>
      <c r="L161" s="206">
        <f t="shared" si="183"/>
        <v>2136</v>
      </c>
      <c r="M161" s="206">
        <f t="shared" si="184"/>
        <v>232</v>
      </c>
      <c r="N161" s="206">
        <f t="shared" si="185"/>
        <v>801</v>
      </c>
      <c r="O161" s="206">
        <f t="shared" si="186"/>
        <v>801</v>
      </c>
      <c r="P161" s="205">
        <v>20409</v>
      </c>
      <c r="Q161" s="206">
        <f t="shared" si="187"/>
        <v>2251</v>
      </c>
      <c r="R161" s="206">
        <f t="shared" si="188"/>
        <v>212</v>
      </c>
      <c r="S161" s="206">
        <f t="shared" si="189"/>
        <v>763</v>
      </c>
      <c r="T161" s="206">
        <f t="shared" si="190"/>
        <v>961</v>
      </c>
      <c r="U161" s="205">
        <v>20409</v>
      </c>
      <c r="V161" s="206">
        <f t="shared" si="191"/>
        <v>2136</v>
      </c>
      <c r="W161" s="206">
        <f t="shared" si="192"/>
        <v>485</v>
      </c>
      <c r="X161" s="206">
        <f t="shared" si="193"/>
        <v>954</v>
      </c>
      <c r="Y161" s="206">
        <f t="shared" si="194"/>
        <v>801</v>
      </c>
      <c r="Z161" s="205">
        <v>20409</v>
      </c>
      <c r="AA161" s="206">
        <f t="shared" si="195"/>
        <v>2430</v>
      </c>
      <c r="AB161" s="206">
        <f t="shared" si="196"/>
        <v>829</v>
      </c>
      <c r="AC161" s="206">
        <f t="shared" si="197"/>
        <v>763</v>
      </c>
      <c r="AD161" s="206">
        <f t="shared" si="198"/>
        <v>1121</v>
      </c>
      <c r="AE161" s="205">
        <v>20409</v>
      </c>
      <c r="AF161" s="206">
        <f t="shared" si="199"/>
        <v>2251</v>
      </c>
      <c r="AG161" s="206">
        <f t="shared" si="200"/>
        <v>258</v>
      </c>
      <c r="AH161" s="206">
        <f t="shared" si="201"/>
        <v>877</v>
      </c>
      <c r="AI161" s="206">
        <f t="shared" si="202"/>
        <v>961</v>
      </c>
    </row>
    <row r="162" spans="1:35" x14ac:dyDescent="0.15">
      <c r="A162" s="205">
        <v>20410</v>
      </c>
      <c r="B162" s="206">
        <f t="shared" si="175"/>
        <v>2216</v>
      </c>
      <c r="C162" s="206">
        <f t="shared" si="176"/>
        <v>241</v>
      </c>
      <c r="D162" s="206">
        <f t="shared" si="177"/>
        <v>831</v>
      </c>
      <c r="E162" s="206">
        <f t="shared" si="178"/>
        <v>831</v>
      </c>
      <c r="F162" s="205">
        <v>20410</v>
      </c>
      <c r="G162" s="206">
        <f t="shared" si="179"/>
        <v>2216</v>
      </c>
      <c r="H162" s="206">
        <f t="shared" si="180"/>
        <v>131</v>
      </c>
      <c r="I162" s="206">
        <f t="shared" si="181"/>
        <v>910</v>
      </c>
      <c r="J162" s="206">
        <f t="shared" si="182"/>
        <v>831</v>
      </c>
      <c r="K162" s="205">
        <v>20410</v>
      </c>
      <c r="L162" s="206">
        <f t="shared" si="183"/>
        <v>2216</v>
      </c>
      <c r="M162" s="206">
        <f t="shared" si="184"/>
        <v>241</v>
      </c>
      <c r="N162" s="206">
        <f t="shared" si="185"/>
        <v>831</v>
      </c>
      <c r="O162" s="206">
        <f t="shared" si="186"/>
        <v>831</v>
      </c>
      <c r="P162" s="205">
        <v>20410</v>
      </c>
      <c r="Q162" s="206">
        <f t="shared" si="187"/>
        <v>2335</v>
      </c>
      <c r="R162" s="206">
        <f t="shared" si="188"/>
        <v>220</v>
      </c>
      <c r="S162" s="206">
        <f t="shared" si="189"/>
        <v>791</v>
      </c>
      <c r="T162" s="206">
        <f t="shared" si="190"/>
        <v>997</v>
      </c>
      <c r="U162" s="205">
        <v>20410</v>
      </c>
      <c r="V162" s="206">
        <f t="shared" si="191"/>
        <v>2216</v>
      </c>
      <c r="W162" s="206">
        <f t="shared" si="192"/>
        <v>503</v>
      </c>
      <c r="X162" s="206">
        <f t="shared" si="193"/>
        <v>989</v>
      </c>
      <c r="Y162" s="206">
        <f t="shared" si="194"/>
        <v>831</v>
      </c>
      <c r="Z162" s="205">
        <v>20410</v>
      </c>
      <c r="AA162" s="206">
        <f t="shared" si="195"/>
        <v>2521</v>
      </c>
      <c r="AB162" s="206">
        <f t="shared" si="196"/>
        <v>860</v>
      </c>
      <c r="AC162" s="206">
        <f t="shared" si="197"/>
        <v>791</v>
      </c>
      <c r="AD162" s="206">
        <f t="shared" si="198"/>
        <v>1163</v>
      </c>
      <c r="AE162" s="205">
        <v>20410</v>
      </c>
      <c r="AF162" s="206">
        <f t="shared" si="199"/>
        <v>2335</v>
      </c>
      <c r="AG162" s="206">
        <f t="shared" si="200"/>
        <v>268</v>
      </c>
      <c r="AH162" s="206">
        <f t="shared" si="201"/>
        <v>910</v>
      </c>
      <c r="AI162" s="206">
        <f t="shared" si="202"/>
        <v>997</v>
      </c>
    </row>
    <row r="163" spans="1:35" x14ac:dyDescent="0.15">
      <c r="A163" s="205">
        <v>20411</v>
      </c>
      <c r="B163" s="206">
        <f t="shared" si="175"/>
        <v>2296</v>
      </c>
      <c r="C163" s="206">
        <f t="shared" si="176"/>
        <v>250</v>
      </c>
      <c r="D163" s="206">
        <f t="shared" si="177"/>
        <v>861</v>
      </c>
      <c r="E163" s="206">
        <f t="shared" si="178"/>
        <v>861</v>
      </c>
      <c r="F163" s="205">
        <v>20411</v>
      </c>
      <c r="G163" s="206">
        <f t="shared" si="179"/>
        <v>2296</v>
      </c>
      <c r="H163" s="206">
        <f t="shared" si="180"/>
        <v>135</v>
      </c>
      <c r="I163" s="206">
        <f t="shared" si="181"/>
        <v>943</v>
      </c>
      <c r="J163" s="206">
        <f t="shared" si="182"/>
        <v>861</v>
      </c>
      <c r="K163" s="205">
        <v>20411</v>
      </c>
      <c r="L163" s="206">
        <f t="shared" si="183"/>
        <v>2296</v>
      </c>
      <c r="M163" s="206">
        <f t="shared" si="184"/>
        <v>250</v>
      </c>
      <c r="N163" s="206">
        <f t="shared" si="185"/>
        <v>861</v>
      </c>
      <c r="O163" s="206">
        <f t="shared" si="186"/>
        <v>861</v>
      </c>
      <c r="P163" s="205">
        <v>20411</v>
      </c>
      <c r="Q163" s="206">
        <f t="shared" si="187"/>
        <v>2419</v>
      </c>
      <c r="R163" s="206">
        <f t="shared" si="188"/>
        <v>228</v>
      </c>
      <c r="S163" s="206">
        <f t="shared" si="189"/>
        <v>820</v>
      </c>
      <c r="T163" s="206">
        <f t="shared" si="190"/>
        <v>1033</v>
      </c>
      <c r="U163" s="205">
        <v>20411</v>
      </c>
      <c r="V163" s="206">
        <f t="shared" si="191"/>
        <v>2296</v>
      </c>
      <c r="W163" s="206">
        <f t="shared" si="192"/>
        <v>521</v>
      </c>
      <c r="X163" s="206">
        <f t="shared" si="193"/>
        <v>1025</v>
      </c>
      <c r="Y163" s="206">
        <f t="shared" si="194"/>
        <v>861</v>
      </c>
      <c r="Z163" s="205">
        <v>20411</v>
      </c>
      <c r="AA163" s="206">
        <f t="shared" si="195"/>
        <v>2612</v>
      </c>
      <c r="AB163" s="206">
        <f t="shared" si="196"/>
        <v>891</v>
      </c>
      <c r="AC163" s="206">
        <f t="shared" si="197"/>
        <v>820</v>
      </c>
      <c r="AD163" s="206">
        <f t="shared" si="198"/>
        <v>1205</v>
      </c>
      <c r="AE163" s="205">
        <v>20411</v>
      </c>
      <c r="AF163" s="206">
        <f t="shared" si="199"/>
        <v>2419</v>
      </c>
      <c r="AG163" s="206">
        <f t="shared" si="200"/>
        <v>277</v>
      </c>
      <c r="AH163" s="206">
        <f t="shared" si="201"/>
        <v>943</v>
      </c>
      <c r="AI163" s="206">
        <f t="shared" si="202"/>
        <v>1033</v>
      </c>
    </row>
    <row r="164" spans="1:35" x14ac:dyDescent="0.15">
      <c r="A164" s="205">
        <v>20412</v>
      </c>
      <c r="B164" s="206">
        <f t="shared" si="175"/>
        <v>2376</v>
      </c>
      <c r="C164" s="206">
        <f t="shared" si="176"/>
        <v>258</v>
      </c>
      <c r="D164" s="206">
        <f t="shared" si="177"/>
        <v>891</v>
      </c>
      <c r="E164" s="206">
        <f t="shared" si="178"/>
        <v>891</v>
      </c>
      <c r="F164" s="205">
        <v>20412</v>
      </c>
      <c r="G164" s="206">
        <f t="shared" si="179"/>
        <v>2376</v>
      </c>
      <c r="H164" s="206">
        <f t="shared" si="180"/>
        <v>140</v>
      </c>
      <c r="I164" s="206">
        <f t="shared" si="181"/>
        <v>976</v>
      </c>
      <c r="J164" s="206">
        <f t="shared" si="182"/>
        <v>891</v>
      </c>
      <c r="K164" s="205">
        <v>20412</v>
      </c>
      <c r="L164" s="206">
        <f t="shared" si="183"/>
        <v>2376</v>
      </c>
      <c r="M164" s="206">
        <f t="shared" si="184"/>
        <v>258</v>
      </c>
      <c r="N164" s="206">
        <f t="shared" si="185"/>
        <v>891</v>
      </c>
      <c r="O164" s="206">
        <f t="shared" si="186"/>
        <v>891</v>
      </c>
      <c r="P164" s="205">
        <v>20412</v>
      </c>
      <c r="Q164" s="206">
        <f t="shared" si="187"/>
        <v>2504</v>
      </c>
      <c r="R164" s="206">
        <f t="shared" si="188"/>
        <v>236</v>
      </c>
      <c r="S164" s="206">
        <f t="shared" si="189"/>
        <v>849</v>
      </c>
      <c r="T164" s="206">
        <f t="shared" si="190"/>
        <v>1069</v>
      </c>
      <c r="U164" s="205">
        <v>20412</v>
      </c>
      <c r="V164" s="206">
        <f t="shared" si="191"/>
        <v>2376</v>
      </c>
      <c r="W164" s="206">
        <f t="shared" si="192"/>
        <v>540</v>
      </c>
      <c r="X164" s="206">
        <f t="shared" si="193"/>
        <v>1061</v>
      </c>
      <c r="Y164" s="206">
        <f t="shared" si="194"/>
        <v>891</v>
      </c>
      <c r="Z164" s="205">
        <v>20412</v>
      </c>
      <c r="AA164" s="206">
        <f t="shared" si="195"/>
        <v>2703</v>
      </c>
      <c r="AB164" s="206">
        <f t="shared" si="196"/>
        <v>922</v>
      </c>
      <c r="AC164" s="206">
        <f t="shared" si="197"/>
        <v>849</v>
      </c>
      <c r="AD164" s="206">
        <f t="shared" si="198"/>
        <v>1247</v>
      </c>
      <c r="AE164" s="205">
        <v>20412</v>
      </c>
      <c r="AF164" s="206">
        <f t="shared" si="199"/>
        <v>2504</v>
      </c>
      <c r="AG164" s="206">
        <f t="shared" si="200"/>
        <v>287</v>
      </c>
      <c r="AH164" s="206">
        <f t="shared" si="201"/>
        <v>976</v>
      </c>
      <c r="AI164" s="206">
        <f t="shared" si="202"/>
        <v>1069</v>
      </c>
    </row>
    <row r="165" spans="1:35" x14ac:dyDescent="0.15">
      <c r="A165" s="205">
        <v>20413</v>
      </c>
      <c r="B165" s="206">
        <f t="shared" si="175"/>
        <v>2464</v>
      </c>
      <c r="C165" s="206">
        <f t="shared" si="176"/>
        <v>268</v>
      </c>
      <c r="D165" s="206">
        <f t="shared" si="177"/>
        <v>924</v>
      </c>
      <c r="E165" s="206">
        <f t="shared" si="178"/>
        <v>924</v>
      </c>
      <c r="F165" s="205">
        <v>20413</v>
      </c>
      <c r="G165" s="206">
        <f t="shared" si="179"/>
        <v>2464</v>
      </c>
      <c r="H165" s="206">
        <f t="shared" si="180"/>
        <v>145</v>
      </c>
      <c r="I165" s="206">
        <f t="shared" si="181"/>
        <v>1012</v>
      </c>
      <c r="J165" s="206">
        <f t="shared" si="182"/>
        <v>924</v>
      </c>
      <c r="K165" s="205">
        <v>20413</v>
      </c>
      <c r="L165" s="206">
        <f t="shared" si="183"/>
        <v>2464</v>
      </c>
      <c r="M165" s="206">
        <f t="shared" si="184"/>
        <v>268</v>
      </c>
      <c r="N165" s="206">
        <f t="shared" si="185"/>
        <v>924</v>
      </c>
      <c r="O165" s="206">
        <f t="shared" si="186"/>
        <v>924</v>
      </c>
      <c r="P165" s="205">
        <v>20413</v>
      </c>
      <c r="Q165" s="206">
        <f t="shared" si="187"/>
        <v>2596</v>
      </c>
      <c r="R165" s="206">
        <f t="shared" si="188"/>
        <v>245</v>
      </c>
      <c r="S165" s="206">
        <f t="shared" si="189"/>
        <v>880</v>
      </c>
      <c r="T165" s="206">
        <f t="shared" si="190"/>
        <v>1109</v>
      </c>
      <c r="U165" s="205">
        <v>20413</v>
      </c>
      <c r="V165" s="206">
        <f t="shared" si="191"/>
        <v>2464</v>
      </c>
      <c r="W165" s="206">
        <f t="shared" si="192"/>
        <v>560</v>
      </c>
      <c r="X165" s="206">
        <f t="shared" si="193"/>
        <v>1100</v>
      </c>
      <c r="Y165" s="206">
        <f t="shared" si="194"/>
        <v>924</v>
      </c>
      <c r="Z165" s="205">
        <v>20413</v>
      </c>
      <c r="AA165" s="206">
        <f t="shared" si="195"/>
        <v>2803</v>
      </c>
      <c r="AB165" s="206">
        <f t="shared" si="196"/>
        <v>956</v>
      </c>
      <c r="AC165" s="206">
        <f t="shared" si="197"/>
        <v>880</v>
      </c>
      <c r="AD165" s="206">
        <f t="shared" si="198"/>
        <v>1294</v>
      </c>
      <c r="AE165" s="205">
        <v>20413</v>
      </c>
      <c r="AF165" s="206">
        <f t="shared" si="199"/>
        <v>2596</v>
      </c>
      <c r="AG165" s="206">
        <f t="shared" si="200"/>
        <v>297</v>
      </c>
      <c r="AH165" s="206">
        <f t="shared" si="201"/>
        <v>1012</v>
      </c>
      <c r="AI165" s="206">
        <f t="shared" si="202"/>
        <v>1109</v>
      </c>
    </row>
    <row r="166" spans="1:35" x14ac:dyDescent="0.15">
      <c r="A166" s="205">
        <v>20414</v>
      </c>
      <c r="B166" s="206">
        <f t="shared" si="175"/>
        <v>2552</v>
      </c>
      <c r="C166" s="206">
        <f t="shared" si="176"/>
        <v>278</v>
      </c>
      <c r="D166" s="206">
        <f t="shared" si="177"/>
        <v>957</v>
      </c>
      <c r="E166" s="206">
        <f t="shared" si="178"/>
        <v>957</v>
      </c>
      <c r="F166" s="205">
        <v>20414</v>
      </c>
      <c r="G166" s="206">
        <f t="shared" si="179"/>
        <v>2552</v>
      </c>
      <c r="H166" s="206">
        <f t="shared" si="180"/>
        <v>150</v>
      </c>
      <c r="I166" s="206">
        <f t="shared" si="181"/>
        <v>1048</v>
      </c>
      <c r="J166" s="206">
        <f t="shared" si="182"/>
        <v>957</v>
      </c>
      <c r="K166" s="205">
        <v>20414</v>
      </c>
      <c r="L166" s="206">
        <f t="shared" si="183"/>
        <v>2552</v>
      </c>
      <c r="M166" s="206">
        <f t="shared" si="184"/>
        <v>278</v>
      </c>
      <c r="N166" s="206">
        <f t="shared" si="185"/>
        <v>957</v>
      </c>
      <c r="O166" s="206">
        <f t="shared" si="186"/>
        <v>957</v>
      </c>
      <c r="P166" s="205">
        <v>20414</v>
      </c>
      <c r="Q166" s="206">
        <f t="shared" si="187"/>
        <v>2689</v>
      </c>
      <c r="R166" s="206">
        <f t="shared" si="188"/>
        <v>254</v>
      </c>
      <c r="S166" s="206">
        <f t="shared" si="189"/>
        <v>911</v>
      </c>
      <c r="T166" s="206">
        <f t="shared" si="190"/>
        <v>1148</v>
      </c>
      <c r="U166" s="205">
        <v>20414</v>
      </c>
      <c r="V166" s="206">
        <f t="shared" si="191"/>
        <v>2552</v>
      </c>
      <c r="W166" s="206">
        <f t="shared" si="192"/>
        <v>580</v>
      </c>
      <c r="X166" s="206">
        <f t="shared" si="193"/>
        <v>1139</v>
      </c>
      <c r="Y166" s="206">
        <f t="shared" si="194"/>
        <v>957</v>
      </c>
      <c r="Z166" s="205">
        <v>20414</v>
      </c>
      <c r="AA166" s="206">
        <f t="shared" si="195"/>
        <v>2903</v>
      </c>
      <c r="AB166" s="206">
        <f t="shared" si="196"/>
        <v>991</v>
      </c>
      <c r="AC166" s="206">
        <f t="shared" si="197"/>
        <v>911</v>
      </c>
      <c r="AD166" s="206">
        <f t="shared" si="198"/>
        <v>1340</v>
      </c>
      <c r="AE166" s="205">
        <v>20414</v>
      </c>
      <c r="AF166" s="206">
        <f t="shared" si="199"/>
        <v>2689</v>
      </c>
      <c r="AG166" s="206">
        <f t="shared" si="200"/>
        <v>308</v>
      </c>
      <c r="AH166" s="206">
        <f t="shared" si="201"/>
        <v>1048</v>
      </c>
      <c r="AI166" s="206">
        <f t="shared" si="202"/>
        <v>1148</v>
      </c>
    </row>
    <row r="167" spans="1:35" x14ac:dyDescent="0.15">
      <c r="A167" s="205">
        <v>20415</v>
      </c>
      <c r="B167" s="206">
        <f t="shared" si="175"/>
        <v>2640</v>
      </c>
      <c r="C167" s="206">
        <f t="shared" si="176"/>
        <v>287</v>
      </c>
      <c r="D167" s="206">
        <f t="shared" si="177"/>
        <v>990</v>
      </c>
      <c r="E167" s="206">
        <f t="shared" si="178"/>
        <v>990</v>
      </c>
      <c r="F167" s="205">
        <v>20415</v>
      </c>
      <c r="G167" s="206">
        <f t="shared" si="179"/>
        <v>2640</v>
      </c>
      <c r="H167" s="206">
        <f t="shared" si="180"/>
        <v>156</v>
      </c>
      <c r="I167" s="206">
        <f t="shared" si="181"/>
        <v>1084</v>
      </c>
      <c r="J167" s="206">
        <f t="shared" si="182"/>
        <v>990</v>
      </c>
      <c r="K167" s="205">
        <v>20415</v>
      </c>
      <c r="L167" s="206">
        <f t="shared" si="183"/>
        <v>2640</v>
      </c>
      <c r="M167" s="206">
        <f t="shared" si="184"/>
        <v>287</v>
      </c>
      <c r="N167" s="206">
        <f t="shared" si="185"/>
        <v>990</v>
      </c>
      <c r="O167" s="206">
        <f t="shared" si="186"/>
        <v>990</v>
      </c>
      <c r="P167" s="205">
        <v>20415</v>
      </c>
      <c r="Q167" s="206">
        <f t="shared" si="187"/>
        <v>2782</v>
      </c>
      <c r="R167" s="206">
        <f t="shared" si="188"/>
        <v>262</v>
      </c>
      <c r="S167" s="206">
        <f t="shared" si="189"/>
        <v>943</v>
      </c>
      <c r="T167" s="206">
        <f t="shared" si="190"/>
        <v>1188</v>
      </c>
      <c r="U167" s="205">
        <v>20415</v>
      </c>
      <c r="V167" s="206">
        <f t="shared" si="191"/>
        <v>2640</v>
      </c>
      <c r="W167" s="206">
        <f t="shared" si="192"/>
        <v>600</v>
      </c>
      <c r="X167" s="206">
        <f t="shared" si="193"/>
        <v>1179</v>
      </c>
      <c r="Y167" s="206">
        <f t="shared" si="194"/>
        <v>990</v>
      </c>
      <c r="Z167" s="205">
        <v>20415</v>
      </c>
      <c r="AA167" s="206">
        <f t="shared" si="195"/>
        <v>3004</v>
      </c>
      <c r="AB167" s="206">
        <f t="shared" si="196"/>
        <v>1025</v>
      </c>
      <c r="AC167" s="206">
        <f t="shared" si="197"/>
        <v>943</v>
      </c>
      <c r="AD167" s="206">
        <f t="shared" si="198"/>
        <v>1386</v>
      </c>
      <c r="AE167" s="205">
        <v>20415</v>
      </c>
      <c r="AF167" s="206">
        <f t="shared" si="199"/>
        <v>2782</v>
      </c>
      <c r="AG167" s="206">
        <f t="shared" si="200"/>
        <v>319</v>
      </c>
      <c r="AH167" s="206">
        <f t="shared" si="201"/>
        <v>1084</v>
      </c>
      <c r="AI167" s="206">
        <f t="shared" si="202"/>
        <v>1188</v>
      </c>
    </row>
    <row r="168" spans="1:35" x14ac:dyDescent="0.15">
      <c r="A168" s="205">
        <v>20416</v>
      </c>
      <c r="B168" s="206">
        <f t="shared" si="175"/>
        <v>2728</v>
      </c>
      <c r="C168" s="206">
        <f t="shared" si="176"/>
        <v>297</v>
      </c>
      <c r="D168" s="206">
        <f t="shared" si="177"/>
        <v>1023</v>
      </c>
      <c r="E168" s="206">
        <f t="shared" si="178"/>
        <v>1023</v>
      </c>
      <c r="F168" s="205">
        <v>20416</v>
      </c>
      <c r="G168" s="206">
        <f t="shared" si="179"/>
        <v>2728</v>
      </c>
      <c r="H168" s="206">
        <f t="shared" si="180"/>
        <v>161</v>
      </c>
      <c r="I168" s="206">
        <f t="shared" si="181"/>
        <v>1120</v>
      </c>
      <c r="J168" s="206">
        <f t="shared" si="182"/>
        <v>1023</v>
      </c>
      <c r="K168" s="205">
        <v>20416</v>
      </c>
      <c r="L168" s="206">
        <f t="shared" si="183"/>
        <v>2728</v>
      </c>
      <c r="M168" s="206">
        <f t="shared" si="184"/>
        <v>297</v>
      </c>
      <c r="N168" s="206">
        <f t="shared" si="185"/>
        <v>1023</v>
      </c>
      <c r="O168" s="206">
        <f t="shared" si="186"/>
        <v>1023</v>
      </c>
      <c r="P168" s="205">
        <v>20416</v>
      </c>
      <c r="Q168" s="206">
        <f t="shared" si="187"/>
        <v>2875</v>
      </c>
      <c r="R168" s="206">
        <f t="shared" si="188"/>
        <v>271</v>
      </c>
      <c r="S168" s="206">
        <f t="shared" si="189"/>
        <v>974</v>
      </c>
      <c r="T168" s="206">
        <f t="shared" si="190"/>
        <v>1228</v>
      </c>
      <c r="U168" s="205">
        <v>20416</v>
      </c>
      <c r="V168" s="206">
        <f t="shared" si="191"/>
        <v>2728</v>
      </c>
      <c r="W168" s="206">
        <f t="shared" si="192"/>
        <v>620</v>
      </c>
      <c r="X168" s="206">
        <f t="shared" si="193"/>
        <v>1218</v>
      </c>
      <c r="Y168" s="206">
        <f t="shared" si="194"/>
        <v>1023</v>
      </c>
      <c r="Z168" s="205">
        <v>20416</v>
      </c>
      <c r="AA168" s="206">
        <f t="shared" si="195"/>
        <v>3104</v>
      </c>
      <c r="AB168" s="206">
        <f t="shared" si="196"/>
        <v>1059</v>
      </c>
      <c r="AC168" s="206">
        <f t="shared" si="197"/>
        <v>974</v>
      </c>
      <c r="AD168" s="206">
        <f t="shared" si="198"/>
        <v>1432</v>
      </c>
      <c r="AE168" s="205">
        <v>20416</v>
      </c>
      <c r="AF168" s="206">
        <f t="shared" si="199"/>
        <v>2875</v>
      </c>
      <c r="AG168" s="206">
        <f t="shared" si="200"/>
        <v>329</v>
      </c>
      <c r="AH168" s="206">
        <f t="shared" si="201"/>
        <v>1120</v>
      </c>
      <c r="AI168" s="206">
        <f t="shared" si="202"/>
        <v>1228</v>
      </c>
    </row>
    <row r="169" spans="1:35" x14ac:dyDescent="0.15">
      <c r="A169" s="205">
        <v>20417</v>
      </c>
      <c r="B169" s="206">
        <f t="shared" si="175"/>
        <v>2816</v>
      </c>
      <c r="C169" s="206">
        <f t="shared" si="176"/>
        <v>306</v>
      </c>
      <c r="D169" s="206">
        <f t="shared" si="177"/>
        <v>1056</v>
      </c>
      <c r="E169" s="206">
        <f t="shared" si="178"/>
        <v>1056</v>
      </c>
      <c r="F169" s="205">
        <v>20417</v>
      </c>
      <c r="G169" s="206">
        <f t="shared" si="179"/>
        <v>2816</v>
      </c>
      <c r="H169" s="206">
        <f t="shared" si="180"/>
        <v>166</v>
      </c>
      <c r="I169" s="206">
        <f t="shared" si="181"/>
        <v>1157</v>
      </c>
      <c r="J169" s="206">
        <f t="shared" si="182"/>
        <v>1056</v>
      </c>
      <c r="K169" s="205">
        <v>20417</v>
      </c>
      <c r="L169" s="206">
        <f t="shared" si="183"/>
        <v>2816</v>
      </c>
      <c r="M169" s="206">
        <f t="shared" si="184"/>
        <v>306</v>
      </c>
      <c r="N169" s="206">
        <f t="shared" si="185"/>
        <v>1056</v>
      </c>
      <c r="O169" s="206">
        <f t="shared" si="186"/>
        <v>1056</v>
      </c>
      <c r="P169" s="205">
        <v>20417</v>
      </c>
      <c r="Q169" s="206">
        <f t="shared" si="187"/>
        <v>2967</v>
      </c>
      <c r="R169" s="206">
        <f t="shared" si="188"/>
        <v>280</v>
      </c>
      <c r="S169" s="206">
        <f t="shared" si="189"/>
        <v>1006</v>
      </c>
      <c r="T169" s="206">
        <f t="shared" si="190"/>
        <v>1267</v>
      </c>
      <c r="U169" s="205">
        <v>20417</v>
      </c>
      <c r="V169" s="206">
        <f t="shared" si="191"/>
        <v>2816</v>
      </c>
      <c r="W169" s="206">
        <f t="shared" si="192"/>
        <v>640</v>
      </c>
      <c r="X169" s="206">
        <f t="shared" si="193"/>
        <v>1257</v>
      </c>
      <c r="Y169" s="206">
        <f t="shared" si="194"/>
        <v>1056</v>
      </c>
      <c r="Z169" s="205">
        <v>20417</v>
      </c>
      <c r="AA169" s="206">
        <f t="shared" si="195"/>
        <v>3204</v>
      </c>
      <c r="AB169" s="206">
        <f t="shared" si="196"/>
        <v>1093</v>
      </c>
      <c r="AC169" s="206">
        <f t="shared" si="197"/>
        <v>1006</v>
      </c>
      <c r="AD169" s="206">
        <f t="shared" si="198"/>
        <v>1478</v>
      </c>
      <c r="AE169" s="205">
        <v>20417</v>
      </c>
      <c r="AF169" s="206">
        <f t="shared" si="199"/>
        <v>2967</v>
      </c>
      <c r="AG169" s="206">
        <f t="shared" si="200"/>
        <v>340</v>
      </c>
      <c r="AH169" s="206">
        <f t="shared" si="201"/>
        <v>1157</v>
      </c>
      <c r="AI169" s="206">
        <f t="shared" si="202"/>
        <v>1267</v>
      </c>
    </row>
    <row r="170" spans="1:35" x14ac:dyDescent="0.15">
      <c r="A170" s="205">
        <v>20418</v>
      </c>
      <c r="B170" s="206">
        <f t="shared" si="175"/>
        <v>2904</v>
      </c>
      <c r="C170" s="206">
        <f t="shared" si="176"/>
        <v>316</v>
      </c>
      <c r="D170" s="206">
        <f t="shared" si="177"/>
        <v>1089</v>
      </c>
      <c r="E170" s="206">
        <f t="shared" si="178"/>
        <v>1089</v>
      </c>
      <c r="F170" s="205">
        <v>20418</v>
      </c>
      <c r="G170" s="206">
        <f t="shared" si="179"/>
        <v>2904</v>
      </c>
      <c r="H170" s="206">
        <f t="shared" si="180"/>
        <v>171</v>
      </c>
      <c r="I170" s="206">
        <f t="shared" si="181"/>
        <v>1193</v>
      </c>
      <c r="J170" s="206">
        <f t="shared" si="182"/>
        <v>1089</v>
      </c>
      <c r="K170" s="205">
        <v>20418</v>
      </c>
      <c r="L170" s="206">
        <f t="shared" si="183"/>
        <v>2904</v>
      </c>
      <c r="M170" s="206">
        <f t="shared" si="184"/>
        <v>316</v>
      </c>
      <c r="N170" s="206">
        <f t="shared" si="185"/>
        <v>1089</v>
      </c>
      <c r="O170" s="206">
        <f t="shared" si="186"/>
        <v>1089</v>
      </c>
      <c r="P170" s="205">
        <v>20418</v>
      </c>
      <c r="Q170" s="206">
        <f t="shared" si="187"/>
        <v>3060</v>
      </c>
      <c r="R170" s="206">
        <f t="shared" si="188"/>
        <v>288</v>
      </c>
      <c r="S170" s="206">
        <f t="shared" si="189"/>
        <v>1037</v>
      </c>
      <c r="T170" s="206">
        <f t="shared" si="190"/>
        <v>1307</v>
      </c>
      <c r="U170" s="205">
        <v>20418</v>
      </c>
      <c r="V170" s="206">
        <f t="shared" si="191"/>
        <v>2904</v>
      </c>
      <c r="W170" s="206">
        <f t="shared" si="192"/>
        <v>660</v>
      </c>
      <c r="X170" s="206">
        <f t="shared" si="193"/>
        <v>1296</v>
      </c>
      <c r="Y170" s="206">
        <f t="shared" si="194"/>
        <v>1089</v>
      </c>
      <c r="Z170" s="205">
        <v>20418</v>
      </c>
      <c r="AA170" s="206">
        <f t="shared" si="195"/>
        <v>3304</v>
      </c>
      <c r="AB170" s="206">
        <f t="shared" si="196"/>
        <v>1127</v>
      </c>
      <c r="AC170" s="206">
        <f t="shared" si="197"/>
        <v>1037</v>
      </c>
      <c r="AD170" s="206">
        <f t="shared" si="198"/>
        <v>1525</v>
      </c>
      <c r="AE170" s="205">
        <v>20418</v>
      </c>
      <c r="AF170" s="206">
        <f t="shared" si="199"/>
        <v>3060</v>
      </c>
      <c r="AG170" s="206">
        <f t="shared" si="200"/>
        <v>351</v>
      </c>
      <c r="AH170" s="206">
        <f t="shared" si="201"/>
        <v>1193</v>
      </c>
      <c r="AI170" s="206">
        <f t="shared" si="202"/>
        <v>1307</v>
      </c>
    </row>
    <row r="171" spans="1:35" x14ac:dyDescent="0.15">
      <c r="A171" s="205">
        <v>20501</v>
      </c>
      <c r="B171" s="206">
        <f t="shared" si="175"/>
        <v>1944</v>
      </c>
      <c r="C171" s="206">
        <f t="shared" si="176"/>
        <v>211</v>
      </c>
      <c r="D171" s="206">
        <f t="shared" si="177"/>
        <v>729</v>
      </c>
      <c r="E171" s="206">
        <f t="shared" si="178"/>
        <v>729</v>
      </c>
      <c r="F171" s="205">
        <v>20501</v>
      </c>
      <c r="G171" s="206">
        <f t="shared" si="179"/>
        <v>1944</v>
      </c>
      <c r="H171" s="206">
        <f t="shared" si="180"/>
        <v>115</v>
      </c>
      <c r="I171" s="206">
        <f t="shared" si="181"/>
        <v>798</v>
      </c>
      <c r="J171" s="206">
        <f t="shared" si="182"/>
        <v>729</v>
      </c>
      <c r="K171" s="205">
        <v>20501</v>
      </c>
      <c r="L171" s="206">
        <f t="shared" si="183"/>
        <v>1944</v>
      </c>
      <c r="M171" s="206">
        <f t="shared" si="184"/>
        <v>211</v>
      </c>
      <c r="N171" s="206">
        <f t="shared" si="185"/>
        <v>729</v>
      </c>
      <c r="O171" s="206">
        <f t="shared" si="186"/>
        <v>729</v>
      </c>
      <c r="P171" s="205">
        <v>20501</v>
      </c>
      <c r="Q171" s="206">
        <f t="shared" si="187"/>
        <v>2048</v>
      </c>
      <c r="R171" s="206">
        <f t="shared" si="188"/>
        <v>193</v>
      </c>
      <c r="S171" s="206">
        <f t="shared" si="189"/>
        <v>694</v>
      </c>
      <c r="T171" s="206">
        <f t="shared" si="190"/>
        <v>875</v>
      </c>
      <c r="U171" s="205">
        <v>20501</v>
      </c>
      <c r="V171" s="206">
        <f t="shared" si="191"/>
        <v>1944</v>
      </c>
      <c r="W171" s="206">
        <f t="shared" si="192"/>
        <v>442</v>
      </c>
      <c r="X171" s="206">
        <f t="shared" si="193"/>
        <v>868</v>
      </c>
      <c r="Y171" s="206">
        <f t="shared" si="194"/>
        <v>729</v>
      </c>
      <c r="Z171" s="205">
        <v>20501</v>
      </c>
      <c r="AA171" s="206">
        <f t="shared" si="195"/>
        <v>2212</v>
      </c>
      <c r="AB171" s="206">
        <f t="shared" si="196"/>
        <v>755</v>
      </c>
      <c r="AC171" s="206">
        <f t="shared" si="197"/>
        <v>694</v>
      </c>
      <c r="AD171" s="206">
        <f t="shared" si="198"/>
        <v>1021</v>
      </c>
      <c r="AE171" s="205">
        <v>20501</v>
      </c>
      <c r="AF171" s="206">
        <f t="shared" si="199"/>
        <v>2048</v>
      </c>
      <c r="AG171" s="206">
        <f t="shared" si="200"/>
        <v>235</v>
      </c>
      <c r="AH171" s="206">
        <f t="shared" si="201"/>
        <v>798</v>
      </c>
      <c r="AI171" s="206">
        <f t="shared" si="202"/>
        <v>875</v>
      </c>
    </row>
    <row r="172" spans="1:35" x14ac:dyDescent="0.15">
      <c r="A172" s="205">
        <v>20502</v>
      </c>
      <c r="B172" s="206">
        <f t="shared" si="175"/>
        <v>2032</v>
      </c>
      <c r="C172" s="206">
        <f t="shared" si="176"/>
        <v>221</v>
      </c>
      <c r="D172" s="206">
        <f t="shared" si="177"/>
        <v>762</v>
      </c>
      <c r="E172" s="206">
        <f t="shared" si="178"/>
        <v>762</v>
      </c>
      <c r="F172" s="205">
        <v>20502</v>
      </c>
      <c r="G172" s="206">
        <f t="shared" si="179"/>
        <v>2032</v>
      </c>
      <c r="H172" s="206">
        <f t="shared" si="180"/>
        <v>120</v>
      </c>
      <c r="I172" s="206">
        <f t="shared" si="181"/>
        <v>835</v>
      </c>
      <c r="J172" s="206">
        <f t="shared" si="182"/>
        <v>762</v>
      </c>
      <c r="K172" s="205">
        <v>20502</v>
      </c>
      <c r="L172" s="206">
        <f t="shared" si="183"/>
        <v>2032</v>
      </c>
      <c r="M172" s="206">
        <f t="shared" si="184"/>
        <v>221</v>
      </c>
      <c r="N172" s="206">
        <f t="shared" si="185"/>
        <v>762</v>
      </c>
      <c r="O172" s="206">
        <f t="shared" si="186"/>
        <v>762</v>
      </c>
      <c r="P172" s="205">
        <v>20502</v>
      </c>
      <c r="Q172" s="206">
        <f t="shared" si="187"/>
        <v>2141</v>
      </c>
      <c r="R172" s="206">
        <f t="shared" si="188"/>
        <v>202</v>
      </c>
      <c r="S172" s="206">
        <f t="shared" si="189"/>
        <v>726</v>
      </c>
      <c r="T172" s="206">
        <f t="shared" si="190"/>
        <v>914</v>
      </c>
      <c r="U172" s="205">
        <v>20502</v>
      </c>
      <c r="V172" s="206">
        <f t="shared" si="191"/>
        <v>2032</v>
      </c>
      <c r="W172" s="206">
        <f t="shared" si="192"/>
        <v>462</v>
      </c>
      <c r="X172" s="206">
        <f t="shared" si="193"/>
        <v>907</v>
      </c>
      <c r="Y172" s="206">
        <f t="shared" si="194"/>
        <v>762</v>
      </c>
      <c r="Z172" s="205">
        <v>20502</v>
      </c>
      <c r="AA172" s="206">
        <f t="shared" si="195"/>
        <v>2312</v>
      </c>
      <c r="AB172" s="206">
        <f t="shared" si="196"/>
        <v>789</v>
      </c>
      <c r="AC172" s="206">
        <f t="shared" si="197"/>
        <v>726</v>
      </c>
      <c r="AD172" s="206">
        <f t="shared" si="198"/>
        <v>1067</v>
      </c>
      <c r="AE172" s="205">
        <v>20502</v>
      </c>
      <c r="AF172" s="206">
        <f t="shared" si="199"/>
        <v>2141</v>
      </c>
      <c r="AG172" s="206">
        <f t="shared" si="200"/>
        <v>245</v>
      </c>
      <c r="AH172" s="206">
        <f t="shared" si="201"/>
        <v>835</v>
      </c>
      <c r="AI172" s="206">
        <f t="shared" si="202"/>
        <v>914</v>
      </c>
    </row>
    <row r="173" spans="1:35" x14ac:dyDescent="0.15">
      <c r="A173" s="205">
        <v>20503</v>
      </c>
      <c r="B173" s="206">
        <f t="shared" si="175"/>
        <v>2120</v>
      </c>
      <c r="C173" s="206">
        <f t="shared" si="176"/>
        <v>231</v>
      </c>
      <c r="D173" s="206">
        <f t="shared" si="177"/>
        <v>795</v>
      </c>
      <c r="E173" s="206">
        <f t="shared" si="178"/>
        <v>795</v>
      </c>
      <c r="F173" s="205">
        <v>20503</v>
      </c>
      <c r="G173" s="206">
        <f t="shared" si="179"/>
        <v>2120</v>
      </c>
      <c r="H173" s="206">
        <f t="shared" si="180"/>
        <v>125</v>
      </c>
      <c r="I173" s="206">
        <f t="shared" si="181"/>
        <v>871</v>
      </c>
      <c r="J173" s="206">
        <f t="shared" si="182"/>
        <v>795</v>
      </c>
      <c r="K173" s="205">
        <v>20503</v>
      </c>
      <c r="L173" s="206">
        <f t="shared" si="183"/>
        <v>2120</v>
      </c>
      <c r="M173" s="206">
        <f t="shared" si="184"/>
        <v>231</v>
      </c>
      <c r="N173" s="206">
        <f t="shared" si="185"/>
        <v>795</v>
      </c>
      <c r="O173" s="206">
        <f t="shared" si="186"/>
        <v>795</v>
      </c>
      <c r="P173" s="205">
        <v>20503</v>
      </c>
      <c r="Q173" s="206">
        <f t="shared" si="187"/>
        <v>2234</v>
      </c>
      <c r="R173" s="206">
        <f t="shared" si="188"/>
        <v>211</v>
      </c>
      <c r="S173" s="206">
        <f t="shared" si="189"/>
        <v>757</v>
      </c>
      <c r="T173" s="206">
        <f t="shared" si="190"/>
        <v>954</v>
      </c>
      <c r="U173" s="205">
        <v>20503</v>
      </c>
      <c r="V173" s="206">
        <f t="shared" si="191"/>
        <v>2120</v>
      </c>
      <c r="W173" s="206">
        <f t="shared" si="192"/>
        <v>481</v>
      </c>
      <c r="X173" s="206">
        <f t="shared" si="193"/>
        <v>946</v>
      </c>
      <c r="Y173" s="206">
        <f t="shared" si="194"/>
        <v>795</v>
      </c>
      <c r="Z173" s="205">
        <v>20503</v>
      </c>
      <c r="AA173" s="206">
        <f t="shared" si="195"/>
        <v>2412</v>
      </c>
      <c r="AB173" s="206">
        <f t="shared" si="196"/>
        <v>823</v>
      </c>
      <c r="AC173" s="206">
        <f t="shared" si="197"/>
        <v>757</v>
      </c>
      <c r="AD173" s="206">
        <f t="shared" si="198"/>
        <v>1113</v>
      </c>
      <c r="AE173" s="205">
        <v>20503</v>
      </c>
      <c r="AF173" s="206">
        <f t="shared" si="199"/>
        <v>2234</v>
      </c>
      <c r="AG173" s="206">
        <f t="shared" si="200"/>
        <v>256</v>
      </c>
      <c r="AH173" s="206">
        <f t="shared" si="201"/>
        <v>871</v>
      </c>
      <c r="AI173" s="206">
        <f t="shared" si="202"/>
        <v>954</v>
      </c>
    </row>
    <row r="174" spans="1:35" x14ac:dyDescent="0.15">
      <c r="A174" s="205">
        <v>20504</v>
      </c>
      <c r="B174" s="206">
        <f t="shared" si="175"/>
        <v>2208</v>
      </c>
      <c r="C174" s="206">
        <f t="shared" si="176"/>
        <v>240</v>
      </c>
      <c r="D174" s="206">
        <f t="shared" si="177"/>
        <v>828</v>
      </c>
      <c r="E174" s="206">
        <f t="shared" si="178"/>
        <v>828</v>
      </c>
      <c r="F174" s="205">
        <v>20504</v>
      </c>
      <c r="G174" s="206">
        <f t="shared" si="179"/>
        <v>2208</v>
      </c>
      <c r="H174" s="206">
        <f t="shared" si="180"/>
        <v>130</v>
      </c>
      <c r="I174" s="206">
        <f t="shared" si="181"/>
        <v>907</v>
      </c>
      <c r="J174" s="206">
        <f t="shared" si="182"/>
        <v>828</v>
      </c>
      <c r="K174" s="205">
        <v>20504</v>
      </c>
      <c r="L174" s="206">
        <f t="shared" si="183"/>
        <v>2208</v>
      </c>
      <c r="M174" s="206">
        <f t="shared" si="184"/>
        <v>240</v>
      </c>
      <c r="N174" s="206">
        <f t="shared" si="185"/>
        <v>828</v>
      </c>
      <c r="O174" s="206">
        <f t="shared" si="186"/>
        <v>828</v>
      </c>
      <c r="P174" s="205">
        <v>20504</v>
      </c>
      <c r="Q174" s="206">
        <f t="shared" si="187"/>
        <v>2327</v>
      </c>
      <c r="R174" s="206">
        <f t="shared" si="188"/>
        <v>219</v>
      </c>
      <c r="S174" s="206">
        <f t="shared" si="189"/>
        <v>789</v>
      </c>
      <c r="T174" s="206">
        <f t="shared" si="190"/>
        <v>994</v>
      </c>
      <c r="U174" s="205">
        <v>20504</v>
      </c>
      <c r="V174" s="206">
        <f t="shared" si="191"/>
        <v>2208</v>
      </c>
      <c r="W174" s="206">
        <f t="shared" si="192"/>
        <v>501</v>
      </c>
      <c r="X174" s="206">
        <f t="shared" si="193"/>
        <v>986</v>
      </c>
      <c r="Y174" s="206">
        <f t="shared" si="194"/>
        <v>828</v>
      </c>
      <c r="Z174" s="205">
        <v>20504</v>
      </c>
      <c r="AA174" s="206">
        <f t="shared" si="195"/>
        <v>2512</v>
      </c>
      <c r="AB174" s="206">
        <f t="shared" si="196"/>
        <v>857</v>
      </c>
      <c r="AC174" s="206">
        <f t="shared" si="197"/>
        <v>789</v>
      </c>
      <c r="AD174" s="206">
        <f t="shared" si="198"/>
        <v>1159</v>
      </c>
      <c r="AE174" s="205">
        <v>20504</v>
      </c>
      <c r="AF174" s="206">
        <f t="shared" si="199"/>
        <v>2327</v>
      </c>
      <c r="AG174" s="206">
        <f t="shared" si="200"/>
        <v>267</v>
      </c>
      <c r="AH174" s="206">
        <f t="shared" si="201"/>
        <v>907</v>
      </c>
      <c r="AI174" s="206">
        <f t="shared" si="202"/>
        <v>994</v>
      </c>
    </row>
    <row r="175" spans="1:35" x14ac:dyDescent="0.15">
      <c r="A175" s="205">
        <v>20505</v>
      </c>
      <c r="B175" s="206">
        <f t="shared" si="175"/>
        <v>2296</v>
      </c>
      <c r="C175" s="206">
        <f t="shared" si="176"/>
        <v>250</v>
      </c>
      <c r="D175" s="206">
        <f t="shared" si="177"/>
        <v>861</v>
      </c>
      <c r="E175" s="206">
        <f t="shared" si="178"/>
        <v>861</v>
      </c>
      <c r="F175" s="205">
        <v>20505</v>
      </c>
      <c r="G175" s="206">
        <f t="shared" si="179"/>
        <v>2296</v>
      </c>
      <c r="H175" s="206">
        <f t="shared" si="180"/>
        <v>135</v>
      </c>
      <c r="I175" s="206">
        <f t="shared" si="181"/>
        <v>943</v>
      </c>
      <c r="J175" s="206">
        <f t="shared" si="182"/>
        <v>861</v>
      </c>
      <c r="K175" s="205">
        <v>20505</v>
      </c>
      <c r="L175" s="206">
        <f t="shared" si="183"/>
        <v>2296</v>
      </c>
      <c r="M175" s="206">
        <f t="shared" si="184"/>
        <v>250</v>
      </c>
      <c r="N175" s="206">
        <f t="shared" si="185"/>
        <v>861</v>
      </c>
      <c r="O175" s="206">
        <f t="shared" si="186"/>
        <v>861</v>
      </c>
      <c r="P175" s="205">
        <v>20505</v>
      </c>
      <c r="Q175" s="206">
        <f t="shared" si="187"/>
        <v>2419</v>
      </c>
      <c r="R175" s="206">
        <f t="shared" si="188"/>
        <v>228</v>
      </c>
      <c r="S175" s="206">
        <f t="shared" si="189"/>
        <v>820</v>
      </c>
      <c r="T175" s="206">
        <f t="shared" si="190"/>
        <v>1033</v>
      </c>
      <c r="U175" s="205">
        <v>20505</v>
      </c>
      <c r="V175" s="206">
        <f t="shared" si="191"/>
        <v>2296</v>
      </c>
      <c r="W175" s="206">
        <f t="shared" si="192"/>
        <v>521</v>
      </c>
      <c r="X175" s="206">
        <f t="shared" si="193"/>
        <v>1025</v>
      </c>
      <c r="Y175" s="206">
        <f t="shared" si="194"/>
        <v>861</v>
      </c>
      <c r="Z175" s="205">
        <v>20505</v>
      </c>
      <c r="AA175" s="206">
        <f t="shared" si="195"/>
        <v>2612</v>
      </c>
      <c r="AB175" s="206">
        <f t="shared" si="196"/>
        <v>891</v>
      </c>
      <c r="AC175" s="206">
        <f t="shared" si="197"/>
        <v>820</v>
      </c>
      <c r="AD175" s="206">
        <f t="shared" si="198"/>
        <v>1205</v>
      </c>
      <c r="AE175" s="205">
        <v>20505</v>
      </c>
      <c r="AF175" s="206">
        <f t="shared" si="199"/>
        <v>2419</v>
      </c>
      <c r="AG175" s="206">
        <f t="shared" si="200"/>
        <v>277</v>
      </c>
      <c r="AH175" s="206">
        <f t="shared" si="201"/>
        <v>943</v>
      </c>
      <c r="AI175" s="206">
        <f t="shared" si="202"/>
        <v>1033</v>
      </c>
    </row>
    <row r="176" spans="1:35" x14ac:dyDescent="0.15">
      <c r="A176" s="205">
        <v>20506</v>
      </c>
      <c r="B176" s="206">
        <f t="shared" si="175"/>
        <v>2384</v>
      </c>
      <c r="C176" s="206">
        <f t="shared" si="176"/>
        <v>259</v>
      </c>
      <c r="D176" s="206">
        <f t="shared" si="177"/>
        <v>894</v>
      </c>
      <c r="E176" s="206">
        <f t="shared" si="178"/>
        <v>894</v>
      </c>
      <c r="F176" s="205">
        <v>20506</v>
      </c>
      <c r="G176" s="206">
        <f t="shared" si="179"/>
        <v>2384</v>
      </c>
      <c r="H176" s="206">
        <f t="shared" si="180"/>
        <v>140</v>
      </c>
      <c r="I176" s="206">
        <f t="shared" si="181"/>
        <v>979</v>
      </c>
      <c r="J176" s="206">
        <f t="shared" si="182"/>
        <v>894</v>
      </c>
      <c r="K176" s="205">
        <v>20506</v>
      </c>
      <c r="L176" s="206">
        <f t="shared" si="183"/>
        <v>2384</v>
      </c>
      <c r="M176" s="206">
        <f t="shared" si="184"/>
        <v>259</v>
      </c>
      <c r="N176" s="206">
        <f t="shared" si="185"/>
        <v>894</v>
      </c>
      <c r="O176" s="206">
        <f t="shared" si="186"/>
        <v>894</v>
      </c>
      <c r="P176" s="205">
        <v>20506</v>
      </c>
      <c r="Q176" s="206">
        <f t="shared" si="187"/>
        <v>2512</v>
      </c>
      <c r="R176" s="206">
        <f t="shared" si="188"/>
        <v>237</v>
      </c>
      <c r="S176" s="206">
        <f t="shared" si="189"/>
        <v>851</v>
      </c>
      <c r="T176" s="206">
        <f t="shared" si="190"/>
        <v>1073</v>
      </c>
      <c r="U176" s="205">
        <v>20506</v>
      </c>
      <c r="V176" s="206">
        <f t="shared" si="191"/>
        <v>2384</v>
      </c>
      <c r="W176" s="206">
        <f t="shared" si="192"/>
        <v>541</v>
      </c>
      <c r="X176" s="206">
        <f t="shared" si="193"/>
        <v>1064</v>
      </c>
      <c r="Y176" s="206">
        <f t="shared" si="194"/>
        <v>894</v>
      </c>
      <c r="Z176" s="205">
        <v>20506</v>
      </c>
      <c r="AA176" s="206">
        <f t="shared" si="195"/>
        <v>2712</v>
      </c>
      <c r="AB176" s="206">
        <f t="shared" si="196"/>
        <v>925</v>
      </c>
      <c r="AC176" s="206">
        <f t="shared" si="197"/>
        <v>851</v>
      </c>
      <c r="AD176" s="206">
        <f t="shared" si="198"/>
        <v>1252</v>
      </c>
      <c r="AE176" s="205">
        <v>20506</v>
      </c>
      <c r="AF176" s="206">
        <f t="shared" si="199"/>
        <v>2512</v>
      </c>
      <c r="AG176" s="206">
        <f t="shared" si="200"/>
        <v>288</v>
      </c>
      <c r="AH176" s="206">
        <f t="shared" si="201"/>
        <v>979</v>
      </c>
      <c r="AI176" s="206">
        <f t="shared" si="202"/>
        <v>1073</v>
      </c>
    </row>
    <row r="177" spans="1:35" x14ac:dyDescent="0.15">
      <c r="A177" s="205">
        <v>20507</v>
      </c>
      <c r="B177" s="206">
        <f t="shared" si="175"/>
        <v>2472</v>
      </c>
      <c r="C177" s="206">
        <f t="shared" si="176"/>
        <v>269</v>
      </c>
      <c r="D177" s="206">
        <f t="shared" si="177"/>
        <v>927</v>
      </c>
      <c r="E177" s="206">
        <f t="shared" si="178"/>
        <v>927</v>
      </c>
      <c r="F177" s="205">
        <v>20507</v>
      </c>
      <c r="G177" s="206">
        <f t="shared" si="179"/>
        <v>2472</v>
      </c>
      <c r="H177" s="206">
        <f t="shared" si="180"/>
        <v>146</v>
      </c>
      <c r="I177" s="206">
        <f t="shared" si="181"/>
        <v>1015</v>
      </c>
      <c r="J177" s="206">
        <f t="shared" si="182"/>
        <v>927</v>
      </c>
      <c r="K177" s="205">
        <v>20507</v>
      </c>
      <c r="L177" s="206">
        <f t="shared" si="183"/>
        <v>2472</v>
      </c>
      <c r="M177" s="206">
        <f t="shared" si="184"/>
        <v>269</v>
      </c>
      <c r="N177" s="206">
        <f t="shared" si="185"/>
        <v>927</v>
      </c>
      <c r="O177" s="206">
        <f t="shared" si="186"/>
        <v>927</v>
      </c>
      <c r="P177" s="205">
        <v>20507</v>
      </c>
      <c r="Q177" s="206">
        <f t="shared" si="187"/>
        <v>2605</v>
      </c>
      <c r="R177" s="206">
        <f t="shared" si="188"/>
        <v>246</v>
      </c>
      <c r="S177" s="206">
        <f t="shared" si="189"/>
        <v>883</v>
      </c>
      <c r="T177" s="206">
        <f t="shared" si="190"/>
        <v>1112</v>
      </c>
      <c r="U177" s="205">
        <v>20507</v>
      </c>
      <c r="V177" s="206">
        <f t="shared" si="191"/>
        <v>2472</v>
      </c>
      <c r="W177" s="206">
        <f t="shared" si="192"/>
        <v>561</v>
      </c>
      <c r="X177" s="206">
        <f t="shared" si="193"/>
        <v>1104</v>
      </c>
      <c r="Y177" s="206">
        <f t="shared" si="194"/>
        <v>927</v>
      </c>
      <c r="Z177" s="205">
        <v>20507</v>
      </c>
      <c r="AA177" s="206">
        <f t="shared" si="195"/>
        <v>2812</v>
      </c>
      <c r="AB177" s="206">
        <f t="shared" si="196"/>
        <v>959</v>
      </c>
      <c r="AC177" s="206">
        <f t="shared" si="197"/>
        <v>883</v>
      </c>
      <c r="AD177" s="206">
        <f t="shared" si="198"/>
        <v>1298</v>
      </c>
      <c r="AE177" s="205">
        <v>20507</v>
      </c>
      <c r="AF177" s="206">
        <f t="shared" si="199"/>
        <v>2605</v>
      </c>
      <c r="AG177" s="206">
        <f t="shared" si="200"/>
        <v>298</v>
      </c>
      <c r="AH177" s="206">
        <f t="shared" si="201"/>
        <v>1015</v>
      </c>
      <c r="AI177" s="206">
        <f t="shared" si="202"/>
        <v>1112</v>
      </c>
    </row>
    <row r="178" spans="1:35" x14ac:dyDescent="0.15">
      <c r="A178" s="205">
        <v>20508</v>
      </c>
      <c r="B178" s="206">
        <f t="shared" si="175"/>
        <v>2560</v>
      </c>
      <c r="C178" s="206">
        <f t="shared" si="176"/>
        <v>278</v>
      </c>
      <c r="D178" s="206">
        <f t="shared" si="177"/>
        <v>960</v>
      </c>
      <c r="E178" s="206">
        <f t="shared" si="178"/>
        <v>960</v>
      </c>
      <c r="F178" s="205">
        <v>20508</v>
      </c>
      <c r="G178" s="206">
        <f t="shared" si="179"/>
        <v>2560</v>
      </c>
      <c r="H178" s="206">
        <f t="shared" si="180"/>
        <v>151</v>
      </c>
      <c r="I178" s="206">
        <f t="shared" si="181"/>
        <v>1051</v>
      </c>
      <c r="J178" s="206">
        <f t="shared" si="182"/>
        <v>960</v>
      </c>
      <c r="K178" s="205">
        <v>20508</v>
      </c>
      <c r="L178" s="206">
        <f t="shared" si="183"/>
        <v>2560</v>
      </c>
      <c r="M178" s="206">
        <f t="shared" si="184"/>
        <v>278</v>
      </c>
      <c r="N178" s="206">
        <f t="shared" si="185"/>
        <v>960</v>
      </c>
      <c r="O178" s="206">
        <f t="shared" si="186"/>
        <v>960</v>
      </c>
      <c r="P178" s="205">
        <v>20508</v>
      </c>
      <c r="Q178" s="206">
        <f t="shared" si="187"/>
        <v>2698</v>
      </c>
      <c r="R178" s="206">
        <f t="shared" si="188"/>
        <v>254</v>
      </c>
      <c r="S178" s="206">
        <f t="shared" si="189"/>
        <v>914</v>
      </c>
      <c r="T178" s="206">
        <f t="shared" si="190"/>
        <v>1152</v>
      </c>
      <c r="U178" s="205">
        <v>20508</v>
      </c>
      <c r="V178" s="206">
        <f t="shared" si="191"/>
        <v>2560</v>
      </c>
      <c r="W178" s="206">
        <f t="shared" si="192"/>
        <v>581</v>
      </c>
      <c r="X178" s="206">
        <f t="shared" si="193"/>
        <v>1143</v>
      </c>
      <c r="Y178" s="206">
        <f t="shared" si="194"/>
        <v>960</v>
      </c>
      <c r="Z178" s="205">
        <v>20508</v>
      </c>
      <c r="AA178" s="206">
        <f t="shared" si="195"/>
        <v>2913</v>
      </c>
      <c r="AB178" s="206">
        <f t="shared" si="196"/>
        <v>994</v>
      </c>
      <c r="AC178" s="206">
        <f t="shared" si="197"/>
        <v>914</v>
      </c>
      <c r="AD178" s="206">
        <f t="shared" si="198"/>
        <v>1344</v>
      </c>
      <c r="AE178" s="205">
        <v>20508</v>
      </c>
      <c r="AF178" s="206">
        <f t="shared" si="199"/>
        <v>2698</v>
      </c>
      <c r="AG178" s="206">
        <f t="shared" si="200"/>
        <v>309</v>
      </c>
      <c r="AH178" s="206">
        <f t="shared" si="201"/>
        <v>1051</v>
      </c>
      <c r="AI178" s="206">
        <f t="shared" si="202"/>
        <v>1152</v>
      </c>
    </row>
    <row r="179" spans="1:35" x14ac:dyDescent="0.15">
      <c r="A179" s="205">
        <v>20509</v>
      </c>
      <c r="B179" s="206">
        <f t="shared" si="175"/>
        <v>2648</v>
      </c>
      <c r="C179" s="206">
        <f t="shared" si="176"/>
        <v>288</v>
      </c>
      <c r="D179" s="206">
        <f t="shared" si="177"/>
        <v>993</v>
      </c>
      <c r="E179" s="206">
        <f t="shared" si="178"/>
        <v>993</v>
      </c>
      <c r="F179" s="205">
        <v>20509</v>
      </c>
      <c r="G179" s="206">
        <f t="shared" si="179"/>
        <v>2648</v>
      </c>
      <c r="H179" s="206">
        <f t="shared" si="180"/>
        <v>156</v>
      </c>
      <c r="I179" s="206">
        <f t="shared" si="181"/>
        <v>1088</v>
      </c>
      <c r="J179" s="206">
        <f t="shared" si="182"/>
        <v>993</v>
      </c>
      <c r="K179" s="205">
        <v>20509</v>
      </c>
      <c r="L179" s="206">
        <f t="shared" si="183"/>
        <v>2648</v>
      </c>
      <c r="M179" s="206">
        <f t="shared" si="184"/>
        <v>288</v>
      </c>
      <c r="N179" s="206">
        <f t="shared" si="185"/>
        <v>993</v>
      </c>
      <c r="O179" s="206">
        <f t="shared" si="186"/>
        <v>993</v>
      </c>
      <c r="P179" s="205">
        <v>20509</v>
      </c>
      <c r="Q179" s="206">
        <f t="shared" si="187"/>
        <v>2790</v>
      </c>
      <c r="R179" s="206">
        <f t="shared" si="188"/>
        <v>263</v>
      </c>
      <c r="S179" s="206">
        <f t="shared" si="189"/>
        <v>946</v>
      </c>
      <c r="T179" s="206">
        <f t="shared" si="190"/>
        <v>1192</v>
      </c>
      <c r="U179" s="205">
        <v>20509</v>
      </c>
      <c r="V179" s="206">
        <f t="shared" si="191"/>
        <v>2648</v>
      </c>
      <c r="W179" s="206">
        <f t="shared" si="192"/>
        <v>601</v>
      </c>
      <c r="X179" s="206">
        <f t="shared" si="193"/>
        <v>1182</v>
      </c>
      <c r="Y179" s="206">
        <f t="shared" si="194"/>
        <v>993</v>
      </c>
      <c r="Z179" s="205">
        <v>20509</v>
      </c>
      <c r="AA179" s="206">
        <f t="shared" si="195"/>
        <v>3013</v>
      </c>
      <c r="AB179" s="206">
        <f t="shared" si="196"/>
        <v>1028</v>
      </c>
      <c r="AC179" s="206">
        <f t="shared" si="197"/>
        <v>946</v>
      </c>
      <c r="AD179" s="206">
        <f t="shared" si="198"/>
        <v>1390</v>
      </c>
      <c r="AE179" s="205">
        <v>20509</v>
      </c>
      <c r="AF179" s="206">
        <f t="shared" si="199"/>
        <v>2790</v>
      </c>
      <c r="AG179" s="206">
        <f t="shared" si="200"/>
        <v>320</v>
      </c>
      <c r="AH179" s="206">
        <f t="shared" si="201"/>
        <v>1088</v>
      </c>
      <c r="AI179" s="206">
        <f t="shared" si="202"/>
        <v>1192</v>
      </c>
    </row>
    <row r="180" spans="1:35" x14ac:dyDescent="0.15">
      <c r="A180" s="205">
        <v>20510</v>
      </c>
      <c r="B180" s="206">
        <f t="shared" si="175"/>
        <v>2736</v>
      </c>
      <c r="C180" s="206">
        <f t="shared" si="176"/>
        <v>298</v>
      </c>
      <c r="D180" s="206">
        <f t="shared" si="177"/>
        <v>1026</v>
      </c>
      <c r="E180" s="206">
        <f t="shared" si="178"/>
        <v>1026</v>
      </c>
      <c r="F180" s="205">
        <v>20510</v>
      </c>
      <c r="G180" s="206">
        <f t="shared" si="179"/>
        <v>2736</v>
      </c>
      <c r="H180" s="206">
        <f t="shared" si="180"/>
        <v>161</v>
      </c>
      <c r="I180" s="206">
        <f t="shared" si="181"/>
        <v>1124</v>
      </c>
      <c r="J180" s="206">
        <f t="shared" si="182"/>
        <v>1026</v>
      </c>
      <c r="K180" s="205">
        <v>20510</v>
      </c>
      <c r="L180" s="206">
        <f t="shared" si="183"/>
        <v>2736</v>
      </c>
      <c r="M180" s="206">
        <f t="shared" si="184"/>
        <v>298</v>
      </c>
      <c r="N180" s="206">
        <f t="shared" si="185"/>
        <v>1026</v>
      </c>
      <c r="O180" s="206">
        <f t="shared" si="186"/>
        <v>1026</v>
      </c>
      <c r="P180" s="205">
        <v>20510</v>
      </c>
      <c r="Q180" s="206">
        <f t="shared" si="187"/>
        <v>2883</v>
      </c>
      <c r="R180" s="206">
        <f t="shared" si="188"/>
        <v>272</v>
      </c>
      <c r="S180" s="206">
        <f t="shared" si="189"/>
        <v>977</v>
      </c>
      <c r="T180" s="206">
        <f t="shared" si="190"/>
        <v>1231</v>
      </c>
      <c r="U180" s="205">
        <v>20510</v>
      </c>
      <c r="V180" s="206">
        <f t="shared" si="191"/>
        <v>2736</v>
      </c>
      <c r="W180" s="206">
        <f t="shared" si="192"/>
        <v>621</v>
      </c>
      <c r="X180" s="206">
        <f t="shared" si="193"/>
        <v>1221</v>
      </c>
      <c r="Y180" s="206">
        <f t="shared" si="194"/>
        <v>1026</v>
      </c>
      <c r="Z180" s="205">
        <v>20510</v>
      </c>
      <c r="AA180" s="206">
        <f t="shared" si="195"/>
        <v>3113</v>
      </c>
      <c r="AB180" s="206">
        <f t="shared" si="196"/>
        <v>1062</v>
      </c>
      <c r="AC180" s="206">
        <f t="shared" si="197"/>
        <v>977</v>
      </c>
      <c r="AD180" s="206">
        <f t="shared" si="198"/>
        <v>1436</v>
      </c>
      <c r="AE180" s="205">
        <v>20510</v>
      </c>
      <c r="AF180" s="206">
        <f t="shared" si="199"/>
        <v>2883</v>
      </c>
      <c r="AG180" s="206">
        <f t="shared" si="200"/>
        <v>330</v>
      </c>
      <c r="AH180" s="206">
        <f t="shared" si="201"/>
        <v>1124</v>
      </c>
      <c r="AI180" s="206">
        <f t="shared" si="202"/>
        <v>1231</v>
      </c>
    </row>
    <row r="181" spans="1:35" x14ac:dyDescent="0.15">
      <c r="A181" s="205">
        <v>20511</v>
      </c>
      <c r="B181" s="206">
        <f t="shared" si="175"/>
        <v>2824</v>
      </c>
      <c r="C181" s="206">
        <f t="shared" si="176"/>
        <v>307</v>
      </c>
      <c r="D181" s="206">
        <f t="shared" si="177"/>
        <v>1059</v>
      </c>
      <c r="E181" s="206">
        <f t="shared" si="178"/>
        <v>1059</v>
      </c>
      <c r="F181" s="205">
        <v>20511</v>
      </c>
      <c r="G181" s="206">
        <f t="shared" si="179"/>
        <v>2824</v>
      </c>
      <c r="H181" s="206">
        <f t="shared" si="180"/>
        <v>166</v>
      </c>
      <c r="I181" s="206">
        <f t="shared" si="181"/>
        <v>1160</v>
      </c>
      <c r="J181" s="206">
        <f t="shared" si="182"/>
        <v>1059</v>
      </c>
      <c r="K181" s="205">
        <v>20511</v>
      </c>
      <c r="L181" s="206">
        <f t="shared" si="183"/>
        <v>2824</v>
      </c>
      <c r="M181" s="206">
        <f t="shared" si="184"/>
        <v>307</v>
      </c>
      <c r="N181" s="206">
        <f t="shared" si="185"/>
        <v>1059</v>
      </c>
      <c r="O181" s="206">
        <f t="shared" si="186"/>
        <v>1059</v>
      </c>
      <c r="P181" s="205">
        <v>20511</v>
      </c>
      <c r="Q181" s="206">
        <f t="shared" si="187"/>
        <v>2976</v>
      </c>
      <c r="R181" s="206">
        <f t="shared" si="188"/>
        <v>281</v>
      </c>
      <c r="S181" s="206">
        <f t="shared" si="189"/>
        <v>1009</v>
      </c>
      <c r="T181" s="206">
        <f t="shared" si="190"/>
        <v>1271</v>
      </c>
      <c r="U181" s="205">
        <v>20511</v>
      </c>
      <c r="V181" s="206">
        <f t="shared" si="191"/>
        <v>2824</v>
      </c>
      <c r="W181" s="206">
        <f t="shared" si="192"/>
        <v>641</v>
      </c>
      <c r="X181" s="206">
        <f t="shared" si="193"/>
        <v>1261</v>
      </c>
      <c r="Y181" s="206">
        <f t="shared" si="194"/>
        <v>1059</v>
      </c>
      <c r="Z181" s="205">
        <v>20511</v>
      </c>
      <c r="AA181" s="206">
        <f t="shared" si="195"/>
        <v>3213</v>
      </c>
      <c r="AB181" s="206">
        <f t="shared" si="196"/>
        <v>1096</v>
      </c>
      <c r="AC181" s="206">
        <f t="shared" si="197"/>
        <v>1009</v>
      </c>
      <c r="AD181" s="206">
        <f t="shared" si="198"/>
        <v>1483</v>
      </c>
      <c r="AE181" s="205">
        <v>20511</v>
      </c>
      <c r="AF181" s="206">
        <f t="shared" si="199"/>
        <v>2976</v>
      </c>
      <c r="AG181" s="206">
        <f t="shared" si="200"/>
        <v>341</v>
      </c>
      <c r="AH181" s="206">
        <f t="shared" si="201"/>
        <v>1160</v>
      </c>
      <c r="AI181" s="206">
        <f t="shared" si="202"/>
        <v>1271</v>
      </c>
    </row>
    <row r="182" spans="1:35" x14ac:dyDescent="0.15">
      <c r="A182" s="205">
        <v>20512</v>
      </c>
      <c r="B182" s="206">
        <f t="shared" si="175"/>
        <v>2912</v>
      </c>
      <c r="C182" s="206">
        <f t="shared" si="176"/>
        <v>317</v>
      </c>
      <c r="D182" s="206">
        <f t="shared" si="177"/>
        <v>1092</v>
      </c>
      <c r="E182" s="206">
        <f t="shared" si="178"/>
        <v>1092</v>
      </c>
      <c r="F182" s="205">
        <v>20512</v>
      </c>
      <c r="G182" s="206">
        <f t="shared" si="179"/>
        <v>2912</v>
      </c>
      <c r="H182" s="206">
        <f t="shared" si="180"/>
        <v>172</v>
      </c>
      <c r="I182" s="206">
        <f t="shared" si="181"/>
        <v>1196</v>
      </c>
      <c r="J182" s="206">
        <f t="shared" si="182"/>
        <v>1092</v>
      </c>
      <c r="K182" s="205">
        <v>20512</v>
      </c>
      <c r="L182" s="206">
        <f t="shared" si="183"/>
        <v>2912</v>
      </c>
      <c r="M182" s="206">
        <f t="shared" si="184"/>
        <v>317</v>
      </c>
      <c r="N182" s="206">
        <f t="shared" si="185"/>
        <v>1092</v>
      </c>
      <c r="O182" s="206">
        <f t="shared" si="186"/>
        <v>1092</v>
      </c>
      <c r="P182" s="205">
        <v>20512</v>
      </c>
      <c r="Q182" s="206">
        <f t="shared" si="187"/>
        <v>3068</v>
      </c>
      <c r="R182" s="206">
        <f t="shared" si="188"/>
        <v>289</v>
      </c>
      <c r="S182" s="206">
        <f t="shared" si="189"/>
        <v>1040</v>
      </c>
      <c r="T182" s="206">
        <f t="shared" si="190"/>
        <v>1310</v>
      </c>
      <c r="U182" s="205">
        <v>20512</v>
      </c>
      <c r="V182" s="206">
        <f t="shared" si="191"/>
        <v>2912</v>
      </c>
      <c r="W182" s="206">
        <f t="shared" si="192"/>
        <v>661</v>
      </c>
      <c r="X182" s="206">
        <f t="shared" si="193"/>
        <v>1300</v>
      </c>
      <c r="Y182" s="206">
        <f t="shared" si="194"/>
        <v>1092</v>
      </c>
      <c r="Z182" s="205">
        <v>20512</v>
      </c>
      <c r="AA182" s="206">
        <f t="shared" si="195"/>
        <v>3313</v>
      </c>
      <c r="AB182" s="206">
        <f t="shared" si="196"/>
        <v>1130</v>
      </c>
      <c r="AC182" s="206">
        <f t="shared" si="197"/>
        <v>1040</v>
      </c>
      <c r="AD182" s="206">
        <f t="shared" si="198"/>
        <v>1529</v>
      </c>
      <c r="AE182" s="205">
        <v>20512</v>
      </c>
      <c r="AF182" s="206">
        <f t="shared" si="199"/>
        <v>3068</v>
      </c>
      <c r="AG182" s="206">
        <f t="shared" si="200"/>
        <v>352</v>
      </c>
      <c r="AH182" s="206">
        <f t="shared" si="201"/>
        <v>1196</v>
      </c>
      <c r="AI182" s="206">
        <f t="shared" si="202"/>
        <v>1310</v>
      </c>
    </row>
    <row r="183" spans="1:35" x14ac:dyDescent="0.15">
      <c r="A183" s="205">
        <v>20513</v>
      </c>
      <c r="B183" s="206">
        <f t="shared" si="175"/>
        <v>3000</v>
      </c>
      <c r="C183" s="206">
        <f t="shared" si="176"/>
        <v>326</v>
      </c>
      <c r="D183" s="206">
        <f t="shared" si="177"/>
        <v>1125</v>
      </c>
      <c r="E183" s="206">
        <f t="shared" si="178"/>
        <v>1125</v>
      </c>
      <c r="F183" s="205">
        <v>20513</v>
      </c>
      <c r="G183" s="206">
        <f t="shared" si="179"/>
        <v>3000</v>
      </c>
      <c r="H183" s="206">
        <f t="shared" si="180"/>
        <v>177</v>
      </c>
      <c r="I183" s="206">
        <f t="shared" si="181"/>
        <v>1232</v>
      </c>
      <c r="J183" s="206">
        <f t="shared" si="182"/>
        <v>1125</v>
      </c>
      <c r="K183" s="205">
        <v>20513</v>
      </c>
      <c r="L183" s="206">
        <f t="shared" si="183"/>
        <v>3000</v>
      </c>
      <c r="M183" s="206">
        <f t="shared" si="184"/>
        <v>326</v>
      </c>
      <c r="N183" s="206">
        <f t="shared" si="185"/>
        <v>1125</v>
      </c>
      <c r="O183" s="206">
        <f t="shared" si="186"/>
        <v>1125</v>
      </c>
      <c r="P183" s="205">
        <v>20513</v>
      </c>
      <c r="Q183" s="206">
        <f t="shared" si="187"/>
        <v>3161</v>
      </c>
      <c r="R183" s="206">
        <f t="shared" si="188"/>
        <v>298</v>
      </c>
      <c r="S183" s="206">
        <f t="shared" si="189"/>
        <v>1071</v>
      </c>
      <c r="T183" s="206">
        <f t="shared" si="190"/>
        <v>1350</v>
      </c>
      <c r="U183" s="205">
        <v>20513</v>
      </c>
      <c r="V183" s="206">
        <f t="shared" si="191"/>
        <v>3000</v>
      </c>
      <c r="W183" s="206">
        <f t="shared" si="192"/>
        <v>681</v>
      </c>
      <c r="X183" s="206">
        <f t="shared" si="193"/>
        <v>1339</v>
      </c>
      <c r="Y183" s="206">
        <f t="shared" si="194"/>
        <v>1125</v>
      </c>
      <c r="Z183" s="205">
        <v>20513</v>
      </c>
      <c r="AA183" s="206">
        <f t="shared" si="195"/>
        <v>3413</v>
      </c>
      <c r="AB183" s="206">
        <f t="shared" si="196"/>
        <v>1164</v>
      </c>
      <c r="AC183" s="206">
        <f t="shared" si="197"/>
        <v>1071</v>
      </c>
      <c r="AD183" s="206">
        <f t="shared" si="198"/>
        <v>1575</v>
      </c>
      <c r="AE183" s="205">
        <v>20513</v>
      </c>
      <c r="AF183" s="206">
        <f t="shared" si="199"/>
        <v>3161</v>
      </c>
      <c r="AG183" s="206">
        <f t="shared" si="200"/>
        <v>362</v>
      </c>
      <c r="AH183" s="206">
        <f t="shared" si="201"/>
        <v>1232</v>
      </c>
      <c r="AI183" s="206">
        <f t="shared" si="202"/>
        <v>1350</v>
      </c>
    </row>
    <row r="184" spans="1:35" x14ac:dyDescent="0.15">
      <c r="A184" s="205">
        <v>20514</v>
      </c>
      <c r="B184" s="206">
        <f t="shared" si="175"/>
        <v>3088</v>
      </c>
      <c r="C184" s="206">
        <f t="shared" si="176"/>
        <v>336</v>
      </c>
      <c r="D184" s="206">
        <f t="shared" si="177"/>
        <v>1158</v>
      </c>
      <c r="E184" s="206">
        <f t="shared" si="178"/>
        <v>1158</v>
      </c>
      <c r="F184" s="205">
        <v>20514</v>
      </c>
      <c r="G184" s="206">
        <f t="shared" si="179"/>
        <v>3088</v>
      </c>
      <c r="H184" s="206">
        <f t="shared" si="180"/>
        <v>182</v>
      </c>
      <c r="I184" s="206">
        <f t="shared" si="181"/>
        <v>1268</v>
      </c>
      <c r="J184" s="206">
        <f t="shared" si="182"/>
        <v>1158</v>
      </c>
      <c r="K184" s="205">
        <v>20514</v>
      </c>
      <c r="L184" s="206">
        <f t="shared" si="183"/>
        <v>3088</v>
      </c>
      <c r="M184" s="206">
        <f t="shared" si="184"/>
        <v>336</v>
      </c>
      <c r="N184" s="206">
        <f t="shared" si="185"/>
        <v>1158</v>
      </c>
      <c r="O184" s="206">
        <f t="shared" si="186"/>
        <v>1158</v>
      </c>
      <c r="P184" s="205">
        <v>20514</v>
      </c>
      <c r="Q184" s="206">
        <f t="shared" si="187"/>
        <v>3254</v>
      </c>
      <c r="R184" s="206">
        <f t="shared" si="188"/>
        <v>307</v>
      </c>
      <c r="S184" s="206">
        <f t="shared" si="189"/>
        <v>1103</v>
      </c>
      <c r="T184" s="206">
        <f t="shared" si="190"/>
        <v>1390</v>
      </c>
      <c r="U184" s="205">
        <v>20514</v>
      </c>
      <c r="V184" s="206">
        <f t="shared" si="191"/>
        <v>3088</v>
      </c>
      <c r="W184" s="206">
        <f t="shared" si="192"/>
        <v>701</v>
      </c>
      <c r="X184" s="206">
        <f t="shared" si="193"/>
        <v>1379</v>
      </c>
      <c r="Y184" s="206">
        <f t="shared" si="194"/>
        <v>1158</v>
      </c>
      <c r="Z184" s="205">
        <v>20514</v>
      </c>
      <c r="AA184" s="206">
        <f t="shared" si="195"/>
        <v>3513</v>
      </c>
      <c r="AB184" s="206">
        <f t="shared" si="196"/>
        <v>1199</v>
      </c>
      <c r="AC184" s="206">
        <f t="shared" si="197"/>
        <v>1103</v>
      </c>
      <c r="AD184" s="206">
        <f t="shared" si="198"/>
        <v>1621</v>
      </c>
      <c r="AE184" s="205">
        <v>20514</v>
      </c>
      <c r="AF184" s="206">
        <f t="shared" si="199"/>
        <v>3254</v>
      </c>
      <c r="AG184" s="206">
        <f t="shared" si="200"/>
        <v>373</v>
      </c>
      <c r="AH184" s="206">
        <f t="shared" si="201"/>
        <v>1268</v>
      </c>
      <c r="AI184" s="206">
        <f t="shared" si="202"/>
        <v>1390</v>
      </c>
    </row>
    <row r="185" spans="1:35" x14ac:dyDescent="0.15">
      <c r="A185" s="205">
        <v>20515</v>
      </c>
      <c r="B185" s="206">
        <f t="shared" si="175"/>
        <v>3184</v>
      </c>
      <c r="C185" s="206">
        <f t="shared" si="176"/>
        <v>346</v>
      </c>
      <c r="D185" s="206">
        <f t="shared" si="177"/>
        <v>1194</v>
      </c>
      <c r="E185" s="206">
        <f t="shared" si="178"/>
        <v>1194</v>
      </c>
      <c r="F185" s="205">
        <v>20515</v>
      </c>
      <c r="G185" s="206">
        <f t="shared" si="179"/>
        <v>3184</v>
      </c>
      <c r="H185" s="206">
        <f t="shared" si="180"/>
        <v>188</v>
      </c>
      <c r="I185" s="206">
        <f t="shared" si="181"/>
        <v>1308</v>
      </c>
      <c r="J185" s="206">
        <f t="shared" si="182"/>
        <v>1194</v>
      </c>
      <c r="K185" s="205">
        <v>20515</v>
      </c>
      <c r="L185" s="206">
        <f t="shared" si="183"/>
        <v>3184</v>
      </c>
      <c r="M185" s="206">
        <f t="shared" si="184"/>
        <v>346</v>
      </c>
      <c r="N185" s="206">
        <f t="shared" si="185"/>
        <v>1194</v>
      </c>
      <c r="O185" s="206">
        <f t="shared" si="186"/>
        <v>1194</v>
      </c>
      <c r="P185" s="205">
        <v>20515</v>
      </c>
      <c r="Q185" s="206">
        <f t="shared" si="187"/>
        <v>3355</v>
      </c>
      <c r="R185" s="206">
        <f t="shared" si="188"/>
        <v>316</v>
      </c>
      <c r="S185" s="206">
        <f t="shared" si="189"/>
        <v>1137</v>
      </c>
      <c r="T185" s="206">
        <f t="shared" si="190"/>
        <v>1433</v>
      </c>
      <c r="U185" s="205">
        <v>20515</v>
      </c>
      <c r="V185" s="206">
        <f t="shared" si="191"/>
        <v>3184</v>
      </c>
      <c r="W185" s="206">
        <f t="shared" si="192"/>
        <v>723</v>
      </c>
      <c r="X185" s="206">
        <f t="shared" si="193"/>
        <v>1421</v>
      </c>
      <c r="Y185" s="206">
        <f t="shared" si="194"/>
        <v>1194</v>
      </c>
      <c r="Z185" s="205">
        <v>20515</v>
      </c>
      <c r="AA185" s="206">
        <f t="shared" si="195"/>
        <v>3623</v>
      </c>
      <c r="AB185" s="206">
        <f t="shared" si="196"/>
        <v>1236</v>
      </c>
      <c r="AC185" s="206">
        <f t="shared" si="197"/>
        <v>1137</v>
      </c>
      <c r="AD185" s="206">
        <f t="shared" si="198"/>
        <v>1672</v>
      </c>
      <c r="AE185" s="205">
        <v>20515</v>
      </c>
      <c r="AF185" s="206">
        <f t="shared" si="199"/>
        <v>3355</v>
      </c>
      <c r="AG185" s="206">
        <f t="shared" si="200"/>
        <v>384</v>
      </c>
      <c r="AH185" s="206">
        <f t="shared" si="201"/>
        <v>1308</v>
      </c>
      <c r="AI185" s="206">
        <f t="shared" si="202"/>
        <v>1433</v>
      </c>
    </row>
    <row r="186" spans="1:35" x14ac:dyDescent="0.15">
      <c r="A186" s="205">
        <v>20516</v>
      </c>
      <c r="B186" s="206">
        <f t="shared" si="175"/>
        <v>3280</v>
      </c>
      <c r="C186" s="206">
        <f t="shared" si="176"/>
        <v>357</v>
      </c>
      <c r="D186" s="206">
        <f t="shared" si="177"/>
        <v>1230</v>
      </c>
      <c r="E186" s="206">
        <f t="shared" si="178"/>
        <v>1230</v>
      </c>
      <c r="F186" s="205">
        <v>20516</v>
      </c>
      <c r="G186" s="206">
        <f t="shared" si="179"/>
        <v>3280</v>
      </c>
      <c r="H186" s="206">
        <f t="shared" si="180"/>
        <v>193</v>
      </c>
      <c r="I186" s="206">
        <f t="shared" si="181"/>
        <v>1347</v>
      </c>
      <c r="J186" s="206">
        <f t="shared" si="182"/>
        <v>1230</v>
      </c>
      <c r="K186" s="205">
        <v>20516</v>
      </c>
      <c r="L186" s="206">
        <f t="shared" si="183"/>
        <v>3280</v>
      </c>
      <c r="M186" s="206">
        <f t="shared" si="184"/>
        <v>357</v>
      </c>
      <c r="N186" s="206">
        <f t="shared" si="185"/>
        <v>1230</v>
      </c>
      <c r="O186" s="206">
        <f t="shared" si="186"/>
        <v>1230</v>
      </c>
      <c r="P186" s="205">
        <v>20516</v>
      </c>
      <c r="Q186" s="206">
        <f t="shared" si="187"/>
        <v>3456</v>
      </c>
      <c r="R186" s="206">
        <f t="shared" si="188"/>
        <v>326</v>
      </c>
      <c r="S186" s="206">
        <f t="shared" si="189"/>
        <v>1171</v>
      </c>
      <c r="T186" s="206">
        <f t="shared" si="190"/>
        <v>1476</v>
      </c>
      <c r="U186" s="205">
        <v>20516</v>
      </c>
      <c r="V186" s="206">
        <f t="shared" si="191"/>
        <v>3280</v>
      </c>
      <c r="W186" s="206">
        <f t="shared" si="192"/>
        <v>745</v>
      </c>
      <c r="X186" s="206">
        <f t="shared" si="193"/>
        <v>1464</v>
      </c>
      <c r="Y186" s="206">
        <f t="shared" si="194"/>
        <v>1230</v>
      </c>
      <c r="Z186" s="205">
        <v>20516</v>
      </c>
      <c r="AA186" s="206">
        <f t="shared" si="195"/>
        <v>3732</v>
      </c>
      <c r="AB186" s="206">
        <f t="shared" si="196"/>
        <v>1273</v>
      </c>
      <c r="AC186" s="206">
        <f t="shared" si="197"/>
        <v>1171</v>
      </c>
      <c r="AD186" s="206">
        <f t="shared" si="198"/>
        <v>1722</v>
      </c>
      <c r="AE186" s="205">
        <v>20516</v>
      </c>
      <c r="AF186" s="206">
        <f t="shared" si="199"/>
        <v>3456</v>
      </c>
      <c r="AG186" s="206">
        <f t="shared" si="200"/>
        <v>396</v>
      </c>
      <c r="AH186" s="206">
        <f t="shared" si="201"/>
        <v>1347</v>
      </c>
      <c r="AI186" s="206">
        <f t="shared" si="202"/>
        <v>1476</v>
      </c>
    </row>
    <row r="187" spans="1:35" x14ac:dyDescent="0.15">
      <c r="A187" s="205">
        <v>20517</v>
      </c>
      <c r="B187" s="206">
        <f t="shared" si="175"/>
        <v>3376</v>
      </c>
      <c r="C187" s="206">
        <f t="shared" si="176"/>
        <v>367</v>
      </c>
      <c r="D187" s="206">
        <f t="shared" si="177"/>
        <v>1266</v>
      </c>
      <c r="E187" s="206">
        <f t="shared" si="178"/>
        <v>1266</v>
      </c>
      <c r="F187" s="205">
        <v>20517</v>
      </c>
      <c r="G187" s="206">
        <f t="shared" si="179"/>
        <v>3376</v>
      </c>
      <c r="H187" s="206">
        <f t="shared" si="180"/>
        <v>199</v>
      </c>
      <c r="I187" s="206">
        <f t="shared" si="181"/>
        <v>1387</v>
      </c>
      <c r="J187" s="206">
        <f t="shared" si="182"/>
        <v>1266</v>
      </c>
      <c r="K187" s="205">
        <v>20517</v>
      </c>
      <c r="L187" s="206">
        <f t="shared" si="183"/>
        <v>3376</v>
      </c>
      <c r="M187" s="206">
        <f t="shared" si="184"/>
        <v>367</v>
      </c>
      <c r="N187" s="206">
        <f t="shared" si="185"/>
        <v>1266</v>
      </c>
      <c r="O187" s="206">
        <f t="shared" si="186"/>
        <v>1266</v>
      </c>
      <c r="P187" s="205">
        <v>20517</v>
      </c>
      <c r="Q187" s="206">
        <f t="shared" si="187"/>
        <v>3557</v>
      </c>
      <c r="R187" s="206">
        <f t="shared" si="188"/>
        <v>335</v>
      </c>
      <c r="S187" s="206">
        <f t="shared" si="189"/>
        <v>1206</v>
      </c>
      <c r="T187" s="206">
        <f t="shared" si="190"/>
        <v>1519</v>
      </c>
      <c r="U187" s="205">
        <v>20517</v>
      </c>
      <c r="V187" s="206">
        <f t="shared" si="191"/>
        <v>3376</v>
      </c>
      <c r="W187" s="206">
        <f t="shared" si="192"/>
        <v>767</v>
      </c>
      <c r="X187" s="206">
        <f t="shared" si="193"/>
        <v>1507</v>
      </c>
      <c r="Y187" s="206">
        <f t="shared" si="194"/>
        <v>1266</v>
      </c>
      <c r="Z187" s="205">
        <v>20517</v>
      </c>
      <c r="AA187" s="206">
        <f t="shared" si="195"/>
        <v>3841</v>
      </c>
      <c r="AB187" s="206">
        <f t="shared" si="196"/>
        <v>1310</v>
      </c>
      <c r="AC187" s="206">
        <f t="shared" si="197"/>
        <v>1206</v>
      </c>
      <c r="AD187" s="206">
        <f t="shared" si="198"/>
        <v>1772</v>
      </c>
      <c r="AE187" s="205">
        <v>20517</v>
      </c>
      <c r="AF187" s="206">
        <f t="shared" si="199"/>
        <v>3557</v>
      </c>
      <c r="AG187" s="206">
        <f t="shared" si="200"/>
        <v>408</v>
      </c>
      <c r="AH187" s="206">
        <f t="shared" si="201"/>
        <v>1387</v>
      </c>
      <c r="AI187" s="206">
        <f t="shared" si="202"/>
        <v>1519</v>
      </c>
    </row>
    <row r="188" spans="1:35" x14ac:dyDescent="0.15">
      <c r="A188" s="205">
        <v>20518</v>
      </c>
      <c r="B188" s="206">
        <f t="shared" si="175"/>
        <v>3472</v>
      </c>
      <c r="C188" s="206">
        <f t="shared" si="176"/>
        <v>378</v>
      </c>
      <c r="D188" s="206">
        <f t="shared" si="177"/>
        <v>1302</v>
      </c>
      <c r="E188" s="206">
        <f t="shared" si="178"/>
        <v>1302</v>
      </c>
      <c r="F188" s="205">
        <v>20518</v>
      </c>
      <c r="G188" s="206">
        <f t="shared" si="179"/>
        <v>3472</v>
      </c>
      <c r="H188" s="206">
        <f t="shared" si="180"/>
        <v>205</v>
      </c>
      <c r="I188" s="206">
        <f t="shared" si="181"/>
        <v>1426</v>
      </c>
      <c r="J188" s="206">
        <f t="shared" si="182"/>
        <v>1302</v>
      </c>
      <c r="K188" s="205">
        <v>20518</v>
      </c>
      <c r="L188" s="206">
        <f t="shared" si="183"/>
        <v>3472</v>
      </c>
      <c r="M188" s="206">
        <f t="shared" si="184"/>
        <v>378</v>
      </c>
      <c r="N188" s="206">
        <f t="shared" si="185"/>
        <v>1302</v>
      </c>
      <c r="O188" s="206">
        <f t="shared" si="186"/>
        <v>1302</v>
      </c>
      <c r="P188" s="205">
        <v>20518</v>
      </c>
      <c r="Q188" s="206">
        <f t="shared" si="187"/>
        <v>3658</v>
      </c>
      <c r="R188" s="206">
        <f t="shared" si="188"/>
        <v>345</v>
      </c>
      <c r="S188" s="206">
        <f t="shared" si="189"/>
        <v>1240</v>
      </c>
      <c r="T188" s="206">
        <f t="shared" si="190"/>
        <v>1562</v>
      </c>
      <c r="U188" s="205">
        <v>20518</v>
      </c>
      <c r="V188" s="206">
        <f t="shared" si="191"/>
        <v>3472</v>
      </c>
      <c r="W188" s="206">
        <f t="shared" si="192"/>
        <v>789</v>
      </c>
      <c r="X188" s="206">
        <f t="shared" si="193"/>
        <v>1550</v>
      </c>
      <c r="Y188" s="206">
        <f t="shared" si="194"/>
        <v>1302</v>
      </c>
      <c r="Z188" s="205">
        <v>20518</v>
      </c>
      <c r="AA188" s="206">
        <f t="shared" si="195"/>
        <v>3950</v>
      </c>
      <c r="AB188" s="206">
        <f t="shared" si="196"/>
        <v>1348</v>
      </c>
      <c r="AC188" s="206">
        <f t="shared" si="197"/>
        <v>1240</v>
      </c>
      <c r="AD188" s="206">
        <f t="shared" si="198"/>
        <v>1823</v>
      </c>
      <c r="AE188" s="205">
        <v>20518</v>
      </c>
      <c r="AF188" s="206">
        <f t="shared" si="199"/>
        <v>3658</v>
      </c>
      <c r="AG188" s="206">
        <f t="shared" si="200"/>
        <v>419</v>
      </c>
      <c r="AH188" s="206">
        <f t="shared" si="201"/>
        <v>1426</v>
      </c>
      <c r="AI188" s="206">
        <f t="shared" si="202"/>
        <v>1562</v>
      </c>
    </row>
    <row r="189" spans="1:35" x14ac:dyDescent="0.15">
      <c r="A189" s="205">
        <v>20519</v>
      </c>
      <c r="B189" s="206">
        <f t="shared" si="175"/>
        <v>3568</v>
      </c>
      <c r="C189" s="206">
        <f t="shared" si="176"/>
        <v>388</v>
      </c>
      <c r="D189" s="206">
        <f t="shared" si="177"/>
        <v>1338</v>
      </c>
      <c r="E189" s="206">
        <f t="shared" si="178"/>
        <v>1338</v>
      </c>
      <c r="F189" s="205">
        <v>20519</v>
      </c>
      <c r="G189" s="206">
        <f t="shared" si="179"/>
        <v>3568</v>
      </c>
      <c r="H189" s="206">
        <f t="shared" si="180"/>
        <v>210</v>
      </c>
      <c r="I189" s="206">
        <f t="shared" si="181"/>
        <v>1465</v>
      </c>
      <c r="J189" s="206">
        <f t="shared" si="182"/>
        <v>1338</v>
      </c>
      <c r="K189" s="205">
        <v>20519</v>
      </c>
      <c r="L189" s="206">
        <f t="shared" si="183"/>
        <v>3568</v>
      </c>
      <c r="M189" s="206">
        <f t="shared" si="184"/>
        <v>388</v>
      </c>
      <c r="N189" s="206">
        <f t="shared" si="185"/>
        <v>1338</v>
      </c>
      <c r="O189" s="206">
        <f t="shared" si="186"/>
        <v>1338</v>
      </c>
      <c r="P189" s="205">
        <v>20519</v>
      </c>
      <c r="Q189" s="206">
        <f t="shared" si="187"/>
        <v>3760</v>
      </c>
      <c r="R189" s="206">
        <f t="shared" si="188"/>
        <v>354</v>
      </c>
      <c r="S189" s="206">
        <f t="shared" si="189"/>
        <v>1274</v>
      </c>
      <c r="T189" s="206">
        <f t="shared" si="190"/>
        <v>1606</v>
      </c>
      <c r="U189" s="205">
        <v>20519</v>
      </c>
      <c r="V189" s="206">
        <f t="shared" si="191"/>
        <v>3568</v>
      </c>
      <c r="W189" s="206">
        <f t="shared" si="192"/>
        <v>810</v>
      </c>
      <c r="X189" s="206">
        <f t="shared" si="193"/>
        <v>1593</v>
      </c>
      <c r="Y189" s="206">
        <f t="shared" si="194"/>
        <v>1338</v>
      </c>
      <c r="Z189" s="205">
        <v>20519</v>
      </c>
      <c r="AA189" s="206">
        <f t="shared" si="195"/>
        <v>4059</v>
      </c>
      <c r="AB189" s="206">
        <f t="shared" si="196"/>
        <v>1385</v>
      </c>
      <c r="AC189" s="206">
        <f t="shared" si="197"/>
        <v>1274</v>
      </c>
      <c r="AD189" s="206">
        <f t="shared" si="198"/>
        <v>1873</v>
      </c>
      <c r="AE189" s="205">
        <v>20519</v>
      </c>
      <c r="AF189" s="206">
        <f t="shared" si="199"/>
        <v>3760</v>
      </c>
      <c r="AG189" s="206">
        <f t="shared" si="200"/>
        <v>431</v>
      </c>
      <c r="AH189" s="206">
        <f t="shared" si="201"/>
        <v>1465</v>
      </c>
      <c r="AI189" s="206">
        <f t="shared" si="202"/>
        <v>1606</v>
      </c>
    </row>
    <row r="190" spans="1:35" x14ac:dyDescent="0.15">
      <c r="A190" s="205">
        <v>20520</v>
      </c>
      <c r="B190" s="206">
        <f t="shared" si="175"/>
        <v>3664</v>
      </c>
      <c r="C190" s="206">
        <f t="shared" si="176"/>
        <v>399</v>
      </c>
      <c r="D190" s="206">
        <f t="shared" si="177"/>
        <v>1374</v>
      </c>
      <c r="E190" s="206">
        <f t="shared" si="178"/>
        <v>1374</v>
      </c>
      <c r="F190" s="205">
        <v>20520</v>
      </c>
      <c r="G190" s="206">
        <f t="shared" ref="G190:I191" si="203">AI73</f>
        <v>3664</v>
      </c>
      <c r="H190" s="206">
        <f t="shared" si="203"/>
        <v>216</v>
      </c>
      <c r="I190" s="206">
        <f t="shared" si="203"/>
        <v>1505</v>
      </c>
      <c r="J190" s="206">
        <f t="shared" si="182"/>
        <v>1374</v>
      </c>
      <c r="K190" s="205">
        <v>20520</v>
      </c>
      <c r="L190" s="206">
        <f t="shared" ref="L190:N191" si="204">BG73</f>
        <v>3664</v>
      </c>
      <c r="M190" s="206">
        <f t="shared" si="204"/>
        <v>399</v>
      </c>
      <c r="N190" s="206">
        <f t="shared" si="204"/>
        <v>1374</v>
      </c>
      <c r="O190" s="206">
        <f t="shared" si="186"/>
        <v>1374</v>
      </c>
      <c r="P190" s="205">
        <v>20520</v>
      </c>
      <c r="Q190" s="206">
        <f t="shared" ref="Q190:S191" si="205">CE73</f>
        <v>3861</v>
      </c>
      <c r="R190" s="206">
        <f t="shared" si="205"/>
        <v>364</v>
      </c>
      <c r="S190" s="206">
        <f t="shared" si="205"/>
        <v>1309</v>
      </c>
      <c r="T190" s="206">
        <f t="shared" si="190"/>
        <v>1649</v>
      </c>
      <c r="U190" s="205">
        <v>20520</v>
      </c>
      <c r="V190" s="206">
        <f t="shared" ref="V190:X191" si="206">DC73</f>
        <v>3664</v>
      </c>
      <c r="W190" s="206">
        <f t="shared" si="206"/>
        <v>832</v>
      </c>
      <c r="X190" s="206">
        <f t="shared" si="206"/>
        <v>1636</v>
      </c>
      <c r="Y190" s="206">
        <f t="shared" si="194"/>
        <v>1374</v>
      </c>
      <c r="Z190" s="205">
        <v>20520</v>
      </c>
      <c r="AA190" s="206">
        <f t="shared" ref="AA190:AC191" si="207">EA73</f>
        <v>4169</v>
      </c>
      <c r="AB190" s="206">
        <f t="shared" si="207"/>
        <v>1422</v>
      </c>
      <c r="AC190" s="206">
        <f t="shared" si="207"/>
        <v>1309</v>
      </c>
      <c r="AD190" s="206">
        <f t="shared" si="198"/>
        <v>1924</v>
      </c>
      <c r="AE190" s="205">
        <v>20520</v>
      </c>
      <c r="AF190" s="206">
        <f t="shared" ref="AF190:AH191" si="208">EY73</f>
        <v>3861</v>
      </c>
      <c r="AG190" s="206">
        <f t="shared" si="208"/>
        <v>442</v>
      </c>
      <c r="AH190" s="206">
        <f t="shared" si="208"/>
        <v>1505</v>
      </c>
      <c r="AI190" s="206">
        <f t="shared" si="202"/>
        <v>1649</v>
      </c>
    </row>
    <row r="191" spans="1:35" x14ac:dyDescent="0.15">
      <c r="A191" s="205">
        <v>20521</v>
      </c>
      <c r="B191" s="206">
        <f>K74</f>
        <v>3760</v>
      </c>
      <c r="C191" s="206">
        <f t="shared" si="176"/>
        <v>409</v>
      </c>
      <c r="D191" s="206">
        <f t="shared" si="177"/>
        <v>1410</v>
      </c>
      <c r="E191" s="206">
        <f t="shared" si="178"/>
        <v>1410</v>
      </c>
      <c r="F191" s="205">
        <v>20521</v>
      </c>
      <c r="G191" s="206">
        <f t="shared" si="203"/>
        <v>3760</v>
      </c>
      <c r="H191" s="206">
        <f t="shared" si="203"/>
        <v>222</v>
      </c>
      <c r="I191" s="206">
        <f t="shared" si="203"/>
        <v>1544</v>
      </c>
      <c r="J191" s="206">
        <f t="shared" si="182"/>
        <v>1410</v>
      </c>
      <c r="K191" s="205">
        <v>20521</v>
      </c>
      <c r="L191" s="206">
        <f t="shared" si="204"/>
        <v>3760</v>
      </c>
      <c r="M191" s="206">
        <f t="shared" si="204"/>
        <v>409</v>
      </c>
      <c r="N191" s="206">
        <f t="shared" si="204"/>
        <v>1410</v>
      </c>
      <c r="O191" s="206">
        <f t="shared" si="186"/>
        <v>1410</v>
      </c>
      <c r="P191" s="205">
        <v>20521</v>
      </c>
      <c r="Q191" s="206">
        <f t="shared" si="205"/>
        <v>3962</v>
      </c>
      <c r="R191" s="206">
        <f t="shared" si="205"/>
        <v>374</v>
      </c>
      <c r="S191" s="206">
        <f t="shared" si="205"/>
        <v>1343</v>
      </c>
      <c r="T191" s="206">
        <f t="shared" si="190"/>
        <v>1692</v>
      </c>
      <c r="U191" s="205">
        <v>20521</v>
      </c>
      <c r="V191" s="206">
        <f t="shared" si="206"/>
        <v>3760</v>
      </c>
      <c r="W191" s="206">
        <f t="shared" si="206"/>
        <v>854</v>
      </c>
      <c r="X191" s="206">
        <f t="shared" si="206"/>
        <v>1679</v>
      </c>
      <c r="Y191" s="206">
        <f t="shared" si="194"/>
        <v>1410</v>
      </c>
      <c r="Z191" s="205">
        <v>20521</v>
      </c>
      <c r="AA191" s="206">
        <f t="shared" si="207"/>
        <v>4278</v>
      </c>
      <c r="AB191" s="206">
        <f t="shared" si="207"/>
        <v>1459</v>
      </c>
      <c r="AC191" s="206">
        <f t="shared" si="207"/>
        <v>1343</v>
      </c>
      <c r="AD191" s="206">
        <f t="shared" si="198"/>
        <v>1974</v>
      </c>
      <c r="AE191" s="205">
        <v>20521</v>
      </c>
      <c r="AF191" s="206">
        <f t="shared" si="208"/>
        <v>3962</v>
      </c>
      <c r="AG191" s="206">
        <f t="shared" si="208"/>
        <v>454</v>
      </c>
      <c r="AH191" s="206">
        <f t="shared" si="208"/>
        <v>1544</v>
      </c>
      <c r="AI191" s="206">
        <f t="shared" si="202"/>
        <v>1692</v>
      </c>
    </row>
    <row r="192" spans="1:35" x14ac:dyDescent="0.15">
      <c r="A192" s="205">
        <v>30301</v>
      </c>
      <c r="B192" s="206">
        <f>S21</f>
        <v>1192</v>
      </c>
      <c r="C192" s="206">
        <f t="shared" ref="C192:D207" si="209">T21</f>
        <v>130</v>
      </c>
      <c r="D192" s="206">
        <f t="shared" si="209"/>
        <v>447</v>
      </c>
      <c r="E192" s="206">
        <f t="shared" ref="E192:E207" si="210">X21</f>
        <v>447</v>
      </c>
      <c r="F192" s="205">
        <v>30301</v>
      </c>
      <c r="G192" s="206">
        <f t="shared" ref="G192:G223" si="211">AQ21</f>
        <v>1192</v>
      </c>
      <c r="H192" s="206">
        <f t="shared" ref="H192:H223" si="212">AR21</f>
        <v>70</v>
      </c>
      <c r="I192" s="206">
        <f t="shared" ref="I192:I223" si="213">AS21</f>
        <v>490</v>
      </c>
      <c r="J192" s="206">
        <f t="shared" ref="J192:J223" si="214">AV21</f>
        <v>447</v>
      </c>
      <c r="K192" s="205">
        <v>30301</v>
      </c>
      <c r="L192" s="206">
        <f t="shared" ref="L192:L223" si="215">BO21</f>
        <v>1192</v>
      </c>
      <c r="M192" s="206">
        <f t="shared" ref="M192:M223" si="216">BP21</f>
        <v>130</v>
      </c>
      <c r="N192" s="206">
        <f t="shared" ref="N192:N223" si="217">BQ21</f>
        <v>447</v>
      </c>
      <c r="O192" s="206">
        <f t="shared" ref="O192:O223" si="218">BT21</f>
        <v>447</v>
      </c>
      <c r="P192" s="205">
        <v>30301</v>
      </c>
      <c r="Q192" s="206">
        <f t="shared" ref="Q192:Q223" si="219">CM21</f>
        <v>1256</v>
      </c>
      <c r="R192" s="206">
        <f t="shared" ref="R192:R223" si="220">CN21</f>
        <v>118</v>
      </c>
      <c r="S192" s="206">
        <f t="shared" ref="S192:S223" si="221">CO21</f>
        <v>426</v>
      </c>
      <c r="T192" s="206">
        <f t="shared" ref="T192:T223" si="222">CR21</f>
        <v>536</v>
      </c>
      <c r="U192" s="205">
        <v>30301</v>
      </c>
      <c r="V192" s="206">
        <f t="shared" ref="V192:V223" si="223">DK21</f>
        <v>1192</v>
      </c>
      <c r="W192" s="206">
        <f t="shared" ref="W192:W223" si="224">DL21</f>
        <v>271</v>
      </c>
      <c r="X192" s="206">
        <f t="shared" ref="X192:X223" si="225">DM21</f>
        <v>532</v>
      </c>
      <c r="Y192" s="206">
        <f t="shared" ref="Y192:Y223" si="226">DP21</f>
        <v>447</v>
      </c>
      <c r="Z192" s="205">
        <v>30301</v>
      </c>
      <c r="AA192" s="206">
        <f t="shared" ref="AA192:AA223" si="227">EI21</f>
        <v>1356</v>
      </c>
      <c r="AB192" s="206">
        <f t="shared" ref="AB192:AB223" si="228">EJ21</f>
        <v>463</v>
      </c>
      <c r="AC192" s="206">
        <f t="shared" ref="AC192:AC223" si="229">EK21</f>
        <v>426</v>
      </c>
      <c r="AD192" s="206">
        <f t="shared" ref="AD192:AD223" si="230">EN21</f>
        <v>626</v>
      </c>
      <c r="AE192" s="205">
        <v>30301</v>
      </c>
      <c r="AF192" s="206">
        <f t="shared" ref="AF192:AF223" si="231">FG21</f>
        <v>1256</v>
      </c>
      <c r="AG192" s="206">
        <f t="shared" ref="AG192:AG223" si="232">FH21</f>
        <v>144</v>
      </c>
      <c r="AH192" s="206">
        <f t="shared" ref="AH192:AH223" si="233">FI21</f>
        <v>490</v>
      </c>
      <c r="AI192" s="206">
        <f t="shared" ref="AI192:AI223" si="234">FL21</f>
        <v>536</v>
      </c>
    </row>
    <row r="193" spans="1:35" x14ac:dyDescent="0.15">
      <c r="A193" s="205">
        <v>30302</v>
      </c>
      <c r="B193" s="206">
        <f t="shared" ref="B193:B245" si="235">S22</f>
        <v>1264</v>
      </c>
      <c r="C193" s="206">
        <f t="shared" si="209"/>
        <v>137</v>
      </c>
      <c r="D193" s="206">
        <f t="shared" si="209"/>
        <v>474</v>
      </c>
      <c r="E193" s="206">
        <f t="shared" si="210"/>
        <v>474</v>
      </c>
      <c r="F193" s="205">
        <v>30302</v>
      </c>
      <c r="G193" s="206">
        <f t="shared" si="211"/>
        <v>1264</v>
      </c>
      <c r="H193" s="206">
        <f t="shared" si="212"/>
        <v>74</v>
      </c>
      <c r="I193" s="206">
        <f t="shared" si="213"/>
        <v>519</v>
      </c>
      <c r="J193" s="206">
        <f t="shared" si="214"/>
        <v>474</v>
      </c>
      <c r="K193" s="205">
        <v>30302</v>
      </c>
      <c r="L193" s="206">
        <f t="shared" si="215"/>
        <v>1264</v>
      </c>
      <c r="M193" s="206">
        <f t="shared" si="216"/>
        <v>137</v>
      </c>
      <c r="N193" s="206">
        <f t="shared" si="217"/>
        <v>474</v>
      </c>
      <c r="O193" s="206">
        <f t="shared" si="218"/>
        <v>474</v>
      </c>
      <c r="P193" s="205">
        <v>30302</v>
      </c>
      <c r="Q193" s="206">
        <f t="shared" si="219"/>
        <v>1332</v>
      </c>
      <c r="R193" s="206">
        <f t="shared" si="220"/>
        <v>126</v>
      </c>
      <c r="S193" s="206">
        <f t="shared" si="221"/>
        <v>451</v>
      </c>
      <c r="T193" s="206">
        <f t="shared" si="222"/>
        <v>569</v>
      </c>
      <c r="U193" s="205">
        <v>30302</v>
      </c>
      <c r="V193" s="206">
        <f t="shared" si="223"/>
        <v>1264</v>
      </c>
      <c r="W193" s="206">
        <f t="shared" si="224"/>
        <v>287</v>
      </c>
      <c r="X193" s="206">
        <f t="shared" si="225"/>
        <v>564</v>
      </c>
      <c r="Y193" s="206">
        <f t="shared" si="226"/>
        <v>474</v>
      </c>
      <c r="Z193" s="205">
        <v>30302</v>
      </c>
      <c r="AA193" s="206">
        <f t="shared" si="227"/>
        <v>1438</v>
      </c>
      <c r="AB193" s="206">
        <f t="shared" si="228"/>
        <v>491</v>
      </c>
      <c r="AC193" s="206">
        <f t="shared" si="229"/>
        <v>451</v>
      </c>
      <c r="AD193" s="206">
        <f t="shared" si="230"/>
        <v>664</v>
      </c>
      <c r="AE193" s="205">
        <v>30302</v>
      </c>
      <c r="AF193" s="206">
        <f t="shared" si="231"/>
        <v>1332</v>
      </c>
      <c r="AG193" s="206">
        <f t="shared" si="232"/>
        <v>153</v>
      </c>
      <c r="AH193" s="206">
        <f t="shared" si="233"/>
        <v>519</v>
      </c>
      <c r="AI193" s="206">
        <f t="shared" si="234"/>
        <v>569</v>
      </c>
    </row>
    <row r="194" spans="1:35" x14ac:dyDescent="0.15">
      <c r="A194" s="205">
        <v>30303</v>
      </c>
      <c r="B194" s="206">
        <f t="shared" si="235"/>
        <v>1336</v>
      </c>
      <c r="C194" s="206">
        <f t="shared" si="209"/>
        <v>145</v>
      </c>
      <c r="D194" s="206">
        <f t="shared" si="209"/>
        <v>501</v>
      </c>
      <c r="E194" s="206">
        <f t="shared" si="210"/>
        <v>501</v>
      </c>
      <c r="F194" s="205">
        <v>30303</v>
      </c>
      <c r="G194" s="206">
        <f t="shared" si="211"/>
        <v>1336</v>
      </c>
      <c r="H194" s="206">
        <f t="shared" si="212"/>
        <v>79</v>
      </c>
      <c r="I194" s="206">
        <f t="shared" si="213"/>
        <v>549</v>
      </c>
      <c r="J194" s="206">
        <f t="shared" si="214"/>
        <v>501</v>
      </c>
      <c r="K194" s="205">
        <v>30303</v>
      </c>
      <c r="L194" s="206">
        <f t="shared" si="215"/>
        <v>1336</v>
      </c>
      <c r="M194" s="206">
        <f t="shared" si="216"/>
        <v>145</v>
      </c>
      <c r="N194" s="206">
        <f t="shared" si="217"/>
        <v>501</v>
      </c>
      <c r="O194" s="206">
        <f t="shared" si="218"/>
        <v>501</v>
      </c>
      <c r="P194" s="205">
        <v>30303</v>
      </c>
      <c r="Q194" s="206">
        <f t="shared" si="219"/>
        <v>1408</v>
      </c>
      <c r="R194" s="206">
        <f t="shared" si="220"/>
        <v>133</v>
      </c>
      <c r="S194" s="206">
        <f t="shared" si="221"/>
        <v>477</v>
      </c>
      <c r="T194" s="206">
        <f t="shared" si="222"/>
        <v>601</v>
      </c>
      <c r="U194" s="205">
        <v>30303</v>
      </c>
      <c r="V194" s="206">
        <f t="shared" si="223"/>
        <v>1336</v>
      </c>
      <c r="W194" s="206">
        <f t="shared" si="224"/>
        <v>303</v>
      </c>
      <c r="X194" s="206">
        <f t="shared" si="225"/>
        <v>596</v>
      </c>
      <c r="Y194" s="206">
        <f t="shared" si="226"/>
        <v>501</v>
      </c>
      <c r="Z194" s="205">
        <v>30303</v>
      </c>
      <c r="AA194" s="206">
        <f t="shared" si="227"/>
        <v>1520</v>
      </c>
      <c r="AB194" s="206">
        <f t="shared" si="228"/>
        <v>519</v>
      </c>
      <c r="AC194" s="206">
        <f t="shared" si="229"/>
        <v>477</v>
      </c>
      <c r="AD194" s="206">
        <f t="shared" si="230"/>
        <v>701</v>
      </c>
      <c r="AE194" s="205">
        <v>30303</v>
      </c>
      <c r="AF194" s="206">
        <f t="shared" si="231"/>
        <v>1408</v>
      </c>
      <c r="AG194" s="206">
        <f t="shared" si="232"/>
        <v>161</v>
      </c>
      <c r="AH194" s="206">
        <f t="shared" si="233"/>
        <v>549</v>
      </c>
      <c r="AI194" s="206">
        <f t="shared" si="234"/>
        <v>601</v>
      </c>
    </row>
    <row r="195" spans="1:35" x14ac:dyDescent="0.15">
      <c r="A195" s="205">
        <v>30304</v>
      </c>
      <c r="B195" s="206">
        <f t="shared" si="235"/>
        <v>1408</v>
      </c>
      <c r="C195" s="206">
        <f t="shared" si="209"/>
        <v>153</v>
      </c>
      <c r="D195" s="206">
        <f t="shared" si="209"/>
        <v>528</v>
      </c>
      <c r="E195" s="206">
        <f t="shared" si="210"/>
        <v>528</v>
      </c>
      <c r="F195" s="205">
        <v>30304</v>
      </c>
      <c r="G195" s="206">
        <f t="shared" si="211"/>
        <v>1408</v>
      </c>
      <c r="H195" s="206">
        <f t="shared" si="212"/>
        <v>83</v>
      </c>
      <c r="I195" s="206">
        <f t="shared" si="213"/>
        <v>578</v>
      </c>
      <c r="J195" s="206">
        <f t="shared" si="214"/>
        <v>528</v>
      </c>
      <c r="K195" s="205">
        <v>30304</v>
      </c>
      <c r="L195" s="206">
        <f t="shared" si="215"/>
        <v>1408</v>
      </c>
      <c r="M195" s="206">
        <f t="shared" si="216"/>
        <v>153</v>
      </c>
      <c r="N195" s="206">
        <f t="shared" si="217"/>
        <v>528</v>
      </c>
      <c r="O195" s="206">
        <f t="shared" si="218"/>
        <v>528</v>
      </c>
      <c r="P195" s="205">
        <v>30304</v>
      </c>
      <c r="Q195" s="206">
        <f t="shared" si="219"/>
        <v>1484</v>
      </c>
      <c r="R195" s="206">
        <f t="shared" si="220"/>
        <v>140</v>
      </c>
      <c r="S195" s="206">
        <f t="shared" si="221"/>
        <v>503</v>
      </c>
      <c r="T195" s="206">
        <f t="shared" si="222"/>
        <v>634</v>
      </c>
      <c r="U195" s="205">
        <v>30304</v>
      </c>
      <c r="V195" s="206">
        <f t="shared" si="223"/>
        <v>1408</v>
      </c>
      <c r="W195" s="206">
        <f t="shared" si="224"/>
        <v>320</v>
      </c>
      <c r="X195" s="206">
        <f t="shared" si="225"/>
        <v>629</v>
      </c>
      <c r="Y195" s="206">
        <f t="shared" si="226"/>
        <v>528</v>
      </c>
      <c r="Z195" s="205">
        <v>30304</v>
      </c>
      <c r="AA195" s="206">
        <f t="shared" si="227"/>
        <v>1602</v>
      </c>
      <c r="AB195" s="206">
        <f t="shared" si="228"/>
        <v>546</v>
      </c>
      <c r="AC195" s="206">
        <f t="shared" si="229"/>
        <v>503</v>
      </c>
      <c r="AD195" s="206">
        <f t="shared" si="230"/>
        <v>739</v>
      </c>
      <c r="AE195" s="205">
        <v>30304</v>
      </c>
      <c r="AF195" s="206">
        <f t="shared" si="231"/>
        <v>1484</v>
      </c>
      <c r="AG195" s="206">
        <f t="shared" si="232"/>
        <v>170</v>
      </c>
      <c r="AH195" s="206">
        <f t="shared" si="233"/>
        <v>578</v>
      </c>
      <c r="AI195" s="206">
        <f t="shared" si="234"/>
        <v>634</v>
      </c>
    </row>
    <row r="196" spans="1:35" x14ac:dyDescent="0.15">
      <c r="A196" s="205">
        <v>30305</v>
      </c>
      <c r="B196" s="206">
        <f t="shared" si="235"/>
        <v>1480</v>
      </c>
      <c r="C196" s="206">
        <f t="shared" si="209"/>
        <v>161</v>
      </c>
      <c r="D196" s="206">
        <f t="shared" si="209"/>
        <v>555</v>
      </c>
      <c r="E196" s="206">
        <f t="shared" si="210"/>
        <v>555</v>
      </c>
      <c r="F196" s="205">
        <v>30305</v>
      </c>
      <c r="G196" s="206">
        <f t="shared" si="211"/>
        <v>1480</v>
      </c>
      <c r="H196" s="206">
        <f t="shared" si="212"/>
        <v>87</v>
      </c>
      <c r="I196" s="206">
        <f t="shared" si="213"/>
        <v>608</v>
      </c>
      <c r="J196" s="206">
        <f t="shared" si="214"/>
        <v>555</v>
      </c>
      <c r="K196" s="205">
        <v>30305</v>
      </c>
      <c r="L196" s="206">
        <f t="shared" si="215"/>
        <v>1480</v>
      </c>
      <c r="M196" s="206">
        <f t="shared" si="216"/>
        <v>161</v>
      </c>
      <c r="N196" s="206">
        <f t="shared" si="217"/>
        <v>555</v>
      </c>
      <c r="O196" s="206">
        <f t="shared" si="218"/>
        <v>555</v>
      </c>
      <c r="P196" s="205">
        <v>30305</v>
      </c>
      <c r="Q196" s="206">
        <f t="shared" si="219"/>
        <v>1559</v>
      </c>
      <c r="R196" s="206">
        <f t="shared" si="220"/>
        <v>147</v>
      </c>
      <c r="S196" s="206">
        <f t="shared" si="221"/>
        <v>529</v>
      </c>
      <c r="T196" s="206">
        <f t="shared" si="222"/>
        <v>666</v>
      </c>
      <c r="U196" s="205">
        <v>30305</v>
      </c>
      <c r="V196" s="206">
        <f t="shared" si="223"/>
        <v>1480</v>
      </c>
      <c r="W196" s="206">
        <f t="shared" si="224"/>
        <v>336</v>
      </c>
      <c r="X196" s="206">
        <f t="shared" si="225"/>
        <v>661</v>
      </c>
      <c r="Y196" s="206">
        <f t="shared" si="226"/>
        <v>555</v>
      </c>
      <c r="Z196" s="205">
        <v>30305</v>
      </c>
      <c r="AA196" s="206">
        <f t="shared" si="227"/>
        <v>1684</v>
      </c>
      <c r="AB196" s="206">
        <f t="shared" si="228"/>
        <v>574</v>
      </c>
      <c r="AC196" s="206">
        <f t="shared" si="229"/>
        <v>529</v>
      </c>
      <c r="AD196" s="206">
        <f t="shared" si="230"/>
        <v>777</v>
      </c>
      <c r="AE196" s="205">
        <v>30305</v>
      </c>
      <c r="AF196" s="206">
        <f t="shared" si="231"/>
        <v>1559</v>
      </c>
      <c r="AG196" s="206">
        <f t="shared" si="232"/>
        <v>179</v>
      </c>
      <c r="AH196" s="206">
        <f t="shared" si="233"/>
        <v>608</v>
      </c>
      <c r="AI196" s="206">
        <f t="shared" si="234"/>
        <v>666</v>
      </c>
    </row>
    <row r="197" spans="1:35" x14ac:dyDescent="0.15">
      <c r="A197" s="205">
        <v>30306</v>
      </c>
      <c r="B197" s="206">
        <f t="shared" si="235"/>
        <v>1552</v>
      </c>
      <c r="C197" s="206">
        <f t="shared" si="209"/>
        <v>169</v>
      </c>
      <c r="D197" s="206">
        <f t="shared" si="209"/>
        <v>582</v>
      </c>
      <c r="E197" s="206">
        <f t="shared" si="210"/>
        <v>582</v>
      </c>
      <c r="F197" s="205">
        <v>30306</v>
      </c>
      <c r="G197" s="206">
        <f t="shared" si="211"/>
        <v>1552</v>
      </c>
      <c r="H197" s="206">
        <f t="shared" si="212"/>
        <v>91</v>
      </c>
      <c r="I197" s="206">
        <f t="shared" si="213"/>
        <v>637</v>
      </c>
      <c r="J197" s="206">
        <f t="shared" si="214"/>
        <v>582</v>
      </c>
      <c r="K197" s="205">
        <v>30306</v>
      </c>
      <c r="L197" s="206">
        <f t="shared" si="215"/>
        <v>1552</v>
      </c>
      <c r="M197" s="206">
        <f t="shared" si="216"/>
        <v>169</v>
      </c>
      <c r="N197" s="206">
        <f t="shared" si="217"/>
        <v>582</v>
      </c>
      <c r="O197" s="206">
        <f t="shared" si="218"/>
        <v>582</v>
      </c>
      <c r="P197" s="205">
        <v>30306</v>
      </c>
      <c r="Q197" s="206">
        <f t="shared" si="219"/>
        <v>1635</v>
      </c>
      <c r="R197" s="206">
        <f t="shared" si="220"/>
        <v>154</v>
      </c>
      <c r="S197" s="206">
        <f t="shared" si="221"/>
        <v>554</v>
      </c>
      <c r="T197" s="206">
        <f t="shared" si="222"/>
        <v>698</v>
      </c>
      <c r="U197" s="205">
        <v>30306</v>
      </c>
      <c r="V197" s="206">
        <f t="shared" si="223"/>
        <v>1552</v>
      </c>
      <c r="W197" s="206">
        <f t="shared" si="224"/>
        <v>352</v>
      </c>
      <c r="X197" s="206">
        <f t="shared" si="225"/>
        <v>693</v>
      </c>
      <c r="Y197" s="206">
        <f t="shared" si="226"/>
        <v>582</v>
      </c>
      <c r="Z197" s="205">
        <v>30306</v>
      </c>
      <c r="AA197" s="206">
        <f t="shared" si="227"/>
        <v>1766</v>
      </c>
      <c r="AB197" s="206">
        <f t="shared" si="228"/>
        <v>602</v>
      </c>
      <c r="AC197" s="206">
        <f t="shared" si="229"/>
        <v>554</v>
      </c>
      <c r="AD197" s="206">
        <f t="shared" si="230"/>
        <v>815</v>
      </c>
      <c r="AE197" s="205">
        <v>30306</v>
      </c>
      <c r="AF197" s="206">
        <f t="shared" si="231"/>
        <v>1635</v>
      </c>
      <c r="AG197" s="206">
        <f t="shared" si="232"/>
        <v>187</v>
      </c>
      <c r="AH197" s="206">
        <f t="shared" si="233"/>
        <v>637</v>
      </c>
      <c r="AI197" s="206">
        <f t="shared" si="234"/>
        <v>698</v>
      </c>
    </row>
    <row r="198" spans="1:35" x14ac:dyDescent="0.15">
      <c r="A198" s="205">
        <v>30307</v>
      </c>
      <c r="B198" s="206">
        <f t="shared" si="235"/>
        <v>1624</v>
      </c>
      <c r="C198" s="206">
        <f t="shared" si="209"/>
        <v>177</v>
      </c>
      <c r="D198" s="206">
        <f t="shared" si="209"/>
        <v>609</v>
      </c>
      <c r="E198" s="206">
        <f t="shared" si="210"/>
        <v>609</v>
      </c>
      <c r="F198" s="205">
        <v>30307</v>
      </c>
      <c r="G198" s="206">
        <f t="shared" si="211"/>
        <v>1624</v>
      </c>
      <c r="H198" s="206">
        <f t="shared" si="212"/>
        <v>96</v>
      </c>
      <c r="I198" s="206">
        <f t="shared" si="213"/>
        <v>667</v>
      </c>
      <c r="J198" s="206">
        <f t="shared" si="214"/>
        <v>609</v>
      </c>
      <c r="K198" s="205">
        <v>30307</v>
      </c>
      <c r="L198" s="206">
        <f t="shared" si="215"/>
        <v>1624</v>
      </c>
      <c r="M198" s="206">
        <f t="shared" si="216"/>
        <v>177</v>
      </c>
      <c r="N198" s="206">
        <f t="shared" si="217"/>
        <v>609</v>
      </c>
      <c r="O198" s="206">
        <f t="shared" si="218"/>
        <v>609</v>
      </c>
      <c r="P198" s="205">
        <v>30307</v>
      </c>
      <c r="Q198" s="206">
        <f t="shared" si="219"/>
        <v>1711</v>
      </c>
      <c r="R198" s="206">
        <f t="shared" si="220"/>
        <v>161</v>
      </c>
      <c r="S198" s="206">
        <f t="shared" si="221"/>
        <v>580</v>
      </c>
      <c r="T198" s="206">
        <f t="shared" si="222"/>
        <v>731</v>
      </c>
      <c r="U198" s="205">
        <v>30307</v>
      </c>
      <c r="V198" s="206">
        <f t="shared" si="223"/>
        <v>1624</v>
      </c>
      <c r="W198" s="206">
        <f t="shared" si="224"/>
        <v>369</v>
      </c>
      <c r="X198" s="206">
        <f t="shared" si="225"/>
        <v>725</v>
      </c>
      <c r="Y198" s="206">
        <f t="shared" si="226"/>
        <v>609</v>
      </c>
      <c r="Z198" s="205">
        <v>30307</v>
      </c>
      <c r="AA198" s="206">
        <f t="shared" si="227"/>
        <v>1848</v>
      </c>
      <c r="AB198" s="206">
        <f t="shared" si="228"/>
        <v>630</v>
      </c>
      <c r="AC198" s="206">
        <f t="shared" si="229"/>
        <v>580</v>
      </c>
      <c r="AD198" s="206">
        <f t="shared" si="230"/>
        <v>853</v>
      </c>
      <c r="AE198" s="205">
        <v>30307</v>
      </c>
      <c r="AF198" s="206">
        <f t="shared" si="231"/>
        <v>1711</v>
      </c>
      <c r="AG198" s="206">
        <f t="shared" si="232"/>
        <v>196</v>
      </c>
      <c r="AH198" s="206">
        <f t="shared" si="233"/>
        <v>667</v>
      </c>
      <c r="AI198" s="206">
        <f t="shared" si="234"/>
        <v>731</v>
      </c>
    </row>
    <row r="199" spans="1:35" x14ac:dyDescent="0.15">
      <c r="A199" s="205">
        <v>30308</v>
      </c>
      <c r="B199" s="206">
        <f t="shared" si="235"/>
        <v>1696</v>
      </c>
      <c r="C199" s="206">
        <f t="shared" si="209"/>
        <v>184</v>
      </c>
      <c r="D199" s="206">
        <f t="shared" si="209"/>
        <v>636</v>
      </c>
      <c r="E199" s="206">
        <f t="shared" si="210"/>
        <v>636</v>
      </c>
      <c r="F199" s="205">
        <v>30308</v>
      </c>
      <c r="G199" s="206">
        <f t="shared" si="211"/>
        <v>1696</v>
      </c>
      <c r="H199" s="206">
        <f t="shared" si="212"/>
        <v>100</v>
      </c>
      <c r="I199" s="206">
        <f t="shared" si="213"/>
        <v>697</v>
      </c>
      <c r="J199" s="206">
        <f t="shared" si="214"/>
        <v>636</v>
      </c>
      <c r="K199" s="205">
        <v>30308</v>
      </c>
      <c r="L199" s="206">
        <f t="shared" si="215"/>
        <v>1696</v>
      </c>
      <c r="M199" s="206">
        <f t="shared" si="216"/>
        <v>184</v>
      </c>
      <c r="N199" s="206">
        <f t="shared" si="217"/>
        <v>636</v>
      </c>
      <c r="O199" s="206">
        <f t="shared" si="218"/>
        <v>636</v>
      </c>
      <c r="P199" s="205">
        <v>30308</v>
      </c>
      <c r="Q199" s="206">
        <f t="shared" si="219"/>
        <v>1787</v>
      </c>
      <c r="R199" s="206">
        <f t="shared" si="220"/>
        <v>168</v>
      </c>
      <c r="S199" s="206">
        <f t="shared" si="221"/>
        <v>606</v>
      </c>
      <c r="T199" s="206">
        <f t="shared" si="222"/>
        <v>763</v>
      </c>
      <c r="U199" s="205">
        <v>30308</v>
      </c>
      <c r="V199" s="206">
        <f t="shared" si="223"/>
        <v>1696</v>
      </c>
      <c r="W199" s="206">
        <f t="shared" si="224"/>
        <v>385</v>
      </c>
      <c r="X199" s="206">
        <f t="shared" si="225"/>
        <v>757</v>
      </c>
      <c r="Y199" s="206">
        <f t="shared" si="226"/>
        <v>636</v>
      </c>
      <c r="Z199" s="205">
        <v>30308</v>
      </c>
      <c r="AA199" s="206">
        <f t="shared" si="227"/>
        <v>1930</v>
      </c>
      <c r="AB199" s="206">
        <f t="shared" si="228"/>
        <v>658</v>
      </c>
      <c r="AC199" s="206">
        <f t="shared" si="229"/>
        <v>606</v>
      </c>
      <c r="AD199" s="206">
        <f t="shared" si="230"/>
        <v>890</v>
      </c>
      <c r="AE199" s="205">
        <v>30308</v>
      </c>
      <c r="AF199" s="206">
        <f t="shared" si="231"/>
        <v>1787</v>
      </c>
      <c r="AG199" s="206">
        <f t="shared" si="232"/>
        <v>205</v>
      </c>
      <c r="AH199" s="206">
        <f t="shared" si="233"/>
        <v>697</v>
      </c>
      <c r="AI199" s="206">
        <f t="shared" si="234"/>
        <v>763</v>
      </c>
    </row>
    <row r="200" spans="1:35" x14ac:dyDescent="0.15">
      <c r="A200" s="205">
        <v>30309</v>
      </c>
      <c r="B200" s="206">
        <f t="shared" si="235"/>
        <v>1768</v>
      </c>
      <c r="C200" s="206">
        <f t="shared" si="209"/>
        <v>192</v>
      </c>
      <c r="D200" s="206">
        <f t="shared" si="209"/>
        <v>663</v>
      </c>
      <c r="E200" s="206">
        <f t="shared" si="210"/>
        <v>663</v>
      </c>
      <c r="F200" s="205">
        <v>30309</v>
      </c>
      <c r="G200" s="206">
        <f t="shared" si="211"/>
        <v>1768</v>
      </c>
      <c r="H200" s="206">
        <f t="shared" si="212"/>
        <v>104</v>
      </c>
      <c r="I200" s="206">
        <f t="shared" si="213"/>
        <v>726</v>
      </c>
      <c r="J200" s="206">
        <f t="shared" si="214"/>
        <v>663</v>
      </c>
      <c r="K200" s="205">
        <v>30309</v>
      </c>
      <c r="L200" s="206">
        <f t="shared" si="215"/>
        <v>1768</v>
      </c>
      <c r="M200" s="206">
        <f t="shared" si="216"/>
        <v>192</v>
      </c>
      <c r="N200" s="206">
        <f t="shared" si="217"/>
        <v>663</v>
      </c>
      <c r="O200" s="206">
        <f t="shared" si="218"/>
        <v>663</v>
      </c>
      <c r="P200" s="205">
        <v>30309</v>
      </c>
      <c r="Q200" s="206">
        <f t="shared" si="219"/>
        <v>1863</v>
      </c>
      <c r="R200" s="206">
        <f t="shared" si="220"/>
        <v>176</v>
      </c>
      <c r="S200" s="206">
        <f t="shared" si="221"/>
        <v>631</v>
      </c>
      <c r="T200" s="206">
        <f t="shared" si="222"/>
        <v>796</v>
      </c>
      <c r="U200" s="205">
        <v>30309</v>
      </c>
      <c r="V200" s="206">
        <f t="shared" si="223"/>
        <v>1768</v>
      </c>
      <c r="W200" s="206">
        <f t="shared" si="224"/>
        <v>402</v>
      </c>
      <c r="X200" s="206">
        <f t="shared" si="225"/>
        <v>789</v>
      </c>
      <c r="Y200" s="206">
        <f t="shared" si="226"/>
        <v>663</v>
      </c>
      <c r="Z200" s="205">
        <v>30309</v>
      </c>
      <c r="AA200" s="206">
        <f t="shared" si="227"/>
        <v>2012</v>
      </c>
      <c r="AB200" s="206">
        <f t="shared" si="228"/>
        <v>686</v>
      </c>
      <c r="AC200" s="206">
        <f t="shared" si="229"/>
        <v>631</v>
      </c>
      <c r="AD200" s="206">
        <f t="shared" si="230"/>
        <v>928</v>
      </c>
      <c r="AE200" s="205">
        <v>30309</v>
      </c>
      <c r="AF200" s="206">
        <f t="shared" si="231"/>
        <v>1863</v>
      </c>
      <c r="AG200" s="206">
        <f t="shared" si="232"/>
        <v>213</v>
      </c>
      <c r="AH200" s="206">
        <f t="shared" si="233"/>
        <v>726</v>
      </c>
      <c r="AI200" s="206">
        <f t="shared" si="234"/>
        <v>796</v>
      </c>
    </row>
    <row r="201" spans="1:35" x14ac:dyDescent="0.15">
      <c r="A201" s="205">
        <v>30310</v>
      </c>
      <c r="B201" s="206">
        <f t="shared" si="235"/>
        <v>1840</v>
      </c>
      <c r="C201" s="206">
        <f t="shared" si="209"/>
        <v>200</v>
      </c>
      <c r="D201" s="206">
        <f t="shared" si="209"/>
        <v>690</v>
      </c>
      <c r="E201" s="206">
        <f t="shared" si="210"/>
        <v>690</v>
      </c>
      <c r="F201" s="205">
        <v>30310</v>
      </c>
      <c r="G201" s="206">
        <f t="shared" si="211"/>
        <v>1840</v>
      </c>
      <c r="H201" s="206">
        <f t="shared" si="212"/>
        <v>108</v>
      </c>
      <c r="I201" s="206">
        <f t="shared" si="213"/>
        <v>756</v>
      </c>
      <c r="J201" s="206">
        <f t="shared" si="214"/>
        <v>690</v>
      </c>
      <c r="K201" s="205">
        <v>30310</v>
      </c>
      <c r="L201" s="206">
        <f t="shared" si="215"/>
        <v>1840</v>
      </c>
      <c r="M201" s="206">
        <f t="shared" si="216"/>
        <v>200</v>
      </c>
      <c r="N201" s="206">
        <f t="shared" si="217"/>
        <v>690</v>
      </c>
      <c r="O201" s="206">
        <f t="shared" si="218"/>
        <v>690</v>
      </c>
      <c r="P201" s="205">
        <v>30310</v>
      </c>
      <c r="Q201" s="206">
        <f t="shared" si="219"/>
        <v>1939</v>
      </c>
      <c r="R201" s="206">
        <f t="shared" si="220"/>
        <v>183</v>
      </c>
      <c r="S201" s="206">
        <f t="shared" si="221"/>
        <v>657</v>
      </c>
      <c r="T201" s="206">
        <f t="shared" si="222"/>
        <v>828</v>
      </c>
      <c r="U201" s="205">
        <v>30310</v>
      </c>
      <c r="V201" s="206">
        <f t="shared" si="223"/>
        <v>1840</v>
      </c>
      <c r="W201" s="206">
        <f t="shared" si="224"/>
        <v>418</v>
      </c>
      <c r="X201" s="206">
        <f t="shared" si="225"/>
        <v>821</v>
      </c>
      <c r="Y201" s="206">
        <f t="shared" si="226"/>
        <v>690</v>
      </c>
      <c r="Z201" s="205">
        <v>30310</v>
      </c>
      <c r="AA201" s="206">
        <f t="shared" si="227"/>
        <v>2093</v>
      </c>
      <c r="AB201" s="206">
        <f t="shared" si="228"/>
        <v>714</v>
      </c>
      <c r="AC201" s="206">
        <f t="shared" si="229"/>
        <v>657</v>
      </c>
      <c r="AD201" s="206">
        <f t="shared" si="230"/>
        <v>966</v>
      </c>
      <c r="AE201" s="205">
        <v>30310</v>
      </c>
      <c r="AF201" s="206">
        <f t="shared" si="231"/>
        <v>1939</v>
      </c>
      <c r="AG201" s="206">
        <f t="shared" si="232"/>
        <v>222</v>
      </c>
      <c r="AH201" s="206">
        <f t="shared" si="233"/>
        <v>756</v>
      </c>
      <c r="AI201" s="206">
        <f t="shared" si="234"/>
        <v>828</v>
      </c>
    </row>
    <row r="202" spans="1:35" x14ac:dyDescent="0.15">
      <c r="A202" s="205">
        <v>30311</v>
      </c>
      <c r="B202" s="206">
        <f t="shared" si="235"/>
        <v>1928</v>
      </c>
      <c r="C202" s="206">
        <f t="shared" si="209"/>
        <v>210</v>
      </c>
      <c r="D202" s="206">
        <f t="shared" si="209"/>
        <v>723</v>
      </c>
      <c r="E202" s="206">
        <f t="shared" si="210"/>
        <v>723</v>
      </c>
      <c r="F202" s="205">
        <v>30311</v>
      </c>
      <c r="G202" s="206">
        <f t="shared" si="211"/>
        <v>1928</v>
      </c>
      <c r="H202" s="206">
        <f t="shared" si="212"/>
        <v>114</v>
      </c>
      <c r="I202" s="206">
        <f t="shared" si="213"/>
        <v>792</v>
      </c>
      <c r="J202" s="206">
        <f t="shared" si="214"/>
        <v>723</v>
      </c>
      <c r="K202" s="205">
        <v>30311</v>
      </c>
      <c r="L202" s="206">
        <f t="shared" si="215"/>
        <v>1928</v>
      </c>
      <c r="M202" s="206">
        <f t="shared" si="216"/>
        <v>210</v>
      </c>
      <c r="N202" s="206">
        <f t="shared" si="217"/>
        <v>723</v>
      </c>
      <c r="O202" s="206">
        <f t="shared" si="218"/>
        <v>723</v>
      </c>
      <c r="P202" s="205">
        <v>30311</v>
      </c>
      <c r="Q202" s="206">
        <f t="shared" si="219"/>
        <v>2032</v>
      </c>
      <c r="R202" s="206">
        <f t="shared" si="220"/>
        <v>192</v>
      </c>
      <c r="S202" s="206">
        <f t="shared" si="221"/>
        <v>689</v>
      </c>
      <c r="T202" s="206">
        <f t="shared" si="222"/>
        <v>868</v>
      </c>
      <c r="U202" s="205">
        <v>30311</v>
      </c>
      <c r="V202" s="206">
        <f t="shared" si="223"/>
        <v>1928</v>
      </c>
      <c r="W202" s="206">
        <f t="shared" si="224"/>
        <v>438</v>
      </c>
      <c r="X202" s="206">
        <f t="shared" si="225"/>
        <v>861</v>
      </c>
      <c r="Y202" s="206">
        <f t="shared" si="226"/>
        <v>723</v>
      </c>
      <c r="Z202" s="205">
        <v>30311</v>
      </c>
      <c r="AA202" s="206">
        <f t="shared" si="227"/>
        <v>2194</v>
      </c>
      <c r="AB202" s="206">
        <f t="shared" si="228"/>
        <v>748</v>
      </c>
      <c r="AC202" s="206">
        <f t="shared" si="229"/>
        <v>689</v>
      </c>
      <c r="AD202" s="206">
        <f t="shared" si="230"/>
        <v>1012</v>
      </c>
      <c r="AE202" s="205">
        <v>30311</v>
      </c>
      <c r="AF202" s="206">
        <f t="shared" si="231"/>
        <v>2032</v>
      </c>
      <c r="AG202" s="206">
        <f t="shared" si="232"/>
        <v>233</v>
      </c>
      <c r="AH202" s="206">
        <f t="shared" si="233"/>
        <v>792</v>
      </c>
      <c r="AI202" s="206">
        <f t="shared" si="234"/>
        <v>868</v>
      </c>
    </row>
    <row r="203" spans="1:35" x14ac:dyDescent="0.15">
      <c r="A203" s="205">
        <v>30312</v>
      </c>
      <c r="B203" s="206">
        <f t="shared" si="235"/>
        <v>2016</v>
      </c>
      <c r="C203" s="206">
        <f t="shared" si="209"/>
        <v>219</v>
      </c>
      <c r="D203" s="206">
        <f t="shared" si="209"/>
        <v>756</v>
      </c>
      <c r="E203" s="206">
        <f t="shared" si="210"/>
        <v>756</v>
      </c>
      <c r="F203" s="205">
        <v>30312</v>
      </c>
      <c r="G203" s="206">
        <f t="shared" si="211"/>
        <v>2016</v>
      </c>
      <c r="H203" s="206">
        <f t="shared" si="212"/>
        <v>119</v>
      </c>
      <c r="I203" s="206">
        <f t="shared" si="213"/>
        <v>828</v>
      </c>
      <c r="J203" s="206">
        <f t="shared" si="214"/>
        <v>756</v>
      </c>
      <c r="K203" s="205">
        <v>30312</v>
      </c>
      <c r="L203" s="206">
        <f t="shared" si="215"/>
        <v>2016</v>
      </c>
      <c r="M203" s="206">
        <f t="shared" si="216"/>
        <v>219</v>
      </c>
      <c r="N203" s="206">
        <f t="shared" si="217"/>
        <v>756</v>
      </c>
      <c r="O203" s="206">
        <f t="shared" si="218"/>
        <v>756</v>
      </c>
      <c r="P203" s="205">
        <v>30312</v>
      </c>
      <c r="Q203" s="206">
        <f t="shared" si="219"/>
        <v>2124</v>
      </c>
      <c r="R203" s="206">
        <f t="shared" si="220"/>
        <v>200</v>
      </c>
      <c r="S203" s="206">
        <f t="shared" si="221"/>
        <v>720</v>
      </c>
      <c r="T203" s="206">
        <f t="shared" si="222"/>
        <v>907</v>
      </c>
      <c r="U203" s="205">
        <v>30312</v>
      </c>
      <c r="V203" s="206">
        <f t="shared" si="223"/>
        <v>2016</v>
      </c>
      <c r="W203" s="206">
        <f t="shared" si="224"/>
        <v>458</v>
      </c>
      <c r="X203" s="206">
        <f t="shared" si="225"/>
        <v>900</v>
      </c>
      <c r="Y203" s="206">
        <f t="shared" si="226"/>
        <v>756</v>
      </c>
      <c r="Z203" s="205">
        <v>30312</v>
      </c>
      <c r="AA203" s="206">
        <f t="shared" si="227"/>
        <v>2294</v>
      </c>
      <c r="AB203" s="206">
        <f t="shared" si="228"/>
        <v>782</v>
      </c>
      <c r="AC203" s="206">
        <f t="shared" si="229"/>
        <v>720</v>
      </c>
      <c r="AD203" s="206">
        <f t="shared" si="230"/>
        <v>1058</v>
      </c>
      <c r="AE203" s="205">
        <v>30312</v>
      </c>
      <c r="AF203" s="206">
        <f t="shared" si="231"/>
        <v>2124</v>
      </c>
      <c r="AG203" s="206">
        <f t="shared" si="232"/>
        <v>243</v>
      </c>
      <c r="AH203" s="206">
        <f t="shared" si="233"/>
        <v>828</v>
      </c>
      <c r="AI203" s="206">
        <f t="shared" si="234"/>
        <v>907</v>
      </c>
    </row>
    <row r="204" spans="1:35" x14ac:dyDescent="0.15">
      <c r="A204" s="205">
        <v>30313</v>
      </c>
      <c r="B204" s="206">
        <f t="shared" si="235"/>
        <v>2104</v>
      </c>
      <c r="C204" s="206">
        <f t="shared" si="209"/>
        <v>229</v>
      </c>
      <c r="D204" s="206">
        <f t="shared" si="209"/>
        <v>789</v>
      </c>
      <c r="E204" s="206">
        <f t="shared" si="210"/>
        <v>789</v>
      </c>
      <c r="F204" s="205">
        <v>30313</v>
      </c>
      <c r="G204" s="206">
        <f t="shared" si="211"/>
        <v>2104</v>
      </c>
      <c r="H204" s="206">
        <f t="shared" si="212"/>
        <v>124</v>
      </c>
      <c r="I204" s="206">
        <f t="shared" si="213"/>
        <v>864</v>
      </c>
      <c r="J204" s="206">
        <f t="shared" si="214"/>
        <v>789</v>
      </c>
      <c r="K204" s="205">
        <v>30313</v>
      </c>
      <c r="L204" s="206">
        <f t="shared" si="215"/>
        <v>2104</v>
      </c>
      <c r="M204" s="206">
        <f t="shared" si="216"/>
        <v>229</v>
      </c>
      <c r="N204" s="206">
        <f t="shared" si="217"/>
        <v>789</v>
      </c>
      <c r="O204" s="206">
        <f t="shared" si="218"/>
        <v>789</v>
      </c>
      <c r="P204" s="205">
        <v>30313</v>
      </c>
      <c r="Q204" s="206">
        <f t="shared" si="219"/>
        <v>2217</v>
      </c>
      <c r="R204" s="206">
        <f t="shared" si="220"/>
        <v>209</v>
      </c>
      <c r="S204" s="206">
        <f t="shared" si="221"/>
        <v>751</v>
      </c>
      <c r="T204" s="206">
        <f t="shared" si="222"/>
        <v>947</v>
      </c>
      <c r="U204" s="205">
        <v>30313</v>
      </c>
      <c r="V204" s="206">
        <f t="shared" si="223"/>
        <v>2104</v>
      </c>
      <c r="W204" s="206">
        <f t="shared" si="224"/>
        <v>478</v>
      </c>
      <c r="X204" s="206">
        <f t="shared" si="225"/>
        <v>939</v>
      </c>
      <c r="Y204" s="206">
        <f t="shared" si="226"/>
        <v>789</v>
      </c>
      <c r="Z204" s="205">
        <v>30313</v>
      </c>
      <c r="AA204" s="206">
        <f t="shared" si="227"/>
        <v>2394</v>
      </c>
      <c r="AB204" s="206">
        <f t="shared" si="228"/>
        <v>817</v>
      </c>
      <c r="AC204" s="206">
        <f t="shared" si="229"/>
        <v>751</v>
      </c>
      <c r="AD204" s="206">
        <f t="shared" si="230"/>
        <v>1105</v>
      </c>
      <c r="AE204" s="205">
        <v>30313</v>
      </c>
      <c r="AF204" s="206">
        <f t="shared" si="231"/>
        <v>2217</v>
      </c>
      <c r="AG204" s="206">
        <f t="shared" si="232"/>
        <v>254</v>
      </c>
      <c r="AH204" s="206">
        <f t="shared" si="233"/>
        <v>864</v>
      </c>
      <c r="AI204" s="206">
        <f t="shared" si="234"/>
        <v>947</v>
      </c>
    </row>
    <row r="205" spans="1:35" x14ac:dyDescent="0.15">
      <c r="A205" s="205">
        <v>30314</v>
      </c>
      <c r="B205" s="206">
        <f t="shared" si="235"/>
        <v>2192</v>
      </c>
      <c r="C205" s="206">
        <f t="shared" si="209"/>
        <v>238</v>
      </c>
      <c r="D205" s="206">
        <f t="shared" si="209"/>
        <v>822</v>
      </c>
      <c r="E205" s="206">
        <f t="shared" si="210"/>
        <v>822</v>
      </c>
      <c r="F205" s="205">
        <v>30314</v>
      </c>
      <c r="G205" s="206">
        <f t="shared" si="211"/>
        <v>2192</v>
      </c>
      <c r="H205" s="206">
        <f t="shared" si="212"/>
        <v>129</v>
      </c>
      <c r="I205" s="206">
        <f t="shared" si="213"/>
        <v>900</v>
      </c>
      <c r="J205" s="206">
        <f t="shared" si="214"/>
        <v>822</v>
      </c>
      <c r="K205" s="205">
        <v>30314</v>
      </c>
      <c r="L205" s="206">
        <f t="shared" si="215"/>
        <v>2192</v>
      </c>
      <c r="M205" s="206">
        <f t="shared" si="216"/>
        <v>238</v>
      </c>
      <c r="N205" s="206">
        <f t="shared" si="217"/>
        <v>822</v>
      </c>
      <c r="O205" s="206">
        <f t="shared" si="218"/>
        <v>822</v>
      </c>
      <c r="P205" s="205">
        <v>30314</v>
      </c>
      <c r="Q205" s="206">
        <f t="shared" si="219"/>
        <v>2310</v>
      </c>
      <c r="R205" s="206">
        <f t="shared" si="220"/>
        <v>218</v>
      </c>
      <c r="S205" s="206">
        <f t="shared" si="221"/>
        <v>783</v>
      </c>
      <c r="T205" s="206">
        <f t="shared" si="222"/>
        <v>986</v>
      </c>
      <c r="U205" s="205">
        <v>30314</v>
      </c>
      <c r="V205" s="206">
        <f t="shared" si="223"/>
        <v>2192</v>
      </c>
      <c r="W205" s="206">
        <f t="shared" si="224"/>
        <v>498</v>
      </c>
      <c r="X205" s="206">
        <f t="shared" si="225"/>
        <v>979</v>
      </c>
      <c r="Y205" s="206">
        <f t="shared" si="226"/>
        <v>822</v>
      </c>
      <c r="Z205" s="205">
        <v>30314</v>
      </c>
      <c r="AA205" s="206">
        <f t="shared" si="227"/>
        <v>2494</v>
      </c>
      <c r="AB205" s="206">
        <f t="shared" si="228"/>
        <v>851</v>
      </c>
      <c r="AC205" s="206">
        <f t="shared" si="229"/>
        <v>783</v>
      </c>
      <c r="AD205" s="206">
        <f t="shared" si="230"/>
        <v>1151</v>
      </c>
      <c r="AE205" s="205">
        <v>30314</v>
      </c>
      <c r="AF205" s="206">
        <f t="shared" si="231"/>
        <v>2310</v>
      </c>
      <c r="AG205" s="206">
        <f t="shared" si="232"/>
        <v>265</v>
      </c>
      <c r="AH205" s="206">
        <f t="shared" si="233"/>
        <v>900</v>
      </c>
      <c r="AI205" s="206">
        <f t="shared" si="234"/>
        <v>986</v>
      </c>
    </row>
    <row r="206" spans="1:35" x14ac:dyDescent="0.15">
      <c r="A206" s="205">
        <v>30315</v>
      </c>
      <c r="B206" s="206">
        <f t="shared" si="235"/>
        <v>2280</v>
      </c>
      <c r="C206" s="206">
        <f t="shared" si="209"/>
        <v>248</v>
      </c>
      <c r="D206" s="206">
        <f t="shared" si="209"/>
        <v>855</v>
      </c>
      <c r="E206" s="206">
        <f t="shared" si="210"/>
        <v>855</v>
      </c>
      <c r="F206" s="205">
        <v>30315</v>
      </c>
      <c r="G206" s="206">
        <f t="shared" si="211"/>
        <v>2280</v>
      </c>
      <c r="H206" s="206">
        <f t="shared" si="212"/>
        <v>134</v>
      </c>
      <c r="I206" s="206">
        <f t="shared" si="213"/>
        <v>936</v>
      </c>
      <c r="J206" s="206">
        <f t="shared" si="214"/>
        <v>855</v>
      </c>
      <c r="K206" s="205">
        <v>30315</v>
      </c>
      <c r="L206" s="206">
        <f t="shared" si="215"/>
        <v>2280</v>
      </c>
      <c r="M206" s="206">
        <f t="shared" si="216"/>
        <v>248</v>
      </c>
      <c r="N206" s="206">
        <f t="shared" si="217"/>
        <v>855</v>
      </c>
      <c r="O206" s="206">
        <f t="shared" si="218"/>
        <v>855</v>
      </c>
      <c r="P206" s="205">
        <v>30315</v>
      </c>
      <c r="Q206" s="206">
        <f t="shared" si="219"/>
        <v>2402</v>
      </c>
      <c r="R206" s="206">
        <f t="shared" si="220"/>
        <v>226</v>
      </c>
      <c r="S206" s="206">
        <f t="shared" si="221"/>
        <v>814</v>
      </c>
      <c r="T206" s="206">
        <f t="shared" si="222"/>
        <v>1026</v>
      </c>
      <c r="U206" s="205">
        <v>30315</v>
      </c>
      <c r="V206" s="206">
        <f t="shared" si="223"/>
        <v>2280</v>
      </c>
      <c r="W206" s="206">
        <f t="shared" si="224"/>
        <v>518</v>
      </c>
      <c r="X206" s="206">
        <f t="shared" si="225"/>
        <v>1018</v>
      </c>
      <c r="Y206" s="206">
        <f t="shared" si="226"/>
        <v>855</v>
      </c>
      <c r="Z206" s="205">
        <v>30315</v>
      </c>
      <c r="AA206" s="206">
        <f t="shared" si="227"/>
        <v>2594</v>
      </c>
      <c r="AB206" s="206">
        <f t="shared" si="228"/>
        <v>885</v>
      </c>
      <c r="AC206" s="206">
        <f t="shared" si="229"/>
        <v>814</v>
      </c>
      <c r="AD206" s="206">
        <f t="shared" si="230"/>
        <v>1197</v>
      </c>
      <c r="AE206" s="205">
        <v>30315</v>
      </c>
      <c r="AF206" s="206">
        <f t="shared" si="231"/>
        <v>2402</v>
      </c>
      <c r="AG206" s="206">
        <f t="shared" si="232"/>
        <v>275</v>
      </c>
      <c r="AH206" s="206">
        <f t="shared" si="233"/>
        <v>936</v>
      </c>
      <c r="AI206" s="206">
        <f t="shared" si="234"/>
        <v>1026</v>
      </c>
    </row>
    <row r="207" spans="1:35" x14ac:dyDescent="0.15">
      <c r="A207" s="205">
        <v>30401</v>
      </c>
      <c r="B207" s="206">
        <f t="shared" si="235"/>
        <v>1528</v>
      </c>
      <c r="C207" s="206">
        <f t="shared" si="209"/>
        <v>166</v>
      </c>
      <c r="D207" s="206">
        <f t="shared" si="209"/>
        <v>573</v>
      </c>
      <c r="E207" s="206">
        <f t="shared" si="210"/>
        <v>573</v>
      </c>
      <c r="F207" s="205">
        <v>30401</v>
      </c>
      <c r="G207" s="206">
        <f t="shared" si="211"/>
        <v>1528</v>
      </c>
      <c r="H207" s="206">
        <f t="shared" si="212"/>
        <v>90</v>
      </c>
      <c r="I207" s="206">
        <f t="shared" si="213"/>
        <v>628</v>
      </c>
      <c r="J207" s="206">
        <f t="shared" si="214"/>
        <v>573</v>
      </c>
      <c r="K207" s="205">
        <v>30401</v>
      </c>
      <c r="L207" s="206">
        <f t="shared" si="215"/>
        <v>1528</v>
      </c>
      <c r="M207" s="206">
        <f t="shared" si="216"/>
        <v>166</v>
      </c>
      <c r="N207" s="206">
        <f t="shared" si="217"/>
        <v>573</v>
      </c>
      <c r="O207" s="206">
        <f t="shared" si="218"/>
        <v>573</v>
      </c>
      <c r="P207" s="205">
        <v>30401</v>
      </c>
      <c r="Q207" s="206">
        <f t="shared" si="219"/>
        <v>1610</v>
      </c>
      <c r="R207" s="206">
        <f t="shared" si="220"/>
        <v>152</v>
      </c>
      <c r="S207" s="206">
        <f t="shared" si="221"/>
        <v>546</v>
      </c>
      <c r="T207" s="206">
        <f t="shared" si="222"/>
        <v>688</v>
      </c>
      <c r="U207" s="205">
        <v>30401</v>
      </c>
      <c r="V207" s="206">
        <f t="shared" si="223"/>
        <v>1528</v>
      </c>
      <c r="W207" s="206">
        <f t="shared" si="224"/>
        <v>347</v>
      </c>
      <c r="X207" s="206">
        <f t="shared" si="225"/>
        <v>682</v>
      </c>
      <c r="Y207" s="206">
        <f t="shared" si="226"/>
        <v>573</v>
      </c>
      <c r="Z207" s="205">
        <v>30401</v>
      </c>
      <c r="AA207" s="206">
        <f t="shared" si="227"/>
        <v>1738</v>
      </c>
      <c r="AB207" s="206">
        <f t="shared" si="228"/>
        <v>593</v>
      </c>
      <c r="AC207" s="206">
        <f t="shared" si="229"/>
        <v>546</v>
      </c>
      <c r="AD207" s="206">
        <f t="shared" si="230"/>
        <v>802</v>
      </c>
      <c r="AE207" s="205">
        <v>30401</v>
      </c>
      <c r="AF207" s="206">
        <f t="shared" si="231"/>
        <v>1610</v>
      </c>
      <c r="AG207" s="206">
        <f t="shared" si="232"/>
        <v>184</v>
      </c>
      <c r="AH207" s="206">
        <f t="shared" si="233"/>
        <v>628</v>
      </c>
      <c r="AI207" s="206">
        <f t="shared" si="234"/>
        <v>688</v>
      </c>
    </row>
    <row r="208" spans="1:35" x14ac:dyDescent="0.15">
      <c r="A208" s="205">
        <v>30402</v>
      </c>
      <c r="B208" s="206">
        <f t="shared" si="235"/>
        <v>1608</v>
      </c>
      <c r="C208" s="206">
        <f t="shared" ref="C208:C245" si="236">T37</f>
        <v>175</v>
      </c>
      <c r="D208" s="206">
        <f t="shared" ref="D208:D245" si="237">U37</f>
        <v>603</v>
      </c>
      <c r="E208" s="206">
        <f t="shared" ref="E208:E245" si="238">X37</f>
        <v>603</v>
      </c>
      <c r="F208" s="205">
        <v>30402</v>
      </c>
      <c r="G208" s="206">
        <f t="shared" si="211"/>
        <v>1608</v>
      </c>
      <c r="H208" s="206">
        <f t="shared" si="212"/>
        <v>95</v>
      </c>
      <c r="I208" s="206">
        <f t="shared" si="213"/>
        <v>660</v>
      </c>
      <c r="J208" s="206">
        <f t="shared" si="214"/>
        <v>603</v>
      </c>
      <c r="K208" s="205">
        <v>30402</v>
      </c>
      <c r="L208" s="206">
        <f t="shared" si="215"/>
        <v>1608</v>
      </c>
      <c r="M208" s="206">
        <f t="shared" si="216"/>
        <v>175</v>
      </c>
      <c r="N208" s="206">
        <f t="shared" si="217"/>
        <v>603</v>
      </c>
      <c r="O208" s="206">
        <f t="shared" si="218"/>
        <v>603</v>
      </c>
      <c r="P208" s="205">
        <v>30402</v>
      </c>
      <c r="Q208" s="206">
        <f t="shared" si="219"/>
        <v>1694</v>
      </c>
      <c r="R208" s="206">
        <f t="shared" si="220"/>
        <v>160</v>
      </c>
      <c r="S208" s="206">
        <f t="shared" si="221"/>
        <v>574</v>
      </c>
      <c r="T208" s="206">
        <f t="shared" si="222"/>
        <v>724</v>
      </c>
      <c r="U208" s="205">
        <v>30402</v>
      </c>
      <c r="V208" s="206">
        <f t="shared" si="223"/>
        <v>1608</v>
      </c>
      <c r="W208" s="206">
        <f t="shared" si="224"/>
        <v>365</v>
      </c>
      <c r="X208" s="206">
        <f t="shared" si="225"/>
        <v>718</v>
      </c>
      <c r="Y208" s="206">
        <f t="shared" si="226"/>
        <v>603</v>
      </c>
      <c r="Z208" s="205">
        <v>30402</v>
      </c>
      <c r="AA208" s="206">
        <f t="shared" si="227"/>
        <v>1829</v>
      </c>
      <c r="AB208" s="206">
        <f t="shared" si="228"/>
        <v>624</v>
      </c>
      <c r="AC208" s="206">
        <f t="shared" si="229"/>
        <v>574</v>
      </c>
      <c r="AD208" s="206">
        <f t="shared" si="230"/>
        <v>844</v>
      </c>
      <c r="AE208" s="205">
        <v>30402</v>
      </c>
      <c r="AF208" s="206">
        <f t="shared" si="231"/>
        <v>1694</v>
      </c>
      <c r="AG208" s="206">
        <f t="shared" si="232"/>
        <v>194</v>
      </c>
      <c r="AH208" s="206">
        <f t="shared" si="233"/>
        <v>660</v>
      </c>
      <c r="AI208" s="206">
        <f t="shared" si="234"/>
        <v>724</v>
      </c>
    </row>
    <row r="209" spans="1:35" x14ac:dyDescent="0.15">
      <c r="A209" s="205">
        <v>30403</v>
      </c>
      <c r="B209" s="206">
        <f t="shared" si="235"/>
        <v>1688</v>
      </c>
      <c r="C209" s="206">
        <f t="shared" si="236"/>
        <v>184</v>
      </c>
      <c r="D209" s="206">
        <f t="shared" si="237"/>
        <v>633</v>
      </c>
      <c r="E209" s="206">
        <f t="shared" si="238"/>
        <v>633</v>
      </c>
      <c r="F209" s="205">
        <v>30403</v>
      </c>
      <c r="G209" s="206">
        <f t="shared" si="211"/>
        <v>1688</v>
      </c>
      <c r="H209" s="206">
        <f t="shared" si="212"/>
        <v>99</v>
      </c>
      <c r="I209" s="206">
        <f t="shared" si="213"/>
        <v>693</v>
      </c>
      <c r="J209" s="206">
        <f t="shared" si="214"/>
        <v>633</v>
      </c>
      <c r="K209" s="205">
        <v>30403</v>
      </c>
      <c r="L209" s="206">
        <f t="shared" si="215"/>
        <v>1688</v>
      </c>
      <c r="M209" s="206">
        <f t="shared" si="216"/>
        <v>184</v>
      </c>
      <c r="N209" s="206">
        <f t="shared" si="217"/>
        <v>633</v>
      </c>
      <c r="O209" s="206">
        <f t="shared" si="218"/>
        <v>633</v>
      </c>
      <c r="P209" s="205">
        <v>30403</v>
      </c>
      <c r="Q209" s="206">
        <f t="shared" si="219"/>
        <v>1779</v>
      </c>
      <c r="R209" s="206">
        <f t="shared" si="220"/>
        <v>168</v>
      </c>
      <c r="S209" s="206">
        <f t="shared" si="221"/>
        <v>603</v>
      </c>
      <c r="T209" s="206">
        <f t="shared" si="222"/>
        <v>760</v>
      </c>
      <c r="U209" s="205">
        <v>30403</v>
      </c>
      <c r="V209" s="206">
        <f t="shared" si="223"/>
        <v>1688</v>
      </c>
      <c r="W209" s="206">
        <f t="shared" si="224"/>
        <v>383</v>
      </c>
      <c r="X209" s="206">
        <f t="shared" si="225"/>
        <v>754</v>
      </c>
      <c r="Y209" s="206">
        <f t="shared" si="226"/>
        <v>633</v>
      </c>
      <c r="Z209" s="205">
        <v>30403</v>
      </c>
      <c r="AA209" s="206">
        <f t="shared" si="227"/>
        <v>1920</v>
      </c>
      <c r="AB209" s="206">
        <f t="shared" si="228"/>
        <v>655</v>
      </c>
      <c r="AC209" s="206">
        <f t="shared" si="229"/>
        <v>603</v>
      </c>
      <c r="AD209" s="206">
        <f t="shared" si="230"/>
        <v>886</v>
      </c>
      <c r="AE209" s="205">
        <v>30403</v>
      </c>
      <c r="AF209" s="206">
        <f t="shared" si="231"/>
        <v>1779</v>
      </c>
      <c r="AG209" s="206">
        <f t="shared" si="232"/>
        <v>204</v>
      </c>
      <c r="AH209" s="206">
        <f t="shared" si="233"/>
        <v>693</v>
      </c>
      <c r="AI209" s="206">
        <f t="shared" si="234"/>
        <v>760</v>
      </c>
    </row>
    <row r="210" spans="1:35" x14ac:dyDescent="0.15">
      <c r="A210" s="205">
        <v>30404</v>
      </c>
      <c r="B210" s="206">
        <f t="shared" si="235"/>
        <v>1768</v>
      </c>
      <c r="C210" s="206">
        <f t="shared" si="236"/>
        <v>192</v>
      </c>
      <c r="D210" s="206">
        <f t="shared" si="237"/>
        <v>663</v>
      </c>
      <c r="E210" s="206">
        <f t="shared" si="238"/>
        <v>663</v>
      </c>
      <c r="F210" s="205">
        <v>30404</v>
      </c>
      <c r="G210" s="206">
        <f t="shared" si="211"/>
        <v>1768</v>
      </c>
      <c r="H210" s="206">
        <f t="shared" si="212"/>
        <v>104</v>
      </c>
      <c r="I210" s="206">
        <f t="shared" si="213"/>
        <v>726</v>
      </c>
      <c r="J210" s="206">
        <f t="shared" si="214"/>
        <v>663</v>
      </c>
      <c r="K210" s="205">
        <v>30404</v>
      </c>
      <c r="L210" s="206">
        <f t="shared" si="215"/>
        <v>1768</v>
      </c>
      <c r="M210" s="206">
        <f t="shared" si="216"/>
        <v>192</v>
      </c>
      <c r="N210" s="206">
        <f t="shared" si="217"/>
        <v>663</v>
      </c>
      <c r="O210" s="206">
        <f t="shared" si="218"/>
        <v>663</v>
      </c>
      <c r="P210" s="205">
        <v>30404</v>
      </c>
      <c r="Q210" s="206">
        <f t="shared" si="219"/>
        <v>1863</v>
      </c>
      <c r="R210" s="206">
        <f t="shared" si="220"/>
        <v>176</v>
      </c>
      <c r="S210" s="206">
        <f t="shared" si="221"/>
        <v>631</v>
      </c>
      <c r="T210" s="206">
        <f t="shared" si="222"/>
        <v>796</v>
      </c>
      <c r="U210" s="205">
        <v>30404</v>
      </c>
      <c r="V210" s="206">
        <f t="shared" si="223"/>
        <v>1768</v>
      </c>
      <c r="W210" s="206">
        <f t="shared" si="224"/>
        <v>402</v>
      </c>
      <c r="X210" s="206">
        <f t="shared" si="225"/>
        <v>789</v>
      </c>
      <c r="Y210" s="206">
        <f t="shared" si="226"/>
        <v>663</v>
      </c>
      <c r="Z210" s="205">
        <v>30404</v>
      </c>
      <c r="AA210" s="206">
        <f t="shared" si="227"/>
        <v>2012</v>
      </c>
      <c r="AB210" s="206">
        <f t="shared" si="228"/>
        <v>686</v>
      </c>
      <c r="AC210" s="206">
        <f t="shared" si="229"/>
        <v>631</v>
      </c>
      <c r="AD210" s="206">
        <f t="shared" si="230"/>
        <v>928</v>
      </c>
      <c r="AE210" s="205">
        <v>30404</v>
      </c>
      <c r="AF210" s="206">
        <f t="shared" si="231"/>
        <v>1863</v>
      </c>
      <c r="AG210" s="206">
        <f t="shared" si="232"/>
        <v>213</v>
      </c>
      <c r="AH210" s="206">
        <f t="shared" si="233"/>
        <v>726</v>
      </c>
      <c r="AI210" s="206">
        <f t="shared" si="234"/>
        <v>796</v>
      </c>
    </row>
    <row r="211" spans="1:35" x14ac:dyDescent="0.15">
      <c r="A211" s="205">
        <v>30405</v>
      </c>
      <c r="B211" s="206">
        <f t="shared" si="235"/>
        <v>1848</v>
      </c>
      <c r="C211" s="206">
        <f t="shared" si="236"/>
        <v>201</v>
      </c>
      <c r="D211" s="206">
        <f t="shared" si="237"/>
        <v>693</v>
      </c>
      <c r="E211" s="206">
        <f t="shared" si="238"/>
        <v>693</v>
      </c>
      <c r="F211" s="205">
        <v>30405</v>
      </c>
      <c r="G211" s="206">
        <f t="shared" si="211"/>
        <v>1848</v>
      </c>
      <c r="H211" s="206">
        <f t="shared" si="212"/>
        <v>109</v>
      </c>
      <c r="I211" s="206">
        <f t="shared" si="213"/>
        <v>759</v>
      </c>
      <c r="J211" s="206">
        <f t="shared" si="214"/>
        <v>693</v>
      </c>
      <c r="K211" s="205">
        <v>30405</v>
      </c>
      <c r="L211" s="206">
        <f t="shared" si="215"/>
        <v>1848</v>
      </c>
      <c r="M211" s="206">
        <f t="shared" si="216"/>
        <v>201</v>
      </c>
      <c r="N211" s="206">
        <f t="shared" si="217"/>
        <v>693</v>
      </c>
      <c r="O211" s="206">
        <f t="shared" si="218"/>
        <v>693</v>
      </c>
      <c r="P211" s="205">
        <v>30405</v>
      </c>
      <c r="Q211" s="206">
        <f t="shared" si="219"/>
        <v>1947</v>
      </c>
      <c r="R211" s="206">
        <f t="shared" si="220"/>
        <v>184</v>
      </c>
      <c r="S211" s="206">
        <f t="shared" si="221"/>
        <v>660</v>
      </c>
      <c r="T211" s="206">
        <f t="shared" si="222"/>
        <v>832</v>
      </c>
      <c r="U211" s="205">
        <v>30405</v>
      </c>
      <c r="V211" s="206">
        <f t="shared" si="223"/>
        <v>1848</v>
      </c>
      <c r="W211" s="206">
        <f t="shared" si="224"/>
        <v>420</v>
      </c>
      <c r="X211" s="206">
        <f t="shared" si="225"/>
        <v>825</v>
      </c>
      <c r="Y211" s="206">
        <f t="shared" si="226"/>
        <v>693</v>
      </c>
      <c r="Z211" s="205">
        <v>30405</v>
      </c>
      <c r="AA211" s="206">
        <f t="shared" si="227"/>
        <v>2103</v>
      </c>
      <c r="AB211" s="206">
        <f t="shared" si="228"/>
        <v>717</v>
      </c>
      <c r="AC211" s="206">
        <f t="shared" si="229"/>
        <v>660</v>
      </c>
      <c r="AD211" s="206">
        <f t="shared" si="230"/>
        <v>970</v>
      </c>
      <c r="AE211" s="205">
        <v>30405</v>
      </c>
      <c r="AF211" s="206">
        <f t="shared" si="231"/>
        <v>1947</v>
      </c>
      <c r="AG211" s="206">
        <f t="shared" si="232"/>
        <v>223</v>
      </c>
      <c r="AH211" s="206">
        <f t="shared" si="233"/>
        <v>759</v>
      </c>
      <c r="AI211" s="206">
        <f t="shared" si="234"/>
        <v>832</v>
      </c>
    </row>
    <row r="212" spans="1:35" x14ac:dyDescent="0.15">
      <c r="A212" s="205">
        <v>30406</v>
      </c>
      <c r="B212" s="206">
        <f t="shared" si="235"/>
        <v>1928</v>
      </c>
      <c r="C212" s="206">
        <f t="shared" si="236"/>
        <v>210</v>
      </c>
      <c r="D212" s="206">
        <f t="shared" si="237"/>
        <v>723</v>
      </c>
      <c r="E212" s="206">
        <f t="shared" si="238"/>
        <v>723</v>
      </c>
      <c r="F212" s="205">
        <v>30406</v>
      </c>
      <c r="G212" s="206">
        <f t="shared" si="211"/>
        <v>1928</v>
      </c>
      <c r="H212" s="206">
        <f t="shared" si="212"/>
        <v>114</v>
      </c>
      <c r="I212" s="206">
        <f t="shared" si="213"/>
        <v>792</v>
      </c>
      <c r="J212" s="206">
        <f t="shared" si="214"/>
        <v>723</v>
      </c>
      <c r="K212" s="205">
        <v>30406</v>
      </c>
      <c r="L212" s="206">
        <f t="shared" si="215"/>
        <v>1928</v>
      </c>
      <c r="M212" s="206">
        <f t="shared" si="216"/>
        <v>210</v>
      </c>
      <c r="N212" s="206">
        <f t="shared" si="217"/>
        <v>723</v>
      </c>
      <c r="O212" s="206">
        <f t="shared" si="218"/>
        <v>723</v>
      </c>
      <c r="P212" s="205">
        <v>30406</v>
      </c>
      <c r="Q212" s="206">
        <f t="shared" si="219"/>
        <v>2032</v>
      </c>
      <c r="R212" s="206">
        <f t="shared" si="220"/>
        <v>192</v>
      </c>
      <c r="S212" s="206">
        <f t="shared" si="221"/>
        <v>689</v>
      </c>
      <c r="T212" s="206">
        <f t="shared" si="222"/>
        <v>868</v>
      </c>
      <c r="U212" s="205">
        <v>30406</v>
      </c>
      <c r="V212" s="206">
        <f t="shared" si="223"/>
        <v>1928</v>
      </c>
      <c r="W212" s="206">
        <f t="shared" si="224"/>
        <v>438</v>
      </c>
      <c r="X212" s="206">
        <f t="shared" si="225"/>
        <v>861</v>
      </c>
      <c r="Y212" s="206">
        <f t="shared" si="226"/>
        <v>723</v>
      </c>
      <c r="Z212" s="205">
        <v>30406</v>
      </c>
      <c r="AA212" s="206">
        <f t="shared" si="227"/>
        <v>2194</v>
      </c>
      <c r="AB212" s="206">
        <f t="shared" si="228"/>
        <v>748</v>
      </c>
      <c r="AC212" s="206">
        <f t="shared" si="229"/>
        <v>689</v>
      </c>
      <c r="AD212" s="206">
        <f t="shared" si="230"/>
        <v>1012</v>
      </c>
      <c r="AE212" s="205">
        <v>30406</v>
      </c>
      <c r="AF212" s="206">
        <f t="shared" si="231"/>
        <v>2032</v>
      </c>
      <c r="AG212" s="206">
        <f t="shared" si="232"/>
        <v>233</v>
      </c>
      <c r="AH212" s="206">
        <f t="shared" si="233"/>
        <v>792</v>
      </c>
      <c r="AI212" s="206">
        <f t="shared" si="234"/>
        <v>868</v>
      </c>
    </row>
    <row r="213" spans="1:35" x14ac:dyDescent="0.15">
      <c r="A213" s="205">
        <v>30407</v>
      </c>
      <c r="B213" s="206">
        <f t="shared" si="235"/>
        <v>2008</v>
      </c>
      <c r="C213" s="206">
        <f t="shared" si="236"/>
        <v>218</v>
      </c>
      <c r="D213" s="206">
        <f t="shared" si="237"/>
        <v>753</v>
      </c>
      <c r="E213" s="206">
        <f t="shared" si="238"/>
        <v>753</v>
      </c>
      <c r="F213" s="205">
        <v>30407</v>
      </c>
      <c r="G213" s="206">
        <f t="shared" si="211"/>
        <v>2008</v>
      </c>
      <c r="H213" s="206">
        <f t="shared" si="212"/>
        <v>118</v>
      </c>
      <c r="I213" s="206">
        <f t="shared" si="213"/>
        <v>825</v>
      </c>
      <c r="J213" s="206">
        <f t="shared" si="214"/>
        <v>753</v>
      </c>
      <c r="K213" s="205">
        <v>30407</v>
      </c>
      <c r="L213" s="206">
        <f t="shared" si="215"/>
        <v>2008</v>
      </c>
      <c r="M213" s="206">
        <f t="shared" si="216"/>
        <v>218</v>
      </c>
      <c r="N213" s="206">
        <f t="shared" si="217"/>
        <v>753</v>
      </c>
      <c r="O213" s="206">
        <f t="shared" si="218"/>
        <v>753</v>
      </c>
      <c r="P213" s="205">
        <v>30407</v>
      </c>
      <c r="Q213" s="206">
        <f t="shared" si="219"/>
        <v>2116</v>
      </c>
      <c r="R213" s="206">
        <f t="shared" si="220"/>
        <v>199</v>
      </c>
      <c r="S213" s="206">
        <f t="shared" si="221"/>
        <v>717</v>
      </c>
      <c r="T213" s="206">
        <f t="shared" si="222"/>
        <v>904</v>
      </c>
      <c r="U213" s="205">
        <v>30407</v>
      </c>
      <c r="V213" s="206">
        <f t="shared" si="223"/>
        <v>2008</v>
      </c>
      <c r="W213" s="206">
        <f t="shared" si="224"/>
        <v>456</v>
      </c>
      <c r="X213" s="206">
        <f t="shared" si="225"/>
        <v>896</v>
      </c>
      <c r="Y213" s="206">
        <f t="shared" si="226"/>
        <v>753</v>
      </c>
      <c r="Z213" s="205">
        <v>30407</v>
      </c>
      <c r="AA213" s="206">
        <f t="shared" si="227"/>
        <v>2285</v>
      </c>
      <c r="AB213" s="206">
        <f t="shared" si="228"/>
        <v>779</v>
      </c>
      <c r="AC213" s="206">
        <f t="shared" si="229"/>
        <v>717</v>
      </c>
      <c r="AD213" s="206">
        <f t="shared" si="230"/>
        <v>1054</v>
      </c>
      <c r="AE213" s="205">
        <v>30407</v>
      </c>
      <c r="AF213" s="206">
        <f t="shared" si="231"/>
        <v>2116</v>
      </c>
      <c r="AG213" s="206">
        <f t="shared" si="232"/>
        <v>242</v>
      </c>
      <c r="AH213" s="206">
        <f t="shared" si="233"/>
        <v>825</v>
      </c>
      <c r="AI213" s="206">
        <f t="shared" si="234"/>
        <v>904</v>
      </c>
    </row>
    <row r="214" spans="1:35" x14ac:dyDescent="0.15">
      <c r="A214" s="205">
        <v>30408</v>
      </c>
      <c r="B214" s="206">
        <f t="shared" si="235"/>
        <v>2088</v>
      </c>
      <c r="C214" s="206">
        <f t="shared" si="236"/>
        <v>227</v>
      </c>
      <c r="D214" s="206">
        <f t="shared" si="237"/>
        <v>783</v>
      </c>
      <c r="E214" s="206">
        <f t="shared" si="238"/>
        <v>783</v>
      </c>
      <c r="F214" s="205">
        <v>30408</v>
      </c>
      <c r="G214" s="206">
        <f t="shared" si="211"/>
        <v>2088</v>
      </c>
      <c r="H214" s="206">
        <f t="shared" si="212"/>
        <v>123</v>
      </c>
      <c r="I214" s="206">
        <f t="shared" si="213"/>
        <v>858</v>
      </c>
      <c r="J214" s="206">
        <f t="shared" si="214"/>
        <v>783</v>
      </c>
      <c r="K214" s="205">
        <v>30408</v>
      </c>
      <c r="L214" s="206">
        <f t="shared" si="215"/>
        <v>2088</v>
      </c>
      <c r="M214" s="206">
        <f t="shared" si="216"/>
        <v>227</v>
      </c>
      <c r="N214" s="206">
        <f t="shared" si="217"/>
        <v>783</v>
      </c>
      <c r="O214" s="206">
        <f t="shared" si="218"/>
        <v>783</v>
      </c>
      <c r="P214" s="205">
        <v>30408</v>
      </c>
      <c r="Q214" s="206">
        <f t="shared" si="219"/>
        <v>2200</v>
      </c>
      <c r="R214" s="206">
        <f t="shared" si="220"/>
        <v>207</v>
      </c>
      <c r="S214" s="206">
        <f t="shared" si="221"/>
        <v>746</v>
      </c>
      <c r="T214" s="206">
        <f t="shared" si="222"/>
        <v>940</v>
      </c>
      <c r="U214" s="205">
        <v>30408</v>
      </c>
      <c r="V214" s="206">
        <f t="shared" si="223"/>
        <v>2088</v>
      </c>
      <c r="W214" s="206">
        <f t="shared" si="224"/>
        <v>474</v>
      </c>
      <c r="X214" s="206">
        <f t="shared" si="225"/>
        <v>932</v>
      </c>
      <c r="Y214" s="206">
        <f t="shared" si="226"/>
        <v>783</v>
      </c>
      <c r="Z214" s="205">
        <v>30408</v>
      </c>
      <c r="AA214" s="206">
        <f t="shared" si="227"/>
        <v>2376</v>
      </c>
      <c r="AB214" s="206">
        <f t="shared" si="228"/>
        <v>810</v>
      </c>
      <c r="AC214" s="206">
        <f t="shared" si="229"/>
        <v>746</v>
      </c>
      <c r="AD214" s="206">
        <f t="shared" si="230"/>
        <v>1096</v>
      </c>
      <c r="AE214" s="205">
        <v>30408</v>
      </c>
      <c r="AF214" s="206">
        <f t="shared" si="231"/>
        <v>2200</v>
      </c>
      <c r="AG214" s="206">
        <f t="shared" si="232"/>
        <v>252</v>
      </c>
      <c r="AH214" s="206">
        <f t="shared" si="233"/>
        <v>858</v>
      </c>
      <c r="AI214" s="206">
        <f t="shared" si="234"/>
        <v>940</v>
      </c>
    </row>
    <row r="215" spans="1:35" x14ac:dyDescent="0.15">
      <c r="A215" s="205">
        <v>30409</v>
      </c>
      <c r="B215" s="206">
        <f t="shared" si="235"/>
        <v>2168</v>
      </c>
      <c r="C215" s="206">
        <f t="shared" si="236"/>
        <v>236</v>
      </c>
      <c r="D215" s="206">
        <f t="shared" si="237"/>
        <v>813</v>
      </c>
      <c r="E215" s="206">
        <f t="shared" si="238"/>
        <v>813</v>
      </c>
      <c r="F215" s="205">
        <v>30409</v>
      </c>
      <c r="G215" s="206">
        <f t="shared" si="211"/>
        <v>2168</v>
      </c>
      <c r="H215" s="206">
        <f t="shared" si="212"/>
        <v>128</v>
      </c>
      <c r="I215" s="206">
        <f t="shared" si="213"/>
        <v>890</v>
      </c>
      <c r="J215" s="206">
        <f t="shared" si="214"/>
        <v>813</v>
      </c>
      <c r="K215" s="205">
        <v>30409</v>
      </c>
      <c r="L215" s="206">
        <f t="shared" si="215"/>
        <v>2168</v>
      </c>
      <c r="M215" s="206">
        <f t="shared" si="216"/>
        <v>236</v>
      </c>
      <c r="N215" s="206">
        <f t="shared" si="217"/>
        <v>813</v>
      </c>
      <c r="O215" s="206">
        <f t="shared" si="218"/>
        <v>813</v>
      </c>
      <c r="P215" s="205">
        <v>30409</v>
      </c>
      <c r="Q215" s="206">
        <f t="shared" si="219"/>
        <v>2284</v>
      </c>
      <c r="R215" s="206">
        <f t="shared" si="220"/>
        <v>215</v>
      </c>
      <c r="S215" s="206">
        <f t="shared" si="221"/>
        <v>774</v>
      </c>
      <c r="T215" s="206">
        <f t="shared" si="222"/>
        <v>976</v>
      </c>
      <c r="U215" s="205">
        <v>30409</v>
      </c>
      <c r="V215" s="206">
        <f t="shared" si="223"/>
        <v>2168</v>
      </c>
      <c r="W215" s="206">
        <f t="shared" si="224"/>
        <v>492</v>
      </c>
      <c r="X215" s="206">
        <f t="shared" si="225"/>
        <v>968</v>
      </c>
      <c r="Y215" s="206">
        <f t="shared" si="226"/>
        <v>813</v>
      </c>
      <c r="Z215" s="205">
        <v>30409</v>
      </c>
      <c r="AA215" s="206">
        <f t="shared" si="227"/>
        <v>2467</v>
      </c>
      <c r="AB215" s="206">
        <f t="shared" si="228"/>
        <v>841</v>
      </c>
      <c r="AC215" s="206">
        <f t="shared" si="229"/>
        <v>774</v>
      </c>
      <c r="AD215" s="206">
        <f t="shared" si="230"/>
        <v>1138</v>
      </c>
      <c r="AE215" s="205">
        <v>30409</v>
      </c>
      <c r="AF215" s="206">
        <f t="shared" si="231"/>
        <v>2284</v>
      </c>
      <c r="AG215" s="206">
        <f t="shared" si="232"/>
        <v>262</v>
      </c>
      <c r="AH215" s="206">
        <f t="shared" si="233"/>
        <v>890</v>
      </c>
      <c r="AI215" s="206">
        <f t="shared" si="234"/>
        <v>976</v>
      </c>
    </row>
    <row r="216" spans="1:35" x14ac:dyDescent="0.15">
      <c r="A216" s="205">
        <v>30410</v>
      </c>
      <c r="B216" s="206">
        <f t="shared" si="235"/>
        <v>2248</v>
      </c>
      <c r="C216" s="206">
        <f t="shared" si="236"/>
        <v>245</v>
      </c>
      <c r="D216" s="206">
        <f t="shared" si="237"/>
        <v>843</v>
      </c>
      <c r="E216" s="206">
        <f t="shared" si="238"/>
        <v>843</v>
      </c>
      <c r="F216" s="205">
        <v>30410</v>
      </c>
      <c r="G216" s="206">
        <f t="shared" si="211"/>
        <v>2248</v>
      </c>
      <c r="H216" s="206">
        <f t="shared" si="212"/>
        <v>132</v>
      </c>
      <c r="I216" s="206">
        <f t="shared" si="213"/>
        <v>923</v>
      </c>
      <c r="J216" s="206">
        <f t="shared" si="214"/>
        <v>843</v>
      </c>
      <c r="K216" s="205">
        <v>30410</v>
      </c>
      <c r="L216" s="206">
        <f t="shared" si="215"/>
        <v>2248</v>
      </c>
      <c r="M216" s="206">
        <f t="shared" si="216"/>
        <v>245</v>
      </c>
      <c r="N216" s="206">
        <f t="shared" si="217"/>
        <v>843</v>
      </c>
      <c r="O216" s="206">
        <f t="shared" si="218"/>
        <v>843</v>
      </c>
      <c r="P216" s="205">
        <v>30410</v>
      </c>
      <c r="Q216" s="206">
        <f t="shared" si="219"/>
        <v>2369</v>
      </c>
      <c r="R216" s="206">
        <f t="shared" si="220"/>
        <v>223</v>
      </c>
      <c r="S216" s="206">
        <f t="shared" si="221"/>
        <v>803</v>
      </c>
      <c r="T216" s="206">
        <f t="shared" si="222"/>
        <v>1012</v>
      </c>
      <c r="U216" s="205">
        <v>30410</v>
      </c>
      <c r="V216" s="206">
        <f t="shared" si="223"/>
        <v>2248</v>
      </c>
      <c r="W216" s="206">
        <f t="shared" si="224"/>
        <v>511</v>
      </c>
      <c r="X216" s="206">
        <f t="shared" si="225"/>
        <v>1004</v>
      </c>
      <c r="Y216" s="206">
        <f t="shared" si="226"/>
        <v>843</v>
      </c>
      <c r="Z216" s="205">
        <v>30410</v>
      </c>
      <c r="AA216" s="206">
        <f t="shared" si="227"/>
        <v>2558</v>
      </c>
      <c r="AB216" s="206">
        <f t="shared" si="228"/>
        <v>873</v>
      </c>
      <c r="AC216" s="206">
        <f t="shared" si="229"/>
        <v>803</v>
      </c>
      <c r="AD216" s="206">
        <f t="shared" si="230"/>
        <v>1180</v>
      </c>
      <c r="AE216" s="205">
        <v>30410</v>
      </c>
      <c r="AF216" s="206">
        <f t="shared" si="231"/>
        <v>2369</v>
      </c>
      <c r="AG216" s="206">
        <f t="shared" si="232"/>
        <v>271</v>
      </c>
      <c r="AH216" s="206">
        <f t="shared" si="233"/>
        <v>923</v>
      </c>
      <c r="AI216" s="206">
        <f t="shared" si="234"/>
        <v>1012</v>
      </c>
    </row>
    <row r="217" spans="1:35" x14ac:dyDescent="0.15">
      <c r="A217" s="205">
        <v>30411</v>
      </c>
      <c r="B217" s="206">
        <f t="shared" si="235"/>
        <v>2328</v>
      </c>
      <c r="C217" s="206">
        <f t="shared" si="236"/>
        <v>253</v>
      </c>
      <c r="D217" s="206">
        <f t="shared" si="237"/>
        <v>873</v>
      </c>
      <c r="E217" s="206">
        <f t="shared" si="238"/>
        <v>873</v>
      </c>
      <c r="F217" s="205">
        <v>30411</v>
      </c>
      <c r="G217" s="206">
        <f t="shared" si="211"/>
        <v>2328</v>
      </c>
      <c r="H217" s="206">
        <f t="shared" si="212"/>
        <v>137</v>
      </c>
      <c r="I217" s="206">
        <f t="shared" si="213"/>
        <v>956</v>
      </c>
      <c r="J217" s="206">
        <f t="shared" si="214"/>
        <v>873</v>
      </c>
      <c r="K217" s="205">
        <v>30411</v>
      </c>
      <c r="L217" s="206">
        <f t="shared" si="215"/>
        <v>2328</v>
      </c>
      <c r="M217" s="206">
        <f t="shared" si="216"/>
        <v>253</v>
      </c>
      <c r="N217" s="206">
        <f t="shared" si="217"/>
        <v>873</v>
      </c>
      <c r="O217" s="206">
        <f t="shared" si="218"/>
        <v>873</v>
      </c>
      <c r="P217" s="205">
        <v>30411</v>
      </c>
      <c r="Q217" s="206">
        <f t="shared" si="219"/>
        <v>2453</v>
      </c>
      <c r="R217" s="206">
        <f t="shared" si="220"/>
        <v>231</v>
      </c>
      <c r="S217" s="206">
        <f t="shared" si="221"/>
        <v>831</v>
      </c>
      <c r="T217" s="206">
        <f t="shared" si="222"/>
        <v>1048</v>
      </c>
      <c r="U217" s="205">
        <v>30411</v>
      </c>
      <c r="V217" s="206">
        <f t="shared" si="223"/>
        <v>2328</v>
      </c>
      <c r="W217" s="206">
        <f t="shared" si="224"/>
        <v>529</v>
      </c>
      <c r="X217" s="206">
        <f t="shared" si="225"/>
        <v>1039</v>
      </c>
      <c r="Y217" s="206">
        <f t="shared" si="226"/>
        <v>873</v>
      </c>
      <c r="Z217" s="205">
        <v>30411</v>
      </c>
      <c r="AA217" s="206">
        <f t="shared" si="227"/>
        <v>2649</v>
      </c>
      <c r="AB217" s="206">
        <f t="shared" si="228"/>
        <v>904</v>
      </c>
      <c r="AC217" s="206">
        <f t="shared" si="229"/>
        <v>831</v>
      </c>
      <c r="AD217" s="206">
        <f t="shared" si="230"/>
        <v>1222</v>
      </c>
      <c r="AE217" s="205">
        <v>30411</v>
      </c>
      <c r="AF217" s="206">
        <f t="shared" si="231"/>
        <v>2453</v>
      </c>
      <c r="AG217" s="206">
        <f t="shared" si="232"/>
        <v>281</v>
      </c>
      <c r="AH217" s="206">
        <f t="shared" si="233"/>
        <v>956</v>
      </c>
      <c r="AI217" s="206">
        <f t="shared" si="234"/>
        <v>1048</v>
      </c>
    </row>
    <row r="218" spans="1:35" x14ac:dyDescent="0.15">
      <c r="A218" s="205">
        <v>30412</v>
      </c>
      <c r="B218" s="206">
        <f t="shared" si="235"/>
        <v>2408</v>
      </c>
      <c r="C218" s="206">
        <f t="shared" si="236"/>
        <v>262</v>
      </c>
      <c r="D218" s="206">
        <f t="shared" si="237"/>
        <v>903</v>
      </c>
      <c r="E218" s="206">
        <f t="shared" si="238"/>
        <v>903</v>
      </c>
      <c r="F218" s="205">
        <v>30412</v>
      </c>
      <c r="G218" s="206">
        <f t="shared" si="211"/>
        <v>2408</v>
      </c>
      <c r="H218" s="206">
        <f t="shared" si="212"/>
        <v>142</v>
      </c>
      <c r="I218" s="206">
        <f t="shared" si="213"/>
        <v>989</v>
      </c>
      <c r="J218" s="206">
        <f t="shared" si="214"/>
        <v>903</v>
      </c>
      <c r="K218" s="205">
        <v>30412</v>
      </c>
      <c r="L218" s="206">
        <f t="shared" si="215"/>
        <v>2408</v>
      </c>
      <c r="M218" s="206">
        <f t="shared" si="216"/>
        <v>262</v>
      </c>
      <c r="N218" s="206">
        <f t="shared" si="217"/>
        <v>903</v>
      </c>
      <c r="O218" s="206">
        <f t="shared" si="218"/>
        <v>903</v>
      </c>
      <c r="P218" s="205">
        <v>30412</v>
      </c>
      <c r="Q218" s="206">
        <f t="shared" si="219"/>
        <v>2537</v>
      </c>
      <c r="R218" s="206">
        <f t="shared" si="220"/>
        <v>239</v>
      </c>
      <c r="S218" s="206">
        <f t="shared" si="221"/>
        <v>860</v>
      </c>
      <c r="T218" s="206">
        <f t="shared" si="222"/>
        <v>1084</v>
      </c>
      <c r="U218" s="205">
        <v>30412</v>
      </c>
      <c r="V218" s="206">
        <f t="shared" si="223"/>
        <v>2408</v>
      </c>
      <c r="W218" s="206">
        <f t="shared" si="224"/>
        <v>547</v>
      </c>
      <c r="X218" s="206">
        <f t="shared" si="225"/>
        <v>1075</v>
      </c>
      <c r="Y218" s="206">
        <f t="shared" si="226"/>
        <v>903</v>
      </c>
      <c r="Z218" s="205">
        <v>30412</v>
      </c>
      <c r="AA218" s="206">
        <f t="shared" si="227"/>
        <v>2740</v>
      </c>
      <c r="AB218" s="206">
        <f t="shared" si="228"/>
        <v>935</v>
      </c>
      <c r="AC218" s="206">
        <f t="shared" si="229"/>
        <v>860</v>
      </c>
      <c r="AD218" s="206">
        <f t="shared" si="230"/>
        <v>1264</v>
      </c>
      <c r="AE218" s="205">
        <v>30412</v>
      </c>
      <c r="AF218" s="206">
        <f t="shared" si="231"/>
        <v>2537</v>
      </c>
      <c r="AG218" s="206">
        <f t="shared" si="232"/>
        <v>291</v>
      </c>
      <c r="AH218" s="206">
        <f t="shared" si="233"/>
        <v>989</v>
      </c>
      <c r="AI218" s="206">
        <f t="shared" si="234"/>
        <v>1084</v>
      </c>
    </row>
    <row r="219" spans="1:35" x14ac:dyDescent="0.15">
      <c r="A219" s="205">
        <v>30413</v>
      </c>
      <c r="B219" s="206">
        <f t="shared" si="235"/>
        <v>2504</v>
      </c>
      <c r="C219" s="206">
        <f t="shared" si="236"/>
        <v>272</v>
      </c>
      <c r="D219" s="206">
        <f t="shared" si="237"/>
        <v>939</v>
      </c>
      <c r="E219" s="206">
        <f t="shared" si="238"/>
        <v>939</v>
      </c>
      <c r="F219" s="205">
        <v>30413</v>
      </c>
      <c r="G219" s="206">
        <f t="shared" si="211"/>
        <v>2504</v>
      </c>
      <c r="H219" s="206">
        <f t="shared" si="212"/>
        <v>148</v>
      </c>
      <c r="I219" s="206">
        <f t="shared" si="213"/>
        <v>1028</v>
      </c>
      <c r="J219" s="206">
        <f t="shared" si="214"/>
        <v>939</v>
      </c>
      <c r="K219" s="205">
        <v>30413</v>
      </c>
      <c r="L219" s="206">
        <f t="shared" si="215"/>
        <v>2504</v>
      </c>
      <c r="M219" s="206">
        <f t="shared" si="216"/>
        <v>272</v>
      </c>
      <c r="N219" s="206">
        <f t="shared" si="217"/>
        <v>939</v>
      </c>
      <c r="O219" s="206">
        <f t="shared" si="218"/>
        <v>939</v>
      </c>
      <c r="P219" s="205">
        <v>30413</v>
      </c>
      <c r="Q219" s="206">
        <f t="shared" si="219"/>
        <v>2638</v>
      </c>
      <c r="R219" s="206">
        <f t="shared" si="220"/>
        <v>249</v>
      </c>
      <c r="S219" s="206">
        <f t="shared" si="221"/>
        <v>894</v>
      </c>
      <c r="T219" s="206">
        <f t="shared" si="222"/>
        <v>1127</v>
      </c>
      <c r="U219" s="205">
        <v>30413</v>
      </c>
      <c r="V219" s="206">
        <f t="shared" si="223"/>
        <v>2504</v>
      </c>
      <c r="W219" s="206">
        <f t="shared" si="224"/>
        <v>569</v>
      </c>
      <c r="X219" s="206">
        <f t="shared" si="225"/>
        <v>1118</v>
      </c>
      <c r="Y219" s="206">
        <f t="shared" si="226"/>
        <v>939</v>
      </c>
      <c r="Z219" s="205">
        <v>30413</v>
      </c>
      <c r="AA219" s="206">
        <f t="shared" si="227"/>
        <v>2849</v>
      </c>
      <c r="AB219" s="206">
        <f t="shared" si="228"/>
        <v>972</v>
      </c>
      <c r="AC219" s="206">
        <f t="shared" si="229"/>
        <v>894</v>
      </c>
      <c r="AD219" s="206">
        <f t="shared" si="230"/>
        <v>1315</v>
      </c>
      <c r="AE219" s="205">
        <v>30413</v>
      </c>
      <c r="AF219" s="206">
        <f t="shared" si="231"/>
        <v>2638</v>
      </c>
      <c r="AG219" s="206">
        <f t="shared" si="232"/>
        <v>302</v>
      </c>
      <c r="AH219" s="206">
        <f t="shared" si="233"/>
        <v>1028</v>
      </c>
      <c r="AI219" s="206">
        <f t="shared" si="234"/>
        <v>1127</v>
      </c>
    </row>
    <row r="220" spans="1:35" x14ac:dyDescent="0.15">
      <c r="A220" s="205">
        <v>30414</v>
      </c>
      <c r="B220" s="206">
        <f t="shared" si="235"/>
        <v>2600</v>
      </c>
      <c r="C220" s="206">
        <f t="shared" si="236"/>
        <v>283</v>
      </c>
      <c r="D220" s="206">
        <f t="shared" si="237"/>
        <v>975</v>
      </c>
      <c r="E220" s="206">
        <f t="shared" si="238"/>
        <v>975</v>
      </c>
      <c r="F220" s="205">
        <v>30414</v>
      </c>
      <c r="G220" s="206">
        <f t="shared" si="211"/>
        <v>2600</v>
      </c>
      <c r="H220" s="206">
        <f t="shared" si="212"/>
        <v>153</v>
      </c>
      <c r="I220" s="206">
        <f t="shared" si="213"/>
        <v>1068</v>
      </c>
      <c r="J220" s="206">
        <f t="shared" si="214"/>
        <v>975</v>
      </c>
      <c r="K220" s="205">
        <v>30414</v>
      </c>
      <c r="L220" s="206">
        <f t="shared" si="215"/>
        <v>2600</v>
      </c>
      <c r="M220" s="206">
        <f t="shared" si="216"/>
        <v>283</v>
      </c>
      <c r="N220" s="206">
        <f t="shared" si="217"/>
        <v>975</v>
      </c>
      <c r="O220" s="206">
        <f t="shared" si="218"/>
        <v>975</v>
      </c>
      <c r="P220" s="205">
        <v>30414</v>
      </c>
      <c r="Q220" s="206">
        <f t="shared" si="219"/>
        <v>2740</v>
      </c>
      <c r="R220" s="206">
        <f t="shared" si="220"/>
        <v>258</v>
      </c>
      <c r="S220" s="206">
        <f t="shared" si="221"/>
        <v>929</v>
      </c>
      <c r="T220" s="206">
        <f t="shared" si="222"/>
        <v>1170</v>
      </c>
      <c r="U220" s="205">
        <v>30414</v>
      </c>
      <c r="V220" s="206">
        <f t="shared" si="223"/>
        <v>2600</v>
      </c>
      <c r="W220" s="206">
        <f t="shared" si="224"/>
        <v>591</v>
      </c>
      <c r="X220" s="206">
        <f t="shared" si="225"/>
        <v>1161</v>
      </c>
      <c r="Y220" s="206">
        <f t="shared" si="226"/>
        <v>975</v>
      </c>
      <c r="Z220" s="205">
        <v>30414</v>
      </c>
      <c r="AA220" s="206">
        <f t="shared" si="227"/>
        <v>2958</v>
      </c>
      <c r="AB220" s="206">
        <f t="shared" si="228"/>
        <v>1009</v>
      </c>
      <c r="AC220" s="206">
        <f t="shared" si="229"/>
        <v>929</v>
      </c>
      <c r="AD220" s="206">
        <f t="shared" si="230"/>
        <v>1365</v>
      </c>
      <c r="AE220" s="205">
        <v>30414</v>
      </c>
      <c r="AF220" s="206">
        <f t="shared" si="231"/>
        <v>2740</v>
      </c>
      <c r="AG220" s="206">
        <f t="shared" si="232"/>
        <v>314</v>
      </c>
      <c r="AH220" s="206">
        <f t="shared" si="233"/>
        <v>1068</v>
      </c>
      <c r="AI220" s="206">
        <f t="shared" si="234"/>
        <v>1170</v>
      </c>
    </row>
    <row r="221" spans="1:35" x14ac:dyDescent="0.15">
      <c r="A221" s="205">
        <v>30415</v>
      </c>
      <c r="B221" s="206">
        <f t="shared" si="235"/>
        <v>2696</v>
      </c>
      <c r="C221" s="206">
        <f t="shared" si="236"/>
        <v>293</v>
      </c>
      <c r="D221" s="206">
        <f t="shared" si="237"/>
        <v>1011</v>
      </c>
      <c r="E221" s="206">
        <f t="shared" si="238"/>
        <v>1011</v>
      </c>
      <c r="F221" s="205">
        <v>30415</v>
      </c>
      <c r="G221" s="206">
        <f t="shared" si="211"/>
        <v>2696</v>
      </c>
      <c r="H221" s="206">
        <f t="shared" si="212"/>
        <v>159</v>
      </c>
      <c r="I221" s="206">
        <f t="shared" si="213"/>
        <v>1107</v>
      </c>
      <c r="J221" s="206">
        <f t="shared" si="214"/>
        <v>1011</v>
      </c>
      <c r="K221" s="205">
        <v>30415</v>
      </c>
      <c r="L221" s="206">
        <f t="shared" si="215"/>
        <v>2696</v>
      </c>
      <c r="M221" s="206">
        <f t="shared" si="216"/>
        <v>293</v>
      </c>
      <c r="N221" s="206">
        <f t="shared" si="217"/>
        <v>1011</v>
      </c>
      <c r="O221" s="206">
        <f t="shared" si="218"/>
        <v>1011</v>
      </c>
      <c r="P221" s="205">
        <v>30415</v>
      </c>
      <c r="Q221" s="206">
        <f t="shared" si="219"/>
        <v>2841</v>
      </c>
      <c r="R221" s="206">
        <f t="shared" si="220"/>
        <v>268</v>
      </c>
      <c r="S221" s="206">
        <f t="shared" si="221"/>
        <v>963</v>
      </c>
      <c r="T221" s="206">
        <f t="shared" si="222"/>
        <v>1213</v>
      </c>
      <c r="U221" s="205">
        <v>30415</v>
      </c>
      <c r="V221" s="206">
        <f t="shared" si="223"/>
        <v>2696</v>
      </c>
      <c r="W221" s="206">
        <f t="shared" si="224"/>
        <v>612</v>
      </c>
      <c r="X221" s="206">
        <f t="shared" si="225"/>
        <v>1204</v>
      </c>
      <c r="Y221" s="206">
        <f t="shared" si="226"/>
        <v>1011</v>
      </c>
      <c r="Z221" s="205">
        <v>30415</v>
      </c>
      <c r="AA221" s="206">
        <f t="shared" si="227"/>
        <v>3067</v>
      </c>
      <c r="AB221" s="206">
        <f t="shared" si="228"/>
        <v>1046</v>
      </c>
      <c r="AC221" s="206">
        <f t="shared" si="229"/>
        <v>963</v>
      </c>
      <c r="AD221" s="206">
        <f t="shared" si="230"/>
        <v>1415</v>
      </c>
      <c r="AE221" s="205">
        <v>30415</v>
      </c>
      <c r="AF221" s="206">
        <f t="shared" si="231"/>
        <v>2841</v>
      </c>
      <c r="AG221" s="206">
        <f t="shared" si="232"/>
        <v>325</v>
      </c>
      <c r="AH221" s="206">
        <f t="shared" si="233"/>
        <v>1107</v>
      </c>
      <c r="AI221" s="206">
        <f t="shared" si="234"/>
        <v>1213</v>
      </c>
    </row>
    <row r="222" spans="1:35" x14ac:dyDescent="0.15">
      <c r="A222" s="205">
        <v>30416</v>
      </c>
      <c r="B222" s="206">
        <f t="shared" si="235"/>
        <v>2792</v>
      </c>
      <c r="C222" s="206">
        <f t="shared" si="236"/>
        <v>304</v>
      </c>
      <c r="D222" s="206">
        <f t="shared" si="237"/>
        <v>1047</v>
      </c>
      <c r="E222" s="206">
        <f t="shared" si="238"/>
        <v>1047</v>
      </c>
      <c r="F222" s="205">
        <v>30416</v>
      </c>
      <c r="G222" s="206">
        <f t="shared" si="211"/>
        <v>2792</v>
      </c>
      <c r="H222" s="206">
        <f t="shared" si="212"/>
        <v>165</v>
      </c>
      <c r="I222" s="206">
        <f t="shared" si="213"/>
        <v>1147</v>
      </c>
      <c r="J222" s="206">
        <f t="shared" si="214"/>
        <v>1047</v>
      </c>
      <c r="K222" s="205">
        <v>30416</v>
      </c>
      <c r="L222" s="206">
        <f t="shared" si="215"/>
        <v>2792</v>
      </c>
      <c r="M222" s="206">
        <f t="shared" si="216"/>
        <v>304</v>
      </c>
      <c r="N222" s="206">
        <f t="shared" si="217"/>
        <v>1047</v>
      </c>
      <c r="O222" s="206">
        <f t="shared" si="218"/>
        <v>1047</v>
      </c>
      <c r="P222" s="205">
        <v>30416</v>
      </c>
      <c r="Q222" s="206">
        <f t="shared" si="219"/>
        <v>2942</v>
      </c>
      <c r="R222" s="206">
        <f t="shared" si="220"/>
        <v>277</v>
      </c>
      <c r="S222" s="206">
        <f t="shared" si="221"/>
        <v>997</v>
      </c>
      <c r="T222" s="206">
        <f t="shared" si="222"/>
        <v>1256</v>
      </c>
      <c r="U222" s="205">
        <v>30416</v>
      </c>
      <c r="V222" s="206">
        <f t="shared" si="223"/>
        <v>2792</v>
      </c>
      <c r="W222" s="206">
        <f t="shared" si="224"/>
        <v>634</v>
      </c>
      <c r="X222" s="206">
        <f t="shared" si="225"/>
        <v>1246</v>
      </c>
      <c r="Y222" s="206">
        <f t="shared" si="226"/>
        <v>1047</v>
      </c>
      <c r="Z222" s="205">
        <v>30416</v>
      </c>
      <c r="AA222" s="206">
        <f t="shared" si="227"/>
        <v>3177</v>
      </c>
      <c r="AB222" s="206">
        <f t="shared" si="228"/>
        <v>1084</v>
      </c>
      <c r="AC222" s="206">
        <f t="shared" si="229"/>
        <v>997</v>
      </c>
      <c r="AD222" s="206">
        <f t="shared" si="230"/>
        <v>1466</v>
      </c>
      <c r="AE222" s="205">
        <v>30416</v>
      </c>
      <c r="AF222" s="206">
        <f t="shared" si="231"/>
        <v>2942</v>
      </c>
      <c r="AG222" s="206">
        <f t="shared" si="232"/>
        <v>337</v>
      </c>
      <c r="AH222" s="206">
        <f t="shared" si="233"/>
        <v>1147</v>
      </c>
      <c r="AI222" s="206">
        <f t="shared" si="234"/>
        <v>1256</v>
      </c>
    </row>
    <row r="223" spans="1:35" x14ac:dyDescent="0.15">
      <c r="A223" s="205">
        <v>30417</v>
      </c>
      <c r="B223" s="206">
        <f t="shared" si="235"/>
        <v>2888</v>
      </c>
      <c r="C223" s="206">
        <f t="shared" si="236"/>
        <v>314</v>
      </c>
      <c r="D223" s="206">
        <f t="shared" si="237"/>
        <v>1083</v>
      </c>
      <c r="E223" s="206">
        <f t="shared" si="238"/>
        <v>1083</v>
      </c>
      <c r="F223" s="205">
        <v>30417</v>
      </c>
      <c r="G223" s="206">
        <f t="shared" si="211"/>
        <v>2888</v>
      </c>
      <c r="H223" s="206">
        <f t="shared" si="212"/>
        <v>170</v>
      </c>
      <c r="I223" s="206">
        <f t="shared" si="213"/>
        <v>1186</v>
      </c>
      <c r="J223" s="206">
        <f t="shared" si="214"/>
        <v>1083</v>
      </c>
      <c r="K223" s="205">
        <v>30417</v>
      </c>
      <c r="L223" s="206">
        <f t="shared" si="215"/>
        <v>2888</v>
      </c>
      <c r="M223" s="206">
        <f t="shared" si="216"/>
        <v>314</v>
      </c>
      <c r="N223" s="206">
        <f t="shared" si="217"/>
        <v>1083</v>
      </c>
      <c r="O223" s="206">
        <f t="shared" si="218"/>
        <v>1083</v>
      </c>
      <c r="P223" s="205">
        <v>30417</v>
      </c>
      <c r="Q223" s="206">
        <f t="shared" si="219"/>
        <v>3043</v>
      </c>
      <c r="R223" s="206">
        <f t="shared" si="220"/>
        <v>287</v>
      </c>
      <c r="S223" s="206">
        <f t="shared" si="221"/>
        <v>1031</v>
      </c>
      <c r="T223" s="206">
        <f t="shared" si="222"/>
        <v>1300</v>
      </c>
      <c r="U223" s="205">
        <v>30417</v>
      </c>
      <c r="V223" s="206">
        <f t="shared" si="223"/>
        <v>2888</v>
      </c>
      <c r="W223" s="206">
        <f t="shared" si="224"/>
        <v>656</v>
      </c>
      <c r="X223" s="206">
        <f t="shared" si="225"/>
        <v>1289</v>
      </c>
      <c r="Y223" s="206">
        <f t="shared" si="226"/>
        <v>1083</v>
      </c>
      <c r="Z223" s="205">
        <v>30417</v>
      </c>
      <c r="AA223" s="206">
        <f t="shared" si="227"/>
        <v>3286</v>
      </c>
      <c r="AB223" s="206">
        <f t="shared" si="228"/>
        <v>1121</v>
      </c>
      <c r="AC223" s="206">
        <f t="shared" si="229"/>
        <v>1031</v>
      </c>
      <c r="AD223" s="206">
        <f t="shared" si="230"/>
        <v>1516</v>
      </c>
      <c r="AE223" s="205">
        <v>30417</v>
      </c>
      <c r="AF223" s="206">
        <f t="shared" si="231"/>
        <v>3043</v>
      </c>
      <c r="AG223" s="206">
        <f t="shared" si="232"/>
        <v>349</v>
      </c>
      <c r="AH223" s="206">
        <f t="shared" si="233"/>
        <v>1186</v>
      </c>
      <c r="AI223" s="206">
        <f t="shared" si="234"/>
        <v>1300</v>
      </c>
    </row>
    <row r="224" spans="1:35" x14ac:dyDescent="0.15">
      <c r="A224" s="205">
        <v>30418</v>
      </c>
      <c r="B224" s="206">
        <f t="shared" si="235"/>
        <v>2984</v>
      </c>
      <c r="C224" s="206">
        <f t="shared" si="236"/>
        <v>325</v>
      </c>
      <c r="D224" s="206">
        <f t="shared" si="237"/>
        <v>1119</v>
      </c>
      <c r="E224" s="206">
        <f t="shared" si="238"/>
        <v>1119</v>
      </c>
      <c r="F224" s="205">
        <v>30418</v>
      </c>
      <c r="G224" s="206">
        <f t="shared" ref="G224:G245" si="239">AQ53</f>
        <v>2984</v>
      </c>
      <c r="H224" s="206">
        <f t="shared" ref="H224:H245" si="240">AR53</f>
        <v>176</v>
      </c>
      <c r="I224" s="206">
        <f t="shared" ref="I224:I245" si="241">AS53</f>
        <v>1226</v>
      </c>
      <c r="J224" s="206">
        <f t="shared" ref="J224:J245" si="242">AV53</f>
        <v>1119</v>
      </c>
      <c r="K224" s="205">
        <v>30418</v>
      </c>
      <c r="L224" s="206">
        <f t="shared" ref="L224:L245" si="243">BO53</f>
        <v>2984</v>
      </c>
      <c r="M224" s="206">
        <f t="shared" ref="M224:M245" si="244">BP53</f>
        <v>325</v>
      </c>
      <c r="N224" s="206">
        <f t="shared" ref="N224:N245" si="245">BQ53</f>
        <v>1119</v>
      </c>
      <c r="O224" s="206">
        <f t="shared" ref="O224:O245" si="246">BT53</f>
        <v>1119</v>
      </c>
      <c r="P224" s="205">
        <v>30418</v>
      </c>
      <c r="Q224" s="206">
        <f t="shared" ref="Q224:Q245" si="247">CM53</f>
        <v>3144</v>
      </c>
      <c r="R224" s="206">
        <f t="shared" ref="R224:R245" si="248">CN53</f>
        <v>296</v>
      </c>
      <c r="S224" s="206">
        <f t="shared" ref="S224:S245" si="249">CO53</f>
        <v>1066</v>
      </c>
      <c r="T224" s="206">
        <f t="shared" ref="T224:T245" si="250">CR53</f>
        <v>1343</v>
      </c>
      <c r="U224" s="205">
        <v>30418</v>
      </c>
      <c r="V224" s="206">
        <f t="shared" ref="V224:V245" si="251">DK53</f>
        <v>2984</v>
      </c>
      <c r="W224" s="206">
        <f t="shared" ref="W224:W245" si="252">DL53</f>
        <v>678</v>
      </c>
      <c r="X224" s="206">
        <f t="shared" ref="X224:X245" si="253">DM53</f>
        <v>1332</v>
      </c>
      <c r="Y224" s="206">
        <f t="shared" ref="Y224:Y245" si="254">DP53</f>
        <v>1119</v>
      </c>
      <c r="Z224" s="205">
        <v>30418</v>
      </c>
      <c r="AA224" s="206">
        <f t="shared" ref="AA224:AA245" si="255">EI53</f>
        <v>3395</v>
      </c>
      <c r="AB224" s="206">
        <f t="shared" ref="AB224:AB245" si="256">EJ53</f>
        <v>1158</v>
      </c>
      <c r="AC224" s="206">
        <f t="shared" ref="AC224:AC245" si="257">EK53</f>
        <v>1066</v>
      </c>
      <c r="AD224" s="206">
        <f t="shared" ref="AD224:AD245" si="258">EN53</f>
        <v>1567</v>
      </c>
      <c r="AE224" s="205">
        <v>30418</v>
      </c>
      <c r="AF224" s="206">
        <f t="shared" ref="AF224:AF245" si="259">FG53</f>
        <v>3144</v>
      </c>
      <c r="AG224" s="206">
        <f t="shared" ref="AG224:AG245" si="260">FH53</f>
        <v>360</v>
      </c>
      <c r="AH224" s="206">
        <f t="shared" ref="AH224:AH245" si="261">FI53</f>
        <v>1226</v>
      </c>
      <c r="AI224" s="206">
        <f t="shared" ref="AI224:AI245" si="262">FL53</f>
        <v>1343</v>
      </c>
    </row>
    <row r="225" spans="1:35" x14ac:dyDescent="0.15">
      <c r="A225" s="205">
        <v>30501</v>
      </c>
      <c r="B225" s="206">
        <f t="shared" si="235"/>
        <v>1984</v>
      </c>
      <c r="C225" s="206">
        <f t="shared" si="236"/>
        <v>216</v>
      </c>
      <c r="D225" s="206">
        <f t="shared" si="237"/>
        <v>744</v>
      </c>
      <c r="E225" s="206">
        <f t="shared" si="238"/>
        <v>744</v>
      </c>
      <c r="F225" s="205">
        <v>30501</v>
      </c>
      <c r="G225" s="206">
        <f t="shared" si="239"/>
        <v>1984</v>
      </c>
      <c r="H225" s="206">
        <f t="shared" si="240"/>
        <v>117</v>
      </c>
      <c r="I225" s="206">
        <f t="shared" si="241"/>
        <v>815</v>
      </c>
      <c r="J225" s="206">
        <f t="shared" si="242"/>
        <v>744</v>
      </c>
      <c r="K225" s="205">
        <v>30501</v>
      </c>
      <c r="L225" s="206">
        <f t="shared" si="243"/>
        <v>1984</v>
      </c>
      <c r="M225" s="206">
        <f t="shared" si="244"/>
        <v>216</v>
      </c>
      <c r="N225" s="206">
        <f t="shared" si="245"/>
        <v>744</v>
      </c>
      <c r="O225" s="206">
        <f t="shared" si="246"/>
        <v>744</v>
      </c>
      <c r="P225" s="205">
        <v>30501</v>
      </c>
      <c r="Q225" s="206">
        <f t="shared" si="247"/>
        <v>2091</v>
      </c>
      <c r="R225" s="206">
        <f t="shared" si="248"/>
        <v>197</v>
      </c>
      <c r="S225" s="206">
        <f t="shared" si="249"/>
        <v>709</v>
      </c>
      <c r="T225" s="206">
        <f t="shared" si="250"/>
        <v>893</v>
      </c>
      <c r="U225" s="205">
        <v>30501</v>
      </c>
      <c r="V225" s="206">
        <f t="shared" si="251"/>
        <v>1984</v>
      </c>
      <c r="W225" s="206">
        <f t="shared" si="252"/>
        <v>451</v>
      </c>
      <c r="X225" s="206">
        <f t="shared" si="253"/>
        <v>886</v>
      </c>
      <c r="Y225" s="206">
        <f t="shared" si="254"/>
        <v>744</v>
      </c>
      <c r="Z225" s="205">
        <v>30501</v>
      </c>
      <c r="AA225" s="206">
        <f t="shared" si="255"/>
        <v>2257</v>
      </c>
      <c r="AB225" s="206">
        <f t="shared" si="256"/>
        <v>770</v>
      </c>
      <c r="AC225" s="206">
        <f t="shared" si="257"/>
        <v>709</v>
      </c>
      <c r="AD225" s="206">
        <f t="shared" si="258"/>
        <v>1042</v>
      </c>
      <c r="AE225" s="205">
        <v>30501</v>
      </c>
      <c r="AF225" s="206">
        <f t="shared" si="259"/>
        <v>2091</v>
      </c>
      <c r="AG225" s="206">
        <f t="shared" si="260"/>
        <v>240</v>
      </c>
      <c r="AH225" s="206">
        <f t="shared" si="261"/>
        <v>815</v>
      </c>
      <c r="AI225" s="206">
        <f t="shared" si="262"/>
        <v>893</v>
      </c>
    </row>
    <row r="226" spans="1:35" x14ac:dyDescent="0.15">
      <c r="A226" s="205">
        <v>30502</v>
      </c>
      <c r="B226" s="206">
        <f t="shared" si="235"/>
        <v>2072</v>
      </c>
      <c r="C226" s="206">
        <f t="shared" si="236"/>
        <v>225</v>
      </c>
      <c r="D226" s="206">
        <f t="shared" si="237"/>
        <v>777</v>
      </c>
      <c r="E226" s="206">
        <f t="shared" si="238"/>
        <v>777</v>
      </c>
      <c r="F226" s="205">
        <v>30502</v>
      </c>
      <c r="G226" s="206">
        <f t="shared" si="239"/>
        <v>2072</v>
      </c>
      <c r="H226" s="206">
        <f t="shared" si="240"/>
        <v>122</v>
      </c>
      <c r="I226" s="206">
        <f t="shared" si="241"/>
        <v>851</v>
      </c>
      <c r="J226" s="206">
        <f t="shared" si="242"/>
        <v>777</v>
      </c>
      <c r="K226" s="205">
        <v>30502</v>
      </c>
      <c r="L226" s="206">
        <f t="shared" si="243"/>
        <v>2072</v>
      </c>
      <c r="M226" s="206">
        <f t="shared" si="244"/>
        <v>225</v>
      </c>
      <c r="N226" s="206">
        <f t="shared" si="245"/>
        <v>777</v>
      </c>
      <c r="O226" s="206">
        <f t="shared" si="246"/>
        <v>777</v>
      </c>
      <c r="P226" s="205">
        <v>30502</v>
      </c>
      <c r="Q226" s="206">
        <f t="shared" si="247"/>
        <v>2183</v>
      </c>
      <c r="R226" s="206">
        <f t="shared" si="248"/>
        <v>206</v>
      </c>
      <c r="S226" s="206">
        <f t="shared" si="249"/>
        <v>740</v>
      </c>
      <c r="T226" s="206">
        <f t="shared" si="250"/>
        <v>932</v>
      </c>
      <c r="U226" s="205">
        <v>30502</v>
      </c>
      <c r="V226" s="206">
        <f t="shared" si="251"/>
        <v>2072</v>
      </c>
      <c r="W226" s="206">
        <f t="shared" si="252"/>
        <v>471</v>
      </c>
      <c r="X226" s="206">
        <f t="shared" si="253"/>
        <v>925</v>
      </c>
      <c r="Y226" s="206">
        <f t="shared" si="254"/>
        <v>777</v>
      </c>
      <c r="Z226" s="205">
        <v>30502</v>
      </c>
      <c r="AA226" s="206">
        <f t="shared" si="255"/>
        <v>2357</v>
      </c>
      <c r="AB226" s="206">
        <f t="shared" si="256"/>
        <v>804</v>
      </c>
      <c r="AC226" s="206">
        <f t="shared" si="257"/>
        <v>740</v>
      </c>
      <c r="AD226" s="206">
        <f t="shared" si="258"/>
        <v>1088</v>
      </c>
      <c r="AE226" s="205">
        <v>30502</v>
      </c>
      <c r="AF226" s="206">
        <f t="shared" si="259"/>
        <v>2183</v>
      </c>
      <c r="AG226" s="206">
        <f t="shared" si="260"/>
        <v>250</v>
      </c>
      <c r="AH226" s="206">
        <f t="shared" si="261"/>
        <v>851</v>
      </c>
      <c r="AI226" s="206">
        <f t="shared" si="262"/>
        <v>932</v>
      </c>
    </row>
    <row r="227" spans="1:35" x14ac:dyDescent="0.15">
      <c r="A227" s="205">
        <v>30503</v>
      </c>
      <c r="B227" s="206">
        <f t="shared" si="235"/>
        <v>2160</v>
      </c>
      <c r="C227" s="206">
        <f t="shared" si="236"/>
        <v>235</v>
      </c>
      <c r="D227" s="206">
        <f t="shared" si="237"/>
        <v>810</v>
      </c>
      <c r="E227" s="206">
        <f t="shared" si="238"/>
        <v>810</v>
      </c>
      <c r="F227" s="205">
        <v>30503</v>
      </c>
      <c r="G227" s="206">
        <f t="shared" si="239"/>
        <v>2160</v>
      </c>
      <c r="H227" s="206">
        <f t="shared" si="240"/>
        <v>127</v>
      </c>
      <c r="I227" s="206">
        <f t="shared" si="241"/>
        <v>887</v>
      </c>
      <c r="J227" s="206">
        <f t="shared" si="242"/>
        <v>810</v>
      </c>
      <c r="K227" s="205">
        <v>30503</v>
      </c>
      <c r="L227" s="206">
        <f t="shared" si="243"/>
        <v>2160</v>
      </c>
      <c r="M227" s="206">
        <f t="shared" si="244"/>
        <v>235</v>
      </c>
      <c r="N227" s="206">
        <f t="shared" si="245"/>
        <v>810</v>
      </c>
      <c r="O227" s="206">
        <f t="shared" si="246"/>
        <v>810</v>
      </c>
      <c r="P227" s="205">
        <v>30503</v>
      </c>
      <c r="Q227" s="206">
        <f t="shared" si="247"/>
        <v>2276</v>
      </c>
      <c r="R227" s="206">
        <f t="shared" si="248"/>
        <v>215</v>
      </c>
      <c r="S227" s="206">
        <f t="shared" si="249"/>
        <v>771</v>
      </c>
      <c r="T227" s="206">
        <f t="shared" si="250"/>
        <v>972</v>
      </c>
      <c r="U227" s="205">
        <v>30503</v>
      </c>
      <c r="V227" s="206">
        <f t="shared" si="251"/>
        <v>2160</v>
      </c>
      <c r="W227" s="206">
        <f t="shared" si="252"/>
        <v>491</v>
      </c>
      <c r="X227" s="206">
        <f t="shared" si="253"/>
        <v>964</v>
      </c>
      <c r="Y227" s="206">
        <f t="shared" si="254"/>
        <v>810</v>
      </c>
      <c r="Z227" s="205">
        <v>30503</v>
      </c>
      <c r="AA227" s="206">
        <f t="shared" si="255"/>
        <v>2457</v>
      </c>
      <c r="AB227" s="206">
        <f t="shared" si="256"/>
        <v>838</v>
      </c>
      <c r="AC227" s="206">
        <f t="shared" si="257"/>
        <v>771</v>
      </c>
      <c r="AD227" s="206">
        <f t="shared" si="258"/>
        <v>1134</v>
      </c>
      <c r="AE227" s="205">
        <v>30503</v>
      </c>
      <c r="AF227" s="206">
        <f t="shared" si="259"/>
        <v>2276</v>
      </c>
      <c r="AG227" s="206">
        <f t="shared" si="260"/>
        <v>261</v>
      </c>
      <c r="AH227" s="206">
        <f t="shared" si="261"/>
        <v>887</v>
      </c>
      <c r="AI227" s="206">
        <f t="shared" si="262"/>
        <v>972</v>
      </c>
    </row>
    <row r="228" spans="1:35" x14ac:dyDescent="0.15">
      <c r="A228" s="205">
        <v>30504</v>
      </c>
      <c r="B228" s="206">
        <f t="shared" si="235"/>
        <v>2248</v>
      </c>
      <c r="C228" s="206">
        <f t="shared" si="236"/>
        <v>245</v>
      </c>
      <c r="D228" s="206">
        <f t="shared" si="237"/>
        <v>843</v>
      </c>
      <c r="E228" s="206">
        <f t="shared" si="238"/>
        <v>843</v>
      </c>
      <c r="F228" s="205">
        <v>30504</v>
      </c>
      <c r="G228" s="206">
        <f t="shared" si="239"/>
        <v>2248</v>
      </c>
      <c r="H228" s="206">
        <f t="shared" si="240"/>
        <v>132</v>
      </c>
      <c r="I228" s="206">
        <f t="shared" si="241"/>
        <v>923</v>
      </c>
      <c r="J228" s="206">
        <f t="shared" si="242"/>
        <v>843</v>
      </c>
      <c r="K228" s="205">
        <v>30504</v>
      </c>
      <c r="L228" s="206">
        <f t="shared" si="243"/>
        <v>2248</v>
      </c>
      <c r="M228" s="206">
        <f t="shared" si="244"/>
        <v>245</v>
      </c>
      <c r="N228" s="206">
        <f t="shared" si="245"/>
        <v>843</v>
      </c>
      <c r="O228" s="206">
        <f t="shared" si="246"/>
        <v>843</v>
      </c>
      <c r="P228" s="205">
        <v>30504</v>
      </c>
      <c r="Q228" s="206">
        <f t="shared" si="247"/>
        <v>2369</v>
      </c>
      <c r="R228" s="206">
        <f t="shared" si="248"/>
        <v>223</v>
      </c>
      <c r="S228" s="206">
        <f t="shared" si="249"/>
        <v>803</v>
      </c>
      <c r="T228" s="206">
        <f t="shared" si="250"/>
        <v>1012</v>
      </c>
      <c r="U228" s="205">
        <v>30504</v>
      </c>
      <c r="V228" s="206">
        <f t="shared" si="251"/>
        <v>2248</v>
      </c>
      <c r="W228" s="206">
        <f t="shared" si="252"/>
        <v>511</v>
      </c>
      <c r="X228" s="206">
        <f t="shared" si="253"/>
        <v>1004</v>
      </c>
      <c r="Y228" s="206">
        <f t="shared" si="254"/>
        <v>843</v>
      </c>
      <c r="Z228" s="205">
        <v>30504</v>
      </c>
      <c r="AA228" s="206">
        <f t="shared" si="255"/>
        <v>2558</v>
      </c>
      <c r="AB228" s="206">
        <f t="shared" si="256"/>
        <v>873</v>
      </c>
      <c r="AC228" s="206">
        <f t="shared" si="257"/>
        <v>803</v>
      </c>
      <c r="AD228" s="206">
        <f t="shared" si="258"/>
        <v>1180</v>
      </c>
      <c r="AE228" s="205">
        <v>30504</v>
      </c>
      <c r="AF228" s="206">
        <f t="shared" si="259"/>
        <v>2369</v>
      </c>
      <c r="AG228" s="206">
        <f t="shared" si="260"/>
        <v>271</v>
      </c>
      <c r="AH228" s="206">
        <f t="shared" si="261"/>
        <v>923</v>
      </c>
      <c r="AI228" s="206">
        <f t="shared" si="262"/>
        <v>1012</v>
      </c>
    </row>
    <row r="229" spans="1:35" x14ac:dyDescent="0.15">
      <c r="A229" s="205">
        <v>30505</v>
      </c>
      <c r="B229" s="206">
        <f t="shared" si="235"/>
        <v>2336</v>
      </c>
      <c r="C229" s="206">
        <f t="shared" si="236"/>
        <v>254</v>
      </c>
      <c r="D229" s="206">
        <f t="shared" si="237"/>
        <v>876</v>
      </c>
      <c r="E229" s="206">
        <f t="shared" si="238"/>
        <v>876</v>
      </c>
      <c r="F229" s="205">
        <v>30505</v>
      </c>
      <c r="G229" s="206">
        <f t="shared" si="239"/>
        <v>2336</v>
      </c>
      <c r="H229" s="206">
        <f t="shared" si="240"/>
        <v>138</v>
      </c>
      <c r="I229" s="206">
        <f t="shared" si="241"/>
        <v>959</v>
      </c>
      <c r="J229" s="206">
        <f t="shared" si="242"/>
        <v>876</v>
      </c>
      <c r="K229" s="205">
        <v>30505</v>
      </c>
      <c r="L229" s="206">
        <f t="shared" si="243"/>
        <v>2336</v>
      </c>
      <c r="M229" s="206">
        <f t="shared" si="244"/>
        <v>254</v>
      </c>
      <c r="N229" s="206">
        <f t="shared" si="245"/>
        <v>876</v>
      </c>
      <c r="O229" s="206">
        <f t="shared" si="246"/>
        <v>876</v>
      </c>
      <c r="P229" s="205">
        <v>30505</v>
      </c>
      <c r="Q229" s="206">
        <f t="shared" si="247"/>
        <v>2461</v>
      </c>
      <c r="R229" s="206">
        <f t="shared" si="248"/>
        <v>232</v>
      </c>
      <c r="S229" s="206">
        <f t="shared" si="249"/>
        <v>834</v>
      </c>
      <c r="T229" s="206">
        <f t="shared" si="250"/>
        <v>1051</v>
      </c>
      <c r="U229" s="205">
        <v>30505</v>
      </c>
      <c r="V229" s="206">
        <f t="shared" si="251"/>
        <v>2336</v>
      </c>
      <c r="W229" s="206">
        <f t="shared" si="252"/>
        <v>531</v>
      </c>
      <c r="X229" s="206">
        <f t="shared" si="253"/>
        <v>1043</v>
      </c>
      <c r="Y229" s="206">
        <f t="shared" si="254"/>
        <v>876</v>
      </c>
      <c r="Z229" s="205">
        <v>30505</v>
      </c>
      <c r="AA229" s="206">
        <f t="shared" si="255"/>
        <v>2658</v>
      </c>
      <c r="AB229" s="206">
        <f t="shared" si="256"/>
        <v>907</v>
      </c>
      <c r="AC229" s="206">
        <f t="shared" si="257"/>
        <v>834</v>
      </c>
      <c r="AD229" s="206">
        <f t="shared" si="258"/>
        <v>1226</v>
      </c>
      <c r="AE229" s="205">
        <v>30505</v>
      </c>
      <c r="AF229" s="206">
        <f t="shared" si="259"/>
        <v>2461</v>
      </c>
      <c r="AG229" s="206">
        <f t="shared" si="260"/>
        <v>282</v>
      </c>
      <c r="AH229" s="206">
        <f t="shared" si="261"/>
        <v>959</v>
      </c>
      <c r="AI229" s="206">
        <f t="shared" si="262"/>
        <v>1051</v>
      </c>
    </row>
    <row r="230" spans="1:35" x14ac:dyDescent="0.15">
      <c r="A230" s="205">
        <v>30506</v>
      </c>
      <c r="B230" s="206">
        <f t="shared" si="235"/>
        <v>2424</v>
      </c>
      <c r="C230" s="206">
        <f t="shared" si="236"/>
        <v>264</v>
      </c>
      <c r="D230" s="206">
        <f t="shared" si="237"/>
        <v>909</v>
      </c>
      <c r="E230" s="206">
        <f t="shared" si="238"/>
        <v>909</v>
      </c>
      <c r="F230" s="205">
        <v>30506</v>
      </c>
      <c r="G230" s="206">
        <f t="shared" si="239"/>
        <v>2424</v>
      </c>
      <c r="H230" s="206">
        <f t="shared" si="240"/>
        <v>143</v>
      </c>
      <c r="I230" s="206">
        <f t="shared" si="241"/>
        <v>996</v>
      </c>
      <c r="J230" s="206">
        <f t="shared" si="242"/>
        <v>909</v>
      </c>
      <c r="K230" s="205">
        <v>30506</v>
      </c>
      <c r="L230" s="206">
        <f t="shared" si="243"/>
        <v>2424</v>
      </c>
      <c r="M230" s="206">
        <f t="shared" si="244"/>
        <v>264</v>
      </c>
      <c r="N230" s="206">
        <f t="shared" si="245"/>
        <v>909</v>
      </c>
      <c r="O230" s="206">
        <f t="shared" si="246"/>
        <v>909</v>
      </c>
      <c r="P230" s="205">
        <v>30506</v>
      </c>
      <c r="Q230" s="206">
        <f t="shared" si="247"/>
        <v>2554</v>
      </c>
      <c r="R230" s="206">
        <f t="shared" si="248"/>
        <v>241</v>
      </c>
      <c r="S230" s="206">
        <f t="shared" si="249"/>
        <v>866</v>
      </c>
      <c r="T230" s="206">
        <f t="shared" si="250"/>
        <v>1091</v>
      </c>
      <c r="U230" s="205">
        <v>30506</v>
      </c>
      <c r="V230" s="206">
        <f t="shared" si="251"/>
        <v>2424</v>
      </c>
      <c r="W230" s="206">
        <f t="shared" si="252"/>
        <v>551</v>
      </c>
      <c r="X230" s="206">
        <f t="shared" si="253"/>
        <v>1082</v>
      </c>
      <c r="Y230" s="206">
        <f t="shared" si="254"/>
        <v>909</v>
      </c>
      <c r="Z230" s="205">
        <v>30506</v>
      </c>
      <c r="AA230" s="206">
        <f t="shared" si="255"/>
        <v>2758</v>
      </c>
      <c r="AB230" s="206">
        <f t="shared" si="256"/>
        <v>941</v>
      </c>
      <c r="AC230" s="206">
        <f t="shared" si="257"/>
        <v>866</v>
      </c>
      <c r="AD230" s="206">
        <f t="shared" si="258"/>
        <v>1273</v>
      </c>
      <c r="AE230" s="205">
        <v>30506</v>
      </c>
      <c r="AF230" s="206">
        <f t="shared" si="259"/>
        <v>2554</v>
      </c>
      <c r="AG230" s="206">
        <f t="shared" si="260"/>
        <v>293</v>
      </c>
      <c r="AH230" s="206">
        <f t="shared" si="261"/>
        <v>996</v>
      </c>
      <c r="AI230" s="206">
        <f t="shared" si="262"/>
        <v>1091</v>
      </c>
    </row>
    <row r="231" spans="1:35" x14ac:dyDescent="0.15">
      <c r="A231" s="205">
        <v>30507</v>
      </c>
      <c r="B231" s="206">
        <f t="shared" si="235"/>
        <v>2512</v>
      </c>
      <c r="C231" s="206">
        <f t="shared" si="236"/>
        <v>273</v>
      </c>
      <c r="D231" s="206">
        <f t="shared" si="237"/>
        <v>942</v>
      </c>
      <c r="E231" s="206">
        <f t="shared" si="238"/>
        <v>942</v>
      </c>
      <c r="F231" s="205">
        <v>30507</v>
      </c>
      <c r="G231" s="206">
        <f t="shared" si="239"/>
        <v>2512</v>
      </c>
      <c r="H231" s="206">
        <f t="shared" si="240"/>
        <v>148</v>
      </c>
      <c r="I231" s="206">
        <f t="shared" si="241"/>
        <v>1032</v>
      </c>
      <c r="J231" s="206">
        <f t="shared" si="242"/>
        <v>942</v>
      </c>
      <c r="K231" s="205">
        <v>30507</v>
      </c>
      <c r="L231" s="206">
        <f t="shared" si="243"/>
        <v>2512</v>
      </c>
      <c r="M231" s="206">
        <f t="shared" si="244"/>
        <v>273</v>
      </c>
      <c r="N231" s="206">
        <f t="shared" si="245"/>
        <v>942</v>
      </c>
      <c r="O231" s="206">
        <f t="shared" si="246"/>
        <v>942</v>
      </c>
      <c r="P231" s="205">
        <v>30507</v>
      </c>
      <c r="Q231" s="206">
        <f t="shared" si="247"/>
        <v>2647</v>
      </c>
      <c r="R231" s="206">
        <f t="shared" si="248"/>
        <v>250</v>
      </c>
      <c r="S231" s="206">
        <f t="shared" si="249"/>
        <v>897</v>
      </c>
      <c r="T231" s="206">
        <f t="shared" si="250"/>
        <v>1130</v>
      </c>
      <c r="U231" s="205">
        <v>30507</v>
      </c>
      <c r="V231" s="206">
        <f t="shared" si="251"/>
        <v>2512</v>
      </c>
      <c r="W231" s="206">
        <f t="shared" si="252"/>
        <v>571</v>
      </c>
      <c r="X231" s="206">
        <f t="shared" si="253"/>
        <v>1121</v>
      </c>
      <c r="Y231" s="206">
        <f t="shared" si="254"/>
        <v>942</v>
      </c>
      <c r="Z231" s="205">
        <v>30507</v>
      </c>
      <c r="AA231" s="206">
        <f t="shared" si="255"/>
        <v>2858</v>
      </c>
      <c r="AB231" s="206">
        <f t="shared" si="256"/>
        <v>975</v>
      </c>
      <c r="AC231" s="206">
        <f t="shared" si="257"/>
        <v>897</v>
      </c>
      <c r="AD231" s="206">
        <f t="shared" si="258"/>
        <v>1319</v>
      </c>
      <c r="AE231" s="205">
        <v>30507</v>
      </c>
      <c r="AF231" s="206">
        <f t="shared" si="259"/>
        <v>2647</v>
      </c>
      <c r="AG231" s="206">
        <f t="shared" si="260"/>
        <v>303</v>
      </c>
      <c r="AH231" s="206">
        <f t="shared" si="261"/>
        <v>1032</v>
      </c>
      <c r="AI231" s="206">
        <f t="shared" si="262"/>
        <v>1130</v>
      </c>
    </row>
    <row r="232" spans="1:35" x14ac:dyDescent="0.15">
      <c r="A232" s="205">
        <v>30508</v>
      </c>
      <c r="B232" s="206">
        <f t="shared" si="235"/>
        <v>2600</v>
      </c>
      <c r="C232" s="206">
        <f t="shared" si="236"/>
        <v>283</v>
      </c>
      <c r="D232" s="206">
        <f t="shared" si="237"/>
        <v>975</v>
      </c>
      <c r="E232" s="206">
        <f t="shared" si="238"/>
        <v>975</v>
      </c>
      <c r="F232" s="205">
        <v>30508</v>
      </c>
      <c r="G232" s="206">
        <f t="shared" si="239"/>
        <v>2600</v>
      </c>
      <c r="H232" s="206">
        <f t="shared" si="240"/>
        <v>153</v>
      </c>
      <c r="I232" s="206">
        <f t="shared" si="241"/>
        <v>1068</v>
      </c>
      <c r="J232" s="206">
        <f t="shared" si="242"/>
        <v>975</v>
      </c>
      <c r="K232" s="205">
        <v>30508</v>
      </c>
      <c r="L232" s="206">
        <f t="shared" si="243"/>
        <v>2600</v>
      </c>
      <c r="M232" s="206">
        <f t="shared" si="244"/>
        <v>283</v>
      </c>
      <c r="N232" s="206">
        <f t="shared" si="245"/>
        <v>975</v>
      </c>
      <c r="O232" s="206">
        <f t="shared" si="246"/>
        <v>975</v>
      </c>
      <c r="P232" s="205">
        <v>30508</v>
      </c>
      <c r="Q232" s="206">
        <f t="shared" si="247"/>
        <v>2740</v>
      </c>
      <c r="R232" s="206">
        <f t="shared" si="248"/>
        <v>258</v>
      </c>
      <c r="S232" s="206">
        <f t="shared" si="249"/>
        <v>929</v>
      </c>
      <c r="T232" s="206">
        <f t="shared" si="250"/>
        <v>1170</v>
      </c>
      <c r="U232" s="205">
        <v>30508</v>
      </c>
      <c r="V232" s="206">
        <f t="shared" si="251"/>
        <v>2600</v>
      </c>
      <c r="W232" s="206">
        <f t="shared" si="252"/>
        <v>591</v>
      </c>
      <c r="X232" s="206">
        <f t="shared" si="253"/>
        <v>1161</v>
      </c>
      <c r="Y232" s="206">
        <f t="shared" si="254"/>
        <v>975</v>
      </c>
      <c r="Z232" s="205">
        <v>30508</v>
      </c>
      <c r="AA232" s="206">
        <f t="shared" si="255"/>
        <v>2958</v>
      </c>
      <c r="AB232" s="206">
        <f t="shared" si="256"/>
        <v>1009</v>
      </c>
      <c r="AC232" s="206">
        <f t="shared" si="257"/>
        <v>929</v>
      </c>
      <c r="AD232" s="206">
        <f t="shared" si="258"/>
        <v>1365</v>
      </c>
      <c r="AE232" s="205">
        <v>30508</v>
      </c>
      <c r="AF232" s="206">
        <f t="shared" si="259"/>
        <v>2740</v>
      </c>
      <c r="AG232" s="206">
        <f t="shared" si="260"/>
        <v>314</v>
      </c>
      <c r="AH232" s="206">
        <f t="shared" si="261"/>
        <v>1068</v>
      </c>
      <c r="AI232" s="206">
        <f t="shared" si="262"/>
        <v>1170</v>
      </c>
    </row>
    <row r="233" spans="1:35" x14ac:dyDescent="0.15">
      <c r="A233" s="205">
        <v>30509</v>
      </c>
      <c r="B233" s="206">
        <f t="shared" si="235"/>
        <v>2688</v>
      </c>
      <c r="C233" s="206">
        <f t="shared" si="236"/>
        <v>292</v>
      </c>
      <c r="D233" s="206">
        <f t="shared" si="237"/>
        <v>1008</v>
      </c>
      <c r="E233" s="206">
        <f t="shared" si="238"/>
        <v>1008</v>
      </c>
      <c r="F233" s="205">
        <v>30509</v>
      </c>
      <c r="G233" s="206">
        <f t="shared" si="239"/>
        <v>2688</v>
      </c>
      <c r="H233" s="206">
        <f t="shared" si="240"/>
        <v>158</v>
      </c>
      <c r="I233" s="206">
        <f t="shared" si="241"/>
        <v>1104</v>
      </c>
      <c r="J233" s="206">
        <f t="shared" si="242"/>
        <v>1008</v>
      </c>
      <c r="K233" s="205">
        <v>30509</v>
      </c>
      <c r="L233" s="206">
        <f t="shared" si="243"/>
        <v>2688</v>
      </c>
      <c r="M233" s="206">
        <f t="shared" si="244"/>
        <v>292</v>
      </c>
      <c r="N233" s="206">
        <f t="shared" si="245"/>
        <v>1008</v>
      </c>
      <c r="O233" s="206">
        <f t="shared" si="246"/>
        <v>1008</v>
      </c>
      <c r="P233" s="205">
        <v>30509</v>
      </c>
      <c r="Q233" s="206">
        <f t="shared" si="247"/>
        <v>2832</v>
      </c>
      <c r="R233" s="206">
        <f t="shared" si="248"/>
        <v>267</v>
      </c>
      <c r="S233" s="206">
        <f t="shared" si="249"/>
        <v>960</v>
      </c>
      <c r="T233" s="206">
        <f t="shared" si="250"/>
        <v>1210</v>
      </c>
      <c r="U233" s="205">
        <v>30509</v>
      </c>
      <c r="V233" s="206">
        <f t="shared" si="251"/>
        <v>2688</v>
      </c>
      <c r="W233" s="206">
        <f t="shared" si="252"/>
        <v>610</v>
      </c>
      <c r="X233" s="206">
        <f t="shared" si="253"/>
        <v>1200</v>
      </c>
      <c r="Y233" s="206">
        <f t="shared" si="254"/>
        <v>1008</v>
      </c>
      <c r="Z233" s="205">
        <v>30509</v>
      </c>
      <c r="AA233" s="206">
        <f t="shared" si="255"/>
        <v>3058</v>
      </c>
      <c r="AB233" s="206">
        <f t="shared" si="256"/>
        <v>1043</v>
      </c>
      <c r="AC233" s="206">
        <f t="shared" si="257"/>
        <v>960</v>
      </c>
      <c r="AD233" s="206">
        <f t="shared" si="258"/>
        <v>1411</v>
      </c>
      <c r="AE233" s="205">
        <v>30509</v>
      </c>
      <c r="AF233" s="206">
        <f t="shared" si="259"/>
        <v>2832</v>
      </c>
      <c r="AG233" s="206">
        <f t="shared" si="260"/>
        <v>325</v>
      </c>
      <c r="AH233" s="206">
        <f t="shared" si="261"/>
        <v>1104</v>
      </c>
      <c r="AI233" s="206">
        <f t="shared" si="262"/>
        <v>1210</v>
      </c>
    </row>
    <row r="234" spans="1:35" x14ac:dyDescent="0.15">
      <c r="A234" s="205">
        <v>30510</v>
      </c>
      <c r="B234" s="206">
        <f t="shared" si="235"/>
        <v>2776</v>
      </c>
      <c r="C234" s="206">
        <f t="shared" si="236"/>
        <v>302</v>
      </c>
      <c r="D234" s="206">
        <f t="shared" si="237"/>
        <v>1041</v>
      </c>
      <c r="E234" s="206">
        <f t="shared" si="238"/>
        <v>1041</v>
      </c>
      <c r="F234" s="205">
        <v>30510</v>
      </c>
      <c r="G234" s="206">
        <f t="shared" si="239"/>
        <v>2776</v>
      </c>
      <c r="H234" s="206">
        <f t="shared" si="240"/>
        <v>164</v>
      </c>
      <c r="I234" s="206">
        <f t="shared" si="241"/>
        <v>1140</v>
      </c>
      <c r="J234" s="206">
        <f t="shared" si="242"/>
        <v>1041</v>
      </c>
      <c r="K234" s="205">
        <v>30510</v>
      </c>
      <c r="L234" s="206">
        <f t="shared" si="243"/>
        <v>2776</v>
      </c>
      <c r="M234" s="206">
        <f t="shared" si="244"/>
        <v>302</v>
      </c>
      <c r="N234" s="206">
        <f t="shared" si="245"/>
        <v>1041</v>
      </c>
      <c r="O234" s="206">
        <f t="shared" si="246"/>
        <v>1041</v>
      </c>
      <c r="P234" s="205">
        <v>30510</v>
      </c>
      <c r="Q234" s="206">
        <f t="shared" si="247"/>
        <v>2925</v>
      </c>
      <c r="R234" s="206">
        <f t="shared" si="248"/>
        <v>276</v>
      </c>
      <c r="S234" s="206">
        <f t="shared" si="249"/>
        <v>991</v>
      </c>
      <c r="T234" s="206">
        <f t="shared" si="250"/>
        <v>1249</v>
      </c>
      <c r="U234" s="205">
        <v>30510</v>
      </c>
      <c r="V234" s="206">
        <f t="shared" si="251"/>
        <v>2776</v>
      </c>
      <c r="W234" s="206">
        <f t="shared" si="252"/>
        <v>630</v>
      </c>
      <c r="X234" s="206">
        <f t="shared" si="253"/>
        <v>1239</v>
      </c>
      <c r="Y234" s="206">
        <f t="shared" si="254"/>
        <v>1041</v>
      </c>
      <c r="Z234" s="205">
        <v>30510</v>
      </c>
      <c r="AA234" s="206">
        <f t="shared" si="255"/>
        <v>3158</v>
      </c>
      <c r="AB234" s="206">
        <f t="shared" si="256"/>
        <v>1077</v>
      </c>
      <c r="AC234" s="206">
        <f t="shared" si="257"/>
        <v>991</v>
      </c>
      <c r="AD234" s="206">
        <f t="shared" si="258"/>
        <v>1457</v>
      </c>
      <c r="AE234" s="205">
        <v>30510</v>
      </c>
      <c r="AF234" s="206">
        <f t="shared" si="259"/>
        <v>2925</v>
      </c>
      <c r="AG234" s="206">
        <f t="shared" si="260"/>
        <v>335</v>
      </c>
      <c r="AH234" s="206">
        <f t="shared" si="261"/>
        <v>1140</v>
      </c>
      <c r="AI234" s="206">
        <f t="shared" si="262"/>
        <v>1249</v>
      </c>
    </row>
    <row r="235" spans="1:35" x14ac:dyDescent="0.15">
      <c r="A235" s="205">
        <v>30511</v>
      </c>
      <c r="B235" s="206">
        <f t="shared" si="235"/>
        <v>2864</v>
      </c>
      <c r="C235" s="206">
        <f t="shared" si="236"/>
        <v>312</v>
      </c>
      <c r="D235" s="206">
        <f t="shared" si="237"/>
        <v>1074</v>
      </c>
      <c r="E235" s="206">
        <f t="shared" si="238"/>
        <v>1074</v>
      </c>
      <c r="F235" s="205">
        <v>30511</v>
      </c>
      <c r="G235" s="206">
        <f t="shared" si="239"/>
        <v>2864</v>
      </c>
      <c r="H235" s="206">
        <f t="shared" si="240"/>
        <v>169</v>
      </c>
      <c r="I235" s="206">
        <f t="shared" si="241"/>
        <v>1176</v>
      </c>
      <c r="J235" s="206">
        <f t="shared" si="242"/>
        <v>1074</v>
      </c>
      <c r="K235" s="205">
        <v>30511</v>
      </c>
      <c r="L235" s="206">
        <f t="shared" si="243"/>
        <v>2864</v>
      </c>
      <c r="M235" s="206">
        <f t="shared" si="244"/>
        <v>312</v>
      </c>
      <c r="N235" s="206">
        <f t="shared" si="245"/>
        <v>1074</v>
      </c>
      <c r="O235" s="206">
        <f t="shared" si="246"/>
        <v>1074</v>
      </c>
      <c r="P235" s="205">
        <v>30511</v>
      </c>
      <c r="Q235" s="206">
        <f t="shared" si="247"/>
        <v>3018</v>
      </c>
      <c r="R235" s="206">
        <f t="shared" si="248"/>
        <v>285</v>
      </c>
      <c r="S235" s="206">
        <f t="shared" si="249"/>
        <v>1023</v>
      </c>
      <c r="T235" s="206">
        <f t="shared" si="250"/>
        <v>1289</v>
      </c>
      <c r="U235" s="205">
        <v>30511</v>
      </c>
      <c r="V235" s="206">
        <f t="shared" si="251"/>
        <v>2864</v>
      </c>
      <c r="W235" s="206">
        <f t="shared" si="252"/>
        <v>650</v>
      </c>
      <c r="X235" s="206">
        <f t="shared" si="253"/>
        <v>1279</v>
      </c>
      <c r="Y235" s="206">
        <f t="shared" si="254"/>
        <v>1074</v>
      </c>
      <c r="Z235" s="205">
        <v>30511</v>
      </c>
      <c r="AA235" s="206">
        <f t="shared" si="255"/>
        <v>3258</v>
      </c>
      <c r="AB235" s="206">
        <f t="shared" si="256"/>
        <v>1112</v>
      </c>
      <c r="AC235" s="206">
        <f t="shared" si="257"/>
        <v>1023</v>
      </c>
      <c r="AD235" s="206">
        <f t="shared" si="258"/>
        <v>1504</v>
      </c>
      <c r="AE235" s="205">
        <v>30511</v>
      </c>
      <c r="AF235" s="206">
        <f t="shared" si="259"/>
        <v>3018</v>
      </c>
      <c r="AG235" s="206">
        <f t="shared" si="260"/>
        <v>346</v>
      </c>
      <c r="AH235" s="206">
        <f t="shared" si="261"/>
        <v>1176</v>
      </c>
      <c r="AI235" s="206">
        <f t="shared" si="262"/>
        <v>1289</v>
      </c>
    </row>
    <row r="236" spans="1:35" x14ac:dyDescent="0.15">
      <c r="A236" s="205">
        <v>30512</v>
      </c>
      <c r="B236" s="206">
        <f t="shared" si="235"/>
        <v>2952</v>
      </c>
      <c r="C236" s="206">
        <f t="shared" si="236"/>
        <v>321</v>
      </c>
      <c r="D236" s="206">
        <f t="shared" si="237"/>
        <v>1107</v>
      </c>
      <c r="E236" s="206">
        <f t="shared" si="238"/>
        <v>1107</v>
      </c>
      <c r="F236" s="205">
        <v>30512</v>
      </c>
      <c r="G236" s="206">
        <f t="shared" si="239"/>
        <v>2952</v>
      </c>
      <c r="H236" s="206">
        <f t="shared" si="240"/>
        <v>174</v>
      </c>
      <c r="I236" s="206">
        <f t="shared" si="241"/>
        <v>1212</v>
      </c>
      <c r="J236" s="206">
        <f t="shared" si="242"/>
        <v>1107</v>
      </c>
      <c r="K236" s="205">
        <v>30512</v>
      </c>
      <c r="L236" s="206">
        <f t="shared" si="243"/>
        <v>2952</v>
      </c>
      <c r="M236" s="206">
        <f t="shared" si="244"/>
        <v>321</v>
      </c>
      <c r="N236" s="206">
        <f t="shared" si="245"/>
        <v>1107</v>
      </c>
      <c r="O236" s="206">
        <f t="shared" si="246"/>
        <v>1107</v>
      </c>
      <c r="P236" s="205">
        <v>30512</v>
      </c>
      <c r="Q236" s="206">
        <f t="shared" si="247"/>
        <v>3111</v>
      </c>
      <c r="R236" s="206">
        <f t="shared" si="248"/>
        <v>293</v>
      </c>
      <c r="S236" s="206">
        <f t="shared" si="249"/>
        <v>1054</v>
      </c>
      <c r="T236" s="206">
        <f t="shared" si="250"/>
        <v>1328</v>
      </c>
      <c r="U236" s="205">
        <v>30512</v>
      </c>
      <c r="V236" s="206">
        <f t="shared" si="251"/>
        <v>2952</v>
      </c>
      <c r="W236" s="206">
        <f t="shared" si="252"/>
        <v>670</v>
      </c>
      <c r="X236" s="206">
        <f t="shared" si="253"/>
        <v>1318</v>
      </c>
      <c r="Y236" s="206">
        <f t="shared" si="254"/>
        <v>1107</v>
      </c>
      <c r="Z236" s="205">
        <v>30512</v>
      </c>
      <c r="AA236" s="206">
        <f t="shared" si="255"/>
        <v>3359</v>
      </c>
      <c r="AB236" s="206">
        <f t="shared" si="256"/>
        <v>1146</v>
      </c>
      <c r="AC236" s="206">
        <f t="shared" si="257"/>
        <v>1054</v>
      </c>
      <c r="AD236" s="206">
        <f t="shared" si="258"/>
        <v>1550</v>
      </c>
      <c r="AE236" s="205">
        <v>30512</v>
      </c>
      <c r="AF236" s="206">
        <f t="shared" si="259"/>
        <v>3111</v>
      </c>
      <c r="AG236" s="206">
        <f t="shared" si="260"/>
        <v>356</v>
      </c>
      <c r="AH236" s="206">
        <f t="shared" si="261"/>
        <v>1212</v>
      </c>
      <c r="AI236" s="206">
        <f t="shared" si="262"/>
        <v>1328</v>
      </c>
    </row>
    <row r="237" spans="1:35" x14ac:dyDescent="0.15">
      <c r="A237" s="205">
        <v>30513</v>
      </c>
      <c r="B237" s="206">
        <f t="shared" si="235"/>
        <v>3040</v>
      </c>
      <c r="C237" s="206">
        <f t="shared" si="236"/>
        <v>331</v>
      </c>
      <c r="D237" s="206">
        <f t="shared" si="237"/>
        <v>1140</v>
      </c>
      <c r="E237" s="206">
        <f t="shared" si="238"/>
        <v>1140</v>
      </c>
      <c r="F237" s="205">
        <v>30513</v>
      </c>
      <c r="G237" s="206">
        <f t="shared" si="239"/>
        <v>3040</v>
      </c>
      <c r="H237" s="206">
        <f t="shared" si="240"/>
        <v>179</v>
      </c>
      <c r="I237" s="206">
        <f t="shared" si="241"/>
        <v>1249</v>
      </c>
      <c r="J237" s="206">
        <f t="shared" si="242"/>
        <v>1140</v>
      </c>
      <c r="K237" s="205">
        <v>30513</v>
      </c>
      <c r="L237" s="206">
        <f t="shared" si="243"/>
        <v>3040</v>
      </c>
      <c r="M237" s="206">
        <f t="shared" si="244"/>
        <v>331</v>
      </c>
      <c r="N237" s="206">
        <f t="shared" si="245"/>
        <v>1140</v>
      </c>
      <c r="O237" s="206">
        <f t="shared" si="246"/>
        <v>1140</v>
      </c>
      <c r="P237" s="205">
        <v>30513</v>
      </c>
      <c r="Q237" s="206">
        <f t="shared" si="247"/>
        <v>3203</v>
      </c>
      <c r="R237" s="206">
        <f t="shared" si="248"/>
        <v>302</v>
      </c>
      <c r="S237" s="206">
        <f t="shared" si="249"/>
        <v>1086</v>
      </c>
      <c r="T237" s="206">
        <f t="shared" si="250"/>
        <v>1368</v>
      </c>
      <c r="U237" s="205">
        <v>30513</v>
      </c>
      <c r="V237" s="206">
        <f t="shared" si="251"/>
        <v>3040</v>
      </c>
      <c r="W237" s="206">
        <f t="shared" si="252"/>
        <v>690</v>
      </c>
      <c r="X237" s="206">
        <f t="shared" si="253"/>
        <v>1357</v>
      </c>
      <c r="Y237" s="206">
        <f t="shared" si="254"/>
        <v>1140</v>
      </c>
      <c r="Z237" s="205">
        <v>30513</v>
      </c>
      <c r="AA237" s="206">
        <f t="shared" si="255"/>
        <v>3459</v>
      </c>
      <c r="AB237" s="206">
        <f t="shared" si="256"/>
        <v>1180</v>
      </c>
      <c r="AC237" s="206">
        <f t="shared" si="257"/>
        <v>1086</v>
      </c>
      <c r="AD237" s="206">
        <f t="shared" si="258"/>
        <v>1596</v>
      </c>
      <c r="AE237" s="205">
        <v>30513</v>
      </c>
      <c r="AF237" s="206">
        <f t="shared" si="259"/>
        <v>3203</v>
      </c>
      <c r="AG237" s="206">
        <f t="shared" si="260"/>
        <v>367</v>
      </c>
      <c r="AH237" s="206">
        <f t="shared" si="261"/>
        <v>1249</v>
      </c>
      <c r="AI237" s="206">
        <f t="shared" si="262"/>
        <v>1368</v>
      </c>
    </row>
    <row r="238" spans="1:35" x14ac:dyDescent="0.15">
      <c r="A238" s="205">
        <v>30514</v>
      </c>
      <c r="B238" s="206">
        <f t="shared" si="235"/>
        <v>3128</v>
      </c>
      <c r="C238" s="206">
        <f t="shared" si="236"/>
        <v>340</v>
      </c>
      <c r="D238" s="206">
        <f t="shared" si="237"/>
        <v>1173</v>
      </c>
      <c r="E238" s="206">
        <f t="shared" si="238"/>
        <v>1173</v>
      </c>
      <c r="F238" s="205">
        <v>30514</v>
      </c>
      <c r="G238" s="206">
        <f t="shared" si="239"/>
        <v>3128</v>
      </c>
      <c r="H238" s="206">
        <f t="shared" si="240"/>
        <v>184</v>
      </c>
      <c r="I238" s="206">
        <f t="shared" si="241"/>
        <v>1285</v>
      </c>
      <c r="J238" s="206">
        <f t="shared" si="242"/>
        <v>1173</v>
      </c>
      <c r="K238" s="205">
        <v>30514</v>
      </c>
      <c r="L238" s="206">
        <f t="shared" si="243"/>
        <v>3128</v>
      </c>
      <c r="M238" s="206">
        <f t="shared" si="244"/>
        <v>340</v>
      </c>
      <c r="N238" s="206">
        <f t="shared" si="245"/>
        <v>1173</v>
      </c>
      <c r="O238" s="206">
        <f t="shared" si="246"/>
        <v>1173</v>
      </c>
      <c r="P238" s="205">
        <v>30514</v>
      </c>
      <c r="Q238" s="206">
        <f t="shared" si="247"/>
        <v>3296</v>
      </c>
      <c r="R238" s="206">
        <f t="shared" si="248"/>
        <v>311</v>
      </c>
      <c r="S238" s="206">
        <f t="shared" si="249"/>
        <v>1117</v>
      </c>
      <c r="T238" s="206">
        <f t="shared" si="250"/>
        <v>1408</v>
      </c>
      <c r="U238" s="205">
        <v>30514</v>
      </c>
      <c r="V238" s="206">
        <f t="shared" si="251"/>
        <v>3128</v>
      </c>
      <c r="W238" s="206">
        <f t="shared" si="252"/>
        <v>710</v>
      </c>
      <c r="X238" s="206">
        <f t="shared" si="253"/>
        <v>1396</v>
      </c>
      <c r="Y238" s="206">
        <f t="shared" si="254"/>
        <v>1173</v>
      </c>
      <c r="Z238" s="205">
        <v>30514</v>
      </c>
      <c r="AA238" s="206">
        <f t="shared" si="255"/>
        <v>3559</v>
      </c>
      <c r="AB238" s="206">
        <f t="shared" si="256"/>
        <v>1214</v>
      </c>
      <c r="AC238" s="206">
        <f t="shared" si="257"/>
        <v>1117</v>
      </c>
      <c r="AD238" s="206">
        <f t="shared" si="258"/>
        <v>1642</v>
      </c>
      <c r="AE238" s="205">
        <v>30514</v>
      </c>
      <c r="AF238" s="206">
        <f t="shared" si="259"/>
        <v>3296</v>
      </c>
      <c r="AG238" s="206">
        <f t="shared" si="260"/>
        <v>378</v>
      </c>
      <c r="AH238" s="206">
        <f t="shared" si="261"/>
        <v>1285</v>
      </c>
      <c r="AI238" s="206">
        <f t="shared" si="262"/>
        <v>1408</v>
      </c>
    </row>
    <row r="239" spans="1:35" x14ac:dyDescent="0.15">
      <c r="A239" s="205">
        <v>30515</v>
      </c>
      <c r="B239" s="206">
        <f t="shared" si="235"/>
        <v>3232</v>
      </c>
      <c r="C239" s="206">
        <f t="shared" si="236"/>
        <v>352</v>
      </c>
      <c r="D239" s="206">
        <f t="shared" si="237"/>
        <v>1212</v>
      </c>
      <c r="E239" s="206">
        <f t="shared" si="238"/>
        <v>1212</v>
      </c>
      <c r="F239" s="205">
        <v>30515</v>
      </c>
      <c r="G239" s="206">
        <f t="shared" si="239"/>
        <v>3232</v>
      </c>
      <c r="H239" s="206">
        <f t="shared" si="240"/>
        <v>190</v>
      </c>
      <c r="I239" s="206">
        <f t="shared" si="241"/>
        <v>1327</v>
      </c>
      <c r="J239" s="206">
        <f t="shared" si="242"/>
        <v>1212</v>
      </c>
      <c r="K239" s="205">
        <v>30515</v>
      </c>
      <c r="L239" s="206">
        <f t="shared" si="243"/>
        <v>3232</v>
      </c>
      <c r="M239" s="206">
        <f t="shared" si="244"/>
        <v>352</v>
      </c>
      <c r="N239" s="206">
        <f t="shared" si="245"/>
        <v>1212</v>
      </c>
      <c r="O239" s="206">
        <f t="shared" si="246"/>
        <v>1212</v>
      </c>
      <c r="P239" s="205">
        <v>30515</v>
      </c>
      <c r="Q239" s="206">
        <f t="shared" si="247"/>
        <v>3406</v>
      </c>
      <c r="R239" s="206">
        <f t="shared" si="248"/>
        <v>321</v>
      </c>
      <c r="S239" s="206">
        <f t="shared" si="249"/>
        <v>1154</v>
      </c>
      <c r="T239" s="206">
        <f t="shared" si="250"/>
        <v>1454</v>
      </c>
      <c r="U239" s="205">
        <v>30515</v>
      </c>
      <c r="V239" s="206">
        <f t="shared" si="251"/>
        <v>3232</v>
      </c>
      <c r="W239" s="206">
        <f t="shared" si="252"/>
        <v>734</v>
      </c>
      <c r="X239" s="206">
        <f t="shared" si="253"/>
        <v>1443</v>
      </c>
      <c r="Y239" s="206">
        <f t="shared" si="254"/>
        <v>1212</v>
      </c>
      <c r="Z239" s="205">
        <v>30515</v>
      </c>
      <c r="AA239" s="206">
        <f t="shared" si="255"/>
        <v>3677</v>
      </c>
      <c r="AB239" s="206">
        <f t="shared" si="256"/>
        <v>1254</v>
      </c>
      <c r="AC239" s="206">
        <f t="shared" si="257"/>
        <v>1154</v>
      </c>
      <c r="AD239" s="206">
        <f t="shared" si="258"/>
        <v>1697</v>
      </c>
      <c r="AE239" s="205">
        <v>30515</v>
      </c>
      <c r="AF239" s="206">
        <f t="shared" si="259"/>
        <v>3406</v>
      </c>
      <c r="AG239" s="206">
        <f t="shared" si="260"/>
        <v>390</v>
      </c>
      <c r="AH239" s="206">
        <f t="shared" si="261"/>
        <v>1327</v>
      </c>
      <c r="AI239" s="206">
        <f t="shared" si="262"/>
        <v>1454</v>
      </c>
    </row>
    <row r="240" spans="1:35" x14ac:dyDescent="0.15">
      <c r="A240" s="205">
        <v>30516</v>
      </c>
      <c r="B240" s="206">
        <f t="shared" si="235"/>
        <v>3336</v>
      </c>
      <c r="C240" s="206">
        <f t="shared" si="236"/>
        <v>363</v>
      </c>
      <c r="D240" s="206">
        <f t="shared" si="237"/>
        <v>1251</v>
      </c>
      <c r="E240" s="206">
        <f t="shared" si="238"/>
        <v>1251</v>
      </c>
      <c r="F240" s="205">
        <v>30516</v>
      </c>
      <c r="G240" s="206">
        <f t="shared" si="239"/>
        <v>3336</v>
      </c>
      <c r="H240" s="206">
        <f t="shared" si="240"/>
        <v>197</v>
      </c>
      <c r="I240" s="206">
        <f t="shared" si="241"/>
        <v>1370</v>
      </c>
      <c r="J240" s="206">
        <f t="shared" si="242"/>
        <v>1251</v>
      </c>
      <c r="K240" s="205">
        <v>30516</v>
      </c>
      <c r="L240" s="206">
        <f t="shared" si="243"/>
        <v>3336</v>
      </c>
      <c r="M240" s="206">
        <f t="shared" si="244"/>
        <v>363</v>
      </c>
      <c r="N240" s="206">
        <f t="shared" si="245"/>
        <v>1251</v>
      </c>
      <c r="O240" s="206">
        <f t="shared" si="246"/>
        <v>1251</v>
      </c>
      <c r="P240" s="205">
        <v>30516</v>
      </c>
      <c r="Q240" s="206">
        <f t="shared" si="247"/>
        <v>3515</v>
      </c>
      <c r="R240" s="206">
        <f t="shared" si="248"/>
        <v>331</v>
      </c>
      <c r="S240" s="206">
        <f t="shared" si="249"/>
        <v>1191</v>
      </c>
      <c r="T240" s="206">
        <f t="shared" si="250"/>
        <v>1501</v>
      </c>
      <c r="U240" s="205">
        <v>30516</v>
      </c>
      <c r="V240" s="206">
        <f t="shared" si="251"/>
        <v>3336</v>
      </c>
      <c r="W240" s="206">
        <f t="shared" si="252"/>
        <v>758</v>
      </c>
      <c r="X240" s="206">
        <f t="shared" si="253"/>
        <v>1489</v>
      </c>
      <c r="Y240" s="206">
        <f t="shared" si="254"/>
        <v>1251</v>
      </c>
      <c r="Z240" s="205">
        <v>30516</v>
      </c>
      <c r="AA240" s="206">
        <f t="shared" si="255"/>
        <v>3795</v>
      </c>
      <c r="AB240" s="206">
        <f t="shared" si="256"/>
        <v>1295</v>
      </c>
      <c r="AC240" s="206">
        <f t="shared" si="257"/>
        <v>1191</v>
      </c>
      <c r="AD240" s="206">
        <f t="shared" si="258"/>
        <v>1751</v>
      </c>
      <c r="AE240" s="205">
        <v>30516</v>
      </c>
      <c r="AF240" s="206">
        <f t="shared" si="259"/>
        <v>3515</v>
      </c>
      <c r="AG240" s="206">
        <f t="shared" si="260"/>
        <v>403</v>
      </c>
      <c r="AH240" s="206">
        <f t="shared" si="261"/>
        <v>1370</v>
      </c>
      <c r="AI240" s="206">
        <f t="shared" si="262"/>
        <v>1501</v>
      </c>
    </row>
    <row r="241" spans="1:35" x14ac:dyDescent="0.15">
      <c r="A241" s="205">
        <v>30517</v>
      </c>
      <c r="B241" s="206">
        <f t="shared" si="235"/>
        <v>3440</v>
      </c>
      <c r="C241" s="206">
        <f t="shared" si="236"/>
        <v>374</v>
      </c>
      <c r="D241" s="206">
        <f t="shared" si="237"/>
        <v>1290</v>
      </c>
      <c r="E241" s="206">
        <f t="shared" si="238"/>
        <v>1290</v>
      </c>
      <c r="F241" s="205">
        <v>30517</v>
      </c>
      <c r="G241" s="206">
        <f t="shared" si="239"/>
        <v>3440</v>
      </c>
      <c r="H241" s="206">
        <f t="shared" si="240"/>
        <v>203</v>
      </c>
      <c r="I241" s="206">
        <f t="shared" si="241"/>
        <v>1413</v>
      </c>
      <c r="J241" s="206">
        <f t="shared" si="242"/>
        <v>1290</v>
      </c>
      <c r="K241" s="205">
        <v>30517</v>
      </c>
      <c r="L241" s="206">
        <f t="shared" si="243"/>
        <v>3440</v>
      </c>
      <c r="M241" s="206">
        <f t="shared" si="244"/>
        <v>374</v>
      </c>
      <c r="N241" s="206">
        <f t="shared" si="245"/>
        <v>1290</v>
      </c>
      <c r="O241" s="206">
        <f t="shared" si="246"/>
        <v>1290</v>
      </c>
      <c r="P241" s="205">
        <v>30517</v>
      </c>
      <c r="Q241" s="206">
        <f t="shared" si="247"/>
        <v>3625</v>
      </c>
      <c r="R241" s="206">
        <f t="shared" si="248"/>
        <v>342</v>
      </c>
      <c r="S241" s="206">
        <f t="shared" si="249"/>
        <v>1229</v>
      </c>
      <c r="T241" s="206">
        <f t="shared" si="250"/>
        <v>1548</v>
      </c>
      <c r="U241" s="205">
        <v>30517</v>
      </c>
      <c r="V241" s="206">
        <f t="shared" si="251"/>
        <v>3440</v>
      </c>
      <c r="W241" s="206">
        <f t="shared" si="252"/>
        <v>781</v>
      </c>
      <c r="X241" s="206">
        <f t="shared" si="253"/>
        <v>1536</v>
      </c>
      <c r="Y241" s="206">
        <f t="shared" si="254"/>
        <v>1290</v>
      </c>
      <c r="Z241" s="205">
        <v>30517</v>
      </c>
      <c r="AA241" s="206">
        <f t="shared" si="255"/>
        <v>3914</v>
      </c>
      <c r="AB241" s="206">
        <f t="shared" si="256"/>
        <v>1335</v>
      </c>
      <c r="AC241" s="206">
        <f t="shared" si="257"/>
        <v>1229</v>
      </c>
      <c r="AD241" s="206">
        <f t="shared" si="258"/>
        <v>1806</v>
      </c>
      <c r="AE241" s="205">
        <v>30517</v>
      </c>
      <c r="AF241" s="206">
        <f t="shared" si="259"/>
        <v>3625</v>
      </c>
      <c r="AG241" s="206">
        <f t="shared" si="260"/>
        <v>415</v>
      </c>
      <c r="AH241" s="206">
        <f t="shared" si="261"/>
        <v>1413</v>
      </c>
      <c r="AI241" s="206">
        <f t="shared" si="262"/>
        <v>1548</v>
      </c>
    </row>
    <row r="242" spans="1:35" x14ac:dyDescent="0.15">
      <c r="A242" s="205">
        <v>30518</v>
      </c>
      <c r="B242" s="206">
        <f t="shared" si="235"/>
        <v>3544</v>
      </c>
      <c r="C242" s="206">
        <f t="shared" si="236"/>
        <v>385</v>
      </c>
      <c r="D242" s="206">
        <f t="shared" si="237"/>
        <v>1329</v>
      </c>
      <c r="E242" s="206">
        <f t="shared" si="238"/>
        <v>1329</v>
      </c>
      <c r="F242" s="205">
        <v>30518</v>
      </c>
      <c r="G242" s="206">
        <f t="shared" si="239"/>
        <v>3544</v>
      </c>
      <c r="H242" s="206">
        <f t="shared" si="240"/>
        <v>209</v>
      </c>
      <c r="I242" s="206">
        <f t="shared" si="241"/>
        <v>1456</v>
      </c>
      <c r="J242" s="206">
        <f t="shared" si="242"/>
        <v>1329</v>
      </c>
      <c r="K242" s="205">
        <v>30518</v>
      </c>
      <c r="L242" s="206">
        <f t="shared" si="243"/>
        <v>3544</v>
      </c>
      <c r="M242" s="206">
        <f t="shared" si="244"/>
        <v>385</v>
      </c>
      <c r="N242" s="206">
        <f t="shared" si="245"/>
        <v>1329</v>
      </c>
      <c r="O242" s="206">
        <f t="shared" si="246"/>
        <v>1329</v>
      </c>
      <c r="P242" s="205">
        <v>30518</v>
      </c>
      <c r="Q242" s="206">
        <f t="shared" si="247"/>
        <v>3734</v>
      </c>
      <c r="R242" s="206">
        <f t="shared" si="248"/>
        <v>352</v>
      </c>
      <c r="S242" s="206">
        <f t="shared" si="249"/>
        <v>1266</v>
      </c>
      <c r="T242" s="206">
        <f t="shared" si="250"/>
        <v>1595</v>
      </c>
      <c r="U242" s="205">
        <v>30518</v>
      </c>
      <c r="V242" s="206">
        <f t="shared" si="251"/>
        <v>3544</v>
      </c>
      <c r="W242" s="206">
        <f t="shared" si="252"/>
        <v>805</v>
      </c>
      <c r="X242" s="206">
        <f t="shared" si="253"/>
        <v>1582</v>
      </c>
      <c r="Y242" s="206">
        <f t="shared" si="254"/>
        <v>1329</v>
      </c>
      <c r="Z242" s="205">
        <v>30518</v>
      </c>
      <c r="AA242" s="206">
        <f t="shared" si="255"/>
        <v>4032</v>
      </c>
      <c r="AB242" s="206">
        <f t="shared" si="256"/>
        <v>1376</v>
      </c>
      <c r="AC242" s="206">
        <f t="shared" si="257"/>
        <v>1266</v>
      </c>
      <c r="AD242" s="206">
        <f t="shared" si="258"/>
        <v>1861</v>
      </c>
      <c r="AE242" s="205">
        <v>30518</v>
      </c>
      <c r="AF242" s="206">
        <f t="shared" si="259"/>
        <v>3734</v>
      </c>
      <c r="AG242" s="206">
        <f t="shared" si="260"/>
        <v>428</v>
      </c>
      <c r="AH242" s="206">
        <f t="shared" si="261"/>
        <v>1456</v>
      </c>
      <c r="AI242" s="206">
        <f t="shared" si="262"/>
        <v>1595</v>
      </c>
    </row>
    <row r="243" spans="1:35" x14ac:dyDescent="0.15">
      <c r="A243" s="205">
        <v>30519</v>
      </c>
      <c r="B243" s="206">
        <f t="shared" si="235"/>
        <v>3648</v>
      </c>
      <c r="C243" s="206">
        <f t="shared" si="236"/>
        <v>397</v>
      </c>
      <c r="D243" s="206">
        <f t="shared" si="237"/>
        <v>1368</v>
      </c>
      <c r="E243" s="206">
        <f t="shared" si="238"/>
        <v>1368</v>
      </c>
      <c r="F243" s="205">
        <v>30519</v>
      </c>
      <c r="G243" s="206">
        <f t="shared" si="239"/>
        <v>3648</v>
      </c>
      <c r="H243" s="206">
        <f t="shared" si="240"/>
        <v>215</v>
      </c>
      <c r="I243" s="206">
        <f t="shared" si="241"/>
        <v>1498</v>
      </c>
      <c r="J243" s="206">
        <f t="shared" si="242"/>
        <v>1368</v>
      </c>
      <c r="K243" s="205">
        <v>30519</v>
      </c>
      <c r="L243" s="206">
        <f t="shared" si="243"/>
        <v>3648</v>
      </c>
      <c r="M243" s="206">
        <f t="shared" si="244"/>
        <v>397</v>
      </c>
      <c r="N243" s="206">
        <f t="shared" si="245"/>
        <v>1368</v>
      </c>
      <c r="O243" s="206">
        <f t="shared" si="246"/>
        <v>1368</v>
      </c>
      <c r="P243" s="205">
        <v>30519</v>
      </c>
      <c r="Q243" s="206">
        <f t="shared" si="247"/>
        <v>3844</v>
      </c>
      <c r="R243" s="206">
        <f t="shared" si="248"/>
        <v>362</v>
      </c>
      <c r="S243" s="206">
        <f t="shared" si="249"/>
        <v>1303</v>
      </c>
      <c r="T243" s="206">
        <f t="shared" si="250"/>
        <v>1642</v>
      </c>
      <c r="U243" s="205">
        <v>30519</v>
      </c>
      <c r="V243" s="206">
        <f t="shared" si="251"/>
        <v>3648</v>
      </c>
      <c r="W243" s="206">
        <f t="shared" si="252"/>
        <v>829</v>
      </c>
      <c r="X243" s="206">
        <f t="shared" si="253"/>
        <v>1629</v>
      </c>
      <c r="Y243" s="206">
        <f t="shared" si="254"/>
        <v>1368</v>
      </c>
      <c r="Z243" s="205">
        <v>30519</v>
      </c>
      <c r="AA243" s="206">
        <f t="shared" si="255"/>
        <v>4150</v>
      </c>
      <c r="AB243" s="206">
        <f t="shared" si="256"/>
        <v>1416</v>
      </c>
      <c r="AC243" s="206">
        <f t="shared" si="257"/>
        <v>1303</v>
      </c>
      <c r="AD243" s="206">
        <f t="shared" si="258"/>
        <v>1915</v>
      </c>
      <c r="AE243" s="205">
        <v>30519</v>
      </c>
      <c r="AF243" s="206">
        <f t="shared" si="259"/>
        <v>3844</v>
      </c>
      <c r="AG243" s="206">
        <f t="shared" si="260"/>
        <v>440</v>
      </c>
      <c r="AH243" s="206">
        <f t="shared" si="261"/>
        <v>1498</v>
      </c>
      <c r="AI243" s="206">
        <f t="shared" si="262"/>
        <v>1642</v>
      </c>
    </row>
    <row r="244" spans="1:35" x14ac:dyDescent="0.15">
      <c r="A244" s="205">
        <v>30520</v>
      </c>
      <c r="B244" s="206">
        <f t="shared" si="235"/>
        <v>3752</v>
      </c>
      <c r="C244" s="206">
        <f t="shared" si="236"/>
        <v>408</v>
      </c>
      <c r="D244" s="206">
        <f t="shared" si="237"/>
        <v>1407</v>
      </c>
      <c r="E244" s="206">
        <f t="shared" si="238"/>
        <v>1407</v>
      </c>
      <c r="F244" s="205">
        <v>30520</v>
      </c>
      <c r="G244" s="206">
        <f t="shared" si="239"/>
        <v>3752</v>
      </c>
      <c r="H244" s="206">
        <f t="shared" si="240"/>
        <v>221</v>
      </c>
      <c r="I244" s="206">
        <f t="shared" si="241"/>
        <v>1541</v>
      </c>
      <c r="J244" s="206">
        <f t="shared" si="242"/>
        <v>1407</v>
      </c>
      <c r="K244" s="205">
        <v>30520</v>
      </c>
      <c r="L244" s="206">
        <f t="shared" si="243"/>
        <v>3752</v>
      </c>
      <c r="M244" s="206">
        <f t="shared" si="244"/>
        <v>408</v>
      </c>
      <c r="N244" s="206">
        <f t="shared" si="245"/>
        <v>1407</v>
      </c>
      <c r="O244" s="206">
        <f t="shared" si="246"/>
        <v>1407</v>
      </c>
      <c r="P244" s="205">
        <v>30520</v>
      </c>
      <c r="Q244" s="206">
        <f t="shared" si="247"/>
        <v>3954</v>
      </c>
      <c r="R244" s="206">
        <f t="shared" si="248"/>
        <v>373</v>
      </c>
      <c r="S244" s="206">
        <f t="shared" si="249"/>
        <v>1340</v>
      </c>
      <c r="T244" s="206">
        <f t="shared" si="250"/>
        <v>1688</v>
      </c>
      <c r="U244" s="205">
        <v>30520</v>
      </c>
      <c r="V244" s="206">
        <f t="shared" si="251"/>
        <v>3752</v>
      </c>
      <c r="W244" s="206">
        <f t="shared" si="252"/>
        <v>852</v>
      </c>
      <c r="X244" s="206">
        <f t="shared" si="253"/>
        <v>1675</v>
      </c>
      <c r="Y244" s="206">
        <f t="shared" si="254"/>
        <v>1407</v>
      </c>
      <c r="Z244" s="205">
        <v>30520</v>
      </c>
      <c r="AA244" s="206">
        <f t="shared" si="255"/>
        <v>4269</v>
      </c>
      <c r="AB244" s="206">
        <f t="shared" si="256"/>
        <v>1456</v>
      </c>
      <c r="AC244" s="206">
        <f t="shared" si="257"/>
        <v>1340</v>
      </c>
      <c r="AD244" s="206">
        <f t="shared" si="258"/>
        <v>1970</v>
      </c>
      <c r="AE244" s="205">
        <v>30520</v>
      </c>
      <c r="AF244" s="206">
        <f t="shared" si="259"/>
        <v>3954</v>
      </c>
      <c r="AG244" s="206">
        <f t="shared" si="260"/>
        <v>453</v>
      </c>
      <c r="AH244" s="206">
        <f t="shared" si="261"/>
        <v>1541</v>
      </c>
      <c r="AI244" s="206">
        <f t="shared" si="262"/>
        <v>1688</v>
      </c>
    </row>
    <row r="245" spans="1:35" x14ac:dyDescent="0.15">
      <c r="A245" s="205">
        <v>30521</v>
      </c>
      <c r="B245" s="206">
        <f t="shared" si="235"/>
        <v>3856</v>
      </c>
      <c r="C245" s="206">
        <f t="shared" si="236"/>
        <v>419</v>
      </c>
      <c r="D245" s="206">
        <f t="shared" si="237"/>
        <v>1446</v>
      </c>
      <c r="E245" s="206">
        <f t="shared" si="238"/>
        <v>1446</v>
      </c>
      <c r="F245" s="205">
        <v>30521</v>
      </c>
      <c r="G245" s="206">
        <f t="shared" si="239"/>
        <v>3856</v>
      </c>
      <c r="H245" s="206">
        <f t="shared" si="240"/>
        <v>227</v>
      </c>
      <c r="I245" s="206">
        <f t="shared" si="241"/>
        <v>1584</v>
      </c>
      <c r="J245" s="206">
        <f t="shared" si="242"/>
        <v>1446</v>
      </c>
      <c r="K245" s="205">
        <v>30521</v>
      </c>
      <c r="L245" s="206">
        <f t="shared" si="243"/>
        <v>3856</v>
      </c>
      <c r="M245" s="206">
        <f t="shared" si="244"/>
        <v>419</v>
      </c>
      <c r="N245" s="206">
        <f t="shared" si="245"/>
        <v>1446</v>
      </c>
      <c r="O245" s="206">
        <f t="shared" si="246"/>
        <v>1446</v>
      </c>
      <c r="P245" s="205">
        <v>30521</v>
      </c>
      <c r="Q245" s="206">
        <f t="shared" si="247"/>
        <v>4063</v>
      </c>
      <c r="R245" s="206">
        <f t="shared" si="248"/>
        <v>383</v>
      </c>
      <c r="S245" s="206">
        <f t="shared" si="249"/>
        <v>1377</v>
      </c>
      <c r="T245" s="206">
        <f t="shared" si="250"/>
        <v>1735</v>
      </c>
      <c r="U245" s="205">
        <v>30521</v>
      </c>
      <c r="V245" s="206">
        <f t="shared" si="251"/>
        <v>3856</v>
      </c>
      <c r="W245" s="206">
        <f t="shared" si="252"/>
        <v>876</v>
      </c>
      <c r="X245" s="206">
        <f t="shared" si="253"/>
        <v>1721</v>
      </c>
      <c r="Y245" s="206">
        <f t="shared" si="254"/>
        <v>1446</v>
      </c>
      <c r="Z245" s="205">
        <v>30521</v>
      </c>
      <c r="AA245" s="206">
        <f t="shared" si="255"/>
        <v>4387</v>
      </c>
      <c r="AB245" s="206">
        <f t="shared" si="256"/>
        <v>1497</v>
      </c>
      <c r="AC245" s="206">
        <f t="shared" si="257"/>
        <v>1377</v>
      </c>
      <c r="AD245" s="206">
        <f t="shared" si="258"/>
        <v>2024</v>
      </c>
      <c r="AE245" s="205">
        <v>30521</v>
      </c>
      <c r="AF245" s="206">
        <f t="shared" si="259"/>
        <v>4063</v>
      </c>
      <c r="AG245" s="206">
        <f t="shared" si="260"/>
        <v>466</v>
      </c>
      <c r="AH245" s="206">
        <f t="shared" si="261"/>
        <v>1584</v>
      </c>
      <c r="AI245" s="206">
        <f t="shared" si="262"/>
        <v>1735</v>
      </c>
    </row>
  </sheetData>
  <mergeCells count="14">
    <mergeCell ref="DR2:EO2"/>
    <mergeCell ref="EP2:FM2"/>
    <mergeCell ref="A79:E79"/>
    <mergeCell ref="F79:J79"/>
    <mergeCell ref="K79:O79"/>
    <mergeCell ref="P79:T79"/>
    <mergeCell ref="U79:Y79"/>
    <mergeCell ref="Z79:AD79"/>
    <mergeCell ref="AE79:AI79"/>
    <mergeCell ref="B2:Y2"/>
    <mergeCell ref="Z2:AW2"/>
    <mergeCell ref="AX2:BU2"/>
    <mergeCell ref="BV2:CS2"/>
    <mergeCell ref="CT2:DQ2"/>
  </mergeCells>
  <phoneticPr fontId="32" type="noConversion"/>
  <pageMargins left="0.7" right="0.7" top="0.75" bottom="0.75" header="0.3" footer="0.3"/>
  <legacy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2"/>
  <dimension ref="A3:FK237"/>
  <sheetViews>
    <sheetView topLeftCell="A189" workbookViewId="0">
      <selection activeCell="L206" sqref="L206"/>
    </sheetView>
  </sheetViews>
  <sheetFormatPr defaultColWidth="9" defaultRowHeight="13.5" x14ac:dyDescent="0.15"/>
  <cols>
    <col min="1" max="1" width="12.625" style="50" customWidth="1"/>
    <col min="2" max="2" width="11" style="50" customWidth="1"/>
    <col min="3" max="3" width="12.375" style="50" customWidth="1"/>
    <col min="4" max="167" width="12.625" style="50" customWidth="1"/>
    <col min="168" max="16384" width="9" style="50"/>
  </cols>
  <sheetData>
    <row r="3" spans="1:39" x14ac:dyDescent="0.15">
      <c r="B3" s="163" t="s">
        <v>862</v>
      </c>
      <c r="C3" s="164" t="s">
        <v>863</v>
      </c>
    </row>
    <row r="4" spans="1:39" x14ac:dyDescent="0.15">
      <c r="B4" s="165" t="s">
        <v>71</v>
      </c>
      <c r="C4" s="166" t="s">
        <v>71</v>
      </c>
    </row>
    <row r="5" spans="1:39" x14ac:dyDescent="0.15">
      <c r="B5" s="167" t="s">
        <v>77</v>
      </c>
      <c r="C5" s="167" t="s">
        <v>77</v>
      </c>
    </row>
    <row r="7" spans="1:39" x14ac:dyDescent="0.15">
      <c r="B7" s="365" t="s">
        <v>864</v>
      </c>
      <c r="C7" s="365"/>
      <c r="D7" s="365"/>
      <c r="E7" s="365"/>
    </row>
    <row r="8" spans="1:39" x14ac:dyDescent="0.15">
      <c r="B8" s="365" t="s">
        <v>865</v>
      </c>
      <c r="C8" s="365"/>
      <c r="D8" s="365"/>
      <c r="E8" s="365"/>
      <c r="F8" s="365"/>
    </row>
    <row r="9" spans="1:39" x14ac:dyDescent="0.15">
      <c r="B9" s="365" t="s">
        <v>866</v>
      </c>
      <c r="C9" s="365"/>
      <c r="D9" s="365"/>
      <c r="E9" s="365"/>
    </row>
    <row r="12" spans="1:39" x14ac:dyDescent="0.15">
      <c r="A12" s="363" t="s">
        <v>867</v>
      </c>
      <c r="B12" s="364"/>
      <c r="C12" s="168" t="str">
        <f>"T"&amp;LEFT(RIGHT(C13,3),1)&amp;""&amp;IF(LEFT(C13,1)="1","低品质",IF(LEFT(C13,1)="2","中品质","高品质"))&amp;""</f>
        <v>T1低品质</v>
      </c>
      <c r="D12" s="168" t="str">
        <f t="shared" ref="D12:M12" si="0">"T"&amp;LEFT(RIGHT(D13,3),1)&amp;""&amp;IF(LEFT(D13,1)="1","低品质",IF(LEFT(D13,1)="2","中品质","高品质"))&amp;""</f>
        <v>T2低品质</v>
      </c>
      <c r="E12" s="168" t="str">
        <f t="shared" si="0"/>
        <v>T3低品质</v>
      </c>
      <c r="F12" s="168" t="str">
        <f t="shared" si="0"/>
        <v>T4低品质</v>
      </c>
      <c r="G12" s="168" t="str">
        <f t="shared" si="0"/>
        <v>T2中品质</v>
      </c>
      <c r="H12" s="168" t="str">
        <f t="shared" si="0"/>
        <v>T3中品质</v>
      </c>
      <c r="I12" s="168" t="str">
        <f t="shared" si="0"/>
        <v>T4中品质</v>
      </c>
      <c r="J12" s="168" t="str">
        <f t="shared" si="0"/>
        <v>T5中品质</v>
      </c>
      <c r="K12" s="168" t="str">
        <f t="shared" si="0"/>
        <v>T3高品质</v>
      </c>
      <c r="L12" s="168" t="str">
        <f t="shared" si="0"/>
        <v>T4高品质</v>
      </c>
      <c r="M12" s="168" t="str">
        <f t="shared" si="0"/>
        <v>T5高品质</v>
      </c>
      <c r="P12" s="173" t="s">
        <v>867</v>
      </c>
      <c r="Q12" s="175"/>
      <c r="R12" s="176" t="str">
        <f>"T"&amp;LEFT(RIGHT(R13,3),1)&amp;""&amp;IF(LEFT(R13,1)="1","低",IF(LEFT(R13,1)="2","中","高"))&amp;"初"</f>
        <v>T1低初</v>
      </c>
      <c r="S12" s="176" t="str">
        <f>"T"&amp;LEFT(RIGHT(S13,3),1)&amp;""&amp;IF(LEFT(S13,1)="1","低",IF(LEFT(S13,1)="2","中","高"))&amp;"满"</f>
        <v>T1低满</v>
      </c>
      <c r="T12" s="168" t="str">
        <f>"T"&amp;LEFT(RIGHT(T13,3),1)&amp;""&amp;IF(LEFT(T13,1)="1","低",IF(LEFT(T13,1)="2","中","高"))&amp;"初"</f>
        <v>T2低初</v>
      </c>
      <c r="U12" s="168" t="str">
        <f>"T"&amp;LEFT(RIGHT(U13,3),1)&amp;""&amp;IF(LEFT(U13,1)="1","低",IF(LEFT(U13,1)="2","中","高"))&amp;"满"</f>
        <v>T2低满</v>
      </c>
      <c r="V12" s="176" t="str">
        <f>"T"&amp;LEFT(RIGHT(V13,3),1)&amp;""&amp;IF(LEFT(V13,1)="1","低",IF(LEFT(V13,1)="2","中","高"))&amp;"初"</f>
        <v>T3低初</v>
      </c>
      <c r="W12" s="176" t="str">
        <f>"T"&amp;LEFT(RIGHT(W13,3),1)&amp;""&amp;IF(LEFT(W13,1)="1","低",IF(LEFT(W13,1)="2","中","高"))&amp;"满"</f>
        <v>T3低满</v>
      </c>
      <c r="X12" s="168" t="str">
        <f>"T"&amp;LEFT(RIGHT(X13,3),1)&amp;""&amp;IF(LEFT(X13,1)="1","低",IF(LEFT(X13,1)="2","中","高"))&amp;"初"</f>
        <v>T4低初</v>
      </c>
      <c r="Y12" s="168" t="str">
        <f>"T"&amp;LEFT(RIGHT(Y13,3),1)&amp;""&amp;IF(LEFT(Y13,1)="1","低",IF(LEFT(Y13,1)="2","中","高"))&amp;"满"</f>
        <v>T4低满</v>
      </c>
      <c r="Z12" s="176" t="str">
        <f>"T"&amp;LEFT(RIGHT(Z13,3),1)&amp;""&amp;IF(LEFT(Z13,1)="1","低",IF(LEFT(Z13,1)="2","中","高"))&amp;"初"</f>
        <v>T2中初</v>
      </c>
      <c r="AA12" s="176" t="str">
        <f>"T"&amp;LEFT(RIGHT(AA13,3),1)&amp;""&amp;IF(LEFT(AA13,1)="1","低",IF(LEFT(AA13,1)="2","中","高"))&amp;"满"</f>
        <v>T2中满</v>
      </c>
      <c r="AB12" s="168" t="str">
        <f>"T"&amp;LEFT(RIGHT(AB13,3),1)&amp;""&amp;IF(LEFT(AB13,1)="1","低",IF(LEFT(AB13,1)="2","中","高"))&amp;"初"</f>
        <v>T3中初</v>
      </c>
      <c r="AC12" s="168" t="str">
        <f>"T"&amp;LEFT(RIGHT(AC13,3),1)&amp;""&amp;IF(LEFT(AC13,1)="1","低",IF(LEFT(AC13,1)="2","中","高"))&amp;"满"</f>
        <v>T3中满</v>
      </c>
      <c r="AD12" s="176" t="str">
        <f>"T"&amp;LEFT(RIGHT(AD13,3),1)&amp;""&amp;IF(LEFT(AD13,1)="1","低",IF(LEFT(AD13,1)="2","中","高"))&amp;"初"</f>
        <v>T4中初</v>
      </c>
      <c r="AE12" s="176" t="str">
        <f>"T"&amp;LEFT(RIGHT(AE13,3),1)&amp;""&amp;IF(LEFT(AE13,1)="1","低",IF(LEFT(AE13,1)="2","中","高"))&amp;"满"</f>
        <v>T4中满</v>
      </c>
      <c r="AF12" s="168" t="str">
        <f>"T"&amp;LEFT(RIGHT(AF13,3),1)&amp;""&amp;IF(LEFT(AF13,1)="1","低",IF(LEFT(AF13,1)="2","中","高"))&amp;"初"</f>
        <v>T5中初</v>
      </c>
      <c r="AG12" s="168" t="str">
        <f>"T"&amp;LEFT(RIGHT(AG13,3),1)&amp;""&amp;IF(LEFT(AG13,1)="1","低",IF(LEFT(AG13,1)="2","中","高"))&amp;"满"</f>
        <v>T5中满</v>
      </c>
      <c r="AH12" s="176" t="str">
        <f>"T"&amp;LEFT(RIGHT(AH13,3),1)&amp;""&amp;IF(LEFT(AH13,1)="1","低",IF(LEFT(AH13,1)="2","中","高"))&amp;"初"</f>
        <v>T3高初</v>
      </c>
      <c r="AI12" s="176" t="str">
        <f>"T"&amp;LEFT(RIGHT(AI13,3),1)&amp;""&amp;IF(LEFT(AI13,1)="1","低",IF(LEFT(AI13,1)="2","中","高"))&amp;"满"</f>
        <v>T3高满</v>
      </c>
      <c r="AJ12" s="168" t="str">
        <f>"T"&amp;LEFT(RIGHT(AJ13,3),1)&amp;""&amp;IF(LEFT(AJ13,1)="1","低",IF(LEFT(AJ13,1)="2","中","高"))&amp;"初"</f>
        <v>T4高初</v>
      </c>
      <c r="AK12" s="168" t="str">
        <f>"T"&amp;LEFT(RIGHT(AK13,3),1)&amp;""&amp;IF(LEFT(AK13,1)="1","低",IF(LEFT(AK13,1)="2","中","高"))&amp;"满"</f>
        <v>T4高满</v>
      </c>
      <c r="AL12" s="176" t="str">
        <f>"T"&amp;LEFT(RIGHT(AL13,3),1)&amp;""&amp;IF(LEFT(AL13,1)="1","低",IF(LEFT(AL13,1)="2","中","高"))&amp;"初"</f>
        <v>T5高初</v>
      </c>
      <c r="AM12" s="176" t="str">
        <f>"T"&amp;LEFT(RIGHT(AM13,3),1)&amp;""&amp;IF(LEFT(AM13,1)="1","低",IF(LEFT(AM13,1)="2","中","高"))&amp;"满"</f>
        <v>T5高满</v>
      </c>
    </row>
    <row r="13" spans="1:39" x14ac:dyDescent="0.15">
      <c r="A13" s="363" t="s">
        <v>868</v>
      </c>
      <c r="B13" s="364"/>
      <c r="C13" s="169">
        <v>10101</v>
      </c>
      <c r="D13" s="169">
        <v>10201</v>
      </c>
      <c r="E13" s="169">
        <v>10301</v>
      </c>
      <c r="F13" s="169">
        <v>10401</v>
      </c>
      <c r="G13" s="169">
        <v>20201</v>
      </c>
      <c r="H13" s="169">
        <v>20301</v>
      </c>
      <c r="I13" s="169">
        <v>20401</v>
      </c>
      <c r="J13" s="169">
        <v>20501</v>
      </c>
      <c r="K13" s="169">
        <v>30301</v>
      </c>
      <c r="L13" s="169">
        <v>30401</v>
      </c>
      <c r="M13" s="169">
        <v>30501</v>
      </c>
      <c r="P13" s="173" t="s">
        <v>869</v>
      </c>
      <c r="Q13" s="175"/>
      <c r="R13" s="177">
        <v>10101</v>
      </c>
      <c r="S13" s="177">
        <v>10105</v>
      </c>
      <c r="T13" s="169">
        <v>10201</v>
      </c>
      <c r="U13" s="169">
        <v>10207</v>
      </c>
      <c r="V13" s="177">
        <v>10301</v>
      </c>
      <c r="W13" s="177">
        <v>10309</v>
      </c>
      <c r="X13" s="169">
        <v>10401</v>
      </c>
      <c r="Y13" s="169">
        <v>10411</v>
      </c>
      <c r="Z13" s="177">
        <v>20201</v>
      </c>
      <c r="AA13" s="177">
        <v>20212</v>
      </c>
      <c r="AB13" s="169">
        <v>20301</v>
      </c>
      <c r="AC13" s="169">
        <v>20315</v>
      </c>
      <c r="AD13" s="177">
        <v>20401</v>
      </c>
      <c r="AE13" s="177">
        <v>20418</v>
      </c>
      <c r="AF13" s="169">
        <v>20501</v>
      </c>
      <c r="AG13" s="169">
        <v>20521</v>
      </c>
      <c r="AH13" s="177">
        <v>30301</v>
      </c>
      <c r="AI13" s="177">
        <v>30315</v>
      </c>
      <c r="AJ13" s="169">
        <v>30401</v>
      </c>
      <c r="AK13" s="169">
        <v>30418</v>
      </c>
      <c r="AL13" s="177">
        <v>30501</v>
      </c>
      <c r="AM13" s="177">
        <v>30521</v>
      </c>
    </row>
    <row r="14" spans="1:39" x14ac:dyDescent="0.15">
      <c r="A14" s="170" t="str">
        <f>"T"&amp;LEFT(RIGHT(B14,3),1)&amp;""&amp;IF(LEFT(B14,1)="1","低品质",IF(LEFT(B14,1)="2","中品质","高品质"))&amp;""</f>
        <v>T1低品质</v>
      </c>
      <c r="B14" s="171">
        <v>10101</v>
      </c>
      <c r="C14" s="172">
        <f ca="1">(VLOOKUP(C$13,INDIRECT($C$5&amp;"生成成长"),2))/((VLOOKUP($B14,INDIRECT($B$5&amp;"生成成长"),4))/(VLOOKUP(C$13,INDIRECT($C$5&amp;"生成成长"),5))*(VLOOKUP($B$5,标准坦克设计!$B$24:$U$30,MATCH("对"&amp;LEFT($C$5,2)&amp;"输出",标准坦克设计!$B$23:$U$23,0)))*(VLOOKUP($B14,INDIRECT($B$5&amp;"生成成长"),3))*(VLOOKUP($B$5,标准坦克设计!$B$14:$K$20,9)/30))</f>
        <v>8.6708990476941743</v>
      </c>
      <c r="D14" s="172">
        <f ca="1">(VLOOKUP(D$13,INDIRECT($C$5&amp;"生成成长"),2))/((VLOOKUP($B14,INDIRECT($B$5&amp;"生成成长"),4))/(VLOOKUP(D$13,INDIRECT($C$5&amp;"生成成长"),5))*(VLOOKUP($B$5,标准坦克设计!$B$24:$U$30,MATCH("对"&amp;LEFT($C$5,2)&amp;"输出",标准坦克设计!$B$23:$U$23,0)))*(VLOOKUP($B14,INDIRECT($B$5&amp;"生成成长"),3))*(VLOOKUP($B$5,标准坦克设计!$B$14:$K$20,9)/30))</f>
        <v>11.667561758577284</v>
      </c>
      <c r="E14" s="172">
        <f ca="1">(VLOOKUP(E$13,INDIRECT($C$5&amp;"生成成长"),2))/((VLOOKUP($B14,INDIRECT($B$5&amp;"生成成长"),4))/(VLOOKUP(E$13,INDIRECT($C$5&amp;"生成成长"),5))*(VLOOKUP($B$5,标准坦克设计!$B$24:$U$30,MATCH("对"&amp;LEFT($C$5,2)&amp;"输出",标准坦克设计!$B$23:$U$23,0)))*(VLOOKUP($B14,INDIRECT($B$5&amp;"生成成长"),3))*(VLOOKUP($B$5,标准坦克设计!$B$14:$K$20,9)/30))</f>
        <v>17.731121462629819</v>
      </c>
      <c r="F14" s="172">
        <f ca="1">(VLOOKUP(F$13,INDIRECT($C$5&amp;"生成成长"),2))/((VLOOKUP($B14,INDIRECT($B$5&amp;"生成成长"),4))/(VLOOKUP(F$13,INDIRECT($C$5&amp;"生成成长"),5))*(VLOOKUP($B$5,标准坦克设计!$B$24:$U$30,MATCH("对"&amp;LEFT($C$5,2)&amp;"输出",标准坦克设计!$B$23:$U$23,0)))*(VLOOKUP($B14,INDIRECT($B$5&amp;"生成成长"),3))*(VLOOKUP($B$5,标准坦克设计!$B$14:$K$20,9)/30))</f>
        <v>29.037973820823019</v>
      </c>
      <c r="G14" s="172">
        <f ca="1">(VLOOKUP(G$13,INDIRECT($C$5&amp;"生成成长"),2))/((VLOOKUP($B14,INDIRECT($B$5&amp;"生成成长"),4))/(VLOOKUP(G$13,INDIRECT($C$5&amp;"生成成长"),5))*(VLOOKUP($B$5,标准坦克设计!$B$24:$U$30,MATCH("对"&amp;LEFT($C$5,2)&amp;"输出",标准坦克设计!$B$23:$U$23,0)))*(VLOOKUP($B14,INDIRECT($B$5&amp;"生成成长"),3))*(VLOOKUP($B$5,标准坦克设计!$B$14:$K$20,9)/30))</f>
        <v>12.073359834009368</v>
      </c>
      <c r="H14" s="172">
        <f ca="1">(VLOOKUP(H$13,INDIRECT($C$5&amp;"生成成长"),2))/((VLOOKUP($B14,INDIRECT($B$5&amp;"生成成长"),4))/(VLOOKUP(H$13,INDIRECT($C$5&amp;"生成成长"),5))*(VLOOKUP($B$5,标准坦克设计!$B$24:$U$30,MATCH("对"&amp;LEFT($C$5,2)&amp;"输出",标准坦克设计!$B$23:$U$23,0)))*(VLOOKUP($B14,INDIRECT($B$5&amp;"生成成长"),3))*(VLOOKUP($B$5,标准坦克设计!$B$14:$K$20,9)/30))</f>
        <v>18.482888410064902</v>
      </c>
      <c r="I14" s="172">
        <f ca="1">(VLOOKUP(I$13,INDIRECT($C$5&amp;"生成成长"),2))/((VLOOKUP($B14,INDIRECT($B$5&amp;"生成成长"),4))/(VLOOKUP(I$13,INDIRECT($C$5&amp;"生成成长"),5))*(VLOOKUP($B$5,标准坦克设计!$B$24:$U$30,MATCH("对"&amp;LEFT($C$5,2)&amp;"输出",标准坦克设计!$B$23:$U$23,0)))*(VLOOKUP($B14,INDIRECT($B$5&amp;"生成成长"),3))*(VLOOKUP($B$5,标准坦克设计!$B$14:$K$20,9)/30))</f>
        <v>30.321266879881762</v>
      </c>
      <c r="J14" s="172">
        <f ca="1">(VLOOKUP(J$13,INDIRECT($C$5&amp;"生成成长"),2))/((VLOOKUP($B14,INDIRECT($B$5&amp;"生成成长"),4))/(VLOOKUP(J$13,INDIRECT($C$5&amp;"生成成长"),5))*(VLOOKUP($B$5,标准坦克设计!$B$24:$U$30,MATCH("对"&amp;LEFT($C$5,2)&amp;"输出",标准坦克设计!$B$23:$U$23,0)))*(VLOOKUP($B14,INDIRECT($B$5&amp;"生成成长"),3))*(VLOOKUP($B$5,标准坦克设计!$B$14:$K$20,9)/30))</f>
        <v>51.20079178672934</v>
      </c>
      <c r="K14" s="172">
        <f ca="1">(VLOOKUP(K$13,INDIRECT($C$5&amp;"生成成长"),2))/((VLOOKUP($B14,INDIRECT($B$5&amp;"生成成长"),4))/(VLOOKUP(K$13,INDIRECT($C$5&amp;"生成成长"),5))*(VLOOKUP($B$5,标准坦克设计!$B$24:$U$30,MATCH("对"&amp;LEFT($C$5,2)&amp;"输出",标准坦克设计!$B$23:$U$23,0)))*(VLOOKUP($B14,INDIRECT($B$5&amp;"生成成长"),3))*(VLOOKUP($B$5,标准坦克设计!$B$14:$K$20,9)/30))</f>
        <v>19.250262975785841</v>
      </c>
      <c r="L14" s="172">
        <f ca="1">(VLOOKUP(L$13,INDIRECT($C$5&amp;"生成成长"),2))/((VLOOKUP($B14,INDIRECT($B$5&amp;"生成成长"),4))/(VLOOKUP(L$13,INDIRECT($C$5&amp;"生成成长"),5))*(VLOOKUP($B$5,标准坦克设计!$B$24:$U$30,MATCH("对"&amp;LEFT($C$5,2)&amp;"输出",标准坦克设计!$B$23:$U$23,0)))*(VLOOKUP($B14,INDIRECT($B$5&amp;"生成成长"),3))*(VLOOKUP($B$5,标准坦克设计!$B$14:$K$20,9)/30))</f>
        <v>31.63230681589312</v>
      </c>
      <c r="M14" s="172">
        <f ca="1">(VLOOKUP(M$13,INDIRECT($C$5&amp;"生成成长"),2))/((VLOOKUP($B14,INDIRECT($B$5&amp;"生成成长"),4))/(VLOOKUP(M$13,INDIRECT($C$5&amp;"生成成长"),5))*(VLOOKUP($B$5,标准坦克设计!$B$24:$U$30,MATCH("对"&amp;LEFT($C$5,2)&amp;"输出",标准坦克设计!$B$23:$U$23,0)))*(VLOOKUP($B14,INDIRECT($B$5&amp;"生成成长"),3))*(VLOOKUP($B$5,标准坦克设计!$B$14:$K$20,9)/30))</f>
        <v>53.32949750293826</v>
      </c>
      <c r="P14" s="170" t="str">
        <f>"T"&amp;LEFT(RIGHT(Q14,3),1)&amp;""&amp;IF(LEFT(Q14,1)="1","低",IF(LEFT(Q14,1)="2","中","高"))&amp;"初"</f>
        <v>T1低初</v>
      </c>
      <c r="Q14" s="171">
        <v>10101</v>
      </c>
      <c r="R14" s="172">
        <f ca="1">(VLOOKUP(R$13,INDIRECT($C$5&amp;"生成成长"),2))/((VLOOKUP($Q14,INDIRECT($B$5&amp;"生成成长"),4))/(VLOOKUP(R$13,INDIRECT($C$5&amp;"生成成长"),5))*(VLOOKUP($B$5,标准坦克设计!$B$24:$U$30,MATCH("对"&amp;LEFT($C$5,2)&amp;"输出",标准坦克设计!$B$23:$U$23,0)))*(VLOOKUP($Q14,INDIRECT($B$5&amp;"生成成长"),3))*(VLOOKUP($B$5,标准坦克设计!$B$14:$K$20,9)/30))</f>
        <v>8.6708990476941743</v>
      </c>
      <c r="S14" s="172">
        <f ca="1">(VLOOKUP(S$13,INDIRECT($C$5&amp;"生成成长"),2))/((VLOOKUP($Q14,INDIRECT($B$5&amp;"生成成长"),4))/(VLOOKUP(S$13,INDIRECT($C$5&amp;"生成成长"),5))*(VLOOKUP($B$5,标准坦克设计!$B$24:$U$30,MATCH("对"&amp;LEFT($C$5,2)&amp;"输出",标准坦克设计!$B$23:$U$23,0)))*(VLOOKUP($Q14,INDIRECT($B$5&amp;"生成成长"),3))*(VLOOKUP($B$5,标准坦克设计!$B$14:$K$20,9)/30))</f>
        <v>13.332374375734565</v>
      </c>
      <c r="T14" s="172">
        <f ca="1">(VLOOKUP(T$13,INDIRECT($C$5&amp;"生成成长"),2))/((VLOOKUP($Q14,INDIRECT($B$5&amp;"生成成长"),4))/(VLOOKUP(T$13,INDIRECT($C$5&amp;"生成成长"),5))*(VLOOKUP($B$5,标准坦克设计!$B$24:$U$30,MATCH("对"&amp;LEFT($C$5,2)&amp;"输出",标准坦克设计!$B$23:$U$23,0)))*(VLOOKUP($Q14,INDIRECT($B$5&amp;"生成成长"),3))*(VLOOKUP($B$5,标准坦克设计!$B$14:$K$20,9)/30))</f>
        <v>11.667561758577284</v>
      </c>
      <c r="U14" s="172">
        <f ca="1">(VLOOKUP(U$13,INDIRECT($C$5&amp;"生成成长"),2))/((VLOOKUP($Q14,INDIRECT($B$5&amp;"生成成长"),4))/(VLOOKUP(U$13,INDIRECT($C$5&amp;"生成成长"),5))*(VLOOKUP($B$5,标准坦克设计!$B$24:$U$30,MATCH("对"&amp;LEFT($C$5,2)&amp;"输出",标准坦克设计!$B$23:$U$23,0)))*(VLOOKUP($Q14,INDIRECT($B$5&amp;"生成成长"),3))*(VLOOKUP($B$5,标准坦克设计!$B$14:$K$20,9)/30))</f>
        <v>23.321250078678254</v>
      </c>
      <c r="V14" s="172">
        <f ca="1">(VLOOKUP(V$13,INDIRECT($C$5&amp;"生成成长"),2))/((VLOOKUP($Q14,INDIRECT($B$5&amp;"生成成长"),4))/(VLOOKUP(V$13,INDIRECT($C$5&amp;"生成成长"),5))*(VLOOKUP($B$5,标准坦克设计!$B$24:$U$30,MATCH("对"&amp;LEFT($C$5,2)&amp;"输出",标准坦克设计!$B$23:$U$23,0)))*(VLOOKUP($Q14,INDIRECT($B$5&amp;"生成成长"),3))*(VLOOKUP($B$5,标准坦克设计!$B$14:$K$20,9)/30))</f>
        <v>17.731121462629819</v>
      </c>
      <c r="W14" s="172">
        <f ca="1">(VLOOKUP(W$13,INDIRECT($C$5&amp;"生成成长"),2))/((VLOOKUP($Q14,INDIRECT($B$5&amp;"生成成长"),4))/(VLOOKUP(W$13,INDIRECT($C$5&amp;"生成成长"),5))*(VLOOKUP($B$5,标准坦克设计!$B$24:$U$30,MATCH("对"&amp;LEFT($C$5,2)&amp;"输出",标准坦克设计!$B$23:$U$23,0)))*(VLOOKUP($Q14,INDIRECT($B$5&amp;"生成成长"),3))*(VLOOKUP($B$5,标准坦克设计!$B$14:$K$20,9)/30))</f>
        <v>40.081230847966324</v>
      </c>
      <c r="X14" s="172">
        <f ca="1">(VLOOKUP(X$13,INDIRECT($C$5&amp;"生成成长"),2))/((VLOOKUP($Q14,INDIRECT($B$5&amp;"生成成长"),4))/(VLOOKUP(X$13,INDIRECT($C$5&amp;"生成成长"),5))*(VLOOKUP($B$5,标准坦克设计!$B$24:$U$30,MATCH("对"&amp;LEFT($C$5,2)&amp;"输出",标准坦克设计!$B$23:$U$23,0)))*(VLOOKUP($Q14,INDIRECT($B$5&amp;"生成成长"),3))*(VLOOKUP($B$5,标准坦克设计!$B$14:$K$20,9)/30))</f>
        <v>29.037973820823019</v>
      </c>
      <c r="Y14" s="172">
        <f ca="1">(VLOOKUP(Y$13,INDIRECT($C$5&amp;"生成成长"),2))/((VLOOKUP($Q14,INDIRECT($B$5&amp;"生成成长"),4))/(VLOOKUP(Y$13,INDIRECT($C$5&amp;"生成成长"),5))*(VLOOKUP($B$5,标准坦克设计!$B$24:$U$30,MATCH("对"&amp;LEFT($C$5,2)&amp;"输出",标准坦克设计!$B$23:$U$23,0)))*(VLOOKUP($Q14,INDIRECT($B$5&amp;"生成成长"),3))*(VLOOKUP($B$5,标准坦克设计!$B$14:$K$20,9)/30))</f>
        <v>69.444363383077871</v>
      </c>
      <c r="Z14" s="172">
        <f ca="1">(VLOOKUP(Z$13,INDIRECT($C$5&amp;"生成成长"),2))/((VLOOKUP($Q14,INDIRECT($B$5&amp;"生成成长"),4))/(VLOOKUP(Z$13,INDIRECT($C$5&amp;"生成成长"),5))*(VLOOKUP($B$5,标准坦克设计!$B$24:$U$30,MATCH("对"&amp;LEFT($C$5,2)&amp;"输出",标准坦克设计!$B$23:$U$23,0)))*(VLOOKUP($Q14,INDIRECT($B$5&amp;"生成成长"),3))*(VLOOKUP($B$5,标准坦克设计!$B$14:$K$20,9)/30))</f>
        <v>12.073359834009368</v>
      </c>
      <c r="AA14" s="172">
        <f ca="1">(VLOOKUP(AA$13,INDIRECT($C$5&amp;"生成成长"),2))/((VLOOKUP($Q14,INDIRECT($B$5&amp;"生成成长"),4))/(VLOOKUP(AA$13,INDIRECT($C$5&amp;"生成成长"),5))*(VLOOKUP($B$5,标准坦克设计!$B$24:$U$30,MATCH("对"&amp;LEFT($C$5,2)&amp;"输出",标准坦克设计!$B$23:$U$23,0)))*(VLOOKUP($Q14,INDIRECT($B$5&amp;"生成成长"),3))*(VLOOKUP($B$5,标准坦克设计!$B$14:$K$20,9)/30))</f>
        <v>38.238664800331321</v>
      </c>
      <c r="AB14" s="172">
        <f ca="1">(VLOOKUP(AB$13,INDIRECT($C$5&amp;"生成成长"),2))/((VLOOKUP($Q14,INDIRECT($B$5&amp;"生成成长"),4))/(VLOOKUP(AB$13,INDIRECT($C$5&amp;"生成成长"),5))*(VLOOKUP($B$5,标准坦克设计!$B$24:$U$30,MATCH("对"&amp;LEFT($C$5,2)&amp;"输出",标准坦克设计!$B$23:$U$23,0)))*(VLOOKUP($Q14,INDIRECT($B$5&amp;"生成成长"),3))*(VLOOKUP($B$5,标准坦克设计!$B$14:$K$20,9)/30))</f>
        <v>18.482888410064902</v>
      </c>
      <c r="AC14" s="172">
        <f ca="1">(VLOOKUP(AC$13,INDIRECT($C$5&amp;"生成成长"),2))/((VLOOKUP($Q14,INDIRECT($B$5&amp;"生成成长"),4))/(VLOOKUP(AC$13,INDIRECT($C$5&amp;"生成成长"),5))*(VLOOKUP($B$5,标准坦克设计!$B$24:$U$30,MATCH("对"&amp;LEFT($C$5,2)&amp;"输出",标准坦克设计!$B$23:$U$23,0)))*(VLOOKUP($Q14,INDIRECT($B$5&amp;"生成成长"),3))*(VLOOKUP($B$5,标准坦克设计!$B$14:$K$20,9)/30))</f>
        <v>66.530941303052629</v>
      </c>
      <c r="AD14" s="172">
        <f ca="1">(VLOOKUP(AD$13,INDIRECT($C$5&amp;"生成成长"),2))/((VLOOKUP($Q14,INDIRECT($B$5&amp;"生成成长"),4))/(VLOOKUP(AD$13,INDIRECT($C$5&amp;"生成成长"),5))*(VLOOKUP($B$5,标准坦克设计!$B$24:$U$30,MATCH("对"&amp;LEFT($C$5,2)&amp;"输出",标准坦克设计!$B$23:$U$23,0)))*(VLOOKUP($Q14,INDIRECT($B$5&amp;"生成成长"),3))*(VLOOKUP($B$5,标准坦克设计!$B$14:$K$20,9)/30))</f>
        <v>30.321266879881762</v>
      </c>
      <c r="AE14" s="172">
        <f ca="1">(VLOOKUP(AE$13,INDIRECT($C$5&amp;"生成成长"),2))/((VLOOKUP($Q14,INDIRECT($B$5&amp;"生成成长"),4))/(VLOOKUP(AE$13,INDIRECT($C$5&amp;"生成成长"),5))*(VLOOKUP($B$5,标准坦克设计!$B$24:$U$30,MATCH("对"&amp;LEFT($C$5,2)&amp;"输出",标准坦克设计!$B$23:$U$23,0)))*(VLOOKUP($Q14,INDIRECT($B$5&amp;"生成成长"),3))*(VLOOKUP($B$5,标准坦克设计!$B$14:$K$20,9)/30))</f>
        <v>114.25556966156137</v>
      </c>
      <c r="AF14" s="172">
        <f ca="1">(VLOOKUP(AF$13,INDIRECT($C$5&amp;"生成成长"),2))/((VLOOKUP($Q14,INDIRECT($B$5&amp;"生成成长"),4))/(VLOOKUP(AF$13,INDIRECT($C$5&amp;"生成成长"),5))*(VLOOKUP($B$5,标准坦克设计!$B$24:$U$30,MATCH("对"&amp;LEFT($C$5,2)&amp;"输出",标准坦克设计!$B$23:$U$23,0)))*(VLOOKUP($Q14,INDIRECT($B$5&amp;"生成成长"),3))*(VLOOKUP($B$5,标准坦克设计!$B$14:$K$20,9)/30))</f>
        <v>51.20079178672934</v>
      </c>
      <c r="AG14" s="172">
        <f ca="1">(VLOOKUP(AG$13,INDIRECT($C$5&amp;"生成成长"),2))/((VLOOKUP($Q14,INDIRECT($B$5&amp;"生成成长"),4))/(VLOOKUP(AG$13,INDIRECT($C$5&amp;"生成成长"),5))*(VLOOKUP($B$5,标准坦克设计!$B$24:$U$30,MATCH("对"&amp;LEFT($C$5,2)&amp;"输出",标准坦克设计!$B$23:$U$23,0)))*(VLOOKUP($Q14,INDIRECT($B$5&amp;"生成成长"),3))*(VLOOKUP($B$5,标准坦克设计!$B$14:$K$20,9)/30))</f>
        <v>191.54015996356435</v>
      </c>
      <c r="AH14" s="172">
        <f ca="1">(VLOOKUP(AH$13,INDIRECT($C$5&amp;"生成成长"),2))/((VLOOKUP($Q14,INDIRECT($B$5&amp;"生成成长"),4))/(VLOOKUP(AH$13,INDIRECT($C$5&amp;"生成成长"),5))*(VLOOKUP($B$5,标准坦克设计!$B$24:$U$30,MATCH("对"&amp;LEFT($C$5,2)&amp;"输出",标准坦克设计!$B$23:$U$23,0)))*(VLOOKUP($Q14,INDIRECT($B$5&amp;"生成成长"),3))*(VLOOKUP($B$5,标准坦克设计!$B$14:$K$20,9)/30))</f>
        <v>19.250262975785841</v>
      </c>
      <c r="AI14" s="172">
        <f ca="1">(VLOOKUP(AI$13,INDIRECT($C$5&amp;"生成成长"),2))/((VLOOKUP($Q14,INDIRECT($B$5&amp;"生成成长"),4))/(VLOOKUP(AI$13,INDIRECT($C$5&amp;"生成成长"),5))*(VLOOKUP($B$5,标准坦克设计!$B$24:$U$30,MATCH("对"&amp;LEFT($C$5,2)&amp;"输出",标准坦克设计!$B$23:$U$23,0)))*(VLOOKUP($Q14,INDIRECT($B$5&amp;"生成成长"),3))*(VLOOKUP($B$5,标准坦克设计!$B$14:$K$20,9)/30))</f>
        <v>70.429377514895947</v>
      </c>
      <c r="AJ14" s="172">
        <f ca="1">(VLOOKUP(AJ$13,INDIRECT($C$5&amp;"生成成长"),2))/((VLOOKUP($Q14,INDIRECT($B$5&amp;"生成成长"),4))/(VLOOKUP(AJ$13,INDIRECT($C$5&amp;"生成成长"),5))*(VLOOKUP($B$5,标准坦克设计!$B$24:$U$30,MATCH("对"&amp;LEFT($C$5,2)&amp;"输出",标准坦克设计!$B$23:$U$23,0)))*(VLOOKUP($Q14,INDIRECT($B$5&amp;"生成成长"),3))*(VLOOKUP($B$5,标准坦克设计!$B$14:$K$20,9)/30))</f>
        <v>31.63230681589312</v>
      </c>
      <c r="AK14" s="172">
        <f ca="1">(VLOOKUP(AK$13,INDIRECT($C$5&amp;"生成成长"),2))/((VLOOKUP($Q14,INDIRECT($B$5&amp;"生成成长"),4))/(VLOOKUP(AK$13,INDIRECT($C$5&amp;"生成成长"),5))*(VLOOKUP($B$5,标准坦克设计!$B$24:$U$30,MATCH("对"&amp;LEFT($C$5,2)&amp;"输出",标准坦克设计!$B$23:$U$23,0)))*(VLOOKUP($Q14,INDIRECT($B$5&amp;"生成成长"),3))*(VLOOKUP($B$5,标准坦克设计!$B$14:$K$20,9)/30))</f>
        <v>120.63735136066428</v>
      </c>
      <c r="AL14" s="172">
        <f ca="1">(VLOOKUP(AL$13,INDIRECT($C$5&amp;"生成成长"),2))/((VLOOKUP($Q14,INDIRECT($B$5&amp;"生成成长"),4))/(VLOOKUP(AL$13,INDIRECT($C$5&amp;"生成成长"),5))*(VLOOKUP($B$5,标准坦克设计!$B$24:$U$30,MATCH("对"&amp;LEFT($C$5,2)&amp;"输出",标准坦克设计!$B$23:$U$23,0)))*(VLOOKUP($Q14,INDIRECT($B$5&amp;"生成成长"),3))*(VLOOKUP($B$5,标准坦克设计!$B$14:$K$20,9)/30))</f>
        <v>53.32949750293826</v>
      </c>
      <c r="AM14" s="172">
        <f ca="1">(VLOOKUP(AM$13,INDIRECT($C$5&amp;"生成成长"),2))/((VLOOKUP($Q14,INDIRECT($B$5&amp;"生成成长"),4))/(VLOOKUP(AM$13,INDIRECT($C$5&amp;"生成成长"),5))*(VLOOKUP($B$5,标准坦克设计!$B$24:$U$30,MATCH("对"&amp;LEFT($C$5,2)&amp;"输出",标准坦克设计!$B$23:$U$23,0)))*(VLOOKUP($Q14,INDIRECT($B$5&amp;"生成成长"),3))*(VLOOKUP($B$5,标准坦克设计!$B$14:$K$20,9)/30))</f>
        <v>201.44579503565015</v>
      </c>
    </row>
    <row r="15" spans="1:39" x14ac:dyDescent="0.15">
      <c r="A15" s="170" t="str">
        <f t="shared" ref="A15:A25" si="1">"T"&amp;LEFT(RIGHT(B15,3),1)&amp;""&amp;IF(LEFT(B15,1)="1","低品质",IF(LEFT(B15,1)="2","中品质","高品质"))&amp;""</f>
        <v>T2低品质</v>
      </c>
      <c r="B15" s="171">
        <v>10201</v>
      </c>
      <c r="C15" s="172">
        <f ca="1">(VLOOKUP(C$13,INDIRECT($C$5&amp;"生成成长"),2))/((VLOOKUP($B15,INDIRECT($B$5&amp;"生成成长"),4))/(VLOOKUP(C$13,INDIRECT($C$5&amp;"生成成长"),5))*(VLOOKUP($B$5,标准坦克设计!$B$24:$U$30,MATCH("对"&amp;LEFT($C$5,2)&amp;"输出",标准坦克设计!$B$23:$U$23,0)))*(VLOOKUP($B15,INDIRECT($B$5&amp;"生成成长"),3))*(VLOOKUP($B$5,标准坦克设计!$B$14:$K$20,9)/30))</f>
        <v>6.4387864215550801</v>
      </c>
      <c r="D15" s="172">
        <f ca="1">(VLOOKUP(D$13,INDIRECT($C$5&amp;"生成成长"),2))/((VLOOKUP($B15,INDIRECT($B$5&amp;"生成成长"),4))/(VLOOKUP(D$13,INDIRECT($C$5&amp;"生成成长"),5))*(VLOOKUP($B$5,标准坦克设计!$B$24:$U$30,MATCH("对"&amp;LEFT($C$5,2)&amp;"输出",标准坦克设计!$B$23:$U$23,0)))*(VLOOKUP($B15,INDIRECT($B$5&amp;"生成成长"),3))*(VLOOKUP($B$5,标准坦克设计!$B$14:$K$20,9)/30))</f>
        <v>8.6640310088445158</v>
      </c>
      <c r="E15" s="172">
        <f ca="1">(VLOOKUP(E$13,INDIRECT($C$5&amp;"生成成长"),2))/((VLOOKUP($B15,INDIRECT($B$5&amp;"生成成长"),4))/(VLOOKUP(E$13,INDIRECT($C$5&amp;"生成成长"),5))*(VLOOKUP($B$5,标准坦克设计!$B$24:$U$30,MATCH("对"&amp;LEFT($C$5,2)&amp;"输出",标准坦克设计!$B$23:$U$23,0)))*(VLOOKUP($B15,INDIRECT($B$5&amp;"生成成长"),3))*(VLOOKUP($B$5,标准坦克设计!$B$14:$K$20,9)/30))</f>
        <v>13.166674353437985</v>
      </c>
      <c r="F15" s="172">
        <f ca="1">(VLOOKUP(F$13,INDIRECT($C$5&amp;"生成成长"),2))/((VLOOKUP($B15,INDIRECT($B$5&amp;"生成成长"),4))/(VLOOKUP(F$13,INDIRECT($C$5&amp;"生成成长"),5))*(VLOOKUP($B$5,标准坦克设计!$B$24:$U$30,MATCH("对"&amp;LEFT($C$5,2)&amp;"输出",标准坦克设计!$B$23:$U$23,0)))*(VLOOKUP($B15,INDIRECT($B$5&amp;"生成成长"),3))*(VLOOKUP($B$5,标准坦克设计!$B$14:$K$20,9)/30))</f>
        <v>21.562851847145808</v>
      </c>
      <c r="G15" s="172">
        <f ca="1">(VLOOKUP(G$13,INDIRECT($C$5&amp;"生成成长"),2))/((VLOOKUP($B15,INDIRECT($B$5&amp;"生成成长"),4))/(VLOOKUP(G$13,INDIRECT($C$5&amp;"生成成长"),5))*(VLOOKUP($B$5,标准坦克设计!$B$24:$U$30,MATCH("对"&amp;LEFT($C$5,2)&amp;"输出",标准坦克设计!$B$23:$U$23,0)))*(VLOOKUP($B15,INDIRECT($B$5&amp;"生成成长"),3))*(VLOOKUP($B$5,标准坦克设计!$B$14:$K$20,9)/30))</f>
        <v>8.9653662133732919</v>
      </c>
      <c r="H15" s="172">
        <f ca="1">(VLOOKUP(H$13,INDIRECT($C$5&amp;"生成成长"),2))/((VLOOKUP($B15,INDIRECT($B$5&amp;"生成成长"),4))/(VLOOKUP(H$13,INDIRECT($C$5&amp;"生成成长"),5))*(VLOOKUP($B$5,标准坦克设计!$B$24:$U$30,MATCH("对"&amp;LEFT($C$5,2)&amp;"输出",标准坦克设计!$B$23:$U$23,0)))*(VLOOKUP($B15,INDIRECT($B$5&amp;"生成成长"),3))*(VLOOKUP($B$5,标准坦克设计!$B$14:$K$20,9)/30))</f>
        <v>13.724917136186811</v>
      </c>
      <c r="I15" s="172">
        <f ca="1">(VLOOKUP(I$13,INDIRECT($C$5&amp;"生成成长"),2))/((VLOOKUP($B15,INDIRECT($B$5&amp;"生成成长"),4))/(VLOOKUP(I$13,INDIRECT($C$5&amp;"生成成长"),5))*(VLOOKUP($B$5,标准坦克设计!$B$24:$U$30,MATCH("对"&amp;LEFT($C$5,2)&amp;"输出",标准坦克设计!$B$23:$U$23,0)))*(VLOOKUP($B15,INDIRECT($B$5&amp;"生成成长"),3))*(VLOOKUP($B$5,标准坦克设计!$B$14:$K$20,9)/30))</f>
        <v>22.515792237535958</v>
      </c>
      <c r="J15" s="172">
        <f ca="1">(VLOOKUP(J$13,INDIRECT($C$5&amp;"生成成长"),2))/((VLOOKUP($B15,INDIRECT($B$5&amp;"生成成长"),4))/(VLOOKUP(J$13,INDIRECT($C$5&amp;"生成成长"),5))*(VLOOKUP($B$5,标准坦克设计!$B$24:$U$30,MATCH("对"&amp;LEFT($C$5,2)&amp;"输出",标准坦克设计!$B$23:$U$23,0)))*(VLOOKUP($B15,INDIRECT($B$5&amp;"生成成长"),3))*(VLOOKUP($B$5,标准坦克设计!$B$14:$K$20,9)/30))</f>
        <v>38.020389940640598</v>
      </c>
      <c r="K15" s="172">
        <f ca="1">(VLOOKUP(K$13,INDIRECT($C$5&amp;"生成成长"),2))/((VLOOKUP($B15,INDIRECT($B$5&amp;"生成成长"),4))/(VLOOKUP(K$13,INDIRECT($C$5&amp;"生成成长"),5))*(VLOOKUP($B$5,标准坦克设计!$B$24:$U$30,MATCH("对"&amp;LEFT($C$5,2)&amp;"输出",标准坦克设计!$B$23:$U$23,0)))*(VLOOKUP($B15,INDIRECT($B$5&amp;"生成成长"),3))*(VLOOKUP($B$5,标准坦克设计!$B$14:$K$20,9)/30))</f>
        <v>14.294749734494435</v>
      </c>
      <c r="L15" s="172">
        <f ca="1">(VLOOKUP(L$13,INDIRECT($C$5&amp;"生成成长"),2))/((VLOOKUP($B15,INDIRECT($B$5&amp;"生成成长"),4))/(VLOOKUP(L$13,INDIRECT($C$5&amp;"生成成长"),5))*(VLOOKUP($B$5,标准坦克设计!$B$24:$U$30,MATCH("对"&amp;LEFT($C$5,2)&amp;"输出",标准坦克设计!$B$23:$U$23,0)))*(VLOOKUP($B15,INDIRECT($B$5&amp;"生成成长"),3))*(VLOOKUP($B$5,标准坦克设计!$B$14:$K$20,9)/30))</f>
        <v>23.489336744475086</v>
      </c>
      <c r="M15" s="172">
        <f ca="1">(VLOOKUP(M$13,INDIRECT($C$5&amp;"生成成长"),2))/((VLOOKUP($B15,INDIRECT($B$5&amp;"生成成长"),4))/(VLOOKUP(M$13,INDIRECT($C$5&amp;"生成成长"),5))*(VLOOKUP($B$5,标准坦克设计!$B$24:$U$30,MATCH("对"&amp;LEFT($C$5,2)&amp;"输出",标准坦克设计!$B$23:$U$23,0)))*(VLOOKUP($B15,INDIRECT($B$5&amp;"生成成长"),3))*(VLOOKUP($B$5,标准坦克设计!$B$14:$K$20,9)/30))</f>
        <v>39.601112007132365</v>
      </c>
      <c r="P15" s="170" t="str">
        <f>"T"&amp;LEFT(RIGHT(Q15,3),1)&amp;""&amp;IF(LEFT(Q15,1)="1","低",IF(LEFT(Q15,1)="2","中","高"))&amp;"满"</f>
        <v>T1低满</v>
      </c>
      <c r="Q15" s="171">
        <v>10105</v>
      </c>
      <c r="R15" s="172">
        <f ca="1">(VLOOKUP(R$13,INDIRECT($C$5&amp;"生成成长"),2))/((VLOOKUP($Q15,INDIRECT($B$5&amp;"生成成长"),4))/(VLOOKUP(R$13,INDIRECT($C$5&amp;"生成成长"),5))*(VLOOKUP($B$5,标准坦克设计!$B$24:$U$30,MATCH("对"&amp;LEFT($C$5,2)&amp;"输出",标准坦克设计!$B$23:$U$23,0)))*(VLOOKUP($Q15,INDIRECT($B$5&amp;"生成成长"),3))*(VLOOKUP($B$5,标准坦克设计!$B$14:$K$20,9)/30))</f>
        <v>5.6329765318801766</v>
      </c>
      <c r="S15" s="172">
        <f ca="1">(VLOOKUP(S$13,INDIRECT($C$5&amp;"生成成长"),2))/((VLOOKUP($Q15,INDIRECT($B$5&amp;"生成成长"),4))/(VLOOKUP(S$13,INDIRECT($C$5&amp;"生成成长"),5))*(VLOOKUP($B$5,标准坦克设计!$B$24:$U$30,MATCH("对"&amp;LEFT($C$5,2)&amp;"输出",标准坦克设计!$B$23:$U$23,0)))*(VLOOKUP($Q15,INDIRECT($B$5&amp;"生成成长"),3))*(VLOOKUP($B$5,标准坦克设计!$B$14:$K$20,9)/30))</f>
        <v>8.6612647154189606</v>
      </c>
      <c r="T15" s="172">
        <f ca="1">(VLOOKUP(T$13,INDIRECT($C$5&amp;"生成成长"),2))/((VLOOKUP($Q15,INDIRECT($B$5&amp;"生成成长"),4))/(VLOOKUP(T$13,INDIRECT($C$5&amp;"生成成长"),5))*(VLOOKUP($B$5,标准坦克设计!$B$24:$U$30,MATCH("对"&amp;LEFT($C$5,2)&amp;"输出",标准坦克设计!$B$23:$U$23,0)))*(VLOOKUP($Q15,INDIRECT($B$5&amp;"生成成长"),3))*(VLOOKUP($B$5,标准坦克设计!$B$14:$K$20,9)/30))</f>
        <v>7.5797332212979658</v>
      </c>
      <c r="U15" s="172">
        <f ca="1">(VLOOKUP(U$13,INDIRECT($C$5&amp;"生成成长"),2))/((VLOOKUP($Q15,INDIRECT($B$5&amp;"生成成长"),4))/(VLOOKUP(U$13,INDIRECT($C$5&amp;"生成成长"),5))*(VLOOKUP($B$5,标准坦克设计!$B$24:$U$30,MATCH("对"&amp;LEFT($C$5,2)&amp;"输出",标准坦克设计!$B$23:$U$23,0)))*(VLOOKUP($Q15,INDIRECT($B$5&amp;"生成成长"),3))*(VLOOKUP($B$5,标准坦克设计!$B$14:$K$20,9)/30))</f>
        <v>15.150453680144921</v>
      </c>
      <c r="V15" s="172">
        <f ca="1">(VLOOKUP(V$13,INDIRECT($C$5&amp;"生成成长"),2))/((VLOOKUP($Q15,INDIRECT($B$5&amp;"生成成长"),4))/(VLOOKUP(V$13,INDIRECT($C$5&amp;"生成成长"),5))*(VLOOKUP($B$5,标准坦克设计!$B$24:$U$30,MATCH("对"&amp;LEFT($C$5,2)&amp;"输出",标准坦克设计!$B$23:$U$23,0)))*(VLOOKUP($Q15,INDIRECT($B$5&amp;"生成成长"),3))*(VLOOKUP($B$5,标准坦克设计!$B$14:$K$20,9)/30))</f>
        <v>11.518873710041774</v>
      </c>
      <c r="W15" s="172">
        <f ca="1">(VLOOKUP(W$13,INDIRECT($C$5&amp;"生成成长"),2))/((VLOOKUP($Q15,INDIRECT($B$5&amp;"生成成长"),4))/(VLOOKUP(W$13,INDIRECT($C$5&amp;"生成成长"),5))*(VLOOKUP($B$5,标准坦克设计!$B$24:$U$30,MATCH("对"&amp;LEFT($C$5,2)&amp;"输出",标准坦克设计!$B$23:$U$23,0)))*(VLOOKUP($Q15,INDIRECT($B$5&amp;"生成成长"),3))*(VLOOKUP($B$5,标准坦克设计!$B$14:$K$20,9)/30))</f>
        <v>26.038434018616112</v>
      </c>
      <c r="X15" s="172">
        <f ca="1">(VLOOKUP(X$13,INDIRECT($C$5&amp;"生成成长"),2))/((VLOOKUP($Q15,INDIRECT($B$5&amp;"生成成长"),4))/(VLOOKUP(X$13,INDIRECT($C$5&amp;"生成成长"),5))*(VLOOKUP($B$5,标准坦克设计!$B$24:$U$30,MATCH("对"&amp;LEFT($C$5,2)&amp;"输出",标准坦克设计!$B$23:$U$23,0)))*(VLOOKUP($Q15,INDIRECT($B$5&amp;"生成成长"),3))*(VLOOKUP($B$5,标准坦克设计!$B$14:$K$20,9)/30))</f>
        <v>18.864275107613523</v>
      </c>
      <c r="Y15" s="172">
        <f ca="1">(VLOOKUP(Y$13,INDIRECT($C$5&amp;"生成成长"),2))/((VLOOKUP($Q15,INDIRECT($B$5&amp;"生成成长"),4))/(VLOOKUP(Y$13,INDIRECT($C$5&amp;"生成成长"),5))*(VLOOKUP($B$5,标准坦克设计!$B$24:$U$30,MATCH("对"&amp;LEFT($C$5,2)&amp;"输出",标准坦克设计!$B$23:$U$23,0)))*(VLOOKUP($Q15,INDIRECT($B$5&amp;"生成成长"),3))*(VLOOKUP($B$5,标准坦克设计!$B$14:$K$20,9)/30))</f>
        <v>45.113945746175141</v>
      </c>
      <c r="Z15" s="172">
        <f ca="1">(VLOOKUP(Z$13,INDIRECT($C$5&amp;"生成成长"),2))/((VLOOKUP($Q15,INDIRECT($B$5&amp;"生成成长"),4))/(VLOOKUP(Z$13,INDIRECT($C$5&amp;"生成成长"),5))*(VLOOKUP($B$5,标准坦克设计!$B$24:$U$30,MATCH("对"&amp;LEFT($C$5,2)&amp;"输出",标准坦克设计!$B$23:$U$23,0)))*(VLOOKUP($Q15,INDIRECT($B$5&amp;"生成成长"),3))*(VLOOKUP($B$5,标准坦克设计!$B$14:$K$20,9)/30))</f>
        <v>7.8433565229899571</v>
      </c>
      <c r="AA15" s="172">
        <f ca="1">(VLOOKUP(AA$13,INDIRECT($C$5&amp;"生成成长"),2))/((VLOOKUP($Q15,INDIRECT($B$5&amp;"生成成长"),4))/(VLOOKUP(AA$13,INDIRECT($C$5&amp;"生成成长"),5))*(VLOOKUP($B$5,标准坦克设计!$B$24:$U$30,MATCH("对"&amp;LEFT($C$5,2)&amp;"输出",标准坦克设计!$B$23:$U$23,0)))*(VLOOKUP($Q15,INDIRECT($B$5&amp;"生成成长"),3))*(VLOOKUP($B$5,标准坦克设计!$B$14:$K$20,9)/30))</f>
        <v>24.841426505591581</v>
      </c>
      <c r="AB15" s="172">
        <f ca="1">(VLOOKUP(AB$13,INDIRECT($C$5&amp;"生成成长"),2))/((VLOOKUP($Q15,INDIRECT($B$5&amp;"生成成长"),4))/(VLOOKUP(AB$13,INDIRECT($C$5&amp;"生成成长"),5))*(VLOOKUP($B$5,标准坦克设计!$B$24:$U$30,MATCH("对"&amp;LEFT($C$5,2)&amp;"输出",标准坦克设计!$B$23:$U$23,0)))*(VLOOKUP($Q15,INDIRECT($B$5&amp;"生成成长"),3))*(VLOOKUP($B$5,标准坦克设计!$B$14:$K$20,9)/30))</f>
        <v>12.007252775355786</v>
      </c>
      <c r="AC15" s="172">
        <f ca="1">(VLOOKUP(AC$13,INDIRECT($C$5&amp;"生成成长"),2))/((VLOOKUP($Q15,INDIRECT($B$5&amp;"生成成长"),4))/(VLOOKUP(AC$13,INDIRECT($C$5&amp;"生成成长"),5))*(VLOOKUP($B$5,标准坦克设计!$B$24:$U$30,MATCH("对"&amp;LEFT($C$5,2)&amp;"输出",标准坦克设计!$B$23:$U$23,0)))*(VLOOKUP($Q15,INDIRECT($B$5&amp;"生成成长"),3))*(VLOOKUP($B$5,标准坦克设计!$B$14:$K$20,9)/30))</f>
        <v>43.22126563146341</v>
      </c>
      <c r="AD15" s="172">
        <f ca="1">(VLOOKUP(AD$13,INDIRECT($C$5&amp;"生成成长"),2))/((VLOOKUP($Q15,INDIRECT($B$5&amp;"生成成长"),4))/(VLOOKUP(AD$13,INDIRECT($C$5&amp;"生成成长"),5))*(VLOOKUP($B$5,标准坦克设计!$B$24:$U$30,MATCH("对"&amp;LEFT($C$5,2)&amp;"输出",标准坦克设计!$B$23:$U$23,0)))*(VLOOKUP($Q15,INDIRECT($B$5&amp;"生成成长"),3))*(VLOOKUP($B$5,标准坦克设计!$B$14:$K$20,9)/30))</f>
        <v>19.697955634331787</v>
      </c>
      <c r="AE15" s="172">
        <f ca="1">(VLOOKUP(AE$13,INDIRECT($C$5&amp;"生成成长"),2))/((VLOOKUP($Q15,INDIRECT($B$5&amp;"生成成长"),4))/(VLOOKUP(AE$13,INDIRECT($C$5&amp;"生成成长"),5))*(VLOOKUP($B$5,标准坦克设计!$B$24:$U$30,MATCH("对"&amp;LEFT($C$5,2)&amp;"输出",标准坦克设计!$B$23:$U$23,0)))*(VLOOKUP($Q15,INDIRECT($B$5&amp;"生成成长"),3))*(VLOOKUP($B$5,标准坦克设计!$B$14:$K$20,9)/30))</f>
        <v>74.225168462931904</v>
      </c>
      <c r="AF15" s="172">
        <f ca="1">(VLOOKUP(AF$13,INDIRECT($C$5&amp;"生成成长"),2))/((VLOOKUP($Q15,INDIRECT($B$5&amp;"生成成长"),4))/(VLOOKUP(AF$13,INDIRECT($C$5&amp;"生成成长"),5))*(VLOOKUP($B$5,标准坦克设计!$B$24:$U$30,MATCH("对"&amp;LEFT($C$5,2)&amp;"输出",标准坦克设计!$B$23:$U$23,0)))*(VLOOKUP($Q15,INDIRECT($B$5&amp;"生成成长"),3))*(VLOOKUP($B$5,标准坦克设计!$B$14:$K$20,9)/30))</f>
        <v>33.262163123099256</v>
      </c>
      <c r="AG15" s="172">
        <f ca="1">(VLOOKUP(AG$13,INDIRECT($C$5&amp;"生成成长"),2))/((VLOOKUP($Q15,INDIRECT($B$5&amp;"生成成长"),4))/(VLOOKUP(AG$13,INDIRECT($C$5&amp;"生成成长"),5))*(VLOOKUP($B$5,标准坦克设计!$B$24:$U$30,MATCH("对"&amp;LEFT($C$5,2)&amp;"输出",标准坦克设计!$B$23:$U$23,0)))*(VLOOKUP($Q15,INDIRECT($B$5&amp;"生成成长"),3))*(VLOOKUP($B$5,标准坦克设计!$B$14:$K$20,9)/30))</f>
        <v>124.4324515892331</v>
      </c>
      <c r="AH15" s="172">
        <f ca="1">(VLOOKUP(AH$13,INDIRECT($C$5&amp;"生成成长"),2))/((VLOOKUP($Q15,INDIRECT($B$5&amp;"生成成长"),4))/(VLOOKUP(AH$13,INDIRECT($C$5&amp;"生成成长"),5))*(VLOOKUP($B$5,标准坦克设计!$B$24:$U$30,MATCH("对"&amp;LEFT($C$5,2)&amp;"输出",标准坦克设计!$B$23:$U$23,0)))*(VLOOKUP($Q15,INDIRECT($B$5&amp;"生成成长"),3))*(VLOOKUP($B$5,标准坦克设计!$B$14:$K$20,9)/30))</f>
        <v>12.505771198427178</v>
      </c>
      <c r="AI15" s="172">
        <f ca="1">(VLOOKUP(AI$13,INDIRECT($C$5&amp;"生成成长"),2))/((VLOOKUP($Q15,INDIRECT($B$5&amp;"生成成长"),4))/(VLOOKUP(AI$13,INDIRECT($C$5&amp;"生成成长"),5))*(VLOOKUP($B$5,标准坦克设计!$B$24:$U$30,MATCH("对"&amp;LEFT($C$5,2)&amp;"输出",标准坦克设计!$B$23:$U$23,0)))*(VLOOKUP($Q15,INDIRECT($B$5&amp;"生成成长"),3))*(VLOOKUP($B$5,标准坦克设计!$B$14:$K$20,9)/30))</f>
        <v>45.753851880196727</v>
      </c>
      <c r="AJ15" s="172">
        <f ca="1">(VLOOKUP(AJ$13,INDIRECT($C$5&amp;"生成成长"),2))/((VLOOKUP($Q15,INDIRECT($B$5&amp;"生成成长"),4))/(VLOOKUP(AJ$13,INDIRECT($C$5&amp;"生成成长"),5))*(VLOOKUP($B$5,标准坦克设计!$B$24:$U$30,MATCH("对"&amp;LEFT($C$5,2)&amp;"输出",标准坦克设计!$B$23:$U$23,0)))*(VLOOKUP($Q15,INDIRECT($B$5&amp;"生成成长"),3))*(VLOOKUP($B$5,标准坦克设计!$B$14:$K$20,9)/30))</f>
        <v>20.549661685952067</v>
      </c>
      <c r="AK15" s="172">
        <f ca="1">(VLOOKUP(AK$13,INDIRECT($C$5&amp;"生成成长"),2))/((VLOOKUP($Q15,INDIRECT($B$5&amp;"生成成长"),4))/(VLOOKUP(AK$13,INDIRECT($C$5&amp;"生成成长"),5))*(VLOOKUP($B$5,标准坦克设计!$B$24:$U$30,MATCH("对"&amp;LEFT($C$5,2)&amp;"输出",标准坦克设计!$B$23:$U$23,0)))*(VLOOKUP($Q15,INDIRECT($B$5&amp;"生成成长"),3))*(VLOOKUP($B$5,标准坦克设计!$B$14:$K$20,9)/30))</f>
        <v>78.371039190395706</v>
      </c>
      <c r="AL15" s="172">
        <f ca="1">(VLOOKUP(AL$13,INDIRECT($C$5&amp;"生成成长"),2))/((VLOOKUP($Q15,INDIRECT($B$5&amp;"生成成长"),4))/(VLOOKUP(AL$13,INDIRECT($C$5&amp;"生成成长"),5))*(VLOOKUP($B$5,标准坦克设计!$B$24:$U$30,MATCH("对"&amp;LEFT($C$5,2)&amp;"输出",标准坦克设计!$B$23:$U$23,0)))*(VLOOKUP($Q15,INDIRECT($B$5&amp;"生成成长"),3))*(VLOOKUP($B$5,标准坦克设计!$B$14:$K$20,9)/30))</f>
        <v>34.645058861675842</v>
      </c>
      <c r="AM15" s="172">
        <f ca="1">(VLOOKUP(AM$13,INDIRECT($C$5&amp;"生成成长"),2))/((VLOOKUP($Q15,INDIRECT($B$5&amp;"生成成长"),4))/(VLOOKUP(AM$13,INDIRECT($C$5&amp;"生成成长"),5))*(VLOOKUP($B$5,标准坦克设计!$B$24:$U$30,MATCH("对"&amp;LEFT($C$5,2)&amp;"输出",标准坦克设计!$B$23:$U$23,0)))*(VLOOKUP($Q15,INDIRECT($B$5&amp;"生成成长"),3))*(VLOOKUP($B$5,标准坦克设计!$B$14:$K$20,9)/30))</f>
        <v>130.86756397925302</v>
      </c>
    </row>
    <row r="16" spans="1:39" x14ac:dyDescent="0.15">
      <c r="A16" s="170" t="str">
        <f t="shared" si="1"/>
        <v>T3低品质</v>
      </c>
      <c r="B16" s="171">
        <v>10301</v>
      </c>
      <c r="C16" s="172">
        <f ca="1">(VLOOKUP(C$13,INDIRECT($C$5&amp;"生成成长"),2))/((VLOOKUP($B16,INDIRECT($B$5&amp;"生成成长"),4))/(VLOOKUP(C$13,INDIRECT($C$5&amp;"生成成长"),5))*(VLOOKUP($B$5,标准坦克设计!$B$24:$U$30,MATCH("对"&amp;LEFT($C$5,2)&amp;"输出",标准坦克设计!$B$23:$U$23,0)))*(VLOOKUP($B16,INDIRECT($B$5&amp;"生成成长"),3))*(VLOOKUP($B$5,标准坦克设计!$B$14:$K$20,9)/30))</f>
        <v>4.2542759821192941</v>
      </c>
      <c r="D16" s="172">
        <f ca="1">(VLOOKUP(D$13,INDIRECT($C$5&amp;"生成成长"),2))/((VLOOKUP($B16,INDIRECT($B$5&amp;"生成成长"),4))/(VLOOKUP(D$13,INDIRECT($C$5&amp;"生成成长"),5))*(VLOOKUP($B$5,标准坦克设计!$B$24:$U$30,MATCH("对"&amp;LEFT($C$5,2)&amp;"输出",标准坦克设计!$B$23:$U$23,0)))*(VLOOKUP($B16,INDIRECT($B$5&amp;"生成成长"),3))*(VLOOKUP($B$5,标准坦克设计!$B$14:$K$20,9)/30))</f>
        <v>5.7245537615397213</v>
      </c>
      <c r="E16" s="172">
        <f ca="1">(VLOOKUP(E$13,INDIRECT($C$5&amp;"生成成长"),2))/((VLOOKUP($B16,INDIRECT($B$5&amp;"生成成长"),4))/(VLOOKUP(E$13,INDIRECT($C$5&amp;"生成成长"),5))*(VLOOKUP($B$5,标准坦克设计!$B$24:$U$30,MATCH("对"&amp;LEFT($C$5,2)&amp;"输出",标准坦克设计!$B$23:$U$23,0)))*(VLOOKUP($B16,INDIRECT($B$5&amp;"生成成长"),3))*(VLOOKUP($B$5,标准坦克设计!$B$14:$K$20,9)/30))</f>
        <v>8.6995689558357459</v>
      </c>
      <c r="F16" s="172">
        <f ca="1">(VLOOKUP(F$13,INDIRECT($C$5&amp;"生成成长"),2))/((VLOOKUP($B16,INDIRECT($B$5&amp;"生成成长"),4))/(VLOOKUP(F$13,INDIRECT($C$5&amp;"生成成长"),5))*(VLOOKUP($B$5,标准坦克设计!$B$24:$U$30,MATCH("对"&amp;LEFT($C$5,2)&amp;"输出",标准坦克设计!$B$23:$U$23,0)))*(VLOOKUP($B16,INDIRECT($B$5&amp;"生成成长"),3))*(VLOOKUP($B$5,标准坦克设计!$B$14:$K$20,9)/30))</f>
        <v>14.247144836519304</v>
      </c>
      <c r="G16" s="172">
        <f ca="1">(VLOOKUP(G$13,INDIRECT($C$5&amp;"生成成长"),2))/((VLOOKUP($B16,INDIRECT($B$5&amp;"生成成长"),4))/(VLOOKUP(G$13,INDIRECT($C$5&amp;"生成成长"),5))*(VLOOKUP($B$5,标准坦克设计!$B$24:$U$30,MATCH("对"&amp;LEFT($C$5,2)&amp;"输出",标准坦克设计!$B$23:$U$23,0)))*(VLOOKUP($B16,INDIRECT($B$5&amp;"生成成长"),3))*(VLOOKUP($B$5,标准坦克设计!$B$14:$K$20,9)/30))</f>
        <v>5.923653877502904</v>
      </c>
      <c r="H16" s="172">
        <f ca="1">(VLOOKUP(H$13,INDIRECT($C$5&amp;"生成成长"),2))/((VLOOKUP($B16,INDIRECT($B$5&amp;"生成成长"),4))/(VLOOKUP(H$13,INDIRECT($C$5&amp;"生成成长"),5))*(VLOOKUP($B$5,标准坦克设计!$B$24:$U$30,MATCH("对"&amp;LEFT($C$5,2)&amp;"输出",标准坦克设计!$B$23:$U$23,0)))*(VLOOKUP($B16,INDIRECT($B$5&amp;"生成成长"),3))*(VLOOKUP($B$5,标准坦克设计!$B$14:$K$20,9)/30))</f>
        <v>9.0684146834854875</v>
      </c>
      <c r="I16" s="172">
        <f ca="1">(VLOOKUP(I$13,INDIRECT($C$5&amp;"生成成长"),2))/((VLOOKUP($B16,INDIRECT($B$5&amp;"生成成长"),4))/(VLOOKUP(I$13,INDIRECT($C$5&amp;"生成成长"),5))*(VLOOKUP($B$5,标准坦克设计!$B$24:$U$30,MATCH("对"&amp;LEFT($C$5,2)&amp;"输出",标准坦克设计!$B$23:$U$23,0)))*(VLOOKUP($B16,INDIRECT($B$5&amp;"生成成长"),3))*(VLOOKUP($B$5,标准坦克设计!$B$14:$K$20,9)/30))</f>
        <v>14.876777681872959</v>
      </c>
      <c r="J16" s="172">
        <f ca="1">(VLOOKUP(J$13,INDIRECT($C$5&amp;"生成成长"),2))/((VLOOKUP($B16,INDIRECT($B$5&amp;"生成成长"),4))/(VLOOKUP(J$13,INDIRECT($C$5&amp;"生成成长"),5))*(VLOOKUP($B$5,标准坦克设计!$B$24:$U$30,MATCH("对"&amp;LEFT($C$5,2)&amp;"输出",标准坦克设计!$B$23:$U$23,0)))*(VLOOKUP($B16,INDIRECT($B$5&amp;"生成成长"),3))*(VLOOKUP($B$5,标准坦克设计!$B$14:$K$20,9)/30))</f>
        <v>25.121074246816217</v>
      </c>
      <c r="K16" s="172">
        <f ca="1">(VLOOKUP(K$13,INDIRECT($C$5&amp;"生成成长"),2))/((VLOOKUP($B16,INDIRECT($B$5&amp;"生成成长"),4))/(VLOOKUP(K$13,INDIRECT($C$5&amp;"生成成长"),5))*(VLOOKUP($B$5,标准坦克设计!$B$24:$U$30,MATCH("对"&amp;LEFT($C$5,2)&amp;"输出",标准坦克设计!$B$23:$U$23,0)))*(VLOOKUP($B16,INDIRECT($B$5&amp;"生成成长"),3))*(VLOOKUP($B$5,标准坦克设计!$B$14:$K$20,9)/30))</f>
        <v>9.444918107903046</v>
      </c>
      <c r="L16" s="172">
        <f ca="1">(VLOOKUP(L$13,INDIRECT($C$5&amp;"生成成长"),2))/((VLOOKUP($B16,INDIRECT($B$5&amp;"生成成长"),4))/(VLOOKUP(L$13,INDIRECT($C$5&amp;"生成成长"),5))*(VLOOKUP($B$5,标准坦克设计!$B$24:$U$30,MATCH("对"&amp;LEFT($C$5,2)&amp;"输出",标准坦克设计!$B$23:$U$23,0)))*(VLOOKUP($B16,INDIRECT($B$5&amp;"生成成长"),3))*(VLOOKUP($B$5,标准坦克设计!$B$14:$K$20,9)/30))</f>
        <v>15.520024210369396</v>
      </c>
      <c r="M16" s="172">
        <f ca="1">(VLOOKUP(M$13,INDIRECT($C$5&amp;"生成成长"),2))/((VLOOKUP($B16,INDIRECT($B$5&amp;"生成成长"),4))/(VLOOKUP(M$13,INDIRECT($C$5&amp;"生成成长"),5))*(VLOOKUP($B$5,标准坦克设计!$B$24:$U$30,MATCH("对"&amp;LEFT($C$5,2)&amp;"输出",标准坦克设计!$B$23:$U$23,0)))*(VLOOKUP($B16,INDIRECT($B$5&amp;"生成成长"),3))*(VLOOKUP($B$5,标准坦克设计!$B$14:$K$20,9)/30))</f>
        <v>26.165499000426507</v>
      </c>
      <c r="P16" s="174" t="str">
        <f>"T"&amp;LEFT(RIGHT(Q16,3),1)&amp;""&amp;IF(LEFT(Q16,1)="1","低",IF(LEFT(Q16,1)="2","中","高"))&amp;"初"</f>
        <v>T2低初</v>
      </c>
      <c r="Q16" s="178">
        <v>10201</v>
      </c>
      <c r="R16" s="172">
        <f ca="1">(VLOOKUP(R$13,INDIRECT($C$5&amp;"生成成长"),2))/((VLOOKUP($Q16,INDIRECT($B$5&amp;"生成成长"),4))/(VLOOKUP(R$13,INDIRECT($C$5&amp;"生成成长"),5))*(VLOOKUP($B$5,标准坦克设计!$B$24:$U$30,MATCH("对"&amp;LEFT($C$5,2)&amp;"输出",标准坦克设计!$B$23:$U$23,0)))*(VLOOKUP($Q16,INDIRECT($B$5&amp;"生成成长"),3))*(VLOOKUP($B$5,标准坦克设计!$B$14:$K$20,9)/30))</f>
        <v>6.4387864215550801</v>
      </c>
      <c r="S16" s="172">
        <f ca="1">(VLOOKUP(S$13,INDIRECT($C$5&amp;"生成成长"),2))/((VLOOKUP($Q16,INDIRECT($B$5&amp;"生成成长"),4))/(VLOOKUP(S$13,INDIRECT($C$5&amp;"生成成长"),5))*(VLOOKUP($B$5,标准坦克设计!$B$24:$U$30,MATCH("对"&amp;LEFT($C$5,2)&amp;"输出",标准坦克设计!$B$23:$U$23,0)))*(VLOOKUP($Q16,INDIRECT($B$5&amp;"生成成长"),3))*(VLOOKUP($B$5,标准坦克设计!$B$14:$K$20,9)/30))</f>
        <v>9.9002780017830911</v>
      </c>
      <c r="T16" s="172">
        <f ca="1">(VLOOKUP(T$13,INDIRECT($C$5&amp;"生成成长"),2))/((VLOOKUP($Q16,INDIRECT($B$5&amp;"生成成长"),4))/(VLOOKUP(T$13,INDIRECT($C$5&amp;"生成成长"),5))*(VLOOKUP($B$5,标准坦克设计!$B$24:$U$30,MATCH("对"&amp;LEFT($C$5,2)&amp;"输出",标准坦克设计!$B$23:$U$23,0)))*(VLOOKUP($Q16,INDIRECT($B$5&amp;"生成成长"),3))*(VLOOKUP($B$5,标准坦克设计!$B$14:$K$20,9)/30))</f>
        <v>8.6640310088445158</v>
      </c>
      <c r="U16" s="172">
        <f ca="1">(VLOOKUP(U$13,INDIRECT($C$5&amp;"生成成长"),2))/((VLOOKUP($Q16,INDIRECT($B$5&amp;"生成成长"),4))/(VLOOKUP(U$13,INDIRECT($C$5&amp;"生成成长"),5))*(VLOOKUP($B$5,标准坦克设计!$B$24:$U$30,MATCH("对"&amp;LEFT($C$5,2)&amp;"输出",标准坦克设计!$B$23:$U$23,0)))*(VLOOKUP($Q16,INDIRECT($B$5&amp;"生成成长"),3))*(VLOOKUP($B$5,标准坦克设计!$B$14:$K$20,9)/30))</f>
        <v>17.317759959414548</v>
      </c>
      <c r="V16" s="172">
        <f ca="1">(VLOOKUP(V$13,INDIRECT($C$5&amp;"生成成长"),2))/((VLOOKUP($Q16,INDIRECT($B$5&amp;"生成成长"),4))/(VLOOKUP(V$13,INDIRECT($C$5&amp;"生成成长"),5))*(VLOOKUP($B$5,标准坦克设计!$B$24:$U$30,MATCH("对"&amp;LEFT($C$5,2)&amp;"输出",标准坦克设计!$B$23:$U$23,0)))*(VLOOKUP($Q16,INDIRECT($B$5&amp;"生成成长"),3))*(VLOOKUP($B$5,标准坦克设计!$B$14:$K$20,9)/30))</f>
        <v>13.166674353437985</v>
      </c>
      <c r="W16" s="172">
        <f ca="1">(VLOOKUP(W$13,INDIRECT($C$5&amp;"生成成长"),2))/((VLOOKUP($Q16,INDIRECT($B$5&amp;"生成成长"),4))/(VLOOKUP(W$13,INDIRECT($C$5&amp;"生成成长"),5))*(VLOOKUP($B$5,标准坦克设计!$B$24:$U$30,MATCH("对"&amp;LEFT($C$5,2)&amp;"输出",标准坦克设计!$B$23:$U$23,0)))*(VLOOKUP($Q16,INDIRECT($B$5&amp;"生成成长"),3))*(VLOOKUP($B$5,标准坦克设计!$B$14:$K$20,9)/30))</f>
        <v>29.763290233638358</v>
      </c>
      <c r="X16" s="172">
        <f ca="1">(VLOOKUP(X$13,INDIRECT($C$5&amp;"生成成长"),2))/((VLOOKUP($Q16,INDIRECT($B$5&amp;"生成成长"),4))/(VLOOKUP(X$13,INDIRECT($C$5&amp;"生成成长"),5))*(VLOOKUP($B$5,标准坦克设计!$B$24:$U$30,MATCH("对"&amp;LEFT($C$5,2)&amp;"输出",标准坦克设计!$B$23:$U$23,0)))*(VLOOKUP($Q16,INDIRECT($B$5&amp;"生成成长"),3))*(VLOOKUP($B$5,标准坦克设计!$B$14:$K$20,9)/30))</f>
        <v>21.562851847145808</v>
      </c>
      <c r="Y16" s="172">
        <f ca="1">(VLOOKUP(Y$13,INDIRECT($C$5&amp;"生成成长"),2))/((VLOOKUP($Q16,INDIRECT($B$5&amp;"生成成长"),4))/(VLOOKUP(Y$13,INDIRECT($C$5&amp;"生成成长"),5))*(VLOOKUP($B$5,标准坦克设计!$B$24:$U$30,MATCH("对"&amp;LEFT($C$5,2)&amp;"输出",标准坦克设计!$B$23:$U$23,0)))*(VLOOKUP($Q16,INDIRECT($B$5&amp;"生成成长"),3))*(VLOOKUP($B$5,标准坦克设计!$B$14:$K$20,9)/30))</f>
        <v>51.567596571592475</v>
      </c>
      <c r="Z16" s="172">
        <f ca="1">(VLOOKUP(Z$13,INDIRECT($C$5&amp;"生成成长"),2))/((VLOOKUP($Q16,INDIRECT($B$5&amp;"生成成长"),4))/(VLOOKUP(Z$13,INDIRECT($C$5&amp;"生成成长"),5))*(VLOOKUP($B$5,标准坦克设计!$B$24:$U$30,MATCH("对"&amp;LEFT($C$5,2)&amp;"输出",标准坦克设计!$B$23:$U$23,0)))*(VLOOKUP($Q16,INDIRECT($B$5&amp;"生成成长"),3))*(VLOOKUP($B$5,标准坦克设计!$B$14:$K$20,9)/30))</f>
        <v>8.9653662133732919</v>
      </c>
      <c r="AA16" s="172">
        <f ca="1">(VLOOKUP(AA$13,INDIRECT($C$5&amp;"生成成长"),2))/((VLOOKUP($Q16,INDIRECT($B$5&amp;"生成成长"),4))/(VLOOKUP(AA$13,INDIRECT($C$5&amp;"生成成长"),5))*(VLOOKUP($B$5,标准坦克设计!$B$24:$U$30,MATCH("对"&amp;LEFT($C$5,2)&amp;"输出",标准坦克设计!$B$23:$U$23,0)))*(VLOOKUP($Q16,INDIRECT($B$5&amp;"生成成长"),3))*(VLOOKUP($B$5,标准坦克设计!$B$14:$K$20,9)/30))</f>
        <v>28.3950481190579</v>
      </c>
      <c r="AB16" s="172">
        <f ca="1">(VLOOKUP(AB$13,INDIRECT($C$5&amp;"生成成长"),2))/((VLOOKUP($Q16,INDIRECT($B$5&amp;"生成成长"),4))/(VLOOKUP(AB$13,INDIRECT($C$5&amp;"生成成长"),5))*(VLOOKUP($B$5,标准坦克设计!$B$24:$U$30,MATCH("对"&amp;LEFT($C$5,2)&amp;"输出",标准坦克设计!$B$23:$U$23,0)))*(VLOOKUP($Q16,INDIRECT($B$5&amp;"生成成长"),3))*(VLOOKUP($B$5,标准坦克设计!$B$14:$K$20,9)/30))</f>
        <v>13.724917136186811</v>
      </c>
      <c r="AC16" s="172">
        <f ca="1">(VLOOKUP(AC$13,INDIRECT($C$5&amp;"生成成长"),2))/((VLOOKUP($Q16,INDIRECT($B$5&amp;"生成成长"),4))/(VLOOKUP(AC$13,INDIRECT($C$5&amp;"生成成长"),5))*(VLOOKUP($B$5,标准坦克设计!$B$24:$U$30,MATCH("对"&amp;LEFT($C$5,2)&amp;"输出",标准坦克设计!$B$23:$U$23,0)))*(VLOOKUP($Q16,INDIRECT($B$5&amp;"生成成长"),3))*(VLOOKUP($B$5,标准坦克设计!$B$14:$K$20,9)/30))</f>
        <v>49.404164333949971</v>
      </c>
      <c r="AD16" s="172">
        <f ca="1">(VLOOKUP(AD$13,INDIRECT($C$5&amp;"生成成长"),2))/((VLOOKUP($Q16,INDIRECT($B$5&amp;"生成成长"),4))/(VLOOKUP(AD$13,INDIRECT($C$5&amp;"生成成长"),5))*(VLOOKUP($B$5,标准坦克设计!$B$24:$U$30,MATCH("对"&amp;LEFT($C$5,2)&amp;"输出",标准坦克设计!$B$23:$U$23,0)))*(VLOOKUP($Q16,INDIRECT($B$5&amp;"生成成长"),3))*(VLOOKUP($B$5,标准坦克设计!$B$14:$K$20,9)/30))</f>
        <v>22.515792237535958</v>
      </c>
      <c r="AE16" s="172">
        <f ca="1">(VLOOKUP(AE$13,INDIRECT($C$5&amp;"生成成长"),2))/((VLOOKUP($Q16,INDIRECT($B$5&amp;"生成成长"),4))/(VLOOKUP(AE$13,INDIRECT($C$5&amp;"生成成长"),5))*(VLOOKUP($B$5,标准坦克设计!$B$24:$U$30,MATCH("对"&amp;LEFT($C$5,2)&amp;"输出",标准坦克设计!$B$23:$U$23,0)))*(VLOOKUP($Q16,INDIRECT($B$5&amp;"生成成长"),3))*(VLOOKUP($B$5,标准坦克设计!$B$14:$K$20,9)/30))</f>
        <v>84.843244798189147</v>
      </c>
      <c r="AF16" s="172">
        <f ca="1">(VLOOKUP(AF$13,INDIRECT($C$5&amp;"生成成长"),2))/((VLOOKUP($Q16,INDIRECT($B$5&amp;"生成成长"),4))/(VLOOKUP(AF$13,INDIRECT($C$5&amp;"生成成长"),5))*(VLOOKUP($B$5,标准坦克设计!$B$24:$U$30,MATCH("对"&amp;LEFT($C$5,2)&amp;"输出",标准坦克设计!$B$23:$U$23,0)))*(VLOOKUP($Q16,INDIRECT($B$5&amp;"生成成长"),3))*(VLOOKUP($B$5,标准坦克设计!$B$14:$K$20,9)/30))</f>
        <v>38.020389940640598</v>
      </c>
      <c r="AG16" s="172">
        <f ca="1">(VLOOKUP(AG$13,INDIRECT($C$5&amp;"生成成长"),2))/((VLOOKUP($Q16,INDIRECT($B$5&amp;"生成成长"),4))/(VLOOKUP(AG$13,INDIRECT($C$5&amp;"生成成长"),5))*(VLOOKUP($B$5,标准坦克设计!$B$24:$U$30,MATCH("对"&amp;LEFT($C$5,2)&amp;"输出",标准坦克设计!$B$23:$U$23,0)))*(VLOOKUP($Q16,INDIRECT($B$5&amp;"生成成长"),3))*(VLOOKUP($B$5,标准坦克设计!$B$14:$K$20,9)/30))</f>
        <v>142.23279205215172</v>
      </c>
      <c r="AH16" s="172">
        <f ca="1">(VLOOKUP(AH$13,INDIRECT($C$5&amp;"生成成长"),2))/((VLOOKUP($Q16,INDIRECT($B$5&amp;"生成成长"),4))/(VLOOKUP(AH$13,INDIRECT($C$5&amp;"生成成长"),5))*(VLOOKUP($B$5,标准坦克设计!$B$24:$U$30,MATCH("对"&amp;LEFT($C$5,2)&amp;"输出",标准坦克设计!$B$23:$U$23,0)))*(VLOOKUP($Q16,INDIRECT($B$5&amp;"生成成长"),3))*(VLOOKUP($B$5,标准坦克设计!$B$14:$K$20,9)/30))</f>
        <v>14.294749734494435</v>
      </c>
      <c r="AI16" s="172">
        <f ca="1">(VLOOKUP(AI$13,INDIRECT($C$5&amp;"生成成长"),2))/((VLOOKUP($Q16,INDIRECT($B$5&amp;"生成成长"),4))/(VLOOKUP(AI$13,INDIRECT($C$5&amp;"生成成长"),5))*(VLOOKUP($B$5,标准坦克设计!$B$24:$U$30,MATCH("对"&amp;LEFT($C$5,2)&amp;"输出",标准坦克设计!$B$23:$U$23,0)))*(VLOOKUP($Q16,INDIRECT($B$5&amp;"生成成长"),3))*(VLOOKUP($B$5,标准坦克设计!$B$14:$K$20,9)/30))</f>
        <v>52.299042709081135</v>
      </c>
      <c r="AJ16" s="172">
        <f ca="1">(VLOOKUP(AJ$13,INDIRECT($C$5&amp;"生成成长"),2))/((VLOOKUP($Q16,INDIRECT($B$5&amp;"生成成长"),4))/(VLOOKUP(AJ$13,INDIRECT($C$5&amp;"生成成长"),5))*(VLOOKUP($B$5,标准坦克设计!$B$24:$U$30,MATCH("对"&amp;LEFT($C$5,2)&amp;"输出",标准坦克设计!$B$23:$U$23,0)))*(VLOOKUP($Q16,INDIRECT($B$5&amp;"生成成长"),3))*(VLOOKUP($B$5,标准坦克设计!$B$14:$K$20,9)/30))</f>
        <v>23.489336744475086</v>
      </c>
      <c r="AK16" s="172">
        <f ca="1">(VLOOKUP(AK$13,INDIRECT($C$5&amp;"生成成长"),2))/((VLOOKUP($Q16,INDIRECT($B$5&amp;"生成成长"),4))/(VLOOKUP(AK$13,INDIRECT($C$5&amp;"生成成长"),5))*(VLOOKUP($B$5,标准坦克设计!$B$24:$U$30,MATCH("对"&amp;LEFT($C$5,2)&amp;"输出",标准坦克设计!$B$23:$U$23,0)))*(VLOOKUP($Q16,INDIRECT($B$5&amp;"生成成长"),3))*(VLOOKUP($B$5,标准坦克设计!$B$14:$K$20,9)/30))</f>
        <v>89.582191604453683</v>
      </c>
      <c r="AL16" s="172">
        <f ca="1">(VLOOKUP(AL$13,INDIRECT($C$5&amp;"生成成长"),2))/((VLOOKUP($Q16,INDIRECT($B$5&amp;"生成成长"),4))/(VLOOKUP(AL$13,INDIRECT($C$5&amp;"生成成长"),5))*(VLOOKUP($B$5,标准坦克设计!$B$24:$U$30,MATCH("对"&amp;LEFT($C$5,2)&amp;"输出",标准坦克设计!$B$23:$U$23,0)))*(VLOOKUP($Q16,INDIRECT($B$5&amp;"生成成长"),3))*(VLOOKUP($B$5,标准坦克设计!$B$14:$K$20,9)/30))</f>
        <v>39.601112007132365</v>
      </c>
      <c r="AM16" s="172">
        <f ca="1">(VLOOKUP(AM$13,INDIRECT($C$5&amp;"生成成长"),2))/((VLOOKUP($Q16,INDIRECT($B$5&amp;"生成成长"),4))/(VLOOKUP(AM$13,INDIRECT($C$5&amp;"生成成长"),5))*(VLOOKUP($B$5,标准坦克设计!$B$24:$U$30,MATCH("对"&amp;LEFT($C$5,2)&amp;"输出",标准坦克设计!$B$23:$U$23,0)))*(VLOOKUP($Q16,INDIRECT($B$5&amp;"生成成长"),3))*(VLOOKUP($B$5,标准坦克设计!$B$14:$K$20,9)/30))</f>
        <v>149.58846166013623</v>
      </c>
    </row>
    <row r="17" spans="1:39" x14ac:dyDescent="0.15">
      <c r="A17" s="170" t="str">
        <f t="shared" si="1"/>
        <v>T4低品质</v>
      </c>
      <c r="B17" s="171">
        <v>10401</v>
      </c>
      <c r="C17" s="172">
        <f ca="1">(VLOOKUP(C$13,INDIRECT($C$5&amp;"生成成长"),2))/((VLOOKUP($B17,INDIRECT($B$5&amp;"生成成长"),4))/(VLOOKUP(C$13,INDIRECT($C$5&amp;"生成成长"),5))*(VLOOKUP($B$5,标准坦克设计!$B$24:$U$30,MATCH("对"&amp;LEFT($C$5,2)&amp;"输出",标准坦克设计!$B$23:$U$23,0)))*(VLOOKUP($B17,INDIRECT($B$5&amp;"生成成长"),3))*(VLOOKUP($B$5,标准坦克设计!$B$14:$K$20,9)/30))</f>
        <v>2.5925979212612749</v>
      </c>
      <c r="D17" s="172">
        <f ca="1">(VLOOKUP(D$13,INDIRECT($C$5&amp;"生成成长"),2))/((VLOOKUP($B17,INDIRECT($B$5&amp;"生成成长"),4))/(VLOOKUP(D$13,INDIRECT($C$5&amp;"生成成长"),5))*(VLOOKUP($B$5,标准坦克设计!$B$24:$U$30,MATCH("对"&amp;LEFT($C$5,2)&amp;"输出",标准坦克设计!$B$23:$U$23,0)))*(VLOOKUP($B17,INDIRECT($B$5&amp;"生成成长"),3))*(VLOOKUP($B$5,标准坦克设计!$B$14:$K$20,9)/30))</f>
        <v>3.4885997628491716</v>
      </c>
      <c r="E17" s="172">
        <f ca="1">(VLOOKUP(E$13,INDIRECT($C$5&amp;"生成成长"),2))/((VLOOKUP($B17,INDIRECT($B$5&amp;"生成成长"),4))/(VLOOKUP(E$13,INDIRECT($C$5&amp;"生成成长"),5))*(VLOOKUP($B$5,标准坦克设计!$B$24:$U$30,MATCH("对"&amp;LEFT($C$5,2)&amp;"输出",标准坦克设计!$B$23:$U$23,0)))*(VLOOKUP($B17,INDIRECT($B$5&amp;"生成成长"),3))*(VLOOKUP($B$5,标准坦克设计!$B$14:$K$20,9)/30))</f>
        <v>5.3016034891871806</v>
      </c>
      <c r="F17" s="172">
        <f ca="1">(VLOOKUP(F$13,INDIRECT($C$5&amp;"生成成长"),2))/((VLOOKUP($B17,INDIRECT($B$5&amp;"生成成长"),4))/(VLOOKUP(F$13,INDIRECT($C$5&amp;"生成成长"),5))*(VLOOKUP($B$5,标准坦克设计!$B$24:$U$30,MATCH("对"&amp;LEFT($C$5,2)&amp;"输出",标准坦克设计!$B$23:$U$23,0)))*(VLOOKUP($B17,INDIRECT($B$5&amp;"生成成长"),3))*(VLOOKUP($B$5,标准坦克设计!$B$14:$K$20,9)/30))</f>
        <v>8.682351178511885</v>
      </c>
      <c r="G17" s="172">
        <f ca="1">(VLOOKUP(G$13,INDIRECT($C$5&amp;"生成成长"),2))/((VLOOKUP($B17,INDIRECT($B$5&amp;"生成成长"),4))/(VLOOKUP(G$13,INDIRECT($C$5&amp;"生成成长"),5))*(VLOOKUP($B$5,标准坦克设计!$B$24:$U$30,MATCH("对"&amp;LEFT($C$5,2)&amp;"输出",标准坦克设计!$B$23:$U$23,0)))*(VLOOKUP($B17,INDIRECT($B$5&amp;"生成成长"),3))*(VLOOKUP($B$5,标准坦克设计!$B$14:$K$20,9)/30))</f>
        <v>3.6099333455641993</v>
      </c>
      <c r="H17" s="172">
        <f ca="1">(VLOOKUP(H$13,INDIRECT($C$5&amp;"生成成长"),2))/((VLOOKUP($B17,INDIRECT($B$5&amp;"生成成长"),4))/(VLOOKUP(H$13,INDIRECT($C$5&amp;"生成成长"),5))*(VLOOKUP($B$5,标准坦克设计!$B$24:$U$30,MATCH("对"&amp;LEFT($C$5,2)&amp;"输出",标准坦克设计!$B$23:$U$23,0)))*(VLOOKUP($B17,INDIRECT($B$5&amp;"生成成长"),3))*(VLOOKUP($B$5,标准坦克设计!$B$14:$K$20,9)/30))</f>
        <v>5.5263817289605353</v>
      </c>
      <c r="I17" s="172">
        <f ca="1">(VLOOKUP(I$13,INDIRECT($C$5&amp;"生成成长"),2))/((VLOOKUP($B17,INDIRECT($B$5&amp;"生成成长"),4))/(VLOOKUP(I$13,INDIRECT($C$5&amp;"生成成长"),5))*(VLOOKUP($B$5,标准坦克设计!$B$24:$U$30,MATCH("对"&amp;LEFT($C$5,2)&amp;"输出",标准坦克设计!$B$23:$U$23,0)))*(VLOOKUP($B17,INDIRECT($B$5&amp;"生成成长"),3))*(VLOOKUP($B$5,标准坦克设计!$B$14:$K$20,9)/30))</f>
        <v>9.0660556708585531</v>
      </c>
      <c r="J17" s="172">
        <f ca="1">(VLOOKUP(J$13,INDIRECT($C$5&amp;"生成成长"),2))/((VLOOKUP($B17,INDIRECT($B$5&amp;"生成成长"),4))/(VLOOKUP(J$13,INDIRECT($C$5&amp;"生成成长"),5))*(VLOOKUP($B$5,标准坦克设计!$B$24:$U$30,MATCH("对"&amp;LEFT($C$5,2)&amp;"输出",标准坦克设计!$B$23:$U$23,0)))*(VLOOKUP($B17,INDIRECT($B$5&amp;"生成成长"),3))*(VLOOKUP($B$5,标准坦克设计!$B$14:$K$20,9)/30))</f>
        <v>15.309031465255703</v>
      </c>
      <c r="K17" s="172">
        <f ca="1">(VLOOKUP(K$13,INDIRECT($C$5&amp;"生成成长"),2))/((VLOOKUP($B17,INDIRECT($B$5&amp;"生成成长"),4))/(VLOOKUP(K$13,INDIRECT($C$5&amp;"生成成长"),5))*(VLOOKUP($B$5,标准坦克设计!$B$24:$U$30,MATCH("对"&amp;LEFT($C$5,2)&amp;"输出",标准坦克设计!$B$23:$U$23,0)))*(VLOOKUP($B17,INDIRECT($B$5&amp;"生成成长"),3))*(VLOOKUP($B$5,标准坦克设计!$B$14:$K$20,9)/30))</f>
        <v>5.7558266449921573</v>
      </c>
      <c r="L17" s="172">
        <f ca="1">(VLOOKUP(L$13,INDIRECT($C$5&amp;"生成成长"),2))/((VLOOKUP($B17,INDIRECT($B$5&amp;"生成成长"),4))/(VLOOKUP(L$13,INDIRECT($C$5&amp;"生成成长"),5))*(VLOOKUP($B$5,标准坦克设计!$B$24:$U$30,MATCH("对"&amp;LEFT($C$5,2)&amp;"输出",标准坦克设计!$B$23:$U$23,0)))*(VLOOKUP($B17,INDIRECT($B$5&amp;"生成成长"),3))*(VLOOKUP($B$5,标准坦克设计!$B$14:$K$20,9)/30))</f>
        <v>9.4580564765532582</v>
      </c>
      <c r="M17" s="172">
        <f ca="1">(VLOOKUP(M$13,INDIRECT($C$5&amp;"生成成长"),2))/((VLOOKUP($B17,INDIRECT($B$5&amp;"生成成长"),4))/(VLOOKUP(M$13,INDIRECT($C$5&amp;"生成成长"),5))*(VLOOKUP($B$5,标准坦克设计!$B$24:$U$30,MATCH("对"&amp;LEFT($C$5,2)&amp;"输出",标准坦克设计!$B$23:$U$23,0)))*(VLOOKUP($B17,INDIRECT($B$5&amp;"生成成长"),3))*(VLOOKUP($B$5,标准坦克设计!$B$14:$K$20,9)/30))</f>
        <v>15.945514254925346</v>
      </c>
      <c r="P17" s="174" t="str">
        <f>"T"&amp;LEFT(RIGHT(Q17,3),1)&amp;""&amp;IF(LEFT(Q17,1)="1","低",IF(LEFT(Q17,1)="2","中","高"))&amp;"满"</f>
        <v>T2低满</v>
      </c>
      <c r="Q17" s="178">
        <v>10207</v>
      </c>
      <c r="R17" s="172">
        <f ca="1">(VLOOKUP(R$13,INDIRECT($C$5&amp;"生成成长"),2))/((VLOOKUP($Q17,INDIRECT($B$5&amp;"生成成长"),4))/(VLOOKUP(R$13,INDIRECT($C$5&amp;"生成成长"),5))*(VLOOKUP($B$5,标准坦克设计!$B$24:$U$30,MATCH("对"&amp;LEFT($C$5,2)&amp;"输出",标准坦克设计!$B$23:$U$23,0)))*(VLOOKUP($Q17,INDIRECT($B$5&amp;"生成成长"),3))*(VLOOKUP($B$5,标准坦克设计!$B$14:$K$20,9)/30))</f>
        <v>3.216647693797515</v>
      </c>
      <c r="S17" s="172">
        <f ca="1">(VLOOKUP(S$13,INDIRECT($C$5&amp;"生成成长"),2))/((VLOOKUP($Q17,INDIRECT($B$5&amp;"生成成长"),4))/(VLOOKUP(S$13,INDIRECT($C$5&amp;"生成成长"),5))*(VLOOKUP($B$5,标准坦克设计!$B$24:$U$30,MATCH("对"&amp;LEFT($C$5,2)&amp;"输出",标准坦克设计!$B$23:$U$23,0)))*(VLOOKUP($Q17,INDIRECT($B$5&amp;"生成成长"),3))*(VLOOKUP($B$5,标准坦克设计!$B$14:$K$20,9)/30))</f>
        <v>4.9459174939830595</v>
      </c>
      <c r="T17" s="172">
        <f ca="1">(VLOOKUP(T$13,INDIRECT($C$5&amp;"生成成长"),2))/((VLOOKUP($Q17,INDIRECT($B$5&amp;"生成成长"),4))/(VLOOKUP(T$13,INDIRECT($C$5&amp;"生成成长"),5))*(VLOOKUP($B$5,标准坦克设计!$B$24:$U$30,MATCH("对"&amp;LEFT($C$5,2)&amp;"输出",标准坦克设计!$B$23:$U$23,0)))*(VLOOKUP($Q17,INDIRECT($B$5&amp;"生成成长"),3))*(VLOOKUP($B$5,标准坦克设计!$B$14:$K$20,9)/30))</f>
        <v>4.3283211367739369</v>
      </c>
      <c r="U17" s="172">
        <f ca="1">(VLOOKUP(U$13,INDIRECT($C$5&amp;"生成成长"),2))/((VLOOKUP($Q17,INDIRECT($B$5&amp;"生成成长"),4))/(VLOOKUP(U$13,INDIRECT($C$5&amp;"生成成长"),5))*(VLOOKUP($B$5,标准坦克设计!$B$24:$U$30,MATCH("对"&amp;LEFT($C$5,2)&amp;"输出",标准坦克设计!$B$23:$U$23,0)))*(VLOOKUP($Q17,INDIRECT($B$5&amp;"生成成长"),3))*(VLOOKUP($B$5,标准坦克设计!$B$14:$K$20,9)/30))</f>
        <v>8.6514956372377956</v>
      </c>
      <c r="V17" s="172">
        <f ca="1">(VLOOKUP(V$13,INDIRECT($C$5&amp;"生成成长"),2))/((VLOOKUP($Q17,INDIRECT($B$5&amp;"生成成长"),4))/(VLOOKUP(V$13,INDIRECT($C$5&amp;"生成成长"),5))*(VLOOKUP($B$5,标准坦克设计!$B$24:$U$30,MATCH("对"&amp;LEFT($C$5,2)&amp;"输出",标准坦克设计!$B$23:$U$23,0)))*(VLOOKUP($Q17,INDIRECT($B$5&amp;"生成成长"),3))*(VLOOKUP($B$5,标准坦克设计!$B$14:$K$20,9)/30))</f>
        <v>6.5777228690465384</v>
      </c>
      <c r="W17" s="172">
        <f ca="1">(VLOOKUP(W$13,INDIRECT($C$5&amp;"生成成长"),2))/((VLOOKUP($Q17,INDIRECT($B$5&amp;"生成成长"),4))/(VLOOKUP(W$13,INDIRECT($C$5&amp;"生成成长"),5))*(VLOOKUP($B$5,标准坦克设计!$B$24:$U$30,MATCH("对"&amp;LEFT($C$5,2)&amp;"输出",标准坦克设计!$B$23:$U$23,0)))*(VLOOKUP($Q17,INDIRECT($B$5&amp;"生成成长"),3))*(VLOOKUP($B$5,标准坦克设计!$B$14:$K$20,9)/30))</f>
        <v>14.868953964579013</v>
      </c>
      <c r="X17" s="172">
        <f ca="1">(VLOOKUP(X$13,INDIRECT($C$5&amp;"生成成长"),2))/((VLOOKUP($Q17,INDIRECT($B$5&amp;"生成成长"),4))/(VLOOKUP(X$13,INDIRECT($C$5&amp;"生成成长"),5))*(VLOOKUP($B$5,标准坦克设计!$B$24:$U$30,MATCH("对"&amp;LEFT($C$5,2)&amp;"输出",标准坦克设计!$B$23:$U$23,0)))*(VLOOKUP($Q17,INDIRECT($B$5&amp;"生成成长"),3))*(VLOOKUP($B$5,标准坦克设计!$B$14:$K$20,9)/30))</f>
        <v>10.772231461758498</v>
      </c>
      <c r="Y17" s="172">
        <f ca="1">(VLOOKUP(Y$13,INDIRECT($C$5&amp;"生成成长"),2))/((VLOOKUP($Q17,INDIRECT($B$5&amp;"生成成长"),4))/(VLOOKUP(Y$13,INDIRECT($C$5&amp;"生成成长"),5))*(VLOOKUP($B$5,标准坦克设计!$B$24:$U$30,MATCH("对"&amp;LEFT($C$5,2)&amp;"输出",标准坦克设计!$B$23:$U$23,0)))*(VLOOKUP($Q17,INDIRECT($B$5&amp;"生成成长"),3))*(VLOOKUP($B$5,标准坦克设计!$B$14:$K$20,9)/30))</f>
        <v>25.76180971485492</v>
      </c>
      <c r="Z17" s="172">
        <f ca="1">(VLOOKUP(Z$13,INDIRECT($C$5&amp;"生成成长"),2))/((VLOOKUP($Q17,INDIRECT($B$5&amp;"生成成长"),4))/(VLOOKUP(Z$13,INDIRECT($C$5&amp;"生成成长"),5))*(VLOOKUP($B$5,标准坦克设计!$B$24:$U$30,MATCH("对"&amp;LEFT($C$5,2)&amp;"输出",标准坦克设计!$B$23:$U$23,0)))*(VLOOKUP($Q17,INDIRECT($B$5&amp;"生成成长"),3))*(VLOOKUP($B$5,标准坦克设计!$B$14:$K$20,9)/30))</f>
        <v>4.4788602488436586</v>
      </c>
      <c r="AA17" s="172">
        <f ca="1">(VLOOKUP(AA$13,INDIRECT($C$5&amp;"生成成长"),2))/((VLOOKUP($Q17,INDIRECT($B$5&amp;"生成成长"),4))/(VLOOKUP(AA$13,INDIRECT($C$5&amp;"生成成长"),5))*(VLOOKUP($B$5,标准坦克设计!$B$24:$U$30,MATCH("对"&amp;LEFT($C$5,2)&amp;"输出",标准坦克设计!$B$23:$U$23,0)))*(VLOOKUP($Q17,INDIRECT($B$5&amp;"生成成长"),3))*(VLOOKUP($B$5,标准坦克设计!$B$14:$K$20,9)/30))</f>
        <v>14.18541632964704</v>
      </c>
      <c r="AB17" s="172">
        <f ca="1">(VLOOKUP(AB$13,INDIRECT($C$5&amp;"生成成长"),2))/((VLOOKUP($Q17,INDIRECT($B$5&amp;"生成成长"),4))/(VLOOKUP(AB$13,INDIRECT($C$5&amp;"生成成长"),5))*(VLOOKUP($B$5,标准坦克设计!$B$24:$U$30,MATCH("对"&amp;LEFT($C$5,2)&amp;"输出",标准坦克设计!$B$23:$U$23,0)))*(VLOOKUP($Q17,INDIRECT($B$5&amp;"生成成长"),3))*(VLOOKUP($B$5,标准坦克设计!$B$14:$K$20,9)/30))</f>
        <v>6.8566062240987833</v>
      </c>
      <c r="AC17" s="172">
        <f ca="1">(VLOOKUP(AC$13,INDIRECT($C$5&amp;"生成成长"),2))/((VLOOKUP($Q17,INDIRECT($B$5&amp;"生成成长"),4))/(VLOOKUP(AC$13,INDIRECT($C$5&amp;"生成成长"),5))*(VLOOKUP($B$5,标准坦克设计!$B$24:$U$30,MATCH("对"&amp;LEFT($C$5,2)&amp;"输出",标准坦克设计!$B$23:$U$23,0)))*(VLOOKUP($Q17,INDIRECT($B$5&amp;"生成成长"),3))*(VLOOKUP($B$5,标准坦克设计!$B$14:$K$20,9)/30))</f>
        <v>24.681016089738954</v>
      </c>
      <c r="AD17" s="172">
        <f ca="1">(VLOOKUP(AD$13,INDIRECT($C$5&amp;"生成成长"),2))/((VLOOKUP($Q17,INDIRECT($B$5&amp;"生成成长"),4))/(VLOOKUP(AD$13,INDIRECT($C$5&amp;"生成成长"),5))*(VLOOKUP($B$5,标准坦克设计!$B$24:$U$30,MATCH("对"&amp;LEFT($C$5,2)&amp;"输出",标准坦克设计!$B$23:$U$23,0)))*(VLOOKUP($Q17,INDIRECT($B$5&amp;"生成成长"),3))*(VLOOKUP($B$5,标准坦克设计!$B$14:$K$20,9)/30))</f>
        <v>11.24829532044053</v>
      </c>
      <c r="AE17" s="172">
        <f ca="1">(VLOOKUP(AE$13,INDIRECT($C$5&amp;"生成成长"),2))/((VLOOKUP($Q17,INDIRECT($B$5&amp;"生成成长"),4))/(VLOOKUP(AE$13,INDIRECT($C$5&amp;"生成成长"),5))*(VLOOKUP($B$5,标准坦克设计!$B$24:$U$30,MATCH("对"&amp;LEFT($C$5,2)&amp;"输出",标准坦克设计!$B$23:$U$23,0)))*(VLOOKUP($Q17,INDIRECT($B$5&amp;"生成成长"),3))*(VLOOKUP($B$5,标准坦克设计!$B$14:$K$20,9)/30))</f>
        <v>42.38544499640048</v>
      </c>
      <c r="AF17" s="172">
        <f ca="1">(VLOOKUP(AF$13,INDIRECT($C$5&amp;"生成成长"),2))/((VLOOKUP($Q17,INDIRECT($B$5&amp;"生成成长"),4))/(VLOOKUP(AF$13,INDIRECT($C$5&amp;"生成成长"),5))*(VLOOKUP($B$5,标准坦克设计!$B$24:$U$30,MATCH("对"&amp;LEFT($C$5,2)&amp;"输出",标准坦克设计!$B$23:$U$23,0)))*(VLOOKUP($Q17,INDIRECT($B$5&amp;"生成成长"),3))*(VLOOKUP($B$5,标准坦克设计!$B$14:$K$20,9)/30))</f>
        <v>18.993982967104948</v>
      </c>
      <c r="AG17" s="172">
        <f ca="1">(VLOOKUP(AG$13,INDIRECT($C$5&amp;"生成成长"),2))/((VLOOKUP($Q17,INDIRECT($B$5&amp;"生成成长"),4))/(VLOOKUP(AG$13,INDIRECT($C$5&amp;"生成成长"),5))*(VLOOKUP($B$5,标准坦克设计!$B$24:$U$30,MATCH("对"&amp;LEFT($C$5,2)&amp;"输出",标准坦克设计!$B$23:$U$23,0)))*(VLOOKUP($Q17,INDIRECT($B$5&amp;"生成成长"),3))*(VLOOKUP($B$5,标准坦克设计!$B$14:$K$20,9)/30))</f>
        <v>71.055747555987111</v>
      </c>
      <c r="AH17" s="172">
        <f ca="1">(VLOOKUP(AH$13,INDIRECT($C$5&amp;"生成成长"),2))/((VLOOKUP($Q17,INDIRECT($B$5&amp;"生成成长"),4))/(VLOOKUP(AH$13,INDIRECT($C$5&amp;"生成成长"),5))*(VLOOKUP($B$5,标准坦克设计!$B$24:$U$30,MATCH("对"&amp;LEFT($C$5,2)&amp;"输出",标准坦克设计!$B$23:$U$23,0)))*(VLOOKUP($Q17,INDIRECT($B$5&amp;"生成成长"),3))*(VLOOKUP($B$5,标准坦克设计!$B$14:$K$20,9)/30))</f>
        <v>7.1412795449998629</v>
      </c>
      <c r="AI17" s="172">
        <f ca="1">(VLOOKUP(AI$13,INDIRECT($C$5&amp;"生成成长"),2))/((VLOOKUP($Q17,INDIRECT($B$5&amp;"生成成长"),4))/(VLOOKUP(AI$13,INDIRECT($C$5&amp;"生成成长"),5))*(VLOOKUP($B$5,标准坦克设计!$B$24:$U$30,MATCH("对"&amp;LEFT($C$5,2)&amp;"输出",标准坦克设计!$B$23:$U$23,0)))*(VLOOKUP($Q17,INDIRECT($B$5&amp;"生成成长"),3))*(VLOOKUP($B$5,标准坦克设计!$B$14:$K$20,9)/30))</f>
        <v>26.127220892870316</v>
      </c>
      <c r="AJ17" s="172">
        <f ca="1">(VLOOKUP(AJ$13,INDIRECT($C$5&amp;"生成成长"),2))/((VLOOKUP($Q17,INDIRECT($B$5&amp;"生成成长"),4))/(VLOOKUP(AJ$13,INDIRECT($C$5&amp;"生成成长"),5))*(VLOOKUP($B$5,标准坦克设计!$B$24:$U$30,MATCH("对"&amp;LEFT($C$5,2)&amp;"输出",标准坦克设计!$B$23:$U$23,0)))*(VLOOKUP($Q17,INDIRECT($B$5&amp;"生成成长"),3))*(VLOOKUP($B$5,标准坦克设计!$B$14:$K$20,9)/30))</f>
        <v>11.734652451742715</v>
      </c>
      <c r="AK17" s="172">
        <f ca="1">(VLOOKUP(AK$13,INDIRECT($C$5&amp;"生成成长"),2))/((VLOOKUP($Q17,INDIRECT($B$5&amp;"生成成长"),4))/(VLOOKUP(AK$13,INDIRECT($C$5&amp;"生成成长"),5))*(VLOOKUP($B$5,标准坦克设计!$B$24:$U$30,MATCH("对"&amp;LEFT($C$5,2)&amp;"输出",标准坦克设计!$B$23:$U$23,0)))*(VLOOKUP($Q17,INDIRECT($B$5&amp;"生成成长"),3))*(VLOOKUP($B$5,标准坦克设计!$B$14:$K$20,9)/30))</f>
        <v>44.752897699035444</v>
      </c>
      <c r="AL17" s="172">
        <f ca="1">(VLOOKUP(AL$13,INDIRECT($C$5&amp;"生成成长"),2))/((VLOOKUP($Q17,INDIRECT($B$5&amp;"生成成长"),4))/(VLOOKUP(AL$13,INDIRECT($C$5&amp;"生成成长"),5))*(VLOOKUP($B$5,标准坦克设计!$B$24:$U$30,MATCH("对"&amp;LEFT($C$5,2)&amp;"输出",标准坦克设计!$B$23:$U$23,0)))*(VLOOKUP($Q17,INDIRECT($B$5&amp;"生成成长"),3))*(VLOOKUP($B$5,标准坦克设计!$B$14:$K$20,9)/30))</f>
        <v>19.783669975932238</v>
      </c>
      <c r="AM17" s="172">
        <f ca="1">(VLOOKUP(AM$13,INDIRECT($C$5&amp;"生成成长"),2))/((VLOOKUP($Q17,INDIRECT($B$5&amp;"生成成长"),4))/(VLOOKUP(AM$13,INDIRECT($C$5&amp;"生成成长"),5))*(VLOOKUP($B$5,标准坦克设计!$B$24:$U$30,MATCH("对"&amp;LEFT($C$5,2)&amp;"输出",标准坦克设计!$B$23:$U$23,0)))*(VLOOKUP($Q17,INDIRECT($B$5&amp;"生成成长"),3))*(VLOOKUP($B$5,标准坦克设计!$B$14:$K$20,9)/30))</f>
        <v>74.730445881381385</v>
      </c>
    </row>
    <row r="18" spans="1:39" x14ac:dyDescent="0.15">
      <c r="A18" s="170" t="str">
        <f t="shared" si="1"/>
        <v>T5低品质</v>
      </c>
      <c r="B18" s="171">
        <v>10501</v>
      </c>
      <c r="C18" s="172">
        <f ca="1">(VLOOKUP(C$13,INDIRECT($C$5&amp;"生成成长"),2))/((VLOOKUP($B18,INDIRECT($B$5&amp;"生成成长"),4))/(VLOOKUP(C$13,INDIRECT($C$5&amp;"生成成长"),5))*(VLOOKUP($B$5,标准坦克设计!$B$24:$U$30,MATCH("对"&amp;LEFT($C$5,2)&amp;"输出",标准坦克设计!$B$23:$U$23,0)))*(VLOOKUP($B18,INDIRECT($B$5&amp;"生成成长"),3))*(VLOOKUP($B$5,标准坦克设计!$B$14:$K$20,9)/30))</f>
        <v>1.5312146655896424</v>
      </c>
      <c r="D18" s="172">
        <f ca="1">(VLOOKUP(D$13,INDIRECT($C$5&amp;"生成成长"),2))/((VLOOKUP($B18,INDIRECT($B$5&amp;"生成成长"),4))/(VLOOKUP(D$13,INDIRECT($C$5&amp;"生成成长"),5))*(VLOOKUP($B$5,标准坦克设计!$B$24:$U$30,MATCH("对"&amp;LEFT($C$5,2)&amp;"输出",标准坦克设计!$B$23:$U$23,0)))*(VLOOKUP($B18,INDIRECT($B$5&amp;"生成成长"),3))*(VLOOKUP($B$5,标准坦克设计!$B$14:$K$20,9)/30))</f>
        <v>2.0604024540174226</v>
      </c>
      <c r="E18" s="172">
        <f ca="1">(VLOOKUP(E$13,INDIRECT($C$5&amp;"生成成长"),2))/((VLOOKUP($B18,INDIRECT($B$5&amp;"生成成长"),4))/(VLOOKUP(E$13,INDIRECT($C$5&amp;"生成成长"),5))*(VLOOKUP($B$5,标准坦克设计!$B$24:$U$30,MATCH("对"&amp;LEFT($C$5,2)&amp;"输出",标准坦克设计!$B$23:$U$23,0)))*(VLOOKUP($B18,INDIRECT($B$5&amp;"生成成长"),3))*(VLOOKUP($B$5,标准坦克设计!$B$14:$K$20,9)/30))</f>
        <v>3.1311808696642598</v>
      </c>
      <c r="F18" s="172">
        <f ca="1">(VLOOKUP(F$13,INDIRECT($C$5&amp;"生成成长"),2))/((VLOOKUP($B18,INDIRECT($B$5&amp;"生成成长"),4))/(VLOOKUP(F$13,INDIRECT($C$5&amp;"生成成长"),5))*(VLOOKUP($B$5,标准坦克设计!$B$24:$U$30,MATCH("对"&amp;LEFT($C$5,2)&amp;"输出",标准坦克设计!$B$23:$U$23,0)))*(VLOOKUP($B18,INDIRECT($B$5&amp;"生成成长"),3))*(VLOOKUP($B$5,标准坦克设计!$B$14:$K$20,9)/30))</f>
        <v>5.1278847935931546</v>
      </c>
      <c r="G18" s="172">
        <f ca="1">(VLOOKUP(G$13,INDIRECT($C$5&amp;"生成成长"),2))/((VLOOKUP($B18,INDIRECT($B$5&amp;"生成成长"),4))/(VLOOKUP(G$13,INDIRECT($C$5&amp;"生成成长"),5))*(VLOOKUP($B$5,标准坦克设计!$B$24:$U$30,MATCH("对"&amp;LEFT($C$5,2)&amp;"输出",标准坦克设计!$B$23:$U$23,0)))*(VLOOKUP($B18,INDIRECT($B$5&amp;"生成成长"),3))*(VLOOKUP($B$5,标准坦克设计!$B$14:$K$20,9)/30))</f>
        <v>2.132063300367018</v>
      </c>
      <c r="H18" s="172">
        <f ca="1">(VLOOKUP(H$13,INDIRECT($C$5&amp;"生成成长"),2))/((VLOOKUP($B18,INDIRECT($B$5&amp;"生成成长"),4))/(VLOOKUP(H$13,INDIRECT($C$5&amp;"生成成长"),5))*(VLOOKUP($B$5,标准坦克设计!$B$24:$U$30,MATCH("对"&amp;LEFT($C$5,2)&amp;"输出",标准坦克设计!$B$23:$U$23,0)))*(VLOOKUP($B18,INDIRECT($B$5&amp;"生成成长"),3))*(VLOOKUP($B$5,标准坦克设计!$B$14:$K$20,9)/30))</f>
        <v>3.2639371811708817</v>
      </c>
      <c r="I18" s="172">
        <f ca="1">(VLOOKUP(I$13,INDIRECT($C$5&amp;"生成成长"),2))/((VLOOKUP($B18,INDIRECT($B$5&amp;"生成成长"),4))/(VLOOKUP(I$13,INDIRECT($C$5&amp;"生成成长"),5))*(VLOOKUP($B$5,标准坦克设计!$B$24:$U$30,MATCH("对"&amp;LEFT($C$5,2)&amp;"输出",标准坦克设计!$B$23:$U$23,0)))*(VLOOKUP($B18,INDIRECT($B$5&amp;"生成成长"),3))*(VLOOKUP($B$5,标准坦克设计!$B$14:$K$20,9)/30))</f>
        <v>5.354504564100421</v>
      </c>
      <c r="J18" s="172">
        <f ca="1">(VLOOKUP(J$13,INDIRECT($C$5&amp;"生成成长"),2))/((VLOOKUP($B18,INDIRECT($B$5&amp;"生成成长"),4))/(VLOOKUP(J$13,INDIRECT($C$5&amp;"生成成长"),5))*(VLOOKUP($B$5,标准坦克设计!$B$24:$U$30,MATCH("对"&amp;LEFT($C$5,2)&amp;"输出",标准坦克设计!$B$23:$U$23,0)))*(VLOOKUP($B18,INDIRECT($B$5&amp;"生成成长"),3))*(VLOOKUP($B$5,标准坦克设计!$B$14:$K$20,9)/30))</f>
        <v>9.04166947884028</v>
      </c>
      <c r="K18" s="172">
        <f ca="1">(VLOOKUP(K$13,INDIRECT($C$5&amp;"生成成长"),2))/((VLOOKUP($B18,INDIRECT($B$5&amp;"生成成长"),4))/(VLOOKUP(K$13,INDIRECT($C$5&amp;"生成成长"),5))*(VLOOKUP($B$5,标准坦克设计!$B$24:$U$30,MATCH("对"&amp;LEFT($C$5,2)&amp;"输出",标准坦克设计!$B$23:$U$23,0)))*(VLOOKUP($B18,INDIRECT($B$5&amp;"生成成长"),3))*(VLOOKUP($B$5,标准坦克设计!$B$14:$K$20,9)/30))</f>
        <v>3.3994496790755648</v>
      </c>
      <c r="L18" s="172">
        <f ca="1">(VLOOKUP(L$13,INDIRECT($C$5&amp;"生成成长"),2))/((VLOOKUP($B18,INDIRECT($B$5&amp;"生成成长"),4))/(VLOOKUP(L$13,INDIRECT($C$5&amp;"生成成长"),5))*(VLOOKUP($B$5,标准坦克设计!$B$24:$U$30,MATCH("对"&amp;LEFT($C$5,2)&amp;"输出",标准坦克设计!$B$23:$U$23,0)))*(VLOOKUP($B18,INDIRECT($B$5&amp;"生成成长"),3))*(VLOOKUP($B$5,标准坦克设计!$B$14:$K$20,9)/30))</f>
        <v>5.5860242215375742</v>
      </c>
      <c r="M18" s="172">
        <f ca="1">(VLOOKUP(M$13,INDIRECT($C$5&amp;"生成成长"),2))/((VLOOKUP($B18,INDIRECT($B$5&amp;"生成成长"),4))/(VLOOKUP(M$13,INDIRECT($C$5&amp;"生成成长"),5))*(VLOOKUP($B$5,标准坦克设计!$B$24:$U$30,MATCH("对"&amp;LEFT($C$5,2)&amp;"输出",标准坦克设计!$B$23:$U$23,0)))*(VLOOKUP($B18,INDIRECT($B$5&amp;"生成成长"),3))*(VLOOKUP($B$5,标准坦克设计!$B$14:$K$20,9)/30))</f>
        <v>9.4175826792425354</v>
      </c>
      <c r="P18" s="170" t="str">
        <f>"T"&amp;LEFT(RIGHT(Q18,3),1)&amp;""&amp;IF(LEFT(Q18,1)="1","低",IF(LEFT(Q18,1)="2","中","高"))&amp;"初"</f>
        <v>T3低初</v>
      </c>
      <c r="Q18" s="171">
        <v>10301</v>
      </c>
      <c r="R18" s="172">
        <f ca="1">(VLOOKUP(R$13,INDIRECT($C$5&amp;"生成成长"),2))/((VLOOKUP($Q18,INDIRECT($B$5&amp;"生成成长"),4))/(VLOOKUP(R$13,INDIRECT($C$5&amp;"生成成长"),5))*(VLOOKUP($B$5,标准坦克设计!$B$24:$U$30,MATCH("对"&amp;LEFT($C$5,2)&amp;"输出",标准坦克设计!$B$23:$U$23,0)))*(VLOOKUP($Q18,INDIRECT($B$5&amp;"生成成长"),3))*(VLOOKUP($B$5,标准坦克设计!$B$14:$K$20,9)/30))</f>
        <v>4.2542759821192941</v>
      </c>
      <c r="S18" s="172">
        <f ca="1">(VLOOKUP(S$13,INDIRECT($C$5&amp;"生成成长"),2))/((VLOOKUP($Q18,INDIRECT($B$5&amp;"生成成长"),4))/(VLOOKUP(S$13,INDIRECT($C$5&amp;"生成成长"),5))*(VLOOKUP($B$5,标准坦克设计!$B$24:$U$30,MATCH("对"&amp;LEFT($C$5,2)&amp;"输出",标准坦克设计!$B$23:$U$23,0)))*(VLOOKUP($Q18,INDIRECT($B$5&amp;"生成成长"),3))*(VLOOKUP($B$5,标准坦克设计!$B$14:$K$20,9)/30))</f>
        <v>6.5413747501066268</v>
      </c>
      <c r="T18" s="172">
        <f ca="1">(VLOOKUP(T$13,INDIRECT($C$5&amp;"生成成长"),2))/((VLOOKUP($Q18,INDIRECT($B$5&amp;"生成成长"),4))/(VLOOKUP(T$13,INDIRECT($C$5&amp;"生成成长"),5))*(VLOOKUP($B$5,标准坦克设计!$B$24:$U$30,MATCH("对"&amp;LEFT($C$5,2)&amp;"输出",标准坦克设计!$B$23:$U$23,0)))*(VLOOKUP($Q18,INDIRECT($B$5&amp;"生成成长"),3))*(VLOOKUP($B$5,标准坦克设计!$B$14:$K$20,9)/30))</f>
        <v>5.7245537615397213</v>
      </c>
      <c r="U18" s="172">
        <f ca="1">(VLOOKUP(U$13,INDIRECT($C$5&amp;"生成成长"),2))/((VLOOKUP($Q18,INDIRECT($B$5&amp;"生成成长"),4))/(VLOOKUP(U$13,INDIRECT($C$5&amp;"生成成长"),5))*(VLOOKUP($B$5,标准坦克设计!$B$24:$U$30,MATCH("对"&amp;LEFT($C$5,2)&amp;"输出",标准坦克设计!$B$23:$U$23,0)))*(VLOOKUP($Q18,INDIRECT($B$5&amp;"生成成长"),3))*(VLOOKUP($B$5,标准坦克设计!$B$14:$K$20,9)/30))</f>
        <v>11.442300681508053</v>
      </c>
      <c r="V18" s="172">
        <f ca="1">(VLOOKUP(V$13,INDIRECT($C$5&amp;"生成成长"),2))/((VLOOKUP($Q18,INDIRECT($B$5&amp;"生成成长"),4))/(VLOOKUP(V$13,INDIRECT($C$5&amp;"生成成长"),5))*(VLOOKUP($B$5,标准坦克设计!$B$24:$U$30,MATCH("对"&amp;LEFT($C$5,2)&amp;"输出",标准坦克设计!$B$23:$U$23,0)))*(VLOOKUP($Q18,INDIRECT($B$5&amp;"生成成长"),3))*(VLOOKUP($B$5,标准坦克设计!$B$14:$K$20,9)/30))</f>
        <v>8.6995689558357459</v>
      </c>
      <c r="W18" s="172">
        <f ca="1">(VLOOKUP(W$13,INDIRECT($C$5&amp;"生成成长"),2))/((VLOOKUP($Q18,INDIRECT($B$5&amp;"生成成长"),4))/(VLOOKUP(W$13,INDIRECT($C$5&amp;"生成成长"),5))*(VLOOKUP($B$5,标准坦克设计!$B$24:$U$30,MATCH("对"&amp;LEFT($C$5,2)&amp;"输出",标准坦克设计!$B$23:$U$23,0)))*(VLOOKUP($Q18,INDIRECT($B$5&amp;"生成成长"),3))*(VLOOKUP($B$5,标准坦克设计!$B$14:$K$20,9)/30))</f>
        <v>19.665390727346438</v>
      </c>
      <c r="X18" s="172">
        <f ca="1">(VLOOKUP(X$13,INDIRECT($C$5&amp;"生成成长"),2))/((VLOOKUP($Q18,INDIRECT($B$5&amp;"生成成长"),4))/(VLOOKUP(X$13,INDIRECT($C$5&amp;"生成成长"),5))*(VLOOKUP($B$5,标准坦克设计!$B$24:$U$30,MATCH("对"&amp;LEFT($C$5,2)&amp;"输出",标准坦克设计!$B$23:$U$23,0)))*(VLOOKUP($Q18,INDIRECT($B$5&amp;"生成成长"),3))*(VLOOKUP($B$5,标准坦克设计!$B$14:$K$20,9)/30))</f>
        <v>14.247144836519304</v>
      </c>
      <c r="Y18" s="172">
        <f ca="1">(VLOOKUP(Y$13,INDIRECT($C$5&amp;"生成成长"),2))/((VLOOKUP($Q18,INDIRECT($B$5&amp;"生成成长"),4))/(VLOOKUP(Y$13,INDIRECT($C$5&amp;"生成成长"),5))*(VLOOKUP($B$5,标准坦克设计!$B$24:$U$30,MATCH("对"&amp;LEFT($C$5,2)&amp;"输出",标准坦克设计!$B$23:$U$23,0)))*(VLOOKUP($Q18,INDIRECT($B$5&amp;"生成成长"),3))*(VLOOKUP($B$5,标准坦克设计!$B$14:$K$20,9)/30))</f>
        <v>34.072070913195212</v>
      </c>
      <c r="Z18" s="172">
        <f ca="1">(VLOOKUP(Z$13,INDIRECT($C$5&amp;"生成成长"),2))/((VLOOKUP($Q18,INDIRECT($B$5&amp;"生成成长"),4))/(VLOOKUP(Z$13,INDIRECT($C$5&amp;"生成成长"),5))*(VLOOKUP($B$5,标准坦克设计!$B$24:$U$30,MATCH("对"&amp;LEFT($C$5,2)&amp;"输出",标准坦克设计!$B$23:$U$23,0)))*(VLOOKUP($Q18,INDIRECT($B$5&amp;"生成成长"),3))*(VLOOKUP($B$5,标准坦克设计!$B$14:$K$20,9)/30))</f>
        <v>5.923653877502904</v>
      </c>
      <c r="AA18" s="172">
        <f ca="1">(VLOOKUP(AA$13,INDIRECT($C$5&amp;"生成成长"),2))/((VLOOKUP($Q18,INDIRECT($B$5&amp;"生成成长"),4))/(VLOOKUP(AA$13,INDIRECT($C$5&amp;"生成成长"),5))*(VLOOKUP($B$5,标准坦克设计!$B$24:$U$30,MATCH("对"&amp;LEFT($C$5,2)&amp;"输出",标准坦克设计!$B$23:$U$23,0)))*(VLOOKUP($Q18,INDIRECT($B$5&amp;"生成成长"),3))*(VLOOKUP($B$5,标准坦克设计!$B$14:$K$20,9)/30))</f>
        <v>18.761357081146084</v>
      </c>
      <c r="AB18" s="172">
        <f ca="1">(VLOOKUP(AB$13,INDIRECT($C$5&amp;"生成成长"),2))/((VLOOKUP($Q18,INDIRECT($B$5&amp;"生成成长"),4))/(VLOOKUP(AB$13,INDIRECT($C$5&amp;"生成成长"),5))*(VLOOKUP($B$5,标准坦克设计!$B$24:$U$30,MATCH("对"&amp;LEFT($C$5,2)&amp;"输出",标准坦克设计!$B$23:$U$23,0)))*(VLOOKUP($Q18,INDIRECT($B$5&amp;"生成成长"),3))*(VLOOKUP($B$5,标准坦克设计!$B$14:$K$20,9)/30))</f>
        <v>9.0684146834854875</v>
      </c>
      <c r="AC18" s="172">
        <f ca="1">(VLOOKUP(AC$13,INDIRECT($C$5&amp;"生成成长"),2))/((VLOOKUP($Q18,INDIRECT($B$5&amp;"生成成长"),4))/(VLOOKUP(AC$13,INDIRECT($C$5&amp;"生成成长"),5))*(VLOOKUP($B$5,标准坦克设计!$B$24:$U$30,MATCH("对"&amp;LEFT($C$5,2)&amp;"输出",标准坦克设计!$B$23:$U$23,0)))*(VLOOKUP($Q18,INDIRECT($B$5&amp;"生成成长"),3))*(VLOOKUP($B$5,标准坦克设计!$B$14:$K$20,9)/30))</f>
        <v>32.642634183203135</v>
      </c>
      <c r="AD18" s="172">
        <f ca="1">(VLOOKUP(AD$13,INDIRECT($C$5&amp;"生成成长"),2))/((VLOOKUP($Q18,INDIRECT($B$5&amp;"生成成长"),4))/(VLOOKUP(AD$13,INDIRECT($C$5&amp;"生成成长"),5))*(VLOOKUP($B$5,标准坦克设计!$B$24:$U$30,MATCH("对"&amp;LEFT($C$5,2)&amp;"输出",标准坦克设计!$B$23:$U$23,0)))*(VLOOKUP($Q18,INDIRECT($B$5&amp;"生成成长"),3))*(VLOOKUP($B$5,标准坦克设计!$B$14:$K$20,9)/30))</f>
        <v>14.876777681872959</v>
      </c>
      <c r="AE18" s="172">
        <f ca="1">(VLOOKUP(AE$13,INDIRECT($C$5&amp;"生成成长"),2))/((VLOOKUP($Q18,INDIRECT($B$5&amp;"生成成长"),4))/(VLOOKUP(AE$13,INDIRECT($C$5&amp;"生成成长"),5))*(VLOOKUP($B$5,标准坦克设计!$B$24:$U$30,MATCH("对"&amp;LEFT($C$5,2)&amp;"输出",标准坦克设计!$B$23:$U$23,0)))*(VLOOKUP($Q18,INDIRECT($B$5&amp;"生成成长"),3))*(VLOOKUP($B$5,标准坦克设计!$B$14:$K$20,9)/30))</f>
        <v>56.058169188787723</v>
      </c>
      <c r="AF18" s="172">
        <f ca="1">(VLOOKUP(AF$13,INDIRECT($C$5&amp;"生成成长"),2))/((VLOOKUP($Q18,INDIRECT($B$5&amp;"生成成长"),4))/(VLOOKUP(AF$13,INDIRECT($C$5&amp;"生成成长"),5))*(VLOOKUP($B$5,标准坦克设计!$B$24:$U$30,MATCH("对"&amp;LEFT($C$5,2)&amp;"输出",标准坦克设计!$B$23:$U$23,0)))*(VLOOKUP($Q18,INDIRECT($B$5&amp;"生成成长"),3))*(VLOOKUP($B$5,标准坦克设计!$B$14:$K$20,9)/30))</f>
        <v>25.121074246816217</v>
      </c>
      <c r="AG18" s="172">
        <f ca="1">(VLOOKUP(AG$13,INDIRECT($C$5&amp;"生成成长"),2))/((VLOOKUP($Q18,INDIRECT($B$5&amp;"生成成长"),4))/(VLOOKUP(AG$13,INDIRECT($C$5&amp;"生成成长"),5))*(VLOOKUP($B$5,标准坦克设计!$B$24:$U$30,MATCH("对"&amp;LEFT($C$5,2)&amp;"输出",标准坦克设计!$B$23:$U$23,0)))*(VLOOKUP($Q18,INDIRECT($B$5&amp;"生成成长"),3))*(VLOOKUP($B$5,标准坦克设计!$B$14:$K$20,9)/30))</f>
        <v>93.976956445015205</v>
      </c>
      <c r="AH18" s="172">
        <f ca="1">(VLOOKUP(AH$13,INDIRECT($C$5&amp;"生成成长"),2))/((VLOOKUP($Q18,INDIRECT($B$5&amp;"生成成长"),4))/(VLOOKUP(AH$13,INDIRECT($C$5&amp;"生成成长"),5))*(VLOOKUP($B$5,标准坦克设计!$B$24:$U$30,MATCH("对"&amp;LEFT($C$5,2)&amp;"输出",标准坦克设计!$B$23:$U$23,0)))*(VLOOKUP($Q18,INDIRECT($B$5&amp;"生成成长"),3))*(VLOOKUP($B$5,标准坦克设计!$B$14:$K$20,9)/30))</f>
        <v>9.444918107903046</v>
      </c>
      <c r="AI18" s="172">
        <f ca="1">(VLOOKUP(AI$13,INDIRECT($C$5&amp;"生成成长"),2))/((VLOOKUP($Q18,INDIRECT($B$5&amp;"生成成长"),4))/(VLOOKUP(AI$13,INDIRECT($C$5&amp;"生成成长"),5))*(VLOOKUP($B$5,标准坦克设计!$B$24:$U$30,MATCH("对"&amp;LEFT($C$5,2)&amp;"输出",标准坦克设计!$B$23:$U$23,0)))*(VLOOKUP($Q18,INDIRECT($B$5&amp;"生成成长"),3))*(VLOOKUP($B$5,标准坦克设计!$B$14:$K$20,9)/30))</f>
        <v>34.555356664763963</v>
      </c>
      <c r="AJ18" s="172">
        <f ca="1">(VLOOKUP(AJ$13,INDIRECT($C$5&amp;"生成成长"),2))/((VLOOKUP($Q18,INDIRECT($B$5&amp;"生成成长"),4))/(VLOOKUP(AJ$13,INDIRECT($C$5&amp;"生成成长"),5))*(VLOOKUP($B$5,标准坦克设计!$B$24:$U$30,MATCH("对"&amp;LEFT($C$5,2)&amp;"输出",标准坦克设计!$B$23:$U$23,0)))*(VLOOKUP($Q18,INDIRECT($B$5&amp;"生成成长"),3))*(VLOOKUP($B$5,标准坦克设计!$B$14:$K$20,9)/30))</f>
        <v>15.520024210369396</v>
      </c>
      <c r="AK18" s="172">
        <f ca="1">(VLOOKUP(AK$13,INDIRECT($C$5&amp;"生成成长"),2))/((VLOOKUP($Q18,INDIRECT($B$5&amp;"生成成长"),4))/(VLOOKUP(AK$13,INDIRECT($C$5&amp;"生成成长"),5))*(VLOOKUP($B$5,标准坦克设计!$B$24:$U$30,MATCH("对"&amp;LEFT($C$5,2)&amp;"输出",标准坦克设计!$B$23:$U$23,0)))*(VLOOKUP($Q18,INDIRECT($B$5&amp;"生成成长"),3))*(VLOOKUP($B$5,标准坦克设计!$B$14:$K$20,9)/30))</f>
        <v>59.189316311627536</v>
      </c>
      <c r="AL18" s="172">
        <f ca="1">(VLOOKUP(AL$13,INDIRECT($C$5&amp;"生成成长"),2))/((VLOOKUP($Q18,INDIRECT($B$5&amp;"生成成长"),4))/(VLOOKUP(AL$13,INDIRECT($C$5&amp;"生成成长"),5))*(VLOOKUP($B$5,标准坦克设计!$B$24:$U$30,MATCH("对"&amp;LEFT($C$5,2)&amp;"输出",标准坦克设计!$B$23:$U$23,0)))*(VLOOKUP($Q18,INDIRECT($B$5&amp;"生成成长"),3))*(VLOOKUP($B$5,标准坦克设计!$B$14:$K$20,9)/30))</f>
        <v>26.165499000426507</v>
      </c>
      <c r="AM18" s="172">
        <f ca="1">(VLOOKUP(AM$13,INDIRECT($C$5&amp;"生成成长"),2))/((VLOOKUP($Q18,INDIRECT($B$5&amp;"生成成长"),4))/(VLOOKUP(AM$13,INDIRECT($C$5&amp;"生成成长"),5))*(VLOOKUP($B$5,标准坦克设计!$B$24:$U$30,MATCH("对"&amp;LEFT($C$5,2)&amp;"输出",标准坦克设计!$B$23:$U$23,0)))*(VLOOKUP($Q18,INDIRECT($B$5&amp;"生成成长"),3))*(VLOOKUP($B$5,标准坦克设计!$B$14:$K$20,9)/30))</f>
        <v>98.837041326988285</v>
      </c>
    </row>
    <row r="19" spans="1:39" x14ac:dyDescent="0.15">
      <c r="A19" s="170" t="str">
        <f t="shared" si="1"/>
        <v>T2中品质</v>
      </c>
      <c r="B19" s="171">
        <v>20201</v>
      </c>
      <c r="C19" s="172">
        <f ca="1">(VLOOKUP(C$13,INDIRECT($C$5&amp;"生成成长"),2))/((VLOOKUP($B19,INDIRECT($B$5&amp;"生成成长"),4))/(VLOOKUP(C$13,INDIRECT($C$5&amp;"生成成长"),5))*(VLOOKUP($B$5,标准坦克设计!$B$24:$U$30,MATCH("对"&amp;LEFT($C$5,2)&amp;"输出",标准坦克设计!$B$23:$U$23,0)))*(VLOOKUP($B19,INDIRECT($B$5&amp;"生成成长"),3))*(VLOOKUP($B$5,标准坦克设计!$B$14:$K$20,9)/30))</f>
        <v>6.2067485366907471</v>
      </c>
      <c r="D19" s="172">
        <f ca="1">(VLOOKUP(D$13,INDIRECT($C$5&amp;"生成成长"),2))/((VLOOKUP($B19,INDIRECT($B$5&amp;"生成成长"),4))/(VLOOKUP(D$13,INDIRECT($C$5&amp;"生成成长"),5))*(VLOOKUP($B$5,标准坦克设计!$B$24:$U$30,MATCH("对"&amp;LEFT($C$5,2)&amp;"输出",标准坦克设计!$B$23:$U$23,0)))*(VLOOKUP($B19,INDIRECT($B$5&amp;"生成成长"),3))*(VLOOKUP($B$5,标准坦克设计!$B$14:$K$20,9)/30))</f>
        <v>8.3518008309710687</v>
      </c>
      <c r="E19" s="172">
        <f ca="1">(VLOOKUP(E$13,INDIRECT($C$5&amp;"生成成长"),2))/((VLOOKUP($B19,INDIRECT($B$5&amp;"生成成长"),4))/(VLOOKUP(E$13,INDIRECT($C$5&amp;"生成成长"),5))*(VLOOKUP($B$5,标准坦克设计!$B$24:$U$30,MATCH("对"&amp;LEFT($C$5,2)&amp;"输出",标准坦克设计!$B$23:$U$23,0)))*(VLOOKUP($B19,INDIRECT($B$5&amp;"生成成长"),3))*(VLOOKUP($B$5,标准坦克设计!$B$14:$K$20,9)/30))</f>
        <v>12.692180082678906</v>
      </c>
      <c r="F19" s="172">
        <f ca="1">(VLOOKUP(F$13,INDIRECT($C$5&amp;"生成成长"),2))/((VLOOKUP($B19,INDIRECT($B$5&amp;"生成成长"),4))/(VLOOKUP(F$13,INDIRECT($C$5&amp;"生成成长"),5))*(VLOOKUP($B$5,标准坦克设计!$B$24:$U$30,MATCH("对"&amp;LEFT($C$5,2)&amp;"输出",标准坦克设计!$B$23:$U$23,0)))*(VLOOKUP($B19,INDIRECT($B$5&amp;"生成成长"),3))*(VLOOKUP($B$5,标准坦克设计!$B$14:$K$20,9)/30))</f>
        <v>20.785780174523634</v>
      </c>
      <c r="G19" s="172">
        <f ca="1">(VLOOKUP(G$13,INDIRECT($C$5&amp;"生成成长"),2))/((VLOOKUP($B19,INDIRECT($B$5&amp;"生成成长"),4))/(VLOOKUP(G$13,INDIRECT($C$5&amp;"生成成长"),5))*(VLOOKUP($B$5,标准坦克设计!$B$24:$U$30,MATCH("对"&amp;LEFT($C$5,2)&amp;"输出",标准坦克设计!$B$23:$U$23,0)))*(VLOOKUP($B19,INDIRECT($B$5&amp;"生成成长"),3))*(VLOOKUP($B$5,标准坦克设计!$B$14:$K$20,9)/30))</f>
        <v>8.642276662488193</v>
      </c>
      <c r="H19" s="172">
        <f ca="1">(VLOOKUP(H$13,INDIRECT($C$5&amp;"生成成长"),2))/((VLOOKUP($B19,INDIRECT($B$5&amp;"生成成长"),4))/(VLOOKUP(H$13,INDIRECT($C$5&amp;"生成成长"),5))*(VLOOKUP($B$5,标准坦克设计!$B$24:$U$30,MATCH("对"&amp;LEFT($C$5,2)&amp;"输出",标准坦克设计!$B$23:$U$23,0)))*(VLOOKUP($B19,INDIRECT($B$5&amp;"生成成长"),3))*(VLOOKUP($B$5,标准坦克设计!$B$14:$K$20,9)/30))</f>
        <v>13.230305180809994</v>
      </c>
      <c r="I19" s="172">
        <f ca="1">(VLOOKUP(I$13,INDIRECT($C$5&amp;"生成成长"),2))/((VLOOKUP($B19,INDIRECT($B$5&amp;"生成成长"),4))/(VLOOKUP(I$13,INDIRECT($C$5&amp;"生成成长"),5))*(VLOOKUP($B$5,标准坦克设计!$B$24:$U$30,MATCH("对"&amp;LEFT($C$5,2)&amp;"输出",标准坦克设计!$B$23:$U$23,0)))*(VLOOKUP($B19,INDIRECT($B$5&amp;"生成成长"),3))*(VLOOKUP($B$5,标准坦克设计!$B$14:$K$20,9)/30))</f>
        <v>21.704378957953868</v>
      </c>
      <c r="J19" s="172">
        <f ca="1">(VLOOKUP(J$13,INDIRECT($C$5&amp;"生成成长"),2))/((VLOOKUP($B19,INDIRECT($B$5&amp;"生成成长"),4))/(VLOOKUP(J$13,INDIRECT($C$5&amp;"生成成长"),5))*(VLOOKUP($B$5,标准坦克设计!$B$24:$U$30,MATCH("对"&amp;LEFT($C$5,2)&amp;"输出",标准坦克设计!$B$23:$U$23,0)))*(VLOOKUP($B19,INDIRECT($B$5&amp;"生成成长"),3))*(VLOOKUP($B$5,标准坦克设计!$B$14:$K$20,9)/30))</f>
        <v>36.650229434305182</v>
      </c>
      <c r="K19" s="172">
        <f ca="1">(VLOOKUP(K$13,INDIRECT($C$5&amp;"生成成长"),2))/((VLOOKUP($B19,INDIRECT($B$5&amp;"生成成长"),4))/(VLOOKUP(K$13,INDIRECT($C$5&amp;"生成成长"),5))*(VLOOKUP($B$5,标准坦克设计!$B$24:$U$30,MATCH("对"&amp;LEFT($C$5,2)&amp;"输出",标准坦克设计!$B$23:$U$23,0)))*(VLOOKUP($B19,INDIRECT($B$5&amp;"生成成长"),3))*(VLOOKUP($B$5,标准坦克设计!$B$14:$K$20,9)/30))</f>
        <v>13.779602426307125</v>
      </c>
      <c r="L19" s="172">
        <f ca="1">(VLOOKUP(L$13,INDIRECT($C$5&amp;"生成成长"),2))/((VLOOKUP($B19,INDIRECT($B$5&amp;"生成成长"),4))/(VLOOKUP(L$13,INDIRECT($C$5&amp;"生成成长"),5))*(VLOOKUP($B$5,标准坦克设计!$B$24:$U$30,MATCH("对"&amp;LEFT($C$5,2)&amp;"输出",标准坦克设计!$B$23:$U$23,0)))*(VLOOKUP($B19,INDIRECT($B$5&amp;"生成成长"),3))*(VLOOKUP($B$5,标准坦克设计!$B$14:$K$20,9)/30))</f>
        <v>22.64283933670151</v>
      </c>
      <c r="M19" s="172">
        <f ca="1">(VLOOKUP(M$13,INDIRECT($C$5&amp;"生成成长"),2))/((VLOOKUP($B19,INDIRECT($B$5&amp;"生成成长"),4))/(VLOOKUP(M$13,INDIRECT($C$5&amp;"生成成长"),5))*(VLOOKUP($B$5,标准坦克设计!$B$24:$U$30,MATCH("对"&amp;LEFT($C$5,2)&amp;"输出",标准坦克设计!$B$23:$U$23,0)))*(VLOOKUP($B19,INDIRECT($B$5&amp;"生成成长"),3))*(VLOOKUP($B$5,标准坦克设计!$B$14:$K$20,9)/30))</f>
        <v>38.173986200062764</v>
      </c>
      <c r="P19" s="170" t="str">
        <f>"T"&amp;LEFT(RIGHT(Q19,3),1)&amp;""&amp;IF(LEFT(Q19,1)="1","低",IF(LEFT(Q19,1)="2","中","高"))&amp;"满"</f>
        <v>T3低满</v>
      </c>
      <c r="Q19" s="171">
        <v>10309</v>
      </c>
      <c r="R19" s="172">
        <f ca="1">(VLOOKUP(R$13,INDIRECT($C$5&amp;"生成成长"),2))/((VLOOKUP($Q19,INDIRECT($B$5&amp;"生成成长"),4))/(VLOOKUP(R$13,INDIRECT($C$5&amp;"生成成长"),5))*(VLOOKUP($B$5,标准坦克设计!$B$24:$U$30,MATCH("对"&amp;LEFT($C$5,2)&amp;"输出",标准坦克设计!$B$23:$U$23,0)))*(VLOOKUP($Q19,INDIRECT($B$5&amp;"生成成长"),3))*(VLOOKUP($B$5,标准坦克设计!$B$14:$K$20,9)/30))</f>
        <v>1.8763044824011774</v>
      </c>
      <c r="S19" s="172">
        <f ca="1">(VLOOKUP(S$13,INDIRECT($C$5&amp;"生成成长"),2))/((VLOOKUP($Q19,INDIRECT($B$5&amp;"生成成长"),4))/(VLOOKUP(S$13,INDIRECT($C$5&amp;"生成成长"),5))*(VLOOKUP($B$5,标准坦克设计!$B$24:$U$30,MATCH("对"&amp;LEFT($C$5,2)&amp;"输出",标准坦克设计!$B$23:$U$23,0)))*(VLOOKUP($Q19,INDIRECT($B$5&amp;"生成成长"),3))*(VLOOKUP($B$5,标准坦克设计!$B$14:$K$20,9)/30))</f>
        <v>2.8850057721400502</v>
      </c>
      <c r="T19" s="172">
        <f ca="1">(VLOOKUP(T$13,INDIRECT($C$5&amp;"生成成长"),2))/((VLOOKUP($Q19,INDIRECT($B$5&amp;"生成成长"),4))/(VLOOKUP(T$13,INDIRECT($C$5&amp;"生成成长"),5))*(VLOOKUP($B$5,标准坦克设计!$B$24:$U$30,MATCH("对"&amp;LEFT($C$5,2)&amp;"输出",标准坦克设计!$B$23:$U$23,0)))*(VLOOKUP($Q19,INDIRECT($B$5&amp;"生成成长"),3))*(VLOOKUP($B$5,标准坦克设计!$B$14:$K$20,9)/30))</f>
        <v>2.5247553115190238</v>
      </c>
      <c r="U19" s="172">
        <f ca="1">(VLOOKUP(U$13,INDIRECT($C$5&amp;"生成成长"),2))/((VLOOKUP($Q19,INDIRECT($B$5&amp;"生成成长"),4))/(VLOOKUP(U$13,INDIRECT($C$5&amp;"生成成长"),5))*(VLOOKUP($B$5,标准坦克设计!$B$24:$U$30,MATCH("对"&amp;LEFT($C$5,2)&amp;"输出",标准坦克设计!$B$23:$U$23,0)))*(VLOOKUP($Q19,INDIRECT($B$5&amp;"生成成长"),3))*(VLOOKUP($B$5,标准坦克设计!$B$14:$K$20,9)/30))</f>
        <v>5.0465085358662058</v>
      </c>
      <c r="V19" s="172">
        <f ca="1">(VLOOKUP(V$13,INDIRECT($C$5&amp;"生成成长"),2))/((VLOOKUP($Q19,INDIRECT($B$5&amp;"生成成长"),4))/(VLOOKUP(V$13,INDIRECT($C$5&amp;"生成成长"),5))*(VLOOKUP($B$5,标准坦克设计!$B$24:$U$30,MATCH("对"&amp;LEFT($C$5,2)&amp;"输出",标准坦克设计!$B$23:$U$23,0)))*(VLOOKUP($Q19,INDIRECT($B$5&amp;"生成成长"),3))*(VLOOKUP($B$5,标准坦克设计!$B$14:$K$20,9)/30))</f>
        <v>3.8368550360621669</v>
      </c>
      <c r="W19" s="172">
        <f ca="1">(VLOOKUP(W$13,INDIRECT($C$5&amp;"生成成长"),2))/((VLOOKUP($Q19,INDIRECT($B$5&amp;"生成成长"),4))/(VLOOKUP(W$13,INDIRECT($C$5&amp;"生成成长"),5))*(VLOOKUP($B$5,标准坦克设计!$B$24:$U$30,MATCH("对"&amp;LEFT($C$5,2)&amp;"输出",标准坦克设计!$B$23:$U$23,0)))*(VLOOKUP($Q19,INDIRECT($B$5&amp;"生成成长"),3))*(VLOOKUP($B$5,标准坦克设计!$B$14:$K$20,9)/30))</f>
        <v>8.6732174698994413</v>
      </c>
      <c r="X19" s="172">
        <f ca="1">(VLOOKUP(X$13,INDIRECT($C$5&amp;"生成成长"),2))/((VLOOKUP($Q19,INDIRECT($B$5&amp;"生成成长"),4))/(VLOOKUP(X$13,INDIRECT($C$5&amp;"生成成长"),5))*(VLOOKUP($B$5,标准坦克设计!$B$24:$U$30,MATCH("对"&amp;LEFT($C$5,2)&amp;"输出",标准坦克设计!$B$23:$U$23,0)))*(VLOOKUP($Q19,INDIRECT($B$5&amp;"生成成长"),3))*(VLOOKUP($B$5,标准坦克设计!$B$14:$K$20,9)/30))</f>
        <v>6.2835560811133009</v>
      </c>
      <c r="Y19" s="172">
        <f ca="1">(VLOOKUP(Y$13,INDIRECT($C$5&amp;"生成成长"),2))/((VLOOKUP($Q19,INDIRECT($B$5&amp;"生成成长"),4))/(VLOOKUP(Y$13,INDIRECT($C$5&amp;"生成成长"),5))*(VLOOKUP($B$5,标准坦克设计!$B$24:$U$30,MATCH("对"&amp;LEFT($C$5,2)&amp;"输出",标准坦克设计!$B$23:$U$23,0)))*(VLOOKUP($Q19,INDIRECT($B$5&amp;"生成成长"),3))*(VLOOKUP($B$5,标准坦克设计!$B$14:$K$20,9)/30))</f>
        <v>15.027134969102788</v>
      </c>
      <c r="Z19" s="172">
        <f ca="1">(VLOOKUP(Z$13,INDIRECT($C$5&amp;"生成成长"),2))/((VLOOKUP($Q19,INDIRECT($B$5&amp;"生成成长"),4))/(VLOOKUP(Z$13,INDIRECT($C$5&amp;"生成成长"),5))*(VLOOKUP($B$5,标准坦克设计!$B$24:$U$30,MATCH("对"&amp;LEFT($C$5,2)&amp;"输出",标准坦克设计!$B$23:$U$23,0)))*(VLOOKUP($Q19,INDIRECT($B$5&amp;"生成成长"),3))*(VLOOKUP($B$5,标准坦克设计!$B$14:$K$20,9)/30))</f>
        <v>2.6125663612953987</v>
      </c>
      <c r="AA19" s="172">
        <f ca="1">(VLOOKUP(AA$13,INDIRECT($C$5&amp;"生成成长"),2))/((VLOOKUP($Q19,INDIRECT($B$5&amp;"生成成长"),4))/(VLOOKUP(AA$13,INDIRECT($C$5&amp;"生成成长"),5))*(VLOOKUP($B$5,标准坦克设计!$B$24:$U$30,MATCH("对"&amp;LEFT($C$5,2)&amp;"输出",标准坦克设计!$B$23:$U$23,0)))*(VLOOKUP($Q19,INDIRECT($B$5&amp;"生成成长"),3))*(VLOOKUP($B$5,标准坦克设计!$B$14:$K$20,9)/30))</f>
        <v>8.2745027673891904</v>
      </c>
      <c r="AB19" s="172">
        <f ca="1">(VLOOKUP(AB$13,INDIRECT($C$5&amp;"生成成长"),2))/((VLOOKUP($Q19,INDIRECT($B$5&amp;"生成成长"),4))/(VLOOKUP(AB$13,INDIRECT($C$5&amp;"生成成长"),5))*(VLOOKUP($B$5,标准坦克设计!$B$24:$U$30,MATCH("对"&amp;LEFT($C$5,2)&amp;"输出",标准坦克设计!$B$23:$U$23,0)))*(VLOOKUP($Q19,INDIRECT($B$5&amp;"生成成长"),3))*(VLOOKUP($B$5,标准坦克设计!$B$14:$K$20,9)/30))</f>
        <v>3.9995306346863488</v>
      </c>
      <c r="AC19" s="172">
        <f ca="1">(VLOOKUP(AC$13,INDIRECT($C$5&amp;"生成成长"),2))/((VLOOKUP($Q19,INDIRECT($B$5&amp;"生成成长"),4))/(VLOOKUP(AC$13,INDIRECT($C$5&amp;"生成成长"),5))*(VLOOKUP($B$5,标准坦克设计!$B$24:$U$30,MATCH("对"&amp;LEFT($C$5,2)&amp;"输出",标准坦克设计!$B$23:$U$23,0)))*(VLOOKUP($Q19,INDIRECT($B$5&amp;"生成成长"),3))*(VLOOKUP($B$5,标准坦克设计!$B$14:$K$20,9)/30))</f>
        <v>14.396696663015991</v>
      </c>
      <c r="AD19" s="172">
        <f ca="1">(VLOOKUP(AD$13,INDIRECT($C$5&amp;"生成成长"),2))/((VLOOKUP($Q19,INDIRECT($B$5&amp;"生成成长"),4))/(VLOOKUP(AD$13,INDIRECT($C$5&amp;"生成成长"),5))*(VLOOKUP($B$5,标准坦克设计!$B$24:$U$30,MATCH("对"&amp;LEFT($C$5,2)&amp;"输出",标准坦克设计!$B$23:$U$23,0)))*(VLOOKUP($Q19,INDIRECT($B$5&amp;"生成成长"),3))*(VLOOKUP($B$5,标准坦克设计!$B$14:$K$20,9)/30))</f>
        <v>6.5612491445086771</v>
      </c>
      <c r="AE19" s="172">
        <f ca="1">(VLOOKUP(AE$13,INDIRECT($C$5&amp;"生成成长"),2))/((VLOOKUP($Q19,INDIRECT($B$5&amp;"生成成长"),4))/(VLOOKUP(AE$13,INDIRECT($C$5&amp;"生成成长"),5))*(VLOOKUP($B$5,标准坦克设计!$B$24:$U$30,MATCH("对"&amp;LEFT($C$5,2)&amp;"输出",标准坦克设计!$B$23:$U$23,0)))*(VLOOKUP($Q19,INDIRECT($B$5&amp;"生成成长"),3))*(VLOOKUP($B$5,标准坦克设计!$B$14:$K$20,9)/30))</f>
        <v>24.723876534152069</v>
      </c>
      <c r="AF19" s="172">
        <f ca="1">(VLOOKUP(AF$13,INDIRECT($C$5&amp;"生成成长"),2))/((VLOOKUP($Q19,INDIRECT($B$5&amp;"生成成长"),4))/(VLOOKUP(AF$13,INDIRECT($C$5&amp;"生成成长"),5))*(VLOOKUP($B$5,标准坦克设计!$B$24:$U$30,MATCH("对"&amp;LEFT($C$5,2)&amp;"输出",标准坦克设计!$B$23:$U$23,0)))*(VLOOKUP($Q19,INDIRECT($B$5&amp;"生成成长"),3))*(VLOOKUP($B$5,标准坦克设计!$B$14:$K$20,9)/30))</f>
        <v>11.079390338130711</v>
      </c>
      <c r="AG19" s="172">
        <f ca="1">(VLOOKUP(AG$13,INDIRECT($C$5&amp;"生成成长"),2))/((VLOOKUP($Q19,INDIRECT($B$5&amp;"生成成长"),4))/(VLOOKUP(AG$13,INDIRECT($C$5&amp;"生成成长"),5))*(VLOOKUP($B$5,标准坦克设计!$B$24:$U$30,MATCH("对"&amp;LEFT($C$5,2)&amp;"输出",标准坦克设计!$B$23:$U$23,0)))*(VLOOKUP($Q19,INDIRECT($B$5&amp;"生成成长"),3))*(VLOOKUP($B$5,标准坦克设计!$B$14:$K$20,9)/30))</f>
        <v>41.447566016242</v>
      </c>
      <c r="AH19" s="172">
        <f ca="1">(VLOOKUP(AH$13,INDIRECT($C$5&amp;"生成成长"),2))/((VLOOKUP($Q19,INDIRECT($B$5&amp;"生成成长"),4))/(VLOOKUP(AH$13,INDIRECT($C$5&amp;"生成成长"),5))*(VLOOKUP($B$5,标准坦克设计!$B$24:$U$30,MATCH("对"&amp;LEFT($C$5,2)&amp;"输出",标准坦克设计!$B$23:$U$23,0)))*(VLOOKUP($Q19,INDIRECT($B$5&amp;"生成成长"),3))*(VLOOKUP($B$5,标准坦克设计!$B$14:$K$20,9)/30))</f>
        <v>4.1655835813788524</v>
      </c>
      <c r="AI19" s="172">
        <f ca="1">(VLOOKUP(AI$13,INDIRECT($C$5&amp;"生成成长"),2))/((VLOOKUP($Q19,INDIRECT($B$5&amp;"生成成长"),4))/(VLOOKUP(AI$13,INDIRECT($C$5&amp;"生成成长"),5))*(VLOOKUP($B$5,标准坦克设计!$B$24:$U$30,MATCH("对"&amp;LEFT($C$5,2)&amp;"输出",标准坦克设计!$B$23:$U$23,0)))*(VLOOKUP($Q19,INDIRECT($B$5&amp;"生成成长"),3))*(VLOOKUP($B$5,标准坦克设计!$B$14:$K$20,9)/30))</f>
        <v>15.24028315830356</v>
      </c>
      <c r="AJ19" s="172">
        <f ca="1">(VLOOKUP(AJ$13,INDIRECT($C$5&amp;"生成成长"),2))/((VLOOKUP($Q19,INDIRECT($B$5&amp;"生成成长"),4))/(VLOOKUP(AJ$13,INDIRECT($C$5&amp;"生成成长"),5))*(VLOOKUP($B$5,标准坦克设计!$B$24:$U$30,MATCH("对"&amp;LEFT($C$5,2)&amp;"输出",标准坦克设计!$B$23:$U$23,0)))*(VLOOKUP($Q19,INDIRECT($B$5&amp;"生成成长"),3))*(VLOOKUP($B$5,标准坦克设计!$B$14:$K$20,9)/30))</f>
        <v>6.8449463822477341</v>
      </c>
      <c r="AK19" s="172">
        <f ca="1">(VLOOKUP(AK$13,INDIRECT($C$5&amp;"生成成长"),2))/((VLOOKUP($Q19,INDIRECT($B$5&amp;"生成成长"),4))/(VLOOKUP(AK$13,INDIRECT($C$5&amp;"生成成长"),5))*(VLOOKUP($B$5,标准坦克设计!$B$24:$U$30,MATCH("对"&amp;LEFT($C$5,2)&amp;"输出",标准坦克设计!$B$23:$U$23,0)))*(VLOOKUP($Q19,INDIRECT($B$5&amp;"生成成长"),3))*(VLOOKUP($B$5,标准坦克设计!$B$14:$K$20,9)/30))</f>
        <v>26.104836633199334</v>
      </c>
      <c r="AL19" s="172">
        <f ca="1">(VLOOKUP(AL$13,INDIRECT($C$5&amp;"生成成长"),2))/((VLOOKUP($Q19,INDIRECT($B$5&amp;"生成成长"),4))/(VLOOKUP(AL$13,INDIRECT($C$5&amp;"生成成长"),5))*(VLOOKUP($B$5,标准坦克设计!$B$24:$U$30,MATCH("对"&amp;LEFT($C$5,2)&amp;"输出",标准坦克设计!$B$23:$U$23,0)))*(VLOOKUP($Q19,INDIRECT($B$5&amp;"生成成长"),3))*(VLOOKUP($B$5,标准坦克设计!$B$14:$K$20,9)/30))</f>
        <v>11.540023088560201</v>
      </c>
      <c r="AM19" s="172">
        <f ca="1">(VLOOKUP(AM$13,INDIRECT($C$5&amp;"生成成长"),2))/((VLOOKUP($Q19,INDIRECT($B$5&amp;"生成成长"),4))/(VLOOKUP(AM$13,INDIRECT($C$5&amp;"生成成长"),5))*(VLOOKUP($B$5,标准坦克设计!$B$24:$U$30,MATCH("对"&amp;LEFT($C$5,2)&amp;"输出",标准坦克设计!$B$23:$U$23,0)))*(VLOOKUP($Q19,INDIRECT($B$5&amp;"生成成长"),3))*(VLOOKUP($B$5,标准坦克设计!$B$14:$K$20,9)/30))</f>
        <v>43.591056256937101</v>
      </c>
    </row>
    <row r="20" spans="1:39" x14ac:dyDescent="0.15">
      <c r="A20" s="170" t="str">
        <f t="shared" si="1"/>
        <v>T3中品质</v>
      </c>
      <c r="B20" s="171">
        <v>20301</v>
      </c>
      <c r="C20" s="172">
        <f ca="1">(VLOOKUP(C$13,INDIRECT($C$5&amp;"生成成长"),2))/((VLOOKUP($B20,INDIRECT($B$5&amp;"生成成长"),4))/(VLOOKUP(C$13,INDIRECT($C$5&amp;"生成成长"),5))*(VLOOKUP($B$5,标准坦克设计!$B$24:$U$30,MATCH("对"&amp;LEFT($C$5,2)&amp;"输出",标准坦克设计!$B$23:$U$23,0)))*(VLOOKUP($B20,INDIRECT($B$5&amp;"生成成长"),3))*(VLOOKUP($B$5,标准坦克设计!$B$14:$K$20,9)/30))</f>
        <v>4.068429603869018</v>
      </c>
      <c r="D20" s="172">
        <f ca="1">(VLOOKUP(D$13,INDIRECT($C$5&amp;"生成成长"),2))/((VLOOKUP($B20,INDIRECT($B$5&amp;"生成成长"),4))/(VLOOKUP(D$13,INDIRECT($C$5&amp;"生成成长"),5))*(VLOOKUP($B$5,标准坦克设计!$B$24:$U$30,MATCH("对"&amp;LEFT($C$5,2)&amp;"输出",标准坦克设计!$B$23:$U$23,0)))*(VLOOKUP($B20,INDIRECT($B$5&amp;"生成成长"),3))*(VLOOKUP($B$5,标准坦克设计!$B$14:$K$20,9)/30))</f>
        <v>5.4744788749661506</v>
      </c>
      <c r="E20" s="172">
        <f ca="1">(VLOOKUP(E$13,INDIRECT($C$5&amp;"生成成长"),2))/((VLOOKUP($B20,INDIRECT($B$5&amp;"生成成长"),4))/(VLOOKUP(E$13,INDIRECT($C$5&amp;"生成成长"),5))*(VLOOKUP($B$5,标准坦克设计!$B$24:$U$30,MATCH("对"&amp;LEFT($C$5,2)&amp;"输出",标准坦克设计!$B$23:$U$23,0)))*(VLOOKUP($B20,INDIRECT($B$5&amp;"生成成长"),3))*(VLOOKUP($B$5,标准坦克设计!$B$14:$K$20,9)/30))</f>
        <v>8.3195316969517545</v>
      </c>
      <c r="F20" s="172">
        <f ca="1">(VLOOKUP(F$13,INDIRECT($C$5&amp;"生成成长"),2))/((VLOOKUP($B20,INDIRECT($B$5&amp;"生成成长"),4))/(VLOOKUP(F$13,INDIRECT($C$5&amp;"生成成长"),5))*(VLOOKUP($B$5,标准坦克设计!$B$24:$U$30,MATCH("对"&amp;LEFT($C$5,2)&amp;"输出",标准坦克设计!$B$23:$U$23,0)))*(VLOOKUP($B20,INDIRECT($B$5&amp;"生成成长"),3))*(VLOOKUP($B$5,标准坦克设计!$B$14:$K$20,9)/30))</f>
        <v>13.624763900396953</v>
      </c>
      <c r="G20" s="172">
        <f ca="1">(VLOOKUP(G$13,INDIRECT($C$5&amp;"生成成长"),2))/((VLOOKUP($B20,INDIRECT($B$5&amp;"生成成长"),4))/(VLOOKUP(G$13,INDIRECT($C$5&amp;"生成成长"),5))*(VLOOKUP($B$5,标准坦克设计!$B$24:$U$30,MATCH("对"&amp;LEFT($C$5,2)&amp;"输出",标准坦克设计!$B$23:$U$23,0)))*(VLOOKUP($B20,INDIRECT($B$5&amp;"生成成长"),3))*(VLOOKUP($B$5,标准坦克设计!$B$14:$K$20,9)/30))</f>
        <v>5.6648813804272198</v>
      </c>
      <c r="H20" s="172">
        <f ca="1">(VLOOKUP(H$13,INDIRECT($C$5&amp;"生成成长"),2))/((VLOOKUP($B20,INDIRECT($B$5&amp;"生成成长"),4))/(VLOOKUP(H$13,INDIRECT($C$5&amp;"生成成长"),5))*(VLOOKUP($B$5,标准坦克设计!$B$24:$U$30,MATCH("对"&amp;LEFT($C$5,2)&amp;"输出",标准坦克设计!$B$23:$U$23,0)))*(VLOOKUP($B20,INDIRECT($B$5&amp;"生成成长"),3))*(VLOOKUP($B$5,标准坦克设计!$B$14:$K$20,9)/30))</f>
        <v>8.6722645436071986</v>
      </c>
      <c r="I20" s="172">
        <f ca="1">(VLOOKUP(I$13,INDIRECT($C$5&amp;"生成成长"),2))/((VLOOKUP($B20,INDIRECT($B$5&amp;"生成成长"),4))/(VLOOKUP(I$13,INDIRECT($C$5&amp;"生成成长"),5))*(VLOOKUP($B$5,标准坦克设计!$B$24:$U$30,MATCH("对"&amp;LEFT($C$5,2)&amp;"输出",标准坦克设计!$B$23:$U$23,0)))*(VLOOKUP($B20,INDIRECT($B$5&amp;"生成成长"),3))*(VLOOKUP($B$5,标准坦克设计!$B$14:$K$20,9)/30))</f>
        <v>14.226891481769568</v>
      </c>
      <c r="J20" s="172">
        <f ca="1">(VLOOKUP(J$13,INDIRECT($C$5&amp;"生成成长"),2))/((VLOOKUP($B20,INDIRECT($B$5&amp;"生成成长"),4))/(VLOOKUP(J$13,INDIRECT($C$5&amp;"生成成长"),5))*(VLOOKUP($B$5,标准坦克设计!$B$24:$U$30,MATCH("对"&amp;LEFT($C$5,2)&amp;"输出",标准坦克设计!$B$23:$U$23,0)))*(VLOOKUP($B20,INDIRECT($B$5&amp;"生成成长"),3))*(VLOOKUP($B$5,标准坦克设计!$B$14:$K$20,9)/30))</f>
        <v>24.02366996788616</v>
      </c>
      <c r="K20" s="172">
        <f ca="1">(VLOOKUP(K$13,INDIRECT($C$5&amp;"生成成长"),2))/((VLOOKUP($B20,INDIRECT($B$5&amp;"生成成长"),4))/(VLOOKUP(K$13,INDIRECT($C$5&amp;"生成成长"),5))*(VLOOKUP($B$5,标准坦克设计!$B$24:$U$30,MATCH("对"&amp;LEFT($C$5,2)&amp;"输出",标准坦克设计!$B$23:$U$23,0)))*(VLOOKUP($B20,INDIRECT($B$5&amp;"生成成长"),3))*(VLOOKUP($B$5,标准坦克设计!$B$14:$K$20,9)/30))</f>
        <v>9.0323205635496056</v>
      </c>
      <c r="L20" s="172">
        <f ca="1">(VLOOKUP(L$13,INDIRECT($C$5&amp;"生成成长"),2))/((VLOOKUP($B20,INDIRECT($B$5&amp;"生成成长"),4))/(VLOOKUP(L$13,INDIRECT($C$5&amp;"生成成长"),5))*(VLOOKUP($B$5,标准坦克设计!$B$24:$U$30,MATCH("对"&amp;LEFT($C$5,2)&amp;"输出",标准坦克设计!$B$23:$U$23,0)))*(VLOOKUP($B20,INDIRECT($B$5&amp;"生成成长"),3))*(VLOOKUP($B$5,标准坦克设计!$B$14:$K$20,9)/30))</f>
        <v>14.842038037874563</v>
      </c>
      <c r="M20" s="172">
        <f ca="1">(VLOOKUP(M$13,INDIRECT($C$5&amp;"生成成长"),2))/((VLOOKUP($B20,INDIRECT($B$5&amp;"生成成长"),4))/(VLOOKUP(M$13,INDIRECT($C$5&amp;"生成成长"),5))*(VLOOKUP($B$5,标准坦克设计!$B$24:$U$30,MATCH("对"&amp;LEFT($C$5,2)&amp;"输出",标准坦克设计!$B$23:$U$23,0)))*(VLOOKUP($B20,INDIRECT($B$5&amp;"生成成长"),3))*(VLOOKUP($B$5,标准坦克设计!$B$14:$K$20,9)/30))</f>
        <v>25.022469435636001</v>
      </c>
      <c r="P20" s="174" t="str">
        <f>"T"&amp;LEFT(RIGHT(Q20,3),1)&amp;""&amp;IF(LEFT(Q20,1)="1","低",IF(LEFT(Q20,1)="2","中","高"))&amp;"初"</f>
        <v>T4低初</v>
      </c>
      <c r="Q20" s="178">
        <v>10401</v>
      </c>
      <c r="R20" s="172">
        <f ca="1">(VLOOKUP(R$13,INDIRECT($C$5&amp;"生成成长"),2))/((VLOOKUP($Q20,INDIRECT($B$5&amp;"生成成长"),4))/(VLOOKUP(R$13,INDIRECT($C$5&amp;"生成成长"),5))*(VLOOKUP($B$5,标准坦克设计!$B$24:$U$30,MATCH("对"&amp;LEFT($C$5,2)&amp;"输出",标准坦克设计!$B$23:$U$23,0)))*(VLOOKUP($Q20,INDIRECT($B$5&amp;"生成成长"),3))*(VLOOKUP($B$5,标准坦克设计!$B$14:$K$20,9)/30))</f>
        <v>2.5925979212612749</v>
      </c>
      <c r="S20" s="172">
        <f ca="1">(VLOOKUP(S$13,INDIRECT($C$5&amp;"生成成长"),2))/((VLOOKUP($Q20,INDIRECT($B$5&amp;"生成成长"),4))/(VLOOKUP(S$13,INDIRECT($C$5&amp;"生成成长"),5))*(VLOOKUP($B$5,标准坦克设计!$B$24:$U$30,MATCH("对"&amp;LEFT($C$5,2)&amp;"输出",标准坦克设计!$B$23:$U$23,0)))*(VLOOKUP($Q20,INDIRECT($B$5&amp;"生成成长"),3))*(VLOOKUP($B$5,标准坦克设计!$B$14:$K$20,9)/30))</f>
        <v>3.9863785637313365</v>
      </c>
      <c r="T20" s="172">
        <f ca="1">(VLOOKUP(T$13,INDIRECT($C$5&amp;"生成成长"),2))/((VLOOKUP($Q20,INDIRECT($B$5&amp;"生成成长"),4))/(VLOOKUP(T$13,INDIRECT($C$5&amp;"生成成长"),5))*(VLOOKUP($B$5,标准坦克设计!$B$24:$U$30,MATCH("对"&amp;LEFT($C$5,2)&amp;"输出",标准坦克设计!$B$23:$U$23,0)))*(VLOOKUP($Q20,INDIRECT($B$5&amp;"生成成长"),3))*(VLOOKUP($B$5,标准坦克设计!$B$14:$K$20,9)/30))</f>
        <v>3.4885997628491716</v>
      </c>
      <c r="U20" s="172">
        <f ca="1">(VLOOKUP(U$13,INDIRECT($C$5&amp;"生成成长"),2))/((VLOOKUP($Q20,INDIRECT($B$5&amp;"生成成长"),4))/(VLOOKUP(U$13,INDIRECT($C$5&amp;"生成成长"),5))*(VLOOKUP($B$5,标准坦克设计!$B$24:$U$30,MATCH("对"&amp;LEFT($C$5,2)&amp;"输出",标准坦克设计!$B$23:$U$23,0)))*(VLOOKUP($Q20,INDIRECT($B$5&amp;"生成成长"),3))*(VLOOKUP($B$5,标准坦克设计!$B$14:$K$20,9)/30))</f>
        <v>6.9730513690243248</v>
      </c>
      <c r="V20" s="172">
        <f ca="1">(VLOOKUP(V$13,INDIRECT($C$5&amp;"生成成长"),2))/((VLOOKUP($Q20,INDIRECT($B$5&amp;"生成成长"),4))/(VLOOKUP(V$13,INDIRECT($C$5&amp;"生成成长"),5))*(VLOOKUP($B$5,标准坦克设计!$B$24:$U$30,MATCH("对"&amp;LEFT($C$5,2)&amp;"输出",标准坦克设计!$B$23:$U$23,0)))*(VLOOKUP($Q20,INDIRECT($B$5&amp;"生成成长"),3))*(VLOOKUP($B$5,标准坦克设计!$B$14:$K$20,9)/30))</f>
        <v>5.3016034891871806</v>
      </c>
      <c r="W20" s="172">
        <f ca="1">(VLOOKUP(W$13,INDIRECT($C$5&amp;"生成成长"),2))/((VLOOKUP($Q20,INDIRECT($B$5&amp;"生成成长"),4))/(VLOOKUP(W$13,INDIRECT($C$5&amp;"生成成长"),5))*(VLOOKUP($B$5,标准坦克设计!$B$24:$U$30,MATCH("对"&amp;LEFT($C$5,2)&amp;"输出",标准坦克设计!$B$23:$U$23,0)))*(VLOOKUP($Q20,INDIRECT($B$5&amp;"生成成长"),3))*(VLOOKUP($B$5,标准坦克设计!$B$14:$K$20,9)/30))</f>
        <v>11.984283891030243</v>
      </c>
      <c r="X20" s="172">
        <f ca="1">(VLOOKUP(X$13,INDIRECT($C$5&amp;"生成成长"),2))/((VLOOKUP($Q20,INDIRECT($B$5&amp;"生成成长"),4))/(VLOOKUP(X$13,INDIRECT($C$5&amp;"生成成长"),5))*(VLOOKUP($B$5,标准坦克设计!$B$24:$U$30,MATCH("对"&amp;LEFT($C$5,2)&amp;"输出",标准坦克设计!$B$23:$U$23,0)))*(VLOOKUP($Q20,INDIRECT($B$5&amp;"生成成长"),3))*(VLOOKUP($B$5,标准坦克设计!$B$14:$K$20,9)/30))</f>
        <v>8.682351178511885</v>
      </c>
      <c r="Y20" s="172">
        <f ca="1">(VLOOKUP(Y$13,INDIRECT($C$5&amp;"生成成长"),2))/((VLOOKUP($Q20,INDIRECT($B$5&amp;"生成成长"),4))/(VLOOKUP(Y$13,INDIRECT($C$5&amp;"生成成长"),5))*(VLOOKUP($B$5,标准坦克设计!$B$24:$U$30,MATCH("对"&amp;LEFT($C$5,2)&amp;"输出",标准坦克设计!$B$23:$U$23,0)))*(VLOOKUP($Q20,INDIRECT($B$5&amp;"生成成长"),3))*(VLOOKUP($B$5,标准坦克设计!$B$14:$K$20,9)/30))</f>
        <v>20.763857491589427</v>
      </c>
      <c r="Z20" s="172">
        <f ca="1">(VLOOKUP(Z$13,INDIRECT($C$5&amp;"生成成长"),2))/((VLOOKUP($Q20,INDIRECT($B$5&amp;"生成成长"),4))/(VLOOKUP(Z$13,INDIRECT($C$5&amp;"生成成长"),5))*(VLOOKUP($B$5,标准坦克设计!$B$24:$U$30,MATCH("对"&amp;LEFT($C$5,2)&amp;"输出",标准坦克设计!$B$23:$U$23,0)))*(VLOOKUP($Q20,INDIRECT($B$5&amp;"生成成长"),3))*(VLOOKUP($B$5,标准坦克设计!$B$14:$K$20,9)/30))</f>
        <v>3.6099333455641993</v>
      </c>
      <c r="AA20" s="172">
        <f ca="1">(VLOOKUP(AA$13,INDIRECT($C$5&amp;"生成成长"),2))/((VLOOKUP($Q20,INDIRECT($B$5&amp;"生成成长"),4))/(VLOOKUP(AA$13,INDIRECT($C$5&amp;"生成成长"),5))*(VLOOKUP($B$5,标准坦克设计!$B$24:$U$30,MATCH("对"&amp;LEFT($C$5,2)&amp;"输出",标准坦克设计!$B$23:$U$23,0)))*(VLOOKUP($Q20,INDIRECT($B$5&amp;"生成成长"),3))*(VLOOKUP($B$5,标准坦克设计!$B$14:$K$20,9)/30))</f>
        <v>11.433356832762222</v>
      </c>
      <c r="AB20" s="172">
        <f ca="1">(VLOOKUP(AB$13,INDIRECT($C$5&amp;"生成成长"),2))/((VLOOKUP($Q20,INDIRECT($B$5&amp;"生成成长"),4))/(VLOOKUP(AB$13,INDIRECT($C$5&amp;"生成成长"),5))*(VLOOKUP($B$5,标准坦克设计!$B$24:$U$30,MATCH("对"&amp;LEFT($C$5,2)&amp;"输出",标准坦克设计!$B$23:$U$23,0)))*(VLOOKUP($Q20,INDIRECT($B$5&amp;"生成成长"),3))*(VLOOKUP($B$5,标准坦克设计!$B$14:$K$20,9)/30))</f>
        <v>5.5263817289605353</v>
      </c>
      <c r="AC20" s="172">
        <f ca="1">(VLOOKUP(AC$13,INDIRECT($C$5&amp;"生成成长"),2))/((VLOOKUP($Q20,INDIRECT($B$5&amp;"生成成长"),4))/(VLOOKUP(AC$13,INDIRECT($C$5&amp;"生成成长"),5))*(VLOOKUP($B$5,标准坦克设计!$B$24:$U$30,MATCH("对"&amp;LEFT($C$5,2)&amp;"输出",标准坦克设计!$B$23:$U$23,0)))*(VLOOKUP($Q20,INDIRECT($B$5&amp;"生成成长"),3))*(VLOOKUP($B$5,标准坦克设计!$B$14:$K$20,9)/30))</f>
        <v>19.892744590045638</v>
      </c>
      <c r="AD20" s="172">
        <f ca="1">(VLOOKUP(AD$13,INDIRECT($C$5&amp;"生成成长"),2))/((VLOOKUP($Q20,INDIRECT($B$5&amp;"生成成长"),4))/(VLOOKUP(AD$13,INDIRECT($C$5&amp;"生成成长"),5))*(VLOOKUP($B$5,标准坦克设计!$B$24:$U$30,MATCH("对"&amp;LEFT($C$5,2)&amp;"输出",标准坦克设计!$B$23:$U$23,0)))*(VLOOKUP($Q20,INDIRECT($B$5&amp;"生成成长"),3))*(VLOOKUP($B$5,标准坦克设计!$B$14:$K$20,9)/30))</f>
        <v>9.0660556708585531</v>
      </c>
      <c r="AE20" s="172">
        <f ca="1">(VLOOKUP(AE$13,INDIRECT($C$5&amp;"生成成长"),2))/((VLOOKUP($Q20,INDIRECT($B$5&amp;"生成成长"),4))/(VLOOKUP(AE$13,INDIRECT($C$5&amp;"生成成长"),5))*(VLOOKUP($B$5,标准坦克设计!$B$24:$U$30,MATCH("对"&amp;LEFT($C$5,2)&amp;"输出",标准坦克设计!$B$23:$U$23,0)))*(VLOOKUP($Q20,INDIRECT($B$5&amp;"生成成长"),3))*(VLOOKUP($B$5,标准坦克设计!$B$14:$K$20,9)/30))</f>
        <v>34.162403548667697</v>
      </c>
      <c r="AF20" s="172">
        <f ca="1">(VLOOKUP(AF$13,INDIRECT($C$5&amp;"生成成长"),2))/((VLOOKUP($Q20,INDIRECT($B$5&amp;"生成成长"),4))/(VLOOKUP(AF$13,INDIRECT($C$5&amp;"生成成长"),5))*(VLOOKUP($B$5,标准坦克设计!$B$24:$U$30,MATCH("对"&amp;LEFT($C$5,2)&amp;"输出",标准坦克设计!$B$23:$U$23,0)))*(VLOOKUP($Q20,INDIRECT($B$5&amp;"生成成长"),3))*(VLOOKUP($B$5,标准坦克设计!$B$14:$K$20,9)/30))</f>
        <v>15.309031465255703</v>
      </c>
      <c r="AG20" s="172">
        <f ca="1">(VLOOKUP(AG$13,INDIRECT($C$5&amp;"生成成长"),2))/((VLOOKUP($Q20,INDIRECT($B$5&amp;"生成成长"),4))/(VLOOKUP(AG$13,INDIRECT($C$5&amp;"生成成长"),5))*(VLOOKUP($B$5,标准坦克设计!$B$24:$U$30,MATCH("对"&amp;LEFT($C$5,2)&amp;"输出",标准坦克设计!$B$23:$U$23,0)))*(VLOOKUP($Q20,INDIRECT($B$5&amp;"生成成长"),3))*(VLOOKUP($B$5,标准坦克设计!$B$14:$K$20,9)/30))</f>
        <v>57.270488080661572</v>
      </c>
      <c r="AH20" s="172">
        <f ca="1">(VLOOKUP(AH$13,INDIRECT($C$5&amp;"生成成长"),2))/((VLOOKUP($Q20,INDIRECT($B$5&amp;"生成成长"),4))/(VLOOKUP(AH$13,INDIRECT($C$5&amp;"生成成长"),5))*(VLOOKUP($B$5,标准坦克设计!$B$24:$U$30,MATCH("对"&amp;LEFT($C$5,2)&amp;"输出",标准坦克设计!$B$23:$U$23,0)))*(VLOOKUP($Q20,INDIRECT($B$5&amp;"生成成长"),3))*(VLOOKUP($B$5,标准坦克设计!$B$14:$K$20,9)/30))</f>
        <v>5.7558266449921573</v>
      </c>
      <c r="AI20" s="172">
        <f ca="1">(VLOOKUP(AI$13,INDIRECT($C$5&amp;"生成成长"),2))/((VLOOKUP($Q20,INDIRECT($B$5&amp;"生成成长"),4))/(VLOOKUP(AI$13,INDIRECT($C$5&amp;"生成成长"),5))*(VLOOKUP($B$5,标准坦克设计!$B$24:$U$30,MATCH("对"&amp;LEFT($C$5,2)&amp;"输出",标准坦克设计!$B$23:$U$23,0)))*(VLOOKUP($Q20,INDIRECT($B$5&amp;"生成成长"),3))*(VLOOKUP($B$5,标准坦克设计!$B$14:$K$20,9)/30))</f>
        <v>21.058376615444708</v>
      </c>
      <c r="AJ20" s="172">
        <f ca="1">(VLOOKUP(AJ$13,INDIRECT($C$5&amp;"生成成长"),2))/((VLOOKUP($Q20,INDIRECT($B$5&amp;"生成成长"),4))/(VLOOKUP(AJ$13,INDIRECT($C$5&amp;"生成成长"),5))*(VLOOKUP($B$5,标准坦克设计!$B$24:$U$30,MATCH("对"&amp;LEFT($C$5,2)&amp;"输出",标准坦克设计!$B$23:$U$23,0)))*(VLOOKUP($Q20,INDIRECT($B$5&amp;"生成成长"),3))*(VLOOKUP($B$5,标准坦克设计!$B$14:$K$20,9)/30))</f>
        <v>9.4580564765532582</v>
      </c>
      <c r="AK20" s="172">
        <f ca="1">(VLOOKUP(AK$13,INDIRECT($C$5&amp;"生成成长"),2))/((VLOOKUP($Q20,INDIRECT($B$5&amp;"生成成长"),4))/(VLOOKUP(AK$13,INDIRECT($C$5&amp;"生成成长"),5))*(VLOOKUP($B$5,标准坦克设计!$B$24:$U$30,MATCH("对"&amp;LEFT($C$5,2)&amp;"输出",标准坦克设计!$B$23:$U$23,0)))*(VLOOKUP($Q20,INDIRECT($B$5&amp;"生成成长"),3))*(VLOOKUP($B$5,标准坦克设计!$B$14:$K$20,9)/30))</f>
        <v>36.070555618715993</v>
      </c>
      <c r="AL20" s="172">
        <f ca="1">(VLOOKUP(AL$13,INDIRECT($C$5&amp;"生成成长"),2))/((VLOOKUP($Q20,INDIRECT($B$5&amp;"生成成长"),4))/(VLOOKUP(AL$13,INDIRECT($C$5&amp;"生成成长"),5))*(VLOOKUP($B$5,标准坦克设计!$B$24:$U$30,MATCH("对"&amp;LEFT($C$5,2)&amp;"输出",标准坦克设计!$B$23:$U$23,0)))*(VLOOKUP($Q20,INDIRECT($B$5&amp;"生成成长"),3))*(VLOOKUP($B$5,标准坦克设计!$B$14:$K$20,9)/30))</f>
        <v>15.945514254925346</v>
      </c>
      <c r="AM20" s="172">
        <f ca="1">(VLOOKUP(AM$13,INDIRECT($C$5&amp;"生成成长"),2))/((VLOOKUP($Q20,INDIRECT($B$5&amp;"生成成长"),4))/(VLOOKUP(AM$13,INDIRECT($C$5&amp;"生成成长"),5))*(VLOOKUP($B$5,标准坦克设计!$B$24:$U$30,MATCH("对"&amp;LEFT($C$5,2)&amp;"输出",标准坦克设计!$B$23:$U$23,0)))*(VLOOKUP($Q20,INDIRECT($B$5&amp;"生成成长"),3))*(VLOOKUP($B$5,标准坦克设计!$B$14:$K$20,9)/30))</f>
        <v>60.232271945910455</v>
      </c>
    </row>
    <row r="21" spans="1:39" x14ac:dyDescent="0.15">
      <c r="A21" s="170" t="str">
        <f t="shared" si="1"/>
        <v>T4中品质</v>
      </c>
      <c r="B21" s="171">
        <v>20401</v>
      </c>
      <c r="C21" s="172">
        <f ca="1">(VLOOKUP(C$13,INDIRECT($C$5&amp;"生成成长"),2))/((VLOOKUP($B21,INDIRECT($B$5&amp;"生成成长"),4))/(VLOOKUP(C$13,INDIRECT($C$5&amp;"生成成长"),5))*(VLOOKUP($B$5,标准坦克设计!$B$24:$U$30,MATCH("对"&amp;LEFT($C$5,2)&amp;"输出",标准坦克设计!$B$23:$U$23,0)))*(VLOOKUP($B21,INDIRECT($B$5&amp;"生成成长"),3))*(VLOOKUP($B$5,标准坦克设计!$B$14:$K$20,9)/30))</f>
        <v>2.4748801454984846</v>
      </c>
      <c r="D21" s="172">
        <f ca="1">(VLOOKUP(D$13,INDIRECT($C$5&amp;"生成成长"),2))/((VLOOKUP($B21,INDIRECT($B$5&amp;"生成成长"),4))/(VLOOKUP(D$13,INDIRECT($C$5&amp;"生成成长"),5))*(VLOOKUP($B$5,标准坦克设计!$B$24:$U$30,MATCH("对"&amp;LEFT($C$5,2)&amp;"输出",标准坦克设计!$B$23:$U$23,0)))*(VLOOKUP($B21,INDIRECT($B$5&amp;"生成成长"),3))*(VLOOKUP($B$5,标准坦克设计!$B$14:$K$20,9)/30))</f>
        <v>3.3301987237827615</v>
      </c>
      <c r="E21" s="172">
        <f ca="1">(VLOOKUP(E$13,INDIRECT($C$5&amp;"生成成长"),2))/((VLOOKUP($B21,INDIRECT($B$5&amp;"生成成长"),4))/(VLOOKUP(E$13,INDIRECT($C$5&amp;"生成成长"),5))*(VLOOKUP($B$5,标准坦克设计!$B$24:$U$30,MATCH("对"&amp;LEFT($C$5,2)&amp;"输出",标准坦克设计!$B$23:$U$23,0)))*(VLOOKUP($B21,INDIRECT($B$5&amp;"生成成长"),3))*(VLOOKUP($B$5,标准坦克设计!$B$14:$K$20,9)/30))</f>
        <v>5.0608824095298521</v>
      </c>
      <c r="F21" s="172">
        <f ca="1">(VLOOKUP(F$13,INDIRECT($C$5&amp;"生成成长"),2))/((VLOOKUP($B21,INDIRECT($B$5&amp;"生成成长"),4))/(VLOOKUP(F$13,INDIRECT($C$5&amp;"生成成长"),5))*(VLOOKUP($B$5,标准坦克设计!$B$24:$U$30,MATCH("对"&amp;LEFT($C$5,2)&amp;"输出",标准坦克设计!$B$23:$U$23,0)))*(VLOOKUP($B21,INDIRECT($B$5&amp;"生成成长"),3))*(VLOOKUP($B$5,标准坦克设计!$B$14:$K$20,9)/30))</f>
        <v>8.288126119259875</v>
      </c>
      <c r="G21" s="172">
        <f ca="1">(VLOOKUP(G$13,INDIRECT($C$5&amp;"生成成长"),2))/((VLOOKUP($B21,INDIRECT($B$5&amp;"生成成长"),4))/(VLOOKUP(G$13,INDIRECT($C$5&amp;"生成成长"),5))*(VLOOKUP($B$5,标准坦克设计!$B$24:$U$30,MATCH("对"&amp;LEFT($C$5,2)&amp;"输出",标准坦克设计!$B$23:$U$23,0)))*(VLOOKUP($B21,INDIRECT($B$5&amp;"生成成长"),3))*(VLOOKUP($B$5,标准坦克设计!$B$14:$K$20,9)/30))</f>
        <v>3.4460231145920903</v>
      </c>
      <c r="H21" s="172">
        <f ca="1">(VLOOKUP(H$13,INDIRECT($C$5&amp;"生成成长"),2))/((VLOOKUP($B21,INDIRECT($B$5&amp;"生成成长"),4))/(VLOOKUP(H$13,INDIRECT($C$5&amp;"生成成长"),5))*(VLOOKUP($B$5,标准坦克设计!$B$24:$U$30,MATCH("对"&amp;LEFT($C$5,2)&amp;"输出",标准坦克设计!$B$23:$U$23,0)))*(VLOOKUP($B21,INDIRECT($B$5&amp;"生成成长"),3))*(VLOOKUP($B$5,标准坦克设计!$B$14:$K$20,9)/30))</f>
        <v>5.2754545181445716</v>
      </c>
      <c r="I21" s="172">
        <f ca="1">(VLOOKUP(I$13,INDIRECT($C$5&amp;"生成成长"),2))/((VLOOKUP($B21,INDIRECT($B$5&amp;"生成成长"),4))/(VLOOKUP(I$13,INDIRECT($C$5&amp;"生成成长"),5))*(VLOOKUP($B$5,标准坦克设计!$B$24:$U$30,MATCH("对"&amp;LEFT($C$5,2)&amp;"输出",标准坦克设计!$B$23:$U$23,0)))*(VLOOKUP($B21,INDIRECT($B$5&amp;"生成成长"),3))*(VLOOKUP($B$5,标准坦克设计!$B$14:$K$20,9)/30))</f>
        <v>8.6544083807936527</v>
      </c>
      <c r="J21" s="172">
        <f ca="1">(VLOOKUP(J$13,INDIRECT($C$5&amp;"生成成长"),2))/((VLOOKUP($B21,INDIRECT($B$5&amp;"生成成长"),4))/(VLOOKUP(J$13,INDIRECT($C$5&amp;"生成成长"),5))*(VLOOKUP($B$5,标准坦克设计!$B$24:$U$30,MATCH("对"&amp;LEFT($C$5,2)&amp;"输出",标准坦克设计!$B$23:$U$23,0)))*(VLOOKUP($B21,INDIRECT($B$5&amp;"生成成长"),3))*(VLOOKUP($B$5,标准坦克设计!$B$14:$K$20,9)/30))</f>
        <v>14.613919771154002</v>
      </c>
      <c r="K21" s="172">
        <f ca="1">(VLOOKUP(K$13,INDIRECT($C$5&amp;"生成成长"),2))/((VLOOKUP($B21,INDIRECT($B$5&amp;"生成成长"),4))/(VLOOKUP(K$13,INDIRECT($C$5&amp;"生成成长"),5))*(VLOOKUP($B$5,标准坦克设计!$B$24:$U$30,MATCH("对"&amp;LEFT($C$5,2)&amp;"输出",标准坦克设计!$B$23:$U$23,0)))*(VLOOKUP($B21,INDIRECT($B$5&amp;"生成成长"),3))*(VLOOKUP($B$5,标准坦克设计!$B$14:$K$20,9)/30))</f>
        <v>5.4944814110211855</v>
      </c>
      <c r="L21" s="172">
        <f ca="1">(VLOOKUP(L$13,INDIRECT($C$5&amp;"生成成长"),2))/((VLOOKUP($B21,INDIRECT($B$5&amp;"生成成长"),4))/(VLOOKUP(L$13,INDIRECT($C$5&amp;"生成成长"),5))*(VLOOKUP($B$5,标准坦克设计!$B$24:$U$30,MATCH("对"&amp;LEFT($C$5,2)&amp;"输出",标准坦克设计!$B$23:$U$23,0)))*(VLOOKUP($B21,INDIRECT($B$5&amp;"生成成长"),3))*(VLOOKUP($B$5,标准坦克设计!$B$14:$K$20,9)/30))</f>
        <v>9.028610258793023</v>
      </c>
      <c r="M21" s="172">
        <f ca="1">(VLOOKUP(M$13,INDIRECT($C$5&amp;"生成成长"),2))/((VLOOKUP($B21,INDIRECT($B$5&amp;"生成成长"),4))/(VLOOKUP(M$13,INDIRECT($C$5&amp;"生成成长"),5))*(VLOOKUP($B$5,标准坦克设计!$B$24:$U$30,MATCH("对"&amp;LEFT($C$5,2)&amp;"输出",标准坦克设计!$B$23:$U$23,0)))*(VLOOKUP($B21,INDIRECT($B$5&amp;"生成成长"),3))*(VLOOKUP($B$5,标准坦克设计!$B$14:$K$20,9)/30))</f>
        <v>15.221502846873884</v>
      </c>
      <c r="P21" s="174" t="str">
        <f>"T"&amp;LEFT(RIGHT(Q21,3),1)&amp;""&amp;IF(LEFT(Q21,1)="1","低",IF(LEFT(Q21,1)="2","中","高"))&amp;"满"</f>
        <v>T4低满</v>
      </c>
      <c r="Q21" s="178">
        <v>10411</v>
      </c>
      <c r="R21" s="172">
        <f ca="1">(VLOOKUP(R$13,INDIRECT($C$5&amp;"生成成长"),2))/((VLOOKUP($Q21,INDIRECT($B$5&amp;"生成成长"),4))/(VLOOKUP(R$13,INDIRECT($C$5&amp;"生成成长"),5))*(VLOOKUP($B$5,标准坦克设计!$B$24:$U$30,MATCH("对"&amp;LEFT($C$5,2)&amp;"输出",标准坦克设计!$B$23:$U$23,0)))*(VLOOKUP($Q21,INDIRECT($B$5&amp;"生成成长"),3))*(VLOOKUP($B$5,标准坦克设计!$B$14:$K$20,9)/30))</f>
        <v>1.0835821442003408</v>
      </c>
      <c r="S21" s="172">
        <f ca="1">(VLOOKUP(S$13,INDIRECT($C$5&amp;"生成成长"),2))/((VLOOKUP($Q21,INDIRECT($B$5&amp;"生成成长"),4))/(VLOOKUP(S$13,INDIRECT($C$5&amp;"生成成长"),5))*(VLOOKUP($B$5,标准坦克设计!$B$24:$U$30,MATCH("对"&amp;LEFT($C$5,2)&amp;"输出",标准坦克设计!$B$23:$U$23,0)))*(VLOOKUP($Q21,INDIRECT($B$5&amp;"生成成长"),3))*(VLOOKUP($B$5,标准坦克设计!$B$14:$K$20,9)/30))</f>
        <v>1.6661159049224439</v>
      </c>
      <c r="T21" s="172">
        <f ca="1">(VLOOKUP(T$13,INDIRECT($C$5&amp;"生成成长"),2))/((VLOOKUP($Q21,INDIRECT($B$5&amp;"生成成长"),4))/(VLOOKUP(T$13,INDIRECT($C$5&amp;"生成成长"),5))*(VLOOKUP($B$5,标准坦克设计!$B$24:$U$30,MATCH("对"&amp;LEFT($C$5,2)&amp;"输出",标准坦克设计!$B$23:$U$23,0)))*(VLOOKUP($Q21,INDIRECT($B$5&amp;"生成成长"),3))*(VLOOKUP($B$5,标准坦克设计!$B$14:$K$20,9)/30))</f>
        <v>1.4580681332359784</v>
      </c>
      <c r="U21" s="172">
        <f ca="1">(VLOOKUP(U$13,INDIRECT($C$5&amp;"生成成长"),2))/((VLOOKUP($Q21,INDIRECT($B$5&amp;"生成成长"),4))/(VLOOKUP(U$13,INDIRECT($C$5&amp;"生成成长"),5))*(VLOOKUP($B$5,标准坦克设计!$B$24:$U$30,MATCH("对"&amp;LEFT($C$5,2)&amp;"输出",标准坦克设计!$B$23:$U$23,0)))*(VLOOKUP($Q21,INDIRECT($B$5&amp;"生成成长"),3))*(VLOOKUP($B$5,标准坦克设计!$B$14:$K$20,9)/30))</f>
        <v>2.9144025350412366</v>
      </c>
      <c r="V21" s="172">
        <f ca="1">(VLOOKUP(V$13,INDIRECT($C$5&amp;"生成成长"),2))/((VLOOKUP($Q21,INDIRECT($B$5&amp;"生成成长"),4))/(VLOOKUP(V$13,INDIRECT($C$5&amp;"生成成长"),5))*(VLOOKUP($B$5,标准坦克设计!$B$24:$U$30,MATCH("对"&amp;LEFT($C$5,2)&amp;"输出",标准坦克设计!$B$23:$U$23,0)))*(VLOOKUP($Q21,INDIRECT($B$5&amp;"生成成长"),3))*(VLOOKUP($B$5,标准坦克设计!$B$14:$K$20,9)/30))</f>
        <v>2.2158171266752764</v>
      </c>
      <c r="W21" s="172">
        <f ca="1">(VLOOKUP(W$13,INDIRECT($C$5&amp;"生成成长"),2))/((VLOOKUP($Q21,INDIRECT($B$5&amp;"生成成长"),4))/(VLOOKUP(W$13,INDIRECT($C$5&amp;"生成成长"),5))*(VLOOKUP($B$5,标准坦克设计!$B$24:$U$30,MATCH("对"&amp;LEFT($C$5,2)&amp;"输出",标准坦克设计!$B$23:$U$23,0)))*(VLOOKUP($Q21,INDIRECT($B$5&amp;"生成成长"),3))*(VLOOKUP($B$5,标准坦克设计!$B$14:$K$20,9)/30))</f>
        <v>5.0088584615660761</v>
      </c>
      <c r="X21" s="172">
        <f ca="1">(VLOOKUP(X$13,INDIRECT($C$5&amp;"生成成长"),2))/((VLOOKUP($Q21,INDIRECT($B$5&amp;"生成成长"),4))/(VLOOKUP(X$13,INDIRECT($C$5&amp;"生成成长"),5))*(VLOOKUP($B$5,标准坦克设计!$B$24:$U$30,MATCH("对"&amp;LEFT($C$5,2)&amp;"输出",标准坦克设计!$B$23:$U$23,0)))*(VLOOKUP($Q21,INDIRECT($B$5&amp;"生成成长"),3))*(VLOOKUP($B$5,标准坦克设计!$B$14:$K$20,9)/30))</f>
        <v>3.6288082427125214</v>
      </c>
      <c r="Y21" s="172">
        <f ca="1">(VLOOKUP(Y$13,INDIRECT($C$5&amp;"生成成长"),2))/((VLOOKUP($Q21,INDIRECT($B$5&amp;"生成成长"),4))/(VLOOKUP(Y$13,INDIRECT($C$5&amp;"生成成长"),5))*(VLOOKUP($B$5,标准坦克设计!$B$24:$U$30,MATCH("对"&amp;LEFT($C$5,2)&amp;"输出",标准坦克设计!$B$23:$U$23,0)))*(VLOOKUP($Q21,INDIRECT($B$5&amp;"生成成长"),3))*(VLOOKUP($B$5,标准坦克设计!$B$14:$K$20,9)/30))</f>
        <v>8.6783010346861094</v>
      </c>
      <c r="Z21" s="172">
        <f ca="1">(VLOOKUP(Z$13,INDIRECT($C$5&amp;"生成成长"),2))/((VLOOKUP($Q21,INDIRECT($B$5&amp;"生成成长"),4))/(VLOOKUP(Z$13,INDIRECT($C$5&amp;"生成成长"),5))*(VLOOKUP($B$5,标准坦克设计!$B$24:$U$30,MATCH("对"&amp;LEFT($C$5,2)&amp;"输出",标准坦克设计!$B$23:$U$23,0)))*(VLOOKUP($Q21,INDIRECT($B$5&amp;"生成成长"),3))*(VLOOKUP($B$5,标准坦克设计!$B$14:$K$20,9)/30))</f>
        <v>1.5087797775845546</v>
      </c>
      <c r="AA21" s="172">
        <f ca="1">(VLOOKUP(AA$13,INDIRECT($C$5&amp;"生成成长"),2))/((VLOOKUP($Q21,INDIRECT($B$5&amp;"生成成长"),4))/(VLOOKUP(AA$13,INDIRECT($C$5&amp;"生成成长"),5))*(VLOOKUP($B$5,标准坦克设计!$B$24:$U$30,MATCH("对"&amp;LEFT($C$5,2)&amp;"输出",标准坦克设计!$B$23:$U$23,0)))*(VLOOKUP($Q21,INDIRECT($B$5&amp;"生成成长"),3))*(VLOOKUP($B$5,标准坦克设计!$B$14:$K$20,9)/30))</f>
        <v>4.7785972559235024</v>
      </c>
      <c r="AB21" s="172">
        <f ca="1">(VLOOKUP(AB$13,INDIRECT($C$5&amp;"生成成长"),2))/((VLOOKUP($Q21,INDIRECT($B$5&amp;"生成成长"),4))/(VLOOKUP(AB$13,INDIRECT($C$5&amp;"生成成长"),5))*(VLOOKUP($B$5,标准坦克设计!$B$24:$U$30,MATCH("对"&amp;LEFT($C$5,2)&amp;"输出",标准坦克设计!$B$23:$U$23,0)))*(VLOOKUP($Q21,INDIRECT($B$5&amp;"生成成长"),3))*(VLOOKUP($B$5,标准坦克设计!$B$14:$K$20,9)/30))</f>
        <v>2.3097636985774463</v>
      </c>
      <c r="AC21" s="172">
        <f ca="1">(VLOOKUP(AC$13,INDIRECT($C$5&amp;"生成成长"),2))/((VLOOKUP($Q21,INDIRECT($B$5&amp;"生成成长"),4))/(VLOOKUP(AC$13,INDIRECT($C$5&amp;"生成成长"),5))*(VLOOKUP($B$5,标准坦克设计!$B$24:$U$30,MATCH("对"&amp;LEFT($C$5,2)&amp;"输出",标准坦克设计!$B$23:$U$23,0)))*(VLOOKUP($Q21,INDIRECT($B$5&amp;"生成成长"),3))*(VLOOKUP($B$5,标准坦克设计!$B$14:$K$20,9)/30))</f>
        <v>8.3142174342347932</v>
      </c>
      <c r="AD21" s="172">
        <f ca="1">(VLOOKUP(AD$13,INDIRECT($C$5&amp;"生成成长"),2))/((VLOOKUP($Q21,INDIRECT($B$5&amp;"生成成长"),4))/(VLOOKUP(AD$13,INDIRECT($C$5&amp;"生成成长"),5))*(VLOOKUP($B$5,标准坦克设计!$B$24:$U$30,MATCH("对"&amp;LEFT($C$5,2)&amp;"输出",标准坦克设计!$B$23:$U$23,0)))*(VLOOKUP($Q21,INDIRECT($B$5&amp;"生成成长"),3))*(VLOOKUP($B$5,标准坦克设计!$B$14:$K$20,9)/30))</f>
        <v>3.7891784000541717</v>
      </c>
      <c r="AE21" s="172">
        <f ca="1">(VLOOKUP(AE$13,INDIRECT($C$5&amp;"生成成长"),2))/((VLOOKUP($Q21,INDIRECT($B$5&amp;"生成成长"),4))/(VLOOKUP(AE$13,INDIRECT($C$5&amp;"生成成长"),5))*(VLOOKUP($B$5,标准坦克设计!$B$24:$U$30,MATCH("对"&amp;LEFT($C$5,2)&amp;"输出",标准坦克设计!$B$23:$U$23,0)))*(VLOOKUP($Q21,INDIRECT($B$5&amp;"生成成长"),3))*(VLOOKUP($B$5,标准坦克设计!$B$14:$K$20,9)/30))</f>
        <v>14.278253555913469</v>
      </c>
      <c r="AF21" s="172">
        <f ca="1">(VLOOKUP(AF$13,INDIRECT($C$5&amp;"生成成长"),2))/((VLOOKUP($Q21,INDIRECT($B$5&amp;"生成成长"),4))/(VLOOKUP(AF$13,INDIRECT($C$5&amp;"生成成长"),5))*(VLOOKUP($B$5,标准坦克设计!$B$24:$U$30,MATCH("对"&amp;LEFT($C$5,2)&amp;"输出",标准坦克设计!$B$23:$U$23,0)))*(VLOOKUP($Q21,INDIRECT($B$5&amp;"生成成长"),3))*(VLOOKUP($B$5,标准坦克设计!$B$14:$K$20,9)/30))</f>
        <v>6.3984442032885926</v>
      </c>
      <c r="AG21" s="172">
        <f ca="1">(VLOOKUP(AG$13,INDIRECT($C$5&amp;"生成成长"),2))/((VLOOKUP($Q21,INDIRECT($B$5&amp;"生成成长"),4))/(VLOOKUP(AG$13,INDIRECT($C$5&amp;"生成成长"),5))*(VLOOKUP($B$5,标准坦克设计!$B$24:$U$30,MATCH("对"&amp;LEFT($C$5,2)&amp;"输出",标准坦克设计!$B$23:$U$23,0)))*(VLOOKUP($Q21,INDIRECT($B$5&amp;"生成成长"),3))*(VLOOKUP($B$5,标准坦克设计!$B$14:$K$20,9)/30))</f>
        <v>23.936329565385524</v>
      </c>
      <c r="AH21" s="172">
        <f ca="1">(VLOOKUP(AH$13,INDIRECT($C$5&amp;"生成成长"),2))/((VLOOKUP($Q21,INDIRECT($B$5&amp;"生成成长"),4))/(VLOOKUP(AH$13,INDIRECT($C$5&amp;"生成成长"),5))*(VLOOKUP($B$5,标准坦克设计!$B$24:$U$30,MATCH("对"&amp;LEFT($C$5,2)&amp;"输出",标准坦克设计!$B$23:$U$23,0)))*(VLOOKUP($Q21,INDIRECT($B$5&amp;"生成成长"),3))*(VLOOKUP($B$5,标准坦克设计!$B$14:$K$20,9)/30))</f>
        <v>2.4056607183391763</v>
      </c>
      <c r="AI21" s="172">
        <f ca="1">(VLOOKUP(AI$13,INDIRECT($C$5&amp;"生成成长"),2))/((VLOOKUP($Q21,INDIRECT($B$5&amp;"生成成长"),4))/(VLOOKUP(AI$13,INDIRECT($C$5&amp;"生成成长"),5))*(VLOOKUP($B$5,标准坦克设计!$B$24:$U$30,MATCH("对"&amp;LEFT($C$5,2)&amp;"输出",标准坦克设计!$B$23:$U$23,0)))*(VLOOKUP($Q21,INDIRECT($B$5&amp;"生成成长"),3))*(VLOOKUP($B$5,标准坦克设计!$B$14:$K$20,9)/30))</f>
        <v>8.8013959662672683</v>
      </c>
      <c r="AJ21" s="172">
        <f ca="1">(VLOOKUP(AJ$13,INDIRECT($C$5&amp;"生成成长"),2))/((VLOOKUP($Q21,INDIRECT($B$5&amp;"生成成长"),4))/(VLOOKUP(AJ$13,INDIRECT($C$5&amp;"生成成长"),5))*(VLOOKUP($B$5,标准坦克设计!$B$24:$U$30,MATCH("对"&amp;LEFT($C$5,2)&amp;"输出",标准坦克设计!$B$23:$U$23,0)))*(VLOOKUP($Q21,INDIRECT($B$5&amp;"生成成长"),3))*(VLOOKUP($B$5,标准坦克设计!$B$14:$K$20,9)/30))</f>
        <v>3.9530160202572624</v>
      </c>
      <c r="AK21" s="172">
        <f ca="1">(VLOOKUP(AK$13,INDIRECT($C$5&amp;"生成成长"),2))/((VLOOKUP($Q21,INDIRECT($B$5&amp;"生成成长"),4))/(VLOOKUP(AK$13,INDIRECT($C$5&amp;"生成成长"),5))*(VLOOKUP($B$5,标准坦克设计!$B$24:$U$30,MATCH("对"&amp;LEFT($C$5,2)&amp;"输出",标准坦克设计!$B$23:$U$23,0)))*(VLOOKUP($Q21,INDIRECT($B$5&amp;"生成成长"),3))*(VLOOKUP($B$5,标准坦克设计!$B$14:$K$20,9)/30))</f>
        <v>15.07577001404492</v>
      </c>
      <c r="AL21" s="172">
        <f ca="1">(VLOOKUP(AL$13,INDIRECT($C$5&amp;"生成成长"),2))/((VLOOKUP($Q21,INDIRECT($B$5&amp;"生成成长"),4))/(VLOOKUP(AL$13,INDIRECT($C$5&amp;"生成成长"),5))*(VLOOKUP($B$5,标准坦克设计!$B$24:$U$30,MATCH("对"&amp;LEFT($C$5,2)&amp;"输出",标准坦克设计!$B$23:$U$23,0)))*(VLOOKUP($Q21,INDIRECT($B$5&amp;"生成成长"),3))*(VLOOKUP($B$5,标准坦克设计!$B$14:$K$20,9)/30))</f>
        <v>6.6644636196897755</v>
      </c>
      <c r="AM21" s="172">
        <f ca="1">(VLOOKUP(AM$13,INDIRECT($C$5&amp;"生成成长"),2))/((VLOOKUP($Q21,INDIRECT($B$5&amp;"生成成长"),4))/(VLOOKUP(AM$13,INDIRECT($C$5&amp;"生成成长"),5))*(VLOOKUP($B$5,标准坦克设计!$B$24:$U$30,MATCH("对"&amp;LEFT($C$5,2)&amp;"输出",标准坦克设计!$B$23:$U$23,0)))*(VLOOKUP($Q21,INDIRECT($B$5&amp;"生成成长"),3))*(VLOOKUP($B$5,标准坦克设计!$B$14:$K$20,9)/30))</f>
        <v>25.174213806919994</v>
      </c>
    </row>
    <row r="22" spans="1:39" x14ac:dyDescent="0.15">
      <c r="A22" s="170" t="str">
        <f t="shared" si="1"/>
        <v>T5中品质</v>
      </c>
      <c r="B22" s="171">
        <v>20501</v>
      </c>
      <c r="C22" s="172">
        <f ca="1">(VLOOKUP(C$13,INDIRECT($C$5&amp;"生成成长"),2))/((VLOOKUP($B22,INDIRECT($B$5&amp;"生成成长"),4))/(VLOOKUP(C$13,INDIRECT($C$5&amp;"生成成长"),5))*(VLOOKUP($B$5,标准坦克设计!$B$24:$U$30,MATCH("对"&amp;LEFT($C$5,2)&amp;"输出",标准坦克设计!$B$23:$U$23,0)))*(VLOOKUP($B22,INDIRECT($B$5&amp;"生成成长"),3))*(VLOOKUP($B$5,标准坦克设计!$B$14:$K$20,9)/30))</f>
        <v>1.4712777039560647</v>
      </c>
      <c r="D22" s="172">
        <f ca="1">(VLOOKUP(D$13,INDIRECT($C$5&amp;"生成成长"),2))/((VLOOKUP($B22,INDIRECT($B$5&amp;"生成成长"),4))/(VLOOKUP(D$13,INDIRECT($C$5&amp;"生成成长"),5))*(VLOOKUP($B$5,标准坦克设计!$B$24:$U$30,MATCH("对"&amp;LEFT($C$5,2)&amp;"输出",标准坦克设计!$B$23:$U$23,0)))*(VLOOKUP($B22,INDIRECT($B$5&amp;"生成成长"),3))*(VLOOKUP($B$5,标准坦克设计!$B$14:$K$20,9)/30))</f>
        <v>1.9797512784432811</v>
      </c>
      <c r="E22" s="172">
        <f ca="1">(VLOOKUP(E$13,INDIRECT($C$5&amp;"生成成长"),2))/((VLOOKUP($B22,INDIRECT($B$5&amp;"生成成长"),4))/(VLOOKUP(E$13,INDIRECT($C$5&amp;"生成成长"),5))*(VLOOKUP($B$5,标准坦克设计!$B$24:$U$30,MATCH("对"&amp;LEFT($C$5,2)&amp;"输出",标准坦克设计!$B$23:$U$23,0)))*(VLOOKUP($B22,INDIRECT($B$5&amp;"生成成长"),3))*(VLOOKUP($B$5,标准坦克设计!$B$14:$K$20,9)/30))</f>
        <v>3.0086157768197568</v>
      </c>
      <c r="F22" s="172">
        <f ca="1">(VLOOKUP(F$13,INDIRECT($C$5&amp;"生成成长"),2))/((VLOOKUP($B22,INDIRECT($B$5&amp;"生成成长"),4))/(VLOOKUP(F$13,INDIRECT($C$5&amp;"生成成长"),5))*(VLOOKUP($B$5,标准坦克设计!$B$24:$U$30,MATCH("对"&amp;LEFT($C$5,2)&amp;"输出",标准坦克设计!$B$23:$U$23,0)))*(VLOOKUP($B22,INDIRECT($B$5&amp;"生成成长"),3))*(VLOOKUP($B$5,标准坦克设计!$B$14:$K$20,9)/30))</f>
        <v>4.9271619027784661</v>
      </c>
      <c r="G22" s="172">
        <f ca="1">(VLOOKUP(G$13,INDIRECT($C$5&amp;"生成成长"),2))/((VLOOKUP($B22,INDIRECT($B$5&amp;"生成成长"),4))/(VLOOKUP(G$13,INDIRECT($C$5&amp;"生成成长"),5))*(VLOOKUP($B$5,标准坦克设计!$B$24:$U$30,MATCH("对"&amp;LEFT($C$5,2)&amp;"输出",标准坦克设计!$B$23:$U$23,0)))*(VLOOKUP($B22,INDIRECT($B$5&amp;"生成成长"),3))*(VLOOKUP($B$5,标准坦克设计!$B$14:$K$20,9)/30))</f>
        <v>2.0486070749884253</v>
      </c>
      <c r="H22" s="172">
        <f ca="1">(VLOOKUP(H$13,INDIRECT($C$5&amp;"生成成长"),2))/((VLOOKUP($B22,INDIRECT($B$5&amp;"生成成长"),4))/(VLOOKUP(H$13,INDIRECT($C$5&amp;"生成成长"),5))*(VLOOKUP($B$5,标准坦克设计!$B$24:$U$30,MATCH("对"&amp;LEFT($C$5,2)&amp;"输出",标准坦克设计!$B$23:$U$23,0)))*(VLOOKUP($B22,INDIRECT($B$5&amp;"生成成长"),3))*(VLOOKUP($B$5,标准坦克设计!$B$14:$K$20,9)/30))</f>
        <v>3.1361755537527483</v>
      </c>
      <c r="I22" s="172">
        <f ca="1">(VLOOKUP(I$13,INDIRECT($C$5&amp;"生成成长"),2))/((VLOOKUP($B22,INDIRECT($B$5&amp;"生成成长"),4))/(VLOOKUP(I$13,INDIRECT($C$5&amp;"生成成长"),5))*(VLOOKUP($B$5,标准坦克设计!$B$24:$U$30,MATCH("对"&amp;LEFT($C$5,2)&amp;"输出",标准坦克设计!$B$23:$U$23,0)))*(VLOOKUP($B22,INDIRECT($B$5&amp;"生成成长"),3))*(VLOOKUP($B$5,标准坦克设计!$B$14:$K$20,9)/30))</f>
        <v>5.1449110029639638</v>
      </c>
      <c r="J22" s="172">
        <f ca="1">(VLOOKUP(J$13,INDIRECT($C$5&amp;"生成成长"),2))/((VLOOKUP($B22,INDIRECT($B$5&amp;"生成成长"),4))/(VLOOKUP(J$13,INDIRECT($C$5&amp;"生成成长"),5))*(VLOOKUP($B$5,标准坦克设计!$B$24:$U$30,MATCH("对"&amp;LEFT($C$5,2)&amp;"输出",标准坦克设计!$B$23:$U$23,0)))*(VLOOKUP($B22,INDIRECT($B$5&amp;"生成成长"),3))*(VLOOKUP($B$5,标准坦克设计!$B$14:$K$20,9)/30))</f>
        <v>8.68774771409017</v>
      </c>
      <c r="K22" s="172">
        <f ca="1">(VLOOKUP(K$13,INDIRECT($C$5&amp;"生成成长"),2))/((VLOOKUP($B22,INDIRECT($B$5&amp;"生成成长"),4))/(VLOOKUP(K$13,INDIRECT($C$5&amp;"生成成长"),5))*(VLOOKUP($B$5,标准坦克设计!$B$24:$U$30,MATCH("对"&amp;LEFT($C$5,2)&amp;"输出",标准坦克设计!$B$23:$U$23,0)))*(VLOOKUP($B22,INDIRECT($B$5&amp;"生成成长"),3))*(VLOOKUP($B$5,标准坦克设计!$B$14:$K$20,9)/30))</f>
        <v>3.2663836305528595</v>
      </c>
      <c r="L22" s="172">
        <f ca="1">(VLOOKUP(L$13,INDIRECT($C$5&amp;"生成成长"),2))/((VLOOKUP($B22,INDIRECT($B$5&amp;"生成成长"),4))/(VLOOKUP(L$13,INDIRECT($C$5&amp;"生成成长"),5))*(VLOOKUP($B$5,标准坦克设计!$B$24:$U$30,MATCH("对"&amp;LEFT($C$5,2)&amp;"输出",标准坦克设计!$B$23:$U$23,0)))*(VLOOKUP($B22,INDIRECT($B$5&amp;"生成成长"),3))*(VLOOKUP($B$5,标准坦克设计!$B$14:$K$20,9)/30))</f>
        <v>5.3673681918021208</v>
      </c>
      <c r="M22" s="172">
        <f ca="1">(VLOOKUP(M$13,INDIRECT($C$5&amp;"生成成长"),2))/((VLOOKUP($B22,INDIRECT($B$5&amp;"生成成长"),4))/(VLOOKUP(M$13,INDIRECT($C$5&amp;"生成成长"),5))*(VLOOKUP($B$5,标准坦克设计!$B$24:$U$30,MATCH("对"&amp;LEFT($C$5,2)&amp;"输出",标准坦克设计!$B$23:$U$23,0)))*(VLOOKUP($B22,INDIRECT($B$5&amp;"生成成长"),3))*(VLOOKUP($B$5,标准坦克设计!$B$14:$K$20,9)/30))</f>
        <v>9.0489463904113823</v>
      </c>
      <c r="P22" s="170" t="str">
        <f>"T"&amp;LEFT(RIGHT(Q22,3),1)&amp;""&amp;IF(LEFT(Q22,1)="1","低",IF(LEFT(Q22,1)="2","中","高"))&amp;"初"</f>
        <v>T5低初</v>
      </c>
      <c r="Q22" s="171">
        <v>10501</v>
      </c>
      <c r="R22" s="172">
        <f ca="1">(VLOOKUP(R$13,INDIRECT($C$5&amp;"生成成长"),2))/((VLOOKUP($Q22,INDIRECT($B$5&amp;"生成成长"),4))/(VLOOKUP(R$13,INDIRECT($C$5&amp;"生成成长"),5))*(VLOOKUP($B$5,标准坦克设计!$B$24:$U$30,MATCH("对"&amp;LEFT($C$5,2)&amp;"输出",标准坦克设计!$B$23:$U$23,0)))*(VLOOKUP($Q22,INDIRECT($B$5&amp;"生成成长"),3))*(VLOOKUP($B$5,标准坦克设计!$B$14:$K$20,9)/30))</f>
        <v>1.5312146655896424</v>
      </c>
      <c r="S22" s="172">
        <f ca="1">(VLOOKUP(S$13,INDIRECT($C$5&amp;"生成成长"),2))/((VLOOKUP($Q22,INDIRECT($B$5&amp;"生成成长"),4))/(VLOOKUP(S$13,INDIRECT($C$5&amp;"生成成长"),5))*(VLOOKUP($B$5,标准坦克设计!$B$24:$U$30,MATCH("对"&amp;LEFT($C$5,2)&amp;"输出",标准坦克设计!$B$23:$U$23,0)))*(VLOOKUP($Q22,INDIRECT($B$5&amp;"生成成长"),3))*(VLOOKUP($B$5,标准坦克设计!$B$14:$K$20,9)/30))</f>
        <v>2.3543956698106339</v>
      </c>
      <c r="T22" s="172">
        <f ca="1">(VLOOKUP(T$13,INDIRECT($C$5&amp;"生成成长"),2))/((VLOOKUP($Q22,INDIRECT($B$5&amp;"生成成长"),4))/(VLOOKUP(T$13,INDIRECT($C$5&amp;"生成成长"),5))*(VLOOKUP($B$5,标准坦克设计!$B$24:$U$30,MATCH("对"&amp;LEFT($C$5,2)&amp;"输出",标准坦克设计!$B$23:$U$23,0)))*(VLOOKUP($Q22,INDIRECT($B$5&amp;"生成成长"),3))*(VLOOKUP($B$5,标准坦克设计!$B$14:$K$20,9)/30))</f>
        <v>2.0604024540174226</v>
      </c>
      <c r="U22" s="172">
        <f ca="1">(VLOOKUP(U$13,INDIRECT($C$5&amp;"生成成长"),2))/((VLOOKUP($Q22,INDIRECT($B$5&amp;"生成成长"),4))/(VLOOKUP(U$13,INDIRECT($C$5&amp;"生成成长"),5))*(VLOOKUP($B$5,标准坦克设计!$B$24:$U$30,MATCH("对"&amp;LEFT($C$5,2)&amp;"输出",标准坦克设计!$B$23:$U$23,0)))*(VLOOKUP($Q22,INDIRECT($B$5&amp;"生成成长"),3))*(VLOOKUP($B$5,标准坦克设计!$B$14:$K$20,9)/30))</f>
        <v>4.1183549645699031</v>
      </c>
      <c r="V22" s="172">
        <f ca="1">(VLOOKUP(V$13,INDIRECT($C$5&amp;"生成成长"),2))/((VLOOKUP($Q22,INDIRECT($B$5&amp;"生成成长"),4))/(VLOOKUP(V$13,INDIRECT($C$5&amp;"生成成长"),5))*(VLOOKUP($B$5,标准坦克设计!$B$24:$U$30,MATCH("对"&amp;LEFT($C$5,2)&amp;"输出",标准坦克设计!$B$23:$U$23,0)))*(VLOOKUP($Q22,INDIRECT($B$5&amp;"生成成长"),3))*(VLOOKUP($B$5,标准坦克设计!$B$14:$K$20,9)/30))</f>
        <v>3.1311808696642598</v>
      </c>
      <c r="W22" s="172">
        <f ca="1">(VLOOKUP(W$13,INDIRECT($C$5&amp;"生成成长"),2))/((VLOOKUP($Q22,INDIRECT($B$5&amp;"生成成长"),4))/(VLOOKUP(W$13,INDIRECT($C$5&amp;"生成成长"),5))*(VLOOKUP($B$5,标准坦克设计!$B$24:$U$30,MATCH("对"&amp;LEFT($C$5,2)&amp;"输出",标准坦克设计!$B$23:$U$23,0)))*(VLOOKUP($Q22,INDIRECT($B$5&amp;"生成成长"),3))*(VLOOKUP($B$5,标准坦克设计!$B$14:$K$20,9)/30))</f>
        <v>7.0780397916881217</v>
      </c>
      <c r="X22" s="172">
        <f ca="1">(VLOOKUP(X$13,INDIRECT($C$5&amp;"生成成长"),2))/((VLOOKUP($Q22,INDIRECT($B$5&amp;"生成成长"),4))/(VLOOKUP(X$13,INDIRECT($C$5&amp;"生成成长"),5))*(VLOOKUP($B$5,标准坦克设计!$B$24:$U$30,MATCH("对"&amp;LEFT($C$5,2)&amp;"输出",标准坦克设计!$B$23:$U$23,0)))*(VLOOKUP($Q22,INDIRECT($B$5&amp;"生成成长"),3))*(VLOOKUP($B$5,标准坦克设计!$B$14:$K$20,9)/30))</f>
        <v>5.1278847935931546</v>
      </c>
      <c r="Y22" s="172">
        <f ca="1">(VLOOKUP(Y$13,INDIRECT($C$5&amp;"生成成长"),2))/((VLOOKUP($Q22,INDIRECT($B$5&amp;"生成成长"),4))/(VLOOKUP(Y$13,INDIRECT($C$5&amp;"生成成长"),5))*(VLOOKUP($B$5,标准坦克设计!$B$24:$U$30,MATCH("对"&amp;LEFT($C$5,2)&amp;"输出",标准坦克设计!$B$23:$U$23,0)))*(VLOOKUP($Q22,INDIRECT($B$5&amp;"生成成长"),3))*(VLOOKUP($B$5,标准坦克设计!$B$14:$K$20,9)/30))</f>
        <v>12.263345135240888</v>
      </c>
      <c r="Z22" s="172">
        <f ca="1">(VLOOKUP(Z$13,INDIRECT($C$5&amp;"生成成长"),2))/((VLOOKUP($Q22,INDIRECT($B$5&amp;"生成成长"),4))/(VLOOKUP(Z$13,INDIRECT($C$5&amp;"生成成长"),5))*(VLOOKUP($B$5,标准坦克设计!$B$24:$U$30,MATCH("对"&amp;LEFT($C$5,2)&amp;"输出",标准坦克设计!$B$23:$U$23,0)))*(VLOOKUP($Q22,INDIRECT($B$5&amp;"生成成长"),3))*(VLOOKUP($B$5,标准坦克设计!$B$14:$K$20,9)/30))</f>
        <v>2.132063300367018</v>
      </c>
      <c r="AA22" s="172">
        <f ca="1">(VLOOKUP(AA$13,INDIRECT($C$5&amp;"生成成长"),2))/((VLOOKUP($Q22,INDIRECT($B$5&amp;"生成成长"),4))/(VLOOKUP(AA$13,INDIRECT($C$5&amp;"生成成长"),5))*(VLOOKUP($B$5,标准坦克设计!$B$24:$U$30,MATCH("对"&amp;LEFT($C$5,2)&amp;"输出",标准坦克设计!$B$23:$U$23,0)))*(VLOOKUP($Q22,INDIRECT($B$5&amp;"生成成长"),3))*(VLOOKUP($B$5,标准坦克设计!$B$14:$K$20,9)/30))</f>
        <v>6.7526566752503223</v>
      </c>
      <c r="AB22" s="172">
        <f ca="1">(VLOOKUP(AB$13,INDIRECT($C$5&amp;"生成成长"),2))/((VLOOKUP($Q22,INDIRECT($B$5&amp;"生成成长"),4))/(VLOOKUP(AB$13,INDIRECT($C$5&amp;"生成成长"),5))*(VLOOKUP($B$5,标准坦克设计!$B$24:$U$30,MATCH("对"&amp;LEFT($C$5,2)&amp;"输出",标准坦克设计!$B$23:$U$23,0)))*(VLOOKUP($Q22,INDIRECT($B$5&amp;"生成成长"),3))*(VLOOKUP($B$5,标准坦克设计!$B$14:$K$20,9)/30))</f>
        <v>3.2639371811708817</v>
      </c>
      <c r="AC22" s="172">
        <f ca="1">(VLOOKUP(AC$13,INDIRECT($C$5&amp;"生成成长"),2))/((VLOOKUP($Q22,INDIRECT($B$5&amp;"生成成长"),4))/(VLOOKUP(AC$13,INDIRECT($C$5&amp;"生成成长"),5))*(VLOOKUP($B$5,标准坦克设计!$B$24:$U$30,MATCH("对"&amp;LEFT($C$5,2)&amp;"输出",标准坦克设计!$B$23:$U$23,0)))*(VLOOKUP($Q22,INDIRECT($B$5&amp;"生成成长"),3))*(VLOOKUP($B$5,标准坦克设计!$B$14:$K$20,9)/30))</f>
        <v>11.748857007602769</v>
      </c>
      <c r="AD22" s="172">
        <f ca="1">(VLOOKUP(AD$13,INDIRECT($C$5&amp;"生成成长"),2))/((VLOOKUP($Q22,INDIRECT($B$5&amp;"生成成长"),4))/(VLOOKUP(AD$13,INDIRECT($C$5&amp;"生成成长"),5))*(VLOOKUP($B$5,标准坦克设计!$B$24:$U$30,MATCH("对"&amp;LEFT($C$5,2)&amp;"输出",标准坦克设计!$B$23:$U$23,0)))*(VLOOKUP($Q22,INDIRECT($B$5&amp;"生成成长"),3))*(VLOOKUP($B$5,标准坦克设计!$B$14:$K$20,9)/30))</f>
        <v>5.354504564100421</v>
      </c>
      <c r="AE22" s="172">
        <f ca="1">(VLOOKUP(AE$13,INDIRECT($C$5&amp;"生成成长"),2))/((VLOOKUP($Q22,INDIRECT($B$5&amp;"生成成长"),4))/(VLOOKUP(AE$13,INDIRECT($C$5&amp;"生成成长"),5))*(VLOOKUP($B$5,标准坦克设计!$B$24:$U$30,MATCH("对"&amp;LEFT($C$5,2)&amp;"输出",标准坦克设计!$B$23:$U$23,0)))*(VLOOKUP($Q22,INDIRECT($B$5&amp;"生成成长"),3))*(VLOOKUP($B$5,标准坦克设计!$B$14:$K$20,9)/30))</f>
        <v>20.176662527008158</v>
      </c>
      <c r="AF22" s="172">
        <f ca="1">(VLOOKUP(AF$13,INDIRECT($C$5&amp;"生成成长"),2))/((VLOOKUP($Q22,INDIRECT($B$5&amp;"生成成长"),4))/(VLOOKUP(AF$13,INDIRECT($C$5&amp;"生成成长"),5))*(VLOOKUP($B$5,标准坦克设计!$B$24:$U$30,MATCH("对"&amp;LEFT($C$5,2)&amp;"输出",标准坦克设计!$B$23:$U$23,0)))*(VLOOKUP($Q22,INDIRECT($B$5&amp;"生成成长"),3))*(VLOOKUP($B$5,标准坦克设计!$B$14:$K$20,9)/30))</f>
        <v>9.04166947884028</v>
      </c>
      <c r="AG22" s="172">
        <f ca="1">(VLOOKUP(AG$13,INDIRECT($C$5&amp;"生成成长"),2))/((VLOOKUP($Q22,INDIRECT($B$5&amp;"生成成长"),4))/(VLOOKUP(AG$13,INDIRECT($C$5&amp;"生成成长"),5))*(VLOOKUP($B$5,标准坦克设计!$B$24:$U$30,MATCH("对"&amp;LEFT($C$5,2)&amp;"输出",标准坦克设计!$B$23:$U$23,0)))*(VLOOKUP($Q22,INDIRECT($B$5&amp;"生成成长"),3))*(VLOOKUP($B$5,标准坦克设计!$B$14:$K$20,9)/30))</f>
        <v>33.824531962875206</v>
      </c>
      <c r="AH22" s="172">
        <f ca="1">(VLOOKUP(AH$13,INDIRECT($C$5&amp;"生成成长"),2))/((VLOOKUP($Q22,INDIRECT($B$5&amp;"生成成长"),4))/(VLOOKUP(AH$13,INDIRECT($C$5&amp;"生成成长"),5))*(VLOOKUP($B$5,标准坦克设计!$B$24:$U$30,MATCH("对"&amp;LEFT($C$5,2)&amp;"输出",标准坦克设计!$B$23:$U$23,0)))*(VLOOKUP($Q22,INDIRECT($B$5&amp;"生成成长"),3))*(VLOOKUP($B$5,标准坦克设计!$B$14:$K$20,9)/30))</f>
        <v>3.3994496790755648</v>
      </c>
      <c r="AI22" s="172">
        <f ca="1">(VLOOKUP(AI$13,INDIRECT($C$5&amp;"生成成长"),2))/((VLOOKUP($Q22,INDIRECT($B$5&amp;"生成成长"),4))/(VLOOKUP(AI$13,INDIRECT($C$5&amp;"生成成长"),5))*(VLOOKUP($B$5,标准坦克设计!$B$24:$U$30,MATCH("对"&amp;LEFT($C$5,2)&amp;"输出",标准坦克设计!$B$23:$U$23,0)))*(VLOOKUP($Q22,INDIRECT($B$5&amp;"生成成长"),3))*(VLOOKUP($B$5,标准坦克设计!$B$14:$K$20,9)/30))</f>
        <v>12.437291121251869</v>
      </c>
      <c r="AJ22" s="172">
        <f ca="1">(VLOOKUP(AJ$13,INDIRECT($C$5&amp;"生成成长"),2))/((VLOOKUP($Q22,INDIRECT($B$5&amp;"生成成长"),4))/(VLOOKUP(AJ$13,INDIRECT($C$5&amp;"生成成长"),5))*(VLOOKUP($B$5,标准坦克设计!$B$24:$U$30,MATCH("对"&amp;LEFT($C$5,2)&amp;"输出",标准坦克设计!$B$23:$U$23,0)))*(VLOOKUP($Q22,INDIRECT($B$5&amp;"生成成长"),3))*(VLOOKUP($B$5,标准坦克设计!$B$14:$K$20,9)/30))</f>
        <v>5.5860242215375742</v>
      </c>
      <c r="AK22" s="172">
        <f ca="1">(VLOOKUP(AK$13,INDIRECT($C$5&amp;"生成成长"),2))/((VLOOKUP($Q22,INDIRECT($B$5&amp;"生成成长"),4))/(VLOOKUP(AK$13,INDIRECT($C$5&amp;"生成成长"),5))*(VLOOKUP($B$5,标准坦克设计!$B$24:$U$30,MATCH("对"&amp;LEFT($C$5,2)&amp;"输出",标准坦克设计!$B$23:$U$23,0)))*(VLOOKUP($Q22,INDIRECT($B$5&amp;"生成成长"),3))*(VLOOKUP($B$5,标准坦克设计!$B$14:$K$20,9)/30))</f>
        <v>21.303636520882137</v>
      </c>
      <c r="AL22" s="172">
        <f ca="1">(VLOOKUP(AL$13,INDIRECT($C$5&amp;"生成成长"),2))/((VLOOKUP($Q22,INDIRECT($B$5&amp;"生成成长"),4))/(VLOOKUP(AL$13,INDIRECT($C$5&amp;"生成成长"),5))*(VLOOKUP($B$5,标准坦克设计!$B$24:$U$30,MATCH("对"&amp;LEFT($C$5,2)&amp;"输出",标准坦克设计!$B$23:$U$23,0)))*(VLOOKUP($Q22,INDIRECT($B$5&amp;"生成成长"),3))*(VLOOKUP($B$5,标准坦克设计!$B$14:$K$20,9)/30))</f>
        <v>9.4175826792425354</v>
      </c>
      <c r="AM22" s="172">
        <f ca="1">(VLOOKUP(AM$13,INDIRECT($C$5&amp;"生成成长"),2))/((VLOOKUP($Q22,INDIRECT($B$5&amp;"生成成长"),4))/(VLOOKUP(AM$13,INDIRECT($C$5&amp;"生成成长"),5))*(VLOOKUP($B$5,标准坦克设计!$B$24:$U$30,MATCH("对"&amp;LEFT($C$5,2)&amp;"输出",标准坦克设计!$B$23:$U$23,0)))*(VLOOKUP($Q22,INDIRECT($B$5&amp;"生成成长"),3))*(VLOOKUP($B$5,标准坦克设计!$B$14:$K$20,9)/30))</f>
        <v>35.573791596844806</v>
      </c>
    </row>
    <row r="23" spans="1:39" x14ac:dyDescent="0.15">
      <c r="A23" s="170" t="str">
        <f t="shared" si="1"/>
        <v>T3高品质</v>
      </c>
      <c r="B23" s="171">
        <v>30301</v>
      </c>
      <c r="C23" s="172">
        <f ca="1">(VLOOKUP(C$13,INDIRECT($C$5&amp;"生成成长"),2))/((VLOOKUP($B23,INDIRECT($B$5&amp;"生成成长"),4))/(VLOOKUP(C$13,INDIRECT($C$5&amp;"生成成长"),5))*(VLOOKUP($B$5,标准坦克设计!$B$24:$U$30,MATCH("对"&amp;LEFT($C$5,2)&amp;"输出",标准坦克设计!$B$23:$U$23,0)))*(VLOOKUP($B23,INDIRECT($B$5&amp;"生成成长"),3))*(VLOOKUP($B$5,标准坦克设计!$B$14:$K$20,9)/30))</f>
        <v>3.894518415846119</v>
      </c>
      <c r="D23" s="172">
        <f ca="1">(VLOOKUP(D$13,INDIRECT($C$5&amp;"生成成长"),2))/((VLOOKUP($B23,INDIRECT($B$5&amp;"生成成长"),4))/(VLOOKUP(D$13,INDIRECT($C$5&amp;"生成成长"),5))*(VLOOKUP($B$5,标准坦克设计!$B$24:$U$30,MATCH("对"&amp;LEFT($C$5,2)&amp;"输出",标准坦克设计!$B$23:$U$23,0)))*(VLOOKUP($B23,INDIRECT($B$5&amp;"生成成长"),3))*(VLOOKUP($B$5,标准坦克设计!$B$14:$K$20,9)/30))</f>
        <v>5.2404639803625379</v>
      </c>
      <c r="E23" s="172">
        <f ca="1">(VLOOKUP(E$13,INDIRECT($C$5&amp;"生成成长"),2))/((VLOOKUP($B23,INDIRECT($B$5&amp;"生成成长"),4))/(VLOOKUP(E$13,INDIRECT($C$5&amp;"生成成长"),5))*(VLOOKUP($B$5,标准坦克设计!$B$24:$U$30,MATCH("对"&amp;LEFT($C$5,2)&amp;"输出",标准坦克设计!$B$23:$U$23,0)))*(VLOOKUP($B23,INDIRECT($B$5&amp;"生成成长"),3))*(VLOOKUP($B$5,标准坦克设计!$B$14:$K$20,9)/30))</f>
        <v>7.9639007085637274</v>
      </c>
      <c r="F23" s="172">
        <f ca="1">(VLOOKUP(F$13,INDIRECT($C$5&amp;"生成成长"),2))/((VLOOKUP($B23,INDIRECT($B$5&amp;"生成成长"),4))/(VLOOKUP(F$13,INDIRECT($C$5&amp;"生成成长"),5))*(VLOOKUP($B$5,标准坦克设计!$B$24:$U$30,MATCH("对"&amp;LEFT($C$5,2)&amp;"输出",标准坦克设计!$B$23:$U$23,0)))*(VLOOKUP($B23,INDIRECT($B$5&amp;"生成成长"),3))*(VLOOKUP($B$5,标准坦克设计!$B$14:$K$20,9)/30))</f>
        <v>13.042352722827065</v>
      </c>
      <c r="G23" s="172">
        <f ca="1">(VLOOKUP(G$13,INDIRECT($C$5&amp;"生成成长"),2))/((VLOOKUP($B23,INDIRECT($B$5&amp;"生成成长"),4))/(VLOOKUP(G$13,INDIRECT($C$5&amp;"生成成长"),5))*(VLOOKUP($B$5,标准坦克设计!$B$24:$U$30,MATCH("对"&amp;LEFT($C$5,2)&amp;"输出",标准坦克设计!$B$23:$U$23,0)))*(VLOOKUP($B23,INDIRECT($B$5&amp;"生成成长"),3))*(VLOOKUP($B$5,标准坦克设计!$B$14:$K$20,9)/30))</f>
        <v>5.4227274422241365</v>
      </c>
      <c r="H23" s="172">
        <f ca="1">(VLOOKUP(H$13,INDIRECT($C$5&amp;"生成成长"),2))/((VLOOKUP($B23,INDIRECT($B$5&amp;"生成成长"),4))/(VLOOKUP(H$13,INDIRECT($C$5&amp;"生成成长"),5))*(VLOOKUP($B$5,标准坦克设计!$B$24:$U$30,MATCH("对"&amp;LEFT($C$5,2)&amp;"输出",标准坦克设计!$B$23:$U$23,0)))*(VLOOKUP($B23,INDIRECT($B$5&amp;"生成成长"),3))*(VLOOKUP($B$5,标准坦克设计!$B$14:$K$20,9)/30))</f>
        <v>8.301555455217585</v>
      </c>
      <c r="I23" s="172">
        <f ca="1">(VLOOKUP(I$13,INDIRECT($C$5&amp;"生成成长"),2))/((VLOOKUP($B23,INDIRECT($B$5&amp;"生成成长"),4))/(VLOOKUP(I$13,INDIRECT($C$5&amp;"生成成长"),5))*(VLOOKUP($B$5,标准坦克设计!$B$24:$U$30,MATCH("对"&amp;LEFT($C$5,2)&amp;"输出",标准坦克设计!$B$23:$U$23,0)))*(VLOOKUP($B23,INDIRECT($B$5&amp;"生成成长"),3))*(VLOOKUP($B$5,标准坦克设计!$B$14:$K$20,9)/30))</f>
        <v>13.618741448372294</v>
      </c>
      <c r="J23" s="172">
        <f ca="1">(VLOOKUP(J$13,INDIRECT($C$5&amp;"生成成长"),2))/((VLOOKUP($B23,INDIRECT($B$5&amp;"生成成长"),4))/(VLOOKUP(J$13,INDIRECT($C$5&amp;"生成成长"),5))*(VLOOKUP($B$5,标准坦克设计!$B$24:$U$30,MATCH("对"&amp;LEFT($C$5,2)&amp;"输出",标准坦克设计!$B$23:$U$23,0)))*(VLOOKUP($B23,INDIRECT($B$5&amp;"生成成长"),3))*(VLOOKUP($B$5,标准坦克设计!$B$14:$K$20,9)/30))</f>
        <v>22.996741793729747</v>
      </c>
      <c r="K23" s="172">
        <f ca="1">(VLOOKUP(K$13,INDIRECT($C$5&amp;"生成成长"),2))/((VLOOKUP($B23,INDIRECT($B$5&amp;"生成成长"),4))/(VLOOKUP(K$13,INDIRECT($C$5&amp;"生成成长"),5))*(VLOOKUP($B$5,标准坦克设计!$B$24:$U$30,MATCH("对"&amp;LEFT($C$5,2)&amp;"输出",标准坦克设计!$B$23:$U$23,0)))*(VLOOKUP($B23,INDIRECT($B$5&amp;"生成成长"),3))*(VLOOKUP($B$5,标准坦克设计!$B$14:$K$20,9)/30))</f>
        <v>8.6462203350199687</v>
      </c>
      <c r="L23" s="172">
        <f ca="1">(VLOOKUP(L$13,INDIRECT($C$5&amp;"生成成长"),2))/((VLOOKUP($B23,INDIRECT($B$5&amp;"生成成长"),4))/(VLOOKUP(L$13,INDIRECT($C$5&amp;"生成成长"),5))*(VLOOKUP($B$5,标准坦克设计!$B$24:$U$30,MATCH("对"&amp;LEFT($C$5,2)&amp;"输出",标准坦克设计!$B$23:$U$23,0)))*(VLOOKUP($B23,INDIRECT($B$5&amp;"生成成长"),3))*(VLOOKUP($B$5,标准坦克设计!$B$14:$K$20,9)/30))</f>
        <v>14.207592632848225</v>
      </c>
      <c r="M23" s="172">
        <f ca="1">(VLOOKUP(M$13,INDIRECT($C$5&amp;"生成成长"),2))/((VLOOKUP($B23,INDIRECT($B$5&amp;"生成成长"),4))/(VLOOKUP(M$13,INDIRECT($C$5&amp;"生成成长"),5))*(VLOOKUP($B$5,标准坦克设计!$B$24:$U$30,MATCH("对"&amp;LEFT($C$5,2)&amp;"输出",标准坦克设计!$B$23:$U$23,0)))*(VLOOKUP($B23,INDIRECT($B$5&amp;"生成成长"),3))*(VLOOKUP($B$5,标准坦克设计!$B$14:$K$20,9)/30))</f>
        <v>23.952846064819969</v>
      </c>
      <c r="P23" s="170" t="str">
        <f>"T"&amp;LEFT(RIGHT(Q23,3),1)&amp;""&amp;IF(LEFT(Q23,1)="1","低",IF(LEFT(Q23,1)="2","中","高"))&amp;"满"</f>
        <v>T5低满</v>
      </c>
      <c r="Q23" s="171">
        <v>10513</v>
      </c>
      <c r="R23" s="172">
        <f ca="1">(VLOOKUP(R$13,INDIRECT($C$5&amp;"生成成长"),2))/((VLOOKUP($Q23,INDIRECT($B$5&amp;"生成成长"),4))/(VLOOKUP(R$13,INDIRECT($C$5&amp;"生成成长"),5))*(VLOOKUP($B$5,标准坦克设计!$B$24:$U$30,MATCH("对"&amp;LEFT($C$5,2)&amp;"输出",标准坦克设计!$B$23:$U$23,0)))*(VLOOKUP($Q23,INDIRECT($B$5&amp;"生成成长"),3))*(VLOOKUP($B$5,标准坦克设计!$B$14:$K$20,9)/30))</f>
        <v>0.63317795631139262</v>
      </c>
      <c r="S23" s="172">
        <f ca="1">(VLOOKUP(S$13,INDIRECT($C$5&amp;"生成成长"),2))/((VLOOKUP($Q23,INDIRECT($B$5&amp;"生成成长"),4))/(VLOOKUP(S$13,INDIRECT($C$5&amp;"生成成长"),5))*(VLOOKUP($B$5,标准坦克设计!$B$24:$U$30,MATCH("对"&amp;LEFT($C$5,2)&amp;"输出",标准坦克设计!$B$23:$U$23,0)))*(VLOOKUP($Q23,INDIRECT($B$5&amp;"生成成长"),3))*(VLOOKUP($B$5,标准坦克设计!$B$14:$K$20,9)/30))</f>
        <v>0.97357442562439733</v>
      </c>
      <c r="T23" s="172">
        <f ca="1">(VLOOKUP(T$13,INDIRECT($C$5&amp;"生成成长"),2))/((VLOOKUP($Q23,INDIRECT($B$5&amp;"生成成长"),4))/(VLOOKUP(T$13,INDIRECT($C$5&amp;"生成成长"),5))*(VLOOKUP($B$5,标准坦克设计!$B$24:$U$30,MATCH("对"&amp;LEFT($C$5,2)&amp;"输出",标准坦克设计!$B$23:$U$23,0)))*(VLOOKUP($Q23,INDIRECT($B$5&amp;"生成成长"),3))*(VLOOKUP($B$5,标准坦克设计!$B$14:$K$20,9)/30))</f>
        <v>0.85200425801260993</v>
      </c>
      <c r="U23" s="172">
        <f ca="1">(VLOOKUP(U$13,INDIRECT($C$5&amp;"生成成长"),2))/((VLOOKUP($Q23,INDIRECT($B$5&amp;"生成成长"),4))/(VLOOKUP(U$13,INDIRECT($C$5&amp;"生成成长"),5))*(VLOOKUP($B$5,标准坦克设计!$B$24:$U$30,MATCH("对"&amp;LEFT($C$5,2)&amp;"输出",标准坦克设计!$B$23:$U$23,0)))*(VLOOKUP($Q23,INDIRECT($B$5&amp;"生成成长"),3))*(VLOOKUP($B$5,标准坦克设计!$B$14:$K$20,9)/30))</f>
        <v>1.7029954312951214</v>
      </c>
      <c r="V23" s="172">
        <f ca="1">(VLOOKUP(V$13,INDIRECT($C$5&amp;"生成成长"),2))/((VLOOKUP($Q23,INDIRECT($B$5&amp;"生成成长"),4))/(VLOOKUP(V$13,INDIRECT($C$5&amp;"生成成长"),5))*(VLOOKUP($B$5,标准坦克设计!$B$24:$U$30,MATCH("对"&amp;LEFT($C$5,2)&amp;"输出",标准坦克设计!$B$23:$U$23,0)))*(VLOOKUP($Q23,INDIRECT($B$5&amp;"生成成长"),3))*(VLOOKUP($B$5,标准坦克设计!$B$14:$K$20,9)/30))</f>
        <v>1.2947856028611668</v>
      </c>
      <c r="W23" s="172">
        <f ca="1">(VLOOKUP(W$13,INDIRECT($C$5&amp;"生成成长"),2))/((VLOOKUP($Q23,INDIRECT($B$5&amp;"生成成长"),4))/(VLOOKUP(W$13,INDIRECT($C$5&amp;"生成成长"),5))*(VLOOKUP($B$5,标准坦克设计!$B$24:$U$30,MATCH("对"&amp;LEFT($C$5,2)&amp;"输出",标准坦克设计!$B$23:$U$23,0)))*(VLOOKUP($Q23,INDIRECT($B$5&amp;"生成成长"),3))*(VLOOKUP($B$5,标准坦克设计!$B$14:$K$20,9)/30))</f>
        <v>2.9268651030494128</v>
      </c>
      <c r="X23" s="172">
        <f ca="1">(VLOOKUP(X$13,INDIRECT($C$5&amp;"生成成长"),2))/((VLOOKUP($Q23,INDIRECT($B$5&amp;"生成成长"),4))/(VLOOKUP(X$13,INDIRECT($C$5&amp;"生成成长"),5))*(VLOOKUP($B$5,标准坦克设计!$B$24:$U$30,MATCH("对"&amp;LEFT($C$5,2)&amp;"输出",标准坦克设计!$B$23:$U$23,0)))*(VLOOKUP($Q23,INDIRECT($B$5&amp;"生成成长"),3))*(VLOOKUP($B$5,标准坦克设计!$B$14:$K$20,9)/30))</f>
        <v>2.1204496578912231</v>
      </c>
      <c r="Y23" s="172">
        <f ca="1">(VLOOKUP(Y$13,INDIRECT($C$5&amp;"生成成长"),2))/((VLOOKUP($Q23,INDIRECT($B$5&amp;"生成成长"),4))/(VLOOKUP(Y$13,INDIRECT($C$5&amp;"生成成长"),5))*(VLOOKUP($B$5,标准坦克设计!$B$24:$U$30,MATCH("对"&amp;LEFT($C$5,2)&amp;"输出",标准坦克设计!$B$23:$U$23,0)))*(VLOOKUP($Q23,INDIRECT($B$5&amp;"生成成长"),3))*(VLOOKUP($B$5,标准坦克设计!$B$14:$K$20,9)/30))</f>
        <v>5.0710589343023127</v>
      </c>
      <c r="Z23" s="172">
        <f ca="1">(VLOOKUP(Z$13,INDIRECT($C$5&amp;"生成成长"),2))/((VLOOKUP($Q23,INDIRECT($B$5&amp;"生成成长"),4))/(VLOOKUP(Z$13,INDIRECT($C$5&amp;"生成成长"),5))*(VLOOKUP($B$5,标准坦克设计!$B$24:$U$30,MATCH("对"&amp;LEFT($C$5,2)&amp;"输出",标准坦克设计!$B$23:$U$23,0)))*(VLOOKUP($Q23,INDIRECT($B$5&amp;"生成成长"),3))*(VLOOKUP($B$5,标准坦克设计!$B$14:$K$20,9)/30))</f>
        <v>0.88163698636798316</v>
      </c>
      <c r="AA23" s="172">
        <f ca="1">(VLOOKUP(AA$13,INDIRECT($C$5&amp;"生成成长"),2))/((VLOOKUP($Q23,INDIRECT($B$5&amp;"生成成长"),4))/(VLOOKUP(AA$13,INDIRECT($C$5&amp;"生成成长"),5))*(VLOOKUP($B$5,标准坦克设计!$B$24:$U$30,MATCH("对"&amp;LEFT($C$5,2)&amp;"输出",标准坦克设计!$B$23:$U$23,0)))*(VLOOKUP($Q23,INDIRECT($B$5&amp;"生成成长"),3))*(VLOOKUP($B$5,标准坦克设计!$B$14:$K$20,9)/30))</f>
        <v>2.7923147873332419</v>
      </c>
      <c r="AB23" s="172">
        <f ca="1">(VLOOKUP(AB$13,INDIRECT($C$5&amp;"生成成长"),2))/((VLOOKUP($Q23,INDIRECT($B$5&amp;"生成成长"),4))/(VLOOKUP(AB$13,INDIRECT($C$5&amp;"生成成长"),5))*(VLOOKUP($B$5,标准坦克设计!$B$24:$U$30,MATCH("对"&amp;LEFT($C$5,2)&amp;"输出",标准坦克设计!$B$23:$U$23,0)))*(VLOOKUP($Q23,INDIRECT($B$5&amp;"生成成长"),3))*(VLOOKUP($B$5,标准坦克设计!$B$14:$K$20,9)/30))</f>
        <v>1.3496821316733647</v>
      </c>
      <c r="AC23" s="172">
        <f ca="1">(VLOOKUP(AC$13,INDIRECT($C$5&amp;"生成成长"),2))/((VLOOKUP($Q23,INDIRECT($B$5&amp;"生成成长"),4))/(VLOOKUP(AC$13,INDIRECT($C$5&amp;"生成成长"),5))*(VLOOKUP($B$5,标准坦克设计!$B$24:$U$30,MATCH("对"&amp;LEFT($C$5,2)&amp;"输出",标准坦克设计!$B$23:$U$23,0)))*(VLOOKUP($Q23,INDIRECT($B$5&amp;"生成成长"),3))*(VLOOKUP($B$5,标准坦克设计!$B$14:$K$20,9)/30))</f>
        <v>4.8583111409816846</v>
      </c>
      <c r="AD23" s="172">
        <f ca="1">(VLOOKUP(AD$13,INDIRECT($C$5&amp;"生成成长"),2))/((VLOOKUP($Q23,INDIRECT($B$5&amp;"生成成长"),4))/(VLOOKUP(AD$13,INDIRECT($C$5&amp;"生成成长"),5))*(VLOOKUP($B$5,标准坦克设计!$B$24:$U$30,MATCH("对"&amp;LEFT($C$5,2)&amp;"输出",标准坦克设计!$B$23:$U$23,0)))*(VLOOKUP($Q23,INDIRECT($B$5&amp;"生成成长"),3))*(VLOOKUP($B$5,标准坦克设计!$B$14:$K$20,9)/30))</f>
        <v>2.2141599954253088</v>
      </c>
      <c r="AE23" s="172">
        <f ca="1">(VLOOKUP(AE$13,INDIRECT($C$5&amp;"生成成长"),2))/((VLOOKUP($Q23,INDIRECT($B$5&amp;"生成成长"),4))/(VLOOKUP(AE$13,INDIRECT($C$5&amp;"生成成长"),5))*(VLOOKUP($B$5,标准坦克设计!$B$24:$U$30,MATCH("对"&amp;LEFT($C$5,2)&amp;"输出",标准坦克设计!$B$23:$U$23,0)))*(VLOOKUP($Q23,INDIRECT($B$5&amp;"生成成长"),3))*(VLOOKUP($B$5,标准坦克设计!$B$14:$K$20,9)/30))</f>
        <v>8.3433226125195912</v>
      </c>
      <c r="AF23" s="172">
        <f ca="1">(VLOOKUP(AF$13,INDIRECT($C$5&amp;"生成成长"),2))/((VLOOKUP($Q23,INDIRECT($B$5&amp;"生成成长"),4))/(VLOOKUP(AF$13,INDIRECT($C$5&amp;"生成成长"),5))*(VLOOKUP($B$5,标准坦克设计!$B$24:$U$30,MATCH("对"&amp;LEFT($C$5,2)&amp;"输出",标准坦克设计!$B$23:$U$23,0)))*(VLOOKUP($Q23,INDIRECT($B$5&amp;"生成成长"),3))*(VLOOKUP($B$5,标准坦克设计!$B$14:$K$20,9)/30))</f>
        <v>3.7388525142231428</v>
      </c>
      <c r="AG23" s="172">
        <f ca="1">(VLOOKUP(AG$13,INDIRECT($C$5&amp;"生成成长"),2))/((VLOOKUP($Q23,INDIRECT($B$5&amp;"生成成长"),4))/(VLOOKUP(AG$13,INDIRECT($C$5&amp;"生成成长"),5))*(VLOOKUP($B$5,标准坦克设计!$B$24:$U$30,MATCH("对"&amp;LEFT($C$5,2)&amp;"输出",标准坦克设计!$B$23:$U$23,0)))*(VLOOKUP($Q23,INDIRECT($B$5&amp;"生成成长"),3))*(VLOOKUP($B$5,标准坦克设计!$B$14:$K$20,9)/30))</f>
        <v>13.986901054918663</v>
      </c>
      <c r="AH23" s="172">
        <f ca="1">(VLOOKUP(AH$13,INDIRECT($C$5&amp;"生成成长"),2))/((VLOOKUP($Q23,INDIRECT($B$5&amp;"生成成长"),4))/(VLOOKUP(AH$13,INDIRECT($C$5&amp;"生成成长"),5))*(VLOOKUP($B$5,标准坦克设计!$B$24:$U$30,MATCH("对"&amp;LEFT($C$5,2)&amp;"输出",标准坦克设计!$B$23:$U$23,0)))*(VLOOKUP($Q23,INDIRECT($B$5&amp;"生成成长"),3))*(VLOOKUP($B$5,标准坦克设计!$B$14:$K$20,9)/30))</f>
        <v>1.4057183808069229</v>
      </c>
      <c r="AI23" s="172">
        <f ca="1">(VLOOKUP(AI$13,INDIRECT($C$5&amp;"生成成长"),2))/((VLOOKUP($Q23,INDIRECT($B$5&amp;"生成成长"),4))/(VLOOKUP(AI$13,INDIRECT($C$5&amp;"生成成长"),5))*(VLOOKUP($B$5,标准坦克设计!$B$24:$U$30,MATCH("对"&amp;LEFT($C$5,2)&amp;"输出",标准坦克设计!$B$23:$U$23,0)))*(VLOOKUP($Q23,INDIRECT($B$5&amp;"生成成长"),3))*(VLOOKUP($B$5,标准坦克设计!$B$14:$K$20,9)/30))</f>
        <v>5.142987950139287</v>
      </c>
      <c r="AJ23" s="172">
        <f ca="1">(VLOOKUP(AJ$13,INDIRECT($C$5&amp;"生成成长"),2))/((VLOOKUP($Q23,INDIRECT($B$5&amp;"生成成长"),4))/(VLOOKUP(AJ$13,INDIRECT($C$5&amp;"生成成长"),5))*(VLOOKUP($B$5,标准坦克设计!$B$24:$U$30,MATCH("对"&amp;LEFT($C$5,2)&amp;"输出",标准坦克设计!$B$23:$U$23,0)))*(VLOOKUP($Q23,INDIRECT($B$5&amp;"生成成长"),3))*(VLOOKUP($B$5,标准坦克设计!$B$14:$K$20,9)/30))</f>
        <v>2.3098965024195914</v>
      </c>
      <c r="AK23" s="172">
        <f ca="1">(VLOOKUP(AK$13,INDIRECT($C$5&amp;"生成成长"),2))/((VLOOKUP($Q23,INDIRECT($B$5&amp;"生成成长"),4))/(VLOOKUP(AK$13,INDIRECT($C$5&amp;"生成成长"),5))*(VLOOKUP($B$5,标准坦克设计!$B$24:$U$30,MATCH("对"&amp;LEFT($C$5,2)&amp;"输出",标准坦克设计!$B$23:$U$23,0)))*(VLOOKUP($Q23,INDIRECT($B$5&amp;"生成成长"),3))*(VLOOKUP($B$5,标准坦克设计!$B$14:$K$20,9)/30))</f>
        <v>8.8093415883647754</v>
      </c>
      <c r="AL23" s="172">
        <f ca="1">(VLOOKUP(AL$13,INDIRECT($C$5&amp;"生成成长"),2))/((VLOOKUP($Q23,INDIRECT($B$5&amp;"生成成长"),4))/(VLOOKUP(AL$13,INDIRECT($C$5&amp;"生成成长"),5))*(VLOOKUP($B$5,标准坦克设计!$B$24:$U$30,MATCH("对"&amp;LEFT($C$5,2)&amp;"输出",标准坦克设计!$B$23:$U$23,0)))*(VLOOKUP($Q23,INDIRECT($B$5&amp;"生成成长"),3))*(VLOOKUP($B$5,标准坦克设计!$B$14:$K$20,9)/30))</f>
        <v>3.8942977024975893</v>
      </c>
      <c r="AM23" s="172">
        <f ca="1">(VLOOKUP(AM$13,INDIRECT($C$5&amp;"生成成长"),2))/((VLOOKUP($Q23,INDIRECT($B$5&amp;"生成成长"),4))/(VLOOKUP(AM$13,INDIRECT($C$5&amp;"生成成长"),5))*(VLOOKUP($B$5,标准坦克设计!$B$24:$U$30,MATCH("对"&amp;LEFT($C$5,2)&amp;"输出",标准坦克设计!$B$23:$U$23,0)))*(VLOOKUP($Q23,INDIRECT($B$5&amp;"生成成长"),3))*(VLOOKUP($B$5,标准坦克设计!$B$14:$K$20,9)/30))</f>
        <v>14.710243552208798</v>
      </c>
    </row>
    <row r="24" spans="1:39" x14ac:dyDescent="0.15">
      <c r="A24" s="170" t="str">
        <f t="shared" si="1"/>
        <v>T4高品质</v>
      </c>
      <c r="B24" s="171">
        <v>30401</v>
      </c>
      <c r="C24" s="172">
        <f ca="1">(VLOOKUP(C$13,INDIRECT($C$5&amp;"生成成长"),2))/((VLOOKUP($B24,INDIRECT($B$5&amp;"生成成长"),4))/(VLOOKUP(C$13,INDIRECT($C$5&amp;"生成成长"),5))*(VLOOKUP($B$5,标准坦克设计!$B$24:$U$30,MATCH("对"&amp;LEFT($C$5,2)&amp;"输出",标准坦克设计!$B$23:$U$23,0)))*(VLOOKUP($B24,INDIRECT($B$5&amp;"生成成长"),3))*(VLOOKUP($B$5,标准坦克设计!$B$14:$K$20,9)/30))</f>
        <v>2.3792601310458377</v>
      </c>
      <c r="D24" s="172">
        <f ca="1">(VLOOKUP(D$13,INDIRECT($C$5&amp;"生成成长"),2))/((VLOOKUP($B24,INDIRECT($B$5&amp;"生成成长"),4))/(VLOOKUP(D$13,INDIRECT($C$5&amp;"生成成长"),5))*(VLOOKUP($B$5,标准坦克设计!$B$24:$U$30,MATCH("对"&amp;LEFT($C$5,2)&amp;"输出",标准坦克设计!$B$23:$U$23,0)))*(VLOOKUP($B24,INDIRECT($B$5&amp;"生成成长"),3))*(VLOOKUP($B$5,标准坦克设计!$B$14:$K$20,9)/30))</f>
        <v>3.201532432335279</v>
      </c>
      <c r="E24" s="172">
        <f ca="1">(VLOOKUP(E$13,INDIRECT($C$5&amp;"生成成长"),2))/((VLOOKUP($B24,INDIRECT($B$5&amp;"生成成长"),4))/(VLOOKUP(E$13,INDIRECT($C$5&amp;"生成成长"),5))*(VLOOKUP($B$5,标准坦克设计!$B$24:$U$30,MATCH("对"&amp;LEFT($C$5,2)&amp;"输出",标准坦克设计!$B$23:$U$23,0)))*(VLOOKUP($B24,INDIRECT($B$5&amp;"生成成长"),3))*(VLOOKUP($B$5,标准坦克设计!$B$14:$K$20,9)/30))</f>
        <v>4.8653490419756329</v>
      </c>
      <c r="F24" s="172">
        <f ca="1">(VLOOKUP(F$13,INDIRECT($C$5&amp;"生成成长"),2))/((VLOOKUP($B24,INDIRECT($B$5&amp;"生成成长"),4))/(VLOOKUP(F$13,INDIRECT($C$5&amp;"生成成长"),5))*(VLOOKUP($B$5,标准坦克设计!$B$24:$U$30,MATCH("对"&amp;LEFT($C$5,2)&amp;"输出",标准坦克设计!$B$23:$U$23,0)))*(VLOOKUP($B24,INDIRECT($B$5&amp;"生成成长"),3))*(VLOOKUP($B$5,标准坦克设计!$B$14:$K$20,9)/30))</f>
        <v>7.9679042528594035</v>
      </c>
      <c r="G24" s="172">
        <f ca="1">(VLOOKUP(G$13,INDIRECT($C$5&amp;"生成成长"),2))/((VLOOKUP($B24,INDIRECT($B$5&amp;"生成成长"),4))/(VLOOKUP(G$13,INDIRECT($C$5&amp;"生成成长"),5))*(VLOOKUP($B$5,标准坦克设计!$B$24:$U$30,MATCH("对"&amp;LEFT($C$5,2)&amp;"输出",标准坦克设计!$B$23:$U$23,0)))*(VLOOKUP($B24,INDIRECT($B$5&amp;"生成成长"),3))*(VLOOKUP($B$5,标准坦克设计!$B$14:$K$20,9)/30))</f>
        <v>3.3128818064682242</v>
      </c>
      <c r="H24" s="172">
        <f ca="1">(VLOOKUP(H$13,INDIRECT($C$5&amp;"生成成长"),2))/((VLOOKUP($B24,INDIRECT($B$5&amp;"生成成长"),4))/(VLOOKUP(H$13,INDIRECT($C$5&amp;"生成成长"),5))*(VLOOKUP($B$5,标准坦克设计!$B$24:$U$30,MATCH("对"&amp;LEFT($C$5,2)&amp;"输出",标准坦克设计!$B$23:$U$23,0)))*(VLOOKUP($B24,INDIRECT($B$5&amp;"生成成长"),3))*(VLOOKUP($B$5,标准坦克设计!$B$14:$K$20,9)/30))</f>
        <v>5.0716308953373082</v>
      </c>
      <c r="I24" s="172">
        <f ca="1">(VLOOKUP(I$13,INDIRECT($C$5&amp;"生成成长"),2))/((VLOOKUP($B24,INDIRECT($B$5&amp;"生成成长"),4))/(VLOOKUP(I$13,INDIRECT($C$5&amp;"生成成长"),5))*(VLOOKUP($B$5,标准坦克设计!$B$24:$U$30,MATCH("对"&amp;LEFT($C$5,2)&amp;"输出",标准坦克设计!$B$23:$U$23,0)))*(VLOOKUP($B24,INDIRECT($B$5&amp;"生成成长"),3))*(VLOOKUP($B$5,标准坦克设计!$B$14:$K$20,9)/30))</f>
        <v>8.3200347522541893</v>
      </c>
      <c r="J24" s="172">
        <f ca="1">(VLOOKUP(J$13,INDIRECT($C$5&amp;"生成成长"),2))/((VLOOKUP($B24,INDIRECT($B$5&amp;"生成成长"),4))/(VLOOKUP(J$13,INDIRECT($C$5&amp;"生成成长"),5))*(VLOOKUP($B$5,标准坦克设计!$B$24:$U$30,MATCH("对"&amp;LEFT($C$5,2)&amp;"输出",标准坦克设计!$B$23:$U$23,0)))*(VLOOKUP($B24,INDIRECT($B$5&amp;"生成成长"),3))*(VLOOKUP($B$5,标准坦克设计!$B$14:$K$20,9)/30))</f>
        <v>14.049293147812566</v>
      </c>
      <c r="K24" s="172">
        <f ca="1">(VLOOKUP(K$13,INDIRECT($C$5&amp;"生成成长"),2))/((VLOOKUP($B24,INDIRECT($B$5&amp;"生成成长"),4))/(VLOOKUP(K$13,INDIRECT($C$5&amp;"生成成长"),5))*(VLOOKUP($B$5,标准坦克设计!$B$24:$U$30,MATCH("对"&amp;LEFT($C$5,2)&amp;"输出",标准坦克设计!$B$23:$U$23,0)))*(VLOOKUP($B24,INDIRECT($B$5&amp;"生成成长"),3))*(VLOOKUP($B$5,标准坦克设计!$B$14:$K$20,9)/30))</f>
        <v>5.2821954169348642</v>
      </c>
      <c r="L24" s="172">
        <f ca="1">(VLOOKUP(L$13,INDIRECT($C$5&amp;"生成成长"),2))/((VLOOKUP($B24,INDIRECT($B$5&amp;"生成成长"),4))/(VLOOKUP(L$13,INDIRECT($C$5&amp;"生成成长"),5))*(VLOOKUP($B$5,标准坦克设计!$B$24:$U$30,MATCH("对"&amp;LEFT($C$5,2)&amp;"输出",标准坦克设计!$B$23:$U$23,0)))*(VLOOKUP($B24,INDIRECT($B$5&amp;"生成成长"),3))*(VLOOKUP($B$5,标准坦克设计!$B$14:$K$20,9)/30))</f>
        <v>8.6797788840683197</v>
      </c>
      <c r="M24" s="172">
        <f ca="1">(VLOOKUP(M$13,INDIRECT($C$5&amp;"生成成长"),2))/((VLOOKUP($B24,INDIRECT($B$5&amp;"生成成长"),4))/(VLOOKUP(M$13,INDIRECT($C$5&amp;"生成成长"),5))*(VLOOKUP($B$5,标准坦克设计!$B$24:$U$30,MATCH("对"&amp;LEFT($C$5,2)&amp;"输出",标准坦克设计!$B$23:$U$23,0)))*(VLOOKUP($B24,INDIRECT($B$5&amp;"生成成长"),3))*(VLOOKUP($B$5,标准坦克设计!$B$14:$K$20,9)/30))</f>
        <v>14.633401509984315</v>
      </c>
      <c r="P24" s="174" t="str">
        <f>"T"&amp;LEFT(RIGHT(Q24,3),1)&amp;""&amp;IF(LEFT(Q24,1)="1","低",IF(LEFT(Q24,1)="2","中","高"))&amp;"初"</f>
        <v>T2中初</v>
      </c>
      <c r="Q24" s="178">
        <v>20201</v>
      </c>
      <c r="R24" s="172">
        <f ca="1">(VLOOKUP(R$13,INDIRECT($C$5&amp;"生成成长"),2))/((VLOOKUP($Q24,INDIRECT($B$5&amp;"生成成长"),4))/(VLOOKUP(R$13,INDIRECT($C$5&amp;"生成成长"),5))*(VLOOKUP($B$5,标准坦克设计!$B$24:$U$30,MATCH("对"&amp;LEFT($C$5,2)&amp;"输出",标准坦克设计!$B$23:$U$23,0)))*(VLOOKUP($Q24,INDIRECT($B$5&amp;"生成成长"),3))*(VLOOKUP($B$5,标准坦克设计!$B$14:$K$20,9)/30))</f>
        <v>6.2067485366907471</v>
      </c>
      <c r="S24" s="172">
        <f ca="1">(VLOOKUP(S$13,INDIRECT($C$5&amp;"生成成长"),2))/((VLOOKUP($Q24,INDIRECT($B$5&amp;"生成成长"),4))/(VLOOKUP(S$13,INDIRECT($C$5&amp;"生成成长"),5))*(VLOOKUP($B$5,标准坦克设计!$B$24:$U$30,MATCH("对"&amp;LEFT($C$5,2)&amp;"输出",标准坦克设计!$B$23:$U$23,0)))*(VLOOKUP($Q24,INDIRECT($B$5&amp;"生成成长"),3))*(VLOOKUP($B$5,标准坦克设计!$B$14:$K$20,9)/30))</f>
        <v>9.543496550015691</v>
      </c>
      <c r="T24" s="172">
        <f ca="1">(VLOOKUP(T$13,INDIRECT($C$5&amp;"生成成长"),2))/((VLOOKUP($Q24,INDIRECT($B$5&amp;"生成成长"),4))/(VLOOKUP(T$13,INDIRECT($C$5&amp;"生成成长"),5))*(VLOOKUP($B$5,标准坦克设计!$B$24:$U$30,MATCH("对"&amp;LEFT($C$5,2)&amp;"输出",标准坦克设计!$B$23:$U$23,0)))*(VLOOKUP($Q24,INDIRECT($B$5&amp;"生成成长"),3))*(VLOOKUP($B$5,标准坦克设计!$B$14:$K$20,9)/30))</f>
        <v>8.3518008309710687</v>
      </c>
      <c r="U24" s="172">
        <f ca="1">(VLOOKUP(U$13,INDIRECT($C$5&amp;"生成成长"),2))/((VLOOKUP($Q24,INDIRECT($B$5&amp;"生成成长"),4))/(VLOOKUP(U$13,INDIRECT($C$5&amp;"生成成长"),5))*(VLOOKUP($B$5,标准坦克设计!$B$24:$U$30,MATCH("对"&amp;LEFT($C$5,2)&amp;"输出",标准坦克设计!$B$23:$U$23,0)))*(VLOOKUP($Q24,INDIRECT($B$5&amp;"生成成长"),3))*(VLOOKUP($B$5,标准坦克设计!$B$14:$K$20,9)/30))</f>
        <v>16.69367086428343</v>
      </c>
      <c r="V24" s="172">
        <f ca="1">(VLOOKUP(V$13,INDIRECT($C$5&amp;"生成成长"),2))/((VLOOKUP($Q24,INDIRECT($B$5&amp;"生成成长"),4))/(VLOOKUP(V$13,INDIRECT($C$5&amp;"生成成长"),5))*(VLOOKUP($B$5,标准坦克设计!$B$24:$U$30,MATCH("对"&amp;LEFT($C$5,2)&amp;"输出",标准坦克设计!$B$23:$U$23,0)))*(VLOOKUP($Q24,INDIRECT($B$5&amp;"生成成长"),3))*(VLOOKUP($B$5,标准坦克设计!$B$14:$K$20,9)/30))</f>
        <v>12.692180082678906</v>
      </c>
      <c r="W24" s="172">
        <f ca="1">(VLOOKUP(W$13,INDIRECT($C$5&amp;"生成成长"),2))/((VLOOKUP($Q24,INDIRECT($B$5&amp;"生成成长"),4))/(VLOOKUP(W$13,INDIRECT($C$5&amp;"生成成长"),5))*(VLOOKUP($B$5,标准坦克设计!$B$24:$U$30,MATCH("对"&amp;LEFT($C$5,2)&amp;"输出",标准坦克设计!$B$23:$U$23,0)))*(VLOOKUP($Q24,INDIRECT($B$5&amp;"生成成长"),3))*(VLOOKUP($B$5,标准坦克设计!$B$14:$K$20,9)/30))</f>
        <v>28.690695110852971</v>
      </c>
      <c r="X24" s="172">
        <f ca="1">(VLOOKUP(X$13,INDIRECT($C$5&amp;"生成成长"),2))/((VLOOKUP($Q24,INDIRECT($B$5&amp;"生成成长"),4))/(VLOOKUP(X$13,INDIRECT($C$5&amp;"生成成长"),5))*(VLOOKUP($B$5,标准坦克设计!$B$24:$U$30,MATCH("对"&amp;LEFT($C$5,2)&amp;"输出",标准坦克设计!$B$23:$U$23,0)))*(VLOOKUP($Q24,INDIRECT($B$5&amp;"生成成长"),3))*(VLOOKUP($B$5,标准坦克设计!$B$14:$K$20,9)/30))</f>
        <v>20.785780174523634</v>
      </c>
      <c r="Y24" s="172">
        <f ca="1">(VLOOKUP(Y$13,INDIRECT($C$5&amp;"生成成长"),2))/((VLOOKUP($Q24,INDIRECT($B$5&amp;"生成成长"),4))/(VLOOKUP(Y$13,INDIRECT($C$5&amp;"生成成长"),5))*(VLOOKUP($B$5,标准坦克设计!$B$24:$U$30,MATCH("对"&amp;LEFT($C$5,2)&amp;"输出",标准坦克设计!$B$23:$U$23,0)))*(VLOOKUP($Q24,INDIRECT($B$5&amp;"生成成长"),3))*(VLOOKUP($B$5,标准坦克设计!$B$14:$K$20,9)/30))</f>
        <v>49.709228355502511</v>
      </c>
      <c r="Z24" s="172">
        <f ca="1">(VLOOKUP(Z$13,INDIRECT($C$5&amp;"生成成长"),2))/((VLOOKUP($Q24,INDIRECT($B$5&amp;"生成成长"),4))/(VLOOKUP(Z$13,INDIRECT($C$5&amp;"生成成长"),5))*(VLOOKUP($B$5,标准坦克设计!$B$24:$U$30,MATCH("对"&amp;LEFT($C$5,2)&amp;"输出",标准坦克设计!$B$23:$U$23,0)))*(VLOOKUP($Q24,INDIRECT($B$5&amp;"生成成长"),3))*(VLOOKUP($B$5,标准坦克设计!$B$14:$K$20,9)/30))</f>
        <v>8.642276662488193</v>
      </c>
      <c r="AA24" s="172">
        <f ca="1">(VLOOKUP(AA$13,INDIRECT($C$5&amp;"生成成长"),2))/((VLOOKUP($Q24,INDIRECT($B$5&amp;"生成成长"),4))/(VLOOKUP(AA$13,INDIRECT($C$5&amp;"生成成长"),5))*(VLOOKUP($B$5,标准坦克设计!$B$24:$U$30,MATCH("对"&amp;LEFT($C$5,2)&amp;"输出",标准坦克设计!$B$23:$U$23,0)))*(VLOOKUP($Q24,INDIRECT($B$5&amp;"生成成长"),3))*(VLOOKUP($B$5,标准坦克设计!$B$14:$K$20,9)/30))</f>
        <v>27.371761046806188</v>
      </c>
      <c r="AB24" s="172">
        <f ca="1">(VLOOKUP(AB$13,INDIRECT($C$5&amp;"生成成长"),2))/((VLOOKUP($Q24,INDIRECT($B$5&amp;"生成成长"),4))/(VLOOKUP(AB$13,INDIRECT($C$5&amp;"生成成长"),5))*(VLOOKUP($B$5,标准坦克设计!$B$24:$U$30,MATCH("对"&amp;LEFT($C$5,2)&amp;"输出",标准坦克设计!$B$23:$U$23,0)))*(VLOOKUP($Q24,INDIRECT($B$5&amp;"生成成长"),3))*(VLOOKUP($B$5,标准坦克设计!$B$14:$K$20,9)/30))</f>
        <v>13.230305180809994</v>
      </c>
      <c r="AC24" s="172">
        <f ca="1">(VLOOKUP(AC$13,INDIRECT($C$5&amp;"生成成长"),2))/((VLOOKUP($Q24,INDIRECT($B$5&amp;"生成成长"),4))/(VLOOKUP(AC$13,INDIRECT($C$5&amp;"生成成长"),5))*(VLOOKUP($B$5,标准坦克设计!$B$24:$U$30,MATCH("对"&amp;LEFT($C$5,2)&amp;"输出",标准坦克设计!$B$23:$U$23,0)))*(VLOOKUP($Q24,INDIRECT($B$5&amp;"生成成长"),3))*(VLOOKUP($B$5,标准坦克设计!$B$14:$K$20,9)/30))</f>
        <v>47.623760847174424</v>
      </c>
      <c r="AD24" s="172">
        <f ca="1">(VLOOKUP(AD$13,INDIRECT($C$5&amp;"生成成长"),2))/((VLOOKUP($Q24,INDIRECT($B$5&amp;"生成成长"),4))/(VLOOKUP(AD$13,INDIRECT($C$5&amp;"生成成长"),5))*(VLOOKUP($B$5,标准坦克设计!$B$24:$U$30,MATCH("对"&amp;LEFT($C$5,2)&amp;"输出",标准坦克设计!$B$23:$U$23,0)))*(VLOOKUP($Q24,INDIRECT($B$5&amp;"生成成长"),3))*(VLOOKUP($B$5,标准坦克设计!$B$14:$K$20,9)/30))</f>
        <v>21.704378957953868</v>
      </c>
      <c r="AE24" s="172">
        <f ca="1">(VLOOKUP(AE$13,INDIRECT($C$5&amp;"生成成长"),2))/((VLOOKUP($Q24,INDIRECT($B$5&amp;"生成成长"),4))/(VLOOKUP(AE$13,INDIRECT($C$5&amp;"生成成长"),5))*(VLOOKUP($B$5,标准坦克设计!$B$24:$U$30,MATCH("对"&amp;LEFT($C$5,2)&amp;"输出",标准坦克设计!$B$23:$U$23,0)))*(VLOOKUP($Q24,INDIRECT($B$5&amp;"生成成长"),3))*(VLOOKUP($B$5,标准坦克设计!$B$14:$K$20,9)/30))</f>
        <v>81.785704793120289</v>
      </c>
      <c r="AF24" s="172">
        <f ca="1">(VLOOKUP(AF$13,INDIRECT($C$5&amp;"生成成长"),2))/((VLOOKUP($Q24,INDIRECT($B$5&amp;"生成成长"),4))/(VLOOKUP(AF$13,INDIRECT($C$5&amp;"生成成长"),5))*(VLOOKUP($B$5,标准坦克设计!$B$24:$U$30,MATCH("对"&amp;LEFT($C$5,2)&amp;"输出",标准坦克设计!$B$23:$U$23,0)))*(VLOOKUP($Q24,INDIRECT($B$5&amp;"生成成长"),3))*(VLOOKUP($B$5,标准坦克设计!$B$14:$K$20,9)/30))</f>
        <v>36.650229434305182</v>
      </c>
      <c r="AG24" s="172">
        <f ca="1">(VLOOKUP(AG$13,INDIRECT($C$5&amp;"生成成长"),2))/((VLOOKUP($Q24,INDIRECT($B$5&amp;"生成成长"),4))/(VLOOKUP(AG$13,INDIRECT($C$5&amp;"生成成长"),5))*(VLOOKUP($B$5,标准坦克设计!$B$24:$U$30,MATCH("对"&amp;LEFT($C$5,2)&amp;"输出",标准坦克设计!$B$23:$U$23,0)))*(VLOOKUP($Q24,INDIRECT($B$5&amp;"生成成长"),3))*(VLOOKUP($B$5,标准坦克设计!$B$14:$K$20,9)/30))</f>
        <v>137.10707517549858</v>
      </c>
      <c r="AH24" s="172">
        <f ca="1">(VLOOKUP(AH$13,INDIRECT($C$5&amp;"生成成长"),2))/((VLOOKUP($Q24,INDIRECT($B$5&amp;"生成成长"),4))/(VLOOKUP(AH$13,INDIRECT($C$5&amp;"生成成长"),5))*(VLOOKUP($B$5,标准坦克设计!$B$24:$U$30,MATCH("对"&amp;LEFT($C$5,2)&amp;"输出",标准坦克设计!$B$23:$U$23,0)))*(VLOOKUP($Q24,INDIRECT($B$5&amp;"生成成长"),3))*(VLOOKUP($B$5,标准坦克设计!$B$14:$K$20,9)/30))</f>
        <v>13.779602426307125</v>
      </c>
      <c r="AI24" s="172">
        <f ca="1">(VLOOKUP(AI$13,INDIRECT($C$5&amp;"生成成长"),2))/((VLOOKUP($Q24,INDIRECT($B$5&amp;"生成成长"),4))/(VLOOKUP(AI$13,INDIRECT($C$5&amp;"生成成长"),5))*(VLOOKUP($B$5,标准坦克设计!$B$24:$U$30,MATCH("对"&amp;LEFT($C$5,2)&amp;"输出",标准坦克设计!$B$23:$U$23,0)))*(VLOOKUP($Q24,INDIRECT($B$5&amp;"生成成长"),3))*(VLOOKUP($B$5,标准坦克设计!$B$14:$K$20,9)/30))</f>
        <v>50.414314989270579</v>
      </c>
      <c r="AJ24" s="172">
        <f ca="1">(VLOOKUP(AJ$13,INDIRECT($C$5&amp;"生成成长"),2))/((VLOOKUP($Q24,INDIRECT($B$5&amp;"生成成长"),4))/(VLOOKUP(AJ$13,INDIRECT($C$5&amp;"生成成长"),5))*(VLOOKUP($B$5,标准坦克设计!$B$24:$U$30,MATCH("对"&amp;LEFT($C$5,2)&amp;"输出",标准坦克设计!$B$23:$U$23,0)))*(VLOOKUP($Q24,INDIRECT($B$5&amp;"生成成长"),3))*(VLOOKUP($B$5,标准坦克设计!$B$14:$K$20,9)/30))</f>
        <v>22.64283933670151</v>
      </c>
      <c r="AK24" s="172">
        <f ca="1">(VLOOKUP(AK$13,INDIRECT($C$5&amp;"生成成长"),2))/((VLOOKUP($Q24,INDIRECT($B$5&amp;"生成成长"),4))/(VLOOKUP(AK$13,INDIRECT($C$5&amp;"生成成长"),5))*(VLOOKUP($B$5,标准坦克设计!$B$24:$U$30,MATCH("对"&amp;LEFT($C$5,2)&amp;"输出",标准坦克设计!$B$23:$U$23,0)))*(VLOOKUP($Q24,INDIRECT($B$5&amp;"生成成长"),3))*(VLOOKUP($B$5,标准坦克设计!$B$14:$K$20,9)/30))</f>
        <v>86.353871716124686</v>
      </c>
      <c r="AL24" s="172">
        <f ca="1">(VLOOKUP(AL$13,INDIRECT($C$5&amp;"生成成长"),2))/((VLOOKUP($Q24,INDIRECT($B$5&amp;"生成成长"),4))/(VLOOKUP(AL$13,INDIRECT($C$5&amp;"生成成长"),5))*(VLOOKUP($B$5,标准坦克设计!$B$24:$U$30,MATCH("对"&amp;LEFT($C$5,2)&amp;"输出",标准坦克设计!$B$23:$U$23,0)))*(VLOOKUP($Q24,INDIRECT($B$5&amp;"生成成长"),3))*(VLOOKUP($B$5,标准坦克设计!$B$14:$K$20,9)/30))</f>
        <v>38.173986200062764</v>
      </c>
      <c r="AM24" s="172">
        <f ca="1">(VLOOKUP(AM$13,INDIRECT($C$5&amp;"生成成长"),2))/((VLOOKUP($Q24,INDIRECT($B$5&amp;"生成成长"),4))/(VLOOKUP(AM$13,INDIRECT($C$5&amp;"生成成长"),5))*(VLOOKUP($B$5,标准坦克设计!$B$24:$U$30,MATCH("对"&amp;LEFT($C$5,2)&amp;"输出",标准坦克设计!$B$23:$U$23,0)))*(VLOOKUP($Q24,INDIRECT($B$5&amp;"生成成长"),3))*(VLOOKUP($B$5,标准坦克设计!$B$14:$K$20,9)/30))</f>
        <v>144.19766470381407</v>
      </c>
    </row>
    <row r="25" spans="1:39" x14ac:dyDescent="0.15">
      <c r="A25" s="170" t="str">
        <f t="shared" si="1"/>
        <v>T5高品质</v>
      </c>
      <c r="B25" s="171">
        <v>30501</v>
      </c>
      <c r="C25" s="172">
        <f ca="1">(VLOOKUP(C$13,INDIRECT($C$5&amp;"生成成长"),2))/((VLOOKUP($B25,INDIRECT($B$5&amp;"生成成长"),4))/(VLOOKUP(C$13,INDIRECT($C$5&amp;"生成成长"),5))*(VLOOKUP($B$5,标准坦克设计!$B$24:$U$30,MATCH("对"&amp;LEFT($C$5,2)&amp;"输出",标准坦克设计!$B$23:$U$23,0)))*(VLOOKUP($B25,INDIRECT($B$5&amp;"生成成长"),3))*(VLOOKUP($B$5,标准坦克设计!$B$14:$K$20,9)/30))</f>
        <v>1.4082441329700441</v>
      </c>
      <c r="D25" s="172">
        <f ca="1">(VLOOKUP(D$13,INDIRECT($C$5&amp;"生成成长"),2))/((VLOOKUP($B25,INDIRECT($B$5&amp;"生成成长"),4))/(VLOOKUP(D$13,INDIRECT($C$5&amp;"生成成长"),5))*(VLOOKUP($B$5,标准坦克设计!$B$24:$U$30,MATCH("对"&amp;LEFT($C$5,2)&amp;"输出",标准坦克设计!$B$23:$U$23,0)))*(VLOOKUP($B25,INDIRECT($B$5&amp;"生成成长"),3))*(VLOOKUP($B$5,标准坦克设计!$B$14:$K$20,9)/30))</f>
        <v>1.8949333053244914</v>
      </c>
      <c r="E25" s="172">
        <f ca="1">(VLOOKUP(E$13,INDIRECT($C$5&amp;"生成成长"),2))/((VLOOKUP($B25,INDIRECT($B$5&amp;"生成成长"),4))/(VLOOKUP(E$13,INDIRECT($C$5&amp;"生成成长"),5))*(VLOOKUP($B$5,标准坦克设计!$B$24:$U$30,MATCH("对"&amp;LEFT($C$5,2)&amp;"输出",标准坦克设计!$B$23:$U$23,0)))*(VLOOKUP($B25,INDIRECT($B$5&amp;"生成成长"),3))*(VLOOKUP($B$5,标准坦克设计!$B$14:$K$20,9)/30))</f>
        <v>2.8797184275104435</v>
      </c>
      <c r="F25" s="172">
        <f ca="1">(VLOOKUP(F$13,INDIRECT($C$5&amp;"生成成长"),2))/((VLOOKUP($B25,INDIRECT($B$5&amp;"生成成长"),4))/(VLOOKUP(F$13,INDIRECT($C$5&amp;"生成成长"),5))*(VLOOKUP($B$5,标准坦克设计!$B$24:$U$30,MATCH("对"&amp;LEFT($C$5,2)&amp;"输出",标准坦克设计!$B$23:$U$23,0)))*(VLOOKUP($B25,INDIRECT($B$5&amp;"生成成长"),3))*(VLOOKUP($B$5,标准坦克设计!$B$14:$K$20,9)/30))</f>
        <v>4.7160687769033807</v>
      </c>
      <c r="G25" s="172">
        <f ca="1">(VLOOKUP(G$13,INDIRECT($C$5&amp;"生成成长"),2))/((VLOOKUP($B25,INDIRECT($B$5&amp;"生成成长"),4))/(VLOOKUP(G$13,INDIRECT($C$5&amp;"生成成长"),5))*(VLOOKUP($B$5,标准坦克设计!$B$24:$U$30,MATCH("对"&amp;LEFT($C$5,2)&amp;"输出",标准坦克设计!$B$23:$U$23,0)))*(VLOOKUP($B25,INDIRECT($B$5&amp;"生成成长"),3))*(VLOOKUP($B$5,标准坦克设计!$B$14:$K$20,9)/30))</f>
        <v>1.9608391307474893</v>
      </c>
      <c r="H25" s="172">
        <f ca="1">(VLOOKUP(H$13,INDIRECT($C$5&amp;"生成成长"),2))/((VLOOKUP($B25,INDIRECT($B$5&amp;"生成成长"),4))/(VLOOKUP(H$13,INDIRECT($C$5&amp;"生成成长"),5))*(VLOOKUP($B$5,标准坦克设计!$B$24:$U$30,MATCH("对"&amp;LEFT($C$5,2)&amp;"输出",标准坦克设计!$B$23:$U$23,0)))*(VLOOKUP($B25,INDIRECT($B$5&amp;"生成成长"),3))*(VLOOKUP($B$5,标准坦克设计!$B$14:$K$20,9)/30))</f>
        <v>3.0018131938389465</v>
      </c>
      <c r="I25" s="172">
        <f ca="1">(VLOOKUP(I$13,INDIRECT($C$5&amp;"生成成长"),2))/((VLOOKUP($B25,INDIRECT($B$5&amp;"生成成长"),4))/(VLOOKUP(I$13,INDIRECT($C$5&amp;"生成成长"),5))*(VLOOKUP($B$5,标准坦克设计!$B$24:$U$30,MATCH("对"&amp;LEFT($C$5,2)&amp;"输出",标准坦克设计!$B$23:$U$23,0)))*(VLOOKUP($B25,INDIRECT($B$5&amp;"生成成长"),3))*(VLOOKUP($B$5,标准坦克设计!$B$14:$K$20,9)/30))</f>
        <v>4.9244889085829469</v>
      </c>
      <c r="J25" s="172">
        <f ca="1">(VLOOKUP(J$13,INDIRECT($C$5&amp;"生成成长"),2))/((VLOOKUP($B25,INDIRECT($B$5&amp;"生成成长"),4))/(VLOOKUP(J$13,INDIRECT($C$5&amp;"生成成长"),5))*(VLOOKUP($B$5,标准坦克设计!$B$24:$U$30,MATCH("对"&amp;LEFT($C$5,2)&amp;"输出",标准坦克设计!$B$23:$U$23,0)))*(VLOOKUP($B25,INDIRECT($B$5&amp;"生成成长"),3))*(VLOOKUP($B$5,标准坦克设计!$B$14:$K$20,9)/30))</f>
        <v>8.3155407807748141</v>
      </c>
      <c r="K25" s="172">
        <f ca="1">(VLOOKUP(K$13,INDIRECT($C$5&amp;"生成成长"),2))/((VLOOKUP($B25,INDIRECT($B$5&amp;"生成成长"),4))/(VLOOKUP(K$13,INDIRECT($C$5&amp;"生成成长"),5))*(VLOOKUP($B$5,标准坦克设计!$B$24:$U$30,MATCH("对"&amp;LEFT($C$5,2)&amp;"输出",标准坦克设计!$B$23:$U$23,0)))*(VLOOKUP($B25,INDIRECT($B$5&amp;"生成成长"),3))*(VLOOKUP($B$5,标准坦克设计!$B$14:$K$20,9)/30))</f>
        <v>3.1264427996067945</v>
      </c>
      <c r="L25" s="172">
        <f ca="1">(VLOOKUP(L$13,INDIRECT($C$5&amp;"生成成长"),2))/((VLOOKUP($B25,INDIRECT($B$5&amp;"生成成长"),4))/(VLOOKUP(L$13,INDIRECT($C$5&amp;"生成成长"),5))*(VLOOKUP($B$5,标准坦克设计!$B$24:$U$30,MATCH("对"&amp;LEFT($C$5,2)&amp;"输出",标准坦克设计!$B$23:$U$23,0)))*(VLOOKUP($B25,INDIRECT($B$5&amp;"生成成长"),3))*(VLOOKUP($B$5,标准坦克设计!$B$14:$K$20,9)/30))</f>
        <v>5.1374154214880168</v>
      </c>
      <c r="M25" s="172">
        <f ca="1">(VLOOKUP(M$13,INDIRECT($C$5&amp;"生成成长"),2))/((VLOOKUP($B25,INDIRECT($B$5&amp;"生成成长"),4))/(VLOOKUP(M$13,INDIRECT($C$5&amp;"生成成长"),5))*(VLOOKUP($B$5,标准坦克设计!$B$24:$U$30,MATCH("对"&amp;LEFT($C$5,2)&amp;"输出",标准坦克设计!$B$23:$U$23,0)))*(VLOOKUP($B25,INDIRECT($B$5&amp;"生成成长"),3))*(VLOOKUP($B$5,标准坦克设计!$B$14:$K$20,9)/30))</f>
        <v>8.6612647154189606</v>
      </c>
      <c r="P25" s="174" t="str">
        <f>"T"&amp;LEFT(RIGHT(Q25,3),1)&amp;""&amp;IF(LEFT(Q25,1)="1","低",IF(LEFT(Q25,1)="2","中","高"))&amp;"满"</f>
        <v>T2中满</v>
      </c>
      <c r="Q25" s="178">
        <v>20212</v>
      </c>
      <c r="R25" s="172">
        <f ca="1">(VLOOKUP(R$13,INDIRECT($C$5&amp;"生成成长"),2))/((VLOOKUP($Q25,INDIRECT($B$5&amp;"生成成长"),4))/(VLOOKUP(R$13,INDIRECT($C$5&amp;"生成成长"),5))*(VLOOKUP($B$5,标准坦克设计!$B$24:$U$30,MATCH("对"&amp;LEFT($C$5,2)&amp;"输出",标准坦克设计!$B$23:$U$23,0)))*(VLOOKUP($Q25,INDIRECT($B$5&amp;"生成成长"),3))*(VLOOKUP($B$5,标准坦克设计!$B$14:$K$20,9)/30))</f>
        <v>1.9629669975263937</v>
      </c>
      <c r="S25" s="172">
        <f ca="1">(VLOOKUP(S$13,INDIRECT($C$5&amp;"生成成长"),2))/((VLOOKUP($Q25,INDIRECT($B$5&amp;"生成成长"),4))/(VLOOKUP(S$13,INDIRECT($C$5&amp;"生成成长"),5))*(VLOOKUP($B$5,标准坦克设计!$B$24:$U$30,MATCH("对"&amp;LEFT($C$5,2)&amp;"输出",标准坦克设计!$B$23:$U$23,0)))*(VLOOKUP($Q25,INDIRECT($B$5&amp;"生成成长"),3))*(VLOOKUP($B$5,标准坦克设计!$B$14:$K$20,9)/30))</f>
        <v>3.0182580553965837</v>
      </c>
      <c r="T25" s="172">
        <f ca="1">(VLOOKUP(T$13,INDIRECT($C$5&amp;"生成成长"),2))/((VLOOKUP($Q25,INDIRECT($B$5&amp;"生成成长"),4))/(VLOOKUP(T$13,INDIRECT($C$5&amp;"生成成长"),5))*(VLOOKUP($B$5,标准坦克设计!$B$24:$U$30,MATCH("对"&amp;LEFT($C$5,2)&amp;"输出",标准坦克设计!$B$23:$U$23,0)))*(VLOOKUP($Q25,INDIRECT($B$5&amp;"生成成长"),3))*(VLOOKUP($B$5,标准坦克设计!$B$14:$K$20,9)/30))</f>
        <v>2.6413683918715161</v>
      </c>
      <c r="U25" s="172">
        <f ca="1">(VLOOKUP(U$13,INDIRECT($C$5&amp;"生成成长"),2))/((VLOOKUP($Q25,INDIRECT($B$5&amp;"生成成长"),4))/(VLOOKUP(U$13,INDIRECT($C$5&amp;"生成成长"),5))*(VLOOKUP($B$5,标准坦克设计!$B$24:$U$30,MATCH("对"&amp;LEFT($C$5,2)&amp;"输出",标准坦克设计!$B$23:$U$23,0)))*(VLOOKUP($Q25,INDIRECT($B$5&amp;"生成成长"),3))*(VLOOKUP($B$5,标准坦克设计!$B$14:$K$20,9)/30))</f>
        <v>5.2795960365469883</v>
      </c>
      <c r="V25" s="172">
        <f ca="1">(VLOOKUP(V$13,INDIRECT($C$5&amp;"生成成长"),2))/((VLOOKUP($Q25,INDIRECT($B$5&amp;"生成成长"),4))/(VLOOKUP(V$13,INDIRECT($C$5&amp;"生成成长"),5))*(VLOOKUP($B$5,标准坦克设计!$B$24:$U$30,MATCH("对"&amp;LEFT($C$5,2)&amp;"输出",标准坦克设计!$B$23:$U$23,0)))*(VLOOKUP($Q25,INDIRECT($B$5&amp;"生成成长"),3))*(VLOOKUP($B$5,标准坦克设计!$B$14:$K$20,9)/30))</f>
        <v>4.0140712132417233</v>
      </c>
      <c r="W25" s="172">
        <f ca="1">(VLOOKUP(W$13,INDIRECT($C$5&amp;"生成成长"),2))/((VLOOKUP($Q25,INDIRECT($B$5&amp;"生成成长"),4))/(VLOOKUP(W$13,INDIRECT($C$5&amp;"生成成长"),5))*(VLOOKUP($B$5,标准坦克设计!$B$24:$U$30,MATCH("对"&amp;LEFT($C$5,2)&amp;"输出",标准坦克设计!$B$23:$U$23,0)))*(VLOOKUP($Q25,INDIRECT($B$5&amp;"生成成长"),3))*(VLOOKUP($B$5,标准坦克设计!$B$14:$K$20,9)/30))</f>
        <v>9.073814946065756</v>
      </c>
      <c r="X25" s="172">
        <f ca="1">(VLOOKUP(X$13,INDIRECT($C$5&amp;"生成成长"),2))/((VLOOKUP($Q25,INDIRECT($B$5&amp;"生成成长"),4))/(VLOOKUP(X$13,INDIRECT($C$5&amp;"生成成长"),5))*(VLOOKUP($B$5,标准坦克设计!$B$24:$U$30,MATCH("对"&amp;LEFT($C$5,2)&amp;"输出",标准坦克设计!$B$23:$U$23,0)))*(VLOOKUP($Q25,INDIRECT($B$5&amp;"生成成长"),3))*(VLOOKUP($B$5,标准坦克设计!$B$14:$K$20,9)/30))</f>
        <v>6.5737801780161416</v>
      </c>
      <c r="Y25" s="172">
        <f ca="1">(VLOOKUP(Y$13,INDIRECT($C$5&amp;"生成成长"),2))/((VLOOKUP($Q25,INDIRECT($B$5&amp;"生成成长"),4))/(VLOOKUP(Y$13,INDIRECT($C$5&amp;"生成成长"),5))*(VLOOKUP($B$5,标准坦克设计!$B$24:$U$30,MATCH("对"&amp;LEFT($C$5,2)&amp;"输出",标准坦克设计!$B$23:$U$23,0)))*(VLOOKUP($Q25,INDIRECT($B$5&amp;"生成成长"),3))*(VLOOKUP($B$5,标准坦克设计!$B$14:$K$20,9)/30))</f>
        <v>15.721206386489136</v>
      </c>
      <c r="Z25" s="172">
        <f ca="1">(VLOOKUP(Z$13,INDIRECT($C$5&amp;"生成成长"),2))/((VLOOKUP($Q25,INDIRECT($B$5&amp;"生成成长"),4))/(VLOOKUP(Z$13,INDIRECT($C$5&amp;"生成成长"),5))*(VLOOKUP($B$5,标准坦克设计!$B$24:$U$30,MATCH("对"&amp;LEFT($C$5,2)&amp;"输出",标准坦克设计!$B$23:$U$23,0)))*(VLOOKUP($Q25,INDIRECT($B$5&amp;"生成成长"),3))*(VLOOKUP($B$5,标准坦克设计!$B$14:$K$20,9)/30))</f>
        <v>2.7332352473557511</v>
      </c>
      <c r="AA25" s="172">
        <f ca="1">(VLOOKUP(AA$13,INDIRECT($C$5&amp;"生成成长"),2))/((VLOOKUP($Q25,INDIRECT($B$5&amp;"生成成长"),4))/(VLOOKUP(AA$13,INDIRECT($C$5&amp;"生成成长"),5))*(VLOOKUP($B$5,标准坦克设计!$B$24:$U$30,MATCH("对"&amp;LEFT($C$5,2)&amp;"输出",标准坦克设计!$B$23:$U$23,0)))*(VLOOKUP($Q25,INDIRECT($B$5&amp;"生成成长"),3))*(VLOOKUP($B$5,标准坦克设计!$B$14:$K$20,9)/30))</f>
        <v>8.6566844590913981</v>
      </c>
      <c r="AB25" s="172">
        <f ca="1">(VLOOKUP(AB$13,INDIRECT($C$5&amp;"生成成长"),2))/((VLOOKUP($Q25,INDIRECT($B$5&amp;"生成成长"),4))/(VLOOKUP(AB$13,INDIRECT($C$5&amp;"生成成长"),5))*(VLOOKUP($B$5,标准坦克设计!$B$24:$U$30,MATCH("对"&amp;LEFT($C$5,2)&amp;"输出",标准坦克设计!$B$23:$U$23,0)))*(VLOOKUP($Q25,INDIRECT($B$5&amp;"生成成长"),3))*(VLOOKUP($B$5,标准坦克设计!$B$14:$K$20,9)/30))</f>
        <v>4.184260451927261</v>
      </c>
      <c r="AC25" s="172">
        <f ca="1">(VLOOKUP(AC$13,INDIRECT($C$5&amp;"生成成长"),2))/((VLOOKUP($Q25,INDIRECT($B$5&amp;"生成成长"),4))/(VLOOKUP(AC$13,INDIRECT($C$5&amp;"生成成长"),5))*(VLOOKUP($B$5,标准坦克设计!$B$24:$U$30,MATCH("对"&amp;LEFT($C$5,2)&amp;"输出",标准坦克设计!$B$23:$U$23,0)))*(VLOOKUP($Q25,INDIRECT($B$5&amp;"生成成长"),3))*(VLOOKUP($B$5,标准坦克设计!$B$14:$K$20,9)/30))</f>
        <v>15.061649475320269</v>
      </c>
      <c r="AD25" s="172">
        <f ca="1">(VLOOKUP(AD$13,INDIRECT($C$5&amp;"生成成长"),2))/((VLOOKUP($Q25,INDIRECT($B$5&amp;"生成成长"),4))/(VLOOKUP(AD$13,INDIRECT($C$5&amp;"生成成长"),5))*(VLOOKUP($B$5,标准坦克设计!$B$24:$U$30,MATCH("对"&amp;LEFT($C$5,2)&amp;"输出",标准坦克设计!$B$23:$U$23,0)))*(VLOOKUP($Q25,INDIRECT($B$5&amp;"生成成长"),3))*(VLOOKUP($B$5,标准坦克设计!$B$14:$K$20,9)/30))</f>
        <v>6.8642992936500473</v>
      </c>
      <c r="AE25" s="172">
        <f ca="1">(VLOOKUP(AE$13,INDIRECT($C$5&amp;"生成成长"),2))/((VLOOKUP($Q25,INDIRECT($B$5&amp;"生成成长"),4))/(VLOOKUP(AE$13,INDIRECT($C$5&amp;"生成成长"),5))*(VLOOKUP($B$5,标准坦克设计!$B$24:$U$30,MATCH("对"&amp;LEFT($C$5,2)&amp;"输出",标准坦克设计!$B$23:$U$23,0)))*(VLOOKUP($Q25,INDIRECT($B$5&amp;"生成成长"),3))*(VLOOKUP($B$5,标准坦克设计!$B$14:$K$20,9)/30))</f>
        <v>25.865819829705547</v>
      </c>
      <c r="AF25" s="172">
        <f ca="1">(VLOOKUP(AF$13,INDIRECT($C$5&amp;"生成成长"),2))/((VLOOKUP($Q25,INDIRECT($B$5&amp;"生成成长"),4))/(VLOOKUP(AF$13,INDIRECT($C$5&amp;"生成成长"),5))*(VLOOKUP($B$5,标准坦克设计!$B$24:$U$30,MATCH("对"&amp;LEFT($C$5,2)&amp;"输出",标准坦克设计!$B$23:$U$23,0)))*(VLOOKUP($Q25,INDIRECT($B$5&amp;"生成成长"),3))*(VLOOKUP($B$5,标准坦克设计!$B$14:$K$20,9)/30))</f>
        <v>11.591123823693607</v>
      </c>
      <c r="AG25" s="172">
        <f ca="1">(VLOOKUP(AG$13,INDIRECT($C$5&amp;"生成成长"),2))/((VLOOKUP($Q25,INDIRECT($B$5&amp;"生成成长"),4))/(VLOOKUP(AG$13,INDIRECT($C$5&amp;"生成成长"),5))*(VLOOKUP($B$5,标准坦克设计!$B$24:$U$30,MATCH("对"&amp;LEFT($C$5,2)&amp;"输出",标准坦克设计!$B$23:$U$23,0)))*(VLOOKUP($Q25,INDIRECT($B$5&amp;"生成成长"),3))*(VLOOKUP($B$5,标准坦克设计!$B$14:$K$20,9)/30))</f>
        <v>43.361940975358046</v>
      </c>
      <c r="AH25" s="172">
        <f ca="1">(VLOOKUP(AH$13,INDIRECT($C$5&amp;"生成成长"),2))/((VLOOKUP($Q25,INDIRECT($B$5&amp;"生成成长"),4))/(VLOOKUP(AH$13,INDIRECT($C$5&amp;"生成成长"),5))*(VLOOKUP($B$5,标准坦克设计!$B$24:$U$30,MATCH("对"&amp;LEFT($C$5,2)&amp;"输出",标准坦克设计!$B$23:$U$23,0)))*(VLOOKUP($Q25,INDIRECT($B$5&amp;"生成成长"),3))*(VLOOKUP($B$5,标准坦克设计!$B$14:$K$20,9)/30))</f>
        <v>4.3579830312083478</v>
      </c>
      <c r="AI25" s="172">
        <f ca="1">(VLOOKUP(AI$13,INDIRECT($C$5&amp;"生成成长"),2))/((VLOOKUP($Q25,INDIRECT($B$5&amp;"生成成长"),4))/(VLOOKUP(AI$13,INDIRECT($C$5&amp;"生成成长"),5))*(VLOOKUP($B$5,标准坦克设计!$B$24:$U$30,MATCH("对"&amp;LEFT($C$5,2)&amp;"输出",标准坦克设计!$B$23:$U$23,0)))*(VLOOKUP($Q25,INDIRECT($B$5&amp;"生成成长"),3))*(VLOOKUP($B$5,标准坦克设计!$B$14:$K$20,9)/30))</f>
        <v>15.944199437408136</v>
      </c>
      <c r="AJ25" s="172">
        <f ca="1">(VLOOKUP(AJ$13,INDIRECT($C$5&amp;"生成成长"),2))/((VLOOKUP($Q25,INDIRECT($B$5&amp;"生成成长"),4))/(VLOOKUP(AJ$13,INDIRECT($C$5&amp;"生成成长"),5))*(VLOOKUP($B$5,标准坦克设计!$B$24:$U$30,MATCH("对"&amp;LEFT($C$5,2)&amp;"输出",标准坦克设计!$B$23:$U$23,0)))*(VLOOKUP($Q25,INDIRECT($B$5&amp;"生成成长"),3))*(VLOOKUP($B$5,标准坦克设计!$B$14:$K$20,9)/30))</f>
        <v>7.1610999036760381</v>
      </c>
      <c r="AK25" s="172">
        <f ca="1">(VLOOKUP(AK$13,INDIRECT($C$5&amp;"生成成长"),2))/((VLOOKUP($Q25,INDIRECT($B$5&amp;"生成成长"),4))/(VLOOKUP(AK$13,INDIRECT($C$5&amp;"生成成长"),5))*(VLOOKUP($B$5,标准坦克设计!$B$24:$U$30,MATCH("对"&amp;LEFT($C$5,2)&amp;"输出",标准坦克设计!$B$23:$U$23,0)))*(VLOOKUP($Q25,INDIRECT($B$5&amp;"生成成长"),3))*(VLOOKUP($B$5,标准坦克设计!$B$14:$K$20,9)/30))</f>
        <v>27.310563539884964</v>
      </c>
      <c r="AL25" s="172">
        <f ca="1">(VLOOKUP(AL$13,INDIRECT($C$5&amp;"生成成长"),2))/((VLOOKUP($Q25,INDIRECT($B$5&amp;"生成成长"),4))/(VLOOKUP(AL$13,INDIRECT($C$5&amp;"生成成长"),5))*(VLOOKUP($B$5,标准坦克设计!$B$24:$U$30,MATCH("对"&amp;LEFT($C$5,2)&amp;"输出",标准坦克设计!$B$23:$U$23,0)))*(VLOOKUP($Q25,INDIRECT($B$5&amp;"生成成长"),3))*(VLOOKUP($B$5,标准坦克设计!$B$14:$K$20,9)/30))</f>
        <v>12.073032221586335</v>
      </c>
      <c r="AM25" s="172">
        <f ca="1">(VLOOKUP(AM$13,INDIRECT($C$5&amp;"生成成长"),2))/((VLOOKUP($Q25,INDIRECT($B$5&amp;"生成成长"),4))/(VLOOKUP(AM$13,INDIRECT($C$5&amp;"生成成长"),5))*(VLOOKUP($B$5,标准坦克设计!$B$24:$U$30,MATCH("对"&amp;LEFT($C$5,2)&amp;"输出",标准坦克设计!$B$23:$U$23,0)))*(VLOOKUP($Q25,INDIRECT($B$5&amp;"生成成长"),3))*(VLOOKUP($B$5,标准坦克设计!$B$14:$K$20,9)/30))</f>
        <v>45.604434473332205</v>
      </c>
    </row>
    <row r="26" spans="1:39" x14ac:dyDescent="0.15">
      <c r="P26" s="170" t="str">
        <f>"T"&amp;LEFT(RIGHT(Q26,3),1)&amp;""&amp;IF(LEFT(Q26,1)="1","低",IF(LEFT(Q26,1)="2","中","高"))&amp;"初"</f>
        <v>T3中初</v>
      </c>
      <c r="Q26" s="171">
        <v>20301</v>
      </c>
      <c r="R26" s="172">
        <f ca="1">(VLOOKUP(R$13,INDIRECT($C$5&amp;"生成成长"),2))/((VLOOKUP($Q26,INDIRECT($B$5&amp;"生成成长"),4))/(VLOOKUP(R$13,INDIRECT($C$5&amp;"生成成长"),5))*(VLOOKUP($B$5,标准坦克设计!$B$24:$U$30,MATCH("对"&amp;LEFT($C$5,2)&amp;"输出",标准坦克设计!$B$23:$U$23,0)))*(VLOOKUP($Q26,INDIRECT($B$5&amp;"生成成长"),3))*(VLOOKUP($B$5,标准坦克设计!$B$14:$K$20,9)/30))</f>
        <v>4.068429603869018</v>
      </c>
      <c r="S26" s="172">
        <f ca="1">(VLOOKUP(S$13,INDIRECT($C$5&amp;"生成成长"),2))/((VLOOKUP($Q26,INDIRECT($B$5&amp;"生成成长"),4))/(VLOOKUP(S$13,INDIRECT($C$5&amp;"生成成长"),5))*(VLOOKUP($B$5,标准坦克设计!$B$24:$U$30,MATCH("对"&amp;LEFT($C$5,2)&amp;"输出",标准坦克设计!$B$23:$U$23,0)))*(VLOOKUP($Q26,INDIRECT($B$5&amp;"生成成长"),3))*(VLOOKUP($B$5,标准坦克设计!$B$14:$K$20,9)/30))</f>
        <v>6.2556173589090003</v>
      </c>
      <c r="T26" s="172">
        <f ca="1">(VLOOKUP(T$13,INDIRECT($C$5&amp;"生成成长"),2))/((VLOOKUP($Q26,INDIRECT($B$5&amp;"生成成长"),4))/(VLOOKUP(T$13,INDIRECT($C$5&amp;"生成成长"),5))*(VLOOKUP($B$5,标准坦克设计!$B$24:$U$30,MATCH("对"&amp;LEFT($C$5,2)&amp;"输出",标准坦克设计!$B$23:$U$23,0)))*(VLOOKUP($Q26,INDIRECT($B$5&amp;"生成成长"),3))*(VLOOKUP($B$5,标准坦克设计!$B$14:$K$20,9)/30))</f>
        <v>5.4744788749661506</v>
      </c>
      <c r="U26" s="172">
        <f ca="1">(VLOOKUP(U$13,INDIRECT($C$5&amp;"生成成长"),2))/((VLOOKUP($Q26,INDIRECT($B$5&amp;"生成成长"),4))/(VLOOKUP(U$13,INDIRECT($C$5&amp;"生成成长"),5))*(VLOOKUP($B$5,标准坦克设计!$B$24:$U$30,MATCH("对"&amp;LEFT($C$5,2)&amp;"输出",标准坦克设计!$B$23:$U$23,0)))*(VLOOKUP($Q26,INDIRECT($B$5&amp;"生成成长"),3))*(VLOOKUP($B$5,标准坦克设计!$B$14:$K$20,9)/30))</f>
        <v>10.942448262566108</v>
      </c>
      <c r="V26" s="172">
        <f ca="1">(VLOOKUP(V$13,INDIRECT($C$5&amp;"生成成长"),2))/((VLOOKUP($Q26,INDIRECT($B$5&amp;"生成成长"),4))/(VLOOKUP(V$13,INDIRECT($C$5&amp;"生成成长"),5))*(VLOOKUP($B$5,标准坦克设计!$B$24:$U$30,MATCH("对"&amp;LEFT($C$5,2)&amp;"输出",标准坦克设计!$B$23:$U$23,0)))*(VLOOKUP($Q26,INDIRECT($B$5&amp;"生成成长"),3))*(VLOOKUP($B$5,标准坦克设计!$B$14:$K$20,9)/30))</f>
        <v>8.3195316969517545</v>
      </c>
      <c r="W26" s="172">
        <f ca="1">(VLOOKUP(W$13,INDIRECT($C$5&amp;"生成成长"),2))/((VLOOKUP($Q26,INDIRECT($B$5&amp;"生成成长"),4))/(VLOOKUP(W$13,INDIRECT($C$5&amp;"生成成长"),5))*(VLOOKUP($B$5,标准坦克设计!$B$24:$U$30,MATCH("对"&amp;LEFT($C$5,2)&amp;"输出",标准坦克设计!$B$23:$U$23,0)))*(VLOOKUP($Q26,INDIRECT($B$5&amp;"生成成长"),3))*(VLOOKUP($B$5,标准坦克设计!$B$14:$K$20,9)/30))</f>
        <v>18.806315843884533</v>
      </c>
      <c r="X26" s="172">
        <f ca="1">(VLOOKUP(X$13,INDIRECT($C$5&amp;"生成成长"),2))/((VLOOKUP($Q26,INDIRECT($B$5&amp;"生成成长"),4))/(VLOOKUP(X$13,INDIRECT($C$5&amp;"生成成长"),5))*(VLOOKUP($B$5,标准坦克设计!$B$24:$U$30,MATCH("对"&amp;LEFT($C$5,2)&amp;"输出",标准坦克设计!$B$23:$U$23,0)))*(VLOOKUP($Q26,INDIRECT($B$5&amp;"生成成长"),3))*(VLOOKUP($B$5,标准坦克设计!$B$14:$K$20,9)/30))</f>
        <v>13.624763900396953</v>
      </c>
      <c r="Y26" s="172">
        <f ca="1">(VLOOKUP(Y$13,INDIRECT($C$5&amp;"生成成长"),2))/((VLOOKUP($Q26,INDIRECT($B$5&amp;"生成成长"),4))/(VLOOKUP(Y$13,INDIRECT($C$5&amp;"生成成长"),5))*(VLOOKUP($B$5,标准坦克设计!$B$24:$U$30,MATCH("对"&amp;LEFT($C$5,2)&amp;"输出",标准坦克设计!$B$23:$U$23,0)))*(VLOOKUP($Q26,INDIRECT($B$5&amp;"生成成长"),3))*(VLOOKUP($B$5,标准坦克设计!$B$14:$K$20,9)/30))</f>
        <v>32.583645854426571</v>
      </c>
      <c r="Z26" s="172">
        <f ca="1">(VLOOKUP(Z$13,INDIRECT($C$5&amp;"生成成长"),2))/((VLOOKUP($Q26,INDIRECT($B$5&amp;"生成成长"),4))/(VLOOKUP(Z$13,INDIRECT($C$5&amp;"生成成长"),5))*(VLOOKUP($B$5,标准坦克设计!$B$24:$U$30,MATCH("对"&amp;LEFT($C$5,2)&amp;"输出",标准坦克设计!$B$23:$U$23,0)))*(VLOOKUP($Q26,INDIRECT($B$5&amp;"生成成长"),3))*(VLOOKUP($B$5,标准坦克设计!$B$14:$K$20,9)/30))</f>
        <v>5.6648813804272198</v>
      </c>
      <c r="AA26" s="172">
        <f ca="1">(VLOOKUP(AA$13,INDIRECT($C$5&amp;"生成成长"),2))/((VLOOKUP($Q26,INDIRECT($B$5&amp;"生成成长"),4))/(VLOOKUP(AA$13,INDIRECT($C$5&amp;"生成成长"),5))*(VLOOKUP($B$5,标准坦克设计!$B$24:$U$30,MATCH("对"&amp;LEFT($C$5,2)&amp;"输出",标准坦克设计!$B$23:$U$23,0)))*(VLOOKUP($Q26,INDIRECT($B$5&amp;"生成成长"),3))*(VLOOKUP($B$5,标准坦克设计!$B$14:$K$20,9)/30))</f>
        <v>17.941774553062366</v>
      </c>
      <c r="AB26" s="172">
        <f ca="1">(VLOOKUP(AB$13,INDIRECT($C$5&amp;"生成成长"),2))/((VLOOKUP($Q26,INDIRECT($B$5&amp;"生成成长"),4))/(VLOOKUP(AB$13,INDIRECT($C$5&amp;"生成成长"),5))*(VLOOKUP($B$5,标准坦克设计!$B$24:$U$30,MATCH("对"&amp;LEFT($C$5,2)&amp;"输出",标准坦克设计!$B$23:$U$23,0)))*(VLOOKUP($Q26,INDIRECT($B$5&amp;"生成成长"),3))*(VLOOKUP($B$5,标准坦克设计!$B$14:$K$20,9)/30))</f>
        <v>8.6722645436071986</v>
      </c>
      <c r="AC26" s="172">
        <f ca="1">(VLOOKUP(AC$13,INDIRECT($C$5&amp;"生成成长"),2))/((VLOOKUP($Q26,INDIRECT($B$5&amp;"生成成长"),4))/(VLOOKUP(AC$13,INDIRECT($C$5&amp;"生成成长"),5))*(VLOOKUP($B$5,标准坦克设计!$B$24:$U$30,MATCH("对"&amp;LEFT($C$5,2)&amp;"输出",标准坦克设计!$B$23:$U$23,0)))*(VLOOKUP($Q26,INDIRECT($B$5&amp;"生成成长"),3))*(VLOOKUP($B$5,标准坦克设计!$B$14:$K$20,9)/30))</f>
        <v>31.216653507526583</v>
      </c>
      <c r="AD26" s="172">
        <f ca="1">(VLOOKUP(AD$13,INDIRECT($C$5&amp;"生成成长"),2))/((VLOOKUP($Q26,INDIRECT($B$5&amp;"生成成长"),4))/(VLOOKUP(AD$13,INDIRECT($C$5&amp;"生成成长"),5))*(VLOOKUP($B$5,标准坦克设计!$B$24:$U$30,MATCH("对"&amp;LEFT($C$5,2)&amp;"输出",标准坦克设计!$B$23:$U$23,0)))*(VLOOKUP($Q26,INDIRECT($B$5&amp;"生成成长"),3))*(VLOOKUP($B$5,标准坦克设计!$B$14:$K$20,9)/30))</f>
        <v>14.226891481769568</v>
      </c>
      <c r="AE26" s="172">
        <f ca="1">(VLOOKUP(AE$13,INDIRECT($C$5&amp;"生成成长"),2))/((VLOOKUP($Q26,INDIRECT($B$5&amp;"生成成长"),4))/(VLOOKUP(AE$13,INDIRECT($C$5&amp;"生成成长"),5))*(VLOOKUP($B$5,标准坦克设计!$B$24:$U$30,MATCH("对"&amp;LEFT($C$5,2)&amp;"输出",标准坦克设计!$B$23:$U$23,0)))*(VLOOKUP($Q26,INDIRECT($B$5&amp;"生成成长"),3))*(VLOOKUP($B$5,标准坦克设计!$B$14:$K$20,9)/30))</f>
        <v>53.609290047221656</v>
      </c>
      <c r="AF26" s="172">
        <f ca="1">(VLOOKUP(AF$13,INDIRECT($C$5&amp;"生成成长"),2))/((VLOOKUP($Q26,INDIRECT($B$5&amp;"生成成长"),4))/(VLOOKUP(AF$13,INDIRECT($C$5&amp;"生成成长"),5))*(VLOOKUP($B$5,标准坦克设计!$B$24:$U$30,MATCH("对"&amp;LEFT($C$5,2)&amp;"输出",标准坦克设计!$B$23:$U$23,0)))*(VLOOKUP($Q26,INDIRECT($B$5&amp;"生成成长"),3))*(VLOOKUP($B$5,标准坦克设计!$B$14:$K$20,9)/30))</f>
        <v>24.02366996788616</v>
      </c>
      <c r="AG26" s="172">
        <f ca="1">(VLOOKUP(AG$13,INDIRECT($C$5&amp;"生成成长"),2))/((VLOOKUP($Q26,INDIRECT($B$5&amp;"生成成长"),4))/(VLOOKUP(AG$13,INDIRECT($C$5&amp;"生成成长"),5))*(VLOOKUP($B$5,标准坦克设计!$B$24:$U$30,MATCH("对"&amp;LEFT($C$5,2)&amp;"输出",标准坦克设计!$B$23:$U$23,0)))*(VLOOKUP($Q26,INDIRECT($B$5&amp;"生成成长"),3))*(VLOOKUP($B$5,标准坦克设计!$B$14:$K$20,9)/30))</f>
        <v>89.871609949466588</v>
      </c>
      <c r="AH26" s="172">
        <f ca="1">(VLOOKUP(AH$13,INDIRECT($C$5&amp;"生成成长"),2))/((VLOOKUP($Q26,INDIRECT($B$5&amp;"生成成长"),4))/(VLOOKUP(AH$13,INDIRECT($C$5&amp;"生成成长"),5))*(VLOOKUP($B$5,标准坦克设计!$B$24:$U$30,MATCH("对"&amp;LEFT($C$5,2)&amp;"输出",标准坦克设计!$B$23:$U$23,0)))*(VLOOKUP($Q26,INDIRECT($B$5&amp;"生成成长"),3))*(VLOOKUP($B$5,标准坦克设计!$B$14:$K$20,9)/30))</f>
        <v>9.0323205635496056</v>
      </c>
      <c r="AI26" s="172">
        <f ca="1">(VLOOKUP(AI$13,INDIRECT($C$5&amp;"生成成长"),2))/((VLOOKUP($Q26,INDIRECT($B$5&amp;"生成成长"),4))/(VLOOKUP(AI$13,INDIRECT($C$5&amp;"生成成长"),5))*(VLOOKUP($B$5,标准坦克设计!$B$24:$U$30,MATCH("对"&amp;LEFT($C$5,2)&amp;"输出",标准坦克设计!$B$23:$U$23,0)))*(VLOOKUP($Q26,INDIRECT($B$5&amp;"生成成长"),3))*(VLOOKUP($B$5,标准坦克设计!$B$14:$K$20,9)/30))</f>
        <v>33.045819457426092</v>
      </c>
      <c r="AJ26" s="172">
        <f ca="1">(VLOOKUP(AJ$13,INDIRECT($C$5&amp;"生成成长"),2))/((VLOOKUP($Q26,INDIRECT($B$5&amp;"生成成长"),4))/(VLOOKUP(AJ$13,INDIRECT($C$5&amp;"生成成长"),5))*(VLOOKUP($B$5,标准坦克设计!$B$24:$U$30,MATCH("对"&amp;LEFT($C$5,2)&amp;"输出",标准坦克设计!$B$23:$U$23,0)))*(VLOOKUP($Q26,INDIRECT($B$5&amp;"生成成长"),3))*(VLOOKUP($B$5,标准坦克设计!$B$14:$K$20,9)/30))</f>
        <v>14.842038037874563</v>
      </c>
      <c r="AK26" s="172">
        <f ca="1">(VLOOKUP(AK$13,INDIRECT($C$5&amp;"生成成长"),2))/((VLOOKUP($Q26,INDIRECT($B$5&amp;"生成成长"),4))/(VLOOKUP(AK$13,INDIRECT($C$5&amp;"生成成长"),5))*(VLOOKUP($B$5,标准坦克设计!$B$24:$U$30,MATCH("对"&amp;LEFT($C$5,2)&amp;"输出",标准坦克设计!$B$23:$U$23,0)))*(VLOOKUP($Q26,INDIRECT($B$5&amp;"生成成长"),3))*(VLOOKUP($B$5,标准坦克设计!$B$14:$K$20,9)/30))</f>
        <v>56.603654235669261</v>
      </c>
      <c r="AL26" s="172">
        <f ca="1">(VLOOKUP(AL$13,INDIRECT($C$5&amp;"生成成长"),2))/((VLOOKUP($Q26,INDIRECT($B$5&amp;"生成成长"),4))/(VLOOKUP(AL$13,INDIRECT($C$5&amp;"生成成长"),5))*(VLOOKUP($B$5,标准坦克设计!$B$24:$U$30,MATCH("对"&amp;LEFT($C$5,2)&amp;"输出",标准坦克设计!$B$23:$U$23,0)))*(VLOOKUP($Q26,INDIRECT($B$5&amp;"生成成长"),3))*(VLOOKUP($B$5,标准坦克设计!$B$14:$K$20,9)/30))</f>
        <v>25.022469435636001</v>
      </c>
      <c r="AM26" s="172">
        <f ca="1">(VLOOKUP(AM$13,INDIRECT($C$5&amp;"生成成长"),2))/((VLOOKUP($Q26,INDIRECT($B$5&amp;"生成成长"),4))/(VLOOKUP(AM$13,INDIRECT($C$5&amp;"生成成长"),5))*(VLOOKUP($B$5,标准坦克设计!$B$24:$U$30,MATCH("对"&amp;LEFT($C$5,2)&amp;"输出",标准坦克设计!$B$23:$U$23,0)))*(VLOOKUP($Q26,INDIRECT($B$5&amp;"生成成长"),3))*(VLOOKUP($B$5,标准坦克设计!$B$14:$K$20,9)/30))</f>
        <v>94.519383928926572</v>
      </c>
    </row>
    <row r="27" spans="1:39" x14ac:dyDescent="0.15">
      <c r="P27" s="170" t="str">
        <f>"T"&amp;LEFT(RIGHT(Q27,3),1)&amp;""&amp;IF(LEFT(Q27,1)="1","低",IF(LEFT(Q27,1)="2","中","高"))&amp;"满"</f>
        <v>T3中满</v>
      </c>
      <c r="Q27" s="171">
        <v>20315</v>
      </c>
      <c r="R27" s="172">
        <f ca="1">(VLOOKUP(R$13,INDIRECT($C$5&amp;"生成成长"),2))/((VLOOKUP($Q27,INDIRECT($B$5&amp;"生成成长"),4))/(VLOOKUP(R$13,INDIRECT($C$5&amp;"生成成长"),5))*(VLOOKUP($B$5,标准坦克设计!$B$24:$U$30,MATCH("对"&amp;LEFT($C$5,2)&amp;"输出",标准坦克设计!$B$23:$U$23,0)))*(VLOOKUP($Q27,INDIRECT($B$5&amp;"生成成长"),3))*(VLOOKUP($B$5,标准坦克设计!$B$14:$K$20,9)/30))</f>
        <v>1.1300211470698103</v>
      </c>
      <c r="S27" s="172">
        <f ca="1">(VLOOKUP(S$13,INDIRECT($C$5&amp;"生成成长"),2))/((VLOOKUP($Q27,INDIRECT($B$5&amp;"生成成长"),4))/(VLOOKUP(S$13,INDIRECT($C$5&amp;"生成成长"),5))*(VLOOKUP($B$5,标准坦克设计!$B$24:$U$30,MATCH("对"&amp;LEFT($C$5,2)&amp;"输出",标准坦克设计!$B$23:$U$23,0)))*(VLOOKUP($Q27,INDIRECT($B$5&amp;"生成成长"),3))*(VLOOKUP($B$5,标准坦克设计!$B$14:$K$20,9)/30))</f>
        <v>1.7375205157345401</v>
      </c>
      <c r="T27" s="172">
        <f ca="1">(VLOOKUP(T$13,INDIRECT($C$5&amp;"生成成长"),2))/((VLOOKUP($Q27,INDIRECT($B$5&amp;"生成成长"),4))/(VLOOKUP(T$13,INDIRECT($C$5&amp;"生成成长"),5))*(VLOOKUP($B$5,标准坦克设计!$B$24:$U$30,MATCH("对"&amp;LEFT($C$5,2)&amp;"输出",标准坦克设计!$B$23:$U$23,0)))*(VLOOKUP($Q27,INDIRECT($B$5&amp;"生成成长"),3))*(VLOOKUP($B$5,标准坦克设计!$B$14:$K$20,9)/30))</f>
        <v>1.5205564554971367</v>
      </c>
      <c r="U27" s="172">
        <f ca="1">(VLOOKUP(U$13,INDIRECT($C$5&amp;"生成成长"),2))/((VLOOKUP($Q27,INDIRECT($B$5&amp;"生成成长"),4))/(VLOOKUP(U$13,INDIRECT($C$5&amp;"生成成长"),5))*(VLOOKUP($B$5,标准坦克设计!$B$24:$U$30,MATCH("对"&amp;LEFT($C$5,2)&amp;"输出",标准坦克设计!$B$23:$U$23,0)))*(VLOOKUP($Q27,INDIRECT($B$5&amp;"生成成长"),3))*(VLOOKUP($B$5,标准坦克设计!$B$14:$K$20,9)/30))</f>
        <v>3.0393048771589619</v>
      </c>
      <c r="V27" s="172">
        <f ca="1">(VLOOKUP(V$13,INDIRECT($C$5&amp;"生成成长"),2))/((VLOOKUP($Q27,INDIRECT($B$5&amp;"生成成长"),4))/(VLOOKUP(V$13,INDIRECT($C$5&amp;"生成成长"),5))*(VLOOKUP($B$5,标准坦克设计!$B$24:$U$30,MATCH("对"&amp;LEFT($C$5,2)&amp;"输出",标准坦克设计!$B$23:$U$23,0)))*(VLOOKUP($Q27,INDIRECT($B$5&amp;"生成成长"),3))*(VLOOKUP($B$5,标准坦克设计!$B$14:$K$20,9)/30))</f>
        <v>2.3107802436430553</v>
      </c>
      <c r="W27" s="172">
        <f ca="1">(VLOOKUP(W$13,INDIRECT($C$5&amp;"生成成长"),2))/((VLOOKUP($Q27,INDIRECT($B$5&amp;"生成成长"),4))/(VLOOKUP(W$13,INDIRECT($C$5&amp;"生成成长"),5))*(VLOOKUP($B$5,标准坦克设计!$B$24:$U$30,MATCH("对"&amp;LEFT($C$5,2)&amp;"输出",标准坦克设计!$B$23:$U$23,0)))*(VLOOKUP($Q27,INDIRECT($B$5&amp;"生成成长"),3))*(VLOOKUP($B$5,标准坦克设计!$B$14:$K$20,9)/30))</f>
        <v>5.2235227523301981</v>
      </c>
      <c r="X27" s="172">
        <f ca="1">(VLOOKUP(X$13,INDIRECT($C$5&amp;"生成成长"),2))/((VLOOKUP($Q27,INDIRECT($B$5&amp;"生成成长"),4))/(VLOOKUP(X$13,INDIRECT($C$5&amp;"生成成长"),5))*(VLOOKUP($B$5,标准坦克设计!$B$24:$U$30,MATCH("对"&amp;LEFT($C$5,2)&amp;"输出",标准坦克设计!$B$23:$U$23,0)))*(VLOOKUP($Q27,INDIRECT($B$5&amp;"生成成长"),3))*(VLOOKUP($B$5,标准坦克设计!$B$14:$K$20,9)/30))</f>
        <v>3.7843278194220882</v>
      </c>
      <c r="Y27" s="172">
        <f ca="1">(VLOOKUP(Y$13,INDIRECT($C$5&amp;"生成成长"),2))/((VLOOKUP($Q27,INDIRECT($B$5&amp;"生成成长"),4))/(VLOOKUP(Y$13,INDIRECT($C$5&amp;"生成成长"),5))*(VLOOKUP($B$5,标准坦克设计!$B$24:$U$30,MATCH("对"&amp;LEFT($C$5,2)&amp;"输出",标准坦克设计!$B$23:$U$23,0)))*(VLOOKUP($Q27,INDIRECT($B$5&amp;"生成成长"),3))*(VLOOKUP($B$5,标准坦克设计!$B$14:$K$20,9)/30))</f>
        <v>9.0502263647674042</v>
      </c>
      <c r="Z27" s="172">
        <f ca="1">(VLOOKUP(Z$13,INDIRECT($C$5&amp;"生成成长"),2))/((VLOOKUP($Q27,INDIRECT($B$5&amp;"生成成长"),4))/(VLOOKUP(Z$13,INDIRECT($C$5&amp;"生成成长"),5))*(VLOOKUP($B$5,标准坦克设计!$B$24:$U$30,MATCH("对"&amp;LEFT($C$5,2)&amp;"输出",标准坦克设计!$B$23:$U$23,0)))*(VLOOKUP($Q27,INDIRECT($B$5&amp;"生成成长"),3))*(VLOOKUP($B$5,标准坦克设计!$B$14:$K$20,9)/30))</f>
        <v>1.5734414451800038</v>
      </c>
      <c r="AA27" s="172">
        <f ca="1">(VLOOKUP(AA$13,INDIRECT($C$5&amp;"生成成长"),2))/((VLOOKUP($Q27,INDIRECT($B$5&amp;"生成成长"),4))/(VLOOKUP(AA$13,INDIRECT($C$5&amp;"生成成长"),5))*(VLOOKUP($B$5,标准坦克设计!$B$24:$U$30,MATCH("对"&amp;LEFT($C$5,2)&amp;"输出",标准坦克设计!$B$23:$U$23,0)))*(VLOOKUP($Q27,INDIRECT($B$5&amp;"生成成长"),3))*(VLOOKUP($B$5,标准坦克设计!$B$14:$K$20,9)/30))</f>
        <v>4.9833932585778626</v>
      </c>
      <c r="AB27" s="172">
        <f ca="1">(VLOOKUP(AB$13,INDIRECT($C$5&amp;"生成成长"),2))/((VLOOKUP($Q27,INDIRECT($B$5&amp;"生成成长"),4))/(VLOOKUP(AB$13,INDIRECT($C$5&amp;"生成成长"),5))*(VLOOKUP($B$5,标准坦克设计!$B$24:$U$30,MATCH("对"&amp;LEFT($C$5,2)&amp;"输出",标准坦克设计!$B$23:$U$23,0)))*(VLOOKUP($Q27,INDIRECT($B$5&amp;"生成成长"),3))*(VLOOKUP($B$5,标准坦克设计!$B$14:$K$20,9)/30))</f>
        <v>2.408753077094008</v>
      </c>
      <c r="AC27" s="172">
        <f ca="1">(VLOOKUP(AC$13,INDIRECT($C$5&amp;"生成成长"),2))/((VLOOKUP($Q27,INDIRECT($B$5&amp;"生成成长"),4))/(VLOOKUP(AC$13,INDIRECT($C$5&amp;"生成成长"),5))*(VLOOKUP($B$5,标准坦克设计!$B$24:$U$30,MATCH("对"&amp;LEFT($C$5,2)&amp;"输出",标准坦克设计!$B$23:$U$23,0)))*(VLOOKUP($Q27,INDIRECT($B$5&amp;"生成成长"),3))*(VLOOKUP($B$5,标准坦克设计!$B$14:$K$20,9)/30))</f>
        <v>8.6705392593519477</v>
      </c>
      <c r="AD27" s="172">
        <f ca="1">(VLOOKUP(AD$13,INDIRECT($C$5&amp;"生成成长"),2))/((VLOOKUP($Q27,INDIRECT($B$5&amp;"生成成长"),4))/(VLOOKUP(AD$13,INDIRECT($C$5&amp;"生成成长"),5))*(VLOOKUP($B$5,标准坦克设计!$B$24:$U$30,MATCH("对"&amp;LEFT($C$5,2)&amp;"输出",标准坦克设计!$B$23:$U$23,0)))*(VLOOKUP($Q27,INDIRECT($B$5&amp;"生成成长"),3))*(VLOOKUP($B$5,标准坦克设计!$B$14:$K$20,9)/30))</f>
        <v>3.9515709491884197</v>
      </c>
      <c r="AE27" s="172">
        <f ca="1">(VLOOKUP(AE$13,INDIRECT($C$5&amp;"生成成长"),2))/((VLOOKUP($Q27,INDIRECT($B$5&amp;"生成成长"),4))/(VLOOKUP(AE$13,INDIRECT($C$5&amp;"生成成长"),5))*(VLOOKUP($B$5,标准坦克设计!$B$24:$U$30,MATCH("对"&amp;LEFT($C$5,2)&amp;"输出",标准坦克设计!$B$23:$U$23,0)))*(VLOOKUP($Q27,INDIRECT($B$5&amp;"生成成长"),3))*(VLOOKUP($B$5,标准坦克设计!$B$14:$K$20,9)/30))</f>
        <v>14.890175652824183</v>
      </c>
      <c r="AF27" s="172">
        <f ca="1">(VLOOKUP(AF$13,INDIRECT($C$5&amp;"生成成长"),2))/((VLOOKUP($Q27,INDIRECT($B$5&amp;"生成成长"),4))/(VLOOKUP(AF$13,INDIRECT($C$5&amp;"生成成长"),5))*(VLOOKUP($B$5,标准坦克设计!$B$24:$U$30,MATCH("对"&amp;LEFT($C$5,2)&amp;"输出",标准坦克设计!$B$23:$U$23,0)))*(VLOOKUP($Q27,INDIRECT($B$5&amp;"生成成长"),3))*(VLOOKUP($B$5,标准坦克设计!$B$14:$K$20,9)/30))</f>
        <v>6.6726618713325214</v>
      </c>
      <c r="AG27" s="172">
        <f ca="1">(VLOOKUP(AG$13,INDIRECT($C$5&amp;"生成成长"),2))/((VLOOKUP($Q27,INDIRECT($B$5&amp;"生成成长"),4))/(VLOOKUP(AG$13,INDIRECT($C$5&amp;"生成成长"),5))*(VLOOKUP($B$5,标准坦克设计!$B$24:$U$30,MATCH("对"&amp;LEFT($C$5,2)&amp;"输出",标准坦克设计!$B$23:$U$23,0)))*(VLOOKUP($Q27,INDIRECT($B$5&amp;"生成成长"),3))*(VLOOKUP($B$5,标准坦克设计!$B$14:$K$20,9)/30))</f>
        <v>24.962167138772102</v>
      </c>
      <c r="AH27" s="172">
        <f ca="1">(VLOOKUP(AH$13,INDIRECT($C$5&amp;"生成成长"),2))/((VLOOKUP($Q27,INDIRECT($B$5&amp;"生成成长"),4))/(VLOOKUP(AH$13,INDIRECT($C$5&amp;"生成成长"),5))*(VLOOKUP($B$5,标准坦克设计!$B$24:$U$30,MATCH("对"&amp;LEFT($C$5,2)&amp;"输出",标准坦克设计!$B$23:$U$23,0)))*(VLOOKUP($Q27,INDIRECT($B$5&amp;"生成成长"),3))*(VLOOKUP($B$5,标准坦克设计!$B$14:$K$20,9)/30))</f>
        <v>2.5087599486096854</v>
      </c>
      <c r="AI27" s="172">
        <f ca="1">(VLOOKUP(AI$13,INDIRECT($C$5&amp;"生成成长"),2))/((VLOOKUP($Q27,INDIRECT($B$5&amp;"生成成长"),4))/(VLOOKUP(AI$13,INDIRECT($C$5&amp;"生成成长"),5))*(VLOOKUP($B$5,标准坦克设计!$B$24:$U$30,MATCH("对"&amp;LEFT($C$5,2)&amp;"输出",标准坦克设计!$B$23:$U$23,0)))*(VLOOKUP($Q27,INDIRECT($B$5&amp;"生成成长"),3))*(VLOOKUP($B$5,标准坦克设计!$B$14:$K$20,9)/30))</f>
        <v>9.1785967670745325</v>
      </c>
      <c r="AJ27" s="172">
        <f ca="1">(VLOOKUP(AJ$13,INDIRECT($C$5&amp;"生成成长"),2))/((VLOOKUP($Q27,INDIRECT($B$5&amp;"生成成长"),4))/(VLOOKUP(AJ$13,INDIRECT($C$5&amp;"生成成长"),5))*(VLOOKUP($B$5,标准坦克设计!$B$24:$U$30,MATCH("对"&amp;LEFT($C$5,2)&amp;"输出",标准坦克设计!$B$23:$U$23,0)))*(VLOOKUP($Q27,INDIRECT($B$5&amp;"生成成长"),3))*(VLOOKUP($B$5,标准坦克设计!$B$14:$K$20,9)/30))</f>
        <v>4.1224301466253754</v>
      </c>
      <c r="AK27" s="172">
        <f ca="1">(VLOOKUP(AK$13,INDIRECT($C$5&amp;"生成成长"),2))/((VLOOKUP($Q27,INDIRECT($B$5&amp;"生成成长"),4))/(VLOOKUP(AK$13,INDIRECT($C$5&amp;"生成成长"),5))*(VLOOKUP($B$5,标准坦克设计!$B$24:$U$30,MATCH("对"&amp;LEFT($C$5,2)&amp;"输出",标准坦克设计!$B$23:$U$23,0)))*(VLOOKUP($Q27,INDIRECT($B$5&amp;"生成成长"),3))*(VLOOKUP($B$5,标准坦克设计!$B$14:$K$20,9)/30))</f>
        <v>15.721871217067562</v>
      </c>
      <c r="AL27" s="172">
        <f ca="1">(VLOOKUP(AL$13,INDIRECT($C$5&amp;"生成成长"),2))/((VLOOKUP($Q27,INDIRECT($B$5&amp;"生成成长"),4))/(VLOOKUP(AL$13,INDIRECT($C$5&amp;"生成成长"),5))*(VLOOKUP($B$5,标准坦克设计!$B$24:$U$30,MATCH("对"&amp;LEFT($C$5,2)&amp;"输出",标准坦克设计!$B$23:$U$23,0)))*(VLOOKUP($Q27,INDIRECT($B$5&amp;"生成成长"),3))*(VLOOKUP($B$5,标准坦克设计!$B$14:$K$20,9)/30))</f>
        <v>6.9500820629381606</v>
      </c>
      <c r="AM27" s="172">
        <f ca="1">(VLOOKUP(AM$13,INDIRECT($C$5&amp;"生成成长"),2))/((VLOOKUP($Q27,INDIRECT($B$5&amp;"生成成长"),4))/(VLOOKUP(AM$13,INDIRECT($C$5&amp;"生成成长"),5))*(VLOOKUP($B$5,标准坦克设计!$B$24:$U$30,MATCH("对"&amp;LEFT($C$5,2)&amp;"输出",标准坦克设计!$B$23:$U$23,0)))*(VLOOKUP($Q27,INDIRECT($B$5&amp;"生成成长"),3))*(VLOOKUP($B$5,标准坦克设计!$B$14:$K$20,9)/30))</f>
        <v>26.253103297184662</v>
      </c>
    </row>
    <row r="28" spans="1:39" x14ac:dyDescent="0.15">
      <c r="A28" s="363" t="s">
        <v>870</v>
      </c>
      <c r="B28" s="364"/>
      <c r="C28" s="168" t="str">
        <f>"T"&amp;LEFT(RIGHT(C29,3),1)&amp;""&amp;IF(LEFT(C29,1)="1","低品质",IF(LEFT(C29,1)="2","中品质","高品质"))&amp;""</f>
        <v>T1低品质</v>
      </c>
      <c r="D28" s="168" t="str">
        <f t="shared" ref="D28:M28" si="2">"T"&amp;LEFT(RIGHT(D29,3),1)&amp;""&amp;IF(LEFT(D29,1)="1","低品质",IF(LEFT(D29,1)="2","中品质","高品质"))&amp;""</f>
        <v>T2低品质</v>
      </c>
      <c r="E28" s="168" t="str">
        <f t="shared" si="2"/>
        <v>T3低品质</v>
      </c>
      <c r="F28" s="168" t="str">
        <f t="shared" si="2"/>
        <v>T4低品质</v>
      </c>
      <c r="G28" s="168" t="str">
        <f t="shared" si="2"/>
        <v>T2中品质</v>
      </c>
      <c r="H28" s="168" t="str">
        <f t="shared" si="2"/>
        <v>T3中品质</v>
      </c>
      <c r="I28" s="168" t="str">
        <f t="shared" si="2"/>
        <v>T4中品质</v>
      </c>
      <c r="J28" s="168" t="str">
        <f t="shared" si="2"/>
        <v>T5中品质</v>
      </c>
      <c r="K28" s="168" t="str">
        <f t="shared" si="2"/>
        <v>T3高品质</v>
      </c>
      <c r="L28" s="168" t="str">
        <f t="shared" si="2"/>
        <v>T4高品质</v>
      </c>
      <c r="M28" s="168" t="str">
        <f t="shared" si="2"/>
        <v>T5高品质</v>
      </c>
      <c r="P28" s="174" t="str">
        <f>"T"&amp;LEFT(RIGHT(Q28,3),1)&amp;""&amp;IF(LEFT(Q28,1)="1","低",IF(LEFT(Q28,1)="2","中","高"))&amp;"初"</f>
        <v>T4中初</v>
      </c>
      <c r="Q28" s="178">
        <v>20401</v>
      </c>
      <c r="R28" s="172">
        <f ca="1">(VLOOKUP(R$13,INDIRECT($C$5&amp;"生成成长"),2))/((VLOOKUP($Q28,INDIRECT($B$5&amp;"生成成长"),4))/(VLOOKUP(R$13,INDIRECT($C$5&amp;"生成成长"),5))*(VLOOKUP($B$5,标准坦克设计!$B$24:$U$30,MATCH("对"&amp;LEFT($C$5,2)&amp;"输出",标准坦克设计!$B$23:$U$23,0)))*(VLOOKUP($Q28,INDIRECT($B$5&amp;"生成成长"),3))*(VLOOKUP($B$5,标准坦克设计!$B$14:$K$20,9)/30))</f>
        <v>2.4748801454984846</v>
      </c>
      <c r="S28" s="172">
        <f ca="1">(VLOOKUP(S$13,INDIRECT($C$5&amp;"生成成长"),2))/((VLOOKUP($Q28,INDIRECT($B$5&amp;"生成成长"),4))/(VLOOKUP(S$13,INDIRECT($C$5&amp;"生成成长"),5))*(VLOOKUP($B$5,标准坦克设计!$B$24:$U$30,MATCH("对"&amp;LEFT($C$5,2)&amp;"输出",标准坦克设计!$B$23:$U$23,0)))*(VLOOKUP($Q28,INDIRECT($B$5&amp;"生成成长"),3))*(VLOOKUP($B$5,标准坦克设计!$B$14:$K$20,9)/30))</f>
        <v>3.805375711718471</v>
      </c>
      <c r="T28" s="172">
        <f ca="1">(VLOOKUP(T$13,INDIRECT($C$5&amp;"生成成长"),2))/((VLOOKUP($Q28,INDIRECT($B$5&amp;"生成成长"),4))/(VLOOKUP(T$13,INDIRECT($C$5&amp;"生成成长"),5))*(VLOOKUP($B$5,标准坦克设计!$B$24:$U$30,MATCH("对"&amp;LEFT($C$5,2)&amp;"输出",标准坦克设计!$B$23:$U$23,0)))*(VLOOKUP($Q28,INDIRECT($B$5&amp;"生成成长"),3))*(VLOOKUP($B$5,标准坦克设计!$B$14:$K$20,9)/30))</f>
        <v>3.3301987237827615</v>
      </c>
      <c r="U28" s="172">
        <f ca="1">(VLOOKUP(U$13,INDIRECT($C$5&amp;"生成成长"),2))/((VLOOKUP($Q28,INDIRECT($B$5&amp;"生成成长"),4))/(VLOOKUP(U$13,INDIRECT($C$5&amp;"生成成长"),5))*(VLOOKUP($B$5,标准坦克设计!$B$24:$U$30,MATCH("对"&amp;LEFT($C$5,2)&amp;"输出",标准坦克设计!$B$23:$U$23,0)))*(VLOOKUP($Q28,INDIRECT($B$5&amp;"生成成长"),3))*(VLOOKUP($B$5,标准坦克设计!$B$14:$K$20,9)/30))</f>
        <v>6.6564376393327258</v>
      </c>
      <c r="V28" s="172">
        <f ca="1">(VLOOKUP(V$13,INDIRECT($C$5&amp;"生成成长"),2))/((VLOOKUP($Q28,INDIRECT($B$5&amp;"生成成长"),4))/(VLOOKUP(V$13,INDIRECT($C$5&amp;"生成成长"),5))*(VLOOKUP($B$5,标准坦克设计!$B$24:$U$30,MATCH("对"&amp;LEFT($C$5,2)&amp;"输出",标准坦克设计!$B$23:$U$23,0)))*(VLOOKUP($Q28,INDIRECT($B$5&amp;"生成成长"),3))*(VLOOKUP($B$5,标准坦克设计!$B$14:$K$20,9)/30))</f>
        <v>5.0608824095298521</v>
      </c>
      <c r="W28" s="172">
        <f ca="1">(VLOOKUP(W$13,INDIRECT($C$5&amp;"生成成长"),2))/((VLOOKUP($Q28,INDIRECT($B$5&amp;"生成成长"),4))/(VLOOKUP(W$13,INDIRECT($C$5&amp;"生成成长"),5))*(VLOOKUP($B$5,标准坦克设计!$B$24:$U$30,MATCH("对"&amp;LEFT($C$5,2)&amp;"输出",标准坦克设计!$B$23:$U$23,0)))*(VLOOKUP($Q28,INDIRECT($B$5&amp;"生成成长"),3))*(VLOOKUP($B$5,标准坦克设计!$B$14:$K$20,9)/30))</f>
        <v>11.440133472566746</v>
      </c>
      <c r="X28" s="172">
        <f ca="1">(VLOOKUP(X$13,INDIRECT($C$5&amp;"生成成长"),2))/((VLOOKUP($Q28,INDIRECT($B$5&amp;"生成成长"),4))/(VLOOKUP(X$13,INDIRECT($C$5&amp;"生成成长"),5))*(VLOOKUP($B$5,标准坦克设计!$B$24:$U$30,MATCH("对"&amp;LEFT($C$5,2)&amp;"输出",标准坦克设计!$B$23:$U$23,0)))*(VLOOKUP($Q28,INDIRECT($B$5&amp;"生成成长"),3))*(VLOOKUP($B$5,标准坦克设计!$B$14:$K$20,9)/30))</f>
        <v>8.288126119259875</v>
      </c>
      <c r="Y28" s="172">
        <f ca="1">(VLOOKUP(Y$13,INDIRECT($C$5&amp;"生成成长"),2))/((VLOOKUP($Q28,INDIRECT($B$5&amp;"生成成长"),4))/(VLOOKUP(Y$13,INDIRECT($C$5&amp;"生成成长"),5))*(VLOOKUP($B$5,标准坦克设计!$B$24:$U$30,MATCH("对"&amp;LEFT($C$5,2)&amp;"输出",标准坦克设计!$B$23:$U$23,0)))*(VLOOKUP($Q28,INDIRECT($B$5&amp;"生成成长"),3))*(VLOOKUP($B$5,标准坦克设计!$B$14:$K$20,9)/30))</f>
        <v>19.821067597282816</v>
      </c>
      <c r="Z28" s="172">
        <f ca="1">(VLOOKUP(Z$13,INDIRECT($C$5&amp;"生成成长"),2))/((VLOOKUP($Q28,INDIRECT($B$5&amp;"生成成长"),4))/(VLOOKUP(Z$13,INDIRECT($C$5&amp;"生成成长"),5))*(VLOOKUP($B$5,标准坦克设计!$B$24:$U$30,MATCH("对"&amp;LEFT($C$5,2)&amp;"输出",标准坦克设计!$B$23:$U$23,0)))*(VLOOKUP($Q28,INDIRECT($B$5&amp;"生成成长"),3))*(VLOOKUP($B$5,标准坦克设计!$B$14:$K$20,9)/30))</f>
        <v>3.4460231145920903</v>
      </c>
      <c r="AA28" s="172">
        <f ca="1">(VLOOKUP(AA$13,INDIRECT($C$5&amp;"生成成长"),2))/((VLOOKUP($Q28,INDIRECT($B$5&amp;"生成成长"),4))/(VLOOKUP(AA$13,INDIRECT($C$5&amp;"生成成长"),5))*(VLOOKUP($B$5,标准坦克设计!$B$24:$U$30,MATCH("对"&amp;LEFT($C$5,2)&amp;"输出",标准坦克设计!$B$23:$U$23,0)))*(VLOOKUP($Q28,INDIRECT($B$5&amp;"生成成长"),3))*(VLOOKUP($B$5,标准坦克设计!$B$14:$K$20,9)/30))</f>
        <v>10.914221441648319</v>
      </c>
      <c r="AB28" s="172">
        <f ca="1">(VLOOKUP(AB$13,INDIRECT($C$5&amp;"生成成长"),2))/((VLOOKUP($Q28,INDIRECT($B$5&amp;"生成成长"),4))/(VLOOKUP(AB$13,INDIRECT($C$5&amp;"生成成长"),5))*(VLOOKUP($B$5,标准坦克设计!$B$24:$U$30,MATCH("对"&amp;LEFT($C$5,2)&amp;"输出",标准坦克设计!$B$23:$U$23,0)))*(VLOOKUP($Q28,INDIRECT($B$5&amp;"生成成长"),3))*(VLOOKUP($B$5,标准坦克设计!$B$14:$K$20,9)/30))</f>
        <v>5.2754545181445716</v>
      </c>
      <c r="AC28" s="172">
        <f ca="1">(VLOOKUP(AC$13,INDIRECT($C$5&amp;"生成成长"),2))/((VLOOKUP($Q28,INDIRECT($B$5&amp;"生成成长"),4))/(VLOOKUP(AC$13,INDIRECT($C$5&amp;"生成成长"),5))*(VLOOKUP($B$5,标准坦克设计!$B$24:$U$30,MATCH("对"&amp;LEFT($C$5,2)&amp;"输出",标准坦克设计!$B$23:$U$23,0)))*(VLOOKUP($Q28,INDIRECT($B$5&amp;"生成成长"),3))*(VLOOKUP($B$5,标准坦克设计!$B$14:$K$20,9)/30))</f>
        <v>18.989507868395325</v>
      </c>
      <c r="AD28" s="172">
        <f ca="1">(VLOOKUP(AD$13,INDIRECT($C$5&amp;"生成成长"),2))/((VLOOKUP($Q28,INDIRECT($B$5&amp;"生成成长"),4))/(VLOOKUP(AD$13,INDIRECT($C$5&amp;"生成成长"),5))*(VLOOKUP($B$5,标准坦克设计!$B$24:$U$30,MATCH("对"&amp;LEFT($C$5,2)&amp;"输出",标准坦克设计!$B$23:$U$23,0)))*(VLOOKUP($Q28,INDIRECT($B$5&amp;"生成成长"),3))*(VLOOKUP($B$5,标准坦克设计!$B$14:$K$20,9)/30))</f>
        <v>8.6544083807936527</v>
      </c>
      <c r="AE28" s="172">
        <f ca="1">(VLOOKUP(AE$13,INDIRECT($C$5&amp;"生成成长"),2))/((VLOOKUP($Q28,INDIRECT($B$5&amp;"生成成长"),4))/(VLOOKUP(AE$13,INDIRECT($C$5&amp;"生成成长"),5))*(VLOOKUP($B$5,标准坦克设计!$B$24:$U$30,MATCH("对"&amp;LEFT($C$5,2)&amp;"输出",标准坦克设计!$B$23:$U$23,0)))*(VLOOKUP($Q28,INDIRECT($B$5&amp;"生成成长"),3))*(VLOOKUP($B$5,标准坦克设计!$B$14:$K$20,9)/30))</f>
        <v>32.61124818921899</v>
      </c>
      <c r="AF28" s="172">
        <f ca="1">(VLOOKUP(AF$13,INDIRECT($C$5&amp;"生成成长"),2))/((VLOOKUP($Q28,INDIRECT($B$5&amp;"生成成长"),4))/(VLOOKUP(AF$13,INDIRECT($C$5&amp;"生成成长"),5))*(VLOOKUP($B$5,标准坦克设计!$B$24:$U$30,MATCH("对"&amp;LEFT($C$5,2)&amp;"输出",标准坦克设计!$B$23:$U$23,0)))*(VLOOKUP($Q28,INDIRECT($B$5&amp;"生成成长"),3))*(VLOOKUP($B$5,标准坦克设计!$B$14:$K$20,9)/30))</f>
        <v>14.613919771154002</v>
      </c>
      <c r="AG28" s="172">
        <f ca="1">(VLOOKUP(AG$13,INDIRECT($C$5&amp;"生成成长"),2))/((VLOOKUP($Q28,INDIRECT($B$5&amp;"生成成长"),4))/(VLOOKUP(AG$13,INDIRECT($C$5&amp;"生成成长"),5))*(VLOOKUP($B$5,标准坦克设计!$B$24:$U$30,MATCH("对"&amp;LEFT($C$5,2)&amp;"输出",标准坦克设计!$B$23:$U$23,0)))*(VLOOKUP($Q28,INDIRECT($B$5&amp;"生成成长"),3))*(VLOOKUP($B$5,标准坦克设计!$B$14:$K$20,9)/30))</f>
        <v>54.670102414061532</v>
      </c>
      <c r="AH28" s="172">
        <f ca="1">(VLOOKUP(AH$13,INDIRECT($C$5&amp;"生成成长"),2))/((VLOOKUP($Q28,INDIRECT($B$5&amp;"生成成长"),4))/(VLOOKUP(AH$13,INDIRECT($C$5&amp;"生成成长"),5))*(VLOOKUP($B$5,标准坦克设计!$B$24:$U$30,MATCH("对"&amp;LEFT($C$5,2)&amp;"输出",标准坦克设计!$B$23:$U$23,0)))*(VLOOKUP($Q28,INDIRECT($B$5&amp;"生成成长"),3))*(VLOOKUP($B$5,标准坦克设计!$B$14:$K$20,9)/30))</f>
        <v>5.4944814110211855</v>
      </c>
      <c r="AI28" s="172">
        <f ca="1">(VLOOKUP(AI$13,INDIRECT($C$5&amp;"生成成长"),2))/((VLOOKUP($Q28,INDIRECT($B$5&amp;"生成成长"),4))/(VLOOKUP(AI$13,INDIRECT($C$5&amp;"生成成长"),5))*(VLOOKUP($B$5,标准坦克设计!$B$24:$U$30,MATCH("对"&amp;LEFT($C$5,2)&amp;"输出",标准坦克设计!$B$23:$U$23,0)))*(VLOOKUP($Q28,INDIRECT($B$5&amp;"生成成长"),3))*(VLOOKUP($B$5,标准坦克设计!$B$14:$K$20,9)/30))</f>
        <v>20.102213981811442</v>
      </c>
      <c r="AJ28" s="172">
        <f ca="1">(VLOOKUP(AJ$13,INDIRECT($C$5&amp;"生成成长"),2))/((VLOOKUP($Q28,INDIRECT($B$5&amp;"生成成长"),4))/(VLOOKUP(AJ$13,INDIRECT($C$5&amp;"生成成长"),5))*(VLOOKUP($B$5,标准坦克设计!$B$24:$U$30,MATCH("对"&amp;LEFT($C$5,2)&amp;"输出",标准坦克设计!$B$23:$U$23,0)))*(VLOOKUP($Q28,INDIRECT($B$5&amp;"生成成长"),3))*(VLOOKUP($B$5,标准坦克设计!$B$14:$K$20,9)/30))</f>
        <v>9.028610258793023</v>
      </c>
      <c r="AK28" s="172">
        <f ca="1">(VLOOKUP(AK$13,INDIRECT($C$5&amp;"生成成长"),2))/((VLOOKUP($Q28,INDIRECT($B$5&amp;"生成成长"),4))/(VLOOKUP(AK$13,INDIRECT($C$5&amp;"生成成长"),5))*(VLOOKUP($B$5,标准坦克设计!$B$24:$U$30,MATCH("对"&amp;LEFT($C$5,2)&amp;"输出",标准坦克设计!$B$23:$U$23,0)))*(VLOOKUP($Q28,INDIRECT($B$5&amp;"生成成长"),3))*(VLOOKUP($B$5,标准坦克设计!$B$14:$K$20,9)/30))</f>
        <v>34.432759976305867</v>
      </c>
      <c r="AL28" s="172">
        <f ca="1">(VLOOKUP(AL$13,INDIRECT($C$5&amp;"生成成长"),2))/((VLOOKUP($Q28,INDIRECT($B$5&amp;"生成成长"),4))/(VLOOKUP(AL$13,INDIRECT($C$5&amp;"生成成长"),5))*(VLOOKUP($B$5,标准坦克设计!$B$24:$U$30,MATCH("对"&amp;LEFT($C$5,2)&amp;"输出",标准坦克设计!$B$23:$U$23,0)))*(VLOOKUP($Q28,INDIRECT($B$5&amp;"生成成长"),3))*(VLOOKUP($B$5,标准坦克设计!$B$14:$K$20,9)/30))</f>
        <v>15.221502846873884</v>
      </c>
      <c r="AM28" s="172">
        <f ca="1">(VLOOKUP(AM$13,INDIRECT($C$5&amp;"生成成长"),2))/((VLOOKUP($Q28,INDIRECT($B$5&amp;"生成成长"),4))/(VLOOKUP(AM$13,INDIRECT($C$5&amp;"生成成长"),5))*(VLOOKUP($B$5,标准坦克设计!$B$24:$U$30,MATCH("对"&amp;LEFT($C$5,2)&amp;"输出",标准坦克设计!$B$23:$U$23,0)))*(VLOOKUP($Q28,INDIRECT($B$5&amp;"生成成长"),3))*(VLOOKUP($B$5,标准坦克设计!$B$14:$K$20,9)/30))</f>
        <v>57.497405492279007</v>
      </c>
    </row>
    <row r="29" spans="1:39" x14ac:dyDescent="0.15">
      <c r="A29" s="363" t="s">
        <v>868</v>
      </c>
      <c r="B29" s="364"/>
      <c r="C29" s="169">
        <v>10105</v>
      </c>
      <c r="D29" s="169">
        <v>10207</v>
      </c>
      <c r="E29" s="169">
        <v>10309</v>
      </c>
      <c r="F29" s="169">
        <v>10411</v>
      </c>
      <c r="G29" s="169">
        <v>20212</v>
      </c>
      <c r="H29" s="169">
        <v>20315</v>
      </c>
      <c r="I29" s="169">
        <v>20418</v>
      </c>
      <c r="J29" s="169">
        <v>20521</v>
      </c>
      <c r="K29" s="169">
        <v>30315</v>
      </c>
      <c r="L29" s="169">
        <v>30418</v>
      </c>
      <c r="M29" s="169">
        <v>30521</v>
      </c>
      <c r="P29" s="174" t="str">
        <f>"T"&amp;LEFT(RIGHT(Q29,3),1)&amp;""&amp;IF(LEFT(Q29,1)="1","低",IF(LEFT(Q29,1)="2","中","高"))&amp;"满"</f>
        <v>T4中满</v>
      </c>
      <c r="Q29" s="178">
        <v>20418</v>
      </c>
      <c r="R29" s="172">
        <f ca="1">(VLOOKUP(R$13,INDIRECT($C$5&amp;"生成成长"),2))/((VLOOKUP($Q29,INDIRECT($B$5&amp;"生成成长"),4))/(VLOOKUP(R$13,INDIRECT($C$5&amp;"生成成长"),5))*(VLOOKUP($B$5,标准坦克设计!$B$24:$U$30,MATCH("对"&amp;LEFT($C$5,2)&amp;"输出",标准坦克设计!$B$23:$U$23,0)))*(VLOOKUP($Q29,INDIRECT($B$5&amp;"生成成长"),3))*(VLOOKUP($B$5,标准坦克设计!$B$14:$K$20,9)/30))</f>
        <v>0.65764220206907398</v>
      </c>
      <c r="S29" s="172">
        <f ca="1">(VLOOKUP(S$13,INDIRECT($C$5&amp;"生成成长"),2))/((VLOOKUP($Q29,INDIRECT($B$5&amp;"生成成长"),4))/(VLOOKUP(S$13,INDIRECT($C$5&amp;"生成成长"),5))*(VLOOKUP($B$5,标准坦克设计!$B$24:$U$30,MATCH("对"&amp;LEFT($C$5,2)&amp;"输出",标准坦克设计!$B$23:$U$23,0)))*(VLOOKUP($Q29,INDIRECT($B$5&amp;"生成成长"),3))*(VLOOKUP($B$5,标准坦克设计!$B$14:$K$20,9)/30))</f>
        <v>1.0111906499014081</v>
      </c>
      <c r="T29" s="172">
        <f ca="1">(VLOOKUP(T$13,INDIRECT($C$5&amp;"生成成长"),2))/((VLOOKUP($Q29,INDIRECT($B$5&amp;"生成成长"),4))/(VLOOKUP(T$13,INDIRECT($C$5&amp;"生成成长"),5))*(VLOOKUP($B$5,标准坦克设计!$B$24:$U$30,MATCH("对"&amp;LEFT($C$5,2)&amp;"输出",标准坦克设计!$B$23:$U$23,0)))*(VLOOKUP($Q29,INDIRECT($B$5&amp;"生成成长"),3))*(VLOOKUP($B$5,标准坦克设计!$B$14:$K$20,9)/30))</f>
        <v>0.88492334710414589</v>
      </c>
      <c r="U29" s="172">
        <f ca="1">(VLOOKUP(U$13,INDIRECT($C$5&amp;"生成成长"),2))/((VLOOKUP($Q29,INDIRECT($B$5&amp;"生成成长"),4))/(VLOOKUP(U$13,INDIRECT($C$5&amp;"生成成长"),5))*(VLOOKUP($B$5,标准坦克设计!$B$24:$U$30,MATCH("对"&amp;LEFT($C$5,2)&amp;"输出",标准坦克设计!$B$23:$U$23,0)))*(VLOOKUP($Q29,INDIRECT($B$5&amp;"生成成长"),3))*(VLOOKUP($B$5,标准坦克设计!$B$14:$K$20,9)/30))</f>
        <v>1.7687944666849809</v>
      </c>
      <c r="V29" s="172">
        <f ca="1">(VLOOKUP(V$13,INDIRECT($C$5&amp;"生成成长"),2))/((VLOOKUP($Q29,INDIRECT($B$5&amp;"生成成长"),4))/(VLOOKUP(V$13,INDIRECT($C$5&amp;"生成成长"),5))*(VLOOKUP($B$5,标准坦克设计!$B$24:$U$30,MATCH("对"&amp;LEFT($C$5,2)&amp;"输出",标准坦克设计!$B$23:$U$23,0)))*(VLOOKUP($Q29,INDIRECT($B$5&amp;"生成成长"),3))*(VLOOKUP($B$5,标准坦克设计!$B$14:$K$20,9)/30))</f>
        <v>1.3448125390110492</v>
      </c>
      <c r="W29" s="172">
        <f ca="1">(VLOOKUP(W$13,INDIRECT($C$5&amp;"生成成长"),2))/((VLOOKUP($Q29,INDIRECT($B$5&amp;"生成成长"),4))/(VLOOKUP(W$13,INDIRECT($C$5&amp;"生成成长"),5))*(VLOOKUP($B$5,标准坦克设计!$B$24:$U$30,MATCH("对"&amp;LEFT($C$5,2)&amp;"输出",标准坦克设计!$B$23:$U$23,0)))*(VLOOKUP($Q29,INDIRECT($B$5&amp;"生成成长"),3))*(VLOOKUP($B$5,标准坦克设计!$B$14:$K$20,9)/30))</f>
        <v>3.0399510790642936</v>
      </c>
      <c r="X29" s="172">
        <f ca="1">(VLOOKUP(X$13,INDIRECT($C$5&amp;"生成成长"),2))/((VLOOKUP($Q29,INDIRECT($B$5&amp;"生成成长"),4))/(VLOOKUP(X$13,INDIRECT($C$5&amp;"生成成长"),5))*(VLOOKUP($B$5,标准坦克设计!$B$24:$U$30,MATCH("对"&amp;LEFT($C$5,2)&amp;"输出",标准坦克设计!$B$23:$U$23,0)))*(VLOOKUP($Q29,INDIRECT($B$5&amp;"生成成长"),3))*(VLOOKUP($B$5,标准坦克设计!$B$14:$K$20,9)/30))</f>
        <v>2.2023779705091213</v>
      </c>
      <c r="Y29" s="172">
        <f ca="1">(VLOOKUP(Y$13,INDIRECT($C$5&amp;"生成成长"),2))/((VLOOKUP($Q29,INDIRECT($B$5&amp;"生成成长"),4))/(VLOOKUP(Y$13,INDIRECT($C$5&amp;"生成成长"),5))*(VLOOKUP($B$5,标准坦克设计!$B$24:$U$30,MATCH("对"&amp;LEFT($C$5,2)&amp;"输出",标准坦克设计!$B$23:$U$23,0)))*(VLOOKUP($Q29,INDIRECT($B$5&amp;"生成成长"),3))*(VLOOKUP($B$5,标准坦克设计!$B$14:$K$20,9)/30))</f>
        <v>5.2669906321510052</v>
      </c>
      <c r="Z29" s="172">
        <f ca="1">(VLOOKUP(Z$13,INDIRECT($C$5&amp;"生成成长"),2))/((VLOOKUP($Q29,INDIRECT($B$5&amp;"生成成长"),4))/(VLOOKUP(Z$13,INDIRECT($C$5&amp;"生成成长"),5))*(VLOOKUP($B$5,标准坦克设计!$B$24:$U$30,MATCH("对"&amp;LEFT($C$5,2)&amp;"输出",标准坦克设计!$B$23:$U$23,0)))*(VLOOKUP($Q29,INDIRECT($B$5&amp;"生成成长"),3))*(VLOOKUP($B$5,标准坦克设计!$B$14:$K$20,9)/30))</f>
        <v>0.91570100216097861</v>
      </c>
      <c r="AA29" s="172">
        <f ca="1">(VLOOKUP(AA$13,INDIRECT($C$5&amp;"生成成长"),2))/((VLOOKUP($Q29,INDIRECT($B$5&amp;"生成成长"),4))/(VLOOKUP(AA$13,INDIRECT($C$5&amp;"生成成长"),5))*(VLOOKUP($B$5,标准坦克设计!$B$24:$U$30,MATCH("对"&amp;LEFT($C$5,2)&amp;"输出",标准坦克设计!$B$23:$U$23,0)))*(VLOOKUP($Q29,INDIRECT($B$5&amp;"生成成长"),3))*(VLOOKUP($B$5,标准坦克设计!$B$14:$K$20,9)/30))</f>
        <v>2.9002021111246155</v>
      </c>
      <c r="AB29" s="172">
        <f ca="1">(VLOOKUP(AB$13,INDIRECT($C$5&amp;"生成成长"),2))/((VLOOKUP($Q29,INDIRECT($B$5&amp;"生成成长"),4))/(VLOOKUP(AB$13,INDIRECT($C$5&amp;"生成成长"),5))*(VLOOKUP($B$5,标准坦克设计!$B$24:$U$30,MATCH("对"&amp;LEFT($C$5,2)&amp;"输出",标准坦克设计!$B$23:$U$23,0)))*(VLOOKUP($Q29,INDIRECT($B$5&amp;"生成成长"),3))*(VLOOKUP($B$5,标准坦克设计!$B$14:$K$20,9)/30))</f>
        <v>1.401830117930438</v>
      </c>
      <c r="AC29" s="172">
        <f ca="1">(VLOOKUP(AC$13,INDIRECT($C$5&amp;"生成成长"),2))/((VLOOKUP($Q29,INDIRECT($B$5&amp;"生成成长"),4))/(VLOOKUP(AC$13,INDIRECT($C$5&amp;"生成成长"),5))*(VLOOKUP($B$5,标准坦克设计!$B$24:$U$30,MATCH("对"&amp;LEFT($C$5,2)&amp;"输出",标准坦克设计!$B$23:$U$23,0)))*(VLOOKUP($Q29,INDIRECT($B$5&amp;"生成成长"),3))*(VLOOKUP($B$5,标准坦克设计!$B$14:$K$20,9)/30))</f>
        <v>5.0460228522557973</v>
      </c>
      <c r="AD29" s="172">
        <f ca="1">(VLOOKUP(AD$13,INDIRECT($C$5&amp;"生成成长"),2))/((VLOOKUP($Q29,INDIRECT($B$5&amp;"生成成长"),4))/(VLOOKUP(AD$13,INDIRECT($C$5&amp;"生成成长"),5))*(VLOOKUP($B$5,标准坦克设计!$B$24:$U$30,MATCH("对"&amp;LEFT($C$5,2)&amp;"输出",标准坦克设计!$B$23:$U$23,0)))*(VLOOKUP($Q29,INDIRECT($B$5&amp;"生成成长"),3))*(VLOOKUP($B$5,标准坦克设计!$B$14:$K$20,9)/30))</f>
        <v>2.2997090164153442</v>
      </c>
      <c r="AE29" s="172">
        <f ca="1">(VLOOKUP(AE$13,INDIRECT($C$5&amp;"生成成长"),2))/((VLOOKUP($Q29,INDIRECT($B$5&amp;"生成成长"),4))/(VLOOKUP(AE$13,INDIRECT($C$5&amp;"生成成长"),5))*(VLOOKUP($B$5,标准坦克设计!$B$24:$U$30,MATCH("对"&amp;LEFT($C$5,2)&amp;"输出",标准坦克设计!$B$23:$U$23,0)))*(VLOOKUP($Q29,INDIRECT($B$5&amp;"生成成长"),3))*(VLOOKUP($B$5,标准坦克设计!$B$14:$K$20,9)/30))</f>
        <v>8.6656855324439803</v>
      </c>
      <c r="AF29" s="172">
        <f ca="1">(VLOOKUP(AF$13,INDIRECT($C$5&amp;"生成成长"),2))/((VLOOKUP($Q29,INDIRECT($B$5&amp;"生成成长"),4))/(VLOOKUP(AF$13,INDIRECT($C$5&amp;"生成成长"),5))*(VLOOKUP($B$5,标准坦克设计!$B$24:$U$30,MATCH("对"&amp;LEFT($C$5,2)&amp;"输出",标准坦克设计!$B$23:$U$23,0)))*(VLOOKUP($Q29,INDIRECT($B$5&amp;"生成成长"),3))*(VLOOKUP($B$5,标准坦克设计!$B$14:$K$20,9)/30))</f>
        <v>3.8833114389976742</v>
      </c>
      <c r="AG29" s="172">
        <f ca="1">(VLOOKUP(AG$13,INDIRECT($C$5&amp;"生成成长"),2))/((VLOOKUP($Q29,INDIRECT($B$5&amp;"生成成长"),4))/(VLOOKUP(AG$13,INDIRECT($C$5&amp;"生成成长"),5))*(VLOOKUP($B$5,标准坦克设计!$B$24:$U$30,MATCH("对"&amp;LEFT($C$5,2)&amp;"输出",标准坦克设计!$B$23:$U$23,0)))*(VLOOKUP($Q29,INDIRECT($B$5&amp;"生成成长"),3))*(VLOOKUP($B$5,标准坦克设计!$B$14:$K$20,9)/30))</f>
        <v>14.52731624370584</v>
      </c>
      <c r="AH29" s="172">
        <f ca="1">(VLOOKUP(AH$13,INDIRECT($C$5&amp;"生成成长"),2))/((VLOOKUP($Q29,INDIRECT($B$5&amp;"生成成长"),4))/(VLOOKUP(AH$13,INDIRECT($C$5&amp;"生成成长"),5))*(VLOOKUP($B$5,标准坦克设计!$B$24:$U$30,MATCH("对"&amp;LEFT($C$5,2)&amp;"输出",标准坦克设计!$B$23:$U$23,0)))*(VLOOKUP($Q29,INDIRECT($B$5&amp;"生成成长"),3))*(VLOOKUP($B$5,标准坦克设计!$B$14:$K$20,9)/30))</f>
        <v>1.460031452813551</v>
      </c>
      <c r="AI29" s="172">
        <f ca="1">(VLOOKUP(AI$13,INDIRECT($C$5&amp;"生成成长"),2))/((VLOOKUP($Q29,INDIRECT($B$5&amp;"生成成长"),4))/(VLOOKUP(AI$13,INDIRECT($C$5&amp;"生成成长"),5))*(VLOOKUP($B$5,标准坦克设计!$B$24:$U$30,MATCH("对"&amp;LEFT($C$5,2)&amp;"输出",标准坦克设计!$B$23:$U$23,0)))*(VLOOKUP($Q29,INDIRECT($B$5&amp;"生成成长"),3))*(VLOOKUP($B$5,标准坦克设计!$B$14:$K$20,9)/30))</f>
        <v>5.3416987863060532</v>
      </c>
      <c r="AJ29" s="172">
        <f ca="1">(VLOOKUP(AJ$13,INDIRECT($C$5&amp;"生成成长"),2))/((VLOOKUP($Q29,INDIRECT($B$5&amp;"生成成长"),4))/(VLOOKUP(AJ$13,INDIRECT($C$5&amp;"生成成长"),5))*(VLOOKUP($B$5,标准坦克设计!$B$24:$U$30,MATCH("对"&amp;LEFT($C$5,2)&amp;"输出",标准坦克设计!$B$23:$U$23,0)))*(VLOOKUP($Q29,INDIRECT($B$5&amp;"生成成长"),3))*(VLOOKUP($B$5,标准坦克设计!$B$14:$K$20,9)/30))</f>
        <v>2.3991445173681885</v>
      </c>
      <c r="AK29" s="172">
        <f ca="1">(VLOOKUP(AK$13,INDIRECT($C$5&amp;"生成成长"),2))/((VLOOKUP($Q29,INDIRECT($B$5&amp;"生成成长"),4))/(VLOOKUP(AK$13,INDIRECT($C$5&amp;"生成成长"),5))*(VLOOKUP($B$5,标准坦克设计!$B$24:$U$30,MATCH("对"&amp;LEFT($C$5,2)&amp;"输出",标准坦克设计!$B$23:$U$23,0)))*(VLOOKUP($Q29,INDIRECT($B$5&amp;"生成成长"),3))*(VLOOKUP($B$5,标准坦克设计!$B$14:$K$20,9)/30))</f>
        <v>9.1497101931668166</v>
      </c>
      <c r="AL29" s="172">
        <f ca="1">(VLOOKUP(AL$13,INDIRECT($C$5&amp;"生成成长"),2))/((VLOOKUP($Q29,INDIRECT($B$5&amp;"生成成长"),4))/(VLOOKUP(AL$13,INDIRECT($C$5&amp;"生成成长"),5))*(VLOOKUP($B$5,标准坦克设计!$B$24:$U$30,MATCH("对"&amp;LEFT($C$5,2)&amp;"输出",标准坦克设计!$B$23:$U$23,0)))*(VLOOKUP($Q29,INDIRECT($B$5&amp;"生成成长"),3))*(VLOOKUP($B$5,标准坦克设计!$B$14:$K$20,9)/30))</f>
        <v>4.0447625996056322</v>
      </c>
      <c r="AM29" s="172">
        <f ca="1">(VLOOKUP(AM$13,INDIRECT($C$5&amp;"生成成长"),2))/((VLOOKUP($Q29,INDIRECT($B$5&amp;"生成成长"),4))/(VLOOKUP(AM$13,INDIRECT($C$5&amp;"生成成长"),5))*(VLOOKUP($B$5,标准坦克设计!$B$24:$U$30,MATCH("对"&amp;LEFT($C$5,2)&amp;"输出",标准坦克设计!$B$23:$U$23,0)))*(VLOOKUP($Q29,INDIRECT($B$5&amp;"生成成长"),3))*(VLOOKUP($B$5,标准坦克设计!$B$14:$K$20,9)/30))</f>
        <v>15.278606695349552</v>
      </c>
    </row>
    <row r="30" spans="1:39" x14ac:dyDescent="0.15">
      <c r="A30" s="170" t="str">
        <f>"T"&amp;LEFT(RIGHT(B30,3),1)&amp;""&amp;IF(LEFT(B30,1)="1","低品质",IF(LEFT(B30,1)="2","中品质","高品质"))&amp;""</f>
        <v>T1低品质</v>
      </c>
      <c r="B30" s="171">
        <v>10105</v>
      </c>
      <c r="C30" s="172">
        <f ca="1">(VLOOKUP(C$29,INDIRECT($C$5&amp;"生成成长"),2))/((VLOOKUP($B30,INDIRECT($B$5&amp;"生成成长"),4))/(VLOOKUP(C$29,INDIRECT($C$5&amp;"生成成长"),5))*(VLOOKUP($B$5,标准坦克设计!$B$24:$U$30,MATCH("对"&amp;LEFT($C$5,2)&amp;"输出",标准坦克设计!$B$23:$U$23,0)))*(VLOOKUP($B30,INDIRECT($B$5&amp;"生成成长"),3))*(VLOOKUP($B$5,标准坦克设计!$B$14:$K$20,9)/30))</f>
        <v>8.6612647154189606</v>
      </c>
      <c r="D30" s="172">
        <f ca="1">(VLOOKUP(D$29,INDIRECT($C$5&amp;"生成成长"),2))/((VLOOKUP($B30,INDIRECT($B$5&amp;"生成成长"),4))/(VLOOKUP(D$29,INDIRECT($C$5&amp;"生成成长"),5))*(VLOOKUP($B$5,标准坦克设计!$B$24:$U$30,MATCH("对"&amp;LEFT($C$5,2)&amp;"输出",标准坦克设计!$B$23:$U$23,0)))*(VLOOKUP($B30,INDIRECT($B$5&amp;"生成成长"),3))*(VLOOKUP($B$5,标准坦克设计!$B$14:$K$20,9)/30))</f>
        <v>15.150453680144921</v>
      </c>
      <c r="E30" s="172">
        <f ca="1">(VLOOKUP(E$29,INDIRECT($C$5&amp;"生成成长"),2))/((VLOOKUP($B30,INDIRECT($B$5&amp;"生成成长"),4))/(VLOOKUP(E$29,INDIRECT($C$5&amp;"生成成长"),5))*(VLOOKUP($B$5,标准坦克设计!$B$24:$U$30,MATCH("对"&amp;LEFT($C$5,2)&amp;"输出",标准坦克设计!$B$23:$U$23,0)))*(VLOOKUP($B30,INDIRECT($B$5&amp;"生成成长"),3))*(VLOOKUP($B$5,标准坦克设计!$B$14:$K$20,9)/30))</f>
        <v>26.038434018616112</v>
      </c>
      <c r="F30" s="172">
        <f ca="1">(VLOOKUP(F$29,INDIRECT($C$5&amp;"生成成长"),2))/((VLOOKUP($B30,INDIRECT($B$5&amp;"生成成长"),4))/(VLOOKUP(F$29,INDIRECT($C$5&amp;"生成成长"),5))*(VLOOKUP($B$5,标准坦克设计!$B$24:$U$30,MATCH("对"&amp;LEFT($C$5,2)&amp;"输出",标准坦克设计!$B$23:$U$23,0)))*(VLOOKUP($B30,INDIRECT($B$5&amp;"生成成长"),3))*(VLOOKUP($B$5,标准坦克设计!$B$14:$K$20,9)/30))</f>
        <v>45.113945746175141</v>
      </c>
      <c r="G30" s="172">
        <f ca="1">(VLOOKUP(G$29,INDIRECT($C$5&amp;"生成成长"),2))/((VLOOKUP($B30,INDIRECT($B$5&amp;"生成成长"),4))/(VLOOKUP(G$29,INDIRECT($C$5&amp;"生成成长"),5))*(VLOOKUP($B$5,标准坦克设计!$B$24:$U$30,MATCH("对"&amp;LEFT($C$5,2)&amp;"输出",标准坦克设计!$B$23:$U$23,0)))*(VLOOKUP($B30,INDIRECT($B$5&amp;"生成成长"),3))*(VLOOKUP($B$5,标准坦克设计!$B$14:$K$20,9)/30))</f>
        <v>24.841426505591581</v>
      </c>
      <c r="H30" s="172">
        <f ca="1">(VLOOKUP(H$29,INDIRECT($C$5&amp;"生成成长"),2))/((VLOOKUP($B30,INDIRECT($B$5&amp;"生成成长"),4))/(VLOOKUP(H$29,INDIRECT($C$5&amp;"生成成长"),5))*(VLOOKUP($B$5,标准坦克设计!$B$24:$U$30,MATCH("对"&amp;LEFT($C$5,2)&amp;"输出",标准坦克设计!$B$23:$U$23,0)))*(VLOOKUP($B30,INDIRECT($B$5&amp;"生成成长"),3))*(VLOOKUP($B$5,标准坦克设计!$B$14:$K$20,9)/30))</f>
        <v>43.22126563146341</v>
      </c>
      <c r="I30" s="172">
        <f ca="1">(VLOOKUP(I$29,INDIRECT($C$5&amp;"生成成长"),2))/((VLOOKUP($B30,INDIRECT($B$5&amp;"生成成长"),4))/(VLOOKUP(I$29,INDIRECT($C$5&amp;"生成成长"),5))*(VLOOKUP($B$5,标准坦克设计!$B$24:$U$30,MATCH("对"&amp;LEFT($C$5,2)&amp;"输出",标准坦克设计!$B$23:$U$23,0)))*(VLOOKUP($B30,INDIRECT($B$5&amp;"生成成长"),3))*(VLOOKUP($B$5,标准坦克设计!$B$14:$K$20,9)/30))</f>
        <v>74.225168462931904</v>
      </c>
      <c r="J30" s="172">
        <f ca="1">(VLOOKUP(J$29,INDIRECT($C$5&amp;"生成成长"),2))/((VLOOKUP($B30,INDIRECT($B$5&amp;"生成成长"),4))/(VLOOKUP(J$29,INDIRECT($C$5&amp;"生成成长"),5))*(VLOOKUP($B$5,标准坦克设计!$B$24:$U$30,MATCH("对"&amp;LEFT($C$5,2)&amp;"输出",标准坦克设计!$B$23:$U$23,0)))*(VLOOKUP($B30,INDIRECT($B$5&amp;"生成成长"),3))*(VLOOKUP($B$5,标准坦克设计!$B$14:$K$20,9)/30))</f>
        <v>124.4324515892331</v>
      </c>
      <c r="K30" s="172">
        <f ca="1">(VLOOKUP(K$29,INDIRECT($C$5&amp;"生成成长"),2))/((VLOOKUP($B30,INDIRECT($B$5&amp;"生成成长"),4))/(VLOOKUP(K$29,INDIRECT($C$5&amp;"生成成长"),5))*(VLOOKUP($B$5,标准坦克设计!$B$24:$U$30,MATCH("对"&amp;LEFT($C$5,2)&amp;"输出",标准坦克设计!$B$23:$U$23,0)))*(VLOOKUP($B30,INDIRECT($B$5&amp;"生成成长"),3))*(VLOOKUP($B$5,标准坦克设计!$B$14:$K$20,9)/30))</f>
        <v>45.753851880196727</v>
      </c>
      <c r="L30" s="172">
        <f ca="1">(VLOOKUP(L$29,INDIRECT($C$5&amp;"生成成长"),2))/((VLOOKUP($B30,INDIRECT($B$5&amp;"生成成长"),4))/(VLOOKUP(L$29,INDIRECT($C$5&amp;"生成成长"),5))*(VLOOKUP($B$5,标准坦克设计!$B$24:$U$30,MATCH("对"&amp;LEFT($C$5,2)&amp;"输出",标准坦克设计!$B$23:$U$23,0)))*(VLOOKUP($B30,INDIRECT($B$5&amp;"生成成长"),3))*(VLOOKUP($B$5,标准坦克设计!$B$14:$K$20,9)/30))</f>
        <v>78.371039190395706</v>
      </c>
      <c r="M30" s="172">
        <f ca="1">(VLOOKUP(M$29,INDIRECT($C$5&amp;"生成成长"),2))/((VLOOKUP($B30,INDIRECT($B$5&amp;"生成成长"),4))/(VLOOKUP(M$29,INDIRECT($C$5&amp;"生成成长"),5))*(VLOOKUP($B$5,标准坦克设计!$B$24:$U$30,MATCH("对"&amp;LEFT($C$5,2)&amp;"输出",标准坦克设计!$B$23:$U$23,0)))*(VLOOKUP($B30,INDIRECT($B$5&amp;"生成成长"),3))*(VLOOKUP($B$5,标准坦克设计!$B$14:$K$20,9)/30))</f>
        <v>130.86756397925302</v>
      </c>
      <c r="P30" s="170" t="str">
        <f>"T"&amp;LEFT(RIGHT(Q30,3),1)&amp;""&amp;IF(LEFT(Q30,1)="1","低",IF(LEFT(Q30,1)="2","中","高"))&amp;"初"</f>
        <v>T5中初</v>
      </c>
      <c r="Q30" s="171">
        <v>20501</v>
      </c>
      <c r="R30" s="172">
        <f ca="1">(VLOOKUP(R$13,INDIRECT($C$5&amp;"生成成长"),2))/((VLOOKUP($Q30,INDIRECT($B$5&amp;"生成成长"),4))/(VLOOKUP(R$13,INDIRECT($C$5&amp;"生成成长"),5))*(VLOOKUP($B$5,标准坦克设计!$B$24:$U$30,MATCH("对"&amp;LEFT($C$5,2)&amp;"输出",标准坦克设计!$B$23:$U$23,0)))*(VLOOKUP($Q30,INDIRECT($B$5&amp;"生成成长"),3))*(VLOOKUP($B$5,标准坦克设计!$B$14:$K$20,9)/30))</f>
        <v>1.4712777039560647</v>
      </c>
      <c r="S30" s="172">
        <f ca="1">(VLOOKUP(S$13,INDIRECT($C$5&amp;"生成成长"),2))/((VLOOKUP($Q30,INDIRECT($B$5&amp;"生成成长"),4))/(VLOOKUP(S$13,INDIRECT($C$5&amp;"生成成长"),5))*(VLOOKUP($B$5,标准坦克设计!$B$24:$U$30,MATCH("对"&amp;LEFT($C$5,2)&amp;"输出",标准坦克设计!$B$23:$U$23,0)))*(VLOOKUP($Q30,INDIRECT($B$5&amp;"生成成长"),3))*(VLOOKUP($B$5,标准坦克设计!$B$14:$K$20,9)/30))</f>
        <v>2.2622365976028456</v>
      </c>
      <c r="T30" s="172">
        <f ca="1">(VLOOKUP(T$13,INDIRECT($C$5&amp;"生成成长"),2))/((VLOOKUP($Q30,INDIRECT($B$5&amp;"生成成长"),4))/(VLOOKUP(T$13,INDIRECT($C$5&amp;"生成成长"),5))*(VLOOKUP($B$5,标准坦克设计!$B$24:$U$30,MATCH("对"&amp;LEFT($C$5,2)&amp;"输出",标准坦克设计!$B$23:$U$23,0)))*(VLOOKUP($Q30,INDIRECT($B$5&amp;"生成成长"),3))*(VLOOKUP($B$5,标准坦克设计!$B$14:$K$20,9)/30))</f>
        <v>1.9797512784432811</v>
      </c>
      <c r="U30" s="172">
        <f ca="1">(VLOOKUP(U$13,INDIRECT($C$5&amp;"生成成长"),2))/((VLOOKUP($Q30,INDIRECT($B$5&amp;"生成成长"),4))/(VLOOKUP(U$13,INDIRECT($C$5&amp;"生成成长"),5))*(VLOOKUP($B$5,标准坦克设计!$B$24:$U$30,MATCH("对"&amp;LEFT($C$5,2)&amp;"输出",标准坦克设计!$B$23:$U$23,0)))*(VLOOKUP($Q30,INDIRECT($B$5&amp;"生成成长"),3))*(VLOOKUP($B$5,标准坦克设计!$B$14:$K$20,9)/30))</f>
        <v>3.9571485125602321</v>
      </c>
      <c r="V30" s="172">
        <f ca="1">(VLOOKUP(V$13,INDIRECT($C$5&amp;"生成成长"),2))/((VLOOKUP($Q30,INDIRECT($B$5&amp;"生成成长"),4))/(VLOOKUP(V$13,INDIRECT($C$5&amp;"生成成长"),5))*(VLOOKUP($B$5,标准坦克设计!$B$24:$U$30,MATCH("对"&amp;LEFT($C$5,2)&amp;"输出",标准坦克设计!$B$23:$U$23,0)))*(VLOOKUP($Q30,INDIRECT($B$5&amp;"生成成长"),3))*(VLOOKUP($B$5,标准坦克设计!$B$14:$K$20,9)/30))</f>
        <v>3.0086157768197568</v>
      </c>
      <c r="W30" s="172">
        <f ca="1">(VLOOKUP(W$13,INDIRECT($C$5&amp;"生成成长"),2))/((VLOOKUP($Q30,INDIRECT($B$5&amp;"生成成长"),4))/(VLOOKUP(W$13,INDIRECT($C$5&amp;"生成成长"),5))*(VLOOKUP($B$5,标准坦克设计!$B$24:$U$30,MATCH("对"&amp;LEFT($C$5,2)&amp;"输出",标准坦克设计!$B$23:$U$23,0)))*(VLOOKUP($Q30,INDIRECT($B$5&amp;"生成成长"),3))*(VLOOKUP($B$5,标准坦克设计!$B$14:$K$20,9)/30))</f>
        <v>6.8009811865369105</v>
      </c>
      <c r="X30" s="172">
        <f ca="1">(VLOOKUP(X$13,INDIRECT($C$5&amp;"生成成长"),2))/((VLOOKUP($Q30,INDIRECT($B$5&amp;"生成成长"),4))/(VLOOKUP(X$13,INDIRECT($C$5&amp;"生成成长"),5))*(VLOOKUP($B$5,标准坦克设计!$B$24:$U$30,MATCH("对"&amp;LEFT($C$5,2)&amp;"输出",标准坦克设计!$B$23:$U$23,0)))*(VLOOKUP($Q30,INDIRECT($B$5&amp;"生成成长"),3))*(VLOOKUP($B$5,标准坦克设计!$B$14:$K$20,9)/30))</f>
        <v>4.9271619027784661</v>
      </c>
      <c r="Y30" s="172">
        <f ca="1">(VLOOKUP(Y$13,INDIRECT($C$5&amp;"生成成长"),2))/((VLOOKUP($Q30,INDIRECT($B$5&amp;"生成成长"),4))/(VLOOKUP(Y$13,INDIRECT($C$5&amp;"生成成长"),5))*(VLOOKUP($B$5,标准坦克设计!$B$24:$U$30,MATCH("对"&amp;LEFT($C$5,2)&amp;"输出",标准坦克设计!$B$23:$U$23,0)))*(VLOOKUP($Q30,INDIRECT($B$5&amp;"生成成长"),3))*(VLOOKUP($B$5,标准坦克设计!$B$14:$K$20,9)/30))</f>
        <v>11.783316003213729</v>
      </c>
      <c r="Z30" s="172">
        <f ca="1">(VLOOKUP(Z$13,INDIRECT($C$5&amp;"生成成长"),2))/((VLOOKUP($Q30,INDIRECT($B$5&amp;"生成成长"),4))/(VLOOKUP(Z$13,INDIRECT($C$5&amp;"生成成长"),5))*(VLOOKUP($B$5,标准坦克设计!$B$24:$U$30,MATCH("对"&amp;LEFT($C$5,2)&amp;"输出",标准坦克设计!$B$23:$U$23,0)))*(VLOOKUP($Q30,INDIRECT($B$5&amp;"生成成长"),3))*(VLOOKUP($B$5,标准坦克设计!$B$14:$K$20,9)/30))</f>
        <v>2.0486070749884253</v>
      </c>
      <c r="AA30" s="172">
        <f ca="1">(VLOOKUP(AA$13,INDIRECT($C$5&amp;"生成成长"),2))/((VLOOKUP($Q30,INDIRECT($B$5&amp;"生成成长"),4))/(VLOOKUP(AA$13,INDIRECT($C$5&amp;"生成成长"),5))*(VLOOKUP($B$5,标准坦克设计!$B$24:$U$30,MATCH("对"&amp;LEFT($C$5,2)&amp;"输出",标准坦克设计!$B$23:$U$23,0)))*(VLOOKUP($Q30,INDIRECT($B$5&amp;"生成成长"),3))*(VLOOKUP($B$5,标准坦克设计!$B$14:$K$20,9)/30))</f>
        <v>6.4883346744462447</v>
      </c>
      <c r="AB30" s="172">
        <f ca="1">(VLOOKUP(AB$13,INDIRECT($C$5&amp;"生成成长"),2))/((VLOOKUP($Q30,INDIRECT($B$5&amp;"生成成长"),4))/(VLOOKUP(AB$13,INDIRECT($C$5&amp;"生成成长"),5))*(VLOOKUP($B$5,标准坦克设计!$B$24:$U$30,MATCH("对"&amp;LEFT($C$5,2)&amp;"输出",标准坦克设计!$B$23:$U$23,0)))*(VLOOKUP($Q30,INDIRECT($B$5&amp;"生成成长"),3))*(VLOOKUP($B$5,标准坦克设计!$B$14:$K$20,9)/30))</f>
        <v>3.1361755537527483</v>
      </c>
      <c r="AC30" s="172">
        <f ca="1">(VLOOKUP(AC$13,INDIRECT($C$5&amp;"生成成长"),2))/((VLOOKUP($Q30,INDIRECT($B$5&amp;"生成成长"),4))/(VLOOKUP(AC$13,INDIRECT($C$5&amp;"生成成长"),5))*(VLOOKUP($B$5,标准坦克设计!$B$24:$U$30,MATCH("对"&amp;LEFT($C$5,2)&amp;"输出",标准坦克设计!$B$23:$U$23,0)))*(VLOOKUP($Q30,INDIRECT($B$5&amp;"生成成长"),3))*(VLOOKUP($B$5,标准坦克设计!$B$14:$K$20,9)/30))</f>
        <v>11.28896669468449</v>
      </c>
      <c r="AD30" s="172">
        <f ca="1">(VLOOKUP(AD$13,INDIRECT($C$5&amp;"生成成长"),2))/((VLOOKUP($Q30,INDIRECT($B$5&amp;"生成成长"),4))/(VLOOKUP(AD$13,INDIRECT($C$5&amp;"生成成长"),5))*(VLOOKUP($B$5,标准坦克设计!$B$24:$U$30,MATCH("对"&amp;LEFT($C$5,2)&amp;"输出",标准坦克设计!$B$23:$U$23,0)))*(VLOOKUP($Q30,INDIRECT($B$5&amp;"生成成长"),3))*(VLOOKUP($B$5,标准坦克设计!$B$14:$K$20,9)/30))</f>
        <v>5.1449110029639638</v>
      </c>
      <c r="AE30" s="172">
        <f ca="1">(VLOOKUP(AE$13,INDIRECT($C$5&amp;"生成成长"),2))/((VLOOKUP($Q30,INDIRECT($B$5&amp;"生成成长"),4))/(VLOOKUP(AE$13,INDIRECT($C$5&amp;"生成成长"),5))*(VLOOKUP($B$5,标准坦克设计!$B$24:$U$30,MATCH("对"&amp;LEFT($C$5,2)&amp;"输出",标准坦克设计!$B$23:$U$23,0)))*(VLOOKUP($Q30,INDIRECT($B$5&amp;"生成成长"),3))*(VLOOKUP($B$5,标准坦克设计!$B$14:$K$20,9)/30))</f>
        <v>19.38687917725867</v>
      </c>
      <c r="AF30" s="172">
        <f ca="1">(VLOOKUP(AF$13,INDIRECT($C$5&amp;"生成成长"),2))/((VLOOKUP($Q30,INDIRECT($B$5&amp;"生成成长"),4))/(VLOOKUP(AF$13,INDIRECT($C$5&amp;"生成成长"),5))*(VLOOKUP($B$5,标准坦克设计!$B$24:$U$30,MATCH("对"&amp;LEFT($C$5,2)&amp;"输出",标准坦克设计!$B$23:$U$23,0)))*(VLOOKUP($Q30,INDIRECT($B$5&amp;"生成成长"),3))*(VLOOKUP($B$5,标准坦克设计!$B$14:$K$20,9)/30))</f>
        <v>8.68774771409017</v>
      </c>
      <c r="AG30" s="172">
        <f ca="1">(VLOOKUP(AG$13,INDIRECT($C$5&amp;"生成成长"),2))/((VLOOKUP($Q30,INDIRECT($B$5&amp;"生成成长"),4))/(VLOOKUP(AG$13,INDIRECT($C$5&amp;"生成成长"),5))*(VLOOKUP($B$5,标准坦克设计!$B$24:$U$30,MATCH("对"&amp;LEFT($C$5,2)&amp;"输出",标准坦克设计!$B$23:$U$23,0)))*(VLOOKUP($Q30,INDIRECT($B$5&amp;"生成成长"),3))*(VLOOKUP($B$5,标准坦克设计!$B$14:$K$20,9)/30))</f>
        <v>32.50052448038948</v>
      </c>
      <c r="AH30" s="172">
        <f ca="1">(VLOOKUP(AH$13,INDIRECT($C$5&amp;"生成成长"),2))/((VLOOKUP($Q30,INDIRECT($B$5&amp;"生成成长"),4))/(VLOOKUP(AH$13,INDIRECT($C$5&amp;"生成成长"),5))*(VLOOKUP($B$5,标准坦克设计!$B$24:$U$30,MATCH("对"&amp;LEFT($C$5,2)&amp;"输出",标准坦克设计!$B$23:$U$23,0)))*(VLOOKUP($Q30,INDIRECT($B$5&amp;"生成成长"),3))*(VLOOKUP($B$5,标准坦克设计!$B$14:$K$20,9)/30))</f>
        <v>3.2663836305528595</v>
      </c>
      <c r="AI30" s="172">
        <f ca="1">(VLOOKUP(AI$13,INDIRECT($C$5&amp;"生成成长"),2))/((VLOOKUP($Q30,INDIRECT($B$5&amp;"生成成长"),4))/(VLOOKUP(AI$13,INDIRECT($C$5&amp;"生成成长"),5))*(VLOOKUP($B$5,标准坦克设计!$B$24:$U$30,MATCH("对"&amp;LEFT($C$5,2)&amp;"输出",标准坦克设计!$B$23:$U$23,0)))*(VLOOKUP($Q30,INDIRECT($B$5&amp;"生成成长"),3))*(VLOOKUP($B$5,标准坦克设计!$B$14:$K$20,9)/30))</f>
        <v>11.95045315038314</v>
      </c>
      <c r="AJ30" s="172">
        <f ca="1">(VLOOKUP(AJ$13,INDIRECT($C$5&amp;"生成成长"),2))/((VLOOKUP($Q30,INDIRECT($B$5&amp;"生成成长"),4))/(VLOOKUP(AJ$13,INDIRECT($C$5&amp;"生成成长"),5))*(VLOOKUP($B$5,标准坦克设计!$B$24:$U$30,MATCH("对"&amp;LEFT($C$5,2)&amp;"输出",标准坦克设计!$B$23:$U$23,0)))*(VLOOKUP($Q30,INDIRECT($B$5&amp;"生成成长"),3))*(VLOOKUP($B$5,标准坦克设计!$B$14:$K$20,9)/30))</f>
        <v>5.3673681918021208</v>
      </c>
      <c r="AK30" s="172">
        <f ca="1">(VLOOKUP(AK$13,INDIRECT($C$5&amp;"生成成长"),2))/((VLOOKUP($Q30,INDIRECT($B$5&amp;"生成成长"),4))/(VLOOKUP(AK$13,INDIRECT($C$5&amp;"生成成长"),5))*(VLOOKUP($B$5,标准坦克设计!$B$24:$U$30,MATCH("对"&amp;LEFT($C$5,2)&amp;"输出",标准坦克设计!$B$23:$U$23,0)))*(VLOOKUP($Q30,INDIRECT($B$5&amp;"生成成长"),3))*(VLOOKUP($B$5,标准坦克设计!$B$14:$K$20,9)/30))</f>
        <v>20.46973956737034</v>
      </c>
      <c r="AL30" s="172">
        <f ca="1">(VLOOKUP(AL$13,INDIRECT($C$5&amp;"生成成长"),2))/((VLOOKUP($Q30,INDIRECT($B$5&amp;"生成成长"),4))/(VLOOKUP(AL$13,INDIRECT($C$5&amp;"生成成长"),5))*(VLOOKUP($B$5,标准坦克设计!$B$24:$U$30,MATCH("对"&amp;LEFT($C$5,2)&amp;"输出",标准坦克设计!$B$23:$U$23,0)))*(VLOOKUP($Q30,INDIRECT($B$5&amp;"生成成长"),3))*(VLOOKUP($B$5,标准坦克设计!$B$14:$K$20,9)/30))</f>
        <v>9.0489463904113823</v>
      </c>
      <c r="AM30" s="172">
        <f ca="1">(VLOOKUP(AM$13,INDIRECT($C$5&amp;"生成成长"),2))/((VLOOKUP($Q30,INDIRECT($B$5&amp;"生成成长"),4))/(VLOOKUP(AM$13,INDIRECT($C$5&amp;"生成成长"),5))*(VLOOKUP($B$5,标准坦克设计!$B$24:$U$30,MATCH("对"&amp;LEFT($C$5,2)&amp;"输出",标准坦克设计!$B$23:$U$23,0)))*(VLOOKUP($Q30,INDIRECT($B$5&amp;"生成成长"),3))*(VLOOKUP($B$5,标准坦克设计!$B$14:$K$20,9)/30))</f>
        <v>34.181312129388886</v>
      </c>
    </row>
    <row r="31" spans="1:39" x14ac:dyDescent="0.15">
      <c r="A31" s="170" t="str">
        <f t="shared" ref="A31:A41" si="3">"T"&amp;LEFT(RIGHT(B31,3),1)&amp;""&amp;IF(LEFT(B31,1)="1","低品质",IF(LEFT(B31,1)="2","中品质","高品质"))&amp;""</f>
        <v>T2低品质</v>
      </c>
      <c r="B31" s="171">
        <v>10207</v>
      </c>
      <c r="C31" s="172">
        <f ca="1">(VLOOKUP(C$29,INDIRECT($C$5&amp;"生成成长"),2))/((VLOOKUP($B31,INDIRECT($B$5&amp;"生成成长"),4))/(VLOOKUP(C$29,INDIRECT($C$5&amp;"生成成长"),5))*(VLOOKUP($B$5,标准坦克设计!$B$24:$U$30,MATCH("对"&amp;LEFT($C$5,2)&amp;"输出",标准坦克设计!$B$23:$U$23,0)))*(VLOOKUP($B31,INDIRECT($B$5&amp;"生成成长"),3))*(VLOOKUP($B$5,标准坦克设计!$B$14:$K$20,9)/30))</f>
        <v>4.9459174939830595</v>
      </c>
      <c r="D31" s="172">
        <f ca="1">(VLOOKUP(D$29,INDIRECT($C$5&amp;"生成成长"),2))/((VLOOKUP($B31,INDIRECT($B$5&amp;"生成成长"),4))/(VLOOKUP(D$29,INDIRECT($C$5&amp;"生成成长"),5))*(VLOOKUP($B$5,标准坦克设计!$B$24:$U$30,MATCH("对"&amp;LEFT($C$5,2)&amp;"输出",标准坦克设计!$B$23:$U$23,0)))*(VLOOKUP($B31,INDIRECT($B$5&amp;"生成成长"),3))*(VLOOKUP($B$5,标准坦克设计!$B$14:$K$20,9)/30))</f>
        <v>8.6514956372377956</v>
      </c>
      <c r="E31" s="172">
        <f ca="1">(VLOOKUP(E$29,INDIRECT($C$5&amp;"生成成长"),2))/((VLOOKUP($B31,INDIRECT($B$5&amp;"生成成长"),4))/(VLOOKUP(E$29,INDIRECT($C$5&amp;"生成成长"),5))*(VLOOKUP($B$5,标准坦克设计!$B$24:$U$30,MATCH("对"&amp;LEFT($C$5,2)&amp;"输出",标准坦克设计!$B$23:$U$23,0)))*(VLOOKUP($B31,INDIRECT($B$5&amp;"生成成长"),3))*(VLOOKUP($B$5,标准坦克设计!$B$14:$K$20,9)/30))</f>
        <v>14.868953964579013</v>
      </c>
      <c r="F31" s="172">
        <f ca="1">(VLOOKUP(F$29,INDIRECT($C$5&amp;"生成成长"),2))/((VLOOKUP($B31,INDIRECT($B$5&amp;"生成成长"),4))/(VLOOKUP(F$29,INDIRECT($C$5&amp;"生成成长"),5))*(VLOOKUP($B$5,标准坦克设计!$B$24:$U$30,MATCH("对"&amp;LEFT($C$5,2)&amp;"输出",标准坦克设计!$B$23:$U$23,0)))*(VLOOKUP($B31,INDIRECT($B$5&amp;"生成成长"),3))*(VLOOKUP($B$5,标准坦克设计!$B$14:$K$20,9)/30))</f>
        <v>25.76180971485492</v>
      </c>
      <c r="G31" s="172">
        <f ca="1">(VLOOKUP(G$29,INDIRECT($C$5&amp;"生成成长"),2))/((VLOOKUP($B31,INDIRECT($B$5&amp;"生成成长"),4))/(VLOOKUP(G$29,INDIRECT($C$5&amp;"生成成长"),5))*(VLOOKUP($B$5,标准坦克设计!$B$24:$U$30,MATCH("对"&amp;LEFT($C$5,2)&amp;"输出",标准坦克设计!$B$23:$U$23,0)))*(VLOOKUP($B31,INDIRECT($B$5&amp;"生成成长"),3))*(VLOOKUP($B$5,标准坦克设计!$B$14:$K$20,9)/30))</f>
        <v>14.18541632964704</v>
      </c>
      <c r="H31" s="172">
        <f ca="1">(VLOOKUP(H$29,INDIRECT($C$5&amp;"生成成长"),2))/((VLOOKUP($B31,INDIRECT($B$5&amp;"生成成长"),4))/(VLOOKUP(H$29,INDIRECT($C$5&amp;"生成成长"),5))*(VLOOKUP($B$5,标准坦克设计!$B$24:$U$30,MATCH("对"&amp;LEFT($C$5,2)&amp;"输出",标准坦克设计!$B$23:$U$23,0)))*(VLOOKUP($B31,INDIRECT($B$5&amp;"生成成长"),3))*(VLOOKUP($B$5,标准坦克设计!$B$14:$K$20,9)/30))</f>
        <v>24.681016089738954</v>
      </c>
      <c r="I31" s="172">
        <f ca="1">(VLOOKUP(I$29,INDIRECT($C$5&amp;"生成成长"),2))/((VLOOKUP($B31,INDIRECT($B$5&amp;"生成成长"),4))/(VLOOKUP(I$29,INDIRECT($C$5&amp;"生成成长"),5))*(VLOOKUP($B$5,标准坦克设计!$B$24:$U$30,MATCH("对"&amp;LEFT($C$5,2)&amp;"输出",标准坦克设计!$B$23:$U$23,0)))*(VLOOKUP($B31,INDIRECT($B$5&amp;"生成成长"),3))*(VLOOKUP($B$5,标准坦克设计!$B$14:$K$20,9)/30))</f>
        <v>42.38544499640048</v>
      </c>
      <c r="J31" s="172">
        <f ca="1">(VLOOKUP(J$29,INDIRECT($C$5&amp;"生成成长"),2))/((VLOOKUP($B31,INDIRECT($B$5&amp;"生成成长"),4))/(VLOOKUP(J$29,INDIRECT($C$5&amp;"生成成长"),5))*(VLOOKUP($B$5,标准坦克设计!$B$24:$U$30,MATCH("对"&amp;LEFT($C$5,2)&amp;"输出",标准坦克设计!$B$23:$U$23,0)))*(VLOOKUP($B31,INDIRECT($B$5&amp;"生成成长"),3))*(VLOOKUP($B$5,标准坦克设计!$B$14:$K$20,9)/30))</f>
        <v>71.055747555987111</v>
      </c>
      <c r="K31" s="172">
        <f ca="1">(VLOOKUP(K$29,INDIRECT($C$5&amp;"生成成长"),2))/((VLOOKUP($B31,INDIRECT($B$5&amp;"生成成长"),4))/(VLOOKUP(K$29,INDIRECT($C$5&amp;"生成成长"),5))*(VLOOKUP($B$5,标准坦克设计!$B$24:$U$30,MATCH("对"&amp;LEFT($C$5,2)&amp;"输出",标准坦克设计!$B$23:$U$23,0)))*(VLOOKUP($B31,INDIRECT($B$5&amp;"生成成长"),3))*(VLOOKUP($B$5,标准坦克设计!$B$14:$K$20,9)/30))</f>
        <v>26.127220892870316</v>
      </c>
      <c r="L31" s="172">
        <f ca="1">(VLOOKUP(L$29,INDIRECT($C$5&amp;"生成成长"),2))/((VLOOKUP($B31,INDIRECT($B$5&amp;"生成成长"),4))/(VLOOKUP(L$29,INDIRECT($C$5&amp;"生成成长"),5))*(VLOOKUP($B$5,标准坦克设计!$B$24:$U$30,MATCH("对"&amp;LEFT($C$5,2)&amp;"输出",标准坦克设计!$B$23:$U$23,0)))*(VLOOKUP($B31,INDIRECT($B$5&amp;"生成成长"),3))*(VLOOKUP($B$5,标准坦克设计!$B$14:$K$20,9)/30))</f>
        <v>44.752897699035444</v>
      </c>
      <c r="M31" s="172">
        <f ca="1">(VLOOKUP(M$29,INDIRECT($C$5&amp;"生成成长"),2))/((VLOOKUP($B31,INDIRECT($B$5&amp;"生成成长"),4))/(VLOOKUP(M$29,INDIRECT($C$5&amp;"生成成长"),5))*(VLOOKUP($B$5,标准坦克设计!$B$24:$U$30,MATCH("对"&amp;LEFT($C$5,2)&amp;"输出",标准坦克设计!$B$23:$U$23,0)))*(VLOOKUP($B31,INDIRECT($B$5&amp;"生成成长"),3))*(VLOOKUP($B$5,标准坦克设计!$B$14:$K$20,9)/30))</f>
        <v>74.730445881381385</v>
      </c>
      <c r="P31" s="170" t="str">
        <f>"T"&amp;LEFT(RIGHT(Q31,3),1)&amp;""&amp;IF(LEFT(Q31,1)="1","低",IF(LEFT(Q31,1)="2","中","高"))&amp;"满"</f>
        <v>T5中满</v>
      </c>
      <c r="Q31" s="171">
        <v>20521</v>
      </c>
      <c r="R31" s="172">
        <f ca="1">(VLOOKUP(R$13,INDIRECT($C$5&amp;"生成成长"),2))/((VLOOKUP($Q31,INDIRECT($B$5&amp;"生成成长"),4))/(VLOOKUP(R$13,INDIRECT($C$5&amp;"生成成长"),5))*(VLOOKUP($B$5,标准坦克设计!$B$24:$U$30,MATCH("对"&amp;LEFT($C$5,2)&amp;"输出",标准坦克设计!$B$23:$U$23,0)))*(VLOOKUP($Q31,INDIRECT($B$5&amp;"生成成长"),3))*(VLOOKUP($B$5,标准坦克设计!$B$14:$K$20,9)/30))</f>
        <v>0.39243001464360044</v>
      </c>
      <c r="S31" s="172">
        <f ca="1">(VLOOKUP(S$13,INDIRECT($C$5&amp;"生成成长"),2))/((VLOOKUP($Q31,INDIRECT($B$5&amp;"生成成长"),4))/(VLOOKUP(S$13,INDIRECT($C$5&amp;"生成成长"),5))*(VLOOKUP($B$5,标准坦克设计!$B$24:$U$30,MATCH("对"&amp;LEFT($C$5,2)&amp;"输出",标准坦克设计!$B$23:$U$23,0)))*(VLOOKUP($Q31,INDIRECT($B$5&amp;"生成成长"),3))*(VLOOKUP($B$5,标准坦克设计!$B$14:$K$20,9)/30))</f>
        <v>0.60340039051600003</v>
      </c>
      <c r="T31" s="172">
        <f ca="1">(VLOOKUP(T$13,INDIRECT($C$5&amp;"生成成长"),2))/((VLOOKUP($Q31,INDIRECT($B$5&amp;"生成成长"),4))/(VLOOKUP(T$13,INDIRECT($C$5&amp;"生成成长"),5))*(VLOOKUP($B$5,标准坦克设计!$B$24:$U$30,MATCH("对"&amp;LEFT($C$5,2)&amp;"输出",标准坦克设计!$B$23:$U$23,0)))*(VLOOKUP($Q31,INDIRECT($B$5&amp;"生成成长"),3))*(VLOOKUP($B$5,标准坦克设计!$B$14:$K$20,9)/30))</f>
        <v>0.52805382770442888</v>
      </c>
      <c r="U31" s="172">
        <f ca="1">(VLOOKUP(U$13,INDIRECT($C$5&amp;"生成成长"),2))/((VLOOKUP($Q31,INDIRECT($B$5&amp;"生成成长"),4))/(VLOOKUP(U$13,INDIRECT($C$5&amp;"生成成长"),5))*(VLOOKUP($B$5,标准坦克设计!$B$24:$U$30,MATCH("对"&amp;LEFT($C$5,2)&amp;"输出",标准坦克设计!$B$23:$U$23,0)))*(VLOOKUP($Q31,INDIRECT($B$5&amp;"生成成长"),3))*(VLOOKUP($B$5,标准坦克设计!$B$14:$K$20,9)/30))</f>
        <v>1.0554797673854279</v>
      </c>
      <c r="V31" s="172">
        <f ca="1">(VLOOKUP(V$13,INDIRECT($C$5&amp;"生成成长"),2))/((VLOOKUP($Q31,INDIRECT($B$5&amp;"生成成长"),4))/(VLOOKUP(V$13,INDIRECT($C$5&amp;"生成成长"),5))*(VLOOKUP($B$5,标准坦克设计!$B$24:$U$30,MATCH("对"&amp;LEFT($C$5,2)&amp;"输出",标准坦克设计!$B$23:$U$23,0)))*(VLOOKUP($Q31,INDIRECT($B$5&amp;"生成成长"),3))*(VLOOKUP($B$5,标准坦克设计!$B$14:$K$20,9)/30))</f>
        <v>0.80248013694469877</v>
      </c>
      <c r="W31" s="172">
        <f ca="1">(VLOOKUP(W$13,INDIRECT($C$5&amp;"生成成长"),2))/((VLOOKUP($Q31,INDIRECT($B$5&amp;"生成成长"),4))/(VLOOKUP(W$13,INDIRECT($C$5&amp;"生成成长"),5))*(VLOOKUP($B$5,标准坦克设计!$B$24:$U$30,MATCH("对"&amp;LEFT($C$5,2)&amp;"输出",标准坦克设计!$B$23:$U$23,0)))*(VLOOKUP($Q31,INDIRECT($B$5&amp;"生成成长"),3))*(VLOOKUP($B$5,标准坦克设计!$B$14:$K$20,9)/30))</f>
        <v>1.8140077426900434</v>
      </c>
      <c r="X31" s="172">
        <f ca="1">(VLOOKUP(X$13,INDIRECT($C$5&amp;"生成成长"),2))/((VLOOKUP($Q31,INDIRECT($B$5&amp;"生成成长"),4))/(VLOOKUP(X$13,INDIRECT($C$5&amp;"生成成长"),5))*(VLOOKUP($B$5,标准坦克设计!$B$24:$U$30,MATCH("对"&amp;LEFT($C$5,2)&amp;"输出",标准坦克设计!$B$23:$U$23,0)))*(VLOOKUP($Q31,INDIRECT($B$5&amp;"生成成长"),3))*(VLOOKUP($B$5,标准坦克设计!$B$14:$K$20,9)/30))</f>
        <v>1.3142088760399535</v>
      </c>
      <c r="Y31" s="172">
        <f ca="1">(VLOOKUP(Y$13,INDIRECT($C$5&amp;"生成成长"),2))/((VLOOKUP($Q31,INDIRECT($B$5&amp;"生成成长"),4))/(VLOOKUP(Y$13,INDIRECT($C$5&amp;"生成成长"),5))*(VLOOKUP($B$5,标准坦克设计!$B$24:$U$30,MATCH("对"&amp;LEFT($C$5,2)&amp;"输出",标准坦克设计!$B$23:$U$23,0)))*(VLOOKUP($Q31,INDIRECT($B$5&amp;"生成成长"),3))*(VLOOKUP($B$5,标准坦克设计!$B$14:$K$20,9)/30))</f>
        <v>3.1429327442791322</v>
      </c>
      <c r="Z31" s="172">
        <f ca="1">(VLOOKUP(Z$13,INDIRECT($C$5&amp;"生成成长"),2))/((VLOOKUP($Q31,INDIRECT($B$5&amp;"生成成长"),4))/(VLOOKUP(Z$13,INDIRECT($C$5&amp;"生成成长"),5))*(VLOOKUP($B$5,标准坦克设计!$B$24:$U$30,MATCH("对"&amp;LEFT($C$5,2)&amp;"输出",标准坦克设计!$B$23:$U$23,0)))*(VLOOKUP($Q31,INDIRECT($B$5&amp;"生成成长"),3))*(VLOOKUP($B$5,标准坦克设计!$B$14:$K$20,9)/30))</f>
        <v>0.54641955238974937</v>
      </c>
      <c r="AA31" s="172">
        <f ca="1">(VLOOKUP(AA$13,INDIRECT($C$5&amp;"生成成长"),2))/((VLOOKUP($Q31,INDIRECT($B$5&amp;"生成成长"),4))/(VLOOKUP(AA$13,INDIRECT($C$5&amp;"生成成长"),5))*(VLOOKUP($B$5,标准坦克设计!$B$24:$U$30,MATCH("对"&amp;LEFT($C$5,2)&amp;"输出",标准坦克设计!$B$23:$U$23,0)))*(VLOOKUP($Q31,INDIRECT($B$5&amp;"生成成长"),3))*(VLOOKUP($B$5,标准坦克设计!$B$14:$K$20,9)/30))</f>
        <v>1.7306163645782782</v>
      </c>
      <c r="AB31" s="172">
        <f ca="1">(VLOOKUP(AB$13,INDIRECT($C$5&amp;"生成成长"),2))/((VLOOKUP($Q31,INDIRECT($B$5&amp;"生成成长"),4))/(VLOOKUP(AB$13,INDIRECT($C$5&amp;"生成成长"),5))*(VLOOKUP($B$5,标准坦克设计!$B$24:$U$30,MATCH("对"&amp;LEFT($C$5,2)&amp;"输出",标准坦克设计!$B$23:$U$23,0)))*(VLOOKUP($Q31,INDIRECT($B$5&amp;"生成成长"),3))*(VLOOKUP($B$5,标准坦克设计!$B$14:$K$20,9)/30))</f>
        <v>0.83650381921429884</v>
      </c>
      <c r="AC31" s="172">
        <f ca="1">(VLOOKUP(AC$13,INDIRECT($C$5&amp;"生成成长"),2))/((VLOOKUP($Q31,INDIRECT($B$5&amp;"生成成长"),4))/(VLOOKUP(AC$13,INDIRECT($C$5&amp;"生成成长"),5))*(VLOOKUP($B$5,标准坦克设计!$B$24:$U$30,MATCH("对"&amp;LEFT($C$5,2)&amp;"输出",标准坦克设计!$B$23:$U$23,0)))*(VLOOKUP($Q31,INDIRECT($B$5&amp;"生成成长"),3))*(VLOOKUP($B$5,标准坦克设计!$B$14:$K$20,9)/30))</f>
        <v>3.0110762593588825</v>
      </c>
      <c r="AD31" s="172">
        <f ca="1">(VLOOKUP(AD$13,INDIRECT($C$5&amp;"生成成长"),2))/((VLOOKUP($Q31,INDIRECT($B$5&amp;"生成成长"),4))/(VLOOKUP(AD$13,INDIRECT($C$5&amp;"生成成长"),5))*(VLOOKUP($B$5,标准坦克设计!$B$24:$U$30,MATCH("对"&amp;LEFT($C$5,2)&amp;"输出",标准坦克设计!$B$23:$U$23,0)))*(VLOOKUP($Q31,INDIRECT($B$5&amp;"生成成长"),3))*(VLOOKUP($B$5,标准坦克设计!$B$14:$K$20,9)/30))</f>
        <v>1.3722885182072069</v>
      </c>
      <c r="AE31" s="172">
        <f ca="1">(VLOOKUP(AE$13,INDIRECT($C$5&amp;"生成成长"),2))/((VLOOKUP($Q31,INDIRECT($B$5&amp;"生成成长"),4))/(VLOOKUP(AE$13,INDIRECT($C$5&amp;"生成成长"),5))*(VLOOKUP($B$5,标准坦克设计!$B$24:$U$30,MATCH("对"&amp;LEFT($C$5,2)&amp;"输出",标准坦克设计!$B$23:$U$23,0)))*(VLOOKUP($Q31,INDIRECT($B$5&amp;"生成成长"),3))*(VLOOKUP($B$5,标准坦克设计!$B$14:$K$20,9)/30))</f>
        <v>5.1710110599572587</v>
      </c>
      <c r="AF31" s="172">
        <f ca="1">(VLOOKUP(AF$13,INDIRECT($C$5&amp;"生成成长"),2))/((VLOOKUP($Q31,INDIRECT($B$5&amp;"生成成长"),4))/(VLOOKUP(AF$13,INDIRECT($C$5&amp;"生成成长"),5))*(VLOOKUP($B$5,标准坦克设计!$B$24:$U$30,MATCH("对"&amp;LEFT($C$5,2)&amp;"输出",标准坦克设计!$B$23:$U$23,0)))*(VLOOKUP($Q31,INDIRECT($B$5&amp;"生成成长"),3))*(VLOOKUP($B$5,标准坦克设计!$B$14:$K$20,9)/30))</f>
        <v>2.3172599934689968</v>
      </c>
      <c r="AG31" s="172">
        <f ca="1">(VLOOKUP(AG$13,INDIRECT($C$5&amp;"生成成长"),2))/((VLOOKUP($Q31,INDIRECT($B$5&amp;"生成成长"),4))/(VLOOKUP(AG$13,INDIRECT($C$5&amp;"生成成长"),5))*(VLOOKUP($B$5,标准坦克设计!$B$24:$U$30,MATCH("对"&amp;LEFT($C$5,2)&amp;"输出",标准坦克设计!$B$23:$U$23,0)))*(VLOOKUP($Q31,INDIRECT($B$5&amp;"生成成长"),3))*(VLOOKUP($B$5,标准坦克设计!$B$14:$K$20,9)/30))</f>
        <v>8.6687790234771338</v>
      </c>
      <c r="AH31" s="172">
        <f ca="1">(VLOOKUP(AH$13,INDIRECT($C$5&amp;"生成成长"),2))/((VLOOKUP($Q31,INDIRECT($B$5&amp;"生成成长"),4))/(VLOOKUP(AH$13,INDIRECT($C$5&amp;"生成成长"),5))*(VLOOKUP($B$5,标准坦克设计!$B$24:$U$30,MATCH("对"&amp;LEFT($C$5,2)&amp;"输出",标准坦克设计!$B$23:$U$23,0)))*(VLOOKUP($Q31,INDIRECT($B$5&amp;"生成成长"),3))*(VLOOKUP($B$5,标准坦克设计!$B$14:$K$20,9)/30))</f>
        <v>0.87123387551025755</v>
      </c>
      <c r="AI31" s="172">
        <f ca="1">(VLOOKUP(AI$13,INDIRECT($C$5&amp;"生成成长"),2))/((VLOOKUP($Q31,INDIRECT($B$5&amp;"生成成长"),4))/(VLOOKUP(AI$13,INDIRECT($C$5&amp;"生成成长"),5))*(VLOOKUP($B$5,标准坦克设计!$B$24:$U$30,MATCH("对"&amp;LEFT($C$5,2)&amp;"输出",标准坦克设计!$B$23:$U$23,0)))*(VLOOKUP($Q31,INDIRECT($B$5&amp;"生成成长"),3))*(VLOOKUP($B$5,标准坦克设计!$B$14:$K$20,9)/30))</f>
        <v>3.1875127939426449</v>
      </c>
      <c r="AJ31" s="172">
        <f ca="1">(VLOOKUP(AJ$13,INDIRECT($C$5&amp;"生成成长"),2))/((VLOOKUP($Q31,INDIRECT($B$5&amp;"生成成长"),4))/(VLOOKUP(AJ$13,INDIRECT($C$5&amp;"生成成长"),5))*(VLOOKUP($B$5,标准坦克设计!$B$24:$U$30,MATCH("对"&amp;LEFT($C$5,2)&amp;"输出",标准坦克设计!$B$23:$U$23,0)))*(VLOOKUP($Q31,INDIRECT($B$5&amp;"生成成长"),3))*(VLOOKUP($B$5,标准坦克设计!$B$14:$K$20,9)/30))</f>
        <v>1.4316239364213188</v>
      </c>
      <c r="AK31" s="172">
        <f ca="1">(VLOOKUP(AK$13,INDIRECT($C$5&amp;"生成成长"),2))/((VLOOKUP($Q31,INDIRECT($B$5&amp;"生成成长"),4))/(VLOOKUP(AK$13,INDIRECT($C$5&amp;"生成成长"),5))*(VLOOKUP($B$5,标准坦克设计!$B$24:$U$30,MATCH("对"&amp;LEFT($C$5,2)&amp;"输出",标准坦克设计!$B$23:$U$23,0)))*(VLOOKUP($Q31,INDIRECT($B$5&amp;"生成成长"),3))*(VLOOKUP($B$5,标准坦克设计!$B$14:$K$20,9)/30))</f>
        <v>5.4598395507349498</v>
      </c>
      <c r="AL31" s="172">
        <f ca="1">(VLOOKUP(AL$13,INDIRECT($C$5&amp;"生成成长"),2))/((VLOOKUP($Q31,INDIRECT($B$5&amp;"生成成长"),4))/(VLOOKUP(AL$13,INDIRECT($C$5&amp;"生成成长"),5))*(VLOOKUP($B$5,标准坦克设计!$B$24:$U$30,MATCH("对"&amp;LEFT($C$5,2)&amp;"输出",标准坦克设计!$B$23:$U$23,0)))*(VLOOKUP($Q31,INDIRECT($B$5&amp;"生成成长"),3))*(VLOOKUP($B$5,标准坦克设计!$B$14:$K$20,9)/30))</f>
        <v>2.4136015620640001</v>
      </c>
      <c r="AM31" s="172">
        <f ca="1">(VLOOKUP(AM$13,INDIRECT($C$5&amp;"生成成长"),2))/((VLOOKUP($Q31,INDIRECT($B$5&amp;"生成成长"),4))/(VLOOKUP(AM$13,INDIRECT($C$5&amp;"生成成长"),5))*(VLOOKUP($B$5,标准坦克设计!$B$24:$U$30,MATCH("对"&amp;LEFT($C$5,2)&amp;"输出",标准坦克设计!$B$23:$U$23,0)))*(VLOOKUP($Q31,INDIRECT($B$5&amp;"生成成长"),3))*(VLOOKUP($B$5,标准坦克设计!$B$14:$K$20,9)/30))</f>
        <v>9.1170910722059855</v>
      </c>
    </row>
    <row r="32" spans="1:39" x14ac:dyDescent="0.15">
      <c r="A32" s="170" t="str">
        <f t="shared" si="3"/>
        <v>T3低品质</v>
      </c>
      <c r="B32" s="171">
        <v>10309</v>
      </c>
      <c r="C32" s="172">
        <f ca="1">(VLOOKUP(C$29,INDIRECT($C$5&amp;"生成成长"),2))/((VLOOKUP($B32,INDIRECT($B$5&amp;"生成成长"),4))/(VLOOKUP(C$29,INDIRECT($C$5&amp;"生成成长"),5))*(VLOOKUP($B$5,标准坦克设计!$B$24:$U$30,MATCH("对"&amp;LEFT($C$5,2)&amp;"输出",标准坦克设计!$B$23:$U$23,0)))*(VLOOKUP($B32,INDIRECT($B$5&amp;"生成成长"),3))*(VLOOKUP($B$5,标准坦克设计!$B$14:$K$20,9)/30))</f>
        <v>2.8850057721400502</v>
      </c>
      <c r="D32" s="172">
        <f ca="1">(VLOOKUP(D$29,INDIRECT($C$5&amp;"生成成长"),2))/((VLOOKUP($B32,INDIRECT($B$5&amp;"生成成长"),4))/(VLOOKUP(D$29,INDIRECT($C$5&amp;"生成成长"),5))*(VLOOKUP($B$5,标准坦克设计!$B$24:$U$30,MATCH("对"&amp;LEFT($C$5,2)&amp;"输出",标准坦克设计!$B$23:$U$23,0)))*(VLOOKUP($B32,INDIRECT($B$5&amp;"生成成长"),3))*(VLOOKUP($B$5,标准坦克设计!$B$14:$K$20,9)/30))</f>
        <v>5.0465085358662058</v>
      </c>
      <c r="E32" s="172">
        <f ca="1">(VLOOKUP(E$29,INDIRECT($C$5&amp;"生成成长"),2))/((VLOOKUP($B32,INDIRECT($B$5&amp;"生成成长"),4))/(VLOOKUP(E$29,INDIRECT($C$5&amp;"生成成长"),5))*(VLOOKUP($B$5,标准坦克设计!$B$24:$U$30,MATCH("对"&amp;LEFT($C$5,2)&amp;"输出",标准坦克设计!$B$23:$U$23,0)))*(VLOOKUP($B32,INDIRECT($B$5&amp;"生成成长"),3))*(VLOOKUP($B$5,标准坦克设计!$B$14:$K$20,9)/30))</f>
        <v>8.6732174698994413</v>
      </c>
      <c r="F32" s="172">
        <f ca="1">(VLOOKUP(F$29,INDIRECT($C$5&amp;"生成成长"),2))/((VLOOKUP($B32,INDIRECT($B$5&amp;"生成成长"),4))/(VLOOKUP(F$29,INDIRECT($C$5&amp;"生成成长"),5))*(VLOOKUP($B$5,标准坦克设计!$B$24:$U$30,MATCH("对"&amp;LEFT($C$5,2)&amp;"输出",标准坦克设计!$B$23:$U$23,0)))*(VLOOKUP($B32,INDIRECT($B$5&amp;"生成成长"),3))*(VLOOKUP($B$5,标准坦克设计!$B$14:$K$20,9)/30))</f>
        <v>15.027134969102788</v>
      </c>
      <c r="G32" s="172">
        <f ca="1">(VLOOKUP(G$29,INDIRECT($C$5&amp;"生成成长"),2))/((VLOOKUP($B32,INDIRECT($B$5&amp;"生成成长"),4))/(VLOOKUP(G$29,INDIRECT($C$5&amp;"生成成长"),5))*(VLOOKUP($B$5,标准坦克设计!$B$24:$U$30,MATCH("对"&amp;LEFT($C$5,2)&amp;"输出",标准坦克设计!$B$23:$U$23,0)))*(VLOOKUP($B32,INDIRECT($B$5&amp;"生成成长"),3))*(VLOOKUP($B$5,标准坦克设计!$B$14:$K$20,9)/30))</f>
        <v>8.2745027673891904</v>
      </c>
      <c r="H32" s="172">
        <f ca="1">(VLOOKUP(H$29,INDIRECT($C$5&amp;"生成成长"),2))/((VLOOKUP($B32,INDIRECT($B$5&amp;"生成成长"),4))/(VLOOKUP(H$29,INDIRECT($C$5&amp;"生成成长"),5))*(VLOOKUP($B$5,标准坦克设计!$B$24:$U$30,MATCH("对"&amp;LEFT($C$5,2)&amp;"输出",标准坦克设计!$B$23:$U$23,0)))*(VLOOKUP($B32,INDIRECT($B$5&amp;"生成成长"),3))*(VLOOKUP($B$5,标准坦克设计!$B$14:$K$20,9)/30))</f>
        <v>14.396696663015991</v>
      </c>
      <c r="I32" s="172">
        <f ca="1">(VLOOKUP(I$29,INDIRECT($C$5&amp;"生成成长"),2))/((VLOOKUP($B32,INDIRECT($B$5&amp;"生成成长"),4))/(VLOOKUP(I$29,INDIRECT($C$5&amp;"生成成长"),5))*(VLOOKUP($B$5,标准坦克设计!$B$24:$U$30,MATCH("对"&amp;LEFT($C$5,2)&amp;"输出",标准坦克设计!$B$23:$U$23,0)))*(VLOOKUP($B32,INDIRECT($B$5&amp;"生成成长"),3))*(VLOOKUP($B$5,标准坦克设计!$B$14:$K$20,9)/30))</f>
        <v>24.723876534152069</v>
      </c>
      <c r="J32" s="172">
        <f ca="1">(VLOOKUP(J$29,INDIRECT($C$5&amp;"生成成长"),2))/((VLOOKUP($B32,INDIRECT($B$5&amp;"生成成长"),4))/(VLOOKUP(J$29,INDIRECT($C$5&amp;"生成成长"),5))*(VLOOKUP($B$5,标准坦克设计!$B$24:$U$30,MATCH("对"&amp;LEFT($C$5,2)&amp;"输出",标准坦克设计!$B$23:$U$23,0)))*(VLOOKUP($B32,INDIRECT($B$5&amp;"生成成长"),3))*(VLOOKUP($B$5,标准坦克设计!$B$14:$K$20,9)/30))</f>
        <v>41.447566016242</v>
      </c>
      <c r="K32" s="172">
        <f ca="1">(VLOOKUP(K$29,INDIRECT($C$5&amp;"生成成长"),2))/((VLOOKUP($B32,INDIRECT($B$5&amp;"生成成长"),4))/(VLOOKUP(K$29,INDIRECT($C$5&amp;"生成成长"),5))*(VLOOKUP($B$5,标准坦克设计!$B$24:$U$30,MATCH("对"&amp;LEFT($C$5,2)&amp;"输出",标准坦克设计!$B$23:$U$23,0)))*(VLOOKUP($B32,INDIRECT($B$5&amp;"生成成长"),3))*(VLOOKUP($B$5,标准坦克设计!$B$14:$K$20,9)/30))</f>
        <v>15.24028315830356</v>
      </c>
      <c r="L32" s="172">
        <f ca="1">(VLOOKUP(L$29,INDIRECT($C$5&amp;"生成成长"),2))/((VLOOKUP($B32,INDIRECT($B$5&amp;"生成成长"),4))/(VLOOKUP(L$29,INDIRECT($C$5&amp;"生成成长"),5))*(VLOOKUP($B$5,标准坦克设计!$B$24:$U$30,MATCH("对"&amp;LEFT($C$5,2)&amp;"输出",标准坦克设计!$B$23:$U$23,0)))*(VLOOKUP($B32,INDIRECT($B$5&amp;"生成成长"),3))*(VLOOKUP($B$5,标准坦克设计!$B$14:$K$20,9)/30))</f>
        <v>26.104836633199334</v>
      </c>
      <c r="M32" s="172">
        <f ca="1">(VLOOKUP(M$29,INDIRECT($C$5&amp;"生成成长"),2))/((VLOOKUP($B32,INDIRECT($B$5&amp;"生成成长"),4))/(VLOOKUP(M$29,INDIRECT($C$5&amp;"生成成长"),5))*(VLOOKUP($B$5,标准坦克设计!$B$24:$U$30,MATCH("对"&amp;LEFT($C$5,2)&amp;"输出",标准坦克设计!$B$23:$U$23,0)))*(VLOOKUP($B32,INDIRECT($B$5&amp;"生成成长"),3))*(VLOOKUP($B$5,标准坦克设计!$B$14:$K$20,9)/30))</f>
        <v>43.591056256937101</v>
      </c>
      <c r="P32" s="174" t="str">
        <f>"T"&amp;LEFT(RIGHT(Q32,3),1)&amp;""&amp;IF(LEFT(Q32,1)="1","低",IF(LEFT(Q32,1)="2","中","高"))&amp;"初"</f>
        <v>T3高初</v>
      </c>
      <c r="Q32" s="178">
        <v>30301</v>
      </c>
      <c r="R32" s="172">
        <f ca="1">(VLOOKUP(R$13,INDIRECT($C$5&amp;"生成成长"),2))/((VLOOKUP($Q32,INDIRECT($B$5&amp;"生成成长"),4))/(VLOOKUP(R$13,INDIRECT($C$5&amp;"生成成长"),5))*(VLOOKUP($B$5,标准坦克设计!$B$24:$U$30,MATCH("对"&amp;LEFT($C$5,2)&amp;"输出",标准坦克设计!$B$23:$U$23,0)))*(VLOOKUP($Q32,INDIRECT($B$5&amp;"生成成长"),3))*(VLOOKUP($B$5,标准坦克设计!$B$14:$K$20,9)/30))</f>
        <v>3.894518415846119</v>
      </c>
      <c r="S32" s="172">
        <f ca="1">(VLOOKUP(S$13,INDIRECT($C$5&amp;"生成成长"),2))/((VLOOKUP($Q32,INDIRECT($B$5&amp;"生成成长"),4))/(VLOOKUP(S$13,INDIRECT($C$5&amp;"生成成长"),5))*(VLOOKUP($B$5,标准坦克设计!$B$24:$U$30,MATCH("对"&amp;LEFT($C$5,2)&amp;"输出",标准坦克设计!$B$23:$U$23,0)))*(VLOOKUP($Q32,INDIRECT($B$5&amp;"生成成长"),3))*(VLOOKUP($B$5,标准坦克设计!$B$14:$K$20,9)/30))</f>
        <v>5.9882115162049923</v>
      </c>
      <c r="T32" s="172">
        <f ca="1">(VLOOKUP(T$13,INDIRECT($C$5&amp;"生成成长"),2))/((VLOOKUP($Q32,INDIRECT($B$5&amp;"生成成长"),4))/(VLOOKUP(T$13,INDIRECT($C$5&amp;"生成成长"),5))*(VLOOKUP($B$5,标准坦克设计!$B$24:$U$30,MATCH("对"&amp;LEFT($C$5,2)&amp;"输出",标准坦克设计!$B$23:$U$23,0)))*(VLOOKUP($Q32,INDIRECT($B$5&amp;"生成成长"),3))*(VLOOKUP($B$5,标准坦克设计!$B$14:$K$20,9)/30))</f>
        <v>5.2404639803625379</v>
      </c>
      <c r="U32" s="172">
        <f ca="1">(VLOOKUP(U$13,INDIRECT($C$5&amp;"生成成长"),2))/((VLOOKUP($Q32,INDIRECT($B$5&amp;"生成成长"),4))/(VLOOKUP(U$13,INDIRECT($C$5&amp;"生成成长"),5))*(VLOOKUP($B$5,标准坦克设计!$B$24:$U$30,MATCH("对"&amp;LEFT($C$5,2)&amp;"输出",标准坦克设计!$B$23:$U$23,0)))*(VLOOKUP($Q32,INDIRECT($B$5&amp;"生成成长"),3))*(VLOOKUP($B$5,标准坦克设计!$B$14:$K$20,9)/30))</f>
        <v>10.474696731259719</v>
      </c>
      <c r="V32" s="172">
        <f ca="1">(VLOOKUP(V$13,INDIRECT($C$5&amp;"生成成长"),2))/((VLOOKUP($Q32,INDIRECT($B$5&amp;"生成成长"),4))/(VLOOKUP(V$13,INDIRECT($C$5&amp;"生成成长"),5))*(VLOOKUP($B$5,标准坦克设计!$B$24:$U$30,MATCH("对"&amp;LEFT($C$5,2)&amp;"输出",标准坦克设计!$B$23:$U$23,0)))*(VLOOKUP($Q32,INDIRECT($B$5&amp;"生成成长"),3))*(VLOOKUP($B$5,标准坦克设计!$B$14:$K$20,9)/30))</f>
        <v>7.9639007085637274</v>
      </c>
      <c r="W32" s="172">
        <f ca="1">(VLOOKUP(W$13,INDIRECT($C$5&amp;"生成成长"),2))/((VLOOKUP($Q32,INDIRECT($B$5&amp;"生成成长"),4))/(VLOOKUP(W$13,INDIRECT($C$5&amp;"生成成长"),5))*(VLOOKUP($B$5,标准坦克设计!$B$24:$U$30,MATCH("对"&amp;LEFT($C$5,2)&amp;"输出",标准坦克设计!$B$23:$U$23,0)))*(VLOOKUP($Q32,INDIRECT($B$5&amp;"生成成长"),3))*(VLOOKUP($B$5,标准坦克设计!$B$14:$K$20,9)/30))</f>
        <v>18.002411377248684</v>
      </c>
      <c r="X32" s="172">
        <f ca="1">(VLOOKUP(X$13,INDIRECT($C$5&amp;"生成成长"),2))/((VLOOKUP($Q32,INDIRECT($B$5&amp;"生成成长"),4))/(VLOOKUP(X$13,INDIRECT($C$5&amp;"生成成长"),5))*(VLOOKUP($B$5,标准坦克设计!$B$24:$U$30,MATCH("对"&amp;LEFT($C$5,2)&amp;"输出",标准坦克设计!$B$23:$U$23,0)))*(VLOOKUP($Q32,INDIRECT($B$5&amp;"生成成长"),3))*(VLOOKUP($B$5,标准坦克设计!$B$14:$K$20,9)/30))</f>
        <v>13.042352722827065</v>
      </c>
      <c r="Y32" s="172">
        <f ca="1">(VLOOKUP(Y$13,INDIRECT($C$5&amp;"生成成长"),2))/((VLOOKUP($Q32,INDIRECT($B$5&amp;"生成成长"),4))/(VLOOKUP(Y$13,INDIRECT($C$5&amp;"生成成长"),5))*(VLOOKUP($B$5,标准坦克设计!$B$24:$U$30,MATCH("对"&amp;LEFT($C$5,2)&amp;"输出",标准坦克设计!$B$23:$U$23,0)))*(VLOOKUP($Q32,INDIRECT($B$5&amp;"生成成长"),3))*(VLOOKUP($B$5,标准坦克设计!$B$14:$K$20,9)/30))</f>
        <v>31.190808540669984</v>
      </c>
      <c r="Z32" s="172">
        <f ca="1">(VLOOKUP(Z$13,INDIRECT($C$5&amp;"生成成长"),2))/((VLOOKUP($Q32,INDIRECT($B$5&amp;"生成成长"),4))/(VLOOKUP(Z$13,INDIRECT($C$5&amp;"生成成长"),5))*(VLOOKUP($B$5,标准坦克设计!$B$24:$U$30,MATCH("对"&amp;LEFT($C$5,2)&amp;"输出",标准坦克设计!$B$23:$U$23,0)))*(VLOOKUP($Q32,INDIRECT($B$5&amp;"生成成长"),3))*(VLOOKUP($B$5,标准坦克设计!$B$14:$K$20,9)/30))</f>
        <v>5.4227274422241365</v>
      </c>
      <c r="AA32" s="172">
        <f ca="1">(VLOOKUP(AA$13,INDIRECT($C$5&amp;"生成成长"),2))/((VLOOKUP($Q32,INDIRECT($B$5&amp;"生成成长"),4))/(VLOOKUP(AA$13,INDIRECT($C$5&amp;"生成成长"),5))*(VLOOKUP($B$5,标准坦克设计!$B$24:$U$30,MATCH("对"&amp;LEFT($C$5,2)&amp;"输出",标准坦克设计!$B$23:$U$23,0)))*(VLOOKUP($Q32,INDIRECT($B$5&amp;"生成成长"),3))*(VLOOKUP($B$5,标准坦克设计!$B$14:$K$20,9)/30))</f>
        <v>17.174826213881381</v>
      </c>
      <c r="AB32" s="172">
        <f ca="1">(VLOOKUP(AB$13,INDIRECT($C$5&amp;"生成成长"),2))/((VLOOKUP($Q32,INDIRECT($B$5&amp;"生成成长"),4))/(VLOOKUP(AB$13,INDIRECT($C$5&amp;"生成成长"),5))*(VLOOKUP($B$5,标准坦克设计!$B$24:$U$30,MATCH("对"&amp;LEFT($C$5,2)&amp;"输出",标准坦克设计!$B$23:$U$23,0)))*(VLOOKUP($Q32,INDIRECT($B$5&amp;"生成成长"),3))*(VLOOKUP($B$5,标准坦克设计!$B$14:$K$20,9)/30))</f>
        <v>8.301555455217585</v>
      </c>
      <c r="AC32" s="172">
        <f ca="1">(VLOOKUP(AC$13,INDIRECT($C$5&amp;"生成成长"),2))/((VLOOKUP($Q32,INDIRECT($B$5&amp;"生成成长"),4))/(VLOOKUP(AC$13,INDIRECT($C$5&amp;"生成成长"),5))*(VLOOKUP($B$5,标准坦克设计!$B$24:$U$30,MATCH("对"&amp;LEFT($C$5,2)&amp;"输出",标准坦克设计!$B$23:$U$23,0)))*(VLOOKUP($Q32,INDIRECT($B$5&amp;"生成成长"),3))*(VLOOKUP($B$5,标准坦克设计!$B$14:$K$20,9)/30))</f>
        <v>29.882250352945682</v>
      </c>
      <c r="AD32" s="172">
        <f ca="1">(VLOOKUP(AD$13,INDIRECT($C$5&amp;"生成成长"),2))/((VLOOKUP($Q32,INDIRECT($B$5&amp;"生成成长"),4))/(VLOOKUP(AD$13,INDIRECT($C$5&amp;"生成成长"),5))*(VLOOKUP($B$5,标准坦克设计!$B$24:$U$30,MATCH("对"&amp;LEFT($C$5,2)&amp;"输出",标准坦克设计!$B$23:$U$23,0)))*(VLOOKUP($Q32,INDIRECT($B$5&amp;"生成成长"),3))*(VLOOKUP($B$5,标准坦克设计!$B$14:$K$20,9)/30))</f>
        <v>13.618741448372294</v>
      </c>
      <c r="AE32" s="172">
        <f ca="1">(VLOOKUP(AE$13,INDIRECT($C$5&amp;"生成成长"),2))/((VLOOKUP($Q32,INDIRECT($B$5&amp;"生成成长"),4))/(VLOOKUP(AE$13,INDIRECT($C$5&amp;"生成成长"),5))*(VLOOKUP($B$5,标准坦克设计!$B$24:$U$30,MATCH("对"&amp;LEFT($C$5,2)&amp;"输出",标准坦克设计!$B$23:$U$23,0)))*(VLOOKUP($Q32,INDIRECT($B$5&amp;"生成成长"),3))*(VLOOKUP($B$5,标准坦克设计!$B$14:$K$20,9)/30))</f>
        <v>51.317679713762736</v>
      </c>
      <c r="AF32" s="172">
        <f ca="1">(VLOOKUP(AF$13,INDIRECT($C$5&amp;"生成成长"),2))/((VLOOKUP($Q32,INDIRECT($B$5&amp;"生成成长"),4))/(VLOOKUP(AF$13,INDIRECT($C$5&amp;"生成成长"),5))*(VLOOKUP($B$5,标准坦克设计!$B$24:$U$30,MATCH("对"&amp;LEFT($C$5,2)&amp;"输出",标准坦克设计!$B$23:$U$23,0)))*(VLOOKUP($Q32,INDIRECT($B$5&amp;"生成成长"),3))*(VLOOKUP($B$5,标准坦克设计!$B$14:$K$20,9)/30))</f>
        <v>22.996741793729747</v>
      </c>
      <c r="AG32" s="172">
        <f ca="1">(VLOOKUP(AG$13,INDIRECT($C$5&amp;"生成成长"),2))/((VLOOKUP($Q32,INDIRECT($B$5&amp;"生成成长"),4))/(VLOOKUP(AG$13,INDIRECT($C$5&amp;"生成成长"),5))*(VLOOKUP($B$5,标准坦克设计!$B$24:$U$30,MATCH("对"&amp;LEFT($C$5,2)&amp;"输出",标准坦克设计!$B$23:$U$23,0)))*(VLOOKUP($Q32,INDIRECT($B$5&amp;"生成成长"),3))*(VLOOKUP($B$5,标准坦克设计!$B$14:$K$20,9)/30))</f>
        <v>86.029911806040758</v>
      </c>
      <c r="AH32" s="172">
        <f ca="1">(VLOOKUP(AH$13,INDIRECT($C$5&amp;"生成成长"),2))/((VLOOKUP($Q32,INDIRECT($B$5&amp;"生成成长"),4))/(VLOOKUP(AH$13,INDIRECT($C$5&amp;"生成成长"),5))*(VLOOKUP($B$5,标准坦克设计!$B$24:$U$30,MATCH("对"&amp;LEFT($C$5,2)&amp;"输出",标准坦克设计!$B$23:$U$23,0)))*(VLOOKUP($Q32,INDIRECT($B$5&amp;"生成成长"),3))*(VLOOKUP($B$5,标准坦克设计!$B$14:$K$20,9)/30))</f>
        <v>8.6462203350199687</v>
      </c>
      <c r="AI32" s="172">
        <f ca="1">(VLOOKUP(AI$13,INDIRECT($C$5&amp;"生成成长"),2))/((VLOOKUP($Q32,INDIRECT($B$5&amp;"生成成长"),4))/(VLOOKUP(AI$13,INDIRECT($C$5&amp;"生成成长"),5))*(VLOOKUP($B$5,标准坦克设计!$B$24:$U$30,MATCH("对"&amp;LEFT($C$5,2)&amp;"输出",标准坦克设计!$B$23:$U$23,0)))*(VLOOKUP($Q32,INDIRECT($B$5&amp;"生成成长"),3))*(VLOOKUP($B$5,标准坦克设计!$B$14:$K$20,9)/30))</f>
        <v>31.633225832710107</v>
      </c>
      <c r="AJ32" s="172">
        <f ca="1">(VLOOKUP(AJ$13,INDIRECT($C$5&amp;"生成成长"),2))/((VLOOKUP($Q32,INDIRECT($B$5&amp;"生成成长"),4))/(VLOOKUP(AJ$13,INDIRECT($C$5&amp;"生成成长"),5))*(VLOOKUP($B$5,标准坦克设计!$B$24:$U$30,MATCH("对"&amp;LEFT($C$5,2)&amp;"输出",标准坦克设计!$B$23:$U$23,0)))*(VLOOKUP($Q32,INDIRECT($B$5&amp;"生成成长"),3))*(VLOOKUP($B$5,标准坦克设计!$B$14:$K$20,9)/30))</f>
        <v>14.207592632848225</v>
      </c>
      <c r="AK32" s="172">
        <f ca="1">(VLOOKUP(AK$13,INDIRECT($C$5&amp;"生成成长"),2))/((VLOOKUP($Q32,INDIRECT($B$5&amp;"生成成长"),4))/(VLOOKUP(AK$13,INDIRECT($C$5&amp;"生成成长"),5))*(VLOOKUP($B$5,标准坦克设计!$B$24:$U$30,MATCH("对"&amp;LEFT($C$5,2)&amp;"输出",标准坦克设计!$B$23:$U$23,0)))*(VLOOKUP($Q32,INDIRECT($B$5&amp;"生成成长"),3))*(VLOOKUP($B$5,标准坦克设计!$B$14:$K$20,9)/30))</f>
        <v>54.184045267825468</v>
      </c>
      <c r="AL32" s="172">
        <f ca="1">(VLOOKUP(AL$13,INDIRECT($C$5&amp;"生成成长"),2))/((VLOOKUP($Q32,INDIRECT($B$5&amp;"生成成长"),4))/(VLOOKUP(AL$13,INDIRECT($C$5&amp;"生成成长"),5))*(VLOOKUP($B$5,标准坦克设计!$B$24:$U$30,MATCH("对"&amp;LEFT($C$5,2)&amp;"输出",标准坦克设计!$B$23:$U$23,0)))*(VLOOKUP($Q32,INDIRECT($B$5&amp;"生成成长"),3))*(VLOOKUP($B$5,标准坦克设计!$B$14:$K$20,9)/30))</f>
        <v>23.952846064819969</v>
      </c>
      <c r="AM32" s="172">
        <f ca="1">(VLOOKUP(AM$13,INDIRECT($C$5&amp;"生成成长"),2))/((VLOOKUP($Q32,INDIRECT($B$5&amp;"生成成长"),4))/(VLOOKUP(AM$13,INDIRECT($C$5&amp;"生成成长"),5))*(VLOOKUP($B$5,标准坦克设计!$B$24:$U$30,MATCH("对"&amp;LEFT($C$5,2)&amp;"输出",标准坦克设计!$B$23:$U$23,0)))*(VLOOKUP($Q32,INDIRECT($B$5&amp;"生成成长"),3))*(VLOOKUP($B$5,标准坦克设计!$B$14:$K$20,9)/30))</f>
        <v>90.47900964430336</v>
      </c>
    </row>
    <row r="33" spans="1:39" x14ac:dyDescent="0.15">
      <c r="A33" s="170" t="str">
        <f t="shared" si="3"/>
        <v>T4低品质</v>
      </c>
      <c r="B33" s="171">
        <v>10411</v>
      </c>
      <c r="C33" s="172">
        <f ca="1">(VLOOKUP(C$29,INDIRECT($C$5&amp;"生成成长"),2))/((VLOOKUP($B33,INDIRECT($B$5&amp;"生成成长"),4))/(VLOOKUP(C$29,INDIRECT($C$5&amp;"生成成长"),5))*(VLOOKUP($B$5,标准坦克设计!$B$24:$U$30,MATCH("对"&amp;LEFT($C$5,2)&amp;"输出",标准坦克设计!$B$23:$U$23,0)))*(VLOOKUP($B33,INDIRECT($B$5&amp;"生成成长"),3))*(VLOOKUP($B$5,标准坦克设计!$B$14:$K$20,9)/30))</f>
        <v>1.6661159049224439</v>
      </c>
      <c r="D33" s="172">
        <f ca="1">(VLOOKUP(D$29,INDIRECT($C$5&amp;"生成成长"),2))/((VLOOKUP($B33,INDIRECT($B$5&amp;"生成成长"),4))/(VLOOKUP(D$29,INDIRECT($C$5&amp;"生成成长"),5))*(VLOOKUP($B$5,标准坦克设计!$B$24:$U$30,MATCH("对"&amp;LEFT($C$5,2)&amp;"输出",标准坦克设计!$B$23:$U$23,0)))*(VLOOKUP($B33,INDIRECT($B$5&amp;"生成成长"),3))*(VLOOKUP($B$5,标准坦克设计!$B$14:$K$20,9)/30))</f>
        <v>2.9144025350412366</v>
      </c>
      <c r="E33" s="172">
        <f ca="1">(VLOOKUP(E$29,INDIRECT($C$5&amp;"生成成长"),2))/((VLOOKUP($B33,INDIRECT($B$5&amp;"生成成长"),4))/(VLOOKUP(E$29,INDIRECT($C$5&amp;"生成成长"),5))*(VLOOKUP($B$5,标准坦克设计!$B$24:$U$30,MATCH("对"&amp;LEFT($C$5,2)&amp;"输出",标准坦克设计!$B$23:$U$23,0)))*(VLOOKUP($B33,INDIRECT($B$5&amp;"生成成长"),3))*(VLOOKUP($B$5,标准坦克设计!$B$14:$K$20,9)/30))</f>
        <v>5.0088584615660761</v>
      </c>
      <c r="F33" s="172">
        <f ca="1">(VLOOKUP(F$29,INDIRECT($C$5&amp;"生成成长"),2))/((VLOOKUP($B33,INDIRECT($B$5&amp;"生成成长"),4))/(VLOOKUP(F$29,INDIRECT($C$5&amp;"生成成长"),5))*(VLOOKUP($B$5,标准坦克设计!$B$24:$U$30,MATCH("对"&amp;LEFT($C$5,2)&amp;"输出",标准坦克设计!$B$23:$U$23,0)))*(VLOOKUP($B33,INDIRECT($B$5&amp;"生成成长"),3))*(VLOOKUP($B$5,标准坦克设计!$B$14:$K$20,9)/30))</f>
        <v>8.6783010346861094</v>
      </c>
      <c r="G33" s="172">
        <f ca="1">(VLOOKUP(G$29,INDIRECT($C$5&amp;"生成成长"),2))/((VLOOKUP($B33,INDIRECT($B$5&amp;"生成成长"),4))/(VLOOKUP(G$29,INDIRECT($C$5&amp;"生成成长"),5))*(VLOOKUP($B$5,标准坦克设计!$B$24:$U$30,MATCH("对"&amp;LEFT($C$5,2)&amp;"输出",标准坦克设计!$B$23:$U$23,0)))*(VLOOKUP($B33,INDIRECT($B$5&amp;"生成成长"),3))*(VLOOKUP($B$5,标准坦克设计!$B$14:$K$20,9)/30))</f>
        <v>4.7785972559235024</v>
      </c>
      <c r="H33" s="172">
        <f ca="1">(VLOOKUP(H$29,INDIRECT($C$5&amp;"生成成长"),2))/((VLOOKUP($B33,INDIRECT($B$5&amp;"生成成长"),4))/(VLOOKUP(H$29,INDIRECT($C$5&amp;"生成成长"),5))*(VLOOKUP($B$5,标准坦克设计!$B$24:$U$30,MATCH("对"&amp;LEFT($C$5,2)&amp;"输出",标准坦克设计!$B$23:$U$23,0)))*(VLOOKUP($B33,INDIRECT($B$5&amp;"生成成长"),3))*(VLOOKUP($B$5,标准坦克设计!$B$14:$K$20,9)/30))</f>
        <v>8.3142174342347932</v>
      </c>
      <c r="I33" s="172">
        <f ca="1">(VLOOKUP(I$29,INDIRECT($C$5&amp;"生成成长"),2))/((VLOOKUP($B33,INDIRECT($B$5&amp;"生成成长"),4))/(VLOOKUP(I$29,INDIRECT($C$5&amp;"生成成长"),5))*(VLOOKUP($B$5,标准坦克设计!$B$24:$U$30,MATCH("对"&amp;LEFT($C$5,2)&amp;"输出",标准坦克设计!$B$23:$U$23,0)))*(VLOOKUP($B33,INDIRECT($B$5&amp;"生成成长"),3))*(VLOOKUP($B$5,标准坦克设计!$B$14:$K$20,9)/30))</f>
        <v>14.278253555913469</v>
      </c>
      <c r="J33" s="172">
        <f ca="1">(VLOOKUP(J$29,INDIRECT($C$5&amp;"生成成长"),2))/((VLOOKUP($B33,INDIRECT($B$5&amp;"生成成长"),4))/(VLOOKUP(J$29,INDIRECT($C$5&amp;"生成成长"),5))*(VLOOKUP($B$5,标准坦克设计!$B$24:$U$30,MATCH("对"&amp;LEFT($C$5,2)&amp;"输出",标准坦克设计!$B$23:$U$23,0)))*(VLOOKUP($B33,INDIRECT($B$5&amp;"生成成长"),3))*(VLOOKUP($B$5,标准坦克设计!$B$14:$K$20,9)/30))</f>
        <v>23.936329565385524</v>
      </c>
      <c r="K33" s="172">
        <f ca="1">(VLOOKUP(K$29,INDIRECT($C$5&amp;"生成成长"),2))/((VLOOKUP($B33,INDIRECT($B$5&amp;"生成成长"),4))/(VLOOKUP(K$29,INDIRECT($C$5&amp;"生成成长"),5))*(VLOOKUP($B$5,标准坦克设计!$B$24:$U$30,MATCH("对"&amp;LEFT($C$5,2)&amp;"输出",标准坦克设计!$B$23:$U$23,0)))*(VLOOKUP($B33,INDIRECT($B$5&amp;"生成成长"),3))*(VLOOKUP($B$5,标准坦克设计!$B$14:$K$20,9)/30))</f>
        <v>8.8013959662672683</v>
      </c>
      <c r="L33" s="172">
        <f ca="1">(VLOOKUP(L$29,INDIRECT($C$5&amp;"生成成长"),2))/((VLOOKUP($B33,INDIRECT($B$5&amp;"生成成长"),4))/(VLOOKUP(L$29,INDIRECT($C$5&amp;"生成成长"),5))*(VLOOKUP($B$5,标准坦克设计!$B$24:$U$30,MATCH("对"&amp;LEFT($C$5,2)&amp;"输出",标准坦克设计!$B$23:$U$23,0)))*(VLOOKUP($B33,INDIRECT($B$5&amp;"生成成长"),3))*(VLOOKUP($B$5,标准坦克设计!$B$14:$K$20,9)/30))</f>
        <v>15.07577001404492</v>
      </c>
      <c r="M33" s="172">
        <f ca="1">(VLOOKUP(M$29,INDIRECT($C$5&amp;"生成成长"),2))/((VLOOKUP($B33,INDIRECT($B$5&amp;"生成成长"),4))/(VLOOKUP(M$29,INDIRECT($C$5&amp;"生成成长"),5))*(VLOOKUP($B$5,标准坦克设计!$B$24:$U$30,MATCH("对"&amp;LEFT($C$5,2)&amp;"输出",标准坦克设计!$B$23:$U$23,0)))*(VLOOKUP($B33,INDIRECT($B$5&amp;"生成成长"),3))*(VLOOKUP($B$5,标准坦克设计!$B$14:$K$20,9)/30))</f>
        <v>25.174213806919994</v>
      </c>
      <c r="P33" s="174" t="str">
        <f>"T"&amp;LEFT(RIGHT(Q33,3),1)&amp;""&amp;IF(LEFT(Q33,1)="1","低",IF(LEFT(Q33,1)="2","中","高"))&amp;"满"</f>
        <v>T3高满</v>
      </c>
      <c r="Q33" s="178">
        <v>30315</v>
      </c>
      <c r="R33" s="172">
        <f ca="1">(VLOOKUP(R$13,INDIRECT($C$5&amp;"生成成长"),2))/((VLOOKUP($Q33,INDIRECT($B$5&amp;"生成成长"),4))/(VLOOKUP(R$13,INDIRECT($C$5&amp;"生成成长"),5))*(VLOOKUP($B$5,标准坦克设计!$B$24:$U$30,MATCH("对"&amp;LEFT($C$5,2)&amp;"输出",标准坦克设计!$B$23:$U$23,0)))*(VLOOKUP($Q33,INDIRECT($B$5&amp;"生成成长"),3))*(VLOOKUP($B$5,标准坦克设计!$B$14:$K$20,9)/30))</f>
        <v>1.0673008165667701</v>
      </c>
      <c r="S33" s="172">
        <f ca="1">(VLOOKUP(S$13,INDIRECT($C$5&amp;"生成成长"),2))/((VLOOKUP($Q33,INDIRECT($B$5&amp;"生成成长"),4))/(VLOOKUP(S$13,INDIRECT($C$5&amp;"生成成长"),5))*(VLOOKUP($B$5,标准坦克设计!$B$24:$U$30,MATCH("对"&amp;LEFT($C$5,2)&amp;"输出",标准坦克设计!$B$23:$U$23,0)))*(VLOOKUP($Q33,INDIRECT($B$5&amp;"生成成长"),3))*(VLOOKUP($B$5,标准坦克设计!$B$14:$K$20,9)/30))</f>
        <v>1.641081735553066</v>
      </c>
      <c r="T33" s="172">
        <f ca="1">(VLOOKUP(T$13,INDIRECT($C$5&amp;"生成成长"),2))/((VLOOKUP($Q33,INDIRECT($B$5&amp;"生成成长"),4))/(VLOOKUP(T$13,INDIRECT($C$5&amp;"生成成长"),5))*(VLOOKUP($B$5,标准坦克设计!$B$24:$U$30,MATCH("对"&amp;LEFT($C$5,2)&amp;"输出",标准坦克设计!$B$23:$U$23,0)))*(VLOOKUP($Q33,INDIRECT($B$5&amp;"生成成长"),3))*(VLOOKUP($B$5,标准坦克设计!$B$14:$K$20,9)/30))</f>
        <v>1.4361599787722461</v>
      </c>
      <c r="U33" s="172">
        <f ca="1">(VLOOKUP(U$13,INDIRECT($C$5&amp;"生成成长"),2))/((VLOOKUP($Q33,INDIRECT($B$5&amp;"生成成长"),4))/(VLOOKUP(U$13,INDIRECT($C$5&amp;"生成成长"),5))*(VLOOKUP($B$5,标准坦克设计!$B$24:$U$30,MATCH("对"&amp;LEFT($C$5,2)&amp;"输出",标准坦克设计!$B$23:$U$23,0)))*(VLOOKUP($Q33,INDIRECT($B$5&amp;"生成成长"),3))*(VLOOKUP($B$5,标准坦克设计!$B$14:$K$20,9)/30))</f>
        <v>2.8706122762379853</v>
      </c>
      <c r="V33" s="172">
        <f ca="1">(VLOOKUP(V$13,INDIRECT($C$5&amp;"生成成长"),2))/((VLOOKUP($Q33,INDIRECT($B$5&amp;"生成成长"),4))/(VLOOKUP(V$13,INDIRECT($C$5&amp;"生成成长"),5))*(VLOOKUP($B$5,标准坦克设计!$B$24:$U$30,MATCH("对"&amp;LEFT($C$5,2)&amp;"输出",标准坦克设计!$B$23:$U$23,0)))*(VLOOKUP($Q33,INDIRECT($B$5&amp;"生成成长"),3))*(VLOOKUP($B$5,标准坦克设计!$B$14:$K$20,9)/30))</f>
        <v>2.1825234397973885</v>
      </c>
      <c r="W33" s="172">
        <f ca="1">(VLOOKUP(W$13,INDIRECT($C$5&amp;"生成成长"),2))/((VLOOKUP($Q33,INDIRECT($B$5&amp;"生成成长"),4))/(VLOOKUP(W$13,INDIRECT($C$5&amp;"生成成长"),5))*(VLOOKUP($B$5,标准坦克设计!$B$24:$U$30,MATCH("对"&amp;LEFT($C$5,2)&amp;"输出",标准坦克设计!$B$23:$U$23,0)))*(VLOOKUP($Q33,INDIRECT($B$5&amp;"生成成长"),3))*(VLOOKUP($B$5,标准坦克设计!$B$14:$K$20,9)/30))</f>
        <v>4.9335980245798963</v>
      </c>
      <c r="X33" s="172">
        <f ca="1">(VLOOKUP(X$13,INDIRECT($C$5&amp;"生成成长"),2))/((VLOOKUP($Q33,INDIRECT($B$5&amp;"生成成长"),4))/(VLOOKUP(X$13,INDIRECT($C$5&amp;"生成成长"),5))*(VLOOKUP($B$5,标准坦克设计!$B$24:$U$30,MATCH("对"&amp;LEFT($C$5,2)&amp;"输出",标准坦克设计!$B$23:$U$23,0)))*(VLOOKUP($Q33,INDIRECT($B$5&amp;"生成成长"),3))*(VLOOKUP($B$5,标准坦克设计!$B$14:$K$20,9)/30))</f>
        <v>3.574283704600457</v>
      </c>
      <c r="Y33" s="172">
        <f ca="1">(VLOOKUP(Y$13,INDIRECT($C$5&amp;"生成成长"),2))/((VLOOKUP($Q33,INDIRECT($B$5&amp;"生成成长"),4))/(VLOOKUP(Y$13,INDIRECT($C$5&amp;"生成成长"),5))*(VLOOKUP($B$5,标准坦克设计!$B$24:$U$30,MATCH("对"&amp;LEFT($C$5,2)&amp;"输出",标准坦克设计!$B$23:$U$23,0)))*(VLOOKUP($Q33,INDIRECT($B$5&amp;"生成成长"),3))*(VLOOKUP($B$5,标准坦克设计!$B$14:$K$20,9)/30))</f>
        <v>8.5479055098016055</v>
      </c>
      <c r="Z33" s="172">
        <f ca="1">(VLOOKUP(Z$13,INDIRECT($C$5&amp;"生成成长"),2))/((VLOOKUP($Q33,INDIRECT($B$5&amp;"生成成长"),4))/(VLOOKUP(Z$13,INDIRECT($C$5&amp;"生成成长"),5))*(VLOOKUP($B$5,标准坦克设计!$B$24:$U$30,MATCH("对"&amp;LEFT($C$5,2)&amp;"输出",标准坦克设计!$B$23:$U$23,0)))*(VLOOKUP($Q33,INDIRECT($B$5&amp;"生成成长"),3))*(VLOOKUP($B$5,标准坦克设计!$B$14:$K$20,9)/30))</f>
        <v>1.4861096569875711</v>
      </c>
      <c r="AA33" s="172">
        <f ca="1">(VLOOKUP(AA$13,INDIRECT($C$5&amp;"生成成长"),2))/((VLOOKUP($Q33,INDIRECT($B$5&amp;"生成成长"),4))/(VLOOKUP(AA$13,INDIRECT($C$5&amp;"生成成长"),5))*(VLOOKUP($B$5,标准坦克设计!$B$24:$U$30,MATCH("对"&amp;LEFT($C$5,2)&amp;"输出",标准坦克设计!$B$23:$U$23,0)))*(VLOOKUP($Q33,INDIRECT($B$5&amp;"生成成长"),3))*(VLOOKUP($B$5,标准坦克设计!$B$14:$K$20,9)/30))</f>
        <v>4.7067966010594562</v>
      </c>
      <c r="AB33" s="172">
        <f ca="1">(VLOOKUP(AB$13,INDIRECT($C$5&amp;"生成成长"),2))/((VLOOKUP($Q33,INDIRECT($B$5&amp;"生成成长"),4))/(VLOOKUP(AB$13,INDIRECT($C$5&amp;"生成成长"),5))*(VLOOKUP($B$5,标准坦克设计!$B$24:$U$30,MATCH("对"&amp;LEFT($C$5,2)&amp;"输出",标准坦克设计!$B$23:$U$23,0)))*(VLOOKUP($Q33,INDIRECT($B$5&amp;"生成成长"),3))*(VLOOKUP($B$5,标准坦克设计!$B$14:$K$20,9)/30))</f>
        <v>2.2750584205937274</v>
      </c>
      <c r="AC33" s="172">
        <f ca="1">(VLOOKUP(AC$13,INDIRECT($C$5&amp;"生成成长"),2))/((VLOOKUP($Q33,INDIRECT($B$5&amp;"生成成长"),4))/(VLOOKUP(AC$13,INDIRECT($C$5&amp;"生成成长"),5))*(VLOOKUP($B$5,标准坦克设计!$B$24:$U$30,MATCH("对"&amp;LEFT($C$5,2)&amp;"输出",标准坦克设计!$B$23:$U$23,0)))*(VLOOKUP($Q33,INDIRECT($B$5&amp;"生成成长"),3))*(VLOOKUP($B$5,标准坦克设计!$B$14:$K$20,9)/30))</f>
        <v>8.1892924354351706</v>
      </c>
      <c r="AD33" s="172">
        <f ca="1">(VLOOKUP(AD$13,INDIRECT($C$5&amp;"生成成长"),2))/((VLOOKUP($Q33,INDIRECT($B$5&amp;"生成成长"),4))/(VLOOKUP(AD$13,INDIRECT($C$5&amp;"生成成长"),5))*(VLOOKUP($B$5,标准坦克设计!$B$24:$U$30,MATCH("对"&amp;LEFT($C$5,2)&amp;"输出",标准坦克设计!$B$23:$U$23,0)))*(VLOOKUP($Q33,INDIRECT($B$5&amp;"生成成长"),3))*(VLOOKUP($B$5,标准坦克设计!$B$14:$K$20,9)/30))</f>
        <v>3.7322442254523387</v>
      </c>
      <c r="AE33" s="172">
        <f ca="1">(VLOOKUP(AE$13,INDIRECT($C$5&amp;"生成成长"),2))/((VLOOKUP($Q33,INDIRECT($B$5&amp;"生成成长"),4))/(VLOOKUP(AE$13,INDIRECT($C$5&amp;"生成成长"),5))*(VLOOKUP($B$5,标准坦克设计!$B$24:$U$30,MATCH("对"&amp;LEFT($C$5,2)&amp;"输出",标准坦克设计!$B$23:$U$23,0)))*(VLOOKUP($Q33,INDIRECT($B$5&amp;"生成成长"),3))*(VLOOKUP($B$5,标准坦克设计!$B$14:$K$20,9)/30))</f>
        <v>14.063716129818674</v>
      </c>
      <c r="AF33" s="172">
        <f ca="1">(VLOOKUP(AF$13,INDIRECT($C$5&amp;"生成成长"),2))/((VLOOKUP($Q33,INDIRECT($B$5&amp;"生成成长"),4))/(VLOOKUP(AF$13,INDIRECT($C$5&amp;"生成成长"),5))*(VLOOKUP($B$5,标准坦克设计!$B$24:$U$30,MATCH("对"&amp;LEFT($C$5,2)&amp;"输出",标准坦克设计!$B$23:$U$23,0)))*(VLOOKUP($Q33,INDIRECT($B$5&amp;"生成成长"),3))*(VLOOKUP($B$5,标准坦克设计!$B$14:$K$20,9)/30))</f>
        <v>6.3023045917451208</v>
      </c>
      <c r="AG33" s="172">
        <f ca="1">(VLOOKUP(AG$13,INDIRECT($C$5&amp;"生成成长"),2))/((VLOOKUP($Q33,INDIRECT($B$5&amp;"生成成长"),4))/(VLOOKUP(AG$13,INDIRECT($C$5&amp;"生成成长"),5))*(VLOOKUP($B$5,标准坦克设计!$B$24:$U$30,MATCH("对"&amp;LEFT($C$5,2)&amp;"输出",标准坦克设计!$B$23:$U$23,0)))*(VLOOKUP($Q33,INDIRECT($B$5&amp;"生成成长"),3))*(VLOOKUP($B$5,标准坦克设计!$B$14:$K$20,9)/30))</f>
        <v>23.576675037959951</v>
      </c>
      <c r="AH33" s="172">
        <f ca="1">(VLOOKUP(AH$13,INDIRECT($C$5&amp;"生成成长"),2))/((VLOOKUP($Q33,INDIRECT($B$5&amp;"生成成长"),4))/(VLOOKUP(AH$13,INDIRECT($C$5&amp;"生成成长"),5))*(VLOOKUP($B$5,标准坦克设计!$B$24:$U$30,MATCH("对"&amp;LEFT($C$5,2)&amp;"输出",标准坦克设计!$B$23:$U$23,0)))*(VLOOKUP($Q33,INDIRECT($B$5&amp;"生成成长"),3))*(VLOOKUP($B$5,标准坦克设计!$B$14:$K$20,9)/30))</f>
        <v>2.3695145428598869</v>
      </c>
      <c r="AI33" s="172">
        <f ca="1">(VLOOKUP(AI$13,INDIRECT($C$5&amp;"生成成长"),2))/((VLOOKUP($Q33,INDIRECT($B$5&amp;"生成成长"),4))/(VLOOKUP(AI$13,INDIRECT($C$5&amp;"生成成长"),5))*(VLOOKUP($B$5,标准坦克设计!$B$24:$U$30,MATCH("对"&amp;LEFT($C$5,2)&amp;"输出",标准坦克设计!$B$23:$U$23,0)))*(VLOOKUP($Q33,INDIRECT($B$5&amp;"生成成长"),3))*(VLOOKUP($B$5,标准坦克设计!$B$14:$K$20,9)/30))</f>
        <v>8.6691508825635921</v>
      </c>
      <c r="AJ33" s="172">
        <f ca="1">(VLOOKUP(AJ$13,INDIRECT($C$5&amp;"生成成长"),2))/((VLOOKUP($Q33,INDIRECT($B$5&amp;"生成成长"),4))/(VLOOKUP(AJ$13,INDIRECT($C$5&amp;"生成成长"),5))*(VLOOKUP($B$5,标准坦克设计!$B$24:$U$30,MATCH("对"&amp;LEFT($C$5,2)&amp;"输出",标准坦克设计!$B$23:$U$23,0)))*(VLOOKUP($Q33,INDIRECT($B$5&amp;"生成成长"),3))*(VLOOKUP($B$5,标准坦克设计!$B$14:$K$20,9)/30))</f>
        <v>3.8936201089172342</v>
      </c>
      <c r="AK33" s="172">
        <f ca="1">(VLOOKUP(AK$13,INDIRECT($C$5&amp;"生成成长"),2))/((VLOOKUP($Q33,INDIRECT($B$5&amp;"生成成长"),4))/(VLOOKUP(AK$13,INDIRECT($C$5&amp;"生成成长"),5))*(VLOOKUP($B$5,标准坦克设计!$B$24:$U$30,MATCH("对"&amp;LEFT($C$5,2)&amp;"输出",标准坦克设计!$B$23:$U$23,0)))*(VLOOKUP($Q33,INDIRECT($B$5&amp;"生成成长"),3))*(VLOOKUP($B$5,标准坦克设计!$B$14:$K$20,9)/30))</f>
        <v>14.849249530811818</v>
      </c>
      <c r="AL33" s="172">
        <f ca="1">(VLOOKUP(AL$13,INDIRECT($C$5&amp;"生成成长"),2))/((VLOOKUP($Q33,INDIRECT($B$5&amp;"生成成长"),4))/(VLOOKUP(AL$13,INDIRECT($C$5&amp;"生成成长"),5))*(VLOOKUP($B$5,标准坦克设计!$B$24:$U$30,MATCH("对"&amp;LEFT($C$5,2)&amp;"输出",标准坦克设计!$B$23:$U$23,0)))*(VLOOKUP($Q33,INDIRECT($B$5&amp;"生成成长"),3))*(VLOOKUP($B$5,标准坦克设计!$B$14:$K$20,9)/30))</f>
        <v>6.5643269422122641</v>
      </c>
      <c r="AM33" s="172">
        <f ca="1">(VLOOKUP(AM$13,INDIRECT($C$5&amp;"生成成长"),2))/((VLOOKUP($Q33,INDIRECT($B$5&amp;"生成成长"),4))/(VLOOKUP(AM$13,INDIRECT($C$5&amp;"生成成长"),5))*(VLOOKUP($B$5,标准坦克设计!$B$24:$U$30,MATCH("对"&amp;LEFT($C$5,2)&amp;"输出",标准坦克设计!$B$23:$U$23,0)))*(VLOOKUP($Q33,INDIRECT($B$5&amp;"生成成长"),3))*(VLOOKUP($B$5,标准坦克设计!$B$14:$K$20,9)/30))</f>
        <v>24.795959490805835</v>
      </c>
    </row>
    <row r="34" spans="1:39" x14ac:dyDescent="0.15">
      <c r="A34" s="170" t="str">
        <f t="shared" si="3"/>
        <v>T5低品质</v>
      </c>
      <c r="B34" s="171">
        <v>10513</v>
      </c>
      <c r="C34" s="172">
        <f ca="1">(VLOOKUP(C$29,INDIRECT($C$5&amp;"生成成长"),2))/((VLOOKUP($B34,INDIRECT($B$5&amp;"生成成长"),4))/(VLOOKUP(C$29,INDIRECT($C$5&amp;"生成成长"),5))*(VLOOKUP($B$5,标准坦克设计!$B$24:$U$30,MATCH("对"&amp;LEFT($C$5,2)&amp;"输出",标准坦克设计!$B$23:$U$23,0)))*(VLOOKUP($B34,INDIRECT($B$5&amp;"生成成长"),3))*(VLOOKUP($B$5,标准坦克设计!$B$14:$K$20,9)/30))</f>
        <v>0.97357442562439733</v>
      </c>
      <c r="D34" s="172">
        <f ca="1">(VLOOKUP(D$29,INDIRECT($C$5&amp;"生成成长"),2))/((VLOOKUP($B34,INDIRECT($B$5&amp;"生成成长"),4))/(VLOOKUP(D$29,INDIRECT($C$5&amp;"生成成长"),5))*(VLOOKUP($B$5,标准坦克设计!$B$24:$U$30,MATCH("对"&amp;LEFT($C$5,2)&amp;"输出",标准坦克设计!$B$23:$U$23,0)))*(VLOOKUP($B34,INDIRECT($B$5&amp;"生成成长"),3))*(VLOOKUP($B$5,标准坦克设计!$B$14:$K$20,9)/30))</f>
        <v>1.7029954312951214</v>
      </c>
      <c r="E34" s="172">
        <f ca="1">(VLOOKUP(E$29,INDIRECT($C$5&amp;"生成成长"),2))/((VLOOKUP($B34,INDIRECT($B$5&amp;"生成成长"),4))/(VLOOKUP(E$29,INDIRECT($C$5&amp;"生成成长"),5))*(VLOOKUP($B$5,标准坦克设计!$B$24:$U$30,MATCH("对"&amp;LEFT($C$5,2)&amp;"输出",标准坦克设计!$B$23:$U$23,0)))*(VLOOKUP($B34,INDIRECT($B$5&amp;"生成成长"),3))*(VLOOKUP($B$5,标准坦克设计!$B$14:$K$20,9)/30))</f>
        <v>2.9268651030494128</v>
      </c>
      <c r="F34" s="172">
        <f ca="1">(VLOOKUP(F$29,INDIRECT($C$5&amp;"生成成长"),2))/((VLOOKUP($B34,INDIRECT($B$5&amp;"生成成长"),4))/(VLOOKUP(F$29,INDIRECT($C$5&amp;"生成成长"),5))*(VLOOKUP($B$5,标准坦克设计!$B$24:$U$30,MATCH("对"&amp;LEFT($C$5,2)&amp;"输出",标准坦克设计!$B$23:$U$23,0)))*(VLOOKUP($B34,INDIRECT($B$5&amp;"生成成长"),3))*(VLOOKUP($B$5,标准坦克设计!$B$14:$K$20,9)/30))</f>
        <v>5.0710589343023127</v>
      </c>
      <c r="G34" s="172">
        <f ca="1">(VLOOKUP(G$29,INDIRECT($C$5&amp;"生成成长"),2))/((VLOOKUP($B34,INDIRECT($B$5&amp;"生成成长"),4))/(VLOOKUP(G$29,INDIRECT($C$5&amp;"生成成长"),5))*(VLOOKUP($B$5,标准坦克设计!$B$24:$U$30,MATCH("对"&amp;LEFT($C$5,2)&amp;"输出",标准坦克设计!$B$23:$U$23,0)))*(VLOOKUP($B34,INDIRECT($B$5&amp;"生成成长"),3))*(VLOOKUP($B$5,标准坦克设计!$B$14:$K$20,9)/30))</f>
        <v>2.7923147873332419</v>
      </c>
      <c r="H34" s="172">
        <f ca="1">(VLOOKUP(H$29,INDIRECT($C$5&amp;"生成成长"),2))/((VLOOKUP($B34,INDIRECT($B$5&amp;"生成成长"),4))/(VLOOKUP(H$29,INDIRECT($C$5&amp;"生成成长"),5))*(VLOOKUP($B$5,标准坦克设计!$B$24:$U$30,MATCH("对"&amp;LEFT($C$5,2)&amp;"输出",标准坦克设计!$B$23:$U$23,0)))*(VLOOKUP($B34,INDIRECT($B$5&amp;"生成成长"),3))*(VLOOKUP($B$5,标准坦克设计!$B$14:$K$20,9)/30))</f>
        <v>4.8583111409816846</v>
      </c>
      <c r="I34" s="172">
        <f ca="1">(VLOOKUP(I$29,INDIRECT($C$5&amp;"生成成长"),2))/((VLOOKUP($B34,INDIRECT($B$5&amp;"生成成长"),4))/(VLOOKUP(I$29,INDIRECT($C$5&amp;"生成成长"),5))*(VLOOKUP($B$5,标准坦克设计!$B$24:$U$30,MATCH("对"&amp;LEFT($C$5,2)&amp;"输出",标准坦克设计!$B$23:$U$23,0)))*(VLOOKUP($B34,INDIRECT($B$5&amp;"生成成长"),3))*(VLOOKUP($B$5,标准坦克设计!$B$14:$K$20,9)/30))</f>
        <v>8.3433226125195912</v>
      </c>
      <c r="J34" s="172">
        <f ca="1">(VLOOKUP(J$29,INDIRECT($C$5&amp;"生成成长"),2))/((VLOOKUP($B34,INDIRECT($B$5&amp;"生成成长"),4))/(VLOOKUP(J$29,INDIRECT($C$5&amp;"生成成长"),5))*(VLOOKUP($B$5,标准坦克设计!$B$24:$U$30,MATCH("对"&amp;LEFT($C$5,2)&amp;"输出",标准坦克设计!$B$23:$U$23,0)))*(VLOOKUP($B34,INDIRECT($B$5&amp;"生成成长"),3))*(VLOOKUP($B$5,标准坦克设计!$B$14:$K$20,9)/30))</f>
        <v>13.986901054918663</v>
      </c>
      <c r="K34" s="172">
        <f ca="1">(VLOOKUP(K$29,INDIRECT($C$5&amp;"生成成长"),2))/((VLOOKUP($B34,INDIRECT($B$5&amp;"生成成长"),4))/(VLOOKUP(K$29,INDIRECT($C$5&amp;"生成成长"),5))*(VLOOKUP($B$5,标准坦克设计!$B$24:$U$30,MATCH("对"&amp;LEFT($C$5,2)&amp;"输出",标准坦克设计!$B$23:$U$23,0)))*(VLOOKUP($B34,INDIRECT($B$5&amp;"生成成长"),3))*(VLOOKUP($B$5,标准坦克设计!$B$14:$K$20,9)/30))</f>
        <v>5.142987950139287</v>
      </c>
      <c r="L34" s="172">
        <f ca="1">(VLOOKUP(L$29,INDIRECT($C$5&amp;"生成成长"),2))/((VLOOKUP($B34,INDIRECT($B$5&amp;"生成成长"),4))/(VLOOKUP(L$29,INDIRECT($C$5&amp;"生成成长"),5))*(VLOOKUP($B$5,标准坦克设计!$B$24:$U$30,MATCH("对"&amp;LEFT($C$5,2)&amp;"输出",标准坦克设计!$B$23:$U$23,0)))*(VLOOKUP($B34,INDIRECT($B$5&amp;"生成成长"),3))*(VLOOKUP($B$5,标准坦克设计!$B$14:$K$20,9)/30))</f>
        <v>8.8093415883647754</v>
      </c>
      <c r="M34" s="172">
        <f ca="1">(VLOOKUP(M$29,INDIRECT($C$5&amp;"生成成长"),2))/((VLOOKUP($B34,INDIRECT($B$5&amp;"生成成长"),4))/(VLOOKUP(M$29,INDIRECT($C$5&amp;"生成成长"),5))*(VLOOKUP($B$5,标准坦克设计!$B$24:$U$30,MATCH("对"&amp;LEFT($C$5,2)&amp;"输出",标准坦克设计!$B$23:$U$23,0)))*(VLOOKUP($B34,INDIRECT($B$5&amp;"生成成长"),3))*(VLOOKUP($B$5,标准坦克设计!$B$14:$K$20,9)/30))</f>
        <v>14.710243552208798</v>
      </c>
      <c r="P34" s="170" t="str">
        <f>"T"&amp;LEFT(RIGHT(Q34,3),1)&amp;""&amp;IF(LEFT(Q34,1)="1","低",IF(LEFT(Q34,1)="2","中","高"))&amp;"初"</f>
        <v>T4高初</v>
      </c>
      <c r="Q34" s="171">
        <v>30401</v>
      </c>
      <c r="R34" s="172">
        <f ca="1">(VLOOKUP(R$13,INDIRECT($C$5&amp;"生成成长"),2))/((VLOOKUP($Q34,INDIRECT($B$5&amp;"生成成长"),4))/(VLOOKUP(R$13,INDIRECT($C$5&amp;"生成成长"),5))*(VLOOKUP($B$5,标准坦克设计!$B$24:$U$30,MATCH("对"&amp;LEFT($C$5,2)&amp;"输出",标准坦克设计!$B$23:$U$23,0)))*(VLOOKUP($Q34,INDIRECT($B$5&amp;"生成成长"),3))*(VLOOKUP($B$5,标准坦克设计!$B$14:$K$20,9)/30))</f>
        <v>2.3792601310458377</v>
      </c>
      <c r="S34" s="172">
        <f ca="1">(VLOOKUP(S$13,INDIRECT($C$5&amp;"生成成长"),2))/((VLOOKUP($Q34,INDIRECT($B$5&amp;"生成成长"),4))/(VLOOKUP(S$13,INDIRECT($C$5&amp;"生成成长"),5))*(VLOOKUP($B$5,标准坦克设计!$B$24:$U$30,MATCH("对"&amp;LEFT($C$5,2)&amp;"输出",标准坦克设计!$B$23:$U$23,0)))*(VLOOKUP($Q34,INDIRECT($B$5&amp;"生成成长"),3))*(VLOOKUP($B$5,标准坦克设计!$B$14:$K$20,9)/30))</f>
        <v>3.6583503774960788</v>
      </c>
      <c r="T34" s="172">
        <f ca="1">(VLOOKUP(T$13,INDIRECT($C$5&amp;"生成成长"),2))/((VLOOKUP($Q34,INDIRECT($B$5&amp;"生成成长"),4))/(VLOOKUP(T$13,INDIRECT($C$5&amp;"生成成长"),5))*(VLOOKUP($B$5,标准坦克设计!$B$24:$U$30,MATCH("对"&amp;LEFT($C$5,2)&amp;"输出",标准坦克设计!$B$23:$U$23,0)))*(VLOOKUP($Q34,INDIRECT($B$5&amp;"生成成长"),3))*(VLOOKUP($B$5,标准坦克设计!$B$14:$K$20,9)/30))</f>
        <v>3.201532432335279</v>
      </c>
      <c r="U34" s="172">
        <f ca="1">(VLOOKUP(U$13,INDIRECT($C$5&amp;"生成成长"),2))/((VLOOKUP($Q34,INDIRECT($B$5&amp;"生成成长"),4))/(VLOOKUP(U$13,INDIRECT($C$5&amp;"生成成长"),5))*(VLOOKUP($B$5,标准坦克设计!$B$24:$U$30,MATCH("对"&amp;LEFT($C$5,2)&amp;"输出",标准坦克设计!$B$23:$U$23,0)))*(VLOOKUP($Q34,INDIRECT($B$5&amp;"生成成长"),3))*(VLOOKUP($B$5,标准坦克设计!$B$14:$K$20,9)/30))</f>
        <v>6.3992580484608848</v>
      </c>
      <c r="V34" s="172">
        <f ca="1">(VLOOKUP(V$13,INDIRECT($C$5&amp;"生成成长"),2))/((VLOOKUP($Q34,INDIRECT($B$5&amp;"生成成长"),4))/(VLOOKUP(V$13,INDIRECT($C$5&amp;"生成成长"),5))*(VLOOKUP($B$5,标准坦克设计!$B$24:$U$30,MATCH("对"&amp;LEFT($C$5,2)&amp;"输出",标准坦克设计!$B$23:$U$23,0)))*(VLOOKUP($Q34,INDIRECT($B$5&amp;"生成成长"),3))*(VLOOKUP($B$5,标准坦克设计!$B$14:$K$20,9)/30))</f>
        <v>4.8653490419756329</v>
      </c>
      <c r="W34" s="172">
        <f ca="1">(VLOOKUP(W$13,INDIRECT($C$5&amp;"生成成长"),2))/((VLOOKUP($Q34,INDIRECT($B$5&amp;"生成成长"),4))/(VLOOKUP(W$13,INDIRECT($C$5&amp;"生成成长"),5))*(VLOOKUP($B$5,标准坦克设计!$B$24:$U$30,MATCH("对"&amp;LEFT($C$5,2)&amp;"输出",标准坦克设计!$B$23:$U$23,0)))*(VLOOKUP($Q34,INDIRECT($B$5&amp;"生成成长"),3))*(VLOOKUP($B$5,标准坦克设计!$B$14:$K$20,9)/30))</f>
        <v>10.998129955759385</v>
      </c>
      <c r="X34" s="172">
        <f ca="1">(VLOOKUP(X$13,INDIRECT($C$5&amp;"生成成长"),2))/((VLOOKUP($Q34,INDIRECT($B$5&amp;"生成成长"),4))/(VLOOKUP(X$13,INDIRECT($C$5&amp;"生成成长"),5))*(VLOOKUP($B$5,标准坦克设计!$B$24:$U$30,MATCH("对"&amp;LEFT($C$5,2)&amp;"输出",标准坦克设计!$B$23:$U$23,0)))*(VLOOKUP($Q34,INDIRECT($B$5&amp;"生成成长"),3))*(VLOOKUP($B$5,标准坦克设计!$B$14:$K$20,9)/30))</f>
        <v>7.9679042528594035</v>
      </c>
      <c r="Y34" s="172">
        <f ca="1">(VLOOKUP(Y$13,INDIRECT($C$5&amp;"生成成长"),2))/((VLOOKUP($Q34,INDIRECT($B$5&amp;"生成成长"),4))/(VLOOKUP(Y$13,INDIRECT($C$5&amp;"生成成长"),5))*(VLOOKUP($B$5,标准坦克设计!$B$24:$U$30,MATCH("对"&amp;LEFT($C$5,2)&amp;"输出",标准坦克设计!$B$23:$U$23,0)))*(VLOOKUP($Q34,INDIRECT($B$5&amp;"生成成长"),3))*(VLOOKUP($B$5,标准坦克设计!$B$14:$K$20,9)/30))</f>
        <v>19.055256463533006</v>
      </c>
      <c r="Z34" s="172">
        <f ca="1">(VLOOKUP(Z$13,INDIRECT($C$5&amp;"生成成长"),2))/((VLOOKUP($Q34,INDIRECT($B$5&amp;"生成成长"),4))/(VLOOKUP(Z$13,INDIRECT($C$5&amp;"生成成长"),5))*(VLOOKUP($B$5,标准坦克设计!$B$24:$U$30,MATCH("对"&amp;LEFT($C$5,2)&amp;"输出",标准坦克设计!$B$23:$U$23,0)))*(VLOOKUP($Q34,INDIRECT($B$5&amp;"生成成长"),3))*(VLOOKUP($B$5,标准坦克设计!$B$14:$K$20,9)/30))</f>
        <v>3.3128818064682242</v>
      </c>
      <c r="AA34" s="172">
        <f ca="1">(VLOOKUP(AA$13,INDIRECT($C$5&amp;"生成成长"),2))/((VLOOKUP($Q34,INDIRECT($B$5&amp;"生成成长"),4))/(VLOOKUP(AA$13,INDIRECT($C$5&amp;"生成成长"),5))*(VLOOKUP($B$5,标准坦克设计!$B$24:$U$30,MATCH("对"&amp;LEFT($C$5,2)&amp;"输出",标准坦克设计!$B$23:$U$23,0)))*(VLOOKUP($Q34,INDIRECT($B$5&amp;"生成成长"),3))*(VLOOKUP($B$5,标准坦克设计!$B$14:$K$20,9)/30))</f>
        <v>10.492537177912146</v>
      </c>
      <c r="AB34" s="172">
        <f ca="1">(VLOOKUP(AB$13,INDIRECT($C$5&amp;"生成成长"),2))/((VLOOKUP($Q34,INDIRECT($B$5&amp;"生成成长"),4))/(VLOOKUP(AB$13,INDIRECT($C$5&amp;"生成成长"),5))*(VLOOKUP($B$5,标准坦克设计!$B$24:$U$30,MATCH("对"&amp;LEFT($C$5,2)&amp;"输出",标准坦克设计!$B$23:$U$23,0)))*(VLOOKUP($Q34,INDIRECT($B$5&amp;"生成成长"),3))*(VLOOKUP($B$5,标准坦克设计!$B$14:$K$20,9)/30))</f>
        <v>5.0716308953373082</v>
      </c>
      <c r="AC34" s="172">
        <f ca="1">(VLOOKUP(AC$13,INDIRECT($C$5&amp;"生成成长"),2))/((VLOOKUP($Q34,INDIRECT($B$5&amp;"生成成长"),4))/(VLOOKUP(AC$13,INDIRECT($C$5&amp;"生成成长"),5))*(VLOOKUP($B$5,标准坦克设计!$B$24:$U$30,MATCH("对"&amp;LEFT($C$5,2)&amp;"输出",标准坦克设计!$B$23:$U$23,0)))*(VLOOKUP($Q34,INDIRECT($B$5&amp;"生成成长"),3))*(VLOOKUP($B$5,标准坦克设计!$B$14:$K$20,9)/30))</f>
        <v>18.255825059501603</v>
      </c>
      <c r="AD34" s="172">
        <f ca="1">(VLOOKUP(AD$13,INDIRECT($C$5&amp;"生成成长"),2))/((VLOOKUP($Q34,INDIRECT($B$5&amp;"生成成长"),4))/(VLOOKUP(AD$13,INDIRECT($C$5&amp;"生成成长"),5))*(VLOOKUP($B$5,标准坦克设计!$B$24:$U$30,MATCH("对"&amp;LEFT($C$5,2)&amp;"输出",标准坦克设计!$B$23:$U$23,0)))*(VLOOKUP($Q34,INDIRECT($B$5&amp;"生成成长"),3))*(VLOOKUP($B$5,标准坦克设计!$B$14:$K$20,9)/30))</f>
        <v>8.3200347522541893</v>
      </c>
      <c r="AE34" s="172">
        <f ca="1">(VLOOKUP(AE$13,INDIRECT($C$5&amp;"生成成长"),2))/((VLOOKUP($Q34,INDIRECT($B$5&amp;"生成成长"),4))/(VLOOKUP(AE$13,INDIRECT($C$5&amp;"生成成长"),5))*(VLOOKUP($B$5,标准坦克设计!$B$24:$U$30,MATCH("对"&amp;LEFT($C$5,2)&amp;"输出",标准坦克设计!$B$23:$U$23,0)))*(VLOOKUP($Q34,INDIRECT($B$5&amp;"生成成长"),3))*(VLOOKUP($B$5,标准坦克设计!$B$14:$K$20,9)/30))</f>
        <v>31.351272820777897</v>
      </c>
      <c r="AF34" s="172">
        <f ca="1">(VLOOKUP(AF$13,INDIRECT($C$5&amp;"生成成长"),2))/((VLOOKUP($Q34,INDIRECT($B$5&amp;"生成成长"),4))/(VLOOKUP(AF$13,INDIRECT($C$5&amp;"生成成长"),5))*(VLOOKUP($B$5,标准坦克设计!$B$24:$U$30,MATCH("对"&amp;LEFT($C$5,2)&amp;"输出",标准坦克设计!$B$23:$U$23,0)))*(VLOOKUP($Q34,INDIRECT($B$5&amp;"生成成长"),3))*(VLOOKUP($B$5,标准坦克设计!$B$14:$K$20,9)/30))</f>
        <v>14.049293147812566</v>
      </c>
      <c r="AG34" s="172">
        <f ca="1">(VLOOKUP(AG$13,INDIRECT($C$5&amp;"生成成长"),2))/((VLOOKUP($Q34,INDIRECT($B$5&amp;"生成成长"),4))/(VLOOKUP(AG$13,INDIRECT($C$5&amp;"生成成长"),5))*(VLOOKUP($B$5,标准坦克设计!$B$24:$U$30,MATCH("对"&amp;LEFT($C$5,2)&amp;"输出",标准坦克设计!$B$23:$U$23,0)))*(VLOOKUP($Q34,INDIRECT($B$5&amp;"生成成长"),3))*(VLOOKUP($B$5,标准坦克设计!$B$14:$K$20,9)/30))</f>
        <v>52.557856294802555</v>
      </c>
      <c r="AH34" s="172">
        <f ca="1">(VLOOKUP(AH$13,INDIRECT($C$5&amp;"生成成长"),2))/((VLOOKUP($Q34,INDIRECT($B$5&amp;"生成成长"),4))/(VLOOKUP(AH$13,INDIRECT($C$5&amp;"生成成长"),5))*(VLOOKUP($B$5,标准坦克设计!$B$24:$U$30,MATCH("对"&amp;LEFT($C$5,2)&amp;"输出",标准坦克设计!$B$23:$U$23,0)))*(VLOOKUP($Q34,INDIRECT($B$5&amp;"生成成长"),3))*(VLOOKUP($B$5,标准坦克设计!$B$14:$K$20,9)/30))</f>
        <v>5.2821954169348642</v>
      </c>
      <c r="AI34" s="172">
        <f ca="1">(VLOOKUP(AI$13,INDIRECT($C$5&amp;"生成成长"),2))/((VLOOKUP($Q34,INDIRECT($B$5&amp;"生成成长"),4))/(VLOOKUP(AI$13,INDIRECT($C$5&amp;"生成成长"),5))*(VLOOKUP($B$5,标准坦克设计!$B$24:$U$30,MATCH("对"&amp;LEFT($C$5,2)&amp;"输出",标准坦克设计!$B$23:$U$23,0)))*(VLOOKUP($Q34,INDIRECT($B$5&amp;"生成成长"),3))*(VLOOKUP($B$5,标准坦克设计!$B$14:$K$20,9)/30))</f>
        <v>19.325540414419816</v>
      </c>
      <c r="AJ34" s="172">
        <f ca="1">(VLOOKUP(AJ$13,INDIRECT($C$5&amp;"生成成长"),2))/((VLOOKUP($Q34,INDIRECT($B$5&amp;"生成成长"),4))/(VLOOKUP(AJ$13,INDIRECT($C$5&amp;"生成成长"),5))*(VLOOKUP($B$5,标准坦克设计!$B$24:$U$30,MATCH("对"&amp;LEFT($C$5,2)&amp;"输出",标准坦克设计!$B$23:$U$23,0)))*(VLOOKUP($Q34,INDIRECT($B$5&amp;"生成成长"),3))*(VLOOKUP($B$5,标准坦克设计!$B$14:$K$20,9)/30))</f>
        <v>8.6797788840683197</v>
      </c>
      <c r="AK34" s="172">
        <f ca="1">(VLOOKUP(AK$13,INDIRECT($C$5&amp;"生成成长"),2))/((VLOOKUP($Q34,INDIRECT($B$5&amp;"生成成长"),4))/(VLOOKUP(AK$13,INDIRECT($C$5&amp;"生成成长"),5))*(VLOOKUP($B$5,标准坦克设计!$B$24:$U$30,MATCH("对"&amp;LEFT($C$5,2)&amp;"输出",标准坦克设计!$B$23:$U$23,0)))*(VLOOKUP($Q34,INDIRECT($B$5&amp;"生成成长"),3))*(VLOOKUP($B$5,标准坦克设计!$B$14:$K$20,9)/30))</f>
        <v>33.102408277227632</v>
      </c>
      <c r="AL34" s="172">
        <f ca="1">(VLOOKUP(AL$13,INDIRECT($C$5&amp;"生成成长"),2))/((VLOOKUP($Q34,INDIRECT($B$5&amp;"生成成长"),4))/(VLOOKUP(AL$13,INDIRECT($C$5&amp;"生成成长"),5))*(VLOOKUP($B$5,标准坦克设计!$B$24:$U$30,MATCH("对"&amp;LEFT($C$5,2)&amp;"输出",标准坦克设计!$B$23:$U$23,0)))*(VLOOKUP($Q34,INDIRECT($B$5&amp;"生成成长"),3))*(VLOOKUP($B$5,标准坦克设计!$B$14:$K$20,9)/30))</f>
        <v>14.633401509984315</v>
      </c>
      <c r="AM34" s="172">
        <f ca="1">(VLOOKUP(AM$13,INDIRECT($C$5&amp;"生成成长"),2))/((VLOOKUP($Q34,INDIRECT($B$5&amp;"生成成长"),4))/(VLOOKUP(AM$13,INDIRECT($C$5&amp;"生成成长"),5))*(VLOOKUP($B$5,标准坦克设计!$B$24:$U$30,MATCH("对"&amp;LEFT($C$5,2)&amp;"输出",标准坦克设计!$B$23:$U$23,0)))*(VLOOKUP($Q34,INDIRECT($B$5&amp;"生成成长"),3))*(VLOOKUP($B$5,标准坦克设计!$B$14:$K$20,9)/30))</f>
        <v>55.275923068509321</v>
      </c>
    </row>
    <row r="35" spans="1:39" x14ac:dyDescent="0.15">
      <c r="A35" s="170" t="str">
        <f t="shared" si="3"/>
        <v>T2中品质</v>
      </c>
      <c r="B35" s="171">
        <v>20212</v>
      </c>
      <c r="C35" s="172">
        <f ca="1">(VLOOKUP(C$29,INDIRECT($C$5&amp;"生成成长"),2))/((VLOOKUP($B35,INDIRECT($B$5&amp;"生成成长"),4))/(VLOOKUP(C$29,INDIRECT($C$5&amp;"生成成长"),5))*(VLOOKUP($B$5,标准坦克设计!$B$24:$U$30,MATCH("对"&amp;LEFT($C$5,2)&amp;"输出",标准坦克设计!$B$23:$U$23,0)))*(VLOOKUP($B35,INDIRECT($B$5&amp;"生成成长"),3))*(VLOOKUP($B$5,标准坦克设计!$B$14:$K$20,9)/30))</f>
        <v>3.0182580553965837</v>
      </c>
      <c r="D35" s="172">
        <f ca="1">(VLOOKUP(D$29,INDIRECT($C$5&amp;"生成成长"),2))/((VLOOKUP($B35,INDIRECT($B$5&amp;"生成成长"),4))/(VLOOKUP(D$29,INDIRECT($C$5&amp;"生成成长"),5))*(VLOOKUP($B$5,标准坦克设计!$B$24:$U$30,MATCH("对"&amp;LEFT($C$5,2)&amp;"输出",标准坦克设计!$B$23:$U$23,0)))*(VLOOKUP($B35,INDIRECT($B$5&amp;"生成成长"),3))*(VLOOKUP($B$5,标准坦克设计!$B$14:$K$20,9)/30))</f>
        <v>5.2795960365469883</v>
      </c>
      <c r="E35" s="172">
        <f ca="1">(VLOOKUP(E$29,INDIRECT($C$5&amp;"生成成长"),2))/((VLOOKUP($B35,INDIRECT($B$5&amp;"生成成长"),4))/(VLOOKUP(E$29,INDIRECT($C$5&amp;"生成成长"),5))*(VLOOKUP($B$5,标准坦克设计!$B$24:$U$30,MATCH("对"&amp;LEFT($C$5,2)&amp;"输出",标准坦克设计!$B$23:$U$23,0)))*(VLOOKUP($B35,INDIRECT($B$5&amp;"生成成长"),3))*(VLOOKUP($B$5,标准坦克设计!$B$14:$K$20,9)/30))</f>
        <v>9.073814946065756</v>
      </c>
      <c r="F35" s="172">
        <f ca="1">(VLOOKUP(F$29,INDIRECT($C$5&amp;"生成成长"),2))/((VLOOKUP($B35,INDIRECT($B$5&amp;"生成成长"),4))/(VLOOKUP(F$29,INDIRECT($C$5&amp;"生成成长"),5))*(VLOOKUP($B$5,标准坦克设计!$B$24:$U$30,MATCH("对"&amp;LEFT($C$5,2)&amp;"输出",标准坦克设计!$B$23:$U$23,0)))*(VLOOKUP($B35,INDIRECT($B$5&amp;"生成成长"),3))*(VLOOKUP($B$5,标准坦克设计!$B$14:$K$20,9)/30))</f>
        <v>15.721206386489136</v>
      </c>
      <c r="G35" s="172">
        <f ca="1">(VLOOKUP(G$29,INDIRECT($C$5&amp;"生成成长"),2))/((VLOOKUP($B35,INDIRECT($B$5&amp;"生成成长"),4))/(VLOOKUP(G$29,INDIRECT($C$5&amp;"生成成长"),5))*(VLOOKUP($B$5,标准坦克设计!$B$24:$U$30,MATCH("对"&amp;LEFT($C$5,2)&amp;"输出",标准坦克设计!$B$23:$U$23,0)))*(VLOOKUP($B35,INDIRECT($B$5&amp;"生成成长"),3))*(VLOOKUP($B$5,标准坦克设计!$B$14:$K$20,9)/30))</f>
        <v>8.6566844590913981</v>
      </c>
      <c r="H35" s="172">
        <f ca="1">(VLOOKUP(H$29,INDIRECT($C$5&amp;"生成成长"),2))/((VLOOKUP($B35,INDIRECT($B$5&amp;"生成成长"),4))/(VLOOKUP(H$29,INDIRECT($C$5&amp;"生成成长"),5))*(VLOOKUP($B$5,标准坦克设计!$B$24:$U$30,MATCH("对"&amp;LEFT($C$5,2)&amp;"输出",标准坦克设计!$B$23:$U$23,0)))*(VLOOKUP($B35,INDIRECT($B$5&amp;"生成成长"),3))*(VLOOKUP($B$5,标准坦克设计!$B$14:$K$20,9)/30))</f>
        <v>15.061649475320269</v>
      </c>
      <c r="I35" s="172">
        <f ca="1">(VLOOKUP(I$29,INDIRECT($C$5&amp;"生成成长"),2))/((VLOOKUP($B35,INDIRECT($B$5&amp;"生成成长"),4))/(VLOOKUP(I$29,INDIRECT($C$5&amp;"生成成长"),5))*(VLOOKUP($B$5,标准坦克设计!$B$24:$U$30,MATCH("对"&amp;LEFT($C$5,2)&amp;"输出",标准坦克设计!$B$23:$U$23,0)))*(VLOOKUP($B35,INDIRECT($B$5&amp;"生成成长"),3))*(VLOOKUP($B$5,标准坦克设计!$B$14:$K$20,9)/30))</f>
        <v>25.865819829705547</v>
      </c>
      <c r="J35" s="172">
        <f ca="1">(VLOOKUP(J$29,INDIRECT($C$5&amp;"生成成长"),2))/((VLOOKUP($B35,INDIRECT($B$5&amp;"生成成长"),4))/(VLOOKUP(J$29,INDIRECT($C$5&amp;"生成成长"),5))*(VLOOKUP($B$5,标准坦克设计!$B$24:$U$30,MATCH("对"&amp;LEFT($C$5,2)&amp;"输出",标准坦克设计!$B$23:$U$23,0)))*(VLOOKUP($B35,INDIRECT($B$5&amp;"生成成长"),3))*(VLOOKUP($B$5,标准坦克设计!$B$14:$K$20,9)/30))</f>
        <v>43.361940975358046</v>
      </c>
      <c r="K35" s="172">
        <f ca="1">(VLOOKUP(K$29,INDIRECT($C$5&amp;"生成成长"),2))/((VLOOKUP($B35,INDIRECT($B$5&amp;"生成成长"),4))/(VLOOKUP(K$29,INDIRECT($C$5&amp;"生成成长"),5))*(VLOOKUP($B$5,标准坦克设计!$B$24:$U$30,MATCH("对"&amp;LEFT($C$5,2)&amp;"输出",标准坦克设计!$B$23:$U$23,0)))*(VLOOKUP($B35,INDIRECT($B$5&amp;"生成成长"),3))*(VLOOKUP($B$5,标准坦克设计!$B$14:$K$20,9)/30))</f>
        <v>15.944199437408136</v>
      </c>
      <c r="L35" s="172">
        <f ca="1">(VLOOKUP(L$29,INDIRECT($C$5&amp;"生成成长"),2))/((VLOOKUP($B35,INDIRECT($B$5&amp;"生成成长"),4))/(VLOOKUP(L$29,INDIRECT($C$5&amp;"生成成长"),5))*(VLOOKUP($B$5,标准坦克设计!$B$24:$U$30,MATCH("对"&amp;LEFT($C$5,2)&amp;"输出",标准坦克设计!$B$23:$U$23,0)))*(VLOOKUP($B35,INDIRECT($B$5&amp;"生成成长"),3))*(VLOOKUP($B$5,标准坦克设计!$B$14:$K$20,9)/30))</f>
        <v>27.310563539884964</v>
      </c>
      <c r="M35" s="172">
        <f ca="1">(VLOOKUP(M$29,INDIRECT($C$5&amp;"生成成长"),2))/((VLOOKUP($B35,INDIRECT($B$5&amp;"生成成长"),4))/(VLOOKUP(M$29,INDIRECT($C$5&amp;"生成成长"),5))*(VLOOKUP($B$5,标准坦克设计!$B$24:$U$30,MATCH("对"&amp;LEFT($C$5,2)&amp;"输出",标准坦克设计!$B$23:$U$23,0)))*(VLOOKUP($B35,INDIRECT($B$5&amp;"生成成长"),3))*(VLOOKUP($B$5,标准坦克设计!$B$14:$K$20,9)/30))</f>
        <v>45.604434473332205</v>
      </c>
      <c r="P35" s="170" t="str">
        <f>"T"&amp;LEFT(RIGHT(Q35,3),1)&amp;""&amp;IF(LEFT(Q35,1)="1","低",IF(LEFT(Q35,1)="2","中","高"))&amp;"满"</f>
        <v>T4高满</v>
      </c>
      <c r="Q35" s="171">
        <v>30418</v>
      </c>
      <c r="R35" s="172">
        <f ca="1">(VLOOKUP(R$13,INDIRECT($C$5&amp;"生成成长"),2))/((VLOOKUP($Q35,INDIRECT($B$5&amp;"生成成长"),4))/(VLOOKUP(R$13,INDIRECT($C$5&amp;"生成成长"),5))*(VLOOKUP($B$5,标准坦克设计!$B$24:$U$30,MATCH("对"&amp;LEFT($C$5,2)&amp;"输出",标准坦克设计!$B$23:$U$23,0)))*(VLOOKUP($Q35,INDIRECT($B$5&amp;"生成成长"),3))*(VLOOKUP($B$5,标准坦克设计!$B$14:$K$20,9)/30))</f>
        <v>0.62228766108425926</v>
      </c>
      <c r="S35" s="172">
        <f ca="1">(VLOOKUP(S$13,INDIRECT($C$5&amp;"生成成长"),2))/((VLOOKUP($Q35,INDIRECT($B$5&amp;"生成成长"),4))/(VLOOKUP(S$13,INDIRECT($C$5&amp;"生成成长"),5))*(VLOOKUP($B$5,标准坦克设计!$B$24:$U$30,MATCH("对"&amp;LEFT($C$5,2)&amp;"输出",标准坦克设计!$B$23:$U$23,0)))*(VLOOKUP($Q35,INDIRECT($B$5&amp;"生成成长"),3))*(VLOOKUP($B$5,标准坦克设计!$B$14:$K$20,9)/30))</f>
        <v>0.95682950768315689</v>
      </c>
      <c r="T35" s="172">
        <f ca="1">(VLOOKUP(T$13,INDIRECT($C$5&amp;"生成成长"),2))/((VLOOKUP($Q35,INDIRECT($B$5&amp;"生成成长"),4))/(VLOOKUP(T$13,INDIRECT($C$5&amp;"生成成长"),5))*(VLOOKUP($B$5,标准坦克设计!$B$24:$U$30,MATCH("对"&amp;LEFT($C$5,2)&amp;"输出",标准坦克设计!$B$23:$U$23,0)))*(VLOOKUP($Q35,INDIRECT($B$5&amp;"生成成长"),3))*(VLOOKUP($B$5,标准坦克设计!$B$14:$K$20,9)/30))</f>
        <v>0.83735027675497931</v>
      </c>
      <c r="U35" s="172">
        <f ca="1">(VLOOKUP(U$13,INDIRECT($C$5&amp;"生成成长"),2))/((VLOOKUP($Q35,INDIRECT($B$5&amp;"生成成长"),4))/(VLOOKUP(U$13,INDIRECT($C$5&amp;"生成成长"),5))*(VLOOKUP($B$5,标准坦克设计!$B$24:$U$30,MATCH("对"&amp;LEFT($C$5,2)&amp;"输出",标准坦克设计!$B$23:$U$23,0)))*(VLOOKUP($Q35,INDIRECT($B$5&amp;"生成成长"),3))*(VLOOKUP($B$5,标准坦克设计!$B$14:$K$20,9)/30))</f>
        <v>1.6737048932522236</v>
      </c>
      <c r="V35" s="172">
        <f ca="1">(VLOOKUP(V$13,INDIRECT($C$5&amp;"生成成长"),2))/((VLOOKUP($Q35,INDIRECT($B$5&amp;"生成成长"),4))/(VLOOKUP(V$13,INDIRECT($C$5&amp;"生成成长"),5))*(VLOOKUP($B$5,标准坦克设计!$B$24:$U$30,MATCH("对"&amp;LEFT($C$5,2)&amp;"输出",标准坦克设计!$B$23:$U$23,0)))*(VLOOKUP($Q35,INDIRECT($B$5&amp;"生成成长"),3))*(VLOOKUP($B$5,标准坦克设计!$B$14:$K$20,9)/30))</f>
        <v>1.2725160381512017</v>
      </c>
      <c r="W35" s="172">
        <f ca="1">(VLOOKUP(W$13,INDIRECT($C$5&amp;"生成成长"),2))/((VLOOKUP($Q35,INDIRECT($B$5&amp;"生成成长"),4))/(VLOOKUP(W$13,INDIRECT($C$5&amp;"生成成长"),5))*(VLOOKUP($B$5,标准坦克设计!$B$24:$U$30,MATCH("对"&amp;LEFT($C$5,2)&amp;"输出",标准坦克设计!$B$23:$U$23,0)))*(VLOOKUP($Q35,INDIRECT($B$5&amp;"生成成长"),3))*(VLOOKUP($B$5,标准坦克设计!$B$14:$K$20,9)/30))</f>
        <v>2.876524713361988</v>
      </c>
      <c r="X35" s="172">
        <f ca="1">(VLOOKUP(X$13,INDIRECT($C$5&amp;"生成成长"),2))/((VLOOKUP($Q35,INDIRECT($B$5&amp;"生成成长"),4))/(VLOOKUP(X$13,INDIRECT($C$5&amp;"生成成长"),5))*(VLOOKUP($B$5,标准坦克设计!$B$24:$U$30,MATCH("对"&amp;LEFT($C$5,2)&amp;"输出",标准坦克设计!$B$23:$U$23,0)))*(VLOOKUP($Q35,INDIRECT($B$5&amp;"生成成长"),3))*(VLOOKUP($B$5,标准坦克设计!$B$14:$K$20,9)/30))</f>
        <v>2.0839791482050756</v>
      </c>
      <c r="Y35" s="172">
        <f ca="1">(VLOOKUP(Y$13,INDIRECT($C$5&amp;"生成成长"),2))/((VLOOKUP($Q35,INDIRECT($B$5&amp;"生成成长"),4))/(VLOOKUP(Y$13,INDIRECT($C$5&amp;"生成成长"),5))*(VLOOKUP($B$5,标准坦克设计!$B$24:$U$30,MATCH("对"&amp;LEFT($C$5,2)&amp;"输出",标准坦克设计!$B$23:$U$23,0)))*(VLOOKUP($Q35,INDIRECT($B$5&amp;"生成成长"),3))*(VLOOKUP($B$5,标准坦克设计!$B$14:$K$20,9)/30))</f>
        <v>4.9838396488577246</v>
      </c>
      <c r="Z35" s="172">
        <f ca="1">(VLOOKUP(Z$13,INDIRECT($C$5&amp;"生成成长"),2))/((VLOOKUP($Q35,INDIRECT($B$5&amp;"生成成长"),4))/(VLOOKUP(Z$13,INDIRECT($C$5&amp;"生成成长"),5))*(VLOOKUP($B$5,标准坦克设计!$B$24:$U$30,MATCH("对"&amp;LEFT($C$5,2)&amp;"输出",标准坦克设计!$B$23:$U$23,0)))*(VLOOKUP($Q35,INDIRECT($B$5&amp;"生成成长"),3))*(VLOOKUP($B$5,标准坦克设计!$B$14:$K$20,9)/30))</f>
        <v>0.86647333929372261</v>
      </c>
      <c r="AA35" s="172">
        <f ca="1">(VLOOKUP(AA$13,INDIRECT($C$5&amp;"生成成长"),2))/((VLOOKUP($Q35,INDIRECT($B$5&amp;"生成成长"),4))/(VLOOKUP(AA$13,INDIRECT($C$5&amp;"生成成长"),5))*(VLOOKUP($B$5,标准坦克设计!$B$24:$U$30,MATCH("对"&amp;LEFT($C$5,2)&amp;"输出",标准坦克设计!$B$23:$U$23,0)))*(VLOOKUP($Q35,INDIRECT($B$5&amp;"生成成长"),3))*(VLOOKUP($B$5,标准坦克设计!$B$14:$K$20,9)/30))</f>
        <v>2.7442885853815833</v>
      </c>
      <c r="AB35" s="172">
        <f ca="1">(VLOOKUP(AB$13,INDIRECT($C$5&amp;"生成成长"),2))/((VLOOKUP($Q35,INDIRECT($B$5&amp;"生成成长"),4))/(VLOOKUP(AB$13,INDIRECT($C$5&amp;"生成成长"),5))*(VLOOKUP($B$5,标准坦克设计!$B$24:$U$30,MATCH("对"&amp;LEFT($C$5,2)&amp;"输出",标准坦克设计!$B$23:$U$23,0)))*(VLOOKUP($Q35,INDIRECT($B$5&amp;"生成成长"),3))*(VLOOKUP($B$5,标准坦克设计!$B$14:$K$20,9)/30))</f>
        <v>1.3264683783672067</v>
      </c>
      <c r="AC35" s="172">
        <f ca="1">(VLOOKUP(AC$13,INDIRECT($C$5&amp;"生成成长"),2))/((VLOOKUP($Q35,INDIRECT($B$5&amp;"生成成长"),4))/(VLOOKUP(AC$13,INDIRECT($C$5&amp;"生成成长"),5))*(VLOOKUP($B$5,标准坦克设计!$B$24:$U$30,MATCH("对"&amp;LEFT($C$5,2)&amp;"输出",标准坦克设计!$B$23:$U$23,0)))*(VLOOKUP($Q35,INDIRECT($B$5&amp;"生成成长"),3))*(VLOOKUP($B$5,标准坦克设计!$B$14:$K$20,9)/30))</f>
        <v>4.7747509947334121</v>
      </c>
      <c r="AD35" s="172">
        <f ca="1">(VLOOKUP(AD$13,INDIRECT($C$5&amp;"生成成长"),2))/((VLOOKUP($Q35,INDIRECT($B$5&amp;"生成成长"),4))/(VLOOKUP(AD$13,INDIRECT($C$5&amp;"生成成长"),5))*(VLOOKUP($B$5,标准坦克设计!$B$24:$U$30,MATCH("对"&amp;LEFT($C$5,2)&amp;"输出",标准坦克设计!$B$23:$U$23,0)))*(VLOOKUP($Q35,INDIRECT($B$5&amp;"生成成长"),3))*(VLOOKUP($B$5,标准坦克设计!$B$14:$K$20,9)/30))</f>
        <v>2.1760777220455463</v>
      </c>
      <c r="AE35" s="172">
        <f ca="1">(VLOOKUP(AE$13,INDIRECT($C$5&amp;"生成成长"),2))/((VLOOKUP($Q35,INDIRECT($B$5&amp;"生成成长"),4))/(VLOOKUP(AE$13,INDIRECT($C$5&amp;"生成成长"),5))*(VLOOKUP($B$5,标准坦克设计!$B$24:$U$30,MATCH("对"&amp;LEFT($C$5,2)&amp;"输出",标准坦克设计!$B$23:$U$23,0)))*(VLOOKUP($Q35,INDIRECT($B$5&amp;"生成成长"),3))*(VLOOKUP($B$5,标准坦克设计!$B$14:$K$20,9)/30))</f>
        <v>8.1998222813411736</v>
      </c>
      <c r="AF35" s="172">
        <f ca="1">(VLOOKUP(AF$13,INDIRECT($C$5&amp;"生成成长"),2))/((VLOOKUP($Q35,INDIRECT($B$5&amp;"生成成长"),4))/(VLOOKUP(AF$13,INDIRECT($C$5&amp;"生成成长"),5))*(VLOOKUP($B$5,标准坦克设计!$B$24:$U$30,MATCH("对"&amp;LEFT($C$5,2)&amp;"输出",标准坦克设计!$B$23:$U$23,0)))*(VLOOKUP($Q35,INDIRECT($B$5&amp;"生成成长"),3))*(VLOOKUP($B$5,标准坦克设计!$B$14:$K$20,9)/30))</f>
        <v>3.6745464099364424</v>
      </c>
      <c r="AG35" s="172">
        <f ca="1">(VLOOKUP(AG$13,INDIRECT($C$5&amp;"生成成长"),2))/((VLOOKUP($Q35,INDIRECT($B$5&amp;"生成成长"),4))/(VLOOKUP(AG$13,INDIRECT($C$5&amp;"生成成长"),5))*(VLOOKUP($B$5,标准坦克设计!$B$24:$U$30,MATCH("对"&amp;LEFT($C$5,2)&amp;"输出",标准坦克设计!$B$23:$U$23,0)))*(VLOOKUP($Q35,INDIRECT($B$5&amp;"生成成长"),3))*(VLOOKUP($B$5,标准坦克设计!$B$14:$K$20,9)/30))</f>
        <v>13.746334433351288</v>
      </c>
      <c r="AH35" s="172">
        <f ca="1">(VLOOKUP(AH$13,INDIRECT($C$5&amp;"生成成长"),2))/((VLOOKUP($Q35,INDIRECT($B$5&amp;"生成成长"),4))/(VLOOKUP(AH$13,INDIRECT($C$5&amp;"生成成长"),5))*(VLOOKUP($B$5,标准坦克设计!$B$24:$U$30,MATCH("对"&amp;LEFT($C$5,2)&amp;"输出",标准坦克设计!$B$23:$U$23,0)))*(VLOOKUP($Q35,INDIRECT($B$5&amp;"生成成长"),3))*(VLOOKUP($B$5,标准坦克设计!$B$14:$K$20,9)/30))</f>
        <v>1.3815408363731638</v>
      </c>
      <c r="AI35" s="172">
        <f ca="1">(VLOOKUP(AI$13,INDIRECT($C$5&amp;"生成成长"),2))/((VLOOKUP($Q35,INDIRECT($B$5&amp;"生成成长"),4))/(VLOOKUP(AI$13,INDIRECT($C$5&amp;"生成成长"),5))*(VLOOKUP($B$5,标准坦克设计!$B$24:$U$30,MATCH("对"&amp;LEFT($C$5,2)&amp;"输出",标准坦克设计!$B$23:$U$23,0)))*(VLOOKUP($Q35,INDIRECT($B$5&amp;"生成成长"),3))*(VLOOKUP($B$5,标准坦克设计!$B$14:$K$20,9)/30))</f>
        <v>5.0545315271568949</v>
      </c>
      <c r="AJ35" s="172">
        <f ca="1">(VLOOKUP(AJ$13,INDIRECT($C$5&amp;"生成成长"),2))/((VLOOKUP($Q35,INDIRECT($B$5&amp;"生成成长"),4))/(VLOOKUP(AJ$13,INDIRECT($C$5&amp;"生成成长"),5))*(VLOOKUP($B$5,标准坦克设计!$B$24:$U$30,MATCH("对"&amp;LEFT($C$5,2)&amp;"输出",标准坦克设计!$B$23:$U$23,0)))*(VLOOKUP($Q35,INDIRECT($B$5&amp;"生成成长"),3))*(VLOOKUP($B$5,标准坦克设计!$B$14:$K$20,9)/30))</f>
        <v>2.2701676164014861</v>
      </c>
      <c r="AK35" s="172">
        <f ca="1">(VLOOKUP(AK$13,INDIRECT($C$5&amp;"生成成长"),2))/((VLOOKUP($Q35,INDIRECT($B$5&amp;"生成成长"),4))/(VLOOKUP(AK$13,INDIRECT($C$5&amp;"生成成长"),5))*(VLOOKUP($B$5,标准坦克设计!$B$24:$U$30,MATCH("对"&amp;LEFT($C$5,2)&amp;"输出",标准坦克设计!$B$23:$U$23,0)))*(VLOOKUP($Q35,INDIRECT($B$5&amp;"生成成长"),3))*(VLOOKUP($B$5,标准坦克设计!$B$14:$K$20,9)/30))</f>
        <v>8.65782599989919</v>
      </c>
      <c r="AL35" s="172">
        <f ca="1">(VLOOKUP(AL$13,INDIRECT($C$5&amp;"生成成长"),2))/((VLOOKUP($Q35,INDIRECT($B$5&amp;"生成成长"),4))/(VLOOKUP(AL$13,INDIRECT($C$5&amp;"生成成长"),5))*(VLOOKUP($B$5,标准坦克设计!$B$24:$U$30,MATCH("对"&amp;LEFT($C$5,2)&amp;"输出",标准坦克设计!$B$23:$U$23,0)))*(VLOOKUP($Q35,INDIRECT($B$5&amp;"生成成长"),3))*(VLOOKUP($B$5,标准坦克设计!$B$14:$K$20,9)/30))</f>
        <v>3.8273180307326276</v>
      </c>
      <c r="AM35" s="172">
        <f ca="1">(VLOOKUP(AM$13,INDIRECT($C$5&amp;"生成成长"),2))/((VLOOKUP($Q35,INDIRECT($B$5&amp;"生成成长"),4))/(VLOOKUP(AM$13,INDIRECT($C$5&amp;"生成成长"),5))*(VLOOKUP($B$5,标准坦克设计!$B$24:$U$30,MATCH("对"&amp;LEFT($C$5,2)&amp;"输出",标准坦克设计!$B$23:$U$23,0)))*(VLOOKUP($Q35,INDIRECT($B$5&amp;"生成成长"),3))*(VLOOKUP($B$5,标准坦克设计!$B$14:$K$20,9)/30))</f>
        <v>14.457235857373943</v>
      </c>
    </row>
    <row r="36" spans="1:39" x14ac:dyDescent="0.15">
      <c r="A36" s="170" t="str">
        <f t="shared" si="3"/>
        <v>T3中品质</v>
      </c>
      <c r="B36" s="171">
        <v>20315</v>
      </c>
      <c r="C36" s="172">
        <f ca="1">(VLOOKUP(C$29,INDIRECT($C$5&amp;"生成成长"),2))/((VLOOKUP($B36,INDIRECT($B$5&amp;"生成成长"),4))/(VLOOKUP(C$29,INDIRECT($C$5&amp;"生成成长"),5))*(VLOOKUP($B$5,标准坦克设计!$B$24:$U$30,MATCH("对"&amp;LEFT($C$5,2)&amp;"输出",标准坦克设计!$B$23:$U$23,0)))*(VLOOKUP($B36,INDIRECT($B$5&amp;"生成成长"),3))*(VLOOKUP($B$5,标准坦克设计!$B$14:$K$20,9)/30))</f>
        <v>1.7375205157345401</v>
      </c>
      <c r="D36" s="172">
        <f ca="1">(VLOOKUP(D$29,INDIRECT($C$5&amp;"生成成长"),2))/((VLOOKUP($B36,INDIRECT($B$5&amp;"生成成长"),4))/(VLOOKUP(D$29,INDIRECT($C$5&amp;"生成成长"),5))*(VLOOKUP($B$5,标准坦克设计!$B$24:$U$30,MATCH("对"&amp;LEFT($C$5,2)&amp;"输出",标准坦克设计!$B$23:$U$23,0)))*(VLOOKUP($B36,INDIRECT($B$5&amp;"生成成长"),3))*(VLOOKUP($B$5,标准坦克设计!$B$14:$K$20,9)/30))</f>
        <v>3.0393048771589619</v>
      </c>
      <c r="E36" s="172">
        <f ca="1">(VLOOKUP(E$29,INDIRECT($C$5&amp;"生成成长"),2))/((VLOOKUP($B36,INDIRECT($B$5&amp;"生成成长"),4))/(VLOOKUP(E$29,INDIRECT($C$5&amp;"生成成长"),5))*(VLOOKUP($B$5,标准坦克设计!$B$24:$U$30,MATCH("对"&amp;LEFT($C$5,2)&amp;"输出",标准坦克设计!$B$23:$U$23,0)))*(VLOOKUP($B36,INDIRECT($B$5&amp;"生成成长"),3))*(VLOOKUP($B$5,标准坦克设计!$B$14:$K$20,9)/30))</f>
        <v>5.2235227523301981</v>
      </c>
      <c r="F36" s="172">
        <f ca="1">(VLOOKUP(F$29,INDIRECT($C$5&amp;"生成成长"),2))/((VLOOKUP($B36,INDIRECT($B$5&amp;"生成成长"),4))/(VLOOKUP(F$29,INDIRECT($C$5&amp;"生成成长"),5))*(VLOOKUP($B$5,标准坦克设计!$B$24:$U$30,MATCH("对"&amp;LEFT($C$5,2)&amp;"输出",标准坦克设计!$B$23:$U$23,0)))*(VLOOKUP($B36,INDIRECT($B$5&amp;"生成成长"),3))*(VLOOKUP($B$5,标准坦克设计!$B$14:$K$20,9)/30))</f>
        <v>9.0502263647674042</v>
      </c>
      <c r="G36" s="172">
        <f ca="1">(VLOOKUP(G$29,INDIRECT($C$5&amp;"生成成长"),2))/((VLOOKUP($B36,INDIRECT($B$5&amp;"生成成长"),4))/(VLOOKUP(G$29,INDIRECT($C$5&amp;"生成成长"),5))*(VLOOKUP($B$5,标准坦克设计!$B$24:$U$30,MATCH("对"&amp;LEFT($C$5,2)&amp;"输出",标准坦克设计!$B$23:$U$23,0)))*(VLOOKUP($B36,INDIRECT($B$5&amp;"生成成长"),3))*(VLOOKUP($B$5,标准坦克设计!$B$14:$K$20,9)/30))</f>
        <v>4.9833932585778626</v>
      </c>
      <c r="H36" s="172">
        <f ca="1">(VLOOKUP(H$29,INDIRECT($C$5&amp;"生成成长"),2))/((VLOOKUP($B36,INDIRECT($B$5&amp;"生成成长"),4))/(VLOOKUP(H$29,INDIRECT($C$5&amp;"生成成长"),5))*(VLOOKUP($B$5,标准坦克设计!$B$24:$U$30,MATCH("对"&amp;LEFT($C$5,2)&amp;"输出",标准坦克设计!$B$23:$U$23,0)))*(VLOOKUP($B36,INDIRECT($B$5&amp;"生成成长"),3))*(VLOOKUP($B$5,标准坦克设计!$B$14:$K$20,9)/30))</f>
        <v>8.6705392593519477</v>
      </c>
      <c r="I36" s="172">
        <f ca="1">(VLOOKUP(I$29,INDIRECT($C$5&amp;"生成成长"),2))/((VLOOKUP($B36,INDIRECT($B$5&amp;"生成成长"),4))/(VLOOKUP(I$29,INDIRECT($C$5&amp;"生成成长"),5))*(VLOOKUP($B$5,标准坦克设计!$B$24:$U$30,MATCH("对"&amp;LEFT($C$5,2)&amp;"输出",标准坦克设计!$B$23:$U$23,0)))*(VLOOKUP($B36,INDIRECT($B$5&amp;"生成成长"),3))*(VLOOKUP($B$5,标准坦克设计!$B$14:$K$20,9)/30))</f>
        <v>14.890175652824183</v>
      </c>
      <c r="J36" s="172">
        <f ca="1">(VLOOKUP(J$29,INDIRECT($C$5&amp;"生成成长"),2))/((VLOOKUP($B36,INDIRECT($B$5&amp;"生成成长"),4))/(VLOOKUP(J$29,INDIRECT($C$5&amp;"生成成长"),5))*(VLOOKUP($B$5,标准坦克设计!$B$24:$U$30,MATCH("对"&amp;LEFT($C$5,2)&amp;"输出",标准坦克设计!$B$23:$U$23,0)))*(VLOOKUP($B36,INDIRECT($B$5&amp;"生成成长"),3))*(VLOOKUP($B$5,标准坦克设计!$B$14:$K$20,9)/30))</f>
        <v>24.962167138772102</v>
      </c>
      <c r="K36" s="172">
        <f ca="1">(VLOOKUP(K$29,INDIRECT($C$5&amp;"生成成长"),2))/((VLOOKUP($B36,INDIRECT($B$5&amp;"生成成长"),4))/(VLOOKUP(K$29,INDIRECT($C$5&amp;"生成成长"),5))*(VLOOKUP($B$5,标准坦克设计!$B$24:$U$30,MATCH("对"&amp;LEFT($C$5,2)&amp;"输出",标准坦克设计!$B$23:$U$23,0)))*(VLOOKUP($B36,INDIRECT($B$5&amp;"生成成长"),3))*(VLOOKUP($B$5,标准坦克设计!$B$14:$K$20,9)/30))</f>
        <v>9.1785967670745325</v>
      </c>
      <c r="L36" s="172">
        <f ca="1">(VLOOKUP(L$29,INDIRECT($C$5&amp;"生成成长"),2))/((VLOOKUP($B36,INDIRECT($B$5&amp;"生成成长"),4))/(VLOOKUP(L$29,INDIRECT($C$5&amp;"生成成长"),5))*(VLOOKUP($B$5,标准坦克设计!$B$24:$U$30,MATCH("对"&amp;LEFT($C$5,2)&amp;"输出",标准坦克设计!$B$23:$U$23,0)))*(VLOOKUP($B36,INDIRECT($B$5&amp;"生成成长"),3))*(VLOOKUP($B$5,标准坦克设计!$B$14:$K$20,9)/30))</f>
        <v>15.721871217067562</v>
      </c>
      <c r="M36" s="172">
        <f ca="1">(VLOOKUP(M$29,INDIRECT($C$5&amp;"生成成长"),2))/((VLOOKUP($B36,INDIRECT($B$5&amp;"生成成长"),4))/(VLOOKUP(M$29,INDIRECT($C$5&amp;"生成成长"),5))*(VLOOKUP($B$5,标准坦克设计!$B$24:$U$30,MATCH("对"&amp;LEFT($C$5,2)&amp;"输出",标准坦克设计!$B$23:$U$23,0)))*(VLOOKUP($B36,INDIRECT($B$5&amp;"生成成长"),3))*(VLOOKUP($B$5,标准坦克设计!$B$14:$K$20,9)/30))</f>
        <v>26.253103297184662</v>
      </c>
      <c r="P36" s="174" t="str">
        <f>"T"&amp;LEFT(RIGHT(Q36,3),1)&amp;""&amp;IF(LEFT(Q36,1)="1","低",IF(LEFT(Q36,1)="2","中","高"))&amp;"初"</f>
        <v>T5高初</v>
      </c>
      <c r="Q36" s="178">
        <v>30501</v>
      </c>
      <c r="R36" s="172">
        <f ca="1">(VLOOKUP(R$13,INDIRECT($C$5&amp;"生成成长"),2))/((VLOOKUP($Q36,INDIRECT($B$5&amp;"生成成长"),4))/(VLOOKUP(R$13,INDIRECT($C$5&amp;"生成成长"),5))*(VLOOKUP($B$5,标准坦克设计!$B$24:$U$30,MATCH("对"&amp;LEFT($C$5,2)&amp;"输出",标准坦克设计!$B$23:$U$23,0)))*(VLOOKUP($Q36,INDIRECT($B$5&amp;"生成成长"),3))*(VLOOKUP($B$5,标准坦克设计!$B$14:$K$20,9)/30))</f>
        <v>1.4082441329700441</v>
      </c>
      <c r="S36" s="172">
        <f ca="1">(VLOOKUP(S$13,INDIRECT($C$5&amp;"生成成长"),2))/((VLOOKUP($Q36,INDIRECT($B$5&amp;"生成成长"),4))/(VLOOKUP(S$13,INDIRECT($C$5&amp;"生成成长"),5))*(VLOOKUP($B$5,标准坦克设计!$B$24:$U$30,MATCH("对"&amp;LEFT($C$5,2)&amp;"输出",标准坦克设计!$B$23:$U$23,0)))*(VLOOKUP($Q36,INDIRECT($B$5&amp;"生成成长"),3))*(VLOOKUP($B$5,标准坦克设计!$B$14:$K$20,9)/30))</f>
        <v>2.1653161788547401</v>
      </c>
      <c r="T36" s="172">
        <f ca="1">(VLOOKUP(T$13,INDIRECT($C$5&amp;"生成成长"),2))/((VLOOKUP($Q36,INDIRECT($B$5&amp;"生成成长"),4))/(VLOOKUP(T$13,INDIRECT($C$5&amp;"生成成长"),5))*(VLOOKUP($B$5,标准坦克设计!$B$24:$U$30,MATCH("对"&amp;LEFT($C$5,2)&amp;"输出",标准坦克设计!$B$23:$U$23,0)))*(VLOOKUP($Q36,INDIRECT($B$5&amp;"生成成长"),3))*(VLOOKUP($B$5,标准坦克设计!$B$14:$K$20,9)/30))</f>
        <v>1.8949333053244914</v>
      </c>
      <c r="U36" s="172">
        <f ca="1">(VLOOKUP(U$13,INDIRECT($C$5&amp;"生成成长"),2))/((VLOOKUP($Q36,INDIRECT($B$5&amp;"生成成长"),4))/(VLOOKUP(U$13,INDIRECT($C$5&amp;"生成成长"),5))*(VLOOKUP($B$5,标准坦克设计!$B$24:$U$30,MATCH("对"&amp;LEFT($C$5,2)&amp;"输出",标准坦克设计!$B$23:$U$23,0)))*(VLOOKUP($Q36,INDIRECT($B$5&amp;"生成成长"),3))*(VLOOKUP($B$5,标准坦克设计!$B$14:$K$20,9)/30))</f>
        <v>3.7876134200362301</v>
      </c>
      <c r="V36" s="172">
        <f ca="1">(VLOOKUP(V$13,INDIRECT($C$5&amp;"生成成长"),2))/((VLOOKUP($Q36,INDIRECT($B$5&amp;"生成成长"),4))/(VLOOKUP(V$13,INDIRECT($C$5&amp;"生成成长"),5))*(VLOOKUP($B$5,标准坦克设计!$B$24:$U$30,MATCH("对"&amp;LEFT($C$5,2)&amp;"输出",标准坦克设计!$B$23:$U$23,0)))*(VLOOKUP($Q36,INDIRECT($B$5&amp;"生成成长"),3))*(VLOOKUP($B$5,标准坦克设计!$B$14:$K$20,9)/30))</f>
        <v>2.8797184275104435</v>
      </c>
      <c r="W36" s="172">
        <f ca="1">(VLOOKUP(W$13,INDIRECT($C$5&amp;"生成成长"),2))/((VLOOKUP($Q36,INDIRECT($B$5&amp;"生成成长"),4))/(VLOOKUP(W$13,INDIRECT($C$5&amp;"生成成长"),5))*(VLOOKUP($B$5,标准坦克设计!$B$24:$U$30,MATCH("对"&amp;LEFT($C$5,2)&amp;"输出",标准坦克设计!$B$23:$U$23,0)))*(VLOOKUP($Q36,INDIRECT($B$5&amp;"生成成长"),3))*(VLOOKUP($B$5,标准坦克设计!$B$14:$K$20,9)/30))</f>
        <v>6.509608504654028</v>
      </c>
      <c r="X36" s="172">
        <f ca="1">(VLOOKUP(X$13,INDIRECT($C$5&amp;"生成成长"),2))/((VLOOKUP($Q36,INDIRECT($B$5&amp;"生成成长"),4))/(VLOOKUP(X$13,INDIRECT($C$5&amp;"生成成长"),5))*(VLOOKUP($B$5,标准坦克设计!$B$24:$U$30,MATCH("对"&amp;LEFT($C$5,2)&amp;"输出",标准坦克设计!$B$23:$U$23,0)))*(VLOOKUP($Q36,INDIRECT($B$5&amp;"生成成长"),3))*(VLOOKUP($B$5,标准坦克设计!$B$14:$K$20,9)/30))</f>
        <v>4.7160687769033807</v>
      </c>
      <c r="Y36" s="172">
        <f ca="1">(VLOOKUP(Y$13,INDIRECT($C$5&amp;"生成成长"),2))/((VLOOKUP($Q36,INDIRECT($B$5&amp;"生成成长"),4))/(VLOOKUP(Y$13,INDIRECT($C$5&amp;"生成成长"),5))*(VLOOKUP($B$5,标准坦克设计!$B$24:$U$30,MATCH("对"&amp;LEFT($C$5,2)&amp;"输出",标准坦克设计!$B$23:$U$23,0)))*(VLOOKUP($Q36,INDIRECT($B$5&amp;"生成成长"),3))*(VLOOKUP($B$5,标准坦克设计!$B$14:$K$20,9)/30))</f>
        <v>11.278486436543785</v>
      </c>
      <c r="Z36" s="172">
        <f ca="1">(VLOOKUP(Z$13,INDIRECT($C$5&amp;"生成成长"),2))/((VLOOKUP($Q36,INDIRECT($B$5&amp;"生成成长"),4))/(VLOOKUP(Z$13,INDIRECT($C$5&amp;"生成成长"),5))*(VLOOKUP($B$5,标准坦克设计!$B$24:$U$30,MATCH("对"&amp;LEFT($C$5,2)&amp;"输出",标准坦克设计!$B$23:$U$23,0)))*(VLOOKUP($Q36,INDIRECT($B$5&amp;"生成成长"),3))*(VLOOKUP($B$5,标准坦克设计!$B$14:$K$20,9)/30))</f>
        <v>1.9608391307474893</v>
      </c>
      <c r="AA36" s="172">
        <f ca="1">(VLOOKUP(AA$13,INDIRECT($C$5&amp;"生成成长"),2))/((VLOOKUP($Q36,INDIRECT($B$5&amp;"生成成长"),4))/(VLOOKUP(AA$13,INDIRECT($C$5&amp;"生成成长"),5))*(VLOOKUP($B$5,标准坦克设计!$B$24:$U$30,MATCH("对"&amp;LEFT($C$5,2)&amp;"输出",标准坦克设计!$B$23:$U$23,0)))*(VLOOKUP($Q36,INDIRECT($B$5&amp;"生成成长"),3))*(VLOOKUP($B$5,标准坦克设计!$B$14:$K$20,9)/30))</f>
        <v>6.2103566263978953</v>
      </c>
      <c r="AB36" s="172">
        <f ca="1">(VLOOKUP(AB$13,INDIRECT($C$5&amp;"生成成长"),2))/((VLOOKUP($Q36,INDIRECT($B$5&amp;"生成成长"),4))/(VLOOKUP(AB$13,INDIRECT($C$5&amp;"生成成长"),5))*(VLOOKUP($B$5,标准坦克设计!$B$24:$U$30,MATCH("对"&amp;LEFT($C$5,2)&amp;"输出",标准坦克设计!$B$23:$U$23,0)))*(VLOOKUP($Q36,INDIRECT($B$5&amp;"生成成长"),3))*(VLOOKUP($B$5,标准坦克设计!$B$14:$K$20,9)/30))</f>
        <v>3.0018131938389465</v>
      </c>
      <c r="AC36" s="172">
        <f ca="1">(VLOOKUP(AC$13,INDIRECT($C$5&amp;"生成成长"),2))/((VLOOKUP($Q36,INDIRECT($B$5&amp;"生成成长"),4))/(VLOOKUP(AC$13,INDIRECT($C$5&amp;"生成成长"),5))*(VLOOKUP($B$5,标准坦克设计!$B$24:$U$30,MATCH("对"&amp;LEFT($C$5,2)&amp;"输出",标准坦克设计!$B$23:$U$23,0)))*(VLOOKUP($Q36,INDIRECT($B$5&amp;"生成成长"),3))*(VLOOKUP($B$5,标准坦克设计!$B$14:$K$20,9)/30))</f>
        <v>10.805316407865853</v>
      </c>
      <c r="AD36" s="172">
        <f ca="1">(VLOOKUP(AD$13,INDIRECT($C$5&amp;"生成成长"),2))/((VLOOKUP($Q36,INDIRECT($B$5&amp;"生成成长"),4))/(VLOOKUP(AD$13,INDIRECT($C$5&amp;"生成成长"),5))*(VLOOKUP($B$5,标准坦克设计!$B$24:$U$30,MATCH("对"&amp;LEFT($C$5,2)&amp;"输出",标准坦克设计!$B$23:$U$23,0)))*(VLOOKUP($Q36,INDIRECT($B$5&amp;"生成成长"),3))*(VLOOKUP($B$5,标准坦克设计!$B$14:$K$20,9)/30))</f>
        <v>4.9244889085829469</v>
      </c>
      <c r="AE36" s="172">
        <f ca="1">(VLOOKUP(AE$13,INDIRECT($C$5&amp;"生成成长"),2))/((VLOOKUP($Q36,INDIRECT($B$5&amp;"生成成长"),4))/(VLOOKUP(AE$13,INDIRECT($C$5&amp;"生成成长"),5))*(VLOOKUP($B$5,标准坦克设计!$B$24:$U$30,MATCH("对"&amp;LEFT($C$5,2)&amp;"输出",标准坦克设计!$B$23:$U$23,0)))*(VLOOKUP($Q36,INDIRECT($B$5&amp;"生成成长"),3))*(VLOOKUP($B$5,标准坦克设计!$B$14:$K$20,9)/30))</f>
        <v>18.556292115732976</v>
      </c>
      <c r="AF36" s="172">
        <f ca="1">(VLOOKUP(AF$13,INDIRECT($C$5&amp;"生成成长"),2))/((VLOOKUP($Q36,INDIRECT($B$5&amp;"生成成长"),4))/(VLOOKUP(AF$13,INDIRECT($C$5&amp;"生成成长"),5))*(VLOOKUP($B$5,标准坦克设计!$B$24:$U$30,MATCH("对"&amp;LEFT($C$5,2)&amp;"输出",标准坦克设计!$B$23:$U$23,0)))*(VLOOKUP($Q36,INDIRECT($B$5&amp;"生成成长"),3))*(VLOOKUP($B$5,标准坦克设计!$B$14:$K$20,9)/30))</f>
        <v>8.3155407807748141</v>
      </c>
      <c r="AG36" s="172">
        <f ca="1">(VLOOKUP(AG$13,INDIRECT($C$5&amp;"生成成长"),2))/((VLOOKUP($Q36,INDIRECT($B$5&amp;"生成成长"),4))/(VLOOKUP(AG$13,INDIRECT($C$5&amp;"生成成长"),5))*(VLOOKUP($B$5,标准坦克设计!$B$24:$U$30,MATCH("对"&amp;LEFT($C$5,2)&amp;"输出",标准坦克设计!$B$23:$U$23,0)))*(VLOOKUP($Q36,INDIRECT($B$5&amp;"生成成长"),3))*(VLOOKUP($B$5,标准坦克设计!$B$14:$K$20,9)/30))</f>
        <v>31.108112897308274</v>
      </c>
      <c r="AH36" s="172">
        <f ca="1">(VLOOKUP(AH$13,INDIRECT($C$5&amp;"生成成长"),2))/((VLOOKUP($Q36,INDIRECT($B$5&amp;"生成成长"),4))/(VLOOKUP(AH$13,INDIRECT($C$5&amp;"生成成长"),5))*(VLOOKUP($B$5,标准坦克设计!$B$24:$U$30,MATCH("对"&amp;LEFT($C$5,2)&amp;"输出",标准坦克设计!$B$23:$U$23,0)))*(VLOOKUP($Q36,INDIRECT($B$5&amp;"生成成长"),3))*(VLOOKUP($B$5,标准坦克设计!$B$14:$K$20,9)/30))</f>
        <v>3.1264427996067945</v>
      </c>
      <c r="AI36" s="172">
        <f ca="1">(VLOOKUP(AI$13,INDIRECT($C$5&amp;"生成成长"),2))/((VLOOKUP($Q36,INDIRECT($B$5&amp;"生成成长"),4))/(VLOOKUP(AI$13,INDIRECT($C$5&amp;"生成成长"),5))*(VLOOKUP($B$5,标准坦克设计!$B$24:$U$30,MATCH("对"&amp;LEFT($C$5,2)&amp;"输出",标准坦克设计!$B$23:$U$23,0)))*(VLOOKUP($Q36,INDIRECT($B$5&amp;"生成成长"),3))*(VLOOKUP($B$5,标准坦克设计!$B$14:$K$20,9)/30))</f>
        <v>11.438462970049182</v>
      </c>
      <c r="AJ36" s="172">
        <f ca="1">(VLOOKUP(AJ$13,INDIRECT($C$5&amp;"生成成长"),2))/((VLOOKUP($Q36,INDIRECT($B$5&amp;"生成成长"),4))/(VLOOKUP(AJ$13,INDIRECT($C$5&amp;"生成成长"),5))*(VLOOKUP($B$5,标准坦克设计!$B$24:$U$30,MATCH("对"&amp;LEFT($C$5,2)&amp;"输出",标准坦克设计!$B$23:$U$23,0)))*(VLOOKUP($Q36,INDIRECT($B$5&amp;"生成成长"),3))*(VLOOKUP($B$5,标准坦克设计!$B$14:$K$20,9)/30))</f>
        <v>5.1374154214880168</v>
      </c>
      <c r="AK36" s="172">
        <f ca="1">(VLOOKUP(AK$13,INDIRECT($C$5&amp;"生成成长"),2))/((VLOOKUP($Q36,INDIRECT($B$5&amp;"生成成长"),4))/(VLOOKUP(AK$13,INDIRECT($C$5&amp;"生成成长"),5))*(VLOOKUP($B$5,标准坦克设计!$B$24:$U$30,MATCH("对"&amp;LEFT($C$5,2)&amp;"输出",标准坦克设计!$B$23:$U$23,0)))*(VLOOKUP($Q36,INDIRECT($B$5&amp;"生成成长"),3))*(VLOOKUP($B$5,标准坦克设计!$B$14:$K$20,9)/30))</f>
        <v>19.592759797598926</v>
      </c>
      <c r="AL36" s="172">
        <f ca="1">(VLOOKUP(AL$13,INDIRECT($C$5&amp;"生成成长"),2))/((VLOOKUP($Q36,INDIRECT($B$5&amp;"生成成长"),4))/(VLOOKUP(AL$13,INDIRECT($C$5&amp;"生成成长"),5))*(VLOOKUP($B$5,标准坦克设计!$B$24:$U$30,MATCH("对"&amp;LEFT($C$5,2)&amp;"输出",标准坦克设计!$B$23:$U$23,0)))*(VLOOKUP($Q36,INDIRECT($B$5&amp;"生成成长"),3))*(VLOOKUP($B$5,标准坦克设计!$B$14:$K$20,9)/30))</f>
        <v>8.6612647154189606</v>
      </c>
      <c r="AM36" s="172">
        <f ca="1">(VLOOKUP(AM$13,INDIRECT($C$5&amp;"生成成长"),2))/((VLOOKUP($Q36,INDIRECT($B$5&amp;"生成成长"),4))/(VLOOKUP(AM$13,INDIRECT($C$5&amp;"生成成长"),5))*(VLOOKUP($B$5,标准坦克设计!$B$24:$U$30,MATCH("对"&amp;LEFT($C$5,2)&amp;"输出",标准坦克设计!$B$23:$U$23,0)))*(VLOOKUP($Q36,INDIRECT($B$5&amp;"生成成长"),3))*(VLOOKUP($B$5,标准坦克设计!$B$14:$K$20,9)/30))</f>
        <v>32.716890994813255</v>
      </c>
    </row>
    <row r="37" spans="1:39" x14ac:dyDescent="0.15">
      <c r="A37" s="170" t="str">
        <f t="shared" si="3"/>
        <v>T4中品质</v>
      </c>
      <c r="B37" s="171">
        <v>20418</v>
      </c>
      <c r="C37" s="172">
        <f ca="1">(VLOOKUP(C$29,INDIRECT($C$5&amp;"生成成长"),2))/((VLOOKUP($B37,INDIRECT($B$5&amp;"生成成长"),4))/(VLOOKUP(C$29,INDIRECT($C$5&amp;"生成成长"),5))*(VLOOKUP($B$5,标准坦克设计!$B$24:$U$30,MATCH("对"&amp;LEFT($C$5,2)&amp;"输出",标准坦克设计!$B$23:$U$23,0)))*(VLOOKUP($B37,INDIRECT($B$5&amp;"生成成长"),3))*(VLOOKUP($B$5,标准坦克设计!$B$14:$K$20,9)/30))</f>
        <v>1.0111906499014081</v>
      </c>
      <c r="D37" s="172">
        <f ca="1">(VLOOKUP(D$29,INDIRECT($C$5&amp;"生成成长"),2))/((VLOOKUP($B37,INDIRECT($B$5&amp;"生成成长"),4))/(VLOOKUP(D$29,INDIRECT($C$5&amp;"生成成长"),5))*(VLOOKUP($B$5,标准坦克设计!$B$24:$U$30,MATCH("对"&amp;LEFT($C$5,2)&amp;"输出",标准坦克设计!$B$23:$U$23,0)))*(VLOOKUP($B37,INDIRECT($B$5&amp;"生成成长"),3))*(VLOOKUP($B$5,标准坦克设计!$B$14:$K$20,9)/30))</f>
        <v>1.7687944666849809</v>
      </c>
      <c r="E37" s="172">
        <f ca="1">(VLOOKUP(E$29,INDIRECT($C$5&amp;"生成成长"),2))/((VLOOKUP($B37,INDIRECT($B$5&amp;"生成成长"),4))/(VLOOKUP(E$29,INDIRECT($C$5&amp;"生成成长"),5))*(VLOOKUP($B$5,标准坦克设计!$B$24:$U$30,MATCH("对"&amp;LEFT($C$5,2)&amp;"输出",标准坦克设计!$B$23:$U$23,0)))*(VLOOKUP($B37,INDIRECT($B$5&amp;"生成成长"),3))*(VLOOKUP($B$5,标准坦克设计!$B$14:$K$20,9)/30))</f>
        <v>3.0399510790642936</v>
      </c>
      <c r="F37" s="172">
        <f ca="1">(VLOOKUP(F$29,INDIRECT($C$5&amp;"生成成长"),2))/((VLOOKUP($B37,INDIRECT($B$5&amp;"生成成长"),4))/(VLOOKUP(F$29,INDIRECT($C$5&amp;"生成成长"),5))*(VLOOKUP($B$5,标准坦克设计!$B$24:$U$30,MATCH("对"&amp;LEFT($C$5,2)&amp;"输出",标准坦克设计!$B$23:$U$23,0)))*(VLOOKUP($B37,INDIRECT($B$5&amp;"生成成长"),3))*(VLOOKUP($B$5,标准坦克设计!$B$14:$K$20,9)/30))</f>
        <v>5.2669906321510052</v>
      </c>
      <c r="G37" s="172">
        <f ca="1">(VLOOKUP(G$29,INDIRECT($C$5&amp;"生成成长"),2))/((VLOOKUP($B37,INDIRECT($B$5&amp;"生成成长"),4))/(VLOOKUP(G$29,INDIRECT($C$5&amp;"生成成长"),5))*(VLOOKUP($B$5,标准坦克设计!$B$24:$U$30,MATCH("对"&amp;LEFT($C$5,2)&amp;"输出",标准坦克设计!$B$23:$U$23,0)))*(VLOOKUP($B37,INDIRECT($B$5&amp;"生成成长"),3))*(VLOOKUP($B$5,标准坦克设计!$B$14:$K$20,9)/30))</f>
        <v>2.9002021111246155</v>
      </c>
      <c r="H37" s="172">
        <f ca="1">(VLOOKUP(H$29,INDIRECT($C$5&amp;"生成成长"),2))/((VLOOKUP($B37,INDIRECT($B$5&amp;"生成成长"),4))/(VLOOKUP(H$29,INDIRECT($C$5&amp;"生成成长"),5))*(VLOOKUP($B$5,标准坦克设计!$B$24:$U$30,MATCH("对"&amp;LEFT($C$5,2)&amp;"输出",标准坦克设计!$B$23:$U$23,0)))*(VLOOKUP($B37,INDIRECT($B$5&amp;"生成成长"),3))*(VLOOKUP($B$5,标准坦克设计!$B$14:$K$20,9)/30))</f>
        <v>5.0460228522557973</v>
      </c>
      <c r="I37" s="172">
        <f ca="1">(VLOOKUP(I$29,INDIRECT($C$5&amp;"生成成长"),2))/((VLOOKUP($B37,INDIRECT($B$5&amp;"生成成长"),4))/(VLOOKUP(I$29,INDIRECT($C$5&amp;"生成成长"),5))*(VLOOKUP($B$5,标准坦克设计!$B$24:$U$30,MATCH("对"&amp;LEFT($C$5,2)&amp;"输出",标准坦克设计!$B$23:$U$23,0)))*(VLOOKUP($B37,INDIRECT($B$5&amp;"生成成长"),3))*(VLOOKUP($B$5,标准坦克设计!$B$14:$K$20,9)/30))</f>
        <v>8.6656855324439803</v>
      </c>
      <c r="J37" s="172">
        <f ca="1">(VLOOKUP(J$29,INDIRECT($C$5&amp;"生成成长"),2))/((VLOOKUP($B37,INDIRECT($B$5&amp;"生成成长"),4))/(VLOOKUP(J$29,INDIRECT($C$5&amp;"生成成长"),5))*(VLOOKUP($B$5,标准坦克设计!$B$24:$U$30,MATCH("对"&amp;LEFT($C$5,2)&amp;"输出",标准坦克设计!$B$23:$U$23,0)))*(VLOOKUP($B37,INDIRECT($B$5&amp;"生成成长"),3))*(VLOOKUP($B$5,标准坦克设计!$B$14:$K$20,9)/30))</f>
        <v>14.52731624370584</v>
      </c>
      <c r="K37" s="172">
        <f ca="1">(VLOOKUP(K$29,INDIRECT($C$5&amp;"生成成长"),2))/((VLOOKUP($B37,INDIRECT($B$5&amp;"生成成长"),4))/(VLOOKUP(K$29,INDIRECT($C$5&amp;"生成成长"),5))*(VLOOKUP($B$5,标准坦克设计!$B$24:$U$30,MATCH("对"&amp;LEFT($C$5,2)&amp;"输出",标准坦克设计!$B$23:$U$23,0)))*(VLOOKUP($B37,INDIRECT($B$5&amp;"生成成长"),3))*(VLOOKUP($B$5,标准坦克设计!$B$14:$K$20,9)/30))</f>
        <v>5.3416987863060532</v>
      </c>
      <c r="L37" s="172">
        <f ca="1">(VLOOKUP(L$29,INDIRECT($C$5&amp;"生成成长"),2))/((VLOOKUP($B37,INDIRECT($B$5&amp;"生成成长"),4))/(VLOOKUP(L$29,INDIRECT($C$5&amp;"生成成长"),5))*(VLOOKUP($B$5,标准坦克设计!$B$24:$U$30,MATCH("对"&amp;LEFT($C$5,2)&amp;"输出",标准坦克设计!$B$23:$U$23,0)))*(VLOOKUP($B37,INDIRECT($B$5&amp;"生成成长"),3))*(VLOOKUP($B$5,标准坦克设计!$B$14:$K$20,9)/30))</f>
        <v>9.1497101931668166</v>
      </c>
      <c r="M37" s="172">
        <f ca="1">(VLOOKUP(M$29,INDIRECT($C$5&amp;"生成成长"),2))/((VLOOKUP($B37,INDIRECT($B$5&amp;"生成成长"),4))/(VLOOKUP(M$29,INDIRECT($C$5&amp;"生成成长"),5))*(VLOOKUP($B$5,标准坦克设计!$B$24:$U$30,MATCH("对"&amp;LEFT($C$5,2)&amp;"输出",标准坦克设计!$B$23:$U$23,0)))*(VLOOKUP($B37,INDIRECT($B$5&amp;"生成成长"),3))*(VLOOKUP($B$5,标准坦克设计!$B$14:$K$20,9)/30))</f>
        <v>15.278606695349552</v>
      </c>
      <c r="P37" s="174" t="str">
        <f>"T"&amp;LEFT(RIGHT(Q37,3),1)&amp;""&amp;IF(LEFT(Q37,1)="1","低",IF(LEFT(Q37,1)="2","中","高"))&amp;"满"</f>
        <v>T5高满</v>
      </c>
      <c r="Q37" s="178">
        <v>30521</v>
      </c>
      <c r="R37" s="172">
        <f ca="1">(VLOOKUP(R$13,INDIRECT($C$5&amp;"生成成长"),2))/((VLOOKUP($Q37,INDIRECT($B$5&amp;"生成成长"),4))/(VLOOKUP(R$13,INDIRECT($C$5&amp;"生成成长"),5))*(VLOOKUP($B$5,标准坦克设计!$B$24:$U$30,MATCH("对"&amp;LEFT($C$5,2)&amp;"输出",标准坦克设计!$B$23:$U$23,0)))*(VLOOKUP($Q37,INDIRECT($B$5&amp;"生成成长"),3))*(VLOOKUP($B$5,标准坦克设计!$B$14:$K$20,9)/30))</f>
        <v>0.37352727653739548</v>
      </c>
      <c r="S37" s="172">
        <f ca="1">(VLOOKUP(S$13,INDIRECT($C$5&amp;"生成成长"),2))/((VLOOKUP($Q37,INDIRECT($B$5&amp;"生成成长"),4))/(VLOOKUP(S$13,INDIRECT($C$5&amp;"生成成长"),5))*(VLOOKUP($B$5,标准坦克设计!$B$24:$U$30,MATCH("对"&amp;LEFT($C$5,2)&amp;"输出",标准坦克设计!$B$23:$U$23,0)))*(VLOOKUP($Q37,INDIRECT($B$5&amp;"生成成长"),3))*(VLOOKUP($B$5,标准坦克设计!$B$14:$K$20,9)/30))</f>
        <v>0.57433554040389934</v>
      </c>
      <c r="T37" s="172">
        <f ca="1">(VLOOKUP(T$13,INDIRECT($C$5&amp;"生成成长"),2))/((VLOOKUP($Q37,INDIRECT($B$5&amp;"生成成长"),4))/(VLOOKUP(T$13,INDIRECT($C$5&amp;"生成成长"),5))*(VLOOKUP($B$5,标准坦克设计!$B$24:$U$30,MATCH("对"&amp;LEFT($C$5,2)&amp;"输出",标准坦克设计!$B$23:$U$23,0)))*(VLOOKUP($Q37,INDIRECT($B$5&amp;"生成成长"),3))*(VLOOKUP($B$5,标准坦克设计!$B$14:$K$20,9)/30))</f>
        <v>0.50261830330871948</v>
      </c>
      <c r="U37" s="172">
        <f ca="1">(VLOOKUP(U$13,INDIRECT($C$5&amp;"生成成长"),2))/((VLOOKUP($Q37,INDIRECT($B$5&amp;"生成成长"),4))/(VLOOKUP(U$13,INDIRECT($C$5&amp;"生成成长"),5))*(VLOOKUP($B$5,标准坦克设计!$B$24:$U$30,MATCH("对"&amp;LEFT($C$5,2)&amp;"输出",标准坦克设计!$B$23:$U$23,0)))*(VLOOKUP($Q37,INDIRECT($B$5&amp;"生成成长"),3))*(VLOOKUP($B$5,标准坦克设计!$B$14:$K$20,9)/30))</f>
        <v>1.004638962974979</v>
      </c>
      <c r="V37" s="172">
        <f ca="1">(VLOOKUP(V$13,INDIRECT($C$5&amp;"生成成长"),2))/((VLOOKUP($Q37,INDIRECT($B$5&amp;"生成成长"),4))/(VLOOKUP(V$13,INDIRECT($C$5&amp;"生成成长"),5))*(VLOOKUP($B$5,标准坦克设计!$B$24:$U$30,MATCH("对"&amp;LEFT($C$5,2)&amp;"输出",标准坦克设计!$B$23:$U$23,0)))*(VLOOKUP($Q37,INDIRECT($B$5&amp;"生成成长"),3))*(VLOOKUP($B$5,标准坦克设计!$B$14:$K$20,9)/30))</f>
        <v>0.76382592779132008</v>
      </c>
      <c r="W37" s="172">
        <f ca="1">(VLOOKUP(W$13,INDIRECT($C$5&amp;"生成成长"),2))/((VLOOKUP($Q37,INDIRECT($B$5&amp;"生成成长"),4))/(VLOOKUP(W$13,INDIRECT($C$5&amp;"生成成长"),5))*(VLOOKUP($B$5,标准坦克设计!$B$24:$U$30,MATCH("对"&amp;LEFT($C$5,2)&amp;"输出",标准坦克设计!$B$23:$U$23,0)))*(VLOOKUP($Q37,INDIRECT($B$5&amp;"生成成长"),3))*(VLOOKUP($B$5,标准坦克设计!$B$14:$K$20,9)/30))</f>
        <v>1.7266298357941106</v>
      </c>
      <c r="X37" s="172">
        <f ca="1">(VLOOKUP(X$13,INDIRECT($C$5&amp;"生成成长"),2))/((VLOOKUP($Q37,INDIRECT($B$5&amp;"生成成长"),4))/(VLOOKUP(X$13,INDIRECT($C$5&amp;"生成成长"),5))*(VLOOKUP($B$5,标准坦克设计!$B$24:$U$30,MATCH("对"&amp;LEFT($C$5,2)&amp;"输出",标准坦克设计!$B$23:$U$23,0)))*(VLOOKUP($Q37,INDIRECT($B$5&amp;"生成成长"),3))*(VLOOKUP($B$5,标准坦克设计!$B$14:$K$20,9)/30))</f>
        <v>1.2509054963960839</v>
      </c>
      <c r="Y37" s="172">
        <f ca="1">(VLOOKUP(Y$13,INDIRECT($C$5&amp;"生成成长"),2))/((VLOOKUP($Q37,INDIRECT($B$5&amp;"生成成长"),4))/(VLOOKUP(Y$13,INDIRECT($C$5&amp;"生成成长"),5))*(VLOOKUP($B$5,标准坦克设计!$B$24:$U$30,MATCH("对"&amp;LEFT($C$5,2)&amp;"输出",标准坦克设计!$B$23:$U$23,0)))*(VLOOKUP($Q37,INDIRECT($B$5&amp;"生成成长"),3))*(VLOOKUP($B$5,标准坦克设计!$B$14:$K$20,9)/30))</f>
        <v>2.9915426050603471</v>
      </c>
      <c r="Z37" s="172">
        <f ca="1">(VLOOKUP(Z$13,INDIRECT($C$5&amp;"生成成长"),2))/((VLOOKUP($Q37,INDIRECT($B$5&amp;"生成成长"),4))/(VLOOKUP(Z$13,INDIRECT($C$5&amp;"生成成长"),5))*(VLOOKUP($B$5,标准坦克设计!$B$24:$U$30,MATCH("对"&amp;LEFT($C$5,2)&amp;"输出",标准坦克设计!$B$23:$U$23,0)))*(VLOOKUP($Q37,INDIRECT($B$5&amp;"生成成长"),3))*(VLOOKUP($B$5,标准坦克设计!$B$14:$K$20,9)/30))</f>
        <v>0.52009937985066956</v>
      </c>
      <c r="AA37" s="172">
        <f ca="1">(VLOOKUP(AA$13,INDIRECT($C$5&amp;"生成成长"),2))/((VLOOKUP($Q37,INDIRECT($B$5&amp;"生成成长"),4))/(VLOOKUP(AA$13,INDIRECT($C$5&amp;"生成成长"),5))*(VLOOKUP($B$5,标准坦克设计!$B$24:$U$30,MATCH("对"&amp;LEFT($C$5,2)&amp;"输出",标准坦克设计!$B$23:$U$23,0)))*(VLOOKUP($Q37,INDIRECT($B$5&amp;"生成成长"),3))*(VLOOKUP($B$5,标准坦克设计!$B$14:$K$20,9)/30))</f>
        <v>1.6472552895299144</v>
      </c>
      <c r="AB37" s="172">
        <f ca="1">(VLOOKUP(AB$13,INDIRECT($C$5&amp;"生成成长"),2))/((VLOOKUP($Q37,INDIRECT($B$5&amp;"生成成长"),4))/(VLOOKUP(AB$13,INDIRECT($C$5&amp;"生成成长"),5))*(VLOOKUP($B$5,标准坦克设计!$B$24:$U$30,MATCH("对"&amp;LEFT($C$5,2)&amp;"输出",标准坦克设计!$B$23:$U$23,0)))*(VLOOKUP($Q37,INDIRECT($B$5&amp;"生成成长"),3))*(VLOOKUP($B$5,标准坦克设计!$B$14:$K$20,9)/30))</f>
        <v>0.79621074266711234</v>
      </c>
      <c r="AC37" s="172">
        <f ca="1">(VLOOKUP(AC$13,INDIRECT($C$5&amp;"生成成长"),2))/((VLOOKUP($Q37,INDIRECT($B$5&amp;"生成成长"),4))/(VLOOKUP(AC$13,INDIRECT($C$5&amp;"生成成长"),5))*(VLOOKUP($B$5,标准坦克设计!$B$24:$U$30,MATCH("对"&amp;LEFT($C$5,2)&amp;"输出",标准坦克设计!$B$23:$U$23,0)))*(VLOOKUP($Q37,INDIRECT($B$5&amp;"生成成长"),3))*(VLOOKUP($B$5,标准坦克设计!$B$14:$K$20,9)/30))</f>
        <v>2.8660374401437818</v>
      </c>
      <c r="AD37" s="172">
        <f ca="1">(VLOOKUP(AD$13,INDIRECT($C$5&amp;"生成成长"),2))/((VLOOKUP($Q37,INDIRECT($B$5&amp;"生成成长"),4))/(VLOOKUP(AD$13,INDIRECT($C$5&amp;"生成成长"),5))*(VLOOKUP($B$5,标准坦克设计!$B$24:$U$30,MATCH("对"&amp;LEFT($C$5,2)&amp;"输出",标准坦克设计!$B$23:$U$23,0)))*(VLOOKUP($Q37,INDIRECT($B$5&amp;"生成成长"),3))*(VLOOKUP($B$5,标准坦克设计!$B$14:$K$20,9)/30))</f>
        <v>1.3061875333236184</v>
      </c>
      <c r="AE37" s="172">
        <f ca="1">(VLOOKUP(AE$13,INDIRECT($C$5&amp;"生成成长"),2))/((VLOOKUP($Q37,INDIRECT($B$5&amp;"生成成长"),4))/(VLOOKUP(AE$13,INDIRECT($C$5&amp;"生成成长"),5))*(VLOOKUP($B$5,标准坦克设计!$B$24:$U$30,MATCH("对"&amp;LEFT($C$5,2)&amp;"输出",标准坦克设计!$B$23:$U$23,0)))*(VLOOKUP($Q37,INDIRECT($B$5&amp;"生成成长"),3))*(VLOOKUP($B$5,标准坦克设计!$B$14:$K$20,9)/30))</f>
        <v>4.9219315702056061</v>
      </c>
      <c r="AF37" s="172">
        <f ca="1">(VLOOKUP(AF$13,INDIRECT($C$5&amp;"生成成长"),2))/((VLOOKUP($Q37,INDIRECT($B$5&amp;"生成成长"),4))/(VLOOKUP(AF$13,INDIRECT($C$5&amp;"生成成长"),5))*(VLOOKUP($B$5,标准坦克设计!$B$24:$U$30,MATCH("对"&amp;LEFT($C$5,2)&amp;"输出",标准坦克设计!$B$23:$U$23,0)))*(VLOOKUP($Q37,INDIRECT($B$5&amp;"生成成长"),3))*(VLOOKUP($B$5,标准坦克设计!$B$14:$K$20,9)/30))</f>
        <v>2.2056412152256666</v>
      </c>
      <c r="AG37" s="172">
        <f ca="1">(VLOOKUP(AG$13,INDIRECT($C$5&amp;"生成成长"),2))/((VLOOKUP($Q37,INDIRECT($B$5&amp;"生成成长"),4))/(VLOOKUP(AG$13,INDIRECT($C$5&amp;"生成成长"),5))*(VLOOKUP($B$5,标准坦克设计!$B$24:$U$30,MATCH("对"&amp;LEFT($C$5,2)&amp;"输出",标准坦克设计!$B$23:$U$23,0)))*(VLOOKUP($Q37,INDIRECT($B$5&amp;"生成成长"),3))*(VLOOKUP($B$5,标准坦克设计!$B$14:$K$20,9)/30))</f>
        <v>8.2512175387110656</v>
      </c>
      <c r="AH37" s="172">
        <f ca="1">(VLOOKUP(AH$13,INDIRECT($C$5&amp;"生成成长"),2))/((VLOOKUP($Q37,INDIRECT($B$5&amp;"生成成长"),4))/(VLOOKUP(AH$13,INDIRECT($C$5&amp;"生成成长"),5))*(VLOOKUP($B$5,标准坦克设计!$B$24:$U$30,MATCH("对"&amp;LEFT($C$5,2)&amp;"输出",标准坦克设计!$B$23:$U$23,0)))*(VLOOKUP($Q37,INDIRECT($B$5&amp;"生成成长"),3))*(VLOOKUP($B$5,标准坦克设计!$B$14:$K$20,9)/30))</f>
        <v>0.82926790664067174</v>
      </c>
      <c r="AI37" s="172">
        <f ca="1">(VLOOKUP(AI$13,INDIRECT($C$5&amp;"生成成长"),2))/((VLOOKUP($Q37,INDIRECT($B$5&amp;"生成成长"),4))/(VLOOKUP(AI$13,INDIRECT($C$5&amp;"生成成长"),5))*(VLOOKUP($B$5,标准坦克设计!$B$24:$U$30,MATCH("对"&amp;LEFT($C$5,2)&amp;"输出",标准坦克设计!$B$23:$U$23,0)))*(VLOOKUP($Q37,INDIRECT($B$5&amp;"生成成长"),3))*(VLOOKUP($B$5,标准坦克设计!$B$14:$K$20,9)/30))</f>
        <v>3.0339753036749952</v>
      </c>
      <c r="AJ37" s="172">
        <f ca="1">(VLOOKUP(AJ$13,INDIRECT($C$5&amp;"生成成长"),2))/((VLOOKUP($Q37,INDIRECT($B$5&amp;"生成成长"),4))/(VLOOKUP(AJ$13,INDIRECT($C$5&amp;"生成成长"),5))*(VLOOKUP($B$5,标准坦克设计!$B$24:$U$30,MATCH("对"&amp;LEFT($C$5,2)&amp;"输出",标准坦克设计!$B$23:$U$23,0)))*(VLOOKUP($Q37,INDIRECT($B$5&amp;"生成成长"),3))*(VLOOKUP($B$5,标准坦克设计!$B$14:$K$20,9)/30))</f>
        <v>1.3626648575360727</v>
      </c>
      <c r="AK37" s="172">
        <f ca="1">(VLOOKUP(AK$13,INDIRECT($C$5&amp;"生成成长"),2))/((VLOOKUP($Q37,INDIRECT($B$5&amp;"生成成长"),4))/(VLOOKUP(AK$13,INDIRECT($C$5&amp;"生成成长"),5))*(VLOOKUP($B$5,标准坦克设计!$B$24:$U$30,MATCH("对"&amp;LEFT($C$5,2)&amp;"输出",标准坦克设计!$B$23:$U$23,0)))*(VLOOKUP($Q37,INDIRECT($B$5&amp;"生成成长"),3))*(VLOOKUP($B$5,标准坦克设计!$B$14:$K$20,9)/30))</f>
        <v>5.1968476457371304</v>
      </c>
      <c r="AL37" s="172">
        <f ca="1">(VLOOKUP(AL$13,INDIRECT($C$5&amp;"生成成长"),2))/((VLOOKUP($Q37,INDIRECT($B$5&amp;"生成成长"),4))/(VLOOKUP(AL$13,INDIRECT($C$5&amp;"生成成长"),5))*(VLOOKUP($B$5,标准坦克设计!$B$24:$U$30,MATCH("对"&amp;LEFT($C$5,2)&amp;"输出",标准坦克设计!$B$23:$U$23,0)))*(VLOOKUP($Q37,INDIRECT($B$5&amp;"生成成长"),3))*(VLOOKUP($B$5,标准坦克设计!$B$14:$K$20,9)/30))</f>
        <v>2.2973421616155973</v>
      </c>
      <c r="AM37" s="172">
        <f ca="1">(VLOOKUP(AM$13,INDIRECT($C$5&amp;"生成成长"),2))/((VLOOKUP($Q37,INDIRECT($B$5&amp;"生成成长"),4))/(VLOOKUP(AM$13,INDIRECT($C$5&amp;"生成成长"),5))*(VLOOKUP($B$5,标准坦克设计!$B$24:$U$30,MATCH("对"&amp;LEFT($C$5,2)&amp;"输出",标准坦克设计!$B$23:$U$23,0)))*(VLOOKUP($Q37,INDIRECT($B$5&amp;"生成成长"),3))*(VLOOKUP($B$5,标准坦克设计!$B$14:$K$20,9)/30))</f>
        <v>8.6779350994273869</v>
      </c>
    </row>
    <row r="38" spans="1:39" x14ac:dyDescent="0.15">
      <c r="A38" s="170" t="str">
        <f t="shared" si="3"/>
        <v>T5中品质</v>
      </c>
      <c r="B38" s="171">
        <v>20521</v>
      </c>
      <c r="C38" s="172">
        <f ca="1">(VLOOKUP(C$29,INDIRECT($C$5&amp;"生成成长"),2))/((VLOOKUP($B38,INDIRECT($B$5&amp;"生成成长"),4))/(VLOOKUP(C$29,INDIRECT($C$5&amp;"生成成长"),5))*(VLOOKUP($B$5,标准坦克设计!$B$24:$U$30,MATCH("对"&amp;LEFT($C$5,2)&amp;"输出",标准坦克设计!$B$23:$U$23,0)))*(VLOOKUP($B38,INDIRECT($B$5&amp;"生成成长"),3))*(VLOOKUP($B$5,标准坦克设计!$B$14:$K$20,9)/30))</f>
        <v>0.60340039051600003</v>
      </c>
      <c r="D38" s="172">
        <f ca="1">(VLOOKUP(D$29,INDIRECT($C$5&amp;"生成成长"),2))/((VLOOKUP($B38,INDIRECT($B$5&amp;"生成成长"),4))/(VLOOKUP(D$29,INDIRECT($C$5&amp;"生成成长"),5))*(VLOOKUP($B$5,标准坦克设计!$B$24:$U$30,MATCH("对"&amp;LEFT($C$5,2)&amp;"输出",标准坦克设计!$B$23:$U$23,0)))*(VLOOKUP($B38,INDIRECT($B$5&amp;"生成成长"),3))*(VLOOKUP($B$5,标准坦克设计!$B$14:$K$20,9)/30))</f>
        <v>1.0554797673854279</v>
      </c>
      <c r="E38" s="172">
        <f ca="1">(VLOOKUP(E$29,INDIRECT($C$5&amp;"生成成长"),2))/((VLOOKUP($B38,INDIRECT($B$5&amp;"生成成长"),4))/(VLOOKUP(E$29,INDIRECT($C$5&amp;"生成成长"),5))*(VLOOKUP($B$5,标准坦克设计!$B$24:$U$30,MATCH("对"&amp;LEFT($C$5,2)&amp;"输出",标准坦克设计!$B$23:$U$23,0)))*(VLOOKUP($B38,INDIRECT($B$5&amp;"生成成长"),3))*(VLOOKUP($B$5,标准坦克设计!$B$14:$K$20,9)/30))</f>
        <v>1.8140077426900434</v>
      </c>
      <c r="F38" s="172">
        <f ca="1">(VLOOKUP(F$29,INDIRECT($C$5&amp;"生成成长"),2))/((VLOOKUP($B38,INDIRECT($B$5&amp;"生成成长"),4))/(VLOOKUP(F$29,INDIRECT($C$5&amp;"生成成长"),5))*(VLOOKUP($B$5,标准坦克设计!$B$24:$U$30,MATCH("对"&amp;LEFT($C$5,2)&amp;"输出",标准坦克设计!$B$23:$U$23,0)))*(VLOOKUP($B38,INDIRECT($B$5&amp;"生成成长"),3))*(VLOOKUP($B$5,标准坦克设计!$B$14:$K$20,9)/30))</f>
        <v>3.1429327442791322</v>
      </c>
      <c r="G38" s="172">
        <f ca="1">(VLOOKUP(G$29,INDIRECT($C$5&amp;"生成成长"),2))/((VLOOKUP($B38,INDIRECT($B$5&amp;"生成成长"),4))/(VLOOKUP(G$29,INDIRECT($C$5&amp;"生成成长"),5))*(VLOOKUP($B$5,标准坦克设计!$B$24:$U$30,MATCH("对"&amp;LEFT($C$5,2)&amp;"输出",标准坦克设计!$B$23:$U$23,0)))*(VLOOKUP($B38,INDIRECT($B$5&amp;"生成成长"),3))*(VLOOKUP($B$5,标准坦克设计!$B$14:$K$20,9)/30))</f>
        <v>1.7306163645782782</v>
      </c>
      <c r="H38" s="172">
        <f ca="1">(VLOOKUP(H$29,INDIRECT($C$5&amp;"生成成长"),2))/((VLOOKUP($B38,INDIRECT($B$5&amp;"生成成长"),4))/(VLOOKUP(H$29,INDIRECT($C$5&amp;"生成成长"),5))*(VLOOKUP($B$5,标准坦克设计!$B$24:$U$30,MATCH("对"&amp;LEFT($C$5,2)&amp;"输出",标准坦克设计!$B$23:$U$23,0)))*(VLOOKUP($B38,INDIRECT($B$5&amp;"生成成长"),3))*(VLOOKUP($B$5,标准坦克设计!$B$14:$K$20,9)/30))</f>
        <v>3.0110762593588825</v>
      </c>
      <c r="I38" s="172">
        <f ca="1">(VLOOKUP(I$29,INDIRECT($C$5&amp;"生成成长"),2))/((VLOOKUP($B38,INDIRECT($B$5&amp;"生成成长"),4))/(VLOOKUP(I$29,INDIRECT($C$5&amp;"生成成长"),5))*(VLOOKUP($B$5,标准坦克设计!$B$24:$U$30,MATCH("对"&amp;LEFT($C$5,2)&amp;"输出",标准坦克设计!$B$23:$U$23,0)))*(VLOOKUP($B38,INDIRECT($B$5&amp;"生成成长"),3))*(VLOOKUP($B$5,标准坦克设计!$B$14:$K$20,9)/30))</f>
        <v>5.1710110599572587</v>
      </c>
      <c r="J38" s="172">
        <f ca="1">(VLOOKUP(J$29,INDIRECT($C$5&amp;"生成成长"),2))/((VLOOKUP($B38,INDIRECT($B$5&amp;"生成成长"),4))/(VLOOKUP(J$29,INDIRECT($C$5&amp;"生成成长"),5))*(VLOOKUP($B$5,标准坦克设计!$B$24:$U$30,MATCH("对"&amp;LEFT($C$5,2)&amp;"输出",标准坦克设计!$B$23:$U$23,0)))*(VLOOKUP($B38,INDIRECT($B$5&amp;"生成成长"),3))*(VLOOKUP($B$5,标准坦克设计!$B$14:$K$20,9)/30))</f>
        <v>8.6687790234771338</v>
      </c>
      <c r="K38" s="172">
        <f ca="1">(VLOOKUP(K$29,INDIRECT($C$5&amp;"生成成长"),2))/((VLOOKUP($B38,INDIRECT($B$5&amp;"生成成长"),4))/(VLOOKUP(K$29,INDIRECT($C$5&amp;"生成成长"),5))*(VLOOKUP($B$5,标准坦克设计!$B$24:$U$30,MATCH("对"&amp;LEFT($C$5,2)&amp;"输出",标准坦克设计!$B$23:$U$23,0)))*(VLOOKUP($B38,INDIRECT($B$5&amp;"生成成长"),3))*(VLOOKUP($B$5,标准坦克设计!$B$14:$K$20,9)/30))</f>
        <v>3.1875127939426449</v>
      </c>
      <c r="L38" s="172">
        <f ca="1">(VLOOKUP(L$29,INDIRECT($C$5&amp;"生成成长"),2))/((VLOOKUP($B38,INDIRECT($B$5&amp;"生成成长"),4))/(VLOOKUP(L$29,INDIRECT($C$5&amp;"生成成长"),5))*(VLOOKUP($B$5,标准坦克设计!$B$24:$U$30,MATCH("对"&amp;LEFT($C$5,2)&amp;"输出",标准坦克设计!$B$23:$U$23,0)))*(VLOOKUP($B38,INDIRECT($B$5&amp;"生成成长"),3))*(VLOOKUP($B$5,标准坦克设计!$B$14:$K$20,9)/30))</f>
        <v>5.4598395507349498</v>
      </c>
      <c r="M38" s="172">
        <f ca="1">(VLOOKUP(M$29,INDIRECT($C$5&amp;"生成成长"),2))/((VLOOKUP($B38,INDIRECT($B$5&amp;"生成成长"),4))/(VLOOKUP(M$29,INDIRECT($C$5&amp;"生成成长"),5))*(VLOOKUP($B$5,标准坦克设计!$B$24:$U$30,MATCH("对"&amp;LEFT($C$5,2)&amp;"输出",标准坦克设计!$B$23:$U$23,0)))*(VLOOKUP($B38,INDIRECT($B$5&amp;"生成成长"),3))*(VLOOKUP($B$5,标准坦克设计!$B$14:$K$20,9)/30))</f>
        <v>9.1170910722059855</v>
      </c>
    </row>
    <row r="39" spans="1:39" x14ac:dyDescent="0.15">
      <c r="A39" s="170" t="str">
        <f t="shared" si="3"/>
        <v>T3高品质</v>
      </c>
      <c r="B39" s="171">
        <v>30315</v>
      </c>
      <c r="C39" s="172">
        <f ca="1">(VLOOKUP(C$29,INDIRECT($C$5&amp;"生成成长"),2))/((VLOOKUP($B39,INDIRECT($B$5&amp;"生成成长"),4))/(VLOOKUP(C$29,INDIRECT($C$5&amp;"生成成长"),5))*(VLOOKUP($B$5,标准坦克设计!$B$24:$U$30,MATCH("对"&amp;LEFT($C$5,2)&amp;"输出",标准坦克设计!$B$23:$U$23,0)))*(VLOOKUP($B39,INDIRECT($B$5&amp;"生成成长"),3))*(VLOOKUP($B$5,标准坦克设计!$B$14:$K$20,9)/30))</f>
        <v>1.641081735553066</v>
      </c>
      <c r="D39" s="172">
        <f ca="1">(VLOOKUP(D$29,INDIRECT($C$5&amp;"生成成长"),2))/((VLOOKUP($B39,INDIRECT($B$5&amp;"生成成长"),4))/(VLOOKUP(D$29,INDIRECT($C$5&amp;"生成成长"),5))*(VLOOKUP($B$5,标准坦克设计!$B$24:$U$30,MATCH("对"&amp;LEFT($C$5,2)&amp;"输出",标准坦克设计!$B$23:$U$23,0)))*(VLOOKUP($B39,INDIRECT($B$5&amp;"生成成长"),3))*(VLOOKUP($B$5,标准坦克设计!$B$14:$K$20,9)/30))</f>
        <v>2.8706122762379853</v>
      </c>
      <c r="E39" s="172">
        <f ca="1">(VLOOKUP(E$29,INDIRECT($C$5&amp;"生成成长"),2))/((VLOOKUP($B39,INDIRECT($B$5&amp;"生成成长"),4))/(VLOOKUP(E$29,INDIRECT($C$5&amp;"生成成长"),5))*(VLOOKUP($B$5,标准坦克设计!$B$24:$U$30,MATCH("对"&amp;LEFT($C$5,2)&amp;"输出",标准坦克设计!$B$23:$U$23,0)))*(VLOOKUP($B39,INDIRECT($B$5&amp;"生成成长"),3))*(VLOOKUP($B$5,标准坦克设计!$B$14:$K$20,9)/30))</f>
        <v>4.9335980245798963</v>
      </c>
      <c r="F39" s="172">
        <f ca="1">(VLOOKUP(F$29,INDIRECT($C$5&amp;"生成成长"),2))/((VLOOKUP($B39,INDIRECT($B$5&amp;"生成成长"),4))/(VLOOKUP(F$29,INDIRECT($C$5&amp;"生成成长"),5))*(VLOOKUP($B$5,标准坦克设计!$B$24:$U$30,MATCH("对"&amp;LEFT($C$5,2)&amp;"输出",标准坦克设计!$B$23:$U$23,0)))*(VLOOKUP($B39,INDIRECT($B$5&amp;"生成成长"),3))*(VLOOKUP($B$5,标准坦克设计!$B$14:$K$20,9)/30))</f>
        <v>8.5479055098016055</v>
      </c>
      <c r="G39" s="172">
        <f ca="1">(VLOOKUP(G$29,INDIRECT($C$5&amp;"生成成长"),2))/((VLOOKUP($B39,INDIRECT($B$5&amp;"生成成长"),4))/(VLOOKUP(G$29,INDIRECT($C$5&amp;"生成成长"),5))*(VLOOKUP($B$5,标准坦克设计!$B$24:$U$30,MATCH("对"&amp;LEFT($C$5,2)&amp;"输出",标准坦克设计!$B$23:$U$23,0)))*(VLOOKUP($B39,INDIRECT($B$5&amp;"生成成长"),3))*(VLOOKUP($B$5,标准坦克设计!$B$14:$K$20,9)/30))</f>
        <v>4.7067966010594562</v>
      </c>
      <c r="H39" s="172">
        <f ca="1">(VLOOKUP(H$29,INDIRECT($C$5&amp;"生成成长"),2))/((VLOOKUP($B39,INDIRECT($B$5&amp;"生成成长"),4))/(VLOOKUP(H$29,INDIRECT($C$5&amp;"生成成长"),5))*(VLOOKUP($B$5,标准坦克设计!$B$24:$U$30,MATCH("对"&amp;LEFT($C$5,2)&amp;"输出",标准坦克设计!$B$23:$U$23,0)))*(VLOOKUP($B39,INDIRECT($B$5&amp;"生成成长"),3))*(VLOOKUP($B$5,标准坦克设计!$B$14:$K$20,9)/30))</f>
        <v>8.1892924354351706</v>
      </c>
      <c r="I39" s="172">
        <f ca="1">(VLOOKUP(I$29,INDIRECT($C$5&amp;"生成成长"),2))/((VLOOKUP($B39,INDIRECT($B$5&amp;"生成成长"),4))/(VLOOKUP(I$29,INDIRECT($C$5&amp;"生成成长"),5))*(VLOOKUP($B$5,标准坦克设计!$B$24:$U$30,MATCH("对"&amp;LEFT($C$5,2)&amp;"输出",标准坦克设计!$B$23:$U$23,0)))*(VLOOKUP($B39,INDIRECT($B$5&amp;"生成成长"),3))*(VLOOKUP($B$5,标准坦克设计!$B$14:$K$20,9)/30))</f>
        <v>14.063716129818674</v>
      </c>
      <c r="J39" s="172">
        <f ca="1">(VLOOKUP(J$29,INDIRECT($C$5&amp;"生成成长"),2))/((VLOOKUP($B39,INDIRECT($B$5&amp;"生成成长"),4))/(VLOOKUP(J$29,INDIRECT($C$5&amp;"生成成长"),5))*(VLOOKUP($B$5,标准坦克设计!$B$24:$U$30,MATCH("对"&amp;LEFT($C$5,2)&amp;"输出",标准坦克设计!$B$23:$U$23,0)))*(VLOOKUP($B39,INDIRECT($B$5&amp;"生成成长"),3))*(VLOOKUP($B$5,标准坦克设计!$B$14:$K$20,9)/30))</f>
        <v>23.576675037959951</v>
      </c>
      <c r="K39" s="172">
        <f ca="1">(VLOOKUP(K$29,INDIRECT($C$5&amp;"生成成长"),2))/((VLOOKUP($B39,INDIRECT($B$5&amp;"生成成长"),4))/(VLOOKUP(K$29,INDIRECT($C$5&amp;"生成成长"),5))*(VLOOKUP($B$5,标准坦克设计!$B$24:$U$30,MATCH("对"&amp;LEFT($C$5,2)&amp;"输出",标准坦克设计!$B$23:$U$23,0)))*(VLOOKUP($B39,INDIRECT($B$5&amp;"生成成长"),3))*(VLOOKUP($B$5,标准坦克设计!$B$14:$K$20,9)/30))</f>
        <v>8.6691508825635921</v>
      </c>
      <c r="L39" s="172">
        <f ca="1">(VLOOKUP(L$29,INDIRECT($C$5&amp;"生成成长"),2))/((VLOOKUP($B39,INDIRECT($B$5&amp;"生成成长"),4))/(VLOOKUP(L$29,INDIRECT($C$5&amp;"生成成长"),5))*(VLOOKUP($B$5,标准坦克设计!$B$24:$U$30,MATCH("对"&amp;LEFT($C$5,2)&amp;"输出",标准坦克设计!$B$23:$U$23,0)))*(VLOOKUP($B39,INDIRECT($B$5&amp;"生成成长"),3))*(VLOOKUP($B$5,标准坦克设计!$B$14:$K$20,9)/30))</f>
        <v>14.849249530811818</v>
      </c>
      <c r="M39" s="172">
        <f ca="1">(VLOOKUP(M$29,INDIRECT($C$5&amp;"生成成长"),2))/((VLOOKUP($B39,INDIRECT($B$5&amp;"生成成长"),4))/(VLOOKUP(M$29,INDIRECT($C$5&amp;"生成成长"),5))*(VLOOKUP($B$5,标准坦克设计!$B$24:$U$30,MATCH("对"&amp;LEFT($C$5,2)&amp;"输出",标准坦克设计!$B$23:$U$23,0)))*(VLOOKUP($B39,INDIRECT($B$5&amp;"生成成长"),3))*(VLOOKUP($B$5,标准坦克设计!$B$14:$K$20,9)/30))</f>
        <v>24.795959490805835</v>
      </c>
    </row>
    <row r="40" spans="1:39" x14ac:dyDescent="0.15">
      <c r="A40" s="170" t="str">
        <f t="shared" si="3"/>
        <v>T4高品质</v>
      </c>
      <c r="B40" s="171">
        <v>30418</v>
      </c>
      <c r="C40" s="172">
        <f ca="1">(VLOOKUP(C$29,INDIRECT($C$5&amp;"生成成长"),2))/((VLOOKUP($B40,INDIRECT($B$5&amp;"生成成长"),4))/(VLOOKUP(C$29,INDIRECT($C$5&amp;"生成成长"),5))*(VLOOKUP($B$5,标准坦克设计!$B$24:$U$30,MATCH("对"&amp;LEFT($C$5,2)&amp;"输出",标准坦克设计!$B$23:$U$23,0)))*(VLOOKUP($B40,INDIRECT($B$5&amp;"生成成长"),3))*(VLOOKUP($B$5,标准坦克设计!$B$14:$K$20,9)/30))</f>
        <v>0.95682950768315689</v>
      </c>
      <c r="D40" s="172">
        <f ca="1">(VLOOKUP(D$29,INDIRECT($C$5&amp;"生成成长"),2))/((VLOOKUP($B40,INDIRECT($B$5&amp;"生成成长"),4))/(VLOOKUP(D$29,INDIRECT($C$5&amp;"生成成长"),5))*(VLOOKUP($B$5,标准坦克设计!$B$24:$U$30,MATCH("对"&amp;LEFT($C$5,2)&amp;"输出",标准坦克设计!$B$23:$U$23,0)))*(VLOOKUP($B40,INDIRECT($B$5&amp;"生成成长"),3))*(VLOOKUP($B$5,标准坦克设计!$B$14:$K$20,9)/30))</f>
        <v>1.6737048932522236</v>
      </c>
      <c r="E40" s="172">
        <f ca="1">(VLOOKUP(E$29,INDIRECT($C$5&amp;"生成成长"),2))/((VLOOKUP($B40,INDIRECT($B$5&amp;"生成成长"),4))/(VLOOKUP(E$29,INDIRECT($C$5&amp;"生成成长"),5))*(VLOOKUP($B$5,标准坦克设计!$B$24:$U$30,MATCH("对"&amp;LEFT($C$5,2)&amp;"输出",标准坦克设计!$B$23:$U$23,0)))*(VLOOKUP($B40,INDIRECT($B$5&amp;"生成成长"),3))*(VLOOKUP($B$5,标准坦克设计!$B$14:$K$20,9)/30))</f>
        <v>2.876524713361988</v>
      </c>
      <c r="F40" s="172">
        <f ca="1">(VLOOKUP(F$29,INDIRECT($C$5&amp;"生成成长"),2))/((VLOOKUP($B40,INDIRECT($B$5&amp;"生成成长"),4))/(VLOOKUP(F$29,INDIRECT($C$5&amp;"生成成长"),5))*(VLOOKUP($B$5,标准坦克设计!$B$24:$U$30,MATCH("对"&amp;LEFT($C$5,2)&amp;"输出",标准坦克设计!$B$23:$U$23,0)))*(VLOOKUP($B40,INDIRECT($B$5&amp;"生成成长"),3))*(VLOOKUP($B$5,标准坦克设计!$B$14:$K$20,9)/30))</f>
        <v>4.9838396488577246</v>
      </c>
      <c r="G40" s="172">
        <f ca="1">(VLOOKUP(G$29,INDIRECT($C$5&amp;"生成成长"),2))/((VLOOKUP($B40,INDIRECT($B$5&amp;"生成成长"),4))/(VLOOKUP(G$29,INDIRECT($C$5&amp;"生成成长"),5))*(VLOOKUP($B$5,标准坦克设计!$B$24:$U$30,MATCH("对"&amp;LEFT($C$5,2)&amp;"输出",标准坦克设计!$B$23:$U$23,0)))*(VLOOKUP($B40,INDIRECT($B$5&amp;"生成成长"),3))*(VLOOKUP($B$5,标准坦克设计!$B$14:$K$20,9)/30))</f>
        <v>2.7442885853815833</v>
      </c>
      <c r="H40" s="172">
        <f ca="1">(VLOOKUP(H$29,INDIRECT($C$5&amp;"生成成长"),2))/((VLOOKUP($B40,INDIRECT($B$5&amp;"生成成长"),4))/(VLOOKUP(H$29,INDIRECT($C$5&amp;"生成成长"),5))*(VLOOKUP($B$5,标准坦克设计!$B$24:$U$30,MATCH("对"&amp;LEFT($C$5,2)&amp;"输出",标准坦克设计!$B$23:$U$23,0)))*(VLOOKUP($B40,INDIRECT($B$5&amp;"生成成长"),3))*(VLOOKUP($B$5,标准坦克设计!$B$14:$K$20,9)/30))</f>
        <v>4.7747509947334121</v>
      </c>
      <c r="I40" s="172">
        <f ca="1">(VLOOKUP(I$29,INDIRECT($C$5&amp;"生成成长"),2))/((VLOOKUP($B40,INDIRECT($B$5&amp;"生成成长"),4))/(VLOOKUP(I$29,INDIRECT($C$5&amp;"生成成长"),5))*(VLOOKUP($B$5,标准坦克设计!$B$24:$U$30,MATCH("对"&amp;LEFT($C$5,2)&amp;"输出",标准坦克设计!$B$23:$U$23,0)))*(VLOOKUP($B40,INDIRECT($B$5&amp;"生成成长"),3))*(VLOOKUP($B$5,标准坦克设计!$B$14:$K$20,9)/30))</f>
        <v>8.1998222813411736</v>
      </c>
      <c r="J40" s="172">
        <f ca="1">(VLOOKUP(J$29,INDIRECT($C$5&amp;"生成成长"),2))/((VLOOKUP($B40,INDIRECT($B$5&amp;"生成成长"),4))/(VLOOKUP(J$29,INDIRECT($C$5&amp;"生成成长"),5))*(VLOOKUP($B$5,标准坦克设计!$B$24:$U$30,MATCH("对"&amp;LEFT($C$5,2)&amp;"输出",标准坦克设计!$B$23:$U$23,0)))*(VLOOKUP($B40,INDIRECT($B$5&amp;"生成成长"),3))*(VLOOKUP($B$5,标准坦克设计!$B$14:$K$20,9)/30))</f>
        <v>13.746334433351288</v>
      </c>
      <c r="K40" s="172">
        <f ca="1">(VLOOKUP(K$29,INDIRECT($C$5&amp;"生成成长"),2))/((VLOOKUP($B40,INDIRECT($B$5&amp;"生成成长"),4))/(VLOOKUP(K$29,INDIRECT($C$5&amp;"生成成长"),5))*(VLOOKUP($B$5,标准坦克设计!$B$24:$U$30,MATCH("对"&amp;LEFT($C$5,2)&amp;"输出",标准坦克设计!$B$23:$U$23,0)))*(VLOOKUP($B40,INDIRECT($B$5&amp;"生成成长"),3))*(VLOOKUP($B$5,标准坦克设计!$B$14:$K$20,9)/30))</f>
        <v>5.0545315271568949</v>
      </c>
      <c r="L40" s="172">
        <f ca="1">(VLOOKUP(L$29,INDIRECT($C$5&amp;"生成成长"),2))/((VLOOKUP($B40,INDIRECT($B$5&amp;"生成成长"),4))/(VLOOKUP(L$29,INDIRECT($C$5&amp;"生成成长"),5))*(VLOOKUP($B$5,标准坦克设计!$B$24:$U$30,MATCH("对"&amp;LEFT($C$5,2)&amp;"输出",标准坦克设计!$B$23:$U$23,0)))*(VLOOKUP($B40,INDIRECT($B$5&amp;"生成成长"),3))*(VLOOKUP($B$5,标准坦克设计!$B$14:$K$20,9)/30))</f>
        <v>8.65782599989919</v>
      </c>
      <c r="M40" s="172">
        <f ca="1">(VLOOKUP(M$29,INDIRECT($C$5&amp;"生成成长"),2))/((VLOOKUP($B40,INDIRECT($B$5&amp;"生成成长"),4))/(VLOOKUP(M$29,INDIRECT($C$5&amp;"生成成长"),5))*(VLOOKUP($B$5,标准坦克设计!$B$24:$U$30,MATCH("对"&amp;LEFT($C$5,2)&amp;"输出",标准坦克设计!$B$23:$U$23,0)))*(VLOOKUP($B40,INDIRECT($B$5&amp;"生成成长"),3))*(VLOOKUP($B$5,标准坦克设计!$B$14:$K$20,9)/30))</f>
        <v>14.457235857373943</v>
      </c>
      <c r="P40" s="363" t="s">
        <v>867</v>
      </c>
      <c r="Q40" s="364"/>
      <c r="R40" s="176" t="str">
        <f t="shared" ref="R40:AB40" si="4">"T"&amp;LEFT(RIGHT(R41,3),1)&amp;""&amp;IF(LEFT(R41,1)="1","低",IF(LEFT(R41,1)="2","中","高"))&amp;"初"</f>
        <v>T1低初</v>
      </c>
      <c r="S40" s="176" t="str">
        <f t="shared" si="4"/>
        <v>T2低初</v>
      </c>
      <c r="T40" s="176" t="str">
        <f t="shared" si="4"/>
        <v>T3低初</v>
      </c>
      <c r="U40" s="176" t="str">
        <f t="shared" si="4"/>
        <v>T4低初</v>
      </c>
      <c r="V40" s="176" t="str">
        <f t="shared" si="4"/>
        <v>T2中初</v>
      </c>
      <c r="W40" s="176" t="str">
        <f t="shared" si="4"/>
        <v>T3中初</v>
      </c>
      <c r="X40" s="176" t="str">
        <f t="shared" si="4"/>
        <v>T4中初</v>
      </c>
      <c r="Y40" s="176" t="str">
        <f t="shared" si="4"/>
        <v>T5中初</v>
      </c>
      <c r="Z40" s="176" t="str">
        <f t="shared" si="4"/>
        <v>T3高初</v>
      </c>
      <c r="AA40" s="176" t="str">
        <f t="shared" si="4"/>
        <v>T4高初</v>
      </c>
      <c r="AB40" s="176" t="str">
        <f t="shared" si="4"/>
        <v>T5高初</v>
      </c>
      <c r="AC40" s="168" t="str">
        <f t="shared" ref="AC40:AM40" si="5">"T"&amp;LEFT(RIGHT(AC41,3),1)&amp;""&amp;IF(LEFT(AC41,1)="1","低",IF(LEFT(AC41,1)="2","中","高"))&amp;"满"</f>
        <v>T1低满</v>
      </c>
      <c r="AD40" s="168" t="str">
        <f t="shared" si="5"/>
        <v>T2低满</v>
      </c>
      <c r="AE40" s="168" t="str">
        <f t="shared" si="5"/>
        <v>T3低满</v>
      </c>
      <c r="AF40" s="168" t="str">
        <f t="shared" si="5"/>
        <v>T4低满</v>
      </c>
      <c r="AG40" s="168" t="str">
        <f t="shared" si="5"/>
        <v>T2中满</v>
      </c>
      <c r="AH40" s="168" t="str">
        <f t="shared" si="5"/>
        <v>T3中满</v>
      </c>
      <c r="AI40" s="168" t="str">
        <f t="shared" si="5"/>
        <v>T4中满</v>
      </c>
      <c r="AJ40" s="168" t="str">
        <f t="shared" si="5"/>
        <v>T5中满</v>
      </c>
      <c r="AK40" s="168" t="str">
        <f t="shared" si="5"/>
        <v>T3高满</v>
      </c>
      <c r="AL40" s="168" t="str">
        <f t="shared" si="5"/>
        <v>T4高满</v>
      </c>
      <c r="AM40" s="168" t="str">
        <f t="shared" si="5"/>
        <v>T5高满</v>
      </c>
    </row>
    <row r="41" spans="1:39" x14ac:dyDescent="0.15">
      <c r="A41" s="170" t="str">
        <f t="shared" si="3"/>
        <v>T5高品质</v>
      </c>
      <c r="B41" s="171">
        <v>30521</v>
      </c>
      <c r="C41" s="172">
        <f ca="1">(VLOOKUP(C$29,INDIRECT($C$5&amp;"生成成长"),2))/((VLOOKUP($B41,INDIRECT($B$5&amp;"生成成长"),4))/(VLOOKUP(C$29,INDIRECT($C$5&amp;"生成成长"),5))*(VLOOKUP($B$5,标准坦克设计!$B$24:$U$30,MATCH("对"&amp;LEFT($C$5,2)&amp;"输出",标准坦克设计!$B$23:$U$23,0)))*(VLOOKUP($B41,INDIRECT($B$5&amp;"生成成长"),3))*(VLOOKUP($B$5,标准坦克设计!$B$14:$K$20,9)/30))</f>
        <v>0.57433554040389934</v>
      </c>
      <c r="D41" s="172">
        <f ca="1">(VLOOKUP(D$29,INDIRECT($C$5&amp;"生成成长"),2))/((VLOOKUP($B41,INDIRECT($B$5&amp;"生成成长"),4))/(VLOOKUP(D$29,INDIRECT($C$5&amp;"生成成长"),5))*(VLOOKUP($B$5,标准坦克设计!$B$24:$U$30,MATCH("对"&amp;LEFT($C$5,2)&amp;"输出",标准坦克设计!$B$23:$U$23,0)))*(VLOOKUP($B41,INDIRECT($B$5&amp;"生成成长"),3))*(VLOOKUP($B$5,标准坦克设计!$B$14:$K$20,9)/30))</f>
        <v>1.004638962974979</v>
      </c>
      <c r="E41" s="172">
        <f ca="1">(VLOOKUP(E$29,INDIRECT($C$5&amp;"生成成长"),2))/((VLOOKUP($B41,INDIRECT($B$5&amp;"生成成长"),4))/(VLOOKUP(E$29,INDIRECT($C$5&amp;"生成成长"),5))*(VLOOKUP($B$5,标准坦克设计!$B$24:$U$30,MATCH("对"&amp;LEFT($C$5,2)&amp;"输出",标准坦克设计!$B$23:$U$23,0)))*(VLOOKUP($B41,INDIRECT($B$5&amp;"生成成长"),3))*(VLOOKUP($B$5,标准坦克设计!$B$14:$K$20,9)/30))</f>
        <v>1.7266298357941106</v>
      </c>
      <c r="F41" s="172">
        <f ca="1">(VLOOKUP(F$29,INDIRECT($C$5&amp;"生成成长"),2))/((VLOOKUP($B41,INDIRECT($B$5&amp;"生成成长"),4))/(VLOOKUP(F$29,INDIRECT($C$5&amp;"生成成长"),5))*(VLOOKUP($B$5,标准坦克设计!$B$24:$U$30,MATCH("对"&amp;LEFT($C$5,2)&amp;"输出",标准坦克设计!$B$23:$U$23,0)))*(VLOOKUP($B41,INDIRECT($B$5&amp;"生成成长"),3))*(VLOOKUP($B$5,标准坦克设计!$B$14:$K$20,9)/30))</f>
        <v>2.9915426050603471</v>
      </c>
      <c r="G41" s="172">
        <f ca="1">(VLOOKUP(G$29,INDIRECT($C$5&amp;"生成成长"),2))/((VLOOKUP($B41,INDIRECT($B$5&amp;"生成成长"),4))/(VLOOKUP(G$29,INDIRECT($C$5&amp;"生成成长"),5))*(VLOOKUP($B$5,标准坦克设计!$B$24:$U$30,MATCH("对"&amp;LEFT($C$5,2)&amp;"输出",标准坦克设计!$B$23:$U$23,0)))*(VLOOKUP($B41,INDIRECT($B$5&amp;"生成成长"),3))*(VLOOKUP($B$5,标准坦克设计!$B$14:$K$20,9)/30))</f>
        <v>1.6472552895299144</v>
      </c>
      <c r="H41" s="172">
        <f ca="1">(VLOOKUP(H$29,INDIRECT($C$5&amp;"生成成长"),2))/((VLOOKUP($B41,INDIRECT($B$5&amp;"生成成长"),4))/(VLOOKUP(H$29,INDIRECT($C$5&amp;"生成成长"),5))*(VLOOKUP($B$5,标准坦克设计!$B$24:$U$30,MATCH("对"&amp;LEFT($C$5,2)&amp;"输出",标准坦克设计!$B$23:$U$23,0)))*(VLOOKUP($B41,INDIRECT($B$5&amp;"生成成长"),3))*(VLOOKUP($B$5,标准坦克设计!$B$14:$K$20,9)/30))</f>
        <v>2.8660374401437818</v>
      </c>
      <c r="I41" s="172">
        <f ca="1">(VLOOKUP(I$29,INDIRECT($C$5&amp;"生成成长"),2))/((VLOOKUP($B41,INDIRECT($B$5&amp;"生成成长"),4))/(VLOOKUP(I$29,INDIRECT($C$5&amp;"生成成长"),5))*(VLOOKUP($B$5,标准坦克设计!$B$24:$U$30,MATCH("对"&amp;LEFT($C$5,2)&amp;"输出",标准坦克设计!$B$23:$U$23,0)))*(VLOOKUP($B41,INDIRECT($B$5&amp;"生成成长"),3))*(VLOOKUP($B$5,标准坦克设计!$B$14:$K$20,9)/30))</f>
        <v>4.9219315702056061</v>
      </c>
      <c r="J41" s="172">
        <f ca="1">(VLOOKUP(J$29,INDIRECT($C$5&amp;"生成成长"),2))/((VLOOKUP($B41,INDIRECT($B$5&amp;"生成成长"),4))/(VLOOKUP(J$29,INDIRECT($C$5&amp;"生成成长"),5))*(VLOOKUP($B$5,标准坦克设计!$B$24:$U$30,MATCH("对"&amp;LEFT($C$5,2)&amp;"输出",标准坦克设计!$B$23:$U$23,0)))*(VLOOKUP($B41,INDIRECT($B$5&amp;"生成成长"),3))*(VLOOKUP($B$5,标准坦克设计!$B$14:$K$20,9)/30))</f>
        <v>8.2512175387110656</v>
      </c>
      <c r="K41" s="172">
        <f ca="1">(VLOOKUP(K$29,INDIRECT($C$5&amp;"生成成长"),2))/((VLOOKUP($B41,INDIRECT($B$5&amp;"生成成长"),4))/(VLOOKUP(K$29,INDIRECT($C$5&amp;"生成成长"),5))*(VLOOKUP($B$5,标准坦克设计!$B$24:$U$30,MATCH("对"&amp;LEFT($C$5,2)&amp;"输出",标准坦克设计!$B$23:$U$23,0)))*(VLOOKUP($B41,INDIRECT($B$5&amp;"生成成长"),3))*(VLOOKUP($B$5,标准坦克设计!$B$14:$K$20,9)/30))</f>
        <v>3.0339753036749952</v>
      </c>
      <c r="L41" s="172">
        <f ca="1">(VLOOKUP(L$29,INDIRECT($C$5&amp;"生成成长"),2))/((VLOOKUP($B41,INDIRECT($B$5&amp;"生成成长"),4))/(VLOOKUP(L$29,INDIRECT($C$5&amp;"生成成长"),5))*(VLOOKUP($B$5,标准坦克设计!$B$24:$U$30,MATCH("对"&amp;LEFT($C$5,2)&amp;"输出",标准坦克设计!$B$23:$U$23,0)))*(VLOOKUP($B41,INDIRECT($B$5&amp;"生成成长"),3))*(VLOOKUP($B$5,标准坦克设计!$B$14:$K$20,9)/30))</f>
        <v>5.1968476457371304</v>
      </c>
      <c r="M41" s="172">
        <f ca="1">(VLOOKUP(M$29,INDIRECT($C$5&amp;"生成成长"),2))/((VLOOKUP($B41,INDIRECT($B$5&amp;"生成成长"),4))/(VLOOKUP(M$29,INDIRECT($C$5&amp;"生成成长"),5))*(VLOOKUP($B$5,标准坦克设计!$B$24:$U$30,MATCH("对"&amp;LEFT($C$5,2)&amp;"输出",标准坦克设计!$B$23:$U$23,0)))*(VLOOKUP($B41,INDIRECT($B$5&amp;"生成成长"),3))*(VLOOKUP($B$5,标准坦克设计!$B$14:$K$20,9)/30))</f>
        <v>8.6779350994273869</v>
      </c>
      <c r="P41" s="363" t="s">
        <v>869</v>
      </c>
      <c r="Q41" s="364"/>
      <c r="R41" s="177">
        <v>10101</v>
      </c>
      <c r="S41" s="177">
        <v>10201</v>
      </c>
      <c r="T41" s="177">
        <v>10301</v>
      </c>
      <c r="U41" s="177">
        <v>10401</v>
      </c>
      <c r="V41" s="177">
        <v>20201</v>
      </c>
      <c r="W41" s="177">
        <v>20301</v>
      </c>
      <c r="X41" s="177">
        <v>20401</v>
      </c>
      <c r="Y41" s="177">
        <v>20501</v>
      </c>
      <c r="Z41" s="177">
        <v>30301</v>
      </c>
      <c r="AA41" s="177">
        <v>30401</v>
      </c>
      <c r="AB41" s="177">
        <v>30501</v>
      </c>
      <c r="AC41" s="169">
        <v>10105</v>
      </c>
      <c r="AD41" s="169">
        <v>10207</v>
      </c>
      <c r="AE41" s="169">
        <v>10309</v>
      </c>
      <c r="AF41" s="169">
        <v>10411</v>
      </c>
      <c r="AG41" s="169">
        <v>20212</v>
      </c>
      <c r="AH41" s="169">
        <v>20315</v>
      </c>
      <c r="AI41" s="169">
        <v>20418</v>
      </c>
      <c r="AJ41" s="169">
        <v>20521</v>
      </c>
      <c r="AK41" s="169">
        <v>30315</v>
      </c>
      <c r="AL41" s="169">
        <v>30418</v>
      </c>
      <c r="AM41" s="169">
        <v>30521</v>
      </c>
    </row>
    <row r="42" spans="1:39" x14ac:dyDescent="0.15">
      <c r="P42" s="170" t="str">
        <f t="shared" ref="P42:P53" si="6">"T"&amp;LEFT(RIGHT(Q42,3),1)&amp;""&amp;IF(LEFT(Q42,1)="1","低",IF(LEFT(Q42,1)="2","中","高"))&amp;"初"</f>
        <v>T1低初</v>
      </c>
      <c r="Q42" s="171">
        <v>10101</v>
      </c>
      <c r="R42" s="172">
        <f ca="1">(VLOOKUP(R$41,INDIRECT($C$5&amp;"生成成长"),2))/((VLOOKUP($Q42,INDIRECT($B$5&amp;"生成成长"),4))/(VLOOKUP(R$41,INDIRECT($C$5&amp;"生成成长"),5))*(VLOOKUP($B$5,标准坦克设计!$B$24:$U$30,MATCH("对"&amp;LEFT($C$5,2)&amp;"输出",标准坦克设计!$B$23:$U$23,0)))*(VLOOKUP($Q42,INDIRECT($B$5&amp;"生成成长"),3))*(VLOOKUP($B$5,标准坦克设计!$B$14:$K$20,9)/30))</f>
        <v>8.6708990476941743</v>
      </c>
      <c r="S42" s="172">
        <f ca="1">(VLOOKUP(S$41,INDIRECT($C$5&amp;"生成成长"),2))/((VLOOKUP($Q42,INDIRECT($B$5&amp;"生成成长"),4))/(VLOOKUP(S$41,INDIRECT($C$5&amp;"生成成长"),5))*(VLOOKUP($B$5,标准坦克设计!$B$24:$U$30,MATCH("对"&amp;LEFT($C$5,2)&amp;"输出",标准坦克设计!$B$23:$U$23,0)))*(VLOOKUP($Q42,INDIRECT($B$5&amp;"生成成长"),3))*(VLOOKUP($B$5,标准坦克设计!$B$14:$K$20,9)/30))</f>
        <v>11.667561758577284</v>
      </c>
      <c r="T42" s="172">
        <f ca="1">(VLOOKUP(T$41,INDIRECT($C$5&amp;"生成成长"),2))/((VLOOKUP($Q42,INDIRECT($B$5&amp;"生成成长"),4))/(VLOOKUP(T$41,INDIRECT($C$5&amp;"生成成长"),5))*(VLOOKUP($B$5,标准坦克设计!$B$24:$U$30,MATCH("对"&amp;LEFT($C$5,2)&amp;"输出",标准坦克设计!$B$23:$U$23,0)))*(VLOOKUP($Q42,INDIRECT($B$5&amp;"生成成长"),3))*(VLOOKUP($B$5,标准坦克设计!$B$14:$K$20,9)/30))</f>
        <v>17.731121462629819</v>
      </c>
      <c r="U42" s="172">
        <f ca="1">(VLOOKUP(U$41,INDIRECT($C$5&amp;"生成成长"),2))/((VLOOKUP($Q42,INDIRECT($B$5&amp;"生成成长"),4))/(VLOOKUP(U$41,INDIRECT($C$5&amp;"生成成长"),5))*(VLOOKUP($B$5,标准坦克设计!$B$24:$U$30,MATCH("对"&amp;LEFT($C$5,2)&amp;"输出",标准坦克设计!$B$23:$U$23,0)))*(VLOOKUP($Q42,INDIRECT($B$5&amp;"生成成长"),3))*(VLOOKUP($B$5,标准坦克设计!$B$14:$K$20,9)/30))</f>
        <v>29.037973820823019</v>
      </c>
      <c r="V42" s="172">
        <f ca="1">(VLOOKUP(V$41,INDIRECT($C$5&amp;"生成成长"),2))/((VLOOKUP($Q42,INDIRECT($B$5&amp;"生成成长"),4))/(VLOOKUP(V$41,INDIRECT($C$5&amp;"生成成长"),5))*(VLOOKUP($B$5,标准坦克设计!$B$24:$U$30,MATCH("对"&amp;LEFT($C$5,2)&amp;"输出",标准坦克设计!$B$23:$U$23,0)))*(VLOOKUP($Q42,INDIRECT($B$5&amp;"生成成长"),3))*(VLOOKUP($B$5,标准坦克设计!$B$14:$K$20,9)/30))</f>
        <v>12.073359834009368</v>
      </c>
      <c r="W42" s="172">
        <f ca="1">(VLOOKUP(W$41,INDIRECT($C$5&amp;"生成成长"),2))/((VLOOKUP($Q42,INDIRECT($B$5&amp;"生成成长"),4))/(VLOOKUP(W$41,INDIRECT($C$5&amp;"生成成长"),5))*(VLOOKUP($B$5,标准坦克设计!$B$24:$U$30,MATCH("对"&amp;LEFT($C$5,2)&amp;"输出",标准坦克设计!$B$23:$U$23,0)))*(VLOOKUP($Q42,INDIRECT($B$5&amp;"生成成长"),3))*(VLOOKUP($B$5,标准坦克设计!$B$14:$K$20,9)/30))</f>
        <v>18.482888410064902</v>
      </c>
      <c r="X42" s="172">
        <f ca="1">(VLOOKUP(X$41,INDIRECT($C$5&amp;"生成成长"),2))/((VLOOKUP($Q42,INDIRECT($B$5&amp;"生成成长"),4))/(VLOOKUP(X$41,INDIRECT($C$5&amp;"生成成长"),5))*(VLOOKUP($B$5,标准坦克设计!$B$24:$U$30,MATCH("对"&amp;LEFT($C$5,2)&amp;"输出",标准坦克设计!$B$23:$U$23,0)))*(VLOOKUP($Q42,INDIRECT($B$5&amp;"生成成长"),3))*(VLOOKUP($B$5,标准坦克设计!$B$14:$K$20,9)/30))</f>
        <v>30.321266879881762</v>
      </c>
      <c r="Y42" s="172">
        <f ca="1">(VLOOKUP(Y$41,INDIRECT($C$5&amp;"生成成长"),2))/((VLOOKUP($Q42,INDIRECT($B$5&amp;"生成成长"),4))/(VLOOKUP(Y$41,INDIRECT($C$5&amp;"生成成长"),5))*(VLOOKUP($B$5,标准坦克设计!$B$24:$U$30,MATCH("对"&amp;LEFT($C$5,2)&amp;"输出",标准坦克设计!$B$23:$U$23,0)))*(VLOOKUP($Q42,INDIRECT($B$5&amp;"生成成长"),3))*(VLOOKUP($B$5,标准坦克设计!$B$14:$K$20,9)/30))</f>
        <v>51.20079178672934</v>
      </c>
      <c r="Z42" s="172">
        <f ca="1">(VLOOKUP(Z$41,INDIRECT($C$5&amp;"生成成长"),2))/((VLOOKUP($Q42,INDIRECT($B$5&amp;"生成成长"),4))/(VLOOKUP(Z$41,INDIRECT($C$5&amp;"生成成长"),5))*(VLOOKUP($B$5,标准坦克设计!$B$24:$U$30,MATCH("对"&amp;LEFT($C$5,2)&amp;"输出",标准坦克设计!$B$23:$U$23,0)))*(VLOOKUP($Q42,INDIRECT($B$5&amp;"生成成长"),3))*(VLOOKUP($B$5,标准坦克设计!$B$14:$K$20,9)/30))</f>
        <v>19.250262975785841</v>
      </c>
      <c r="AA42" s="172">
        <f ca="1">(VLOOKUP(AA$41,INDIRECT($C$5&amp;"生成成长"),2))/((VLOOKUP($Q42,INDIRECT($B$5&amp;"生成成长"),4))/(VLOOKUP(AA$41,INDIRECT($C$5&amp;"生成成长"),5))*(VLOOKUP($B$5,标准坦克设计!$B$24:$U$30,MATCH("对"&amp;LEFT($C$5,2)&amp;"输出",标准坦克设计!$B$23:$U$23,0)))*(VLOOKUP($Q42,INDIRECT($B$5&amp;"生成成长"),3))*(VLOOKUP($B$5,标准坦克设计!$B$14:$K$20,9)/30))</f>
        <v>31.63230681589312</v>
      </c>
      <c r="AB42" s="172">
        <f ca="1">(VLOOKUP(AB$41,INDIRECT($C$5&amp;"生成成长"),2))/((VLOOKUP($Q42,INDIRECT($B$5&amp;"生成成长"),4))/(VLOOKUP(AB$41,INDIRECT($C$5&amp;"生成成长"),5))*(VLOOKUP($B$5,标准坦克设计!$B$24:$U$30,MATCH("对"&amp;LEFT($C$5,2)&amp;"输出",标准坦克设计!$B$23:$U$23,0)))*(VLOOKUP($Q42,INDIRECT($B$5&amp;"生成成长"),3))*(VLOOKUP($B$5,标准坦克设计!$B$14:$K$20,9)/30))</f>
        <v>53.32949750293826</v>
      </c>
      <c r="AC42" s="172">
        <f ca="1">(VLOOKUP(AC$41,INDIRECT($C$5&amp;"生成成长"),2))/((VLOOKUP($Q42,INDIRECT($B$5&amp;"生成成长"),4))/(VLOOKUP(AC$41,INDIRECT($C$5&amp;"生成成长"),5))*(VLOOKUP($B$5,标准坦克设计!$B$24:$U$30,MATCH("对"&amp;LEFT($C$5,2)&amp;"输出",标准坦克设计!$B$23:$U$23,0)))*(VLOOKUP($Q42,INDIRECT($B$5&amp;"生成成长"),3))*(VLOOKUP($B$5,标准坦克设计!$B$14:$K$20,9)/30))</f>
        <v>13.332374375734565</v>
      </c>
      <c r="AD42" s="172">
        <f ca="1">(VLOOKUP(AD$41,INDIRECT($C$5&amp;"生成成长"),2))/((VLOOKUP($Q42,INDIRECT($B$5&amp;"生成成长"),4))/(VLOOKUP(AD$41,INDIRECT($C$5&amp;"生成成长"),5))*(VLOOKUP($B$5,标准坦克设计!$B$24:$U$30,MATCH("对"&amp;LEFT($C$5,2)&amp;"输出",标准坦克设计!$B$23:$U$23,0)))*(VLOOKUP($Q42,INDIRECT($B$5&amp;"生成成长"),3))*(VLOOKUP($B$5,标准坦克设计!$B$14:$K$20,9)/30))</f>
        <v>23.321250078678254</v>
      </c>
      <c r="AE42" s="172">
        <f ca="1">(VLOOKUP(AE$41,INDIRECT($C$5&amp;"生成成长"),2))/((VLOOKUP($Q42,INDIRECT($B$5&amp;"生成成长"),4))/(VLOOKUP(AE$41,INDIRECT($C$5&amp;"生成成长"),5))*(VLOOKUP($B$5,标准坦克设计!$B$24:$U$30,MATCH("对"&amp;LEFT($C$5,2)&amp;"输出",标准坦克设计!$B$23:$U$23,0)))*(VLOOKUP($Q42,INDIRECT($B$5&amp;"生成成长"),3))*(VLOOKUP($B$5,标准坦克设计!$B$14:$K$20,9)/30))</f>
        <v>40.081230847966324</v>
      </c>
      <c r="AF42" s="172">
        <f ca="1">(VLOOKUP(AF$41,INDIRECT($C$5&amp;"生成成长"),2))/((VLOOKUP($Q42,INDIRECT($B$5&amp;"生成成长"),4))/(VLOOKUP(AF$41,INDIRECT($C$5&amp;"生成成长"),5))*(VLOOKUP($B$5,标准坦克设计!$B$24:$U$30,MATCH("对"&amp;LEFT($C$5,2)&amp;"输出",标准坦克设计!$B$23:$U$23,0)))*(VLOOKUP($Q42,INDIRECT($B$5&amp;"生成成长"),3))*(VLOOKUP($B$5,标准坦克设计!$B$14:$K$20,9)/30))</f>
        <v>69.444363383077871</v>
      </c>
      <c r="AG42" s="172">
        <f ca="1">(VLOOKUP(AG$41,INDIRECT($C$5&amp;"生成成长"),2))/((VLOOKUP($Q42,INDIRECT($B$5&amp;"生成成长"),4))/(VLOOKUP(AG$41,INDIRECT($C$5&amp;"生成成长"),5))*(VLOOKUP($B$5,标准坦克设计!$B$24:$U$30,MATCH("对"&amp;LEFT($C$5,2)&amp;"输出",标准坦克设计!$B$23:$U$23,0)))*(VLOOKUP($Q42,INDIRECT($B$5&amp;"生成成长"),3))*(VLOOKUP($B$5,标准坦克设计!$B$14:$K$20,9)/30))</f>
        <v>38.238664800331321</v>
      </c>
      <c r="AH42" s="172">
        <f ca="1">(VLOOKUP(AH$41,INDIRECT($C$5&amp;"生成成长"),2))/((VLOOKUP($Q42,INDIRECT($B$5&amp;"生成成长"),4))/(VLOOKUP(AH$41,INDIRECT($C$5&amp;"生成成长"),5))*(VLOOKUP($B$5,标准坦克设计!$B$24:$U$30,MATCH("对"&amp;LEFT($C$5,2)&amp;"输出",标准坦克设计!$B$23:$U$23,0)))*(VLOOKUP($Q42,INDIRECT($B$5&amp;"生成成长"),3))*(VLOOKUP($B$5,标准坦克设计!$B$14:$K$20,9)/30))</f>
        <v>66.530941303052629</v>
      </c>
      <c r="AI42" s="172">
        <f ca="1">(VLOOKUP(AI$41,INDIRECT($C$5&amp;"生成成长"),2))/((VLOOKUP($Q42,INDIRECT($B$5&amp;"生成成长"),4))/(VLOOKUP(AI$41,INDIRECT($C$5&amp;"生成成长"),5))*(VLOOKUP($B$5,标准坦克设计!$B$24:$U$30,MATCH("对"&amp;LEFT($C$5,2)&amp;"输出",标准坦克设计!$B$23:$U$23,0)))*(VLOOKUP($Q42,INDIRECT($B$5&amp;"生成成长"),3))*(VLOOKUP($B$5,标准坦克设计!$B$14:$K$20,9)/30))</f>
        <v>114.25556966156137</v>
      </c>
      <c r="AJ42" s="172">
        <f ca="1">(VLOOKUP(AJ$41,INDIRECT($C$5&amp;"生成成长"),2))/((VLOOKUP($Q42,INDIRECT($B$5&amp;"生成成长"),4))/(VLOOKUP(AJ$41,INDIRECT($C$5&amp;"生成成长"),5))*(VLOOKUP($B$5,标准坦克设计!$B$24:$U$30,MATCH("对"&amp;LEFT($C$5,2)&amp;"输出",标准坦克设计!$B$23:$U$23,0)))*(VLOOKUP($Q42,INDIRECT($B$5&amp;"生成成长"),3))*(VLOOKUP($B$5,标准坦克设计!$B$14:$K$20,9)/30))</f>
        <v>191.54015996356435</v>
      </c>
      <c r="AK42" s="172">
        <f ca="1">(VLOOKUP(AK$41,INDIRECT($C$5&amp;"生成成长"),2))/((VLOOKUP($Q42,INDIRECT($B$5&amp;"生成成长"),4))/(VLOOKUP(AK$41,INDIRECT($C$5&amp;"生成成长"),5))*(VLOOKUP($B$5,标准坦克设计!$B$24:$U$30,MATCH("对"&amp;LEFT($C$5,2)&amp;"输出",标准坦克设计!$B$23:$U$23,0)))*(VLOOKUP($Q42,INDIRECT($B$5&amp;"生成成长"),3))*(VLOOKUP($B$5,标准坦克设计!$B$14:$K$20,9)/30))</f>
        <v>70.429377514895947</v>
      </c>
      <c r="AL42" s="172">
        <f ca="1">(VLOOKUP(AL$41,INDIRECT($C$5&amp;"生成成长"),2))/((VLOOKUP($Q42,INDIRECT($B$5&amp;"生成成长"),4))/(VLOOKUP(AL$41,INDIRECT($C$5&amp;"生成成长"),5))*(VLOOKUP($B$5,标准坦克设计!$B$24:$U$30,MATCH("对"&amp;LEFT($C$5,2)&amp;"输出",标准坦克设计!$B$23:$U$23,0)))*(VLOOKUP($Q42,INDIRECT($B$5&amp;"生成成长"),3))*(VLOOKUP($B$5,标准坦克设计!$B$14:$K$20,9)/30))</f>
        <v>120.63735136066428</v>
      </c>
      <c r="AM42" s="172">
        <f ca="1">(VLOOKUP(AM$41,INDIRECT($C$5&amp;"生成成长"),2))/((VLOOKUP($Q42,INDIRECT($B$5&amp;"生成成长"),4))/(VLOOKUP(AM$41,INDIRECT($C$5&amp;"生成成长"),5))*(VLOOKUP($B$5,标准坦克设计!$B$24:$U$30,MATCH("对"&amp;LEFT($C$5,2)&amp;"输出",标准坦克设计!$B$23:$U$23,0)))*(VLOOKUP($Q42,INDIRECT($B$5&amp;"生成成长"),3))*(VLOOKUP($B$5,标准坦克设计!$B$14:$K$20,9)/30))</f>
        <v>201.44579503565015</v>
      </c>
    </row>
    <row r="43" spans="1:39" x14ac:dyDescent="0.15">
      <c r="P43" s="170" t="str">
        <f t="shared" si="6"/>
        <v>T2低初</v>
      </c>
      <c r="Q43" s="171">
        <v>10201</v>
      </c>
      <c r="R43" s="172">
        <f ca="1">(VLOOKUP(R$41,INDIRECT($C$5&amp;"生成成长"),2))/((VLOOKUP($Q43,INDIRECT($B$5&amp;"生成成长"),4))/(VLOOKUP(R$41,INDIRECT($C$5&amp;"生成成长"),5))*(VLOOKUP($B$5,标准坦克设计!$B$24:$U$30,MATCH("对"&amp;LEFT($C$5,2)&amp;"输出",标准坦克设计!$B$23:$U$23,0)))*(VLOOKUP($Q43,INDIRECT($B$5&amp;"生成成长"),3))*(VLOOKUP($B$5,标准坦克设计!$B$14:$K$20,9)/30))</f>
        <v>6.4387864215550801</v>
      </c>
      <c r="S43" s="172">
        <f ca="1">(VLOOKUP(S$41,INDIRECT($C$5&amp;"生成成长"),2))/((VLOOKUP($Q43,INDIRECT($B$5&amp;"生成成长"),4))/(VLOOKUP(S$41,INDIRECT($C$5&amp;"生成成长"),5))*(VLOOKUP($B$5,标准坦克设计!$B$24:$U$30,MATCH("对"&amp;LEFT($C$5,2)&amp;"输出",标准坦克设计!$B$23:$U$23,0)))*(VLOOKUP($Q43,INDIRECT($B$5&amp;"生成成长"),3))*(VLOOKUP($B$5,标准坦克设计!$B$14:$K$20,9)/30))</f>
        <v>8.6640310088445158</v>
      </c>
      <c r="T43" s="172">
        <f ca="1">(VLOOKUP(T$41,INDIRECT($C$5&amp;"生成成长"),2))/((VLOOKUP($Q43,INDIRECT($B$5&amp;"生成成长"),4))/(VLOOKUP(T$41,INDIRECT($C$5&amp;"生成成长"),5))*(VLOOKUP($B$5,标准坦克设计!$B$24:$U$30,MATCH("对"&amp;LEFT($C$5,2)&amp;"输出",标准坦克设计!$B$23:$U$23,0)))*(VLOOKUP($Q43,INDIRECT($B$5&amp;"生成成长"),3))*(VLOOKUP($B$5,标准坦克设计!$B$14:$K$20,9)/30))</f>
        <v>13.166674353437985</v>
      </c>
      <c r="U43" s="172">
        <f ca="1">(VLOOKUP(U$41,INDIRECT($C$5&amp;"生成成长"),2))/((VLOOKUP($Q43,INDIRECT($B$5&amp;"生成成长"),4))/(VLOOKUP(U$41,INDIRECT($C$5&amp;"生成成长"),5))*(VLOOKUP($B$5,标准坦克设计!$B$24:$U$30,MATCH("对"&amp;LEFT($C$5,2)&amp;"输出",标准坦克设计!$B$23:$U$23,0)))*(VLOOKUP($Q43,INDIRECT($B$5&amp;"生成成长"),3))*(VLOOKUP($B$5,标准坦克设计!$B$14:$K$20,9)/30))</f>
        <v>21.562851847145808</v>
      </c>
      <c r="V43" s="172">
        <f ca="1">(VLOOKUP(V$41,INDIRECT($C$5&amp;"生成成长"),2))/((VLOOKUP($Q43,INDIRECT($B$5&amp;"生成成长"),4))/(VLOOKUP(V$41,INDIRECT($C$5&amp;"生成成长"),5))*(VLOOKUP($B$5,标准坦克设计!$B$24:$U$30,MATCH("对"&amp;LEFT($C$5,2)&amp;"输出",标准坦克设计!$B$23:$U$23,0)))*(VLOOKUP($Q43,INDIRECT($B$5&amp;"生成成长"),3))*(VLOOKUP($B$5,标准坦克设计!$B$14:$K$20,9)/30))</f>
        <v>8.9653662133732919</v>
      </c>
      <c r="W43" s="172">
        <f ca="1">(VLOOKUP(W$41,INDIRECT($C$5&amp;"生成成长"),2))/((VLOOKUP($Q43,INDIRECT($B$5&amp;"生成成长"),4))/(VLOOKUP(W$41,INDIRECT($C$5&amp;"生成成长"),5))*(VLOOKUP($B$5,标准坦克设计!$B$24:$U$30,MATCH("对"&amp;LEFT($C$5,2)&amp;"输出",标准坦克设计!$B$23:$U$23,0)))*(VLOOKUP($Q43,INDIRECT($B$5&amp;"生成成长"),3))*(VLOOKUP($B$5,标准坦克设计!$B$14:$K$20,9)/30))</f>
        <v>13.724917136186811</v>
      </c>
      <c r="X43" s="172">
        <f ca="1">(VLOOKUP(X$41,INDIRECT($C$5&amp;"生成成长"),2))/((VLOOKUP($Q43,INDIRECT($B$5&amp;"生成成长"),4))/(VLOOKUP(X$41,INDIRECT($C$5&amp;"生成成长"),5))*(VLOOKUP($B$5,标准坦克设计!$B$24:$U$30,MATCH("对"&amp;LEFT($C$5,2)&amp;"输出",标准坦克设计!$B$23:$U$23,0)))*(VLOOKUP($Q43,INDIRECT($B$5&amp;"生成成长"),3))*(VLOOKUP($B$5,标准坦克设计!$B$14:$K$20,9)/30))</f>
        <v>22.515792237535958</v>
      </c>
      <c r="Y43" s="172">
        <f ca="1">(VLOOKUP(Y$41,INDIRECT($C$5&amp;"生成成长"),2))/((VLOOKUP($Q43,INDIRECT($B$5&amp;"生成成长"),4))/(VLOOKUP(Y$41,INDIRECT($C$5&amp;"生成成长"),5))*(VLOOKUP($B$5,标准坦克设计!$B$24:$U$30,MATCH("对"&amp;LEFT($C$5,2)&amp;"输出",标准坦克设计!$B$23:$U$23,0)))*(VLOOKUP($Q43,INDIRECT($B$5&amp;"生成成长"),3))*(VLOOKUP($B$5,标准坦克设计!$B$14:$K$20,9)/30))</f>
        <v>38.020389940640598</v>
      </c>
      <c r="Z43" s="172">
        <f ca="1">(VLOOKUP(Z$41,INDIRECT($C$5&amp;"生成成长"),2))/((VLOOKUP($Q43,INDIRECT($B$5&amp;"生成成长"),4))/(VLOOKUP(Z$41,INDIRECT($C$5&amp;"生成成长"),5))*(VLOOKUP($B$5,标准坦克设计!$B$24:$U$30,MATCH("对"&amp;LEFT($C$5,2)&amp;"输出",标准坦克设计!$B$23:$U$23,0)))*(VLOOKUP($Q43,INDIRECT($B$5&amp;"生成成长"),3))*(VLOOKUP($B$5,标准坦克设计!$B$14:$K$20,9)/30))</f>
        <v>14.294749734494435</v>
      </c>
      <c r="AA43" s="172">
        <f ca="1">(VLOOKUP(AA$41,INDIRECT($C$5&amp;"生成成长"),2))/((VLOOKUP($Q43,INDIRECT($B$5&amp;"生成成长"),4))/(VLOOKUP(AA$41,INDIRECT($C$5&amp;"生成成长"),5))*(VLOOKUP($B$5,标准坦克设计!$B$24:$U$30,MATCH("对"&amp;LEFT($C$5,2)&amp;"输出",标准坦克设计!$B$23:$U$23,0)))*(VLOOKUP($Q43,INDIRECT($B$5&amp;"生成成长"),3))*(VLOOKUP($B$5,标准坦克设计!$B$14:$K$20,9)/30))</f>
        <v>23.489336744475086</v>
      </c>
      <c r="AB43" s="172">
        <f ca="1">(VLOOKUP(AB$41,INDIRECT($C$5&amp;"生成成长"),2))/((VLOOKUP($Q43,INDIRECT($B$5&amp;"生成成长"),4))/(VLOOKUP(AB$41,INDIRECT($C$5&amp;"生成成长"),5))*(VLOOKUP($B$5,标准坦克设计!$B$24:$U$30,MATCH("对"&amp;LEFT($C$5,2)&amp;"输出",标准坦克设计!$B$23:$U$23,0)))*(VLOOKUP($Q43,INDIRECT($B$5&amp;"生成成长"),3))*(VLOOKUP($B$5,标准坦克设计!$B$14:$K$20,9)/30))</f>
        <v>39.601112007132365</v>
      </c>
      <c r="AC43" s="172">
        <f ca="1">(VLOOKUP(AC$41,INDIRECT($C$5&amp;"生成成长"),2))/((VLOOKUP($Q43,INDIRECT($B$5&amp;"生成成长"),4))/(VLOOKUP(AC$41,INDIRECT($C$5&amp;"生成成长"),5))*(VLOOKUP($B$5,标准坦克设计!$B$24:$U$30,MATCH("对"&amp;LEFT($C$5,2)&amp;"输出",标准坦克设计!$B$23:$U$23,0)))*(VLOOKUP($Q43,INDIRECT($B$5&amp;"生成成长"),3))*(VLOOKUP($B$5,标准坦克设计!$B$14:$K$20,9)/30))</f>
        <v>9.9002780017830911</v>
      </c>
      <c r="AD43" s="172">
        <f ca="1">(VLOOKUP(AD$41,INDIRECT($C$5&amp;"生成成长"),2))/((VLOOKUP($Q43,INDIRECT($B$5&amp;"生成成长"),4))/(VLOOKUP(AD$41,INDIRECT($C$5&amp;"生成成长"),5))*(VLOOKUP($B$5,标准坦克设计!$B$24:$U$30,MATCH("对"&amp;LEFT($C$5,2)&amp;"输出",标准坦克设计!$B$23:$U$23,0)))*(VLOOKUP($Q43,INDIRECT($B$5&amp;"生成成长"),3))*(VLOOKUP($B$5,标准坦克设计!$B$14:$K$20,9)/30))</f>
        <v>17.317759959414548</v>
      </c>
      <c r="AE43" s="172">
        <f ca="1">(VLOOKUP(AE$41,INDIRECT($C$5&amp;"生成成长"),2))/((VLOOKUP($Q43,INDIRECT($B$5&amp;"生成成长"),4))/(VLOOKUP(AE$41,INDIRECT($C$5&amp;"生成成长"),5))*(VLOOKUP($B$5,标准坦克设计!$B$24:$U$30,MATCH("对"&amp;LEFT($C$5,2)&amp;"输出",标准坦克设计!$B$23:$U$23,0)))*(VLOOKUP($Q43,INDIRECT($B$5&amp;"生成成长"),3))*(VLOOKUP($B$5,标准坦克设计!$B$14:$K$20,9)/30))</f>
        <v>29.763290233638358</v>
      </c>
      <c r="AF43" s="172">
        <f ca="1">(VLOOKUP(AF$41,INDIRECT($C$5&amp;"生成成长"),2))/((VLOOKUP($Q43,INDIRECT($B$5&amp;"生成成长"),4))/(VLOOKUP(AF$41,INDIRECT($C$5&amp;"生成成长"),5))*(VLOOKUP($B$5,标准坦克设计!$B$24:$U$30,MATCH("对"&amp;LEFT($C$5,2)&amp;"输出",标准坦克设计!$B$23:$U$23,0)))*(VLOOKUP($Q43,INDIRECT($B$5&amp;"生成成长"),3))*(VLOOKUP($B$5,标准坦克设计!$B$14:$K$20,9)/30))</f>
        <v>51.567596571592475</v>
      </c>
      <c r="AG43" s="172">
        <f ca="1">(VLOOKUP(AG$41,INDIRECT($C$5&amp;"生成成长"),2))/((VLOOKUP($Q43,INDIRECT($B$5&amp;"生成成长"),4))/(VLOOKUP(AG$41,INDIRECT($C$5&amp;"生成成长"),5))*(VLOOKUP($B$5,标准坦克设计!$B$24:$U$30,MATCH("对"&amp;LEFT($C$5,2)&amp;"输出",标准坦克设计!$B$23:$U$23,0)))*(VLOOKUP($Q43,INDIRECT($B$5&amp;"生成成长"),3))*(VLOOKUP($B$5,标准坦克设计!$B$14:$K$20,9)/30))</f>
        <v>28.3950481190579</v>
      </c>
      <c r="AH43" s="172">
        <f ca="1">(VLOOKUP(AH$41,INDIRECT($C$5&amp;"生成成长"),2))/((VLOOKUP($Q43,INDIRECT($B$5&amp;"生成成长"),4))/(VLOOKUP(AH$41,INDIRECT($C$5&amp;"生成成长"),5))*(VLOOKUP($B$5,标准坦克设计!$B$24:$U$30,MATCH("对"&amp;LEFT($C$5,2)&amp;"输出",标准坦克设计!$B$23:$U$23,0)))*(VLOOKUP($Q43,INDIRECT($B$5&amp;"生成成长"),3))*(VLOOKUP($B$5,标准坦克设计!$B$14:$K$20,9)/30))</f>
        <v>49.404164333949971</v>
      </c>
      <c r="AI43" s="172">
        <f ca="1">(VLOOKUP(AI$41,INDIRECT($C$5&amp;"生成成长"),2))/((VLOOKUP($Q43,INDIRECT($B$5&amp;"生成成长"),4))/(VLOOKUP(AI$41,INDIRECT($C$5&amp;"生成成长"),5))*(VLOOKUP($B$5,标准坦克设计!$B$24:$U$30,MATCH("对"&amp;LEFT($C$5,2)&amp;"输出",标准坦克设计!$B$23:$U$23,0)))*(VLOOKUP($Q43,INDIRECT($B$5&amp;"生成成长"),3))*(VLOOKUP($B$5,标准坦克设计!$B$14:$K$20,9)/30))</f>
        <v>84.843244798189147</v>
      </c>
      <c r="AJ43" s="172">
        <f ca="1">(VLOOKUP(AJ$41,INDIRECT($C$5&amp;"生成成长"),2))/((VLOOKUP($Q43,INDIRECT($B$5&amp;"生成成长"),4))/(VLOOKUP(AJ$41,INDIRECT($C$5&amp;"生成成长"),5))*(VLOOKUP($B$5,标准坦克设计!$B$24:$U$30,MATCH("对"&amp;LEFT($C$5,2)&amp;"输出",标准坦克设计!$B$23:$U$23,0)))*(VLOOKUP($Q43,INDIRECT($B$5&amp;"生成成长"),3))*(VLOOKUP($B$5,标准坦克设计!$B$14:$K$20,9)/30))</f>
        <v>142.23279205215172</v>
      </c>
      <c r="AK43" s="172">
        <f ca="1">(VLOOKUP(AK$41,INDIRECT($C$5&amp;"生成成长"),2))/((VLOOKUP($Q43,INDIRECT($B$5&amp;"生成成长"),4))/(VLOOKUP(AK$41,INDIRECT($C$5&amp;"生成成长"),5))*(VLOOKUP($B$5,标准坦克设计!$B$24:$U$30,MATCH("对"&amp;LEFT($C$5,2)&amp;"输出",标准坦克设计!$B$23:$U$23,0)))*(VLOOKUP($Q43,INDIRECT($B$5&amp;"生成成长"),3))*(VLOOKUP($B$5,标准坦克设计!$B$14:$K$20,9)/30))</f>
        <v>52.299042709081135</v>
      </c>
      <c r="AL43" s="172">
        <f ca="1">(VLOOKUP(AL$41,INDIRECT($C$5&amp;"生成成长"),2))/((VLOOKUP($Q43,INDIRECT($B$5&amp;"生成成长"),4))/(VLOOKUP(AL$41,INDIRECT($C$5&amp;"生成成长"),5))*(VLOOKUP($B$5,标准坦克设计!$B$24:$U$30,MATCH("对"&amp;LEFT($C$5,2)&amp;"输出",标准坦克设计!$B$23:$U$23,0)))*(VLOOKUP($Q43,INDIRECT($B$5&amp;"生成成长"),3))*(VLOOKUP($B$5,标准坦克设计!$B$14:$K$20,9)/30))</f>
        <v>89.582191604453683</v>
      </c>
      <c r="AM43" s="172">
        <f ca="1">(VLOOKUP(AM$41,INDIRECT($C$5&amp;"生成成长"),2))/((VLOOKUP($Q43,INDIRECT($B$5&amp;"生成成长"),4))/(VLOOKUP(AM$41,INDIRECT($C$5&amp;"生成成长"),5))*(VLOOKUP($B$5,标准坦克设计!$B$24:$U$30,MATCH("对"&amp;LEFT($C$5,2)&amp;"输出",标准坦克设计!$B$23:$U$23,0)))*(VLOOKUP($Q43,INDIRECT($B$5&amp;"生成成长"),3))*(VLOOKUP($B$5,标准坦克设计!$B$14:$K$20,9)/30))</f>
        <v>149.58846166013623</v>
      </c>
    </row>
    <row r="44" spans="1:39" x14ac:dyDescent="0.15">
      <c r="P44" s="170" t="str">
        <f t="shared" si="6"/>
        <v>T3低初</v>
      </c>
      <c r="Q44" s="171">
        <v>10301</v>
      </c>
      <c r="R44" s="172">
        <f ca="1">(VLOOKUP(R$41,INDIRECT($C$5&amp;"生成成长"),2))/((VLOOKUP($Q44,INDIRECT($B$5&amp;"生成成长"),4))/(VLOOKUP(R$41,INDIRECT($C$5&amp;"生成成长"),5))*(VLOOKUP($B$5,标准坦克设计!$B$24:$U$30,MATCH("对"&amp;LEFT($C$5,2)&amp;"输出",标准坦克设计!$B$23:$U$23,0)))*(VLOOKUP($Q44,INDIRECT($B$5&amp;"生成成长"),3))*(VLOOKUP($B$5,标准坦克设计!$B$14:$K$20,9)/30))</f>
        <v>4.2542759821192941</v>
      </c>
      <c r="S44" s="172">
        <f ca="1">(VLOOKUP(S$41,INDIRECT($C$5&amp;"生成成长"),2))/((VLOOKUP($Q44,INDIRECT($B$5&amp;"生成成长"),4))/(VLOOKUP(S$41,INDIRECT($C$5&amp;"生成成长"),5))*(VLOOKUP($B$5,标准坦克设计!$B$24:$U$30,MATCH("对"&amp;LEFT($C$5,2)&amp;"输出",标准坦克设计!$B$23:$U$23,0)))*(VLOOKUP($Q44,INDIRECT($B$5&amp;"生成成长"),3))*(VLOOKUP($B$5,标准坦克设计!$B$14:$K$20,9)/30))</f>
        <v>5.7245537615397213</v>
      </c>
      <c r="T44" s="172">
        <f ca="1">(VLOOKUP(T$41,INDIRECT($C$5&amp;"生成成长"),2))/((VLOOKUP($Q44,INDIRECT($B$5&amp;"生成成长"),4))/(VLOOKUP(T$41,INDIRECT($C$5&amp;"生成成长"),5))*(VLOOKUP($B$5,标准坦克设计!$B$24:$U$30,MATCH("对"&amp;LEFT($C$5,2)&amp;"输出",标准坦克设计!$B$23:$U$23,0)))*(VLOOKUP($Q44,INDIRECT($B$5&amp;"生成成长"),3))*(VLOOKUP($B$5,标准坦克设计!$B$14:$K$20,9)/30))</f>
        <v>8.6995689558357459</v>
      </c>
      <c r="U44" s="172">
        <f ca="1">(VLOOKUP(U$41,INDIRECT($C$5&amp;"生成成长"),2))/((VLOOKUP($Q44,INDIRECT($B$5&amp;"生成成长"),4))/(VLOOKUP(U$41,INDIRECT($C$5&amp;"生成成长"),5))*(VLOOKUP($B$5,标准坦克设计!$B$24:$U$30,MATCH("对"&amp;LEFT($C$5,2)&amp;"输出",标准坦克设计!$B$23:$U$23,0)))*(VLOOKUP($Q44,INDIRECT($B$5&amp;"生成成长"),3))*(VLOOKUP($B$5,标准坦克设计!$B$14:$K$20,9)/30))</f>
        <v>14.247144836519304</v>
      </c>
      <c r="V44" s="172">
        <f ca="1">(VLOOKUP(V$41,INDIRECT($C$5&amp;"生成成长"),2))/((VLOOKUP($Q44,INDIRECT($B$5&amp;"生成成长"),4))/(VLOOKUP(V$41,INDIRECT($C$5&amp;"生成成长"),5))*(VLOOKUP($B$5,标准坦克设计!$B$24:$U$30,MATCH("对"&amp;LEFT($C$5,2)&amp;"输出",标准坦克设计!$B$23:$U$23,0)))*(VLOOKUP($Q44,INDIRECT($B$5&amp;"生成成长"),3))*(VLOOKUP($B$5,标准坦克设计!$B$14:$K$20,9)/30))</f>
        <v>5.923653877502904</v>
      </c>
      <c r="W44" s="172">
        <f ca="1">(VLOOKUP(W$41,INDIRECT($C$5&amp;"生成成长"),2))/((VLOOKUP($Q44,INDIRECT($B$5&amp;"生成成长"),4))/(VLOOKUP(W$41,INDIRECT($C$5&amp;"生成成长"),5))*(VLOOKUP($B$5,标准坦克设计!$B$24:$U$30,MATCH("对"&amp;LEFT($C$5,2)&amp;"输出",标准坦克设计!$B$23:$U$23,0)))*(VLOOKUP($Q44,INDIRECT($B$5&amp;"生成成长"),3))*(VLOOKUP($B$5,标准坦克设计!$B$14:$K$20,9)/30))</f>
        <v>9.0684146834854875</v>
      </c>
      <c r="X44" s="172">
        <f ca="1">(VLOOKUP(X$41,INDIRECT($C$5&amp;"生成成长"),2))/((VLOOKUP($Q44,INDIRECT($B$5&amp;"生成成长"),4))/(VLOOKUP(X$41,INDIRECT($C$5&amp;"生成成长"),5))*(VLOOKUP($B$5,标准坦克设计!$B$24:$U$30,MATCH("对"&amp;LEFT($C$5,2)&amp;"输出",标准坦克设计!$B$23:$U$23,0)))*(VLOOKUP($Q44,INDIRECT($B$5&amp;"生成成长"),3))*(VLOOKUP($B$5,标准坦克设计!$B$14:$K$20,9)/30))</f>
        <v>14.876777681872959</v>
      </c>
      <c r="Y44" s="172">
        <f ca="1">(VLOOKUP(Y$41,INDIRECT($C$5&amp;"生成成长"),2))/((VLOOKUP($Q44,INDIRECT($B$5&amp;"生成成长"),4))/(VLOOKUP(Y$41,INDIRECT($C$5&amp;"生成成长"),5))*(VLOOKUP($B$5,标准坦克设计!$B$24:$U$30,MATCH("对"&amp;LEFT($C$5,2)&amp;"输出",标准坦克设计!$B$23:$U$23,0)))*(VLOOKUP($Q44,INDIRECT($B$5&amp;"生成成长"),3))*(VLOOKUP($B$5,标准坦克设计!$B$14:$K$20,9)/30))</f>
        <v>25.121074246816217</v>
      </c>
      <c r="Z44" s="172">
        <f ca="1">(VLOOKUP(Z$41,INDIRECT($C$5&amp;"生成成长"),2))/((VLOOKUP($Q44,INDIRECT($B$5&amp;"生成成长"),4))/(VLOOKUP(Z$41,INDIRECT($C$5&amp;"生成成长"),5))*(VLOOKUP($B$5,标准坦克设计!$B$24:$U$30,MATCH("对"&amp;LEFT($C$5,2)&amp;"输出",标准坦克设计!$B$23:$U$23,0)))*(VLOOKUP($Q44,INDIRECT($B$5&amp;"生成成长"),3))*(VLOOKUP($B$5,标准坦克设计!$B$14:$K$20,9)/30))</f>
        <v>9.444918107903046</v>
      </c>
      <c r="AA44" s="172">
        <f ca="1">(VLOOKUP(AA$41,INDIRECT($C$5&amp;"生成成长"),2))/((VLOOKUP($Q44,INDIRECT($B$5&amp;"生成成长"),4))/(VLOOKUP(AA$41,INDIRECT($C$5&amp;"生成成长"),5))*(VLOOKUP($B$5,标准坦克设计!$B$24:$U$30,MATCH("对"&amp;LEFT($C$5,2)&amp;"输出",标准坦克设计!$B$23:$U$23,0)))*(VLOOKUP($Q44,INDIRECT($B$5&amp;"生成成长"),3))*(VLOOKUP($B$5,标准坦克设计!$B$14:$K$20,9)/30))</f>
        <v>15.520024210369396</v>
      </c>
      <c r="AB44" s="172">
        <f ca="1">(VLOOKUP(AB$41,INDIRECT($C$5&amp;"生成成长"),2))/((VLOOKUP($Q44,INDIRECT($B$5&amp;"生成成长"),4))/(VLOOKUP(AB$41,INDIRECT($C$5&amp;"生成成长"),5))*(VLOOKUP($B$5,标准坦克设计!$B$24:$U$30,MATCH("对"&amp;LEFT($C$5,2)&amp;"输出",标准坦克设计!$B$23:$U$23,0)))*(VLOOKUP($Q44,INDIRECT($B$5&amp;"生成成长"),3))*(VLOOKUP($B$5,标准坦克设计!$B$14:$K$20,9)/30))</f>
        <v>26.165499000426507</v>
      </c>
      <c r="AC44" s="172">
        <f ca="1">(VLOOKUP(AC$41,INDIRECT($C$5&amp;"生成成长"),2))/((VLOOKUP($Q44,INDIRECT($B$5&amp;"生成成长"),4))/(VLOOKUP(AC$41,INDIRECT($C$5&amp;"生成成长"),5))*(VLOOKUP($B$5,标准坦克设计!$B$24:$U$30,MATCH("对"&amp;LEFT($C$5,2)&amp;"输出",标准坦克设计!$B$23:$U$23,0)))*(VLOOKUP($Q44,INDIRECT($B$5&amp;"生成成长"),3))*(VLOOKUP($B$5,标准坦克设计!$B$14:$K$20,9)/30))</f>
        <v>6.5413747501066268</v>
      </c>
      <c r="AD44" s="172">
        <f ca="1">(VLOOKUP(AD$41,INDIRECT($C$5&amp;"生成成长"),2))/((VLOOKUP($Q44,INDIRECT($B$5&amp;"生成成长"),4))/(VLOOKUP(AD$41,INDIRECT($C$5&amp;"生成成长"),5))*(VLOOKUP($B$5,标准坦克设计!$B$24:$U$30,MATCH("对"&amp;LEFT($C$5,2)&amp;"输出",标准坦克设计!$B$23:$U$23,0)))*(VLOOKUP($Q44,INDIRECT($B$5&amp;"生成成长"),3))*(VLOOKUP($B$5,标准坦克设计!$B$14:$K$20,9)/30))</f>
        <v>11.442300681508053</v>
      </c>
      <c r="AE44" s="172">
        <f ca="1">(VLOOKUP(AE$41,INDIRECT($C$5&amp;"生成成长"),2))/((VLOOKUP($Q44,INDIRECT($B$5&amp;"生成成长"),4))/(VLOOKUP(AE$41,INDIRECT($C$5&amp;"生成成长"),5))*(VLOOKUP($B$5,标准坦克设计!$B$24:$U$30,MATCH("对"&amp;LEFT($C$5,2)&amp;"输出",标准坦克设计!$B$23:$U$23,0)))*(VLOOKUP($Q44,INDIRECT($B$5&amp;"生成成长"),3))*(VLOOKUP($B$5,标准坦克设计!$B$14:$K$20,9)/30))</f>
        <v>19.665390727346438</v>
      </c>
      <c r="AF44" s="172">
        <f ca="1">(VLOOKUP(AF$41,INDIRECT($C$5&amp;"生成成长"),2))/((VLOOKUP($Q44,INDIRECT($B$5&amp;"生成成长"),4))/(VLOOKUP(AF$41,INDIRECT($C$5&amp;"生成成长"),5))*(VLOOKUP($B$5,标准坦克设计!$B$24:$U$30,MATCH("对"&amp;LEFT($C$5,2)&amp;"输出",标准坦克设计!$B$23:$U$23,0)))*(VLOOKUP($Q44,INDIRECT($B$5&amp;"生成成长"),3))*(VLOOKUP($B$5,标准坦克设计!$B$14:$K$20,9)/30))</f>
        <v>34.072070913195212</v>
      </c>
      <c r="AG44" s="172">
        <f ca="1">(VLOOKUP(AG$41,INDIRECT($C$5&amp;"生成成长"),2))/((VLOOKUP($Q44,INDIRECT($B$5&amp;"生成成长"),4))/(VLOOKUP(AG$41,INDIRECT($C$5&amp;"生成成长"),5))*(VLOOKUP($B$5,标准坦克设计!$B$24:$U$30,MATCH("对"&amp;LEFT($C$5,2)&amp;"输出",标准坦克设计!$B$23:$U$23,0)))*(VLOOKUP($Q44,INDIRECT($B$5&amp;"生成成长"),3))*(VLOOKUP($B$5,标准坦克设计!$B$14:$K$20,9)/30))</f>
        <v>18.761357081146084</v>
      </c>
      <c r="AH44" s="172">
        <f ca="1">(VLOOKUP(AH$41,INDIRECT($C$5&amp;"生成成长"),2))/((VLOOKUP($Q44,INDIRECT($B$5&amp;"生成成长"),4))/(VLOOKUP(AH$41,INDIRECT($C$5&amp;"生成成长"),5))*(VLOOKUP($B$5,标准坦克设计!$B$24:$U$30,MATCH("对"&amp;LEFT($C$5,2)&amp;"输出",标准坦克设计!$B$23:$U$23,0)))*(VLOOKUP($Q44,INDIRECT($B$5&amp;"生成成长"),3))*(VLOOKUP($B$5,标准坦克设计!$B$14:$K$20,9)/30))</f>
        <v>32.642634183203135</v>
      </c>
      <c r="AI44" s="172">
        <f ca="1">(VLOOKUP(AI$41,INDIRECT($C$5&amp;"生成成长"),2))/((VLOOKUP($Q44,INDIRECT($B$5&amp;"生成成长"),4))/(VLOOKUP(AI$41,INDIRECT($C$5&amp;"生成成长"),5))*(VLOOKUP($B$5,标准坦克设计!$B$24:$U$30,MATCH("对"&amp;LEFT($C$5,2)&amp;"输出",标准坦克设计!$B$23:$U$23,0)))*(VLOOKUP($Q44,INDIRECT($B$5&amp;"生成成长"),3))*(VLOOKUP($B$5,标准坦克设计!$B$14:$K$20,9)/30))</f>
        <v>56.058169188787723</v>
      </c>
      <c r="AJ44" s="172">
        <f ca="1">(VLOOKUP(AJ$41,INDIRECT($C$5&amp;"生成成长"),2))/((VLOOKUP($Q44,INDIRECT($B$5&amp;"生成成长"),4))/(VLOOKUP(AJ$41,INDIRECT($C$5&amp;"生成成长"),5))*(VLOOKUP($B$5,标准坦克设计!$B$24:$U$30,MATCH("对"&amp;LEFT($C$5,2)&amp;"输出",标准坦克设计!$B$23:$U$23,0)))*(VLOOKUP($Q44,INDIRECT($B$5&amp;"生成成长"),3))*(VLOOKUP($B$5,标准坦克设计!$B$14:$K$20,9)/30))</f>
        <v>93.976956445015205</v>
      </c>
      <c r="AK44" s="172">
        <f ca="1">(VLOOKUP(AK$41,INDIRECT($C$5&amp;"生成成长"),2))/((VLOOKUP($Q44,INDIRECT($B$5&amp;"生成成长"),4))/(VLOOKUP(AK$41,INDIRECT($C$5&amp;"生成成长"),5))*(VLOOKUP($B$5,标准坦克设计!$B$24:$U$30,MATCH("对"&amp;LEFT($C$5,2)&amp;"输出",标准坦克设计!$B$23:$U$23,0)))*(VLOOKUP($Q44,INDIRECT($B$5&amp;"生成成长"),3))*(VLOOKUP($B$5,标准坦克设计!$B$14:$K$20,9)/30))</f>
        <v>34.555356664763963</v>
      </c>
      <c r="AL44" s="172">
        <f ca="1">(VLOOKUP(AL$41,INDIRECT($C$5&amp;"生成成长"),2))/((VLOOKUP($Q44,INDIRECT($B$5&amp;"生成成长"),4))/(VLOOKUP(AL$41,INDIRECT($C$5&amp;"生成成长"),5))*(VLOOKUP($B$5,标准坦克设计!$B$24:$U$30,MATCH("对"&amp;LEFT($C$5,2)&amp;"输出",标准坦克设计!$B$23:$U$23,0)))*(VLOOKUP($Q44,INDIRECT($B$5&amp;"生成成长"),3))*(VLOOKUP($B$5,标准坦克设计!$B$14:$K$20,9)/30))</f>
        <v>59.189316311627536</v>
      </c>
      <c r="AM44" s="172">
        <f ca="1">(VLOOKUP(AM$41,INDIRECT($C$5&amp;"生成成长"),2))/((VLOOKUP($Q44,INDIRECT($B$5&amp;"生成成长"),4))/(VLOOKUP(AM$41,INDIRECT($C$5&amp;"生成成长"),5))*(VLOOKUP($B$5,标准坦克设计!$B$24:$U$30,MATCH("对"&amp;LEFT($C$5,2)&amp;"输出",标准坦克设计!$B$23:$U$23,0)))*(VLOOKUP($Q44,INDIRECT($B$5&amp;"生成成长"),3))*(VLOOKUP($B$5,标准坦克设计!$B$14:$K$20,9)/30))</f>
        <v>98.837041326988285</v>
      </c>
    </row>
    <row r="45" spans="1:39" x14ac:dyDescent="0.15">
      <c r="P45" s="170" t="str">
        <f t="shared" si="6"/>
        <v>T4低初</v>
      </c>
      <c r="Q45" s="171">
        <v>10401</v>
      </c>
      <c r="R45" s="172">
        <f ca="1">(VLOOKUP(R$41,INDIRECT($C$5&amp;"生成成长"),2))/((VLOOKUP($Q45,INDIRECT($B$5&amp;"生成成长"),4))/(VLOOKUP(R$41,INDIRECT($C$5&amp;"生成成长"),5))*(VLOOKUP($B$5,标准坦克设计!$B$24:$U$30,MATCH("对"&amp;LEFT($C$5,2)&amp;"输出",标准坦克设计!$B$23:$U$23,0)))*(VLOOKUP($Q45,INDIRECT($B$5&amp;"生成成长"),3))*(VLOOKUP($B$5,标准坦克设计!$B$14:$K$20,9)/30))</f>
        <v>2.5925979212612749</v>
      </c>
      <c r="S45" s="172">
        <f ca="1">(VLOOKUP(S$41,INDIRECT($C$5&amp;"生成成长"),2))/((VLOOKUP($Q45,INDIRECT($B$5&amp;"生成成长"),4))/(VLOOKUP(S$41,INDIRECT($C$5&amp;"生成成长"),5))*(VLOOKUP($B$5,标准坦克设计!$B$24:$U$30,MATCH("对"&amp;LEFT($C$5,2)&amp;"输出",标准坦克设计!$B$23:$U$23,0)))*(VLOOKUP($Q45,INDIRECT($B$5&amp;"生成成长"),3))*(VLOOKUP($B$5,标准坦克设计!$B$14:$K$20,9)/30))</f>
        <v>3.4885997628491716</v>
      </c>
      <c r="T45" s="172">
        <f ca="1">(VLOOKUP(T$41,INDIRECT($C$5&amp;"生成成长"),2))/((VLOOKUP($Q45,INDIRECT($B$5&amp;"生成成长"),4))/(VLOOKUP(T$41,INDIRECT($C$5&amp;"生成成长"),5))*(VLOOKUP($B$5,标准坦克设计!$B$24:$U$30,MATCH("对"&amp;LEFT($C$5,2)&amp;"输出",标准坦克设计!$B$23:$U$23,0)))*(VLOOKUP($Q45,INDIRECT($B$5&amp;"生成成长"),3))*(VLOOKUP($B$5,标准坦克设计!$B$14:$K$20,9)/30))</f>
        <v>5.3016034891871806</v>
      </c>
      <c r="U45" s="172">
        <f ca="1">(VLOOKUP(U$41,INDIRECT($C$5&amp;"生成成长"),2))/((VLOOKUP($Q45,INDIRECT($B$5&amp;"生成成长"),4))/(VLOOKUP(U$41,INDIRECT($C$5&amp;"生成成长"),5))*(VLOOKUP($B$5,标准坦克设计!$B$24:$U$30,MATCH("对"&amp;LEFT($C$5,2)&amp;"输出",标准坦克设计!$B$23:$U$23,0)))*(VLOOKUP($Q45,INDIRECT($B$5&amp;"生成成长"),3))*(VLOOKUP($B$5,标准坦克设计!$B$14:$K$20,9)/30))</f>
        <v>8.682351178511885</v>
      </c>
      <c r="V45" s="172">
        <f ca="1">(VLOOKUP(V$41,INDIRECT($C$5&amp;"生成成长"),2))/((VLOOKUP($Q45,INDIRECT($B$5&amp;"生成成长"),4))/(VLOOKUP(V$41,INDIRECT($C$5&amp;"生成成长"),5))*(VLOOKUP($B$5,标准坦克设计!$B$24:$U$30,MATCH("对"&amp;LEFT($C$5,2)&amp;"输出",标准坦克设计!$B$23:$U$23,0)))*(VLOOKUP($Q45,INDIRECT($B$5&amp;"生成成长"),3))*(VLOOKUP($B$5,标准坦克设计!$B$14:$K$20,9)/30))</f>
        <v>3.6099333455641993</v>
      </c>
      <c r="W45" s="172">
        <f ca="1">(VLOOKUP(W$41,INDIRECT($C$5&amp;"生成成长"),2))/((VLOOKUP($Q45,INDIRECT($B$5&amp;"生成成长"),4))/(VLOOKUP(W$41,INDIRECT($C$5&amp;"生成成长"),5))*(VLOOKUP($B$5,标准坦克设计!$B$24:$U$30,MATCH("对"&amp;LEFT($C$5,2)&amp;"输出",标准坦克设计!$B$23:$U$23,0)))*(VLOOKUP($Q45,INDIRECT($B$5&amp;"生成成长"),3))*(VLOOKUP($B$5,标准坦克设计!$B$14:$K$20,9)/30))</f>
        <v>5.5263817289605353</v>
      </c>
      <c r="X45" s="172">
        <f ca="1">(VLOOKUP(X$41,INDIRECT($C$5&amp;"生成成长"),2))/((VLOOKUP($Q45,INDIRECT($B$5&amp;"生成成长"),4))/(VLOOKUP(X$41,INDIRECT($C$5&amp;"生成成长"),5))*(VLOOKUP($B$5,标准坦克设计!$B$24:$U$30,MATCH("对"&amp;LEFT($C$5,2)&amp;"输出",标准坦克设计!$B$23:$U$23,0)))*(VLOOKUP($Q45,INDIRECT($B$5&amp;"生成成长"),3))*(VLOOKUP($B$5,标准坦克设计!$B$14:$K$20,9)/30))</f>
        <v>9.0660556708585531</v>
      </c>
      <c r="Y45" s="172">
        <f ca="1">(VLOOKUP(Y$41,INDIRECT($C$5&amp;"生成成长"),2))/((VLOOKUP($Q45,INDIRECT($B$5&amp;"生成成长"),4))/(VLOOKUP(Y$41,INDIRECT($C$5&amp;"生成成长"),5))*(VLOOKUP($B$5,标准坦克设计!$B$24:$U$30,MATCH("对"&amp;LEFT($C$5,2)&amp;"输出",标准坦克设计!$B$23:$U$23,0)))*(VLOOKUP($Q45,INDIRECT($B$5&amp;"生成成长"),3))*(VLOOKUP($B$5,标准坦克设计!$B$14:$K$20,9)/30))</f>
        <v>15.309031465255703</v>
      </c>
      <c r="Z45" s="172">
        <f ca="1">(VLOOKUP(Z$41,INDIRECT($C$5&amp;"生成成长"),2))/((VLOOKUP($Q45,INDIRECT($B$5&amp;"生成成长"),4))/(VLOOKUP(Z$41,INDIRECT($C$5&amp;"生成成长"),5))*(VLOOKUP($B$5,标准坦克设计!$B$24:$U$30,MATCH("对"&amp;LEFT($C$5,2)&amp;"输出",标准坦克设计!$B$23:$U$23,0)))*(VLOOKUP($Q45,INDIRECT($B$5&amp;"生成成长"),3))*(VLOOKUP($B$5,标准坦克设计!$B$14:$K$20,9)/30))</f>
        <v>5.7558266449921573</v>
      </c>
      <c r="AA45" s="172">
        <f ca="1">(VLOOKUP(AA$41,INDIRECT($C$5&amp;"生成成长"),2))/((VLOOKUP($Q45,INDIRECT($B$5&amp;"生成成长"),4))/(VLOOKUP(AA$41,INDIRECT($C$5&amp;"生成成长"),5))*(VLOOKUP($B$5,标准坦克设计!$B$24:$U$30,MATCH("对"&amp;LEFT($C$5,2)&amp;"输出",标准坦克设计!$B$23:$U$23,0)))*(VLOOKUP($Q45,INDIRECT($B$5&amp;"生成成长"),3))*(VLOOKUP($B$5,标准坦克设计!$B$14:$K$20,9)/30))</f>
        <v>9.4580564765532582</v>
      </c>
      <c r="AB45" s="172">
        <f ca="1">(VLOOKUP(AB$41,INDIRECT($C$5&amp;"生成成长"),2))/((VLOOKUP($Q45,INDIRECT($B$5&amp;"生成成长"),4))/(VLOOKUP(AB$41,INDIRECT($C$5&amp;"生成成长"),5))*(VLOOKUP($B$5,标准坦克设计!$B$24:$U$30,MATCH("对"&amp;LEFT($C$5,2)&amp;"输出",标准坦克设计!$B$23:$U$23,0)))*(VLOOKUP($Q45,INDIRECT($B$5&amp;"生成成长"),3))*(VLOOKUP($B$5,标准坦克设计!$B$14:$K$20,9)/30))</f>
        <v>15.945514254925346</v>
      </c>
      <c r="AC45" s="172">
        <f ca="1">(VLOOKUP(AC$41,INDIRECT($C$5&amp;"生成成长"),2))/((VLOOKUP($Q45,INDIRECT($B$5&amp;"生成成长"),4))/(VLOOKUP(AC$41,INDIRECT($C$5&amp;"生成成长"),5))*(VLOOKUP($B$5,标准坦克设计!$B$24:$U$30,MATCH("对"&amp;LEFT($C$5,2)&amp;"输出",标准坦克设计!$B$23:$U$23,0)))*(VLOOKUP($Q45,INDIRECT($B$5&amp;"生成成长"),3))*(VLOOKUP($B$5,标准坦克设计!$B$14:$K$20,9)/30))</f>
        <v>3.9863785637313365</v>
      </c>
      <c r="AD45" s="172">
        <f ca="1">(VLOOKUP(AD$41,INDIRECT($C$5&amp;"生成成长"),2))/((VLOOKUP($Q45,INDIRECT($B$5&amp;"生成成长"),4))/(VLOOKUP(AD$41,INDIRECT($C$5&amp;"生成成长"),5))*(VLOOKUP($B$5,标准坦克设计!$B$24:$U$30,MATCH("对"&amp;LEFT($C$5,2)&amp;"输出",标准坦克设计!$B$23:$U$23,0)))*(VLOOKUP($Q45,INDIRECT($B$5&amp;"生成成长"),3))*(VLOOKUP($B$5,标准坦克设计!$B$14:$K$20,9)/30))</f>
        <v>6.9730513690243248</v>
      </c>
      <c r="AE45" s="172">
        <f ca="1">(VLOOKUP(AE$41,INDIRECT($C$5&amp;"生成成长"),2))/((VLOOKUP($Q45,INDIRECT($B$5&amp;"生成成长"),4))/(VLOOKUP(AE$41,INDIRECT($C$5&amp;"生成成长"),5))*(VLOOKUP($B$5,标准坦克设计!$B$24:$U$30,MATCH("对"&amp;LEFT($C$5,2)&amp;"输出",标准坦克设计!$B$23:$U$23,0)))*(VLOOKUP($Q45,INDIRECT($B$5&amp;"生成成长"),3))*(VLOOKUP($B$5,标准坦克设计!$B$14:$K$20,9)/30))</f>
        <v>11.984283891030243</v>
      </c>
      <c r="AF45" s="172">
        <f ca="1">(VLOOKUP(AF$41,INDIRECT($C$5&amp;"生成成长"),2))/((VLOOKUP($Q45,INDIRECT($B$5&amp;"生成成长"),4))/(VLOOKUP(AF$41,INDIRECT($C$5&amp;"生成成长"),5))*(VLOOKUP($B$5,标准坦克设计!$B$24:$U$30,MATCH("对"&amp;LEFT($C$5,2)&amp;"输出",标准坦克设计!$B$23:$U$23,0)))*(VLOOKUP($Q45,INDIRECT($B$5&amp;"生成成长"),3))*(VLOOKUP($B$5,标准坦克设计!$B$14:$K$20,9)/30))</f>
        <v>20.763857491589427</v>
      </c>
      <c r="AG45" s="172">
        <f ca="1">(VLOOKUP(AG$41,INDIRECT($C$5&amp;"生成成长"),2))/((VLOOKUP($Q45,INDIRECT($B$5&amp;"生成成长"),4))/(VLOOKUP(AG$41,INDIRECT($C$5&amp;"生成成长"),5))*(VLOOKUP($B$5,标准坦克设计!$B$24:$U$30,MATCH("对"&amp;LEFT($C$5,2)&amp;"输出",标准坦克设计!$B$23:$U$23,0)))*(VLOOKUP($Q45,INDIRECT($B$5&amp;"生成成长"),3))*(VLOOKUP($B$5,标准坦克设计!$B$14:$K$20,9)/30))</f>
        <v>11.433356832762222</v>
      </c>
      <c r="AH45" s="172">
        <f ca="1">(VLOOKUP(AH$41,INDIRECT($C$5&amp;"生成成长"),2))/((VLOOKUP($Q45,INDIRECT($B$5&amp;"生成成长"),4))/(VLOOKUP(AH$41,INDIRECT($C$5&amp;"生成成长"),5))*(VLOOKUP($B$5,标准坦克设计!$B$24:$U$30,MATCH("对"&amp;LEFT($C$5,2)&amp;"输出",标准坦克设计!$B$23:$U$23,0)))*(VLOOKUP($Q45,INDIRECT($B$5&amp;"生成成长"),3))*(VLOOKUP($B$5,标准坦克设计!$B$14:$K$20,9)/30))</f>
        <v>19.892744590045638</v>
      </c>
      <c r="AI45" s="172">
        <f ca="1">(VLOOKUP(AI$41,INDIRECT($C$5&amp;"生成成长"),2))/((VLOOKUP($Q45,INDIRECT($B$5&amp;"生成成长"),4))/(VLOOKUP(AI$41,INDIRECT($C$5&amp;"生成成长"),5))*(VLOOKUP($B$5,标准坦克设计!$B$24:$U$30,MATCH("对"&amp;LEFT($C$5,2)&amp;"输出",标准坦克设计!$B$23:$U$23,0)))*(VLOOKUP($Q45,INDIRECT($B$5&amp;"生成成长"),3))*(VLOOKUP($B$5,标准坦克设计!$B$14:$K$20,9)/30))</f>
        <v>34.162403548667697</v>
      </c>
      <c r="AJ45" s="172">
        <f ca="1">(VLOOKUP(AJ$41,INDIRECT($C$5&amp;"生成成长"),2))/((VLOOKUP($Q45,INDIRECT($B$5&amp;"生成成长"),4))/(VLOOKUP(AJ$41,INDIRECT($C$5&amp;"生成成长"),5))*(VLOOKUP($B$5,标准坦克设计!$B$24:$U$30,MATCH("对"&amp;LEFT($C$5,2)&amp;"输出",标准坦克设计!$B$23:$U$23,0)))*(VLOOKUP($Q45,INDIRECT($B$5&amp;"生成成长"),3))*(VLOOKUP($B$5,标准坦克设计!$B$14:$K$20,9)/30))</f>
        <v>57.270488080661572</v>
      </c>
      <c r="AK45" s="172">
        <f ca="1">(VLOOKUP(AK$41,INDIRECT($C$5&amp;"生成成长"),2))/((VLOOKUP($Q45,INDIRECT($B$5&amp;"生成成长"),4))/(VLOOKUP(AK$41,INDIRECT($C$5&amp;"生成成长"),5))*(VLOOKUP($B$5,标准坦克设计!$B$24:$U$30,MATCH("对"&amp;LEFT($C$5,2)&amp;"输出",标准坦克设计!$B$23:$U$23,0)))*(VLOOKUP($Q45,INDIRECT($B$5&amp;"生成成长"),3))*(VLOOKUP($B$5,标准坦克设计!$B$14:$K$20,9)/30))</f>
        <v>21.058376615444708</v>
      </c>
      <c r="AL45" s="172">
        <f ca="1">(VLOOKUP(AL$41,INDIRECT($C$5&amp;"生成成长"),2))/((VLOOKUP($Q45,INDIRECT($B$5&amp;"生成成长"),4))/(VLOOKUP(AL$41,INDIRECT($C$5&amp;"生成成长"),5))*(VLOOKUP($B$5,标准坦克设计!$B$24:$U$30,MATCH("对"&amp;LEFT($C$5,2)&amp;"输出",标准坦克设计!$B$23:$U$23,0)))*(VLOOKUP($Q45,INDIRECT($B$5&amp;"生成成长"),3))*(VLOOKUP($B$5,标准坦克设计!$B$14:$K$20,9)/30))</f>
        <v>36.070555618715993</v>
      </c>
      <c r="AM45" s="172">
        <f ca="1">(VLOOKUP(AM$41,INDIRECT($C$5&amp;"生成成长"),2))/((VLOOKUP($Q45,INDIRECT($B$5&amp;"生成成长"),4))/(VLOOKUP(AM$41,INDIRECT($C$5&amp;"生成成长"),5))*(VLOOKUP($B$5,标准坦克设计!$B$24:$U$30,MATCH("对"&amp;LEFT($C$5,2)&amp;"输出",标准坦克设计!$B$23:$U$23,0)))*(VLOOKUP($Q45,INDIRECT($B$5&amp;"生成成长"),3))*(VLOOKUP($B$5,标准坦克设计!$B$14:$K$20,9)/30))</f>
        <v>60.232271945910455</v>
      </c>
    </row>
    <row r="46" spans="1:39" x14ac:dyDescent="0.15">
      <c r="P46" s="170" t="str">
        <f t="shared" si="6"/>
        <v>T5低初</v>
      </c>
      <c r="Q46" s="171">
        <v>10501</v>
      </c>
      <c r="R46" s="172">
        <f ca="1">(VLOOKUP(R$41,INDIRECT($C$5&amp;"生成成长"),2))/((VLOOKUP($Q46,INDIRECT($B$5&amp;"生成成长"),4))/(VLOOKUP(R$41,INDIRECT($C$5&amp;"生成成长"),5))*(VLOOKUP($B$5,标准坦克设计!$B$24:$U$30,MATCH("对"&amp;LEFT($C$5,2)&amp;"输出",标准坦克设计!$B$23:$U$23,0)))*(VLOOKUP($Q46,INDIRECT($B$5&amp;"生成成长"),3))*(VLOOKUP($B$5,标准坦克设计!$B$14:$K$20,9)/30))</f>
        <v>1.5312146655896424</v>
      </c>
      <c r="S46" s="172">
        <f ca="1">(VLOOKUP(S$41,INDIRECT($C$5&amp;"生成成长"),2))/((VLOOKUP($Q46,INDIRECT($B$5&amp;"生成成长"),4))/(VLOOKUP(S$41,INDIRECT($C$5&amp;"生成成长"),5))*(VLOOKUP($B$5,标准坦克设计!$B$24:$U$30,MATCH("对"&amp;LEFT($C$5,2)&amp;"输出",标准坦克设计!$B$23:$U$23,0)))*(VLOOKUP($Q46,INDIRECT($B$5&amp;"生成成长"),3))*(VLOOKUP($B$5,标准坦克设计!$B$14:$K$20,9)/30))</f>
        <v>2.0604024540174226</v>
      </c>
      <c r="T46" s="172">
        <f ca="1">(VLOOKUP(T$41,INDIRECT($C$5&amp;"生成成长"),2))/((VLOOKUP($Q46,INDIRECT($B$5&amp;"生成成长"),4))/(VLOOKUP(T$41,INDIRECT($C$5&amp;"生成成长"),5))*(VLOOKUP($B$5,标准坦克设计!$B$24:$U$30,MATCH("对"&amp;LEFT($C$5,2)&amp;"输出",标准坦克设计!$B$23:$U$23,0)))*(VLOOKUP($Q46,INDIRECT($B$5&amp;"生成成长"),3))*(VLOOKUP($B$5,标准坦克设计!$B$14:$K$20,9)/30))</f>
        <v>3.1311808696642598</v>
      </c>
      <c r="U46" s="172">
        <f ca="1">(VLOOKUP(U$41,INDIRECT($C$5&amp;"生成成长"),2))/((VLOOKUP($Q46,INDIRECT($B$5&amp;"生成成长"),4))/(VLOOKUP(U$41,INDIRECT($C$5&amp;"生成成长"),5))*(VLOOKUP($B$5,标准坦克设计!$B$24:$U$30,MATCH("对"&amp;LEFT($C$5,2)&amp;"输出",标准坦克设计!$B$23:$U$23,0)))*(VLOOKUP($Q46,INDIRECT($B$5&amp;"生成成长"),3))*(VLOOKUP($B$5,标准坦克设计!$B$14:$K$20,9)/30))</f>
        <v>5.1278847935931546</v>
      </c>
      <c r="V46" s="172">
        <f ca="1">(VLOOKUP(V$41,INDIRECT($C$5&amp;"生成成长"),2))/((VLOOKUP($Q46,INDIRECT($B$5&amp;"生成成长"),4))/(VLOOKUP(V$41,INDIRECT($C$5&amp;"生成成长"),5))*(VLOOKUP($B$5,标准坦克设计!$B$24:$U$30,MATCH("对"&amp;LEFT($C$5,2)&amp;"输出",标准坦克设计!$B$23:$U$23,0)))*(VLOOKUP($Q46,INDIRECT($B$5&amp;"生成成长"),3))*(VLOOKUP($B$5,标准坦克设计!$B$14:$K$20,9)/30))</f>
        <v>2.132063300367018</v>
      </c>
      <c r="W46" s="172">
        <f ca="1">(VLOOKUP(W$41,INDIRECT($C$5&amp;"生成成长"),2))/((VLOOKUP($Q46,INDIRECT($B$5&amp;"生成成长"),4))/(VLOOKUP(W$41,INDIRECT($C$5&amp;"生成成长"),5))*(VLOOKUP($B$5,标准坦克设计!$B$24:$U$30,MATCH("对"&amp;LEFT($C$5,2)&amp;"输出",标准坦克设计!$B$23:$U$23,0)))*(VLOOKUP($Q46,INDIRECT($B$5&amp;"生成成长"),3))*(VLOOKUP($B$5,标准坦克设计!$B$14:$K$20,9)/30))</f>
        <v>3.2639371811708817</v>
      </c>
      <c r="X46" s="172">
        <f ca="1">(VLOOKUP(X$41,INDIRECT($C$5&amp;"生成成长"),2))/((VLOOKUP($Q46,INDIRECT($B$5&amp;"生成成长"),4))/(VLOOKUP(X$41,INDIRECT($C$5&amp;"生成成长"),5))*(VLOOKUP($B$5,标准坦克设计!$B$24:$U$30,MATCH("对"&amp;LEFT($C$5,2)&amp;"输出",标准坦克设计!$B$23:$U$23,0)))*(VLOOKUP($Q46,INDIRECT($B$5&amp;"生成成长"),3))*(VLOOKUP($B$5,标准坦克设计!$B$14:$K$20,9)/30))</f>
        <v>5.354504564100421</v>
      </c>
      <c r="Y46" s="172">
        <f ca="1">(VLOOKUP(Y$41,INDIRECT($C$5&amp;"生成成长"),2))/((VLOOKUP($Q46,INDIRECT($B$5&amp;"生成成长"),4))/(VLOOKUP(Y$41,INDIRECT($C$5&amp;"生成成长"),5))*(VLOOKUP($B$5,标准坦克设计!$B$24:$U$30,MATCH("对"&amp;LEFT($C$5,2)&amp;"输出",标准坦克设计!$B$23:$U$23,0)))*(VLOOKUP($Q46,INDIRECT($B$5&amp;"生成成长"),3))*(VLOOKUP($B$5,标准坦克设计!$B$14:$K$20,9)/30))</f>
        <v>9.04166947884028</v>
      </c>
      <c r="Z46" s="172">
        <f ca="1">(VLOOKUP(Z$41,INDIRECT($C$5&amp;"生成成长"),2))/((VLOOKUP($Q46,INDIRECT($B$5&amp;"生成成长"),4))/(VLOOKUP(Z$41,INDIRECT($C$5&amp;"生成成长"),5))*(VLOOKUP($B$5,标准坦克设计!$B$24:$U$30,MATCH("对"&amp;LEFT($C$5,2)&amp;"输出",标准坦克设计!$B$23:$U$23,0)))*(VLOOKUP($Q46,INDIRECT($B$5&amp;"生成成长"),3))*(VLOOKUP($B$5,标准坦克设计!$B$14:$K$20,9)/30))</f>
        <v>3.3994496790755648</v>
      </c>
      <c r="AA46" s="172">
        <f ca="1">(VLOOKUP(AA$41,INDIRECT($C$5&amp;"生成成长"),2))/((VLOOKUP($Q46,INDIRECT($B$5&amp;"生成成长"),4))/(VLOOKUP(AA$41,INDIRECT($C$5&amp;"生成成长"),5))*(VLOOKUP($B$5,标准坦克设计!$B$24:$U$30,MATCH("对"&amp;LEFT($C$5,2)&amp;"输出",标准坦克设计!$B$23:$U$23,0)))*(VLOOKUP($Q46,INDIRECT($B$5&amp;"生成成长"),3))*(VLOOKUP($B$5,标准坦克设计!$B$14:$K$20,9)/30))</f>
        <v>5.5860242215375742</v>
      </c>
      <c r="AB46" s="172">
        <f ca="1">(VLOOKUP(AB$41,INDIRECT($C$5&amp;"生成成长"),2))/((VLOOKUP($Q46,INDIRECT($B$5&amp;"生成成长"),4))/(VLOOKUP(AB$41,INDIRECT($C$5&amp;"生成成长"),5))*(VLOOKUP($B$5,标准坦克设计!$B$24:$U$30,MATCH("对"&amp;LEFT($C$5,2)&amp;"输出",标准坦克设计!$B$23:$U$23,0)))*(VLOOKUP($Q46,INDIRECT($B$5&amp;"生成成长"),3))*(VLOOKUP($B$5,标准坦克设计!$B$14:$K$20,9)/30))</f>
        <v>9.4175826792425354</v>
      </c>
      <c r="AC46" s="172">
        <f ca="1">(VLOOKUP(AC$41,INDIRECT($C$5&amp;"生成成长"),2))/((VLOOKUP($Q46,INDIRECT($B$5&amp;"生成成长"),4))/(VLOOKUP(AC$41,INDIRECT($C$5&amp;"生成成长"),5))*(VLOOKUP($B$5,标准坦克设计!$B$24:$U$30,MATCH("对"&amp;LEFT($C$5,2)&amp;"输出",标准坦克设计!$B$23:$U$23,0)))*(VLOOKUP($Q46,INDIRECT($B$5&amp;"生成成长"),3))*(VLOOKUP($B$5,标准坦克设计!$B$14:$K$20,9)/30))</f>
        <v>2.3543956698106339</v>
      </c>
      <c r="AD46" s="172">
        <f ca="1">(VLOOKUP(AD$41,INDIRECT($C$5&amp;"生成成长"),2))/((VLOOKUP($Q46,INDIRECT($B$5&amp;"生成成长"),4))/(VLOOKUP(AD$41,INDIRECT($C$5&amp;"生成成长"),5))*(VLOOKUP($B$5,标准坦克设计!$B$24:$U$30,MATCH("对"&amp;LEFT($C$5,2)&amp;"输出",标准坦克设计!$B$23:$U$23,0)))*(VLOOKUP($Q46,INDIRECT($B$5&amp;"生成成长"),3))*(VLOOKUP($B$5,标准坦克设计!$B$14:$K$20,9)/30))</f>
        <v>4.1183549645699031</v>
      </c>
      <c r="AE46" s="172">
        <f ca="1">(VLOOKUP(AE$41,INDIRECT($C$5&amp;"生成成长"),2))/((VLOOKUP($Q46,INDIRECT($B$5&amp;"生成成长"),4))/(VLOOKUP(AE$41,INDIRECT($C$5&amp;"生成成长"),5))*(VLOOKUP($B$5,标准坦克设计!$B$24:$U$30,MATCH("对"&amp;LEFT($C$5,2)&amp;"输出",标准坦克设计!$B$23:$U$23,0)))*(VLOOKUP($Q46,INDIRECT($B$5&amp;"生成成长"),3))*(VLOOKUP($B$5,标准坦克设计!$B$14:$K$20,9)/30))</f>
        <v>7.0780397916881217</v>
      </c>
      <c r="AF46" s="172">
        <f ca="1">(VLOOKUP(AF$41,INDIRECT($C$5&amp;"生成成长"),2))/((VLOOKUP($Q46,INDIRECT($B$5&amp;"生成成长"),4))/(VLOOKUP(AF$41,INDIRECT($C$5&amp;"生成成长"),5))*(VLOOKUP($B$5,标准坦克设计!$B$24:$U$30,MATCH("对"&amp;LEFT($C$5,2)&amp;"输出",标准坦克设计!$B$23:$U$23,0)))*(VLOOKUP($Q46,INDIRECT($B$5&amp;"生成成长"),3))*(VLOOKUP($B$5,标准坦克设计!$B$14:$K$20,9)/30))</f>
        <v>12.263345135240888</v>
      </c>
      <c r="AG46" s="172">
        <f ca="1">(VLOOKUP(AG$41,INDIRECT($C$5&amp;"生成成长"),2))/((VLOOKUP($Q46,INDIRECT($B$5&amp;"生成成长"),4))/(VLOOKUP(AG$41,INDIRECT($C$5&amp;"生成成长"),5))*(VLOOKUP($B$5,标准坦克设计!$B$24:$U$30,MATCH("对"&amp;LEFT($C$5,2)&amp;"输出",标准坦克设计!$B$23:$U$23,0)))*(VLOOKUP($Q46,INDIRECT($B$5&amp;"生成成长"),3))*(VLOOKUP($B$5,标准坦克设计!$B$14:$K$20,9)/30))</f>
        <v>6.7526566752503223</v>
      </c>
      <c r="AH46" s="172">
        <f ca="1">(VLOOKUP(AH$41,INDIRECT($C$5&amp;"生成成长"),2))/((VLOOKUP($Q46,INDIRECT($B$5&amp;"生成成长"),4))/(VLOOKUP(AH$41,INDIRECT($C$5&amp;"生成成长"),5))*(VLOOKUP($B$5,标准坦克设计!$B$24:$U$30,MATCH("对"&amp;LEFT($C$5,2)&amp;"输出",标准坦克设计!$B$23:$U$23,0)))*(VLOOKUP($Q46,INDIRECT($B$5&amp;"生成成长"),3))*(VLOOKUP($B$5,标准坦克设计!$B$14:$K$20,9)/30))</f>
        <v>11.748857007602769</v>
      </c>
      <c r="AI46" s="172">
        <f ca="1">(VLOOKUP(AI$41,INDIRECT($C$5&amp;"生成成长"),2))/((VLOOKUP($Q46,INDIRECT($B$5&amp;"生成成长"),4))/(VLOOKUP(AI$41,INDIRECT($C$5&amp;"生成成长"),5))*(VLOOKUP($B$5,标准坦克设计!$B$24:$U$30,MATCH("对"&amp;LEFT($C$5,2)&amp;"输出",标准坦克设计!$B$23:$U$23,0)))*(VLOOKUP($Q46,INDIRECT($B$5&amp;"生成成长"),3))*(VLOOKUP($B$5,标准坦克设计!$B$14:$K$20,9)/30))</f>
        <v>20.176662527008158</v>
      </c>
      <c r="AJ46" s="172">
        <f ca="1">(VLOOKUP(AJ$41,INDIRECT($C$5&amp;"生成成长"),2))/((VLOOKUP($Q46,INDIRECT($B$5&amp;"生成成长"),4))/(VLOOKUP(AJ$41,INDIRECT($C$5&amp;"生成成长"),5))*(VLOOKUP($B$5,标准坦克设计!$B$24:$U$30,MATCH("对"&amp;LEFT($C$5,2)&amp;"输出",标准坦克设计!$B$23:$U$23,0)))*(VLOOKUP($Q46,INDIRECT($B$5&amp;"生成成长"),3))*(VLOOKUP($B$5,标准坦克设计!$B$14:$K$20,9)/30))</f>
        <v>33.824531962875206</v>
      </c>
      <c r="AK46" s="172">
        <f ca="1">(VLOOKUP(AK$41,INDIRECT($C$5&amp;"生成成长"),2))/((VLOOKUP($Q46,INDIRECT($B$5&amp;"生成成长"),4))/(VLOOKUP(AK$41,INDIRECT($C$5&amp;"生成成长"),5))*(VLOOKUP($B$5,标准坦克设计!$B$24:$U$30,MATCH("对"&amp;LEFT($C$5,2)&amp;"输出",标准坦克设计!$B$23:$U$23,0)))*(VLOOKUP($Q46,INDIRECT($B$5&amp;"生成成长"),3))*(VLOOKUP($B$5,标准坦克设计!$B$14:$K$20,9)/30))</f>
        <v>12.437291121251869</v>
      </c>
      <c r="AL46" s="172">
        <f ca="1">(VLOOKUP(AL$41,INDIRECT($C$5&amp;"生成成长"),2))/((VLOOKUP($Q46,INDIRECT($B$5&amp;"生成成长"),4))/(VLOOKUP(AL$41,INDIRECT($C$5&amp;"生成成长"),5))*(VLOOKUP($B$5,标准坦克设计!$B$24:$U$30,MATCH("对"&amp;LEFT($C$5,2)&amp;"输出",标准坦克设计!$B$23:$U$23,0)))*(VLOOKUP($Q46,INDIRECT($B$5&amp;"生成成长"),3))*(VLOOKUP($B$5,标准坦克设计!$B$14:$K$20,9)/30))</f>
        <v>21.303636520882137</v>
      </c>
      <c r="AM46" s="172">
        <f ca="1">(VLOOKUP(AM$41,INDIRECT($C$5&amp;"生成成长"),2))/((VLOOKUP($Q46,INDIRECT($B$5&amp;"生成成长"),4))/(VLOOKUP(AM$41,INDIRECT($C$5&amp;"生成成长"),5))*(VLOOKUP($B$5,标准坦克设计!$B$24:$U$30,MATCH("对"&amp;LEFT($C$5,2)&amp;"输出",标准坦克设计!$B$23:$U$23,0)))*(VLOOKUP($Q46,INDIRECT($B$5&amp;"生成成长"),3))*(VLOOKUP($B$5,标准坦克设计!$B$14:$K$20,9)/30))</f>
        <v>35.573791596844806</v>
      </c>
    </row>
    <row r="47" spans="1:39" x14ac:dyDescent="0.15">
      <c r="P47" s="170" t="str">
        <f t="shared" si="6"/>
        <v>T2中初</v>
      </c>
      <c r="Q47" s="171">
        <v>20201</v>
      </c>
      <c r="R47" s="172">
        <f ca="1">(VLOOKUP(R$41,INDIRECT($C$5&amp;"生成成长"),2))/((VLOOKUP($Q47,INDIRECT($B$5&amp;"生成成长"),4))/(VLOOKUP(R$41,INDIRECT($C$5&amp;"生成成长"),5))*(VLOOKUP($B$5,标准坦克设计!$B$24:$U$30,MATCH("对"&amp;LEFT($C$5,2)&amp;"输出",标准坦克设计!$B$23:$U$23,0)))*(VLOOKUP($Q47,INDIRECT($B$5&amp;"生成成长"),3))*(VLOOKUP($B$5,标准坦克设计!$B$14:$K$20,9)/30))</f>
        <v>6.2067485366907471</v>
      </c>
      <c r="S47" s="172">
        <f ca="1">(VLOOKUP(S$41,INDIRECT($C$5&amp;"生成成长"),2))/((VLOOKUP($Q47,INDIRECT($B$5&amp;"生成成长"),4))/(VLOOKUP(S$41,INDIRECT($C$5&amp;"生成成长"),5))*(VLOOKUP($B$5,标准坦克设计!$B$24:$U$30,MATCH("对"&amp;LEFT($C$5,2)&amp;"输出",标准坦克设计!$B$23:$U$23,0)))*(VLOOKUP($Q47,INDIRECT($B$5&amp;"生成成长"),3))*(VLOOKUP($B$5,标准坦克设计!$B$14:$K$20,9)/30))</f>
        <v>8.3518008309710687</v>
      </c>
      <c r="T47" s="172">
        <f ca="1">(VLOOKUP(T$41,INDIRECT($C$5&amp;"生成成长"),2))/((VLOOKUP($Q47,INDIRECT($B$5&amp;"生成成长"),4))/(VLOOKUP(T$41,INDIRECT($C$5&amp;"生成成长"),5))*(VLOOKUP($B$5,标准坦克设计!$B$24:$U$30,MATCH("对"&amp;LEFT($C$5,2)&amp;"输出",标准坦克设计!$B$23:$U$23,0)))*(VLOOKUP($Q47,INDIRECT($B$5&amp;"生成成长"),3))*(VLOOKUP($B$5,标准坦克设计!$B$14:$K$20,9)/30))</f>
        <v>12.692180082678906</v>
      </c>
      <c r="U47" s="172">
        <f ca="1">(VLOOKUP(U$41,INDIRECT($C$5&amp;"生成成长"),2))/((VLOOKUP($Q47,INDIRECT($B$5&amp;"生成成长"),4))/(VLOOKUP(U$41,INDIRECT($C$5&amp;"生成成长"),5))*(VLOOKUP($B$5,标准坦克设计!$B$24:$U$30,MATCH("对"&amp;LEFT($C$5,2)&amp;"输出",标准坦克设计!$B$23:$U$23,0)))*(VLOOKUP($Q47,INDIRECT($B$5&amp;"生成成长"),3))*(VLOOKUP($B$5,标准坦克设计!$B$14:$K$20,9)/30))</f>
        <v>20.785780174523634</v>
      </c>
      <c r="V47" s="172">
        <f ca="1">(VLOOKUP(V$41,INDIRECT($C$5&amp;"生成成长"),2))/((VLOOKUP($Q47,INDIRECT($B$5&amp;"生成成长"),4))/(VLOOKUP(V$41,INDIRECT($C$5&amp;"生成成长"),5))*(VLOOKUP($B$5,标准坦克设计!$B$24:$U$30,MATCH("对"&amp;LEFT($C$5,2)&amp;"输出",标准坦克设计!$B$23:$U$23,0)))*(VLOOKUP($Q47,INDIRECT($B$5&amp;"生成成长"),3))*(VLOOKUP($B$5,标准坦克设计!$B$14:$K$20,9)/30))</f>
        <v>8.642276662488193</v>
      </c>
      <c r="W47" s="172">
        <f ca="1">(VLOOKUP(W$41,INDIRECT($C$5&amp;"生成成长"),2))/((VLOOKUP($Q47,INDIRECT($B$5&amp;"生成成长"),4))/(VLOOKUP(W$41,INDIRECT($C$5&amp;"生成成长"),5))*(VLOOKUP($B$5,标准坦克设计!$B$24:$U$30,MATCH("对"&amp;LEFT($C$5,2)&amp;"输出",标准坦克设计!$B$23:$U$23,0)))*(VLOOKUP($Q47,INDIRECT($B$5&amp;"生成成长"),3))*(VLOOKUP($B$5,标准坦克设计!$B$14:$K$20,9)/30))</f>
        <v>13.230305180809994</v>
      </c>
      <c r="X47" s="172">
        <f ca="1">(VLOOKUP(X$41,INDIRECT($C$5&amp;"生成成长"),2))/((VLOOKUP($Q47,INDIRECT($B$5&amp;"生成成长"),4))/(VLOOKUP(X$41,INDIRECT($C$5&amp;"生成成长"),5))*(VLOOKUP($B$5,标准坦克设计!$B$24:$U$30,MATCH("对"&amp;LEFT($C$5,2)&amp;"输出",标准坦克设计!$B$23:$U$23,0)))*(VLOOKUP($Q47,INDIRECT($B$5&amp;"生成成长"),3))*(VLOOKUP($B$5,标准坦克设计!$B$14:$K$20,9)/30))</f>
        <v>21.704378957953868</v>
      </c>
      <c r="Y47" s="172">
        <f ca="1">(VLOOKUP(Y$41,INDIRECT($C$5&amp;"生成成长"),2))/((VLOOKUP($Q47,INDIRECT($B$5&amp;"生成成长"),4))/(VLOOKUP(Y$41,INDIRECT($C$5&amp;"生成成长"),5))*(VLOOKUP($B$5,标准坦克设计!$B$24:$U$30,MATCH("对"&amp;LEFT($C$5,2)&amp;"输出",标准坦克设计!$B$23:$U$23,0)))*(VLOOKUP($Q47,INDIRECT($B$5&amp;"生成成长"),3))*(VLOOKUP($B$5,标准坦克设计!$B$14:$K$20,9)/30))</f>
        <v>36.650229434305182</v>
      </c>
      <c r="Z47" s="172">
        <f ca="1">(VLOOKUP(Z$41,INDIRECT($C$5&amp;"生成成长"),2))/((VLOOKUP($Q47,INDIRECT($B$5&amp;"生成成长"),4))/(VLOOKUP(Z$41,INDIRECT($C$5&amp;"生成成长"),5))*(VLOOKUP($B$5,标准坦克设计!$B$24:$U$30,MATCH("对"&amp;LEFT($C$5,2)&amp;"输出",标准坦克设计!$B$23:$U$23,0)))*(VLOOKUP($Q47,INDIRECT($B$5&amp;"生成成长"),3))*(VLOOKUP($B$5,标准坦克设计!$B$14:$K$20,9)/30))</f>
        <v>13.779602426307125</v>
      </c>
      <c r="AA47" s="172">
        <f ca="1">(VLOOKUP(AA$41,INDIRECT($C$5&amp;"生成成长"),2))/((VLOOKUP($Q47,INDIRECT($B$5&amp;"生成成长"),4))/(VLOOKUP(AA$41,INDIRECT($C$5&amp;"生成成长"),5))*(VLOOKUP($B$5,标准坦克设计!$B$24:$U$30,MATCH("对"&amp;LEFT($C$5,2)&amp;"输出",标准坦克设计!$B$23:$U$23,0)))*(VLOOKUP($Q47,INDIRECT($B$5&amp;"生成成长"),3))*(VLOOKUP($B$5,标准坦克设计!$B$14:$K$20,9)/30))</f>
        <v>22.64283933670151</v>
      </c>
      <c r="AB47" s="172">
        <f ca="1">(VLOOKUP(AB$41,INDIRECT($C$5&amp;"生成成长"),2))/((VLOOKUP($Q47,INDIRECT($B$5&amp;"生成成长"),4))/(VLOOKUP(AB$41,INDIRECT($C$5&amp;"生成成长"),5))*(VLOOKUP($B$5,标准坦克设计!$B$24:$U$30,MATCH("对"&amp;LEFT($C$5,2)&amp;"输出",标准坦克设计!$B$23:$U$23,0)))*(VLOOKUP($Q47,INDIRECT($B$5&amp;"生成成长"),3))*(VLOOKUP($B$5,标准坦克设计!$B$14:$K$20,9)/30))</f>
        <v>38.173986200062764</v>
      </c>
      <c r="AC47" s="172">
        <f ca="1">(VLOOKUP(AC$41,INDIRECT($C$5&amp;"生成成长"),2))/((VLOOKUP($Q47,INDIRECT($B$5&amp;"生成成长"),4))/(VLOOKUP(AC$41,INDIRECT($C$5&amp;"生成成长"),5))*(VLOOKUP($B$5,标准坦克设计!$B$24:$U$30,MATCH("对"&amp;LEFT($C$5,2)&amp;"输出",标准坦克设计!$B$23:$U$23,0)))*(VLOOKUP($Q47,INDIRECT($B$5&amp;"生成成长"),3))*(VLOOKUP($B$5,标准坦克设计!$B$14:$K$20,9)/30))</f>
        <v>9.543496550015691</v>
      </c>
      <c r="AD47" s="172">
        <f ca="1">(VLOOKUP(AD$41,INDIRECT($C$5&amp;"生成成长"),2))/((VLOOKUP($Q47,INDIRECT($B$5&amp;"生成成长"),4))/(VLOOKUP(AD$41,INDIRECT($C$5&amp;"生成成长"),5))*(VLOOKUP($B$5,标准坦克设计!$B$24:$U$30,MATCH("对"&amp;LEFT($C$5,2)&amp;"输出",标准坦克设计!$B$23:$U$23,0)))*(VLOOKUP($Q47,INDIRECT($B$5&amp;"生成成长"),3))*(VLOOKUP($B$5,标准坦克设计!$B$14:$K$20,9)/30))</f>
        <v>16.69367086428343</v>
      </c>
      <c r="AE47" s="172">
        <f ca="1">(VLOOKUP(AE$41,INDIRECT($C$5&amp;"生成成长"),2))/((VLOOKUP($Q47,INDIRECT($B$5&amp;"生成成长"),4))/(VLOOKUP(AE$41,INDIRECT($C$5&amp;"生成成长"),5))*(VLOOKUP($B$5,标准坦克设计!$B$24:$U$30,MATCH("对"&amp;LEFT($C$5,2)&amp;"输出",标准坦克设计!$B$23:$U$23,0)))*(VLOOKUP($Q47,INDIRECT($B$5&amp;"生成成长"),3))*(VLOOKUP($B$5,标准坦克设计!$B$14:$K$20,9)/30))</f>
        <v>28.690695110852971</v>
      </c>
      <c r="AF47" s="172">
        <f ca="1">(VLOOKUP(AF$41,INDIRECT($C$5&amp;"生成成长"),2))/((VLOOKUP($Q47,INDIRECT($B$5&amp;"生成成长"),4))/(VLOOKUP(AF$41,INDIRECT($C$5&amp;"生成成长"),5))*(VLOOKUP($B$5,标准坦克设计!$B$24:$U$30,MATCH("对"&amp;LEFT($C$5,2)&amp;"输出",标准坦克设计!$B$23:$U$23,0)))*(VLOOKUP($Q47,INDIRECT($B$5&amp;"生成成长"),3))*(VLOOKUP($B$5,标准坦克设计!$B$14:$K$20,9)/30))</f>
        <v>49.709228355502511</v>
      </c>
      <c r="AG47" s="172">
        <f ca="1">(VLOOKUP(AG$41,INDIRECT($C$5&amp;"生成成长"),2))/((VLOOKUP($Q47,INDIRECT($B$5&amp;"生成成长"),4))/(VLOOKUP(AG$41,INDIRECT($C$5&amp;"生成成长"),5))*(VLOOKUP($B$5,标准坦克设计!$B$24:$U$30,MATCH("对"&amp;LEFT($C$5,2)&amp;"输出",标准坦克设计!$B$23:$U$23,0)))*(VLOOKUP($Q47,INDIRECT($B$5&amp;"生成成长"),3))*(VLOOKUP($B$5,标准坦克设计!$B$14:$K$20,9)/30))</f>
        <v>27.371761046806188</v>
      </c>
      <c r="AH47" s="172">
        <f ca="1">(VLOOKUP(AH$41,INDIRECT($C$5&amp;"生成成长"),2))/((VLOOKUP($Q47,INDIRECT($B$5&amp;"生成成长"),4))/(VLOOKUP(AH$41,INDIRECT($C$5&amp;"生成成长"),5))*(VLOOKUP($B$5,标准坦克设计!$B$24:$U$30,MATCH("对"&amp;LEFT($C$5,2)&amp;"输出",标准坦克设计!$B$23:$U$23,0)))*(VLOOKUP($Q47,INDIRECT($B$5&amp;"生成成长"),3))*(VLOOKUP($B$5,标准坦克设计!$B$14:$K$20,9)/30))</f>
        <v>47.623760847174424</v>
      </c>
      <c r="AI47" s="172">
        <f ca="1">(VLOOKUP(AI$41,INDIRECT($C$5&amp;"生成成长"),2))/((VLOOKUP($Q47,INDIRECT($B$5&amp;"生成成长"),4))/(VLOOKUP(AI$41,INDIRECT($C$5&amp;"生成成长"),5))*(VLOOKUP($B$5,标准坦克设计!$B$24:$U$30,MATCH("对"&amp;LEFT($C$5,2)&amp;"输出",标准坦克设计!$B$23:$U$23,0)))*(VLOOKUP($Q47,INDIRECT($B$5&amp;"生成成长"),3))*(VLOOKUP($B$5,标准坦克设计!$B$14:$K$20,9)/30))</f>
        <v>81.785704793120289</v>
      </c>
      <c r="AJ47" s="172">
        <f ca="1">(VLOOKUP(AJ$41,INDIRECT($C$5&amp;"生成成长"),2))/((VLOOKUP($Q47,INDIRECT($B$5&amp;"生成成长"),4))/(VLOOKUP(AJ$41,INDIRECT($C$5&amp;"生成成长"),5))*(VLOOKUP($B$5,标准坦克设计!$B$24:$U$30,MATCH("对"&amp;LEFT($C$5,2)&amp;"输出",标准坦克设计!$B$23:$U$23,0)))*(VLOOKUP($Q47,INDIRECT($B$5&amp;"生成成长"),3))*(VLOOKUP($B$5,标准坦克设计!$B$14:$K$20,9)/30))</f>
        <v>137.10707517549858</v>
      </c>
      <c r="AK47" s="172">
        <f ca="1">(VLOOKUP(AK$41,INDIRECT($C$5&amp;"生成成长"),2))/((VLOOKUP($Q47,INDIRECT($B$5&amp;"生成成长"),4))/(VLOOKUP(AK$41,INDIRECT($C$5&amp;"生成成长"),5))*(VLOOKUP($B$5,标准坦克设计!$B$24:$U$30,MATCH("对"&amp;LEFT($C$5,2)&amp;"输出",标准坦克设计!$B$23:$U$23,0)))*(VLOOKUP($Q47,INDIRECT($B$5&amp;"生成成长"),3))*(VLOOKUP($B$5,标准坦克设计!$B$14:$K$20,9)/30))</f>
        <v>50.414314989270579</v>
      </c>
      <c r="AL47" s="172">
        <f ca="1">(VLOOKUP(AL$41,INDIRECT($C$5&amp;"生成成长"),2))/((VLOOKUP($Q47,INDIRECT($B$5&amp;"生成成长"),4))/(VLOOKUP(AL$41,INDIRECT($C$5&amp;"生成成长"),5))*(VLOOKUP($B$5,标准坦克设计!$B$24:$U$30,MATCH("对"&amp;LEFT($C$5,2)&amp;"输出",标准坦克设计!$B$23:$U$23,0)))*(VLOOKUP($Q47,INDIRECT($B$5&amp;"生成成长"),3))*(VLOOKUP($B$5,标准坦克设计!$B$14:$K$20,9)/30))</f>
        <v>86.353871716124686</v>
      </c>
      <c r="AM47" s="172">
        <f ca="1">(VLOOKUP(AM$41,INDIRECT($C$5&amp;"生成成长"),2))/((VLOOKUP($Q47,INDIRECT($B$5&amp;"生成成长"),4))/(VLOOKUP(AM$41,INDIRECT($C$5&amp;"生成成长"),5))*(VLOOKUP($B$5,标准坦克设计!$B$24:$U$30,MATCH("对"&amp;LEFT($C$5,2)&amp;"输出",标准坦克设计!$B$23:$U$23,0)))*(VLOOKUP($Q47,INDIRECT($B$5&amp;"生成成长"),3))*(VLOOKUP($B$5,标准坦克设计!$B$14:$K$20,9)/30))</f>
        <v>144.19766470381407</v>
      </c>
    </row>
    <row r="48" spans="1:39" x14ac:dyDescent="0.15">
      <c r="P48" s="170" t="str">
        <f t="shared" si="6"/>
        <v>T3中初</v>
      </c>
      <c r="Q48" s="171">
        <v>20301</v>
      </c>
      <c r="R48" s="172">
        <f ca="1">(VLOOKUP(R$41,INDIRECT($C$5&amp;"生成成长"),2))/((VLOOKUP($Q48,INDIRECT($B$5&amp;"生成成长"),4))/(VLOOKUP(R$41,INDIRECT($C$5&amp;"生成成长"),5))*(VLOOKUP($B$5,标准坦克设计!$B$24:$U$30,MATCH("对"&amp;LEFT($C$5,2)&amp;"输出",标准坦克设计!$B$23:$U$23,0)))*(VLOOKUP($Q48,INDIRECT($B$5&amp;"生成成长"),3))*(VLOOKUP($B$5,标准坦克设计!$B$14:$K$20,9)/30))</f>
        <v>4.068429603869018</v>
      </c>
      <c r="S48" s="172">
        <f ca="1">(VLOOKUP(S$41,INDIRECT($C$5&amp;"生成成长"),2))/((VLOOKUP($Q48,INDIRECT($B$5&amp;"生成成长"),4))/(VLOOKUP(S$41,INDIRECT($C$5&amp;"生成成长"),5))*(VLOOKUP($B$5,标准坦克设计!$B$24:$U$30,MATCH("对"&amp;LEFT($C$5,2)&amp;"输出",标准坦克设计!$B$23:$U$23,0)))*(VLOOKUP($Q48,INDIRECT($B$5&amp;"生成成长"),3))*(VLOOKUP($B$5,标准坦克设计!$B$14:$K$20,9)/30))</f>
        <v>5.4744788749661506</v>
      </c>
      <c r="T48" s="172">
        <f ca="1">(VLOOKUP(T$41,INDIRECT($C$5&amp;"生成成长"),2))/((VLOOKUP($Q48,INDIRECT($B$5&amp;"生成成长"),4))/(VLOOKUP(T$41,INDIRECT($C$5&amp;"生成成长"),5))*(VLOOKUP($B$5,标准坦克设计!$B$24:$U$30,MATCH("对"&amp;LEFT($C$5,2)&amp;"输出",标准坦克设计!$B$23:$U$23,0)))*(VLOOKUP($Q48,INDIRECT($B$5&amp;"生成成长"),3))*(VLOOKUP($B$5,标准坦克设计!$B$14:$K$20,9)/30))</f>
        <v>8.3195316969517545</v>
      </c>
      <c r="U48" s="172">
        <f ca="1">(VLOOKUP(U$41,INDIRECT($C$5&amp;"生成成长"),2))/((VLOOKUP($Q48,INDIRECT($B$5&amp;"生成成长"),4))/(VLOOKUP(U$41,INDIRECT($C$5&amp;"生成成长"),5))*(VLOOKUP($B$5,标准坦克设计!$B$24:$U$30,MATCH("对"&amp;LEFT($C$5,2)&amp;"输出",标准坦克设计!$B$23:$U$23,0)))*(VLOOKUP($Q48,INDIRECT($B$5&amp;"生成成长"),3))*(VLOOKUP($B$5,标准坦克设计!$B$14:$K$20,9)/30))</f>
        <v>13.624763900396953</v>
      </c>
      <c r="V48" s="172">
        <f ca="1">(VLOOKUP(V$41,INDIRECT($C$5&amp;"生成成长"),2))/((VLOOKUP($Q48,INDIRECT($B$5&amp;"生成成长"),4))/(VLOOKUP(V$41,INDIRECT($C$5&amp;"生成成长"),5))*(VLOOKUP($B$5,标准坦克设计!$B$24:$U$30,MATCH("对"&amp;LEFT($C$5,2)&amp;"输出",标准坦克设计!$B$23:$U$23,0)))*(VLOOKUP($Q48,INDIRECT($B$5&amp;"生成成长"),3))*(VLOOKUP($B$5,标准坦克设计!$B$14:$K$20,9)/30))</f>
        <v>5.6648813804272198</v>
      </c>
      <c r="W48" s="172">
        <f ca="1">(VLOOKUP(W$41,INDIRECT($C$5&amp;"生成成长"),2))/((VLOOKUP($Q48,INDIRECT($B$5&amp;"生成成长"),4))/(VLOOKUP(W$41,INDIRECT($C$5&amp;"生成成长"),5))*(VLOOKUP($B$5,标准坦克设计!$B$24:$U$30,MATCH("对"&amp;LEFT($C$5,2)&amp;"输出",标准坦克设计!$B$23:$U$23,0)))*(VLOOKUP($Q48,INDIRECT($B$5&amp;"生成成长"),3))*(VLOOKUP($B$5,标准坦克设计!$B$14:$K$20,9)/30))</f>
        <v>8.6722645436071986</v>
      </c>
      <c r="X48" s="172">
        <f ca="1">(VLOOKUP(X$41,INDIRECT($C$5&amp;"生成成长"),2))/((VLOOKUP($Q48,INDIRECT($B$5&amp;"生成成长"),4))/(VLOOKUP(X$41,INDIRECT($C$5&amp;"生成成长"),5))*(VLOOKUP($B$5,标准坦克设计!$B$24:$U$30,MATCH("对"&amp;LEFT($C$5,2)&amp;"输出",标准坦克设计!$B$23:$U$23,0)))*(VLOOKUP($Q48,INDIRECT($B$5&amp;"生成成长"),3))*(VLOOKUP($B$5,标准坦克设计!$B$14:$K$20,9)/30))</f>
        <v>14.226891481769568</v>
      </c>
      <c r="Y48" s="172">
        <f ca="1">(VLOOKUP(Y$41,INDIRECT($C$5&amp;"生成成长"),2))/((VLOOKUP($Q48,INDIRECT($B$5&amp;"生成成长"),4))/(VLOOKUP(Y$41,INDIRECT($C$5&amp;"生成成长"),5))*(VLOOKUP($B$5,标准坦克设计!$B$24:$U$30,MATCH("对"&amp;LEFT($C$5,2)&amp;"输出",标准坦克设计!$B$23:$U$23,0)))*(VLOOKUP($Q48,INDIRECT($B$5&amp;"生成成长"),3))*(VLOOKUP($B$5,标准坦克设计!$B$14:$K$20,9)/30))</f>
        <v>24.02366996788616</v>
      </c>
      <c r="Z48" s="172">
        <f ca="1">(VLOOKUP(Z$41,INDIRECT($C$5&amp;"生成成长"),2))/((VLOOKUP($Q48,INDIRECT($B$5&amp;"生成成长"),4))/(VLOOKUP(Z$41,INDIRECT($C$5&amp;"生成成长"),5))*(VLOOKUP($B$5,标准坦克设计!$B$24:$U$30,MATCH("对"&amp;LEFT($C$5,2)&amp;"输出",标准坦克设计!$B$23:$U$23,0)))*(VLOOKUP($Q48,INDIRECT($B$5&amp;"生成成长"),3))*(VLOOKUP($B$5,标准坦克设计!$B$14:$K$20,9)/30))</f>
        <v>9.0323205635496056</v>
      </c>
      <c r="AA48" s="172">
        <f ca="1">(VLOOKUP(AA$41,INDIRECT($C$5&amp;"生成成长"),2))/((VLOOKUP($Q48,INDIRECT($B$5&amp;"生成成长"),4))/(VLOOKUP(AA$41,INDIRECT($C$5&amp;"生成成长"),5))*(VLOOKUP($B$5,标准坦克设计!$B$24:$U$30,MATCH("对"&amp;LEFT($C$5,2)&amp;"输出",标准坦克设计!$B$23:$U$23,0)))*(VLOOKUP($Q48,INDIRECT($B$5&amp;"生成成长"),3))*(VLOOKUP($B$5,标准坦克设计!$B$14:$K$20,9)/30))</f>
        <v>14.842038037874563</v>
      </c>
      <c r="AB48" s="172">
        <f ca="1">(VLOOKUP(AB$41,INDIRECT($C$5&amp;"生成成长"),2))/((VLOOKUP($Q48,INDIRECT($B$5&amp;"生成成长"),4))/(VLOOKUP(AB$41,INDIRECT($C$5&amp;"生成成长"),5))*(VLOOKUP($B$5,标准坦克设计!$B$24:$U$30,MATCH("对"&amp;LEFT($C$5,2)&amp;"输出",标准坦克设计!$B$23:$U$23,0)))*(VLOOKUP($Q48,INDIRECT($B$5&amp;"生成成长"),3))*(VLOOKUP($B$5,标准坦克设计!$B$14:$K$20,9)/30))</f>
        <v>25.022469435636001</v>
      </c>
      <c r="AC48" s="172">
        <f ca="1">(VLOOKUP(AC$41,INDIRECT($C$5&amp;"生成成长"),2))/((VLOOKUP($Q48,INDIRECT($B$5&amp;"生成成长"),4))/(VLOOKUP(AC$41,INDIRECT($C$5&amp;"生成成长"),5))*(VLOOKUP($B$5,标准坦克设计!$B$24:$U$30,MATCH("对"&amp;LEFT($C$5,2)&amp;"输出",标准坦克设计!$B$23:$U$23,0)))*(VLOOKUP($Q48,INDIRECT($B$5&amp;"生成成长"),3))*(VLOOKUP($B$5,标准坦克设计!$B$14:$K$20,9)/30))</f>
        <v>6.2556173589090003</v>
      </c>
      <c r="AD48" s="172">
        <f ca="1">(VLOOKUP(AD$41,INDIRECT($C$5&amp;"生成成长"),2))/((VLOOKUP($Q48,INDIRECT($B$5&amp;"生成成长"),4))/(VLOOKUP(AD$41,INDIRECT($C$5&amp;"生成成长"),5))*(VLOOKUP($B$5,标准坦克设计!$B$24:$U$30,MATCH("对"&amp;LEFT($C$5,2)&amp;"输出",标准坦克设计!$B$23:$U$23,0)))*(VLOOKUP($Q48,INDIRECT($B$5&amp;"生成成长"),3))*(VLOOKUP($B$5,标准坦克设计!$B$14:$K$20,9)/30))</f>
        <v>10.942448262566108</v>
      </c>
      <c r="AE48" s="172">
        <f ca="1">(VLOOKUP(AE$41,INDIRECT($C$5&amp;"生成成长"),2))/((VLOOKUP($Q48,INDIRECT($B$5&amp;"生成成长"),4))/(VLOOKUP(AE$41,INDIRECT($C$5&amp;"生成成长"),5))*(VLOOKUP($B$5,标准坦克设计!$B$24:$U$30,MATCH("对"&amp;LEFT($C$5,2)&amp;"输出",标准坦克设计!$B$23:$U$23,0)))*(VLOOKUP($Q48,INDIRECT($B$5&amp;"生成成长"),3))*(VLOOKUP($B$5,标准坦克设计!$B$14:$K$20,9)/30))</f>
        <v>18.806315843884533</v>
      </c>
      <c r="AF48" s="172">
        <f ca="1">(VLOOKUP(AF$41,INDIRECT($C$5&amp;"生成成长"),2))/((VLOOKUP($Q48,INDIRECT($B$5&amp;"生成成长"),4))/(VLOOKUP(AF$41,INDIRECT($C$5&amp;"生成成长"),5))*(VLOOKUP($B$5,标准坦克设计!$B$24:$U$30,MATCH("对"&amp;LEFT($C$5,2)&amp;"输出",标准坦克设计!$B$23:$U$23,0)))*(VLOOKUP($Q48,INDIRECT($B$5&amp;"生成成长"),3))*(VLOOKUP($B$5,标准坦克设计!$B$14:$K$20,9)/30))</f>
        <v>32.583645854426571</v>
      </c>
      <c r="AG48" s="172">
        <f ca="1">(VLOOKUP(AG$41,INDIRECT($C$5&amp;"生成成长"),2))/((VLOOKUP($Q48,INDIRECT($B$5&amp;"生成成长"),4))/(VLOOKUP(AG$41,INDIRECT($C$5&amp;"生成成长"),5))*(VLOOKUP($B$5,标准坦克设计!$B$24:$U$30,MATCH("对"&amp;LEFT($C$5,2)&amp;"输出",标准坦克设计!$B$23:$U$23,0)))*(VLOOKUP($Q48,INDIRECT($B$5&amp;"生成成长"),3))*(VLOOKUP($B$5,标准坦克设计!$B$14:$K$20,9)/30))</f>
        <v>17.941774553062366</v>
      </c>
      <c r="AH48" s="172">
        <f ca="1">(VLOOKUP(AH$41,INDIRECT($C$5&amp;"生成成长"),2))/((VLOOKUP($Q48,INDIRECT($B$5&amp;"生成成长"),4))/(VLOOKUP(AH$41,INDIRECT($C$5&amp;"生成成长"),5))*(VLOOKUP($B$5,标准坦克设计!$B$24:$U$30,MATCH("对"&amp;LEFT($C$5,2)&amp;"输出",标准坦克设计!$B$23:$U$23,0)))*(VLOOKUP($Q48,INDIRECT($B$5&amp;"生成成长"),3))*(VLOOKUP($B$5,标准坦克设计!$B$14:$K$20,9)/30))</f>
        <v>31.216653507526583</v>
      </c>
      <c r="AI48" s="172">
        <f ca="1">(VLOOKUP(AI$41,INDIRECT($C$5&amp;"生成成长"),2))/((VLOOKUP($Q48,INDIRECT($B$5&amp;"生成成长"),4))/(VLOOKUP(AI$41,INDIRECT($C$5&amp;"生成成长"),5))*(VLOOKUP($B$5,标准坦克设计!$B$24:$U$30,MATCH("对"&amp;LEFT($C$5,2)&amp;"输出",标准坦克设计!$B$23:$U$23,0)))*(VLOOKUP($Q48,INDIRECT($B$5&amp;"生成成长"),3))*(VLOOKUP($B$5,标准坦克设计!$B$14:$K$20,9)/30))</f>
        <v>53.609290047221656</v>
      </c>
      <c r="AJ48" s="172">
        <f ca="1">(VLOOKUP(AJ$41,INDIRECT($C$5&amp;"生成成长"),2))/((VLOOKUP($Q48,INDIRECT($B$5&amp;"生成成长"),4))/(VLOOKUP(AJ$41,INDIRECT($C$5&amp;"生成成长"),5))*(VLOOKUP($B$5,标准坦克设计!$B$24:$U$30,MATCH("对"&amp;LEFT($C$5,2)&amp;"输出",标准坦克设计!$B$23:$U$23,0)))*(VLOOKUP($Q48,INDIRECT($B$5&amp;"生成成长"),3))*(VLOOKUP($B$5,标准坦克设计!$B$14:$K$20,9)/30))</f>
        <v>89.871609949466588</v>
      </c>
      <c r="AK48" s="172">
        <f ca="1">(VLOOKUP(AK$41,INDIRECT($C$5&amp;"生成成长"),2))/((VLOOKUP($Q48,INDIRECT($B$5&amp;"生成成长"),4))/(VLOOKUP(AK$41,INDIRECT($C$5&amp;"生成成长"),5))*(VLOOKUP($B$5,标准坦克设计!$B$24:$U$30,MATCH("对"&amp;LEFT($C$5,2)&amp;"输出",标准坦克设计!$B$23:$U$23,0)))*(VLOOKUP($Q48,INDIRECT($B$5&amp;"生成成长"),3))*(VLOOKUP($B$5,标准坦克设计!$B$14:$K$20,9)/30))</f>
        <v>33.045819457426092</v>
      </c>
      <c r="AL48" s="172">
        <f ca="1">(VLOOKUP(AL$41,INDIRECT($C$5&amp;"生成成长"),2))/((VLOOKUP($Q48,INDIRECT($B$5&amp;"生成成长"),4))/(VLOOKUP(AL$41,INDIRECT($C$5&amp;"生成成长"),5))*(VLOOKUP($B$5,标准坦克设计!$B$24:$U$30,MATCH("对"&amp;LEFT($C$5,2)&amp;"输出",标准坦克设计!$B$23:$U$23,0)))*(VLOOKUP($Q48,INDIRECT($B$5&amp;"生成成长"),3))*(VLOOKUP($B$5,标准坦克设计!$B$14:$K$20,9)/30))</f>
        <v>56.603654235669261</v>
      </c>
      <c r="AM48" s="172">
        <f ca="1">(VLOOKUP(AM$41,INDIRECT($C$5&amp;"生成成长"),2))/((VLOOKUP($Q48,INDIRECT($B$5&amp;"生成成长"),4))/(VLOOKUP(AM$41,INDIRECT($C$5&amp;"生成成长"),5))*(VLOOKUP($B$5,标准坦克设计!$B$24:$U$30,MATCH("对"&amp;LEFT($C$5,2)&amp;"输出",标准坦克设计!$B$23:$U$23,0)))*(VLOOKUP($Q48,INDIRECT($B$5&amp;"生成成长"),3))*(VLOOKUP($B$5,标准坦克设计!$B$14:$K$20,9)/30))</f>
        <v>94.519383928926572</v>
      </c>
    </row>
    <row r="49" spans="16:39" x14ac:dyDescent="0.15">
      <c r="P49" s="170" t="str">
        <f t="shared" si="6"/>
        <v>T4中初</v>
      </c>
      <c r="Q49" s="171">
        <v>20401</v>
      </c>
      <c r="R49" s="172">
        <f ca="1">(VLOOKUP(R$41,INDIRECT($C$5&amp;"生成成长"),2))/((VLOOKUP($Q49,INDIRECT($B$5&amp;"生成成长"),4))/(VLOOKUP(R$41,INDIRECT($C$5&amp;"生成成长"),5))*(VLOOKUP($B$5,标准坦克设计!$B$24:$U$30,MATCH("对"&amp;LEFT($C$5,2)&amp;"输出",标准坦克设计!$B$23:$U$23,0)))*(VLOOKUP($Q49,INDIRECT($B$5&amp;"生成成长"),3))*(VLOOKUP($B$5,标准坦克设计!$B$14:$K$20,9)/30))</f>
        <v>2.4748801454984846</v>
      </c>
      <c r="S49" s="172">
        <f ca="1">(VLOOKUP(S$41,INDIRECT($C$5&amp;"生成成长"),2))/((VLOOKUP($Q49,INDIRECT($B$5&amp;"生成成长"),4))/(VLOOKUP(S$41,INDIRECT($C$5&amp;"生成成长"),5))*(VLOOKUP($B$5,标准坦克设计!$B$24:$U$30,MATCH("对"&amp;LEFT($C$5,2)&amp;"输出",标准坦克设计!$B$23:$U$23,0)))*(VLOOKUP($Q49,INDIRECT($B$5&amp;"生成成长"),3))*(VLOOKUP($B$5,标准坦克设计!$B$14:$K$20,9)/30))</f>
        <v>3.3301987237827615</v>
      </c>
      <c r="T49" s="172">
        <f ca="1">(VLOOKUP(T$41,INDIRECT($C$5&amp;"生成成长"),2))/((VLOOKUP($Q49,INDIRECT($B$5&amp;"生成成长"),4))/(VLOOKUP(T$41,INDIRECT($C$5&amp;"生成成长"),5))*(VLOOKUP($B$5,标准坦克设计!$B$24:$U$30,MATCH("对"&amp;LEFT($C$5,2)&amp;"输出",标准坦克设计!$B$23:$U$23,0)))*(VLOOKUP($Q49,INDIRECT($B$5&amp;"生成成长"),3))*(VLOOKUP($B$5,标准坦克设计!$B$14:$K$20,9)/30))</f>
        <v>5.0608824095298521</v>
      </c>
      <c r="U49" s="172">
        <f ca="1">(VLOOKUP(U$41,INDIRECT($C$5&amp;"生成成长"),2))/((VLOOKUP($Q49,INDIRECT($B$5&amp;"生成成长"),4))/(VLOOKUP(U$41,INDIRECT($C$5&amp;"生成成长"),5))*(VLOOKUP($B$5,标准坦克设计!$B$24:$U$30,MATCH("对"&amp;LEFT($C$5,2)&amp;"输出",标准坦克设计!$B$23:$U$23,0)))*(VLOOKUP($Q49,INDIRECT($B$5&amp;"生成成长"),3))*(VLOOKUP($B$5,标准坦克设计!$B$14:$K$20,9)/30))</f>
        <v>8.288126119259875</v>
      </c>
      <c r="V49" s="172">
        <f ca="1">(VLOOKUP(V$41,INDIRECT($C$5&amp;"生成成长"),2))/((VLOOKUP($Q49,INDIRECT($B$5&amp;"生成成长"),4))/(VLOOKUP(V$41,INDIRECT($C$5&amp;"生成成长"),5))*(VLOOKUP($B$5,标准坦克设计!$B$24:$U$30,MATCH("对"&amp;LEFT($C$5,2)&amp;"输出",标准坦克设计!$B$23:$U$23,0)))*(VLOOKUP($Q49,INDIRECT($B$5&amp;"生成成长"),3))*(VLOOKUP($B$5,标准坦克设计!$B$14:$K$20,9)/30))</f>
        <v>3.4460231145920903</v>
      </c>
      <c r="W49" s="172">
        <f ca="1">(VLOOKUP(W$41,INDIRECT($C$5&amp;"生成成长"),2))/((VLOOKUP($Q49,INDIRECT($B$5&amp;"生成成长"),4))/(VLOOKUP(W$41,INDIRECT($C$5&amp;"生成成长"),5))*(VLOOKUP($B$5,标准坦克设计!$B$24:$U$30,MATCH("对"&amp;LEFT($C$5,2)&amp;"输出",标准坦克设计!$B$23:$U$23,0)))*(VLOOKUP($Q49,INDIRECT($B$5&amp;"生成成长"),3))*(VLOOKUP($B$5,标准坦克设计!$B$14:$K$20,9)/30))</f>
        <v>5.2754545181445716</v>
      </c>
      <c r="X49" s="172">
        <f ca="1">(VLOOKUP(X$41,INDIRECT($C$5&amp;"生成成长"),2))/((VLOOKUP($Q49,INDIRECT($B$5&amp;"生成成长"),4))/(VLOOKUP(X$41,INDIRECT($C$5&amp;"生成成长"),5))*(VLOOKUP($B$5,标准坦克设计!$B$24:$U$30,MATCH("对"&amp;LEFT($C$5,2)&amp;"输出",标准坦克设计!$B$23:$U$23,0)))*(VLOOKUP($Q49,INDIRECT($B$5&amp;"生成成长"),3))*(VLOOKUP($B$5,标准坦克设计!$B$14:$K$20,9)/30))</f>
        <v>8.6544083807936527</v>
      </c>
      <c r="Y49" s="172">
        <f ca="1">(VLOOKUP(Y$41,INDIRECT($C$5&amp;"生成成长"),2))/((VLOOKUP($Q49,INDIRECT($B$5&amp;"生成成长"),4))/(VLOOKUP(Y$41,INDIRECT($C$5&amp;"生成成长"),5))*(VLOOKUP($B$5,标准坦克设计!$B$24:$U$30,MATCH("对"&amp;LEFT($C$5,2)&amp;"输出",标准坦克设计!$B$23:$U$23,0)))*(VLOOKUP($Q49,INDIRECT($B$5&amp;"生成成长"),3))*(VLOOKUP($B$5,标准坦克设计!$B$14:$K$20,9)/30))</f>
        <v>14.613919771154002</v>
      </c>
      <c r="Z49" s="172">
        <f ca="1">(VLOOKUP(Z$41,INDIRECT($C$5&amp;"生成成长"),2))/((VLOOKUP($Q49,INDIRECT($B$5&amp;"生成成长"),4))/(VLOOKUP(Z$41,INDIRECT($C$5&amp;"生成成长"),5))*(VLOOKUP($B$5,标准坦克设计!$B$24:$U$30,MATCH("对"&amp;LEFT($C$5,2)&amp;"输出",标准坦克设计!$B$23:$U$23,0)))*(VLOOKUP($Q49,INDIRECT($B$5&amp;"生成成长"),3))*(VLOOKUP($B$5,标准坦克设计!$B$14:$K$20,9)/30))</f>
        <v>5.4944814110211855</v>
      </c>
      <c r="AA49" s="172">
        <f ca="1">(VLOOKUP(AA$41,INDIRECT($C$5&amp;"生成成长"),2))/((VLOOKUP($Q49,INDIRECT($B$5&amp;"生成成长"),4))/(VLOOKUP(AA$41,INDIRECT($C$5&amp;"生成成长"),5))*(VLOOKUP($B$5,标准坦克设计!$B$24:$U$30,MATCH("对"&amp;LEFT($C$5,2)&amp;"输出",标准坦克设计!$B$23:$U$23,0)))*(VLOOKUP($Q49,INDIRECT($B$5&amp;"生成成长"),3))*(VLOOKUP($B$5,标准坦克设计!$B$14:$K$20,9)/30))</f>
        <v>9.028610258793023</v>
      </c>
      <c r="AB49" s="172">
        <f ca="1">(VLOOKUP(AB$41,INDIRECT($C$5&amp;"生成成长"),2))/((VLOOKUP($Q49,INDIRECT($B$5&amp;"生成成长"),4))/(VLOOKUP(AB$41,INDIRECT($C$5&amp;"生成成长"),5))*(VLOOKUP($B$5,标准坦克设计!$B$24:$U$30,MATCH("对"&amp;LEFT($C$5,2)&amp;"输出",标准坦克设计!$B$23:$U$23,0)))*(VLOOKUP($Q49,INDIRECT($B$5&amp;"生成成长"),3))*(VLOOKUP($B$5,标准坦克设计!$B$14:$K$20,9)/30))</f>
        <v>15.221502846873884</v>
      </c>
      <c r="AC49" s="172">
        <f ca="1">(VLOOKUP(AC$41,INDIRECT($C$5&amp;"生成成长"),2))/((VLOOKUP($Q49,INDIRECT($B$5&amp;"生成成长"),4))/(VLOOKUP(AC$41,INDIRECT($C$5&amp;"生成成长"),5))*(VLOOKUP($B$5,标准坦克设计!$B$24:$U$30,MATCH("对"&amp;LEFT($C$5,2)&amp;"输出",标准坦克设计!$B$23:$U$23,0)))*(VLOOKUP($Q49,INDIRECT($B$5&amp;"生成成长"),3))*(VLOOKUP($B$5,标准坦克设计!$B$14:$K$20,9)/30))</f>
        <v>3.805375711718471</v>
      </c>
      <c r="AD49" s="172">
        <f ca="1">(VLOOKUP(AD$41,INDIRECT($C$5&amp;"生成成长"),2))/((VLOOKUP($Q49,INDIRECT($B$5&amp;"生成成长"),4))/(VLOOKUP(AD$41,INDIRECT($C$5&amp;"生成成长"),5))*(VLOOKUP($B$5,标准坦克设计!$B$24:$U$30,MATCH("对"&amp;LEFT($C$5,2)&amp;"输出",标准坦克设计!$B$23:$U$23,0)))*(VLOOKUP($Q49,INDIRECT($B$5&amp;"生成成长"),3))*(VLOOKUP($B$5,标准坦克设计!$B$14:$K$20,9)/30))</f>
        <v>6.6564376393327258</v>
      </c>
      <c r="AE49" s="172">
        <f ca="1">(VLOOKUP(AE$41,INDIRECT($C$5&amp;"生成成长"),2))/((VLOOKUP($Q49,INDIRECT($B$5&amp;"生成成长"),4))/(VLOOKUP(AE$41,INDIRECT($C$5&amp;"生成成长"),5))*(VLOOKUP($B$5,标准坦克设计!$B$24:$U$30,MATCH("对"&amp;LEFT($C$5,2)&amp;"输出",标准坦克设计!$B$23:$U$23,0)))*(VLOOKUP($Q49,INDIRECT($B$5&amp;"生成成长"),3))*(VLOOKUP($B$5,标准坦克设计!$B$14:$K$20,9)/30))</f>
        <v>11.440133472566746</v>
      </c>
      <c r="AF49" s="172">
        <f ca="1">(VLOOKUP(AF$41,INDIRECT($C$5&amp;"生成成长"),2))/((VLOOKUP($Q49,INDIRECT($B$5&amp;"生成成长"),4))/(VLOOKUP(AF$41,INDIRECT($C$5&amp;"生成成长"),5))*(VLOOKUP($B$5,标准坦克设计!$B$24:$U$30,MATCH("对"&amp;LEFT($C$5,2)&amp;"输出",标准坦克设计!$B$23:$U$23,0)))*(VLOOKUP($Q49,INDIRECT($B$5&amp;"生成成长"),3))*(VLOOKUP($B$5,标准坦克设计!$B$14:$K$20,9)/30))</f>
        <v>19.821067597282816</v>
      </c>
      <c r="AG49" s="172">
        <f ca="1">(VLOOKUP(AG$41,INDIRECT($C$5&amp;"生成成长"),2))/((VLOOKUP($Q49,INDIRECT($B$5&amp;"生成成长"),4))/(VLOOKUP(AG$41,INDIRECT($C$5&amp;"生成成长"),5))*(VLOOKUP($B$5,标准坦克设计!$B$24:$U$30,MATCH("对"&amp;LEFT($C$5,2)&amp;"输出",标准坦克设计!$B$23:$U$23,0)))*(VLOOKUP($Q49,INDIRECT($B$5&amp;"生成成长"),3))*(VLOOKUP($B$5,标准坦克设计!$B$14:$K$20,9)/30))</f>
        <v>10.914221441648319</v>
      </c>
      <c r="AH49" s="172">
        <f ca="1">(VLOOKUP(AH$41,INDIRECT($C$5&amp;"生成成长"),2))/((VLOOKUP($Q49,INDIRECT($B$5&amp;"生成成长"),4))/(VLOOKUP(AH$41,INDIRECT($C$5&amp;"生成成长"),5))*(VLOOKUP($B$5,标准坦克设计!$B$24:$U$30,MATCH("对"&amp;LEFT($C$5,2)&amp;"输出",标准坦克设计!$B$23:$U$23,0)))*(VLOOKUP($Q49,INDIRECT($B$5&amp;"生成成长"),3))*(VLOOKUP($B$5,标准坦克设计!$B$14:$K$20,9)/30))</f>
        <v>18.989507868395325</v>
      </c>
      <c r="AI49" s="172">
        <f ca="1">(VLOOKUP(AI$41,INDIRECT($C$5&amp;"生成成长"),2))/((VLOOKUP($Q49,INDIRECT($B$5&amp;"生成成长"),4))/(VLOOKUP(AI$41,INDIRECT($C$5&amp;"生成成长"),5))*(VLOOKUP($B$5,标准坦克设计!$B$24:$U$30,MATCH("对"&amp;LEFT($C$5,2)&amp;"输出",标准坦克设计!$B$23:$U$23,0)))*(VLOOKUP($Q49,INDIRECT($B$5&amp;"生成成长"),3))*(VLOOKUP($B$5,标准坦克设计!$B$14:$K$20,9)/30))</f>
        <v>32.61124818921899</v>
      </c>
      <c r="AJ49" s="172">
        <f ca="1">(VLOOKUP(AJ$41,INDIRECT($C$5&amp;"生成成长"),2))/((VLOOKUP($Q49,INDIRECT($B$5&amp;"生成成长"),4))/(VLOOKUP(AJ$41,INDIRECT($C$5&amp;"生成成长"),5))*(VLOOKUP($B$5,标准坦克设计!$B$24:$U$30,MATCH("对"&amp;LEFT($C$5,2)&amp;"输出",标准坦克设计!$B$23:$U$23,0)))*(VLOOKUP($Q49,INDIRECT($B$5&amp;"生成成长"),3))*(VLOOKUP($B$5,标准坦克设计!$B$14:$K$20,9)/30))</f>
        <v>54.670102414061532</v>
      </c>
      <c r="AK49" s="172">
        <f ca="1">(VLOOKUP(AK$41,INDIRECT($C$5&amp;"生成成长"),2))/((VLOOKUP($Q49,INDIRECT($B$5&amp;"生成成长"),4))/(VLOOKUP(AK$41,INDIRECT($C$5&amp;"生成成长"),5))*(VLOOKUP($B$5,标准坦克设计!$B$24:$U$30,MATCH("对"&amp;LEFT($C$5,2)&amp;"输出",标准坦克设计!$B$23:$U$23,0)))*(VLOOKUP($Q49,INDIRECT($B$5&amp;"生成成长"),3))*(VLOOKUP($B$5,标准坦克设计!$B$14:$K$20,9)/30))</f>
        <v>20.102213981811442</v>
      </c>
      <c r="AL49" s="172">
        <f ca="1">(VLOOKUP(AL$41,INDIRECT($C$5&amp;"生成成长"),2))/((VLOOKUP($Q49,INDIRECT($B$5&amp;"生成成长"),4))/(VLOOKUP(AL$41,INDIRECT($C$5&amp;"生成成长"),5))*(VLOOKUP($B$5,标准坦克设计!$B$24:$U$30,MATCH("对"&amp;LEFT($C$5,2)&amp;"输出",标准坦克设计!$B$23:$U$23,0)))*(VLOOKUP($Q49,INDIRECT($B$5&amp;"生成成长"),3))*(VLOOKUP($B$5,标准坦克设计!$B$14:$K$20,9)/30))</f>
        <v>34.432759976305867</v>
      </c>
      <c r="AM49" s="172">
        <f ca="1">(VLOOKUP(AM$41,INDIRECT($C$5&amp;"生成成长"),2))/((VLOOKUP($Q49,INDIRECT($B$5&amp;"生成成长"),4))/(VLOOKUP(AM$41,INDIRECT($C$5&amp;"生成成长"),5))*(VLOOKUP($B$5,标准坦克设计!$B$24:$U$30,MATCH("对"&amp;LEFT($C$5,2)&amp;"输出",标准坦克设计!$B$23:$U$23,0)))*(VLOOKUP($Q49,INDIRECT($B$5&amp;"生成成长"),3))*(VLOOKUP($B$5,标准坦克设计!$B$14:$K$20,9)/30))</f>
        <v>57.497405492279007</v>
      </c>
    </row>
    <row r="50" spans="16:39" x14ac:dyDescent="0.15">
      <c r="P50" s="170" t="str">
        <f t="shared" si="6"/>
        <v>T5中初</v>
      </c>
      <c r="Q50" s="171">
        <v>20501</v>
      </c>
      <c r="R50" s="172">
        <f ca="1">(VLOOKUP(R$41,INDIRECT($C$5&amp;"生成成长"),2))/((VLOOKUP($Q50,INDIRECT($B$5&amp;"生成成长"),4))/(VLOOKUP(R$41,INDIRECT($C$5&amp;"生成成长"),5))*(VLOOKUP($B$5,标准坦克设计!$B$24:$U$30,MATCH("对"&amp;LEFT($C$5,2)&amp;"输出",标准坦克设计!$B$23:$U$23,0)))*(VLOOKUP($Q50,INDIRECT($B$5&amp;"生成成长"),3))*(VLOOKUP($B$5,标准坦克设计!$B$14:$K$20,9)/30))</f>
        <v>1.4712777039560647</v>
      </c>
      <c r="S50" s="172">
        <f ca="1">(VLOOKUP(S$41,INDIRECT($C$5&amp;"生成成长"),2))/((VLOOKUP($Q50,INDIRECT($B$5&amp;"生成成长"),4))/(VLOOKUP(S$41,INDIRECT($C$5&amp;"生成成长"),5))*(VLOOKUP($B$5,标准坦克设计!$B$24:$U$30,MATCH("对"&amp;LEFT($C$5,2)&amp;"输出",标准坦克设计!$B$23:$U$23,0)))*(VLOOKUP($Q50,INDIRECT($B$5&amp;"生成成长"),3))*(VLOOKUP($B$5,标准坦克设计!$B$14:$K$20,9)/30))</f>
        <v>1.9797512784432811</v>
      </c>
      <c r="T50" s="172">
        <f ca="1">(VLOOKUP(T$41,INDIRECT($C$5&amp;"生成成长"),2))/((VLOOKUP($Q50,INDIRECT($B$5&amp;"生成成长"),4))/(VLOOKUP(T$41,INDIRECT($C$5&amp;"生成成长"),5))*(VLOOKUP($B$5,标准坦克设计!$B$24:$U$30,MATCH("对"&amp;LEFT($C$5,2)&amp;"输出",标准坦克设计!$B$23:$U$23,0)))*(VLOOKUP($Q50,INDIRECT($B$5&amp;"生成成长"),3))*(VLOOKUP($B$5,标准坦克设计!$B$14:$K$20,9)/30))</f>
        <v>3.0086157768197568</v>
      </c>
      <c r="U50" s="172">
        <f ca="1">(VLOOKUP(U$41,INDIRECT($C$5&amp;"生成成长"),2))/((VLOOKUP($Q50,INDIRECT($B$5&amp;"生成成长"),4))/(VLOOKUP(U$41,INDIRECT($C$5&amp;"生成成长"),5))*(VLOOKUP($B$5,标准坦克设计!$B$24:$U$30,MATCH("对"&amp;LEFT($C$5,2)&amp;"输出",标准坦克设计!$B$23:$U$23,0)))*(VLOOKUP($Q50,INDIRECT($B$5&amp;"生成成长"),3))*(VLOOKUP($B$5,标准坦克设计!$B$14:$K$20,9)/30))</f>
        <v>4.9271619027784661</v>
      </c>
      <c r="V50" s="172">
        <f ca="1">(VLOOKUP(V$41,INDIRECT($C$5&amp;"生成成长"),2))/((VLOOKUP($Q50,INDIRECT($B$5&amp;"生成成长"),4))/(VLOOKUP(V$41,INDIRECT($C$5&amp;"生成成长"),5))*(VLOOKUP($B$5,标准坦克设计!$B$24:$U$30,MATCH("对"&amp;LEFT($C$5,2)&amp;"输出",标准坦克设计!$B$23:$U$23,0)))*(VLOOKUP($Q50,INDIRECT($B$5&amp;"生成成长"),3))*(VLOOKUP($B$5,标准坦克设计!$B$14:$K$20,9)/30))</f>
        <v>2.0486070749884253</v>
      </c>
      <c r="W50" s="172">
        <f ca="1">(VLOOKUP(W$41,INDIRECT($C$5&amp;"生成成长"),2))/((VLOOKUP($Q50,INDIRECT($B$5&amp;"生成成长"),4))/(VLOOKUP(W$41,INDIRECT($C$5&amp;"生成成长"),5))*(VLOOKUP($B$5,标准坦克设计!$B$24:$U$30,MATCH("对"&amp;LEFT($C$5,2)&amp;"输出",标准坦克设计!$B$23:$U$23,0)))*(VLOOKUP($Q50,INDIRECT($B$5&amp;"生成成长"),3))*(VLOOKUP($B$5,标准坦克设计!$B$14:$K$20,9)/30))</f>
        <v>3.1361755537527483</v>
      </c>
      <c r="X50" s="172">
        <f ca="1">(VLOOKUP(X$41,INDIRECT($C$5&amp;"生成成长"),2))/((VLOOKUP($Q50,INDIRECT($B$5&amp;"生成成长"),4))/(VLOOKUP(X$41,INDIRECT($C$5&amp;"生成成长"),5))*(VLOOKUP($B$5,标准坦克设计!$B$24:$U$30,MATCH("对"&amp;LEFT($C$5,2)&amp;"输出",标准坦克设计!$B$23:$U$23,0)))*(VLOOKUP($Q50,INDIRECT($B$5&amp;"生成成长"),3))*(VLOOKUP($B$5,标准坦克设计!$B$14:$K$20,9)/30))</f>
        <v>5.1449110029639638</v>
      </c>
      <c r="Y50" s="172">
        <f ca="1">(VLOOKUP(Y$41,INDIRECT($C$5&amp;"生成成长"),2))/((VLOOKUP($Q50,INDIRECT($B$5&amp;"生成成长"),4))/(VLOOKUP(Y$41,INDIRECT($C$5&amp;"生成成长"),5))*(VLOOKUP($B$5,标准坦克设计!$B$24:$U$30,MATCH("对"&amp;LEFT($C$5,2)&amp;"输出",标准坦克设计!$B$23:$U$23,0)))*(VLOOKUP($Q50,INDIRECT($B$5&amp;"生成成长"),3))*(VLOOKUP($B$5,标准坦克设计!$B$14:$K$20,9)/30))</f>
        <v>8.68774771409017</v>
      </c>
      <c r="Z50" s="172">
        <f ca="1">(VLOOKUP(Z$41,INDIRECT($C$5&amp;"生成成长"),2))/((VLOOKUP($Q50,INDIRECT($B$5&amp;"生成成长"),4))/(VLOOKUP(Z$41,INDIRECT($C$5&amp;"生成成长"),5))*(VLOOKUP($B$5,标准坦克设计!$B$24:$U$30,MATCH("对"&amp;LEFT($C$5,2)&amp;"输出",标准坦克设计!$B$23:$U$23,0)))*(VLOOKUP($Q50,INDIRECT($B$5&amp;"生成成长"),3))*(VLOOKUP($B$5,标准坦克设计!$B$14:$K$20,9)/30))</f>
        <v>3.2663836305528595</v>
      </c>
      <c r="AA50" s="172">
        <f ca="1">(VLOOKUP(AA$41,INDIRECT($C$5&amp;"生成成长"),2))/((VLOOKUP($Q50,INDIRECT($B$5&amp;"生成成长"),4))/(VLOOKUP(AA$41,INDIRECT($C$5&amp;"生成成长"),5))*(VLOOKUP($B$5,标准坦克设计!$B$24:$U$30,MATCH("对"&amp;LEFT($C$5,2)&amp;"输出",标准坦克设计!$B$23:$U$23,0)))*(VLOOKUP($Q50,INDIRECT($B$5&amp;"生成成长"),3))*(VLOOKUP($B$5,标准坦克设计!$B$14:$K$20,9)/30))</f>
        <v>5.3673681918021208</v>
      </c>
      <c r="AB50" s="172">
        <f ca="1">(VLOOKUP(AB$41,INDIRECT($C$5&amp;"生成成长"),2))/((VLOOKUP($Q50,INDIRECT($B$5&amp;"生成成长"),4))/(VLOOKUP(AB$41,INDIRECT($C$5&amp;"生成成长"),5))*(VLOOKUP($B$5,标准坦克设计!$B$24:$U$30,MATCH("对"&amp;LEFT($C$5,2)&amp;"输出",标准坦克设计!$B$23:$U$23,0)))*(VLOOKUP($Q50,INDIRECT($B$5&amp;"生成成长"),3))*(VLOOKUP($B$5,标准坦克设计!$B$14:$K$20,9)/30))</f>
        <v>9.0489463904113823</v>
      </c>
      <c r="AC50" s="172">
        <f ca="1">(VLOOKUP(AC$41,INDIRECT($C$5&amp;"生成成长"),2))/((VLOOKUP($Q50,INDIRECT($B$5&amp;"生成成长"),4))/(VLOOKUP(AC$41,INDIRECT($C$5&amp;"生成成长"),5))*(VLOOKUP($B$5,标准坦克设计!$B$24:$U$30,MATCH("对"&amp;LEFT($C$5,2)&amp;"输出",标准坦克设计!$B$23:$U$23,0)))*(VLOOKUP($Q50,INDIRECT($B$5&amp;"生成成长"),3))*(VLOOKUP($B$5,标准坦克设计!$B$14:$K$20,9)/30))</f>
        <v>2.2622365976028456</v>
      </c>
      <c r="AD50" s="172">
        <f ca="1">(VLOOKUP(AD$41,INDIRECT($C$5&amp;"生成成长"),2))/((VLOOKUP($Q50,INDIRECT($B$5&amp;"生成成长"),4))/(VLOOKUP(AD$41,INDIRECT($C$5&amp;"生成成长"),5))*(VLOOKUP($B$5,标准坦克设计!$B$24:$U$30,MATCH("对"&amp;LEFT($C$5,2)&amp;"输出",标准坦克设计!$B$23:$U$23,0)))*(VLOOKUP($Q50,INDIRECT($B$5&amp;"生成成长"),3))*(VLOOKUP($B$5,标准坦克设计!$B$14:$K$20,9)/30))</f>
        <v>3.9571485125602321</v>
      </c>
      <c r="AE50" s="172">
        <f ca="1">(VLOOKUP(AE$41,INDIRECT($C$5&amp;"生成成长"),2))/((VLOOKUP($Q50,INDIRECT($B$5&amp;"生成成长"),4))/(VLOOKUP(AE$41,INDIRECT($C$5&amp;"生成成长"),5))*(VLOOKUP($B$5,标准坦克设计!$B$24:$U$30,MATCH("对"&amp;LEFT($C$5,2)&amp;"输出",标准坦克设计!$B$23:$U$23,0)))*(VLOOKUP($Q50,INDIRECT($B$5&amp;"生成成长"),3))*(VLOOKUP($B$5,标准坦克设计!$B$14:$K$20,9)/30))</f>
        <v>6.8009811865369105</v>
      </c>
      <c r="AF50" s="172">
        <f ca="1">(VLOOKUP(AF$41,INDIRECT($C$5&amp;"生成成长"),2))/((VLOOKUP($Q50,INDIRECT($B$5&amp;"生成成长"),4))/(VLOOKUP(AF$41,INDIRECT($C$5&amp;"生成成长"),5))*(VLOOKUP($B$5,标准坦克设计!$B$24:$U$30,MATCH("对"&amp;LEFT($C$5,2)&amp;"输出",标准坦克设计!$B$23:$U$23,0)))*(VLOOKUP($Q50,INDIRECT($B$5&amp;"生成成长"),3))*(VLOOKUP($B$5,标准坦克设计!$B$14:$K$20,9)/30))</f>
        <v>11.783316003213729</v>
      </c>
      <c r="AG50" s="172">
        <f ca="1">(VLOOKUP(AG$41,INDIRECT($C$5&amp;"生成成长"),2))/((VLOOKUP($Q50,INDIRECT($B$5&amp;"生成成长"),4))/(VLOOKUP(AG$41,INDIRECT($C$5&amp;"生成成长"),5))*(VLOOKUP($B$5,标准坦克设计!$B$24:$U$30,MATCH("对"&amp;LEFT($C$5,2)&amp;"输出",标准坦克设计!$B$23:$U$23,0)))*(VLOOKUP($Q50,INDIRECT($B$5&amp;"生成成长"),3))*(VLOOKUP($B$5,标准坦克设计!$B$14:$K$20,9)/30))</f>
        <v>6.4883346744462447</v>
      </c>
      <c r="AH50" s="172">
        <f ca="1">(VLOOKUP(AH$41,INDIRECT($C$5&amp;"生成成长"),2))/((VLOOKUP($Q50,INDIRECT($B$5&amp;"生成成长"),4))/(VLOOKUP(AH$41,INDIRECT($C$5&amp;"生成成长"),5))*(VLOOKUP($B$5,标准坦克设计!$B$24:$U$30,MATCH("对"&amp;LEFT($C$5,2)&amp;"输出",标准坦克设计!$B$23:$U$23,0)))*(VLOOKUP($Q50,INDIRECT($B$5&amp;"生成成长"),3))*(VLOOKUP($B$5,标准坦克设计!$B$14:$K$20,9)/30))</f>
        <v>11.28896669468449</v>
      </c>
      <c r="AI50" s="172">
        <f ca="1">(VLOOKUP(AI$41,INDIRECT($C$5&amp;"生成成长"),2))/((VLOOKUP($Q50,INDIRECT($B$5&amp;"生成成长"),4))/(VLOOKUP(AI$41,INDIRECT($C$5&amp;"生成成长"),5))*(VLOOKUP($B$5,标准坦克设计!$B$24:$U$30,MATCH("对"&amp;LEFT($C$5,2)&amp;"输出",标准坦克设计!$B$23:$U$23,0)))*(VLOOKUP($Q50,INDIRECT($B$5&amp;"生成成长"),3))*(VLOOKUP($B$5,标准坦克设计!$B$14:$K$20,9)/30))</f>
        <v>19.38687917725867</v>
      </c>
      <c r="AJ50" s="172">
        <f ca="1">(VLOOKUP(AJ$41,INDIRECT($C$5&amp;"生成成长"),2))/((VLOOKUP($Q50,INDIRECT($B$5&amp;"生成成长"),4))/(VLOOKUP(AJ$41,INDIRECT($C$5&amp;"生成成长"),5))*(VLOOKUP($B$5,标准坦克设计!$B$24:$U$30,MATCH("对"&amp;LEFT($C$5,2)&amp;"输出",标准坦克设计!$B$23:$U$23,0)))*(VLOOKUP($Q50,INDIRECT($B$5&amp;"生成成长"),3))*(VLOOKUP($B$5,标准坦克设计!$B$14:$K$20,9)/30))</f>
        <v>32.50052448038948</v>
      </c>
      <c r="AK50" s="172">
        <f ca="1">(VLOOKUP(AK$41,INDIRECT($C$5&amp;"生成成长"),2))/((VLOOKUP($Q50,INDIRECT($B$5&amp;"生成成长"),4))/(VLOOKUP(AK$41,INDIRECT($C$5&amp;"生成成长"),5))*(VLOOKUP($B$5,标准坦克设计!$B$24:$U$30,MATCH("对"&amp;LEFT($C$5,2)&amp;"输出",标准坦克设计!$B$23:$U$23,0)))*(VLOOKUP($Q50,INDIRECT($B$5&amp;"生成成长"),3))*(VLOOKUP($B$5,标准坦克设计!$B$14:$K$20,9)/30))</f>
        <v>11.95045315038314</v>
      </c>
      <c r="AL50" s="172">
        <f ca="1">(VLOOKUP(AL$41,INDIRECT($C$5&amp;"生成成长"),2))/((VLOOKUP($Q50,INDIRECT($B$5&amp;"生成成长"),4))/(VLOOKUP(AL$41,INDIRECT($C$5&amp;"生成成长"),5))*(VLOOKUP($B$5,标准坦克设计!$B$24:$U$30,MATCH("对"&amp;LEFT($C$5,2)&amp;"输出",标准坦克设计!$B$23:$U$23,0)))*(VLOOKUP($Q50,INDIRECT($B$5&amp;"生成成长"),3))*(VLOOKUP($B$5,标准坦克设计!$B$14:$K$20,9)/30))</f>
        <v>20.46973956737034</v>
      </c>
      <c r="AM50" s="172">
        <f ca="1">(VLOOKUP(AM$41,INDIRECT($C$5&amp;"生成成长"),2))/((VLOOKUP($Q50,INDIRECT($B$5&amp;"生成成长"),4))/(VLOOKUP(AM$41,INDIRECT($C$5&amp;"生成成长"),5))*(VLOOKUP($B$5,标准坦克设计!$B$24:$U$30,MATCH("对"&amp;LEFT($C$5,2)&amp;"输出",标准坦克设计!$B$23:$U$23,0)))*(VLOOKUP($Q50,INDIRECT($B$5&amp;"生成成长"),3))*(VLOOKUP($B$5,标准坦克设计!$B$14:$K$20,9)/30))</f>
        <v>34.181312129388886</v>
      </c>
    </row>
    <row r="51" spans="16:39" x14ac:dyDescent="0.15">
      <c r="P51" s="170" t="str">
        <f t="shared" si="6"/>
        <v>T3高初</v>
      </c>
      <c r="Q51" s="171">
        <v>30301</v>
      </c>
      <c r="R51" s="172">
        <f ca="1">(VLOOKUP(R$41,INDIRECT($C$5&amp;"生成成长"),2))/((VLOOKUP($Q51,INDIRECT($B$5&amp;"生成成长"),4))/(VLOOKUP(R$41,INDIRECT($C$5&amp;"生成成长"),5))*(VLOOKUP($B$5,标准坦克设计!$B$24:$U$30,MATCH("对"&amp;LEFT($C$5,2)&amp;"输出",标准坦克设计!$B$23:$U$23,0)))*(VLOOKUP($Q51,INDIRECT($B$5&amp;"生成成长"),3))*(VLOOKUP($B$5,标准坦克设计!$B$14:$K$20,9)/30))</f>
        <v>3.894518415846119</v>
      </c>
      <c r="S51" s="172">
        <f ca="1">(VLOOKUP(S$41,INDIRECT($C$5&amp;"生成成长"),2))/((VLOOKUP($Q51,INDIRECT($B$5&amp;"生成成长"),4))/(VLOOKUP(S$41,INDIRECT($C$5&amp;"生成成长"),5))*(VLOOKUP($B$5,标准坦克设计!$B$24:$U$30,MATCH("对"&amp;LEFT($C$5,2)&amp;"输出",标准坦克设计!$B$23:$U$23,0)))*(VLOOKUP($Q51,INDIRECT($B$5&amp;"生成成长"),3))*(VLOOKUP($B$5,标准坦克设计!$B$14:$K$20,9)/30))</f>
        <v>5.2404639803625379</v>
      </c>
      <c r="T51" s="172">
        <f ca="1">(VLOOKUP(T$41,INDIRECT($C$5&amp;"生成成长"),2))/((VLOOKUP($Q51,INDIRECT($B$5&amp;"生成成长"),4))/(VLOOKUP(T$41,INDIRECT($C$5&amp;"生成成长"),5))*(VLOOKUP($B$5,标准坦克设计!$B$24:$U$30,MATCH("对"&amp;LEFT($C$5,2)&amp;"输出",标准坦克设计!$B$23:$U$23,0)))*(VLOOKUP($Q51,INDIRECT($B$5&amp;"生成成长"),3))*(VLOOKUP($B$5,标准坦克设计!$B$14:$K$20,9)/30))</f>
        <v>7.9639007085637274</v>
      </c>
      <c r="U51" s="172">
        <f ca="1">(VLOOKUP(U$41,INDIRECT($C$5&amp;"生成成长"),2))/((VLOOKUP($Q51,INDIRECT($B$5&amp;"生成成长"),4))/(VLOOKUP(U$41,INDIRECT($C$5&amp;"生成成长"),5))*(VLOOKUP($B$5,标准坦克设计!$B$24:$U$30,MATCH("对"&amp;LEFT($C$5,2)&amp;"输出",标准坦克设计!$B$23:$U$23,0)))*(VLOOKUP($Q51,INDIRECT($B$5&amp;"生成成长"),3))*(VLOOKUP($B$5,标准坦克设计!$B$14:$K$20,9)/30))</f>
        <v>13.042352722827065</v>
      </c>
      <c r="V51" s="172">
        <f ca="1">(VLOOKUP(V$41,INDIRECT($C$5&amp;"生成成长"),2))/((VLOOKUP($Q51,INDIRECT($B$5&amp;"生成成长"),4))/(VLOOKUP(V$41,INDIRECT($C$5&amp;"生成成长"),5))*(VLOOKUP($B$5,标准坦克设计!$B$24:$U$30,MATCH("对"&amp;LEFT($C$5,2)&amp;"输出",标准坦克设计!$B$23:$U$23,0)))*(VLOOKUP($Q51,INDIRECT($B$5&amp;"生成成长"),3))*(VLOOKUP($B$5,标准坦克设计!$B$14:$K$20,9)/30))</f>
        <v>5.4227274422241365</v>
      </c>
      <c r="W51" s="172">
        <f ca="1">(VLOOKUP(W$41,INDIRECT($C$5&amp;"生成成长"),2))/((VLOOKUP($Q51,INDIRECT($B$5&amp;"生成成长"),4))/(VLOOKUP(W$41,INDIRECT($C$5&amp;"生成成长"),5))*(VLOOKUP($B$5,标准坦克设计!$B$24:$U$30,MATCH("对"&amp;LEFT($C$5,2)&amp;"输出",标准坦克设计!$B$23:$U$23,0)))*(VLOOKUP($Q51,INDIRECT($B$5&amp;"生成成长"),3))*(VLOOKUP($B$5,标准坦克设计!$B$14:$K$20,9)/30))</f>
        <v>8.301555455217585</v>
      </c>
      <c r="X51" s="172">
        <f ca="1">(VLOOKUP(X$41,INDIRECT($C$5&amp;"生成成长"),2))/((VLOOKUP($Q51,INDIRECT($B$5&amp;"生成成长"),4))/(VLOOKUP(X$41,INDIRECT($C$5&amp;"生成成长"),5))*(VLOOKUP($B$5,标准坦克设计!$B$24:$U$30,MATCH("对"&amp;LEFT($C$5,2)&amp;"输出",标准坦克设计!$B$23:$U$23,0)))*(VLOOKUP($Q51,INDIRECT($B$5&amp;"生成成长"),3))*(VLOOKUP($B$5,标准坦克设计!$B$14:$K$20,9)/30))</f>
        <v>13.618741448372294</v>
      </c>
      <c r="Y51" s="172">
        <f ca="1">(VLOOKUP(Y$41,INDIRECT($C$5&amp;"生成成长"),2))/((VLOOKUP($Q51,INDIRECT($B$5&amp;"生成成长"),4))/(VLOOKUP(Y$41,INDIRECT($C$5&amp;"生成成长"),5))*(VLOOKUP($B$5,标准坦克设计!$B$24:$U$30,MATCH("对"&amp;LEFT($C$5,2)&amp;"输出",标准坦克设计!$B$23:$U$23,0)))*(VLOOKUP($Q51,INDIRECT($B$5&amp;"生成成长"),3))*(VLOOKUP($B$5,标准坦克设计!$B$14:$K$20,9)/30))</f>
        <v>22.996741793729747</v>
      </c>
      <c r="Z51" s="172">
        <f ca="1">(VLOOKUP(Z$41,INDIRECT($C$5&amp;"生成成长"),2))/((VLOOKUP($Q51,INDIRECT($B$5&amp;"生成成长"),4))/(VLOOKUP(Z$41,INDIRECT($C$5&amp;"生成成长"),5))*(VLOOKUP($B$5,标准坦克设计!$B$24:$U$30,MATCH("对"&amp;LEFT($C$5,2)&amp;"输出",标准坦克设计!$B$23:$U$23,0)))*(VLOOKUP($Q51,INDIRECT($B$5&amp;"生成成长"),3))*(VLOOKUP($B$5,标准坦克设计!$B$14:$K$20,9)/30))</f>
        <v>8.6462203350199687</v>
      </c>
      <c r="AA51" s="172">
        <f ca="1">(VLOOKUP(AA$41,INDIRECT($C$5&amp;"生成成长"),2))/((VLOOKUP($Q51,INDIRECT($B$5&amp;"生成成长"),4))/(VLOOKUP(AA$41,INDIRECT($C$5&amp;"生成成长"),5))*(VLOOKUP($B$5,标准坦克设计!$B$24:$U$30,MATCH("对"&amp;LEFT($C$5,2)&amp;"输出",标准坦克设计!$B$23:$U$23,0)))*(VLOOKUP($Q51,INDIRECT($B$5&amp;"生成成长"),3))*(VLOOKUP($B$5,标准坦克设计!$B$14:$K$20,9)/30))</f>
        <v>14.207592632848225</v>
      </c>
      <c r="AB51" s="172">
        <f ca="1">(VLOOKUP(AB$41,INDIRECT($C$5&amp;"生成成长"),2))/((VLOOKUP($Q51,INDIRECT($B$5&amp;"生成成长"),4))/(VLOOKUP(AB$41,INDIRECT($C$5&amp;"生成成长"),5))*(VLOOKUP($B$5,标准坦克设计!$B$24:$U$30,MATCH("对"&amp;LEFT($C$5,2)&amp;"输出",标准坦克设计!$B$23:$U$23,0)))*(VLOOKUP($Q51,INDIRECT($B$5&amp;"生成成长"),3))*(VLOOKUP($B$5,标准坦克设计!$B$14:$K$20,9)/30))</f>
        <v>23.952846064819969</v>
      </c>
      <c r="AC51" s="172">
        <f ca="1">(VLOOKUP(AC$41,INDIRECT($C$5&amp;"生成成长"),2))/((VLOOKUP($Q51,INDIRECT($B$5&amp;"生成成长"),4))/(VLOOKUP(AC$41,INDIRECT($C$5&amp;"生成成长"),5))*(VLOOKUP($B$5,标准坦克设计!$B$24:$U$30,MATCH("对"&amp;LEFT($C$5,2)&amp;"输出",标准坦克设计!$B$23:$U$23,0)))*(VLOOKUP($Q51,INDIRECT($B$5&amp;"生成成长"),3))*(VLOOKUP($B$5,标准坦克设计!$B$14:$K$20,9)/30))</f>
        <v>5.9882115162049923</v>
      </c>
      <c r="AD51" s="172">
        <f ca="1">(VLOOKUP(AD$41,INDIRECT($C$5&amp;"生成成长"),2))/((VLOOKUP($Q51,INDIRECT($B$5&amp;"生成成长"),4))/(VLOOKUP(AD$41,INDIRECT($C$5&amp;"生成成长"),5))*(VLOOKUP($B$5,标准坦克设计!$B$24:$U$30,MATCH("对"&amp;LEFT($C$5,2)&amp;"输出",标准坦克设计!$B$23:$U$23,0)))*(VLOOKUP($Q51,INDIRECT($B$5&amp;"生成成长"),3))*(VLOOKUP($B$5,标准坦克设计!$B$14:$K$20,9)/30))</f>
        <v>10.474696731259719</v>
      </c>
      <c r="AE51" s="172">
        <f ca="1">(VLOOKUP(AE$41,INDIRECT($C$5&amp;"生成成长"),2))/((VLOOKUP($Q51,INDIRECT($B$5&amp;"生成成长"),4))/(VLOOKUP(AE$41,INDIRECT($C$5&amp;"生成成长"),5))*(VLOOKUP($B$5,标准坦克设计!$B$24:$U$30,MATCH("对"&amp;LEFT($C$5,2)&amp;"输出",标准坦克设计!$B$23:$U$23,0)))*(VLOOKUP($Q51,INDIRECT($B$5&amp;"生成成长"),3))*(VLOOKUP($B$5,标准坦克设计!$B$14:$K$20,9)/30))</f>
        <v>18.002411377248684</v>
      </c>
      <c r="AF51" s="172">
        <f ca="1">(VLOOKUP(AF$41,INDIRECT($C$5&amp;"生成成长"),2))/((VLOOKUP($Q51,INDIRECT($B$5&amp;"生成成长"),4))/(VLOOKUP(AF$41,INDIRECT($C$5&amp;"生成成长"),5))*(VLOOKUP($B$5,标准坦克设计!$B$24:$U$30,MATCH("对"&amp;LEFT($C$5,2)&amp;"输出",标准坦克设计!$B$23:$U$23,0)))*(VLOOKUP($Q51,INDIRECT($B$5&amp;"生成成长"),3))*(VLOOKUP($B$5,标准坦克设计!$B$14:$K$20,9)/30))</f>
        <v>31.190808540669984</v>
      </c>
      <c r="AG51" s="172">
        <f ca="1">(VLOOKUP(AG$41,INDIRECT($C$5&amp;"生成成长"),2))/((VLOOKUP($Q51,INDIRECT($B$5&amp;"生成成长"),4))/(VLOOKUP(AG$41,INDIRECT($C$5&amp;"生成成长"),5))*(VLOOKUP($B$5,标准坦克设计!$B$24:$U$30,MATCH("对"&amp;LEFT($C$5,2)&amp;"输出",标准坦克设计!$B$23:$U$23,0)))*(VLOOKUP($Q51,INDIRECT($B$5&amp;"生成成长"),3))*(VLOOKUP($B$5,标准坦克设计!$B$14:$K$20,9)/30))</f>
        <v>17.174826213881381</v>
      </c>
      <c r="AH51" s="172">
        <f ca="1">(VLOOKUP(AH$41,INDIRECT($C$5&amp;"生成成长"),2))/((VLOOKUP($Q51,INDIRECT($B$5&amp;"生成成长"),4))/(VLOOKUP(AH$41,INDIRECT($C$5&amp;"生成成长"),5))*(VLOOKUP($B$5,标准坦克设计!$B$24:$U$30,MATCH("对"&amp;LEFT($C$5,2)&amp;"输出",标准坦克设计!$B$23:$U$23,0)))*(VLOOKUP($Q51,INDIRECT($B$5&amp;"生成成长"),3))*(VLOOKUP($B$5,标准坦克设计!$B$14:$K$20,9)/30))</f>
        <v>29.882250352945682</v>
      </c>
      <c r="AI51" s="172">
        <f ca="1">(VLOOKUP(AI$41,INDIRECT($C$5&amp;"生成成长"),2))/((VLOOKUP($Q51,INDIRECT($B$5&amp;"生成成长"),4))/(VLOOKUP(AI$41,INDIRECT($C$5&amp;"生成成长"),5))*(VLOOKUP($B$5,标准坦克设计!$B$24:$U$30,MATCH("对"&amp;LEFT($C$5,2)&amp;"输出",标准坦克设计!$B$23:$U$23,0)))*(VLOOKUP($Q51,INDIRECT($B$5&amp;"生成成长"),3))*(VLOOKUP($B$5,标准坦克设计!$B$14:$K$20,9)/30))</f>
        <v>51.317679713762736</v>
      </c>
      <c r="AJ51" s="172">
        <f ca="1">(VLOOKUP(AJ$41,INDIRECT($C$5&amp;"生成成长"),2))/((VLOOKUP($Q51,INDIRECT($B$5&amp;"生成成长"),4))/(VLOOKUP(AJ$41,INDIRECT($C$5&amp;"生成成长"),5))*(VLOOKUP($B$5,标准坦克设计!$B$24:$U$30,MATCH("对"&amp;LEFT($C$5,2)&amp;"输出",标准坦克设计!$B$23:$U$23,0)))*(VLOOKUP($Q51,INDIRECT($B$5&amp;"生成成长"),3))*(VLOOKUP($B$5,标准坦克设计!$B$14:$K$20,9)/30))</f>
        <v>86.029911806040758</v>
      </c>
      <c r="AK51" s="172">
        <f ca="1">(VLOOKUP(AK$41,INDIRECT($C$5&amp;"生成成长"),2))/((VLOOKUP($Q51,INDIRECT($B$5&amp;"生成成长"),4))/(VLOOKUP(AK$41,INDIRECT($C$5&amp;"生成成长"),5))*(VLOOKUP($B$5,标准坦克设计!$B$24:$U$30,MATCH("对"&amp;LEFT($C$5,2)&amp;"输出",标准坦克设计!$B$23:$U$23,0)))*(VLOOKUP($Q51,INDIRECT($B$5&amp;"生成成长"),3))*(VLOOKUP($B$5,标准坦克设计!$B$14:$K$20,9)/30))</f>
        <v>31.633225832710107</v>
      </c>
      <c r="AL51" s="172">
        <f ca="1">(VLOOKUP(AL$41,INDIRECT($C$5&amp;"生成成长"),2))/((VLOOKUP($Q51,INDIRECT($B$5&amp;"生成成长"),4))/(VLOOKUP(AL$41,INDIRECT($C$5&amp;"生成成长"),5))*(VLOOKUP($B$5,标准坦克设计!$B$24:$U$30,MATCH("对"&amp;LEFT($C$5,2)&amp;"输出",标准坦克设计!$B$23:$U$23,0)))*(VLOOKUP($Q51,INDIRECT($B$5&amp;"生成成长"),3))*(VLOOKUP($B$5,标准坦克设计!$B$14:$K$20,9)/30))</f>
        <v>54.184045267825468</v>
      </c>
      <c r="AM51" s="172">
        <f ca="1">(VLOOKUP(AM$41,INDIRECT($C$5&amp;"生成成长"),2))/((VLOOKUP($Q51,INDIRECT($B$5&amp;"生成成长"),4))/(VLOOKUP(AM$41,INDIRECT($C$5&amp;"生成成长"),5))*(VLOOKUP($B$5,标准坦克设计!$B$24:$U$30,MATCH("对"&amp;LEFT($C$5,2)&amp;"输出",标准坦克设计!$B$23:$U$23,0)))*(VLOOKUP($Q51,INDIRECT($B$5&amp;"生成成长"),3))*(VLOOKUP($B$5,标准坦克设计!$B$14:$K$20,9)/30))</f>
        <v>90.47900964430336</v>
      </c>
    </row>
    <row r="52" spans="16:39" x14ac:dyDescent="0.15">
      <c r="P52" s="170" t="str">
        <f t="shared" si="6"/>
        <v>T4高初</v>
      </c>
      <c r="Q52" s="171">
        <v>30401</v>
      </c>
      <c r="R52" s="172">
        <f ca="1">(VLOOKUP(R$41,INDIRECT($C$5&amp;"生成成长"),2))/((VLOOKUP($Q52,INDIRECT($B$5&amp;"生成成长"),4))/(VLOOKUP(R$41,INDIRECT($C$5&amp;"生成成长"),5))*(VLOOKUP($B$5,标准坦克设计!$B$24:$U$30,MATCH("对"&amp;LEFT($C$5,2)&amp;"输出",标准坦克设计!$B$23:$U$23,0)))*(VLOOKUP($Q52,INDIRECT($B$5&amp;"生成成长"),3))*(VLOOKUP($B$5,标准坦克设计!$B$14:$K$20,9)/30))</f>
        <v>2.3792601310458377</v>
      </c>
      <c r="S52" s="172">
        <f ca="1">(VLOOKUP(S$41,INDIRECT($C$5&amp;"生成成长"),2))/((VLOOKUP($Q52,INDIRECT($B$5&amp;"生成成长"),4))/(VLOOKUP(S$41,INDIRECT($C$5&amp;"生成成长"),5))*(VLOOKUP($B$5,标准坦克设计!$B$24:$U$30,MATCH("对"&amp;LEFT($C$5,2)&amp;"输出",标准坦克设计!$B$23:$U$23,0)))*(VLOOKUP($Q52,INDIRECT($B$5&amp;"生成成长"),3))*(VLOOKUP($B$5,标准坦克设计!$B$14:$K$20,9)/30))</f>
        <v>3.201532432335279</v>
      </c>
      <c r="T52" s="172">
        <f ca="1">(VLOOKUP(T$41,INDIRECT($C$5&amp;"生成成长"),2))/((VLOOKUP($Q52,INDIRECT($B$5&amp;"生成成长"),4))/(VLOOKUP(T$41,INDIRECT($C$5&amp;"生成成长"),5))*(VLOOKUP($B$5,标准坦克设计!$B$24:$U$30,MATCH("对"&amp;LEFT($C$5,2)&amp;"输出",标准坦克设计!$B$23:$U$23,0)))*(VLOOKUP($Q52,INDIRECT($B$5&amp;"生成成长"),3))*(VLOOKUP($B$5,标准坦克设计!$B$14:$K$20,9)/30))</f>
        <v>4.8653490419756329</v>
      </c>
      <c r="U52" s="172">
        <f ca="1">(VLOOKUP(U$41,INDIRECT($C$5&amp;"生成成长"),2))/((VLOOKUP($Q52,INDIRECT($B$5&amp;"生成成长"),4))/(VLOOKUP(U$41,INDIRECT($C$5&amp;"生成成长"),5))*(VLOOKUP($B$5,标准坦克设计!$B$24:$U$30,MATCH("对"&amp;LEFT($C$5,2)&amp;"输出",标准坦克设计!$B$23:$U$23,0)))*(VLOOKUP($Q52,INDIRECT($B$5&amp;"生成成长"),3))*(VLOOKUP($B$5,标准坦克设计!$B$14:$K$20,9)/30))</f>
        <v>7.9679042528594035</v>
      </c>
      <c r="V52" s="172">
        <f ca="1">(VLOOKUP(V$41,INDIRECT($C$5&amp;"生成成长"),2))/((VLOOKUP($Q52,INDIRECT($B$5&amp;"生成成长"),4))/(VLOOKUP(V$41,INDIRECT($C$5&amp;"生成成长"),5))*(VLOOKUP($B$5,标准坦克设计!$B$24:$U$30,MATCH("对"&amp;LEFT($C$5,2)&amp;"输出",标准坦克设计!$B$23:$U$23,0)))*(VLOOKUP($Q52,INDIRECT($B$5&amp;"生成成长"),3))*(VLOOKUP($B$5,标准坦克设计!$B$14:$K$20,9)/30))</f>
        <v>3.3128818064682242</v>
      </c>
      <c r="W52" s="172">
        <f ca="1">(VLOOKUP(W$41,INDIRECT($C$5&amp;"生成成长"),2))/((VLOOKUP($Q52,INDIRECT($B$5&amp;"生成成长"),4))/(VLOOKUP(W$41,INDIRECT($C$5&amp;"生成成长"),5))*(VLOOKUP($B$5,标准坦克设计!$B$24:$U$30,MATCH("对"&amp;LEFT($C$5,2)&amp;"输出",标准坦克设计!$B$23:$U$23,0)))*(VLOOKUP($Q52,INDIRECT($B$5&amp;"生成成长"),3))*(VLOOKUP($B$5,标准坦克设计!$B$14:$K$20,9)/30))</f>
        <v>5.0716308953373082</v>
      </c>
      <c r="X52" s="172">
        <f ca="1">(VLOOKUP(X$41,INDIRECT($C$5&amp;"生成成长"),2))/((VLOOKUP($Q52,INDIRECT($B$5&amp;"生成成长"),4))/(VLOOKUP(X$41,INDIRECT($C$5&amp;"生成成长"),5))*(VLOOKUP($B$5,标准坦克设计!$B$24:$U$30,MATCH("对"&amp;LEFT($C$5,2)&amp;"输出",标准坦克设计!$B$23:$U$23,0)))*(VLOOKUP($Q52,INDIRECT($B$5&amp;"生成成长"),3))*(VLOOKUP($B$5,标准坦克设计!$B$14:$K$20,9)/30))</f>
        <v>8.3200347522541893</v>
      </c>
      <c r="Y52" s="172">
        <f ca="1">(VLOOKUP(Y$41,INDIRECT($C$5&amp;"生成成长"),2))/((VLOOKUP($Q52,INDIRECT($B$5&amp;"生成成长"),4))/(VLOOKUP(Y$41,INDIRECT($C$5&amp;"生成成长"),5))*(VLOOKUP($B$5,标准坦克设计!$B$24:$U$30,MATCH("对"&amp;LEFT($C$5,2)&amp;"输出",标准坦克设计!$B$23:$U$23,0)))*(VLOOKUP($Q52,INDIRECT($B$5&amp;"生成成长"),3))*(VLOOKUP($B$5,标准坦克设计!$B$14:$K$20,9)/30))</f>
        <v>14.049293147812566</v>
      </c>
      <c r="Z52" s="172">
        <f ca="1">(VLOOKUP(Z$41,INDIRECT($C$5&amp;"生成成长"),2))/((VLOOKUP($Q52,INDIRECT($B$5&amp;"生成成长"),4))/(VLOOKUP(Z$41,INDIRECT($C$5&amp;"生成成长"),5))*(VLOOKUP($B$5,标准坦克设计!$B$24:$U$30,MATCH("对"&amp;LEFT($C$5,2)&amp;"输出",标准坦克设计!$B$23:$U$23,0)))*(VLOOKUP($Q52,INDIRECT($B$5&amp;"生成成长"),3))*(VLOOKUP($B$5,标准坦克设计!$B$14:$K$20,9)/30))</f>
        <v>5.2821954169348642</v>
      </c>
      <c r="AA52" s="172">
        <f ca="1">(VLOOKUP(AA$41,INDIRECT($C$5&amp;"生成成长"),2))/((VLOOKUP($Q52,INDIRECT($B$5&amp;"生成成长"),4))/(VLOOKUP(AA$41,INDIRECT($C$5&amp;"生成成长"),5))*(VLOOKUP($B$5,标准坦克设计!$B$24:$U$30,MATCH("对"&amp;LEFT($C$5,2)&amp;"输出",标准坦克设计!$B$23:$U$23,0)))*(VLOOKUP($Q52,INDIRECT($B$5&amp;"生成成长"),3))*(VLOOKUP($B$5,标准坦克设计!$B$14:$K$20,9)/30))</f>
        <v>8.6797788840683197</v>
      </c>
      <c r="AB52" s="172">
        <f ca="1">(VLOOKUP(AB$41,INDIRECT($C$5&amp;"生成成长"),2))/((VLOOKUP($Q52,INDIRECT($B$5&amp;"生成成长"),4))/(VLOOKUP(AB$41,INDIRECT($C$5&amp;"生成成长"),5))*(VLOOKUP($B$5,标准坦克设计!$B$24:$U$30,MATCH("对"&amp;LEFT($C$5,2)&amp;"输出",标准坦克设计!$B$23:$U$23,0)))*(VLOOKUP($Q52,INDIRECT($B$5&amp;"生成成长"),3))*(VLOOKUP($B$5,标准坦克设计!$B$14:$K$20,9)/30))</f>
        <v>14.633401509984315</v>
      </c>
      <c r="AC52" s="172">
        <f ca="1">(VLOOKUP(AC$41,INDIRECT($C$5&amp;"生成成长"),2))/((VLOOKUP($Q52,INDIRECT($B$5&amp;"生成成长"),4))/(VLOOKUP(AC$41,INDIRECT($C$5&amp;"生成成长"),5))*(VLOOKUP($B$5,标准坦克设计!$B$24:$U$30,MATCH("对"&amp;LEFT($C$5,2)&amp;"输出",标准坦克设计!$B$23:$U$23,0)))*(VLOOKUP($Q52,INDIRECT($B$5&amp;"生成成长"),3))*(VLOOKUP($B$5,标准坦克设计!$B$14:$K$20,9)/30))</f>
        <v>3.6583503774960788</v>
      </c>
      <c r="AD52" s="172">
        <f ca="1">(VLOOKUP(AD$41,INDIRECT($C$5&amp;"生成成长"),2))/((VLOOKUP($Q52,INDIRECT($B$5&amp;"生成成长"),4))/(VLOOKUP(AD$41,INDIRECT($C$5&amp;"生成成长"),5))*(VLOOKUP($B$5,标准坦克设计!$B$24:$U$30,MATCH("对"&amp;LEFT($C$5,2)&amp;"输出",标准坦克设计!$B$23:$U$23,0)))*(VLOOKUP($Q52,INDIRECT($B$5&amp;"生成成长"),3))*(VLOOKUP($B$5,标准坦克设计!$B$14:$K$20,9)/30))</f>
        <v>6.3992580484608848</v>
      </c>
      <c r="AE52" s="172">
        <f ca="1">(VLOOKUP(AE$41,INDIRECT($C$5&amp;"生成成长"),2))/((VLOOKUP($Q52,INDIRECT($B$5&amp;"生成成长"),4))/(VLOOKUP(AE$41,INDIRECT($C$5&amp;"生成成长"),5))*(VLOOKUP($B$5,标准坦克设计!$B$24:$U$30,MATCH("对"&amp;LEFT($C$5,2)&amp;"输出",标准坦克设计!$B$23:$U$23,0)))*(VLOOKUP($Q52,INDIRECT($B$5&amp;"生成成长"),3))*(VLOOKUP($B$5,标准坦克设计!$B$14:$K$20,9)/30))</f>
        <v>10.998129955759385</v>
      </c>
      <c r="AF52" s="172">
        <f ca="1">(VLOOKUP(AF$41,INDIRECT($C$5&amp;"生成成长"),2))/((VLOOKUP($Q52,INDIRECT($B$5&amp;"生成成长"),4))/(VLOOKUP(AF$41,INDIRECT($C$5&amp;"生成成长"),5))*(VLOOKUP($B$5,标准坦克设计!$B$24:$U$30,MATCH("对"&amp;LEFT($C$5,2)&amp;"输出",标准坦克设计!$B$23:$U$23,0)))*(VLOOKUP($Q52,INDIRECT($B$5&amp;"生成成长"),3))*(VLOOKUP($B$5,标准坦克设计!$B$14:$K$20,9)/30))</f>
        <v>19.055256463533006</v>
      </c>
      <c r="AG52" s="172">
        <f ca="1">(VLOOKUP(AG$41,INDIRECT($C$5&amp;"生成成长"),2))/((VLOOKUP($Q52,INDIRECT($B$5&amp;"生成成长"),4))/(VLOOKUP(AG$41,INDIRECT($C$5&amp;"生成成长"),5))*(VLOOKUP($B$5,标准坦克设计!$B$24:$U$30,MATCH("对"&amp;LEFT($C$5,2)&amp;"输出",标准坦克设计!$B$23:$U$23,0)))*(VLOOKUP($Q52,INDIRECT($B$5&amp;"生成成长"),3))*(VLOOKUP($B$5,标准坦克设计!$B$14:$K$20,9)/30))</f>
        <v>10.492537177912146</v>
      </c>
      <c r="AH52" s="172">
        <f ca="1">(VLOOKUP(AH$41,INDIRECT($C$5&amp;"生成成长"),2))/((VLOOKUP($Q52,INDIRECT($B$5&amp;"生成成长"),4))/(VLOOKUP(AH$41,INDIRECT($C$5&amp;"生成成长"),5))*(VLOOKUP($B$5,标准坦克设计!$B$24:$U$30,MATCH("对"&amp;LEFT($C$5,2)&amp;"输出",标准坦克设计!$B$23:$U$23,0)))*(VLOOKUP($Q52,INDIRECT($B$5&amp;"生成成长"),3))*(VLOOKUP($B$5,标准坦克设计!$B$14:$K$20,9)/30))</f>
        <v>18.255825059501603</v>
      </c>
      <c r="AI52" s="172">
        <f ca="1">(VLOOKUP(AI$41,INDIRECT($C$5&amp;"生成成长"),2))/((VLOOKUP($Q52,INDIRECT($B$5&amp;"生成成长"),4))/(VLOOKUP(AI$41,INDIRECT($C$5&amp;"生成成长"),5))*(VLOOKUP($B$5,标准坦克设计!$B$24:$U$30,MATCH("对"&amp;LEFT($C$5,2)&amp;"输出",标准坦克设计!$B$23:$U$23,0)))*(VLOOKUP($Q52,INDIRECT($B$5&amp;"生成成长"),3))*(VLOOKUP($B$5,标准坦克设计!$B$14:$K$20,9)/30))</f>
        <v>31.351272820777897</v>
      </c>
      <c r="AJ52" s="172">
        <f ca="1">(VLOOKUP(AJ$41,INDIRECT($C$5&amp;"生成成长"),2))/((VLOOKUP($Q52,INDIRECT($B$5&amp;"生成成长"),4))/(VLOOKUP(AJ$41,INDIRECT($C$5&amp;"生成成长"),5))*(VLOOKUP($B$5,标准坦克设计!$B$24:$U$30,MATCH("对"&amp;LEFT($C$5,2)&amp;"输出",标准坦克设计!$B$23:$U$23,0)))*(VLOOKUP($Q52,INDIRECT($B$5&amp;"生成成长"),3))*(VLOOKUP($B$5,标准坦克设计!$B$14:$K$20,9)/30))</f>
        <v>52.557856294802555</v>
      </c>
      <c r="AK52" s="172">
        <f ca="1">(VLOOKUP(AK$41,INDIRECT($C$5&amp;"生成成长"),2))/((VLOOKUP($Q52,INDIRECT($B$5&amp;"生成成长"),4))/(VLOOKUP(AK$41,INDIRECT($C$5&amp;"生成成长"),5))*(VLOOKUP($B$5,标准坦克设计!$B$24:$U$30,MATCH("对"&amp;LEFT($C$5,2)&amp;"输出",标准坦克设计!$B$23:$U$23,0)))*(VLOOKUP($Q52,INDIRECT($B$5&amp;"生成成长"),3))*(VLOOKUP($B$5,标准坦克设计!$B$14:$K$20,9)/30))</f>
        <v>19.325540414419816</v>
      </c>
      <c r="AL52" s="172">
        <f ca="1">(VLOOKUP(AL$41,INDIRECT($C$5&amp;"生成成长"),2))/((VLOOKUP($Q52,INDIRECT($B$5&amp;"生成成长"),4))/(VLOOKUP(AL$41,INDIRECT($C$5&amp;"生成成长"),5))*(VLOOKUP($B$5,标准坦克设计!$B$24:$U$30,MATCH("对"&amp;LEFT($C$5,2)&amp;"输出",标准坦克设计!$B$23:$U$23,0)))*(VLOOKUP($Q52,INDIRECT($B$5&amp;"生成成长"),3))*(VLOOKUP($B$5,标准坦克设计!$B$14:$K$20,9)/30))</f>
        <v>33.102408277227632</v>
      </c>
      <c r="AM52" s="172">
        <f ca="1">(VLOOKUP(AM$41,INDIRECT($C$5&amp;"生成成长"),2))/((VLOOKUP($Q52,INDIRECT($B$5&amp;"生成成长"),4))/(VLOOKUP(AM$41,INDIRECT($C$5&amp;"生成成长"),5))*(VLOOKUP($B$5,标准坦克设计!$B$24:$U$30,MATCH("对"&amp;LEFT($C$5,2)&amp;"输出",标准坦克设计!$B$23:$U$23,0)))*(VLOOKUP($Q52,INDIRECT($B$5&amp;"生成成长"),3))*(VLOOKUP($B$5,标准坦克设计!$B$14:$K$20,9)/30))</f>
        <v>55.275923068509321</v>
      </c>
    </row>
    <row r="53" spans="16:39" x14ac:dyDescent="0.15">
      <c r="P53" s="170" t="str">
        <f t="shared" si="6"/>
        <v>T5高初</v>
      </c>
      <c r="Q53" s="171">
        <v>30501</v>
      </c>
      <c r="R53" s="172">
        <f ca="1">(VLOOKUP(R$41,INDIRECT($C$5&amp;"生成成长"),2))/((VLOOKUP($Q53,INDIRECT($B$5&amp;"生成成长"),4))/(VLOOKUP(R$41,INDIRECT($C$5&amp;"生成成长"),5))*(VLOOKUP($B$5,标准坦克设计!$B$24:$U$30,MATCH("对"&amp;LEFT($C$5,2)&amp;"输出",标准坦克设计!$B$23:$U$23,0)))*(VLOOKUP($Q53,INDIRECT($B$5&amp;"生成成长"),3))*(VLOOKUP($B$5,标准坦克设计!$B$14:$K$20,9)/30))</f>
        <v>1.4082441329700441</v>
      </c>
      <c r="S53" s="172">
        <f ca="1">(VLOOKUP(S$41,INDIRECT($C$5&amp;"生成成长"),2))/((VLOOKUP($Q53,INDIRECT($B$5&amp;"生成成长"),4))/(VLOOKUP(S$41,INDIRECT($C$5&amp;"生成成长"),5))*(VLOOKUP($B$5,标准坦克设计!$B$24:$U$30,MATCH("对"&amp;LEFT($C$5,2)&amp;"输出",标准坦克设计!$B$23:$U$23,0)))*(VLOOKUP($Q53,INDIRECT($B$5&amp;"生成成长"),3))*(VLOOKUP($B$5,标准坦克设计!$B$14:$K$20,9)/30))</f>
        <v>1.8949333053244914</v>
      </c>
      <c r="T53" s="172">
        <f ca="1">(VLOOKUP(T$41,INDIRECT($C$5&amp;"生成成长"),2))/((VLOOKUP($Q53,INDIRECT($B$5&amp;"生成成长"),4))/(VLOOKUP(T$41,INDIRECT($C$5&amp;"生成成长"),5))*(VLOOKUP($B$5,标准坦克设计!$B$24:$U$30,MATCH("对"&amp;LEFT($C$5,2)&amp;"输出",标准坦克设计!$B$23:$U$23,0)))*(VLOOKUP($Q53,INDIRECT($B$5&amp;"生成成长"),3))*(VLOOKUP($B$5,标准坦克设计!$B$14:$K$20,9)/30))</f>
        <v>2.8797184275104435</v>
      </c>
      <c r="U53" s="172">
        <f ca="1">(VLOOKUP(U$41,INDIRECT($C$5&amp;"生成成长"),2))/((VLOOKUP($Q53,INDIRECT($B$5&amp;"生成成长"),4))/(VLOOKUP(U$41,INDIRECT($C$5&amp;"生成成长"),5))*(VLOOKUP($B$5,标准坦克设计!$B$24:$U$30,MATCH("对"&amp;LEFT($C$5,2)&amp;"输出",标准坦克设计!$B$23:$U$23,0)))*(VLOOKUP($Q53,INDIRECT($B$5&amp;"生成成长"),3))*(VLOOKUP($B$5,标准坦克设计!$B$14:$K$20,9)/30))</f>
        <v>4.7160687769033807</v>
      </c>
      <c r="V53" s="172">
        <f ca="1">(VLOOKUP(V$41,INDIRECT($C$5&amp;"生成成长"),2))/((VLOOKUP($Q53,INDIRECT($B$5&amp;"生成成长"),4))/(VLOOKUP(V$41,INDIRECT($C$5&amp;"生成成长"),5))*(VLOOKUP($B$5,标准坦克设计!$B$24:$U$30,MATCH("对"&amp;LEFT($C$5,2)&amp;"输出",标准坦克设计!$B$23:$U$23,0)))*(VLOOKUP($Q53,INDIRECT($B$5&amp;"生成成长"),3))*(VLOOKUP($B$5,标准坦克设计!$B$14:$K$20,9)/30))</f>
        <v>1.9608391307474893</v>
      </c>
      <c r="W53" s="172">
        <f ca="1">(VLOOKUP(W$41,INDIRECT($C$5&amp;"生成成长"),2))/((VLOOKUP($Q53,INDIRECT($B$5&amp;"生成成长"),4))/(VLOOKUP(W$41,INDIRECT($C$5&amp;"生成成长"),5))*(VLOOKUP($B$5,标准坦克设计!$B$24:$U$30,MATCH("对"&amp;LEFT($C$5,2)&amp;"输出",标准坦克设计!$B$23:$U$23,0)))*(VLOOKUP($Q53,INDIRECT($B$5&amp;"生成成长"),3))*(VLOOKUP($B$5,标准坦克设计!$B$14:$K$20,9)/30))</f>
        <v>3.0018131938389465</v>
      </c>
      <c r="X53" s="172">
        <f ca="1">(VLOOKUP(X$41,INDIRECT($C$5&amp;"生成成长"),2))/((VLOOKUP($Q53,INDIRECT($B$5&amp;"生成成长"),4))/(VLOOKUP(X$41,INDIRECT($C$5&amp;"生成成长"),5))*(VLOOKUP($B$5,标准坦克设计!$B$24:$U$30,MATCH("对"&amp;LEFT($C$5,2)&amp;"输出",标准坦克设计!$B$23:$U$23,0)))*(VLOOKUP($Q53,INDIRECT($B$5&amp;"生成成长"),3))*(VLOOKUP($B$5,标准坦克设计!$B$14:$K$20,9)/30))</f>
        <v>4.9244889085829469</v>
      </c>
      <c r="Y53" s="172">
        <f ca="1">(VLOOKUP(Y$41,INDIRECT($C$5&amp;"生成成长"),2))/((VLOOKUP($Q53,INDIRECT($B$5&amp;"生成成长"),4))/(VLOOKUP(Y$41,INDIRECT($C$5&amp;"生成成长"),5))*(VLOOKUP($B$5,标准坦克设计!$B$24:$U$30,MATCH("对"&amp;LEFT($C$5,2)&amp;"输出",标准坦克设计!$B$23:$U$23,0)))*(VLOOKUP($Q53,INDIRECT($B$5&amp;"生成成长"),3))*(VLOOKUP($B$5,标准坦克设计!$B$14:$K$20,9)/30))</f>
        <v>8.3155407807748141</v>
      </c>
      <c r="Z53" s="172">
        <f ca="1">(VLOOKUP(Z$41,INDIRECT($C$5&amp;"生成成长"),2))/((VLOOKUP($Q53,INDIRECT($B$5&amp;"生成成长"),4))/(VLOOKUP(Z$41,INDIRECT($C$5&amp;"生成成长"),5))*(VLOOKUP($B$5,标准坦克设计!$B$24:$U$30,MATCH("对"&amp;LEFT($C$5,2)&amp;"输出",标准坦克设计!$B$23:$U$23,0)))*(VLOOKUP($Q53,INDIRECT($B$5&amp;"生成成长"),3))*(VLOOKUP($B$5,标准坦克设计!$B$14:$K$20,9)/30))</f>
        <v>3.1264427996067945</v>
      </c>
      <c r="AA53" s="172">
        <f ca="1">(VLOOKUP(AA$41,INDIRECT($C$5&amp;"生成成长"),2))/((VLOOKUP($Q53,INDIRECT($B$5&amp;"生成成长"),4))/(VLOOKUP(AA$41,INDIRECT($C$5&amp;"生成成长"),5))*(VLOOKUP($B$5,标准坦克设计!$B$24:$U$30,MATCH("对"&amp;LEFT($C$5,2)&amp;"输出",标准坦克设计!$B$23:$U$23,0)))*(VLOOKUP($Q53,INDIRECT($B$5&amp;"生成成长"),3))*(VLOOKUP($B$5,标准坦克设计!$B$14:$K$20,9)/30))</f>
        <v>5.1374154214880168</v>
      </c>
      <c r="AB53" s="172">
        <f ca="1">(VLOOKUP(AB$41,INDIRECT($C$5&amp;"生成成长"),2))/((VLOOKUP($Q53,INDIRECT($B$5&amp;"生成成长"),4))/(VLOOKUP(AB$41,INDIRECT($C$5&amp;"生成成长"),5))*(VLOOKUP($B$5,标准坦克设计!$B$24:$U$30,MATCH("对"&amp;LEFT($C$5,2)&amp;"输出",标准坦克设计!$B$23:$U$23,0)))*(VLOOKUP($Q53,INDIRECT($B$5&amp;"生成成长"),3))*(VLOOKUP($B$5,标准坦克设计!$B$14:$K$20,9)/30))</f>
        <v>8.6612647154189606</v>
      </c>
      <c r="AC53" s="172">
        <f ca="1">(VLOOKUP(AC$41,INDIRECT($C$5&amp;"生成成长"),2))/((VLOOKUP($Q53,INDIRECT($B$5&amp;"生成成长"),4))/(VLOOKUP(AC$41,INDIRECT($C$5&amp;"生成成长"),5))*(VLOOKUP($B$5,标准坦克设计!$B$24:$U$30,MATCH("对"&amp;LEFT($C$5,2)&amp;"输出",标准坦克设计!$B$23:$U$23,0)))*(VLOOKUP($Q53,INDIRECT($B$5&amp;"生成成长"),3))*(VLOOKUP($B$5,标准坦克设计!$B$14:$K$20,9)/30))</f>
        <v>2.1653161788547401</v>
      </c>
      <c r="AD53" s="172">
        <f ca="1">(VLOOKUP(AD$41,INDIRECT($C$5&amp;"生成成长"),2))/((VLOOKUP($Q53,INDIRECT($B$5&amp;"生成成长"),4))/(VLOOKUP(AD$41,INDIRECT($C$5&amp;"生成成长"),5))*(VLOOKUP($B$5,标准坦克设计!$B$24:$U$30,MATCH("对"&amp;LEFT($C$5,2)&amp;"输出",标准坦克设计!$B$23:$U$23,0)))*(VLOOKUP($Q53,INDIRECT($B$5&amp;"生成成长"),3))*(VLOOKUP($B$5,标准坦克设计!$B$14:$K$20,9)/30))</f>
        <v>3.7876134200362301</v>
      </c>
      <c r="AE53" s="172">
        <f ca="1">(VLOOKUP(AE$41,INDIRECT($C$5&amp;"生成成长"),2))/((VLOOKUP($Q53,INDIRECT($B$5&amp;"生成成长"),4))/(VLOOKUP(AE$41,INDIRECT($C$5&amp;"生成成长"),5))*(VLOOKUP($B$5,标准坦克设计!$B$24:$U$30,MATCH("对"&amp;LEFT($C$5,2)&amp;"输出",标准坦克设计!$B$23:$U$23,0)))*(VLOOKUP($Q53,INDIRECT($B$5&amp;"生成成长"),3))*(VLOOKUP($B$5,标准坦克设计!$B$14:$K$20,9)/30))</f>
        <v>6.509608504654028</v>
      </c>
      <c r="AF53" s="172">
        <f ca="1">(VLOOKUP(AF$41,INDIRECT($C$5&amp;"生成成长"),2))/((VLOOKUP($Q53,INDIRECT($B$5&amp;"生成成长"),4))/(VLOOKUP(AF$41,INDIRECT($C$5&amp;"生成成长"),5))*(VLOOKUP($B$5,标准坦克设计!$B$24:$U$30,MATCH("对"&amp;LEFT($C$5,2)&amp;"输出",标准坦克设计!$B$23:$U$23,0)))*(VLOOKUP($Q53,INDIRECT($B$5&amp;"生成成长"),3))*(VLOOKUP($B$5,标准坦克设计!$B$14:$K$20,9)/30))</f>
        <v>11.278486436543785</v>
      </c>
      <c r="AG53" s="172">
        <f ca="1">(VLOOKUP(AG$41,INDIRECT($C$5&amp;"生成成长"),2))/((VLOOKUP($Q53,INDIRECT($B$5&amp;"生成成长"),4))/(VLOOKUP(AG$41,INDIRECT($C$5&amp;"生成成长"),5))*(VLOOKUP($B$5,标准坦克设计!$B$24:$U$30,MATCH("对"&amp;LEFT($C$5,2)&amp;"输出",标准坦克设计!$B$23:$U$23,0)))*(VLOOKUP($Q53,INDIRECT($B$5&amp;"生成成长"),3))*(VLOOKUP($B$5,标准坦克设计!$B$14:$K$20,9)/30))</f>
        <v>6.2103566263978953</v>
      </c>
      <c r="AH53" s="172">
        <f ca="1">(VLOOKUP(AH$41,INDIRECT($C$5&amp;"生成成长"),2))/((VLOOKUP($Q53,INDIRECT($B$5&amp;"生成成长"),4))/(VLOOKUP(AH$41,INDIRECT($C$5&amp;"生成成长"),5))*(VLOOKUP($B$5,标准坦克设计!$B$24:$U$30,MATCH("对"&amp;LEFT($C$5,2)&amp;"输出",标准坦克设计!$B$23:$U$23,0)))*(VLOOKUP($Q53,INDIRECT($B$5&amp;"生成成长"),3))*(VLOOKUP($B$5,标准坦克设计!$B$14:$K$20,9)/30))</f>
        <v>10.805316407865853</v>
      </c>
      <c r="AI53" s="172">
        <f ca="1">(VLOOKUP(AI$41,INDIRECT($C$5&amp;"生成成长"),2))/((VLOOKUP($Q53,INDIRECT($B$5&amp;"生成成长"),4))/(VLOOKUP(AI$41,INDIRECT($C$5&amp;"生成成长"),5))*(VLOOKUP($B$5,标准坦克设计!$B$24:$U$30,MATCH("对"&amp;LEFT($C$5,2)&amp;"输出",标准坦克设计!$B$23:$U$23,0)))*(VLOOKUP($Q53,INDIRECT($B$5&amp;"生成成长"),3))*(VLOOKUP($B$5,标准坦克设计!$B$14:$K$20,9)/30))</f>
        <v>18.556292115732976</v>
      </c>
      <c r="AJ53" s="172">
        <f ca="1">(VLOOKUP(AJ$41,INDIRECT($C$5&amp;"生成成长"),2))/((VLOOKUP($Q53,INDIRECT($B$5&amp;"生成成长"),4))/(VLOOKUP(AJ$41,INDIRECT($C$5&amp;"生成成长"),5))*(VLOOKUP($B$5,标准坦克设计!$B$24:$U$30,MATCH("对"&amp;LEFT($C$5,2)&amp;"输出",标准坦克设计!$B$23:$U$23,0)))*(VLOOKUP($Q53,INDIRECT($B$5&amp;"生成成长"),3))*(VLOOKUP($B$5,标准坦克设计!$B$14:$K$20,9)/30))</f>
        <v>31.108112897308274</v>
      </c>
      <c r="AK53" s="172">
        <f ca="1">(VLOOKUP(AK$41,INDIRECT($C$5&amp;"生成成长"),2))/((VLOOKUP($Q53,INDIRECT($B$5&amp;"生成成长"),4))/(VLOOKUP(AK$41,INDIRECT($C$5&amp;"生成成长"),5))*(VLOOKUP($B$5,标准坦克设计!$B$24:$U$30,MATCH("对"&amp;LEFT($C$5,2)&amp;"输出",标准坦克设计!$B$23:$U$23,0)))*(VLOOKUP($Q53,INDIRECT($B$5&amp;"生成成长"),3))*(VLOOKUP($B$5,标准坦克设计!$B$14:$K$20,9)/30))</f>
        <v>11.438462970049182</v>
      </c>
      <c r="AL53" s="172">
        <f ca="1">(VLOOKUP(AL$41,INDIRECT($C$5&amp;"生成成长"),2))/((VLOOKUP($Q53,INDIRECT($B$5&amp;"生成成长"),4))/(VLOOKUP(AL$41,INDIRECT($C$5&amp;"生成成长"),5))*(VLOOKUP($B$5,标准坦克设计!$B$24:$U$30,MATCH("对"&amp;LEFT($C$5,2)&amp;"输出",标准坦克设计!$B$23:$U$23,0)))*(VLOOKUP($Q53,INDIRECT($B$5&amp;"生成成长"),3))*(VLOOKUP($B$5,标准坦克设计!$B$14:$K$20,9)/30))</f>
        <v>19.592759797598926</v>
      </c>
      <c r="AM53" s="172">
        <f ca="1">(VLOOKUP(AM$41,INDIRECT($C$5&amp;"生成成长"),2))/((VLOOKUP($Q53,INDIRECT($B$5&amp;"生成成长"),4))/(VLOOKUP(AM$41,INDIRECT($C$5&amp;"生成成长"),5))*(VLOOKUP($B$5,标准坦克设计!$B$24:$U$30,MATCH("对"&amp;LEFT($C$5,2)&amp;"输出",标准坦克设计!$B$23:$U$23,0)))*(VLOOKUP($Q53,INDIRECT($B$5&amp;"生成成长"),3))*(VLOOKUP($B$5,标准坦克设计!$B$14:$K$20,9)/30))</f>
        <v>32.716890994813255</v>
      </c>
    </row>
    <row r="54" spans="16:39" x14ac:dyDescent="0.15">
      <c r="P54" s="174" t="str">
        <f t="shared" ref="P54:P65" si="7">"T"&amp;LEFT(RIGHT(Q54,3),1)&amp;""&amp;IF(LEFT(Q54,1)="1","低",IF(LEFT(Q54,1)="2","中","高"))&amp;"满"</f>
        <v>T1低满</v>
      </c>
      <c r="Q54" s="178">
        <v>10105</v>
      </c>
      <c r="R54" s="172">
        <f ca="1">(VLOOKUP(R$41,INDIRECT($C$5&amp;"生成成长"),2))/((VLOOKUP($Q54,INDIRECT($B$5&amp;"生成成长"),4))/(VLOOKUP(R$41,INDIRECT($C$5&amp;"生成成长"),5))*(VLOOKUP($B$5,标准坦克设计!$B$24:$U$30,MATCH("对"&amp;LEFT($C$5,2)&amp;"输出",标准坦克设计!$B$23:$U$23,0)))*(VLOOKUP($Q54,INDIRECT($B$5&amp;"生成成长"),3))*(VLOOKUP($B$5,标准坦克设计!$B$14:$K$20,9)/30))</f>
        <v>5.6329765318801766</v>
      </c>
      <c r="S54" s="172">
        <f ca="1">(VLOOKUP(S$41,INDIRECT($C$5&amp;"生成成长"),2))/((VLOOKUP($Q54,INDIRECT($B$5&amp;"生成成长"),4))/(VLOOKUP(S$41,INDIRECT($C$5&amp;"生成成长"),5))*(VLOOKUP($B$5,标准坦克设计!$B$24:$U$30,MATCH("对"&amp;LEFT($C$5,2)&amp;"输出",标准坦克设计!$B$23:$U$23,0)))*(VLOOKUP($Q54,INDIRECT($B$5&amp;"生成成长"),3))*(VLOOKUP($B$5,标准坦克设计!$B$14:$K$20,9)/30))</f>
        <v>7.5797332212979658</v>
      </c>
      <c r="T54" s="172">
        <f ca="1">(VLOOKUP(T$41,INDIRECT($C$5&amp;"生成成长"),2))/((VLOOKUP($Q54,INDIRECT($B$5&amp;"生成成长"),4))/(VLOOKUP(T$41,INDIRECT($C$5&amp;"生成成长"),5))*(VLOOKUP($B$5,标准坦克设计!$B$24:$U$30,MATCH("对"&amp;LEFT($C$5,2)&amp;"输出",标准坦克设计!$B$23:$U$23,0)))*(VLOOKUP($Q54,INDIRECT($B$5&amp;"生成成长"),3))*(VLOOKUP($B$5,标准坦克设计!$B$14:$K$20,9)/30))</f>
        <v>11.518873710041774</v>
      </c>
      <c r="U54" s="172">
        <f ca="1">(VLOOKUP(U$41,INDIRECT($C$5&amp;"生成成长"),2))/((VLOOKUP($Q54,INDIRECT($B$5&amp;"生成成长"),4))/(VLOOKUP(U$41,INDIRECT($C$5&amp;"生成成长"),5))*(VLOOKUP($B$5,标准坦克设计!$B$24:$U$30,MATCH("对"&amp;LEFT($C$5,2)&amp;"输出",标准坦克设计!$B$23:$U$23,0)))*(VLOOKUP($Q54,INDIRECT($B$5&amp;"生成成长"),3))*(VLOOKUP($B$5,标准坦克设计!$B$14:$K$20,9)/30))</f>
        <v>18.864275107613523</v>
      </c>
      <c r="V54" s="172">
        <f ca="1">(VLOOKUP(V$41,INDIRECT($C$5&amp;"生成成长"),2))/((VLOOKUP($Q54,INDIRECT($B$5&amp;"生成成长"),4))/(VLOOKUP(V$41,INDIRECT($C$5&amp;"生成成长"),5))*(VLOOKUP($B$5,标准坦克设计!$B$24:$U$30,MATCH("对"&amp;LEFT($C$5,2)&amp;"输出",标准坦克设计!$B$23:$U$23,0)))*(VLOOKUP($Q54,INDIRECT($B$5&amp;"生成成长"),3))*(VLOOKUP($B$5,标准坦克设计!$B$14:$K$20,9)/30))</f>
        <v>7.8433565229899571</v>
      </c>
      <c r="W54" s="172">
        <f ca="1">(VLOOKUP(W$41,INDIRECT($C$5&amp;"生成成长"),2))/((VLOOKUP($Q54,INDIRECT($B$5&amp;"生成成长"),4))/(VLOOKUP(W$41,INDIRECT($C$5&amp;"生成成长"),5))*(VLOOKUP($B$5,标准坦克设计!$B$24:$U$30,MATCH("对"&amp;LEFT($C$5,2)&amp;"输出",标准坦克设计!$B$23:$U$23,0)))*(VLOOKUP($Q54,INDIRECT($B$5&amp;"生成成长"),3))*(VLOOKUP($B$5,标准坦克设计!$B$14:$K$20,9)/30))</f>
        <v>12.007252775355786</v>
      </c>
      <c r="X54" s="172">
        <f ca="1">(VLOOKUP(X$41,INDIRECT($C$5&amp;"生成成长"),2))/((VLOOKUP($Q54,INDIRECT($B$5&amp;"生成成长"),4))/(VLOOKUP(X$41,INDIRECT($C$5&amp;"生成成长"),5))*(VLOOKUP($B$5,标准坦克设计!$B$24:$U$30,MATCH("对"&amp;LEFT($C$5,2)&amp;"输出",标准坦克设计!$B$23:$U$23,0)))*(VLOOKUP($Q54,INDIRECT($B$5&amp;"生成成长"),3))*(VLOOKUP($B$5,标准坦克设计!$B$14:$K$20,9)/30))</f>
        <v>19.697955634331787</v>
      </c>
      <c r="Y54" s="172">
        <f ca="1">(VLOOKUP(Y$41,INDIRECT($C$5&amp;"生成成长"),2))/((VLOOKUP($Q54,INDIRECT($B$5&amp;"生成成长"),4))/(VLOOKUP(Y$41,INDIRECT($C$5&amp;"生成成长"),5))*(VLOOKUP($B$5,标准坦克设计!$B$24:$U$30,MATCH("对"&amp;LEFT($C$5,2)&amp;"输出",标准坦克设计!$B$23:$U$23,0)))*(VLOOKUP($Q54,INDIRECT($B$5&amp;"生成成长"),3))*(VLOOKUP($B$5,标准坦克设计!$B$14:$K$20,9)/30))</f>
        <v>33.262163123099256</v>
      </c>
      <c r="Z54" s="172">
        <f ca="1">(VLOOKUP(Z$41,INDIRECT($C$5&amp;"生成成长"),2))/((VLOOKUP($Q54,INDIRECT($B$5&amp;"生成成长"),4))/(VLOOKUP(Z$41,INDIRECT($C$5&amp;"生成成长"),5))*(VLOOKUP($B$5,标准坦克设计!$B$24:$U$30,MATCH("对"&amp;LEFT($C$5,2)&amp;"输出",标准坦克设计!$B$23:$U$23,0)))*(VLOOKUP($Q54,INDIRECT($B$5&amp;"生成成长"),3))*(VLOOKUP($B$5,标准坦克设计!$B$14:$K$20,9)/30))</f>
        <v>12.505771198427178</v>
      </c>
      <c r="AA54" s="172">
        <f ca="1">(VLOOKUP(AA$41,INDIRECT($C$5&amp;"生成成长"),2))/((VLOOKUP($Q54,INDIRECT($B$5&amp;"生成成长"),4))/(VLOOKUP(AA$41,INDIRECT($C$5&amp;"生成成长"),5))*(VLOOKUP($B$5,标准坦克设计!$B$24:$U$30,MATCH("对"&amp;LEFT($C$5,2)&amp;"输出",标准坦克设计!$B$23:$U$23,0)))*(VLOOKUP($Q54,INDIRECT($B$5&amp;"生成成长"),3))*(VLOOKUP($B$5,标准坦克设计!$B$14:$K$20,9)/30))</f>
        <v>20.549661685952067</v>
      </c>
      <c r="AB54" s="172">
        <f ca="1">(VLOOKUP(AB$41,INDIRECT($C$5&amp;"生成成长"),2))/((VLOOKUP($Q54,INDIRECT($B$5&amp;"生成成长"),4))/(VLOOKUP(AB$41,INDIRECT($C$5&amp;"生成成长"),5))*(VLOOKUP($B$5,标准坦克设计!$B$24:$U$30,MATCH("对"&amp;LEFT($C$5,2)&amp;"输出",标准坦克设计!$B$23:$U$23,0)))*(VLOOKUP($Q54,INDIRECT($B$5&amp;"生成成长"),3))*(VLOOKUP($B$5,标准坦克设计!$B$14:$K$20,9)/30))</f>
        <v>34.645058861675842</v>
      </c>
      <c r="AC54" s="172">
        <f ca="1">(VLOOKUP(AC$41,INDIRECT($C$5&amp;"生成成长"),2))/((VLOOKUP($Q54,INDIRECT($B$5&amp;"生成成长"),4))/(VLOOKUP(AC$41,INDIRECT($C$5&amp;"生成成长"),5))*(VLOOKUP($B$5,标准坦克设计!$B$24:$U$30,MATCH("对"&amp;LEFT($C$5,2)&amp;"输出",标准坦克设计!$B$23:$U$23,0)))*(VLOOKUP($Q54,INDIRECT($B$5&amp;"生成成长"),3))*(VLOOKUP($B$5,标准坦克设计!$B$14:$K$20,9)/30))</f>
        <v>8.6612647154189606</v>
      </c>
      <c r="AD54" s="172">
        <f ca="1">(VLOOKUP(AD$41,INDIRECT($C$5&amp;"生成成长"),2))/((VLOOKUP($Q54,INDIRECT($B$5&amp;"生成成长"),4))/(VLOOKUP(AD$41,INDIRECT($C$5&amp;"生成成长"),5))*(VLOOKUP($B$5,标准坦克设计!$B$24:$U$30,MATCH("对"&amp;LEFT($C$5,2)&amp;"输出",标准坦克设计!$B$23:$U$23,0)))*(VLOOKUP($Q54,INDIRECT($B$5&amp;"生成成长"),3))*(VLOOKUP($B$5,标准坦克设计!$B$14:$K$20,9)/30))</f>
        <v>15.150453680144921</v>
      </c>
      <c r="AE54" s="172">
        <f ca="1">(VLOOKUP(AE$41,INDIRECT($C$5&amp;"生成成长"),2))/((VLOOKUP($Q54,INDIRECT($B$5&amp;"生成成长"),4))/(VLOOKUP(AE$41,INDIRECT($C$5&amp;"生成成长"),5))*(VLOOKUP($B$5,标准坦克设计!$B$24:$U$30,MATCH("对"&amp;LEFT($C$5,2)&amp;"输出",标准坦克设计!$B$23:$U$23,0)))*(VLOOKUP($Q54,INDIRECT($B$5&amp;"生成成长"),3))*(VLOOKUP($B$5,标准坦克设计!$B$14:$K$20,9)/30))</f>
        <v>26.038434018616112</v>
      </c>
      <c r="AF54" s="172">
        <f ca="1">(VLOOKUP(AF$41,INDIRECT($C$5&amp;"生成成长"),2))/((VLOOKUP($Q54,INDIRECT($B$5&amp;"生成成长"),4))/(VLOOKUP(AF$41,INDIRECT($C$5&amp;"生成成长"),5))*(VLOOKUP($B$5,标准坦克设计!$B$24:$U$30,MATCH("对"&amp;LEFT($C$5,2)&amp;"输出",标准坦克设计!$B$23:$U$23,0)))*(VLOOKUP($Q54,INDIRECT($B$5&amp;"生成成长"),3))*(VLOOKUP($B$5,标准坦克设计!$B$14:$K$20,9)/30))</f>
        <v>45.113945746175141</v>
      </c>
      <c r="AG54" s="172">
        <f ca="1">(VLOOKUP(AG$41,INDIRECT($C$5&amp;"生成成长"),2))/((VLOOKUP($Q54,INDIRECT($B$5&amp;"生成成长"),4))/(VLOOKUP(AG$41,INDIRECT($C$5&amp;"生成成长"),5))*(VLOOKUP($B$5,标准坦克设计!$B$24:$U$30,MATCH("对"&amp;LEFT($C$5,2)&amp;"输出",标准坦克设计!$B$23:$U$23,0)))*(VLOOKUP($Q54,INDIRECT($B$5&amp;"生成成长"),3))*(VLOOKUP($B$5,标准坦克设计!$B$14:$K$20,9)/30))</f>
        <v>24.841426505591581</v>
      </c>
      <c r="AH54" s="172">
        <f ca="1">(VLOOKUP(AH$41,INDIRECT($C$5&amp;"生成成长"),2))/((VLOOKUP($Q54,INDIRECT($B$5&amp;"生成成长"),4))/(VLOOKUP(AH$41,INDIRECT($C$5&amp;"生成成长"),5))*(VLOOKUP($B$5,标准坦克设计!$B$24:$U$30,MATCH("对"&amp;LEFT($C$5,2)&amp;"输出",标准坦克设计!$B$23:$U$23,0)))*(VLOOKUP($Q54,INDIRECT($B$5&amp;"生成成长"),3))*(VLOOKUP($B$5,标准坦克设计!$B$14:$K$20,9)/30))</f>
        <v>43.22126563146341</v>
      </c>
      <c r="AI54" s="172">
        <f ca="1">(VLOOKUP(AI$41,INDIRECT($C$5&amp;"生成成长"),2))/((VLOOKUP($Q54,INDIRECT($B$5&amp;"生成成长"),4))/(VLOOKUP(AI$41,INDIRECT($C$5&amp;"生成成长"),5))*(VLOOKUP($B$5,标准坦克设计!$B$24:$U$30,MATCH("对"&amp;LEFT($C$5,2)&amp;"输出",标准坦克设计!$B$23:$U$23,0)))*(VLOOKUP($Q54,INDIRECT($B$5&amp;"生成成长"),3))*(VLOOKUP($B$5,标准坦克设计!$B$14:$K$20,9)/30))</f>
        <v>74.225168462931904</v>
      </c>
      <c r="AJ54" s="172">
        <f ca="1">(VLOOKUP(AJ$41,INDIRECT($C$5&amp;"生成成长"),2))/((VLOOKUP($Q54,INDIRECT($B$5&amp;"生成成长"),4))/(VLOOKUP(AJ$41,INDIRECT($C$5&amp;"生成成长"),5))*(VLOOKUP($B$5,标准坦克设计!$B$24:$U$30,MATCH("对"&amp;LEFT($C$5,2)&amp;"输出",标准坦克设计!$B$23:$U$23,0)))*(VLOOKUP($Q54,INDIRECT($B$5&amp;"生成成长"),3))*(VLOOKUP($B$5,标准坦克设计!$B$14:$K$20,9)/30))</f>
        <v>124.4324515892331</v>
      </c>
      <c r="AK54" s="172">
        <f ca="1">(VLOOKUP(AK$41,INDIRECT($C$5&amp;"生成成长"),2))/((VLOOKUP($Q54,INDIRECT($B$5&amp;"生成成长"),4))/(VLOOKUP(AK$41,INDIRECT($C$5&amp;"生成成长"),5))*(VLOOKUP($B$5,标准坦克设计!$B$24:$U$30,MATCH("对"&amp;LEFT($C$5,2)&amp;"输出",标准坦克设计!$B$23:$U$23,0)))*(VLOOKUP($Q54,INDIRECT($B$5&amp;"生成成长"),3))*(VLOOKUP($B$5,标准坦克设计!$B$14:$K$20,9)/30))</f>
        <v>45.753851880196727</v>
      </c>
      <c r="AL54" s="172">
        <f ca="1">(VLOOKUP(AL$41,INDIRECT($C$5&amp;"生成成长"),2))/((VLOOKUP($Q54,INDIRECT($B$5&amp;"生成成长"),4))/(VLOOKUP(AL$41,INDIRECT($C$5&amp;"生成成长"),5))*(VLOOKUP($B$5,标准坦克设计!$B$24:$U$30,MATCH("对"&amp;LEFT($C$5,2)&amp;"输出",标准坦克设计!$B$23:$U$23,0)))*(VLOOKUP($Q54,INDIRECT($B$5&amp;"生成成长"),3))*(VLOOKUP($B$5,标准坦克设计!$B$14:$K$20,9)/30))</f>
        <v>78.371039190395706</v>
      </c>
      <c r="AM54" s="172">
        <f ca="1">(VLOOKUP(AM$41,INDIRECT($C$5&amp;"生成成长"),2))/((VLOOKUP($Q54,INDIRECT($B$5&amp;"生成成长"),4))/(VLOOKUP(AM$41,INDIRECT($C$5&amp;"生成成长"),5))*(VLOOKUP($B$5,标准坦克设计!$B$24:$U$30,MATCH("对"&amp;LEFT($C$5,2)&amp;"输出",标准坦克设计!$B$23:$U$23,0)))*(VLOOKUP($Q54,INDIRECT($B$5&amp;"生成成长"),3))*(VLOOKUP($B$5,标准坦克设计!$B$14:$K$20,9)/30))</f>
        <v>130.86756397925302</v>
      </c>
    </row>
    <row r="55" spans="16:39" x14ac:dyDescent="0.15">
      <c r="P55" s="174" t="str">
        <f t="shared" si="7"/>
        <v>T2低满</v>
      </c>
      <c r="Q55" s="178">
        <v>10207</v>
      </c>
      <c r="R55" s="172">
        <f ca="1">(VLOOKUP(R$41,INDIRECT($C$5&amp;"生成成长"),2))/((VLOOKUP($Q55,INDIRECT($B$5&amp;"生成成长"),4))/(VLOOKUP(R$41,INDIRECT($C$5&amp;"生成成长"),5))*(VLOOKUP($B$5,标准坦克设计!$B$24:$U$30,MATCH("对"&amp;LEFT($C$5,2)&amp;"输出",标准坦克设计!$B$23:$U$23,0)))*(VLOOKUP($Q55,INDIRECT($B$5&amp;"生成成长"),3))*(VLOOKUP($B$5,标准坦克设计!$B$14:$K$20,9)/30))</f>
        <v>3.216647693797515</v>
      </c>
      <c r="S55" s="172">
        <f ca="1">(VLOOKUP(S$41,INDIRECT($C$5&amp;"生成成长"),2))/((VLOOKUP($Q55,INDIRECT($B$5&amp;"生成成长"),4))/(VLOOKUP(S$41,INDIRECT($C$5&amp;"生成成长"),5))*(VLOOKUP($B$5,标准坦克设计!$B$24:$U$30,MATCH("对"&amp;LEFT($C$5,2)&amp;"输出",标准坦克设计!$B$23:$U$23,0)))*(VLOOKUP($Q55,INDIRECT($B$5&amp;"生成成长"),3))*(VLOOKUP($B$5,标准坦克设计!$B$14:$K$20,9)/30))</f>
        <v>4.3283211367739369</v>
      </c>
      <c r="T55" s="172">
        <f ca="1">(VLOOKUP(T$41,INDIRECT($C$5&amp;"生成成长"),2))/((VLOOKUP($Q55,INDIRECT($B$5&amp;"生成成长"),4))/(VLOOKUP(T$41,INDIRECT($C$5&amp;"生成成长"),5))*(VLOOKUP($B$5,标准坦克设计!$B$24:$U$30,MATCH("对"&amp;LEFT($C$5,2)&amp;"输出",标准坦克设计!$B$23:$U$23,0)))*(VLOOKUP($Q55,INDIRECT($B$5&amp;"生成成长"),3))*(VLOOKUP($B$5,标准坦克设计!$B$14:$K$20,9)/30))</f>
        <v>6.5777228690465384</v>
      </c>
      <c r="U55" s="172">
        <f ca="1">(VLOOKUP(U$41,INDIRECT($C$5&amp;"生成成长"),2))/((VLOOKUP($Q55,INDIRECT($B$5&amp;"生成成长"),4))/(VLOOKUP(U$41,INDIRECT($C$5&amp;"生成成长"),5))*(VLOOKUP($B$5,标准坦克设计!$B$24:$U$30,MATCH("对"&amp;LEFT($C$5,2)&amp;"输出",标准坦克设计!$B$23:$U$23,0)))*(VLOOKUP($Q55,INDIRECT($B$5&amp;"生成成长"),3))*(VLOOKUP($B$5,标准坦克设计!$B$14:$K$20,9)/30))</f>
        <v>10.772231461758498</v>
      </c>
      <c r="V55" s="172">
        <f ca="1">(VLOOKUP(V$41,INDIRECT($C$5&amp;"生成成长"),2))/((VLOOKUP($Q55,INDIRECT($B$5&amp;"生成成长"),4))/(VLOOKUP(V$41,INDIRECT($C$5&amp;"生成成长"),5))*(VLOOKUP($B$5,标准坦克设计!$B$24:$U$30,MATCH("对"&amp;LEFT($C$5,2)&amp;"输出",标准坦克设计!$B$23:$U$23,0)))*(VLOOKUP($Q55,INDIRECT($B$5&amp;"生成成长"),3))*(VLOOKUP($B$5,标准坦克设计!$B$14:$K$20,9)/30))</f>
        <v>4.4788602488436586</v>
      </c>
      <c r="W55" s="172">
        <f ca="1">(VLOOKUP(W$41,INDIRECT($C$5&amp;"生成成长"),2))/((VLOOKUP($Q55,INDIRECT($B$5&amp;"生成成长"),4))/(VLOOKUP(W$41,INDIRECT($C$5&amp;"生成成长"),5))*(VLOOKUP($B$5,标准坦克设计!$B$24:$U$30,MATCH("对"&amp;LEFT($C$5,2)&amp;"输出",标准坦克设计!$B$23:$U$23,0)))*(VLOOKUP($Q55,INDIRECT($B$5&amp;"生成成长"),3))*(VLOOKUP($B$5,标准坦克设计!$B$14:$K$20,9)/30))</f>
        <v>6.8566062240987833</v>
      </c>
      <c r="X55" s="172">
        <f ca="1">(VLOOKUP(X$41,INDIRECT($C$5&amp;"生成成长"),2))/((VLOOKUP($Q55,INDIRECT($B$5&amp;"生成成长"),4))/(VLOOKUP(X$41,INDIRECT($C$5&amp;"生成成长"),5))*(VLOOKUP($B$5,标准坦克设计!$B$24:$U$30,MATCH("对"&amp;LEFT($C$5,2)&amp;"输出",标准坦克设计!$B$23:$U$23,0)))*(VLOOKUP($Q55,INDIRECT($B$5&amp;"生成成长"),3))*(VLOOKUP($B$5,标准坦克设计!$B$14:$K$20,9)/30))</f>
        <v>11.24829532044053</v>
      </c>
      <c r="Y55" s="172">
        <f ca="1">(VLOOKUP(Y$41,INDIRECT($C$5&amp;"生成成长"),2))/((VLOOKUP($Q55,INDIRECT($B$5&amp;"生成成长"),4))/(VLOOKUP(Y$41,INDIRECT($C$5&amp;"生成成长"),5))*(VLOOKUP($B$5,标准坦克设计!$B$24:$U$30,MATCH("对"&amp;LEFT($C$5,2)&amp;"输出",标准坦克设计!$B$23:$U$23,0)))*(VLOOKUP($Q55,INDIRECT($B$5&amp;"生成成长"),3))*(VLOOKUP($B$5,标准坦克设计!$B$14:$K$20,9)/30))</f>
        <v>18.993982967104948</v>
      </c>
      <c r="Z55" s="172">
        <f ca="1">(VLOOKUP(Z$41,INDIRECT($C$5&amp;"生成成长"),2))/((VLOOKUP($Q55,INDIRECT($B$5&amp;"生成成长"),4))/(VLOOKUP(Z$41,INDIRECT($C$5&amp;"生成成长"),5))*(VLOOKUP($B$5,标准坦克设计!$B$24:$U$30,MATCH("对"&amp;LEFT($C$5,2)&amp;"输出",标准坦克设计!$B$23:$U$23,0)))*(VLOOKUP($Q55,INDIRECT($B$5&amp;"生成成长"),3))*(VLOOKUP($B$5,标准坦克设计!$B$14:$K$20,9)/30))</f>
        <v>7.1412795449998629</v>
      </c>
      <c r="AA55" s="172">
        <f ca="1">(VLOOKUP(AA$41,INDIRECT($C$5&amp;"生成成长"),2))/((VLOOKUP($Q55,INDIRECT($B$5&amp;"生成成长"),4))/(VLOOKUP(AA$41,INDIRECT($C$5&amp;"生成成长"),5))*(VLOOKUP($B$5,标准坦克设计!$B$24:$U$30,MATCH("对"&amp;LEFT($C$5,2)&amp;"输出",标准坦克设计!$B$23:$U$23,0)))*(VLOOKUP($Q55,INDIRECT($B$5&amp;"生成成长"),3))*(VLOOKUP($B$5,标准坦克设计!$B$14:$K$20,9)/30))</f>
        <v>11.734652451742715</v>
      </c>
      <c r="AB55" s="172">
        <f ca="1">(VLOOKUP(AB$41,INDIRECT($C$5&amp;"生成成长"),2))/((VLOOKUP($Q55,INDIRECT($B$5&amp;"生成成长"),4))/(VLOOKUP(AB$41,INDIRECT($C$5&amp;"生成成长"),5))*(VLOOKUP($B$5,标准坦克设计!$B$24:$U$30,MATCH("对"&amp;LEFT($C$5,2)&amp;"输出",标准坦克设计!$B$23:$U$23,0)))*(VLOOKUP($Q55,INDIRECT($B$5&amp;"生成成长"),3))*(VLOOKUP($B$5,标准坦克设计!$B$14:$K$20,9)/30))</f>
        <v>19.783669975932238</v>
      </c>
      <c r="AC55" s="172">
        <f ca="1">(VLOOKUP(AC$41,INDIRECT($C$5&amp;"生成成长"),2))/((VLOOKUP($Q55,INDIRECT($B$5&amp;"生成成长"),4))/(VLOOKUP(AC$41,INDIRECT($C$5&amp;"生成成长"),5))*(VLOOKUP($B$5,标准坦克设计!$B$24:$U$30,MATCH("对"&amp;LEFT($C$5,2)&amp;"输出",标准坦克设计!$B$23:$U$23,0)))*(VLOOKUP($Q55,INDIRECT($B$5&amp;"生成成长"),3))*(VLOOKUP($B$5,标准坦克设计!$B$14:$K$20,9)/30))</f>
        <v>4.9459174939830595</v>
      </c>
      <c r="AD55" s="172">
        <f ca="1">(VLOOKUP(AD$41,INDIRECT($C$5&amp;"生成成长"),2))/((VLOOKUP($Q55,INDIRECT($B$5&amp;"生成成长"),4))/(VLOOKUP(AD$41,INDIRECT($C$5&amp;"生成成长"),5))*(VLOOKUP($B$5,标准坦克设计!$B$24:$U$30,MATCH("对"&amp;LEFT($C$5,2)&amp;"输出",标准坦克设计!$B$23:$U$23,0)))*(VLOOKUP($Q55,INDIRECT($B$5&amp;"生成成长"),3))*(VLOOKUP($B$5,标准坦克设计!$B$14:$K$20,9)/30))</f>
        <v>8.6514956372377956</v>
      </c>
      <c r="AE55" s="172">
        <f ca="1">(VLOOKUP(AE$41,INDIRECT($C$5&amp;"生成成长"),2))/((VLOOKUP($Q55,INDIRECT($B$5&amp;"生成成长"),4))/(VLOOKUP(AE$41,INDIRECT($C$5&amp;"生成成长"),5))*(VLOOKUP($B$5,标准坦克设计!$B$24:$U$30,MATCH("对"&amp;LEFT($C$5,2)&amp;"输出",标准坦克设计!$B$23:$U$23,0)))*(VLOOKUP($Q55,INDIRECT($B$5&amp;"生成成长"),3))*(VLOOKUP($B$5,标准坦克设计!$B$14:$K$20,9)/30))</f>
        <v>14.868953964579013</v>
      </c>
      <c r="AF55" s="172">
        <f ca="1">(VLOOKUP(AF$41,INDIRECT($C$5&amp;"生成成长"),2))/((VLOOKUP($Q55,INDIRECT($B$5&amp;"生成成长"),4))/(VLOOKUP(AF$41,INDIRECT($C$5&amp;"生成成长"),5))*(VLOOKUP($B$5,标准坦克设计!$B$24:$U$30,MATCH("对"&amp;LEFT($C$5,2)&amp;"输出",标准坦克设计!$B$23:$U$23,0)))*(VLOOKUP($Q55,INDIRECT($B$5&amp;"生成成长"),3))*(VLOOKUP($B$5,标准坦克设计!$B$14:$K$20,9)/30))</f>
        <v>25.76180971485492</v>
      </c>
      <c r="AG55" s="172">
        <f ca="1">(VLOOKUP(AG$41,INDIRECT($C$5&amp;"生成成长"),2))/((VLOOKUP($Q55,INDIRECT($B$5&amp;"生成成长"),4))/(VLOOKUP(AG$41,INDIRECT($C$5&amp;"生成成长"),5))*(VLOOKUP($B$5,标准坦克设计!$B$24:$U$30,MATCH("对"&amp;LEFT($C$5,2)&amp;"输出",标准坦克设计!$B$23:$U$23,0)))*(VLOOKUP($Q55,INDIRECT($B$5&amp;"生成成长"),3))*(VLOOKUP($B$5,标准坦克设计!$B$14:$K$20,9)/30))</f>
        <v>14.18541632964704</v>
      </c>
      <c r="AH55" s="172">
        <f ca="1">(VLOOKUP(AH$41,INDIRECT($C$5&amp;"生成成长"),2))/((VLOOKUP($Q55,INDIRECT($B$5&amp;"生成成长"),4))/(VLOOKUP(AH$41,INDIRECT($C$5&amp;"生成成长"),5))*(VLOOKUP($B$5,标准坦克设计!$B$24:$U$30,MATCH("对"&amp;LEFT($C$5,2)&amp;"输出",标准坦克设计!$B$23:$U$23,0)))*(VLOOKUP($Q55,INDIRECT($B$5&amp;"生成成长"),3))*(VLOOKUP($B$5,标准坦克设计!$B$14:$K$20,9)/30))</f>
        <v>24.681016089738954</v>
      </c>
      <c r="AI55" s="172">
        <f ca="1">(VLOOKUP(AI$41,INDIRECT($C$5&amp;"生成成长"),2))/((VLOOKUP($Q55,INDIRECT($B$5&amp;"生成成长"),4))/(VLOOKUP(AI$41,INDIRECT($C$5&amp;"生成成长"),5))*(VLOOKUP($B$5,标准坦克设计!$B$24:$U$30,MATCH("对"&amp;LEFT($C$5,2)&amp;"输出",标准坦克设计!$B$23:$U$23,0)))*(VLOOKUP($Q55,INDIRECT($B$5&amp;"生成成长"),3))*(VLOOKUP($B$5,标准坦克设计!$B$14:$K$20,9)/30))</f>
        <v>42.38544499640048</v>
      </c>
      <c r="AJ55" s="172">
        <f ca="1">(VLOOKUP(AJ$41,INDIRECT($C$5&amp;"生成成长"),2))/((VLOOKUP($Q55,INDIRECT($B$5&amp;"生成成长"),4))/(VLOOKUP(AJ$41,INDIRECT($C$5&amp;"生成成长"),5))*(VLOOKUP($B$5,标准坦克设计!$B$24:$U$30,MATCH("对"&amp;LEFT($C$5,2)&amp;"输出",标准坦克设计!$B$23:$U$23,0)))*(VLOOKUP($Q55,INDIRECT($B$5&amp;"生成成长"),3))*(VLOOKUP($B$5,标准坦克设计!$B$14:$K$20,9)/30))</f>
        <v>71.055747555987111</v>
      </c>
      <c r="AK55" s="172">
        <f ca="1">(VLOOKUP(AK$41,INDIRECT($C$5&amp;"生成成长"),2))/((VLOOKUP($Q55,INDIRECT($B$5&amp;"生成成长"),4))/(VLOOKUP(AK$41,INDIRECT($C$5&amp;"生成成长"),5))*(VLOOKUP($B$5,标准坦克设计!$B$24:$U$30,MATCH("对"&amp;LEFT($C$5,2)&amp;"输出",标准坦克设计!$B$23:$U$23,0)))*(VLOOKUP($Q55,INDIRECT($B$5&amp;"生成成长"),3))*(VLOOKUP($B$5,标准坦克设计!$B$14:$K$20,9)/30))</f>
        <v>26.127220892870316</v>
      </c>
      <c r="AL55" s="172">
        <f ca="1">(VLOOKUP(AL$41,INDIRECT($C$5&amp;"生成成长"),2))/((VLOOKUP($Q55,INDIRECT($B$5&amp;"生成成长"),4))/(VLOOKUP(AL$41,INDIRECT($C$5&amp;"生成成长"),5))*(VLOOKUP($B$5,标准坦克设计!$B$24:$U$30,MATCH("对"&amp;LEFT($C$5,2)&amp;"输出",标准坦克设计!$B$23:$U$23,0)))*(VLOOKUP($Q55,INDIRECT($B$5&amp;"生成成长"),3))*(VLOOKUP($B$5,标准坦克设计!$B$14:$K$20,9)/30))</f>
        <v>44.752897699035444</v>
      </c>
      <c r="AM55" s="172">
        <f ca="1">(VLOOKUP(AM$41,INDIRECT($C$5&amp;"生成成长"),2))/((VLOOKUP($Q55,INDIRECT($B$5&amp;"生成成长"),4))/(VLOOKUP(AM$41,INDIRECT($C$5&amp;"生成成长"),5))*(VLOOKUP($B$5,标准坦克设计!$B$24:$U$30,MATCH("对"&amp;LEFT($C$5,2)&amp;"输出",标准坦克设计!$B$23:$U$23,0)))*(VLOOKUP($Q55,INDIRECT($B$5&amp;"生成成长"),3))*(VLOOKUP($B$5,标准坦克设计!$B$14:$K$20,9)/30))</f>
        <v>74.730445881381385</v>
      </c>
    </row>
    <row r="56" spans="16:39" x14ac:dyDescent="0.15">
      <c r="P56" s="174" t="str">
        <f t="shared" si="7"/>
        <v>T3低满</v>
      </c>
      <c r="Q56" s="178">
        <v>10309</v>
      </c>
      <c r="R56" s="172">
        <f ca="1">(VLOOKUP(R$41,INDIRECT($C$5&amp;"生成成长"),2))/((VLOOKUP($Q56,INDIRECT($B$5&amp;"生成成长"),4))/(VLOOKUP(R$41,INDIRECT($C$5&amp;"生成成长"),5))*(VLOOKUP($B$5,标准坦克设计!$B$24:$U$30,MATCH("对"&amp;LEFT($C$5,2)&amp;"输出",标准坦克设计!$B$23:$U$23,0)))*(VLOOKUP($Q56,INDIRECT($B$5&amp;"生成成长"),3))*(VLOOKUP($B$5,标准坦克设计!$B$14:$K$20,9)/30))</f>
        <v>1.8763044824011774</v>
      </c>
      <c r="S56" s="172">
        <f ca="1">(VLOOKUP(S$41,INDIRECT($C$5&amp;"生成成长"),2))/((VLOOKUP($Q56,INDIRECT($B$5&amp;"生成成长"),4))/(VLOOKUP(S$41,INDIRECT($C$5&amp;"生成成长"),5))*(VLOOKUP($B$5,标准坦克设计!$B$24:$U$30,MATCH("对"&amp;LEFT($C$5,2)&amp;"输出",标准坦克设计!$B$23:$U$23,0)))*(VLOOKUP($Q56,INDIRECT($B$5&amp;"生成成长"),3))*(VLOOKUP($B$5,标准坦克设计!$B$14:$K$20,9)/30))</f>
        <v>2.5247553115190238</v>
      </c>
      <c r="T56" s="172">
        <f ca="1">(VLOOKUP(T$41,INDIRECT($C$5&amp;"生成成长"),2))/((VLOOKUP($Q56,INDIRECT($B$5&amp;"生成成长"),4))/(VLOOKUP(T$41,INDIRECT($C$5&amp;"生成成长"),5))*(VLOOKUP($B$5,标准坦克设计!$B$24:$U$30,MATCH("对"&amp;LEFT($C$5,2)&amp;"输出",标准坦克设计!$B$23:$U$23,0)))*(VLOOKUP($Q56,INDIRECT($B$5&amp;"生成成长"),3))*(VLOOKUP($B$5,标准坦克设计!$B$14:$K$20,9)/30))</f>
        <v>3.8368550360621669</v>
      </c>
      <c r="U56" s="172">
        <f ca="1">(VLOOKUP(U$41,INDIRECT($C$5&amp;"生成成长"),2))/((VLOOKUP($Q56,INDIRECT($B$5&amp;"生成成长"),4))/(VLOOKUP(U$41,INDIRECT($C$5&amp;"生成成长"),5))*(VLOOKUP($B$5,标准坦克设计!$B$24:$U$30,MATCH("对"&amp;LEFT($C$5,2)&amp;"输出",标准坦克设计!$B$23:$U$23,0)))*(VLOOKUP($Q56,INDIRECT($B$5&amp;"生成成长"),3))*(VLOOKUP($B$5,标准坦克设计!$B$14:$K$20,9)/30))</f>
        <v>6.2835560811133009</v>
      </c>
      <c r="V56" s="172">
        <f ca="1">(VLOOKUP(V$41,INDIRECT($C$5&amp;"生成成长"),2))/((VLOOKUP($Q56,INDIRECT($B$5&amp;"生成成长"),4))/(VLOOKUP(V$41,INDIRECT($C$5&amp;"生成成长"),5))*(VLOOKUP($B$5,标准坦克设计!$B$24:$U$30,MATCH("对"&amp;LEFT($C$5,2)&amp;"输出",标准坦克设计!$B$23:$U$23,0)))*(VLOOKUP($Q56,INDIRECT($B$5&amp;"生成成长"),3))*(VLOOKUP($B$5,标准坦克设计!$B$14:$K$20,9)/30))</f>
        <v>2.6125663612953987</v>
      </c>
      <c r="W56" s="172">
        <f ca="1">(VLOOKUP(W$41,INDIRECT($C$5&amp;"生成成长"),2))/((VLOOKUP($Q56,INDIRECT($B$5&amp;"生成成长"),4))/(VLOOKUP(W$41,INDIRECT($C$5&amp;"生成成长"),5))*(VLOOKUP($B$5,标准坦克设计!$B$24:$U$30,MATCH("对"&amp;LEFT($C$5,2)&amp;"输出",标准坦克设计!$B$23:$U$23,0)))*(VLOOKUP($Q56,INDIRECT($B$5&amp;"生成成长"),3))*(VLOOKUP($B$5,标准坦克设计!$B$14:$K$20,9)/30))</f>
        <v>3.9995306346863488</v>
      </c>
      <c r="X56" s="172">
        <f ca="1">(VLOOKUP(X$41,INDIRECT($C$5&amp;"生成成长"),2))/((VLOOKUP($Q56,INDIRECT($B$5&amp;"生成成长"),4))/(VLOOKUP(X$41,INDIRECT($C$5&amp;"生成成长"),5))*(VLOOKUP($B$5,标准坦克设计!$B$24:$U$30,MATCH("对"&amp;LEFT($C$5,2)&amp;"输出",标准坦克设计!$B$23:$U$23,0)))*(VLOOKUP($Q56,INDIRECT($B$5&amp;"生成成长"),3))*(VLOOKUP($B$5,标准坦克设计!$B$14:$K$20,9)/30))</f>
        <v>6.5612491445086771</v>
      </c>
      <c r="Y56" s="172">
        <f ca="1">(VLOOKUP(Y$41,INDIRECT($C$5&amp;"生成成长"),2))/((VLOOKUP($Q56,INDIRECT($B$5&amp;"生成成长"),4))/(VLOOKUP(Y$41,INDIRECT($C$5&amp;"生成成长"),5))*(VLOOKUP($B$5,标准坦克设计!$B$24:$U$30,MATCH("对"&amp;LEFT($C$5,2)&amp;"输出",标准坦克设计!$B$23:$U$23,0)))*(VLOOKUP($Q56,INDIRECT($B$5&amp;"生成成长"),3))*(VLOOKUP($B$5,标准坦克设计!$B$14:$K$20,9)/30))</f>
        <v>11.079390338130711</v>
      </c>
      <c r="Z56" s="172">
        <f ca="1">(VLOOKUP(Z$41,INDIRECT($C$5&amp;"生成成长"),2))/((VLOOKUP($Q56,INDIRECT($B$5&amp;"生成成长"),4))/(VLOOKUP(Z$41,INDIRECT($C$5&amp;"生成成长"),5))*(VLOOKUP($B$5,标准坦克设计!$B$24:$U$30,MATCH("对"&amp;LEFT($C$5,2)&amp;"输出",标准坦克设计!$B$23:$U$23,0)))*(VLOOKUP($Q56,INDIRECT($B$5&amp;"生成成长"),3))*(VLOOKUP($B$5,标准坦克设计!$B$14:$K$20,9)/30))</f>
        <v>4.1655835813788524</v>
      </c>
      <c r="AA56" s="172">
        <f ca="1">(VLOOKUP(AA$41,INDIRECT($C$5&amp;"生成成长"),2))/((VLOOKUP($Q56,INDIRECT($B$5&amp;"生成成长"),4))/(VLOOKUP(AA$41,INDIRECT($C$5&amp;"生成成长"),5))*(VLOOKUP($B$5,标准坦克设计!$B$24:$U$30,MATCH("对"&amp;LEFT($C$5,2)&amp;"输出",标准坦克设计!$B$23:$U$23,0)))*(VLOOKUP($Q56,INDIRECT($B$5&amp;"生成成长"),3))*(VLOOKUP($B$5,标准坦克设计!$B$14:$K$20,9)/30))</f>
        <v>6.8449463822477341</v>
      </c>
      <c r="AB56" s="172">
        <f ca="1">(VLOOKUP(AB$41,INDIRECT($C$5&amp;"生成成长"),2))/((VLOOKUP($Q56,INDIRECT($B$5&amp;"生成成长"),4))/(VLOOKUP(AB$41,INDIRECT($C$5&amp;"生成成长"),5))*(VLOOKUP($B$5,标准坦克设计!$B$24:$U$30,MATCH("对"&amp;LEFT($C$5,2)&amp;"输出",标准坦克设计!$B$23:$U$23,0)))*(VLOOKUP($Q56,INDIRECT($B$5&amp;"生成成长"),3))*(VLOOKUP($B$5,标准坦克设计!$B$14:$K$20,9)/30))</f>
        <v>11.540023088560201</v>
      </c>
      <c r="AC56" s="172">
        <f ca="1">(VLOOKUP(AC$41,INDIRECT($C$5&amp;"生成成长"),2))/((VLOOKUP($Q56,INDIRECT($B$5&amp;"生成成长"),4))/(VLOOKUP(AC$41,INDIRECT($C$5&amp;"生成成长"),5))*(VLOOKUP($B$5,标准坦克设计!$B$24:$U$30,MATCH("对"&amp;LEFT($C$5,2)&amp;"输出",标准坦克设计!$B$23:$U$23,0)))*(VLOOKUP($Q56,INDIRECT($B$5&amp;"生成成长"),3))*(VLOOKUP($B$5,标准坦克设计!$B$14:$K$20,9)/30))</f>
        <v>2.8850057721400502</v>
      </c>
      <c r="AD56" s="172">
        <f ca="1">(VLOOKUP(AD$41,INDIRECT($C$5&amp;"生成成长"),2))/((VLOOKUP($Q56,INDIRECT($B$5&amp;"生成成长"),4))/(VLOOKUP(AD$41,INDIRECT($C$5&amp;"生成成长"),5))*(VLOOKUP($B$5,标准坦克设计!$B$24:$U$30,MATCH("对"&amp;LEFT($C$5,2)&amp;"输出",标准坦克设计!$B$23:$U$23,0)))*(VLOOKUP($Q56,INDIRECT($B$5&amp;"生成成长"),3))*(VLOOKUP($B$5,标准坦克设计!$B$14:$K$20,9)/30))</f>
        <v>5.0465085358662058</v>
      </c>
      <c r="AE56" s="172">
        <f ca="1">(VLOOKUP(AE$41,INDIRECT($C$5&amp;"生成成长"),2))/((VLOOKUP($Q56,INDIRECT($B$5&amp;"生成成长"),4))/(VLOOKUP(AE$41,INDIRECT($C$5&amp;"生成成长"),5))*(VLOOKUP($B$5,标准坦克设计!$B$24:$U$30,MATCH("对"&amp;LEFT($C$5,2)&amp;"输出",标准坦克设计!$B$23:$U$23,0)))*(VLOOKUP($Q56,INDIRECT($B$5&amp;"生成成长"),3))*(VLOOKUP($B$5,标准坦克设计!$B$14:$K$20,9)/30))</f>
        <v>8.6732174698994413</v>
      </c>
      <c r="AF56" s="172">
        <f ca="1">(VLOOKUP(AF$41,INDIRECT($C$5&amp;"生成成长"),2))/((VLOOKUP($Q56,INDIRECT($B$5&amp;"生成成长"),4))/(VLOOKUP(AF$41,INDIRECT($C$5&amp;"生成成长"),5))*(VLOOKUP($B$5,标准坦克设计!$B$24:$U$30,MATCH("对"&amp;LEFT($C$5,2)&amp;"输出",标准坦克设计!$B$23:$U$23,0)))*(VLOOKUP($Q56,INDIRECT($B$5&amp;"生成成长"),3))*(VLOOKUP($B$5,标准坦克设计!$B$14:$K$20,9)/30))</f>
        <v>15.027134969102788</v>
      </c>
      <c r="AG56" s="172">
        <f ca="1">(VLOOKUP(AG$41,INDIRECT($C$5&amp;"生成成长"),2))/((VLOOKUP($Q56,INDIRECT($B$5&amp;"生成成长"),4))/(VLOOKUP(AG$41,INDIRECT($C$5&amp;"生成成长"),5))*(VLOOKUP($B$5,标准坦克设计!$B$24:$U$30,MATCH("对"&amp;LEFT($C$5,2)&amp;"输出",标准坦克设计!$B$23:$U$23,0)))*(VLOOKUP($Q56,INDIRECT($B$5&amp;"生成成长"),3))*(VLOOKUP($B$5,标准坦克设计!$B$14:$K$20,9)/30))</f>
        <v>8.2745027673891904</v>
      </c>
      <c r="AH56" s="172">
        <f ca="1">(VLOOKUP(AH$41,INDIRECT($C$5&amp;"生成成长"),2))/((VLOOKUP($Q56,INDIRECT($B$5&amp;"生成成长"),4))/(VLOOKUP(AH$41,INDIRECT($C$5&amp;"生成成长"),5))*(VLOOKUP($B$5,标准坦克设计!$B$24:$U$30,MATCH("对"&amp;LEFT($C$5,2)&amp;"输出",标准坦克设计!$B$23:$U$23,0)))*(VLOOKUP($Q56,INDIRECT($B$5&amp;"生成成长"),3))*(VLOOKUP($B$5,标准坦克设计!$B$14:$K$20,9)/30))</f>
        <v>14.396696663015991</v>
      </c>
      <c r="AI56" s="172">
        <f ca="1">(VLOOKUP(AI$41,INDIRECT($C$5&amp;"生成成长"),2))/((VLOOKUP($Q56,INDIRECT($B$5&amp;"生成成长"),4))/(VLOOKUP(AI$41,INDIRECT($C$5&amp;"生成成长"),5))*(VLOOKUP($B$5,标准坦克设计!$B$24:$U$30,MATCH("对"&amp;LEFT($C$5,2)&amp;"输出",标准坦克设计!$B$23:$U$23,0)))*(VLOOKUP($Q56,INDIRECT($B$5&amp;"生成成长"),3))*(VLOOKUP($B$5,标准坦克设计!$B$14:$K$20,9)/30))</f>
        <v>24.723876534152069</v>
      </c>
      <c r="AJ56" s="172">
        <f ca="1">(VLOOKUP(AJ$41,INDIRECT($C$5&amp;"生成成长"),2))/((VLOOKUP($Q56,INDIRECT($B$5&amp;"生成成长"),4))/(VLOOKUP(AJ$41,INDIRECT($C$5&amp;"生成成长"),5))*(VLOOKUP($B$5,标准坦克设计!$B$24:$U$30,MATCH("对"&amp;LEFT($C$5,2)&amp;"输出",标准坦克设计!$B$23:$U$23,0)))*(VLOOKUP($Q56,INDIRECT($B$5&amp;"生成成长"),3))*(VLOOKUP($B$5,标准坦克设计!$B$14:$K$20,9)/30))</f>
        <v>41.447566016242</v>
      </c>
      <c r="AK56" s="172">
        <f ca="1">(VLOOKUP(AK$41,INDIRECT($C$5&amp;"生成成长"),2))/((VLOOKUP($Q56,INDIRECT($B$5&amp;"生成成长"),4))/(VLOOKUP(AK$41,INDIRECT($C$5&amp;"生成成长"),5))*(VLOOKUP($B$5,标准坦克设计!$B$24:$U$30,MATCH("对"&amp;LEFT($C$5,2)&amp;"输出",标准坦克设计!$B$23:$U$23,0)))*(VLOOKUP($Q56,INDIRECT($B$5&amp;"生成成长"),3))*(VLOOKUP($B$5,标准坦克设计!$B$14:$K$20,9)/30))</f>
        <v>15.24028315830356</v>
      </c>
      <c r="AL56" s="172">
        <f ca="1">(VLOOKUP(AL$41,INDIRECT($C$5&amp;"生成成长"),2))/((VLOOKUP($Q56,INDIRECT($B$5&amp;"生成成长"),4))/(VLOOKUP(AL$41,INDIRECT($C$5&amp;"生成成长"),5))*(VLOOKUP($B$5,标准坦克设计!$B$24:$U$30,MATCH("对"&amp;LEFT($C$5,2)&amp;"输出",标准坦克设计!$B$23:$U$23,0)))*(VLOOKUP($Q56,INDIRECT($B$5&amp;"生成成长"),3))*(VLOOKUP($B$5,标准坦克设计!$B$14:$K$20,9)/30))</f>
        <v>26.104836633199334</v>
      </c>
      <c r="AM56" s="172">
        <f ca="1">(VLOOKUP(AM$41,INDIRECT($C$5&amp;"生成成长"),2))/((VLOOKUP($Q56,INDIRECT($B$5&amp;"生成成长"),4))/(VLOOKUP(AM$41,INDIRECT($C$5&amp;"生成成长"),5))*(VLOOKUP($B$5,标准坦克设计!$B$24:$U$30,MATCH("对"&amp;LEFT($C$5,2)&amp;"输出",标准坦克设计!$B$23:$U$23,0)))*(VLOOKUP($Q56,INDIRECT($B$5&amp;"生成成长"),3))*(VLOOKUP($B$5,标准坦克设计!$B$14:$K$20,9)/30))</f>
        <v>43.591056256937101</v>
      </c>
    </row>
    <row r="57" spans="16:39" x14ac:dyDescent="0.15">
      <c r="P57" s="174" t="str">
        <f t="shared" si="7"/>
        <v>T4低满</v>
      </c>
      <c r="Q57" s="178">
        <v>10411</v>
      </c>
      <c r="R57" s="172">
        <f ca="1">(VLOOKUP(R$41,INDIRECT($C$5&amp;"生成成长"),2))/((VLOOKUP($Q57,INDIRECT($B$5&amp;"生成成长"),4))/(VLOOKUP(R$41,INDIRECT($C$5&amp;"生成成长"),5))*(VLOOKUP($B$5,标准坦克设计!$B$24:$U$30,MATCH("对"&amp;LEFT($C$5,2)&amp;"输出",标准坦克设计!$B$23:$U$23,0)))*(VLOOKUP($Q57,INDIRECT($B$5&amp;"生成成长"),3))*(VLOOKUP($B$5,标准坦克设计!$B$14:$K$20,9)/30))</f>
        <v>1.0835821442003408</v>
      </c>
      <c r="S57" s="172">
        <f ca="1">(VLOOKUP(S$41,INDIRECT($C$5&amp;"生成成长"),2))/((VLOOKUP($Q57,INDIRECT($B$5&amp;"生成成长"),4))/(VLOOKUP(S$41,INDIRECT($C$5&amp;"生成成长"),5))*(VLOOKUP($B$5,标准坦克设计!$B$24:$U$30,MATCH("对"&amp;LEFT($C$5,2)&amp;"输出",标准坦克设计!$B$23:$U$23,0)))*(VLOOKUP($Q57,INDIRECT($B$5&amp;"生成成长"),3))*(VLOOKUP($B$5,标准坦克设计!$B$14:$K$20,9)/30))</f>
        <v>1.4580681332359784</v>
      </c>
      <c r="T57" s="172">
        <f ca="1">(VLOOKUP(T$41,INDIRECT($C$5&amp;"生成成长"),2))/((VLOOKUP($Q57,INDIRECT($B$5&amp;"生成成长"),4))/(VLOOKUP(T$41,INDIRECT($C$5&amp;"生成成长"),5))*(VLOOKUP($B$5,标准坦克设计!$B$24:$U$30,MATCH("对"&amp;LEFT($C$5,2)&amp;"输出",标准坦克设计!$B$23:$U$23,0)))*(VLOOKUP($Q57,INDIRECT($B$5&amp;"生成成长"),3))*(VLOOKUP($B$5,标准坦克设计!$B$14:$K$20,9)/30))</f>
        <v>2.2158171266752764</v>
      </c>
      <c r="U57" s="172">
        <f ca="1">(VLOOKUP(U$41,INDIRECT($C$5&amp;"生成成长"),2))/((VLOOKUP($Q57,INDIRECT($B$5&amp;"生成成长"),4))/(VLOOKUP(U$41,INDIRECT($C$5&amp;"生成成长"),5))*(VLOOKUP($B$5,标准坦克设计!$B$24:$U$30,MATCH("对"&amp;LEFT($C$5,2)&amp;"输出",标准坦克设计!$B$23:$U$23,0)))*(VLOOKUP($Q57,INDIRECT($B$5&amp;"生成成长"),3))*(VLOOKUP($B$5,标准坦克设计!$B$14:$K$20,9)/30))</f>
        <v>3.6288082427125214</v>
      </c>
      <c r="V57" s="172">
        <f ca="1">(VLOOKUP(V$41,INDIRECT($C$5&amp;"生成成长"),2))/((VLOOKUP($Q57,INDIRECT($B$5&amp;"生成成长"),4))/(VLOOKUP(V$41,INDIRECT($C$5&amp;"生成成长"),5))*(VLOOKUP($B$5,标准坦克设计!$B$24:$U$30,MATCH("对"&amp;LEFT($C$5,2)&amp;"输出",标准坦克设计!$B$23:$U$23,0)))*(VLOOKUP($Q57,INDIRECT($B$5&amp;"生成成长"),3))*(VLOOKUP($B$5,标准坦克设计!$B$14:$K$20,9)/30))</f>
        <v>1.5087797775845546</v>
      </c>
      <c r="W57" s="172">
        <f ca="1">(VLOOKUP(W$41,INDIRECT($C$5&amp;"生成成长"),2))/((VLOOKUP($Q57,INDIRECT($B$5&amp;"生成成长"),4))/(VLOOKUP(W$41,INDIRECT($C$5&amp;"生成成长"),5))*(VLOOKUP($B$5,标准坦克设计!$B$24:$U$30,MATCH("对"&amp;LEFT($C$5,2)&amp;"输出",标准坦克设计!$B$23:$U$23,0)))*(VLOOKUP($Q57,INDIRECT($B$5&amp;"生成成长"),3))*(VLOOKUP($B$5,标准坦克设计!$B$14:$K$20,9)/30))</f>
        <v>2.3097636985774463</v>
      </c>
      <c r="X57" s="172">
        <f ca="1">(VLOOKUP(X$41,INDIRECT($C$5&amp;"生成成长"),2))/((VLOOKUP($Q57,INDIRECT($B$5&amp;"生成成长"),4))/(VLOOKUP(X$41,INDIRECT($C$5&amp;"生成成长"),5))*(VLOOKUP($B$5,标准坦克设计!$B$24:$U$30,MATCH("对"&amp;LEFT($C$5,2)&amp;"输出",标准坦克设计!$B$23:$U$23,0)))*(VLOOKUP($Q57,INDIRECT($B$5&amp;"生成成长"),3))*(VLOOKUP($B$5,标准坦克设计!$B$14:$K$20,9)/30))</f>
        <v>3.7891784000541717</v>
      </c>
      <c r="Y57" s="172">
        <f ca="1">(VLOOKUP(Y$41,INDIRECT($C$5&amp;"生成成长"),2))/((VLOOKUP($Q57,INDIRECT($B$5&amp;"生成成长"),4))/(VLOOKUP(Y$41,INDIRECT($C$5&amp;"生成成长"),5))*(VLOOKUP($B$5,标准坦克设计!$B$24:$U$30,MATCH("对"&amp;LEFT($C$5,2)&amp;"输出",标准坦克设计!$B$23:$U$23,0)))*(VLOOKUP($Q57,INDIRECT($B$5&amp;"生成成长"),3))*(VLOOKUP($B$5,标准坦克设计!$B$14:$K$20,9)/30))</f>
        <v>6.3984442032885926</v>
      </c>
      <c r="Z57" s="172">
        <f ca="1">(VLOOKUP(Z$41,INDIRECT($C$5&amp;"生成成长"),2))/((VLOOKUP($Q57,INDIRECT($B$5&amp;"生成成长"),4))/(VLOOKUP(Z$41,INDIRECT($C$5&amp;"生成成长"),5))*(VLOOKUP($B$5,标准坦克设计!$B$24:$U$30,MATCH("对"&amp;LEFT($C$5,2)&amp;"输出",标准坦克设计!$B$23:$U$23,0)))*(VLOOKUP($Q57,INDIRECT($B$5&amp;"生成成长"),3))*(VLOOKUP($B$5,标准坦克设计!$B$14:$K$20,9)/30))</f>
        <v>2.4056607183391763</v>
      </c>
      <c r="AA57" s="172">
        <f ca="1">(VLOOKUP(AA$41,INDIRECT($C$5&amp;"生成成长"),2))/((VLOOKUP($Q57,INDIRECT($B$5&amp;"生成成长"),4))/(VLOOKUP(AA$41,INDIRECT($C$5&amp;"生成成长"),5))*(VLOOKUP($B$5,标准坦克设计!$B$24:$U$30,MATCH("对"&amp;LEFT($C$5,2)&amp;"输出",标准坦克设计!$B$23:$U$23,0)))*(VLOOKUP($Q57,INDIRECT($B$5&amp;"生成成长"),3))*(VLOOKUP($B$5,标准坦克设计!$B$14:$K$20,9)/30))</f>
        <v>3.9530160202572624</v>
      </c>
      <c r="AB57" s="172">
        <f ca="1">(VLOOKUP(AB$41,INDIRECT($C$5&amp;"生成成长"),2))/((VLOOKUP($Q57,INDIRECT($B$5&amp;"生成成长"),4))/(VLOOKUP(AB$41,INDIRECT($C$5&amp;"生成成长"),5))*(VLOOKUP($B$5,标准坦克设计!$B$24:$U$30,MATCH("对"&amp;LEFT($C$5,2)&amp;"输出",标准坦克设计!$B$23:$U$23,0)))*(VLOOKUP($Q57,INDIRECT($B$5&amp;"生成成长"),3))*(VLOOKUP($B$5,标准坦克设计!$B$14:$K$20,9)/30))</f>
        <v>6.6644636196897755</v>
      </c>
      <c r="AC57" s="172">
        <f ca="1">(VLOOKUP(AC$41,INDIRECT($C$5&amp;"生成成长"),2))/((VLOOKUP($Q57,INDIRECT($B$5&amp;"生成成长"),4))/(VLOOKUP(AC$41,INDIRECT($C$5&amp;"生成成长"),5))*(VLOOKUP($B$5,标准坦克设计!$B$24:$U$30,MATCH("对"&amp;LEFT($C$5,2)&amp;"输出",标准坦克设计!$B$23:$U$23,0)))*(VLOOKUP($Q57,INDIRECT($B$5&amp;"生成成长"),3))*(VLOOKUP($B$5,标准坦克设计!$B$14:$K$20,9)/30))</f>
        <v>1.6661159049224439</v>
      </c>
      <c r="AD57" s="172">
        <f ca="1">(VLOOKUP(AD$41,INDIRECT($C$5&amp;"生成成长"),2))/((VLOOKUP($Q57,INDIRECT($B$5&amp;"生成成长"),4))/(VLOOKUP(AD$41,INDIRECT($C$5&amp;"生成成长"),5))*(VLOOKUP($B$5,标准坦克设计!$B$24:$U$30,MATCH("对"&amp;LEFT($C$5,2)&amp;"输出",标准坦克设计!$B$23:$U$23,0)))*(VLOOKUP($Q57,INDIRECT($B$5&amp;"生成成长"),3))*(VLOOKUP($B$5,标准坦克设计!$B$14:$K$20,9)/30))</f>
        <v>2.9144025350412366</v>
      </c>
      <c r="AE57" s="172">
        <f ca="1">(VLOOKUP(AE$41,INDIRECT($C$5&amp;"生成成长"),2))/((VLOOKUP($Q57,INDIRECT($B$5&amp;"生成成长"),4))/(VLOOKUP(AE$41,INDIRECT($C$5&amp;"生成成长"),5))*(VLOOKUP($B$5,标准坦克设计!$B$24:$U$30,MATCH("对"&amp;LEFT($C$5,2)&amp;"输出",标准坦克设计!$B$23:$U$23,0)))*(VLOOKUP($Q57,INDIRECT($B$5&amp;"生成成长"),3))*(VLOOKUP($B$5,标准坦克设计!$B$14:$K$20,9)/30))</f>
        <v>5.0088584615660761</v>
      </c>
      <c r="AF57" s="172">
        <f ca="1">(VLOOKUP(AF$41,INDIRECT($C$5&amp;"生成成长"),2))/((VLOOKUP($Q57,INDIRECT($B$5&amp;"生成成长"),4))/(VLOOKUP(AF$41,INDIRECT($C$5&amp;"生成成长"),5))*(VLOOKUP($B$5,标准坦克设计!$B$24:$U$30,MATCH("对"&amp;LEFT($C$5,2)&amp;"输出",标准坦克设计!$B$23:$U$23,0)))*(VLOOKUP($Q57,INDIRECT($B$5&amp;"生成成长"),3))*(VLOOKUP($B$5,标准坦克设计!$B$14:$K$20,9)/30))</f>
        <v>8.6783010346861094</v>
      </c>
      <c r="AG57" s="172">
        <f ca="1">(VLOOKUP(AG$41,INDIRECT($C$5&amp;"生成成长"),2))/((VLOOKUP($Q57,INDIRECT($B$5&amp;"生成成长"),4))/(VLOOKUP(AG$41,INDIRECT($C$5&amp;"生成成长"),5))*(VLOOKUP($B$5,标准坦克设计!$B$24:$U$30,MATCH("对"&amp;LEFT($C$5,2)&amp;"输出",标准坦克设计!$B$23:$U$23,0)))*(VLOOKUP($Q57,INDIRECT($B$5&amp;"生成成长"),3))*(VLOOKUP($B$5,标准坦克设计!$B$14:$K$20,9)/30))</f>
        <v>4.7785972559235024</v>
      </c>
      <c r="AH57" s="172">
        <f ca="1">(VLOOKUP(AH$41,INDIRECT($C$5&amp;"生成成长"),2))/((VLOOKUP($Q57,INDIRECT($B$5&amp;"生成成长"),4))/(VLOOKUP(AH$41,INDIRECT($C$5&amp;"生成成长"),5))*(VLOOKUP($B$5,标准坦克设计!$B$24:$U$30,MATCH("对"&amp;LEFT($C$5,2)&amp;"输出",标准坦克设计!$B$23:$U$23,0)))*(VLOOKUP($Q57,INDIRECT($B$5&amp;"生成成长"),3))*(VLOOKUP($B$5,标准坦克设计!$B$14:$K$20,9)/30))</f>
        <v>8.3142174342347932</v>
      </c>
      <c r="AI57" s="172">
        <f ca="1">(VLOOKUP(AI$41,INDIRECT($C$5&amp;"生成成长"),2))/((VLOOKUP($Q57,INDIRECT($B$5&amp;"生成成长"),4))/(VLOOKUP(AI$41,INDIRECT($C$5&amp;"生成成长"),5))*(VLOOKUP($B$5,标准坦克设计!$B$24:$U$30,MATCH("对"&amp;LEFT($C$5,2)&amp;"输出",标准坦克设计!$B$23:$U$23,0)))*(VLOOKUP($Q57,INDIRECT($B$5&amp;"生成成长"),3))*(VLOOKUP($B$5,标准坦克设计!$B$14:$K$20,9)/30))</f>
        <v>14.278253555913469</v>
      </c>
      <c r="AJ57" s="172">
        <f ca="1">(VLOOKUP(AJ$41,INDIRECT($C$5&amp;"生成成长"),2))/((VLOOKUP($Q57,INDIRECT($B$5&amp;"生成成长"),4))/(VLOOKUP(AJ$41,INDIRECT($C$5&amp;"生成成长"),5))*(VLOOKUP($B$5,标准坦克设计!$B$24:$U$30,MATCH("对"&amp;LEFT($C$5,2)&amp;"输出",标准坦克设计!$B$23:$U$23,0)))*(VLOOKUP($Q57,INDIRECT($B$5&amp;"生成成长"),3))*(VLOOKUP($B$5,标准坦克设计!$B$14:$K$20,9)/30))</f>
        <v>23.936329565385524</v>
      </c>
      <c r="AK57" s="172">
        <f ca="1">(VLOOKUP(AK$41,INDIRECT($C$5&amp;"生成成长"),2))/((VLOOKUP($Q57,INDIRECT($B$5&amp;"生成成长"),4))/(VLOOKUP(AK$41,INDIRECT($C$5&amp;"生成成长"),5))*(VLOOKUP($B$5,标准坦克设计!$B$24:$U$30,MATCH("对"&amp;LEFT($C$5,2)&amp;"输出",标准坦克设计!$B$23:$U$23,0)))*(VLOOKUP($Q57,INDIRECT($B$5&amp;"生成成长"),3))*(VLOOKUP($B$5,标准坦克设计!$B$14:$K$20,9)/30))</f>
        <v>8.8013959662672683</v>
      </c>
      <c r="AL57" s="172">
        <f ca="1">(VLOOKUP(AL$41,INDIRECT($C$5&amp;"生成成长"),2))/((VLOOKUP($Q57,INDIRECT($B$5&amp;"生成成长"),4))/(VLOOKUP(AL$41,INDIRECT($C$5&amp;"生成成长"),5))*(VLOOKUP($B$5,标准坦克设计!$B$24:$U$30,MATCH("对"&amp;LEFT($C$5,2)&amp;"输出",标准坦克设计!$B$23:$U$23,0)))*(VLOOKUP($Q57,INDIRECT($B$5&amp;"生成成长"),3))*(VLOOKUP($B$5,标准坦克设计!$B$14:$K$20,9)/30))</f>
        <v>15.07577001404492</v>
      </c>
      <c r="AM57" s="172">
        <f ca="1">(VLOOKUP(AM$41,INDIRECT($C$5&amp;"生成成长"),2))/((VLOOKUP($Q57,INDIRECT($B$5&amp;"生成成长"),4))/(VLOOKUP(AM$41,INDIRECT($C$5&amp;"生成成长"),5))*(VLOOKUP($B$5,标准坦克设计!$B$24:$U$30,MATCH("对"&amp;LEFT($C$5,2)&amp;"输出",标准坦克设计!$B$23:$U$23,0)))*(VLOOKUP($Q57,INDIRECT($B$5&amp;"生成成长"),3))*(VLOOKUP($B$5,标准坦克设计!$B$14:$K$20,9)/30))</f>
        <v>25.174213806919994</v>
      </c>
    </row>
    <row r="58" spans="16:39" x14ac:dyDescent="0.15">
      <c r="P58" s="174" t="str">
        <f t="shared" si="7"/>
        <v>T5低满</v>
      </c>
      <c r="Q58" s="178">
        <v>10513</v>
      </c>
      <c r="R58" s="172">
        <f ca="1">(VLOOKUP(R$41,INDIRECT($C$5&amp;"生成成长"),2))/((VLOOKUP($Q58,INDIRECT($B$5&amp;"生成成长"),4))/(VLOOKUP(R$41,INDIRECT($C$5&amp;"生成成长"),5))*(VLOOKUP($B$5,标准坦克设计!$B$24:$U$30,MATCH("对"&amp;LEFT($C$5,2)&amp;"输出",标准坦克设计!$B$23:$U$23,0)))*(VLOOKUP($Q58,INDIRECT($B$5&amp;"生成成长"),3))*(VLOOKUP($B$5,标准坦克设计!$B$14:$K$20,9)/30))</f>
        <v>0.63317795631139262</v>
      </c>
      <c r="S58" s="172">
        <f ca="1">(VLOOKUP(S$41,INDIRECT($C$5&amp;"生成成长"),2))/((VLOOKUP($Q58,INDIRECT($B$5&amp;"生成成长"),4))/(VLOOKUP(S$41,INDIRECT($C$5&amp;"生成成长"),5))*(VLOOKUP($B$5,标准坦克设计!$B$24:$U$30,MATCH("对"&amp;LEFT($C$5,2)&amp;"输出",标准坦克设计!$B$23:$U$23,0)))*(VLOOKUP($Q58,INDIRECT($B$5&amp;"生成成长"),3))*(VLOOKUP($B$5,标准坦克设计!$B$14:$K$20,9)/30))</f>
        <v>0.85200425801260993</v>
      </c>
      <c r="T58" s="172">
        <f ca="1">(VLOOKUP(T$41,INDIRECT($C$5&amp;"生成成长"),2))/((VLOOKUP($Q58,INDIRECT($B$5&amp;"生成成长"),4))/(VLOOKUP(T$41,INDIRECT($C$5&amp;"生成成长"),5))*(VLOOKUP($B$5,标准坦克设计!$B$24:$U$30,MATCH("对"&amp;LEFT($C$5,2)&amp;"输出",标准坦克设计!$B$23:$U$23,0)))*(VLOOKUP($Q58,INDIRECT($B$5&amp;"生成成长"),3))*(VLOOKUP($B$5,标准坦克设计!$B$14:$K$20,9)/30))</f>
        <v>1.2947856028611668</v>
      </c>
      <c r="U58" s="172">
        <f ca="1">(VLOOKUP(U$41,INDIRECT($C$5&amp;"生成成长"),2))/((VLOOKUP($Q58,INDIRECT($B$5&amp;"生成成长"),4))/(VLOOKUP(U$41,INDIRECT($C$5&amp;"生成成长"),5))*(VLOOKUP($B$5,标准坦克设计!$B$24:$U$30,MATCH("对"&amp;LEFT($C$5,2)&amp;"输出",标准坦克设计!$B$23:$U$23,0)))*(VLOOKUP($Q58,INDIRECT($B$5&amp;"生成成长"),3))*(VLOOKUP($B$5,标准坦克设计!$B$14:$K$20,9)/30))</f>
        <v>2.1204496578912231</v>
      </c>
      <c r="V58" s="172">
        <f ca="1">(VLOOKUP(V$41,INDIRECT($C$5&amp;"生成成长"),2))/((VLOOKUP($Q58,INDIRECT($B$5&amp;"生成成长"),4))/(VLOOKUP(V$41,INDIRECT($C$5&amp;"生成成长"),5))*(VLOOKUP($B$5,标准坦克设计!$B$24:$U$30,MATCH("对"&amp;LEFT($C$5,2)&amp;"输出",标准坦克设计!$B$23:$U$23,0)))*(VLOOKUP($Q58,INDIRECT($B$5&amp;"生成成长"),3))*(VLOOKUP($B$5,标准坦克设计!$B$14:$K$20,9)/30))</f>
        <v>0.88163698636798316</v>
      </c>
      <c r="W58" s="172">
        <f ca="1">(VLOOKUP(W$41,INDIRECT($C$5&amp;"生成成长"),2))/((VLOOKUP($Q58,INDIRECT($B$5&amp;"生成成长"),4))/(VLOOKUP(W$41,INDIRECT($C$5&amp;"生成成长"),5))*(VLOOKUP($B$5,标准坦克设计!$B$24:$U$30,MATCH("对"&amp;LEFT($C$5,2)&amp;"输出",标准坦克设计!$B$23:$U$23,0)))*(VLOOKUP($Q58,INDIRECT($B$5&amp;"生成成长"),3))*(VLOOKUP($B$5,标准坦克设计!$B$14:$K$20,9)/30))</f>
        <v>1.3496821316733647</v>
      </c>
      <c r="X58" s="172">
        <f ca="1">(VLOOKUP(X$41,INDIRECT($C$5&amp;"生成成长"),2))/((VLOOKUP($Q58,INDIRECT($B$5&amp;"生成成长"),4))/(VLOOKUP(X$41,INDIRECT($C$5&amp;"生成成长"),5))*(VLOOKUP($B$5,标准坦克设计!$B$24:$U$30,MATCH("对"&amp;LEFT($C$5,2)&amp;"输出",标准坦克设计!$B$23:$U$23,0)))*(VLOOKUP($Q58,INDIRECT($B$5&amp;"生成成长"),3))*(VLOOKUP($B$5,标准坦克设计!$B$14:$K$20,9)/30))</f>
        <v>2.2141599954253088</v>
      </c>
      <c r="Y58" s="172">
        <f ca="1">(VLOOKUP(Y$41,INDIRECT($C$5&amp;"生成成长"),2))/((VLOOKUP($Q58,INDIRECT($B$5&amp;"生成成长"),4))/(VLOOKUP(Y$41,INDIRECT($C$5&amp;"生成成长"),5))*(VLOOKUP($B$5,标准坦克设计!$B$24:$U$30,MATCH("对"&amp;LEFT($C$5,2)&amp;"输出",标准坦克设计!$B$23:$U$23,0)))*(VLOOKUP($Q58,INDIRECT($B$5&amp;"生成成长"),3))*(VLOOKUP($B$5,标准坦克设计!$B$14:$K$20,9)/30))</f>
        <v>3.7388525142231428</v>
      </c>
      <c r="Z58" s="172">
        <f ca="1">(VLOOKUP(Z$41,INDIRECT($C$5&amp;"生成成长"),2))/((VLOOKUP($Q58,INDIRECT($B$5&amp;"生成成长"),4))/(VLOOKUP(Z$41,INDIRECT($C$5&amp;"生成成长"),5))*(VLOOKUP($B$5,标准坦克设计!$B$24:$U$30,MATCH("对"&amp;LEFT($C$5,2)&amp;"输出",标准坦克设计!$B$23:$U$23,0)))*(VLOOKUP($Q58,INDIRECT($B$5&amp;"生成成长"),3))*(VLOOKUP($B$5,标准坦克设计!$B$14:$K$20,9)/30))</f>
        <v>1.4057183808069229</v>
      </c>
      <c r="AA58" s="172">
        <f ca="1">(VLOOKUP(AA$41,INDIRECT($C$5&amp;"生成成长"),2))/((VLOOKUP($Q58,INDIRECT($B$5&amp;"生成成长"),4))/(VLOOKUP(AA$41,INDIRECT($C$5&amp;"生成成长"),5))*(VLOOKUP($B$5,标准坦克设计!$B$24:$U$30,MATCH("对"&amp;LEFT($C$5,2)&amp;"输出",标准坦克设计!$B$23:$U$23,0)))*(VLOOKUP($Q58,INDIRECT($B$5&amp;"生成成长"),3))*(VLOOKUP($B$5,标准坦克设计!$B$14:$K$20,9)/30))</f>
        <v>2.3098965024195914</v>
      </c>
      <c r="AB58" s="172">
        <f ca="1">(VLOOKUP(AB$41,INDIRECT($C$5&amp;"生成成长"),2))/((VLOOKUP($Q58,INDIRECT($B$5&amp;"生成成长"),4))/(VLOOKUP(AB$41,INDIRECT($C$5&amp;"生成成长"),5))*(VLOOKUP($B$5,标准坦克设计!$B$24:$U$30,MATCH("对"&amp;LEFT($C$5,2)&amp;"输出",标准坦克设计!$B$23:$U$23,0)))*(VLOOKUP($Q58,INDIRECT($B$5&amp;"生成成长"),3))*(VLOOKUP($B$5,标准坦克设计!$B$14:$K$20,9)/30))</f>
        <v>3.8942977024975893</v>
      </c>
      <c r="AC58" s="172">
        <f ca="1">(VLOOKUP(AC$41,INDIRECT($C$5&amp;"生成成长"),2))/((VLOOKUP($Q58,INDIRECT($B$5&amp;"生成成长"),4))/(VLOOKUP(AC$41,INDIRECT($C$5&amp;"生成成长"),5))*(VLOOKUP($B$5,标准坦克设计!$B$24:$U$30,MATCH("对"&amp;LEFT($C$5,2)&amp;"输出",标准坦克设计!$B$23:$U$23,0)))*(VLOOKUP($Q58,INDIRECT($B$5&amp;"生成成长"),3))*(VLOOKUP($B$5,标准坦克设计!$B$14:$K$20,9)/30))</f>
        <v>0.97357442562439733</v>
      </c>
      <c r="AD58" s="172">
        <f ca="1">(VLOOKUP(AD$41,INDIRECT($C$5&amp;"生成成长"),2))/((VLOOKUP($Q58,INDIRECT($B$5&amp;"生成成长"),4))/(VLOOKUP(AD$41,INDIRECT($C$5&amp;"生成成长"),5))*(VLOOKUP($B$5,标准坦克设计!$B$24:$U$30,MATCH("对"&amp;LEFT($C$5,2)&amp;"输出",标准坦克设计!$B$23:$U$23,0)))*(VLOOKUP($Q58,INDIRECT($B$5&amp;"生成成长"),3))*(VLOOKUP($B$5,标准坦克设计!$B$14:$K$20,9)/30))</f>
        <v>1.7029954312951214</v>
      </c>
      <c r="AE58" s="172">
        <f ca="1">(VLOOKUP(AE$41,INDIRECT($C$5&amp;"生成成长"),2))/((VLOOKUP($Q58,INDIRECT($B$5&amp;"生成成长"),4))/(VLOOKUP(AE$41,INDIRECT($C$5&amp;"生成成长"),5))*(VLOOKUP($B$5,标准坦克设计!$B$24:$U$30,MATCH("对"&amp;LEFT($C$5,2)&amp;"输出",标准坦克设计!$B$23:$U$23,0)))*(VLOOKUP($Q58,INDIRECT($B$5&amp;"生成成长"),3))*(VLOOKUP($B$5,标准坦克设计!$B$14:$K$20,9)/30))</f>
        <v>2.9268651030494128</v>
      </c>
      <c r="AF58" s="172">
        <f ca="1">(VLOOKUP(AF$41,INDIRECT($C$5&amp;"生成成长"),2))/((VLOOKUP($Q58,INDIRECT($B$5&amp;"生成成长"),4))/(VLOOKUP(AF$41,INDIRECT($C$5&amp;"生成成长"),5))*(VLOOKUP($B$5,标准坦克设计!$B$24:$U$30,MATCH("对"&amp;LEFT($C$5,2)&amp;"输出",标准坦克设计!$B$23:$U$23,0)))*(VLOOKUP($Q58,INDIRECT($B$5&amp;"生成成长"),3))*(VLOOKUP($B$5,标准坦克设计!$B$14:$K$20,9)/30))</f>
        <v>5.0710589343023127</v>
      </c>
      <c r="AG58" s="172">
        <f ca="1">(VLOOKUP(AG$41,INDIRECT($C$5&amp;"生成成长"),2))/((VLOOKUP($Q58,INDIRECT($B$5&amp;"生成成长"),4))/(VLOOKUP(AG$41,INDIRECT($C$5&amp;"生成成长"),5))*(VLOOKUP($B$5,标准坦克设计!$B$24:$U$30,MATCH("对"&amp;LEFT($C$5,2)&amp;"输出",标准坦克设计!$B$23:$U$23,0)))*(VLOOKUP($Q58,INDIRECT($B$5&amp;"生成成长"),3))*(VLOOKUP($B$5,标准坦克设计!$B$14:$K$20,9)/30))</f>
        <v>2.7923147873332419</v>
      </c>
      <c r="AH58" s="172">
        <f ca="1">(VLOOKUP(AH$41,INDIRECT($C$5&amp;"生成成长"),2))/((VLOOKUP($Q58,INDIRECT($B$5&amp;"生成成长"),4))/(VLOOKUP(AH$41,INDIRECT($C$5&amp;"生成成长"),5))*(VLOOKUP($B$5,标准坦克设计!$B$24:$U$30,MATCH("对"&amp;LEFT($C$5,2)&amp;"输出",标准坦克设计!$B$23:$U$23,0)))*(VLOOKUP($Q58,INDIRECT($B$5&amp;"生成成长"),3))*(VLOOKUP($B$5,标准坦克设计!$B$14:$K$20,9)/30))</f>
        <v>4.8583111409816846</v>
      </c>
      <c r="AI58" s="172">
        <f ca="1">(VLOOKUP(AI$41,INDIRECT($C$5&amp;"生成成长"),2))/((VLOOKUP($Q58,INDIRECT($B$5&amp;"生成成长"),4))/(VLOOKUP(AI$41,INDIRECT($C$5&amp;"生成成长"),5))*(VLOOKUP($B$5,标准坦克设计!$B$24:$U$30,MATCH("对"&amp;LEFT($C$5,2)&amp;"输出",标准坦克设计!$B$23:$U$23,0)))*(VLOOKUP($Q58,INDIRECT($B$5&amp;"生成成长"),3))*(VLOOKUP($B$5,标准坦克设计!$B$14:$K$20,9)/30))</f>
        <v>8.3433226125195912</v>
      </c>
      <c r="AJ58" s="172">
        <f ca="1">(VLOOKUP(AJ$41,INDIRECT($C$5&amp;"生成成长"),2))/((VLOOKUP($Q58,INDIRECT($B$5&amp;"生成成长"),4))/(VLOOKUP(AJ$41,INDIRECT($C$5&amp;"生成成长"),5))*(VLOOKUP($B$5,标准坦克设计!$B$24:$U$30,MATCH("对"&amp;LEFT($C$5,2)&amp;"输出",标准坦克设计!$B$23:$U$23,0)))*(VLOOKUP($Q58,INDIRECT($B$5&amp;"生成成长"),3))*(VLOOKUP($B$5,标准坦克设计!$B$14:$K$20,9)/30))</f>
        <v>13.986901054918663</v>
      </c>
      <c r="AK58" s="172">
        <f ca="1">(VLOOKUP(AK$41,INDIRECT($C$5&amp;"生成成长"),2))/((VLOOKUP($Q58,INDIRECT($B$5&amp;"生成成长"),4))/(VLOOKUP(AK$41,INDIRECT($C$5&amp;"生成成长"),5))*(VLOOKUP($B$5,标准坦克设计!$B$24:$U$30,MATCH("对"&amp;LEFT($C$5,2)&amp;"输出",标准坦克设计!$B$23:$U$23,0)))*(VLOOKUP($Q58,INDIRECT($B$5&amp;"生成成长"),3))*(VLOOKUP($B$5,标准坦克设计!$B$14:$K$20,9)/30))</f>
        <v>5.142987950139287</v>
      </c>
      <c r="AL58" s="172">
        <f ca="1">(VLOOKUP(AL$41,INDIRECT($C$5&amp;"生成成长"),2))/((VLOOKUP($Q58,INDIRECT($B$5&amp;"生成成长"),4))/(VLOOKUP(AL$41,INDIRECT($C$5&amp;"生成成长"),5))*(VLOOKUP($B$5,标准坦克设计!$B$24:$U$30,MATCH("对"&amp;LEFT($C$5,2)&amp;"输出",标准坦克设计!$B$23:$U$23,0)))*(VLOOKUP($Q58,INDIRECT($B$5&amp;"生成成长"),3))*(VLOOKUP($B$5,标准坦克设计!$B$14:$K$20,9)/30))</f>
        <v>8.8093415883647754</v>
      </c>
      <c r="AM58" s="172">
        <f ca="1">(VLOOKUP(AM$41,INDIRECT($C$5&amp;"生成成长"),2))/((VLOOKUP($Q58,INDIRECT($B$5&amp;"生成成长"),4))/(VLOOKUP(AM$41,INDIRECT($C$5&amp;"生成成长"),5))*(VLOOKUP($B$5,标准坦克设计!$B$24:$U$30,MATCH("对"&amp;LEFT($C$5,2)&amp;"输出",标准坦克设计!$B$23:$U$23,0)))*(VLOOKUP($Q58,INDIRECT($B$5&amp;"生成成长"),3))*(VLOOKUP($B$5,标准坦克设计!$B$14:$K$20,9)/30))</f>
        <v>14.710243552208798</v>
      </c>
    </row>
    <row r="59" spans="16:39" x14ac:dyDescent="0.15">
      <c r="P59" s="174" t="str">
        <f t="shared" si="7"/>
        <v>T2中满</v>
      </c>
      <c r="Q59" s="178">
        <v>20212</v>
      </c>
      <c r="R59" s="172">
        <f ca="1">(VLOOKUP(R$41,INDIRECT($C$5&amp;"生成成长"),2))/((VLOOKUP($Q59,INDIRECT($B$5&amp;"生成成长"),4))/(VLOOKUP(R$41,INDIRECT($C$5&amp;"生成成长"),5))*(VLOOKUP($B$5,标准坦克设计!$B$24:$U$30,MATCH("对"&amp;LEFT($C$5,2)&amp;"输出",标准坦克设计!$B$23:$U$23,0)))*(VLOOKUP($Q59,INDIRECT($B$5&amp;"生成成长"),3))*(VLOOKUP($B$5,标准坦克设计!$B$14:$K$20,9)/30))</f>
        <v>1.9629669975263937</v>
      </c>
      <c r="S59" s="172">
        <f ca="1">(VLOOKUP(S$41,INDIRECT($C$5&amp;"生成成长"),2))/((VLOOKUP($Q59,INDIRECT($B$5&amp;"生成成长"),4))/(VLOOKUP(S$41,INDIRECT($C$5&amp;"生成成长"),5))*(VLOOKUP($B$5,标准坦克设计!$B$24:$U$30,MATCH("对"&amp;LEFT($C$5,2)&amp;"输出",标准坦克设计!$B$23:$U$23,0)))*(VLOOKUP($Q59,INDIRECT($B$5&amp;"生成成长"),3))*(VLOOKUP($B$5,标准坦克设计!$B$14:$K$20,9)/30))</f>
        <v>2.6413683918715161</v>
      </c>
      <c r="T59" s="172">
        <f ca="1">(VLOOKUP(T$41,INDIRECT($C$5&amp;"生成成长"),2))/((VLOOKUP($Q59,INDIRECT($B$5&amp;"生成成长"),4))/(VLOOKUP(T$41,INDIRECT($C$5&amp;"生成成长"),5))*(VLOOKUP($B$5,标准坦克设计!$B$24:$U$30,MATCH("对"&amp;LEFT($C$5,2)&amp;"输出",标准坦克设计!$B$23:$U$23,0)))*(VLOOKUP($Q59,INDIRECT($B$5&amp;"生成成长"),3))*(VLOOKUP($B$5,标准坦克设计!$B$14:$K$20,9)/30))</f>
        <v>4.0140712132417233</v>
      </c>
      <c r="U59" s="172">
        <f ca="1">(VLOOKUP(U$41,INDIRECT($C$5&amp;"生成成长"),2))/((VLOOKUP($Q59,INDIRECT($B$5&amp;"生成成长"),4))/(VLOOKUP(U$41,INDIRECT($C$5&amp;"生成成长"),5))*(VLOOKUP($B$5,标准坦克设计!$B$24:$U$30,MATCH("对"&amp;LEFT($C$5,2)&amp;"输出",标准坦克设计!$B$23:$U$23,0)))*(VLOOKUP($Q59,INDIRECT($B$5&amp;"生成成长"),3))*(VLOOKUP($B$5,标准坦克设计!$B$14:$K$20,9)/30))</f>
        <v>6.5737801780161416</v>
      </c>
      <c r="V59" s="172">
        <f ca="1">(VLOOKUP(V$41,INDIRECT($C$5&amp;"生成成长"),2))/((VLOOKUP($Q59,INDIRECT($B$5&amp;"生成成长"),4))/(VLOOKUP(V$41,INDIRECT($C$5&amp;"生成成长"),5))*(VLOOKUP($B$5,标准坦克设计!$B$24:$U$30,MATCH("对"&amp;LEFT($C$5,2)&amp;"输出",标准坦克设计!$B$23:$U$23,0)))*(VLOOKUP($Q59,INDIRECT($B$5&amp;"生成成长"),3))*(VLOOKUP($B$5,标准坦克设计!$B$14:$K$20,9)/30))</f>
        <v>2.7332352473557511</v>
      </c>
      <c r="W59" s="172">
        <f ca="1">(VLOOKUP(W$41,INDIRECT($C$5&amp;"生成成长"),2))/((VLOOKUP($Q59,INDIRECT($B$5&amp;"生成成长"),4))/(VLOOKUP(W$41,INDIRECT($C$5&amp;"生成成长"),5))*(VLOOKUP($B$5,标准坦克设计!$B$24:$U$30,MATCH("对"&amp;LEFT($C$5,2)&amp;"输出",标准坦克设计!$B$23:$U$23,0)))*(VLOOKUP($Q59,INDIRECT($B$5&amp;"生成成长"),3))*(VLOOKUP($B$5,标准坦克设计!$B$14:$K$20,9)/30))</f>
        <v>4.184260451927261</v>
      </c>
      <c r="X59" s="172">
        <f ca="1">(VLOOKUP(X$41,INDIRECT($C$5&amp;"生成成长"),2))/((VLOOKUP($Q59,INDIRECT($B$5&amp;"生成成长"),4))/(VLOOKUP(X$41,INDIRECT($C$5&amp;"生成成长"),5))*(VLOOKUP($B$5,标准坦克设计!$B$24:$U$30,MATCH("对"&amp;LEFT($C$5,2)&amp;"输出",标准坦克设计!$B$23:$U$23,0)))*(VLOOKUP($Q59,INDIRECT($B$5&amp;"生成成长"),3))*(VLOOKUP($B$5,标准坦克设计!$B$14:$K$20,9)/30))</f>
        <v>6.8642992936500473</v>
      </c>
      <c r="Y59" s="172">
        <f ca="1">(VLOOKUP(Y$41,INDIRECT($C$5&amp;"生成成长"),2))/((VLOOKUP($Q59,INDIRECT($B$5&amp;"生成成长"),4))/(VLOOKUP(Y$41,INDIRECT($C$5&amp;"生成成长"),5))*(VLOOKUP($B$5,标准坦克设计!$B$24:$U$30,MATCH("对"&amp;LEFT($C$5,2)&amp;"输出",标准坦克设计!$B$23:$U$23,0)))*(VLOOKUP($Q59,INDIRECT($B$5&amp;"生成成长"),3))*(VLOOKUP($B$5,标准坦克设计!$B$14:$K$20,9)/30))</f>
        <v>11.591123823693607</v>
      </c>
      <c r="Z59" s="172">
        <f ca="1">(VLOOKUP(Z$41,INDIRECT($C$5&amp;"生成成长"),2))/((VLOOKUP($Q59,INDIRECT($B$5&amp;"生成成长"),4))/(VLOOKUP(Z$41,INDIRECT($C$5&amp;"生成成长"),5))*(VLOOKUP($B$5,标准坦克设计!$B$24:$U$30,MATCH("对"&amp;LEFT($C$5,2)&amp;"输出",标准坦克设计!$B$23:$U$23,0)))*(VLOOKUP($Q59,INDIRECT($B$5&amp;"生成成长"),3))*(VLOOKUP($B$5,标准坦克设计!$B$14:$K$20,9)/30))</f>
        <v>4.3579830312083478</v>
      </c>
      <c r="AA59" s="172">
        <f ca="1">(VLOOKUP(AA$41,INDIRECT($C$5&amp;"生成成长"),2))/((VLOOKUP($Q59,INDIRECT($B$5&amp;"生成成长"),4))/(VLOOKUP(AA$41,INDIRECT($C$5&amp;"生成成长"),5))*(VLOOKUP($B$5,标准坦克设计!$B$24:$U$30,MATCH("对"&amp;LEFT($C$5,2)&amp;"输出",标准坦克设计!$B$23:$U$23,0)))*(VLOOKUP($Q59,INDIRECT($B$5&amp;"生成成长"),3))*(VLOOKUP($B$5,标准坦克设计!$B$14:$K$20,9)/30))</f>
        <v>7.1610999036760381</v>
      </c>
      <c r="AB59" s="172">
        <f ca="1">(VLOOKUP(AB$41,INDIRECT($C$5&amp;"生成成长"),2))/((VLOOKUP($Q59,INDIRECT($B$5&amp;"生成成长"),4))/(VLOOKUP(AB$41,INDIRECT($C$5&amp;"生成成长"),5))*(VLOOKUP($B$5,标准坦克设计!$B$24:$U$30,MATCH("对"&amp;LEFT($C$5,2)&amp;"输出",标准坦克设计!$B$23:$U$23,0)))*(VLOOKUP($Q59,INDIRECT($B$5&amp;"生成成长"),3))*(VLOOKUP($B$5,标准坦克设计!$B$14:$K$20,9)/30))</f>
        <v>12.073032221586335</v>
      </c>
      <c r="AC59" s="172">
        <f ca="1">(VLOOKUP(AC$41,INDIRECT($C$5&amp;"生成成长"),2))/((VLOOKUP($Q59,INDIRECT($B$5&amp;"生成成长"),4))/(VLOOKUP(AC$41,INDIRECT($C$5&amp;"生成成长"),5))*(VLOOKUP($B$5,标准坦克设计!$B$24:$U$30,MATCH("对"&amp;LEFT($C$5,2)&amp;"输出",标准坦克设计!$B$23:$U$23,0)))*(VLOOKUP($Q59,INDIRECT($B$5&amp;"生成成长"),3))*(VLOOKUP($B$5,标准坦克设计!$B$14:$K$20,9)/30))</f>
        <v>3.0182580553965837</v>
      </c>
      <c r="AD59" s="172">
        <f ca="1">(VLOOKUP(AD$41,INDIRECT($C$5&amp;"生成成长"),2))/((VLOOKUP($Q59,INDIRECT($B$5&amp;"生成成长"),4))/(VLOOKUP(AD$41,INDIRECT($C$5&amp;"生成成长"),5))*(VLOOKUP($B$5,标准坦克设计!$B$24:$U$30,MATCH("对"&amp;LEFT($C$5,2)&amp;"输出",标准坦克设计!$B$23:$U$23,0)))*(VLOOKUP($Q59,INDIRECT($B$5&amp;"生成成长"),3))*(VLOOKUP($B$5,标准坦克设计!$B$14:$K$20,9)/30))</f>
        <v>5.2795960365469883</v>
      </c>
      <c r="AE59" s="172">
        <f ca="1">(VLOOKUP(AE$41,INDIRECT($C$5&amp;"生成成长"),2))/((VLOOKUP($Q59,INDIRECT($B$5&amp;"生成成长"),4))/(VLOOKUP(AE$41,INDIRECT($C$5&amp;"生成成长"),5))*(VLOOKUP($B$5,标准坦克设计!$B$24:$U$30,MATCH("对"&amp;LEFT($C$5,2)&amp;"输出",标准坦克设计!$B$23:$U$23,0)))*(VLOOKUP($Q59,INDIRECT($B$5&amp;"生成成长"),3))*(VLOOKUP($B$5,标准坦克设计!$B$14:$K$20,9)/30))</f>
        <v>9.073814946065756</v>
      </c>
      <c r="AF59" s="172">
        <f ca="1">(VLOOKUP(AF$41,INDIRECT($C$5&amp;"生成成长"),2))/((VLOOKUP($Q59,INDIRECT($B$5&amp;"生成成长"),4))/(VLOOKUP(AF$41,INDIRECT($C$5&amp;"生成成长"),5))*(VLOOKUP($B$5,标准坦克设计!$B$24:$U$30,MATCH("对"&amp;LEFT($C$5,2)&amp;"输出",标准坦克设计!$B$23:$U$23,0)))*(VLOOKUP($Q59,INDIRECT($B$5&amp;"生成成长"),3))*(VLOOKUP($B$5,标准坦克设计!$B$14:$K$20,9)/30))</f>
        <v>15.721206386489136</v>
      </c>
      <c r="AG59" s="172">
        <f ca="1">(VLOOKUP(AG$41,INDIRECT($C$5&amp;"生成成长"),2))/((VLOOKUP($Q59,INDIRECT($B$5&amp;"生成成长"),4))/(VLOOKUP(AG$41,INDIRECT($C$5&amp;"生成成长"),5))*(VLOOKUP($B$5,标准坦克设计!$B$24:$U$30,MATCH("对"&amp;LEFT($C$5,2)&amp;"输出",标准坦克设计!$B$23:$U$23,0)))*(VLOOKUP($Q59,INDIRECT($B$5&amp;"生成成长"),3))*(VLOOKUP($B$5,标准坦克设计!$B$14:$K$20,9)/30))</f>
        <v>8.6566844590913981</v>
      </c>
      <c r="AH59" s="172">
        <f ca="1">(VLOOKUP(AH$41,INDIRECT($C$5&amp;"生成成长"),2))/((VLOOKUP($Q59,INDIRECT($B$5&amp;"生成成长"),4))/(VLOOKUP(AH$41,INDIRECT($C$5&amp;"生成成长"),5))*(VLOOKUP($B$5,标准坦克设计!$B$24:$U$30,MATCH("对"&amp;LEFT($C$5,2)&amp;"输出",标准坦克设计!$B$23:$U$23,0)))*(VLOOKUP($Q59,INDIRECT($B$5&amp;"生成成长"),3))*(VLOOKUP($B$5,标准坦克设计!$B$14:$K$20,9)/30))</f>
        <v>15.061649475320269</v>
      </c>
      <c r="AI59" s="172">
        <f ca="1">(VLOOKUP(AI$41,INDIRECT($C$5&amp;"生成成长"),2))/((VLOOKUP($Q59,INDIRECT($B$5&amp;"生成成长"),4))/(VLOOKUP(AI$41,INDIRECT($C$5&amp;"生成成长"),5))*(VLOOKUP($B$5,标准坦克设计!$B$24:$U$30,MATCH("对"&amp;LEFT($C$5,2)&amp;"输出",标准坦克设计!$B$23:$U$23,0)))*(VLOOKUP($Q59,INDIRECT($B$5&amp;"生成成长"),3))*(VLOOKUP($B$5,标准坦克设计!$B$14:$K$20,9)/30))</f>
        <v>25.865819829705547</v>
      </c>
      <c r="AJ59" s="172">
        <f ca="1">(VLOOKUP(AJ$41,INDIRECT($C$5&amp;"生成成长"),2))/((VLOOKUP($Q59,INDIRECT($B$5&amp;"生成成长"),4))/(VLOOKUP(AJ$41,INDIRECT($C$5&amp;"生成成长"),5))*(VLOOKUP($B$5,标准坦克设计!$B$24:$U$30,MATCH("对"&amp;LEFT($C$5,2)&amp;"输出",标准坦克设计!$B$23:$U$23,0)))*(VLOOKUP($Q59,INDIRECT($B$5&amp;"生成成长"),3))*(VLOOKUP($B$5,标准坦克设计!$B$14:$K$20,9)/30))</f>
        <v>43.361940975358046</v>
      </c>
      <c r="AK59" s="172">
        <f ca="1">(VLOOKUP(AK$41,INDIRECT($C$5&amp;"生成成长"),2))/((VLOOKUP($Q59,INDIRECT($B$5&amp;"生成成长"),4))/(VLOOKUP(AK$41,INDIRECT($C$5&amp;"生成成长"),5))*(VLOOKUP($B$5,标准坦克设计!$B$24:$U$30,MATCH("对"&amp;LEFT($C$5,2)&amp;"输出",标准坦克设计!$B$23:$U$23,0)))*(VLOOKUP($Q59,INDIRECT($B$5&amp;"生成成长"),3))*(VLOOKUP($B$5,标准坦克设计!$B$14:$K$20,9)/30))</f>
        <v>15.944199437408136</v>
      </c>
      <c r="AL59" s="172">
        <f ca="1">(VLOOKUP(AL$41,INDIRECT($C$5&amp;"生成成长"),2))/((VLOOKUP($Q59,INDIRECT($B$5&amp;"生成成长"),4))/(VLOOKUP(AL$41,INDIRECT($C$5&amp;"生成成长"),5))*(VLOOKUP($B$5,标准坦克设计!$B$24:$U$30,MATCH("对"&amp;LEFT($C$5,2)&amp;"输出",标准坦克设计!$B$23:$U$23,0)))*(VLOOKUP($Q59,INDIRECT($B$5&amp;"生成成长"),3))*(VLOOKUP($B$5,标准坦克设计!$B$14:$K$20,9)/30))</f>
        <v>27.310563539884964</v>
      </c>
      <c r="AM59" s="172">
        <f ca="1">(VLOOKUP(AM$41,INDIRECT($C$5&amp;"生成成长"),2))/((VLOOKUP($Q59,INDIRECT($B$5&amp;"生成成长"),4))/(VLOOKUP(AM$41,INDIRECT($C$5&amp;"生成成长"),5))*(VLOOKUP($B$5,标准坦克设计!$B$24:$U$30,MATCH("对"&amp;LEFT($C$5,2)&amp;"输出",标准坦克设计!$B$23:$U$23,0)))*(VLOOKUP($Q59,INDIRECT($B$5&amp;"生成成长"),3))*(VLOOKUP($B$5,标准坦克设计!$B$14:$K$20,9)/30))</f>
        <v>45.604434473332205</v>
      </c>
    </row>
    <row r="60" spans="16:39" x14ac:dyDescent="0.15">
      <c r="P60" s="174" t="str">
        <f t="shared" si="7"/>
        <v>T3中满</v>
      </c>
      <c r="Q60" s="178">
        <v>20315</v>
      </c>
      <c r="R60" s="172">
        <f ca="1">(VLOOKUP(R$41,INDIRECT($C$5&amp;"生成成长"),2))/((VLOOKUP($Q60,INDIRECT($B$5&amp;"生成成长"),4))/(VLOOKUP(R$41,INDIRECT($C$5&amp;"生成成长"),5))*(VLOOKUP($B$5,标准坦克设计!$B$24:$U$30,MATCH("对"&amp;LEFT($C$5,2)&amp;"输出",标准坦克设计!$B$23:$U$23,0)))*(VLOOKUP($Q60,INDIRECT($B$5&amp;"生成成长"),3))*(VLOOKUP($B$5,标准坦克设计!$B$14:$K$20,9)/30))</f>
        <v>1.1300211470698103</v>
      </c>
      <c r="S60" s="172">
        <f ca="1">(VLOOKUP(S$41,INDIRECT($C$5&amp;"生成成长"),2))/((VLOOKUP($Q60,INDIRECT($B$5&amp;"生成成长"),4))/(VLOOKUP(S$41,INDIRECT($C$5&amp;"生成成长"),5))*(VLOOKUP($B$5,标准坦克设计!$B$24:$U$30,MATCH("对"&amp;LEFT($C$5,2)&amp;"输出",标准坦克设计!$B$23:$U$23,0)))*(VLOOKUP($Q60,INDIRECT($B$5&amp;"生成成长"),3))*(VLOOKUP($B$5,标准坦克设计!$B$14:$K$20,9)/30))</f>
        <v>1.5205564554971367</v>
      </c>
      <c r="T60" s="172">
        <f ca="1">(VLOOKUP(T$41,INDIRECT($C$5&amp;"生成成长"),2))/((VLOOKUP($Q60,INDIRECT($B$5&amp;"生成成长"),4))/(VLOOKUP(T$41,INDIRECT($C$5&amp;"生成成长"),5))*(VLOOKUP($B$5,标准坦克设计!$B$24:$U$30,MATCH("对"&amp;LEFT($C$5,2)&amp;"输出",标准坦克设计!$B$23:$U$23,0)))*(VLOOKUP($Q60,INDIRECT($B$5&amp;"生成成长"),3))*(VLOOKUP($B$5,标准坦克设计!$B$14:$K$20,9)/30))</f>
        <v>2.3107802436430553</v>
      </c>
      <c r="U60" s="172">
        <f ca="1">(VLOOKUP(U$41,INDIRECT($C$5&amp;"生成成长"),2))/((VLOOKUP($Q60,INDIRECT($B$5&amp;"生成成长"),4))/(VLOOKUP(U$41,INDIRECT($C$5&amp;"生成成长"),5))*(VLOOKUP($B$5,标准坦克设计!$B$24:$U$30,MATCH("对"&amp;LEFT($C$5,2)&amp;"输出",标准坦克设计!$B$23:$U$23,0)))*(VLOOKUP($Q60,INDIRECT($B$5&amp;"生成成长"),3))*(VLOOKUP($B$5,标准坦克设计!$B$14:$K$20,9)/30))</f>
        <v>3.7843278194220882</v>
      </c>
      <c r="V60" s="172">
        <f ca="1">(VLOOKUP(V$41,INDIRECT($C$5&amp;"生成成长"),2))/((VLOOKUP($Q60,INDIRECT($B$5&amp;"生成成长"),4))/(VLOOKUP(V$41,INDIRECT($C$5&amp;"生成成长"),5))*(VLOOKUP($B$5,标准坦克设计!$B$24:$U$30,MATCH("对"&amp;LEFT($C$5,2)&amp;"输出",标准坦克设计!$B$23:$U$23,0)))*(VLOOKUP($Q60,INDIRECT($B$5&amp;"生成成长"),3))*(VLOOKUP($B$5,标准坦克设计!$B$14:$K$20,9)/30))</f>
        <v>1.5734414451800038</v>
      </c>
      <c r="W60" s="172">
        <f ca="1">(VLOOKUP(W$41,INDIRECT($C$5&amp;"生成成长"),2))/((VLOOKUP($Q60,INDIRECT($B$5&amp;"生成成长"),4))/(VLOOKUP(W$41,INDIRECT($C$5&amp;"生成成长"),5))*(VLOOKUP($B$5,标准坦克设计!$B$24:$U$30,MATCH("对"&amp;LEFT($C$5,2)&amp;"输出",标准坦克设计!$B$23:$U$23,0)))*(VLOOKUP($Q60,INDIRECT($B$5&amp;"生成成长"),3))*(VLOOKUP($B$5,标准坦克设计!$B$14:$K$20,9)/30))</f>
        <v>2.408753077094008</v>
      </c>
      <c r="X60" s="172">
        <f ca="1">(VLOOKUP(X$41,INDIRECT($C$5&amp;"生成成长"),2))/((VLOOKUP($Q60,INDIRECT($B$5&amp;"生成成长"),4))/(VLOOKUP(X$41,INDIRECT($C$5&amp;"生成成长"),5))*(VLOOKUP($B$5,标准坦克设计!$B$24:$U$30,MATCH("对"&amp;LEFT($C$5,2)&amp;"输出",标准坦克设计!$B$23:$U$23,0)))*(VLOOKUP($Q60,INDIRECT($B$5&amp;"生成成长"),3))*(VLOOKUP($B$5,标准坦克设计!$B$14:$K$20,9)/30))</f>
        <v>3.9515709491884197</v>
      </c>
      <c r="Y60" s="172">
        <f ca="1">(VLOOKUP(Y$41,INDIRECT($C$5&amp;"生成成长"),2))/((VLOOKUP($Q60,INDIRECT($B$5&amp;"生成成长"),4))/(VLOOKUP(Y$41,INDIRECT($C$5&amp;"生成成长"),5))*(VLOOKUP($B$5,标准坦克设计!$B$24:$U$30,MATCH("对"&amp;LEFT($C$5,2)&amp;"输出",标准坦克设计!$B$23:$U$23,0)))*(VLOOKUP($Q60,INDIRECT($B$5&amp;"生成成长"),3))*(VLOOKUP($B$5,标准坦克设计!$B$14:$K$20,9)/30))</f>
        <v>6.6726618713325214</v>
      </c>
      <c r="Z60" s="172">
        <f ca="1">(VLOOKUP(Z$41,INDIRECT($C$5&amp;"生成成长"),2))/((VLOOKUP($Q60,INDIRECT($B$5&amp;"生成成长"),4))/(VLOOKUP(Z$41,INDIRECT($C$5&amp;"生成成长"),5))*(VLOOKUP($B$5,标准坦克设计!$B$24:$U$30,MATCH("对"&amp;LEFT($C$5,2)&amp;"输出",标准坦克设计!$B$23:$U$23,0)))*(VLOOKUP($Q60,INDIRECT($B$5&amp;"生成成长"),3))*(VLOOKUP($B$5,标准坦克设计!$B$14:$K$20,9)/30))</f>
        <v>2.5087599486096854</v>
      </c>
      <c r="AA60" s="172">
        <f ca="1">(VLOOKUP(AA$41,INDIRECT($C$5&amp;"生成成长"),2))/((VLOOKUP($Q60,INDIRECT($B$5&amp;"生成成长"),4))/(VLOOKUP(AA$41,INDIRECT($C$5&amp;"生成成长"),5))*(VLOOKUP($B$5,标准坦克设计!$B$24:$U$30,MATCH("对"&amp;LEFT($C$5,2)&amp;"输出",标准坦克设计!$B$23:$U$23,0)))*(VLOOKUP($Q60,INDIRECT($B$5&amp;"生成成长"),3))*(VLOOKUP($B$5,标准坦克设计!$B$14:$K$20,9)/30))</f>
        <v>4.1224301466253754</v>
      </c>
      <c r="AB60" s="172">
        <f ca="1">(VLOOKUP(AB$41,INDIRECT($C$5&amp;"生成成长"),2))/((VLOOKUP($Q60,INDIRECT($B$5&amp;"生成成长"),4))/(VLOOKUP(AB$41,INDIRECT($C$5&amp;"生成成长"),5))*(VLOOKUP($B$5,标准坦克设计!$B$24:$U$30,MATCH("对"&amp;LEFT($C$5,2)&amp;"输出",标准坦克设计!$B$23:$U$23,0)))*(VLOOKUP($Q60,INDIRECT($B$5&amp;"生成成长"),3))*(VLOOKUP($B$5,标准坦克设计!$B$14:$K$20,9)/30))</f>
        <v>6.9500820629381606</v>
      </c>
      <c r="AC60" s="172">
        <f ca="1">(VLOOKUP(AC$41,INDIRECT($C$5&amp;"生成成长"),2))/((VLOOKUP($Q60,INDIRECT($B$5&amp;"生成成长"),4))/(VLOOKUP(AC$41,INDIRECT($C$5&amp;"生成成长"),5))*(VLOOKUP($B$5,标准坦克设计!$B$24:$U$30,MATCH("对"&amp;LEFT($C$5,2)&amp;"输出",标准坦克设计!$B$23:$U$23,0)))*(VLOOKUP($Q60,INDIRECT($B$5&amp;"生成成长"),3))*(VLOOKUP($B$5,标准坦克设计!$B$14:$K$20,9)/30))</f>
        <v>1.7375205157345401</v>
      </c>
      <c r="AD60" s="172">
        <f ca="1">(VLOOKUP(AD$41,INDIRECT($C$5&amp;"生成成长"),2))/((VLOOKUP($Q60,INDIRECT($B$5&amp;"生成成长"),4))/(VLOOKUP(AD$41,INDIRECT($C$5&amp;"生成成长"),5))*(VLOOKUP($B$5,标准坦克设计!$B$24:$U$30,MATCH("对"&amp;LEFT($C$5,2)&amp;"输出",标准坦克设计!$B$23:$U$23,0)))*(VLOOKUP($Q60,INDIRECT($B$5&amp;"生成成长"),3))*(VLOOKUP($B$5,标准坦克设计!$B$14:$K$20,9)/30))</f>
        <v>3.0393048771589619</v>
      </c>
      <c r="AE60" s="172">
        <f ca="1">(VLOOKUP(AE$41,INDIRECT($C$5&amp;"生成成长"),2))/((VLOOKUP($Q60,INDIRECT($B$5&amp;"生成成长"),4))/(VLOOKUP(AE$41,INDIRECT($C$5&amp;"生成成长"),5))*(VLOOKUP($B$5,标准坦克设计!$B$24:$U$30,MATCH("对"&amp;LEFT($C$5,2)&amp;"输出",标准坦克设计!$B$23:$U$23,0)))*(VLOOKUP($Q60,INDIRECT($B$5&amp;"生成成长"),3))*(VLOOKUP($B$5,标准坦克设计!$B$14:$K$20,9)/30))</f>
        <v>5.2235227523301981</v>
      </c>
      <c r="AF60" s="172">
        <f ca="1">(VLOOKUP(AF$41,INDIRECT($C$5&amp;"生成成长"),2))/((VLOOKUP($Q60,INDIRECT($B$5&amp;"生成成长"),4))/(VLOOKUP(AF$41,INDIRECT($C$5&amp;"生成成长"),5))*(VLOOKUP($B$5,标准坦克设计!$B$24:$U$30,MATCH("对"&amp;LEFT($C$5,2)&amp;"输出",标准坦克设计!$B$23:$U$23,0)))*(VLOOKUP($Q60,INDIRECT($B$5&amp;"生成成长"),3))*(VLOOKUP($B$5,标准坦克设计!$B$14:$K$20,9)/30))</f>
        <v>9.0502263647674042</v>
      </c>
      <c r="AG60" s="172">
        <f ca="1">(VLOOKUP(AG$41,INDIRECT($C$5&amp;"生成成长"),2))/((VLOOKUP($Q60,INDIRECT($B$5&amp;"生成成长"),4))/(VLOOKUP(AG$41,INDIRECT($C$5&amp;"生成成长"),5))*(VLOOKUP($B$5,标准坦克设计!$B$24:$U$30,MATCH("对"&amp;LEFT($C$5,2)&amp;"输出",标准坦克设计!$B$23:$U$23,0)))*(VLOOKUP($Q60,INDIRECT($B$5&amp;"生成成长"),3))*(VLOOKUP($B$5,标准坦克设计!$B$14:$K$20,9)/30))</f>
        <v>4.9833932585778626</v>
      </c>
      <c r="AH60" s="172">
        <f ca="1">(VLOOKUP(AH$41,INDIRECT($C$5&amp;"生成成长"),2))/((VLOOKUP($Q60,INDIRECT($B$5&amp;"生成成长"),4))/(VLOOKUP(AH$41,INDIRECT($C$5&amp;"生成成长"),5))*(VLOOKUP($B$5,标准坦克设计!$B$24:$U$30,MATCH("对"&amp;LEFT($C$5,2)&amp;"输出",标准坦克设计!$B$23:$U$23,0)))*(VLOOKUP($Q60,INDIRECT($B$5&amp;"生成成长"),3))*(VLOOKUP($B$5,标准坦克设计!$B$14:$K$20,9)/30))</f>
        <v>8.6705392593519477</v>
      </c>
      <c r="AI60" s="172">
        <f ca="1">(VLOOKUP(AI$41,INDIRECT($C$5&amp;"生成成长"),2))/((VLOOKUP($Q60,INDIRECT($B$5&amp;"生成成长"),4))/(VLOOKUP(AI$41,INDIRECT($C$5&amp;"生成成长"),5))*(VLOOKUP($B$5,标准坦克设计!$B$24:$U$30,MATCH("对"&amp;LEFT($C$5,2)&amp;"输出",标准坦克设计!$B$23:$U$23,0)))*(VLOOKUP($Q60,INDIRECT($B$5&amp;"生成成长"),3))*(VLOOKUP($B$5,标准坦克设计!$B$14:$K$20,9)/30))</f>
        <v>14.890175652824183</v>
      </c>
      <c r="AJ60" s="172">
        <f ca="1">(VLOOKUP(AJ$41,INDIRECT($C$5&amp;"生成成长"),2))/((VLOOKUP($Q60,INDIRECT($B$5&amp;"生成成长"),4))/(VLOOKUP(AJ$41,INDIRECT($C$5&amp;"生成成长"),5))*(VLOOKUP($B$5,标准坦克设计!$B$24:$U$30,MATCH("对"&amp;LEFT($C$5,2)&amp;"输出",标准坦克设计!$B$23:$U$23,0)))*(VLOOKUP($Q60,INDIRECT($B$5&amp;"生成成长"),3))*(VLOOKUP($B$5,标准坦克设计!$B$14:$K$20,9)/30))</f>
        <v>24.962167138772102</v>
      </c>
      <c r="AK60" s="172">
        <f ca="1">(VLOOKUP(AK$41,INDIRECT($C$5&amp;"生成成长"),2))/((VLOOKUP($Q60,INDIRECT($B$5&amp;"生成成长"),4))/(VLOOKUP(AK$41,INDIRECT($C$5&amp;"生成成长"),5))*(VLOOKUP($B$5,标准坦克设计!$B$24:$U$30,MATCH("对"&amp;LEFT($C$5,2)&amp;"输出",标准坦克设计!$B$23:$U$23,0)))*(VLOOKUP($Q60,INDIRECT($B$5&amp;"生成成长"),3))*(VLOOKUP($B$5,标准坦克设计!$B$14:$K$20,9)/30))</f>
        <v>9.1785967670745325</v>
      </c>
      <c r="AL60" s="172">
        <f ca="1">(VLOOKUP(AL$41,INDIRECT($C$5&amp;"生成成长"),2))/((VLOOKUP($Q60,INDIRECT($B$5&amp;"生成成长"),4))/(VLOOKUP(AL$41,INDIRECT($C$5&amp;"生成成长"),5))*(VLOOKUP($B$5,标准坦克设计!$B$24:$U$30,MATCH("对"&amp;LEFT($C$5,2)&amp;"输出",标准坦克设计!$B$23:$U$23,0)))*(VLOOKUP($Q60,INDIRECT($B$5&amp;"生成成长"),3))*(VLOOKUP($B$5,标准坦克设计!$B$14:$K$20,9)/30))</f>
        <v>15.721871217067562</v>
      </c>
      <c r="AM60" s="172">
        <f ca="1">(VLOOKUP(AM$41,INDIRECT($C$5&amp;"生成成长"),2))/((VLOOKUP($Q60,INDIRECT($B$5&amp;"生成成长"),4))/(VLOOKUP(AM$41,INDIRECT($C$5&amp;"生成成长"),5))*(VLOOKUP($B$5,标准坦克设计!$B$24:$U$30,MATCH("对"&amp;LEFT($C$5,2)&amp;"输出",标准坦克设计!$B$23:$U$23,0)))*(VLOOKUP($Q60,INDIRECT($B$5&amp;"生成成长"),3))*(VLOOKUP($B$5,标准坦克设计!$B$14:$K$20,9)/30))</f>
        <v>26.253103297184662</v>
      </c>
    </row>
    <row r="61" spans="16:39" x14ac:dyDescent="0.15">
      <c r="P61" s="174" t="str">
        <f t="shared" si="7"/>
        <v>T4中满</v>
      </c>
      <c r="Q61" s="178">
        <v>20418</v>
      </c>
      <c r="R61" s="172">
        <f ca="1">(VLOOKUP(R$41,INDIRECT($C$5&amp;"生成成长"),2))/((VLOOKUP($Q61,INDIRECT($B$5&amp;"生成成长"),4))/(VLOOKUP(R$41,INDIRECT($C$5&amp;"生成成长"),5))*(VLOOKUP($B$5,标准坦克设计!$B$24:$U$30,MATCH("对"&amp;LEFT($C$5,2)&amp;"输出",标准坦克设计!$B$23:$U$23,0)))*(VLOOKUP($Q61,INDIRECT($B$5&amp;"生成成长"),3))*(VLOOKUP($B$5,标准坦克设计!$B$14:$K$20,9)/30))</f>
        <v>0.65764220206907398</v>
      </c>
      <c r="S61" s="172">
        <f ca="1">(VLOOKUP(S$41,INDIRECT($C$5&amp;"生成成长"),2))/((VLOOKUP($Q61,INDIRECT($B$5&amp;"生成成长"),4))/(VLOOKUP(S$41,INDIRECT($C$5&amp;"生成成长"),5))*(VLOOKUP($B$5,标准坦克设计!$B$24:$U$30,MATCH("对"&amp;LEFT($C$5,2)&amp;"输出",标准坦克设计!$B$23:$U$23,0)))*(VLOOKUP($Q61,INDIRECT($B$5&amp;"生成成长"),3))*(VLOOKUP($B$5,标准坦克设计!$B$14:$K$20,9)/30))</f>
        <v>0.88492334710414589</v>
      </c>
      <c r="T61" s="172">
        <f ca="1">(VLOOKUP(T$41,INDIRECT($C$5&amp;"生成成长"),2))/((VLOOKUP($Q61,INDIRECT($B$5&amp;"生成成长"),4))/(VLOOKUP(T$41,INDIRECT($C$5&amp;"生成成长"),5))*(VLOOKUP($B$5,标准坦克设计!$B$24:$U$30,MATCH("对"&amp;LEFT($C$5,2)&amp;"输出",标准坦克设计!$B$23:$U$23,0)))*(VLOOKUP($Q61,INDIRECT($B$5&amp;"生成成长"),3))*(VLOOKUP($B$5,标准坦克设计!$B$14:$K$20,9)/30))</f>
        <v>1.3448125390110492</v>
      </c>
      <c r="U61" s="172">
        <f ca="1">(VLOOKUP(U$41,INDIRECT($C$5&amp;"生成成长"),2))/((VLOOKUP($Q61,INDIRECT($B$5&amp;"生成成长"),4))/(VLOOKUP(U$41,INDIRECT($C$5&amp;"生成成长"),5))*(VLOOKUP($B$5,标准坦克设计!$B$24:$U$30,MATCH("对"&amp;LEFT($C$5,2)&amp;"输出",标准坦克设计!$B$23:$U$23,0)))*(VLOOKUP($Q61,INDIRECT($B$5&amp;"生成成长"),3))*(VLOOKUP($B$5,标准坦克设计!$B$14:$K$20,9)/30))</f>
        <v>2.2023779705091213</v>
      </c>
      <c r="V61" s="172">
        <f ca="1">(VLOOKUP(V$41,INDIRECT($C$5&amp;"生成成长"),2))/((VLOOKUP($Q61,INDIRECT($B$5&amp;"生成成长"),4))/(VLOOKUP(V$41,INDIRECT($C$5&amp;"生成成长"),5))*(VLOOKUP($B$5,标准坦克设计!$B$24:$U$30,MATCH("对"&amp;LEFT($C$5,2)&amp;"输出",标准坦克设计!$B$23:$U$23,0)))*(VLOOKUP($Q61,INDIRECT($B$5&amp;"生成成长"),3))*(VLOOKUP($B$5,标准坦克设计!$B$14:$K$20,9)/30))</f>
        <v>0.91570100216097861</v>
      </c>
      <c r="W61" s="172">
        <f ca="1">(VLOOKUP(W$41,INDIRECT($C$5&amp;"生成成长"),2))/((VLOOKUP($Q61,INDIRECT($B$5&amp;"生成成长"),4))/(VLOOKUP(W$41,INDIRECT($C$5&amp;"生成成长"),5))*(VLOOKUP($B$5,标准坦克设计!$B$24:$U$30,MATCH("对"&amp;LEFT($C$5,2)&amp;"输出",标准坦克设计!$B$23:$U$23,0)))*(VLOOKUP($Q61,INDIRECT($B$5&amp;"生成成长"),3))*(VLOOKUP($B$5,标准坦克设计!$B$14:$K$20,9)/30))</f>
        <v>1.401830117930438</v>
      </c>
      <c r="X61" s="172">
        <f ca="1">(VLOOKUP(X$41,INDIRECT($C$5&amp;"生成成长"),2))/((VLOOKUP($Q61,INDIRECT($B$5&amp;"生成成长"),4))/(VLOOKUP(X$41,INDIRECT($C$5&amp;"生成成长"),5))*(VLOOKUP($B$5,标准坦克设计!$B$24:$U$30,MATCH("对"&amp;LEFT($C$5,2)&amp;"输出",标准坦克设计!$B$23:$U$23,0)))*(VLOOKUP($Q61,INDIRECT($B$5&amp;"生成成长"),3))*(VLOOKUP($B$5,标准坦克设计!$B$14:$K$20,9)/30))</f>
        <v>2.2997090164153442</v>
      </c>
      <c r="Y61" s="172">
        <f ca="1">(VLOOKUP(Y$41,INDIRECT($C$5&amp;"生成成长"),2))/((VLOOKUP($Q61,INDIRECT($B$5&amp;"生成成长"),4))/(VLOOKUP(Y$41,INDIRECT($C$5&amp;"生成成长"),5))*(VLOOKUP($B$5,标准坦克设计!$B$24:$U$30,MATCH("对"&amp;LEFT($C$5,2)&amp;"输出",标准坦克设计!$B$23:$U$23,0)))*(VLOOKUP($Q61,INDIRECT($B$5&amp;"生成成长"),3))*(VLOOKUP($B$5,标准坦克设计!$B$14:$K$20,9)/30))</f>
        <v>3.8833114389976742</v>
      </c>
      <c r="Z61" s="172">
        <f ca="1">(VLOOKUP(Z$41,INDIRECT($C$5&amp;"生成成长"),2))/((VLOOKUP($Q61,INDIRECT($B$5&amp;"生成成长"),4))/(VLOOKUP(Z$41,INDIRECT($C$5&amp;"生成成长"),5))*(VLOOKUP($B$5,标准坦克设计!$B$24:$U$30,MATCH("对"&amp;LEFT($C$5,2)&amp;"输出",标准坦克设计!$B$23:$U$23,0)))*(VLOOKUP($Q61,INDIRECT($B$5&amp;"生成成长"),3))*(VLOOKUP($B$5,标准坦克设计!$B$14:$K$20,9)/30))</f>
        <v>1.460031452813551</v>
      </c>
      <c r="AA61" s="172">
        <f ca="1">(VLOOKUP(AA$41,INDIRECT($C$5&amp;"生成成长"),2))/((VLOOKUP($Q61,INDIRECT($B$5&amp;"生成成长"),4))/(VLOOKUP(AA$41,INDIRECT($C$5&amp;"生成成长"),5))*(VLOOKUP($B$5,标准坦克设计!$B$24:$U$30,MATCH("对"&amp;LEFT($C$5,2)&amp;"输出",标准坦克设计!$B$23:$U$23,0)))*(VLOOKUP($Q61,INDIRECT($B$5&amp;"生成成长"),3))*(VLOOKUP($B$5,标准坦克设计!$B$14:$K$20,9)/30))</f>
        <v>2.3991445173681885</v>
      </c>
      <c r="AB61" s="172">
        <f ca="1">(VLOOKUP(AB$41,INDIRECT($C$5&amp;"生成成长"),2))/((VLOOKUP($Q61,INDIRECT($B$5&amp;"生成成长"),4))/(VLOOKUP(AB$41,INDIRECT($C$5&amp;"生成成长"),5))*(VLOOKUP($B$5,标准坦克设计!$B$24:$U$30,MATCH("对"&amp;LEFT($C$5,2)&amp;"输出",标准坦克设计!$B$23:$U$23,0)))*(VLOOKUP($Q61,INDIRECT($B$5&amp;"生成成长"),3))*(VLOOKUP($B$5,标准坦克设计!$B$14:$K$20,9)/30))</f>
        <v>4.0447625996056322</v>
      </c>
      <c r="AC61" s="172">
        <f ca="1">(VLOOKUP(AC$41,INDIRECT($C$5&amp;"生成成长"),2))/((VLOOKUP($Q61,INDIRECT($B$5&amp;"生成成长"),4))/(VLOOKUP(AC$41,INDIRECT($C$5&amp;"生成成长"),5))*(VLOOKUP($B$5,标准坦克设计!$B$24:$U$30,MATCH("对"&amp;LEFT($C$5,2)&amp;"输出",标准坦克设计!$B$23:$U$23,0)))*(VLOOKUP($Q61,INDIRECT($B$5&amp;"生成成长"),3))*(VLOOKUP($B$5,标准坦克设计!$B$14:$K$20,9)/30))</f>
        <v>1.0111906499014081</v>
      </c>
      <c r="AD61" s="172">
        <f ca="1">(VLOOKUP(AD$41,INDIRECT($C$5&amp;"生成成长"),2))/((VLOOKUP($Q61,INDIRECT($B$5&amp;"生成成长"),4))/(VLOOKUP(AD$41,INDIRECT($C$5&amp;"生成成长"),5))*(VLOOKUP($B$5,标准坦克设计!$B$24:$U$30,MATCH("对"&amp;LEFT($C$5,2)&amp;"输出",标准坦克设计!$B$23:$U$23,0)))*(VLOOKUP($Q61,INDIRECT($B$5&amp;"生成成长"),3))*(VLOOKUP($B$5,标准坦克设计!$B$14:$K$20,9)/30))</f>
        <v>1.7687944666849809</v>
      </c>
      <c r="AE61" s="172">
        <f ca="1">(VLOOKUP(AE$41,INDIRECT($C$5&amp;"生成成长"),2))/((VLOOKUP($Q61,INDIRECT($B$5&amp;"生成成长"),4))/(VLOOKUP(AE$41,INDIRECT($C$5&amp;"生成成长"),5))*(VLOOKUP($B$5,标准坦克设计!$B$24:$U$30,MATCH("对"&amp;LEFT($C$5,2)&amp;"输出",标准坦克设计!$B$23:$U$23,0)))*(VLOOKUP($Q61,INDIRECT($B$5&amp;"生成成长"),3))*(VLOOKUP($B$5,标准坦克设计!$B$14:$K$20,9)/30))</f>
        <v>3.0399510790642936</v>
      </c>
      <c r="AF61" s="172">
        <f ca="1">(VLOOKUP(AF$41,INDIRECT($C$5&amp;"生成成长"),2))/((VLOOKUP($Q61,INDIRECT($B$5&amp;"生成成长"),4))/(VLOOKUP(AF$41,INDIRECT($C$5&amp;"生成成长"),5))*(VLOOKUP($B$5,标准坦克设计!$B$24:$U$30,MATCH("对"&amp;LEFT($C$5,2)&amp;"输出",标准坦克设计!$B$23:$U$23,0)))*(VLOOKUP($Q61,INDIRECT($B$5&amp;"生成成长"),3))*(VLOOKUP($B$5,标准坦克设计!$B$14:$K$20,9)/30))</f>
        <v>5.2669906321510052</v>
      </c>
      <c r="AG61" s="172">
        <f ca="1">(VLOOKUP(AG$41,INDIRECT($C$5&amp;"生成成长"),2))/((VLOOKUP($Q61,INDIRECT($B$5&amp;"生成成长"),4))/(VLOOKUP(AG$41,INDIRECT($C$5&amp;"生成成长"),5))*(VLOOKUP($B$5,标准坦克设计!$B$24:$U$30,MATCH("对"&amp;LEFT($C$5,2)&amp;"输出",标准坦克设计!$B$23:$U$23,0)))*(VLOOKUP($Q61,INDIRECT($B$5&amp;"生成成长"),3))*(VLOOKUP($B$5,标准坦克设计!$B$14:$K$20,9)/30))</f>
        <v>2.9002021111246155</v>
      </c>
      <c r="AH61" s="172">
        <f ca="1">(VLOOKUP(AH$41,INDIRECT($C$5&amp;"生成成长"),2))/((VLOOKUP($Q61,INDIRECT($B$5&amp;"生成成长"),4))/(VLOOKUP(AH$41,INDIRECT($C$5&amp;"生成成长"),5))*(VLOOKUP($B$5,标准坦克设计!$B$24:$U$30,MATCH("对"&amp;LEFT($C$5,2)&amp;"输出",标准坦克设计!$B$23:$U$23,0)))*(VLOOKUP($Q61,INDIRECT($B$5&amp;"生成成长"),3))*(VLOOKUP($B$5,标准坦克设计!$B$14:$K$20,9)/30))</f>
        <v>5.0460228522557973</v>
      </c>
      <c r="AI61" s="172">
        <f ca="1">(VLOOKUP(AI$41,INDIRECT($C$5&amp;"生成成长"),2))/((VLOOKUP($Q61,INDIRECT($B$5&amp;"生成成长"),4))/(VLOOKUP(AI$41,INDIRECT($C$5&amp;"生成成长"),5))*(VLOOKUP($B$5,标准坦克设计!$B$24:$U$30,MATCH("对"&amp;LEFT($C$5,2)&amp;"输出",标准坦克设计!$B$23:$U$23,0)))*(VLOOKUP($Q61,INDIRECT($B$5&amp;"生成成长"),3))*(VLOOKUP($B$5,标准坦克设计!$B$14:$K$20,9)/30))</f>
        <v>8.6656855324439803</v>
      </c>
      <c r="AJ61" s="172">
        <f ca="1">(VLOOKUP(AJ$41,INDIRECT($C$5&amp;"生成成长"),2))/((VLOOKUP($Q61,INDIRECT($B$5&amp;"生成成长"),4))/(VLOOKUP(AJ$41,INDIRECT($C$5&amp;"生成成长"),5))*(VLOOKUP($B$5,标准坦克设计!$B$24:$U$30,MATCH("对"&amp;LEFT($C$5,2)&amp;"输出",标准坦克设计!$B$23:$U$23,0)))*(VLOOKUP($Q61,INDIRECT($B$5&amp;"生成成长"),3))*(VLOOKUP($B$5,标准坦克设计!$B$14:$K$20,9)/30))</f>
        <v>14.52731624370584</v>
      </c>
      <c r="AK61" s="172">
        <f ca="1">(VLOOKUP(AK$41,INDIRECT($C$5&amp;"生成成长"),2))/((VLOOKUP($Q61,INDIRECT($B$5&amp;"生成成长"),4))/(VLOOKUP(AK$41,INDIRECT($C$5&amp;"生成成长"),5))*(VLOOKUP($B$5,标准坦克设计!$B$24:$U$30,MATCH("对"&amp;LEFT($C$5,2)&amp;"输出",标准坦克设计!$B$23:$U$23,0)))*(VLOOKUP($Q61,INDIRECT($B$5&amp;"生成成长"),3))*(VLOOKUP($B$5,标准坦克设计!$B$14:$K$20,9)/30))</f>
        <v>5.3416987863060532</v>
      </c>
      <c r="AL61" s="172">
        <f ca="1">(VLOOKUP(AL$41,INDIRECT($C$5&amp;"生成成长"),2))/((VLOOKUP($Q61,INDIRECT($B$5&amp;"生成成长"),4))/(VLOOKUP(AL$41,INDIRECT($C$5&amp;"生成成长"),5))*(VLOOKUP($B$5,标准坦克设计!$B$24:$U$30,MATCH("对"&amp;LEFT($C$5,2)&amp;"输出",标准坦克设计!$B$23:$U$23,0)))*(VLOOKUP($Q61,INDIRECT($B$5&amp;"生成成长"),3))*(VLOOKUP($B$5,标准坦克设计!$B$14:$K$20,9)/30))</f>
        <v>9.1497101931668166</v>
      </c>
      <c r="AM61" s="172">
        <f ca="1">(VLOOKUP(AM$41,INDIRECT($C$5&amp;"生成成长"),2))/((VLOOKUP($Q61,INDIRECT($B$5&amp;"生成成长"),4))/(VLOOKUP(AM$41,INDIRECT($C$5&amp;"生成成长"),5))*(VLOOKUP($B$5,标准坦克设计!$B$24:$U$30,MATCH("对"&amp;LEFT($C$5,2)&amp;"输出",标准坦克设计!$B$23:$U$23,0)))*(VLOOKUP($Q61,INDIRECT($B$5&amp;"生成成长"),3))*(VLOOKUP($B$5,标准坦克设计!$B$14:$K$20,9)/30))</f>
        <v>15.278606695349552</v>
      </c>
    </row>
    <row r="62" spans="16:39" x14ac:dyDescent="0.15">
      <c r="P62" s="174" t="str">
        <f t="shared" si="7"/>
        <v>T5中满</v>
      </c>
      <c r="Q62" s="178">
        <v>20521</v>
      </c>
      <c r="R62" s="172">
        <f ca="1">(VLOOKUP(R$41,INDIRECT($C$5&amp;"生成成长"),2))/((VLOOKUP($Q62,INDIRECT($B$5&amp;"生成成长"),4))/(VLOOKUP(R$41,INDIRECT($C$5&amp;"生成成长"),5))*(VLOOKUP($B$5,标准坦克设计!$B$24:$U$30,MATCH("对"&amp;LEFT($C$5,2)&amp;"输出",标准坦克设计!$B$23:$U$23,0)))*(VLOOKUP($Q62,INDIRECT($B$5&amp;"生成成长"),3))*(VLOOKUP($B$5,标准坦克设计!$B$14:$K$20,9)/30))</f>
        <v>0.39243001464360044</v>
      </c>
      <c r="S62" s="172">
        <f ca="1">(VLOOKUP(S$41,INDIRECT($C$5&amp;"生成成长"),2))/((VLOOKUP($Q62,INDIRECT($B$5&amp;"生成成长"),4))/(VLOOKUP(S$41,INDIRECT($C$5&amp;"生成成长"),5))*(VLOOKUP($B$5,标准坦克设计!$B$24:$U$30,MATCH("对"&amp;LEFT($C$5,2)&amp;"输出",标准坦克设计!$B$23:$U$23,0)))*(VLOOKUP($Q62,INDIRECT($B$5&amp;"生成成长"),3))*(VLOOKUP($B$5,标准坦克设计!$B$14:$K$20,9)/30))</f>
        <v>0.52805382770442888</v>
      </c>
      <c r="T62" s="172">
        <f ca="1">(VLOOKUP(T$41,INDIRECT($C$5&amp;"生成成长"),2))/((VLOOKUP($Q62,INDIRECT($B$5&amp;"生成成长"),4))/(VLOOKUP(T$41,INDIRECT($C$5&amp;"生成成长"),5))*(VLOOKUP($B$5,标准坦克设计!$B$24:$U$30,MATCH("对"&amp;LEFT($C$5,2)&amp;"输出",标准坦克设计!$B$23:$U$23,0)))*(VLOOKUP($Q62,INDIRECT($B$5&amp;"生成成长"),3))*(VLOOKUP($B$5,标准坦克设计!$B$14:$K$20,9)/30))</f>
        <v>0.80248013694469877</v>
      </c>
      <c r="U62" s="172">
        <f ca="1">(VLOOKUP(U$41,INDIRECT($C$5&amp;"生成成长"),2))/((VLOOKUP($Q62,INDIRECT($B$5&amp;"生成成长"),4))/(VLOOKUP(U$41,INDIRECT($C$5&amp;"生成成长"),5))*(VLOOKUP($B$5,标准坦克设计!$B$24:$U$30,MATCH("对"&amp;LEFT($C$5,2)&amp;"输出",标准坦克设计!$B$23:$U$23,0)))*(VLOOKUP($Q62,INDIRECT($B$5&amp;"生成成长"),3))*(VLOOKUP($B$5,标准坦克设计!$B$14:$K$20,9)/30))</f>
        <v>1.3142088760399535</v>
      </c>
      <c r="V62" s="172">
        <f ca="1">(VLOOKUP(V$41,INDIRECT($C$5&amp;"生成成长"),2))/((VLOOKUP($Q62,INDIRECT($B$5&amp;"生成成长"),4))/(VLOOKUP(V$41,INDIRECT($C$5&amp;"生成成长"),5))*(VLOOKUP($B$5,标准坦克设计!$B$24:$U$30,MATCH("对"&amp;LEFT($C$5,2)&amp;"输出",标准坦克设计!$B$23:$U$23,0)))*(VLOOKUP($Q62,INDIRECT($B$5&amp;"生成成长"),3))*(VLOOKUP($B$5,标准坦克设计!$B$14:$K$20,9)/30))</f>
        <v>0.54641955238974937</v>
      </c>
      <c r="W62" s="172">
        <f ca="1">(VLOOKUP(W$41,INDIRECT($C$5&amp;"生成成长"),2))/((VLOOKUP($Q62,INDIRECT($B$5&amp;"生成成长"),4))/(VLOOKUP(W$41,INDIRECT($C$5&amp;"生成成长"),5))*(VLOOKUP($B$5,标准坦克设计!$B$24:$U$30,MATCH("对"&amp;LEFT($C$5,2)&amp;"输出",标准坦克设计!$B$23:$U$23,0)))*(VLOOKUP($Q62,INDIRECT($B$5&amp;"生成成长"),3))*(VLOOKUP($B$5,标准坦克设计!$B$14:$K$20,9)/30))</f>
        <v>0.83650381921429884</v>
      </c>
      <c r="X62" s="172">
        <f ca="1">(VLOOKUP(X$41,INDIRECT($C$5&amp;"生成成长"),2))/((VLOOKUP($Q62,INDIRECT($B$5&amp;"生成成长"),4))/(VLOOKUP(X$41,INDIRECT($C$5&amp;"生成成长"),5))*(VLOOKUP($B$5,标准坦克设计!$B$24:$U$30,MATCH("对"&amp;LEFT($C$5,2)&amp;"输出",标准坦克设计!$B$23:$U$23,0)))*(VLOOKUP($Q62,INDIRECT($B$5&amp;"生成成长"),3))*(VLOOKUP($B$5,标准坦克设计!$B$14:$K$20,9)/30))</f>
        <v>1.3722885182072069</v>
      </c>
      <c r="Y62" s="172">
        <f ca="1">(VLOOKUP(Y$41,INDIRECT($C$5&amp;"生成成长"),2))/((VLOOKUP($Q62,INDIRECT($B$5&amp;"生成成长"),4))/(VLOOKUP(Y$41,INDIRECT($C$5&amp;"生成成长"),5))*(VLOOKUP($B$5,标准坦克设计!$B$24:$U$30,MATCH("对"&amp;LEFT($C$5,2)&amp;"输出",标准坦克设计!$B$23:$U$23,0)))*(VLOOKUP($Q62,INDIRECT($B$5&amp;"生成成长"),3))*(VLOOKUP($B$5,标准坦克设计!$B$14:$K$20,9)/30))</f>
        <v>2.3172599934689968</v>
      </c>
      <c r="Z62" s="172">
        <f ca="1">(VLOOKUP(Z$41,INDIRECT($C$5&amp;"生成成长"),2))/((VLOOKUP($Q62,INDIRECT($B$5&amp;"生成成长"),4))/(VLOOKUP(Z$41,INDIRECT($C$5&amp;"生成成长"),5))*(VLOOKUP($B$5,标准坦克设计!$B$24:$U$30,MATCH("对"&amp;LEFT($C$5,2)&amp;"输出",标准坦克设计!$B$23:$U$23,0)))*(VLOOKUP($Q62,INDIRECT($B$5&amp;"生成成长"),3))*(VLOOKUP($B$5,标准坦克设计!$B$14:$K$20,9)/30))</f>
        <v>0.87123387551025755</v>
      </c>
      <c r="AA62" s="172">
        <f ca="1">(VLOOKUP(AA$41,INDIRECT($C$5&amp;"生成成长"),2))/((VLOOKUP($Q62,INDIRECT($B$5&amp;"生成成长"),4))/(VLOOKUP(AA$41,INDIRECT($C$5&amp;"生成成长"),5))*(VLOOKUP($B$5,标准坦克设计!$B$24:$U$30,MATCH("对"&amp;LEFT($C$5,2)&amp;"输出",标准坦克设计!$B$23:$U$23,0)))*(VLOOKUP($Q62,INDIRECT($B$5&amp;"生成成长"),3))*(VLOOKUP($B$5,标准坦克设计!$B$14:$K$20,9)/30))</f>
        <v>1.4316239364213188</v>
      </c>
      <c r="AB62" s="172">
        <f ca="1">(VLOOKUP(AB$41,INDIRECT($C$5&amp;"生成成长"),2))/((VLOOKUP($Q62,INDIRECT($B$5&amp;"生成成长"),4))/(VLOOKUP(AB$41,INDIRECT($C$5&amp;"生成成长"),5))*(VLOOKUP($B$5,标准坦克设计!$B$24:$U$30,MATCH("对"&amp;LEFT($C$5,2)&amp;"输出",标准坦克设计!$B$23:$U$23,0)))*(VLOOKUP($Q62,INDIRECT($B$5&amp;"生成成长"),3))*(VLOOKUP($B$5,标准坦克设计!$B$14:$K$20,9)/30))</f>
        <v>2.4136015620640001</v>
      </c>
      <c r="AC62" s="172">
        <f ca="1">(VLOOKUP(AC$41,INDIRECT($C$5&amp;"生成成长"),2))/((VLOOKUP($Q62,INDIRECT($B$5&amp;"生成成长"),4))/(VLOOKUP(AC$41,INDIRECT($C$5&amp;"生成成长"),5))*(VLOOKUP($B$5,标准坦克设计!$B$24:$U$30,MATCH("对"&amp;LEFT($C$5,2)&amp;"输出",标准坦克设计!$B$23:$U$23,0)))*(VLOOKUP($Q62,INDIRECT($B$5&amp;"生成成长"),3))*(VLOOKUP($B$5,标准坦克设计!$B$14:$K$20,9)/30))</f>
        <v>0.60340039051600003</v>
      </c>
      <c r="AD62" s="172">
        <f ca="1">(VLOOKUP(AD$41,INDIRECT($C$5&amp;"生成成长"),2))/((VLOOKUP($Q62,INDIRECT($B$5&amp;"生成成长"),4))/(VLOOKUP(AD$41,INDIRECT($C$5&amp;"生成成长"),5))*(VLOOKUP($B$5,标准坦克设计!$B$24:$U$30,MATCH("对"&amp;LEFT($C$5,2)&amp;"输出",标准坦克设计!$B$23:$U$23,0)))*(VLOOKUP($Q62,INDIRECT($B$5&amp;"生成成长"),3))*(VLOOKUP($B$5,标准坦克设计!$B$14:$K$20,9)/30))</f>
        <v>1.0554797673854279</v>
      </c>
      <c r="AE62" s="172">
        <f ca="1">(VLOOKUP(AE$41,INDIRECT($C$5&amp;"生成成长"),2))/((VLOOKUP($Q62,INDIRECT($B$5&amp;"生成成长"),4))/(VLOOKUP(AE$41,INDIRECT($C$5&amp;"生成成长"),5))*(VLOOKUP($B$5,标准坦克设计!$B$24:$U$30,MATCH("对"&amp;LEFT($C$5,2)&amp;"输出",标准坦克设计!$B$23:$U$23,0)))*(VLOOKUP($Q62,INDIRECT($B$5&amp;"生成成长"),3))*(VLOOKUP($B$5,标准坦克设计!$B$14:$K$20,9)/30))</f>
        <v>1.8140077426900434</v>
      </c>
      <c r="AF62" s="172">
        <f ca="1">(VLOOKUP(AF$41,INDIRECT($C$5&amp;"生成成长"),2))/((VLOOKUP($Q62,INDIRECT($B$5&amp;"生成成长"),4))/(VLOOKUP(AF$41,INDIRECT($C$5&amp;"生成成长"),5))*(VLOOKUP($B$5,标准坦克设计!$B$24:$U$30,MATCH("对"&amp;LEFT($C$5,2)&amp;"输出",标准坦克设计!$B$23:$U$23,0)))*(VLOOKUP($Q62,INDIRECT($B$5&amp;"生成成长"),3))*(VLOOKUP($B$5,标准坦克设计!$B$14:$K$20,9)/30))</f>
        <v>3.1429327442791322</v>
      </c>
      <c r="AG62" s="172">
        <f ca="1">(VLOOKUP(AG$41,INDIRECT($C$5&amp;"生成成长"),2))/((VLOOKUP($Q62,INDIRECT($B$5&amp;"生成成长"),4))/(VLOOKUP(AG$41,INDIRECT($C$5&amp;"生成成长"),5))*(VLOOKUP($B$5,标准坦克设计!$B$24:$U$30,MATCH("对"&amp;LEFT($C$5,2)&amp;"输出",标准坦克设计!$B$23:$U$23,0)))*(VLOOKUP($Q62,INDIRECT($B$5&amp;"生成成长"),3))*(VLOOKUP($B$5,标准坦克设计!$B$14:$K$20,9)/30))</f>
        <v>1.7306163645782782</v>
      </c>
      <c r="AH62" s="172">
        <f ca="1">(VLOOKUP(AH$41,INDIRECT($C$5&amp;"生成成长"),2))/((VLOOKUP($Q62,INDIRECT($B$5&amp;"生成成长"),4))/(VLOOKUP(AH$41,INDIRECT($C$5&amp;"生成成长"),5))*(VLOOKUP($B$5,标准坦克设计!$B$24:$U$30,MATCH("对"&amp;LEFT($C$5,2)&amp;"输出",标准坦克设计!$B$23:$U$23,0)))*(VLOOKUP($Q62,INDIRECT($B$5&amp;"生成成长"),3))*(VLOOKUP($B$5,标准坦克设计!$B$14:$K$20,9)/30))</f>
        <v>3.0110762593588825</v>
      </c>
      <c r="AI62" s="172">
        <f ca="1">(VLOOKUP(AI$41,INDIRECT($C$5&amp;"生成成长"),2))/((VLOOKUP($Q62,INDIRECT($B$5&amp;"生成成长"),4))/(VLOOKUP(AI$41,INDIRECT($C$5&amp;"生成成长"),5))*(VLOOKUP($B$5,标准坦克设计!$B$24:$U$30,MATCH("对"&amp;LEFT($C$5,2)&amp;"输出",标准坦克设计!$B$23:$U$23,0)))*(VLOOKUP($Q62,INDIRECT($B$5&amp;"生成成长"),3))*(VLOOKUP($B$5,标准坦克设计!$B$14:$K$20,9)/30))</f>
        <v>5.1710110599572587</v>
      </c>
      <c r="AJ62" s="172">
        <f ca="1">(VLOOKUP(AJ$41,INDIRECT($C$5&amp;"生成成长"),2))/((VLOOKUP($Q62,INDIRECT($B$5&amp;"生成成长"),4))/(VLOOKUP(AJ$41,INDIRECT($C$5&amp;"生成成长"),5))*(VLOOKUP($B$5,标准坦克设计!$B$24:$U$30,MATCH("对"&amp;LEFT($C$5,2)&amp;"输出",标准坦克设计!$B$23:$U$23,0)))*(VLOOKUP($Q62,INDIRECT($B$5&amp;"生成成长"),3))*(VLOOKUP($B$5,标准坦克设计!$B$14:$K$20,9)/30))</f>
        <v>8.6687790234771338</v>
      </c>
      <c r="AK62" s="172">
        <f ca="1">(VLOOKUP(AK$41,INDIRECT($C$5&amp;"生成成长"),2))/((VLOOKUP($Q62,INDIRECT($B$5&amp;"生成成长"),4))/(VLOOKUP(AK$41,INDIRECT($C$5&amp;"生成成长"),5))*(VLOOKUP($B$5,标准坦克设计!$B$24:$U$30,MATCH("对"&amp;LEFT($C$5,2)&amp;"输出",标准坦克设计!$B$23:$U$23,0)))*(VLOOKUP($Q62,INDIRECT($B$5&amp;"生成成长"),3))*(VLOOKUP($B$5,标准坦克设计!$B$14:$K$20,9)/30))</f>
        <v>3.1875127939426449</v>
      </c>
      <c r="AL62" s="172">
        <f ca="1">(VLOOKUP(AL$41,INDIRECT($C$5&amp;"生成成长"),2))/((VLOOKUP($Q62,INDIRECT($B$5&amp;"生成成长"),4))/(VLOOKUP(AL$41,INDIRECT($C$5&amp;"生成成长"),5))*(VLOOKUP($B$5,标准坦克设计!$B$24:$U$30,MATCH("对"&amp;LEFT($C$5,2)&amp;"输出",标准坦克设计!$B$23:$U$23,0)))*(VLOOKUP($Q62,INDIRECT($B$5&amp;"生成成长"),3))*(VLOOKUP($B$5,标准坦克设计!$B$14:$K$20,9)/30))</f>
        <v>5.4598395507349498</v>
      </c>
      <c r="AM62" s="172">
        <f ca="1">(VLOOKUP(AM$41,INDIRECT($C$5&amp;"生成成长"),2))/((VLOOKUP($Q62,INDIRECT($B$5&amp;"生成成长"),4))/(VLOOKUP(AM$41,INDIRECT($C$5&amp;"生成成长"),5))*(VLOOKUP($B$5,标准坦克设计!$B$24:$U$30,MATCH("对"&amp;LEFT($C$5,2)&amp;"输出",标准坦克设计!$B$23:$U$23,0)))*(VLOOKUP($Q62,INDIRECT($B$5&amp;"生成成长"),3))*(VLOOKUP($B$5,标准坦克设计!$B$14:$K$20,9)/30))</f>
        <v>9.1170910722059855</v>
      </c>
    </row>
    <row r="63" spans="16:39" x14ac:dyDescent="0.15">
      <c r="P63" s="174" t="str">
        <f t="shared" si="7"/>
        <v>T3高满</v>
      </c>
      <c r="Q63" s="178">
        <v>30315</v>
      </c>
      <c r="R63" s="172">
        <f ca="1">(VLOOKUP(R$41,INDIRECT($C$5&amp;"生成成长"),2))/((VLOOKUP($Q63,INDIRECT($B$5&amp;"生成成长"),4))/(VLOOKUP(R$41,INDIRECT($C$5&amp;"生成成长"),5))*(VLOOKUP($B$5,标准坦克设计!$B$24:$U$30,MATCH("对"&amp;LEFT($C$5,2)&amp;"输出",标准坦克设计!$B$23:$U$23,0)))*(VLOOKUP($Q63,INDIRECT($B$5&amp;"生成成长"),3))*(VLOOKUP($B$5,标准坦克设计!$B$14:$K$20,9)/30))</f>
        <v>1.0673008165667701</v>
      </c>
      <c r="S63" s="172">
        <f ca="1">(VLOOKUP(S$41,INDIRECT($C$5&amp;"生成成长"),2))/((VLOOKUP($Q63,INDIRECT($B$5&amp;"生成成长"),4))/(VLOOKUP(S$41,INDIRECT($C$5&amp;"生成成长"),5))*(VLOOKUP($B$5,标准坦克设计!$B$24:$U$30,MATCH("对"&amp;LEFT($C$5,2)&amp;"输出",标准坦克设计!$B$23:$U$23,0)))*(VLOOKUP($Q63,INDIRECT($B$5&amp;"生成成长"),3))*(VLOOKUP($B$5,标准坦克设计!$B$14:$K$20,9)/30))</f>
        <v>1.4361599787722461</v>
      </c>
      <c r="T63" s="172">
        <f ca="1">(VLOOKUP(T$41,INDIRECT($C$5&amp;"生成成长"),2))/((VLOOKUP($Q63,INDIRECT($B$5&amp;"生成成长"),4))/(VLOOKUP(T$41,INDIRECT($C$5&amp;"生成成长"),5))*(VLOOKUP($B$5,标准坦克设计!$B$24:$U$30,MATCH("对"&amp;LEFT($C$5,2)&amp;"输出",标准坦克设计!$B$23:$U$23,0)))*(VLOOKUP($Q63,INDIRECT($B$5&amp;"生成成长"),3))*(VLOOKUP($B$5,标准坦克设计!$B$14:$K$20,9)/30))</f>
        <v>2.1825234397973885</v>
      </c>
      <c r="U63" s="172">
        <f ca="1">(VLOOKUP(U$41,INDIRECT($C$5&amp;"生成成长"),2))/((VLOOKUP($Q63,INDIRECT($B$5&amp;"生成成长"),4))/(VLOOKUP(U$41,INDIRECT($C$5&amp;"生成成长"),5))*(VLOOKUP($B$5,标准坦克设计!$B$24:$U$30,MATCH("对"&amp;LEFT($C$5,2)&amp;"输出",标准坦克设计!$B$23:$U$23,0)))*(VLOOKUP($Q63,INDIRECT($B$5&amp;"生成成长"),3))*(VLOOKUP($B$5,标准坦克设计!$B$14:$K$20,9)/30))</f>
        <v>3.574283704600457</v>
      </c>
      <c r="V63" s="172">
        <f ca="1">(VLOOKUP(V$41,INDIRECT($C$5&amp;"生成成长"),2))/((VLOOKUP($Q63,INDIRECT($B$5&amp;"生成成长"),4))/(VLOOKUP(V$41,INDIRECT($C$5&amp;"生成成长"),5))*(VLOOKUP($B$5,标准坦克设计!$B$24:$U$30,MATCH("对"&amp;LEFT($C$5,2)&amp;"输出",标准坦克设计!$B$23:$U$23,0)))*(VLOOKUP($Q63,INDIRECT($B$5&amp;"生成成长"),3))*(VLOOKUP($B$5,标准坦克设计!$B$14:$K$20,9)/30))</f>
        <v>1.4861096569875711</v>
      </c>
      <c r="W63" s="172">
        <f ca="1">(VLOOKUP(W$41,INDIRECT($C$5&amp;"生成成长"),2))/((VLOOKUP($Q63,INDIRECT($B$5&amp;"生成成长"),4))/(VLOOKUP(W$41,INDIRECT($C$5&amp;"生成成长"),5))*(VLOOKUP($B$5,标准坦克设计!$B$24:$U$30,MATCH("对"&amp;LEFT($C$5,2)&amp;"输出",标准坦克设计!$B$23:$U$23,0)))*(VLOOKUP($Q63,INDIRECT($B$5&amp;"生成成长"),3))*(VLOOKUP($B$5,标准坦克设计!$B$14:$K$20,9)/30))</f>
        <v>2.2750584205937274</v>
      </c>
      <c r="X63" s="172">
        <f ca="1">(VLOOKUP(X$41,INDIRECT($C$5&amp;"生成成长"),2))/((VLOOKUP($Q63,INDIRECT($B$5&amp;"生成成长"),4))/(VLOOKUP(X$41,INDIRECT($C$5&amp;"生成成长"),5))*(VLOOKUP($B$5,标准坦克设计!$B$24:$U$30,MATCH("对"&amp;LEFT($C$5,2)&amp;"输出",标准坦克设计!$B$23:$U$23,0)))*(VLOOKUP($Q63,INDIRECT($B$5&amp;"生成成长"),3))*(VLOOKUP($B$5,标准坦克设计!$B$14:$K$20,9)/30))</f>
        <v>3.7322442254523387</v>
      </c>
      <c r="Y63" s="172">
        <f ca="1">(VLOOKUP(Y$41,INDIRECT($C$5&amp;"生成成长"),2))/((VLOOKUP($Q63,INDIRECT($B$5&amp;"生成成长"),4))/(VLOOKUP(Y$41,INDIRECT($C$5&amp;"生成成长"),5))*(VLOOKUP($B$5,标准坦克设计!$B$24:$U$30,MATCH("对"&amp;LEFT($C$5,2)&amp;"输出",标准坦克设计!$B$23:$U$23,0)))*(VLOOKUP($Q63,INDIRECT($B$5&amp;"生成成长"),3))*(VLOOKUP($B$5,标准坦克设计!$B$14:$K$20,9)/30))</f>
        <v>6.3023045917451208</v>
      </c>
      <c r="Z63" s="172">
        <f ca="1">(VLOOKUP(Z$41,INDIRECT($C$5&amp;"生成成长"),2))/((VLOOKUP($Q63,INDIRECT($B$5&amp;"生成成长"),4))/(VLOOKUP(Z$41,INDIRECT($C$5&amp;"生成成长"),5))*(VLOOKUP($B$5,标准坦克设计!$B$24:$U$30,MATCH("对"&amp;LEFT($C$5,2)&amp;"输出",标准坦克设计!$B$23:$U$23,0)))*(VLOOKUP($Q63,INDIRECT($B$5&amp;"生成成长"),3))*(VLOOKUP($B$5,标准坦克设计!$B$14:$K$20,9)/30))</f>
        <v>2.3695145428598869</v>
      </c>
      <c r="AA63" s="172">
        <f ca="1">(VLOOKUP(AA$41,INDIRECT($C$5&amp;"生成成长"),2))/((VLOOKUP($Q63,INDIRECT($B$5&amp;"生成成长"),4))/(VLOOKUP(AA$41,INDIRECT($C$5&amp;"生成成长"),5))*(VLOOKUP($B$5,标准坦克设计!$B$24:$U$30,MATCH("对"&amp;LEFT($C$5,2)&amp;"输出",标准坦克设计!$B$23:$U$23,0)))*(VLOOKUP($Q63,INDIRECT($B$5&amp;"生成成长"),3))*(VLOOKUP($B$5,标准坦克设计!$B$14:$K$20,9)/30))</f>
        <v>3.8936201089172342</v>
      </c>
      <c r="AB63" s="172">
        <f ca="1">(VLOOKUP(AB$41,INDIRECT($C$5&amp;"生成成长"),2))/((VLOOKUP($Q63,INDIRECT($B$5&amp;"生成成长"),4))/(VLOOKUP(AB$41,INDIRECT($C$5&amp;"生成成长"),5))*(VLOOKUP($B$5,标准坦克设计!$B$24:$U$30,MATCH("对"&amp;LEFT($C$5,2)&amp;"输出",标准坦克设计!$B$23:$U$23,0)))*(VLOOKUP($Q63,INDIRECT($B$5&amp;"生成成长"),3))*(VLOOKUP($B$5,标准坦克设计!$B$14:$K$20,9)/30))</f>
        <v>6.5643269422122641</v>
      </c>
      <c r="AC63" s="172">
        <f ca="1">(VLOOKUP(AC$41,INDIRECT($C$5&amp;"生成成长"),2))/((VLOOKUP($Q63,INDIRECT($B$5&amp;"生成成长"),4))/(VLOOKUP(AC$41,INDIRECT($C$5&amp;"生成成长"),5))*(VLOOKUP($B$5,标准坦克设计!$B$24:$U$30,MATCH("对"&amp;LEFT($C$5,2)&amp;"输出",标准坦克设计!$B$23:$U$23,0)))*(VLOOKUP($Q63,INDIRECT($B$5&amp;"生成成长"),3))*(VLOOKUP($B$5,标准坦克设计!$B$14:$K$20,9)/30))</f>
        <v>1.641081735553066</v>
      </c>
      <c r="AD63" s="172">
        <f ca="1">(VLOOKUP(AD$41,INDIRECT($C$5&amp;"生成成长"),2))/((VLOOKUP($Q63,INDIRECT($B$5&amp;"生成成长"),4))/(VLOOKUP(AD$41,INDIRECT($C$5&amp;"生成成长"),5))*(VLOOKUP($B$5,标准坦克设计!$B$24:$U$30,MATCH("对"&amp;LEFT($C$5,2)&amp;"输出",标准坦克设计!$B$23:$U$23,0)))*(VLOOKUP($Q63,INDIRECT($B$5&amp;"生成成长"),3))*(VLOOKUP($B$5,标准坦克设计!$B$14:$K$20,9)/30))</f>
        <v>2.8706122762379853</v>
      </c>
      <c r="AE63" s="172">
        <f ca="1">(VLOOKUP(AE$41,INDIRECT($C$5&amp;"生成成长"),2))/((VLOOKUP($Q63,INDIRECT($B$5&amp;"生成成长"),4))/(VLOOKUP(AE$41,INDIRECT($C$5&amp;"生成成长"),5))*(VLOOKUP($B$5,标准坦克设计!$B$24:$U$30,MATCH("对"&amp;LEFT($C$5,2)&amp;"输出",标准坦克设计!$B$23:$U$23,0)))*(VLOOKUP($Q63,INDIRECT($B$5&amp;"生成成长"),3))*(VLOOKUP($B$5,标准坦克设计!$B$14:$K$20,9)/30))</f>
        <v>4.9335980245798963</v>
      </c>
      <c r="AF63" s="172">
        <f ca="1">(VLOOKUP(AF$41,INDIRECT($C$5&amp;"生成成长"),2))/((VLOOKUP($Q63,INDIRECT($B$5&amp;"生成成长"),4))/(VLOOKUP(AF$41,INDIRECT($C$5&amp;"生成成长"),5))*(VLOOKUP($B$5,标准坦克设计!$B$24:$U$30,MATCH("对"&amp;LEFT($C$5,2)&amp;"输出",标准坦克设计!$B$23:$U$23,0)))*(VLOOKUP($Q63,INDIRECT($B$5&amp;"生成成长"),3))*(VLOOKUP($B$5,标准坦克设计!$B$14:$K$20,9)/30))</f>
        <v>8.5479055098016055</v>
      </c>
      <c r="AG63" s="172">
        <f ca="1">(VLOOKUP(AG$41,INDIRECT($C$5&amp;"生成成长"),2))/((VLOOKUP($Q63,INDIRECT($B$5&amp;"生成成长"),4))/(VLOOKUP(AG$41,INDIRECT($C$5&amp;"生成成长"),5))*(VLOOKUP($B$5,标准坦克设计!$B$24:$U$30,MATCH("对"&amp;LEFT($C$5,2)&amp;"输出",标准坦克设计!$B$23:$U$23,0)))*(VLOOKUP($Q63,INDIRECT($B$5&amp;"生成成长"),3))*(VLOOKUP($B$5,标准坦克设计!$B$14:$K$20,9)/30))</f>
        <v>4.7067966010594562</v>
      </c>
      <c r="AH63" s="172">
        <f ca="1">(VLOOKUP(AH$41,INDIRECT($C$5&amp;"生成成长"),2))/((VLOOKUP($Q63,INDIRECT($B$5&amp;"生成成长"),4))/(VLOOKUP(AH$41,INDIRECT($C$5&amp;"生成成长"),5))*(VLOOKUP($B$5,标准坦克设计!$B$24:$U$30,MATCH("对"&amp;LEFT($C$5,2)&amp;"输出",标准坦克设计!$B$23:$U$23,0)))*(VLOOKUP($Q63,INDIRECT($B$5&amp;"生成成长"),3))*(VLOOKUP($B$5,标准坦克设计!$B$14:$K$20,9)/30))</f>
        <v>8.1892924354351706</v>
      </c>
      <c r="AI63" s="172">
        <f ca="1">(VLOOKUP(AI$41,INDIRECT($C$5&amp;"生成成长"),2))/((VLOOKUP($Q63,INDIRECT($B$5&amp;"生成成长"),4))/(VLOOKUP(AI$41,INDIRECT($C$5&amp;"生成成长"),5))*(VLOOKUP($B$5,标准坦克设计!$B$24:$U$30,MATCH("对"&amp;LEFT($C$5,2)&amp;"输出",标准坦克设计!$B$23:$U$23,0)))*(VLOOKUP($Q63,INDIRECT($B$5&amp;"生成成长"),3))*(VLOOKUP($B$5,标准坦克设计!$B$14:$K$20,9)/30))</f>
        <v>14.063716129818674</v>
      </c>
      <c r="AJ63" s="172">
        <f ca="1">(VLOOKUP(AJ$41,INDIRECT($C$5&amp;"生成成长"),2))/((VLOOKUP($Q63,INDIRECT($B$5&amp;"生成成长"),4))/(VLOOKUP(AJ$41,INDIRECT($C$5&amp;"生成成长"),5))*(VLOOKUP($B$5,标准坦克设计!$B$24:$U$30,MATCH("对"&amp;LEFT($C$5,2)&amp;"输出",标准坦克设计!$B$23:$U$23,0)))*(VLOOKUP($Q63,INDIRECT($B$5&amp;"生成成长"),3))*(VLOOKUP($B$5,标准坦克设计!$B$14:$K$20,9)/30))</f>
        <v>23.576675037959951</v>
      </c>
      <c r="AK63" s="172">
        <f ca="1">(VLOOKUP(AK$41,INDIRECT($C$5&amp;"生成成长"),2))/((VLOOKUP($Q63,INDIRECT($B$5&amp;"生成成长"),4))/(VLOOKUP(AK$41,INDIRECT($C$5&amp;"生成成长"),5))*(VLOOKUP($B$5,标准坦克设计!$B$24:$U$30,MATCH("对"&amp;LEFT($C$5,2)&amp;"输出",标准坦克设计!$B$23:$U$23,0)))*(VLOOKUP($Q63,INDIRECT($B$5&amp;"生成成长"),3))*(VLOOKUP($B$5,标准坦克设计!$B$14:$K$20,9)/30))</f>
        <v>8.6691508825635921</v>
      </c>
      <c r="AL63" s="172">
        <f ca="1">(VLOOKUP(AL$41,INDIRECT($C$5&amp;"生成成长"),2))/((VLOOKUP($Q63,INDIRECT($B$5&amp;"生成成长"),4))/(VLOOKUP(AL$41,INDIRECT($C$5&amp;"生成成长"),5))*(VLOOKUP($B$5,标准坦克设计!$B$24:$U$30,MATCH("对"&amp;LEFT($C$5,2)&amp;"输出",标准坦克设计!$B$23:$U$23,0)))*(VLOOKUP($Q63,INDIRECT($B$5&amp;"生成成长"),3))*(VLOOKUP($B$5,标准坦克设计!$B$14:$K$20,9)/30))</f>
        <v>14.849249530811818</v>
      </c>
      <c r="AM63" s="172">
        <f ca="1">(VLOOKUP(AM$41,INDIRECT($C$5&amp;"生成成长"),2))/((VLOOKUP($Q63,INDIRECT($B$5&amp;"生成成长"),4))/(VLOOKUP(AM$41,INDIRECT($C$5&amp;"生成成长"),5))*(VLOOKUP($B$5,标准坦克设计!$B$24:$U$30,MATCH("对"&amp;LEFT($C$5,2)&amp;"输出",标准坦克设计!$B$23:$U$23,0)))*(VLOOKUP($Q63,INDIRECT($B$5&amp;"生成成长"),3))*(VLOOKUP($B$5,标准坦克设计!$B$14:$K$20,9)/30))</f>
        <v>24.795959490805835</v>
      </c>
    </row>
    <row r="64" spans="16:39" x14ac:dyDescent="0.15">
      <c r="P64" s="174" t="str">
        <f t="shared" si="7"/>
        <v>T4高满</v>
      </c>
      <c r="Q64" s="178">
        <v>30418</v>
      </c>
      <c r="R64" s="172">
        <f ca="1">(VLOOKUP(R$41,INDIRECT($C$5&amp;"生成成长"),2))/((VLOOKUP($Q64,INDIRECT($B$5&amp;"生成成长"),4))/(VLOOKUP(R$41,INDIRECT($C$5&amp;"生成成长"),5))*(VLOOKUP($B$5,标准坦克设计!$B$24:$U$30,MATCH("对"&amp;LEFT($C$5,2)&amp;"输出",标准坦克设计!$B$23:$U$23,0)))*(VLOOKUP($Q64,INDIRECT($B$5&amp;"生成成长"),3))*(VLOOKUP($B$5,标准坦克设计!$B$14:$K$20,9)/30))</f>
        <v>0.62228766108425926</v>
      </c>
      <c r="S64" s="172">
        <f ca="1">(VLOOKUP(S$41,INDIRECT($C$5&amp;"生成成长"),2))/((VLOOKUP($Q64,INDIRECT($B$5&amp;"生成成长"),4))/(VLOOKUP(S$41,INDIRECT($C$5&amp;"生成成长"),5))*(VLOOKUP($B$5,标准坦克设计!$B$24:$U$30,MATCH("对"&amp;LEFT($C$5,2)&amp;"输出",标准坦克设计!$B$23:$U$23,0)))*(VLOOKUP($Q64,INDIRECT($B$5&amp;"生成成长"),3))*(VLOOKUP($B$5,标准坦克设计!$B$14:$K$20,9)/30))</f>
        <v>0.83735027675497931</v>
      </c>
      <c r="T64" s="172">
        <f ca="1">(VLOOKUP(T$41,INDIRECT($C$5&amp;"生成成长"),2))/((VLOOKUP($Q64,INDIRECT($B$5&amp;"生成成长"),4))/(VLOOKUP(T$41,INDIRECT($C$5&amp;"生成成长"),5))*(VLOOKUP($B$5,标准坦克设计!$B$24:$U$30,MATCH("对"&amp;LEFT($C$5,2)&amp;"输出",标准坦克设计!$B$23:$U$23,0)))*(VLOOKUP($Q64,INDIRECT($B$5&amp;"生成成长"),3))*(VLOOKUP($B$5,标准坦克设计!$B$14:$K$20,9)/30))</f>
        <v>1.2725160381512017</v>
      </c>
      <c r="U64" s="172">
        <f ca="1">(VLOOKUP(U$41,INDIRECT($C$5&amp;"生成成长"),2))/((VLOOKUP($Q64,INDIRECT($B$5&amp;"生成成长"),4))/(VLOOKUP(U$41,INDIRECT($C$5&amp;"生成成长"),5))*(VLOOKUP($B$5,标准坦克设计!$B$24:$U$30,MATCH("对"&amp;LEFT($C$5,2)&amp;"输出",标准坦克设计!$B$23:$U$23,0)))*(VLOOKUP($Q64,INDIRECT($B$5&amp;"生成成长"),3))*(VLOOKUP($B$5,标准坦克设计!$B$14:$K$20,9)/30))</f>
        <v>2.0839791482050756</v>
      </c>
      <c r="V64" s="172">
        <f ca="1">(VLOOKUP(V$41,INDIRECT($C$5&amp;"生成成长"),2))/((VLOOKUP($Q64,INDIRECT($B$5&amp;"生成成长"),4))/(VLOOKUP(V$41,INDIRECT($C$5&amp;"生成成长"),5))*(VLOOKUP($B$5,标准坦克设计!$B$24:$U$30,MATCH("对"&amp;LEFT($C$5,2)&amp;"输出",标准坦克设计!$B$23:$U$23,0)))*(VLOOKUP($Q64,INDIRECT($B$5&amp;"生成成长"),3))*(VLOOKUP($B$5,标准坦克设计!$B$14:$K$20,9)/30))</f>
        <v>0.86647333929372261</v>
      </c>
      <c r="W64" s="172">
        <f ca="1">(VLOOKUP(W$41,INDIRECT($C$5&amp;"生成成长"),2))/((VLOOKUP($Q64,INDIRECT($B$5&amp;"生成成长"),4))/(VLOOKUP(W$41,INDIRECT($C$5&amp;"生成成长"),5))*(VLOOKUP($B$5,标准坦克设计!$B$24:$U$30,MATCH("对"&amp;LEFT($C$5,2)&amp;"输出",标准坦克设计!$B$23:$U$23,0)))*(VLOOKUP($Q64,INDIRECT($B$5&amp;"生成成长"),3))*(VLOOKUP($B$5,标准坦克设计!$B$14:$K$20,9)/30))</f>
        <v>1.3264683783672067</v>
      </c>
      <c r="X64" s="172">
        <f ca="1">(VLOOKUP(X$41,INDIRECT($C$5&amp;"生成成长"),2))/((VLOOKUP($Q64,INDIRECT($B$5&amp;"生成成长"),4))/(VLOOKUP(X$41,INDIRECT($C$5&amp;"生成成长"),5))*(VLOOKUP($B$5,标准坦克设计!$B$24:$U$30,MATCH("对"&amp;LEFT($C$5,2)&amp;"输出",标准坦克设计!$B$23:$U$23,0)))*(VLOOKUP($Q64,INDIRECT($B$5&amp;"生成成长"),3))*(VLOOKUP($B$5,标准坦克设计!$B$14:$K$20,9)/30))</f>
        <v>2.1760777220455463</v>
      </c>
      <c r="Y64" s="172">
        <f ca="1">(VLOOKUP(Y$41,INDIRECT($C$5&amp;"生成成长"),2))/((VLOOKUP($Q64,INDIRECT($B$5&amp;"生成成长"),4))/(VLOOKUP(Y$41,INDIRECT($C$5&amp;"生成成长"),5))*(VLOOKUP($B$5,标准坦克设计!$B$24:$U$30,MATCH("对"&amp;LEFT($C$5,2)&amp;"输出",标准坦克设计!$B$23:$U$23,0)))*(VLOOKUP($Q64,INDIRECT($B$5&amp;"生成成长"),3))*(VLOOKUP($B$5,标准坦克设计!$B$14:$K$20,9)/30))</f>
        <v>3.6745464099364424</v>
      </c>
      <c r="Z64" s="172">
        <f ca="1">(VLOOKUP(Z$41,INDIRECT($C$5&amp;"生成成长"),2))/((VLOOKUP($Q64,INDIRECT($B$5&amp;"生成成长"),4))/(VLOOKUP(Z$41,INDIRECT($C$5&amp;"生成成长"),5))*(VLOOKUP($B$5,标准坦克设计!$B$24:$U$30,MATCH("对"&amp;LEFT($C$5,2)&amp;"输出",标准坦克设计!$B$23:$U$23,0)))*(VLOOKUP($Q64,INDIRECT($B$5&amp;"生成成长"),3))*(VLOOKUP($B$5,标准坦克设计!$B$14:$K$20,9)/30))</f>
        <v>1.3815408363731638</v>
      </c>
      <c r="AA64" s="172">
        <f ca="1">(VLOOKUP(AA$41,INDIRECT($C$5&amp;"生成成长"),2))/((VLOOKUP($Q64,INDIRECT($B$5&amp;"生成成长"),4))/(VLOOKUP(AA$41,INDIRECT($C$5&amp;"生成成长"),5))*(VLOOKUP($B$5,标准坦克设计!$B$24:$U$30,MATCH("对"&amp;LEFT($C$5,2)&amp;"输出",标准坦克设计!$B$23:$U$23,0)))*(VLOOKUP($Q64,INDIRECT($B$5&amp;"生成成长"),3))*(VLOOKUP($B$5,标准坦克设计!$B$14:$K$20,9)/30))</f>
        <v>2.2701676164014861</v>
      </c>
      <c r="AB64" s="172">
        <f ca="1">(VLOOKUP(AB$41,INDIRECT($C$5&amp;"生成成长"),2))/((VLOOKUP($Q64,INDIRECT($B$5&amp;"生成成长"),4))/(VLOOKUP(AB$41,INDIRECT($C$5&amp;"生成成长"),5))*(VLOOKUP($B$5,标准坦克设计!$B$24:$U$30,MATCH("对"&amp;LEFT($C$5,2)&amp;"输出",标准坦克设计!$B$23:$U$23,0)))*(VLOOKUP($Q64,INDIRECT($B$5&amp;"生成成长"),3))*(VLOOKUP($B$5,标准坦克设计!$B$14:$K$20,9)/30))</f>
        <v>3.8273180307326276</v>
      </c>
      <c r="AC64" s="172">
        <f ca="1">(VLOOKUP(AC$41,INDIRECT($C$5&amp;"生成成长"),2))/((VLOOKUP($Q64,INDIRECT($B$5&amp;"生成成长"),4))/(VLOOKUP(AC$41,INDIRECT($C$5&amp;"生成成长"),5))*(VLOOKUP($B$5,标准坦克设计!$B$24:$U$30,MATCH("对"&amp;LEFT($C$5,2)&amp;"输出",标准坦克设计!$B$23:$U$23,0)))*(VLOOKUP($Q64,INDIRECT($B$5&amp;"生成成长"),3))*(VLOOKUP($B$5,标准坦克设计!$B$14:$K$20,9)/30))</f>
        <v>0.95682950768315689</v>
      </c>
      <c r="AD64" s="172">
        <f ca="1">(VLOOKUP(AD$41,INDIRECT($C$5&amp;"生成成长"),2))/((VLOOKUP($Q64,INDIRECT($B$5&amp;"生成成长"),4))/(VLOOKUP(AD$41,INDIRECT($C$5&amp;"生成成长"),5))*(VLOOKUP($B$5,标准坦克设计!$B$24:$U$30,MATCH("对"&amp;LEFT($C$5,2)&amp;"输出",标准坦克设计!$B$23:$U$23,0)))*(VLOOKUP($Q64,INDIRECT($B$5&amp;"生成成长"),3))*(VLOOKUP($B$5,标准坦克设计!$B$14:$K$20,9)/30))</f>
        <v>1.6737048932522236</v>
      </c>
      <c r="AE64" s="172">
        <f ca="1">(VLOOKUP(AE$41,INDIRECT($C$5&amp;"生成成长"),2))/((VLOOKUP($Q64,INDIRECT($B$5&amp;"生成成长"),4))/(VLOOKUP(AE$41,INDIRECT($C$5&amp;"生成成长"),5))*(VLOOKUP($B$5,标准坦克设计!$B$24:$U$30,MATCH("对"&amp;LEFT($C$5,2)&amp;"输出",标准坦克设计!$B$23:$U$23,0)))*(VLOOKUP($Q64,INDIRECT($B$5&amp;"生成成长"),3))*(VLOOKUP($B$5,标准坦克设计!$B$14:$K$20,9)/30))</f>
        <v>2.876524713361988</v>
      </c>
      <c r="AF64" s="172">
        <f ca="1">(VLOOKUP(AF$41,INDIRECT($C$5&amp;"生成成长"),2))/((VLOOKUP($Q64,INDIRECT($B$5&amp;"生成成长"),4))/(VLOOKUP(AF$41,INDIRECT($C$5&amp;"生成成长"),5))*(VLOOKUP($B$5,标准坦克设计!$B$24:$U$30,MATCH("对"&amp;LEFT($C$5,2)&amp;"输出",标准坦克设计!$B$23:$U$23,0)))*(VLOOKUP($Q64,INDIRECT($B$5&amp;"生成成长"),3))*(VLOOKUP($B$5,标准坦克设计!$B$14:$K$20,9)/30))</f>
        <v>4.9838396488577246</v>
      </c>
      <c r="AG64" s="172">
        <f ca="1">(VLOOKUP(AG$41,INDIRECT($C$5&amp;"生成成长"),2))/((VLOOKUP($Q64,INDIRECT($B$5&amp;"生成成长"),4))/(VLOOKUP(AG$41,INDIRECT($C$5&amp;"生成成长"),5))*(VLOOKUP($B$5,标准坦克设计!$B$24:$U$30,MATCH("对"&amp;LEFT($C$5,2)&amp;"输出",标准坦克设计!$B$23:$U$23,0)))*(VLOOKUP($Q64,INDIRECT($B$5&amp;"生成成长"),3))*(VLOOKUP($B$5,标准坦克设计!$B$14:$K$20,9)/30))</f>
        <v>2.7442885853815833</v>
      </c>
      <c r="AH64" s="172">
        <f ca="1">(VLOOKUP(AH$41,INDIRECT($C$5&amp;"生成成长"),2))/((VLOOKUP($Q64,INDIRECT($B$5&amp;"生成成长"),4))/(VLOOKUP(AH$41,INDIRECT($C$5&amp;"生成成长"),5))*(VLOOKUP($B$5,标准坦克设计!$B$24:$U$30,MATCH("对"&amp;LEFT($C$5,2)&amp;"输出",标准坦克设计!$B$23:$U$23,0)))*(VLOOKUP($Q64,INDIRECT($B$5&amp;"生成成长"),3))*(VLOOKUP($B$5,标准坦克设计!$B$14:$K$20,9)/30))</f>
        <v>4.7747509947334121</v>
      </c>
      <c r="AI64" s="172">
        <f ca="1">(VLOOKUP(AI$41,INDIRECT($C$5&amp;"生成成长"),2))/((VLOOKUP($Q64,INDIRECT($B$5&amp;"生成成长"),4))/(VLOOKUP(AI$41,INDIRECT($C$5&amp;"生成成长"),5))*(VLOOKUP($B$5,标准坦克设计!$B$24:$U$30,MATCH("对"&amp;LEFT($C$5,2)&amp;"输出",标准坦克设计!$B$23:$U$23,0)))*(VLOOKUP($Q64,INDIRECT($B$5&amp;"生成成长"),3))*(VLOOKUP($B$5,标准坦克设计!$B$14:$K$20,9)/30))</f>
        <v>8.1998222813411736</v>
      </c>
      <c r="AJ64" s="172">
        <f ca="1">(VLOOKUP(AJ$41,INDIRECT($C$5&amp;"生成成长"),2))/((VLOOKUP($Q64,INDIRECT($B$5&amp;"生成成长"),4))/(VLOOKUP(AJ$41,INDIRECT($C$5&amp;"生成成长"),5))*(VLOOKUP($B$5,标准坦克设计!$B$24:$U$30,MATCH("对"&amp;LEFT($C$5,2)&amp;"输出",标准坦克设计!$B$23:$U$23,0)))*(VLOOKUP($Q64,INDIRECT($B$5&amp;"生成成长"),3))*(VLOOKUP($B$5,标准坦克设计!$B$14:$K$20,9)/30))</f>
        <v>13.746334433351288</v>
      </c>
      <c r="AK64" s="172">
        <f ca="1">(VLOOKUP(AK$41,INDIRECT($C$5&amp;"生成成长"),2))/((VLOOKUP($Q64,INDIRECT($B$5&amp;"生成成长"),4))/(VLOOKUP(AK$41,INDIRECT($C$5&amp;"生成成长"),5))*(VLOOKUP($B$5,标准坦克设计!$B$24:$U$30,MATCH("对"&amp;LEFT($C$5,2)&amp;"输出",标准坦克设计!$B$23:$U$23,0)))*(VLOOKUP($Q64,INDIRECT($B$5&amp;"生成成长"),3))*(VLOOKUP($B$5,标准坦克设计!$B$14:$K$20,9)/30))</f>
        <v>5.0545315271568949</v>
      </c>
      <c r="AL64" s="172">
        <f ca="1">(VLOOKUP(AL$41,INDIRECT($C$5&amp;"生成成长"),2))/((VLOOKUP($Q64,INDIRECT($B$5&amp;"生成成长"),4))/(VLOOKUP(AL$41,INDIRECT($C$5&amp;"生成成长"),5))*(VLOOKUP($B$5,标准坦克设计!$B$24:$U$30,MATCH("对"&amp;LEFT($C$5,2)&amp;"输出",标准坦克设计!$B$23:$U$23,0)))*(VLOOKUP($Q64,INDIRECT($B$5&amp;"生成成长"),3))*(VLOOKUP($B$5,标准坦克设计!$B$14:$K$20,9)/30))</f>
        <v>8.65782599989919</v>
      </c>
      <c r="AM64" s="172">
        <f ca="1">(VLOOKUP(AM$41,INDIRECT($C$5&amp;"生成成长"),2))/((VLOOKUP($Q64,INDIRECT($B$5&amp;"生成成长"),4))/(VLOOKUP(AM$41,INDIRECT($C$5&amp;"生成成长"),5))*(VLOOKUP($B$5,标准坦克设计!$B$24:$U$30,MATCH("对"&amp;LEFT($C$5,2)&amp;"输出",标准坦克设计!$B$23:$U$23,0)))*(VLOOKUP($Q64,INDIRECT($B$5&amp;"生成成长"),3))*(VLOOKUP($B$5,标准坦克设计!$B$14:$K$20,9)/30))</f>
        <v>14.457235857373943</v>
      </c>
    </row>
    <row r="65" spans="1:167" x14ac:dyDescent="0.15">
      <c r="P65" s="174" t="str">
        <f t="shared" si="7"/>
        <v>T5高满</v>
      </c>
      <c r="Q65" s="178">
        <v>30521</v>
      </c>
      <c r="R65" s="172">
        <f ca="1">(VLOOKUP(R$41,INDIRECT($C$5&amp;"生成成长"),2))/((VLOOKUP($Q65,INDIRECT($B$5&amp;"生成成长"),4))/(VLOOKUP(R$41,INDIRECT($C$5&amp;"生成成长"),5))*(VLOOKUP($B$5,标准坦克设计!$B$24:$U$30,MATCH("对"&amp;LEFT($C$5,2)&amp;"输出",标准坦克设计!$B$23:$U$23,0)))*(VLOOKUP($Q65,INDIRECT($B$5&amp;"生成成长"),3))*(VLOOKUP($B$5,标准坦克设计!$B$14:$K$20,9)/30))</f>
        <v>0.37352727653739548</v>
      </c>
      <c r="S65" s="172">
        <f ca="1">(VLOOKUP(S$41,INDIRECT($C$5&amp;"生成成长"),2))/((VLOOKUP($Q65,INDIRECT($B$5&amp;"生成成长"),4))/(VLOOKUP(S$41,INDIRECT($C$5&amp;"生成成长"),5))*(VLOOKUP($B$5,标准坦克设计!$B$24:$U$30,MATCH("对"&amp;LEFT($C$5,2)&amp;"输出",标准坦克设计!$B$23:$U$23,0)))*(VLOOKUP($Q65,INDIRECT($B$5&amp;"生成成长"),3))*(VLOOKUP($B$5,标准坦克设计!$B$14:$K$20,9)/30))</f>
        <v>0.50261830330871948</v>
      </c>
      <c r="T65" s="172">
        <f ca="1">(VLOOKUP(T$41,INDIRECT($C$5&amp;"生成成长"),2))/((VLOOKUP($Q65,INDIRECT($B$5&amp;"生成成长"),4))/(VLOOKUP(T$41,INDIRECT($C$5&amp;"生成成长"),5))*(VLOOKUP($B$5,标准坦克设计!$B$24:$U$30,MATCH("对"&amp;LEFT($C$5,2)&amp;"输出",标准坦克设计!$B$23:$U$23,0)))*(VLOOKUP($Q65,INDIRECT($B$5&amp;"生成成长"),3))*(VLOOKUP($B$5,标准坦克设计!$B$14:$K$20,9)/30))</f>
        <v>0.76382592779132008</v>
      </c>
      <c r="U65" s="172">
        <f ca="1">(VLOOKUP(U$41,INDIRECT($C$5&amp;"生成成长"),2))/((VLOOKUP($Q65,INDIRECT($B$5&amp;"生成成长"),4))/(VLOOKUP(U$41,INDIRECT($C$5&amp;"生成成长"),5))*(VLOOKUP($B$5,标准坦克设计!$B$24:$U$30,MATCH("对"&amp;LEFT($C$5,2)&amp;"输出",标准坦克设计!$B$23:$U$23,0)))*(VLOOKUP($Q65,INDIRECT($B$5&amp;"生成成长"),3))*(VLOOKUP($B$5,标准坦克设计!$B$14:$K$20,9)/30))</f>
        <v>1.2509054963960839</v>
      </c>
      <c r="V65" s="172">
        <f ca="1">(VLOOKUP(V$41,INDIRECT($C$5&amp;"生成成长"),2))/((VLOOKUP($Q65,INDIRECT($B$5&amp;"生成成长"),4))/(VLOOKUP(V$41,INDIRECT($C$5&amp;"生成成长"),5))*(VLOOKUP($B$5,标准坦克设计!$B$24:$U$30,MATCH("对"&amp;LEFT($C$5,2)&amp;"输出",标准坦克设计!$B$23:$U$23,0)))*(VLOOKUP($Q65,INDIRECT($B$5&amp;"生成成长"),3))*(VLOOKUP($B$5,标准坦克设计!$B$14:$K$20,9)/30))</f>
        <v>0.52009937985066956</v>
      </c>
      <c r="W65" s="172">
        <f ca="1">(VLOOKUP(W$41,INDIRECT($C$5&amp;"生成成长"),2))/((VLOOKUP($Q65,INDIRECT($B$5&amp;"生成成长"),4))/(VLOOKUP(W$41,INDIRECT($C$5&amp;"生成成长"),5))*(VLOOKUP($B$5,标准坦克设计!$B$24:$U$30,MATCH("对"&amp;LEFT($C$5,2)&amp;"输出",标准坦克设计!$B$23:$U$23,0)))*(VLOOKUP($Q65,INDIRECT($B$5&amp;"生成成长"),3))*(VLOOKUP($B$5,标准坦克设计!$B$14:$K$20,9)/30))</f>
        <v>0.79621074266711234</v>
      </c>
      <c r="X65" s="172">
        <f ca="1">(VLOOKUP(X$41,INDIRECT($C$5&amp;"生成成长"),2))/((VLOOKUP($Q65,INDIRECT($B$5&amp;"生成成长"),4))/(VLOOKUP(X$41,INDIRECT($C$5&amp;"生成成长"),5))*(VLOOKUP($B$5,标准坦克设计!$B$24:$U$30,MATCH("对"&amp;LEFT($C$5,2)&amp;"输出",标准坦克设计!$B$23:$U$23,0)))*(VLOOKUP($Q65,INDIRECT($B$5&amp;"生成成长"),3))*(VLOOKUP($B$5,标准坦克设计!$B$14:$K$20,9)/30))</f>
        <v>1.3061875333236184</v>
      </c>
      <c r="Y65" s="172">
        <f ca="1">(VLOOKUP(Y$41,INDIRECT($C$5&amp;"生成成长"),2))/((VLOOKUP($Q65,INDIRECT($B$5&amp;"生成成长"),4))/(VLOOKUP(Y$41,INDIRECT($C$5&amp;"生成成长"),5))*(VLOOKUP($B$5,标准坦克设计!$B$24:$U$30,MATCH("对"&amp;LEFT($C$5,2)&amp;"输出",标准坦克设计!$B$23:$U$23,0)))*(VLOOKUP($Q65,INDIRECT($B$5&amp;"生成成长"),3))*(VLOOKUP($B$5,标准坦克设计!$B$14:$K$20,9)/30))</f>
        <v>2.2056412152256666</v>
      </c>
      <c r="Z65" s="172">
        <f ca="1">(VLOOKUP(Z$41,INDIRECT($C$5&amp;"生成成长"),2))/((VLOOKUP($Q65,INDIRECT($B$5&amp;"生成成长"),4))/(VLOOKUP(Z$41,INDIRECT($C$5&amp;"生成成长"),5))*(VLOOKUP($B$5,标准坦克设计!$B$24:$U$30,MATCH("对"&amp;LEFT($C$5,2)&amp;"输出",标准坦克设计!$B$23:$U$23,0)))*(VLOOKUP($Q65,INDIRECT($B$5&amp;"生成成长"),3))*(VLOOKUP($B$5,标准坦克设计!$B$14:$K$20,9)/30))</f>
        <v>0.82926790664067174</v>
      </c>
      <c r="AA65" s="172">
        <f ca="1">(VLOOKUP(AA$41,INDIRECT($C$5&amp;"生成成长"),2))/((VLOOKUP($Q65,INDIRECT($B$5&amp;"生成成长"),4))/(VLOOKUP(AA$41,INDIRECT($C$5&amp;"生成成长"),5))*(VLOOKUP($B$5,标准坦克设计!$B$24:$U$30,MATCH("对"&amp;LEFT($C$5,2)&amp;"输出",标准坦克设计!$B$23:$U$23,0)))*(VLOOKUP($Q65,INDIRECT($B$5&amp;"生成成长"),3))*(VLOOKUP($B$5,标准坦克设计!$B$14:$K$20,9)/30))</f>
        <v>1.3626648575360727</v>
      </c>
      <c r="AB65" s="172">
        <f ca="1">(VLOOKUP(AB$41,INDIRECT($C$5&amp;"生成成长"),2))/((VLOOKUP($Q65,INDIRECT($B$5&amp;"生成成长"),4))/(VLOOKUP(AB$41,INDIRECT($C$5&amp;"生成成长"),5))*(VLOOKUP($B$5,标准坦克设计!$B$24:$U$30,MATCH("对"&amp;LEFT($C$5,2)&amp;"输出",标准坦克设计!$B$23:$U$23,0)))*(VLOOKUP($Q65,INDIRECT($B$5&amp;"生成成长"),3))*(VLOOKUP($B$5,标准坦克设计!$B$14:$K$20,9)/30))</f>
        <v>2.2973421616155973</v>
      </c>
      <c r="AC65" s="172">
        <f ca="1">(VLOOKUP(AC$41,INDIRECT($C$5&amp;"生成成长"),2))/((VLOOKUP($Q65,INDIRECT($B$5&amp;"生成成长"),4))/(VLOOKUP(AC$41,INDIRECT($C$5&amp;"生成成长"),5))*(VLOOKUP($B$5,标准坦克设计!$B$24:$U$30,MATCH("对"&amp;LEFT($C$5,2)&amp;"输出",标准坦克设计!$B$23:$U$23,0)))*(VLOOKUP($Q65,INDIRECT($B$5&amp;"生成成长"),3))*(VLOOKUP($B$5,标准坦克设计!$B$14:$K$20,9)/30))</f>
        <v>0.57433554040389934</v>
      </c>
      <c r="AD65" s="172">
        <f ca="1">(VLOOKUP(AD$41,INDIRECT($C$5&amp;"生成成长"),2))/((VLOOKUP($Q65,INDIRECT($B$5&amp;"生成成长"),4))/(VLOOKUP(AD$41,INDIRECT($C$5&amp;"生成成长"),5))*(VLOOKUP($B$5,标准坦克设计!$B$24:$U$30,MATCH("对"&amp;LEFT($C$5,2)&amp;"输出",标准坦克设计!$B$23:$U$23,0)))*(VLOOKUP($Q65,INDIRECT($B$5&amp;"生成成长"),3))*(VLOOKUP($B$5,标准坦克设计!$B$14:$K$20,9)/30))</f>
        <v>1.004638962974979</v>
      </c>
      <c r="AE65" s="172">
        <f ca="1">(VLOOKUP(AE$41,INDIRECT($C$5&amp;"生成成长"),2))/((VLOOKUP($Q65,INDIRECT($B$5&amp;"生成成长"),4))/(VLOOKUP(AE$41,INDIRECT($C$5&amp;"生成成长"),5))*(VLOOKUP($B$5,标准坦克设计!$B$24:$U$30,MATCH("对"&amp;LEFT($C$5,2)&amp;"输出",标准坦克设计!$B$23:$U$23,0)))*(VLOOKUP($Q65,INDIRECT($B$5&amp;"生成成长"),3))*(VLOOKUP($B$5,标准坦克设计!$B$14:$K$20,9)/30))</f>
        <v>1.7266298357941106</v>
      </c>
      <c r="AF65" s="172">
        <f ca="1">(VLOOKUP(AF$41,INDIRECT($C$5&amp;"生成成长"),2))/((VLOOKUP($Q65,INDIRECT($B$5&amp;"生成成长"),4))/(VLOOKUP(AF$41,INDIRECT($C$5&amp;"生成成长"),5))*(VLOOKUP($B$5,标准坦克设计!$B$24:$U$30,MATCH("对"&amp;LEFT($C$5,2)&amp;"输出",标准坦克设计!$B$23:$U$23,0)))*(VLOOKUP($Q65,INDIRECT($B$5&amp;"生成成长"),3))*(VLOOKUP($B$5,标准坦克设计!$B$14:$K$20,9)/30))</f>
        <v>2.9915426050603471</v>
      </c>
      <c r="AG65" s="172">
        <f ca="1">(VLOOKUP(AG$41,INDIRECT($C$5&amp;"生成成长"),2))/((VLOOKUP($Q65,INDIRECT($B$5&amp;"生成成长"),4))/(VLOOKUP(AG$41,INDIRECT($C$5&amp;"生成成长"),5))*(VLOOKUP($B$5,标准坦克设计!$B$24:$U$30,MATCH("对"&amp;LEFT($C$5,2)&amp;"输出",标准坦克设计!$B$23:$U$23,0)))*(VLOOKUP($Q65,INDIRECT($B$5&amp;"生成成长"),3))*(VLOOKUP($B$5,标准坦克设计!$B$14:$K$20,9)/30))</f>
        <v>1.6472552895299144</v>
      </c>
      <c r="AH65" s="172">
        <f ca="1">(VLOOKUP(AH$41,INDIRECT($C$5&amp;"生成成长"),2))/((VLOOKUP($Q65,INDIRECT($B$5&amp;"生成成长"),4))/(VLOOKUP(AH$41,INDIRECT($C$5&amp;"生成成长"),5))*(VLOOKUP($B$5,标准坦克设计!$B$24:$U$30,MATCH("对"&amp;LEFT($C$5,2)&amp;"输出",标准坦克设计!$B$23:$U$23,0)))*(VLOOKUP($Q65,INDIRECT($B$5&amp;"生成成长"),3))*(VLOOKUP($B$5,标准坦克设计!$B$14:$K$20,9)/30))</f>
        <v>2.8660374401437818</v>
      </c>
      <c r="AI65" s="172">
        <f ca="1">(VLOOKUP(AI$41,INDIRECT($C$5&amp;"生成成长"),2))/((VLOOKUP($Q65,INDIRECT($B$5&amp;"生成成长"),4))/(VLOOKUP(AI$41,INDIRECT($C$5&amp;"生成成长"),5))*(VLOOKUP($B$5,标准坦克设计!$B$24:$U$30,MATCH("对"&amp;LEFT($C$5,2)&amp;"输出",标准坦克设计!$B$23:$U$23,0)))*(VLOOKUP($Q65,INDIRECT($B$5&amp;"生成成长"),3))*(VLOOKUP($B$5,标准坦克设计!$B$14:$K$20,9)/30))</f>
        <v>4.9219315702056061</v>
      </c>
      <c r="AJ65" s="172">
        <f ca="1">(VLOOKUP(AJ$41,INDIRECT($C$5&amp;"生成成长"),2))/((VLOOKUP($Q65,INDIRECT($B$5&amp;"生成成长"),4))/(VLOOKUP(AJ$41,INDIRECT($C$5&amp;"生成成长"),5))*(VLOOKUP($B$5,标准坦克设计!$B$24:$U$30,MATCH("对"&amp;LEFT($C$5,2)&amp;"输出",标准坦克设计!$B$23:$U$23,0)))*(VLOOKUP($Q65,INDIRECT($B$5&amp;"生成成长"),3))*(VLOOKUP($B$5,标准坦克设计!$B$14:$K$20,9)/30))</f>
        <v>8.2512175387110656</v>
      </c>
      <c r="AK65" s="172">
        <f ca="1">(VLOOKUP(AK$41,INDIRECT($C$5&amp;"生成成长"),2))/((VLOOKUP($Q65,INDIRECT($B$5&amp;"生成成长"),4))/(VLOOKUP(AK$41,INDIRECT($C$5&amp;"生成成长"),5))*(VLOOKUP($B$5,标准坦克设计!$B$24:$U$30,MATCH("对"&amp;LEFT($C$5,2)&amp;"输出",标准坦克设计!$B$23:$U$23,0)))*(VLOOKUP($Q65,INDIRECT($B$5&amp;"生成成长"),3))*(VLOOKUP($B$5,标准坦克设计!$B$14:$K$20,9)/30))</f>
        <v>3.0339753036749952</v>
      </c>
      <c r="AL65" s="172">
        <f ca="1">(VLOOKUP(AL$41,INDIRECT($C$5&amp;"生成成长"),2))/((VLOOKUP($Q65,INDIRECT($B$5&amp;"生成成长"),4))/(VLOOKUP(AL$41,INDIRECT($C$5&amp;"生成成长"),5))*(VLOOKUP($B$5,标准坦克设计!$B$24:$U$30,MATCH("对"&amp;LEFT($C$5,2)&amp;"输出",标准坦克设计!$B$23:$U$23,0)))*(VLOOKUP($Q65,INDIRECT($B$5&amp;"生成成长"),3))*(VLOOKUP($B$5,标准坦克设计!$B$14:$K$20,9)/30))</f>
        <v>5.1968476457371304</v>
      </c>
      <c r="AM65" s="172">
        <f ca="1">(VLOOKUP(AM$41,INDIRECT($C$5&amp;"生成成长"),2))/((VLOOKUP($Q65,INDIRECT($B$5&amp;"生成成长"),4))/(VLOOKUP(AM$41,INDIRECT($C$5&amp;"生成成长"),5))*(VLOOKUP($B$5,标准坦克设计!$B$24:$U$30,MATCH("对"&amp;LEFT($C$5,2)&amp;"输出",标准坦克设计!$B$23:$U$23,0)))*(VLOOKUP($Q65,INDIRECT($B$5&amp;"生成成长"),3))*(VLOOKUP($B$5,标准坦克设计!$B$14:$K$20,9)/30))</f>
        <v>8.6779350994273869</v>
      </c>
    </row>
    <row r="71" spans="1:167" x14ac:dyDescent="0.15">
      <c r="A71" s="179" t="s">
        <v>868</v>
      </c>
      <c r="B71" s="180"/>
      <c r="C71" s="168" t="str">
        <f>"T"&amp;LEFT(RIGHT(C72,3),1)&amp;""&amp;IF(LEFT(C72,1)="1","低品质",IF(LEFT(C72,1)="2","中品质","高品质"))&amp;""&amp;IF(LEFT(RIGHT(C72,2),1)="0",RIGHT(C72,1),RIGHT(C72,2))&amp;"级"</f>
        <v>T1低品质1级</v>
      </c>
      <c r="D71" s="168" t="str">
        <f t="shared" ref="D71:BO71" si="8">"T"&amp;LEFT(RIGHT(D72,3),1)&amp;""&amp;IF(LEFT(D72,1)="1","低品质",IF(LEFT(D72,1)="2","中品质","高品质"))&amp;""&amp;IF(LEFT(RIGHT(D72,2),1)="0",RIGHT(D72,1),RIGHT(D72,2))&amp;"级"</f>
        <v>T1低品质2级</v>
      </c>
      <c r="E71" s="168" t="str">
        <f t="shared" si="8"/>
        <v>T1低品质3级</v>
      </c>
      <c r="F71" s="168" t="str">
        <f t="shared" si="8"/>
        <v>T1低品质4级</v>
      </c>
      <c r="G71" s="168" t="str">
        <f t="shared" si="8"/>
        <v>T1低品质5级</v>
      </c>
      <c r="H71" s="168" t="str">
        <f t="shared" si="8"/>
        <v>T2低品质1级</v>
      </c>
      <c r="I71" s="168" t="str">
        <f t="shared" si="8"/>
        <v>T2低品质2级</v>
      </c>
      <c r="J71" s="168" t="str">
        <f t="shared" si="8"/>
        <v>T2低品质3级</v>
      </c>
      <c r="K71" s="168" t="str">
        <f t="shared" si="8"/>
        <v>T2低品质4级</v>
      </c>
      <c r="L71" s="168" t="str">
        <f t="shared" si="8"/>
        <v>T2低品质5级</v>
      </c>
      <c r="M71" s="168" t="str">
        <f t="shared" si="8"/>
        <v>T2低品质6级</v>
      </c>
      <c r="N71" s="168" t="str">
        <f t="shared" si="8"/>
        <v>T2低品质7级</v>
      </c>
      <c r="O71" s="168" t="str">
        <f t="shared" si="8"/>
        <v>T3低品质1级</v>
      </c>
      <c r="P71" s="168" t="str">
        <f t="shared" si="8"/>
        <v>T3低品质2级</v>
      </c>
      <c r="Q71" s="168" t="str">
        <f t="shared" si="8"/>
        <v>T3低品质3级</v>
      </c>
      <c r="R71" s="168" t="str">
        <f t="shared" si="8"/>
        <v>T3低品质4级</v>
      </c>
      <c r="S71" s="168" t="str">
        <f t="shared" si="8"/>
        <v>T3低品质5级</v>
      </c>
      <c r="T71" s="168" t="str">
        <f t="shared" si="8"/>
        <v>T3低品质6级</v>
      </c>
      <c r="U71" s="168" t="str">
        <f t="shared" si="8"/>
        <v>T3低品质7级</v>
      </c>
      <c r="V71" s="168" t="str">
        <f t="shared" si="8"/>
        <v>T3低品质8级</v>
      </c>
      <c r="W71" s="168" t="str">
        <f t="shared" si="8"/>
        <v>T3低品质9级</v>
      </c>
      <c r="X71" s="168" t="str">
        <f t="shared" si="8"/>
        <v>T4低品质1级</v>
      </c>
      <c r="Y71" s="168" t="str">
        <f t="shared" si="8"/>
        <v>T4低品质2级</v>
      </c>
      <c r="Z71" s="168" t="str">
        <f t="shared" si="8"/>
        <v>T4低品质3级</v>
      </c>
      <c r="AA71" s="168" t="str">
        <f t="shared" si="8"/>
        <v>T4低品质4级</v>
      </c>
      <c r="AB71" s="168" t="str">
        <f t="shared" si="8"/>
        <v>T4低品质5级</v>
      </c>
      <c r="AC71" s="168" t="str">
        <f t="shared" si="8"/>
        <v>T4低品质6级</v>
      </c>
      <c r="AD71" s="168" t="str">
        <f t="shared" si="8"/>
        <v>T4低品质7级</v>
      </c>
      <c r="AE71" s="168" t="str">
        <f t="shared" si="8"/>
        <v>T4低品质8级</v>
      </c>
      <c r="AF71" s="168" t="str">
        <f t="shared" si="8"/>
        <v>T4低品质9级</v>
      </c>
      <c r="AG71" s="168" t="str">
        <f t="shared" si="8"/>
        <v>T4低品质10级</v>
      </c>
      <c r="AH71" s="168" t="str">
        <f t="shared" si="8"/>
        <v>T4低品质11级</v>
      </c>
      <c r="AI71" s="168" t="str">
        <f t="shared" si="8"/>
        <v>T5低品质1级</v>
      </c>
      <c r="AJ71" s="168" t="str">
        <f t="shared" si="8"/>
        <v>T5低品质2级</v>
      </c>
      <c r="AK71" s="168" t="str">
        <f t="shared" si="8"/>
        <v>T5低品质3级</v>
      </c>
      <c r="AL71" s="168" t="str">
        <f t="shared" si="8"/>
        <v>T5低品质4级</v>
      </c>
      <c r="AM71" s="168" t="str">
        <f t="shared" si="8"/>
        <v>T5低品质5级</v>
      </c>
      <c r="AN71" s="168" t="str">
        <f t="shared" si="8"/>
        <v>T5低品质6级</v>
      </c>
      <c r="AO71" s="168" t="str">
        <f t="shared" si="8"/>
        <v>T5低品质7级</v>
      </c>
      <c r="AP71" s="168" t="str">
        <f t="shared" si="8"/>
        <v>T5低品质8级</v>
      </c>
      <c r="AQ71" s="168" t="str">
        <f t="shared" si="8"/>
        <v>T5低品质9级</v>
      </c>
      <c r="AR71" s="168" t="str">
        <f t="shared" si="8"/>
        <v>T5低品质10级</v>
      </c>
      <c r="AS71" s="168" t="str">
        <f t="shared" si="8"/>
        <v>T5低品质11级</v>
      </c>
      <c r="AT71" s="168" t="str">
        <f t="shared" si="8"/>
        <v>T5低品质12级</v>
      </c>
      <c r="AU71" s="168" t="str">
        <f t="shared" si="8"/>
        <v>T5低品质13级</v>
      </c>
      <c r="AV71" s="168" t="str">
        <f t="shared" si="8"/>
        <v>T2中品质1级</v>
      </c>
      <c r="AW71" s="168" t="str">
        <f t="shared" si="8"/>
        <v>T2中品质2级</v>
      </c>
      <c r="AX71" s="168" t="str">
        <f t="shared" si="8"/>
        <v>T2中品质3级</v>
      </c>
      <c r="AY71" s="168" t="str">
        <f t="shared" si="8"/>
        <v>T2中品质4级</v>
      </c>
      <c r="AZ71" s="168" t="str">
        <f t="shared" si="8"/>
        <v>T2中品质5级</v>
      </c>
      <c r="BA71" s="168" t="str">
        <f t="shared" si="8"/>
        <v>T2中品质6级</v>
      </c>
      <c r="BB71" s="168" t="str">
        <f t="shared" si="8"/>
        <v>T2中品质7级</v>
      </c>
      <c r="BC71" s="168" t="str">
        <f t="shared" si="8"/>
        <v>T2中品质8级</v>
      </c>
      <c r="BD71" s="168" t="str">
        <f t="shared" si="8"/>
        <v>T2中品质9级</v>
      </c>
      <c r="BE71" s="168" t="str">
        <f t="shared" si="8"/>
        <v>T2中品质10级</v>
      </c>
      <c r="BF71" s="168" t="str">
        <f t="shared" si="8"/>
        <v>T2中品质11级</v>
      </c>
      <c r="BG71" s="168" t="str">
        <f t="shared" si="8"/>
        <v>T2中品质12级</v>
      </c>
      <c r="BH71" s="168" t="str">
        <f t="shared" si="8"/>
        <v>T3中品质1级</v>
      </c>
      <c r="BI71" s="168" t="str">
        <f t="shared" si="8"/>
        <v>T3中品质2级</v>
      </c>
      <c r="BJ71" s="168" t="str">
        <f t="shared" si="8"/>
        <v>T3中品质3级</v>
      </c>
      <c r="BK71" s="168" t="str">
        <f t="shared" si="8"/>
        <v>T3中品质4级</v>
      </c>
      <c r="BL71" s="168" t="str">
        <f t="shared" si="8"/>
        <v>T3中品质5级</v>
      </c>
      <c r="BM71" s="168" t="str">
        <f t="shared" si="8"/>
        <v>T3中品质6级</v>
      </c>
      <c r="BN71" s="168" t="str">
        <f t="shared" si="8"/>
        <v>T3中品质7级</v>
      </c>
      <c r="BO71" s="168" t="str">
        <f t="shared" si="8"/>
        <v>T3中品质8级</v>
      </c>
      <c r="BP71" s="168" t="str">
        <f t="shared" ref="BP71:EA71" si="9">"T"&amp;LEFT(RIGHT(BP72,3),1)&amp;""&amp;IF(LEFT(BP72,1)="1","低品质",IF(LEFT(BP72,1)="2","中品质","高品质"))&amp;""&amp;IF(LEFT(RIGHT(BP72,2),1)="0",RIGHT(BP72,1),RIGHT(BP72,2))&amp;"级"</f>
        <v>T3中品质9级</v>
      </c>
      <c r="BQ71" s="168" t="str">
        <f t="shared" si="9"/>
        <v>T3中品质10级</v>
      </c>
      <c r="BR71" s="168" t="str">
        <f t="shared" si="9"/>
        <v>T3中品质11级</v>
      </c>
      <c r="BS71" s="168" t="str">
        <f t="shared" si="9"/>
        <v>T3中品质12级</v>
      </c>
      <c r="BT71" s="168" t="str">
        <f t="shared" si="9"/>
        <v>T3中品质13级</v>
      </c>
      <c r="BU71" s="168" t="str">
        <f t="shared" si="9"/>
        <v>T3中品质14级</v>
      </c>
      <c r="BV71" s="168" t="str">
        <f t="shared" si="9"/>
        <v>T3中品质15级</v>
      </c>
      <c r="BW71" s="168" t="str">
        <f t="shared" si="9"/>
        <v>T4中品质1级</v>
      </c>
      <c r="BX71" s="168" t="str">
        <f t="shared" si="9"/>
        <v>T4中品质2级</v>
      </c>
      <c r="BY71" s="168" t="str">
        <f t="shared" si="9"/>
        <v>T4中品质3级</v>
      </c>
      <c r="BZ71" s="168" t="str">
        <f t="shared" si="9"/>
        <v>T4中品质4级</v>
      </c>
      <c r="CA71" s="168" t="str">
        <f t="shared" si="9"/>
        <v>T4中品质5级</v>
      </c>
      <c r="CB71" s="168" t="str">
        <f t="shared" si="9"/>
        <v>T4中品质6级</v>
      </c>
      <c r="CC71" s="168" t="str">
        <f t="shared" si="9"/>
        <v>T4中品质7级</v>
      </c>
      <c r="CD71" s="168" t="str">
        <f t="shared" si="9"/>
        <v>T4中品质8级</v>
      </c>
      <c r="CE71" s="168" t="str">
        <f t="shared" si="9"/>
        <v>T4中品质9级</v>
      </c>
      <c r="CF71" s="168" t="str">
        <f t="shared" si="9"/>
        <v>T4中品质10级</v>
      </c>
      <c r="CG71" s="168" t="str">
        <f t="shared" si="9"/>
        <v>T4中品质11级</v>
      </c>
      <c r="CH71" s="168" t="str">
        <f t="shared" si="9"/>
        <v>T4中品质12级</v>
      </c>
      <c r="CI71" s="168" t="str">
        <f t="shared" si="9"/>
        <v>T4中品质13级</v>
      </c>
      <c r="CJ71" s="168" t="str">
        <f t="shared" si="9"/>
        <v>T4中品质14级</v>
      </c>
      <c r="CK71" s="168" t="str">
        <f t="shared" si="9"/>
        <v>T4中品质15级</v>
      </c>
      <c r="CL71" s="168" t="str">
        <f t="shared" si="9"/>
        <v>T4中品质16级</v>
      </c>
      <c r="CM71" s="168" t="str">
        <f t="shared" si="9"/>
        <v>T4中品质17级</v>
      </c>
      <c r="CN71" s="168" t="str">
        <f t="shared" si="9"/>
        <v>T4中品质18级</v>
      </c>
      <c r="CO71" s="168" t="str">
        <f t="shared" si="9"/>
        <v>T5中品质1级</v>
      </c>
      <c r="CP71" s="168" t="str">
        <f t="shared" si="9"/>
        <v>T5中品质2级</v>
      </c>
      <c r="CQ71" s="168" t="str">
        <f t="shared" si="9"/>
        <v>T5中品质3级</v>
      </c>
      <c r="CR71" s="168" t="str">
        <f t="shared" si="9"/>
        <v>T5中品质4级</v>
      </c>
      <c r="CS71" s="168" t="str">
        <f t="shared" si="9"/>
        <v>T5中品质5级</v>
      </c>
      <c r="CT71" s="168" t="str">
        <f t="shared" si="9"/>
        <v>T5中品质6级</v>
      </c>
      <c r="CU71" s="168" t="str">
        <f t="shared" si="9"/>
        <v>T5中品质7级</v>
      </c>
      <c r="CV71" s="168" t="str">
        <f t="shared" si="9"/>
        <v>T5中品质8级</v>
      </c>
      <c r="CW71" s="168" t="str">
        <f t="shared" si="9"/>
        <v>T5中品质9级</v>
      </c>
      <c r="CX71" s="168" t="str">
        <f t="shared" si="9"/>
        <v>T5中品质10级</v>
      </c>
      <c r="CY71" s="168" t="str">
        <f t="shared" si="9"/>
        <v>T5中品质11级</v>
      </c>
      <c r="CZ71" s="168" t="str">
        <f t="shared" si="9"/>
        <v>T5中品质12级</v>
      </c>
      <c r="DA71" s="168" t="str">
        <f t="shared" si="9"/>
        <v>T5中品质13级</v>
      </c>
      <c r="DB71" s="168" t="str">
        <f t="shared" si="9"/>
        <v>T5中品质14级</v>
      </c>
      <c r="DC71" s="168" t="str">
        <f t="shared" si="9"/>
        <v>T5中品质15级</v>
      </c>
      <c r="DD71" s="168" t="str">
        <f t="shared" si="9"/>
        <v>T5中品质16级</v>
      </c>
      <c r="DE71" s="168" t="str">
        <f t="shared" si="9"/>
        <v>T5中品质17级</v>
      </c>
      <c r="DF71" s="168" t="str">
        <f t="shared" si="9"/>
        <v>T5中品质18级</v>
      </c>
      <c r="DG71" s="168" t="str">
        <f t="shared" si="9"/>
        <v>T5中品质19级</v>
      </c>
      <c r="DH71" s="168" t="str">
        <f t="shared" si="9"/>
        <v>T5中品质20级</v>
      </c>
      <c r="DI71" s="168" t="str">
        <f t="shared" si="9"/>
        <v>T5中品质21级</v>
      </c>
      <c r="DJ71" s="168" t="str">
        <f t="shared" si="9"/>
        <v>T3高品质1级</v>
      </c>
      <c r="DK71" s="168" t="str">
        <f t="shared" si="9"/>
        <v>T3高品质2级</v>
      </c>
      <c r="DL71" s="168" t="str">
        <f t="shared" si="9"/>
        <v>T3高品质3级</v>
      </c>
      <c r="DM71" s="168" t="str">
        <f t="shared" si="9"/>
        <v>T3高品质4级</v>
      </c>
      <c r="DN71" s="168" t="str">
        <f t="shared" si="9"/>
        <v>T3高品质5级</v>
      </c>
      <c r="DO71" s="168" t="str">
        <f t="shared" si="9"/>
        <v>T3高品质6级</v>
      </c>
      <c r="DP71" s="168" t="str">
        <f t="shared" si="9"/>
        <v>T3高品质7级</v>
      </c>
      <c r="DQ71" s="168" t="str">
        <f t="shared" si="9"/>
        <v>T3高品质8级</v>
      </c>
      <c r="DR71" s="168" t="str">
        <f t="shared" si="9"/>
        <v>T3高品质9级</v>
      </c>
      <c r="DS71" s="168" t="str">
        <f t="shared" si="9"/>
        <v>T3高品质10级</v>
      </c>
      <c r="DT71" s="168" t="str">
        <f t="shared" si="9"/>
        <v>T3高品质11级</v>
      </c>
      <c r="DU71" s="168" t="str">
        <f t="shared" si="9"/>
        <v>T3高品质12级</v>
      </c>
      <c r="DV71" s="168" t="str">
        <f t="shared" si="9"/>
        <v>T3高品质13级</v>
      </c>
      <c r="DW71" s="168" t="str">
        <f t="shared" si="9"/>
        <v>T3高品质14级</v>
      </c>
      <c r="DX71" s="168" t="str">
        <f t="shared" si="9"/>
        <v>T3高品质15级</v>
      </c>
      <c r="DY71" s="168" t="str">
        <f t="shared" si="9"/>
        <v>T4高品质1级</v>
      </c>
      <c r="DZ71" s="168" t="str">
        <f t="shared" si="9"/>
        <v>T4高品质2级</v>
      </c>
      <c r="EA71" s="168" t="str">
        <f t="shared" si="9"/>
        <v>T4高品质3级</v>
      </c>
      <c r="EB71" s="168" t="str">
        <f t="shared" ref="EB71:FK71" si="10">"T"&amp;LEFT(RIGHT(EB72,3),1)&amp;""&amp;IF(LEFT(EB72,1)="1","低品质",IF(LEFT(EB72,1)="2","中品质","高品质"))&amp;""&amp;IF(LEFT(RIGHT(EB72,2),1)="0",RIGHT(EB72,1),RIGHT(EB72,2))&amp;"级"</f>
        <v>T4高品质4级</v>
      </c>
      <c r="EC71" s="168" t="str">
        <f t="shared" si="10"/>
        <v>T4高品质5级</v>
      </c>
      <c r="ED71" s="168" t="str">
        <f t="shared" si="10"/>
        <v>T4高品质6级</v>
      </c>
      <c r="EE71" s="168" t="str">
        <f t="shared" si="10"/>
        <v>T4高品质7级</v>
      </c>
      <c r="EF71" s="168" t="str">
        <f t="shared" si="10"/>
        <v>T4高品质8级</v>
      </c>
      <c r="EG71" s="168" t="str">
        <f t="shared" si="10"/>
        <v>T4高品质9级</v>
      </c>
      <c r="EH71" s="168" t="str">
        <f t="shared" si="10"/>
        <v>T4高品质10级</v>
      </c>
      <c r="EI71" s="168" t="str">
        <f t="shared" si="10"/>
        <v>T4高品质11级</v>
      </c>
      <c r="EJ71" s="168" t="str">
        <f t="shared" si="10"/>
        <v>T4高品质12级</v>
      </c>
      <c r="EK71" s="168" t="str">
        <f t="shared" si="10"/>
        <v>T4高品质13级</v>
      </c>
      <c r="EL71" s="168" t="str">
        <f t="shared" si="10"/>
        <v>T4高品质14级</v>
      </c>
      <c r="EM71" s="168" t="str">
        <f t="shared" si="10"/>
        <v>T4高品质15级</v>
      </c>
      <c r="EN71" s="168" t="str">
        <f t="shared" si="10"/>
        <v>T4高品质16级</v>
      </c>
      <c r="EO71" s="168" t="str">
        <f t="shared" si="10"/>
        <v>T4高品质17级</v>
      </c>
      <c r="EP71" s="168" t="str">
        <f t="shared" si="10"/>
        <v>T4高品质18级</v>
      </c>
      <c r="EQ71" s="168" t="str">
        <f t="shared" si="10"/>
        <v>T5高品质1级</v>
      </c>
      <c r="ER71" s="168" t="str">
        <f t="shared" si="10"/>
        <v>T5高品质2级</v>
      </c>
      <c r="ES71" s="168" t="str">
        <f t="shared" si="10"/>
        <v>T5高品质3级</v>
      </c>
      <c r="ET71" s="168" t="str">
        <f t="shared" si="10"/>
        <v>T5高品质4级</v>
      </c>
      <c r="EU71" s="168" t="str">
        <f t="shared" si="10"/>
        <v>T5高品质5级</v>
      </c>
      <c r="EV71" s="168" t="str">
        <f t="shared" si="10"/>
        <v>T5高品质6级</v>
      </c>
      <c r="EW71" s="168" t="str">
        <f t="shared" si="10"/>
        <v>T5高品质7级</v>
      </c>
      <c r="EX71" s="168" t="str">
        <f t="shared" si="10"/>
        <v>T5高品质8级</v>
      </c>
      <c r="EY71" s="168" t="str">
        <f t="shared" si="10"/>
        <v>T5高品质9级</v>
      </c>
      <c r="EZ71" s="168" t="str">
        <f t="shared" si="10"/>
        <v>T5高品质10级</v>
      </c>
      <c r="FA71" s="168" t="str">
        <f t="shared" si="10"/>
        <v>T5高品质11级</v>
      </c>
      <c r="FB71" s="168" t="str">
        <f t="shared" si="10"/>
        <v>T5高品质12级</v>
      </c>
      <c r="FC71" s="168" t="str">
        <f t="shared" si="10"/>
        <v>T5高品质13级</v>
      </c>
      <c r="FD71" s="168" t="str">
        <f t="shared" si="10"/>
        <v>T5高品质14级</v>
      </c>
      <c r="FE71" s="168" t="str">
        <f t="shared" si="10"/>
        <v>T5高品质15级</v>
      </c>
      <c r="FF71" s="168" t="str">
        <f t="shared" si="10"/>
        <v>T5高品质16级</v>
      </c>
      <c r="FG71" s="168" t="str">
        <f t="shared" si="10"/>
        <v>T5高品质17级</v>
      </c>
      <c r="FH71" s="168" t="str">
        <f t="shared" si="10"/>
        <v>T5高品质18级</v>
      </c>
      <c r="FI71" s="168" t="str">
        <f t="shared" si="10"/>
        <v>T5高品质19级</v>
      </c>
      <c r="FJ71" s="168" t="str">
        <f t="shared" si="10"/>
        <v>T5高品质20级</v>
      </c>
      <c r="FK71" s="168" t="str">
        <f t="shared" si="10"/>
        <v>T5高品质21级</v>
      </c>
    </row>
    <row r="72" spans="1:167" x14ac:dyDescent="0.15">
      <c r="A72" s="181"/>
      <c r="B72" s="182"/>
      <c r="C72" s="169">
        <v>10101</v>
      </c>
      <c r="D72" s="169">
        <v>10102</v>
      </c>
      <c r="E72" s="169">
        <v>10103</v>
      </c>
      <c r="F72" s="169">
        <v>10104</v>
      </c>
      <c r="G72" s="169">
        <v>10105</v>
      </c>
      <c r="H72" s="169">
        <v>10201</v>
      </c>
      <c r="I72" s="169">
        <v>10202</v>
      </c>
      <c r="J72" s="169">
        <v>10203</v>
      </c>
      <c r="K72" s="169">
        <v>10204</v>
      </c>
      <c r="L72" s="169">
        <v>10205</v>
      </c>
      <c r="M72" s="169">
        <v>10206</v>
      </c>
      <c r="N72" s="169">
        <v>10207</v>
      </c>
      <c r="O72" s="169">
        <v>10301</v>
      </c>
      <c r="P72" s="169">
        <v>10302</v>
      </c>
      <c r="Q72" s="169">
        <v>10303</v>
      </c>
      <c r="R72" s="169">
        <v>10304</v>
      </c>
      <c r="S72" s="169">
        <v>10305</v>
      </c>
      <c r="T72" s="169">
        <v>10306</v>
      </c>
      <c r="U72" s="169">
        <v>10307</v>
      </c>
      <c r="V72" s="169">
        <v>10308</v>
      </c>
      <c r="W72" s="169">
        <v>10309</v>
      </c>
      <c r="X72" s="169">
        <v>10401</v>
      </c>
      <c r="Y72" s="169">
        <v>10402</v>
      </c>
      <c r="Z72" s="169">
        <v>10403</v>
      </c>
      <c r="AA72" s="169">
        <v>10404</v>
      </c>
      <c r="AB72" s="169">
        <v>10405</v>
      </c>
      <c r="AC72" s="169">
        <v>10406</v>
      </c>
      <c r="AD72" s="169">
        <v>10407</v>
      </c>
      <c r="AE72" s="169">
        <v>10408</v>
      </c>
      <c r="AF72" s="169">
        <v>10409</v>
      </c>
      <c r="AG72" s="169">
        <v>10410</v>
      </c>
      <c r="AH72" s="169">
        <v>10411</v>
      </c>
      <c r="AI72" s="169">
        <v>10501</v>
      </c>
      <c r="AJ72" s="169">
        <v>10502</v>
      </c>
      <c r="AK72" s="169">
        <v>10503</v>
      </c>
      <c r="AL72" s="169">
        <v>10504</v>
      </c>
      <c r="AM72" s="169">
        <v>10505</v>
      </c>
      <c r="AN72" s="169">
        <v>10506</v>
      </c>
      <c r="AO72" s="169">
        <v>10507</v>
      </c>
      <c r="AP72" s="169">
        <v>10508</v>
      </c>
      <c r="AQ72" s="169">
        <v>10509</v>
      </c>
      <c r="AR72" s="169">
        <v>10510</v>
      </c>
      <c r="AS72" s="169">
        <v>10511</v>
      </c>
      <c r="AT72" s="169">
        <v>10512</v>
      </c>
      <c r="AU72" s="169">
        <v>10513</v>
      </c>
      <c r="AV72" s="169">
        <v>20201</v>
      </c>
      <c r="AW72" s="169">
        <v>20202</v>
      </c>
      <c r="AX72" s="169">
        <v>20203</v>
      </c>
      <c r="AY72" s="169">
        <v>20204</v>
      </c>
      <c r="AZ72" s="169">
        <v>20205</v>
      </c>
      <c r="BA72" s="169">
        <v>20206</v>
      </c>
      <c r="BB72" s="169">
        <v>20207</v>
      </c>
      <c r="BC72" s="169">
        <v>20208</v>
      </c>
      <c r="BD72" s="169">
        <v>20209</v>
      </c>
      <c r="BE72" s="169">
        <v>20210</v>
      </c>
      <c r="BF72" s="169">
        <v>20211</v>
      </c>
      <c r="BG72" s="169">
        <v>20212</v>
      </c>
      <c r="BH72" s="169">
        <v>20301</v>
      </c>
      <c r="BI72" s="169">
        <v>20302</v>
      </c>
      <c r="BJ72" s="169">
        <v>20303</v>
      </c>
      <c r="BK72" s="169">
        <v>20304</v>
      </c>
      <c r="BL72" s="169">
        <v>20305</v>
      </c>
      <c r="BM72" s="169">
        <v>20306</v>
      </c>
      <c r="BN72" s="169">
        <v>20307</v>
      </c>
      <c r="BO72" s="169">
        <v>20308</v>
      </c>
      <c r="BP72" s="169">
        <v>20309</v>
      </c>
      <c r="BQ72" s="169">
        <v>20310</v>
      </c>
      <c r="BR72" s="169">
        <v>20311</v>
      </c>
      <c r="BS72" s="169">
        <v>20312</v>
      </c>
      <c r="BT72" s="169">
        <v>20313</v>
      </c>
      <c r="BU72" s="169">
        <v>20314</v>
      </c>
      <c r="BV72" s="169">
        <v>20315</v>
      </c>
      <c r="BW72" s="169">
        <v>20401</v>
      </c>
      <c r="BX72" s="169">
        <v>20402</v>
      </c>
      <c r="BY72" s="169">
        <v>20403</v>
      </c>
      <c r="BZ72" s="169">
        <v>20404</v>
      </c>
      <c r="CA72" s="169">
        <v>20405</v>
      </c>
      <c r="CB72" s="169">
        <v>20406</v>
      </c>
      <c r="CC72" s="169">
        <v>20407</v>
      </c>
      <c r="CD72" s="169">
        <v>20408</v>
      </c>
      <c r="CE72" s="169">
        <v>20409</v>
      </c>
      <c r="CF72" s="169">
        <v>20410</v>
      </c>
      <c r="CG72" s="169">
        <v>20411</v>
      </c>
      <c r="CH72" s="169">
        <v>20412</v>
      </c>
      <c r="CI72" s="169">
        <v>20413</v>
      </c>
      <c r="CJ72" s="169">
        <v>20414</v>
      </c>
      <c r="CK72" s="169">
        <v>20415</v>
      </c>
      <c r="CL72" s="169">
        <v>20416</v>
      </c>
      <c r="CM72" s="169">
        <v>20417</v>
      </c>
      <c r="CN72" s="169">
        <v>20418</v>
      </c>
      <c r="CO72" s="169">
        <v>20501</v>
      </c>
      <c r="CP72" s="169">
        <v>20502</v>
      </c>
      <c r="CQ72" s="169">
        <v>20503</v>
      </c>
      <c r="CR72" s="169">
        <v>20504</v>
      </c>
      <c r="CS72" s="169">
        <v>20505</v>
      </c>
      <c r="CT72" s="169">
        <v>20506</v>
      </c>
      <c r="CU72" s="169">
        <v>20507</v>
      </c>
      <c r="CV72" s="169">
        <v>20508</v>
      </c>
      <c r="CW72" s="169">
        <v>20509</v>
      </c>
      <c r="CX72" s="169">
        <v>20510</v>
      </c>
      <c r="CY72" s="169">
        <v>20511</v>
      </c>
      <c r="CZ72" s="169">
        <v>20512</v>
      </c>
      <c r="DA72" s="169">
        <v>20513</v>
      </c>
      <c r="DB72" s="169">
        <v>20514</v>
      </c>
      <c r="DC72" s="169">
        <v>20515</v>
      </c>
      <c r="DD72" s="169">
        <v>20516</v>
      </c>
      <c r="DE72" s="169">
        <v>20517</v>
      </c>
      <c r="DF72" s="169">
        <v>20518</v>
      </c>
      <c r="DG72" s="169">
        <v>20519</v>
      </c>
      <c r="DH72" s="169">
        <v>20520</v>
      </c>
      <c r="DI72" s="169">
        <v>20521</v>
      </c>
      <c r="DJ72" s="169">
        <v>30301</v>
      </c>
      <c r="DK72" s="169">
        <v>30302</v>
      </c>
      <c r="DL72" s="169">
        <v>30303</v>
      </c>
      <c r="DM72" s="169">
        <v>30304</v>
      </c>
      <c r="DN72" s="169">
        <v>30305</v>
      </c>
      <c r="DO72" s="169">
        <v>30306</v>
      </c>
      <c r="DP72" s="169">
        <v>30307</v>
      </c>
      <c r="DQ72" s="169">
        <v>30308</v>
      </c>
      <c r="DR72" s="169">
        <v>30309</v>
      </c>
      <c r="DS72" s="169">
        <v>30310</v>
      </c>
      <c r="DT72" s="169">
        <v>30311</v>
      </c>
      <c r="DU72" s="169">
        <v>30312</v>
      </c>
      <c r="DV72" s="169">
        <v>30313</v>
      </c>
      <c r="DW72" s="169">
        <v>30314</v>
      </c>
      <c r="DX72" s="169">
        <v>30315</v>
      </c>
      <c r="DY72" s="169">
        <v>30401</v>
      </c>
      <c r="DZ72" s="169">
        <v>30402</v>
      </c>
      <c r="EA72" s="169">
        <v>30403</v>
      </c>
      <c r="EB72" s="169">
        <v>30404</v>
      </c>
      <c r="EC72" s="169">
        <v>30405</v>
      </c>
      <c r="ED72" s="169">
        <v>30406</v>
      </c>
      <c r="EE72" s="169">
        <v>30407</v>
      </c>
      <c r="EF72" s="169">
        <v>30408</v>
      </c>
      <c r="EG72" s="169">
        <v>30409</v>
      </c>
      <c r="EH72" s="169">
        <v>30410</v>
      </c>
      <c r="EI72" s="169">
        <v>30411</v>
      </c>
      <c r="EJ72" s="169">
        <v>30412</v>
      </c>
      <c r="EK72" s="169">
        <v>30413</v>
      </c>
      <c r="EL72" s="169">
        <v>30414</v>
      </c>
      <c r="EM72" s="169">
        <v>30415</v>
      </c>
      <c r="EN72" s="169">
        <v>30416</v>
      </c>
      <c r="EO72" s="169">
        <v>30417</v>
      </c>
      <c r="EP72" s="169">
        <v>30418</v>
      </c>
      <c r="EQ72" s="169">
        <v>30501</v>
      </c>
      <c r="ER72" s="169">
        <v>30502</v>
      </c>
      <c r="ES72" s="169">
        <v>30503</v>
      </c>
      <c r="ET72" s="169">
        <v>30504</v>
      </c>
      <c r="EU72" s="169">
        <v>30505</v>
      </c>
      <c r="EV72" s="169">
        <v>30506</v>
      </c>
      <c r="EW72" s="169">
        <v>30507</v>
      </c>
      <c r="EX72" s="169">
        <v>30508</v>
      </c>
      <c r="EY72" s="169">
        <v>30509</v>
      </c>
      <c r="EZ72" s="169">
        <v>30510</v>
      </c>
      <c r="FA72" s="169">
        <v>30511</v>
      </c>
      <c r="FB72" s="169">
        <v>30512</v>
      </c>
      <c r="FC72" s="169">
        <v>30513</v>
      </c>
      <c r="FD72" s="169">
        <v>30514</v>
      </c>
      <c r="FE72" s="169">
        <v>30515</v>
      </c>
      <c r="FF72" s="169">
        <v>30516</v>
      </c>
      <c r="FG72" s="169">
        <v>30517</v>
      </c>
      <c r="FH72" s="169">
        <v>30518</v>
      </c>
      <c r="FI72" s="169">
        <v>30519</v>
      </c>
      <c r="FJ72" s="169">
        <v>30520</v>
      </c>
      <c r="FK72" s="169">
        <v>30521</v>
      </c>
    </row>
    <row r="73" spans="1:167" x14ac:dyDescent="0.15">
      <c r="A73" s="170" t="str">
        <f>"T"&amp;LEFT(RIGHT(B73,3),1)&amp;""&amp;IF(LEFT(B73,1)="1","低品质",IF(LEFT(B73,1)="2","中品质","高品质"))&amp;""&amp;IF(LEFT(RIGHT(B73,2),1)="0",RIGHT(B73,1),RIGHT(B73,2))&amp;"级"</f>
        <v>T1低品质1级</v>
      </c>
      <c r="B73" s="171">
        <v>10101</v>
      </c>
      <c r="C73" s="172">
        <f ca="1">(VLOOKUP(C$72,INDIRECT($C$5&amp;"生成成长"),2))/((VLOOKUP($B73,INDIRECT($B$5&amp;"生成成长"),4))/(VLOOKUP(C$72,INDIRECT($C$5&amp;"生成成长"),5))*(VLOOKUP($B$5,标准坦克设计!$B$24:$U$30,MATCH("对"&amp;LEFT($C$5,2)&amp;"输出",标准坦克设计!$B$23:$U$23,0)))*(VLOOKUP($B73,INDIRECT($B$5&amp;"生成成长"),3))*(VLOOKUP($B$5,标准坦克设计!$B$14:$K$20,9)/30))</f>
        <v>8.6708990476941743</v>
      </c>
      <c r="D73" s="172">
        <f ca="1">(VLOOKUP(D$72,INDIRECT($C$5&amp;"生成成长"),2))/((VLOOKUP($B73,INDIRECT($B$5&amp;"生成成长"),4))/(VLOOKUP(D$72,INDIRECT($C$5&amp;"生成成长"),5))*(VLOOKUP($B$5,标准坦克设计!$B$24:$U$30,MATCH("对"&amp;LEFT($C$5,2)&amp;"输出",标准坦克设计!$B$23:$U$23,0)))*(VLOOKUP($B73,INDIRECT($B$5&amp;"生成成长"),3))*(VLOOKUP($B$5,标准坦克设计!$B$14:$K$20,9)/30))</f>
        <v>9.7426221699891755</v>
      </c>
      <c r="E73" s="172">
        <f ca="1">(VLOOKUP(E$72,INDIRECT($C$5&amp;"生成成长"),2))/((VLOOKUP($B73,INDIRECT($B$5&amp;"生成成长"),4))/(VLOOKUP(E$72,INDIRECT($C$5&amp;"生成成长"),5))*(VLOOKUP($B$5,标准坦克设计!$B$24:$U$30,MATCH("对"&amp;LEFT($C$5,2)&amp;"输出",标准坦克设计!$B$23:$U$23,0)))*(VLOOKUP($B73,INDIRECT($B$5&amp;"生成成长"),3))*(VLOOKUP($B$5,标准坦克设计!$B$14:$K$20,9)/30))</f>
        <v>10.876775765427572</v>
      </c>
      <c r="F73" s="172">
        <f ca="1">(VLOOKUP(F$72,INDIRECT($C$5&amp;"生成成长"),2))/((VLOOKUP($B73,INDIRECT($B$5&amp;"生成成长"),4))/(VLOOKUP(F$72,INDIRECT($C$5&amp;"生成成长"),5))*(VLOOKUP($B$5,标准坦克设计!$B$24:$U$30,MATCH("对"&amp;LEFT($C$5,2)&amp;"输出",标准坦克设计!$B$23:$U$23,0)))*(VLOOKUP($B73,INDIRECT($B$5&amp;"生成成长"),3))*(VLOOKUP($B$5,标准坦克设计!$B$14:$K$20,9)/30))</f>
        <v>12.073359834009368</v>
      </c>
      <c r="G73" s="172">
        <f ca="1">(VLOOKUP(G$72,INDIRECT($C$5&amp;"生成成长"),2))/((VLOOKUP($B73,INDIRECT($B$5&amp;"生成成长"),4))/(VLOOKUP(G$72,INDIRECT($C$5&amp;"生成成长"),5))*(VLOOKUP($B$5,标准坦克设计!$B$24:$U$30,MATCH("对"&amp;LEFT($C$5,2)&amp;"输出",标准坦克设计!$B$23:$U$23,0)))*(VLOOKUP($B73,INDIRECT($B$5&amp;"生成成长"),3))*(VLOOKUP($B$5,标准坦克设计!$B$14:$K$20,9)/30))</f>
        <v>13.332374375734565</v>
      </c>
      <c r="H73" s="172">
        <f ca="1">(VLOOKUP(H$72,INDIRECT($C$5&amp;"生成成长"),2))/((VLOOKUP($B73,INDIRECT($B$5&amp;"生成成长"),4))/(VLOOKUP(H$72,INDIRECT($C$5&amp;"生成成长"),5))*(VLOOKUP($B$5,标准坦克设计!$B$24:$U$30,MATCH("对"&amp;LEFT($C$5,2)&amp;"输出",标准坦克设计!$B$23:$U$23,0)))*(VLOOKUP($B73,INDIRECT($B$5&amp;"生成成长"),3))*(VLOOKUP($B$5,标准坦克设计!$B$14:$K$20,9)/30))</f>
        <v>11.667561758577284</v>
      </c>
      <c r="I73" s="172">
        <f ca="1">(VLOOKUP(I$72,INDIRECT($C$5&amp;"生成成长"),2))/((VLOOKUP($B73,INDIRECT($B$5&amp;"生成成长"),4))/(VLOOKUP(I$72,INDIRECT($C$5&amp;"生成成长"),5))*(VLOOKUP($B$5,标准坦克设计!$B$24:$U$30,MATCH("对"&amp;LEFT($C$5,2)&amp;"输出",标准坦克设计!$B$23:$U$23,0)))*(VLOOKUP($B73,INDIRECT($B$5&amp;"生成成长"),3))*(VLOOKUP($B$5,标准坦克设计!$B$14:$K$20,9)/30))</f>
        <v>13.332374375734565</v>
      </c>
      <c r="J73" s="172">
        <f ca="1">(VLOOKUP(J$72,INDIRECT($C$5&amp;"生成成长"),2))/((VLOOKUP($B73,INDIRECT($B$5&amp;"生成成长"),4))/(VLOOKUP(J$72,INDIRECT($C$5&amp;"生成成长"),5))*(VLOOKUP($B$5,标准坦克设计!$B$24:$U$30,MATCH("对"&amp;LEFT($C$5,2)&amp;"输出",标准坦克设计!$B$23:$U$23,0)))*(VLOOKUP($B73,INDIRECT($B$5&amp;"生成成长"),3))*(VLOOKUP($B$5,标准坦克设计!$B$14:$K$20,9)/30))</f>
        <v>15.108174500702329</v>
      </c>
      <c r="K73" s="172">
        <f ca="1">(VLOOKUP(K$72,INDIRECT($C$5&amp;"生成成长"),2))/((VLOOKUP($B73,INDIRECT($B$5&amp;"生成成长"),4))/(VLOOKUP(K$72,INDIRECT($C$5&amp;"生成成长"),5))*(VLOOKUP($B$5,标准坦克设计!$B$24:$U$30,MATCH("对"&amp;LEFT($C$5,2)&amp;"输出",标准坦克设计!$B$23:$U$23,0)))*(VLOOKUP($B73,INDIRECT($B$5&amp;"生成成长"),3))*(VLOOKUP($B$5,标准坦克设计!$B$14:$K$20,9)/30))</f>
        <v>16.994962133480588</v>
      </c>
      <c r="L73" s="172">
        <f ca="1">(VLOOKUP(L$72,INDIRECT($C$5&amp;"生成成长"),2))/((VLOOKUP($B73,INDIRECT($B$5&amp;"生成成长"),4))/(VLOOKUP(L$72,INDIRECT($C$5&amp;"生成成长"),5))*(VLOOKUP($B$5,标准坦克设计!$B$24:$U$30,MATCH("对"&amp;LEFT($C$5,2)&amp;"输出",标准坦克设计!$B$23:$U$23,0)))*(VLOOKUP($B73,INDIRECT($B$5&amp;"生成成长"),3))*(VLOOKUP($B$5,标准坦克设计!$B$14:$K$20,9)/30))</f>
        <v>18.992737274069324</v>
      </c>
      <c r="M73" s="172">
        <f ca="1">(VLOOKUP(M$72,INDIRECT($C$5&amp;"生成成长"),2))/((VLOOKUP($B73,INDIRECT($B$5&amp;"生成成长"),4))/(VLOOKUP(M$72,INDIRECT($C$5&amp;"生成成长"),5))*(VLOOKUP($B$5,标准坦克设计!$B$24:$U$30,MATCH("对"&amp;LEFT($C$5,2)&amp;"输出",标准坦克设计!$B$23:$U$23,0)))*(VLOOKUP($B73,INDIRECT($B$5&amp;"生成成长"),3))*(VLOOKUP($B$5,标准坦克设计!$B$14:$K$20,9)/30))</f>
        <v>21.101499922468541</v>
      </c>
      <c r="N73" s="172">
        <f ca="1">(VLOOKUP(N$72,INDIRECT($C$5&amp;"生成成长"),2))/((VLOOKUP($B73,INDIRECT($B$5&amp;"生成成长"),4))/(VLOOKUP(N$72,INDIRECT($C$5&amp;"生成成长"),5))*(VLOOKUP($B$5,标准坦克设计!$B$24:$U$30,MATCH("对"&amp;LEFT($C$5,2)&amp;"输出",标准坦克设计!$B$23:$U$23,0)))*(VLOOKUP($B73,INDIRECT($B$5&amp;"生成成长"),3))*(VLOOKUP($B$5,标准坦克设计!$B$14:$K$20,9)/30))</f>
        <v>23.321250078678254</v>
      </c>
      <c r="O73" s="172">
        <f ca="1">(VLOOKUP(O$72,INDIRECT($C$5&amp;"生成成长"),2))/((VLOOKUP($B73,INDIRECT($B$5&amp;"生成成长"),4))/(VLOOKUP(O$72,INDIRECT($C$5&amp;"生成成长"),5))*(VLOOKUP($B$5,标准坦克设计!$B$24:$U$30,MATCH("对"&amp;LEFT($C$5,2)&amp;"输出",标准坦克设计!$B$23:$U$23,0)))*(VLOOKUP($B73,INDIRECT($B$5&amp;"生成成长"),3))*(VLOOKUP($B$5,标准坦克设计!$B$14:$K$20,9)/30))</f>
        <v>17.731121462629819</v>
      </c>
      <c r="P73" s="172">
        <f ca="1">(VLOOKUP(P$72,INDIRECT($C$5&amp;"生成成长"),2))/((VLOOKUP($B73,INDIRECT($B$5&amp;"生成成长"),4))/(VLOOKUP(P$72,INDIRECT($C$5&amp;"生成成长"),5))*(VLOOKUP($B$5,标准坦克设计!$B$24:$U$30,MATCH("对"&amp;LEFT($C$5,2)&amp;"输出",标准坦克设计!$B$23:$U$23,0)))*(VLOOKUP($B73,INDIRECT($B$5&amp;"生成成长"),3))*(VLOOKUP($B$5,标准坦克设计!$B$14:$K$20,9)/30))</f>
        <v>20.033245159792621</v>
      </c>
      <c r="Q73" s="172">
        <f ca="1">(VLOOKUP(Q$72,INDIRECT($C$5&amp;"生成成长"),2))/((VLOOKUP($B73,INDIRECT($B$5&amp;"生成成长"),4))/(VLOOKUP(Q$72,INDIRECT($C$5&amp;"生成成长"),5))*(VLOOKUP($B$5,标准坦克设计!$B$24:$U$30,MATCH("对"&amp;LEFT($C$5,2)&amp;"输出",标准坦克设计!$B$23:$U$23,0)))*(VLOOKUP($B73,INDIRECT($B$5&amp;"生成成长"),3))*(VLOOKUP($B$5,标准坦克设计!$B$14:$K$20,9)/30))</f>
        <v>22.475837421528073</v>
      </c>
      <c r="R73" s="172">
        <f ca="1">(VLOOKUP(R$72,INDIRECT($C$5&amp;"生成成长"),2))/((VLOOKUP($B73,INDIRECT($B$5&amp;"生成成长"),4))/(VLOOKUP(R$72,INDIRECT($C$5&amp;"生成成长"),5))*(VLOOKUP($B$5,标准坦克设计!$B$24:$U$30,MATCH("对"&amp;LEFT($C$5,2)&amp;"输出",标准坦克设计!$B$23:$U$23,0)))*(VLOOKUP($B73,INDIRECT($B$5&amp;"生成成长"),3))*(VLOOKUP($B$5,标准坦克设计!$B$14:$K$20,9)/30))</f>
        <v>25.058898247836165</v>
      </c>
      <c r="S73" s="172">
        <f ca="1">(VLOOKUP(S$72,INDIRECT($C$5&amp;"生成成长"),2))/((VLOOKUP($B73,INDIRECT($B$5&amp;"生成成长"),4))/(VLOOKUP(S$72,INDIRECT($C$5&amp;"生成成长"),5))*(VLOOKUP($B$5,标准坦克设计!$B$24:$U$30,MATCH("对"&amp;LEFT($C$5,2)&amp;"输出",标准坦克设计!$B$23:$U$23,0)))*(VLOOKUP($B73,INDIRECT($B$5&amp;"生成成长"),3))*(VLOOKUP($B$5,标准坦克设计!$B$14:$K$20,9)/30))</f>
        <v>27.782427638716907</v>
      </c>
      <c r="T73" s="172">
        <f ca="1">(VLOOKUP(T$72,INDIRECT($C$5&amp;"生成成长"),2))/((VLOOKUP($B73,INDIRECT($B$5&amp;"生成成长"),4))/(VLOOKUP(T$72,INDIRECT($C$5&amp;"生成成长"),5))*(VLOOKUP($B$5,标准坦克设计!$B$24:$U$30,MATCH("对"&amp;LEFT($C$5,2)&amp;"输出",标准坦克设计!$B$23:$U$23,0)))*(VLOOKUP($B73,INDIRECT($B$5&amp;"生成成长"),3))*(VLOOKUP($B$5,标准坦克设计!$B$14:$K$20,9)/30))</f>
        <v>30.646425594170292</v>
      </c>
      <c r="U73" s="172">
        <f ca="1">(VLOOKUP(U$72,INDIRECT($C$5&amp;"生成成长"),2))/((VLOOKUP($B73,INDIRECT($B$5&amp;"生成成长"),4))/(VLOOKUP(U$72,INDIRECT($C$5&amp;"生成成长"),5))*(VLOOKUP($B$5,标准坦克设计!$B$24:$U$30,MATCH("对"&amp;LEFT($C$5,2)&amp;"输出",标准坦克设计!$B$23:$U$23,0)))*(VLOOKUP($B73,INDIRECT($B$5&amp;"生成成长"),3))*(VLOOKUP($B$5,标准坦克设计!$B$14:$K$20,9)/30))</f>
        <v>33.650892114196324</v>
      </c>
      <c r="V73" s="172">
        <f ca="1">(VLOOKUP(V$72,INDIRECT($C$5&amp;"生成成长"),2))/((VLOOKUP($B73,INDIRECT($B$5&amp;"生成成长"),4))/(VLOOKUP(V$72,INDIRECT($C$5&amp;"生成成长"),5))*(VLOOKUP($B$5,标准坦克设计!$B$24:$U$30,MATCH("对"&amp;LEFT($C$5,2)&amp;"输出",标准坦克设计!$B$23:$U$23,0)))*(VLOOKUP($B73,INDIRECT($B$5&amp;"生成成长"),3))*(VLOOKUP($B$5,标准坦克设计!$B$14:$K$20,9)/30))</f>
        <v>36.795827198795003</v>
      </c>
      <c r="W73" s="172">
        <f ca="1">(VLOOKUP(W$72,INDIRECT($C$5&amp;"生成成长"),2))/((VLOOKUP($B73,INDIRECT($B$5&amp;"生成成长"),4))/(VLOOKUP(W$72,INDIRECT($C$5&amp;"生成成长"),5))*(VLOOKUP($B$5,标准坦克设计!$B$24:$U$30,MATCH("对"&amp;LEFT($C$5,2)&amp;"输出",标准坦克设计!$B$23:$U$23,0)))*(VLOOKUP($B73,INDIRECT($B$5&amp;"生成成长"),3))*(VLOOKUP($B$5,标准坦克设计!$B$14:$K$20,9)/30))</f>
        <v>40.081230847966324</v>
      </c>
      <c r="X73" s="172">
        <f ca="1">(VLOOKUP(X$72,INDIRECT($C$5&amp;"生成成长"),2))/((VLOOKUP($B73,INDIRECT($B$5&amp;"生成成长"),4))/(VLOOKUP(X$72,INDIRECT($C$5&amp;"生成成长"),5))*(VLOOKUP($B$5,标准坦克设计!$B$24:$U$30,MATCH("对"&amp;LEFT($C$5,2)&amp;"输出",标准坦克设计!$B$23:$U$23,0)))*(VLOOKUP($B73,INDIRECT($B$5&amp;"生成成长"),3))*(VLOOKUP($B$5,标准坦克设计!$B$14:$K$20,9)/30))</f>
        <v>29.037973820823019</v>
      </c>
      <c r="Y73" s="172">
        <f ca="1">(VLOOKUP(Y$72,INDIRECT($C$5&amp;"生成成长"),2))/((VLOOKUP($B73,INDIRECT($B$5&amp;"生成成长"),4))/(VLOOKUP(Y$72,INDIRECT($C$5&amp;"生成成长"),5))*(VLOOKUP($B$5,标准坦克设计!$B$24:$U$30,MATCH("对"&amp;LEFT($C$5,2)&amp;"输出",标准坦克设计!$B$23:$U$23,0)))*(VLOOKUP($B73,INDIRECT($B$5&amp;"生成成长"),3))*(VLOOKUP($B$5,标准坦克设计!$B$14:$K$20,9)/30))</f>
        <v>32.29823186275604</v>
      </c>
      <c r="Z73" s="172">
        <f ca="1">(VLOOKUP(Z$72,INDIRECT($C$5&amp;"生成成长"),2))/((VLOOKUP($B73,INDIRECT($B$5&amp;"生成成长"),4))/(VLOOKUP(Z$72,INDIRECT($C$5&amp;"生成成长"),5))*(VLOOKUP($B$5,标准坦克设计!$B$24:$U$30,MATCH("对"&amp;LEFT($C$5,2)&amp;"输出",标准坦克设计!$B$23:$U$23,0)))*(VLOOKUP($B73,INDIRECT($B$5&amp;"生成成长"),3))*(VLOOKUP($B$5,标准坦克设计!$B$14:$K$20,9)/30))</f>
        <v>35.731907885642919</v>
      </c>
      <c r="AA73" s="172">
        <f ca="1">(VLOOKUP(AA$72,INDIRECT($C$5&amp;"生成成长"),2))/((VLOOKUP($B73,INDIRECT($B$5&amp;"生成成长"),4))/(VLOOKUP(AA$72,INDIRECT($C$5&amp;"生成成长"),5))*(VLOOKUP($B$5,标准坦克设计!$B$24:$U$30,MATCH("对"&amp;LEFT($C$5,2)&amp;"输出",标准坦克设计!$B$23:$U$23,0)))*(VLOOKUP($B73,INDIRECT($B$5&amp;"生成成长"),3))*(VLOOKUP($B$5,标准坦克设计!$B$14:$K$20,9)/30))</f>
        <v>39.339001889483704</v>
      </c>
      <c r="AB73" s="172">
        <f ca="1">(VLOOKUP(AB$72,INDIRECT($C$5&amp;"生成成长"),2))/((VLOOKUP($B73,INDIRECT($B$5&amp;"生成成长"),4))/(VLOOKUP(AB$72,INDIRECT($C$5&amp;"生成成长"),5))*(VLOOKUP($B$5,标准坦克设计!$B$24:$U$30,MATCH("对"&amp;LEFT($C$5,2)&amp;"输出",标准坦克设计!$B$23:$U$23,0)))*(VLOOKUP($B73,INDIRECT($B$5&amp;"生成成长"),3))*(VLOOKUP($B$5,标准坦克设计!$B$14:$K$20,9)/30))</f>
        <v>43.119513874278354</v>
      </c>
      <c r="AC73" s="172">
        <f ca="1">(VLOOKUP(AC$72,INDIRECT($C$5&amp;"生成成长"),2))/((VLOOKUP($B73,INDIRECT($B$5&amp;"生成成长"),4))/(VLOOKUP(AC$72,INDIRECT($C$5&amp;"生成成长"),5))*(VLOOKUP($B$5,标准坦克设计!$B$24:$U$30,MATCH("对"&amp;LEFT($C$5,2)&amp;"输出",标准坦克设计!$B$23:$U$23,0)))*(VLOOKUP($B73,INDIRECT($B$5&amp;"生成成长"),3))*(VLOOKUP($B$5,标准坦克设计!$B$14:$K$20,9)/30))</f>
        <v>47.073443840026904</v>
      </c>
      <c r="AD73" s="172">
        <f ca="1">(VLOOKUP(AD$72,INDIRECT($C$5&amp;"生成成长"),2))/((VLOOKUP($B73,INDIRECT($B$5&amp;"生成成长"),4))/(VLOOKUP(AD$72,INDIRECT($C$5&amp;"生成成长"),5))*(VLOOKUP($B$5,标准坦克设计!$B$24:$U$30,MATCH("对"&amp;LEFT($C$5,2)&amp;"输出",标准坦克设计!$B$23:$U$23,0)))*(VLOOKUP($B73,INDIRECT($B$5&amp;"生成成长"),3))*(VLOOKUP($B$5,标准坦克设计!$B$14:$K$20,9)/30))</f>
        <v>51.20079178672934</v>
      </c>
      <c r="AE73" s="172">
        <f ca="1">(VLOOKUP(AE$72,INDIRECT($C$5&amp;"生成成长"),2))/((VLOOKUP($B73,INDIRECT($B$5&amp;"生成成长"),4))/(VLOOKUP(AE$72,INDIRECT($C$5&amp;"生成成长"),5))*(VLOOKUP($B$5,标准坦克设计!$B$24:$U$30,MATCH("对"&amp;LEFT($C$5,2)&amp;"输出",标准坦克设计!$B$23:$U$23,0)))*(VLOOKUP($B73,INDIRECT($B$5&amp;"生成成长"),3))*(VLOOKUP($B$5,标准坦克设计!$B$14:$K$20,9)/30))</f>
        <v>55.50155771438564</v>
      </c>
      <c r="AF73" s="172">
        <f ca="1">(VLOOKUP(AF$72,INDIRECT($C$5&amp;"生成成长"),2))/((VLOOKUP($B73,INDIRECT($B$5&amp;"生成成长"),4))/(VLOOKUP(AF$72,INDIRECT($C$5&amp;"生成成长"),5))*(VLOOKUP($B$5,标准坦克设计!$B$24:$U$30,MATCH("对"&amp;LEFT($C$5,2)&amp;"输出",标准坦克设计!$B$23:$U$23,0)))*(VLOOKUP($B73,INDIRECT($B$5&amp;"生成成长"),3))*(VLOOKUP($B$5,标准坦克设计!$B$14:$K$20,9)/30))</f>
        <v>59.975741622995841</v>
      </c>
      <c r="AG73" s="172">
        <f ca="1">(VLOOKUP(AG$72,INDIRECT($C$5&amp;"生成成长"),2))/((VLOOKUP($B73,INDIRECT($B$5&amp;"生成成长"),4))/(VLOOKUP(AG$72,INDIRECT($C$5&amp;"生成成长"),5))*(VLOOKUP($B$5,标准坦克设计!$B$24:$U$30,MATCH("对"&amp;LEFT($C$5,2)&amp;"输出",标准坦克设计!$B$23:$U$23,0)))*(VLOOKUP($B73,INDIRECT($B$5&amp;"生成成长"),3))*(VLOOKUP($B$5,标准坦克设计!$B$14:$K$20,9)/30))</f>
        <v>64.623343512559927</v>
      </c>
      <c r="AH73" s="172">
        <f ca="1">(VLOOKUP(AH$72,INDIRECT($C$5&amp;"生成成长"),2))/((VLOOKUP($B73,INDIRECT($B$5&amp;"生成成长"),4))/(VLOOKUP(AH$72,INDIRECT($C$5&amp;"生成成长"),5))*(VLOOKUP($B$5,标准坦克设计!$B$24:$U$30,MATCH("对"&amp;LEFT($C$5,2)&amp;"输出",标准坦克设计!$B$23:$U$23,0)))*(VLOOKUP($B73,INDIRECT($B$5&amp;"生成成长"),3))*(VLOOKUP($B$5,标准坦克设计!$B$14:$K$20,9)/30))</f>
        <v>69.444363383077871</v>
      </c>
      <c r="AI73" s="172">
        <f ca="1">(VLOOKUP(AI$72,INDIRECT($C$5&amp;"生成成长"),2))/((VLOOKUP($B73,INDIRECT($B$5&amp;"生成成长"),4))/(VLOOKUP(AI$72,INDIRECT($C$5&amp;"生成成长"),5))*(VLOOKUP($B$5,标准坦克设计!$B$24:$U$30,MATCH("对"&amp;LEFT($C$5,2)&amp;"输出",标准坦克设计!$B$23:$U$23,0)))*(VLOOKUP($B73,INDIRECT($B$5&amp;"生成成长"),3))*(VLOOKUP($B$5,标准坦克设计!$B$14:$K$20,9)/30))</f>
        <v>49.115440565758881</v>
      </c>
      <c r="AJ73" s="172">
        <f ca="1">(VLOOKUP(AJ$72,INDIRECT($C$5&amp;"生成成长"),2))/((VLOOKUP($B73,INDIRECT($B$5&amp;"生成成长"),4))/(VLOOKUP(AJ$72,INDIRECT($C$5&amp;"生成成长"),5))*(VLOOKUP($B$5,标准坦克设计!$B$24:$U$30,MATCH("对"&amp;LEFT($C$5,2)&amp;"输出",标准坦克设计!$B$23:$U$23,0)))*(VLOOKUP($B73,INDIRECT($B$5&amp;"生成成长"),3))*(VLOOKUP($B$5,标准坦克设计!$B$14:$K$20,9)/30))</f>
        <v>53.760441185608656</v>
      </c>
      <c r="AK73" s="172">
        <f ca="1">(VLOOKUP(AK$72,INDIRECT($C$5&amp;"生成成长"),2))/((VLOOKUP($B73,INDIRECT($B$5&amp;"生成成长"),4))/(VLOOKUP(AK$72,INDIRECT($C$5&amp;"生成成长"),5))*(VLOOKUP($B$5,标准坦克设计!$B$24:$U$30,MATCH("对"&amp;LEFT($C$5,2)&amp;"输出",标准坦克设计!$B$23:$U$23,0)))*(VLOOKUP($B73,INDIRECT($B$5&amp;"生成成长"),3))*(VLOOKUP($B$5,标准坦克设计!$B$14:$K$20,9)/30))</f>
        <v>58.615277562412622</v>
      </c>
      <c r="AL73" s="172">
        <f ca="1">(VLOOKUP(AL$72,INDIRECT($C$5&amp;"生成成长"),2))/((VLOOKUP($B73,INDIRECT($B$5&amp;"生成成长"),4))/(VLOOKUP(AL$72,INDIRECT($C$5&amp;"生成成长"),5))*(VLOOKUP($B$5,标准坦克设计!$B$24:$U$30,MATCH("对"&amp;LEFT($C$5,2)&amp;"输出",标准坦克设计!$B$23:$U$23,0)))*(VLOOKUP($B73,INDIRECT($B$5&amp;"生成成长"),3))*(VLOOKUP($B$5,标准坦克设计!$B$14:$K$20,9)/30))</f>
        <v>63.679949696170802</v>
      </c>
      <c r="AM73" s="172">
        <f ca="1">(VLOOKUP(AM$72,INDIRECT($C$5&amp;"生成成长"),2))/((VLOOKUP($B73,INDIRECT($B$5&amp;"生成成长"),4))/(VLOOKUP(AM$72,INDIRECT($C$5&amp;"生成成长"),5))*(VLOOKUP($B$5,标准坦克设计!$B$24:$U$30,MATCH("对"&amp;LEFT($C$5,2)&amp;"输出",标准坦克设计!$B$23:$U$23,0)))*(VLOOKUP($B73,INDIRECT($B$5&amp;"生成成长"),3))*(VLOOKUP($B$5,标准坦克设计!$B$14:$K$20,9)/30))</f>
        <v>68.954457586883152</v>
      </c>
      <c r="AN73" s="172">
        <f ca="1">(VLOOKUP(AN$72,INDIRECT($C$5&amp;"生成成长"),2))/((VLOOKUP($B73,INDIRECT($B$5&amp;"生成成长"),4))/(VLOOKUP(AN$72,INDIRECT($C$5&amp;"生成成长"),5))*(VLOOKUP($B$5,标准坦克设计!$B$24:$U$30,MATCH("对"&amp;LEFT($C$5,2)&amp;"输出",标准坦克设计!$B$23:$U$23,0)))*(VLOOKUP($B73,INDIRECT($B$5&amp;"生成成长"),3))*(VLOOKUP($B$5,标准坦克设计!$B$14:$K$20,9)/30))</f>
        <v>74.438801234549715</v>
      </c>
      <c r="AO73" s="172">
        <f ca="1">(VLOOKUP(AO$72,INDIRECT($C$5&amp;"生成成长"),2))/((VLOOKUP($B73,INDIRECT($B$5&amp;"生成成长"),4))/(VLOOKUP(AO$72,INDIRECT($C$5&amp;"生成成长"),5))*(VLOOKUP($B$5,标准坦克设计!$B$24:$U$30,MATCH("对"&amp;LEFT($C$5,2)&amp;"输出",标准坦克设计!$B$23:$U$23,0)))*(VLOOKUP($B73,INDIRECT($B$5&amp;"生成成长"),3))*(VLOOKUP($B$5,标准坦克设计!$B$14:$K$20,9)/30))</f>
        <v>80.132980639170484</v>
      </c>
      <c r="AP73" s="172">
        <f ca="1">(VLOOKUP(AP$72,INDIRECT($C$5&amp;"生成成长"),2))/((VLOOKUP($B73,INDIRECT($B$5&amp;"生成成长"),4))/(VLOOKUP(AP$72,INDIRECT($C$5&amp;"生成成长"),5))*(VLOOKUP($B$5,标准坦克设计!$B$24:$U$30,MATCH("对"&amp;LEFT($C$5,2)&amp;"输出",标准坦克设计!$B$23:$U$23,0)))*(VLOOKUP($B73,INDIRECT($B$5&amp;"生成成长"),3))*(VLOOKUP($B$5,标准坦克设计!$B$14:$K$20,9)/30))</f>
        <v>86.036995800745458</v>
      </c>
      <c r="AQ73" s="172">
        <f ca="1">(VLOOKUP(AQ$72,INDIRECT($C$5&amp;"生成成长"),2))/((VLOOKUP($B73,INDIRECT($B$5&amp;"生成成长"),4))/(VLOOKUP(AQ$72,INDIRECT($C$5&amp;"生成成长"),5))*(VLOOKUP($B$5,标准坦克设计!$B$24:$U$30,MATCH("对"&amp;LEFT($C$5,2)&amp;"输出",标准坦克设计!$B$23:$U$23,0)))*(VLOOKUP($B73,INDIRECT($B$5&amp;"生成成长"),3))*(VLOOKUP($B$5,标准坦克设计!$B$14:$K$20,9)/30))</f>
        <v>92.150846719274597</v>
      </c>
      <c r="AR73" s="172">
        <f ca="1">(VLOOKUP(AR$72,INDIRECT($C$5&amp;"生成成长"),2))/((VLOOKUP($B73,INDIRECT($B$5&amp;"生成成长"),4))/(VLOOKUP(AR$72,INDIRECT($C$5&amp;"生成成长"),5))*(VLOOKUP($B$5,标准坦克设计!$B$24:$U$30,MATCH("对"&amp;LEFT($C$5,2)&amp;"输出",标准坦克设计!$B$23:$U$23,0)))*(VLOOKUP($B73,INDIRECT($B$5&amp;"生成成长"),3))*(VLOOKUP($B$5,标准坦克设计!$B$14:$K$20,9)/30))</f>
        <v>98.474533394757998</v>
      </c>
      <c r="AS73" s="172">
        <f ca="1">(VLOOKUP(AS$72,INDIRECT($C$5&amp;"生成成长"),2))/((VLOOKUP($B73,INDIRECT($B$5&amp;"生成成长"),4))/(VLOOKUP(AS$72,INDIRECT($C$5&amp;"生成成长"),5))*(VLOOKUP($B$5,标准坦克设计!$B$24:$U$30,MATCH("对"&amp;LEFT($C$5,2)&amp;"输出",标准坦克设计!$B$23:$U$23,0)))*(VLOOKUP($B73,INDIRECT($B$5&amp;"生成成长"),3))*(VLOOKUP($B$5,标准坦克设计!$B$14:$K$20,9)/30))</f>
        <v>105.00805582719553</v>
      </c>
      <c r="AT73" s="172">
        <f ca="1">(VLOOKUP(AT$72,INDIRECT($C$5&amp;"生成成长"),2))/((VLOOKUP($B73,INDIRECT($B$5&amp;"生成成长"),4))/(VLOOKUP(AT$72,INDIRECT($C$5&amp;"生成成长"),5))*(VLOOKUP($B$5,标准坦克设计!$B$24:$U$30,MATCH("对"&amp;LEFT($C$5,2)&amp;"输出",标准坦克设计!$B$23:$U$23,0)))*(VLOOKUP($B73,INDIRECT($B$5&amp;"生成成长"),3))*(VLOOKUP($B$5,标准坦克设计!$B$14:$K$20,9)/30))</f>
        <v>111.75141401658729</v>
      </c>
      <c r="AU73" s="172">
        <f ca="1">(VLOOKUP(AU$72,INDIRECT($C$5&amp;"生成成长"),2))/((VLOOKUP($B73,INDIRECT($B$5&amp;"生成成长"),4))/(VLOOKUP(AU$72,INDIRECT($C$5&amp;"生成成长"),5))*(VLOOKUP($B$5,标准坦克设计!$B$24:$U$30,MATCH("对"&amp;LEFT($C$5,2)&amp;"输出",标准坦克设计!$B$23:$U$23,0)))*(VLOOKUP($B73,INDIRECT($B$5&amp;"生成成长"),3))*(VLOOKUP($B$5,标准坦克设计!$B$14:$K$20,9)/30))</f>
        <v>118.70460796293324</v>
      </c>
      <c r="AV73" s="172">
        <f ca="1">(VLOOKUP(AV$72,INDIRECT($C$5&amp;"生成成长"),2))/((VLOOKUP($B73,INDIRECT($B$5&amp;"生成成长"),4))/(VLOOKUP(AV$72,INDIRECT($C$5&amp;"生成成长"),5))*(VLOOKUP($B$5,标准坦克设计!$B$24:$U$30,MATCH("对"&amp;LEFT($C$5,2)&amp;"输出",标准坦克设计!$B$23:$U$23,0)))*(VLOOKUP($B73,INDIRECT($B$5&amp;"生成成长"),3))*(VLOOKUP($B$5,标准坦克设计!$B$14:$K$20,9)/30))</f>
        <v>12.073359834009368</v>
      </c>
      <c r="AW73" s="172">
        <f ca="1">(VLOOKUP(AW$72,INDIRECT($C$5&amp;"生成成长"),2))/((VLOOKUP($B73,INDIRECT($B$5&amp;"生成成长"),4))/(VLOOKUP(AW$72,INDIRECT($C$5&amp;"生成成长"),5))*(VLOOKUP($B$5,标准坦克设计!$B$24:$U$30,MATCH("对"&amp;LEFT($C$5,2)&amp;"输出",标准坦克设计!$B$23:$U$23,0)))*(VLOOKUP($B73,INDIRECT($B$5&amp;"生成成长"),3))*(VLOOKUP($B$5,标准坦克设计!$B$14:$K$20,9)/30))</f>
        <v>13.765919328119274</v>
      </c>
      <c r="AX73" s="172">
        <f ca="1">(VLOOKUP(AX$72,INDIRECT($C$5&amp;"生成成长"),2))/((VLOOKUP($B73,INDIRECT($B$5&amp;"生成成长"),4))/(VLOOKUP(AX$72,INDIRECT($C$5&amp;"生成成长"),5))*(VLOOKUP($B$5,标准坦克设计!$B$24:$U$30,MATCH("对"&amp;LEFT($C$5,2)&amp;"输出",标准坦克设计!$B$23:$U$23,0)))*(VLOOKUP($B73,INDIRECT($B$5&amp;"生成成长"),3))*(VLOOKUP($B$5,标准坦克设计!$B$14:$K$20,9)/30))</f>
        <v>15.56946633003966</v>
      </c>
      <c r="AY73" s="172">
        <f ca="1">(VLOOKUP(AY$72,INDIRECT($C$5&amp;"生成成长"),2))/((VLOOKUP($B73,INDIRECT($B$5&amp;"生成成长"),4))/(VLOOKUP(AY$72,INDIRECT($C$5&amp;"生成成长"),5))*(VLOOKUP($B$5,标准坦克设计!$B$24:$U$30,MATCH("对"&amp;LEFT($C$5,2)&amp;"输出",标准坦克设计!$B$23:$U$23,0)))*(VLOOKUP($B73,INDIRECT($B$5&amp;"生成成长"),3))*(VLOOKUP($B$5,标准坦克设计!$B$14:$K$20,9)/30))</f>
        <v>17.484000839770534</v>
      </c>
      <c r="AZ73" s="172">
        <f ca="1">(VLOOKUP(AZ$72,INDIRECT($C$5&amp;"生成成长"),2))/((VLOOKUP($B73,INDIRECT($B$5&amp;"生成成长"),4))/(VLOOKUP(AZ$72,INDIRECT($C$5&amp;"生成成长"),5))*(VLOOKUP($B$5,标准坦克设计!$B$24:$U$30,MATCH("对"&amp;LEFT($C$5,2)&amp;"输出",标准坦克设计!$B$23:$U$23,0)))*(VLOOKUP($B73,INDIRECT($B$5&amp;"生成成长"),3))*(VLOOKUP($B$5,标准坦克设计!$B$14:$K$20,9)/30))</f>
        <v>19.509522857311893</v>
      </c>
      <c r="BA73" s="172">
        <f ca="1">(VLOOKUP(BA$72,INDIRECT($C$5&amp;"生成成长"),2))/((VLOOKUP($B73,INDIRECT($B$5&amp;"生成成长"),4))/(VLOOKUP(BA$72,INDIRECT($C$5&amp;"生成成长"),5))*(VLOOKUP($B$5,标准坦克设计!$B$24:$U$30,MATCH("对"&amp;LEFT($C$5,2)&amp;"输出",标准坦克设计!$B$23:$U$23,0)))*(VLOOKUP($B73,INDIRECT($B$5&amp;"生成成长"),3))*(VLOOKUP($B$5,标准坦克设计!$B$14:$K$20,9)/30))</f>
        <v>21.646032382663741</v>
      </c>
      <c r="BB73" s="172">
        <f ca="1">(VLOOKUP(BB$72,INDIRECT($C$5&amp;"生成成长"),2))/((VLOOKUP($B73,INDIRECT($B$5&amp;"生成成长"),4))/(VLOOKUP(BB$72,INDIRECT($C$5&amp;"生成成长"),5))*(VLOOKUP($B$5,标准坦克设计!$B$24:$U$30,MATCH("对"&amp;LEFT($C$5,2)&amp;"输出",标准坦克设计!$B$23:$U$23,0)))*(VLOOKUP($B73,INDIRECT($B$5&amp;"生成成长"),3))*(VLOOKUP($B$5,标准坦克设计!$B$14:$K$20,9)/30))</f>
        <v>23.893529415826066</v>
      </c>
      <c r="BC73" s="172">
        <f ca="1">(VLOOKUP(BC$72,INDIRECT($C$5&amp;"生成成长"),2))/((VLOOKUP($B73,INDIRECT($B$5&amp;"生成成长"),4))/(VLOOKUP(BC$72,INDIRECT($C$5&amp;"生成成长"),5))*(VLOOKUP($B$5,标准坦克设计!$B$24:$U$30,MATCH("对"&amp;LEFT($C$5,2)&amp;"输出",标准坦克设计!$B$23:$U$23,0)))*(VLOOKUP($B73,INDIRECT($B$5&amp;"生成成长"),3))*(VLOOKUP($B$5,标准坦克设计!$B$14:$K$20,9)/30))</f>
        <v>26.252013956798883</v>
      </c>
      <c r="BD73" s="172">
        <f ca="1">(VLOOKUP(BD$72,INDIRECT($C$5&amp;"生成成长"),2))/((VLOOKUP($B73,INDIRECT($B$5&amp;"生成成长"),4))/(VLOOKUP(BD$72,INDIRECT($C$5&amp;"生成成长"),5))*(VLOOKUP($B$5,标准坦克设计!$B$24:$U$30,MATCH("对"&amp;LEFT($C$5,2)&amp;"输出",标准坦克设计!$B$23:$U$23,0)))*(VLOOKUP($B73,INDIRECT($B$5&amp;"生成成长"),3))*(VLOOKUP($B$5,标准坦克设计!$B$14:$K$20,9)/30))</f>
        <v>29.037973820823019</v>
      </c>
      <c r="BE73" s="172">
        <f ca="1">(VLOOKUP(BE$72,INDIRECT($C$5&amp;"生成成长"),2))/((VLOOKUP($B73,INDIRECT($B$5&amp;"生成成长"),4))/(VLOOKUP(BE$72,INDIRECT($C$5&amp;"生成成长"),5))*(VLOOKUP($B$5,标准坦克设计!$B$24:$U$30,MATCH("对"&amp;LEFT($C$5,2)&amp;"输出",标准坦克设计!$B$23:$U$23,0)))*(VLOOKUP($B73,INDIRECT($B$5&amp;"生成成长"),3))*(VLOOKUP($B$5,标准坦克设计!$B$14:$K$20,9)/30))</f>
        <v>31.964402249419805</v>
      </c>
      <c r="BF73" s="172">
        <f ca="1">(VLOOKUP(BF$72,INDIRECT($C$5&amp;"生成成长"),2))/((VLOOKUP($B73,INDIRECT($B$5&amp;"生成成长"),4))/(VLOOKUP(BF$72,INDIRECT($C$5&amp;"生成成长"),5))*(VLOOKUP($B$5,标准坦克设计!$B$24:$U$30,MATCH("对"&amp;LEFT($C$5,2)&amp;"输出",标准坦克设计!$B$23:$U$23,0)))*(VLOOKUP($B73,INDIRECT($B$5&amp;"生成成长"),3))*(VLOOKUP($B$5,标准坦克设计!$B$14:$K$20,9)/30))</f>
        <v>35.031299242589235</v>
      </c>
      <c r="BG73" s="172">
        <f ca="1">(VLOOKUP(BG$72,INDIRECT($C$5&amp;"生成成长"),2))/((VLOOKUP($B73,INDIRECT($B$5&amp;"生成成长"),4))/(VLOOKUP(BG$72,INDIRECT($C$5&amp;"生成成长"),5))*(VLOOKUP($B$5,标准坦克设计!$B$24:$U$30,MATCH("对"&amp;LEFT($C$5,2)&amp;"输出",标准坦克设计!$B$23:$U$23,0)))*(VLOOKUP($B73,INDIRECT($B$5&amp;"生成成长"),3))*(VLOOKUP($B$5,标准坦克设计!$B$14:$K$20,9)/30))</f>
        <v>38.238664800331321</v>
      </c>
      <c r="BH73" s="172">
        <f ca="1">(VLOOKUP(BH$72,INDIRECT($C$5&amp;"生成成长"),2))/((VLOOKUP($B73,INDIRECT($B$5&amp;"生成成长"),4))/(VLOOKUP(BH$72,INDIRECT($C$5&amp;"生成成长"),5))*(VLOOKUP($B$5,标准坦克设计!$B$24:$U$30,MATCH("对"&amp;LEFT($C$5,2)&amp;"输出",标准坦克设计!$B$23:$U$23,0)))*(VLOOKUP($B73,INDIRECT($B$5&amp;"生成成长"),3))*(VLOOKUP($B$5,标准坦克设计!$B$14:$K$20,9)/30))</f>
        <v>18.482888410064902</v>
      </c>
      <c r="BI73" s="172">
        <f ca="1">(VLOOKUP(BI$72,INDIRECT($C$5&amp;"生成成长"),2))/((VLOOKUP($B73,INDIRECT($B$5&amp;"生成成长"),4))/(VLOOKUP(BI$72,INDIRECT($C$5&amp;"生成成长"),5))*(VLOOKUP($B$5,标准坦克设计!$B$24:$U$30,MATCH("对"&amp;LEFT($C$5,2)&amp;"输出",标准坦克设计!$B$23:$U$23,0)))*(VLOOKUP($B73,INDIRECT($B$5&amp;"生成成长"),3))*(VLOOKUP($B$5,标准坦克设计!$B$14:$K$20,9)/30))</f>
        <v>20.831834962085257</v>
      </c>
      <c r="BJ73" s="172">
        <f ca="1">(VLOOKUP(BJ$72,INDIRECT($C$5&amp;"生成成长"),2))/((VLOOKUP($B73,INDIRECT($B$5&amp;"生成成长"),4))/(VLOOKUP(BJ$72,INDIRECT($C$5&amp;"生成成长"),5))*(VLOOKUP($B$5,标准坦克设计!$B$24:$U$30,MATCH("对"&amp;LEFT($C$5,2)&amp;"输出",标准坦克设计!$B$23:$U$23,0)))*(VLOOKUP($B73,INDIRECT($B$5&amp;"生成成长"),3))*(VLOOKUP($B$5,标准坦克设计!$B$14:$K$20,9)/30))</f>
        <v>23.321250078678254</v>
      </c>
      <c r="BK73" s="172">
        <f ca="1">(VLOOKUP(BK$72,INDIRECT($C$5&amp;"生成成长"),2))/((VLOOKUP($B73,INDIRECT($B$5&amp;"生成成长"),4))/(VLOOKUP(BK$72,INDIRECT($C$5&amp;"生成成长"),5))*(VLOOKUP($B$5,标准坦克设计!$B$24:$U$30,MATCH("对"&amp;LEFT($C$5,2)&amp;"输出",标准坦克设计!$B$23:$U$23,0)))*(VLOOKUP($B73,INDIRECT($B$5&amp;"生成成长"),3))*(VLOOKUP($B$5,标准坦克设计!$B$14:$K$20,9)/30))</f>
        <v>25.951133759843895</v>
      </c>
      <c r="BL73" s="172">
        <f ca="1">(VLOOKUP(BL$72,INDIRECT($C$5&amp;"生成成长"),2))/((VLOOKUP($B73,INDIRECT($B$5&amp;"生成成长"),4))/(VLOOKUP(BL$72,INDIRECT($C$5&amp;"生成成长"),5))*(VLOOKUP($B$5,标准坦克设计!$B$24:$U$30,MATCH("对"&amp;LEFT($C$5,2)&amp;"输出",标准坦克设计!$B$23:$U$23,0)))*(VLOOKUP($B73,INDIRECT($B$5&amp;"生成成长"),3))*(VLOOKUP($B$5,标准坦克设计!$B$14:$K$20,9)/30))</f>
        <v>28.721486005582182</v>
      </c>
      <c r="BM73" s="172">
        <f ca="1">(VLOOKUP(BM$72,INDIRECT($C$5&amp;"生成成长"),2))/((VLOOKUP($B73,INDIRECT($B$5&amp;"生成成长"),4))/(VLOOKUP(BM$72,INDIRECT($C$5&amp;"生成成长"),5))*(VLOOKUP($B$5,标准坦克设计!$B$24:$U$30,MATCH("对"&amp;LEFT($C$5,2)&amp;"输出",标准坦克设计!$B$23:$U$23,0)))*(VLOOKUP($B73,INDIRECT($B$5&amp;"生成成长"),3))*(VLOOKUP($B$5,标准坦克设计!$B$14:$K$20,9)/30))</f>
        <v>31.63230681589312</v>
      </c>
      <c r="BN73" s="172">
        <f ca="1">(VLOOKUP(BN$72,INDIRECT($C$5&amp;"生成成长"),2))/((VLOOKUP($B73,INDIRECT($B$5&amp;"生成成长"),4))/(VLOOKUP(BN$72,INDIRECT($C$5&amp;"生成成长"),5))*(VLOOKUP($B$5,标准坦克设计!$B$24:$U$30,MATCH("对"&amp;LEFT($C$5,2)&amp;"输出",标准坦克设计!$B$23:$U$23,0)))*(VLOOKUP($B73,INDIRECT($B$5&amp;"生成成长"),3))*(VLOOKUP($B$5,标准坦克设计!$B$14:$K$20,9)/30))</f>
        <v>34.683596190776697</v>
      </c>
      <c r="BO73" s="172">
        <f ca="1">(VLOOKUP(BO$72,INDIRECT($C$5&amp;"生成成长"),2))/((VLOOKUP($B73,INDIRECT($B$5&amp;"生成成长"),4))/(VLOOKUP(BO$72,INDIRECT($C$5&amp;"生成成长"),5))*(VLOOKUP($B$5,标准坦克设计!$B$24:$U$30,MATCH("对"&amp;LEFT($C$5,2)&amp;"输出",标准坦克设计!$B$23:$U$23,0)))*(VLOOKUP($B73,INDIRECT($B$5&amp;"生成成长"),3))*(VLOOKUP($B$5,标准坦克设计!$B$14:$K$20,9)/30))</f>
        <v>37.875354130232928</v>
      </c>
      <c r="BP73" s="172">
        <f ca="1">(VLOOKUP(BP$72,INDIRECT($C$5&amp;"生成成长"),2))/((VLOOKUP($B73,INDIRECT($B$5&amp;"生成成长"),4))/(VLOOKUP(BP$72,INDIRECT($C$5&amp;"生成成长"),5))*(VLOOKUP($B$5,标准坦克设计!$B$24:$U$30,MATCH("对"&amp;LEFT($C$5,2)&amp;"输出",标准坦克设计!$B$23:$U$23,0)))*(VLOOKUP($B73,INDIRECT($B$5&amp;"生成成长"),3))*(VLOOKUP($B$5,标准坦克设计!$B$14:$K$20,9)/30))</f>
        <v>41.207580634261795</v>
      </c>
      <c r="BQ73" s="172">
        <f ca="1">(VLOOKUP(BQ$72,INDIRECT($C$5&amp;"生成成长"),2))/((VLOOKUP($B73,INDIRECT($B$5&amp;"生成成长"),4))/(VLOOKUP(BQ$72,INDIRECT($C$5&amp;"生成成长"),5))*(VLOOKUP($B$5,标准坦克设计!$B$24:$U$30,MATCH("对"&amp;LEFT($C$5,2)&amp;"输出",标准坦克设计!$B$23:$U$23,0)))*(VLOOKUP($B73,INDIRECT($B$5&amp;"生成成长"),3))*(VLOOKUP($B$5,标准坦克设计!$B$14:$K$20,9)/30))</f>
        <v>44.68027570286332</v>
      </c>
      <c r="BR73" s="172">
        <f ca="1">(VLOOKUP(BR$72,INDIRECT($C$5&amp;"生成成长"),2))/((VLOOKUP($B73,INDIRECT($B$5&amp;"生成成长"),4))/(VLOOKUP(BR$72,INDIRECT($C$5&amp;"生成成长"),5))*(VLOOKUP($B$5,标准坦克设计!$B$24:$U$30,MATCH("对"&amp;LEFT($C$5,2)&amp;"输出",标准坦克设计!$B$23:$U$23,0)))*(VLOOKUP($B73,INDIRECT($B$5&amp;"生成成长"),3))*(VLOOKUP($B$5,标准坦克设计!$B$14:$K$20,9)/30))</f>
        <v>48.703572860993411</v>
      </c>
      <c r="BS73" s="172">
        <f ca="1">(VLOOKUP(BS$72,INDIRECT($C$5&amp;"生成成长"),2))/((VLOOKUP($B73,INDIRECT($B$5&amp;"生成成长"),4))/(VLOOKUP(BS$72,INDIRECT($C$5&amp;"生成成长"),5))*(VLOOKUP($B$5,标准坦克设计!$B$24:$U$30,MATCH("对"&amp;LEFT($C$5,2)&amp;"输出",标准坦克设计!$B$23:$U$23,0)))*(VLOOKUP($B73,INDIRECT($B$5&amp;"生成成长"),3))*(VLOOKUP($B$5,标准坦克设计!$B$14:$K$20,9)/30))</f>
        <v>52.900288000077389</v>
      </c>
      <c r="BT73" s="172">
        <f ca="1">(VLOOKUP(BT$72,INDIRECT($C$5&amp;"生成成长"),2))/((VLOOKUP($B73,INDIRECT($B$5&amp;"生成成长"),4))/(VLOOKUP(BT$72,INDIRECT($C$5&amp;"生成成长"),5))*(VLOOKUP($B$5,标准坦克设计!$B$24:$U$30,MATCH("对"&amp;LEFT($C$5,2)&amp;"输出",标准坦克设计!$B$23:$U$23,0)))*(VLOOKUP($B73,INDIRECT($B$5&amp;"生成成长"),3))*(VLOOKUP($B$5,标准坦克设计!$B$14:$K$20,9)/30))</f>
        <v>57.270421120115259</v>
      </c>
      <c r="BU73" s="172">
        <f ca="1">(VLOOKUP(BU$72,INDIRECT($C$5&amp;"生成成长"),2))/((VLOOKUP($B73,INDIRECT($B$5&amp;"生成成长"),4))/(VLOOKUP(BU$72,INDIRECT($C$5&amp;"生成成长"),5))*(VLOOKUP($B$5,标准坦克设计!$B$24:$U$30,MATCH("对"&amp;LEFT($C$5,2)&amp;"输出",标准坦克设计!$B$23:$U$23,0)))*(VLOOKUP($B73,INDIRECT($B$5&amp;"生成成长"),3))*(VLOOKUP($B$5,标准坦克设计!$B$14:$K$20,9)/30))</f>
        <v>61.813972221106994</v>
      </c>
      <c r="BV73" s="172">
        <f ca="1">(VLOOKUP(BV$72,INDIRECT($C$5&amp;"生成成长"),2))/((VLOOKUP($B73,INDIRECT($B$5&amp;"生成成长"),4))/(VLOOKUP(BV$72,INDIRECT($C$5&amp;"生成成长"),5))*(VLOOKUP($B$5,标准坦克设计!$B$24:$U$30,MATCH("对"&amp;LEFT($C$5,2)&amp;"输出",标准坦克设计!$B$23:$U$23,0)))*(VLOOKUP($B73,INDIRECT($B$5&amp;"生成成长"),3))*(VLOOKUP($B$5,标准坦克设计!$B$14:$K$20,9)/30))</f>
        <v>66.530941303052629</v>
      </c>
      <c r="BW73" s="172">
        <f ca="1">(VLOOKUP(BW$72,INDIRECT($C$5&amp;"生成成长"),2))/((VLOOKUP($B73,INDIRECT($B$5&amp;"生成成长"),4))/(VLOOKUP(BW$72,INDIRECT($C$5&amp;"生成成长"),5))*(VLOOKUP($B$5,标准坦克设计!$B$24:$U$30,MATCH("对"&amp;LEFT($C$5,2)&amp;"输出",标准坦克设计!$B$23:$U$23,0)))*(VLOOKUP($B73,INDIRECT($B$5&amp;"生成成长"),3))*(VLOOKUP($B$5,标准坦克设计!$B$14:$K$20,9)/30))</f>
        <v>30.321266879881762</v>
      </c>
      <c r="BX73" s="172">
        <f ca="1">(VLOOKUP(BX$72,INDIRECT($C$5&amp;"生成成长"),2))/((VLOOKUP($B73,INDIRECT($B$5&amp;"生成成长"),4))/(VLOOKUP(BX$72,INDIRECT($C$5&amp;"生成成长"),5))*(VLOOKUP($B$5,标准坦克设计!$B$24:$U$30,MATCH("对"&amp;LEFT($C$5,2)&amp;"输出",标准坦克设计!$B$23:$U$23,0)))*(VLOOKUP($B73,INDIRECT($B$5&amp;"生成成长"),3))*(VLOOKUP($B$5,标准坦克设计!$B$14:$K$20,9)/30))</f>
        <v>33.650892114196324</v>
      </c>
      <c r="BY73" s="172">
        <f ca="1">(VLOOKUP(BY$72,INDIRECT($C$5&amp;"生成成长"),2))/((VLOOKUP($B73,INDIRECT($B$5&amp;"生成成长"),4))/(VLOOKUP(BY$72,INDIRECT($C$5&amp;"生成成长"),5))*(VLOOKUP($B$5,标准坦克设计!$B$24:$U$30,MATCH("对"&amp;LEFT($C$5,2)&amp;"输出",标准坦克设计!$B$23:$U$23,0)))*(VLOOKUP($B73,INDIRECT($B$5&amp;"生成成长"),3))*(VLOOKUP($B$5,标准坦克设计!$B$14:$K$20,9)/30))</f>
        <v>37.153935329464773</v>
      </c>
      <c r="BZ73" s="172">
        <f ca="1">(VLOOKUP(BZ$72,INDIRECT($C$5&amp;"生成成长"),2))/((VLOOKUP($B73,INDIRECT($B$5&amp;"生成成长"),4))/(VLOOKUP(BZ$72,INDIRECT($C$5&amp;"生成成长"),5))*(VLOOKUP($B$5,标准坦克设计!$B$24:$U$30,MATCH("对"&amp;LEFT($C$5,2)&amp;"输出",标准坦克设计!$B$23:$U$23,0)))*(VLOOKUP($B73,INDIRECT($B$5&amp;"生成成长"),3))*(VLOOKUP($B$5,标准坦克设计!$B$14:$K$20,9)/30))</f>
        <v>40.8303965256871</v>
      </c>
      <c r="CA73" s="172">
        <f ca="1">(VLOOKUP(CA$72,INDIRECT($C$5&amp;"生成成长"),2))/((VLOOKUP($B73,INDIRECT($B$5&amp;"生成成长"),4))/(VLOOKUP(CA$72,INDIRECT($C$5&amp;"生成成长"),5))*(VLOOKUP($B$5,标准坦克设计!$B$24:$U$30,MATCH("对"&amp;LEFT($C$5,2)&amp;"输出",标准坦克设计!$B$23:$U$23,0)))*(VLOOKUP($B73,INDIRECT($B$5&amp;"生成成长"),3))*(VLOOKUP($B$5,标准坦克设计!$B$14:$K$20,9)/30))</f>
        <v>44.68027570286332</v>
      </c>
      <c r="CB73" s="172">
        <f ca="1">(VLOOKUP(CB$72,INDIRECT($C$5&amp;"生成成长"),2))/((VLOOKUP($B73,INDIRECT($B$5&amp;"生成成长"),4))/(VLOOKUP(CB$72,INDIRECT($C$5&amp;"生成成长"),5))*(VLOOKUP($B$5,标准坦克设计!$B$24:$U$30,MATCH("对"&amp;LEFT($C$5,2)&amp;"输出",标准坦克设计!$B$23:$U$23,0)))*(VLOOKUP($B73,INDIRECT($B$5&amp;"生成成长"),3))*(VLOOKUP($B$5,标准坦克设计!$B$14:$K$20,9)/30))</f>
        <v>48.703572860993411</v>
      </c>
      <c r="CC73" s="172">
        <f ca="1">(VLOOKUP(CC$72,INDIRECT($C$5&amp;"生成成长"),2))/((VLOOKUP($B73,INDIRECT($B$5&amp;"生成成长"),4))/(VLOOKUP(CC$72,INDIRECT($C$5&amp;"生成成长"),5))*(VLOOKUP($B$5,标准坦克设计!$B$24:$U$30,MATCH("对"&amp;LEFT($C$5,2)&amp;"输出",标准坦克设计!$B$23:$U$23,0)))*(VLOOKUP($B73,INDIRECT($B$5&amp;"生成成长"),3))*(VLOOKUP($B$5,标准坦克设计!$B$14:$K$20,9)/30))</f>
        <v>52.900288000077389</v>
      </c>
      <c r="CD73" s="172">
        <f ca="1">(VLOOKUP(CD$72,INDIRECT($C$5&amp;"生成成长"),2))/((VLOOKUP($B73,INDIRECT($B$5&amp;"生成成长"),4))/(VLOOKUP(CD$72,INDIRECT($C$5&amp;"生成成长"),5))*(VLOOKUP($B$5,标准坦克设计!$B$24:$U$30,MATCH("对"&amp;LEFT($C$5,2)&amp;"输出",标准坦克设计!$B$23:$U$23,0)))*(VLOOKUP($B73,INDIRECT($B$5&amp;"生成成长"),3))*(VLOOKUP($B$5,标准坦克设计!$B$14:$K$20,9)/30))</f>
        <v>57.270421120115259</v>
      </c>
      <c r="CE73" s="172">
        <f ca="1">(VLOOKUP(CE$72,INDIRECT($C$5&amp;"生成成长"),2))/((VLOOKUP($B73,INDIRECT($B$5&amp;"生成成长"),4))/(VLOOKUP(CE$72,INDIRECT($C$5&amp;"生成成长"),5))*(VLOOKUP($B$5,标准坦克设计!$B$24:$U$30,MATCH("对"&amp;LEFT($C$5,2)&amp;"输出",标准坦克设计!$B$23:$U$23,0)))*(VLOOKUP($B73,INDIRECT($B$5&amp;"生成成长"),3))*(VLOOKUP($B$5,标准坦克设计!$B$14:$K$20,9)/30))</f>
        <v>61.813972221106994</v>
      </c>
      <c r="CF73" s="172">
        <f ca="1">(VLOOKUP(CF$72,INDIRECT($C$5&amp;"生成成长"),2))/((VLOOKUP($B73,INDIRECT($B$5&amp;"生成成长"),4))/(VLOOKUP(CF$72,INDIRECT($C$5&amp;"生成成长"),5))*(VLOOKUP($B$5,标准坦克设计!$B$24:$U$30,MATCH("对"&amp;LEFT($C$5,2)&amp;"输出",标准坦克设计!$B$23:$U$23,0)))*(VLOOKUP($B73,INDIRECT($B$5&amp;"生成成长"),3))*(VLOOKUP($B$5,标准坦克设计!$B$14:$K$20,9)/30))</f>
        <v>66.530941303052629</v>
      </c>
      <c r="CG73" s="172">
        <f ca="1">(VLOOKUP(CG$72,INDIRECT($C$5&amp;"生成成长"),2))/((VLOOKUP($B73,INDIRECT($B$5&amp;"生成成长"),4))/(VLOOKUP(CG$72,INDIRECT($C$5&amp;"生成成长"),5))*(VLOOKUP($B$5,标准坦克设计!$B$24:$U$30,MATCH("对"&amp;LEFT($C$5,2)&amp;"输出",标准坦克设计!$B$23:$U$23,0)))*(VLOOKUP($B73,INDIRECT($B$5&amp;"生成成长"),3))*(VLOOKUP($B$5,标准坦克设计!$B$14:$K$20,9)/30))</f>
        <v>71.421328365952135</v>
      </c>
      <c r="CH73" s="172">
        <f ca="1">(VLOOKUP(CH$72,INDIRECT($C$5&amp;"生成成长"),2))/((VLOOKUP($B73,INDIRECT($B$5&amp;"生成成长"),4))/(VLOOKUP(CH$72,INDIRECT($C$5&amp;"生成成长"),5))*(VLOOKUP($B$5,标准坦克设计!$B$24:$U$30,MATCH("对"&amp;LEFT($C$5,2)&amp;"输出",标准坦克设计!$B$23:$U$23,0)))*(VLOOKUP($B73,INDIRECT($B$5&amp;"生成成长"),3))*(VLOOKUP($B$5,标准坦克设计!$B$14:$K$20,9)/30))</f>
        <v>76.485133409805528</v>
      </c>
      <c r="CI73" s="172">
        <f ca="1">(VLOOKUP(CI$72,INDIRECT($C$5&amp;"生成成长"),2))/((VLOOKUP($B73,INDIRECT($B$5&amp;"生成成长"),4))/(VLOOKUP(CI$72,INDIRECT($C$5&amp;"生成成长"),5))*(VLOOKUP($B$5,标准坦克设计!$B$24:$U$30,MATCH("对"&amp;LEFT($C$5,2)&amp;"输出",标准坦克设计!$B$23:$U$23,0)))*(VLOOKUP($B73,INDIRECT($B$5&amp;"生成成长"),3))*(VLOOKUP($B$5,标准坦克设计!$B$14:$K$20,9)/30))</f>
        <v>82.255616726046028</v>
      </c>
      <c r="CJ73" s="172">
        <f ca="1">(VLOOKUP(CJ$72,INDIRECT($C$5&amp;"生成成长"),2))/((VLOOKUP($B73,INDIRECT($B$5&amp;"生成成长"),4))/(VLOOKUP(CJ$72,INDIRECT($C$5&amp;"生成成长"),5))*(VLOOKUP($B$5,标准坦克设计!$B$24:$U$30,MATCH("对"&amp;LEFT($C$5,2)&amp;"输出",标准坦克设计!$B$23:$U$23,0)))*(VLOOKUP($B73,INDIRECT($B$5&amp;"生成成长"),3))*(VLOOKUP($B$5,标准坦克设计!$B$14:$K$20,9)/30))</f>
        <v>88.235935799240679</v>
      </c>
      <c r="CK73" s="172">
        <f ca="1">(VLOOKUP(CK$72,INDIRECT($C$5&amp;"生成成长"),2))/((VLOOKUP($B73,INDIRECT($B$5&amp;"生成成长"),4))/(VLOOKUP(CK$72,INDIRECT($C$5&amp;"生成成长"),5))*(VLOOKUP($B$5,标准坦克设计!$B$24:$U$30,MATCH("对"&amp;LEFT($C$5,2)&amp;"输出",标准坦克设计!$B$23:$U$23,0)))*(VLOOKUP($B73,INDIRECT($B$5&amp;"生成成长"),3))*(VLOOKUP($B$5,标准坦克设计!$B$14:$K$20,9)/30))</f>
        <v>94.426090629389563</v>
      </c>
      <c r="CL73" s="172">
        <f ca="1">(VLOOKUP(CL$72,INDIRECT($C$5&amp;"生成成长"),2))/((VLOOKUP($B73,INDIRECT($B$5&amp;"生成成长"),4))/(VLOOKUP(CL$72,INDIRECT($C$5&amp;"生成成长"),5))*(VLOOKUP($B$5,标准坦克设计!$B$24:$U$30,MATCH("对"&amp;LEFT($C$5,2)&amp;"输出",标准坦克设计!$B$23:$U$23,0)))*(VLOOKUP($B73,INDIRECT($B$5&amp;"生成成长"),3))*(VLOOKUP($B$5,标准坦克设计!$B$14:$K$20,9)/30))</f>
        <v>100.82608121649263</v>
      </c>
      <c r="CM73" s="172">
        <f ca="1">(VLOOKUP(CM$72,INDIRECT($C$5&amp;"生成成长"),2))/((VLOOKUP($B73,INDIRECT($B$5&amp;"生成成长"),4))/(VLOOKUP(CM$72,INDIRECT($C$5&amp;"生成成长"),5))*(VLOOKUP($B$5,标准坦克设计!$B$24:$U$30,MATCH("对"&amp;LEFT($C$5,2)&amp;"输出",标准坦克设计!$B$23:$U$23,0)))*(VLOOKUP($B73,INDIRECT($B$5&amp;"生成成长"),3))*(VLOOKUP($B$5,标准坦克设计!$B$14:$K$20,9)/30))</f>
        <v>107.43590756054989</v>
      </c>
      <c r="CN73" s="172">
        <f ca="1">(VLOOKUP(CN$72,INDIRECT($C$5&amp;"生成成长"),2))/((VLOOKUP($B73,INDIRECT($B$5&amp;"生成成长"),4))/(VLOOKUP(CN$72,INDIRECT($C$5&amp;"生成成长"),5))*(VLOOKUP($B$5,标准坦克设计!$B$24:$U$30,MATCH("对"&amp;LEFT($C$5,2)&amp;"输出",标准坦克设计!$B$23:$U$23,0)))*(VLOOKUP($B73,INDIRECT($B$5&amp;"生成成长"),3))*(VLOOKUP($B$5,标准坦克设计!$B$14:$K$20,9)/30))</f>
        <v>114.25556966156137</v>
      </c>
      <c r="CO73" s="172">
        <f ca="1">(VLOOKUP(CO$72,INDIRECT($C$5&amp;"生成成长"),2))/((VLOOKUP($B73,INDIRECT($B$5&amp;"生成成长"),4))/(VLOOKUP(CO$72,INDIRECT($C$5&amp;"生成成长"),5))*(VLOOKUP($B$5,标准坦克设计!$B$24:$U$30,MATCH("对"&amp;LEFT($C$5,2)&amp;"输出",标准坦克设计!$B$23:$U$23,0)))*(VLOOKUP($B73,INDIRECT($B$5&amp;"生成成长"),3))*(VLOOKUP($B$5,标准坦克设计!$B$14:$K$20,9)/30))</f>
        <v>51.20079178672934</v>
      </c>
      <c r="CP73" s="172">
        <f ca="1">(VLOOKUP(CP$72,INDIRECT($C$5&amp;"生成成长"),2))/((VLOOKUP($B73,INDIRECT($B$5&amp;"生成成长"),4))/(VLOOKUP(CP$72,INDIRECT($C$5&amp;"生成成长"),5))*(VLOOKUP($B$5,标准坦克设计!$B$24:$U$30,MATCH("对"&amp;LEFT($C$5,2)&amp;"输出",标准坦克设计!$B$23:$U$23,0)))*(VLOOKUP($B73,INDIRECT($B$5&amp;"生成成长"),3))*(VLOOKUP($B$5,标准坦克设计!$B$14:$K$20,9)/30))</f>
        <v>55.941172296103737</v>
      </c>
      <c r="CQ73" s="172">
        <f ca="1">(VLOOKUP(CQ$72,INDIRECT($C$5&amp;"生成成长"),2))/((VLOOKUP($B73,INDIRECT($B$5&amp;"生成成长"),4))/(VLOOKUP(CQ$72,INDIRECT($C$5&amp;"生成成长"),5))*(VLOOKUP($B$5,标准坦克设计!$B$24:$U$30,MATCH("对"&amp;LEFT($C$5,2)&amp;"输出",标准坦克设计!$B$23:$U$23,0)))*(VLOOKUP($B73,INDIRECT($B$5&amp;"生成成长"),3))*(VLOOKUP($B$5,标准坦克设计!$B$14:$K$20,9)/30))</f>
        <v>60.89138856243234</v>
      </c>
      <c r="CR73" s="172">
        <f ca="1">(VLOOKUP(CR$72,INDIRECT($C$5&amp;"生成成长"),2))/((VLOOKUP($B73,INDIRECT($B$5&amp;"生成成长"),4))/(VLOOKUP(CR$72,INDIRECT($C$5&amp;"生成成长"),5))*(VLOOKUP($B$5,标准坦克设计!$B$24:$U$30,MATCH("对"&amp;LEFT($C$5,2)&amp;"输出",标准坦克设计!$B$23:$U$23,0)))*(VLOOKUP($B73,INDIRECT($B$5&amp;"生成成长"),3))*(VLOOKUP($B$5,标准坦克设计!$B$14:$K$20,9)/30))</f>
        <v>66.051440585715142</v>
      </c>
      <c r="CS73" s="172">
        <f ca="1">(VLOOKUP(CS$72,INDIRECT($C$5&amp;"生成成长"),2))/((VLOOKUP($B73,INDIRECT($B$5&amp;"生成成长"),4))/(VLOOKUP(CS$72,INDIRECT($C$5&amp;"生成成长"),5))*(VLOOKUP($B$5,标准坦克设计!$B$24:$U$30,MATCH("对"&amp;LEFT($C$5,2)&amp;"输出",标准坦克设计!$B$23:$U$23,0)))*(VLOOKUP($B73,INDIRECT($B$5&amp;"生成成长"),3))*(VLOOKUP($B$5,标准坦克设计!$B$14:$K$20,9)/30))</f>
        <v>71.421328365952135</v>
      </c>
      <c r="CT73" s="172">
        <f ca="1">(VLOOKUP(CT$72,INDIRECT($C$5&amp;"生成成长"),2))/((VLOOKUP($B73,INDIRECT($B$5&amp;"生成成长"),4))/(VLOOKUP(CT$72,INDIRECT($C$5&amp;"生成成长"),5))*(VLOOKUP($B$5,标准坦克设计!$B$24:$U$30,MATCH("对"&amp;LEFT($C$5,2)&amp;"输出",标准坦克设计!$B$23:$U$23,0)))*(VLOOKUP($B73,INDIRECT($B$5&amp;"生成成长"),3))*(VLOOKUP($B$5,标准坦克设计!$B$14:$K$20,9)/30))</f>
        <v>77.001051903143363</v>
      </c>
      <c r="CU73" s="172">
        <f ca="1">(VLOOKUP(CU$72,INDIRECT($C$5&amp;"生成成长"),2))/((VLOOKUP($B73,INDIRECT($B$5&amp;"生成成长"),4))/(VLOOKUP(CU$72,INDIRECT($C$5&amp;"生成成长"),5))*(VLOOKUP($B$5,标准坦克设计!$B$24:$U$30,MATCH("对"&amp;LEFT($C$5,2)&amp;"输出",标准坦克设计!$B$23:$U$23,0)))*(VLOOKUP($B73,INDIRECT($B$5&amp;"生成成长"),3))*(VLOOKUP($B$5,标准坦克设计!$B$14:$K$20,9)/30))</f>
        <v>82.790611197288754</v>
      </c>
      <c r="CV73" s="172">
        <f ca="1">(VLOOKUP(CV$72,INDIRECT($C$5&amp;"生成成长"),2))/((VLOOKUP($B73,INDIRECT($B$5&amp;"生成成长"),4))/(VLOOKUP(CV$72,INDIRECT($C$5&amp;"生成成长"),5))*(VLOOKUP($B$5,标准坦克设计!$B$24:$U$30,MATCH("对"&amp;LEFT($C$5,2)&amp;"输出",标准坦克设计!$B$23:$U$23,0)))*(VLOOKUP($B73,INDIRECT($B$5&amp;"生成成长"),3))*(VLOOKUP($B$5,标准坦克设计!$B$14:$K$20,9)/30))</f>
        <v>88.790006248388352</v>
      </c>
      <c r="CW73" s="172">
        <f ca="1">(VLOOKUP(CW$72,INDIRECT($C$5&amp;"生成成长"),2))/((VLOOKUP($B73,INDIRECT($B$5&amp;"生成成长"),4))/(VLOOKUP(CW$72,INDIRECT($C$5&amp;"生成成长"),5))*(VLOOKUP($B$5,标准坦克设计!$B$24:$U$30,MATCH("对"&amp;LEFT($C$5,2)&amp;"输出",标准坦克设计!$B$23:$U$23,0)))*(VLOOKUP($B73,INDIRECT($B$5&amp;"生成成长"),3))*(VLOOKUP($B$5,标准坦克设计!$B$14:$K$20,9)/30))</f>
        <v>94.999237056442155</v>
      </c>
      <c r="CX73" s="172">
        <f ca="1">(VLOOKUP(CX$72,INDIRECT($C$5&amp;"生成成长"),2))/((VLOOKUP($B73,INDIRECT($B$5&amp;"生成成长"),4))/(VLOOKUP(CX$72,INDIRECT($C$5&amp;"生成成长"),5))*(VLOOKUP($B$5,标准坦克设计!$B$24:$U$30,MATCH("对"&amp;LEFT($C$5,2)&amp;"输出",标准坦克设计!$B$23:$U$23,0)))*(VLOOKUP($B73,INDIRECT($B$5&amp;"生成成长"),3))*(VLOOKUP($B$5,标准坦克设计!$B$14:$K$20,9)/30))</f>
        <v>101.41830362145015</v>
      </c>
      <c r="CY73" s="172">
        <f ca="1">(VLOOKUP(CY$72,INDIRECT($C$5&amp;"生成成长"),2))/((VLOOKUP($B73,INDIRECT($B$5&amp;"生成成长"),4))/(VLOOKUP(CY$72,INDIRECT($C$5&amp;"生成成长"),5))*(VLOOKUP($B$5,标准坦克设计!$B$24:$U$30,MATCH("对"&amp;LEFT($C$5,2)&amp;"输出",标准坦克设计!$B$23:$U$23,0)))*(VLOOKUP($B73,INDIRECT($B$5&amp;"生成成长"),3))*(VLOOKUP($B$5,标准坦克设计!$B$14:$K$20,9)/30))</f>
        <v>108.04720594341234</v>
      </c>
      <c r="CZ73" s="172">
        <f ca="1">(VLOOKUP(CZ$72,INDIRECT($C$5&amp;"生成成长"),2))/((VLOOKUP($B73,INDIRECT($B$5&amp;"生成成长"),4))/(VLOOKUP(CZ$72,INDIRECT($C$5&amp;"生成成长"),5))*(VLOOKUP($B$5,标准坦克设计!$B$24:$U$30,MATCH("对"&amp;LEFT($C$5,2)&amp;"输出",标准坦克设计!$B$23:$U$23,0)))*(VLOOKUP($B73,INDIRECT($B$5&amp;"生成成长"),3))*(VLOOKUP($B$5,标准坦克设计!$B$14:$K$20,9)/30))</f>
        <v>114.88594402232873</v>
      </c>
      <c r="DA73" s="172">
        <f ca="1">(VLOOKUP(DA$72,INDIRECT($C$5&amp;"生成成长"),2))/((VLOOKUP($B73,INDIRECT($B$5&amp;"生成成长"),4))/(VLOOKUP(DA$72,INDIRECT($C$5&amp;"生成成长"),5))*(VLOOKUP($B$5,标准坦克设计!$B$24:$U$30,MATCH("对"&amp;LEFT($C$5,2)&amp;"输出",标准坦克设计!$B$23:$U$23,0)))*(VLOOKUP($B73,INDIRECT($B$5&amp;"生成成长"),3))*(VLOOKUP($B$5,标准坦克设计!$B$14:$K$20,9)/30))</f>
        <v>121.93451785819934</v>
      </c>
      <c r="DB73" s="172">
        <f ca="1">(VLOOKUP(DB$72,INDIRECT($C$5&amp;"生成成长"),2))/((VLOOKUP($B73,INDIRECT($B$5&amp;"生成成长"),4))/(VLOOKUP(DB$72,INDIRECT($C$5&amp;"生成成长"),5))*(VLOOKUP($B$5,标准坦克设计!$B$24:$U$30,MATCH("对"&amp;LEFT($C$5,2)&amp;"输出",标准坦克设计!$B$23:$U$23,0)))*(VLOOKUP($B73,INDIRECT($B$5&amp;"生成成长"),3))*(VLOOKUP($B$5,标准坦克设计!$B$14:$K$20,9)/30))</f>
        <v>129.19292745102416</v>
      </c>
      <c r="DC73" s="172">
        <f ca="1">(VLOOKUP(DC$72,INDIRECT($C$5&amp;"生成成长"),2))/((VLOOKUP($B73,INDIRECT($B$5&amp;"生成成长"),4))/(VLOOKUP(DC$72,INDIRECT($C$5&amp;"生成成长"),5))*(VLOOKUP($B$5,标准坦克设计!$B$24:$U$30,MATCH("对"&amp;LEFT($C$5,2)&amp;"输出",标准坦克设计!$B$23:$U$23,0)))*(VLOOKUP($B73,INDIRECT($B$5&amp;"生成成长"),3))*(VLOOKUP($B$5,标准坦克设计!$B$14:$K$20,9)/30))</f>
        <v>137.35050927509482</v>
      </c>
      <c r="DD73" s="172">
        <f ca="1">(VLOOKUP(DD$72,INDIRECT($C$5&amp;"生成成长"),2))/((VLOOKUP($B73,INDIRECT($B$5&amp;"生成成长"),4))/(VLOOKUP(DD$72,INDIRECT($C$5&amp;"生成成长"),5))*(VLOOKUP($B$5,标准坦克设计!$B$24:$U$30,MATCH("对"&amp;LEFT($C$5,2)&amp;"输出",标准坦克设计!$B$23:$U$23,0)))*(VLOOKUP($B73,INDIRECT($B$5&amp;"生成成长"),3))*(VLOOKUP($B$5,标准坦克设计!$B$14:$K$20,9)/30))</f>
        <v>145.75781299173909</v>
      </c>
      <c r="DE73" s="172">
        <f ca="1">(VLOOKUP(DE$72,INDIRECT($C$5&amp;"生成成长"),2))/((VLOOKUP($B73,INDIRECT($B$5&amp;"生成成长"),4))/(VLOOKUP(DE$72,INDIRECT($C$5&amp;"生成成长"),5))*(VLOOKUP($B$5,标准坦克设计!$B$24:$U$30,MATCH("对"&amp;LEFT($C$5,2)&amp;"输出",标准坦克设计!$B$23:$U$23,0)))*(VLOOKUP($B73,INDIRECT($B$5&amp;"生成成长"),3))*(VLOOKUP($B$5,标准坦克设计!$B$14:$K$20,9)/30))</f>
        <v>154.41483860095695</v>
      </c>
      <c r="DF73" s="172">
        <f ca="1">(VLOOKUP(DF$72,INDIRECT($C$5&amp;"生成成长"),2))/((VLOOKUP($B73,INDIRECT($B$5&amp;"生成成长"),4))/(VLOOKUP(DF$72,INDIRECT($C$5&amp;"生成成长"),5))*(VLOOKUP($B$5,标准坦克设计!$B$24:$U$30,MATCH("对"&amp;LEFT($C$5,2)&amp;"输出",标准坦克设计!$B$23:$U$23,0)))*(VLOOKUP($B73,INDIRECT($B$5&amp;"生成成长"),3))*(VLOOKUP($B$5,标准坦克设计!$B$14:$K$20,9)/30))</f>
        <v>163.3215861027484</v>
      </c>
      <c r="DG73" s="172">
        <f ca="1">(VLOOKUP(DG$72,INDIRECT($C$5&amp;"生成成长"),2))/((VLOOKUP($B73,INDIRECT($B$5&amp;"生成成长"),4))/(VLOOKUP(DG$72,INDIRECT($C$5&amp;"生成成长"),5))*(VLOOKUP($B$5,标准坦克设计!$B$24:$U$30,MATCH("对"&amp;LEFT($C$5,2)&amp;"输出",标准坦克设计!$B$23:$U$23,0)))*(VLOOKUP($B73,INDIRECT($B$5&amp;"生成成长"),3))*(VLOOKUP($B$5,标准坦克设计!$B$14:$K$20,9)/30))</f>
        <v>172.47805549711342</v>
      </c>
      <c r="DH73" s="172">
        <f ca="1">(VLOOKUP(DH$72,INDIRECT($C$5&amp;"生成成长"),2))/((VLOOKUP($B73,INDIRECT($B$5&amp;"生成成长"),4))/(VLOOKUP(DH$72,INDIRECT($C$5&amp;"生成成长"),5))*(VLOOKUP($B$5,标准坦克设计!$B$24:$U$30,MATCH("对"&amp;LEFT($C$5,2)&amp;"输出",标准坦克设计!$B$23:$U$23,0)))*(VLOOKUP($B73,INDIRECT($B$5&amp;"生成成长"),3))*(VLOOKUP($B$5,标准坦克设计!$B$14:$K$20,9)/30))</f>
        <v>181.8842467840521</v>
      </c>
      <c r="DI73" s="172">
        <f ca="1">(VLOOKUP(DI$72,INDIRECT($C$5&amp;"生成成长"),2))/((VLOOKUP($B73,INDIRECT($B$5&amp;"生成成长"),4))/(VLOOKUP(DI$72,INDIRECT($C$5&amp;"生成成长"),5))*(VLOOKUP($B$5,标准坦克设计!$B$24:$U$30,MATCH("对"&amp;LEFT($C$5,2)&amp;"输出",标准坦克设计!$B$23:$U$23,0)))*(VLOOKUP($B73,INDIRECT($B$5&amp;"生成成长"),3))*(VLOOKUP($B$5,标准坦克设计!$B$14:$K$20,9)/30))</f>
        <v>191.54015996356435</v>
      </c>
      <c r="DJ73" s="172">
        <f ca="1">(VLOOKUP(DJ$72,INDIRECT($C$5&amp;"生成成长"),2))/((VLOOKUP($B73,INDIRECT($B$5&amp;"生成成长"),4))/(VLOOKUP(DJ$72,INDIRECT($C$5&amp;"生成成长"),5))*(VLOOKUP($B$5,标准坦克设计!$B$24:$U$30,MATCH("对"&amp;LEFT($C$5,2)&amp;"输出",标准坦克设计!$B$23:$U$23,0)))*(VLOOKUP($B73,INDIRECT($B$5&amp;"生成成长"),3))*(VLOOKUP($B$5,标准坦克设计!$B$14:$K$20,9)/30))</f>
        <v>19.250262975785841</v>
      </c>
      <c r="DK73" s="172">
        <f ca="1">(VLOOKUP(DK$72,INDIRECT($C$5&amp;"生成成长"),2))/((VLOOKUP($B73,INDIRECT($B$5&amp;"生成成长"),4))/(VLOOKUP(DK$72,INDIRECT($C$5&amp;"生成成长"),5))*(VLOOKUP($B$5,标准坦克设计!$B$24:$U$30,MATCH("对"&amp;LEFT($C$5,2)&amp;"输出",标准坦克设计!$B$23:$U$23,0)))*(VLOOKUP($B73,INDIRECT($B$5&amp;"生成成长"),3))*(VLOOKUP($B$5,标准坦克设计!$B$14:$K$20,9)/30))</f>
        <v>21.646032382663741</v>
      </c>
      <c r="DL73" s="172">
        <f ca="1">(VLOOKUP(DL$72,INDIRECT($C$5&amp;"生成成长"),2))/((VLOOKUP($B73,INDIRECT($B$5&amp;"生成成长"),4))/(VLOOKUP(DL$72,INDIRECT($C$5&amp;"生成成长"),5))*(VLOOKUP($B$5,标准坦克设计!$B$24:$U$30,MATCH("对"&amp;LEFT($C$5,2)&amp;"输出",标准坦克设计!$B$23:$U$23,0)))*(VLOOKUP($B73,INDIRECT($B$5&amp;"生成成长"),3))*(VLOOKUP($B$5,标准坦克设计!$B$14:$K$20,9)/30))</f>
        <v>24.182270354114284</v>
      </c>
      <c r="DM73" s="172">
        <f ca="1">(VLOOKUP(DM$72,INDIRECT($C$5&amp;"生成成长"),2))/((VLOOKUP($B73,INDIRECT($B$5&amp;"生成成长"),4))/(VLOOKUP(DM$72,INDIRECT($C$5&amp;"生成成长"),5))*(VLOOKUP($B$5,标准坦克设计!$B$24:$U$30,MATCH("对"&amp;LEFT($C$5,2)&amp;"输出",标准坦克设计!$B$23:$U$23,0)))*(VLOOKUP($B73,INDIRECT($B$5&amp;"生成成长"),3))*(VLOOKUP($B$5,标准坦克设计!$B$14:$K$20,9)/30))</f>
        <v>26.858976890137473</v>
      </c>
      <c r="DN73" s="172">
        <f ca="1">(VLOOKUP(DN$72,INDIRECT($C$5&amp;"生成成长"),2))/((VLOOKUP($B73,INDIRECT($B$5&amp;"生成成长"),4))/(VLOOKUP(DN$72,INDIRECT($C$5&amp;"生成成长"),5))*(VLOOKUP($B$5,标准坦克设计!$B$24:$U$30,MATCH("对"&amp;LEFT($C$5,2)&amp;"输出",标准坦克设计!$B$23:$U$23,0)))*(VLOOKUP($B73,INDIRECT($B$5&amp;"生成成长"),3))*(VLOOKUP($B$5,标准坦克设计!$B$14:$K$20,9)/30))</f>
        <v>29.67615199073331</v>
      </c>
      <c r="DO73" s="172">
        <f ca="1">(VLOOKUP(DO$72,INDIRECT($C$5&amp;"生成成长"),2))/((VLOOKUP($B73,INDIRECT($B$5&amp;"生成成长"),4))/(VLOOKUP(DO$72,INDIRECT($C$5&amp;"生成成长"),5))*(VLOOKUP($B$5,标准坦克设计!$B$24:$U$30,MATCH("对"&amp;LEFT($C$5,2)&amp;"输出",标准坦克设计!$B$23:$U$23,0)))*(VLOOKUP($B73,INDIRECT($B$5&amp;"生成成长"),3))*(VLOOKUP($B$5,标准坦克设计!$B$14:$K$20,9)/30))</f>
        <v>32.633795655901807</v>
      </c>
      <c r="DP73" s="172">
        <f ca="1">(VLOOKUP(DP$72,INDIRECT($C$5&amp;"生成成长"),2))/((VLOOKUP($B73,INDIRECT($B$5&amp;"生成成长"),4))/(VLOOKUP(DP$72,INDIRECT($C$5&amp;"生成成长"),5))*(VLOOKUP($B$5,标准坦克设计!$B$24:$U$30,MATCH("对"&amp;LEFT($C$5,2)&amp;"输出",标准坦克设计!$B$23:$U$23,0)))*(VLOOKUP($B73,INDIRECT($B$5&amp;"生成成长"),3))*(VLOOKUP($B$5,标准坦克设计!$B$14:$K$20,9)/30))</f>
        <v>35.731907885642919</v>
      </c>
      <c r="DQ73" s="172">
        <f ca="1">(VLOOKUP(DQ$72,INDIRECT($C$5&amp;"生成成长"),2))/((VLOOKUP($B73,INDIRECT($B$5&amp;"生成成长"),4))/(VLOOKUP(DQ$72,INDIRECT($C$5&amp;"生成成长"),5))*(VLOOKUP($B$5,标准坦克设计!$B$24:$U$30,MATCH("对"&amp;LEFT($C$5,2)&amp;"输出",标准坦克设计!$B$23:$U$23,0)))*(VLOOKUP($B73,INDIRECT($B$5&amp;"生成成长"),3))*(VLOOKUP($B$5,标准坦克设计!$B$14:$K$20,9)/30))</f>
        <v>38.970488679956702</v>
      </c>
      <c r="DR73" s="172">
        <f ca="1">(VLOOKUP(DR$72,INDIRECT($C$5&amp;"生成成长"),2))/((VLOOKUP($B73,INDIRECT($B$5&amp;"生成成长"),4))/(VLOOKUP(DR$72,INDIRECT($C$5&amp;"生成成长"),5))*(VLOOKUP($B$5,标准坦克设计!$B$24:$U$30,MATCH("对"&amp;LEFT($C$5,2)&amp;"输出",标准坦克设计!$B$23:$U$23,0)))*(VLOOKUP($B73,INDIRECT($B$5&amp;"生成成长"),3))*(VLOOKUP($B$5,标准坦克设计!$B$14:$K$20,9)/30))</f>
        <v>42.349538038843122</v>
      </c>
      <c r="DS73" s="172">
        <f ca="1">(VLOOKUP(DS$72,INDIRECT($C$5&amp;"生成成长"),2))/((VLOOKUP($B73,INDIRECT($B$5&amp;"生成成长"),4))/(VLOOKUP(DS$72,INDIRECT($C$5&amp;"生成成长"),5))*(VLOOKUP($B$5,标准坦克设计!$B$24:$U$30,MATCH("对"&amp;LEFT($C$5,2)&amp;"输出",标准坦克设计!$B$23:$U$23,0)))*(VLOOKUP($B73,INDIRECT($B$5&amp;"生成成长"),3))*(VLOOKUP($B$5,标准坦克设计!$B$14:$K$20,9)/30))</f>
        <v>45.869055962302191</v>
      </c>
      <c r="DT73" s="172">
        <f ca="1">(VLOOKUP(DT$72,INDIRECT($C$5&amp;"生成成长"),2))/((VLOOKUP($B73,INDIRECT($B$5&amp;"生成成长"),4))/(VLOOKUP(DT$72,INDIRECT($C$5&amp;"生成成长"),5))*(VLOOKUP($B$5,标准坦克设计!$B$24:$U$30,MATCH("对"&amp;LEFT($C$5,2)&amp;"输出",标准坦克设计!$B$23:$U$23,0)))*(VLOOKUP($B73,INDIRECT($B$5&amp;"生成成长"),3))*(VLOOKUP($B$5,标准坦克设计!$B$14:$K$20,9)/30))</f>
        <v>50.361448758912537</v>
      </c>
      <c r="DU73" s="172">
        <f ca="1">(VLOOKUP(DU$72,INDIRECT($C$5&amp;"生成成长"),2))/((VLOOKUP($B73,INDIRECT($B$5&amp;"生成成长"),4))/(VLOOKUP(DU$72,INDIRECT($C$5&amp;"生成成长"),5))*(VLOOKUP($B$5,标准坦克设计!$B$24:$U$30,MATCH("对"&amp;LEFT($C$5,2)&amp;"输出",标准坦克设计!$B$23:$U$23,0)))*(VLOOKUP($B73,INDIRECT($B$5&amp;"生成成长"),3))*(VLOOKUP($B$5,标准坦克设计!$B$14:$K$20,9)/30))</f>
        <v>55.063677312477097</v>
      </c>
      <c r="DV73" s="172">
        <f ca="1">(VLOOKUP(DV$72,INDIRECT($C$5&amp;"生成成长"),2))/((VLOOKUP($B73,INDIRECT($B$5&amp;"生成成长"),4))/(VLOOKUP(DV$72,INDIRECT($C$5&amp;"生成成长"),5))*(VLOOKUP($B$5,标准坦克设计!$B$24:$U$30,MATCH("对"&amp;LEFT($C$5,2)&amp;"输出",标准坦克设计!$B$23:$U$23,0)))*(VLOOKUP($B73,INDIRECT($B$5&amp;"生成成长"),3))*(VLOOKUP($B$5,标准坦克设计!$B$14:$K$20,9)/30))</f>
        <v>59.975741622995841</v>
      </c>
      <c r="DW73" s="172">
        <f ca="1">(VLOOKUP(DW$72,INDIRECT($C$5&amp;"生成成长"),2))/((VLOOKUP($B73,INDIRECT($B$5&amp;"生成成长"),4))/(VLOOKUP(DW$72,INDIRECT($C$5&amp;"生成成长"),5))*(VLOOKUP($B$5,标准坦克设计!$B$24:$U$30,MATCH("对"&amp;LEFT($C$5,2)&amp;"输出",标准坦克设计!$B$23:$U$23,0)))*(VLOOKUP($B73,INDIRECT($B$5&amp;"生成成长"),3))*(VLOOKUP($B$5,标准坦克设计!$B$14:$K$20,9)/30))</f>
        <v>65.097641690468805</v>
      </c>
      <c r="DX73" s="172">
        <f ca="1">(VLOOKUP(DX$72,INDIRECT($C$5&amp;"生成成长"),2))/((VLOOKUP($B73,INDIRECT($B$5&amp;"生成成长"),4))/(VLOOKUP(DX$72,INDIRECT($C$5&amp;"生成成长"),5))*(VLOOKUP($B$5,标准坦克设计!$B$24:$U$30,MATCH("对"&amp;LEFT($C$5,2)&amp;"输出",标准坦克设计!$B$23:$U$23,0)))*(VLOOKUP($B73,INDIRECT($B$5&amp;"生成成长"),3))*(VLOOKUP($B$5,标准坦克设计!$B$14:$K$20,9)/30))</f>
        <v>70.429377514895947</v>
      </c>
      <c r="DY73" s="172">
        <f ca="1">(VLOOKUP(DY$72,INDIRECT($C$5&amp;"生成成长"),2))/((VLOOKUP($B73,INDIRECT($B$5&amp;"生成成长"),4))/(VLOOKUP(DY$72,INDIRECT($C$5&amp;"生成成长"),5))*(VLOOKUP($B$5,标准坦克设计!$B$24:$U$30,MATCH("对"&amp;LEFT($C$5,2)&amp;"输出",标准坦克设计!$B$23:$U$23,0)))*(VLOOKUP($B73,INDIRECT($B$5&amp;"生成成长"),3))*(VLOOKUP($B$5,标准坦克设计!$B$14:$K$20,9)/30))</f>
        <v>31.63230681589312</v>
      </c>
      <c r="DZ73" s="172">
        <f ca="1">(VLOOKUP(DZ$72,INDIRECT($C$5&amp;"生成成长"),2))/((VLOOKUP($B73,INDIRECT($B$5&amp;"生成成长"),4))/(VLOOKUP(DZ$72,INDIRECT($C$5&amp;"生成成长"),5))*(VLOOKUP($B$5,标准坦克设计!$B$24:$U$30,MATCH("对"&amp;LEFT($C$5,2)&amp;"输出",标准坦克设计!$B$23:$U$23,0)))*(VLOOKUP($B73,INDIRECT($B$5&amp;"生成成长"),3))*(VLOOKUP($B$5,标准坦克设计!$B$14:$K$20,9)/30))</f>
        <v>35.031299242589235</v>
      </c>
      <c r="EA73" s="172">
        <f ca="1">(VLOOKUP(EA$72,INDIRECT($C$5&amp;"生成成长"),2))/((VLOOKUP($B73,INDIRECT($B$5&amp;"生成成长"),4))/(VLOOKUP(EA$72,INDIRECT($C$5&amp;"生成成长"),5))*(VLOOKUP($B$5,标准坦克设计!$B$24:$U$30,MATCH("对"&amp;LEFT($C$5,2)&amp;"输出",标准坦克设计!$B$23:$U$23,0)))*(VLOOKUP($B73,INDIRECT($B$5&amp;"生成成长"),3))*(VLOOKUP($B$5,标准坦克设计!$B$14:$K$20,9)/30))</f>
        <v>38.603709650239239</v>
      </c>
      <c r="EB73" s="172">
        <f ca="1">(VLOOKUP(EB$72,INDIRECT($C$5&amp;"生成成长"),2))/((VLOOKUP($B73,INDIRECT($B$5&amp;"生成成长"),4))/(VLOOKUP(EB$72,INDIRECT($C$5&amp;"生成成长"),5))*(VLOOKUP($B$5,标准坦克设计!$B$24:$U$30,MATCH("对"&amp;LEFT($C$5,2)&amp;"输出",标准坦克设计!$B$23:$U$23,0)))*(VLOOKUP($B73,INDIRECT($B$5&amp;"生成成长"),3))*(VLOOKUP($B$5,标准坦克设计!$B$14:$K$20,9)/30))</f>
        <v>42.349538038843122</v>
      </c>
      <c r="EC73" s="172">
        <f ca="1">(VLOOKUP(EC$72,INDIRECT($C$5&amp;"生成成长"),2))/((VLOOKUP($B73,INDIRECT($B$5&amp;"生成成长"),4))/(VLOOKUP(EC$72,INDIRECT($C$5&amp;"生成成长"),5))*(VLOOKUP($B$5,标准坦克设计!$B$24:$U$30,MATCH("对"&amp;LEFT($C$5,2)&amp;"输出",标准坦克设计!$B$23:$U$23,0)))*(VLOOKUP($B73,INDIRECT($B$5&amp;"生成成长"),3))*(VLOOKUP($B$5,标准坦克设计!$B$14:$K$20,9)/30))</f>
        <v>46.26878440840089</v>
      </c>
      <c r="ED73" s="172">
        <f ca="1">(VLOOKUP(ED$72,INDIRECT($C$5&amp;"生成成长"),2))/((VLOOKUP($B73,INDIRECT($B$5&amp;"生成成长"),4))/(VLOOKUP(ED$72,INDIRECT($C$5&amp;"生成成长"),5))*(VLOOKUP($B$5,标准坦克设计!$B$24:$U$30,MATCH("对"&amp;LEFT($C$5,2)&amp;"输出",标准坦克设计!$B$23:$U$23,0)))*(VLOOKUP($B73,INDIRECT($B$5&amp;"生成成长"),3))*(VLOOKUP($B$5,标准坦克设计!$B$14:$K$20,9)/30))</f>
        <v>50.361448758912537</v>
      </c>
      <c r="EE73" s="172">
        <f ca="1">(VLOOKUP(EE$72,INDIRECT($C$5&amp;"生成成长"),2))/((VLOOKUP($B73,INDIRECT($B$5&amp;"生成成长"),4))/(VLOOKUP(EE$72,INDIRECT($C$5&amp;"生成成长"),5))*(VLOOKUP($B$5,标准坦克设计!$B$24:$U$30,MATCH("对"&amp;LEFT($C$5,2)&amp;"输出",标准坦克设计!$B$23:$U$23,0)))*(VLOOKUP($B73,INDIRECT($B$5&amp;"生成成长"),3))*(VLOOKUP($B$5,标准坦克设计!$B$14:$K$20,9)/30))</f>
        <v>54.627531090378071</v>
      </c>
      <c r="EF73" s="172">
        <f ca="1">(VLOOKUP(EF$72,INDIRECT($C$5&amp;"生成成长"),2))/((VLOOKUP($B73,INDIRECT($B$5&amp;"生成成长"),4))/(VLOOKUP(EF$72,INDIRECT($C$5&amp;"生成成长"),5))*(VLOOKUP($B$5,标准坦克设计!$B$24:$U$30,MATCH("对"&amp;LEFT($C$5,2)&amp;"输出",标准坦克设计!$B$23:$U$23,0)))*(VLOOKUP($B73,INDIRECT($B$5&amp;"生成成长"),3))*(VLOOKUP($B$5,标准坦克设计!$B$14:$K$20,9)/30))</f>
        <v>59.067031402797483</v>
      </c>
      <c r="EG73" s="172">
        <f ca="1">(VLOOKUP(EG$72,INDIRECT($C$5&amp;"生成成长"),2))/((VLOOKUP($B73,INDIRECT($B$5&amp;"生成成长"),4))/(VLOOKUP(EG$72,INDIRECT($C$5&amp;"生成成长"),5))*(VLOOKUP($B$5,标准坦克设计!$B$24:$U$30,MATCH("对"&amp;LEFT($C$5,2)&amp;"输出",标准坦克设计!$B$23:$U$23,0)))*(VLOOKUP($B73,INDIRECT($B$5&amp;"生成成长"),3))*(VLOOKUP($B$5,标准坦克设计!$B$14:$K$20,9)/30))</f>
        <v>63.679949696170802</v>
      </c>
      <c r="EH73" s="172">
        <f ca="1">(VLOOKUP(EH$72,INDIRECT($C$5&amp;"生成成长"),2))/((VLOOKUP($B73,INDIRECT($B$5&amp;"生成成长"),4))/(VLOOKUP(EH$72,INDIRECT($C$5&amp;"生成成长"),5))*(VLOOKUP($B$5,标准坦克设计!$B$24:$U$30,MATCH("对"&amp;LEFT($C$5,2)&amp;"输出",标准坦克设计!$B$23:$U$23,0)))*(VLOOKUP($B73,INDIRECT($B$5&amp;"生成成长"),3))*(VLOOKUP($B$5,标准坦克设计!$B$14:$K$20,9)/30))</f>
        <v>68.466285970497978</v>
      </c>
      <c r="EI73" s="172">
        <f ca="1">(VLOOKUP(EI$72,INDIRECT($C$5&amp;"生成成长"),2))/((VLOOKUP($B73,INDIRECT($B$5&amp;"生成成长"),4))/(VLOOKUP(EI$72,INDIRECT($C$5&amp;"生成成长"),5))*(VLOOKUP($B$5,标准坦克设计!$B$24:$U$30,MATCH("对"&amp;LEFT($C$5,2)&amp;"输出",标准坦克设计!$B$23:$U$23,0)))*(VLOOKUP($B73,INDIRECT($B$5&amp;"生成成长"),3))*(VLOOKUP($B$5,标准坦克设计!$B$14:$K$20,9)/30))</f>
        <v>73.426040225779047</v>
      </c>
      <c r="EJ73" s="172">
        <f ca="1">(VLOOKUP(EJ$72,INDIRECT($C$5&amp;"生成成长"),2))/((VLOOKUP($B73,INDIRECT($B$5&amp;"生成成长"),4))/(VLOOKUP(EJ$72,INDIRECT($C$5&amp;"生成成长"),5))*(VLOOKUP($B$5,标准坦克设计!$B$24:$U$30,MATCH("对"&amp;LEFT($C$5,2)&amp;"输出",标准坦克设计!$B$23:$U$23,0)))*(VLOOKUP($B73,INDIRECT($B$5&amp;"生成成长"),3))*(VLOOKUP($B$5,标准坦克设计!$B$14:$K$20,9)/30))</f>
        <v>78.559212462013988</v>
      </c>
      <c r="EK73" s="172">
        <f ca="1">(VLOOKUP(EK$72,INDIRECT($C$5&amp;"生成成长"),2))/((VLOOKUP($B73,INDIRECT($B$5&amp;"生成成长"),4))/(VLOOKUP(EK$72,INDIRECT($C$5&amp;"生成成长"),5))*(VLOOKUP($B$5,标准坦克设计!$B$24:$U$30,MATCH("对"&amp;LEFT($C$5,2)&amp;"输出",标准坦克设计!$B$23:$U$23,0)))*(VLOOKUP($B73,INDIRECT($B$5&amp;"生成成长"),3))*(VLOOKUP($B$5,标准坦克设计!$B$14:$K$20,9)/30))</f>
        <v>84.947930880355074</v>
      </c>
      <c r="EL73" s="172">
        <f ca="1">(VLOOKUP(EL$72,INDIRECT($C$5&amp;"生成成长"),2))/((VLOOKUP($B73,INDIRECT($B$5&amp;"生成成长"),4))/(VLOOKUP(EL$72,INDIRECT($C$5&amp;"生成成长"),5))*(VLOOKUP($B$5,标准坦克设计!$B$24:$U$30,MATCH("对"&amp;LEFT($C$5,2)&amp;"输出",标准坦克设计!$B$23:$U$23,0)))*(VLOOKUP($B73,INDIRECT($B$5&amp;"生成成长"),3))*(VLOOKUP($B$5,标准坦克设计!$B$14:$K$20,9)/30))</f>
        <v>91.58637119126972</v>
      </c>
      <c r="EM73" s="172">
        <f ca="1">(VLOOKUP(EM$72,INDIRECT($C$5&amp;"生成成长"),2))/((VLOOKUP($B73,INDIRECT($B$5&amp;"生成成长"),4))/(VLOOKUP(EM$72,INDIRECT($C$5&amp;"生成成长"),5))*(VLOOKUP($B$5,标准坦克设计!$B$24:$U$30,MATCH("对"&amp;LEFT($C$5,2)&amp;"输出",标准坦克设计!$B$23:$U$23,0)))*(VLOOKUP($B73,INDIRECT($B$5&amp;"生成成长"),3))*(VLOOKUP($B$5,标准坦克设计!$B$14:$K$20,9)/30))</f>
        <v>98.474533394757998</v>
      </c>
      <c r="EN73" s="172">
        <f ca="1">(VLOOKUP(EN$72,INDIRECT($C$5&amp;"生成成长"),2))/((VLOOKUP($B73,INDIRECT($B$5&amp;"生成成长"),4))/(VLOOKUP(EN$72,INDIRECT($C$5&amp;"生成成长"),5))*(VLOOKUP($B$5,标准坦克设计!$B$24:$U$30,MATCH("对"&amp;LEFT($C$5,2)&amp;"输出",标准坦克设计!$B$23:$U$23,0)))*(VLOOKUP($B73,INDIRECT($B$5&amp;"生成成长"),3))*(VLOOKUP($B$5,标准坦克设计!$B$14:$K$20,9)/30))</f>
        <v>105.61241749081984</v>
      </c>
      <c r="EO73" s="172">
        <f ca="1">(VLOOKUP(EO$72,INDIRECT($C$5&amp;"生成成长"),2))/((VLOOKUP($B73,INDIRECT($B$5&amp;"生成成长"),4))/(VLOOKUP(EO$72,INDIRECT($C$5&amp;"生成成长"),5))*(VLOOKUP($B$5,标准坦克设计!$B$24:$U$30,MATCH("对"&amp;LEFT($C$5,2)&amp;"输出",标准坦克设计!$B$23:$U$23,0)))*(VLOOKUP($B73,INDIRECT($B$5&amp;"生成成长"),3))*(VLOOKUP($B$5,标准坦克设计!$B$14:$K$20,9)/30))</f>
        <v>113.00002347945527</v>
      </c>
      <c r="EP73" s="172">
        <f ca="1">(VLOOKUP(EP$72,INDIRECT($C$5&amp;"生成成长"),2))/((VLOOKUP($B73,INDIRECT($B$5&amp;"生成成长"),4))/(VLOOKUP(EP$72,INDIRECT($C$5&amp;"生成成长"),5))*(VLOOKUP($B$5,标准坦克设计!$B$24:$U$30,MATCH("对"&amp;LEFT($C$5,2)&amp;"输出",标准坦克设计!$B$23:$U$23,0)))*(VLOOKUP($B73,INDIRECT($B$5&amp;"生成成长"),3))*(VLOOKUP($B$5,标准坦克设计!$B$14:$K$20,9)/30))</f>
        <v>120.63735136066428</v>
      </c>
      <c r="EQ73" s="172">
        <f ca="1">(VLOOKUP(EQ$72,INDIRECT($C$5&amp;"生成成长"),2))/((VLOOKUP($B73,INDIRECT($B$5&amp;"生成成长"),4))/(VLOOKUP(EQ$72,INDIRECT($C$5&amp;"生成成长"),5))*(VLOOKUP($B$5,标准坦克设计!$B$24:$U$30,MATCH("对"&amp;LEFT($C$5,2)&amp;"输出",标准坦克设计!$B$23:$U$23,0)))*(VLOOKUP($B73,INDIRECT($B$5&amp;"生成成长"),3))*(VLOOKUP($B$5,标准坦克设计!$B$14:$K$20,9)/30))</f>
        <v>53.32949750293826</v>
      </c>
      <c r="ER73" s="172">
        <f ca="1">(VLOOKUP(ER$72,INDIRECT($C$5&amp;"生成成长"),2))/((VLOOKUP($B73,INDIRECT($B$5&amp;"生成成长"),4))/(VLOOKUP(ER$72,INDIRECT($C$5&amp;"生成成长"),5))*(VLOOKUP($B$5,标准坦克设计!$B$24:$U$30,MATCH("对"&amp;LEFT($C$5,2)&amp;"输出",标准坦克设计!$B$23:$U$23,0)))*(VLOOKUP($B73,INDIRECT($B$5&amp;"生成成长"),3))*(VLOOKUP($B$5,标准坦克设计!$B$14:$K$20,9)/30))</f>
        <v>58.165257901837293</v>
      </c>
      <c r="ES73" s="172">
        <f ca="1">(VLOOKUP(ES$72,INDIRECT($C$5&amp;"生成成长"),2))/((VLOOKUP($B73,INDIRECT($B$5&amp;"生成成长"),4))/(VLOOKUP(ES$72,INDIRECT($C$5&amp;"生成成长"),5))*(VLOOKUP($B$5,标准坦克设计!$B$24:$U$30,MATCH("对"&amp;LEFT($C$5,2)&amp;"输出",标准坦克设计!$B$23:$U$23,0)))*(VLOOKUP($B73,INDIRECT($B$5&amp;"生成成长"),3))*(VLOOKUP($B$5,标准坦克设计!$B$14:$K$20,9)/30))</f>
        <v>63.21085405769054</v>
      </c>
      <c r="ET73" s="172">
        <f ca="1">(VLOOKUP(ET$72,INDIRECT($C$5&amp;"生成成长"),2))/((VLOOKUP($B73,INDIRECT($B$5&amp;"生成成长"),4))/(VLOOKUP(ET$72,INDIRECT($C$5&amp;"生成成长"),5))*(VLOOKUP($B$5,标准坦克设计!$B$24:$U$30,MATCH("对"&amp;LEFT($C$5,2)&amp;"输出",标准坦克设计!$B$23:$U$23,0)))*(VLOOKUP($B73,INDIRECT($B$5&amp;"生成成长"),3))*(VLOOKUP($B$5,标准坦克设计!$B$14:$K$20,9)/30))</f>
        <v>68.466285970497978</v>
      </c>
      <c r="EU73" s="172">
        <f ca="1">(VLOOKUP(EU$72,INDIRECT($C$5&amp;"生成成长"),2))/((VLOOKUP($B73,INDIRECT($B$5&amp;"生成成长"),4))/(VLOOKUP(EU$72,INDIRECT($C$5&amp;"生成成长"),5))*(VLOOKUP($B$5,标准坦克设计!$B$24:$U$30,MATCH("对"&amp;LEFT($C$5,2)&amp;"输出",标准坦克设计!$B$23:$U$23,0)))*(VLOOKUP($B73,INDIRECT($B$5&amp;"生成成长"),3))*(VLOOKUP($B$5,标准坦克设计!$B$14:$K$20,9)/30))</f>
        <v>73.931553640259608</v>
      </c>
      <c r="EV73" s="172">
        <f ca="1">(VLOOKUP(EV$72,INDIRECT($C$5&amp;"生成成长"),2))/((VLOOKUP($B73,INDIRECT($B$5&amp;"生成成长"),4))/(VLOOKUP(EV$72,INDIRECT($C$5&amp;"生成成长"),5))*(VLOOKUP($B$5,标准坦克设计!$B$24:$U$30,MATCH("对"&amp;LEFT($C$5,2)&amp;"输出",标准坦克设计!$B$23:$U$23,0)))*(VLOOKUP($B73,INDIRECT($B$5&amp;"生成成长"),3))*(VLOOKUP($B$5,标准坦克设计!$B$14:$K$20,9)/30))</f>
        <v>79.606657066975458</v>
      </c>
      <c r="EW73" s="172">
        <f ca="1">(VLOOKUP(EW$72,INDIRECT($C$5&amp;"生成成长"),2))/((VLOOKUP($B73,INDIRECT($B$5&amp;"生成成长"),4))/(VLOOKUP(EW$72,INDIRECT($C$5&amp;"生成成长"),5))*(VLOOKUP($B$5,标准坦克设计!$B$24:$U$30,MATCH("对"&amp;LEFT($C$5,2)&amp;"输出",标准坦克设计!$B$23:$U$23,0)))*(VLOOKUP($B73,INDIRECT($B$5&amp;"生成成长"),3))*(VLOOKUP($B$5,标准坦克设计!$B$14:$K$20,9)/30))</f>
        <v>85.491596250645486</v>
      </c>
      <c r="EX73" s="172">
        <f ca="1">(VLOOKUP(EX$72,INDIRECT($C$5&amp;"生成成长"),2))/((VLOOKUP($B73,INDIRECT($B$5&amp;"生成成长"),4))/(VLOOKUP(EX$72,INDIRECT($C$5&amp;"生成成长"),5))*(VLOOKUP($B$5,标准坦克设计!$B$24:$U$30,MATCH("对"&amp;LEFT($C$5,2)&amp;"输出",标准坦克设计!$B$23:$U$23,0)))*(VLOOKUP($B73,INDIRECT($B$5&amp;"生成成长"),3))*(VLOOKUP($B$5,标准坦克设计!$B$14:$K$20,9)/30))</f>
        <v>91.58637119126972</v>
      </c>
      <c r="EY73" s="172">
        <f ca="1">(VLOOKUP(EY$72,INDIRECT($C$5&amp;"生成成长"),2))/((VLOOKUP($B73,INDIRECT($B$5&amp;"生成成长"),4))/(VLOOKUP(EY$72,INDIRECT($C$5&amp;"生成成长"),5))*(VLOOKUP($B$5,标准坦克设计!$B$24:$U$30,MATCH("对"&amp;LEFT($C$5,2)&amp;"输出",标准坦克设计!$B$23:$U$23,0)))*(VLOOKUP($B73,INDIRECT($B$5&amp;"生成成长"),3))*(VLOOKUP($B$5,标准坦克设计!$B$14:$K$20,9)/30))</f>
        <v>97.89098188884816</v>
      </c>
      <c r="EZ73" s="172">
        <f ca="1">(VLOOKUP(EZ$72,INDIRECT($C$5&amp;"生成成长"),2))/((VLOOKUP($B73,INDIRECT($B$5&amp;"生成成长"),4))/(VLOOKUP(EZ$72,INDIRECT($C$5&amp;"生成成长"),5))*(VLOOKUP($B$5,标准坦克设计!$B$24:$U$30,MATCH("对"&amp;LEFT($C$5,2)&amp;"输出",标准坦克设计!$B$23:$U$23,0)))*(VLOOKUP($B73,INDIRECT($B$5&amp;"生成成长"),3))*(VLOOKUP($B$5,标准坦克设计!$B$14:$K$20,9)/30))</f>
        <v>104.40542834338079</v>
      </c>
      <c r="FA73" s="172">
        <f ca="1">(VLOOKUP(FA$72,INDIRECT($C$5&amp;"生成成长"),2))/((VLOOKUP($B73,INDIRECT($B$5&amp;"生成成长"),4))/(VLOOKUP(FA$72,INDIRECT($C$5&amp;"生成成长"),5))*(VLOOKUP($B$5,标准坦克设计!$B$24:$U$30,MATCH("对"&amp;LEFT($C$5,2)&amp;"输出",标准坦克设计!$B$23:$U$23,0)))*(VLOOKUP($B73,INDIRECT($B$5&amp;"生成成长"),3))*(VLOOKUP($B$5,标准坦克设计!$B$14:$K$20,9)/30))</f>
        <v>111.12971055486763</v>
      </c>
      <c r="FB73" s="172">
        <f ca="1">(VLOOKUP(FB$72,INDIRECT($C$5&amp;"生成成长"),2))/((VLOOKUP($B73,INDIRECT($B$5&amp;"生成成长"),4))/(VLOOKUP(FB$72,INDIRECT($C$5&amp;"生成成长"),5))*(VLOOKUP($B$5,标准坦克设计!$B$24:$U$30,MATCH("对"&amp;LEFT($C$5,2)&amp;"输出",标准坦克设计!$B$23:$U$23,0)))*(VLOOKUP($B73,INDIRECT($B$5&amp;"生成成长"),3))*(VLOOKUP($B$5,标准坦克设计!$B$14:$K$20,9)/30))</f>
        <v>118.06382852330867</v>
      </c>
      <c r="FC73" s="172">
        <f ca="1">(VLOOKUP(FC$72,INDIRECT($C$5&amp;"生成成长"),2))/((VLOOKUP($B73,INDIRECT($B$5&amp;"生成成长"),4))/(VLOOKUP(FC$72,INDIRECT($C$5&amp;"生成成长"),5))*(VLOOKUP($B$5,标准坦克设计!$B$24:$U$30,MATCH("对"&amp;LEFT($C$5,2)&amp;"输出",标准坦克设计!$B$23:$U$23,0)))*(VLOOKUP($B73,INDIRECT($B$5&amp;"生成成长"),3))*(VLOOKUP($B$5,标准坦克设计!$B$14:$K$20,9)/30))</f>
        <v>125.20778224870392</v>
      </c>
      <c r="FD73" s="172">
        <f ca="1">(VLOOKUP(FD$72,INDIRECT($C$5&amp;"生成成长"),2))/((VLOOKUP($B73,INDIRECT($B$5&amp;"生成成长"),4))/(VLOOKUP(FD$72,INDIRECT($C$5&amp;"生成成长"),5))*(VLOOKUP($B$5,标准坦克设计!$B$24:$U$30,MATCH("对"&amp;LEFT($C$5,2)&amp;"输出",标准坦克设计!$B$23:$U$23,0)))*(VLOOKUP($B73,INDIRECT($B$5&amp;"生成成长"),3))*(VLOOKUP($B$5,标准坦克设计!$B$14:$K$20,9)/30))</f>
        <v>132.56157173105331</v>
      </c>
      <c r="FE73" s="172">
        <f ca="1">(VLOOKUP(FE$72,INDIRECT($C$5&amp;"生成成长"),2))/((VLOOKUP($B73,INDIRECT($B$5&amp;"生成成长"),4))/(VLOOKUP(FE$72,INDIRECT($C$5&amp;"生成成长"),5))*(VLOOKUP($B$5,标准坦克设计!$B$24:$U$30,MATCH("对"&amp;LEFT($C$5,2)&amp;"输出",标准坦克设计!$B$23:$U$23,0)))*(VLOOKUP($B73,INDIRECT($B$5&amp;"生成成长"),3))*(VLOOKUP($B$5,标准坦克设计!$B$14:$K$20,9)/30))</f>
        <v>141.52294589684524</v>
      </c>
      <c r="FF73" s="172">
        <f ca="1">(VLOOKUP(FF$72,INDIRECT($C$5&amp;"生成成长"),2))/((VLOOKUP($B73,INDIRECT($B$5&amp;"生成成长"),4))/(VLOOKUP(FF$72,INDIRECT($C$5&amp;"生成成长"),5))*(VLOOKUP($B$5,标准坦克设计!$B$24:$U$30,MATCH("对"&amp;LEFT($C$5,2)&amp;"输出",标准坦克设计!$B$23:$U$23,0)))*(VLOOKUP($B73,INDIRECT($B$5&amp;"生成成长"),3))*(VLOOKUP($B$5,标准坦克设计!$B$14:$K$20,9)/30))</f>
        <v>150.77739645044923</v>
      </c>
      <c r="FG73" s="172">
        <f ca="1">(VLOOKUP(FG$72,INDIRECT($C$5&amp;"生成成长"),2))/((VLOOKUP($B73,INDIRECT($B$5&amp;"生成成长"),4))/(VLOOKUP(FG$72,INDIRECT($C$5&amp;"生成成长"),5))*(VLOOKUP($B$5,标准坦克设计!$B$24:$U$30,MATCH("对"&amp;LEFT($C$5,2)&amp;"输出",标准坦克设计!$B$23:$U$23,0)))*(VLOOKUP($B73,INDIRECT($B$5&amp;"生成成长"),3))*(VLOOKUP($B$5,标准坦克设计!$B$14:$K$20,9)/30))</f>
        <v>160.3249233918653</v>
      </c>
      <c r="FH73" s="172">
        <f ca="1">(VLOOKUP(FH$72,INDIRECT($C$5&amp;"生成成长"),2))/((VLOOKUP($B73,INDIRECT($B$5&amp;"生成成长"),4))/(VLOOKUP(FH$72,INDIRECT($C$5&amp;"生成成长"),5))*(VLOOKUP($B$5,标准坦克设计!$B$24:$U$30,MATCH("对"&amp;LEFT($C$5,2)&amp;"输出",标准坦克设计!$B$23:$U$23,0)))*(VLOOKUP($B73,INDIRECT($B$5&amp;"生成成长"),3))*(VLOOKUP($B$5,标准坦克设计!$B$14:$K$20,9)/30))</f>
        <v>170.16552672109341</v>
      </c>
      <c r="FI73" s="172">
        <f ca="1">(VLOOKUP(FI$72,INDIRECT($C$5&amp;"生成成长"),2))/((VLOOKUP($B73,INDIRECT($B$5&amp;"生成成长"),4))/(VLOOKUP(FI$72,INDIRECT($C$5&amp;"生成成长"),5))*(VLOOKUP($B$5,标准坦克设计!$B$24:$U$30,MATCH("对"&amp;LEFT($C$5,2)&amp;"输出",标准坦克设计!$B$23:$U$23,0)))*(VLOOKUP($B73,INDIRECT($B$5&amp;"生成成长"),3))*(VLOOKUP($B$5,标准坦克设计!$B$14:$K$20,9)/30))</f>
        <v>180.29920643813358</v>
      </c>
      <c r="FJ73" s="172">
        <f ca="1">(VLOOKUP(FJ$72,INDIRECT($C$5&amp;"生成成长"),2))/((VLOOKUP($B73,INDIRECT($B$5&amp;"生成成长"),4))/(VLOOKUP(FJ$72,INDIRECT($C$5&amp;"生成成长"),5))*(VLOOKUP($B$5,标准坦克设计!$B$24:$U$30,MATCH("对"&amp;LEFT($C$5,2)&amp;"输出",标准坦克设计!$B$23:$U$23,0)))*(VLOOKUP($B73,INDIRECT($B$5&amp;"生成成长"),3))*(VLOOKUP($B$5,标准坦克设计!$B$14:$K$20,9)/30))</f>
        <v>190.72596254298585</v>
      </c>
      <c r="FK73" s="172">
        <f ca="1">(VLOOKUP(FK$72,INDIRECT($C$5&amp;"生成成长"),2))/((VLOOKUP($B73,INDIRECT($B$5&amp;"生成成长"),4))/(VLOOKUP(FK$72,INDIRECT($C$5&amp;"生成成长"),5))*(VLOOKUP($B$5,标准坦克设计!$B$24:$U$30,MATCH("对"&amp;LEFT($C$5,2)&amp;"输出",标准坦克设计!$B$23:$U$23,0)))*(VLOOKUP($B73,INDIRECT($B$5&amp;"生成成长"),3))*(VLOOKUP($B$5,标准坦克设计!$B$14:$K$20,9)/30))</f>
        <v>201.44579503565015</v>
      </c>
    </row>
    <row r="74" spans="1:167" x14ac:dyDescent="0.15">
      <c r="A74" s="170" t="str">
        <f t="shared" ref="A74:A137" si="11">"T"&amp;LEFT(RIGHT(B74,3),1)&amp;""&amp;IF(LEFT(B74,1)="1","低品质",IF(LEFT(B74,1)="2","中品质","高品质"))&amp;""&amp;IF(LEFT(RIGHT(B74,2),1)="0",RIGHT(B74,1),RIGHT(B74,2))&amp;"级"</f>
        <v>T1低品质2级</v>
      </c>
      <c r="B74" s="171">
        <v>10102</v>
      </c>
      <c r="C74" s="172">
        <f ca="1">(VLOOKUP(C$72,INDIRECT($C$5&amp;"生成成长"),2))/((VLOOKUP($B74,INDIRECT($B$5&amp;"生成成长"),4))/(VLOOKUP(C$72,INDIRECT($C$5&amp;"生成成长"),5))*(VLOOKUP($B$5,标准坦克设计!$B$24:$U$30,MATCH("对"&amp;LEFT($C$5,2)&amp;"输出",标准坦克设计!$B$23:$U$23,0)))*(VLOOKUP($B74,INDIRECT($B$5&amp;"生成成长"),3))*(VLOOKUP($B$5,标准坦克设计!$B$14:$K$20,9)/30))</f>
        <v>7.7355231455023912</v>
      </c>
      <c r="D74" s="172">
        <f ca="1">(VLOOKUP(D$72,INDIRECT($C$5&amp;"生成成长"),2))/((VLOOKUP($B74,INDIRECT($B$5&amp;"生成成长"),4))/(VLOOKUP(D$72,INDIRECT($C$5&amp;"生成成长"),5))*(VLOOKUP($B$5,标准坦克设计!$B$24:$U$30,MATCH("对"&amp;LEFT($C$5,2)&amp;"输出",标准坦克设计!$B$23:$U$23,0)))*(VLOOKUP($B74,INDIRECT($B$5&amp;"生成成长"),3))*(VLOOKUP($B$5,标准坦克设计!$B$14:$K$20,9)/30))</f>
        <v>8.6916338062864877</v>
      </c>
      <c r="E74" s="172">
        <f ca="1">(VLOOKUP(E$72,INDIRECT($C$5&amp;"生成成长"),2))/((VLOOKUP($B74,INDIRECT($B$5&amp;"生成成长"),4))/(VLOOKUP(E$72,INDIRECT($C$5&amp;"生成成长"),5))*(VLOOKUP($B$5,标准坦克设计!$B$24:$U$30,MATCH("对"&amp;LEFT($C$5,2)&amp;"输出",标准坦克设计!$B$23:$U$23,0)))*(VLOOKUP($B74,INDIRECT($B$5&amp;"生成成长"),3))*(VLOOKUP($B$5,标准坦克设计!$B$14:$K$20,9)/30))</f>
        <v>9.7034402337182009</v>
      </c>
      <c r="F74" s="172">
        <f ca="1">(VLOOKUP(F$72,INDIRECT($C$5&amp;"生成成长"),2))/((VLOOKUP($B74,INDIRECT($B$5&amp;"生成成长"),4))/(VLOOKUP(F$72,INDIRECT($C$5&amp;"生成成长"),5))*(VLOOKUP($B$5,标准坦克设计!$B$24:$U$30,MATCH("对"&amp;LEFT($C$5,2)&amp;"输出",标准坦克设计!$B$23:$U$23,0)))*(VLOOKUP($B74,INDIRECT($B$5&amp;"生成成长"),3))*(VLOOKUP($B$5,标准坦克设计!$B$14:$K$20,9)/30))</f>
        <v>10.770942427797531</v>
      </c>
      <c r="G74" s="172">
        <f ca="1">(VLOOKUP(G$72,INDIRECT($C$5&amp;"生成成长"),2))/((VLOOKUP($B74,INDIRECT($B$5&amp;"生成成长"),4))/(VLOOKUP(G$72,INDIRECT($C$5&amp;"生成成长"),5))*(VLOOKUP($B$5,标准坦克设计!$B$24:$U$30,MATCH("对"&amp;LEFT($C$5,2)&amp;"输出",标准坦克设计!$B$23:$U$23,0)))*(VLOOKUP($B74,INDIRECT($B$5&amp;"生成成长"),3))*(VLOOKUP($B$5,标准坦克设计!$B$14:$K$20,9)/30))</f>
        <v>11.894140388524477</v>
      </c>
      <c r="H74" s="172">
        <f ca="1">(VLOOKUP(H$72,INDIRECT($C$5&amp;"生成成长"),2))/((VLOOKUP($B74,INDIRECT($B$5&amp;"生成成长"),4))/(VLOOKUP(H$72,INDIRECT($C$5&amp;"生成成长"),5))*(VLOOKUP($B$5,标准坦克设计!$B$24:$U$30,MATCH("对"&amp;LEFT($C$5,2)&amp;"输出",标准坦克设计!$B$23:$U$23,0)))*(VLOOKUP($B74,INDIRECT($B$5&amp;"生成成长"),3))*(VLOOKUP($B$5,标准坦克设计!$B$14:$K$20,9)/30))</f>
        <v>10.408919944588018</v>
      </c>
      <c r="I74" s="172">
        <f ca="1">(VLOOKUP(I$72,INDIRECT($C$5&amp;"生成成长"),2))/((VLOOKUP($B74,INDIRECT($B$5&amp;"生成成长"),4))/(VLOOKUP(I$72,INDIRECT($C$5&amp;"生成成长"),5))*(VLOOKUP($B$5,标准坦克设计!$B$24:$U$30,MATCH("对"&amp;LEFT($C$5,2)&amp;"输出",标准坦克设计!$B$23:$U$23,0)))*(VLOOKUP($B74,INDIRECT($B$5&amp;"生成成长"),3))*(VLOOKUP($B$5,标准坦克设计!$B$14:$K$20,9)/30))</f>
        <v>11.894140388524477</v>
      </c>
      <c r="J74" s="172">
        <f ca="1">(VLOOKUP(J$72,INDIRECT($C$5&amp;"生成成长"),2))/((VLOOKUP($B74,INDIRECT($B$5&amp;"生成成长"),4))/(VLOOKUP(J$72,INDIRECT($C$5&amp;"生成成长"),5))*(VLOOKUP($B$5,标准坦克设计!$B$24:$U$30,MATCH("对"&amp;LEFT($C$5,2)&amp;"输出",标准坦克设计!$B$23:$U$23,0)))*(VLOOKUP($B74,INDIRECT($B$5&amp;"生成成长"),3))*(VLOOKUP($B$5,标准坦克设计!$B$14:$K$20,9)/30))</f>
        <v>13.478375528723369</v>
      </c>
      <c r="K74" s="172">
        <f ca="1">(VLOOKUP(K$72,INDIRECT($C$5&amp;"生成成长"),2))/((VLOOKUP($B74,INDIRECT($B$5&amp;"生成成长"),4))/(VLOOKUP(K$72,INDIRECT($C$5&amp;"生成成长"),5))*(VLOOKUP($B$5,标准坦克设计!$B$24:$U$30,MATCH("对"&amp;LEFT($C$5,2)&amp;"输出",标准坦克设计!$B$23:$U$23,0)))*(VLOOKUP($B74,INDIRECT($B$5&amp;"生成成长"),3))*(VLOOKUP($B$5,标准坦克设计!$B$14:$K$20,9)/30))</f>
        <v>15.161625365184689</v>
      </c>
      <c r="L74" s="172">
        <f ca="1">(VLOOKUP(L$72,INDIRECT($C$5&amp;"生成成长"),2))/((VLOOKUP($B74,INDIRECT($B$5&amp;"生成成长"),4))/(VLOOKUP(L$72,INDIRECT($C$5&amp;"生成成长"),5))*(VLOOKUP($B$5,标准坦克设计!$B$24:$U$30,MATCH("对"&amp;LEFT($C$5,2)&amp;"输出",标准坦克设计!$B$23:$U$23,0)))*(VLOOKUP($B74,INDIRECT($B$5&amp;"生成成长"),3))*(VLOOKUP($B$5,标准坦克设计!$B$14:$K$20,9)/30))</f>
        <v>16.943889897908438</v>
      </c>
      <c r="M74" s="172">
        <f ca="1">(VLOOKUP(M$72,INDIRECT($C$5&amp;"生成成长"),2))/((VLOOKUP($B74,INDIRECT($B$5&amp;"生成成长"),4))/(VLOOKUP(M$72,INDIRECT($C$5&amp;"生成成长"),5))*(VLOOKUP($B$5,标准坦克设计!$B$24:$U$30,MATCH("对"&amp;LEFT($C$5,2)&amp;"输出",标准坦克设计!$B$23:$U$23,0)))*(VLOOKUP($B74,INDIRECT($B$5&amp;"生成成长"),3))*(VLOOKUP($B$5,标准坦克设计!$B$14:$K$20,9)/30))</f>
        <v>18.825169126894618</v>
      </c>
      <c r="N74" s="172">
        <f ca="1">(VLOOKUP(N$72,INDIRECT($C$5&amp;"生成成长"),2))/((VLOOKUP($B74,INDIRECT($B$5&amp;"生成成长"),4))/(VLOOKUP(N$72,INDIRECT($C$5&amp;"生成成长"),5))*(VLOOKUP($B$5,标准坦克设计!$B$24:$U$30,MATCH("对"&amp;LEFT($C$5,2)&amp;"输出",标准坦克设计!$B$23:$U$23,0)))*(VLOOKUP($B74,INDIRECT($B$5&amp;"生成成长"),3))*(VLOOKUP($B$5,标准坦克设计!$B$14:$K$20,9)/30))</f>
        <v>20.805463052143235</v>
      </c>
      <c r="O74" s="172">
        <f ca="1">(VLOOKUP(O$72,INDIRECT($C$5&amp;"生成成长"),2))/((VLOOKUP($B74,INDIRECT($B$5&amp;"生成成长"),4))/(VLOOKUP(O$72,INDIRECT($C$5&amp;"生成成长"),5))*(VLOOKUP($B$5,标准坦克设计!$B$24:$U$30,MATCH("对"&amp;LEFT($C$5,2)&amp;"输出",标准坦克设计!$B$23:$U$23,0)))*(VLOOKUP($B74,INDIRECT($B$5&amp;"生成成长"),3))*(VLOOKUP($B$5,标准坦克设计!$B$14:$K$20,9)/30))</f>
        <v>15.818371280237841</v>
      </c>
      <c r="P74" s="172">
        <f ca="1">(VLOOKUP(P$72,INDIRECT($C$5&amp;"生成成长"),2))/((VLOOKUP($B74,INDIRECT($B$5&amp;"生成成长"),4))/(VLOOKUP(P$72,INDIRECT($C$5&amp;"生成成长"),5))*(VLOOKUP($B$5,标准坦克设计!$B$24:$U$30,MATCH("对"&amp;LEFT($C$5,2)&amp;"输出",标准坦克设计!$B$23:$U$23,0)))*(VLOOKUP($B74,INDIRECT($B$5&amp;"生成成长"),3))*(VLOOKUP($B$5,标准坦克设计!$B$14:$K$20,9)/30))</f>
        <v>17.872152675368724</v>
      </c>
      <c r="Q74" s="172">
        <f ca="1">(VLOOKUP(Q$72,INDIRECT($C$5&amp;"生成成长"),2))/((VLOOKUP($B74,INDIRECT($B$5&amp;"生成成长"),4))/(VLOOKUP(Q$72,INDIRECT($C$5&amp;"生成成长"),5))*(VLOOKUP($B$5,标准坦克设计!$B$24:$U$30,MATCH("对"&amp;LEFT($C$5,2)&amp;"输出",标准坦克设计!$B$23:$U$23,0)))*(VLOOKUP($B74,INDIRECT($B$5&amp;"生成成长"),3))*(VLOOKUP($B$5,标准坦克设计!$B$14:$K$20,9)/30))</f>
        <v>20.051249545456745</v>
      </c>
      <c r="R74" s="172">
        <f ca="1">(VLOOKUP(R$72,INDIRECT($C$5&amp;"生成成长"),2))/((VLOOKUP($B74,INDIRECT($B$5&amp;"生成成长"),4))/(VLOOKUP(R$72,INDIRECT($C$5&amp;"生成成长"),5))*(VLOOKUP($B$5,标准坦克设计!$B$24:$U$30,MATCH("对"&amp;LEFT($C$5,2)&amp;"输出",标准坦克设计!$B$23:$U$23,0)))*(VLOOKUP($B74,INDIRECT($B$5&amp;"生成成长"),3))*(VLOOKUP($B$5,标准坦克设计!$B$14:$K$20,9)/30))</f>
        <v>22.355661890501914</v>
      </c>
      <c r="S74" s="172">
        <f ca="1">(VLOOKUP(S$72,INDIRECT($C$5&amp;"生成成长"),2))/((VLOOKUP($B74,INDIRECT($B$5&amp;"生成成长"),4))/(VLOOKUP(S$72,INDIRECT($C$5&amp;"生成成长"),5))*(VLOOKUP($B$5,标准坦克设计!$B$24:$U$30,MATCH("对"&amp;LEFT($C$5,2)&amp;"输出",标准坦克设计!$B$23:$U$23,0)))*(VLOOKUP($B74,INDIRECT($B$5&amp;"生成成长"),3))*(VLOOKUP($B$5,标准坦克设计!$B$14:$K$20,9)/30))</f>
        <v>24.785389710504212</v>
      </c>
      <c r="T74" s="172">
        <f ca="1">(VLOOKUP(T$72,INDIRECT($C$5&amp;"生成成长"),2))/((VLOOKUP($B74,INDIRECT($B$5&amp;"生成成长"),4))/(VLOOKUP(T$72,INDIRECT($C$5&amp;"生成成长"),5))*(VLOOKUP($B$5,标准坦克设计!$B$24:$U$30,MATCH("对"&amp;LEFT($C$5,2)&amp;"输出",标准坦克设计!$B$23:$U$23,0)))*(VLOOKUP($B74,INDIRECT($B$5&amp;"生成成长"),3))*(VLOOKUP($B$5,标准坦克设计!$B$14:$K$20,9)/30))</f>
        <v>27.340433005463652</v>
      </c>
      <c r="U74" s="172">
        <f ca="1">(VLOOKUP(U$72,INDIRECT($C$5&amp;"生成成长"),2))/((VLOOKUP($B74,INDIRECT($B$5&amp;"生成成长"),4))/(VLOOKUP(U$72,INDIRECT($C$5&amp;"生成成长"),5))*(VLOOKUP($B$5,标准坦克设计!$B$24:$U$30,MATCH("对"&amp;LEFT($C$5,2)&amp;"输出",标准坦克设计!$B$23:$U$23,0)))*(VLOOKUP($B74,INDIRECT($B$5&amp;"生成成长"),3))*(VLOOKUP($B$5,标准坦克设计!$B$14:$K$20,9)/30))</f>
        <v>30.020791775380232</v>
      </c>
      <c r="V74" s="172">
        <f ca="1">(VLOOKUP(V$72,INDIRECT($C$5&amp;"生成成长"),2))/((VLOOKUP($B74,INDIRECT($B$5&amp;"生成成长"),4))/(VLOOKUP(V$72,INDIRECT($C$5&amp;"生成成长"),5))*(VLOOKUP($B$5,标准坦克设计!$B$24:$U$30,MATCH("对"&amp;LEFT($C$5,2)&amp;"输出",标准坦克设计!$B$23:$U$23,0)))*(VLOOKUP($B74,INDIRECT($B$5&amp;"生成成长"),3))*(VLOOKUP($B$5,标准坦克设计!$B$14:$K$20,9)/30))</f>
        <v>32.826466020253946</v>
      </c>
      <c r="W74" s="172">
        <f ca="1">(VLOOKUP(W$72,INDIRECT($C$5&amp;"生成成长"),2))/((VLOOKUP($B74,INDIRECT($B$5&amp;"生成成长"),4))/(VLOOKUP(W$72,INDIRECT($C$5&amp;"生成成长"),5))*(VLOOKUP($B$5,标准坦克设计!$B$24:$U$30,MATCH("对"&amp;LEFT($C$5,2)&amp;"输出",标准坦克设计!$B$23:$U$23,0)))*(VLOOKUP($B74,INDIRECT($B$5&amp;"生成成长"),3))*(VLOOKUP($B$5,标准坦克设计!$B$14:$K$20,9)/30))</f>
        <v>35.757455740084801</v>
      </c>
      <c r="X74" s="172">
        <f ca="1">(VLOOKUP(X$72,INDIRECT($C$5&amp;"生成成长"),2))/((VLOOKUP($B74,INDIRECT($B$5&amp;"生成成长"),4))/(VLOOKUP(X$72,INDIRECT($C$5&amp;"生成成长"),5))*(VLOOKUP($B$5,标准坦克设计!$B$24:$U$30,MATCH("对"&amp;LEFT($C$5,2)&amp;"输出",标准坦克设计!$B$23:$U$23,0)))*(VLOOKUP($B74,INDIRECT($B$5&amp;"生成成长"),3))*(VLOOKUP($B$5,标准坦克设计!$B$14:$K$20,9)/30))</f>
        <v>25.905493461972963</v>
      </c>
      <c r="Y74" s="172">
        <f ca="1">(VLOOKUP(Y$72,INDIRECT($C$5&amp;"生成成长"),2))/((VLOOKUP($B74,INDIRECT($B$5&amp;"生成成长"),4))/(VLOOKUP(Y$72,INDIRECT($C$5&amp;"生成成长"),5))*(VLOOKUP($B$5,标准坦克设计!$B$24:$U$30,MATCH("对"&amp;LEFT($C$5,2)&amp;"输出",标准坦克设计!$B$23:$U$23,0)))*(VLOOKUP($B74,INDIRECT($B$5&amp;"生成成长"),3))*(VLOOKUP($B$5,标准坦克设计!$B$14:$K$20,9)/30))</f>
        <v>28.814050164681859</v>
      </c>
      <c r="Z74" s="172">
        <f ca="1">(VLOOKUP(Z$72,INDIRECT($C$5&amp;"生成成长"),2))/((VLOOKUP($B74,INDIRECT($B$5&amp;"生成成长"),4))/(VLOOKUP(Z$72,INDIRECT($C$5&amp;"生成成长"),5))*(VLOOKUP($B$5,标准坦克设计!$B$24:$U$30,MATCH("对"&amp;LEFT($C$5,2)&amp;"输出",标准坦克设计!$B$23:$U$23,0)))*(VLOOKUP($B74,INDIRECT($B$5&amp;"生成成长"),3))*(VLOOKUP($B$5,标准坦克设计!$B$14:$K$20,9)/30))</f>
        <v>31.877317330300809</v>
      </c>
      <c r="AA74" s="172">
        <f ca="1">(VLOOKUP(AA$72,INDIRECT($C$5&amp;"生成成长"),2))/((VLOOKUP($B74,INDIRECT($B$5&amp;"生成成长"),4))/(VLOOKUP(AA$72,INDIRECT($C$5&amp;"生成成长"),5))*(VLOOKUP($B$5,标准坦克设计!$B$24:$U$30,MATCH("对"&amp;LEFT($C$5,2)&amp;"输出",标准坦克设计!$B$23:$U$23,0)))*(VLOOKUP($B74,INDIRECT($B$5&amp;"生成成长"),3))*(VLOOKUP($B$5,标准坦克设计!$B$14:$K$20,9)/30))</f>
        <v>35.095294958829797</v>
      </c>
      <c r="AB74" s="172">
        <f ca="1">(VLOOKUP(AB$72,INDIRECT($C$5&amp;"生成成长"),2))/((VLOOKUP($B74,INDIRECT($B$5&amp;"生成成长"),4))/(VLOOKUP(AB$72,INDIRECT($C$5&amp;"生成成长"),5))*(VLOOKUP($B$5,标准坦克设计!$B$24:$U$30,MATCH("对"&amp;LEFT($C$5,2)&amp;"输出",标准坦克设计!$B$23:$U$23,0)))*(VLOOKUP($B74,INDIRECT($B$5&amp;"生成成长"),3))*(VLOOKUP($B$5,标准坦克设计!$B$14:$K$20,9)/30))</f>
        <v>38.467983050268842</v>
      </c>
      <c r="AC74" s="172">
        <f ca="1">(VLOOKUP(AC$72,INDIRECT($C$5&amp;"生成成长"),2))/((VLOOKUP($B74,INDIRECT($B$5&amp;"生成成长"),4))/(VLOOKUP(AC$72,INDIRECT($C$5&amp;"生成成长"),5))*(VLOOKUP($B$5,标准坦克设计!$B$24:$U$30,MATCH("对"&amp;LEFT($C$5,2)&amp;"输出",标准坦克设计!$B$23:$U$23,0)))*(VLOOKUP($B74,INDIRECT($B$5&amp;"生成成长"),3))*(VLOOKUP($B$5,标准坦克设计!$B$14:$K$20,9)/30))</f>
        <v>41.99538160461794</v>
      </c>
      <c r="AD74" s="172">
        <f ca="1">(VLOOKUP(AD$72,INDIRECT($C$5&amp;"生成成长"),2))/((VLOOKUP($B74,INDIRECT($B$5&amp;"生成成长"),4))/(VLOOKUP(AD$72,INDIRECT($C$5&amp;"生成成长"),5))*(VLOOKUP($B$5,标准坦克设计!$B$24:$U$30,MATCH("对"&amp;LEFT($C$5,2)&amp;"输出",标准坦克设计!$B$23:$U$23,0)))*(VLOOKUP($B74,INDIRECT($B$5&amp;"生成成长"),3))*(VLOOKUP($B$5,标准坦克设计!$B$14:$K$20,9)/30))</f>
        <v>45.67749062187707</v>
      </c>
      <c r="AE74" s="172">
        <f ca="1">(VLOOKUP(AE$72,INDIRECT($C$5&amp;"生成成长"),2))/((VLOOKUP($B74,INDIRECT($B$5&amp;"生成成长"),4))/(VLOOKUP(AE$72,INDIRECT($C$5&amp;"生成成长"),5))*(VLOOKUP($B$5,标准坦克设计!$B$24:$U$30,MATCH("对"&amp;LEFT($C$5,2)&amp;"输出",标准坦克设计!$B$23:$U$23,0)))*(VLOOKUP($B74,INDIRECT($B$5&amp;"生成成长"),3))*(VLOOKUP($B$5,标准坦克设计!$B$14:$K$20,9)/30))</f>
        <v>49.514310102046252</v>
      </c>
      <c r="AF74" s="172">
        <f ca="1">(VLOOKUP(AF$72,INDIRECT($C$5&amp;"生成成长"),2))/((VLOOKUP($B74,INDIRECT($B$5&amp;"生成成长"),4))/(VLOOKUP(AF$72,INDIRECT($C$5&amp;"生成成长"),5))*(VLOOKUP($B$5,标准坦克设计!$B$24:$U$30,MATCH("对"&amp;LEFT($C$5,2)&amp;"输出",标准坦克设计!$B$23:$U$23,0)))*(VLOOKUP($B74,INDIRECT($B$5&amp;"生成成长"),3))*(VLOOKUP($B$5,标准坦克设计!$B$14:$K$20,9)/30))</f>
        <v>53.505840045125488</v>
      </c>
      <c r="AG74" s="172">
        <f ca="1">(VLOOKUP(AG$72,INDIRECT($C$5&amp;"生成成长"),2))/((VLOOKUP($B74,INDIRECT($B$5&amp;"生成成长"),4))/(VLOOKUP(AG$72,INDIRECT($C$5&amp;"生成成长"),5))*(VLOOKUP($B$5,标准坦克设计!$B$24:$U$30,MATCH("对"&amp;LEFT($C$5,2)&amp;"输出",标准坦克设计!$B$23:$U$23,0)))*(VLOOKUP($B74,INDIRECT($B$5&amp;"生成成长"),3))*(VLOOKUP($B$5,标准坦克设计!$B$14:$K$20,9)/30))</f>
        <v>57.65208045111477</v>
      </c>
      <c r="AH74" s="172">
        <f ca="1">(VLOOKUP(AH$72,INDIRECT($C$5&amp;"生成成长"),2))/((VLOOKUP($B74,INDIRECT($B$5&amp;"生成成长"),4))/(VLOOKUP(AH$72,INDIRECT($C$5&amp;"生成成长"),5))*(VLOOKUP($B$5,标准坦克设计!$B$24:$U$30,MATCH("对"&amp;LEFT($C$5,2)&amp;"输出",标准坦克设计!$B$23:$U$23,0)))*(VLOOKUP($B74,INDIRECT($B$5&amp;"生成成长"),3))*(VLOOKUP($B$5,标准坦克设计!$B$14:$K$20,9)/30))</f>
        <v>61.953031320014105</v>
      </c>
      <c r="AI74" s="172">
        <f ca="1">(VLOOKUP(AI$72,INDIRECT($C$5&amp;"生成成长"),2))/((VLOOKUP($B74,INDIRECT($B$5&amp;"生成成长"),4))/(VLOOKUP(AI$72,INDIRECT($C$5&amp;"生成成长"),5))*(VLOOKUP($B$5,标准坦克设计!$B$24:$U$30,MATCH("对"&amp;LEFT($C$5,2)&amp;"输出",标准坦克设计!$B$23:$U$23,0)))*(VLOOKUP($B74,INDIRECT($B$5&amp;"生成成长"),3))*(VLOOKUP($B$5,标准坦克设计!$B$14:$K$20,9)/30))</f>
        <v>43.81709730538374</v>
      </c>
      <c r="AJ74" s="172">
        <f ca="1">(VLOOKUP(AJ$72,INDIRECT($C$5&amp;"生成成长"),2))/((VLOOKUP($B74,INDIRECT($B$5&amp;"生成成长"),4))/(VLOOKUP(AJ$72,INDIRECT($C$5&amp;"生成成长"),5))*(VLOOKUP($B$5,标准坦克设计!$B$24:$U$30,MATCH("对"&amp;LEFT($C$5,2)&amp;"输出",标准坦克设计!$B$23:$U$23,0)))*(VLOOKUP($B74,INDIRECT($B$5&amp;"生成成长"),3))*(VLOOKUP($B$5,标准坦克设计!$B$14:$K$20,9)/30))</f>
        <v>47.961017054429369</v>
      </c>
      <c r="AK74" s="172">
        <f ca="1">(VLOOKUP(AK$72,INDIRECT($C$5&amp;"生成成长"),2))/((VLOOKUP($B74,INDIRECT($B$5&amp;"生成成长"),4))/(VLOOKUP(AK$72,INDIRECT($C$5&amp;"生成成长"),5))*(VLOOKUP($B$5,标准坦克设计!$B$24:$U$30,MATCH("对"&amp;LEFT($C$5,2)&amp;"输出",标准坦克设计!$B$23:$U$23,0)))*(VLOOKUP($B74,INDIRECT($B$5&amp;"生成成长"),3))*(VLOOKUP($B$5,标准坦克设计!$B$14:$K$20,9)/30))</f>
        <v>52.292136463596172</v>
      </c>
      <c r="AL74" s="172">
        <f ca="1">(VLOOKUP(AL$72,INDIRECT($C$5&amp;"生成成长"),2))/((VLOOKUP($B74,INDIRECT($B$5&amp;"生成成长"),4))/(VLOOKUP(AL$72,INDIRECT($C$5&amp;"生成成长"),5))*(VLOOKUP($B$5,标准坦克设计!$B$24:$U$30,MATCH("对"&amp;LEFT($C$5,2)&amp;"输出",标准坦克设计!$B$23:$U$23,0)))*(VLOOKUP($B74,INDIRECT($B$5&amp;"生成成长"),3))*(VLOOKUP($B$5,标准坦克设计!$B$14:$K$20,9)/30))</f>
        <v>56.810455532884113</v>
      </c>
      <c r="AM74" s="172">
        <f ca="1">(VLOOKUP(AM$72,INDIRECT($C$5&amp;"生成成长"),2))/((VLOOKUP($B74,INDIRECT($B$5&amp;"生成成长"),4))/(VLOOKUP(AM$72,INDIRECT($C$5&amp;"生成成长"),5))*(VLOOKUP($B$5,标准坦克设计!$B$24:$U$30,MATCH("对"&amp;LEFT($C$5,2)&amp;"输出",标准坦克设计!$B$23:$U$23,0)))*(VLOOKUP($B74,INDIRECT($B$5&amp;"生成成长"),3))*(VLOOKUP($B$5,标准坦克设计!$B$14:$K$20,9)/30))</f>
        <v>61.515974262293213</v>
      </c>
      <c r="AN74" s="172">
        <f ca="1">(VLOOKUP(AN$72,INDIRECT($C$5&amp;"生成成长"),2))/((VLOOKUP($B74,INDIRECT($B$5&amp;"生成成长"),4))/(VLOOKUP(AN$72,INDIRECT($C$5&amp;"生成成长"),5))*(VLOOKUP($B$5,标准坦克设计!$B$24:$U$30,MATCH("对"&amp;LEFT($C$5,2)&amp;"输出",标准坦克设计!$B$23:$U$23,0)))*(VLOOKUP($B74,INDIRECT($B$5&amp;"生成成长"),3))*(VLOOKUP($B$5,标准坦克设计!$B$14:$K$20,9)/30))</f>
        <v>66.408692651823486</v>
      </c>
      <c r="AO74" s="172">
        <f ca="1">(VLOOKUP(AO$72,INDIRECT($C$5&amp;"生成成长"),2))/((VLOOKUP($B74,INDIRECT($B$5&amp;"生成成长"),4))/(VLOOKUP(AO$72,INDIRECT($C$5&amp;"生成成长"),5))*(VLOOKUP($B$5,标准坦克设计!$B$24:$U$30,MATCH("对"&amp;LEFT($C$5,2)&amp;"输出",标准坦克设计!$B$23:$U$23,0)))*(VLOOKUP($B74,INDIRECT($B$5&amp;"生成成长"),3))*(VLOOKUP($B$5,标准坦克设计!$B$14:$K$20,9)/30))</f>
        <v>71.488610701474897</v>
      </c>
      <c r="AP74" s="172">
        <f ca="1">(VLOOKUP(AP$72,INDIRECT($C$5&amp;"生成成长"),2))/((VLOOKUP($B74,INDIRECT($B$5&amp;"生成成长"),4))/(VLOOKUP(AP$72,INDIRECT($C$5&amp;"生成成长"),5))*(VLOOKUP($B$5,标准坦克设计!$B$24:$U$30,MATCH("对"&amp;LEFT($C$5,2)&amp;"输出",标准坦克设计!$B$23:$U$23,0)))*(VLOOKUP($B74,INDIRECT($B$5&amp;"生成成长"),3))*(VLOOKUP($B$5,标准坦克设计!$B$14:$K$20,9)/30))</f>
        <v>76.75572841124746</v>
      </c>
      <c r="AQ74" s="172">
        <f ca="1">(VLOOKUP(AQ$72,INDIRECT($C$5&amp;"生成成长"),2))/((VLOOKUP($B74,INDIRECT($B$5&amp;"生成成长"),4))/(VLOOKUP(AQ$72,INDIRECT($C$5&amp;"生成成长"),5))*(VLOOKUP($B$5,标准坦克设计!$B$24:$U$30,MATCH("对"&amp;LEFT($C$5,2)&amp;"输出",标准坦克设计!$B$23:$U$23,0)))*(VLOOKUP($B74,INDIRECT($B$5&amp;"生成成长"),3))*(VLOOKUP($B$5,标准坦克设计!$B$14:$K$20,9)/30))</f>
        <v>82.210045781141218</v>
      </c>
      <c r="AR74" s="172">
        <f ca="1">(VLOOKUP(AR$72,INDIRECT($C$5&amp;"生成成长"),2))/((VLOOKUP($B74,INDIRECT($B$5&amp;"生成成长"),4))/(VLOOKUP(AR$72,INDIRECT($C$5&amp;"生成成长"),5))*(VLOOKUP($B$5,标准坦克设计!$B$24:$U$30,MATCH("对"&amp;LEFT($C$5,2)&amp;"输出",标准坦克设计!$B$23:$U$23,0)))*(VLOOKUP($B74,INDIRECT($B$5&amp;"生成成长"),3))*(VLOOKUP($B$5,标准坦克设计!$B$14:$K$20,9)/30))</f>
        <v>87.851562811156114</v>
      </c>
      <c r="AS74" s="172">
        <f ca="1">(VLOOKUP(AS$72,INDIRECT($C$5&amp;"生成成长"),2))/((VLOOKUP($B74,INDIRECT($B$5&amp;"生成成长"),4))/(VLOOKUP(AS$72,INDIRECT($C$5&amp;"生成成长"),5))*(VLOOKUP($B$5,标准坦克设计!$B$24:$U$30,MATCH("对"&amp;LEFT($C$5,2)&amp;"输出",标准坦克设计!$B$23:$U$23,0)))*(VLOOKUP($B74,INDIRECT($B$5&amp;"生成成长"),3))*(VLOOKUP($B$5,标准坦克设计!$B$14:$K$20,9)/30))</f>
        <v>93.680279501292162</v>
      </c>
      <c r="AT74" s="172">
        <f ca="1">(VLOOKUP(AT$72,INDIRECT($C$5&amp;"生成成长"),2))/((VLOOKUP($B74,INDIRECT($B$5&amp;"生成成长"),4))/(VLOOKUP(AT$72,INDIRECT($C$5&amp;"生成成长"),5))*(VLOOKUP($B$5,标准坦克设计!$B$24:$U$30,MATCH("对"&amp;LEFT($C$5,2)&amp;"输出",标准坦克设计!$B$23:$U$23,0)))*(VLOOKUP($B74,INDIRECT($B$5&amp;"生成成长"),3))*(VLOOKUP($B$5,标准坦克设计!$B$14:$K$20,9)/30))</f>
        <v>99.696195851549376</v>
      </c>
      <c r="AU74" s="172">
        <f ca="1">(VLOOKUP(AU$72,INDIRECT($C$5&amp;"生成成长"),2))/((VLOOKUP($B74,INDIRECT($B$5&amp;"生成成长"),4))/(VLOOKUP(AU$72,INDIRECT($C$5&amp;"生成成长"),5))*(VLOOKUP($B$5,标准坦克设计!$B$24:$U$30,MATCH("对"&amp;LEFT($C$5,2)&amp;"输出",标准坦克设计!$B$23:$U$23,0)))*(VLOOKUP($B74,INDIRECT($B$5&amp;"生成成长"),3))*(VLOOKUP($B$5,标准坦克设计!$B$14:$K$20,9)/30))</f>
        <v>105.89931186192773</v>
      </c>
      <c r="AV74" s="172">
        <f ca="1">(VLOOKUP(AV$72,INDIRECT($C$5&amp;"生成成长"),2))/((VLOOKUP($B74,INDIRECT($B$5&amp;"生成成长"),4))/(VLOOKUP(AV$72,INDIRECT($C$5&amp;"生成成长"),5))*(VLOOKUP($B$5,标准坦克设计!$B$24:$U$30,MATCH("对"&amp;LEFT($C$5,2)&amp;"输出",标准坦克设计!$B$23:$U$23,0)))*(VLOOKUP($B74,INDIRECT($B$5&amp;"生成成长"),3))*(VLOOKUP($B$5,标准坦克设计!$B$14:$K$20,9)/30))</f>
        <v>10.770942427797531</v>
      </c>
      <c r="AW74" s="172">
        <f ca="1">(VLOOKUP(AW$72,INDIRECT($C$5&amp;"生成成长"),2))/((VLOOKUP($B74,INDIRECT($B$5&amp;"生成成长"),4))/(VLOOKUP(AW$72,INDIRECT($C$5&amp;"生成成长"),5))*(VLOOKUP($B$5,标准坦克设计!$B$24:$U$30,MATCH("对"&amp;LEFT($C$5,2)&amp;"输出",标准坦克设计!$B$23:$U$23,0)))*(VLOOKUP($B74,INDIRECT($B$5&amp;"生成成长"),3))*(VLOOKUP($B$5,标准坦克设计!$B$14:$K$20,9)/30))</f>
        <v>12.280916545799597</v>
      </c>
      <c r="AX74" s="172">
        <f ca="1">(VLOOKUP(AX$72,INDIRECT($C$5&amp;"生成成长"),2))/((VLOOKUP($B74,INDIRECT($B$5&amp;"生成成长"),4))/(VLOOKUP(AX$72,INDIRECT($C$5&amp;"生成成长"),5))*(VLOOKUP($B$5,标准坦克设计!$B$24:$U$30,MATCH("对"&amp;LEFT($C$5,2)&amp;"输出",标准坦克设计!$B$23:$U$23,0)))*(VLOOKUP($B74,INDIRECT($B$5&amp;"生成成长"),3))*(VLOOKUP($B$5,标准坦克设计!$B$14:$K$20,9)/30))</f>
        <v>13.889905360064096</v>
      </c>
      <c r="AY74" s="172">
        <f ca="1">(VLOOKUP(AY$72,INDIRECT($C$5&amp;"生成成长"),2))/((VLOOKUP($B74,INDIRECT($B$5&amp;"生成成长"),4))/(VLOOKUP(AY$72,INDIRECT($C$5&amp;"生成成长"),5))*(VLOOKUP($B$5,标准坦克设计!$B$24:$U$30,MATCH("对"&amp;LEFT($C$5,2)&amp;"输出",标准坦克设计!$B$23:$U$23,0)))*(VLOOKUP($B74,INDIRECT($B$5&amp;"生成成长"),3))*(VLOOKUP($B$5,标准坦克设计!$B$14:$K$20,9)/30))</f>
        <v>15.59790887059102</v>
      </c>
      <c r="AZ74" s="172">
        <f ca="1">(VLOOKUP(AZ$72,INDIRECT($C$5&amp;"生成成长"),2))/((VLOOKUP($B74,INDIRECT($B$5&amp;"生成成长"),4))/(VLOOKUP(AZ$72,INDIRECT($C$5&amp;"生成成长"),5))*(VLOOKUP($B$5,标准坦克设计!$B$24:$U$30,MATCH("对"&amp;LEFT($C$5,2)&amp;"输出",标准坦克设计!$B$23:$U$23,0)))*(VLOOKUP($B74,INDIRECT($B$5&amp;"生成成长"),3))*(VLOOKUP($B$5,标准坦克设计!$B$14:$K$20,9)/30))</f>
        <v>17.404927077380382</v>
      </c>
      <c r="BA74" s="172">
        <f ca="1">(VLOOKUP(BA$72,INDIRECT($C$5&amp;"生成成长"),2))/((VLOOKUP($B74,INDIRECT($B$5&amp;"生成成长"),4))/(VLOOKUP(BA$72,INDIRECT($C$5&amp;"生成成长"),5))*(VLOOKUP($B$5,标准坦克设计!$B$24:$U$30,MATCH("对"&amp;LEFT($C$5,2)&amp;"输出",标准坦克设计!$B$23:$U$23,0)))*(VLOOKUP($B74,INDIRECT($B$5&amp;"生成成长"),3))*(VLOOKUP($B$5,标准坦克设计!$B$14:$K$20,9)/30))</f>
        <v>19.310959980432166</v>
      </c>
      <c r="BB74" s="172">
        <f ca="1">(VLOOKUP(BB$72,INDIRECT($C$5&amp;"生成成长"),2))/((VLOOKUP($B74,INDIRECT($B$5&amp;"生成成长"),4))/(VLOOKUP(BB$72,INDIRECT($C$5&amp;"生成成长"),5))*(VLOOKUP($B$5,标准坦克设计!$B$24:$U$30,MATCH("对"&amp;LEFT($C$5,2)&amp;"输出",标准坦克设计!$B$23:$U$23,0)))*(VLOOKUP($B74,INDIRECT($B$5&amp;"生成成长"),3))*(VLOOKUP($B$5,标准坦克设计!$B$14:$K$20,9)/30))</f>
        <v>21.316007579746394</v>
      </c>
      <c r="BC74" s="172">
        <f ca="1">(VLOOKUP(BC$72,INDIRECT($C$5&amp;"生成成长"),2))/((VLOOKUP($B74,INDIRECT($B$5&amp;"生成成长"),4))/(VLOOKUP(BC$72,INDIRECT($C$5&amp;"生成成长"),5))*(VLOOKUP($B$5,标准坦克设计!$B$24:$U$30,MATCH("对"&amp;LEFT($C$5,2)&amp;"输出",标准坦克设计!$B$23:$U$23,0)))*(VLOOKUP($B74,INDIRECT($B$5&amp;"生成成长"),3))*(VLOOKUP($B$5,标准坦克设计!$B$14:$K$20,9)/30))</f>
        <v>23.420069875323041</v>
      </c>
      <c r="BD74" s="172">
        <f ca="1">(VLOOKUP(BD$72,INDIRECT($C$5&amp;"生成成长"),2))/((VLOOKUP($B74,INDIRECT($B$5&amp;"生成成长"),4))/(VLOOKUP(BD$72,INDIRECT($C$5&amp;"生成成长"),5))*(VLOOKUP($B$5,标准坦克设计!$B$24:$U$30,MATCH("对"&amp;LEFT($C$5,2)&amp;"输出",标准坦克设计!$B$23:$U$23,0)))*(VLOOKUP($B74,INDIRECT($B$5&amp;"生成成长"),3))*(VLOOKUP($B$5,标准坦克设计!$B$14:$K$20,9)/30))</f>
        <v>25.905493461972963</v>
      </c>
      <c r="BE74" s="172">
        <f ca="1">(VLOOKUP(BE$72,INDIRECT($C$5&amp;"生成成长"),2))/((VLOOKUP($B74,INDIRECT($B$5&amp;"生成成长"),4))/(VLOOKUP(BE$72,INDIRECT($C$5&amp;"生成成长"),5))*(VLOOKUP($B$5,标准坦克设计!$B$24:$U$30,MATCH("对"&amp;LEFT($C$5,2)&amp;"输出",标准坦克设计!$B$23:$U$23,0)))*(VLOOKUP($B74,INDIRECT($B$5&amp;"生成成长"),3))*(VLOOKUP($B$5,标准坦克设计!$B$14:$K$20,9)/30))</f>
        <v>28.516232523580012</v>
      </c>
      <c r="BF74" s="172">
        <f ca="1">(VLOOKUP(BF$72,INDIRECT($C$5&amp;"生成成长"),2))/((VLOOKUP($B74,INDIRECT($B$5&amp;"生成成长"),4))/(VLOOKUP(BF$72,INDIRECT($C$5&amp;"生成成长"),5))*(VLOOKUP($B$5,标准坦克设计!$B$24:$U$30,MATCH("对"&amp;LEFT($C$5,2)&amp;"输出",标准坦克设计!$B$23:$U$23,0)))*(VLOOKUP($B74,INDIRECT($B$5&amp;"生成成长"),3))*(VLOOKUP($B$5,标准坦克设计!$B$14:$K$20,9)/30))</f>
        <v>31.252287060144209</v>
      </c>
      <c r="BG74" s="172">
        <f ca="1">(VLOOKUP(BG$72,INDIRECT($C$5&amp;"生成成长"),2))/((VLOOKUP($B74,INDIRECT($B$5&amp;"生成成长"),4))/(VLOOKUP(BG$72,INDIRECT($C$5&amp;"生成成长"),5))*(VLOOKUP($B$5,标准坦克设计!$B$24:$U$30,MATCH("对"&amp;LEFT($C$5,2)&amp;"输出",标准坦克设计!$B$23:$U$23,0)))*(VLOOKUP($B74,INDIRECT($B$5&amp;"生成成长"),3))*(VLOOKUP($B$5,标准坦克设计!$B$14:$K$20,9)/30))</f>
        <v>34.113657071665543</v>
      </c>
      <c r="BH74" s="172">
        <f ca="1">(VLOOKUP(BH$72,INDIRECT($C$5&amp;"生成成长"),2))/((VLOOKUP($B74,INDIRECT($B$5&amp;"生成成长"),4))/(VLOOKUP(BH$72,INDIRECT($C$5&amp;"生成成长"),5))*(VLOOKUP($B$5,标准坦克设计!$B$24:$U$30,MATCH("对"&amp;LEFT($C$5,2)&amp;"输出",标准坦克设计!$B$23:$U$23,0)))*(VLOOKUP($B74,INDIRECT($B$5&amp;"生成成长"),3))*(VLOOKUP($B$5,标准坦克设计!$B$14:$K$20,9)/30))</f>
        <v>16.489041136952899</v>
      </c>
      <c r="BI74" s="172">
        <f ca="1">(VLOOKUP(BI$72,INDIRECT($C$5&amp;"生成成长"),2))/((VLOOKUP($B74,INDIRECT($B$5&amp;"生成成长"),4))/(VLOOKUP(BI$72,INDIRECT($C$5&amp;"生成成长"),5))*(VLOOKUP($B$5,标准坦克设计!$B$24:$U$30,MATCH("对"&amp;LEFT($C$5,2)&amp;"输出",标准坦克设计!$B$23:$U$23,0)))*(VLOOKUP($B74,INDIRECT($B$5&amp;"生成成长"),3))*(VLOOKUP($B$5,标准坦克设计!$B$14:$K$20,9)/30))</f>
        <v>18.584594357069495</v>
      </c>
      <c r="BJ74" s="172">
        <f ca="1">(VLOOKUP(BJ$72,INDIRECT($C$5&amp;"生成成长"),2))/((VLOOKUP($B74,INDIRECT($B$5&amp;"生成成长"),4))/(VLOOKUP(BJ$72,INDIRECT($C$5&amp;"生成成长"),5))*(VLOOKUP($B$5,标准坦克设计!$B$24:$U$30,MATCH("对"&amp;LEFT($C$5,2)&amp;"输出",标准坦克设计!$B$23:$U$23,0)))*(VLOOKUP($B74,INDIRECT($B$5&amp;"生成成长"),3))*(VLOOKUP($B$5,标准坦克设计!$B$14:$K$20,9)/30))</f>
        <v>20.805463052143235</v>
      </c>
      <c r="BK74" s="172">
        <f ca="1">(VLOOKUP(BK$72,INDIRECT($C$5&amp;"生成成长"),2))/((VLOOKUP($B74,INDIRECT($B$5&amp;"生成成长"),4))/(VLOOKUP(BK$72,INDIRECT($C$5&amp;"生成成长"),5))*(VLOOKUP($B$5,标准坦克设计!$B$24:$U$30,MATCH("对"&amp;LEFT($C$5,2)&amp;"输出",标准坦克设计!$B$23:$U$23,0)))*(VLOOKUP($B74,INDIRECT($B$5&amp;"生成成长"),3))*(VLOOKUP($B$5,标准坦克设计!$B$14:$K$20,9)/30))</f>
        <v>23.151647222174105</v>
      </c>
      <c r="BL74" s="172">
        <f ca="1">(VLOOKUP(BL$72,INDIRECT($C$5&amp;"生成成长"),2))/((VLOOKUP($B74,INDIRECT($B$5&amp;"生成成长"),4))/(VLOOKUP(BL$72,INDIRECT($C$5&amp;"生成成长"),5))*(VLOOKUP($B$5,标准坦克设计!$B$24:$U$30,MATCH("对"&amp;LEFT($C$5,2)&amp;"输出",标准坦克设计!$B$23:$U$23,0)))*(VLOOKUP($B74,INDIRECT($B$5&amp;"生成成长"),3))*(VLOOKUP($B$5,标准坦克设计!$B$14:$K$20,9)/30))</f>
        <v>25.62314686716212</v>
      </c>
      <c r="BM74" s="172">
        <f ca="1">(VLOOKUP(BM$72,INDIRECT($C$5&amp;"生成成长"),2))/((VLOOKUP($B74,INDIRECT($B$5&amp;"生成成长"),4))/(VLOOKUP(BM$72,INDIRECT($C$5&amp;"生成成长"),5))*(VLOOKUP($B$5,标准坦克设计!$B$24:$U$30,MATCH("对"&amp;LEFT($C$5,2)&amp;"输出",标准坦克设计!$B$23:$U$23,0)))*(VLOOKUP($B74,INDIRECT($B$5&amp;"生成成长"),3))*(VLOOKUP($B$5,标准坦克设计!$B$14:$K$20,9)/30))</f>
        <v>28.219961987107276</v>
      </c>
      <c r="BN74" s="172">
        <f ca="1">(VLOOKUP(BN$72,INDIRECT($C$5&amp;"生成成长"),2))/((VLOOKUP($B74,INDIRECT($B$5&amp;"生成成长"),4))/(VLOOKUP(BN$72,INDIRECT($C$5&amp;"生成成长"),5))*(VLOOKUP($B$5,标准坦克设计!$B$24:$U$30,MATCH("对"&amp;LEFT($C$5,2)&amp;"输出",标准坦克设计!$B$23:$U$23,0)))*(VLOOKUP($B74,INDIRECT($B$5&amp;"生成成长"),3))*(VLOOKUP($B$5,标准坦克设计!$B$14:$K$20,9)/30))</f>
        <v>30.942092582009565</v>
      </c>
      <c r="BO74" s="172">
        <f ca="1">(VLOOKUP(BO$72,INDIRECT($C$5&amp;"生成成长"),2))/((VLOOKUP($B74,INDIRECT($B$5&amp;"生成成长"),4))/(VLOOKUP(BO$72,INDIRECT($C$5&amp;"生成成长"),5))*(VLOOKUP($B$5,标准坦克设计!$B$24:$U$30,MATCH("对"&amp;LEFT($C$5,2)&amp;"输出",标准坦克设计!$B$23:$U$23,0)))*(VLOOKUP($B74,INDIRECT($B$5&amp;"生成成长"),3))*(VLOOKUP($B$5,标准坦克设计!$B$14:$K$20,9)/30))</f>
        <v>33.789538651868995</v>
      </c>
      <c r="BP74" s="172">
        <f ca="1">(VLOOKUP(BP$72,INDIRECT($C$5&amp;"生成成长"),2))/((VLOOKUP($B74,INDIRECT($B$5&amp;"生成成长"),4))/(VLOOKUP(BP$72,INDIRECT($C$5&amp;"生成成长"),5))*(VLOOKUP($B$5,标准坦克设计!$B$24:$U$30,MATCH("对"&amp;LEFT($C$5,2)&amp;"输出",标准坦克设计!$B$23:$U$23,0)))*(VLOOKUP($B74,INDIRECT($B$5&amp;"生成成长"),3))*(VLOOKUP($B$5,标准坦克设计!$B$14:$K$20,9)/30))</f>
        <v>36.762300196685565</v>
      </c>
      <c r="BQ74" s="172">
        <f ca="1">(VLOOKUP(BQ$72,INDIRECT($C$5&amp;"生成成长"),2))/((VLOOKUP($B74,INDIRECT($B$5&amp;"生成成长"),4))/(VLOOKUP(BQ$72,INDIRECT($C$5&amp;"生成成长"),5))*(VLOOKUP($B$5,标准坦克设计!$B$24:$U$30,MATCH("对"&amp;LEFT($C$5,2)&amp;"输出",标准坦克设计!$B$23:$U$23,0)))*(VLOOKUP($B74,INDIRECT($B$5&amp;"生成成长"),3))*(VLOOKUP($B$5,标准坦克设计!$B$14:$K$20,9)/30))</f>
        <v>39.86037721645927</v>
      </c>
      <c r="BR74" s="172">
        <f ca="1">(VLOOKUP(BR$72,INDIRECT($C$5&amp;"生成成长"),2))/((VLOOKUP($B74,INDIRECT($B$5&amp;"生成成长"),4))/(VLOOKUP(BR$72,INDIRECT($C$5&amp;"生成成长"),5))*(VLOOKUP($B$5,标准坦克设计!$B$24:$U$30,MATCH("对"&amp;LEFT($C$5,2)&amp;"输出",标准坦克设计!$B$23:$U$23,0)))*(VLOOKUP($B74,INDIRECT($B$5&amp;"生成成长"),3))*(VLOOKUP($B$5,标准坦克设计!$B$14:$K$20,9)/30))</f>
        <v>43.449659955972393</v>
      </c>
      <c r="BS74" s="172">
        <f ca="1">(VLOOKUP(BS$72,INDIRECT($C$5&amp;"生成成长"),2))/((VLOOKUP($B74,INDIRECT($B$5&amp;"生成成长"),4))/(VLOOKUP(BS$72,INDIRECT($C$5&amp;"生成成长"),5))*(VLOOKUP($B$5,标准坦克设计!$B$24:$U$30,MATCH("对"&amp;LEFT($C$5,2)&amp;"输出",标准坦克设计!$B$23:$U$23,0)))*(VLOOKUP($B74,INDIRECT($B$5&amp;"生成成长"),3))*(VLOOKUP($B$5,标准坦克设计!$B$14:$K$20,9)/30))</f>
        <v>47.193653158395534</v>
      </c>
      <c r="BT74" s="172">
        <f ca="1">(VLOOKUP(BT$72,INDIRECT($C$5&amp;"生成成长"),2))/((VLOOKUP($B74,INDIRECT($B$5&amp;"生成成长"),4))/(VLOOKUP(BT$72,INDIRECT($C$5&amp;"生成成长"),5))*(VLOOKUP($B$5,标准坦克设计!$B$24:$U$30,MATCH("对"&amp;LEFT($C$5,2)&amp;"输出",标准坦克设计!$B$23:$U$23,0)))*(VLOOKUP($B74,INDIRECT($B$5&amp;"生成成长"),3))*(VLOOKUP($B$5,标准坦克设计!$B$14:$K$20,9)/30))</f>
        <v>51.09235682372875</v>
      </c>
      <c r="BU74" s="172">
        <f ca="1">(VLOOKUP(BU$72,INDIRECT($C$5&amp;"生成成长"),2))/((VLOOKUP($B74,INDIRECT($B$5&amp;"生成成长"),4))/(VLOOKUP(BU$72,INDIRECT($C$5&amp;"生成成长"),5))*(VLOOKUP($B$5,标准坦克设计!$B$24:$U$30,MATCH("对"&amp;LEFT($C$5,2)&amp;"输出",标准坦克设计!$B$23:$U$23,0)))*(VLOOKUP($B74,INDIRECT($B$5&amp;"生成成长"),3))*(VLOOKUP($B$5,标准坦克设计!$B$14:$K$20,9)/30))</f>
        <v>55.14577095197199</v>
      </c>
      <c r="BV74" s="172">
        <f ca="1">(VLOOKUP(BV$72,INDIRECT($C$5&amp;"生成成长"),2))/((VLOOKUP($B74,INDIRECT($B$5&amp;"生成成长"),4))/(VLOOKUP(BV$72,INDIRECT($C$5&amp;"生成成长"),5))*(VLOOKUP($B$5,标准坦克设计!$B$24:$U$30,MATCH("对"&amp;LEFT($C$5,2)&amp;"输出",标准坦克设计!$B$23:$U$23,0)))*(VLOOKUP($B74,INDIRECT($B$5&amp;"生成成长"),3))*(VLOOKUP($B$5,标准坦克设计!$B$14:$K$20,9)/30))</f>
        <v>59.353895543125304</v>
      </c>
      <c r="BW74" s="172">
        <f ca="1">(VLOOKUP(BW$72,INDIRECT($C$5&amp;"生成成长"),2))/((VLOOKUP($B74,INDIRECT($B$5&amp;"生成成长"),4))/(VLOOKUP(BW$72,INDIRECT($C$5&amp;"生成成长"),5))*(VLOOKUP($B$5,标准坦克设计!$B$24:$U$30,MATCH("对"&amp;LEFT($C$5,2)&amp;"输出",标准坦克设计!$B$23:$U$23,0)))*(VLOOKUP($B74,INDIRECT($B$5&amp;"生成成长"),3))*(VLOOKUP($B$5,标准坦克设计!$B$14:$K$20,9)/30))</f>
        <v>27.050350887507314</v>
      </c>
      <c r="BX74" s="172">
        <f ca="1">(VLOOKUP(BX$72,INDIRECT($C$5&amp;"生成成长"),2))/((VLOOKUP($B74,INDIRECT($B$5&amp;"生成成长"),4))/(VLOOKUP(BX$72,INDIRECT($C$5&amp;"生成成长"),5))*(VLOOKUP($B$5,标准坦克设计!$B$24:$U$30,MATCH("对"&amp;LEFT($C$5,2)&amp;"输出",标准坦克设计!$B$23:$U$23,0)))*(VLOOKUP($B74,INDIRECT($B$5&amp;"生成成长"),3))*(VLOOKUP($B$5,标准坦克设计!$B$14:$K$20,9)/30))</f>
        <v>30.020791775380232</v>
      </c>
      <c r="BY74" s="172">
        <f ca="1">(VLOOKUP(BY$72,INDIRECT($C$5&amp;"生成成长"),2))/((VLOOKUP($B74,INDIRECT($B$5&amp;"生成成长"),4))/(VLOOKUP(BY$72,INDIRECT($C$5&amp;"生成成长"),5))*(VLOOKUP($B$5,标准坦克设计!$B$24:$U$30,MATCH("对"&amp;LEFT($C$5,2)&amp;"输出",标准坦克设计!$B$23:$U$23,0)))*(VLOOKUP($B74,INDIRECT($B$5&amp;"生成成长"),3))*(VLOOKUP($B$5,标准坦克设计!$B$14:$K$20,9)/30))</f>
        <v>33.145943126163196</v>
      </c>
      <c r="BZ74" s="172">
        <f ca="1">(VLOOKUP(BZ$72,INDIRECT($C$5&amp;"生成成长"),2))/((VLOOKUP($B74,INDIRECT($B$5&amp;"生成成长"),4))/(VLOOKUP(BZ$72,INDIRECT($C$5&amp;"生成成长"),5))*(VLOOKUP($B$5,标准坦克设计!$B$24:$U$30,MATCH("对"&amp;LEFT($C$5,2)&amp;"输出",标准坦克设计!$B$23:$U$23,0)))*(VLOOKUP($B74,INDIRECT($B$5&amp;"生成成长"),3))*(VLOOKUP($B$5,标准坦克设计!$B$14:$K$20,9)/30))</f>
        <v>36.425804939856214</v>
      </c>
      <c r="CA74" s="172">
        <f ca="1">(VLOOKUP(CA$72,INDIRECT($C$5&amp;"生成成长"),2))/((VLOOKUP($B74,INDIRECT($B$5&amp;"生成成长"),4))/(VLOOKUP(CA$72,INDIRECT($C$5&amp;"生成成长"),5))*(VLOOKUP($B$5,标准坦克设计!$B$24:$U$30,MATCH("对"&amp;LEFT($C$5,2)&amp;"输出",标准坦克设计!$B$23:$U$23,0)))*(VLOOKUP($B74,INDIRECT($B$5&amp;"生成成长"),3))*(VLOOKUP($B$5,标准坦克设计!$B$14:$K$20,9)/30))</f>
        <v>39.86037721645927</v>
      </c>
      <c r="CB74" s="172">
        <f ca="1">(VLOOKUP(CB$72,INDIRECT($C$5&amp;"生成成长"),2))/((VLOOKUP($B74,INDIRECT($B$5&amp;"生成成长"),4))/(VLOOKUP(CB$72,INDIRECT($C$5&amp;"生成成长"),5))*(VLOOKUP($B$5,标准坦克设计!$B$24:$U$30,MATCH("对"&amp;LEFT($C$5,2)&amp;"输出",标准坦克设计!$B$23:$U$23,0)))*(VLOOKUP($B74,INDIRECT($B$5&amp;"生成成长"),3))*(VLOOKUP($B$5,标准坦克设计!$B$14:$K$20,9)/30))</f>
        <v>43.449659955972393</v>
      </c>
      <c r="CC74" s="172">
        <f ca="1">(VLOOKUP(CC$72,INDIRECT($C$5&amp;"生成成长"),2))/((VLOOKUP($B74,INDIRECT($B$5&amp;"生成成长"),4))/(VLOOKUP(CC$72,INDIRECT($C$5&amp;"生成成长"),5))*(VLOOKUP($B$5,标准坦克设计!$B$24:$U$30,MATCH("对"&amp;LEFT($C$5,2)&amp;"输出",标准坦克设计!$B$23:$U$23,0)))*(VLOOKUP($B74,INDIRECT($B$5&amp;"生成成长"),3))*(VLOOKUP($B$5,标准坦克设计!$B$14:$K$20,9)/30))</f>
        <v>47.193653158395534</v>
      </c>
      <c r="CD74" s="172">
        <f ca="1">(VLOOKUP(CD$72,INDIRECT($C$5&amp;"生成成长"),2))/((VLOOKUP($B74,INDIRECT($B$5&amp;"生成成长"),4))/(VLOOKUP(CD$72,INDIRECT($C$5&amp;"生成成长"),5))*(VLOOKUP($B$5,标准坦克设计!$B$24:$U$30,MATCH("对"&amp;LEFT($C$5,2)&amp;"输出",标准坦克设计!$B$23:$U$23,0)))*(VLOOKUP($B74,INDIRECT($B$5&amp;"生成成长"),3))*(VLOOKUP($B$5,标准坦克设计!$B$14:$K$20,9)/30))</f>
        <v>51.09235682372875</v>
      </c>
      <c r="CE74" s="172">
        <f ca="1">(VLOOKUP(CE$72,INDIRECT($C$5&amp;"生成成长"),2))/((VLOOKUP($B74,INDIRECT($B$5&amp;"生成成长"),4))/(VLOOKUP(CE$72,INDIRECT($C$5&amp;"生成成长"),5))*(VLOOKUP($B$5,标准坦克设计!$B$24:$U$30,MATCH("对"&amp;LEFT($C$5,2)&amp;"输出",标准坦克设计!$B$23:$U$23,0)))*(VLOOKUP($B74,INDIRECT($B$5&amp;"生成成长"),3))*(VLOOKUP($B$5,标准坦克设计!$B$14:$K$20,9)/30))</f>
        <v>55.14577095197199</v>
      </c>
      <c r="CF74" s="172">
        <f ca="1">(VLOOKUP(CF$72,INDIRECT($C$5&amp;"生成成长"),2))/((VLOOKUP($B74,INDIRECT($B$5&amp;"生成成长"),4))/(VLOOKUP(CF$72,INDIRECT($C$5&amp;"生成成长"),5))*(VLOOKUP($B$5,标准坦克设计!$B$24:$U$30,MATCH("对"&amp;LEFT($C$5,2)&amp;"输出",标准坦克设计!$B$23:$U$23,0)))*(VLOOKUP($B74,INDIRECT($B$5&amp;"生成成长"),3))*(VLOOKUP($B$5,标准坦克设计!$B$14:$K$20,9)/30))</f>
        <v>59.353895543125304</v>
      </c>
      <c r="CG74" s="172">
        <f ca="1">(VLOOKUP(CG$72,INDIRECT($C$5&amp;"生成成长"),2))/((VLOOKUP($B74,INDIRECT($B$5&amp;"生成成长"),4))/(VLOOKUP(CG$72,INDIRECT($C$5&amp;"生成成长"),5))*(VLOOKUP($B$5,标准坦克设计!$B$24:$U$30,MATCH("对"&amp;LEFT($C$5,2)&amp;"输出",标准坦克设计!$B$23:$U$23,0)))*(VLOOKUP($B74,INDIRECT($B$5&amp;"生成成长"),3))*(VLOOKUP($B$5,标准坦克设计!$B$14:$K$20,9)/30))</f>
        <v>63.716730597188636</v>
      </c>
      <c r="CH74" s="172">
        <f ca="1">(VLOOKUP(CH$72,INDIRECT($C$5&amp;"生成成长"),2))/((VLOOKUP($B74,INDIRECT($B$5&amp;"生成成长"),4))/(VLOOKUP(CH$72,INDIRECT($C$5&amp;"生成成长"),5))*(VLOOKUP($B$5,标准坦克设计!$B$24:$U$30,MATCH("对"&amp;LEFT($C$5,2)&amp;"输出",标准坦克设计!$B$23:$U$23,0)))*(VLOOKUP($B74,INDIRECT($B$5&amp;"生成成长"),3))*(VLOOKUP($B$5,标准坦克设计!$B$14:$K$20,9)/30))</f>
        <v>68.234276114162043</v>
      </c>
      <c r="CI74" s="172">
        <f ca="1">(VLOOKUP(CI$72,INDIRECT($C$5&amp;"生成成长"),2))/((VLOOKUP($B74,INDIRECT($B$5&amp;"生成成长"),4))/(VLOOKUP(CI$72,INDIRECT($C$5&amp;"生成成长"),5))*(VLOOKUP($B$5,标准坦克设计!$B$24:$U$30,MATCH("对"&amp;LEFT($C$5,2)&amp;"输出",标准坦克设计!$B$23:$U$23,0)))*(VLOOKUP($B74,INDIRECT($B$5&amp;"生成成长"),3))*(VLOOKUP($B$5,标准坦克设计!$B$14:$K$20,9)/30))</f>
        <v>73.382266767493874</v>
      </c>
      <c r="CJ74" s="172">
        <f ca="1">(VLOOKUP(CJ$72,INDIRECT($C$5&amp;"生成成长"),2))/((VLOOKUP($B74,INDIRECT($B$5&amp;"生成成长"),4))/(VLOOKUP(CJ$72,INDIRECT($C$5&amp;"生成成长"),5))*(VLOOKUP($B$5,标准坦克设计!$B$24:$U$30,MATCH("对"&amp;LEFT($C$5,2)&amp;"输出",标准坦克设计!$B$23:$U$23,0)))*(VLOOKUP($B74,INDIRECT($B$5&amp;"生成成长"),3))*(VLOOKUP($B$5,标准坦克设计!$B$14:$K$20,9)/30))</f>
        <v>78.717457080946872</v>
      </c>
      <c r="CK74" s="172">
        <f ca="1">(VLOOKUP(CK$72,INDIRECT($C$5&amp;"生成成长"),2))/((VLOOKUP($B74,INDIRECT($B$5&amp;"生成成长"),4))/(VLOOKUP(CK$72,INDIRECT($C$5&amp;"生成成长"),5))*(VLOOKUP($B$5,标准坦克设计!$B$24:$U$30,MATCH("对"&amp;LEFT($C$5,2)&amp;"输出",标准坦克设计!$B$23:$U$23,0)))*(VLOOKUP($B74,INDIRECT($B$5&amp;"生成成长"),3))*(VLOOKUP($B$5,标准坦克设计!$B$14:$K$20,9)/30))</f>
        <v>84.239847054521036</v>
      </c>
      <c r="CL74" s="172">
        <f ca="1">(VLOOKUP(CL$72,INDIRECT($C$5&amp;"生成成长"),2))/((VLOOKUP($B74,INDIRECT($B$5&amp;"生成成长"),4))/(VLOOKUP(CL$72,INDIRECT($C$5&amp;"生成成长"),5))*(VLOOKUP($B$5,标准坦克设计!$B$24:$U$30,MATCH("对"&amp;LEFT($C$5,2)&amp;"输出",标准坦克设计!$B$23:$U$23,0)))*(VLOOKUP($B74,INDIRECT($B$5&amp;"生成成长"),3))*(VLOOKUP($B$5,标准坦克设计!$B$14:$K$20,9)/30))</f>
        <v>89.949436688216366</v>
      </c>
      <c r="CM74" s="172">
        <f ca="1">(VLOOKUP(CM$72,INDIRECT($C$5&amp;"生成成长"),2))/((VLOOKUP($B74,INDIRECT($B$5&amp;"生成成长"),4))/(VLOOKUP(CM$72,INDIRECT($C$5&amp;"生成成长"),5))*(VLOOKUP($B$5,标准坦克设计!$B$24:$U$30,MATCH("对"&amp;LEFT($C$5,2)&amp;"输出",标准坦克设计!$B$23:$U$23,0)))*(VLOOKUP($B74,INDIRECT($B$5&amp;"生成成长"),3))*(VLOOKUP($B$5,标准坦克设计!$B$14:$K$20,9)/30))</f>
        <v>95.846225982032834</v>
      </c>
      <c r="CN74" s="172">
        <f ca="1">(VLOOKUP(CN$72,INDIRECT($C$5&amp;"生成成长"),2))/((VLOOKUP($B74,INDIRECT($B$5&amp;"生成成长"),4))/(VLOOKUP(CN$72,INDIRECT($C$5&amp;"生成成长"),5))*(VLOOKUP($B$5,标准坦克设计!$B$24:$U$30,MATCH("对"&amp;LEFT($C$5,2)&amp;"输出",标准坦克设计!$B$23:$U$23,0)))*(VLOOKUP($B74,INDIRECT($B$5&amp;"生成成长"),3))*(VLOOKUP($B$5,标准坦克设计!$B$14:$K$20,9)/30))</f>
        <v>101.93021493597047</v>
      </c>
      <c r="CO74" s="172">
        <f ca="1">(VLOOKUP(CO$72,INDIRECT($C$5&amp;"生成成长"),2))/((VLOOKUP($B74,INDIRECT($B$5&amp;"生成成长"),4))/(VLOOKUP(CO$72,INDIRECT($C$5&amp;"生成成长"),5))*(VLOOKUP($B$5,标准坦克设计!$B$24:$U$30,MATCH("对"&amp;LEFT($C$5,2)&amp;"输出",标准坦克设计!$B$23:$U$23,0)))*(VLOOKUP($B74,INDIRECT($B$5&amp;"生成成长"),3))*(VLOOKUP($B$5,标准坦克设计!$B$14:$K$20,9)/30))</f>
        <v>45.67749062187707</v>
      </c>
      <c r="CP74" s="172">
        <f ca="1">(VLOOKUP(CP$72,INDIRECT($C$5&amp;"生成成长"),2))/((VLOOKUP($B74,INDIRECT($B$5&amp;"生成成长"),4))/(VLOOKUP(CP$72,INDIRECT($C$5&amp;"生成成长"),5))*(VLOOKUP($B$5,标准坦克设计!$B$24:$U$30,MATCH("对"&amp;LEFT($C$5,2)&amp;"输出",标准坦克设计!$B$23:$U$23,0)))*(VLOOKUP($B74,INDIRECT($B$5&amp;"生成成长"),3))*(VLOOKUP($B$5,标准坦克设计!$B$14:$K$20,9)/30))</f>
        <v>49.906501125523228</v>
      </c>
      <c r="CQ74" s="172">
        <f ca="1">(VLOOKUP(CQ$72,INDIRECT($C$5&amp;"生成成长"),2))/((VLOOKUP($B74,INDIRECT($B$5&amp;"生成成长"),4))/(VLOOKUP(CQ$72,INDIRECT($C$5&amp;"生成成长"),5))*(VLOOKUP($B$5,标准坦克设计!$B$24:$U$30,MATCH("对"&amp;LEFT($C$5,2)&amp;"输出",标准坦克设计!$B$23:$U$23,0)))*(VLOOKUP($B74,INDIRECT($B$5&amp;"生成成长"),3))*(VLOOKUP($B$5,标准坦克设计!$B$14:$K$20,9)/30))</f>
        <v>54.322711289290538</v>
      </c>
      <c r="CR74" s="172">
        <f ca="1">(VLOOKUP(CR$72,INDIRECT($C$5&amp;"生成成长"),2))/((VLOOKUP($B74,INDIRECT($B$5&amp;"生成成长"),4))/(VLOOKUP(CR$72,INDIRECT($C$5&amp;"生成成长"),5))*(VLOOKUP($B$5,标准坦克设计!$B$24:$U$30,MATCH("对"&amp;LEFT($C$5,2)&amp;"输出",标准坦克设计!$B$23:$U$23,0)))*(VLOOKUP($B74,INDIRECT($B$5&amp;"生成成长"),3))*(VLOOKUP($B$5,标准坦克设计!$B$14:$K$20,9)/30))</f>
        <v>58.926121113179022</v>
      </c>
      <c r="CS74" s="172">
        <f ca="1">(VLOOKUP(CS$72,INDIRECT($C$5&amp;"生成成长"),2))/((VLOOKUP($B74,INDIRECT($B$5&amp;"生成成长"),4))/(VLOOKUP(CS$72,INDIRECT($C$5&amp;"生成成长"),5))*(VLOOKUP($B$5,标准坦克设计!$B$24:$U$30,MATCH("对"&amp;LEFT($C$5,2)&amp;"输出",标准坦克设计!$B$23:$U$23,0)))*(VLOOKUP($B74,INDIRECT($B$5&amp;"生成成长"),3))*(VLOOKUP($B$5,标准坦克设计!$B$14:$K$20,9)/30))</f>
        <v>63.716730597188636</v>
      </c>
      <c r="CT74" s="172">
        <f ca="1">(VLOOKUP(CT$72,INDIRECT($C$5&amp;"生成成长"),2))/((VLOOKUP($B74,INDIRECT($B$5&amp;"生成成长"),4))/(VLOOKUP(CT$72,INDIRECT($C$5&amp;"生成成长"),5))*(VLOOKUP($B$5,标准坦克设计!$B$24:$U$30,MATCH("对"&amp;LEFT($C$5,2)&amp;"输出",标准坦克设计!$B$23:$U$23,0)))*(VLOOKUP($B74,INDIRECT($B$5&amp;"生成成长"),3))*(VLOOKUP($B$5,标准坦克设计!$B$14:$K$20,9)/30))</f>
        <v>68.694539741319431</v>
      </c>
      <c r="CU74" s="172">
        <f ca="1">(VLOOKUP(CU$72,INDIRECT($C$5&amp;"生成成长"),2))/((VLOOKUP($B74,INDIRECT($B$5&amp;"生成成长"),4))/(VLOOKUP(CU$72,INDIRECT($C$5&amp;"生成成长"),5))*(VLOOKUP($B$5,标准坦克设计!$B$24:$U$30,MATCH("对"&amp;LEFT($C$5,2)&amp;"输出",标准坦克设计!$B$23:$U$23,0)))*(VLOOKUP($B74,INDIRECT($B$5&amp;"生成成长"),3))*(VLOOKUP($B$5,标准坦克设计!$B$14:$K$20,9)/30))</f>
        <v>73.859548545571386</v>
      </c>
      <c r="CV74" s="172">
        <f ca="1">(VLOOKUP(CV$72,INDIRECT($C$5&amp;"生成成长"),2))/((VLOOKUP($B74,INDIRECT($B$5&amp;"生成成长"),4))/(VLOOKUP(CV$72,INDIRECT($C$5&amp;"生成成长"),5))*(VLOOKUP($B$5,标准坦克设计!$B$24:$U$30,MATCH("对"&amp;LEFT($C$5,2)&amp;"输出",标准坦克设计!$B$23:$U$23,0)))*(VLOOKUP($B74,INDIRECT($B$5&amp;"生成成长"),3))*(VLOOKUP($B$5,标准坦克设计!$B$14:$K$20,9)/30))</f>
        <v>79.211757009944506</v>
      </c>
      <c r="CW74" s="172">
        <f ca="1">(VLOOKUP(CW$72,INDIRECT($C$5&amp;"生成成长"),2))/((VLOOKUP($B74,INDIRECT($B$5&amp;"生成成长"),4))/(VLOOKUP(CW$72,INDIRECT($C$5&amp;"生成成长"),5))*(VLOOKUP($B$5,标准坦克设计!$B$24:$U$30,MATCH("对"&amp;LEFT($C$5,2)&amp;"输出",标准坦克设计!$B$23:$U$23,0)))*(VLOOKUP($B74,INDIRECT($B$5&amp;"生成成长"),3))*(VLOOKUP($B$5,标准坦克设计!$B$14:$K$20,9)/30))</f>
        <v>84.751165134438764</v>
      </c>
      <c r="CX74" s="172">
        <f ca="1">(VLOOKUP(CX$72,INDIRECT($C$5&amp;"生成成长"),2))/((VLOOKUP($B74,INDIRECT($B$5&amp;"生成成长"),4))/(VLOOKUP(CX$72,INDIRECT($C$5&amp;"生成成长"),5))*(VLOOKUP($B$5,标准坦克设计!$B$24:$U$30,MATCH("对"&amp;LEFT($C$5,2)&amp;"输出",标准坦克设计!$B$23:$U$23,0)))*(VLOOKUP($B74,INDIRECT($B$5&amp;"生成成长"),3))*(VLOOKUP($B$5,标准坦克设计!$B$14:$K$20,9)/30))</f>
        <v>90.477772919054175</v>
      </c>
      <c r="CY74" s="172">
        <f ca="1">(VLOOKUP(CY$72,INDIRECT($C$5&amp;"生成成长"),2))/((VLOOKUP($B74,INDIRECT($B$5&amp;"生成成长"),4))/(VLOOKUP(CY$72,INDIRECT($C$5&amp;"生成成长"),5))*(VLOOKUP($B$5,标准坦克设计!$B$24:$U$30,MATCH("对"&amp;LEFT($C$5,2)&amp;"输出",标准坦克设计!$B$23:$U$23,0)))*(VLOOKUP($B74,INDIRECT($B$5&amp;"生成成长"),3))*(VLOOKUP($B$5,标准坦克设计!$B$14:$K$20,9)/30))</f>
        <v>96.391580363790737</v>
      </c>
      <c r="CZ74" s="172">
        <f ca="1">(VLOOKUP(CZ$72,INDIRECT($C$5&amp;"生成成长"),2))/((VLOOKUP($B74,INDIRECT($B$5&amp;"生成成长"),4))/(VLOOKUP(CZ$72,INDIRECT($C$5&amp;"生成成长"),5))*(VLOOKUP($B$5,标准坦克设计!$B$24:$U$30,MATCH("对"&amp;LEFT($C$5,2)&amp;"输出",标准坦克设计!$B$23:$U$23,0)))*(VLOOKUP($B74,INDIRECT($B$5&amp;"生成成长"),3))*(VLOOKUP($B$5,标准坦克设计!$B$14:$K$20,9)/30))</f>
        <v>102.49258746864848</v>
      </c>
      <c r="DA74" s="172">
        <f ca="1">(VLOOKUP(DA$72,INDIRECT($C$5&amp;"生成成长"),2))/((VLOOKUP($B74,INDIRECT($B$5&amp;"生成成长"),4))/(VLOOKUP(DA$72,INDIRECT($C$5&amp;"生成成长"),5))*(VLOOKUP($B$5,标准坦克设计!$B$24:$U$30,MATCH("对"&amp;LEFT($C$5,2)&amp;"输出",标准坦克设计!$B$23:$U$23,0)))*(VLOOKUP($B74,INDIRECT($B$5&amp;"生成成长"),3))*(VLOOKUP($B$5,标准坦克设计!$B$14:$K$20,9)/30))</f>
        <v>108.78079423362738</v>
      </c>
      <c r="DB74" s="172">
        <f ca="1">(VLOOKUP(DB$72,INDIRECT($C$5&amp;"生成成长"),2))/((VLOOKUP($B74,INDIRECT($B$5&amp;"生成成长"),4))/(VLOOKUP(DB$72,INDIRECT($C$5&amp;"生成成长"),5))*(VLOOKUP($B$5,标准坦克设计!$B$24:$U$30,MATCH("对"&amp;LEFT($C$5,2)&amp;"输出",标准坦克设计!$B$23:$U$23,0)))*(VLOOKUP($B74,INDIRECT($B$5&amp;"生成成长"),3))*(VLOOKUP($B$5,标准坦克设计!$B$14:$K$20,9)/30))</f>
        <v>115.25620065872744</v>
      </c>
      <c r="DC74" s="172">
        <f ca="1">(VLOOKUP(DC$72,INDIRECT($C$5&amp;"生成成长"),2))/((VLOOKUP($B74,INDIRECT($B$5&amp;"生成成长"),4))/(VLOOKUP(DC$72,INDIRECT($C$5&amp;"生成成长"),5))*(VLOOKUP($B$5,标准坦克设计!$B$24:$U$30,MATCH("对"&amp;LEFT($C$5,2)&amp;"输出",标准坦克设计!$B$23:$U$23,0)))*(VLOOKUP($B74,INDIRECT($B$5&amp;"生成成长"),3))*(VLOOKUP($B$5,标准坦克设计!$B$14:$K$20,9)/30))</f>
        <v>122.53378083401608</v>
      </c>
      <c r="DD74" s="172">
        <f ca="1">(VLOOKUP(DD$72,INDIRECT($C$5&amp;"生成成长"),2))/((VLOOKUP($B74,INDIRECT($B$5&amp;"生成成长"),4))/(VLOOKUP(DD$72,INDIRECT($C$5&amp;"生成成长"),5))*(VLOOKUP($B$5,标准坦克设计!$B$24:$U$30,MATCH("对"&amp;LEFT($C$5,2)&amp;"输出",标准坦克设计!$B$23:$U$23,0)))*(VLOOKUP($B74,INDIRECT($B$5&amp;"生成成长"),3))*(VLOOKUP($B$5,标准坦克设计!$B$14:$K$20,9)/30))</f>
        <v>130.0341440758952</v>
      </c>
      <c r="DE74" s="172">
        <f ca="1">(VLOOKUP(DE$72,INDIRECT($C$5&amp;"生成成长"),2))/((VLOOKUP($B74,INDIRECT($B$5&amp;"生成成长"),4))/(VLOOKUP(DE$72,INDIRECT($C$5&amp;"生成成长"),5))*(VLOOKUP($B$5,标准坦克设计!$B$24:$U$30,MATCH("对"&amp;LEFT($C$5,2)&amp;"输出",标准坦克设计!$B$23:$U$23,0)))*(VLOOKUP($B74,INDIRECT($B$5&amp;"生成成长"),3))*(VLOOKUP($B$5,标准坦克设计!$B$14:$K$20,9)/30))</f>
        <v>137.75729038436481</v>
      </c>
      <c r="DF74" s="172">
        <f ca="1">(VLOOKUP(DF$72,INDIRECT($C$5&amp;"生成成长"),2))/((VLOOKUP($B74,INDIRECT($B$5&amp;"生成成长"),4))/(VLOOKUP(DF$72,INDIRECT($C$5&amp;"生成成长"),5))*(VLOOKUP($B$5,标准坦克设计!$B$24:$U$30,MATCH("对"&amp;LEFT($C$5,2)&amp;"输出",标准坦克设计!$B$23:$U$23,0)))*(VLOOKUP($B74,INDIRECT($B$5&amp;"生成成长"),3))*(VLOOKUP($B$5,标准坦克设计!$B$14:$K$20,9)/30))</f>
        <v>145.70321975942485</v>
      </c>
      <c r="DG74" s="172">
        <f ca="1">(VLOOKUP(DG$72,INDIRECT($C$5&amp;"生成成长"),2))/((VLOOKUP($B74,INDIRECT($B$5&amp;"生成成长"),4))/(VLOOKUP(DG$72,INDIRECT($C$5&amp;"生成成长"),5))*(VLOOKUP($B$5,标准坦克设计!$B$24:$U$30,MATCH("对"&amp;LEFT($C$5,2)&amp;"输出",标准坦克设计!$B$23:$U$23,0)))*(VLOOKUP($B74,INDIRECT($B$5&amp;"生成成长"),3))*(VLOOKUP($B$5,标准坦克设计!$B$14:$K$20,9)/30))</f>
        <v>153.87193220107537</v>
      </c>
      <c r="DH74" s="172">
        <f ca="1">(VLOOKUP(DH$72,INDIRECT($C$5&amp;"生成成长"),2))/((VLOOKUP($B74,INDIRECT($B$5&amp;"生成成长"),4))/(VLOOKUP(DH$72,INDIRECT($C$5&amp;"生成成长"),5))*(VLOOKUP($B$5,标准坦克设计!$B$24:$U$30,MATCH("对"&amp;LEFT($C$5,2)&amp;"输出",标准坦克设计!$B$23:$U$23,0)))*(VLOOKUP($B74,INDIRECT($B$5&amp;"生成成长"),3))*(VLOOKUP($B$5,标准坦克设计!$B$14:$K$20,9)/30))</f>
        <v>162.26342770931635</v>
      </c>
      <c r="DI74" s="172">
        <f ca="1">(VLOOKUP(DI$72,INDIRECT($C$5&amp;"生成成长"),2))/((VLOOKUP($B74,INDIRECT($B$5&amp;"生成成长"),4))/(VLOOKUP(DI$72,INDIRECT($C$5&amp;"生成成长"),5))*(VLOOKUP($B$5,标准坦克设计!$B$24:$U$30,MATCH("对"&amp;LEFT($C$5,2)&amp;"输出",标准坦克设计!$B$23:$U$23,0)))*(VLOOKUP($B74,INDIRECT($B$5&amp;"生成成长"),3))*(VLOOKUP($B$5,标准坦克设计!$B$14:$K$20,9)/30))</f>
        <v>170.87770628414785</v>
      </c>
      <c r="DJ74" s="172">
        <f ca="1">(VLOOKUP(DJ$72,INDIRECT($C$5&amp;"生成成长"),2))/((VLOOKUP($B74,INDIRECT($B$5&amp;"生成成长"),4))/(VLOOKUP(DJ$72,INDIRECT($C$5&amp;"生成成长"),5))*(VLOOKUP($B$5,标准坦克设计!$B$24:$U$30,MATCH("对"&amp;LEFT($C$5,2)&amp;"输出",标准坦克设计!$B$23:$U$23,0)))*(VLOOKUP($B74,INDIRECT($B$5&amp;"生成成长"),3))*(VLOOKUP($B$5,标准坦克设计!$B$14:$K$20,9)/30))</f>
        <v>17.173634935329858</v>
      </c>
      <c r="DK74" s="172">
        <f ca="1">(VLOOKUP(DK$72,INDIRECT($C$5&amp;"生成成长"),2))/((VLOOKUP($B74,INDIRECT($B$5&amp;"生成成长"),4))/(VLOOKUP(DK$72,INDIRECT($C$5&amp;"生成成长"),5))*(VLOOKUP($B$5,标准坦克设计!$B$24:$U$30,MATCH("对"&amp;LEFT($C$5,2)&amp;"输出",标准坦克设计!$B$23:$U$23,0)))*(VLOOKUP($B74,INDIRECT($B$5&amp;"生成成长"),3))*(VLOOKUP($B$5,标准坦克设计!$B$14:$K$20,9)/30))</f>
        <v>19.310959980432166</v>
      </c>
      <c r="DL74" s="172">
        <f ca="1">(VLOOKUP(DL$72,INDIRECT($C$5&amp;"生成成长"),2))/((VLOOKUP($B74,INDIRECT($B$5&amp;"生成成长"),4))/(VLOOKUP(DL$72,INDIRECT($C$5&amp;"生成成长"),5))*(VLOOKUP($B$5,标准坦克设计!$B$24:$U$30,MATCH("对"&amp;LEFT($C$5,2)&amp;"输出",标准坦克设计!$B$23:$U$23,0)))*(VLOOKUP($B74,INDIRECT($B$5&amp;"生成成长"),3))*(VLOOKUP($B$5,标准坦克设计!$B$14:$K$20,9)/30))</f>
        <v>21.573600500491619</v>
      </c>
      <c r="DM74" s="172">
        <f ca="1">(VLOOKUP(DM$72,INDIRECT($C$5&amp;"生成成长"),2))/((VLOOKUP($B74,INDIRECT($B$5&amp;"生成成长"),4))/(VLOOKUP(DM$72,INDIRECT($C$5&amp;"生成成长"),5))*(VLOOKUP($B$5,标准坦克设计!$B$24:$U$30,MATCH("对"&amp;LEFT($C$5,2)&amp;"输出",标准坦克设计!$B$23:$U$23,0)))*(VLOOKUP($B74,INDIRECT($B$5&amp;"生成成长"),3))*(VLOOKUP($B$5,标准坦克设计!$B$14:$K$20,9)/30))</f>
        <v>23.961556495508209</v>
      </c>
      <c r="DN74" s="172">
        <f ca="1">(VLOOKUP(DN$72,INDIRECT($C$5&amp;"生成成长"),2))/((VLOOKUP($B74,INDIRECT($B$5&amp;"生成成长"),4))/(VLOOKUP(DN$72,INDIRECT($C$5&amp;"生成成长"),5))*(VLOOKUP($B$5,标准坦克设计!$B$24:$U$30,MATCH("对"&amp;LEFT($C$5,2)&amp;"输出",标准坦克设计!$B$23:$U$23,0)))*(VLOOKUP($B74,INDIRECT($B$5&amp;"生成成长"),3))*(VLOOKUP($B$5,标准坦克设计!$B$14:$K$20,9)/30))</f>
        <v>26.474827965481932</v>
      </c>
      <c r="DO74" s="172">
        <f ca="1">(VLOOKUP(DO$72,INDIRECT($C$5&amp;"生成成长"),2))/((VLOOKUP($B74,INDIRECT($B$5&amp;"生成成长"),4))/(VLOOKUP(DO$72,INDIRECT($C$5&amp;"生成成长"),5))*(VLOOKUP($B$5,标准坦克设计!$B$24:$U$30,MATCH("对"&amp;LEFT($C$5,2)&amp;"输出",标准坦克设计!$B$23:$U$23,0)))*(VLOOKUP($B74,INDIRECT($B$5&amp;"生成成长"),3))*(VLOOKUP($B$5,标准坦克设计!$B$14:$K$20,9)/30))</f>
        <v>29.113414910412803</v>
      </c>
      <c r="DP74" s="172">
        <f ca="1">(VLOOKUP(DP$72,INDIRECT($C$5&amp;"生成成长"),2))/((VLOOKUP($B74,INDIRECT($B$5&amp;"生成成长"),4))/(VLOOKUP(DP$72,INDIRECT($C$5&amp;"生成成长"),5))*(VLOOKUP($B$5,标准坦克设计!$B$24:$U$30,MATCH("对"&amp;LEFT($C$5,2)&amp;"输出",标准坦克设计!$B$23:$U$23,0)))*(VLOOKUP($B74,INDIRECT($B$5&amp;"生成成长"),3))*(VLOOKUP($B$5,标准坦克设计!$B$14:$K$20,9)/30))</f>
        <v>31.877317330300809</v>
      </c>
      <c r="DQ74" s="172">
        <f ca="1">(VLOOKUP(DQ$72,INDIRECT($C$5&amp;"生成成长"),2))/((VLOOKUP($B74,INDIRECT($B$5&amp;"生成成长"),4))/(VLOOKUP(DQ$72,INDIRECT($C$5&amp;"生成成长"),5))*(VLOOKUP($B$5,标准坦克设计!$B$24:$U$30,MATCH("对"&amp;LEFT($C$5,2)&amp;"输出",标准坦克设计!$B$23:$U$23,0)))*(VLOOKUP($B74,INDIRECT($B$5&amp;"生成成长"),3))*(VLOOKUP($B$5,标准坦克设计!$B$14:$K$20,9)/30))</f>
        <v>34.766535225145951</v>
      </c>
      <c r="DR74" s="172">
        <f ca="1">(VLOOKUP(DR$72,INDIRECT($C$5&amp;"生成成长"),2))/((VLOOKUP($B74,INDIRECT($B$5&amp;"生成成长"),4))/(VLOOKUP(DR$72,INDIRECT($C$5&amp;"生成成长"),5))*(VLOOKUP($B$5,标准坦克设计!$B$24:$U$30,MATCH("对"&amp;LEFT($C$5,2)&amp;"输出",标准坦克设计!$B$23:$U$23,0)))*(VLOOKUP($B74,INDIRECT($B$5&amp;"生成成长"),3))*(VLOOKUP($B$5,标准坦克设计!$B$14:$K$20,9)/30))</f>
        <v>37.781068594948223</v>
      </c>
      <c r="DS74" s="172">
        <f ca="1">(VLOOKUP(DS$72,INDIRECT($C$5&amp;"生成成长"),2))/((VLOOKUP($B74,INDIRECT($B$5&amp;"生成成长"),4))/(VLOOKUP(DS$72,INDIRECT($C$5&amp;"生成成长"),5))*(VLOOKUP($B$5,标准坦克设计!$B$24:$U$30,MATCH("对"&amp;LEFT($C$5,2)&amp;"输出",标准坦克设计!$B$23:$U$23,0)))*(VLOOKUP($B74,INDIRECT($B$5&amp;"生成成长"),3))*(VLOOKUP($B$5,标准坦克设计!$B$14:$K$20,9)/30))</f>
        <v>40.920917439707651</v>
      </c>
      <c r="DT74" s="172">
        <f ca="1">(VLOOKUP(DT$72,INDIRECT($C$5&amp;"生成成长"),2))/((VLOOKUP($B74,INDIRECT($B$5&amp;"生成成长"),4))/(VLOOKUP(DT$72,INDIRECT($C$5&amp;"生成成长"),5))*(VLOOKUP($B$5,标准坦克设计!$B$24:$U$30,MATCH("对"&amp;LEFT($C$5,2)&amp;"输出",标准坦克设计!$B$23:$U$23,0)))*(VLOOKUP($B74,INDIRECT($B$5&amp;"生成成长"),3))*(VLOOKUP($B$5,标准坦克设计!$B$14:$K$20,9)/30))</f>
        <v>44.928691981392447</v>
      </c>
      <c r="DU74" s="172">
        <f ca="1">(VLOOKUP(DU$72,INDIRECT($C$5&amp;"生成成长"),2))/((VLOOKUP($B74,INDIRECT($B$5&amp;"生成成长"),4))/(VLOOKUP(DU$72,INDIRECT($C$5&amp;"生成成长"),5))*(VLOOKUP($B$5,标准坦克设计!$B$24:$U$30,MATCH("对"&amp;LEFT($C$5,2)&amp;"输出",标准坦克设计!$B$23:$U$23,0)))*(VLOOKUP($B74,INDIRECT($B$5&amp;"生成成长"),3))*(VLOOKUP($B$5,标准坦克设计!$B$14:$K$20,9)/30))</f>
        <v>49.123666183198388</v>
      </c>
      <c r="DV74" s="172">
        <f ca="1">(VLOOKUP(DV$72,INDIRECT($C$5&amp;"生成成长"),2))/((VLOOKUP($B74,INDIRECT($B$5&amp;"生成成长"),4))/(VLOOKUP(DV$72,INDIRECT($C$5&amp;"生成成长"),5))*(VLOOKUP($B$5,标准坦克设计!$B$24:$U$30,MATCH("对"&amp;LEFT($C$5,2)&amp;"输出",标准坦克设计!$B$23:$U$23,0)))*(VLOOKUP($B74,INDIRECT($B$5&amp;"生成成长"),3))*(VLOOKUP($B$5,标准坦克设计!$B$14:$K$20,9)/30))</f>
        <v>53.505840045125488</v>
      </c>
      <c r="DW74" s="172">
        <f ca="1">(VLOOKUP(DW$72,INDIRECT($C$5&amp;"生成成长"),2))/((VLOOKUP($B74,INDIRECT($B$5&amp;"生成成长"),4))/(VLOOKUP(DW$72,INDIRECT($C$5&amp;"生成成长"),5))*(VLOOKUP($B$5,标准坦克设计!$B$24:$U$30,MATCH("对"&amp;LEFT($C$5,2)&amp;"输出",标准坦克设计!$B$23:$U$23,0)))*(VLOOKUP($B74,INDIRECT($B$5&amp;"生成成长"),3))*(VLOOKUP($B$5,标准坦克设计!$B$14:$K$20,9)/30))</f>
        <v>58.075213567173741</v>
      </c>
      <c r="DX74" s="172">
        <f ca="1">(VLOOKUP(DX$72,INDIRECT($C$5&amp;"生成成长"),2))/((VLOOKUP($B74,INDIRECT($B$5&amp;"生成成长"),4))/(VLOOKUP(DX$72,INDIRECT($C$5&amp;"生成成长"),5))*(VLOOKUP($B$5,标准坦克设计!$B$24:$U$30,MATCH("对"&amp;LEFT($C$5,2)&amp;"输出",标准坦克设计!$B$23:$U$23,0)))*(VLOOKUP($B74,INDIRECT($B$5&amp;"生成成长"),3))*(VLOOKUP($B$5,标准坦克设计!$B$14:$K$20,9)/30))</f>
        <v>62.831786749343181</v>
      </c>
      <c r="DY74" s="172">
        <f ca="1">(VLOOKUP(DY$72,INDIRECT($C$5&amp;"生成成长"),2))/((VLOOKUP($B74,INDIRECT($B$5&amp;"生成成长"),4))/(VLOOKUP(DY$72,INDIRECT($C$5&amp;"生成成长"),5))*(VLOOKUP($B$5,标准坦克设计!$B$24:$U$30,MATCH("对"&amp;LEFT($C$5,2)&amp;"输出",标准坦克设计!$B$23:$U$23,0)))*(VLOOKUP($B74,INDIRECT($B$5&amp;"生成成长"),3))*(VLOOKUP($B$5,标准坦克设计!$B$14:$K$20,9)/30))</f>
        <v>28.219961987107276</v>
      </c>
      <c r="DZ74" s="172">
        <f ca="1">(VLOOKUP(DZ$72,INDIRECT($C$5&amp;"生成成长"),2))/((VLOOKUP($B74,INDIRECT($B$5&amp;"生成成长"),4))/(VLOOKUP(DZ$72,INDIRECT($C$5&amp;"生成成长"),5))*(VLOOKUP($B$5,标准坦克设计!$B$24:$U$30,MATCH("对"&amp;LEFT($C$5,2)&amp;"输出",标准坦克设计!$B$23:$U$23,0)))*(VLOOKUP($B74,INDIRECT($B$5&amp;"生成成长"),3))*(VLOOKUP($B$5,标准坦克设计!$B$14:$K$20,9)/30))</f>
        <v>31.252287060144209</v>
      </c>
      <c r="EA74" s="172">
        <f ca="1">(VLOOKUP(EA$72,INDIRECT($C$5&amp;"生成成长"),2))/((VLOOKUP($B74,INDIRECT($B$5&amp;"生成成长"),4))/(VLOOKUP(EA$72,INDIRECT($C$5&amp;"生成成长"),5))*(VLOOKUP($B$5,标准坦克设计!$B$24:$U$30,MATCH("对"&amp;LEFT($C$5,2)&amp;"输出",标准坦克设计!$B$23:$U$23,0)))*(VLOOKUP($B74,INDIRECT($B$5&amp;"生成成长"),3))*(VLOOKUP($B$5,标准坦克设计!$B$14:$K$20,9)/30))</f>
        <v>34.439322596091202</v>
      </c>
      <c r="EB74" s="172">
        <f ca="1">(VLOOKUP(EB$72,INDIRECT($C$5&amp;"生成成长"),2))/((VLOOKUP($B74,INDIRECT($B$5&amp;"生成成长"),4))/(VLOOKUP(EB$72,INDIRECT($C$5&amp;"生成成长"),5))*(VLOOKUP($B$5,标准坦克设计!$B$24:$U$30,MATCH("对"&amp;LEFT($C$5,2)&amp;"输出",标准坦克设计!$B$23:$U$23,0)))*(VLOOKUP($B74,INDIRECT($B$5&amp;"生成成长"),3))*(VLOOKUP($B$5,标准坦克设计!$B$14:$K$20,9)/30))</f>
        <v>37.781068594948223</v>
      </c>
      <c r="EC74" s="172">
        <f ca="1">(VLOOKUP(EC$72,INDIRECT($C$5&amp;"生成成长"),2))/((VLOOKUP($B74,INDIRECT($B$5&amp;"生成成长"),4))/(VLOOKUP(EC$72,INDIRECT($C$5&amp;"生成成长"),5))*(VLOOKUP($B$5,标准坦克设计!$B$24:$U$30,MATCH("对"&amp;LEFT($C$5,2)&amp;"输出",标准坦克设计!$B$23:$U$23,0)))*(VLOOKUP($B74,INDIRECT($B$5&amp;"生成成长"),3))*(VLOOKUP($B$5,标准坦克设计!$B$14:$K$20,9)/30))</f>
        <v>41.277525056715305</v>
      </c>
      <c r="ED74" s="172">
        <f ca="1">(VLOOKUP(ED$72,INDIRECT($C$5&amp;"生成成长"),2))/((VLOOKUP($B74,INDIRECT($B$5&amp;"生成成长"),4))/(VLOOKUP(ED$72,INDIRECT($C$5&amp;"生成成长"),5))*(VLOOKUP($B$5,标准坦克设计!$B$24:$U$30,MATCH("对"&amp;LEFT($C$5,2)&amp;"输出",标准坦克设计!$B$23:$U$23,0)))*(VLOOKUP($B74,INDIRECT($B$5&amp;"生成成长"),3))*(VLOOKUP($B$5,标准坦克设计!$B$14:$K$20,9)/30))</f>
        <v>44.928691981392447</v>
      </c>
      <c r="EE74" s="172">
        <f ca="1">(VLOOKUP(EE$72,INDIRECT($C$5&amp;"生成成长"),2))/((VLOOKUP($B74,INDIRECT($B$5&amp;"生成成长"),4))/(VLOOKUP(EE$72,INDIRECT($C$5&amp;"生成成长"),5))*(VLOOKUP($B$5,标准坦克设计!$B$24:$U$30,MATCH("对"&amp;LEFT($C$5,2)&amp;"输出",标准坦克设计!$B$23:$U$23,0)))*(VLOOKUP($B74,INDIRECT($B$5&amp;"生成成长"),3))*(VLOOKUP($B$5,标准坦克设计!$B$14:$K$20,9)/30))</f>
        <v>48.734569368979621</v>
      </c>
      <c r="EF74" s="172">
        <f ca="1">(VLOOKUP(EF$72,INDIRECT($C$5&amp;"生成成长"),2))/((VLOOKUP($B74,INDIRECT($B$5&amp;"生成成长"),4))/(VLOOKUP(EF$72,INDIRECT($C$5&amp;"生成成长"),5))*(VLOOKUP($B$5,标准坦克设计!$B$24:$U$30,MATCH("对"&amp;LEFT($C$5,2)&amp;"输出",标准坦克设计!$B$23:$U$23,0)))*(VLOOKUP($B74,INDIRECT($B$5&amp;"生成成长"),3))*(VLOOKUP($B$5,标准坦克设计!$B$14:$K$20,9)/30))</f>
        <v>52.69515721947684</v>
      </c>
      <c r="EG74" s="172">
        <f ca="1">(VLOOKUP(EG$72,INDIRECT($C$5&amp;"生成成长"),2))/((VLOOKUP($B74,INDIRECT($B$5&amp;"生成成长"),4))/(VLOOKUP(EG$72,INDIRECT($C$5&amp;"生成成长"),5))*(VLOOKUP($B$5,标准坦克设计!$B$24:$U$30,MATCH("对"&amp;LEFT($C$5,2)&amp;"输出",标准坦克设计!$B$23:$U$23,0)))*(VLOOKUP($B74,INDIRECT($B$5&amp;"生成成长"),3))*(VLOOKUP($B$5,标准坦克设计!$B$14:$K$20,9)/30))</f>
        <v>56.810455532884113</v>
      </c>
      <c r="EH74" s="172">
        <f ca="1">(VLOOKUP(EH$72,INDIRECT($C$5&amp;"生成成长"),2))/((VLOOKUP($B74,INDIRECT($B$5&amp;"生成成长"),4))/(VLOOKUP(EH$72,INDIRECT($C$5&amp;"生成成长"),5))*(VLOOKUP($B$5,标准坦克设计!$B$24:$U$30,MATCH("对"&amp;LEFT($C$5,2)&amp;"输出",标准坦克设计!$B$23:$U$23,0)))*(VLOOKUP($B74,INDIRECT($B$5&amp;"生成成长"),3))*(VLOOKUP($B$5,标准坦克设计!$B$14:$K$20,9)/30))</f>
        <v>61.080464309201439</v>
      </c>
      <c r="EI74" s="172">
        <f ca="1">(VLOOKUP(EI$72,INDIRECT($C$5&amp;"生成成长"),2))/((VLOOKUP($B74,INDIRECT($B$5&amp;"生成成长"),4))/(VLOOKUP(EI$72,INDIRECT($C$5&amp;"生成成长"),5))*(VLOOKUP($B$5,标准坦克设计!$B$24:$U$30,MATCH("对"&amp;LEFT($C$5,2)&amp;"输出",标准坦克设计!$B$23:$U$23,0)))*(VLOOKUP($B74,INDIRECT($B$5&amp;"生成成长"),3))*(VLOOKUP($B$5,标准坦克设计!$B$14:$K$20,9)/30))</f>
        <v>65.505183548428803</v>
      </c>
      <c r="EJ74" s="172">
        <f ca="1">(VLOOKUP(EJ$72,INDIRECT($C$5&amp;"生成成长"),2))/((VLOOKUP($B74,INDIRECT($B$5&amp;"生成成长"),4))/(VLOOKUP(EJ$72,INDIRECT($C$5&amp;"生成成长"),5))*(VLOOKUP($B$5,标准坦克设计!$B$24:$U$30,MATCH("对"&amp;LEFT($C$5,2)&amp;"输出",标准坦克设计!$B$23:$U$23,0)))*(VLOOKUP($B74,INDIRECT($B$5&amp;"生成成长"),3))*(VLOOKUP($B$5,标准坦克设计!$B$14:$K$20,9)/30))</f>
        <v>70.084613250566221</v>
      </c>
      <c r="EK74" s="172">
        <f ca="1">(VLOOKUP(EK$72,INDIRECT($C$5&amp;"生成成长"),2))/((VLOOKUP($B74,INDIRECT($B$5&amp;"生成成长"),4))/(VLOOKUP(EK$72,INDIRECT($C$5&amp;"生成成长"),5))*(VLOOKUP($B$5,标准坦克设计!$B$24:$U$30,MATCH("对"&amp;LEFT($C$5,2)&amp;"输出",标准坦克设计!$B$23:$U$23,0)))*(VLOOKUP($B74,INDIRECT($B$5&amp;"生成成长"),3))*(VLOOKUP($B$5,标准坦克设计!$B$14:$K$20,9)/30))</f>
        <v>75.784146704172386</v>
      </c>
      <c r="EL74" s="172">
        <f ca="1">(VLOOKUP(EL$72,INDIRECT($C$5&amp;"生成成长"),2))/((VLOOKUP($B74,INDIRECT($B$5&amp;"生成成长"),4))/(VLOOKUP(EL$72,INDIRECT($C$5&amp;"生成成长"),5))*(VLOOKUP($B$5,标准坦克设计!$B$24:$U$30,MATCH("对"&amp;LEFT($C$5,2)&amp;"输出",标准坦克设计!$B$23:$U$23,0)))*(VLOOKUP($B74,INDIRECT($B$5&amp;"生成成长"),3))*(VLOOKUP($B$5,标准坦克设计!$B$14:$K$20,9)/30))</f>
        <v>81.706463224369017</v>
      </c>
      <c r="EM74" s="172">
        <f ca="1">(VLOOKUP(EM$72,INDIRECT($C$5&amp;"生成成长"),2))/((VLOOKUP($B74,INDIRECT($B$5&amp;"生成成长"),4))/(VLOOKUP(EM$72,INDIRECT($C$5&amp;"生成成长"),5))*(VLOOKUP($B$5,标准坦克设计!$B$24:$U$30,MATCH("对"&amp;LEFT($C$5,2)&amp;"输出",标准坦克设计!$B$23:$U$23,0)))*(VLOOKUP($B74,INDIRECT($B$5&amp;"生成成长"),3))*(VLOOKUP($B$5,标准坦克设计!$B$14:$K$20,9)/30))</f>
        <v>87.851562811156114</v>
      </c>
      <c r="EN74" s="172">
        <f ca="1">(VLOOKUP(EN$72,INDIRECT($C$5&amp;"生成成长"),2))/((VLOOKUP($B74,INDIRECT($B$5&amp;"生成成长"),4))/(VLOOKUP(EN$72,INDIRECT($C$5&amp;"生成成长"),5))*(VLOOKUP($B$5,标准坦克设计!$B$24:$U$30,MATCH("对"&amp;LEFT($C$5,2)&amp;"输出",标准坦克设计!$B$23:$U$23,0)))*(VLOOKUP($B74,INDIRECT($B$5&amp;"生成成长"),3))*(VLOOKUP($B$5,标准坦克设计!$B$14:$K$20,9)/30))</f>
        <v>94.219445464533692</v>
      </c>
      <c r="EO74" s="172">
        <f ca="1">(VLOOKUP(EO$72,INDIRECT($C$5&amp;"生成成长"),2))/((VLOOKUP($B74,INDIRECT($B$5&amp;"生成成长"),4))/(VLOOKUP(EO$72,INDIRECT($C$5&amp;"生成成长"),5))*(VLOOKUP($B$5,标准坦克设计!$B$24:$U$30,MATCH("对"&amp;LEFT($C$5,2)&amp;"输出",标准坦克设计!$B$23:$U$23,0)))*(VLOOKUP($B74,INDIRECT($B$5&amp;"生成成长"),3))*(VLOOKUP($B$5,标准坦克设计!$B$14:$K$20,9)/30))</f>
        <v>100.81011118450171</v>
      </c>
      <c r="EP74" s="172">
        <f ca="1">(VLOOKUP(EP$72,INDIRECT($C$5&amp;"生成成长"),2))/((VLOOKUP($B74,INDIRECT($B$5&amp;"生成成长"),4))/(VLOOKUP(EP$72,INDIRECT($C$5&amp;"生成成长"),5))*(VLOOKUP($B$5,标准坦克设计!$B$24:$U$30,MATCH("对"&amp;LEFT($C$5,2)&amp;"输出",标准坦克设计!$B$23:$U$23,0)))*(VLOOKUP($B74,INDIRECT($B$5&amp;"生成成长"),3))*(VLOOKUP($B$5,标准坦克设计!$B$14:$K$20,9)/30))</f>
        <v>107.6235599710602</v>
      </c>
      <c r="EQ74" s="172">
        <f ca="1">(VLOOKUP(EQ$72,INDIRECT($C$5&amp;"生成成长"),2))/((VLOOKUP($B74,INDIRECT($B$5&amp;"生成成长"),4))/(VLOOKUP(EQ$72,INDIRECT($C$5&amp;"生成成长"),5))*(VLOOKUP($B$5,标准坦克设计!$B$24:$U$30,MATCH("对"&amp;LEFT($C$5,2)&amp;"输出",标准坦克设计!$B$23:$U$23,0)))*(VLOOKUP($B74,INDIRECT($B$5&amp;"生成成长"),3))*(VLOOKUP($B$5,标准坦克设计!$B$14:$K$20,9)/30))</f>
        <v>47.576561554097907</v>
      </c>
      <c r="ER74" s="172">
        <f ca="1">(VLOOKUP(ER$72,INDIRECT($C$5&amp;"生成成长"),2))/((VLOOKUP($B74,INDIRECT($B$5&amp;"生成成长"),4))/(VLOOKUP(ER$72,INDIRECT($C$5&amp;"生成成长"),5))*(VLOOKUP($B$5,标准坦克设计!$B$24:$U$30,MATCH("对"&amp;LEFT($C$5,2)&amp;"输出",标准坦克设计!$B$23:$U$23,0)))*(VLOOKUP($B74,INDIRECT($B$5&amp;"生成成长"),3))*(VLOOKUP($B$5,标准坦克设计!$B$14:$K$20,9)/30))</f>
        <v>51.890662812344601</v>
      </c>
      <c r="ES74" s="172">
        <f ca="1">(VLOOKUP(ES$72,INDIRECT($C$5&amp;"生成成长"),2))/((VLOOKUP($B74,INDIRECT($B$5&amp;"生成成长"),4))/(VLOOKUP(ES$72,INDIRECT($C$5&amp;"生成成长"),5))*(VLOOKUP($B$5,标准坦克设计!$B$24:$U$30,MATCH("对"&amp;LEFT($C$5,2)&amp;"输出",标准坦克设计!$B$23:$U$23,0)))*(VLOOKUP($B74,INDIRECT($B$5&amp;"生成成长"),3))*(VLOOKUP($B$5,标准坦克设计!$B$14:$K$20,9)/30))</f>
        <v>56.391963730712433</v>
      </c>
      <c r="ET74" s="172">
        <f ca="1">(VLOOKUP(ET$72,INDIRECT($C$5&amp;"生成成长"),2))/((VLOOKUP($B74,INDIRECT($B$5&amp;"生成成长"),4))/(VLOOKUP(ET$72,INDIRECT($C$5&amp;"生成成长"),5))*(VLOOKUP($B$5,标准坦克设计!$B$24:$U$30,MATCH("对"&amp;LEFT($C$5,2)&amp;"输出",标准坦克设计!$B$23:$U$23,0)))*(VLOOKUP($B74,INDIRECT($B$5&amp;"生成成长"),3))*(VLOOKUP($B$5,标准坦克设计!$B$14:$K$20,9)/30))</f>
        <v>61.080464309201439</v>
      </c>
      <c r="EU74" s="172">
        <f ca="1">(VLOOKUP(EU$72,INDIRECT($C$5&amp;"生成成长"),2))/((VLOOKUP($B74,INDIRECT($B$5&amp;"生成成长"),4))/(VLOOKUP(EU$72,INDIRECT($C$5&amp;"生成成长"),5))*(VLOOKUP($B$5,标准坦克设计!$B$24:$U$30,MATCH("对"&amp;LEFT($C$5,2)&amp;"输出",标准坦克设计!$B$23:$U$23,0)))*(VLOOKUP($B74,INDIRECT($B$5&amp;"生成成长"),3))*(VLOOKUP($B$5,标准坦克设计!$B$14:$K$20,9)/30))</f>
        <v>65.956164547811596</v>
      </c>
      <c r="EV74" s="172">
        <f ca="1">(VLOOKUP(EV$72,INDIRECT($C$5&amp;"生成成长"),2))/((VLOOKUP($B74,INDIRECT($B$5&amp;"生成成长"),4))/(VLOOKUP(EV$72,INDIRECT($C$5&amp;"生成成长"),5))*(VLOOKUP($B$5,标准坦克设计!$B$24:$U$30,MATCH("对"&amp;LEFT($C$5,2)&amp;"输出",标准坦克设计!$B$23:$U$23,0)))*(VLOOKUP($B74,INDIRECT($B$5&amp;"生成成长"),3))*(VLOOKUP($B$5,标准坦克设计!$B$14:$K$20,9)/30))</f>
        <v>71.019064446542885</v>
      </c>
      <c r="EW74" s="172">
        <f ca="1">(VLOOKUP(EW$72,INDIRECT($C$5&amp;"生成成长"),2))/((VLOOKUP($B74,INDIRECT($B$5&amp;"生成成长"),4))/(VLOOKUP(EW$72,INDIRECT($C$5&amp;"生成成长"),5))*(VLOOKUP($B$5,标准坦克设计!$B$24:$U$30,MATCH("对"&amp;LEFT($C$5,2)&amp;"输出",标准坦克设计!$B$23:$U$23,0)))*(VLOOKUP($B74,INDIRECT($B$5&amp;"生成成长"),3))*(VLOOKUP($B$5,标准坦克设计!$B$14:$K$20,9)/30))</f>
        <v>76.269164005395368</v>
      </c>
      <c r="EX74" s="172">
        <f ca="1">(VLOOKUP(EX$72,INDIRECT($C$5&amp;"生成成长"),2))/((VLOOKUP($B74,INDIRECT($B$5&amp;"生成成长"),4))/(VLOOKUP(EX$72,INDIRECT($C$5&amp;"生成成长"),5))*(VLOOKUP($B$5,标准坦克设计!$B$24:$U$30,MATCH("对"&amp;LEFT($C$5,2)&amp;"输出",标准坦克设计!$B$23:$U$23,0)))*(VLOOKUP($B74,INDIRECT($B$5&amp;"生成成长"),3))*(VLOOKUP($B$5,标准坦克设计!$B$14:$K$20,9)/30))</f>
        <v>81.706463224369017</v>
      </c>
      <c r="EY74" s="172">
        <f ca="1">(VLOOKUP(EY$72,INDIRECT($C$5&amp;"生成成长"),2))/((VLOOKUP($B74,INDIRECT($B$5&amp;"生成成长"),4))/(VLOOKUP(EY$72,INDIRECT($C$5&amp;"生成成长"),5))*(VLOOKUP($B$5,标准坦克设计!$B$24:$U$30,MATCH("对"&amp;LEFT($C$5,2)&amp;"输出",标准坦克设计!$B$23:$U$23,0)))*(VLOOKUP($B74,INDIRECT($B$5&amp;"生成成长"),3))*(VLOOKUP($B$5,标准坦克设计!$B$14:$K$20,9)/30))</f>
        <v>87.330962103463804</v>
      </c>
      <c r="EZ74" s="172">
        <f ca="1">(VLOOKUP(EZ$72,INDIRECT($C$5&amp;"生成成长"),2))/((VLOOKUP($B74,INDIRECT($B$5&amp;"生成成长"),4))/(VLOOKUP(EZ$72,INDIRECT($C$5&amp;"生成成长"),5))*(VLOOKUP($B$5,标准坦克设计!$B$24:$U$30,MATCH("对"&amp;LEFT($C$5,2)&amp;"输出",标准坦克设计!$B$23:$U$23,0)))*(VLOOKUP($B74,INDIRECT($B$5&amp;"生成成长"),3))*(VLOOKUP($B$5,标准坦克设计!$B$14:$K$20,9)/30))</f>
        <v>93.142660642679772</v>
      </c>
      <c r="FA74" s="172">
        <f ca="1">(VLOOKUP(FA$72,INDIRECT($C$5&amp;"生成成长"),2))/((VLOOKUP($B74,INDIRECT($B$5&amp;"生成成长"),4))/(VLOOKUP(FA$72,INDIRECT($C$5&amp;"生成成长"),5))*(VLOOKUP($B$5,标准坦克设计!$B$24:$U$30,MATCH("对"&amp;LEFT($C$5,2)&amp;"输出",标准坦克设计!$B$23:$U$23,0)))*(VLOOKUP($B74,INDIRECT($B$5&amp;"生成成长"),3))*(VLOOKUP($B$5,标准坦克设计!$B$14:$K$20,9)/30))</f>
        <v>99.141558842016849</v>
      </c>
      <c r="FB74" s="172">
        <f ca="1">(VLOOKUP(FB$72,INDIRECT($C$5&amp;"生成成长"),2))/((VLOOKUP($B74,INDIRECT($B$5&amp;"生成成长"),4))/(VLOOKUP(FB$72,INDIRECT($C$5&amp;"生成成长"),5))*(VLOOKUP($B$5,标准坦克设计!$B$24:$U$30,MATCH("对"&amp;LEFT($C$5,2)&amp;"输出",标准坦克设计!$B$23:$U$23,0)))*(VLOOKUP($B74,INDIRECT($B$5&amp;"生成成长"),3))*(VLOOKUP($B$5,标准坦克设计!$B$14:$K$20,9)/30))</f>
        <v>105.32765670147512</v>
      </c>
      <c r="FC74" s="172">
        <f ca="1">(VLOOKUP(FC$72,INDIRECT($C$5&amp;"生成成长"),2))/((VLOOKUP($B74,INDIRECT($B$5&amp;"生成成长"),4))/(VLOOKUP(FC$72,INDIRECT($C$5&amp;"生成成长"),5))*(VLOOKUP($B$5,标准坦克设计!$B$24:$U$30,MATCH("对"&amp;LEFT($C$5,2)&amp;"输出",标准坦克设计!$B$23:$U$23,0)))*(VLOOKUP($B74,INDIRECT($B$5&amp;"生成成长"),3))*(VLOOKUP($B$5,标准坦克设计!$B$14:$K$20,9)/30))</f>
        <v>111.70095422105454</v>
      </c>
      <c r="FD74" s="172">
        <f ca="1">(VLOOKUP(FD$72,INDIRECT($C$5&amp;"生成成长"),2))/((VLOOKUP($B74,INDIRECT($B$5&amp;"生成成长"),4))/(VLOOKUP(FD$72,INDIRECT($C$5&amp;"生成成长"),5))*(VLOOKUP($B$5,标准坦克设计!$B$24:$U$30,MATCH("对"&amp;LEFT($C$5,2)&amp;"输出",标准坦克设计!$B$23:$U$23,0)))*(VLOOKUP($B74,INDIRECT($B$5&amp;"生成成长"),3))*(VLOOKUP($B$5,标准坦克设计!$B$14:$K$20,9)/30))</f>
        <v>118.26145140075509</v>
      </c>
      <c r="FE74" s="172">
        <f ca="1">(VLOOKUP(FE$72,INDIRECT($C$5&amp;"生成成长"),2))/((VLOOKUP($B74,INDIRECT($B$5&amp;"生成成长"),4))/(VLOOKUP(FE$72,INDIRECT($C$5&amp;"生成成长"),5))*(VLOOKUP($B$5,标准坦克设计!$B$24:$U$30,MATCH("对"&amp;LEFT($C$5,2)&amp;"输出",标准坦克设计!$B$23:$U$23,0)))*(VLOOKUP($B74,INDIRECT($B$5&amp;"生成成长"),3))*(VLOOKUP($B$5,标准坦克设计!$B$14:$K$20,9)/30))</f>
        <v>126.25611457163184</v>
      </c>
      <c r="FF74" s="172">
        <f ca="1">(VLOOKUP(FF$72,INDIRECT($C$5&amp;"生成成长"),2))/((VLOOKUP($B74,INDIRECT($B$5&amp;"生成成长"),4))/(VLOOKUP(FF$72,INDIRECT($C$5&amp;"生成成长"),5))*(VLOOKUP($B$5,标准坦克设计!$B$24:$U$30,MATCH("对"&amp;LEFT($C$5,2)&amp;"输出",标准坦克设计!$B$23:$U$23,0)))*(VLOOKUP($B74,INDIRECT($B$5&amp;"生成成长"),3))*(VLOOKUP($B$5,标准坦克设计!$B$14:$K$20,9)/30))</f>
        <v>134.51223842482656</v>
      </c>
      <c r="FG74" s="172">
        <f ca="1">(VLOOKUP(FG$72,INDIRECT($C$5&amp;"生成成长"),2))/((VLOOKUP($B74,INDIRECT($B$5&amp;"生成成长"),4))/(VLOOKUP(FG$72,INDIRECT($C$5&amp;"生成成长"),5))*(VLOOKUP($B$5,标准坦克设计!$B$24:$U$30,MATCH("对"&amp;LEFT($C$5,2)&amp;"输出",标准坦克设计!$B$23:$U$23,0)))*(VLOOKUP($B74,INDIRECT($B$5&amp;"生成成长"),3))*(VLOOKUP($B$5,标准坦克设计!$B$14:$K$20,9)/30))</f>
        <v>143.0298229603392</v>
      </c>
      <c r="FH74" s="172">
        <f ca="1">(VLOOKUP(FH$72,INDIRECT($C$5&amp;"生成成长"),2))/((VLOOKUP($B74,INDIRECT($B$5&amp;"生成成长"),4))/(VLOOKUP(FH$72,INDIRECT($C$5&amp;"生成成长"),5))*(VLOOKUP($B$5,标准坦克设计!$B$24:$U$30,MATCH("对"&amp;LEFT($C$5,2)&amp;"输出",标准坦克设计!$B$23:$U$23,0)))*(VLOOKUP($B74,INDIRECT($B$5&amp;"生成成长"),3))*(VLOOKUP($B$5,标准坦克设计!$B$14:$K$20,9)/30))</f>
        <v>151.80886817816989</v>
      </c>
      <c r="FI74" s="172">
        <f ca="1">(VLOOKUP(FI$72,INDIRECT($C$5&amp;"生成成长"),2))/((VLOOKUP($B74,INDIRECT($B$5&amp;"生成成长"),4))/(VLOOKUP(FI$72,INDIRECT($C$5&amp;"生成成长"),5))*(VLOOKUP($B$5,标准坦克设计!$B$24:$U$30,MATCH("对"&amp;LEFT($C$5,2)&amp;"输出",标准坦克设计!$B$23:$U$23,0)))*(VLOOKUP($B74,INDIRECT($B$5&amp;"生成成长"),3))*(VLOOKUP($B$5,标准坦克设计!$B$14:$K$20,9)/30))</f>
        <v>160.8493740783185</v>
      </c>
      <c r="FJ74" s="172">
        <f ca="1">(VLOOKUP(FJ$72,INDIRECT($C$5&amp;"生成成长"),2))/((VLOOKUP($B74,INDIRECT($B$5&amp;"生成成长"),4))/(VLOOKUP(FJ$72,INDIRECT($C$5&amp;"生成成长"),5))*(VLOOKUP($B$5,标准坦克设计!$B$24:$U$30,MATCH("对"&amp;LEFT($C$5,2)&amp;"输出",标准坦克设计!$B$23:$U$23,0)))*(VLOOKUP($B74,INDIRECT($B$5&amp;"生成成长"),3))*(VLOOKUP($B$5,标准坦克设计!$B$14:$K$20,9)/30))</f>
        <v>170.15134066078517</v>
      </c>
      <c r="FK74" s="172">
        <f ca="1">(VLOOKUP(FK$72,INDIRECT($C$5&amp;"生成成长"),2))/((VLOOKUP($B74,INDIRECT($B$5&amp;"生成成长"),4))/(VLOOKUP(FK$72,INDIRECT($C$5&amp;"生成成长"),5))*(VLOOKUP($B$5,标准坦克设计!$B$24:$U$30,MATCH("对"&amp;LEFT($C$5,2)&amp;"输出",标准坦克设计!$B$23:$U$23,0)))*(VLOOKUP($B74,INDIRECT($B$5&amp;"生成成长"),3))*(VLOOKUP($B$5,标准坦克设计!$B$14:$K$20,9)/30))</f>
        <v>179.71476792556979</v>
      </c>
    </row>
    <row r="75" spans="1:167" x14ac:dyDescent="0.15">
      <c r="A75" s="170" t="str">
        <f t="shared" si="11"/>
        <v>T1低品质3级</v>
      </c>
      <c r="B75" s="171">
        <v>10103</v>
      </c>
      <c r="C75" s="172">
        <f ca="1">(VLOOKUP(C$72,INDIRECT($C$5&amp;"生成成长"),2))/((VLOOKUP($B75,INDIRECT($B$5&amp;"生成成长"),4))/(VLOOKUP(C$72,INDIRECT($C$5&amp;"生成成长"),5))*(VLOOKUP($B$5,标准坦克设计!$B$24:$U$30,MATCH("对"&amp;LEFT($C$5,2)&amp;"输出",标准坦克设计!$B$23:$U$23,0)))*(VLOOKUP($B75,INDIRECT($B$5&amp;"生成成长"),3))*(VLOOKUP($B$5,标准坦克设计!$B$14:$K$20,9)/30))</f>
        <v>6.9437427940849883</v>
      </c>
      <c r="D75" s="172">
        <f ca="1">(VLOOKUP(D$72,INDIRECT($C$5&amp;"生成成长"),2))/((VLOOKUP($B75,INDIRECT($B$5&amp;"生成成长"),4))/(VLOOKUP(D$72,INDIRECT($C$5&amp;"生成成长"),5))*(VLOOKUP($B$5,标准坦克设计!$B$24:$U$30,MATCH("对"&amp;LEFT($C$5,2)&amp;"输出",标准坦克设计!$B$23:$U$23,0)))*(VLOOKUP($B75,INDIRECT($B$5&amp;"生成成长"),3))*(VLOOKUP($B$5,标准坦克设计!$B$14:$K$20,9)/30))</f>
        <v>7.8019894034338932</v>
      </c>
      <c r="E75" s="172">
        <f ca="1">(VLOOKUP(E$72,INDIRECT($C$5&amp;"生成成长"),2))/((VLOOKUP($B75,INDIRECT($B$5&amp;"生成成长"),4))/(VLOOKUP(E$72,INDIRECT($C$5&amp;"生成成长"),5))*(VLOOKUP($B$5,标准坦克设计!$B$24:$U$30,MATCH("对"&amp;LEFT($C$5,2)&amp;"输出",标准坦克设计!$B$23:$U$23,0)))*(VLOOKUP($B75,INDIRECT($B$5&amp;"生成成长"),3))*(VLOOKUP($B$5,标准坦克设计!$B$14:$K$20,9)/30))</f>
        <v>8.7102309609002102</v>
      </c>
      <c r="F75" s="172">
        <f ca="1">(VLOOKUP(F$72,INDIRECT($C$5&amp;"生成成长"),2))/((VLOOKUP($B75,INDIRECT($B$5&amp;"生成成长"),4))/(VLOOKUP(F$72,INDIRECT($C$5&amp;"生成成长"),5))*(VLOOKUP($B$5,标准坦克设计!$B$24:$U$30,MATCH("对"&amp;LEFT($C$5,2)&amp;"输出",标准坦克设计!$B$23:$U$23,0)))*(VLOOKUP($B75,INDIRECT($B$5&amp;"生成成长"),3))*(VLOOKUP($B$5,标准坦克设计!$B$14:$K$20,9)/30))</f>
        <v>9.6684674664839374</v>
      </c>
      <c r="G75" s="172">
        <f ca="1">(VLOOKUP(G$72,INDIRECT($C$5&amp;"生成成长"),2))/((VLOOKUP($B75,INDIRECT($B$5&amp;"生成成长"),4))/(VLOOKUP(G$72,INDIRECT($C$5&amp;"生成成长"),5))*(VLOOKUP($B$5,标准坦克设计!$B$24:$U$30,MATCH("对"&amp;LEFT($C$5,2)&amp;"输出",标准坦克设计!$B$23:$U$23,0)))*(VLOOKUP($B75,INDIRECT($B$5&amp;"生成成长"),3))*(VLOOKUP($B$5,标准坦克设计!$B$14:$K$20,9)/30))</f>
        <v>10.67669892018508</v>
      </c>
      <c r="H75" s="172">
        <f ca="1">(VLOOKUP(H$72,INDIRECT($C$5&amp;"生成成长"),2))/((VLOOKUP($B75,INDIRECT($B$5&amp;"生成成长"),4))/(VLOOKUP(H$72,INDIRECT($C$5&amp;"生成成长"),5))*(VLOOKUP($B$5,标准坦克设计!$B$24:$U$30,MATCH("对"&amp;LEFT($C$5,2)&amp;"输出",标准坦克设计!$B$23:$U$23,0)))*(VLOOKUP($B75,INDIRECT($B$5&amp;"生成成长"),3))*(VLOOKUP($B$5,标准坦克设计!$B$14:$K$20,9)/30))</f>
        <v>9.3435003037207611</v>
      </c>
      <c r="I75" s="172">
        <f ca="1">(VLOOKUP(I$72,INDIRECT($C$5&amp;"生成成长"),2))/((VLOOKUP($B75,INDIRECT($B$5&amp;"生成成长"),4))/(VLOOKUP(I$72,INDIRECT($C$5&amp;"生成成长"),5))*(VLOOKUP($B$5,标准坦克设计!$B$24:$U$30,MATCH("对"&amp;LEFT($C$5,2)&amp;"输出",标准坦克设计!$B$23:$U$23,0)))*(VLOOKUP($B75,INDIRECT($B$5&amp;"生成成长"),3))*(VLOOKUP($B$5,标准坦克设计!$B$14:$K$20,9)/30))</f>
        <v>10.67669892018508</v>
      </c>
      <c r="J75" s="172">
        <f ca="1">(VLOOKUP(J$72,INDIRECT($C$5&amp;"生成成长"),2))/((VLOOKUP($B75,INDIRECT($B$5&amp;"生成成长"),4))/(VLOOKUP(J$72,INDIRECT($C$5&amp;"生成成长"),5))*(VLOOKUP($B$5,标准坦克设计!$B$24:$U$30,MATCH("对"&amp;LEFT($C$5,2)&amp;"输出",标准坦克设计!$B$23:$U$23,0)))*(VLOOKUP($B75,INDIRECT($B$5&amp;"生成成长"),3))*(VLOOKUP($B$5,标准坦克设计!$B$14:$K$20,9)/30))</f>
        <v>12.098777444413685</v>
      </c>
      <c r="K75" s="172">
        <f ca="1">(VLOOKUP(K$72,INDIRECT($C$5&amp;"生成成长"),2))/((VLOOKUP($B75,INDIRECT($B$5&amp;"生成成长"),4))/(VLOOKUP(K$72,INDIRECT($C$5&amp;"生成成长"),5))*(VLOOKUP($B$5,标准坦克设计!$B$24:$U$30,MATCH("对"&amp;LEFT($C$5,2)&amp;"输出",标准坦克设计!$B$23:$U$23,0)))*(VLOOKUP($B75,INDIRECT($B$5&amp;"生成成长"),3))*(VLOOKUP($B$5,标准坦克设计!$B$14:$K$20,9)/30))</f>
        <v>13.609735876406576</v>
      </c>
      <c r="L75" s="172">
        <f ca="1">(VLOOKUP(L$72,INDIRECT($C$5&amp;"生成成长"),2))/((VLOOKUP($B75,INDIRECT($B$5&amp;"生成成长"),4))/(VLOOKUP(L$72,INDIRECT($C$5&amp;"生成成长"),5))*(VLOOKUP($B$5,标准坦克设计!$B$24:$U$30,MATCH("对"&amp;LEFT($C$5,2)&amp;"输出",标准坦克设计!$B$23:$U$23,0)))*(VLOOKUP($B75,INDIRECT($B$5&amp;"生成成长"),3))*(VLOOKUP($B$5,标准坦克设计!$B$14:$K$20,9)/30))</f>
        <v>15.209574216163759</v>
      </c>
      <c r="M75" s="172">
        <f ca="1">(VLOOKUP(M$72,INDIRECT($C$5&amp;"生成成长"),2))/((VLOOKUP($B75,INDIRECT($B$5&amp;"生成成长"),4))/(VLOOKUP(M$72,INDIRECT($C$5&amp;"生成成长"),5))*(VLOOKUP($B$5,标准坦克设计!$B$24:$U$30,MATCH("对"&amp;LEFT($C$5,2)&amp;"输出",标准坦克设计!$B$23:$U$23,0)))*(VLOOKUP($B75,INDIRECT($B$5&amp;"生成成长"),3))*(VLOOKUP($B$5,标准坦克设计!$B$14:$K$20,9)/30))</f>
        <v>16.89829246368523</v>
      </c>
      <c r="N75" s="172">
        <f ca="1">(VLOOKUP(N$72,INDIRECT($C$5&amp;"生成成长"),2))/((VLOOKUP($B75,INDIRECT($B$5&amp;"生成成长"),4))/(VLOOKUP(N$72,INDIRECT($C$5&amp;"生成成长"),5))*(VLOOKUP($B$5,标准坦克设计!$B$24:$U$30,MATCH("对"&amp;LEFT($C$5,2)&amp;"输出",标准坦克设计!$B$23:$U$23,0)))*(VLOOKUP($B75,INDIRECT($B$5&amp;"生成成长"),3))*(VLOOKUP($B$5,标准坦克设计!$B$14:$K$20,9)/30))</f>
        <v>18.675890618970985</v>
      </c>
      <c r="O75" s="172">
        <f ca="1">(VLOOKUP(O$72,INDIRECT($C$5&amp;"生成成长"),2))/((VLOOKUP($B75,INDIRECT($B$5&amp;"生成成长"),4))/(VLOOKUP(O$72,INDIRECT($C$5&amp;"生成成长"),5))*(VLOOKUP($B$5,标准坦克设计!$B$24:$U$30,MATCH("对"&amp;LEFT($C$5,2)&amp;"输出",标准坦克设计!$B$23:$U$23,0)))*(VLOOKUP($B75,INDIRECT($B$5&amp;"生成成长"),3))*(VLOOKUP($B$5,标准坦克设计!$B$14:$K$20,9)/30))</f>
        <v>14.199259639624394</v>
      </c>
      <c r="P75" s="172">
        <f ca="1">(VLOOKUP(P$72,INDIRECT($C$5&amp;"生成成长"),2))/((VLOOKUP($B75,INDIRECT($B$5&amp;"生成成长"),4))/(VLOOKUP(P$72,INDIRECT($C$5&amp;"生成成长"),5))*(VLOOKUP($B$5,标准坦克设计!$B$24:$U$30,MATCH("对"&amp;LEFT($C$5,2)&amp;"输出",标准坦克设计!$B$23:$U$23,0)))*(VLOOKUP($B75,INDIRECT($B$5&amp;"生成成长"),3))*(VLOOKUP($B$5,标准坦克设计!$B$14:$K$20,9)/30))</f>
        <v>16.042823351453958</v>
      </c>
      <c r="Q75" s="172">
        <f ca="1">(VLOOKUP(Q$72,INDIRECT($C$5&amp;"生成成长"),2))/((VLOOKUP($B75,INDIRECT($B$5&amp;"生成成长"),4))/(VLOOKUP(Q$72,INDIRECT($C$5&amp;"生成成长"),5))*(VLOOKUP($B$5,标准坦克设计!$B$24:$U$30,MATCH("对"&amp;LEFT($C$5,2)&amp;"输出",标准坦克设计!$B$23:$U$23,0)))*(VLOOKUP($B75,INDIRECT($B$5&amp;"生成成长"),3))*(VLOOKUP($B$5,标准坦克设计!$B$14:$K$20,9)/30))</f>
        <v>17.998875696547703</v>
      </c>
      <c r="R75" s="172">
        <f ca="1">(VLOOKUP(R$72,INDIRECT($C$5&amp;"生成成长"),2))/((VLOOKUP($B75,INDIRECT($B$5&amp;"生成成长"),4))/(VLOOKUP(R$72,INDIRECT($C$5&amp;"生成成长"),5))*(VLOOKUP($B$5,标准坦克设计!$B$24:$U$30,MATCH("对"&amp;LEFT($C$5,2)&amp;"输出",标准坦克设计!$B$23:$U$23,0)))*(VLOOKUP($B75,INDIRECT($B$5&amp;"生成成长"),3))*(VLOOKUP($B$5,标准坦克设计!$B$14:$K$20,9)/30))</f>
        <v>20.067416674905619</v>
      </c>
      <c r="S75" s="172">
        <f ca="1">(VLOOKUP(S$72,INDIRECT($C$5&amp;"生成成长"),2))/((VLOOKUP($B75,INDIRECT($B$5&amp;"生成成长"),4))/(VLOOKUP(S$72,INDIRECT($C$5&amp;"生成成长"),5))*(VLOOKUP($B$5,标准坦克设计!$B$24:$U$30,MATCH("对"&amp;LEFT($C$5,2)&amp;"输出",标准坦克设计!$B$23:$U$23,0)))*(VLOOKUP($B75,INDIRECT($B$5&amp;"生成成长"),3))*(VLOOKUP($B$5,标准坦克设计!$B$14:$K$20,9)/30))</f>
        <v>22.24844628652771</v>
      </c>
      <c r="T75" s="172">
        <f ca="1">(VLOOKUP(T$72,INDIRECT($C$5&amp;"生成成长"),2))/((VLOOKUP($B75,INDIRECT($B$5&amp;"生成成长"),4))/(VLOOKUP(T$72,INDIRECT($C$5&amp;"生成成长"),5))*(VLOOKUP($B$5,标准坦克设计!$B$24:$U$30,MATCH("对"&amp;LEFT($C$5,2)&amp;"输出",标准坦克设计!$B$23:$U$23,0)))*(VLOOKUP($B75,INDIRECT($B$5&amp;"生成成长"),3))*(VLOOKUP($B$5,标准坦克设计!$B$14:$K$20,9)/30))</f>
        <v>24.541964531413988</v>
      </c>
      <c r="U75" s="172">
        <f ca="1">(VLOOKUP(U$72,INDIRECT($C$5&amp;"生成成长"),2))/((VLOOKUP($B75,INDIRECT($B$5&amp;"生成成长"),4))/(VLOOKUP(U$72,INDIRECT($C$5&amp;"生成成长"),5))*(VLOOKUP($B$5,标准坦克设计!$B$24:$U$30,MATCH("对"&amp;LEFT($C$5,2)&amp;"输出",标准坦克设计!$B$23:$U$23,0)))*(VLOOKUP($B75,INDIRECT($B$5&amp;"生成成长"),3))*(VLOOKUP($B$5,标准坦克设计!$B$14:$K$20,9)/30))</f>
        <v>26.947971409564431</v>
      </c>
      <c r="V75" s="172">
        <f ca="1">(VLOOKUP(V$72,INDIRECT($C$5&amp;"生成成长"),2))/((VLOOKUP($B75,INDIRECT($B$5&amp;"生成成长"),4))/(VLOOKUP(V$72,INDIRECT($C$5&amp;"生成成长"),5))*(VLOOKUP($B$5,标准坦克设计!$B$24:$U$30,MATCH("对"&amp;LEFT($C$5,2)&amp;"输出",标准坦克设计!$B$23:$U$23,0)))*(VLOOKUP($B75,INDIRECT($B$5&amp;"生成成长"),3))*(VLOOKUP($B$5,标准坦克设计!$B$14:$K$20,9)/30))</f>
        <v>29.466466920979062</v>
      </c>
      <c r="W75" s="172">
        <f ca="1">(VLOOKUP(W$72,INDIRECT($C$5&amp;"生成成长"),2))/((VLOOKUP($B75,INDIRECT($B$5&amp;"生成成长"),4))/(VLOOKUP(W$72,INDIRECT($C$5&amp;"生成成长"),5))*(VLOOKUP($B$5,标准坦克设计!$B$24:$U$30,MATCH("对"&amp;LEFT($C$5,2)&amp;"输出",标准坦克设计!$B$23:$U$23,0)))*(VLOOKUP($B75,INDIRECT($B$5&amp;"生成成长"),3))*(VLOOKUP($B$5,标准坦克设计!$B$14:$K$20,9)/30))</f>
        <v>32.097451065657864</v>
      </c>
      <c r="X75" s="172">
        <f ca="1">(VLOOKUP(X$72,INDIRECT($C$5&amp;"生成成长"),2))/((VLOOKUP($B75,INDIRECT($B$5&amp;"生成成长"),4))/(VLOOKUP(X$72,INDIRECT($C$5&amp;"生成成长"),5))*(VLOOKUP($B$5,标准坦克设计!$B$24:$U$30,MATCH("对"&amp;LEFT($C$5,2)&amp;"输出",标准坦克设计!$B$23:$U$23,0)))*(VLOOKUP($B75,INDIRECT($B$5&amp;"生成成长"),3))*(VLOOKUP($B$5,标准坦克设计!$B$14:$K$20,9)/30))</f>
        <v>23.253900243111222</v>
      </c>
      <c r="Y75" s="172">
        <f ca="1">(VLOOKUP(Y$72,INDIRECT($C$5&amp;"生成成长"),2))/((VLOOKUP($B75,INDIRECT($B$5&amp;"生成成长"),4))/(VLOOKUP(Y$72,INDIRECT($C$5&amp;"生成成长"),5))*(VLOOKUP($B$5,标准坦克设计!$B$24:$U$30,MATCH("对"&amp;LEFT($C$5,2)&amp;"输出",标准坦克设计!$B$23:$U$23,0)))*(VLOOKUP($B75,INDIRECT($B$5&amp;"生成成长"),3))*(VLOOKUP($B$5,标准坦克设计!$B$14:$K$20,9)/30))</f>
        <v>25.864747533687179</v>
      </c>
      <c r="Z75" s="172">
        <f ca="1">(VLOOKUP(Z$72,INDIRECT($C$5&amp;"生成成长"),2))/((VLOOKUP($B75,INDIRECT($B$5&amp;"生成成长"),4))/(VLOOKUP(Z$72,INDIRECT($C$5&amp;"生成成长"),5))*(VLOOKUP($B$5,标准坦克设计!$B$24:$U$30,MATCH("对"&amp;LEFT($C$5,2)&amp;"输出",标准坦克设计!$B$23:$U$23,0)))*(VLOOKUP($B75,INDIRECT($B$5&amp;"生成成长"),3))*(VLOOKUP($B$5,标准坦克设计!$B$14:$K$20,9)/30))</f>
        <v>28.614469680144833</v>
      </c>
      <c r="AA75" s="172">
        <f ca="1">(VLOOKUP(AA$72,INDIRECT($C$5&amp;"生成成长"),2))/((VLOOKUP($B75,INDIRECT($B$5&amp;"生成成长"),4))/(VLOOKUP(AA$72,INDIRECT($C$5&amp;"生成成长"),5))*(VLOOKUP($B$5,标准坦克设计!$B$24:$U$30,MATCH("对"&amp;LEFT($C$5,2)&amp;"输出",标准坦克设计!$B$23:$U$23,0)))*(VLOOKUP($B75,INDIRECT($B$5&amp;"生成成长"),3))*(VLOOKUP($B$5,标准坦克设计!$B$14:$K$20,9)/30))</f>
        <v>31.503066682484189</v>
      </c>
      <c r="AB75" s="172">
        <f ca="1">(VLOOKUP(AB$72,INDIRECT($C$5&amp;"生成成长"),2))/((VLOOKUP($B75,INDIRECT($B$5&amp;"生成成长"),4))/(VLOOKUP(AB$72,INDIRECT($C$5&amp;"生成成长"),5))*(VLOOKUP($B$5,标准坦克设计!$B$24:$U$30,MATCH("对"&amp;LEFT($C$5,2)&amp;"输出",标准坦克设计!$B$23:$U$23,0)))*(VLOOKUP($B75,INDIRECT($B$5&amp;"生成成长"),3))*(VLOOKUP($B$5,标准坦克设计!$B$14:$K$20,9)/30))</f>
        <v>34.530538540705244</v>
      </c>
      <c r="AC75" s="172">
        <f ca="1">(VLOOKUP(AC$72,INDIRECT($C$5&amp;"生成成长"),2))/((VLOOKUP($B75,INDIRECT($B$5&amp;"生成成长"),4))/(VLOOKUP(AC$72,INDIRECT($C$5&amp;"生成成长"),5))*(VLOOKUP($B$5,标准坦克设计!$B$24:$U$30,MATCH("对"&amp;LEFT($C$5,2)&amp;"输出",标准坦克设计!$B$23:$U$23,0)))*(VLOOKUP($B75,INDIRECT($B$5&amp;"生成成长"),3))*(VLOOKUP($B$5,标准坦克设计!$B$14:$K$20,9)/30))</f>
        <v>37.696885254807995</v>
      </c>
      <c r="AD75" s="172">
        <f ca="1">(VLOOKUP(AD$72,INDIRECT($C$5&amp;"生成成长"),2))/((VLOOKUP($B75,INDIRECT($B$5&amp;"生成成长"),4))/(VLOOKUP(AD$72,INDIRECT($C$5&amp;"生成成长"),5))*(VLOOKUP($B$5,标准坦克设计!$B$24:$U$30,MATCH("对"&amp;LEFT($C$5,2)&amp;"输出",标准坦克设计!$B$23:$U$23,0)))*(VLOOKUP($B75,INDIRECT($B$5&amp;"生成成长"),3))*(VLOOKUP($B$5,标准坦克设计!$B$14:$K$20,9)/30))</f>
        <v>41.002106824792449</v>
      </c>
      <c r="AE75" s="172">
        <f ca="1">(VLOOKUP(AE$72,INDIRECT($C$5&amp;"生成成长"),2))/((VLOOKUP($B75,INDIRECT($B$5&amp;"生成成长"),4))/(VLOOKUP(AE$72,INDIRECT($C$5&amp;"生成成长"),5))*(VLOOKUP($B$5,标准坦克设计!$B$24:$U$30,MATCH("对"&amp;LEFT($C$5,2)&amp;"输出",标准坦克设计!$B$23:$U$23,0)))*(VLOOKUP($B75,INDIRECT($B$5&amp;"生成成长"),3))*(VLOOKUP($B$5,标准坦克设计!$B$14:$K$20,9)/30))</f>
        <v>44.446203250658606</v>
      </c>
      <c r="AF75" s="172">
        <f ca="1">(VLOOKUP(AF$72,INDIRECT($C$5&amp;"生成成长"),2))/((VLOOKUP($B75,INDIRECT($B$5&amp;"生成成长"),4))/(VLOOKUP(AF$72,INDIRECT($C$5&amp;"生成成长"),5))*(VLOOKUP($B$5,标准坦克设计!$B$24:$U$30,MATCH("对"&amp;LEFT($C$5,2)&amp;"输出",标准坦克设计!$B$23:$U$23,0)))*(VLOOKUP($B75,INDIRECT($B$5&amp;"生成成长"),3))*(VLOOKUP($B$5,标准坦克设计!$B$14:$K$20,9)/30))</f>
        <v>48.029174532406472</v>
      </c>
      <c r="AG75" s="172">
        <f ca="1">(VLOOKUP(AG$72,INDIRECT($C$5&amp;"生成成长"),2))/((VLOOKUP($B75,INDIRECT($B$5&amp;"生成成长"),4))/(VLOOKUP(AG$72,INDIRECT($C$5&amp;"生成成长"),5))*(VLOOKUP($B$5,标准坦克设计!$B$24:$U$30,MATCH("对"&amp;LEFT($C$5,2)&amp;"输出",标准坦克设计!$B$23:$U$23,0)))*(VLOOKUP($B75,INDIRECT($B$5&amp;"生成成长"),3))*(VLOOKUP($B$5,标准坦克设计!$B$14:$K$20,9)/30))</f>
        <v>51.751020670036006</v>
      </c>
      <c r="AH75" s="172">
        <f ca="1">(VLOOKUP(AH$72,INDIRECT($C$5&amp;"生成成长"),2))/((VLOOKUP($B75,INDIRECT($B$5&amp;"生成成长"),4))/(VLOOKUP(AH$72,INDIRECT($C$5&amp;"生成成长"),5))*(VLOOKUP($B$5,标准坦克设计!$B$24:$U$30,MATCH("对"&amp;LEFT($C$5,2)&amp;"输出",标准坦克设计!$B$23:$U$23,0)))*(VLOOKUP($B75,INDIRECT($B$5&amp;"生成成长"),3))*(VLOOKUP($B$5,标准坦克设计!$B$14:$K$20,9)/30))</f>
        <v>55.611741663547271</v>
      </c>
      <c r="AI75" s="172">
        <f ca="1">(VLOOKUP(AI$72,INDIRECT($C$5&amp;"生成成长"),2))/((VLOOKUP($B75,INDIRECT($B$5&amp;"生成成长"),4))/(VLOOKUP(AI$72,INDIRECT($C$5&amp;"生成成长"),5))*(VLOOKUP($B$5,标准坦克设计!$B$24:$U$30,MATCH("对"&amp;LEFT($C$5,2)&amp;"输出",标准坦克设计!$B$23:$U$23,0)))*(VLOOKUP($B75,INDIRECT($B$5&amp;"生成成长"),3))*(VLOOKUP($B$5,标准坦克设计!$B$14:$K$20,9)/30))</f>
        <v>39.332136682815012</v>
      </c>
      <c r="AJ75" s="172">
        <f ca="1">(VLOOKUP(AJ$72,INDIRECT($C$5&amp;"生成成长"),2))/((VLOOKUP($B75,INDIRECT($B$5&amp;"生成成长"),4))/(VLOOKUP(AJ$72,INDIRECT($C$5&amp;"生成成长"),5))*(VLOOKUP($B$5,标准坦克设计!$B$24:$U$30,MATCH("对"&amp;LEFT($C$5,2)&amp;"输出",标准坦克设计!$B$23:$U$23,0)))*(VLOOKUP($B75,INDIRECT($B$5&amp;"生成成长"),3))*(VLOOKUP($B$5,标准坦克设计!$B$14:$K$20,9)/30))</f>
        <v>43.051899697606345</v>
      </c>
      <c r="AK75" s="172">
        <f ca="1">(VLOOKUP(AK$72,INDIRECT($C$5&amp;"生成成长"),2))/((VLOOKUP($B75,INDIRECT($B$5&amp;"生成成长"),4))/(VLOOKUP(AK$72,INDIRECT($C$5&amp;"生成成长"),5))*(VLOOKUP($B$5,标准坦克设计!$B$24:$U$30,MATCH("对"&amp;LEFT($C$5,2)&amp;"输出",标准坦克设计!$B$23:$U$23,0)))*(VLOOKUP($B75,INDIRECT($B$5&amp;"生成成长"),3))*(VLOOKUP($B$5,标准坦克设计!$B$14:$K$20,9)/30))</f>
        <v>46.939701288014525</v>
      </c>
      <c r="AL75" s="172">
        <f ca="1">(VLOOKUP(AL$72,INDIRECT($C$5&amp;"生成成长"),2))/((VLOOKUP($B75,INDIRECT($B$5&amp;"生成成长"),4))/(VLOOKUP(AL$72,INDIRECT($C$5&amp;"生成成长"),5))*(VLOOKUP($B$5,标准坦克设计!$B$24:$U$30,MATCH("对"&amp;LEFT($C$5,2)&amp;"输出",标准坦克设计!$B$23:$U$23,0)))*(VLOOKUP($B75,INDIRECT($B$5&amp;"生成成长"),3))*(VLOOKUP($B$5,标准坦克设计!$B$14:$K$20,9)/30))</f>
        <v>50.995541454039561</v>
      </c>
      <c r="AM75" s="172">
        <f ca="1">(VLOOKUP(AM$72,INDIRECT($C$5&amp;"生成成长"),2))/((VLOOKUP($B75,INDIRECT($B$5&amp;"生成成长"),4))/(VLOOKUP(AM$72,INDIRECT($C$5&amp;"生成成长"),5))*(VLOOKUP($B$5,标准坦克设计!$B$24:$U$30,MATCH("对"&amp;LEFT($C$5,2)&amp;"输出",标准坦克设计!$B$23:$U$23,0)))*(VLOOKUP($B75,INDIRECT($B$5&amp;"生成成长"),3))*(VLOOKUP($B$5,标准坦克设计!$B$14:$K$20,9)/30))</f>
        <v>55.219420195681465</v>
      </c>
      <c r="AN75" s="172">
        <f ca="1">(VLOOKUP(AN$72,INDIRECT($C$5&amp;"生成成长"),2))/((VLOOKUP($B75,INDIRECT($B$5&amp;"生成成长"),4))/(VLOOKUP(AN$72,INDIRECT($C$5&amp;"生成成长"),5))*(VLOOKUP($B$5,标准坦克设计!$B$24:$U$30,MATCH("对"&amp;LEFT($C$5,2)&amp;"输出",标准坦克设计!$B$23:$U$23,0)))*(VLOOKUP($B75,INDIRECT($B$5&amp;"生成成长"),3))*(VLOOKUP($B$5,标准坦克设计!$B$14:$K$20,9)/30))</f>
        <v>59.611337512940217</v>
      </c>
      <c r="AO75" s="172">
        <f ca="1">(VLOOKUP(AO$72,INDIRECT($C$5&amp;"生成成长"),2))/((VLOOKUP($B75,INDIRECT($B$5&amp;"生成成长"),4))/(VLOOKUP(AO$72,INDIRECT($C$5&amp;"生成成长"),5))*(VLOOKUP($B$5,标准坦克设计!$B$24:$U$30,MATCH("对"&amp;LEFT($C$5,2)&amp;"输出",标准坦克设计!$B$23:$U$23,0)))*(VLOOKUP($B75,INDIRECT($B$5&amp;"生成成长"),3))*(VLOOKUP($B$5,标准坦克设计!$B$14:$K$20,9)/30))</f>
        <v>64.171293405815831</v>
      </c>
      <c r="AP75" s="172">
        <f ca="1">(VLOOKUP(AP$72,INDIRECT($C$5&amp;"生成成长"),2))/((VLOOKUP($B75,INDIRECT($B$5&amp;"生成成长"),4))/(VLOOKUP(AP$72,INDIRECT($C$5&amp;"生成成长"),5))*(VLOOKUP($B$5,标准坦克设计!$B$24:$U$30,MATCH("对"&amp;LEFT($C$5,2)&amp;"输出",标准坦克设计!$B$23:$U$23,0)))*(VLOOKUP($B75,INDIRECT($B$5&amp;"生成成长"),3))*(VLOOKUP($B$5,标准坦克设计!$B$14:$K$20,9)/30))</f>
        <v>68.8992878743083</v>
      </c>
      <c r="AQ75" s="172">
        <f ca="1">(VLOOKUP(AQ$72,INDIRECT($C$5&amp;"生成成长"),2))/((VLOOKUP($B75,INDIRECT($B$5&amp;"生成成长"),4))/(VLOOKUP(AQ$72,INDIRECT($C$5&amp;"生成成长"),5))*(VLOOKUP($B$5,标准坦克设计!$B$24:$U$30,MATCH("对"&amp;LEFT($C$5,2)&amp;"输出",标准坦克设计!$B$23:$U$23,0)))*(VLOOKUP($B75,INDIRECT($B$5&amp;"生成成长"),3))*(VLOOKUP($B$5,标准坦克设计!$B$14:$K$20,9)/30))</f>
        <v>73.795320918417616</v>
      </c>
      <c r="AR75" s="172">
        <f ca="1">(VLOOKUP(AR$72,INDIRECT($C$5&amp;"生成成长"),2))/((VLOOKUP($B75,INDIRECT($B$5&amp;"生成成长"),4))/(VLOOKUP(AR$72,INDIRECT($C$5&amp;"生成成长"),5))*(VLOOKUP($B$5,标准坦克设计!$B$24:$U$30,MATCH("对"&amp;LEFT($C$5,2)&amp;"输出",标准坦克设计!$B$23:$U$23,0)))*(VLOOKUP($B75,INDIRECT($B$5&amp;"生成成长"),3))*(VLOOKUP($B$5,标准坦克设计!$B$14:$K$20,9)/30))</f>
        <v>78.859392538143808</v>
      </c>
      <c r="AS75" s="172">
        <f ca="1">(VLOOKUP(AS$72,INDIRECT($C$5&amp;"生成成长"),2))/((VLOOKUP($B75,INDIRECT($B$5&amp;"生成成长"),4))/(VLOOKUP(AS$72,INDIRECT($C$5&amp;"生成成长"),5))*(VLOOKUP($B$5,标准坦克设计!$B$24:$U$30,MATCH("对"&amp;LEFT($C$5,2)&amp;"输出",标准坦克设计!$B$23:$U$23,0)))*(VLOOKUP($B75,INDIRECT($B$5&amp;"生成成长"),3))*(VLOOKUP($B$5,标准坦克设计!$B$14:$K$20,9)/30))</f>
        <v>84.091502733486863</v>
      </c>
      <c r="AT75" s="172">
        <f ca="1">(VLOOKUP(AT$72,INDIRECT($C$5&amp;"生成成长"),2))/((VLOOKUP($B75,INDIRECT($B$5&amp;"生成成长"),4))/(VLOOKUP(AT$72,INDIRECT($C$5&amp;"生成成长"),5))*(VLOOKUP($B$5,标准坦克设计!$B$24:$U$30,MATCH("对"&amp;LEFT($C$5,2)&amp;"输出",标准坦克设计!$B$23:$U$23,0)))*(VLOOKUP($B75,INDIRECT($B$5&amp;"生成成长"),3))*(VLOOKUP($B$5,标准坦克设计!$B$14:$K$20,9)/30))</f>
        <v>89.49165150444675</v>
      </c>
      <c r="AU75" s="172">
        <f ca="1">(VLOOKUP(AU$72,INDIRECT($C$5&amp;"生成成长"),2))/((VLOOKUP($B75,INDIRECT($B$5&amp;"生成成长"),4))/(VLOOKUP(AU$72,INDIRECT($C$5&amp;"生成成长"),5))*(VLOOKUP($B$5,标准坦克设计!$B$24:$U$30,MATCH("对"&amp;LEFT($C$5,2)&amp;"输出",标准坦克设计!$B$23:$U$23,0)))*(VLOOKUP($B75,INDIRECT($B$5&amp;"生成成长"),3))*(VLOOKUP($B$5,标准坦克设计!$B$14:$K$20,9)/30))</f>
        <v>95.0598388510235</v>
      </c>
      <c r="AV75" s="172">
        <f ca="1">(VLOOKUP(AV$72,INDIRECT($C$5&amp;"生成成长"),2))/((VLOOKUP($B75,INDIRECT($B$5&amp;"生成成长"),4))/(VLOOKUP(AV$72,INDIRECT($C$5&amp;"生成成长"),5))*(VLOOKUP($B$5,标准坦克设计!$B$24:$U$30,MATCH("对"&amp;LEFT($C$5,2)&amp;"输出",标准坦克设计!$B$23:$U$23,0)))*(VLOOKUP($B75,INDIRECT($B$5&amp;"生成成长"),3))*(VLOOKUP($B$5,标准坦克设计!$B$14:$K$20,9)/30))</f>
        <v>9.6684674664839374</v>
      </c>
      <c r="AW75" s="172">
        <f ca="1">(VLOOKUP(AW$72,INDIRECT($C$5&amp;"生成成长"),2))/((VLOOKUP($B75,INDIRECT($B$5&amp;"生成成长"),4))/(VLOOKUP(AW$72,INDIRECT($C$5&amp;"生成成长"),5))*(VLOOKUP($B$5,标准坦克设计!$B$24:$U$30,MATCH("对"&amp;LEFT($C$5,2)&amp;"输出",标准坦克设计!$B$23:$U$23,0)))*(VLOOKUP($B75,INDIRECT($B$5&amp;"生成成长"),3))*(VLOOKUP($B$5,标准坦克设计!$B$14:$K$20,9)/30))</f>
        <v>11.02388605988933</v>
      </c>
      <c r="AX75" s="172">
        <f ca="1">(VLOOKUP(AX$72,INDIRECT($C$5&amp;"生成成长"),2))/((VLOOKUP($B75,INDIRECT($B$5&amp;"生成成长"),4))/(VLOOKUP(AX$72,INDIRECT($C$5&amp;"生成成长"),5))*(VLOOKUP($B$5,标准坦克设计!$B$24:$U$30,MATCH("对"&amp;LEFT($C$5,2)&amp;"输出",标准坦克设计!$B$23:$U$23,0)))*(VLOOKUP($B75,INDIRECT($B$5&amp;"生成成长"),3))*(VLOOKUP($B$5,标准坦克设计!$B$14:$K$20,9)/30))</f>
        <v>12.468184561059008</v>
      </c>
      <c r="AY75" s="172">
        <f ca="1">(VLOOKUP(AY$72,INDIRECT($C$5&amp;"生成成长"),2))/((VLOOKUP($B75,INDIRECT($B$5&amp;"生成成长"),4))/(VLOOKUP(AY$72,INDIRECT($C$5&amp;"生成成长"),5))*(VLOOKUP($B$5,标准坦克设计!$B$24:$U$30,MATCH("对"&amp;LEFT($C$5,2)&amp;"输出",标准坦克设计!$B$23:$U$23,0)))*(VLOOKUP($B75,INDIRECT($B$5&amp;"生成成长"),3))*(VLOOKUP($B$5,标准坦克设计!$B$14:$K$20,9)/30))</f>
        <v>14.001362969992975</v>
      </c>
      <c r="AZ75" s="172">
        <f ca="1">(VLOOKUP(AZ$72,INDIRECT($C$5&amp;"生成成长"),2))/((VLOOKUP($B75,INDIRECT($B$5&amp;"生成成长"),4))/(VLOOKUP(AZ$72,INDIRECT($C$5&amp;"生成成长"),5))*(VLOOKUP($B$5,标准坦克设计!$B$24:$U$30,MATCH("对"&amp;LEFT($C$5,2)&amp;"输出",标准坦克设计!$B$23:$U$23,0)))*(VLOOKUP($B75,INDIRECT($B$5&amp;"生成成长"),3))*(VLOOKUP($B$5,标准坦克设计!$B$14:$K$20,9)/30))</f>
        <v>15.623421286691224</v>
      </c>
      <c r="BA75" s="172">
        <f ca="1">(VLOOKUP(BA$72,INDIRECT($C$5&amp;"生成成长"),2))/((VLOOKUP($B75,INDIRECT($B$5&amp;"生成成长"),4))/(VLOOKUP(BA$72,INDIRECT($C$5&amp;"生成成长"),5))*(VLOOKUP($B$5,标准坦克设计!$B$24:$U$30,MATCH("对"&amp;LEFT($C$5,2)&amp;"输出",标准坦克设计!$B$23:$U$23,0)))*(VLOOKUP($B75,INDIRECT($B$5&amp;"生成成长"),3))*(VLOOKUP($B$5,标准坦克设计!$B$14:$K$20,9)/30))</f>
        <v>17.334359511153767</v>
      </c>
      <c r="BB75" s="172">
        <f ca="1">(VLOOKUP(BB$72,INDIRECT($C$5&amp;"生成成长"),2))/((VLOOKUP($B75,INDIRECT($B$5&amp;"生成成长"),4))/(VLOOKUP(BB$72,INDIRECT($C$5&amp;"生成成长"),5))*(VLOOKUP($B$5,标准坦克设计!$B$24:$U$30,MATCH("对"&amp;LEFT($C$5,2)&amp;"输出",标准坦克设计!$B$23:$U$23,0)))*(VLOOKUP($B75,INDIRECT($B$5&amp;"生成成长"),3))*(VLOOKUP($B$5,标准坦克设计!$B$14:$K$20,9)/30))</f>
        <v>19.134177643380596</v>
      </c>
      <c r="BC75" s="172">
        <f ca="1">(VLOOKUP(BC$72,INDIRECT($C$5&amp;"生成成长"),2))/((VLOOKUP($B75,INDIRECT($B$5&amp;"生成成长"),4))/(VLOOKUP(BC$72,INDIRECT($C$5&amp;"生成成长"),5))*(VLOOKUP($B$5,标准坦克设计!$B$24:$U$30,MATCH("对"&amp;LEFT($C$5,2)&amp;"输出",标准坦克设计!$B$23:$U$23,0)))*(VLOOKUP($B75,INDIRECT($B$5&amp;"生成成长"),3))*(VLOOKUP($B$5,标准坦克设计!$B$14:$K$20,9)/30))</f>
        <v>21.022875683371716</v>
      </c>
      <c r="BD75" s="172">
        <f ca="1">(VLOOKUP(BD$72,INDIRECT($C$5&amp;"生成成长"),2))/((VLOOKUP($B75,INDIRECT($B$5&amp;"生成成长"),4))/(VLOOKUP(BD$72,INDIRECT($C$5&amp;"生成成长"),5))*(VLOOKUP($B$5,标准坦克设计!$B$24:$U$30,MATCH("对"&amp;LEFT($C$5,2)&amp;"输出",标准坦克设计!$B$23:$U$23,0)))*(VLOOKUP($B75,INDIRECT($B$5&amp;"生成成长"),3))*(VLOOKUP($B$5,标准坦克设计!$B$14:$K$20,9)/30))</f>
        <v>23.253900243111222</v>
      </c>
      <c r="BE75" s="172">
        <f ca="1">(VLOOKUP(BE$72,INDIRECT($C$5&amp;"生成成长"),2))/((VLOOKUP($B75,INDIRECT($B$5&amp;"生成成长"),4))/(VLOOKUP(BE$72,INDIRECT($C$5&amp;"生成成长"),5))*(VLOOKUP($B$5,标准坦克设计!$B$24:$U$30,MATCH("对"&amp;LEFT($C$5,2)&amp;"输出",标准坦克设计!$B$23:$U$23,0)))*(VLOOKUP($B75,INDIRECT($B$5&amp;"生成成长"),3))*(VLOOKUP($B$5,标准坦克设计!$B$14:$K$20,9)/30))</f>
        <v>25.597413436114905</v>
      </c>
      <c r="BF75" s="172">
        <f ca="1">(VLOOKUP(BF$72,INDIRECT($C$5&amp;"生成成长"),2))/((VLOOKUP($B75,INDIRECT($B$5&amp;"生成成长"),4))/(VLOOKUP(BF$72,INDIRECT($C$5&amp;"生成成长"),5))*(VLOOKUP($B$5,标准坦克设计!$B$24:$U$30,MATCH("对"&amp;LEFT($C$5,2)&amp;"输出",标准坦克设计!$B$23:$U$23,0)))*(VLOOKUP($B75,INDIRECT($B$5&amp;"生成成长"),3))*(VLOOKUP($B$5,标准坦克设计!$B$14:$K$20,9)/30))</f>
        <v>28.053415262382757</v>
      </c>
      <c r="BG75" s="172">
        <f ca="1">(VLOOKUP(BG$72,INDIRECT($C$5&amp;"生成成长"),2))/((VLOOKUP($B75,INDIRECT($B$5&amp;"生成成长"),4))/(VLOOKUP(BG$72,INDIRECT($C$5&amp;"生成成长"),5))*(VLOOKUP($B$5,标准坦克设计!$B$24:$U$30,MATCH("对"&amp;LEFT($C$5,2)&amp;"输出",标准坦克设计!$B$23:$U$23,0)))*(VLOOKUP($B75,INDIRECT($B$5&amp;"生成成长"),3))*(VLOOKUP($B$5,标准坦克设计!$B$14:$K$20,9)/30))</f>
        <v>30.621905721914803</v>
      </c>
      <c r="BH75" s="172">
        <f ca="1">(VLOOKUP(BH$72,INDIRECT($C$5&amp;"生成成长"),2))/((VLOOKUP($B75,INDIRECT($B$5&amp;"生成成长"),4))/(VLOOKUP(BH$72,INDIRECT($C$5&amp;"生成成长"),5))*(VLOOKUP($B$5,标准坦克设计!$B$24:$U$30,MATCH("对"&amp;LEFT($C$5,2)&amp;"输出",标准坦克设计!$B$23:$U$23,0)))*(VLOOKUP($B75,INDIRECT($B$5&amp;"生成成长"),3))*(VLOOKUP($B$5,标准坦克设计!$B$14:$K$20,9)/30))</f>
        <v>14.801282139871564</v>
      </c>
      <c r="BI75" s="172">
        <f ca="1">(VLOOKUP(BI$72,INDIRECT($C$5&amp;"生成成长"),2))/((VLOOKUP($B75,INDIRECT($B$5&amp;"生成成长"),4))/(VLOOKUP(BI$72,INDIRECT($C$5&amp;"生成成长"),5))*(VLOOKUP($B$5,标准坦克设计!$B$24:$U$30,MATCH("对"&amp;LEFT($C$5,2)&amp;"输出",标准坦克设计!$B$23:$U$23,0)))*(VLOOKUP($B75,INDIRECT($B$5&amp;"生成成长"),3))*(VLOOKUP($B$5,标准坦克设计!$B$14:$K$20,9)/30))</f>
        <v>16.682342062789189</v>
      </c>
      <c r="BJ75" s="172">
        <f ca="1">(VLOOKUP(BJ$72,INDIRECT($C$5&amp;"生成成长"),2))/((VLOOKUP($B75,INDIRECT($B$5&amp;"生成成长"),4))/(VLOOKUP(BJ$72,INDIRECT($C$5&amp;"生成成长"),5))*(VLOOKUP($B$5,标准坦克设计!$B$24:$U$30,MATCH("对"&amp;LEFT($C$5,2)&amp;"输出",标准坦克设计!$B$23:$U$23,0)))*(VLOOKUP($B75,INDIRECT($B$5&amp;"生成成长"),3))*(VLOOKUP($B$5,标准坦克设计!$B$14:$K$20,9)/30))</f>
        <v>18.675890618970985</v>
      </c>
      <c r="BK75" s="172">
        <f ca="1">(VLOOKUP(BK$72,INDIRECT($C$5&amp;"生成成长"),2))/((VLOOKUP($B75,INDIRECT($B$5&amp;"生成成长"),4))/(VLOOKUP(BK$72,INDIRECT($C$5&amp;"生成成长"),5))*(VLOOKUP($B$5,标准坦克设计!$B$24:$U$30,MATCH("对"&amp;LEFT($C$5,2)&amp;"输出",标准坦克设计!$B$23:$U$23,0)))*(VLOOKUP($B75,INDIRECT($B$5&amp;"生成成长"),3))*(VLOOKUP($B$5,标准坦克设计!$B$14:$K$20,9)/30))</f>
        <v>20.781927808416963</v>
      </c>
      <c r="BL75" s="172">
        <f ca="1">(VLOOKUP(BL$72,INDIRECT($C$5&amp;"生成成长"),2))/((VLOOKUP($B75,INDIRECT($B$5&amp;"生成成长"),4))/(VLOOKUP(BL$72,INDIRECT($C$5&amp;"生成成长"),5))*(VLOOKUP($B$5,标准坦克设计!$B$24:$U$30,MATCH("对"&amp;LEFT($C$5,2)&amp;"输出",标准坦克设计!$B$23:$U$23,0)))*(VLOOKUP($B75,INDIRECT($B$5&amp;"生成成长"),3))*(VLOOKUP($B$5,标准坦克设计!$B$14:$K$20,9)/30))</f>
        <v>23.000453631127115</v>
      </c>
      <c r="BM75" s="172">
        <f ca="1">(VLOOKUP(BM$72,INDIRECT($C$5&amp;"生成成长"),2))/((VLOOKUP($B75,INDIRECT($B$5&amp;"生成成长"),4))/(VLOOKUP(BM$72,INDIRECT($C$5&amp;"生成成长"),5))*(VLOOKUP($B$5,标准坦克设计!$B$24:$U$30,MATCH("对"&amp;LEFT($C$5,2)&amp;"输出",标准坦克设计!$B$23:$U$23,0)))*(VLOOKUP($B75,INDIRECT($B$5&amp;"生成成长"),3))*(VLOOKUP($B$5,标准坦克设计!$B$14:$K$20,9)/30))</f>
        <v>25.331468087101452</v>
      </c>
      <c r="BN75" s="172">
        <f ca="1">(VLOOKUP(BN$72,INDIRECT($C$5&amp;"生成成长"),2))/((VLOOKUP($B75,INDIRECT($B$5&amp;"生成成长"),4))/(VLOOKUP(BN$72,INDIRECT($C$5&amp;"生成成长"),5))*(VLOOKUP($B$5,标准坦克设计!$B$24:$U$30,MATCH("对"&amp;LEFT($C$5,2)&amp;"输出",标准坦克设计!$B$23:$U$23,0)))*(VLOOKUP($B75,INDIRECT($B$5&amp;"生成成长"),3))*(VLOOKUP($B$5,标准坦克设计!$B$14:$K$20,9)/30))</f>
        <v>27.774971176339953</v>
      </c>
      <c r="BO75" s="172">
        <f ca="1">(VLOOKUP(BO$72,INDIRECT($C$5&amp;"生成成长"),2))/((VLOOKUP($B75,INDIRECT($B$5&amp;"生成成长"),4))/(VLOOKUP(BO$72,INDIRECT($C$5&amp;"生成成长"),5))*(VLOOKUP($B$5,标准坦克设计!$B$24:$U$30,MATCH("对"&amp;LEFT($C$5,2)&amp;"输出",标准坦克设计!$B$23:$U$23,0)))*(VLOOKUP($B75,INDIRECT($B$5&amp;"生成成长"),3))*(VLOOKUP($B$5,标准坦克设计!$B$14:$K$20,9)/30))</f>
        <v>30.330962898842639</v>
      </c>
      <c r="BP75" s="172">
        <f ca="1">(VLOOKUP(BP$72,INDIRECT($C$5&amp;"生成成长"),2))/((VLOOKUP($B75,INDIRECT($B$5&amp;"生成成长"),4))/(VLOOKUP(BP$72,INDIRECT($C$5&amp;"生成成长"),5))*(VLOOKUP($B$5,标准坦克设计!$B$24:$U$30,MATCH("对"&amp;LEFT($C$5,2)&amp;"输出",标准坦克设计!$B$23:$U$23,0)))*(VLOOKUP($B75,INDIRECT($B$5&amp;"生成成长"),3))*(VLOOKUP($B$5,标准坦克设计!$B$14:$K$20,9)/30))</f>
        <v>32.999443254609503</v>
      </c>
      <c r="BQ75" s="172">
        <f ca="1">(VLOOKUP(BQ$72,INDIRECT($C$5&amp;"生成成长"),2))/((VLOOKUP($B75,INDIRECT($B$5&amp;"生成成长"),4))/(VLOOKUP(BQ$72,INDIRECT($C$5&amp;"生成成长"),5))*(VLOOKUP($B$5,标准坦克设计!$B$24:$U$30,MATCH("对"&amp;LEFT($C$5,2)&amp;"输出",标准坦克设计!$B$23:$U$23,0)))*(VLOOKUP($B75,INDIRECT($B$5&amp;"生成成长"),3))*(VLOOKUP($B$5,标准坦克设计!$B$14:$K$20,9)/30))</f>
        <v>35.780412243640541</v>
      </c>
      <c r="BR75" s="172">
        <f ca="1">(VLOOKUP(BR$72,INDIRECT($C$5&amp;"生成成长"),2))/((VLOOKUP($B75,INDIRECT($B$5&amp;"生成成长"),4))/(VLOOKUP(BR$72,INDIRECT($C$5&amp;"生成成长"),5))*(VLOOKUP($B$5,标准坦克设计!$B$24:$U$30,MATCH("对"&amp;LEFT($C$5,2)&amp;"输出",标准坦克设计!$B$23:$U$23,0)))*(VLOOKUP($B75,INDIRECT($B$5&amp;"生成成长"),3))*(VLOOKUP($B$5,标准坦克设计!$B$14:$K$20,9)/30))</f>
        <v>39.002308900095976</v>
      </c>
      <c r="BS75" s="172">
        <f ca="1">(VLOOKUP(BS$72,INDIRECT($C$5&amp;"生成成长"),2))/((VLOOKUP($B75,INDIRECT($B$5&amp;"生成成长"),4))/(VLOOKUP(BS$72,INDIRECT($C$5&amp;"生成成长"),5))*(VLOOKUP($B$5,标准坦克设计!$B$24:$U$30,MATCH("对"&amp;LEFT($C$5,2)&amp;"输出",标准坦克设计!$B$23:$U$23,0)))*(VLOOKUP($B75,INDIRECT($B$5&amp;"生成成长"),3))*(VLOOKUP($B$5,标准坦克设计!$B$14:$K$20,9)/30))</f>
        <v>42.363080412433106</v>
      </c>
      <c r="BT75" s="172">
        <f ca="1">(VLOOKUP(BT$72,INDIRECT($C$5&amp;"生成成长"),2))/((VLOOKUP($B75,INDIRECT($B$5&amp;"生成成长"),4))/(VLOOKUP(BT$72,INDIRECT($C$5&amp;"生成成长"),5))*(VLOOKUP($B$5,标准坦克设计!$B$24:$U$30,MATCH("对"&amp;LEFT($C$5,2)&amp;"输出",标准坦克设计!$B$23:$U$23,0)))*(VLOOKUP($B75,INDIRECT($B$5&amp;"生成成长"),3))*(VLOOKUP($B$5,标准坦克设计!$B$14:$K$20,9)/30))</f>
        <v>45.862726780651947</v>
      </c>
      <c r="BU75" s="172">
        <f ca="1">(VLOOKUP(BU$72,INDIRECT($C$5&amp;"生成成长"),2))/((VLOOKUP($B75,INDIRECT($B$5&amp;"生成成长"),4))/(VLOOKUP(BU$72,INDIRECT($C$5&amp;"生成成长"),5))*(VLOOKUP($B$5,标准坦克设计!$B$24:$U$30,MATCH("对"&amp;LEFT($C$5,2)&amp;"输出",标准坦克设计!$B$23:$U$23,0)))*(VLOOKUP($B75,INDIRECT($B$5&amp;"生成成长"),3))*(VLOOKUP($B$5,标准坦克设计!$B$14:$K$20,9)/30))</f>
        <v>49.501248004752476</v>
      </c>
      <c r="BV75" s="172">
        <f ca="1">(VLOOKUP(BV$72,INDIRECT($C$5&amp;"生成成长"),2))/((VLOOKUP($B75,INDIRECT($B$5&amp;"生成成长"),4))/(VLOOKUP(BV$72,INDIRECT($C$5&amp;"生成成长"),5))*(VLOOKUP($B$5,标准坦克设计!$B$24:$U$30,MATCH("对"&amp;LEFT($C$5,2)&amp;"输出",标准坦克设计!$B$23:$U$23,0)))*(VLOOKUP($B75,INDIRECT($B$5&amp;"生成成长"),3))*(VLOOKUP($B$5,标准坦克设计!$B$14:$K$20,9)/30))</f>
        <v>53.278644084734715</v>
      </c>
      <c r="BW75" s="172">
        <f ca="1">(VLOOKUP(BW$72,INDIRECT($C$5&amp;"生成成长"),2))/((VLOOKUP($B75,INDIRECT($B$5&amp;"生成成长"),4))/(VLOOKUP(BW$72,INDIRECT($C$5&amp;"生成成长"),5))*(VLOOKUP($B$5,标准坦克设计!$B$24:$U$30,MATCH("对"&amp;LEFT($C$5,2)&amp;"输出",标准坦克设计!$B$23:$U$23,0)))*(VLOOKUP($B75,INDIRECT($B$5&amp;"生成成长"),3))*(VLOOKUP($B$5,标准坦克设计!$B$14:$K$20,9)/30))</f>
        <v>24.2815741766358</v>
      </c>
      <c r="BX75" s="172">
        <f ca="1">(VLOOKUP(BX$72,INDIRECT($C$5&amp;"生成成长"),2))/((VLOOKUP($B75,INDIRECT($B$5&amp;"生成成长"),4))/(VLOOKUP(BX$72,INDIRECT($C$5&amp;"生成成长"),5))*(VLOOKUP($B$5,标准坦克设计!$B$24:$U$30,MATCH("对"&amp;LEFT($C$5,2)&amp;"输出",标准坦克设计!$B$23:$U$23,0)))*(VLOOKUP($B75,INDIRECT($B$5&amp;"生成成长"),3))*(VLOOKUP($B$5,标准坦克设计!$B$14:$K$20,9)/30))</f>
        <v>26.947971409564431</v>
      </c>
      <c r="BY75" s="172">
        <f ca="1">(VLOOKUP(BY$72,INDIRECT($C$5&amp;"生成成长"),2))/((VLOOKUP($B75,INDIRECT($B$5&amp;"生成成长"),4))/(VLOOKUP(BY$72,INDIRECT($C$5&amp;"生成成长"),5))*(VLOOKUP($B$5,标准坦克设计!$B$24:$U$30,MATCH("对"&amp;LEFT($C$5,2)&amp;"输出",标准坦克设计!$B$23:$U$23,0)))*(VLOOKUP($B75,INDIRECT($B$5&amp;"生成成长"),3))*(VLOOKUP($B$5,标准坦克设计!$B$14:$K$20,9)/30))</f>
        <v>29.753243498374768</v>
      </c>
      <c r="BZ75" s="172">
        <f ca="1">(VLOOKUP(BZ$72,INDIRECT($C$5&amp;"生成成长"),2))/((VLOOKUP($B75,INDIRECT($B$5&amp;"生成成长"),4))/(VLOOKUP(BZ$72,INDIRECT($C$5&amp;"生成成长"),5))*(VLOOKUP($B$5,标准坦克设计!$B$24:$U$30,MATCH("对"&amp;LEFT($C$5,2)&amp;"输出",标准坦克设计!$B$23:$U$23,0)))*(VLOOKUP($B75,INDIRECT($B$5&amp;"生成成长"),3))*(VLOOKUP($B$5,标准坦克设计!$B$14:$K$20,9)/30))</f>
        <v>32.697390443066809</v>
      </c>
      <c r="CA75" s="172">
        <f ca="1">(VLOOKUP(CA$72,INDIRECT($C$5&amp;"生成成长"),2))/((VLOOKUP($B75,INDIRECT($B$5&amp;"生成成长"),4))/(VLOOKUP(CA$72,INDIRECT($C$5&amp;"生成成长"),5))*(VLOOKUP($B$5,标准坦克设计!$B$24:$U$30,MATCH("对"&amp;LEFT($C$5,2)&amp;"输出",标准坦克设计!$B$23:$U$23,0)))*(VLOOKUP($B75,INDIRECT($B$5&amp;"生成成长"),3))*(VLOOKUP($B$5,标准坦克设计!$B$14:$K$20,9)/30))</f>
        <v>35.780412243640541</v>
      </c>
      <c r="CB75" s="172">
        <f ca="1">(VLOOKUP(CB$72,INDIRECT($C$5&amp;"生成成长"),2))/((VLOOKUP($B75,INDIRECT($B$5&amp;"生成成长"),4))/(VLOOKUP(CB$72,INDIRECT($C$5&amp;"生成成长"),5))*(VLOOKUP($B$5,标准坦克设计!$B$24:$U$30,MATCH("对"&amp;LEFT($C$5,2)&amp;"输出",标准坦克设计!$B$23:$U$23,0)))*(VLOOKUP($B75,INDIRECT($B$5&amp;"生成成长"),3))*(VLOOKUP($B$5,标准坦克设计!$B$14:$K$20,9)/30))</f>
        <v>39.002308900095976</v>
      </c>
      <c r="CC75" s="172">
        <f ca="1">(VLOOKUP(CC$72,INDIRECT($C$5&amp;"生成成长"),2))/((VLOOKUP($B75,INDIRECT($B$5&amp;"生成成长"),4))/(VLOOKUP(CC$72,INDIRECT($C$5&amp;"生成成长"),5))*(VLOOKUP($B$5,标准坦克设计!$B$24:$U$30,MATCH("对"&amp;LEFT($C$5,2)&amp;"输出",标准坦克设计!$B$23:$U$23,0)))*(VLOOKUP($B75,INDIRECT($B$5&amp;"生成成长"),3))*(VLOOKUP($B$5,标准坦克设计!$B$14:$K$20,9)/30))</f>
        <v>42.363080412433106</v>
      </c>
      <c r="CD75" s="172">
        <f ca="1">(VLOOKUP(CD$72,INDIRECT($C$5&amp;"生成成长"),2))/((VLOOKUP($B75,INDIRECT($B$5&amp;"生成成长"),4))/(VLOOKUP(CD$72,INDIRECT($C$5&amp;"生成成长"),5))*(VLOOKUP($B$5,标准坦克设计!$B$24:$U$30,MATCH("对"&amp;LEFT($C$5,2)&amp;"输出",标准坦克设计!$B$23:$U$23,0)))*(VLOOKUP($B75,INDIRECT($B$5&amp;"生成成长"),3))*(VLOOKUP($B$5,标准坦克设计!$B$14:$K$20,9)/30))</f>
        <v>45.862726780651947</v>
      </c>
      <c r="CE75" s="172">
        <f ca="1">(VLOOKUP(CE$72,INDIRECT($C$5&amp;"生成成长"),2))/((VLOOKUP($B75,INDIRECT($B$5&amp;"生成成长"),4))/(VLOOKUP(CE$72,INDIRECT($C$5&amp;"生成成长"),5))*(VLOOKUP($B$5,标准坦克设计!$B$24:$U$30,MATCH("对"&amp;LEFT($C$5,2)&amp;"输出",标准坦克设计!$B$23:$U$23,0)))*(VLOOKUP($B75,INDIRECT($B$5&amp;"生成成长"),3))*(VLOOKUP($B$5,标准坦克设计!$B$14:$K$20,9)/30))</f>
        <v>49.501248004752476</v>
      </c>
      <c r="CF75" s="172">
        <f ca="1">(VLOOKUP(CF$72,INDIRECT($C$5&amp;"生成成长"),2))/((VLOOKUP($B75,INDIRECT($B$5&amp;"生成成长"),4))/(VLOOKUP(CF$72,INDIRECT($C$5&amp;"生成成长"),5))*(VLOOKUP($B$5,标准坦克设计!$B$24:$U$30,MATCH("对"&amp;LEFT($C$5,2)&amp;"输出",标准坦克设计!$B$23:$U$23,0)))*(VLOOKUP($B75,INDIRECT($B$5&amp;"生成成长"),3))*(VLOOKUP($B$5,标准坦克设计!$B$14:$K$20,9)/30))</f>
        <v>53.278644084734715</v>
      </c>
      <c r="CG75" s="172">
        <f ca="1">(VLOOKUP(CG$72,INDIRECT($C$5&amp;"生成成长"),2))/((VLOOKUP($B75,INDIRECT($B$5&amp;"生成成长"),4))/(VLOOKUP(CG$72,INDIRECT($C$5&amp;"生成成长"),5))*(VLOOKUP($B$5,标准坦克设计!$B$24:$U$30,MATCH("对"&amp;LEFT($C$5,2)&amp;"输出",标准坦克设计!$B$23:$U$23,0)))*(VLOOKUP($B75,INDIRECT($B$5&amp;"生成成长"),3))*(VLOOKUP($B$5,标准坦克设计!$B$14:$K$20,9)/30))</f>
        <v>57.19491502059865</v>
      </c>
      <c r="CH75" s="172">
        <f ca="1">(VLOOKUP(CH$72,INDIRECT($C$5&amp;"生成成长"),2))/((VLOOKUP($B75,INDIRECT($B$5&amp;"生成成长"),4))/(VLOOKUP(CH$72,INDIRECT($C$5&amp;"生成成长"),5))*(VLOOKUP($B$5,标准坦克设计!$B$24:$U$30,MATCH("对"&amp;LEFT($C$5,2)&amp;"输出",标准坦克设计!$B$23:$U$23,0)))*(VLOOKUP($B75,INDIRECT($B$5&amp;"生成成长"),3))*(VLOOKUP($B$5,标准坦克设计!$B$14:$K$20,9)/30))</f>
        <v>61.25006081234428</v>
      </c>
      <c r="CI75" s="172">
        <f ca="1">(VLOOKUP(CI$72,INDIRECT($C$5&amp;"生成成长"),2))/((VLOOKUP($B75,INDIRECT($B$5&amp;"生成成长"),4))/(VLOOKUP(CI$72,INDIRECT($C$5&amp;"生成成长"),5))*(VLOOKUP($B$5,标准坦克设计!$B$24:$U$30,MATCH("对"&amp;LEFT($C$5,2)&amp;"输出",标准坦克设计!$B$23:$U$23,0)))*(VLOOKUP($B75,INDIRECT($B$5&amp;"生成成长"),3))*(VLOOKUP($B$5,标准坦克设计!$B$14:$K$20,9)/30))</f>
        <v>65.871121641807832</v>
      </c>
      <c r="CJ75" s="172">
        <f ca="1">(VLOOKUP(CJ$72,INDIRECT($C$5&amp;"生成成长"),2))/((VLOOKUP($B75,INDIRECT($B$5&amp;"生成成长"),4))/(VLOOKUP(CJ$72,INDIRECT($C$5&amp;"生成成长"),5))*(VLOOKUP($B$5,标准坦克设计!$B$24:$U$30,MATCH("对"&amp;LEFT($C$5,2)&amp;"输出",标准坦克设计!$B$23:$U$23,0)))*(VLOOKUP($B75,INDIRECT($B$5&amp;"生成成长"),3))*(VLOOKUP($B$5,标准坦克设计!$B$14:$K$20,9)/30))</f>
        <v>70.660221046888267</v>
      </c>
      <c r="CK75" s="172">
        <f ca="1">(VLOOKUP(CK$72,INDIRECT($C$5&amp;"生成成长"),2))/((VLOOKUP($B75,INDIRECT($B$5&amp;"生成成长"),4))/(VLOOKUP(CK$72,INDIRECT($C$5&amp;"生成成长"),5))*(VLOOKUP($B$5,标准坦克设计!$B$24:$U$30,MATCH("对"&amp;LEFT($C$5,2)&amp;"输出",标准坦克设计!$B$23:$U$23,0)))*(VLOOKUP($B75,INDIRECT($B$5&amp;"生成成长"),3))*(VLOOKUP($B$5,标准坦克设计!$B$14:$K$20,9)/30))</f>
        <v>75.617359027585536</v>
      </c>
      <c r="CL75" s="172">
        <f ca="1">(VLOOKUP(CL$72,INDIRECT($C$5&amp;"生成成长"),2))/((VLOOKUP($B75,INDIRECT($B$5&amp;"生成成长"),4))/(VLOOKUP(CL$72,INDIRECT($C$5&amp;"生成成长"),5))*(VLOOKUP($B$5,标准坦克设计!$B$24:$U$30,MATCH("对"&amp;LEFT($C$5,2)&amp;"输出",标准坦克设计!$B$23:$U$23,0)))*(VLOOKUP($B75,INDIRECT($B$5&amp;"生成成长"),3))*(VLOOKUP($B$5,标准坦克设计!$B$14:$K$20,9)/30))</f>
        <v>80.742535583899667</v>
      </c>
      <c r="CM75" s="172">
        <f ca="1">(VLOOKUP(CM$72,INDIRECT($C$5&amp;"生成成长"),2))/((VLOOKUP($B75,INDIRECT($B$5&amp;"生成成长"),4))/(VLOOKUP(CM$72,INDIRECT($C$5&amp;"生成成长"),5))*(VLOOKUP($B$5,标准坦克设计!$B$24:$U$30,MATCH("对"&amp;LEFT($C$5,2)&amp;"输出",标准坦克设计!$B$23:$U$23,0)))*(VLOOKUP($B75,INDIRECT($B$5&amp;"生成成长"),3))*(VLOOKUP($B$5,标准坦克设计!$B$14:$K$20,9)/30))</f>
        <v>86.035750715830659</v>
      </c>
      <c r="CN75" s="172">
        <f ca="1">(VLOOKUP(CN$72,INDIRECT($C$5&amp;"生成成长"),2))/((VLOOKUP($B75,INDIRECT($B$5&amp;"生成成长"),4))/(VLOOKUP(CN$72,INDIRECT($C$5&amp;"生成成长"),5))*(VLOOKUP($B$5,标准坦克设计!$B$24:$U$30,MATCH("对"&amp;LEFT($C$5,2)&amp;"输出",标准坦克设计!$B$23:$U$23,0)))*(VLOOKUP($B75,INDIRECT($B$5&amp;"生成成长"),3))*(VLOOKUP($B$5,标准坦克设计!$B$14:$K$20,9)/30))</f>
        <v>91.497004423378485</v>
      </c>
      <c r="CO75" s="172">
        <f ca="1">(VLOOKUP(CO$72,INDIRECT($C$5&amp;"生成成长"),2))/((VLOOKUP($B75,INDIRECT($B$5&amp;"生成成长"),4))/(VLOOKUP(CO$72,INDIRECT($C$5&amp;"生成成长"),5))*(VLOOKUP($B$5,标准坦克设计!$B$24:$U$30,MATCH("对"&amp;LEFT($C$5,2)&amp;"输出",标准坦克设计!$B$23:$U$23,0)))*(VLOOKUP($B75,INDIRECT($B$5&amp;"生成成长"),3))*(VLOOKUP($B$5,标准坦克设计!$B$14:$K$20,9)/30))</f>
        <v>41.002106824792449</v>
      </c>
      <c r="CP75" s="172">
        <f ca="1">(VLOOKUP(CP$72,INDIRECT($C$5&amp;"生成成长"),2))/((VLOOKUP($B75,INDIRECT($B$5&amp;"生成成长"),4))/(VLOOKUP(CP$72,INDIRECT($C$5&amp;"生成成长"),5))*(VLOOKUP($B$5,标准坦克设计!$B$24:$U$30,MATCH("对"&amp;LEFT($C$5,2)&amp;"输出",标准坦克设计!$B$23:$U$23,0)))*(VLOOKUP($B75,INDIRECT($B$5&amp;"生成成长"),3))*(VLOOKUP($B$5,标准坦克设计!$B$14:$K$20,9)/30))</f>
        <v>44.798251010318715</v>
      </c>
      <c r="CQ75" s="172">
        <f ca="1">(VLOOKUP(CQ$72,INDIRECT($C$5&amp;"生成成长"),2))/((VLOOKUP($B75,INDIRECT($B$5&amp;"生成成长"),4))/(VLOOKUP(CQ$72,INDIRECT($C$5&amp;"生成成长"),5))*(VLOOKUP($B$5,标准坦克设计!$B$24:$U$30,MATCH("对"&amp;LEFT($C$5,2)&amp;"输出",标准坦克设计!$B$23:$U$23,0)))*(VLOOKUP($B75,INDIRECT($B$5&amp;"生成成长"),3))*(VLOOKUP($B$5,标准坦克设计!$B$14:$K$20,9)/30))</f>
        <v>48.762433771461836</v>
      </c>
      <c r="CR75" s="172">
        <f ca="1">(VLOOKUP(CR$72,INDIRECT($C$5&amp;"生成成长"),2))/((VLOOKUP($B75,INDIRECT($B$5&amp;"生成成长"),4))/(VLOOKUP(CR$72,INDIRECT($C$5&amp;"生成成长"),5))*(VLOOKUP($B$5,标准坦克设计!$B$24:$U$30,MATCH("对"&amp;LEFT($C$5,2)&amp;"输出",标准坦克设计!$B$23:$U$23,0)))*(VLOOKUP($B75,INDIRECT($B$5&amp;"生成成长"),3))*(VLOOKUP($B$5,标准坦克设计!$B$14:$K$20,9)/30))</f>
        <v>52.894655108221805</v>
      </c>
      <c r="CS75" s="172">
        <f ca="1">(VLOOKUP(CS$72,INDIRECT($C$5&amp;"生成成长"),2))/((VLOOKUP($B75,INDIRECT($B$5&amp;"生成成长"),4))/(VLOOKUP(CS$72,INDIRECT($C$5&amp;"生成成长"),5))*(VLOOKUP($B$5,标准坦克设计!$B$24:$U$30,MATCH("对"&amp;LEFT($C$5,2)&amp;"输出",标准坦克设计!$B$23:$U$23,0)))*(VLOOKUP($B75,INDIRECT($B$5&amp;"生成成长"),3))*(VLOOKUP($B$5,标准坦克设计!$B$14:$K$20,9)/30))</f>
        <v>57.19491502059865</v>
      </c>
      <c r="CT75" s="172">
        <f ca="1">(VLOOKUP(CT$72,INDIRECT($C$5&amp;"生成成长"),2))/((VLOOKUP($B75,INDIRECT($B$5&amp;"生成成长"),4))/(VLOOKUP(CT$72,INDIRECT($C$5&amp;"生成成长"),5))*(VLOOKUP($B$5,标准坦克设计!$B$24:$U$30,MATCH("对"&amp;LEFT($C$5,2)&amp;"输出",标准坦克设计!$B$23:$U$23,0)))*(VLOOKUP($B75,INDIRECT($B$5&amp;"生成成长"),3))*(VLOOKUP($B$5,标准坦克设计!$B$14:$K$20,9)/30))</f>
        <v>61.663213508592328</v>
      </c>
      <c r="CU75" s="172">
        <f ca="1">(VLOOKUP(CU$72,INDIRECT($C$5&amp;"生成成长"),2))/((VLOOKUP($B75,INDIRECT($B$5&amp;"生成成长"),4))/(VLOOKUP(CU$72,INDIRECT($C$5&amp;"生成成长"),5))*(VLOOKUP($B$5,标准坦克设计!$B$24:$U$30,MATCH("对"&amp;LEFT($C$5,2)&amp;"输出",标准坦克设计!$B$23:$U$23,0)))*(VLOOKUP($B75,INDIRECT($B$5&amp;"生成成长"),3))*(VLOOKUP($B$5,标准坦克设计!$B$14:$K$20,9)/30))</f>
        <v>66.299550572202875</v>
      </c>
      <c r="CV75" s="172">
        <f ca="1">(VLOOKUP(CV$72,INDIRECT($C$5&amp;"生成成长"),2))/((VLOOKUP($B75,INDIRECT($B$5&amp;"生成成长"),4))/(VLOOKUP(CV$72,INDIRECT($C$5&amp;"生成成长"),5))*(VLOOKUP($B$5,标准坦克设计!$B$24:$U$30,MATCH("对"&amp;LEFT($C$5,2)&amp;"输出",标准坦克设计!$B$23:$U$23,0)))*(VLOOKUP($B75,INDIRECT($B$5&amp;"生成成长"),3))*(VLOOKUP($B$5,标准坦克设计!$B$14:$K$20,9)/30))</f>
        <v>71.103926211430291</v>
      </c>
      <c r="CW75" s="172">
        <f ca="1">(VLOOKUP(CW$72,INDIRECT($C$5&amp;"生成成长"),2))/((VLOOKUP($B75,INDIRECT($B$5&amp;"生成成长"),4))/(VLOOKUP(CW$72,INDIRECT($C$5&amp;"生成成长"),5))*(VLOOKUP($B$5,标准坦克设计!$B$24:$U$30,MATCH("对"&amp;LEFT($C$5,2)&amp;"输出",标准坦克设计!$B$23:$U$23,0)))*(VLOOKUP($B75,INDIRECT($B$5&amp;"生成成长"),3))*(VLOOKUP($B$5,标准坦克设计!$B$14:$K$20,9)/30))</f>
        <v>76.076340426274541</v>
      </c>
      <c r="CX75" s="172">
        <f ca="1">(VLOOKUP(CX$72,INDIRECT($C$5&amp;"生成成长"),2))/((VLOOKUP($B75,INDIRECT($B$5&amp;"生成成长"),4))/(VLOOKUP(CX$72,INDIRECT($C$5&amp;"生成成长"),5))*(VLOOKUP($B$5,标准坦克设计!$B$24:$U$30,MATCH("对"&amp;LEFT($C$5,2)&amp;"输出",标准坦克设计!$B$23:$U$23,0)))*(VLOOKUP($B75,INDIRECT($B$5&amp;"生成成长"),3))*(VLOOKUP($B$5,标准坦克设计!$B$14:$K$20,9)/30))</f>
        <v>81.216793216735681</v>
      </c>
      <c r="CY75" s="172">
        <f ca="1">(VLOOKUP(CY$72,INDIRECT($C$5&amp;"生成成长"),2))/((VLOOKUP($B75,INDIRECT($B$5&amp;"生成成长"),4))/(VLOOKUP(CY$72,INDIRECT($C$5&amp;"生成成长"),5))*(VLOOKUP($B$5,标准坦克设计!$B$24:$U$30,MATCH("对"&amp;LEFT($C$5,2)&amp;"输出",标准坦克设计!$B$23:$U$23,0)))*(VLOOKUP($B75,INDIRECT($B$5&amp;"生成成长"),3))*(VLOOKUP($B$5,标准坦克设计!$B$14:$K$20,9)/30))</f>
        <v>86.52528458281364</v>
      </c>
      <c r="CZ75" s="172">
        <f ca="1">(VLOOKUP(CZ$72,INDIRECT($C$5&amp;"生成成长"),2))/((VLOOKUP($B75,INDIRECT($B$5&amp;"生成成长"),4))/(VLOOKUP(CZ$72,INDIRECT($C$5&amp;"生成成长"),5))*(VLOOKUP($B$5,标准坦克设计!$B$24:$U$30,MATCH("对"&amp;LEFT($C$5,2)&amp;"输出",标准坦克设计!$B$23:$U$23,0)))*(VLOOKUP($B75,INDIRECT($B$5&amp;"生成成长"),3))*(VLOOKUP($B$5,标准坦克设计!$B$14:$K$20,9)/30))</f>
        <v>92.001814524508461</v>
      </c>
      <c r="DA75" s="172">
        <f ca="1">(VLOOKUP(DA$72,INDIRECT($C$5&amp;"生成成长"),2))/((VLOOKUP($B75,INDIRECT($B$5&amp;"生成成长"),4))/(VLOOKUP(DA$72,INDIRECT($C$5&amp;"生成成长"),5))*(VLOOKUP($B$5,标准坦克设计!$B$24:$U$30,MATCH("对"&amp;LEFT($C$5,2)&amp;"输出",标准坦克设计!$B$23:$U$23,0)))*(VLOOKUP($B75,INDIRECT($B$5&amp;"生成成长"),3))*(VLOOKUP($B$5,标准坦克设计!$B$14:$K$20,9)/30))</f>
        <v>97.646383041820158</v>
      </c>
      <c r="DB75" s="172">
        <f ca="1">(VLOOKUP(DB$72,INDIRECT($C$5&amp;"生成成长"),2))/((VLOOKUP($B75,INDIRECT($B$5&amp;"生成成长"),4))/(VLOOKUP(DB$72,INDIRECT($C$5&amp;"生成成长"),5))*(VLOOKUP($B$5,标准坦克设计!$B$24:$U$30,MATCH("对"&amp;LEFT($C$5,2)&amp;"输出",标准坦克设计!$B$23:$U$23,0)))*(VLOOKUP($B75,INDIRECT($B$5&amp;"生成成长"),3))*(VLOOKUP($B$5,标准坦克设计!$B$14:$K$20,9)/30))</f>
        <v>103.45899013474872</v>
      </c>
      <c r="DC75" s="172">
        <f ca="1">(VLOOKUP(DC$72,INDIRECT($C$5&amp;"生成成长"),2))/((VLOOKUP($B75,INDIRECT($B$5&amp;"生成成长"),4))/(VLOOKUP(DC$72,INDIRECT($C$5&amp;"生成成长"),5))*(VLOOKUP($B$5,标准坦克设计!$B$24:$U$30,MATCH("对"&amp;LEFT($C$5,2)&amp;"输出",标准坦克设计!$B$23:$U$23,0)))*(VLOOKUP($B75,INDIRECT($B$5&amp;"生成成长"),3))*(VLOOKUP($B$5,标准坦克设计!$B$14:$K$20,9)/30))</f>
        <v>109.99166335542387</v>
      </c>
      <c r="DD75" s="172">
        <f ca="1">(VLOOKUP(DD$72,INDIRECT($C$5&amp;"生成成长"),2))/((VLOOKUP($B75,INDIRECT($B$5&amp;"生成成长"),4))/(VLOOKUP(DD$72,INDIRECT($C$5&amp;"生成成长"),5))*(VLOOKUP($B$5,标准坦克设计!$B$24:$U$30,MATCH("对"&amp;LEFT($C$5,2)&amp;"输出",标准坦克设计!$B$23:$U$23,0)))*(VLOOKUP($B75,INDIRECT($B$5&amp;"生成成长"),3))*(VLOOKUP($B$5,标准坦克设计!$B$14:$K$20,9)/30))</f>
        <v>116.72431636856868</v>
      </c>
      <c r="DE75" s="172">
        <f ca="1">(VLOOKUP(DE$72,INDIRECT($C$5&amp;"生成成长"),2))/((VLOOKUP($B75,INDIRECT($B$5&amp;"生成成长"),4))/(VLOOKUP(DE$72,INDIRECT($C$5&amp;"生成成长"),5))*(VLOOKUP($B$5,标准坦克设计!$B$24:$U$30,MATCH("对"&amp;LEFT($C$5,2)&amp;"输出",标准坦克设计!$B$23:$U$23,0)))*(VLOOKUP($B75,INDIRECT($B$5&amp;"生成成长"),3))*(VLOOKUP($B$5,标准坦克设计!$B$14:$K$20,9)/30))</f>
        <v>123.65694917418311</v>
      </c>
      <c r="DF75" s="172">
        <f ca="1">(VLOOKUP(DF$72,INDIRECT($C$5&amp;"生成成长"),2))/((VLOOKUP($B75,INDIRECT($B$5&amp;"生成成长"),4))/(VLOOKUP(DF$72,INDIRECT($C$5&amp;"生成成长"),5))*(VLOOKUP($B$5,标准坦克设计!$B$24:$U$30,MATCH("对"&amp;LEFT($C$5,2)&amp;"输出",标准坦克设计!$B$23:$U$23,0)))*(VLOOKUP($B75,INDIRECT($B$5&amp;"生成成长"),3))*(VLOOKUP($B$5,标准坦克设计!$B$14:$K$20,9)/30))</f>
        <v>130.78956177226723</v>
      </c>
      <c r="DG75" s="172">
        <f ca="1">(VLOOKUP(DG$72,INDIRECT($C$5&amp;"生成成长"),2))/((VLOOKUP($B75,INDIRECT($B$5&amp;"生成成长"),4))/(VLOOKUP(DG$72,INDIRECT($C$5&amp;"生成成长"),5))*(VLOOKUP($B$5,标准坦克设计!$B$24:$U$30,MATCH("对"&amp;LEFT($C$5,2)&amp;"输出",标准坦克设计!$B$23:$U$23,0)))*(VLOOKUP($B75,INDIRECT($B$5&amp;"生成成长"),3))*(VLOOKUP($B$5,标准坦克设计!$B$14:$K$20,9)/30))</f>
        <v>138.12215416282098</v>
      </c>
      <c r="DH75" s="172">
        <f ca="1">(VLOOKUP(DH$72,INDIRECT($C$5&amp;"生成成长"),2))/((VLOOKUP($B75,INDIRECT($B$5&amp;"生成成长"),4))/(VLOOKUP(DH$72,INDIRECT($C$5&amp;"生成成长"),5))*(VLOOKUP($B$5,标准坦克设计!$B$24:$U$30,MATCH("对"&amp;LEFT($C$5,2)&amp;"输出",标准坦克设计!$B$23:$U$23,0)))*(VLOOKUP($B75,INDIRECT($B$5&amp;"生成成长"),3))*(VLOOKUP($B$5,标准坦克设计!$B$14:$K$20,9)/30))</f>
        <v>145.65472634584435</v>
      </c>
      <c r="DI75" s="172">
        <f ca="1">(VLOOKUP(DI$72,INDIRECT($C$5&amp;"生成成长"),2))/((VLOOKUP($B75,INDIRECT($B$5&amp;"生成成长"),4))/(VLOOKUP(DI$72,INDIRECT($C$5&amp;"生成成长"),5))*(VLOOKUP($B$5,标准坦克设计!$B$24:$U$30,MATCH("对"&amp;LEFT($C$5,2)&amp;"输出",标准坦克设计!$B$23:$U$23,0)))*(VLOOKUP($B75,INDIRECT($B$5&amp;"生成成长"),3))*(VLOOKUP($B$5,标准坦克设计!$B$14:$K$20,9)/30))</f>
        <v>153.38727832133739</v>
      </c>
      <c r="DJ75" s="172">
        <f ca="1">(VLOOKUP(DJ$72,INDIRECT($C$5&amp;"生成成长"),2))/((VLOOKUP($B75,INDIRECT($B$5&amp;"生成成长"),4))/(VLOOKUP(DJ$72,INDIRECT($C$5&amp;"生成成长"),5))*(VLOOKUP($B$5,标准坦克设计!$B$24:$U$30,MATCH("对"&amp;LEFT($C$5,2)&amp;"输出",标准坦克设计!$B$23:$U$23,0)))*(VLOOKUP($B75,INDIRECT($B$5&amp;"生成成长"),3))*(VLOOKUP($B$5,标准坦克设计!$B$14:$K$20,9)/30))</f>
        <v>15.415803377148082</v>
      </c>
      <c r="DK75" s="172">
        <f ca="1">(VLOOKUP(DK$72,INDIRECT($C$5&amp;"生成成长"),2))/((VLOOKUP($B75,INDIRECT($B$5&amp;"生成成长"),4))/(VLOOKUP(DK$72,INDIRECT($C$5&amp;"生成成长"),5))*(VLOOKUP($B$5,标准坦克设计!$B$24:$U$30,MATCH("对"&amp;LEFT($C$5,2)&amp;"输出",标准坦克设计!$B$23:$U$23,0)))*(VLOOKUP($B75,INDIRECT($B$5&amp;"生成成长"),3))*(VLOOKUP($B$5,标准坦克设计!$B$14:$K$20,9)/30))</f>
        <v>17.334359511153767</v>
      </c>
      <c r="DL75" s="172">
        <f ca="1">(VLOOKUP(DL$72,INDIRECT($C$5&amp;"生成成长"),2))/((VLOOKUP($B75,INDIRECT($B$5&amp;"生成成长"),4))/(VLOOKUP(DL$72,INDIRECT($C$5&amp;"生成成长"),5))*(VLOOKUP($B$5,标准坦克设计!$B$24:$U$30,MATCH("对"&amp;LEFT($C$5,2)&amp;"输出",标准坦克设计!$B$23:$U$23,0)))*(VLOOKUP($B75,INDIRECT($B$5&amp;"生成成长"),3))*(VLOOKUP($B$5,标准坦克设计!$B$14:$K$20,9)/30))</f>
        <v>19.365404278423625</v>
      </c>
      <c r="DM75" s="172">
        <f ca="1">(VLOOKUP(DM$72,INDIRECT($C$5&amp;"生成成长"),2))/((VLOOKUP($B75,INDIRECT($B$5&amp;"生成成长"),4))/(VLOOKUP(DM$72,INDIRECT($C$5&amp;"生成成长"),5))*(VLOOKUP($B$5,标准坦克设计!$B$24:$U$30,MATCH("对"&amp;LEFT($C$5,2)&amp;"输出",标准坦克设计!$B$23:$U$23,0)))*(VLOOKUP($B75,INDIRECT($B$5&amp;"生成成长"),3))*(VLOOKUP($B$5,标准坦克设计!$B$14:$K$20,9)/30))</f>
        <v>21.508937678957665</v>
      </c>
      <c r="DN75" s="172">
        <f ca="1">(VLOOKUP(DN$72,INDIRECT($C$5&amp;"生成成长"),2))/((VLOOKUP($B75,INDIRECT($B$5&amp;"生成成长"),4))/(VLOOKUP(DN$72,INDIRECT($C$5&amp;"生成成长"),5))*(VLOOKUP($B$5,标准坦克设计!$B$24:$U$30,MATCH("对"&amp;LEFT($C$5,2)&amp;"输出",标准坦克设计!$B$23:$U$23,0)))*(VLOOKUP($B75,INDIRECT($B$5&amp;"生成成长"),3))*(VLOOKUP($B$5,标准坦克设计!$B$14:$K$20,9)/30))</f>
        <v>23.764959712755875</v>
      </c>
      <c r="DO75" s="172">
        <f ca="1">(VLOOKUP(DO$72,INDIRECT($C$5&amp;"生成成长"),2))/((VLOOKUP($B75,INDIRECT($B$5&amp;"生成成长"),4))/(VLOOKUP(DO$72,INDIRECT($C$5&amp;"生成成长"),5))*(VLOOKUP($B$5,标准坦克设计!$B$24:$U$30,MATCH("对"&amp;LEFT($C$5,2)&amp;"输出",标准坦克设计!$B$23:$U$23,0)))*(VLOOKUP($B75,INDIRECT($B$5&amp;"生成成长"),3))*(VLOOKUP($B$5,标准坦克设计!$B$14:$K$20,9)/30))</f>
        <v>26.133470379818267</v>
      </c>
      <c r="DP75" s="172">
        <f ca="1">(VLOOKUP(DP$72,INDIRECT($C$5&amp;"生成成长"),2))/((VLOOKUP($B75,INDIRECT($B$5&amp;"生成成长"),4))/(VLOOKUP(DP$72,INDIRECT($C$5&amp;"生成成长"),5))*(VLOOKUP($B$5,标准坦克设计!$B$24:$U$30,MATCH("对"&amp;LEFT($C$5,2)&amp;"输出",标准坦克设计!$B$23:$U$23,0)))*(VLOOKUP($B75,INDIRECT($B$5&amp;"生成成长"),3))*(VLOOKUP($B$5,标准坦克设计!$B$14:$K$20,9)/30))</f>
        <v>28.614469680144833</v>
      </c>
      <c r="DQ75" s="172">
        <f ca="1">(VLOOKUP(DQ$72,INDIRECT($C$5&amp;"生成成长"),2))/((VLOOKUP($B75,INDIRECT($B$5&amp;"生成成长"),4))/(VLOOKUP(DQ$72,INDIRECT($C$5&amp;"生成成长"),5))*(VLOOKUP($B$5,标准坦克设计!$B$24:$U$30,MATCH("对"&amp;LEFT($C$5,2)&amp;"输出",标准坦克设计!$B$23:$U$23,0)))*(VLOOKUP($B75,INDIRECT($B$5&amp;"生成成长"),3))*(VLOOKUP($B$5,标准坦克设计!$B$14:$K$20,9)/30))</f>
        <v>31.207957613735573</v>
      </c>
      <c r="DR75" s="172">
        <f ca="1">(VLOOKUP(DR$72,INDIRECT($C$5&amp;"生成成长"),2))/((VLOOKUP($B75,INDIRECT($B$5&amp;"生成成长"),4))/(VLOOKUP(DR$72,INDIRECT($C$5&amp;"生成成长"),5))*(VLOOKUP($B$5,标准坦克设计!$B$24:$U$30,MATCH("对"&amp;LEFT($C$5,2)&amp;"输出",标准坦克设计!$B$23:$U$23,0)))*(VLOOKUP($B75,INDIRECT($B$5&amp;"生成成长"),3))*(VLOOKUP($B$5,标准坦克设计!$B$14:$K$20,9)/30))</f>
        <v>33.913934180590502</v>
      </c>
      <c r="DS75" s="172">
        <f ca="1">(VLOOKUP(DS$72,INDIRECT($C$5&amp;"生成成长"),2))/((VLOOKUP($B75,INDIRECT($B$5&amp;"生成成长"),4))/(VLOOKUP(DS$72,INDIRECT($C$5&amp;"生成成长"),5))*(VLOOKUP($B$5,标准坦克设计!$B$24:$U$30,MATCH("对"&amp;LEFT($C$5,2)&amp;"输出",标准坦克设计!$B$23:$U$23,0)))*(VLOOKUP($B75,INDIRECT($B$5&amp;"生成成长"),3))*(VLOOKUP($B$5,标准坦克设计!$B$14:$K$20,9)/30))</f>
        <v>36.732399380709587</v>
      </c>
      <c r="DT75" s="172">
        <f ca="1">(VLOOKUP(DT$72,INDIRECT($C$5&amp;"生成成长"),2))/((VLOOKUP($B75,INDIRECT($B$5&amp;"生成成长"),4))/(VLOOKUP(DT$72,INDIRECT($C$5&amp;"生成成长"),5))*(VLOOKUP($B$5,标准坦克设计!$B$24:$U$30,MATCH("对"&amp;LEFT($C$5,2)&amp;"输出",标准坦克设计!$B$23:$U$23,0)))*(VLOOKUP($B75,INDIRECT($B$5&amp;"生成成长"),3))*(VLOOKUP($B$5,标准坦克设计!$B$14:$K$20,9)/30))</f>
        <v>40.329952522325016</v>
      </c>
      <c r="DU75" s="172">
        <f ca="1">(VLOOKUP(DU$72,INDIRECT($C$5&amp;"生成成长"),2))/((VLOOKUP($B75,INDIRECT($B$5&amp;"生成成长"),4))/(VLOOKUP(DU$72,INDIRECT($C$5&amp;"生成成长"),5))*(VLOOKUP($B$5,标准坦克设计!$B$24:$U$30,MATCH("对"&amp;LEFT($C$5,2)&amp;"输出",标准坦克设计!$B$23:$U$23,0)))*(VLOOKUP($B75,INDIRECT($B$5&amp;"生成成长"),3))*(VLOOKUP($B$5,标准坦克设计!$B$14:$K$20,9)/30))</f>
        <v>44.09554423955732</v>
      </c>
      <c r="DV75" s="172">
        <f ca="1">(VLOOKUP(DV$72,INDIRECT($C$5&amp;"生成成长"),2))/((VLOOKUP($B75,INDIRECT($B$5&amp;"生成成长"),4))/(VLOOKUP(DV$72,INDIRECT($C$5&amp;"生成成长"),5))*(VLOOKUP($B$5,标准坦克设计!$B$24:$U$30,MATCH("对"&amp;LEFT($C$5,2)&amp;"输出",标准坦克设计!$B$23:$U$23,0)))*(VLOOKUP($B75,INDIRECT($B$5&amp;"生成成长"),3))*(VLOOKUP($B$5,标准坦克设计!$B$14:$K$20,9)/30))</f>
        <v>48.029174532406472</v>
      </c>
      <c r="DW75" s="172">
        <f ca="1">(VLOOKUP(DW$72,INDIRECT($C$5&amp;"生成成长"),2))/((VLOOKUP($B75,INDIRECT($B$5&amp;"生成成长"),4))/(VLOOKUP(DW$72,INDIRECT($C$5&amp;"生成成长"),5))*(VLOOKUP($B$5,标准坦克设计!$B$24:$U$30,MATCH("对"&amp;LEFT($C$5,2)&amp;"输出",标准坦克设计!$B$23:$U$23,0)))*(VLOOKUP($B75,INDIRECT($B$5&amp;"生成成长"),3))*(VLOOKUP($B$5,标准坦克设计!$B$14:$K$20,9)/30))</f>
        <v>52.130843400872472</v>
      </c>
      <c r="DX75" s="172">
        <f ca="1">(VLOOKUP(DX$72,INDIRECT($C$5&amp;"生成成长"),2))/((VLOOKUP($B75,INDIRECT($B$5&amp;"生成成长"),4))/(VLOOKUP(DX$72,INDIRECT($C$5&amp;"生成成长"),5))*(VLOOKUP($B$5,标准坦克设计!$B$24:$U$30,MATCH("对"&amp;LEFT($C$5,2)&amp;"输出",标准坦克设计!$B$23:$U$23,0)))*(VLOOKUP($B75,INDIRECT($B$5&amp;"生成成长"),3))*(VLOOKUP($B$5,标准坦克设计!$B$14:$K$20,9)/30))</f>
        <v>56.400550844955333</v>
      </c>
      <c r="DY75" s="172">
        <f ca="1">(VLOOKUP(DY$72,INDIRECT($C$5&amp;"生成成长"),2))/((VLOOKUP($B75,INDIRECT($B$5&amp;"生成成长"),4))/(VLOOKUP(DY$72,INDIRECT($C$5&amp;"生成成长"),5))*(VLOOKUP($B$5,标准坦克设计!$B$24:$U$30,MATCH("对"&amp;LEFT($C$5,2)&amp;"输出",标准坦克设计!$B$23:$U$23,0)))*(VLOOKUP($B75,INDIRECT($B$5&amp;"生成成长"),3))*(VLOOKUP($B$5,标准坦克设计!$B$14:$K$20,9)/30))</f>
        <v>25.331468087101452</v>
      </c>
      <c r="DZ75" s="172">
        <f ca="1">(VLOOKUP(DZ$72,INDIRECT($C$5&amp;"生成成长"),2))/((VLOOKUP($B75,INDIRECT($B$5&amp;"生成成长"),4))/(VLOOKUP(DZ$72,INDIRECT($C$5&amp;"生成成长"),5))*(VLOOKUP($B$5,标准坦克设计!$B$24:$U$30,MATCH("对"&amp;LEFT($C$5,2)&amp;"输出",标准坦克设计!$B$23:$U$23,0)))*(VLOOKUP($B75,INDIRECT($B$5&amp;"生成成长"),3))*(VLOOKUP($B$5,标准坦克设计!$B$14:$K$20,9)/30))</f>
        <v>28.053415262382757</v>
      </c>
      <c r="EA75" s="172">
        <f ca="1">(VLOOKUP(EA$72,INDIRECT($C$5&amp;"生成成长"),2))/((VLOOKUP($B75,INDIRECT($B$5&amp;"生成成长"),4))/(VLOOKUP(EA$72,INDIRECT($C$5&amp;"生成成长"),5))*(VLOOKUP($B$5,标准坦克设计!$B$24:$U$30,MATCH("对"&amp;LEFT($C$5,2)&amp;"输出",标准坦克设计!$B$23:$U$23,0)))*(VLOOKUP($B75,INDIRECT($B$5&amp;"生成成长"),3))*(VLOOKUP($B$5,标准坦克设计!$B$14:$K$20,9)/30))</f>
        <v>30.914237293545778</v>
      </c>
      <c r="EB75" s="172">
        <f ca="1">(VLOOKUP(EB$72,INDIRECT($C$5&amp;"生成成长"),2))/((VLOOKUP($B75,INDIRECT($B$5&amp;"生成成长"),4))/(VLOOKUP(EB$72,INDIRECT($C$5&amp;"生成成长"),5))*(VLOOKUP($B$5,标准坦克设计!$B$24:$U$30,MATCH("对"&amp;LEFT($C$5,2)&amp;"输出",标准坦克设计!$B$23:$U$23,0)))*(VLOOKUP($B75,INDIRECT($B$5&amp;"生成成长"),3))*(VLOOKUP($B$5,标准坦克设计!$B$14:$K$20,9)/30))</f>
        <v>33.913934180590502</v>
      </c>
      <c r="EC75" s="172">
        <f ca="1">(VLOOKUP(EC$72,INDIRECT($C$5&amp;"生成成长"),2))/((VLOOKUP($B75,INDIRECT($B$5&amp;"生成成长"),4))/(VLOOKUP(EC$72,INDIRECT($C$5&amp;"生成成长"),5))*(VLOOKUP($B$5,标准坦克设计!$B$24:$U$30,MATCH("对"&amp;LEFT($C$5,2)&amp;"输出",标准坦克设计!$B$23:$U$23,0)))*(VLOOKUP($B75,INDIRECT($B$5&amp;"生成成长"),3))*(VLOOKUP($B$5,标准坦克设计!$B$14:$K$20,9)/30))</f>
        <v>37.052505923516911</v>
      </c>
      <c r="ED75" s="172">
        <f ca="1">(VLOOKUP(ED$72,INDIRECT($C$5&amp;"生成成长"),2))/((VLOOKUP($B75,INDIRECT($B$5&amp;"生成成长"),4))/(VLOOKUP(ED$72,INDIRECT($C$5&amp;"生成成长"),5))*(VLOOKUP($B$5,标准坦克设计!$B$24:$U$30,MATCH("对"&amp;LEFT($C$5,2)&amp;"输出",标准坦克设计!$B$23:$U$23,0)))*(VLOOKUP($B75,INDIRECT($B$5&amp;"生成成长"),3))*(VLOOKUP($B$5,标准坦克设计!$B$14:$K$20,9)/30))</f>
        <v>40.329952522325016</v>
      </c>
      <c r="EE75" s="172">
        <f ca="1">(VLOOKUP(EE$72,INDIRECT($C$5&amp;"生成成长"),2))/((VLOOKUP($B75,INDIRECT($B$5&amp;"生成成长"),4))/(VLOOKUP(EE$72,INDIRECT($C$5&amp;"生成成长"),5))*(VLOOKUP($B$5,标准坦克设计!$B$24:$U$30,MATCH("对"&amp;LEFT($C$5,2)&amp;"输出",标准坦克设计!$B$23:$U$23,0)))*(VLOOKUP($B75,INDIRECT($B$5&amp;"生成成长"),3))*(VLOOKUP($B$5,标准坦克设计!$B$14:$K$20,9)/30))</f>
        <v>43.746273977014845</v>
      </c>
      <c r="EF75" s="172">
        <f ca="1">(VLOOKUP(EF$72,INDIRECT($C$5&amp;"生成成长"),2))/((VLOOKUP($B75,INDIRECT($B$5&amp;"生成成长"),4))/(VLOOKUP(EF$72,INDIRECT($C$5&amp;"生成成长"),5))*(VLOOKUP($B$5,标准坦克设计!$B$24:$U$30,MATCH("对"&amp;LEFT($C$5,2)&amp;"输出",标准坦克设计!$B$23:$U$23,0)))*(VLOOKUP($B75,INDIRECT($B$5&amp;"生成成长"),3))*(VLOOKUP($B$5,标准坦克设计!$B$14:$K$20,9)/30))</f>
        <v>47.301470287586355</v>
      </c>
      <c r="EG75" s="172">
        <f ca="1">(VLOOKUP(EG$72,INDIRECT($C$5&amp;"生成成长"),2))/((VLOOKUP($B75,INDIRECT($B$5&amp;"生成成长"),4))/(VLOOKUP(EG$72,INDIRECT($C$5&amp;"生成成长"),5))*(VLOOKUP($B$5,标准坦克设计!$B$24:$U$30,MATCH("对"&amp;LEFT($C$5,2)&amp;"输出",标准坦克设计!$B$23:$U$23,0)))*(VLOOKUP($B75,INDIRECT($B$5&amp;"生成成长"),3))*(VLOOKUP($B$5,标准坦克设计!$B$14:$K$20,9)/30))</f>
        <v>50.995541454039561</v>
      </c>
      <c r="EH75" s="172">
        <f ca="1">(VLOOKUP(EH$72,INDIRECT($C$5&amp;"生成成长"),2))/((VLOOKUP($B75,INDIRECT($B$5&amp;"生成成长"),4))/(VLOOKUP(EH$72,INDIRECT($C$5&amp;"生成成长"),5))*(VLOOKUP($B$5,标准坦克设计!$B$24:$U$30,MATCH("对"&amp;LEFT($C$5,2)&amp;"输出",标准坦克设计!$B$23:$U$23,0)))*(VLOOKUP($B75,INDIRECT($B$5&amp;"生成成长"),3))*(VLOOKUP($B$5,标准坦克设计!$B$14:$K$20,9)/30))</f>
        <v>54.828487476374491</v>
      </c>
      <c r="EI75" s="172">
        <f ca="1">(VLOOKUP(EI$72,INDIRECT($C$5&amp;"生成成长"),2))/((VLOOKUP($B75,INDIRECT($B$5&amp;"生成成长"),4))/(VLOOKUP(EI$72,INDIRECT($C$5&amp;"生成成长"),5))*(VLOOKUP($B$5,标准坦克设计!$B$24:$U$30,MATCH("对"&amp;LEFT($C$5,2)&amp;"输出",标准坦克设计!$B$23:$U$23,0)))*(VLOOKUP($B75,INDIRECT($B$5&amp;"生成成长"),3))*(VLOOKUP($B$5,标准坦克设计!$B$14:$K$20,9)/30))</f>
        <v>58.800308354591095</v>
      </c>
      <c r="EJ75" s="172">
        <f ca="1">(VLOOKUP(EJ$72,INDIRECT($C$5&amp;"生成成长"),2))/((VLOOKUP($B75,INDIRECT($B$5&amp;"生成成长"),4))/(VLOOKUP(EJ$72,INDIRECT($C$5&amp;"生成成长"),5))*(VLOOKUP($B$5,标准坦克设计!$B$24:$U$30,MATCH("对"&amp;LEFT($C$5,2)&amp;"输出",标准坦克设计!$B$23:$U$23,0)))*(VLOOKUP($B75,INDIRECT($B$5&amp;"生成成长"),3))*(VLOOKUP($B$5,标准坦克设计!$B$14:$K$20,9)/30))</f>
        <v>62.91100408868941</v>
      </c>
      <c r="EK75" s="172">
        <f ca="1">(VLOOKUP(EK$72,INDIRECT($C$5&amp;"生成成长"),2))/((VLOOKUP($B75,INDIRECT($B$5&amp;"生成成长"),4))/(VLOOKUP(EK$72,INDIRECT($C$5&amp;"生成成长"),5))*(VLOOKUP($B$5,标准坦克设计!$B$24:$U$30,MATCH("对"&amp;LEFT($C$5,2)&amp;"输出",标准坦克设计!$B$23:$U$23,0)))*(VLOOKUP($B75,INDIRECT($B$5&amp;"生成成长"),3))*(VLOOKUP($B$5,标准坦克设计!$B$14:$K$20,9)/30))</f>
        <v>68.027153779371233</v>
      </c>
      <c r="EL75" s="172">
        <f ca="1">(VLOOKUP(EL$72,INDIRECT($C$5&amp;"生成成长"),2))/((VLOOKUP($B75,INDIRECT($B$5&amp;"生成成长"),4))/(VLOOKUP(EL$72,INDIRECT($C$5&amp;"生成成长"),5))*(VLOOKUP($B$5,标准坦克设计!$B$24:$U$30,MATCH("对"&amp;LEFT($C$5,2)&amp;"输出",标准坦克设计!$B$23:$U$23,0)))*(VLOOKUP($B75,INDIRECT($B$5&amp;"生成成长"),3))*(VLOOKUP($B$5,标准坦克设计!$B$14:$K$20,9)/30))</f>
        <v>73.343283262522689</v>
      </c>
      <c r="EM75" s="172">
        <f ca="1">(VLOOKUP(EM$72,INDIRECT($C$5&amp;"生成成长"),2))/((VLOOKUP($B75,INDIRECT($B$5&amp;"生成成长"),4))/(VLOOKUP(EM$72,INDIRECT($C$5&amp;"生成成长"),5))*(VLOOKUP($B$5,标准坦克设计!$B$24:$U$30,MATCH("对"&amp;LEFT($C$5,2)&amp;"输出",标准坦克设计!$B$23:$U$23,0)))*(VLOOKUP($B75,INDIRECT($B$5&amp;"生成成长"),3))*(VLOOKUP($B$5,标准坦克设计!$B$14:$K$20,9)/30))</f>
        <v>78.859392538143808</v>
      </c>
      <c r="EN75" s="172">
        <f ca="1">(VLOOKUP(EN$72,INDIRECT($C$5&amp;"生成成长"),2))/((VLOOKUP($B75,INDIRECT($B$5&amp;"生成成长"),4))/(VLOOKUP(EN$72,INDIRECT($C$5&amp;"生成成长"),5))*(VLOOKUP($B$5,标准坦克设计!$B$24:$U$30,MATCH("对"&amp;LEFT($C$5,2)&amp;"输出",标准坦克设计!$B$23:$U$23,0)))*(VLOOKUP($B75,INDIRECT($B$5&amp;"生成成长"),3))*(VLOOKUP($B$5,标准坦克设计!$B$14:$K$20,9)/30))</f>
        <v>84.575481606234575</v>
      </c>
      <c r="EO75" s="172">
        <f ca="1">(VLOOKUP(EO$72,INDIRECT($C$5&amp;"生成成长"),2))/((VLOOKUP($B75,INDIRECT($B$5&amp;"生成成长"),4))/(VLOOKUP(EO$72,INDIRECT($C$5&amp;"生成成长"),5))*(VLOOKUP($B$5,标准坦克设计!$B$24:$U$30,MATCH("对"&amp;LEFT($C$5,2)&amp;"输出",标准坦克设计!$B$23:$U$23,0)))*(VLOOKUP($B75,INDIRECT($B$5&amp;"生成成长"),3))*(VLOOKUP($B$5,标准坦克设计!$B$14:$K$20,9)/30))</f>
        <v>90.49155046679499</v>
      </c>
      <c r="EP75" s="172">
        <f ca="1">(VLOOKUP(EP$72,INDIRECT($C$5&amp;"生成成长"),2))/((VLOOKUP($B75,INDIRECT($B$5&amp;"生成成长"),4))/(VLOOKUP(EP$72,INDIRECT($C$5&amp;"生成成长"),5))*(VLOOKUP($B$5,标准坦克设计!$B$24:$U$30,MATCH("对"&amp;LEFT($C$5,2)&amp;"输出",标准坦克设计!$B$23:$U$23,0)))*(VLOOKUP($B75,INDIRECT($B$5&amp;"生成成长"),3))*(VLOOKUP($B$5,标准坦克设计!$B$14:$K$20,9)/30))</f>
        <v>96.607599119825053</v>
      </c>
      <c r="EQ75" s="172">
        <f ca="1">(VLOOKUP(EQ$72,INDIRECT($C$5&amp;"生成成长"),2))/((VLOOKUP($B75,INDIRECT($B$5&amp;"生成成长"),4))/(VLOOKUP(EQ$72,INDIRECT($C$5&amp;"生成成长"),5))*(VLOOKUP($B$5,标准坦克设计!$B$24:$U$30,MATCH("对"&amp;LEFT($C$5,2)&amp;"输出",标准坦克设计!$B$23:$U$23,0)))*(VLOOKUP($B75,INDIRECT($B$5&amp;"生成成长"),3))*(VLOOKUP($B$5,标准坦克设计!$B$14:$K$20,9)/30))</f>
        <v>42.706795680740321</v>
      </c>
      <c r="ER75" s="172">
        <f ca="1">(VLOOKUP(ER$72,INDIRECT($C$5&amp;"生成成长"),2))/((VLOOKUP($B75,INDIRECT($B$5&amp;"生成成长"),4))/(VLOOKUP(ER$72,INDIRECT($C$5&amp;"生成成长"),5))*(VLOOKUP($B$5,标准坦克设计!$B$24:$U$30,MATCH("对"&amp;LEFT($C$5,2)&amp;"输出",标准坦克设计!$B$23:$U$23,0)))*(VLOOKUP($B75,INDIRECT($B$5&amp;"生成成长"),3))*(VLOOKUP($B$5,标准坦克设计!$B$14:$K$20,9)/30))</f>
        <v>46.579321037001513</v>
      </c>
      <c r="ES75" s="172">
        <f ca="1">(VLOOKUP(ES$72,INDIRECT($C$5&amp;"生成成长"),2))/((VLOOKUP($B75,INDIRECT($B$5&amp;"生成成长"),4))/(VLOOKUP(ES$72,INDIRECT($C$5&amp;"生成成长"),5))*(VLOOKUP($B$5,标准坦克设计!$B$24:$U$30,MATCH("对"&amp;LEFT($C$5,2)&amp;"输出",标准坦克设计!$B$23:$U$23,0)))*(VLOOKUP($B75,INDIRECT($B$5&amp;"生成成长"),3))*(VLOOKUP($B$5,标准坦克设计!$B$14:$K$20,9)/30))</f>
        <v>50.619884968879575</v>
      </c>
      <c r="ET75" s="172">
        <f ca="1">(VLOOKUP(ET$72,INDIRECT($C$5&amp;"生成成长"),2))/((VLOOKUP($B75,INDIRECT($B$5&amp;"生成成长"),4))/(VLOOKUP(ET$72,INDIRECT($C$5&amp;"生成成长"),5))*(VLOOKUP($B$5,标准坦克设计!$B$24:$U$30,MATCH("对"&amp;LEFT($C$5,2)&amp;"输出",标准坦克设计!$B$23:$U$23,0)))*(VLOOKUP($B75,INDIRECT($B$5&amp;"生成成长"),3))*(VLOOKUP($B$5,标准坦克设计!$B$14:$K$20,9)/30))</f>
        <v>54.828487476374491</v>
      </c>
      <c r="EU75" s="172">
        <f ca="1">(VLOOKUP(EU$72,INDIRECT($C$5&amp;"生成成长"),2))/((VLOOKUP($B75,INDIRECT($B$5&amp;"生成成长"),4))/(VLOOKUP(EU$72,INDIRECT($C$5&amp;"生成成长"),5))*(VLOOKUP($B$5,标准坦克设计!$B$24:$U$30,MATCH("对"&amp;LEFT($C$5,2)&amp;"输出",标准坦克设计!$B$23:$U$23,0)))*(VLOOKUP($B75,INDIRECT($B$5&amp;"生成成长"),3))*(VLOOKUP($B$5,标准坦克设计!$B$14:$K$20,9)/30))</f>
        <v>59.205128559486255</v>
      </c>
      <c r="EV75" s="172">
        <f ca="1">(VLOOKUP(EV$72,INDIRECT($C$5&amp;"生成成长"),2))/((VLOOKUP($B75,INDIRECT($B$5&amp;"生成成长"),4))/(VLOOKUP(EV$72,INDIRECT($C$5&amp;"生成成长"),5))*(VLOOKUP($B$5,标准坦克设计!$B$24:$U$30,MATCH("对"&amp;LEFT($C$5,2)&amp;"输出",标准坦克设计!$B$23:$U$23,0)))*(VLOOKUP($B75,INDIRECT($B$5&amp;"生成成长"),3))*(VLOOKUP($B$5,标准坦克设计!$B$14:$K$20,9)/30))</f>
        <v>63.749808218214881</v>
      </c>
      <c r="EW75" s="172">
        <f ca="1">(VLOOKUP(EW$72,INDIRECT($C$5&amp;"生成成长"),2))/((VLOOKUP($B75,INDIRECT($B$5&amp;"生成成长"),4))/(VLOOKUP(EW$72,INDIRECT($C$5&amp;"生成成长"),5))*(VLOOKUP($B$5,标准坦克设计!$B$24:$U$30,MATCH("对"&amp;LEFT($C$5,2)&amp;"输出",标准坦克设计!$B$23:$U$23,0)))*(VLOOKUP($B75,INDIRECT($B$5&amp;"生成成长"),3))*(VLOOKUP($B$5,标准坦克设计!$B$14:$K$20,9)/30))</f>
        <v>68.462526452560354</v>
      </c>
      <c r="EX75" s="172">
        <f ca="1">(VLOOKUP(EX$72,INDIRECT($C$5&amp;"生成成长"),2))/((VLOOKUP($B75,INDIRECT($B$5&amp;"生成成长"),4))/(VLOOKUP(EX$72,INDIRECT($C$5&amp;"生成成长"),5))*(VLOOKUP($B$5,标准坦克设计!$B$24:$U$30,MATCH("对"&amp;LEFT($C$5,2)&amp;"输出",标准坦克设计!$B$23:$U$23,0)))*(VLOOKUP($B75,INDIRECT($B$5&amp;"生成成长"),3))*(VLOOKUP($B$5,标准坦克设计!$B$14:$K$20,9)/30))</f>
        <v>73.343283262522689</v>
      </c>
      <c r="EY75" s="172">
        <f ca="1">(VLOOKUP(EY$72,INDIRECT($C$5&amp;"生成成长"),2))/((VLOOKUP($B75,INDIRECT($B$5&amp;"生成成长"),4))/(VLOOKUP(EY$72,INDIRECT($C$5&amp;"生成成长"),5))*(VLOOKUP($B$5,标准坦克设计!$B$24:$U$30,MATCH("对"&amp;LEFT($C$5,2)&amp;"输出",标准坦克设计!$B$23:$U$23,0)))*(VLOOKUP($B75,INDIRECT($B$5&amp;"生成成长"),3))*(VLOOKUP($B$5,标准坦克设计!$B$14:$K$20,9)/30))</f>
        <v>78.392078648101901</v>
      </c>
      <c r="EZ75" s="172">
        <f ca="1">(VLOOKUP(EZ$72,INDIRECT($C$5&amp;"生成成长"),2))/((VLOOKUP($B75,INDIRECT($B$5&amp;"生成成长"),4))/(VLOOKUP(EZ$72,INDIRECT($C$5&amp;"生成成长"),5))*(VLOOKUP($B$5,标准坦克设计!$B$24:$U$30,MATCH("对"&amp;LEFT($C$5,2)&amp;"输出",标准坦克设计!$B$23:$U$23,0)))*(VLOOKUP($B75,INDIRECT($B$5&amp;"生成成长"),3))*(VLOOKUP($B$5,标准坦克设计!$B$14:$K$20,9)/30))</f>
        <v>83.608912609297931</v>
      </c>
      <c r="FA75" s="172">
        <f ca="1">(VLOOKUP(FA$72,INDIRECT($C$5&amp;"生成成长"),2))/((VLOOKUP($B75,INDIRECT($B$5&amp;"生成成长"),4))/(VLOOKUP(FA$72,INDIRECT($C$5&amp;"生成成长"),5))*(VLOOKUP($B$5,标准坦克设计!$B$24:$U$30,MATCH("对"&amp;LEFT($C$5,2)&amp;"输出",标准坦克设计!$B$23:$U$23,0)))*(VLOOKUP($B75,INDIRECT($B$5&amp;"生成成长"),3))*(VLOOKUP($B$5,标准坦克设计!$B$14:$K$20,9)/30))</f>
        <v>88.993785146110838</v>
      </c>
      <c r="FB75" s="172">
        <f ca="1">(VLOOKUP(FB$72,INDIRECT($C$5&amp;"生成成长"),2))/((VLOOKUP($B75,INDIRECT($B$5&amp;"生成成长"),4))/(VLOOKUP(FB$72,INDIRECT($C$5&amp;"生成成长"),5))*(VLOOKUP($B$5,标准坦克设计!$B$24:$U$30,MATCH("对"&amp;LEFT($C$5,2)&amp;"输出",标准坦克设计!$B$23:$U$23,0)))*(VLOOKUP($B75,INDIRECT($B$5&amp;"生成成长"),3))*(VLOOKUP($B$5,标准坦克设计!$B$14:$K$20,9)/30))</f>
        <v>94.546696258540635</v>
      </c>
      <c r="FC75" s="172">
        <f ca="1">(VLOOKUP(FC$72,INDIRECT($C$5&amp;"生成成长"),2))/((VLOOKUP($B75,INDIRECT($B$5&amp;"生成成长"),4))/(VLOOKUP(FC$72,INDIRECT($C$5&amp;"生成成长"),5))*(VLOOKUP($B$5,标准坦克设计!$B$24:$U$30,MATCH("对"&amp;LEFT($C$5,2)&amp;"输出",标准坦克设计!$B$23:$U$23,0)))*(VLOOKUP($B75,INDIRECT($B$5&amp;"生成成长"),3))*(VLOOKUP($B$5,标准坦克设计!$B$14:$K$20,9)/30))</f>
        <v>100.26764594658725</v>
      </c>
      <c r="FD75" s="172">
        <f ca="1">(VLOOKUP(FD$72,INDIRECT($C$5&amp;"生成成长"),2))/((VLOOKUP($B75,INDIRECT($B$5&amp;"生成成长"),4))/(VLOOKUP(FD$72,INDIRECT($C$5&amp;"生成成长"),5))*(VLOOKUP($B$5,标准坦克设计!$B$24:$U$30,MATCH("对"&amp;LEFT($C$5,2)&amp;"输出",标准坦克设计!$B$23:$U$23,0)))*(VLOOKUP($B75,INDIRECT($B$5&amp;"生成成长"),3))*(VLOOKUP($B$5,标准坦克设计!$B$14:$K$20,9)/30))</f>
        <v>106.15663421025074</v>
      </c>
      <c r="FE75" s="172">
        <f ca="1">(VLOOKUP(FE$72,INDIRECT($C$5&amp;"生成成长"),2))/((VLOOKUP($B75,INDIRECT($B$5&amp;"生成成长"),4))/(VLOOKUP(FE$72,INDIRECT($C$5&amp;"生成成长"),5))*(VLOOKUP($B$5,标准坦克设计!$B$24:$U$30,MATCH("对"&amp;LEFT($C$5,2)&amp;"输出",标准坦克设计!$B$23:$U$23,0)))*(VLOOKUP($B75,INDIRECT($B$5&amp;"生成成长"),3))*(VLOOKUP($B$5,标准坦克设计!$B$14:$K$20,9)/30))</f>
        <v>113.33299238793757</v>
      </c>
      <c r="FF75" s="172">
        <f ca="1">(VLOOKUP(FF$72,INDIRECT($C$5&amp;"生成成长"),2))/((VLOOKUP($B75,INDIRECT($B$5&amp;"生成成长"),4))/(VLOOKUP(FF$72,INDIRECT($C$5&amp;"生成成长"),5))*(VLOOKUP($B$5,标准坦克设计!$B$24:$U$30,MATCH("对"&amp;LEFT($C$5,2)&amp;"输出",标准坦克设计!$B$23:$U$23,0)))*(VLOOKUP($B75,INDIRECT($B$5&amp;"生成成长"),3))*(VLOOKUP($B$5,标准坦克设计!$B$14:$K$20,9)/30))</f>
        <v>120.74404907206446</v>
      </c>
      <c r="FG75" s="172">
        <f ca="1">(VLOOKUP(FG$72,INDIRECT($C$5&amp;"生成成长"),2))/((VLOOKUP($B75,INDIRECT($B$5&amp;"生成成长"),4))/(VLOOKUP(FG$72,INDIRECT($C$5&amp;"生成成长"),5))*(VLOOKUP($B$5,标准坦克设计!$B$24:$U$30,MATCH("对"&amp;LEFT($C$5,2)&amp;"输出",标准坦克设计!$B$23:$U$23,0)))*(VLOOKUP($B75,INDIRECT($B$5&amp;"生成成长"),3))*(VLOOKUP($B$5,标准坦克设计!$B$14:$K$20,9)/30))</f>
        <v>128.38980426263146</v>
      </c>
      <c r="FH75" s="172">
        <f ca="1">(VLOOKUP(FH$72,INDIRECT($C$5&amp;"生成成长"),2))/((VLOOKUP($B75,INDIRECT($B$5&amp;"生成成长"),4))/(VLOOKUP(FH$72,INDIRECT($C$5&amp;"生成成长"),5))*(VLOOKUP($B$5,标准坦克设计!$B$24:$U$30,MATCH("对"&amp;LEFT($C$5,2)&amp;"输出",标准坦克设计!$B$23:$U$23,0)))*(VLOOKUP($B75,INDIRECT($B$5&amp;"生成成长"),3))*(VLOOKUP($B$5,标准坦克设计!$B$14:$K$20,9)/30))</f>
        <v>136.27025795963851</v>
      </c>
      <c r="FI75" s="172">
        <f ca="1">(VLOOKUP(FI$72,INDIRECT($C$5&amp;"生成成长"),2))/((VLOOKUP($B75,INDIRECT($B$5&amp;"生成成长"),4))/(VLOOKUP(FI$72,INDIRECT($C$5&amp;"生成成长"),5))*(VLOOKUP($B$5,标准坦克设计!$B$24:$U$30,MATCH("对"&amp;LEFT($C$5,2)&amp;"输出",标准坦克设计!$B$23:$U$23,0)))*(VLOOKUP($B75,INDIRECT($B$5&amp;"生成成长"),3))*(VLOOKUP($B$5,标准坦克设计!$B$14:$K$20,9)/30))</f>
        <v>144.38541016308565</v>
      </c>
      <c r="FJ75" s="172">
        <f ca="1">(VLOOKUP(FJ$72,INDIRECT($C$5&amp;"生成成长"),2))/((VLOOKUP($B75,INDIRECT($B$5&amp;"生成成长"),4))/(VLOOKUP(FJ$72,INDIRECT($C$5&amp;"生成成长"),5))*(VLOOKUP($B$5,标准坦克设计!$B$24:$U$30,MATCH("对"&amp;LEFT($C$5,2)&amp;"输出",标准坦克设计!$B$23:$U$23,0)))*(VLOOKUP($B75,INDIRECT($B$5&amp;"生成成长"),3))*(VLOOKUP($B$5,标准坦克设计!$B$14:$K$20,9)/30))</f>
        <v>152.73526087297284</v>
      </c>
      <c r="FK75" s="172">
        <f ca="1">(VLOOKUP(FK$72,INDIRECT($C$5&amp;"生成成长"),2))/((VLOOKUP($B75,INDIRECT($B$5&amp;"生成成长"),4))/(VLOOKUP(FK$72,INDIRECT($C$5&amp;"生成成长"),5))*(VLOOKUP($B$5,标准坦克设计!$B$24:$U$30,MATCH("对"&amp;LEFT($C$5,2)&amp;"输出",标准坦克设计!$B$23:$U$23,0)))*(VLOOKUP($B75,INDIRECT($B$5&amp;"生成成长"),3))*(VLOOKUP($B$5,标准坦克设计!$B$14:$K$20,9)/30))</f>
        <v>161.31981008930006</v>
      </c>
    </row>
    <row r="76" spans="1:167" x14ac:dyDescent="0.15">
      <c r="A76" s="170" t="str">
        <f t="shared" si="11"/>
        <v>T1低品质4级</v>
      </c>
      <c r="B76" s="171">
        <v>10104</v>
      </c>
      <c r="C76" s="172">
        <f ca="1">(VLOOKUP(C$72,INDIRECT($C$5&amp;"生成成长"),2))/((VLOOKUP($B76,INDIRECT($B$5&amp;"生成成长"),4))/(VLOOKUP(C$72,INDIRECT($C$5&amp;"生成成长"),5))*(VLOOKUP($B$5,标准坦克设计!$B$24:$U$30,MATCH("对"&amp;LEFT($C$5,2)&amp;"输出",标准坦克设计!$B$23:$U$23,0)))*(VLOOKUP($B76,INDIRECT($B$5&amp;"生成成长"),3))*(VLOOKUP($B$5,标准坦克设计!$B$14:$K$20,9)/30))</f>
        <v>6.2067485366907471</v>
      </c>
      <c r="D76" s="172">
        <f ca="1">(VLOOKUP(D$72,INDIRECT($C$5&amp;"生成成长"),2))/((VLOOKUP($B76,INDIRECT($B$5&amp;"生成成长"),4))/(VLOOKUP(D$72,INDIRECT($C$5&amp;"生成成长"),5))*(VLOOKUP($B$5,标准坦克设计!$B$24:$U$30,MATCH("对"&amp;LEFT($C$5,2)&amp;"输出",标准坦克设计!$B$23:$U$23,0)))*(VLOOKUP($B76,INDIRECT($B$5&amp;"生成成长"),3))*(VLOOKUP($B$5,标准坦克设计!$B$14:$K$20,9)/30))</f>
        <v>6.9739026558257216</v>
      </c>
      <c r="E76" s="172">
        <f ca="1">(VLOOKUP(E$72,INDIRECT($C$5&amp;"生成成长"),2))/((VLOOKUP($B76,INDIRECT($B$5&amp;"生成成长"),4))/(VLOOKUP(E$72,INDIRECT($C$5&amp;"生成成长"),5))*(VLOOKUP($B$5,标准坦克设计!$B$24:$U$30,MATCH("对"&amp;LEFT($C$5,2)&amp;"输出",标准坦克设计!$B$23:$U$23,0)))*(VLOOKUP($B76,INDIRECT($B$5&amp;"生成成长"),3))*(VLOOKUP($B$5,标准坦克设计!$B$14:$K$20,9)/30))</f>
        <v>7.785745364424872</v>
      </c>
      <c r="F76" s="172">
        <f ca="1">(VLOOKUP(F$72,INDIRECT($C$5&amp;"生成成长"),2))/((VLOOKUP($B76,INDIRECT($B$5&amp;"生成成长"),4))/(VLOOKUP(F$72,INDIRECT($C$5&amp;"生成成长"),5))*(VLOOKUP($B$5,标准坦克设计!$B$24:$U$30,MATCH("对"&amp;LEFT($C$5,2)&amp;"输出",标准坦克设计!$B$23:$U$23,0)))*(VLOOKUP($B76,INDIRECT($B$5&amp;"生成成长"),3))*(VLOOKUP($B$5,标准坦克设计!$B$14:$K$20,9)/30))</f>
        <v>8.642276662488193</v>
      </c>
      <c r="G76" s="172">
        <f ca="1">(VLOOKUP(G$72,INDIRECT($C$5&amp;"生成成长"),2))/((VLOOKUP($B76,INDIRECT($B$5&amp;"生成成长"),4))/(VLOOKUP(G$72,INDIRECT($C$5&amp;"生成成长"),5))*(VLOOKUP($B$5,标准坦克设计!$B$24:$U$30,MATCH("对"&amp;LEFT($C$5,2)&amp;"输出",标准坦克设计!$B$23:$U$23,0)))*(VLOOKUP($B76,INDIRECT($B$5&amp;"生成成长"),3))*(VLOOKUP($B$5,标准坦克设计!$B$14:$K$20,9)/30))</f>
        <v>9.543496550015691</v>
      </c>
      <c r="H76" s="172">
        <f ca="1">(VLOOKUP(H$72,INDIRECT($C$5&amp;"生成成长"),2))/((VLOOKUP($B76,INDIRECT($B$5&amp;"生成成长"),4))/(VLOOKUP(H$72,INDIRECT($C$5&amp;"生成成长"),5))*(VLOOKUP($B$5,标准坦克设计!$B$24:$U$30,MATCH("对"&amp;LEFT($C$5,2)&amp;"输出",标准坦克设计!$B$23:$U$23,0)))*(VLOOKUP($B76,INDIRECT($B$5&amp;"生成成长"),3))*(VLOOKUP($B$5,标准坦克设计!$B$14:$K$20,9)/30))</f>
        <v>8.3518008309710687</v>
      </c>
      <c r="I76" s="172">
        <f ca="1">(VLOOKUP(I$72,INDIRECT($C$5&amp;"生成成长"),2))/((VLOOKUP($B76,INDIRECT($B$5&amp;"生成成长"),4))/(VLOOKUP(I$72,INDIRECT($C$5&amp;"生成成长"),5))*(VLOOKUP($B$5,标准坦克设计!$B$24:$U$30,MATCH("对"&amp;LEFT($C$5,2)&amp;"输出",标准坦克设计!$B$23:$U$23,0)))*(VLOOKUP($B76,INDIRECT($B$5&amp;"生成成长"),3))*(VLOOKUP($B$5,标准坦克设计!$B$14:$K$20,9)/30))</f>
        <v>9.543496550015691</v>
      </c>
      <c r="J76" s="172">
        <f ca="1">(VLOOKUP(J$72,INDIRECT($C$5&amp;"生成成长"),2))/((VLOOKUP($B76,INDIRECT($B$5&amp;"生成成长"),4))/(VLOOKUP(J$72,INDIRECT($C$5&amp;"生成成长"),5))*(VLOOKUP($B$5,标准坦克设计!$B$24:$U$30,MATCH("对"&amp;LEFT($C$5,2)&amp;"输出",标准坦克设计!$B$23:$U$23,0)))*(VLOOKUP($B76,INDIRECT($B$5&amp;"生成成长"),3))*(VLOOKUP($B$5,标准坦克设计!$B$14:$K$20,9)/30))</f>
        <v>10.814638650329954</v>
      </c>
      <c r="K76" s="172">
        <f ca="1">(VLOOKUP(K$72,INDIRECT($C$5&amp;"生成成长"),2))/((VLOOKUP($B76,INDIRECT($B$5&amp;"生成成长"),4))/(VLOOKUP(K$72,INDIRECT($C$5&amp;"生成成长"),5))*(VLOOKUP($B$5,标准坦克设计!$B$24:$U$30,MATCH("对"&amp;LEFT($C$5,2)&amp;"输出",标准坦克设计!$B$23:$U$23,0)))*(VLOOKUP($B76,INDIRECT($B$5&amp;"生成成长"),3))*(VLOOKUP($B$5,标准坦克设计!$B$14:$K$20,9)/30))</f>
        <v>12.165227131913861</v>
      </c>
      <c r="L76" s="172">
        <f ca="1">(VLOOKUP(L$72,INDIRECT($C$5&amp;"生成成长"),2))/((VLOOKUP($B76,INDIRECT($B$5&amp;"生成成长"),4))/(VLOOKUP(L$72,INDIRECT($C$5&amp;"生成成长"),5))*(VLOOKUP($B$5,标准坦克设计!$B$24:$U$30,MATCH("对"&amp;LEFT($C$5,2)&amp;"输出",标准坦克设计!$B$23:$U$23,0)))*(VLOOKUP($B76,INDIRECT($B$5&amp;"生成成长"),3))*(VLOOKUP($B$5,标准坦克设计!$B$14:$K$20,9)/30))</f>
        <v>13.595261994767412</v>
      </c>
      <c r="M76" s="172">
        <f ca="1">(VLOOKUP(M$72,INDIRECT($C$5&amp;"生成成长"),2))/((VLOOKUP($B76,INDIRECT($B$5&amp;"生成成长"),4))/(VLOOKUP(M$72,INDIRECT($C$5&amp;"生成成长"),5))*(VLOOKUP($B$5,标准坦克设计!$B$24:$U$30,MATCH("对"&amp;LEFT($C$5,2)&amp;"输出",标准坦克设计!$B$23:$U$23,0)))*(VLOOKUP($B76,INDIRECT($B$5&amp;"生成成长"),3))*(VLOOKUP($B$5,标准坦克设计!$B$14:$K$20,9)/30))</f>
        <v>15.104743238890599</v>
      </c>
      <c r="N76" s="172">
        <f ca="1">(VLOOKUP(N$72,INDIRECT($C$5&amp;"生成成长"),2))/((VLOOKUP($B76,INDIRECT($B$5&amp;"生成成长"),4))/(VLOOKUP(N$72,INDIRECT($C$5&amp;"生成成长"),5))*(VLOOKUP($B$5,标准坦克设计!$B$24:$U$30,MATCH("对"&amp;LEFT($C$5,2)&amp;"输出",标准坦克设计!$B$23:$U$23,0)))*(VLOOKUP($B76,INDIRECT($B$5&amp;"生成成长"),3))*(VLOOKUP($B$5,标准坦克设计!$B$14:$K$20,9)/30))</f>
        <v>16.69367086428343</v>
      </c>
      <c r="O76" s="172">
        <f ca="1">(VLOOKUP(O$72,INDIRECT($C$5&amp;"生成成长"),2))/((VLOOKUP($B76,INDIRECT($B$5&amp;"生成成长"),4))/(VLOOKUP(O$72,INDIRECT($C$5&amp;"生成成长"),5))*(VLOOKUP($B$5,标准坦克设计!$B$24:$U$30,MATCH("对"&amp;LEFT($C$5,2)&amp;"输出",标准坦克设计!$B$23:$U$23,0)))*(VLOOKUP($B76,INDIRECT($B$5&amp;"生成成长"),3))*(VLOOKUP($B$5,标准坦克设计!$B$14:$K$20,9)/30))</f>
        <v>12.692180082678906</v>
      </c>
      <c r="P76" s="172">
        <f ca="1">(VLOOKUP(P$72,INDIRECT($C$5&amp;"生成成长"),2))/((VLOOKUP($B76,INDIRECT($B$5&amp;"生成成长"),4))/(VLOOKUP(P$72,INDIRECT($C$5&amp;"生成成长"),5))*(VLOOKUP($B$5,标准坦克设计!$B$24:$U$30,MATCH("对"&amp;LEFT($C$5,2)&amp;"输出",标准坦克设计!$B$23:$U$23,0)))*(VLOOKUP($B76,INDIRECT($B$5&amp;"生成成长"),3))*(VLOOKUP($B$5,标准坦克设计!$B$14:$K$20,9)/30))</f>
        <v>14.3400718191703</v>
      </c>
      <c r="Q76" s="172">
        <f ca="1">(VLOOKUP(Q$72,INDIRECT($C$5&amp;"生成成长"),2))/((VLOOKUP($B76,INDIRECT($B$5&amp;"生成成长"),4))/(VLOOKUP(Q$72,INDIRECT($C$5&amp;"生成成长"),5))*(VLOOKUP($B$5,标准坦克设计!$B$24:$U$30,MATCH("对"&amp;LEFT($C$5,2)&amp;"输出",标准坦克设计!$B$23:$U$23,0)))*(VLOOKUP($B76,INDIRECT($B$5&amp;"生成成长"),3))*(VLOOKUP($B$5,标准坦克设计!$B$14:$K$20,9)/30))</f>
        <v>16.088512881956081</v>
      </c>
      <c r="R76" s="172">
        <f ca="1">(VLOOKUP(R$72,INDIRECT($C$5&amp;"生成成长"),2))/((VLOOKUP($B76,INDIRECT($B$5&amp;"生成成长"),4))/(VLOOKUP(R$72,INDIRECT($C$5&amp;"生成成长"),5))*(VLOOKUP($B$5,标准坦克设计!$B$24:$U$30,MATCH("对"&amp;LEFT($C$5,2)&amp;"输出",标准坦克设计!$B$23:$U$23,0)))*(VLOOKUP($B76,INDIRECT($B$5&amp;"生成成长"),3))*(VLOOKUP($B$5,标准坦克设计!$B$14:$K$20,9)/30))</f>
        <v>17.937503271036256</v>
      </c>
      <c r="S76" s="172">
        <f ca="1">(VLOOKUP(S$72,INDIRECT($C$5&amp;"生成成长"),2))/((VLOOKUP($B76,INDIRECT($B$5&amp;"生成成长"),4))/(VLOOKUP(S$72,INDIRECT($C$5&amp;"生成成长"),5))*(VLOOKUP($B$5,标准坦克设计!$B$24:$U$30,MATCH("对"&amp;LEFT($C$5,2)&amp;"输出",标准坦克设计!$B$23:$U$23,0)))*(VLOOKUP($B76,INDIRECT($B$5&amp;"生成成长"),3))*(VLOOKUP($B$5,标准坦克设计!$B$14:$K$20,9)/30))</f>
        <v>19.887042986410815</v>
      </c>
      <c r="T76" s="172">
        <f ca="1">(VLOOKUP(T$72,INDIRECT($C$5&amp;"生成成长"),2))/((VLOOKUP($B76,INDIRECT($B$5&amp;"生成成长"),4))/(VLOOKUP(T$72,INDIRECT($C$5&amp;"生成成长"),5))*(VLOOKUP($B$5,标准坦克设计!$B$24:$U$30,MATCH("对"&amp;LEFT($C$5,2)&amp;"输出",标准坦克设计!$B$23:$U$23,0)))*(VLOOKUP($B76,INDIRECT($B$5&amp;"生成成长"),3))*(VLOOKUP($B$5,标准坦克设计!$B$14:$K$20,9)/30))</f>
        <v>21.93713202807977</v>
      </c>
      <c r="U76" s="172">
        <f ca="1">(VLOOKUP(U$72,INDIRECT($C$5&amp;"生成成长"),2))/((VLOOKUP($B76,INDIRECT($B$5&amp;"生成成长"),4))/(VLOOKUP(U$72,INDIRECT($C$5&amp;"生成成长"),5))*(VLOOKUP($B$5,标准坦克设计!$B$24:$U$30,MATCH("对"&amp;LEFT($C$5,2)&amp;"输出",标准坦克设计!$B$23:$U$23,0)))*(VLOOKUP($B76,INDIRECT($B$5&amp;"生成成长"),3))*(VLOOKUP($B$5,标准坦克设计!$B$14:$K$20,9)/30))</f>
        <v>24.087770396043112</v>
      </c>
      <c r="V76" s="172">
        <f ca="1">(VLOOKUP(V$72,INDIRECT($C$5&amp;"生成成长"),2))/((VLOOKUP($B76,INDIRECT($B$5&amp;"生成成长"),4))/(VLOOKUP(V$72,INDIRECT($C$5&amp;"生成成长"),5))*(VLOOKUP($B$5,标准坦克设计!$B$24:$U$30,MATCH("对"&amp;LEFT($C$5,2)&amp;"输出",标准坦克设计!$B$23:$U$23,0)))*(VLOOKUP($B76,INDIRECT($B$5&amp;"生成成长"),3))*(VLOOKUP($B$5,标准坦克设计!$B$14:$K$20,9)/30))</f>
        <v>26.338958090300846</v>
      </c>
      <c r="W76" s="172">
        <f ca="1">(VLOOKUP(W$72,INDIRECT($C$5&amp;"生成成长"),2))/((VLOOKUP($B76,INDIRECT($B$5&amp;"生成成长"),4))/(VLOOKUP(W$72,INDIRECT($C$5&amp;"生成成长"),5))*(VLOOKUP($B$5,标准坦克设计!$B$24:$U$30,MATCH("对"&amp;LEFT($C$5,2)&amp;"输出",标准坦克设计!$B$23:$U$23,0)))*(VLOOKUP($B76,INDIRECT($B$5&amp;"生成成长"),3))*(VLOOKUP($B$5,标准坦克设计!$B$14:$K$20,9)/30))</f>
        <v>28.690695110852971</v>
      </c>
      <c r="X76" s="172">
        <f ca="1">(VLOOKUP(X$72,INDIRECT($C$5&amp;"生成成长"),2))/((VLOOKUP($B76,INDIRECT($B$5&amp;"生成成长"),4))/(VLOOKUP(X$72,INDIRECT($C$5&amp;"生成成长"),5))*(VLOOKUP($B$5,标准坦克设计!$B$24:$U$30,MATCH("对"&amp;LEFT($C$5,2)&amp;"输出",标准坦克设计!$B$23:$U$23,0)))*(VLOOKUP($B76,INDIRECT($B$5&amp;"生成成长"),3))*(VLOOKUP($B$5,标准坦克设计!$B$14:$K$20,9)/30))</f>
        <v>20.785780174523634</v>
      </c>
      <c r="Y76" s="172">
        <f ca="1">(VLOOKUP(Y$72,INDIRECT($C$5&amp;"生成成长"),2))/((VLOOKUP($B76,INDIRECT($B$5&amp;"生成成长"),4))/(VLOOKUP(Y$72,INDIRECT($C$5&amp;"生成成长"),5))*(VLOOKUP($B$5,标准坦克设计!$B$24:$U$30,MATCH("对"&amp;LEFT($C$5,2)&amp;"输出",标准坦克设计!$B$23:$U$23,0)))*(VLOOKUP($B76,INDIRECT($B$5&amp;"生成成长"),3))*(VLOOKUP($B$5,标准坦克设计!$B$14:$K$20,9)/30))</f>
        <v>23.119517624319361</v>
      </c>
      <c r="Z76" s="172">
        <f ca="1">(VLOOKUP(Z$72,INDIRECT($C$5&amp;"生成成长"),2))/((VLOOKUP($B76,INDIRECT($B$5&amp;"生成成长"),4))/(VLOOKUP(Z$72,INDIRECT($C$5&amp;"生成成长"),5))*(VLOOKUP($B$5,标准坦克设计!$B$24:$U$30,MATCH("对"&amp;LEFT($C$5,2)&amp;"输出",标准坦克设计!$B$23:$U$23,0)))*(VLOOKUP($B76,INDIRECT($B$5&amp;"生成成长"),3))*(VLOOKUP($B$5,标准坦克设计!$B$14:$K$20,9)/30))</f>
        <v>25.577390044848894</v>
      </c>
      <c r="AA76" s="172">
        <f ca="1">(VLOOKUP(AA$72,INDIRECT($C$5&amp;"生成成长"),2))/((VLOOKUP($B76,INDIRECT($B$5&amp;"生成成长"),4))/(VLOOKUP(AA$72,INDIRECT($C$5&amp;"生成成长"),5))*(VLOOKUP($B$5,标准坦克设计!$B$24:$U$30,MATCH("对"&amp;LEFT($C$5,2)&amp;"输出",标准坦克设计!$B$23:$U$23,0)))*(VLOOKUP($B76,INDIRECT($B$5&amp;"生成成长"),3))*(VLOOKUP($B$5,标准坦克设计!$B$14:$K$20,9)/30))</f>
        <v>28.159397436112243</v>
      </c>
      <c r="AB76" s="172">
        <f ca="1">(VLOOKUP(AB$72,INDIRECT($C$5&amp;"生成成长"),2))/((VLOOKUP($B76,INDIRECT($B$5&amp;"生成成长"),4))/(VLOOKUP(AB$72,INDIRECT($C$5&amp;"生成成长"),5))*(VLOOKUP($B$5,标准坦克设计!$B$24:$U$30,MATCH("对"&amp;LEFT($C$5,2)&amp;"输出",标准坦克设计!$B$23:$U$23,0)))*(VLOOKUP($B76,INDIRECT($B$5&amp;"生成成长"),3))*(VLOOKUP($B$5,标准坦克设计!$B$14:$K$20,9)/30))</f>
        <v>30.865539798109406</v>
      </c>
      <c r="AC76" s="172">
        <f ca="1">(VLOOKUP(AC$72,INDIRECT($C$5&amp;"生成成长"),2))/((VLOOKUP($B76,INDIRECT($B$5&amp;"生成成长"),4))/(VLOOKUP(AC$72,INDIRECT($C$5&amp;"生成成长"),5))*(VLOOKUP($B$5,标准坦克设计!$B$24:$U$30,MATCH("对"&amp;LEFT($C$5,2)&amp;"输出",标准坦克设计!$B$23:$U$23,0)))*(VLOOKUP($B76,INDIRECT($B$5&amp;"生成成长"),3))*(VLOOKUP($B$5,标准坦克设计!$B$14:$K$20,9)/30))</f>
        <v>33.695817130840389</v>
      </c>
      <c r="AD76" s="172">
        <f ca="1">(VLOOKUP(AD$72,INDIRECT($C$5&amp;"生成成长"),2))/((VLOOKUP($B76,INDIRECT($B$5&amp;"生成成长"),4))/(VLOOKUP(AD$72,INDIRECT($C$5&amp;"生成成长"),5))*(VLOOKUP($B$5,标准坦克设计!$B$24:$U$30,MATCH("对"&amp;LEFT($C$5,2)&amp;"输出",标准坦克设计!$B$23:$U$23,0)))*(VLOOKUP($B76,INDIRECT($B$5&amp;"生成成长"),3))*(VLOOKUP($B$5,标准坦克设计!$B$14:$K$20,9)/30))</f>
        <v>36.650229434305182</v>
      </c>
      <c r="AE76" s="172">
        <f ca="1">(VLOOKUP(AE$72,INDIRECT($C$5&amp;"生成成长"),2))/((VLOOKUP($B76,INDIRECT($B$5&amp;"生成成长"),4))/(VLOOKUP(AE$72,INDIRECT($C$5&amp;"生成成长"),5))*(VLOOKUP($B$5,标准坦克设计!$B$24:$U$30,MATCH("对"&amp;LEFT($C$5,2)&amp;"输出",标准坦克设计!$B$23:$U$23,0)))*(VLOOKUP($B76,INDIRECT($B$5&amp;"生成成长"),3))*(VLOOKUP($B$5,标准坦克设计!$B$14:$K$20,9)/30))</f>
        <v>39.728776708503794</v>
      </c>
      <c r="AF76" s="172">
        <f ca="1">(VLOOKUP(AF$72,INDIRECT($C$5&amp;"生成成长"),2))/((VLOOKUP($B76,INDIRECT($B$5&amp;"生成成长"),4))/(VLOOKUP(AF$72,INDIRECT($C$5&amp;"生成成长"),5))*(VLOOKUP($B$5,标准坦克设计!$B$24:$U$30,MATCH("对"&amp;LEFT($C$5,2)&amp;"输出",标准坦克设计!$B$23:$U$23,0)))*(VLOOKUP($B76,INDIRECT($B$5&amp;"生成成长"),3))*(VLOOKUP($B$5,标准坦克设计!$B$14:$K$20,9)/30))</f>
        <v>42.931458953436213</v>
      </c>
      <c r="AG76" s="172">
        <f ca="1">(VLOOKUP(AG$72,INDIRECT($C$5&amp;"生成成长"),2))/((VLOOKUP($B76,INDIRECT($B$5&amp;"生成成长"),4))/(VLOOKUP(AG$72,INDIRECT($C$5&amp;"生成成长"),5))*(VLOOKUP($B$5,标准坦克设计!$B$24:$U$30,MATCH("对"&amp;LEFT($C$5,2)&amp;"输出",标准坦克设计!$B$23:$U$23,0)))*(VLOOKUP($B76,INDIRECT($B$5&amp;"生成成长"),3))*(VLOOKUP($B$5,标准坦克设计!$B$14:$K$20,9)/30))</f>
        <v>46.258276169102459</v>
      </c>
      <c r="AH76" s="172">
        <f ca="1">(VLOOKUP(AH$72,INDIRECT($C$5&amp;"生成成长"),2))/((VLOOKUP($B76,INDIRECT($B$5&amp;"生成成长"),4))/(VLOOKUP(AH$72,INDIRECT($C$5&amp;"生成成长"),5))*(VLOOKUP($B$5,标准坦克设计!$B$24:$U$30,MATCH("对"&amp;LEFT($C$5,2)&amp;"输出",标准坦克设计!$B$23:$U$23,0)))*(VLOOKUP($B76,INDIRECT($B$5&amp;"生成成长"),3))*(VLOOKUP($B$5,标准坦克设计!$B$14:$K$20,9)/30))</f>
        <v>49.709228355502511</v>
      </c>
      <c r="AI76" s="172">
        <f ca="1">(VLOOKUP(AI$72,INDIRECT($C$5&amp;"生成成长"),2))/((VLOOKUP($B76,INDIRECT($B$5&amp;"生成成长"),4))/(VLOOKUP(AI$72,INDIRECT($C$5&amp;"生成成长"),5))*(VLOOKUP($B$5,标准坦克设计!$B$24:$U$30,MATCH("对"&amp;LEFT($C$5,2)&amp;"输出",标准坦克设计!$B$23:$U$23,0)))*(VLOOKUP($B76,INDIRECT($B$5&amp;"生成成长"),3))*(VLOOKUP($B$5,标准坦克设计!$B$14:$K$20,9)/30))</f>
        <v>35.157506411231061</v>
      </c>
      <c r="AJ76" s="172">
        <f ca="1">(VLOOKUP(AJ$72,INDIRECT($C$5&amp;"生成成长"),2))/((VLOOKUP($B76,INDIRECT($B$5&amp;"生成成长"),4))/(VLOOKUP(AJ$72,INDIRECT($C$5&amp;"生成成长"),5))*(VLOOKUP($B$5,标准坦克设计!$B$24:$U$30,MATCH("对"&amp;LEFT($C$5,2)&amp;"输出",标准坦克设计!$B$23:$U$23,0)))*(VLOOKUP($B76,INDIRECT($B$5&amp;"生成成长"),3))*(VLOOKUP($B$5,标准坦克设计!$B$14:$K$20,9)/30))</f>
        <v>38.482461602336294</v>
      </c>
      <c r="AK76" s="172">
        <f ca="1">(VLOOKUP(AK$72,INDIRECT($C$5&amp;"生成成长"),2))/((VLOOKUP($B76,INDIRECT($B$5&amp;"生成成长"),4))/(VLOOKUP(AK$72,INDIRECT($C$5&amp;"生成成长"),5))*(VLOOKUP($B$5,标准坦克设计!$B$24:$U$30,MATCH("对"&amp;LEFT($C$5,2)&amp;"输出",标准坦克设计!$B$23:$U$23,0)))*(VLOOKUP($B76,INDIRECT($B$5&amp;"生成成长"),3))*(VLOOKUP($B$5,标准坦克设计!$B$14:$K$20,9)/30))</f>
        <v>41.957620108029445</v>
      </c>
      <c r="AL76" s="172">
        <f ca="1">(VLOOKUP(AL$72,INDIRECT($C$5&amp;"生成成长"),2))/((VLOOKUP($B76,INDIRECT($B$5&amp;"生成成长"),4))/(VLOOKUP(AL$72,INDIRECT($C$5&amp;"生成成长"),5))*(VLOOKUP($B$5,标准坦克设计!$B$24:$U$30,MATCH("对"&amp;LEFT($C$5,2)&amp;"输出",标准坦克设计!$B$23:$U$23,0)))*(VLOOKUP($B76,INDIRECT($B$5&amp;"生成成长"),3))*(VLOOKUP($B$5,标准坦克设计!$B$14:$K$20,9)/30))</f>
        <v>45.582981928310502</v>
      </c>
      <c r="AM76" s="172">
        <f ca="1">(VLOOKUP(AM$72,INDIRECT($C$5&amp;"生成成长"),2))/((VLOOKUP($B76,INDIRECT($B$5&amp;"生成成长"),4))/(VLOOKUP(AM$72,INDIRECT($C$5&amp;"生成成长"),5))*(VLOOKUP($B$5,标准坦克设计!$B$24:$U$30,MATCH("对"&amp;LEFT($C$5,2)&amp;"输出",标准坦克设计!$B$23:$U$23,0)))*(VLOOKUP($B76,INDIRECT($B$5&amp;"生成成长"),3))*(VLOOKUP($B$5,标准坦克设计!$B$14:$K$20,9)/30))</f>
        <v>49.358547063179479</v>
      </c>
      <c r="AN76" s="172">
        <f ca="1">(VLOOKUP(AN$72,INDIRECT($C$5&amp;"生成成长"),2))/((VLOOKUP($B76,INDIRECT($B$5&amp;"生成成长"),4))/(VLOOKUP(AN$72,INDIRECT($C$5&amp;"生成成长"),5))*(VLOOKUP($B$5,标准坦克设计!$B$24:$U$30,MATCH("对"&amp;LEFT($C$5,2)&amp;"输出",标准坦克设计!$B$23:$U$23,0)))*(VLOOKUP($B76,INDIRECT($B$5&amp;"生成成长"),3))*(VLOOKUP($B$5,标准坦克设计!$B$14:$K$20,9)/30))</f>
        <v>53.284315512636383</v>
      </c>
      <c r="AO76" s="172">
        <f ca="1">(VLOOKUP(AO$72,INDIRECT($C$5&amp;"生成成长"),2))/((VLOOKUP($B76,INDIRECT($B$5&amp;"生成成长"),4))/(VLOOKUP(AO$72,INDIRECT($C$5&amp;"生成成长"),5))*(VLOOKUP($B$5,标准坦克设计!$B$24:$U$30,MATCH("对"&amp;LEFT($C$5,2)&amp;"输出",标准坦克设计!$B$23:$U$23,0)))*(VLOOKUP($B76,INDIRECT($B$5&amp;"生成成长"),3))*(VLOOKUP($B$5,标准坦克设计!$B$14:$K$20,9)/30))</f>
        <v>57.360287276681198</v>
      </c>
      <c r="AP76" s="172">
        <f ca="1">(VLOOKUP(AP$72,INDIRECT($C$5&amp;"生成成长"),2))/((VLOOKUP($B76,INDIRECT($B$5&amp;"生成成长"),4))/(VLOOKUP(AP$72,INDIRECT($C$5&amp;"生成成长"),5))*(VLOOKUP($B$5,标准坦克设计!$B$24:$U$30,MATCH("对"&amp;LEFT($C$5,2)&amp;"输出",标准坦克设计!$B$23:$U$23,0)))*(VLOOKUP($B76,INDIRECT($B$5&amp;"生成成长"),3))*(VLOOKUP($B$5,标准坦克设计!$B$14:$K$20,9)/30))</f>
        <v>61.58646235531392</v>
      </c>
      <c r="AQ76" s="172">
        <f ca="1">(VLOOKUP(AQ$72,INDIRECT($C$5&amp;"生成成长"),2))/((VLOOKUP($B76,INDIRECT($B$5&amp;"生成成长"),4))/(VLOOKUP(AQ$72,INDIRECT($C$5&amp;"生成成长"),5))*(VLOOKUP($B$5,标准坦克设计!$B$24:$U$30,MATCH("对"&amp;LEFT($C$5,2)&amp;"输出",标准坦克设计!$B$23:$U$23,0)))*(VLOOKUP($B76,INDIRECT($B$5&amp;"生成成长"),3))*(VLOOKUP($B$5,标准坦克设计!$B$14:$K$20,9)/30))</f>
        <v>65.96284074853456</v>
      </c>
      <c r="AR76" s="172">
        <f ca="1">(VLOOKUP(AR$72,INDIRECT($C$5&amp;"生成成长"),2))/((VLOOKUP($B76,INDIRECT($B$5&amp;"生成成长"),4))/(VLOOKUP(AR$72,INDIRECT($C$5&amp;"生成成长"),5))*(VLOOKUP($B$5,标准坦克设计!$B$24:$U$30,MATCH("对"&amp;LEFT($C$5,2)&amp;"输出",标准坦克设计!$B$23:$U$23,0)))*(VLOOKUP($B76,INDIRECT($B$5&amp;"生成成长"),3))*(VLOOKUP($B$5,标准坦克设计!$B$14:$K$20,9)/30))</f>
        <v>70.489422456343135</v>
      </c>
      <c r="AS76" s="172">
        <f ca="1">(VLOOKUP(AS$72,INDIRECT($C$5&amp;"生成成长"),2))/((VLOOKUP($B76,INDIRECT($B$5&amp;"生成成长"),4))/(VLOOKUP(AS$72,INDIRECT($C$5&amp;"生成成长"),5))*(VLOOKUP($B$5,标准坦克设计!$B$24:$U$30,MATCH("对"&amp;LEFT($C$5,2)&amp;"输出",标准坦克设计!$B$23:$U$23,0)))*(VLOOKUP($B76,INDIRECT($B$5&amp;"生成成长"),3))*(VLOOKUP($B$5,标准坦克设计!$B$14:$K$20,9)/30))</f>
        <v>75.166207478739608</v>
      </c>
      <c r="AT76" s="172">
        <f ca="1">(VLOOKUP(AT$72,INDIRECT($C$5&amp;"生成成长"),2))/((VLOOKUP($B76,INDIRECT($B$5&amp;"生成成长"),4))/(VLOOKUP(AT$72,INDIRECT($C$5&amp;"生成成长"),5))*(VLOOKUP($B$5,标准坦克设计!$B$24:$U$30,MATCH("对"&amp;LEFT($C$5,2)&amp;"输出",标准坦克设计!$B$23:$U$23,0)))*(VLOOKUP($B76,INDIRECT($B$5&amp;"生成成长"),3))*(VLOOKUP($B$5,标准坦克设计!$B$14:$K$20,9)/30))</f>
        <v>79.993195815723993</v>
      </c>
      <c r="AU76" s="172">
        <f ca="1">(VLOOKUP(AU$72,INDIRECT($C$5&amp;"生成成长"),2))/((VLOOKUP($B76,INDIRECT($B$5&amp;"生成成长"),4))/(VLOOKUP(AU$72,INDIRECT($C$5&amp;"生成成长"),5))*(VLOOKUP($B$5,标准坦克设计!$B$24:$U$30,MATCH("对"&amp;LEFT($C$5,2)&amp;"输出",标准坦克设计!$B$23:$U$23,0)))*(VLOOKUP($B76,INDIRECT($B$5&amp;"生成成长"),3))*(VLOOKUP($B$5,标准坦克设计!$B$14:$K$20,9)/30))</f>
        <v>84.97038746729632</v>
      </c>
      <c r="AV76" s="172">
        <f ca="1">(VLOOKUP(AV$72,INDIRECT($C$5&amp;"生成成长"),2))/((VLOOKUP($B76,INDIRECT($B$5&amp;"生成成长"),4))/(VLOOKUP(AV$72,INDIRECT($C$5&amp;"生成成长"),5))*(VLOOKUP($B$5,标准坦克设计!$B$24:$U$30,MATCH("对"&amp;LEFT($C$5,2)&amp;"输出",标准坦克设计!$B$23:$U$23,0)))*(VLOOKUP($B76,INDIRECT($B$5&amp;"生成成长"),3))*(VLOOKUP($B$5,标准坦克设计!$B$14:$K$20,9)/30))</f>
        <v>8.642276662488193</v>
      </c>
      <c r="AW76" s="172">
        <f ca="1">(VLOOKUP(AW$72,INDIRECT($C$5&amp;"生成成长"),2))/((VLOOKUP($B76,INDIRECT($B$5&amp;"生成成长"),4))/(VLOOKUP(AW$72,INDIRECT($C$5&amp;"生成成长"),5))*(VLOOKUP($B$5,标准坦克设计!$B$24:$U$30,MATCH("对"&amp;LEFT($C$5,2)&amp;"输出",标准坦克设计!$B$23:$U$23,0)))*(VLOOKUP($B76,INDIRECT($B$5&amp;"生成成长"),3))*(VLOOKUP($B$5,标准坦克设计!$B$14:$K$20,9)/30))</f>
        <v>9.8538339768502272</v>
      </c>
      <c r="AX76" s="172">
        <f ca="1">(VLOOKUP(AX$72,INDIRECT($C$5&amp;"生成成长"),2))/((VLOOKUP($B76,INDIRECT($B$5&amp;"生成成长"),4))/(VLOOKUP(AX$72,INDIRECT($C$5&amp;"生成成长"),5))*(VLOOKUP($B$5,标准坦克设计!$B$24:$U$30,MATCH("对"&amp;LEFT($C$5,2)&amp;"输出",标准坦克设计!$B$23:$U$23,0)))*(VLOOKUP($B76,INDIRECT($B$5&amp;"生成成长"),3))*(VLOOKUP($B$5,标准坦克设计!$B$14:$K$20,9)/30))</f>
        <v>11.144837672481902</v>
      </c>
      <c r="AY76" s="172">
        <f ca="1">(VLOOKUP(AY$72,INDIRECT($C$5&amp;"生成成长"),2))/((VLOOKUP($B76,INDIRECT($B$5&amp;"生成成长"),4))/(VLOOKUP(AY$72,INDIRECT($C$5&amp;"生成成长"),5))*(VLOOKUP($B$5,标准坦克设计!$B$24:$U$30,MATCH("对"&amp;LEFT($C$5,2)&amp;"输出",标准坦克设计!$B$23:$U$23,0)))*(VLOOKUP($B76,INDIRECT($B$5&amp;"生成成长"),3))*(VLOOKUP($B$5,标准坦克设计!$B$14:$K$20,9)/30))</f>
        <v>12.515287749383218</v>
      </c>
      <c r="AZ76" s="172">
        <f ca="1">(VLOOKUP(AZ$72,INDIRECT($C$5&amp;"生成成长"),2))/((VLOOKUP($B76,INDIRECT($B$5&amp;"生成成长"),4))/(VLOOKUP(AZ$72,INDIRECT($C$5&amp;"生成成长"),5))*(VLOOKUP($B$5,标准坦克设计!$B$24:$U$30,MATCH("对"&amp;LEFT($C$5,2)&amp;"输出",标准坦克设计!$B$23:$U$23,0)))*(VLOOKUP($B76,INDIRECT($B$5&amp;"生成成长"),3))*(VLOOKUP($B$5,标准坦克设计!$B$14:$K$20,9)/30))</f>
        <v>13.965184207554177</v>
      </c>
      <c r="BA76" s="172">
        <f ca="1">(VLOOKUP(BA$72,INDIRECT($C$5&amp;"生成成长"),2))/((VLOOKUP($B76,INDIRECT($B$5&amp;"生成成长"),4))/(VLOOKUP(BA$72,INDIRECT($C$5&amp;"生成成长"),5))*(VLOOKUP($B$5,标准坦克设计!$B$24:$U$30,MATCH("对"&amp;LEFT($C$5,2)&amp;"输出",标准坦克设计!$B$23:$U$23,0)))*(VLOOKUP($B76,INDIRECT($B$5&amp;"生成成长"),3))*(VLOOKUP($B$5,标准坦克设计!$B$14:$K$20,9)/30))</f>
        <v>15.494527046994779</v>
      </c>
      <c r="BB76" s="172">
        <f ca="1">(VLOOKUP(BB$72,INDIRECT($C$5&amp;"生成成长"),2))/((VLOOKUP($B76,INDIRECT($B$5&amp;"生成成长"),4))/(VLOOKUP(BB$72,INDIRECT($C$5&amp;"生成成长"),5))*(VLOOKUP($B$5,标准坦克设计!$B$24:$U$30,MATCH("对"&amp;LEFT($C$5,2)&amp;"输出",标准坦克设计!$B$23:$U$23,0)))*(VLOOKUP($B76,INDIRECT($B$5&amp;"生成成长"),3))*(VLOOKUP($B$5,标准坦克设计!$B$14:$K$20,9)/30))</f>
        <v>17.103316267705022</v>
      </c>
      <c r="BC76" s="172">
        <f ca="1">(VLOOKUP(BC$72,INDIRECT($C$5&amp;"生成成长"),2))/((VLOOKUP($B76,INDIRECT($B$5&amp;"生成成长"),4))/(VLOOKUP(BC$72,INDIRECT($C$5&amp;"生成成长"),5))*(VLOOKUP($B$5,标准坦克设计!$B$24:$U$30,MATCH("对"&amp;LEFT($C$5,2)&amp;"输出",标准坦克设计!$B$23:$U$23,0)))*(VLOOKUP($B76,INDIRECT($B$5&amp;"生成成长"),3))*(VLOOKUP($B$5,标准坦克设计!$B$14:$K$20,9)/30))</f>
        <v>18.791551869684902</v>
      </c>
      <c r="BD76" s="172">
        <f ca="1">(VLOOKUP(BD$72,INDIRECT($C$5&amp;"生成成长"),2))/((VLOOKUP($B76,INDIRECT($B$5&amp;"生成成长"),4))/(VLOOKUP(BD$72,INDIRECT($C$5&amp;"生成成长"),5))*(VLOOKUP($B$5,标准坦克设计!$B$24:$U$30,MATCH("对"&amp;LEFT($C$5,2)&amp;"输出",标准坦克设计!$B$23:$U$23,0)))*(VLOOKUP($B76,INDIRECT($B$5&amp;"生成成长"),3))*(VLOOKUP($B$5,标准坦克设计!$B$14:$K$20,9)/30))</f>
        <v>20.785780174523634</v>
      </c>
      <c r="BE76" s="172">
        <f ca="1">(VLOOKUP(BE$72,INDIRECT($C$5&amp;"生成成长"),2))/((VLOOKUP($B76,INDIRECT($B$5&amp;"生成成长"),4))/(VLOOKUP(BE$72,INDIRECT($C$5&amp;"生成成长"),5))*(VLOOKUP($B$5,标准坦克设计!$B$24:$U$30,MATCH("对"&amp;LEFT($C$5,2)&amp;"输出",标准坦克设计!$B$23:$U$23,0)))*(VLOOKUP($B76,INDIRECT($B$5&amp;"生成成长"),3))*(VLOOKUP($B$5,标准坦克设计!$B$14:$K$20,9)/30))</f>
        <v>22.88055780565676</v>
      </c>
      <c r="BF76" s="172">
        <f ca="1">(VLOOKUP(BF$72,INDIRECT($C$5&amp;"生成成长"),2))/((VLOOKUP($B76,INDIRECT($B$5&amp;"生成成长"),4))/(VLOOKUP(BF$72,INDIRECT($C$5&amp;"生成成长"),5))*(VLOOKUP($B$5,标准坦克设计!$B$24:$U$30,MATCH("对"&amp;LEFT($C$5,2)&amp;"输出",标准坦克设计!$B$23:$U$23,0)))*(VLOOKUP($B76,INDIRECT($B$5&amp;"生成成长"),3))*(VLOOKUP($B$5,标准坦克设计!$B$14:$K$20,9)/30))</f>
        <v>25.075884763084282</v>
      </c>
      <c r="BG76" s="172">
        <f ca="1">(VLOOKUP(BG$72,INDIRECT($C$5&amp;"生成成长"),2))/((VLOOKUP($B76,INDIRECT($B$5&amp;"生成成长"),4))/(VLOOKUP(BG$72,INDIRECT($C$5&amp;"生成成长"),5))*(VLOOKUP($B$5,标准坦克设计!$B$24:$U$30,MATCH("对"&amp;LEFT($C$5,2)&amp;"输出",标准坦克设计!$B$23:$U$23,0)))*(VLOOKUP($B76,INDIRECT($B$5&amp;"生成成长"),3))*(VLOOKUP($B$5,标准坦克设计!$B$14:$K$20,9)/30))</f>
        <v>27.371761046806188</v>
      </c>
      <c r="BH76" s="172">
        <f ca="1">(VLOOKUP(BH$72,INDIRECT($C$5&amp;"生成成长"),2))/((VLOOKUP($B76,INDIRECT($B$5&amp;"生成成长"),4))/(VLOOKUP(BH$72,INDIRECT($C$5&amp;"生成成长"),5))*(VLOOKUP($B$5,标准坦克设计!$B$24:$U$30,MATCH("对"&amp;LEFT($C$5,2)&amp;"输出",标准坦克设计!$B$23:$U$23,0)))*(VLOOKUP($B76,INDIRECT($B$5&amp;"生成成长"),3))*(VLOOKUP($B$5,标准坦克设计!$B$14:$K$20,9)/30))</f>
        <v>13.230305180809994</v>
      </c>
      <c r="BI76" s="172">
        <f ca="1">(VLOOKUP(BI$72,INDIRECT($C$5&amp;"生成成长"),2))/((VLOOKUP($B76,INDIRECT($B$5&amp;"生成成长"),4))/(VLOOKUP(BI$72,INDIRECT($C$5&amp;"生成成长"),5))*(VLOOKUP($B$5,标准坦克设计!$B$24:$U$30,MATCH("对"&amp;LEFT($C$5,2)&amp;"输出",标准坦克设计!$B$23:$U$23,0)))*(VLOOKUP($B76,INDIRECT($B$5&amp;"生成成长"),3))*(VLOOKUP($B$5,标准坦克设计!$B$14:$K$20,9)/30))</f>
        <v>14.911713359399517</v>
      </c>
      <c r="BJ76" s="172">
        <f ca="1">(VLOOKUP(BJ$72,INDIRECT($C$5&amp;"生成成长"),2))/((VLOOKUP($B76,INDIRECT($B$5&amp;"生成成长"),4))/(VLOOKUP(BJ$72,INDIRECT($C$5&amp;"生成成长"),5))*(VLOOKUP($B$5,标准坦克设计!$B$24:$U$30,MATCH("对"&amp;LEFT($C$5,2)&amp;"输出",标准坦克设计!$B$23:$U$23,0)))*(VLOOKUP($B76,INDIRECT($B$5&amp;"生成成长"),3))*(VLOOKUP($B$5,标准坦克设计!$B$14:$K$20,9)/30))</f>
        <v>16.69367086428343</v>
      </c>
      <c r="BK76" s="172">
        <f ca="1">(VLOOKUP(BK$72,INDIRECT($C$5&amp;"生成成长"),2))/((VLOOKUP($B76,INDIRECT($B$5&amp;"生成成长"),4))/(VLOOKUP(BK$72,INDIRECT($C$5&amp;"生成成长"),5))*(VLOOKUP($B$5,标准坦克设计!$B$24:$U$30,MATCH("对"&amp;LEFT($C$5,2)&amp;"输出",标准坦克设计!$B$23:$U$23,0)))*(VLOOKUP($B76,INDIRECT($B$5&amp;"生成成长"),3))*(VLOOKUP($B$5,标准坦克设计!$B$14:$K$20,9)/30))</f>
        <v>18.576177695461734</v>
      </c>
      <c r="BL76" s="172">
        <f ca="1">(VLOOKUP(BL$72,INDIRECT($C$5&amp;"生成成长"),2))/((VLOOKUP($B76,INDIRECT($B$5&amp;"生成成长"),4))/(VLOOKUP(BL$72,INDIRECT($C$5&amp;"生成成长"),5))*(VLOOKUP($B$5,标准坦克设计!$B$24:$U$30,MATCH("对"&amp;LEFT($C$5,2)&amp;"输出",标准坦克设计!$B$23:$U$23,0)))*(VLOOKUP($B76,INDIRECT($B$5&amp;"生成成长"),3))*(VLOOKUP($B$5,标准坦克设计!$B$14:$K$20,9)/30))</f>
        <v>20.559233852934423</v>
      </c>
      <c r="BM76" s="172">
        <f ca="1">(VLOOKUP(BM$72,INDIRECT($C$5&amp;"生成成长"),2))/((VLOOKUP($B76,INDIRECT($B$5&amp;"生成成长"),4))/(VLOOKUP(BM$72,INDIRECT($C$5&amp;"生成成长"),5))*(VLOOKUP($B$5,标准坦克设计!$B$24:$U$30,MATCH("对"&amp;LEFT($C$5,2)&amp;"输出",标准坦克设计!$B$23:$U$23,0)))*(VLOOKUP($B76,INDIRECT($B$5&amp;"生成成长"),3))*(VLOOKUP($B$5,标准坦克设计!$B$14:$K$20,9)/30))</f>
        <v>22.64283933670151</v>
      </c>
      <c r="BN76" s="172">
        <f ca="1">(VLOOKUP(BN$72,INDIRECT($C$5&amp;"生成成长"),2))/((VLOOKUP($B76,INDIRECT($B$5&amp;"生成成长"),4))/(VLOOKUP(BN$72,INDIRECT($C$5&amp;"生成成长"),5))*(VLOOKUP($B$5,标准坦克设计!$B$24:$U$30,MATCH("对"&amp;LEFT($C$5,2)&amp;"输出",标准坦克设计!$B$23:$U$23,0)))*(VLOOKUP($B76,INDIRECT($B$5&amp;"生成成长"),3))*(VLOOKUP($B$5,标准坦克设计!$B$14:$K$20,9)/30))</f>
        <v>24.826994146762988</v>
      </c>
      <c r="BO76" s="172">
        <f ca="1">(VLOOKUP(BO$72,INDIRECT($C$5&amp;"生成成长"),2))/((VLOOKUP($B76,INDIRECT($B$5&amp;"生成成长"),4))/(VLOOKUP(BO$72,INDIRECT($C$5&amp;"生成成长"),5))*(VLOOKUP($B$5,标准坦克设计!$B$24:$U$30,MATCH("对"&amp;LEFT($C$5,2)&amp;"输出",标准坦克设计!$B$23:$U$23,0)))*(VLOOKUP($B76,INDIRECT($B$5&amp;"生成成长"),3))*(VLOOKUP($B$5,标准坦克设计!$B$14:$K$20,9)/30))</f>
        <v>27.111698283118848</v>
      </c>
      <c r="BP76" s="172">
        <f ca="1">(VLOOKUP(BP$72,INDIRECT($C$5&amp;"生成成长"),2))/((VLOOKUP($B76,INDIRECT($B$5&amp;"生成成长"),4))/(VLOOKUP(BP$72,INDIRECT($C$5&amp;"生成成长"),5))*(VLOOKUP($B$5,标准坦克设计!$B$24:$U$30,MATCH("对"&amp;LEFT($C$5,2)&amp;"输出",标准坦克设计!$B$23:$U$23,0)))*(VLOOKUP($B76,INDIRECT($B$5&amp;"生成成长"),3))*(VLOOKUP($B$5,标准坦克设计!$B$14:$K$20,9)/30))</f>
        <v>29.496951745769103</v>
      </c>
      <c r="BQ76" s="172">
        <f ca="1">(VLOOKUP(BQ$72,INDIRECT($C$5&amp;"生成成长"),2))/((VLOOKUP($B76,INDIRECT($B$5&amp;"生成成长"),4))/(VLOOKUP(BQ$72,INDIRECT($C$5&amp;"生成成长"),5))*(VLOOKUP($B$5,标准坦克设计!$B$24:$U$30,MATCH("对"&amp;LEFT($C$5,2)&amp;"输出",标准坦克设计!$B$23:$U$23,0)))*(VLOOKUP($B76,INDIRECT($B$5&amp;"生成成长"),3))*(VLOOKUP($B$5,标准坦克设计!$B$14:$K$20,9)/30))</f>
        <v>31.982754534713745</v>
      </c>
      <c r="BR76" s="172">
        <f ca="1">(VLOOKUP(BR$72,INDIRECT($C$5&amp;"生成成长"),2))/((VLOOKUP($B76,INDIRECT($B$5&amp;"生成成长"),4))/(VLOOKUP(BR$72,INDIRECT($C$5&amp;"生成成长"),5))*(VLOOKUP($B$5,标准坦克设计!$B$24:$U$30,MATCH("对"&amp;LEFT($C$5,2)&amp;"输出",标准坦克设计!$B$23:$U$23,0)))*(VLOOKUP($B76,INDIRECT($B$5&amp;"生成成长"),3))*(VLOOKUP($B$5,标准坦克设计!$B$14:$K$20,9)/30))</f>
        <v>34.862685855738249</v>
      </c>
      <c r="BS76" s="172">
        <f ca="1">(VLOOKUP(BS$72,INDIRECT($C$5&amp;"生成成长"),2))/((VLOOKUP($B76,INDIRECT($B$5&amp;"生成成长"),4))/(VLOOKUP(BS$72,INDIRECT($C$5&amp;"生成成长"),5))*(VLOOKUP($B$5,标准坦克设计!$B$24:$U$30,MATCH("对"&amp;LEFT($C$5,2)&amp;"输出",标准坦克设计!$B$23:$U$23,0)))*(VLOOKUP($B76,INDIRECT($B$5&amp;"生成成长"),3))*(VLOOKUP($B$5,标准坦克设计!$B$14:$K$20,9)/30))</f>
        <v>37.86675214749657</v>
      </c>
      <c r="BT76" s="172">
        <f ca="1">(VLOOKUP(BT$72,INDIRECT($C$5&amp;"生成成长"),2))/((VLOOKUP($B76,INDIRECT($B$5&amp;"生成成长"),4))/(VLOOKUP(BT$72,INDIRECT($C$5&amp;"生成成长"),5))*(VLOOKUP($B$5,标准坦克设计!$B$24:$U$30,MATCH("对"&amp;LEFT($C$5,2)&amp;"输出",标准坦克设计!$B$23:$U$23,0)))*(VLOOKUP($B76,INDIRECT($B$5&amp;"生成成长"),3))*(VLOOKUP($B$5,标准坦克设计!$B$14:$K$20,9)/30))</f>
        <v>40.99495340998871</v>
      </c>
      <c r="BU76" s="172">
        <f ca="1">(VLOOKUP(BU$72,INDIRECT($C$5&amp;"生成成长"),2))/((VLOOKUP($B76,INDIRECT($B$5&amp;"生成成长"),4))/(VLOOKUP(BU$72,INDIRECT($C$5&amp;"生成成长"),5))*(VLOOKUP($B$5,标准坦克设计!$B$24:$U$30,MATCH("对"&amp;LEFT($C$5,2)&amp;"输出",标准坦克设计!$B$23:$U$23,0)))*(VLOOKUP($B76,INDIRECT($B$5&amp;"生成成长"),3))*(VLOOKUP($B$5,标准坦克设计!$B$14:$K$20,9)/30))</f>
        <v>44.247289643214657</v>
      </c>
      <c r="BV76" s="172">
        <f ca="1">(VLOOKUP(BV$72,INDIRECT($C$5&amp;"生成成长"),2))/((VLOOKUP($B76,INDIRECT($B$5&amp;"生成成长"),4))/(VLOOKUP(BV$72,INDIRECT($C$5&amp;"生成成长"),5))*(VLOOKUP($B$5,标准坦克设计!$B$24:$U$30,MATCH("对"&amp;LEFT($C$5,2)&amp;"输出",标准坦克设计!$B$23:$U$23,0)))*(VLOOKUP($B76,INDIRECT($B$5&amp;"生成成长"),3))*(VLOOKUP($B$5,标准坦克设计!$B$14:$K$20,9)/30))</f>
        <v>47.623760847174424</v>
      </c>
      <c r="BW76" s="172">
        <f ca="1">(VLOOKUP(BW$72,INDIRECT($C$5&amp;"生成成长"),2))/((VLOOKUP($B76,INDIRECT($B$5&amp;"生成成长"),4))/(VLOOKUP(BW$72,INDIRECT($C$5&amp;"生成成长"),5))*(VLOOKUP($B$5,标准坦克设计!$B$24:$U$30,MATCH("对"&amp;LEFT($C$5,2)&amp;"输出",标准坦克设计!$B$23:$U$23,0)))*(VLOOKUP($B76,INDIRECT($B$5&amp;"生成成长"),3))*(VLOOKUP($B$5,标准坦克设计!$B$14:$K$20,9)/30))</f>
        <v>21.704378957953868</v>
      </c>
      <c r="BX76" s="172">
        <f ca="1">(VLOOKUP(BX$72,INDIRECT($C$5&amp;"生成成长"),2))/((VLOOKUP($B76,INDIRECT($B$5&amp;"生成成长"),4))/(VLOOKUP(BX$72,INDIRECT($C$5&amp;"生成成长"),5))*(VLOOKUP($B$5,标准坦克设计!$B$24:$U$30,MATCH("对"&amp;LEFT($C$5,2)&amp;"输出",标准坦克设计!$B$23:$U$23,0)))*(VLOOKUP($B76,INDIRECT($B$5&amp;"生成成长"),3))*(VLOOKUP($B$5,标准坦克设计!$B$14:$K$20,9)/30))</f>
        <v>24.087770396043112</v>
      </c>
      <c r="BY76" s="172">
        <f ca="1">(VLOOKUP(BY$72,INDIRECT($C$5&amp;"生成成长"),2))/((VLOOKUP($B76,INDIRECT($B$5&amp;"生成成长"),4))/(VLOOKUP(BY$72,INDIRECT($C$5&amp;"生成成长"),5))*(VLOOKUP($B$5,标准坦克设计!$B$24:$U$30,MATCH("对"&amp;LEFT($C$5,2)&amp;"输出",标准坦克设计!$B$23:$U$23,0)))*(VLOOKUP($B76,INDIRECT($B$5&amp;"生成成长"),3))*(VLOOKUP($B$5,标准坦克设计!$B$14:$K$20,9)/30))</f>
        <v>26.595296804866173</v>
      </c>
      <c r="BZ76" s="172">
        <f ca="1">(VLOOKUP(BZ$72,INDIRECT($C$5&amp;"生成成长"),2))/((VLOOKUP($B76,INDIRECT($B$5&amp;"生成成长"),4))/(VLOOKUP(BZ$72,INDIRECT($C$5&amp;"生成成长"),5))*(VLOOKUP($B$5,标准坦克设计!$B$24:$U$30,MATCH("对"&amp;LEFT($C$5,2)&amp;"输出",标准坦克设计!$B$23:$U$23,0)))*(VLOOKUP($B76,INDIRECT($B$5&amp;"生成成长"),3))*(VLOOKUP($B$5,标准坦克设计!$B$14:$K$20,9)/30))</f>
        <v>29.226958184423054</v>
      </c>
      <c r="CA76" s="172">
        <f ca="1">(VLOOKUP(CA$72,INDIRECT($C$5&amp;"生成成长"),2))/((VLOOKUP($B76,INDIRECT($B$5&amp;"生成成长"),4))/(VLOOKUP(CA$72,INDIRECT($C$5&amp;"生成成长"),5))*(VLOOKUP($B$5,标准坦克设计!$B$24:$U$30,MATCH("对"&amp;LEFT($C$5,2)&amp;"输出",标准坦克设计!$B$23:$U$23,0)))*(VLOOKUP($B76,INDIRECT($B$5&amp;"生成成长"),3))*(VLOOKUP($B$5,标准坦克设计!$B$14:$K$20,9)/30))</f>
        <v>31.982754534713745</v>
      </c>
      <c r="CB76" s="172">
        <f ca="1">(VLOOKUP(CB$72,INDIRECT($C$5&amp;"生成成长"),2))/((VLOOKUP($B76,INDIRECT($B$5&amp;"生成成长"),4))/(VLOOKUP(CB$72,INDIRECT($C$5&amp;"生成成长"),5))*(VLOOKUP($B$5,标准坦克设计!$B$24:$U$30,MATCH("对"&amp;LEFT($C$5,2)&amp;"输出",标准坦克设计!$B$23:$U$23,0)))*(VLOOKUP($B76,INDIRECT($B$5&amp;"生成成长"),3))*(VLOOKUP($B$5,标准坦克设计!$B$14:$K$20,9)/30))</f>
        <v>34.862685855738249</v>
      </c>
      <c r="CC76" s="172">
        <f ca="1">(VLOOKUP(CC$72,INDIRECT($C$5&amp;"生成成长"),2))/((VLOOKUP($B76,INDIRECT($B$5&amp;"生成成长"),4))/(VLOOKUP(CC$72,INDIRECT($C$5&amp;"生成成长"),5))*(VLOOKUP($B$5,标准坦克设计!$B$24:$U$30,MATCH("对"&amp;LEFT($C$5,2)&amp;"输出",标准坦克设计!$B$23:$U$23,0)))*(VLOOKUP($B76,INDIRECT($B$5&amp;"生成成长"),3))*(VLOOKUP($B$5,标准坦克设计!$B$14:$K$20,9)/30))</f>
        <v>37.86675214749657</v>
      </c>
      <c r="CD76" s="172">
        <f ca="1">(VLOOKUP(CD$72,INDIRECT($C$5&amp;"生成成长"),2))/((VLOOKUP($B76,INDIRECT($B$5&amp;"生成成长"),4))/(VLOOKUP(CD$72,INDIRECT($C$5&amp;"生成成长"),5))*(VLOOKUP($B$5,标准坦克设计!$B$24:$U$30,MATCH("对"&amp;LEFT($C$5,2)&amp;"输出",标准坦克设计!$B$23:$U$23,0)))*(VLOOKUP($B76,INDIRECT($B$5&amp;"生成成长"),3))*(VLOOKUP($B$5,标准坦克设计!$B$14:$K$20,9)/30))</f>
        <v>40.99495340998871</v>
      </c>
      <c r="CE76" s="172">
        <f ca="1">(VLOOKUP(CE$72,INDIRECT($C$5&amp;"生成成长"),2))/((VLOOKUP($B76,INDIRECT($B$5&amp;"生成成长"),4))/(VLOOKUP(CE$72,INDIRECT($C$5&amp;"生成成长"),5))*(VLOOKUP($B$5,标准坦克设计!$B$24:$U$30,MATCH("对"&amp;LEFT($C$5,2)&amp;"输出",标准坦克设计!$B$23:$U$23,0)))*(VLOOKUP($B76,INDIRECT($B$5&amp;"生成成长"),3))*(VLOOKUP($B$5,标准坦克设计!$B$14:$K$20,9)/30))</f>
        <v>44.247289643214657</v>
      </c>
      <c r="CF76" s="172">
        <f ca="1">(VLOOKUP(CF$72,INDIRECT($C$5&amp;"生成成长"),2))/((VLOOKUP($B76,INDIRECT($B$5&amp;"生成成长"),4))/(VLOOKUP(CF$72,INDIRECT($C$5&amp;"生成成长"),5))*(VLOOKUP($B$5,标准坦克设计!$B$24:$U$30,MATCH("对"&amp;LEFT($C$5,2)&amp;"输出",标准坦克设计!$B$23:$U$23,0)))*(VLOOKUP($B76,INDIRECT($B$5&amp;"生成成长"),3))*(VLOOKUP($B$5,标准坦克设计!$B$14:$K$20,9)/30))</f>
        <v>47.623760847174424</v>
      </c>
      <c r="CG76" s="172">
        <f ca="1">(VLOOKUP(CG$72,INDIRECT($C$5&amp;"生成成长"),2))/((VLOOKUP($B76,INDIRECT($B$5&amp;"生成成长"),4))/(VLOOKUP(CG$72,INDIRECT($C$5&amp;"生成成长"),5))*(VLOOKUP($B$5,标准坦克设计!$B$24:$U$30,MATCH("对"&amp;LEFT($C$5,2)&amp;"输出",标准坦克设计!$B$23:$U$23,0)))*(VLOOKUP($B76,INDIRECT($B$5&amp;"生成成长"),3))*(VLOOKUP($B$5,标准坦克设计!$B$14:$K$20,9)/30))</f>
        <v>51.124367021867997</v>
      </c>
      <c r="CH76" s="172">
        <f ca="1">(VLOOKUP(CH$72,INDIRECT($C$5&amp;"生成成长"),2))/((VLOOKUP($B76,INDIRECT($B$5&amp;"生成成长"),4))/(VLOOKUP(CH$72,INDIRECT($C$5&amp;"生成成长"),5))*(VLOOKUP($B$5,标准坦克设计!$B$24:$U$30,MATCH("对"&amp;LEFT($C$5,2)&amp;"输出",标准坦克设计!$B$23:$U$23,0)))*(VLOOKUP($B76,INDIRECT($B$5&amp;"生成成长"),3))*(VLOOKUP($B$5,标准坦克设计!$B$14:$K$20,9)/30))</f>
        <v>54.749108167295397</v>
      </c>
      <c r="CI76" s="172">
        <f ca="1">(VLOOKUP(CI$72,INDIRECT($C$5&amp;"生成成长"),2))/((VLOOKUP($B76,INDIRECT($B$5&amp;"生成成长"),4))/(VLOOKUP(CI$72,INDIRECT($C$5&amp;"生成成长"),5))*(VLOOKUP($B$5,标准坦克设计!$B$24:$U$30,MATCH("对"&amp;LEFT($C$5,2)&amp;"输出",标准坦克设计!$B$23:$U$23,0)))*(VLOOKUP($B76,INDIRECT($B$5&amp;"生成成长"),3))*(VLOOKUP($B$5,标准坦克设计!$B$14:$K$20,9)/30))</f>
        <v>58.879699318463082</v>
      </c>
      <c r="CJ76" s="172">
        <f ca="1">(VLOOKUP(CJ$72,INDIRECT($C$5&amp;"生成成长"),2))/((VLOOKUP($B76,INDIRECT($B$5&amp;"生成成长"),4))/(VLOOKUP(CJ$72,INDIRECT($C$5&amp;"生成成长"),5))*(VLOOKUP($B$5,标准坦克设计!$B$24:$U$30,MATCH("对"&amp;LEFT($C$5,2)&amp;"输出",标准坦克设计!$B$23:$U$23,0)))*(VLOOKUP($B76,INDIRECT($B$5&amp;"生成成长"),3))*(VLOOKUP($B$5,标准坦克设计!$B$14:$K$20,9)/30))</f>
        <v>63.160493784218701</v>
      </c>
      <c r="CK76" s="172">
        <f ca="1">(VLOOKUP(CK$72,INDIRECT($C$5&amp;"生成成长"),2))/((VLOOKUP($B76,INDIRECT($B$5&amp;"生成成长"),4))/(VLOOKUP(CK$72,INDIRECT($C$5&amp;"生成成长"),5))*(VLOOKUP($B$5,标准坦克设计!$B$24:$U$30,MATCH("对"&amp;LEFT($C$5,2)&amp;"输出",标准坦克设计!$B$23:$U$23,0)))*(VLOOKUP($B76,INDIRECT($B$5&amp;"生成成长"),3))*(VLOOKUP($B$5,标准坦克设计!$B$14:$K$20,9)/30))</f>
        <v>67.591491564562219</v>
      </c>
      <c r="CL76" s="172">
        <f ca="1">(VLOOKUP(CL$72,INDIRECT($C$5&amp;"生成成长"),2))/((VLOOKUP($B76,INDIRECT($B$5&amp;"生成成长"),4))/(VLOOKUP(CL$72,INDIRECT($C$5&amp;"生成成长"),5))*(VLOOKUP($B$5,标准坦克设计!$B$24:$U$30,MATCH("对"&amp;LEFT($C$5,2)&amp;"输出",标准坦克设计!$B$23:$U$23,0)))*(VLOOKUP($B76,INDIRECT($B$5&amp;"生成成长"),3))*(VLOOKUP($B$5,标准坦克设计!$B$14:$K$20,9)/30))</f>
        <v>72.172692659493663</v>
      </c>
      <c r="CM76" s="172">
        <f ca="1">(VLOOKUP(CM$72,INDIRECT($C$5&amp;"生成成长"),2))/((VLOOKUP($B76,INDIRECT($B$5&amp;"生成成长"),4))/(VLOOKUP(CM$72,INDIRECT($C$5&amp;"生成成长"),5))*(VLOOKUP($B$5,标准坦克设计!$B$24:$U$30,MATCH("对"&amp;LEFT($C$5,2)&amp;"输出",标准坦克设计!$B$23:$U$23,0)))*(VLOOKUP($B76,INDIRECT($B$5&amp;"生成成长"),3))*(VLOOKUP($B$5,标准坦克设计!$B$14:$K$20,9)/30))</f>
        <v>76.904097069013019</v>
      </c>
      <c r="CN76" s="172">
        <f ca="1">(VLOOKUP(CN$72,INDIRECT($C$5&amp;"生成成长"),2))/((VLOOKUP($B76,INDIRECT($B$5&amp;"生成成长"),4))/(VLOOKUP(CN$72,INDIRECT($C$5&amp;"生成成长"),5))*(VLOOKUP($B$5,标准坦克设计!$B$24:$U$30,MATCH("对"&amp;LEFT($C$5,2)&amp;"输出",标准坦克设计!$B$23:$U$23,0)))*(VLOOKUP($B76,INDIRECT($B$5&amp;"生成成长"),3))*(VLOOKUP($B$5,标准坦克设计!$B$14:$K$20,9)/30))</f>
        <v>81.785704793120289</v>
      </c>
      <c r="CO76" s="172">
        <f ca="1">(VLOOKUP(CO$72,INDIRECT($C$5&amp;"生成成长"),2))/((VLOOKUP($B76,INDIRECT($B$5&amp;"生成成长"),4))/(VLOOKUP(CO$72,INDIRECT($C$5&amp;"生成成长"),5))*(VLOOKUP($B$5,标准坦克设计!$B$24:$U$30,MATCH("对"&amp;LEFT($C$5,2)&amp;"输出",标准坦克设计!$B$23:$U$23,0)))*(VLOOKUP($B76,INDIRECT($B$5&amp;"生成成长"),3))*(VLOOKUP($B$5,标准坦克设计!$B$14:$K$20,9)/30))</f>
        <v>36.650229434305182</v>
      </c>
      <c r="CP76" s="172">
        <f ca="1">(VLOOKUP(CP$72,INDIRECT($C$5&amp;"生成成长"),2))/((VLOOKUP($B76,INDIRECT($B$5&amp;"生成成长"),4))/(VLOOKUP(CP$72,INDIRECT($C$5&amp;"生成成长"),5))*(VLOOKUP($B$5,标准坦克设计!$B$24:$U$30,MATCH("对"&amp;LEFT($C$5,2)&amp;"输出",标准坦克设计!$B$23:$U$23,0)))*(VLOOKUP($B76,INDIRECT($B$5&amp;"生成成长"),3))*(VLOOKUP($B$5,标准坦克设计!$B$14:$K$20,9)/30))</f>
        <v>40.043458859314015</v>
      </c>
      <c r="CQ76" s="172">
        <f ca="1">(VLOOKUP(CQ$72,INDIRECT($C$5&amp;"生成成长"),2))/((VLOOKUP($B76,INDIRECT($B$5&amp;"生成成长"),4))/(VLOOKUP(CQ$72,INDIRECT($C$5&amp;"生成成长"),5))*(VLOOKUP($B$5,标准坦克设计!$B$24:$U$30,MATCH("对"&amp;LEFT($C$5,2)&amp;"输出",标准坦克设计!$B$23:$U$23,0)))*(VLOOKUP($B76,INDIRECT($B$5&amp;"生成成长"),3))*(VLOOKUP($B$5,标准坦克设计!$B$14:$K$20,9)/30))</f>
        <v>43.586891598910761</v>
      </c>
      <c r="CR76" s="172">
        <f ca="1">(VLOOKUP(CR$72,INDIRECT($C$5&amp;"生成成长"),2))/((VLOOKUP($B76,INDIRECT($B$5&amp;"生成成长"),4))/(VLOOKUP(CR$72,INDIRECT($C$5&amp;"生成成长"),5))*(VLOOKUP($B$5,标准坦克设计!$B$24:$U$30,MATCH("对"&amp;LEFT($C$5,2)&amp;"输出",标准坦克设计!$B$23:$U$23,0)))*(VLOOKUP($B76,INDIRECT($B$5&amp;"生成成长"),3))*(VLOOKUP($B$5,标准坦克设计!$B$14:$K$20,9)/30))</f>
        <v>47.280527653095426</v>
      </c>
      <c r="CS76" s="172">
        <f ca="1">(VLOOKUP(CS$72,INDIRECT($C$5&amp;"生成成长"),2))/((VLOOKUP($B76,INDIRECT($B$5&amp;"生成成长"),4))/(VLOOKUP(CS$72,INDIRECT($C$5&amp;"生成成长"),5))*(VLOOKUP($B$5,标准坦克设计!$B$24:$U$30,MATCH("对"&amp;LEFT($C$5,2)&amp;"输出",标准坦克设计!$B$23:$U$23,0)))*(VLOOKUP($B76,INDIRECT($B$5&amp;"生成成长"),3))*(VLOOKUP($B$5,标准坦克设计!$B$14:$K$20,9)/30))</f>
        <v>51.124367021867997</v>
      </c>
      <c r="CT76" s="172">
        <f ca="1">(VLOOKUP(CT$72,INDIRECT($C$5&amp;"生成成长"),2))/((VLOOKUP($B76,INDIRECT($B$5&amp;"生成成长"),4))/(VLOOKUP(CT$72,INDIRECT($C$5&amp;"生成成长"),5))*(VLOOKUP($B$5,标准坦克设计!$B$24:$U$30,MATCH("对"&amp;LEFT($C$5,2)&amp;"输出",标准坦克设计!$B$23:$U$23,0)))*(VLOOKUP($B76,INDIRECT($B$5&amp;"生成成长"),3))*(VLOOKUP($B$5,标准坦克设计!$B$14:$K$20,9)/30))</f>
        <v>55.118409705228501</v>
      </c>
      <c r="CU76" s="172">
        <f ca="1">(VLOOKUP(CU$72,INDIRECT($C$5&amp;"生成成长"),2))/((VLOOKUP($B76,INDIRECT($B$5&amp;"生成成长"),4))/(VLOOKUP(CU$72,INDIRECT($C$5&amp;"生成成长"),5))*(VLOOKUP($B$5,标准坦克设计!$B$24:$U$30,MATCH("对"&amp;LEFT($C$5,2)&amp;"输出",标准坦克设计!$B$23:$U$23,0)))*(VLOOKUP($B76,INDIRECT($B$5&amp;"生成成长"),3))*(VLOOKUP($B$5,标准坦克设计!$B$14:$K$20,9)/30))</f>
        <v>59.262655703176904</v>
      </c>
      <c r="CV76" s="172">
        <f ca="1">(VLOOKUP(CV$72,INDIRECT($C$5&amp;"生成成长"),2))/((VLOOKUP($B76,INDIRECT($B$5&amp;"生成成长"),4))/(VLOOKUP(CV$72,INDIRECT($C$5&amp;"生成成长"),5))*(VLOOKUP($B$5,标准坦克设计!$B$24:$U$30,MATCH("对"&amp;LEFT($C$5,2)&amp;"输出",标准坦克设计!$B$23:$U$23,0)))*(VLOOKUP($B76,INDIRECT($B$5&amp;"生成成长"),3))*(VLOOKUP($B$5,标准坦克设计!$B$14:$K$20,9)/30))</f>
        <v>63.557105015713226</v>
      </c>
      <c r="CW76" s="172">
        <f ca="1">(VLOOKUP(CW$72,INDIRECT($C$5&amp;"生成成长"),2))/((VLOOKUP($B76,INDIRECT($B$5&amp;"生成成长"),4))/(VLOOKUP(CW$72,INDIRECT($C$5&amp;"生成成长"),5))*(VLOOKUP($B$5,标准坦克设计!$B$24:$U$30,MATCH("对"&amp;LEFT($C$5,2)&amp;"输出",标准坦克设计!$B$23:$U$23,0)))*(VLOOKUP($B76,INDIRECT($B$5&amp;"生成成长"),3))*(VLOOKUP($B$5,标准坦克设计!$B$14:$K$20,9)/30))</f>
        <v>68.001757642837489</v>
      </c>
      <c r="CX76" s="172">
        <f ca="1">(VLOOKUP(CX$72,INDIRECT($C$5&amp;"生成成长"),2))/((VLOOKUP($B76,INDIRECT($B$5&amp;"生成成长"),4))/(VLOOKUP(CX$72,INDIRECT($C$5&amp;"生成成长"),5))*(VLOOKUP($B$5,标准坦克设计!$B$24:$U$30,MATCH("对"&amp;LEFT($C$5,2)&amp;"输出",标准坦克设计!$B$23:$U$23,0)))*(VLOOKUP($B76,INDIRECT($B$5&amp;"生成成长"),3))*(VLOOKUP($B$5,标准坦克设计!$B$14:$K$20,9)/30))</f>
        <v>72.596613584549644</v>
      </c>
      <c r="CY76" s="172">
        <f ca="1">(VLOOKUP(CY$72,INDIRECT($C$5&amp;"生成成长"),2))/((VLOOKUP($B76,INDIRECT($B$5&amp;"生成成长"),4))/(VLOOKUP(CY$72,INDIRECT($C$5&amp;"生成成长"),5))*(VLOOKUP($B$5,标准坦克设计!$B$24:$U$30,MATCH("对"&amp;LEFT($C$5,2)&amp;"输出",标准坦克设计!$B$23:$U$23,0)))*(VLOOKUP($B76,INDIRECT($B$5&amp;"生成成长"),3))*(VLOOKUP($B$5,标准坦克设计!$B$14:$K$20,9)/30))</f>
        <v>77.341672840849725</v>
      </c>
      <c r="CZ76" s="172">
        <f ca="1">(VLOOKUP(CZ$72,INDIRECT($C$5&amp;"生成成长"),2))/((VLOOKUP($B76,INDIRECT($B$5&amp;"生成成长"),4))/(VLOOKUP(CZ$72,INDIRECT($C$5&amp;"生成成长"),5))*(VLOOKUP($B$5,标准坦克设计!$B$24:$U$30,MATCH("对"&amp;LEFT($C$5,2)&amp;"输出",标准坦克设计!$B$23:$U$23,0)))*(VLOOKUP($B76,INDIRECT($B$5&amp;"生成成长"),3))*(VLOOKUP($B$5,标准坦克设计!$B$14:$K$20,9)/30))</f>
        <v>82.23693541173769</v>
      </c>
      <c r="DA76" s="172">
        <f ca="1">(VLOOKUP(DA$72,INDIRECT($C$5&amp;"生成成长"),2))/((VLOOKUP($B76,INDIRECT($B$5&amp;"生成成长"),4))/(VLOOKUP(DA$72,INDIRECT($C$5&amp;"生成成长"),5))*(VLOOKUP($B$5,标准坦克设计!$B$24:$U$30,MATCH("对"&amp;LEFT($C$5,2)&amp;"输出",标准坦克设计!$B$23:$U$23,0)))*(VLOOKUP($B76,INDIRECT($B$5&amp;"生成成长"),3))*(VLOOKUP($B$5,标准坦克设计!$B$14:$K$20,9)/30))</f>
        <v>87.28240129721361</v>
      </c>
      <c r="DB76" s="172">
        <f ca="1">(VLOOKUP(DB$72,INDIRECT($C$5&amp;"生成成长"),2))/((VLOOKUP($B76,INDIRECT($B$5&amp;"生成成长"),4))/(VLOOKUP(DB$72,INDIRECT($C$5&amp;"生成成长"),5))*(VLOOKUP($B$5,标准坦克设计!$B$24:$U$30,MATCH("对"&amp;LEFT($C$5,2)&amp;"输出",标准坦克设计!$B$23:$U$23,0)))*(VLOOKUP($B76,INDIRECT($B$5&amp;"生成成长"),3))*(VLOOKUP($B$5,标准坦克设计!$B$14:$K$20,9)/30))</f>
        <v>92.478070497277443</v>
      </c>
      <c r="DC76" s="172">
        <f ca="1">(VLOOKUP(DC$72,INDIRECT($C$5&amp;"生成成长"),2))/((VLOOKUP($B76,INDIRECT($B$5&amp;"生成成长"),4))/(VLOOKUP(DC$72,INDIRECT($C$5&amp;"生成成长"),5))*(VLOOKUP($B$5,标准坦克设计!$B$24:$U$30,MATCH("对"&amp;LEFT($C$5,2)&amp;"输出",标准坦克设计!$B$23:$U$23,0)))*(VLOOKUP($B76,INDIRECT($B$5&amp;"生成成长"),3))*(VLOOKUP($B$5,标准坦克设计!$B$14:$K$20,9)/30))</f>
        <v>98.317379520596077</v>
      </c>
      <c r="DD76" s="172">
        <f ca="1">(VLOOKUP(DD$72,INDIRECT($C$5&amp;"生成成长"),2))/((VLOOKUP($B76,INDIRECT($B$5&amp;"生成成长"),4))/(VLOOKUP(DD$72,INDIRECT($C$5&amp;"生成成长"),5))*(VLOOKUP($B$5,标准坦克设计!$B$24:$U$30,MATCH("对"&amp;LEFT($C$5,2)&amp;"输出",标准坦克设计!$B$23:$U$23,0)))*(VLOOKUP($B76,INDIRECT($B$5&amp;"生成成长"),3))*(VLOOKUP($B$5,标准坦克设计!$B$14:$K$20,9)/30))</f>
        <v>104.33544290177144</v>
      </c>
      <c r="DE76" s="172">
        <f ca="1">(VLOOKUP(DE$72,INDIRECT($C$5&amp;"生成成长"),2))/((VLOOKUP($B76,INDIRECT($B$5&amp;"生成成长"),4))/(VLOOKUP(DE$72,INDIRECT($C$5&amp;"生成成长"),5))*(VLOOKUP($B$5,标准坦克设计!$B$24:$U$30,MATCH("对"&amp;LEFT($C$5,2)&amp;"输出",标准坦克设计!$B$23:$U$23,0)))*(VLOOKUP($B76,INDIRECT($B$5&amp;"生成成长"),3))*(VLOOKUP($B$5,标准坦克设计!$B$14:$K$20,9)/30))</f>
        <v>110.53226064080349</v>
      </c>
      <c r="DF76" s="172">
        <f ca="1">(VLOOKUP(DF$72,INDIRECT($C$5&amp;"生成成长"),2))/((VLOOKUP($B76,INDIRECT($B$5&amp;"生成成长"),4))/(VLOOKUP(DF$72,INDIRECT($C$5&amp;"生成成长"),5))*(VLOOKUP($B$5,标准坦克设计!$B$24:$U$30,MATCH("对"&amp;LEFT($C$5,2)&amp;"输出",标准坦克设计!$B$23:$U$23,0)))*(VLOOKUP($B76,INDIRECT($B$5&amp;"生成成长"),3))*(VLOOKUP($B$5,标准坦克设计!$B$14:$K$20,9)/30))</f>
        <v>116.90783273769222</v>
      </c>
      <c r="DG76" s="172">
        <f ca="1">(VLOOKUP(DG$72,INDIRECT($C$5&amp;"生成成长"),2))/((VLOOKUP($B76,INDIRECT($B$5&amp;"生成成长"),4))/(VLOOKUP(DG$72,INDIRECT($C$5&amp;"生成成长"),5))*(VLOOKUP($B$5,标准坦克设计!$B$24:$U$30,MATCH("对"&amp;LEFT($C$5,2)&amp;"输出",标准坦克设计!$B$23:$U$23,0)))*(VLOOKUP($B76,INDIRECT($B$5&amp;"生成成长"),3))*(VLOOKUP($B$5,标准坦克设计!$B$14:$K$20,9)/30))</f>
        <v>123.46215919243762</v>
      </c>
      <c r="DH76" s="172">
        <f ca="1">(VLOOKUP(DH$72,INDIRECT($C$5&amp;"生成成长"),2))/((VLOOKUP($B76,INDIRECT($B$5&amp;"生成成长"),4))/(VLOOKUP(DH$72,INDIRECT($C$5&amp;"生成成长"),5))*(VLOOKUP($B$5,标准坦克设计!$B$24:$U$30,MATCH("对"&amp;LEFT($C$5,2)&amp;"输出",标准坦克设计!$B$23:$U$23,0)))*(VLOOKUP($B76,INDIRECT($B$5&amp;"生成成长"),3))*(VLOOKUP($B$5,标准坦克设计!$B$14:$K$20,9)/30))</f>
        <v>130.19524000503978</v>
      </c>
      <c r="DI76" s="172">
        <f ca="1">(VLOOKUP(DI$72,INDIRECT($C$5&amp;"生成成长"),2))/((VLOOKUP($B76,INDIRECT($B$5&amp;"生成成长"),4))/(VLOOKUP(DI$72,INDIRECT($C$5&amp;"生成成长"),5))*(VLOOKUP($B$5,标准坦克设计!$B$24:$U$30,MATCH("对"&amp;LEFT($C$5,2)&amp;"输出",标准坦克设计!$B$23:$U$23,0)))*(VLOOKUP($B76,INDIRECT($B$5&amp;"生成成长"),3))*(VLOOKUP($B$5,标准坦克设计!$B$14:$K$20,9)/30))</f>
        <v>137.10707517549858</v>
      </c>
      <c r="DJ76" s="172">
        <f ca="1">(VLOOKUP(DJ$72,INDIRECT($C$5&amp;"生成成长"),2))/((VLOOKUP($B76,INDIRECT($B$5&amp;"生成成长"),4))/(VLOOKUP(DJ$72,INDIRECT($C$5&amp;"生成成长"),5))*(VLOOKUP($B$5,标准坦克设计!$B$24:$U$30,MATCH("对"&amp;LEFT($C$5,2)&amp;"输出",标准坦克设计!$B$23:$U$23,0)))*(VLOOKUP($B76,INDIRECT($B$5&amp;"生成成长"),3))*(VLOOKUP($B$5,标准坦克设计!$B$14:$K$20,9)/30))</f>
        <v>13.779602426307125</v>
      </c>
      <c r="DK76" s="172">
        <f ca="1">(VLOOKUP(DK$72,INDIRECT($C$5&amp;"生成成长"),2))/((VLOOKUP($B76,INDIRECT($B$5&amp;"生成成长"),4))/(VLOOKUP(DK$72,INDIRECT($C$5&amp;"生成成长"),5))*(VLOOKUP($B$5,标准坦克设计!$B$24:$U$30,MATCH("对"&amp;LEFT($C$5,2)&amp;"输出",标准坦克设计!$B$23:$U$23,0)))*(VLOOKUP($B76,INDIRECT($B$5&amp;"生成成长"),3))*(VLOOKUP($B$5,标准坦克设计!$B$14:$K$20,9)/30))</f>
        <v>15.494527046994779</v>
      </c>
      <c r="DL76" s="172">
        <f ca="1">(VLOOKUP(DL$72,INDIRECT($C$5&amp;"生成成长"),2))/((VLOOKUP($B76,INDIRECT($B$5&amp;"生成成长"),4))/(VLOOKUP(DL$72,INDIRECT($C$5&amp;"生成成长"),5))*(VLOOKUP($B$5,标准坦克设计!$B$24:$U$30,MATCH("对"&amp;LEFT($C$5,2)&amp;"输出",标准坦克设计!$B$23:$U$23,0)))*(VLOOKUP($B76,INDIRECT($B$5&amp;"生成成长"),3))*(VLOOKUP($B$5,标准坦克设计!$B$14:$K$20,9)/30))</f>
        <v>17.310000993976821</v>
      </c>
      <c r="DM76" s="172">
        <f ca="1">(VLOOKUP(DM$72,INDIRECT($C$5&amp;"生成成长"),2))/((VLOOKUP($B76,INDIRECT($B$5&amp;"生成成长"),4))/(VLOOKUP(DM$72,INDIRECT($C$5&amp;"生成成长"),5))*(VLOOKUP($B$5,标准坦克设计!$B$24:$U$30,MATCH("对"&amp;LEFT($C$5,2)&amp;"输出",标准坦克设计!$B$23:$U$23,0)))*(VLOOKUP($B76,INDIRECT($B$5&amp;"生成成长"),3))*(VLOOKUP($B$5,标准坦克设计!$B$14:$K$20,9)/30))</f>
        <v>19.226024267253255</v>
      </c>
      <c r="DN76" s="172">
        <f ca="1">(VLOOKUP(DN$72,INDIRECT($C$5&amp;"生成成长"),2))/((VLOOKUP($B76,INDIRECT($B$5&amp;"生成成长"),4))/(VLOOKUP(DN$72,INDIRECT($C$5&amp;"生成成长"),5))*(VLOOKUP($B$5,标准坦克设计!$B$24:$U$30,MATCH("对"&amp;LEFT($C$5,2)&amp;"输出",标准坦克设计!$B$23:$U$23,0)))*(VLOOKUP($B76,INDIRECT($B$5&amp;"生成成长"),3))*(VLOOKUP($B$5,标准坦克设计!$B$14:$K$20,9)/30))</f>
        <v>21.24259686682408</v>
      </c>
      <c r="DO76" s="172">
        <f ca="1">(VLOOKUP(DO$72,INDIRECT($C$5&amp;"生成成长"),2))/((VLOOKUP($B76,INDIRECT($B$5&amp;"生成成长"),4))/(VLOOKUP(DO$72,INDIRECT($C$5&amp;"生成成长"),5))*(VLOOKUP($B$5,标准坦克设计!$B$24:$U$30,MATCH("对"&amp;LEFT($C$5,2)&amp;"输出",标准坦克设计!$B$23:$U$23,0)))*(VLOOKUP($B76,INDIRECT($B$5&amp;"生成成长"),3))*(VLOOKUP($B$5,标准坦克设计!$B$14:$K$20,9)/30))</f>
        <v>23.359718792689293</v>
      </c>
      <c r="DP76" s="172">
        <f ca="1">(VLOOKUP(DP$72,INDIRECT($C$5&amp;"生成成长"),2))/((VLOOKUP($B76,INDIRECT($B$5&amp;"生成成长"),4))/(VLOOKUP(DP$72,INDIRECT($C$5&amp;"生成成长"),5))*(VLOOKUP($B$5,标准坦克设计!$B$24:$U$30,MATCH("对"&amp;LEFT($C$5,2)&amp;"输出",标准坦克设计!$B$23:$U$23,0)))*(VLOOKUP($B76,INDIRECT($B$5&amp;"生成成长"),3))*(VLOOKUP($B$5,标准坦克设计!$B$14:$K$20,9)/30))</f>
        <v>25.577390044848894</v>
      </c>
      <c r="DQ76" s="172">
        <f ca="1">(VLOOKUP(DQ$72,INDIRECT($C$5&amp;"生成成长"),2))/((VLOOKUP($B76,INDIRECT($B$5&amp;"生成成长"),4))/(VLOOKUP(DQ$72,INDIRECT($C$5&amp;"生成成长"),5))*(VLOOKUP($B$5,标准坦克设计!$B$24:$U$30,MATCH("对"&amp;LEFT($C$5,2)&amp;"输出",标准坦克设计!$B$23:$U$23,0)))*(VLOOKUP($B76,INDIRECT($B$5&amp;"生成成长"),3))*(VLOOKUP($B$5,标准坦克设计!$B$14:$K$20,9)/30))</f>
        <v>27.895610623302886</v>
      </c>
      <c r="DR76" s="172">
        <f ca="1">(VLOOKUP(DR$72,INDIRECT($C$5&amp;"生成成长"),2))/((VLOOKUP($B76,INDIRECT($B$5&amp;"生成成长"),4))/(VLOOKUP(DR$72,INDIRECT($C$5&amp;"生成成长"),5))*(VLOOKUP($B$5,标准坦克设计!$B$24:$U$30,MATCH("对"&amp;LEFT($C$5,2)&amp;"输出",标准坦克设计!$B$23:$U$23,0)))*(VLOOKUP($B76,INDIRECT($B$5&amp;"生成成长"),3))*(VLOOKUP($B$5,标准坦克设计!$B$14:$K$20,9)/30))</f>
        <v>30.31438052805127</v>
      </c>
      <c r="DS76" s="172">
        <f ca="1">(VLOOKUP(DS$72,INDIRECT($C$5&amp;"生成成长"),2))/((VLOOKUP($B76,INDIRECT($B$5&amp;"生成成长"),4))/(VLOOKUP(DS$72,INDIRECT($C$5&amp;"生成成长"),5))*(VLOOKUP($B$5,标准坦克设计!$B$24:$U$30,MATCH("对"&amp;LEFT($C$5,2)&amp;"输出",标准坦克设计!$B$23:$U$23,0)))*(VLOOKUP($B76,INDIRECT($B$5&amp;"生成成长"),3))*(VLOOKUP($B$5,标准坦克设计!$B$14:$K$20,9)/30))</f>
        <v>32.833699759094038</v>
      </c>
      <c r="DT76" s="172">
        <f ca="1">(VLOOKUP(DT$72,INDIRECT($C$5&amp;"生成成长"),2))/((VLOOKUP($B76,INDIRECT($B$5&amp;"生成成长"),4))/(VLOOKUP(DT$72,INDIRECT($C$5&amp;"生成成长"),5))*(VLOOKUP($B$5,标准坦克设计!$B$24:$U$30,MATCH("对"&amp;LEFT($C$5,2)&amp;"输出",标准坦克设计!$B$23:$U$23,0)))*(VLOOKUP($B76,INDIRECT($B$5&amp;"生成成长"),3))*(VLOOKUP($B$5,标准坦克设计!$B$14:$K$20,9)/30))</f>
        <v>36.049416175953517</v>
      </c>
      <c r="DU76" s="172">
        <f ca="1">(VLOOKUP(DU$72,INDIRECT($C$5&amp;"生成成长"),2))/((VLOOKUP($B76,INDIRECT($B$5&amp;"生成成长"),4))/(VLOOKUP(DU$72,INDIRECT($C$5&amp;"生成成长"),5))*(VLOOKUP($B$5,标准坦克设计!$B$24:$U$30,MATCH("对"&amp;LEFT($C$5,2)&amp;"输出",标准坦克设计!$B$23:$U$23,0)))*(VLOOKUP($B76,INDIRECT($B$5&amp;"生成成长"),3))*(VLOOKUP($B$5,标准坦克设计!$B$14:$K$20,9)/30))</f>
        <v>39.415335907400909</v>
      </c>
      <c r="DV76" s="172">
        <f ca="1">(VLOOKUP(DV$72,INDIRECT($C$5&amp;"生成成长"),2))/((VLOOKUP($B76,INDIRECT($B$5&amp;"生成成长"),4))/(VLOOKUP(DV$72,INDIRECT($C$5&amp;"生成成长"),5))*(VLOOKUP($B$5,标准坦克设计!$B$24:$U$30,MATCH("对"&amp;LEFT($C$5,2)&amp;"输出",标准坦克设计!$B$23:$U$23,0)))*(VLOOKUP($B76,INDIRECT($B$5&amp;"生成成长"),3))*(VLOOKUP($B$5,标准坦克设计!$B$14:$K$20,9)/30))</f>
        <v>42.931458953436213</v>
      </c>
      <c r="DW76" s="172">
        <f ca="1">(VLOOKUP(DW$72,INDIRECT($C$5&amp;"生成成长"),2))/((VLOOKUP($B76,INDIRECT($B$5&amp;"生成成长"),4))/(VLOOKUP(DW$72,INDIRECT($C$5&amp;"生成成长"),5))*(VLOOKUP($B$5,标准坦克设计!$B$24:$U$30,MATCH("对"&amp;LEFT($C$5,2)&amp;"输出",标准坦克设计!$B$23:$U$23,0)))*(VLOOKUP($B76,INDIRECT($B$5&amp;"生成成长"),3))*(VLOOKUP($B$5,标准坦克设计!$B$14:$K$20,9)/30))</f>
        <v>46.59778531405945</v>
      </c>
      <c r="DX76" s="172">
        <f ca="1">(VLOOKUP(DX$72,INDIRECT($C$5&amp;"生成成长"),2))/((VLOOKUP($B76,INDIRECT($B$5&amp;"生成成长"),4))/(VLOOKUP(DX$72,INDIRECT($C$5&amp;"生成成长"),5))*(VLOOKUP($B$5,标准坦克设计!$B$24:$U$30,MATCH("对"&amp;LEFT($C$5,2)&amp;"输出",标准坦克设计!$B$23:$U$23,0)))*(VLOOKUP($B76,INDIRECT($B$5&amp;"生成成长"),3))*(VLOOKUP($B$5,标准坦克设计!$B$14:$K$20,9)/30))</f>
        <v>50.414314989270579</v>
      </c>
      <c r="DY76" s="172">
        <f ca="1">(VLOOKUP(DY$72,INDIRECT($C$5&amp;"生成成长"),2))/((VLOOKUP($B76,INDIRECT($B$5&amp;"生成成长"),4))/(VLOOKUP(DY$72,INDIRECT($C$5&amp;"生成成长"),5))*(VLOOKUP($B$5,标准坦克设计!$B$24:$U$30,MATCH("对"&amp;LEFT($C$5,2)&amp;"输出",标准坦克设计!$B$23:$U$23,0)))*(VLOOKUP($B76,INDIRECT($B$5&amp;"生成成长"),3))*(VLOOKUP($B$5,标准坦克设计!$B$14:$K$20,9)/30))</f>
        <v>22.64283933670151</v>
      </c>
      <c r="DZ76" s="172">
        <f ca="1">(VLOOKUP(DZ$72,INDIRECT($C$5&amp;"生成成长"),2))/((VLOOKUP($B76,INDIRECT($B$5&amp;"生成成长"),4))/(VLOOKUP(DZ$72,INDIRECT($C$5&amp;"生成成长"),5))*(VLOOKUP($B$5,标准坦克设计!$B$24:$U$30,MATCH("对"&amp;LEFT($C$5,2)&amp;"输出",标准坦克设计!$B$23:$U$23,0)))*(VLOOKUP($B76,INDIRECT($B$5&amp;"生成成长"),3))*(VLOOKUP($B$5,标准坦克设计!$B$14:$K$20,9)/30))</f>
        <v>25.075884763084282</v>
      </c>
      <c r="EA76" s="172">
        <f ca="1">(VLOOKUP(EA$72,INDIRECT($C$5&amp;"生成成长"),2))/((VLOOKUP($B76,INDIRECT($B$5&amp;"生成成长"),4))/(VLOOKUP(EA$72,INDIRECT($C$5&amp;"生成成长"),5))*(VLOOKUP($B$5,标准坦克设计!$B$24:$U$30,MATCH("对"&amp;LEFT($C$5,2)&amp;"输出",标准坦克设计!$B$23:$U$23,0)))*(VLOOKUP($B76,INDIRECT($B$5&amp;"生成成长"),3))*(VLOOKUP($B$5,标准坦克设计!$B$14:$K$20,9)/30))</f>
        <v>27.633065160200871</v>
      </c>
      <c r="EB76" s="172">
        <f ca="1">(VLOOKUP(EB$72,INDIRECT($C$5&amp;"生成成长"),2))/((VLOOKUP($B76,INDIRECT($B$5&amp;"生成成长"),4))/(VLOOKUP(EB$72,INDIRECT($C$5&amp;"生成成长"),5))*(VLOOKUP($B$5,标准坦克设计!$B$24:$U$30,MATCH("对"&amp;LEFT($C$5,2)&amp;"输出",标准坦克设计!$B$23:$U$23,0)))*(VLOOKUP($B76,INDIRECT($B$5&amp;"生成成长"),3))*(VLOOKUP($B$5,标准坦克设计!$B$14:$K$20,9)/30))</f>
        <v>30.31438052805127</v>
      </c>
      <c r="EC76" s="172">
        <f ca="1">(VLOOKUP(EC$72,INDIRECT($C$5&amp;"生成成长"),2))/((VLOOKUP($B76,INDIRECT($B$5&amp;"生成成长"),4))/(VLOOKUP(EC$72,INDIRECT($C$5&amp;"生成成长"),5))*(VLOOKUP($B$5,标准坦克设计!$B$24:$U$30,MATCH("对"&amp;LEFT($C$5,2)&amp;"输出",标准坦克设计!$B$23:$U$23,0)))*(VLOOKUP($B76,INDIRECT($B$5&amp;"生成成长"),3))*(VLOOKUP($B$5,标准坦克设计!$B$14:$K$20,9)/30))</f>
        <v>33.119830866635482</v>
      </c>
      <c r="ED76" s="172">
        <f ca="1">(VLOOKUP(ED$72,INDIRECT($C$5&amp;"生成成长"),2))/((VLOOKUP($B76,INDIRECT($B$5&amp;"生成成长"),4))/(VLOOKUP(ED$72,INDIRECT($C$5&amp;"生成成长"),5))*(VLOOKUP($B$5,标准坦克设计!$B$24:$U$30,MATCH("对"&amp;LEFT($C$5,2)&amp;"输出",标准坦克设计!$B$23:$U$23,0)))*(VLOOKUP($B76,INDIRECT($B$5&amp;"生成成长"),3))*(VLOOKUP($B$5,标准坦克设计!$B$14:$K$20,9)/30))</f>
        <v>36.049416175953517</v>
      </c>
      <c r="EE76" s="172">
        <f ca="1">(VLOOKUP(EE$72,INDIRECT($C$5&amp;"生成成长"),2))/((VLOOKUP($B76,INDIRECT($B$5&amp;"生成成长"),4))/(VLOOKUP(EE$72,INDIRECT($C$5&amp;"生成成长"),5))*(VLOOKUP($B$5,标准坦克设计!$B$24:$U$30,MATCH("对"&amp;LEFT($C$5,2)&amp;"输出",标准坦克设计!$B$23:$U$23,0)))*(VLOOKUP($B76,INDIRECT($B$5&amp;"生成成长"),3))*(VLOOKUP($B$5,标准坦克设计!$B$14:$K$20,9)/30))</f>
        <v>39.103136456005366</v>
      </c>
      <c r="EF76" s="172">
        <f ca="1">(VLOOKUP(EF$72,INDIRECT($C$5&amp;"生成成长"),2))/((VLOOKUP($B76,INDIRECT($B$5&amp;"生成成长"),4))/(VLOOKUP(EF$72,INDIRECT($C$5&amp;"生成成长"),5))*(VLOOKUP($B$5,标准坦克设计!$B$24:$U$30,MATCH("对"&amp;LEFT($C$5,2)&amp;"输出",标准坦克设计!$B$23:$U$23,0)))*(VLOOKUP($B76,INDIRECT($B$5&amp;"生成成长"),3))*(VLOOKUP($B$5,标准坦克设计!$B$14:$K$20,9)/30))</f>
        <v>42.280991706791035</v>
      </c>
      <c r="EG76" s="172">
        <f ca="1">(VLOOKUP(EG$72,INDIRECT($C$5&amp;"生成成长"),2))/((VLOOKUP($B76,INDIRECT($B$5&amp;"生成成长"),4))/(VLOOKUP(EG$72,INDIRECT($C$5&amp;"生成成长"),5))*(VLOOKUP($B$5,标准坦克设计!$B$24:$U$30,MATCH("对"&amp;LEFT($C$5,2)&amp;"输出",标准坦克设计!$B$23:$U$23,0)))*(VLOOKUP($B76,INDIRECT($B$5&amp;"生成成长"),3))*(VLOOKUP($B$5,标准坦克设计!$B$14:$K$20,9)/30))</f>
        <v>45.582981928310502</v>
      </c>
      <c r="EH76" s="172">
        <f ca="1">(VLOOKUP(EH$72,INDIRECT($C$5&amp;"生成成长"),2))/((VLOOKUP($B76,INDIRECT($B$5&amp;"生成成长"),4))/(VLOOKUP(EH$72,INDIRECT($C$5&amp;"生成成长"),5))*(VLOOKUP($B$5,标准坦克设计!$B$24:$U$30,MATCH("对"&amp;LEFT($C$5,2)&amp;"输出",标准坦克设计!$B$23:$U$23,0)))*(VLOOKUP($B76,INDIRECT($B$5&amp;"生成成长"),3))*(VLOOKUP($B$5,标准坦克设计!$B$14:$K$20,9)/30))</f>
        <v>49.009107120563804</v>
      </c>
      <c r="EI76" s="172">
        <f ca="1">(VLOOKUP(EI$72,INDIRECT($C$5&amp;"生成成长"),2))/((VLOOKUP($B76,INDIRECT($B$5&amp;"生成成长"),4))/(VLOOKUP(EI$72,INDIRECT($C$5&amp;"生成成长"),5))*(VLOOKUP($B$5,标准坦克设计!$B$24:$U$30,MATCH("对"&amp;LEFT($C$5,2)&amp;"输出",标准坦克设计!$B$23:$U$23,0)))*(VLOOKUP($B76,INDIRECT($B$5&amp;"生成成长"),3))*(VLOOKUP($B$5,标准坦克设计!$B$14:$K$20,9)/30))</f>
        <v>52.559367283550905</v>
      </c>
      <c r="EJ76" s="172">
        <f ca="1">(VLOOKUP(EJ$72,INDIRECT($C$5&amp;"生成成长"),2))/((VLOOKUP($B76,INDIRECT($B$5&amp;"生成成长"),4))/(VLOOKUP(EJ$72,INDIRECT($C$5&amp;"生成成长"),5))*(VLOOKUP($B$5,标准坦克设计!$B$24:$U$30,MATCH("对"&amp;LEFT($C$5,2)&amp;"输出",标准坦克设计!$B$23:$U$23,0)))*(VLOOKUP($B76,INDIRECT($B$5&amp;"生成成长"),3))*(VLOOKUP($B$5,标准坦克设计!$B$14:$K$20,9)/30))</f>
        <v>56.233762417271812</v>
      </c>
      <c r="EK76" s="172">
        <f ca="1">(VLOOKUP(EK$72,INDIRECT($C$5&amp;"生成成长"),2))/((VLOOKUP($B76,INDIRECT($B$5&amp;"生成成长"),4))/(VLOOKUP(EK$72,INDIRECT($C$5&amp;"生成成长"),5))*(VLOOKUP($B$5,标准坦克设计!$B$24:$U$30,MATCH("对"&amp;LEFT($C$5,2)&amp;"输出",标准坦克设计!$B$23:$U$23,0)))*(VLOOKUP($B76,INDIRECT($B$5&amp;"生成成长"),3))*(VLOOKUP($B$5,标准坦克设计!$B$14:$K$20,9)/30))</f>
        <v>60.806894739105566</v>
      </c>
      <c r="EL76" s="172">
        <f ca="1">(VLOOKUP(EL$72,INDIRECT($C$5&amp;"生成成长"),2))/((VLOOKUP($B76,INDIRECT($B$5&amp;"生成成长"),4))/(VLOOKUP(EL$72,INDIRECT($C$5&amp;"生成成长"),5))*(VLOOKUP($B$5,标准坦克设计!$B$24:$U$30,MATCH("对"&amp;LEFT($C$5,2)&amp;"输出",标准坦克设计!$B$23:$U$23,0)))*(VLOOKUP($B76,INDIRECT($B$5&amp;"生成成长"),3))*(VLOOKUP($B$5,标准坦克设计!$B$14:$K$20,9)/30))</f>
        <v>65.558781418796002</v>
      </c>
      <c r="EM76" s="172">
        <f ca="1">(VLOOKUP(EM$72,INDIRECT($C$5&amp;"生成成长"),2))/((VLOOKUP($B76,INDIRECT($B$5&amp;"生成成长"),4))/(VLOOKUP(EM$72,INDIRECT($C$5&amp;"生成成长"),5))*(VLOOKUP($B$5,标准坦克设计!$B$24:$U$30,MATCH("对"&amp;LEFT($C$5,2)&amp;"输出",标准坦克设计!$B$23:$U$23,0)))*(VLOOKUP($B76,INDIRECT($B$5&amp;"生成成长"),3))*(VLOOKUP($B$5,标准坦克设计!$B$14:$K$20,9)/30))</f>
        <v>70.489422456343135</v>
      </c>
      <c r="EN76" s="172">
        <f ca="1">(VLOOKUP(EN$72,INDIRECT($C$5&amp;"生成成长"),2))/((VLOOKUP($B76,INDIRECT($B$5&amp;"生成成长"),4))/(VLOOKUP(EN$72,INDIRECT($C$5&amp;"生成成长"),5))*(VLOOKUP($B$5,标准坦克设计!$B$24:$U$30,MATCH("对"&amp;LEFT($C$5,2)&amp;"输出",标准坦克设计!$B$23:$U$23,0)))*(VLOOKUP($B76,INDIRECT($B$5&amp;"生成成长"),3))*(VLOOKUP($B$5,标准坦克设计!$B$14:$K$20,9)/30))</f>
        <v>75.598817851746958</v>
      </c>
      <c r="EO76" s="172">
        <f ca="1">(VLOOKUP(EO$72,INDIRECT($C$5&amp;"生成成长"),2))/((VLOOKUP($B76,INDIRECT($B$5&amp;"生成成长"),4))/(VLOOKUP(EO$72,INDIRECT($C$5&amp;"生成成长"),5))*(VLOOKUP($B$5,标准坦克设计!$B$24:$U$30,MATCH("对"&amp;LEFT($C$5,2)&amp;"输出",标准坦克设计!$B$23:$U$23,0)))*(VLOOKUP($B76,INDIRECT($B$5&amp;"生成成长"),3))*(VLOOKUP($B$5,标准坦克设计!$B$14:$K$20,9)/30))</f>
        <v>80.886967605007456</v>
      </c>
      <c r="EP76" s="172">
        <f ca="1">(VLOOKUP(EP$72,INDIRECT($C$5&amp;"生成成长"),2))/((VLOOKUP($B76,INDIRECT($B$5&amp;"生成成长"),4))/(VLOOKUP(EP$72,INDIRECT($C$5&amp;"生成成长"),5))*(VLOOKUP($B$5,标准坦克设计!$B$24:$U$30,MATCH("对"&amp;LEFT($C$5,2)&amp;"输出",标准坦克设计!$B$23:$U$23,0)))*(VLOOKUP($B76,INDIRECT($B$5&amp;"生成成长"),3))*(VLOOKUP($B$5,标准坦克设计!$B$14:$K$20,9)/30))</f>
        <v>86.353871716124686</v>
      </c>
      <c r="EQ76" s="172">
        <f ca="1">(VLOOKUP(EQ$72,INDIRECT($C$5&amp;"生成成长"),2))/((VLOOKUP($B76,INDIRECT($B$5&amp;"生成成长"),4))/(VLOOKUP(EQ$72,INDIRECT($C$5&amp;"生成成长"),5))*(VLOOKUP($B$5,标准坦克设计!$B$24:$U$30,MATCH("对"&amp;LEFT($C$5,2)&amp;"输出",标准坦克设计!$B$23:$U$23,0)))*(VLOOKUP($B76,INDIRECT($B$5&amp;"生成成长"),3))*(VLOOKUP($B$5,标准坦克设计!$B$14:$K$20,9)/30))</f>
        <v>38.173986200062764</v>
      </c>
      <c r="ER76" s="172">
        <f ca="1">(VLOOKUP(ER$72,INDIRECT($C$5&amp;"生成成长"),2))/((VLOOKUP($B76,INDIRECT($B$5&amp;"生成成长"),4))/(VLOOKUP(ER$72,INDIRECT($C$5&amp;"生成成长"),5))*(VLOOKUP($B$5,标准坦克设计!$B$24:$U$30,MATCH("对"&amp;LEFT($C$5,2)&amp;"输出",标准坦克设计!$B$23:$U$23,0)))*(VLOOKUP($B76,INDIRECT($B$5&amp;"生成成长"),3))*(VLOOKUP($B$5,标准坦克设计!$B$14:$K$20,9)/30))</f>
        <v>41.635489858975191</v>
      </c>
      <c r="ES76" s="172">
        <f ca="1">(VLOOKUP(ES$72,INDIRECT($C$5&amp;"生成成长"),2))/((VLOOKUP($B76,INDIRECT($B$5&amp;"生成成长"),4))/(VLOOKUP(ES$72,INDIRECT($C$5&amp;"生成成长"),5))*(VLOOKUP($B$5,标准坦克设计!$B$24:$U$30,MATCH("对"&amp;LEFT($C$5,2)&amp;"输出",标准坦克设计!$B$23:$U$23,0)))*(VLOOKUP($B76,INDIRECT($B$5&amp;"生成成长"),3))*(VLOOKUP($B$5,标准坦克设计!$B$14:$K$20,9)/30))</f>
        <v>45.247196832475538</v>
      </c>
      <c r="ET76" s="172">
        <f ca="1">(VLOOKUP(ET$72,INDIRECT($C$5&amp;"生成成长"),2))/((VLOOKUP($B76,INDIRECT($B$5&amp;"生成成长"),4))/(VLOOKUP(ET$72,INDIRECT($C$5&amp;"生成成长"),5))*(VLOOKUP($B$5,标准坦克设计!$B$24:$U$30,MATCH("对"&amp;LEFT($C$5,2)&amp;"输出",标准坦克设计!$B$23:$U$23,0)))*(VLOOKUP($B76,INDIRECT($B$5&amp;"生成成长"),3))*(VLOOKUP($B$5,标准坦克设计!$B$14:$K$20,9)/30))</f>
        <v>49.009107120563804</v>
      </c>
      <c r="EU76" s="172">
        <f ca="1">(VLOOKUP(EU$72,INDIRECT($C$5&amp;"生成成长"),2))/((VLOOKUP($B76,INDIRECT($B$5&amp;"生成成长"),4))/(VLOOKUP(EU$72,INDIRECT($C$5&amp;"生成成长"),5))*(VLOOKUP($B$5,标准坦克设计!$B$24:$U$30,MATCH("对"&amp;LEFT($C$5,2)&amp;"输出",标准坦克设计!$B$23:$U$23,0)))*(VLOOKUP($B76,INDIRECT($B$5&amp;"生成成长"),3))*(VLOOKUP($B$5,标准坦克设计!$B$14:$K$20,9)/30))</f>
        <v>52.921220723239976</v>
      </c>
      <c r="EV76" s="172">
        <f ca="1">(VLOOKUP(EV$72,INDIRECT($C$5&amp;"生成成长"),2))/((VLOOKUP($B76,INDIRECT($B$5&amp;"生成成长"),4))/(VLOOKUP(EV$72,INDIRECT($C$5&amp;"生成成长"),5))*(VLOOKUP($B$5,标准坦克设计!$B$24:$U$30,MATCH("对"&amp;LEFT($C$5,2)&amp;"输出",标准坦克设计!$B$23:$U$23,0)))*(VLOOKUP($B76,INDIRECT($B$5&amp;"生成成长"),3))*(VLOOKUP($B$5,标准坦克设计!$B$14:$K$20,9)/30))</f>
        <v>56.983537640504068</v>
      </c>
      <c r="EW76" s="172">
        <f ca="1">(VLOOKUP(EW$72,INDIRECT($C$5&amp;"生成成长"),2))/((VLOOKUP($B76,INDIRECT($B$5&amp;"生成成长"),4))/(VLOOKUP(EW$72,INDIRECT($C$5&amp;"生成成长"),5))*(VLOOKUP($B$5,标准坦克设计!$B$24:$U$30,MATCH("对"&amp;LEFT($C$5,2)&amp;"输出",标准坦克设计!$B$23:$U$23,0)))*(VLOOKUP($B76,INDIRECT($B$5&amp;"生成成长"),3))*(VLOOKUP($B$5,标准坦克设计!$B$14:$K$20,9)/30))</f>
        <v>61.196057872356072</v>
      </c>
      <c r="EX76" s="172">
        <f ca="1">(VLOOKUP(EX$72,INDIRECT($C$5&amp;"生成成长"),2))/((VLOOKUP($B76,INDIRECT($B$5&amp;"生成成长"),4))/(VLOOKUP(EX$72,INDIRECT($C$5&amp;"生成成长"),5))*(VLOOKUP($B$5,标准坦克设计!$B$24:$U$30,MATCH("对"&amp;LEFT($C$5,2)&amp;"输出",标准坦克设计!$B$23:$U$23,0)))*(VLOOKUP($B76,INDIRECT($B$5&amp;"生成成长"),3))*(VLOOKUP($B$5,标准坦克设计!$B$14:$K$20,9)/30))</f>
        <v>65.558781418796002</v>
      </c>
      <c r="EY76" s="172">
        <f ca="1">(VLOOKUP(EY$72,INDIRECT($C$5&amp;"生成成长"),2))/((VLOOKUP($B76,INDIRECT($B$5&amp;"生成成长"),4))/(VLOOKUP(EY$72,INDIRECT($C$5&amp;"生成成长"),5))*(VLOOKUP($B$5,标准坦克设计!$B$24:$U$30,MATCH("对"&amp;LEFT($C$5,2)&amp;"输出",标准坦克设计!$B$23:$U$23,0)))*(VLOOKUP($B76,INDIRECT($B$5&amp;"生成成长"),3))*(VLOOKUP($B$5,标准坦克设计!$B$14:$K$20,9)/30))</f>
        <v>70.071708279823852</v>
      </c>
      <c r="EZ76" s="172">
        <f ca="1">(VLOOKUP(EZ$72,INDIRECT($C$5&amp;"生成成长"),2))/((VLOOKUP($B76,INDIRECT($B$5&amp;"生成成长"),4))/(VLOOKUP(EZ$72,INDIRECT($C$5&amp;"生成成长"),5))*(VLOOKUP($B$5,标准坦克设计!$B$24:$U$30,MATCH("对"&amp;LEFT($C$5,2)&amp;"输出",标准坦克设计!$B$23:$U$23,0)))*(VLOOKUP($B76,INDIRECT($B$5&amp;"生成成长"),3))*(VLOOKUP($B$5,标准坦克设计!$B$14:$K$20,9)/30))</f>
        <v>74.734838455439586</v>
      </c>
      <c r="FA76" s="172">
        <f ca="1">(VLOOKUP(FA$72,INDIRECT($C$5&amp;"生成成长"),2))/((VLOOKUP($B76,INDIRECT($B$5&amp;"生成成长"),4))/(VLOOKUP(FA$72,INDIRECT($C$5&amp;"生成成长"),5))*(VLOOKUP($B$5,标准坦克设计!$B$24:$U$30,MATCH("对"&amp;LEFT($C$5,2)&amp;"输出",标准坦克设计!$B$23:$U$23,0)))*(VLOOKUP($B76,INDIRECT($B$5&amp;"生成成长"),3))*(VLOOKUP($B$5,标准坦克设计!$B$14:$K$20,9)/30))</f>
        <v>79.548171945643261</v>
      </c>
      <c r="FB76" s="172">
        <f ca="1">(VLOOKUP(FB$72,INDIRECT($C$5&amp;"生成成长"),2))/((VLOOKUP($B76,INDIRECT($B$5&amp;"生成成长"),4))/(VLOOKUP(FB$72,INDIRECT($C$5&amp;"生成成长"),5))*(VLOOKUP($B$5,标准坦克设计!$B$24:$U$30,MATCH("对"&amp;LEFT($C$5,2)&amp;"输出",标准坦克设计!$B$23:$U$23,0)))*(VLOOKUP($B76,INDIRECT($B$5&amp;"生成成长"),3))*(VLOOKUP($B$5,标准坦克设计!$B$14:$K$20,9)/30))</f>
        <v>84.511708750434849</v>
      </c>
      <c r="FC76" s="172">
        <f ca="1">(VLOOKUP(FC$72,INDIRECT($C$5&amp;"生成成长"),2))/((VLOOKUP($B76,INDIRECT($B$5&amp;"生成成长"),4))/(VLOOKUP(FC$72,INDIRECT($C$5&amp;"生成成长"),5))*(VLOOKUP($B$5,标准坦克设计!$B$24:$U$30,MATCH("对"&amp;LEFT($C$5,2)&amp;"输出",标准坦克设计!$B$23:$U$23,0)))*(VLOOKUP($B76,INDIRECT($B$5&amp;"生成成长"),3))*(VLOOKUP($B$5,标准坦克设计!$B$14:$K$20,9)/30))</f>
        <v>89.625448869814363</v>
      </c>
      <c r="FD76" s="172">
        <f ca="1">(VLOOKUP(FD$72,INDIRECT($C$5&amp;"生成成长"),2))/((VLOOKUP($B76,INDIRECT($B$5&amp;"生成成长"),4))/(VLOOKUP(FD$72,INDIRECT($C$5&amp;"生成成长"),5))*(VLOOKUP($B$5,标准坦克设计!$B$24:$U$30,MATCH("对"&amp;LEFT($C$5,2)&amp;"输出",标准坦克设计!$B$23:$U$23,0)))*(VLOOKUP($B76,INDIRECT($B$5&amp;"生成成长"),3))*(VLOOKUP($B$5,标准坦克设计!$B$14:$K$20,9)/30))</f>
        <v>94.889392303781818</v>
      </c>
      <c r="FE76" s="172">
        <f ca="1">(VLOOKUP(FE$72,INDIRECT($C$5&amp;"生成成长"),2))/((VLOOKUP($B76,INDIRECT($B$5&amp;"生成成长"),4))/(VLOOKUP(FE$72,INDIRECT($C$5&amp;"生成成长"),5))*(VLOOKUP($B$5,标准坦克设计!$B$24:$U$30,MATCH("对"&amp;LEFT($C$5,2)&amp;"输出",标准坦克设计!$B$23:$U$23,0)))*(VLOOKUP($B76,INDIRECT($B$5&amp;"生成成长"),3))*(VLOOKUP($B$5,标准坦克设计!$B$14:$K$20,9)/30))</f>
        <v>101.30406691645167</v>
      </c>
      <c r="FF76" s="172">
        <f ca="1">(VLOOKUP(FF$72,INDIRECT($C$5&amp;"生成成长"),2))/((VLOOKUP($B76,INDIRECT($B$5&amp;"生成成长"),4))/(VLOOKUP(FF$72,INDIRECT($C$5&amp;"生成成长"),5))*(VLOOKUP($B$5,标准坦克设计!$B$24:$U$30,MATCH("对"&amp;LEFT($C$5,2)&amp;"输出",标准坦克设计!$B$23:$U$23,0)))*(VLOOKUP($B76,INDIRECT($B$5&amp;"生成成长"),3))*(VLOOKUP($B$5,标准坦克设计!$B$14:$K$20,9)/30))</f>
        <v>107.92852962966168</v>
      </c>
      <c r="FG76" s="172">
        <f ca="1">(VLOOKUP(FG$72,INDIRECT($C$5&amp;"生成成长"),2))/((VLOOKUP($B76,INDIRECT($B$5&amp;"生成成长"),4))/(VLOOKUP(FG$72,INDIRECT($C$5&amp;"生成成长"),5))*(VLOOKUP($B$5,标准坦克设计!$B$24:$U$30,MATCH("对"&amp;LEFT($C$5,2)&amp;"输出",标准坦克设计!$B$23:$U$23,0)))*(VLOOKUP($B76,INDIRECT($B$5&amp;"生成成长"),3))*(VLOOKUP($B$5,标准坦克设计!$B$14:$K$20,9)/30))</f>
        <v>114.76278044341188</v>
      </c>
      <c r="FH76" s="172">
        <f ca="1">(VLOOKUP(FH$72,INDIRECT($C$5&amp;"生成成长"),2))/((VLOOKUP($B76,INDIRECT($B$5&amp;"生成成长"),4))/(VLOOKUP(FH$72,INDIRECT($C$5&amp;"生成成长"),5))*(VLOOKUP($B$5,标准坦克设计!$B$24:$U$30,MATCH("对"&amp;LEFT($C$5,2)&amp;"输出",标准坦克设计!$B$23:$U$23,0)))*(VLOOKUP($B76,INDIRECT($B$5&amp;"生成成长"),3))*(VLOOKUP($B$5,标准坦克设计!$B$14:$K$20,9)/30))</f>
        <v>121.80681935770222</v>
      </c>
      <c r="FI76" s="172">
        <f ca="1">(VLOOKUP(FI$72,INDIRECT($C$5&amp;"生成成长"),2))/((VLOOKUP($B76,INDIRECT($B$5&amp;"生成成长"),4))/(VLOOKUP(FI$72,INDIRECT($C$5&amp;"生成成长"),5))*(VLOOKUP($B$5,标准坦克设计!$B$24:$U$30,MATCH("对"&amp;LEFT($C$5,2)&amp;"输出",标准坦克设计!$B$23:$U$23,0)))*(VLOOKUP($B76,INDIRECT($B$5&amp;"生成成长"),3))*(VLOOKUP($B$5,标准坦克设计!$B$14:$K$20,9)/30))</f>
        <v>129.06064637253269</v>
      </c>
      <c r="FJ76" s="172">
        <f ca="1">(VLOOKUP(FJ$72,INDIRECT($C$5&amp;"生成成长"),2))/((VLOOKUP($B76,INDIRECT($B$5&amp;"生成成长"),4))/(VLOOKUP(FJ$72,INDIRECT($C$5&amp;"生成成长"),5))*(VLOOKUP($B$5,标准坦克设计!$B$24:$U$30,MATCH("对"&amp;LEFT($C$5,2)&amp;"输出",标准坦克设计!$B$23:$U$23,0)))*(VLOOKUP($B76,INDIRECT($B$5&amp;"生成成长"),3))*(VLOOKUP($B$5,标准坦克设计!$B$14:$K$20,9)/30))</f>
        <v>136.52426148790332</v>
      </c>
      <c r="FK76" s="172">
        <f ca="1">(VLOOKUP(FK$72,INDIRECT($C$5&amp;"生成成长"),2))/((VLOOKUP($B76,INDIRECT($B$5&amp;"生成成长"),4))/(VLOOKUP(FK$72,INDIRECT($C$5&amp;"生成成长"),5))*(VLOOKUP($B$5,标准坦克设计!$B$24:$U$30,MATCH("对"&amp;LEFT($C$5,2)&amp;"输出",标准坦克设计!$B$23:$U$23,0)))*(VLOOKUP($B76,INDIRECT($B$5&amp;"生成成长"),3))*(VLOOKUP($B$5,标准坦克设计!$B$14:$K$20,9)/30))</f>
        <v>144.19766470381407</v>
      </c>
    </row>
    <row r="77" spans="1:167" x14ac:dyDescent="0.15">
      <c r="A77" s="170" t="str">
        <f t="shared" si="11"/>
        <v>T1低品质5级</v>
      </c>
      <c r="B77" s="171">
        <v>10105</v>
      </c>
      <c r="C77" s="172">
        <f ca="1">(VLOOKUP(C$72,INDIRECT($C$5&amp;"生成成长"),2))/((VLOOKUP($B77,INDIRECT($B$5&amp;"生成成长"),4))/(VLOOKUP(C$72,INDIRECT($C$5&amp;"生成成长"),5))*(VLOOKUP($B$5,标准坦克设计!$B$24:$U$30,MATCH("对"&amp;LEFT($C$5,2)&amp;"输出",标准坦克设计!$B$23:$U$23,0)))*(VLOOKUP($B77,INDIRECT($B$5&amp;"生成成长"),3))*(VLOOKUP($B$5,标准坦克设计!$B$14:$K$20,9)/30))</f>
        <v>5.6329765318801766</v>
      </c>
      <c r="D77" s="172">
        <f ca="1">(VLOOKUP(D$72,INDIRECT($C$5&amp;"生成成长"),2))/((VLOOKUP($B77,INDIRECT($B$5&amp;"生成成长"),4))/(VLOOKUP(D$72,INDIRECT($C$5&amp;"生成成长"),5))*(VLOOKUP($B$5,标准坦克设计!$B$24:$U$30,MATCH("对"&amp;LEFT($C$5,2)&amp;"输出",标准坦克设计!$B$23:$U$23,0)))*(VLOOKUP($B77,INDIRECT($B$5&amp;"生成成长"),3))*(VLOOKUP($B$5,标准坦克设计!$B$14:$K$20,9)/30))</f>
        <v>6.329212431220566</v>
      </c>
      <c r="E77" s="172">
        <f ca="1">(VLOOKUP(E$72,INDIRECT($C$5&amp;"生成成长"),2))/((VLOOKUP($B77,INDIRECT($B$5&amp;"生成成长"),4))/(VLOOKUP(E$72,INDIRECT($C$5&amp;"生成成长"),5))*(VLOOKUP($B$5,标准坦克设计!$B$24:$U$30,MATCH("对"&amp;LEFT($C$5,2)&amp;"输出",标准坦克设计!$B$23:$U$23,0)))*(VLOOKUP($B77,INDIRECT($B$5&amp;"生成成长"),3))*(VLOOKUP($B$5,标准坦克设计!$B$14:$K$20,9)/30))</f>
        <v>7.0660057615904925</v>
      </c>
      <c r="F77" s="172">
        <f ca="1">(VLOOKUP(F$72,INDIRECT($C$5&amp;"生成成长"),2))/((VLOOKUP($B77,INDIRECT($B$5&amp;"生成成长"),4))/(VLOOKUP(F$72,INDIRECT($C$5&amp;"生成成长"),5))*(VLOOKUP($B$5,标准坦克设计!$B$24:$U$30,MATCH("对"&amp;LEFT($C$5,2)&amp;"输出",标准坦克设计!$B$23:$U$23,0)))*(VLOOKUP($B77,INDIRECT($B$5&amp;"生成成长"),3))*(VLOOKUP($B$5,标准坦克设计!$B$14:$K$20,9)/30))</f>
        <v>7.8433565229899571</v>
      </c>
      <c r="G77" s="172">
        <f ca="1">(VLOOKUP(G$72,INDIRECT($C$5&amp;"生成成长"),2))/((VLOOKUP($B77,INDIRECT($B$5&amp;"生成成长"),4))/(VLOOKUP(G$72,INDIRECT($C$5&amp;"生成成长"),5))*(VLOOKUP($B$5,标准坦克设计!$B$24:$U$30,MATCH("对"&amp;LEFT($C$5,2)&amp;"输出",标准坦克设计!$B$23:$U$23,0)))*(VLOOKUP($B77,INDIRECT($B$5&amp;"生成成长"),3))*(VLOOKUP($B$5,标准坦克设计!$B$14:$K$20,9)/30))</f>
        <v>8.6612647154189606</v>
      </c>
      <c r="H77" s="172">
        <f ca="1">(VLOOKUP(H$72,INDIRECT($C$5&amp;"生成成长"),2))/((VLOOKUP($B77,INDIRECT($B$5&amp;"生成成长"),4))/(VLOOKUP(H$72,INDIRECT($C$5&amp;"生成成长"),5))*(VLOOKUP($B$5,标准坦克设计!$B$24:$U$30,MATCH("对"&amp;LEFT($C$5,2)&amp;"输出",标准坦克设计!$B$23:$U$23,0)))*(VLOOKUP($B77,INDIRECT($B$5&amp;"生成成长"),3))*(VLOOKUP($B$5,标准坦克设计!$B$14:$K$20,9)/30))</f>
        <v>7.5797332212979658</v>
      </c>
      <c r="I77" s="172">
        <f ca="1">(VLOOKUP(I$72,INDIRECT($C$5&amp;"生成成长"),2))/((VLOOKUP($B77,INDIRECT($B$5&amp;"生成成长"),4))/(VLOOKUP(I$72,INDIRECT($C$5&amp;"生成成长"),5))*(VLOOKUP($B$5,标准坦克设计!$B$24:$U$30,MATCH("对"&amp;LEFT($C$5,2)&amp;"输出",标准坦克设计!$B$23:$U$23,0)))*(VLOOKUP($B77,INDIRECT($B$5&amp;"生成成长"),3))*(VLOOKUP($B$5,标准坦克设计!$B$14:$K$20,9)/30))</f>
        <v>8.6612647154189606</v>
      </c>
      <c r="J77" s="172">
        <f ca="1">(VLOOKUP(J$72,INDIRECT($C$5&amp;"生成成长"),2))/((VLOOKUP($B77,INDIRECT($B$5&amp;"生成成长"),4))/(VLOOKUP(J$72,INDIRECT($C$5&amp;"生成成长"),5))*(VLOOKUP($B$5,标准坦克设计!$B$24:$U$30,MATCH("对"&amp;LEFT($C$5,2)&amp;"输出",标准坦克设计!$B$23:$U$23,0)))*(VLOOKUP($B77,INDIRECT($B$5&amp;"生成成长"),3))*(VLOOKUP($B$5,标准坦克设计!$B$14:$K$20,9)/30))</f>
        <v>9.8148983091480169</v>
      </c>
      <c r="K77" s="172">
        <f ca="1">(VLOOKUP(K$72,INDIRECT($C$5&amp;"生成成长"),2))/((VLOOKUP($B77,INDIRECT($B$5&amp;"生成成长"),4))/(VLOOKUP(K$72,INDIRECT($C$5&amp;"生成成长"),5))*(VLOOKUP($B$5,标准坦克设计!$B$24:$U$30,MATCH("对"&amp;LEFT($C$5,2)&amp;"输出",标准坦克设计!$B$23:$U$23,0)))*(VLOOKUP($B77,INDIRECT($B$5&amp;"生成成长"),3))*(VLOOKUP($B$5,标准坦克设计!$B$14:$K$20,9)/30))</f>
        <v>11.040634002485145</v>
      </c>
      <c r="L77" s="172">
        <f ca="1">(VLOOKUP(L$72,INDIRECT($C$5&amp;"生成成长"),2))/((VLOOKUP($B77,INDIRECT($B$5&amp;"生成成长"),4))/(VLOOKUP(L$72,INDIRECT($C$5&amp;"生成成长"),5))*(VLOOKUP($B$5,标准坦克设计!$B$24:$U$30,MATCH("对"&amp;LEFT($C$5,2)&amp;"输出",标准坦克设计!$B$23:$U$23,0)))*(VLOOKUP($B77,INDIRECT($B$5&amp;"生成成长"),3))*(VLOOKUP($B$5,标准坦克设计!$B$14:$K$20,9)/30))</f>
        <v>12.338471795430339</v>
      </c>
      <c r="M77" s="172">
        <f ca="1">(VLOOKUP(M$72,INDIRECT($C$5&amp;"生成成长"),2))/((VLOOKUP($B77,INDIRECT($B$5&amp;"生成成长"),4))/(VLOOKUP(M$72,INDIRECT($C$5&amp;"生成成长"),5))*(VLOOKUP($B$5,标准坦克设计!$B$24:$U$30,MATCH("对"&amp;LEFT($C$5,2)&amp;"输出",标准坦克设计!$B$23:$U$23,0)))*(VLOOKUP($B77,INDIRECT($B$5&amp;"生成成长"),3))*(VLOOKUP($B$5,标准坦克设计!$B$14:$K$20,9)/30))</f>
        <v>13.708411687983597</v>
      </c>
      <c r="N77" s="172">
        <f ca="1">(VLOOKUP(N$72,INDIRECT($C$5&amp;"生成成长"),2))/((VLOOKUP($B77,INDIRECT($B$5&amp;"生成成长"),4))/(VLOOKUP(N$72,INDIRECT($C$5&amp;"生成成长"),5))*(VLOOKUP($B$5,标准坦克设计!$B$24:$U$30,MATCH("对"&amp;LEFT($C$5,2)&amp;"输出",标准坦克设计!$B$23:$U$23,0)))*(VLOOKUP($B77,INDIRECT($B$5&amp;"生成成长"),3))*(VLOOKUP($B$5,标准坦克设计!$B$14:$K$20,9)/30))</f>
        <v>15.150453680144921</v>
      </c>
      <c r="O77" s="172">
        <f ca="1">(VLOOKUP(O$72,INDIRECT($C$5&amp;"生成成长"),2))/((VLOOKUP($B77,INDIRECT($B$5&amp;"生成成长"),4))/(VLOOKUP(O$72,INDIRECT($C$5&amp;"生成成长"),5))*(VLOOKUP($B$5,标准坦克设计!$B$24:$U$30,MATCH("对"&amp;LEFT($C$5,2)&amp;"输出",标准坦克设计!$B$23:$U$23,0)))*(VLOOKUP($B77,INDIRECT($B$5&amp;"生成成长"),3))*(VLOOKUP($B$5,标准坦克设计!$B$14:$K$20,9)/30))</f>
        <v>11.518873710041774</v>
      </c>
      <c r="P77" s="172">
        <f ca="1">(VLOOKUP(P$72,INDIRECT($C$5&amp;"生成成长"),2))/((VLOOKUP($B77,INDIRECT($B$5&amp;"生成成长"),4))/(VLOOKUP(P$72,INDIRECT($C$5&amp;"生成成长"),5))*(VLOOKUP($B$5,标准坦克设计!$B$24:$U$30,MATCH("对"&amp;LEFT($C$5,2)&amp;"输出",标准坦克设计!$B$23:$U$23,0)))*(VLOOKUP($B77,INDIRECT($B$5&amp;"生成成长"),3))*(VLOOKUP($B$5,标准坦克设计!$B$14:$K$20,9)/30))</f>
        <v>13.014428979255959</v>
      </c>
      <c r="Q77" s="172">
        <f ca="1">(VLOOKUP(Q$72,INDIRECT($C$5&amp;"生成成长"),2))/((VLOOKUP($B77,INDIRECT($B$5&amp;"生成成长"),4))/(VLOOKUP(Q$72,INDIRECT($C$5&amp;"生成成长"),5))*(VLOOKUP($B$5,标准坦克设计!$B$24:$U$30,MATCH("对"&amp;LEFT($C$5,2)&amp;"输出",标准坦克设计!$B$23:$U$23,0)))*(VLOOKUP($B77,INDIRECT($B$5&amp;"生成成长"),3))*(VLOOKUP($B$5,标准坦克设计!$B$14:$K$20,9)/30))</f>
        <v>14.601238468286605</v>
      </c>
      <c r="R77" s="172">
        <f ca="1">(VLOOKUP(R$72,INDIRECT($C$5&amp;"生成成长"),2))/((VLOOKUP($B77,INDIRECT($B$5&amp;"生成成长"),4))/(VLOOKUP(R$72,INDIRECT($C$5&amp;"生成成长"),5))*(VLOOKUP($B$5,标准坦克设计!$B$24:$U$30,MATCH("对"&amp;LEFT($C$5,2)&amp;"输出",标准坦克设计!$B$23:$U$23,0)))*(VLOOKUP($B77,INDIRECT($B$5&amp;"生成成长"),3))*(VLOOKUP($B$5,标准坦克设计!$B$14:$K$20,9)/30))</f>
        <v>16.279302177133712</v>
      </c>
      <c r="S77" s="172">
        <f ca="1">(VLOOKUP(S$72,INDIRECT($C$5&amp;"生成成长"),2))/((VLOOKUP($B77,INDIRECT($B$5&amp;"生成成长"),4))/(VLOOKUP(S$72,INDIRECT($C$5&amp;"生成成长"),5))*(VLOOKUP($B$5,标准坦克设计!$B$24:$U$30,MATCH("对"&amp;LEFT($C$5,2)&amp;"输出",标准坦克设计!$B$23:$U$23,0)))*(VLOOKUP($B77,INDIRECT($B$5&amp;"生成成长"),3))*(VLOOKUP($B$5,标准坦克设计!$B$14:$K$20,9)/30))</f>
        <v>18.048620105797273</v>
      </c>
      <c r="T77" s="172">
        <f ca="1">(VLOOKUP(T$72,INDIRECT($C$5&amp;"生成成长"),2))/((VLOOKUP($B77,INDIRECT($B$5&amp;"生成成长"),4))/(VLOOKUP(T$72,INDIRECT($C$5&amp;"生成成长"),5))*(VLOOKUP($B$5,标准坦克设计!$B$24:$U$30,MATCH("对"&amp;LEFT($C$5,2)&amp;"输出",标准坦克设计!$B$23:$U$23,0)))*(VLOOKUP($B77,INDIRECT($B$5&amp;"生成成长"),3))*(VLOOKUP($B$5,标准坦克设计!$B$14:$K$20,9)/30))</f>
        <v>19.909192254277297</v>
      </c>
      <c r="U77" s="172">
        <f ca="1">(VLOOKUP(U$72,INDIRECT($C$5&amp;"生成成长"),2))/((VLOOKUP($B77,INDIRECT($B$5&amp;"生成成长"),4))/(VLOOKUP(U$72,INDIRECT($C$5&amp;"生成成长"),5))*(VLOOKUP($B$5,标准坦克设计!$B$24:$U$30,MATCH("对"&amp;LEFT($C$5,2)&amp;"输出",标准坦克设计!$B$23:$U$23,0)))*(VLOOKUP($B77,INDIRECT($B$5&amp;"生成成长"),3))*(VLOOKUP($B$5,标准坦克设计!$B$14:$K$20,9)/30))</f>
        <v>21.861018622573777</v>
      </c>
      <c r="V77" s="172">
        <f ca="1">(VLOOKUP(V$72,INDIRECT($C$5&amp;"生成成长"),2))/((VLOOKUP($B77,INDIRECT($B$5&amp;"生成成长"),4))/(VLOOKUP(V$72,INDIRECT($C$5&amp;"生成成长"),5))*(VLOOKUP($B$5,标准坦克设计!$B$24:$U$30,MATCH("对"&amp;LEFT($C$5,2)&amp;"输出",标准坦克设计!$B$23:$U$23,0)))*(VLOOKUP($B77,INDIRECT($B$5&amp;"生成成长"),3))*(VLOOKUP($B$5,标准坦克设计!$B$14:$K$20,9)/30))</f>
        <v>23.904099210686717</v>
      </c>
      <c r="W77" s="172">
        <f ca="1">(VLOOKUP(W$72,INDIRECT($C$5&amp;"生成成长"),2))/((VLOOKUP($B77,INDIRECT($B$5&amp;"生成成长"),4))/(VLOOKUP(W$72,INDIRECT($C$5&amp;"生成成长"),5))*(VLOOKUP($B$5,标准坦克设计!$B$24:$U$30,MATCH("对"&amp;LEFT($C$5,2)&amp;"输出",标准坦克设计!$B$23:$U$23,0)))*(VLOOKUP($B77,INDIRECT($B$5&amp;"生成成长"),3))*(VLOOKUP($B$5,标准坦克设计!$B$14:$K$20,9)/30))</f>
        <v>26.038434018616112</v>
      </c>
      <c r="X77" s="172">
        <f ca="1">(VLOOKUP(X$72,INDIRECT($C$5&amp;"生成成长"),2))/((VLOOKUP($B77,INDIRECT($B$5&amp;"生成成长"),4))/(VLOOKUP(X$72,INDIRECT($C$5&amp;"生成成长"),5))*(VLOOKUP($B$5,标准坦克设计!$B$24:$U$30,MATCH("对"&amp;LEFT($C$5,2)&amp;"输出",标准坦克设计!$B$23:$U$23,0)))*(VLOOKUP($B77,INDIRECT($B$5&amp;"生成成长"),3))*(VLOOKUP($B$5,标准坦克设计!$B$14:$K$20,9)/30))</f>
        <v>18.864275107613523</v>
      </c>
      <c r="Y77" s="172">
        <f ca="1">(VLOOKUP(Y$72,INDIRECT($C$5&amp;"生成成长"),2))/((VLOOKUP($B77,INDIRECT($B$5&amp;"生成成长"),4))/(VLOOKUP(Y$72,INDIRECT($C$5&amp;"生成成长"),5))*(VLOOKUP($B$5,标准坦克设计!$B$24:$U$30,MATCH("对"&amp;LEFT($C$5,2)&amp;"输出",标准坦克设计!$B$23:$U$23,0)))*(VLOOKUP($B77,INDIRECT($B$5&amp;"生成成长"),3))*(VLOOKUP($B$5,标准坦克设计!$B$14:$K$20,9)/30))</f>
        <v>20.982274283600471</v>
      </c>
      <c r="Z77" s="172">
        <f ca="1">(VLOOKUP(Z$72,INDIRECT($C$5&amp;"生成成长"),2))/((VLOOKUP($B77,INDIRECT($B$5&amp;"生成成长"),4))/(VLOOKUP(Z$72,INDIRECT($C$5&amp;"生成成长"),5))*(VLOOKUP($B$5,标准坦克设计!$B$24:$U$30,MATCH("对"&amp;LEFT($C$5,2)&amp;"输出",标准坦克设计!$B$23:$U$23,0)))*(VLOOKUP($B77,INDIRECT($B$5&amp;"生成成长"),3))*(VLOOKUP($B$5,标准坦克设计!$B$14:$K$20,9)/30))</f>
        <v>23.212932990225017</v>
      </c>
      <c r="AA77" s="172">
        <f ca="1">(VLOOKUP(AA$72,INDIRECT($C$5&amp;"生成成长"),2))/((VLOOKUP($B77,INDIRECT($B$5&amp;"生成成长"),4))/(VLOOKUP(AA$72,INDIRECT($C$5&amp;"生成成长"),5))*(VLOOKUP($B$5,标准坦克设计!$B$24:$U$30,MATCH("对"&amp;LEFT($C$5,2)&amp;"输出",标准坦克设计!$B$23:$U$23,0)))*(VLOOKUP($B77,INDIRECT($B$5&amp;"生成成长"),3))*(VLOOKUP($B$5,标准坦克设计!$B$14:$K$20,9)/30))</f>
        <v>25.556251227487174</v>
      </c>
      <c r="AB77" s="172">
        <f ca="1">(VLOOKUP(AB$72,INDIRECT($C$5&amp;"生成成长"),2))/((VLOOKUP($B77,INDIRECT($B$5&amp;"生成成长"),4))/(VLOOKUP(AB$72,INDIRECT($C$5&amp;"生成成长"),5))*(VLOOKUP($B$5,标准坦克设计!$B$24:$U$30,MATCH("对"&amp;LEFT($C$5,2)&amp;"输出",标准坦克设计!$B$23:$U$23,0)))*(VLOOKUP($B77,INDIRECT($B$5&amp;"生成成长"),3))*(VLOOKUP($B$5,标准坦克设计!$B$14:$K$20,9)/30))</f>
        <v>28.012228995386927</v>
      </c>
      <c r="AC77" s="172">
        <f ca="1">(VLOOKUP(AC$72,INDIRECT($C$5&amp;"生成成长"),2))/((VLOOKUP($B77,INDIRECT($B$5&amp;"生成成长"),4))/(VLOOKUP(AC$72,INDIRECT($C$5&amp;"生成成长"),5))*(VLOOKUP($B$5,标准坦克设计!$B$24:$U$30,MATCH("对"&amp;LEFT($C$5,2)&amp;"输出",标准坦克设计!$B$23:$U$23,0)))*(VLOOKUP($B77,INDIRECT($B$5&amp;"生成成长"),3))*(VLOOKUP($B$5,标准坦克设计!$B$14:$K$20,9)/30))</f>
        <v>30.580866293924291</v>
      </c>
      <c r="AD77" s="172">
        <f ca="1">(VLOOKUP(AD$72,INDIRECT($C$5&amp;"生成成长"),2))/((VLOOKUP($B77,INDIRECT($B$5&amp;"生成成长"),4))/(VLOOKUP(AD$72,INDIRECT($C$5&amp;"生成成长"),5))*(VLOOKUP($B$5,标准坦克设计!$B$24:$U$30,MATCH("对"&amp;LEFT($C$5,2)&amp;"输出",标准坦克设计!$B$23:$U$23,0)))*(VLOOKUP($B77,INDIRECT($B$5&amp;"生成成长"),3))*(VLOOKUP($B$5,标准坦克设计!$B$14:$K$20,9)/30))</f>
        <v>33.262163123099256</v>
      </c>
      <c r="AE77" s="172">
        <f ca="1">(VLOOKUP(AE$72,INDIRECT($C$5&amp;"生成成长"),2))/((VLOOKUP($B77,INDIRECT($B$5&amp;"生成成长"),4))/(VLOOKUP(AE$72,INDIRECT($C$5&amp;"生成成长"),5))*(VLOOKUP($B$5,标准坦克设计!$B$24:$U$30,MATCH("对"&amp;LEFT($C$5,2)&amp;"输出",标准坦克设计!$B$23:$U$23,0)))*(VLOOKUP($B77,INDIRECT($B$5&amp;"生成成长"),3))*(VLOOKUP($B$5,标准坦克设计!$B$14:$K$20,9)/30))</f>
        <v>36.056119482911825</v>
      </c>
      <c r="AF77" s="172">
        <f ca="1">(VLOOKUP(AF$72,INDIRECT($C$5&amp;"生成成长"),2))/((VLOOKUP($B77,INDIRECT($B$5&amp;"生成成长"),4))/(VLOOKUP(AF$72,INDIRECT($C$5&amp;"生成成长"),5))*(VLOOKUP($B$5,标准坦克设计!$B$24:$U$30,MATCH("对"&amp;LEFT($C$5,2)&amp;"输出",标准坦克设计!$B$23:$U$23,0)))*(VLOOKUP($B77,INDIRECT($B$5&amp;"生成成长"),3))*(VLOOKUP($B$5,标准坦克设计!$B$14:$K$20,9)/30))</f>
        <v>38.962735373361994</v>
      </c>
      <c r="AG77" s="172">
        <f ca="1">(VLOOKUP(AG$72,INDIRECT($C$5&amp;"生成成长"),2))/((VLOOKUP($B77,INDIRECT($B$5&amp;"生成成长"),4))/(VLOOKUP(AG$72,INDIRECT($C$5&amp;"生成成长"),5))*(VLOOKUP($B$5,标准坦克设计!$B$24:$U$30,MATCH("对"&amp;LEFT($C$5,2)&amp;"输出",标准坦克设计!$B$23:$U$23,0)))*(VLOOKUP($B77,INDIRECT($B$5&amp;"生成成长"),3))*(VLOOKUP($B$5,标准坦克设计!$B$14:$K$20,9)/30))</f>
        <v>41.982010794449764</v>
      </c>
      <c r="AH77" s="172">
        <f ca="1">(VLOOKUP(AH$72,INDIRECT($C$5&amp;"生成成长"),2))/((VLOOKUP($B77,INDIRECT($B$5&amp;"生成成长"),4))/(VLOOKUP(AH$72,INDIRECT($C$5&amp;"生成成长"),5))*(VLOOKUP($B$5,标准坦克设计!$B$24:$U$30,MATCH("对"&amp;LEFT($C$5,2)&amp;"输出",标准坦克设计!$B$23:$U$23,0)))*(VLOOKUP($B77,INDIRECT($B$5&amp;"生成成长"),3))*(VLOOKUP($B$5,标准坦克设计!$B$14:$K$20,9)/30))</f>
        <v>45.113945746175141</v>
      </c>
      <c r="AI77" s="172">
        <f ca="1">(VLOOKUP(AI$72,INDIRECT($C$5&amp;"生成成长"),2))/((VLOOKUP($B77,INDIRECT($B$5&amp;"生成成长"),4))/(VLOOKUP(AI$72,INDIRECT($C$5&amp;"生成成长"),5))*(VLOOKUP($B$5,标准坦克设计!$B$24:$U$30,MATCH("对"&amp;LEFT($C$5,2)&amp;"输出",标准坦克设计!$B$23:$U$23,0)))*(VLOOKUP($B77,INDIRECT($B$5&amp;"生成成长"),3))*(VLOOKUP($B$5,标准坦克设计!$B$14:$K$20,9)/30))</f>
        <v>31.907432267182067</v>
      </c>
      <c r="AJ77" s="172">
        <f ca="1">(VLOOKUP(AJ$72,INDIRECT($C$5&amp;"生成成长"),2))/((VLOOKUP($B77,INDIRECT($B$5&amp;"生成成长"),4))/(VLOOKUP(AJ$72,INDIRECT($C$5&amp;"生成成长"),5))*(VLOOKUP($B$5,标准坦克设计!$B$24:$U$30,MATCH("对"&amp;LEFT($C$5,2)&amp;"输出",标准坦克设计!$B$23:$U$23,0)))*(VLOOKUP($B77,INDIRECT($B$5&amp;"生成成长"),3))*(VLOOKUP($B$5,标准坦克设计!$B$14:$K$20,9)/30))</f>
        <v>34.925017795310282</v>
      </c>
      <c r="AK77" s="172">
        <f ca="1">(VLOOKUP(AK$72,INDIRECT($C$5&amp;"生成成长"),2))/((VLOOKUP($B77,INDIRECT($B$5&amp;"生成成长"),4))/(VLOOKUP(AK$72,INDIRECT($C$5&amp;"生成成长"),5))*(VLOOKUP($B$5,标准坦克设计!$B$24:$U$30,MATCH("对"&amp;LEFT($C$5,2)&amp;"输出",标准坦克设计!$B$23:$U$23,0)))*(VLOOKUP($B77,INDIRECT($B$5&amp;"生成成长"),3))*(VLOOKUP($B$5,标准坦克设计!$B$14:$K$20,9)/30))</f>
        <v>38.078921355509991</v>
      </c>
      <c r="AL77" s="172">
        <f ca="1">(VLOOKUP(AL$72,INDIRECT($C$5&amp;"生成成长"),2))/((VLOOKUP($B77,INDIRECT($B$5&amp;"生成成长"),4))/(VLOOKUP(AL$72,INDIRECT($C$5&amp;"生成成长"),5))*(VLOOKUP($B$5,标准坦克设计!$B$24:$U$30,MATCH("对"&amp;LEFT($C$5,2)&amp;"输出",标准坦克设计!$B$23:$U$23,0)))*(VLOOKUP($B77,INDIRECT($B$5&amp;"生成成长"),3))*(VLOOKUP($B$5,标准坦克设计!$B$14:$K$20,9)/30))</f>
        <v>41.369142947781206</v>
      </c>
      <c r="AM77" s="172">
        <f ca="1">(VLOOKUP(AM$72,INDIRECT($C$5&amp;"生成成长"),2))/((VLOOKUP($B77,INDIRECT($B$5&amp;"生成成长"),4))/(VLOOKUP(AM$72,INDIRECT($C$5&amp;"生成成长"),5))*(VLOOKUP($B$5,标准坦克设计!$B$24:$U$30,MATCH("对"&amp;LEFT($C$5,2)&amp;"输出",标准坦克设计!$B$23:$U$23,0)))*(VLOOKUP($B77,INDIRECT($B$5&amp;"生成成长"),3))*(VLOOKUP($B$5,标准坦克设计!$B$14:$K$20,9)/30))</f>
        <v>44.795682572123923</v>
      </c>
      <c r="AN77" s="172">
        <f ca="1">(VLOOKUP(AN$72,INDIRECT($C$5&amp;"生成成长"),2))/((VLOOKUP($B77,INDIRECT($B$5&amp;"生成成长"),4))/(VLOOKUP(AN$72,INDIRECT($C$5&amp;"生成成长"),5))*(VLOOKUP($B$5,标准坦克设计!$B$24:$U$30,MATCH("对"&amp;LEFT($C$5,2)&amp;"输出",标准坦克设计!$B$23:$U$23,0)))*(VLOOKUP($B77,INDIRECT($B$5&amp;"生成成长"),3))*(VLOOKUP($B$5,标准坦克设计!$B$14:$K$20,9)/30))</f>
        <v>48.358540228538125</v>
      </c>
      <c r="AO77" s="172">
        <f ca="1">(VLOOKUP(AO$72,INDIRECT($C$5&amp;"生成成长"),2))/((VLOOKUP($B77,INDIRECT($B$5&amp;"生成成长"),4))/(VLOOKUP(AO$72,INDIRECT($C$5&amp;"生成成长"),5))*(VLOOKUP($B$5,标准坦克设计!$B$24:$U$30,MATCH("对"&amp;LEFT($C$5,2)&amp;"输出",标准坦克设计!$B$23:$U$23,0)))*(VLOOKUP($B77,INDIRECT($B$5&amp;"生成成长"),3))*(VLOOKUP($B$5,标准坦克设计!$B$14:$K$20,9)/30))</f>
        <v>52.057715917023835</v>
      </c>
      <c r="AP77" s="172">
        <f ca="1">(VLOOKUP(AP$72,INDIRECT($C$5&amp;"生成成长"),2))/((VLOOKUP($B77,INDIRECT($B$5&amp;"生成成长"),4))/(VLOOKUP(AP$72,INDIRECT($C$5&amp;"生成成长"),5))*(VLOOKUP($B$5,标准坦克设计!$B$24:$U$30,MATCH("对"&amp;LEFT($C$5,2)&amp;"输出",标准坦克设计!$B$23:$U$23,0)))*(VLOOKUP($B77,INDIRECT($B$5&amp;"生成成长"),3))*(VLOOKUP($B$5,标准坦克设计!$B$14:$K$20,9)/30))</f>
        <v>55.893209637581045</v>
      </c>
      <c r="AQ77" s="172">
        <f ca="1">(VLOOKUP(AQ$72,INDIRECT($C$5&amp;"生成成长"),2))/((VLOOKUP($B77,INDIRECT($B$5&amp;"生成成长"),4))/(VLOOKUP(AQ$72,INDIRECT($C$5&amp;"生成成长"),5))*(VLOOKUP($B$5,标准坦克设计!$B$24:$U$30,MATCH("对"&amp;LEFT($C$5,2)&amp;"输出",标准坦克设计!$B$23:$U$23,0)))*(VLOOKUP($B77,INDIRECT($B$5&amp;"生成成长"),3))*(VLOOKUP($B$5,标准坦克设计!$B$14:$K$20,9)/30))</f>
        <v>59.865021390209755</v>
      </c>
      <c r="AR77" s="172">
        <f ca="1">(VLOOKUP(AR$72,INDIRECT($C$5&amp;"生成成长"),2))/((VLOOKUP($B77,INDIRECT($B$5&amp;"生成成长"),4))/(VLOOKUP(AR$72,INDIRECT($C$5&amp;"生成成长"),5))*(VLOOKUP($B$5,标准坦克设计!$B$24:$U$30,MATCH("对"&amp;LEFT($C$5,2)&amp;"输出",标准坦克设计!$B$23:$U$23,0)))*(VLOOKUP($B77,INDIRECT($B$5&amp;"生成成长"),3))*(VLOOKUP($B$5,标准坦克设计!$B$14:$K$20,9)/30))</f>
        <v>63.973151174909972</v>
      </c>
      <c r="AS77" s="172">
        <f ca="1">(VLOOKUP(AS$72,INDIRECT($C$5&amp;"生成成长"),2))/((VLOOKUP($B77,INDIRECT($B$5&amp;"生成成长"),4))/(VLOOKUP(AS$72,INDIRECT($C$5&amp;"生成成长"),5))*(VLOOKUP($B$5,标准坦克设计!$B$24:$U$30,MATCH("对"&amp;LEFT($C$5,2)&amp;"输出",标准坦克设计!$B$23:$U$23,0)))*(VLOOKUP($B77,INDIRECT($B$5&amp;"生成成长"),3))*(VLOOKUP($B$5,标准坦克设计!$B$14:$K$20,9)/30))</f>
        <v>68.217598991681683</v>
      </c>
      <c r="AT77" s="172">
        <f ca="1">(VLOOKUP(AT$72,INDIRECT($C$5&amp;"生成成长"),2))/((VLOOKUP($B77,INDIRECT($B$5&amp;"生成成长"),4))/(VLOOKUP(AT$72,INDIRECT($C$5&amp;"生成成长"),5))*(VLOOKUP($B$5,标准坦克设计!$B$24:$U$30,MATCH("对"&amp;LEFT($C$5,2)&amp;"输出",标准坦克设计!$B$23:$U$23,0)))*(VLOOKUP($B77,INDIRECT($B$5&amp;"生成成长"),3))*(VLOOKUP($B$5,标准坦克设计!$B$14:$K$20,9)/30))</f>
        <v>72.598364840524894</v>
      </c>
      <c r="AU77" s="172">
        <f ca="1">(VLOOKUP(AU$72,INDIRECT($C$5&amp;"生成成长"),2))/((VLOOKUP($B77,INDIRECT($B$5&amp;"生成成长"),4))/(VLOOKUP(AU$72,INDIRECT($C$5&amp;"生成成长"),5))*(VLOOKUP($B$5,标准坦克设计!$B$24:$U$30,MATCH("对"&amp;LEFT($C$5,2)&amp;"输出",标准坦克设计!$B$23:$U$23,0)))*(VLOOKUP($B77,INDIRECT($B$5&amp;"生成成长"),3))*(VLOOKUP($B$5,标准坦克设计!$B$14:$K$20,9)/30))</f>
        <v>77.11544872143962</v>
      </c>
      <c r="AV77" s="172">
        <f ca="1">(VLOOKUP(AV$72,INDIRECT($C$5&amp;"生成成长"),2))/((VLOOKUP($B77,INDIRECT($B$5&amp;"生成成长"),4))/(VLOOKUP(AV$72,INDIRECT($C$5&amp;"生成成长"),5))*(VLOOKUP($B$5,标准坦克设计!$B$24:$U$30,MATCH("对"&amp;LEFT($C$5,2)&amp;"输出",标准坦克设计!$B$23:$U$23,0)))*(VLOOKUP($B77,INDIRECT($B$5&amp;"生成成长"),3))*(VLOOKUP($B$5,标准坦克设计!$B$14:$K$20,9)/30))</f>
        <v>7.8433565229899571</v>
      </c>
      <c r="AW77" s="172">
        <f ca="1">(VLOOKUP(AW$72,INDIRECT($C$5&amp;"生成成长"),2))/((VLOOKUP($B77,INDIRECT($B$5&amp;"生成成长"),4))/(VLOOKUP(AW$72,INDIRECT($C$5&amp;"生成成长"),5))*(VLOOKUP($B$5,标准坦克设计!$B$24:$U$30,MATCH("对"&amp;LEFT($C$5,2)&amp;"输出",标准坦克设计!$B$23:$U$23,0)))*(VLOOKUP($B77,INDIRECT($B$5&amp;"生成成长"),3))*(VLOOKUP($B$5,标准坦克设计!$B$14:$K$20,9)/30))</f>
        <v>8.9429135420129686</v>
      </c>
      <c r="AX77" s="172">
        <f ca="1">(VLOOKUP(AX$72,INDIRECT($C$5&amp;"生成成长"),2))/((VLOOKUP($B77,INDIRECT($B$5&amp;"生成成长"),4))/(VLOOKUP(AX$72,INDIRECT($C$5&amp;"生成成长"),5))*(VLOOKUP($B$5,标准坦克设计!$B$24:$U$30,MATCH("对"&amp;LEFT($C$5,2)&amp;"输出",标准坦克设计!$B$23:$U$23,0)))*(VLOOKUP($B77,INDIRECT($B$5&amp;"生成成长"),3))*(VLOOKUP($B$5,标准坦克设计!$B$14:$K$20,9)/30))</f>
        <v>10.114572660644045</v>
      </c>
      <c r="AY77" s="172">
        <f ca="1">(VLOOKUP(AY$72,INDIRECT($C$5&amp;"生成成长"),2))/((VLOOKUP($B77,INDIRECT($B$5&amp;"生成成长"),4))/(VLOOKUP(AY$72,INDIRECT($C$5&amp;"生成成长"),5))*(VLOOKUP($B$5,标准坦克设计!$B$24:$U$30,MATCH("对"&amp;LEFT($C$5,2)&amp;"输出",标准坦克设计!$B$23:$U$23,0)))*(VLOOKUP($B77,INDIRECT($B$5&amp;"生成成长"),3))*(VLOOKUP($B$5,标准坦克设计!$B$14:$K$20,9)/30))</f>
        <v>11.358333878883187</v>
      </c>
      <c r="AZ77" s="172">
        <f ca="1">(VLOOKUP(AZ$72,INDIRECT($C$5&amp;"生成成长"),2))/((VLOOKUP($B77,INDIRECT($B$5&amp;"生成成长"),4))/(VLOOKUP(AZ$72,INDIRECT($C$5&amp;"生成成长"),5))*(VLOOKUP($B$5,标准坦克设计!$B$24:$U$30,MATCH("对"&amp;LEFT($C$5,2)&amp;"输出",标准坦克设计!$B$23:$U$23,0)))*(VLOOKUP($B77,INDIRECT($B$5&amp;"生成成长"),3))*(VLOOKUP($B$5,标准坦克设计!$B$14:$K$20,9)/30))</f>
        <v>12.674197196730399</v>
      </c>
      <c r="BA77" s="172">
        <f ca="1">(VLOOKUP(BA$72,INDIRECT($C$5&amp;"生成成长"),2))/((VLOOKUP($B77,INDIRECT($B$5&amp;"生成成长"),4))/(VLOOKUP(BA$72,INDIRECT($C$5&amp;"生成成长"),5))*(VLOOKUP($B$5,标准坦克设计!$B$24:$U$30,MATCH("对"&amp;LEFT($C$5,2)&amp;"输出",标准坦克设计!$B$23:$U$23,0)))*(VLOOKUP($B77,INDIRECT($B$5&amp;"生成成长"),3))*(VLOOKUP($B$5,标准坦克设计!$B$14:$K$20,9)/30))</f>
        <v>14.062162614185674</v>
      </c>
      <c r="BB77" s="172">
        <f ca="1">(VLOOKUP(BB$72,INDIRECT($C$5&amp;"生成成长"),2))/((VLOOKUP($B77,INDIRECT($B$5&amp;"生成成长"),4))/(VLOOKUP(BB$72,INDIRECT($C$5&amp;"生成成长"),5))*(VLOOKUP($B$5,标准坦克设计!$B$24:$U$30,MATCH("对"&amp;LEFT($C$5,2)&amp;"输出",标准坦克设计!$B$23:$U$23,0)))*(VLOOKUP($B77,INDIRECT($B$5&amp;"生成成长"),3))*(VLOOKUP($B$5,标准坦克设计!$B$14:$K$20,9)/30))</f>
        <v>15.522230131249016</v>
      </c>
      <c r="BC77" s="172">
        <f ca="1">(VLOOKUP(BC$72,INDIRECT($C$5&amp;"生成成长"),2))/((VLOOKUP($B77,INDIRECT($B$5&amp;"生成成长"),4))/(VLOOKUP(BC$72,INDIRECT($C$5&amp;"生成成长"),5))*(VLOOKUP($B$5,标准坦克设计!$B$24:$U$30,MATCH("对"&amp;LEFT($C$5,2)&amp;"输出",标准坦克设计!$B$23:$U$23,0)))*(VLOOKUP($B77,INDIRECT($B$5&amp;"生成成长"),3))*(VLOOKUP($B$5,标准坦克设计!$B$14:$K$20,9)/30))</f>
        <v>17.054399747920421</v>
      </c>
      <c r="BD77" s="172">
        <f ca="1">(VLOOKUP(BD$72,INDIRECT($C$5&amp;"生成成长"),2))/((VLOOKUP($B77,INDIRECT($B$5&amp;"生成成长"),4))/(VLOOKUP(BD$72,INDIRECT($C$5&amp;"生成成长"),5))*(VLOOKUP($B$5,标准坦克设计!$B$24:$U$30,MATCH("对"&amp;LEFT($C$5,2)&amp;"输出",标准坦克设计!$B$23:$U$23,0)))*(VLOOKUP($B77,INDIRECT($B$5&amp;"生成成长"),3))*(VLOOKUP($B$5,标准坦克设计!$B$14:$K$20,9)/30))</f>
        <v>18.864275107613523</v>
      </c>
      <c r="BE77" s="172">
        <f ca="1">(VLOOKUP(BE$72,INDIRECT($C$5&amp;"生成成长"),2))/((VLOOKUP($B77,INDIRECT($B$5&amp;"生成成长"),4))/(VLOOKUP(BE$72,INDIRECT($C$5&amp;"生成成长"),5))*(VLOOKUP($B$5,标准坦克设计!$B$24:$U$30,MATCH("对"&amp;LEFT($C$5,2)&amp;"输出",标准坦克设计!$B$23:$U$23,0)))*(VLOOKUP($B77,INDIRECT($B$5&amp;"生成成长"),3))*(VLOOKUP($B$5,标准坦克设计!$B$14:$K$20,9)/30))</f>
        <v>20.76540468712308</v>
      </c>
      <c r="BF77" s="172">
        <f ca="1">(VLOOKUP(BF$72,INDIRECT($C$5&amp;"生成成长"),2))/((VLOOKUP($B77,INDIRECT($B$5&amp;"生成成长"),4))/(VLOOKUP(BF$72,INDIRECT($C$5&amp;"生成成长"),5))*(VLOOKUP($B$5,标准坦克设计!$B$24:$U$30,MATCH("对"&amp;LEFT($C$5,2)&amp;"输出",标准坦克设计!$B$23:$U$23,0)))*(VLOOKUP($B77,INDIRECT($B$5&amp;"生成成长"),3))*(VLOOKUP($B$5,标准坦克设计!$B$14:$K$20,9)/30))</f>
        <v>22.757788486449101</v>
      </c>
      <c r="BG77" s="172">
        <f ca="1">(VLOOKUP(BG$72,INDIRECT($C$5&amp;"生成成长"),2))/((VLOOKUP($B77,INDIRECT($B$5&amp;"生成成长"),4))/(VLOOKUP(BG$72,INDIRECT($C$5&amp;"生成成长"),5))*(VLOOKUP($B$5,标准坦克设计!$B$24:$U$30,MATCH("对"&amp;LEFT($C$5,2)&amp;"输出",标准坦克设计!$B$23:$U$23,0)))*(VLOOKUP($B77,INDIRECT($B$5&amp;"生成成长"),3))*(VLOOKUP($B$5,标准坦克设计!$B$14:$K$20,9)/30))</f>
        <v>24.841426505591581</v>
      </c>
      <c r="BH77" s="172">
        <f ca="1">(VLOOKUP(BH$72,INDIRECT($C$5&amp;"生成成长"),2))/((VLOOKUP($B77,INDIRECT($B$5&amp;"生成成长"),4))/(VLOOKUP(BH$72,INDIRECT($C$5&amp;"生成成长"),5))*(VLOOKUP($B$5,标准坦克设计!$B$24:$U$30,MATCH("对"&amp;LEFT($C$5,2)&amp;"输出",标准坦克设计!$B$23:$U$23,0)))*(VLOOKUP($B77,INDIRECT($B$5&amp;"生成成长"),3))*(VLOOKUP($B$5,标准坦克设计!$B$14:$K$20,9)/30))</f>
        <v>12.007252775355786</v>
      </c>
      <c r="BI77" s="172">
        <f ca="1">(VLOOKUP(BI$72,INDIRECT($C$5&amp;"生成成长"),2))/((VLOOKUP($B77,INDIRECT($B$5&amp;"生成成长"),4))/(VLOOKUP(BI$72,INDIRECT($C$5&amp;"生成成长"),5))*(VLOOKUP($B$5,标准坦克设计!$B$24:$U$30,MATCH("对"&amp;LEFT($C$5,2)&amp;"输出",标准坦克设计!$B$23:$U$23,0)))*(VLOOKUP($B77,INDIRECT($B$5&amp;"生成成长"),3))*(VLOOKUP($B$5,标准坦克设计!$B$14:$K$20,9)/30))</f>
        <v>13.533226117842124</v>
      </c>
      <c r="BJ77" s="172">
        <f ca="1">(VLOOKUP(BJ$72,INDIRECT($C$5&amp;"生成成长"),2))/((VLOOKUP($B77,INDIRECT($B$5&amp;"生成成长"),4))/(VLOOKUP(BJ$72,INDIRECT($C$5&amp;"生成成长"),5))*(VLOOKUP($B$5,标准坦克设计!$B$24:$U$30,MATCH("对"&amp;LEFT($C$5,2)&amp;"输出",标准坦克设计!$B$23:$U$23,0)))*(VLOOKUP($B77,INDIRECT($B$5&amp;"生成成长"),3))*(VLOOKUP($B$5,标准坦克设计!$B$14:$K$20,9)/30))</f>
        <v>15.150453680144921</v>
      </c>
      <c r="BK77" s="172">
        <f ca="1">(VLOOKUP(BK$72,INDIRECT($C$5&amp;"生成成长"),2))/((VLOOKUP($B77,INDIRECT($B$5&amp;"生成成长"),4))/(VLOOKUP(BK$72,INDIRECT($C$5&amp;"生成成长"),5))*(VLOOKUP($B$5,标准坦克设计!$B$24:$U$30,MATCH("对"&amp;LEFT($C$5,2)&amp;"输出",标准坦克设计!$B$23:$U$23,0)))*(VLOOKUP($B77,INDIRECT($B$5&amp;"生成成长"),3))*(VLOOKUP($B$5,标准坦克设计!$B$14:$K$20,9)/30))</f>
        <v>16.858935462264181</v>
      </c>
      <c r="BL77" s="172">
        <f ca="1">(VLOOKUP(BL$72,INDIRECT($C$5&amp;"生成成长"),2))/((VLOOKUP($B77,INDIRECT($B$5&amp;"生成成长"),4))/(VLOOKUP(BL$72,INDIRECT($C$5&amp;"生成成长"),5))*(VLOOKUP($B$5,标准坦克设计!$B$24:$U$30,MATCH("对"&amp;LEFT($C$5,2)&amp;"输出",标准坦克设计!$B$23:$U$23,0)))*(VLOOKUP($B77,INDIRECT($B$5&amp;"生成成长"),3))*(VLOOKUP($B$5,标准坦克设计!$B$14:$K$20,9)/30))</f>
        <v>18.658671464199898</v>
      </c>
      <c r="BM77" s="172">
        <f ca="1">(VLOOKUP(BM$72,INDIRECT($C$5&amp;"生成成长"),2))/((VLOOKUP($B77,INDIRECT($B$5&amp;"生成成长"),4))/(VLOOKUP(BM$72,INDIRECT($C$5&amp;"生成成长"),5))*(VLOOKUP($B$5,标准坦克设计!$B$24:$U$30,MATCH("对"&amp;LEFT($C$5,2)&amp;"输出",标准坦克设计!$B$23:$U$23,0)))*(VLOOKUP($B77,INDIRECT($B$5&amp;"生成成长"),3))*(VLOOKUP($B$5,标准坦克设计!$B$14:$K$20,9)/30))</f>
        <v>20.549661685952067</v>
      </c>
      <c r="BN77" s="172">
        <f ca="1">(VLOOKUP(BN$72,INDIRECT($C$5&amp;"生成成长"),2))/((VLOOKUP($B77,INDIRECT($B$5&amp;"生成成长"),4))/(VLOOKUP(BN$72,INDIRECT($C$5&amp;"生成成长"),5))*(VLOOKUP($B$5,标准坦克设计!$B$24:$U$30,MATCH("对"&amp;LEFT($C$5,2)&amp;"输出",标准坦克设计!$B$23:$U$23,0)))*(VLOOKUP($B77,INDIRECT($B$5&amp;"生成成长"),3))*(VLOOKUP($B$5,标准坦克设计!$B$14:$K$20,9)/30))</f>
        <v>22.531906127520706</v>
      </c>
      <c r="BO77" s="172">
        <f ca="1">(VLOOKUP(BO$72,INDIRECT($C$5&amp;"生成成长"),2))/((VLOOKUP($B77,INDIRECT($B$5&amp;"生成成长"),4))/(VLOOKUP(BO$72,INDIRECT($C$5&amp;"生成成长"),5))*(VLOOKUP($B$5,标准坦克设计!$B$24:$U$30,MATCH("对"&amp;LEFT($C$5,2)&amp;"输出",标准坦克设计!$B$23:$U$23,0)))*(VLOOKUP($B77,INDIRECT($B$5&amp;"生成成长"),3))*(VLOOKUP($B$5,标准坦克设计!$B$14:$K$20,9)/30))</f>
        <v>24.605404788905798</v>
      </c>
      <c r="BP77" s="172">
        <f ca="1">(VLOOKUP(BP$72,INDIRECT($C$5&amp;"生成成长"),2))/((VLOOKUP($B77,INDIRECT($B$5&amp;"生成成长"),4))/(VLOOKUP(BP$72,INDIRECT($C$5&amp;"生成成长"),5))*(VLOOKUP($B$5,标准坦克设计!$B$24:$U$30,MATCH("对"&amp;LEFT($C$5,2)&amp;"输出",标准坦克设计!$B$23:$U$23,0)))*(VLOOKUP($B77,INDIRECT($B$5&amp;"生成成长"),3))*(VLOOKUP($B$5,标准坦克设计!$B$14:$K$20,9)/30))</f>
        <v>26.770157670107348</v>
      </c>
      <c r="BQ77" s="172">
        <f ca="1">(VLOOKUP(BQ$72,INDIRECT($C$5&amp;"生成成长"),2))/((VLOOKUP($B77,INDIRECT($B$5&amp;"生成成长"),4))/(VLOOKUP(BQ$72,INDIRECT($C$5&amp;"生成成长"),5))*(VLOOKUP($B$5,标准坦克设计!$B$24:$U$30,MATCH("对"&amp;LEFT($C$5,2)&amp;"输出",标准坦克设计!$B$23:$U$23,0)))*(VLOOKUP($B77,INDIRECT($B$5&amp;"生成成长"),3))*(VLOOKUP($B$5,标准坦克设计!$B$14:$K$20,9)/30))</f>
        <v>29.026164771125359</v>
      </c>
      <c r="BR77" s="172">
        <f ca="1">(VLOOKUP(BR$72,INDIRECT($C$5&amp;"生成成长"),2))/((VLOOKUP($B77,INDIRECT($B$5&amp;"生成成长"),4))/(VLOOKUP(BR$72,INDIRECT($C$5&amp;"生成成长"),5))*(VLOOKUP($B$5,标准坦克设计!$B$24:$U$30,MATCH("对"&amp;LEFT($C$5,2)&amp;"输出",标准坦克设计!$B$23:$U$23,0)))*(VLOOKUP($B77,INDIRECT($B$5&amp;"生成成长"),3))*(VLOOKUP($B$5,标准坦克设计!$B$14:$K$20,9)/30))</f>
        <v>31.639865881917761</v>
      </c>
      <c r="BS77" s="172">
        <f ca="1">(VLOOKUP(BS$72,INDIRECT($C$5&amp;"生成成长"),2))/((VLOOKUP($B77,INDIRECT($B$5&amp;"生成成长"),4))/(VLOOKUP(BS$72,INDIRECT($C$5&amp;"生成成长"),5))*(VLOOKUP($B$5,标准坦克设计!$B$24:$U$30,MATCH("对"&amp;LEFT($C$5,2)&amp;"输出",标准坦克设计!$B$23:$U$23,0)))*(VLOOKUP($B77,INDIRECT($B$5&amp;"生成成长"),3))*(VLOOKUP($B$5,标准坦克设计!$B$14:$K$20,9)/30))</f>
        <v>34.36622652334777</v>
      </c>
      <c r="BT77" s="172">
        <f ca="1">(VLOOKUP(BT$72,INDIRECT($C$5&amp;"生成成长"),2))/((VLOOKUP($B77,INDIRECT($B$5&amp;"生成成长"),4))/(VLOOKUP(BT$72,INDIRECT($C$5&amp;"生成成长"),5))*(VLOOKUP($B$5,标准坦克设计!$B$24:$U$30,MATCH("对"&amp;LEFT($C$5,2)&amp;"输出",标准坦克设计!$B$23:$U$23,0)))*(VLOOKUP($B77,INDIRECT($B$5&amp;"生成成长"),3))*(VLOOKUP($B$5,标准坦克设计!$B$14:$K$20,9)/30))</f>
        <v>37.205246695415376</v>
      </c>
      <c r="BU77" s="172">
        <f ca="1">(VLOOKUP(BU$72,INDIRECT($C$5&amp;"生成成长"),2))/((VLOOKUP($B77,INDIRECT($B$5&amp;"生成成长"),4))/(VLOOKUP(BU$72,INDIRECT($C$5&amp;"生成成长"),5))*(VLOOKUP($B$5,标准坦克设计!$B$24:$U$30,MATCH("对"&amp;LEFT($C$5,2)&amp;"输出",标准坦克设计!$B$23:$U$23,0)))*(VLOOKUP($B77,INDIRECT($B$5&amp;"生成成长"),3))*(VLOOKUP($B$5,标准坦克设计!$B$14:$K$20,9)/30))</f>
        <v>40.156926398120589</v>
      </c>
      <c r="BV77" s="172">
        <f ca="1">(VLOOKUP(BV$72,INDIRECT($C$5&amp;"生成成长"),2))/((VLOOKUP($B77,INDIRECT($B$5&amp;"生成成长"),4))/(VLOOKUP(BV$72,INDIRECT($C$5&amp;"生成成长"),5))*(VLOOKUP($B$5,标准坦克设计!$B$24:$U$30,MATCH("对"&amp;LEFT($C$5,2)&amp;"输出",标准坦克设计!$B$23:$U$23,0)))*(VLOOKUP($B77,INDIRECT($B$5&amp;"生成成长"),3))*(VLOOKUP($B$5,标准坦克设计!$B$14:$K$20,9)/30))</f>
        <v>43.22126563146341</v>
      </c>
      <c r="BW77" s="172">
        <f ca="1">(VLOOKUP(BW$72,INDIRECT($C$5&amp;"生成成长"),2))/((VLOOKUP($B77,INDIRECT($B$5&amp;"生成成长"),4))/(VLOOKUP(BW$72,INDIRECT($C$5&amp;"生成成长"),5))*(VLOOKUP($B$5,标准坦克设计!$B$24:$U$30,MATCH("对"&amp;LEFT($C$5,2)&amp;"输出",标准坦克设计!$B$23:$U$23,0)))*(VLOOKUP($B77,INDIRECT($B$5&amp;"生成成长"),3))*(VLOOKUP($B$5,标准坦克设计!$B$14:$K$20,9)/30))</f>
        <v>19.697955634331787</v>
      </c>
      <c r="BX77" s="172">
        <f ca="1">(VLOOKUP(BX$72,INDIRECT($C$5&amp;"生成成长"),2))/((VLOOKUP($B77,INDIRECT($B$5&amp;"生成成长"),4))/(VLOOKUP(BX$72,INDIRECT($C$5&amp;"生成成长"),5))*(VLOOKUP($B$5,标准坦克设计!$B$24:$U$30,MATCH("对"&amp;LEFT($C$5,2)&amp;"输出",标准坦克设计!$B$23:$U$23,0)))*(VLOOKUP($B77,INDIRECT($B$5&amp;"生成成长"),3))*(VLOOKUP($B$5,标准坦克设计!$B$14:$K$20,9)/30))</f>
        <v>21.861018622573777</v>
      </c>
      <c r="BY77" s="172">
        <f ca="1">(VLOOKUP(BY$72,INDIRECT($C$5&amp;"生成成长"),2))/((VLOOKUP($B77,INDIRECT($B$5&amp;"生成成长"),4))/(VLOOKUP(BY$72,INDIRECT($C$5&amp;"生成成长"),5))*(VLOOKUP($B$5,标准坦克设计!$B$24:$U$30,MATCH("对"&amp;LEFT($C$5,2)&amp;"输出",标准坦克设计!$B$23:$U$23,0)))*(VLOOKUP($B77,INDIRECT($B$5&amp;"生成成长"),3))*(VLOOKUP($B$5,标准坦克设计!$B$14:$K$20,9)/30))</f>
        <v>24.136741141453367</v>
      </c>
      <c r="BZ77" s="172">
        <f ca="1">(VLOOKUP(BZ$72,INDIRECT($C$5&amp;"生成成长"),2))/((VLOOKUP($B77,INDIRECT($B$5&amp;"生成成长"),4))/(VLOOKUP(BZ$72,INDIRECT($C$5&amp;"生成成长"),5))*(VLOOKUP($B$5,标准坦克设计!$B$24:$U$30,MATCH("对"&amp;LEFT($C$5,2)&amp;"输出",标准坦克设计!$B$23:$U$23,0)))*(VLOOKUP($B77,INDIRECT($B$5&amp;"生成成长"),3))*(VLOOKUP($B$5,标准坦克设计!$B$14:$K$20,9)/30))</f>
        <v>26.525123190970564</v>
      </c>
      <c r="CA77" s="172">
        <f ca="1">(VLOOKUP(CA$72,INDIRECT($C$5&amp;"生成成长"),2))/((VLOOKUP($B77,INDIRECT($B$5&amp;"生成成长"),4))/(VLOOKUP(CA$72,INDIRECT($C$5&amp;"生成成长"),5))*(VLOOKUP($B$5,标准坦克设计!$B$24:$U$30,MATCH("对"&amp;LEFT($C$5,2)&amp;"输出",标准坦克设计!$B$23:$U$23,0)))*(VLOOKUP($B77,INDIRECT($B$5&amp;"生成成长"),3))*(VLOOKUP($B$5,标准坦克设计!$B$14:$K$20,9)/30))</f>
        <v>29.026164771125359</v>
      </c>
      <c r="CB77" s="172">
        <f ca="1">(VLOOKUP(CB$72,INDIRECT($C$5&amp;"生成成长"),2))/((VLOOKUP($B77,INDIRECT($B$5&amp;"生成成长"),4))/(VLOOKUP(CB$72,INDIRECT($C$5&amp;"生成成长"),5))*(VLOOKUP($B$5,标准坦克设计!$B$24:$U$30,MATCH("对"&amp;LEFT($C$5,2)&amp;"输出",标准坦克设计!$B$23:$U$23,0)))*(VLOOKUP($B77,INDIRECT($B$5&amp;"生成成长"),3))*(VLOOKUP($B$5,标准坦克设计!$B$14:$K$20,9)/30))</f>
        <v>31.639865881917761</v>
      </c>
      <c r="CC77" s="172">
        <f ca="1">(VLOOKUP(CC$72,INDIRECT($C$5&amp;"生成成长"),2))/((VLOOKUP($B77,INDIRECT($B$5&amp;"生成成长"),4))/(VLOOKUP(CC$72,INDIRECT($C$5&amp;"生成成长"),5))*(VLOOKUP($B$5,标准坦克设计!$B$24:$U$30,MATCH("对"&amp;LEFT($C$5,2)&amp;"输出",标准坦克设计!$B$23:$U$23,0)))*(VLOOKUP($B77,INDIRECT($B$5&amp;"生成成长"),3))*(VLOOKUP($B$5,标准坦克设计!$B$14:$K$20,9)/30))</f>
        <v>34.36622652334777</v>
      </c>
      <c r="CD77" s="172">
        <f ca="1">(VLOOKUP(CD$72,INDIRECT($C$5&amp;"生成成长"),2))/((VLOOKUP($B77,INDIRECT($B$5&amp;"生成成长"),4))/(VLOOKUP(CD$72,INDIRECT($C$5&amp;"生成成长"),5))*(VLOOKUP($B$5,标准坦克设计!$B$24:$U$30,MATCH("对"&amp;LEFT($C$5,2)&amp;"输出",标准坦克设计!$B$23:$U$23,0)))*(VLOOKUP($B77,INDIRECT($B$5&amp;"生成成长"),3))*(VLOOKUP($B$5,标准坦克设计!$B$14:$K$20,9)/30))</f>
        <v>37.205246695415376</v>
      </c>
      <c r="CE77" s="172">
        <f ca="1">(VLOOKUP(CE$72,INDIRECT($C$5&amp;"生成成长"),2))/((VLOOKUP($B77,INDIRECT($B$5&amp;"生成成长"),4))/(VLOOKUP(CE$72,INDIRECT($C$5&amp;"生成成长"),5))*(VLOOKUP($B$5,标准坦克设计!$B$24:$U$30,MATCH("对"&amp;LEFT($C$5,2)&amp;"输出",标准坦克设计!$B$23:$U$23,0)))*(VLOOKUP($B77,INDIRECT($B$5&amp;"生成成长"),3))*(VLOOKUP($B$5,标准坦克设计!$B$14:$K$20,9)/30))</f>
        <v>40.156926398120589</v>
      </c>
      <c r="CF77" s="172">
        <f ca="1">(VLOOKUP(CF$72,INDIRECT($C$5&amp;"生成成长"),2))/((VLOOKUP($B77,INDIRECT($B$5&amp;"生成成长"),4))/(VLOOKUP(CF$72,INDIRECT($C$5&amp;"生成成长"),5))*(VLOOKUP($B$5,标准坦克设计!$B$24:$U$30,MATCH("对"&amp;LEFT($C$5,2)&amp;"输出",标准坦克设计!$B$23:$U$23,0)))*(VLOOKUP($B77,INDIRECT($B$5&amp;"生成成长"),3))*(VLOOKUP($B$5,标准坦克设计!$B$14:$K$20,9)/30))</f>
        <v>43.22126563146341</v>
      </c>
      <c r="CG77" s="172">
        <f ca="1">(VLOOKUP(CG$72,INDIRECT($C$5&amp;"生成成长"),2))/((VLOOKUP($B77,INDIRECT($B$5&amp;"生成成长"),4))/(VLOOKUP(CG$72,INDIRECT($C$5&amp;"生成成长"),5))*(VLOOKUP($B$5,标准坦克设计!$B$24:$U$30,MATCH("对"&amp;LEFT($C$5,2)&amp;"输出",标准坦克设计!$B$23:$U$23,0)))*(VLOOKUP($B77,INDIRECT($B$5&amp;"生成成长"),3))*(VLOOKUP($B$5,标准坦克设计!$B$14:$K$20,9)/30))</f>
        <v>46.398264395443825</v>
      </c>
      <c r="CH77" s="172">
        <f ca="1">(VLOOKUP(CH$72,INDIRECT($C$5&amp;"生成成长"),2))/((VLOOKUP($B77,INDIRECT($B$5&amp;"生成成长"),4))/(VLOOKUP(CH$72,INDIRECT($C$5&amp;"生成成长"),5))*(VLOOKUP($B$5,标准坦克设计!$B$24:$U$30,MATCH("对"&amp;LEFT($C$5,2)&amp;"输出",标准坦克设计!$B$23:$U$23,0)))*(VLOOKUP($B77,INDIRECT($B$5&amp;"生成成长"),3))*(VLOOKUP($B$5,标准坦克设计!$B$14:$K$20,9)/30))</f>
        <v>49.68792269006186</v>
      </c>
      <c r="CI77" s="172">
        <f ca="1">(VLOOKUP(CI$72,INDIRECT($C$5&amp;"生成成长"),2))/((VLOOKUP($B77,INDIRECT($B$5&amp;"生成成长"),4))/(VLOOKUP(CI$72,INDIRECT($C$5&amp;"生成成长"),5))*(VLOOKUP($B$5,标准坦克设计!$B$24:$U$30,MATCH("对"&amp;LEFT($C$5,2)&amp;"输出",标准坦克设计!$B$23:$U$23,0)))*(VLOOKUP($B77,INDIRECT($B$5&amp;"生成成长"),3))*(VLOOKUP($B$5,标准坦克设计!$B$14:$K$20,9)/30))</f>
        <v>53.436668572028097</v>
      </c>
      <c r="CJ77" s="172">
        <f ca="1">(VLOOKUP(CJ$72,INDIRECT($C$5&amp;"生成成长"),2))/((VLOOKUP($B77,INDIRECT($B$5&amp;"生成成长"),4))/(VLOOKUP(CJ$72,INDIRECT($C$5&amp;"生成成长"),5))*(VLOOKUP($B$5,标准坦克设计!$B$24:$U$30,MATCH("对"&amp;LEFT($C$5,2)&amp;"输出",标准坦克设计!$B$23:$U$23,0)))*(VLOOKUP($B77,INDIRECT($B$5&amp;"生成成长"),3))*(VLOOKUP($B$5,标准坦克设计!$B$14:$K$20,9)/30))</f>
        <v>57.321732486065869</v>
      </c>
      <c r="CK77" s="172">
        <f ca="1">(VLOOKUP(CK$72,INDIRECT($C$5&amp;"生成成长"),2))/((VLOOKUP($B77,INDIRECT($B$5&amp;"生成成长"),4))/(VLOOKUP(CK$72,INDIRECT($C$5&amp;"生成成长"),5))*(VLOOKUP($B$5,标准坦克设计!$B$24:$U$30,MATCH("对"&amp;LEFT($C$5,2)&amp;"输出",标准坦克设计!$B$23:$U$23,0)))*(VLOOKUP($B77,INDIRECT($B$5&amp;"生成成长"),3))*(VLOOKUP($B$5,标准坦克设计!$B$14:$K$20,9)/30))</f>
        <v>61.343114432175128</v>
      </c>
      <c r="CL77" s="172">
        <f ca="1">(VLOOKUP(CL$72,INDIRECT($C$5&amp;"生成成长"),2))/((VLOOKUP($B77,INDIRECT($B$5&amp;"生成成长"),4))/(VLOOKUP(CL$72,INDIRECT($C$5&amp;"生成成长"),5))*(VLOOKUP($B$5,标准坦克设计!$B$24:$U$30,MATCH("对"&amp;LEFT($C$5,2)&amp;"输出",标准坦克设计!$B$23:$U$23,0)))*(VLOOKUP($B77,INDIRECT($B$5&amp;"生成成长"),3))*(VLOOKUP($B$5,标准坦克设计!$B$14:$K$20,9)/30))</f>
        <v>65.500814410355872</v>
      </c>
      <c r="CM77" s="172">
        <f ca="1">(VLOOKUP(CM$72,INDIRECT($C$5&amp;"生成成长"),2))/((VLOOKUP($B77,INDIRECT($B$5&amp;"生成成长"),4))/(VLOOKUP(CM$72,INDIRECT($C$5&amp;"生成成长"),5))*(VLOOKUP($B$5,标准坦克设计!$B$24:$U$30,MATCH("对"&amp;LEFT($C$5,2)&amp;"输出",标准坦克设计!$B$23:$U$23,0)))*(VLOOKUP($B77,INDIRECT($B$5&amp;"生成成长"),3))*(VLOOKUP($B$5,标准坦克设计!$B$14:$K$20,9)/30))</f>
        <v>69.794832420608131</v>
      </c>
      <c r="CN77" s="172">
        <f ca="1">(VLOOKUP(CN$72,INDIRECT($C$5&amp;"生成成长"),2))/((VLOOKUP($B77,INDIRECT($B$5&amp;"生成成长"),4))/(VLOOKUP(CN$72,INDIRECT($C$5&amp;"生成成长"),5))*(VLOOKUP($B$5,标准坦克设计!$B$24:$U$30,MATCH("对"&amp;LEFT($C$5,2)&amp;"输出",标准坦克设计!$B$23:$U$23,0)))*(VLOOKUP($B77,INDIRECT($B$5&amp;"生成成长"),3))*(VLOOKUP($B$5,标准坦克设计!$B$14:$K$20,9)/30))</f>
        <v>74.225168462931904</v>
      </c>
      <c r="CO77" s="172">
        <f ca="1">(VLOOKUP(CO$72,INDIRECT($C$5&amp;"生成成长"),2))/((VLOOKUP($B77,INDIRECT($B$5&amp;"生成成长"),4))/(VLOOKUP(CO$72,INDIRECT($C$5&amp;"生成成长"),5))*(VLOOKUP($B$5,标准坦克设计!$B$24:$U$30,MATCH("对"&amp;LEFT($C$5,2)&amp;"输出",标准坦克设计!$B$23:$U$23,0)))*(VLOOKUP($B77,INDIRECT($B$5&amp;"生成成长"),3))*(VLOOKUP($B$5,标准坦克设计!$B$14:$K$20,9)/30))</f>
        <v>33.262163123099256</v>
      </c>
      <c r="CP77" s="172">
        <f ca="1">(VLOOKUP(CP$72,INDIRECT($C$5&amp;"生成成长"),2))/((VLOOKUP($B77,INDIRECT($B$5&amp;"生成成长"),4))/(VLOOKUP(CP$72,INDIRECT($C$5&amp;"生成成长"),5))*(VLOOKUP($B$5,标准坦克设计!$B$24:$U$30,MATCH("对"&amp;LEFT($C$5,2)&amp;"输出",标准坦克设计!$B$23:$U$23,0)))*(VLOOKUP($B77,INDIRECT($B$5&amp;"生成成长"),3))*(VLOOKUP($B$5,标准坦克设计!$B$14:$K$20,9)/30))</f>
        <v>36.341711393078143</v>
      </c>
      <c r="CQ77" s="172">
        <f ca="1">(VLOOKUP(CQ$72,INDIRECT($C$5&amp;"生成成长"),2))/((VLOOKUP($B77,INDIRECT($B$5&amp;"生成成长"),4))/(VLOOKUP(CQ$72,INDIRECT($C$5&amp;"生成成长"),5))*(VLOOKUP($B$5,标准坦克设计!$B$24:$U$30,MATCH("对"&amp;LEFT($C$5,2)&amp;"输出",标准坦克设计!$B$23:$U$23,0)))*(VLOOKUP($B77,INDIRECT($B$5&amp;"生成成长"),3))*(VLOOKUP($B$5,标准坦克设计!$B$14:$K$20,9)/30))</f>
        <v>39.557577695128536</v>
      </c>
      <c r="CR77" s="172">
        <f ca="1">(VLOOKUP(CR$72,INDIRECT($C$5&amp;"生成成长"),2))/((VLOOKUP($B77,INDIRECT($B$5&amp;"生成成长"),4))/(VLOOKUP(CR$72,INDIRECT($C$5&amp;"生成成长"),5))*(VLOOKUP($B$5,标准坦克设计!$B$24:$U$30,MATCH("对"&amp;LEFT($C$5,2)&amp;"输出",标准坦克设计!$B$23:$U$23,0)))*(VLOOKUP($B77,INDIRECT($B$5&amp;"生成成长"),3))*(VLOOKUP($B$5,标准坦克设计!$B$14:$K$20,9)/30))</f>
        <v>42.90976202925043</v>
      </c>
      <c r="CS77" s="172">
        <f ca="1">(VLOOKUP(CS$72,INDIRECT($C$5&amp;"生成成长"),2))/((VLOOKUP($B77,INDIRECT($B$5&amp;"生成成长"),4))/(VLOOKUP(CS$72,INDIRECT($C$5&amp;"生成成长"),5))*(VLOOKUP($B$5,标准坦克设计!$B$24:$U$30,MATCH("对"&amp;LEFT($C$5,2)&amp;"输出",标准坦克设计!$B$23:$U$23,0)))*(VLOOKUP($B77,INDIRECT($B$5&amp;"生成成长"),3))*(VLOOKUP($B$5,标准坦克设计!$B$14:$K$20,9)/30))</f>
        <v>46.398264395443825</v>
      </c>
      <c r="CT77" s="172">
        <f ca="1">(VLOOKUP(CT$72,INDIRECT($C$5&amp;"生成成长"),2))/((VLOOKUP($B77,INDIRECT($B$5&amp;"生成成长"),4))/(VLOOKUP(CT$72,INDIRECT($C$5&amp;"生成成长"),5))*(VLOOKUP($B$5,标准坦克设计!$B$24:$U$30,MATCH("对"&amp;LEFT($C$5,2)&amp;"输出",标准坦克设计!$B$23:$U$23,0)))*(VLOOKUP($B77,INDIRECT($B$5&amp;"生成成长"),3))*(VLOOKUP($B$5,标准坦克设计!$B$14:$K$20,9)/30))</f>
        <v>50.023084793708712</v>
      </c>
      <c r="CU77" s="172">
        <f ca="1">(VLOOKUP(CU$72,INDIRECT($C$5&amp;"生成成长"),2))/((VLOOKUP($B77,INDIRECT($B$5&amp;"生成成长"),4))/(VLOOKUP(CU$72,INDIRECT($C$5&amp;"生成成长"),5))*(VLOOKUP($B$5,标准坦克设计!$B$24:$U$30,MATCH("对"&amp;LEFT($C$5,2)&amp;"输出",标准坦克设计!$B$23:$U$23,0)))*(VLOOKUP($B77,INDIRECT($B$5&amp;"生成成长"),3))*(VLOOKUP($B$5,标准坦克设计!$B$14:$K$20,9)/30))</f>
        <v>53.784223224045114</v>
      </c>
      <c r="CV77" s="172">
        <f ca="1">(VLOOKUP(CV$72,INDIRECT($C$5&amp;"生成成长"),2))/((VLOOKUP($B77,INDIRECT($B$5&amp;"生成成长"),4))/(VLOOKUP(CV$72,INDIRECT($C$5&amp;"生成成长"),5))*(VLOOKUP($B$5,标准坦克设计!$B$24:$U$30,MATCH("对"&amp;LEFT($C$5,2)&amp;"输出",标准坦克设计!$B$23:$U$23,0)))*(VLOOKUP($B77,INDIRECT($B$5&amp;"生成成长"),3))*(VLOOKUP($B$5,标准坦克设计!$B$14:$K$20,9)/30))</f>
        <v>57.681679686453009</v>
      </c>
      <c r="CW77" s="172">
        <f ca="1">(VLOOKUP(CW$72,INDIRECT($C$5&amp;"生成成长"),2))/((VLOOKUP($B77,INDIRECT($B$5&amp;"生成成长"),4))/(VLOOKUP(CW$72,INDIRECT($C$5&amp;"生成成长"),5))*(VLOOKUP($B$5,标准坦克设计!$B$24:$U$30,MATCH("对"&amp;LEFT($C$5,2)&amp;"输出",标准坦克设计!$B$23:$U$23,0)))*(VLOOKUP($B77,INDIRECT($B$5&amp;"生成成长"),3))*(VLOOKUP($B$5,标准坦克设计!$B$14:$K$20,9)/30))</f>
        <v>61.715454180932397</v>
      </c>
      <c r="CX77" s="172">
        <f ca="1">(VLOOKUP(CX$72,INDIRECT($C$5&amp;"生成成长"),2))/((VLOOKUP($B77,INDIRECT($B$5&amp;"生成成长"),4))/(VLOOKUP(CX$72,INDIRECT($C$5&amp;"生成成长"),5))*(VLOOKUP($B$5,标准坦克设计!$B$24:$U$30,MATCH("对"&amp;LEFT($C$5,2)&amp;"输出",标准坦克设计!$B$23:$U$23,0)))*(VLOOKUP($B77,INDIRECT($B$5&amp;"生成成长"),3))*(VLOOKUP($B$5,标准坦克设计!$B$14:$K$20,9)/30))</f>
        <v>65.8855467074833</v>
      </c>
      <c r="CY77" s="172">
        <f ca="1">(VLOOKUP(CY$72,INDIRECT($C$5&amp;"生成成长"),2))/((VLOOKUP($B77,INDIRECT($B$5&amp;"生成成长"),4))/(VLOOKUP(CY$72,INDIRECT($C$5&amp;"生成成长"),5))*(VLOOKUP($B$5,标准坦克设计!$B$24:$U$30,MATCH("对"&amp;LEFT($C$5,2)&amp;"输出",标准坦克设计!$B$23:$U$23,0)))*(VLOOKUP($B77,INDIRECT($B$5&amp;"生成成长"),3))*(VLOOKUP($B$5,标准坦克设计!$B$14:$K$20,9)/30))</f>
        <v>70.191957266105703</v>
      </c>
      <c r="CZ77" s="172">
        <f ca="1">(VLOOKUP(CZ$72,INDIRECT($C$5&amp;"生成成长"),2))/((VLOOKUP($B77,INDIRECT($B$5&amp;"生成成长"),4))/(VLOOKUP(CZ$72,INDIRECT($C$5&amp;"生成成长"),5))*(VLOOKUP($B$5,标准坦克设计!$B$24:$U$30,MATCH("对"&amp;LEFT($C$5,2)&amp;"输出",标准坦克设计!$B$23:$U$23,0)))*(VLOOKUP($B77,INDIRECT($B$5&amp;"生成成长"),3))*(VLOOKUP($B$5,标准坦克设计!$B$14:$K$20,9)/30))</f>
        <v>74.634685856799592</v>
      </c>
      <c r="DA77" s="172">
        <f ca="1">(VLOOKUP(DA$72,INDIRECT($C$5&amp;"生成成长"),2))/((VLOOKUP($B77,INDIRECT($B$5&amp;"生成成长"),4))/(VLOOKUP(DA$72,INDIRECT($C$5&amp;"生成成长"),5))*(VLOOKUP($B$5,标准坦克设计!$B$24:$U$30,MATCH("对"&amp;LEFT($C$5,2)&amp;"输出",标准坦克设计!$B$23:$U$23,0)))*(VLOOKUP($B77,INDIRECT($B$5&amp;"生成成长"),3))*(VLOOKUP($B$5,标准坦克设计!$B$14:$K$20,9)/30))</f>
        <v>79.213732479564982</v>
      </c>
      <c r="DB77" s="172">
        <f ca="1">(VLOOKUP(DB$72,INDIRECT($C$5&amp;"生成成长"),2))/((VLOOKUP($B77,INDIRECT($B$5&amp;"生成成长"),4))/(VLOOKUP(DB$72,INDIRECT($C$5&amp;"生成成长"),5))*(VLOOKUP($B$5,标准坦克设计!$B$24:$U$30,MATCH("对"&amp;LEFT($C$5,2)&amp;"输出",标准坦克设计!$B$23:$U$23,0)))*(VLOOKUP($B77,INDIRECT($B$5&amp;"生成成长"),3))*(VLOOKUP($B$5,标准坦克设计!$B$14:$K$20,9)/30))</f>
        <v>83.929097134401886</v>
      </c>
      <c r="DC77" s="172">
        <f ca="1">(VLOOKUP(DC$72,INDIRECT($C$5&amp;"生成成长"),2))/((VLOOKUP($B77,INDIRECT($B$5&amp;"生成成长"),4))/(VLOOKUP(DC$72,INDIRECT($C$5&amp;"生成成长"),5))*(VLOOKUP($B$5,标准坦克设计!$B$24:$U$30,MATCH("对"&amp;LEFT($C$5,2)&amp;"输出",标准坦克设计!$B$23:$U$23,0)))*(VLOOKUP($B77,INDIRECT($B$5&amp;"生成成长"),3))*(VLOOKUP($B$5,标准坦克设计!$B$14:$K$20,9)/30))</f>
        <v>89.228601455594728</v>
      </c>
      <c r="DD77" s="172">
        <f ca="1">(VLOOKUP(DD$72,INDIRECT($C$5&amp;"生成成长"),2))/((VLOOKUP($B77,INDIRECT($B$5&amp;"生成成长"),4))/(VLOOKUP(DD$72,INDIRECT($C$5&amp;"生成成长"),5))*(VLOOKUP($B$5,标准坦克设计!$B$24:$U$30,MATCH("对"&amp;LEFT($C$5,2)&amp;"输出",标准坦克设计!$B$23:$U$23,0)))*(VLOOKUP($B77,INDIRECT($B$5&amp;"生成成长"),3))*(VLOOKUP($B$5,标准坦克设计!$B$14:$K$20,9)/30))</f>
        <v>94.690335500905761</v>
      </c>
      <c r="DE77" s="172">
        <f ca="1">(VLOOKUP(DE$72,INDIRECT($C$5&amp;"生成成长"),2))/((VLOOKUP($B77,INDIRECT($B$5&amp;"生成成长"),4))/(VLOOKUP(DE$72,INDIRECT($C$5&amp;"生成成长"),5))*(VLOOKUP($B$5,标准坦克设计!$B$24:$U$30,MATCH("对"&amp;LEFT($C$5,2)&amp;"输出",标准坦克设计!$B$23:$U$23,0)))*(VLOOKUP($B77,INDIRECT($B$5&amp;"生成成长"),3))*(VLOOKUP($B$5,标准坦克设计!$B$14:$K$20,9)/30))</f>
        <v>100.31429927033494</v>
      </c>
      <c r="DF77" s="172">
        <f ca="1">(VLOOKUP(DF$72,INDIRECT($C$5&amp;"生成成长"),2))/((VLOOKUP($B77,INDIRECT($B$5&amp;"生成成长"),4))/(VLOOKUP(DF$72,INDIRECT($C$5&amp;"生成成长"),5))*(VLOOKUP($B$5,标准坦克设计!$B$24:$U$30,MATCH("对"&amp;LEFT($C$5,2)&amp;"输出",标准坦克设计!$B$23:$U$23,0)))*(VLOOKUP($B77,INDIRECT($B$5&amp;"生成成长"),3))*(VLOOKUP($B$5,标准坦克设计!$B$14:$K$20,9)/30))</f>
        <v>106.10049276388226</v>
      </c>
      <c r="DG77" s="172">
        <f ca="1">(VLOOKUP(DG$72,INDIRECT($C$5&amp;"生成成长"),2))/((VLOOKUP($B77,INDIRECT($B$5&amp;"生成成长"),4))/(VLOOKUP(DG$72,INDIRECT($C$5&amp;"生成成长"),5))*(VLOOKUP($B$5,标准坦克设计!$B$24:$U$30,MATCH("对"&amp;LEFT($C$5,2)&amp;"输出",标准坦克设计!$B$23:$U$23,0)))*(VLOOKUP($B77,INDIRECT($B$5&amp;"生成成长"),3))*(VLOOKUP($B$5,标准坦克设计!$B$14:$K$20,9)/30))</f>
        <v>112.04891598154771</v>
      </c>
      <c r="DH77" s="172">
        <f ca="1">(VLOOKUP(DH$72,INDIRECT($C$5&amp;"生成成长"),2))/((VLOOKUP($B77,INDIRECT($B$5&amp;"生成成长"),4))/(VLOOKUP(DH$72,INDIRECT($C$5&amp;"生成成长"),5))*(VLOOKUP($B$5,标准坦克设计!$B$24:$U$30,MATCH("对"&amp;LEFT($C$5,2)&amp;"输出",标准坦克设计!$B$23:$U$23,0)))*(VLOOKUP($B77,INDIRECT($B$5&amp;"生成成长"),3))*(VLOOKUP($B$5,标准坦克设计!$B$14:$K$20,9)/30))</f>
        <v>118.15956892333134</v>
      </c>
      <c r="DI77" s="172">
        <f ca="1">(VLOOKUP(DI$72,INDIRECT($C$5&amp;"生成成长"),2))/((VLOOKUP($B77,INDIRECT($B$5&amp;"生成成长"),4))/(VLOOKUP(DI$72,INDIRECT($C$5&amp;"生成成长"),5))*(VLOOKUP($B$5,标准坦克设计!$B$24:$U$30,MATCH("对"&amp;LEFT($C$5,2)&amp;"输出",标准坦克设计!$B$23:$U$23,0)))*(VLOOKUP($B77,INDIRECT($B$5&amp;"生成成长"),3))*(VLOOKUP($B$5,标准坦克设计!$B$14:$K$20,9)/30))</f>
        <v>124.4324515892331</v>
      </c>
      <c r="DJ77" s="172">
        <f ca="1">(VLOOKUP(DJ$72,INDIRECT($C$5&amp;"生成成长"),2))/((VLOOKUP($B77,INDIRECT($B$5&amp;"生成成长"),4))/(VLOOKUP(DJ$72,INDIRECT($C$5&amp;"生成成长"),5))*(VLOOKUP($B$5,标准坦克设计!$B$24:$U$30,MATCH("对"&amp;LEFT($C$5,2)&amp;"输出",标准坦克设计!$B$23:$U$23,0)))*(VLOOKUP($B77,INDIRECT($B$5&amp;"生成成长"),3))*(VLOOKUP($B$5,标准坦克设计!$B$14:$K$20,9)/30))</f>
        <v>12.505771198427178</v>
      </c>
      <c r="DK77" s="172">
        <f ca="1">(VLOOKUP(DK$72,INDIRECT($C$5&amp;"生成成长"),2))/((VLOOKUP($B77,INDIRECT($B$5&amp;"生成成长"),4))/(VLOOKUP(DK$72,INDIRECT($C$5&amp;"生成成长"),5))*(VLOOKUP($B$5,标准坦克设计!$B$24:$U$30,MATCH("对"&amp;LEFT($C$5,2)&amp;"输出",标准坦克设计!$B$23:$U$23,0)))*(VLOOKUP($B77,INDIRECT($B$5&amp;"生成成长"),3))*(VLOOKUP($B$5,标准坦克设计!$B$14:$K$20,9)/30))</f>
        <v>14.062162614185674</v>
      </c>
      <c r="DL77" s="172">
        <f ca="1">(VLOOKUP(DL$72,INDIRECT($C$5&amp;"生成成长"),2))/((VLOOKUP($B77,INDIRECT($B$5&amp;"生成成长"),4))/(VLOOKUP(DL$72,INDIRECT($C$5&amp;"生成成长"),5))*(VLOOKUP($B$5,标准坦克设计!$B$24:$U$30,MATCH("对"&amp;LEFT($C$5,2)&amp;"输出",标准坦克设计!$B$23:$U$23,0)))*(VLOOKUP($B77,INDIRECT($B$5&amp;"生成成长"),3))*(VLOOKUP($B$5,标准坦克设计!$B$14:$K$20,9)/30))</f>
        <v>15.709808249760625</v>
      </c>
      <c r="DM77" s="172">
        <f ca="1">(VLOOKUP(DM$72,INDIRECT($C$5&amp;"生成成长"),2))/((VLOOKUP($B77,INDIRECT($B$5&amp;"生成成长"),4))/(VLOOKUP(DM$72,INDIRECT($C$5&amp;"生成成长"),5))*(VLOOKUP($B$5,标准坦克设计!$B$24:$U$30,MATCH("对"&amp;LEFT($C$5,2)&amp;"输出",标准坦克设计!$B$23:$U$23,0)))*(VLOOKUP($B77,INDIRECT($B$5&amp;"生成成长"),3))*(VLOOKUP($B$5,标准坦克设计!$B$14:$K$20,9)/30))</f>
        <v>17.448708105152033</v>
      </c>
      <c r="DN77" s="172">
        <f ca="1">(VLOOKUP(DN$72,INDIRECT($C$5&amp;"生成成长"),2))/((VLOOKUP($B77,INDIRECT($B$5&amp;"生成成长"),4))/(VLOOKUP(DN$72,INDIRECT($C$5&amp;"生成成长"),5))*(VLOOKUP($B$5,标准坦克设计!$B$24:$U$30,MATCH("对"&amp;LEFT($C$5,2)&amp;"输出",标准坦克设计!$B$23:$U$23,0)))*(VLOOKUP($B77,INDIRECT($B$5&amp;"生成成长"),3))*(VLOOKUP($B$5,标准坦克设计!$B$14:$K$20,9)/30))</f>
        <v>19.278862180359905</v>
      </c>
      <c r="DO77" s="172">
        <f ca="1">(VLOOKUP(DO$72,INDIRECT($C$5&amp;"生成成长"),2))/((VLOOKUP($B77,INDIRECT($B$5&amp;"生成成长"),4))/(VLOOKUP(DO$72,INDIRECT($C$5&amp;"生成成长"),5))*(VLOOKUP($B$5,标准坦克设计!$B$24:$U$30,MATCH("对"&amp;LEFT($C$5,2)&amp;"输出",标准坦克设计!$B$23:$U$23,0)))*(VLOOKUP($B77,INDIRECT($B$5&amp;"生成成长"),3))*(VLOOKUP($B$5,标准坦克设计!$B$14:$K$20,9)/30))</f>
        <v>21.200270475384233</v>
      </c>
      <c r="DP77" s="172">
        <f ca="1">(VLOOKUP(DP$72,INDIRECT($C$5&amp;"生成成长"),2))/((VLOOKUP($B77,INDIRECT($B$5&amp;"生成成长"),4))/(VLOOKUP(DP$72,INDIRECT($C$5&amp;"生成成长"),5))*(VLOOKUP($B$5,标准坦克设计!$B$24:$U$30,MATCH("对"&amp;LEFT($C$5,2)&amp;"输出",标准坦克设计!$B$23:$U$23,0)))*(VLOOKUP($B77,INDIRECT($B$5&amp;"生成成长"),3))*(VLOOKUP($B$5,标准坦克设计!$B$14:$K$20,9)/30))</f>
        <v>23.212932990225017</v>
      </c>
      <c r="DQ77" s="172">
        <f ca="1">(VLOOKUP(DQ$72,INDIRECT($C$5&amp;"生成成长"),2))/((VLOOKUP($B77,INDIRECT($B$5&amp;"生成成长"),4))/(VLOOKUP(DQ$72,INDIRECT($C$5&amp;"生成成长"),5))*(VLOOKUP($B$5,标准坦克设计!$B$24:$U$30,MATCH("对"&amp;LEFT($C$5,2)&amp;"输出",标准坦克设计!$B$23:$U$23,0)))*(VLOOKUP($B77,INDIRECT($B$5&amp;"生成成长"),3))*(VLOOKUP($B$5,标准坦克设计!$B$14:$K$20,9)/30))</f>
        <v>25.316849724882264</v>
      </c>
      <c r="DR77" s="172">
        <f ca="1">(VLOOKUP(DR$72,INDIRECT($C$5&amp;"生成成长"),2))/((VLOOKUP($B77,INDIRECT($B$5&amp;"生成成长"),4))/(VLOOKUP(DR$72,INDIRECT($C$5&amp;"生成成长"),5))*(VLOOKUP($B$5,标准坦克设计!$B$24:$U$30,MATCH("对"&amp;LEFT($C$5,2)&amp;"输出",标准坦克设计!$B$23:$U$23,0)))*(VLOOKUP($B77,INDIRECT($B$5&amp;"生成成长"),3))*(VLOOKUP($B$5,标准坦克设计!$B$14:$K$20,9)/30))</f>
        <v>27.512020679355974</v>
      </c>
      <c r="DS77" s="172">
        <f ca="1">(VLOOKUP(DS$72,INDIRECT($C$5&amp;"生成成长"),2))/((VLOOKUP($B77,INDIRECT($B$5&amp;"生成成长"),4))/(VLOOKUP(DS$72,INDIRECT($C$5&amp;"生成成长"),5))*(VLOOKUP($B$5,标准坦克设计!$B$24:$U$30,MATCH("对"&amp;LEFT($C$5,2)&amp;"输出",标准坦克设计!$B$23:$U$23,0)))*(VLOOKUP($B77,INDIRECT($B$5&amp;"生成成长"),3))*(VLOOKUP($B$5,标准坦克设计!$B$14:$K$20,9)/30))</f>
        <v>29.798445853646129</v>
      </c>
      <c r="DT77" s="172">
        <f ca="1">(VLOOKUP(DT$72,INDIRECT($C$5&amp;"生成成长"),2))/((VLOOKUP($B77,INDIRECT($B$5&amp;"生成成长"),4))/(VLOOKUP(DT$72,INDIRECT($C$5&amp;"生成成长"),5))*(VLOOKUP($B$5,标准坦克设计!$B$24:$U$30,MATCH("对"&amp;LEFT($C$5,2)&amp;"输出",标准坦克设计!$B$23:$U$23,0)))*(VLOOKUP($B77,INDIRECT($B$5&amp;"生成成长"),3))*(VLOOKUP($B$5,标准坦克设计!$B$14:$K$20,9)/30))</f>
        <v>32.716890994813255</v>
      </c>
      <c r="DU77" s="172">
        <f ca="1">(VLOOKUP(DU$72,INDIRECT($C$5&amp;"生成成长"),2))/((VLOOKUP($B77,INDIRECT($B$5&amp;"生成成长"),4))/(VLOOKUP(DU$72,INDIRECT($C$5&amp;"生成成长"),5))*(VLOOKUP($B$5,标准坦克设计!$B$24:$U$30,MATCH("对"&amp;LEFT($C$5,2)&amp;"输出",标准坦克设计!$B$23:$U$23,0)))*(VLOOKUP($B77,INDIRECT($B$5&amp;"生成成长"),3))*(VLOOKUP($B$5,标准坦克设计!$B$14:$K$20,9)/30))</f>
        <v>35.771654168051874</v>
      </c>
      <c r="DV77" s="172">
        <f ca="1">(VLOOKUP(DV$72,INDIRECT($C$5&amp;"生成成长"),2))/((VLOOKUP($B77,INDIRECT($B$5&amp;"生成成长"),4))/(VLOOKUP(DV$72,INDIRECT($C$5&amp;"生成成长"),5))*(VLOOKUP($B$5,标准坦克设计!$B$24:$U$30,MATCH("对"&amp;LEFT($C$5,2)&amp;"输出",标准坦克设计!$B$23:$U$23,0)))*(VLOOKUP($B77,INDIRECT($B$5&amp;"生成成长"),3))*(VLOOKUP($B$5,标准坦克设计!$B$14:$K$20,9)/30))</f>
        <v>38.962735373361994</v>
      </c>
      <c r="DW77" s="172">
        <f ca="1">(VLOOKUP(DW$72,INDIRECT($C$5&amp;"生成成长"),2))/((VLOOKUP($B77,INDIRECT($B$5&amp;"生成成长"),4))/(VLOOKUP(DW$72,INDIRECT($C$5&amp;"生成成长"),5))*(VLOOKUP($B$5,标准坦克设计!$B$24:$U$30,MATCH("对"&amp;LEFT($C$5,2)&amp;"输出",标准坦克设计!$B$23:$U$23,0)))*(VLOOKUP($B77,INDIRECT($B$5&amp;"生成成长"),3))*(VLOOKUP($B$5,标准坦克设计!$B$14:$K$20,9)/30))</f>
        <v>42.290134610743614</v>
      </c>
      <c r="DX77" s="172">
        <f ca="1">(VLOOKUP(DX$72,INDIRECT($C$5&amp;"生成成长"),2))/((VLOOKUP($B77,INDIRECT($B$5&amp;"生成成长"),4))/(VLOOKUP(DX$72,INDIRECT($C$5&amp;"生成成长"),5))*(VLOOKUP($B$5,标准坦克设计!$B$24:$U$30,MATCH("对"&amp;LEFT($C$5,2)&amp;"输出",标准坦克设计!$B$23:$U$23,0)))*(VLOOKUP($B77,INDIRECT($B$5&amp;"生成成长"),3))*(VLOOKUP($B$5,标准坦克设计!$B$14:$K$20,9)/30))</f>
        <v>45.753851880196727</v>
      </c>
      <c r="DY77" s="172">
        <f ca="1">(VLOOKUP(DY$72,INDIRECT($C$5&amp;"生成成长"),2))/((VLOOKUP($B77,INDIRECT($B$5&amp;"生成成长"),4))/(VLOOKUP(DY$72,INDIRECT($C$5&amp;"生成成长"),5))*(VLOOKUP($B$5,标准坦克设计!$B$24:$U$30,MATCH("对"&amp;LEFT($C$5,2)&amp;"输出",标准坦克设计!$B$23:$U$23,0)))*(VLOOKUP($B77,INDIRECT($B$5&amp;"生成成长"),3))*(VLOOKUP($B$5,标准坦克设计!$B$14:$K$20,9)/30))</f>
        <v>20.549661685952067</v>
      </c>
      <c r="DZ77" s="172">
        <f ca="1">(VLOOKUP(DZ$72,INDIRECT($C$5&amp;"生成成长"),2))/((VLOOKUP($B77,INDIRECT($B$5&amp;"生成成长"),4))/(VLOOKUP(DZ$72,INDIRECT($C$5&amp;"生成成长"),5))*(VLOOKUP($B$5,标准坦克设计!$B$24:$U$30,MATCH("对"&amp;LEFT($C$5,2)&amp;"输出",标准坦克设计!$B$23:$U$23,0)))*(VLOOKUP($B77,INDIRECT($B$5&amp;"生成成长"),3))*(VLOOKUP($B$5,标准坦克设计!$B$14:$K$20,9)/30))</f>
        <v>22.757788486449101</v>
      </c>
      <c r="EA77" s="172">
        <f ca="1">(VLOOKUP(EA$72,INDIRECT($C$5&amp;"生成成长"),2))/((VLOOKUP($B77,INDIRECT($B$5&amp;"生成成长"),4))/(VLOOKUP(EA$72,INDIRECT($C$5&amp;"生成成长"),5))*(VLOOKUP($B$5,标准坦克设计!$B$24:$U$30,MATCH("对"&amp;LEFT($C$5,2)&amp;"输出",标准坦克设计!$B$23:$U$23,0)))*(VLOOKUP($B77,INDIRECT($B$5&amp;"生成成长"),3))*(VLOOKUP($B$5,标准坦克设计!$B$14:$K$20,9)/30))</f>
        <v>25.078574817583736</v>
      </c>
      <c r="EB77" s="172">
        <f ca="1">(VLOOKUP(EB$72,INDIRECT($C$5&amp;"生成成长"),2))/((VLOOKUP($B77,INDIRECT($B$5&amp;"生成成长"),4))/(VLOOKUP(EB$72,INDIRECT($C$5&amp;"生成成长"),5))*(VLOOKUP($B$5,标准坦克设计!$B$24:$U$30,MATCH("对"&amp;LEFT($C$5,2)&amp;"输出",标准坦克设计!$B$23:$U$23,0)))*(VLOOKUP($B77,INDIRECT($B$5&amp;"生成成长"),3))*(VLOOKUP($B$5,标准坦克设计!$B$14:$K$20,9)/30))</f>
        <v>27.512020679355974</v>
      </c>
      <c r="EC77" s="172">
        <f ca="1">(VLOOKUP(EC$72,INDIRECT($C$5&amp;"生成成长"),2))/((VLOOKUP($B77,INDIRECT($B$5&amp;"生成成长"),4))/(VLOOKUP(EC$72,INDIRECT($C$5&amp;"生成成长"),5))*(VLOOKUP($B$5,标准坦克设计!$B$24:$U$30,MATCH("对"&amp;LEFT($C$5,2)&amp;"输出",标准坦克设计!$B$23:$U$23,0)))*(VLOOKUP($B77,INDIRECT($B$5&amp;"生成成长"),3))*(VLOOKUP($B$5,标准坦克设计!$B$14:$K$20,9)/30))</f>
        <v>30.058126071765809</v>
      </c>
      <c r="ED77" s="172">
        <f ca="1">(VLOOKUP(ED$72,INDIRECT($C$5&amp;"生成成长"),2))/((VLOOKUP($B77,INDIRECT($B$5&amp;"生成成长"),4))/(VLOOKUP(ED$72,INDIRECT($C$5&amp;"生成成长"),5))*(VLOOKUP($B$5,标准坦克设计!$B$24:$U$30,MATCH("对"&amp;LEFT($C$5,2)&amp;"输出",标准坦克设计!$B$23:$U$23,0)))*(VLOOKUP($B77,INDIRECT($B$5&amp;"生成成长"),3))*(VLOOKUP($B$5,标准坦克设计!$B$14:$K$20,9)/30))</f>
        <v>32.716890994813255</v>
      </c>
      <c r="EE77" s="172">
        <f ca="1">(VLOOKUP(EE$72,INDIRECT($C$5&amp;"生成成长"),2))/((VLOOKUP($B77,INDIRECT($B$5&amp;"生成成长"),4))/(VLOOKUP(EE$72,INDIRECT($C$5&amp;"生成成长"),5))*(VLOOKUP($B$5,标准坦克设计!$B$24:$U$30,MATCH("对"&amp;LEFT($C$5,2)&amp;"输出",标准坦克设计!$B$23:$U$23,0)))*(VLOOKUP($B77,INDIRECT($B$5&amp;"生成成长"),3))*(VLOOKUP($B$5,标准坦克设计!$B$14:$K$20,9)/30))</f>
        <v>35.488315448498305</v>
      </c>
      <c r="EF77" s="172">
        <f ca="1">(VLOOKUP(EF$72,INDIRECT($C$5&amp;"生成成长"),2))/((VLOOKUP($B77,INDIRECT($B$5&amp;"生成成长"),4))/(VLOOKUP(EF$72,INDIRECT($C$5&amp;"生成成长"),5))*(VLOOKUP($B$5,标准坦克设计!$B$24:$U$30,MATCH("对"&amp;LEFT($C$5,2)&amp;"输出",标准坦克设计!$B$23:$U$23,0)))*(VLOOKUP($B77,INDIRECT($B$5&amp;"生成成长"),3))*(VLOOKUP($B$5,标准坦克设计!$B$14:$K$20,9)/30))</f>
        <v>38.372399432820949</v>
      </c>
      <c r="EG77" s="172">
        <f ca="1">(VLOOKUP(EG$72,INDIRECT($C$5&amp;"生成成长"),2))/((VLOOKUP($B77,INDIRECT($B$5&amp;"生成成长"),4))/(VLOOKUP(EG$72,INDIRECT($C$5&amp;"生成成长"),5))*(VLOOKUP($B$5,标准坦克设计!$B$24:$U$30,MATCH("对"&amp;LEFT($C$5,2)&amp;"输出",标准坦克设计!$B$23:$U$23,0)))*(VLOOKUP($B77,INDIRECT($B$5&amp;"生成成长"),3))*(VLOOKUP($B$5,标准坦克设计!$B$14:$K$20,9)/30))</f>
        <v>41.369142947781206</v>
      </c>
      <c r="EH77" s="172">
        <f ca="1">(VLOOKUP(EH$72,INDIRECT($C$5&amp;"生成成长"),2))/((VLOOKUP($B77,INDIRECT($B$5&amp;"生成成长"),4))/(VLOOKUP(EH$72,INDIRECT($C$5&amp;"生成成长"),5))*(VLOOKUP($B$5,标准坦克设计!$B$24:$U$30,MATCH("对"&amp;LEFT($C$5,2)&amp;"输出",标准坦克设计!$B$23:$U$23,0)))*(VLOOKUP($B77,INDIRECT($B$5&amp;"生成成长"),3))*(VLOOKUP($B$5,标准坦克设计!$B$14:$K$20,9)/30))</f>
        <v>44.478545993379065</v>
      </c>
      <c r="EI77" s="172">
        <f ca="1">(VLOOKUP(EI$72,INDIRECT($C$5&amp;"生成成长"),2))/((VLOOKUP($B77,INDIRECT($B$5&amp;"生成成长"),4))/(VLOOKUP(EI$72,INDIRECT($C$5&amp;"生成成长"),5))*(VLOOKUP($B$5,标准坦克设计!$B$24:$U$30,MATCH("对"&amp;LEFT($C$5,2)&amp;"输出",标准坦克设计!$B$23:$U$23,0)))*(VLOOKUP($B77,INDIRECT($B$5&amp;"生成成长"),3))*(VLOOKUP($B$5,标准坦克设计!$B$14:$K$20,9)/30))</f>
        <v>47.700608569614531</v>
      </c>
      <c r="EJ77" s="172">
        <f ca="1">(VLOOKUP(EJ$72,INDIRECT($C$5&amp;"生成成长"),2))/((VLOOKUP($B77,INDIRECT($B$5&amp;"生成成长"),4))/(VLOOKUP(EJ$72,INDIRECT($C$5&amp;"生成成长"),5))*(VLOOKUP($B$5,标准坦克设计!$B$24:$U$30,MATCH("对"&amp;LEFT($C$5,2)&amp;"输出",标准坦克设计!$B$23:$U$23,0)))*(VLOOKUP($B77,INDIRECT($B$5&amp;"生成成长"),3))*(VLOOKUP($B$5,标准坦克设计!$B$14:$K$20,9)/30))</f>
        <v>51.035330676487582</v>
      </c>
      <c r="EK77" s="172">
        <f ca="1">(VLOOKUP(EK$72,INDIRECT($C$5&amp;"生成成长"),2))/((VLOOKUP($B77,INDIRECT($B$5&amp;"生成成长"),4))/(VLOOKUP(EK$72,INDIRECT($C$5&amp;"生成成长"),5))*(VLOOKUP($B$5,标准坦克设计!$B$24:$U$30,MATCH("对"&amp;LEFT($C$5,2)&amp;"输出",标准坦克设计!$B$23:$U$23,0)))*(VLOOKUP($B77,INDIRECT($B$5&amp;"生成成长"),3))*(VLOOKUP($B$5,标准坦克设计!$B$14:$K$20,9)/30))</f>
        <v>55.185707785176902</v>
      </c>
      <c r="EL77" s="172">
        <f ca="1">(VLOOKUP(EL$72,INDIRECT($C$5&amp;"生成成长"),2))/((VLOOKUP($B77,INDIRECT($B$5&amp;"生成成长"),4))/(VLOOKUP(EL$72,INDIRECT($C$5&amp;"生成成长"),5))*(VLOOKUP($B$5,标准坦克设计!$B$24:$U$30,MATCH("对"&amp;LEFT($C$5,2)&amp;"输出",标准坦克设计!$B$23:$U$23,0)))*(VLOOKUP($B77,INDIRECT($B$5&amp;"生成成长"),3))*(VLOOKUP($B$5,标准坦克设计!$B$14:$K$20,9)/30))</f>
        <v>59.498314617984356</v>
      </c>
      <c r="EM77" s="172">
        <f ca="1">(VLOOKUP(EM$72,INDIRECT($C$5&amp;"生成成长"),2))/((VLOOKUP($B77,INDIRECT($B$5&amp;"生成成长"),4))/(VLOOKUP(EM$72,INDIRECT($C$5&amp;"生成成长"),5))*(VLOOKUP($B$5,标准坦克设计!$B$24:$U$30,MATCH("对"&amp;LEFT($C$5,2)&amp;"输出",标准坦克设计!$B$23:$U$23,0)))*(VLOOKUP($B77,INDIRECT($B$5&amp;"生成成长"),3))*(VLOOKUP($B$5,标准坦克设计!$B$14:$K$20,9)/30))</f>
        <v>63.973151174909972</v>
      </c>
      <c r="EN77" s="172">
        <f ca="1">(VLOOKUP(EN$72,INDIRECT($C$5&amp;"生成成长"),2))/((VLOOKUP($B77,INDIRECT($B$5&amp;"生成成长"),4))/(VLOOKUP(EN$72,INDIRECT($C$5&amp;"生成成长"),5))*(VLOOKUP($B$5,标准坦克设计!$B$24:$U$30,MATCH("对"&amp;LEFT($C$5,2)&amp;"输出",标准坦克设计!$B$23:$U$23,0)))*(VLOOKUP($B77,INDIRECT($B$5&amp;"生成成长"),3))*(VLOOKUP($B$5,标准坦克设计!$B$14:$K$20,9)/30))</f>
        <v>68.61021745595373</v>
      </c>
      <c r="EO77" s="172">
        <f ca="1">(VLOOKUP(EO$72,INDIRECT($C$5&amp;"生成成长"),2))/((VLOOKUP($B77,INDIRECT($B$5&amp;"生成成长"),4))/(VLOOKUP(EO$72,INDIRECT($C$5&amp;"生成成长"),5))*(VLOOKUP($B$5,标准坦克设计!$B$24:$U$30,MATCH("对"&amp;LEFT($C$5,2)&amp;"输出",标准坦克设计!$B$23:$U$23,0)))*(VLOOKUP($B77,INDIRECT($B$5&amp;"生成成长"),3))*(VLOOKUP($B$5,标准坦克设计!$B$14:$K$20,9)/30))</f>
        <v>73.409513461115665</v>
      </c>
      <c r="EP77" s="172">
        <f ca="1">(VLOOKUP(EP$72,INDIRECT($C$5&amp;"生成成长"),2))/((VLOOKUP($B77,INDIRECT($B$5&amp;"生成成长"),4))/(VLOOKUP(EP$72,INDIRECT($C$5&amp;"生成成长"),5))*(VLOOKUP($B$5,标准坦克设计!$B$24:$U$30,MATCH("对"&amp;LEFT($C$5,2)&amp;"输出",标准坦克设计!$B$23:$U$23,0)))*(VLOOKUP($B77,INDIRECT($B$5&amp;"生成成长"),3))*(VLOOKUP($B$5,标准坦克设计!$B$14:$K$20,9)/30))</f>
        <v>78.371039190395706</v>
      </c>
      <c r="EQ77" s="172">
        <f ca="1">(VLOOKUP(EQ$72,INDIRECT($C$5&amp;"生成成长"),2))/((VLOOKUP($B77,INDIRECT($B$5&amp;"生成成长"),4))/(VLOOKUP(EQ$72,INDIRECT($C$5&amp;"生成成长"),5))*(VLOOKUP($B$5,标准坦克设计!$B$24:$U$30,MATCH("对"&amp;LEFT($C$5,2)&amp;"输出",标准坦克设计!$B$23:$U$23,0)))*(VLOOKUP($B77,INDIRECT($B$5&amp;"生成成长"),3))*(VLOOKUP($B$5,标准坦克设计!$B$14:$K$20,9)/30))</f>
        <v>34.645058861675842</v>
      </c>
      <c r="ER77" s="172">
        <f ca="1">(VLOOKUP(ER$72,INDIRECT($C$5&amp;"生成成长"),2))/((VLOOKUP($B77,INDIRECT($B$5&amp;"生成成长"),4))/(VLOOKUP(ER$72,INDIRECT($C$5&amp;"生成成长"),5))*(VLOOKUP($B$5,标准坦克设计!$B$24:$U$30,MATCH("对"&amp;LEFT($C$5,2)&amp;"输出",标准坦克设计!$B$23:$U$23,0)))*(VLOOKUP($B77,INDIRECT($B$5&amp;"生成成长"),3))*(VLOOKUP($B$5,标准坦克设计!$B$14:$K$20,9)/30))</f>
        <v>37.786569873505407</v>
      </c>
      <c r="ES77" s="172">
        <f ca="1">(VLOOKUP(ES$72,INDIRECT($C$5&amp;"生成成长"),2))/((VLOOKUP($B77,INDIRECT($B$5&amp;"生成成长"),4))/(VLOOKUP(ES$72,INDIRECT($C$5&amp;"生成成长"),5))*(VLOOKUP($B$5,标准坦克设计!$B$24:$U$30,MATCH("对"&amp;LEFT($C$5,2)&amp;"输出",标准坦克设计!$B$23:$U$23,0)))*(VLOOKUP($B77,INDIRECT($B$5&amp;"生成成长"),3))*(VLOOKUP($B$5,标准坦克设计!$B$14:$K$20,9)/30))</f>
        <v>41.064398917406486</v>
      </c>
      <c r="ET77" s="172">
        <f ca="1">(VLOOKUP(ET$72,INDIRECT($C$5&amp;"生成成长"),2))/((VLOOKUP($B77,INDIRECT($B$5&amp;"生成成长"),4))/(VLOOKUP(ET$72,INDIRECT($C$5&amp;"生成成长"),5))*(VLOOKUP($B$5,标准坦克设计!$B$24:$U$30,MATCH("对"&amp;LEFT($C$5,2)&amp;"输出",标准坦克设计!$B$23:$U$23,0)))*(VLOOKUP($B77,INDIRECT($B$5&amp;"生成成长"),3))*(VLOOKUP($B$5,标准坦克设计!$B$14:$K$20,9)/30))</f>
        <v>44.478545993379065</v>
      </c>
      <c r="EU77" s="172">
        <f ca="1">(VLOOKUP(EU$72,INDIRECT($C$5&amp;"生成成长"),2))/((VLOOKUP($B77,INDIRECT($B$5&amp;"生成成长"),4))/(VLOOKUP(EU$72,INDIRECT($C$5&amp;"生成成长"),5))*(VLOOKUP($B$5,标准坦克设计!$B$24:$U$30,MATCH("对"&amp;LEFT($C$5,2)&amp;"输出",标准坦克设计!$B$23:$U$23,0)))*(VLOOKUP($B77,INDIRECT($B$5&amp;"生成成长"),3))*(VLOOKUP($B$5,标准坦克设计!$B$14:$K$20,9)/30))</f>
        <v>48.029011101423144</v>
      </c>
      <c r="EV77" s="172">
        <f ca="1">(VLOOKUP(EV$72,INDIRECT($C$5&amp;"生成成长"),2))/((VLOOKUP($B77,INDIRECT($B$5&amp;"生成成长"),4))/(VLOOKUP(EV$72,INDIRECT($C$5&amp;"生成成长"),5))*(VLOOKUP($B$5,标准坦克设计!$B$24:$U$30,MATCH("对"&amp;LEFT($C$5,2)&amp;"输出",标准坦克设计!$B$23:$U$23,0)))*(VLOOKUP($B77,INDIRECT($B$5&amp;"生成成长"),3))*(VLOOKUP($B$5,标准坦克设计!$B$14:$K$20,9)/30))</f>
        <v>51.715794241538717</v>
      </c>
      <c r="EW77" s="172">
        <f ca="1">(VLOOKUP(EW$72,INDIRECT($C$5&amp;"生成成长"),2))/((VLOOKUP($B77,INDIRECT($B$5&amp;"生成成长"),4))/(VLOOKUP(EW$72,INDIRECT($C$5&amp;"生成成长"),5))*(VLOOKUP($B$5,标准坦克设计!$B$24:$U$30,MATCH("对"&amp;LEFT($C$5,2)&amp;"输出",标准坦克设计!$B$23:$U$23,0)))*(VLOOKUP($B77,INDIRECT($B$5&amp;"生成成长"),3))*(VLOOKUP($B$5,标准坦克设计!$B$14:$K$20,9)/30))</f>
        <v>55.538895413725776</v>
      </c>
      <c r="EX77" s="172">
        <f ca="1">(VLOOKUP(EX$72,INDIRECT($C$5&amp;"生成成长"),2))/((VLOOKUP($B77,INDIRECT($B$5&amp;"生成成长"),4))/(VLOOKUP(EX$72,INDIRECT($C$5&amp;"生成成长"),5))*(VLOOKUP($B$5,标准坦克设计!$B$24:$U$30,MATCH("对"&amp;LEFT($C$5,2)&amp;"输出",标准坦克设计!$B$23:$U$23,0)))*(VLOOKUP($B77,INDIRECT($B$5&amp;"生成成长"),3))*(VLOOKUP($B$5,标准坦克设计!$B$14:$K$20,9)/30))</f>
        <v>59.498314617984356</v>
      </c>
      <c r="EY77" s="172">
        <f ca="1">(VLOOKUP(EY$72,INDIRECT($C$5&amp;"生成成长"),2))/((VLOOKUP($B77,INDIRECT($B$5&amp;"生成成长"),4))/(VLOOKUP(EY$72,INDIRECT($C$5&amp;"生成成长"),5))*(VLOOKUP($B$5,标准坦克设计!$B$24:$U$30,MATCH("对"&amp;LEFT($C$5,2)&amp;"输出",标准坦克设计!$B$23:$U$23,0)))*(VLOOKUP($B77,INDIRECT($B$5&amp;"生成成长"),3))*(VLOOKUP($B$5,标准坦克设计!$B$14:$K$20,9)/30))</f>
        <v>63.594051854314444</v>
      </c>
      <c r="EZ77" s="172">
        <f ca="1">(VLOOKUP(EZ$72,INDIRECT($C$5&amp;"生成成长"),2))/((VLOOKUP($B77,INDIRECT($B$5&amp;"生成成长"),4))/(VLOOKUP(EZ$72,INDIRECT($C$5&amp;"生成成长"),5))*(VLOOKUP($B$5,标准坦克设计!$B$24:$U$30,MATCH("对"&amp;LEFT($C$5,2)&amp;"输出",标准坦克设计!$B$23:$U$23,0)))*(VLOOKUP($B77,INDIRECT($B$5&amp;"生成成长"),3))*(VLOOKUP($B$5,标准坦克设计!$B$14:$K$20,9)/30))</f>
        <v>67.826107122716024</v>
      </c>
      <c r="FA77" s="172">
        <f ca="1">(VLOOKUP(FA$72,INDIRECT($C$5&amp;"生成成长"),2))/((VLOOKUP($B77,INDIRECT($B$5&amp;"生成成长"),4))/(VLOOKUP(FA$72,INDIRECT($C$5&amp;"生成成长"),5))*(VLOOKUP($B$5,标准坦克设计!$B$24:$U$30,MATCH("对"&amp;LEFT($C$5,2)&amp;"输出",标准坦克设计!$B$23:$U$23,0)))*(VLOOKUP($B77,INDIRECT($B$5&amp;"生成成长"),3))*(VLOOKUP($B$5,标准坦克设计!$B$14:$K$20,9)/30))</f>
        <v>72.194480423189091</v>
      </c>
      <c r="FB77" s="172">
        <f ca="1">(VLOOKUP(FB$72,INDIRECT($C$5&amp;"生成成长"),2))/((VLOOKUP($B77,INDIRECT($B$5&amp;"生成成长"),4))/(VLOOKUP(FB$72,INDIRECT($C$5&amp;"生成成长"),5))*(VLOOKUP($B$5,标准坦克设计!$B$24:$U$30,MATCH("对"&amp;LEFT($C$5,2)&amp;"输出",标准坦克设计!$B$23:$U$23,0)))*(VLOOKUP($B77,INDIRECT($B$5&amp;"生成成长"),3))*(VLOOKUP($B$5,标准坦克设计!$B$14:$K$20,9)/30))</f>
        <v>76.699171755733673</v>
      </c>
      <c r="FC77" s="172">
        <f ca="1">(VLOOKUP(FC$72,INDIRECT($C$5&amp;"生成成长"),2))/((VLOOKUP($B77,INDIRECT($B$5&amp;"生成成长"),4))/(VLOOKUP(FC$72,INDIRECT($C$5&amp;"生成成长"),5))*(VLOOKUP($B$5,标准坦克设计!$B$24:$U$30,MATCH("对"&amp;LEFT($C$5,2)&amp;"输出",标准坦克设计!$B$23:$U$23,0)))*(VLOOKUP($B77,INDIRECT($B$5&amp;"生成成长"),3))*(VLOOKUP($B$5,标准坦克设计!$B$14:$K$20,9)/30))</f>
        <v>81.34018112034974</v>
      </c>
      <c r="FD77" s="172">
        <f ca="1">(VLOOKUP(FD$72,INDIRECT($C$5&amp;"生成成长"),2))/((VLOOKUP($B77,INDIRECT($B$5&amp;"生成成长"),4))/(VLOOKUP(FD$72,INDIRECT($C$5&amp;"生成成长"),5))*(VLOOKUP($B$5,标准坦克设计!$B$24:$U$30,MATCH("对"&amp;LEFT($C$5,2)&amp;"输出",标准坦克设计!$B$23:$U$23,0)))*(VLOOKUP($B77,INDIRECT($B$5&amp;"生成成长"),3))*(VLOOKUP($B$5,标准坦克设计!$B$14:$K$20,9)/30))</f>
        <v>86.117508517037322</v>
      </c>
      <c r="FE77" s="172">
        <f ca="1">(VLOOKUP(FE$72,INDIRECT($C$5&amp;"生成成长"),2))/((VLOOKUP($B77,INDIRECT($B$5&amp;"生成成长"),4))/(VLOOKUP(FE$72,INDIRECT($C$5&amp;"生成成长"),5))*(VLOOKUP($B$5,标准坦克设计!$B$24:$U$30,MATCH("对"&amp;LEFT($C$5,2)&amp;"输出",标准坦克设计!$B$23:$U$23,0)))*(VLOOKUP($B77,INDIRECT($B$5&amp;"生成成长"),3))*(VLOOKUP($B$5,标准坦克设计!$B$14:$K$20,9)/30))</f>
        <v>91.939189762735481</v>
      </c>
      <c r="FF77" s="172">
        <f ca="1">(VLOOKUP(FF$72,INDIRECT($C$5&amp;"生成成长"),2))/((VLOOKUP($B77,INDIRECT($B$5&amp;"生成成长"),4))/(VLOOKUP(FF$72,INDIRECT($C$5&amp;"生成成长"),5))*(VLOOKUP($B$5,标准坦克设计!$B$24:$U$30,MATCH("对"&amp;LEFT($C$5,2)&amp;"输出",标准坦克设计!$B$23:$U$23,0)))*(VLOOKUP($B77,INDIRECT($B$5&amp;"生成成长"),3))*(VLOOKUP($B$5,标准坦克设计!$B$14:$K$20,9)/30))</f>
        <v>97.951265615211199</v>
      </c>
      <c r="FG77" s="172">
        <f ca="1">(VLOOKUP(FG$72,INDIRECT($C$5&amp;"生成成长"),2))/((VLOOKUP($B77,INDIRECT($B$5&amp;"生成成长"),4))/(VLOOKUP(FG$72,INDIRECT($C$5&amp;"生成成长"),5))*(VLOOKUP($B$5,标准坦克设计!$B$24:$U$30,MATCH("对"&amp;LEFT($C$5,2)&amp;"输出",标准坦克设计!$B$23:$U$23,0)))*(VLOOKUP($B77,INDIRECT($B$5&amp;"生成成长"),3))*(VLOOKUP($B$5,标准坦克设计!$B$14:$K$20,9)/30))</f>
        <v>104.15373607446445</v>
      </c>
      <c r="FH77" s="172">
        <f ca="1">(VLOOKUP(FH$72,INDIRECT($C$5&amp;"生成成长"),2))/((VLOOKUP($B77,INDIRECT($B$5&amp;"生成成长"),4))/(VLOOKUP(FH$72,INDIRECT($C$5&amp;"生成成长"),5))*(VLOOKUP($B$5,标准坦克设计!$B$24:$U$30,MATCH("对"&amp;LEFT($C$5,2)&amp;"输出",标准坦克设计!$B$23:$U$23,0)))*(VLOOKUP($B77,INDIRECT($B$5&amp;"生成成长"),3))*(VLOOKUP($B$5,标准坦克设计!$B$14:$K$20,9)/30))</f>
        <v>110.54660114049528</v>
      </c>
      <c r="FI77" s="172">
        <f ca="1">(VLOOKUP(FI$72,INDIRECT($C$5&amp;"生成成长"),2))/((VLOOKUP($B77,INDIRECT($B$5&amp;"生成成长"),4))/(VLOOKUP(FI$72,INDIRECT($C$5&amp;"生成成长"),5))*(VLOOKUP($B$5,标准坦克设计!$B$24:$U$30,MATCH("对"&amp;LEFT($C$5,2)&amp;"输出",标准坦克设计!$B$23:$U$23,0)))*(VLOOKUP($B77,INDIRECT($B$5&amp;"生成成长"),3))*(VLOOKUP($B$5,标准坦克设计!$B$14:$K$20,9)/30))</f>
        <v>117.12986081330364</v>
      </c>
      <c r="FJ77" s="172">
        <f ca="1">(VLOOKUP(FJ$72,INDIRECT($C$5&amp;"生成成长"),2))/((VLOOKUP($B77,INDIRECT($B$5&amp;"生成成长"),4))/(VLOOKUP(FJ$72,INDIRECT($C$5&amp;"生成成长"),5))*(VLOOKUP($B$5,标准坦克设计!$B$24:$U$30,MATCH("对"&amp;LEFT($C$5,2)&amp;"输出",标准坦克设计!$B$23:$U$23,0)))*(VLOOKUP($B77,INDIRECT($B$5&amp;"生成成长"),3))*(VLOOKUP($B$5,标准坦克设计!$B$14:$K$20,9)/30))</f>
        <v>123.90351509288953</v>
      </c>
      <c r="FK77" s="172">
        <f ca="1">(VLOOKUP(FK$72,INDIRECT($C$5&amp;"生成成长"),2))/((VLOOKUP($B77,INDIRECT($B$5&amp;"生成成长"),4))/(VLOOKUP(FK$72,INDIRECT($C$5&amp;"生成成长"),5))*(VLOOKUP($B$5,标准坦克设计!$B$24:$U$30,MATCH("对"&amp;LEFT($C$5,2)&amp;"输出",标准坦克设计!$B$23:$U$23,0)))*(VLOOKUP($B77,INDIRECT($B$5&amp;"生成成长"),3))*(VLOOKUP($B$5,标准坦克设计!$B$14:$K$20,9)/30))</f>
        <v>130.86756397925302</v>
      </c>
    </row>
    <row r="78" spans="1:167" x14ac:dyDescent="0.15">
      <c r="A78" s="170" t="str">
        <f t="shared" si="11"/>
        <v>T2低品质1级</v>
      </c>
      <c r="B78" s="171">
        <v>10201</v>
      </c>
      <c r="C78" s="172">
        <f ca="1">(VLOOKUP(C$72,INDIRECT($C$5&amp;"生成成长"),2))/((VLOOKUP($B78,INDIRECT($B$5&amp;"生成成长"),4))/(VLOOKUP(C$72,INDIRECT($C$5&amp;"生成成长"),5))*(VLOOKUP($B$5,标准坦克设计!$B$24:$U$30,MATCH("对"&amp;LEFT($C$5,2)&amp;"输出",标准坦克设计!$B$23:$U$23,0)))*(VLOOKUP($B78,INDIRECT($B$5&amp;"生成成长"),3))*(VLOOKUP($B$5,标准坦克设计!$B$14:$K$20,9)/30))</f>
        <v>6.4387864215550801</v>
      </c>
      <c r="D78" s="172">
        <f ca="1">(VLOOKUP(D$72,INDIRECT($C$5&amp;"生成成长"),2))/((VLOOKUP($B78,INDIRECT($B$5&amp;"生成成长"),4))/(VLOOKUP(D$72,INDIRECT($C$5&amp;"生成成长"),5))*(VLOOKUP($B$5,标准坦克设计!$B$24:$U$30,MATCH("对"&amp;LEFT($C$5,2)&amp;"输出",标准坦克设计!$B$23:$U$23,0)))*(VLOOKUP($B78,INDIRECT($B$5&amp;"生成成长"),3))*(VLOOKUP($B$5,标准坦克设计!$B$14:$K$20,9)/30))</f>
        <v>7.2346204232592894</v>
      </c>
      <c r="E78" s="172">
        <f ca="1">(VLOOKUP(E$72,INDIRECT($C$5&amp;"生成成长"),2))/((VLOOKUP($B78,INDIRECT($B$5&amp;"生成成长"),4))/(VLOOKUP(E$72,INDIRECT($C$5&amp;"生成成长"),5))*(VLOOKUP($B$5,标准坦克设计!$B$24:$U$30,MATCH("对"&amp;LEFT($C$5,2)&amp;"输出",标准坦克设计!$B$23:$U$23,0)))*(VLOOKUP($B78,INDIRECT($B$5&amp;"生成成长"),3))*(VLOOKUP($B$5,标准坦克设计!$B$14:$K$20,9)/30))</f>
        <v>8.0768136871986922</v>
      </c>
      <c r="F78" s="172">
        <f ca="1">(VLOOKUP(F$72,INDIRECT($C$5&amp;"生成成长"),2))/((VLOOKUP($B78,INDIRECT($B$5&amp;"生成成长"),4))/(VLOOKUP(F$72,INDIRECT($C$5&amp;"生成成长"),5))*(VLOOKUP($B$5,标准坦克设计!$B$24:$U$30,MATCH("对"&amp;LEFT($C$5,2)&amp;"输出",标准坦克设计!$B$23:$U$23,0)))*(VLOOKUP($B78,INDIRECT($B$5&amp;"生成成长"),3))*(VLOOKUP($B$5,标准坦克设计!$B$14:$K$20,9)/30))</f>
        <v>8.9653662133732919</v>
      </c>
      <c r="G78" s="172">
        <f ca="1">(VLOOKUP(G$72,INDIRECT($C$5&amp;"生成成长"),2))/((VLOOKUP($B78,INDIRECT($B$5&amp;"生成成长"),4))/(VLOOKUP(G$72,INDIRECT($C$5&amp;"生成成长"),5))*(VLOOKUP($B$5,标准坦克设计!$B$24:$U$30,MATCH("对"&amp;LEFT($C$5,2)&amp;"输出",标准坦克设计!$B$23:$U$23,0)))*(VLOOKUP($B78,INDIRECT($B$5&amp;"生成成长"),3))*(VLOOKUP($B$5,标准坦克设计!$B$14:$K$20,9)/30))</f>
        <v>9.9002780017830911</v>
      </c>
      <c r="H78" s="172">
        <f ca="1">(VLOOKUP(H$72,INDIRECT($C$5&amp;"生成成长"),2))/((VLOOKUP($B78,INDIRECT($B$5&amp;"生成成长"),4))/(VLOOKUP(H$72,INDIRECT($C$5&amp;"生成成长"),5))*(VLOOKUP($B$5,标准坦克设计!$B$24:$U$30,MATCH("对"&amp;LEFT($C$5,2)&amp;"输出",标准坦克设计!$B$23:$U$23,0)))*(VLOOKUP($B78,INDIRECT($B$5&amp;"生成成长"),3))*(VLOOKUP($B$5,标准坦克设计!$B$14:$K$20,9)/30))</f>
        <v>8.6640310088445158</v>
      </c>
      <c r="I78" s="172">
        <f ca="1">(VLOOKUP(I$72,INDIRECT($C$5&amp;"生成成长"),2))/((VLOOKUP($B78,INDIRECT($B$5&amp;"生成成长"),4))/(VLOOKUP(I$72,INDIRECT($C$5&amp;"生成成长"),5))*(VLOOKUP($B$5,标准坦克设计!$B$24:$U$30,MATCH("对"&amp;LEFT($C$5,2)&amp;"输出",标准坦克设计!$B$23:$U$23,0)))*(VLOOKUP($B78,INDIRECT($B$5&amp;"生成成长"),3))*(VLOOKUP($B$5,标准坦克设计!$B$14:$K$20,9)/30))</f>
        <v>9.9002780017830911</v>
      </c>
      <c r="J78" s="172">
        <f ca="1">(VLOOKUP(J$72,INDIRECT($C$5&amp;"生成成长"),2))/((VLOOKUP($B78,INDIRECT($B$5&amp;"生成成长"),4))/(VLOOKUP(J$72,INDIRECT($C$5&amp;"生成成长"),5))*(VLOOKUP($B$5,标准坦克设计!$B$24:$U$30,MATCH("对"&amp;LEFT($C$5,2)&amp;"输出",标准坦克设计!$B$23:$U$23,0)))*(VLOOKUP($B78,INDIRECT($B$5&amp;"生成成长"),3))*(VLOOKUP($B$5,标准坦克设计!$B$14:$K$20,9)/30))</f>
        <v>11.21894146091757</v>
      </c>
      <c r="K78" s="172">
        <f ca="1">(VLOOKUP(K$72,INDIRECT($C$5&amp;"生成成长"),2))/((VLOOKUP($B78,INDIRECT($B$5&amp;"生成成长"),4))/(VLOOKUP(K$72,INDIRECT($C$5&amp;"生成成长"),5))*(VLOOKUP($B$5,标准坦克设计!$B$24:$U$30,MATCH("对"&amp;LEFT($C$5,2)&amp;"输出",标准坦克设计!$B$23:$U$23,0)))*(VLOOKUP($B78,INDIRECT($B$5&amp;"生成成长"),3))*(VLOOKUP($B$5,标准坦克设计!$B$14:$K$20,9)/30))</f>
        <v>12.620021386247958</v>
      </c>
      <c r="L78" s="172">
        <f ca="1">(VLOOKUP(L$72,INDIRECT($C$5&amp;"生成成长"),2))/((VLOOKUP($B78,INDIRECT($B$5&amp;"生成成长"),4))/(VLOOKUP(L$72,INDIRECT($C$5&amp;"生成成长"),5))*(VLOOKUP($B$5,标准坦克设计!$B$24:$U$30,MATCH("对"&amp;LEFT($C$5,2)&amp;"输出",标准坦克设计!$B$23:$U$23,0)))*(VLOOKUP($B78,INDIRECT($B$5&amp;"生成成长"),3))*(VLOOKUP($B$5,标准坦克设计!$B$14:$K$20,9)/30))</f>
        <v>14.103517777774249</v>
      </c>
      <c r="M78" s="172">
        <f ca="1">(VLOOKUP(M$72,INDIRECT($C$5&amp;"生成成长"),2))/((VLOOKUP($B78,INDIRECT($B$5&amp;"生成成长"),4))/(VLOOKUP(M$72,INDIRECT($C$5&amp;"生成成长"),5))*(VLOOKUP($B$5,标准坦克设计!$B$24:$U$30,MATCH("对"&amp;LEFT($C$5,2)&amp;"输出",标准坦克设计!$B$23:$U$23,0)))*(VLOOKUP($B78,INDIRECT($B$5&amp;"生成成长"),3))*(VLOOKUP($B$5,标准坦克设计!$B$14:$K$20,9)/30))</f>
        <v>15.669430635496443</v>
      </c>
      <c r="N78" s="172">
        <f ca="1">(VLOOKUP(N$72,INDIRECT($C$5&amp;"生成成长"),2))/((VLOOKUP($B78,INDIRECT($B$5&amp;"生成成长"),4))/(VLOOKUP(N$72,INDIRECT($C$5&amp;"生成成长"),5))*(VLOOKUP($B$5,标准坦克设计!$B$24:$U$30,MATCH("对"&amp;LEFT($C$5,2)&amp;"输出",标准坦克设计!$B$23:$U$23,0)))*(VLOOKUP($B78,INDIRECT($B$5&amp;"生成成长"),3))*(VLOOKUP($B$5,标准坦克设计!$B$14:$K$20,9)/30))</f>
        <v>17.317759959414548</v>
      </c>
      <c r="O78" s="172">
        <f ca="1">(VLOOKUP(O$72,INDIRECT($C$5&amp;"生成成长"),2))/((VLOOKUP($B78,INDIRECT($B$5&amp;"生成成长"),4))/(VLOOKUP(O$72,INDIRECT($C$5&amp;"生成成长"),5))*(VLOOKUP($B$5,标准坦克设计!$B$24:$U$30,MATCH("对"&amp;LEFT($C$5,2)&amp;"输出",标准坦克设计!$B$23:$U$23,0)))*(VLOOKUP($B78,INDIRECT($B$5&amp;"生成成长"),3))*(VLOOKUP($B$5,标准坦克设计!$B$14:$K$20,9)/30))</f>
        <v>13.166674353437985</v>
      </c>
      <c r="P78" s="172">
        <f ca="1">(VLOOKUP(P$72,INDIRECT($C$5&amp;"生成成长"),2))/((VLOOKUP($B78,INDIRECT($B$5&amp;"生成成长"),4))/(VLOOKUP(P$72,INDIRECT($C$5&amp;"生成成长"),5))*(VLOOKUP($B$5,标准坦克设计!$B$24:$U$30,MATCH("对"&amp;LEFT($C$5,2)&amp;"输出",标准坦克设计!$B$23:$U$23,0)))*(VLOOKUP($B78,INDIRECT($B$5&amp;"生成成长"),3))*(VLOOKUP($B$5,标准坦克设计!$B$14:$K$20,9)/30))</f>
        <v>14.876172148360856</v>
      </c>
      <c r="Q78" s="172">
        <f ca="1">(VLOOKUP(Q$72,INDIRECT($C$5&amp;"生成成长"),2))/((VLOOKUP($B78,INDIRECT($B$5&amp;"生成成长"),4))/(VLOOKUP(Q$72,INDIRECT($C$5&amp;"生成成长"),5))*(VLOOKUP($B$5,标准坦克设计!$B$24:$U$30,MATCH("对"&amp;LEFT($C$5,2)&amp;"输出",标准坦克设计!$B$23:$U$23,0)))*(VLOOKUP($B78,INDIRECT($B$5&amp;"生成成长"),3))*(VLOOKUP($B$5,标准坦克设计!$B$14:$K$20,9)/30))</f>
        <v>16.689978283312922</v>
      </c>
      <c r="R78" s="172">
        <f ca="1">(VLOOKUP(R$72,INDIRECT($C$5&amp;"生成成长"),2))/((VLOOKUP($B78,INDIRECT($B$5&amp;"生成成长"),4))/(VLOOKUP(R$72,INDIRECT($C$5&amp;"生成成长"),5))*(VLOOKUP($B$5,标准坦克设计!$B$24:$U$30,MATCH("对"&amp;LEFT($C$5,2)&amp;"输出",标准坦克设计!$B$23:$U$23,0)))*(VLOOKUP($B78,INDIRECT($B$5&amp;"生成成长"),3))*(VLOOKUP($B$5,标准坦克设计!$B$14:$K$20,9)/30))</f>
        <v>18.60809275829418</v>
      </c>
      <c r="S78" s="172">
        <f ca="1">(VLOOKUP(S$72,INDIRECT($C$5&amp;"生成成长"),2))/((VLOOKUP($B78,INDIRECT($B$5&amp;"生成成长"),4))/(VLOOKUP(S$72,INDIRECT($C$5&amp;"生成成长"),5))*(VLOOKUP($B$5,标准坦克设计!$B$24:$U$30,MATCH("对"&amp;LEFT($C$5,2)&amp;"输出",标准坦克设计!$B$23:$U$23,0)))*(VLOOKUP($B78,INDIRECT($B$5&amp;"生成成长"),3))*(VLOOKUP($B$5,标准坦克设计!$B$14:$K$20,9)/30))</f>
        <v>20.630515573304631</v>
      </c>
      <c r="T78" s="172">
        <f ca="1">(VLOOKUP(T$72,INDIRECT($C$5&amp;"生成成长"),2))/((VLOOKUP($B78,INDIRECT($B$5&amp;"生成成长"),4))/(VLOOKUP(T$72,INDIRECT($C$5&amp;"生成成长"),5))*(VLOOKUP($B$5,标准坦克设计!$B$24:$U$30,MATCH("对"&amp;LEFT($C$5,2)&amp;"输出",标准坦克设计!$B$23:$U$23,0)))*(VLOOKUP($B78,INDIRECT($B$5&amp;"生成成长"),3))*(VLOOKUP($B$5,标准坦克设计!$B$14:$K$20,9)/30))</f>
        <v>22.757246728344274</v>
      </c>
      <c r="U78" s="172">
        <f ca="1">(VLOOKUP(U$72,INDIRECT($C$5&amp;"生成成长"),2))/((VLOOKUP($B78,INDIRECT($B$5&amp;"生成成长"),4))/(VLOOKUP(U$72,INDIRECT($C$5&amp;"生成成长"),5))*(VLOOKUP($B$5,标准坦克设计!$B$24:$U$30,MATCH("对"&amp;LEFT($C$5,2)&amp;"输出",标准坦克设计!$B$23:$U$23,0)))*(VLOOKUP($B78,INDIRECT($B$5&amp;"生成成长"),3))*(VLOOKUP($B$5,标准坦克设计!$B$14:$K$20,9)/30))</f>
        <v>24.988286223413109</v>
      </c>
      <c r="V78" s="172">
        <f ca="1">(VLOOKUP(V$72,INDIRECT($C$5&amp;"生成成长"),2))/((VLOOKUP($B78,INDIRECT($B$5&amp;"生成成长"),4))/(VLOOKUP(V$72,INDIRECT($C$5&amp;"生成成长"),5))*(VLOOKUP($B$5,标准坦克设计!$B$24:$U$30,MATCH("对"&amp;LEFT($C$5,2)&amp;"输出",标准坦克设计!$B$23:$U$23,0)))*(VLOOKUP($B78,INDIRECT($B$5&amp;"生成成长"),3))*(VLOOKUP($B$5,标准坦克设计!$B$14:$K$20,9)/30))</f>
        <v>27.323634058511136</v>
      </c>
      <c r="W78" s="172">
        <f ca="1">(VLOOKUP(W$72,INDIRECT($C$5&amp;"生成成长"),2))/((VLOOKUP($B78,INDIRECT($B$5&amp;"生成成长"),4))/(VLOOKUP(W$72,INDIRECT($C$5&amp;"生成成长"),5))*(VLOOKUP($B$5,标准坦克设计!$B$24:$U$30,MATCH("对"&amp;LEFT($C$5,2)&amp;"输出",标准坦克设计!$B$23:$U$23,0)))*(VLOOKUP($B78,INDIRECT($B$5&amp;"生成成长"),3))*(VLOOKUP($B$5,标准坦克设计!$B$14:$K$20,9)/30))</f>
        <v>29.763290233638358</v>
      </c>
      <c r="X78" s="172">
        <f ca="1">(VLOOKUP(X$72,INDIRECT($C$5&amp;"生成成长"),2))/((VLOOKUP($B78,INDIRECT($B$5&amp;"生成成长"),4))/(VLOOKUP(X$72,INDIRECT($C$5&amp;"生成成长"),5))*(VLOOKUP($B$5,标准坦克设计!$B$24:$U$30,MATCH("对"&amp;LEFT($C$5,2)&amp;"输出",标准坦克设计!$B$23:$U$23,0)))*(VLOOKUP($B78,INDIRECT($B$5&amp;"生成成长"),3))*(VLOOKUP($B$5,标准坦克设计!$B$14:$K$20,9)/30))</f>
        <v>21.562851847145808</v>
      </c>
      <c r="Y78" s="172">
        <f ca="1">(VLOOKUP(Y$72,INDIRECT($C$5&amp;"生成成长"),2))/((VLOOKUP($B78,INDIRECT($B$5&amp;"生成成长"),4))/(VLOOKUP(Y$72,INDIRECT($C$5&amp;"生成成长"),5))*(VLOOKUP($B$5,标准坦克设计!$B$24:$U$30,MATCH("对"&amp;LEFT($C$5,2)&amp;"输出",标准坦克设计!$B$23:$U$23,0)))*(VLOOKUP($B78,INDIRECT($B$5&amp;"生成成长"),3))*(VLOOKUP($B$5,标准坦克设计!$B$14:$K$20,9)/30))</f>
        <v>23.983835541650514</v>
      </c>
      <c r="Z78" s="172">
        <f ca="1">(VLOOKUP(Z$72,INDIRECT($C$5&amp;"生成成长"),2))/((VLOOKUP($B78,INDIRECT($B$5&amp;"生成成长"),4))/(VLOOKUP(Z$72,INDIRECT($C$5&amp;"生成成长"),5))*(VLOOKUP($B$5,标准坦克设计!$B$24:$U$30,MATCH("对"&amp;LEFT($C$5,2)&amp;"输出",标准坦克设计!$B$23:$U$23,0)))*(VLOOKUP($B78,INDIRECT($B$5&amp;"生成成长"),3))*(VLOOKUP($B$5,标准坦克设计!$B$14:$K$20,9)/30))</f>
        <v>26.533594964586335</v>
      </c>
      <c r="AA78" s="172">
        <f ca="1">(VLOOKUP(AA$72,INDIRECT($C$5&amp;"生成成长"),2))/((VLOOKUP($B78,INDIRECT($B$5&amp;"生成成长"),4))/(VLOOKUP(AA$72,INDIRECT($C$5&amp;"生成成长"),5))*(VLOOKUP($B$5,标准坦克设计!$B$24:$U$30,MATCH("对"&amp;LEFT($C$5,2)&amp;"输出",标准坦克设计!$B$23:$U$23,0)))*(VLOOKUP($B78,INDIRECT($B$5&amp;"生成成长"),3))*(VLOOKUP($B$5,标准坦克设计!$B$14:$K$20,9)/30))</f>
        <v>29.212130115953247</v>
      </c>
      <c r="AB78" s="172">
        <f ca="1">(VLOOKUP(AB$72,INDIRECT($C$5&amp;"生成成长"),2))/((VLOOKUP($B78,INDIRECT($B$5&amp;"生成成长"),4))/(VLOOKUP(AB$72,INDIRECT($C$5&amp;"生成成长"),5))*(VLOOKUP($B$5,标准坦克设计!$B$24:$U$30,MATCH("对"&amp;LEFT($C$5,2)&amp;"输出",标准坦克设计!$B$23:$U$23,0)))*(VLOOKUP($B78,INDIRECT($B$5&amp;"生成成长"),3))*(VLOOKUP($B$5,标准坦克设计!$B$14:$K$20,9)/30))</f>
        <v>32.01944099575126</v>
      </c>
      <c r="AC78" s="172">
        <f ca="1">(VLOOKUP(AC$72,INDIRECT($C$5&amp;"生成成长"),2))/((VLOOKUP($B78,INDIRECT($B$5&amp;"生成成长"),4))/(VLOOKUP(AC$72,INDIRECT($C$5&amp;"生成成长"),5))*(VLOOKUP($B$5,标准坦克设计!$B$24:$U$30,MATCH("对"&amp;LEFT($C$5,2)&amp;"输出",标准坦克设计!$B$23:$U$23,0)))*(VLOOKUP($B78,INDIRECT($B$5&amp;"生成成长"),3))*(VLOOKUP($B$5,标准坦克设计!$B$14:$K$20,9)/30))</f>
        <v>34.955527603980372</v>
      </c>
      <c r="AD78" s="172">
        <f ca="1">(VLOOKUP(AD$72,INDIRECT($C$5&amp;"生成成长"),2))/((VLOOKUP($B78,INDIRECT($B$5&amp;"生成成长"),4))/(VLOOKUP(AD$72,INDIRECT($C$5&amp;"生成成长"),5))*(VLOOKUP($B$5,标准坦克设计!$B$24:$U$30,MATCH("对"&amp;LEFT($C$5,2)&amp;"输出",标准坦克设计!$B$23:$U$23,0)))*(VLOOKUP($B78,INDIRECT($B$5&amp;"生成成长"),3))*(VLOOKUP($B$5,标准坦克设计!$B$14:$K$20,9)/30))</f>
        <v>38.020389940640598</v>
      </c>
      <c r="AE78" s="172">
        <f ca="1">(VLOOKUP(AE$72,INDIRECT($C$5&amp;"生成成长"),2))/((VLOOKUP($B78,INDIRECT($B$5&amp;"生成成长"),4))/(VLOOKUP(AE$72,INDIRECT($C$5&amp;"生成成长"),5))*(VLOOKUP($B$5,标准坦克设计!$B$24:$U$30,MATCH("对"&amp;LEFT($C$5,2)&amp;"输出",标准坦克设计!$B$23:$U$23,0)))*(VLOOKUP($B78,INDIRECT($B$5&amp;"生成成长"),3))*(VLOOKUP($B$5,标准坦克设计!$B$14:$K$20,9)/30))</f>
        <v>41.214028005731912</v>
      </c>
      <c r="AF78" s="172">
        <f ca="1">(VLOOKUP(AF$72,INDIRECT($C$5&amp;"生成成长"),2))/((VLOOKUP($B78,INDIRECT($B$5&amp;"生成成长"),4))/(VLOOKUP(AF$72,INDIRECT($C$5&amp;"生成成长"),5))*(VLOOKUP($B$5,标准坦克设计!$B$24:$U$30,MATCH("对"&amp;LEFT($C$5,2)&amp;"输出",标准坦克设计!$B$23:$U$23,0)))*(VLOOKUP($B78,INDIRECT($B$5&amp;"生成成长"),3))*(VLOOKUP($B$5,标准坦克设计!$B$14:$K$20,9)/30))</f>
        <v>44.536441799254334</v>
      </c>
      <c r="AG78" s="172">
        <f ca="1">(VLOOKUP(AG$72,INDIRECT($C$5&amp;"生成成长"),2))/((VLOOKUP($B78,INDIRECT($B$5&amp;"生成成长"),4))/(VLOOKUP(AG$72,INDIRECT($C$5&amp;"生成成长"),5))*(VLOOKUP($B$5,标准坦克设计!$B$24:$U$30,MATCH("对"&amp;LEFT($C$5,2)&amp;"输出",标准坦克设计!$B$23:$U$23,0)))*(VLOOKUP($B78,INDIRECT($B$5&amp;"生成成长"),3))*(VLOOKUP($B$5,标准坦克设计!$B$14:$K$20,9)/30))</f>
        <v>47.987631321207864</v>
      </c>
      <c r="AH78" s="172">
        <f ca="1">(VLOOKUP(AH$72,INDIRECT($C$5&amp;"生成成长"),2))/((VLOOKUP($B78,INDIRECT($B$5&amp;"生成成长"),4))/(VLOOKUP(AH$72,INDIRECT($C$5&amp;"生成成长"),5))*(VLOOKUP($B$5,标准坦克设计!$B$24:$U$30,MATCH("对"&amp;LEFT($C$5,2)&amp;"输出",标准坦克设计!$B$23:$U$23,0)))*(VLOOKUP($B78,INDIRECT($B$5&amp;"生成成长"),3))*(VLOOKUP($B$5,标准坦克设计!$B$14:$K$20,9)/30))</f>
        <v>51.567596571592475</v>
      </c>
      <c r="AI78" s="172">
        <f ca="1">(VLOOKUP(AI$72,INDIRECT($C$5&amp;"生成成长"),2))/((VLOOKUP($B78,INDIRECT($B$5&amp;"生成成长"),4))/(VLOOKUP(AI$72,INDIRECT($C$5&amp;"生成成长"),5))*(VLOOKUP($B$5,标准坦克设计!$B$24:$U$30,MATCH("对"&amp;LEFT($C$5,2)&amp;"输出",标准坦克设计!$B$23:$U$23,0)))*(VLOOKUP($B78,INDIRECT($B$5&amp;"生成成长"),3))*(VLOOKUP($B$5,标准坦克设计!$B$14:$K$20,9)/30))</f>
        <v>36.471861806256598</v>
      </c>
      <c r="AJ78" s="172">
        <f ca="1">(VLOOKUP(AJ$72,INDIRECT($C$5&amp;"生成成长"),2))/((VLOOKUP($B78,INDIRECT($B$5&amp;"生成成长"),4))/(VLOOKUP(AJ$72,INDIRECT($C$5&amp;"生成成长"),5))*(VLOOKUP($B$5,标准坦克设计!$B$24:$U$30,MATCH("对"&amp;LEFT($C$5,2)&amp;"输出",标准坦克设计!$B$23:$U$23,0)))*(VLOOKUP($B78,INDIRECT($B$5&amp;"生成成长"),3))*(VLOOKUP($B$5,标准坦克设计!$B$14:$K$20,9)/30))</f>
        <v>39.921119692283654</v>
      </c>
      <c r="AK78" s="172">
        <f ca="1">(VLOOKUP(AK$72,INDIRECT($C$5&amp;"生成成长"),2))/((VLOOKUP($B78,INDIRECT($B$5&amp;"生成成长"),4))/(VLOOKUP(AK$72,INDIRECT($C$5&amp;"生成成长"),5))*(VLOOKUP($B$5,标准坦克设计!$B$24:$U$30,MATCH("对"&amp;LEFT($C$5,2)&amp;"输出",标准坦克设计!$B$23:$U$23,0)))*(VLOOKUP($B78,INDIRECT($B$5&amp;"生成成长"),3))*(VLOOKUP($B$5,标准坦克设计!$B$14:$K$20,9)/30))</f>
        <v>43.526196209712339</v>
      </c>
      <c r="AL78" s="172">
        <f ca="1">(VLOOKUP(AL$72,INDIRECT($C$5&amp;"生成成长"),2))/((VLOOKUP($B78,INDIRECT($B$5&amp;"生成成长"),4))/(VLOOKUP(AL$72,INDIRECT($C$5&amp;"生成成长"),5))*(VLOOKUP($B$5,标准坦克设计!$B$24:$U$30,MATCH("对"&amp;LEFT($C$5,2)&amp;"输出",标准坦克设计!$B$23:$U$23,0)))*(VLOOKUP($B78,INDIRECT($B$5&amp;"生成成长"),3))*(VLOOKUP($B$5,标准坦克设计!$B$14:$K$20,9)/30))</f>
        <v>47.287091358542675</v>
      </c>
      <c r="AM78" s="172">
        <f ca="1">(VLOOKUP(AM$72,INDIRECT($C$5&amp;"生成成长"),2))/((VLOOKUP($B78,INDIRECT($B$5&amp;"生成成长"),4))/(VLOOKUP(AM$72,INDIRECT($C$5&amp;"生成成长"),5))*(VLOOKUP($B$5,标准坦克设计!$B$24:$U$30,MATCH("对"&amp;LEFT($C$5,2)&amp;"输出",标准坦克设计!$B$23:$U$23,0)))*(VLOOKUP($B78,INDIRECT($B$5&amp;"生成成长"),3))*(VLOOKUP($B$5,标准坦克设计!$B$14:$K$20,9)/30))</f>
        <v>51.203805138774626</v>
      </c>
      <c r="AN78" s="172">
        <f ca="1">(VLOOKUP(AN$72,INDIRECT($C$5&amp;"生成成长"),2))/((VLOOKUP($B78,INDIRECT($B$5&amp;"生成成长"),4))/(VLOOKUP(AN$72,INDIRECT($C$5&amp;"生成成长"),5))*(VLOOKUP($B$5,标准坦克设计!$B$24:$U$30,MATCH("对"&amp;LEFT($C$5,2)&amp;"输出",标准坦克设计!$B$23:$U$23,0)))*(VLOOKUP($B78,INDIRECT($B$5&amp;"生成成长"),3))*(VLOOKUP($B$5,标准坦克设计!$B$14:$K$20,9)/30))</f>
        <v>55.276337550408208</v>
      </c>
      <c r="AO78" s="172">
        <f ca="1">(VLOOKUP(AO$72,INDIRECT($C$5&amp;"生成成长"),2))/((VLOOKUP($B78,INDIRECT($B$5&amp;"生成成长"),4))/(VLOOKUP(AO$72,INDIRECT($C$5&amp;"生成成长"),5))*(VLOOKUP($B$5,标准坦克设计!$B$24:$U$30,MATCH("对"&amp;LEFT($C$5,2)&amp;"输出",标准坦克设计!$B$23:$U$23,0)))*(VLOOKUP($B78,INDIRECT($B$5&amp;"生成成长"),3))*(VLOOKUP($B$5,标准坦克设计!$B$14:$K$20,9)/30))</f>
        <v>59.504688593443426</v>
      </c>
      <c r="AP78" s="172">
        <f ca="1">(VLOOKUP(AP$72,INDIRECT($C$5&amp;"生成成长"),2))/((VLOOKUP($B78,INDIRECT($B$5&amp;"生成成长"),4))/(VLOOKUP(AP$72,INDIRECT($C$5&amp;"生成成长"),5))*(VLOOKUP($B$5,标准坦克设计!$B$24:$U$30,MATCH("对"&amp;LEFT($C$5,2)&amp;"输出",标准坦克设计!$B$23:$U$23,0)))*(VLOOKUP($B78,INDIRECT($B$5&amp;"生成成长"),3))*(VLOOKUP($B$5,标准坦克设计!$B$14:$K$20,9)/30))</f>
        <v>63.888858267880273</v>
      </c>
      <c r="AQ78" s="172">
        <f ca="1">(VLOOKUP(AQ$72,INDIRECT($C$5&amp;"生成成长"),2))/((VLOOKUP($B78,INDIRECT($B$5&amp;"生成成长"),4))/(VLOOKUP(AQ$72,INDIRECT($C$5&amp;"生成成长"),5))*(VLOOKUP($B$5,标准坦克设计!$B$24:$U$30,MATCH("对"&amp;LEFT($C$5,2)&amp;"输出",标准坦克设计!$B$23:$U$23,0)))*(VLOOKUP($B78,INDIRECT($B$5&amp;"生成成长"),3))*(VLOOKUP($B$5,标准坦克设计!$B$14:$K$20,9)/30))</f>
        <v>68.428846573718772</v>
      </c>
      <c r="AR78" s="172">
        <f ca="1">(VLOOKUP(AR$72,INDIRECT($C$5&amp;"生成成长"),2))/((VLOOKUP($B78,INDIRECT($B$5&amp;"生成成长"),4))/(VLOOKUP(AR$72,INDIRECT($C$5&amp;"生成成长"),5))*(VLOOKUP($B$5,标准坦克设计!$B$24:$U$30,MATCH("对"&amp;LEFT($C$5,2)&amp;"输出",标准坦克设计!$B$23:$U$23,0)))*(VLOOKUP($B78,INDIRECT($B$5&amp;"生成成长"),3))*(VLOOKUP($B$5,标准坦克设计!$B$14:$K$20,9)/30))</f>
        <v>73.124653510958908</v>
      </c>
      <c r="AS78" s="172">
        <f ca="1">(VLOOKUP(AS$72,INDIRECT($C$5&amp;"生成成长"),2))/((VLOOKUP($B78,INDIRECT($B$5&amp;"生成成长"),4))/(VLOOKUP(AS$72,INDIRECT($C$5&amp;"生成成长"),5))*(VLOOKUP($B$5,标准坦克设计!$B$24:$U$30,MATCH("对"&amp;LEFT($C$5,2)&amp;"输出",标准坦克设计!$B$23:$U$23,0)))*(VLOOKUP($B78,INDIRECT($B$5&amp;"生成成长"),3))*(VLOOKUP($B$5,标准坦克设计!$B$14:$K$20,9)/30))</f>
        <v>77.976279079600644</v>
      </c>
      <c r="AT78" s="172">
        <f ca="1">(VLOOKUP(AT$72,INDIRECT($C$5&amp;"生成成长"),2))/((VLOOKUP($B78,INDIRECT($B$5&amp;"生成成长"),4))/(VLOOKUP(AT$72,INDIRECT($C$5&amp;"生成成长"),5))*(VLOOKUP($B$5,标准坦克设计!$B$24:$U$30,MATCH("对"&amp;LEFT($C$5,2)&amp;"输出",标准坦克设计!$B$23:$U$23,0)))*(VLOOKUP($B78,INDIRECT($B$5&amp;"生成成长"),3))*(VLOOKUP($B$5,标准坦克设计!$B$14:$K$20,9)/30))</f>
        <v>82.983723279644039</v>
      </c>
      <c r="AU78" s="172">
        <f ca="1">(VLOOKUP(AU$72,INDIRECT($C$5&amp;"生成成长"),2))/((VLOOKUP($B78,INDIRECT($B$5&amp;"生成成长"),4))/(VLOOKUP(AU$72,INDIRECT($C$5&amp;"生成成长"),5))*(VLOOKUP($B$5,标准坦克设计!$B$24:$U$30,MATCH("对"&amp;LEFT($C$5,2)&amp;"输出",标准坦克设计!$B$23:$U$23,0)))*(VLOOKUP($B78,INDIRECT($B$5&amp;"生成成长"),3))*(VLOOKUP($B$5,标准坦克设计!$B$14:$K$20,9)/30))</f>
        <v>88.146986111089049</v>
      </c>
      <c r="AV78" s="172">
        <f ca="1">(VLOOKUP(AV$72,INDIRECT($C$5&amp;"生成成长"),2))/((VLOOKUP($B78,INDIRECT($B$5&amp;"生成成长"),4))/(VLOOKUP(AV$72,INDIRECT($C$5&amp;"生成成长"),5))*(VLOOKUP($B$5,标准坦克设计!$B$24:$U$30,MATCH("对"&amp;LEFT($C$5,2)&amp;"输出",标准坦克设计!$B$23:$U$23,0)))*(VLOOKUP($B78,INDIRECT($B$5&amp;"生成成长"),3))*(VLOOKUP($B$5,标准坦克设计!$B$14:$K$20,9)/30))</f>
        <v>8.9653662133732919</v>
      </c>
      <c r="AW78" s="172">
        <f ca="1">(VLOOKUP(AW$72,INDIRECT($C$5&amp;"生成成长"),2))/((VLOOKUP($B78,INDIRECT($B$5&amp;"生成成长"),4))/(VLOOKUP(AW$72,INDIRECT($C$5&amp;"生成成长"),5))*(VLOOKUP($B$5,标准坦克设计!$B$24:$U$30,MATCH("对"&amp;LEFT($C$5,2)&amp;"输出",标准坦克设计!$B$23:$U$23,0)))*(VLOOKUP($B78,INDIRECT($B$5&amp;"生成成长"),3))*(VLOOKUP($B$5,标准坦克设计!$B$14:$K$20,9)/30))</f>
        <v>10.222217322860848</v>
      </c>
      <c r="AX78" s="172">
        <f ca="1">(VLOOKUP(AX$72,INDIRECT($C$5&amp;"生成成长"),2))/((VLOOKUP($B78,INDIRECT($B$5&amp;"生成成长"),4))/(VLOOKUP(AX$72,INDIRECT($C$5&amp;"生成成长"),5))*(VLOOKUP($B$5,标准坦克设计!$B$24:$U$30,MATCH("对"&amp;LEFT($C$5,2)&amp;"输出",标准坦克设计!$B$23:$U$23,0)))*(VLOOKUP($B78,INDIRECT($B$5&amp;"生成成长"),3))*(VLOOKUP($B$5,标准坦克设计!$B$14:$K$20,9)/30))</f>
        <v>11.561484898544304</v>
      </c>
      <c r="AY78" s="172">
        <f ca="1">(VLOOKUP(AY$72,INDIRECT($C$5&amp;"生成成长"),2))/((VLOOKUP($B78,INDIRECT($B$5&amp;"生成成长"),4))/(VLOOKUP(AY$72,INDIRECT($C$5&amp;"生成成长"),5))*(VLOOKUP($B$5,标准坦克设计!$B$24:$U$30,MATCH("对"&amp;LEFT($C$5,2)&amp;"输出",标准坦克设计!$B$23:$U$23,0)))*(VLOOKUP($B78,INDIRECT($B$5&amp;"生成成长"),3))*(VLOOKUP($B$5,标准坦克设计!$B$14:$K$20,9)/30))</f>
        <v>12.983168940423662</v>
      </c>
      <c r="AZ78" s="172">
        <f ca="1">(VLOOKUP(AZ$72,INDIRECT($C$5&amp;"生成成长"),2))/((VLOOKUP($B78,INDIRECT($B$5&amp;"生成成长"),4))/(VLOOKUP(AZ$72,INDIRECT($C$5&amp;"生成成长"),5))*(VLOOKUP($B$5,标准坦克设计!$B$24:$U$30,MATCH("对"&amp;LEFT($C$5,2)&amp;"输出",标准坦克设计!$B$23:$U$23,0)))*(VLOOKUP($B78,INDIRECT($B$5&amp;"生成成长"),3))*(VLOOKUP($B$5,标准坦克设计!$B$14:$K$20,9)/30))</f>
        <v>14.487269448498933</v>
      </c>
      <c r="BA78" s="172">
        <f ca="1">(VLOOKUP(BA$72,INDIRECT($C$5&amp;"生成成长"),2))/((VLOOKUP($B78,INDIRECT($B$5&amp;"生成成长"),4))/(VLOOKUP(BA$72,INDIRECT($C$5&amp;"生成成长"),5))*(VLOOKUP($B$5,标准坦克设计!$B$24:$U$30,MATCH("对"&amp;LEFT($C$5,2)&amp;"输出",标准坦克设计!$B$23:$U$23,0)))*(VLOOKUP($B78,INDIRECT($B$5&amp;"生成成长"),3))*(VLOOKUP($B$5,标准坦克设计!$B$14:$K$20,9)/30))</f>
        <v>16.073786422770105</v>
      </c>
      <c r="BB78" s="172">
        <f ca="1">(VLOOKUP(BB$72,INDIRECT($C$5&amp;"生成成长"),2))/((VLOOKUP($B78,INDIRECT($B$5&amp;"生成成长"),4))/(VLOOKUP(BB$72,INDIRECT($C$5&amp;"生成成长"),5))*(VLOOKUP($B$5,标准坦克设计!$B$24:$U$30,MATCH("对"&amp;LEFT($C$5,2)&amp;"输出",标准坦克设计!$B$23:$U$23,0)))*(VLOOKUP($B78,INDIRECT($B$5&amp;"生成成长"),3))*(VLOOKUP($B$5,标准坦克设计!$B$14:$K$20,9)/30))</f>
        <v>17.742719863237177</v>
      </c>
      <c r="BC78" s="172">
        <f ca="1">(VLOOKUP(BC$72,INDIRECT($C$5&amp;"生成成长"),2))/((VLOOKUP($B78,INDIRECT($B$5&amp;"生成成长"),4))/(VLOOKUP(BC$72,INDIRECT($C$5&amp;"生成成长"),5))*(VLOOKUP($B$5,标准坦克设计!$B$24:$U$30,MATCH("对"&amp;LEFT($C$5,2)&amp;"输出",标准坦克设计!$B$23:$U$23,0)))*(VLOOKUP($B78,INDIRECT($B$5&amp;"生成成长"),3))*(VLOOKUP($B$5,标准坦克设计!$B$14:$K$20,9)/30))</f>
        <v>19.494069769900161</v>
      </c>
      <c r="BD78" s="172">
        <f ca="1">(VLOOKUP(BD$72,INDIRECT($C$5&amp;"生成成长"),2))/((VLOOKUP($B78,INDIRECT($B$5&amp;"生成成长"),4))/(VLOOKUP(BD$72,INDIRECT($C$5&amp;"生成成长"),5))*(VLOOKUP($B$5,标准坦克设计!$B$24:$U$30,MATCH("对"&amp;LEFT($C$5,2)&amp;"输出",标准坦克设计!$B$23:$U$23,0)))*(VLOOKUP($B78,INDIRECT($B$5&amp;"生成成长"),3))*(VLOOKUP($B$5,标准坦克设计!$B$14:$K$20,9)/30))</f>
        <v>21.562851847145808</v>
      </c>
      <c r="BE78" s="172">
        <f ca="1">(VLOOKUP(BE$72,INDIRECT($C$5&amp;"生成成长"),2))/((VLOOKUP($B78,INDIRECT($B$5&amp;"生成成长"),4))/(VLOOKUP(BE$72,INDIRECT($C$5&amp;"生成成长"),5))*(VLOOKUP($B$5,标准坦克设计!$B$24:$U$30,MATCH("对"&amp;LEFT($C$5,2)&amp;"输出",标准坦克设计!$B$23:$U$23,0)))*(VLOOKUP($B78,INDIRECT($B$5&amp;"生成成长"),3))*(VLOOKUP($B$5,标准坦克设计!$B$14:$K$20,9)/30))</f>
        <v>23.73594226442065</v>
      </c>
      <c r="BF78" s="172">
        <f ca="1">(VLOOKUP(BF$72,INDIRECT($C$5&amp;"生成成长"),2))/((VLOOKUP($B78,INDIRECT($B$5&amp;"生成成长"),4))/(VLOOKUP(BF$72,INDIRECT($C$5&amp;"生成成长"),5))*(VLOOKUP($B$5,标准坦克设计!$B$24:$U$30,MATCH("对"&amp;LEFT($C$5,2)&amp;"输出",标准坦克设计!$B$23:$U$23,0)))*(VLOOKUP($B78,INDIRECT($B$5&amp;"生成成长"),3))*(VLOOKUP($B$5,标准坦克设计!$B$14:$K$20,9)/30))</f>
        <v>26.013341021724678</v>
      </c>
      <c r="BG78" s="172">
        <f ca="1">(VLOOKUP(BG$72,INDIRECT($C$5&amp;"生成成长"),2))/((VLOOKUP($B78,INDIRECT($B$5&amp;"生成成长"),4))/(VLOOKUP(BG$72,INDIRECT($C$5&amp;"生成成长"),5))*(VLOOKUP($B$5,标准坦克设计!$B$24:$U$30,MATCH("对"&amp;LEFT($C$5,2)&amp;"输出",标准坦克设计!$B$23:$U$23,0)))*(VLOOKUP($B78,INDIRECT($B$5&amp;"生成成长"),3))*(VLOOKUP($B$5,标准坦克设计!$B$14:$K$20,9)/30))</f>
        <v>28.3950481190579</v>
      </c>
      <c r="BH78" s="172">
        <f ca="1">(VLOOKUP(BH$72,INDIRECT($C$5&amp;"生成成长"),2))/((VLOOKUP($B78,INDIRECT($B$5&amp;"生成成长"),4))/(VLOOKUP(BH$72,INDIRECT($C$5&amp;"生成成长"),5))*(VLOOKUP($B$5,标准坦克设计!$B$24:$U$30,MATCH("对"&amp;LEFT($C$5,2)&amp;"输出",标准坦克设计!$B$23:$U$23,0)))*(VLOOKUP($B78,INDIRECT($B$5&amp;"生成成长"),3))*(VLOOKUP($B$5,标准坦克设计!$B$14:$K$20,9)/30))</f>
        <v>13.724917136186811</v>
      </c>
      <c r="BI78" s="172">
        <f ca="1">(VLOOKUP(BI$72,INDIRECT($C$5&amp;"生成成长"),2))/((VLOOKUP($B78,INDIRECT($B$5&amp;"生成成长"),4))/(VLOOKUP(BI$72,INDIRECT($C$5&amp;"生成成长"),5))*(VLOOKUP($B$5,标准坦克设计!$B$24:$U$30,MATCH("对"&amp;LEFT($C$5,2)&amp;"输出",标准坦克设计!$B$23:$U$23,0)))*(VLOOKUP($B78,INDIRECT($B$5&amp;"生成成长"),3))*(VLOOKUP($B$5,标准坦克设计!$B$14:$K$20,9)/30))</f>
        <v>15.469184377786082</v>
      </c>
      <c r="BJ78" s="172">
        <f ca="1">(VLOOKUP(BJ$72,INDIRECT($C$5&amp;"生成成长"),2))/((VLOOKUP($B78,INDIRECT($B$5&amp;"生成成长"),4))/(VLOOKUP(BJ$72,INDIRECT($C$5&amp;"生成成长"),5))*(VLOOKUP($B$5,标准坦克设计!$B$24:$U$30,MATCH("对"&amp;LEFT($C$5,2)&amp;"输出",标准坦克设计!$B$23:$U$23,0)))*(VLOOKUP($B78,INDIRECT($B$5&amp;"生成成长"),3))*(VLOOKUP($B$5,标准坦克设计!$B$14:$K$20,9)/30))</f>
        <v>17.317759959414548</v>
      </c>
      <c r="BK78" s="172">
        <f ca="1">(VLOOKUP(BK$72,INDIRECT($C$5&amp;"生成成长"),2))/((VLOOKUP($B78,INDIRECT($B$5&amp;"生成成长"),4))/(VLOOKUP(BK$72,INDIRECT($C$5&amp;"生成成长"),5))*(VLOOKUP($B$5,标准坦克设计!$B$24:$U$30,MATCH("对"&amp;LEFT($C$5,2)&amp;"输出",标准坦克设计!$B$23:$U$23,0)))*(VLOOKUP($B78,INDIRECT($B$5&amp;"生成成长"),3))*(VLOOKUP($B$5,标准坦克设计!$B$14:$K$20,9)/30))</f>
        <v>19.270643881072196</v>
      </c>
      <c r="BL78" s="172">
        <f ca="1">(VLOOKUP(BL$72,INDIRECT($C$5&amp;"生成成长"),2))/((VLOOKUP($B78,INDIRECT($B$5&amp;"生成成长"),4))/(VLOOKUP(BL$72,INDIRECT($C$5&amp;"生成成长"),5))*(VLOOKUP($B$5,标准坦克设计!$B$24:$U$30,MATCH("对"&amp;LEFT($C$5,2)&amp;"输出",标准坦克设计!$B$23:$U$23,0)))*(VLOOKUP($B78,INDIRECT($B$5&amp;"生成成长"),3))*(VLOOKUP($B$5,标准坦克设计!$B$14:$K$20,9)/30))</f>
        <v>21.327836142759047</v>
      </c>
      <c r="BM78" s="172">
        <f ca="1">(VLOOKUP(BM$72,INDIRECT($C$5&amp;"生成成长"),2))/((VLOOKUP($B78,INDIRECT($B$5&amp;"生成成长"),4))/(VLOOKUP(BM$72,INDIRECT($C$5&amp;"生成成长"),5))*(VLOOKUP($B$5,标准坦克设计!$B$24:$U$30,MATCH("对"&amp;LEFT($C$5,2)&amp;"输出",标准坦克设计!$B$23:$U$23,0)))*(VLOOKUP($B78,INDIRECT($B$5&amp;"生成成长"),3))*(VLOOKUP($B$5,标准坦克设计!$B$14:$K$20,9)/30))</f>
        <v>23.489336744475086</v>
      </c>
      <c r="BN78" s="172">
        <f ca="1">(VLOOKUP(BN$72,INDIRECT($C$5&amp;"生成成长"),2))/((VLOOKUP($B78,INDIRECT($B$5&amp;"生成成长"),4))/(VLOOKUP(BN$72,INDIRECT($C$5&amp;"生成成长"),5))*(VLOOKUP($B$5,标准坦克设计!$B$24:$U$30,MATCH("对"&amp;LEFT($C$5,2)&amp;"输出",标准坦克设计!$B$23:$U$23,0)))*(VLOOKUP($B78,INDIRECT($B$5&amp;"生成成长"),3))*(VLOOKUP($B$5,标准坦克设计!$B$14:$K$20,9)/30))</f>
        <v>25.75514568622032</v>
      </c>
      <c r="BO78" s="172">
        <f ca="1">(VLOOKUP(BO$72,INDIRECT($C$5&amp;"生成成长"),2))/((VLOOKUP($B78,INDIRECT($B$5&amp;"生成成长"),4))/(VLOOKUP(BO$72,INDIRECT($C$5&amp;"生成成长"),5))*(VLOOKUP($B$5,标准坦克设计!$B$24:$U$30,MATCH("对"&amp;LEFT($C$5,2)&amp;"输出",标准坦克设计!$B$23:$U$23,0)))*(VLOOKUP($B78,INDIRECT($B$5&amp;"生成成长"),3))*(VLOOKUP($B$5,标准坦克设计!$B$14:$K$20,9)/30))</f>
        <v>28.12526296799475</v>
      </c>
      <c r="BP78" s="172">
        <f ca="1">(VLOOKUP(BP$72,INDIRECT($C$5&amp;"生成成长"),2))/((VLOOKUP($B78,INDIRECT($B$5&amp;"生成成长"),4))/(VLOOKUP(BP$72,INDIRECT($C$5&amp;"生成成长"),5))*(VLOOKUP($B$5,标准坦克设计!$B$24:$U$30,MATCH("对"&amp;LEFT($C$5,2)&amp;"输出",标准坦克设计!$B$23:$U$23,0)))*(VLOOKUP($B78,INDIRECT($B$5&amp;"生成成长"),3))*(VLOOKUP($B$5,标准坦克设计!$B$14:$K$20,9)/30))</f>
        <v>30.599688589798365</v>
      </c>
      <c r="BQ78" s="172">
        <f ca="1">(VLOOKUP(BQ$72,INDIRECT($C$5&amp;"生成成长"),2))/((VLOOKUP($B78,INDIRECT($B$5&amp;"生成成长"),4))/(VLOOKUP(BQ$72,INDIRECT($C$5&amp;"生成成长"),5))*(VLOOKUP($B$5,标准坦克设计!$B$24:$U$30,MATCH("对"&amp;LEFT($C$5,2)&amp;"输出",标准坦克设计!$B$23:$U$23,0)))*(VLOOKUP($B78,INDIRECT($B$5&amp;"生成成长"),3))*(VLOOKUP($B$5,标准坦克设计!$B$14:$K$20,9)/30))</f>
        <v>33.178422551631179</v>
      </c>
      <c r="BR78" s="172">
        <f ca="1">(VLOOKUP(BR$72,INDIRECT($C$5&amp;"生成成长"),2))/((VLOOKUP($B78,INDIRECT($B$5&amp;"生成成长"),4))/(VLOOKUP(BR$72,INDIRECT($C$5&amp;"生成成长"),5))*(VLOOKUP($B$5,标准坦克设计!$B$24:$U$30,MATCH("对"&amp;LEFT($C$5,2)&amp;"输出",标准坦克设计!$B$23:$U$23,0)))*(VLOOKUP($B78,INDIRECT($B$5&amp;"生成成长"),3))*(VLOOKUP($B$5,标准坦克设计!$B$14:$K$20,9)/30))</f>
        <v>36.166019451232728</v>
      </c>
      <c r="BS78" s="172">
        <f ca="1">(VLOOKUP(BS$72,INDIRECT($C$5&amp;"生成成长"),2))/((VLOOKUP($B78,INDIRECT($B$5&amp;"生成成长"),4))/(VLOOKUP(BS$72,INDIRECT($C$5&amp;"生成成长"),5))*(VLOOKUP($B$5,标准坦克设计!$B$24:$U$30,MATCH("对"&amp;LEFT($C$5,2)&amp;"输出",标准坦克设计!$B$23:$U$23,0)))*(VLOOKUP($B78,INDIRECT($B$5&amp;"生成成长"),3))*(VLOOKUP($B$5,标准坦克设计!$B$14:$K$20,9)/30))</f>
        <v>39.282392079265392</v>
      </c>
      <c r="BT78" s="172">
        <f ca="1">(VLOOKUP(BT$72,INDIRECT($C$5&amp;"生成成长"),2))/((VLOOKUP($B78,INDIRECT($B$5&amp;"生成成长"),4))/(VLOOKUP(BT$72,INDIRECT($C$5&amp;"生成成长"),5))*(VLOOKUP($B$5,标准坦克设计!$B$24:$U$30,MATCH("对"&amp;LEFT($C$5,2)&amp;"输出",标准坦克设计!$B$23:$U$23,0)))*(VLOOKUP($B78,INDIRECT($B$5&amp;"生成成长"),3))*(VLOOKUP($B$5,标准坦克设计!$B$14:$K$20,9)/30))</f>
        <v>42.527540435729158</v>
      </c>
      <c r="BU78" s="172">
        <f ca="1">(VLOOKUP(BU$72,INDIRECT($C$5&amp;"生成成长"),2))/((VLOOKUP($B78,INDIRECT($B$5&amp;"生成成长"),4))/(VLOOKUP(BU$72,INDIRECT($C$5&amp;"生成成长"),5))*(VLOOKUP($B$5,标准坦克设计!$B$24:$U$30,MATCH("对"&amp;LEFT($C$5,2)&amp;"输出",标准坦克设计!$B$23:$U$23,0)))*(VLOOKUP($B78,INDIRECT($B$5&amp;"生成成长"),3))*(VLOOKUP($B$5,标准坦克设计!$B$14:$K$20,9)/30))</f>
        <v>45.90146452062401</v>
      </c>
      <c r="BV78" s="172">
        <f ca="1">(VLOOKUP(BV$72,INDIRECT($C$5&amp;"生成成长"),2))/((VLOOKUP($B78,INDIRECT($B$5&amp;"生成成长"),4))/(VLOOKUP(BV$72,INDIRECT($C$5&amp;"生成成长"),5))*(VLOOKUP($B$5,标准坦克设计!$B$24:$U$30,MATCH("对"&amp;LEFT($C$5,2)&amp;"输出",标准坦克设计!$B$23:$U$23,0)))*(VLOOKUP($B78,INDIRECT($B$5&amp;"生成成长"),3))*(VLOOKUP($B$5,标准坦克设计!$B$14:$K$20,9)/30))</f>
        <v>49.404164333949971</v>
      </c>
      <c r="BW78" s="172">
        <f ca="1">(VLOOKUP(BW$72,INDIRECT($C$5&amp;"生成成长"),2))/((VLOOKUP($B78,INDIRECT($B$5&amp;"生成成长"),4))/(VLOOKUP(BW$72,INDIRECT($C$5&amp;"生成成长"),5))*(VLOOKUP($B$5,标准坦克设计!$B$24:$U$30,MATCH("对"&amp;LEFT($C$5,2)&amp;"输出",标准坦克设计!$B$23:$U$23,0)))*(VLOOKUP($B78,INDIRECT($B$5&amp;"生成成长"),3))*(VLOOKUP($B$5,标准坦克设计!$B$14:$K$20,9)/30))</f>
        <v>22.515792237535958</v>
      </c>
      <c r="BX78" s="172">
        <f ca="1">(VLOOKUP(BX$72,INDIRECT($C$5&amp;"生成成长"),2))/((VLOOKUP($B78,INDIRECT($B$5&amp;"生成成长"),4))/(VLOOKUP(BX$72,INDIRECT($C$5&amp;"生成成长"),5))*(VLOOKUP($B$5,标准坦克设计!$B$24:$U$30,MATCH("对"&amp;LEFT($C$5,2)&amp;"输出",标准坦克设计!$B$23:$U$23,0)))*(VLOOKUP($B78,INDIRECT($B$5&amp;"生成成长"),3))*(VLOOKUP($B$5,标准坦克设计!$B$14:$K$20,9)/30))</f>
        <v>24.988286223413109</v>
      </c>
      <c r="BY78" s="172">
        <f ca="1">(VLOOKUP(BY$72,INDIRECT($C$5&amp;"生成成长"),2))/((VLOOKUP($B78,INDIRECT($B$5&amp;"生成成长"),4))/(VLOOKUP(BY$72,INDIRECT($C$5&amp;"生成成长"),5))*(VLOOKUP($B$5,标准坦克设计!$B$24:$U$30,MATCH("对"&amp;LEFT($C$5,2)&amp;"输出",标准坦克设计!$B$23:$U$23,0)))*(VLOOKUP($B78,INDIRECT($B$5&amp;"生成成长"),3))*(VLOOKUP($B$5,标准坦克设计!$B$14:$K$20,9)/30))</f>
        <v>27.589555937721361</v>
      </c>
      <c r="BZ78" s="172">
        <f ca="1">(VLOOKUP(BZ$72,INDIRECT($C$5&amp;"生成成长"),2))/((VLOOKUP($B78,INDIRECT($B$5&amp;"生成成长"),4))/(VLOOKUP(BZ$72,INDIRECT($C$5&amp;"生成成长"),5))*(VLOOKUP($B$5,标准坦克设计!$B$24:$U$30,MATCH("对"&amp;LEFT($C$5,2)&amp;"输出",标准坦克设计!$B$23:$U$23,0)))*(VLOOKUP($B78,INDIRECT($B$5&amp;"生成成长"),3))*(VLOOKUP($B$5,标准坦克设计!$B$14:$K$20,9)/30))</f>
        <v>30.319601380460718</v>
      </c>
      <c r="CA78" s="172">
        <f ca="1">(VLOOKUP(CA$72,INDIRECT($C$5&amp;"生成成长"),2))/((VLOOKUP($B78,INDIRECT($B$5&amp;"生成成长"),4))/(VLOOKUP(CA$72,INDIRECT($C$5&amp;"生成成长"),5))*(VLOOKUP($B$5,标准坦克设计!$B$24:$U$30,MATCH("对"&amp;LEFT($C$5,2)&amp;"输出",标准坦克设计!$B$23:$U$23,0)))*(VLOOKUP($B78,INDIRECT($B$5&amp;"生成成长"),3))*(VLOOKUP($B$5,标准坦克设计!$B$14:$K$20,9)/30))</f>
        <v>33.178422551631179</v>
      </c>
      <c r="CB78" s="172">
        <f ca="1">(VLOOKUP(CB$72,INDIRECT($C$5&amp;"生成成长"),2))/((VLOOKUP($B78,INDIRECT($B$5&amp;"生成成长"),4))/(VLOOKUP(CB$72,INDIRECT($C$5&amp;"生成成长"),5))*(VLOOKUP($B$5,标准坦克设计!$B$24:$U$30,MATCH("对"&amp;LEFT($C$5,2)&amp;"输出",标准坦克设计!$B$23:$U$23,0)))*(VLOOKUP($B78,INDIRECT($B$5&amp;"生成成长"),3))*(VLOOKUP($B$5,标准坦克设计!$B$14:$K$20,9)/30))</f>
        <v>36.166019451232728</v>
      </c>
      <c r="CC78" s="172">
        <f ca="1">(VLOOKUP(CC$72,INDIRECT($C$5&amp;"生成成长"),2))/((VLOOKUP($B78,INDIRECT($B$5&amp;"生成成长"),4))/(VLOOKUP(CC$72,INDIRECT($C$5&amp;"生成成长"),5))*(VLOOKUP($B$5,标准坦克设计!$B$24:$U$30,MATCH("对"&amp;LEFT($C$5,2)&amp;"输出",标准坦克设计!$B$23:$U$23,0)))*(VLOOKUP($B78,INDIRECT($B$5&amp;"生成成长"),3))*(VLOOKUP($B$5,标准坦克设计!$B$14:$K$20,9)/30))</f>
        <v>39.282392079265392</v>
      </c>
      <c r="CD78" s="172">
        <f ca="1">(VLOOKUP(CD$72,INDIRECT($C$5&amp;"生成成长"),2))/((VLOOKUP($B78,INDIRECT($B$5&amp;"生成成长"),4))/(VLOOKUP(CD$72,INDIRECT($C$5&amp;"生成成长"),5))*(VLOOKUP($B$5,标准坦克设计!$B$24:$U$30,MATCH("对"&amp;LEFT($C$5,2)&amp;"输出",标准坦克设计!$B$23:$U$23,0)))*(VLOOKUP($B78,INDIRECT($B$5&amp;"生成成长"),3))*(VLOOKUP($B$5,标准坦克设计!$B$14:$K$20,9)/30))</f>
        <v>42.527540435729158</v>
      </c>
      <c r="CE78" s="172">
        <f ca="1">(VLOOKUP(CE$72,INDIRECT($C$5&amp;"生成成长"),2))/((VLOOKUP($B78,INDIRECT($B$5&amp;"生成成长"),4))/(VLOOKUP(CE$72,INDIRECT($C$5&amp;"生成成长"),5))*(VLOOKUP($B$5,标准坦克设计!$B$24:$U$30,MATCH("对"&amp;LEFT($C$5,2)&amp;"输出",标准坦克设计!$B$23:$U$23,0)))*(VLOOKUP($B78,INDIRECT($B$5&amp;"生成成长"),3))*(VLOOKUP($B$5,标准坦克设计!$B$14:$K$20,9)/30))</f>
        <v>45.90146452062401</v>
      </c>
      <c r="CF78" s="172">
        <f ca="1">(VLOOKUP(CF$72,INDIRECT($C$5&amp;"生成成长"),2))/((VLOOKUP($B78,INDIRECT($B$5&amp;"生成成长"),4))/(VLOOKUP(CF$72,INDIRECT($C$5&amp;"生成成长"),5))*(VLOOKUP($B$5,标准坦克设计!$B$24:$U$30,MATCH("对"&amp;LEFT($C$5,2)&amp;"输出",标准坦克设计!$B$23:$U$23,0)))*(VLOOKUP($B78,INDIRECT($B$5&amp;"生成成长"),3))*(VLOOKUP($B$5,标准坦克设计!$B$14:$K$20,9)/30))</f>
        <v>49.404164333949971</v>
      </c>
      <c r="CG78" s="172">
        <f ca="1">(VLOOKUP(CG$72,INDIRECT($C$5&amp;"生成成长"),2))/((VLOOKUP($B78,INDIRECT($B$5&amp;"生成成长"),4))/(VLOOKUP(CG$72,INDIRECT($C$5&amp;"生成成长"),5))*(VLOOKUP($B$5,标准坦克设计!$B$24:$U$30,MATCH("对"&amp;LEFT($C$5,2)&amp;"输出",标准坦克设计!$B$23:$U$23,0)))*(VLOOKUP($B78,INDIRECT($B$5&amp;"生成成长"),3))*(VLOOKUP($B$5,标准坦克设计!$B$14:$K$20,9)/30))</f>
        <v>53.035639875707041</v>
      </c>
      <c r="CH78" s="172">
        <f ca="1">(VLOOKUP(CH$72,INDIRECT($C$5&amp;"生成成长"),2))/((VLOOKUP($B78,INDIRECT($B$5&amp;"生成成长"),4))/(VLOOKUP(CH$72,INDIRECT($C$5&amp;"生成成长"),5))*(VLOOKUP($B$5,标准坦克设计!$B$24:$U$30,MATCH("对"&amp;LEFT($C$5,2)&amp;"输出",标准坦克设计!$B$23:$U$23,0)))*(VLOOKUP($B78,INDIRECT($B$5&amp;"生成成长"),3))*(VLOOKUP($B$5,标准坦克设计!$B$14:$K$20,9)/30))</f>
        <v>56.795891145895212</v>
      </c>
      <c r="CI78" s="172">
        <f ca="1">(VLOOKUP(CI$72,INDIRECT($C$5&amp;"生成成长"),2))/((VLOOKUP($B78,INDIRECT($B$5&amp;"生成成长"),4))/(VLOOKUP(CI$72,INDIRECT($C$5&amp;"生成成长"),5))*(VLOOKUP($B$5,标准坦克设计!$B$24:$U$30,MATCH("对"&amp;LEFT($C$5,2)&amp;"输出",标准坦克设计!$B$23:$U$23,0)))*(VLOOKUP($B78,INDIRECT($B$5&amp;"生成成长"),3))*(VLOOKUP($B$5,标准坦克设计!$B$14:$K$20,9)/30))</f>
        <v>61.080903509440112</v>
      </c>
      <c r="CJ78" s="172">
        <f ca="1">(VLOOKUP(CJ$72,INDIRECT($C$5&amp;"生成成长"),2))/((VLOOKUP($B78,INDIRECT($B$5&amp;"生成成长"),4))/(VLOOKUP(CJ$72,INDIRECT($C$5&amp;"生成成长"),5))*(VLOOKUP($B$5,标准坦克设计!$B$24:$U$30,MATCH("对"&amp;LEFT($C$5,2)&amp;"输出",标准坦克设计!$B$23:$U$23,0)))*(VLOOKUP($B78,INDIRECT($B$5&amp;"生成成长"),3))*(VLOOKUP($B$5,标准坦克设计!$B$14:$K$20,9)/30))</f>
        <v>65.521734504386657</v>
      </c>
      <c r="CK78" s="172">
        <f ca="1">(VLOOKUP(CK$72,INDIRECT($C$5&amp;"生成成长"),2))/((VLOOKUP($B78,INDIRECT($B$5&amp;"生成成长"),4))/(VLOOKUP(CK$72,INDIRECT($C$5&amp;"生成成长"),5))*(VLOOKUP($B$5,标准坦克设计!$B$24:$U$30,MATCH("对"&amp;LEFT($C$5,2)&amp;"输出",标准坦克设计!$B$23:$U$23,0)))*(VLOOKUP($B78,INDIRECT($B$5&amp;"生成成长"),3))*(VLOOKUP($B$5,标准坦克设计!$B$14:$K$20,9)/30))</f>
        <v>70.118384130734825</v>
      </c>
      <c r="CL78" s="172">
        <f ca="1">(VLOOKUP(CL$72,INDIRECT($C$5&amp;"生成成长"),2))/((VLOOKUP($B78,INDIRECT($B$5&amp;"生成成长"),4))/(VLOOKUP(CL$72,INDIRECT($C$5&amp;"生成成长"),5))*(VLOOKUP($B$5,标准坦克设计!$B$24:$U$30,MATCH("对"&amp;LEFT($C$5,2)&amp;"输出",标准坦克设计!$B$23:$U$23,0)))*(VLOOKUP($B78,INDIRECT($B$5&amp;"生成成长"),3))*(VLOOKUP($B$5,标准坦克设计!$B$14:$K$20,9)/30))</f>
        <v>74.870852388484636</v>
      </c>
      <c r="CM78" s="172">
        <f ca="1">(VLOOKUP(CM$72,INDIRECT($C$5&amp;"生成成长"),2))/((VLOOKUP($B78,INDIRECT($B$5&amp;"生成成长"),4))/(VLOOKUP(CM$72,INDIRECT($C$5&amp;"生成成长"),5))*(VLOOKUP($B$5,标准坦克设计!$B$24:$U$30,MATCH("对"&amp;LEFT($C$5,2)&amp;"输出",标准坦克设计!$B$23:$U$23,0)))*(VLOOKUP($B78,INDIRECT($B$5&amp;"生成成长"),3))*(VLOOKUP($B$5,标准坦克设计!$B$14:$K$20,9)/30))</f>
        <v>79.779139277636091</v>
      </c>
      <c r="CN78" s="172">
        <f ca="1">(VLOOKUP(CN$72,INDIRECT($C$5&amp;"生成成长"),2))/((VLOOKUP($B78,INDIRECT($B$5&amp;"生成成长"),4))/(VLOOKUP(CN$72,INDIRECT($C$5&amp;"生成成长"),5))*(VLOOKUP($B$5,标准坦克设计!$B$24:$U$30,MATCH("对"&amp;LEFT($C$5,2)&amp;"输出",标准坦克设计!$B$23:$U$23,0)))*(VLOOKUP($B78,INDIRECT($B$5&amp;"生成成长"),3))*(VLOOKUP($B$5,标准坦克设计!$B$14:$K$20,9)/30))</f>
        <v>84.843244798189147</v>
      </c>
      <c r="CO78" s="172">
        <f ca="1">(VLOOKUP(CO$72,INDIRECT($C$5&amp;"生成成长"),2))/((VLOOKUP($B78,INDIRECT($B$5&amp;"生成成长"),4))/(VLOOKUP(CO$72,INDIRECT($C$5&amp;"生成成长"),5))*(VLOOKUP($B$5,标准坦克设计!$B$24:$U$30,MATCH("对"&amp;LEFT($C$5,2)&amp;"输出",标准坦克设计!$B$23:$U$23,0)))*(VLOOKUP($B78,INDIRECT($B$5&amp;"生成成长"),3))*(VLOOKUP($B$5,标准坦克设计!$B$14:$K$20,9)/30))</f>
        <v>38.020389940640598</v>
      </c>
      <c r="CP78" s="172">
        <f ca="1">(VLOOKUP(CP$72,INDIRECT($C$5&amp;"生成成长"),2))/((VLOOKUP($B78,INDIRECT($B$5&amp;"生成成长"),4))/(VLOOKUP(CP$72,INDIRECT($C$5&amp;"生成成长"),5))*(VLOOKUP($B$5,标准坦克设计!$B$24:$U$30,MATCH("对"&amp;LEFT($C$5,2)&amp;"输出",标准坦克设计!$B$23:$U$23,0)))*(VLOOKUP($B78,INDIRECT($B$5&amp;"生成成长"),3))*(VLOOKUP($B$5,标准坦克设计!$B$14:$K$20,9)/30))</f>
        <v>41.540474477304748</v>
      </c>
      <c r="CQ78" s="172">
        <f ca="1">(VLOOKUP(CQ$72,INDIRECT($C$5&amp;"生成成长"),2))/((VLOOKUP($B78,INDIRECT($B$5&amp;"生成成长"),4))/(VLOOKUP(CQ$72,INDIRECT($C$5&amp;"生成成长"),5))*(VLOOKUP($B$5,标准坦克设计!$B$24:$U$30,MATCH("对"&amp;LEFT($C$5,2)&amp;"输出",标准坦克设计!$B$23:$U$23,0)))*(VLOOKUP($B78,INDIRECT($B$5&amp;"生成成长"),3))*(VLOOKUP($B$5,标准坦克设计!$B$14:$K$20,9)/30))</f>
        <v>45.216377645370557</v>
      </c>
      <c r="CR78" s="172">
        <f ca="1">(VLOOKUP(CR$72,INDIRECT($C$5&amp;"生成成长"),2))/((VLOOKUP($B78,INDIRECT($B$5&amp;"生成成长"),4))/(VLOOKUP(CR$72,INDIRECT($C$5&amp;"生成成长"),5))*(VLOOKUP($B$5,标准坦克设计!$B$24:$U$30,MATCH("对"&amp;LEFT($C$5,2)&amp;"输出",标准坦克设计!$B$23:$U$23,0)))*(VLOOKUP($B78,INDIRECT($B$5&amp;"生成成长"),3))*(VLOOKUP($B$5,标准坦克设计!$B$14:$K$20,9)/30))</f>
        <v>49.04809944483798</v>
      </c>
      <c r="CS78" s="172">
        <f ca="1">(VLOOKUP(CS$72,INDIRECT($C$5&amp;"生成成长"),2))/((VLOOKUP($B78,INDIRECT($B$5&amp;"生成成长"),4))/(VLOOKUP(CS$72,INDIRECT($C$5&amp;"生成成长"),5))*(VLOOKUP($B$5,标准坦克设计!$B$24:$U$30,MATCH("对"&amp;LEFT($C$5,2)&amp;"输出",标准坦克设计!$B$23:$U$23,0)))*(VLOOKUP($B78,INDIRECT($B$5&amp;"生成成长"),3))*(VLOOKUP($B$5,标准坦克设计!$B$14:$K$20,9)/30))</f>
        <v>53.035639875707041</v>
      </c>
      <c r="CT78" s="172">
        <f ca="1">(VLOOKUP(CT$72,INDIRECT($C$5&amp;"生成成长"),2))/((VLOOKUP($B78,INDIRECT($B$5&amp;"生成成长"),4))/(VLOOKUP(CT$72,INDIRECT($C$5&amp;"生成成长"),5))*(VLOOKUP($B$5,标准坦克设计!$B$24:$U$30,MATCH("对"&amp;LEFT($C$5,2)&amp;"输出",标准坦克设计!$B$23:$U$23,0)))*(VLOOKUP($B78,INDIRECT($B$5&amp;"生成成长"),3))*(VLOOKUP($B$5,标准坦克设计!$B$14:$K$20,9)/30))</f>
        <v>57.178998937977738</v>
      </c>
      <c r="CU78" s="172">
        <f ca="1">(VLOOKUP(CU$72,INDIRECT($C$5&amp;"生成成长"),2))/((VLOOKUP($B78,INDIRECT($B$5&amp;"生成成长"),4))/(VLOOKUP(CU$72,INDIRECT($C$5&amp;"生成成长"),5))*(VLOOKUP($B$5,标准坦克设计!$B$24:$U$30,MATCH("对"&amp;LEFT($C$5,2)&amp;"输出",标准坦克设计!$B$23:$U$23,0)))*(VLOOKUP($B78,INDIRECT($B$5&amp;"生成成长"),3))*(VLOOKUP($B$5,标准坦克设计!$B$14:$K$20,9)/30))</f>
        <v>61.478176631650065</v>
      </c>
      <c r="CV78" s="172">
        <f ca="1">(VLOOKUP(CV$72,INDIRECT($C$5&amp;"生成成长"),2))/((VLOOKUP($B78,INDIRECT($B$5&amp;"生成成长"),4))/(VLOOKUP(CV$72,INDIRECT($C$5&amp;"生成成长"),5))*(VLOOKUP($B$5,标准坦克设计!$B$24:$U$30,MATCH("对"&amp;LEFT($C$5,2)&amp;"输出",标准坦克设计!$B$23:$U$23,0)))*(VLOOKUP($B78,INDIRECT($B$5&amp;"生成成长"),3))*(VLOOKUP($B$5,标准坦克设计!$B$14:$K$20,9)/30))</f>
        <v>65.933172956724022</v>
      </c>
      <c r="CW78" s="172">
        <f ca="1">(VLOOKUP(CW$72,INDIRECT($C$5&amp;"生成成长"),2))/((VLOOKUP($B78,INDIRECT($B$5&amp;"生成成长"),4))/(VLOOKUP(CW$72,INDIRECT($C$5&amp;"生成成长"),5))*(VLOOKUP($B$5,标准坦克设计!$B$24:$U$30,MATCH("对"&amp;LEFT($C$5,2)&amp;"输出",标准坦克设计!$B$23:$U$23,0)))*(VLOOKUP($B78,INDIRECT($B$5&amp;"生成成长"),3))*(VLOOKUP($B$5,标准坦克设计!$B$14:$K$20,9)/30))</f>
        <v>70.543987913199615</v>
      </c>
      <c r="CX78" s="172">
        <f ca="1">(VLOOKUP(CX$72,INDIRECT($C$5&amp;"生成成长"),2))/((VLOOKUP($B78,INDIRECT($B$5&amp;"生成成长"),4))/(VLOOKUP(CX$72,INDIRECT($C$5&amp;"生成成长"),5))*(VLOOKUP($B$5,标准坦克设计!$B$24:$U$30,MATCH("对"&amp;LEFT($C$5,2)&amp;"输出",标准坦克设计!$B$23:$U$23,0)))*(VLOOKUP($B78,INDIRECT($B$5&amp;"生成成长"),3))*(VLOOKUP($B$5,标准坦克设计!$B$14:$K$20,9)/30))</f>
        <v>75.310621501076838</v>
      </c>
      <c r="CY78" s="172">
        <f ca="1">(VLOOKUP(CY$72,INDIRECT($C$5&amp;"生成成长"),2))/((VLOOKUP($B78,INDIRECT($B$5&amp;"生成成长"),4))/(VLOOKUP(CY$72,INDIRECT($C$5&amp;"生成成长"),5))*(VLOOKUP($B$5,标准坦克设计!$B$24:$U$30,MATCH("对"&amp;LEFT($C$5,2)&amp;"输出",标准坦克设计!$B$23:$U$23,0)))*(VLOOKUP($B78,INDIRECT($B$5&amp;"生成成长"),3))*(VLOOKUP($B$5,标准坦克设计!$B$14:$K$20,9)/30))</f>
        <v>80.233073720355691</v>
      </c>
      <c r="CZ78" s="172">
        <f ca="1">(VLOOKUP(CZ$72,INDIRECT($C$5&amp;"生成成长"),2))/((VLOOKUP($B78,INDIRECT($B$5&amp;"生成成长"),4))/(VLOOKUP(CZ$72,INDIRECT($C$5&amp;"生成成长"),5))*(VLOOKUP($B$5,标准坦克设计!$B$24:$U$30,MATCH("对"&amp;LEFT($C$5,2)&amp;"输出",标准坦克设计!$B$23:$U$23,0)))*(VLOOKUP($B78,INDIRECT($B$5&amp;"生成成长"),3))*(VLOOKUP($B$5,标准坦克设计!$B$14:$K$20,9)/30))</f>
        <v>85.311344571036187</v>
      </c>
      <c r="DA78" s="172">
        <f ca="1">(VLOOKUP(DA$72,INDIRECT($C$5&amp;"生成成长"),2))/((VLOOKUP($B78,INDIRECT($B$5&amp;"生成成长"),4))/(VLOOKUP(DA$72,INDIRECT($C$5&amp;"生成成长"),5))*(VLOOKUP($B$5,标准坦克设计!$B$24:$U$30,MATCH("对"&amp;LEFT($C$5,2)&amp;"输出",标准坦克设计!$B$23:$U$23,0)))*(VLOOKUP($B78,INDIRECT($B$5&amp;"生成成长"),3))*(VLOOKUP($B$5,标准坦克设计!$B$14:$K$20,9)/30))</f>
        <v>90.545434053118328</v>
      </c>
      <c r="DB78" s="172">
        <f ca="1">(VLOOKUP(DB$72,INDIRECT($C$5&amp;"生成成长"),2))/((VLOOKUP($B78,INDIRECT($B$5&amp;"生成成长"),4))/(VLOOKUP(DB$72,INDIRECT($C$5&amp;"生成成长"),5))*(VLOOKUP($B$5,标准坦克设计!$B$24:$U$30,MATCH("对"&amp;LEFT($C$5,2)&amp;"输出",标准坦克设计!$B$23:$U$23,0)))*(VLOOKUP($B78,INDIRECT($B$5&amp;"生成成长"),3))*(VLOOKUP($B$5,标准坦克设计!$B$14:$K$20,9)/30))</f>
        <v>95.935342166602055</v>
      </c>
      <c r="DC78" s="172">
        <f ca="1">(VLOOKUP(DC$72,INDIRECT($C$5&amp;"生成成长"),2))/((VLOOKUP($B78,INDIRECT($B$5&amp;"生成成长"),4))/(VLOOKUP(DC$72,INDIRECT($C$5&amp;"生成成长"),5))*(VLOOKUP($B$5,标准坦克设计!$B$24:$U$30,MATCH("对"&amp;LEFT($C$5,2)&amp;"输出",标准坦克设计!$B$23:$U$23,0)))*(VLOOKUP($B78,INDIRECT($B$5&amp;"生成成长"),3))*(VLOOKUP($B$5,标准坦克设计!$B$14:$K$20,9)/30))</f>
        <v>101.99295243200109</v>
      </c>
      <c r="DD78" s="172">
        <f ca="1">(VLOOKUP(DD$72,INDIRECT($C$5&amp;"生成成长"),2))/((VLOOKUP($B78,INDIRECT($B$5&amp;"生成成长"),4))/(VLOOKUP(DD$72,INDIRECT($C$5&amp;"生成成长"),5))*(VLOOKUP($B$5,标准坦克设计!$B$24:$U$30,MATCH("对"&amp;LEFT($C$5,2)&amp;"输出",标准坦克设计!$B$23:$U$23,0)))*(VLOOKUP($B78,INDIRECT($B$5&amp;"生成成长"),3))*(VLOOKUP($B$5,标准坦克设计!$B$14:$K$20,9)/30))</f>
        <v>108.23599974634091</v>
      </c>
      <c r="DE78" s="172">
        <f ca="1">(VLOOKUP(DE$72,INDIRECT($C$5&amp;"生成成长"),2))/((VLOOKUP($B78,INDIRECT($B$5&amp;"生成成长"),4))/(VLOOKUP(DE$72,INDIRECT($C$5&amp;"生成成长"),5))*(VLOOKUP($B$5,标准坦克设计!$B$24:$U$30,MATCH("对"&amp;LEFT($C$5,2)&amp;"输出",标准坦克设计!$B$23:$U$23,0)))*(VLOOKUP($B78,INDIRECT($B$5&amp;"生成成长"),3))*(VLOOKUP($B$5,标准坦克设计!$B$14:$K$20,9)/30))</f>
        <v>114.66448410962151</v>
      </c>
      <c r="DF78" s="172">
        <f ca="1">(VLOOKUP(DF$72,INDIRECT($C$5&amp;"生成成长"),2))/((VLOOKUP($B78,INDIRECT($B$5&amp;"生成成长"),4))/(VLOOKUP(DF$72,INDIRECT($C$5&amp;"生成成长"),5))*(VLOOKUP($B$5,标准坦克设计!$B$24:$U$30,MATCH("对"&amp;LEFT($C$5,2)&amp;"输出",标准坦克设计!$B$23:$U$23,0)))*(VLOOKUP($B78,INDIRECT($B$5&amp;"生成成长"),3))*(VLOOKUP($B$5,标准坦克设计!$B$14:$K$20,9)/30))</f>
        <v>121.27840552184287</v>
      </c>
      <c r="DG78" s="172">
        <f ca="1">(VLOOKUP(DG$72,INDIRECT($C$5&amp;"生成成长"),2))/((VLOOKUP($B78,INDIRECT($B$5&amp;"生成成长"),4))/(VLOOKUP(DG$72,INDIRECT($C$5&amp;"生成成长"),5))*(VLOOKUP($B$5,标准坦克设计!$B$24:$U$30,MATCH("对"&amp;LEFT($C$5,2)&amp;"输出",标准坦克设计!$B$23:$U$23,0)))*(VLOOKUP($B78,INDIRECT($B$5&amp;"生成成长"),3))*(VLOOKUP($B$5,标准坦克设计!$B$14:$K$20,9)/30))</f>
        <v>128.07776398300504</v>
      </c>
      <c r="DH78" s="172">
        <f ca="1">(VLOOKUP(DH$72,INDIRECT($C$5&amp;"生成成长"),2))/((VLOOKUP($B78,INDIRECT($B$5&amp;"生成成长"),4))/(VLOOKUP(DH$72,INDIRECT($C$5&amp;"生成成长"),5))*(VLOOKUP($B$5,标准坦克设计!$B$24:$U$30,MATCH("对"&amp;LEFT($C$5,2)&amp;"输出",标准坦克设计!$B$23:$U$23,0)))*(VLOOKUP($B78,INDIRECT($B$5&amp;"生成成长"),3))*(VLOOKUP($B$5,标准坦克设计!$B$14:$K$20,9)/30))</f>
        <v>135.06255949310801</v>
      </c>
      <c r="DI78" s="172">
        <f ca="1">(VLOOKUP(DI$72,INDIRECT($C$5&amp;"生成成长"),2))/((VLOOKUP($B78,INDIRECT($B$5&amp;"生成成长"),4))/(VLOOKUP(DI$72,INDIRECT($C$5&amp;"生成成长"),5))*(VLOOKUP($B$5,标准坦克设计!$B$24:$U$30,MATCH("对"&amp;LEFT($C$5,2)&amp;"输出",标准坦克设计!$B$23:$U$23,0)))*(VLOOKUP($B78,INDIRECT($B$5&amp;"生成成长"),3))*(VLOOKUP($B$5,标准坦克设计!$B$14:$K$20,9)/30))</f>
        <v>142.23279205215172</v>
      </c>
      <c r="DJ78" s="172">
        <f ca="1">(VLOOKUP(DJ$72,INDIRECT($C$5&amp;"生成成长"),2))/((VLOOKUP($B78,INDIRECT($B$5&amp;"生成成长"),4))/(VLOOKUP(DJ$72,INDIRECT($C$5&amp;"生成成长"),5))*(VLOOKUP($B$5,标准坦克设计!$B$24:$U$30,MATCH("对"&amp;LEFT($C$5,2)&amp;"输出",标准坦克设计!$B$23:$U$23,0)))*(VLOOKUP($B78,INDIRECT($B$5&amp;"生成成长"),3))*(VLOOKUP($B$5,标准坦克设计!$B$14:$K$20,9)/30))</f>
        <v>14.294749734494435</v>
      </c>
      <c r="DK78" s="172">
        <f ca="1">(VLOOKUP(DK$72,INDIRECT($C$5&amp;"生成成长"),2))/((VLOOKUP($B78,INDIRECT($B$5&amp;"生成成长"),4))/(VLOOKUP(DK$72,INDIRECT($C$5&amp;"生成成长"),5))*(VLOOKUP($B$5,标准坦克设计!$B$24:$U$30,MATCH("对"&amp;LEFT($C$5,2)&amp;"输出",标准坦克设计!$B$23:$U$23,0)))*(VLOOKUP($B78,INDIRECT($B$5&amp;"生成成长"),3))*(VLOOKUP($B$5,标准坦克设计!$B$14:$K$20,9)/30))</f>
        <v>16.073786422770105</v>
      </c>
      <c r="DL78" s="172">
        <f ca="1">(VLOOKUP(DL$72,INDIRECT($C$5&amp;"生成成长"),2))/((VLOOKUP($B78,INDIRECT($B$5&amp;"生成成长"),4))/(VLOOKUP(DL$72,INDIRECT($C$5&amp;"生成成长"),5))*(VLOOKUP($B$5,标准坦克设计!$B$24:$U$30,MATCH("对"&amp;LEFT($C$5,2)&amp;"输出",标准坦克设计!$B$23:$U$23,0)))*(VLOOKUP($B78,INDIRECT($B$5&amp;"生成成长"),3))*(VLOOKUP($B$5,标准坦克设计!$B$14:$K$20,9)/30))</f>
        <v>17.957131451074961</v>
      </c>
      <c r="DM78" s="172">
        <f ca="1">(VLOOKUP(DM$72,INDIRECT($C$5&amp;"生成成长"),2))/((VLOOKUP($B78,INDIRECT($B$5&amp;"生成成长"),4))/(VLOOKUP(DM$72,INDIRECT($C$5&amp;"生成成长"),5))*(VLOOKUP($B$5,标准坦克设计!$B$24:$U$30,MATCH("对"&amp;LEFT($C$5,2)&amp;"输出",标准坦克设计!$B$23:$U$23,0)))*(VLOOKUP($B78,INDIRECT($B$5&amp;"生成成长"),3))*(VLOOKUP($B$5,标准坦克设计!$B$14:$K$20,9)/30))</f>
        <v>19.944784819409023</v>
      </c>
      <c r="DN78" s="172">
        <f ca="1">(VLOOKUP(DN$72,INDIRECT($C$5&amp;"生成成长"),2))/((VLOOKUP($B78,INDIRECT($B$5&amp;"生成成长"),4))/(VLOOKUP(DN$72,INDIRECT($C$5&amp;"生成成长"),5))*(VLOOKUP($B$5,标准坦克设计!$B$24:$U$30,MATCH("对"&amp;LEFT($C$5,2)&amp;"输出",标准坦克设计!$B$23:$U$23,0)))*(VLOOKUP($B78,INDIRECT($B$5&amp;"生成成长"),3))*(VLOOKUP($B$5,标准坦克设计!$B$14:$K$20,9)/30))</f>
        <v>22.036746527772262</v>
      </c>
      <c r="DO78" s="172">
        <f ca="1">(VLOOKUP(DO$72,INDIRECT($C$5&amp;"生成成长"),2))/((VLOOKUP($B78,INDIRECT($B$5&amp;"生成成长"),4))/(VLOOKUP(DO$72,INDIRECT($C$5&amp;"生成成长"),5))*(VLOOKUP($B$5,标准坦克设计!$B$24:$U$30,MATCH("对"&amp;LEFT($C$5,2)&amp;"输出",标准坦克设计!$B$23:$U$23,0)))*(VLOOKUP($B78,INDIRECT($B$5&amp;"生成成长"),3))*(VLOOKUP($B$5,标准坦克设计!$B$14:$K$20,9)/30))</f>
        <v>24.233016576164701</v>
      </c>
      <c r="DP78" s="172">
        <f ca="1">(VLOOKUP(DP$72,INDIRECT($C$5&amp;"生成成长"),2))/((VLOOKUP($B78,INDIRECT($B$5&amp;"生成成长"),4))/(VLOOKUP(DP$72,INDIRECT($C$5&amp;"生成成长"),5))*(VLOOKUP($B$5,标准坦克设计!$B$24:$U$30,MATCH("对"&amp;LEFT($C$5,2)&amp;"输出",标准坦克设计!$B$23:$U$23,0)))*(VLOOKUP($B78,INDIRECT($B$5&amp;"生成成长"),3))*(VLOOKUP($B$5,标准坦克设计!$B$14:$K$20,9)/30))</f>
        <v>26.533594964586335</v>
      </c>
      <c r="DQ78" s="172">
        <f ca="1">(VLOOKUP(DQ$72,INDIRECT($C$5&amp;"生成成长"),2))/((VLOOKUP($B78,INDIRECT($B$5&amp;"生成成长"),4))/(VLOOKUP(DQ$72,INDIRECT($C$5&amp;"生成成长"),5))*(VLOOKUP($B$5,标准坦克设计!$B$24:$U$30,MATCH("对"&amp;LEFT($C$5,2)&amp;"输出",标准坦克设计!$B$23:$U$23,0)))*(VLOOKUP($B78,INDIRECT($B$5&amp;"生成成长"),3))*(VLOOKUP($B$5,标准坦克设计!$B$14:$K$20,9)/30))</f>
        <v>28.938481693037158</v>
      </c>
      <c r="DR78" s="172">
        <f ca="1">(VLOOKUP(DR$72,INDIRECT($C$5&amp;"生成成长"),2))/((VLOOKUP($B78,INDIRECT($B$5&amp;"生成成长"),4))/(VLOOKUP(DR$72,INDIRECT($C$5&amp;"生成成长"),5))*(VLOOKUP($B$5,标准坦克设计!$B$24:$U$30,MATCH("对"&amp;LEFT($C$5,2)&amp;"输出",标准坦克设计!$B$23:$U$23,0)))*(VLOOKUP($B78,INDIRECT($B$5&amp;"生成成长"),3))*(VLOOKUP($B$5,标准坦克设计!$B$14:$K$20,9)/30))</f>
        <v>31.447676761517165</v>
      </c>
      <c r="DS78" s="172">
        <f ca="1">(VLOOKUP(DS$72,INDIRECT($C$5&amp;"生成成长"),2))/((VLOOKUP($B78,INDIRECT($B$5&amp;"生成成长"),4))/(VLOOKUP(DS$72,INDIRECT($C$5&amp;"生成成长"),5))*(VLOOKUP($B$5,标准坦克设计!$B$24:$U$30,MATCH("对"&amp;LEFT($C$5,2)&amp;"输出",标准坦克设计!$B$23:$U$23,0)))*(VLOOKUP($B78,INDIRECT($B$5&amp;"生成成长"),3))*(VLOOKUP($B$5,标准坦克设计!$B$14:$K$20,9)/30))</f>
        <v>34.061180170026383</v>
      </c>
      <c r="DT78" s="172">
        <f ca="1">(VLOOKUP(DT$72,INDIRECT($C$5&amp;"生成成长"),2))/((VLOOKUP($B78,INDIRECT($B$5&amp;"生成成长"),4))/(VLOOKUP(DT$72,INDIRECT($C$5&amp;"生成成长"),5))*(VLOOKUP($B$5,标准坦克设计!$B$24:$U$30,MATCH("对"&amp;LEFT($C$5,2)&amp;"输出",标准坦克设计!$B$23:$U$23,0)))*(VLOOKUP($B78,INDIRECT($B$5&amp;"生成成长"),3))*(VLOOKUP($B$5,标准坦克设计!$B$14:$K$20,9)/30))</f>
        <v>37.397115415034058</v>
      </c>
      <c r="DU78" s="172">
        <f ca="1">(VLOOKUP(DU$72,INDIRECT($C$5&amp;"生成成长"),2))/((VLOOKUP($B78,INDIRECT($B$5&amp;"生成成长"),4))/(VLOOKUP(DU$72,INDIRECT($C$5&amp;"生成成长"),5))*(VLOOKUP($B$5,标准坦克设计!$B$24:$U$30,MATCH("对"&amp;LEFT($C$5,2)&amp;"输出",标准坦克设计!$B$23:$U$23,0)))*(VLOOKUP($B78,INDIRECT($B$5&amp;"生成成长"),3))*(VLOOKUP($B$5,标准坦克设计!$B$14:$K$20,9)/30))</f>
        <v>40.888869291443392</v>
      </c>
      <c r="DV78" s="172">
        <f ca="1">(VLOOKUP(DV$72,INDIRECT($C$5&amp;"生成成长"),2))/((VLOOKUP($B78,INDIRECT($B$5&amp;"生成成长"),4))/(VLOOKUP(DV$72,INDIRECT($C$5&amp;"生成成长"),5))*(VLOOKUP($B$5,标准坦克设计!$B$24:$U$30,MATCH("对"&amp;LEFT($C$5,2)&amp;"输出",标准坦克设计!$B$23:$U$23,0)))*(VLOOKUP($B78,INDIRECT($B$5&amp;"生成成长"),3))*(VLOOKUP($B$5,标准坦克设计!$B$14:$K$20,9)/30))</f>
        <v>44.536441799254334</v>
      </c>
      <c r="DW78" s="172">
        <f ca="1">(VLOOKUP(DW$72,INDIRECT($C$5&amp;"生成成长"),2))/((VLOOKUP($B78,INDIRECT($B$5&amp;"生成成长"),4))/(VLOOKUP(DW$72,INDIRECT($C$5&amp;"生成成长"),5))*(VLOOKUP($B$5,标准坦克设计!$B$24:$U$30,MATCH("对"&amp;LEFT($C$5,2)&amp;"输出",标准坦克设计!$B$23:$U$23,0)))*(VLOOKUP($B78,INDIRECT($B$5&amp;"生成成长"),3))*(VLOOKUP($B$5,标准坦克设计!$B$14:$K$20,9)/30))</f>
        <v>48.33983293846692</v>
      </c>
      <c r="DX78" s="172">
        <f ca="1">(VLOOKUP(DX$72,INDIRECT($C$5&amp;"生成成长"),2))/((VLOOKUP($B78,INDIRECT($B$5&amp;"生成成长"),4))/(VLOOKUP(DX$72,INDIRECT($C$5&amp;"生成成长"),5))*(VLOOKUP($B$5,标准坦克设计!$B$24:$U$30,MATCH("对"&amp;LEFT($C$5,2)&amp;"输出",标准坦克设计!$B$23:$U$23,0)))*(VLOOKUP($B78,INDIRECT($B$5&amp;"生成成长"),3))*(VLOOKUP($B$5,标准坦克设计!$B$14:$K$20,9)/30))</f>
        <v>52.299042709081135</v>
      </c>
      <c r="DY78" s="172">
        <f ca="1">(VLOOKUP(DY$72,INDIRECT($C$5&amp;"生成成长"),2))/((VLOOKUP($B78,INDIRECT($B$5&amp;"生成成长"),4))/(VLOOKUP(DY$72,INDIRECT($C$5&amp;"生成成长"),5))*(VLOOKUP($B$5,标准坦克设计!$B$24:$U$30,MATCH("对"&amp;LEFT($C$5,2)&amp;"输出",标准坦克设计!$B$23:$U$23,0)))*(VLOOKUP($B78,INDIRECT($B$5&amp;"生成成长"),3))*(VLOOKUP($B$5,标准坦克设计!$B$14:$K$20,9)/30))</f>
        <v>23.489336744475086</v>
      </c>
      <c r="DZ78" s="172">
        <f ca="1">(VLOOKUP(DZ$72,INDIRECT($C$5&amp;"生成成长"),2))/((VLOOKUP($B78,INDIRECT($B$5&amp;"生成成长"),4))/(VLOOKUP(DZ$72,INDIRECT($C$5&amp;"生成成长"),5))*(VLOOKUP($B$5,标准坦克设计!$B$24:$U$30,MATCH("对"&amp;LEFT($C$5,2)&amp;"输出",标准坦克设计!$B$23:$U$23,0)))*(VLOOKUP($B78,INDIRECT($B$5&amp;"生成成长"),3))*(VLOOKUP($B$5,标准坦克设计!$B$14:$K$20,9)/30))</f>
        <v>26.013341021724678</v>
      </c>
      <c r="EA78" s="172">
        <f ca="1">(VLOOKUP(EA$72,INDIRECT($C$5&amp;"生成成长"),2))/((VLOOKUP($B78,INDIRECT($B$5&amp;"生成成长"),4))/(VLOOKUP(EA$72,INDIRECT($C$5&amp;"生成成长"),5))*(VLOOKUP($B$5,标准坦克设计!$B$24:$U$30,MATCH("对"&amp;LEFT($C$5,2)&amp;"输出",标准坦克设计!$B$23:$U$23,0)))*(VLOOKUP($B78,INDIRECT($B$5&amp;"生成成长"),3))*(VLOOKUP($B$5,标准坦克设计!$B$14:$K$20,9)/30))</f>
        <v>28.666121027405378</v>
      </c>
      <c r="EB78" s="172">
        <f ca="1">(VLOOKUP(EB$72,INDIRECT($C$5&amp;"生成成长"),2))/((VLOOKUP($B78,INDIRECT($B$5&amp;"生成成长"),4))/(VLOOKUP(EB$72,INDIRECT($C$5&amp;"生成成长"),5))*(VLOOKUP($B$5,标准坦克设计!$B$24:$U$30,MATCH("对"&amp;LEFT($C$5,2)&amp;"输出",标准坦克设计!$B$23:$U$23,0)))*(VLOOKUP($B78,INDIRECT($B$5&amp;"生成成长"),3))*(VLOOKUP($B$5,标准坦克设计!$B$14:$K$20,9)/30))</f>
        <v>31.447676761517165</v>
      </c>
      <c r="EC78" s="172">
        <f ca="1">(VLOOKUP(EC$72,INDIRECT($C$5&amp;"生成成长"),2))/((VLOOKUP($B78,INDIRECT($B$5&amp;"生成成长"),4))/(VLOOKUP(EC$72,INDIRECT($C$5&amp;"生成成长"),5))*(VLOOKUP($B$5,标准坦克设计!$B$24:$U$30,MATCH("对"&amp;LEFT($C$5,2)&amp;"输出",标准坦克设计!$B$23:$U$23,0)))*(VLOOKUP($B78,INDIRECT($B$5&amp;"生成成长"),3))*(VLOOKUP($B$5,标准坦克设计!$B$14:$K$20,9)/30))</f>
        <v>34.358008224060065</v>
      </c>
      <c r="ED78" s="172">
        <f ca="1">(VLOOKUP(ED$72,INDIRECT($C$5&amp;"生成成长"),2))/((VLOOKUP($B78,INDIRECT($B$5&amp;"生成成长"),4))/(VLOOKUP(ED$72,INDIRECT($C$5&amp;"生成成长"),5))*(VLOOKUP($B$5,标准坦克设计!$B$24:$U$30,MATCH("对"&amp;LEFT($C$5,2)&amp;"输出",标准坦克设计!$B$23:$U$23,0)))*(VLOOKUP($B78,INDIRECT($B$5&amp;"生成成长"),3))*(VLOOKUP($B$5,标准坦克设计!$B$14:$K$20,9)/30))</f>
        <v>37.397115415034058</v>
      </c>
      <c r="EE78" s="172">
        <f ca="1">(VLOOKUP(EE$72,INDIRECT($C$5&amp;"生成成长"),2))/((VLOOKUP($B78,INDIRECT($B$5&amp;"生成成长"),4))/(VLOOKUP(EE$72,INDIRECT($C$5&amp;"生成成长"),5))*(VLOOKUP($B$5,标准坦克设计!$B$24:$U$30,MATCH("对"&amp;LEFT($C$5,2)&amp;"输出",标准坦克设计!$B$23:$U$23,0)))*(VLOOKUP($B78,INDIRECT($B$5&amp;"生成成长"),3))*(VLOOKUP($B$5,标准坦克设计!$B$14:$K$20,9)/30))</f>
        <v>40.56499833443916</v>
      </c>
      <c r="EF78" s="172">
        <f ca="1">(VLOOKUP(EF$72,INDIRECT($C$5&amp;"生成成长"),2))/((VLOOKUP($B78,INDIRECT($B$5&amp;"生成成长"),4))/(VLOOKUP(EF$72,INDIRECT($C$5&amp;"生成成长"),5))*(VLOOKUP($B$5,标准坦克设计!$B$24:$U$30,MATCH("对"&amp;LEFT($C$5,2)&amp;"输出",标准坦克设计!$B$23:$U$23,0)))*(VLOOKUP($B78,INDIRECT($B$5&amp;"生成成长"),3))*(VLOOKUP($B$5,标准坦克设计!$B$14:$K$20,9)/30))</f>
        <v>43.86165698227537</v>
      </c>
      <c r="EG78" s="172">
        <f ca="1">(VLOOKUP(EG$72,INDIRECT($C$5&amp;"生成成长"),2))/((VLOOKUP($B78,INDIRECT($B$5&amp;"生成成长"),4))/(VLOOKUP(EG$72,INDIRECT($C$5&amp;"生成成长"),5))*(VLOOKUP($B$5,标准坦克设计!$B$24:$U$30,MATCH("对"&amp;LEFT($C$5,2)&amp;"输出",标准坦克设计!$B$23:$U$23,0)))*(VLOOKUP($B78,INDIRECT($B$5&amp;"生成成长"),3))*(VLOOKUP($B$5,标准坦克设计!$B$14:$K$20,9)/30))</f>
        <v>47.287091358542675</v>
      </c>
      <c r="EH78" s="172">
        <f ca="1">(VLOOKUP(EH$72,INDIRECT($C$5&amp;"生成成长"),2))/((VLOOKUP($B78,INDIRECT($B$5&amp;"生成成长"),4))/(VLOOKUP(EH$72,INDIRECT($C$5&amp;"生成成长"),5))*(VLOOKUP($B$5,标准坦克设计!$B$24:$U$30,MATCH("对"&amp;LEFT($C$5,2)&amp;"输出",标准坦克设计!$B$23:$U$23,0)))*(VLOOKUP($B78,INDIRECT($B$5&amp;"生成成长"),3))*(VLOOKUP($B$5,标准坦克设计!$B$14:$K$20,9)/30))</f>
        <v>50.841301463241066</v>
      </c>
      <c r="EI78" s="172">
        <f ca="1">(VLOOKUP(EI$72,INDIRECT($C$5&amp;"生成成长"),2))/((VLOOKUP($B78,INDIRECT($B$5&amp;"生成成长"),4))/(VLOOKUP(EI$72,INDIRECT($C$5&amp;"生成成长"),5))*(VLOOKUP($B$5,标准坦克设计!$B$24:$U$30,MATCH("对"&amp;LEFT($C$5,2)&amp;"输出",标准坦克设计!$B$23:$U$23,0)))*(VLOOKUP($B78,INDIRECT($B$5&amp;"生成成长"),3))*(VLOOKUP($B$5,标准坦克设计!$B$14:$K$20,9)/30))</f>
        <v>54.524287296370566</v>
      </c>
      <c r="EJ78" s="172">
        <f ca="1">(VLOOKUP(EJ$72,INDIRECT($C$5&amp;"生成成长"),2))/((VLOOKUP($B78,INDIRECT($B$5&amp;"生成成长"),4))/(VLOOKUP(EJ$72,INDIRECT($C$5&amp;"生成成长"),5))*(VLOOKUP($B$5,标准坦克设计!$B$24:$U$30,MATCH("对"&amp;LEFT($C$5,2)&amp;"输出",标准坦克设计!$B$23:$U$23,0)))*(VLOOKUP($B78,INDIRECT($B$5&amp;"生成成长"),3))*(VLOOKUP($B$5,标准坦克设计!$B$14:$K$20,9)/30))</f>
        <v>58.336048857931182</v>
      </c>
      <c r="EK78" s="172">
        <f ca="1">(VLOOKUP(EK$72,INDIRECT($C$5&amp;"生成成长"),2))/((VLOOKUP($B78,INDIRECT($B$5&amp;"生成成长"),4))/(VLOOKUP(EK$72,INDIRECT($C$5&amp;"生成成长"),5))*(VLOOKUP($B$5,标准坦克设计!$B$24:$U$30,MATCH("对"&amp;LEFT($C$5,2)&amp;"输出",标准坦克设计!$B$23:$U$23,0)))*(VLOOKUP($B78,INDIRECT($B$5&amp;"生成成长"),3))*(VLOOKUP($B$5,标准坦克设计!$B$14:$K$20,9)/30))</f>
        <v>63.080146693332971</v>
      </c>
      <c r="EL78" s="172">
        <f ca="1">(VLOOKUP(EL$72,INDIRECT($C$5&amp;"生成成长"),2))/((VLOOKUP($B78,INDIRECT($B$5&amp;"生成成长"),4))/(VLOOKUP(EL$72,INDIRECT($C$5&amp;"生成成长"),5))*(VLOOKUP($B$5,标准坦克设计!$B$24:$U$30,MATCH("对"&amp;LEFT($C$5,2)&amp;"输出",标准坦克设计!$B$23:$U$23,0)))*(VLOOKUP($B78,INDIRECT($B$5&amp;"生成成长"),3))*(VLOOKUP($B$5,标准坦克设计!$B$14:$K$20,9)/30))</f>
        <v>68.009681577675551</v>
      </c>
      <c r="EM78" s="172">
        <f ca="1">(VLOOKUP(EM$72,INDIRECT($C$5&amp;"生成成长"),2))/((VLOOKUP($B78,INDIRECT($B$5&amp;"生成成长"),4))/(VLOOKUP(EM$72,INDIRECT($C$5&amp;"生成成长"),5))*(VLOOKUP($B$5,标准坦克设计!$B$24:$U$30,MATCH("对"&amp;LEFT($C$5,2)&amp;"输出",标准坦克设计!$B$23:$U$23,0)))*(VLOOKUP($B78,INDIRECT($B$5&amp;"生成成长"),3))*(VLOOKUP($B$5,标准坦克设计!$B$14:$K$20,9)/30))</f>
        <v>73.124653510958908</v>
      </c>
      <c r="EN78" s="172">
        <f ca="1">(VLOOKUP(EN$72,INDIRECT($C$5&amp;"生成成长"),2))/((VLOOKUP($B78,INDIRECT($B$5&amp;"生成成长"),4))/(VLOOKUP(EN$72,INDIRECT($C$5&amp;"生成成长"),5))*(VLOOKUP($B$5,标准坦克设计!$B$24:$U$30,MATCH("对"&amp;LEFT($C$5,2)&amp;"输出",标准坦克设计!$B$23:$U$23,0)))*(VLOOKUP($B78,INDIRECT($B$5&amp;"生成成长"),3))*(VLOOKUP($B$5,标准坦克设计!$B$14:$K$20,9)/30))</f>
        <v>78.425062493183034</v>
      </c>
      <c r="EO78" s="172">
        <f ca="1">(VLOOKUP(EO$72,INDIRECT($C$5&amp;"生成成长"),2))/((VLOOKUP($B78,INDIRECT($B$5&amp;"生成成长"),4))/(VLOOKUP(EO$72,INDIRECT($C$5&amp;"生成成长"),5))*(VLOOKUP($B$5,标准坦克设计!$B$24:$U$30,MATCH("对"&amp;LEFT($C$5,2)&amp;"输出",标准坦克设计!$B$23:$U$23,0)))*(VLOOKUP($B78,INDIRECT($B$5&amp;"生成成长"),3))*(VLOOKUP($B$5,标准坦克设计!$B$14:$K$20,9)/30))</f>
        <v>83.910908524347974</v>
      </c>
      <c r="EP78" s="172">
        <f ca="1">(VLOOKUP(EP$72,INDIRECT($C$5&amp;"生成成长"),2))/((VLOOKUP($B78,INDIRECT($B$5&amp;"生成成长"),4))/(VLOOKUP(EP$72,INDIRECT($C$5&amp;"生成成长"),5))*(VLOOKUP($B$5,标准坦克设计!$B$24:$U$30,MATCH("对"&amp;LEFT($C$5,2)&amp;"输出",标准坦克设计!$B$23:$U$23,0)))*(VLOOKUP($B78,INDIRECT($B$5&amp;"生成成长"),3))*(VLOOKUP($B$5,标准坦克设计!$B$14:$K$20,9)/30))</f>
        <v>89.582191604453683</v>
      </c>
      <c r="EQ78" s="172">
        <f ca="1">(VLOOKUP(EQ$72,INDIRECT($C$5&amp;"生成成长"),2))/((VLOOKUP($B78,INDIRECT($B$5&amp;"生成成长"),4))/(VLOOKUP(EQ$72,INDIRECT($C$5&amp;"生成成长"),5))*(VLOOKUP($B$5,标准坦克设计!$B$24:$U$30,MATCH("对"&amp;LEFT($C$5,2)&amp;"输出",标准坦克设计!$B$23:$U$23,0)))*(VLOOKUP($B78,INDIRECT($B$5&amp;"生成成长"),3))*(VLOOKUP($B$5,标准坦克设计!$B$14:$K$20,9)/30))</f>
        <v>39.601112007132365</v>
      </c>
      <c r="ER78" s="172">
        <f ca="1">(VLOOKUP(ER$72,INDIRECT($C$5&amp;"生成成长"),2))/((VLOOKUP($B78,INDIRECT($B$5&amp;"生成成长"),4))/(VLOOKUP(ER$72,INDIRECT($C$5&amp;"生成成长"),5))*(VLOOKUP($B$5,标准坦克设计!$B$24:$U$30,MATCH("对"&amp;LEFT($C$5,2)&amp;"输出",标准坦克设计!$B$23:$U$23,0)))*(VLOOKUP($B78,INDIRECT($B$5&amp;"生成成长"),3))*(VLOOKUP($B$5,标准坦克设计!$B$14:$K$20,9)/30))</f>
        <v>43.192023194433638</v>
      </c>
      <c r="ES78" s="172">
        <f ca="1">(VLOOKUP(ES$72,INDIRECT($C$5&amp;"生成成长"),2))/((VLOOKUP($B78,INDIRECT($B$5&amp;"生成成长"),4))/(VLOOKUP(ES$72,INDIRECT($C$5&amp;"生成成长"),5))*(VLOOKUP($B$5,标准坦克设计!$B$24:$U$30,MATCH("对"&amp;LEFT($C$5,2)&amp;"输出",标准坦克设计!$B$23:$U$23,0)))*(VLOOKUP($B78,INDIRECT($B$5&amp;"生成成长"),3))*(VLOOKUP($B$5,标准坦克设计!$B$14:$K$20,9)/30))</f>
        <v>46.938753013136541</v>
      </c>
      <c r="ET78" s="172">
        <f ca="1">(VLOOKUP(ET$72,INDIRECT($C$5&amp;"生成成长"),2))/((VLOOKUP($B78,INDIRECT($B$5&amp;"生成成长"),4))/(VLOOKUP(ET$72,INDIRECT($C$5&amp;"生成成长"),5))*(VLOOKUP($B$5,标准坦克设计!$B$24:$U$30,MATCH("对"&amp;LEFT($C$5,2)&amp;"输出",标准坦克设计!$B$23:$U$23,0)))*(VLOOKUP($B78,INDIRECT($B$5&amp;"生成成长"),3))*(VLOOKUP($B$5,标准坦克设计!$B$14:$K$20,9)/30))</f>
        <v>50.841301463241066</v>
      </c>
      <c r="EU78" s="172">
        <f ca="1">(VLOOKUP(EU$72,INDIRECT($C$5&amp;"生成成长"),2))/((VLOOKUP($B78,INDIRECT($B$5&amp;"生成成长"),4))/(VLOOKUP(EU$72,INDIRECT($C$5&amp;"生成成长"),5))*(VLOOKUP($B$5,标准坦克设计!$B$24:$U$30,MATCH("对"&amp;LEFT($C$5,2)&amp;"输出",标准坦克设计!$B$23:$U$23,0)))*(VLOOKUP($B78,INDIRECT($B$5&amp;"生成成长"),3))*(VLOOKUP($B$5,标准坦克设计!$B$14:$K$20,9)/30))</f>
        <v>54.899668544747243</v>
      </c>
      <c r="EV78" s="172">
        <f ca="1">(VLOOKUP(EV$72,INDIRECT($C$5&amp;"生成成长"),2))/((VLOOKUP($B78,INDIRECT($B$5&amp;"生成成长"),4))/(VLOOKUP(EV$72,INDIRECT($C$5&amp;"生成成长"),5))*(VLOOKUP($B$5,标准坦克设计!$B$24:$U$30,MATCH("对"&amp;LEFT($C$5,2)&amp;"输出",标准坦克设计!$B$23:$U$23,0)))*(VLOOKUP($B78,INDIRECT($B$5&amp;"生成成长"),3))*(VLOOKUP($B$5,标准坦克设计!$B$14:$K$20,9)/30))</f>
        <v>59.113854257655035</v>
      </c>
      <c r="EW78" s="172">
        <f ca="1">(VLOOKUP(EW$72,INDIRECT($C$5&amp;"生成成长"),2))/((VLOOKUP($B78,INDIRECT($B$5&amp;"生成成长"),4))/(VLOOKUP(EW$72,INDIRECT($C$5&amp;"生成成长"),5))*(VLOOKUP($B$5,标准坦克设计!$B$24:$U$30,MATCH("对"&amp;LEFT($C$5,2)&amp;"输出",标准坦克设计!$B$23:$U$23,0)))*(VLOOKUP($B78,INDIRECT($B$5&amp;"生成成长"),3))*(VLOOKUP($B$5,标准坦克设计!$B$14:$K$20,9)/30))</f>
        <v>63.483858601964478</v>
      </c>
      <c r="EX78" s="172">
        <f ca="1">(VLOOKUP(EX$72,INDIRECT($C$5&amp;"生成成长"),2))/((VLOOKUP($B78,INDIRECT($B$5&amp;"生成成长"),4))/(VLOOKUP(EX$72,INDIRECT($C$5&amp;"生成成长"),5))*(VLOOKUP($B$5,标准坦克设计!$B$24:$U$30,MATCH("对"&amp;LEFT($C$5,2)&amp;"输出",标准坦克设计!$B$23:$U$23,0)))*(VLOOKUP($B78,INDIRECT($B$5&amp;"生成成长"),3))*(VLOOKUP($B$5,标准坦克设计!$B$14:$K$20,9)/30))</f>
        <v>68.009681577675551</v>
      </c>
      <c r="EY78" s="172">
        <f ca="1">(VLOOKUP(EY$72,INDIRECT($C$5&amp;"生成成长"),2))/((VLOOKUP($B78,INDIRECT($B$5&amp;"生成成长"),4))/(VLOOKUP(EY$72,INDIRECT($C$5&amp;"生成成长"),5))*(VLOOKUP($B$5,标准坦克设计!$B$24:$U$30,MATCH("对"&amp;LEFT($C$5,2)&amp;"输出",标准坦克设计!$B$23:$U$23,0)))*(VLOOKUP($B78,INDIRECT($B$5&amp;"生成成长"),3))*(VLOOKUP($B$5,标准坦克设计!$B$14:$K$20,9)/30))</f>
        <v>72.691323184788246</v>
      </c>
      <c r="EZ78" s="172">
        <f ca="1">(VLOOKUP(EZ$72,INDIRECT($C$5&amp;"生成成长"),2))/((VLOOKUP($B78,INDIRECT($B$5&amp;"生成成长"),4))/(VLOOKUP(EZ$72,INDIRECT($C$5&amp;"生成成长"),5))*(VLOOKUP($B$5,标准坦克设计!$B$24:$U$30,MATCH("对"&amp;LEFT($C$5,2)&amp;"输出",标准坦克设计!$B$23:$U$23,0)))*(VLOOKUP($B78,INDIRECT($B$5&amp;"生成成长"),3))*(VLOOKUP($B$5,标准坦克设计!$B$14:$K$20,9)/30))</f>
        <v>77.528783423302585</v>
      </c>
      <c r="FA78" s="172">
        <f ca="1">(VLOOKUP(FA$72,INDIRECT($C$5&amp;"生成成长"),2))/((VLOOKUP($B78,INDIRECT($B$5&amp;"生成成长"),4))/(VLOOKUP(FA$72,INDIRECT($C$5&amp;"生成成长"),5))*(VLOOKUP($B$5,标准坦克设计!$B$24:$U$30,MATCH("对"&amp;LEFT($C$5,2)&amp;"输出",标准坦克设计!$B$23:$U$23,0)))*(VLOOKUP($B78,INDIRECT($B$5&amp;"生成成长"),3))*(VLOOKUP($B$5,标准坦克设计!$B$14:$K$20,9)/30))</f>
        <v>82.522062293218525</v>
      </c>
      <c r="FB78" s="172">
        <f ca="1">(VLOOKUP(FB$72,INDIRECT($C$5&amp;"生成成长"),2))/((VLOOKUP($B78,INDIRECT($B$5&amp;"生成成长"),4))/(VLOOKUP(FB$72,INDIRECT($C$5&amp;"生成成长"),5))*(VLOOKUP($B$5,标准坦克设计!$B$24:$U$30,MATCH("对"&amp;LEFT($C$5,2)&amp;"输出",标准坦克设计!$B$23:$U$23,0)))*(VLOOKUP($B78,INDIRECT($B$5&amp;"生成成长"),3))*(VLOOKUP($B$5,标准坦克设计!$B$14:$K$20,9)/30))</f>
        <v>87.671159794536138</v>
      </c>
      <c r="FC78" s="172">
        <f ca="1">(VLOOKUP(FC$72,INDIRECT($C$5&amp;"生成成长"),2))/((VLOOKUP($B78,INDIRECT($B$5&amp;"生成成长"),4))/(VLOOKUP(FC$72,INDIRECT($C$5&amp;"生成成长"),5))*(VLOOKUP($B$5,标准坦克设计!$B$24:$U$30,MATCH("对"&amp;LEFT($C$5,2)&amp;"输出",标准坦克设计!$B$23:$U$23,0)))*(VLOOKUP($B78,INDIRECT($B$5&amp;"生成成长"),3))*(VLOOKUP($B$5,标准坦克设计!$B$14:$K$20,9)/30))</f>
        <v>92.976075927255366</v>
      </c>
      <c r="FD78" s="172">
        <f ca="1">(VLOOKUP(FD$72,INDIRECT($C$5&amp;"生成成长"),2))/((VLOOKUP($B78,INDIRECT($B$5&amp;"生成成长"),4))/(VLOOKUP(FD$72,INDIRECT($C$5&amp;"生成成长"),5))*(VLOOKUP($B$5,标准坦克设计!$B$24:$U$30,MATCH("对"&amp;LEFT($C$5,2)&amp;"输出",标准坦克设计!$B$23:$U$23,0)))*(VLOOKUP($B78,INDIRECT($B$5&amp;"生成成长"),3))*(VLOOKUP($B$5,标准坦克设计!$B$14:$K$20,9)/30))</f>
        <v>98.436810691376209</v>
      </c>
      <c r="FE78" s="172">
        <f ca="1">(VLOOKUP(FE$72,INDIRECT($C$5&amp;"生成成长"),2))/((VLOOKUP($B78,INDIRECT($B$5&amp;"生成成长"),4))/(VLOOKUP(FE$72,INDIRECT($C$5&amp;"生成成长"),5))*(VLOOKUP($B$5,标准坦克设计!$B$24:$U$30,MATCH("对"&amp;LEFT($C$5,2)&amp;"输出",标准坦克设计!$B$23:$U$23,0)))*(VLOOKUP($B78,INDIRECT($B$5&amp;"生成成长"),3))*(VLOOKUP($B$5,标准坦克设计!$B$14:$K$20,9)/30))</f>
        <v>105.09129645805339</v>
      </c>
      <c r="FF78" s="172">
        <f ca="1">(VLOOKUP(FF$72,INDIRECT($C$5&amp;"生成成长"),2))/((VLOOKUP($B78,INDIRECT($B$5&amp;"生成成长"),4))/(VLOOKUP(FF$72,INDIRECT($C$5&amp;"生成成长"),5))*(VLOOKUP($B$5,标准坦克设计!$B$24:$U$30,MATCH("对"&amp;LEFT($C$5,2)&amp;"输出",标准坦克设计!$B$23:$U$23,0)))*(VLOOKUP($B78,INDIRECT($B$5&amp;"生成成长"),3))*(VLOOKUP($B$5,标准坦克设计!$B$14:$K$20,9)/30))</f>
        <v>111.96341320577913</v>
      </c>
      <c r="FG78" s="172">
        <f ca="1">(VLOOKUP(FG$72,INDIRECT($C$5&amp;"生成成长"),2))/((VLOOKUP($B78,INDIRECT($B$5&amp;"生成成长"),4))/(VLOOKUP(FG$72,INDIRECT($C$5&amp;"生成成长"),5))*(VLOOKUP($B$5,标准坦克设计!$B$24:$U$30,MATCH("对"&amp;LEFT($C$5,2)&amp;"输出",标准坦克设计!$B$23:$U$23,0)))*(VLOOKUP($B78,INDIRECT($B$5&amp;"生成成长"),3))*(VLOOKUP($B$5,标准坦克设计!$B$14:$K$20,9)/30))</f>
        <v>119.05316093455343</v>
      </c>
      <c r="FH78" s="172">
        <f ca="1">(VLOOKUP(FH$72,INDIRECT($C$5&amp;"生成成长"),2))/((VLOOKUP($B78,INDIRECT($B$5&amp;"生成成长"),4))/(VLOOKUP(FH$72,INDIRECT($C$5&amp;"生成成长"),5))*(VLOOKUP($B$5,标准坦克设计!$B$24:$U$30,MATCH("对"&amp;LEFT($C$5,2)&amp;"输出",标准坦克设计!$B$23:$U$23,0)))*(VLOOKUP($B78,INDIRECT($B$5&amp;"生成成长"),3))*(VLOOKUP($B$5,标准坦克设计!$B$14:$K$20,9)/30))</f>
        <v>126.36053964437629</v>
      </c>
      <c r="FI78" s="172">
        <f ca="1">(VLOOKUP(FI$72,INDIRECT($C$5&amp;"生成成长"),2))/((VLOOKUP($B78,INDIRECT($B$5&amp;"生成成长"),4))/(VLOOKUP(FI$72,INDIRECT($C$5&amp;"生成成长"),5))*(VLOOKUP($B$5,标准坦克设计!$B$24:$U$30,MATCH("对"&amp;LEFT($C$5,2)&amp;"输出",标准坦克设计!$B$23:$U$23,0)))*(VLOOKUP($B78,INDIRECT($B$5&amp;"生成成长"),3))*(VLOOKUP($B$5,标准坦克设计!$B$14:$K$20,9)/30))</f>
        <v>133.8855493352477</v>
      </c>
      <c r="FJ78" s="172">
        <f ca="1">(VLOOKUP(FJ$72,INDIRECT($C$5&amp;"生成成长"),2))/((VLOOKUP($B78,INDIRECT($B$5&amp;"生成成长"),4))/(VLOOKUP(FJ$72,INDIRECT($C$5&amp;"生成成长"),5))*(VLOOKUP($B$5,标准坦克设计!$B$24:$U$30,MATCH("对"&amp;LEFT($C$5,2)&amp;"输出",标准坦克设计!$B$23:$U$23,0)))*(VLOOKUP($B78,INDIRECT($B$5&amp;"生成成长"),3))*(VLOOKUP($B$5,标准坦克设计!$B$14:$K$20,9)/30))</f>
        <v>141.62819000716769</v>
      </c>
      <c r="FK78" s="172">
        <f ca="1">(VLOOKUP(FK$72,INDIRECT($C$5&amp;"生成成长"),2))/((VLOOKUP($B78,INDIRECT($B$5&amp;"生成成长"),4))/(VLOOKUP(FK$72,INDIRECT($C$5&amp;"生成成长"),5))*(VLOOKUP($B$5,标准坦克设计!$B$24:$U$30,MATCH("对"&amp;LEFT($C$5,2)&amp;"输出",标准坦克设计!$B$23:$U$23,0)))*(VLOOKUP($B78,INDIRECT($B$5&amp;"生成成长"),3))*(VLOOKUP($B$5,标准坦克设计!$B$14:$K$20,9)/30))</f>
        <v>149.58846166013623</v>
      </c>
    </row>
    <row r="79" spans="1:167" x14ac:dyDescent="0.15">
      <c r="A79" s="170" t="str">
        <f t="shared" si="11"/>
        <v>T2低品质2级</v>
      </c>
      <c r="B79" s="171">
        <v>10202</v>
      </c>
      <c r="C79" s="172">
        <f ca="1">(VLOOKUP(C$72,INDIRECT($C$5&amp;"生成成长"),2))/((VLOOKUP($B79,INDIRECT($B$5&amp;"生成成长"),4))/(VLOOKUP(C$72,INDIRECT($C$5&amp;"生成成长"),5))*(VLOOKUP($B$5,标准坦克设计!$B$24:$U$30,MATCH("对"&amp;LEFT($C$5,2)&amp;"输出",标准坦克设计!$B$23:$U$23,0)))*(VLOOKUP($B79,INDIRECT($B$5&amp;"生成成长"),3))*(VLOOKUP($B$5,标准坦克设计!$B$14:$K$20,9)/30))</f>
        <v>5.6329765318801766</v>
      </c>
      <c r="D79" s="172">
        <f ca="1">(VLOOKUP(D$72,INDIRECT($C$5&amp;"生成成长"),2))/((VLOOKUP($B79,INDIRECT($B$5&amp;"生成成长"),4))/(VLOOKUP(D$72,INDIRECT($C$5&amp;"生成成长"),5))*(VLOOKUP($B$5,标准坦克设计!$B$24:$U$30,MATCH("对"&amp;LEFT($C$5,2)&amp;"输出",标准坦克设计!$B$23:$U$23,0)))*(VLOOKUP($B79,INDIRECT($B$5&amp;"生成成长"),3))*(VLOOKUP($B$5,标准坦克设计!$B$14:$K$20,9)/30))</f>
        <v>6.329212431220566</v>
      </c>
      <c r="E79" s="172">
        <f ca="1">(VLOOKUP(E$72,INDIRECT($C$5&amp;"生成成长"),2))/((VLOOKUP($B79,INDIRECT($B$5&amp;"生成成长"),4))/(VLOOKUP(E$72,INDIRECT($C$5&amp;"生成成长"),5))*(VLOOKUP($B$5,标准坦克设计!$B$24:$U$30,MATCH("对"&amp;LEFT($C$5,2)&amp;"输出",标准坦克设计!$B$23:$U$23,0)))*(VLOOKUP($B79,INDIRECT($B$5&amp;"生成成长"),3))*(VLOOKUP($B$5,标准坦克设计!$B$14:$K$20,9)/30))</f>
        <v>7.0660057615904925</v>
      </c>
      <c r="F79" s="172">
        <f ca="1">(VLOOKUP(F$72,INDIRECT($C$5&amp;"生成成长"),2))/((VLOOKUP($B79,INDIRECT($B$5&amp;"生成成长"),4))/(VLOOKUP(F$72,INDIRECT($C$5&amp;"生成成长"),5))*(VLOOKUP($B$5,标准坦克设计!$B$24:$U$30,MATCH("对"&amp;LEFT($C$5,2)&amp;"输出",标准坦克设计!$B$23:$U$23,0)))*(VLOOKUP($B79,INDIRECT($B$5&amp;"生成成长"),3))*(VLOOKUP($B$5,标准坦克设计!$B$14:$K$20,9)/30))</f>
        <v>7.8433565229899571</v>
      </c>
      <c r="G79" s="172">
        <f ca="1">(VLOOKUP(G$72,INDIRECT($C$5&amp;"生成成长"),2))/((VLOOKUP($B79,INDIRECT($B$5&amp;"生成成长"),4))/(VLOOKUP(G$72,INDIRECT($C$5&amp;"生成成长"),5))*(VLOOKUP($B$5,标准坦克设计!$B$24:$U$30,MATCH("对"&amp;LEFT($C$5,2)&amp;"输出",标准坦克设计!$B$23:$U$23,0)))*(VLOOKUP($B79,INDIRECT($B$5&amp;"生成成长"),3))*(VLOOKUP($B$5,标准坦克设计!$B$14:$K$20,9)/30))</f>
        <v>8.6612647154189606</v>
      </c>
      <c r="H79" s="172">
        <f ca="1">(VLOOKUP(H$72,INDIRECT($C$5&amp;"生成成长"),2))/((VLOOKUP($B79,INDIRECT($B$5&amp;"生成成长"),4))/(VLOOKUP(H$72,INDIRECT($C$5&amp;"生成成长"),5))*(VLOOKUP($B$5,标准坦克设计!$B$24:$U$30,MATCH("对"&amp;LEFT($C$5,2)&amp;"输出",标准坦克设计!$B$23:$U$23,0)))*(VLOOKUP($B79,INDIRECT($B$5&amp;"生成成长"),3))*(VLOOKUP($B$5,标准坦克设计!$B$14:$K$20,9)/30))</f>
        <v>7.5797332212979658</v>
      </c>
      <c r="I79" s="172">
        <f ca="1">(VLOOKUP(I$72,INDIRECT($C$5&amp;"生成成长"),2))/((VLOOKUP($B79,INDIRECT($B$5&amp;"生成成长"),4))/(VLOOKUP(I$72,INDIRECT($C$5&amp;"生成成长"),5))*(VLOOKUP($B$5,标准坦克设计!$B$24:$U$30,MATCH("对"&amp;LEFT($C$5,2)&amp;"输出",标准坦克设计!$B$23:$U$23,0)))*(VLOOKUP($B79,INDIRECT($B$5&amp;"生成成长"),3))*(VLOOKUP($B$5,标准坦克设计!$B$14:$K$20,9)/30))</f>
        <v>8.6612647154189606</v>
      </c>
      <c r="J79" s="172">
        <f ca="1">(VLOOKUP(J$72,INDIRECT($C$5&amp;"生成成长"),2))/((VLOOKUP($B79,INDIRECT($B$5&amp;"生成成长"),4))/(VLOOKUP(J$72,INDIRECT($C$5&amp;"生成成长"),5))*(VLOOKUP($B$5,标准坦克设计!$B$24:$U$30,MATCH("对"&amp;LEFT($C$5,2)&amp;"输出",标准坦克设计!$B$23:$U$23,0)))*(VLOOKUP($B79,INDIRECT($B$5&amp;"生成成长"),3))*(VLOOKUP($B$5,标准坦克设计!$B$14:$K$20,9)/30))</f>
        <v>9.8148983091480169</v>
      </c>
      <c r="K79" s="172">
        <f ca="1">(VLOOKUP(K$72,INDIRECT($C$5&amp;"生成成长"),2))/((VLOOKUP($B79,INDIRECT($B$5&amp;"生成成长"),4))/(VLOOKUP(K$72,INDIRECT($C$5&amp;"生成成长"),5))*(VLOOKUP($B$5,标准坦克设计!$B$24:$U$30,MATCH("对"&amp;LEFT($C$5,2)&amp;"输出",标准坦克设计!$B$23:$U$23,0)))*(VLOOKUP($B79,INDIRECT($B$5&amp;"生成成长"),3))*(VLOOKUP($B$5,标准坦克设计!$B$14:$K$20,9)/30))</f>
        <v>11.040634002485145</v>
      </c>
      <c r="L79" s="172">
        <f ca="1">(VLOOKUP(L$72,INDIRECT($C$5&amp;"生成成长"),2))/((VLOOKUP($B79,INDIRECT($B$5&amp;"生成成长"),4))/(VLOOKUP(L$72,INDIRECT($C$5&amp;"生成成长"),5))*(VLOOKUP($B$5,标准坦克设计!$B$24:$U$30,MATCH("对"&amp;LEFT($C$5,2)&amp;"输出",标准坦克设计!$B$23:$U$23,0)))*(VLOOKUP($B79,INDIRECT($B$5&amp;"生成成长"),3))*(VLOOKUP($B$5,标准坦克设计!$B$14:$K$20,9)/30))</f>
        <v>12.338471795430339</v>
      </c>
      <c r="M79" s="172">
        <f ca="1">(VLOOKUP(M$72,INDIRECT($C$5&amp;"生成成长"),2))/((VLOOKUP($B79,INDIRECT($B$5&amp;"生成成长"),4))/(VLOOKUP(M$72,INDIRECT($C$5&amp;"生成成长"),5))*(VLOOKUP($B$5,标准坦克设计!$B$24:$U$30,MATCH("对"&amp;LEFT($C$5,2)&amp;"输出",标准坦克设计!$B$23:$U$23,0)))*(VLOOKUP($B79,INDIRECT($B$5&amp;"生成成长"),3))*(VLOOKUP($B$5,标准坦克设计!$B$14:$K$20,9)/30))</f>
        <v>13.708411687983597</v>
      </c>
      <c r="N79" s="172">
        <f ca="1">(VLOOKUP(N$72,INDIRECT($C$5&amp;"生成成长"),2))/((VLOOKUP($B79,INDIRECT($B$5&amp;"生成成长"),4))/(VLOOKUP(N$72,INDIRECT($C$5&amp;"生成成长"),5))*(VLOOKUP($B$5,标准坦克设计!$B$24:$U$30,MATCH("对"&amp;LEFT($C$5,2)&amp;"输出",标准坦克设计!$B$23:$U$23,0)))*(VLOOKUP($B79,INDIRECT($B$5&amp;"生成成长"),3))*(VLOOKUP($B$5,标准坦克设计!$B$14:$K$20,9)/30))</f>
        <v>15.150453680144921</v>
      </c>
      <c r="O79" s="172">
        <f ca="1">(VLOOKUP(O$72,INDIRECT($C$5&amp;"生成成长"),2))/((VLOOKUP($B79,INDIRECT($B$5&amp;"生成成长"),4))/(VLOOKUP(O$72,INDIRECT($C$5&amp;"生成成长"),5))*(VLOOKUP($B$5,标准坦克设计!$B$24:$U$30,MATCH("对"&amp;LEFT($C$5,2)&amp;"输出",标准坦克设计!$B$23:$U$23,0)))*(VLOOKUP($B79,INDIRECT($B$5&amp;"生成成长"),3))*(VLOOKUP($B$5,标准坦克设计!$B$14:$K$20,9)/30))</f>
        <v>11.518873710041774</v>
      </c>
      <c r="P79" s="172">
        <f ca="1">(VLOOKUP(P$72,INDIRECT($C$5&amp;"生成成长"),2))/((VLOOKUP($B79,INDIRECT($B$5&amp;"生成成长"),4))/(VLOOKUP(P$72,INDIRECT($C$5&amp;"生成成长"),5))*(VLOOKUP($B$5,标准坦克设计!$B$24:$U$30,MATCH("对"&amp;LEFT($C$5,2)&amp;"输出",标准坦克设计!$B$23:$U$23,0)))*(VLOOKUP($B79,INDIRECT($B$5&amp;"生成成长"),3))*(VLOOKUP($B$5,标准坦克设计!$B$14:$K$20,9)/30))</f>
        <v>13.014428979255959</v>
      </c>
      <c r="Q79" s="172">
        <f ca="1">(VLOOKUP(Q$72,INDIRECT($C$5&amp;"生成成长"),2))/((VLOOKUP($B79,INDIRECT($B$5&amp;"生成成长"),4))/(VLOOKUP(Q$72,INDIRECT($C$5&amp;"生成成长"),5))*(VLOOKUP($B$5,标准坦克设计!$B$24:$U$30,MATCH("对"&amp;LEFT($C$5,2)&amp;"输出",标准坦克设计!$B$23:$U$23,0)))*(VLOOKUP($B79,INDIRECT($B$5&amp;"生成成长"),3))*(VLOOKUP($B$5,标准坦克设计!$B$14:$K$20,9)/30))</f>
        <v>14.601238468286605</v>
      </c>
      <c r="R79" s="172">
        <f ca="1">(VLOOKUP(R$72,INDIRECT($C$5&amp;"生成成长"),2))/((VLOOKUP($B79,INDIRECT($B$5&amp;"生成成长"),4))/(VLOOKUP(R$72,INDIRECT($C$5&amp;"生成成长"),5))*(VLOOKUP($B$5,标准坦克设计!$B$24:$U$30,MATCH("对"&amp;LEFT($C$5,2)&amp;"输出",标准坦克设计!$B$23:$U$23,0)))*(VLOOKUP($B79,INDIRECT($B$5&amp;"生成成长"),3))*(VLOOKUP($B$5,标准坦克设计!$B$14:$K$20,9)/30))</f>
        <v>16.279302177133712</v>
      </c>
      <c r="S79" s="172">
        <f ca="1">(VLOOKUP(S$72,INDIRECT($C$5&amp;"生成成长"),2))/((VLOOKUP($B79,INDIRECT($B$5&amp;"生成成长"),4))/(VLOOKUP(S$72,INDIRECT($C$5&amp;"生成成长"),5))*(VLOOKUP($B$5,标准坦克设计!$B$24:$U$30,MATCH("对"&amp;LEFT($C$5,2)&amp;"输出",标准坦克设计!$B$23:$U$23,0)))*(VLOOKUP($B79,INDIRECT($B$5&amp;"生成成长"),3))*(VLOOKUP($B$5,标准坦克设计!$B$14:$K$20,9)/30))</f>
        <v>18.048620105797273</v>
      </c>
      <c r="T79" s="172">
        <f ca="1">(VLOOKUP(T$72,INDIRECT($C$5&amp;"生成成长"),2))/((VLOOKUP($B79,INDIRECT($B$5&amp;"生成成长"),4))/(VLOOKUP(T$72,INDIRECT($C$5&amp;"生成成长"),5))*(VLOOKUP($B$5,标准坦克设计!$B$24:$U$30,MATCH("对"&amp;LEFT($C$5,2)&amp;"输出",标准坦克设计!$B$23:$U$23,0)))*(VLOOKUP($B79,INDIRECT($B$5&amp;"生成成长"),3))*(VLOOKUP($B$5,标准坦克设计!$B$14:$K$20,9)/30))</f>
        <v>19.909192254277297</v>
      </c>
      <c r="U79" s="172">
        <f ca="1">(VLOOKUP(U$72,INDIRECT($C$5&amp;"生成成长"),2))/((VLOOKUP($B79,INDIRECT($B$5&amp;"生成成长"),4))/(VLOOKUP(U$72,INDIRECT($C$5&amp;"生成成长"),5))*(VLOOKUP($B$5,标准坦克设计!$B$24:$U$30,MATCH("对"&amp;LEFT($C$5,2)&amp;"输出",标准坦克设计!$B$23:$U$23,0)))*(VLOOKUP($B79,INDIRECT($B$5&amp;"生成成长"),3))*(VLOOKUP($B$5,标准坦克设计!$B$14:$K$20,9)/30))</f>
        <v>21.861018622573777</v>
      </c>
      <c r="V79" s="172">
        <f ca="1">(VLOOKUP(V$72,INDIRECT($C$5&amp;"生成成长"),2))/((VLOOKUP($B79,INDIRECT($B$5&amp;"生成成长"),4))/(VLOOKUP(V$72,INDIRECT($C$5&amp;"生成成长"),5))*(VLOOKUP($B$5,标准坦克设计!$B$24:$U$30,MATCH("对"&amp;LEFT($C$5,2)&amp;"输出",标准坦克设计!$B$23:$U$23,0)))*(VLOOKUP($B79,INDIRECT($B$5&amp;"生成成长"),3))*(VLOOKUP($B$5,标准坦克设计!$B$14:$K$20,9)/30))</f>
        <v>23.904099210686717</v>
      </c>
      <c r="W79" s="172">
        <f ca="1">(VLOOKUP(W$72,INDIRECT($C$5&amp;"生成成长"),2))/((VLOOKUP($B79,INDIRECT($B$5&amp;"生成成长"),4))/(VLOOKUP(W$72,INDIRECT($C$5&amp;"生成成长"),5))*(VLOOKUP($B$5,标准坦克设计!$B$24:$U$30,MATCH("对"&amp;LEFT($C$5,2)&amp;"输出",标准坦克设计!$B$23:$U$23,0)))*(VLOOKUP($B79,INDIRECT($B$5&amp;"生成成长"),3))*(VLOOKUP($B$5,标准坦克设计!$B$14:$K$20,9)/30))</f>
        <v>26.038434018616112</v>
      </c>
      <c r="X79" s="172">
        <f ca="1">(VLOOKUP(X$72,INDIRECT($C$5&amp;"生成成长"),2))/((VLOOKUP($B79,INDIRECT($B$5&amp;"生成成长"),4))/(VLOOKUP(X$72,INDIRECT($C$5&amp;"生成成长"),5))*(VLOOKUP($B$5,标准坦克设计!$B$24:$U$30,MATCH("对"&amp;LEFT($C$5,2)&amp;"输出",标准坦克设计!$B$23:$U$23,0)))*(VLOOKUP($B79,INDIRECT($B$5&amp;"生成成长"),3))*(VLOOKUP($B$5,标准坦克设计!$B$14:$K$20,9)/30))</f>
        <v>18.864275107613523</v>
      </c>
      <c r="Y79" s="172">
        <f ca="1">(VLOOKUP(Y$72,INDIRECT($C$5&amp;"生成成长"),2))/((VLOOKUP($B79,INDIRECT($B$5&amp;"生成成长"),4))/(VLOOKUP(Y$72,INDIRECT($C$5&amp;"生成成长"),5))*(VLOOKUP($B$5,标准坦克设计!$B$24:$U$30,MATCH("对"&amp;LEFT($C$5,2)&amp;"输出",标准坦克设计!$B$23:$U$23,0)))*(VLOOKUP($B79,INDIRECT($B$5&amp;"生成成长"),3))*(VLOOKUP($B$5,标准坦克设计!$B$14:$K$20,9)/30))</f>
        <v>20.982274283600471</v>
      </c>
      <c r="Z79" s="172">
        <f ca="1">(VLOOKUP(Z$72,INDIRECT($C$5&amp;"生成成长"),2))/((VLOOKUP($B79,INDIRECT($B$5&amp;"生成成长"),4))/(VLOOKUP(Z$72,INDIRECT($C$5&amp;"生成成长"),5))*(VLOOKUP($B$5,标准坦克设计!$B$24:$U$30,MATCH("对"&amp;LEFT($C$5,2)&amp;"输出",标准坦克设计!$B$23:$U$23,0)))*(VLOOKUP($B79,INDIRECT($B$5&amp;"生成成长"),3))*(VLOOKUP($B$5,标准坦克设计!$B$14:$K$20,9)/30))</f>
        <v>23.212932990225017</v>
      </c>
      <c r="AA79" s="172">
        <f ca="1">(VLOOKUP(AA$72,INDIRECT($C$5&amp;"生成成长"),2))/((VLOOKUP($B79,INDIRECT($B$5&amp;"生成成长"),4))/(VLOOKUP(AA$72,INDIRECT($C$5&amp;"生成成长"),5))*(VLOOKUP($B$5,标准坦克设计!$B$24:$U$30,MATCH("对"&amp;LEFT($C$5,2)&amp;"输出",标准坦克设计!$B$23:$U$23,0)))*(VLOOKUP($B79,INDIRECT($B$5&amp;"生成成长"),3))*(VLOOKUP($B$5,标准坦克设计!$B$14:$K$20,9)/30))</f>
        <v>25.556251227487174</v>
      </c>
      <c r="AB79" s="172">
        <f ca="1">(VLOOKUP(AB$72,INDIRECT($C$5&amp;"生成成长"),2))/((VLOOKUP($B79,INDIRECT($B$5&amp;"生成成长"),4))/(VLOOKUP(AB$72,INDIRECT($C$5&amp;"生成成长"),5))*(VLOOKUP($B$5,标准坦克设计!$B$24:$U$30,MATCH("对"&amp;LEFT($C$5,2)&amp;"输出",标准坦克设计!$B$23:$U$23,0)))*(VLOOKUP($B79,INDIRECT($B$5&amp;"生成成长"),3))*(VLOOKUP($B$5,标准坦克设计!$B$14:$K$20,9)/30))</f>
        <v>28.012228995386927</v>
      </c>
      <c r="AC79" s="172">
        <f ca="1">(VLOOKUP(AC$72,INDIRECT($C$5&amp;"生成成长"),2))/((VLOOKUP($B79,INDIRECT($B$5&amp;"生成成长"),4))/(VLOOKUP(AC$72,INDIRECT($C$5&amp;"生成成长"),5))*(VLOOKUP($B$5,标准坦克设计!$B$24:$U$30,MATCH("对"&amp;LEFT($C$5,2)&amp;"输出",标准坦克设计!$B$23:$U$23,0)))*(VLOOKUP($B79,INDIRECT($B$5&amp;"生成成长"),3))*(VLOOKUP($B$5,标准坦克设计!$B$14:$K$20,9)/30))</f>
        <v>30.580866293924291</v>
      </c>
      <c r="AD79" s="172">
        <f ca="1">(VLOOKUP(AD$72,INDIRECT($C$5&amp;"生成成长"),2))/((VLOOKUP($B79,INDIRECT($B$5&amp;"生成成长"),4))/(VLOOKUP(AD$72,INDIRECT($C$5&amp;"生成成长"),5))*(VLOOKUP($B$5,标准坦克设计!$B$24:$U$30,MATCH("对"&amp;LEFT($C$5,2)&amp;"输出",标准坦克设计!$B$23:$U$23,0)))*(VLOOKUP($B79,INDIRECT($B$5&amp;"生成成长"),3))*(VLOOKUP($B$5,标准坦克设计!$B$14:$K$20,9)/30))</f>
        <v>33.262163123099256</v>
      </c>
      <c r="AE79" s="172">
        <f ca="1">(VLOOKUP(AE$72,INDIRECT($C$5&amp;"生成成长"),2))/((VLOOKUP($B79,INDIRECT($B$5&amp;"生成成长"),4))/(VLOOKUP(AE$72,INDIRECT($C$5&amp;"生成成长"),5))*(VLOOKUP($B$5,标准坦克设计!$B$24:$U$30,MATCH("对"&amp;LEFT($C$5,2)&amp;"输出",标准坦克设计!$B$23:$U$23,0)))*(VLOOKUP($B79,INDIRECT($B$5&amp;"生成成长"),3))*(VLOOKUP($B$5,标准坦克设计!$B$14:$K$20,9)/30))</f>
        <v>36.056119482911825</v>
      </c>
      <c r="AF79" s="172">
        <f ca="1">(VLOOKUP(AF$72,INDIRECT($C$5&amp;"生成成长"),2))/((VLOOKUP($B79,INDIRECT($B$5&amp;"生成成长"),4))/(VLOOKUP(AF$72,INDIRECT($C$5&amp;"生成成长"),5))*(VLOOKUP($B$5,标准坦克设计!$B$24:$U$30,MATCH("对"&amp;LEFT($C$5,2)&amp;"输出",标准坦克设计!$B$23:$U$23,0)))*(VLOOKUP($B79,INDIRECT($B$5&amp;"生成成长"),3))*(VLOOKUP($B$5,标准坦克设计!$B$14:$K$20,9)/30))</f>
        <v>38.962735373361994</v>
      </c>
      <c r="AG79" s="172">
        <f ca="1">(VLOOKUP(AG$72,INDIRECT($C$5&amp;"生成成长"),2))/((VLOOKUP($B79,INDIRECT($B$5&amp;"生成成长"),4))/(VLOOKUP(AG$72,INDIRECT($C$5&amp;"生成成长"),5))*(VLOOKUP($B$5,标准坦克设计!$B$24:$U$30,MATCH("对"&amp;LEFT($C$5,2)&amp;"输出",标准坦克设计!$B$23:$U$23,0)))*(VLOOKUP($B79,INDIRECT($B$5&amp;"生成成长"),3))*(VLOOKUP($B$5,标准坦克设计!$B$14:$K$20,9)/30))</f>
        <v>41.982010794449764</v>
      </c>
      <c r="AH79" s="172">
        <f ca="1">(VLOOKUP(AH$72,INDIRECT($C$5&amp;"生成成长"),2))/((VLOOKUP($B79,INDIRECT($B$5&amp;"生成成长"),4))/(VLOOKUP(AH$72,INDIRECT($C$5&amp;"生成成长"),5))*(VLOOKUP($B$5,标准坦克设计!$B$24:$U$30,MATCH("对"&amp;LEFT($C$5,2)&amp;"输出",标准坦克设计!$B$23:$U$23,0)))*(VLOOKUP($B79,INDIRECT($B$5&amp;"生成成长"),3))*(VLOOKUP($B$5,标准坦克设计!$B$14:$K$20,9)/30))</f>
        <v>45.113945746175141</v>
      </c>
      <c r="AI79" s="172">
        <f ca="1">(VLOOKUP(AI$72,INDIRECT($C$5&amp;"生成成长"),2))/((VLOOKUP($B79,INDIRECT($B$5&amp;"生成成长"),4))/(VLOOKUP(AI$72,INDIRECT($C$5&amp;"生成成长"),5))*(VLOOKUP($B$5,标准坦克设计!$B$24:$U$30,MATCH("对"&amp;LEFT($C$5,2)&amp;"输出",标准坦克设计!$B$23:$U$23,0)))*(VLOOKUP($B79,INDIRECT($B$5&amp;"生成成长"),3))*(VLOOKUP($B$5,标准坦克设计!$B$14:$K$20,9)/30))</f>
        <v>31.907432267182067</v>
      </c>
      <c r="AJ79" s="172">
        <f ca="1">(VLOOKUP(AJ$72,INDIRECT($C$5&amp;"生成成长"),2))/((VLOOKUP($B79,INDIRECT($B$5&amp;"生成成长"),4))/(VLOOKUP(AJ$72,INDIRECT($C$5&amp;"生成成长"),5))*(VLOOKUP($B$5,标准坦克设计!$B$24:$U$30,MATCH("对"&amp;LEFT($C$5,2)&amp;"输出",标准坦克设计!$B$23:$U$23,0)))*(VLOOKUP($B79,INDIRECT($B$5&amp;"生成成长"),3))*(VLOOKUP($B$5,标准坦克设计!$B$14:$K$20,9)/30))</f>
        <v>34.925017795310282</v>
      </c>
      <c r="AK79" s="172">
        <f ca="1">(VLOOKUP(AK$72,INDIRECT($C$5&amp;"生成成长"),2))/((VLOOKUP($B79,INDIRECT($B$5&amp;"生成成长"),4))/(VLOOKUP(AK$72,INDIRECT($C$5&amp;"生成成长"),5))*(VLOOKUP($B$5,标准坦克设计!$B$24:$U$30,MATCH("对"&amp;LEFT($C$5,2)&amp;"输出",标准坦克设计!$B$23:$U$23,0)))*(VLOOKUP($B79,INDIRECT($B$5&amp;"生成成长"),3))*(VLOOKUP($B$5,标准坦克设计!$B$14:$K$20,9)/30))</f>
        <v>38.078921355509991</v>
      </c>
      <c r="AL79" s="172">
        <f ca="1">(VLOOKUP(AL$72,INDIRECT($C$5&amp;"生成成长"),2))/((VLOOKUP($B79,INDIRECT($B$5&amp;"生成成长"),4))/(VLOOKUP(AL$72,INDIRECT($C$5&amp;"生成成长"),5))*(VLOOKUP($B$5,标准坦克设计!$B$24:$U$30,MATCH("对"&amp;LEFT($C$5,2)&amp;"输出",标准坦克设计!$B$23:$U$23,0)))*(VLOOKUP($B79,INDIRECT($B$5&amp;"生成成长"),3))*(VLOOKUP($B$5,标准坦克设计!$B$14:$K$20,9)/30))</f>
        <v>41.369142947781206</v>
      </c>
      <c r="AM79" s="172">
        <f ca="1">(VLOOKUP(AM$72,INDIRECT($C$5&amp;"生成成长"),2))/((VLOOKUP($B79,INDIRECT($B$5&amp;"生成成长"),4))/(VLOOKUP(AM$72,INDIRECT($C$5&amp;"生成成长"),5))*(VLOOKUP($B$5,标准坦克设计!$B$24:$U$30,MATCH("对"&amp;LEFT($C$5,2)&amp;"输出",标准坦克设计!$B$23:$U$23,0)))*(VLOOKUP($B79,INDIRECT($B$5&amp;"生成成长"),3))*(VLOOKUP($B$5,标准坦克设计!$B$14:$K$20,9)/30))</f>
        <v>44.795682572123923</v>
      </c>
      <c r="AN79" s="172">
        <f ca="1">(VLOOKUP(AN$72,INDIRECT($C$5&amp;"生成成长"),2))/((VLOOKUP($B79,INDIRECT($B$5&amp;"生成成长"),4))/(VLOOKUP(AN$72,INDIRECT($C$5&amp;"生成成长"),5))*(VLOOKUP($B$5,标准坦克设计!$B$24:$U$30,MATCH("对"&amp;LEFT($C$5,2)&amp;"输出",标准坦克设计!$B$23:$U$23,0)))*(VLOOKUP($B79,INDIRECT($B$5&amp;"生成成长"),3))*(VLOOKUP($B$5,标准坦克设计!$B$14:$K$20,9)/30))</f>
        <v>48.358540228538125</v>
      </c>
      <c r="AO79" s="172">
        <f ca="1">(VLOOKUP(AO$72,INDIRECT($C$5&amp;"生成成长"),2))/((VLOOKUP($B79,INDIRECT($B$5&amp;"生成成长"),4))/(VLOOKUP(AO$72,INDIRECT($C$5&amp;"生成成长"),5))*(VLOOKUP($B$5,标准坦克设计!$B$24:$U$30,MATCH("对"&amp;LEFT($C$5,2)&amp;"输出",标准坦克设计!$B$23:$U$23,0)))*(VLOOKUP($B79,INDIRECT($B$5&amp;"生成成长"),3))*(VLOOKUP($B$5,标准坦克设计!$B$14:$K$20,9)/30))</f>
        <v>52.057715917023835</v>
      </c>
      <c r="AP79" s="172">
        <f ca="1">(VLOOKUP(AP$72,INDIRECT($C$5&amp;"生成成长"),2))/((VLOOKUP($B79,INDIRECT($B$5&amp;"生成成长"),4))/(VLOOKUP(AP$72,INDIRECT($C$5&amp;"生成成长"),5))*(VLOOKUP($B$5,标准坦克设计!$B$24:$U$30,MATCH("对"&amp;LEFT($C$5,2)&amp;"输出",标准坦克设计!$B$23:$U$23,0)))*(VLOOKUP($B79,INDIRECT($B$5&amp;"生成成长"),3))*(VLOOKUP($B$5,标准坦克设计!$B$14:$K$20,9)/30))</f>
        <v>55.893209637581045</v>
      </c>
      <c r="AQ79" s="172">
        <f ca="1">(VLOOKUP(AQ$72,INDIRECT($C$5&amp;"生成成长"),2))/((VLOOKUP($B79,INDIRECT($B$5&amp;"生成成长"),4))/(VLOOKUP(AQ$72,INDIRECT($C$5&amp;"生成成长"),5))*(VLOOKUP($B$5,标准坦克设计!$B$24:$U$30,MATCH("对"&amp;LEFT($C$5,2)&amp;"输出",标准坦克设计!$B$23:$U$23,0)))*(VLOOKUP($B79,INDIRECT($B$5&amp;"生成成长"),3))*(VLOOKUP($B$5,标准坦克设计!$B$14:$K$20,9)/30))</f>
        <v>59.865021390209755</v>
      </c>
      <c r="AR79" s="172">
        <f ca="1">(VLOOKUP(AR$72,INDIRECT($C$5&amp;"生成成长"),2))/((VLOOKUP($B79,INDIRECT($B$5&amp;"生成成长"),4))/(VLOOKUP(AR$72,INDIRECT($C$5&amp;"生成成长"),5))*(VLOOKUP($B$5,标准坦克设计!$B$24:$U$30,MATCH("对"&amp;LEFT($C$5,2)&amp;"输出",标准坦克设计!$B$23:$U$23,0)))*(VLOOKUP($B79,INDIRECT($B$5&amp;"生成成长"),3))*(VLOOKUP($B$5,标准坦克设计!$B$14:$K$20,9)/30))</f>
        <v>63.973151174909972</v>
      </c>
      <c r="AS79" s="172">
        <f ca="1">(VLOOKUP(AS$72,INDIRECT($C$5&amp;"生成成长"),2))/((VLOOKUP($B79,INDIRECT($B$5&amp;"生成成长"),4))/(VLOOKUP(AS$72,INDIRECT($C$5&amp;"生成成长"),5))*(VLOOKUP($B$5,标准坦克设计!$B$24:$U$30,MATCH("对"&amp;LEFT($C$5,2)&amp;"输出",标准坦克设计!$B$23:$U$23,0)))*(VLOOKUP($B79,INDIRECT($B$5&amp;"生成成长"),3))*(VLOOKUP($B$5,标准坦克设计!$B$14:$K$20,9)/30))</f>
        <v>68.217598991681683</v>
      </c>
      <c r="AT79" s="172">
        <f ca="1">(VLOOKUP(AT$72,INDIRECT($C$5&amp;"生成成长"),2))/((VLOOKUP($B79,INDIRECT($B$5&amp;"生成成长"),4))/(VLOOKUP(AT$72,INDIRECT($C$5&amp;"生成成长"),5))*(VLOOKUP($B$5,标准坦克设计!$B$24:$U$30,MATCH("对"&amp;LEFT($C$5,2)&amp;"输出",标准坦克设计!$B$23:$U$23,0)))*(VLOOKUP($B79,INDIRECT($B$5&amp;"生成成长"),3))*(VLOOKUP($B$5,标准坦克设计!$B$14:$K$20,9)/30))</f>
        <v>72.598364840524894</v>
      </c>
      <c r="AU79" s="172">
        <f ca="1">(VLOOKUP(AU$72,INDIRECT($C$5&amp;"生成成长"),2))/((VLOOKUP($B79,INDIRECT($B$5&amp;"生成成长"),4))/(VLOOKUP(AU$72,INDIRECT($C$5&amp;"生成成长"),5))*(VLOOKUP($B$5,标准坦克设计!$B$24:$U$30,MATCH("对"&amp;LEFT($C$5,2)&amp;"输出",标准坦克设计!$B$23:$U$23,0)))*(VLOOKUP($B79,INDIRECT($B$5&amp;"生成成长"),3))*(VLOOKUP($B$5,标准坦克设计!$B$14:$K$20,9)/30))</f>
        <v>77.11544872143962</v>
      </c>
      <c r="AV79" s="172">
        <f ca="1">(VLOOKUP(AV$72,INDIRECT($C$5&amp;"生成成长"),2))/((VLOOKUP($B79,INDIRECT($B$5&amp;"生成成长"),4))/(VLOOKUP(AV$72,INDIRECT($C$5&amp;"生成成长"),5))*(VLOOKUP($B$5,标准坦克设计!$B$24:$U$30,MATCH("对"&amp;LEFT($C$5,2)&amp;"输出",标准坦克设计!$B$23:$U$23,0)))*(VLOOKUP($B79,INDIRECT($B$5&amp;"生成成长"),3))*(VLOOKUP($B$5,标准坦克设计!$B$14:$K$20,9)/30))</f>
        <v>7.8433565229899571</v>
      </c>
      <c r="AW79" s="172">
        <f ca="1">(VLOOKUP(AW$72,INDIRECT($C$5&amp;"生成成长"),2))/((VLOOKUP($B79,INDIRECT($B$5&amp;"生成成长"),4))/(VLOOKUP(AW$72,INDIRECT($C$5&amp;"生成成长"),5))*(VLOOKUP($B$5,标准坦克设计!$B$24:$U$30,MATCH("对"&amp;LEFT($C$5,2)&amp;"输出",标准坦克设计!$B$23:$U$23,0)))*(VLOOKUP($B79,INDIRECT($B$5&amp;"生成成长"),3))*(VLOOKUP($B$5,标准坦克设计!$B$14:$K$20,9)/30))</f>
        <v>8.9429135420129686</v>
      </c>
      <c r="AX79" s="172">
        <f ca="1">(VLOOKUP(AX$72,INDIRECT($C$5&amp;"生成成长"),2))/((VLOOKUP($B79,INDIRECT($B$5&amp;"生成成长"),4))/(VLOOKUP(AX$72,INDIRECT($C$5&amp;"生成成长"),5))*(VLOOKUP($B$5,标准坦克设计!$B$24:$U$30,MATCH("对"&amp;LEFT($C$5,2)&amp;"输出",标准坦克设计!$B$23:$U$23,0)))*(VLOOKUP($B79,INDIRECT($B$5&amp;"生成成长"),3))*(VLOOKUP($B$5,标准坦克设计!$B$14:$K$20,9)/30))</f>
        <v>10.114572660644045</v>
      </c>
      <c r="AY79" s="172">
        <f ca="1">(VLOOKUP(AY$72,INDIRECT($C$5&amp;"生成成长"),2))/((VLOOKUP($B79,INDIRECT($B$5&amp;"生成成长"),4))/(VLOOKUP(AY$72,INDIRECT($C$5&amp;"生成成长"),5))*(VLOOKUP($B$5,标准坦克设计!$B$24:$U$30,MATCH("对"&amp;LEFT($C$5,2)&amp;"输出",标准坦克设计!$B$23:$U$23,0)))*(VLOOKUP($B79,INDIRECT($B$5&amp;"生成成长"),3))*(VLOOKUP($B$5,标准坦克设计!$B$14:$K$20,9)/30))</f>
        <v>11.358333878883187</v>
      </c>
      <c r="AZ79" s="172">
        <f ca="1">(VLOOKUP(AZ$72,INDIRECT($C$5&amp;"生成成长"),2))/((VLOOKUP($B79,INDIRECT($B$5&amp;"生成成长"),4))/(VLOOKUP(AZ$72,INDIRECT($C$5&amp;"生成成长"),5))*(VLOOKUP($B$5,标准坦克设计!$B$24:$U$30,MATCH("对"&amp;LEFT($C$5,2)&amp;"输出",标准坦克设计!$B$23:$U$23,0)))*(VLOOKUP($B79,INDIRECT($B$5&amp;"生成成长"),3))*(VLOOKUP($B$5,标准坦克设计!$B$14:$K$20,9)/30))</f>
        <v>12.674197196730399</v>
      </c>
      <c r="BA79" s="172">
        <f ca="1">(VLOOKUP(BA$72,INDIRECT($C$5&amp;"生成成长"),2))/((VLOOKUP($B79,INDIRECT($B$5&amp;"生成成长"),4))/(VLOOKUP(BA$72,INDIRECT($C$5&amp;"生成成长"),5))*(VLOOKUP($B$5,标准坦克设计!$B$24:$U$30,MATCH("对"&amp;LEFT($C$5,2)&amp;"输出",标准坦克设计!$B$23:$U$23,0)))*(VLOOKUP($B79,INDIRECT($B$5&amp;"生成成长"),3))*(VLOOKUP($B$5,标准坦克设计!$B$14:$K$20,9)/30))</f>
        <v>14.062162614185674</v>
      </c>
      <c r="BB79" s="172">
        <f ca="1">(VLOOKUP(BB$72,INDIRECT($C$5&amp;"生成成长"),2))/((VLOOKUP($B79,INDIRECT($B$5&amp;"生成成长"),4))/(VLOOKUP(BB$72,INDIRECT($C$5&amp;"生成成长"),5))*(VLOOKUP($B$5,标准坦克设计!$B$24:$U$30,MATCH("对"&amp;LEFT($C$5,2)&amp;"输出",标准坦克设计!$B$23:$U$23,0)))*(VLOOKUP($B79,INDIRECT($B$5&amp;"生成成长"),3))*(VLOOKUP($B$5,标准坦克设计!$B$14:$K$20,9)/30))</f>
        <v>15.522230131249016</v>
      </c>
      <c r="BC79" s="172">
        <f ca="1">(VLOOKUP(BC$72,INDIRECT($C$5&amp;"生成成长"),2))/((VLOOKUP($B79,INDIRECT($B$5&amp;"生成成长"),4))/(VLOOKUP(BC$72,INDIRECT($C$5&amp;"生成成长"),5))*(VLOOKUP($B$5,标准坦克设计!$B$24:$U$30,MATCH("对"&amp;LEFT($C$5,2)&amp;"输出",标准坦克设计!$B$23:$U$23,0)))*(VLOOKUP($B79,INDIRECT($B$5&amp;"生成成长"),3))*(VLOOKUP($B$5,标准坦克设计!$B$14:$K$20,9)/30))</f>
        <v>17.054399747920421</v>
      </c>
      <c r="BD79" s="172">
        <f ca="1">(VLOOKUP(BD$72,INDIRECT($C$5&amp;"生成成长"),2))/((VLOOKUP($B79,INDIRECT($B$5&amp;"生成成长"),4))/(VLOOKUP(BD$72,INDIRECT($C$5&amp;"生成成长"),5))*(VLOOKUP($B$5,标准坦克设计!$B$24:$U$30,MATCH("对"&amp;LEFT($C$5,2)&amp;"输出",标准坦克设计!$B$23:$U$23,0)))*(VLOOKUP($B79,INDIRECT($B$5&amp;"生成成长"),3))*(VLOOKUP($B$5,标准坦克设计!$B$14:$K$20,9)/30))</f>
        <v>18.864275107613523</v>
      </c>
      <c r="BE79" s="172">
        <f ca="1">(VLOOKUP(BE$72,INDIRECT($C$5&amp;"生成成长"),2))/((VLOOKUP($B79,INDIRECT($B$5&amp;"生成成长"),4))/(VLOOKUP(BE$72,INDIRECT($C$5&amp;"生成成长"),5))*(VLOOKUP($B$5,标准坦克设计!$B$24:$U$30,MATCH("对"&amp;LEFT($C$5,2)&amp;"输出",标准坦克设计!$B$23:$U$23,0)))*(VLOOKUP($B79,INDIRECT($B$5&amp;"生成成长"),3))*(VLOOKUP($B$5,标准坦克设计!$B$14:$K$20,9)/30))</f>
        <v>20.76540468712308</v>
      </c>
      <c r="BF79" s="172">
        <f ca="1">(VLOOKUP(BF$72,INDIRECT($C$5&amp;"生成成长"),2))/((VLOOKUP($B79,INDIRECT($B$5&amp;"生成成长"),4))/(VLOOKUP(BF$72,INDIRECT($C$5&amp;"生成成长"),5))*(VLOOKUP($B$5,标准坦克设计!$B$24:$U$30,MATCH("对"&amp;LEFT($C$5,2)&amp;"输出",标准坦克设计!$B$23:$U$23,0)))*(VLOOKUP($B79,INDIRECT($B$5&amp;"生成成长"),3))*(VLOOKUP($B$5,标准坦克设计!$B$14:$K$20,9)/30))</f>
        <v>22.757788486449101</v>
      </c>
      <c r="BG79" s="172">
        <f ca="1">(VLOOKUP(BG$72,INDIRECT($C$5&amp;"生成成长"),2))/((VLOOKUP($B79,INDIRECT($B$5&amp;"生成成长"),4))/(VLOOKUP(BG$72,INDIRECT($C$5&amp;"生成成长"),5))*(VLOOKUP($B$5,标准坦克设计!$B$24:$U$30,MATCH("对"&amp;LEFT($C$5,2)&amp;"输出",标准坦克设计!$B$23:$U$23,0)))*(VLOOKUP($B79,INDIRECT($B$5&amp;"生成成长"),3))*(VLOOKUP($B$5,标准坦克设计!$B$14:$K$20,9)/30))</f>
        <v>24.841426505591581</v>
      </c>
      <c r="BH79" s="172">
        <f ca="1">(VLOOKUP(BH$72,INDIRECT($C$5&amp;"生成成长"),2))/((VLOOKUP($B79,INDIRECT($B$5&amp;"生成成长"),4))/(VLOOKUP(BH$72,INDIRECT($C$5&amp;"生成成长"),5))*(VLOOKUP($B$5,标准坦克设计!$B$24:$U$30,MATCH("对"&amp;LEFT($C$5,2)&amp;"输出",标准坦克设计!$B$23:$U$23,0)))*(VLOOKUP($B79,INDIRECT($B$5&amp;"生成成长"),3))*(VLOOKUP($B$5,标准坦克设计!$B$14:$K$20,9)/30))</f>
        <v>12.007252775355786</v>
      </c>
      <c r="BI79" s="172">
        <f ca="1">(VLOOKUP(BI$72,INDIRECT($C$5&amp;"生成成长"),2))/((VLOOKUP($B79,INDIRECT($B$5&amp;"生成成长"),4))/(VLOOKUP(BI$72,INDIRECT($C$5&amp;"生成成长"),5))*(VLOOKUP($B$5,标准坦克设计!$B$24:$U$30,MATCH("对"&amp;LEFT($C$5,2)&amp;"输出",标准坦克设计!$B$23:$U$23,0)))*(VLOOKUP($B79,INDIRECT($B$5&amp;"生成成长"),3))*(VLOOKUP($B$5,标准坦克设计!$B$14:$K$20,9)/30))</f>
        <v>13.533226117842124</v>
      </c>
      <c r="BJ79" s="172">
        <f ca="1">(VLOOKUP(BJ$72,INDIRECT($C$5&amp;"生成成长"),2))/((VLOOKUP($B79,INDIRECT($B$5&amp;"生成成长"),4))/(VLOOKUP(BJ$72,INDIRECT($C$5&amp;"生成成长"),5))*(VLOOKUP($B$5,标准坦克设计!$B$24:$U$30,MATCH("对"&amp;LEFT($C$5,2)&amp;"输出",标准坦克设计!$B$23:$U$23,0)))*(VLOOKUP($B79,INDIRECT($B$5&amp;"生成成长"),3))*(VLOOKUP($B$5,标准坦克设计!$B$14:$K$20,9)/30))</f>
        <v>15.150453680144921</v>
      </c>
      <c r="BK79" s="172">
        <f ca="1">(VLOOKUP(BK$72,INDIRECT($C$5&amp;"生成成长"),2))/((VLOOKUP($B79,INDIRECT($B$5&amp;"生成成长"),4))/(VLOOKUP(BK$72,INDIRECT($C$5&amp;"生成成长"),5))*(VLOOKUP($B$5,标准坦克设计!$B$24:$U$30,MATCH("对"&amp;LEFT($C$5,2)&amp;"输出",标准坦克设计!$B$23:$U$23,0)))*(VLOOKUP($B79,INDIRECT($B$5&amp;"生成成长"),3))*(VLOOKUP($B$5,标准坦克设计!$B$14:$K$20,9)/30))</f>
        <v>16.858935462264181</v>
      </c>
      <c r="BL79" s="172">
        <f ca="1">(VLOOKUP(BL$72,INDIRECT($C$5&amp;"生成成长"),2))/((VLOOKUP($B79,INDIRECT($B$5&amp;"生成成长"),4))/(VLOOKUP(BL$72,INDIRECT($C$5&amp;"生成成长"),5))*(VLOOKUP($B$5,标准坦克设计!$B$24:$U$30,MATCH("对"&amp;LEFT($C$5,2)&amp;"输出",标准坦克设计!$B$23:$U$23,0)))*(VLOOKUP($B79,INDIRECT($B$5&amp;"生成成长"),3))*(VLOOKUP($B$5,标准坦克设计!$B$14:$K$20,9)/30))</f>
        <v>18.658671464199898</v>
      </c>
      <c r="BM79" s="172">
        <f ca="1">(VLOOKUP(BM$72,INDIRECT($C$5&amp;"生成成长"),2))/((VLOOKUP($B79,INDIRECT($B$5&amp;"生成成长"),4))/(VLOOKUP(BM$72,INDIRECT($C$5&amp;"生成成长"),5))*(VLOOKUP($B$5,标准坦克设计!$B$24:$U$30,MATCH("对"&amp;LEFT($C$5,2)&amp;"输出",标准坦克设计!$B$23:$U$23,0)))*(VLOOKUP($B79,INDIRECT($B$5&amp;"生成成长"),3))*(VLOOKUP($B$5,标准坦克设计!$B$14:$K$20,9)/30))</f>
        <v>20.549661685952067</v>
      </c>
      <c r="BN79" s="172">
        <f ca="1">(VLOOKUP(BN$72,INDIRECT($C$5&amp;"生成成长"),2))/((VLOOKUP($B79,INDIRECT($B$5&amp;"生成成长"),4))/(VLOOKUP(BN$72,INDIRECT($C$5&amp;"生成成长"),5))*(VLOOKUP($B$5,标准坦克设计!$B$24:$U$30,MATCH("对"&amp;LEFT($C$5,2)&amp;"输出",标准坦克设计!$B$23:$U$23,0)))*(VLOOKUP($B79,INDIRECT($B$5&amp;"生成成长"),3))*(VLOOKUP($B$5,标准坦克设计!$B$14:$K$20,9)/30))</f>
        <v>22.531906127520706</v>
      </c>
      <c r="BO79" s="172">
        <f ca="1">(VLOOKUP(BO$72,INDIRECT($C$5&amp;"生成成长"),2))/((VLOOKUP($B79,INDIRECT($B$5&amp;"生成成长"),4))/(VLOOKUP(BO$72,INDIRECT($C$5&amp;"生成成长"),5))*(VLOOKUP($B$5,标准坦克设计!$B$24:$U$30,MATCH("对"&amp;LEFT($C$5,2)&amp;"输出",标准坦克设计!$B$23:$U$23,0)))*(VLOOKUP($B79,INDIRECT($B$5&amp;"生成成长"),3))*(VLOOKUP($B$5,标准坦克设计!$B$14:$K$20,9)/30))</f>
        <v>24.605404788905798</v>
      </c>
      <c r="BP79" s="172">
        <f ca="1">(VLOOKUP(BP$72,INDIRECT($C$5&amp;"生成成长"),2))/((VLOOKUP($B79,INDIRECT($B$5&amp;"生成成长"),4))/(VLOOKUP(BP$72,INDIRECT($C$5&amp;"生成成长"),5))*(VLOOKUP($B$5,标准坦克设计!$B$24:$U$30,MATCH("对"&amp;LEFT($C$5,2)&amp;"输出",标准坦克设计!$B$23:$U$23,0)))*(VLOOKUP($B79,INDIRECT($B$5&amp;"生成成长"),3))*(VLOOKUP($B$5,标准坦克设计!$B$14:$K$20,9)/30))</f>
        <v>26.770157670107348</v>
      </c>
      <c r="BQ79" s="172">
        <f ca="1">(VLOOKUP(BQ$72,INDIRECT($C$5&amp;"生成成长"),2))/((VLOOKUP($B79,INDIRECT($B$5&amp;"生成成长"),4))/(VLOOKUP(BQ$72,INDIRECT($C$5&amp;"生成成长"),5))*(VLOOKUP($B$5,标准坦克设计!$B$24:$U$30,MATCH("对"&amp;LEFT($C$5,2)&amp;"输出",标准坦克设计!$B$23:$U$23,0)))*(VLOOKUP($B79,INDIRECT($B$5&amp;"生成成长"),3))*(VLOOKUP($B$5,标准坦克设计!$B$14:$K$20,9)/30))</f>
        <v>29.026164771125359</v>
      </c>
      <c r="BR79" s="172">
        <f ca="1">(VLOOKUP(BR$72,INDIRECT($C$5&amp;"生成成长"),2))/((VLOOKUP($B79,INDIRECT($B$5&amp;"生成成长"),4))/(VLOOKUP(BR$72,INDIRECT($C$5&amp;"生成成长"),5))*(VLOOKUP($B$5,标准坦克设计!$B$24:$U$30,MATCH("对"&amp;LEFT($C$5,2)&amp;"输出",标准坦克设计!$B$23:$U$23,0)))*(VLOOKUP($B79,INDIRECT($B$5&amp;"生成成长"),3))*(VLOOKUP($B$5,标准坦克设计!$B$14:$K$20,9)/30))</f>
        <v>31.639865881917761</v>
      </c>
      <c r="BS79" s="172">
        <f ca="1">(VLOOKUP(BS$72,INDIRECT($C$5&amp;"生成成长"),2))/((VLOOKUP($B79,INDIRECT($B$5&amp;"生成成长"),4))/(VLOOKUP(BS$72,INDIRECT($C$5&amp;"生成成长"),5))*(VLOOKUP($B$5,标准坦克设计!$B$24:$U$30,MATCH("对"&amp;LEFT($C$5,2)&amp;"输出",标准坦克设计!$B$23:$U$23,0)))*(VLOOKUP($B79,INDIRECT($B$5&amp;"生成成长"),3))*(VLOOKUP($B$5,标准坦克设计!$B$14:$K$20,9)/30))</f>
        <v>34.36622652334777</v>
      </c>
      <c r="BT79" s="172">
        <f ca="1">(VLOOKUP(BT$72,INDIRECT($C$5&amp;"生成成长"),2))/((VLOOKUP($B79,INDIRECT($B$5&amp;"生成成长"),4))/(VLOOKUP(BT$72,INDIRECT($C$5&amp;"生成成长"),5))*(VLOOKUP($B$5,标准坦克设计!$B$24:$U$30,MATCH("对"&amp;LEFT($C$5,2)&amp;"输出",标准坦克设计!$B$23:$U$23,0)))*(VLOOKUP($B79,INDIRECT($B$5&amp;"生成成长"),3))*(VLOOKUP($B$5,标准坦克设计!$B$14:$K$20,9)/30))</f>
        <v>37.205246695415376</v>
      </c>
      <c r="BU79" s="172">
        <f ca="1">(VLOOKUP(BU$72,INDIRECT($C$5&amp;"生成成长"),2))/((VLOOKUP($B79,INDIRECT($B$5&amp;"生成成长"),4))/(VLOOKUP(BU$72,INDIRECT($C$5&amp;"生成成长"),5))*(VLOOKUP($B$5,标准坦克设计!$B$24:$U$30,MATCH("对"&amp;LEFT($C$5,2)&amp;"输出",标准坦克设计!$B$23:$U$23,0)))*(VLOOKUP($B79,INDIRECT($B$5&amp;"生成成长"),3))*(VLOOKUP($B$5,标准坦克设计!$B$14:$K$20,9)/30))</f>
        <v>40.156926398120589</v>
      </c>
      <c r="BV79" s="172">
        <f ca="1">(VLOOKUP(BV$72,INDIRECT($C$5&amp;"生成成长"),2))/((VLOOKUP($B79,INDIRECT($B$5&amp;"生成成长"),4))/(VLOOKUP(BV$72,INDIRECT($C$5&amp;"生成成长"),5))*(VLOOKUP($B$5,标准坦克设计!$B$24:$U$30,MATCH("对"&amp;LEFT($C$5,2)&amp;"输出",标准坦克设计!$B$23:$U$23,0)))*(VLOOKUP($B79,INDIRECT($B$5&amp;"生成成长"),3))*(VLOOKUP($B$5,标准坦克设计!$B$14:$K$20,9)/30))</f>
        <v>43.22126563146341</v>
      </c>
      <c r="BW79" s="172">
        <f ca="1">(VLOOKUP(BW$72,INDIRECT($C$5&amp;"生成成长"),2))/((VLOOKUP($B79,INDIRECT($B$5&amp;"生成成长"),4))/(VLOOKUP(BW$72,INDIRECT($C$5&amp;"生成成长"),5))*(VLOOKUP($B$5,标准坦克设计!$B$24:$U$30,MATCH("对"&amp;LEFT($C$5,2)&amp;"输出",标准坦克设计!$B$23:$U$23,0)))*(VLOOKUP($B79,INDIRECT($B$5&amp;"生成成长"),3))*(VLOOKUP($B$5,标准坦克设计!$B$14:$K$20,9)/30))</f>
        <v>19.697955634331787</v>
      </c>
      <c r="BX79" s="172">
        <f ca="1">(VLOOKUP(BX$72,INDIRECT($C$5&amp;"生成成长"),2))/((VLOOKUP($B79,INDIRECT($B$5&amp;"生成成长"),4))/(VLOOKUP(BX$72,INDIRECT($C$5&amp;"生成成长"),5))*(VLOOKUP($B$5,标准坦克设计!$B$24:$U$30,MATCH("对"&amp;LEFT($C$5,2)&amp;"输出",标准坦克设计!$B$23:$U$23,0)))*(VLOOKUP($B79,INDIRECT($B$5&amp;"生成成长"),3))*(VLOOKUP($B$5,标准坦克设计!$B$14:$K$20,9)/30))</f>
        <v>21.861018622573777</v>
      </c>
      <c r="BY79" s="172">
        <f ca="1">(VLOOKUP(BY$72,INDIRECT($C$5&amp;"生成成长"),2))/((VLOOKUP($B79,INDIRECT($B$5&amp;"生成成长"),4))/(VLOOKUP(BY$72,INDIRECT($C$5&amp;"生成成长"),5))*(VLOOKUP($B$5,标准坦克设计!$B$24:$U$30,MATCH("对"&amp;LEFT($C$5,2)&amp;"输出",标准坦克设计!$B$23:$U$23,0)))*(VLOOKUP($B79,INDIRECT($B$5&amp;"生成成长"),3))*(VLOOKUP($B$5,标准坦克设计!$B$14:$K$20,9)/30))</f>
        <v>24.136741141453367</v>
      </c>
      <c r="BZ79" s="172">
        <f ca="1">(VLOOKUP(BZ$72,INDIRECT($C$5&amp;"生成成长"),2))/((VLOOKUP($B79,INDIRECT($B$5&amp;"生成成长"),4))/(VLOOKUP(BZ$72,INDIRECT($C$5&amp;"生成成长"),5))*(VLOOKUP($B$5,标准坦克设计!$B$24:$U$30,MATCH("对"&amp;LEFT($C$5,2)&amp;"输出",标准坦克设计!$B$23:$U$23,0)))*(VLOOKUP($B79,INDIRECT($B$5&amp;"生成成长"),3))*(VLOOKUP($B$5,标准坦克设计!$B$14:$K$20,9)/30))</f>
        <v>26.525123190970564</v>
      </c>
      <c r="CA79" s="172">
        <f ca="1">(VLOOKUP(CA$72,INDIRECT($C$5&amp;"生成成长"),2))/((VLOOKUP($B79,INDIRECT($B$5&amp;"生成成长"),4))/(VLOOKUP(CA$72,INDIRECT($C$5&amp;"生成成长"),5))*(VLOOKUP($B$5,标准坦克设计!$B$24:$U$30,MATCH("对"&amp;LEFT($C$5,2)&amp;"输出",标准坦克设计!$B$23:$U$23,0)))*(VLOOKUP($B79,INDIRECT($B$5&amp;"生成成长"),3))*(VLOOKUP($B$5,标准坦克设计!$B$14:$K$20,9)/30))</f>
        <v>29.026164771125359</v>
      </c>
      <c r="CB79" s="172">
        <f ca="1">(VLOOKUP(CB$72,INDIRECT($C$5&amp;"生成成长"),2))/((VLOOKUP($B79,INDIRECT($B$5&amp;"生成成长"),4))/(VLOOKUP(CB$72,INDIRECT($C$5&amp;"生成成长"),5))*(VLOOKUP($B$5,标准坦克设计!$B$24:$U$30,MATCH("对"&amp;LEFT($C$5,2)&amp;"输出",标准坦克设计!$B$23:$U$23,0)))*(VLOOKUP($B79,INDIRECT($B$5&amp;"生成成长"),3))*(VLOOKUP($B$5,标准坦克设计!$B$14:$K$20,9)/30))</f>
        <v>31.639865881917761</v>
      </c>
      <c r="CC79" s="172">
        <f ca="1">(VLOOKUP(CC$72,INDIRECT($C$5&amp;"生成成长"),2))/((VLOOKUP($B79,INDIRECT($B$5&amp;"生成成长"),4))/(VLOOKUP(CC$72,INDIRECT($C$5&amp;"生成成长"),5))*(VLOOKUP($B$5,标准坦克设计!$B$24:$U$30,MATCH("对"&amp;LEFT($C$5,2)&amp;"输出",标准坦克设计!$B$23:$U$23,0)))*(VLOOKUP($B79,INDIRECT($B$5&amp;"生成成长"),3))*(VLOOKUP($B$5,标准坦克设计!$B$14:$K$20,9)/30))</f>
        <v>34.36622652334777</v>
      </c>
      <c r="CD79" s="172">
        <f ca="1">(VLOOKUP(CD$72,INDIRECT($C$5&amp;"生成成长"),2))/((VLOOKUP($B79,INDIRECT($B$5&amp;"生成成长"),4))/(VLOOKUP(CD$72,INDIRECT($C$5&amp;"生成成长"),5))*(VLOOKUP($B$5,标准坦克设计!$B$24:$U$30,MATCH("对"&amp;LEFT($C$5,2)&amp;"输出",标准坦克设计!$B$23:$U$23,0)))*(VLOOKUP($B79,INDIRECT($B$5&amp;"生成成长"),3))*(VLOOKUP($B$5,标准坦克设计!$B$14:$K$20,9)/30))</f>
        <v>37.205246695415376</v>
      </c>
      <c r="CE79" s="172">
        <f ca="1">(VLOOKUP(CE$72,INDIRECT($C$5&amp;"生成成长"),2))/((VLOOKUP($B79,INDIRECT($B$5&amp;"生成成长"),4))/(VLOOKUP(CE$72,INDIRECT($C$5&amp;"生成成长"),5))*(VLOOKUP($B$5,标准坦克设计!$B$24:$U$30,MATCH("对"&amp;LEFT($C$5,2)&amp;"输出",标准坦克设计!$B$23:$U$23,0)))*(VLOOKUP($B79,INDIRECT($B$5&amp;"生成成长"),3))*(VLOOKUP($B$5,标准坦克设计!$B$14:$K$20,9)/30))</f>
        <v>40.156926398120589</v>
      </c>
      <c r="CF79" s="172">
        <f ca="1">(VLOOKUP(CF$72,INDIRECT($C$5&amp;"生成成长"),2))/((VLOOKUP($B79,INDIRECT($B$5&amp;"生成成长"),4))/(VLOOKUP(CF$72,INDIRECT($C$5&amp;"生成成长"),5))*(VLOOKUP($B$5,标准坦克设计!$B$24:$U$30,MATCH("对"&amp;LEFT($C$5,2)&amp;"输出",标准坦克设计!$B$23:$U$23,0)))*(VLOOKUP($B79,INDIRECT($B$5&amp;"生成成长"),3))*(VLOOKUP($B$5,标准坦克设计!$B$14:$K$20,9)/30))</f>
        <v>43.22126563146341</v>
      </c>
      <c r="CG79" s="172">
        <f ca="1">(VLOOKUP(CG$72,INDIRECT($C$5&amp;"生成成长"),2))/((VLOOKUP($B79,INDIRECT($B$5&amp;"生成成长"),4))/(VLOOKUP(CG$72,INDIRECT($C$5&amp;"生成成长"),5))*(VLOOKUP($B$5,标准坦克设计!$B$24:$U$30,MATCH("对"&amp;LEFT($C$5,2)&amp;"输出",标准坦克设计!$B$23:$U$23,0)))*(VLOOKUP($B79,INDIRECT($B$5&amp;"生成成长"),3))*(VLOOKUP($B$5,标准坦克设计!$B$14:$K$20,9)/30))</f>
        <v>46.398264395443825</v>
      </c>
      <c r="CH79" s="172">
        <f ca="1">(VLOOKUP(CH$72,INDIRECT($C$5&amp;"生成成长"),2))/((VLOOKUP($B79,INDIRECT($B$5&amp;"生成成长"),4))/(VLOOKUP(CH$72,INDIRECT($C$5&amp;"生成成长"),5))*(VLOOKUP($B$5,标准坦克设计!$B$24:$U$30,MATCH("对"&amp;LEFT($C$5,2)&amp;"输出",标准坦克设计!$B$23:$U$23,0)))*(VLOOKUP($B79,INDIRECT($B$5&amp;"生成成长"),3))*(VLOOKUP($B$5,标准坦克设计!$B$14:$K$20,9)/30))</f>
        <v>49.68792269006186</v>
      </c>
      <c r="CI79" s="172">
        <f ca="1">(VLOOKUP(CI$72,INDIRECT($C$5&amp;"生成成长"),2))/((VLOOKUP($B79,INDIRECT($B$5&amp;"生成成长"),4))/(VLOOKUP(CI$72,INDIRECT($C$5&amp;"生成成长"),5))*(VLOOKUP($B$5,标准坦克设计!$B$24:$U$30,MATCH("对"&amp;LEFT($C$5,2)&amp;"输出",标准坦克设计!$B$23:$U$23,0)))*(VLOOKUP($B79,INDIRECT($B$5&amp;"生成成长"),3))*(VLOOKUP($B$5,标准坦克设计!$B$14:$K$20,9)/30))</f>
        <v>53.436668572028097</v>
      </c>
      <c r="CJ79" s="172">
        <f ca="1">(VLOOKUP(CJ$72,INDIRECT($C$5&amp;"生成成长"),2))/((VLOOKUP($B79,INDIRECT($B$5&amp;"生成成长"),4))/(VLOOKUP(CJ$72,INDIRECT($C$5&amp;"生成成长"),5))*(VLOOKUP($B$5,标准坦克设计!$B$24:$U$30,MATCH("对"&amp;LEFT($C$5,2)&amp;"输出",标准坦克设计!$B$23:$U$23,0)))*(VLOOKUP($B79,INDIRECT($B$5&amp;"生成成长"),3))*(VLOOKUP($B$5,标准坦克设计!$B$14:$K$20,9)/30))</f>
        <v>57.321732486065869</v>
      </c>
      <c r="CK79" s="172">
        <f ca="1">(VLOOKUP(CK$72,INDIRECT($C$5&amp;"生成成长"),2))/((VLOOKUP($B79,INDIRECT($B$5&amp;"生成成长"),4))/(VLOOKUP(CK$72,INDIRECT($C$5&amp;"生成成长"),5))*(VLOOKUP($B$5,标准坦克设计!$B$24:$U$30,MATCH("对"&amp;LEFT($C$5,2)&amp;"输出",标准坦克设计!$B$23:$U$23,0)))*(VLOOKUP($B79,INDIRECT($B$5&amp;"生成成长"),3))*(VLOOKUP($B$5,标准坦克设计!$B$14:$K$20,9)/30))</f>
        <v>61.343114432175128</v>
      </c>
      <c r="CL79" s="172">
        <f ca="1">(VLOOKUP(CL$72,INDIRECT($C$5&amp;"生成成长"),2))/((VLOOKUP($B79,INDIRECT($B$5&amp;"生成成长"),4))/(VLOOKUP(CL$72,INDIRECT($C$5&amp;"生成成长"),5))*(VLOOKUP($B$5,标准坦克设计!$B$24:$U$30,MATCH("对"&amp;LEFT($C$5,2)&amp;"输出",标准坦克设计!$B$23:$U$23,0)))*(VLOOKUP($B79,INDIRECT($B$5&amp;"生成成长"),3))*(VLOOKUP($B$5,标准坦克设计!$B$14:$K$20,9)/30))</f>
        <v>65.500814410355872</v>
      </c>
      <c r="CM79" s="172">
        <f ca="1">(VLOOKUP(CM$72,INDIRECT($C$5&amp;"生成成长"),2))/((VLOOKUP($B79,INDIRECT($B$5&amp;"生成成长"),4))/(VLOOKUP(CM$72,INDIRECT($C$5&amp;"生成成长"),5))*(VLOOKUP($B$5,标准坦克设计!$B$24:$U$30,MATCH("对"&amp;LEFT($C$5,2)&amp;"输出",标准坦克设计!$B$23:$U$23,0)))*(VLOOKUP($B79,INDIRECT($B$5&amp;"生成成长"),3))*(VLOOKUP($B$5,标准坦克设计!$B$14:$K$20,9)/30))</f>
        <v>69.794832420608131</v>
      </c>
      <c r="CN79" s="172">
        <f ca="1">(VLOOKUP(CN$72,INDIRECT($C$5&amp;"生成成长"),2))/((VLOOKUP($B79,INDIRECT($B$5&amp;"生成成长"),4))/(VLOOKUP(CN$72,INDIRECT($C$5&amp;"生成成长"),5))*(VLOOKUP($B$5,标准坦克设计!$B$24:$U$30,MATCH("对"&amp;LEFT($C$5,2)&amp;"输出",标准坦克设计!$B$23:$U$23,0)))*(VLOOKUP($B79,INDIRECT($B$5&amp;"生成成长"),3))*(VLOOKUP($B$5,标准坦克设计!$B$14:$K$20,9)/30))</f>
        <v>74.225168462931904</v>
      </c>
      <c r="CO79" s="172">
        <f ca="1">(VLOOKUP(CO$72,INDIRECT($C$5&amp;"生成成长"),2))/((VLOOKUP($B79,INDIRECT($B$5&amp;"生成成长"),4))/(VLOOKUP(CO$72,INDIRECT($C$5&amp;"生成成长"),5))*(VLOOKUP($B$5,标准坦克设计!$B$24:$U$30,MATCH("对"&amp;LEFT($C$5,2)&amp;"输出",标准坦克设计!$B$23:$U$23,0)))*(VLOOKUP($B79,INDIRECT($B$5&amp;"生成成长"),3))*(VLOOKUP($B$5,标准坦克设计!$B$14:$K$20,9)/30))</f>
        <v>33.262163123099256</v>
      </c>
      <c r="CP79" s="172">
        <f ca="1">(VLOOKUP(CP$72,INDIRECT($C$5&amp;"生成成长"),2))/((VLOOKUP($B79,INDIRECT($B$5&amp;"生成成长"),4))/(VLOOKUP(CP$72,INDIRECT($C$5&amp;"生成成长"),5))*(VLOOKUP($B$5,标准坦克设计!$B$24:$U$30,MATCH("对"&amp;LEFT($C$5,2)&amp;"输出",标准坦克设计!$B$23:$U$23,0)))*(VLOOKUP($B79,INDIRECT($B$5&amp;"生成成长"),3))*(VLOOKUP($B$5,标准坦克设计!$B$14:$K$20,9)/30))</f>
        <v>36.341711393078143</v>
      </c>
      <c r="CQ79" s="172">
        <f ca="1">(VLOOKUP(CQ$72,INDIRECT($C$5&amp;"生成成长"),2))/((VLOOKUP($B79,INDIRECT($B$5&amp;"生成成长"),4))/(VLOOKUP(CQ$72,INDIRECT($C$5&amp;"生成成长"),5))*(VLOOKUP($B$5,标准坦克设计!$B$24:$U$30,MATCH("对"&amp;LEFT($C$5,2)&amp;"输出",标准坦克设计!$B$23:$U$23,0)))*(VLOOKUP($B79,INDIRECT($B$5&amp;"生成成长"),3))*(VLOOKUP($B$5,标准坦克设计!$B$14:$K$20,9)/30))</f>
        <v>39.557577695128536</v>
      </c>
      <c r="CR79" s="172">
        <f ca="1">(VLOOKUP(CR$72,INDIRECT($C$5&amp;"生成成长"),2))/((VLOOKUP($B79,INDIRECT($B$5&amp;"生成成长"),4))/(VLOOKUP(CR$72,INDIRECT($C$5&amp;"生成成长"),5))*(VLOOKUP($B$5,标准坦克设计!$B$24:$U$30,MATCH("对"&amp;LEFT($C$5,2)&amp;"输出",标准坦克设计!$B$23:$U$23,0)))*(VLOOKUP($B79,INDIRECT($B$5&amp;"生成成长"),3))*(VLOOKUP($B$5,标准坦克设计!$B$14:$K$20,9)/30))</f>
        <v>42.90976202925043</v>
      </c>
      <c r="CS79" s="172">
        <f ca="1">(VLOOKUP(CS$72,INDIRECT($C$5&amp;"生成成长"),2))/((VLOOKUP($B79,INDIRECT($B$5&amp;"生成成长"),4))/(VLOOKUP(CS$72,INDIRECT($C$5&amp;"生成成长"),5))*(VLOOKUP($B$5,标准坦克设计!$B$24:$U$30,MATCH("对"&amp;LEFT($C$5,2)&amp;"输出",标准坦克设计!$B$23:$U$23,0)))*(VLOOKUP($B79,INDIRECT($B$5&amp;"生成成长"),3))*(VLOOKUP($B$5,标准坦克设计!$B$14:$K$20,9)/30))</f>
        <v>46.398264395443825</v>
      </c>
      <c r="CT79" s="172">
        <f ca="1">(VLOOKUP(CT$72,INDIRECT($C$5&amp;"生成成长"),2))/((VLOOKUP($B79,INDIRECT($B$5&amp;"生成成长"),4))/(VLOOKUP(CT$72,INDIRECT($C$5&amp;"生成成长"),5))*(VLOOKUP($B$5,标准坦克设计!$B$24:$U$30,MATCH("对"&amp;LEFT($C$5,2)&amp;"输出",标准坦克设计!$B$23:$U$23,0)))*(VLOOKUP($B79,INDIRECT($B$5&amp;"生成成长"),3))*(VLOOKUP($B$5,标准坦克设计!$B$14:$K$20,9)/30))</f>
        <v>50.023084793708712</v>
      </c>
      <c r="CU79" s="172">
        <f ca="1">(VLOOKUP(CU$72,INDIRECT($C$5&amp;"生成成长"),2))/((VLOOKUP($B79,INDIRECT($B$5&amp;"生成成长"),4))/(VLOOKUP(CU$72,INDIRECT($C$5&amp;"生成成长"),5))*(VLOOKUP($B$5,标准坦克设计!$B$24:$U$30,MATCH("对"&amp;LEFT($C$5,2)&amp;"输出",标准坦克设计!$B$23:$U$23,0)))*(VLOOKUP($B79,INDIRECT($B$5&amp;"生成成长"),3))*(VLOOKUP($B$5,标准坦克设计!$B$14:$K$20,9)/30))</f>
        <v>53.784223224045114</v>
      </c>
      <c r="CV79" s="172">
        <f ca="1">(VLOOKUP(CV$72,INDIRECT($C$5&amp;"生成成长"),2))/((VLOOKUP($B79,INDIRECT($B$5&amp;"生成成长"),4))/(VLOOKUP(CV$72,INDIRECT($C$5&amp;"生成成长"),5))*(VLOOKUP($B$5,标准坦克设计!$B$24:$U$30,MATCH("对"&amp;LEFT($C$5,2)&amp;"输出",标准坦克设计!$B$23:$U$23,0)))*(VLOOKUP($B79,INDIRECT($B$5&amp;"生成成长"),3))*(VLOOKUP($B$5,标准坦克设计!$B$14:$K$20,9)/30))</f>
        <v>57.681679686453009</v>
      </c>
      <c r="CW79" s="172">
        <f ca="1">(VLOOKUP(CW$72,INDIRECT($C$5&amp;"生成成长"),2))/((VLOOKUP($B79,INDIRECT($B$5&amp;"生成成长"),4))/(VLOOKUP(CW$72,INDIRECT($C$5&amp;"生成成长"),5))*(VLOOKUP($B$5,标准坦克设计!$B$24:$U$30,MATCH("对"&amp;LEFT($C$5,2)&amp;"输出",标准坦克设计!$B$23:$U$23,0)))*(VLOOKUP($B79,INDIRECT($B$5&amp;"生成成长"),3))*(VLOOKUP($B$5,标准坦克设计!$B$14:$K$20,9)/30))</f>
        <v>61.715454180932397</v>
      </c>
      <c r="CX79" s="172">
        <f ca="1">(VLOOKUP(CX$72,INDIRECT($C$5&amp;"生成成长"),2))/((VLOOKUP($B79,INDIRECT($B$5&amp;"生成成长"),4))/(VLOOKUP(CX$72,INDIRECT($C$5&amp;"生成成长"),5))*(VLOOKUP($B$5,标准坦克设计!$B$24:$U$30,MATCH("对"&amp;LEFT($C$5,2)&amp;"输出",标准坦克设计!$B$23:$U$23,0)))*(VLOOKUP($B79,INDIRECT($B$5&amp;"生成成长"),3))*(VLOOKUP($B$5,标准坦克设计!$B$14:$K$20,9)/30))</f>
        <v>65.8855467074833</v>
      </c>
      <c r="CY79" s="172">
        <f ca="1">(VLOOKUP(CY$72,INDIRECT($C$5&amp;"生成成长"),2))/((VLOOKUP($B79,INDIRECT($B$5&amp;"生成成长"),4))/(VLOOKUP(CY$72,INDIRECT($C$5&amp;"生成成长"),5))*(VLOOKUP($B$5,标准坦克设计!$B$24:$U$30,MATCH("对"&amp;LEFT($C$5,2)&amp;"输出",标准坦克设计!$B$23:$U$23,0)))*(VLOOKUP($B79,INDIRECT($B$5&amp;"生成成长"),3))*(VLOOKUP($B$5,标准坦克设计!$B$14:$K$20,9)/30))</f>
        <v>70.191957266105703</v>
      </c>
      <c r="CZ79" s="172">
        <f ca="1">(VLOOKUP(CZ$72,INDIRECT($C$5&amp;"生成成长"),2))/((VLOOKUP($B79,INDIRECT($B$5&amp;"生成成长"),4))/(VLOOKUP(CZ$72,INDIRECT($C$5&amp;"生成成长"),5))*(VLOOKUP($B$5,标准坦克设计!$B$24:$U$30,MATCH("对"&amp;LEFT($C$5,2)&amp;"输出",标准坦克设计!$B$23:$U$23,0)))*(VLOOKUP($B79,INDIRECT($B$5&amp;"生成成长"),3))*(VLOOKUP($B$5,标准坦克设计!$B$14:$K$20,9)/30))</f>
        <v>74.634685856799592</v>
      </c>
      <c r="DA79" s="172">
        <f ca="1">(VLOOKUP(DA$72,INDIRECT($C$5&amp;"生成成长"),2))/((VLOOKUP($B79,INDIRECT($B$5&amp;"生成成长"),4))/(VLOOKUP(DA$72,INDIRECT($C$5&amp;"生成成长"),5))*(VLOOKUP($B$5,标准坦克设计!$B$24:$U$30,MATCH("对"&amp;LEFT($C$5,2)&amp;"输出",标准坦克设计!$B$23:$U$23,0)))*(VLOOKUP($B79,INDIRECT($B$5&amp;"生成成长"),3))*(VLOOKUP($B$5,标准坦克设计!$B$14:$K$20,9)/30))</f>
        <v>79.213732479564982</v>
      </c>
      <c r="DB79" s="172">
        <f ca="1">(VLOOKUP(DB$72,INDIRECT($C$5&amp;"生成成长"),2))/((VLOOKUP($B79,INDIRECT($B$5&amp;"生成成长"),4))/(VLOOKUP(DB$72,INDIRECT($C$5&amp;"生成成长"),5))*(VLOOKUP($B$5,标准坦克设计!$B$24:$U$30,MATCH("对"&amp;LEFT($C$5,2)&amp;"输出",标准坦克设计!$B$23:$U$23,0)))*(VLOOKUP($B79,INDIRECT($B$5&amp;"生成成长"),3))*(VLOOKUP($B$5,标准坦克设计!$B$14:$K$20,9)/30))</f>
        <v>83.929097134401886</v>
      </c>
      <c r="DC79" s="172">
        <f ca="1">(VLOOKUP(DC$72,INDIRECT($C$5&amp;"生成成长"),2))/((VLOOKUP($B79,INDIRECT($B$5&amp;"生成成长"),4))/(VLOOKUP(DC$72,INDIRECT($C$5&amp;"生成成长"),5))*(VLOOKUP($B$5,标准坦克设计!$B$24:$U$30,MATCH("对"&amp;LEFT($C$5,2)&amp;"输出",标准坦克设计!$B$23:$U$23,0)))*(VLOOKUP($B79,INDIRECT($B$5&amp;"生成成长"),3))*(VLOOKUP($B$5,标准坦克设计!$B$14:$K$20,9)/30))</f>
        <v>89.228601455594728</v>
      </c>
      <c r="DD79" s="172">
        <f ca="1">(VLOOKUP(DD$72,INDIRECT($C$5&amp;"生成成长"),2))/((VLOOKUP($B79,INDIRECT($B$5&amp;"生成成长"),4))/(VLOOKUP(DD$72,INDIRECT($C$5&amp;"生成成长"),5))*(VLOOKUP($B$5,标准坦克设计!$B$24:$U$30,MATCH("对"&amp;LEFT($C$5,2)&amp;"输出",标准坦克设计!$B$23:$U$23,0)))*(VLOOKUP($B79,INDIRECT($B$5&amp;"生成成长"),3))*(VLOOKUP($B$5,标准坦克设计!$B$14:$K$20,9)/30))</f>
        <v>94.690335500905761</v>
      </c>
      <c r="DE79" s="172">
        <f ca="1">(VLOOKUP(DE$72,INDIRECT($C$5&amp;"生成成长"),2))/((VLOOKUP($B79,INDIRECT($B$5&amp;"生成成长"),4))/(VLOOKUP(DE$72,INDIRECT($C$5&amp;"生成成长"),5))*(VLOOKUP($B$5,标准坦克设计!$B$24:$U$30,MATCH("对"&amp;LEFT($C$5,2)&amp;"输出",标准坦克设计!$B$23:$U$23,0)))*(VLOOKUP($B79,INDIRECT($B$5&amp;"生成成长"),3))*(VLOOKUP($B$5,标准坦克设计!$B$14:$K$20,9)/30))</f>
        <v>100.31429927033494</v>
      </c>
      <c r="DF79" s="172">
        <f ca="1">(VLOOKUP(DF$72,INDIRECT($C$5&amp;"生成成长"),2))/((VLOOKUP($B79,INDIRECT($B$5&amp;"生成成长"),4))/(VLOOKUP(DF$72,INDIRECT($C$5&amp;"生成成长"),5))*(VLOOKUP($B$5,标准坦克设计!$B$24:$U$30,MATCH("对"&amp;LEFT($C$5,2)&amp;"输出",标准坦克设计!$B$23:$U$23,0)))*(VLOOKUP($B79,INDIRECT($B$5&amp;"生成成长"),3))*(VLOOKUP($B$5,标准坦克设计!$B$14:$K$20,9)/30))</f>
        <v>106.10049276388226</v>
      </c>
      <c r="DG79" s="172">
        <f ca="1">(VLOOKUP(DG$72,INDIRECT($C$5&amp;"生成成长"),2))/((VLOOKUP($B79,INDIRECT($B$5&amp;"生成成长"),4))/(VLOOKUP(DG$72,INDIRECT($C$5&amp;"生成成长"),5))*(VLOOKUP($B$5,标准坦克设计!$B$24:$U$30,MATCH("对"&amp;LEFT($C$5,2)&amp;"输出",标准坦克设计!$B$23:$U$23,0)))*(VLOOKUP($B79,INDIRECT($B$5&amp;"生成成长"),3))*(VLOOKUP($B$5,标准坦克设计!$B$14:$K$20,9)/30))</f>
        <v>112.04891598154771</v>
      </c>
      <c r="DH79" s="172">
        <f ca="1">(VLOOKUP(DH$72,INDIRECT($C$5&amp;"生成成长"),2))/((VLOOKUP($B79,INDIRECT($B$5&amp;"生成成长"),4))/(VLOOKUP(DH$72,INDIRECT($C$5&amp;"生成成长"),5))*(VLOOKUP($B$5,标准坦克设计!$B$24:$U$30,MATCH("对"&amp;LEFT($C$5,2)&amp;"输出",标准坦克设计!$B$23:$U$23,0)))*(VLOOKUP($B79,INDIRECT($B$5&amp;"生成成长"),3))*(VLOOKUP($B$5,标准坦克设计!$B$14:$K$20,9)/30))</f>
        <v>118.15956892333134</v>
      </c>
      <c r="DI79" s="172">
        <f ca="1">(VLOOKUP(DI$72,INDIRECT($C$5&amp;"生成成长"),2))/((VLOOKUP($B79,INDIRECT($B$5&amp;"生成成长"),4))/(VLOOKUP(DI$72,INDIRECT($C$5&amp;"生成成长"),5))*(VLOOKUP($B$5,标准坦克设计!$B$24:$U$30,MATCH("对"&amp;LEFT($C$5,2)&amp;"输出",标准坦克设计!$B$23:$U$23,0)))*(VLOOKUP($B79,INDIRECT($B$5&amp;"生成成长"),3))*(VLOOKUP($B$5,标准坦克设计!$B$14:$K$20,9)/30))</f>
        <v>124.4324515892331</v>
      </c>
      <c r="DJ79" s="172">
        <f ca="1">(VLOOKUP(DJ$72,INDIRECT($C$5&amp;"生成成长"),2))/((VLOOKUP($B79,INDIRECT($B$5&amp;"生成成长"),4))/(VLOOKUP(DJ$72,INDIRECT($C$5&amp;"生成成长"),5))*(VLOOKUP($B$5,标准坦克设计!$B$24:$U$30,MATCH("对"&amp;LEFT($C$5,2)&amp;"输出",标准坦克设计!$B$23:$U$23,0)))*(VLOOKUP($B79,INDIRECT($B$5&amp;"生成成长"),3))*(VLOOKUP($B$5,标准坦克设计!$B$14:$K$20,9)/30))</f>
        <v>12.505771198427178</v>
      </c>
      <c r="DK79" s="172">
        <f ca="1">(VLOOKUP(DK$72,INDIRECT($C$5&amp;"生成成长"),2))/((VLOOKUP($B79,INDIRECT($B$5&amp;"生成成长"),4))/(VLOOKUP(DK$72,INDIRECT($C$5&amp;"生成成长"),5))*(VLOOKUP($B$5,标准坦克设计!$B$24:$U$30,MATCH("对"&amp;LEFT($C$5,2)&amp;"输出",标准坦克设计!$B$23:$U$23,0)))*(VLOOKUP($B79,INDIRECT($B$5&amp;"生成成长"),3))*(VLOOKUP($B$5,标准坦克设计!$B$14:$K$20,9)/30))</f>
        <v>14.062162614185674</v>
      </c>
      <c r="DL79" s="172">
        <f ca="1">(VLOOKUP(DL$72,INDIRECT($C$5&amp;"生成成长"),2))/((VLOOKUP($B79,INDIRECT($B$5&amp;"生成成长"),4))/(VLOOKUP(DL$72,INDIRECT($C$5&amp;"生成成长"),5))*(VLOOKUP($B$5,标准坦克设计!$B$24:$U$30,MATCH("对"&amp;LEFT($C$5,2)&amp;"输出",标准坦克设计!$B$23:$U$23,0)))*(VLOOKUP($B79,INDIRECT($B$5&amp;"生成成长"),3))*(VLOOKUP($B$5,标准坦克设计!$B$14:$K$20,9)/30))</f>
        <v>15.709808249760625</v>
      </c>
      <c r="DM79" s="172">
        <f ca="1">(VLOOKUP(DM$72,INDIRECT($C$5&amp;"生成成长"),2))/((VLOOKUP($B79,INDIRECT($B$5&amp;"生成成长"),4))/(VLOOKUP(DM$72,INDIRECT($C$5&amp;"生成成长"),5))*(VLOOKUP($B$5,标准坦克设计!$B$24:$U$30,MATCH("对"&amp;LEFT($C$5,2)&amp;"输出",标准坦克设计!$B$23:$U$23,0)))*(VLOOKUP($B79,INDIRECT($B$5&amp;"生成成长"),3))*(VLOOKUP($B$5,标准坦克设计!$B$14:$K$20,9)/30))</f>
        <v>17.448708105152033</v>
      </c>
      <c r="DN79" s="172">
        <f ca="1">(VLOOKUP(DN$72,INDIRECT($C$5&amp;"生成成长"),2))/((VLOOKUP($B79,INDIRECT($B$5&amp;"生成成长"),4))/(VLOOKUP(DN$72,INDIRECT($C$5&amp;"生成成长"),5))*(VLOOKUP($B$5,标准坦克设计!$B$24:$U$30,MATCH("对"&amp;LEFT($C$5,2)&amp;"输出",标准坦克设计!$B$23:$U$23,0)))*(VLOOKUP($B79,INDIRECT($B$5&amp;"生成成长"),3))*(VLOOKUP($B$5,标准坦克设计!$B$14:$K$20,9)/30))</f>
        <v>19.278862180359905</v>
      </c>
      <c r="DO79" s="172">
        <f ca="1">(VLOOKUP(DO$72,INDIRECT($C$5&amp;"生成成长"),2))/((VLOOKUP($B79,INDIRECT($B$5&amp;"生成成长"),4))/(VLOOKUP(DO$72,INDIRECT($C$5&amp;"生成成长"),5))*(VLOOKUP($B$5,标准坦克设计!$B$24:$U$30,MATCH("对"&amp;LEFT($C$5,2)&amp;"输出",标准坦克设计!$B$23:$U$23,0)))*(VLOOKUP($B79,INDIRECT($B$5&amp;"生成成长"),3))*(VLOOKUP($B$5,标准坦克设计!$B$14:$K$20,9)/30))</f>
        <v>21.200270475384233</v>
      </c>
      <c r="DP79" s="172">
        <f ca="1">(VLOOKUP(DP$72,INDIRECT($C$5&amp;"生成成长"),2))/((VLOOKUP($B79,INDIRECT($B$5&amp;"生成成长"),4))/(VLOOKUP(DP$72,INDIRECT($C$5&amp;"生成成长"),5))*(VLOOKUP($B$5,标准坦克设计!$B$24:$U$30,MATCH("对"&amp;LEFT($C$5,2)&amp;"输出",标准坦克设计!$B$23:$U$23,0)))*(VLOOKUP($B79,INDIRECT($B$5&amp;"生成成长"),3))*(VLOOKUP($B$5,标准坦克设计!$B$14:$K$20,9)/30))</f>
        <v>23.212932990225017</v>
      </c>
      <c r="DQ79" s="172">
        <f ca="1">(VLOOKUP(DQ$72,INDIRECT($C$5&amp;"生成成长"),2))/((VLOOKUP($B79,INDIRECT($B$5&amp;"生成成长"),4))/(VLOOKUP(DQ$72,INDIRECT($C$5&amp;"生成成长"),5))*(VLOOKUP($B$5,标准坦克设计!$B$24:$U$30,MATCH("对"&amp;LEFT($C$5,2)&amp;"输出",标准坦克设计!$B$23:$U$23,0)))*(VLOOKUP($B79,INDIRECT($B$5&amp;"生成成长"),3))*(VLOOKUP($B$5,标准坦克设计!$B$14:$K$20,9)/30))</f>
        <v>25.316849724882264</v>
      </c>
      <c r="DR79" s="172">
        <f ca="1">(VLOOKUP(DR$72,INDIRECT($C$5&amp;"生成成长"),2))/((VLOOKUP($B79,INDIRECT($B$5&amp;"生成成长"),4))/(VLOOKUP(DR$72,INDIRECT($C$5&amp;"生成成长"),5))*(VLOOKUP($B$5,标准坦克设计!$B$24:$U$30,MATCH("对"&amp;LEFT($C$5,2)&amp;"输出",标准坦克设计!$B$23:$U$23,0)))*(VLOOKUP($B79,INDIRECT($B$5&amp;"生成成长"),3))*(VLOOKUP($B$5,标准坦克设计!$B$14:$K$20,9)/30))</f>
        <v>27.512020679355974</v>
      </c>
      <c r="DS79" s="172">
        <f ca="1">(VLOOKUP(DS$72,INDIRECT($C$5&amp;"生成成长"),2))/((VLOOKUP($B79,INDIRECT($B$5&amp;"生成成长"),4))/(VLOOKUP(DS$72,INDIRECT($C$5&amp;"生成成长"),5))*(VLOOKUP($B$5,标准坦克设计!$B$24:$U$30,MATCH("对"&amp;LEFT($C$5,2)&amp;"输出",标准坦克设计!$B$23:$U$23,0)))*(VLOOKUP($B79,INDIRECT($B$5&amp;"生成成长"),3))*(VLOOKUP($B$5,标准坦克设计!$B$14:$K$20,9)/30))</f>
        <v>29.798445853646129</v>
      </c>
      <c r="DT79" s="172">
        <f ca="1">(VLOOKUP(DT$72,INDIRECT($C$5&amp;"生成成长"),2))/((VLOOKUP($B79,INDIRECT($B$5&amp;"生成成长"),4))/(VLOOKUP(DT$72,INDIRECT($C$5&amp;"生成成长"),5))*(VLOOKUP($B$5,标准坦克设计!$B$24:$U$30,MATCH("对"&amp;LEFT($C$5,2)&amp;"输出",标准坦克设计!$B$23:$U$23,0)))*(VLOOKUP($B79,INDIRECT($B$5&amp;"生成成长"),3))*(VLOOKUP($B$5,标准坦克设计!$B$14:$K$20,9)/30))</f>
        <v>32.716890994813255</v>
      </c>
      <c r="DU79" s="172">
        <f ca="1">(VLOOKUP(DU$72,INDIRECT($C$5&amp;"生成成长"),2))/((VLOOKUP($B79,INDIRECT($B$5&amp;"生成成长"),4))/(VLOOKUP(DU$72,INDIRECT($C$5&amp;"生成成长"),5))*(VLOOKUP($B$5,标准坦克设计!$B$24:$U$30,MATCH("对"&amp;LEFT($C$5,2)&amp;"输出",标准坦克设计!$B$23:$U$23,0)))*(VLOOKUP($B79,INDIRECT($B$5&amp;"生成成长"),3))*(VLOOKUP($B$5,标准坦克设计!$B$14:$K$20,9)/30))</f>
        <v>35.771654168051874</v>
      </c>
      <c r="DV79" s="172">
        <f ca="1">(VLOOKUP(DV$72,INDIRECT($C$5&amp;"生成成长"),2))/((VLOOKUP($B79,INDIRECT($B$5&amp;"生成成长"),4))/(VLOOKUP(DV$72,INDIRECT($C$5&amp;"生成成长"),5))*(VLOOKUP($B$5,标准坦克设计!$B$24:$U$30,MATCH("对"&amp;LEFT($C$5,2)&amp;"输出",标准坦克设计!$B$23:$U$23,0)))*(VLOOKUP($B79,INDIRECT($B$5&amp;"生成成长"),3))*(VLOOKUP($B$5,标准坦克设计!$B$14:$K$20,9)/30))</f>
        <v>38.962735373361994</v>
      </c>
      <c r="DW79" s="172">
        <f ca="1">(VLOOKUP(DW$72,INDIRECT($C$5&amp;"生成成长"),2))/((VLOOKUP($B79,INDIRECT($B$5&amp;"生成成长"),4))/(VLOOKUP(DW$72,INDIRECT($C$5&amp;"生成成长"),5))*(VLOOKUP($B$5,标准坦克设计!$B$24:$U$30,MATCH("对"&amp;LEFT($C$5,2)&amp;"输出",标准坦克设计!$B$23:$U$23,0)))*(VLOOKUP($B79,INDIRECT($B$5&amp;"生成成长"),3))*(VLOOKUP($B$5,标准坦克设计!$B$14:$K$20,9)/30))</f>
        <v>42.290134610743614</v>
      </c>
      <c r="DX79" s="172">
        <f ca="1">(VLOOKUP(DX$72,INDIRECT($C$5&amp;"生成成长"),2))/((VLOOKUP($B79,INDIRECT($B$5&amp;"生成成长"),4))/(VLOOKUP(DX$72,INDIRECT($C$5&amp;"生成成长"),5))*(VLOOKUP($B$5,标准坦克设计!$B$24:$U$30,MATCH("对"&amp;LEFT($C$5,2)&amp;"输出",标准坦克设计!$B$23:$U$23,0)))*(VLOOKUP($B79,INDIRECT($B$5&amp;"生成成长"),3))*(VLOOKUP($B$5,标准坦克设计!$B$14:$K$20,9)/30))</f>
        <v>45.753851880196727</v>
      </c>
      <c r="DY79" s="172">
        <f ca="1">(VLOOKUP(DY$72,INDIRECT($C$5&amp;"生成成长"),2))/((VLOOKUP($B79,INDIRECT($B$5&amp;"生成成长"),4))/(VLOOKUP(DY$72,INDIRECT($C$5&amp;"生成成长"),5))*(VLOOKUP($B$5,标准坦克设计!$B$24:$U$30,MATCH("对"&amp;LEFT($C$5,2)&amp;"输出",标准坦克设计!$B$23:$U$23,0)))*(VLOOKUP($B79,INDIRECT($B$5&amp;"生成成长"),3))*(VLOOKUP($B$5,标准坦克设计!$B$14:$K$20,9)/30))</f>
        <v>20.549661685952067</v>
      </c>
      <c r="DZ79" s="172">
        <f ca="1">(VLOOKUP(DZ$72,INDIRECT($C$5&amp;"生成成长"),2))/((VLOOKUP($B79,INDIRECT($B$5&amp;"生成成长"),4))/(VLOOKUP(DZ$72,INDIRECT($C$5&amp;"生成成长"),5))*(VLOOKUP($B$5,标准坦克设计!$B$24:$U$30,MATCH("对"&amp;LEFT($C$5,2)&amp;"输出",标准坦克设计!$B$23:$U$23,0)))*(VLOOKUP($B79,INDIRECT($B$5&amp;"生成成长"),3))*(VLOOKUP($B$5,标准坦克设计!$B$14:$K$20,9)/30))</f>
        <v>22.757788486449101</v>
      </c>
      <c r="EA79" s="172">
        <f ca="1">(VLOOKUP(EA$72,INDIRECT($C$5&amp;"生成成长"),2))/((VLOOKUP($B79,INDIRECT($B$5&amp;"生成成长"),4))/(VLOOKUP(EA$72,INDIRECT($C$5&amp;"生成成长"),5))*(VLOOKUP($B$5,标准坦克设计!$B$24:$U$30,MATCH("对"&amp;LEFT($C$5,2)&amp;"输出",标准坦克设计!$B$23:$U$23,0)))*(VLOOKUP($B79,INDIRECT($B$5&amp;"生成成长"),3))*(VLOOKUP($B$5,标准坦克设计!$B$14:$K$20,9)/30))</f>
        <v>25.078574817583736</v>
      </c>
      <c r="EB79" s="172">
        <f ca="1">(VLOOKUP(EB$72,INDIRECT($C$5&amp;"生成成长"),2))/((VLOOKUP($B79,INDIRECT($B$5&amp;"生成成长"),4))/(VLOOKUP(EB$72,INDIRECT($C$5&amp;"生成成长"),5))*(VLOOKUP($B$5,标准坦克设计!$B$24:$U$30,MATCH("对"&amp;LEFT($C$5,2)&amp;"输出",标准坦克设计!$B$23:$U$23,0)))*(VLOOKUP($B79,INDIRECT($B$5&amp;"生成成长"),3))*(VLOOKUP($B$5,标准坦克设计!$B$14:$K$20,9)/30))</f>
        <v>27.512020679355974</v>
      </c>
      <c r="EC79" s="172">
        <f ca="1">(VLOOKUP(EC$72,INDIRECT($C$5&amp;"生成成长"),2))/((VLOOKUP($B79,INDIRECT($B$5&amp;"生成成长"),4))/(VLOOKUP(EC$72,INDIRECT($C$5&amp;"生成成长"),5))*(VLOOKUP($B$5,标准坦克设计!$B$24:$U$30,MATCH("对"&amp;LEFT($C$5,2)&amp;"输出",标准坦克设计!$B$23:$U$23,0)))*(VLOOKUP($B79,INDIRECT($B$5&amp;"生成成长"),3))*(VLOOKUP($B$5,标准坦克设计!$B$14:$K$20,9)/30))</f>
        <v>30.058126071765809</v>
      </c>
      <c r="ED79" s="172">
        <f ca="1">(VLOOKUP(ED$72,INDIRECT($C$5&amp;"生成成长"),2))/((VLOOKUP($B79,INDIRECT($B$5&amp;"生成成长"),4))/(VLOOKUP(ED$72,INDIRECT($C$5&amp;"生成成长"),5))*(VLOOKUP($B$5,标准坦克设计!$B$24:$U$30,MATCH("对"&amp;LEFT($C$5,2)&amp;"输出",标准坦克设计!$B$23:$U$23,0)))*(VLOOKUP($B79,INDIRECT($B$5&amp;"生成成长"),3))*(VLOOKUP($B$5,标准坦克设计!$B$14:$K$20,9)/30))</f>
        <v>32.716890994813255</v>
      </c>
      <c r="EE79" s="172">
        <f ca="1">(VLOOKUP(EE$72,INDIRECT($C$5&amp;"生成成长"),2))/((VLOOKUP($B79,INDIRECT($B$5&amp;"生成成长"),4))/(VLOOKUP(EE$72,INDIRECT($C$5&amp;"生成成长"),5))*(VLOOKUP($B$5,标准坦克设计!$B$24:$U$30,MATCH("对"&amp;LEFT($C$5,2)&amp;"输出",标准坦克设计!$B$23:$U$23,0)))*(VLOOKUP($B79,INDIRECT($B$5&amp;"生成成长"),3))*(VLOOKUP($B$5,标准坦克设计!$B$14:$K$20,9)/30))</f>
        <v>35.488315448498305</v>
      </c>
      <c r="EF79" s="172">
        <f ca="1">(VLOOKUP(EF$72,INDIRECT($C$5&amp;"生成成长"),2))/((VLOOKUP($B79,INDIRECT($B$5&amp;"生成成长"),4))/(VLOOKUP(EF$72,INDIRECT($C$5&amp;"生成成长"),5))*(VLOOKUP($B$5,标准坦克设计!$B$24:$U$30,MATCH("对"&amp;LEFT($C$5,2)&amp;"输出",标准坦克设计!$B$23:$U$23,0)))*(VLOOKUP($B79,INDIRECT($B$5&amp;"生成成长"),3))*(VLOOKUP($B$5,标准坦克设计!$B$14:$K$20,9)/30))</f>
        <v>38.372399432820949</v>
      </c>
      <c r="EG79" s="172">
        <f ca="1">(VLOOKUP(EG$72,INDIRECT($C$5&amp;"生成成长"),2))/((VLOOKUP($B79,INDIRECT($B$5&amp;"生成成长"),4))/(VLOOKUP(EG$72,INDIRECT($C$5&amp;"生成成长"),5))*(VLOOKUP($B$5,标准坦克设计!$B$24:$U$30,MATCH("对"&amp;LEFT($C$5,2)&amp;"输出",标准坦克设计!$B$23:$U$23,0)))*(VLOOKUP($B79,INDIRECT($B$5&amp;"生成成长"),3))*(VLOOKUP($B$5,标准坦克设计!$B$14:$K$20,9)/30))</f>
        <v>41.369142947781206</v>
      </c>
      <c r="EH79" s="172">
        <f ca="1">(VLOOKUP(EH$72,INDIRECT($C$5&amp;"生成成长"),2))/((VLOOKUP($B79,INDIRECT($B$5&amp;"生成成长"),4))/(VLOOKUP(EH$72,INDIRECT($C$5&amp;"生成成长"),5))*(VLOOKUP($B$5,标准坦克设计!$B$24:$U$30,MATCH("对"&amp;LEFT($C$5,2)&amp;"输出",标准坦克设计!$B$23:$U$23,0)))*(VLOOKUP($B79,INDIRECT($B$5&amp;"生成成长"),3))*(VLOOKUP($B$5,标准坦克设计!$B$14:$K$20,9)/30))</f>
        <v>44.478545993379065</v>
      </c>
      <c r="EI79" s="172">
        <f ca="1">(VLOOKUP(EI$72,INDIRECT($C$5&amp;"生成成长"),2))/((VLOOKUP($B79,INDIRECT($B$5&amp;"生成成长"),4))/(VLOOKUP(EI$72,INDIRECT($C$5&amp;"生成成长"),5))*(VLOOKUP($B$5,标准坦克设计!$B$24:$U$30,MATCH("对"&amp;LEFT($C$5,2)&amp;"输出",标准坦克设计!$B$23:$U$23,0)))*(VLOOKUP($B79,INDIRECT($B$5&amp;"生成成长"),3))*(VLOOKUP($B$5,标准坦克设计!$B$14:$K$20,9)/30))</f>
        <v>47.700608569614531</v>
      </c>
      <c r="EJ79" s="172">
        <f ca="1">(VLOOKUP(EJ$72,INDIRECT($C$5&amp;"生成成长"),2))/((VLOOKUP($B79,INDIRECT($B$5&amp;"生成成长"),4))/(VLOOKUP(EJ$72,INDIRECT($C$5&amp;"生成成长"),5))*(VLOOKUP($B$5,标准坦克设计!$B$24:$U$30,MATCH("对"&amp;LEFT($C$5,2)&amp;"输出",标准坦克设计!$B$23:$U$23,0)))*(VLOOKUP($B79,INDIRECT($B$5&amp;"生成成长"),3))*(VLOOKUP($B$5,标准坦克设计!$B$14:$K$20,9)/30))</f>
        <v>51.035330676487582</v>
      </c>
      <c r="EK79" s="172">
        <f ca="1">(VLOOKUP(EK$72,INDIRECT($C$5&amp;"生成成长"),2))/((VLOOKUP($B79,INDIRECT($B$5&amp;"生成成长"),4))/(VLOOKUP(EK$72,INDIRECT($C$5&amp;"生成成长"),5))*(VLOOKUP($B$5,标准坦克设计!$B$24:$U$30,MATCH("对"&amp;LEFT($C$5,2)&amp;"输出",标准坦克设计!$B$23:$U$23,0)))*(VLOOKUP($B79,INDIRECT($B$5&amp;"生成成长"),3))*(VLOOKUP($B$5,标准坦克设计!$B$14:$K$20,9)/30))</f>
        <v>55.185707785176902</v>
      </c>
      <c r="EL79" s="172">
        <f ca="1">(VLOOKUP(EL$72,INDIRECT($C$5&amp;"生成成长"),2))/((VLOOKUP($B79,INDIRECT($B$5&amp;"生成成长"),4))/(VLOOKUP(EL$72,INDIRECT($C$5&amp;"生成成长"),5))*(VLOOKUP($B$5,标准坦克设计!$B$24:$U$30,MATCH("对"&amp;LEFT($C$5,2)&amp;"输出",标准坦克设计!$B$23:$U$23,0)))*(VLOOKUP($B79,INDIRECT($B$5&amp;"生成成长"),3))*(VLOOKUP($B$5,标准坦克设计!$B$14:$K$20,9)/30))</f>
        <v>59.498314617984356</v>
      </c>
      <c r="EM79" s="172">
        <f ca="1">(VLOOKUP(EM$72,INDIRECT($C$5&amp;"生成成长"),2))/((VLOOKUP($B79,INDIRECT($B$5&amp;"生成成长"),4))/(VLOOKUP(EM$72,INDIRECT($C$5&amp;"生成成长"),5))*(VLOOKUP($B$5,标准坦克设计!$B$24:$U$30,MATCH("对"&amp;LEFT($C$5,2)&amp;"输出",标准坦克设计!$B$23:$U$23,0)))*(VLOOKUP($B79,INDIRECT($B$5&amp;"生成成长"),3))*(VLOOKUP($B$5,标准坦克设计!$B$14:$K$20,9)/30))</f>
        <v>63.973151174909972</v>
      </c>
      <c r="EN79" s="172">
        <f ca="1">(VLOOKUP(EN$72,INDIRECT($C$5&amp;"生成成长"),2))/((VLOOKUP($B79,INDIRECT($B$5&amp;"生成成长"),4))/(VLOOKUP(EN$72,INDIRECT($C$5&amp;"生成成长"),5))*(VLOOKUP($B$5,标准坦克设计!$B$24:$U$30,MATCH("对"&amp;LEFT($C$5,2)&amp;"输出",标准坦克设计!$B$23:$U$23,0)))*(VLOOKUP($B79,INDIRECT($B$5&amp;"生成成长"),3))*(VLOOKUP($B$5,标准坦克设计!$B$14:$K$20,9)/30))</f>
        <v>68.61021745595373</v>
      </c>
      <c r="EO79" s="172">
        <f ca="1">(VLOOKUP(EO$72,INDIRECT($C$5&amp;"生成成长"),2))/((VLOOKUP($B79,INDIRECT($B$5&amp;"生成成长"),4))/(VLOOKUP(EO$72,INDIRECT($C$5&amp;"生成成长"),5))*(VLOOKUP($B$5,标准坦克设计!$B$24:$U$30,MATCH("对"&amp;LEFT($C$5,2)&amp;"输出",标准坦克设计!$B$23:$U$23,0)))*(VLOOKUP($B79,INDIRECT($B$5&amp;"生成成长"),3))*(VLOOKUP($B$5,标准坦克设计!$B$14:$K$20,9)/30))</f>
        <v>73.409513461115665</v>
      </c>
      <c r="EP79" s="172">
        <f ca="1">(VLOOKUP(EP$72,INDIRECT($C$5&amp;"生成成长"),2))/((VLOOKUP($B79,INDIRECT($B$5&amp;"生成成长"),4))/(VLOOKUP(EP$72,INDIRECT($C$5&amp;"生成成长"),5))*(VLOOKUP($B$5,标准坦克设计!$B$24:$U$30,MATCH("对"&amp;LEFT($C$5,2)&amp;"输出",标准坦克设计!$B$23:$U$23,0)))*(VLOOKUP($B79,INDIRECT($B$5&amp;"生成成长"),3))*(VLOOKUP($B$5,标准坦克设计!$B$14:$K$20,9)/30))</f>
        <v>78.371039190395706</v>
      </c>
      <c r="EQ79" s="172">
        <f ca="1">(VLOOKUP(EQ$72,INDIRECT($C$5&amp;"生成成长"),2))/((VLOOKUP($B79,INDIRECT($B$5&amp;"生成成长"),4))/(VLOOKUP(EQ$72,INDIRECT($C$5&amp;"生成成长"),5))*(VLOOKUP($B$5,标准坦克设计!$B$24:$U$30,MATCH("对"&amp;LEFT($C$5,2)&amp;"输出",标准坦克设计!$B$23:$U$23,0)))*(VLOOKUP($B79,INDIRECT($B$5&amp;"生成成长"),3))*(VLOOKUP($B$5,标准坦克设计!$B$14:$K$20,9)/30))</f>
        <v>34.645058861675842</v>
      </c>
      <c r="ER79" s="172">
        <f ca="1">(VLOOKUP(ER$72,INDIRECT($C$5&amp;"生成成长"),2))/((VLOOKUP($B79,INDIRECT($B$5&amp;"生成成长"),4))/(VLOOKUP(ER$72,INDIRECT($C$5&amp;"生成成长"),5))*(VLOOKUP($B$5,标准坦克设计!$B$24:$U$30,MATCH("对"&amp;LEFT($C$5,2)&amp;"输出",标准坦克设计!$B$23:$U$23,0)))*(VLOOKUP($B79,INDIRECT($B$5&amp;"生成成长"),3))*(VLOOKUP($B$5,标准坦克设计!$B$14:$K$20,9)/30))</f>
        <v>37.786569873505407</v>
      </c>
      <c r="ES79" s="172">
        <f ca="1">(VLOOKUP(ES$72,INDIRECT($C$5&amp;"生成成长"),2))/((VLOOKUP($B79,INDIRECT($B$5&amp;"生成成长"),4))/(VLOOKUP(ES$72,INDIRECT($C$5&amp;"生成成长"),5))*(VLOOKUP($B$5,标准坦克设计!$B$24:$U$30,MATCH("对"&amp;LEFT($C$5,2)&amp;"输出",标准坦克设计!$B$23:$U$23,0)))*(VLOOKUP($B79,INDIRECT($B$5&amp;"生成成长"),3))*(VLOOKUP($B$5,标准坦克设计!$B$14:$K$20,9)/30))</f>
        <v>41.064398917406486</v>
      </c>
      <c r="ET79" s="172">
        <f ca="1">(VLOOKUP(ET$72,INDIRECT($C$5&amp;"生成成长"),2))/((VLOOKUP($B79,INDIRECT($B$5&amp;"生成成长"),4))/(VLOOKUP(ET$72,INDIRECT($C$5&amp;"生成成长"),5))*(VLOOKUP($B$5,标准坦克设计!$B$24:$U$30,MATCH("对"&amp;LEFT($C$5,2)&amp;"输出",标准坦克设计!$B$23:$U$23,0)))*(VLOOKUP($B79,INDIRECT($B$5&amp;"生成成长"),3))*(VLOOKUP($B$5,标准坦克设计!$B$14:$K$20,9)/30))</f>
        <v>44.478545993379065</v>
      </c>
      <c r="EU79" s="172">
        <f ca="1">(VLOOKUP(EU$72,INDIRECT($C$5&amp;"生成成长"),2))/((VLOOKUP($B79,INDIRECT($B$5&amp;"生成成长"),4))/(VLOOKUP(EU$72,INDIRECT($C$5&amp;"生成成长"),5))*(VLOOKUP($B$5,标准坦克设计!$B$24:$U$30,MATCH("对"&amp;LEFT($C$5,2)&amp;"输出",标准坦克设计!$B$23:$U$23,0)))*(VLOOKUP($B79,INDIRECT($B$5&amp;"生成成长"),3))*(VLOOKUP($B$5,标准坦克设计!$B$14:$K$20,9)/30))</f>
        <v>48.029011101423144</v>
      </c>
      <c r="EV79" s="172">
        <f ca="1">(VLOOKUP(EV$72,INDIRECT($C$5&amp;"生成成长"),2))/((VLOOKUP($B79,INDIRECT($B$5&amp;"生成成长"),4))/(VLOOKUP(EV$72,INDIRECT($C$5&amp;"生成成长"),5))*(VLOOKUP($B$5,标准坦克设计!$B$24:$U$30,MATCH("对"&amp;LEFT($C$5,2)&amp;"输出",标准坦克设计!$B$23:$U$23,0)))*(VLOOKUP($B79,INDIRECT($B$5&amp;"生成成长"),3))*(VLOOKUP($B$5,标准坦克设计!$B$14:$K$20,9)/30))</f>
        <v>51.715794241538717</v>
      </c>
      <c r="EW79" s="172">
        <f ca="1">(VLOOKUP(EW$72,INDIRECT($C$5&amp;"生成成长"),2))/((VLOOKUP($B79,INDIRECT($B$5&amp;"生成成长"),4))/(VLOOKUP(EW$72,INDIRECT($C$5&amp;"生成成长"),5))*(VLOOKUP($B$5,标准坦克设计!$B$24:$U$30,MATCH("对"&amp;LEFT($C$5,2)&amp;"输出",标准坦克设计!$B$23:$U$23,0)))*(VLOOKUP($B79,INDIRECT($B$5&amp;"生成成长"),3))*(VLOOKUP($B$5,标准坦克设计!$B$14:$K$20,9)/30))</f>
        <v>55.538895413725776</v>
      </c>
      <c r="EX79" s="172">
        <f ca="1">(VLOOKUP(EX$72,INDIRECT($C$5&amp;"生成成长"),2))/((VLOOKUP($B79,INDIRECT($B$5&amp;"生成成长"),4))/(VLOOKUP(EX$72,INDIRECT($C$5&amp;"生成成长"),5))*(VLOOKUP($B$5,标准坦克设计!$B$24:$U$30,MATCH("对"&amp;LEFT($C$5,2)&amp;"输出",标准坦克设计!$B$23:$U$23,0)))*(VLOOKUP($B79,INDIRECT($B$5&amp;"生成成长"),3))*(VLOOKUP($B$5,标准坦克设计!$B$14:$K$20,9)/30))</f>
        <v>59.498314617984356</v>
      </c>
      <c r="EY79" s="172">
        <f ca="1">(VLOOKUP(EY$72,INDIRECT($C$5&amp;"生成成长"),2))/((VLOOKUP($B79,INDIRECT($B$5&amp;"生成成长"),4))/(VLOOKUP(EY$72,INDIRECT($C$5&amp;"生成成长"),5))*(VLOOKUP($B$5,标准坦克设计!$B$24:$U$30,MATCH("对"&amp;LEFT($C$5,2)&amp;"输出",标准坦克设计!$B$23:$U$23,0)))*(VLOOKUP($B79,INDIRECT($B$5&amp;"生成成长"),3))*(VLOOKUP($B$5,标准坦克设计!$B$14:$K$20,9)/30))</f>
        <v>63.594051854314444</v>
      </c>
      <c r="EZ79" s="172">
        <f ca="1">(VLOOKUP(EZ$72,INDIRECT($C$5&amp;"生成成长"),2))/((VLOOKUP($B79,INDIRECT($B$5&amp;"生成成长"),4))/(VLOOKUP(EZ$72,INDIRECT($C$5&amp;"生成成长"),5))*(VLOOKUP($B$5,标准坦克设计!$B$24:$U$30,MATCH("对"&amp;LEFT($C$5,2)&amp;"输出",标准坦克设计!$B$23:$U$23,0)))*(VLOOKUP($B79,INDIRECT($B$5&amp;"生成成长"),3))*(VLOOKUP($B$5,标准坦克设计!$B$14:$K$20,9)/30))</f>
        <v>67.826107122716024</v>
      </c>
      <c r="FA79" s="172">
        <f ca="1">(VLOOKUP(FA$72,INDIRECT($C$5&amp;"生成成长"),2))/((VLOOKUP($B79,INDIRECT($B$5&amp;"生成成长"),4))/(VLOOKUP(FA$72,INDIRECT($C$5&amp;"生成成长"),5))*(VLOOKUP($B$5,标准坦克设计!$B$24:$U$30,MATCH("对"&amp;LEFT($C$5,2)&amp;"输出",标准坦克设计!$B$23:$U$23,0)))*(VLOOKUP($B79,INDIRECT($B$5&amp;"生成成长"),3))*(VLOOKUP($B$5,标准坦克设计!$B$14:$K$20,9)/30))</f>
        <v>72.194480423189091</v>
      </c>
      <c r="FB79" s="172">
        <f ca="1">(VLOOKUP(FB$72,INDIRECT($C$5&amp;"生成成长"),2))/((VLOOKUP($B79,INDIRECT($B$5&amp;"生成成长"),4))/(VLOOKUP(FB$72,INDIRECT($C$5&amp;"生成成长"),5))*(VLOOKUP($B$5,标准坦克设计!$B$24:$U$30,MATCH("对"&amp;LEFT($C$5,2)&amp;"输出",标准坦克设计!$B$23:$U$23,0)))*(VLOOKUP($B79,INDIRECT($B$5&amp;"生成成长"),3))*(VLOOKUP($B$5,标准坦克设计!$B$14:$K$20,9)/30))</f>
        <v>76.699171755733673</v>
      </c>
      <c r="FC79" s="172">
        <f ca="1">(VLOOKUP(FC$72,INDIRECT($C$5&amp;"生成成长"),2))/((VLOOKUP($B79,INDIRECT($B$5&amp;"生成成长"),4))/(VLOOKUP(FC$72,INDIRECT($C$5&amp;"生成成长"),5))*(VLOOKUP($B$5,标准坦克设计!$B$24:$U$30,MATCH("对"&amp;LEFT($C$5,2)&amp;"输出",标准坦克设计!$B$23:$U$23,0)))*(VLOOKUP($B79,INDIRECT($B$5&amp;"生成成长"),3))*(VLOOKUP($B$5,标准坦克设计!$B$14:$K$20,9)/30))</f>
        <v>81.34018112034974</v>
      </c>
      <c r="FD79" s="172">
        <f ca="1">(VLOOKUP(FD$72,INDIRECT($C$5&amp;"生成成长"),2))/((VLOOKUP($B79,INDIRECT($B$5&amp;"生成成长"),4))/(VLOOKUP(FD$72,INDIRECT($C$5&amp;"生成成长"),5))*(VLOOKUP($B$5,标准坦克设计!$B$24:$U$30,MATCH("对"&amp;LEFT($C$5,2)&amp;"输出",标准坦克设计!$B$23:$U$23,0)))*(VLOOKUP($B79,INDIRECT($B$5&amp;"生成成长"),3))*(VLOOKUP($B$5,标准坦克设计!$B$14:$K$20,9)/30))</f>
        <v>86.117508517037322</v>
      </c>
      <c r="FE79" s="172">
        <f ca="1">(VLOOKUP(FE$72,INDIRECT($C$5&amp;"生成成长"),2))/((VLOOKUP($B79,INDIRECT($B$5&amp;"生成成长"),4))/(VLOOKUP(FE$72,INDIRECT($C$5&amp;"生成成长"),5))*(VLOOKUP($B$5,标准坦克设计!$B$24:$U$30,MATCH("对"&amp;LEFT($C$5,2)&amp;"输出",标准坦克设计!$B$23:$U$23,0)))*(VLOOKUP($B79,INDIRECT($B$5&amp;"生成成长"),3))*(VLOOKUP($B$5,标准坦克设计!$B$14:$K$20,9)/30))</f>
        <v>91.939189762735481</v>
      </c>
      <c r="FF79" s="172">
        <f ca="1">(VLOOKUP(FF$72,INDIRECT($C$5&amp;"生成成长"),2))/((VLOOKUP($B79,INDIRECT($B$5&amp;"生成成长"),4))/(VLOOKUP(FF$72,INDIRECT($C$5&amp;"生成成长"),5))*(VLOOKUP($B$5,标准坦克设计!$B$24:$U$30,MATCH("对"&amp;LEFT($C$5,2)&amp;"输出",标准坦克设计!$B$23:$U$23,0)))*(VLOOKUP($B79,INDIRECT($B$5&amp;"生成成长"),3))*(VLOOKUP($B$5,标准坦克设计!$B$14:$K$20,9)/30))</f>
        <v>97.951265615211199</v>
      </c>
      <c r="FG79" s="172">
        <f ca="1">(VLOOKUP(FG$72,INDIRECT($C$5&amp;"生成成长"),2))/((VLOOKUP($B79,INDIRECT($B$5&amp;"生成成长"),4))/(VLOOKUP(FG$72,INDIRECT($C$5&amp;"生成成长"),5))*(VLOOKUP($B$5,标准坦克设计!$B$24:$U$30,MATCH("对"&amp;LEFT($C$5,2)&amp;"输出",标准坦克设计!$B$23:$U$23,0)))*(VLOOKUP($B79,INDIRECT($B$5&amp;"生成成长"),3))*(VLOOKUP($B$5,标准坦克设计!$B$14:$K$20,9)/30))</f>
        <v>104.15373607446445</v>
      </c>
      <c r="FH79" s="172">
        <f ca="1">(VLOOKUP(FH$72,INDIRECT($C$5&amp;"生成成长"),2))/((VLOOKUP($B79,INDIRECT($B$5&amp;"生成成长"),4))/(VLOOKUP(FH$72,INDIRECT($C$5&amp;"生成成长"),5))*(VLOOKUP($B$5,标准坦克设计!$B$24:$U$30,MATCH("对"&amp;LEFT($C$5,2)&amp;"输出",标准坦克设计!$B$23:$U$23,0)))*(VLOOKUP($B79,INDIRECT($B$5&amp;"生成成长"),3))*(VLOOKUP($B$5,标准坦克设计!$B$14:$K$20,9)/30))</f>
        <v>110.54660114049528</v>
      </c>
      <c r="FI79" s="172">
        <f ca="1">(VLOOKUP(FI$72,INDIRECT($C$5&amp;"生成成长"),2))/((VLOOKUP($B79,INDIRECT($B$5&amp;"生成成长"),4))/(VLOOKUP(FI$72,INDIRECT($C$5&amp;"生成成长"),5))*(VLOOKUP($B$5,标准坦克设计!$B$24:$U$30,MATCH("对"&amp;LEFT($C$5,2)&amp;"输出",标准坦克设计!$B$23:$U$23,0)))*(VLOOKUP($B79,INDIRECT($B$5&amp;"生成成长"),3))*(VLOOKUP($B$5,标准坦克设计!$B$14:$K$20,9)/30))</f>
        <v>117.12986081330364</v>
      </c>
      <c r="FJ79" s="172">
        <f ca="1">(VLOOKUP(FJ$72,INDIRECT($C$5&amp;"生成成长"),2))/((VLOOKUP($B79,INDIRECT($B$5&amp;"生成成长"),4))/(VLOOKUP(FJ$72,INDIRECT($C$5&amp;"生成成长"),5))*(VLOOKUP($B$5,标准坦克设计!$B$24:$U$30,MATCH("对"&amp;LEFT($C$5,2)&amp;"输出",标准坦克设计!$B$23:$U$23,0)))*(VLOOKUP($B79,INDIRECT($B$5&amp;"生成成长"),3))*(VLOOKUP($B$5,标准坦克设计!$B$14:$K$20,9)/30))</f>
        <v>123.90351509288953</v>
      </c>
      <c r="FK79" s="172">
        <f ca="1">(VLOOKUP(FK$72,INDIRECT($C$5&amp;"生成成长"),2))/((VLOOKUP($B79,INDIRECT($B$5&amp;"生成成长"),4))/(VLOOKUP(FK$72,INDIRECT($C$5&amp;"生成成长"),5))*(VLOOKUP($B$5,标准坦克设计!$B$24:$U$30,MATCH("对"&amp;LEFT($C$5,2)&amp;"输出",标准坦克设计!$B$23:$U$23,0)))*(VLOOKUP($B79,INDIRECT($B$5&amp;"生成成长"),3))*(VLOOKUP($B$5,标准坦克设计!$B$14:$K$20,9)/30))</f>
        <v>130.86756397925302</v>
      </c>
    </row>
    <row r="80" spans="1:167" x14ac:dyDescent="0.15">
      <c r="A80" s="170" t="str">
        <f t="shared" si="11"/>
        <v>T2低品质3级</v>
      </c>
      <c r="B80" s="171">
        <v>10203</v>
      </c>
      <c r="C80" s="172">
        <f ca="1">(VLOOKUP(C$72,INDIRECT($C$5&amp;"生成成长"),2))/((VLOOKUP($B80,INDIRECT($B$5&amp;"生成成长"),4))/(VLOOKUP(C$72,INDIRECT($C$5&amp;"生成成长"),5))*(VLOOKUP($B$5,标准坦克设计!$B$24:$U$30,MATCH("对"&amp;LEFT($C$5,2)&amp;"输出",标准坦克设计!$B$23:$U$23,0)))*(VLOOKUP($B80,INDIRECT($B$5&amp;"生成成长"),3))*(VLOOKUP($B$5,标准坦克设计!$B$14:$K$20,9)/30))</f>
        <v>4.9694875965045666</v>
      </c>
      <c r="D80" s="172">
        <f ca="1">(VLOOKUP(D$72,INDIRECT($C$5&amp;"生成成长"),2))/((VLOOKUP($B80,INDIRECT($B$5&amp;"生成成长"),4))/(VLOOKUP(D$72,INDIRECT($C$5&amp;"生成成长"),5))*(VLOOKUP($B$5,标准坦克设计!$B$24:$U$30,MATCH("对"&amp;LEFT($C$5,2)&amp;"输出",标准坦克设计!$B$23:$U$23,0)))*(VLOOKUP($B80,INDIRECT($B$5&amp;"生成成长"),3))*(VLOOKUP($B$5,标准坦克设计!$B$14:$K$20,9)/30))</f>
        <v>5.5837162634325317</v>
      </c>
      <c r="E80" s="172">
        <f ca="1">(VLOOKUP(E$72,INDIRECT($C$5&amp;"生成成长"),2))/((VLOOKUP($B80,INDIRECT($B$5&amp;"生成成长"),4))/(VLOOKUP(E$72,INDIRECT($C$5&amp;"生成成长"),5))*(VLOOKUP($B$5,标准坦克设计!$B$24:$U$30,MATCH("对"&amp;LEFT($C$5,2)&amp;"输出",标准坦克设计!$B$23:$U$23,0)))*(VLOOKUP($B80,INDIRECT($B$5&amp;"生成成长"),3))*(VLOOKUP($B$5,标准坦克设计!$B$14:$K$20,9)/30))</f>
        <v>6.2337252410553283</v>
      </c>
      <c r="F80" s="172">
        <f ca="1">(VLOOKUP(F$72,INDIRECT($C$5&amp;"生成成长"),2))/((VLOOKUP($B80,INDIRECT($B$5&amp;"生成成长"),4))/(VLOOKUP(F$72,INDIRECT($C$5&amp;"生成成长"),5))*(VLOOKUP($B$5,标准坦克设计!$B$24:$U$30,MATCH("对"&amp;LEFT($C$5,2)&amp;"输出",标准坦克设计!$B$23:$U$23,0)))*(VLOOKUP($B80,INDIRECT($B$5&amp;"生成成长"),3))*(VLOOKUP($B$5,标准坦克设计!$B$14:$K$20,9)/30))</f>
        <v>6.9195145293729592</v>
      </c>
      <c r="G80" s="172">
        <f ca="1">(VLOOKUP(G$72,INDIRECT($C$5&amp;"生成成长"),2))/((VLOOKUP($B80,INDIRECT($B$5&amp;"生成成长"),4))/(VLOOKUP(G$72,INDIRECT($C$5&amp;"生成成长"),5))*(VLOOKUP($B$5,标准坦克设计!$B$24:$U$30,MATCH("对"&amp;LEFT($C$5,2)&amp;"输出",标准坦克设计!$B$23:$U$23,0)))*(VLOOKUP($B80,INDIRECT($B$5&amp;"生成成长"),3))*(VLOOKUP($B$5,标准坦克设计!$B$14:$K$20,9)/30))</f>
        <v>7.6410841283854216</v>
      </c>
      <c r="H80" s="172">
        <f ca="1">(VLOOKUP(H$72,INDIRECT($C$5&amp;"生成成长"),2))/((VLOOKUP($B80,INDIRECT($B$5&amp;"生成成长"),4))/(VLOOKUP(H$72,INDIRECT($C$5&amp;"生成成长"),5))*(VLOOKUP($B$5,标准坦克设计!$B$24:$U$30,MATCH("对"&amp;LEFT($C$5,2)&amp;"输出",标准坦克设计!$B$23:$U$23,0)))*(VLOOKUP($B80,INDIRECT($B$5&amp;"生成成长"),3))*(VLOOKUP($B$5,标准坦克设计!$B$14:$K$20,9)/30))</f>
        <v>6.6869425098565447</v>
      </c>
      <c r="I80" s="172">
        <f ca="1">(VLOOKUP(I$72,INDIRECT($C$5&amp;"生成成长"),2))/((VLOOKUP($B80,INDIRECT($B$5&amp;"生成成长"),4))/(VLOOKUP(I$72,INDIRECT($C$5&amp;"生成成长"),5))*(VLOOKUP($B$5,标准坦克设计!$B$24:$U$30,MATCH("对"&amp;LEFT($C$5,2)&amp;"输出",标准坦克设计!$B$23:$U$23,0)))*(VLOOKUP($B80,INDIRECT($B$5&amp;"生成成长"),3))*(VLOOKUP($B$5,标准坦克设计!$B$14:$K$20,9)/30))</f>
        <v>7.6410841283854216</v>
      </c>
      <c r="J80" s="172">
        <f ca="1">(VLOOKUP(J$72,INDIRECT($C$5&amp;"生成成长"),2))/((VLOOKUP($B80,INDIRECT($B$5&amp;"生成成长"),4))/(VLOOKUP(J$72,INDIRECT($C$5&amp;"生成成长"),5))*(VLOOKUP($B$5,标准坦克设计!$B$24:$U$30,MATCH("对"&amp;LEFT($C$5,2)&amp;"输出",标准坦克设计!$B$23:$U$23,0)))*(VLOOKUP($B80,INDIRECT($B$5&amp;"生成成长"),3))*(VLOOKUP($B$5,标准坦克设计!$B$14:$K$20,9)/30))</f>
        <v>8.658835188149558</v>
      </c>
      <c r="K80" s="172">
        <f ca="1">(VLOOKUP(K$72,INDIRECT($C$5&amp;"生成成长"),2))/((VLOOKUP($B80,INDIRECT($B$5&amp;"生成成长"),4))/(VLOOKUP(K$72,INDIRECT($C$5&amp;"生成成长"),5))*(VLOOKUP($B$5,标准坦克设计!$B$24:$U$30,MATCH("对"&amp;LEFT($C$5,2)&amp;"输出",标准坦克设计!$B$23:$U$23,0)))*(VLOOKUP($B80,INDIRECT($B$5&amp;"生成成长"),3))*(VLOOKUP($B$5,标准坦克设计!$B$14:$K$20,9)/30))</f>
        <v>9.7401956891489512</v>
      </c>
      <c r="L80" s="172">
        <f ca="1">(VLOOKUP(L$72,INDIRECT($C$5&amp;"生成成长"),2))/((VLOOKUP($B80,INDIRECT($B$5&amp;"生成成长"),4))/(VLOOKUP(L$72,INDIRECT($C$5&amp;"生成成长"),5))*(VLOOKUP($B$5,标准坦克设计!$B$24:$U$30,MATCH("对"&amp;LEFT($C$5,2)&amp;"输出",标准坦克设计!$B$23:$U$23,0)))*(VLOOKUP($B80,INDIRECT($B$5&amp;"生成成长"),3))*(VLOOKUP($B$5,标准坦克设计!$B$14:$K$20,9)/30))</f>
        <v>10.885165631383602</v>
      </c>
      <c r="M80" s="172">
        <f ca="1">(VLOOKUP(M$72,INDIRECT($C$5&amp;"生成成长"),2))/((VLOOKUP($B80,INDIRECT($B$5&amp;"生成成长"),4))/(VLOOKUP(M$72,INDIRECT($C$5&amp;"生成成长"),5))*(VLOOKUP($B$5,标准坦克设计!$B$24:$U$30,MATCH("对"&amp;LEFT($C$5,2)&amp;"输出",标准坦克设计!$B$23:$U$23,0)))*(VLOOKUP($B80,INDIRECT($B$5&amp;"生成成长"),3))*(VLOOKUP($B$5,标准坦克设计!$B$14:$K$20,9)/30))</f>
        <v>12.093745014853514</v>
      </c>
      <c r="N80" s="172">
        <f ca="1">(VLOOKUP(N$72,INDIRECT($C$5&amp;"生成成长"),2))/((VLOOKUP($B80,INDIRECT($B$5&amp;"生成成长"),4))/(VLOOKUP(N$72,INDIRECT($C$5&amp;"生成成长"),5))*(VLOOKUP($B$5,标准坦克设计!$B$24:$U$30,MATCH("对"&amp;LEFT($C$5,2)&amp;"输出",标准坦克设计!$B$23:$U$23,0)))*(VLOOKUP($B80,INDIRECT($B$5&amp;"生成成长"),3))*(VLOOKUP($B$5,标准坦克设计!$B$14:$K$20,9)/30))</f>
        <v>13.36593383955868</v>
      </c>
      <c r="O80" s="172">
        <f ca="1">(VLOOKUP(O$72,INDIRECT($C$5&amp;"生成成长"),2))/((VLOOKUP($B80,INDIRECT($B$5&amp;"生成成长"),4))/(VLOOKUP(O$72,INDIRECT($C$5&amp;"生成成长"),5))*(VLOOKUP($B$5,标准坦克设计!$B$24:$U$30,MATCH("对"&amp;LEFT($C$5,2)&amp;"输出",标准坦克设计!$B$23:$U$23,0)))*(VLOOKUP($B80,INDIRECT($B$5&amp;"生成成长"),3))*(VLOOKUP($B$5,标准坦克设计!$B$14:$K$20,9)/30))</f>
        <v>10.162105186092187</v>
      </c>
      <c r="P80" s="172">
        <f ca="1">(VLOOKUP(P$72,INDIRECT($C$5&amp;"生成成长"),2))/((VLOOKUP($B80,INDIRECT($B$5&amp;"生成成长"),4))/(VLOOKUP(P$72,INDIRECT($C$5&amp;"生成成长"),5))*(VLOOKUP($B$5,标准坦克设计!$B$24:$U$30,MATCH("对"&amp;LEFT($C$5,2)&amp;"输出",标准坦克设计!$B$23:$U$23,0)))*(VLOOKUP($B80,INDIRECT($B$5&amp;"生成成长"),3))*(VLOOKUP($B$5,标准坦克设计!$B$14:$K$20,9)/30))</f>
        <v>11.481504142964152</v>
      </c>
      <c r="Q80" s="172">
        <f ca="1">(VLOOKUP(Q$72,INDIRECT($C$5&amp;"生成成长"),2))/((VLOOKUP($B80,INDIRECT($B$5&amp;"生成成长"),4))/(VLOOKUP(Q$72,INDIRECT($C$5&amp;"生成成长"),5))*(VLOOKUP($B$5,标准坦克设计!$B$24:$U$30,MATCH("对"&amp;LEFT($C$5,2)&amp;"输出",标准坦克设计!$B$23:$U$23,0)))*(VLOOKUP($B80,INDIRECT($B$5&amp;"生成成长"),3))*(VLOOKUP($B$5,标准坦克设计!$B$14:$K$20,9)/30))</f>
        <v>12.881408798899486</v>
      </c>
      <c r="R80" s="172">
        <f ca="1">(VLOOKUP(R$72,INDIRECT($C$5&amp;"生成成长"),2))/((VLOOKUP($B80,INDIRECT($B$5&amp;"生成成长"),4))/(VLOOKUP(R$72,INDIRECT($C$5&amp;"生成成长"),5))*(VLOOKUP($B$5,标准坦克设计!$B$24:$U$30,MATCH("对"&amp;LEFT($C$5,2)&amp;"输出",标准坦克设计!$B$23:$U$23,0)))*(VLOOKUP($B80,INDIRECT($B$5&amp;"生成成长"),3))*(VLOOKUP($B$5,标准坦克设计!$B$14:$K$20,9)/30))</f>
        <v>14.361819153898196</v>
      </c>
      <c r="S80" s="172">
        <f ca="1">(VLOOKUP(S$72,INDIRECT($C$5&amp;"生成成长"),2))/((VLOOKUP($B80,INDIRECT($B$5&amp;"生成成长"),4))/(VLOOKUP(S$72,INDIRECT($C$5&amp;"生成成长"),5))*(VLOOKUP($B$5,标准坦克设计!$B$24:$U$30,MATCH("对"&amp;LEFT($C$5,2)&amp;"输出",标准坦克设计!$B$23:$U$23,0)))*(VLOOKUP($B80,INDIRECT($B$5&amp;"生成成长"),3))*(VLOOKUP($B$5,标准坦克设计!$B$14:$K$20,9)/30))</f>
        <v>15.922735207960285</v>
      </c>
      <c r="T80" s="172">
        <f ca="1">(VLOOKUP(T$72,INDIRECT($C$5&amp;"生成成长"),2))/((VLOOKUP($B80,INDIRECT($B$5&amp;"生成成长"),4))/(VLOOKUP(T$72,INDIRECT($C$5&amp;"生成成长"),5))*(VLOOKUP($B$5,标准坦克设计!$B$24:$U$30,MATCH("对"&amp;LEFT($C$5,2)&amp;"输出",标准坦克设计!$B$23:$U$23,0)))*(VLOOKUP($B80,INDIRECT($B$5&amp;"生成成长"),3))*(VLOOKUP($B$5,标准坦克设计!$B$14:$K$20,9)/30))</f>
        <v>17.56415696108574</v>
      </c>
      <c r="U80" s="172">
        <f ca="1">(VLOOKUP(U$72,INDIRECT($C$5&amp;"生成成长"),2))/((VLOOKUP($B80,INDIRECT($B$5&amp;"生成成长"),4))/(VLOOKUP(U$72,INDIRECT($C$5&amp;"生成成长"),5))*(VLOOKUP($B$5,标准坦克设计!$B$24:$U$30,MATCH("对"&amp;LEFT($C$5,2)&amp;"输出",标准坦克设计!$B$23:$U$23,0)))*(VLOOKUP($B80,INDIRECT($B$5&amp;"生成成长"),3))*(VLOOKUP($B$5,标准坦克设计!$B$14:$K$20,9)/30))</f>
        <v>19.286084413274573</v>
      </c>
      <c r="V80" s="172">
        <f ca="1">(VLOOKUP(V$72,INDIRECT($C$5&amp;"生成成长"),2))/((VLOOKUP($B80,INDIRECT($B$5&amp;"生成成长"),4))/(VLOOKUP(V$72,INDIRECT($C$5&amp;"生成成长"),5))*(VLOOKUP($B$5,标准坦克设计!$B$24:$U$30,MATCH("对"&amp;LEFT($C$5,2)&amp;"输出",标准坦克设计!$B$23:$U$23,0)))*(VLOOKUP($B80,INDIRECT($B$5&amp;"生成成长"),3))*(VLOOKUP($B$5,标准坦克设计!$B$14:$K$20,9)/30))</f>
        <v>21.088517564526775</v>
      </c>
      <c r="W80" s="172">
        <f ca="1">(VLOOKUP(W$72,INDIRECT($C$5&amp;"生成成长"),2))/((VLOOKUP($B80,INDIRECT($B$5&amp;"生成成长"),4))/(VLOOKUP(W$72,INDIRECT($C$5&amp;"生成成长"),5))*(VLOOKUP($B$5,标准坦克设计!$B$24:$U$30,MATCH("对"&amp;LEFT($C$5,2)&amp;"输出",标准坦克设计!$B$23:$U$23,0)))*(VLOOKUP($B80,INDIRECT($B$5&amp;"生成成长"),3))*(VLOOKUP($B$5,标准坦克设计!$B$14:$K$20,9)/30))</f>
        <v>22.971456414842358</v>
      </c>
      <c r="X80" s="172">
        <f ca="1">(VLOOKUP(X$72,INDIRECT($C$5&amp;"生成成长"),2))/((VLOOKUP($B80,INDIRECT($B$5&amp;"生成成长"),4))/(VLOOKUP(X$72,INDIRECT($C$5&amp;"生成成长"),5))*(VLOOKUP($B$5,标准坦克设计!$B$24:$U$30,MATCH("对"&amp;LEFT($C$5,2)&amp;"输出",标准坦克设计!$B$23:$U$23,0)))*(VLOOKUP($B80,INDIRECT($B$5&amp;"生成成长"),3))*(VLOOKUP($B$5,标准坦克设计!$B$14:$K$20,9)/30))</f>
        <v>16.642317011934143</v>
      </c>
      <c r="Y80" s="172">
        <f ca="1">(VLOOKUP(Y$72,INDIRECT($C$5&amp;"生成成长"),2))/((VLOOKUP($B80,INDIRECT($B$5&amp;"生成成长"),4))/(VLOOKUP(Y$72,INDIRECT($C$5&amp;"生成成长"),5))*(VLOOKUP($B$5,标准坦克设计!$B$24:$U$30,MATCH("对"&amp;LEFT($C$5,2)&amp;"输出",标准坦克设计!$B$23:$U$23,0)))*(VLOOKUP($B80,INDIRECT($B$5&amp;"生成成长"),3))*(VLOOKUP($B$5,标准坦克设计!$B$14:$K$20,9)/30))</f>
        <v>18.510844348219859</v>
      </c>
      <c r="Z80" s="172">
        <f ca="1">(VLOOKUP(Z$72,INDIRECT($C$5&amp;"生成成长"),2))/((VLOOKUP($B80,INDIRECT($B$5&amp;"生成成长"),4))/(VLOOKUP(Z$72,INDIRECT($C$5&amp;"生成成长"),5))*(VLOOKUP($B$5,标准坦克设计!$B$24:$U$30,MATCH("对"&amp;LEFT($C$5,2)&amp;"输出",标准坦克设计!$B$23:$U$23,0)))*(VLOOKUP($B80,INDIRECT($B$5&amp;"生成成长"),3))*(VLOOKUP($B$5,标准坦克设计!$B$14:$K$20,9)/30))</f>
        <v>20.478761436435668</v>
      </c>
      <c r="AA80" s="172">
        <f ca="1">(VLOOKUP(AA$72,INDIRECT($C$5&amp;"生成成长"),2))/((VLOOKUP($B80,INDIRECT($B$5&amp;"生成成长"),4))/(VLOOKUP(AA$72,INDIRECT($C$5&amp;"生成成长"),5))*(VLOOKUP($B$5,标准坦克设计!$B$24:$U$30,MATCH("对"&amp;LEFT($C$5,2)&amp;"输出",标准坦克设计!$B$23:$U$23,0)))*(VLOOKUP($B80,INDIRECT($B$5&amp;"生成成长"),3))*(VLOOKUP($B$5,标准坦克设计!$B$14:$K$20,9)/30))</f>
        <v>22.546068276581568</v>
      </c>
      <c r="AB80" s="172">
        <f ca="1">(VLOOKUP(AB$72,INDIRECT($C$5&amp;"生成成长"),2))/((VLOOKUP($B80,INDIRECT($B$5&amp;"生成成长"),4))/(VLOOKUP(AB$72,INDIRECT($C$5&amp;"生成成长"),5))*(VLOOKUP($B$5,标准坦克设计!$B$24:$U$30,MATCH("对"&amp;LEFT($C$5,2)&amp;"输出",标准坦克设计!$B$23:$U$23,0)))*(VLOOKUP($B80,INDIRECT($B$5&amp;"生成成长"),3))*(VLOOKUP($B$5,标准坦克设计!$B$14:$K$20,9)/30))</f>
        <v>24.712764868657558</v>
      </c>
      <c r="AC80" s="172">
        <f ca="1">(VLOOKUP(AC$72,INDIRECT($C$5&amp;"生成成长"),2))/((VLOOKUP($B80,INDIRECT($B$5&amp;"生成成长"),4))/(VLOOKUP(AC$72,INDIRECT($C$5&amp;"生成成长"),5))*(VLOOKUP($B$5,标准坦克设计!$B$24:$U$30,MATCH("对"&amp;LEFT($C$5,2)&amp;"输出",标准坦克设计!$B$23:$U$23,0)))*(VLOOKUP($B80,INDIRECT($B$5&amp;"生成成长"),3))*(VLOOKUP($B$5,标准坦克设计!$B$14:$K$20,9)/30))</f>
        <v>26.978851212663638</v>
      </c>
      <c r="AD80" s="172">
        <f ca="1">(VLOOKUP(AD$72,INDIRECT($C$5&amp;"生成成长"),2))/((VLOOKUP($B80,INDIRECT($B$5&amp;"生成成长"),4))/(VLOOKUP(AD$72,INDIRECT($C$5&amp;"生成成长"),5))*(VLOOKUP($B$5,标准坦克设计!$B$24:$U$30,MATCH("对"&amp;LEFT($C$5,2)&amp;"输出",标准坦克设计!$B$23:$U$23,0)))*(VLOOKUP($B80,INDIRECT($B$5&amp;"生成成长"),3))*(VLOOKUP($B$5,标准坦克设计!$B$14:$K$20,9)/30))</f>
        <v>29.344327308599819</v>
      </c>
      <c r="AE80" s="172">
        <f ca="1">(VLOOKUP(AE$72,INDIRECT($C$5&amp;"生成成长"),2))/((VLOOKUP($B80,INDIRECT($B$5&amp;"生成成长"),4))/(VLOOKUP(AE$72,INDIRECT($C$5&amp;"生成成长"),5))*(VLOOKUP($B$5,标准坦克设计!$B$24:$U$30,MATCH("对"&amp;LEFT($C$5,2)&amp;"输出",标准坦克设计!$B$23:$U$23,0)))*(VLOOKUP($B80,INDIRECT($B$5&amp;"生成成长"),3))*(VLOOKUP($B$5,标准坦克设计!$B$14:$K$20,9)/30))</f>
        <v>31.80919315646608</v>
      </c>
      <c r="AF80" s="172">
        <f ca="1">(VLOOKUP(AF$72,INDIRECT($C$5&amp;"生成成长"),2))/((VLOOKUP($B80,INDIRECT($B$5&amp;"生成成长"),4))/(VLOOKUP(AF$72,INDIRECT($C$5&amp;"生成成长"),5))*(VLOOKUP($B$5,标准坦克设计!$B$24:$U$30,MATCH("对"&amp;LEFT($C$5,2)&amp;"输出",标准坦克设计!$B$23:$U$23,0)))*(VLOOKUP($B80,INDIRECT($B$5&amp;"生成成长"),3))*(VLOOKUP($B$5,标准坦克设计!$B$14:$K$20,9)/30))</f>
        <v>34.373448756262441</v>
      </c>
      <c r="AG80" s="172">
        <f ca="1">(VLOOKUP(AG$72,INDIRECT($C$5&amp;"生成成长"),2))/((VLOOKUP($B80,INDIRECT($B$5&amp;"生成成长"),4))/(VLOOKUP(AG$72,INDIRECT($C$5&amp;"生成成长"),5))*(VLOOKUP($B$5,标准坦克设计!$B$24:$U$30,MATCH("对"&amp;LEFT($C$5,2)&amp;"输出",标准坦克设计!$B$23:$U$23,0)))*(VLOOKUP($B80,INDIRECT($B$5&amp;"生成成长"),3))*(VLOOKUP($B$5,标准坦克设计!$B$14:$K$20,9)/30))</f>
        <v>37.037094107988885</v>
      </c>
      <c r="AH80" s="172">
        <f ca="1">(VLOOKUP(AH$72,INDIRECT($C$5&amp;"生成成长"),2))/((VLOOKUP($B80,INDIRECT($B$5&amp;"生成成长"),4))/(VLOOKUP(AH$72,INDIRECT($C$5&amp;"生成成长"),5))*(VLOOKUP($B$5,标准坦克设计!$B$24:$U$30,MATCH("对"&amp;LEFT($C$5,2)&amp;"输出",标准坦克设计!$B$23:$U$23,0)))*(VLOOKUP($B80,INDIRECT($B$5&amp;"生成成长"),3))*(VLOOKUP($B$5,标准坦克设计!$B$14:$K$20,9)/30))</f>
        <v>39.80012921164542</v>
      </c>
      <c r="AI80" s="172">
        <f ca="1">(VLOOKUP(AI$72,INDIRECT($C$5&amp;"生成成长"),2))/((VLOOKUP($B80,INDIRECT($B$5&amp;"生成成长"),4))/(VLOOKUP(AI$72,INDIRECT($C$5&amp;"生成成长"),5))*(VLOOKUP($B$5,标准坦克设计!$B$24:$U$30,MATCH("对"&amp;LEFT($C$5,2)&amp;"输出",标准坦克设计!$B$23:$U$23,0)))*(VLOOKUP($B80,INDIRECT($B$5&amp;"生成成长"),3))*(VLOOKUP($B$5,标准坦克设计!$B$14:$K$20,9)/30))</f>
        <v>28.149165541640464</v>
      </c>
      <c r="AJ80" s="172">
        <f ca="1">(VLOOKUP(AJ$72,INDIRECT($C$5&amp;"生成成长"),2))/((VLOOKUP($B80,INDIRECT($B$5&amp;"生成成长"),4))/(VLOOKUP(AJ$72,INDIRECT($C$5&amp;"生成成长"),5))*(VLOOKUP($B$5,标准坦克设计!$B$24:$U$30,MATCH("对"&amp;LEFT($C$5,2)&amp;"输出",标准坦克设计!$B$23:$U$23,0)))*(VLOOKUP($B80,INDIRECT($B$5&amp;"生成成长"),3))*(VLOOKUP($B$5,标准坦克设计!$B$14:$K$20,9)/30))</f>
        <v>30.811320047087957</v>
      </c>
      <c r="AK80" s="172">
        <f ca="1">(VLOOKUP(AK$72,INDIRECT($C$5&amp;"生成成长"),2))/((VLOOKUP($B80,INDIRECT($B$5&amp;"生成成长"),4))/(VLOOKUP(AK$72,INDIRECT($C$5&amp;"生成成长"),5))*(VLOOKUP($B$5,标准坦克设计!$B$24:$U$30,MATCH("对"&amp;LEFT($C$5,2)&amp;"输出",标准坦克设计!$B$23:$U$23,0)))*(VLOOKUP($B80,INDIRECT($B$5&amp;"生成成长"),3))*(VLOOKUP($B$5,标准坦克设计!$B$14:$K$20,9)/30))</f>
        <v>33.593736152370873</v>
      </c>
      <c r="AL80" s="172">
        <f ca="1">(VLOOKUP(AL$72,INDIRECT($C$5&amp;"生成成长"),2))/((VLOOKUP($B80,INDIRECT($B$5&amp;"生成成长"),4))/(VLOOKUP(AL$72,INDIRECT($C$5&amp;"生成成长"),5))*(VLOOKUP($B$5,标准坦克设计!$B$24:$U$30,MATCH("对"&amp;LEFT($C$5,2)&amp;"输出",标准坦克设计!$B$23:$U$23,0)))*(VLOOKUP($B80,INDIRECT($B$5&amp;"生成成长"),3))*(VLOOKUP($B$5,标准坦克设计!$B$14:$K$20,9)/30))</f>
        <v>36.496413857489181</v>
      </c>
      <c r="AM80" s="172">
        <f ca="1">(VLOOKUP(AM$72,INDIRECT($C$5&amp;"生成成长"),2))/((VLOOKUP($B80,INDIRECT($B$5&amp;"生成成长"),4))/(VLOOKUP(AM$72,INDIRECT($C$5&amp;"生成成长"),5))*(VLOOKUP($B$5,标准坦克设计!$B$24:$U$30,MATCH("对"&amp;LEFT($C$5,2)&amp;"输出",标准坦克设计!$B$23:$U$23,0)))*(VLOOKUP($B80,INDIRECT($B$5&amp;"生成成长"),3))*(VLOOKUP($B$5,标准坦克设计!$B$14:$K$20,9)/30))</f>
        <v>39.519353162442918</v>
      </c>
      <c r="AN80" s="172">
        <f ca="1">(VLOOKUP(AN$72,INDIRECT($C$5&amp;"生成成长"),2))/((VLOOKUP($B80,INDIRECT($B$5&amp;"生成成长"),4))/(VLOOKUP(AN$72,INDIRECT($C$5&amp;"生成成长"),5))*(VLOOKUP($B$5,标准坦克设计!$B$24:$U$30,MATCH("对"&amp;LEFT($C$5,2)&amp;"输出",标准坦克设计!$B$23:$U$23,0)))*(VLOOKUP($B80,INDIRECT($B$5&amp;"生成成长"),3))*(VLOOKUP($B$5,标准坦克设计!$B$14:$K$20,9)/30))</f>
        <v>42.662554067232051</v>
      </c>
      <c r="AO80" s="172">
        <f ca="1">(VLOOKUP(AO$72,INDIRECT($C$5&amp;"生成成长"),2))/((VLOOKUP($B80,INDIRECT($B$5&amp;"生成成长"),4))/(VLOOKUP(AO$72,INDIRECT($C$5&amp;"生成成长"),5))*(VLOOKUP($B$5,标准坦克设计!$B$24:$U$30,MATCH("对"&amp;LEFT($C$5,2)&amp;"输出",标准坦克设计!$B$23:$U$23,0)))*(VLOOKUP($B80,INDIRECT($B$5&amp;"生成成长"),3))*(VLOOKUP($B$5,标准坦克设计!$B$14:$K$20,9)/30))</f>
        <v>45.926016571856607</v>
      </c>
      <c r="AP80" s="172">
        <f ca="1">(VLOOKUP(AP$72,INDIRECT($C$5&amp;"生成成长"),2))/((VLOOKUP($B80,INDIRECT($B$5&amp;"生成成长"),4))/(VLOOKUP(AP$72,INDIRECT($C$5&amp;"生成成长"),5))*(VLOOKUP($B$5,标准坦克设计!$B$24:$U$30,MATCH("对"&amp;LEFT($C$5,2)&amp;"输出",标准坦克设计!$B$23:$U$23,0)))*(VLOOKUP($B80,INDIRECT($B$5&amp;"生成成长"),3))*(VLOOKUP($B$5,标准坦克设计!$B$14:$K$20,9)/30))</f>
        <v>49.309740676316558</v>
      </c>
      <c r="AQ80" s="172">
        <f ca="1">(VLOOKUP(AQ$72,INDIRECT($C$5&amp;"生成成长"),2))/((VLOOKUP($B80,INDIRECT($B$5&amp;"生成成长"),4))/(VLOOKUP(AQ$72,INDIRECT($C$5&amp;"生成成长"),5))*(VLOOKUP($B$5,标准坦克设计!$B$24:$U$30,MATCH("对"&amp;LEFT($C$5,2)&amp;"输出",标准坦克设计!$B$23:$U$23,0)))*(VLOOKUP($B80,INDIRECT($B$5&amp;"生成成长"),3))*(VLOOKUP($B$5,标准坦克设计!$B$14:$K$20,9)/30))</f>
        <v>52.813726380611939</v>
      </c>
      <c r="AR80" s="172">
        <f ca="1">(VLOOKUP(AR$72,INDIRECT($C$5&amp;"生成成长"),2))/((VLOOKUP($B80,INDIRECT($B$5&amp;"生成成长"),4))/(VLOOKUP(AR$72,INDIRECT($C$5&amp;"生成成长"),5))*(VLOOKUP($B$5,标准坦克设计!$B$24:$U$30,MATCH("对"&amp;LEFT($C$5,2)&amp;"输出",标准坦克设计!$B$23:$U$23,0)))*(VLOOKUP($B80,INDIRECT($B$5&amp;"生成成长"),3))*(VLOOKUP($B$5,标准坦克设计!$B$14:$K$20,9)/30))</f>
        <v>56.437973684742722</v>
      </c>
      <c r="AS80" s="172">
        <f ca="1">(VLOOKUP(AS$72,INDIRECT($C$5&amp;"生成成长"),2))/((VLOOKUP($B80,INDIRECT($B$5&amp;"生成成长"),4))/(VLOOKUP(AS$72,INDIRECT($C$5&amp;"生成成长"),5))*(VLOOKUP($B$5,标准坦克设计!$B$24:$U$30,MATCH("对"&amp;LEFT($C$5,2)&amp;"输出",标准坦克设计!$B$23:$U$23,0)))*(VLOOKUP($B80,INDIRECT($B$5&amp;"生成成长"),3))*(VLOOKUP($B$5,标准坦克设计!$B$14:$K$20,9)/30))</f>
        <v>60.182482588708901</v>
      </c>
      <c r="AT80" s="172">
        <f ca="1">(VLOOKUP(AT$72,INDIRECT($C$5&amp;"生成成长"),2))/((VLOOKUP($B80,INDIRECT($B$5&amp;"生成成长"),4))/(VLOOKUP(AT$72,INDIRECT($C$5&amp;"生成成长"),5))*(VLOOKUP($B$5,标准坦克设计!$B$24:$U$30,MATCH("对"&amp;LEFT($C$5,2)&amp;"输出",标准坦克设计!$B$23:$U$23,0)))*(VLOOKUP($B80,INDIRECT($B$5&amp;"生成成长"),3))*(VLOOKUP($B$5,标准坦克设计!$B$14:$K$20,9)/30))</f>
        <v>64.047253092510516</v>
      </c>
      <c r="AU80" s="172">
        <f ca="1">(VLOOKUP(AU$72,INDIRECT($C$5&amp;"生成成长"),2))/((VLOOKUP($B80,INDIRECT($B$5&amp;"生成成长"),4))/(VLOOKUP(AU$72,INDIRECT($C$5&amp;"生成成长"),5))*(VLOOKUP($B$5,标准坦克设计!$B$24:$U$30,MATCH("对"&amp;LEFT($C$5,2)&amp;"输出",标准坦克设计!$B$23:$U$23,0)))*(VLOOKUP($B80,INDIRECT($B$5&amp;"生成成长"),3))*(VLOOKUP($B$5,标准坦克设计!$B$14:$K$20,9)/30))</f>
        <v>68.032285196147512</v>
      </c>
      <c r="AV80" s="172">
        <f ca="1">(VLOOKUP(AV$72,INDIRECT($C$5&amp;"生成成长"),2))/((VLOOKUP($B80,INDIRECT($B$5&amp;"生成成长"),4))/(VLOOKUP(AV$72,INDIRECT($C$5&amp;"生成成长"),5))*(VLOOKUP($B$5,标准坦克设计!$B$24:$U$30,MATCH("对"&amp;LEFT($C$5,2)&amp;"输出",标准坦克设计!$B$23:$U$23,0)))*(VLOOKUP($B80,INDIRECT($B$5&amp;"生成成长"),3))*(VLOOKUP($B$5,标准坦克设计!$B$14:$K$20,9)/30))</f>
        <v>6.9195145293729592</v>
      </c>
      <c r="AW80" s="172">
        <f ca="1">(VLOOKUP(AW$72,INDIRECT($C$5&amp;"生成成长"),2))/((VLOOKUP($B80,INDIRECT($B$5&amp;"生成成长"),4))/(VLOOKUP(AW$72,INDIRECT($C$5&amp;"生成成长"),5))*(VLOOKUP($B$5,标准坦克设计!$B$24:$U$30,MATCH("对"&amp;LEFT($C$5,2)&amp;"输出",标准坦克设计!$B$23:$U$23,0)))*(VLOOKUP($B80,INDIRECT($B$5&amp;"生成成长"),3))*(VLOOKUP($B$5,标准坦克设计!$B$14:$K$20,9)/30))</f>
        <v>7.8895585082106487</v>
      </c>
      <c r="AX80" s="172">
        <f ca="1">(VLOOKUP(AX$72,INDIRECT($C$5&amp;"生成成长"),2))/((VLOOKUP($B80,INDIRECT($B$5&amp;"生成成长"),4))/(VLOOKUP(AX$72,INDIRECT($C$5&amp;"生成成长"),5))*(VLOOKUP($B$5,标准坦克设计!$B$24:$U$30,MATCH("对"&amp;LEFT($C$5,2)&amp;"输出",标准坦克设计!$B$23:$U$23,0)))*(VLOOKUP($B80,INDIRECT($B$5&amp;"生成成长"),3))*(VLOOKUP($B$5,标准坦克设计!$B$14:$K$20,9)/30))</f>
        <v>8.9232119282835995</v>
      </c>
      <c r="AY80" s="172">
        <f ca="1">(VLOOKUP(AY$72,INDIRECT($C$5&amp;"生成成长"),2))/((VLOOKUP($B80,INDIRECT($B$5&amp;"生成成长"),4))/(VLOOKUP(AY$72,INDIRECT($C$5&amp;"生成成长"),5))*(VLOOKUP($B$5,标准坦克设计!$B$24:$U$30,MATCH("对"&amp;LEFT($C$5,2)&amp;"输出",标准坦克设计!$B$23:$U$23,0)))*(VLOOKUP($B80,INDIRECT($B$5&amp;"生成成长"),3))*(VLOOKUP($B$5,标准坦克设计!$B$14:$K$20,9)/30))</f>
        <v>10.020474789591809</v>
      </c>
      <c r="AZ80" s="172">
        <f ca="1">(VLOOKUP(AZ$72,INDIRECT($C$5&amp;"生成成长"),2))/((VLOOKUP($B80,INDIRECT($B$5&amp;"生成成长"),4))/(VLOOKUP(AZ$72,INDIRECT($C$5&amp;"生成成长"),5))*(VLOOKUP($B$5,标准坦克设计!$B$24:$U$30,MATCH("对"&amp;LEFT($C$5,2)&amp;"输出",标准坦克设计!$B$23:$U$23,0)))*(VLOOKUP($B80,INDIRECT($B$5&amp;"生成成长"),3))*(VLOOKUP($B$5,标准坦克设计!$B$14:$K$20,9)/30))</f>
        <v>11.181347092135274</v>
      </c>
      <c r="BA80" s="172">
        <f ca="1">(VLOOKUP(BA$72,INDIRECT($C$5&amp;"生成成长"),2))/((VLOOKUP($B80,INDIRECT($B$5&amp;"生成成长"),4))/(VLOOKUP(BA$72,INDIRECT($C$5&amp;"生成成长"),5))*(VLOOKUP($B$5,标准坦克设计!$B$24:$U$30,MATCH("对"&amp;LEFT($C$5,2)&amp;"输出",标准坦克设计!$B$23:$U$23,0)))*(VLOOKUP($B80,INDIRECT($B$5&amp;"生成成长"),3))*(VLOOKUP($B$5,标准坦克设计!$B$14:$K$20,9)/30))</f>
        <v>12.405828835914001</v>
      </c>
      <c r="BB80" s="172">
        <f ca="1">(VLOOKUP(BB$72,INDIRECT($C$5&amp;"生成成长"),2))/((VLOOKUP($B80,INDIRECT($B$5&amp;"生成成长"),4))/(VLOOKUP(BB$72,INDIRECT($C$5&amp;"生成成长"),5))*(VLOOKUP($B$5,标准坦克设计!$B$24:$U$30,MATCH("对"&amp;LEFT($C$5,2)&amp;"输出",标准坦克设计!$B$23:$U$23,0)))*(VLOOKUP($B80,INDIRECT($B$5&amp;"生成成长"),3))*(VLOOKUP($B$5,标准坦克设计!$B$14:$K$20,9)/30))</f>
        <v>13.693920020927985</v>
      </c>
      <c r="BC80" s="172">
        <f ca="1">(VLOOKUP(BC$72,INDIRECT($C$5&amp;"生成成长"),2))/((VLOOKUP($B80,INDIRECT($B$5&amp;"生成成长"),4))/(VLOOKUP(BC$72,INDIRECT($C$5&amp;"生成成长"),5))*(VLOOKUP($B$5,标准坦克设计!$B$24:$U$30,MATCH("对"&amp;LEFT($C$5,2)&amp;"输出",标准坦克设计!$B$23:$U$23,0)))*(VLOOKUP($B80,INDIRECT($B$5&amp;"生成成长"),3))*(VLOOKUP($B$5,标准坦克设计!$B$14:$K$20,9)/30))</f>
        <v>15.045620647177225</v>
      </c>
      <c r="BD80" s="172">
        <f ca="1">(VLOOKUP(BD$72,INDIRECT($C$5&amp;"生成成长"),2))/((VLOOKUP($B80,INDIRECT($B$5&amp;"生成成长"),4))/(VLOOKUP(BD$72,INDIRECT($C$5&amp;"生成成长"),5))*(VLOOKUP($B$5,标准坦克设计!$B$24:$U$30,MATCH("对"&amp;LEFT($C$5,2)&amp;"输出",标准坦克设计!$B$23:$U$23,0)))*(VLOOKUP($B80,INDIRECT($B$5&amp;"生成成长"),3))*(VLOOKUP($B$5,标准坦克设计!$B$14:$K$20,9)/30))</f>
        <v>16.642317011934143</v>
      </c>
      <c r="BE80" s="172">
        <f ca="1">(VLOOKUP(BE$72,INDIRECT($C$5&amp;"生成成长"),2))/((VLOOKUP($B80,INDIRECT($B$5&amp;"生成成长"),4))/(VLOOKUP(BE$72,INDIRECT($C$5&amp;"生成成长"),5))*(VLOOKUP($B$5,标准坦克设计!$B$24:$U$30,MATCH("对"&amp;LEFT($C$5,2)&amp;"输出",标准坦克设计!$B$23:$U$23,0)))*(VLOOKUP($B80,INDIRECT($B$5&amp;"生成成长"),3))*(VLOOKUP($B$5,标准坦克设计!$B$14:$K$20,9)/30))</f>
        <v>18.319519075754435</v>
      </c>
      <c r="BF80" s="172">
        <f ca="1">(VLOOKUP(BF$72,INDIRECT($C$5&amp;"生成成长"),2))/((VLOOKUP($B80,INDIRECT($B$5&amp;"生成成长"),4))/(VLOOKUP(BF$72,INDIRECT($C$5&amp;"生成成长"),5))*(VLOOKUP($B$5,标准坦克设计!$B$24:$U$30,MATCH("对"&amp;LEFT($C$5,2)&amp;"输出",标准坦克设计!$B$23:$U$23,0)))*(VLOOKUP($B80,INDIRECT($B$5&amp;"生成成长"),3))*(VLOOKUP($B$5,标准坦克设计!$B$14:$K$20,9)/30))</f>
        <v>20.077226838638101</v>
      </c>
      <c r="BG80" s="172">
        <f ca="1">(VLOOKUP(BG$72,INDIRECT($C$5&amp;"生成成长"),2))/((VLOOKUP($B80,INDIRECT($B$5&amp;"生成成长"),4))/(VLOOKUP(BG$72,INDIRECT($C$5&amp;"生成成长"),5))*(VLOOKUP($B$5,标准坦克设计!$B$24:$U$30,MATCH("对"&amp;LEFT($C$5,2)&amp;"输出",标准坦克设计!$B$23:$U$23,0)))*(VLOOKUP($B80,INDIRECT($B$5&amp;"生成成长"),3))*(VLOOKUP($B$5,标准坦克设计!$B$14:$K$20,9)/30))</f>
        <v>21.915440300585139</v>
      </c>
      <c r="BH80" s="172">
        <f ca="1">(VLOOKUP(BH$72,INDIRECT($C$5&amp;"生成成长"),2))/((VLOOKUP($B80,INDIRECT($B$5&amp;"生成成长"),4))/(VLOOKUP(BH$72,INDIRECT($C$5&amp;"生成成长"),5))*(VLOOKUP($B$5,标准坦克设计!$B$24:$U$30,MATCH("对"&amp;LEFT($C$5,2)&amp;"输出",标准坦克设计!$B$23:$U$23,0)))*(VLOOKUP($B80,INDIRECT($B$5&amp;"生成成长"),3))*(VLOOKUP($B$5,标准坦克设计!$B$14:$K$20,9)/30))</f>
        <v>10.592959760709135</v>
      </c>
      <c r="BI80" s="172">
        <f ca="1">(VLOOKUP(BI$72,INDIRECT($C$5&amp;"生成成长"),2))/((VLOOKUP($B80,INDIRECT($B$5&amp;"生成成长"),4))/(VLOOKUP(BI$72,INDIRECT($C$5&amp;"生成成长"),5))*(VLOOKUP($B$5,标准坦克设计!$B$24:$U$30,MATCH("对"&amp;LEFT($C$5,2)&amp;"输出",标准坦克设计!$B$23:$U$23,0)))*(VLOOKUP($B80,INDIRECT($B$5&amp;"生成成长"),3))*(VLOOKUP($B$5,标准坦克设计!$B$14:$K$20,9)/30))</f>
        <v>11.939193950602222</v>
      </c>
      <c r="BJ80" s="172">
        <f ca="1">(VLOOKUP(BJ$72,INDIRECT($C$5&amp;"生成成长"),2))/((VLOOKUP($B80,INDIRECT($B$5&amp;"生成成长"),4))/(VLOOKUP(BJ$72,INDIRECT($C$5&amp;"生成成长"),5))*(VLOOKUP($B$5,标准坦克设计!$B$24:$U$30,MATCH("对"&amp;LEFT($C$5,2)&amp;"输出",标准坦克设计!$B$23:$U$23,0)))*(VLOOKUP($B80,INDIRECT($B$5&amp;"生成成长"),3))*(VLOOKUP($B$5,标准坦克设计!$B$14:$K$20,9)/30))</f>
        <v>13.36593383955868</v>
      </c>
      <c r="BK80" s="172">
        <f ca="1">(VLOOKUP(BK$72,INDIRECT($C$5&amp;"生成成长"),2))/((VLOOKUP($B80,INDIRECT($B$5&amp;"生成成长"),4))/(VLOOKUP(BK$72,INDIRECT($C$5&amp;"生成成长"),5))*(VLOOKUP($B$5,标准坦克设计!$B$24:$U$30,MATCH("对"&amp;LEFT($C$5,2)&amp;"输出",标准坦克设计!$B$23:$U$23,0)))*(VLOOKUP($B80,INDIRECT($B$5&amp;"生成成长"),3))*(VLOOKUP($B$5,标准坦克设计!$B$14:$K$20,9)/30))</f>
        <v>14.873179427578519</v>
      </c>
      <c r="BL80" s="172">
        <f ca="1">(VLOOKUP(BL$72,INDIRECT($C$5&amp;"生成成长"),2))/((VLOOKUP($B80,INDIRECT($B$5&amp;"生成成长"),4))/(VLOOKUP(BL$72,INDIRECT($C$5&amp;"生成成长"),5))*(VLOOKUP($B$5,标准坦克设计!$B$24:$U$30,MATCH("对"&amp;LEFT($C$5,2)&amp;"输出",标准坦克设计!$B$23:$U$23,0)))*(VLOOKUP($B80,INDIRECT($B$5&amp;"生成成长"),3))*(VLOOKUP($B$5,标准坦克设计!$B$14:$K$20,9)/30))</f>
        <v>16.460930714661728</v>
      </c>
      <c r="BM80" s="172">
        <f ca="1">(VLOOKUP(BM$72,INDIRECT($C$5&amp;"生成成长"),2))/((VLOOKUP($B80,INDIRECT($B$5&amp;"生成成长"),4))/(VLOOKUP(BM$72,INDIRECT($C$5&amp;"生成成长"),5))*(VLOOKUP($B$5,标准坦克设计!$B$24:$U$30,MATCH("对"&amp;LEFT($C$5,2)&amp;"输出",标准坦克设计!$B$23:$U$23,0)))*(VLOOKUP($B80,INDIRECT($B$5&amp;"生成成长"),3))*(VLOOKUP($B$5,标准坦克设计!$B$14:$K$20,9)/30))</f>
        <v>18.129187700808313</v>
      </c>
      <c r="BN80" s="172">
        <f ca="1">(VLOOKUP(BN$72,INDIRECT($C$5&amp;"生成成长"),2))/((VLOOKUP($B80,INDIRECT($B$5&amp;"生成成长"),4))/(VLOOKUP(BN$72,INDIRECT($C$5&amp;"生成成长"),5))*(VLOOKUP($B$5,标准坦克设计!$B$24:$U$30,MATCH("对"&amp;LEFT($C$5,2)&amp;"输出",标准坦克设计!$B$23:$U$23,0)))*(VLOOKUP($B80,INDIRECT($B$5&amp;"生成成长"),3))*(VLOOKUP($B$5,标准坦克设计!$B$14:$K$20,9)/30))</f>
        <v>19.877950386018266</v>
      </c>
      <c r="BO80" s="172">
        <f ca="1">(VLOOKUP(BO$72,INDIRECT($C$5&amp;"生成成长"),2))/((VLOOKUP($B80,INDIRECT($B$5&amp;"生成成长"),4))/(VLOOKUP(BO$72,INDIRECT($C$5&amp;"生成成长"),5))*(VLOOKUP($B$5,标准坦克设计!$B$24:$U$30,MATCH("对"&amp;LEFT($C$5,2)&amp;"输出",标准坦克设计!$B$23:$U$23,0)))*(VLOOKUP($B80,INDIRECT($B$5&amp;"生成成长"),3))*(VLOOKUP($B$5,标准坦克设计!$B$14:$K$20,9)/30))</f>
        <v>21.707218770291604</v>
      </c>
      <c r="BP80" s="172">
        <f ca="1">(VLOOKUP(BP$72,INDIRECT($C$5&amp;"生成成长"),2))/((VLOOKUP($B80,INDIRECT($B$5&amp;"生成成长"),4))/(VLOOKUP(BP$72,INDIRECT($C$5&amp;"生成成长"),5))*(VLOOKUP($B$5,标准坦克设计!$B$24:$U$30,MATCH("对"&amp;LEFT($C$5,2)&amp;"输出",标准坦克设计!$B$23:$U$23,0)))*(VLOOKUP($B80,INDIRECT($B$5&amp;"生成成长"),3))*(VLOOKUP($B$5,标准坦克设计!$B$14:$K$20,9)/30))</f>
        <v>23.6169928536283</v>
      </c>
      <c r="BQ80" s="172">
        <f ca="1">(VLOOKUP(BQ$72,INDIRECT($C$5&amp;"生成成长"),2))/((VLOOKUP($B80,INDIRECT($B$5&amp;"生成成长"),4))/(VLOOKUP(BQ$72,INDIRECT($C$5&amp;"生成成长"),5))*(VLOOKUP($B$5,标准坦克设计!$B$24:$U$30,MATCH("对"&amp;LEFT($C$5,2)&amp;"输出",标准坦克设计!$B$23:$U$23,0)))*(VLOOKUP($B80,INDIRECT($B$5&amp;"生成成长"),3))*(VLOOKUP($B$5,标准坦克设计!$B$14:$K$20,9)/30))</f>
        <v>25.60727263602838</v>
      </c>
      <c r="BR80" s="172">
        <f ca="1">(VLOOKUP(BR$72,INDIRECT($C$5&amp;"生成成长"),2))/((VLOOKUP($B80,INDIRECT($B$5&amp;"生成成长"),4))/(VLOOKUP(BR$72,INDIRECT($C$5&amp;"生成成长"),5))*(VLOOKUP($B$5,标准坦克设计!$B$24:$U$30,MATCH("对"&amp;LEFT($C$5,2)&amp;"输出",标准坦克设计!$B$23:$U$23,0)))*(VLOOKUP($B80,INDIRECT($B$5&amp;"生成成长"),3))*(VLOOKUP($B$5,标准坦克设计!$B$14:$K$20,9)/30))</f>
        <v>27.9131148808065</v>
      </c>
      <c r="BS80" s="172">
        <f ca="1">(VLOOKUP(BS$72,INDIRECT($C$5&amp;"生成成长"),2))/((VLOOKUP($B80,INDIRECT($B$5&amp;"生成成长"),4))/(VLOOKUP(BS$72,INDIRECT($C$5&amp;"生成成长"),5))*(VLOOKUP($B$5,标准坦克设计!$B$24:$U$30,MATCH("对"&amp;LEFT($C$5,2)&amp;"输出",标准坦克设计!$B$23:$U$23,0)))*(VLOOKUP($B80,INDIRECT($B$5&amp;"生成成长"),3))*(VLOOKUP($B$5,标准坦克设计!$B$14:$K$20,9)/30))</f>
        <v>30.318346877514706</v>
      </c>
      <c r="BT80" s="172">
        <f ca="1">(VLOOKUP(BT$72,INDIRECT($C$5&amp;"生成成长"),2))/((VLOOKUP($B80,INDIRECT($B$5&amp;"生成成长"),4))/(VLOOKUP(BT$72,INDIRECT($C$5&amp;"生成成长"),5))*(VLOOKUP($B$5,标准坦克设计!$B$24:$U$30,MATCH("对"&amp;LEFT($C$5,2)&amp;"输出",标准坦克设计!$B$23:$U$23,0)))*(VLOOKUP($B80,INDIRECT($B$5&amp;"生成成长"),3))*(VLOOKUP($B$5,标准坦克设计!$B$14:$K$20,9)/30))</f>
        <v>32.82296862615302</v>
      </c>
      <c r="BU80" s="172">
        <f ca="1">(VLOOKUP(BU$72,INDIRECT($C$5&amp;"生成成长"),2))/((VLOOKUP($B80,INDIRECT($B$5&amp;"生成成长"),4))/(VLOOKUP(BU$72,INDIRECT($C$5&amp;"生成成长"),5))*(VLOOKUP($B$5,标准坦克设计!$B$24:$U$30,MATCH("对"&amp;LEFT($C$5,2)&amp;"输出",标准坦克设计!$B$23:$U$23,0)))*(VLOOKUP($B80,INDIRECT($B$5&amp;"生成成长"),3))*(VLOOKUP($B$5,标准坦克设计!$B$14:$K$20,9)/30))</f>
        <v>35.426980126721411</v>
      </c>
      <c r="BV80" s="172">
        <f ca="1">(VLOOKUP(BV$72,INDIRECT($C$5&amp;"生成成长"),2))/((VLOOKUP($B80,INDIRECT($B$5&amp;"生成成长"),4))/(VLOOKUP(BV$72,INDIRECT($C$5&amp;"生成成长"),5))*(VLOOKUP($B$5,标准坦克设计!$B$24:$U$30,MATCH("对"&amp;LEFT($C$5,2)&amp;"输出",标准坦克设计!$B$23:$U$23,0)))*(VLOOKUP($B80,INDIRECT($B$5&amp;"生成成长"),3))*(VLOOKUP($B$5,标准坦克设计!$B$14:$K$20,9)/30))</f>
        <v>38.130381379219891</v>
      </c>
      <c r="BW80" s="172">
        <f ca="1">(VLOOKUP(BW$72,INDIRECT($C$5&amp;"生成成长"),2))/((VLOOKUP($B80,INDIRECT($B$5&amp;"生成成长"),4))/(VLOOKUP(BW$72,INDIRECT($C$5&amp;"生成成长"),5))*(VLOOKUP($B$5,标准坦克设计!$B$24:$U$30,MATCH("对"&amp;LEFT($C$5,2)&amp;"输出",标准坦克设计!$B$23:$U$23,0)))*(VLOOKUP($B80,INDIRECT($B$5&amp;"生成成长"),3))*(VLOOKUP($B$5,标准坦克设计!$B$14:$K$20,9)/30))</f>
        <v>17.377801176216817</v>
      </c>
      <c r="BX80" s="172">
        <f ca="1">(VLOOKUP(BX$72,INDIRECT($C$5&amp;"生成成长"),2))/((VLOOKUP($B80,INDIRECT($B$5&amp;"生成成长"),4))/(VLOOKUP(BX$72,INDIRECT($C$5&amp;"生成成长"),5))*(VLOOKUP($B$5,标准坦克设计!$B$24:$U$30,MATCH("对"&amp;LEFT($C$5,2)&amp;"输出",标准坦克设计!$B$23:$U$23,0)))*(VLOOKUP($B80,INDIRECT($B$5&amp;"生成成长"),3))*(VLOOKUP($B$5,标准坦克设计!$B$14:$K$20,9)/30))</f>
        <v>19.286084413274573</v>
      </c>
      <c r="BY80" s="172">
        <f ca="1">(VLOOKUP(BY$72,INDIRECT($C$5&amp;"生成成长"),2))/((VLOOKUP($B80,INDIRECT($B$5&amp;"生成成长"),4))/(VLOOKUP(BY$72,INDIRECT($C$5&amp;"生成成长"),5))*(VLOOKUP($B$5,标准坦克设计!$B$24:$U$30,MATCH("对"&amp;LEFT($C$5,2)&amp;"输出",标准坦克设计!$B$23:$U$23,0)))*(VLOOKUP($B80,INDIRECT($B$5&amp;"生成成长"),3))*(VLOOKUP($B$5,标准坦克设计!$B$14:$K$20,9)/30))</f>
        <v>21.293757402262418</v>
      </c>
      <c r="BZ80" s="172">
        <f ca="1">(VLOOKUP(BZ$72,INDIRECT($C$5&amp;"生成成长"),2))/((VLOOKUP($B80,INDIRECT($B$5&amp;"生成成长"),4))/(VLOOKUP(BZ$72,INDIRECT($C$5&amp;"生成成长"),5))*(VLOOKUP($B$5,标准坦克设计!$B$24:$U$30,MATCH("对"&amp;LEFT($C$5,2)&amp;"输出",标准坦克设计!$B$23:$U$23,0)))*(VLOOKUP($B80,INDIRECT($B$5&amp;"生成成长"),3))*(VLOOKUP($B$5,标准坦克设计!$B$14:$K$20,9)/30))</f>
        <v>23.400820143180347</v>
      </c>
      <c r="CA80" s="172">
        <f ca="1">(VLOOKUP(CA$72,INDIRECT($C$5&amp;"生成成长"),2))/((VLOOKUP($B80,INDIRECT($B$5&amp;"生成成长"),4))/(VLOOKUP(CA$72,INDIRECT($C$5&amp;"生成成长"),5))*(VLOOKUP($B$5,标准坦克设计!$B$24:$U$30,MATCH("对"&amp;LEFT($C$5,2)&amp;"输出",标准坦克设计!$B$23:$U$23,0)))*(VLOOKUP($B80,INDIRECT($B$5&amp;"生成成长"),3))*(VLOOKUP($B$5,标准坦克设计!$B$14:$K$20,9)/30))</f>
        <v>25.60727263602838</v>
      </c>
      <c r="CB80" s="172">
        <f ca="1">(VLOOKUP(CB$72,INDIRECT($C$5&amp;"生成成长"),2))/((VLOOKUP($B80,INDIRECT($B$5&amp;"生成成长"),4))/(VLOOKUP(CB$72,INDIRECT($C$5&amp;"生成成长"),5))*(VLOOKUP($B$5,标准坦克设计!$B$24:$U$30,MATCH("对"&amp;LEFT($C$5,2)&amp;"输出",标准坦克设计!$B$23:$U$23,0)))*(VLOOKUP($B80,INDIRECT($B$5&amp;"生成成长"),3))*(VLOOKUP($B$5,标准坦克设计!$B$14:$K$20,9)/30))</f>
        <v>27.9131148808065</v>
      </c>
      <c r="CC80" s="172">
        <f ca="1">(VLOOKUP(CC$72,INDIRECT($C$5&amp;"生成成长"),2))/((VLOOKUP($B80,INDIRECT($B$5&amp;"生成成长"),4))/(VLOOKUP(CC$72,INDIRECT($C$5&amp;"生成成长"),5))*(VLOOKUP($B$5,标准坦克设计!$B$24:$U$30,MATCH("对"&amp;LEFT($C$5,2)&amp;"输出",标准坦克设计!$B$23:$U$23,0)))*(VLOOKUP($B80,INDIRECT($B$5&amp;"生成成长"),3))*(VLOOKUP($B$5,标准坦克设计!$B$14:$K$20,9)/30))</f>
        <v>30.318346877514706</v>
      </c>
      <c r="CD80" s="172">
        <f ca="1">(VLOOKUP(CD$72,INDIRECT($C$5&amp;"生成成长"),2))/((VLOOKUP($B80,INDIRECT($B$5&amp;"生成成长"),4))/(VLOOKUP(CD$72,INDIRECT($C$5&amp;"生成成长"),5))*(VLOOKUP($B$5,标准坦克设计!$B$24:$U$30,MATCH("对"&amp;LEFT($C$5,2)&amp;"输出",标准坦克设计!$B$23:$U$23,0)))*(VLOOKUP($B80,INDIRECT($B$5&amp;"生成成长"),3))*(VLOOKUP($B$5,标准坦克设计!$B$14:$K$20,9)/30))</f>
        <v>32.82296862615302</v>
      </c>
      <c r="CE80" s="172">
        <f ca="1">(VLOOKUP(CE$72,INDIRECT($C$5&amp;"生成成长"),2))/((VLOOKUP($B80,INDIRECT($B$5&amp;"生成成长"),4))/(VLOOKUP(CE$72,INDIRECT($C$5&amp;"生成成长"),5))*(VLOOKUP($B$5,标准坦克设计!$B$24:$U$30,MATCH("对"&amp;LEFT($C$5,2)&amp;"输出",标准坦克设计!$B$23:$U$23,0)))*(VLOOKUP($B80,INDIRECT($B$5&amp;"生成成长"),3))*(VLOOKUP($B$5,标准坦克设计!$B$14:$K$20,9)/30))</f>
        <v>35.426980126721411</v>
      </c>
      <c r="CF80" s="172">
        <f ca="1">(VLOOKUP(CF$72,INDIRECT($C$5&amp;"生成成长"),2))/((VLOOKUP($B80,INDIRECT($B$5&amp;"生成成长"),4))/(VLOOKUP(CF$72,INDIRECT($C$5&amp;"生成成长"),5))*(VLOOKUP($B$5,标准坦克设计!$B$24:$U$30,MATCH("对"&amp;LEFT($C$5,2)&amp;"输出",标准坦克设计!$B$23:$U$23,0)))*(VLOOKUP($B80,INDIRECT($B$5&amp;"生成成长"),3))*(VLOOKUP($B$5,标准坦克设计!$B$14:$K$20,9)/30))</f>
        <v>38.130381379219891</v>
      </c>
      <c r="CG80" s="172">
        <f ca="1">(VLOOKUP(CG$72,INDIRECT($C$5&amp;"生成成长"),2))/((VLOOKUP($B80,INDIRECT($B$5&amp;"生成成长"),4))/(VLOOKUP(CG$72,INDIRECT($C$5&amp;"生成成长"),5))*(VLOOKUP($B$5,标准坦克设计!$B$24:$U$30,MATCH("对"&amp;LEFT($C$5,2)&amp;"输出",标准坦克设计!$B$23:$U$23,0)))*(VLOOKUP($B80,INDIRECT($B$5&amp;"生成成长"),3))*(VLOOKUP($B$5,标准坦克设计!$B$14:$K$20,9)/30))</f>
        <v>40.933172383648461</v>
      </c>
      <c r="CH80" s="172">
        <f ca="1">(VLOOKUP(CH$72,INDIRECT($C$5&amp;"生成成长"),2))/((VLOOKUP($B80,INDIRECT($B$5&amp;"生成成长"),4))/(VLOOKUP(CH$72,INDIRECT($C$5&amp;"生成成长"),5))*(VLOOKUP($B$5,标准坦克设计!$B$24:$U$30,MATCH("对"&amp;LEFT($C$5,2)&amp;"输出",标准坦克设计!$B$23:$U$23,0)))*(VLOOKUP($B80,INDIRECT($B$5&amp;"生成成长"),3))*(VLOOKUP($B$5,标准坦克设计!$B$14:$K$20,9)/30))</f>
        <v>43.835353140007129</v>
      </c>
      <c r="CI80" s="172">
        <f ca="1">(VLOOKUP(CI$72,INDIRECT($C$5&amp;"生成成长"),2))/((VLOOKUP($B80,INDIRECT($B$5&amp;"生成成长"),4))/(VLOOKUP(CI$72,INDIRECT($C$5&amp;"生成成长"),5))*(VLOOKUP($B$5,标准坦克设计!$B$24:$U$30,MATCH("对"&amp;LEFT($C$5,2)&amp;"输出",标准坦克设计!$B$23:$U$23,0)))*(VLOOKUP($B80,INDIRECT($B$5&amp;"生成成长"),3))*(VLOOKUP($B$5,标准坦克设计!$B$14:$K$20,9)/30))</f>
        <v>47.142547135480925</v>
      </c>
      <c r="CJ80" s="172">
        <f ca="1">(VLOOKUP(CJ$72,INDIRECT($C$5&amp;"生成成长"),2))/((VLOOKUP($B80,INDIRECT($B$5&amp;"生成成长"),4))/(VLOOKUP(CJ$72,INDIRECT($C$5&amp;"生成成长"),5))*(VLOOKUP($B$5,标准坦克设计!$B$24:$U$30,MATCH("对"&amp;LEFT($C$5,2)&amp;"输出",标准坦克设计!$B$23:$U$23,0)))*(VLOOKUP($B80,INDIRECT($B$5&amp;"生成成长"),3))*(VLOOKUP($B$5,标准坦克设计!$B$14:$K$20,9)/30))</f>
        <v>50.570002730790115</v>
      </c>
      <c r="CK80" s="172">
        <f ca="1">(VLOOKUP(CK$72,INDIRECT($C$5&amp;"生成成长"),2))/((VLOOKUP($B80,INDIRECT($B$5&amp;"生成成长"),4))/(VLOOKUP(CK$72,INDIRECT($C$5&amp;"生成成长"),5))*(VLOOKUP($B$5,标准坦克设计!$B$24:$U$30,MATCH("对"&amp;LEFT($C$5,2)&amp;"输出",标准坦克设计!$B$23:$U$23,0)))*(VLOOKUP($B80,INDIRECT($B$5&amp;"生成成长"),3))*(VLOOKUP($B$5,标准坦克设计!$B$14:$K$20,9)/30))</f>
        <v>54.117719925934729</v>
      </c>
      <c r="CL80" s="172">
        <f ca="1">(VLOOKUP(CL$72,INDIRECT($C$5&amp;"生成成长"),2))/((VLOOKUP($B80,INDIRECT($B$5&amp;"生成成长"),4))/(VLOOKUP(CL$72,INDIRECT($C$5&amp;"生成成长"),5))*(VLOOKUP($B$5,标准坦克设计!$B$24:$U$30,MATCH("对"&amp;LEFT($C$5,2)&amp;"输出",标准坦克设计!$B$23:$U$23,0)))*(VLOOKUP($B80,INDIRECT($B$5&amp;"生成成长"),3))*(VLOOKUP($B$5,标准坦克设计!$B$14:$K$20,9)/30))</f>
        <v>57.785698720914752</v>
      </c>
      <c r="CM80" s="172">
        <f ca="1">(VLOOKUP(CM$72,INDIRECT($C$5&amp;"生成成长"),2))/((VLOOKUP($B80,INDIRECT($B$5&amp;"生成成长"),4))/(VLOOKUP(CM$72,INDIRECT($C$5&amp;"生成成长"),5))*(VLOOKUP($B$5,标准坦克设计!$B$24:$U$30,MATCH("对"&amp;LEFT($C$5,2)&amp;"输出",标准坦克设计!$B$23:$U$23,0)))*(VLOOKUP($B80,INDIRECT($B$5&amp;"生成成长"),3))*(VLOOKUP($B$5,标准坦克设计!$B$14:$K$20,9)/30))</f>
        <v>61.573939115730184</v>
      </c>
      <c r="CN80" s="172">
        <f ca="1">(VLOOKUP(CN$72,INDIRECT($C$5&amp;"生成成长"),2))/((VLOOKUP($B80,INDIRECT($B$5&amp;"生成成长"),4))/(VLOOKUP(CN$72,INDIRECT($C$5&amp;"生成成长"),5))*(VLOOKUP($B$5,标准坦克设计!$B$24:$U$30,MATCH("对"&amp;LEFT($C$5,2)&amp;"输出",标准坦克设计!$B$23:$U$23,0)))*(VLOOKUP($B80,INDIRECT($B$5&amp;"生成成长"),3))*(VLOOKUP($B$5,标准坦克设计!$B$14:$K$20,9)/30))</f>
        <v>65.482441110381018</v>
      </c>
      <c r="CO80" s="172">
        <f ca="1">(VLOOKUP(CO$72,INDIRECT($C$5&amp;"生成成长"),2))/((VLOOKUP($B80,INDIRECT($B$5&amp;"生成成长"),4))/(VLOOKUP(CO$72,INDIRECT($C$5&amp;"生成成长"),5))*(VLOOKUP($B$5,标准坦克设计!$B$24:$U$30,MATCH("对"&amp;LEFT($C$5,2)&amp;"输出",标准坦克设计!$B$23:$U$23,0)))*(VLOOKUP($B80,INDIRECT($B$5&amp;"生成成长"),3))*(VLOOKUP($B$5,标准坦克设计!$B$14:$K$20,9)/30))</f>
        <v>29.344327308599819</v>
      </c>
      <c r="CP80" s="172">
        <f ca="1">(VLOOKUP(CP$72,INDIRECT($C$5&amp;"生成成长"),2))/((VLOOKUP($B80,INDIRECT($B$5&amp;"生成成长"),4))/(VLOOKUP(CP$72,INDIRECT($C$5&amp;"生成成长"),5))*(VLOOKUP($B$5,标准坦克设计!$B$24:$U$30,MATCH("对"&amp;LEFT($C$5,2)&amp;"输出",标准坦克设计!$B$23:$U$23,0)))*(VLOOKUP($B80,INDIRECT($B$5&amp;"生成成长"),3))*(VLOOKUP($B$5,标准坦克设计!$B$14:$K$20,9)/30))</f>
        <v>32.061146177608862</v>
      </c>
      <c r="CQ80" s="172">
        <f ca="1">(VLOOKUP(CQ$72,INDIRECT($C$5&amp;"生成成长"),2))/((VLOOKUP($B80,INDIRECT($B$5&amp;"生成成长"),4))/(VLOOKUP(CQ$72,INDIRECT($C$5&amp;"生成成长"),5))*(VLOOKUP($B$5,标准坦克设计!$B$24:$U$30,MATCH("对"&amp;LEFT($C$5,2)&amp;"输出",标准坦克设计!$B$23:$U$23,0)))*(VLOOKUP($B80,INDIRECT($B$5&amp;"生成成长"),3))*(VLOOKUP($B$5,标准坦克设计!$B$14:$K$20,9)/30))</f>
        <v>34.898226646453324</v>
      </c>
      <c r="CR80" s="172">
        <f ca="1">(VLOOKUP(CR$72,INDIRECT($C$5&amp;"生成成长"),2))/((VLOOKUP($B80,INDIRECT($B$5&amp;"生成成长"),4))/(VLOOKUP(CR$72,INDIRECT($C$5&amp;"生成成长"),5))*(VLOOKUP($B$5,标准坦克设计!$B$24:$U$30,MATCH("对"&amp;LEFT($C$5,2)&amp;"输出",标准坦克设计!$B$23:$U$23,0)))*(VLOOKUP($B80,INDIRECT($B$5&amp;"生成成长"),3))*(VLOOKUP($B$5,标准坦克设计!$B$14:$K$20,9)/30))</f>
        <v>37.855568715133188</v>
      </c>
      <c r="CS80" s="172">
        <f ca="1">(VLOOKUP(CS$72,INDIRECT($C$5&amp;"生成成长"),2))/((VLOOKUP($B80,INDIRECT($B$5&amp;"生成成长"),4))/(VLOOKUP(CS$72,INDIRECT($C$5&amp;"生成成长"),5))*(VLOOKUP($B$5,标准坦克设计!$B$24:$U$30,MATCH("对"&amp;LEFT($C$5,2)&amp;"输出",标准坦克设计!$B$23:$U$23,0)))*(VLOOKUP($B80,INDIRECT($B$5&amp;"生成成长"),3))*(VLOOKUP($B$5,标准坦克设计!$B$14:$K$20,9)/30))</f>
        <v>40.933172383648461</v>
      </c>
      <c r="CT80" s="172">
        <f ca="1">(VLOOKUP(CT$72,INDIRECT($C$5&amp;"生成成长"),2))/((VLOOKUP($B80,INDIRECT($B$5&amp;"生成成长"),4))/(VLOOKUP(CT$72,INDIRECT($C$5&amp;"生成成长"),5))*(VLOOKUP($B$5,标准坦克设计!$B$24:$U$30,MATCH("对"&amp;LEFT($C$5,2)&amp;"输出",标准坦克设计!$B$23:$U$23,0)))*(VLOOKUP($B80,INDIRECT($B$5&amp;"生成成长"),3))*(VLOOKUP($B$5,标准坦克设计!$B$14:$K$20,9)/30))</f>
        <v>44.131037651999158</v>
      </c>
      <c r="CU80" s="172">
        <f ca="1">(VLOOKUP(CU$72,INDIRECT($C$5&amp;"生成成长"),2))/((VLOOKUP($B80,INDIRECT($B$5&amp;"生成成长"),4))/(VLOOKUP(CU$72,INDIRECT($C$5&amp;"生成成长"),5))*(VLOOKUP($B$5,标准坦克设计!$B$24:$U$30,MATCH("对"&amp;LEFT($C$5,2)&amp;"输出",标准坦克设计!$B$23:$U$23,0)))*(VLOOKUP($B80,INDIRECT($B$5&amp;"生成成长"),3))*(VLOOKUP($B$5,标准坦克设计!$B$14:$K$20,9)/30))</f>
        <v>47.449164520185249</v>
      </c>
      <c r="CV80" s="172">
        <f ca="1">(VLOOKUP(CV$72,INDIRECT($C$5&amp;"生成成长"),2))/((VLOOKUP($B80,INDIRECT($B$5&amp;"生成成长"),4))/(VLOOKUP(CV$72,INDIRECT($C$5&amp;"生成成长"),5))*(VLOOKUP($B$5,标准坦克设计!$B$24:$U$30,MATCH("对"&amp;LEFT($C$5,2)&amp;"输出",标准坦克设计!$B$23:$U$23,0)))*(VLOOKUP($B80,INDIRECT($B$5&amp;"生成成长"),3))*(VLOOKUP($B$5,标准坦克设计!$B$14:$K$20,9)/30))</f>
        <v>50.887552988206771</v>
      </c>
      <c r="CW80" s="172">
        <f ca="1">(VLOOKUP(CW$72,INDIRECT($C$5&amp;"生成成长"),2))/((VLOOKUP($B80,INDIRECT($B$5&amp;"生成成长"),4))/(VLOOKUP(CW$72,INDIRECT($C$5&amp;"生成成长"),5))*(VLOOKUP($B$5,标准坦克设计!$B$24:$U$30,MATCH("对"&amp;LEFT($C$5,2)&amp;"输出",标准坦克设计!$B$23:$U$23,0)))*(VLOOKUP($B80,INDIRECT($B$5&amp;"生成成长"),3))*(VLOOKUP($B$5,标准坦克设计!$B$14:$K$20,9)/30))</f>
        <v>54.44620305606368</v>
      </c>
      <c r="CX80" s="172">
        <f ca="1">(VLOOKUP(CX$72,INDIRECT($C$5&amp;"生成成长"),2))/((VLOOKUP($B80,INDIRECT($B$5&amp;"生成成长"),4))/(VLOOKUP(CX$72,INDIRECT($C$5&amp;"生成成长"),5))*(VLOOKUP($B$5,标准坦克设计!$B$24:$U$30,MATCH("对"&amp;LEFT($C$5,2)&amp;"输出",标准坦克设计!$B$23:$U$23,0)))*(VLOOKUP($B80,INDIRECT($B$5&amp;"生成成长"),3))*(VLOOKUP($B$5,标准坦克设计!$B$14:$K$20,9)/30))</f>
        <v>58.125114723756013</v>
      </c>
      <c r="CY80" s="172">
        <f ca="1">(VLOOKUP(CY$72,INDIRECT($C$5&amp;"生成成长"),2))/((VLOOKUP($B80,INDIRECT($B$5&amp;"生成成长"),4))/(VLOOKUP(CY$72,INDIRECT($C$5&amp;"生成成长"),5))*(VLOOKUP($B$5,标准坦克设计!$B$24:$U$30,MATCH("对"&amp;LEFT($C$5,2)&amp;"输出",标准坦克设计!$B$23:$U$23,0)))*(VLOOKUP($B80,INDIRECT($B$5&amp;"生成成长"),3))*(VLOOKUP($B$5,标准坦克设计!$B$14:$K$20,9)/30))</f>
        <v>61.924287991283755</v>
      </c>
      <c r="CZ80" s="172">
        <f ca="1">(VLOOKUP(CZ$72,INDIRECT($C$5&amp;"生成成长"),2))/((VLOOKUP($B80,INDIRECT($B$5&amp;"生成成长"),4))/(VLOOKUP(CZ$72,INDIRECT($C$5&amp;"生成成长"),5))*(VLOOKUP($B$5,标准坦克设计!$B$24:$U$30,MATCH("对"&amp;LEFT($C$5,2)&amp;"输出",标准坦克设计!$B$23:$U$23,0)))*(VLOOKUP($B80,INDIRECT($B$5&amp;"生成成长"),3))*(VLOOKUP($B$5,标准坦克设计!$B$14:$K$20,9)/30))</f>
        <v>65.843722858646913</v>
      </c>
      <c r="DA80" s="172">
        <f ca="1">(VLOOKUP(DA$72,INDIRECT($C$5&amp;"生成成长"),2))/((VLOOKUP($B80,INDIRECT($B$5&amp;"生成成长"),4))/(VLOOKUP(DA$72,INDIRECT($C$5&amp;"生成成长"),5))*(VLOOKUP($B$5,标准坦克设计!$B$24:$U$30,MATCH("对"&amp;LEFT($C$5,2)&amp;"输出",标准坦克设计!$B$23:$U$23,0)))*(VLOOKUP($B80,INDIRECT($B$5&amp;"生成成长"),3))*(VLOOKUP($B$5,标准坦克设计!$B$14:$K$20,9)/30))</f>
        <v>69.88341932584548</v>
      </c>
      <c r="DB80" s="172">
        <f ca="1">(VLOOKUP(DB$72,INDIRECT($C$5&amp;"生成成长"),2))/((VLOOKUP($B80,INDIRECT($B$5&amp;"生成成长"),4))/(VLOOKUP(DB$72,INDIRECT($C$5&amp;"生成成长"),5))*(VLOOKUP($B$5,标准坦克设计!$B$24:$U$30,MATCH("对"&amp;LEFT($C$5,2)&amp;"输出",标准坦克设计!$B$23:$U$23,0)))*(VLOOKUP($B80,INDIRECT($B$5&amp;"生成成长"),3))*(VLOOKUP($B$5,标准坦克设计!$B$14:$K$20,9)/30))</f>
        <v>74.043377392879435</v>
      </c>
      <c r="DC80" s="172">
        <f ca="1">(VLOOKUP(DC$72,INDIRECT($C$5&amp;"生成成长"),2))/((VLOOKUP($B80,INDIRECT($B$5&amp;"生成成长"),4))/(VLOOKUP(DC$72,INDIRECT($C$5&amp;"生成成长"),5))*(VLOOKUP($B$5,标准坦克设计!$B$24:$U$30,MATCH("对"&amp;LEFT($C$5,2)&amp;"输出",标准坦克设计!$B$23:$U$23,0)))*(VLOOKUP($B80,INDIRECT($B$5&amp;"生成成长"),3))*(VLOOKUP($B$5,标准坦克设计!$B$14:$K$20,9)/30))</f>
        <v>78.718671323670947</v>
      </c>
      <c r="DD80" s="172">
        <f ca="1">(VLOOKUP(DD$72,INDIRECT($C$5&amp;"生成成长"),2))/((VLOOKUP($B80,INDIRECT($B$5&amp;"生成成长"),4))/(VLOOKUP(DD$72,INDIRECT($C$5&amp;"生成成长"),5))*(VLOOKUP($B$5,标准坦克设计!$B$24:$U$30,MATCH("对"&amp;LEFT($C$5,2)&amp;"输出",标准坦克设计!$B$23:$U$23,0)))*(VLOOKUP($B80,INDIRECT($B$5&amp;"生成成长"),3))*(VLOOKUP($B$5,标准坦克设计!$B$14:$K$20,9)/30))</f>
        <v>83.537086497241759</v>
      </c>
      <c r="DE80" s="172">
        <f ca="1">(VLOOKUP(DE$72,INDIRECT($C$5&amp;"生成成长"),2))/((VLOOKUP($B80,INDIRECT($B$5&amp;"生成成长"),4))/(VLOOKUP(DE$72,INDIRECT($C$5&amp;"生成成长"),5))*(VLOOKUP($B$5,标准坦克设计!$B$24:$U$30,MATCH("对"&amp;LEFT($C$5,2)&amp;"输出",标准坦克设计!$B$23:$U$23,0)))*(VLOOKUP($B80,INDIRECT($B$5&amp;"生成成长"),3))*(VLOOKUP($B$5,标准坦克设计!$B$14:$K$20,9)/30))</f>
        <v>88.498622913591916</v>
      </c>
      <c r="DF80" s="172">
        <f ca="1">(VLOOKUP(DF$72,INDIRECT($C$5&amp;"生成成长"),2))/((VLOOKUP($B80,INDIRECT($B$5&amp;"生成成长"),4))/(VLOOKUP(DF$72,INDIRECT($C$5&amp;"生成成长"),5))*(VLOOKUP($B$5,标准坦克设计!$B$24:$U$30,MATCH("对"&amp;LEFT($C$5,2)&amp;"输出",标准坦克设计!$B$23:$U$23,0)))*(VLOOKUP($B80,INDIRECT($B$5&amp;"生成成长"),3))*(VLOOKUP($B$5,标准坦克设计!$B$14:$K$20,9)/30))</f>
        <v>93.603280572721388</v>
      </c>
      <c r="DG80" s="172">
        <f ca="1">(VLOOKUP(DG$72,INDIRECT($C$5&amp;"生成成长"),2))/((VLOOKUP($B80,INDIRECT($B$5&amp;"生成成长"),4))/(VLOOKUP(DG$72,INDIRECT($C$5&amp;"生成成长"),5))*(VLOOKUP($B$5,标准坦克设计!$B$24:$U$30,MATCH("对"&amp;LEFT($C$5,2)&amp;"输出",标准坦克设计!$B$23:$U$23,0)))*(VLOOKUP($B80,INDIRECT($B$5&amp;"生成成长"),3))*(VLOOKUP($B$5,标准坦克设计!$B$14:$K$20,9)/30))</f>
        <v>98.851059474630233</v>
      </c>
      <c r="DH80" s="172">
        <f ca="1">(VLOOKUP(DH$72,INDIRECT($C$5&amp;"生成成长"),2))/((VLOOKUP($B80,INDIRECT($B$5&amp;"生成成长"),4))/(VLOOKUP(DH$72,INDIRECT($C$5&amp;"生成成长"),5))*(VLOOKUP($B$5,标准坦克设计!$B$24:$U$30,MATCH("对"&amp;LEFT($C$5,2)&amp;"输出",标准坦克设计!$B$23:$U$23,0)))*(VLOOKUP($B80,INDIRECT($B$5&amp;"生成成长"),3))*(VLOOKUP($B$5,标准坦克设计!$B$14:$K$20,9)/30))</f>
        <v>104.24195961931839</v>
      </c>
      <c r="DI80" s="172">
        <f ca="1">(VLOOKUP(DI$72,INDIRECT($C$5&amp;"生成成长"),2))/((VLOOKUP($B80,INDIRECT($B$5&amp;"生成成长"),4))/(VLOOKUP(DI$72,INDIRECT($C$5&amp;"生成成长"),5))*(VLOOKUP($B$5,标准坦克设计!$B$24:$U$30,MATCH("对"&amp;LEFT($C$5,2)&amp;"输出",标准坦克设计!$B$23:$U$23,0)))*(VLOOKUP($B80,INDIRECT($B$5&amp;"生成成长"),3))*(VLOOKUP($B$5,标准坦克设计!$B$14:$K$20,9)/30))</f>
        <v>109.77598100678586</v>
      </c>
      <c r="DJ80" s="172">
        <f ca="1">(VLOOKUP(DJ$72,INDIRECT($C$5&amp;"生成成长"),2))/((VLOOKUP($B80,INDIRECT($B$5&amp;"生成成长"),4))/(VLOOKUP(DJ$72,INDIRECT($C$5&amp;"生成成长"),5))*(VLOOKUP($B$5,标准坦克设计!$B$24:$U$30,MATCH("对"&amp;LEFT($C$5,2)&amp;"输出",标准坦克设计!$B$23:$U$23,0)))*(VLOOKUP($B80,INDIRECT($B$5&amp;"生成成长"),3))*(VLOOKUP($B$5,标准坦克设计!$B$14:$K$20,9)/30))</f>
        <v>11.032759412999789</v>
      </c>
      <c r="DK80" s="172">
        <f ca="1">(VLOOKUP(DK$72,INDIRECT($C$5&amp;"生成成长"),2))/((VLOOKUP($B80,INDIRECT($B$5&amp;"生成成长"),4))/(VLOOKUP(DK$72,INDIRECT($C$5&amp;"生成成长"),5))*(VLOOKUP($B$5,标准坦克设计!$B$24:$U$30,MATCH("对"&amp;LEFT($C$5,2)&amp;"输出",标准坦克设计!$B$23:$U$23,0)))*(VLOOKUP($B80,INDIRECT($B$5&amp;"生成成长"),3))*(VLOOKUP($B$5,标准坦克设计!$B$14:$K$20,9)/30))</f>
        <v>12.405828835914001</v>
      </c>
      <c r="DL80" s="172">
        <f ca="1">(VLOOKUP(DL$72,INDIRECT($C$5&amp;"生成成长"),2))/((VLOOKUP($B80,INDIRECT($B$5&amp;"生成成长"),4))/(VLOOKUP(DL$72,INDIRECT($C$5&amp;"生成成长"),5))*(VLOOKUP($B$5,标准坦克设计!$B$24:$U$30,MATCH("对"&amp;LEFT($C$5,2)&amp;"输出",标准坦克设计!$B$23:$U$23,0)))*(VLOOKUP($B80,INDIRECT($B$5&amp;"生成成长"),3))*(VLOOKUP($B$5,标准坦克设计!$B$14:$K$20,9)/30))</f>
        <v>13.859403957891585</v>
      </c>
      <c r="DM80" s="172">
        <f ca="1">(VLOOKUP(DM$72,INDIRECT($C$5&amp;"生成成长"),2))/((VLOOKUP($B80,INDIRECT($B$5&amp;"生成成长"),4))/(VLOOKUP(DM$72,INDIRECT($C$5&amp;"生成成长"),5))*(VLOOKUP($B$5,标准坦克设计!$B$24:$U$30,MATCH("对"&amp;LEFT($C$5,2)&amp;"输出",标准坦克设计!$B$23:$U$23,0)))*(VLOOKUP($B80,INDIRECT($B$5&amp;"生成成长"),3))*(VLOOKUP($B$5,标准坦克设计!$B$14:$K$20,9)/30))</f>
        <v>15.393484778932546</v>
      </c>
      <c r="DN80" s="172">
        <f ca="1">(VLOOKUP(DN$72,INDIRECT($C$5&amp;"生成成长"),2))/((VLOOKUP($B80,INDIRECT($B$5&amp;"生成成长"),4))/(VLOOKUP(DN$72,INDIRECT($C$5&amp;"生成成长"),5))*(VLOOKUP($B$5,标准坦克设计!$B$24:$U$30,MATCH("对"&amp;LEFT($C$5,2)&amp;"输出",标准坦克设计!$B$23:$U$23,0)))*(VLOOKUP($B80,INDIRECT($B$5&amp;"生成成长"),3))*(VLOOKUP($B$5,标准坦克设计!$B$14:$K$20,9)/30))</f>
        <v>17.008071299036878</v>
      </c>
      <c r="DO80" s="172">
        <f ca="1">(VLOOKUP(DO$72,INDIRECT($C$5&amp;"生成成长"),2))/((VLOOKUP($B80,INDIRECT($B$5&amp;"生成成长"),4))/(VLOOKUP(DO$72,INDIRECT($C$5&amp;"生成成长"),5))*(VLOOKUP($B$5,标准坦克设计!$B$24:$U$30,MATCH("对"&amp;LEFT($C$5,2)&amp;"输出",标准坦克设计!$B$23:$U$23,0)))*(VLOOKUP($B80,INDIRECT($B$5&amp;"生成成长"),3))*(VLOOKUP($B$5,标准坦克设计!$B$14:$K$20,9)/30))</f>
        <v>18.703163518204587</v>
      </c>
      <c r="DP80" s="172">
        <f ca="1">(VLOOKUP(DP$72,INDIRECT($C$5&amp;"生成成长"),2))/((VLOOKUP($B80,INDIRECT($B$5&amp;"生成成长"),4))/(VLOOKUP(DP$72,INDIRECT($C$5&amp;"生成成长"),5))*(VLOOKUP($B$5,标准坦克设计!$B$24:$U$30,MATCH("对"&amp;LEFT($C$5,2)&amp;"输出",标准坦克设计!$B$23:$U$23,0)))*(VLOOKUP($B80,INDIRECT($B$5&amp;"生成成长"),3))*(VLOOKUP($B$5,标准坦克设计!$B$14:$K$20,9)/30))</f>
        <v>20.478761436435668</v>
      </c>
      <c r="DQ80" s="172">
        <f ca="1">(VLOOKUP(DQ$72,INDIRECT($C$5&amp;"生成成长"),2))/((VLOOKUP($B80,INDIRECT($B$5&amp;"生成成长"),4))/(VLOOKUP(DQ$72,INDIRECT($C$5&amp;"生成成长"),5))*(VLOOKUP($B$5,标准坦克设计!$B$24:$U$30,MATCH("对"&amp;LEFT($C$5,2)&amp;"输出",标准坦克设计!$B$23:$U$23,0)))*(VLOOKUP($B80,INDIRECT($B$5&amp;"生成成长"),3))*(VLOOKUP($B$5,标准坦克设计!$B$14:$K$20,9)/30))</f>
        <v>22.334865053730127</v>
      </c>
      <c r="DR80" s="172">
        <f ca="1">(VLOOKUP(DR$72,INDIRECT($C$5&amp;"生成成长"),2))/((VLOOKUP($B80,INDIRECT($B$5&amp;"生成成长"),4))/(VLOOKUP(DR$72,INDIRECT($C$5&amp;"生成成长"),5))*(VLOOKUP($B$5,标准坦克设计!$B$24:$U$30,MATCH("对"&amp;LEFT($C$5,2)&amp;"输出",标准坦克设计!$B$23:$U$23,0)))*(VLOOKUP($B80,INDIRECT($B$5&amp;"生成成长"),3))*(VLOOKUP($B$5,标准坦克设计!$B$14:$K$20,9)/30))</f>
        <v>24.271474370087954</v>
      </c>
      <c r="DS80" s="172">
        <f ca="1">(VLOOKUP(DS$72,INDIRECT($C$5&amp;"生成成长"),2))/((VLOOKUP($B80,INDIRECT($B$5&amp;"生成成长"),4))/(VLOOKUP(DS$72,INDIRECT($C$5&amp;"生成成长"),5))*(VLOOKUP($B$5,标准坦克设计!$B$24:$U$30,MATCH("对"&amp;LEFT($C$5,2)&amp;"输出",标准坦克设计!$B$23:$U$23,0)))*(VLOOKUP($B80,INDIRECT($B$5&amp;"生成成长"),3))*(VLOOKUP($B$5,标准坦克设计!$B$14:$K$20,9)/30))</f>
        <v>26.288589385509159</v>
      </c>
      <c r="DT80" s="172">
        <f ca="1">(VLOOKUP(DT$72,INDIRECT($C$5&amp;"生成成长"),2))/((VLOOKUP($B80,INDIRECT($B$5&amp;"生成成长"),4))/(VLOOKUP(DT$72,INDIRECT($C$5&amp;"生成成长"),5))*(VLOOKUP($B$5,标准坦克设计!$B$24:$U$30,MATCH("对"&amp;LEFT($C$5,2)&amp;"输出",标准坦克设计!$B$23:$U$23,0)))*(VLOOKUP($B80,INDIRECT($B$5&amp;"生成成长"),3))*(VLOOKUP($B$5,标准坦克设计!$B$14:$K$20,9)/30))</f>
        <v>28.863280909258169</v>
      </c>
      <c r="DU80" s="172">
        <f ca="1">(VLOOKUP(DU$72,INDIRECT($C$5&amp;"生成成长"),2))/((VLOOKUP($B80,INDIRECT($B$5&amp;"生成成长"),4))/(VLOOKUP(DU$72,INDIRECT($C$5&amp;"生成成长"),5))*(VLOOKUP($B$5,标准坦克设计!$B$24:$U$30,MATCH("对"&amp;LEFT($C$5,2)&amp;"输出",标准坦克设计!$B$23:$U$23,0)))*(VLOOKUP($B80,INDIRECT($B$5&amp;"生成成长"),3))*(VLOOKUP($B$5,标准坦克设计!$B$14:$K$20,9)/30))</f>
        <v>31.558234032842595</v>
      </c>
      <c r="DV80" s="172">
        <f ca="1">(VLOOKUP(DV$72,INDIRECT($C$5&amp;"生成成长"),2))/((VLOOKUP($B80,INDIRECT($B$5&amp;"生成成长"),4))/(VLOOKUP(DV$72,INDIRECT($C$5&amp;"生成成长"),5))*(VLOOKUP($B$5,标准坦克设计!$B$24:$U$30,MATCH("对"&amp;LEFT($C$5,2)&amp;"输出",标准坦克设计!$B$23:$U$23,0)))*(VLOOKUP($B80,INDIRECT($B$5&amp;"生成成长"),3))*(VLOOKUP($B$5,标准坦克设计!$B$14:$K$20,9)/30))</f>
        <v>34.373448756262441</v>
      </c>
      <c r="DW80" s="172">
        <f ca="1">(VLOOKUP(DW$72,INDIRECT($C$5&amp;"生成成长"),2))/((VLOOKUP($B80,INDIRECT($B$5&amp;"生成成长"),4))/(VLOOKUP(DW$72,INDIRECT($C$5&amp;"生成成长"),5))*(VLOOKUP($B$5,标准坦克设计!$B$24:$U$30,MATCH("对"&amp;LEFT($C$5,2)&amp;"输出",标准坦克设计!$B$23:$U$23,0)))*(VLOOKUP($B80,INDIRECT($B$5&amp;"生成成长"),3))*(VLOOKUP($B$5,标准坦克设计!$B$14:$K$20,9)/30))</f>
        <v>37.308925079517678</v>
      </c>
      <c r="DX80" s="172">
        <f ca="1">(VLOOKUP(DX$72,INDIRECT($C$5&amp;"生成成长"),2))/((VLOOKUP($B80,INDIRECT($B$5&amp;"生成成长"),4))/(VLOOKUP(DX$72,INDIRECT($C$5&amp;"生成成长"),5))*(VLOOKUP($B$5,标准坦克设计!$B$24:$U$30,MATCH("对"&amp;LEFT($C$5,2)&amp;"输出",标准坦克设计!$B$23:$U$23,0)))*(VLOOKUP($B80,INDIRECT($B$5&amp;"生成成长"),3))*(VLOOKUP($B$5,标准坦克设计!$B$14:$K$20,9)/30))</f>
        <v>40.364663002608346</v>
      </c>
      <c r="DY80" s="172">
        <f ca="1">(VLOOKUP(DY$72,INDIRECT($C$5&amp;"生成成长"),2))/((VLOOKUP($B80,INDIRECT($B$5&amp;"生成成长"),4))/(VLOOKUP(DY$72,INDIRECT($C$5&amp;"生成成长"),5))*(VLOOKUP($B$5,标准坦克设计!$B$24:$U$30,MATCH("对"&amp;LEFT($C$5,2)&amp;"输出",标准坦克设计!$B$23:$U$23,0)))*(VLOOKUP($B80,INDIRECT($B$5&amp;"生成成长"),3))*(VLOOKUP($B$5,标准坦克设计!$B$14:$K$20,9)/30))</f>
        <v>18.129187700808313</v>
      </c>
      <c r="DZ80" s="172">
        <f ca="1">(VLOOKUP(DZ$72,INDIRECT($C$5&amp;"生成成长"),2))/((VLOOKUP($B80,INDIRECT($B$5&amp;"生成成长"),4))/(VLOOKUP(DZ$72,INDIRECT($C$5&amp;"生成成长"),5))*(VLOOKUP($B$5,标准坦克设计!$B$24:$U$30,MATCH("对"&amp;LEFT($C$5,2)&amp;"输出",标准坦克设计!$B$23:$U$23,0)))*(VLOOKUP($B80,INDIRECT($B$5&amp;"生成成长"),3))*(VLOOKUP($B$5,标准坦克设计!$B$14:$K$20,9)/30))</f>
        <v>20.077226838638101</v>
      </c>
      <c r="EA80" s="172">
        <f ca="1">(VLOOKUP(EA$72,INDIRECT($C$5&amp;"生成成长"),2))/((VLOOKUP($B80,INDIRECT($B$5&amp;"生成成长"),4))/(VLOOKUP(EA$72,INDIRECT($C$5&amp;"生成成长"),5))*(VLOOKUP($B$5,标准坦克设计!$B$24:$U$30,MATCH("对"&amp;LEFT($C$5,2)&amp;"输出",标准坦克设计!$B$23:$U$23,0)))*(VLOOKUP($B80,INDIRECT($B$5&amp;"生成成长"),3))*(VLOOKUP($B$5,标准坦克设计!$B$14:$K$20,9)/30))</f>
        <v>22.124655728397979</v>
      </c>
      <c r="EB80" s="172">
        <f ca="1">(VLOOKUP(EB$72,INDIRECT($C$5&amp;"生成成长"),2))/((VLOOKUP($B80,INDIRECT($B$5&amp;"生成成长"),4))/(VLOOKUP(EB$72,INDIRECT($C$5&amp;"生成成长"),5))*(VLOOKUP($B$5,标准坦克设计!$B$24:$U$30,MATCH("对"&amp;LEFT($C$5,2)&amp;"输出",标准坦克设计!$B$23:$U$23,0)))*(VLOOKUP($B80,INDIRECT($B$5&amp;"生成成长"),3))*(VLOOKUP($B$5,标准坦克设计!$B$14:$K$20,9)/30))</f>
        <v>24.271474370087954</v>
      </c>
      <c r="EC80" s="172">
        <f ca="1">(VLOOKUP(EC$72,INDIRECT($C$5&amp;"生成成长"),2))/((VLOOKUP($B80,INDIRECT($B$5&amp;"生成成长"),4))/(VLOOKUP(EC$72,INDIRECT($C$5&amp;"生成成长"),5))*(VLOOKUP($B$5,标准坦克设计!$B$24:$U$30,MATCH("对"&amp;LEFT($C$5,2)&amp;"输出",标准坦克设计!$B$23:$U$23,0)))*(VLOOKUP($B80,INDIRECT($B$5&amp;"生成成长"),3))*(VLOOKUP($B$5,标准坦克设计!$B$14:$K$20,9)/30))</f>
        <v>26.51768276370802</v>
      </c>
      <c r="ED80" s="172">
        <f ca="1">(VLOOKUP(ED$72,INDIRECT($C$5&amp;"生成成长"),2))/((VLOOKUP($B80,INDIRECT($B$5&amp;"生成成长"),4))/(VLOOKUP(ED$72,INDIRECT($C$5&amp;"生成成长"),5))*(VLOOKUP($B$5,标准坦克设计!$B$24:$U$30,MATCH("对"&amp;LEFT($C$5,2)&amp;"输出",标准坦克设计!$B$23:$U$23,0)))*(VLOOKUP($B80,INDIRECT($B$5&amp;"生成成长"),3))*(VLOOKUP($B$5,标准坦克设计!$B$14:$K$20,9)/30))</f>
        <v>28.863280909258169</v>
      </c>
      <c r="EE80" s="172">
        <f ca="1">(VLOOKUP(EE$72,INDIRECT($C$5&amp;"生成成长"),2))/((VLOOKUP($B80,INDIRECT($B$5&amp;"生成成长"),4))/(VLOOKUP(EE$72,INDIRECT($C$5&amp;"生成成长"),5))*(VLOOKUP($B$5,标准坦克设计!$B$24:$U$30,MATCH("对"&amp;LEFT($C$5,2)&amp;"输出",标准坦克设计!$B$23:$U$23,0)))*(VLOOKUP($B80,INDIRECT($B$5&amp;"生成成长"),3))*(VLOOKUP($B$5,标准坦克设计!$B$14:$K$20,9)/30))</f>
        <v>31.308268806738422</v>
      </c>
      <c r="EF80" s="172">
        <f ca="1">(VLOOKUP(EF$72,INDIRECT($C$5&amp;"生成成长"),2))/((VLOOKUP($B80,INDIRECT($B$5&amp;"生成成长"),4))/(VLOOKUP(EF$72,INDIRECT($C$5&amp;"生成成长"),5))*(VLOOKUP($B$5,标准坦克设计!$B$24:$U$30,MATCH("对"&amp;LEFT($C$5,2)&amp;"输出",标准坦克设计!$B$23:$U$23,0)))*(VLOOKUP($B80,INDIRECT($B$5&amp;"生成成长"),3))*(VLOOKUP($B$5,标准坦克设计!$B$14:$K$20,9)/30))</f>
        <v>33.852646456148761</v>
      </c>
      <c r="EG80" s="172">
        <f ca="1">(VLOOKUP(EG$72,INDIRECT($C$5&amp;"生成成长"),2))/((VLOOKUP($B80,INDIRECT($B$5&amp;"生成成长"),4))/(VLOOKUP(EG$72,INDIRECT($C$5&amp;"生成成长"),5))*(VLOOKUP($B$5,标准坦克设计!$B$24:$U$30,MATCH("对"&amp;LEFT($C$5,2)&amp;"输出",标准坦克设计!$B$23:$U$23,0)))*(VLOOKUP($B80,INDIRECT($B$5&amp;"生成成长"),3))*(VLOOKUP($B$5,标准坦克设计!$B$14:$K$20,9)/30))</f>
        <v>36.496413857489181</v>
      </c>
      <c r="EH80" s="172">
        <f ca="1">(VLOOKUP(EH$72,INDIRECT($C$5&amp;"生成成长"),2))/((VLOOKUP($B80,INDIRECT($B$5&amp;"生成成长"),4))/(VLOOKUP(EH$72,INDIRECT($C$5&amp;"生成成长"),5))*(VLOOKUP($B$5,标准坦克设计!$B$24:$U$30,MATCH("对"&amp;LEFT($C$5,2)&amp;"输出",标准坦克设计!$B$23:$U$23,0)))*(VLOOKUP($B80,INDIRECT($B$5&amp;"生成成长"),3))*(VLOOKUP($B$5,标准坦克设计!$B$14:$K$20,9)/30))</f>
        <v>39.239571010759704</v>
      </c>
      <c r="EI80" s="172">
        <f ca="1">(VLOOKUP(EI$72,INDIRECT($C$5&amp;"生成成长"),2))/((VLOOKUP($B80,INDIRECT($B$5&amp;"生成成长"),4))/(VLOOKUP(EI$72,INDIRECT($C$5&amp;"生成成长"),5))*(VLOOKUP($B$5,标准坦克设计!$B$24:$U$30,MATCH("对"&amp;LEFT($C$5,2)&amp;"输出",标准坦克设计!$B$23:$U$23,0)))*(VLOOKUP($B80,INDIRECT($B$5&amp;"生成成长"),3))*(VLOOKUP($B$5,标准坦克设计!$B$14:$K$20,9)/30))</f>
        <v>42.082117915960318</v>
      </c>
      <c r="EJ80" s="172">
        <f ca="1">(VLOOKUP(EJ$72,INDIRECT($C$5&amp;"生成成长"),2))/((VLOOKUP($B80,INDIRECT($B$5&amp;"生成成长"),4))/(VLOOKUP(EJ$72,INDIRECT($C$5&amp;"生成成长"),5))*(VLOOKUP($B$5,标准坦克设计!$B$24:$U$30,MATCH("对"&amp;LEFT($C$5,2)&amp;"输出",标准坦克设计!$B$23:$U$23,0)))*(VLOOKUP($B80,INDIRECT($B$5&amp;"生成成长"),3))*(VLOOKUP($B$5,标准坦克设计!$B$14:$K$20,9)/30))</f>
        <v>45.024054573091021</v>
      </c>
      <c r="EK80" s="172">
        <f ca="1">(VLOOKUP(EK$72,INDIRECT($C$5&amp;"生成成长"),2))/((VLOOKUP($B80,INDIRECT($B$5&amp;"生成成长"),4))/(VLOOKUP(EK$72,INDIRECT($C$5&amp;"生成成长"),5))*(VLOOKUP($B$5,标准坦克设计!$B$24:$U$30,MATCH("对"&amp;LEFT($C$5,2)&amp;"输出",标准坦克设计!$B$23:$U$23,0)))*(VLOOKUP($B80,INDIRECT($B$5&amp;"生成成长"),3))*(VLOOKUP($B$5,标准坦克设计!$B$14:$K$20,9)/30))</f>
        <v>48.685573034195592</v>
      </c>
      <c r="EL80" s="172">
        <f ca="1">(VLOOKUP(EL$72,INDIRECT($C$5&amp;"生成成长"),2))/((VLOOKUP($B80,INDIRECT($B$5&amp;"生成成长"),4))/(VLOOKUP(EL$72,INDIRECT($C$5&amp;"生成成长"),5))*(VLOOKUP($B$5,标准坦克设计!$B$24:$U$30,MATCH("对"&amp;LEFT($C$5,2)&amp;"输出",标准坦克设计!$B$23:$U$23,0)))*(VLOOKUP($B80,INDIRECT($B$5&amp;"生成成长"),3))*(VLOOKUP($B$5,标准坦克设计!$B$14:$K$20,9)/30))</f>
        <v>52.490212738079485</v>
      </c>
      <c r="EM80" s="172">
        <f ca="1">(VLOOKUP(EM$72,INDIRECT($C$5&amp;"生成成长"),2))/((VLOOKUP($B80,INDIRECT($B$5&amp;"生成成长"),4))/(VLOOKUP(EM$72,INDIRECT($C$5&amp;"生成成长"),5))*(VLOOKUP($B$5,标准坦克设计!$B$24:$U$30,MATCH("对"&amp;LEFT($C$5,2)&amp;"输出",标准坦克设计!$B$23:$U$23,0)))*(VLOOKUP($B80,INDIRECT($B$5&amp;"生成成长"),3))*(VLOOKUP($B$5,标准坦克设计!$B$14:$K$20,9)/30))</f>
        <v>56.437973684742722</v>
      </c>
      <c r="EN80" s="172">
        <f ca="1">(VLOOKUP(EN$72,INDIRECT($C$5&amp;"生成成长"),2))/((VLOOKUP($B80,INDIRECT($B$5&amp;"生成成长"),4))/(VLOOKUP(EN$72,INDIRECT($C$5&amp;"生成成长"),5))*(VLOOKUP($B$5,标准坦克设计!$B$24:$U$30,MATCH("对"&amp;LEFT($C$5,2)&amp;"输出",标准坦克设计!$B$23:$U$23,0)))*(VLOOKUP($B80,INDIRECT($B$5&amp;"生成成长"),3))*(VLOOKUP($B$5,标准坦克设计!$B$14:$K$20,9)/30))</f>
        <v>60.528855874185268</v>
      </c>
      <c r="EO80" s="172">
        <f ca="1">(VLOOKUP(EO$72,INDIRECT($C$5&amp;"生成成长"),2))/((VLOOKUP($B80,INDIRECT($B$5&amp;"生成成长"),4))/(VLOOKUP(EO$72,INDIRECT($C$5&amp;"生成成长"),5))*(VLOOKUP($B$5,标准坦克设计!$B$24:$U$30,MATCH("对"&amp;LEFT($C$5,2)&amp;"输出",标准坦克设计!$B$23:$U$23,0)))*(VLOOKUP($B80,INDIRECT($B$5&amp;"生成成长"),3))*(VLOOKUP($B$5,标准坦克设计!$B$14:$K$20,9)/30))</f>
        <v>64.762859306407165</v>
      </c>
      <c r="EP80" s="172">
        <f ca="1">(VLOOKUP(EP$72,INDIRECT($C$5&amp;"生成成长"),2))/((VLOOKUP($B80,INDIRECT($B$5&amp;"生成成长"),4))/(VLOOKUP(EP$72,INDIRECT($C$5&amp;"生成成长"),5))*(VLOOKUP($B$5,标准坦克设计!$B$24:$U$30,MATCH("对"&amp;LEFT($C$5,2)&amp;"输出",标准坦克设计!$B$23:$U$23,0)))*(VLOOKUP($B80,INDIRECT($B$5&amp;"生成成长"),3))*(VLOOKUP($B$5,标准坦克设计!$B$14:$K$20,9)/30))</f>
        <v>69.139983981408392</v>
      </c>
      <c r="EQ80" s="172">
        <f ca="1">(VLOOKUP(EQ$72,INDIRECT($C$5&amp;"生成成长"),2))/((VLOOKUP($B80,INDIRECT($B$5&amp;"生成成长"),4))/(VLOOKUP(EQ$72,INDIRECT($C$5&amp;"生成成长"),5))*(VLOOKUP($B$5,标准坦克设计!$B$24:$U$30,MATCH("对"&amp;LEFT($C$5,2)&amp;"输出",标准坦克设计!$B$23:$U$23,0)))*(VLOOKUP($B80,INDIRECT($B$5&amp;"生成成长"),3))*(VLOOKUP($B$5,标准坦克设计!$B$14:$K$20,9)/30))</f>
        <v>30.564336513541686</v>
      </c>
      <c r="ER80" s="172">
        <f ca="1">(VLOOKUP(ER$72,INDIRECT($C$5&amp;"生成成长"),2))/((VLOOKUP($B80,INDIRECT($B$5&amp;"生成成长"),4))/(VLOOKUP(ER$72,INDIRECT($C$5&amp;"生成成长"),5))*(VLOOKUP($B$5,标准坦克设计!$B$24:$U$30,MATCH("对"&amp;LEFT($C$5,2)&amp;"输出",标准坦克设计!$B$23:$U$23,0)))*(VLOOKUP($B80,INDIRECT($B$5&amp;"生成成长"),3))*(VLOOKUP($B$5,标准坦克设计!$B$14:$K$20,9)/30))</f>
        <v>33.335819746112278</v>
      </c>
      <c r="ES80" s="172">
        <f ca="1">(VLOOKUP(ES$72,INDIRECT($C$5&amp;"生成成长"),2))/((VLOOKUP($B80,INDIRECT($B$5&amp;"生成成长"),4))/(VLOOKUP(ES$72,INDIRECT($C$5&amp;"生成成长"),5))*(VLOOKUP($B$5,标准坦克设计!$B$24:$U$30,MATCH("对"&amp;LEFT($C$5,2)&amp;"输出",标准坦克设计!$B$23:$U$23,0)))*(VLOOKUP($B80,INDIRECT($B$5&amp;"生成成长"),3))*(VLOOKUP($B$5,标准坦克设计!$B$14:$K$20,9)/30))</f>
        <v>36.227564578518297</v>
      </c>
      <c r="ET80" s="172">
        <f ca="1">(VLOOKUP(ET$72,INDIRECT($C$5&amp;"生成成长"),2))/((VLOOKUP($B80,INDIRECT($B$5&amp;"生成成长"),4))/(VLOOKUP(ET$72,INDIRECT($C$5&amp;"生成成长"),5))*(VLOOKUP($B$5,标准坦克设计!$B$24:$U$30,MATCH("对"&amp;LEFT($C$5,2)&amp;"输出",标准坦克设计!$B$23:$U$23,0)))*(VLOOKUP($B80,INDIRECT($B$5&amp;"生成成长"),3))*(VLOOKUP($B$5,标准坦克设计!$B$14:$K$20,9)/30))</f>
        <v>39.239571010759704</v>
      </c>
      <c r="EU80" s="172">
        <f ca="1">(VLOOKUP(EU$72,INDIRECT($C$5&amp;"生成成长"),2))/((VLOOKUP($B80,INDIRECT($B$5&amp;"生成成长"),4))/(VLOOKUP(EU$72,INDIRECT($C$5&amp;"生成成长"),5))*(VLOOKUP($B$5,标准坦克设计!$B$24:$U$30,MATCH("对"&amp;LEFT($C$5,2)&amp;"输出",标准坦克设计!$B$23:$U$23,0)))*(VLOOKUP($B80,INDIRECT($B$5&amp;"生成成长"),3))*(VLOOKUP($B$5,标准坦克设计!$B$14:$K$20,9)/30))</f>
        <v>42.371839042836541</v>
      </c>
      <c r="EV80" s="172">
        <f ca="1">(VLOOKUP(EV$72,INDIRECT($C$5&amp;"生成成长"),2))/((VLOOKUP($B80,INDIRECT($B$5&amp;"生成成长"),4))/(VLOOKUP(EV$72,INDIRECT($C$5&amp;"生成成长"),5))*(VLOOKUP($B$5,标准坦克设计!$B$24:$U$30,MATCH("对"&amp;LEFT($C$5,2)&amp;"输出",标准坦克设计!$B$23:$U$23,0)))*(VLOOKUP($B80,INDIRECT($B$5&amp;"生成成长"),3))*(VLOOKUP($B$5,标准坦克设计!$B$14:$K$20,9)/30))</f>
        <v>45.624368674748773</v>
      </c>
      <c r="EW80" s="172">
        <f ca="1">(VLOOKUP(EW$72,INDIRECT($C$5&amp;"生成成长"),2))/((VLOOKUP($B80,INDIRECT($B$5&amp;"生成成长"),4))/(VLOOKUP(EW$72,INDIRECT($C$5&amp;"生成成长"),5))*(VLOOKUP($B$5,标准坦克设计!$B$24:$U$30,MATCH("对"&amp;LEFT($C$5,2)&amp;"输出",标准坦克设计!$B$23:$U$23,0)))*(VLOOKUP($B80,INDIRECT($B$5&amp;"生成成长"),3))*(VLOOKUP($B$5,标准坦克设计!$B$14:$K$20,9)/30))</f>
        <v>48.997159906496421</v>
      </c>
      <c r="EX80" s="172">
        <f ca="1">(VLOOKUP(EX$72,INDIRECT($C$5&amp;"生成成长"),2))/((VLOOKUP($B80,INDIRECT($B$5&amp;"生成成长"),4))/(VLOOKUP(EX$72,INDIRECT($C$5&amp;"生成成长"),5))*(VLOOKUP($B$5,标准坦克设计!$B$24:$U$30,MATCH("对"&amp;LEFT($C$5,2)&amp;"输出",标准坦克设计!$B$23:$U$23,0)))*(VLOOKUP($B80,INDIRECT($B$5&amp;"生成成长"),3))*(VLOOKUP($B$5,标准坦克设计!$B$14:$K$20,9)/30))</f>
        <v>52.490212738079485</v>
      </c>
      <c r="EY80" s="172">
        <f ca="1">(VLOOKUP(EY$72,INDIRECT($C$5&amp;"生成成长"),2))/((VLOOKUP($B80,INDIRECT($B$5&amp;"生成成长"),4))/(VLOOKUP(EY$72,INDIRECT($C$5&amp;"生成成长"),5))*(VLOOKUP($B$5,标准坦克设计!$B$24:$U$30,MATCH("对"&amp;LEFT($C$5,2)&amp;"输出",标准坦克设计!$B$23:$U$23,0)))*(VLOOKUP($B80,INDIRECT($B$5&amp;"生成成长"),3))*(VLOOKUP($B$5,标准坦克设计!$B$14:$K$20,9)/30))</f>
        <v>56.103527169497951</v>
      </c>
      <c r="EZ80" s="172">
        <f ca="1">(VLOOKUP(EZ$72,INDIRECT($C$5&amp;"生成成长"),2))/((VLOOKUP($B80,INDIRECT($B$5&amp;"生成成长"),4))/(VLOOKUP(EZ$72,INDIRECT($C$5&amp;"生成成长"),5))*(VLOOKUP($B$5,标准坦克设计!$B$24:$U$30,MATCH("对"&amp;LEFT($C$5,2)&amp;"输出",标准坦克设计!$B$23:$U$23,0)))*(VLOOKUP($B80,INDIRECT($B$5&amp;"生成成长"),3))*(VLOOKUP($B$5,标准坦克设计!$B$14:$K$20,9)/30))</f>
        <v>59.837103200751834</v>
      </c>
      <c r="FA80" s="172">
        <f ca="1">(VLOOKUP(FA$72,INDIRECT($C$5&amp;"生成成长"),2))/((VLOOKUP($B80,INDIRECT($B$5&amp;"生成成长"),4))/(VLOOKUP(FA$72,INDIRECT($C$5&amp;"生成成长"),5))*(VLOOKUP($B$5,标准坦克设计!$B$24:$U$30,MATCH("对"&amp;LEFT($C$5,2)&amp;"输出",标准坦克设计!$B$23:$U$23,0)))*(VLOOKUP($B80,INDIRECT($B$5&amp;"生成成长"),3))*(VLOOKUP($B$5,标准坦克设计!$B$14:$K$20,9)/30))</f>
        <v>63.690940831841139</v>
      </c>
      <c r="FB80" s="172">
        <f ca="1">(VLOOKUP(FB$72,INDIRECT($C$5&amp;"生成成长"),2))/((VLOOKUP($B80,INDIRECT($B$5&amp;"生成成长"),4))/(VLOOKUP(FB$72,INDIRECT($C$5&amp;"生成成长"),5))*(VLOOKUP($B$5,标准坦克设计!$B$24:$U$30,MATCH("对"&amp;LEFT($C$5,2)&amp;"输出",标准坦克设计!$B$23:$U$23,0)))*(VLOOKUP($B80,INDIRECT($B$5&amp;"生成成长"),3))*(VLOOKUP($B$5,标准坦克设计!$B$14:$K$20,9)/30))</f>
        <v>67.665040062765826</v>
      </c>
      <c r="FC80" s="172">
        <f ca="1">(VLOOKUP(FC$72,INDIRECT($C$5&amp;"生成成长"),2))/((VLOOKUP($B80,INDIRECT($B$5&amp;"生成成长"),4))/(VLOOKUP(FC$72,INDIRECT($C$5&amp;"生成成长"),5))*(VLOOKUP($B$5,标准坦克设计!$B$24:$U$30,MATCH("对"&amp;LEFT($C$5,2)&amp;"输出",标准坦克设计!$B$23:$U$23,0)))*(VLOOKUP($B80,INDIRECT($B$5&amp;"生成成长"),3))*(VLOOKUP($B$5,标准坦克设计!$B$14:$K$20,9)/30))</f>
        <v>71.759400893525935</v>
      </c>
      <c r="FD80" s="172">
        <f ca="1">(VLOOKUP(FD$72,INDIRECT($C$5&amp;"生成成长"),2))/((VLOOKUP($B80,INDIRECT($B$5&amp;"生成成长"),4))/(VLOOKUP(FD$72,INDIRECT($C$5&amp;"生成成长"),5))*(VLOOKUP($B$5,标准坦克设计!$B$24:$U$30,MATCH("对"&amp;LEFT($C$5,2)&amp;"输出",标准坦克设计!$B$23:$U$23,0)))*(VLOOKUP($B80,INDIRECT($B$5&amp;"生成成长"),3))*(VLOOKUP($B$5,标准坦克设计!$B$14:$K$20,9)/30))</f>
        <v>75.974023324121475</v>
      </c>
      <c r="FE80" s="172">
        <f ca="1">(VLOOKUP(FE$72,INDIRECT($C$5&amp;"生成成长"),2))/((VLOOKUP($B80,INDIRECT($B$5&amp;"生成成长"),4))/(VLOOKUP(FE$72,INDIRECT($C$5&amp;"生成成长"),5))*(VLOOKUP($B$5,标准坦克设计!$B$24:$U$30,MATCH("对"&amp;LEFT($C$5,2)&amp;"输出",标准坦克设计!$B$23:$U$23,0)))*(VLOOKUP($B80,INDIRECT($B$5&amp;"生成成长"),3))*(VLOOKUP($B$5,标准坦克设计!$B$14:$K$20,9)/30))</f>
        <v>81.10998875510893</v>
      </c>
      <c r="FF80" s="172">
        <f ca="1">(VLOOKUP(FF$72,INDIRECT($C$5&amp;"生成成长"),2))/((VLOOKUP($B80,INDIRECT($B$5&amp;"生成成长"),4))/(VLOOKUP(FF$72,INDIRECT($C$5&amp;"生成成长"),5))*(VLOOKUP($B$5,标准坦克设计!$B$24:$U$30,MATCH("对"&amp;LEFT($C$5,2)&amp;"输出",标准坦克设计!$B$23:$U$23,0)))*(VLOOKUP($B80,INDIRECT($B$5&amp;"生成成长"),3))*(VLOOKUP($B$5,标准坦克设计!$B$14:$K$20,9)/30))</f>
        <v>86.413922866858286</v>
      </c>
      <c r="FG80" s="172">
        <f ca="1">(VLOOKUP(FG$72,INDIRECT($C$5&amp;"生成成长"),2))/((VLOOKUP($B80,INDIRECT($B$5&amp;"生成成长"),4))/(VLOOKUP(FG$72,INDIRECT($C$5&amp;"生成成长"),5))*(VLOOKUP($B$5,标准坦克设计!$B$24:$U$30,MATCH("对"&amp;LEFT($C$5,2)&amp;"输出",标准坦克设计!$B$23:$U$23,0)))*(VLOOKUP($B80,INDIRECT($B$5&amp;"生成成长"),3))*(VLOOKUP($B$5,标准坦克设计!$B$14:$K$20,9)/30))</f>
        <v>91.885825659369431</v>
      </c>
      <c r="FH80" s="172">
        <f ca="1">(VLOOKUP(FH$72,INDIRECT($C$5&amp;"生成成长"),2))/((VLOOKUP($B80,INDIRECT($B$5&amp;"生成成长"),4))/(VLOOKUP(FH$72,INDIRECT($C$5&amp;"生成成长"),5))*(VLOOKUP($B$5,标准坦克设计!$B$24:$U$30,MATCH("对"&amp;LEFT($C$5,2)&amp;"输出",标准坦克设计!$B$23:$U$23,0)))*(VLOOKUP($B80,INDIRECT($B$5&amp;"生成成长"),3))*(VLOOKUP($B$5,标准坦克设计!$B$14:$K$20,9)/30))</f>
        <v>97.525697132642492</v>
      </c>
      <c r="FI80" s="172">
        <f ca="1">(VLOOKUP(FI$72,INDIRECT($C$5&amp;"生成成长"),2))/((VLOOKUP($B80,INDIRECT($B$5&amp;"生成成长"),4))/(VLOOKUP(FI$72,INDIRECT($C$5&amp;"生成成长"),5))*(VLOOKUP($B$5,标准坦克设计!$B$24:$U$30,MATCH("对"&amp;LEFT($C$5,2)&amp;"输出",标准坦克设计!$B$23:$U$23,0)))*(VLOOKUP($B80,INDIRECT($B$5&amp;"生成成长"),3))*(VLOOKUP($B$5,标准坦克设计!$B$14:$K$20,9)/30))</f>
        <v>103.33353728667737</v>
      </c>
      <c r="FJ80" s="172">
        <f ca="1">(VLOOKUP(FJ$72,INDIRECT($C$5&amp;"生成成长"),2))/((VLOOKUP($B80,INDIRECT($B$5&amp;"生成成长"),4))/(VLOOKUP(FJ$72,INDIRECT($C$5&amp;"生成成长"),5))*(VLOOKUP($B$5,标准坦克设计!$B$24:$U$30,MATCH("对"&amp;LEFT($C$5,2)&amp;"输出",标准坦克设计!$B$23:$U$23,0)))*(VLOOKUP($B80,INDIRECT($B$5&amp;"生成成长"),3))*(VLOOKUP($B$5,标准坦克设计!$B$14:$K$20,9)/30))</f>
        <v>109.30934612147409</v>
      </c>
      <c r="FK80" s="172">
        <f ca="1">(VLOOKUP(FK$72,INDIRECT($C$5&amp;"生成成长"),2))/((VLOOKUP($B80,INDIRECT($B$5&amp;"生成成长"),4))/(VLOOKUP(FK$72,INDIRECT($C$5&amp;"生成成长"),5))*(VLOOKUP($B$5,标准坦克设计!$B$24:$U$30,MATCH("对"&amp;LEFT($C$5,2)&amp;"输出",标准坦克设计!$B$23:$U$23,0)))*(VLOOKUP($B80,INDIRECT($B$5&amp;"生成成长"),3))*(VLOOKUP($B$5,标准坦克设计!$B$14:$K$20,9)/30))</f>
        <v>115.45312363703268</v>
      </c>
    </row>
    <row r="81" spans="1:167" x14ac:dyDescent="0.15">
      <c r="A81" s="170" t="str">
        <f t="shared" si="11"/>
        <v>T2低品质4级</v>
      </c>
      <c r="B81" s="171">
        <v>10204</v>
      </c>
      <c r="C81" s="172">
        <f ca="1">(VLOOKUP(C$72,INDIRECT($C$5&amp;"生成成长"),2))/((VLOOKUP($B81,INDIRECT($B$5&amp;"生成成长"),4))/(VLOOKUP(C$72,INDIRECT($C$5&amp;"生成成长"),5))*(VLOOKUP($B$5,标准坦克设计!$B$24:$U$30,MATCH("对"&amp;LEFT($C$5,2)&amp;"输出",标准坦克设计!$B$23:$U$23,0)))*(VLOOKUP($B81,INDIRECT($B$5&amp;"生成成长"),3))*(VLOOKUP($B$5,标准坦克设计!$B$14:$K$20,9)/30))</f>
        <v>4.4166757444343867</v>
      </c>
      <c r="D81" s="172">
        <f ca="1">(VLOOKUP(D$72,INDIRECT($C$5&amp;"生成成长"),2))/((VLOOKUP($B81,INDIRECT($B$5&amp;"生成成长"),4))/(VLOOKUP(D$72,INDIRECT($C$5&amp;"生成成长"),5))*(VLOOKUP($B$5,标准坦克设计!$B$24:$U$30,MATCH("对"&amp;LEFT($C$5,2)&amp;"输出",标准坦克设计!$B$23:$U$23,0)))*(VLOOKUP($B81,INDIRECT($B$5&amp;"生成成长"),3))*(VLOOKUP($B$5,标准坦克设计!$B$14:$K$20,9)/30))</f>
        <v>4.9625768664464776</v>
      </c>
      <c r="E81" s="172">
        <f ca="1">(VLOOKUP(E$72,INDIRECT($C$5&amp;"生成成长"),2))/((VLOOKUP($B81,INDIRECT($B$5&amp;"生成成长"),4))/(VLOOKUP(E$72,INDIRECT($C$5&amp;"生成成长"),5))*(VLOOKUP($B$5,标准坦克设计!$B$24:$U$30,MATCH("对"&amp;LEFT($C$5,2)&amp;"输出",标准坦克设计!$B$23:$U$23,0)))*(VLOOKUP($B81,INDIRECT($B$5&amp;"生成成长"),3))*(VLOOKUP($B$5,标准坦克设计!$B$14:$K$20,9)/30))</f>
        <v>5.5402780538184944</v>
      </c>
      <c r="F81" s="172">
        <f ca="1">(VLOOKUP(F$72,INDIRECT($C$5&amp;"生成成长"),2))/((VLOOKUP($B81,INDIRECT($B$5&amp;"生成成长"),4))/(VLOOKUP(F$72,INDIRECT($C$5&amp;"生成成长"),5))*(VLOOKUP($B$5,标准坦克设计!$B$24:$U$30,MATCH("对"&amp;LEFT($C$5,2)&amp;"输出",标准坦克设计!$B$23:$U$23,0)))*(VLOOKUP($B81,INDIRECT($B$5&amp;"生成成长"),3))*(VLOOKUP($B$5,标准坦克设计!$B$14:$K$20,9)/30))</f>
        <v>6.1497793065504389</v>
      </c>
      <c r="G81" s="172">
        <f ca="1">(VLOOKUP(G$72,INDIRECT($C$5&amp;"生成成长"),2))/((VLOOKUP($B81,INDIRECT($B$5&amp;"生成成长"),4))/(VLOOKUP(G$72,INDIRECT($C$5&amp;"生成成长"),5))*(VLOOKUP($B$5,标准坦克设计!$B$24:$U$30,MATCH("对"&amp;LEFT($C$5,2)&amp;"输出",标准坦克设计!$B$23:$U$23,0)))*(VLOOKUP($B81,INDIRECT($B$5&amp;"生成成长"),3))*(VLOOKUP($B$5,标准坦克设计!$B$14:$K$20,9)/30))</f>
        <v>6.7910806246423112</v>
      </c>
      <c r="H81" s="172">
        <f ca="1">(VLOOKUP(H$72,INDIRECT($C$5&amp;"生成成长"),2))/((VLOOKUP($B81,INDIRECT($B$5&amp;"生成成长"),4))/(VLOOKUP(H$72,INDIRECT($C$5&amp;"生成成长"),5))*(VLOOKUP($B$5,标准坦克设计!$B$24:$U$30,MATCH("对"&amp;LEFT($C$5,2)&amp;"输出",标准坦克设计!$B$23:$U$23,0)))*(VLOOKUP($B81,INDIRECT($B$5&amp;"生成成长"),3))*(VLOOKUP($B$5,标准坦克设计!$B$14:$K$20,9)/30))</f>
        <v>5.9430788817109104</v>
      </c>
      <c r="I81" s="172">
        <f ca="1">(VLOOKUP(I$72,INDIRECT($C$5&amp;"生成成长"),2))/((VLOOKUP($B81,INDIRECT($B$5&amp;"生成成长"),4))/(VLOOKUP(I$72,INDIRECT($C$5&amp;"生成成长"),5))*(VLOOKUP($B$5,标准坦克设计!$B$24:$U$30,MATCH("对"&amp;LEFT($C$5,2)&amp;"输出",标准坦克设计!$B$23:$U$23,0)))*(VLOOKUP($B81,INDIRECT($B$5&amp;"生成成长"),3))*(VLOOKUP($B$5,标准坦克设计!$B$14:$K$20,9)/30))</f>
        <v>6.7910806246423112</v>
      </c>
      <c r="J81" s="172">
        <f ca="1">(VLOOKUP(J$72,INDIRECT($C$5&amp;"生成成长"),2))/((VLOOKUP($B81,INDIRECT($B$5&amp;"生成成长"),4))/(VLOOKUP(J$72,INDIRECT($C$5&amp;"生成成长"),5))*(VLOOKUP($B$5,标准坦克设计!$B$24:$U$30,MATCH("对"&amp;LEFT($C$5,2)&amp;"输出",标准坦克设计!$B$23:$U$23,0)))*(VLOOKUP($B81,INDIRECT($B$5&amp;"生成成长"),3))*(VLOOKUP($B$5,标准坦克设计!$B$14:$K$20,9)/30))</f>
        <v>7.6956158171024764</v>
      </c>
      <c r="K81" s="172">
        <f ca="1">(VLOOKUP(K$72,INDIRECT($C$5&amp;"生成成长"),2))/((VLOOKUP($B81,INDIRECT($B$5&amp;"生成成长"),4))/(VLOOKUP(K$72,INDIRECT($C$5&amp;"生成成长"),5))*(VLOOKUP($B$5,标准坦克设计!$B$24:$U$30,MATCH("对"&amp;LEFT($C$5,2)&amp;"输出",标准坦克设计!$B$23:$U$23,0)))*(VLOOKUP($B81,INDIRECT($B$5&amp;"生成成长"),3))*(VLOOKUP($B$5,标准坦克设计!$B$14:$K$20,9)/30))</f>
        <v>8.6566844590913981</v>
      </c>
      <c r="L81" s="172">
        <f ca="1">(VLOOKUP(L$72,INDIRECT($C$5&amp;"生成成长"),2))/((VLOOKUP($B81,INDIRECT($B$5&amp;"生成成长"),4))/(VLOOKUP(L$72,INDIRECT($C$5&amp;"生成成长"),5))*(VLOOKUP($B$5,标准坦克设计!$B$24:$U$30,MATCH("对"&amp;LEFT($C$5,2)&amp;"输出",标准坦克设计!$B$23:$U$23,0)))*(VLOOKUP($B81,INDIRECT($B$5&amp;"生成成长"),3))*(VLOOKUP($B$5,标准坦克设计!$B$14:$K$20,9)/30))</f>
        <v>9.6742865506090805</v>
      </c>
      <c r="M81" s="172">
        <f ca="1">(VLOOKUP(M$72,INDIRECT($C$5&amp;"生成成长"),2))/((VLOOKUP($B81,INDIRECT($B$5&amp;"生成成长"),4))/(VLOOKUP(M$72,INDIRECT($C$5&amp;"生成成长"),5))*(VLOOKUP($B$5,标准坦克设计!$B$24:$U$30,MATCH("对"&amp;LEFT($C$5,2)&amp;"输出",标准坦克设计!$B$23:$U$23,0)))*(VLOOKUP($B81,INDIRECT($B$5&amp;"生成成长"),3))*(VLOOKUP($B$5,标准坦克设计!$B$14:$K$20,9)/30))</f>
        <v>10.748422091655524</v>
      </c>
      <c r="N81" s="172">
        <f ca="1">(VLOOKUP(N$72,INDIRECT($C$5&amp;"生成成长"),2))/((VLOOKUP($B81,INDIRECT($B$5&amp;"生成成长"),4))/(VLOOKUP(N$72,INDIRECT($C$5&amp;"生成成长"),5))*(VLOOKUP($B$5,标准坦克设计!$B$24:$U$30,MATCH("对"&amp;LEFT($C$5,2)&amp;"输出",标准坦克设计!$B$23:$U$23,0)))*(VLOOKUP($B81,INDIRECT($B$5&amp;"生成成长"),3))*(VLOOKUP($B$5,标准坦克设计!$B$14:$K$20,9)/30))</f>
        <v>11.879091082230724</v>
      </c>
      <c r="O81" s="172">
        <f ca="1">(VLOOKUP(O$72,INDIRECT($C$5&amp;"生成成长"),2))/((VLOOKUP($B81,INDIRECT($B$5&amp;"生成成长"),4))/(VLOOKUP(O$72,INDIRECT($C$5&amp;"生成成长"),5))*(VLOOKUP($B$5,标准坦克设计!$B$24:$U$30,MATCH("对"&amp;LEFT($C$5,2)&amp;"输出",标准坦克设计!$B$23:$U$23,0)))*(VLOOKUP($B81,INDIRECT($B$5&amp;"生成成长"),3))*(VLOOKUP($B$5,标准坦克设计!$B$14:$K$20,9)/30))</f>
        <v>9.0316602297938751</v>
      </c>
      <c r="P81" s="172">
        <f ca="1">(VLOOKUP(P$72,INDIRECT($C$5&amp;"生成成长"),2))/((VLOOKUP($B81,INDIRECT($B$5&amp;"生成成长"),4))/(VLOOKUP(P$72,INDIRECT($C$5&amp;"生成成长"),5))*(VLOOKUP($B$5,标准坦克设计!$B$24:$U$30,MATCH("对"&amp;LEFT($C$5,2)&amp;"输出",标准坦克设计!$B$23:$U$23,0)))*(VLOOKUP($B81,INDIRECT($B$5&amp;"生成成长"),3))*(VLOOKUP($B$5,标准坦克设计!$B$14:$K$20,9)/30))</f>
        <v>10.204287639941207</v>
      </c>
      <c r="Q81" s="172">
        <f ca="1">(VLOOKUP(Q$72,INDIRECT($C$5&amp;"生成成长"),2))/((VLOOKUP($B81,INDIRECT($B$5&amp;"生成成长"),4))/(VLOOKUP(Q$72,INDIRECT($C$5&amp;"生成成长"),5))*(VLOOKUP($B$5,标准坦克设计!$B$24:$U$30,MATCH("对"&amp;LEFT($C$5,2)&amp;"输出",标准坦克设计!$B$23:$U$23,0)))*(VLOOKUP($B81,INDIRECT($B$5&amp;"生成成长"),3))*(VLOOKUP($B$5,标准坦克设计!$B$14:$K$20,9)/30))</f>
        <v>11.448465197148371</v>
      </c>
      <c r="R81" s="172">
        <f ca="1">(VLOOKUP(R$72,INDIRECT($C$5&amp;"生成成长"),2))/((VLOOKUP($B81,INDIRECT($B$5&amp;"生成成长"),4))/(VLOOKUP(R$72,INDIRECT($C$5&amp;"生成成长"),5))*(VLOOKUP($B$5,标准坦克设计!$B$24:$U$30,MATCH("对"&amp;LEFT($C$5,2)&amp;"输出",标准坦克设计!$B$23:$U$23,0)))*(VLOOKUP($B81,INDIRECT($B$5&amp;"生成成长"),3))*(VLOOKUP($B$5,标准坦克设计!$B$14:$K$20,9)/30))</f>
        <v>12.764192901415377</v>
      </c>
      <c r="S81" s="172">
        <f ca="1">(VLOOKUP(S$72,INDIRECT($C$5&amp;"生成成长"),2))/((VLOOKUP($B81,INDIRECT($B$5&amp;"生成成长"),4))/(VLOOKUP(S$72,INDIRECT($C$5&amp;"生成成长"),5))*(VLOOKUP($B$5,标准坦克设计!$B$24:$U$30,MATCH("对"&amp;LEFT($C$5,2)&amp;"输出",标准坦克设计!$B$23:$U$23,0)))*(VLOOKUP($B81,INDIRECT($B$5&amp;"生成成长"),3))*(VLOOKUP($B$5,标准坦克设计!$B$14:$K$20,9)/30))</f>
        <v>14.15147075274222</v>
      </c>
      <c r="T81" s="172">
        <f ca="1">(VLOOKUP(T$72,INDIRECT($C$5&amp;"生成成长"),2))/((VLOOKUP($B81,INDIRECT($B$5&amp;"生成成长"),4))/(VLOOKUP(T$72,INDIRECT($C$5&amp;"生成成长"),5))*(VLOOKUP($B$5,标准坦克设计!$B$24:$U$30,MATCH("对"&amp;LEFT($C$5,2)&amp;"输出",标准坦克设计!$B$23:$U$23,0)))*(VLOOKUP($B81,INDIRECT($B$5&amp;"生成成长"),3))*(VLOOKUP($B$5,标准坦克设计!$B$14:$K$20,9)/30))</f>
        <v>15.610298751128898</v>
      </c>
      <c r="U81" s="172">
        <f ca="1">(VLOOKUP(U$72,INDIRECT($C$5&amp;"生成成长"),2))/((VLOOKUP($B81,INDIRECT($B$5&amp;"生成成长"),4))/(VLOOKUP(U$72,INDIRECT($C$5&amp;"生成成长"),5))*(VLOOKUP($B$5,标准坦克设计!$B$24:$U$30,MATCH("对"&amp;LEFT($C$5,2)&amp;"输出",标准坦克设计!$B$23:$U$23,0)))*(VLOOKUP($B81,INDIRECT($B$5&amp;"生成成长"),3))*(VLOOKUP($B$5,标准坦克设计!$B$14:$K$20,9)/30))</f>
        <v>17.14067689657541</v>
      </c>
      <c r="V81" s="172">
        <f ca="1">(VLOOKUP(V$72,INDIRECT($C$5&amp;"生成成长"),2))/((VLOOKUP($B81,INDIRECT($B$5&amp;"生成成长"),4))/(VLOOKUP(V$72,INDIRECT($C$5&amp;"生成成长"),5))*(VLOOKUP($B$5,标准坦克设计!$B$24:$U$30,MATCH("对"&amp;LEFT($C$5,2)&amp;"输出",标准坦克设计!$B$23:$U$23,0)))*(VLOOKUP($B81,INDIRECT($B$5&amp;"生成成长"),3))*(VLOOKUP($B$5,标准坦克设计!$B$14:$K$20,9)/30))</f>
        <v>18.742605189081765</v>
      </c>
      <c r="W81" s="172">
        <f ca="1">(VLOOKUP(W$72,INDIRECT($C$5&amp;"生成成长"),2))/((VLOOKUP($B81,INDIRECT($B$5&amp;"生成成长"),4))/(VLOOKUP(W$72,INDIRECT($C$5&amp;"生成成长"),5))*(VLOOKUP($B$5,标准坦克设计!$B$24:$U$30,MATCH("对"&amp;LEFT($C$5,2)&amp;"输出",标准坦克设计!$B$23:$U$23,0)))*(VLOOKUP($B81,INDIRECT($B$5&amp;"生成成长"),3))*(VLOOKUP($B$5,标准坦克设计!$B$14:$K$20,9)/30))</f>
        <v>20.41608362864795</v>
      </c>
      <c r="X81" s="172">
        <f ca="1">(VLOOKUP(X$72,INDIRECT($C$5&amp;"生成成长"),2))/((VLOOKUP($B81,INDIRECT($B$5&amp;"生成成长"),4))/(VLOOKUP(X$72,INDIRECT($C$5&amp;"生成成长"),5))*(VLOOKUP($B$5,标准坦克设计!$B$24:$U$30,MATCH("对"&amp;LEFT($C$5,2)&amp;"输出",标准坦克设计!$B$23:$U$23,0)))*(VLOOKUP($B81,INDIRECT($B$5&amp;"生成成长"),3))*(VLOOKUP($B$5,标准坦克设计!$B$14:$K$20,9)/30))</f>
        <v>14.791005400536319</v>
      </c>
      <c r="Y81" s="172">
        <f ca="1">(VLOOKUP(Y$72,INDIRECT($C$5&amp;"生成成长"),2))/((VLOOKUP($B81,INDIRECT($B$5&amp;"生成成长"),4))/(VLOOKUP(Y$72,INDIRECT($C$5&amp;"生成成长"),5))*(VLOOKUP($B$5,标准坦克设计!$B$24:$U$30,MATCH("对"&amp;LEFT($C$5,2)&amp;"输出",标准坦克设计!$B$23:$U$23,0)))*(VLOOKUP($B81,INDIRECT($B$5&amp;"生成成长"),3))*(VLOOKUP($B$5,标准坦克设计!$B$14:$K$20,9)/30))</f>
        <v>16.451675480443644</v>
      </c>
      <c r="Z81" s="172">
        <f ca="1">(VLOOKUP(Z$72,INDIRECT($C$5&amp;"生成成长"),2))/((VLOOKUP($B81,INDIRECT($B$5&amp;"生成成长"),4))/(VLOOKUP(Z$72,INDIRECT($C$5&amp;"生成成长"),5))*(VLOOKUP($B$5,标准坦克设计!$B$24:$U$30,MATCH("对"&amp;LEFT($C$5,2)&amp;"输出",标准坦克设计!$B$23:$U$23,0)))*(VLOOKUP($B81,INDIRECT($B$5&amp;"生成成长"),3))*(VLOOKUP($B$5,标准坦克设计!$B$14:$K$20,9)/30))</f>
        <v>18.200679075239663</v>
      </c>
      <c r="AA81" s="172">
        <f ca="1">(VLOOKUP(AA$72,INDIRECT($C$5&amp;"生成成长"),2))/((VLOOKUP($B81,INDIRECT($B$5&amp;"生成成长"),4))/(VLOOKUP(AA$72,INDIRECT($C$5&amp;"生成成长"),5))*(VLOOKUP($B$5,标准坦克设计!$B$24:$U$30,MATCH("对"&amp;LEFT($C$5,2)&amp;"输出",标准坦克设计!$B$23:$U$23,0)))*(VLOOKUP($B81,INDIRECT($B$5&amp;"生成成长"),3))*(VLOOKUP($B$5,标准坦克设计!$B$14:$K$20,9)/30))</f>
        <v>20.038016184924366</v>
      </c>
      <c r="AB81" s="172">
        <f ca="1">(VLOOKUP(AB$72,INDIRECT($C$5&amp;"生成成长"),2))/((VLOOKUP($B81,INDIRECT($B$5&amp;"生成成长"),4))/(VLOOKUP(AB$72,INDIRECT($C$5&amp;"生成成长"),5))*(VLOOKUP($B$5,标准坦克设计!$B$24:$U$30,MATCH("对"&amp;LEFT($C$5,2)&amp;"输出",标准坦克设计!$B$23:$U$23,0)))*(VLOOKUP($B81,INDIRECT($B$5&amp;"生成成长"),3))*(VLOOKUP($B$5,标准坦克设计!$B$14:$K$20,9)/30))</f>
        <v>21.963686809497762</v>
      </c>
      <c r="AC81" s="172">
        <f ca="1">(VLOOKUP(AC$72,INDIRECT($C$5&amp;"生成成长"),2))/((VLOOKUP($B81,INDIRECT($B$5&amp;"生成成长"),4))/(VLOOKUP(AC$72,INDIRECT($C$5&amp;"生成成长"),5))*(VLOOKUP($B$5,标准坦克设计!$B$24:$U$30,MATCH("对"&amp;LEFT($C$5,2)&amp;"输出",标准坦克设计!$B$23:$U$23,0)))*(VLOOKUP($B81,INDIRECT($B$5&amp;"生成成长"),3))*(VLOOKUP($B$5,标准坦克设计!$B$14:$K$20,9)/30))</f>
        <v>23.97769094895984</v>
      </c>
      <c r="AD81" s="172">
        <f ca="1">(VLOOKUP(AD$72,INDIRECT($C$5&amp;"生成成长"),2))/((VLOOKUP($B81,INDIRECT($B$5&amp;"生成成长"),4))/(VLOOKUP(AD$72,INDIRECT($C$5&amp;"生成成长"),5))*(VLOOKUP($B$5,标准坦克设计!$B$24:$U$30,MATCH("对"&amp;LEFT($C$5,2)&amp;"输出",标准坦克设计!$B$23:$U$23,0)))*(VLOOKUP($B81,INDIRECT($B$5&amp;"生成成长"),3))*(VLOOKUP($B$5,标准坦克设计!$B$14:$K$20,9)/30))</f>
        <v>26.080028603310609</v>
      </c>
      <c r="AE81" s="172">
        <f ca="1">(VLOOKUP(AE$72,INDIRECT($C$5&amp;"生成成长"),2))/((VLOOKUP($B81,INDIRECT($B$5&amp;"生成成长"),4))/(VLOOKUP(AE$72,INDIRECT($C$5&amp;"生成成长"),5))*(VLOOKUP($B$5,标准坦克设计!$B$24:$U$30,MATCH("对"&amp;LEFT($C$5,2)&amp;"输出",标准坦克设计!$B$23:$U$23,0)))*(VLOOKUP($B81,INDIRECT($B$5&amp;"生成成长"),3))*(VLOOKUP($B$5,标准坦克设计!$B$14:$K$20,9)/30))</f>
        <v>28.270699772550063</v>
      </c>
      <c r="AF81" s="172">
        <f ca="1">(VLOOKUP(AF$72,INDIRECT($C$5&amp;"生成成长"),2))/((VLOOKUP($B81,INDIRECT($B$5&amp;"生成成长"),4))/(VLOOKUP(AF$72,INDIRECT($C$5&amp;"生成成长"),5))*(VLOOKUP($B$5,标准坦克设计!$B$24:$U$30,MATCH("对"&amp;LEFT($C$5,2)&amp;"输出",标准坦克设计!$B$23:$U$23,0)))*(VLOOKUP($B81,INDIRECT($B$5&amp;"生成成长"),3))*(VLOOKUP($B$5,标准坦克设计!$B$14:$K$20,9)/30))</f>
        <v>30.549704456678207</v>
      </c>
      <c r="AG81" s="172">
        <f ca="1">(VLOOKUP(AG$72,INDIRECT($C$5&amp;"生成成长"),2))/((VLOOKUP($B81,INDIRECT($B$5&amp;"生成成长"),4))/(VLOOKUP(AG$72,INDIRECT($C$5&amp;"生成成长"),5))*(VLOOKUP($B$5,标准坦克设计!$B$24:$U$30,MATCH("对"&amp;LEFT($C$5,2)&amp;"输出",标准坦克设计!$B$23:$U$23,0)))*(VLOOKUP($B81,INDIRECT($B$5&amp;"生成成长"),3))*(VLOOKUP($B$5,标准坦克设计!$B$14:$K$20,9)/30))</f>
        <v>32.917042655695042</v>
      </c>
      <c r="AH81" s="172">
        <f ca="1">(VLOOKUP(AH$72,INDIRECT($C$5&amp;"生成成长"),2))/((VLOOKUP($B81,INDIRECT($B$5&amp;"生成成长"),4))/(VLOOKUP(AH$72,INDIRECT($C$5&amp;"生成成长"),5))*(VLOOKUP($B$5,标准坦克设计!$B$24:$U$30,MATCH("对"&amp;LEFT($C$5,2)&amp;"输出",标准坦克设计!$B$23:$U$23,0)))*(VLOOKUP($B81,INDIRECT($B$5&amp;"生成成长"),3))*(VLOOKUP($B$5,标准坦克设计!$B$14:$K$20,9)/30))</f>
        <v>35.372714369600551</v>
      </c>
      <c r="AI81" s="172">
        <f ca="1">(VLOOKUP(AI$72,INDIRECT($C$5&amp;"生成成长"),2))/((VLOOKUP($B81,INDIRECT($B$5&amp;"生成成长"),4))/(VLOOKUP(AI$72,INDIRECT($C$5&amp;"生成成长"),5))*(VLOOKUP($B$5,标准坦克设计!$B$24:$U$30,MATCH("对"&amp;LEFT($C$5,2)&amp;"输出",标准坦克设计!$B$23:$U$23,0)))*(VLOOKUP($B81,INDIRECT($B$5&amp;"生成成长"),3))*(VLOOKUP($B$5,标准坦克设计!$B$14:$K$20,9)/30))</f>
        <v>25.017818086774135</v>
      </c>
      <c r="AJ81" s="172">
        <f ca="1">(VLOOKUP(AJ$72,INDIRECT($C$5&amp;"生成成长"),2))/((VLOOKUP($B81,INDIRECT($B$5&amp;"生成成长"),4))/(VLOOKUP(AJ$72,INDIRECT($C$5&amp;"生成成长"),5))*(VLOOKUP($B$5,标准坦克设计!$B$24:$U$30,MATCH("对"&amp;LEFT($C$5,2)&amp;"输出",标准坦克设计!$B$23:$U$23,0)))*(VLOOKUP($B81,INDIRECT($B$5&amp;"生成成长"),3))*(VLOOKUP($B$5,标准坦克设计!$B$14:$K$20,9)/30))</f>
        <v>27.383831283067639</v>
      </c>
      <c r="AK81" s="172">
        <f ca="1">(VLOOKUP(AK$72,INDIRECT($C$5&amp;"生成成长"),2))/((VLOOKUP($B81,INDIRECT($B$5&amp;"生成成长"),4))/(VLOOKUP(AK$72,INDIRECT($C$5&amp;"生成成长"),5))*(VLOOKUP($B$5,标准坦克设计!$B$24:$U$30,MATCH("对"&amp;LEFT($C$5,2)&amp;"输出",标准坦克设计!$B$23:$U$23,0)))*(VLOOKUP($B81,INDIRECT($B$5&amp;"生成成长"),3))*(VLOOKUP($B$5,标准坦克设计!$B$14:$K$20,9)/30))</f>
        <v>29.856728032376456</v>
      </c>
      <c r="AL81" s="172">
        <f ca="1">(VLOOKUP(AL$72,INDIRECT($C$5&amp;"生成成长"),2))/((VLOOKUP($B81,INDIRECT($B$5&amp;"生成成长"),4))/(VLOOKUP(AL$72,INDIRECT($C$5&amp;"生成成长"),5))*(VLOOKUP($B$5,标准坦克设计!$B$24:$U$30,MATCH("对"&amp;LEFT($C$5,2)&amp;"输出",标准坦克设计!$B$23:$U$23,0)))*(VLOOKUP($B81,INDIRECT($B$5&amp;"生成成长"),3))*(VLOOKUP($B$5,标准坦克设计!$B$14:$K$20,9)/30))</f>
        <v>32.436508334700584</v>
      </c>
      <c r="AM81" s="172">
        <f ca="1">(VLOOKUP(AM$72,INDIRECT($C$5&amp;"生成成长"),2))/((VLOOKUP($B81,INDIRECT($B$5&amp;"生成成长"),4))/(VLOOKUP(AM$72,INDIRECT($C$5&amp;"生成成长"),5))*(VLOOKUP($B$5,标准坦克设计!$B$24:$U$30,MATCH("对"&amp;LEFT($C$5,2)&amp;"输出",标准坦克设计!$B$23:$U$23,0)))*(VLOOKUP($B81,INDIRECT($B$5&amp;"生成成长"),3))*(VLOOKUP($B$5,标准坦克设计!$B$14:$K$20,9)/30))</f>
        <v>35.123172190040016</v>
      </c>
      <c r="AN81" s="172">
        <f ca="1">(VLOOKUP(AN$72,INDIRECT($C$5&amp;"生成成长"),2))/((VLOOKUP($B81,INDIRECT($B$5&amp;"生成成长"),4))/(VLOOKUP(AN$72,INDIRECT($C$5&amp;"生成成长"),5))*(VLOOKUP($B$5,标准坦克设计!$B$24:$U$30,MATCH("对"&amp;LEFT($C$5,2)&amp;"输出",标准坦克设计!$B$23:$U$23,0)))*(VLOOKUP($B81,INDIRECT($B$5&amp;"生成成长"),3))*(VLOOKUP($B$5,标准坦克设计!$B$14:$K$20,9)/30))</f>
        <v>37.916719598394764</v>
      </c>
      <c r="AO81" s="172">
        <f ca="1">(VLOOKUP(AO$72,INDIRECT($C$5&amp;"生成成长"),2))/((VLOOKUP($B81,INDIRECT($B$5&amp;"生成成长"),4))/(VLOOKUP(AO$72,INDIRECT($C$5&amp;"生成成长"),5))*(VLOOKUP($B$5,标准坦克设计!$B$24:$U$30,MATCH("对"&amp;LEFT($C$5,2)&amp;"输出",标准坦克设计!$B$23:$U$23,0)))*(VLOOKUP($B81,INDIRECT($B$5&amp;"生成成长"),3))*(VLOOKUP($B$5,标准坦克设计!$B$14:$K$20,9)/30))</f>
        <v>40.817150559764826</v>
      </c>
      <c r="AP81" s="172">
        <f ca="1">(VLOOKUP(AP$72,INDIRECT($C$5&amp;"生成成长"),2))/((VLOOKUP($B81,INDIRECT($B$5&amp;"生成成长"),4))/(VLOOKUP(AP$72,INDIRECT($C$5&amp;"生成成长"),5))*(VLOOKUP($B$5,标准坦克设计!$B$24:$U$30,MATCH("对"&amp;LEFT($C$5,2)&amp;"输出",标准坦克设计!$B$23:$U$23,0)))*(VLOOKUP($B81,INDIRECT($B$5&amp;"生成成长"),3))*(VLOOKUP($B$5,标准坦克设计!$B$14:$K$20,9)/30))</f>
        <v>43.824465074150204</v>
      </c>
      <c r="AQ81" s="172">
        <f ca="1">(VLOOKUP(AQ$72,INDIRECT($C$5&amp;"生成成长"),2))/((VLOOKUP($B81,INDIRECT($B$5&amp;"生成成长"),4))/(VLOOKUP(AQ$72,INDIRECT($C$5&amp;"生成成长"),5))*(VLOOKUP($B$5,标准坦克设计!$B$24:$U$30,MATCH("对"&amp;LEFT($C$5,2)&amp;"输出",标准坦克设计!$B$23:$U$23,0)))*(VLOOKUP($B81,INDIRECT($B$5&amp;"生成成长"),3))*(VLOOKUP($B$5,标准坦克设计!$B$14:$K$20,9)/30))</f>
        <v>46.938663141550876</v>
      </c>
      <c r="AR81" s="172">
        <f ca="1">(VLOOKUP(AR$72,INDIRECT($C$5&amp;"生成成长"),2))/((VLOOKUP($B81,INDIRECT($B$5&amp;"生成成长"),4))/(VLOOKUP(AR$72,INDIRECT($C$5&amp;"生成成长"),5))*(VLOOKUP($B$5,标准坦克设计!$B$24:$U$30,MATCH("对"&amp;LEFT($C$5,2)&amp;"输出",标准坦克设计!$B$23:$U$23,0)))*(VLOOKUP($B81,INDIRECT($B$5&amp;"生成成长"),3))*(VLOOKUP($B$5,标准坦克设计!$B$14:$K$20,9)/30))</f>
        <v>50.159744761966877</v>
      </c>
      <c r="AS81" s="172">
        <f ca="1">(VLOOKUP(AS$72,INDIRECT($C$5&amp;"生成成长"),2))/((VLOOKUP($B81,INDIRECT($B$5&amp;"生成成长"),4))/(VLOOKUP(AS$72,INDIRECT($C$5&amp;"生成成长"),5))*(VLOOKUP($B$5,标准坦克设计!$B$24:$U$30,MATCH("对"&amp;LEFT($C$5,2)&amp;"输出",标准坦克设计!$B$23:$U$23,0)))*(VLOOKUP($B81,INDIRECT($B$5&amp;"生成成长"),3))*(VLOOKUP($B$5,标准坦克设计!$B$14:$K$20,9)/30))</f>
        <v>53.487709935398186</v>
      </c>
      <c r="AT81" s="172">
        <f ca="1">(VLOOKUP(AT$72,INDIRECT($C$5&amp;"生成成长"),2))/((VLOOKUP($B81,INDIRECT($B$5&amp;"生成成长"),4))/(VLOOKUP(AT$72,INDIRECT($C$5&amp;"生成成长"),5))*(VLOOKUP($B$5,标准坦克设计!$B$24:$U$30,MATCH("对"&amp;LEFT($C$5,2)&amp;"输出",标准坦克设计!$B$23:$U$23,0)))*(VLOOKUP($B81,INDIRECT($B$5&amp;"生成成长"),3))*(VLOOKUP($B$5,标准坦克设计!$B$14:$K$20,9)/30))</f>
        <v>56.922558661844811</v>
      </c>
      <c r="AU81" s="172">
        <f ca="1">(VLOOKUP(AU$72,INDIRECT($C$5&amp;"生成成长"),2))/((VLOOKUP($B81,INDIRECT($B$5&amp;"生成成长"),4))/(VLOOKUP(AU$72,INDIRECT($C$5&amp;"生成成长"),5))*(VLOOKUP($B$5,标准坦克设计!$B$24:$U$30,MATCH("对"&amp;LEFT($C$5,2)&amp;"输出",标准坦克设计!$B$23:$U$23,0)))*(VLOOKUP($B81,INDIRECT($B$5&amp;"生成成长"),3))*(VLOOKUP($B$5,标准坦克设计!$B$14:$K$20,9)/30))</f>
        <v>60.46429094130675</v>
      </c>
      <c r="AV81" s="172">
        <f ca="1">(VLOOKUP(AV$72,INDIRECT($C$5&amp;"生成成长"),2))/((VLOOKUP($B81,INDIRECT($B$5&amp;"生成成长"),4))/(VLOOKUP(AV$72,INDIRECT($C$5&amp;"生成成长"),5))*(VLOOKUP($B$5,标准坦克设计!$B$24:$U$30,MATCH("对"&amp;LEFT($C$5,2)&amp;"输出",标准坦克设计!$B$23:$U$23,0)))*(VLOOKUP($B81,INDIRECT($B$5&amp;"生成成长"),3))*(VLOOKUP($B$5,标准坦克设计!$B$14:$K$20,9)/30))</f>
        <v>6.1497793065504389</v>
      </c>
      <c r="AW81" s="172">
        <f ca="1">(VLOOKUP(AW$72,INDIRECT($C$5&amp;"生成成长"),2))/((VLOOKUP($B81,INDIRECT($B$5&amp;"生成成长"),4))/(VLOOKUP(AW$72,INDIRECT($C$5&amp;"生成成长"),5))*(VLOOKUP($B$5,标准坦克设计!$B$24:$U$30,MATCH("对"&amp;LEFT($C$5,2)&amp;"输出",标准坦克设计!$B$23:$U$23,0)))*(VLOOKUP($B81,INDIRECT($B$5&amp;"生成成长"),3))*(VLOOKUP($B$5,标准坦克设计!$B$14:$K$20,9)/30))</f>
        <v>7.0119144118640317</v>
      </c>
      <c r="AX81" s="172">
        <f ca="1">(VLOOKUP(AX$72,INDIRECT($C$5&amp;"生成成长"),2))/((VLOOKUP($B81,INDIRECT($B$5&amp;"生成成长"),4))/(VLOOKUP(AX$72,INDIRECT($C$5&amp;"生成成长"),5))*(VLOOKUP($B$5,标准坦克设计!$B$24:$U$30,MATCH("对"&amp;LEFT($C$5,2)&amp;"输出",标准坦克设计!$B$23:$U$23,0)))*(VLOOKUP($B81,INDIRECT($B$5&amp;"生成成长"),3))*(VLOOKUP($B$5,标准坦克设计!$B$14:$K$20,9)/30))</f>
        <v>7.9305829667063854</v>
      </c>
      <c r="AY81" s="172">
        <f ca="1">(VLOOKUP(AY$72,INDIRECT($C$5&amp;"生成成长"),2))/((VLOOKUP($B81,INDIRECT($B$5&amp;"生成成长"),4))/(VLOOKUP(AY$72,INDIRECT($C$5&amp;"生成成长"),5))*(VLOOKUP($B$5,标准坦克设计!$B$24:$U$30,MATCH("对"&amp;LEFT($C$5,2)&amp;"输出",标准坦克设计!$B$23:$U$23,0)))*(VLOOKUP($B81,INDIRECT($B$5&amp;"生成成长"),3))*(VLOOKUP($B$5,标准坦克设计!$B$14:$K$20,9)/30))</f>
        <v>8.9057849710774963</v>
      </c>
      <c r="AZ81" s="172">
        <f ca="1">(VLOOKUP(AZ$72,INDIRECT($C$5&amp;"生成成长"),2))/((VLOOKUP($B81,INDIRECT($B$5&amp;"生成成长"),4))/(VLOOKUP(AZ$72,INDIRECT($C$5&amp;"生成成长"),5))*(VLOOKUP($B$5,标准坦克设计!$B$24:$U$30,MATCH("对"&amp;LEFT($C$5,2)&amp;"输出",标准坦克设计!$B$23:$U$23,0)))*(VLOOKUP($B81,INDIRECT($B$5&amp;"生成成长"),3))*(VLOOKUP($B$5,标准坦克设计!$B$14:$K$20,9)/30))</f>
        <v>9.9375204249773699</v>
      </c>
      <c r="BA81" s="172">
        <f ca="1">(VLOOKUP(BA$72,INDIRECT($C$5&amp;"生成成长"),2))/((VLOOKUP($B81,INDIRECT($B$5&amp;"生成成长"),4))/(VLOOKUP(BA$72,INDIRECT($C$5&amp;"生成成长"),5))*(VLOOKUP($B$5,标准坦克设计!$B$24:$U$30,MATCH("对"&amp;LEFT($C$5,2)&amp;"输出",标准坦克设计!$B$23:$U$23,0)))*(VLOOKUP($B81,INDIRECT($B$5&amp;"生成成长"),3))*(VLOOKUP($B$5,标准坦克设计!$B$14:$K$20,9)/30))</f>
        <v>11.025789328406002</v>
      </c>
      <c r="BB81" s="172">
        <f ca="1">(VLOOKUP(BB$72,INDIRECT($C$5&amp;"生成成长"),2))/((VLOOKUP($B81,INDIRECT($B$5&amp;"生成成长"),4))/(VLOOKUP(BB$72,INDIRECT($C$5&amp;"生成成长"),5))*(VLOOKUP($B$5,标准坦克设计!$B$24:$U$30,MATCH("对"&amp;LEFT($C$5,2)&amp;"输出",标准坦克设计!$B$23:$U$23,0)))*(VLOOKUP($B81,INDIRECT($B$5&amp;"生成成长"),3))*(VLOOKUP($B$5,标准坦克设计!$B$14:$K$20,9)/30))</f>
        <v>12.170591681363394</v>
      </c>
      <c r="BC81" s="172">
        <f ca="1">(VLOOKUP(BC$72,INDIRECT($C$5&amp;"生成成长"),2))/((VLOOKUP($B81,INDIRECT($B$5&amp;"生成成长"),4))/(VLOOKUP(BC$72,INDIRECT($C$5&amp;"生成成长"),5))*(VLOOKUP($B$5,标准坦克设计!$B$24:$U$30,MATCH("对"&amp;LEFT($C$5,2)&amp;"输出",标准坦克设计!$B$23:$U$23,0)))*(VLOOKUP($B81,INDIRECT($B$5&amp;"生成成长"),3))*(VLOOKUP($B$5,标准坦克设计!$B$14:$K$20,9)/30))</f>
        <v>13.371927483849547</v>
      </c>
      <c r="BD81" s="172">
        <f ca="1">(VLOOKUP(BD$72,INDIRECT($C$5&amp;"生成成长"),2))/((VLOOKUP($B81,INDIRECT($B$5&amp;"生成成长"),4))/(VLOOKUP(BD$72,INDIRECT($C$5&amp;"生成成长"),5))*(VLOOKUP($B$5,标准坦克设计!$B$24:$U$30,MATCH("对"&amp;LEFT($C$5,2)&amp;"输出",标准坦克设计!$B$23:$U$23,0)))*(VLOOKUP($B81,INDIRECT($B$5&amp;"生成成长"),3))*(VLOOKUP($B$5,标准坦克设计!$B$14:$K$20,9)/30))</f>
        <v>14.791005400536319</v>
      </c>
      <c r="BE81" s="172">
        <f ca="1">(VLOOKUP(BE$72,INDIRECT($C$5&amp;"生成成长"),2))/((VLOOKUP($B81,INDIRECT($B$5&amp;"生成成长"),4))/(VLOOKUP(BE$72,INDIRECT($C$5&amp;"生成成长"),5))*(VLOOKUP($B$5,标准坦克设计!$B$24:$U$30,MATCH("对"&amp;LEFT($C$5,2)&amp;"输出",标准坦克设计!$B$23:$U$23,0)))*(VLOOKUP($B81,INDIRECT($B$5&amp;"生成成长"),3))*(VLOOKUP($B$5,标准坦克设计!$B$14:$K$20,9)/30))</f>
        <v>16.281633464282926</v>
      </c>
      <c r="BF81" s="172">
        <f ca="1">(VLOOKUP(BF$72,INDIRECT($C$5&amp;"生成成长"),2))/((VLOOKUP($B81,INDIRECT($B$5&amp;"生成成长"),4))/(VLOOKUP(BF$72,INDIRECT($C$5&amp;"生成成长"),5))*(VLOOKUP($B$5,标准坦克设计!$B$24:$U$30,MATCH("对"&amp;LEFT($C$5,2)&amp;"输出",标准坦克设计!$B$23:$U$23,0)))*(VLOOKUP($B81,INDIRECT($B$5&amp;"生成成长"),3))*(VLOOKUP($B$5,标准坦克设计!$B$14:$K$20,9)/30))</f>
        <v>17.843811675089366</v>
      </c>
      <c r="BG81" s="172">
        <f ca="1">(VLOOKUP(BG$72,INDIRECT($C$5&amp;"生成成长"),2))/((VLOOKUP($B81,INDIRECT($B$5&amp;"生成成长"),4))/(VLOOKUP(BG$72,INDIRECT($C$5&amp;"生成成长"),5))*(VLOOKUP($B$5,标准坦克设计!$B$24:$U$30,MATCH("对"&amp;LEFT($C$5,2)&amp;"输出",标准坦克设计!$B$23:$U$23,0)))*(VLOOKUP($B81,INDIRECT($B$5&amp;"生成成长"),3))*(VLOOKUP($B$5,标准坦克设计!$B$14:$K$20,9)/30))</f>
        <v>19.477540032955645</v>
      </c>
      <c r="BH81" s="172">
        <f ca="1">(VLOOKUP(BH$72,INDIRECT($C$5&amp;"生成成长"),2))/((VLOOKUP($B81,INDIRECT($B$5&amp;"生成成长"),4))/(VLOOKUP(BH$72,INDIRECT($C$5&amp;"生成成长"),5))*(VLOOKUP($B$5,标准坦克设计!$B$24:$U$30,MATCH("对"&amp;LEFT($C$5,2)&amp;"输出",标准坦克设计!$B$23:$U$23,0)))*(VLOOKUP($B81,INDIRECT($B$5&amp;"生成成长"),3))*(VLOOKUP($B$5,标准坦克设计!$B$14:$K$20,9)/30))</f>
        <v>9.4145860168363384</v>
      </c>
      <c r="BI81" s="172">
        <f ca="1">(VLOOKUP(BI$72,INDIRECT($C$5&amp;"生成成长"),2))/((VLOOKUP($B81,INDIRECT($B$5&amp;"生成成长"),4))/(VLOOKUP(BI$72,INDIRECT($C$5&amp;"生成成长"),5))*(VLOOKUP($B$5,标准坦克设计!$B$24:$U$30,MATCH("对"&amp;LEFT($C$5,2)&amp;"输出",标准坦克设计!$B$23:$U$23,0)))*(VLOOKUP($B81,INDIRECT($B$5&amp;"生成成长"),3))*(VLOOKUP($B$5,标准坦克设计!$B$14:$K$20,9)/30))</f>
        <v>10.611063476003611</v>
      </c>
      <c r="BJ81" s="172">
        <f ca="1">(VLOOKUP(BJ$72,INDIRECT($C$5&amp;"生成成长"),2))/((VLOOKUP($B81,INDIRECT($B$5&amp;"生成成长"),4))/(VLOOKUP(BJ$72,INDIRECT($C$5&amp;"生成成长"),5))*(VLOOKUP($B$5,标准坦克设计!$B$24:$U$30,MATCH("对"&amp;LEFT($C$5,2)&amp;"输出",标准坦克设计!$B$23:$U$23,0)))*(VLOOKUP($B81,INDIRECT($B$5&amp;"生成成长"),3))*(VLOOKUP($B$5,标准坦克设计!$B$14:$K$20,9)/30))</f>
        <v>11.879091082230724</v>
      </c>
      <c r="BK81" s="172">
        <f ca="1">(VLOOKUP(BK$72,INDIRECT($C$5&amp;"生成成长"),2))/((VLOOKUP($B81,INDIRECT($B$5&amp;"生成成长"),4))/(VLOOKUP(BK$72,INDIRECT($C$5&amp;"生成成长"),5))*(VLOOKUP($B$5,标准坦克设计!$B$24:$U$30,MATCH("对"&amp;LEFT($C$5,2)&amp;"输出",标准坦克设计!$B$23:$U$23,0)))*(VLOOKUP($B81,INDIRECT($B$5&amp;"生成成长"),3))*(VLOOKUP($B$5,标准坦克设计!$B$14:$K$20,9)/30))</f>
        <v>13.218668835517674</v>
      </c>
      <c r="BL81" s="172">
        <f ca="1">(VLOOKUP(BL$72,INDIRECT($C$5&amp;"生成成长"),2))/((VLOOKUP($B81,INDIRECT($B$5&amp;"生成成长"),4))/(VLOOKUP(BL$72,INDIRECT($C$5&amp;"生成成长"),5))*(VLOOKUP($B$5,标准坦克设计!$B$24:$U$30,MATCH("对"&amp;LEFT($C$5,2)&amp;"输出",标准坦克设计!$B$23:$U$23,0)))*(VLOOKUP($B81,INDIRECT($B$5&amp;"生成成长"),3))*(VLOOKUP($B$5,标准坦克设计!$B$14:$K$20,9)/30))</f>
        <v>14.629796735864462</v>
      </c>
      <c r="BM81" s="172">
        <f ca="1">(VLOOKUP(BM$72,INDIRECT($C$5&amp;"生成成长"),2))/((VLOOKUP($B81,INDIRECT($B$5&amp;"生成成长"),4))/(VLOOKUP(BM$72,INDIRECT($C$5&amp;"生成成长"),5))*(VLOOKUP($B$5,标准坦克设计!$B$24:$U$30,MATCH("对"&amp;LEFT($C$5,2)&amp;"输出",标准坦克设计!$B$23:$U$23,0)))*(VLOOKUP($B81,INDIRECT($B$5&amp;"生成成长"),3))*(VLOOKUP($B$5,标准坦克设计!$B$14:$K$20,9)/30))</f>
        <v>16.112474783271086</v>
      </c>
      <c r="BN81" s="172">
        <f ca="1">(VLOOKUP(BN$72,INDIRECT($C$5&amp;"生成成长"),2))/((VLOOKUP($B81,INDIRECT($B$5&amp;"生成成长"),4))/(VLOOKUP(BN$72,INDIRECT($C$5&amp;"生成成长"),5))*(VLOOKUP($B$5,标准坦克设计!$B$24:$U$30,MATCH("对"&amp;LEFT($C$5,2)&amp;"输出",标准坦克设计!$B$23:$U$23,0)))*(VLOOKUP($B81,INDIRECT($B$5&amp;"生成成长"),3))*(VLOOKUP($B$5,标准坦克设计!$B$14:$K$20,9)/30))</f>
        <v>17.666702977737547</v>
      </c>
      <c r="BO81" s="172">
        <f ca="1">(VLOOKUP(BO$72,INDIRECT($C$5&amp;"生成成长"),2))/((VLOOKUP($B81,INDIRECT($B$5&amp;"生成成长"),4))/(VLOOKUP(BO$72,INDIRECT($C$5&amp;"生成成长"),5))*(VLOOKUP($B$5,标准坦克设计!$B$24:$U$30,MATCH("对"&amp;LEFT($C$5,2)&amp;"输出",标准坦克设计!$B$23:$U$23,0)))*(VLOOKUP($B81,INDIRECT($B$5&amp;"生成成长"),3))*(VLOOKUP($B$5,标准坦克设计!$B$14:$K$20,9)/30))</f>
        <v>19.292481319263842</v>
      </c>
      <c r="BP81" s="172">
        <f ca="1">(VLOOKUP(BP$72,INDIRECT($C$5&amp;"生成成长"),2))/((VLOOKUP($B81,INDIRECT($B$5&amp;"生成成长"),4))/(VLOOKUP(BP$72,INDIRECT($C$5&amp;"生成成长"),5))*(VLOOKUP($B$5,标准坦克设计!$B$24:$U$30,MATCH("对"&amp;LEFT($C$5,2)&amp;"输出",标准坦克设计!$B$23:$U$23,0)))*(VLOOKUP($B81,INDIRECT($B$5&amp;"生成成长"),3))*(VLOOKUP($B$5,标准坦克设计!$B$14:$K$20,9)/30))</f>
        <v>20.98980980784998</v>
      </c>
      <c r="BQ81" s="172">
        <f ca="1">(VLOOKUP(BQ$72,INDIRECT($C$5&amp;"生成成长"),2))/((VLOOKUP($B81,INDIRECT($B$5&amp;"生成成长"),4))/(VLOOKUP(BQ$72,INDIRECT($C$5&amp;"生成成长"),5))*(VLOOKUP($B$5,标准坦克设计!$B$24:$U$30,MATCH("对"&amp;LEFT($C$5,2)&amp;"输出",标准坦克设计!$B$23:$U$23,0)))*(VLOOKUP($B81,INDIRECT($B$5&amp;"生成成长"),3))*(VLOOKUP($B$5,标准坦克设计!$B$14:$K$20,9)/30))</f>
        <v>22.758688443495949</v>
      </c>
      <c r="BR81" s="172">
        <f ca="1">(VLOOKUP(BR$72,INDIRECT($C$5&amp;"生成成长"),2))/((VLOOKUP($B81,INDIRECT($B$5&amp;"生成成长"),4))/(VLOOKUP(BR$72,INDIRECT($C$5&amp;"生成成长"),5))*(VLOOKUP($B$5,标准坦克设计!$B$24:$U$30,MATCH("对"&amp;LEFT($C$5,2)&amp;"输出",标准坦克设计!$B$23:$U$23,0)))*(VLOOKUP($B81,INDIRECT($B$5&amp;"生成成长"),3))*(VLOOKUP($B$5,标准坦克设计!$B$14:$K$20,9)/30))</f>
        <v>24.808025988913503</v>
      </c>
      <c r="BS81" s="172">
        <f ca="1">(VLOOKUP(BS$72,INDIRECT($C$5&amp;"生成成长"),2))/((VLOOKUP($B81,INDIRECT($B$5&amp;"生成成长"),4))/(VLOOKUP(BS$72,INDIRECT($C$5&amp;"生成成长"),5))*(VLOOKUP($B$5,标准坦克设计!$B$24:$U$30,MATCH("对"&amp;LEFT($C$5,2)&amp;"输出",标准坦克设计!$B$23:$U$23,0)))*(VLOOKUP($B81,INDIRECT($B$5&amp;"生成成长"),3))*(VLOOKUP($B$5,标准坦克设计!$B$14:$K$20,9)/30))</f>
        <v>26.945697049219746</v>
      </c>
      <c r="BT81" s="172">
        <f ca="1">(VLOOKUP(BT$72,INDIRECT($C$5&amp;"生成成长"),2))/((VLOOKUP($B81,INDIRECT($B$5&amp;"生成成长"),4))/(VLOOKUP(BT$72,INDIRECT($C$5&amp;"生成成长"),5))*(VLOOKUP($B$5,标准坦克设计!$B$24:$U$30,MATCH("对"&amp;LEFT($C$5,2)&amp;"输出",标准坦克设计!$B$23:$U$23,0)))*(VLOOKUP($B81,INDIRECT($B$5&amp;"生成成长"),3))*(VLOOKUP($B$5,标准坦克设计!$B$14:$K$20,9)/30))</f>
        <v>29.171701624414681</v>
      </c>
      <c r="BU81" s="172">
        <f ca="1">(VLOOKUP(BU$72,INDIRECT($C$5&amp;"生成成长"),2))/((VLOOKUP($B81,INDIRECT($B$5&amp;"生成成长"),4))/(VLOOKUP(BU$72,INDIRECT($C$5&amp;"生成成长"),5))*(VLOOKUP($B$5,标准坦克设计!$B$24:$U$30,MATCH("对"&amp;LEFT($C$5,2)&amp;"输出",标准坦克设计!$B$23:$U$23,0)))*(VLOOKUP($B81,INDIRECT($B$5&amp;"生成成长"),3))*(VLOOKUP($B$5,标准坦克设计!$B$14:$K$20,9)/30))</f>
        <v>31.4860397144983</v>
      </c>
      <c r="BV81" s="172">
        <f ca="1">(VLOOKUP(BV$72,INDIRECT($C$5&amp;"生成成长"),2))/((VLOOKUP($B81,INDIRECT($B$5&amp;"生成成长"),4))/(VLOOKUP(BV$72,INDIRECT($C$5&amp;"生成成长"),5))*(VLOOKUP($B$5,标准坦克设计!$B$24:$U$30,MATCH("对"&amp;LEFT($C$5,2)&amp;"输出",标准坦克设计!$B$23:$U$23,0)))*(VLOOKUP($B81,INDIRECT($B$5&amp;"生成成长"),3))*(VLOOKUP($B$5,标准坦克设计!$B$14:$K$20,9)/30))</f>
        <v>33.888711319470609</v>
      </c>
      <c r="BW81" s="172">
        <f ca="1">(VLOOKUP(BW$72,INDIRECT($C$5&amp;"生成成长"),2))/((VLOOKUP($B81,INDIRECT($B$5&amp;"生成成长"),4))/(VLOOKUP(BW$72,INDIRECT($C$5&amp;"生成成长"),5))*(VLOOKUP($B$5,标准坦克设计!$B$24:$U$30,MATCH("对"&amp;LEFT($C$5,2)&amp;"输出",标准坦克设计!$B$23:$U$23,0)))*(VLOOKUP($B81,INDIRECT($B$5&amp;"生成成长"),3))*(VLOOKUP($B$5,标准坦克设计!$B$14:$K$20,9)/30))</f>
        <v>15.444673410712605</v>
      </c>
      <c r="BX81" s="172">
        <f ca="1">(VLOOKUP(BX$72,INDIRECT($C$5&amp;"生成成长"),2))/((VLOOKUP($B81,INDIRECT($B$5&amp;"生成成长"),4))/(VLOOKUP(BX$72,INDIRECT($C$5&amp;"生成成长"),5))*(VLOOKUP($B$5,标准坦克设计!$B$24:$U$30,MATCH("对"&amp;LEFT($C$5,2)&amp;"输出",标准坦克设计!$B$23:$U$23,0)))*(VLOOKUP($B81,INDIRECT($B$5&amp;"生成成长"),3))*(VLOOKUP($B$5,标准坦克设计!$B$14:$K$20,9)/30))</f>
        <v>17.14067689657541</v>
      </c>
      <c r="BY81" s="172">
        <f ca="1">(VLOOKUP(BY$72,INDIRECT($C$5&amp;"生成成长"),2))/((VLOOKUP($B81,INDIRECT($B$5&amp;"生成成长"),4))/(VLOOKUP(BY$72,INDIRECT($C$5&amp;"生成成长"),5))*(VLOOKUP($B$5,标准坦克设计!$B$24:$U$30,MATCH("对"&amp;LEFT($C$5,2)&amp;"输出",标准坦克设计!$B$23:$U$23,0)))*(VLOOKUP($B81,INDIRECT($B$5&amp;"生成成长"),3))*(VLOOKUP($B$5,标准坦克设计!$B$14:$K$20,9)/30))</f>
        <v>18.925013897326902</v>
      </c>
      <c r="BZ81" s="172">
        <f ca="1">(VLOOKUP(BZ$72,INDIRECT($C$5&amp;"生成成长"),2))/((VLOOKUP($B81,INDIRECT($B$5&amp;"生成成长"),4))/(VLOOKUP(BZ$72,INDIRECT($C$5&amp;"生成成长"),5))*(VLOOKUP($B$5,标准坦克设计!$B$24:$U$30,MATCH("对"&amp;LEFT($C$5,2)&amp;"输出",标准坦克设计!$B$23:$U$23,0)))*(VLOOKUP($B81,INDIRECT($B$5&amp;"生成成长"),3))*(VLOOKUP($B$5,标准坦克设计!$B$14:$K$20,9)/30))</f>
        <v>20.797684412967083</v>
      </c>
      <c r="CA81" s="172">
        <f ca="1">(VLOOKUP(CA$72,INDIRECT($C$5&amp;"生成成长"),2))/((VLOOKUP($B81,INDIRECT($B$5&amp;"生成成长"),4))/(VLOOKUP(CA$72,INDIRECT($C$5&amp;"生成成长"),5))*(VLOOKUP($B$5,标准坦克设计!$B$24:$U$30,MATCH("对"&amp;LEFT($C$5,2)&amp;"输出",标准坦克设计!$B$23:$U$23,0)))*(VLOOKUP($B81,INDIRECT($B$5&amp;"生成成长"),3))*(VLOOKUP($B$5,标准坦克设计!$B$14:$K$20,9)/30))</f>
        <v>22.758688443495949</v>
      </c>
      <c r="CB81" s="172">
        <f ca="1">(VLOOKUP(CB$72,INDIRECT($C$5&amp;"生成成长"),2))/((VLOOKUP($B81,INDIRECT($B$5&amp;"生成成长"),4))/(VLOOKUP(CB$72,INDIRECT($C$5&amp;"生成成长"),5))*(VLOOKUP($B$5,标准坦克设计!$B$24:$U$30,MATCH("对"&amp;LEFT($C$5,2)&amp;"输出",标准坦克设计!$B$23:$U$23,0)))*(VLOOKUP($B81,INDIRECT($B$5&amp;"生成成长"),3))*(VLOOKUP($B$5,标准坦克设计!$B$14:$K$20,9)/30))</f>
        <v>24.808025988913503</v>
      </c>
      <c r="CC81" s="172">
        <f ca="1">(VLOOKUP(CC$72,INDIRECT($C$5&amp;"生成成长"),2))/((VLOOKUP($B81,INDIRECT($B$5&amp;"生成成长"),4))/(VLOOKUP(CC$72,INDIRECT($C$5&amp;"生成成长"),5))*(VLOOKUP($B$5,标准坦克设计!$B$24:$U$30,MATCH("对"&amp;LEFT($C$5,2)&amp;"输出",标准坦克设计!$B$23:$U$23,0)))*(VLOOKUP($B81,INDIRECT($B$5&amp;"生成成长"),3))*(VLOOKUP($B$5,标准坦克设计!$B$14:$K$20,9)/30))</f>
        <v>26.945697049219746</v>
      </c>
      <c r="CD81" s="172">
        <f ca="1">(VLOOKUP(CD$72,INDIRECT($C$5&amp;"生成成长"),2))/((VLOOKUP($B81,INDIRECT($B$5&amp;"生成成长"),4))/(VLOOKUP(CD$72,INDIRECT($C$5&amp;"生成成长"),5))*(VLOOKUP($B$5,标准坦克设计!$B$24:$U$30,MATCH("对"&amp;LEFT($C$5,2)&amp;"输出",标准坦克设计!$B$23:$U$23,0)))*(VLOOKUP($B81,INDIRECT($B$5&amp;"生成成长"),3))*(VLOOKUP($B$5,标准坦克设计!$B$14:$K$20,9)/30))</f>
        <v>29.171701624414681</v>
      </c>
      <c r="CE81" s="172">
        <f ca="1">(VLOOKUP(CE$72,INDIRECT($C$5&amp;"生成成长"),2))/((VLOOKUP($B81,INDIRECT($B$5&amp;"生成成长"),4))/(VLOOKUP(CE$72,INDIRECT($C$5&amp;"生成成长"),5))*(VLOOKUP($B$5,标准坦克设计!$B$24:$U$30,MATCH("对"&amp;LEFT($C$5,2)&amp;"输出",标准坦克设计!$B$23:$U$23,0)))*(VLOOKUP($B81,INDIRECT($B$5&amp;"生成成长"),3))*(VLOOKUP($B$5,标准坦克设计!$B$14:$K$20,9)/30))</f>
        <v>31.4860397144983</v>
      </c>
      <c r="CF81" s="172">
        <f ca="1">(VLOOKUP(CF$72,INDIRECT($C$5&amp;"生成成长"),2))/((VLOOKUP($B81,INDIRECT($B$5&amp;"生成成长"),4))/(VLOOKUP(CF$72,INDIRECT($C$5&amp;"生成成长"),5))*(VLOOKUP($B$5,标准坦克设计!$B$24:$U$30,MATCH("对"&amp;LEFT($C$5,2)&amp;"输出",标准坦克设计!$B$23:$U$23,0)))*(VLOOKUP($B81,INDIRECT($B$5&amp;"生成成长"),3))*(VLOOKUP($B$5,标准坦克设计!$B$14:$K$20,9)/30))</f>
        <v>33.888711319470609</v>
      </c>
      <c r="CG81" s="172">
        <f ca="1">(VLOOKUP(CG$72,INDIRECT($C$5&amp;"生成成长"),2))/((VLOOKUP($B81,INDIRECT($B$5&amp;"生成成长"),4))/(VLOOKUP(CG$72,INDIRECT($C$5&amp;"生成成长"),5))*(VLOOKUP($B$5,标准坦克设计!$B$24:$U$30,MATCH("对"&amp;LEFT($C$5,2)&amp;"输出",标准坦克设计!$B$23:$U$23,0)))*(VLOOKUP($B81,INDIRECT($B$5&amp;"生成成长"),3))*(VLOOKUP($B$5,标准坦克设计!$B$14:$K$20,9)/30))</f>
        <v>36.379716439331602</v>
      </c>
      <c r="CH81" s="172">
        <f ca="1">(VLOOKUP(CH$72,INDIRECT($C$5&amp;"生成成长"),2))/((VLOOKUP($B81,INDIRECT($B$5&amp;"生成成长"),4))/(VLOOKUP(CH$72,INDIRECT($C$5&amp;"生成成长"),5))*(VLOOKUP($B$5,标准坦克设计!$B$24:$U$30,MATCH("对"&amp;LEFT($C$5,2)&amp;"输出",标准坦克设计!$B$23:$U$23,0)))*(VLOOKUP($B81,INDIRECT($B$5&amp;"生成成长"),3))*(VLOOKUP($B$5,标准坦克设计!$B$14:$K$20,9)/30))</f>
        <v>38.959055074081277</v>
      </c>
      <c r="CI81" s="172">
        <f ca="1">(VLOOKUP(CI$72,INDIRECT($C$5&amp;"生成成长"),2))/((VLOOKUP($B81,INDIRECT($B$5&amp;"生成成长"),4))/(VLOOKUP(CI$72,INDIRECT($C$5&amp;"生成成长"),5))*(VLOOKUP($B$5,标准坦克设计!$B$24:$U$30,MATCH("对"&amp;LEFT($C$5,2)&amp;"输出",标准坦克设计!$B$23:$U$23,0)))*(VLOOKUP($B81,INDIRECT($B$5&amp;"生成成长"),3))*(VLOOKUP($B$5,标准坦克设计!$B$14:$K$20,9)/30))</f>
        <v>41.898352782002362</v>
      </c>
      <c r="CJ81" s="172">
        <f ca="1">(VLOOKUP(CJ$72,INDIRECT($C$5&amp;"生成成长"),2))/((VLOOKUP($B81,INDIRECT($B$5&amp;"生成成长"),4))/(VLOOKUP(CJ$72,INDIRECT($C$5&amp;"生成成长"),5))*(VLOOKUP($B$5,标准坦克设计!$B$24:$U$30,MATCH("对"&amp;LEFT($C$5,2)&amp;"输出",标准坦克设计!$B$23:$U$23,0)))*(VLOOKUP($B81,INDIRECT($B$5&amp;"生成成长"),3))*(VLOOKUP($B$5,标准坦克设计!$B$14:$K$20,9)/30))</f>
        <v>44.944534042938763</v>
      </c>
      <c r="CK81" s="172">
        <f ca="1">(VLOOKUP(CK$72,INDIRECT($C$5&amp;"生成成长"),2))/((VLOOKUP($B81,INDIRECT($B$5&amp;"生成成长"),4))/(VLOOKUP(CK$72,INDIRECT($C$5&amp;"生成成长"),5))*(VLOOKUP($B$5,标准坦克设计!$B$24:$U$30,MATCH("对"&amp;LEFT($C$5,2)&amp;"输出",标准坦克设计!$B$23:$U$23,0)))*(VLOOKUP($B81,INDIRECT($B$5&amp;"生成成长"),3))*(VLOOKUP($B$5,标准坦克设计!$B$14:$K$20,9)/30))</f>
        <v>48.097598856890471</v>
      </c>
      <c r="CL81" s="172">
        <f ca="1">(VLOOKUP(CL$72,INDIRECT($C$5&amp;"生成成长"),2))/((VLOOKUP($B81,INDIRECT($B$5&amp;"生成成长"),4))/(VLOOKUP(CL$72,INDIRECT($C$5&amp;"生成成长"),5))*(VLOOKUP($B$5,标准坦克设计!$B$24:$U$30,MATCH("对"&amp;LEFT($C$5,2)&amp;"输出",标准坦克设计!$B$23:$U$23,0)))*(VLOOKUP($B81,INDIRECT($B$5&amp;"生成成长"),3))*(VLOOKUP($B$5,标准坦克设计!$B$14:$K$20,9)/30))</f>
        <v>51.357547223857487</v>
      </c>
      <c r="CM81" s="172">
        <f ca="1">(VLOOKUP(CM$72,INDIRECT($C$5&amp;"生成成长"),2))/((VLOOKUP($B81,INDIRECT($B$5&amp;"生成成长"),4))/(VLOOKUP(CM$72,INDIRECT($C$5&amp;"生成成长"),5))*(VLOOKUP($B$5,标准坦克设计!$B$24:$U$30,MATCH("对"&amp;LEFT($C$5,2)&amp;"输出",标准坦克设计!$B$23:$U$23,0)))*(VLOOKUP($B81,INDIRECT($B$5&amp;"生成成长"),3))*(VLOOKUP($B$5,标准坦克设计!$B$14:$K$20,9)/30))</f>
        <v>54.724379143839819</v>
      </c>
      <c r="CN81" s="172">
        <f ca="1">(VLOOKUP(CN$72,INDIRECT($C$5&amp;"生成成长"),2))/((VLOOKUP($B81,INDIRECT($B$5&amp;"生成成长"),4))/(VLOOKUP(CN$72,INDIRECT($C$5&amp;"生成成长"),5))*(VLOOKUP($B$5,标准坦克设计!$B$24:$U$30,MATCH("对"&amp;LEFT($C$5,2)&amp;"输出",标准坦克设计!$B$23:$U$23,0)))*(VLOOKUP($B81,INDIRECT($B$5&amp;"生成成长"),3))*(VLOOKUP($B$5,标准坦克设计!$B$14:$K$20,9)/30))</f>
        <v>58.198094616837466</v>
      </c>
      <c r="CO81" s="172">
        <f ca="1">(VLOOKUP(CO$72,INDIRECT($C$5&amp;"生成成长"),2))/((VLOOKUP($B81,INDIRECT($B$5&amp;"生成成长"),4))/(VLOOKUP(CO$72,INDIRECT($C$5&amp;"生成成长"),5))*(VLOOKUP($B$5,标准坦克设计!$B$24:$U$30,MATCH("对"&amp;LEFT($C$5,2)&amp;"输出",标准坦克设计!$B$23:$U$23,0)))*(VLOOKUP($B81,INDIRECT($B$5&amp;"生成成长"),3))*(VLOOKUP($B$5,标准坦克设计!$B$14:$K$20,9)/30))</f>
        <v>26.080028603310609</v>
      </c>
      <c r="CP81" s="172">
        <f ca="1">(VLOOKUP(CP$72,INDIRECT($C$5&amp;"生成成长"),2))/((VLOOKUP($B81,INDIRECT($B$5&amp;"生成成长"),4))/(VLOOKUP(CP$72,INDIRECT($C$5&amp;"生成成长"),5))*(VLOOKUP($B$5,标准坦克设计!$B$24:$U$30,MATCH("对"&amp;LEFT($C$5,2)&amp;"输出",标准坦克设计!$B$23:$U$23,0)))*(VLOOKUP($B81,INDIRECT($B$5&amp;"生成成长"),3))*(VLOOKUP($B$5,标准坦克设计!$B$14:$K$20,9)/30))</f>
        <v>28.494625232792885</v>
      </c>
      <c r="CQ81" s="172">
        <f ca="1">(VLOOKUP(CQ$72,INDIRECT($C$5&amp;"生成成长"),2))/((VLOOKUP($B81,INDIRECT($B$5&amp;"生成成长"),4))/(VLOOKUP(CQ$72,INDIRECT($C$5&amp;"生成成长"),5))*(VLOOKUP($B$5,标准坦克设计!$B$24:$U$30,MATCH("对"&amp;LEFT($C$5,2)&amp;"输出",标准坦克设计!$B$23:$U$23,0)))*(VLOOKUP($B81,INDIRECT($B$5&amp;"生成成长"),3))*(VLOOKUP($B$5,标准坦克设计!$B$14:$K$20,9)/30))</f>
        <v>31.016105415290475</v>
      </c>
      <c r="CR81" s="172">
        <f ca="1">(VLOOKUP(CR$72,INDIRECT($C$5&amp;"生成成长"),2))/((VLOOKUP($B81,INDIRECT($B$5&amp;"生成成长"),4))/(VLOOKUP(CR$72,INDIRECT($C$5&amp;"生成成长"),5))*(VLOOKUP($B$5,标准坦克设计!$B$24:$U$30,MATCH("对"&amp;LEFT($C$5,2)&amp;"输出",标准坦克设计!$B$23:$U$23,0)))*(VLOOKUP($B81,INDIRECT($B$5&amp;"生成成长"),3))*(VLOOKUP($B$5,标准坦克设计!$B$14:$K$20,9)/30))</f>
        <v>33.644469150803381</v>
      </c>
      <c r="CS81" s="172">
        <f ca="1">(VLOOKUP(CS$72,INDIRECT($C$5&amp;"生成成长"),2))/((VLOOKUP($B81,INDIRECT($B$5&amp;"生成成长"),4))/(VLOOKUP(CS$72,INDIRECT($C$5&amp;"生成成长"),5))*(VLOOKUP($B$5,标准坦克设计!$B$24:$U$30,MATCH("对"&amp;LEFT($C$5,2)&amp;"输出",标准坦克设计!$B$23:$U$23,0)))*(VLOOKUP($B81,INDIRECT($B$5&amp;"生成成长"),3))*(VLOOKUP($B$5,标准坦克设计!$B$14:$K$20,9)/30))</f>
        <v>36.379716439331602</v>
      </c>
      <c r="CT81" s="172">
        <f ca="1">(VLOOKUP(CT$72,INDIRECT($C$5&amp;"生成成长"),2))/((VLOOKUP($B81,INDIRECT($B$5&amp;"生成成长"),4))/(VLOOKUP(CT$72,INDIRECT($C$5&amp;"生成成长"),5))*(VLOOKUP($B$5,标准坦克设计!$B$24:$U$30,MATCH("对"&amp;LEFT($C$5,2)&amp;"输出",标准坦克设计!$B$23:$U$23,0)))*(VLOOKUP($B81,INDIRECT($B$5&amp;"生成成长"),3))*(VLOOKUP($B$5,标准坦克设计!$B$14:$K$20,9)/30))</f>
        <v>39.221847280875132</v>
      </c>
      <c r="CU81" s="172">
        <f ca="1">(VLOOKUP(CU$72,INDIRECT($C$5&amp;"生成成长"),2))/((VLOOKUP($B81,INDIRECT($B$5&amp;"生成成长"),4))/(VLOOKUP(CU$72,INDIRECT($C$5&amp;"生成成长"),5))*(VLOOKUP($B$5,标准坦克设计!$B$24:$U$30,MATCH("对"&amp;LEFT($C$5,2)&amp;"输出",标准坦克设计!$B$23:$U$23,0)))*(VLOOKUP($B81,INDIRECT($B$5&amp;"生成成长"),3))*(VLOOKUP($B$5,标准坦克设计!$B$14:$K$20,9)/30))</f>
        <v>42.170861675433969</v>
      </c>
      <c r="CV81" s="172">
        <f ca="1">(VLOOKUP(CV$72,INDIRECT($C$5&amp;"生成成长"),2))/((VLOOKUP($B81,INDIRECT($B$5&amp;"生成成长"),4))/(VLOOKUP(CV$72,INDIRECT($C$5&amp;"生成成长"),5))*(VLOOKUP($B$5,标准坦克设计!$B$24:$U$30,MATCH("对"&amp;LEFT($C$5,2)&amp;"输出",标准坦克设计!$B$23:$U$23,0)))*(VLOOKUP($B81,INDIRECT($B$5&amp;"生成成长"),3))*(VLOOKUP($B$5,标准坦克设计!$B$14:$K$20,9)/30))</f>
        <v>45.226759623008114</v>
      </c>
      <c r="CW81" s="172">
        <f ca="1">(VLOOKUP(CW$72,INDIRECT($C$5&amp;"生成成长"),2))/((VLOOKUP($B81,INDIRECT($B$5&amp;"生成成长"),4))/(VLOOKUP(CW$72,INDIRECT($C$5&amp;"生成成长"),5))*(VLOOKUP($B$5,标准坦克设计!$B$24:$U$30,MATCH("对"&amp;LEFT($C$5,2)&amp;"输出",标准坦克设计!$B$23:$U$23,0)))*(VLOOKUP($B81,INDIRECT($B$5&amp;"生成成长"),3))*(VLOOKUP($B$5,标准坦克设计!$B$14:$K$20,9)/30))</f>
        <v>48.389541123597589</v>
      </c>
      <c r="CX81" s="172">
        <f ca="1">(VLOOKUP(CX$72,INDIRECT($C$5&amp;"生成成长"),2))/((VLOOKUP($B81,INDIRECT($B$5&amp;"生成成长"),4))/(VLOOKUP(CX$72,INDIRECT($C$5&amp;"生成成长"),5))*(VLOOKUP($B$5,标准坦克设计!$B$24:$U$30,MATCH("对"&amp;LEFT($C$5,2)&amp;"输出",标准坦克设计!$B$23:$U$23,0)))*(VLOOKUP($B81,INDIRECT($B$5&amp;"生成成长"),3))*(VLOOKUP($B$5,标准坦克设计!$B$14:$K$20,9)/30))</f>
        <v>51.659206177202371</v>
      </c>
      <c r="CY81" s="172">
        <f ca="1">(VLOOKUP(CY$72,INDIRECT($C$5&amp;"生成成长"),2))/((VLOOKUP($B81,INDIRECT($B$5&amp;"生成成长"),4))/(VLOOKUP(CY$72,INDIRECT($C$5&amp;"生成成长"),5))*(VLOOKUP($B$5,标准坦克设计!$B$24:$U$30,MATCH("对"&amp;LEFT($C$5,2)&amp;"输出",标准坦克设计!$B$23:$U$23,0)))*(VLOOKUP($B81,INDIRECT($B$5&amp;"生成成长"),3))*(VLOOKUP($B$5,标准坦克设计!$B$14:$K$20,9)/30))</f>
        <v>55.035754783822455</v>
      </c>
      <c r="CZ81" s="172">
        <f ca="1">(VLOOKUP(CZ$72,INDIRECT($C$5&amp;"生成成长"),2))/((VLOOKUP($B81,INDIRECT($B$5&amp;"生成成长"),4))/(VLOOKUP(CZ$72,INDIRECT($C$5&amp;"生成成长"),5))*(VLOOKUP($B$5,标准坦克设计!$B$24:$U$30,MATCH("对"&amp;LEFT($C$5,2)&amp;"输出",标准坦克设计!$B$23:$U$23,0)))*(VLOOKUP($B81,INDIRECT($B$5&amp;"生成成长"),3))*(VLOOKUP($B$5,标准坦克设计!$B$14:$K$20,9)/30))</f>
        <v>58.519186943457846</v>
      </c>
      <c r="DA81" s="172">
        <f ca="1">(VLOOKUP(DA$72,INDIRECT($C$5&amp;"生成成长"),2))/((VLOOKUP($B81,INDIRECT($B$5&amp;"生成成长"),4))/(VLOOKUP(DA$72,INDIRECT($C$5&amp;"生成成长"),5))*(VLOOKUP($B$5,标准坦克设计!$B$24:$U$30,MATCH("对"&amp;LEFT($C$5,2)&amp;"输出",标准坦克设计!$B$23:$U$23,0)))*(VLOOKUP($B81,INDIRECT($B$5&amp;"生成成长"),3))*(VLOOKUP($B$5,标准坦克设计!$B$14:$K$20,9)/30))</f>
        <v>62.109502656108546</v>
      </c>
      <c r="DB81" s="172">
        <f ca="1">(VLOOKUP(DB$72,INDIRECT($C$5&amp;"生成成长"),2))/((VLOOKUP($B81,INDIRECT($B$5&amp;"生成成长"),4))/(VLOOKUP(DB$72,INDIRECT($C$5&amp;"生成成长"),5))*(VLOOKUP($B$5,标准坦克设计!$B$24:$U$30,MATCH("对"&amp;LEFT($C$5,2)&amp;"输出",标准坦克设计!$B$23:$U$23,0)))*(VLOOKUP($B81,INDIRECT($B$5&amp;"生成成长"),3))*(VLOOKUP($B$5,标准坦克设计!$B$14:$K$20,9)/30))</f>
        <v>65.806701921774575</v>
      </c>
      <c r="DC81" s="172">
        <f ca="1">(VLOOKUP(DC$72,INDIRECT($C$5&amp;"生成成长"),2))/((VLOOKUP($B81,INDIRECT($B$5&amp;"生成成长"),4))/(VLOOKUP(DC$72,INDIRECT($C$5&amp;"生成成长"),5))*(VLOOKUP($B$5,标准坦克设计!$B$24:$U$30,MATCH("对"&amp;LEFT($C$5,2)&amp;"输出",标准坦克设计!$B$23:$U$23,0)))*(VLOOKUP($B81,INDIRECT($B$5&amp;"生成成长"),3))*(VLOOKUP($B$5,标准坦克设计!$B$14:$K$20,9)/30))</f>
        <v>69.961910462138448</v>
      </c>
      <c r="DD81" s="172">
        <f ca="1">(VLOOKUP(DD$72,INDIRECT($C$5&amp;"生成成长"),2))/((VLOOKUP($B81,INDIRECT($B$5&amp;"生成成长"),4))/(VLOOKUP(DD$72,INDIRECT($C$5&amp;"生成成长"),5))*(VLOOKUP($B$5,标准坦克设计!$B$24:$U$30,MATCH("对"&amp;LEFT($C$5,2)&amp;"输出",标准坦克设计!$B$23:$U$23,0)))*(VLOOKUP($B81,INDIRECT($B$5&amp;"生成成长"),3))*(VLOOKUP($B$5,标准坦克设计!$B$14:$K$20,9)/30))</f>
        <v>74.244319263942046</v>
      </c>
      <c r="DE81" s="172">
        <f ca="1">(VLOOKUP(DE$72,INDIRECT($C$5&amp;"生成成长"),2))/((VLOOKUP($B81,INDIRECT($B$5&amp;"生成成长"),4))/(VLOOKUP(DE$72,INDIRECT($C$5&amp;"生成成长"),5))*(VLOOKUP($B$5,标准坦克设计!$B$24:$U$30,MATCH("对"&amp;LEFT($C$5,2)&amp;"输出",标准坦克设计!$B$23:$U$23,0)))*(VLOOKUP($B81,INDIRECT($B$5&amp;"生成成长"),3))*(VLOOKUP($B$5,标准坦克设计!$B$14:$K$20,9)/30))</f>
        <v>78.653928327185326</v>
      </c>
      <c r="DF81" s="172">
        <f ca="1">(VLOOKUP(DF$72,INDIRECT($C$5&amp;"生成成长"),2))/((VLOOKUP($B81,INDIRECT($B$5&amp;"生成成长"),4))/(VLOOKUP(DF$72,INDIRECT($C$5&amp;"生成成长"),5))*(VLOOKUP($B$5,标准坦克设计!$B$24:$U$30,MATCH("对"&amp;LEFT($C$5,2)&amp;"输出",标准坦克设计!$B$23:$U$23,0)))*(VLOOKUP($B81,INDIRECT($B$5&amp;"生成成长"),3))*(VLOOKUP($B$5,标准坦克设计!$B$14:$K$20,9)/30))</f>
        <v>83.190737651868332</v>
      </c>
      <c r="DG81" s="172">
        <f ca="1">(VLOOKUP(DG$72,INDIRECT($C$5&amp;"生成成长"),2))/((VLOOKUP($B81,INDIRECT($B$5&amp;"生成成长"),4))/(VLOOKUP(DG$72,INDIRECT($C$5&amp;"生成成长"),5))*(VLOOKUP($B$5,标准坦克设计!$B$24:$U$30,MATCH("对"&amp;LEFT($C$5,2)&amp;"输出",标准坦克设计!$B$23:$U$23,0)))*(VLOOKUP($B81,INDIRECT($B$5&amp;"生成成长"),3))*(VLOOKUP($B$5,标准坦克设计!$B$14:$K$20,9)/30))</f>
        <v>87.854747237991049</v>
      </c>
      <c r="DH81" s="172">
        <f ca="1">(VLOOKUP(DH$72,INDIRECT($C$5&amp;"生成成长"),2))/((VLOOKUP($B81,INDIRECT($B$5&amp;"生成成长"),4))/(VLOOKUP(DH$72,INDIRECT($C$5&amp;"生成成长"),5))*(VLOOKUP($B$5,标准坦克设计!$B$24:$U$30,MATCH("对"&amp;LEFT($C$5,2)&amp;"输出",标准坦克设计!$B$23:$U$23,0)))*(VLOOKUP($B81,INDIRECT($B$5&amp;"生成成长"),3))*(VLOOKUP($B$5,标准坦克设计!$B$14:$K$20,9)/30))</f>
        <v>92.645957085553476</v>
      </c>
      <c r="DI81" s="172">
        <f ca="1">(VLOOKUP(DI$72,INDIRECT($C$5&amp;"生成成长"),2))/((VLOOKUP($B81,INDIRECT($B$5&amp;"生成成长"),4))/(VLOOKUP(DI$72,INDIRECT($C$5&amp;"生成成长"),5))*(VLOOKUP($B$5,标准坦克设计!$B$24:$U$30,MATCH("对"&amp;LEFT($C$5,2)&amp;"输出",标准坦克设计!$B$23:$U$23,0)))*(VLOOKUP($B81,INDIRECT($B$5&amp;"生成成长"),3))*(VLOOKUP($B$5,标准坦克设计!$B$14:$K$20,9)/30))</f>
        <v>97.564367194555601</v>
      </c>
      <c r="DJ81" s="172">
        <f ca="1">(VLOOKUP(DJ$72,INDIRECT($C$5&amp;"生成成长"),2))/((VLOOKUP($B81,INDIRECT($B$5&amp;"生成成长"),4))/(VLOOKUP(DJ$72,INDIRECT($C$5&amp;"生成成长"),5))*(VLOOKUP($B$5,标准坦克设计!$B$24:$U$30,MATCH("对"&amp;LEFT($C$5,2)&amp;"输出",标准坦克设计!$B$23:$U$23,0)))*(VLOOKUP($B81,INDIRECT($B$5&amp;"生成成长"),3))*(VLOOKUP($B$5,标准坦克设计!$B$14:$K$20,9)/30))</f>
        <v>9.8054618202187829</v>
      </c>
      <c r="DK81" s="172">
        <f ca="1">(VLOOKUP(DK$72,INDIRECT($C$5&amp;"生成成长"),2))/((VLOOKUP($B81,INDIRECT($B$5&amp;"生成成长"),4))/(VLOOKUP(DK$72,INDIRECT($C$5&amp;"生成成长"),5))*(VLOOKUP($B$5,标准坦克设计!$B$24:$U$30,MATCH("对"&amp;LEFT($C$5,2)&amp;"输出",标准坦克设计!$B$23:$U$23,0)))*(VLOOKUP($B81,INDIRECT($B$5&amp;"生成成长"),3))*(VLOOKUP($B$5,标准坦克设计!$B$14:$K$20,9)/30))</f>
        <v>11.025789328406002</v>
      </c>
      <c r="DL81" s="172">
        <f ca="1">(VLOOKUP(DL$72,INDIRECT($C$5&amp;"生成成长"),2))/((VLOOKUP($B81,INDIRECT($B$5&amp;"生成成长"),4))/(VLOOKUP(DL$72,INDIRECT($C$5&amp;"生成成长"),5))*(VLOOKUP($B$5,标准坦克设计!$B$24:$U$30,MATCH("对"&amp;LEFT($C$5,2)&amp;"输出",标准坦克设计!$B$23:$U$23,0)))*(VLOOKUP($B81,INDIRECT($B$5&amp;"生成成长"),3))*(VLOOKUP($B$5,标准坦克设计!$B$14:$K$20,9)/30))</f>
        <v>12.31766698365306</v>
      </c>
      <c r="DM81" s="172">
        <f ca="1">(VLOOKUP(DM$72,INDIRECT($C$5&amp;"生成成长"),2))/((VLOOKUP($B81,INDIRECT($B$5&amp;"生成成长"),4))/(VLOOKUP(DM$72,INDIRECT($C$5&amp;"生成成长"),5))*(VLOOKUP($B$5,标准坦克设计!$B$24:$U$30,MATCH("对"&amp;LEFT($C$5,2)&amp;"输出",标准坦克设计!$B$23:$U$23,0)))*(VLOOKUP($B81,INDIRECT($B$5&amp;"生成成长"),3))*(VLOOKUP($B$5,标准坦克设计!$B$14:$K$20,9)/30))</f>
        <v>13.681094785959955</v>
      </c>
      <c r="DN81" s="172">
        <f ca="1">(VLOOKUP(DN$72,INDIRECT($C$5&amp;"生成成长"),2))/((VLOOKUP($B81,INDIRECT($B$5&amp;"生成成长"),4))/(VLOOKUP(DN$72,INDIRECT($C$5&amp;"生成成长"),5))*(VLOOKUP($B$5,标准坦克设计!$B$24:$U$30,MATCH("对"&amp;LEFT($C$5,2)&amp;"输出",标准坦克设计!$B$23:$U$23,0)))*(VLOOKUP($B81,INDIRECT($B$5&amp;"生成成长"),3))*(VLOOKUP($B$5,标准坦克设计!$B$14:$K$20,9)/30))</f>
        <v>15.116072735326687</v>
      </c>
      <c r="DO81" s="172">
        <f ca="1">(VLOOKUP(DO$72,INDIRECT($C$5&amp;"生成成长"),2))/((VLOOKUP($B81,INDIRECT($B$5&amp;"生成成长"),4))/(VLOOKUP(DO$72,INDIRECT($C$5&amp;"生成成长"),5))*(VLOOKUP($B$5,标准坦克设计!$B$24:$U$30,MATCH("对"&amp;LEFT($C$5,2)&amp;"输出",标准坦克设计!$B$23:$U$23,0)))*(VLOOKUP($B81,INDIRECT($B$5&amp;"生成成长"),3))*(VLOOKUP($B$5,标准坦克设计!$B$14:$K$20,9)/30))</f>
        <v>16.622600831753257</v>
      </c>
      <c r="DP81" s="172">
        <f ca="1">(VLOOKUP(DP$72,INDIRECT($C$5&amp;"生成成长"),2))/((VLOOKUP($B81,INDIRECT($B$5&amp;"生成成长"),4))/(VLOOKUP(DP$72,INDIRECT($C$5&amp;"生成成长"),5))*(VLOOKUP($B$5,标准坦克设计!$B$24:$U$30,MATCH("对"&amp;LEFT($C$5,2)&amp;"输出",标准坦克设计!$B$23:$U$23,0)))*(VLOOKUP($B81,INDIRECT($B$5&amp;"生成成长"),3))*(VLOOKUP($B$5,标准坦克设计!$B$14:$K$20,9)/30))</f>
        <v>18.200679075239663</v>
      </c>
      <c r="DQ81" s="172">
        <f ca="1">(VLOOKUP(DQ$72,INDIRECT($C$5&amp;"生成成长"),2))/((VLOOKUP($B81,INDIRECT($B$5&amp;"生成成长"),4))/(VLOOKUP(DQ$72,INDIRECT($C$5&amp;"生成成长"),5))*(VLOOKUP($B$5,标准坦克设计!$B$24:$U$30,MATCH("对"&amp;LEFT($C$5,2)&amp;"输出",标准坦克设计!$B$23:$U$23,0)))*(VLOOKUP($B81,INDIRECT($B$5&amp;"生成成长"),3))*(VLOOKUP($B$5,标准坦克设计!$B$14:$K$20,9)/30))</f>
        <v>19.85030746578591</v>
      </c>
      <c r="DR81" s="172">
        <f ca="1">(VLOOKUP(DR$72,INDIRECT($C$5&amp;"生成成长"),2))/((VLOOKUP($B81,INDIRECT($B$5&amp;"生成成长"),4))/(VLOOKUP(DR$72,INDIRECT($C$5&amp;"生成成长"),5))*(VLOOKUP($B$5,标准坦克设计!$B$24:$U$30,MATCH("对"&amp;LEFT($C$5,2)&amp;"输出",标准坦克设计!$B$23:$U$23,0)))*(VLOOKUP($B81,INDIRECT($B$5&amp;"生成成长"),3))*(VLOOKUP($B$5,标准坦克设计!$B$14:$K$20,9)/30))</f>
        <v>21.571486003391989</v>
      </c>
      <c r="DS81" s="172">
        <f ca="1">(VLOOKUP(DS$72,INDIRECT($C$5&amp;"生成成长"),2))/((VLOOKUP($B81,INDIRECT($B$5&amp;"生成成长"),4))/(VLOOKUP(DS$72,INDIRECT($C$5&amp;"生成成长"),5))*(VLOOKUP($B$5,标准坦克设计!$B$24:$U$30,MATCH("对"&amp;LEFT($C$5,2)&amp;"输出",标准坦克设计!$B$23:$U$23,0)))*(VLOOKUP($B81,INDIRECT($B$5&amp;"生成成长"),3))*(VLOOKUP($B$5,标准坦克设计!$B$14:$K$20,9)/30))</f>
        <v>23.364214688057906</v>
      </c>
      <c r="DT81" s="172">
        <f ca="1">(VLOOKUP(DT$72,INDIRECT($C$5&amp;"生成成长"),2))/((VLOOKUP($B81,INDIRECT($B$5&amp;"生成成长"),4))/(VLOOKUP(DT$72,INDIRECT($C$5&amp;"生成成长"),5))*(VLOOKUP($B$5,标准坦克设计!$B$24:$U$30,MATCH("对"&amp;LEFT($C$5,2)&amp;"输出",标准坦克设计!$B$23:$U$23,0)))*(VLOOKUP($B81,INDIRECT($B$5&amp;"生成成长"),3))*(VLOOKUP($B$5,标准坦克设计!$B$14:$K$20,9)/30))</f>
        <v>25.652494391249363</v>
      </c>
      <c r="DU81" s="172">
        <f ca="1">(VLOOKUP(DU$72,INDIRECT($C$5&amp;"生成成长"),2))/((VLOOKUP($B81,INDIRECT($B$5&amp;"生成成长"),4))/(VLOOKUP(DU$72,INDIRECT($C$5&amp;"生成成长"),5))*(VLOOKUP($B$5,标准坦克设计!$B$24:$U$30,MATCH("对"&amp;LEFT($C$5,2)&amp;"输出",标准坦克设计!$B$23:$U$23,0)))*(VLOOKUP($B81,INDIRECT($B$5&amp;"生成成长"),3))*(VLOOKUP($B$5,标准坦克设计!$B$14:$K$20,9)/30))</f>
        <v>28.047657647456127</v>
      </c>
      <c r="DV81" s="172">
        <f ca="1">(VLOOKUP(DV$72,INDIRECT($C$5&amp;"生成成长"),2))/((VLOOKUP($B81,INDIRECT($B$5&amp;"生成成长"),4))/(VLOOKUP(DV$72,INDIRECT($C$5&amp;"生成成长"),5))*(VLOOKUP($B$5,标准坦克设计!$B$24:$U$30,MATCH("对"&amp;LEFT($C$5,2)&amp;"输出",标准坦克设计!$B$23:$U$23,0)))*(VLOOKUP($B81,INDIRECT($B$5&amp;"生成成长"),3))*(VLOOKUP($B$5,标准坦克设计!$B$14:$K$20,9)/30))</f>
        <v>30.549704456678207</v>
      </c>
      <c r="DW81" s="172">
        <f ca="1">(VLOOKUP(DW$72,INDIRECT($C$5&amp;"生成成长"),2))/((VLOOKUP($B81,INDIRECT($B$5&amp;"生成成长"),4))/(VLOOKUP(DW$72,INDIRECT($C$5&amp;"生成成长"),5))*(VLOOKUP($B$5,标准坦克设计!$B$24:$U$30,MATCH("对"&amp;LEFT($C$5,2)&amp;"输出",标准坦克设计!$B$23:$U$23,0)))*(VLOOKUP($B81,INDIRECT($B$5&amp;"生成成长"),3))*(VLOOKUP($B$5,标准坦克设计!$B$14:$K$20,9)/30))</f>
        <v>33.158634818915608</v>
      </c>
      <c r="DX81" s="172">
        <f ca="1">(VLOOKUP(DX$72,INDIRECT($C$5&amp;"生成成长"),2))/((VLOOKUP($B81,INDIRECT($B$5&amp;"生成成长"),4))/(VLOOKUP(DX$72,INDIRECT($C$5&amp;"生成成长"),5))*(VLOOKUP($B$5,标准坦克设计!$B$24:$U$30,MATCH("对"&amp;LEFT($C$5,2)&amp;"输出",标准坦克设计!$B$23:$U$23,0)))*(VLOOKUP($B81,INDIRECT($B$5&amp;"生成成长"),3))*(VLOOKUP($B$5,标准坦克设计!$B$14:$K$20,9)/30))</f>
        <v>35.874448734168304</v>
      </c>
      <c r="DY81" s="172">
        <f ca="1">(VLOOKUP(DY$72,INDIRECT($C$5&amp;"生成成长"),2))/((VLOOKUP($B81,INDIRECT($B$5&amp;"生成成长"),4))/(VLOOKUP(DY$72,INDIRECT($C$5&amp;"生成成长"),5))*(VLOOKUP($B$5,标准坦克设计!$B$24:$U$30,MATCH("对"&amp;LEFT($C$5,2)&amp;"输出",标准坦克设计!$B$23:$U$23,0)))*(VLOOKUP($B81,INDIRECT($B$5&amp;"生成成长"),3))*(VLOOKUP($B$5,标准坦克设计!$B$14:$K$20,9)/30))</f>
        <v>16.112474783271086</v>
      </c>
      <c r="DZ81" s="172">
        <f ca="1">(VLOOKUP(DZ$72,INDIRECT($C$5&amp;"生成成长"),2))/((VLOOKUP($B81,INDIRECT($B$5&amp;"生成成长"),4))/(VLOOKUP(DZ$72,INDIRECT($C$5&amp;"生成成长"),5))*(VLOOKUP($B$5,标准坦克设计!$B$24:$U$30,MATCH("对"&amp;LEFT($C$5,2)&amp;"输出",标准坦克设计!$B$23:$U$23,0)))*(VLOOKUP($B81,INDIRECT($B$5&amp;"生成成长"),3))*(VLOOKUP($B$5,标准坦克设计!$B$14:$K$20,9)/30))</f>
        <v>17.843811675089366</v>
      </c>
      <c r="EA81" s="172">
        <f ca="1">(VLOOKUP(EA$72,INDIRECT($C$5&amp;"生成成长"),2))/((VLOOKUP($B81,INDIRECT($B$5&amp;"生成成长"),4))/(VLOOKUP(EA$72,INDIRECT($C$5&amp;"生成成长"),5))*(VLOOKUP($B$5,标准坦克设计!$B$24:$U$30,MATCH("对"&amp;LEFT($C$5,2)&amp;"输出",标准坦克设计!$B$23:$U$23,0)))*(VLOOKUP($B81,INDIRECT($B$5&amp;"生成成长"),3))*(VLOOKUP($B$5,标准坦克设计!$B$14:$K$20,9)/30))</f>
        <v>19.663482081796332</v>
      </c>
      <c r="EB81" s="172">
        <f ca="1">(VLOOKUP(EB$72,INDIRECT($C$5&amp;"生成成长"),2))/((VLOOKUP($B81,INDIRECT($B$5&amp;"生成成长"),4))/(VLOOKUP(EB$72,INDIRECT($C$5&amp;"生成成长"),5))*(VLOOKUP($B$5,标准坦克设计!$B$24:$U$30,MATCH("对"&amp;LEFT($C$5,2)&amp;"输出",标准坦克设计!$B$23:$U$23,0)))*(VLOOKUP($B81,INDIRECT($B$5&amp;"生成成长"),3))*(VLOOKUP($B$5,标准坦克设计!$B$14:$K$20,9)/30))</f>
        <v>21.571486003391989</v>
      </c>
      <c r="EC81" s="172">
        <f ca="1">(VLOOKUP(EC$72,INDIRECT($C$5&amp;"生成成长"),2))/((VLOOKUP($B81,INDIRECT($B$5&amp;"生成成长"),4))/(VLOOKUP(EC$72,INDIRECT($C$5&amp;"生成成长"),5))*(VLOOKUP($B$5,标准坦克设计!$B$24:$U$30,MATCH("对"&amp;LEFT($C$5,2)&amp;"输出",标准坦克设计!$B$23:$U$23,0)))*(VLOOKUP($B81,INDIRECT($B$5&amp;"生成成长"),3))*(VLOOKUP($B$5,标准坦克设计!$B$14:$K$20,9)/30))</f>
        <v>23.567823439876328</v>
      </c>
      <c r="ED81" s="172">
        <f ca="1">(VLOOKUP(ED$72,INDIRECT($C$5&amp;"生成成长"),2))/((VLOOKUP($B81,INDIRECT($B$5&amp;"生成成长"),4))/(VLOOKUP(ED$72,INDIRECT($C$5&amp;"生成成长"),5))*(VLOOKUP($B$5,标准坦克设计!$B$24:$U$30,MATCH("对"&amp;LEFT($C$5,2)&amp;"输出",标准坦克设计!$B$23:$U$23,0)))*(VLOOKUP($B81,INDIRECT($B$5&amp;"生成成长"),3))*(VLOOKUP($B$5,标准坦克设计!$B$14:$K$20,9)/30))</f>
        <v>25.652494391249363</v>
      </c>
      <c r="EE81" s="172">
        <f ca="1">(VLOOKUP(EE$72,INDIRECT($C$5&amp;"生成成长"),2))/((VLOOKUP($B81,INDIRECT($B$5&amp;"生成成长"),4))/(VLOOKUP(EE$72,INDIRECT($C$5&amp;"生成成长"),5))*(VLOOKUP($B$5,标准坦克设计!$B$24:$U$30,MATCH("对"&amp;LEFT($C$5,2)&amp;"输出",标准坦克设计!$B$23:$U$23,0)))*(VLOOKUP($B81,INDIRECT($B$5&amp;"生成成长"),3))*(VLOOKUP($B$5,标准坦克设计!$B$14:$K$20,9)/30))</f>
        <v>27.825498857511079</v>
      </c>
      <c r="EF81" s="172">
        <f ca="1">(VLOOKUP(EF$72,INDIRECT($C$5&amp;"生成成长"),2))/((VLOOKUP($B81,INDIRECT($B$5&amp;"生成成长"),4))/(VLOOKUP(EF$72,INDIRECT($C$5&amp;"生成成长"),5))*(VLOOKUP($B$5,标准坦克设计!$B$24:$U$30,MATCH("对"&amp;LEFT($C$5,2)&amp;"输出",标准坦克设计!$B$23:$U$23,0)))*(VLOOKUP($B81,INDIRECT($B$5&amp;"生成成长"),3))*(VLOOKUP($B$5,标准坦克设计!$B$14:$K$20,9)/30))</f>
        <v>30.086836838661483</v>
      </c>
      <c r="EG81" s="172">
        <f ca="1">(VLOOKUP(EG$72,INDIRECT($C$5&amp;"生成成长"),2))/((VLOOKUP($B81,INDIRECT($B$5&amp;"生成成长"),4))/(VLOOKUP(EG$72,INDIRECT($C$5&amp;"生成成长"),5))*(VLOOKUP($B$5,标准坦克设计!$B$24:$U$30,MATCH("对"&amp;LEFT($C$5,2)&amp;"输出",标准坦克设计!$B$23:$U$23,0)))*(VLOOKUP($B81,INDIRECT($B$5&amp;"生成成长"),3))*(VLOOKUP($B$5,标准坦克设计!$B$14:$K$20,9)/30))</f>
        <v>32.436508334700584</v>
      </c>
      <c r="EH81" s="172">
        <f ca="1">(VLOOKUP(EH$72,INDIRECT($C$5&amp;"生成成长"),2))/((VLOOKUP($B81,INDIRECT($B$5&amp;"生成成长"),4))/(VLOOKUP(EH$72,INDIRECT($C$5&amp;"生成成长"),5))*(VLOOKUP($B$5,标准坦克设计!$B$24:$U$30,MATCH("对"&amp;LEFT($C$5,2)&amp;"输出",标准坦克设计!$B$23:$U$23,0)))*(VLOOKUP($B81,INDIRECT($B$5&amp;"生成成长"),3))*(VLOOKUP($B$5,标准坦克设计!$B$14:$K$20,9)/30))</f>
        <v>34.874513345628358</v>
      </c>
      <c r="EI81" s="172">
        <f ca="1">(VLOOKUP(EI$72,INDIRECT($C$5&amp;"生成成长"),2))/((VLOOKUP($B81,INDIRECT($B$5&amp;"生成成长"),4))/(VLOOKUP(EI$72,INDIRECT($C$5&amp;"生成成长"),5))*(VLOOKUP($B$5,标准坦克设计!$B$24:$U$30,MATCH("对"&amp;LEFT($C$5,2)&amp;"输出",标准坦克设计!$B$23:$U$23,0)))*(VLOOKUP($B81,INDIRECT($B$5&amp;"生成成长"),3))*(VLOOKUP($B$5,标准坦克设计!$B$14:$K$20,9)/30))</f>
        <v>37.400851871444829</v>
      </c>
      <c r="EJ81" s="172">
        <f ca="1">(VLOOKUP(EJ$72,INDIRECT($C$5&amp;"生成成长"),2))/((VLOOKUP($B81,INDIRECT($B$5&amp;"生成成长"),4))/(VLOOKUP(EJ$72,INDIRECT($C$5&amp;"生成成长"),5))*(VLOOKUP($B$5,标准坦克设计!$B$24:$U$30,MATCH("对"&amp;LEFT($C$5,2)&amp;"输出",标准坦克设计!$B$23:$U$23,0)))*(VLOOKUP($B81,INDIRECT($B$5&amp;"生成成长"),3))*(VLOOKUP($B$5,标准坦克设计!$B$14:$K$20,9)/30))</f>
        <v>40.01552391214998</v>
      </c>
      <c r="EK81" s="172">
        <f ca="1">(VLOOKUP(EK$72,INDIRECT($C$5&amp;"生成成长"),2))/((VLOOKUP($B81,INDIRECT($B$5&amp;"生成成长"),4))/(VLOOKUP(EK$72,INDIRECT($C$5&amp;"生成成长"),5))*(VLOOKUP($B$5,标准坦克设计!$B$24:$U$30,MATCH("对"&amp;LEFT($C$5,2)&amp;"输出",标准坦克设计!$B$23:$U$23,0)))*(VLOOKUP($B81,INDIRECT($B$5&amp;"生成成长"),3))*(VLOOKUP($B$5,标准坦克设计!$B$14:$K$20,9)/30))</f>
        <v>43.269730600649233</v>
      </c>
      <c r="EL81" s="172">
        <f ca="1">(VLOOKUP(EL$72,INDIRECT($C$5&amp;"生成成长"),2))/((VLOOKUP($B81,INDIRECT($B$5&amp;"生成成长"),4))/(VLOOKUP(EL$72,INDIRECT($C$5&amp;"生成成长"),5))*(VLOOKUP($B$5,标准坦克设计!$B$24:$U$30,MATCH("对"&amp;LEFT($C$5,2)&amp;"输出",标准坦克设计!$B$23:$U$23,0)))*(VLOOKUP($B81,INDIRECT($B$5&amp;"生成成长"),3))*(VLOOKUP($B$5,标准坦克设计!$B$14:$K$20,9)/30))</f>
        <v>46.651137550588203</v>
      </c>
      <c r="EM81" s="172">
        <f ca="1">(VLOOKUP(EM$72,INDIRECT($C$5&amp;"生成成长"),2))/((VLOOKUP($B81,INDIRECT($B$5&amp;"生成成长"),4))/(VLOOKUP(EM$72,INDIRECT($C$5&amp;"生成成长"),5))*(VLOOKUP($B$5,标准坦克设计!$B$24:$U$30,MATCH("对"&amp;LEFT($C$5,2)&amp;"输出",标准坦克设计!$B$23:$U$23,0)))*(VLOOKUP($B81,INDIRECT($B$5&amp;"生成成长"),3))*(VLOOKUP($B$5,标准坦克设计!$B$14:$K$20,9)/30))</f>
        <v>50.159744761966877</v>
      </c>
      <c r="EN81" s="172">
        <f ca="1">(VLOOKUP(EN$72,INDIRECT($C$5&amp;"生成成长"),2))/((VLOOKUP($B81,INDIRECT($B$5&amp;"生成成长"),4))/(VLOOKUP(EN$72,INDIRECT($C$5&amp;"生成成长"),5))*(VLOOKUP($B$5,标准坦克设计!$B$24:$U$30,MATCH("对"&amp;LEFT($C$5,2)&amp;"输出",标准坦克设计!$B$23:$U$23,0)))*(VLOOKUP($B81,INDIRECT($B$5&amp;"生成成长"),3))*(VLOOKUP($B$5,标准坦克设计!$B$14:$K$20,9)/30))</f>
        <v>53.795552234785276</v>
      </c>
      <c r="EO81" s="172">
        <f ca="1">(VLOOKUP(EO$72,INDIRECT($C$5&amp;"生成成长"),2))/((VLOOKUP($B81,INDIRECT($B$5&amp;"生成成长"),4))/(VLOOKUP(EO$72,INDIRECT($C$5&amp;"生成成长"),5))*(VLOOKUP($B$5,标准坦克设计!$B$24:$U$30,MATCH("对"&amp;LEFT($C$5,2)&amp;"输出",标准坦克设计!$B$23:$U$23,0)))*(VLOOKUP($B81,INDIRECT($B$5&amp;"生成成长"),3))*(VLOOKUP($B$5,标准坦克设计!$B$14:$K$20,9)/30))</f>
        <v>57.558559969043358</v>
      </c>
      <c r="EP81" s="172">
        <f ca="1">(VLOOKUP(EP$72,INDIRECT($C$5&amp;"生成成长"),2))/((VLOOKUP($B81,INDIRECT($B$5&amp;"生成成长"),4))/(VLOOKUP(EP$72,INDIRECT($C$5&amp;"生成成长"),5))*(VLOOKUP($B$5,标准坦克设计!$B$24:$U$30,MATCH("对"&amp;LEFT($C$5,2)&amp;"输出",标准坦克设计!$B$23:$U$23,0)))*(VLOOKUP($B81,INDIRECT($B$5&amp;"生成成长"),3))*(VLOOKUP($B$5,标准坦克设计!$B$14:$K$20,9)/30))</f>
        <v>61.448767964741187</v>
      </c>
      <c r="EQ81" s="172">
        <f ca="1">(VLOOKUP(EQ$72,INDIRECT($C$5&amp;"生成成长"),2))/((VLOOKUP($B81,INDIRECT($B$5&amp;"生成成长"),4))/(VLOOKUP(EQ$72,INDIRECT($C$5&amp;"生成成长"),5))*(VLOOKUP($B$5,标准坦克设计!$B$24:$U$30,MATCH("对"&amp;LEFT($C$5,2)&amp;"输出",标准坦克设计!$B$23:$U$23,0)))*(VLOOKUP($B81,INDIRECT($B$5&amp;"生成成长"),3))*(VLOOKUP($B$5,标准坦克设计!$B$14:$K$20,9)/30))</f>
        <v>27.164322498569245</v>
      </c>
      <c r="ER81" s="172">
        <f ca="1">(VLOOKUP(ER$72,INDIRECT($C$5&amp;"生成成长"),2))/((VLOOKUP($B81,INDIRECT($B$5&amp;"生成成长"),4))/(VLOOKUP(ER$72,INDIRECT($C$5&amp;"生成成长"),5))*(VLOOKUP($B$5,标准坦克设计!$B$24:$U$30,MATCH("对"&amp;LEFT($C$5,2)&amp;"输出",标准坦克设计!$B$23:$U$23,0)))*(VLOOKUP($B81,INDIRECT($B$5&amp;"生成成长"),3))*(VLOOKUP($B$5,标准坦克设计!$B$14:$K$20,9)/30))</f>
        <v>29.627502561240302</v>
      </c>
      <c r="ES81" s="172">
        <f ca="1">(VLOOKUP(ES$72,INDIRECT($C$5&amp;"生成成长"),2))/((VLOOKUP($B81,INDIRECT($B$5&amp;"生成成长"),4))/(VLOOKUP(ES$72,INDIRECT($C$5&amp;"生成成长"),5))*(VLOOKUP($B$5,标准坦克设计!$B$24:$U$30,MATCH("对"&amp;LEFT($C$5,2)&amp;"输出",标准坦克设计!$B$23:$U$23,0)))*(VLOOKUP($B81,INDIRECT($B$5&amp;"生成成长"),3))*(VLOOKUP($B$5,标准坦克设计!$B$14:$K$20,9)/30))</f>
        <v>32.197566176926685</v>
      </c>
      <c r="ET81" s="172">
        <f ca="1">(VLOOKUP(ET$72,INDIRECT($C$5&amp;"生成成长"),2))/((VLOOKUP($B81,INDIRECT($B$5&amp;"生成成长"),4))/(VLOOKUP(ET$72,INDIRECT($C$5&amp;"生成成长"),5))*(VLOOKUP($B$5,标准坦克设计!$B$24:$U$30,MATCH("对"&amp;LEFT($C$5,2)&amp;"输出",标准坦克设计!$B$23:$U$23,0)))*(VLOOKUP($B81,INDIRECT($B$5&amp;"生成成长"),3))*(VLOOKUP($B$5,标准坦克设计!$B$14:$K$20,9)/30))</f>
        <v>34.874513345628358</v>
      </c>
      <c r="EU81" s="172">
        <f ca="1">(VLOOKUP(EU$72,INDIRECT($C$5&amp;"生成成长"),2))/((VLOOKUP($B81,INDIRECT($B$5&amp;"生成成长"),4))/(VLOOKUP(EU$72,INDIRECT($C$5&amp;"生成成长"),5))*(VLOOKUP($B$5,标准坦克设计!$B$24:$U$30,MATCH("对"&amp;LEFT($C$5,2)&amp;"输出",标准坦克设计!$B$23:$U$23,0)))*(VLOOKUP($B81,INDIRECT($B$5&amp;"生成成长"),3))*(VLOOKUP($B$5,标准坦克设计!$B$14:$K$20,9)/30))</f>
        <v>37.658344067345354</v>
      </c>
      <c r="EV81" s="172">
        <f ca="1">(VLOOKUP(EV$72,INDIRECT($C$5&amp;"生成成长"),2))/((VLOOKUP($B81,INDIRECT($B$5&amp;"生成成长"),4))/(VLOOKUP(EV$72,INDIRECT($C$5&amp;"生成成长"),5))*(VLOOKUP($B$5,标准坦克设计!$B$24:$U$30,MATCH("对"&amp;LEFT($C$5,2)&amp;"输出",标准坦克设计!$B$23:$U$23,0)))*(VLOOKUP($B81,INDIRECT($B$5&amp;"生成成长"),3))*(VLOOKUP($B$5,标准坦克设计!$B$14:$K$20,9)/30))</f>
        <v>40.549058342077657</v>
      </c>
      <c r="EW81" s="172">
        <f ca="1">(VLOOKUP(EW$72,INDIRECT($C$5&amp;"生成成长"),2))/((VLOOKUP($B81,INDIRECT($B$5&amp;"生成成长"),4))/(VLOOKUP(EW$72,INDIRECT($C$5&amp;"生成成长"),5))*(VLOOKUP($B$5,标准坦克设计!$B$24:$U$30,MATCH("对"&amp;LEFT($C$5,2)&amp;"输出",标准坦克设计!$B$23:$U$23,0)))*(VLOOKUP($B81,INDIRECT($B$5&amp;"生成成长"),3))*(VLOOKUP($B$5,标准坦克设计!$B$14:$K$20,9)/30))</f>
        <v>43.546656169825269</v>
      </c>
      <c r="EX81" s="172">
        <f ca="1">(VLOOKUP(EX$72,INDIRECT($C$5&amp;"生成成长"),2))/((VLOOKUP($B81,INDIRECT($B$5&amp;"生成成长"),4))/(VLOOKUP(EX$72,INDIRECT($C$5&amp;"生成成长"),5))*(VLOOKUP($B$5,标准坦克设计!$B$24:$U$30,MATCH("对"&amp;LEFT($C$5,2)&amp;"输出",标准坦克设计!$B$23:$U$23,0)))*(VLOOKUP($B81,INDIRECT($B$5&amp;"生成成长"),3))*(VLOOKUP($B$5,标准坦克设计!$B$14:$K$20,9)/30))</f>
        <v>46.651137550588203</v>
      </c>
      <c r="EY81" s="172">
        <f ca="1">(VLOOKUP(EY$72,INDIRECT($C$5&amp;"生成成长"),2))/((VLOOKUP($B81,INDIRECT($B$5&amp;"生成成长"),4))/(VLOOKUP(EY$72,INDIRECT($C$5&amp;"生成成长"),5))*(VLOOKUP($B$5,标准坦克设计!$B$24:$U$30,MATCH("对"&amp;LEFT($C$5,2)&amp;"输出",标准坦克设计!$B$23:$U$23,0)))*(VLOOKUP($B81,INDIRECT($B$5&amp;"生成成长"),3))*(VLOOKUP($B$5,标准坦克设计!$B$14:$K$20,9)/30))</f>
        <v>49.862502484366452</v>
      </c>
      <c r="EZ81" s="172">
        <f ca="1">(VLOOKUP(EZ$72,INDIRECT($C$5&amp;"生成成长"),2))/((VLOOKUP($B81,INDIRECT($B$5&amp;"生成成长"),4))/(VLOOKUP(EZ$72,INDIRECT($C$5&amp;"生成成长"),5))*(VLOOKUP($B$5,标准坦克设计!$B$24:$U$30,MATCH("对"&amp;LEFT($C$5,2)&amp;"输出",标准坦克设计!$B$23:$U$23,0)))*(VLOOKUP($B81,INDIRECT($B$5&amp;"生成成长"),3))*(VLOOKUP($B$5,标准坦克设计!$B$14:$K$20,9)/30))</f>
        <v>53.180750971160002</v>
      </c>
      <c r="FA81" s="172">
        <f ca="1">(VLOOKUP(FA$72,INDIRECT($C$5&amp;"生成成长"),2))/((VLOOKUP($B81,INDIRECT($B$5&amp;"生成成长"),4))/(VLOOKUP(FA$72,INDIRECT($C$5&amp;"生成成长"),5))*(VLOOKUP($B$5,标准坦克设计!$B$24:$U$30,MATCH("对"&amp;LEFT($C$5,2)&amp;"输出",标准坦克设计!$B$23:$U$23,0)))*(VLOOKUP($B81,INDIRECT($B$5&amp;"生成成长"),3))*(VLOOKUP($B$5,标准坦克设计!$B$14:$K$20,9)/30))</f>
        <v>56.605883010968881</v>
      </c>
      <c r="FB81" s="172">
        <f ca="1">(VLOOKUP(FB$72,INDIRECT($C$5&amp;"生成成长"),2))/((VLOOKUP($B81,INDIRECT($B$5&amp;"生成成长"),4))/(VLOOKUP(FB$72,INDIRECT($C$5&amp;"生成成长"),5))*(VLOOKUP($B$5,标准坦克设计!$B$24:$U$30,MATCH("对"&amp;LEFT($C$5,2)&amp;"输出",标准坦克设计!$B$23:$U$23,0)))*(VLOOKUP($B81,INDIRECT($B$5&amp;"生成成长"),3))*(VLOOKUP($B$5,标准坦克设计!$B$14:$K$20,9)/30))</f>
        <v>60.137898603793047</v>
      </c>
      <c r="FC81" s="172">
        <f ca="1">(VLOOKUP(FC$72,INDIRECT($C$5&amp;"生成成长"),2))/((VLOOKUP($B81,INDIRECT($B$5&amp;"生成成长"),4))/(VLOOKUP(FC$72,INDIRECT($C$5&amp;"生成成长"),5))*(VLOOKUP($B$5,标准坦克设计!$B$24:$U$30,MATCH("对"&amp;LEFT($C$5,2)&amp;"输出",标准坦克设计!$B$23:$U$23,0)))*(VLOOKUP($B81,INDIRECT($B$5&amp;"生成成长"),3))*(VLOOKUP($B$5,标准坦克设计!$B$14:$K$20,9)/30))</f>
        <v>63.77679774963255</v>
      </c>
      <c r="FD81" s="172">
        <f ca="1">(VLOOKUP(FD$72,INDIRECT($C$5&amp;"生成成长"),2))/((VLOOKUP($B81,INDIRECT($B$5&amp;"生成成长"),4))/(VLOOKUP(FD$72,INDIRECT($C$5&amp;"生成成长"),5))*(VLOOKUP($B$5,标准坦克设计!$B$24:$U$30,MATCH("对"&amp;LEFT($C$5,2)&amp;"输出",标准坦克设计!$B$23:$U$23,0)))*(VLOOKUP($B81,INDIRECT($B$5&amp;"生成成长"),3))*(VLOOKUP($B$5,标准坦克设计!$B$14:$K$20,9)/30))</f>
        <v>67.522580448487332</v>
      </c>
      <c r="FE81" s="172">
        <f ca="1">(VLOOKUP(FE$72,INDIRECT($C$5&amp;"生成成长"),2))/((VLOOKUP($B81,INDIRECT($B$5&amp;"生成成长"),4))/(VLOOKUP(FE$72,INDIRECT($C$5&amp;"生成成长"),5))*(VLOOKUP($B$5,标准坦克设计!$B$24:$U$30,MATCH("对"&amp;LEFT($C$5,2)&amp;"输出",标准坦克设计!$B$23:$U$23,0)))*(VLOOKUP($B81,INDIRECT($B$5&amp;"生成成长"),3))*(VLOOKUP($B$5,标准坦克设计!$B$14:$K$20,9)/30))</f>
        <v>72.087214830360281</v>
      </c>
      <c r="FF81" s="172">
        <f ca="1">(VLOOKUP(FF$72,INDIRECT($C$5&amp;"生成成长"),2))/((VLOOKUP($B81,INDIRECT($B$5&amp;"生成成长"),4))/(VLOOKUP(FF$72,INDIRECT($C$5&amp;"生成成长"),5))*(VLOOKUP($B$5,标准坦克设计!$B$24:$U$30,MATCH("对"&amp;LEFT($C$5,2)&amp;"输出",标准坦克设计!$B$23:$U$23,0)))*(VLOOKUP($B81,INDIRECT($B$5&amp;"生成成长"),3))*(VLOOKUP($B$5,标准坦克设计!$B$14:$K$20,9)/30))</f>
        <v>76.801132852395099</v>
      </c>
      <c r="FG81" s="172">
        <f ca="1">(VLOOKUP(FG$72,INDIRECT($C$5&amp;"生成成长"),2))/((VLOOKUP($B81,INDIRECT($B$5&amp;"生成成长"),4))/(VLOOKUP(FG$72,INDIRECT($C$5&amp;"生成成长"),5))*(VLOOKUP($B$5,标准坦克设计!$B$24:$U$30,MATCH("对"&amp;LEFT($C$5,2)&amp;"输出",标准坦克设计!$B$23:$U$23,0)))*(VLOOKUP($B81,INDIRECT($B$5&amp;"生成成长"),3))*(VLOOKUP($B$5,标准坦克设计!$B$14:$K$20,9)/30))</f>
        <v>81.6643345145918</v>
      </c>
      <c r="FH81" s="172">
        <f ca="1">(VLOOKUP(FH$72,INDIRECT($C$5&amp;"生成成长"),2))/((VLOOKUP($B81,INDIRECT($B$5&amp;"生成成长"),4))/(VLOOKUP(FH$72,INDIRECT($C$5&amp;"生成成长"),5))*(VLOOKUP($B$5,标准坦克设计!$B$24:$U$30,MATCH("对"&amp;LEFT($C$5,2)&amp;"输出",标准坦克设计!$B$23:$U$23,0)))*(VLOOKUP($B81,INDIRECT($B$5&amp;"生成成长"),3))*(VLOOKUP($B$5,标准坦克设计!$B$14:$K$20,9)/30))</f>
        <v>86.676819816950385</v>
      </c>
      <c r="FI81" s="172">
        <f ca="1">(VLOOKUP(FI$72,INDIRECT($C$5&amp;"生成成长"),2))/((VLOOKUP($B81,INDIRECT($B$5&amp;"生成成长"),4))/(VLOOKUP(FI$72,INDIRECT($C$5&amp;"生成成长"),5))*(VLOOKUP($B$5,标准坦克设计!$B$24:$U$30,MATCH("对"&amp;LEFT($C$5,2)&amp;"输出",标准坦克设计!$B$23:$U$23,0)))*(VLOOKUP($B81,INDIRECT($B$5&amp;"生成成长"),3))*(VLOOKUP($B$5,标准坦克设计!$B$14:$K$20,9)/30))</f>
        <v>91.838588759470852</v>
      </c>
      <c r="FJ81" s="172">
        <f ca="1">(VLOOKUP(FJ$72,INDIRECT($C$5&amp;"生成成长"),2))/((VLOOKUP($B81,INDIRECT($B$5&amp;"生成成长"),4))/(VLOOKUP(FJ$72,INDIRECT($C$5&amp;"生成成长"),5))*(VLOOKUP($B$5,标准坦克设计!$B$24:$U$30,MATCH("对"&amp;LEFT($C$5,2)&amp;"输出",标准坦克设计!$B$23:$U$23,0)))*(VLOOKUP($B81,INDIRECT($B$5&amp;"生成成长"),3))*(VLOOKUP($B$5,标准坦克设计!$B$14:$K$20,9)/30))</f>
        <v>97.149641342153231</v>
      </c>
      <c r="FK81" s="172">
        <f ca="1">(VLOOKUP(FK$72,INDIRECT($C$5&amp;"生成成长"),2))/((VLOOKUP($B81,INDIRECT($B$5&amp;"生成成长"),4))/(VLOOKUP(FK$72,INDIRECT($C$5&amp;"生成成长"),5))*(VLOOKUP($B$5,标准坦克设计!$B$24:$U$30,MATCH("对"&amp;LEFT($C$5,2)&amp;"输出",标准坦克设计!$B$23:$U$23,0)))*(VLOOKUP($B81,INDIRECT($B$5&amp;"生成成长"),3))*(VLOOKUP($B$5,标准坦克设计!$B$14:$K$20,9)/30))</f>
        <v>102.60997756499745</v>
      </c>
    </row>
    <row r="82" spans="1:167" x14ac:dyDescent="0.15">
      <c r="A82" s="170" t="str">
        <f t="shared" si="11"/>
        <v>T2低品质5级</v>
      </c>
      <c r="B82" s="171">
        <v>10205</v>
      </c>
      <c r="C82" s="172">
        <f ca="1">(VLOOKUP(C$72,INDIRECT($C$5&amp;"生成成长"),2))/((VLOOKUP($B82,INDIRECT($B$5&amp;"生成成长"),4))/(VLOOKUP(C$72,INDIRECT($C$5&amp;"生成成长"),5))*(VLOOKUP($B$5,标准坦克设计!$B$24:$U$30,MATCH("对"&amp;LEFT($C$5,2)&amp;"输出",标准坦克设计!$B$23:$U$23,0)))*(VLOOKUP($B82,INDIRECT($B$5&amp;"生成成长"),3))*(VLOOKUP($B$5,标准坦克设计!$B$14:$K$20,9)/30))</f>
        <v>3.9512267816331095</v>
      </c>
      <c r="D82" s="172">
        <f ca="1">(VLOOKUP(D$72,INDIRECT($C$5&amp;"生成成长"),2))/((VLOOKUP($B82,INDIRECT($B$5&amp;"生成成长"),4))/(VLOOKUP(D$72,INDIRECT($C$5&amp;"生成成长"),5))*(VLOOKUP($B$5,标准坦克设计!$B$24:$U$30,MATCH("对"&amp;LEFT($C$5,2)&amp;"输出",标准坦克设计!$B$23:$U$23,0)))*(VLOOKUP($B82,INDIRECT($B$5&amp;"生成成长"),3))*(VLOOKUP($B$5,标准坦克设计!$B$14:$K$20,9)/30))</f>
        <v>4.4395984118429617</v>
      </c>
      <c r="E82" s="172">
        <f ca="1">(VLOOKUP(E$72,INDIRECT($C$5&amp;"生成成长"),2))/((VLOOKUP($B82,INDIRECT($B$5&amp;"生成成长"),4))/(VLOOKUP(E$72,INDIRECT($C$5&amp;"生成成长"),5))*(VLOOKUP($B$5,标准坦克设计!$B$24:$U$30,MATCH("对"&amp;LEFT($C$5,2)&amp;"输出",标准坦克设计!$B$23:$U$23,0)))*(VLOOKUP($B82,INDIRECT($B$5&amp;"生成成长"),3))*(VLOOKUP($B$5,标准坦克设计!$B$14:$K$20,9)/30))</f>
        <v>4.9564188748805726</v>
      </c>
      <c r="F82" s="172">
        <f ca="1">(VLOOKUP(F$72,INDIRECT($C$5&amp;"生成成长"),2))/((VLOOKUP($B82,INDIRECT($B$5&amp;"生成成长"),4))/(VLOOKUP(F$72,INDIRECT($C$5&amp;"生成成长"),5))*(VLOOKUP($B$5,标准坦克设计!$B$24:$U$30,MATCH("对"&amp;LEFT($C$5,2)&amp;"输出",标准坦克设计!$B$23:$U$23,0)))*(VLOOKUP($B82,INDIRECT($B$5&amp;"生成成长"),3))*(VLOOKUP($B$5,标准坦克设计!$B$14:$K$20,9)/30))</f>
        <v>5.5016881707459415</v>
      </c>
      <c r="G82" s="172">
        <f ca="1">(VLOOKUP(G$72,INDIRECT($C$5&amp;"生成成长"),2))/((VLOOKUP($B82,INDIRECT($B$5&amp;"生成成长"),4))/(VLOOKUP(G$72,INDIRECT($C$5&amp;"生成成长"),5))*(VLOOKUP($B$5,标准坦克设计!$B$24:$U$30,MATCH("对"&amp;LEFT($C$5,2)&amp;"输出",标准坦克设计!$B$23:$U$23,0)))*(VLOOKUP($B82,INDIRECT($B$5&amp;"生成成长"),3))*(VLOOKUP($B$5,标准坦克设计!$B$14:$K$20,9)/30))</f>
        <v>6.0754062994390683</v>
      </c>
      <c r="H82" s="172">
        <f ca="1">(VLOOKUP(H$72,INDIRECT($C$5&amp;"生成成长"),2))/((VLOOKUP($B82,INDIRECT($B$5&amp;"生成成长"),4))/(VLOOKUP(H$72,INDIRECT($C$5&amp;"生成成长"),5))*(VLOOKUP($B$5,标准坦克设计!$B$24:$U$30,MATCH("对"&amp;LEFT($C$5,2)&amp;"输出",标准坦克设计!$B$23:$U$23,0)))*(VLOOKUP($B82,INDIRECT($B$5&amp;"生成成长"),3))*(VLOOKUP($B$5,标准坦克设计!$B$14:$K$20,9)/30))</f>
        <v>5.3167707573655116</v>
      </c>
      <c r="I82" s="172">
        <f ca="1">(VLOOKUP(I$72,INDIRECT($C$5&amp;"生成成长"),2))/((VLOOKUP($B82,INDIRECT($B$5&amp;"生成成长"),4))/(VLOOKUP(I$72,INDIRECT($C$5&amp;"生成成长"),5))*(VLOOKUP($B$5,标准坦克设计!$B$24:$U$30,MATCH("对"&amp;LEFT($C$5,2)&amp;"输出",标准坦克设计!$B$23:$U$23,0)))*(VLOOKUP($B82,INDIRECT($B$5&amp;"生成成长"),3))*(VLOOKUP($B$5,标准坦克设计!$B$14:$K$20,9)/30))</f>
        <v>6.0754062994390683</v>
      </c>
      <c r="J82" s="172">
        <f ca="1">(VLOOKUP(J$72,INDIRECT($C$5&amp;"生成成长"),2))/((VLOOKUP($B82,INDIRECT($B$5&amp;"生成成长"),4))/(VLOOKUP(J$72,INDIRECT($C$5&amp;"生成成长"),5))*(VLOOKUP($B$5,标准坦克设计!$B$24:$U$30,MATCH("对"&amp;LEFT($C$5,2)&amp;"输出",标准坦克设计!$B$23:$U$23,0)))*(VLOOKUP($B82,INDIRECT($B$5&amp;"生成成长"),3))*(VLOOKUP($B$5,标准坦克设计!$B$14:$K$20,9)/30))</f>
        <v>6.8846175443175301</v>
      </c>
      <c r="K82" s="172">
        <f ca="1">(VLOOKUP(K$72,INDIRECT($C$5&amp;"生成成长"),2))/((VLOOKUP($B82,INDIRECT($B$5&amp;"生成成长"),4))/(VLOOKUP(K$72,INDIRECT($C$5&amp;"生成成长"),5))*(VLOOKUP($B$5,标准坦克设计!$B$24:$U$30,MATCH("对"&amp;LEFT($C$5,2)&amp;"输出",标准坦克设计!$B$23:$U$23,0)))*(VLOOKUP($B82,INDIRECT($B$5&amp;"生成成长"),3))*(VLOOKUP($B$5,标准坦克设计!$B$14:$K$20,9)/30))</f>
        <v>7.7444044920008928</v>
      </c>
      <c r="L82" s="172">
        <f ca="1">(VLOOKUP(L$72,INDIRECT($C$5&amp;"生成成长"),2))/((VLOOKUP($B82,INDIRECT($B$5&amp;"生成成长"),4))/(VLOOKUP(L$72,INDIRECT($C$5&amp;"生成成长"),5))*(VLOOKUP($B$5,标准坦克设计!$B$24:$U$30,MATCH("对"&amp;LEFT($C$5,2)&amp;"输出",标准坦克设计!$B$23:$U$23,0)))*(VLOOKUP($B82,INDIRECT($B$5&amp;"生成成长"),3))*(VLOOKUP($B$5,标准坦克设计!$B$14:$K$20,9)/30))</f>
        <v>8.6547671424891632</v>
      </c>
      <c r="M82" s="172">
        <f ca="1">(VLOOKUP(M$72,INDIRECT($C$5&amp;"生成成长"),2))/((VLOOKUP($B82,INDIRECT($B$5&amp;"生成成长"),4))/(VLOOKUP(M$72,INDIRECT($C$5&amp;"生成成长"),5))*(VLOOKUP($B$5,标准坦克设计!$B$24:$U$30,MATCH("对"&amp;LEFT($C$5,2)&amp;"输出",标准坦克设计!$B$23:$U$23,0)))*(VLOOKUP($B82,INDIRECT($B$5&amp;"生成成长"),3))*(VLOOKUP($B$5,标准坦克设计!$B$14:$K$20,9)/30))</f>
        <v>9.6157054957823345</v>
      </c>
      <c r="N82" s="172">
        <f ca="1">(VLOOKUP(N$72,INDIRECT($C$5&amp;"生成成长"),2))/((VLOOKUP($B82,INDIRECT($B$5&amp;"生成成长"),4))/(VLOOKUP(N$72,INDIRECT($C$5&amp;"生成成长"),5))*(VLOOKUP($B$5,标准坦克设计!$B$24:$U$30,MATCH("对"&amp;LEFT($C$5,2)&amp;"输出",标准坦克设计!$B$23:$U$23,0)))*(VLOOKUP($B82,INDIRECT($B$5&amp;"生成成长"),3))*(VLOOKUP($B$5,标准坦克设计!$B$14:$K$20,9)/30))</f>
        <v>10.62721955188041</v>
      </c>
      <c r="O82" s="172">
        <f ca="1">(VLOOKUP(O$72,INDIRECT($C$5&amp;"生成成长"),2))/((VLOOKUP($B82,INDIRECT($B$5&amp;"生成成长"),4))/(VLOOKUP(O$72,INDIRECT($C$5&amp;"生成成长"),5))*(VLOOKUP($B$5,标准坦克设计!$B$24:$U$30,MATCH("对"&amp;LEFT($C$5,2)&amp;"输出",标准坦克设计!$B$23:$U$23,0)))*(VLOOKUP($B82,INDIRECT($B$5&amp;"生成成长"),3))*(VLOOKUP($B$5,标准坦克设计!$B$14:$K$20,9)/30))</f>
        <v>8.0798636457615451</v>
      </c>
      <c r="P82" s="172">
        <f ca="1">(VLOOKUP(P$72,INDIRECT($C$5&amp;"生成成长"),2))/((VLOOKUP($B82,INDIRECT($B$5&amp;"生成成长"),4))/(VLOOKUP(P$72,INDIRECT($C$5&amp;"生成成长"),5))*(VLOOKUP($B$5,标准坦克设计!$B$24:$U$30,MATCH("对"&amp;LEFT($C$5,2)&amp;"输出",标准坦克设计!$B$23:$U$23,0)))*(VLOOKUP($B82,INDIRECT($B$5&amp;"生成成长"),3))*(VLOOKUP($B$5,标准坦克设计!$B$14:$K$20,9)/30))</f>
        <v>9.1289143562851365</v>
      </c>
      <c r="Q82" s="172">
        <f ca="1">(VLOOKUP(Q$72,INDIRECT($C$5&amp;"生成成长"),2))/((VLOOKUP($B82,INDIRECT($B$5&amp;"生成成长"),4))/(VLOOKUP(Q$72,INDIRECT($C$5&amp;"生成成长"),5))*(VLOOKUP($B$5,标准坦克设计!$B$24:$U$30,MATCH("对"&amp;LEFT($C$5,2)&amp;"输出",标准坦克设计!$B$23:$U$23,0)))*(VLOOKUP($B82,INDIRECT($B$5&amp;"生成成长"),3))*(VLOOKUP($B$5,标准坦克设计!$B$14:$K$20,9)/30))</f>
        <v>10.241974940671183</v>
      </c>
      <c r="R82" s="172">
        <f ca="1">(VLOOKUP(R$72,INDIRECT($C$5&amp;"生成成长"),2))/((VLOOKUP($B82,INDIRECT($B$5&amp;"生成成长"),4))/(VLOOKUP(R$72,INDIRECT($C$5&amp;"生成成长"),5))*(VLOOKUP($B$5,标准坦克设计!$B$24:$U$30,MATCH("对"&amp;LEFT($C$5,2)&amp;"输出",标准坦克设计!$B$23:$U$23,0)))*(VLOOKUP($B82,INDIRECT($B$5&amp;"生成成长"),3))*(VLOOKUP($B$5,标准坦克设计!$B$14:$K$20,9)/30))</f>
        <v>11.419045398919687</v>
      </c>
      <c r="S82" s="172">
        <f ca="1">(VLOOKUP(S$72,INDIRECT($C$5&amp;"生成成长"),2))/((VLOOKUP($B82,INDIRECT($B$5&amp;"生成成长"),4))/(VLOOKUP(S$72,INDIRECT($C$5&amp;"生成成长"),5))*(VLOOKUP($B$5,标准坦克设计!$B$24:$U$30,MATCH("对"&amp;LEFT($C$5,2)&amp;"输出",标准坦克设计!$B$23:$U$23,0)))*(VLOOKUP($B82,INDIRECT($B$5&amp;"生成成长"),3))*(VLOOKUP($B$5,标准坦克设计!$B$14:$K$20,9)/30))</f>
        <v>12.660125731030647</v>
      </c>
      <c r="T82" s="172">
        <f ca="1">(VLOOKUP(T$72,INDIRECT($C$5&amp;"生成成长"),2))/((VLOOKUP($B82,INDIRECT($B$5&amp;"生成成长"),4))/(VLOOKUP(T$72,INDIRECT($C$5&amp;"生成成长"),5))*(VLOOKUP($B$5,标准坦克设计!$B$24:$U$30,MATCH("对"&amp;LEFT($C$5,2)&amp;"输出",标准坦克设计!$B$23:$U$23,0)))*(VLOOKUP($B82,INDIRECT($B$5&amp;"生成成长"),3))*(VLOOKUP($B$5,标准坦克设计!$B$14:$K$20,9)/30))</f>
        <v>13.965215937004062</v>
      </c>
      <c r="U82" s="172">
        <f ca="1">(VLOOKUP(U$72,INDIRECT($C$5&amp;"生成成长"),2))/((VLOOKUP($B82,INDIRECT($B$5&amp;"生成成长"),4))/(VLOOKUP(U$72,INDIRECT($C$5&amp;"生成成长"),5))*(VLOOKUP($B$5,标准坦克设计!$B$24:$U$30,MATCH("对"&amp;LEFT($C$5,2)&amp;"输出",标准坦克设计!$B$23:$U$23,0)))*(VLOOKUP($B82,INDIRECT($B$5&amp;"生成成长"),3))*(VLOOKUP($B$5,标准坦克设计!$B$14:$K$20,9)/30))</f>
        <v>15.334316016839933</v>
      </c>
      <c r="V82" s="172">
        <f ca="1">(VLOOKUP(V$72,INDIRECT($C$5&amp;"生成成长"),2))/((VLOOKUP($B82,INDIRECT($B$5&amp;"生成成长"),4))/(VLOOKUP(V$72,INDIRECT($C$5&amp;"生成成长"),5))*(VLOOKUP($B$5,标准坦克设计!$B$24:$U$30,MATCH("对"&amp;LEFT($C$5,2)&amp;"输出",标准坦克设计!$B$23:$U$23,0)))*(VLOOKUP($B82,INDIRECT($B$5&amp;"生成成长"),3))*(VLOOKUP($B$5,标准坦克设计!$B$14:$K$20,9)/30))</f>
        <v>16.767425970538259</v>
      </c>
      <c r="W82" s="172">
        <f ca="1">(VLOOKUP(W$72,INDIRECT($C$5&amp;"生成成长"),2))/((VLOOKUP($B82,INDIRECT($B$5&amp;"生成成长"),4))/(VLOOKUP(W$72,INDIRECT($C$5&amp;"生成成长"),5))*(VLOOKUP($B$5,标准坦克设计!$B$24:$U$30,MATCH("对"&amp;LEFT($C$5,2)&amp;"输出",标准坦克设计!$B$23:$U$23,0)))*(VLOOKUP($B82,INDIRECT($B$5&amp;"生成成长"),3))*(VLOOKUP($B$5,标准坦克设计!$B$14:$K$20,9)/30))</f>
        <v>18.264545798099046</v>
      </c>
      <c r="X82" s="172">
        <f ca="1">(VLOOKUP(X$72,INDIRECT($C$5&amp;"生成成长"),2))/((VLOOKUP($B82,INDIRECT($B$5&amp;"生成成长"),4))/(VLOOKUP(X$72,INDIRECT($C$5&amp;"生成成长"),5))*(VLOOKUP($B$5,标准坦克设计!$B$24:$U$30,MATCH("对"&amp;LEFT($C$5,2)&amp;"输出",标准坦克设计!$B$23:$U$23,0)))*(VLOOKUP($B82,INDIRECT($B$5&amp;"生成成长"),3))*(VLOOKUP($B$5,标准坦克设计!$B$14:$K$20,9)/30))</f>
        <v>13.23226336901112</v>
      </c>
      <c r="Y82" s="172">
        <f ca="1">(VLOOKUP(Y$72,INDIRECT($C$5&amp;"生成成长"),2))/((VLOOKUP($B82,INDIRECT($B$5&amp;"生成成长"),4))/(VLOOKUP(Y$72,INDIRECT($C$5&amp;"生成成长"),5))*(VLOOKUP($B$5,标准坦克设计!$B$24:$U$30,MATCH("对"&amp;LEFT($C$5,2)&amp;"输出",标准坦克设计!$B$23:$U$23,0)))*(VLOOKUP($B82,INDIRECT($B$5&amp;"生成成长"),3))*(VLOOKUP($B$5,标准坦克设计!$B$14:$K$20,9)/30))</f>
        <v>14.717924638905171</v>
      </c>
      <c r="Z82" s="172">
        <f ca="1">(VLOOKUP(Z$72,INDIRECT($C$5&amp;"生成成长"),2))/((VLOOKUP($B82,INDIRECT($B$5&amp;"生成成长"),4))/(VLOOKUP(Z$72,INDIRECT($C$5&amp;"生成成长"),5))*(VLOOKUP($B$5,标准坦克设计!$B$24:$U$30,MATCH("对"&amp;LEFT($C$5,2)&amp;"输出",标准坦克设计!$B$23:$U$23,0)))*(VLOOKUP($B82,INDIRECT($B$5&amp;"生成成长"),3))*(VLOOKUP($B$5,标准坦克设计!$B$14:$K$20,9)/30))</f>
        <v>16.282610444431878</v>
      </c>
      <c r="AA82" s="172">
        <f ca="1">(VLOOKUP(AA$72,INDIRECT($C$5&amp;"生成成长"),2))/((VLOOKUP($B82,INDIRECT($B$5&amp;"生成成长"),4))/(VLOOKUP(AA$72,INDIRECT($C$5&amp;"生成成长"),5))*(VLOOKUP($B$5,标准坦克设计!$B$24:$U$30,MATCH("对"&amp;LEFT($C$5,2)&amp;"输出",标准坦克设计!$B$23:$U$23,0)))*(VLOOKUP($B82,INDIRECT($B$5&amp;"生成成长"),3))*(VLOOKUP($B$5,标准坦克设计!$B$14:$K$20,9)/30))</f>
        <v>17.926320785591255</v>
      </c>
      <c r="AB82" s="172">
        <f ca="1">(VLOOKUP(AB$72,INDIRECT($C$5&amp;"生成成长"),2))/((VLOOKUP($B82,INDIRECT($B$5&amp;"生成成长"),4))/(VLOOKUP(AB$72,INDIRECT($C$5&amp;"生成成长"),5))*(VLOOKUP($B$5,标准坦克设计!$B$24:$U$30,MATCH("对"&amp;LEFT($C$5,2)&amp;"输出",标准坦克设计!$B$23:$U$23,0)))*(VLOOKUP($B82,INDIRECT($B$5&amp;"生成成长"),3))*(VLOOKUP($B$5,标准坦克设计!$B$14:$K$20,9)/30))</f>
        <v>19.649055662383287</v>
      </c>
      <c r="AC82" s="172">
        <f ca="1">(VLOOKUP(AC$72,INDIRECT($C$5&amp;"生成成长"),2))/((VLOOKUP($B82,INDIRECT($B$5&amp;"生成成长"),4))/(VLOOKUP(AC$72,INDIRECT($C$5&amp;"生成成长"),5))*(VLOOKUP($B$5,标准坦克设计!$B$24:$U$30,MATCH("对"&amp;LEFT($C$5,2)&amp;"输出",标准坦克设计!$B$23:$U$23,0)))*(VLOOKUP($B82,INDIRECT($B$5&amp;"生成成长"),3))*(VLOOKUP($B$5,标准坦克设计!$B$14:$K$20,9)/30))</f>
        <v>21.450815074807991</v>
      </c>
      <c r="AD82" s="172">
        <f ca="1">(VLOOKUP(AD$72,INDIRECT($C$5&amp;"生成成长"),2))/((VLOOKUP($B82,INDIRECT($B$5&amp;"生成成长"),4))/(VLOOKUP(AD$72,INDIRECT($C$5&amp;"生成成长"),5))*(VLOOKUP($B$5,标准坦克设计!$B$24:$U$30,MATCH("对"&amp;LEFT($C$5,2)&amp;"输出",标准坦克设计!$B$23:$U$23,0)))*(VLOOKUP($B82,INDIRECT($B$5&amp;"生成成长"),3))*(VLOOKUP($B$5,标准坦克设计!$B$14:$K$20,9)/30))</f>
        <v>23.331599022865348</v>
      </c>
      <c r="AE82" s="172">
        <f ca="1">(VLOOKUP(AE$72,INDIRECT($C$5&amp;"生成成长"),2))/((VLOOKUP($B82,INDIRECT($B$5&amp;"生成成长"),4))/(VLOOKUP(AE$72,INDIRECT($C$5&amp;"生成成长"),5))*(VLOOKUP($B$5,标准坦克设计!$B$24:$U$30,MATCH("对"&amp;LEFT($C$5,2)&amp;"输出",标准坦克设计!$B$23:$U$23,0)))*(VLOOKUP($B82,INDIRECT($B$5&amp;"生成成长"),3))*(VLOOKUP($B$5,标准坦克设计!$B$14:$K$20,9)/30))</f>
        <v>25.291407506555373</v>
      </c>
      <c r="AF82" s="172">
        <f ca="1">(VLOOKUP(AF$72,INDIRECT($C$5&amp;"生成成长"),2))/((VLOOKUP($B82,INDIRECT($B$5&amp;"生成成长"),4))/(VLOOKUP(AF$72,INDIRECT($C$5&amp;"生成成长"),5))*(VLOOKUP($B$5,标准坦克设计!$B$24:$U$30,MATCH("对"&amp;LEFT($C$5,2)&amp;"输出",标准坦克设计!$B$23:$U$23,0)))*(VLOOKUP($B82,INDIRECT($B$5&amp;"生成成长"),3))*(VLOOKUP($B$5,标准坦克设计!$B$14:$K$20,9)/30))</f>
        <v>27.33024052587805</v>
      </c>
      <c r="AG82" s="172">
        <f ca="1">(VLOOKUP(AG$72,INDIRECT($C$5&amp;"生成成长"),2))/((VLOOKUP($B82,INDIRECT($B$5&amp;"生成成长"),4))/(VLOOKUP(AG$72,INDIRECT($C$5&amp;"生成成长"),5))*(VLOOKUP($B$5,标准坦克设计!$B$24:$U$30,MATCH("对"&amp;LEFT($C$5,2)&amp;"输出",标准坦克设计!$B$23:$U$23,0)))*(VLOOKUP($B82,INDIRECT($B$5&amp;"生成成长"),3))*(VLOOKUP($B$5,标准坦克设计!$B$14:$K$20,9)/30))</f>
        <v>29.4480980808334</v>
      </c>
      <c r="AH82" s="172">
        <f ca="1">(VLOOKUP(AH$72,INDIRECT($C$5&amp;"生成成长"),2))/((VLOOKUP($B82,INDIRECT($B$5&amp;"生成成长"),4))/(VLOOKUP(AH$72,INDIRECT($C$5&amp;"生成成长"),5))*(VLOOKUP($B$5,标准坦克设计!$B$24:$U$30,MATCH("对"&amp;LEFT($C$5,2)&amp;"输出",标准坦克设计!$B$23:$U$23,0)))*(VLOOKUP($B82,INDIRECT($B$5&amp;"生成成长"),3))*(VLOOKUP($B$5,标准坦克设计!$B$14:$K$20,9)/30))</f>
        <v>31.644980171421405</v>
      </c>
      <c r="AI82" s="172">
        <f ca="1">(VLOOKUP(AI$72,INDIRECT($C$5&amp;"生成成长"),2))/((VLOOKUP($B82,INDIRECT($B$5&amp;"生成成长"),4))/(VLOOKUP(AI$72,INDIRECT($C$5&amp;"生成成长"),5))*(VLOOKUP($B$5,标准坦克设计!$B$24:$U$30,MATCH("对"&amp;LEFT($C$5,2)&amp;"输出",标准坦克设计!$B$23:$U$23,0)))*(VLOOKUP($B82,INDIRECT($B$5&amp;"生成成长"),3))*(VLOOKUP($B$5,标准坦克设计!$B$14:$K$20,9)/30))</f>
        <v>22.381328981882582</v>
      </c>
      <c r="AJ82" s="172">
        <f ca="1">(VLOOKUP(AJ$72,INDIRECT($C$5&amp;"生成成长"),2))/((VLOOKUP($B82,INDIRECT($B$5&amp;"生成成长"),4))/(VLOOKUP(AJ$72,INDIRECT($C$5&amp;"生成成长"),5))*(VLOOKUP($B$5,标准坦克设计!$B$24:$U$30,MATCH("对"&amp;LEFT($C$5,2)&amp;"输出",标准坦克设计!$B$23:$U$23,0)))*(VLOOKUP($B82,INDIRECT($B$5&amp;"生成成长"),3))*(VLOOKUP($B$5,标准坦克设计!$B$14:$K$20,9)/30))</f>
        <v>24.498001168803437</v>
      </c>
      <c r="AK82" s="172">
        <f ca="1">(VLOOKUP(AK$72,INDIRECT($C$5&amp;"生成成长"),2))/((VLOOKUP($B82,INDIRECT($B$5&amp;"生成成长"),4))/(VLOOKUP(AK$72,INDIRECT($C$5&amp;"生成成长"),5))*(VLOOKUP($B$5,标准坦克设计!$B$24:$U$30,MATCH("对"&amp;LEFT($C$5,2)&amp;"输出",标准坦克设计!$B$23:$U$23,0)))*(VLOOKUP($B82,INDIRECT($B$5&amp;"生成成长"),3))*(VLOOKUP($B$5,标准坦克设计!$B$14:$K$20,9)/30))</f>
        <v>26.710293043839819</v>
      </c>
      <c r="AL82" s="172">
        <f ca="1">(VLOOKUP(AL$72,INDIRECT($C$5&amp;"生成成长"),2))/((VLOOKUP($B82,INDIRECT($B$5&amp;"生成成长"),4))/(VLOOKUP(AL$72,INDIRECT($C$5&amp;"生成成长"),5))*(VLOOKUP($B$5,标准坦克设计!$B$24:$U$30,MATCH("对"&amp;LEFT($C$5,2)&amp;"输出",标准坦克设计!$B$23:$U$23,0)))*(VLOOKUP($B82,INDIRECT($B$5&amp;"生成成长"),3))*(VLOOKUP($B$5,标准坦克设计!$B$14:$K$20,9)/30))</f>
        <v>29.018204606991716</v>
      </c>
      <c r="AM82" s="172">
        <f ca="1">(VLOOKUP(AM$72,INDIRECT($C$5&amp;"生成成长"),2))/((VLOOKUP($B82,INDIRECT($B$5&amp;"生成成长"),4))/(VLOOKUP(AM$72,INDIRECT($C$5&amp;"生成成长"),5))*(VLOOKUP($B$5,标准坦克设计!$B$24:$U$30,MATCH("对"&amp;LEFT($C$5,2)&amp;"输出",标准坦克设计!$B$23:$U$23,0)))*(VLOOKUP($B82,INDIRECT($B$5&amp;"生成成长"),3))*(VLOOKUP($B$5,标准坦克设计!$B$14:$K$20,9)/30))</f>
        <v>31.42173585825914</v>
      </c>
      <c r="AN82" s="172">
        <f ca="1">(VLOOKUP(AN$72,INDIRECT($C$5&amp;"生成成长"),2))/((VLOOKUP($B82,INDIRECT($B$5&amp;"生成成长"),4))/(VLOOKUP(AN$72,INDIRECT($C$5&amp;"生成成长"),5))*(VLOOKUP($B$5,标准坦克设计!$B$24:$U$30,MATCH("对"&amp;LEFT($C$5,2)&amp;"输出",标准坦克设计!$B$23:$U$23,0)))*(VLOOKUP($B82,INDIRECT($B$5&amp;"生成成长"),3))*(VLOOKUP($B$5,标准坦克设计!$B$14:$K$20,9)/30))</f>
        <v>33.920886797642083</v>
      </c>
      <c r="AO82" s="172">
        <f ca="1">(VLOOKUP(AO$72,INDIRECT($C$5&amp;"生成成长"),2))/((VLOOKUP($B82,INDIRECT($B$5&amp;"生成成长"),4))/(VLOOKUP(AO$72,INDIRECT($C$5&amp;"生成成长"),5))*(VLOOKUP($B$5,标准坦克设计!$B$24:$U$30,MATCH("对"&amp;LEFT($C$5,2)&amp;"输出",标准坦克设计!$B$23:$U$23,0)))*(VLOOKUP($B82,INDIRECT($B$5&amp;"生成成长"),3))*(VLOOKUP($B$5,标准坦克设计!$B$14:$K$20,9)/30))</f>
        <v>36.515657425140546</v>
      </c>
      <c r="AP82" s="172">
        <f ca="1">(VLOOKUP(AP$72,INDIRECT($C$5&amp;"生成成长"),2))/((VLOOKUP($B82,INDIRECT($B$5&amp;"生成成长"),4))/(VLOOKUP(AP$72,INDIRECT($C$5&amp;"生成成长"),5))*(VLOOKUP($B$5,标准坦克设计!$B$24:$U$30,MATCH("对"&amp;LEFT($C$5,2)&amp;"输出",标准坦克设计!$B$23:$U$23,0)))*(VLOOKUP($B82,INDIRECT($B$5&amp;"生成成长"),3))*(VLOOKUP($B$5,标准坦克设计!$B$14:$K$20,9)/30))</f>
        <v>39.206047740754528</v>
      </c>
      <c r="AQ82" s="172">
        <f ca="1">(VLOOKUP(AQ$72,INDIRECT($C$5&amp;"生成成长"),2))/((VLOOKUP($B82,INDIRECT($B$5&amp;"生成成长"),4))/(VLOOKUP(AQ$72,INDIRECT($C$5&amp;"生成成长"),5))*(VLOOKUP($B$5,标准坦克设计!$B$24:$U$30,MATCH("对"&amp;LEFT($C$5,2)&amp;"输出",标准坦克设计!$B$23:$U$23,0)))*(VLOOKUP($B82,INDIRECT($B$5&amp;"生成成长"),3))*(VLOOKUP($B$5,标准坦克设计!$B$14:$K$20,9)/30))</f>
        <v>41.992057744484036</v>
      </c>
      <c r="AR82" s="172">
        <f ca="1">(VLOOKUP(AR$72,INDIRECT($C$5&amp;"生成成长"),2))/((VLOOKUP($B82,INDIRECT($B$5&amp;"生成成长"),4))/(VLOOKUP(AR$72,INDIRECT($C$5&amp;"生成成长"),5))*(VLOOKUP($B$5,标准坦克设计!$B$24:$U$30,MATCH("对"&amp;LEFT($C$5,2)&amp;"输出",标准坦克设计!$B$23:$U$23,0)))*(VLOOKUP($B82,INDIRECT($B$5&amp;"生成成长"),3))*(VLOOKUP($B$5,标准坦克设计!$B$14:$K$20,9)/30))</f>
        <v>44.87368743632905</v>
      </c>
      <c r="AS82" s="172">
        <f ca="1">(VLOOKUP(AS$72,INDIRECT($C$5&amp;"生成成长"),2))/((VLOOKUP($B82,INDIRECT($B$5&amp;"生成成长"),4))/(VLOOKUP(AS$72,INDIRECT($C$5&amp;"生成成长"),5))*(VLOOKUP($B$5,标准坦克设计!$B$24:$U$30,MATCH("对"&amp;LEFT($C$5,2)&amp;"输出",标准坦克设计!$B$23:$U$23,0)))*(VLOOKUP($B82,INDIRECT($B$5&amp;"生成成长"),3))*(VLOOKUP($B$5,标准坦克设计!$B$14:$K$20,9)/30))</f>
        <v>47.850936816289604</v>
      </c>
      <c r="AT82" s="172">
        <f ca="1">(VLOOKUP(AT$72,INDIRECT($C$5&amp;"生成成长"),2))/((VLOOKUP($B82,INDIRECT($B$5&amp;"生成成长"),4))/(VLOOKUP(AT$72,INDIRECT($C$5&amp;"生成成长"),5))*(VLOOKUP($B$5,标准坦克设计!$B$24:$U$30,MATCH("对"&amp;LEFT($C$5,2)&amp;"输出",标准坦克设计!$B$23:$U$23,0)))*(VLOOKUP($B82,INDIRECT($B$5&amp;"生成成长"),3))*(VLOOKUP($B$5,标准坦克设计!$B$14:$K$20,9)/30))</f>
        <v>50.923805884365663</v>
      </c>
      <c r="AU82" s="172">
        <f ca="1">(VLOOKUP(AU$72,INDIRECT($C$5&amp;"生成成长"),2))/((VLOOKUP($B82,INDIRECT($B$5&amp;"生成成长"),4))/(VLOOKUP(AU$72,INDIRECT($C$5&amp;"生成成长"),5))*(VLOOKUP($B$5,标准坦克设计!$B$24:$U$30,MATCH("对"&amp;LEFT($C$5,2)&amp;"输出",标准坦克设计!$B$23:$U$23,0)))*(VLOOKUP($B82,INDIRECT($B$5&amp;"生成成长"),3))*(VLOOKUP($B$5,标准坦克设计!$B$14:$K$20,9)/30))</f>
        <v>54.092294640557263</v>
      </c>
      <c r="AV82" s="172">
        <f ca="1">(VLOOKUP(AV$72,INDIRECT($C$5&amp;"生成成长"),2))/((VLOOKUP($B82,INDIRECT($B$5&amp;"生成成长"),4))/(VLOOKUP(AV$72,INDIRECT($C$5&amp;"生成成长"),5))*(VLOOKUP($B$5,标准坦克设计!$B$24:$U$30,MATCH("对"&amp;LEFT($C$5,2)&amp;"输出",标准坦克设计!$B$23:$U$23,0)))*(VLOOKUP($B82,INDIRECT($B$5&amp;"生成成长"),3))*(VLOOKUP($B$5,标准坦克设计!$B$14:$K$20,9)/30))</f>
        <v>5.5016881707459415</v>
      </c>
      <c r="AW82" s="172">
        <f ca="1">(VLOOKUP(AW$72,INDIRECT($C$5&amp;"生成成长"),2))/((VLOOKUP($B82,INDIRECT($B$5&amp;"生成成长"),4))/(VLOOKUP(AW$72,INDIRECT($C$5&amp;"生成成长"),5))*(VLOOKUP($B$5,标准坦克设计!$B$24:$U$30,MATCH("对"&amp;LEFT($C$5,2)&amp;"输出",标准坦克设计!$B$23:$U$23,0)))*(VLOOKUP($B82,INDIRECT($B$5&amp;"生成成长"),3))*(VLOOKUP($B$5,标准坦克设计!$B$14:$K$20,9)/30))</f>
        <v>6.2729676385207238</v>
      </c>
      <c r="AX82" s="172">
        <f ca="1">(VLOOKUP(AX$72,INDIRECT($C$5&amp;"生成成长"),2))/((VLOOKUP($B82,INDIRECT($B$5&amp;"生成成长"),4))/(VLOOKUP(AX$72,INDIRECT($C$5&amp;"生成成长"),5))*(VLOOKUP($B$5,标准坦克设计!$B$24:$U$30,MATCH("对"&amp;LEFT($C$5,2)&amp;"输出",标准坦克设计!$B$23:$U$23,0)))*(VLOOKUP($B82,INDIRECT($B$5&amp;"生成成长"),3))*(VLOOKUP($B$5,标准坦克设计!$B$14:$K$20,9)/30))</f>
        <v>7.0948228091004104</v>
      </c>
      <c r="AY82" s="172">
        <f ca="1">(VLOOKUP(AY$72,INDIRECT($C$5&amp;"生成成长"),2))/((VLOOKUP($B82,INDIRECT($B$5&amp;"生成成长"),4))/(VLOOKUP(AY$72,INDIRECT($C$5&amp;"生成成长"),5))*(VLOOKUP($B$5,标准坦克设计!$B$24:$U$30,MATCH("对"&amp;LEFT($C$5,2)&amp;"输出",标准坦克设计!$B$23:$U$23,0)))*(VLOOKUP($B82,INDIRECT($B$5&amp;"生成成长"),3))*(VLOOKUP($B$5,标准坦克设计!$B$14:$K$20,9)/30))</f>
        <v>7.9672536824850022</v>
      </c>
      <c r="AZ82" s="172">
        <f ca="1">(VLOOKUP(AZ$72,INDIRECT($C$5&amp;"生成成长"),2))/((VLOOKUP($B82,INDIRECT($B$5&amp;"生成成长"),4))/(VLOOKUP(AZ$72,INDIRECT($C$5&amp;"生成成长"),5))*(VLOOKUP($B$5,标准坦克设计!$B$24:$U$30,MATCH("对"&amp;LEFT($C$5,2)&amp;"输出",标准坦克设计!$B$23:$U$23,0)))*(VLOOKUP($B82,INDIRECT($B$5&amp;"生成成长"),3))*(VLOOKUP($B$5,标准坦克设计!$B$14:$K$20,9)/30))</f>
        <v>8.8902602586744965</v>
      </c>
      <c r="BA82" s="172">
        <f ca="1">(VLOOKUP(BA$72,INDIRECT($C$5&amp;"生成成长"),2))/((VLOOKUP($B82,INDIRECT($B$5&amp;"生成成长"),4))/(VLOOKUP(BA$72,INDIRECT($C$5&amp;"生成成长"),5))*(VLOOKUP($B$5,标准坦克设计!$B$24:$U$30,MATCH("对"&amp;LEFT($C$5,2)&amp;"输出",标准坦克设计!$B$23:$U$23,0)))*(VLOOKUP($B82,INDIRECT($B$5&amp;"生成成长"),3))*(VLOOKUP($B$5,标准坦克设计!$B$14:$K$20,9)/30))</f>
        <v>9.8638425376688943</v>
      </c>
      <c r="BB82" s="172">
        <f ca="1">(VLOOKUP(BB$72,INDIRECT($C$5&amp;"生成成长"),2))/((VLOOKUP($B82,INDIRECT($B$5&amp;"生成成长"),4))/(VLOOKUP(BB$72,INDIRECT($C$5&amp;"生成成长"),5))*(VLOOKUP($B$5,标准坦克设计!$B$24:$U$30,MATCH("对"&amp;LEFT($C$5,2)&amp;"输出",标准坦克设计!$B$23:$U$23,0)))*(VLOOKUP($B82,INDIRECT($B$5&amp;"生成成长"),3))*(VLOOKUP($B$5,标准坦克设计!$B$14:$K$20,9)/30))</f>
        <v>10.888000519468196</v>
      </c>
      <c r="BC82" s="172">
        <f ca="1">(VLOOKUP(BC$72,INDIRECT($C$5&amp;"生成成长"),2))/((VLOOKUP($B82,INDIRECT($B$5&amp;"生成成长"),4))/(VLOOKUP(BC$72,INDIRECT($C$5&amp;"生成成长"),5))*(VLOOKUP($B$5,标准坦克设计!$B$24:$U$30,MATCH("对"&amp;LEFT($C$5,2)&amp;"输出",标准坦克设计!$B$23:$U$23,0)))*(VLOOKUP($B82,INDIRECT($B$5&amp;"生成成长"),3))*(VLOOKUP($B$5,标准坦克设计!$B$14:$K$20,9)/30))</f>
        <v>11.962734204072401</v>
      </c>
      <c r="BD82" s="172">
        <f ca="1">(VLOOKUP(BD$72,INDIRECT($C$5&amp;"生成成长"),2))/((VLOOKUP($B82,INDIRECT($B$5&amp;"生成成长"),4))/(VLOOKUP(BD$72,INDIRECT($C$5&amp;"生成成长"),5))*(VLOOKUP($B$5,标准坦克设计!$B$24:$U$30,MATCH("对"&amp;LEFT($C$5,2)&amp;"输出",标准坦克设计!$B$23:$U$23,0)))*(VLOOKUP($B82,INDIRECT($B$5&amp;"生成成长"),3))*(VLOOKUP($B$5,标准坦克设计!$B$14:$K$20,9)/30))</f>
        <v>13.23226336901112</v>
      </c>
      <c r="BE82" s="172">
        <f ca="1">(VLOOKUP(BE$72,INDIRECT($C$5&amp;"生成成长"),2))/((VLOOKUP($B82,INDIRECT($B$5&amp;"生成成长"),4))/(VLOOKUP(BE$72,INDIRECT($C$5&amp;"生成成长"),5))*(VLOOKUP($B$5,标准坦克设计!$B$24:$U$30,MATCH("对"&amp;LEFT($C$5,2)&amp;"输出",标准坦克设计!$B$23:$U$23,0)))*(VLOOKUP($B82,INDIRECT($B$5&amp;"生成成长"),3))*(VLOOKUP($B$5,标准坦克设计!$B$14:$K$20,9)/30))</f>
        <v>14.565802407812294</v>
      </c>
      <c r="BF82" s="172">
        <f ca="1">(VLOOKUP(BF$72,INDIRECT($C$5&amp;"生成成长"),2))/((VLOOKUP($B82,INDIRECT($B$5&amp;"生成成长"),4))/(VLOOKUP(BF$72,INDIRECT($C$5&amp;"生成成长"),5))*(VLOOKUP($B$5,标准坦克设计!$B$24:$U$30,MATCH("对"&amp;LEFT($C$5,2)&amp;"输出",标准坦克设计!$B$23:$U$23,0)))*(VLOOKUP($B82,INDIRECT($B$5&amp;"生成成长"),3))*(VLOOKUP($B$5,标准坦克设计!$B$14:$K$20,9)/30))</f>
        <v>15.963351320475926</v>
      </c>
      <c r="BG82" s="172">
        <f ca="1">(VLOOKUP(BG$72,INDIRECT($C$5&amp;"生成成长"),2))/((VLOOKUP($B82,INDIRECT($B$5&amp;"生成成长"),4))/(VLOOKUP(BG$72,INDIRECT($C$5&amp;"生成成长"),5))*(VLOOKUP($B$5,标准坦克设计!$B$24:$U$30,MATCH("对"&amp;LEFT($C$5,2)&amp;"输出",标准坦克设计!$B$23:$U$23,0)))*(VLOOKUP($B82,INDIRECT($B$5&amp;"生成成长"),3))*(VLOOKUP($B$5,标准坦克设计!$B$14:$K$20,9)/30))</f>
        <v>17.42491010700201</v>
      </c>
      <c r="BH82" s="172">
        <f ca="1">(VLOOKUP(BH$72,INDIRECT($C$5&amp;"生成成长"),2))/((VLOOKUP($B82,INDIRECT($B$5&amp;"生成成长"),4))/(VLOOKUP(BH$72,INDIRECT($C$5&amp;"生成成长"),5))*(VLOOKUP($B$5,标准坦克设计!$B$24:$U$30,MATCH("对"&amp;LEFT($C$5,2)&amp;"输出",标准坦克设计!$B$23:$U$23,0)))*(VLOOKUP($B82,INDIRECT($B$5&amp;"生成成长"),3))*(VLOOKUP($B$5,标准坦克设计!$B$14:$K$20,9)/30))</f>
        <v>8.4224350077291348</v>
      </c>
      <c r="BI82" s="172">
        <f ca="1">(VLOOKUP(BI$72,INDIRECT($C$5&amp;"生成成长"),2))/((VLOOKUP($B82,INDIRECT($B$5&amp;"生成成长"),4))/(VLOOKUP(BI$72,INDIRECT($C$5&amp;"生成成长"),5))*(VLOOKUP($B$5,标准坦克设计!$B$24:$U$30,MATCH("对"&amp;LEFT($C$5,2)&amp;"输出",标准坦克设计!$B$23:$U$23,0)))*(VLOOKUP($B82,INDIRECT($B$5&amp;"生成成长"),3))*(VLOOKUP($B$5,标准坦克设计!$B$14:$K$20,9)/30))</f>
        <v>9.492822342873545</v>
      </c>
      <c r="BJ82" s="172">
        <f ca="1">(VLOOKUP(BJ$72,INDIRECT($C$5&amp;"生成成长"),2))/((VLOOKUP($B82,INDIRECT($B$5&amp;"生成成长"),4))/(VLOOKUP(BJ$72,INDIRECT($C$5&amp;"生成成长"),5))*(VLOOKUP($B$5,标准坦克设计!$B$24:$U$30,MATCH("对"&amp;LEFT($C$5,2)&amp;"输出",标准坦克设计!$B$23:$U$23,0)))*(VLOOKUP($B82,INDIRECT($B$5&amp;"生成成长"),3))*(VLOOKUP($B$5,标准坦克设计!$B$14:$K$20,9)/30))</f>
        <v>10.62721955188041</v>
      </c>
      <c r="BK82" s="172">
        <f ca="1">(VLOOKUP(BK$72,INDIRECT($C$5&amp;"生成成长"),2))/((VLOOKUP($B82,INDIRECT($B$5&amp;"生成成长"),4))/(VLOOKUP(BK$72,INDIRECT($C$5&amp;"生成成长"),5))*(VLOOKUP($B$5,标准坦克设计!$B$24:$U$30,MATCH("对"&amp;LEFT($C$5,2)&amp;"输出",标准坦克设计!$B$23:$U$23,0)))*(VLOOKUP($B82,INDIRECT($B$5&amp;"生成成长"),3))*(VLOOKUP($B$5,标准坦克设计!$B$14:$K$20,9)/30))</f>
        <v>11.825626634749735</v>
      </c>
      <c r="BL82" s="172">
        <f ca="1">(VLOOKUP(BL$72,INDIRECT($C$5&amp;"生成成长"),2))/((VLOOKUP($B82,INDIRECT($B$5&amp;"生成成长"),4))/(VLOOKUP(BL$72,INDIRECT($C$5&amp;"生成成长"),5))*(VLOOKUP($B$5,标准坦克设计!$B$24:$U$30,MATCH("对"&amp;LEFT($C$5,2)&amp;"输出",标准坦克设计!$B$23:$U$23,0)))*(VLOOKUP($B82,INDIRECT($B$5&amp;"生成成长"),3))*(VLOOKUP($B$5,标准坦克设计!$B$14:$K$20,9)/30))</f>
        <v>13.08804359148151</v>
      </c>
      <c r="BM82" s="172">
        <f ca="1">(VLOOKUP(BM$72,INDIRECT($C$5&amp;"生成成长"),2))/((VLOOKUP($B82,INDIRECT($B$5&amp;"生成成长"),4))/(VLOOKUP(BM$72,INDIRECT($C$5&amp;"生成成长"),5))*(VLOOKUP($B$5,标准坦克设计!$B$24:$U$30,MATCH("对"&amp;LEFT($C$5,2)&amp;"输出",标准坦克设计!$B$23:$U$23,0)))*(VLOOKUP($B82,INDIRECT($B$5&amp;"生成成长"),3))*(VLOOKUP($B$5,标准坦克设计!$B$14:$K$20,9)/30))</f>
        <v>14.414470422075745</v>
      </c>
      <c r="BN82" s="172">
        <f ca="1">(VLOOKUP(BN$72,INDIRECT($C$5&amp;"生成成长"),2))/((VLOOKUP($B82,INDIRECT($B$5&amp;"生成成长"),4))/(VLOOKUP(BN$72,INDIRECT($C$5&amp;"生成成长"),5))*(VLOOKUP($B$5,标准坦克设计!$B$24:$U$30,MATCH("对"&amp;LEFT($C$5,2)&amp;"输出",标准坦克设计!$B$23:$U$23,0)))*(VLOOKUP($B82,INDIRECT($B$5&amp;"生成成长"),3))*(VLOOKUP($B$5,标准坦克设计!$B$14:$K$20,9)/30))</f>
        <v>15.804907126532438</v>
      </c>
      <c r="BO82" s="172">
        <f ca="1">(VLOOKUP(BO$72,INDIRECT($C$5&amp;"生成成长"),2))/((VLOOKUP($B82,INDIRECT($B$5&amp;"生成成长"),4))/(VLOOKUP(BO$72,INDIRECT($C$5&amp;"生成成长"),5))*(VLOOKUP($B$5,标准坦克设计!$B$24:$U$30,MATCH("对"&amp;LEFT($C$5,2)&amp;"输出",标准坦克设计!$B$23:$U$23,0)))*(VLOOKUP($B82,INDIRECT($B$5&amp;"生成成长"),3))*(VLOOKUP($B$5,标准坦克设计!$B$14:$K$20,9)/30))</f>
        <v>17.259353704851588</v>
      </c>
      <c r="BP82" s="172">
        <f ca="1">(VLOOKUP(BP$72,INDIRECT($C$5&amp;"生成成长"),2))/((VLOOKUP($B82,INDIRECT($B$5&amp;"生成成长"),4))/(VLOOKUP(BP$72,INDIRECT($C$5&amp;"生成成长"),5))*(VLOOKUP($B$5,标准坦克设计!$B$24:$U$30,MATCH("对"&amp;LEFT($C$5,2)&amp;"输出",标准坦克设计!$B$23:$U$23,0)))*(VLOOKUP($B82,INDIRECT($B$5&amp;"生成成长"),3))*(VLOOKUP($B$5,标准坦克设计!$B$14:$K$20,9)/30))</f>
        <v>18.777810157033187</v>
      </c>
      <c r="BQ82" s="172">
        <f ca="1">(VLOOKUP(BQ$72,INDIRECT($C$5&amp;"生成成长"),2))/((VLOOKUP($B82,INDIRECT($B$5&amp;"生成成长"),4))/(VLOOKUP(BQ$72,INDIRECT($C$5&amp;"生成成长"),5))*(VLOOKUP($B$5,标准坦克设计!$B$24:$U$30,MATCH("对"&amp;LEFT($C$5,2)&amp;"输出",标准坦克设计!$B$23:$U$23,0)))*(VLOOKUP($B82,INDIRECT($B$5&amp;"生成成长"),3))*(VLOOKUP($B$5,标准坦克设计!$B$14:$K$20,9)/30))</f>
        <v>20.360276483077246</v>
      </c>
      <c r="BR82" s="172">
        <f ca="1">(VLOOKUP(BR$72,INDIRECT($C$5&amp;"生成成长"),2))/((VLOOKUP($B82,INDIRECT($B$5&amp;"生成成长"),4))/(VLOOKUP(BR$72,INDIRECT($C$5&amp;"生成成长"),5))*(VLOOKUP($B$5,标准坦克设计!$B$24:$U$30,MATCH("对"&amp;LEFT($C$5,2)&amp;"输出",标准坦克设计!$B$23:$U$23,0)))*(VLOOKUP($B82,INDIRECT($B$5&amp;"生成成长"),3))*(VLOOKUP($B$5,标准坦克设计!$B$14:$K$20,9)/30))</f>
        <v>22.19364570975501</v>
      </c>
      <c r="BS82" s="172">
        <f ca="1">(VLOOKUP(BS$72,INDIRECT($C$5&amp;"生成成长"),2))/((VLOOKUP($B82,INDIRECT($B$5&amp;"生成成长"),4))/(VLOOKUP(BS$72,INDIRECT($C$5&amp;"生成成长"),5))*(VLOOKUP($B$5,标准坦克设计!$B$24:$U$30,MATCH("对"&amp;LEFT($C$5,2)&amp;"输出",标准坦克设计!$B$23:$U$23,0)))*(VLOOKUP($B82,INDIRECT($B$5&amp;"生成成长"),3))*(VLOOKUP($B$5,标准坦克设计!$B$14:$K$20,9)/30))</f>
        <v>24.106039472065437</v>
      </c>
      <c r="BT82" s="172">
        <f ca="1">(VLOOKUP(BT$72,INDIRECT($C$5&amp;"生成成长"),2))/((VLOOKUP($B82,INDIRECT($B$5&amp;"生成成长"),4))/(VLOOKUP(BT$72,INDIRECT($C$5&amp;"生成成长"),5))*(VLOOKUP($B$5,标准坦克设计!$B$24:$U$30,MATCH("对"&amp;LEFT($C$5,2)&amp;"输出",标准坦克设计!$B$23:$U$23,0)))*(VLOOKUP($B82,INDIRECT($B$5&amp;"生成成长"),3))*(VLOOKUP($B$5,标准坦克设计!$B$14:$K$20,9)/30))</f>
        <v>26.097457770008525</v>
      </c>
      <c r="BU82" s="172">
        <f ca="1">(VLOOKUP(BU$72,INDIRECT($C$5&amp;"生成成长"),2))/((VLOOKUP($B82,INDIRECT($B$5&amp;"生成成长"),4))/(VLOOKUP(BU$72,INDIRECT($C$5&amp;"生成成长"),5))*(VLOOKUP($B$5,标准坦克设计!$B$24:$U$30,MATCH("对"&amp;LEFT($C$5,2)&amp;"输出",标准坦克设计!$B$23:$U$23,0)))*(VLOOKUP($B82,INDIRECT($B$5&amp;"生成成长"),3))*(VLOOKUP($B$5,标准坦克设计!$B$14:$K$20,9)/30))</f>
        <v>28.167900603584272</v>
      </c>
      <c r="BV82" s="172">
        <f ca="1">(VLOOKUP(BV$72,INDIRECT($C$5&amp;"生成成长"),2))/((VLOOKUP($B82,INDIRECT($B$5&amp;"生成成长"),4))/(VLOOKUP(BV$72,INDIRECT($C$5&amp;"生成成长"),5))*(VLOOKUP($B$5,标准坦克设计!$B$24:$U$30,MATCH("对"&amp;LEFT($C$5,2)&amp;"输出",标准坦克设计!$B$23:$U$23,0)))*(VLOOKUP($B82,INDIRECT($B$5&amp;"生成成长"),3))*(VLOOKUP($B$5,标准坦克设计!$B$14:$K$20,9)/30))</f>
        <v>30.317367972792681</v>
      </c>
      <c r="BW82" s="172">
        <f ca="1">(VLOOKUP(BW$72,INDIRECT($C$5&amp;"生成成长"),2))/((VLOOKUP($B82,INDIRECT($B$5&amp;"生成成长"),4))/(VLOOKUP(BW$72,INDIRECT($C$5&amp;"生成成长"),5))*(VLOOKUP($B$5,标准坦克设计!$B$24:$U$30,MATCH("对"&amp;LEFT($C$5,2)&amp;"输出",标准坦克设计!$B$23:$U$23,0)))*(VLOOKUP($B82,INDIRECT($B$5&amp;"生成成长"),3))*(VLOOKUP($B$5,标准坦克设计!$B$14:$K$20,9)/30))</f>
        <v>13.81704493269282</v>
      </c>
      <c r="BX82" s="172">
        <f ca="1">(VLOOKUP(BX$72,INDIRECT($C$5&amp;"生成成长"),2))/((VLOOKUP($B82,INDIRECT($B$5&amp;"生成成长"),4))/(VLOOKUP(BX$72,INDIRECT($C$5&amp;"生成成长"),5))*(VLOOKUP($B$5,标准坦克设计!$B$24:$U$30,MATCH("对"&amp;LEFT($C$5,2)&amp;"输出",标准坦克设计!$B$23:$U$23,0)))*(VLOOKUP($B82,INDIRECT($B$5&amp;"生成成长"),3))*(VLOOKUP($B$5,标准坦克设计!$B$14:$K$20,9)/30))</f>
        <v>15.334316016839933</v>
      </c>
      <c r="BY82" s="172">
        <f ca="1">(VLOOKUP(BY$72,INDIRECT($C$5&amp;"生成成长"),2))/((VLOOKUP($B82,INDIRECT($B$5&amp;"生成成长"),4))/(VLOOKUP(BY$72,INDIRECT($C$5&amp;"生成成长"),5))*(VLOOKUP($B$5,标准坦克设计!$B$24:$U$30,MATCH("对"&amp;LEFT($C$5,2)&amp;"输出",标准坦克设计!$B$23:$U$23,0)))*(VLOOKUP($B82,INDIRECT($B$5&amp;"生成成长"),3))*(VLOOKUP($B$5,标准坦克设计!$B$14:$K$20,9)/30))</f>
        <v>16.930611636619712</v>
      </c>
      <c r="BZ82" s="172">
        <f ca="1">(VLOOKUP(BZ$72,INDIRECT($C$5&amp;"生成成长"),2))/((VLOOKUP($B82,INDIRECT($B$5&amp;"生成成长"),4))/(VLOOKUP(BZ$72,INDIRECT($C$5&amp;"生成成长"),5))*(VLOOKUP($B$5,标准坦克设计!$B$24:$U$30,MATCH("对"&amp;LEFT($C$5,2)&amp;"输出",标准坦克设计!$B$23:$U$23,0)))*(VLOOKUP($B82,INDIRECT($B$5&amp;"生成成长"),3))*(VLOOKUP($B$5,标准坦克设计!$B$14:$K$20,9)/30))</f>
        <v>18.605931792032145</v>
      </c>
      <c r="CA82" s="172">
        <f ca="1">(VLOOKUP(CA$72,INDIRECT($C$5&amp;"生成成长"),2))/((VLOOKUP($B82,INDIRECT($B$5&amp;"生成成长"),4))/(VLOOKUP(CA$72,INDIRECT($C$5&amp;"生成成长"),5))*(VLOOKUP($B$5,标准坦克设计!$B$24:$U$30,MATCH("对"&amp;LEFT($C$5,2)&amp;"输出",标准坦克设计!$B$23:$U$23,0)))*(VLOOKUP($B82,INDIRECT($B$5&amp;"生成成长"),3))*(VLOOKUP($B$5,标准坦克设计!$B$14:$K$20,9)/30))</f>
        <v>20.360276483077246</v>
      </c>
      <c r="CB82" s="172">
        <f ca="1">(VLOOKUP(CB$72,INDIRECT($C$5&amp;"生成成长"),2))/((VLOOKUP($B82,INDIRECT($B$5&amp;"生成成长"),4))/(VLOOKUP(CB$72,INDIRECT($C$5&amp;"生成成长"),5))*(VLOOKUP($B$5,标准坦克设计!$B$24:$U$30,MATCH("对"&amp;LEFT($C$5,2)&amp;"输出",标准坦克设计!$B$23:$U$23,0)))*(VLOOKUP($B82,INDIRECT($B$5&amp;"生成成长"),3))*(VLOOKUP($B$5,标准坦克设计!$B$14:$K$20,9)/30))</f>
        <v>22.19364570975501</v>
      </c>
      <c r="CC82" s="172">
        <f ca="1">(VLOOKUP(CC$72,INDIRECT($C$5&amp;"生成成长"),2))/((VLOOKUP($B82,INDIRECT($B$5&amp;"生成成长"),4))/(VLOOKUP(CC$72,INDIRECT($C$5&amp;"生成成长"),5))*(VLOOKUP($B$5,标准坦克设计!$B$24:$U$30,MATCH("对"&amp;LEFT($C$5,2)&amp;"输出",标准坦克设计!$B$23:$U$23,0)))*(VLOOKUP($B82,INDIRECT($B$5&amp;"生成成长"),3))*(VLOOKUP($B$5,标准坦克设计!$B$14:$K$20,9)/30))</f>
        <v>24.106039472065437</v>
      </c>
      <c r="CD82" s="172">
        <f ca="1">(VLOOKUP(CD$72,INDIRECT($C$5&amp;"生成成长"),2))/((VLOOKUP($B82,INDIRECT($B$5&amp;"生成成长"),4))/(VLOOKUP(CD$72,INDIRECT($C$5&amp;"生成成长"),5))*(VLOOKUP($B$5,标准坦克设计!$B$24:$U$30,MATCH("对"&amp;LEFT($C$5,2)&amp;"输出",标准坦克设计!$B$23:$U$23,0)))*(VLOOKUP($B82,INDIRECT($B$5&amp;"生成成长"),3))*(VLOOKUP($B$5,标准坦克设计!$B$14:$K$20,9)/30))</f>
        <v>26.097457770008525</v>
      </c>
      <c r="CE82" s="172">
        <f ca="1">(VLOOKUP(CE$72,INDIRECT($C$5&amp;"生成成长"),2))/((VLOOKUP($B82,INDIRECT($B$5&amp;"生成成长"),4))/(VLOOKUP(CE$72,INDIRECT($C$5&amp;"生成成长"),5))*(VLOOKUP($B$5,标准坦克设计!$B$24:$U$30,MATCH("对"&amp;LEFT($C$5,2)&amp;"输出",标准坦克设计!$B$23:$U$23,0)))*(VLOOKUP($B82,INDIRECT($B$5&amp;"生成成长"),3))*(VLOOKUP($B$5,标准坦克设计!$B$14:$K$20,9)/30))</f>
        <v>28.167900603584272</v>
      </c>
      <c r="CF82" s="172">
        <f ca="1">(VLOOKUP(CF$72,INDIRECT($C$5&amp;"生成成长"),2))/((VLOOKUP($B82,INDIRECT($B$5&amp;"生成成长"),4))/(VLOOKUP(CF$72,INDIRECT($C$5&amp;"生成成长"),5))*(VLOOKUP($B$5,标准坦克设计!$B$24:$U$30,MATCH("对"&amp;LEFT($C$5,2)&amp;"输出",标准坦克设计!$B$23:$U$23,0)))*(VLOOKUP($B82,INDIRECT($B$5&amp;"生成成长"),3))*(VLOOKUP($B$5,标准坦克设计!$B$14:$K$20,9)/30))</f>
        <v>30.317367972792681</v>
      </c>
      <c r="CG82" s="172">
        <f ca="1">(VLOOKUP(CG$72,INDIRECT($C$5&amp;"生成成长"),2))/((VLOOKUP($B82,INDIRECT($B$5&amp;"生成成长"),4))/(VLOOKUP(CG$72,INDIRECT($C$5&amp;"生成成长"),5))*(VLOOKUP($B$5,标准坦克设计!$B$24:$U$30,MATCH("对"&amp;LEFT($C$5,2)&amp;"输出",标准坦克设计!$B$23:$U$23,0)))*(VLOOKUP($B82,INDIRECT($B$5&amp;"生成成长"),3))*(VLOOKUP($B$5,标准坦克设计!$B$14:$K$20,9)/30))</f>
        <v>32.545859877633752</v>
      </c>
      <c r="CH82" s="172">
        <f ca="1">(VLOOKUP(CH$72,INDIRECT($C$5&amp;"生成成长"),2))/((VLOOKUP($B82,INDIRECT($B$5&amp;"生成成长"),4))/(VLOOKUP(CH$72,INDIRECT($C$5&amp;"生成成长"),5))*(VLOOKUP($B$5,标准坦克设计!$B$24:$U$30,MATCH("对"&amp;LEFT($C$5,2)&amp;"输出",标准坦克设计!$B$23:$U$23,0)))*(VLOOKUP($B82,INDIRECT($B$5&amp;"生成成长"),3))*(VLOOKUP($B$5,标准坦克设计!$B$14:$K$20,9)/30))</f>
        <v>34.853376318107493</v>
      </c>
      <c r="CI82" s="172">
        <f ca="1">(VLOOKUP(CI$72,INDIRECT($C$5&amp;"生成成长"),2))/((VLOOKUP($B82,INDIRECT($B$5&amp;"生成成长"),4))/(VLOOKUP(CI$72,INDIRECT($C$5&amp;"生成成长"),5))*(VLOOKUP($B$5,标准坦克设计!$B$24:$U$30,MATCH("对"&amp;LEFT($C$5,2)&amp;"输出",标准坦克设计!$B$23:$U$23,0)))*(VLOOKUP($B82,INDIRECT($B$5&amp;"生成成长"),3))*(VLOOKUP($B$5,标准坦克设计!$B$14:$K$20,9)/30))</f>
        <v>37.482917741284339</v>
      </c>
      <c r="CJ82" s="172">
        <f ca="1">(VLOOKUP(CJ$72,INDIRECT($C$5&amp;"生成成长"),2))/((VLOOKUP($B82,INDIRECT($B$5&amp;"生成成长"),4))/(VLOOKUP(CJ$72,INDIRECT($C$5&amp;"生成成长"),5))*(VLOOKUP($B$5,标准坦克设计!$B$24:$U$30,MATCH("对"&amp;LEFT($C$5,2)&amp;"输出",标准坦克设计!$B$23:$U$23,0)))*(VLOOKUP($B82,INDIRECT($B$5&amp;"生成成长"),3))*(VLOOKUP($B$5,标准坦克设计!$B$14:$K$20,9)/30))</f>
        <v>40.208078852576691</v>
      </c>
      <c r="CK82" s="172">
        <f ca="1">(VLOOKUP(CK$72,INDIRECT($C$5&amp;"生成成长"),2))/((VLOOKUP($B82,INDIRECT($B$5&amp;"生成成长"),4))/(VLOOKUP(CK$72,INDIRECT($C$5&amp;"生成成长"),5))*(VLOOKUP($B$5,标准坦克设计!$B$24:$U$30,MATCH("对"&amp;LEFT($C$5,2)&amp;"输出",标准坦克设计!$B$23:$U$23,0)))*(VLOOKUP($B82,INDIRECT($B$5&amp;"生成成长"),3))*(VLOOKUP($B$5,标准坦克设计!$B$14:$K$20,9)/30))</f>
        <v>43.028859651984561</v>
      </c>
      <c r="CL82" s="172">
        <f ca="1">(VLOOKUP(CL$72,INDIRECT($C$5&amp;"生成成长"),2))/((VLOOKUP($B82,INDIRECT($B$5&amp;"生成成长"),4))/(VLOOKUP(CL$72,INDIRECT($C$5&amp;"生成成长"),5))*(VLOOKUP($B$5,标准坦克设计!$B$24:$U$30,MATCH("对"&amp;LEFT($C$5,2)&amp;"输出",标准坦克设计!$B$23:$U$23,0)))*(VLOOKUP($B82,INDIRECT($B$5&amp;"生成成长"),3))*(VLOOKUP($B$5,标准坦克设计!$B$14:$K$20,9)/30))</f>
        <v>45.945260139507958</v>
      </c>
      <c r="CM82" s="172">
        <f ca="1">(VLOOKUP(CM$72,INDIRECT($C$5&amp;"生成成长"),2))/((VLOOKUP($B82,INDIRECT($B$5&amp;"生成成长"),4))/(VLOOKUP(CM$72,INDIRECT($C$5&amp;"生成成长"),5))*(VLOOKUP($B$5,标准坦克设计!$B$24:$U$30,MATCH("对"&amp;LEFT($C$5,2)&amp;"输出",标准坦克设计!$B$23:$U$23,0)))*(VLOOKUP($B82,INDIRECT($B$5&amp;"生成成长"),3))*(VLOOKUP($B$5,标准坦克设计!$B$14:$K$20,9)/30))</f>
        <v>48.957280315146875</v>
      </c>
      <c r="CN82" s="172">
        <f ca="1">(VLOOKUP(CN$72,INDIRECT($C$5&amp;"生成成长"),2))/((VLOOKUP($B82,INDIRECT($B$5&amp;"生成成长"),4))/(VLOOKUP(CN$72,INDIRECT($C$5&amp;"生成成长"),5))*(VLOOKUP($B$5,标准坦克设计!$B$24:$U$30,MATCH("对"&amp;LEFT($C$5,2)&amp;"输出",标准坦克设计!$B$23:$U$23,0)))*(VLOOKUP($B82,INDIRECT($B$5&amp;"生成成长"),3))*(VLOOKUP($B$5,标准坦克设计!$B$14:$K$20,9)/30))</f>
        <v>52.064920178901318</v>
      </c>
      <c r="CO82" s="172">
        <f ca="1">(VLOOKUP(CO$72,INDIRECT($C$5&amp;"生成成长"),2))/((VLOOKUP($B82,INDIRECT($B$5&amp;"生成成长"),4))/(VLOOKUP(CO$72,INDIRECT($C$5&amp;"生成成长"),5))*(VLOOKUP($B$5,标准坦克设计!$B$24:$U$30,MATCH("对"&amp;LEFT($C$5,2)&amp;"输出",标准坦克设计!$B$23:$U$23,0)))*(VLOOKUP($B82,INDIRECT($B$5&amp;"生成成长"),3))*(VLOOKUP($B$5,标准坦克设计!$B$14:$K$20,9)/30))</f>
        <v>23.331599022865348</v>
      </c>
      <c r="CP82" s="172">
        <f ca="1">(VLOOKUP(CP$72,INDIRECT($C$5&amp;"生成成长"),2))/((VLOOKUP($B82,INDIRECT($B$5&amp;"生成成长"),4))/(VLOOKUP(CP$72,INDIRECT($C$5&amp;"生成成长"),5))*(VLOOKUP($B$5,标准坦克设计!$B$24:$U$30,MATCH("对"&amp;LEFT($C$5,2)&amp;"输出",标准坦克设计!$B$23:$U$23,0)))*(VLOOKUP($B82,INDIRECT($B$5&amp;"生成成长"),3))*(VLOOKUP($B$5,标准坦克设计!$B$14:$K$20,9)/30))</f>
        <v>25.491734704384168</v>
      </c>
      <c r="CQ82" s="172">
        <f ca="1">(VLOOKUP(CQ$72,INDIRECT($C$5&amp;"生成成长"),2))/((VLOOKUP($B82,INDIRECT($B$5&amp;"生成成长"),4))/(VLOOKUP(CQ$72,INDIRECT($C$5&amp;"生成成长"),5))*(VLOOKUP($B$5,标准坦克设计!$B$24:$U$30,MATCH("对"&amp;LEFT($C$5,2)&amp;"输出",标准坦克设计!$B$23:$U$23,0)))*(VLOOKUP($B82,INDIRECT($B$5&amp;"生成成长"),3))*(VLOOKUP($B$5,标准坦克设计!$B$14:$K$20,9)/30))</f>
        <v>27.747490074018515</v>
      </c>
      <c r="CR82" s="172">
        <f ca="1">(VLOOKUP(CR$72,INDIRECT($C$5&amp;"生成成长"),2))/((VLOOKUP($B82,INDIRECT($B$5&amp;"生成成长"),4))/(VLOOKUP(CR$72,INDIRECT($C$5&amp;"生成成长"),5))*(VLOOKUP($B$5,标准坦克设计!$B$24:$U$30,MATCH("对"&amp;LEFT($C$5,2)&amp;"输出",标准坦克设计!$B$23:$U$23,0)))*(VLOOKUP($B82,INDIRECT($B$5&amp;"生成成长"),3))*(VLOOKUP($B$5,标准坦克设计!$B$14:$K$20,9)/30))</f>
        <v>30.09886513176837</v>
      </c>
      <c r="CS82" s="172">
        <f ca="1">(VLOOKUP(CS$72,INDIRECT($C$5&amp;"生成成长"),2))/((VLOOKUP($B82,INDIRECT($B$5&amp;"生成成长"),4))/(VLOOKUP(CS$72,INDIRECT($C$5&amp;"生成成长"),5))*(VLOOKUP($B$5,标准坦克设计!$B$24:$U$30,MATCH("对"&amp;LEFT($C$5,2)&amp;"输出",标准坦克设计!$B$23:$U$23,0)))*(VLOOKUP($B82,INDIRECT($B$5&amp;"生成成长"),3))*(VLOOKUP($B$5,标准坦克设计!$B$14:$K$20,9)/30))</f>
        <v>32.545859877633752</v>
      </c>
      <c r="CT82" s="172">
        <f ca="1">(VLOOKUP(CT$72,INDIRECT($C$5&amp;"生成成长"),2))/((VLOOKUP($B82,INDIRECT($B$5&amp;"生成成长"),4))/(VLOOKUP(CT$72,INDIRECT($C$5&amp;"生成成长"),5))*(VLOOKUP($B$5,标准坦克设计!$B$24:$U$30,MATCH("对"&amp;LEFT($C$5,2)&amp;"输出",标准坦克设计!$B$23:$U$23,0)))*(VLOOKUP($B82,INDIRECT($B$5&amp;"生成成长"),3))*(VLOOKUP($B$5,标准坦克设计!$B$14:$K$20,9)/30))</f>
        <v>35.088474311614668</v>
      </c>
      <c r="CU82" s="172">
        <f ca="1">(VLOOKUP(CU$72,INDIRECT($C$5&amp;"生成成长"),2))/((VLOOKUP($B82,INDIRECT($B$5&amp;"生成成长"),4))/(VLOOKUP(CU$72,INDIRECT($C$5&amp;"生成成长"),5))*(VLOOKUP($B$5,标准坦克设计!$B$24:$U$30,MATCH("对"&amp;LEFT($C$5,2)&amp;"输出",标准坦克设计!$B$23:$U$23,0)))*(VLOOKUP($B82,INDIRECT($B$5&amp;"生成成长"),3))*(VLOOKUP($B$5,标准坦克设计!$B$14:$K$20,9)/30))</f>
        <v>37.726708433711089</v>
      </c>
      <c r="CV82" s="172">
        <f ca="1">(VLOOKUP(CV$72,INDIRECT($C$5&amp;"生成成长"),2))/((VLOOKUP($B82,INDIRECT($B$5&amp;"生成成长"),4))/(VLOOKUP(CV$72,INDIRECT($C$5&amp;"生成成长"),5))*(VLOOKUP($B$5,标准坦克设计!$B$24:$U$30,MATCH("对"&amp;LEFT($C$5,2)&amp;"输出",标准坦克设计!$B$23:$U$23,0)))*(VLOOKUP($B82,INDIRECT($B$5&amp;"生成成长"),3))*(VLOOKUP($B$5,标准坦克设计!$B$14:$K$20,9)/30))</f>
        <v>40.460562243923029</v>
      </c>
      <c r="CW82" s="172">
        <f ca="1">(VLOOKUP(CW$72,INDIRECT($C$5&amp;"生成成长"),2))/((VLOOKUP($B82,INDIRECT($B$5&amp;"生成成长"),4))/(VLOOKUP(CW$72,INDIRECT($C$5&amp;"生成成长"),5))*(VLOOKUP($B$5,标准坦克设计!$B$24:$U$30,MATCH("对"&amp;LEFT($C$5,2)&amp;"输出",标准坦克设计!$B$23:$U$23,0)))*(VLOOKUP($B82,INDIRECT($B$5&amp;"生成成长"),3))*(VLOOKUP($B$5,标准坦克设计!$B$14:$K$20,9)/30))</f>
        <v>43.29003574225051</v>
      </c>
      <c r="CX82" s="172">
        <f ca="1">(VLOOKUP(CX$72,INDIRECT($C$5&amp;"生成成长"),2))/((VLOOKUP($B82,INDIRECT($B$5&amp;"生成成长"),4))/(VLOOKUP(CX$72,INDIRECT($C$5&amp;"生成成长"),5))*(VLOOKUP($B$5,标准坦克设计!$B$24:$U$30,MATCH("对"&amp;LEFT($C$5,2)&amp;"输出",标准坦克设计!$B$23:$U$23,0)))*(VLOOKUP($B82,INDIRECT($B$5&amp;"生成成长"),3))*(VLOOKUP($B$5,标准坦克设计!$B$14:$K$20,9)/30))</f>
        <v>46.215128928693503</v>
      </c>
      <c r="CY82" s="172">
        <f ca="1">(VLOOKUP(CY$72,INDIRECT($C$5&amp;"生成成长"),2))/((VLOOKUP($B82,INDIRECT($B$5&amp;"生成成长"),4))/(VLOOKUP(CY$72,INDIRECT($C$5&amp;"生成成长"),5))*(VLOOKUP($B$5,标准坦克设计!$B$24:$U$30,MATCH("对"&amp;LEFT($C$5,2)&amp;"输出",标准坦克设计!$B$23:$U$23,0)))*(VLOOKUP($B82,INDIRECT($B$5&amp;"生成成长"),3))*(VLOOKUP($B$5,标准坦克设计!$B$14:$K$20,9)/30))</f>
        <v>49.235841803252008</v>
      </c>
      <c r="CZ82" s="172">
        <f ca="1">(VLOOKUP(CZ$72,INDIRECT($C$5&amp;"生成成长"),2))/((VLOOKUP($B82,INDIRECT($B$5&amp;"生成成长"),4))/(VLOOKUP(CZ$72,INDIRECT($C$5&amp;"生成成长"),5))*(VLOOKUP($B$5,标准坦克设计!$B$24:$U$30,MATCH("对"&amp;LEFT($C$5,2)&amp;"输出",标准坦克设计!$B$23:$U$23,0)))*(VLOOKUP($B82,INDIRECT($B$5&amp;"生成成长"),3))*(VLOOKUP($B$5,标准坦克设计!$B$14:$K$20,9)/30))</f>
        <v>52.352174365926039</v>
      </c>
      <c r="DA82" s="172">
        <f ca="1">(VLOOKUP(DA$72,INDIRECT($C$5&amp;"生成成长"),2))/((VLOOKUP($B82,INDIRECT($B$5&amp;"生成成长"),4))/(VLOOKUP(DA$72,INDIRECT($C$5&amp;"生成成长"),5))*(VLOOKUP($B$5,标准坦克设计!$B$24:$U$30,MATCH("对"&amp;LEFT($C$5,2)&amp;"输出",标准坦克设计!$B$23:$U$23,0)))*(VLOOKUP($B82,INDIRECT($B$5&amp;"生成成长"),3))*(VLOOKUP($B$5,标准坦克设计!$B$14:$K$20,9)/30))</f>
        <v>55.564126616715605</v>
      </c>
      <c r="DB82" s="172">
        <f ca="1">(VLOOKUP(DB$72,INDIRECT($C$5&amp;"生成成长"),2))/((VLOOKUP($B82,INDIRECT($B$5&amp;"生成成长"),4))/(VLOOKUP(DB$72,INDIRECT($C$5&amp;"生成成长"),5))*(VLOOKUP($B$5,标准坦克设计!$B$24:$U$30,MATCH("对"&amp;LEFT($C$5,2)&amp;"输出",标准坦克设计!$B$23:$U$23,0)))*(VLOOKUP($B82,INDIRECT($B$5&amp;"生成成长"),3))*(VLOOKUP($B$5,标准坦克设计!$B$14:$K$20,9)/30))</f>
        <v>58.871698555620682</v>
      </c>
      <c r="DC82" s="172">
        <f ca="1">(VLOOKUP(DC$72,INDIRECT($C$5&amp;"生成成长"),2))/((VLOOKUP($B82,INDIRECT($B$5&amp;"生成成长"),4))/(VLOOKUP(DC$72,INDIRECT($C$5&amp;"生成成长"),5))*(VLOOKUP($B$5,标准坦克设计!$B$24:$U$30,MATCH("对"&amp;LEFT($C$5,2)&amp;"输出",标准坦克设计!$B$23:$U$23,0)))*(VLOOKUP($B82,INDIRECT($B$5&amp;"生成成长"),3))*(VLOOKUP($B$5,标准坦克设计!$B$14:$K$20,9)/30))</f>
        <v>62.589012711781102</v>
      </c>
      <c r="DD82" s="172">
        <f ca="1">(VLOOKUP(DD$72,INDIRECT($C$5&amp;"生成成长"),2))/((VLOOKUP($B82,INDIRECT($B$5&amp;"生成成长"),4))/(VLOOKUP(DD$72,INDIRECT($C$5&amp;"生成成长"),5))*(VLOOKUP($B$5,标准坦克设计!$B$24:$U$30,MATCH("对"&amp;LEFT($C$5,2)&amp;"输出",标准坦克设计!$B$23:$U$23,0)))*(VLOOKUP($B82,INDIRECT($B$5&amp;"生成成长"),3))*(VLOOKUP($B$5,标准坦克设计!$B$14:$K$20,9)/30))</f>
        <v>66.42012219925256</v>
      </c>
      <c r="DE82" s="172">
        <f ca="1">(VLOOKUP(DE$72,INDIRECT($C$5&amp;"生成成长"),2))/((VLOOKUP($B82,INDIRECT($B$5&amp;"生成成长"),4))/(VLOOKUP(DE$72,INDIRECT($C$5&amp;"生成成长"),5))*(VLOOKUP($B$5,标准坦克设计!$B$24:$U$30,MATCH("对"&amp;LEFT($C$5,2)&amp;"输出",标准坦克设计!$B$23:$U$23,0)))*(VLOOKUP($B82,INDIRECT($B$5&amp;"生成成长"),3))*(VLOOKUP($B$5,标准坦克设计!$B$14:$K$20,9)/30))</f>
        <v>70.365027018035065</v>
      </c>
      <c r="DF82" s="172">
        <f ca="1">(VLOOKUP(DF$72,INDIRECT($C$5&amp;"生成成长"),2))/((VLOOKUP($B82,INDIRECT($B$5&amp;"生成成长"),4))/(VLOOKUP(DF$72,INDIRECT($C$5&amp;"生成成长"),5))*(VLOOKUP($B$5,标准坦克设计!$B$24:$U$30,MATCH("对"&amp;LEFT($C$5,2)&amp;"输出",标准坦克设计!$B$23:$U$23,0)))*(VLOOKUP($B82,INDIRECT($B$5&amp;"生成成长"),3))*(VLOOKUP($B$5,标准坦克设计!$B$14:$K$20,9)/30))</f>
        <v>74.423727168128579</v>
      </c>
      <c r="DG82" s="172">
        <f ca="1">(VLOOKUP(DG$72,INDIRECT($C$5&amp;"生成成长"),2))/((VLOOKUP($B82,INDIRECT($B$5&amp;"生成成长"),4))/(VLOOKUP(DG$72,INDIRECT($C$5&amp;"生成成长"),5))*(VLOOKUP($B$5,标准坦克设计!$B$24:$U$30,MATCH("对"&amp;LEFT($C$5,2)&amp;"输出",标准坦克设计!$B$23:$U$23,0)))*(VLOOKUP($B82,INDIRECT($B$5&amp;"生成成长"),3))*(VLOOKUP($B$5,标准坦克设计!$B$14:$K$20,9)/30))</f>
        <v>78.596222649533146</v>
      </c>
      <c r="DH82" s="172">
        <f ca="1">(VLOOKUP(DH$72,INDIRECT($C$5&amp;"生成成长"),2))/((VLOOKUP($B82,INDIRECT($B$5&amp;"生成成长"),4))/(VLOOKUP(DH$72,INDIRECT($C$5&amp;"生成成长"),5))*(VLOOKUP($B$5,标准坦克设计!$B$24:$U$30,MATCH("对"&amp;LEFT($C$5,2)&amp;"输出",标准坦克设计!$B$23:$U$23,0)))*(VLOOKUP($B82,INDIRECT($B$5&amp;"生成成长"),3))*(VLOOKUP($B$5,标准坦克设计!$B$14:$K$20,9)/30))</f>
        <v>82.882513462248767</v>
      </c>
      <c r="DI82" s="172">
        <f ca="1">(VLOOKUP(DI$72,INDIRECT($C$5&amp;"生成成长"),2))/((VLOOKUP($B82,INDIRECT($B$5&amp;"生成成长"),4))/(VLOOKUP(DI$72,INDIRECT($C$5&amp;"生成成长"),5))*(VLOOKUP($B$5,标准坦克设计!$B$24:$U$30,MATCH("对"&amp;LEFT($C$5,2)&amp;"输出",标准坦克设计!$B$23:$U$23,0)))*(VLOOKUP($B82,INDIRECT($B$5&amp;"生成成长"),3))*(VLOOKUP($B$5,标准坦克设计!$B$14:$K$20,9)/30))</f>
        <v>87.282599606275383</v>
      </c>
      <c r="DJ82" s="172">
        <f ca="1">(VLOOKUP(DJ$72,INDIRECT($C$5&amp;"生成成长"),2))/((VLOOKUP($B82,INDIRECT($B$5&amp;"生成成长"),4))/(VLOOKUP(DJ$72,INDIRECT($C$5&amp;"生成成长"),5))*(VLOOKUP($B$5,标准坦克设计!$B$24:$U$30,MATCH("对"&amp;LEFT($C$5,2)&amp;"输出",标准坦克设计!$B$23:$U$23,0)))*(VLOOKUP($B82,INDIRECT($B$5&amp;"生成成长"),3))*(VLOOKUP($B$5,标准坦克设计!$B$14:$K$20,9)/30))</f>
        <v>8.772118577903667</v>
      </c>
      <c r="DK82" s="172">
        <f ca="1">(VLOOKUP(DK$72,INDIRECT($C$5&amp;"生成成长"),2))/((VLOOKUP($B82,INDIRECT($B$5&amp;"生成成长"),4))/(VLOOKUP(DK$72,INDIRECT($C$5&amp;"生成成长"),5))*(VLOOKUP($B$5,标准坦克设计!$B$24:$U$30,MATCH("对"&amp;LEFT($C$5,2)&amp;"输出",标准坦克设计!$B$23:$U$23,0)))*(VLOOKUP($B82,INDIRECT($B$5&amp;"生成成长"),3))*(VLOOKUP($B$5,标准坦克设计!$B$14:$K$20,9)/30))</f>
        <v>9.8638425376688943</v>
      </c>
      <c r="DL82" s="172">
        <f ca="1">(VLOOKUP(DL$72,INDIRECT($C$5&amp;"生成成长"),2))/((VLOOKUP($B82,INDIRECT($B$5&amp;"生成成长"),4))/(VLOOKUP(DL$72,INDIRECT($C$5&amp;"生成成长"),5))*(VLOOKUP($B$5,标准坦克设计!$B$24:$U$30,MATCH("对"&amp;LEFT($C$5,2)&amp;"输出",标准坦克设计!$B$23:$U$23,0)))*(VLOOKUP($B82,INDIRECT($B$5&amp;"生成成长"),3))*(VLOOKUP($B$5,标准坦克设计!$B$14:$K$20,9)/30))</f>
        <v>11.01957637129658</v>
      </c>
      <c r="DM82" s="172">
        <f ca="1">(VLOOKUP(DM$72,INDIRECT($C$5&amp;"生成成长"),2))/((VLOOKUP($B82,INDIRECT($B$5&amp;"生成成长"),4))/(VLOOKUP(DM$72,INDIRECT($C$5&amp;"生成成长"),5))*(VLOOKUP($B$5,标准坦克设计!$B$24:$U$30,MATCH("对"&amp;LEFT($C$5,2)&amp;"输出",标准坦克设计!$B$23:$U$23,0)))*(VLOOKUP($B82,INDIRECT($B$5&amp;"生成成长"),3))*(VLOOKUP($B$5,标准坦克设计!$B$14:$K$20,9)/30))</f>
        <v>12.239320078786719</v>
      </c>
      <c r="DN82" s="172">
        <f ca="1">(VLOOKUP(DN$72,INDIRECT($C$5&amp;"生成成长"),2))/((VLOOKUP($B82,INDIRECT($B$5&amp;"生成成长"),4))/(VLOOKUP(DN$72,INDIRECT($C$5&amp;"生成成长"),5))*(VLOOKUP($B$5,标准坦克设计!$B$24:$U$30,MATCH("对"&amp;LEFT($C$5,2)&amp;"输出",标准坦克设计!$B$23:$U$23,0)))*(VLOOKUP($B82,INDIRECT($B$5&amp;"生成成长"),3))*(VLOOKUP($B$5,标准坦克设计!$B$14:$K$20,9)/30))</f>
        <v>13.523073660139316</v>
      </c>
      <c r="DO82" s="172">
        <f ca="1">(VLOOKUP(DO$72,INDIRECT($C$5&amp;"生成成长"),2))/((VLOOKUP($B82,INDIRECT($B$5&amp;"生成成长"),4))/(VLOOKUP(DO$72,INDIRECT($C$5&amp;"生成成长"),5))*(VLOOKUP($B$5,标准坦克设计!$B$24:$U$30,MATCH("对"&amp;LEFT($C$5,2)&amp;"输出",标准坦克设计!$B$23:$U$23,0)))*(VLOOKUP($B82,INDIRECT($B$5&amp;"生成成长"),3))*(VLOOKUP($B$5,标准坦克设计!$B$14:$K$20,9)/30))</f>
        <v>14.870837115354371</v>
      </c>
      <c r="DP82" s="172">
        <f ca="1">(VLOOKUP(DP$72,INDIRECT($C$5&amp;"生成成长"),2))/((VLOOKUP($B82,INDIRECT($B$5&amp;"生成成长"),4))/(VLOOKUP(DP$72,INDIRECT($C$5&amp;"生成成长"),5))*(VLOOKUP($B$5,标准坦克设计!$B$24:$U$30,MATCH("对"&amp;LEFT($C$5,2)&amp;"输出",标准坦克设计!$B$23:$U$23,0)))*(VLOOKUP($B82,INDIRECT($B$5&amp;"生成成长"),3))*(VLOOKUP($B$5,标准坦克设计!$B$14:$K$20,9)/30))</f>
        <v>16.282610444431878</v>
      </c>
      <c r="DQ82" s="172">
        <f ca="1">(VLOOKUP(DQ$72,INDIRECT($C$5&amp;"生成成长"),2))/((VLOOKUP($B82,INDIRECT($B$5&amp;"生成成长"),4))/(VLOOKUP(DQ$72,INDIRECT($C$5&amp;"生成成长"),5))*(VLOOKUP($B$5,标准坦克设计!$B$24:$U$30,MATCH("对"&amp;LEFT($C$5,2)&amp;"输出",标准坦克设计!$B$23:$U$23,0)))*(VLOOKUP($B82,INDIRECT($B$5&amp;"生成成长"),3))*(VLOOKUP($B$5,标准坦克设计!$B$14:$K$20,9)/30))</f>
        <v>17.758393647371847</v>
      </c>
      <c r="DR82" s="172">
        <f ca="1">(VLOOKUP(DR$72,INDIRECT($C$5&amp;"生成成长"),2))/((VLOOKUP($B82,INDIRECT($B$5&amp;"生成成长"),4))/(VLOOKUP(DR$72,INDIRECT($C$5&amp;"生成成长"),5))*(VLOOKUP($B$5,标准坦克设计!$B$24:$U$30,MATCH("对"&amp;LEFT($C$5,2)&amp;"输出",标准坦克设计!$B$23:$U$23,0)))*(VLOOKUP($B82,INDIRECT($B$5&amp;"生成成长"),3))*(VLOOKUP($B$5,标准坦克设计!$B$14:$K$20,9)/30))</f>
        <v>19.298186724174268</v>
      </c>
      <c r="DS82" s="172">
        <f ca="1">(VLOOKUP(DS$72,INDIRECT($C$5&amp;"生成成长"),2))/((VLOOKUP($B82,INDIRECT($B$5&amp;"生成成长"),4))/(VLOOKUP(DS$72,INDIRECT($C$5&amp;"生成成长"),5))*(VLOOKUP($B$5,标准坦克设计!$B$24:$U$30,MATCH("对"&amp;LEFT($C$5,2)&amp;"输出",标准坦克设计!$B$23:$U$23,0)))*(VLOOKUP($B82,INDIRECT($B$5&amp;"生成成长"),3))*(VLOOKUP($B$5,标准坦克设计!$B$14:$K$20,9)/30))</f>
        <v>20.90198967483915</v>
      </c>
      <c r="DT82" s="172">
        <f ca="1">(VLOOKUP(DT$72,INDIRECT($C$5&amp;"生成成长"),2))/((VLOOKUP($B82,INDIRECT($B$5&amp;"生成成长"),4))/(VLOOKUP(DT$72,INDIRECT($C$5&amp;"生成成长"),5))*(VLOOKUP($B$5,标准坦克设计!$B$24:$U$30,MATCH("对"&amp;LEFT($C$5,2)&amp;"输出",标准坦克设计!$B$23:$U$23,0)))*(VLOOKUP($B82,INDIRECT($B$5&amp;"生成成长"),3))*(VLOOKUP($B$5,标准坦克设计!$B$14:$K$20,9)/30))</f>
        <v>22.949120270403263</v>
      </c>
      <c r="DU82" s="172">
        <f ca="1">(VLOOKUP(DU$72,INDIRECT($C$5&amp;"生成成长"),2))/((VLOOKUP($B82,INDIRECT($B$5&amp;"生成成长"),4))/(VLOOKUP(DU$72,INDIRECT($C$5&amp;"生成成长"),5))*(VLOOKUP($B$5,标准坦克设计!$B$24:$U$30,MATCH("对"&amp;LEFT($C$5,2)&amp;"输出",标准坦克设计!$B$23:$U$23,0)))*(VLOOKUP($B82,INDIRECT($B$5&amp;"生成成长"),3))*(VLOOKUP($B$5,标准坦克设计!$B$14:$K$20,9)/30))</f>
        <v>25.091870554082895</v>
      </c>
      <c r="DV82" s="172">
        <f ca="1">(VLOOKUP(DV$72,INDIRECT($C$5&amp;"生成成长"),2))/((VLOOKUP($B82,INDIRECT($B$5&amp;"生成成长"),4))/(VLOOKUP(DV$72,INDIRECT($C$5&amp;"生成成长"),5))*(VLOOKUP($B$5,标准坦克设计!$B$24:$U$30,MATCH("对"&amp;LEFT($C$5,2)&amp;"输出",标准坦克设计!$B$23:$U$23,0)))*(VLOOKUP($B82,INDIRECT($B$5&amp;"生成成长"),3))*(VLOOKUP($B$5,标准坦克设计!$B$14:$K$20,9)/30))</f>
        <v>27.33024052587805</v>
      </c>
      <c r="DW82" s="172">
        <f ca="1">(VLOOKUP(DW$72,INDIRECT($C$5&amp;"生成成长"),2))/((VLOOKUP($B82,INDIRECT($B$5&amp;"生成成长"),4))/(VLOOKUP(DW$72,INDIRECT($C$5&amp;"生成成长"),5))*(VLOOKUP($B$5,标准坦克设计!$B$24:$U$30,MATCH("对"&amp;LEFT($C$5,2)&amp;"输出",标准坦克设计!$B$23:$U$23,0)))*(VLOOKUP($B82,INDIRECT($B$5&amp;"生成成长"),3))*(VLOOKUP($B$5,标准坦克设计!$B$14:$K$20,9)/30))</f>
        <v>29.664230185788728</v>
      </c>
      <c r="DX82" s="172">
        <f ca="1">(VLOOKUP(DX$72,INDIRECT($C$5&amp;"生成成长"),2))/((VLOOKUP($B82,INDIRECT($B$5&amp;"生成成长"),4))/(VLOOKUP(DX$72,INDIRECT($C$5&amp;"生成成长"),5))*(VLOOKUP($B$5,标准坦克设计!$B$24:$U$30,MATCH("对"&amp;LEFT($C$5,2)&amp;"输出",标准坦克设计!$B$23:$U$23,0)))*(VLOOKUP($B82,INDIRECT($B$5&amp;"生成成长"),3))*(VLOOKUP($B$5,标准坦克设计!$B$14:$K$20,9)/30))</f>
        <v>32.093839533814929</v>
      </c>
      <c r="DY82" s="172">
        <f ca="1">(VLOOKUP(DY$72,INDIRECT($C$5&amp;"生成成长"),2))/((VLOOKUP($B82,INDIRECT($B$5&amp;"生成成长"),4))/(VLOOKUP(DY$72,INDIRECT($C$5&amp;"生成成长"),5))*(VLOOKUP($B$5,标准坦克设计!$B$24:$U$30,MATCH("对"&amp;LEFT($C$5,2)&amp;"输出",标准坦克设计!$B$23:$U$23,0)))*(VLOOKUP($B82,INDIRECT($B$5&amp;"生成成长"),3))*(VLOOKUP($B$5,标准坦克设计!$B$14:$K$20,9)/30))</f>
        <v>14.414470422075745</v>
      </c>
      <c r="DZ82" s="172">
        <f ca="1">(VLOOKUP(DZ$72,INDIRECT($C$5&amp;"生成成长"),2))/((VLOOKUP($B82,INDIRECT($B$5&amp;"生成成长"),4))/(VLOOKUP(DZ$72,INDIRECT($C$5&amp;"生成成长"),5))*(VLOOKUP($B$5,标准坦克设计!$B$24:$U$30,MATCH("对"&amp;LEFT($C$5,2)&amp;"输出",标准坦克设计!$B$23:$U$23,0)))*(VLOOKUP($B82,INDIRECT($B$5&amp;"生成成长"),3))*(VLOOKUP($B$5,标准坦克设计!$B$14:$K$20,9)/30))</f>
        <v>15.963351320475926</v>
      </c>
      <c r="EA82" s="172">
        <f ca="1">(VLOOKUP(EA$72,INDIRECT($C$5&amp;"生成成长"),2))/((VLOOKUP($B82,INDIRECT($B$5&amp;"生成成长"),4))/(VLOOKUP(EA$72,INDIRECT($C$5&amp;"生成成长"),5))*(VLOOKUP($B$5,标准坦克设计!$B$24:$U$30,MATCH("对"&amp;LEFT($C$5,2)&amp;"输出",标准坦克设计!$B$23:$U$23,0)))*(VLOOKUP($B82,INDIRECT($B$5&amp;"生成成长"),3))*(VLOOKUP($B$5,标准坦克设计!$B$14:$K$20,9)/30))</f>
        <v>17.591256754508766</v>
      </c>
      <c r="EB82" s="172">
        <f ca="1">(VLOOKUP(EB$72,INDIRECT($C$5&amp;"生成成长"),2))/((VLOOKUP($B82,INDIRECT($B$5&amp;"生成成长"),4))/(VLOOKUP(EB$72,INDIRECT($C$5&amp;"生成成长"),5))*(VLOOKUP($B$5,标准坦克设计!$B$24:$U$30,MATCH("对"&amp;LEFT($C$5,2)&amp;"输出",标准坦克设计!$B$23:$U$23,0)))*(VLOOKUP($B82,INDIRECT($B$5&amp;"生成成长"),3))*(VLOOKUP($B$5,标准坦克设计!$B$14:$K$20,9)/30))</f>
        <v>19.298186724174268</v>
      </c>
      <c r="EC82" s="172">
        <f ca="1">(VLOOKUP(EC$72,INDIRECT($C$5&amp;"生成成长"),2))/((VLOOKUP($B82,INDIRECT($B$5&amp;"生成成长"),4))/(VLOOKUP(EC$72,INDIRECT($C$5&amp;"生成成长"),5))*(VLOOKUP($B$5,标准坦克设计!$B$24:$U$30,MATCH("对"&amp;LEFT($C$5,2)&amp;"输出",标准坦克设计!$B$23:$U$23,0)))*(VLOOKUP($B82,INDIRECT($B$5&amp;"生成成长"),3))*(VLOOKUP($B$5,标准坦克设计!$B$14:$K$20,9)/30))</f>
        <v>21.084141229472433</v>
      </c>
      <c r="ED82" s="172">
        <f ca="1">(VLOOKUP(ED$72,INDIRECT($C$5&amp;"生成成长"),2))/((VLOOKUP($B82,INDIRECT($B$5&amp;"生成成长"),4))/(VLOOKUP(ED$72,INDIRECT($C$5&amp;"生成成长"),5))*(VLOOKUP($B$5,标准坦克设计!$B$24:$U$30,MATCH("对"&amp;LEFT($C$5,2)&amp;"输出",标准坦克设计!$B$23:$U$23,0)))*(VLOOKUP($B82,INDIRECT($B$5&amp;"生成成长"),3))*(VLOOKUP($B$5,标准坦克设计!$B$14:$K$20,9)/30))</f>
        <v>22.949120270403263</v>
      </c>
      <c r="EE82" s="172">
        <f ca="1">(VLOOKUP(EE$72,INDIRECT($C$5&amp;"生成成长"),2))/((VLOOKUP($B82,INDIRECT($B$5&amp;"生成成长"),4))/(VLOOKUP(EE$72,INDIRECT($C$5&amp;"生成成长"),5))*(VLOOKUP($B$5,标准坦克设计!$B$24:$U$30,MATCH("对"&amp;LEFT($C$5,2)&amp;"输出",标准坦克设计!$B$23:$U$23,0)))*(VLOOKUP($B82,INDIRECT($B$5&amp;"生成成长"),3))*(VLOOKUP($B$5,标准坦克设计!$B$14:$K$20,9)/30))</f>
        <v>24.893123846966748</v>
      </c>
      <c r="EF82" s="172">
        <f ca="1">(VLOOKUP(EF$72,INDIRECT($C$5&amp;"生成成长"),2))/((VLOOKUP($B82,INDIRECT($B$5&amp;"生成成长"),4))/(VLOOKUP(EF$72,INDIRECT($C$5&amp;"生成成长"),5))*(VLOOKUP($B$5,标准坦克设计!$B$24:$U$30,MATCH("对"&amp;LEFT($C$5,2)&amp;"输出",标准坦克设计!$B$23:$U$23,0)))*(VLOOKUP($B82,INDIRECT($B$5&amp;"生成成长"),3))*(VLOOKUP($B$5,标准坦克设计!$B$14:$K$20,9)/30))</f>
        <v>26.916151959162903</v>
      </c>
      <c r="EG82" s="172">
        <f ca="1">(VLOOKUP(EG$72,INDIRECT($C$5&amp;"生成成长"),2))/((VLOOKUP($B82,INDIRECT($B$5&amp;"生成成长"),4))/(VLOOKUP(EG$72,INDIRECT($C$5&amp;"生成成长"),5))*(VLOOKUP($B$5,标准坦克设计!$B$24:$U$30,MATCH("对"&amp;LEFT($C$5,2)&amp;"输出",标准坦克设计!$B$23:$U$23,0)))*(VLOOKUP($B82,INDIRECT($B$5&amp;"生成成长"),3))*(VLOOKUP($B$5,标准坦克设计!$B$14:$K$20,9)/30))</f>
        <v>29.018204606991716</v>
      </c>
      <c r="EH82" s="172">
        <f ca="1">(VLOOKUP(EH$72,INDIRECT($C$5&amp;"生成成长"),2))/((VLOOKUP($B82,INDIRECT($B$5&amp;"生成成长"),4))/(VLOOKUP(EH$72,INDIRECT($C$5&amp;"生成成长"),5))*(VLOOKUP($B$5,标准坦克设计!$B$24:$U$30,MATCH("对"&amp;LEFT($C$5,2)&amp;"输出",标准坦克设计!$B$23:$U$23,0)))*(VLOOKUP($B82,INDIRECT($B$5&amp;"生成成长"),3))*(VLOOKUP($B$5,标准坦克设计!$B$14:$K$20,9)/30))</f>
        <v>31.199281790453192</v>
      </c>
      <c r="EI82" s="172">
        <f ca="1">(VLOOKUP(EI$72,INDIRECT($C$5&amp;"生成成长"),2))/((VLOOKUP($B82,INDIRECT($B$5&amp;"生成成长"),4))/(VLOOKUP(EI$72,INDIRECT($C$5&amp;"生成成长"),5))*(VLOOKUP($B$5,标准坦克设计!$B$24:$U$30,MATCH("对"&amp;LEFT($C$5,2)&amp;"输出",标准坦克设计!$B$23:$U$23,0)))*(VLOOKUP($B82,INDIRECT($B$5&amp;"生成成长"),3))*(VLOOKUP($B$5,标准坦克设计!$B$14:$K$20,9)/30))</f>
        <v>33.45938350954733</v>
      </c>
      <c r="EJ82" s="172">
        <f ca="1">(VLOOKUP(EJ$72,INDIRECT($C$5&amp;"生成成长"),2))/((VLOOKUP($B82,INDIRECT($B$5&amp;"生成成长"),4))/(VLOOKUP(EJ$72,INDIRECT($C$5&amp;"生成成长"),5))*(VLOOKUP($B$5,标准坦克设计!$B$24:$U$30,MATCH("对"&amp;LEFT($C$5,2)&amp;"输出",标准坦克设计!$B$23:$U$23,0)))*(VLOOKUP($B82,INDIRECT($B$5&amp;"生成成长"),3))*(VLOOKUP($B$5,标准坦克设计!$B$14:$K$20,9)/30))</f>
        <v>35.798509764274129</v>
      </c>
      <c r="EK82" s="172">
        <f ca="1">(VLOOKUP(EK$72,INDIRECT($C$5&amp;"生成成长"),2))/((VLOOKUP($B82,INDIRECT($B$5&amp;"生成成长"),4))/(VLOOKUP(EK$72,INDIRECT($C$5&amp;"生成成长"),5))*(VLOOKUP($B$5,标准坦克设计!$B$24:$U$30,MATCH("对"&amp;LEFT($C$5,2)&amp;"输出",标准坦克设计!$B$23:$U$23,0)))*(VLOOKUP($B82,INDIRECT($B$5&amp;"生成成长"),3))*(VLOOKUP($B$5,标准坦克设计!$B$14:$K$20,9)/30))</f>
        <v>38.709773656981405</v>
      </c>
      <c r="EL82" s="172">
        <f ca="1">(VLOOKUP(EL$72,INDIRECT($C$5&amp;"生成成长"),2))/((VLOOKUP($B82,INDIRECT($B$5&amp;"生成成长"),4))/(VLOOKUP(EL$72,INDIRECT($C$5&amp;"生成成长"),5))*(VLOOKUP($B$5,标准坦克设计!$B$24:$U$30,MATCH("对"&amp;LEFT($C$5,2)&amp;"输出",标准坦克设计!$B$23:$U$23,0)))*(VLOOKUP($B82,INDIRECT($B$5&amp;"生成成长"),3))*(VLOOKUP($B$5,标准坦克设计!$B$14:$K$20,9)/30))</f>
        <v>41.734832880999711</v>
      </c>
      <c r="EM82" s="172">
        <f ca="1">(VLOOKUP(EM$72,INDIRECT($C$5&amp;"生成成长"),2))/((VLOOKUP($B82,INDIRECT($B$5&amp;"生成成长"),4))/(VLOOKUP(EM$72,INDIRECT($C$5&amp;"生成成长"),5))*(VLOOKUP($B$5,标准坦克设计!$B$24:$U$30,MATCH("对"&amp;LEFT($C$5,2)&amp;"输出",标准坦克设计!$B$23:$U$23,0)))*(VLOOKUP($B82,INDIRECT($B$5&amp;"生成成长"),3))*(VLOOKUP($B$5,标准坦克设计!$B$14:$K$20,9)/30))</f>
        <v>44.87368743632905</v>
      </c>
      <c r="EN82" s="172">
        <f ca="1">(VLOOKUP(EN$72,INDIRECT($C$5&amp;"生成成长"),2))/((VLOOKUP($B82,INDIRECT($B$5&amp;"生成成长"),4))/(VLOOKUP(EN$72,INDIRECT($C$5&amp;"生成成长"),5))*(VLOOKUP($B$5,标准坦克设计!$B$24:$U$30,MATCH("对"&amp;LEFT($C$5,2)&amp;"输出",标准坦克设计!$B$23:$U$23,0)))*(VLOOKUP($B82,INDIRECT($B$5&amp;"生成成长"),3))*(VLOOKUP($B$5,标准坦克设计!$B$14:$K$20,9)/30))</f>
        <v>48.126337322969448</v>
      </c>
      <c r="EO82" s="172">
        <f ca="1">(VLOOKUP(EO$72,INDIRECT($C$5&amp;"生成成长"),2))/((VLOOKUP($B82,INDIRECT($B$5&amp;"生成成长"),4))/(VLOOKUP(EO$72,INDIRECT($C$5&amp;"生成成长"),5))*(VLOOKUP($B$5,标准坦克设计!$B$24:$U$30,MATCH("对"&amp;LEFT($C$5,2)&amp;"输出",标准坦克设计!$B$23:$U$23,0)))*(VLOOKUP($B82,INDIRECT($B$5&amp;"生成成长"),3))*(VLOOKUP($B$5,标准坦克设计!$B$14:$K$20,9)/30))</f>
        <v>51.492782540920835</v>
      </c>
      <c r="EP82" s="172">
        <f ca="1">(VLOOKUP(EP$72,INDIRECT($C$5&amp;"生成成长"),2))/((VLOOKUP($B82,INDIRECT($B$5&amp;"生成成长"),4))/(VLOOKUP(EP$72,INDIRECT($C$5&amp;"生成成长"),5))*(VLOOKUP($B$5,标准坦克设计!$B$24:$U$30,MATCH("对"&amp;LEFT($C$5,2)&amp;"输出",标准坦克设计!$B$23:$U$23,0)))*(VLOOKUP($B82,INDIRECT($B$5&amp;"生成成长"),3))*(VLOOKUP($B$5,标准坦克设计!$B$14:$K$20,9)/30))</f>
        <v>54.97302309018329</v>
      </c>
      <c r="EQ82" s="172">
        <f ca="1">(VLOOKUP(EQ$72,INDIRECT($C$5&amp;"生成成长"),2))/((VLOOKUP($B82,INDIRECT($B$5&amp;"生成成长"),4))/(VLOOKUP(EQ$72,INDIRECT($C$5&amp;"生成成长"),5))*(VLOOKUP($B$5,标准坦克设计!$B$24:$U$30,MATCH("对"&amp;LEFT($C$5,2)&amp;"输出",标准坦克设计!$B$23:$U$23,0)))*(VLOOKUP($B82,INDIRECT($B$5&amp;"生成成长"),3))*(VLOOKUP($B$5,标准坦克设计!$B$14:$K$20,9)/30))</f>
        <v>24.301625197756273</v>
      </c>
      <c r="ER82" s="172">
        <f ca="1">(VLOOKUP(ER$72,INDIRECT($C$5&amp;"生成成长"),2))/((VLOOKUP($B82,INDIRECT($B$5&amp;"生成成长"),4))/(VLOOKUP(ER$72,INDIRECT($C$5&amp;"生成成长"),5))*(VLOOKUP($B$5,标准坦克设计!$B$24:$U$30,MATCH("对"&amp;LEFT($C$5,2)&amp;"输出",标准坦克设计!$B$23:$U$23,0)))*(VLOOKUP($B82,INDIRECT($B$5&amp;"生成成长"),3))*(VLOOKUP($B$5,标准坦克设计!$B$14:$K$20,9)/30))</f>
        <v>26.505224373873062</v>
      </c>
      <c r="ES82" s="172">
        <f ca="1">(VLOOKUP(ES$72,INDIRECT($C$5&amp;"生成成长"),2))/((VLOOKUP($B82,INDIRECT($B$5&amp;"生成成长"),4))/(VLOOKUP(ES$72,INDIRECT($C$5&amp;"生成成长"),5))*(VLOOKUP($B$5,标准坦克设计!$B$24:$U$30,MATCH("对"&amp;LEFT($C$5,2)&amp;"输出",标准坦克设计!$B$23:$U$23,0)))*(VLOOKUP($B82,INDIRECT($B$5&amp;"生成成长"),3))*(VLOOKUP($B$5,标准坦克设计!$B$14:$K$20,9)/30))</f>
        <v>28.804443238105364</v>
      </c>
      <c r="ET82" s="172">
        <f ca="1">(VLOOKUP(ET$72,INDIRECT($C$5&amp;"生成成长"),2))/((VLOOKUP($B82,INDIRECT($B$5&amp;"生成成长"),4))/(VLOOKUP(ET$72,INDIRECT($C$5&amp;"生成成长"),5))*(VLOOKUP($B$5,标准坦克设计!$B$24:$U$30,MATCH("对"&amp;LEFT($C$5,2)&amp;"输出",标准坦克设计!$B$23:$U$23,0)))*(VLOOKUP($B82,INDIRECT($B$5&amp;"生成成长"),3))*(VLOOKUP($B$5,标准坦克设计!$B$14:$K$20,9)/30))</f>
        <v>31.199281790453192</v>
      </c>
      <c r="EU82" s="172">
        <f ca="1">(VLOOKUP(EU$72,INDIRECT($C$5&amp;"生成成长"),2))/((VLOOKUP($B82,INDIRECT($B$5&amp;"生成成长"),4))/(VLOOKUP(EU$72,INDIRECT($C$5&amp;"生成成长"),5))*(VLOOKUP($B$5,标准坦克设计!$B$24:$U$30,MATCH("对"&amp;LEFT($C$5,2)&amp;"输出",标准坦克设计!$B$23:$U$23,0)))*(VLOOKUP($B82,INDIRECT($B$5&amp;"生成成长"),3))*(VLOOKUP($B$5,标准坦克设计!$B$14:$K$20,9)/30))</f>
        <v>33.689740030916539</v>
      </c>
      <c r="EV82" s="172">
        <f ca="1">(VLOOKUP(EV$72,INDIRECT($C$5&amp;"生成成长"),2))/((VLOOKUP($B82,INDIRECT($B$5&amp;"生成成长"),4))/(VLOOKUP(EV$72,INDIRECT($C$5&amp;"生成成长"),5))*(VLOOKUP($B$5,标准坦克设计!$B$24:$U$30,MATCH("对"&amp;LEFT($C$5,2)&amp;"输出",标准坦克设计!$B$23:$U$23,0)))*(VLOOKUP($B82,INDIRECT($B$5&amp;"生成成长"),3))*(VLOOKUP($B$5,标准坦克设计!$B$14:$K$20,9)/30))</f>
        <v>36.275817959495406</v>
      </c>
      <c r="EW82" s="172">
        <f ca="1">(VLOOKUP(EW$72,INDIRECT($C$5&amp;"生成成长"),2))/((VLOOKUP($B82,INDIRECT($B$5&amp;"生成成长"),4))/(VLOOKUP(EW$72,INDIRECT($C$5&amp;"生成成长"),5))*(VLOOKUP($B$5,标准坦克设计!$B$24:$U$30,MATCH("对"&amp;LEFT($C$5,2)&amp;"输出",标准坦克设计!$B$23:$U$23,0)))*(VLOOKUP($B82,INDIRECT($B$5&amp;"生成成长"),3))*(VLOOKUP($B$5,标准坦克设计!$B$14:$K$20,9)/30))</f>
        <v>38.957515576189806</v>
      </c>
      <c r="EX82" s="172">
        <f ca="1">(VLOOKUP(EX$72,INDIRECT($C$5&amp;"生成成长"),2))/((VLOOKUP($B82,INDIRECT($B$5&amp;"生成成长"),4))/(VLOOKUP(EX$72,INDIRECT($C$5&amp;"生成成长"),5))*(VLOOKUP($B$5,标准坦克设计!$B$24:$U$30,MATCH("对"&amp;LEFT($C$5,2)&amp;"输出",标准坦克设计!$B$23:$U$23,0)))*(VLOOKUP($B82,INDIRECT($B$5&amp;"生成成长"),3))*(VLOOKUP($B$5,标准坦克设计!$B$14:$K$20,9)/30))</f>
        <v>41.734832880999711</v>
      </c>
      <c r="EY82" s="172">
        <f ca="1">(VLOOKUP(EY$72,INDIRECT($C$5&amp;"生成成长"),2))/((VLOOKUP($B82,INDIRECT($B$5&amp;"生成成长"),4))/(VLOOKUP(EY$72,INDIRECT($C$5&amp;"生成成长"),5))*(VLOOKUP($B$5,标准坦克设计!$B$24:$U$30,MATCH("对"&amp;LEFT($C$5,2)&amp;"输出",标准坦克设计!$B$23:$U$23,0)))*(VLOOKUP($B82,INDIRECT($B$5&amp;"生成成长"),3))*(VLOOKUP($B$5,标准坦克设计!$B$14:$K$20,9)/30))</f>
        <v>44.607769873925157</v>
      </c>
      <c r="EZ82" s="172">
        <f ca="1">(VLOOKUP(EZ$72,INDIRECT($C$5&amp;"生成成长"),2))/((VLOOKUP($B82,INDIRECT($B$5&amp;"生成成长"),4))/(VLOOKUP(EZ$72,INDIRECT($C$5&amp;"生成成长"),5))*(VLOOKUP($B$5,标准坦克设计!$B$24:$U$30,MATCH("对"&amp;LEFT($C$5,2)&amp;"输出",标准坦克设计!$B$23:$U$23,0)))*(VLOOKUP($B82,INDIRECT($B$5&amp;"生成成长"),3))*(VLOOKUP($B$5,标准坦克设计!$B$14:$K$20,9)/30))</f>
        <v>47.576326554966109</v>
      </c>
      <c r="FA82" s="172">
        <f ca="1">(VLOOKUP(FA$72,INDIRECT($C$5&amp;"生成成长"),2))/((VLOOKUP($B82,INDIRECT($B$5&amp;"生成成长"),4))/(VLOOKUP(FA$72,INDIRECT($C$5&amp;"生成成长"),5))*(VLOOKUP($B$5,标准坦克设计!$B$24:$U$30,MATCH("对"&amp;LEFT($C$5,2)&amp;"输出",标准坦克设计!$B$23:$U$23,0)))*(VLOOKUP($B82,INDIRECT($B$5&amp;"生成成长"),3))*(VLOOKUP($B$5,标准坦克设计!$B$14:$K$20,9)/30))</f>
        <v>50.640502924122586</v>
      </c>
      <c r="FB82" s="172">
        <f ca="1">(VLOOKUP(FB$72,INDIRECT($C$5&amp;"生成成长"),2))/((VLOOKUP($B82,INDIRECT($B$5&amp;"生成成长"),4))/(VLOOKUP(FB$72,INDIRECT($C$5&amp;"生成成长"),5))*(VLOOKUP($B$5,标准坦克设计!$B$24:$U$30,MATCH("对"&amp;LEFT($C$5,2)&amp;"输出",标准坦克设计!$B$23:$U$23,0)))*(VLOOKUP($B82,INDIRECT($B$5&amp;"生成成长"),3))*(VLOOKUP($B$5,标准坦克设计!$B$14:$K$20,9)/30))</f>
        <v>53.800298981394569</v>
      </c>
      <c r="FC82" s="172">
        <f ca="1">(VLOOKUP(FC$72,INDIRECT($C$5&amp;"生成成长"),2))/((VLOOKUP($B82,INDIRECT($B$5&amp;"生成成长"),4))/(VLOOKUP(FC$72,INDIRECT($C$5&amp;"生成成长"),5))*(VLOOKUP($B$5,标准坦克设计!$B$24:$U$30,MATCH("对"&amp;LEFT($C$5,2)&amp;"输出",标准坦克设计!$B$23:$U$23,0)))*(VLOOKUP($B82,INDIRECT($B$5&amp;"生成成长"),3))*(VLOOKUP($B$5,标准坦克设计!$B$14:$K$20,9)/30))</f>
        <v>57.055714726782099</v>
      </c>
      <c r="FD82" s="172">
        <f ca="1">(VLOOKUP(FD$72,INDIRECT($C$5&amp;"生成成长"),2))/((VLOOKUP($B82,INDIRECT($B$5&amp;"生成成长"),4))/(VLOOKUP(FD$72,INDIRECT($C$5&amp;"生成成长"),5))*(VLOOKUP($B$5,标准坦克设计!$B$24:$U$30,MATCH("对"&amp;LEFT($C$5,2)&amp;"输出",标准坦克设计!$B$23:$U$23,0)))*(VLOOKUP($B82,INDIRECT($B$5&amp;"生成成长"),3))*(VLOOKUP($B$5,标准坦克设计!$B$14:$K$20,9)/30))</f>
        <v>60.406750160285142</v>
      </c>
      <c r="FE82" s="172">
        <f ca="1">(VLOOKUP(FE$72,INDIRECT($C$5&amp;"生成成长"),2))/((VLOOKUP($B82,INDIRECT($B$5&amp;"生成成长"),4))/(VLOOKUP(FE$72,INDIRECT($C$5&amp;"生成成长"),5))*(VLOOKUP($B$5,标准坦克设计!$B$24:$U$30,MATCH("对"&amp;LEFT($C$5,2)&amp;"输出",标准坦克设计!$B$23:$U$23,0)))*(VLOOKUP($B82,INDIRECT($B$5&amp;"生成成长"),3))*(VLOOKUP($B$5,标准坦克设计!$B$14:$K$20,9)/30))</f>
        <v>64.490343039102953</v>
      </c>
      <c r="FF82" s="172">
        <f ca="1">(VLOOKUP(FF$72,INDIRECT($C$5&amp;"生成成长"),2))/((VLOOKUP($B82,INDIRECT($B$5&amp;"生成成长"),4))/(VLOOKUP(FF$72,INDIRECT($C$5&amp;"生成成长"),5))*(VLOOKUP($B$5,标准坦克设计!$B$24:$U$30,MATCH("对"&amp;LEFT($C$5,2)&amp;"输出",标准坦克设计!$B$23:$U$23,0)))*(VLOOKUP($B82,INDIRECT($B$5&amp;"生成成长"),3))*(VLOOKUP($B$5,标准坦克设计!$B$14:$K$20,9)/30))</f>
        <v>68.707487383139963</v>
      </c>
      <c r="FG82" s="172">
        <f ca="1">(VLOOKUP(FG$72,INDIRECT($C$5&amp;"生成成长"),2))/((VLOOKUP($B82,INDIRECT($B$5&amp;"生成成长"),4))/(VLOOKUP(FG$72,INDIRECT($C$5&amp;"生成成长"),5))*(VLOOKUP($B$5,标准坦克设计!$B$24:$U$30,MATCH("对"&amp;LEFT($C$5,2)&amp;"输出",标准坦克设计!$B$23:$U$23,0)))*(VLOOKUP($B82,INDIRECT($B$5&amp;"生成成长"),3))*(VLOOKUP($B$5,标准坦克设计!$B$14:$K$20,9)/30))</f>
        <v>73.058183192396186</v>
      </c>
      <c r="FH82" s="172">
        <f ca="1">(VLOOKUP(FH$72,INDIRECT($C$5&amp;"生成成长"),2))/((VLOOKUP($B82,INDIRECT($B$5&amp;"生成成长"),4))/(VLOOKUP(FH$72,INDIRECT($C$5&amp;"生成成长"),5))*(VLOOKUP($B$5,标准坦克设计!$B$24:$U$30,MATCH("对"&amp;LEFT($C$5,2)&amp;"输出",标准坦克设计!$B$23:$U$23,0)))*(VLOOKUP($B82,INDIRECT($B$5&amp;"生成成长"),3))*(VLOOKUP($B$5,标准坦克设计!$B$14:$K$20,9)/30))</f>
        <v>77.542430466871593</v>
      </c>
      <c r="FI82" s="172">
        <f ca="1">(VLOOKUP(FI$72,INDIRECT($C$5&amp;"生成成长"),2))/((VLOOKUP($B82,INDIRECT($B$5&amp;"生成成长"),4))/(VLOOKUP(FI$72,INDIRECT($C$5&amp;"生成成长"),5))*(VLOOKUP($B$5,标准坦克设计!$B$24:$U$30,MATCH("对"&amp;LEFT($C$5,2)&amp;"输出",标准坦克设计!$B$23:$U$23,0)))*(VLOOKUP($B82,INDIRECT($B$5&amp;"生成成长"),3))*(VLOOKUP($B$5,标准坦克设计!$B$14:$K$20,9)/30))</f>
        <v>82.160229206566214</v>
      </c>
      <c r="FJ82" s="172">
        <f ca="1">(VLOOKUP(FJ$72,INDIRECT($C$5&amp;"生成成长"),2))/((VLOOKUP($B82,INDIRECT($B$5&amp;"生成成长"),4))/(VLOOKUP(FJ$72,INDIRECT($C$5&amp;"生成成长"),5))*(VLOOKUP($B$5,标准坦克设计!$B$24:$U$30,MATCH("对"&amp;LEFT($C$5,2)&amp;"输出",标准坦克设计!$B$23:$U$23,0)))*(VLOOKUP($B82,INDIRECT($B$5&amp;"生成成长"),3))*(VLOOKUP($B$5,标准坦克设计!$B$14:$K$20,9)/30))</f>
        <v>86.911579411480048</v>
      </c>
      <c r="FK82" s="172">
        <f ca="1">(VLOOKUP(FK$72,INDIRECT($C$5&amp;"生成成长"),2))/((VLOOKUP($B82,INDIRECT($B$5&amp;"生成成长"),4))/(VLOOKUP(FK$72,INDIRECT($C$5&amp;"生成成长"),5))*(VLOOKUP($B$5,标准坦克设计!$B$24:$U$30,MATCH("对"&amp;LEFT($C$5,2)&amp;"输出",标准坦克设计!$B$23:$U$23,0)))*(VLOOKUP($B82,INDIRECT($B$5&amp;"生成成长"),3))*(VLOOKUP($B$5,标准坦克设计!$B$14:$K$20,9)/30))</f>
        <v>91.796481081613052</v>
      </c>
    </row>
    <row r="83" spans="1:167" x14ac:dyDescent="0.15">
      <c r="A83" s="170" t="str">
        <f t="shared" si="11"/>
        <v>T2低品质6级</v>
      </c>
      <c r="B83" s="171">
        <v>10206</v>
      </c>
      <c r="C83" s="172">
        <f ca="1">(VLOOKUP(C$72,INDIRECT($C$5&amp;"生成成长"),2))/((VLOOKUP($B83,INDIRECT($B$5&amp;"生成成长"),4))/(VLOOKUP(C$72,INDIRECT($C$5&amp;"生成成长"),5))*(VLOOKUP($B$5,标准坦克设计!$B$24:$U$30,MATCH("对"&amp;LEFT($C$5,2)&amp;"输出",标准坦克设计!$B$23:$U$23,0)))*(VLOOKUP($B83,INDIRECT($B$5&amp;"生成成长"),3))*(VLOOKUP($B$5,标准坦克设计!$B$14:$K$20,9)/30))</f>
        <v>3.5556571321144101</v>
      </c>
      <c r="D83" s="172">
        <f ca="1">(VLOOKUP(D$72,INDIRECT($C$5&amp;"生成成长"),2))/((VLOOKUP($B83,INDIRECT($B$5&amp;"生成成长"),4))/(VLOOKUP(D$72,INDIRECT($C$5&amp;"生成成长"),5))*(VLOOKUP($B$5,标准坦克设计!$B$24:$U$30,MATCH("对"&amp;LEFT($C$5,2)&amp;"输出",标准坦克设计!$B$23:$U$23,0)))*(VLOOKUP($B83,INDIRECT($B$5&amp;"生成成长"),3))*(VLOOKUP($B$5,标准坦克设计!$B$14:$K$20,9)/30))</f>
        <v>3.9951363536437516</v>
      </c>
      <c r="E83" s="172">
        <f ca="1">(VLOOKUP(E$72,INDIRECT($C$5&amp;"生成成长"),2))/((VLOOKUP($B83,INDIRECT($B$5&amp;"生成成长"),4))/(VLOOKUP(E$72,INDIRECT($C$5&amp;"生成成长"),5))*(VLOOKUP($B$5,标准坦克设计!$B$24:$U$30,MATCH("对"&amp;LEFT($C$5,2)&amp;"输出",标准坦克设计!$B$23:$U$23,0)))*(VLOOKUP($B83,INDIRECT($B$5&amp;"生成成长"),3))*(VLOOKUP($B$5,标准坦克设计!$B$14:$K$20,9)/30))</f>
        <v>4.4602163065243161</v>
      </c>
      <c r="F83" s="172">
        <f ca="1">(VLOOKUP(F$72,INDIRECT($C$5&amp;"生成成长"),2))/((VLOOKUP($B83,INDIRECT($B$5&amp;"生成成长"),4))/(VLOOKUP(F$72,INDIRECT($C$5&amp;"生成成长"),5))*(VLOOKUP($B$5,标准坦克设计!$B$24:$U$30,MATCH("对"&amp;LEFT($C$5,2)&amp;"输出",标准坦克设计!$B$23:$U$23,0)))*(VLOOKUP($B83,INDIRECT($B$5&amp;"生成成长"),3))*(VLOOKUP($B$5,标准坦克设计!$B$14:$K$20,9)/30))</f>
        <v>4.950896990756104</v>
      </c>
      <c r="G83" s="172">
        <f ca="1">(VLOOKUP(G$72,INDIRECT($C$5&amp;"生成成长"),2))/((VLOOKUP($B83,INDIRECT($B$5&amp;"生成成长"),4))/(VLOOKUP(G$72,INDIRECT($C$5&amp;"生成成长"),5))*(VLOOKUP($B$5,标准坦克设计!$B$24:$U$30,MATCH("对"&amp;LEFT($C$5,2)&amp;"输出",标准坦克设计!$B$23:$U$23,0)))*(VLOOKUP($B83,INDIRECT($B$5&amp;"生成成长"),3))*(VLOOKUP($B$5,标准坦克设计!$B$14:$K$20,9)/30))</f>
        <v>5.4671784063391167</v>
      </c>
      <c r="H83" s="172">
        <f ca="1">(VLOOKUP(H$72,INDIRECT($C$5&amp;"生成成长"),2))/((VLOOKUP($B83,INDIRECT($B$5&amp;"生成成长"),4))/(VLOOKUP(H$72,INDIRECT($C$5&amp;"生成成长"),5))*(VLOOKUP($B$5,标准坦克设计!$B$24:$U$30,MATCH("对"&amp;LEFT($C$5,2)&amp;"输出",标准坦克设计!$B$23:$U$23,0)))*(VLOOKUP($B83,INDIRECT($B$5&amp;"生成成长"),3))*(VLOOKUP($B$5,标准坦克设计!$B$14:$K$20,9)/30))</f>
        <v>4.7844922369731497</v>
      </c>
      <c r="I83" s="172">
        <f ca="1">(VLOOKUP(I$72,INDIRECT($C$5&amp;"生成成长"),2))/((VLOOKUP($B83,INDIRECT($B$5&amp;"生成成长"),4))/(VLOOKUP(I$72,INDIRECT($C$5&amp;"生成成长"),5))*(VLOOKUP($B$5,标准坦克设计!$B$24:$U$30,MATCH("对"&amp;LEFT($C$5,2)&amp;"输出",标准坦克设计!$B$23:$U$23,0)))*(VLOOKUP($B83,INDIRECT($B$5&amp;"生成成长"),3))*(VLOOKUP($B$5,标准坦克设计!$B$14:$K$20,9)/30))</f>
        <v>5.4671784063391167</v>
      </c>
      <c r="J83" s="172">
        <f ca="1">(VLOOKUP(J$72,INDIRECT($C$5&amp;"生成成长"),2))/((VLOOKUP($B83,INDIRECT($B$5&amp;"生成成长"),4))/(VLOOKUP(J$72,INDIRECT($C$5&amp;"生成成长"),5))*(VLOOKUP($B$5,标准坦克设计!$B$24:$U$30,MATCH("对"&amp;LEFT($C$5,2)&amp;"输出",标准坦克设计!$B$23:$U$23,0)))*(VLOOKUP($B83,INDIRECT($B$5&amp;"生成成长"),3))*(VLOOKUP($B$5,标准坦克设计!$B$14:$K$20,9)/30))</f>
        <v>6.1953769869961475</v>
      </c>
      <c r="K83" s="172">
        <f ca="1">(VLOOKUP(K$72,INDIRECT($C$5&amp;"生成成长"),2))/((VLOOKUP($B83,INDIRECT($B$5&amp;"生成成长"),4))/(VLOOKUP(K$72,INDIRECT($C$5&amp;"生成成长"),5))*(VLOOKUP($B$5,标准坦克设计!$B$24:$U$30,MATCH("对"&amp;LEFT($C$5,2)&amp;"输出",标准坦克设计!$B$23:$U$23,0)))*(VLOOKUP($B83,INDIRECT($B$5&amp;"生成成长"),3))*(VLOOKUP($B$5,标准坦克设计!$B$14:$K$20,9)/30))</f>
        <v>6.9690879789442439</v>
      </c>
      <c r="L83" s="172">
        <f ca="1">(VLOOKUP(L$72,INDIRECT($C$5&amp;"生成成长"),2))/((VLOOKUP($B83,INDIRECT($B$5&amp;"生成成长"),4))/(VLOOKUP(L$72,INDIRECT($C$5&amp;"生成成长"),5))*(VLOOKUP($B$5,标准坦克设计!$B$24:$U$30,MATCH("对"&amp;LEFT($C$5,2)&amp;"输出",标准坦克设计!$B$23:$U$23,0)))*(VLOOKUP($B83,INDIRECT($B$5&amp;"生成成长"),3))*(VLOOKUP($B$5,标准坦克设计!$B$14:$K$20,9)/30))</f>
        <v>7.7883113821834042</v>
      </c>
      <c r="M83" s="172">
        <f ca="1">(VLOOKUP(M$72,INDIRECT($C$5&amp;"生成成长"),2))/((VLOOKUP($B83,INDIRECT($B$5&amp;"生成成长"),4))/(VLOOKUP(M$72,INDIRECT($C$5&amp;"生成成长"),5))*(VLOOKUP($B$5,标准坦克设计!$B$24:$U$30,MATCH("对"&amp;LEFT($C$5,2)&amp;"输出",标准坦克设计!$B$23:$U$23,0)))*(VLOOKUP($B83,INDIRECT($B$5&amp;"生成成长"),3))*(VLOOKUP($B$5,标准坦克设计!$B$14:$K$20,9)/30))</f>
        <v>8.6530471967136293</v>
      </c>
      <c r="N83" s="172">
        <f ca="1">(VLOOKUP(N$72,INDIRECT($C$5&amp;"生成成长"),2))/((VLOOKUP($B83,INDIRECT($B$5&amp;"生成成长"),4))/(VLOOKUP(N$72,INDIRECT($C$5&amp;"生成成长"),5))*(VLOOKUP($B$5,标准坦克设计!$B$24:$U$30,MATCH("对"&amp;LEFT($C$5,2)&amp;"输出",标准坦克设计!$B$23:$U$23,0)))*(VLOOKUP($B83,INDIRECT($B$5&amp;"生成成长"),3))*(VLOOKUP($B$5,标准坦克设计!$B$14:$K$20,9)/30))</f>
        <v>9.5632954225349174</v>
      </c>
      <c r="O83" s="172">
        <f ca="1">(VLOOKUP(O$72,INDIRECT($C$5&amp;"生成成长"),2))/((VLOOKUP($B83,INDIRECT($B$5&amp;"生成成长"),4))/(VLOOKUP(O$72,INDIRECT($C$5&amp;"生成成长"),5))*(VLOOKUP($B$5,标准坦克设计!$B$24:$U$30,MATCH("对"&amp;LEFT($C$5,2)&amp;"输出",标准坦克设计!$B$23:$U$23,0)))*(VLOOKUP($B83,INDIRECT($B$5&amp;"生成成长"),3))*(VLOOKUP($B$5,标准坦克设计!$B$14:$K$20,9)/30))</f>
        <v>7.270963269460756</v>
      </c>
      <c r="P83" s="172">
        <f ca="1">(VLOOKUP(P$72,INDIRECT($C$5&amp;"生成成长"),2))/((VLOOKUP($B83,INDIRECT($B$5&amp;"生成成长"),4))/(VLOOKUP(P$72,INDIRECT($C$5&amp;"生成成长"),5))*(VLOOKUP($B$5,标准坦克设计!$B$24:$U$30,MATCH("对"&amp;LEFT($C$5,2)&amp;"输出",标准坦克设计!$B$23:$U$23,0)))*(VLOOKUP($B83,INDIRECT($B$5&amp;"生成成长"),3))*(VLOOKUP($B$5,标准坦克设计!$B$14:$K$20,9)/30))</f>
        <v>8.2149902380371316</v>
      </c>
      <c r="Q83" s="172">
        <f ca="1">(VLOOKUP(Q$72,INDIRECT($C$5&amp;"生成成长"),2))/((VLOOKUP($B83,INDIRECT($B$5&amp;"生成成长"),4))/(VLOOKUP(Q$72,INDIRECT($C$5&amp;"生成成长"),5))*(VLOOKUP($B$5,标准坦克设计!$B$24:$U$30,MATCH("对"&amp;LEFT($C$5,2)&amp;"输出",标准坦克设计!$B$23:$U$23,0)))*(VLOOKUP($B83,INDIRECT($B$5&amp;"生成成长"),3))*(VLOOKUP($B$5,标准坦克设计!$B$14:$K$20,9)/30))</f>
        <v>9.2166188521537631</v>
      </c>
      <c r="R83" s="172">
        <f ca="1">(VLOOKUP(R$72,INDIRECT($C$5&amp;"生成成长"),2))/((VLOOKUP($B83,INDIRECT($B$5&amp;"生成成长"),4))/(VLOOKUP(R$72,INDIRECT($C$5&amp;"生成成长"),5))*(VLOOKUP($B$5,标准坦克设计!$B$24:$U$30,MATCH("对"&amp;LEFT($C$5,2)&amp;"输出",标准坦克设计!$B$23:$U$23,0)))*(VLOOKUP($B83,INDIRECT($B$5&amp;"生成成长"),3))*(VLOOKUP($B$5,标准坦克设计!$B$14:$K$20,9)/30))</f>
        <v>10.275849111810645</v>
      </c>
      <c r="S83" s="172">
        <f ca="1">(VLOOKUP(S$72,INDIRECT($C$5&amp;"生成成长"),2))/((VLOOKUP($B83,INDIRECT($B$5&amp;"生成成长"),4))/(VLOOKUP(S$72,INDIRECT($C$5&amp;"生成成长"),5))*(VLOOKUP($B$5,标准坦克设计!$B$24:$U$30,MATCH("对"&amp;LEFT($C$5,2)&amp;"输出",标准坦克设计!$B$23:$U$23,0)))*(VLOOKUP($B83,INDIRECT($B$5&amp;"生成成长"),3))*(VLOOKUP($B$5,标准坦克设计!$B$14:$K$20,9)/30))</f>
        <v>11.392681017007781</v>
      </c>
      <c r="T83" s="172">
        <f ca="1">(VLOOKUP(T$72,INDIRECT($C$5&amp;"生成成长"),2))/((VLOOKUP($B83,INDIRECT($B$5&amp;"生成成长"),4))/(VLOOKUP(T$72,INDIRECT($C$5&amp;"生成成长"),5))*(VLOOKUP($B$5,标准坦克设计!$B$24:$U$30,MATCH("对"&amp;LEFT($C$5,2)&amp;"输出",标准坦克设计!$B$23:$U$23,0)))*(VLOOKUP($B83,INDIRECT($B$5&amp;"生成成长"),3))*(VLOOKUP($B$5,标准坦克设计!$B$14:$K$20,9)/30))</f>
        <v>12.567114567745172</v>
      </c>
      <c r="U83" s="172">
        <f ca="1">(VLOOKUP(U$72,INDIRECT($C$5&amp;"生成成长"),2))/((VLOOKUP($B83,INDIRECT($B$5&amp;"生成成长"),4))/(VLOOKUP(U$72,INDIRECT($C$5&amp;"生成成长"),5))*(VLOOKUP($B$5,标准坦克设计!$B$24:$U$30,MATCH("对"&amp;LEFT($C$5,2)&amp;"输出",标准坦克设计!$B$23:$U$23,0)))*(VLOOKUP($B83,INDIRECT($B$5&amp;"生成成长"),3))*(VLOOKUP($B$5,标准坦克设计!$B$14:$K$20,9)/30))</f>
        <v>13.799149764022815</v>
      </c>
      <c r="V83" s="172">
        <f ca="1">(VLOOKUP(V$72,INDIRECT($C$5&amp;"生成成长"),2))/((VLOOKUP($B83,INDIRECT($B$5&amp;"生成成长"),4))/(VLOOKUP(V$72,INDIRECT($C$5&amp;"生成成长"),5))*(VLOOKUP($B$5,标准坦克设计!$B$24:$U$30,MATCH("对"&amp;LEFT($C$5,2)&amp;"输出",标准坦克设计!$B$23:$U$23,0)))*(VLOOKUP($B83,INDIRECT($B$5&amp;"生成成长"),3))*(VLOOKUP($B$5,标准坦克设计!$B$14:$K$20,9)/30))</f>
        <v>15.08878660584071</v>
      </c>
      <c r="W83" s="172">
        <f ca="1">(VLOOKUP(W$72,INDIRECT($C$5&amp;"生成成长"),2))/((VLOOKUP($B83,INDIRECT($B$5&amp;"生成成长"),4))/(VLOOKUP(W$72,INDIRECT($C$5&amp;"生成成长"),5))*(VLOOKUP($B$5,标准坦克设计!$B$24:$U$30,MATCH("对"&amp;LEFT($C$5,2)&amp;"输出",标准坦克设计!$B$23:$U$23,0)))*(VLOOKUP($B83,INDIRECT($B$5&amp;"生成成长"),3))*(VLOOKUP($B$5,标准坦克设计!$B$14:$K$20,9)/30))</f>
        <v>16.436025093198857</v>
      </c>
      <c r="X83" s="172">
        <f ca="1">(VLOOKUP(X$72,INDIRECT($C$5&amp;"生成成长"),2))/((VLOOKUP($B83,INDIRECT($B$5&amp;"生成成长"),4))/(VLOOKUP(X$72,INDIRECT($C$5&amp;"生成成长"),5))*(VLOOKUP($B$5,标准坦克设计!$B$24:$U$30,MATCH("对"&amp;LEFT($C$5,2)&amp;"输出",标准坦克设计!$B$23:$U$23,0)))*(VLOOKUP($B83,INDIRECT($B$5&amp;"生成成长"),3))*(VLOOKUP($B$5,标准坦克设计!$B$14:$K$20,9)/30))</f>
        <v>11.907540169737949</v>
      </c>
      <c r="Y83" s="172">
        <f ca="1">(VLOOKUP(Y$72,INDIRECT($C$5&amp;"生成成长"),2))/((VLOOKUP($B83,INDIRECT($B$5&amp;"生成成长"),4))/(VLOOKUP(Y$72,INDIRECT($C$5&amp;"生成成长"),5))*(VLOOKUP($B$5,标准坦克设计!$B$24:$U$30,MATCH("对"&amp;LEFT($C$5,2)&amp;"输出",标准坦克设计!$B$23:$U$23,0)))*(VLOOKUP($B83,INDIRECT($B$5&amp;"生成成长"),3))*(VLOOKUP($B$5,标准坦克设计!$B$14:$K$20,9)/30))</f>
        <v>13.244467251412965</v>
      </c>
      <c r="Z83" s="172">
        <f ca="1">(VLOOKUP(Z$72,INDIRECT($C$5&amp;"生成成长"),2))/((VLOOKUP($B83,INDIRECT($B$5&amp;"生成成长"),4))/(VLOOKUP(Z$72,INDIRECT($C$5&amp;"生成成长"),5))*(VLOOKUP($B$5,标准坦克设计!$B$24:$U$30,MATCH("对"&amp;LEFT($C$5,2)&amp;"输出",标准坦克设计!$B$23:$U$23,0)))*(VLOOKUP($B83,INDIRECT($B$5&amp;"生成成长"),3))*(VLOOKUP($B$5,标准坦克设计!$B$14:$K$20,9)/30))</f>
        <v>14.652507475730273</v>
      </c>
      <c r="AA83" s="172">
        <f ca="1">(VLOOKUP(AA$72,INDIRECT($C$5&amp;"生成成长"),2))/((VLOOKUP($B83,INDIRECT($B$5&amp;"生成成长"),4))/(VLOOKUP(AA$72,INDIRECT($C$5&amp;"生成成长"),5))*(VLOOKUP($B$5,标准坦克设计!$B$24:$U$30,MATCH("对"&amp;LEFT($C$5,2)&amp;"输出",标准坦克设计!$B$23:$U$23,0)))*(VLOOKUP($B83,INDIRECT($B$5&amp;"生成成长"),3))*(VLOOKUP($B$5,标准坦克设计!$B$14:$K$20,9)/30))</f>
        <v>16.131660842689868</v>
      </c>
      <c r="AB83" s="172">
        <f ca="1">(VLOOKUP(AB$72,INDIRECT($C$5&amp;"生成成长"),2))/((VLOOKUP($B83,INDIRECT($B$5&amp;"生成成长"),4))/(VLOOKUP(AB$72,INDIRECT($C$5&amp;"生成成长"),5))*(VLOOKUP($B$5,标准坦克设计!$B$24:$U$30,MATCH("对"&amp;LEFT($C$5,2)&amp;"输出",标准坦克设计!$B$23:$U$23,0)))*(VLOOKUP($B83,INDIRECT($B$5&amp;"生成成长"),3))*(VLOOKUP($B$5,标准坦克设计!$B$14:$K$20,9)/30))</f>
        <v>17.681927352291748</v>
      </c>
      <c r="AC83" s="172">
        <f ca="1">(VLOOKUP(AC$72,INDIRECT($C$5&amp;"生成成长"),2))/((VLOOKUP($B83,INDIRECT($B$5&amp;"生成成长"),4))/(VLOOKUP(AC$72,INDIRECT($C$5&amp;"生成成长"),5))*(VLOOKUP($B$5,标准坦克设计!$B$24:$U$30,MATCH("对"&amp;LEFT($C$5,2)&amp;"输出",标准坦克设计!$B$23:$U$23,0)))*(VLOOKUP($B83,INDIRECT($B$5&amp;"生成成长"),3))*(VLOOKUP($B$5,标准坦克设计!$B$14:$K$20,9)/30))</f>
        <v>19.30330700453592</v>
      </c>
      <c r="AD83" s="172">
        <f ca="1">(VLOOKUP(AD$72,INDIRECT($C$5&amp;"生成成长"),2))/((VLOOKUP($B83,INDIRECT($B$5&amp;"生成成长"),4))/(VLOOKUP(AD$72,INDIRECT($C$5&amp;"生成成长"),5))*(VLOOKUP($B$5,标准坦克设计!$B$24:$U$30,MATCH("对"&amp;LEFT($C$5,2)&amp;"输出",标准坦克设计!$B$23:$U$23,0)))*(VLOOKUP($B83,INDIRECT($B$5&amp;"生成成长"),3))*(VLOOKUP($B$5,标准坦克设计!$B$14:$K$20,9)/30))</f>
        <v>20.995799799422382</v>
      </c>
      <c r="AE83" s="172">
        <f ca="1">(VLOOKUP(AE$72,INDIRECT($C$5&amp;"生成成长"),2))/((VLOOKUP($B83,INDIRECT($B$5&amp;"生成成长"),4))/(VLOOKUP(AE$72,INDIRECT($C$5&amp;"生成成长"),5))*(VLOOKUP($B$5,标准坦克设计!$B$24:$U$30,MATCH("对"&amp;LEFT($C$5,2)&amp;"输出",标准坦克设计!$B$23:$U$23,0)))*(VLOOKUP($B83,INDIRECT($B$5&amp;"生成成长"),3))*(VLOOKUP($B$5,标准坦克设计!$B$14:$K$20,9)/30))</f>
        <v>22.759405736951127</v>
      </c>
      <c r="AF83" s="172">
        <f ca="1">(VLOOKUP(AF$72,INDIRECT($C$5&amp;"生成成长"),2))/((VLOOKUP($B83,INDIRECT($B$5&amp;"生成成长"),4))/(VLOOKUP(AF$72,INDIRECT($C$5&amp;"生成成长"),5))*(VLOOKUP($B$5,标准坦克设计!$B$24:$U$30,MATCH("对"&amp;LEFT($C$5,2)&amp;"输出",标准坦克设计!$B$23:$U$23,0)))*(VLOOKUP($B83,INDIRECT($B$5&amp;"生成成长"),3))*(VLOOKUP($B$5,标准坦克设计!$B$14:$K$20,9)/30))</f>
        <v>24.594124817122164</v>
      </c>
      <c r="AG83" s="172">
        <f ca="1">(VLOOKUP(AG$72,INDIRECT($C$5&amp;"生成成长"),2))/((VLOOKUP($B83,INDIRECT($B$5&amp;"生成成长"),4))/(VLOOKUP(AG$72,INDIRECT($C$5&amp;"生成成长"),5))*(VLOOKUP($B$5,标准坦克设计!$B$24:$U$30,MATCH("对"&amp;LEFT($C$5,2)&amp;"输出",标准坦克设计!$B$23:$U$23,0)))*(VLOOKUP($B83,INDIRECT($B$5&amp;"生成成长"),3))*(VLOOKUP($B$5,标准坦克设计!$B$14:$K$20,9)/30))</f>
        <v>26.499957039935488</v>
      </c>
      <c r="AH83" s="172">
        <f ca="1">(VLOOKUP(AH$72,INDIRECT($C$5&amp;"生成成长"),2))/((VLOOKUP($B83,INDIRECT($B$5&amp;"生成成长"),4))/(VLOOKUP(AH$72,INDIRECT($C$5&amp;"生成成长"),5))*(VLOOKUP($B$5,标准坦克设计!$B$24:$U$30,MATCH("对"&amp;LEFT($C$5,2)&amp;"输出",标准坦克设计!$B$23:$U$23,0)))*(VLOOKUP($B83,INDIRECT($B$5&amp;"生成成长"),3))*(VLOOKUP($B$5,标准坦克设计!$B$14:$K$20,9)/30))</f>
        <v>28.476902405391098</v>
      </c>
      <c r="AI83" s="172">
        <f ca="1">(VLOOKUP(AI$72,INDIRECT($C$5&amp;"生成成长"),2))/((VLOOKUP($B83,INDIRECT($B$5&amp;"生成成长"),4))/(VLOOKUP(AI$72,INDIRECT($C$5&amp;"生成成长"),5))*(VLOOKUP($B$5,标准坦克设计!$B$24:$U$30,MATCH("对"&amp;LEFT($C$5,2)&amp;"输出",标准坦克设计!$B$23:$U$23,0)))*(VLOOKUP($B83,INDIRECT($B$5&amp;"生成成长"),3))*(VLOOKUP($B$5,标准坦克设计!$B$14:$K$20,9)/30))</f>
        <v>20.140664259148863</v>
      </c>
      <c r="AJ83" s="172">
        <f ca="1">(VLOOKUP(AJ$72,INDIRECT($C$5&amp;"生成成长"),2))/((VLOOKUP($B83,INDIRECT($B$5&amp;"生成成长"),4))/(VLOOKUP(AJ$72,INDIRECT($C$5&amp;"生成成长"),5))*(VLOOKUP($B$5,标准坦克设计!$B$24:$U$30,MATCH("对"&amp;LEFT($C$5,2)&amp;"输出",标准坦克设计!$B$23:$U$23,0)))*(VLOOKUP($B83,INDIRECT($B$5&amp;"生成成长"),3))*(VLOOKUP($B$5,标准坦克设计!$B$14:$K$20,9)/30))</f>
        <v>22.045429784822556</v>
      </c>
      <c r="AK83" s="172">
        <f ca="1">(VLOOKUP(AK$72,INDIRECT($C$5&amp;"生成成长"),2))/((VLOOKUP($B83,INDIRECT($B$5&amp;"生成成长"),4))/(VLOOKUP(AK$72,INDIRECT($C$5&amp;"生成成长"),5))*(VLOOKUP($B$5,标准坦克设计!$B$24:$U$30,MATCH("对"&amp;LEFT($C$5,2)&amp;"输出",标准坦克设计!$B$23:$U$23,0)))*(VLOOKUP($B83,INDIRECT($B$5&amp;"生成成长"),3))*(VLOOKUP($B$5,标准坦克设计!$B$14:$K$20,9)/30))</f>
        <v>24.036242213093413</v>
      </c>
      <c r="AL83" s="172">
        <f ca="1">(VLOOKUP(AL$72,INDIRECT($C$5&amp;"生成成长"),2))/((VLOOKUP($B83,INDIRECT($B$5&amp;"生成成长"),4))/(VLOOKUP(AL$72,INDIRECT($C$5&amp;"生成成长"),5))*(VLOOKUP($B$5,标准坦克设计!$B$24:$U$30,MATCH("对"&amp;LEFT($C$5,2)&amp;"输出",标准坦克设计!$B$23:$U$23,0)))*(VLOOKUP($B83,INDIRECT($B$5&amp;"生成成长"),3))*(VLOOKUP($B$5,标准坦克设计!$B$14:$K$20,9)/30))</f>
        <v>26.113101543961438</v>
      </c>
      <c r="AM83" s="172">
        <f ca="1">(VLOOKUP(AM$72,INDIRECT($C$5&amp;"生成成长"),2))/((VLOOKUP($B83,INDIRECT($B$5&amp;"生成成长"),4))/(VLOOKUP(AM$72,INDIRECT($C$5&amp;"生成成长"),5))*(VLOOKUP($B$5,标准坦克设计!$B$24:$U$30,MATCH("对"&amp;LEFT($C$5,2)&amp;"输出",标准坦克设计!$B$23:$U$23,0)))*(VLOOKUP($B83,INDIRECT($B$5&amp;"生成成长"),3))*(VLOOKUP($B$5,标准坦克设计!$B$14:$K$20,9)/30))</f>
        <v>28.276007777426635</v>
      </c>
      <c r="AN83" s="172">
        <f ca="1">(VLOOKUP(AN$72,INDIRECT($C$5&amp;"生成成长"),2))/((VLOOKUP($B83,INDIRECT($B$5&amp;"生成成长"),4))/(VLOOKUP(AN$72,INDIRECT($C$5&amp;"生成成长"),5))*(VLOOKUP($B$5,标准坦克设计!$B$24:$U$30,MATCH("对"&amp;LEFT($C$5,2)&amp;"输出",标准坦克设计!$B$23:$U$23,0)))*(VLOOKUP($B83,INDIRECT($B$5&amp;"生成成长"),3))*(VLOOKUP($B$5,标准坦克设计!$B$14:$K$20,9)/30))</f>
        <v>30.524960913488997</v>
      </c>
      <c r="AO83" s="172">
        <f ca="1">(VLOOKUP(AO$72,INDIRECT($C$5&amp;"生成成长"),2))/((VLOOKUP($B83,INDIRECT($B$5&amp;"生成成长"),4))/(VLOOKUP(AO$72,INDIRECT($C$5&amp;"生成成长"),5))*(VLOOKUP($B$5,标准坦克设计!$B$24:$U$30,MATCH("对"&amp;LEFT($C$5,2)&amp;"输出",标准坦克设计!$B$23:$U$23,0)))*(VLOOKUP($B83,INDIRECT($B$5&amp;"生成成长"),3))*(VLOOKUP($B$5,标准坦克设计!$B$14:$K$20,9)/30))</f>
        <v>32.859960952148526</v>
      </c>
      <c r="AP83" s="172">
        <f ca="1">(VLOOKUP(AP$72,INDIRECT($C$5&amp;"生成成长"),2))/((VLOOKUP($B83,INDIRECT($B$5&amp;"生成成长"),4))/(VLOOKUP(AP$72,INDIRECT($C$5&amp;"生成成长"),5))*(VLOOKUP($B$5,标准坦克设计!$B$24:$U$30,MATCH("对"&amp;LEFT($C$5,2)&amp;"输出",标准坦克设计!$B$23:$U$23,0)))*(VLOOKUP($B83,INDIRECT($B$5&amp;"生成成长"),3))*(VLOOKUP($B$5,标准坦克设计!$B$14:$K$20,9)/30))</f>
        <v>35.281007893405231</v>
      </c>
      <c r="AQ83" s="172">
        <f ca="1">(VLOOKUP(AQ$72,INDIRECT($C$5&amp;"生成成长"),2))/((VLOOKUP($B83,INDIRECT($B$5&amp;"生成成长"),4))/(VLOOKUP(AQ$72,INDIRECT($C$5&amp;"生成成长"),5))*(VLOOKUP($B$5,标准坦克设计!$B$24:$U$30,MATCH("对"&amp;LEFT($C$5,2)&amp;"输出",标准坦克设计!$B$23:$U$23,0)))*(VLOOKUP($B83,INDIRECT($B$5&amp;"生成成长"),3))*(VLOOKUP($B$5,标准坦克设计!$B$14:$K$20,9)/30))</f>
        <v>37.788101737259105</v>
      </c>
      <c r="AR83" s="172">
        <f ca="1">(VLOOKUP(AR$72,INDIRECT($C$5&amp;"生成成长"),2))/((VLOOKUP($B83,INDIRECT($B$5&amp;"生成成长"),4))/(VLOOKUP(AR$72,INDIRECT($C$5&amp;"生成成长"),5))*(VLOOKUP($B$5,标准坦克设计!$B$24:$U$30,MATCH("对"&amp;LEFT($C$5,2)&amp;"输出",标准坦克设计!$B$23:$U$23,0)))*(VLOOKUP($B83,INDIRECT($B$5&amp;"生成成长"),3))*(VLOOKUP($B$5,标准坦克设计!$B$14:$K$20,9)/30))</f>
        <v>40.381242483710146</v>
      </c>
      <c r="AS83" s="172">
        <f ca="1">(VLOOKUP(AS$72,INDIRECT($C$5&amp;"生成成长"),2))/((VLOOKUP($B83,INDIRECT($B$5&amp;"生成成长"),4))/(VLOOKUP(AS$72,INDIRECT($C$5&amp;"生成成长"),5))*(VLOOKUP($B$5,标准坦克设计!$B$24:$U$30,MATCH("对"&amp;LEFT($C$5,2)&amp;"输出",标准坦克设计!$B$23:$U$23,0)))*(VLOOKUP($B83,INDIRECT($B$5&amp;"生成成长"),3))*(VLOOKUP($B$5,标准坦克设计!$B$14:$K$20,9)/30))</f>
        <v>43.060430132758356</v>
      </c>
      <c r="AT83" s="172">
        <f ca="1">(VLOOKUP(AT$72,INDIRECT($C$5&amp;"生成成长"),2))/((VLOOKUP($B83,INDIRECT($B$5&amp;"生成成长"),4))/(VLOOKUP(AT$72,INDIRECT($C$5&amp;"生成成长"),5))*(VLOOKUP($B$5,标准坦克设计!$B$24:$U$30,MATCH("对"&amp;LEFT($C$5,2)&amp;"输出",标准坦克设计!$B$23:$U$23,0)))*(VLOOKUP($B83,INDIRECT($B$5&amp;"生成成长"),3))*(VLOOKUP($B$5,标准坦克设计!$B$14:$K$20,9)/30))</f>
        <v>45.825664684403726</v>
      </c>
      <c r="AU83" s="172">
        <f ca="1">(VLOOKUP(AU$72,INDIRECT($C$5&amp;"生成成长"),2))/((VLOOKUP($B83,INDIRECT($B$5&amp;"生成成长"),4))/(VLOOKUP(AU$72,INDIRECT($C$5&amp;"生成成长"),5))*(VLOOKUP($B$5,标准坦克设计!$B$24:$U$30,MATCH("对"&amp;LEFT($C$5,2)&amp;"输出",标准坦克设计!$B$23:$U$23,0)))*(VLOOKUP($B83,INDIRECT($B$5&amp;"生成成长"),3))*(VLOOKUP($B$5,标准坦克设计!$B$14:$K$20,9)/30))</f>
        <v>48.676946138646272</v>
      </c>
      <c r="AV83" s="172">
        <f ca="1">(VLOOKUP(AV$72,INDIRECT($C$5&amp;"生成成长"),2))/((VLOOKUP($B83,INDIRECT($B$5&amp;"生成成长"),4))/(VLOOKUP(AV$72,INDIRECT($C$5&amp;"生成成长"),5))*(VLOOKUP($B$5,标准坦克设计!$B$24:$U$30,MATCH("对"&amp;LEFT($C$5,2)&amp;"输出",标准坦克设计!$B$23:$U$23,0)))*(VLOOKUP($B83,INDIRECT($B$5&amp;"生成成长"),3))*(VLOOKUP($B$5,标准坦克设计!$B$14:$K$20,9)/30))</f>
        <v>4.950896990756104</v>
      </c>
      <c r="AW83" s="172">
        <f ca="1">(VLOOKUP(AW$72,INDIRECT($C$5&amp;"生成成长"),2))/((VLOOKUP($B83,INDIRECT($B$5&amp;"生成成长"),4))/(VLOOKUP(AW$72,INDIRECT($C$5&amp;"生成成长"),5))*(VLOOKUP($B$5,标准坦克设计!$B$24:$U$30,MATCH("对"&amp;LEFT($C$5,2)&amp;"输出",标准坦克设计!$B$23:$U$23,0)))*(VLOOKUP($B83,INDIRECT($B$5&amp;"生成成长"),3))*(VLOOKUP($B$5,标准坦克设计!$B$14:$K$20,9)/30))</f>
        <v>5.6449612629448369</v>
      </c>
      <c r="AX83" s="172">
        <f ca="1">(VLOOKUP(AX$72,INDIRECT($C$5&amp;"生成成长"),2))/((VLOOKUP($B83,INDIRECT($B$5&amp;"生成成长"),4))/(VLOOKUP(AX$72,INDIRECT($C$5&amp;"生成成长"),5))*(VLOOKUP($B$5,标准坦克设计!$B$24:$U$30,MATCH("对"&amp;LEFT($C$5,2)&amp;"输出",标准坦克设计!$B$23:$U$23,0)))*(VLOOKUP($B83,INDIRECT($B$5&amp;"生成成长"),3))*(VLOOKUP($B$5,标准坦克设计!$B$14:$K$20,9)/30))</f>
        <v>6.3845379464246337</v>
      </c>
      <c r="AY83" s="172">
        <f ca="1">(VLOOKUP(AY$72,INDIRECT($C$5&amp;"生成成长"),2))/((VLOOKUP($B83,INDIRECT($B$5&amp;"生成成长"),4))/(VLOOKUP(AY$72,INDIRECT($C$5&amp;"生成成长"),5))*(VLOOKUP($B$5,标准坦克设计!$B$24:$U$30,MATCH("对"&amp;LEFT($C$5,2)&amp;"输出",标准坦克设计!$B$23:$U$23,0)))*(VLOOKUP($B83,INDIRECT($B$5&amp;"生成成长"),3))*(VLOOKUP($B$5,标准坦克设计!$B$14:$K$20,9)/30))</f>
        <v>7.1696270411954952</v>
      </c>
      <c r="AZ83" s="172">
        <f ca="1">(VLOOKUP(AZ$72,INDIRECT($C$5&amp;"生成成长"),2))/((VLOOKUP($B83,INDIRECT($B$5&amp;"生成成长"),4))/(VLOOKUP(AZ$72,INDIRECT($C$5&amp;"生成成长"),5))*(VLOOKUP($B$5,标准坦克设计!$B$24:$U$30,MATCH("对"&amp;LEFT($C$5,2)&amp;"输出",标准坦克设计!$B$23:$U$23,0)))*(VLOOKUP($B83,INDIRECT($B$5&amp;"生成成长"),3))*(VLOOKUP($B$5,标准坦克设计!$B$14:$K$20,9)/30))</f>
        <v>8.0002285472574215</v>
      </c>
      <c r="BA83" s="172">
        <f ca="1">(VLOOKUP(BA$72,INDIRECT($C$5&amp;"生成成长"),2))/((VLOOKUP($B83,INDIRECT($B$5&amp;"生成成长"),4))/(VLOOKUP(BA$72,INDIRECT($C$5&amp;"生成成长"),5))*(VLOOKUP($B$5,标准坦克设计!$B$24:$U$30,MATCH("对"&amp;LEFT($C$5,2)&amp;"输出",标准坦克设计!$B$23:$U$23,0)))*(VLOOKUP($B83,INDIRECT($B$5&amp;"生成成长"),3))*(VLOOKUP($B$5,标准坦克设计!$B$14:$K$20,9)/30))</f>
        <v>8.8763424646104117</v>
      </c>
      <c r="BB83" s="172">
        <f ca="1">(VLOOKUP(BB$72,INDIRECT($C$5&amp;"生成成长"),2))/((VLOOKUP($B83,INDIRECT($B$5&amp;"生成成长"),4))/(VLOOKUP(BB$72,INDIRECT($C$5&amp;"生成成长"),5))*(VLOOKUP($B$5,标准坦克设计!$B$24:$U$30,MATCH("对"&amp;LEFT($C$5,2)&amp;"输出",标准坦克设计!$B$23:$U$23,0)))*(VLOOKUP($B83,INDIRECT($B$5&amp;"生成成长"),3))*(VLOOKUP($B$5,标准坦克设计!$B$14:$K$20,9)/30))</f>
        <v>9.7979687932544675</v>
      </c>
      <c r="BC83" s="172">
        <f ca="1">(VLOOKUP(BC$72,INDIRECT($C$5&amp;"生成成长"),2))/((VLOOKUP($B83,INDIRECT($B$5&amp;"生成成长"),4))/(VLOOKUP(BC$72,INDIRECT($C$5&amp;"生成成长"),5))*(VLOOKUP($B$5,标准坦克设计!$B$24:$U$30,MATCH("对"&amp;LEFT($C$5,2)&amp;"输出",标准坦克设计!$B$23:$U$23,0)))*(VLOOKUP($B83,INDIRECT($B$5&amp;"生成成长"),3))*(VLOOKUP($B$5,标准坦克设计!$B$14:$K$20,9)/30))</f>
        <v>10.765107533189589</v>
      </c>
      <c r="BD83" s="172">
        <f ca="1">(VLOOKUP(BD$72,INDIRECT($C$5&amp;"生成成长"),2))/((VLOOKUP($B83,INDIRECT($B$5&amp;"生成成长"),4))/(VLOOKUP(BD$72,INDIRECT($C$5&amp;"生成成长"),5))*(VLOOKUP($B$5,标准坦克设计!$B$24:$U$30,MATCH("对"&amp;LEFT($C$5,2)&amp;"输出",标准坦克设计!$B$23:$U$23,0)))*(VLOOKUP($B83,INDIRECT($B$5&amp;"生成成长"),3))*(VLOOKUP($B$5,标准坦克设计!$B$14:$K$20,9)/30))</f>
        <v>11.907540169737949</v>
      </c>
      <c r="BE83" s="172">
        <f ca="1">(VLOOKUP(BE$72,INDIRECT($C$5&amp;"生成成长"),2))/((VLOOKUP($B83,INDIRECT($B$5&amp;"生成成长"),4))/(VLOOKUP(BE$72,INDIRECT($C$5&amp;"生成成长"),5))*(VLOOKUP($B$5,标准坦克设计!$B$24:$U$30,MATCH("对"&amp;LEFT($C$5,2)&amp;"输出",标准坦克设计!$B$23:$U$23,0)))*(VLOOKUP($B83,INDIRECT($B$5&amp;"生成成长"),3))*(VLOOKUP($B$5,标准坦克设计!$B$14:$K$20,9)/30))</f>
        <v>13.107574451826563</v>
      </c>
      <c r="BF83" s="172">
        <f ca="1">(VLOOKUP(BF$72,INDIRECT($C$5&amp;"生成成长"),2))/((VLOOKUP($B83,INDIRECT($B$5&amp;"生成成长"),4))/(VLOOKUP(BF$72,INDIRECT($C$5&amp;"生成成长"),5))*(VLOOKUP($B$5,标准坦克设计!$B$24:$U$30,MATCH("对"&amp;LEFT($C$5,2)&amp;"输出",标准坦克设计!$B$23:$U$23,0)))*(VLOOKUP($B83,INDIRECT($B$5&amp;"生成成长"),3))*(VLOOKUP($B$5,标准坦克设计!$B$14:$K$20,9)/30))</f>
        <v>14.365210379455426</v>
      </c>
      <c r="BG83" s="172">
        <f ca="1">(VLOOKUP(BG$72,INDIRECT($C$5&amp;"生成成长"),2))/((VLOOKUP($B83,INDIRECT($B$5&amp;"生成成长"),4))/(VLOOKUP(BG$72,INDIRECT($C$5&amp;"生成成长"),5))*(VLOOKUP($B$5,标准坦克设计!$B$24:$U$30,MATCH("对"&amp;LEFT($C$5,2)&amp;"输出",标准坦克设计!$B$23:$U$23,0)))*(VLOOKUP($B83,INDIRECT($B$5&amp;"生成成长"),3))*(VLOOKUP($B$5,标准坦克设计!$B$14:$K$20,9)/30))</f>
        <v>15.680447952624547</v>
      </c>
      <c r="BH83" s="172">
        <f ca="1">(VLOOKUP(BH$72,INDIRECT($C$5&amp;"生成成长"),2))/((VLOOKUP($B83,INDIRECT($B$5&amp;"生成成长"),4))/(VLOOKUP(BH$72,INDIRECT($C$5&amp;"生成成长"),5))*(VLOOKUP($B$5,标准坦克设计!$B$24:$U$30,MATCH("对"&amp;LEFT($C$5,2)&amp;"输出",标准坦克设计!$B$23:$U$23,0)))*(VLOOKUP($B83,INDIRECT($B$5&amp;"生成成长"),3))*(VLOOKUP($B$5,标准坦克设计!$B$14:$K$20,9)/30))</f>
        <v>7.5792387428150754</v>
      </c>
      <c r="BI83" s="172">
        <f ca="1">(VLOOKUP(BI$72,INDIRECT($C$5&amp;"生成成长"),2))/((VLOOKUP($B83,INDIRECT($B$5&amp;"生成成长"),4))/(VLOOKUP(BI$72,INDIRECT($C$5&amp;"生成成长"),5))*(VLOOKUP($B$5,标准坦克设计!$B$24:$U$30,MATCH("对"&amp;LEFT($C$5,2)&amp;"输出",标准坦克设计!$B$23:$U$23,0)))*(VLOOKUP($B83,INDIRECT($B$5&amp;"生成成长"),3))*(VLOOKUP($B$5,标准坦克设计!$B$14:$K$20,9)/30))</f>
        <v>8.5424662599048702</v>
      </c>
      <c r="BJ83" s="172">
        <f ca="1">(VLOOKUP(BJ$72,INDIRECT($C$5&amp;"生成成长"),2))/((VLOOKUP($B83,INDIRECT($B$5&amp;"生成成长"),4))/(VLOOKUP(BJ$72,INDIRECT($C$5&amp;"生成成长"),5))*(VLOOKUP($B$5,标准坦克设计!$B$24:$U$30,MATCH("对"&amp;LEFT($C$5,2)&amp;"输出",标准坦克设计!$B$23:$U$23,0)))*(VLOOKUP($B83,INDIRECT($B$5&amp;"生成成长"),3))*(VLOOKUP($B$5,标准坦克设计!$B$14:$K$20,9)/30))</f>
        <v>9.5632954225349174</v>
      </c>
      <c r="BK83" s="172">
        <f ca="1">(VLOOKUP(BK$72,INDIRECT($C$5&amp;"生成成长"),2))/((VLOOKUP($B83,INDIRECT($B$5&amp;"生成成长"),4))/(VLOOKUP(BK$72,INDIRECT($C$5&amp;"生成成长"),5))*(VLOOKUP($B$5,标准坦克设计!$B$24:$U$30,MATCH("对"&amp;LEFT($C$5,2)&amp;"输出",标准坦克设计!$B$23:$U$23,0)))*(VLOOKUP($B83,INDIRECT($B$5&amp;"生成成长"),3))*(VLOOKUP($B$5,标准坦克设计!$B$14:$K$20,9)/30))</f>
        <v>10.641726230705221</v>
      </c>
      <c r="BL83" s="172">
        <f ca="1">(VLOOKUP(BL$72,INDIRECT($C$5&amp;"生成成长"),2))/((VLOOKUP($B83,INDIRECT($B$5&amp;"生成成长"),4))/(VLOOKUP(BL$72,INDIRECT($C$5&amp;"生成成长"),5))*(VLOOKUP($B$5,标准坦克设计!$B$24:$U$30,MATCH("对"&amp;LEFT($C$5,2)&amp;"输出",标准坦克设计!$B$23:$U$23,0)))*(VLOOKUP($B83,INDIRECT($B$5&amp;"生成成长"),3))*(VLOOKUP($B$5,标准坦克设计!$B$14:$K$20,9)/30))</f>
        <v>11.777758684415771</v>
      </c>
      <c r="BM83" s="172">
        <f ca="1">(VLOOKUP(BM$72,INDIRECT($C$5&amp;"生成成长"),2))/((VLOOKUP($B83,INDIRECT($B$5&amp;"生成成长"),4))/(VLOOKUP(BM$72,INDIRECT($C$5&amp;"生成成长"),5))*(VLOOKUP($B$5,标准坦克设计!$B$24:$U$30,MATCH("对"&amp;LEFT($C$5,2)&amp;"输出",标准坦克设计!$B$23:$U$23,0)))*(VLOOKUP($B83,INDIRECT($B$5&amp;"生成成长"),3))*(VLOOKUP($B$5,标准坦克设计!$B$14:$K$20,9)/30))</f>
        <v>12.971392783666579</v>
      </c>
      <c r="BN83" s="172">
        <f ca="1">(VLOOKUP(BN$72,INDIRECT($C$5&amp;"生成成长"),2))/((VLOOKUP($B83,INDIRECT($B$5&amp;"生成成长"),4))/(VLOOKUP(BN$72,INDIRECT($C$5&amp;"生成成长"),5))*(VLOOKUP($B$5,标准坦克设计!$B$24:$U$30,MATCH("对"&amp;LEFT($C$5,2)&amp;"输出",标准坦克设计!$B$23:$U$23,0)))*(VLOOKUP($B83,INDIRECT($B$5&amp;"生成成长"),3))*(VLOOKUP($B$5,标准坦克设计!$B$14:$K$20,9)/30))</f>
        <v>14.222628528457641</v>
      </c>
      <c r="BO83" s="172">
        <f ca="1">(VLOOKUP(BO$72,INDIRECT($C$5&amp;"生成成长"),2))/((VLOOKUP($B83,INDIRECT($B$5&amp;"生成成长"),4))/(VLOOKUP(BO$72,INDIRECT($C$5&amp;"生成成长"),5))*(VLOOKUP($B$5,标准坦克设计!$B$24:$U$30,MATCH("对"&amp;LEFT($C$5,2)&amp;"输出",标准坦克设计!$B$23:$U$23,0)))*(VLOOKUP($B83,INDIRECT($B$5&amp;"生成成长"),3))*(VLOOKUP($B$5,标准坦克设计!$B$14:$K$20,9)/30))</f>
        <v>15.531465918788955</v>
      </c>
      <c r="BP83" s="172">
        <f ca="1">(VLOOKUP(BP$72,INDIRECT($C$5&amp;"生成成长"),2))/((VLOOKUP($B83,INDIRECT($B$5&amp;"生成成长"),4))/(VLOOKUP(BP$72,INDIRECT($C$5&amp;"生成成长"),5))*(VLOOKUP($B$5,标准坦克设计!$B$24:$U$30,MATCH("对"&amp;LEFT($C$5,2)&amp;"输出",标准坦克设计!$B$23:$U$23,0)))*(VLOOKUP($B83,INDIRECT($B$5&amp;"生成成长"),3))*(VLOOKUP($B$5,标准坦克设计!$B$14:$K$20,9)/30))</f>
        <v>16.897904954660522</v>
      </c>
      <c r="BQ83" s="172">
        <f ca="1">(VLOOKUP(BQ$72,INDIRECT($C$5&amp;"生成成长"),2))/((VLOOKUP($B83,INDIRECT($B$5&amp;"生成成长"),4))/(VLOOKUP(BQ$72,INDIRECT($C$5&amp;"生成成长"),5))*(VLOOKUP($B$5,标准坦克设计!$B$24:$U$30,MATCH("对"&amp;LEFT($C$5,2)&amp;"输出",标准坦克设计!$B$23:$U$23,0)))*(VLOOKUP($B83,INDIRECT($B$5&amp;"生成成长"),3))*(VLOOKUP($B$5,标准坦克设计!$B$14:$K$20,9)/30))</f>
        <v>18.321945636072343</v>
      </c>
      <c r="BR83" s="172">
        <f ca="1">(VLOOKUP(BR$72,INDIRECT($C$5&amp;"生成成长"),2))/((VLOOKUP($B83,INDIRECT($B$5&amp;"生成成长"),4))/(VLOOKUP(BR$72,INDIRECT($C$5&amp;"生成成长"),5))*(VLOOKUP($B$5,标准坦克设计!$B$24:$U$30,MATCH("对"&amp;LEFT($C$5,2)&amp;"输出",标准坦克设计!$B$23:$U$23,0)))*(VLOOKUP($B83,INDIRECT($B$5&amp;"生成成长"),3))*(VLOOKUP($B$5,标准坦克设计!$B$14:$K$20,9)/30))</f>
        <v>19.971770545373431</v>
      </c>
      <c r="BS83" s="172">
        <f ca="1">(VLOOKUP(BS$72,INDIRECT($C$5&amp;"生成成长"),2))/((VLOOKUP($B83,INDIRECT($B$5&amp;"生成成长"),4))/(VLOOKUP(BS$72,INDIRECT($C$5&amp;"生成成长"),5))*(VLOOKUP($B$5,标准坦克设计!$B$24:$U$30,MATCH("对"&amp;LEFT($C$5,2)&amp;"输出",标准坦克设计!$B$23:$U$23,0)))*(VLOOKUP($B83,INDIRECT($B$5&amp;"生成成长"),3))*(VLOOKUP($B$5,标准坦克设计!$B$14:$K$20,9)/30))</f>
        <v>21.692708597316805</v>
      </c>
      <c r="BT83" s="172">
        <f ca="1">(VLOOKUP(BT$72,INDIRECT($C$5&amp;"生成成长"),2))/((VLOOKUP($B83,INDIRECT($B$5&amp;"生成成长"),4))/(VLOOKUP(BT$72,INDIRECT($C$5&amp;"生成成长"),5))*(VLOOKUP($B$5,标准坦克设计!$B$24:$U$30,MATCH("对"&amp;LEFT($C$5,2)&amp;"输出",标准坦克设计!$B$23:$U$23,0)))*(VLOOKUP($B83,INDIRECT($B$5&amp;"生成成长"),3))*(VLOOKUP($B$5,标准坦克设计!$B$14:$K$20,9)/30))</f>
        <v>23.484759791902469</v>
      </c>
      <c r="BU83" s="172">
        <f ca="1">(VLOOKUP(BU$72,INDIRECT($C$5&amp;"生成成长"),2))/((VLOOKUP($B83,INDIRECT($B$5&amp;"生成成长"),4))/(VLOOKUP(BU$72,INDIRECT($C$5&amp;"生成成长"),5))*(VLOOKUP($B$5,标准坦克设计!$B$24:$U$30,MATCH("对"&amp;LEFT($C$5,2)&amp;"输出",标准坦克设计!$B$23:$U$23,0)))*(VLOOKUP($B83,INDIRECT($B$5&amp;"生成成长"),3))*(VLOOKUP($B$5,标准坦克设计!$B$14:$K$20,9)/30))</f>
        <v>25.347924129130416</v>
      </c>
      <c r="BV83" s="172">
        <f ca="1">(VLOOKUP(BV$72,INDIRECT($C$5&amp;"生成成长"),2))/((VLOOKUP($B83,INDIRECT($B$5&amp;"生成成长"),4))/(VLOOKUP(BV$72,INDIRECT($C$5&amp;"生成成长"),5))*(VLOOKUP($B$5,标准坦克设计!$B$24:$U$30,MATCH("对"&amp;LEFT($C$5,2)&amp;"输出",标准坦克设计!$B$23:$U$23,0)))*(VLOOKUP($B83,INDIRECT($B$5&amp;"生成成长"),3))*(VLOOKUP($B$5,标准坦克设计!$B$14:$K$20,9)/30))</f>
        <v>27.282201609000658</v>
      </c>
      <c r="BW83" s="172">
        <f ca="1">(VLOOKUP(BW$72,INDIRECT($C$5&amp;"生成成长"),2))/((VLOOKUP($B83,INDIRECT($B$5&amp;"生成成长"),4))/(VLOOKUP(BW$72,INDIRECT($C$5&amp;"生成成长"),5))*(VLOOKUP($B$5,标准坦克设计!$B$24:$U$30,MATCH("对"&amp;LEFT($C$5,2)&amp;"输出",标准坦克设计!$B$23:$U$23,0)))*(VLOOKUP($B83,INDIRECT($B$5&amp;"生成成长"),3))*(VLOOKUP($B$5,标准坦克设计!$B$14:$K$20,9)/30))</f>
        <v>12.433777425290883</v>
      </c>
      <c r="BX83" s="172">
        <f ca="1">(VLOOKUP(BX$72,INDIRECT($C$5&amp;"生成成长"),2))/((VLOOKUP($B83,INDIRECT($B$5&amp;"生成成长"),4))/(VLOOKUP(BX$72,INDIRECT($C$5&amp;"生成成长"),5))*(VLOOKUP($B$5,标准坦克设计!$B$24:$U$30,MATCH("对"&amp;LEFT($C$5,2)&amp;"输出",标准坦克设计!$B$23:$U$23,0)))*(VLOOKUP($B83,INDIRECT($B$5&amp;"生成成长"),3))*(VLOOKUP($B$5,标准坦克设计!$B$14:$K$20,9)/30))</f>
        <v>13.799149764022815</v>
      </c>
      <c r="BY83" s="172">
        <f ca="1">(VLOOKUP(BY$72,INDIRECT($C$5&amp;"生成成长"),2))/((VLOOKUP($B83,INDIRECT($B$5&amp;"生成成长"),4))/(VLOOKUP(BY$72,INDIRECT($C$5&amp;"生成成长"),5))*(VLOOKUP($B$5,标准坦克设计!$B$24:$U$30,MATCH("对"&amp;LEFT($C$5,2)&amp;"输出",标准坦克设计!$B$23:$U$23,0)))*(VLOOKUP($B83,INDIRECT($B$5&amp;"生成成长"),3))*(VLOOKUP($B$5,标准坦克设计!$B$14:$K$20,9)/30))</f>
        <v>15.235635245397036</v>
      </c>
      <c r="BZ83" s="172">
        <f ca="1">(VLOOKUP(BZ$72,INDIRECT($C$5&amp;"生成成长"),2))/((VLOOKUP($B83,INDIRECT($B$5&amp;"生成成长"),4))/(VLOOKUP(BZ$72,INDIRECT($C$5&amp;"生成成长"),5))*(VLOOKUP($B$5,标准坦克设计!$B$24:$U$30,MATCH("对"&amp;LEFT($C$5,2)&amp;"输出",标准坦克设计!$B$23:$U$23,0)))*(VLOOKUP($B83,INDIRECT($B$5&amp;"生成成长"),3))*(VLOOKUP($B$5,标准坦克设计!$B$14:$K$20,9)/30))</f>
        <v>16.743233869413547</v>
      </c>
      <c r="CA83" s="172">
        <f ca="1">(VLOOKUP(CA$72,INDIRECT($C$5&amp;"生成成长"),2))/((VLOOKUP($B83,INDIRECT($B$5&amp;"生成成长"),4))/(VLOOKUP(CA$72,INDIRECT($C$5&amp;"生成成长"),5))*(VLOOKUP($B$5,标准坦克设计!$B$24:$U$30,MATCH("对"&amp;LEFT($C$5,2)&amp;"输出",标准坦克设计!$B$23:$U$23,0)))*(VLOOKUP($B83,INDIRECT($B$5&amp;"生成成长"),3))*(VLOOKUP($B$5,标准坦克设计!$B$14:$K$20,9)/30))</f>
        <v>18.321945636072343</v>
      </c>
      <c r="CB83" s="172">
        <f ca="1">(VLOOKUP(CB$72,INDIRECT($C$5&amp;"生成成长"),2))/((VLOOKUP($B83,INDIRECT($B$5&amp;"生成成长"),4))/(VLOOKUP(CB$72,INDIRECT($C$5&amp;"生成成长"),5))*(VLOOKUP($B$5,标准坦克设计!$B$24:$U$30,MATCH("对"&amp;LEFT($C$5,2)&amp;"输出",标准坦克设计!$B$23:$U$23,0)))*(VLOOKUP($B83,INDIRECT($B$5&amp;"生成成长"),3))*(VLOOKUP($B$5,标准坦克设计!$B$14:$K$20,9)/30))</f>
        <v>19.971770545373431</v>
      </c>
      <c r="CC83" s="172">
        <f ca="1">(VLOOKUP(CC$72,INDIRECT($C$5&amp;"生成成长"),2))/((VLOOKUP($B83,INDIRECT($B$5&amp;"生成成长"),4))/(VLOOKUP(CC$72,INDIRECT($C$5&amp;"生成成长"),5))*(VLOOKUP($B$5,标准坦克设计!$B$24:$U$30,MATCH("对"&amp;LEFT($C$5,2)&amp;"输出",标准坦克设计!$B$23:$U$23,0)))*(VLOOKUP($B83,INDIRECT($B$5&amp;"生成成长"),3))*(VLOOKUP($B$5,标准坦克设计!$B$14:$K$20,9)/30))</f>
        <v>21.692708597316805</v>
      </c>
      <c r="CD83" s="172">
        <f ca="1">(VLOOKUP(CD$72,INDIRECT($C$5&amp;"生成成长"),2))/((VLOOKUP($B83,INDIRECT($B$5&amp;"生成成长"),4))/(VLOOKUP(CD$72,INDIRECT($C$5&amp;"生成成长"),5))*(VLOOKUP($B$5,标准坦克设计!$B$24:$U$30,MATCH("对"&amp;LEFT($C$5,2)&amp;"输出",标准坦克设计!$B$23:$U$23,0)))*(VLOOKUP($B83,INDIRECT($B$5&amp;"生成成长"),3))*(VLOOKUP($B$5,标准坦克设计!$B$14:$K$20,9)/30))</f>
        <v>23.484759791902469</v>
      </c>
      <c r="CE83" s="172">
        <f ca="1">(VLOOKUP(CE$72,INDIRECT($C$5&amp;"生成成长"),2))/((VLOOKUP($B83,INDIRECT($B$5&amp;"生成成长"),4))/(VLOOKUP(CE$72,INDIRECT($C$5&amp;"生成成长"),5))*(VLOOKUP($B$5,标准坦克设计!$B$24:$U$30,MATCH("对"&amp;LEFT($C$5,2)&amp;"输出",标准坦克设计!$B$23:$U$23,0)))*(VLOOKUP($B83,INDIRECT($B$5&amp;"生成成长"),3))*(VLOOKUP($B$5,标准坦克设计!$B$14:$K$20,9)/30))</f>
        <v>25.347924129130416</v>
      </c>
      <c r="CF83" s="172">
        <f ca="1">(VLOOKUP(CF$72,INDIRECT($C$5&amp;"生成成长"),2))/((VLOOKUP($B83,INDIRECT($B$5&amp;"生成成长"),4))/(VLOOKUP(CF$72,INDIRECT($C$5&amp;"生成成长"),5))*(VLOOKUP($B$5,标准坦克设计!$B$24:$U$30,MATCH("对"&amp;LEFT($C$5,2)&amp;"输出",标准坦克设计!$B$23:$U$23,0)))*(VLOOKUP($B83,INDIRECT($B$5&amp;"生成成长"),3))*(VLOOKUP($B$5,标准坦克设计!$B$14:$K$20,9)/30))</f>
        <v>27.282201609000658</v>
      </c>
      <c r="CG83" s="172">
        <f ca="1">(VLOOKUP(CG$72,INDIRECT($C$5&amp;"生成成长"),2))/((VLOOKUP($B83,INDIRECT($B$5&amp;"生成成长"),4))/(VLOOKUP(CG$72,INDIRECT($C$5&amp;"生成成长"),5))*(VLOOKUP($B$5,标准坦克设计!$B$24:$U$30,MATCH("对"&amp;LEFT($C$5,2)&amp;"输出",标准坦克设计!$B$23:$U$23,0)))*(VLOOKUP($B83,INDIRECT($B$5&amp;"生成成长"),3))*(VLOOKUP($B$5,标准坦克设计!$B$14:$K$20,9)/30))</f>
        <v>29.287592231513187</v>
      </c>
      <c r="CH83" s="172">
        <f ca="1">(VLOOKUP(CH$72,INDIRECT($C$5&amp;"生成成长"),2))/((VLOOKUP($B83,INDIRECT($B$5&amp;"生成成长"),4))/(VLOOKUP(CH$72,INDIRECT($C$5&amp;"生成成长"),5))*(VLOOKUP($B$5,标准坦克设计!$B$24:$U$30,MATCH("对"&amp;LEFT($C$5,2)&amp;"输出",标准坦克设计!$B$23:$U$23,0)))*(VLOOKUP($B83,INDIRECT($B$5&amp;"生成成长"),3))*(VLOOKUP($B$5,标准坦克设计!$B$14:$K$20,9)/30))</f>
        <v>31.364095996667992</v>
      </c>
      <c r="CI83" s="172">
        <f ca="1">(VLOOKUP(CI$72,INDIRECT($C$5&amp;"生成成长"),2))/((VLOOKUP($B83,INDIRECT($B$5&amp;"生成成长"),4))/(VLOOKUP(CI$72,INDIRECT($C$5&amp;"生成成长"),5))*(VLOOKUP($B$5,标准坦克设计!$B$24:$U$30,MATCH("对"&amp;LEFT($C$5,2)&amp;"输出",标准坦克设计!$B$23:$U$23,0)))*(VLOOKUP($B83,INDIRECT($B$5&amp;"生成成长"),3))*(VLOOKUP($B$5,标准坦克设计!$B$14:$K$20,9)/30))</f>
        <v>33.730385818090134</v>
      </c>
      <c r="CJ83" s="172">
        <f ca="1">(VLOOKUP(CJ$72,INDIRECT($C$5&amp;"生成成长"),2))/((VLOOKUP($B83,INDIRECT($B$5&amp;"生成成长"),4))/(VLOOKUP(CJ$72,INDIRECT($C$5&amp;"生成成长"),5))*(VLOOKUP($B$5,标准坦克设计!$B$24:$U$30,MATCH("对"&amp;LEFT($C$5,2)&amp;"输出",标准坦克设计!$B$23:$U$23,0)))*(VLOOKUP($B83,INDIRECT($B$5&amp;"生成成长"),3))*(VLOOKUP($B$5,标准坦克设计!$B$14:$K$20,9)/30))</f>
        <v>36.182722542109445</v>
      </c>
      <c r="CK83" s="172">
        <f ca="1">(VLOOKUP(CK$72,INDIRECT($C$5&amp;"生成成长"),2))/((VLOOKUP($B83,INDIRECT($B$5&amp;"生成成长"),4))/(VLOOKUP(CK$72,INDIRECT($C$5&amp;"生成成长"),5))*(VLOOKUP($B$5,标准坦克设计!$B$24:$U$30,MATCH("对"&amp;LEFT($C$5,2)&amp;"输出",标准坦克设计!$B$23:$U$23,0)))*(VLOOKUP($B83,INDIRECT($B$5&amp;"生成成长"),3))*(VLOOKUP($B$5,标准坦克设计!$B$14:$K$20,9)/30))</f>
        <v>38.721106168725932</v>
      </c>
      <c r="CL83" s="172">
        <f ca="1">(VLOOKUP(CL$72,INDIRECT($C$5&amp;"生成成长"),2))/((VLOOKUP($B83,INDIRECT($B$5&amp;"生成成长"),4))/(VLOOKUP(CL$72,INDIRECT($C$5&amp;"生成成长"),5))*(VLOOKUP($B$5,标准坦克设计!$B$24:$U$30,MATCH("对"&amp;LEFT($C$5,2)&amp;"输出",标准坦克设计!$B$23:$U$23,0)))*(VLOOKUP($B83,INDIRECT($B$5&amp;"生成成长"),3))*(VLOOKUP($B$5,标准坦克设计!$B$14:$K$20,9)/30))</f>
        <v>41.345536697939572</v>
      </c>
      <c r="CM83" s="172">
        <f ca="1">(VLOOKUP(CM$72,INDIRECT($C$5&amp;"生成成长"),2))/((VLOOKUP($B83,INDIRECT($B$5&amp;"生成成长"),4))/(VLOOKUP(CM$72,INDIRECT($C$5&amp;"生成成长"),5))*(VLOOKUP($B$5,标准坦克设计!$B$24:$U$30,MATCH("对"&amp;LEFT($C$5,2)&amp;"输出",标准坦克设计!$B$23:$U$23,0)))*(VLOOKUP($B83,INDIRECT($B$5&amp;"生成成长"),3))*(VLOOKUP($B$5,标准坦克设计!$B$14:$K$20,9)/30))</f>
        <v>44.05601412975038</v>
      </c>
      <c r="CN83" s="172">
        <f ca="1">(VLOOKUP(CN$72,INDIRECT($C$5&amp;"生成成长"),2))/((VLOOKUP($B83,INDIRECT($B$5&amp;"生成成长"),4))/(VLOOKUP(CN$72,INDIRECT($C$5&amp;"生成成长"),5))*(VLOOKUP($B$5,标准坦克设计!$B$24:$U$30,MATCH("对"&amp;LEFT($C$5,2)&amp;"输出",标准坦克设计!$B$23:$U$23,0)))*(VLOOKUP($B83,INDIRECT($B$5&amp;"生成成长"),3))*(VLOOKUP($B$5,标准坦克设计!$B$14:$K$20,9)/30))</f>
        <v>46.852538464158371</v>
      </c>
      <c r="CO83" s="172">
        <f ca="1">(VLOOKUP(CO$72,INDIRECT($C$5&amp;"生成成长"),2))/((VLOOKUP($B83,INDIRECT($B$5&amp;"生成成长"),4))/(VLOOKUP(CO$72,INDIRECT($C$5&amp;"生成成长"),5))*(VLOOKUP($B$5,标准坦克设计!$B$24:$U$30,MATCH("对"&amp;LEFT($C$5,2)&amp;"输出",标准坦克设计!$B$23:$U$23,0)))*(VLOOKUP($B83,INDIRECT($B$5&amp;"生成成长"),3))*(VLOOKUP($B$5,标准坦克设计!$B$14:$K$20,9)/30))</f>
        <v>20.995799799422382</v>
      </c>
      <c r="CP83" s="172">
        <f ca="1">(VLOOKUP(CP$72,INDIRECT($C$5&amp;"生成成长"),2))/((VLOOKUP($B83,INDIRECT($B$5&amp;"生成成长"),4))/(VLOOKUP(CP$72,INDIRECT($C$5&amp;"生成成长"),5))*(VLOOKUP($B$5,标准坦克设计!$B$24:$U$30,MATCH("对"&amp;LEFT($C$5,2)&amp;"输出",标准坦克设计!$B$23:$U$23,0)))*(VLOOKUP($B83,INDIRECT($B$5&amp;"生成成长"),3))*(VLOOKUP($B$5,标准坦克设计!$B$14:$K$20,9)/30))</f>
        <v>22.939677553549323</v>
      </c>
      <c r="CQ83" s="172">
        <f ca="1">(VLOOKUP(CQ$72,INDIRECT($C$5&amp;"生成成长"),2))/((VLOOKUP($B83,INDIRECT($B$5&amp;"生成成长"),4))/(VLOOKUP(CQ$72,INDIRECT($C$5&amp;"生成成长"),5))*(VLOOKUP($B$5,标准坦克设计!$B$24:$U$30,MATCH("对"&amp;LEFT($C$5,2)&amp;"输出",标准坦克设计!$B$23:$U$23,0)))*(VLOOKUP($B83,INDIRECT($B$5&amp;"生成成长"),3))*(VLOOKUP($B$5,标准坦克设计!$B$14:$K$20,9)/30))</f>
        <v>24.969602210273447</v>
      </c>
      <c r="CR83" s="172">
        <f ca="1">(VLOOKUP(CR$72,INDIRECT($C$5&amp;"生成成长"),2))/((VLOOKUP($B83,INDIRECT($B$5&amp;"生成成长"),4))/(VLOOKUP(CR$72,INDIRECT($C$5&amp;"生成成长"),5))*(VLOOKUP($B$5,标准坦克设计!$B$24:$U$30,MATCH("对"&amp;LEFT($C$5,2)&amp;"输出",标准坦克设计!$B$23:$U$23,0)))*(VLOOKUP($B83,INDIRECT($B$5&amp;"生成成长"),3))*(VLOOKUP($B$5,标准坦克设计!$B$14:$K$20,9)/30))</f>
        <v>27.085573769594735</v>
      </c>
      <c r="CS83" s="172">
        <f ca="1">(VLOOKUP(CS$72,INDIRECT($C$5&amp;"生成成长"),2))/((VLOOKUP($B83,INDIRECT($B$5&amp;"生成成长"),4))/(VLOOKUP(CS$72,INDIRECT($C$5&amp;"生成成长"),5))*(VLOOKUP($B$5,标准坦克设计!$B$24:$U$30,MATCH("对"&amp;LEFT($C$5,2)&amp;"输出",标准坦克设计!$B$23:$U$23,0)))*(VLOOKUP($B83,INDIRECT($B$5&amp;"生成成长"),3))*(VLOOKUP($B$5,标准坦克设计!$B$14:$K$20,9)/30))</f>
        <v>29.287592231513187</v>
      </c>
      <c r="CT83" s="172">
        <f ca="1">(VLOOKUP(CT$72,INDIRECT($C$5&amp;"生成成长"),2))/((VLOOKUP($B83,INDIRECT($B$5&amp;"生成成长"),4))/(VLOOKUP(CT$72,INDIRECT($C$5&amp;"生成成长"),5))*(VLOOKUP($B$5,标准坦克设计!$B$24:$U$30,MATCH("对"&amp;LEFT($C$5,2)&amp;"输出",标准坦克设计!$B$23:$U$23,0)))*(VLOOKUP($B83,INDIRECT($B$5&amp;"生成成长"),3))*(VLOOKUP($B$5,标准坦克设计!$B$14:$K$20,9)/30))</f>
        <v>31.575657596028805</v>
      </c>
      <c r="CU83" s="172">
        <f ca="1">(VLOOKUP(CU$72,INDIRECT($C$5&amp;"生成成长"),2))/((VLOOKUP($B83,INDIRECT($B$5&amp;"生成成长"),4))/(VLOOKUP(CU$72,INDIRECT($C$5&amp;"生成成长"),5))*(VLOOKUP($B$5,标准坦克设计!$B$24:$U$30,MATCH("对"&amp;LEFT($C$5,2)&amp;"输出",标准坦克设计!$B$23:$U$23,0)))*(VLOOKUP($B83,INDIRECT($B$5&amp;"生成成长"),3))*(VLOOKUP($B$5,标准坦克设计!$B$14:$K$20,9)/30))</f>
        <v>33.949769863141597</v>
      </c>
      <c r="CV83" s="172">
        <f ca="1">(VLOOKUP(CV$72,INDIRECT($C$5&amp;"生成成长"),2))/((VLOOKUP($B83,INDIRECT($B$5&amp;"生成成长"),4))/(VLOOKUP(CV$72,INDIRECT($C$5&amp;"生成成长"),5))*(VLOOKUP($B$5,标准坦克设计!$B$24:$U$30,MATCH("对"&amp;LEFT($C$5,2)&amp;"输出",标准坦克设计!$B$23:$U$23,0)))*(VLOOKUP($B83,INDIRECT($B$5&amp;"生成成长"),3))*(VLOOKUP($B$5,标准坦克设计!$B$14:$K$20,9)/30))</f>
        <v>36.409929032851558</v>
      </c>
      <c r="CW83" s="172">
        <f ca="1">(VLOOKUP(CW$72,INDIRECT($C$5&amp;"生成成长"),2))/((VLOOKUP($B83,INDIRECT($B$5&amp;"生成成长"),4))/(VLOOKUP(CW$72,INDIRECT($C$5&amp;"生成成长"),5))*(VLOOKUP($B$5,标准坦克设计!$B$24:$U$30,MATCH("对"&amp;LEFT($C$5,2)&amp;"输出",标准坦克设计!$B$23:$U$23,0)))*(VLOOKUP($B83,INDIRECT($B$5&amp;"生成成长"),3))*(VLOOKUP($B$5,标准坦克设计!$B$14:$K$20,9)/30))</f>
        <v>38.956135105158694</v>
      </c>
      <c r="CX83" s="172">
        <f ca="1">(VLOOKUP(CX$72,INDIRECT($C$5&amp;"生成成长"),2))/((VLOOKUP($B83,INDIRECT($B$5&amp;"生成成长"),4))/(VLOOKUP(CX$72,INDIRECT($C$5&amp;"生成成长"),5))*(VLOOKUP($B$5,标准坦克设计!$B$24:$U$30,MATCH("对"&amp;LEFT($C$5,2)&amp;"输出",标准坦克设计!$B$23:$U$23,0)))*(VLOOKUP($B83,INDIRECT($B$5&amp;"生成成长"),3))*(VLOOKUP($B$5,标准坦克设计!$B$14:$K$20,9)/30))</f>
        <v>41.588388080062984</v>
      </c>
      <c r="CY83" s="172">
        <f ca="1">(VLOOKUP(CY$72,INDIRECT($C$5&amp;"生成成长"),2))/((VLOOKUP($B83,INDIRECT($B$5&amp;"生成成长"),4))/(VLOOKUP(CY$72,INDIRECT($C$5&amp;"生成成长"),5))*(VLOOKUP($B$5,标准坦克设计!$B$24:$U$30,MATCH("对"&amp;LEFT($C$5,2)&amp;"输出",标准坦克设计!$B$23:$U$23,0)))*(VLOOKUP($B83,INDIRECT($B$5&amp;"生成成长"),3))*(VLOOKUP($B$5,标准坦克设计!$B$14:$K$20,9)/30))</f>
        <v>44.306687957564456</v>
      </c>
      <c r="CZ83" s="172">
        <f ca="1">(VLOOKUP(CZ$72,INDIRECT($C$5&amp;"生成成长"),2))/((VLOOKUP($B83,INDIRECT($B$5&amp;"生成成长"),4))/(VLOOKUP(CZ$72,INDIRECT($C$5&amp;"生成成长"),5))*(VLOOKUP($B$5,标准坦克设计!$B$24:$U$30,MATCH("对"&amp;LEFT($C$5,2)&amp;"输出",标准坦克设计!$B$23:$U$23,0)))*(VLOOKUP($B83,INDIRECT($B$5&amp;"生成成长"),3))*(VLOOKUP($B$5,标准坦克设计!$B$14:$K$20,9)/30))</f>
        <v>47.111034737663083</v>
      </c>
      <c r="DA83" s="172">
        <f ca="1">(VLOOKUP(DA$72,INDIRECT($C$5&amp;"生成成长"),2))/((VLOOKUP($B83,INDIRECT($B$5&amp;"生成成长"),4))/(VLOOKUP(DA$72,INDIRECT($C$5&amp;"生成成长"),5))*(VLOOKUP($B$5,标准坦克设计!$B$24:$U$30,MATCH("对"&amp;LEFT($C$5,2)&amp;"输出",标准坦克设计!$B$23:$U$23,0)))*(VLOOKUP($B83,INDIRECT($B$5&amp;"生成成长"),3))*(VLOOKUP($B$5,标准坦克设计!$B$14:$K$20,9)/30))</f>
        <v>50.001428420358899</v>
      </c>
      <c r="DB83" s="172">
        <f ca="1">(VLOOKUP(DB$72,INDIRECT($C$5&amp;"生成成长"),2))/((VLOOKUP($B83,INDIRECT($B$5&amp;"生成成长"),4))/(VLOOKUP(DB$72,INDIRECT($C$5&amp;"生成成长"),5))*(VLOOKUP($B$5,标准坦克设计!$B$24:$U$30,MATCH("对"&amp;LEFT($C$5,2)&amp;"输出",标准坦克设计!$B$23:$U$23,0)))*(VLOOKUP($B83,INDIRECT($B$5&amp;"生成成长"),3))*(VLOOKUP($B$5,标准坦克设计!$B$14:$K$20,9)/30))</f>
        <v>52.977869005651861</v>
      </c>
      <c r="DC83" s="172">
        <f ca="1">(VLOOKUP(DC$72,INDIRECT($C$5&amp;"生成成长"),2))/((VLOOKUP($B83,INDIRECT($B$5&amp;"生成成长"),4))/(VLOOKUP(DC$72,INDIRECT($C$5&amp;"生成成长"),5))*(VLOOKUP($B$5,标准坦克设计!$B$24:$U$30,MATCH("对"&amp;LEFT($C$5,2)&amp;"输出",标准坦克设计!$B$23:$U$23,0)))*(VLOOKUP($B83,INDIRECT($B$5&amp;"生成成长"),3))*(VLOOKUP($B$5,标准坦克设计!$B$14:$K$20,9)/30))</f>
        <v>56.323031235545102</v>
      </c>
      <c r="DD83" s="172">
        <f ca="1">(VLOOKUP(DD$72,INDIRECT($C$5&amp;"生成成长"),2))/((VLOOKUP($B83,INDIRECT($B$5&amp;"生成成长"),4))/(VLOOKUP(DD$72,INDIRECT($C$5&amp;"生成成长"),5))*(VLOOKUP($B$5,标准坦克设计!$B$24:$U$30,MATCH("对"&amp;LEFT($C$5,2)&amp;"输出",标准坦克设计!$B$23:$U$23,0)))*(VLOOKUP($B83,INDIRECT($B$5&amp;"生成成长"),3))*(VLOOKUP($B$5,标准坦克设计!$B$14:$K$20,9)/30))</f>
        <v>59.770596390843231</v>
      </c>
      <c r="DE83" s="172">
        <f ca="1">(VLOOKUP(DE$72,INDIRECT($C$5&amp;"生成成长"),2))/((VLOOKUP($B83,INDIRECT($B$5&amp;"生成成长"),4))/(VLOOKUP(DE$72,INDIRECT($C$5&amp;"生成成长"),5))*(VLOOKUP($B$5,标准坦克设计!$B$24:$U$30,MATCH("对"&amp;LEFT($C$5,2)&amp;"输出",标准坦克设计!$B$23:$U$23,0)))*(VLOOKUP($B83,INDIRECT($B$5&amp;"生成成长"),3))*(VLOOKUP($B$5,标准坦克设计!$B$14:$K$20,9)/30))</f>
        <v>63.320564471546263</v>
      </c>
      <c r="DF83" s="172">
        <f ca="1">(VLOOKUP(DF$72,INDIRECT($C$5&amp;"生成成长"),2))/((VLOOKUP($B83,INDIRECT($B$5&amp;"生成成长"),4))/(VLOOKUP(DF$72,INDIRECT($C$5&amp;"生成成长"),5))*(VLOOKUP($B$5,标准坦克设计!$B$24:$U$30,MATCH("对"&amp;LEFT($C$5,2)&amp;"输出",标准坦克设计!$B$23:$U$23,0)))*(VLOOKUP($B83,INDIRECT($B$5&amp;"生成成长"),3))*(VLOOKUP($B$5,标准坦克设计!$B$14:$K$20,9)/30))</f>
        <v>66.97293547765419</v>
      </c>
      <c r="DG83" s="172">
        <f ca="1">(VLOOKUP(DG$72,INDIRECT($C$5&amp;"生成成长"),2))/((VLOOKUP($B83,INDIRECT($B$5&amp;"生成成长"),4))/(VLOOKUP(DG$72,INDIRECT($C$5&amp;"生成成长"),5))*(VLOOKUP($B$5,标准坦克设计!$B$24:$U$30,MATCH("对"&amp;LEFT($C$5,2)&amp;"输出",标准坦克设计!$B$23:$U$23,0)))*(VLOOKUP($B83,INDIRECT($B$5&amp;"生成成长"),3))*(VLOOKUP($B$5,标准坦克设计!$B$14:$K$20,9)/30))</f>
        <v>70.727709409166991</v>
      </c>
      <c r="DH83" s="172">
        <f ca="1">(VLOOKUP(DH$72,INDIRECT($C$5&amp;"生成成长"),2))/((VLOOKUP($B83,INDIRECT($B$5&amp;"生成成长"),4))/(VLOOKUP(DH$72,INDIRECT($C$5&amp;"生成成长"),5))*(VLOOKUP($B$5,标准坦克设计!$B$24:$U$30,MATCH("对"&amp;LEFT($C$5,2)&amp;"输出",标准坦克设计!$B$23:$U$23,0)))*(VLOOKUP($B83,INDIRECT($B$5&amp;"生成成长"),3))*(VLOOKUP($B$5,标准坦克设计!$B$14:$K$20,9)/30))</f>
        <v>74.584886266084709</v>
      </c>
      <c r="DI83" s="172">
        <f ca="1">(VLOOKUP(DI$72,INDIRECT($C$5&amp;"生成成长"),2))/((VLOOKUP($B83,INDIRECT($B$5&amp;"生成成长"),4))/(VLOOKUP(DI$72,INDIRECT($C$5&amp;"生成成长"),5))*(VLOOKUP($B$5,标准坦克设计!$B$24:$U$30,MATCH("对"&amp;LEFT($C$5,2)&amp;"输出",标准坦克设计!$B$23:$U$23,0)))*(VLOOKUP($B83,INDIRECT($B$5&amp;"生成成长"),3))*(VLOOKUP($B$5,标准坦克设计!$B$14:$K$20,9)/30))</f>
        <v>78.54446604840733</v>
      </c>
      <c r="DJ83" s="172">
        <f ca="1">(VLOOKUP(DJ$72,INDIRECT($C$5&amp;"生成成长"),2))/((VLOOKUP($B83,INDIRECT($B$5&amp;"生成成长"),4))/(VLOOKUP(DJ$72,INDIRECT($C$5&amp;"生成成长"),5))*(VLOOKUP($B$5,标准坦克设计!$B$24:$U$30,MATCH("对"&amp;LEFT($C$5,2)&amp;"输出",标准坦克设计!$B$23:$U$23,0)))*(VLOOKUP($B83,INDIRECT($B$5&amp;"生成成长"),3))*(VLOOKUP($B$5,标准坦克设计!$B$14:$K$20,9)/30))</f>
        <v>7.8939143990072012</v>
      </c>
      <c r="DK83" s="172">
        <f ca="1">(VLOOKUP(DK$72,INDIRECT($C$5&amp;"生成成长"),2))/((VLOOKUP($B83,INDIRECT($B$5&amp;"生成成长"),4))/(VLOOKUP(DK$72,INDIRECT($C$5&amp;"生成成长"),5))*(VLOOKUP($B$5,标准坦克设计!$B$24:$U$30,MATCH("对"&amp;LEFT($C$5,2)&amp;"输出",标准坦克设计!$B$23:$U$23,0)))*(VLOOKUP($B83,INDIRECT($B$5&amp;"生成成长"),3))*(VLOOKUP($B$5,标准坦克设计!$B$14:$K$20,9)/30))</f>
        <v>8.8763424646104117</v>
      </c>
      <c r="DL83" s="172">
        <f ca="1">(VLOOKUP(DL$72,INDIRECT($C$5&amp;"生成成长"),2))/((VLOOKUP($B83,INDIRECT($B$5&amp;"生成成长"),4))/(VLOOKUP(DL$72,INDIRECT($C$5&amp;"生成成长"),5))*(VLOOKUP($B$5,标准坦克设计!$B$24:$U$30,MATCH("对"&amp;LEFT($C$5,2)&amp;"输出",标准坦克设计!$B$23:$U$23,0)))*(VLOOKUP($B83,INDIRECT($B$5&amp;"生成成长"),3))*(VLOOKUP($B$5,标准坦克设计!$B$14:$K$20,9)/30))</f>
        <v>9.9163721757538763</v>
      </c>
      <c r="DM83" s="172">
        <f ca="1">(VLOOKUP(DM$72,INDIRECT($C$5&amp;"生成成长"),2))/((VLOOKUP($B83,INDIRECT($B$5&amp;"生成成长"),4))/(VLOOKUP(DM$72,INDIRECT($C$5&amp;"生成成长"),5))*(VLOOKUP($B$5,标准坦克设计!$B$24:$U$30,MATCH("对"&amp;LEFT($C$5,2)&amp;"输出",标准坦克设计!$B$23:$U$23,0)))*(VLOOKUP($B83,INDIRECT($B$5&amp;"生成成长"),3))*(VLOOKUP($B$5,标准坦克设计!$B$14:$K$20,9)/30))</f>
        <v>11.014003532437595</v>
      </c>
      <c r="DN83" s="172">
        <f ca="1">(VLOOKUP(DN$72,INDIRECT($C$5&amp;"生成成长"),2))/((VLOOKUP($B83,INDIRECT($B$5&amp;"生成成长"),4))/(VLOOKUP(DN$72,INDIRECT($C$5&amp;"生成成长"),5))*(VLOOKUP($B$5,标准坦克设计!$B$24:$U$30,MATCH("对"&amp;LEFT($C$5,2)&amp;"输出",标准坦克设计!$B$23:$U$23,0)))*(VLOOKUP($B83,INDIRECT($B$5&amp;"生成成长"),3))*(VLOOKUP($B$5,标准坦克设计!$B$14:$K$20,9)/30))</f>
        <v>12.169236534661568</v>
      </c>
      <c r="DO83" s="172">
        <f ca="1">(VLOOKUP(DO$72,INDIRECT($C$5&amp;"生成成长"),2))/((VLOOKUP($B83,INDIRECT($B$5&amp;"生成成长"),4))/(VLOOKUP(DO$72,INDIRECT($C$5&amp;"生成成长"),5))*(VLOOKUP($B$5,标准坦克设计!$B$24:$U$30,MATCH("对"&amp;LEFT($C$5,2)&amp;"输出",标准坦克设计!$B$23:$U$23,0)))*(VLOOKUP($B83,INDIRECT($B$5&amp;"生成成长"),3))*(VLOOKUP($B$5,标准坦克设计!$B$14:$K$20,9)/30))</f>
        <v>13.382071182425793</v>
      </c>
      <c r="DP83" s="172">
        <f ca="1">(VLOOKUP(DP$72,INDIRECT($C$5&amp;"生成成长"),2))/((VLOOKUP($B83,INDIRECT($B$5&amp;"生成成长"),4))/(VLOOKUP(DP$72,INDIRECT($C$5&amp;"生成成长"),5))*(VLOOKUP($B$5,标准坦克设计!$B$24:$U$30,MATCH("对"&amp;LEFT($C$5,2)&amp;"输出",标准坦克设计!$B$23:$U$23,0)))*(VLOOKUP($B83,INDIRECT($B$5&amp;"生成成长"),3))*(VLOOKUP($B$5,标准坦克设计!$B$14:$K$20,9)/30))</f>
        <v>14.652507475730273</v>
      </c>
      <c r="DQ83" s="172">
        <f ca="1">(VLOOKUP(DQ$72,INDIRECT($C$5&amp;"生成成长"),2))/((VLOOKUP($B83,INDIRECT($B$5&amp;"生成成长"),4))/(VLOOKUP(DQ$72,INDIRECT($C$5&amp;"生成成长"),5))*(VLOOKUP($B$5,标准坦克设计!$B$24:$U$30,MATCH("对"&amp;LEFT($C$5,2)&amp;"输出",标准坦克设计!$B$23:$U$23,0)))*(VLOOKUP($B83,INDIRECT($B$5&amp;"生成成长"),3))*(VLOOKUP($B$5,标准坦克设计!$B$14:$K$20,9)/30))</f>
        <v>15.980545414575007</v>
      </c>
      <c r="DR83" s="172">
        <f ca="1">(VLOOKUP(DR$72,INDIRECT($C$5&amp;"生成成长"),2))/((VLOOKUP($B83,INDIRECT($B$5&amp;"生成成长"),4))/(VLOOKUP(DR$72,INDIRECT($C$5&amp;"生成成长"),5))*(VLOOKUP($B$5,标准坦克设计!$B$24:$U$30,MATCH("对"&amp;LEFT($C$5,2)&amp;"输出",标准坦克设计!$B$23:$U$23,0)))*(VLOOKUP($B83,INDIRECT($B$5&amp;"生成成长"),3))*(VLOOKUP($B$5,标准坦克设计!$B$14:$K$20,9)/30))</f>
        <v>17.366184998959991</v>
      </c>
      <c r="DS83" s="172">
        <f ca="1">(VLOOKUP(DS$72,INDIRECT($C$5&amp;"生成成长"),2))/((VLOOKUP($B83,INDIRECT($B$5&amp;"生成成长"),4))/(VLOOKUP(DS$72,INDIRECT($C$5&amp;"生成成长"),5))*(VLOOKUP($B$5,标准坦克设计!$B$24:$U$30,MATCH("对"&amp;LEFT($C$5,2)&amp;"输出",标准坦克设计!$B$23:$U$23,0)))*(VLOOKUP($B83,INDIRECT($B$5&amp;"生成成长"),3))*(VLOOKUP($B$5,标准坦克设计!$B$14:$K$20,9)/30))</f>
        <v>18.809426228885229</v>
      </c>
      <c r="DT83" s="172">
        <f ca="1">(VLOOKUP(DT$72,INDIRECT($C$5&amp;"生成成长"),2))/((VLOOKUP($B83,INDIRECT($B$5&amp;"生成成长"),4))/(VLOOKUP(DT$72,INDIRECT($C$5&amp;"生成成长"),5))*(VLOOKUP($B$5,标准坦克设计!$B$24:$U$30,MATCH("对"&amp;LEFT($C$5,2)&amp;"输出",标准坦克设计!$B$23:$U$23,0)))*(VLOOKUP($B83,INDIRECT($B$5&amp;"生成成长"),3))*(VLOOKUP($B$5,标准坦克设计!$B$14:$K$20,9)/30))</f>
        <v>20.651612189033703</v>
      </c>
      <c r="DU83" s="172">
        <f ca="1">(VLOOKUP(DU$72,INDIRECT($C$5&amp;"生成成长"),2))/((VLOOKUP($B83,INDIRECT($B$5&amp;"生成成长"),4))/(VLOOKUP(DU$72,INDIRECT($C$5&amp;"生成成长"),5))*(VLOOKUP($B$5,标准坦克设计!$B$24:$U$30,MATCH("对"&amp;LEFT($C$5,2)&amp;"输出",标准坦克设计!$B$23:$U$23,0)))*(VLOOKUP($B83,INDIRECT($B$5&amp;"生成成长"),3))*(VLOOKUP($B$5,标准坦克设计!$B$14:$K$20,9)/30))</f>
        <v>22.579845051779348</v>
      </c>
      <c r="DV83" s="172">
        <f ca="1">(VLOOKUP(DV$72,INDIRECT($C$5&amp;"生成成长"),2))/((VLOOKUP($B83,INDIRECT($B$5&amp;"生成成长"),4))/(VLOOKUP(DV$72,INDIRECT($C$5&amp;"生成成长"),5))*(VLOOKUP($B$5,标准坦克设计!$B$24:$U$30,MATCH("对"&amp;LEFT($C$5,2)&amp;"输出",标准坦克设计!$B$23:$U$23,0)))*(VLOOKUP($B83,INDIRECT($B$5&amp;"生成成长"),3))*(VLOOKUP($B$5,标准坦克设计!$B$14:$K$20,9)/30))</f>
        <v>24.594124817122164</v>
      </c>
      <c r="DW83" s="172">
        <f ca="1">(VLOOKUP(DW$72,INDIRECT($C$5&amp;"生成成长"),2))/((VLOOKUP($B83,INDIRECT($B$5&amp;"生成成长"),4))/(VLOOKUP(DW$72,INDIRECT($C$5&amp;"生成成长"),5))*(VLOOKUP($B$5,标准坦克设计!$B$24:$U$30,MATCH("对"&amp;LEFT($C$5,2)&amp;"输出",标准坦克设计!$B$23:$U$23,0)))*(VLOOKUP($B83,INDIRECT($B$5&amp;"生成成长"),3))*(VLOOKUP($B$5,标准坦克设计!$B$14:$K$20,9)/30))</f>
        <v>26.694451485062142</v>
      </c>
      <c r="DX83" s="172">
        <f ca="1">(VLOOKUP(DX$72,INDIRECT($C$5&amp;"生成成长"),2))/((VLOOKUP($B83,INDIRECT($B$5&amp;"生成成长"),4))/(VLOOKUP(DX$72,INDIRECT($C$5&amp;"生成成长"),5))*(VLOOKUP($B$5,标准坦克设计!$B$24:$U$30,MATCH("对"&amp;LEFT($C$5,2)&amp;"输出",标准坦克设计!$B$23:$U$23,0)))*(VLOOKUP($B83,INDIRECT($B$5&amp;"生成成长"),3))*(VLOOKUP($B$5,标准坦克设计!$B$14:$K$20,9)/30))</f>
        <v>28.880825055599296</v>
      </c>
      <c r="DY83" s="172">
        <f ca="1">(VLOOKUP(DY$72,INDIRECT($C$5&amp;"生成成长"),2))/((VLOOKUP($B83,INDIRECT($B$5&amp;"生成成长"),4))/(VLOOKUP(DY$72,INDIRECT($C$5&amp;"生成成长"),5))*(VLOOKUP($B$5,标准坦克设计!$B$24:$U$30,MATCH("对"&amp;LEFT($C$5,2)&amp;"输出",标准坦克设计!$B$23:$U$23,0)))*(VLOOKUP($B83,INDIRECT($B$5&amp;"生成成长"),3))*(VLOOKUP($B$5,标准坦克设计!$B$14:$K$20,9)/30))</f>
        <v>12.971392783666579</v>
      </c>
      <c r="DZ83" s="172">
        <f ca="1">(VLOOKUP(DZ$72,INDIRECT($C$5&amp;"生成成长"),2))/((VLOOKUP($B83,INDIRECT($B$5&amp;"生成成长"),4))/(VLOOKUP(DZ$72,INDIRECT($C$5&amp;"生成成长"),5))*(VLOOKUP($B$5,标准坦克设计!$B$24:$U$30,MATCH("对"&amp;LEFT($C$5,2)&amp;"输出",标准坦克设计!$B$23:$U$23,0)))*(VLOOKUP($B83,INDIRECT($B$5&amp;"生成成长"),3))*(VLOOKUP($B$5,标准坦克设计!$B$14:$K$20,9)/30))</f>
        <v>14.365210379455426</v>
      </c>
      <c r="EA83" s="172">
        <f ca="1">(VLOOKUP(EA$72,INDIRECT($C$5&amp;"生成成长"),2))/((VLOOKUP($B83,INDIRECT($B$5&amp;"生成成长"),4))/(VLOOKUP(EA$72,INDIRECT($C$5&amp;"生成成长"),5))*(VLOOKUP($B$5,标准坦克设计!$B$24:$U$30,MATCH("对"&amp;LEFT($C$5,2)&amp;"输出",标准坦克设计!$B$23:$U$23,0)))*(VLOOKUP($B83,INDIRECT($B$5&amp;"生成成长"),3))*(VLOOKUP($B$5,标准坦克设计!$B$14:$K$20,9)/30))</f>
        <v>15.830141117886566</v>
      </c>
      <c r="EB83" s="172">
        <f ca="1">(VLOOKUP(EB$72,INDIRECT($C$5&amp;"生成成长"),2))/((VLOOKUP($B83,INDIRECT($B$5&amp;"生成成长"),4))/(VLOOKUP(EB$72,INDIRECT($C$5&amp;"生成成长"),5))*(VLOOKUP($B$5,标准坦克设计!$B$24:$U$30,MATCH("对"&amp;LEFT($C$5,2)&amp;"输出",标准坦克设计!$B$23:$U$23,0)))*(VLOOKUP($B83,INDIRECT($B$5&amp;"生成成长"),3))*(VLOOKUP($B$5,标准坦克设计!$B$14:$K$20,9)/30))</f>
        <v>17.366184998959991</v>
      </c>
      <c r="EC83" s="172">
        <f ca="1">(VLOOKUP(EC$72,INDIRECT($C$5&amp;"生成成长"),2))/((VLOOKUP($B83,INDIRECT($B$5&amp;"生成成长"),4))/(VLOOKUP(EC$72,INDIRECT($C$5&amp;"生成成长"),5))*(VLOOKUP($B$5,标准坦克设计!$B$24:$U$30,MATCH("对"&amp;LEFT($C$5,2)&amp;"输出",标准坦克设计!$B$23:$U$23,0)))*(VLOOKUP($B83,INDIRECT($B$5&amp;"生成成长"),3))*(VLOOKUP($B$5,标准坦克设计!$B$14:$K$20,9)/30))</f>
        <v>18.973342022675705</v>
      </c>
      <c r="ED83" s="172">
        <f ca="1">(VLOOKUP(ED$72,INDIRECT($C$5&amp;"生成成长"),2))/((VLOOKUP($B83,INDIRECT($B$5&amp;"生成成长"),4))/(VLOOKUP(ED$72,INDIRECT($C$5&amp;"生成成长"),5))*(VLOOKUP($B$5,标准坦克设计!$B$24:$U$30,MATCH("对"&amp;LEFT($C$5,2)&amp;"输出",标准坦克设计!$B$23:$U$23,0)))*(VLOOKUP($B83,INDIRECT($B$5&amp;"生成成长"),3))*(VLOOKUP($B$5,标准坦克设计!$B$14:$K$20,9)/30))</f>
        <v>20.651612189033703</v>
      </c>
      <c r="EE83" s="172">
        <f ca="1">(VLOOKUP(EE$72,INDIRECT($C$5&amp;"生成成长"),2))/((VLOOKUP($B83,INDIRECT($B$5&amp;"生成成长"),4))/(VLOOKUP(EE$72,INDIRECT($C$5&amp;"生成成长"),5))*(VLOOKUP($B$5,标准坦克设计!$B$24:$U$30,MATCH("对"&amp;LEFT($C$5,2)&amp;"输出",标准坦克设计!$B$23:$U$23,0)))*(VLOOKUP($B83,INDIRECT($B$5&amp;"生成成长"),3))*(VLOOKUP($B$5,标准坦克设计!$B$14:$K$20,9)/30))</f>
        <v>22.400995498033993</v>
      </c>
      <c r="EF83" s="172">
        <f ca="1">(VLOOKUP(EF$72,INDIRECT($C$5&amp;"生成成长"),2))/((VLOOKUP($B83,INDIRECT($B$5&amp;"生成成长"),4))/(VLOOKUP(EF$72,INDIRECT($C$5&amp;"生成成长"),5))*(VLOOKUP($B$5,标准坦克设计!$B$24:$U$30,MATCH("对"&amp;LEFT($C$5,2)&amp;"输出",标准坦克设计!$B$23:$U$23,0)))*(VLOOKUP($B83,INDIRECT($B$5&amp;"生成成长"),3))*(VLOOKUP($B$5,标准坦克设计!$B$14:$K$20,9)/30))</f>
        <v>24.221491949676572</v>
      </c>
      <c r="EG83" s="172">
        <f ca="1">(VLOOKUP(EG$72,INDIRECT($C$5&amp;"生成成长"),2))/((VLOOKUP($B83,INDIRECT($B$5&amp;"生成成长"),4))/(VLOOKUP(EG$72,INDIRECT($C$5&amp;"生成成长"),5))*(VLOOKUP($B$5,标准坦克设计!$B$24:$U$30,MATCH("对"&amp;LEFT($C$5,2)&amp;"输出",标准坦克设计!$B$23:$U$23,0)))*(VLOOKUP($B83,INDIRECT($B$5&amp;"生成成长"),3))*(VLOOKUP($B$5,标准坦克设计!$B$14:$K$20,9)/30))</f>
        <v>26.113101543961438</v>
      </c>
      <c r="EH83" s="172">
        <f ca="1">(VLOOKUP(EH$72,INDIRECT($C$5&amp;"生成成长"),2))/((VLOOKUP($B83,INDIRECT($B$5&amp;"生成成长"),4))/(VLOOKUP(EH$72,INDIRECT($C$5&amp;"生成成长"),5))*(VLOOKUP($B$5,标准坦克设计!$B$24:$U$30,MATCH("对"&amp;LEFT($C$5,2)&amp;"输出",标准坦克设计!$B$23:$U$23,0)))*(VLOOKUP($B83,INDIRECT($B$5&amp;"生成成长"),3))*(VLOOKUP($B$5,标准坦克设计!$B$14:$K$20,9)/30))</f>
        <v>28.075824280888593</v>
      </c>
      <c r="EI83" s="172">
        <f ca="1">(VLOOKUP(EI$72,INDIRECT($C$5&amp;"生成成长"),2))/((VLOOKUP($B83,INDIRECT($B$5&amp;"生成成长"),4))/(VLOOKUP(EI$72,INDIRECT($C$5&amp;"生成成长"),5))*(VLOOKUP($B$5,标准坦克设计!$B$24:$U$30,MATCH("对"&amp;LEFT($C$5,2)&amp;"输出",标准坦克设计!$B$23:$U$23,0)))*(VLOOKUP($B83,INDIRECT($B$5&amp;"生成成长"),3))*(VLOOKUP($B$5,标准坦克设计!$B$14:$K$20,9)/30))</f>
        <v>30.109660160458031</v>
      </c>
      <c r="EJ83" s="172">
        <f ca="1">(VLOOKUP(EJ$72,INDIRECT($C$5&amp;"生成成长"),2))/((VLOOKUP($B83,INDIRECT($B$5&amp;"生成成长"),4))/(VLOOKUP(EJ$72,INDIRECT($C$5&amp;"生成成长"),5))*(VLOOKUP($B$5,标准坦克设计!$B$24:$U$30,MATCH("对"&amp;LEFT($C$5,2)&amp;"输出",标准坦克设计!$B$23:$U$23,0)))*(VLOOKUP($B83,INDIRECT($B$5&amp;"生成成长"),3))*(VLOOKUP($B$5,标准坦克设计!$B$14:$K$20,9)/30))</f>
        <v>32.214609182669768</v>
      </c>
      <c r="EK83" s="172">
        <f ca="1">(VLOOKUP(EK$72,INDIRECT($C$5&amp;"生成成长"),2))/((VLOOKUP($B83,INDIRECT($B$5&amp;"生成成长"),4))/(VLOOKUP(EK$72,INDIRECT($C$5&amp;"生成成长"),5))*(VLOOKUP($B$5,标准坦克设计!$B$24:$U$30,MATCH("对"&amp;LEFT($C$5,2)&amp;"输出",标准坦克设计!$B$23:$U$23,0)))*(VLOOKUP($B83,INDIRECT($B$5&amp;"生成成长"),3))*(VLOOKUP($B$5,标准坦克设计!$B$14:$K$20,9)/30))</f>
        <v>34.834417357611663</v>
      </c>
      <c r="EL83" s="172">
        <f ca="1">(VLOOKUP(EL$72,INDIRECT($C$5&amp;"生成成长"),2))/((VLOOKUP($B83,INDIRECT($B$5&amp;"生成成长"),4))/(VLOOKUP(EL$72,INDIRECT($C$5&amp;"生成成长"),5))*(VLOOKUP($B$5,标准坦克设计!$B$24:$U$30,MATCH("对"&amp;LEFT($C$5,2)&amp;"输出",标准坦克设计!$B$23:$U$23,0)))*(VLOOKUP($B83,INDIRECT($B$5&amp;"生成成长"),3))*(VLOOKUP($B$5,标准坦克设计!$B$14:$K$20,9)/30))</f>
        <v>37.556628457958453</v>
      </c>
      <c r="EM83" s="172">
        <f ca="1">(VLOOKUP(EM$72,INDIRECT($C$5&amp;"生成成长"),2))/((VLOOKUP($B83,INDIRECT($B$5&amp;"生成成长"),4))/(VLOOKUP(EM$72,INDIRECT($C$5&amp;"生成成长"),5))*(VLOOKUP($B$5,标准坦克设计!$B$24:$U$30,MATCH("对"&amp;LEFT($C$5,2)&amp;"输出",标准坦克设计!$B$23:$U$23,0)))*(VLOOKUP($B83,INDIRECT($B$5&amp;"生成成长"),3))*(VLOOKUP($B$5,标准坦克设计!$B$14:$K$20,9)/30))</f>
        <v>40.381242483710146</v>
      </c>
      <c r="EN83" s="172">
        <f ca="1">(VLOOKUP(EN$72,INDIRECT($C$5&amp;"生成成长"),2))/((VLOOKUP($B83,INDIRECT($B$5&amp;"生成成长"),4))/(VLOOKUP(EN$72,INDIRECT($C$5&amp;"生成成长"),5))*(VLOOKUP($B$5,标准坦克设计!$B$24:$U$30,MATCH("对"&amp;LEFT($C$5,2)&amp;"输出",标准坦克设计!$B$23:$U$23,0)))*(VLOOKUP($B83,INDIRECT($B$5&amp;"生成成长"),3))*(VLOOKUP($B$5,标准坦克设计!$B$14:$K$20,9)/30))</f>
        <v>43.30825943486672</v>
      </c>
      <c r="EO83" s="172">
        <f ca="1">(VLOOKUP(EO$72,INDIRECT($C$5&amp;"生成成长"),2))/((VLOOKUP($B83,INDIRECT($B$5&amp;"生成成长"),4))/(VLOOKUP(EO$72,INDIRECT($C$5&amp;"生成成长"),5))*(VLOOKUP($B$5,标准坦克设计!$B$24:$U$30,MATCH("对"&amp;LEFT($C$5,2)&amp;"输出",标准坦克设计!$B$23:$U$23,0)))*(VLOOKUP($B83,INDIRECT($B$5&amp;"生成成长"),3))*(VLOOKUP($B$5,标准坦克设计!$B$14:$K$20,9)/30))</f>
        <v>46.337679311428211</v>
      </c>
      <c r="EP83" s="172">
        <f ca="1">(VLOOKUP(EP$72,INDIRECT($C$5&amp;"生成成长"),2))/((VLOOKUP($B83,INDIRECT($B$5&amp;"生成成长"),4))/(VLOOKUP(EP$72,INDIRECT($C$5&amp;"生成成长"),5))*(VLOOKUP($B$5,标准坦克设计!$B$24:$U$30,MATCH("对"&amp;LEFT($C$5,2)&amp;"输出",标准坦克设计!$B$23:$U$23,0)))*(VLOOKUP($B83,INDIRECT($B$5&amp;"生成成长"),3))*(VLOOKUP($B$5,标准坦克设计!$B$14:$K$20,9)/30))</f>
        <v>49.469502113394569</v>
      </c>
      <c r="EQ83" s="172">
        <f ca="1">(VLOOKUP(EQ$72,INDIRECT($C$5&amp;"生成成长"),2))/((VLOOKUP($B83,INDIRECT($B$5&amp;"生成成长"),4))/(VLOOKUP(EQ$72,INDIRECT($C$5&amp;"生成成长"),5))*(VLOOKUP($B$5,标准坦克设计!$B$24:$U$30,MATCH("对"&amp;LEFT($C$5,2)&amp;"输出",标准坦克设计!$B$23:$U$23,0)))*(VLOOKUP($B83,INDIRECT($B$5&amp;"生成成长"),3))*(VLOOKUP($B$5,标准坦克设计!$B$14:$K$20,9)/30))</f>
        <v>21.868713625356467</v>
      </c>
      <c r="ER83" s="172">
        <f ca="1">(VLOOKUP(ER$72,INDIRECT($C$5&amp;"生成成长"),2))/((VLOOKUP($B83,INDIRECT($B$5&amp;"生成成长"),4))/(VLOOKUP(ER$72,INDIRECT($C$5&amp;"生成成长"),5))*(VLOOKUP($B$5,标准坦克设计!$B$24:$U$30,MATCH("对"&amp;LEFT($C$5,2)&amp;"输出",标准坦克设计!$B$23:$U$23,0)))*(VLOOKUP($B83,INDIRECT($B$5&amp;"生成成长"),3))*(VLOOKUP($B$5,标准坦克设计!$B$14:$K$20,9)/30))</f>
        <v>23.85170360793667</v>
      </c>
      <c r="ES83" s="172">
        <f ca="1">(VLOOKUP(ES$72,INDIRECT($C$5&amp;"生成成长"),2))/((VLOOKUP($B83,INDIRECT($B$5&amp;"生成成长"),4))/(VLOOKUP(ES$72,INDIRECT($C$5&amp;"生成成长"),5))*(VLOOKUP($B$5,标准坦克设计!$B$24:$U$30,MATCH("对"&amp;LEFT($C$5,2)&amp;"输出",标准坦克设计!$B$23:$U$23,0)))*(VLOOKUP($B83,INDIRECT($B$5&amp;"生成成长"),3))*(VLOOKUP($B$5,标准坦克设计!$B$14:$K$20,9)/30))</f>
        <v>25.920740493114046</v>
      </c>
      <c r="ET83" s="172">
        <f ca="1">(VLOOKUP(ET$72,INDIRECT($C$5&amp;"生成成长"),2))/((VLOOKUP($B83,INDIRECT($B$5&amp;"生成成长"),4))/(VLOOKUP(ET$72,INDIRECT($C$5&amp;"生成成长"),5))*(VLOOKUP($B$5,标准坦克设计!$B$24:$U$30,MATCH("对"&amp;LEFT($C$5,2)&amp;"输出",标准坦克设计!$B$23:$U$23,0)))*(VLOOKUP($B83,INDIRECT($B$5&amp;"生成成长"),3))*(VLOOKUP($B$5,标准坦克设计!$B$14:$K$20,9)/30))</f>
        <v>28.075824280888593</v>
      </c>
      <c r="EU83" s="172">
        <f ca="1">(VLOOKUP(EU$72,INDIRECT($C$5&amp;"生成成长"),2))/((VLOOKUP($B83,INDIRECT($B$5&amp;"生成成长"),4))/(VLOOKUP(EU$72,INDIRECT($C$5&amp;"生成成长"),5))*(VLOOKUP($B$5,标准坦克设计!$B$24:$U$30,MATCH("对"&amp;LEFT($C$5,2)&amp;"输出",标准坦克设计!$B$23:$U$23,0)))*(VLOOKUP($B83,INDIRECT($B$5&amp;"生成成长"),3))*(VLOOKUP($B$5,标准坦克设计!$B$14:$K$20,9)/30))</f>
        <v>30.316954971260301</v>
      </c>
      <c r="EV83" s="172">
        <f ca="1">(VLOOKUP(EV$72,INDIRECT($C$5&amp;"生成成长"),2))/((VLOOKUP($B83,INDIRECT($B$5&amp;"生成成长"),4))/(VLOOKUP(EV$72,INDIRECT($C$5&amp;"生成成长"),5))*(VLOOKUP($B$5,标准坦克设计!$B$24:$U$30,MATCH("对"&amp;LEFT($C$5,2)&amp;"输出",标准坦克设计!$B$23:$U$23,0)))*(VLOOKUP($B83,INDIRECT($B$5&amp;"生成成长"),3))*(VLOOKUP($B$5,标准坦克设计!$B$14:$K$20,9)/30))</f>
        <v>32.644132564229182</v>
      </c>
      <c r="EW83" s="172">
        <f ca="1">(VLOOKUP(EW$72,INDIRECT($C$5&amp;"生成成长"),2))/((VLOOKUP($B83,INDIRECT($B$5&amp;"生成成长"),4))/(VLOOKUP(EW$72,INDIRECT($C$5&amp;"生成成长"),5))*(VLOOKUP($B$5,标准坦克设计!$B$24:$U$30,MATCH("对"&amp;LEFT($C$5,2)&amp;"输出",标准坦克设计!$B$23:$U$23,0)))*(VLOOKUP($B83,INDIRECT($B$5&amp;"生成成长"),3))*(VLOOKUP($B$5,标准坦克设计!$B$14:$K$20,9)/30))</f>
        <v>35.05735705979523</v>
      </c>
      <c r="EX83" s="172">
        <f ca="1">(VLOOKUP(EX$72,INDIRECT($C$5&amp;"生成成长"),2))/((VLOOKUP($B83,INDIRECT($B$5&amp;"生成成长"),4))/(VLOOKUP(EX$72,INDIRECT($C$5&amp;"生成成长"),5))*(VLOOKUP($B$5,标准坦克设计!$B$24:$U$30,MATCH("对"&amp;LEFT($C$5,2)&amp;"输出",标准坦克设计!$B$23:$U$23,0)))*(VLOOKUP($B83,INDIRECT($B$5&amp;"生成成长"),3))*(VLOOKUP($B$5,标准坦克设计!$B$14:$K$20,9)/30))</f>
        <v>37.556628457958453</v>
      </c>
      <c r="EY83" s="172">
        <f ca="1">(VLOOKUP(EY$72,INDIRECT($C$5&amp;"生成成长"),2))/((VLOOKUP($B83,INDIRECT($B$5&amp;"生成成长"),4))/(VLOOKUP(EY$72,INDIRECT($C$5&amp;"生成成长"),5))*(VLOOKUP($B$5,标准坦克设计!$B$24:$U$30,MATCH("对"&amp;LEFT($C$5,2)&amp;"输出",标准坦克设计!$B$23:$U$23,0)))*(VLOOKUP($B83,INDIRECT($B$5&amp;"生成成长"),3))*(VLOOKUP($B$5,标准坦克设计!$B$14:$K$20,9)/30))</f>
        <v>40.141946758718845</v>
      </c>
      <c r="EZ83" s="172">
        <f ca="1">(VLOOKUP(EZ$72,INDIRECT($C$5&amp;"生成成长"),2))/((VLOOKUP($B83,INDIRECT($B$5&amp;"生成成长"),4))/(VLOOKUP(EZ$72,INDIRECT($C$5&amp;"生成成长"),5))*(VLOOKUP($B$5,标准坦克设计!$B$24:$U$30,MATCH("对"&amp;LEFT($C$5,2)&amp;"输出",标准坦克设计!$B$23:$U$23,0)))*(VLOOKUP($B83,INDIRECT($B$5&amp;"生成成长"),3))*(VLOOKUP($B$5,标准坦克设计!$B$14:$K$20,9)/30))</f>
        <v>42.813311962076391</v>
      </c>
      <c r="FA83" s="172">
        <f ca="1">(VLOOKUP(FA$72,INDIRECT($C$5&amp;"生成成长"),2))/((VLOOKUP($B83,INDIRECT($B$5&amp;"生成成长"),4))/(VLOOKUP(FA$72,INDIRECT($C$5&amp;"生成成长"),5))*(VLOOKUP($B$5,标准坦克设计!$B$24:$U$30,MATCH("对"&amp;LEFT($C$5,2)&amp;"输出",标准坦克设计!$B$23:$U$23,0)))*(VLOOKUP($B83,INDIRECT($B$5&amp;"生成成长"),3))*(VLOOKUP($B$5,标准坦克设计!$B$14:$K$20,9)/30))</f>
        <v>45.570724068031126</v>
      </c>
      <c r="FB83" s="172">
        <f ca="1">(VLOOKUP(FB$72,INDIRECT($C$5&amp;"生成成长"),2))/((VLOOKUP($B83,INDIRECT($B$5&amp;"生成成长"),4))/(VLOOKUP(FB$72,INDIRECT($C$5&amp;"生成成长"),5))*(VLOOKUP($B$5,标准坦克设计!$B$24:$U$30,MATCH("对"&amp;LEFT($C$5,2)&amp;"输出",标准坦克设计!$B$23:$U$23,0)))*(VLOOKUP($B83,INDIRECT($B$5&amp;"生成成长"),3))*(VLOOKUP($B$5,标准坦克设计!$B$14:$K$20,9)/30))</f>
        <v>48.414183076583008</v>
      </c>
      <c r="FC83" s="172">
        <f ca="1">(VLOOKUP(FC$72,INDIRECT($C$5&amp;"生成成长"),2))/((VLOOKUP($B83,INDIRECT($B$5&amp;"生成成长"),4))/(VLOOKUP(FC$72,INDIRECT($C$5&amp;"生成成长"),5))*(VLOOKUP($B$5,标准坦克设计!$B$24:$U$30,MATCH("对"&amp;LEFT($C$5,2)&amp;"输出",标准坦克设计!$B$23:$U$23,0)))*(VLOOKUP($B83,INDIRECT($B$5&amp;"生成成长"),3))*(VLOOKUP($B$5,标准坦克设计!$B$14:$K$20,9)/30))</f>
        <v>51.343688987732087</v>
      </c>
      <c r="FD83" s="172">
        <f ca="1">(VLOOKUP(FD$72,INDIRECT($C$5&amp;"生成成长"),2))/((VLOOKUP($B83,INDIRECT($B$5&amp;"生成成长"),4))/(VLOOKUP(FD$72,INDIRECT($C$5&amp;"生成成长"),5))*(VLOOKUP($B$5,标准坦克设计!$B$24:$U$30,MATCH("对"&amp;LEFT($C$5,2)&amp;"输出",标准坦克设计!$B$23:$U$23,0)))*(VLOOKUP($B83,INDIRECT($B$5&amp;"生成成长"),3))*(VLOOKUP($B$5,标准坦克设计!$B$14:$K$20,9)/30))</f>
        <v>54.359241801478312</v>
      </c>
      <c r="FE83" s="172">
        <f ca="1">(VLOOKUP(FE$72,INDIRECT($C$5&amp;"生成成长"),2))/((VLOOKUP($B83,INDIRECT($B$5&amp;"生成成长"),4))/(VLOOKUP(FE$72,INDIRECT($C$5&amp;"生成成长"),5))*(VLOOKUP($B$5,标准坦克设计!$B$24:$U$30,MATCH("对"&amp;LEFT($C$5,2)&amp;"输出",标准坦克设计!$B$23:$U$23,0)))*(VLOOKUP($B83,INDIRECT($B$5&amp;"生成成长"),3))*(VLOOKUP($B$5,标准坦克设计!$B$14:$K$20,9)/30))</f>
        <v>58.034013447518547</v>
      </c>
      <c r="FF83" s="172">
        <f ca="1">(VLOOKUP(FF$72,INDIRECT($C$5&amp;"生成成长"),2))/((VLOOKUP($B83,INDIRECT($B$5&amp;"生成成长"),4))/(VLOOKUP(FF$72,INDIRECT($C$5&amp;"生成成长"),5))*(VLOOKUP($B$5,标准坦克设计!$B$24:$U$30,MATCH("对"&amp;LEFT($C$5,2)&amp;"输出",标准坦克设计!$B$23:$U$23,0)))*(VLOOKUP($B83,INDIRECT($B$5&amp;"生成成长"),3))*(VLOOKUP($B$5,标准坦克设计!$B$14:$K$20,9)/30))</f>
        <v>61.828966304624267</v>
      </c>
      <c r="FG83" s="172">
        <f ca="1">(VLOOKUP(FG$72,INDIRECT($C$5&amp;"生成成长"),2))/((VLOOKUP($B83,INDIRECT($B$5&amp;"生成成长"),4))/(VLOOKUP(FG$72,INDIRECT($C$5&amp;"生成成长"),5))*(VLOOKUP($B$5,标准坦克设计!$B$24:$U$30,MATCH("对"&amp;LEFT($C$5,2)&amp;"输出",标准坦克设计!$B$23:$U$23,0)))*(VLOOKUP($B83,INDIRECT($B$5&amp;"生成成长"),3))*(VLOOKUP($B$5,标准坦克设计!$B$14:$K$20,9)/30))</f>
        <v>65.74410037279543</v>
      </c>
      <c r="FH83" s="172">
        <f ca="1">(VLOOKUP(FH$72,INDIRECT($C$5&amp;"生成成长"),2))/((VLOOKUP($B83,INDIRECT($B$5&amp;"生成成长"),4))/(VLOOKUP(FH$72,INDIRECT($C$5&amp;"生成成长"),5))*(VLOOKUP($B$5,标准坦克设计!$B$24:$U$30,MATCH("对"&amp;LEFT($C$5,2)&amp;"输出",标准坦克设计!$B$23:$U$23,0)))*(VLOOKUP($B83,INDIRECT($B$5&amp;"生成成长"),3))*(VLOOKUP($B$5,标准坦克设计!$B$14:$K$20,9)/30))</f>
        <v>69.7794156520321</v>
      </c>
      <c r="FI83" s="172">
        <f ca="1">(VLOOKUP(FI$72,INDIRECT($C$5&amp;"生成成长"),2))/((VLOOKUP($B83,INDIRECT($B$5&amp;"生成成长"),4))/(VLOOKUP(FI$72,INDIRECT($C$5&amp;"生成成长"),5))*(VLOOKUP($B$5,标准坦克设计!$B$24:$U$30,MATCH("对"&amp;LEFT($C$5,2)&amp;"输出",标准坦克设计!$B$23:$U$23,0)))*(VLOOKUP($B83,INDIRECT($B$5&amp;"生成成长"),3))*(VLOOKUP($B$5,标准坦克设计!$B$14:$K$20,9)/30))</f>
        <v>73.934912142334198</v>
      </c>
      <c r="FJ83" s="172">
        <f ca="1">(VLOOKUP(FJ$72,INDIRECT($C$5&amp;"生成成长"),2))/((VLOOKUP($B83,INDIRECT($B$5&amp;"生成成长"),4))/(VLOOKUP(FJ$72,INDIRECT($C$5&amp;"生成成长"),5))*(VLOOKUP($B$5,标准坦克设计!$B$24:$U$30,MATCH("对"&amp;LEFT($C$5,2)&amp;"输出",标准坦克设计!$B$23:$U$23,0)))*(VLOOKUP($B83,INDIRECT($B$5&amp;"生成成长"),3))*(VLOOKUP($B$5,标准坦克设计!$B$14:$K$20,9)/30))</f>
        <v>78.210589843701769</v>
      </c>
      <c r="FK83" s="172">
        <f ca="1">(VLOOKUP(FK$72,INDIRECT($C$5&amp;"生成成长"),2))/((VLOOKUP($B83,INDIRECT($B$5&amp;"生成成长"),4))/(VLOOKUP(FK$72,INDIRECT($C$5&amp;"生成成长"),5))*(VLOOKUP($B$5,标准坦克设计!$B$24:$U$30,MATCH("对"&amp;LEFT($C$5,2)&amp;"输出",标准坦克设计!$B$23:$U$23,0)))*(VLOOKUP($B83,INDIRECT($B$5&amp;"生成成长"),3))*(VLOOKUP($B$5,标准坦克设计!$B$14:$K$20,9)/30))</f>
        <v>82.60644875613481</v>
      </c>
    </row>
    <row r="84" spans="1:167" x14ac:dyDescent="0.15">
      <c r="A84" s="170" t="str">
        <f t="shared" si="11"/>
        <v>T2低品质7级</v>
      </c>
      <c r="B84" s="171">
        <v>10207</v>
      </c>
      <c r="C84" s="172">
        <f ca="1">(VLOOKUP(C$72,INDIRECT($C$5&amp;"生成成长"),2))/((VLOOKUP($B84,INDIRECT($B$5&amp;"生成成长"),4))/(VLOOKUP(C$72,INDIRECT($C$5&amp;"生成成长"),5))*(VLOOKUP($B$5,标准坦克设计!$B$24:$U$30,MATCH("对"&amp;LEFT($C$5,2)&amp;"输出",标准坦克设计!$B$23:$U$23,0)))*(VLOOKUP($B84,INDIRECT($B$5&amp;"生成成长"),3))*(VLOOKUP($B$5,标准坦克设计!$B$14:$K$20,9)/30))</f>
        <v>3.216647693797515</v>
      </c>
      <c r="D84" s="172">
        <f ca="1">(VLOOKUP(D$72,INDIRECT($C$5&amp;"生成成长"),2))/((VLOOKUP($B84,INDIRECT($B$5&amp;"生成成长"),4))/(VLOOKUP(D$72,INDIRECT($C$5&amp;"生成成长"),5))*(VLOOKUP($B$5,标准坦克设计!$B$24:$U$30,MATCH("对"&amp;LEFT($C$5,2)&amp;"输出",标准坦克设计!$B$23:$U$23,0)))*(VLOOKUP($B84,INDIRECT($B$5&amp;"生成成长"),3))*(VLOOKUP($B$5,标准坦克设计!$B$14:$K$20,9)/30))</f>
        <v>3.6142253487508871</v>
      </c>
      <c r="E84" s="172">
        <f ca="1">(VLOOKUP(E$72,INDIRECT($C$5&amp;"生成成长"),2))/((VLOOKUP($B84,INDIRECT($B$5&amp;"生成成长"),4))/(VLOOKUP(E$72,INDIRECT($C$5&amp;"生成成长"),5))*(VLOOKUP($B$5,标准坦克设计!$B$24:$U$30,MATCH("对"&amp;LEFT($C$5,2)&amp;"输出",标准坦克设计!$B$23:$U$23,0)))*(VLOOKUP($B84,INDIRECT($B$5&amp;"生成成长"),3))*(VLOOKUP($B$5,标准坦克设计!$B$14:$K$20,9)/30))</f>
        <v>4.0349628670996029</v>
      </c>
      <c r="F84" s="172">
        <f ca="1">(VLOOKUP(F$72,INDIRECT($C$5&amp;"生成成长"),2))/((VLOOKUP($B84,INDIRECT($B$5&amp;"生成成长"),4))/(VLOOKUP(F$72,INDIRECT($C$5&amp;"生成成长"),5))*(VLOOKUP($B$5,标准坦克设计!$B$24:$U$30,MATCH("对"&amp;LEFT($C$5,2)&amp;"输出",标准坦克设计!$B$23:$U$23,0)))*(VLOOKUP($B84,INDIRECT($B$5&amp;"生成成长"),3))*(VLOOKUP($B$5,标准坦克设计!$B$14:$K$20,9)/30))</f>
        <v>4.4788602488436586</v>
      </c>
      <c r="G84" s="172">
        <f ca="1">(VLOOKUP(G$72,INDIRECT($C$5&amp;"生成成长"),2))/((VLOOKUP($B84,INDIRECT($B$5&amp;"生成成长"),4))/(VLOOKUP(G$72,INDIRECT($C$5&amp;"生成成长"),5))*(VLOOKUP($B$5,标准坦克设计!$B$24:$U$30,MATCH("对"&amp;LEFT($C$5,2)&amp;"输出",标准坦克设计!$B$23:$U$23,0)))*(VLOOKUP($B84,INDIRECT($B$5&amp;"生成成长"),3))*(VLOOKUP($B$5,标准坦克设计!$B$14:$K$20,9)/30))</f>
        <v>4.9459174939830595</v>
      </c>
      <c r="H84" s="172">
        <f ca="1">(VLOOKUP(H$72,INDIRECT($C$5&amp;"生成成长"),2))/((VLOOKUP($B84,INDIRECT($B$5&amp;"生成成长"),4))/(VLOOKUP(H$72,INDIRECT($C$5&amp;"生成成长"),5))*(VLOOKUP($B$5,标准坦克设计!$B$24:$U$30,MATCH("对"&amp;LEFT($C$5,2)&amp;"输出",标准坦克设计!$B$23:$U$23,0)))*(VLOOKUP($B84,INDIRECT($B$5&amp;"生成成长"),3))*(VLOOKUP($B$5,标准坦克设计!$B$14:$K$20,9)/30))</f>
        <v>4.3283211367739369</v>
      </c>
      <c r="I84" s="172">
        <f ca="1">(VLOOKUP(I$72,INDIRECT($C$5&amp;"生成成长"),2))/((VLOOKUP($B84,INDIRECT($B$5&amp;"生成成长"),4))/(VLOOKUP(I$72,INDIRECT($C$5&amp;"生成成长"),5))*(VLOOKUP($B$5,标准坦克设计!$B$24:$U$30,MATCH("对"&amp;LEFT($C$5,2)&amp;"输出",标准坦克设计!$B$23:$U$23,0)))*(VLOOKUP($B84,INDIRECT($B$5&amp;"生成成长"),3))*(VLOOKUP($B$5,标准坦克设计!$B$14:$K$20,9)/30))</f>
        <v>4.9459174939830595</v>
      </c>
      <c r="J84" s="172">
        <f ca="1">(VLOOKUP(J$72,INDIRECT($C$5&amp;"生成成长"),2))/((VLOOKUP($B84,INDIRECT($B$5&amp;"生成成长"),4))/(VLOOKUP(J$72,INDIRECT($C$5&amp;"生成成长"),5))*(VLOOKUP($B$5,标准坦克设计!$B$24:$U$30,MATCH("对"&amp;LEFT($C$5,2)&amp;"输出",标准坦克设计!$B$23:$U$23,0)))*(VLOOKUP($B84,INDIRECT($B$5&amp;"生成成长"),3))*(VLOOKUP($B$5,标准坦克设计!$B$14:$K$20,9)/30))</f>
        <v>5.6046869416727896</v>
      </c>
      <c r="K84" s="172">
        <f ca="1">(VLOOKUP(K$72,INDIRECT($C$5&amp;"生成成长"),2))/((VLOOKUP($B84,INDIRECT($B$5&amp;"生成成长"),4))/(VLOOKUP(K$72,INDIRECT($C$5&amp;"生成成长"),5))*(VLOOKUP($B$5,标准坦克设计!$B$24:$U$30,MATCH("对"&amp;LEFT($C$5,2)&amp;"输出",标准坦克设计!$B$23:$U$23,0)))*(VLOOKUP($B84,INDIRECT($B$5&amp;"生成成长"),3))*(VLOOKUP($B$5,标准坦克设计!$B$14:$K$20,9)/30))</f>
        <v>6.304629479843129</v>
      </c>
      <c r="L84" s="172">
        <f ca="1">(VLOOKUP(L$72,INDIRECT($C$5&amp;"生成成长"),2))/((VLOOKUP($B84,INDIRECT($B$5&amp;"生成成长"),4))/(VLOOKUP(L$72,INDIRECT($C$5&amp;"生成成长"),5))*(VLOOKUP($B$5,标准坦克设计!$B$24:$U$30,MATCH("对"&amp;LEFT($C$5,2)&amp;"输出",标准坦克设计!$B$23:$U$23,0)))*(VLOOKUP($B84,INDIRECT($B$5&amp;"生成成长"),3))*(VLOOKUP($B$5,标准坦克设计!$B$14:$K$20,9)/30))</f>
        <v>7.045745108494077</v>
      </c>
      <c r="M84" s="172">
        <f ca="1">(VLOOKUP(M$72,INDIRECT($C$5&amp;"生成成长"),2))/((VLOOKUP($B84,INDIRECT($B$5&amp;"生成成长"),4))/(VLOOKUP(M$72,INDIRECT($C$5&amp;"生成成长"),5))*(VLOOKUP($B$5,标准坦克设计!$B$24:$U$30,MATCH("对"&amp;LEFT($C$5,2)&amp;"输出",标准坦克设计!$B$23:$U$23,0)))*(VLOOKUP($B84,INDIRECT($B$5&amp;"生成成长"),3))*(VLOOKUP($B$5,标准坦克设计!$B$14:$K$20,9)/30))</f>
        <v>7.8280338276256325</v>
      </c>
      <c r="N84" s="172">
        <f ca="1">(VLOOKUP(N$72,INDIRECT($C$5&amp;"生成成长"),2))/((VLOOKUP($B84,INDIRECT($B$5&amp;"生成成长"),4))/(VLOOKUP(N$72,INDIRECT($C$5&amp;"生成成长"),5))*(VLOOKUP($B$5,标准坦克设计!$B$24:$U$30,MATCH("对"&amp;LEFT($C$5,2)&amp;"输出",标准坦克设计!$B$23:$U$23,0)))*(VLOOKUP($B84,INDIRECT($B$5&amp;"生成成长"),3))*(VLOOKUP($B$5,标准坦克设计!$B$14:$K$20,9)/30))</f>
        <v>8.6514956372377956</v>
      </c>
      <c r="O84" s="172">
        <f ca="1">(VLOOKUP(O$72,INDIRECT($C$5&amp;"生成成长"),2))/((VLOOKUP($B84,INDIRECT($B$5&amp;"生成成长"),4))/(VLOOKUP(O$72,INDIRECT($C$5&amp;"生成成长"),5))*(VLOOKUP($B$5,标准坦克设计!$B$24:$U$30,MATCH("对"&amp;LEFT($C$5,2)&amp;"输出",标准坦克设计!$B$23:$U$23,0)))*(VLOOKUP($B84,INDIRECT($B$5&amp;"生成成长"),3))*(VLOOKUP($B$5,标准坦克设计!$B$14:$K$20,9)/30))</f>
        <v>6.5777228690465384</v>
      </c>
      <c r="P84" s="172">
        <f ca="1">(VLOOKUP(P$72,INDIRECT($C$5&amp;"生成成长"),2))/((VLOOKUP($B84,INDIRECT($B$5&amp;"生成成长"),4))/(VLOOKUP(P$72,INDIRECT($C$5&amp;"生成成长"),5))*(VLOOKUP($B$5,标准坦克设计!$B$24:$U$30,MATCH("对"&amp;LEFT($C$5,2)&amp;"输出",标准坦克设计!$B$23:$U$23,0)))*(VLOOKUP($B84,INDIRECT($B$5&amp;"生成成长"),3))*(VLOOKUP($B$5,标准坦克设计!$B$14:$K$20,9)/30))</f>
        <v>7.4317428317497791</v>
      </c>
      <c r="Q84" s="172">
        <f ca="1">(VLOOKUP(Q$72,INDIRECT($C$5&amp;"生成成长"),2))/((VLOOKUP($B84,INDIRECT($B$5&amp;"生成成长"),4))/(VLOOKUP(Q$72,INDIRECT($C$5&amp;"生成成长"),5))*(VLOOKUP($B$5,标准坦克设计!$B$24:$U$30,MATCH("对"&amp;LEFT($C$5,2)&amp;"输出",标准坦克设计!$B$23:$U$23,0)))*(VLOOKUP($B84,INDIRECT($B$5&amp;"生成成长"),3))*(VLOOKUP($B$5,标准坦克设计!$B$14:$K$20,9)/30))</f>
        <v>8.3378724870925396</v>
      </c>
      <c r="R84" s="172">
        <f ca="1">(VLOOKUP(R$72,INDIRECT($C$5&amp;"生成成长"),2))/((VLOOKUP($B84,INDIRECT($B$5&amp;"生成成长"),4))/(VLOOKUP(R$72,INDIRECT($C$5&amp;"生成成长"),5))*(VLOOKUP($B$5,标准坦克设计!$B$24:$U$30,MATCH("对"&amp;LEFT($C$5,2)&amp;"输出",标准坦克设计!$B$23:$U$23,0)))*(VLOOKUP($B84,INDIRECT($B$5&amp;"生成成长"),3))*(VLOOKUP($B$5,标准坦克设计!$B$14:$K$20,9)/30))</f>
        <v>9.296111835074818</v>
      </c>
      <c r="S84" s="172">
        <f ca="1">(VLOOKUP(S$72,INDIRECT($C$5&amp;"生成成长"),2))/((VLOOKUP($B84,INDIRECT($B$5&amp;"生成成长"),4))/(VLOOKUP(S$72,INDIRECT($C$5&amp;"生成成长"),5))*(VLOOKUP($B$5,标准坦克设计!$B$24:$U$30,MATCH("对"&amp;LEFT($C$5,2)&amp;"输出",标准坦克设计!$B$23:$U$23,0)))*(VLOOKUP($B84,INDIRECT($B$5&amp;"生成成长"),3))*(VLOOKUP($B$5,标准坦克设计!$B$14:$K$20,9)/30))</f>
        <v>10.306460875696617</v>
      </c>
      <c r="T84" s="172">
        <f ca="1">(VLOOKUP(T$72,INDIRECT($C$5&amp;"生成成长"),2))/((VLOOKUP($B84,INDIRECT($B$5&amp;"生成成长"),4))/(VLOOKUP(T$72,INDIRECT($C$5&amp;"生成成长"),5))*(VLOOKUP($B$5,标准坦克设计!$B$24:$U$30,MATCH("对"&amp;LEFT($C$5,2)&amp;"输出",标准坦克设计!$B$23:$U$23,0)))*(VLOOKUP($B84,INDIRECT($B$5&amp;"生成成长"),3))*(VLOOKUP($B$5,标准坦克设计!$B$14:$K$20,9)/30))</f>
        <v>11.368919608957935</v>
      </c>
      <c r="U84" s="172">
        <f ca="1">(VLOOKUP(U$72,INDIRECT($C$5&amp;"生成成长"),2))/((VLOOKUP($B84,INDIRECT($B$5&amp;"生成成长"),4))/(VLOOKUP(U$72,INDIRECT($C$5&amp;"生成成长"),5))*(VLOOKUP($B$5,标准坦克设计!$B$24:$U$30,MATCH("对"&amp;LEFT($C$5,2)&amp;"输出",标准坦克设计!$B$23:$U$23,0)))*(VLOOKUP($B84,INDIRECT($B$5&amp;"生成成长"),3))*(VLOOKUP($B$5,标准坦克设计!$B$14:$K$20,9)/30))</f>
        <v>12.483488034858775</v>
      </c>
      <c r="V84" s="172">
        <f ca="1">(VLOOKUP(V$72,INDIRECT($C$5&amp;"生成成长"),2))/((VLOOKUP($B84,INDIRECT($B$5&amp;"生成成长"),4))/(VLOOKUP(V$72,INDIRECT($C$5&amp;"生成成长"),5))*(VLOOKUP($B$5,标准坦克设计!$B$24:$U$30,MATCH("对"&amp;LEFT($C$5,2)&amp;"输出",标准坦克设计!$B$23:$U$23,0)))*(VLOOKUP($B84,INDIRECT($B$5&amp;"生成成长"),3))*(VLOOKUP($B$5,标准坦克设计!$B$14:$K$20,9)/30))</f>
        <v>13.650166153399137</v>
      </c>
      <c r="W84" s="172">
        <f ca="1">(VLOOKUP(W$72,INDIRECT($C$5&amp;"生成成长"),2))/((VLOOKUP($B84,INDIRECT($B$5&amp;"生成成长"),4))/(VLOOKUP(W$72,INDIRECT($C$5&amp;"生成成长"),5))*(VLOOKUP($B$5,标准坦克设计!$B$24:$U$30,MATCH("对"&amp;LEFT($C$5,2)&amp;"输出",标准坦克设计!$B$23:$U$23,0)))*(VLOOKUP($B84,INDIRECT($B$5&amp;"生成成长"),3))*(VLOOKUP($B$5,标准坦克设计!$B$14:$K$20,9)/30))</f>
        <v>14.868953964579013</v>
      </c>
      <c r="X84" s="172">
        <f ca="1">(VLOOKUP(X$72,INDIRECT($C$5&amp;"生成成长"),2))/((VLOOKUP($B84,INDIRECT($B$5&amp;"生成成长"),4))/(VLOOKUP(X$72,INDIRECT($C$5&amp;"生成成长"),5))*(VLOOKUP($B$5,标准坦克设计!$B$24:$U$30,MATCH("对"&amp;LEFT($C$5,2)&amp;"输出",标准坦克设计!$B$23:$U$23,0)))*(VLOOKUP($B84,INDIRECT($B$5&amp;"生成成长"),3))*(VLOOKUP($B$5,标准坦克设计!$B$14:$K$20,9)/30))</f>
        <v>10.772231461758498</v>
      </c>
      <c r="Y84" s="172">
        <f ca="1">(VLOOKUP(Y$72,INDIRECT($C$5&amp;"生成成长"),2))/((VLOOKUP($B84,INDIRECT($B$5&amp;"生成成长"),4))/(VLOOKUP(Y$72,INDIRECT($C$5&amp;"生成成长"),5))*(VLOOKUP($B$5,标准坦克设计!$B$24:$U$30,MATCH("对"&amp;LEFT($C$5,2)&amp;"输出",标准坦克设计!$B$23:$U$23,0)))*(VLOOKUP($B84,INDIRECT($B$5&amp;"生成成长"),3))*(VLOOKUP($B$5,标准坦克设计!$B$14:$K$20,9)/30))</f>
        <v>11.981690994626366</v>
      </c>
      <c r="Z84" s="172">
        <f ca="1">(VLOOKUP(Z$72,INDIRECT($C$5&amp;"生成成长"),2))/((VLOOKUP($B84,INDIRECT($B$5&amp;"生成成长"),4))/(VLOOKUP(Z$72,INDIRECT($C$5&amp;"生成成长"),5))*(VLOOKUP($B$5,标准坦克设计!$B$24:$U$30,MATCH("对"&amp;LEFT($C$5,2)&amp;"输出",标准坦克设计!$B$23:$U$23,0)))*(VLOOKUP($B84,INDIRECT($B$5&amp;"生成成长"),3))*(VLOOKUP($B$5,标准坦克设计!$B$14:$K$20,9)/30))</f>
        <v>13.255483481370179</v>
      </c>
      <c r="AA84" s="172">
        <f ca="1">(VLOOKUP(AA$72,INDIRECT($C$5&amp;"生成成长"),2))/((VLOOKUP($B84,INDIRECT($B$5&amp;"生成成长"),4))/(VLOOKUP(AA$72,INDIRECT($C$5&amp;"生成成长"),5))*(VLOOKUP($B$5,标准坦克设计!$B$24:$U$30,MATCH("对"&amp;LEFT($C$5,2)&amp;"输出",标准坦克设计!$B$23:$U$23,0)))*(VLOOKUP($B84,INDIRECT($B$5&amp;"生成成长"),3))*(VLOOKUP($B$5,标准坦克设计!$B$14:$K$20,9)/30))</f>
        <v>14.593608921989945</v>
      </c>
      <c r="AB84" s="172">
        <f ca="1">(VLOOKUP(AB$72,INDIRECT($C$5&amp;"生成成长"),2))/((VLOOKUP($B84,INDIRECT($B$5&amp;"生成成长"),4))/(VLOOKUP(AB$72,INDIRECT($C$5&amp;"生成成长"),5))*(VLOOKUP($B$5,标准坦克设计!$B$24:$U$30,MATCH("对"&amp;LEFT($C$5,2)&amp;"输出",标准坦克设计!$B$23:$U$23,0)))*(VLOOKUP($B84,INDIRECT($B$5&amp;"生成成长"),3))*(VLOOKUP($B$5,标准坦克设计!$B$14:$K$20,9)/30))</f>
        <v>15.996067316485663</v>
      </c>
      <c r="AC84" s="172">
        <f ca="1">(VLOOKUP(AC$72,INDIRECT($C$5&amp;"生成成长"),2))/((VLOOKUP($B84,INDIRECT($B$5&amp;"生成成长"),4))/(VLOOKUP(AC$72,INDIRECT($C$5&amp;"生成成长"),5))*(VLOOKUP($B$5,标准坦克设计!$B$24:$U$30,MATCH("对"&amp;LEFT($C$5,2)&amp;"输出",标准坦克设计!$B$23:$U$23,0)))*(VLOOKUP($B84,INDIRECT($B$5&amp;"生成成长"),3))*(VLOOKUP($B$5,标准坦克设计!$B$14:$K$20,9)/30))</f>
        <v>17.462858664857329</v>
      </c>
      <c r="AD84" s="172">
        <f ca="1">(VLOOKUP(AD$72,INDIRECT($C$5&amp;"生成成长"),2))/((VLOOKUP($B84,INDIRECT($B$5&amp;"生成成长"),4))/(VLOOKUP(AD$72,INDIRECT($C$5&amp;"生成成长"),5))*(VLOOKUP($B$5,标准坦克设计!$B$24:$U$30,MATCH("对"&amp;LEFT($C$5,2)&amp;"输出",标准坦克设计!$B$23:$U$23,0)))*(VLOOKUP($B84,INDIRECT($B$5&amp;"生成成长"),3))*(VLOOKUP($B$5,标准坦克设计!$B$14:$K$20,9)/30))</f>
        <v>18.993982967104948</v>
      </c>
      <c r="AE84" s="172">
        <f ca="1">(VLOOKUP(AE$72,INDIRECT($C$5&amp;"生成成长"),2))/((VLOOKUP($B84,INDIRECT($B$5&amp;"生成成长"),4))/(VLOOKUP(AE$72,INDIRECT($C$5&amp;"生成成长"),5))*(VLOOKUP($B$5,标准坦克设计!$B$24:$U$30,MATCH("对"&amp;LEFT($C$5,2)&amp;"输出",标准坦克设计!$B$23:$U$23,0)))*(VLOOKUP($B84,INDIRECT($B$5&amp;"生成成长"),3))*(VLOOKUP($B$5,标准坦克设计!$B$14:$K$20,9)/30))</f>
        <v>20.589440223228515</v>
      </c>
      <c r="AF84" s="172">
        <f ca="1">(VLOOKUP(AF$72,INDIRECT($C$5&amp;"生成成长"),2))/((VLOOKUP($B84,INDIRECT($B$5&amp;"生成成长"),4))/(VLOOKUP(AF$72,INDIRECT($C$5&amp;"生成成长"),5))*(VLOOKUP($B$5,标准坦克设计!$B$24:$U$30,MATCH("对"&amp;LEFT($C$5,2)&amp;"输出",标准坦克设计!$B$23:$U$23,0)))*(VLOOKUP($B84,INDIRECT($B$5&amp;"生成成长"),3))*(VLOOKUP($B$5,标准坦克设计!$B$14:$K$20,9)/30))</f>
        <v>22.249230433228032</v>
      </c>
      <c r="AG84" s="172">
        <f ca="1">(VLOOKUP(AG$72,INDIRECT($C$5&amp;"生成成长"),2))/((VLOOKUP($B84,INDIRECT($B$5&amp;"生成成长"),4))/(VLOOKUP(AG$72,INDIRECT($C$5&amp;"生成成长"),5))*(VLOOKUP($B$5,标准坦克设计!$B$24:$U$30,MATCH("对"&amp;LEFT($C$5,2)&amp;"输出",标准坦克设计!$B$23:$U$23,0)))*(VLOOKUP($B84,INDIRECT($B$5&amp;"生成成长"),3))*(VLOOKUP($B$5,标准坦克设计!$B$14:$K$20,9)/30))</f>
        <v>23.973353597103504</v>
      </c>
      <c r="AH84" s="172">
        <f ca="1">(VLOOKUP(AH$72,INDIRECT($C$5&amp;"生成成长"),2))/((VLOOKUP($B84,INDIRECT($B$5&amp;"生成成长"),4))/(VLOOKUP(AH$72,INDIRECT($C$5&amp;"生成成长"),5))*(VLOOKUP($B$5,标准坦克设计!$B$24:$U$30,MATCH("对"&amp;LEFT($C$5,2)&amp;"输出",标准坦克设计!$B$23:$U$23,0)))*(VLOOKUP($B84,INDIRECT($B$5&amp;"生成成长"),3))*(VLOOKUP($B$5,标准坦克设计!$B$14:$K$20,9)/30))</f>
        <v>25.76180971485492</v>
      </c>
      <c r="AI84" s="172">
        <f ca="1">(VLOOKUP(AI$72,INDIRECT($C$5&amp;"生成成长"),2))/((VLOOKUP($B84,INDIRECT($B$5&amp;"生成成长"),4))/(VLOOKUP(AI$72,INDIRECT($C$5&amp;"生成成长"),5))*(VLOOKUP($B$5,标准坦克设计!$B$24:$U$30,MATCH("对"&amp;LEFT($C$5,2)&amp;"输出",标准坦克设计!$B$23:$U$23,0)))*(VLOOKUP($B84,INDIRECT($B$5&amp;"生成成长"),3))*(VLOOKUP($B$5,标准坦克设计!$B$14:$K$20,9)/30))</f>
        <v>18.220379196746642</v>
      </c>
      <c r="AJ84" s="172">
        <f ca="1">(VLOOKUP(AJ$72,INDIRECT($C$5&amp;"生成成长"),2))/((VLOOKUP($B84,INDIRECT($B$5&amp;"生成成长"),4))/(VLOOKUP(AJ$72,INDIRECT($C$5&amp;"生成成长"),5))*(VLOOKUP($B$5,标准坦克设计!$B$24:$U$30,MATCH("对"&amp;LEFT($C$5,2)&amp;"输出",标准坦克设计!$B$23:$U$23,0)))*(VLOOKUP($B84,INDIRECT($B$5&amp;"生成成长"),3))*(VLOOKUP($B$5,标准坦克设计!$B$14:$K$20,9)/30))</f>
        <v>19.943537366313976</v>
      </c>
      <c r="AK84" s="172">
        <f ca="1">(VLOOKUP(AK$72,INDIRECT($C$5&amp;"生成成长"),2))/((VLOOKUP($B84,INDIRECT($B$5&amp;"生成成长"),4))/(VLOOKUP(AK$72,INDIRECT($C$5&amp;"生成成长"),5))*(VLOOKUP($B$5,标准坦克设计!$B$24:$U$30,MATCH("对"&amp;LEFT($C$5,2)&amp;"输出",标准坦克设计!$B$23:$U$23,0)))*(VLOOKUP($B84,INDIRECT($B$5&amp;"生成成长"),3))*(VLOOKUP($B$5,标准坦克设计!$B$14:$K$20,9)/30))</f>
        <v>21.7445384100712</v>
      </c>
      <c r="AL84" s="172">
        <f ca="1">(VLOOKUP(AL$72,INDIRECT($C$5&amp;"生成成长"),2))/((VLOOKUP($B84,INDIRECT($B$5&amp;"生成成长"),4))/(VLOOKUP(AL$72,INDIRECT($C$5&amp;"生成成长"),5))*(VLOOKUP($B$5,标准坦克设计!$B$24:$U$30,MATCH("对"&amp;LEFT($C$5,2)&amp;"输出",标准坦克设计!$B$23:$U$23,0)))*(VLOOKUP($B84,INDIRECT($B$5&amp;"生成成长"),3))*(VLOOKUP($B$5,标准坦克设计!$B$14:$K$20,9)/30))</f>
        <v>23.62338232801833</v>
      </c>
      <c r="AM84" s="172">
        <f ca="1">(VLOOKUP(AM$72,INDIRECT($C$5&amp;"生成成长"),2))/((VLOOKUP($B84,INDIRECT($B$5&amp;"生成成长"),4))/(VLOOKUP(AM$72,INDIRECT($C$5&amp;"生成成长"),5))*(VLOOKUP($B$5,标准坦克设计!$B$24:$U$30,MATCH("对"&amp;LEFT($C$5,2)&amp;"输出",标准坦克设计!$B$23:$U$23,0)))*(VLOOKUP($B84,INDIRECT($B$5&amp;"生成成长"),3))*(VLOOKUP($B$5,标准坦克设计!$B$14:$K$20,9)/30))</f>
        <v>25.580069120155354</v>
      </c>
      <c r="AN84" s="172">
        <f ca="1">(VLOOKUP(AN$72,INDIRECT($C$5&amp;"生成成长"),2))/((VLOOKUP($B84,INDIRECT($B$5&amp;"生成成长"),4))/(VLOOKUP(AN$72,INDIRECT($C$5&amp;"生成成长"),5))*(VLOOKUP($B$5,标准坦克设计!$B$24:$U$30,MATCH("对"&amp;LEFT($C$5,2)&amp;"输出",标准坦克设计!$B$23:$U$23,0)))*(VLOOKUP($B84,INDIRECT($B$5&amp;"生成成长"),3))*(VLOOKUP($B$5,标准坦克设计!$B$14:$K$20,9)/30))</f>
        <v>27.614598786482286</v>
      </c>
      <c r="AO84" s="172">
        <f ca="1">(VLOOKUP(AO$72,INDIRECT($C$5&amp;"生成成长"),2))/((VLOOKUP($B84,INDIRECT($B$5&amp;"生成成长"),4))/(VLOOKUP(AO$72,INDIRECT($C$5&amp;"生成成长"),5))*(VLOOKUP($B$5,标准坦克设计!$B$24:$U$30,MATCH("对"&amp;LEFT($C$5,2)&amp;"输出",标准坦克设计!$B$23:$U$23,0)))*(VLOOKUP($B84,INDIRECT($B$5&amp;"生成成长"),3))*(VLOOKUP($B$5,标准坦克设计!$B$14:$K$20,9)/30))</f>
        <v>29.726971326999116</v>
      </c>
      <c r="AP84" s="172">
        <f ca="1">(VLOOKUP(AP$72,INDIRECT($C$5&amp;"生成成长"),2))/((VLOOKUP($B84,INDIRECT($B$5&amp;"生成成长"),4))/(VLOOKUP(AP$72,INDIRECT($C$5&amp;"生成成长"),5))*(VLOOKUP($B$5,标准坦克设计!$B$24:$U$30,MATCH("对"&amp;LEFT($C$5,2)&amp;"输出",标准坦克设计!$B$23:$U$23,0)))*(VLOOKUP($B84,INDIRECT($B$5&amp;"生成成长"),3))*(VLOOKUP($B$5,标准坦克设计!$B$14:$K$20,9)/30))</f>
        <v>31.917186741705841</v>
      </c>
      <c r="AQ84" s="172">
        <f ca="1">(VLOOKUP(AQ$72,INDIRECT($C$5&amp;"生成成长"),2))/((VLOOKUP($B84,INDIRECT($B$5&amp;"生成成长"),4))/(VLOOKUP(AQ$72,INDIRECT($C$5&amp;"生成成长"),5))*(VLOOKUP($B$5,标准坦克设计!$B$24:$U$30,MATCH("对"&amp;LEFT($C$5,2)&amp;"输出",标准坦克设计!$B$23:$U$23,0)))*(VLOOKUP($B84,INDIRECT($B$5&amp;"生成成长"),3))*(VLOOKUP($B$5,标准坦克设计!$B$14:$K$20,9)/30))</f>
        <v>34.185245030602466</v>
      </c>
      <c r="AR84" s="172">
        <f ca="1">(VLOOKUP(AR$72,INDIRECT($C$5&amp;"生成成长"),2))/((VLOOKUP($B84,INDIRECT($B$5&amp;"生成成长"),4))/(VLOOKUP(AR$72,INDIRECT($C$5&amp;"生成成长"),5))*(VLOOKUP($B$5,标准坦克设计!$B$24:$U$30,MATCH("对"&amp;LEFT($C$5,2)&amp;"输出",标准坦克设计!$B$23:$U$23,0)))*(VLOOKUP($B84,INDIRECT($B$5&amp;"生成成长"),3))*(VLOOKUP($B$5,标准坦克设计!$B$14:$K$20,9)/30))</f>
        <v>36.531146193689004</v>
      </c>
      <c r="AS84" s="172">
        <f ca="1">(VLOOKUP(AS$72,INDIRECT($C$5&amp;"生成成长"),2))/((VLOOKUP($B84,INDIRECT($B$5&amp;"生成成长"),4))/(VLOOKUP(AS$72,INDIRECT($C$5&amp;"生成成长"),5))*(VLOOKUP($B$5,标准坦克设计!$B$24:$U$30,MATCH("对"&amp;LEFT($C$5,2)&amp;"输出",标准坦克设计!$B$23:$U$23,0)))*(VLOOKUP($B84,INDIRECT($B$5&amp;"生成成长"),3))*(VLOOKUP($B$5,标准坦克设计!$B$14:$K$20,9)/30))</f>
        <v>38.954890230965425</v>
      </c>
      <c r="AT84" s="172">
        <f ca="1">(VLOOKUP(AT$72,INDIRECT($C$5&amp;"生成成长"),2))/((VLOOKUP($B84,INDIRECT($B$5&amp;"生成成长"),4))/(VLOOKUP(AT$72,INDIRECT($C$5&amp;"生成成长"),5))*(VLOOKUP($B$5,标准坦克设计!$B$24:$U$30,MATCH("对"&amp;LEFT($C$5,2)&amp;"输出",标准坦克设计!$B$23:$U$23,0)))*(VLOOKUP($B84,INDIRECT($B$5&amp;"生成成长"),3))*(VLOOKUP($B$5,标准坦克设计!$B$14:$K$20,9)/30))</f>
        <v>41.456477142431751</v>
      </c>
      <c r="AU84" s="172">
        <f ca="1">(VLOOKUP(AU$72,INDIRECT($C$5&amp;"生成成长"),2))/((VLOOKUP($B84,INDIRECT($B$5&amp;"生成成长"),4))/(VLOOKUP(AU$72,INDIRECT($C$5&amp;"生成成长"),5))*(VLOOKUP($B$5,标准坦克设计!$B$24:$U$30,MATCH("对"&amp;LEFT($C$5,2)&amp;"输出",标准坦克设计!$B$23:$U$23,0)))*(VLOOKUP($B84,INDIRECT($B$5&amp;"生成成长"),3))*(VLOOKUP($B$5,标准坦克设计!$B$14:$K$20,9)/30))</f>
        <v>44.035906928087982</v>
      </c>
      <c r="AV84" s="172">
        <f ca="1">(VLOOKUP(AV$72,INDIRECT($C$5&amp;"生成成长"),2))/((VLOOKUP($B84,INDIRECT($B$5&amp;"生成成长"),4))/(VLOOKUP(AV$72,INDIRECT($C$5&amp;"生成成长"),5))*(VLOOKUP($B$5,标准坦克设计!$B$24:$U$30,MATCH("对"&amp;LEFT($C$5,2)&amp;"输出",标准坦克设计!$B$23:$U$23,0)))*(VLOOKUP($B84,INDIRECT($B$5&amp;"生成成长"),3))*(VLOOKUP($B$5,标准坦克设计!$B$14:$K$20,9)/30))</f>
        <v>4.4788602488436586</v>
      </c>
      <c r="AW84" s="172">
        <f ca="1">(VLOOKUP(AW$72,INDIRECT($C$5&amp;"生成成长"),2))/((VLOOKUP($B84,INDIRECT($B$5&amp;"生成成长"),4))/(VLOOKUP(AW$72,INDIRECT($C$5&amp;"生成成长"),5))*(VLOOKUP($B$5,标准坦克设计!$B$24:$U$30,MATCH("对"&amp;LEFT($C$5,2)&amp;"输出",标准坦克设计!$B$23:$U$23,0)))*(VLOOKUP($B84,INDIRECT($B$5&amp;"生成成长"),3))*(VLOOKUP($B$5,标准坦克设计!$B$14:$K$20,9)/30))</f>
        <v>5.1067498786729351</v>
      </c>
      <c r="AX84" s="172">
        <f ca="1">(VLOOKUP(AX$72,INDIRECT($C$5&amp;"生成成长"),2))/((VLOOKUP($B84,INDIRECT($B$5&amp;"生成成长"),4))/(VLOOKUP(AX$72,INDIRECT($C$5&amp;"生成成长"),5))*(VLOOKUP($B$5,标准坦克设计!$B$24:$U$30,MATCH("对"&amp;LEFT($C$5,2)&amp;"输出",标准坦克设计!$B$23:$U$23,0)))*(VLOOKUP($B84,INDIRECT($B$5&amp;"生成成长"),3))*(VLOOKUP($B$5,标准坦克设计!$B$14:$K$20,9)/30))</f>
        <v>5.7758125989828182</v>
      </c>
      <c r="AY84" s="172">
        <f ca="1">(VLOOKUP(AY$72,INDIRECT($C$5&amp;"生成成长"),2))/((VLOOKUP($B84,INDIRECT($B$5&amp;"生成成长"),4))/(VLOOKUP(AY$72,INDIRECT($C$5&amp;"生成成长"),5))*(VLOOKUP($B$5,标准坦克设计!$B$24:$U$30,MATCH("对"&amp;LEFT($C$5,2)&amp;"输出",标准坦克设计!$B$23:$U$23,0)))*(VLOOKUP($B84,INDIRECT($B$5&amp;"生成成长"),3))*(VLOOKUP($B$5,标准坦克设计!$B$14:$K$20,9)/30))</f>
        <v>6.4860484097733098</v>
      </c>
      <c r="AZ84" s="172">
        <f ca="1">(VLOOKUP(AZ$72,INDIRECT($C$5&amp;"生成成长"),2))/((VLOOKUP($B84,INDIRECT($B$5&amp;"生成成长"),4))/(VLOOKUP(AZ$72,INDIRECT($C$5&amp;"生成成长"),5))*(VLOOKUP($B$5,标准坦克设计!$B$24:$U$30,MATCH("对"&amp;LEFT($C$5,2)&amp;"输出",标准坦克设计!$B$23:$U$23,0)))*(VLOOKUP($B84,INDIRECT($B$5&amp;"生成成长"),3))*(VLOOKUP($B$5,标准坦克设计!$B$14:$K$20,9)/30))</f>
        <v>7.2374573110444098</v>
      </c>
      <c r="BA84" s="172">
        <f ca="1">(VLOOKUP(BA$72,INDIRECT($C$5&amp;"生成成长"),2))/((VLOOKUP($B84,INDIRECT($B$5&amp;"生成成长"),4))/(VLOOKUP(BA$72,INDIRECT($C$5&amp;"生成成长"),5))*(VLOOKUP($B$5,标准坦克设计!$B$24:$U$30,MATCH("对"&amp;LEFT($C$5,2)&amp;"输出",标准坦克设计!$B$23:$U$23,0)))*(VLOOKUP($B84,INDIRECT($B$5&amp;"生成成长"),3))*(VLOOKUP($B$5,标准坦克设计!$B$14:$K$20,9)/30))</f>
        <v>8.0300393027961157</v>
      </c>
      <c r="BB84" s="172">
        <f ca="1">(VLOOKUP(BB$72,INDIRECT($C$5&amp;"生成成长"),2))/((VLOOKUP($B84,INDIRECT($B$5&amp;"生成成长"),4))/(VLOOKUP(BB$72,INDIRECT($C$5&amp;"生成成长"),5))*(VLOOKUP($B$5,标准坦克设计!$B$24:$U$30,MATCH("对"&amp;LEFT($C$5,2)&amp;"输出",标准坦克设计!$B$23:$U$23,0)))*(VLOOKUP($B84,INDIRECT($B$5&amp;"生成成长"),3))*(VLOOKUP($B$5,标准坦克设计!$B$14:$K$20,9)/30))</f>
        <v>8.8637943850284344</v>
      </c>
      <c r="BC84" s="172">
        <f ca="1">(VLOOKUP(BC$72,INDIRECT($C$5&amp;"生成成长"),2))/((VLOOKUP($B84,INDIRECT($B$5&amp;"生成成长"),4))/(VLOOKUP(BC$72,INDIRECT($C$5&amp;"生成成长"),5))*(VLOOKUP($B$5,标准坦克设计!$B$24:$U$30,MATCH("对"&amp;LEFT($C$5,2)&amp;"输出",标准坦克设计!$B$23:$U$23,0)))*(VLOOKUP($B84,INDIRECT($B$5&amp;"生成成长"),3))*(VLOOKUP($B$5,标准坦克设计!$B$14:$K$20,9)/30))</f>
        <v>9.7387225577413563</v>
      </c>
      <c r="BD84" s="172">
        <f ca="1">(VLOOKUP(BD$72,INDIRECT($C$5&amp;"生成成长"),2))/((VLOOKUP($B84,INDIRECT($B$5&amp;"生成成长"),4))/(VLOOKUP(BD$72,INDIRECT($C$5&amp;"生成成长"),5))*(VLOOKUP($B$5,标准坦克设计!$B$24:$U$30,MATCH("对"&amp;LEFT($C$5,2)&amp;"输出",标准坦克设计!$B$23:$U$23,0)))*(VLOOKUP($B84,INDIRECT($B$5&amp;"生成成长"),3))*(VLOOKUP($B$5,标准坦克设计!$B$14:$K$20,9)/30))</f>
        <v>10.772231461758498</v>
      </c>
      <c r="BE84" s="172">
        <f ca="1">(VLOOKUP(BE$72,INDIRECT($C$5&amp;"生成成长"),2))/((VLOOKUP($B84,INDIRECT($B$5&amp;"生成成长"),4))/(VLOOKUP(BE$72,INDIRECT($C$5&amp;"生成成长"),5))*(VLOOKUP($B$5,标准坦克设计!$B$24:$U$30,MATCH("对"&amp;LEFT($C$5,2)&amp;"输出",标准坦克设计!$B$23:$U$23,0)))*(VLOOKUP($B84,INDIRECT($B$5&amp;"生成成长"),3))*(VLOOKUP($B$5,标准坦克设计!$B$14:$K$20,9)/30))</f>
        <v>11.857850058415158</v>
      </c>
      <c r="BF84" s="172">
        <f ca="1">(VLOOKUP(BF$72,INDIRECT($C$5&amp;"生成成长"),2))/((VLOOKUP($B84,INDIRECT($B$5&amp;"生成成长"),4))/(VLOOKUP(BF$72,INDIRECT($C$5&amp;"生成成长"),5))*(VLOOKUP($B$5,标准坦克设计!$B$24:$U$30,MATCH("对"&amp;LEFT($C$5,2)&amp;"输出",标准坦克设计!$B$23:$U$23,0)))*(VLOOKUP($B84,INDIRECT($B$5&amp;"生成成长"),3))*(VLOOKUP($B$5,标准坦克设计!$B$14:$K$20,9)/30))</f>
        <v>12.995578347711341</v>
      </c>
      <c r="BG84" s="172">
        <f ca="1">(VLOOKUP(BG$72,INDIRECT($C$5&amp;"生成成长"),2))/((VLOOKUP($B84,INDIRECT($B$5&amp;"生成成长"),4))/(VLOOKUP(BG$72,INDIRECT($C$5&amp;"生成成长"),5))*(VLOOKUP($B$5,标准坦克设计!$B$24:$U$30,MATCH("对"&amp;LEFT($C$5,2)&amp;"输出",标准坦克设计!$B$23:$U$23,0)))*(VLOOKUP($B84,INDIRECT($B$5&amp;"生成成长"),3))*(VLOOKUP($B$5,标准坦克设计!$B$14:$K$20,9)/30))</f>
        <v>14.18541632964704</v>
      </c>
      <c r="BH84" s="172">
        <f ca="1">(VLOOKUP(BH$72,INDIRECT($C$5&amp;"生成成长"),2))/((VLOOKUP($B84,INDIRECT($B$5&amp;"生成成长"),4))/(VLOOKUP(BH$72,INDIRECT($C$5&amp;"生成成长"),5))*(VLOOKUP($B$5,标准坦克设计!$B$24:$U$30,MATCH("对"&amp;LEFT($C$5,2)&amp;"输出",标准坦克设计!$B$23:$U$23,0)))*(VLOOKUP($B84,INDIRECT($B$5&amp;"生成成长"),3))*(VLOOKUP($B$5,标准坦克设计!$B$14:$K$20,9)/30))</f>
        <v>6.8566062240987833</v>
      </c>
      <c r="BI84" s="172">
        <f ca="1">(VLOOKUP(BI$72,INDIRECT($C$5&amp;"生成成长"),2))/((VLOOKUP($B84,INDIRECT($B$5&amp;"生成成长"),4))/(VLOOKUP(BI$72,INDIRECT($C$5&amp;"生成成长"),5))*(VLOOKUP($B$5,标准坦克设计!$B$24:$U$30,MATCH("对"&amp;LEFT($C$5,2)&amp;"输出",标准坦克设计!$B$23:$U$23,0)))*(VLOOKUP($B84,INDIRECT($B$5&amp;"生成成长"),3))*(VLOOKUP($B$5,标准坦克设计!$B$14:$K$20,9)/30))</f>
        <v>7.7279960843485309</v>
      </c>
      <c r="BJ84" s="172">
        <f ca="1">(VLOOKUP(BJ$72,INDIRECT($C$5&amp;"生成成长"),2))/((VLOOKUP($B84,INDIRECT($B$5&amp;"生成成长"),4))/(VLOOKUP(BJ$72,INDIRECT($C$5&amp;"生成成长"),5))*(VLOOKUP($B$5,标准坦克设计!$B$24:$U$30,MATCH("对"&amp;LEFT($C$5,2)&amp;"输出",标准坦克设计!$B$23:$U$23,0)))*(VLOOKUP($B84,INDIRECT($B$5&amp;"生成成长"),3))*(VLOOKUP($B$5,标准坦克设计!$B$14:$K$20,9)/30))</f>
        <v>8.6514956372377956</v>
      </c>
      <c r="BK84" s="172">
        <f ca="1">(VLOOKUP(BK$72,INDIRECT($C$5&amp;"生成成长"),2))/((VLOOKUP($B84,INDIRECT($B$5&amp;"生成成长"),4))/(VLOOKUP(BK$72,INDIRECT($C$5&amp;"生成成长"),5))*(VLOOKUP($B$5,标准坦克设计!$B$24:$U$30,MATCH("对"&amp;LEFT($C$5,2)&amp;"输出",标准坦克设计!$B$23:$U$23,0)))*(VLOOKUP($B84,INDIRECT($B$5&amp;"生成成长"),3))*(VLOOKUP($B$5,标准坦克设计!$B$14:$K$20,9)/30))</f>
        <v>9.6271048827665826</v>
      </c>
      <c r="BL84" s="172">
        <f ca="1">(VLOOKUP(BL$72,INDIRECT($C$5&amp;"生成成长"),2))/((VLOOKUP($B84,INDIRECT($B$5&amp;"生成成长"),4))/(VLOOKUP(BL$72,INDIRECT($C$5&amp;"生成成长"),5))*(VLOOKUP($B$5,标准坦克设计!$B$24:$U$30,MATCH("对"&amp;LEFT($C$5,2)&amp;"输出",标准坦克设计!$B$23:$U$23,0)))*(VLOOKUP($B84,INDIRECT($B$5&amp;"生成成长"),3))*(VLOOKUP($B$5,标准坦克设计!$B$14:$K$20,9)/30))</f>
        <v>10.654823820934887</v>
      </c>
      <c r="BM84" s="172">
        <f ca="1">(VLOOKUP(BM$72,INDIRECT($C$5&amp;"生成成长"),2))/((VLOOKUP($B84,INDIRECT($B$5&amp;"生成成长"),4))/(VLOOKUP(BM$72,INDIRECT($C$5&amp;"生成成长"),5))*(VLOOKUP($B$5,标准坦克设计!$B$24:$U$30,MATCH("对"&amp;LEFT($C$5,2)&amp;"输出",标准坦克设计!$B$23:$U$23,0)))*(VLOOKUP($B84,INDIRECT($B$5&amp;"生成成长"),3))*(VLOOKUP($B$5,标准坦克设计!$B$14:$K$20,9)/30))</f>
        <v>11.734652451742715</v>
      </c>
      <c r="BN84" s="172">
        <f ca="1">(VLOOKUP(BN$72,INDIRECT($C$5&amp;"生成成长"),2))/((VLOOKUP($B84,INDIRECT($B$5&amp;"生成成长"),4))/(VLOOKUP(BN$72,INDIRECT($C$5&amp;"生成成长"),5))*(VLOOKUP($B$5,标准坦克设计!$B$24:$U$30,MATCH("对"&amp;LEFT($C$5,2)&amp;"输出",标准坦克设计!$B$23:$U$23,0)))*(VLOOKUP($B84,INDIRECT($B$5&amp;"生成成长"),3))*(VLOOKUP($B$5,标准坦克设计!$B$14:$K$20,9)/30))</f>
        <v>12.86659077519006</v>
      </c>
      <c r="BO84" s="172">
        <f ca="1">(VLOOKUP(BO$72,INDIRECT($C$5&amp;"生成成长"),2))/((VLOOKUP($B84,INDIRECT($B$5&amp;"生成成长"),4))/(VLOOKUP(BO$72,INDIRECT($C$5&amp;"生成成长"),5))*(VLOOKUP($B$5,标准坦克设计!$B$24:$U$30,MATCH("对"&amp;LEFT($C$5,2)&amp;"输出",标准坦克设计!$B$23:$U$23,0)))*(VLOOKUP($B84,INDIRECT($B$5&amp;"生成成长"),3))*(VLOOKUP($B$5,标准坦克设计!$B$14:$K$20,9)/30))</f>
        <v>14.050638791276926</v>
      </c>
      <c r="BP84" s="172">
        <f ca="1">(VLOOKUP(BP$72,INDIRECT($C$5&amp;"生成成长"),2))/((VLOOKUP($B84,INDIRECT($B$5&amp;"生成成长"),4))/(VLOOKUP(BP$72,INDIRECT($C$5&amp;"生成成长"),5))*(VLOOKUP($B$5,标准坦克设计!$B$24:$U$30,MATCH("对"&amp;LEFT($C$5,2)&amp;"输出",标准坦克设计!$B$23:$U$23,0)))*(VLOOKUP($B84,INDIRECT($B$5&amp;"生成成长"),3))*(VLOOKUP($B$5,标准坦克设计!$B$14:$K$20,9)/30))</f>
        <v>15.286796500003309</v>
      </c>
      <c r="BQ84" s="172">
        <f ca="1">(VLOOKUP(BQ$72,INDIRECT($C$5&amp;"生成成长"),2))/((VLOOKUP($B84,INDIRECT($B$5&amp;"生成成长"),4))/(VLOOKUP(BQ$72,INDIRECT($C$5&amp;"生成成长"),5))*(VLOOKUP($B$5,标准坦克设计!$B$24:$U$30,MATCH("对"&amp;LEFT($C$5,2)&amp;"输出",标准坦克设计!$B$23:$U$23,0)))*(VLOOKUP($B84,INDIRECT($B$5&amp;"生成成长"),3))*(VLOOKUP($B$5,标准坦克设计!$B$14:$K$20,9)/30))</f>
        <v>16.575063901369216</v>
      </c>
      <c r="BR84" s="172">
        <f ca="1">(VLOOKUP(BR$72,INDIRECT($C$5&amp;"生成成长"),2))/((VLOOKUP($B84,INDIRECT($B$5&amp;"生成成长"),4))/(VLOOKUP(BR$72,INDIRECT($C$5&amp;"生成成长"),5))*(VLOOKUP($B$5,标准坦克设计!$B$24:$U$30,MATCH("对"&amp;LEFT($C$5,2)&amp;"输出",标准坦克设计!$B$23:$U$23,0)))*(VLOOKUP($B84,INDIRECT($B$5&amp;"生成成长"),3))*(VLOOKUP($B$5,标准坦克设计!$B$14:$K$20,9)/30))</f>
        <v>18.067588431291263</v>
      </c>
      <c r="BS84" s="172">
        <f ca="1">(VLOOKUP(BS$72,INDIRECT($C$5&amp;"生成成长"),2))/((VLOOKUP($B84,INDIRECT($B$5&amp;"生成成长"),4))/(VLOOKUP(BS$72,INDIRECT($C$5&amp;"生成成长"),5))*(VLOOKUP($B$5,标准坦克设计!$B$24:$U$30,MATCH("对"&amp;LEFT($C$5,2)&amp;"输出",标准坦克设计!$B$23:$U$23,0)))*(VLOOKUP($B84,INDIRECT($B$5&amp;"生成成长"),3))*(VLOOKUP($B$5,标准坦克设计!$B$14:$K$20,9)/30))</f>
        <v>19.624445915089257</v>
      </c>
      <c r="BT84" s="172">
        <f ca="1">(VLOOKUP(BT$72,INDIRECT($C$5&amp;"生成成长"),2))/((VLOOKUP($B84,INDIRECT($B$5&amp;"生成成长"),4))/(VLOOKUP(BT$72,INDIRECT($C$5&amp;"生成成长"),5))*(VLOOKUP($B$5,标准坦克设计!$B$24:$U$30,MATCH("对"&amp;LEFT($C$5,2)&amp;"输出",标准坦克设计!$B$23:$U$23,0)))*(VLOOKUP($B84,INDIRECT($B$5&amp;"生成成长"),3))*(VLOOKUP($B$5,标准坦克设计!$B$14:$K$20,9)/30))</f>
        <v>21.245636352763206</v>
      </c>
      <c r="BU84" s="172">
        <f ca="1">(VLOOKUP(BU$72,INDIRECT($C$5&amp;"生成成长"),2))/((VLOOKUP($B84,INDIRECT($B$5&amp;"生成成长"),4))/(VLOOKUP(BU$72,INDIRECT($C$5&amp;"生成成长"),5))*(VLOOKUP($B$5,标准坦克设计!$B$24:$U$30,MATCH("对"&amp;LEFT($C$5,2)&amp;"输出",标准坦克设计!$B$23:$U$23,0)))*(VLOOKUP($B84,INDIRECT($B$5&amp;"生成成长"),3))*(VLOOKUP($B$5,标准坦克设计!$B$14:$K$20,9)/30))</f>
        <v>22.931159744313106</v>
      </c>
      <c r="BV84" s="172">
        <f ca="1">(VLOOKUP(BV$72,INDIRECT($C$5&amp;"生成成长"),2))/((VLOOKUP($B84,INDIRECT($B$5&amp;"生成成长"),4))/(VLOOKUP(BV$72,INDIRECT($C$5&amp;"生成成长"),5))*(VLOOKUP($B$5,标准坦克设计!$B$24:$U$30,MATCH("对"&amp;LEFT($C$5,2)&amp;"输出",标准坦克设计!$B$23:$U$23,0)))*(VLOOKUP($B84,INDIRECT($B$5&amp;"生成成长"),3))*(VLOOKUP($B$5,标准坦克设计!$B$14:$K$20,9)/30))</f>
        <v>24.681016089738954</v>
      </c>
      <c r="BW84" s="172">
        <f ca="1">(VLOOKUP(BW$72,INDIRECT($C$5&amp;"生成成长"),2))/((VLOOKUP($B84,INDIRECT($B$5&amp;"生成成长"),4))/(VLOOKUP(BW$72,INDIRECT($C$5&amp;"生成成长"),5))*(VLOOKUP($B$5,标准坦克设计!$B$24:$U$30,MATCH("对"&amp;LEFT($C$5,2)&amp;"输出",标准坦克设计!$B$23:$U$23,0)))*(VLOOKUP($B84,INDIRECT($B$5&amp;"生成成长"),3))*(VLOOKUP($B$5,标准坦克设计!$B$14:$K$20,9)/30))</f>
        <v>11.24829532044053</v>
      </c>
      <c r="BX84" s="172">
        <f ca="1">(VLOOKUP(BX$72,INDIRECT($C$5&amp;"生成成长"),2))/((VLOOKUP($B84,INDIRECT($B$5&amp;"生成成长"),4))/(VLOOKUP(BX$72,INDIRECT($C$5&amp;"生成成长"),5))*(VLOOKUP($B$5,标准坦克设计!$B$24:$U$30,MATCH("对"&amp;LEFT($C$5,2)&amp;"输出",标准坦克设计!$B$23:$U$23,0)))*(VLOOKUP($B84,INDIRECT($B$5&amp;"生成成长"),3))*(VLOOKUP($B$5,标准坦克设计!$B$14:$K$20,9)/30))</f>
        <v>12.483488034858775</v>
      </c>
      <c r="BY84" s="172">
        <f ca="1">(VLOOKUP(BY$72,INDIRECT($C$5&amp;"生成成长"),2))/((VLOOKUP($B84,INDIRECT($B$5&amp;"生成成长"),4))/(VLOOKUP(BY$72,INDIRECT($C$5&amp;"生成成长"),5))*(VLOOKUP($B$5,标准坦克设计!$B$24:$U$30,MATCH("对"&amp;LEFT($C$5,2)&amp;"输出",标准坦克设计!$B$23:$U$23,0)))*(VLOOKUP($B84,INDIRECT($B$5&amp;"生成成长"),3))*(VLOOKUP($B$5,标准坦克设计!$B$14:$K$20,9)/30))</f>
        <v>13.783013703152973</v>
      </c>
      <c r="BZ84" s="172">
        <f ca="1">(VLOOKUP(BZ$72,INDIRECT($C$5&amp;"生成成长"),2))/((VLOOKUP($B84,INDIRECT($B$5&amp;"生成成长"),4))/(VLOOKUP(BZ$72,INDIRECT($C$5&amp;"生成成长"),5))*(VLOOKUP($B$5,标准坦克设计!$B$24:$U$30,MATCH("对"&amp;LEFT($C$5,2)&amp;"输出",标准坦克设计!$B$23:$U$23,0)))*(VLOOKUP($B84,INDIRECT($B$5&amp;"生成成长"),3))*(VLOOKUP($B$5,标准坦克设计!$B$14:$K$20,9)/30))</f>
        <v>15.146872325323121</v>
      </c>
      <c r="CA84" s="172">
        <f ca="1">(VLOOKUP(CA$72,INDIRECT($C$5&amp;"生成成长"),2))/((VLOOKUP($B84,INDIRECT($B$5&amp;"生成成长"),4))/(VLOOKUP(CA$72,INDIRECT($C$5&amp;"生成成长"),5))*(VLOOKUP($B$5,标准坦克设计!$B$24:$U$30,MATCH("对"&amp;LEFT($C$5,2)&amp;"输出",标准坦克设计!$B$23:$U$23,0)))*(VLOOKUP($B84,INDIRECT($B$5&amp;"生成成长"),3))*(VLOOKUP($B$5,标准坦克设计!$B$14:$K$20,9)/30))</f>
        <v>16.575063901369216</v>
      </c>
      <c r="CB84" s="172">
        <f ca="1">(VLOOKUP(CB$72,INDIRECT($C$5&amp;"生成成长"),2))/((VLOOKUP($B84,INDIRECT($B$5&amp;"生成成长"),4))/(VLOOKUP(CB$72,INDIRECT($C$5&amp;"生成成长"),5))*(VLOOKUP($B$5,标准坦克设计!$B$24:$U$30,MATCH("对"&amp;LEFT($C$5,2)&amp;"输出",标准坦克设计!$B$23:$U$23,0)))*(VLOOKUP($B84,INDIRECT($B$5&amp;"生成成长"),3))*(VLOOKUP($B$5,标准坦克设计!$B$14:$K$20,9)/30))</f>
        <v>18.067588431291263</v>
      </c>
      <c r="CC84" s="172">
        <f ca="1">(VLOOKUP(CC$72,INDIRECT($C$5&amp;"生成成长"),2))/((VLOOKUP($B84,INDIRECT($B$5&amp;"生成成长"),4))/(VLOOKUP(CC$72,INDIRECT($C$5&amp;"生成成长"),5))*(VLOOKUP($B$5,标准坦克设计!$B$24:$U$30,MATCH("对"&amp;LEFT($C$5,2)&amp;"输出",标准坦克设计!$B$23:$U$23,0)))*(VLOOKUP($B84,INDIRECT($B$5&amp;"生成成长"),3))*(VLOOKUP($B$5,标准坦克设计!$B$14:$K$20,9)/30))</f>
        <v>19.624445915089257</v>
      </c>
      <c r="CD84" s="172">
        <f ca="1">(VLOOKUP(CD$72,INDIRECT($C$5&amp;"生成成长"),2))/((VLOOKUP($B84,INDIRECT($B$5&amp;"生成成长"),4))/(VLOOKUP(CD$72,INDIRECT($C$5&amp;"生成成长"),5))*(VLOOKUP($B$5,标准坦克设计!$B$24:$U$30,MATCH("对"&amp;LEFT($C$5,2)&amp;"输出",标准坦克设计!$B$23:$U$23,0)))*(VLOOKUP($B84,INDIRECT($B$5&amp;"生成成长"),3))*(VLOOKUP($B$5,标准坦克设计!$B$14:$K$20,9)/30))</f>
        <v>21.245636352763206</v>
      </c>
      <c r="CE84" s="172">
        <f ca="1">(VLOOKUP(CE$72,INDIRECT($C$5&amp;"生成成长"),2))/((VLOOKUP($B84,INDIRECT($B$5&amp;"生成成长"),4))/(VLOOKUP(CE$72,INDIRECT($C$5&amp;"生成成长"),5))*(VLOOKUP($B$5,标准坦克设计!$B$24:$U$30,MATCH("对"&amp;LEFT($C$5,2)&amp;"输出",标准坦克设计!$B$23:$U$23,0)))*(VLOOKUP($B84,INDIRECT($B$5&amp;"生成成长"),3))*(VLOOKUP($B$5,标准坦克设计!$B$14:$K$20,9)/30))</f>
        <v>22.931159744313106</v>
      </c>
      <c r="CF84" s="172">
        <f ca="1">(VLOOKUP(CF$72,INDIRECT($C$5&amp;"生成成长"),2))/((VLOOKUP($B84,INDIRECT($B$5&amp;"生成成长"),4))/(VLOOKUP(CF$72,INDIRECT($C$5&amp;"生成成长"),5))*(VLOOKUP($B$5,标准坦克设计!$B$24:$U$30,MATCH("对"&amp;LEFT($C$5,2)&amp;"输出",标准坦克设计!$B$23:$U$23,0)))*(VLOOKUP($B84,INDIRECT($B$5&amp;"生成成长"),3))*(VLOOKUP($B$5,标准坦克设计!$B$14:$K$20,9)/30))</f>
        <v>24.681016089738954</v>
      </c>
      <c r="CG84" s="172">
        <f ca="1">(VLOOKUP(CG$72,INDIRECT($C$5&amp;"生成成长"),2))/((VLOOKUP($B84,INDIRECT($B$5&amp;"生成成长"),4))/(VLOOKUP(CG$72,INDIRECT($C$5&amp;"生成成长"),5))*(VLOOKUP($B$5,标准坦克设计!$B$24:$U$30,MATCH("对"&amp;LEFT($C$5,2)&amp;"输出",标准坦克设计!$B$23:$U$23,0)))*(VLOOKUP($B84,INDIRECT($B$5&amp;"生成成长"),3))*(VLOOKUP($B$5,标准坦克设计!$B$14:$K$20,9)/30))</f>
        <v>26.495205389040756</v>
      </c>
      <c r="CH84" s="172">
        <f ca="1">(VLOOKUP(CH$72,INDIRECT($C$5&amp;"生成成长"),2))/((VLOOKUP($B84,INDIRECT($B$5&amp;"生成成长"),4))/(VLOOKUP(CH$72,INDIRECT($C$5&amp;"生成成长"),5))*(VLOOKUP($B$5,标准坦克设计!$B$24:$U$30,MATCH("对"&amp;LEFT($C$5,2)&amp;"输出",标准坦克设计!$B$23:$U$23,0)))*(VLOOKUP($B84,INDIRECT($B$5&amp;"生成成长"),3))*(VLOOKUP($B$5,标准坦克设计!$B$14:$K$20,9)/30))</f>
        <v>28.373727642218501</v>
      </c>
      <c r="CI84" s="172">
        <f ca="1">(VLOOKUP(CI$72,INDIRECT($C$5&amp;"生成成长"),2))/((VLOOKUP($B84,INDIRECT($B$5&amp;"生成成长"),4))/(VLOOKUP(CI$72,INDIRECT($C$5&amp;"生成成长"),5))*(VLOOKUP($B$5,标准坦克设计!$B$24:$U$30,MATCH("对"&amp;LEFT($C$5,2)&amp;"输出",标准坦克设计!$B$23:$U$23,0)))*(VLOOKUP($B84,INDIRECT($B$5&amp;"生成成长"),3))*(VLOOKUP($B$5,标准坦克设计!$B$14:$K$20,9)/30))</f>
        <v>30.51440668244075</v>
      </c>
      <c r="CJ84" s="172">
        <f ca="1">(VLOOKUP(CJ$72,INDIRECT($C$5&amp;"生成成长"),2))/((VLOOKUP($B84,INDIRECT($B$5&amp;"生成成长"),4))/(VLOOKUP(CJ$72,INDIRECT($C$5&amp;"生成成长"),5))*(VLOOKUP($B$5,标准坦克设计!$B$24:$U$30,MATCH("对"&amp;LEFT($C$5,2)&amp;"输出",标准坦克设计!$B$23:$U$23,0)))*(VLOOKUP($B84,INDIRECT($B$5&amp;"生成成长"),3))*(VLOOKUP($B$5,标准坦克设计!$B$14:$K$20,9)/30))</f>
        <v>32.732928596852894</v>
      </c>
      <c r="CK84" s="172">
        <f ca="1">(VLOOKUP(CK$72,INDIRECT($C$5&amp;"生成成长"),2))/((VLOOKUP($B84,INDIRECT($B$5&amp;"生成成长"),4))/(VLOOKUP(CK$72,INDIRECT($C$5&amp;"生成成长"),5))*(VLOOKUP($B$5,标准坦克设计!$B$24:$U$30,MATCH("对"&amp;LEFT($C$5,2)&amp;"输出",标准坦克设计!$B$23:$U$23,0)))*(VLOOKUP($B84,INDIRECT($B$5&amp;"生成成长"),3))*(VLOOKUP($B$5,标准坦克设计!$B$14:$K$20,9)/30))</f>
        <v>35.029293385454935</v>
      </c>
      <c r="CL84" s="172">
        <f ca="1">(VLOOKUP(CL$72,INDIRECT($C$5&amp;"生成成长"),2))/((VLOOKUP($B84,INDIRECT($B$5&amp;"生成成长"),4))/(VLOOKUP(CL$72,INDIRECT($C$5&amp;"生成成长"),5))*(VLOOKUP($B$5,标准坦克设计!$B$24:$U$30,MATCH("对"&amp;LEFT($C$5,2)&amp;"输出",标准坦克设计!$B$23:$U$23,0)))*(VLOOKUP($B84,INDIRECT($B$5&amp;"生成成长"),3))*(VLOOKUP($B$5,标准坦克设计!$B$14:$K$20,9)/30))</f>
        <v>37.403501048246888</v>
      </c>
      <c r="CM84" s="172">
        <f ca="1">(VLOOKUP(CM$72,INDIRECT($C$5&amp;"生成成长"),2))/((VLOOKUP($B84,INDIRECT($B$5&amp;"生成成长"),4))/(VLOOKUP(CM$72,INDIRECT($C$5&amp;"生成成长"),5))*(VLOOKUP($B$5,标准坦克设计!$B$24:$U$30,MATCH("对"&amp;LEFT($C$5,2)&amp;"输出",标准坦克设计!$B$23:$U$23,0)))*(VLOOKUP($B84,INDIRECT($B$5&amp;"生成成长"),3))*(VLOOKUP($B$5,标准坦克设计!$B$14:$K$20,9)/30))</f>
        <v>39.855551585228731</v>
      </c>
      <c r="CN84" s="172">
        <f ca="1">(VLOOKUP(CN$72,INDIRECT($C$5&amp;"生成成长"),2))/((VLOOKUP($B84,INDIRECT($B$5&amp;"生成成长"),4))/(VLOOKUP(CN$72,INDIRECT($C$5&amp;"生成成长"),5))*(VLOOKUP($B$5,标准坦克设计!$B$24:$U$30,MATCH("对"&amp;LEFT($C$5,2)&amp;"输出",标准坦克设计!$B$23:$U$23,0)))*(VLOOKUP($B84,INDIRECT($B$5&amp;"生成成长"),3))*(VLOOKUP($B$5,标准坦克设计!$B$14:$K$20,9)/30))</f>
        <v>42.38544499640048</v>
      </c>
      <c r="CO84" s="172">
        <f ca="1">(VLOOKUP(CO$72,INDIRECT($C$5&amp;"生成成长"),2))/((VLOOKUP($B84,INDIRECT($B$5&amp;"生成成长"),4))/(VLOOKUP(CO$72,INDIRECT($C$5&amp;"生成成长"),5))*(VLOOKUP($B$5,标准坦克设计!$B$24:$U$30,MATCH("对"&amp;LEFT($C$5,2)&amp;"输出",标准坦克设计!$B$23:$U$23,0)))*(VLOOKUP($B84,INDIRECT($B$5&amp;"生成成长"),3))*(VLOOKUP($B$5,标准坦克设计!$B$14:$K$20,9)/30))</f>
        <v>18.993982967104948</v>
      </c>
      <c r="CP84" s="172">
        <f ca="1">(VLOOKUP(CP$72,INDIRECT($C$5&amp;"生成成长"),2))/((VLOOKUP($B84,INDIRECT($B$5&amp;"生成成长"),4))/(VLOOKUP(CP$72,INDIRECT($C$5&amp;"生成成长"),5))*(VLOOKUP($B$5,标准坦克设计!$B$24:$U$30,MATCH("对"&amp;LEFT($C$5,2)&amp;"输出",标准坦克设计!$B$23:$U$23,0)))*(VLOOKUP($B84,INDIRECT($B$5&amp;"生成成长"),3))*(VLOOKUP($B$5,标准坦克设计!$B$14:$K$20,9)/30))</f>
        <v>20.75252426130405</v>
      </c>
      <c r="CQ84" s="172">
        <f ca="1">(VLOOKUP(CQ$72,INDIRECT($C$5&amp;"生成成长"),2))/((VLOOKUP($B84,INDIRECT($B$5&amp;"生成成长"),4))/(VLOOKUP(CQ$72,INDIRECT($C$5&amp;"生成成长"),5))*(VLOOKUP($B$5,标准坦克设计!$B$24:$U$30,MATCH("对"&amp;LEFT($C$5,2)&amp;"输出",标准坦克设计!$B$23:$U$23,0)))*(VLOOKUP($B84,INDIRECT($B$5&amp;"生成成长"),3))*(VLOOKUP($B$5,标准坦克设计!$B$14:$K$20,9)/30))</f>
        <v>22.588908429693049</v>
      </c>
      <c r="CR84" s="172">
        <f ca="1">(VLOOKUP(CR$72,INDIRECT($C$5&amp;"生成成长"),2))/((VLOOKUP($B84,INDIRECT($B$5&amp;"生成成长"),4))/(VLOOKUP(CR$72,INDIRECT($C$5&amp;"生成成长"),5))*(VLOOKUP($B$5,标准坦克设计!$B$24:$U$30,MATCH("对"&amp;LEFT($C$5,2)&amp;"输出",标准坦克设计!$B$23:$U$23,0)))*(VLOOKUP($B84,INDIRECT($B$5&amp;"生成成长"),3))*(VLOOKUP($B$5,标准坦克设计!$B$14:$K$20,9)/30))</f>
        <v>24.503135472271946</v>
      </c>
      <c r="CS84" s="172">
        <f ca="1">(VLOOKUP(CS$72,INDIRECT($C$5&amp;"生成成长"),2))/((VLOOKUP($B84,INDIRECT($B$5&amp;"生成成长"),4))/(VLOOKUP(CS$72,INDIRECT($C$5&amp;"生成成长"),5))*(VLOOKUP($B$5,标准坦克设计!$B$24:$U$30,MATCH("对"&amp;LEFT($C$5,2)&amp;"输出",标准坦克设计!$B$23:$U$23,0)))*(VLOOKUP($B84,INDIRECT($B$5&amp;"生成成长"),3))*(VLOOKUP($B$5,标准坦克设计!$B$14:$K$20,9)/30))</f>
        <v>26.495205389040756</v>
      </c>
      <c r="CT84" s="172">
        <f ca="1">(VLOOKUP(CT$72,INDIRECT($C$5&amp;"生成成长"),2))/((VLOOKUP($B84,INDIRECT($B$5&amp;"生成成长"),4))/(VLOOKUP(CT$72,INDIRECT($C$5&amp;"生成成长"),5))*(VLOOKUP($B$5,标准坦克设计!$B$24:$U$30,MATCH("对"&amp;LEFT($C$5,2)&amp;"输出",标准坦克设计!$B$23:$U$23,0)))*(VLOOKUP($B84,INDIRECT($B$5&amp;"生成成长"),3))*(VLOOKUP($B$5,标准坦克设计!$B$14:$K$20,9)/30))</f>
        <v>28.565118179999452</v>
      </c>
      <c r="CU84" s="172">
        <f ca="1">(VLOOKUP(CU$72,INDIRECT($C$5&amp;"生成成长"),2))/((VLOOKUP($B84,INDIRECT($B$5&amp;"生成成长"),4))/(VLOOKUP(CU$72,INDIRECT($C$5&amp;"生成成长"),5))*(VLOOKUP($B$5,标准坦克设计!$B$24:$U$30,MATCH("对"&amp;LEFT($C$5,2)&amp;"输出",标准坦克设计!$B$23:$U$23,0)))*(VLOOKUP($B84,INDIRECT($B$5&amp;"生成成长"),3))*(VLOOKUP($B$5,标准坦克设计!$B$14:$K$20,9)/30))</f>
        <v>30.712873845148057</v>
      </c>
      <c r="CV84" s="172">
        <f ca="1">(VLOOKUP(CV$72,INDIRECT($C$5&amp;"生成成长"),2))/((VLOOKUP($B84,INDIRECT($B$5&amp;"生成成长"),4))/(VLOOKUP(CV$72,INDIRECT($C$5&amp;"生成成长"),5))*(VLOOKUP($B$5,标准坦克设计!$B$24:$U$30,MATCH("对"&amp;LEFT($C$5,2)&amp;"输出",标准坦克设计!$B$23:$U$23,0)))*(VLOOKUP($B84,INDIRECT($B$5&amp;"生成成长"),3))*(VLOOKUP($B$5,标准坦克设计!$B$14:$K$20,9)/30))</f>
        <v>32.938472384486566</v>
      </c>
      <c r="CW84" s="172">
        <f ca="1">(VLOOKUP(CW$72,INDIRECT($C$5&amp;"生成成长"),2))/((VLOOKUP($B84,INDIRECT($B$5&amp;"生成成长"),4))/(VLOOKUP(CW$72,INDIRECT($C$5&amp;"生成成长"),5))*(VLOOKUP($B$5,标准坦克设计!$B$24:$U$30,MATCH("对"&amp;LEFT($C$5,2)&amp;"输出",标准坦克设计!$B$23:$U$23,0)))*(VLOOKUP($B84,INDIRECT($B$5&amp;"生成成长"),3))*(VLOOKUP($B$5,标准坦克设计!$B$14:$K$20,9)/30))</f>
        <v>35.241913798014956</v>
      </c>
      <c r="CX84" s="172">
        <f ca="1">(VLOOKUP(CX$72,INDIRECT($C$5&amp;"生成成长"),2))/((VLOOKUP($B84,INDIRECT($B$5&amp;"生成成长"),4))/(VLOOKUP(CX$72,INDIRECT($C$5&amp;"生成成长"),5))*(VLOOKUP($B$5,标准坦克设计!$B$24:$U$30,MATCH("对"&amp;LEFT($C$5,2)&amp;"输出",标准坦克设计!$B$23:$U$23,0)))*(VLOOKUP($B84,INDIRECT($B$5&amp;"生成成长"),3))*(VLOOKUP($B$5,标准坦克设计!$B$14:$K$20,9)/30))</f>
        <v>37.62319808573325</v>
      </c>
      <c r="CY84" s="172">
        <f ca="1">(VLOOKUP(CY$72,INDIRECT($C$5&amp;"生成成长"),2))/((VLOOKUP($B84,INDIRECT($B$5&amp;"生成成长"),4))/(VLOOKUP(CY$72,INDIRECT($C$5&amp;"生成成长"),5))*(VLOOKUP($B$5,标准坦克设计!$B$24:$U$30,MATCH("对"&amp;LEFT($C$5,2)&amp;"输出",标准坦克设计!$B$23:$U$23,0)))*(VLOOKUP($B84,INDIRECT($B$5&amp;"生成成长"),3))*(VLOOKUP($B$5,标准坦克设计!$B$14:$K$20,9)/30))</f>
        <v>40.082325247641464</v>
      </c>
      <c r="CZ84" s="172">
        <f ca="1">(VLOOKUP(CZ$72,INDIRECT($C$5&amp;"生成成长"),2))/((VLOOKUP($B84,INDIRECT($B$5&amp;"生成成长"),4))/(VLOOKUP(CZ$72,INDIRECT($C$5&amp;"生成成长"),5))*(VLOOKUP($B$5,标准坦克设计!$B$24:$U$30,MATCH("对"&amp;LEFT($C$5,2)&amp;"输出",标准坦克设计!$B$23:$U$23,0)))*(VLOOKUP($B84,INDIRECT($B$5&amp;"生成成长"),3))*(VLOOKUP($B$5,标准坦克设计!$B$14:$K$20,9)/30))</f>
        <v>42.619295283739547</v>
      </c>
      <c r="DA84" s="172">
        <f ca="1">(VLOOKUP(DA$72,INDIRECT($C$5&amp;"生成成长"),2))/((VLOOKUP($B84,INDIRECT($B$5&amp;"生成成长"),4))/(VLOOKUP(DA$72,INDIRECT($C$5&amp;"生成成长"),5))*(VLOOKUP($B$5,标准坦克设计!$B$24:$U$30,MATCH("对"&amp;LEFT($C$5,2)&amp;"输出",标准坦克设计!$B$23:$U$23,0)))*(VLOOKUP($B84,INDIRECT($B$5&amp;"生成成长"),3))*(VLOOKUP($B$5,标准坦克设计!$B$14:$K$20,9)/30))</f>
        <v>45.234108194027549</v>
      </c>
      <c r="DB84" s="172">
        <f ca="1">(VLOOKUP(DB$72,INDIRECT($C$5&amp;"生成成长"),2))/((VLOOKUP($B84,INDIRECT($B$5&amp;"生成成长"),4))/(VLOOKUP(DB$72,INDIRECT($C$5&amp;"生成成长"),5))*(VLOOKUP($B$5,标准坦克设计!$B$24:$U$30,MATCH("对"&amp;LEFT($C$5,2)&amp;"输出",标准坦克设计!$B$23:$U$23,0)))*(VLOOKUP($B84,INDIRECT($B$5&amp;"生成成长"),3))*(VLOOKUP($B$5,标准坦克设计!$B$14:$K$20,9)/30))</f>
        <v>47.926763978505463</v>
      </c>
      <c r="DC84" s="172">
        <f ca="1">(VLOOKUP(DC$72,INDIRECT($C$5&amp;"生成成长"),2))/((VLOOKUP($B84,INDIRECT($B$5&amp;"生成成长"),4))/(VLOOKUP(DC$72,INDIRECT($C$5&amp;"生成成长"),5))*(VLOOKUP($B$5,标准坦克设计!$B$24:$U$30,MATCH("对"&amp;LEFT($C$5,2)&amp;"输出",标准坦克设计!$B$23:$U$23,0)))*(VLOOKUP($B84,INDIRECT($B$5&amp;"生成成长"),3))*(VLOOKUP($B$5,标准坦克设计!$B$14:$K$20,9)/30))</f>
        <v>50.952986128830162</v>
      </c>
      <c r="DD84" s="172">
        <f ca="1">(VLOOKUP(DD$72,INDIRECT($C$5&amp;"生成成长"),2))/((VLOOKUP($B84,INDIRECT($B$5&amp;"生成成长"),4))/(VLOOKUP(DD$72,INDIRECT($C$5&amp;"生成成长"),5))*(VLOOKUP($B$5,标准坦克设计!$B$24:$U$30,MATCH("对"&amp;LEFT($C$5,2)&amp;"输出",标准坦克设计!$B$23:$U$23,0)))*(VLOOKUP($B84,INDIRECT($B$5&amp;"生成成长"),3))*(VLOOKUP($B$5,标准坦克设计!$B$14:$K$20,9)/30))</f>
        <v>54.071847732736224</v>
      </c>
      <c r="DE84" s="172">
        <f ca="1">(VLOOKUP(DE$72,INDIRECT($C$5&amp;"生成成长"),2))/((VLOOKUP($B84,INDIRECT($B$5&amp;"生成成长"),4))/(VLOOKUP(DE$72,INDIRECT($C$5&amp;"生成成长"),5))*(VLOOKUP($B$5,标准坦克设计!$B$24:$U$30,MATCH("对"&amp;LEFT($C$5,2)&amp;"输出",标准坦克设计!$B$23:$U$23,0)))*(VLOOKUP($B84,INDIRECT($B$5&amp;"生成成长"),3))*(VLOOKUP($B$5,标准坦克设计!$B$14:$K$20,9)/30))</f>
        <v>57.283348790223663</v>
      </c>
      <c r="DF84" s="172">
        <f ca="1">(VLOOKUP(DF$72,INDIRECT($C$5&amp;"生成成长"),2))/((VLOOKUP($B84,INDIRECT($B$5&amp;"生成成长"),4))/(VLOOKUP(DF$72,INDIRECT($C$5&amp;"生成成长"),5))*(VLOOKUP($B$5,标准坦克设计!$B$24:$U$30,MATCH("对"&amp;LEFT($C$5,2)&amp;"输出",标准坦克设计!$B$23:$U$23,0)))*(VLOOKUP($B84,INDIRECT($B$5&amp;"生成成长"),3))*(VLOOKUP($B$5,标准坦克设计!$B$14:$K$20,9)/30))</f>
        <v>60.587489301292486</v>
      </c>
      <c r="DG84" s="172">
        <f ca="1">(VLOOKUP(DG$72,INDIRECT($C$5&amp;"生成成长"),2))/((VLOOKUP($B84,INDIRECT($B$5&amp;"生成成长"),4))/(VLOOKUP(DG$72,INDIRECT($C$5&amp;"生成成长"),5))*(VLOOKUP($B$5,标准坦克设计!$B$24:$U$30,MATCH("对"&amp;LEFT($C$5,2)&amp;"输出",标准坦克设计!$B$23:$U$23,0)))*(VLOOKUP($B84,INDIRECT($B$5&amp;"生成成长"),3))*(VLOOKUP($B$5,标准坦克设计!$B$14:$K$20,9)/30))</f>
        <v>63.98426926594265</v>
      </c>
      <c r="DH84" s="172">
        <f ca="1">(VLOOKUP(DH$72,INDIRECT($C$5&amp;"生成成长"),2))/((VLOOKUP($B84,INDIRECT($B$5&amp;"生成成长"),4))/(VLOOKUP(DH$72,INDIRECT($C$5&amp;"生成成长"),5))*(VLOOKUP($B$5,标准坦克设计!$B$24:$U$30,MATCH("对"&amp;LEFT($C$5,2)&amp;"输出",标准坦克设计!$B$23:$U$23,0)))*(VLOOKUP($B84,INDIRECT($B$5&amp;"生成成长"),3))*(VLOOKUP($B$5,标准坦克设计!$B$14:$K$20,9)/30))</f>
        <v>67.473688684174206</v>
      </c>
      <c r="DI84" s="172">
        <f ca="1">(VLOOKUP(DI$72,INDIRECT($C$5&amp;"生成成长"),2))/((VLOOKUP($B84,INDIRECT($B$5&amp;"生成成长"),4))/(VLOOKUP(DI$72,INDIRECT($C$5&amp;"生成成长"),5))*(VLOOKUP($B$5,标准坦克设计!$B$24:$U$30,MATCH("对"&amp;LEFT($C$5,2)&amp;"输出",标准坦克设计!$B$23:$U$23,0)))*(VLOOKUP($B84,INDIRECT($B$5&amp;"生成成长"),3))*(VLOOKUP($B$5,标准坦克设计!$B$14:$K$20,9)/30))</f>
        <v>71.055747555987111</v>
      </c>
      <c r="DJ84" s="172">
        <f ca="1">(VLOOKUP(DJ$72,INDIRECT($C$5&amp;"生成成长"),2))/((VLOOKUP($B84,INDIRECT($B$5&amp;"生成成长"),4))/(VLOOKUP(DJ$72,INDIRECT($C$5&amp;"生成成长"),5))*(VLOOKUP($B$5,标准坦克设计!$B$24:$U$30,MATCH("对"&amp;LEFT($C$5,2)&amp;"输出",标准坦克设计!$B$23:$U$23,0)))*(VLOOKUP($B84,INDIRECT($B$5&amp;"生成成长"),3))*(VLOOKUP($B$5,标准坦克设计!$B$14:$K$20,9)/30))</f>
        <v>7.1412795449998629</v>
      </c>
      <c r="DK84" s="172">
        <f ca="1">(VLOOKUP(DK$72,INDIRECT($C$5&amp;"生成成长"),2))/((VLOOKUP($B84,INDIRECT($B$5&amp;"生成成长"),4))/(VLOOKUP(DK$72,INDIRECT($C$5&amp;"生成成长"),5))*(VLOOKUP($B$5,标准坦克设计!$B$24:$U$30,MATCH("对"&amp;LEFT($C$5,2)&amp;"输出",标准坦克设计!$B$23:$U$23,0)))*(VLOOKUP($B84,INDIRECT($B$5&amp;"生成成长"),3))*(VLOOKUP($B$5,标准坦克设计!$B$14:$K$20,9)/30))</f>
        <v>8.0300393027961157</v>
      </c>
      <c r="DL84" s="172">
        <f ca="1">(VLOOKUP(DL$72,INDIRECT($C$5&amp;"生成成长"),2))/((VLOOKUP($B84,INDIRECT($B$5&amp;"生成成长"),4))/(VLOOKUP(DL$72,INDIRECT($C$5&amp;"生成成长"),5))*(VLOOKUP($B$5,标准坦克设计!$B$24:$U$30,MATCH("对"&amp;LEFT($C$5,2)&amp;"输出",标准坦克设计!$B$23:$U$23,0)))*(VLOOKUP($B84,INDIRECT($B$5&amp;"生成成长"),3))*(VLOOKUP($B$5,标准坦克设计!$B$14:$K$20,9)/30))</f>
        <v>8.970908753231889</v>
      </c>
      <c r="DM84" s="172">
        <f ca="1">(VLOOKUP(DM$72,INDIRECT($C$5&amp;"生成成长"),2))/((VLOOKUP($B84,INDIRECT($B$5&amp;"生成成长"),4))/(VLOOKUP(DM$72,INDIRECT($C$5&amp;"生成成长"),5))*(VLOOKUP($B$5,标准坦克设计!$B$24:$U$30,MATCH("对"&amp;LEFT($C$5,2)&amp;"输出",标准坦克设计!$B$23:$U$23,0)))*(VLOOKUP($B84,INDIRECT($B$5&amp;"生成成长"),3))*(VLOOKUP($B$5,标准坦克设计!$B$14:$K$20,9)/30))</f>
        <v>9.9638878963071829</v>
      </c>
      <c r="DN84" s="172">
        <f ca="1">(VLOOKUP(DN$72,INDIRECT($C$5&amp;"生成成长"),2))/((VLOOKUP($B84,INDIRECT($B$5&amp;"生成成长"),4))/(VLOOKUP(DN$72,INDIRECT($C$5&amp;"生成成长"),5))*(VLOOKUP($B$5,标准坦克设计!$B$24:$U$30,MATCH("对"&amp;LEFT($C$5,2)&amp;"输出",标准坦克设计!$B$23:$U$23,0)))*(VLOOKUP($B84,INDIRECT($B$5&amp;"生成成长"),3))*(VLOOKUP($B$5,标准坦克设计!$B$14:$K$20,9)/30))</f>
        <v>11.008976732021996</v>
      </c>
      <c r="DO84" s="172">
        <f ca="1">(VLOOKUP(DO$72,INDIRECT($C$5&amp;"生成成长"),2))/((VLOOKUP($B84,INDIRECT($B$5&amp;"生成成长"),4))/(VLOOKUP(DO$72,INDIRECT($C$5&amp;"生成成长"),5))*(VLOOKUP($B$5,标准坦克设计!$B$24:$U$30,MATCH("对"&amp;LEFT($C$5,2)&amp;"输出",标准坦克设计!$B$23:$U$23,0)))*(VLOOKUP($B84,INDIRECT($B$5&amp;"生成成长"),3))*(VLOOKUP($B$5,标准坦克设计!$B$14:$K$20,9)/30))</f>
        <v>12.106175260376325</v>
      </c>
      <c r="DP84" s="172">
        <f ca="1">(VLOOKUP(DP$72,INDIRECT($C$5&amp;"生成成长"),2))/((VLOOKUP($B84,INDIRECT($B$5&amp;"生成成长"),4))/(VLOOKUP(DP$72,INDIRECT($C$5&amp;"生成成长"),5))*(VLOOKUP($B$5,标准坦克设计!$B$24:$U$30,MATCH("对"&amp;LEFT($C$5,2)&amp;"输出",标准坦克设计!$B$23:$U$23,0)))*(VLOOKUP($B84,INDIRECT($B$5&amp;"生成成长"),3))*(VLOOKUP($B$5,标准坦克设计!$B$14:$K$20,9)/30))</f>
        <v>13.255483481370179</v>
      </c>
      <c r="DQ84" s="172">
        <f ca="1">(VLOOKUP(DQ$72,INDIRECT($C$5&amp;"生成成长"),2))/((VLOOKUP($B84,INDIRECT($B$5&amp;"生成成长"),4))/(VLOOKUP(DQ$72,INDIRECT($C$5&amp;"生成成长"),5))*(VLOOKUP($B$5,标准坦克设计!$B$24:$U$30,MATCH("对"&amp;LEFT($C$5,2)&amp;"输出",标准坦克设计!$B$23:$U$23,0)))*(VLOOKUP($B84,INDIRECT($B$5&amp;"生成成长"),3))*(VLOOKUP($B$5,标准坦克设计!$B$14:$K$20,9)/30))</f>
        <v>14.456901395003548</v>
      </c>
      <c r="DR84" s="172">
        <f ca="1">(VLOOKUP(DR$72,INDIRECT($C$5&amp;"生成成长"),2))/((VLOOKUP($B84,INDIRECT($B$5&amp;"生成成长"),4))/(VLOOKUP(DR$72,INDIRECT($C$5&amp;"生成成长"),5))*(VLOOKUP($B$5,标准坦克设计!$B$24:$U$30,MATCH("对"&amp;LEFT($C$5,2)&amp;"输出",标准坦克设计!$B$23:$U$23,0)))*(VLOOKUP($B84,INDIRECT($B$5&amp;"生成成长"),3))*(VLOOKUP($B$5,标准坦克设计!$B$14:$K$20,9)/30))</f>
        <v>15.710429001276442</v>
      </c>
      <c r="DS84" s="172">
        <f ca="1">(VLOOKUP(DS$72,INDIRECT($C$5&amp;"生成成长"),2))/((VLOOKUP($B84,INDIRECT($B$5&amp;"生成成长"),4))/(VLOOKUP(DS$72,INDIRECT($C$5&amp;"生成成长"),5))*(VLOOKUP($B$5,标准坦克设计!$B$24:$U$30,MATCH("对"&amp;LEFT($C$5,2)&amp;"输出",标准坦克设计!$B$23:$U$23,0)))*(VLOOKUP($B84,INDIRECT($B$5&amp;"生成成长"),3))*(VLOOKUP($B$5,标准坦克设计!$B$14:$K$20,9)/30))</f>
        <v>17.016066300188854</v>
      </c>
      <c r="DT84" s="172">
        <f ca="1">(VLOOKUP(DT$72,INDIRECT($C$5&amp;"生成成长"),2))/((VLOOKUP($B84,INDIRECT($B$5&amp;"生成成长"),4))/(VLOOKUP(DT$72,INDIRECT($C$5&amp;"生成成长"),5))*(VLOOKUP($B$5,标准坦克设计!$B$24:$U$30,MATCH("对"&amp;LEFT($C$5,2)&amp;"输出",标准坦克设计!$B$23:$U$23,0)))*(VLOOKUP($B84,INDIRECT($B$5&amp;"生成成长"),3))*(VLOOKUP($B$5,标准坦克设计!$B$14:$K$20,9)/30))</f>
        <v>18.682611470345346</v>
      </c>
      <c r="DU84" s="172">
        <f ca="1">(VLOOKUP(DU$72,INDIRECT($C$5&amp;"生成成长"),2))/((VLOOKUP($B84,INDIRECT($B$5&amp;"生成成长"),4))/(VLOOKUP(DU$72,INDIRECT($C$5&amp;"生成成长"),5))*(VLOOKUP($B$5,标准坦克设计!$B$24:$U$30,MATCH("对"&amp;LEFT($C$5,2)&amp;"输出",标准坦克设计!$B$23:$U$23,0)))*(VLOOKUP($B84,INDIRECT($B$5&amp;"生成成长"),3))*(VLOOKUP($B$5,标准坦克设计!$B$14:$K$20,9)/30))</f>
        <v>20.42699951469174</v>
      </c>
      <c r="DV84" s="172">
        <f ca="1">(VLOOKUP(DV$72,INDIRECT($C$5&amp;"生成成长"),2))/((VLOOKUP($B84,INDIRECT($B$5&amp;"生成成长"),4))/(VLOOKUP(DV$72,INDIRECT($C$5&amp;"生成成长"),5))*(VLOOKUP($B$5,标准坦克设计!$B$24:$U$30,MATCH("对"&amp;LEFT($C$5,2)&amp;"输出",标准坦克设计!$B$23:$U$23,0)))*(VLOOKUP($B84,INDIRECT($B$5&amp;"生成成长"),3))*(VLOOKUP($B$5,标准坦克设计!$B$14:$K$20,9)/30))</f>
        <v>22.249230433228032</v>
      </c>
      <c r="DW84" s="172">
        <f ca="1">(VLOOKUP(DW$72,INDIRECT($C$5&amp;"生成成长"),2))/((VLOOKUP($B84,INDIRECT($B$5&amp;"生成成长"),4))/(VLOOKUP(DW$72,INDIRECT($C$5&amp;"生成成长"),5))*(VLOOKUP($B$5,标准坦克设计!$B$24:$U$30,MATCH("对"&amp;LEFT($C$5,2)&amp;"输出",标准坦克设计!$B$23:$U$23,0)))*(VLOOKUP($B84,INDIRECT($B$5&amp;"生成成长"),3))*(VLOOKUP($B$5,标准坦克设计!$B$14:$K$20,9)/30))</f>
        <v>24.149304225954225</v>
      </c>
      <c r="DX84" s="172">
        <f ca="1">(VLOOKUP(DX$72,INDIRECT($C$5&amp;"生成成长"),2))/((VLOOKUP($B84,INDIRECT($B$5&amp;"生成成长"),4))/(VLOOKUP(DX$72,INDIRECT($C$5&amp;"生成成长"),5))*(VLOOKUP($B$5,标准坦克设计!$B$24:$U$30,MATCH("对"&amp;LEFT($C$5,2)&amp;"输出",标准坦克设计!$B$23:$U$23,0)))*(VLOOKUP($B84,INDIRECT($B$5&amp;"生成成长"),3))*(VLOOKUP($B$5,标准坦克设计!$B$14:$K$20,9)/30))</f>
        <v>26.127220892870316</v>
      </c>
      <c r="DY84" s="172">
        <f ca="1">(VLOOKUP(DY$72,INDIRECT($C$5&amp;"生成成长"),2))/((VLOOKUP($B84,INDIRECT($B$5&amp;"生成成长"),4))/(VLOOKUP(DY$72,INDIRECT($C$5&amp;"生成成长"),5))*(VLOOKUP($B$5,标准坦克设计!$B$24:$U$30,MATCH("对"&amp;LEFT($C$5,2)&amp;"输出",标准坦克设计!$B$23:$U$23,0)))*(VLOOKUP($B84,INDIRECT($B$5&amp;"生成成长"),3))*(VLOOKUP($B$5,标准坦克设计!$B$14:$K$20,9)/30))</f>
        <v>11.734652451742715</v>
      </c>
      <c r="DZ84" s="172">
        <f ca="1">(VLOOKUP(DZ$72,INDIRECT($C$5&amp;"生成成长"),2))/((VLOOKUP($B84,INDIRECT($B$5&amp;"生成成长"),4))/(VLOOKUP(DZ$72,INDIRECT($C$5&amp;"生成成长"),5))*(VLOOKUP($B$5,标准坦克设计!$B$24:$U$30,MATCH("对"&amp;LEFT($C$5,2)&amp;"输出",标准坦克设计!$B$23:$U$23,0)))*(VLOOKUP($B84,INDIRECT($B$5&amp;"生成成长"),3))*(VLOOKUP($B$5,标准坦克设计!$B$14:$K$20,9)/30))</f>
        <v>12.995578347711341</v>
      </c>
      <c r="EA84" s="172">
        <f ca="1">(VLOOKUP(EA$72,INDIRECT($C$5&amp;"生成成长"),2))/((VLOOKUP($B84,INDIRECT($B$5&amp;"生成成长"),4))/(VLOOKUP(EA$72,INDIRECT($C$5&amp;"生成成长"),5))*(VLOOKUP($B$5,标准坦克设计!$B$24:$U$30,MATCH("对"&amp;LEFT($C$5,2)&amp;"输出",标准坦克设计!$B$23:$U$23,0)))*(VLOOKUP($B84,INDIRECT($B$5&amp;"生成成长"),3))*(VLOOKUP($B$5,标准坦克设计!$B$14:$K$20,9)/30))</f>
        <v>14.320837197555916</v>
      </c>
      <c r="EB84" s="172">
        <f ca="1">(VLOOKUP(EB$72,INDIRECT($C$5&amp;"生成成长"),2))/((VLOOKUP($B84,INDIRECT($B$5&amp;"生成成长"),4))/(VLOOKUP(EB$72,INDIRECT($C$5&amp;"生成成长"),5))*(VLOOKUP($B$5,标准坦克设计!$B$24:$U$30,MATCH("对"&amp;LEFT($C$5,2)&amp;"输出",标准坦克设计!$B$23:$U$23,0)))*(VLOOKUP($B84,INDIRECT($B$5&amp;"生成成长"),3))*(VLOOKUP($B$5,标准坦克设计!$B$14:$K$20,9)/30))</f>
        <v>15.710429001276442</v>
      </c>
      <c r="EC84" s="172">
        <f ca="1">(VLOOKUP(EC$72,INDIRECT($C$5&amp;"生成成长"),2))/((VLOOKUP($B84,INDIRECT($B$5&amp;"生成成长"),4))/(VLOOKUP(EC$72,INDIRECT($C$5&amp;"生成成长"),5))*(VLOOKUP($B$5,标准坦克设计!$B$24:$U$30,MATCH("对"&amp;LEFT($C$5,2)&amp;"输出",标准坦克设计!$B$23:$U$23,0)))*(VLOOKUP($B84,INDIRECT($B$5&amp;"生成成长"),3))*(VLOOKUP($B$5,标准坦克设计!$B$14:$K$20,9)/30))</f>
        <v>17.164353758872917</v>
      </c>
      <c r="ED84" s="172">
        <f ca="1">(VLOOKUP(ED$72,INDIRECT($C$5&amp;"生成成长"),2))/((VLOOKUP($B84,INDIRECT($B$5&amp;"生成成长"),4))/(VLOOKUP(ED$72,INDIRECT($C$5&amp;"生成成长"),5))*(VLOOKUP($B$5,标准坦克设计!$B$24:$U$30,MATCH("对"&amp;LEFT($C$5,2)&amp;"输出",标准坦克设计!$B$23:$U$23,0)))*(VLOOKUP($B84,INDIRECT($B$5&amp;"生成成长"),3))*(VLOOKUP($B$5,标准坦克设计!$B$14:$K$20,9)/30))</f>
        <v>18.682611470345346</v>
      </c>
      <c r="EE84" s="172">
        <f ca="1">(VLOOKUP(EE$72,INDIRECT($C$5&amp;"生成成长"),2))/((VLOOKUP($B84,INDIRECT($B$5&amp;"生成成长"),4))/(VLOOKUP(EE$72,INDIRECT($C$5&amp;"生成成长"),5))*(VLOOKUP($B$5,标准坦克设计!$B$24:$U$30,MATCH("对"&amp;LEFT($C$5,2)&amp;"输出",标准坦克设计!$B$23:$U$23,0)))*(VLOOKUP($B84,INDIRECT($B$5&amp;"生成成长"),3))*(VLOOKUP($B$5,标准坦克设计!$B$14:$K$20,9)/30))</f>
        <v>20.265202135693723</v>
      </c>
      <c r="EF84" s="172">
        <f ca="1">(VLOOKUP(EF$72,INDIRECT($C$5&amp;"生成成长"),2))/((VLOOKUP($B84,INDIRECT($B$5&amp;"生成成长"),4))/(VLOOKUP(EF$72,INDIRECT($C$5&amp;"生成成长"),5))*(VLOOKUP($B$5,标准坦克设计!$B$24:$U$30,MATCH("对"&amp;LEFT($C$5,2)&amp;"输出",标准坦克设计!$B$23:$U$23,0)))*(VLOOKUP($B84,INDIRECT($B$5&amp;"生成成长"),3))*(VLOOKUP($B$5,标准坦克设计!$B$14:$K$20,9)/30))</f>
        <v>21.912125754918055</v>
      </c>
      <c r="EG84" s="172">
        <f ca="1">(VLOOKUP(EG$72,INDIRECT($C$5&amp;"生成成长"),2))/((VLOOKUP($B84,INDIRECT($B$5&amp;"生成成长"),4))/(VLOOKUP(EG$72,INDIRECT($C$5&amp;"生成成长"),5))*(VLOOKUP($B$5,标准坦克设计!$B$24:$U$30,MATCH("对"&amp;LEFT($C$5,2)&amp;"输出",标准坦克设计!$B$23:$U$23,0)))*(VLOOKUP($B84,INDIRECT($B$5&amp;"生成成长"),3))*(VLOOKUP($B$5,标准坦克设计!$B$14:$K$20,9)/30))</f>
        <v>23.62338232801833</v>
      </c>
      <c r="EH84" s="172">
        <f ca="1">(VLOOKUP(EH$72,INDIRECT($C$5&amp;"生成成长"),2))/((VLOOKUP($B84,INDIRECT($B$5&amp;"生成成长"),4))/(VLOOKUP(EH$72,INDIRECT($C$5&amp;"生成成长"),5))*(VLOOKUP($B$5,标准坦克设计!$B$24:$U$30,MATCH("对"&amp;LEFT($C$5,2)&amp;"输出",标准坦克设计!$B$23:$U$23,0)))*(VLOOKUP($B84,INDIRECT($B$5&amp;"生成成长"),3))*(VLOOKUP($B$5,标准坦克设计!$B$14:$K$20,9)/30))</f>
        <v>25.398971854994556</v>
      </c>
      <c r="EI84" s="172">
        <f ca="1">(VLOOKUP(EI$72,INDIRECT($C$5&amp;"生成成长"),2))/((VLOOKUP($B84,INDIRECT($B$5&amp;"生成成长"),4))/(VLOOKUP(EI$72,INDIRECT($C$5&amp;"生成成长"),5))*(VLOOKUP($B$5,标准坦克设计!$B$24:$U$30,MATCH("对"&amp;LEFT($C$5,2)&amp;"输出",标准坦克设计!$B$23:$U$23,0)))*(VLOOKUP($B84,INDIRECT($B$5&amp;"生成成长"),3))*(VLOOKUP($B$5,标准坦克设计!$B$14:$K$20,9)/30))</f>
        <v>27.238894335846734</v>
      </c>
      <c r="EJ84" s="172">
        <f ca="1">(VLOOKUP(EJ$72,INDIRECT($C$5&amp;"生成成长"),2))/((VLOOKUP($B84,INDIRECT($B$5&amp;"生成成长"),4))/(VLOOKUP(EJ$72,INDIRECT($C$5&amp;"生成成长"),5))*(VLOOKUP($B$5,标准坦克设计!$B$24:$U$30,MATCH("对"&amp;LEFT($C$5,2)&amp;"输出",标准坦克设计!$B$23:$U$23,0)))*(VLOOKUP($B84,INDIRECT($B$5&amp;"生成成长"),3))*(VLOOKUP($B$5,标准坦克设计!$B$14:$K$20,9)/30))</f>
        <v>29.143149770574865</v>
      </c>
      <c r="EK84" s="172">
        <f ca="1">(VLOOKUP(EK$72,INDIRECT($C$5&amp;"生成成长"),2))/((VLOOKUP($B84,INDIRECT($B$5&amp;"生成成长"),4))/(VLOOKUP(EK$72,INDIRECT($C$5&amp;"生成成长"),5))*(VLOOKUP($B$5,标准坦克设计!$B$24:$U$30,MATCH("对"&amp;LEFT($C$5,2)&amp;"输出",标准坦克设计!$B$23:$U$23,0)))*(VLOOKUP($B84,INDIRECT($B$5&amp;"生成成长"),3))*(VLOOKUP($B$5,标准坦克设计!$B$14:$K$20,9)/30))</f>
        <v>31.513175791364869</v>
      </c>
      <c r="EL84" s="172">
        <f ca="1">(VLOOKUP(EL$72,INDIRECT($C$5&amp;"生成成长"),2))/((VLOOKUP($B84,INDIRECT($B$5&amp;"生成成长"),4))/(VLOOKUP(EL$72,INDIRECT($C$5&amp;"生成成长"),5))*(VLOOKUP($B$5,标准坦克设计!$B$24:$U$30,MATCH("对"&amp;LEFT($C$5,2)&amp;"输出",标准坦克设计!$B$23:$U$23,0)))*(VLOOKUP($B84,INDIRECT($B$5&amp;"生成成长"),3))*(VLOOKUP($B$5,标准坦克设计!$B$14:$K$20,9)/30))</f>
        <v>33.97584126573625</v>
      </c>
      <c r="EM84" s="172">
        <f ca="1">(VLOOKUP(EM$72,INDIRECT($C$5&amp;"生成成长"),2))/((VLOOKUP($B84,INDIRECT($B$5&amp;"生成成长"),4))/(VLOOKUP(EM$72,INDIRECT($C$5&amp;"生成成长"),5))*(VLOOKUP($B$5,标准坦克设计!$B$24:$U$30,MATCH("对"&amp;LEFT($C$5,2)&amp;"输出",标准坦克设计!$B$23:$U$23,0)))*(VLOOKUP($B84,INDIRECT($B$5&amp;"生成成长"),3))*(VLOOKUP($B$5,标准坦克设计!$B$14:$K$20,9)/30))</f>
        <v>36.531146193689004</v>
      </c>
      <c r="EN84" s="172">
        <f ca="1">(VLOOKUP(EN$72,INDIRECT($C$5&amp;"生成成长"),2))/((VLOOKUP($B84,INDIRECT($B$5&amp;"生成成长"),4))/(VLOOKUP(EN$72,INDIRECT($C$5&amp;"生成成长"),5))*(VLOOKUP($B$5,标准坦克设计!$B$24:$U$30,MATCH("对"&amp;LEFT($C$5,2)&amp;"输出",标准坦克设计!$B$23:$U$23,0)))*(VLOOKUP($B84,INDIRECT($B$5&amp;"生成成长"),3))*(VLOOKUP($B$5,标准坦克设计!$B$14:$K$20,9)/30))</f>
        <v>39.179090575223121</v>
      </c>
      <c r="EO84" s="172">
        <f ca="1">(VLOOKUP(EO$72,INDIRECT($C$5&amp;"生成成长"),2))/((VLOOKUP($B84,INDIRECT($B$5&amp;"生成成长"),4))/(VLOOKUP(EO$72,INDIRECT($C$5&amp;"生成成长"),5))*(VLOOKUP($B$5,标准坦克设计!$B$24:$U$30,MATCH("对"&amp;LEFT($C$5,2)&amp;"输出",标准坦克设计!$B$23:$U$23,0)))*(VLOOKUP($B84,INDIRECT($B$5&amp;"生成成长"),3))*(VLOOKUP($B$5,标准坦克设计!$B$14:$K$20,9)/30))</f>
        <v>41.919674410338594</v>
      </c>
      <c r="EP84" s="172">
        <f ca="1">(VLOOKUP(EP$72,INDIRECT($C$5&amp;"生成成长"),2))/((VLOOKUP($B84,INDIRECT($B$5&amp;"生成成长"),4))/(VLOOKUP(EP$72,INDIRECT($C$5&amp;"生成成长"),5))*(VLOOKUP($B$5,标准坦克设计!$B$24:$U$30,MATCH("对"&amp;LEFT($C$5,2)&amp;"输出",标准坦克设计!$B$23:$U$23,0)))*(VLOOKUP($B84,INDIRECT($B$5&amp;"生成成长"),3))*(VLOOKUP($B$5,标准坦克设计!$B$14:$K$20,9)/30))</f>
        <v>44.752897699035444</v>
      </c>
      <c r="EQ84" s="172">
        <f ca="1">(VLOOKUP(EQ$72,INDIRECT($C$5&amp;"生成成长"),2))/((VLOOKUP($B84,INDIRECT($B$5&amp;"生成成长"),4))/(VLOOKUP(EQ$72,INDIRECT($C$5&amp;"生成成长"),5))*(VLOOKUP($B$5,标准坦克设计!$B$24:$U$30,MATCH("对"&amp;LEFT($C$5,2)&amp;"输出",标准坦克设计!$B$23:$U$23,0)))*(VLOOKUP($B84,INDIRECT($B$5&amp;"生成成长"),3))*(VLOOKUP($B$5,标准坦克设计!$B$14:$K$20,9)/30))</f>
        <v>19.783669975932238</v>
      </c>
      <c r="ER84" s="172">
        <f ca="1">(VLOOKUP(ER$72,INDIRECT($C$5&amp;"生成成长"),2))/((VLOOKUP($B84,INDIRECT($B$5&amp;"生成成长"),4))/(VLOOKUP(ER$72,INDIRECT($C$5&amp;"生成成长"),5))*(VLOOKUP($B$5,标准坦克设计!$B$24:$U$30,MATCH("对"&amp;LEFT($C$5,2)&amp;"输出",标准坦克设计!$B$23:$U$23,0)))*(VLOOKUP($B84,INDIRECT($B$5&amp;"生成成长"),3))*(VLOOKUP($B$5,标准坦克设计!$B$14:$K$20,9)/30))</f>
        <v>21.577594394763114</v>
      </c>
      <c r="ES84" s="172">
        <f ca="1">(VLOOKUP(ES$72,INDIRECT($C$5&amp;"生成成长"),2))/((VLOOKUP($B84,INDIRECT($B$5&amp;"生成成长"),4))/(VLOOKUP(ES$72,INDIRECT($C$5&amp;"生成成长"),5))*(VLOOKUP($B$5,标准坦克设计!$B$24:$U$30,MATCH("对"&amp;LEFT($C$5,2)&amp;"输出",标准坦克设计!$B$23:$U$23,0)))*(VLOOKUP($B84,INDIRECT($B$5&amp;"生成成长"),3))*(VLOOKUP($B$5,标准坦克设计!$B$14:$K$20,9)/30))</f>
        <v>23.449361687783885</v>
      </c>
      <c r="ET84" s="172">
        <f ca="1">(VLOOKUP(ET$72,INDIRECT($C$5&amp;"生成成长"),2))/((VLOOKUP($B84,INDIRECT($B$5&amp;"生成成长"),4))/(VLOOKUP(ET$72,INDIRECT($C$5&amp;"生成成长"),5))*(VLOOKUP($B$5,标准坦克设计!$B$24:$U$30,MATCH("对"&amp;LEFT($C$5,2)&amp;"输出",标准坦克设计!$B$23:$U$23,0)))*(VLOOKUP($B84,INDIRECT($B$5&amp;"生成成长"),3))*(VLOOKUP($B$5,标准坦克设计!$B$14:$K$20,9)/30))</f>
        <v>25.398971854994556</v>
      </c>
      <c r="EU84" s="172">
        <f ca="1">(VLOOKUP(EU$72,INDIRECT($C$5&amp;"生成成长"),2))/((VLOOKUP($B84,INDIRECT($B$5&amp;"生成成长"),4))/(VLOOKUP(EU$72,INDIRECT($C$5&amp;"生成成长"),5))*(VLOOKUP($B$5,标准坦克设计!$B$24:$U$30,MATCH("对"&amp;LEFT($C$5,2)&amp;"输出",标准坦克设计!$B$23:$U$23,0)))*(VLOOKUP($B84,INDIRECT($B$5&amp;"生成成长"),3))*(VLOOKUP($B$5,标准坦克设计!$B$14:$K$20,9)/30))</f>
        <v>27.426424896395133</v>
      </c>
      <c r="EV84" s="172">
        <f ca="1">(VLOOKUP(EV$72,INDIRECT($C$5&amp;"生成成长"),2))/((VLOOKUP($B84,INDIRECT($B$5&amp;"生成成长"),4))/(VLOOKUP(EV$72,INDIRECT($C$5&amp;"生成成长"),5))*(VLOOKUP($B$5,标准坦克设计!$B$24:$U$30,MATCH("对"&amp;LEFT($C$5,2)&amp;"输出",标准坦克设计!$B$23:$U$23,0)))*(VLOOKUP($B84,INDIRECT($B$5&amp;"生成成长"),3))*(VLOOKUP($B$5,标准坦克设计!$B$14:$K$20,9)/30))</f>
        <v>29.531720811985608</v>
      </c>
      <c r="EW84" s="172">
        <f ca="1">(VLOOKUP(EW$72,INDIRECT($C$5&amp;"生成成长"),2))/((VLOOKUP($B84,INDIRECT($B$5&amp;"生成成长"),4))/(VLOOKUP(EW$72,INDIRECT($C$5&amp;"生成成长"),5))*(VLOOKUP($B$5,标准坦克设计!$B$24:$U$30,MATCH("对"&amp;LEFT($C$5,2)&amp;"输出",标准坦克设计!$B$23:$U$23,0)))*(VLOOKUP($B84,INDIRECT($B$5&amp;"生成成长"),3))*(VLOOKUP($B$5,标准坦克设计!$B$14:$K$20,9)/30))</f>
        <v>31.71485960176598</v>
      </c>
      <c r="EX84" s="172">
        <f ca="1">(VLOOKUP(EX$72,INDIRECT($C$5&amp;"生成成长"),2))/((VLOOKUP($B84,INDIRECT($B$5&amp;"生成成长"),4))/(VLOOKUP(EX$72,INDIRECT($C$5&amp;"生成成长"),5))*(VLOOKUP($B$5,标准坦克设计!$B$24:$U$30,MATCH("对"&amp;LEFT($C$5,2)&amp;"输出",标准坦克设计!$B$23:$U$23,0)))*(VLOOKUP($B84,INDIRECT($B$5&amp;"生成成长"),3))*(VLOOKUP($B$5,标准坦克设计!$B$14:$K$20,9)/30))</f>
        <v>33.97584126573625</v>
      </c>
      <c r="EY84" s="172">
        <f ca="1">(VLOOKUP(EY$72,INDIRECT($C$5&amp;"生成成长"),2))/((VLOOKUP($B84,INDIRECT($B$5&amp;"生成成长"),4))/(VLOOKUP(EY$72,INDIRECT($C$5&amp;"生成成长"),5))*(VLOOKUP($B$5,标准坦克设计!$B$24:$U$30,MATCH("对"&amp;LEFT($C$5,2)&amp;"输出",标准坦克设计!$B$23:$U$23,0)))*(VLOOKUP($B84,INDIRECT($B$5&amp;"生成成长"),3))*(VLOOKUP($B$5,标准坦克设计!$B$14:$K$20,9)/30))</f>
        <v>36.314665803896425</v>
      </c>
      <c r="EZ84" s="172">
        <f ca="1">(VLOOKUP(EZ$72,INDIRECT($C$5&amp;"生成成长"),2))/((VLOOKUP($B84,INDIRECT($B$5&amp;"生成成长"),4))/(VLOOKUP(EZ$72,INDIRECT($C$5&amp;"生成成长"),5))*(VLOOKUP($B$5,标准坦克设计!$B$24:$U$30,MATCH("对"&amp;LEFT($C$5,2)&amp;"输出",标准坦克设计!$B$23:$U$23,0)))*(VLOOKUP($B84,INDIRECT($B$5&amp;"生成成长"),3))*(VLOOKUP($B$5,标准坦克设计!$B$14:$K$20,9)/30))</f>
        <v>38.73133321624649</v>
      </c>
      <c r="FA84" s="172">
        <f ca="1">(VLOOKUP(FA$72,INDIRECT($C$5&amp;"生成成长"),2))/((VLOOKUP($B84,INDIRECT($B$5&amp;"生成成长"),4))/(VLOOKUP(FA$72,INDIRECT($C$5&amp;"生成成长"),5))*(VLOOKUP($B$5,标准坦克设计!$B$24:$U$30,MATCH("对"&amp;LEFT($C$5,2)&amp;"输出",标准坦克设计!$B$23:$U$23,0)))*(VLOOKUP($B84,INDIRECT($B$5&amp;"生成成长"),3))*(VLOOKUP($B$5,标准坦克设计!$B$14:$K$20,9)/30))</f>
        <v>41.225843502786468</v>
      </c>
      <c r="FB84" s="172">
        <f ca="1">(VLOOKUP(FB$72,INDIRECT($C$5&amp;"生成成长"),2))/((VLOOKUP($B84,INDIRECT($B$5&amp;"生成成长"),4))/(VLOOKUP(FB$72,INDIRECT($C$5&amp;"生成成长"),5))*(VLOOKUP($B$5,标准坦克设计!$B$24:$U$30,MATCH("对"&amp;LEFT($C$5,2)&amp;"输出",标准坦克设计!$B$23:$U$23,0)))*(VLOOKUP($B84,INDIRECT($B$5&amp;"生成成长"),3))*(VLOOKUP($B$5,标准坦克设计!$B$14:$K$20,9)/30))</f>
        <v>43.798196663516336</v>
      </c>
      <c r="FC84" s="172">
        <f ca="1">(VLOOKUP(FC$72,INDIRECT($C$5&amp;"生成成长"),2))/((VLOOKUP($B84,INDIRECT($B$5&amp;"生成成长"),4))/(VLOOKUP(FC$72,INDIRECT($C$5&amp;"生成成长"),5))*(VLOOKUP($B$5,标准坦克设计!$B$24:$U$30,MATCH("对"&amp;LEFT($C$5,2)&amp;"输出",标准坦克设计!$B$23:$U$23,0)))*(VLOOKUP($B84,INDIRECT($B$5&amp;"生成成长"),3))*(VLOOKUP($B$5,标准坦克设计!$B$14:$K$20,9)/30))</f>
        <v>46.448392698436123</v>
      </c>
      <c r="FD84" s="172">
        <f ca="1">(VLOOKUP(FD$72,INDIRECT($C$5&amp;"生成成长"),2))/((VLOOKUP($B84,INDIRECT($B$5&amp;"生成成长"),4))/(VLOOKUP(FD$72,INDIRECT($C$5&amp;"生成成长"),5))*(VLOOKUP($B$5,标准坦克设计!$B$24:$U$30,MATCH("对"&amp;LEFT($C$5,2)&amp;"输出",标准坦克设计!$B$23:$U$23,0)))*(VLOOKUP($B84,INDIRECT($B$5&amp;"生成成长"),3))*(VLOOKUP($B$5,标准坦克设计!$B$14:$K$20,9)/30))</f>
        <v>49.17643160754578</v>
      </c>
      <c r="FE84" s="172">
        <f ca="1">(VLOOKUP(FE$72,INDIRECT($C$5&amp;"生成成长"),2))/((VLOOKUP($B84,INDIRECT($B$5&amp;"生成成长"),4))/(VLOOKUP(FE$72,INDIRECT($C$5&amp;"生成成长"),5))*(VLOOKUP($B$5,标准坦克设计!$B$24:$U$30,MATCH("对"&amp;LEFT($C$5,2)&amp;"输出",标准坦克设计!$B$23:$U$23,0)))*(VLOOKUP($B84,INDIRECT($B$5&amp;"生成成长"),3))*(VLOOKUP($B$5,标准坦克设计!$B$14:$K$20,9)/30))</f>
        <v>52.500836999085514</v>
      </c>
      <c r="FF84" s="172">
        <f ca="1">(VLOOKUP(FF$72,INDIRECT($C$5&amp;"生成成长"),2))/((VLOOKUP($B84,INDIRECT($B$5&amp;"生成成长"),4))/(VLOOKUP(FF$72,INDIRECT($C$5&amp;"生成成长"),5))*(VLOOKUP($B$5,标准坦克设计!$B$24:$U$30,MATCH("对"&amp;LEFT($C$5,2)&amp;"输出",标准坦克设计!$B$23:$U$23,0)))*(VLOOKUP($B84,INDIRECT($B$5&amp;"生成成长"),3))*(VLOOKUP($B$5,标准坦克设计!$B$14:$K$20,9)/30))</f>
        <v>55.933965082675613</v>
      </c>
      <c r="FG84" s="172">
        <f ca="1">(VLOOKUP(FG$72,INDIRECT($C$5&amp;"生成成长"),2))/((VLOOKUP($B84,INDIRECT($B$5&amp;"生成成长"),4))/(VLOOKUP(FG$72,INDIRECT($C$5&amp;"生成成长"),5))*(VLOOKUP($B$5,标准坦克设计!$B$24:$U$30,MATCH("对"&amp;LEFT($C$5,2)&amp;"输出",标准坦克设计!$B$23:$U$23,0)))*(VLOOKUP($B84,INDIRECT($B$5&amp;"生成成长"),3))*(VLOOKUP($B$5,标准坦克设计!$B$14:$K$20,9)/30))</f>
        <v>59.475815858316054</v>
      </c>
      <c r="FH84" s="172">
        <f ca="1">(VLOOKUP(FH$72,INDIRECT($C$5&amp;"生成成长"),2))/((VLOOKUP($B84,INDIRECT($B$5&amp;"生成成长"),4))/(VLOOKUP(FH$72,INDIRECT($C$5&amp;"生成成长"),5))*(VLOOKUP($B$5,标准坦克设计!$B$24:$U$30,MATCH("对"&amp;LEFT($C$5,2)&amp;"输出",标准坦克设计!$B$23:$U$23,0)))*(VLOOKUP($B84,INDIRECT($B$5&amp;"生成成长"),3))*(VLOOKUP($B$5,标准坦克设计!$B$14:$K$20,9)/30))</f>
        <v>63.126389326006858</v>
      </c>
      <c r="FI84" s="172">
        <f ca="1">(VLOOKUP(FI$72,INDIRECT($C$5&amp;"生成成长"),2))/((VLOOKUP($B84,INDIRECT($B$5&amp;"生成成长"),4))/(VLOOKUP(FI$72,INDIRECT($C$5&amp;"生成成长"),5))*(VLOOKUP($B$5,标准坦克设计!$B$24:$U$30,MATCH("对"&amp;LEFT($C$5,2)&amp;"输出",标准坦克设计!$B$23:$U$23,0)))*(VLOOKUP($B84,INDIRECT($B$5&amp;"生成成长"),3))*(VLOOKUP($B$5,标准坦克设计!$B$14:$K$20,9)/30))</f>
        <v>66.885685485747999</v>
      </c>
      <c r="FJ84" s="172">
        <f ca="1">(VLOOKUP(FJ$72,INDIRECT($C$5&amp;"生成成长"),2))/((VLOOKUP($B84,INDIRECT($B$5&amp;"生成成长"),4))/(VLOOKUP(FJ$72,INDIRECT($C$5&amp;"生成成长"),5))*(VLOOKUP($B$5,标准坦克设计!$B$24:$U$30,MATCH("对"&amp;LEFT($C$5,2)&amp;"输出",标准坦克设计!$B$23:$U$23,0)))*(VLOOKUP($B84,INDIRECT($B$5&amp;"生成成长"),3))*(VLOOKUP($B$5,标准坦克设计!$B$14:$K$20,9)/30))</f>
        <v>70.753704337539531</v>
      </c>
      <c r="FK84" s="172">
        <f ca="1">(VLOOKUP(FK$72,INDIRECT($C$5&amp;"生成成长"),2))/((VLOOKUP($B84,INDIRECT($B$5&amp;"生成成长"),4))/(VLOOKUP(FK$72,INDIRECT($C$5&amp;"生成成长"),5))*(VLOOKUP($B$5,标准坦克设计!$B$24:$U$30,MATCH("对"&amp;LEFT($C$5,2)&amp;"输出",标准坦克设计!$B$23:$U$23,0)))*(VLOOKUP($B84,INDIRECT($B$5&amp;"生成成长"),3))*(VLOOKUP($B$5,标准坦克设计!$B$14:$K$20,9)/30))</f>
        <v>74.730445881381385</v>
      </c>
    </row>
    <row r="85" spans="1:167" x14ac:dyDescent="0.15">
      <c r="A85" s="170" t="str">
        <f t="shared" si="11"/>
        <v>T3低品质1级</v>
      </c>
      <c r="B85" s="171">
        <v>10301</v>
      </c>
      <c r="C85" s="172">
        <f ca="1">(VLOOKUP(C$72,INDIRECT($C$5&amp;"生成成长"),2))/((VLOOKUP($B85,INDIRECT($B$5&amp;"生成成长"),4))/(VLOOKUP(C$72,INDIRECT($C$5&amp;"生成成长"),5))*(VLOOKUP($B$5,标准坦克设计!$B$24:$U$30,MATCH("对"&amp;LEFT($C$5,2)&amp;"输出",标准坦克设计!$B$23:$U$23,0)))*(VLOOKUP($B85,INDIRECT($B$5&amp;"生成成长"),3))*(VLOOKUP($B$5,标准坦克设计!$B$14:$K$20,9)/30))</f>
        <v>4.2542759821192941</v>
      </c>
      <c r="D85" s="172">
        <f ca="1">(VLOOKUP(D$72,INDIRECT($C$5&amp;"生成成长"),2))/((VLOOKUP($B85,INDIRECT($B$5&amp;"生成成长"),4))/(VLOOKUP(D$72,INDIRECT($C$5&amp;"生成成长"),5))*(VLOOKUP($B$5,标准坦克设计!$B$24:$U$30,MATCH("对"&amp;LEFT($C$5,2)&amp;"输出",标准坦克设计!$B$23:$U$23,0)))*(VLOOKUP($B85,INDIRECT($B$5&amp;"生成成长"),3))*(VLOOKUP($B$5,标准坦克设计!$B$14:$K$20,9)/30))</f>
        <v>4.7801044935092394</v>
      </c>
      <c r="E85" s="172">
        <f ca="1">(VLOOKUP(E$72,INDIRECT($C$5&amp;"生成成长"),2))/((VLOOKUP($B85,INDIRECT($B$5&amp;"生成成长"),4))/(VLOOKUP(E$72,INDIRECT($C$5&amp;"生成成长"),5))*(VLOOKUP($B$5,标准坦克设计!$B$24:$U$30,MATCH("对"&amp;LEFT($C$5,2)&amp;"输出",标准坦克设计!$B$23:$U$23,0)))*(VLOOKUP($B85,INDIRECT($B$5&amp;"生成成长"),3))*(VLOOKUP($B$5,标准坦克设计!$B$14:$K$20,9)/30))</f>
        <v>5.3365637919704429</v>
      </c>
      <c r="F85" s="172">
        <f ca="1">(VLOOKUP(F$72,INDIRECT($C$5&amp;"生成成长"),2))/((VLOOKUP($B85,INDIRECT($B$5&amp;"生成成长"),4))/(VLOOKUP(F$72,INDIRECT($C$5&amp;"生成成长"),5))*(VLOOKUP($B$5,标准坦克设计!$B$24:$U$30,MATCH("对"&amp;LEFT($C$5,2)&amp;"输出",标准坦克设计!$B$23:$U$23,0)))*(VLOOKUP($B85,INDIRECT($B$5&amp;"生成成长"),3))*(VLOOKUP($B$5,标准坦克设计!$B$14:$K$20,9)/30))</f>
        <v>5.923653877502904</v>
      </c>
      <c r="G85" s="172">
        <f ca="1">(VLOOKUP(G$72,INDIRECT($C$5&amp;"生成成长"),2))/((VLOOKUP($B85,INDIRECT($B$5&amp;"生成成长"),4))/(VLOOKUP(G$72,INDIRECT($C$5&amp;"生成成长"),5))*(VLOOKUP($B$5,标准坦克设计!$B$24:$U$30,MATCH("对"&amp;LEFT($C$5,2)&amp;"输出",标准坦克设计!$B$23:$U$23,0)))*(VLOOKUP($B85,INDIRECT($B$5&amp;"生成成长"),3))*(VLOOKUP($B$5,标准坦克设计!$B$14:$K$20,9)/30))</f>
        <v>6.5413747501066268</v>
      </c>
      <c r="H85" s="172">
        <f ca="1">(VLOOKUP(H$72,INDIRECT($C$5&amp;"生成成长"),2))/((VLOOKUP($B85,INDIRECT($B$5&amp;"生成成长"),4))/(VLOOKUP(H$72,INDIRECT($C$5&amp;"生成成长"),5))*(VLOOKUP($B$5,标准坦克设计!$B$24:$U$30,MATCH("对"&amp;LEFT($C$5,2)&amp;"输出",标准坦克设计!$B$23:$U$23,0)))*(VLOOKUP($B85,INDIRECT($B$5&amp;"生成成长"),3))*(VLOOKUP($B$5,标准坦克设计!$B$14:$K$20,9)/30))</f>
        <v>5.7245537615397213</v>
      </c>
      <c r="I85" s="172">
        <f ca="1">(VLOOKUP(I$72,INDIRECT($C$5&amp;"生成成长"),2))/((VLOOKUP($B85,INDIRECT($B$5&amp;"生成成长"),4))/(VLOOKUP(I$72,INDIRECT($C$5&amp;"生成成长"),5))*(VLOOKUP($B$5,标准坦克设计!$B$24:$U$30,MATCH("对"&amp;LEFT($C$5,2)&amp;"输出",标准坦克设计!$B$23:$U$23,0)))*(VLOOKUP($B85,INDIRECT($B$5&amp;"生成成长"),3))*(VLOOKUP($B$5,标准坦克设计!$B$14:$K$20,9)/30))</f>
        <v>6.5413747501066268</v>
      </c>
      <c r="J85" s="172">
        <f ca="1">(VLOOKUP(J$72,INDIRECT($C$5&amp;"生成成长"),2))/((VLOOKUP($B85,INDIRECT($B$5&amp;"生成成长"),4))/(VLOOKUP(J$72,INDIRECT($C$5&amp;"生成成长"),5))*(VLOOKUP($B$5,标准坦克设计!$B$24:$U$30,MATCH("对"&amp;LEFT($C$5,2)&amp;"输出",标准坦克设计!$B$23:$U$23,0)))*(VLOOKUP($B85,INDIRECT($B$5&amp;"生成成长"),3))*(VLOOKUP($B$5,标准坦克设计!$B$14:$K$20,9)/30))</f>
        <v>7.4126504712446577</v>
      </c>
      <c r="K85" s="172">
        <f ca="1">(VLOOKUP(K$72,INDIRECT($C$5&amp;"生成成长"),2))/((VLOOKUP($B85,INDIRECT($B$5&amp;"生成成长"),4))/(VLOOKUP(K$72,INDIRECT($C$5&amp;"生成成长"),5))*(VLOOKUP($B$5,标准坦克设计!$B$24:$U$30,MATCH("对"&amp;LEFT($C$5,2)&amp;"输出",标准坦克设计!$B$23:$U$23,0)))*(VLOOKUP($B85,INDIRECT($B$5&amp;"生成成长"),3))*(VLOOKUP($B$5,标准坦克设计!$B$14:$K$20,9)/30))</f>
        <v>8.3383809249538157</v>
      </c>
      <c r="L85" s="172">
        <f ca="1">(VLOOKUP(L$72,INDIRECT($C$5&amp;"生成成长"),2))/((VLOOKUP($B85,INDIRECT($B$5&amp;"生成成长"),4))/(VLOOKUP(L$72,INDIRECT($C$5&amp;"生成成长"),5))*(VLOOKUP($B$5,标准坦克设计!$B$24:$U$30,MATCH("对"&amp;LEFT($C$5,2)&amp;"输出",标准坦克设计!$B$23:$U$23,0)))*(VLOOKUP($B85,INDIRECT($B$5&amp;"生成成长"),3))*(VLOOKUP($B$5,标准坦克设计!$B$14:$K$20,9)/30))</f>
        <v>9.3185661112341016</v>
      </c>
      <c r="M85" s="172">
        <f ca="1">(VLOOKUP(M$72,INDIRECT($C$5&amp;"生成成长"),2))/((VLOOKUP($B85,INDIRECT($B$5&amp;"生成成长"),4))/(VLOOKUP(M$72,INDIRECT($C$5&amp;"生成成长"),5))*(VLOOKUP($B$5,标准坦克设计!$B$24:$U$30,MATCH("对"&amp;LEFT($C$5,2)&amp;"输出",标准坦克设计!$B$23:$U$23,0)))*(VLOOKUP($B85,INDIRECT($B$5&amp;"生成成长"),3))*(VLOOKUP($B$5,标准坦克设计!$B$14:$K$20,9)/30))</f>
        <v>10.353206030085513</v>
      </c>
      <c r="N85" s="172">
        <f ca="1">(VLOOKUP(N$72,INDIRECT($C$5&amp;"生成成长"),2))/((VLOOKUP($B85,INDIRECT($B$5&amp;"生成成长"),4))/(VLOOKUP(N$72,INDIRECT($C$5&amp;"生成成长"),5))*(VLOOKUP($B$5,标准坦克设计!$B$24:$U$30,MATCH("对"&amp;LEFT($C$5,2)&amp;"输出",标准坦克设计!$B$23:$U$23,0)))*(VLOOKUP($B85,INDIRECT($B$5&amp;"生成成长"),3))*(VLOOKUP($B$5,标准坦克设计!$B$14:$K$20,9)/30))</f>
        <v>11.442300681508053</v>
      </c>
      <c r="O85" s="172">
        <f ca="1">(VLOOKUP(O$72,INDIRECT($C$5&amp;"生成成长"),2))/((VLOOKUP($B85,INDIRECT($B$5&amp;"生成成长"),4))/(VLOOKUP(O$72,INDIRECT($C$5&amp;"生成成长"),5))*(VLOOKUP($B$5,标准坦克设计!$B$24:$U$30,MATCH("对"&amp;LEFT($C$5,2)&amp;"输出",标准坦克设计!$B$23:$U$23,0)))*(VLOOKUP($B85,INDIRECT($B$5&amp;"生成成长"),3))*(VLOOKUP($B$5,标准坦克设计!$B$14:$K$20,9)/30))</f>
        <v>8.6995689558357459</v>
      </c>
      <c r="P85" s="172">
        <f ca="1">(VLOOKUP(P$72,INDIRECT($C$5&amp;"生成成长"),2))/((VLOOKUP($B85,INDIRECT($B$5&amp;"生成成长"),4))/(VLOOKUP(P$72,INDIRECT($C$5&amp;"生成成长"),5))*(VLOOKUP($B$5,标准坦克设计!$B$24:$U$30,MATCH("对"&amp;LEFT($C$5,2)&amp;"输出",标准坦克设计!$B$23:$U$23,0)))*(VLOOKUP($B85,INDIRECT($B$5&amp;"生成成长"),3))*(VLOOKUP($B$5,标准坦克设计!$B$14:$K$20,9)/30))</f>
        <v>9.8290792290884177</v>
      </c>
      <c r="Q85" s="172">
        <f ca="1">(VLOOKUP(Q$72,INDIRECT($C$5&amp;"生成成长"),2))/((VLOOKUP($B85,INDIRECT($B$5&amp;"生成成长"),4))/(VLOOKUP(Q$72,INDIRECT($C$5&amp;"生成成长"),5))*(VLOOKUP($B$5,标准坦克设计!$B$24:$U$30,MATCH("对"&amp;LEFT($C$5,2)&amp;"输出",标准坦克设计!$B$23:$U$23,0)))*(VLOOKUP($B85,INDIRECT($B$5&amp;"生成成长"),3))*(VLOOKUP($B$5,标准坦克设计!$B$14:$K$20,9)/30))</f>
        <v>11.027508773251421</v>
      </c>
      <c r="R85" s="172">
        <f ca="1">(VLOOKUP(R$72,INDIRECT($C$5&amp;"生成成长"),2))/((VLOOKUP($B85,INDIRECT($B$5&amp;"生成成长"),4))/(VLOOKUP(R$72,INDIRECT($C$5&amp;"生成成长"),5))*(VLOOKUP($B$5,标准坦克设计!$B$24:$U$30,MATCH("对"&amp;LEFT($C$5,2)&amp;"输出",标准坦克设计!$B$23:$U$23,0)))*(VLOOKUP($B85,INDIRECT($B$5&amp;"生成成长"),3))*(VLOOKUP($B$5,标准坦克设计!$B$14:$K$20,9)/30))</f>
        <v>12.29485758832476</v>
      </c>
      <c r="S85" s="172">
        <f ca="1">(VLOOKUP(S$72,INDIRECT($C$5&amp;"生成成长"),2))/((VLOOKUP($B85,INDIRECT($B$5&amp;"生成成长"),4))/(VLOOKUP(S$72,INDIRECT($C$5&amp;"生成成长"),5))*(VLOOKUP($B$5,标准坦克设计!$B$24:$U$30,MATCH("对"&amp;LEFT($C$5,2)&amp;"输出",标准坦克设计!$B$23:$U$23,0)))*(VLOOKUP($B85,INDIRECT($B$5&amp;"生成成长"),3))*(VLOOKUP($B$5,标准坦克设计!$B$14:$K$20,9)/30))</f>
        <v>13.63112567430843</v>
      </c>
      <c r="T85" s="172">
        <f ca="1">(VLOOKUP(T$72,INDIRECT($C$5&amp;"生成成长"),2))/((VLOOKUP($B85,INDIRECT($B$5&amp;"生成成长"),4))/(VLOOKUP(T$72,INDIRECT($C$5&amp;"生成成长"),5))*(VLOOKUP($B$5,标准坦克设计!$B$24:$U$30,MATCH("对"&amp;LEFT($C$5,2)&amp;"输出",标准坦克设计!$B$23:$U$23,0)))*(VLOOKUP($B85,INDIRECT($B$5&amp;"生成成长"),3))*(VLOOKUP($B$5,标准坦克设计!$B$14:$K$20,9)/30))</f>
        <v>15.036313031202434</v>
      </c>
      <c r="U85" s="172">
        <f ca="1">(VLOOKUP(U$72,INDIRECT($C$5&amp;"生成成长"),2))/((VLOOKUP($B85,INDIRECT($B$5&amp;"生成成长"),4))/(VLOOKUP(U$72,INDIRECT($C$5&amp;"生成成长"),5))*(VLOOKUP($B$5,标准坦克设计!$B$24:$U$30,MATCH("对"&amp;LEFT($C$5,2)&amp;"输出",标准坦克设计!$B$23:$U$23,0)))*(VLOOKUP($B85,INDIRECT($B$5&amp;"生成成长"),3))*(VLOOKUP($B$5,标准坦克设计!$B$14:$K$20,9)/30))</f>
        <v>16.510419659006772</v>
      </c>
      <c r="V85" s="172">
        <f ca="1">(VLOOKUP(V$72,INDIRECT($C$5&amp;"生成成长"),2))/((VLOOKUP($B85,INDIRECT($B$5&amp;"生成成长"),4))/(VLOOKUP(V$72,INDIRECT($C$5&amp;"生成成长"),5))*(VLOOKUP($B$5,标准坦克设计!$B$24:$U$30,MATCH("对"&amp;LEFT($C$5,2)&amp;"输出",标准坦克设计!$B$23:$U$23,0)))*(VLOOKUP($B85,INDIRECT($B$5&amp;"生成成长"),3))*(VLOOKUP($B$5,标准坦克设计!$B$14:$K$20,9)/30))</f>
        <v>18.053445557721435</v>
      </c>
      <c r="W85" s="172">
        <f ca="1">(VLOOKUP(W$72,INDIRECT($C$5&amp;"生成成长"),2))/((VLOOKUP($B85,INDIRECT($B$5&amp;"生成成长"),4))/(VLOOKUP(W$72,INDIRECT($C$5&amp;"生成成长"),5))*(VLOOKUP($B$5,标准坦克设计!$B$24:$U$30,MATCH("对"&amp;LEFT($C$5,2)&amp;"输出",标准坦克设计!$B$23:$U$23,0)))*(VLOOKUP($B85,INDIRECT($B$5&amp;"生成成长"),3))*(VLOOKUP($B$5,标准坦克设计!$B$14:$K$20,9)/30))</f>
        <v>19.665390727346438</v>
      </c>
      <c r="X85" s="172">
        <f ca="1">(VLOOKUP(X$72,INDIRECT($C$5&amp;"生成成长"),2))/((VLOOKUP($B85,INDIRECT($B$5&amp;"生成成长"),4))/(VLOOKUP(X$72,INDIRECT($C$5&amp;"生成成长"),5))*(VLOOKUP($B$5,标准坦克设计!$B$24:$U$30,MATCH("对"&amp;LEFT($C$5,2)&amp;"输出",标准坦克设计!$B$23:$U$23,0)))*(VLOOKUP($B85,INDIRECT($B$5&amp;"生成成长"),3))*(VLOOKUP($B$5,标准坦克设计!$B$14:$K$20,9)/30))</f>
        <v>14.247144836519304</v>
      </c>
      <c r="Y85" s="172">
        <f ca="1">(VLOOKUP(Y$72,INDIRECT($C$5&amp;"生成成长"),2))/((VLOOKUP($B85,INDIRECT($B$5&amp;"生成成长"),4))/(VLOOKUP(Y$72,INDIRECT($C$5&amp;"生成成长"),5))*(VLOOKUP($B$5,标准坦克设计!$B$24:$U$30,MATCH("对"&amp;LEFT($C$5,2)&amp;"输出",标准坦克设计!$B$23:$U$23,0)))*(VLOOKUP($B85,INDIRECT($B$5&amp;"生成成长"),3))*(VLOOKUP($B$5,标准坦克设计!$B$14:$K$20,9)/30))</f>
        <v>15.84675260579616</v>
      </c>
      <c r="Z85" s="172">
        <f ca="1">(VLOOKUP(Z$72,INDIRECT($C$5&amp;"生成成长"),2))/((VLOOKUP($B85,INDIRECT($B$5&amp;"生成成长"),4))/(VLOOKUP(Z$72,INDIRECT($C$5&amp;"生成成长"),5))*(VLOOKUP($B$5,标准坦克设计!$B$24:$U$30,MATCH("对"&amp;LEFT($C$5,2)&amp;"输出",标准坦克设计!$B$23:$U$23,0)))*(VLOOKUP($B85,INDIRECT($B$5&amp;"生成成长"),3))*(VLOOKUP($B$5,标准坦克设计!$B$14:$K$20,9)/30))</f>
        <v>17.531445894715397</v>
      </c>
      <c r="AA85" s="172">
        <f ca="1">(VLOOKUP(AA$72,INDIRECT($C$5&amp;"生成成长"),2))/((VLOOKUP($B85,INDIRECT($B$5&amp;"生成成长"),4))/(VLOOKUP(AA$72,INDIRECT($C$5&amp;"生成成长"),5))*(VLOOKUP($B$5,标准坦克设计!$B$24:$U$30,MATCH("对"&amp;LEFT($C$5,2)&amp;"输出",标准坦克设计!$B$23:$U$23,0)))*(VLOOKUP($B85,INDIRECT($B$5&amp;"生成成长"),3))*(VLOOKUP($B$5,标准坦克设计!$B$14:$K$20,9)/30))</f>
        <v>19.301224703277025</v>
      </c>
      <c r="AB85" s="172">
        <f ca="1">(VLOOKUP(AB$72,INDIRECT($C$5&amp;"生成成长"),2))/((VLOOKUP($B85,INDIRECT($B$5&amp;"生成成长"),4))/(VLOOKUP(AB$72,INDIRECT($C$5&amp;"生成成长"),5))*(VLOOKUP($B$5,标准坦克设计!$B$24:$U$30,MATCH("对"&amp;LEFT($C$5,2)&amp;"输出",标准坦克设计!$B$23:$U$23,0)))*(VLOOKUP($B85,INDIRECT($B$5&amp;"生成成长"),3))*(VLOOKUP($B$5,标准坦克设计!$B$14:$K$20,9)/30))</f>
        <v>21.156089031481038</v>
      </c>
      <c r="AC85" s="172">
        <f ca="1">(VLOOKUP(AC$72,INDIRECT($C$5&amp;"生成成长"),2))/((VLOOKUP($B85,INDIRECT($B$5&amp;"生成成长"),4))/(VLOOKUP(AC$72,INDIRECT($C$5&amp;"生成成长"),5))*(VLOOKUP($B$5,标准坦克设计!$B$24:$U$30,MATCH("对"&amp;LEFT($C$5,2)&amp;"输出",标准坦克设计!$B$23:$U$23,0)))*(VLOOKUP($B85,INDIRECT($B$5&amp;"生成成长"),3))*(VLOOKUP($B$5,标准坦克设计!$B$14:$K$20,9)/30))</f>
        <v>23.096038879327438</v>
      </c>
      <c r="AD85" s="172">
        <f ca="1">(VLOOKUP(AD$72,INDIRECT($C$5&amp;"生成成长"),2))/((VLOOKUP($B85,INDIRECT($B$5&amp;"生成成长"),4))/(VLOOKUP(AD$72,INDIRECT($C$5&amp;"生成成长"),5))*(VLOOKUP($B$5,标准坦克设计!$B$24:$U$30,MATCH("对"&amp;LEFT($C$5,2)&amp;"输出",标准坦克设计!$B$23:$U$23,0)))*(VLOOKUP($B85,INDIRECT($B$5&amp;"生成成长"),3))*(VLOOKUP($B$5,标准坦克设计!$B$14:$K$20,9)/30))</f>
        <v>25.121074246816217</v>
      </c>
      <c r="AE85" s="172">
        <f ca="1">(VLOOKUP(AE$72,INDIRECT($C$5&amp;"生成成长"),2))/((VLOOKUP($B85,INDIRECT($B$5&amp;"生成成长"),4))/(VLOOKUP(AE$72,INDIRECT($C$5&amp;"生成成长"),5))*(VLOOKUP($B$5,标准坦克设计!$B$24:$U$30,MATCH("对"&amp;LEFT($C$5,2)&amp;"输出",标准坦克设计!$B$23:$U$23,0)))*(VLOOKUP($B85,INDIRECT($B$5&amp;"生成成长"),3))*(VLOOKUP($B$5,标准坦克设计!$B$14:$K$20,9)/30))</f>
        <v>27.231195133947391</v>
      </c>
      <c r="AF85" s="172">
        <f ca="1">(VLOOKUP(AF$72,INDIRECT($C$5&amp;"生成成长"),2))/((VLOOKUP($B85,INDIRECT($B$5&amp;"生成成长"),4))/(VLOOKUP(AF$72,INDIRECT($C$5&amp;"生成成长"),5))*(VLOOKUP($B$5,标准坦克设计!$B$24:$U$30,MATCH("对"&amp;LEFT($C$5,2)&amp;"输出",标准坦克设计!$B$23:$U$23,0)))*(VLOOKUP($B85,INDIRECT($B$5&amp;"生成成长"),3))*(VLOOKUP($B$5,标准坦克设计!$B$14:$K$20,9)/30))</f>
        <v>29.426401540720942</v>
      </c>
      <c r="AG85" s="172">
        <f ca="1">(VLOOKUP(AG$72,INDIRECT($C$5&amp;"生成成长"),2))/((VLOOKUP($B85,INDIRECT($B$5&amp;"生成成长"),4))/(VLOOKUP(AG$72,INDIRECT($C$5&amp;"生成成长"),5))*(VLOOKUP($B$5,标准坦克设计!$B$24:$U$30,MATCH("对"&amp;LEFT($C$5,2)&amp;"输出",标准坦克设计!$B$23:$U$23,0)))*(VLOOKUP($B85,INDIRECT($B$5&amp;"生成成长"),3))*(VLOOKUP($B$5,标准坦克设计!$B$14:$K$20,9)/30))</f>
        <v>31.706693467136883</v>
      </c>
      <c r="AH85" s="172">
        <f ca="1">(VLOOKUP(AH$72,INDIRECT($C$5&amp;"生成成长"),2))/((VLOOKUP($B85,INDIRECT($B$5&amp;"生成成长"),4))/(VLOOKUP(AH$72,INDIRECT($C$5&amp;"生成成长"),5))*(VLOOKUP($B$5,标准坦克设计!$B$24:$U$30,MATCH("对"&amp;LEFT($C$5,2)&amp;"输出",标准坦克设计!$B$23:$U$23,0)))*(VLOOKUP($B85,INDIRECT($B$5&amp;"生成成长"),3))*(VLOOKUP($B$5,标准坦克设计!$B$14:$K$20,9)/30))</f>
        <v>34.072070913195212</v>
      </c>
      <c r="AI85" s="172">
        <f ca="1">(VLOOKUP(AI$72,INDIRECT($C$5&amp;"生成成长"),2))/((VLOOKUP($B85,INDIRECT($B$5&amp;"生成成长"),4))/(VLOOKUP(AI$72,INDIRECT($C$5&amp;"生成成长"),5))*(VLOOKUP($B$5,标准坦克设计!$B$24:$U$30,MATCH("对"&amp;LEFT($C$5,2)&amp;"输出",标准坦克设计!$B$23:$U$23,0)))*(VLOOKUP($B85,INDIRECT($B$5&amp;"生成成长"),3))*(VLOOKUP($B$5,标准坦克设计!$B$14:$K$20,9)/30))</f>
        <v>24.097920873116525</v>
      </c>
      <c r="AJ85" s="172">
        <f ca="1">(VLOOKUP(AJ$72,INDIRECT($C$5&amp;"生成成长"),2))/((VLOOKUP($B85,INDIRECT($B$5&amp;"生成成长"),4))/(VLOOKUP(AJ$72,INDIRECT($C$5&amp;"生成成长"),5))*(VLOOKUP($B$5,标准坦克设计!$B$24:$U$30,MATCH("对"&amp;LEFT($C$5,2)&amp;"输出",标准坦克设计!$B$23:$U$23,0)))*(VLOOKUP($B85,INDIRECT($B$5&amp;"生成成长"),3))*(VLOOKUP($B$5,标准坦克设计!$B$14:$K$20,9)/30))</f>
        <v>26.376936516737832</v>
      </c>
      <c r="AK85" s="172">
        <f ca="1">(VLOOKUP(AK$72,INDIRECT($C$5&amp;"生成成长"),2))/((VLOOKUP($B85,INDIRECT($B$5&amp;"生成成长"),4))/(VLOOKUP(AK$72,INDIRECT($C$5&amp;"生成成长"),5))*(VLOOKUP($B$5,标准坦克设计!$B$24:$U$30,MATCH("对"&amp;LEFT($C$5,2)&amp;"输出",标准坦克设计!$B$23:$U$23,0)))*(VLOOKUP($B85,INDIRECT($B$5&amp;"生成成长"),3))*(VLOOKUP($B$5,标准坦克设计!$B$14:$K$20,9)/30))</f>
        <v>28.758905639126425</v>
      </c>
      <c r="AL85" s="172">
        <f ca="1">(VLOOKUP(AL$72,INDIRECT($C$5&amp;"生成成长"),2))/((VLOOKUP($B85,INDIRECT($B$5&amp;"生成成长"),4))/(VLOOKUP(AL$72,INDIRECT($C$5&amp;"生成成长"),5))*(VLOOKUP($B$5,标准坦克设计!$B$24:$U$30,MATCH("对"&amp;LEFT($C$5,2)&amp;"输出",标准坦克设计!$B$23:$U$23,0)))*(VLOOKUP($B85,INDIRECT($B$5&amp;"生成成长"),3))*(VLOOKUP($B$5,标准坦克设计!$B$14:$K$20,9)/30))</f>
        <v>31.243828240282308</v>
      </c>
      <c r="AM85" s="172">
        <f ca="1">(VLOOKUP(AM$72,INDIRECT($C$5&amp;"生成成长"),2))/((VLOOKUP($B85,INDIRECT($B$5&amp;"生成成长"),4))/(VLOOKUP(AM$72,INDIRECT($C$5&amp;"生成成长"),5))*(VLOOKUP($B$5,标准坦克设计!$B$24:$U$30,MATCH("对"&amp;LEFT($C$5,2)&amp;"输出",标准坦克设计!$B$23:$U$23,0)))*(VLOOKUP($B85,INDIRECT($B$5&amp;"生成成长"),3))*(VLOOKUP($B$5,标准坦克设计!$B$14:$K$20,9)/30))</f>
        <v>33.831704320205468</v>
      </c>
      <c r="AN85" s="172">
        <f ca="1">(VLOOKUP(AN$72,INDIRECT($C$5&amp;"生成成长"),2))/((VLOOKUP($B85,INDIRECT($B$5&amp;"生成成长"),4))/(VLOOKUP(AN$72,INDIRECT($C$5&amp;"生成成长"),5))*(VLOOKUP($B$5,标准坦克设计!$B$24:$U$30,MATCH("对"&amp;LEFT($C$5,2)&amp;"输出",标准坦克设计!$B$23:$U$23,0)))*(VLOOKUP($B85,INDIRECT($B$5&amp;"生成成长"),3))*(VLOOKUP($B$5,标准坦克设计!$B$14:$K$20,9)/30))</f>
        <v>36.522533878895928</v>
      </c>
      <c r="AO85" s="172">
        <f ca="1">(VLOOKUP(AO$72,INDIRECT($C$5&amp;"生成成长"),2))/((VLOOKUP($B85,INDIRECT($B$5&amp;"生成成长"),4))/(VLOOKUP(AO$72,INDIRECT($C$5&amp;"生成成长"),5))*(VLOOKUP($B$5,标准坦克设计!$B$24:$U$30,MATCH("对"&amp;LEFT($C$5,2)&amp;"输出",标准坦克设计!$B$23:$U$23,0)))*(VLOOKUP($B85,INDIRECT($B$5&amp;"生成成长"),3))*(VLOOKUP($B$5,标准坦克设计!$B$14:$K$20,9)/30))</f>
        <v>39.316316916353671</v>
      </c>
      <c r="AP85" s="172">
        <f ca="1">(VLOOKUP(AP$72,INDIRECT($C$5&amp;"生成成长"),2))/((VLOOKUP($B85,INDIRECT($B$5&amp;"生成成长"),4))/(VLOOKUP(AP$72,INDIRECT($C$5&amp;"生成成长"),5))*(VLOOKUP($B$5,标准坦克设计!$B$24:$U$30,MATCH("对"&amp;LEFT($C$5,2)&amp;"输出",标准坦克设计!$B$23:$U$23,0)))*(VLOOKUP($B85,INDIRECT($B$5&amp;"生成成长"),3))*(VLOOKUP($B$5,标准坦克设计!$B$14:$K$20,9)/30))</f>
        <v>42.21305343257869</v>
      </c>
      <c r="AQ85" s="172">
        <f ca="1">(VLOOKUP(AQ$72,INDIRECT($C$5&amp;"生成成长"),2))/((VLOOKUP($B85,INDIRECT($B$5&amp;"生成成长"),4))/(VLOOKUP(AQ$72,INDIRECT($C$5&amp;"生成成长"),5))*(VLOOKUP($B$5,标准坦克设计!$B$24:$U$30,MATCH("对"&amp;LEFT($C$5,2)&amp;"输出",标准坦克设计!$B$23:$U$23,0)))*(VLOOKUP($B85,INDIRECT($B$5&amp;"生成成长"),3))*(VLOOKUP($B$5,标准坦克设计!$B$14:$K$20,9)/30))</f>
        <v>45.212743427571006</v>
      </c>
      <c r="AR85" s="172">
        <f ca="1">(VLOOKUP(AR$72,INDIRECT($C$5&amp;"生成成长"),2))/((VLOOKUP($B85,INDIRECT($B$5&amp;"生成成长"),4))/(VLOOKUP(AR$72,INDIRECT($C$5&amp;"生成成长"),5))*(VLOOKUP($B$5,标准坦克设计!$B$24:$U$30,MATCH("对"&amp;LEFT($C$5,2)&amp;"输出",标准坦克设计!$B$23:$U$23,0)))*(VLOOKUP($B85,INDIRECT($B$5&amp;"生成成长"),3))*(VLOOKUP($B$5,标准坦克设计!$B$14:$K$20,9)/30))</f>
        <v>48.315386901330605</v>
      </c>
      <c r="AS85" s="172">
        <f ca="1">(VLOOKUP(AS$72,INDIRECT($C$5&amp;"生成成长"),2))/((VLOOKUP($B85,INDIRECT($B$5&amp;"生成成长"),4))/(VLOOKUP(AS$72,INDIRECT($C$5&amp;"生成成长"),5))*(VLOOKUP($B$5,标准坦克设计!$B$24:$U$30,MATCH("对"&amp;LEFT($C$5,2)&amp;"输出",标准坦克设计!$B$23:$U$23,0)))*(VLOOKUP($B85,INDIRECT($B$5&amp;"生成成长"),3))*(VLOOKUP($B$5,标准坦克设计!$B$14:$K$20,9)/30))</f>
        <v>51.520983853857487</v>
      </c>
      <c r="AT85" s="172">
        <f ca="1">(VLOOKUP(AT$72,INDIRECT($C$5&amp;"生成成长"),2))/((VLOOKUP($B85,INDIRECT($B$5&amp;"生成成长"),4))/(VLOOKUP(AT$72,INDIRECT($C$5&amp;"生成成长"),5))*(VLOOKUP($B$5,标准坦克设计!$B$24:$U$30,MATCH("对"&amp;LEFT($C$5,2)&amp;"输出",标准坦克设计!$B$23:$U$23,0)))*(VLOOKUP($B85,INDIRECT($B$5&amp;"生成成长"),3))*(VLOOKUP($B$5,标准坦克设计!$B$14:$K$20,9)/30))</f>
        <v>54.829534285151674</v>
      </c>
      <c r="AU85" s="172">
        <f ca="1">(VLOOKUP(AU$72,INDIRECT($C$5&amp;"生成成长"),2))/((VLOOKUP($B85,INDIRECT($B$5&amp;"生成成长"),4))/(VLOOKUP(AU$72,INDIRECT($C$5&amp;"生成成长"),5))*(VLOOKUP($B$5,标准坦克设计!$B$24:$U$30,MATCH("对"&amp;LEFT($C$5,2)&amp;"输出",标准坦克设计!$B$23:$U$23,0)))*(VLOOKUP($B85,INDIRECT($B$5&amp;"生成成长"),3))*(VLOOKUP($B$5,标准坦克设计!$B$14:$K$20,9)/30))</f>
        <v>58.241038195213136</v>
      </c>
      <c r="AV85" s="172">
        <f ca="1">(VLOOKUP(AV$72,INDIRECT($C$5&amp;"生成成长"),2))/((VLOOKUP($B85,INDIRECT($B$5&amp;"生成成长"),4))/(VLOOKUP(AV$72,INDIRECT($C$5&amp;"生成成长"),5))*(VLOOKUP($B$5,标准坦克设计!$B$24:$U$30,MATCH("对"&amp;LEFT($C$5,2)&amp;"输出",标准坦克设计!$B$23:$U$23,0)))*(VLOOKUP($B85,INDIRECT($B$5&amp;"生成成长"),3))*(VLOOKUP($B$5,标准坦克设计!$B$14:$K$20,9)/30))</f>
        <v>5.923653877502904</v>
      </c>
      <c r="AW85" s="172">
        <f ca="1">(VLOOKUP(AW$72,INDIRECT($C$5&amp;"生成成长"),2))/((VLOOKUP($B85,INDIRECT($B$5&amp;"生成成长"),4))/(VLOOKUP(AW$72,INDIRECT($C$5&amp;"生成成长"),5))*(VLOOKUP($B$5,标准坦克设计!$B$24:$U$30,MATCH("对"&amp;LEFT($C$5,2)&amp;"输出",标准坦克设计!$B$23:$U$23,0)))*(VLOOKUP($B85,INDIRECT($B$5&amp;"生成成长"),3))*(VLOOKUP($B$5,标准坦克设计!$B$14:$K$20,9)/30))</f>
        <v>6.7540885492125913</v>
      </c>
      <c r="AX85" s="172">
        <f ca="1">(VLOOKUP(AX$72,INDIRECT($C$5&amp;"生成成长"),2))/((VLOOKUP($B85,INDIRECT($B$5&amp;"生成成长"),4))/(VLOOKUP(AX$72,INDIRECT($C$5&amp;"生成成长"),5))*(VLOOKUP($B$5,标准坦克设计!$B$24:$U$30,MATCH("对"&amp;LEFT($C$5,2)&amp;"输出",标准坦克设计!$B$23:$U$23,0)))*(VLOOKUP($B85,INDIRECT($B$5&amp;"生成成长"),3))*(VLOOKUP($B$5,标准坦克设计!$B$14:$K$20,9)/30))</f>
        <v>7.638977953493403</v>
      </c>
      <c r="AY85" s="172">
        <f ca="1">(VLOOKUP(AY$72,INDIRECT($C$5&amp;"生成成长"),2))/((VLOOKUP($B85,INDIRECT($B$5&amp;"生成成长"),4))/(VLOOKUP(AY$72,INDIRECT($C$5&amp;"生成成长"),5))*(VLOOKUP($B$5,标准坦克设计!$B$24:$U$30,MATCH("对"&amp;LEFT($C$5,2)&amp;"输出",标准坦克设计!$B$23:$U$23,0)))*(VLOOKUP($B85,INDIRECT($B$5&amp;"生成成长"),3))*(VLOOKUP($B$5,标准坦克设计!$B$14:$K$20,9)/30))</f>
        <v>8.5783220903453454</v>
      </c>
      <c r="AZ85" s="172">
        <f ca="1">(VLOOKUP(AZ$72,INDIRECT($C$5&amp;"生成成长"),2))/((VLOOKUP($B85,INDIRECT($B$5&amp;"生成成长"),4))/(VLOOKUP(AZ$72,INDIRECT($C$5&amp;"生成成长"),5))*(VLOOKUP($B$5,标准坦克设计!$B$24:$U$30,MATCH("对"&amp;LEFT($C$5,2)&amp;"输出",标准坦克设计!$B$23:$U$23,0)))*(VLOOKUP($B85,INDIRECT($B$5&amp;"生成成长"),3))*(VLOOKUP($B$5,标准坦克设计!$B$14:$K$20,9)/30))</f>
        <v>9.5721209597684105</v>
      </c>
      <c r="BA85" s="172">
        <f ca="1">(VLOOKUP(BA$72,INDIRECT($C$5&amp;"生成成长"),2))/((VLOOKUP($B85,INDIRECT($B$5&amp;"生成成长"),4))/(VLOOKUP(BA$72,INDIRECT($C$5&amp;"生成成长"),5))*(VLOOKUP($B$5,标准坦克设计!$B$24:$U$30,MATCH("对"&amp;LEFT($C$5,2)&amp;"输出",标准坦克设计!$B$23:$U$23,0)))*(VLOOKUP($B85,INDIRECT($B$5&amp;"生成成长"),3))*(VLOOKUP($B$5,标准坦克设计!$B$14:$K$20,9)/30))</f>
        <v>10.620374561762603</v>
      </c>
      <c r="BB85" s="172">
        <f ca="1">(VLOOKUP(BB$72,INDIRECT($C$5&amp;"生成成长"),2))/((VLOOKUP($B85,INDIRECT($B$5&amp;"生成成长"),4))/(VLOOKUP(BB$72,INDIRECT($C$5&amp;"生成成长"),5))*(VLOOKUP($B$5,标准坦克设计!$B$24:$U$30,MATCH("对"&amp;LEFT($C$5,2)&amp;"输出",标准坦克设计!$B$23:$U$23,0)))*(VLOOKUP($B85,INDIRECT($B$5&amp;"生成成长"),3))*(VLOOKUP($B$5,标准坦克设计!$B$14:$K$20,9)/30))</f>
        <v>11.723082896327924</v>
      </c>
      <c r="BC85" s="172">
        <f ca="1">(VLOOKUP(BC$72,INDIRECT($C$5&amp;"生成成长"),2))/((VLOOKUP($B85,INDIRECT($B$5&amp;"生成成长"),4))/(VLOOKUP(BC$72,INDIRECT($C$5&amp;"生成成长"),5))*(VLOOKUP($B$5,标准坦克设计!$B$24:$U$30,MATCH("对"&amp;LEFT($C$5,2)&amp;"输出",标准坦克设计!$B$23:$U$23,0)))*(VLOOKUP($B85,INDIRECT($B$5&amp;"生成成长"),3))*(VLOOKUP($B$5,标准坦克设计!$B$14:$K$20,9)/30))</f>
        <v>12.880245963464372</v>
      </c>
      <c r="BD85" s="172">
        <f ca="1">(VLOOKUP(BD$72,INDIRECT($C$5&amp;"生成成长"),2))/((VLOOKUP($B85,INDIRECT($B$5&amp;"生成成长"),4))/(VLOOKUP(BD$72,INDIRECT($C$5&amp;"生成成长"),5))*(VLOOKUP($B$5,标准坦克设计!$B$24:$U$30,MATCH("对"&amp;LEFT($C$5,2)&amp;"输出",标准坦克设计!$B$23:$U$23,0)))*(VLOOKUP($B85,INDIRECT($B$5&amp;"生成成长"),3))*(VLOOKUP($B$5,标准坦克设计!$B$14:$K$20,9)/30))</f>
        <v>14.247144836519304</v>
      </c>
      <c r="BE85" s="172">
        <f ca="1">(VLOOKUP(BE$72,INDIRECT($C$5&amp;"生成成长"),2))/((VLOOKUP($B85,INDIRECT($B$5&amp;"生成成长"),4))/(VLOOKUP(BE$72,INDIRECT($C$5&amp;"生成成长"),5))*(VLOOKUP($B$5,标准坦克设计!$B$24:$U$30,MATCH("对"&amp;LEFT($C$5,2)&amp;"输出",标准坦克设计!$B$23:$U$23,0)))*(VLOOKUP($B85,INDIRECT($B$5&amp;"生成成长"),3))*(VLOOKUP($B$5,标准坦克设计!$B$14:$K$20,9)/30))</f>
        <v>15.682962980484566</v>
      </c>
      <c r="BF85" s="172">
        <f ca="1">(VLOOKUP(BF$72,INDIRECT($C$5&amp;"生成成长"),2))/((VLOOKUP($B85,INDIRECT($B$5&amp;"生成成长"),4))/(VLOOKUP(BF$72,INDIRECT($C$5&amp;"生成成长"),5))*(VLOOKUP($B$5,标准坦克设计!$B$24:$U$30,MATCH("对"&amp;LEFT($C$5,2)&amp;"输出",标准坦克设计!$B$23:$U$23,0)))*(VLOOKUP($B85,INDIRECT($B$5&amp;"生成成长"),3))*(VLOOKUP($B$5,标准坦克设计!$B$14:$K$20,9)/30))</f>
        <v>17.18770039536016</v>
      </c>
      <c r="BG85" s="172">
        <f ca="1">(VLOOKUP(BG$72,INDIRECT($C$5&amp;"生成成长"),2))/((VLOOKUP($B85,INDIRECT($B$5&amp;"生成成长"),4))/(VLOOKUP(BG$72,INDIRECT($C$5&amp;"生成成长"),5))*(VLOOKUP($B$5,标准坦克设计!$B$24:$U$30,MATCH("对"&amp;LEFT($C$5,2)&amp;"输出",标准坦克设计!$B$23:$U$23,0)))*(VLOOKUP($B85,INDIRECT($B$5&amp;"生成成长"),3))*(VLOOKUP($B$5,标准坦克设计!$B$14:$K$20,9)/30))</f>
        <v>18.761357081146084</v>
      </c>
      <c r="BH85" s="172">
        <f ca="1">(VLOOKUP(BH$72,INDIRECT($C$5&amp;"生成成长"),2))/((VLOOKUP($B85,INDIRECT($B$5&amp;"生成成长"),4))/(VLOOKUP(BH$72,INDIRECT($C$5&amp;"生成成长"),5))*(VLOOKUP($B$5,标准坦克设计!$B$24:$U$30,MATCH("对"&amp;LEFT($C$5,2)&amp;"输出",标准坦克设计!$B$23:$U$23,0)))*(VLOOKUP($B85,INDIRECT($B$5&amp;"生成成长"),3))*(VLOOKUP($B$5,标准坦克设计!$B$14:$K$20,9)/30))</f>
        <v>9.0684146834854875</v>
      </c>
      <c r="BI85" s="172">
        <f ca="1">(VLOOKUP(BI$72,INDIRECT($C$5&amp;"生成成长"),2))/((VLOOKUP($B85,INDIRECT($B$5&amp;"生成成长"),4))/(VLOOKUP(BI$72,INDIRECT($C$5&amp;"生成成长"),5))*(VLOOKUP($B$5,标准坦克设计!$B$24:$U$30,MATCH("对"&amp;LEFT($C$5,2)&amp;"输出",标准坦克设计!$B$23:$U$23,0)))*(VLOOKUP($B85,INDIRECT($B$5&amp;"生成成长"),3))*(VLOOKUP($B$5,标准坦克设计!$B$14:$K$20,9)/30))</f>
        <v>10.220898047041604</v>
      </c>
      <c r="BJ85" s="172">
        <f ca="1">(VLOOKUP(BJ$72,INDIRECT($C$5&amp;"生成成长"),2))/((VLOOKUP($B85,INDIRECT($B$5&amp;"生成成长"),4))/(VLOOKUP(BJ$72,INDIRECT($C$5&amp;"生成成长"),5))*(VLOOKUP($B$5,标准坦克设计!$B$24:$U$30,MATCH("对"&amp;LEFT($C$5,2)&amp;"输出",标准坦克设计!$B$23:$U$23,0)))*(VLOOKUP($B85,INDIRECT($B$5&amp;"生成成长"),3))*(VLOOKUP($B$5,标准坦克设计!$B$14:$K$20,9)/30))</f>
        <v>11.442300681508053</v>
      </c>
      <c r="BK85" s="172">
        <f ca="1">(VLOOKUP(BK$72,INDIRECT($C$5&amp;"生成成长"),2))/((VLOOKUP($B85,INDIRECT($B$5&amp;"生成成长"),4))/(VLOOKUP(BK$72,INDIRECT($C$5&amp;"生成成长"),5))*(VLOOKUP($B$5,标准坦克设计!$B$24:$U$30,MATCH("对"&amp;LEFT($C$5,2)&amp;"输出",标准坦克设计!$B$23:$U$23,0)))*(VLOOKUP($B85,INDIRECT($B$5&amp;"生成成长"),3))*(VLOOKUP($B$5,标准坦克设计!$B$14:$K$20,9)/30))</f>
        <v>12.732622586884835</v>
      </c>
      <c r="BL85" s="172">
        <f ca="1">(VLOOKUP(BL$72,INDIRECT($C$5&amp;"生成成长"),2))/((VLOOKUP($B85,INDIRECT($B$5&amp;"生成成长"),4))/(VLOOKUP(BL$72,INDIRECT($C$5&amp;"生成成长"),5))*(VLOOKUP($B$5,标准坦克设计!$B$24:$U$30,MATCH("对"&amp;LEFT($C$5,2)&amp;"输出",标准坦克设计!$B$23:$U$23,0)))*(VLOOKUP($B85,INDIRECT($B$5&amp;"生成成长"),3))*(VLOOKUP($B$5,标准坦克设计!$B$14:$K$20,9)/30))</f>
        <v>14.091863763171949</v>
      </c>
      <c r="BM85" s="172">
        <f ca="1">(VLOOKUP(BM$72,INDIRECT($C$5&amp;"生成成长"),2))/((VLOOKUP($B85,INDIRECT($B$5&amp;"生成成长"),4))/(VLOOKUP(BM$72,INDIRECT($C$5&amp;"生成成长"),5))*(VLOOKUP($B$5,标准坦克设计!$B$24:$U$30,MATCH("对"&amp;LEFT($C$5,2)&amp;"输出",标准坦克设计!$B$23:$U$23,0)))*(VLOOKUP($B85,INDIRECT($B$5&amp;"生成成长"),3))*(VLOOKUP($B$5,标准坦克设计!$B$14:$K$20,9)/30))</f>
        <v>15.520024210369396</v>
      </c>
      <c r="BN85" s="172">
        <f ca="1">(VLOOKUP(BN$72,INDIRECT($C$5&amp;"生成成长"),2))/((VLOOKUP($B85,INDIRECT($B$5&amp;"生成成长"),4))/(VLOOKUP(BN$72,INDIRECT($C$5&amp;"生成成长"),5))*(VLOOKUP($B$5,标准坦克设计!$B$24:$U$30,MATCH("对"&amp;LEFT($C$5,2)&amp;"输出",标准坦克设计!$B$23:$U$23,0)))*(VLOOKUP($B85,INDIRECT($B$5&amp;"生成成长"),3))*(VLOOKUP($B$5,标准坦克设计!$B$14:$K$20,9)/30))</f>
        <v>17.017103928477177</v>
      </c>
      <c r="BO85" s="172">
        <f ca="1">(VLOOKUP(BO$72,INDIRECT($C$5&amp;"生成成长"),2))/((VLOOKUP($B85,INDIRECT($B$5&amp;"生成成长"),4))/(VLOOKUP(BO$72,INDIRECT($C$5&amp;"生成成长"),5))*(VLOOKUP($B$5,标准坦克设计!$B$24:$U$30,MATCH("对"&amp;LEFT($C$5,2)&amp;"输出",标准坦克设计!$B$23:$U$23,0)))*(VLOOKUP($B85,INDIRECT($B$5&amp;"生成成长"),3))*(VLOOKUP($B$5,标准坦克设计!$B$14:$K$20,9)/30))</f>
        <v>18.583102917495289</v>
      </c>
      <c r="BP85" s="172">
        <f ca="1">(VLOOKUP(BP$72,INDIRECT($C$5&amp;"生成成长"),2))/((VLOOKUP($B85,INDIRECT($B$5&amp;"生成成长"),4))/(VLOOKUP(BP$72,INDIRECT($C$5&amp;"生成成长"),5))*(VLOOKUP($B$5,标准坦克设计!$B$24:$U$30,MATCH("对"&amp;LEFT($C$5,2)&amp;"输出",标准坦克设计!$B$23:$U$23,0)))*(VLOOKUP($B85,INDIRECT($B$5&amp;"生成成长"),3))*(VLOOKUP($B$5,标准坦克设计!$B$14:$K$20,9)/30))</f>
        <v>20.218021177423733</v>
      </c>
      <c r="BQ85" s="172">
        <f ca="1">(VLOOKUP(BQ$72,INDIRECT($C$5&amp;"生成成长"),2))/((VLOOKUP($B85,INDIRECT($B$5&amp;"生成成长"),4))/(VLOOKUP(BQ$72,INDIRECT($C$5&amp;"生成成长"),5))*(VLOOKUP($B$5,标准坦克设计!$B$24:$U$30,MATCH("对"&amp;LEFT($C$5,2)&amp;"输出",标准坦克设计!$B$23:$U$23,0)))*(VLOOKUP($B85,INDIRECT($B$5&amp;"生成成长"),3))*(VLOOKUP($B$5,标准坦克设计!$B$14:$K$20,9)/30))</f>
        <v>21.921858708262508</v>
      </c>
      <c r="BR85" s="172">
        <f ca="1">(VLOOKUP(BR$72,INDIRECT($C$5&amp;"生成成长"),2))/((VLOOKUP($B85,INDIRECT($B$5&amp;"生成成长"),4))/(VLOOKUP(BR$72,INDIRECT($C$5&amp;"生成成长"),5))*(VLOOKUP($B$5,标准坦克设计!$B$24:$U$30,MATCH("对"&amp;LEFT($C$5,2)&amp;"输出",标准坦克设计!$B$23:$U$23,0)))*(VLOOKUP($B85,INDIRECT($B$5&amp;"生成成长"),3))*(VLOOKUP($B$5,标准坦克设计!$B$14:$K$20,9)/30))</f>
        <v>23.895842763965867</v>
      </c>
      <c r="BS85" s="172">
        <f ca="1">(VLOOKUP(BS$72,INDIRECT($C$5&amp;"生成成长"),2))/((VLOOKUP($B85,INDIRECT($B$5&amp;"生成成长"),4))/(VLOOKUP(BS$72,INDIRECT($C$5&amp;"生成成长"),5))*(VLOOKUP($B$5,标准坦克设计!$B$24:$U$30,MATCH("对"&amp;LEFT($C$5,2)&amp;"输出",标准坦克设计!$B$23:$U$23,0)))*(VLOOKUP($B85,INDIRECT($B$5&amp;"生成成长"),3))*(VLOOKUP($B$5,标准坦克设计!$B$14:$K$20,9)/30))</f>
        <v>25.954912339311605</v>
      </c>
      <c r="BT85" s="172">
        <f ca="1">(VLOOKUP(BT$72,INDIRECT($C$5&amp;"生成成长"),2))/((VLOOKUP($B85,INDIRECT($B$5&amp;"生成成长"),4))/(VLOOKUP(BT$72,INDIRECT($C$5&amp;"生成成长"),5))*(VLOOKUP($B$5,标准坦克设计!$B$24:$U$30,MATCH("对"&amp;LEFT($C$5,2)&amp;"输出",标准坦克设计!$B$23:$U$23,0)))*(VLOOKUP($B85,INDIRECT($B$5&amp;"生成成长"),3))*(VLOOKUP($B$5,标准坦克设计!$B$14:$K$20,9)/30))</f>
        <v>28.099067434299727</v>
      </c>
      <c r="BU85" s="172">
        <f ca="1">(VLOOKUP(BU$72,INDIRECT($C$5&amp;"生成成长"),2))/((VLOOKUP($B85,INDIRECT($B$5&amp;"生成成长"),4))/(VLOOKUP(BU$72,INDIRECT($C$5&amp;"生成成长"),5))*(VLOOKUP($B$5,标准坦克设计!$B$24:$U$30,MATCH("对"&amp;LEFT($C$5,2)&amp;"输出",标准坦克设计!$B$23:$U$23,0)))*(VLOOKUP($B85,INDIRECT($B$5&amp;"生成成长"),3))*(VLOOKUP($B$5,标准坦克设计!$B$14:$K$20,9)/30))</f>
        <v>30.328308048930236</v>
      </c>
      <c r="BV85" s="172">
        <f ca="1">(VLOOKUP(BV$72,INDIRECT($C$5&amp;"生成成长"),2))/((VLOOKUP($B85,INDIRECT($B$5&amp;"生成成长"),4))/(VLOOKUP(BV$72,INDIRECT($C$5&amp;"生成成长"),5))*(VLOOKUP($B$5,标准坦克设计!$B$24:$U$30,MATCH("对"&amp;LEFT($C$5,2)&amp;"输出",标准坦克设计!$B$23:$U$23,0)))*(VLOOKUP($B85,INDIRECT($B$5&amp;"生成成长"),3))*(VLOOKUP($B$5,标准坦克设计!$B$14:$K$20,9)/30))</f>
        <v>32.642634183203135</v>
      </c>
      <c r="BW85" s="172">
        <f ca="1">(VLOOKUP(BW$72,INDIRECT($C$5&amp;"生成成长"),2))/((VLOOKUP($B85,INDIRECT($B$5&amp;"生成成长"),4))/(VLOOKUP(BW$72,INDIRECT($C$5&amp;"生成成长"),5))*(VLOOKUP($B$5,标准坦克设计!$B$24:$U$30,MATCH("对"&amp;LEFT($C$5,2)&amp;"输出",标准坦克设计!$B$23:$U$23,0)))*(VLOOKUP($B85,INDIRECT($B$5&amp;"生成成长"),3))*(VLOOKUP($B$5,标准坦克设计!$B$14:$K$20,9)/30))</f>
        <v>14.876777681872959</v>
      </c>
      <c r="BX85" s="172">
        <f ca="1">(VLOOKUP(BX$72,INDIRECT($C$5&amp;"生成成长"),2))/((VLOOKUP($B85,INDIRECT($B$5&amp;"生成成长"),4))/(VLOOKUP(BX$72,INDIRECT($C$5&amp;"生成成长"),5))*(VLOOKUP($B$5,标准坦克设计!$B$24:$U$30,MATCH("对"&amp;LEFT($C$5,2)&amp;"输出",标准坦克设计!$B$23:$U$23,0)))*(VLOOKUP($B85,INDIRECT($B$5&amp;"生成成长"),3))*(VLOOKUP($B$5,标准坦克设计!$B$14:$K$20,9)/30))</f>
        <v>16.510419659006772</v>
      </c>
      <c r="BY85" s="172">
        <f ca="1">(VLOOKUP(BY$72,INDIRECT($C$5&amp;"生成成长"),2))/((VLOOKUP($B85,INDIRECT($B$5&amp;"生成成长"),4))/(VLOOKUP(BY$72,INDIRECT($C$5&amp;"生成成长"),5))*(VLOOKUP($B$5,标准坦克设计!$B$24:$U$30,MATCH("对"&amp;LEFT($C$5,2)&amp;"输出",标准坦克设计!$B$23:$U$23,0)))*(VLOOKUP($B85,INDIRECT($B$5&amp;"生成成长"),3))*(VLOOKUP($B$5,标准坦克设计!$B$14:$K$20,9)/30))</f>
        <v>18.229147155782965</v>
      </c>
      <c r="BZ85" s="172">
        <f ca="1">(VLOOKUP(BZ$72,INDIRECT($C$5&amp;"生成成长"),2))/((VLOOKUP($B85,INDIRECT($B$5&amp;"生成成长"),4))/(VLOOKUP(BZ$72,INDIRECT($C$5&amp;"生成成长"),5))*(VLOOKUP($B$5,标准坦克设计!$B$24:$U$30,MATCH("对"&amp;LEFT($C$5,2)&amp;"输出",标准坦克设计!$B$23:$U$23,0)))*(VLOOKUP($B85,INDIRECT($B$5&amp;"生成成长"),3))*(VLOOKUP($B$5,标准坦克设计!$B$14:$K$20,9)/30))</f>
        <v>20.032960172201545</v>
      </c>
      <c r="CA85" s="172">
        <f ca="1">(VLOOKUP(CA$72,INDIRECT($C$5&amp;"生成成长"),2))/((VLOOKUP($B85,INDIRECT($B$5&amp;"生成成长"),4))/(VLOOKUP(CA$72,INDIRECT($C$5&amp;"生成成长"),5))*(VLOOKUP($B$5,标准坦克设计!$B$24:$U$30,MATCH("对"&amp;LEFT($C$5,2)&amp;"输出",标准坦克设计!$B$23:$U$23,0)))*(VLOOKUP($B85,INDIRECT($B$5&amp;"生成成长"),3))*(VLOOKUP($B$5,标准坦克设计!$B$14:$K$20,9)/30))</f>
        <v>21.921858708262508</v>
      </c>
      <c r="CB85" s="172">
        <f ca="1">(VLOOKUP(CB$72,INDIRECT($C$5&amp;"生成成长"),2))/((VLOOKUP($B85,INDIRECT($B$5&amp;"生成成长"),4))/(VLOOKUP(CB$72,INDIRECT($C$5&amp;"生成成长"),5))*(VLOOKUP($B$5,标准坦克设计!$B$24:$U$30,MATCH("对"&amp;LEFT($C$5,2)&amp;"输出",标准坦克设计!$B$23:$U$23,0)))*(VLOOKUP($B85,INDIRECT($B$5&amp;"生成成长"),3))*(VLOOKUP($B$5,标准坦克设计!$B$14:$K$20,9)/30))</f>
        <v>23.895842763965867</v>
      </c>
      <c r="CC85" s="172">
        <f ca="1">(VLOOKUP(CC$72,INDIRECT($C$5&amp;"生成成长"),2))/((VLOOKUP($B85,INDIRECT($B$5&amp;"生成成长"),4))/(VLOOKUP(CC$72,INDIRECT($C$5&amp;"生成成长"),5))*(VLOOKUP($B$5,标准坦克设计!$B$24:$U$30,MATCH("对"&amp;LEFT($C$5,2)&amp;"输出",标准坦克设计!$B$23:$U$23,0)))*(VLOOKUP($B85,INDIRECT($B$5&amp;"生成成长"),3))*(VLOOKUP($B$5,标准坦克设计!$B$14:$K$20,9)/30))</f>
        <v>25.954912339311605</v>
      </c>
      <c r="CD85" s="172">
        <f ca="1">(VLOOKUP(CD$72,INDIRECT($C$5&amp;"生成成长"),2))/((VLOOKUP($B85,INDIRECT($B$5&amp;"生成成长"),4))/(VLOOKUP(CD$72,INDIRECT($C$5&amp;"生成成长"),5))*(VLOOKUP($B$5,标准坦克设计!$B$24:$U$30,MATCH("对"&amp;LEFT($C$5,2)&amp;"输出",标准坦克设计!$B$23:$U$23,0)))*(VLOOKUP($B85,INDIRECT($B$5&amp;"生成成长"),3))*(VLOOKUP($B$5,标准坦克设计!$B$14:$K$20,9)/30))</f>
        <v>28.099067434299727</v>
      </c>
      <c r="CE85" s="172">
        <f ca="1">(VLOOKUP(CE$72,INDIRECT($C$5&amp;"生成成长"),2))/((VLOOKUP($B85,INDIRECT($B$5&amp;"生成成长"),4))/(VLOOKUP(CE$72,INDIRECT($C$5&amp;"生成成长"),5))*(VLOOKUP($B$5,标准坦克设计!$B$24:$U$30,MATCH("对"&amp;LEFT($C$5,2)&amp;"输出",标准坦克设计!$B$23:$U$23,0)))*(VLOOKUP($B85,INDIRECT($B$5&amp;"生成成长"),3))*(VLOOKUP($B$5,标准坦克设计!$B$14:$K$20,9)/30))</f>
        <v>30.328308048930236</v>
      </c>
      <c r="CF85" s="172">
        <f ca="1">(VLOOKUP(CF$72,INDIRECT($C$5&amp;"生成成长"),2))/((VLOOKUP($B85,INDIRECT($B$5&amp;"生成成长"),4))/(VLOOKUP(CF$72,INDIRECT($C$5&amp;"生成成长"),5))*(VLOOKUP($B$5,标准坦克设计!$B$24:$U$30,MATCH("对"&amp;LEFT($C$5,2)&amp;"输出",标准坦克设计!$B$23:$U$23,0)))*(VLOOKUP($B85,INDIRECT($B$5&amp;"生成成长"),3))*(VLOOKUP($B$5,标准坦克设计!$B$14:$K$20,9)/30))</f>
        <v>32.642634183203135</v>
      </c>
      <c r="CG85" s="172">
        <f ca="1">(VLOOKUP(CG$72,INDIRECT($C$5&amp;"生成成长"),2))/((VLOOKUP($B85,INDIRECT($B$5&amp;"生成成长"),4))/(VLOOKUP(CG$72,INDIRECT($C$5&amp;"生成成长"),5))*(VLOOKUP($B$5,标准坦克设计!$B$24:$U$30,MATCH("对"&amp;LEFT($C$5,2)&amp;"输出",标准坦克设计!$B$23:$U$23,0)))*(VLOOKUP($B85,INDIRECT($B$5&amp;"生成成长"),3))*(VLOOKUP($B$5,标准坦克设计!$B$14:$K$20,9)/30))</f>
        <v>35.042045837118408</v>
      </c>
      <c r="CH85" s="172">
        <f ca="1">(VLOOKUP(CH$72,INDIRECT($C$5&amp;"生成成长"),2))/((VLOOKUP($B85,INDIRECT($B$5&amp;"生成成长"),4))/(VLOOKUP(CH$72,INDIRECT($C$5&amp;"生成成长"),5))*(VLOOKUP($B$5,标准坦克设计!$B$24:$U$30,MATCH("对"&amp;LEFT($C$5,2)&amp;"输出",标准坦克设计!$B$23:$U$23,0)))*(VLOOKUP($B85,INDIRECT($B$5&amp;"生成成长"),3))*(VLOOKUP($B$5,标准坦克设计!$B$14:$K$20,9)/30))</f>
        <v>37.526543010676079</v>
      </c>
      <c r="CI85" s="172">
        <f ca="1">(VLOOKUP(CI$72,INDIRECT($C$5&amp;"生成成长"),2))/((VLOOKUP($B85,INDIRECT($B$5&amp;"生成成长"),4))/(VLOOKUP(CI$72,INDIRECT($C$5&amp;"生成成长"),5))*(VLOOKUP($B$5,标准坦克设计!$B$24:$U$30,MATCH("对"&amp;LEFT($C$5,2)&amp;"输出",标准坦克设计!$B$23:$U$23,0)))*(VLOOKUP($B85,INDIRECT($B$5&amp;"生成成长"),3))*(VLOOKUP($B$5,标准坦克设计!$B$14:$K$20,9)/30))</f>
        <v>40.357763676776472</v>
      </c>
      <c r="CJ85" s="172">
        <f ca="1">(VLOOKUP(CJ$72,INDIRECT($C$5&amp;"生成成长"),2))/((VLOOKUP($B85,INDIRECT($B$5&amp;"生成成长"),4))/(VLOOKUP(CJ$72,INDIRECT($C$5&amp;"生成成长"),5))*(VLOOKUP($B$5,标准坦克设计!$B$24:$U$30,MATCH("对"&amp;LEFT($C$5,2)&amp;"输出",标准坦克设计!$B$23:$U$23,0)))*(VLOOKUP($B85,INDIRECT($B$5&amp;"生成成长"),3))*(VLOOKUP($B$5,标准坦克设计!$B$14:$K$20,9)/30))</f>
        <v>43.291937821644147</v>
      </c>
      <c r="CK85" s="172">
        <f ca="1">(VLOOKUP(CK$72,INDIRECT($C$5&amp;"生成成长"),2))/((VLOOKUP($B85,INDIRECT($B$5&amp;"生成成长"),4))/(VLOOKUP(CK$72,INDIRECT($C$5&amp;"生成成长"),5))*(VLOOKUP($B$5,标准坦克设计!$B$24:$U$30,MATCH("对"&amp;LEFT($C$5,2)&amp;"输出",标准坦克设计!$B$23:$U$23,0)))*(VLOOKUP($B85,INDIRECT($B$5&amp;"生成成长"),3))*(VLOOKUP($B$5,标准坦克设计!$B$14:$K$20,9)/30))</f>
        <v>46.329065445279113</v>
      </c>
      <c r="CL85" s="172">
        <f ca="1">(VLOOKUP(CL$72,INDIRECT($C$5&amp;"生成成长"),2))/((VLOOKUP($B85,INDIRECT($B$5&amp;"生成成长"),4))/(VLOOKUP(CL$72,INDIRECT($C$5&amp;"生成成长"),5))*(VLOOKUP($B$5,标准坦克设计!$B$24:$U$30,MATCH("对"&amp;LEFT($C$5,2)&amp;"输出",标准坦克设计!$B$23:$U$23,0)))*(VLOOKUP($B85,INDIRECT($B$5&amp;"生成成长"),3))*(VLOOKUP($B$5,标准坦克设计!$B$14:$K$20,9)/30))</f>
        <v>49.469146547681362</v>
      </c>
      <c r="CM85" s="172">
        <f ca="1">(VLOOKUP(CM$72,INDIRECT($C$5&amp;"生成成长"),2))/((VLOOKUP($B85,INDIRECT($B$5&amp;"生成成长"),4))/(VLOOKUP(CM$72,INDIRECT($C$5&amp;"生成成长"),5))*(VLOOKUP($B$5,标准坦克设计!$B$24:$U$30,MATCH("对"&amp;LEFT($C$5,2)&amp;"输出",标准坦克设计!$B$23:$U$23,0)))*(VLOOKUP($B85,INDIRECT($B$5&amp;"生成成长"),3))*(VLOOKUP($B$5,标准坦克设计!$B$14:$K$20,9)/30))</f>
        <v>52.712181128850901</v>
      </c>
      <c r="CN85" s="172">
        <f ca="1">(VLOOKUP(CN$72,INDIRECT($C$5&amp;"生成成长"),2))/((VLOOKUP($B85,INDIRECT($B$5&amp;"生成成长"),4))/(VLOOKUP(CN$72,INDIRECT($C$5&amp;"生成成长"),5))*(VLOOKUP($B$5,标准坦克设计!$B$24:$U$30,MATCH("对"&amp;LEFT($C$5,2)&amp;"输出",标准坦克设计!$B$23:$U$23,0)))*(VLOOKUP($B85,INDIRECT($B$5&amp;"生成成长"),3))*(VLOOKUP($B$5,标准坦克设计!$B$14:$K$20,9)/30))</f>
        <v>56.058169188787723</v>
      </c>
      <c r="CO85" s="172">
        <f ca="1">(VLOOKUP(CO$72,INDIRECT($C$5&amp;"生成成长"),2))/((VLOOKUP($B85,INDIRECT($B$5&amp;"生成成长"),4))/(VLOOKUP(CO$72,INDIRECT($C$5&amp;"生成成长"),5))*(VLOOKUP($B$5,标准坦克设计!$B$24:$U$30,MATCH("对"&amp;LEFT($C$5,2)&amp;"输出",标准坦克设计!$B$23:$U$23,0)))*(VLOOKUP($B85,INDIRECT($B$5&amp;"生成成长"),3))*(VLOOKUP($B$5,标准坦克设计!$B$14:$K$20,9)/30))</f>
        <v>25.121074246816217</v>
      </c>
      <c r="CP85" s="172">
        <f ca="1">(VLOOKUP(CP$72,INDIRECT($C$5&amp;"生成成长"),2))/((VLOOKUP($B85,INDIRECT($B$5&amp;"生成成长"),4))/(VLOOKUP(CP$72,INDIRECT($C$5&amp;"生成成长"),5))*(VLOOKUP($B$5,标准坦克设计!$B$24:$U$30,MATCH("对"&amp;LEFT($C$5,2)&amp;"输出",标准坦克设计!$B$23:$U$23,0)))*(VLOOKUP($B85,INDIRECT($B$5&amp;"生成成长"),3))*(VLOOKUP($B$5,标准坦克设计!$B$14:$K$20,9)/30))</f>
        <v>27.44688692624084</v>
      </c>
      <c r="CQ85" s="172">
        <f ca="1">(VLOOKUP(CQ$72,INDIRECT($C$5&amp;"生成成长"),2))/((VLOOKUP($B85,INDIRECT($B$5&amp;"生成成长"),4))/(VLOOKUP(CQ$72,INDIRECT($C$5&amp;"生成成长"),5))*(VLOOKUP($B$5,标准坦克设计!$B$24:$U$30,MATCH("对"&amp;LEFT($C$5,2)&amp;"输出",标准坦克设计!$B$23:$U$23,0)))*(VLOOKUP($B85,INDIRECT($B$5&amp;"生成成长"),3))*(VLOOKUP($B$5,标准坦克设计!$B$14:$K$20,9)/30))</f>
        <v>29.875653084432741</v>
      </c>
      <c r="CR85" s="172">
        <f ca="1">(VLOOKUP(CR$72,INDIRECT($C$5&amp;"生成成长"),2))/((VLOOKUP($B85,INDIRECT($B$5&amp;"生成成长"),4))/(VLOOKUP(CR$72,INDIRECT($C$5&amp;"生成成长"),5))*(VLOOKUP($B$5,标准坦克设计!$B$24:$U$30,MATCH("对"&amp;LEFT($C$5,2)&amp;"输出",标准坦克设计!$B$23:$U$23,0)))*(VLOOKUP($B85,INDIRECT($B$5&amp;"生成成长"),3))*(VLOOKUP($B$5,标准坦克设计!$B$14:$K$20,9)/30))</f>
        <v>32.407372721391937</v>
      </c>
      <c r="CS85" s="172">
        <f ca="1">(VLOOKUP(CS$72,INDIRECT($C$5&amp;"生成成长"),2))/((VLOOKUP($B85,INDIRECT($B$5&amp;"生成成长"),4))/(VLOOKUP(CS$72,INDIRECT($C$5&amp;"生成成长"),5))*(VLOOKUP($B$5,标准坦克设计!$B$24:$U$30,MATCH("对"&amp;LEFT($C$5,2)&amp;"输出",标准坦克设计!$B$23:$U$23,0)))*(VLOOKUP($B85,INDIRECT($B$5&amp;"生成成长"),3))*(VLOOKUP($B$5,标准坦克设计!$B$14:$K$20,9)/30))</f>
        <v>35.042045837118408</v>
      </c>
      <c r="CT85" s="172">
        <f ca="1">(VLOOKUP(CT$72,INDIRECT($C$5&amp;"生成成长"),2))/((VLOOKUP($B85,INDIRECT($B$5&amp;"生成成长"),4))/(VLOOKUP(CT$72,INDIRECT($C$5&amp;"生成成长"),5))*(VLOOKUP($B$5,标准坦克设计!$B$24:$U$30,MATCH("对"&amp;LEFT($C$5,2)&amp;"输出",标准坦克设计!$B$23:$U$23,0)))*(VLOOKUP($B85,INDIRECT($B$5&amp;"生成成长"),3))*(VLOOKUP($B$5,标准坦克设计!$B$14:$K$20,9)/30))</f>
        <v>37.779672431612184</v>
      </c>
      <c r="CU85" s="172">
        <f ca="1">(VLOOKUP(CU$72,INDIRECT($C$5&amp;"生成成长"),2))/((VLOOKUP($B85,INDIRECT($B$5&amp;"生成成长"),4))/(VLOOKUP(CU$72,INDIRECT($C$5&amp;"生成成长"),5))*(VLOOKUP($B$5,标准坦克设计!$B$24:$U$30,MATCH("对"&amp;LEFT($C$5,2)&amp;"输出",标准坦克设计!$B$23:$U$23,0)))*(VLOOKUP($B85,INDIRECT($B$5&amp;"生成成长"),3))*(VLOOKUP($B$5,标准坦克设计!$B$14:$K$20,9)/30))</f>
        <v>40.620252504873235</v>
      </c>
      <c r="CV85" s="172">
        <f ca="1">(VLOOKUP(CV$72,INDIRECT($C$5&amp;"生成成长"),2))/((VLOOKUP($B85,INDIRECT($B$5&amp;"生成成长"),4))/(VLOOKUP(CV$72,INDIRECT($C$5&amp;"生成成长"),5))*(VLOOKUP($B$5,标准坦克设计!$B$24:$U$30,MATCH("对"&amp;LEFT($C$5,2)&amp;"输出",标准坦克设计!$B$23:$U$23,0)))*(VLOOKUP($B85,INDIRECT($B$5&amp;"生成成长"),3))*(VLOOKUP($B$5,标准坦克设计!$B$14:$K$20,9)/30))</f>
        <v>43.56378605690157</v>
      </c>
      <c r="CW85" s="172">
        <f ca="1">(VLOOKUP(CW$72,INDIRECT($C$5&amp;"生成成长"),2))/((VLOOKUP($B85,INDIRECT($B$5&amp;"生成成长"),4))/(VLOOKUP(CW$72,INDIRECT($C$5&amp;"生成成长"),5))*(VLOOKUP($B$5,标准坦克设计!$B$24:$U$30,MATCH("对"&amp;LEFT($C$5,2)&amp;"输出",标准坦克设计!$B$23:$U$23,0)))*(VLOOKUP($B85,INDIRECT($B$5&amp;"生成成长"),3))*(VLOOKUP($B$5,标准坦克设计!$B$14:$K$20,9)/30))</f>
        <v>46.610273087697188</v>
      </c>
      <c r="CX85" s="172">
        <f ca="1">(VLOOKUP(CX$72,INDIRECT($C$5&amp;"生成成长"),2))/((VLOOKUP($B85,INDIRECT($B$5&amp;"生成成长"),4))/(VLOOKUP(CX$72,INDIRECT($C$5&amp;"生成成长"),5))*(VLOOKUP($B$5,标准坦克设计!$B$24:$U$30,MATCH("对"&amp;LEFT($C$5,2)&amp;"输出",标准坦克设计!$B$23:$U$23,0)))*(VLOOKUP($B85,INDIRECT($B$5&amp;"生成成长"),3))*(VLOOKUP($B$5,标准坦克设计!$B$14:$K$20,9)/30))</f>
        <v>49.759713597260109</v>
      </c>
      <c r="CY85" s="172">
        <f ca="1">(VLOOKUP(CY$72,INDIRECT($C$5&amp;"生成成长"),2))/((VLOOKUP($B85,INDIRECT($B$5&amp;"生成成长"),4))/(VLOOKUP(CY$72,INDIRECT($C$5&amp;"生成成长"),5))*(VLOOKUP($B$5,标准坦克设计!$B$24:$U$30,MATCH("对"&amp;LEFT($C$5,2)&amp;"输出",标准坦克设计!$B$23:$U$23,0)))*(VLOOKUP($B85,INDIRECT($B$5&amp;"生成成长"),3))*(VLOOKUP($B$5,标准坦克设计!$B$14:$K$20,9)/30))</f>
        <v>53.012107585590314</v>
      </c>
      <c r="CZ85" s="172">
        <f ca="1">(VLOOKUP(CZ$72,INDIRECT($C$5&amp;"生成成长"),2))/((VLOOKUP($B85,INDIRECT($B$5&amp;"生成成长"),4))/(VLOOKUP(CZ$72,INDIRECT($C$5&amp;"生成成长"),5))*(VLOOKUP($B$5,标准坦克设计!$B$24:$U$30,MATCH("对"&amp;LEFT($C$5,2)&amp;"输出",标准坦克设计!$B$23:$U$23,0)))*(VLOOKUP($B85,INDIRECT($B$5&amp;"生成成长"),3))*(VLOOKUP($B$5,标准坦克设计!$B$14:$K$20,9)/30))</f>
        <v>56.367455052687795</v>
      </c>
      <c r="DA85" s="172">
        <f ca="1">(VLOOKUP(DA$72,INDIRECT($C$5&amp;"生成成长"),2))/((VLOOKUP($B85,INDIRECT($B$5&amp;"生成成长"),4))/(VLOOKUP(DA$72,INDIRECT($C$5&amp;"生成成长"),5))*(VLOOKUP($B$5,标准坦克设计!$B$24:$U$30,MATCH("对"&amp;LEFT($C$5,2)&amp;"输出",标准坦克设计!$B$23:$U$23,0)))*(VLOOKUP($B85,INDIRECT($B$5&amp;"生成成长"),3))*(VLOOKUP($B$5,标准坦克设计!$B$14:$K$20,9)/30))</f>
        <v>59.825755998552573</v>
      </c>
      <c r="DB85" s="172">
        <f ca="1">(VLOOKUP(DB$72,INDIRECT($C$5&amp;"生成成长"),2))/((VLOOKUP($B85,INDIRECT($B$5&amp;"生成成长"),4))/(VLOOKUP(DB$72,INDIRECT($C$5&amp;"生成成长"),5))*(VLOOKUP($B$5,标准坦克设计!$B$24:$U$30,MATCH("对"&amp;LEFT($C$5,2)&amp;"输出",标准坦克设计!$B$23:$U$23,0)))*(VLOOKUP($B85,INDIRECT($B$5&amp;"生成成长"),3))*(VLOOKUP($B$5,标准坦克设计!$B$14:$K$20,9)/30))</f>
        <v>63.387010423184641</v>
      </c>
      <c r="DC85" s="172">
        <f ca="1">(VLOOKUP(DC$72,INDIRECT($C$5&amp;"生成成长"),2))/((VLOOKUP($B85,INDIRECT($B$5&amp;"生成成长"),4))/(VLOOKUP(DC$72,INDIRECT($C$5&amp;"生成成长"),5))*(VLOOKUP($B$5,标准坦克设计!$B$24:$U$30,MATCH("对"&amp;LEFT($C$5,2)&amp;"输出",标准坦克设计!$B$23:$U$23,0)))*(VLOOKUP($B85,INDIRECT($B$5&amp;"生成成长"),3))*(VLOOKUP($B$5,标准坦克设计!$B$14:$K$20,9)/30))</f>
        <v>67.389433267162474</v>
      </c>
      <c r="DD85" s="172">
        <f ca="1">(VLOOKUP(DD$72,INDIRECT($C$5&amp;"生成成长"),2))/((VLOOKUP($B85,INDIRECT($B$5&amp;"生成成长"),4))/(VLOOKUP(DD$72,INDIRECT($C$5&amp;"生成成长"),5))*(VLOOKUP($B$5,标准坦克设计!$B$24:$U$30,MATCH("对"&amp;LEFT($C$5,2)&amp;"输出",标准坦克设计!$B$23:$U$23,0)))*(VLOOKUP($B85,INDIRECT($B$5&amp;"生成成长"),3))*(VLOOKUP($B$5,标准坦克设计!$B$14:$K$20,9)/30))</f>
        <v>71.51437925942534</v>
      </c>
      <c r="DE85" s="172">
        <f ca="1">(VLOOKUP(DE$72,INDIRECT($C$5&amp;"生成成长"),2))/((VLOOKUP($B85,INDIRECT($B$5&amp;"生成成长"),4))/(VLOOKUP(DE$72,INDIRECT($C$5&amp;"生成成长"),5))*(VLOOKUP($B$5,标准坦克设计!$B$24:$U$30,MATCH("对"&amp;LEFT($C$5,2)&amp;"输出",标准坦克设计!$B$23:$U$23,0)))*(VLOOKUP($B85,INDIRECT($B$5&amp;"生成成长"),3))*(VLOOKUP($B$5,标准坦克设计!$B$14:$K$20,9)/30))</f>
        <v>75.761848399973232</v>
      </c>
      <c r="DF85" s="172">
        <f ca="1">(VLOOKUP(DF$72,INDIRECT($C$5&amp;"生成成长"),2))/((VLOOKUP($B85,INDIRECT($B$5&amp;"生成成长"),4))/(VLOOKUP(DF$72,INDIRECT($C$5&amp;"生成成长"),5))*(VLOOKUP($B$5,标准坦克设计!$B$24:$U$30,MATCH("对"&amp;LEFT($C$5,2)&amp;"输出",标准坦克设计!$B$23:$U$23,0)))*(VLOOKUP($B85,INDIRECT($B$5&amp;"生成成长"),3))*(VLOOKUP($B$5,标准坦克设计!$B$14:$K$20,9)/30))</f>
        <v>80.131840688806179</v>
      </c>
      <c r="DG85" s="172">
        <f ca="1">(VLOOKUP(DG$72,INDIRECT($C$5&amp;"生成成长"),2))/((VLOOKUP($B85,INDIRECT($B$5&amp;"生成成长"),4))/(VLOOKUP(DG$72,INDIRECT($C$5&amp;"生成成长"),5))*(VLOOKUP($B$5,标准坦克设计!$B$24:$U$30,MATCH("对"&amp;LEFT($C$5,2)&amp;"输出",标准坦克设计!$B$23:$U$23,0)))*(VLOOKUP($B85,INDIRECT($B$5&amp;"生成成长"),3))*(VLOOKUP($B$5,标准坦克设计!$B$14:$K$20,9)/30))</f>
        <v>84.624356125924152</v>
      </c>
      <c r="DH85" s="172">
        <f ca="1">(VLOOKUP(DH$72,INDIRECT($C$5&amp;"生成成长"),2))/((VLOOKUP($B85,INDIRECT($B$5&amp;"生成成长"),4))/(VLOOKUP(DH$72,INDIRECT($C$5&amp;"生成成长"),5))*(VLOOKUP($B$5,标准坦克设计!$B$24:$U$30,MATCH("对"&amp;LEFT($C$5,2)&amp;"输出",标准坦克设计!$B$23:$U$23,0)))*(VLOOKUP($B85,INDIRECT($B$5&amp;"生成成长"),3))*(VLOOKUP($B$5,标准坦克设计!$B$14:$K$20,9)/30))</f>
        <v>89.239394711327151</v>
      </c>
      <c r="DI85" s="172">
        <f ca="1">(VLOOKUP(DI$72,INDIRECT($C$5&amp;"生成成长"),2))/((VLOOKUP($B85,INDIRECT($B$5&amp;"生成成长"),4))/(VLOOKUP(DI$72,INDIRECT($C$5&amp;"生成成长"),5))*(VLOOKUP($B$5,标准坦克设计!$B$24:$U$30,MATCH("对"&amp;LEFT($C$5,2)&amp;"输出",标准坦克设计!$B$23:$U$23,0)))*(VLOOKUP($B85,INDIRECT($B$5&amp;"生成成长"),3))*(VLOOKUP($B$5,标准坦克设计!$B$14:$K$20,9)/30))</f>
        <v>93.976956445015205</v>
      </c>
      <c r="DJ85" s="172">
        <f ca="1">(VLOOKUP(DJ$72,INDIRECT($C$5&amp;"生成成长"),2))/((VLOOKUP($B85,INDIRECT($B$5&amp;"生成成长"),4))/(VLOOKUP(DJ$72,INDIRECT($C$5&amp;"生成成长"),5))*(VLOOKUP($B$5,标准坦克设计!$B$24:$U$30,MATCH("对"&amp;LEFT($C$5,2)&amp;"输出",标准坦克设计!$B$23:$U$23,0)))*(VLOOKUP($B85,INDIRECT($B$5&amp;"生成成长"),3))*(VLOOKUP($B$5,标准坦克设计!$B$14:$K$20,9)/30))</f>
        <v>9.444918107903046</v>
      </c>
      <c r="DK85" s="172">
        <f ca="1">(VLOOKUP(DK$72,INDIRECT($C$5&amp;"生成成长"),2))/((VLOOKUP($B85,INDIRECT($B$5&amp;"生成成长"),4))/(VLOOKUP(DK$72,INDIRECT($C$5&amp;"生成成长"),5))*(VLOOKUP($B$5,标准坦克设计!$B$24:$U$30,MATCH("对"&amp;LEFT($C$5,2)&amp;"输出",标准坦克设计!$B$23:$U$23,0)))*(VLOOKUP($B85,INDIRECT($B$5&amp;"生成成长"),3))*(VLOOKUP($B$5,标准坦克设计!$B$14:$K$20,9)/30))</f>
        <v>10.620374561762603</v>
      </c>
      <c r="DL85" s="172">
        <f ca="1">(VLOOKUP(DL$72,INDIRECT($C$5&amp;"生成成长"),2))/((VLOOKUP($B85,INDIRECT($B$5&amp;"生成成长"),4))/(VLOOKUP(DL$72,INDIRECT($C$5&amp;"生成成长"),5))*(VLOOKUP($B$5,标准坦克设计!$B$24:$U$30,MATCH("对"&amp;LEFT($C$5,2)&amp;"输出",标准坦克设计!$B$23:$U$23,0)))*(VLOOKUP($B85,INDIRECT($B$5&amp;"生成成长"),3))*(VLOOKUP($B$5,标准坦克设计!$B$14:$K$20,9)/30))</f>
        <v>11.864750286532502</v>
      </c>
      <c r="DM85" s="172">
        <f ca="1">(VLOOKUP(DM$72,INDIRECT($C$5&amp;"生成成长"),2))/((VLOOKUP($B85,INDIRECT($B$5&amp;"生成成长"),4))/(VLOOKUP(DM$72,INDIRECT($C$5&amp;"生成成长"),5))*(VLOOKUP($B$5,标准坦克设计!$B$24:$U$30,MATCH("对"&amp;LEFT($C$5,2)&amp;"输出",标准坦克设计!$B$23:$U$23,0)))*(VLOOKUP($B85,INDIRECT($B$5&amp;"生成成长"),3))*(VLOOKUP($B$5,标准坦克设计!$B$14:$K$20,9)/30))</f>
        <v>13.178045282212725</v>
      </c>
      <c r="DN85" s="172">
        <f ca="1">(VLOOKUP(DN$72,INDIRECT($C$5&amp;"生成成长"),2))/((VLOOKUP($B85,INDIRECT($B$5&amp;"生成成长"),4))/(VLOOKUP(DN$72,INDIRECT($C$5&amp;"生成成长"),5))*(VLOOKUP($B$5,标准坦克设计!$B$24:$U$30,MATCH("对"&amp;LEFT($C$5,2)&amp;"输出",标准坦克设计!$B$23:$U$23,0)))*(VLOOKUP($B85,INDIRECT($B$5&amp;"生成成长"),3))*(VLOOKUP($B$5,标准坦克设计!$B$14:$K$20,9)/30))</f>
        <v>14.560259548803284</v>
      </c>
      <c r="DO85" s="172">
        <f ca="1">(VLOOKUP(DO$72,INDIRECT($C$5&amp;"生成成长"),2))/((VLOOKUP($B85,INDIRECT($B$5&amp;"生成成长"),4))/(VLOOKUP(DO$72,INDIRECT($C$5&amp;"生成成长"),5))*(VLOOKUP($B$5,标准坦克设计!$B$24:$U$30,MATCH("对"&amp;LEFT($C$5,2)&amp;"输出",标准坦克设计!$B$23:$U$23,0)))*(VLOOKUP($B85,INDIRECT($B$5&amp;"生成成长"),3))*(VLOOKUP($B$5,标准坦克设计!$B$14:$K$20,9)/30))</f>
        <v>16.011393086304178</v>
      </c>
      <c r="DP85" s="172">
        <f ca="1">(VLOOKUP(DP$72,INDIRECT($C$5&amp;"生成成长"),2))/((VLOOKUP($B85,INDIRECT($B$5&amp;"生成成长"),4))/(VLOOKUP(DP$72,INDIRECT($C$5&amp;"生成成长"),5))*(VLOOKUP($B$5,标准坦克设计!$B$24:$U$30,MATCH("对"&amp;LEFT($C$5,2)&amp;"输出",标准坦克设计!$B$23:$U$23,0)))*(VLOOKUP($B85,INDIRECT($B$5&amp;"生成成长"),3))*(VLOOKUP($B$5,标准坦克设计!$B$14:$K$20,9)/30))</f>
        <v>17.531445894715397</v>
      </c>
      <c r="DQ85" s="172">
        <f ca="1">(VLOOKUP(DQ$72,INDIRECT($C$5&amp;"生成成长"),2))/((VLOOKUP($B85,INDIRECT($B$5&amp;"生成成长"),4))/(VLOOKUP(DQ$72,INDIRECT($C$5&amp;"生成成长"),5))*(VLOOKUP($B$5,标准坦克设计!$B$24:$U$30,MATCH("对"&amp;LEFT($C$5,2)&amp;"输出",标准坦克设计!$B$23:$U$23,0)))*(VLOOKUP($B85,INDIRECT($B$5&amp;"生成成长"),3))*(VLOOKUP($B$5,标准坦克设计!$B$14:$K$20,9)/30))</f>
        <v>19.120417974036958</v>
      </c>
      <c r="DR85" s="172">
        <f ca="1">(VLOOKUP(DR$72,INDIRECT($C$5&amp;"生成成长"),2))/((VLOOKUP($B85,INDIRECT($B$5&amp;"生成成长"),4))/(VLOOKUP(DR$72,INDIRECT($C$5&amp;"生成成长"),5))*(VLOOKUP($B$5,标准坦克设计!$B$24:$U$30,MATCH("对"&amp;LEFT($C$5,2)&amp;"输出",标准坦克设计!$B$23:$U$23,0)))*(VLOOKUP($B85,INDIRECT($B$5&amp;"生成成长"),3))*(VLOOKUP($B$5,标准坦克设计!$B$14:$K$20,9)/30))</f>
        <v>20.778309324268839</v>
      </c>
      <c r="DS85" s="172">
        <f ca="1">(VLOOKUP(DS$72,INDIRECT($C$5&amp;"生成成长"),2))/((VLOOKUP($B85,INDIRECT($B$5&amp;"生成成长"),4))/(VLOOKUP(DS$72,INDIRECT($C$5&amp;"生成成长"),5))*(VLOOKUP($B$5,标准坦克设计!$B$24:$U$30,MATCH("对"&amp;LEFT($C$5,2)&amp;"输出",标准坦克设计!$B$23:$U$23,0)))*(VLOOKUP($B85,INDIRECT($B$5&amp;"生成成长"),3))*(VLOOKUP($B$5,标准坦克设计!$B$14:$K$20,9)/30))</f>
        <v>22.505119945411064</v>
      </c>
      <c r="DT85" s="172">
        <f ca="1">(VLOOKUP(DT$72,INDIRECT($C$5&amp;"生成成长"),2))/((VLOOKUP($B85,INDIRECT($B$5&amp;"生成成长"),4))/(VLOOKUP(DT$72,INDIRECT($C$5&amp;"生成成长"),5))*(VLOOKUP($B$5,标准坦克设计!$B$24:$U$30,MATCH("对"&amp;LEFT($C$5,2)&amp;"输出",标准坦克设计!$B$23:$U$23,0)))*(VLOOKUP($B85,INDIRECT($B$5&amp;"生成成长"),3))*(VLOOKUP($B$5,标准坦克设计!$B$14:$K$20,9)/30))</f>
        <v>24.709260331747071</v>
      </c>
      <c r="DU85" s="172">
        <f ca="1">(VLOOKUP(DU$72,INDIRECT($C$5&amp;"生成成长"),2))/((VLOOKUP($B85,INDIRECT($B$5&amp;"生成成长"),4))/(VLOOKUP(DU$72,INDIRECT($C$5&amp;"生成成长"),5))*(VLOOKUP($B$5,标准坦克设计!$B$24:$U$30,MATCH("对"&amp;LEFT($C$5,2)&amp;"输出",标准坦克设计!$B$23:$U$23,0)))*(VLOOKUP($B85,INDIRECT($B$5&amp;"生成成长"),3))*(VLOOKUP($B$5,标准坦克设计!$B$14:$K$20,9)/30))</f>
        <v>27.016354196850365</v>
      </c>
      <c r="DV85" s="172">
        <f ca="1">(VLOOKUP(DV$72,INDIRECT($C$5&amp;"生成成长"),2))/((VLOOKUP($B85,INDIRECT($B$5&amp;"生成成长"),4))/(VLOOKUP(DV$72,INDIRECT($C$5&amp;"生成成长"),5))*(VLOOKUP($B$5,标准坦克设计!$B$24:$U$30,MATCH("对"&amp;LEFT($C$5,2)&amp;"输出",标准坦克设计!$B$23:$U$23,0)))*(VLOOKUP($B85,INDIRECT($B$5&amp;"生成成长"),3))*(VLOOKUP($B$5,标准坦克设计!$B$14:$K$20,9)/30))</f>
        <v>29.426401540720942</v>
      </c>
      <c r="DW85" s="172">
        <f ca="1">(VLOOKUP(DW$72,INDIRECT($C$5&amp;"生成成长"),2))/((VLOOKUP($B85,INDIRECT($B$5&amp;"生成成长"),4))/(VLOOKUP(DW$72,INDIRECT($C$5&amp;"生成成长"),5))*(VLOOKUP($B$5,标准坦克设计!$B$24:$U$30,MATCH("对"&amp;LEFT($C$5,2)&amp;"输出",标准坦克设计!$B$23:$U$23,0)))*(VLOOKUP($B85,INDIRECT($B$5&amp;"生成成长"),3))*(VLOOKUP($B$5,标准坦克设计!$B$14:$K$20,9)/30))</f>
        <v>31.939402363358816</v>
      </c>
      <c r="DX85" s="172">
        <f ca="1">(VLOOKUP(DX$72,INDIRECT($C$5&amp;"生成成长"),2))/((VLOOKUP($B85,INDIRECT($B$5&amp;"生成成长"),4))/(VLOOKUP(DX$72,INDIRECT($C$5&amp;"生成成长"),5))*(VLOOKUP($B$5,标准坦克设计!$B$24:$U$30,MATCH("对"&amp;LEFT($C$5,2)&amp;"输出",标准坦克设计!$B$23:$U$23,0)))*(VLOOKUP($B85,INDIRECT($B$5&amp;"生成成长"),3))*(VLOOKUP($B$5,标准坦克设计!$B$14:$K$20,9)/30))</f>
        <v>34.555356664763963</v>
      </c>
      <c r="DY85" s="172">
        <f ca="1">(VLOOKUP(DY$72,INDIRECT($C$5&amp;"生成成长"),2))/((VLOOKUP($B85,INDIRECT($B$5&amp;"生成成长"),4))/(VLOOKUP(DY$72,INDIRECT($C$5&amp;"生成成长"),5))*(VLOOKUP($B$5,标准坦克设计!$B$24:$U$30,MATCH("对"&amp;LEFT($C$5,2)&amp;"输出",标准坦克设计!$B$23:$U$23,0)))*(VLOOKUP($B85,INDIRECT($B$5&amp;"生成成长"),3))*(VLOOKUP($B$5,标准坦克设计!$B$14:$K$20,9)/30))</f>
        <v>15.520024210369396</v>
      </c>
      <c r="DZ85" s="172">
        <f ca="1">(VLOOKUP(DZ$72,INDIRECT($C$5&amp;"生成成长"),2))/((VLOOKUP($B85,INDIRECT($B$5&amp;"生成成长"),4))/(VLOOKUP(DZ$72,INDIRECT($C$5&amp;"生成成长"),5))*(VLOOKUP($B$5,标准坦克设计!$B$24:$U$30,MATCH("对"&amp;LEFT($C$5,2)&amp;"输出",标准坦克设计!$B$23:$U$23,0)))*(VLOOKUP($B85,INDIRECT($B$5&amp;"生成成长"),3))*(VLOOKUP($B$5,标准坦克设计!$B$14:$K$20,9)/30))</f>
        <v>17.18770039536016</v>
      </c>
      <c r="EA85" s="172">
        <f ca="1">(VLOOKUP(EA$72,INDIRECT($C$5&amp;"生成成长"),2))/((VLOOKUP($B85,INDIRECT($B$5&amp;"生成成长"),4))/(VLOOKUP(EA$72,INDIRECT($C$5&amp;"生成成长"),5))*(VLOOKUP($B$5,标准坦克设计!$B$24:$U$30,MATCH("对"&amp;LEFT($C$5,2)&amp;"输出",标准坦克设计!$B$23:$U$23,0)))*(VLOOKUP($B85,INDIRECT($B$5&amp;"生成成长"),3))*(VLOOKUP($B$5,标准坦克设计!$B$14:$K$20,9)/30))</f>
        <v>18.940462099993308</v>
      </c>
      <c r="EB85" s="172">
        <f ca="1">(VLOOKUP(EB$72,INDIRECT($C$5&amp;"生成成长"),2))/((VLOOKUP($B85,INDIRECT($B$5&amp;"生成成长"),4))/(VLOOKUP(EB$72,INDIRECT($C$5&amp;"生成成长"),5))*(VLOOKUP($B$5,标准坦克设计!$B$24:$U$30,MATCH("对"&amp;LEFT($C$5,2)&amp;"输出",标准坦克设计!$B$23:$U$23,0)))*(VLOOKUP($B85,INDIRECT($B$5&amp;"生成成长"),3))*(VLOOKUP($B$5,标准坦克设计!$B$14:$K$20,9)/30))</f>
        <v>20.778309324268839</v>
      </c>
      <c r="EC85" s="172">
        <f ca="1">(VLOOKUP(EC$72,INDIRECT($C$5&amp;"生成成长"),2))/((VLOOKUP($B85,INDIRECT($B$5&amp;"生成成长"),4))/(VLOOKUP(EC$72,INDIRECT($C$5&amp;"生成成长"),5))*(VLOOKUP($B$5,标准坦克设计!$B$24:$U$30,MATCH("对"&amp;LEFT($C$5,2)&amp;"输出",标准坦克设计!$B$23:$U$23,0)))*(VLOOKUP($B85,INDIRECT($B$5&amp;"生成成长"),3))*(VLOOKUP($B$5,标准坦克设计!$B$14:$K$20,9)/30))</f>
        <v>22.701242068186765</v>
      </c>
      <c r="ED85" s="172">
        <f ca="1">(VLOOKUP(ED$72,INDIRECT($C$5&amp;"生成成长"),2))/((VLOOKUP($B85,INDIRECT($B$5&amp;"生成成长"),4))/(VLOOKUP(ED$72,INDIRECT($C$5&amp;"生成成长"),5))*(VLOOKUP($B$5,标准坦克设计!$B$24:$U$30,MATCH("对"&amp;LEFT($C$5,2)&amp;"输出",标准坦克设计!$B$23:$U$23,0)))*(VLOOKUP($B85,INDIRECT($B$5&amp;"生成成长"),3))*(VLOOKUP($B$5,标准坦克设计!$B$14:$K$20,9)/30))</f>
        <v>24.709260331747071</v>
      </c>
      <c r="EE85" s="172">
        <f ca="1">(VLOOKUP(EE$72,INDIRECT($C$5&amp;"生成成长"),2))/((VLOOKUP($B85,INDIRECT($B$5&amp;"生成成长"),4))/(VLOOKUP(EE$72,INDIRECT($C$5&amp;"生成成长"),5))*(VLOOKUP($B$5,标准坦克设计!$B$24:$U$30,MATCH("对"&amp;LEFT($C$5,2)&amp;"输出",标准坦克设计!$B$23:$U$23,0)))*(VLOOKUP($B85,INDIRECT($B$5&amp;"生成成长"),3))*(VLOOKUP($B$5,标准坦克设计!$B$14:$K$20,9)/30))</f>
        <v>26.802364114949764</v>
      </c>
      <c r="EF85" s="172">
        <f ca="1">(VLOOKUP(EF$72,INDIRECT($C$5&amp;"生成成长"),2))/((VLOOKUP($B85,INDIRECT($B$5&amp;"生成成长"),4))/(VLOOKUP(EF$72,INDIRECT($C$5&amp;"生成成长"),5))*(VLOOKUP($B$5,标准坦克设计!$B$24:$U$30,MATCH("对"&amp;LEFT($C$5,2)&amp;"输出",标准坦克设计!$B$23:$U$23,0)))*(VLOOKUP($B85,INDIRECT($B$5&amp;"生成成长"),3))*(VLOOKUP($B$5,标准坦克设计!$B$14:$K$20,9)/30))</f>
        <v>28.980553417794845</v>
      </c>
      <c r="EG85" s="172">
        <f ca="1">(VLOOKUP(EG$72,INDIRECT($C$5&amp;"生成成长"),2))/((VLOOKUP($B85,INDIRECT($B$5&amp;"生成成长"),4))/(VLOOKUP(EG$72,INDIRECT($C$5&amp;"生成成长"),5))*(VLOOKUP($B$5,标准坦克设计!$B$24:$U$30,MATCH("对"&amp;LEFT($C$5,2)&amp;"输出",标准坦克设计!$B$23:$U$23,0)))*(VLOOKUP($B85,INDIRECT($B$5&amp;"生成成长"),3))*(VLOOKUP($B$5,标准坦克设计!$B$14:$K$20,9)/30))</f>
        <v>31.243828240282308</v>
      </c>
      <c r="EH85" s="172">
        <f ca="1">(VLOOKUP(EH$72,INDIRECT($C$5&amp;"生成成长"),2))/((VLOOKUP($B85,INDIRECT($B$5&amp;"生成成长"),4))/(VLOOKUP(EH$72,INDIRECT($C$5&amp;"生成成长"),5))*(VLOOKUP($B$5,标准坦克设计!$B$24:$U$30,MATCH("对"&amp;LEFT($C$5,2)&amp;"输出",标准坦克设计!$B$23:$U$23,0)))*(VLOOKUP($B85,INDIRECT($B$5&amp;"生成成长"),3))*(VLOOKUP($B$5,标准坦克设计!$B$14:$K$20,9)/30))</f>
        <v>33.592188582412156</v>
      </c>
      <c r="EI85" s="172">
        <f ca="1">(VLOOKUP(EI$72,INDIRECT($C$5&amp;"生成成长"),2))/((VLOOKUP($B85,INDIRECT($B$5&amp;"生成成长"),4))/(VLOOKUP(EI$72,INDIRECT($C$5&amp;"生成成长"),5))*(VLOOKUP($B$5,标准坦克设计!$B$24:$U$30,MATCH("对"&amp;LEFT($C$5,2)&amp;"输出",标准坦克设计!$B$23:$U$23,0)))*(VLOOKUP($B85,INDIRECT($B$5&amp;"生成成长"),3))*(VLOOKUP($B$5,标准坦克设计!$B$14:$K$20,9)/30))</f>
        <v>36.025634444184398</v>
      </c>
      <c r="EJ85" s="172">
        <f ca="1">(VLOOKUP(EJ$72,INDIRECT($C$5&amp;"生成成长"),2))/((VLOOKUP($B85,INDIRECT($B$5&amp;"生成成长"),4))/(VLOOKUP(EJ$72,INDIRECT($C$5&amp;"生成成长"),5))*(VLOOKUP($B$5,标准坦克设计!$B$24:$U$30,MATCH("对"&amp;LEFT($C$5,2)&amp;"输出",标准坦克设计!$B$23:$U$23,0)))*(VLOOKUP($B85,INDIRECT($B$5&amp;"生成成长"),3))*(VLOOKUP($B$5,标准坦克设计!$B$14:$K$20,9)/30))</f>
        <v>38.544165825599016</v>
      </c>
      <c r="EK85" s="172">
        <f ca="1">(VLOOKUP(EK$72,INDIRECT($C$5&amp;"生成成长"),2))/((VLOOKUP($B85,INDIRECT($B$5&amp;"生成成长"),4))/(VLOOKUP(EK$72,INDIRECT($C$5&amp;"生成成长"),5))*(VLOOKUP($B$5,标准坦克设计!$B$24:$U$30,MATCH("对"&amp;LEFT($C$5,2)&amp;"输出",标准坦克设计!$B$23:$U$23,0)))*(VLOOKUP($B85,INDIRECT($B$5&amp;"生成成长"),3))*(VLOOKUP($B$5,标准坦克设计!$B$14:$K$20,9)/30))</f>
        <v>41.67871636922451</v>
      </c>
      <c r="EL85" s="172">
        <f ca="1">(VLOOKUP(EL$72,INDIRECT($C$5&amp;"生成成长"),2))/((VLOOKUP($B85,INDIRECT($B$5&amp;"生成成长"),4))/(VLOOKUP(EL$72,INDIRECT($C$5&amp;"生成成长"),5))*(VLOOKUP($B$5,标准坦克设计!$B$24:$U$30,MATCH("对"&amp;LEFT($C$5,2)&amp;"输出",标准坦克设计!$B$23:$U$23,0)))*(VLOOKUP($B85,INDIRECT($B$5&amp;"生成成长"),3))*(VLOOKUP($B$5,标准坦克设计!$B$14:$K$20,9)/30))</f>
        <v>44.935790061135044</v>
      </c>
      <c r="EM85" s="172">
        <f ca="1">(VLOOKUP(EM$72,INDIRECT($C$5&amp;"生成成长"),2))/((VLOOKUP($B85,INDIRECT($B$5&amp;"生成成长"),4))/(VLOOKUP(EM$72,INDIRECT($C$5&amp;"生成成长"),5))*(VLOOKUP($B$5,标准坦克设计!$B$24:$U$30,MATCH("对"&amp;LEFT($C$5,2)&amp;"输出",标准坦克设计!$B$23:$U$23,0)))*(VLOOKUP($B85,INDIRECT($B$5&amp;"生成成长"),3))*(VLOOKUP($B$5,标准坦克设计!$B$14:$K$20,9)/30))</f>
        <v>48.315386901330605</v>
      </c>
      <c r="EN85" s="172">
        <f ca="1">(VLOOKUP(EN$72,INDIRECT($C$5&amp;"生成成长"),2))/((VLOOKUP($B85,INDIRECT($B$5&amp;"生成成长"),4))/(VLOOKUP(EN$72,INDIRECT($C$5&amp;"生成成长"),5))*(VLOOKUP($B$5,标准坦克设计!$B$24:$U$30,MATCH("对"&amp;LEFT($C$5,2)&amp;"输出",标准坦克设计!$B$23:$U$23,0)))*(VLOOKUP($B85,INDIRECT($B$5&amp;"生成成长"),3))*(VLOOKUP($B$5,标准坦克设计!$B$14:$K$20,9)/30))</f>
        <v>51.817506889811206</v>
      </c>
      <c r="EO85" s="172">
        <f ca="1">(VLOOKUP(EO$72,INDIRECT($C$5&amp;"生成成长"),2))/((VLOOKUP($B85,INDIRECT($B$5&amp;"生成成长"),4))/(VLOOKUP(EO$72,INDIRECT($C$5&amp;"生成成长"),5))*(VLOOKUP($B$5,标准坦克设计!$B$24:$U$30,MATCH("对"&amp;LEFT($C$5,2)&amp;"输出",标准坦克设计!$B$23:$U$23,0)))*(VLOOKUP($B85,INDIRECT($B$5&amp;"生成成长"),3))*(VLOOKUP($B$5,标准坦克设计!$B$14:$K$20,9)/30))</f>
        <v>55.442150026576854</v>
      </c>
      <c r="EP85" s="172">
        <f ca="1">(VLOOKUP(EP$72,INDIRECT($C$5&amp;"生成成长"),2))/((VLOOKUP($B85,INDIRECT($B$5&amp;"生成成长"),4))/(VLOOKUP(EP$72,INDIRECT($C$5&amp;"生成成长"),5))*(VLOOKUP($B$5,标准坦克设计!$B$24:$U$30,MATCH("对"&amp;LEFT($C$5,2)&amp;"输出",标准坦克设计!$B$23:$U$23,0)))*(VLOOKUP($B85,INDIRECT($B$5&amp;"生成成长"),3))*(VLOOKUP($B$5,标准坦克设计!$B$14:$K$20,9)/30))</f>
        <v>59.189316311627536</v>
      </c>
      <c r="EQ85" s="172">
        <f ca="1">(VLOOKUP(EQ$72,INDIRECT($C$5&amp;"生成成长"),2))/((VLOOKUP($B85,INDIRECT($B$5&amp;"生成成长"),4))/(VLOOKUP(EQ$72,INDIRECT($C$5&amp;"生成成长"),5))*(VLOOKUP($B$5,标准坦克设计!$B$24:$U$30,MATCH("对"&amp;LEFT($C$5,2)&amp;"输出",标准坦克设计!$B$23:$U$23,0)))*(VLOOKUP($B85,INDIRECT($B$5&amp;"生成成长"),3))*(VLOOKUP($B$5,标准坦克设计!$B$14:$K$20,9)/30))</f>
        <v>26.165499000426507</v>
      </c>
      <c r="ER85" s="172">
        <f ca="1">(VLOOKUP(ER$72,INDIRECT($C$5&amp;"生成成长"),2))/((VLOOKUP($B85,INDIRECT($B$5&amp;"生成成长"),4))/(VLOOKUP(ER$72,INDIRECT($C$5&amp;"生成成长"),5))*(VLOOKUP($B$5,标准坦克设计!$B$24:$U$30,MATCH("对"&amp;LEFT($C$5,2)&amp;"输出",标准坦克设计!$B$23:$U$23,0)))*(VLOOKUP($B85,INDIRECT($B$5&amp;"生成成长"),3))*(VLOOKUP($B$5,标准坦克设计!$B$14:$K$20,9)/30))</f>
        <v>28.538108715654438</v>
      </c>
      <c r="ES85" s="172">
        <f ca="1">(VLOOKUP(ES$72,INDIRECT($C$5&amp;"生成成长"),2))/((VLOOKUP($B85,INDIRECT($B$5&amp;"生成成长"),4))/(VLOOKUP(ES$72,INDIRECT($C$5&amp;"生成成长"),5))*(VLOOKUP($B$5,标准坦克设计!$B$24:$U$30,MATCH("对"&amp;LEFT($C$5,2)&amp;"输出",标准坦克设计!$B$23:$U$23,0)))*(VLOOKUP($B85,INDIRECT($B$5&amp;"生成成长"),3))*(VLOOKUP($B$5,标准坦克设计!$B$14:$K$20,9)/30))</f>
        <v>31.013671909649652</v>
      </c>
      <c r="ET85" s="172">
        <f ca="1">(VLOOKUP(ET$72,INDIRECT($C$5&amp;"生成成长"),2))/((VLOOKUP($B85,INDIRECT($B$5&amp;"生成成长"),4))/(VLOOKUP(ET$72,INDIRECT($C$5&amp;"生成成长"),5))*(VLOOKUP($B$5,标准坦克设计!$B$24:$U$30,MATCH("对"&amp;LEFT($C$5,2)&amp;"输出",标准坦克设计!$B$23:$U$23,0)))*(VLOOKUP($B85,INDIRECT($B$5&amp;"生成成长"),3))*(VLOOKUP($B$5,标准坦克设计!$B$14:$K$20,9)/30))</f>
        <v>33.592188582412156</v>
      </c>
      <c r="EU85" s="172">
        <f ca="1">(VLOOKUP(EU$72,INDIRECT($C$5&amp;"生成成长"),2))/((VLOOKUP($B85,INDIRECT($B$5&amp;"生成成长"),4))/(VLOOKUP(EU$72,INDIRECT($C$5&amp;"生成成长"),5))*(VLOOKUP($B$5,标准坦克设计!$B$24:$U$30,MATCH("对"&amp;LEFT($C$5,2)&amp;"输出",标准坦克设计!$B$23:$U$23,0)))*(VLOOKUP($B85,INDIRECT($B$5&amp;"生成成长"),3))*(VLOOKUP($B$5,标准坦克设计!$B$14:$K$20,9)/30))</f>
        <v>36.27365873394195</v>
      </c>
      <c r="EV85" s="172">
        <f ca="1">(VLOOKUP(EV$72,INDIRECT($C$5&amp;"生成成长"),2))/((VLOOKUP($B85,INDIRECT($B$5&amp;"生成成长"),4))/(VLOOKUP(EV$72,INDIRECT($C$5&amp;"生成成长"),5))*(VLOOKUP($B$5,标准坦克设计!$B$24:$U$30,MATCH("对"&amp;LEFT($C$5,2)&amp;"输出",标准坦克设计!$B$23:$U$23,0)))*(VLOOKUP($B85,INDIRECT($B$5&amp;"生成成长"),3))*(VLOOKUP($B$5,标准坦克设计!$B$14:$K$20,9)/30))</f>
        <v>39.058082364239034</v>
      </c>
      <c r="EW85" s="172">
        <f ca="1">(VLOOKUP(EW$72,INDIRECT($C$5&amp;"生成成长"),2))/((VLOOKUP($B85,INDIRECT($B$5&amp;"生成成长"),4))/(VLOOKUP(EW$72,INDIRECT($C$5&amp;"生成成长"),5))*(VLOOKUP($B$5,标准坦克设计!$B$24:$U$30,MATCH("对"&amp;LEFT($C$5,2)&amp;"输出",标准坦克设计!$B$23:$U$23,0)))*(VLOOKUP($B85,INDIRECT($B$5&amp;"生成成长"),3))*(VLOOKUP($B$5,标准坦克设计!$B$14:$K$20,9)/30))</f>
        <v>41.945459473303387</v>
      </c>
      <c r="EX85" s="172">
        <f ca="1">(VLOOKUP(EX$72,INDIRECT($C$5&amp;"生成成长"),2))/((VLOOKUP($B85,INDIRECT($B$5&amp;"生成成长"),4))/(VLOOKUP(EX$72,INDIRECT($C$5&amp;"生成成长"),5))*(VLOOKUP($B$5,标准坦克设计!$B$24:$U$30,MATCH("对"&amp;LEFT($C$5,2)&amp;"输出",标准坦克设计!$B$23:$U$23,0)))*(VLOOKUP($B85,INDIRECT($B$5&amp;"生成成长"),3))*(VLOOKUP($B$5,标准坦克设计!$B$14:$K$20,9)/30))</f>
        <v>44.935790061135044</v>
      </c>
      <c r="EY85" s="172">
        <f ca="1">(VLOOKUP(EY$72,INDIRECT($C$5&amp;"生成成长"),2))/((VLOOKUP($B85,INDIRECT($B$5&amp;"生成成长"),4))/(VLOOKUP(EY$72,INDIRECT($C$5&amp;"生成成长"),5))*(VLOOKUP($B$5,标准坦克设计!$B$24:$U$30,MATCH("对"&amp;LEFT($C$5,2)&amp;"输出",标准坦克设计!$B$23:$U$23,0)))*(VLOOKUP($B85,INDIRECT($B$5&amp;"生成成长"),3))*(VLOOKUP($B$5,标准坦克设计!$B$14:$K$20,9)/30))</f>
        <v>48.029074127733985</v>
      </c>
      <c r="EZ85" s="172">
        <f ca="1">(VLOOKUP(EZ$72,INDIRECT($C$5&amp;"生成成长"),2))/((VLOOKUP($B85,INDIRECT($B$5&amp;"生成成长"),4))/(VLOOKUP(EZ$72,INDIRECT($C$5&amp;"生成成长"),5))*(VLOOKUP($B$5,标准坦克设计!$B$24:$U$30,MATCH("对"&amp;LEFT($C$5,2)&amp;"输出",标准坦克设计!$B$23:$U$23,0)))*(VLOOKUP($B85,INDIRECT($B$5&amp;"生成成长"),3))*(VLOOKUP($B$5,标准坦克设计!$B$14:$K$20,9)/30))</f>
        <v>51.225311673100201</v>
      </c>
      <c r="FA85" s="172">
        <f ca="1">(VLOOKUP(FA$72,INDIRECT($C$5&amp;"生成成长"),2))/((VLOOKUP($B85,INDIRECT($B$5&amp;"生成成长"),4))/(VLOOKUP(FA$72,INDIRECT($C$5&amp;"生成成长"),5))*(VLOOKUP($B$5,标准坦克设计!$B$24:$U$30,MATCH("对"&amp;LEFT($C$5,2)&amp;"输出",标准坦克设计!$B$23:$U$23,0)))*(VLOOKUP($B85,INDIRECT($B$5&amp;"生成成长"),3))*(VLOOKUP($B$5,标准坦克设计!$B$14:$K$20,9)/30))</f>
        <v>54.524502697233721</v>
      </c>
      <c r="FB85" s="172">
        <f ca="1">(VLOOKUP(FB$72,INDIRECT($C$5&amp;"生成成长"),2))/((VLOOKUP($B85,INDIRECT($B$5&amp;"生成成长"),4))/(VLOOKUP(FB$72,INDIRECT($C$5&amp;"生成成长"),5))*(VLOOKUP($B$5,标准坦克设计!$B$24:$U$30,MATCH("对"&amp;LEFT($C$5,2)&amp;"输出",标准坦克设计!$B$23:$U$23,0)))*(VLOOKUP($B85,INDIRECT($B$5&amp;"生成成长"),3))*(VLOOKUP($B$5,标准坦克设计!$B$14:$K$20,9)/30))</f>
        <v>57.926647200134518</v>
      </c>
      <c r="FC85" s="172">
        <f ca="1">(VLOOKUP(FC$72,INDIRECT($C$5&amp;"生成成长"),2))/((VLOOKUP($B85,INDIRECT($B$5&amp;"生成成长"),4))/(VLOOKUP(FC$72,INDIRECT($C$5&amp;"生成成长"),5))*(VLOOKUP($B$5,标准坦克设计!$B$24:$U$30,MATCH("对"&amp;LEFT($C$5,2)&amp;"输出",标准坦克设计!$B$23:$U$23,0)))*(VLOOKUP($B85,INDIRECT($B$5&amp;"生成成长"),3))*(VLOOKUP($B$5,标准坦克设计!$B$14:$K$20,9)/30))</f>
        <v>61.431745181802611</v>
      </c>
      <c r="FD85" s="172">
        <f ca="1">(VLOOKUP(FD$72,INDIRECT($C$5&amp;"生成成长"),2))/((VLOOKUP($B85,INDIRECT($B$5&amp;"生成成长"),4))/(VLOOKUP(FD$72,INDIRECT($C$5&amp;"生成成长"),5))*(VLOOKUP($B$5,标准坦克设计!$B$24:$U$30,MATCH("对"&amp;LEFT($C$5,2)&amp;"输出",标准坦克设计!$B$23:$U$23,0)))*(VLOOKUP($B85,INDIRECT($B$5&amp;"生成成长"),3))*(VLOOKUP($B$5,标准坦克设计!$B$14:$K$20,9)/30))</f>
        <v>65.039796642237974</v>
      </c>
      <c r="FE85" s="172">
        <f ca="1">(VLOOKUP(FE$72,INDIRECT($C$5&amp;"生成成长"),2))/((VLOOKUP($B85,INDIRECT($B$5&amp;"生成成长"),4))/(VLOOKUP(FE$72,INDIRECT($C$5&amp;"生成成长"),5))*(VLOOKUP($B$5,标准坦克设计!$B$24:$U$30,MATCH("对"&amp;LEFT($C$5,2)&amp;"输出",标准坦克设计!$B$23:$U$23,0)))*(VLOOKUP($B85,INDIRECT($B$5&amp;"生成成长"),3))*(VLOOKUP($B$5,标准坦克设计!$B$14:$K$20,9)/30))</f>
        <v>69.436590869758277</v>
      </c>
      <c r="FF85" s="172">
        <f ca="1">(VLOOKUP(FF$72,INDIRECT($C$5&amp;"生成成长"),2))/((VLOOKUP($B85,INDIRECT($B$5&amp;"生成成长"),4))/(VLOOKUP(FF$72,INDIRECT($C$5&amp;"生成成长"),5))*(VLOOKUP($B$5,标准坦克设计!$B$24:$U$30,MATCH("对"&amp;LEFT($C$5,2)&amp;"输出",标准坦克设计!$B$23:$U$23,0)))*(VLOOKUP($B85,INDIRECT($B$5&amp;"生成成长"),3))*(VLOOKUP($B$5,标准坦克设计!$B$14:$K$20,9)/30))</f>
        <v>73.977179625474193</v>
      </c>
      <c r="FG85" s="172">
        <f ca="1">(VLOOKUP(FG$72,INDIRECT($C$5&amp;"生成成长"),2))/((VLOOKUP($B85,INDIRECT($B$5&amp;"生成成长"),4))/(VLOOKUP(FG$72,INDIRECT($C$5&amp;"生成成长"),5))*(VLOOKUP($B$5,标准坦克设计!$B$24:$U$30,MATCH("对"&amp;LEFT($C$5,2)&amp;"输出",标准坦克设计!$B$23:$U$23,0)))*(VLOOKUP($B85,INDIRECT($B$5&amp;"生成成长"),3))*(VLOOKUP($B$5,标准坦克设计!$B$14:$K$20,9)/30))</f>
        <v>78.661562909385751</v>
      </c>
      <c r="FH85" s="172">
        <f ca="1">(VLOOKUP(FH$72,INDIRECT($C$5&amp;"生成成长"),2))/((VLOOKUP($B85,INDIRECT($B$5&amp;"生成成长"),4))/(VLOOKUP(FH$72,INDIRECT($C$5&amp;"生成成长"),5))*(VLOOKUP($B$5,标准坦克设计!$B$24:$U$30,MATCH("对"&amp;LEFT($C$5,2)&amp;"输出",标准坦克设计!$B$23:$U$23,0)))*(VLOOKUP($B85,INDIRECT($B$5&amp;"生成成长"),3))*(VLOOKUP($B$5,标准坦克设计!$B$14:$K$20,9)/30))</f>
        <v>83.489740721492922</v>
      </c>
      <c r="FI85" s="172">
        <f ca="1">(VLOOKUP(FI$72,INDIRECT($C$5&amp;"生成成长"),2))/((VLOOKUP($B85,INDIRECT($B$5&amp;"生成成长"),4))/(VLOOKUP(FI$72,INDIRECT($C$5&amp;"生成成长"),5))*(VLOOKUP($B$5,标准坦克设计!$B$24:$U$30,MATCH("对"&amp;LEFT($C$5,2)&amp;"输出",标准坦克设计!$B$23:$U$23,0)))*(VLOOKUP($B85,INDIRECT($B$5&amp;"生成成长"),3))*(VLOOKUP($B$5,标准坦克设计!$B$14:$K$20,9)/30))</f>
        <v>88.461713061795763</v>
      </c>
      <c r="FJ85" s="172">
        <f ca="1">(VLOOKUP(FJ$72,INDIRECT($C$5&amp;"生成成长"),2))/((VLOOKUP($B85,INDIRECT($B$5&amp;"生成成长"),4))/(VLOOKUP(FJ$72,INDIRECT($C$5&amp;"生成成长"),5))*(VLOOKUP($B$5,标准坦克设计!$B$24:$U$30,MATCH("对"&amp;LEFT($C$5,2)&amp;"输出",标准坦克设计!$B$23:$U$23,0)))*(VLOOKUP($B85,INDIRECT($B$5&amp;"生成成长"),3))*(VLOOKUP($B$5,标准坦克设计!$B$14:$K$20,9)/30))</f>
        <v>93.577479930294203</v>
      </c>
      <c r="FK85" s="172">
        <f ca="1">(VLOOKUP(FK$72,INDIRECT($C$5&amp;"生成成长"),2))/((VLOOKUP($B85,INDIRECT($B$5&amp;"生成成长"),4))/(VLOOKUP(FK$72,INDIRECT($C$5&amp;"生成成长"),5))*(VLOOKUP($B$5,标准坦克设计!$B$24:$U$30,MATCH("对"&amp;LEFT($C$5,2)&amp;"输出",标准坦克设计!$B$23:$U$23,0)))*(VLOOKUP($B85,INDIRECT($B$5&amp;"生成成长"),3))*(VLOOKUP($B$5,标准坦克设计!$B$14:$K$20,9)/30))</f>
        <v>98.837041326988285</v>
      </c>
    </row>
    <row r="86" spans="1:167" x14ac:dyDescent="0.15">
      <c r="A86" s="170" t="str">
        <f t="shared" si="11"/>
        <v>T3低品质2级</v>
      </c>
      <c r="B86" s="171">
        <v>10302</v>
      </c>
      <c r="C86" s="172">
        <f ca="1">(VLOOKUP(C$72,INDIRECT($C$5&amp;"生成成长"),2))/((VLOOKUP($B86,INDIRECT($B$5&amp;"生成成长"),4))/(VLOOKUP(C$72,INDIRECT($C$5&amp;"生成成长"),5))*(VLOOKUP($B$5,标准坦克设计!$B$24:$U$30,MATCH("对"&amp;LEFT($C$5,2)&amp;"输出",标准坦克设计!$B$23:$U$23,0)))*(VLOOKUP($B86,INDIRECT($B$5&amp;"生成成长"),3))*(VLOOKUP($B$5,标准坦克设计!$B$14:$K$20,9)/30))</f>
        <v>3.7598096947238497</v>
      </c>
      <c r="D86" s="172">
        <f ca="1">(VLOOKUP(D$72,INDIRECT($C$5&amp;"生成成长"),2))/((VLOOKUP($B86,INDIRECT($B$5&amp;"生成成长"),4))/(VLOOKUP(D$72,INDIRECT($C$5&amp;"生成成长"),5))*(VLOOKUP($B$5,标准坦克设计!$B$24:$U$30,MATCH("对"&amp;LEFT($C$5,2)&amp;"输出",标准坦克设计!$B$23:$U$23,0)))*(VLOOKUP($B86,INDIRECT($B$5&amp;"生成成长"),3))*(VLOOKUP($B$5,标准坦克设计!$B$14:$K$20,9)/30))</f>
        <v>4.2245221729917182</v>
      </c>
      <c r="E86" s="172">
        <f ca="1">(VLOOKUP(E$72,INDIRECT($C$5&amp;"生成成长"),2))/((VLOOKUP($B86,INDIRECT($B$5&amp;"生成成长"),4))/(VLOOKUP(E$72,INDIRECT($C$5&amp;"生成成长"),5))*(VLOOKUP($B$5,标准坦克设计!$B$24:$U$30,MATCH("对"&amp;LEFT($C$5,2)&amp;"输出",标准坦克设计!$B$23:$U$23,0)))*(VLOOKUP($B86,INDIRECT($B$5&amp;"生成成长"),3))*(VLOOKUP($B$5,标准坦克设计!$B$14:$K$20,9)/30))</f>
        <v>4.7163052810615973</v>
      </c>
      <c r="F86" s="172">
        <f ca="1">(VLOOKUP(F$72,INDIRECT($C$5&amp;"生成成长"),2))/((VLOOKUP($B86,INDIRECT($B$5&amp;"生成成长"),4))/(VLOOKUP(F$72,INDIRECT($C$5&amp;"生成成长"),5))*(VLOOKUP($B$5,标准坦克设计!$B$24:$U$30,MATCH("对"&amp;LEFT($C$5,2)&amp;"输出",标准坦克设计!$B$23:$U$23,0)))*(VLOOKUP($B86,INDIRECT($B$5&amp;"生成成长"),3))*(VLOOKUP($B$5,标准坦克设计!$B$14:$K$20,9)/30))</f>
        <v>5.2351590189334889</v>
      </c>
      <c r="G86" s="172">
        <f ca="1">(VLOOKUP(G$72,INDIRECT($C$5&amp;"生成成长"),2))/((VLOOKUP($B86,INDIRECT($B$5&amp;"生成成长"),4))/(VLOOKUP(G$72,INDIRECT($C$5&amp;"生成成长"),5))*(VLOOKUP($B$5,标准坦克设计!$B$24:$U$30,MATCH("对"&amp;LEFT($C$5,2)&amp;"输出",标准坦克设计!$B$23:$U$23,0)))*(VLOOKUP($B86,INDIRECT($B$5&amp;"生成成长"),3))*(VLOOKUP($B$5,标准坦克设计!$B$14:$K$20,9)/30))</f>
        <v>5.7810833866073912</v>
      </c>
      <c r="H86" s="172">
        <f ca="1">(VLOOKUP(H$72,INDIRECT($C$5&amp;"生成成长"),2))/((VLOOKUP($B86,INDIRECT($B$5&amp;"生成成长"),4))/(VLOOKUP(H$72,INDIRECT($C$5&amp;"生成成长"),5))*(VLOOKUP($B$5,标准坦克设计!$B$24:$U$30,MATCH("对"&amp;LEFT($C$5,2)&amp;"输出",标准坦克设计!$B$23:$U$23,0)))*(VLOOKUP($B86,INDIRECT($B$5&amp;"生成成长"),3))*(VLOOKUP($B$5,标准坦克设计!$B$14:$K$20,9)/30))</f>
        <v>5.0591999252204127</v>
      </c>
      <c r="I86" s="172">
        <f ca="1">(VLOOKUP(I$72,INDIRECT($C$5&amp;"生成成长"),2))/((VLOOKUP($B86,INDIRECT($B$5&amp;"生成成长"),4))/(VLOOKUP(I$72,INDIRECT($C$5&amp;"生成成长"),5))*(VLOOKUP($B$5,标准坦克设计!$B$24:$U$30,MATCH("对"&amp;LEFT($C$5,2)&amp;"输出",标准坦克设计!$B$23:$U$23,0)))*(VLOOKUP($B86,INDIRECT($B$5&amp;"生成成长"),3))*(VLOOKUP($B$5,标准坦克设计!$B$14:$K$20,9)/30))</f>
        <v>5.7810833866073912</v>
      </c>
      <c r="J86" s="172">
        <f ca="1">(VLOOKUP(J$72,INDIRECT($C$5&amp;"生成成长"),2))/((VLOOKUP($B86,INDIRECT($B$5&amp;"生成成长"),4))/(VLOOKUP(J$72,INDIRECT($C$5&amp;"生成成长"),5))*(VLOOKUP($B$5,标准坦克设计!$B$24:$U$30,MATCH("对"&amp;LEFT($C$5,2)&amp;"输出",标准坦克设计!$B$23:$U$23,0)))*(VLOOKUP($B86,INDIRECT($B$5&amp;"生成成长"),3))*(VLOOKUP($B$5,标准坦克设计!$B$14:$K$20,9)/30))</f>
        <v>6.5510924120868363</v>
      </c>
      <c r="K86" s="172">
        <f ca="1">(VLOOKUP(K$72,INDIRECT($C$5&amp;"生成成长"),2))/((VLOOKUP($B86,INDIRECT($B$5&amp;"生成成长"),4))/(VLOOKUP(K$72,INDIRECT($C$5&amp;"生成成长"),5))*(VLOOKUP($B$5,标准坦克设计!$B$24:$U$30,MATCH("对"&amp;LEFT($C$5,2)&amp;"输出",标准坦克设计!$B$23:$U$23,0)))*(VLOOKUP($B86,INDIRECT($B$5&amp;"生成成长"),3))*(VLOOKUP($B$5,标准坦克设计!$B$14:$K$20,9)/30))</f>
        <v>7.3692270016587447</v>
      </c>
      <c r="L86" s="172">
        <f ca="1">(VLOOKUP(L$72,INDIRECT($C$5&amp;"生成成长"),2))/((VLOOKUP($B86,INDIRECT($B$5&amp;"生成成长"),4))/(VLOOKUP(L$72,INDIRECT($C$5&amp;"生成成长"),5))*(VLOOKUP($B$5,标准坦克设计!$B$24:$U$30,MATCH("对"&amp;LEFT($C$5,2)&amp;"输出",标准坦克设计!$B$23:$U$23,0)))*(VLOOKUP($B86,INDIRECT($B$5&amp;"生成成长"),3))*(VLOOKUP($B$5,标准坦克设计!$B$14:$K$20,9)/30))</f>
        <v>8.2354871553231206</v>
      </c>
      <c r="M86" s="172">
        <f ca="1">(VLOOKUP(M$72,INDIRECT($C$5&amp;"生成成长"),2))/((VLOOKUP($B86,INDIRECT($B$5&amp;"生成成长"),4))/(VLOOKUP(M$72,INDIRECT($C$5&amp;"生成成长"),5))*(VLOOKUP($B$5,标准坦克设计!$B$24:$U$30,MATCH("对"&amp;LEFT($C$5,2)&amp;"输出",标准坦克设计!$B$23:$U$23,0)))*(VLOOKUP($B86,INDIRECT($B$5&amp;"生成成长"),3))*(VLOOKUP($B$5,标准坦克设计!$B$14:$K$20,9)/30))</f>
        <v>9.1498728730799623</v>
      </c>
      <c r="N86" s="172">
        <f ca="1">(VLOOKUP(N$72,INDIRECT($C$5&amp;"生成成长"),2))/((VLOOKUP($B86,INDIRECT($B$5&amp;"生成成长"),4))/(VLOOKUP(N$72,INDIRECT($C$5&amp;"生成成长"),5))*(VLOOKUP($B$5,标准坦克设计!$B$24:$U$30,MATCH("对"&amp;LEFT($C$5,2)&amp;"输出",标准坦克设计!$B$23:$U$23,0)))*(VLOOKUP($B86,INDIRECT($B$5&amp;"生成成长"),3))*(VLOOKUP($B$5,标准坦克设计!$B$14:$K$20,9)/30))</f>
        <v>10.112384154929265</v>
      </c>
      <c r="O86" s="172">
        <f ca="1">(VLOOKUP(O$72,INDIRECT($C$5&amp;"生成成长"),2))/((VLOOKUP($B86,INDIRECT($B$5&amp;"生成成长"),4))/(VLOOKUP(O$72,INDIRECT($C$5&amp;"生成成长"),5))*(VLOOKUP($B$5,标准坦克设计!$B$24:$U$30,MATCH("对"&amp;LEFT($C$5,2)&amp;"输出",标准坦克设计!$B$23:$U$23,0)))*(VLOOKUP($B86,INDIRECT($B$5&amp;"生成成长"),3))*(VLOOKUP($B$5,标准坦克设计!$B$14:$K$20,9)/30))</f>
        <v>7.6884348447407991</v>
      </c>
      <c r="P86" s="172">
        <f ca="1">(VLOOKUP(P$72,INDIRECT($C$5&amp;"生成成长"),2))/((VLOOKUP($B86,INDIRECT($B$5&amp;"生成成长"),4))/(VLOOKUP(P$72,INDIRECT($C$5&amp;"生成成长"),5))*(VLOOKUP($B$5,标准坦克设计!$B$24:$U$30,MATCH("对"&amp;LEFT($C$5,2)&amp;"输出",标准坦克设计!$B$23:$U$23,0)))*(VLOOKUP($B86,INDIRECT($B$5&amp;"生成成长"),3))*(VLOOKUP($B$5,标准坦克设计!$B$14:$K$20,9)/30))</f>
        <v>8.6866643186899832</v>
      </c>
      <c r="Q86" s="172">
        <f ca="1">(VLOOKUP(Q$72,INDIRECT($C$5&amp;"生成成长"),2))/((VLOOKUP($B86,INDIRECT($B$5&amp;"生成成长"),4))/(VLOOKUP(Q$72,INDIRECT($C$5&amp;"生成成长"),5))*(VLOOKUP($B$5,标准坦克设计!$B$24:$U$30,MATCH("对"&amp;LEFT($C$5,2)&amp;"输出",标准坦克设计!$B$23:$U$23,0)))*(VLOOKUP($B86,INDIRECT($B$5&amp;"生成成长"),3))*(VLOOKUP($B$5,标准坦克设计!$B$14:$K$20,9)/30))</f>
        <v>9.7458027096936899</v>
      </c>
      <c r="R86" s="172">
        <f ca="1">(VLOOKUP(R$72,INDIRECT($C$5&amp;"生成成长"),2))/((VLOOKUP($B86,INDIRECT($B$5&amp;"生成成长"),4))/(VLOOKUP(R$72,INDIRECT($C$5&amp;"生成成长"),5))*(VLOOKUP($B$5,标准坦克设计!$B$24:$U$30,MATCH("对"&amp;LEFT($C$5,2)&amp;"输出",标准坦克设计!$B$23:$U$23,0)))*(VLOOKUP($B86,INDIRECT($B$5&amp;"生成成长"),3))*(VLOOKUP($B$5,标准坦克设计!$B$14:$K$20,9)/30))</f>
        <v>10.865850017751924</v>
      </c>
      <c r="S86" s="172">
        <f ca="1">(VLOOKUP(S$72,INDIRECT($C$5&amp;"生成成长"),2))/((VLOOKUP($B86,INDIRECT($B$5&amp;"生成成长"),4))/(VLOOKUP(S$72,INDIRECT($C$5&amp;"生成成长"),5))*(VLOOKUP($B$5,标准坦克设计!$B$24:$U$30,MATCH("对"&amp;LEFT($C$5,2)&amp;"输出",标准坦克设计!$B$23:$U$23,0)))*(VLOOKUP($B86,INDIRECT($B$5&amp;"生成成长"),3))*(VLOOKUP($B$5,标准坦克设计!$B$14:$K$20,9)/30))</f>
        <v>12.046806242864687</v>
      </c>
      <c r="T86" s="172">
        <f ca="1">(VLOOKUP(T$72,INDIRECT($C$5&amp;"生成成长"),2))/((VLOOKUP($B86,INDIRECT($B$5&amp;"生成成长"),4))/(VLOOKUP(T$72,INDIRECT($C$5&amp;"生成成长"),5))*(VLOOKUP($B$5,标准坦克设计!$B$24:$U$30,MATCH("对"&amp;LEFT($C$5,2)&amp;"输出",标准坦克设计!$B$23:$U$23,0)))*(VLOOKUP($B86,INDIRECT($B$5&amp;"生成成长"),3))*(VLOOKUP($B$5,标准坦克设计!$B$14:$K$20,9)/30))</f>
        <v>13.288671385031977</v>
      </c>
      <c r="U86" s="172">
        <f ca="1">(VLOOKUP(U$72,INDIRECT($C$5&amp;"生成成长"),2))/((VLOOKUP($B86,INDIRECT($B$5&amp;"生成成长"),4))/(VLOOKUP(U$72,INDIRECT($C$5&amp;"生成成长"),5))*(VLOOKUP($B$5,标准坦克设计!$B$24:$U$30,MATCH("对"&amp;LEFT($C$5,2)&amp;"输出",标准坦克设计!$B$23:$U$23,0)))*(VLOOKUP($B86,INDIRECT($B$5&amp;"生成成长"),3))*(VLOOKUP($B$5,标准坦克设计!$B$14:$K$20,9)/30))</f>
        <v>14.59144544425379</v>
      </c>
      <c r="V86" s="172">
        <f ca="1">(VLOOKUP(V$72,INDIRECT($C$5&amp;"生成成长"),2))/((VLOOKUP($B86,INDIRECT($B$5&amp;"生成成长"),4))/(VLOOKUP(V$72,INDIRECT($C$5&amp;"生成成长"),5))*(VLOOKUP($B$5,标准坦克设计!$B$24:$U$30,MATCH("对"&amp;LEFT($C$5,2)&amp;"输出",标准坦克设计!$B$23:$U$23,0)))*(VLOOKUP($B86,INDIRECT($B$5&amp;"生成成长"),3))*(VLOOKUP($B$5,标准坦克设计!$B$14:$K$20,9)/30))</f>
        <v>15.95512842053013</v>
      </c>
      <c r="W86" s="172">
        <f ca="1">(VLOOKUP(W$72,INDIRECT($C$5&amp;"生成成长"),2))/((VLOOKUP($B86,INDIRECT($B$5&amp;"生成成长"),4))/(VLOOKUP(W$72,INDIRECT($C$5&amp;"生成成长"),5))*(VLOOKUP($B$5,标准坦克设计!$B$24:$U$30,MATCH("对"&amp;LEFT($C$5,2)&amp;"输出",标准坦克设计!$B$23:$U$23,0)))*(VLOOKUP($B86,INDIRECT($B$5&amp;"生成成长"),3))*(VLOOKUP($B$5,标准坦克设计!$B$14:$K$20,9)/30))</f>
        <v>17.379720313860997</v>
      </c>
      <c r="X86" s="172">
        <f ca="1">(VLOOKUP(X$72,INDIRECT($C$5&amp;"生成成长"),2))/((VLOOKUP($B86,INDIRECT($B$5&amp;"生成成长"),4))/(VLOOKUP(X$72,INDIRECT($C$5&amp;"生成成长"),5))*(VLOOKUP($B$5,标准坦克设计!$B$24:$U$30,MATCH("对"&amp;LEFT($C$5,2)&amp;"输出",标准坦克设计!$B$23:$U$23,0)))*(VLOOKUP($B86,INDIRECT($B$5&amp;"生成成长"),3))*(VLOOKUP($B$5,标准坦克设计!$B$14:$K$20,9)/30))</f>
        <v>12.591226686660701</v>
      </c>
      <c r="Y86" s="172">
        <f ca="1">(VLOOKUP(Y$72,INDIRECT($C$5&amp;"生成成长"),2))/((VLOOKUP($B86,INDIRECT($B$5&amp;"生成成长"),4))/(VLOOKUP(Y$72,INDIRECT($C$5&amp;"生成成长"),5))*(VLOOKUP($B$5,标准坦克设计!$B$24:$U$30,MATCH("对"&amp;LEFT($C$5,2)&amp;"输出",标准坦克设计!$B$23:$U$23,0)))*(VLOOKUP($B86,INDIRECT($B$5&amp;"生成成长"),3))*(VLOOKUP($B$5,标准坦克设计!$B$14:$K$20,9)/30))</f>
        <v>14.004915131876867</v>
      </c>
      <c r="Z86" s="172">
        <f ca="1">(VLOOKUP(Z$72,INDIRECT($C$5&amp;"生成成长"),2))/((VLOOKUP($B86,INDIRECT($B$5&amp;"生成成长"),4))/(VLOOKUP(Z$72,INDIRECT($C$5&amp;"生成成长"),5))*(VLOOKUP($B$5,标准坦克设计!$B$24:$U$30,MATCH("对"&amp;LEFT($C$5,2)&amp;"输出",标准坦克设计!$B$23:$U$23,0)))*(VLOOKUP($B86,INDIRECT($B$5&amp;"生成成长"),3))*(VLOOKUP($B$5,标准坦克设计!$B$14:$K$20,9)/30))</f>
        <v>15.493799770987511</v>
      </c>
      <c r="AA86" s="172">
        <f ca="1">(VLOOKUP(AA$72,INDIRECT($C$5&amp;"生成成长"),2))/((VLOOKUP($B86,INDIRECT($B$5&amp;"生成成长"),4))/(VLOOKUP(AA$72,INDIRECT($C$5&amp;"生成成长"),5))*(VLOOKUP($B$5,标准坦克设计!$B$24:$U$30,MATCH("对"&amp;LEFT($C$5,2)&amp;"输出",标准坦克设计!$B$23:$U$23,0)))*(VLOOKUP($B86,INDIRECT($B$5&amp;"生成成长"),3))*(VLOOKUP($B$5,标准坦克设计!$B$14:$K$20,9)/30))</f>
        <v>17.057880603992633</v>
      </c>
      <c r="AB86" s="172">
        <f ca="1">(VLOOKUP(AB$72,INDIRECT($C$5&amp;"生成成长"),2))/((VLOOKUP($B86,INDIRECT($B$5&amp;"生成成长"),4))/(VLOOKUP(AB$72,INDIRECT($C$5&amp;"生成成长"),5))*(VLOOKUP($B$5,标准坦克设计!$B$24:$U$30,MATCH("对"&amp;LEFT($C$5,2)&amp;"输出",标准坦克设计!$B$23:$U$23,0)))*(VLOOKUP($B86,INDIRECT($B$5&amp;"生成成长"),3))*(VLOOKUP($B$5,标准坦克设计!$B$14:$K$20,9)/30))</f>
        <v>18.697157630892232</v>
      </c>
      <c r="AC86" s="172">
        <f ca="1">(VLOOKUP(AC$72,INDIRECT($C$5&amp;"生成成长"),2))/((VLOOKUP($B86,INDIRECT($B$5&amp;"生成成长"),4))/(VLOOKUP(AC$72,INDIRECT($C$5&amp;"生成成长"),5))*(VLOOKUP($B$5,标准坦克设计!$B$24:$U$30,MATCH("对"&amp;LEFT($C$5,2)&amp;"输出",标准坦克设计!$B$23:$U$23,0)))*(VLOOKUP($B86,INDIRECT($B$5&amp;"生成成长"),3))*(VLOOKUP($B$5,标准坦克设计!$B$14:$K$20,9)/30))</f>
        <v>20.411630851686308</v>
      </c>
      <c r="AD86" s="172">
        <f ca="1">(VLOOKUP(AD$72,INDIRECT($C$5&amp;"生成成长"),2))/((VLOOKUP($B86,INDIRECT($B$5&amp;"生成成长"),4))/(VLOOKUP(AD$72,INDIRECT($C$5&amp;"生成成长"),5))*(VLOOKUP($B$5,标准坦克设计!$B$24:$U$30,MATCH("对"&amp;LEFT($C$5,2)&amp;"输出",标准坦克设计!$B$23:$U$23,0)))*(VLOOKUP($B86,INDIRECT($B$5&amp;"生成成长"),3))*(VLOOKUP($B$5,标准坦克设计!$B$14:$K$20,9)/30))</f>
        <v>22.201300266374858</v>
      </c>
      <c r="AE86" s="172">
        <f ca="1">(VLOOKUP(AE$72,INDIRECT($C$5&amp;"生成成长"),2))/((VLOOKUP($B86,INDIRECT($B$5&amp;"生成成长"),4))/(VLOOKUP(AE$72,INDIRECT($C$5&amp;"生成成长"),5))*(VLOOKUP($B$5,标准坦克设计!$B$24:$U$30,MATCH("对"&amp;LEFT($C$5,2)&amp;"输出",标准坦克设计!$B$23:$U$23,0)))*(VLOOKUP($B86,INDIRECT($B$5&amp;"生成成长"),3))*(VLOOKUP($B$5,标准坦克设计!$B$14:$K$20,9)/30))</f>
        <v>24.066165874957893</v>
      </c>
      <c r="AF86" s="172">
        <f ca="1">(VLOOKUP(AF$72,INDIRECT($C$5&amp;"生成成长"),2))/((VLOOKUP($B86,INDIRECT($B$5&amp;"生成成长"),4))/(VLOOKUP(AF$72,INDIRECT($C$5&amp;"生成成长"),5))*(VLOOKUP($B$5,标准坦克设计!$B$24:$U$30,MATCH("对"&amp;LEFT($C$5,2)&amp;"输出",标准坦克设计!$B$23:$U$23,0)))*(VLOOKUP($B86,INDIRECT($B$5&amp;"生成成长"),3))*(VLOOKUP($B$5,标准坦克设计!$B$14:$K$20,9)/30))</f>
        <v>26.006227677435401</v>
      </c>
      <c r="AG86" s="172">
        <f ca="1">(VLOOKUP(AG$72,INDIRECT($C$5&amp;"生成成长"),2))/((VLOOKUP($B86,INDIRECT($B$5&amp;"生成成长"),4))/(VLOOKUP(AG$72,INDIRECT($C$5&amp;"生成成长"),5))*(VLOOKUP($B$5,标准坦克设计!$B$24:$U$30,MATCH("对"&amp;LEFT($C$5,2)&amp;"输出",标准坦克设计!$B$23:$U$23,0)))*(VLOOKUP($B86,INDIRECT($B$5&amp;"生成成长"),3))*(VLOOKUP($B$5,标准坦克设计!$B$14:$K$20,9)/30))</f>
        <v>28.02148567380738</v>
      </c>
      <c r="AH86" s="172">
        <f ca="1">(VLOOKUP(AH$72,INDIRECT($C$5&amp;"生成成长"),2))/((VLOOKUP($B86,INDIRECT($B$5&amp;"生成成长"),4))/(VLOOKUP(AH$72,INDIRECT($C$5&amp;"生成成长"),5))*(VLOOKUP($B$5,标准坦克设计!$B$24:$U$30,MATCH("对"&amp;LEFT($C$5,2)&amp;"输出",标准坦克设计!$B$23:$U$23,0)))*(VLOOKUP($B86,INDIRECT($B$5&amp;"生成成长"),3))*(VLOOKUP($B$5,标准坦克设计!$B$14:$K$20,9)/30))</f>
        <v>30.11193986407384</v>
      </c>
      <c r="AI86" s="172">
        <f ca="1">(VLOOKUP(AI$72,INDIRECT($C$5&amp;"生成成长"),2))/((VLOOKUP($B86,INDIRECT($B$5&amp;"生成成长"),4))/(VLOOKUP(AI$72,INDIRECT($C$5&amp;"生成成长"),5))*(VLOOKUP($B$5,标准坦克设计!$B$24:$U$30,MATCH("对"&amp;LEFT($C$5,2)&amp;"输出",标准坦克设计!$B$23:$U$23,0)))*(VLOOKUP($B86,INDIRECT($B$5&amp;"生成成长"),3))*(VLOOKUP($B$5,标准坦克设计!$B$14:$K$20,9)/30))</f>
        <v>21.297066034793776</v>
      </c>
      <c r="AJ86" s="172">
        <f ca="1">(VLOOKUP(AJ$72,INDIRECT($C$5&amp;"生成成长"),2))/((VLOOKUP($B86,INDIRECT($B$5&amp;"生成成长"),4))/(VLOOKUP(AJ$72,INDIRECT($C$5&amp;"生成成长"),5))*(VLOOKUP($B$5,标准坦克设计!$B$24:$U$30,MATCH("对"&amp;LEFT($C$5,2)&amp;"输出",标准坦克设计!$B$23:$U$23,0)))*(VLOOKUP($B86,INDIRECT($B$5&amp;"生成成长"),3))*(VLOOKUP($B$5,标准坦克设计!$B$14:$K$20,9)/30))</f>
        <v>23.31119608825734</v>
      </c>
      <c r="AK86" s="172">
        <f ca="1">(VLOOKUP(AK$72,INDIRECT($C$5&amp;"生成成长"),2))/((VLOOKUP($B86,INDIRECT($B$5&amp;"生成成长"),4))/(VLOOKUP(AK$72,INDIRECT($C$5&amp;"生成成长"),5))*(VLOOKUP($B$5,标准坦克设计!$B$24:$U$30,MATCH("对"&amp;LEFT($C$5,2)&amp;"输出",标准坦克设计!$B$23:$U$23,0)))*(VLOOKUP($B86,INDIRECT($B$5&amp;"生成成长"),3))*(VLOOKUP($B$5,标准坦克设计!$B$14:$K$20,9)/30))</f>
        <v>25.416313536333224</v>
      </c>
      <c r="AL86" s="172">
        <f ca="1">(VLOOKUP(AL$72,INDIRECT($C$5&amp;"生成成长"),2))/((VLOOKUP($B86,INDIRECT($B$5&amp;"生成成长"),4))/(VLOOKUP(AL$72,INDIRECT($C$5&amp;"生成成长"),5))*(VLOOKUP($B$5,标准坦克设计!$B$24:$U$30,MATCH("对"&amp;LEFT($C$5,2)&amp;"输出",标准坦克设计!$B$23:$U$23,0)))*(VLOOKUP($B86,INDIRECT($B$5&amp;"生成成长"),3))*(VLOOKUP($B$5,标准坦克设计!$B$14:$K$20,9)/30))</f>
        <v>27.612418379021431</v>
      </c>
      <c r="AM86" s="172">
        <f ca="1">(VLOOKUP(AM$72,INDIRECT($C$5&amp;"生成成长"),2))/((VLOOKUP($B86,INDIRECT($B$5&amp;"生成成长"),4))/(VLOOKUP(AM$72,INDIRECT($C$5&amp;"生成成长"),5))*(VLOOKUP($B$5,标准坦克设计!$B$24:$U$30,MATCH("对"&amp;LEFT($C$5,2)&amp;"输出",标准坦克设计!$B$23:$U$23,0)))*(VLOOKUP($B86,INDIRECT($B$5&amp;"生成成长"),3))*(VLOOKUP($B$5,标准坦克设计!$B$14:$K$20,9)/30))</f>
        <v>29.89951061632194</v>
      </c>
      <c r="AN86" s="172">
        <f ca="1">(VLOOKUP(AN$72,INDIRECT($C$5&amp;"生成成长"),2))/((VLOOKUP($B86,INDIRECT($B$5&amp;"生成成长"),4))/(VLOOKUP(AN$72,INDIRECT($C$5&amp;"生成成长"),5))*(VLOOKUP($B$5,标准坦克设计!$B$24:$U$30,MATCH("对"&amp;LEFT($C$5,2)&amp;"输出",标准坦克设计!$B$23:$U$23,0)))*(VLOOKUP($B86,INDIRECT($B$5&amp;"生成成长"),3))*(VLOOKUP($B$5,标准坦克设计!$B$14:$K$20,9)/30))</f>
        <v>32.27759024823478</v>
      </c>
      <c r="AO86" s="172">
        <f ca="1">(VLOOKUP(AO$72,INDIRECT($C$5&amp;"生成成长"),2))/((VLOOKUP($B86,INDIRECT($B$5&amp;"生成成长"),4))/(VLOOKUP(AO$72,INDIRECT($C$5&amp;"生成成长"),5))*(VLOOKUP($B$5,标准坦克设计!$B$24:$U$30,MATCH("对"&amp;LEFT($C$5,2)&amp;"输出",标准坦克设计!$B$23:$U$23,0)))*(VLOOKUP($B86,INDIRECT($B$5&amp;"生成成长"),3))*(VLOOKUP($B$5,标准坦克设计!$B$14:$K$20,9)/30))</f>
        <v>34.746657274759933</v>
      </c>
      <c r="AP86" s="172">
        <f ca="1">(VLOOKUP(AP$72,INDIRECT($C$5&amp;"生成成长"),2))/((VLOOKUP($B86,INDIRECT($B$5&amp;"生成成长"),4))/(VLOOKUP(AP$72,INDIRECT($C$5&amp;"生成成长"),5))*(VLOOKUP($B$5,标准坦克设计!$B$24:$U$30,MATCH("对"&amp;LEFT($C$5,2)&amp;"输出",标准坦克设计!$B$23:$U$23,0)))*(VLOOKUP($B86,INDIRECT($B$5&amp;"生成成长"),3))*(VLOOKUP($B$5,标准坦克设计!$B$14:$K$20,9)/30))</f>
        <v>37.306711695897405</v>
      </c>
      <c r="AQ86" s="172">
        <f ca="1">(VLOOKUP(AQ$72,INDIRECT($C$5&amp;"生成成长"),2))/((VLOOKUP($B86,INDIRECT($B$5&amp;"生成成长"),4))/(VLOOKUP(AQ$72,INDIRECT($C$5&amp;"生成成长"),5))*(VLOOKUP($B$5,标准坦克设计!$B$24:$U$30,MATCH("对"&amp;LEFT($C$5,2)&amp;"输出",标准坦克设计!$B$23:$U$23,0)))*(VLOOKUP($B86,INDIRECT($B$5&amp;"生成成长"),3))*(VLOOKUP($B$5,标准坦克设计!$B$14:$K$20,9)/30))</f>
        <v>39.957753511647191</v>
      </c>
      <c r="AR86" s="172">
        <f ca="1">(VLOOKUP(AR$72,INDIRECT($C$5&amp;"生成成长"),2))/((VLOOKUP($B86,INDIRECT($B$5&amp;"生成成长"),4))/(VLOOKUP(AR$72,INDIRECT($C$5&amp;"生成成长"),5))*(VLOOKUP($B$5,标准坦克设计!$B$24:$U$30,MATCH("对"&amp;LEFT($C$5,2)&amp;"输出",标准坦克设计!$B$23:$U$23,0)))*(VLOOKUP($B86,INDIRECT($B$5&amp;"生成成长"),3))*(VLOOKUP($B$5,标准坦克设计!$B$14:$K$20,9)/30))</f>
        <v>42.699782722009289</v>
      </c>
      <c r="AS86" s="172">
        <f ca="1">(VLOOKUP(AS$72,INDIRECT($C$5&amp;"生成成长"),2))/((VLOOKUP($B86,INDIRECT($B$5&amp;"生成成长"),4))/(VLOOKUP(AS$72,INDIRECT($C$5&amp;"生成成长"),5))*(VLOOKUP($B$5,标准坦克设计!$B$24:$U$30,MATCH("对"&amp;LEFT($C$5,2)&amp;"输出",标准坦克设计!$B$23:$U$23,0)))*(VLOOKUP($B86,INDIRECT($B$5&amp;"生成成长"),3))*(VLOOKUP($B$5,标准坦克设计!$B$14:$K$20,9)/30))</f>
        <v>45.532799326983707</v>
      </c>
      <c r="AT86" s="172">
        <f ca="1">(VLOOKUP(AT$72,INDIRECT($C$5&amp;"生成成长"),2))/((VLOOKUP($B86,INDIRECT($B$5&amp;"生成成长"),4))/(VLOOKUP(AT$72,INDIRECT($C$5&amp;"生成成长"),5))*(VLOOKUP($B$5,标准坦克设计!$B$24:$U$30,MATCH("对"&amp;LEFT($C$5,2)&amp;"输出",标准坦克设计!$B$23:$U$23,0)))*(VLOOKUP($B86,INDIRECT($B$5&amp;"生成成长"),3))*(VLOOKUP($B$5,标准坦克设计!$B$14:$K$20,9)/30))</f>
        <v>48.456803326570459</v>
      </c>
      <c r="AU86" s="172">
        <f ca="1">(VLOOKUP(AU$72,INDIRECT($C$5&amp;"生成成长"),2))/((VLOOKUP($B86,INDIRECT($B$5&amp;"生成成长"),4))/(VLOOKUP(AU$72,INDIRECT($C$5&amp;"生成成长"),5))*(VLOOKUP($B$5,标准坦克设计!$B$24:$U$30,MATCH("对"&amp;LEFT($C$5,2)&amp;"输出",标准坦克设计!$B$23:$U$23,0)))*(VLOOKUP($B86,INDIRECT($B$5&amp;"生成成长"),3))*(VLOOKUP($B$5,标准坦克设计!$B$14:$K$20,9)/30))</f>
        <v>51.471794720769495</v>
      </c>
      <c r="AV86" s="172">
        <f ca="1">(VLOOKUP(AV$72,INDIRECT($C$5&amp;"生成成长"),2))/((VLOOKUP($B86,INDIRECT($B$5&amp;"生成成长"),4))/(VLOOKUP(AV$72,INDIRECT($C$5&amp;"生成成长"),5))*(VLOOKUP($B$5,标准坦克设计!$B$24:$U$30,MATCH("对"&amp;LEFT($C$5,2)&amp;"输出",标准坦克设计!$B$23:$U$23,0)))*(VLOOKUP($B86,INDIRECT($B$5&amp;"生成成长"),3))*(VLOOKUP($B$5,标准坦克设计!$B$14:$K$20,9)/30))</f>
        <v>5.2351590189334889</v>
      </c>
      <c r="AW86" s="172">
        <f ca="1">(VLOOKUP(AW$72,INDIRECT($C$5&amp;"生成成长"),2))/((VLOOKUP($B86,INDIRECT($B$5&amp;"生成成长"),4))/(VLOOKUP(AW$72,INDIRECT($C$5&amp;"生成成长"),5))*(VLOOKUP($B$5,标准坦克设计!$B$24:$U$30,MATCH("对"&amp;LEFT($C$5,2)&amp;"输出",标准坦克设计!$B$23:$U$23,0)))*(VLOOKUP($B86,INDIRECT($B$5&amp;"生成成长"),3))*(VLOOKUP($B$5,标准坦克设计!$B$14:$K$20,9)/30))</f>
        <v>5.9690738713435838</v>
      </c>
      <c r="AX86" s="172">
        <f ca="1">(VLOOKUP(AX$72,INDIRECT($C$5&amp;"生成成长"),2))/((VLOOKUP($B86,INDIRECT($B$5&amp;"生成成长"),4))/(VLOOKUP(AX$72,INDIRECT($C$5&amp;"生成成长"),5))*(VLOOKUP($B$5,标准坦克设计!$B$24:$U$30,MATCH("对"&amp;LEFT($C$5,2)&amp;"输出",标准坦克设计!$B$23:$U$23,0)))*(VLOOKUP($B86,INDIRECT($B$5&amp;"生成成长"),3))*(VLOOKUP($B$5,标准坦克设计!$B$14:$K$20,9)/30))</f>
        <v>6.7511142878461454</v>
      </c>
      <c r="AY86" s="172">
        <f ca="1">(VLOOKUP(AY$72,INDIRECT($C$5&amp;"生成成长"),2))/((VLOOKUP($B86,INDIRECT($B$5&amp;"生成成长"),4))/(VLOOKUP(AY$72,INDIRECT($C$5&amp;"生成成长"),5))*(VLOOKUP($B$5,标准坦克设计!$B$24:$U$30,MATCH("对"&amp;LEFT($C$5,2)&amp;"输出",标准坦克设计!$B$23:$U$23,0)))*(VLOOKUP($B86,INDIRECT($B$5&amp;"生成成长"),3))*(VLOOKUP($B$5,标准坦克设计!$B$14:$K$20,9)/30))</f>
        <v>7.5812802684411702</v>
      </c>
      <c r="AZ86" s="172">
        <f ca="1">(VLOOKUP(AZ$72,INDIRECT($C$5&amp;"生成成长"),2))/((VLOOKUP($B86,INDIRECT($B$5&amp;"生成成长"),4))/(VLOOKUP(AZ$72,INDIRECT($C$5&amp;"生成成长"),5))*(VLOOKUP($B$5,标准坦克设计!$B$24:$U$30,MATCH("对"&amp;LEFT($C$5,2)&amp;"输出",标准坦克设计!$B$23:$U$23,0)))*(VLOOKUP($B86,INDIRECT($B$5&amp;"生成成长"),3))*(VLOOKUP($B$5,标准坦克设计!$B$14:$K$20,9)/30))</f>
        <v>8.4595718131286617</v>
      </c>
      <c r="BA86" s="172">
        <f ca="1">(VLOOKUP(BA$72,INDIRECT($C$5&amp;"生成成长"),2))/((VLOOKUP($B86,INDIRECT($B$5&amp;"生成成长"),4))/(VLOOKUP(BA$72,INDIRECT($C$5&amp;"生成成长"),5))*(VLOOKUP($B$5,标准坦克设计!$B$24:$U$30,MATCH("对"&amp;LEFT($C$5,2)&amp;"输出",标准坦克设计!$B$23:$U$23,0)))*(VLOOKUP($B86,INDIRECT($B$5&amp;"生成成长"),3))*(VLOOKUP($B$5,标准坦克设计!$B$14:$K$20,9)/30))</f>
        <v>9.3859889219086181</v>
      </c>
      <c r="BB86" s="172">
        <f ca="1">(VLOOKUP(BB$72,INDIRECT($C$5&amp;"生成成长"),2))/((VLOOKUP($B86,INDIRECT($B$5&amp;"生成成长"),4))/(VLOOKUP(BB$72,INDIRECT($C$5&amp;"生成成长"),5))*(VLOOKUP($B$5,标准坦克设计!$B$24:$U$30,MATCH("对"&amp;LEFT($C$5,2)&amp;"输出",标准坦克设计!$B$23:$U$23,0)))*(VLOOKUP($B86,INDIRECT($B$5&amp;"生成成长"),3))*(VLOOKUP($B$5,标准坦克设计!$B$14:$K$20,9)/30))</f>
        <v>10.36053159478104</v>
      </c>
      <c r="BC86" s="172">
        <f ca="1">(VLOOKUP(BC$72,INDIRECT($C$5&amp;"生成成长"),2))/((VLOOKUP($B86,INDIRECT($B$5&amp;"生成成长"),4))/(VLOOKUP(BC$72,INDIRECT($C$5&amp;"生成成长"),5))*(VLOOKUP($B$5,标准坦克设计!$B$24:$U$30,MATCH("对"&amp;LEFT($C$5,2)&amp;"输出",标准坦克设计!$B$23:$U$23,0)))*(VLOOKUP($B86,INDIRECT($B$5&amp;"生成成长"),3))*(VLOOKUP($B$5,标准坦克设计!$B$14:$K$20,9)/30))</f>
        <v>11.383199831745927</v>
      </c>
      <c r="BD86" s="172">
        <f ca="1">(VLOOKUP(BD$72,INDIRECT($C$5&amp;"生成成长"),2))/((VLOOKUP($B86,INDIRECT($B$5&amp;"生成成长"),4))/(VLOOKUP(BD$72,INDIRECT($C$5&amp;"生成成长"),5))*(VLOOKUP($B$5,标准坦克设计!$B$24:$U$30,MATCH("对"&amp;LEFT($C$5,2)&amp;"输出",标准坦克设计!$B$23:$U$23,0)))*(VLOOKUP($B86,INDIRECT($B$5&amp;"生成成长"),3))*(VLOOKUP($B$5,标准坦克设计!$B$14:$K$20,9)/30))</f>
        <v>12.591226686660701</v>
      </c>
      <c r="BE86" s="172">
        <f ca="1">(VLOOKUP(BE$72,INDIRECT($C$5&amp;"生成成长"),2))/((VLOOKUP($B86,INDIRECT($B$5&amp;"生成成长"),4))/(VLOOKUP(BE$72,INDIRECT($C$5&amp;"生成成长"),5))*(VLOOKUP($B$5,标准坦克设计!$B$24:$U$30,MATCH("对"&amp;LEFT($C$5,2)&amp;"输出",标准坦克设计!$B$23:$U$23,0)))*(VLOOKUP($B86,INDIRECT($B$5&amp;"生成成长"),3))*(VLOOKUP($B$5,标准坦克设计!$B$14:$K$20,9)/30))</f>
        <v>13.860162458630001</v>
      </c>
      <c r="BF86" s="172">
        <f ca="1">(VLOOKUP(BF$72,INDIRECT($C$5&amp;"生成成长"),2))/((VLOOKUP($B86,INDIRECT($B$5&amp;"生成成长"),4))/(VLOOKUP(BF$72,INDIRECT($C$5&amp;"生成成长"),5))*(VLOOKUP($B$5,标准坦克设计!$B$24:$U$30,MATCH("对"&amp;LEFT($C$5,2)&amp;"输出",标准坦克设计!$B$23:$U$23,0)))*(VLOOKUP($B86,INDIRECT($B$5&amp;"生成成长"),3))*(VLOOKUP($B$5,标准坦克设计!$B$14:$K$20,9)/30))</f>
        <v>15.190007147653825</v>
      </c>
      <c r="BG86" s="172">
        <f ca="1">(VLOOKUP(BG$72,INDIRECT($C$5&amp;"生成成长"),2))/((VLOOKUP($B86,INDIRECT($B$5&amp;"生成成长"),4))/(VLOOKUP(BG$72,INDIRECT($C$5&amp;"生成成长"),5))*(VLOOKUP($B$5,标准坦克设计!$B$24:$U$30,MATCH("对"&amp;LEFT($C$5,2)&amp;"输出",标准坦克设计!$B$23:$U$23,0)))*(VLOOKUP($B86,INDIRECT($B$5&amp;"生成成长"),3))*(VLOOKUP($B$5,标准坦克设计!$B$14:$K$20,9)/30))</f>
        <v>16.580760753732179</v>
      </c>
      <c r="BH86" s="172">
        <f ca="1">(VLOOKUP(BH$72,INDIRECT($C$5&amp;"生成成长"),2))/((VLOOKUP($B86,INDIRECT($B$5&amp;"生成成长"),4))/(VLOOKUP(BH$72,INDIRECT($C$5&amp;"生成成长"),5))*(VLOOKUP($B$5,标准坦克设计!$B$24:$U$30,MATCH("对"&amp;LEFT($C$5,2)&amp;"输出",标准坦克设计!$B$23:$U$23,0)))*(VLOOKUP($B86,INDIRECT($B$5&amp;"生成成长"),3))*(VLOOKUP($B$5,标准坦克设计!$B$14:$K$20,9)/30))</f>
        <v>8.0144103452733564</v>
      </c>
      <c r="BI86" s="172">
        <f ca="1">(VLOOKUP(BI$72,INDIRECT($C$5&amp;"生成成长"),2))/((VLOOKUP($B86,INDIRECT($B$5&amp;"生成成长"),4))/(VLOOKUP(BI$72,INDIRECT($C$5&amp;"生成成长"),5))*(VLOOKUP($B$5,标准坦克设计!$B$24:$U$30,MATCH("对"&amp;LEFT($C$5,2)&amp;"输出",标准坦克设计!$B$23:$U$23,0)))*(VLOOKUP($B86,INDIRECT($B$5&amp;"生成成长"),3))*(VLOOKUP($B$5,标准坦克设计!$B$14:$K$20,9)/30))</f>
        <v>9.0329427915740492</v>
      </c>
      <c r="BJ86" s="172">
        <f ca="1">(VLOOKUP(BJ$72,INDIRECT($C$5&amp;"生成成长"),2))/((VLOOKUP($B86,INDIRECT($B$5&amp;"生成成长"),4))/(VLOOKUP(BJ$72,INDIRECT($C$5&amp;"生成成长"),5))*(VLOOKUP($B$5,标准坦克设计!$B$24:$U$30,MATCH("对"&amp;LEFT($C$5,2)&amp;"输出",标准坦克设计!$B$23:$U$23,0)))*(VLOOKUP($B86,INDIRECT($B$5&amp;"生成成长"),3))*(VLOOKUP($B$5,标准坦克设计!$B$14:$K$20,9)/30))</f>
        <v>10.112384154929265</v>
      </c>
      <c r="BK86" s="172">
        <f ca="1">(VLOOKUP(BK$72,INDIRECT($C$5&amp;"生成成长"),2))/((VLOOKUP($B86,INDIRECT($B$5&amp;"生成成长"),4))/(VLOOKUP(BK$72,INDIRECT($C$5&amp;"生成成长"),5))*(VLOOKUP($B$5,标准坦克设计!$B$24:$U$30,MATCH("对"&amp;LEFT($C$5,2)&amp;"输出",标准坦克设计!$B$23:$U$23,0)))*(VLOOKUP($B86,INDIRECT($B$5&amp;"生成成长"),3))*(VLOOKUP($B$5,标准坦克设计!$B$14:$K$20,9)/30))</f>
        <v>11.25273443533901</v>
      </c>
      <c r="BL86" s="172">
        <f ca="1">(VLOOKUP(BL$72,INDIRECT($C$5&amp;"生成成长"),2))/((VLOOKUP($B86,INDIRECT($B$5&amp;"生成成长"),4))/(VLOOKUP(BL$72,INDIRECT($C$5&amp;"生成成长"),5))*(VLOOKUP($B$5,标准坦克设计!$B$24:$U$30,MATCH("对"&amp;LEFT($C$5,2)&amp;"输出",标准坦克设计!$B$23:$U$23,0)))*(VLOOKUP($B86,INDIRECT($B$5&amp;"生成成长"),3))*(VLOOKUP($B$5,标准坦克设计!$B$14:$K$20,9)/30))</f>
        <v>12.453993632803281</v>
      </c>
      <c r="BM86" s="172">
        <f ca="1">(VLOOKUP(BM$72,INDIRECT($C$5&amp;"生成成长"),2))/((VLOOKUP($B86,INDIRECT($B$5&amp;"生成成长"),4))/(VLOOKUP(BM$72,INDIRECT($C$5&amp;"生成成长"),5))*(VLOOKUP($B$5,标准坦克设计!$B$24:$U$30,MATCH("对"&amp;LEFT($C$5,2)&amp;"输出",标准坦克设计!$B$23:$U$23,0)))*(VLOOKUP($B86,INDIRECT($B$5&amp;"生成成长"),3))*(VLOOKUP($B$5,标准坦克设计!$B$14:$K$20,9)/30))</f>
        <v>13.716161747322078</v>
      </c>
      <c r="BN86" s="172">
        <f ca="1">(VLOOKUP(BN$72,INDIRECT($C$5&amp;"生成成长"),2))/((VLOOKUP($B86,INDIRECT($B$5&amp;"生成成长"),4))/(VLOOKUP(BN$72,INDIRECT($C$5&amp;"生成成长"),5))*(VLOOKUP($B$5,标准坦克设计!$B$24:$U$30,MATCH("对"&amp;LEFT($C$5,2)&amp;"输出",标准坦克设计!$B$23:$U$23,0)))*(VLOOKUP($B86,INDIRECT($B$5&amp;"生成成长"),3))*(VLOOKUP($B$5,标准坦克设计!$B$14:$K$20,9)/30))</f>
        <v>15.039238778895399</v>
      </c>
      <c r="BO86" s="172">
        <f ca="1">(VLOOKUP(BO$72,INDIRECT($C$5&amp;"生成成长"),2))/((VLOOKUP($B86,INDIRECT($B$5&amp;"生成成长"),4))/(VLOOKUP(BO$72,INDIRECT($C$5&amp;"生成成长"),5))*(VLOOKUP($B$5,标准坦克设计!$B$24:$U$30,MATCH("对"&amp;LEFT($C$5,2)&amp;"输出",标准坦克设计!$B$23:$U$23,0)))*(VLOOKUP($B86,INDIRECT($B$5&amp;"生成成长"),3))*(VLOOKUP($B$5,标准坦克设计!$B$14:$K$20,9)/30))</f>
        <v>16.423224727523245</v>
      </c>
      <c r="BP86" s="172">
        <f ca="1">(VLOOKUP(BP$72,INDIRECT($C$5&amp;"生成成长"),2))/((VLOOKUP($B86,INDIRECT($B$5&amp;"生成成长"),4))/(VLOOKUP(BP$72,INDIRECT($C$5&amp;"生成成长"),5))*(VLOOKUP($B$5,标准坦克设计!$B$24:$U$30,MATCH("对"&amp;LEFT($C$5,2)&amp;"输出",标准坦克设计!$B$23:$U$23,0)))*(VLOOKUP($B86,INDIRECT($B$5&amp;"生成成长"),3))*(VLOOKUP($B$5,标准坦克设计!$B$14:$K$20,9)/30))</f>
        <v>17.86811959320562</v>
      </c>
      <c r="BQ86" s="172">
        <f ca="1">(VLOOKUP(BQ$72,INDIRECT($C$5&amp;"生成成长"),2))/((VLOOKUP($B86,INDIRECT($B$5&amp;"生成成长"),4))/(VLOOKUP(BQ$72,INDIRECT($C$5&amp;"生成成长"),5))*(VLOOKUP($B$5,标准坦克设计!$B$24:$U$30,MATCH("对"&amp;LEFT($C$5,2)&amp;"输出",标准坦克设计!$B$23:$U$23,0)))*(VLOOKUP($B86,INDIRECT($B$5&amp;"生成成长"),3))*(VLOOKUP($B$5,标准坦克设计!$B$14:$K$20,9)/30))</f>
        <v>19.373923375942525</v>
      </c>
      <c r="BR86" s="172">
        <f ca="1">(VLOOKUP(BR$72,INDIRECT($C$5&amp;"生成成长"),2))/((VLOOKUP($B86,INDIRECT($B$5&amp;"生成成长"),4))/(VLOOKUP(BR$72,INDIRECT($C$5&amp;"生成成长"),5))*(VLOOKUP($B$5,标准坦克设计!$B$24:$U$30,MATCH("对"&amp;LEFT($C$5,2)&amp;"输出",标准坦克设计!$B$23:$U$23,0)))*(VLOOKUP($B86,INDIRECT($B$5&amp;"生成成长"),3))*(VLOOKUP($B$5,标准坦克设计!$B$14:$K$20,9)/30))</f>
        <v>21.118475074294391</v>
      </c>
      <c r="BS86" s="172">
        <f ca="1">(VLOOKUP(BS$72,INDIRECT($C$5&amp;"生成成长"),2))/((VLOOKUP($B86,INDIRECT($B$5&amp;"生成成长"),4))/(VLOOKUP(BS$72,INDIRECT($C$5&amp;"生成成长"),5))*(VLOOKUP($B$5,标准坦克设计!$B$24:$U$30,MATCH("对"&amp;LEFT($C$5,2)&amp;"输出",标准坦克设计!$B$23:$U$23,0)))*(VLOOKUP($B86,INDIRECT($B$5&amp;"生成成长"),3))*(VLOOKUP($B$5,标准坦克设计!$B$14:$K$20,9)/30))</f>
        <v>22.938222966540732</v>
      </c>
      <c r="BT86" s="172">
        <f ca="1">(VLOOKUP(BT$72,INDIRECT($C$5&amp;"生成成长"),2))/((VLOOKUP($B86,INDIRECT($B$5&amp;"生成成长"),4))/(VLOOKUP(BT$72,INDIRECT($C$5&amp;"生成成长"),5))*(VLOOKUP($B$5,标准坦克设计!$B$24:$U$30,MATCH("对"&amp;LEFT($C$5,2)&amp;"输出",标准坦克设计!$B$23:$U$23,0)))*(VLOOKUP($B86,INDIRECT($B$5&amp;"生成成长"),3))*(VLOOKUP($B$5,标准坦克设计!$B$14:$K$20,9)/30))</f>
        <v>24.833167052681556</v>
      </c>
      <c r="BU86" s="172">
        <f ca="1">(VLOOKUP(BU$72,INDIRECT($C$5&amp;"生成成长"),2))/((VLOOKUP($B86,INDIRECT($B$5&amp;"生成成长"),4))/(VLOOKUP(BU$72,INDIRECT($C$5&amp;"生成成长"),5))*(VLOOKUP($B$5,标准坦克设计!$B$24:$U$30,MATCH("对"&amp;LEFT($C$5,2)&amp;"输出",标准坦克设计!$B$23:$U$23,0)))*(VLOOKUP($B86,INDIRECT($B$5&amp;"生成成长"),3))*(VLOOKUP($B$5,标准坦克设计!$B$14:$K$20,9)/30))</f>
        <v>26.803307332716855</v>
      </c>
      <c r="BV86" s="172">
        <f ca="1">(VLOOKUP(BV$72,INDIRECT($C$5&amp;"生成成长"),2))/((VLOOKUP($B86,INDIRECT($B$5&amp;"生成成长"),4))/(VLOOKUP(BV$72,INDIRECT($C$5&amp;"生成成长"),5))*(VLOOKUP($B$5,标准坦克设计!$B$24:$U$30,MATCH("对"&amp;LEFT($C$5,2)&amp;"输出",标准坦克设计!$B$23:$U$23,0)))*(VLOOKUP($B86,INDIRECT($B$5&amp;"生成成长"),3))*(VLOOKUP($B$5,标准坦克设计!$B$14:$K$20,9)/30))</f>
        <v>28.848643806646624</v>
      </c>
      <c r="BW86" s="172">
        <f ca="1">(VLOOKUP(BW$72,INDIRECT($C$5&amp;"生成成长"),2))/((VLOOKUP($B86,INDIRECT($B$5&amp;"生成成长"),4))/(VLOOKUP(BW$72,INDIRECT($C$5&amp;"生成成长"),5))*(VLOOKUP($B$5,标准坦克设计!$B$24:$U$30,MATCH("对"&amp;LEFT($C$5,2)&amp;"输出",标准坦克设计!$B$23:$U$23,0)))*(VLOOKUP($B86,INDIRECT($B$5&amp;"生成成长"),3))*(VLOOKUP($B$5,标准坦克设计!$B$14:$K$20,9)/30))</f>
        <v>13.147678521479829</v>
      </c>
      <c r="BX86" s="172">
        <f ca="1">(VLOOKUP(BX$72,INDIRECT($C$5&amp;"生成成长"),2))/((VLOOKUP($B86,INDIRECT($B$5&amp;"生成成长"),4))/(VLOOKUP(BX$72,INDIRECT($C$5&amp;"生成成长"),5))*(VLOOKUP($B$5,标准坦克设计!$B$24:$U$30,MATCH("对"&amp;LEFT($C$5,2)&amp;"输出",标准坦克设计!$B$23:$U$23,0)))*(VLOOKUP($B86,INDIRECT($B$5&amp;"生成成长"),3))*(VLOOKUP($B$5,标准坦克设计!$B$14:$K$20,9)/30))</f>
        <v>14.59144544425379</v>
      </c>
      <c r="BY86" s="172">
        <f ca="1">(VLOOKUP(BY$72,INDIRECT($C$5&amp;"生成成长"),2))/((VLOOKUP($B86,INDIRECT($B$5&amp;"生成成长"),4))/(VLOOKUP(BY$72,INDIRECT($C$5&amp;"生成成长"),5))*(VLOOKUP($B$5,标准坦克设计!$B$24:$U$30,MATCH("对"&amp;LEFT($C$5,2)&amp;"输出",标准坦克设计!$B$23:$U$23,0)))*(VLOOKUP($B86,INDIRECT($B$5&amp;"生成成长"),3))*(VLOOKUP($B$5,标准坦克设计!$B$14:$K$20,9)/30))</f>
        <v>16.110408560922224</v>
      </c>
      <c r="BZ86" s="172">
        <f ca="1">(VLOOKUP(BZ$72,INDIRECT($C$5&amp;"生成成长"),2))/((VLOOKUP($B86,INDIRECT($B$5&amp;"生成成长"),4))/(VLOOKUP(BZ$72,INDIRECT($C$5&amp;"生成成长"),5))*(VLOOKUP($B$5,标准坦克设计!$B$24:$U$30,MATCH("对"&amp;LEFT($C$5,2)&amp;"输出",标准坦克设计!$B$23:$U$23,0)))*(VLOOKUP($B86,INDIRECT($B$5&amp;"生成成长"),3))*(VLOOKUP($B$5,标准坦克设计!$B$14:$K$20,9)/30))</f>
        <v>17.704567871485136</v>
      </c>
      <c r="CA86" s="172">
        <f ca="1">(VLOOKUP(CA$72,INDIRECT($C$5&amp;"生成成长"),2))/((VLOOKUP($B86,INDIRECT($B$5&amp;"生成成长"),4))/(VLOOKUP(CA$72,INDIRECT($C$5&amp;"生成成长"),5))*(VLOOKUP($B$5,标准坦克设计!$B$24:$U$30,MATCH("对"&amp;LEFT($C$5,2)&amp;"输出",标准坦克设计!$B$23:$U$23,0)))*(VLOOKUP($B86,INDIRECT($B$5&amp;"生成成长"),3))*(VLOOKUP($B$5,标准坦克设计!$B$14:$K$20,9)/30))</f>
        <v>19.373923375942525</v>
      </c>
      <c r="CB86" s="172">
        <f ca="1">(VLOOKUP(CB$72,INDIRECT($C$5&amp;"生成成长"),2))/((VLOOKUP($B86,INDIRECT($B$5&amp;"生成成长"),4))/(VLOOKUP(CB$72,INDIRECT($C$5&amp;"生成成长"),5))*(VLOOKUP($B$5,标准坦克设计!$B$24:$U$30,MATCH("对"&amp;LEFT($C$5,2)&amp;"输出",标准坦克设计!$B$23:$U$23,0)))*(VLOOKUP($B86,INDIRECT($B$5&amp;"生成成长"),3))*(VLOOKUP($B$5,标准坦克设计!$B$14:$K$20,9)/30))</f>
        <v>21.118475074294391</v>
      </c>
      <c r="CC86" s="172">
        <f ca="1">(VLOOKUP(CC$72,INDIRECT($C$5&amp;"生成成长"),2))/((VLOOKUP($B86,INDIRECT($B$5&amp;"生成成长"),4))/(VLOOKUP(CC$72,INDIRECT($C$5&amp;"生成成长"),5))*(VLOOKUP($B$5,标准坦克设计!$B$24:$U$30,MATCH("对"&amp;LEFT($C$5,2)&amp;"输出",标准坦克设计!$B$23:$U$23,0)))*(VLOOKUP($B86,INDIRECT($B$5&amp;"生成成长"),3))*(VLOOKUP($B$5,标准坦克设计!$B$14:$K$20,9)/30))</f>
        <v>22.938222966540732</v>
      </c>
      <c r="CD86" s="172">
        <f ca="1">(VLOOKUP(CD$72,INDIRECT($C$5&amp;"生成成长"),2))/((VLOOKUP($B86,INDIRECT($B$5&amp;"生成成长"),4))/(VLOOKUP(CD$72,INDIRECT($C$5&amp;"生成成长"),5))*(VLOOKUP($B$5,标准坦克设计!$B$24:$U$30,MATCH("对"&amp;LEFT($C$5,2)&amp;"输出",标准坦克设计!$B$23:$U$23,0)))*(VLOOKUP($B86,INDIRECT($B$5&amp;"生成成长"),3))*(VLOOKUP($B$5,标准坦克设计!$B$14:$K$20,9)/30))</f>
        <v>24.833167052681556</v>
      </c>
      <c r="CE86" s="172">
        <f ca="1">(VLOOKUP(CE$72,INDIRECT($C$5&amp;"生成成长"),2))/((VLOOKUP($B86,INDIRECT($B$5&amp;"生成成长"),4))/(VLOOKUP(CE$72,INDIRECT($C$5&amp;"生成成长"),5))*(VLOOKUP($B$5,标准坦克设计!$B$24:$U$30,MATCH("对"&amp;LEFT($C$5,2)&amp;"输出",标准坦克设计!$B$23:$U$23,0)))*(VLOOKUP($B86,INDIRECT($B$5&amp;"生成成长"),3))*(VLOOKUP($B$5,标准坦克设计!$B$14:$K$20,9)/30))</f>
        <v>26.803307332716855</v>
      </c>
      <c r="CF86" s="172">
        <f ca="1">(VLOOKUP(CF$72,INDIRECT($C$5&amp;"生成成长"),2))/((VLOOKUP($B86,INDIRECT($B$5&amp;"生成成长"),4))/(VLOOKUP(CF$72,INDIRECT($C$5&amp;"生成成长"),5))*(VLOOKUP($B$5,标准坦克设计!$B$24:$U$30,MATCH("对"&amp;LEFT($C$5,2)&amp;"输出",标准坦克设计!$B$23:$U$23,0)))*(VLOOKUP($B86,INDIRECT($B$5&amp;"生成成长"),3))*(VLOOKUP($B$5,标准坦克设计!$B$14:$K$20,9)/30))</f>
        <v>28.848643806646624</v>
      </c>
      <c r="CG86" s="172">
        <f ca="1">(VLOOKUP(CG$72,INDIRECT($C$5&amp;"生成成长"),2))/((VLOOKUP($B86,INDIRECT($B$5&amp;"生成成长"),4))/(VLOOKUP(CG$72,INDIRECT($C$5&amp;"生成成长"),5))*(VLOOKUP($B$5,标准坦克设计!$B$24:$U$30,MATCH("对"&amp;LEFT($C$5,2)&amp;"输出",标准坦克设计!$B$23:$U$23,0)))*(VLOOKUP($B86,INDIRECT($B$5&amp;"生成成长"),3))*(VLOOKUP($B$5,标准坦克设计!$B$14:$K$20,9)/30))</f>
        <v>30.969176474470878</v>
      </c>
      <c r="CH86" s="172">
        <f ca="1">(VLOOKUP(CH$72,INDIRECT($C$5&amp;"生成成长"),2))/((VLOOKUP($B86,INDIRECT($B$5&amp;"生成成长"),4))/(VLOOKUP(CH$72,INDIRECT($C$5&amp;"生成成长"),5))*(VLOOKUP($B$5,标准坦克设计!$B$24:$U$30,MATCH("对"&amp;LEFT($C$5,2)&amp;"输出",标准坦克设计!$B$23:$U$23,0)))*(VLOOKUP($B86,INDIRECT($B$5&amp;"生成成长"),3))*(VLOOKUP($B$5,标准坦克设计!$B$14:$K$20,9)/30))</f>
        <v>33.164905336189612</v>
      </c>
      <c r="CI86" s="172">
        <f ca="1">(VLOOKUP(CI$72,INDIRECT($C$5&amp;"生成成长"),2))/((VLOOKUP($B86,INDIRECT($B$5&amp;"生成成长"),4))/(VLOOKUP(CI$72,INDIRECT($C$5&amp;"生成成长"),5))*(VLOOKUP($B$5,标准坦克设计!$B$24:$U$30,MATCH("对"&amp;LEFT($C$5,2)&amp;"输出",标准坦克设计!$B$23:$U$23,0)))*(VLOOKUP($B86,INDIRECT($B$5&amp;"生成成长"),3))*(VLOOKUP($B$5,标准坦克设计!$B$14:$K$20,9)/30))</f>
        <v>35.667058688028334</v>
      </c>
      <c r="CJ86" s="172">
        <f ca="1">(VLOOKUP(CJ$72,INDIRECT($C$5&amp;"生成成长"),2))/((VLOOKUP($B86,INDIRECT($B$5&amp;"生成成长"),4))/(VLOOKUP(CJ$72,INDIRECT($C$5&amp;"生成成长"),5))*(VLOOKUP($B$5,标准坦克设计!$B$24:$U$30,MATCH("对"&amp;LEFT($C$5,2)&amp;"输出",标准坦克设计!$B$23:$U$23,0)))*(VLOOKUP($B86,INDIRECT($B$5&amp;"生成成长"),3))*(VLOOKUP($B$5,标准坦克设计!$B$14:$K$20,9)/30))</f>
        <v>38.260199434479368</v>
      </c>
      <c r="CK86" s="172">
        <f ca="1">(VLOOKUP(CK$72,INDIRECT($C$5&amp;"生成成长"),2))/((VLOOKUP($B86,INDIRECT($B$5&amp;"生成成长"),4))/(VLOOKUP(CK$72,INDIRECT($C$5&amp;"生成成长"),5))*(VLOOKUP($B$5,标准坦克设计!$B$24:$U$30,MATCH("对"&amp;LEFT($C$5,2)&amp;"输出",标准坦克设计!$B$23:$U$23,0)))*(VLOOKUP($B86,INDIRECT($B$5&amp;"生成成长"),3))*(VLOOKUP($B$5,标准坦克设计!$B$14:$K$20,9)/30))</f>
        <v>40.944327575542715</v>
      </c>
      <c r="CL86" s="172">
        <f ca="1">(VLOOKUP(CL$72,INDIRECT($C$5&amp;"生成成长"),2))/((VLOOKUP($B86,INDIRECT($B$5&amp;"生成成长"),4))/(VLOOKUP(CL$72,INDIRECT($C$5&amp;"生成成长"),5))*(VLOOKUP($B$5,标准坦克设计!$B$24:$U$30,MATCH("对"&amp;LEFT($C$5,2)&amp;"输出",标准坦克设计!$B$23:$U$23,0)))*(VLOOKUP($B86,INDIRECT($B$5&amp;"生成成长"),3))*(VLOOKUP($B$5,标准坦克设计!$B$14:$K$20,9)/30))</f>
        <v>43.719443111218403</v>
      </c>
      <c r="CM86" s="172">
        <f ca="1">(VLOOKUP(CM$72,INDIRECT($C$5&amp;"生成成长"),2))/((VLOOKUP($B86,INDIRECT($B$5&amp;"生成成长"),4))/(VLOOKUP(CM$72,INDIRECT($C$5&amp;"生成成长"),5))*(VLOOKUP($B$5,标准坦克设计!$B$24:$U$30,MATCH("对"&amp;LEFT($C$5,2)&amp;"输出",标准坦克设计!$B$23:$U$23,0)))*(VLOOKUP($B86,INDIRECT($B$5&amp;"生成成长"),3))*(VLOOKUP($B$5,标准坦克设计!$B$14:$K$20,9)/30))</f>
        <v>46.58554604150639</v>
      </c>
      <c r="CN86" s="172">
        <f ca="1">(VLOOKUP(CN$72,INDIRECT($C$5&amp;"生成成长"),2))/((VLOOKUP($B86,INDIRECT($B$5&amp;"生成成长"),4))/(VLOOKUP(CN$72,INDIRECT($C$5&amp;"生成成长"),5))*(VLOOKUP($B$5,标准坦克设计!$B$24:$U$30,MATCH("对"&amp;LEFT($C$5,2)&amp;"输出",标准坦克设计!$B$23:$U$23,0)))*(VLOOKUP($B86,INDIRECT($B$5&amp;"生成成长"),3))*(VLOOKUP($B$5,标准坦克设计!$B$14:$K$20,9)/30))</f>
        <v>49.54263636640669</v>
      </c>
      <c r="CO86" s="172">
        <f ca="1">(VLOOKUP(CO$72,INDIRECT($C$5&amp;"生成成长"),2))/((VLOOKUP($B86,INDIRECT($B$5&amp;"生成成长"),4))/(VLOOKUP(CO$72,INDIRECT($C$5&amp;"生成成长"),5))*(VLOOKUP($B$5,标准坦克设计!$B$24:$U$30,MATCH("对"&amp;LEFT($C$5,2)&amp;"输出",标准坦克设计!$B$23:$U$23,0)))*(VLOOKUP($B86,INDIRECT($B$5&amp;"生成成长"),3))*(VLOOKUP($B$5,标准坦克设计!$B$14:$K$20,9)/30))</f>
        <v>22.201300266374858</v>
      </c>
      <c r="CP86" s="172">
        <f ca="1">(VLOOKUP(CP$72,INDIRECT($C$5&amp;"生成成长"),2))/((VLOOKUP($B86,INDIRECT($B$5&amp;"生成成长"),4))/(VLOOKUP(CP$72,INDIRECT($C$5&amp;"生成成长"),5))*(VLOOKUP($B$5,标准坦克设计!$B$24:$U$30,MATCH("对"&amp;LEFT($C$5,2)&amp;"输出",标准坦克设计!$B$23:$U$23,0)))*(VLOOKUP($B86,INDIRECT($B$5&amp;"生成成长"),3))*(VLOOKUP($B$5,标准坦克设计!$B$14:$K$20,9)/30))</f>
        <v>24.256788226480385</v>
      </c>
      <c r="CQ86" s="172">
        <f ca="1">(VLOOKUP(CQ$72,INDIRECT($C$5&amp;"生成成长"),2))/((VLOOKUP($B86,INDIRECT($B$5&amp;"生成成长"),4))/(VLOOKUP(CQ$72,INDIRECT($C$5&amp;"生成成长"),5))*(VLOOKUP($B$5,标准坦克设计!$B$24:$U$30,MATCH("对"&amp;LEFT($C$5,2)&amp;"输出",标准坦克设计!$B$23:$U$23,0)))*(VLOOKUP($B86,INDIRECT($B$5&amp;"生成成长"),3))*(VLOOKUP($B$5,标准坦克设计!$B$14:$K$20,9)/30))</f>
        <v>26.403263581198235</v>
      </c>
      <c r="CR86" s="172">
        <f ca="1">(VLOOKUP(CR$72,INDIRECT($C$5&amp;"生成成长"),2))/((VLOOKUP($B86,INDIRECT($B$5&amp;"生成成长"),4))/(VLOOKUP(CR$72,INDIRECT($C$5&amp;"生成成长"),5))*(VLOOKUP($B$5,标准坦克设计!$B$24:$U$30,MATCH("对"&amp;LEFT($C$5,2)&amp;"输出",标准坦克设计!$B$23:$U$23,0)))*(VLOOKUP($B86,INDIRECT($B$5&amp;"生成成长"),3))*(VLOOKUP($B$5,标准坦克设计!$B$14:$K$20,9)/30))</f>
        <v>28.640726330528398</v>
      </c>
      <c r="CS86" s="172">
        <f ca="1">(VLOOKUP(CS$72,INDIRECT($C$5&amp;"生成成长"),2))/((VLOOKUP($B86,INDIRECT($B$5&amp;"生成成长"),4))/(VLOOKUP(CS$72,INDIRECT($C$5&amp;"生成成长"),5))*(VLOOKUP($B$5,标准坦克设计!$B$24:$U$30,MATCH("对"&amp;LEFT($C$5,2)&amp;"输出",标准坦克设计!$B$23:$U$23,0)))*(VLOOKUP($B86,INDIRECT($B$5&amp;"生成成长"),3))*(VLOOKUP($B$5,标准坦克设计!$B$14:$K$20,9)/30))</f>
        <v>30.969176474470878</v>
      </c>
      <c r="CT86" s="172">
        <f ca="1">(VLOOKUP(CT$72,INDIRECT($C$5&amp;"生成成长"),2))/((VLOOKUP($B86,INDIRECT($B$5&amp;"生成成长"),4))/(VLOOKUP(CT$72,INDIRECT($C$5&amp;"生成成长"),5))*(VLOOKUP($B$5,标准坦克设计!$B$24:$U$30,MATCH("对"&amp;LEFT($C$5,2)&amp;"输出",标准坦克设计!$B$23:$U$23,0)))*(VLOOKUP($B86,INDIRECT($B$5&amp;"生成成长"),3))*(VLOOKUP($B$5,标准坦克设计!$B$14:$K$20,9)/30))</f>
        <v>33.388614013025666</v>
      </c>
      <c r="CU86" s="172">
        <f ca="1">(VLOOKUP(CU$72,INDIRECT($C$5&amp;"生成成长"),2))/((VLOOKUP($B86,INDIRECT($B$5&amp;"生成成长"),4))/(VLOOKUP(CU$72,INDIRECT($C$5&amp;"生成成长"),5))*(VLOOKUP($B$5,标准坦克设计!$B$24:$U$30,MATCH("对"&amp;LEFT($C$5,2)&amp;"输出",标准坦克设计!$B$23:$U$23,0)))*(VLOOKUP($B86,INDIRECT($B$5&amp;"生成成长"),3))*(VLOOKUP($B$5,标准坦克设计!$B$14:$K$20,9)/30))</f>
        <v>35.899038946192796</v>
      </c>
      <c r="CV86" s="172">
        <f ca="1">(VLOOKUP(CV$72,INDIRECT($C$5&amp;"生成成长"),2))/((VLOOKUP($B86,INDIRECT($B$5&amp;"生成成长"),4))/(VLOOKUP(CV$72,INDIRECT($C$5&amp;"生成成长"),5))*(VLOOKUP($B$5,标准坦克设计!$B$24:$U$30,MATCH("对"&amp;LEFT($C$5,2)&amp;"输出",标准坦克设计!$B$23:$U$23,0)))*(VLOOKUP($B86,INDIRECT($B$5&amp;"生成成长"),3))*(VLOOKUP($B$5,标准坦克设计!$B$14:$K$20,9)/30))</f>
        <v>38.500451273972224</v>
      </c>
      <c r="CW86" s="172">
        <f ca="1">(VLOOKUP(CW$72,INDIRECT($C$5&amp;"生成成长"),2))/((VLOOKUP($B86,INDIRECT($B$5&amp;"生成成长"),4))/(VLOOKUP(CW$72,INDIRECT($C$5&amp;"生成成长"),5))*(VLOOKUP($B$5,标准坦克设计!$B$24:$U$30,MATCH("对"&amp;LEFT($C$5,2)&amp;"输出",标准坦克设计!$B$23:$U$23,0)))*(VLOOKUP($B86,INDIRECT($B$5&amp;"生成成长"),3))*(VLOOKUP($B$5,标准坦克设计!$B$14:$K$20,9)/30))</f>
        <v>41.192850996363973</v>
      </c>
      <c r="CX86" s="172">
        <f ca="1">(VLOOKUP(CX$72,INDIRECT($C$5&amp;"生成成长"),2))/((VLOOKUP($B86,INDIRECT($B$5&amp;"生成成长"),4))/(VLOOKUP(CX$72,INDIRECT($C$5&amp;"生成成长"),5))*(VLOOKUP($B$5,标准坦克设计!$B$24:$U$30,MATCH("对"&amp;LEFT($C$5,2)&amp;"输出",标准坦克设计!$B$23:$U$23,0)))*(VLOOKUP($B86,INDIRECT($B$5&amp;"生成成长"),3))*(VLOOKUP($B$5,标准坦克设计!$B$14:$K$20,9)/30))</f>
        <v>43.976238113368041</v>
      </c>
      <c r="CY86" s="172">
        <f ca="1">(VLOOKUP(CY$72,INDIRECT($C$5&amp;"生成成长"),2))/((VLOOKUP($B86,INDIRECT($B$5&amp;"生成成长"),4))/(VLOOKUP(CY$72,INDIRECT($C$5&amp;"生成成长"),5))*(VLOOKUP($B$5,标准坦克设计!$B$24:$U$30,MATCH("对"&amp;LEFT($C$5,2)&amp;"输出",标准坦克设计!$B$23:$U$23,0)))*(VLOOKUP($B86,INDIRECT($B$5&amp;"生成成长"),3))*(VLOOKUP($B$5,标准坦克设计!$B$14:$K$20,9)/30))</f>
        <v>46.850612624984421</v>
      </c>
      <c r="CZ86" s="172">
        <f ca="1">(VLOOKUP(CZ$72,INDIRECT($C$5&amp;"生成成长"),2))/((VLOOKUP($B86,INDIRECT($B$5&amp;"生成成长"),4))/(VLOOKUP(CZ$72,INDIRECT($C$5&amp;"生成成长"),5))*(VLOOKUP($B$5,标准坦克设计!$B$24:$U$30,MATCH("对"&amp;LEFT($C$5,2)&amp;"输出",标准坦克设计!$B$23:$U$23,0)))*(VLOOKUP($B86,INDIRECT($B$5&amp;"生成成长"),3))*(VLOOKUP($B$5,标准坦克设计!$B$14:$K$20,9)/30))</f>
        <v>49.815974531213122</v>
      </c>
      <c r="DA86" s="172">
        <f ca="1">(VLOOKUP(DA$72,INDIRECT($C$5&amp;"生成成长"),2))/((VLOOKUP($B86,INDIRECT($B$5&amp;"生成成长"),4))/(VLOOKUP(DA$72,INDIRECT($C$5&amp;"生成成长"),5))*(VLOOKUP($B$5,标准坦克设计!$B$24:$U$30,MATCH("对"&amp;LEFT($C$5,2)&amp;"输出",标准坦克设计!$B$23:$U$23,0)))*(VLOOKUP($B86,INDIRECT($B$5&amp;"生成成长"),3))*(VLOOKUP($B$5,标准坦克设计!$B$14:$K$20,9)/30))</f>
        <v>52.872323832054143</v>
      </c>
      <c r="DB86" s="172">
        <f ca="1">(VLOOKUP(DB$72,INDIRECT($C$5&amp;"生成成长"),2))/((VLOOKUP($B86,INDIRECT($B$5&amp;"生成成长"),4))/(VLOOKUP(DB$72,INDIRECT($C$5&amp;"生成成长"),5))*(VLOOKUP($B$5,标准坦克设计!$B$24:$U$30,MATCH("对"&amp;LEFT($C$5,2)&amp;"输出",标准坦克设计!$B$23:$U$23,0)))*(VLOOKUP($B86,INDIRECT($B$5&amp;"生成成长"),3))*(VLOOKUP($B$5,标准坦克设计!$B$14:$K$20,9)/30))</f>
        <v>56.019660527507469</v>
      </c>
      <c r="DC86" s="172">
        <f ca="1">(VLOOKUP(DC$72,INDIRECT($C$5&amp;"生成成长"),2))/((VLOOKUP($B86,INDIRECT($B$5&amp;"生成成长"),4))/(VLOOKUP(DC$72,INDIRECT($C$5&amp;"生成成长"),5))*(VLOOKUP($B$5,标准坦克设计!$B$24:$U$30,MATCH("对"&amp;LEFT($C$5,2)&amp;"输出",标准坦克设计!$B$23:$U$23,0)))*(VLOOKUP($B86,INDIRECT($B$5&amp;"生成成长"),3))*(VLOOKUP($B$5,标准坦克设计!$B$14:$K$20,9)/30))</f>
        <v>59.556889488303675</v>
      </c>
      <c r="DD86" s="172">
        <f ca="1">(VLOOKUP(DD$72,INDIRECT($C$5&amp;"生成成长"),2))/((VLOOKUP($B86,INDIRECT($B$5&amp;"生成成长"),4))/(VLOOKUP(DD$72,INDIRECT($C$5&amp;"生成成长"),5))*(VLOOKUP($B$5,标准坦克设计!$B$24:$U$30,MATCH("对"&amp;LEFT($C$5,2)&amp;"输出",标准坦克设计!$B$23:$U$23,0)))*(VLOOKUP($B86,INDIRECT($B$5&amp;"生成成长"),3))*(VLOOKUP($B$5,标准坦克设计!$B$14:$K$20,9)/30))</f>
        <v>63.20240096830792</v>
      </c>
      <c r="DE86" s="172">
        <f ca="1">(VLOOKUP(DE$72,INDIRECT($C$5&amp;"生成成长"),2))/((VLOOKUP($B86,INDIRECT($B$5&amp;"生成成长"),4))/(VLOOKUP(DE$72,INDIRECT($C$5&amp;"生成成长"),5))*(VLOOKUP($B$5,标准坦克设计!$B$24:$U$30,MATCH("对"&amp;LEFT($C$5,2)&amp;"输出",标准坦克设计!$B$23:$U$23,0)))*(VLOOKUP($B86,INDIRECT($B$5&amp;"生成成长"),3))*(VLOOKUP($B$5,标准坦克设计!$B$14:$K$20,9)/30))</f>
        <v>66.956194967520204</v>
      </c>
      <c r="DF86" s="172">
        <f ca="1">(VLOOKUP(DF$72,INDIRECT($C$5&amp;"生成成长"),2))/((VLOOKUP($B86,INDIRECT($B$5&amp;"生成成长"),4))/(VLOOKUP(DF$72,INDIRECT($C$5&amp;"生成成长"),5))*(VLOOKUP($B$5,标准坦克设计!$B$24:$U$30,MATCH("对"&amp;LEFT($C$5,2)&amp;"输出",标准坦克设计!$B$23:$U$23,0)))*(VLOOKUP($B86,INDIRECT($B$5&amp;"生成成长"),3))*(VLOOKUP($B$5,标准坦克设计!$B$14:$K$20,9)/30))</f>
        <v>70.818271485940542</v>
      </c>
      <c r="DG86" s="172">
        <f ca="1">(VLOOKUP(DG$72,INDIRECT($C$5&amp;"生成成长"),2))/((VLOOKUP($B86,INDIRECT($B$5&amp;"生成成长"),4))/(VLOOKUP(DG$72,INDIRECT($C$5&amp;"生成成长"),5))*(VLOOKUP($B$5,标准坦克设计!$B$24:$U$30,MATCH("对"&amp;LEFT($C$5,2)&amp;"输出",标准坦克设计!$B$23:$U$23,0)))*(VLOOKUP($B86,INDIRECT($B$5&amp;"生成成长"),3))*(VLOOKUP($B$5,标准坦克设计!$B$14:$K$20,9)/30))</f>
        <v>74.788630523568926</v>
      </c>
      <c r="DH86" s="172">
        <f ca="1">(VLOOKUP(DH$72,INDIRECT($C$5&amp;"生成成长"),2))/((VLOOKUP($B86,INDIRECT($B$5&amp;"生成成长"),4))/(VLOOKUP(DH$72,INDIRECT($C$5&amp;"生成成长"),5))*(VLOOKUP($B$5,标准坦克设计!$B$24:$U$30,MATCH("对"&amp;LEFT($C$5,2)&amp;"输出",标准坦克设计!$B$23:$U$23,0)))*(VLOOKUP($B86,INDIRECT($B$5&amp;"生成成长"),3))*(VLOOKUP($B$5,标准坦克设计!$B$14:$K$20,9)/30))</f>
        <v>78.867272080405371</v>
      </c>
      <c r="DI86" s="172">
        <f ca="1">(VLOOKUP(DI$72,INDIRECT($C$5&amp;"生成成长"),2))/((VLOOKUP($B86,INDIRECT($B$5&amp;"生成成长"),4))/(VLOOKUP(DI$72,INDIRECT($C$5&amp;"生成成长"),5))*(VLOOKUP($B$5,标准坦克设计!$B$24:$U$30,MATCH("对"&amp;LEFT($C$5,2)&amp;"输出",标准坦克设计!$B$23:$U$23,0)))*(VLOOKUP($B86,INDIRECT($B$5&amp;"生成成长"),3))*(VLOOKUP($B$5,标准坦克设计!$B$14:$K$20,9)/30))</f>
        <v>83.054196156449834</v>
      </c>
      <c r="DJ86" s="172">
        <f ca="1">(VLOOKUP(DJ$72,INDIRECT($C$5&amp;"生成成长"),2))/((VLOOKUP($B86,INDIRECT($B$5&amp;"生成成长"),4))/(VLOOKUP(DJ$72,INDIRECT($C$5&amp;"生成成长"),5))*(VLOOKUP($B$5,标准坦克设计!$B$24:$U$30,MATCH("对"&amp;LEFT($C$5,2)&amp;"输出",标准坦克设计!$B$23:$U$23,0)))*(VLOOKUP($B86,INDIRECT($B$5&amp;"生成成长"),3))*(VLOOKUP($B$5,标准坦克设计!$B$14:$K$20,9)/30))</f>
        <v>8.3471535032564166</v>
      </c>
      <c r="DK86" s="172">
        <f ca="1">(VLOOKUP(DK$72,INDIRECT($C$5&amp;"生成成长"),2))/((VLOOKUP($B86,INDIRECT($B$5&amp;"生成成长"),4))/(VLOOKUP(DK$72,INDIRECT($C$5&amp;"生成成长"),5))*(VLOOKUP($B$5,标准坦克设计!$B$24:$U$30,MATCH("对"&amp;LEFT($C$5,2)&amp;"输出",标准坦克设计!$B$23:$U$23,0)))*(VLOOKUP($B86,INDIRECT($B$5&amp;"生成成长"),3))*(VLOOKUP($B$5,标准坦克设计!$B$14:$K$20,9)/30))</f>
        <v>9.3859889219086181</v>
      </c>
      <c r="DL86" s="172">
        <f ca="1">(VLOOKUP(DL$72,INDIRECT($C$5&amp;"生成成长"),2))/((VLOOKUP($B86,INDIRECT($B$5&amp;"生成成长"),4))/(VLOOKUP(DL$72,INDIRECT($C$5&amp;"生成成长"),5))*(VLOOKUP($B$5,标准坦克设计!$B$24:$U$30,MATCH("对"&amp;LEFT($C$5,2)&amp;"输出",标准坦克设计!$B$23:$U$23,0)))*(VLOOKUP($B86,INDIRECT($B$5&amp;"生成成长"),3))*(VLOOKUP($B$5,标准坦克设计!$B$14:$K$20,9)/30))</f>
        <v>10.485733257615344</v>
      </c>
      <c r="DM86" s="172">
        <f ca="1">(VLOOKUP(DM$72,INDIRECT($C$5&amp;"生成成长"),2))/((VLOOKUP($B86,INDIRECT($B$5&amp;"生成成长"),4))/(VLOOKUP(DM$72,INDIRECT($C$5&amp;"生成成长"),5))*(VLOOKUP($B$5,标准坦克设计!$B$24:$U$30,MATCH("对"&amp;LEFT($C$5,2)&amp;"输出",标准坦克设计!$B$23:$U$23,0)))*(VLOOKUP($B86,INDIRECT($B$5&amp;"生成成长"),3))*(VLOOKUP($B$5,标准坦克设计!$B$14:$K$20,9)/30))</f>
        <v>11.646386510376598</v>
      </c>
      <c r="DN86" s="172">
        <f ca="1">(VLOOKUP(DN$72,INDIRECT($C$5&amp;"生成成长"),2))/((VLOOKUP($B86,INDIRECT($B$5&amp;"生成成长"),4))/(VLOOKUP(DN$72,INDIRECT($C$5&amp;"生成成长"),5))*(VLOOKUP($B$5,标准坦克设计!$B$24:$U$30,MATCH("对"&amp;LEFT($C$5,2)&amp;"输出",标准坦克设计!$B$23:$U$23,0)))*(VLOOKUP($B86,INDIRECT($B$5&amp;"生成成长"),3))*(VLOOKUP($B$5,标准坦克设计!$B$14:$K$20,9)/30))</f>
        <v>12.867948680192374</v>
      </c>
      <c r="DO86" s="172">
        <f ca="1">(VLOOKUP(DO$72,INDIRECT($C$5&amp;"生成成长"),2))/((VLOOKUP($B86,INDIRECT($B$5&amp;"生成成长"),4))/(VLOOKUP(DO$72,INDIRECT($C$5&amp;"生成成长"),5))*(VLOOKUP($B$5,标准坦克设计!$B$24:$U$30,MATCH("对"&amp;LEFT($C$5,2)&amp;"输出",标准坦克设计!$B$23:$U$23,0)))*(VLOOKUP($B86,INDIRECT($B$5&amp;"生成成长"),3))*(VLOOKUP($B$5,标准坦克设计!$B$14:$K$20,9)/30))</f>
        <v>14.150419767062679</v>
      </c>
      <c r="DP86" s="172">
        <f ca="1">(VLOOKUP(DP$72,INDIRECT($C$5&amp;"生成成长"),2))/((VLOOKUP($B86,INDIRECT($B$5&amp;"生成成长"),4))/(VLOOKUP(DP$72,INDIRECT($C$5&amp;"生成成长"),5))*(VLOOKUP($B$5,标准坦克设计!$B$24:$U$30,MATCH("对"&amp;LEFT($C$5,2)&amp;"输出",标准坦克设计!$B$23:$U$23,0)))*(VLOOKUP($B86,INDIRECT($B$5&amp;"生成成长"),3))*(VLOOKUP($B$5,标准坦克设计!$B$14:$K$20,9)/30))</f>
        <v>15.493799770987511</v>
      </c>
      <c r="DQ86" s="172">
        <f ca="1">(VLOOKUP(DQ$72,INDIRECT($C$5&amp;"生成成长"),2))/((VLOOKUP($B86,INDIRECT($B$5&amp;"生成成长"),4))/(VLOOKUP(DQ$72,INDIRECT($C$5&amp;"生成成长"),5))*(VLOOKUP($B$5,标准坦克设计!$B$24:$U$30,MATCH("对"&amp;LEFT($C$5,2)&amp;"输出",标准坦克设计!$B$23:$U$23,0)))*(VLOOKUP($B86,INDIRECT($B$5&amp;"生成成长"),3))*(VLOOKUP($B$5,标准坦克设计!$B$14:$K$20,9)/30))</f>
        <v>16.898088691966873</v>
      </c>
      <c r="DR86" s="172">
        <f ca="1">(VLOOKUP(DR$72,INDIRECT($C$5&amp;"生成成长"),2))/((VLOOKUP($B86,INDIRECT($B$5&amp;"生成成长"),4))/(VLOOKUP(DR$72,INDIRECT($C$5&amp;"生成成长"),5))*(VLOOKUP($B$5,标准坦克设计!$B$24:$U$30,MATCH("对"&amp;LEFT($C$5,2)&amp;"输出",标准坦克设计!$B$23:$U$23,0)))*(VLOOKUP($B86,INDIRECT($B$5&amp;"生成成长"),3))*(VLOOKUP($B$5,标准坦克设计!$B$14:$K$20,9)/30))</f>
        <v>18.363286530000757</v>
      </c>
      <c r="DS86" s="172">
        <f ca="1">(VLOOKUP(DS$72,INDIRECT($C$5&amp;"生成成长"),2))/((VLOOKUP($B86,INDIRECT($B$5&amp;"生成成长"),4))/(VLOOKUP(DS$72,INDIRECT($C$5&amp;"生成成长"),5))*(VLOOKUP($B$5,标准坦克设计!$B$24:$U$30,MATCH("对"&amp;LEFT($C$5,2)&amp;"输出",标准坦克设计!$B$23:$U$23,0)))*(VLOOKUP($B86,INDIRECT($B$5&amp;"生成成长"),3))*(VLOOKUP($B$5,标准坦克设计!$B$14:$K$20,9)/30))</f>
        <v>19.889393285089167</v>
      </c>
      <c r="DT86" s="172">
        <f ca="1">(VLOOKUP(DT$72,INDIRECT($C$5&amp;"生成成长"),2))/((VLOOKUP($B86,INDIRECT($B$5&amp;"生成成长"),4))/(VLOOKUP(DT$72,INDIRECT($C$5&amp;"生成成长"),5))*(VLOOKUP($B$5,标准坦克设计!$B$24:$U$30,MATCH("对"&amp;LEFT($C$5,2)&amp;"输出",标准坦克设计!$B$23:$U$23,0)))*(VLOOKUP($B86,INDIRECT($B$5&amp;"生成成长"),3))*(VLOOKUP($B$5,标准坦克设计!$B$14:$K$20,9)/30))</f>
        <v>21.837350687925593</v>
      </c>
      <c r="DU86" s="172">
        <f ca="1">(VLOOKUP(DU$72,INDIRECT($C$5&amp;"生成成长"),2))/((VLOOKUP($B86,INDIRECT($B$5&amp;"生成成长"),4))/(VLOOKUP(DU$72,INDIRECT($C$5&amp;"生成成长"),5))*(VLOOKUP($B$5,标准坦克设计!$B$24:$U$30,MATCH("对"&amp;LEFT($C$5,2)&amp;"输出",标准坦克设计!$B$23:$U$23,0)))*(VLOOKUP($B86,INDIRECT($B$5&amp;"生成成长"),3))*(VLOOKUP($B$5,标准坦克设计!$B$14:$K$20,9)/30))</f>
        <v>23.876295485374335</v>
      </c>
      <c r="DV86" s="172">
        <f ca="1">(VLOOKUP(DV$72,INDIRECT($C$5&amp;"生成成长"),2))/((VLOOKUP($B86,INDIRECT($B$5&amp;"生成成长"),4))/(VLOOKUP(DV$72,INDIRECT($C$5&amp;"生成成长"),5))*(VLOOKUP($B$5,标准坦克设计!$B$24:$U$30,MATCH("对"&amp;LEFT($C$5,2)&amp;"输出",标准坦克设计!$B$23:$U$23,0)))*(VLOOKUP($B86,INDIRECT($B$5&amp;"生成成长"),3))*(VLOOKUP($B$5,标准坦克设计!$B$14:$K$20,9)/30))</f>
        <v>26.006227677435401</v>
      </c>
      <c r="DW86" s="172">
        <f ca="1">(VLOOKUP(DW$72,INDIRECT($C$5&amp;"生成成长"),2))/((VLOOKUP($B86,INDIRECT($B$5&amp;"生成成长"),4))/(VLOOKUP(DW$72,INDIRECT($C$5&amp;"生成成长"),5))*(VLOOKUP($B$5,标准坦克设计!$B$24:$U$30,MATCH("对"&amp;LEFT($C$5,2)&amp;"输出",标准坦克设计!$B$23:$U$23,0)))*(VLOOKUP($B86,INDIRECT($B$5&amp;"生成成长"),3))*(VLOOKUP($B$5,标准坦克设计!$B$14:$K$20,9)/30))</f>
        <v>28.22714726410878</v>
      </c>
      <c r="DX86" s="172">
        <f ca="1">(VLOOKUP(DX$72,INDIRECT($C$5&amp;"生成成长"),2))/((VLOOKUP($B86,INDIRECT($B$5&amp;"生成成长"),4))/(VLOOKUP(DX$72,INDIRECT($C$5&amp;"生成成长"),5))*(VLOOKUP($B$5,标准坦克设计!$B$24:$U$30,MATCH("对"&amp;LEFT($C$5,2)&amp;"输出",标准坦克设计!$B$23:$U$23,0)))*(VLOOKUP($B86,INDIRECT($B$5&amp;"生成成长"),3))*(VLOOKUP($B$5,标准坦克设计!$B$14:$K$20,9)/30))</f>
        <v>30.539054245394471</v>
      </c>
      <c r="DY86" s="172">
        <f ca="1">(VLOOKUP(DY$72,INDIRECT($C$5&amp;"生成成长"),2))/((VLOOKUP($B86,INDIRECT($B$5&amp;"生成成长"),4))/(VLOOKUP(DY$72,INDIRECT($C$5&amp;"生成成长"),5))*(VLOOKUP($B$5,标准坦克设计!$B$24:$U$30,MATCH("对"&amp;LEFT($C$5,2)&amp;"输出",标准坦克设计!$B$23:$U$23,0)))*(VLOOKUP($B86,INDIRECT($B$5&amp;"生成成长"),3))*(VLOOKUP($B$5,标准坦克设计!$B$14:$K$20,9)/30))</f>
        <v>13.716161747322078</v>
      </c>
      <c r="DZ86" s="172">
        <f ca="1">(VLOOKUP(DZ$72,INDIRECT($C$5&amp;"生成成长"),2))/((VLOOKUP($B86,INDIRECT($B$5&amp;"生成成长"),4))/(VLOOKUP(DZ$72,INDIRECT($C$5&amp;"生成成长"),5))*(VLOOKUP($B$5,标准坦克设计!$B$24:$U$30,MATCH("对"&amp;LEFT($C$5,2)&amp;"输出",标准坦克设计!$B$23:$U$23,0)))*(VLOOKUP($B86,INDIRECT($B$5&amp;"生成成长"),3))*(VLOOKUP($B$5,标准坦克设计!$B$14:$K$20,9)/30))</f>
        <v>15.190007147653825</v>
      </c>
      <c r="EA86" s="172">
        <f ca="1">(VLOOKUP(EA$72,INDIRECT($C$5&amp;"生成成长"),2))/((VLOOKUP($B86,INDIRECT($B$5&amp;"生成成长"),4))/(VLOOKUP(EA$72,INDIRECT($C$5&amp;"生成成长"),5))*(VLOOKUP($B$5,标准坦克设计!$B$24:$U$30,MATCH("对"&amp;LEFT($C$5,2)&amp;"输出",标准坦克设计!$B$23:$U$23,0)))*(VLOOKUP($B86,INDIRECT($B$5&amp;"生成成长"),3))*(VLOOKUP($B$5,标准坦克设计!$B$14:$K$20,9)/30))</f>
        <v>16.739048741880051</v>
      </c>
      <c r="EB86" s="172">
        <f ca="1">(VLOOKUP(EB$72,INDIRECT($C$5&amp;"生成成长"),2))/((VLOOKUP($B86,INDIRECT($B$5&amp;"生成成长"),4))/(VLOOKUP(EB$72,INDIRECT($C$5&amp;"生成成长"),5))*(VLOOKUP($B$5,标准坦克设计!$B$24:$U$30,MATCH("对"&amp;LEFT($C$5,2)&amp;"输出",标准坦克设计!$B$23:$U$23,0)))*(VLOOKUP($B86,INDIRECT($B$5&amp;"生成成长"),3))*(VLOOKUP($B$5,标准坦克设计!$B$14:$K$20,9)/30))</f>
        <v>18.363286530000757</v>
      </c>
      <c r="EC86" s="172">
        <f ca="1">(VLOOKUP(EC$72,INDIRECT($C$5&amp;"生成成长"),2))/((VLOOKUP($B86,INDIRECT($B$5&amp;"生成成长"),4))/(VLOOKUP(EC$72,INDIRECT($C$5&amp;"生成成长"),5))*(VLOOKUP($B$5,标准坦克设计!$B$24:$U$30,MATCH("对"&amp;LEFT($C$5,2)&amp;"输出",标准坦克设计!$B$23:$U$23,0)))*(VLOOKUP($B86,INDIRECT($B$5&amp;"生成成长"),3))*(VLOOKUP($B$5,标准坦克设计!$B$14:$K$20,9)/30))</f>
        <v>20.062720512015936</v>
      </c>
      <c r="ED86" s="172">
        <f ca="1">(VLOOKUP(ED$72,INDIRECT($C$5&amp;"生成成长"),2))/((VLOOKUP($B86,INDIRECT($B$5&amp;"生成成长"),4))/(VLOOKUP(ED$72,INDIRECT($C$5&amp;"生成成长"),5))*(VLOOKUP($B$5,标准坦克设计!$B$24:$U$30,MATCH("对"&amp;LEFT($C$5,2)&amp;"输出",标准坦克设计!$B$23:$U$23,0)))*(VLOOKUP($B86,INDIRECT($B$5&amp;"生成成长"),3))*(VLOOKUP($B$5,标准坦克设计!$B$14:$K$20,9)/30))</f>
        <v>21.837350687925593</v>
      </c>
      <c r="EE86" s="172">
        <f ca="1">(VLOOKUP(EE$72,INDIRECT($C$5&amp;"生成成长"),2))/((VLOOKUP($B86,INDIRECT($B$5&amp;"生成成长"),4))/(VLOOKUP(EE$72,INDIRECT($C$5&amp;"生成成长"),5))*(VLOOKUP($B$5,标准坦克设计!$B$24:$U$30,MATCH("对"&amp;LEFT($C$5,2)&amp;"输出",标准坦克设计!$B$23:$U$23,0)))*(VLOOKUP($B86,INDIRECT($B$5&amp;"生成成长"),3))*(VLOOKUP($B$5,标准坦克设计!$B$14:$K$20,9)/30))</f>
        <v>23.687177057729727</v>
      </c>
      <c r="EF86" s="172">
        <f ca="1">(VLOOKUP(EF$72,INDIRECT($C$5&amp;"生成成长"),2))/((VLOOKUP($B86,INDIRECT($B$5&amp;"生成成长"),4))/(VLOOKUP(EF$72,INDIRECT($C$5&amp;"生成成长"),5))*(VLOOKUP($B$5,标准坦克设计!$B$24:$U$30,MATCH("对"&amp;LEFT($C$5,2)&amp;"输出",标准坦克设计!$B$23:$U$23,0)))*(VLOOKUP($B86,INDIRECT($B$5&amp;"生成成长"),3))*(VLOOKUP($B$5,标准坦克设计!$B$14:$K$20,9)/30))</f>
        <v>25.612199621428335</v>
      </c>
      <c r="EG86" s="172">
        <f ca="1">(VLOOKUP(EG$72,INDIRECT($C$5&amp;"生成成长"),2))/((VLOOKUP($B86,INDIRECT($B$5&amp;"生成成长"),4))/(VLOOKUP(EG$72,INDIRECT($C$5&amp;"生成成长"),5))*(VLOOKUP($B$5,标准坦克设计!$B$24:$U$30,MATCH("对"&amp;LEFT($C$5,2)&amp;"输出",标准坦克设计!$B$23:$U$23,0)))*(VLOOKUP($B86,INDIRECT($B$5&amp;"生成成长"),3))*(VLOOKUP($B$5,标准坦克设计!$B$14:$K$20,9)/30))</f>
        <v>27.612418379021431</v>
      </c>
      <c r="EH86" s="172">
        <f ca="1">(VLOOKUP(EH$72,INDIRECT($C$5&amp;"生成成长"),2))/((VLOOKUP($B86,INDIRECT($B$5&amp;"生成成长"),4))/(VLOOKUP(EH$72,INDIRECT($C$5&amp;"生成成长"),5))*(VLOOKUP($B$5,标准坦克设计!$B$24:$U$30,MATCH("对"&amp;LEFT($C$5,2)&amp;"输出",标准坦克设计!$B$23:$U$23,0)))*(VLOOKUP($B86,INDIRECT($B$5&amp;"生成成长"),3))*(VLOOKUP($B$5,标准坦克设计!$B$14:$K$20,9)/30))</f>
        <v>29.68783333050899</v>
      </c>
      <c r="EI86" s="172">
        <f ca="1">(VLOOKUP(EI$72,INDIRECT($C$5&amp;"生成成长"),2))/((VLOOKUP($B86,INDIRECT($B$5&amp;"生成成长"),4))/(VLOOKUP(EI$72,INDIRECT($C$5&amp;"生成成长"),5))*(VLOOKUP($B$5,标准坦克设计!$B$24:$U$30,MATCH("对"&amp;LEFT($C$5,2)&amp;"输出",标准坦克设计!$B$23:$U$23,0)))*(VLOOKUP($B86,INDIRECT($B$5&amp;"生成成长"),3))*(VLOOKUP($B$5,标准坦克设计!$B$14:$K$20,9)/30))</f>
        <v>31.838444475891027</v>
      </c>
      <c r="EJ86" s="172">
        <f ca="1">(VLOOKUP(EJ$72,INDIRECT($C$5&amp;"生成成长"),2))/((VLOOKUP($B86,INDIRECT($B$5&amp;"生成成长"),4))/(VLOOKUP(EJ$72,INDIRECT($C$5&amp;"生成成长"),5))*(VLOOKUP($B$5,标准坦克设计!$B$24:$U$30,MATCH("对"&amp;LEFT($C$5,2)&amp;"输出",标准坦克设计!$B$23:$U$23,0)))*(VLOOKUP($B86,INDIRECT($B$5&amp;"生成成长"),3))*(VLOOKUP($B$5,标准坦克设计!$B$14:$K$20,9)/30))</f>
        <v>34.064251815167552</v>
      </c>
      <c r="EK86" s="172">
        <f ca="1">(VLOOKUP(EK$72,INDIRECT($C$5&amp;"生成成长"),2))/((VLOOKUP($B86,INDIRECT($B$5&amp;"生成成长"),4))/(VLOOKUP(EK$72,INDIRECT($C$5&amp;"生成成长"),5))*(VLOOKUP($B$5,标准坦克设计!$B$24:$U$30,MATCH("对"&amp;LEFT($C$5,2)&amp;"输出",标准坦克设计!$B$23:$U$23,0)))*(VLOOKUP($B86,INDIRECT($B$5&amp;"生成成长"),3))*(VLOOKUP($B$5,标准坦克设计!$B$14:$K$20,9)/30))</f>
        <v>36.83447959824008</v>
      </c>
      <c r="EL86" s="172">
        <f ca="1">(VLOOKUP(EL$72,INDIRECT($C$5&amp;"生成成长"),2))/((VLOOKUP($B86,INDIRECT($B$5&amp;"生成成长"),4))/(VLOOKUP(EL$72,INDIRECT($C$5&amp;"生成成长"),5))*(VLOOKUP($B$5,标准坦克设计!$B$24:$U$30,MATCH("对"&amp;LEFT($C$5,2)&amp;"输出",标准坦克设计!$B$23:$U$23,0)))*(VLOOKUP($B86,INDIRECT($B$5&amp;"生成成长"),3))*(VLOOKUP($B$5,标准坦克设计!$B$14:$K$20,9)/30))</f>
        <v>39.712989900520668</v>
      </c>
      <c r="EM86" s="172">
        <f ca="1">(VLOOKUP(EM$72,INDIRECT($C$5&amp;"生成成长"),2))/((VLOOKUP($B86,INDIRECT($B$5&amp;"生成成长"),4))/(VLOOKUP(EM$72,INDIRECT($C$5&amp;"生成成长"),5))*(VLOOKUP($B$5,标准坦克设计!$B$24:$U$30,MATCH("对"&amp;LEFT($C$5,2)&amp;"输出",标准坦克设计!$B$23:$U$23,0)))*(VLOOKUP($B86,INDIRECT($B$5&amp;"生成成长"),3))*(VLOOKUP($B$5,标准坦克设计!$B$14:$K$20,9)/30))</f>
        <v>42.699782722009289</v>
      </c>
      <c r="EN86" s="172">
        <f ca="1">(VLOOKUP(EN$72,INDIRECT($C$5&amp;"生成成长"),2))/((VLOOKUP($B86,INDIRECT($B$5&amp;"生成成长"),4))/(VLOOKUP(EN$72,INDIRECT($C$5&amp;"生成成长"),5))*(VLOOKUP($B$5,标准坦克设计!$B$24:$U$30,MATCH("对"&amp;LEFT($C$5,2)&amp;"输出",标准坦克设计!$B$23:$U$23,0)))*(VLOOKUP($B86,INDIRECT($B$5&amp;"生成成长"),3))*(VLOOKUP($B$5,标准坦克设计!$B$14:$K$20,9)/30))</f>
        <v>45.794858062705956</v>
      </c>
      <c r="EO86" s="172">
        <f ca="1">(VLOOKUP(EO$72,INDIRECT($C$5&amp;"生成成长"),2))/((VLOOKUP($B86,INDIRECT($B$5&amp;"生成成长"),4))/(VLOOKUP(EO$72,INDIRECT($C$5&amp;"生成成长"),5))*(VLOOKUP($B$5,标准坦克设计!$B$24:$U$30,MATCH("对"&amp;LEFT($C$5,2)&amp;"输出",标准坦克设计!$B$23:$U$23,0)))*(VLOOKUP($B86,INDIRECT($B$5&amp;"生成成长"),3))*(VLOOKUP($B$5,标准坦克设计!$B$14:$K$20,9)/30))</f>
        <v>48.998215922610683</v>
      </c>
      <c r="EP86" s="172">
        <f ca="1">(VLOOKUP(EP$72,INDIRECT($C$5&amp;"生成成长"),2))/((VLOOKUP($B86,INDIRECT($B$5&amp;"生成成长"),4))/(VLOOKUP(EP$72,INDIRECT($C$5&amp;"生成成长"),5))*(VLOOKUP($B$5,标准坦克设计!$B$24:$U$30,MATCH("对"&amp;LEFT($C$5,2)&amp;"输出",标准坦克设计!$B$23:$U$23,0)))*(VLOOKUP($B86,INDIRECT($B$5&amp;"生成成长"),3))*(VLOOKUP($B$5,标准坦克设计!$B$14:$K$20,9)/30))</f>
        <v>52.309856301723443</v>
      </c>
      <c r="EQ86" s="172">
        <f ca="1">(VLOOKUP(EQ$72,INDIRECT($C$5&amp;"生成成长"),2))/((VLOOKUP($B86,INDIRECT($B$5&amp;"生成成长"),4))/(VLOOKUP(EQ$72,INDIRECT($C$5&amp;"生成成长"),5))*(VLOOKUP($B$5,标准坦克设计!$B$24:$U$30,MATCH("对"&amp;LEFT($C$5,2)&amp;"输出",标准坦克设计!$B$23:$U$23,0)))*(VLOOKUP($B86,INDIRECT($B$5&amp;"生成成长"),3))*(VLOOKUP($B$5,标准坦克设计!$B$14:$K$20,9)/30))</f>
        <v>23.124333546429565</v>
      </c>
      <c r="ER86" s="172">
        <f ca="1">(VLOOKUP(ER$72,INDIRECT($C$5&amp;"生成成长"),2))/((VLOOKUP($B86,INDIRECT($B$5&amp;"生成成长"),4))/(VLOOKUP(ER$72,INDIRECT($C$5&amp;"生成成长"),5))*(VLOOKUP($B$5,标准坦克设计!$B$24:$U$30,MATCH("对"&amp;LEFT($C$5,2)&amp;"输出",标准坦克设计!$B$23:$U$23,0)))*(VLOOKUP($B86,INDIRECT($B$5&amp;"生成成长"),3))*(VLOOKUP($B$5,标准坦克设计!$B$14:$K$20,9)/30))</f>
        <v>25.221179413177058</v>
      </c>
      <c r="ES86" s="172">
        <f ca="1">(VLOOKUP(ES$72,INDIRECT($C$5&amp;"生成成长"),2))/((VLOOKUP($B86,INDIRECT($B$5&amp;"生成成长"),4))/(VLOOKUP(ES$72,INDIRECT($C$5&amp;"生成成长"),5))*(VLOOKUP($B$5,标准坦克设计!$B$24:$U$30,MATCH("对"&amp;LEFT($C$5,2)&amp;"输出",标准坦克设计!$B$23:$U$23,0)))*(VLOOKUP($B86,INDIRECT($B$5&amp;"生成成长"),3))*(VLOOKUP($B$5,标准坦克设计!$B$14:$K$20,9)/30))</f>
        <v>27.409012674536861</v>
      </c>
      <c r="ET86" s="172">
        <f ca="1">(VLOOKUP(ET$72,INDIRECT($C$5&amp;"生成成长"),2))/((VLOOKUP($B86,INDIRECT($B$5&amp;"生成成长"),4))/(VLOOKUP(ET$72,INDIRECT($C$5&amp;"生成成长"),5))*(VLOOKUP($B$5,标准坦克设计!$B$24:$U$30,MATCH("对"&amp;LEFT($C$5,2)&amp;"输出",标准坦克设计!$B$23:$U$23,0)))*(VLOOKUP($B86,INDIRECT($B$5&amp;"生成成长"),3))*(VLOOKUP($B$5,标准坦克设计!$B$14:$K$20,9)/30))</f>
        <v>29.68783333050899</v>
      </c>
      <c r="EU86" s="172">
        <f ca="1">(VLOOKUP(EU$72,INDIRECT($C$5&amp;"生成成长"),2))/((VLOOKUP($B86,INDIRECT($B$5&amp;"生成成长"),4))/(VLOOKUP(EU$72,INDIRECT($C$5&amp;"生成成长"),5))*(VLOOKUP($B$5,标准坦克设计!$B$24:$U$30,MATCH("对"&amp;LEFT($C$5,2)&amp;"输出",标准坦克设计!$B$23:$U$23,0)))*(VLOOKUP($B86,INDIRECT($B$5&amp;"生成成长"),3))*(VLOOKUP($B$5,标准坦克设计!$B$14:$K$20,9)/30))</f>
        <v>32.057641381093426</v>
      </c>
      <c r="EV86" s="172">
        <f ca="1">(VLOOKUP(EV$72,INDIRECT($C$5&amp;"生成成长"),2))/((VLOOKUP($B86,INDIRECT($B$5&amp;"生成成长"),4))/(VLOOKUP(EV$72,INDIRECT($C$5&amp;"生成成长"),5))*(VLOOKUP($B$5,标准坦克设计!$B$24:$U$30,MATCH("对"&amp;LEFT($C$5,2)&amp;"输出",标准坦克设计!$B$23:$U$23,0)))*(VLOOKUP($B86,INDIRECT($B$5&amp;"生成成长"),3))*(VLOOKUP($B$5,标准坦克设计!$B$14:$K$20,9)/30))</f>
        <v>34.518436826290191</v>
      </c>
      <c r="EW86" s="172">
        <f ca="1">(VLOOKUP(EW$72,INDIRECT($C$5&amp;"生成成长"),2))/((VLOOKUP($B86,INDIRECT($B$5&amp;"生成成长"),4))/(VLOOKUP(EW$72,INDIRECT($C$5&amp;"生成成长"),5))*(VLOOKUP($B$5,标准坦克设计!$B$24:$U$30,MATCH("对"&amp;LEFT($C$5,2)&amp;"输出",标准坦克设计!$B$23:$U$23,0)))*(VLOOKUP($B86,INDIRECT($B$5&amp;"生成成长"),3))*(VLOOKUP($B$5,标准坦克设计!$B$14:$K$20,9)/30))</f>
        <v>37.07021966609927</v>
      </c>
      <c r="EX86" s="172">
        <f ca="1">(VLOOKUP(EX$72,INDIRECT($C$5&amp;"生成成长"),2))/((VLOOKUP($B86,INDIRECT($B$5&amp;"生成成长"),4))/(VLOOKUP(EX$72,INDIRECT($C$5&amp;"生成成长"),5))*(VLOOKUP($B$5,标准坦克设计!$B$24:$U$30,MATCH("对"&amp;LEFT($C$5,2)&amp;"输出",标准坦克设计!$B$23:$U$23,0)))*(VLOOKUP($B86,INDIRECT($B$5&amp;"生成成长"),3))*(VLOOKUP($B$5,标准坦克设计!$B$14:$K$20,9)/30))</f>
        <v>39.712989900520668</v>
      </c>
      <c r="EY86" s="172">
        <f ca="1">(VLOOKUP(EY$72,INDIRECT($C$5&amp;"生成成长"),2))/((VLOOKUP($B86,INDIRECT($B$5&amp;"生成成长"),4))/(VLOOKUP(EY$72,INDIRECT($C$5&amp;"生成成长"),5))*(VLOOKUP($B$5,标准坦克设计!$B$24:$U$30,MATCH("对"&amp;LEFT($C$5,2)&amp;"输出",标准坦克设计!$B$23:$U$23,0)))*(VLOOKUP($B86,INDIRECT($B$5&amp;"生成成长"),3))*(VLOOKUP($B$5,标准坦克设计!$B$14:$K$20,9)/30))</f>
        <v>42.446747529554372</v>
      </c>
      <c r="EZ86" s="172">
        <f ca="1">(VLOOKUP(EZ$72,INDIRECT($C$5&amp;"生成成长"),2))/((VLOOKUP($B86,INDIRECT($B$5&amp;"生成成长"),4))/(VLOOKUP(EZ$72,INDIRECT($C$5&amp;"生成成长"),5))*(VLOOKUP($B$5,标准坦克设计!$B$24:$U$30,MATCH("对"&amp;LEFT($C$5,2)&amp;"输出",标准坦克设计!$B$23:$U$23,0)))*(VLOOKUP($B86,INDIRECT($B$5&amp;"生成成长"),3))*(VLOOKUP($B$5,标准坦克设计!$B$14:$K$20,9)/30))</f>
        <v>45.271492553200396</v>
      </c>
      <c r="FA86" s="172">
        <f ca="1">(VLOOKUP(FA$72,INDIRECT($C$5&amp;"生成成长"),2))/((VLOOKUP($B86,INDIRECT($B$5&amp;"生成成长"),4))/(VLOOKUP(FA$72,INDIRECT($C$5&amp;"生成成长"),5))*(VLOOKUP($B$5,标准坦克设计!$B$24:$U$30,MATCH("对"&amp;LEFT($C$5,2)&amp;"输出",标准坦克设计!$B$23:$U$23,0)))*(VLOOKUP($B86,INDIRECT($B$5&amp;"生成成长"),3))*(VLOOKUP($B$5,标准坦克设计!$B$14:$K$20,9)/30))</f>
        <v>48.187224971458747</v>
      </c>
      <c r="FB86" s="172">
        <f ca="1">(VLOOKUP(FB$72,INDIRECT($C$5&amp;"生成成长"),2))/((VLOOKUP($B86,INDIRECT($B$5&amp;"生成成长"),4))/(VLOOKUP(FB$72,INDIRECT($C$5&amp;"生成成长"),5))*(VLOOKUP($B$5,标准坦克设计!$B$24:$U$30,MATCH("对"&amp;LEFT($C$5,2)&amp;"输出",标准坦克设计!$B$23:$U$23,0)))*(VLOOKUP($B86,INDIRECT($B$5&amp;"生成成长"),3))*(VLOOKUP($B$5,标准坦克设计!$B$14:$K$20,9)/30))</f>
        <v>51.19394478432941</v>
      </c>
      <c r="FC86" s="172">
        <f ca="1">(VLOOKUP(FC$72,INDIRECT($C$5&amp;"生成成长"),2))/((VLOOKUP($B86,INDIRECT($B$5&amp;"生成成长"),4))/(VLOOKUP(FC$72,INDIRECT($C$5&amp;"生成成长"),5))*(VLOOKUP($B$5,标准坦克设计!$B$24:$U$30,MATCH("对"&amp;LEFT($C$5,2)&amp;"输出",标准坦克设计!$B$23:$U$23,0)))*(VLOOKUP($B86,INDIRECT($B$5&amp;"生成成长"),3))*(VLOOKUP($B$5,标准坦克设计!$B$14:$K$20,9)/30))</f>
        <v>54.291651991812394</v>
      </c>
      <c r="FD86" s="172">
        <f ca="1">(VLOOKUP(FD$72,INDIRECT($C$5&amp;"生成成长"),2))/((VLOOKUP($B86,INDIRECT($B$5&amp;"生成成长"),4))/(VLOOKUP(FD$72,INDIRECT($C$5&amp;"生成成长"),5))*(VLOOKUP($B$5,标准坦克设计!$B$24:$U$30,MATCH("对"&amp;LEFT($C$5,2)&amp;"输出",标准坦克设计!$B$23:$U$23,0)))*(VLOOKUP($B86,INDIRECT($B$5&amp;"生成成长"),3))*(VLOOKUP($B$5,标准坦克设计!$B$14:$K$20,9)/30))</f>
        <v>57.48034659390769</v>
      </c>
      <c r="FE86" s="172">
        <f ca="1">(VLOOKUP(FE$72,INDIRECT($C$5&amp;"生成成长"),2))/((VLOOKUP($B86,INDIRECT($B$5&amp;"生成成长"),4))/(VLOOKUP(FE$72,INDIRECT($C$5&amp;"生成成长"),5))*(VLOOKUP($B$5,标准坦克设计!$B$24:$U$30,MATCH("对"&amp;LEFT($C$5,2)&amp;"输出",标准坦克设计!$B$23:$U$23,0)))*(VLOOKUP($B86,INDIRECT($B$5&amp;"生成成长"),3))*(VLOOKUP($B$5,标准坦克设计!$B$14:$K$20,9)/30))</f>
        <v>61.366109913404784</v>
      </c>
      <c r="FF86" s="172">
        <f ca="1">(VLOOKUP(FF$72,INDIRECT($C$5&amp;"生成成长"),2))/((VLOOKUP($B86,INDIRECT($B$5&amp;"生成成长"),4))/(VLOOKUP(FF$72,INDIRECT($C$5&amp;"生成成长"),5))*(VLOOKUP($B$5,标准坦克设计!$B$24:$U$30,MATCH("对"&amp;LEFT($C$5,2)&amp;"输出",标准坦克设计!$B$23:$U$23,0)))*(VLOOKUP($B86,INDIRECT($B$5&amp;"生成成长"),3))*(VLOOKUP($B$5,标准坦克设计!$B$14:$K$20,9)/30))</f>
        <v>65.378954800583557</v>
      </c>
      <c r="FG86" s="172">
        <f ca="1">(VLOOKUP(FG$72,INDIRECT($C$5&amp;"生成成长"),2))/((VLOOKUP($B86,INDIRECT($B$5&amp;"生成成长"),4))/(VLOOKUP(FG$72,INDIRECT($C$5&amp;"生成成长"),5))*(VLOOKUP($B$5,标准坦克设计!$B$24:$U$30,MATCH("对"&amp;LEFT($C$5,2)&amp;"输出",标准坦克设计!$B$23:$U$23,0)))*(VLOOKUP($B86,INDIRECT($B$5&amp;"生成成长"),3))*(VLOOKUP($B$5,标准坦克设计!$B$14:$K$20,9)/30))</f>
        <v>69.518881255443986</v>
      </c>
      <c r="FH86" s="172">
        <f ca="1">(VLOOKUP(FH$72,INDIRECT($C$5&amp;"生成成长"),2))/((VLOOKUP($B86,INDIRECT($B$5&amp;"生成成长"),4))/(VLOOKUP(FH$72,INDIRECT($C$5&amp;"生成成长"),5))*(VLOOKUP($B$5,标准坦克设计!$B$24:$U$30,MATCH("对"&amp;LEFT($C$5,2)&amp;"输出",标准坦克设计!$B$23:$U$23,0)))*(VLOOKUP($B86,INDIRECT($B$5&amp;"生成成长"),3))*(VLOOKUP($B$5,标准坦克设计!$B$14:$K$20,9)/30))</f>
        <v>73.785889277986072</v>
      </c>
      <c r="FI86" s="172">
        <f ca="1">(VLOOKUP(FI$72,INDIRECT($C$5&amp;"生成成长"),2))/((VLOOKUP($B86,INDIRECT($B$5&amp;"生成成长"),4))/(VLOOKUP(FI$72,INDIRECT($C$5&amp;"生成成长"),5))*(VLOOKUP($B$5,标准坦克设计!$B$24:$U$30,MATCH("对"&amp;LEFT($C$5,2)&amp;"输出",标准坦克设计!$B$23:$U$23,0)))*(VLOOKUP($B86,INDIRECT($B$5&amp;"生成成长"),3))*(VLOOKUP($B$5,标准坦克设计!$B$14:$K$20,9)/30))</f>
        <v>78.17997886820983</v>
      </c>
      <c r="FJ86" s="172">
        <f ca="1">(VLOOKUP(FJ$72,INDIRECT($C$5&amp;"生成成长"),2))/((VLOOKUP($B86,INDIRECT($B$5&amp;"生成成长"),4))/(VLOOKUP(FJ$72,INDIRECT($C$5&amp;"生成成长"),5))*(VLOOKUP($B$5,标准坦克设计!$B$24:$U$30,MATCH("对"&amp;LEFT($C$5,2)&amp;"输出",标准坦克设计!$B$23:$U$23,0)))*(VLOOKUP($B86,INDIRECT($B$5&amp;"生成成长"),3))*(VLOOKUP($B$5,标准坦克设计!$B$14:$K$20,9)/30))</f>
        <v>82.701150026115272</v>
      </c>
      <c r="FK86" s="172">
        <f ca="1">(VLOOKUP(FK$72,INDIRECT($C$5&amp;"生成成长"),2))/((VLOOKUP($B86,INDIRECT($B$5&amp;"生成成长"),4))/(VLOOKUP(FK$72,INDIRECT($C$5&amp;"生成成长"),5))*(VLOOKUP($B$5,标准坦克设计!$B$24:$U$30,MATCH("对"&amp;LEFT($C$5,2)&amp;"输出",标准坦克设计!$B$23:$U$23,0)))*(VLOOKUP($B86,INDIRECT($B$5&amp;"生成成长"),3))*(VLOOKUP($B$5,标准坦克设计!$B$14:$K$20,9)/30))</f>
        <v>87.349402751702371</v>
      </c>
    </row>
    <row r="87" spans="1:167" x14ac:dyDescent="0.15">
      <c r="A87" s="170" t="str">
        <f t="shared" si="11"/>
        <v>T3低品质3级</v>
      </c>
      <c r="B87" s="171">
        <v>10303</v>
      </c>
      <c r="C87" s="172">
        <f ca="1">(VLOOKUP(C$72,INDIRECT($C$5&amp;"生成成长"),2))/((VLOOKUP($B87,INDIRECT($B$5&amp;"生成成长"),4))/(VLOOKUP(C$72,INDIRECT($C$5&amp;"生成成长"),5))*(VLOOKUP($B$5,标准坦克设计!$B$24:$U$30,MATCH("对"&amp;LEFT($C$5,2)&amp;"输出",标准坦克设计!$B$23:$U$23,0)))*(VLOOKUP($B87,INDIRECT($B$5&amp;"生成成长"),3))*(VLOOKUP($B$5,标准坦克设计!$B$14:$K$20,9)/30))</f>
        <v>3.3467977690745037</v>
      </c>
      <c r="D87" s="172">
        <f ca="1">(VLOOKUP(D$72,INDIRECT($C$5&amp;"生成成长"),2))/((VLOOKUP($B87,INDIRECT($B$5&amp;"生成成长"),4))/(VLOOKUP(D$72,INDIRECT($C$5&amp;"生成成长"),5))*(VLOOKUP($B$5,标准坦克设计!$B$24:$U$30,MATCH("对"&amp;LEFT($C$5,2)&amp;"输出",标准坦克设计!$B$23:$U$23,0)))*(VLOOKUP($B87,INDIRECT($B$5&amp;"生成成长"),3))*(VLOOKUP($B$5,标准坦克设计!$B$14:$K$20,9)/30))</f>
        <v>3.760461973332113</v>
      </c>
      <c r="E87" s="172">
        <f ca="1">(VLOOKUP(E$72,INDIRECT($C$5&amp;"生成成长"),2))/((VLOOKUP($B87,INDIRECT($B$5&amp;"生成成长"),4))/(VLOOKUP(E$72,INDIRECT($C$5&amp;"生成成长"),5))*(VLOOKUP($B$5,标准坦克设计!$B$24:$U$30,MATCH("对"&amp;LEFT($C$5,2)&amp;"输出",标准坦克设计!$B$23:$U$23,0)))*(VLOOKUP($B87,INDIRECT($B$5&amp;"生成成长"),3))*(VLOOKUP($B$5,标准坦克设计!$B$14:$K$20,9)/30))</f>
        <v>4.1982231215270573</v>
      </c>
      <c r="F87" s="172">
        <f ca="1">(VLOOKUP(F$72,INDIRECT($C$5&amp;"生成成长"),2))/((VLOOKUP($B87,INDIRECT($B$5&amp;"生成成长"),4))/(VLOOKUP(F$72,INDIRECT($C$5&amp;"生成成长"),5))*(VLOOKUP($B$5,标准坦克设计!$B$24:$U$30,MATCH("对"&amp;LEFT($C$5,2)&amp;"输出",标准坦克设计!$B$23:$U$23,0)))*(VLOOKUP($B87,INDIRECT($B$5&amp;"生成成长"),3))*(VLOOKUP($B$5,标准坦克设计!$B$14:$K$20,9)/30))</f>
        <v>4.6600812136593399</v>
      </c>
      <c r="G87" s="172">
        <f ca="1">(VLOOKUP(G$72,INDIRECT($C$5&amp;"生成成长"),2))/((VLOOKUP($B87,INDIRECT($B$5&amp;"生成成长"),4))/(VLOOKUP(G$72,INDIRECT($C$5&amp;"生成成长"),5))*(VLOOKUP($B$5,标准坦克设计!$B$24:$U$30,MATCH("对"&amp;LEFT($C$5,2)&amp;"输出",标准坦克设计!$B$23:$U$23,0)))*(VLOOKUP($B87,INDIRECT($B$5&amp;"生成成长"),3))*(VLOOKUP($B$5,标准坦克设计!$B$14:$K$20,9)/30))</f>
        <v>5.1460362497289571</v>
      </c>
      <c r="H87" s="172">
        <f ca="1">(VLOOKUP(H$72,INDIRECT($C$5&amp;"生成成长"),2))/((VLOOKUP($B87,INDIRECT($B$5&amp;"生成成长"),4))/(VLOOKUP(H$72,INDIRECT($C$5&amp;"生成成长"),5))*(VLOOKUP($B$5,标准坦克设计!$B$24:$U$30,MATCH("对"&amp;LEFT($C$5,2)&amp;"输出",标准坦克设计!$B$23:$U$23,0)))*(VLOOKUP($B87,INDIRECT($B$5&amp;"生成成长"),3))*(VLOOKUP($B$5,标准坦克设计!$B$14:$K$20,9)/30))</f>
        <v>4.5034510780666528</v>
      </c>
      <c r="I87" s="172">
        <f ca="1">(VLOOKUP(I$72,INDIRECT($C$5&amp;"生成成长"),2))/((VLOOKUP($B87,INDIRECT($B$5&amp;"生成成长"),4))/(VLOOKUP(I$72,INDIRECT($C$5&amp;"生成成长"),5))*(VLOOKUP($B$5,标准坦克设计!$B$24:$U$30,MATCH("对"&amp;LEFT($C$5,2)&amp;"输出",标准坦克设计!$B$23:$U$23,0)))*(VLOOKUP($B87,INDIRECT($B$5&amp;"生成成长"),3))*(VLOOKUP($B$5,标准坦克设计!$B$14:$K$20,9)/30))</f>
        <v>5.1460362497289571</v>
      </c>
      <c r="J87" s="172">
        <f ca="1">(VLOOKUP(J$72,INDIRECT($C$5&amp;"生成成长"),2))/((VLOOKUP($B87,INDIRECT($B$5&amp;"生成成长"),4))/(VLOOKUP(J$72,INDIRECT($C$5&amp;"生成成长"),5))*(VLOOKUP($B$5,标准坦克设计!$B$24:$U$30,MATCH("对"&amp;LEFT($C$5,2)&amp;"输出",标准坦克设计!$B$23:$U$23,0)))*(VLOOKUP($B87,INDIRECT($B$5&amp;"生成成长"),3))*(VLOOKUP($B$5,标准坦克设计!$B$14:$K$20,9)/30))</f>
        <v>5.8314604328354163</v>
      </c>
      <c r="K87" s="172">
        <f ca="1">(VLOOKUP(K$72,INDIRECT($C$5&amp;"生成成长"),2))/((VLOOKUP($B87,INDIRECT($B$5&amp;"生成成长"),4))/(VLOOKUP(K$72,INDIRECT($C$5&amp;"生成成长"),5))*(VLOOKUP($B$5,标准坦克设计!$B$24:$U$30,MATCH("对"&amp;LEFT($C$5,2)&amp;"输出",标准坦克设计!$B$23:$U$23,0)))*(VLOOKUP($B87,INDIRECT($B$5&amp;"生成成长"),3))*(VLOOKUP($B$5,标准坦克设计!$B$14:$K$20,9)/30))</f>
        <v>6.5597236273860284</v>
      </c>
      <c r="L87" s="172">
        <f ca="1">(VLOOKUP(L$72,INDIRECT($C$5&amp;"生成成长"),2))/((VLOOKUP($B87,INDIRECT($B$5&amp;"生成成长"),4))/(VLOOKUP(L$72,INDIRECT($C$5&amp;"生成成长"),5))*(VLOOKUP($B$5,标准坦克设计!$B$24:$U$30,MATCH("对"&amp;LEFT($C$5,2)&amp;"输出",标准坦克设计!$B$23:$U$23,0)))*(VLOOKUP($B87,INDIRECT($B$5&amp;"生成成长"),3))*(VLOOKUP($B$5,标准坦克设计!$B$14:$K$20,9)/30))</f>
        <v>7.3308258333807936</v>
      </c>
      <c r="M87" s="172">
        <f ca="1">(VLOOKUP(M$72,INDIRECT($C$5&amp;"生成成长"),2))/((VLOOKUP($B87,INDIRECT($B$5&amp;"生成成长"),4))/(VLOOKUP(M$72,INDIRECT($C$5&amp;"生成成长"),5))*(VLOOKUP($B$5,标准坦克设计!$B$24:$U$30,MATCH("对"&amp;LEFT($C$5,2)&amp;"输出",标准坦克设计!$B$23:$U$23,0)))*(VLOOKUP($B87,INDIRECT($B$5&amp;"生成成长"),3))*(VLOOKUP($B$5,标准坦克设计!$B$14:$K$20,9)/30))</f>
        <v>8.1447670508197128</v>
      </c>
      <c r="N87" s="172">
        <f ca="1">(VLOOKUP(N$72,INDIRECT($C$5&amp;"生成成长"),2))/((VLOOKUP($B87,INDIRECT($B$5&amp;"生成成长"),4))/(VLOOKUP(N$72,INDIRECT($C$5&amp;"生成成长"),5))*(VLOOKUP($B$5,标准坦克设计!$B$24:$U$30,MATCH("对"&amp;LEFT($C$5,2)&amp;"输出",标准坦克设计!$B$23:$U$23,0)))*(VLOOKUP($B87,INDIRECT($B$5&amp;"生成成长"),3))*(VLOOKUP($B$5,标准坦克设计!$B$14:$K$20,9)/30))</f>
        <v>9.0015472797027876</v>
      </c>
      <c r="O87" s="172">
        <f ca="1">(VLOOKUP(O$72,INDIRECT($C$5&amp;"生成成长"),2))/((VLOOKUP($B87,INDIRECT($B$5&amp;"生成成长"),4))/(VLOOKUP(O$72,INDIRECT($C$5&amp;"生成成长"),5))*(VLOOKUP($B$5,标准坦克设计!$B$24:$U$30,MATCH("对"&amp;LEFT($C$5,2)&amp;"输出",标准坦克设计!$B$23:$U$23,0)))*(VLOOKUP($B87,INDIRECT($B$5&amp;"生成成长"),3))*(VLOOKUP($B$5,标准坦克设计!$B$14:$K$20,9)/30))</f>
        <v>6.8438667579804537</v>
      </c>
      <c r="P87" s="172">
        <f ca="1">(VLOOKUP(P$72,INDIRECT($C$5&amp;"生成成长"),2))/((VLOOKUP($B87,INDIRECT($B$5&amp;"生成成长"),4))/(VLOOKUP(P$72,INDIRECT($C$5&amp;"生成成长"),5))*(VLOOKUP($B$5,标准坦克设计!$B$24:$U$30,MATCH("对"&amp;LEFT($C$5,2)&amp;"输出",标准坦克设计!$B$23:$U$23,0)))*(VLOOKUP($B87,INDIRECT($B$5&amp;"生成成长"),3))*(VLOOKUP($B$5,标准坦克设计!$B$14:$K$20,9)/30))</f>
        <v>7.7324415656697347</v>
      </c>
      <c r="Q87" s="172">
        <f ca="1">(VLOOKUP(Q$72,INDIRECT($C$5&amp;"生成成长"),2))/((VLOOKUP($B87,INDIRECT($B$5&amp;"生成成长"),4))/(VLOOKUP(Q$72,INDIRECT($C$5&amp;"生成成长"),5))*(VLOOKUP($B$5,标准坦克设计!$B$24:$U$30,MATCH("对"&amp;LEFT($C$5,2)&amp;"输出",标准坦克设计!$B$23:$U$23,0)))*(VLOOKUP($B87,INDIRECT($B$5&amp;"生成成长"),3))*(VLOOKUP($B$5,标准坦克设计!$B$14:$K$20,9)/30))</f>
        <v>8.6752344972180229</v>
      </c>
      <c r="R87" s="172">
        <f ca="1">(VLOOKUP(R$72,INDIRECT($C$5&amp;"生成成长"),2))/((VLOOKUP($B87,INDIRECT($B$5&amp;"生成成长"),4))/(VLOOKUP(R$72,INDIRECT($C$5&amp;"生成成长"),5))*(VLOOKUP($B$5,标准坦克设计!$B$24:$U$30,MATCH("对"&amp;LEFT($C$5,2)&amp;"输出",标准坦克设计!$B$23:$U$23,0)))*(VLOOKUP($B87,INDIRECT($B$5&amp;"生成成长"),3))*(VLOOKUP($B$5,标准坦克设计!$B$14:$K$20,9)/30))</f>
        <v>9.6722455526253164</v>
      </c>
      <c r="S87" s="172">
        <f ca="1">(VLOOKUP(S$72,INDIRECT($C$5&amp;"生成成长"),2))/((VLOOKUP($B87,INDIRECT($B$5&amp;"生成成长"),4))/(VLOOKUP(S$72,INDIRECT($C$5&amp;"生成成长"),5))*(VLOOKUP($B$5,标准坦克设计!$B$24:$U$30,MATCH("对"&amp;LEFT($C$5,2)&amp;"输出",标准坦克设计!$B$23:$U$23,0)))*(VLOOKUP($B87,INDIRECT($B$5&amp;"生成成长"),3))*(VLOOKUP($B$5,标准坦克设计!$B$14:$K$20,9)/30))</f>
        <v>10.723474731891619</v>
      </c>
      <c r="T87" s="172">
        <f ca="1">(VLOOKUP(T$72,INDIRECT($C$5&amp;"生成成长"),2))/((VLOOKUP($B87,INDIRECT($B$5&amp;"生成成长"),4))/(VLOOKUP(T$72,INDIRECT($C$5&amp;"生成成长"),5))*(VLOOKUP($B$5,标准坦克设计!$B$24:$U$30,MATCH("对"&amp;LEFT($C$5,2)&amp;"输出",标准坦克设计!$B$23:$U$23,0)))*(VLOOKUP($B87,INDIRECT($B$5&amp;"生成成长"),3))*(VLOOKUP($B$5,标准坦克设计!$B$14:$K$20,9)/30))</f>
        <v>11.828922035016927</v>
      </c>
      <c r="U87" s="172">
        <f ca="1">(VLOOKUP(U$72,INDIRECT($C$5&amp;"生成成长"),2))/((VLOOKUP($B87,INDIRECT($B$5&amp;"生成成长"),4))/(VLOOKUP(U$72,INDIRECT($C$5&amp;"生成成长"),5))*(VLOOKUP($B$5,标准坦克设计!$B$24:$U$30,MATCH("对"&amp;LEFT($C$5,2)&amp;"输出",标准坦克设计!$B$23:$U$23,0)))*(VLOOKUP($B87,INDIRECT($B$5&amp;"生成成长"),3))*(VLOOKUP($B$5,标准坦克设计!$B$14:$K$20,9)/30))</f>
        <v>12.988587462001243</v>
      </c>
      <c r="V87" s="172">
        <f ca="1">(VLOOKUP(V$72,INDIRECT($C$5&amp;"生成成长"),2))/((VLOOKUP($B87,INDIRECT($B$5&amp;"生成成长"),4))/(VLOOKUP(V$72,INDIRECT($C$5&amp;"生成成长"),5))*(VLOOKUP($B$5,标准坦克设计!$B$24:$U$30,MATCH("对"&amp;LEFT($C$5,2)&amp;"输出",标准坦克设计!$B$23:$U$23,0)))*(VLOOKUP($B87,INDIRECT($B$5&amp;"生成成长"),3))*(VLOOKUP($B$5,标准坦克设计!$B$14:$K$20,9)/30))</f>
        <v>14.202471012844567</v>
      </c>
      <c r="W87" s="172">
        <f ca="1">(VLOOKUP(W$72,INDIRECT($C$5&amp;"生成成长"),2))/((VLOOKUP($B87,INDIRECT($B$5&amp;"生成成长"),4))/(VLOOKUP(W$72,INDIRECT($C$5&amp;"生成成长"),5))*(VLOOKUP($B$5,标准坦克设计!$B$24:$U$30,MATCH("对"&amp;LEFT($C$5,2)&amp;"输出",标准坦克设计!$B$23:$U$23,0)))*(VLOOKUP($B87,INDIRECT($B$5&amp;"生成成长"),3))*(VLOOKUP($B$5,标准坦克设计!$B$14:$K$20,9)/30))</f>
        <v>15.470572687546895</v>
      </c>
      <c r="X87" s="172">
        <f ca="1">(VLOOKUP(X$72,INDIRECT($C$5&amp;"生成成长"),2))/((VLOOKUP($B87,INDIRECT($B$5&amp;"生成成长"),4))/(VLOOKUP(X$72,INDIRECT($C$5&amp;"生成成长"),5))*(VLOOKUP($B$5,标准坦克设计!$B$24:$U$30,MATCH("对"&amp;LEFT($C$5,2)&amp;"输出",标准坦克设计!$B$23:$U$23,0)))*(VLOOKUP($B87,INDIRECT($B$5&amp;"生成成长"),3))*(VLOOKUP($B$5,标准坦克设计!$B$14:$K$20,9)/30))</f>
        <v>11.208091048853609</v>
      </c>
      <c r="Y87" s="172">
        <f ca="1">(VLOOKUP(Y$72,INDIRECT($C$5&amp;"生成成长"),2))/((VLOOKUP($B87,INDIRECT($B$5&amp;"生成成长"),4))/(VLOOKUP(Y$72,INDIRECT($C$5&amp;"生成成长"),5))*(VLOOKUP($B$5,标准坦克设计!$B$24:$U$30,MATCH("对"&amp;LEFT($C$5,2)&amp;"输出",标准坦克设计!$B$23:$U$23,0)))*(VLOOKUP($B87,INDIRECT($B$5&amp;"生成成长"),3))*(VLOOKUP($B$5,标准坦克设计!$B$14:$K$20,9)/30))</f>
        <v>12.466487010025622</v>
      </c>
      <c r="Z87" s="172">
        <f ca="1">(VLOOKUP(Z$72,INDIRECT($C$5&amp;"生成成长"),2))/((VLOOKUP($B87,INDIRECT($B$5&amp;"生成成长"),4))/(VLOOKUP(Z$72,INDIRECT($C$5&amp;"生成成长"),5))*(VLOOKUP($B$5,标准坦克设计!$B$24:$U$30,MATCH("对"&amp;LEFT($C$5,2)&amp;"输出",标准坦克设计!$B$23:$U$23,0)))*(VLOOKUP($B87,INDIRECT($B$5&amp;"生成成长"),3))*(VLOOKUP($B$5,标准坦克设计!$B$14:$K$20,9)/30))</f>
        <v>13.791818926579122</v>
      </c>
      <c r="AA87" s="172">
        <f ca="1">(VLOOKUP(AA$72,INDIRECT($C$5&amp;"生成成长"),2))/((VLOOKUP($B87,INDIRECT($B$5&amp;"生成成长"),4))/(VLOOKUP(AA$72,INDIRECT($C$5&amp;"生成成长"),5))*(VLOOKUP($B$5,标准坦克设计!$B$24:$U$30,MATCH("对"&amp;LEFT($C$5,2)&amp;"输出",标准坦克设计!$B$23:$U$23,0)))*(VLOOKUP($B87,INDIRECT($B$5&amp;"生成成长"),3))*(VLOOKUP($B$5,标准坦克设计!$B$14:$K$20,9)/30))</f>
        <v>15.184086798514116</v>
      </c>
      <c r="AB87" s="172">
        <f ca="1">(VLOOKUP(AB$72,INDIRECT($C$5&amp;"生成成长"),2))/((VLOOKUP($B87,INDIRECT($B$5&amp;"生成成长"),4))/(VLOOKUP(AB$72,INDIRECT($C$5&amp;"生成成长"),5))*(VLOOKUP($B$5,标准坦克设计!$B$24:$U$30,MATCH("对"&amp;LEFT($C$5,2)&amp;"输出",标准坦克设计!$B$23:$U$23,0)))*(VLOOKUP($B87,INDIRECT($B$5&amp;"生成成长"),3))*(VLOOKUP($B$5,标准坦克设计!$B$14:$K$20,9)/30))</f>
        <v>16.643290625830602</v>
      </c>
      <c r="AC87" s="172">
        <f ca="1">(VLOOKUP(AC$72,INDIRECT($C$5&amp;"生成成长"),2))/((VLOOKUP($B87,INDIRECT($B$5&amp;"生成成长"),4))/(VLOOKUP(AC$72,INDIRECT($C$5&amp;"生成成长"),5))*(VLOOKUP($B$5,标准坦克设计!$B$24:$U$30,MATCH("对"&amp;LEFT($C$5,2)&amp;"输出",标准坦克设计!$B$23:$U$23,0)))*(VLOOKUP($B87,INDIRECT($B$5&amp;"生成成长"),3))*(VLOOKUP($B$5,标准坦克设计!$B$14:$K$20,9)/30))</f>
        <v>18.169430408528576</v>
      </c>
      <c r="AD87" s="172">
        <f ca="1">(VLOOKUP(AD$72,INDIRECT($C$5&amp;"生成成长"),2))/((VLOOKUP($B87,INDIRECT($B$5&amp;"生成成长"),4))/(VLOOKUP(AD$72,INDIRECT($C$5&amp;"生成成长"),5))*(VLOOKUP($B$5,标准坦克设计!$B$24:$U$30,MATCH("对"&amp;LEFT($C$5,2)&amp;"输出",标准坦克设计!$B$23:$U$23,0)))*(VLOOKUP($B87,INDIRECT($B$5&amp;"生成成长"),3))*(VLOOKUP($B$5,标准坦克设计!$B$14:$K$20,9)/30))</f>
        <v>19.76250614660804</v>
      </c>
      <c r="AE87" s="172">
        <f ca="1">(VLOOKUP(AE$72,INDIRECT($C$5&amp;"生成成长"),2))/((VLOOKUP($B87,INDIRECT($B$5&amp;"生成成长"),4))/(VLOOKUP(AE$72,INDIRECT($C$5&amp;"生成成长"),5))*(VLOOKUP($B$5,标准坦克设计!$B$24:$U$30,MATCH("对"&amp;LEFT($C$5,2)&amp;"输出",标准坦克设计!$B$23:$U$23,0)))*(VLOOKUP($B87,INDIRECT($B$5&amp;"生成成长"),3))*(VLOOKUP($B$5,标准坦克设计!$B$14:$K$20,9)/30))</f>
        <v>21.422517840068995</v>
      </c>
      <c r="AF87" s="172">
        <f ca="1">(VLOOKUP(AF$72,INDIRECT($C$5&amp;"生成成长"),2))/((VLOOKUP($B87,INDIRECT($B$5&amp;"生成成长"),4))/(VLOOKUP(AF$72,INDIRECT($C$5&amp;"生成成长"),5))*(VLOOKUP($B$5,标准坦克设计!$B$24:$U$30,MATCH("对"&amp;LEFT($C$5,2)&amp;"输出",标准坦克设计!$B$23:$U$23,0)))*(VLOOKUP($B87,INDIRECT($B$5&amp;"生成成长"),3))*(VLOOKUP($B$5,标准坦克设计!$B$14:$K$20,9)/30))</f>
        <v>23.149465488911435</v>
      </c>
      <c r="AG87" s="172">
        <f ca="1">(VLOOKUP(AG$72,INDIRECT($C$5&amp;"生成成长"),2))/((VLOOKUP($B87,INDIRECT($B$5&amp;"生成成长"),4))/(VLOOKUP(AG$72,INDIRECT($C$5&amp;"生成成长"),5))*(VLOOKUP($B$5,标准坦克设计!$B$24:$U$30,MATCH("对"&amp;LEFT($C$5,2)&amp;"输出",标准坦克设计!$B$23:$U$23,0)))*(VLOOKUP($B87,INDIRECT($B$5&amp;"生成成长"),3))*(VLOOKUP($B$5,标准坦克设计!$B$14:$K$20,9)/30))</f>
        <v>24.943349093135375</v>
      </c>
      <c r="AH87" s="172">
        <f ca="1">(VLOOKUP(AH$72,INDIRECT($C$5&amp;"生成成长"),2))/((VLOOKUP($B87,INDIRECT($B$5&amp;"生成成长"),4))/(VLOOKUP(AH$72,INDIRECT($C$5&amp;"生成成长"),5))*(VLOOKUP($B$5,标准坦克设计!$B$24:$U$30,MATCH("对"&amp;LEFT($C$5,2)&amp;"输出",标准坦克设计!$B$23:$U$23,0)))*(VLOOKUP($B87,INDIRECT($B$5&amp;"生成成长"),3))*(VLOOKUP($B$5,标准坦克设计!$B$14:$K$20,9)/30))</f>
        <v>26.804168652740792</v>
      </c>
      <c r="AI87" s="172">
        <f ca="1">(VLOOKUP(AI$72,INDIRECT($C$5&amp;"生成成长"),2))/((VLOOKUP($B87,INDIRECT($B$5&amp;"生成成长"),4))/(VLOOKUP(AI$72,INDIRECT($C$5&amp;"生成成长"),5))*(VLOOKUP($B$5,标准坦克设计!$B$24:$U$30,MATCH("对"&amp;LEFT($C$5,2)&amp;"输出",标准坦克设计!$B$23:$U$23,0)))*(VLOOKUP($B87,INDIRECT($B$5&amp;"生成成长"),3))*(VLOOKUP($B$5,标准坦克设计!$B$14:$K$20,9)/30))</f>
        <v>18.957601283145618</v>
      </c>
      <c r="AJ87" s="172">
        <f ca="1">(VLOOKUP(AJ$72,INDIRECT($C$5&amp;"生成成长"),2))/((VLOOKUP($B87,INDIRECT($B$5&amp;"生成成长"),4))/(VLOOKUP(AJ$72,INDIRECT($C$5&amp;"生成成长"),5))*(VLOOKUP($B$5,标准坦克设计!$B$24:$U$30,MATCH("对"&amp;LEFT($C$5,2)&amp;"输出",标准坦克设计!$B$23:$U$23,0)))*(VLOOKUP($B87,INDIRECT($B$5&amp;"生成成长"),3))*(VLOOKUP($B$5,标准坦克设计!$B$14:$K$20,9)/30))</f>
        <v>20.750480848038833</v>
      </c>
      <c r="AK87" s="172">
        <f ca="1">(VLOOKUP(AK$72,INDIRECT($C$5&amp;"生成成长"),2))/((VLOOKUP($B87,INDIRECT($B$5&amp;"生成成长"),4))/(VLOOKUP(AK$72,INDIRECT($C$5&amp;"生成成长"),5))*(VLOOKUP($B$5,标准坦克设计!$B$24:$U$30,MATCH("对"&amp;LEFT($C$5,2)&amp;"输出",标准坦克设计!$B$23:$U$23,0)))*(VLOOKUP($B87,INDIRECT($B$5&amp;"生成成长"),3))*(VLOOKUP($B$5,标准坦克设计!$B$14:$K$20,9)/30))</f>
        <v>22.62435291894365</v>
      </c>
      <c r="AL87" s="172">
        <f ca="1">(VLOOKUP(AL$72,INDIRECT($C$5&amp;"生成成长"),2))/((VLOOKUP($B87,INDIRECT($B$5&amp;"生成成长"),4))/(VLOOKUP(AL$72,INDIRECT($C$5&amp;"生成成长"),5))*(VLOOKUP($B$5,标准坦克设计!$B$24:$U$30,MATCH("对"&amp;LEFT($C$5,2)&amp;"输出",标准坦克设计!$B$23:$U$23,0)))*(VLOOKUP($B87,INDIRECT($B$5&amp;"生成成长"),3))*(VLOOKUP($B$5,标准坦克设计!$B$14:$K$20,9)/30))</f>
        <v>24.579217495860068</v>
      </c>
      <c r="AM87" s="172">
        <f ca="1">(VLOOKUP(AM$72,INDIRECT($C$5&amp;"生成成长"),2))/((VLOOKUP($B87,INDIRECT($B$5&amp;"生成成长"),4))/(VLOOKUP(AM$72,INDIRECT($C$5&amp;"生成成长"),5))*(VLOOKUP($B$5,标准坦克设计!$B$24:$U$30,MATCH("对"&amp;LEFT($C$5,2)&amp;"输出",标准坦克设计!$B$23:$U$23,0)))*(VLOOKUP($B87,INDIRECT($B$5&amp;"生成成长"),3))*(VLOOKUP($B$5,标准坦克设计!$B$14:$K$20,9)/30))</f>
        <v>26.615074578788089</v>
      </c>
      <c r="AN87" s="172">
        <f ca="1">(VLOOKUP(AN$72,INDIRECT($C$5&amp;"生成成长"),2))/((VLOOKUP($B87,INDIRECT($B$5&amp;"生成成长"),4))/(VLOOKUP(AN$72,INDIRECT($C$5&amp;"生成成长"),5))*(VLOOKUP($B$5,标准坦克设计!$B$24:$U$30,MATCH("对"&amp;LEFT($C$5,2)&amp;"输出",标准坦克设计!$B$23:$U$23,0)))*(VLOOKUP($B87,INDIRECT($B$5&amp;"生成成长"),3))*(VLOOKUP($B$5,标准坦克设计!$B$14:$K$20,9)/30))</f>
        <v>28.731924167727716</v>
      </c>
      <c r="AO87" s="172">
        <f ca="1">(VLOOKUP(AO$72,INDIRECT($C$5&amp;"生成成长"),2))/((VLOOKUP($B87,INDIRECT($B$5&amp;"生成成长"),4))/(VLOOKUP(AO$72,INDIRECT($C$5&amp;"生成成长"),5))*(VLOOKUP($B$5,标准坦克设计!$B$24:$U$30,MATCH("对"&amp;LEFT($C$5,2)&amp;"输出",标准坦克设计!$B$23:$U$23,0)))*(VLOOKUP($B87,INDIRECT($B$5&amp;"生成成长"),3))*(VLOOKUP($B$5,标准坦克设计!$B$14:$K$20,9)/30))</f>
        <v>30.929766262678939</v>
      </c>
      <c r="AP87" s="172">
        <f ca="1">(VLOOKUP(AP$72,INDIRECT($C$5&amp;"生成成长"),2))/((VLOOKUP($B87,INDIRECT($B$5&amp;"生成成长"),4))/(VLOOKUP(AP$72,INDIRECT($C$5&amp;"生成成长"),5))*(VLOOKUP($B$5,标准坦克设计!$B$24:$U$30,MATCH("对"&amp;LEFT($C$5,2)&amp;"输出",标准坦克设计!$B$23:$U$23,0)))*(VLOOKUP($B87,INDIRECT($B$5&amp;"生成成长"),3))*(VLOOKUP($B$5,标准坦克设计!$B$14:$K$20,9)/30))</f>
        <v>33.208600863641777</v>
      </c>
      <c r="AQ87" s="172">
        <f ca="1">(VLOOKUP(AQ$72,INDIRECT($C$5&amp;"生成成长"),2))/((VLOOKUP($B87,INDIRECT($B$5&amp;"生成成长"),4))/(VLOOKUP(AQ$72,INDIRECT($C$5&amp;"生成成长"),5))*(VLOOKUP($B$5,标准坦克设计!$B$24:$U$30,MATCH("对"&amp;LEFT($C$5,2)&amp;"输出",标准坦克设计!$B$23:$U$23,0)))*(VLOOKUP($B87,INDIRECT($B$5&amp;"生成成长"),3))*(VLOOKUP($B$5,标准坦克设计!$B$14:$K$20,9)/30))</f>
        <v>35.568427970616199</v>
      </c>
      <c r="AR87" s="172">
        <f ca="1">(VLOOKUP(AR$72,INDIRECT($C$5&amp;"生成成长"),2))/((VLOOKUP($B87,INDIRECT($B$5&amp;"生成成长"),4))/(VLOOKUP(AR$72,INDIRECT($C$5&amp;"生成成长"),5))*(VLOOKUP($B$5,标准坦克设计!$B$24:$U$30,MATCH("对"&amp;LEFT($C$5,2)&amp;"输出",标准坦克设计!$B$23:$U$23,0)))*(VLOOKUP($B87,INDIRECT($B$5&amp;"生成成长"),3))*(VLOOKUP($B$5,标准坦克设计!$B$14:$K$20,9)/30))</f>
        <v>38.009247583602239</v>
      </c>
      <c r="AS87" s="172">
        <f ca="1">(VLOOKUP(AS$72,INDIRECT($C$5&amp;"生成成长"),2))/((VLOOKUP($B87,INDIRECT($B$5&amp;"生成成长"),4))/(VLOOKUP(AS$72,INDIRECT($C$5&amp;"生成成长"),5))*(VLOOKUP($B$5,标准坦克设计!$B$24:$U$30,MATCH("对"&amp;LEFT($C$5,2)&amp;"输出",标准坦克设计!$B$23:$U$23,0)))*(VLOOKUP($B87,INDIRECT($B$5&amp;"生成成长"),3))*(VLOOKUP($B$5,标准坦克设计!$B$14:$K$20,9)/30))</f>
        <v>40.531059702599869</v>
      </c>
      <c r="AT87" s="172">
        <f ca="1">(VLOOKUP(AT$72,INDIRECT($C$5&amp;"生成成长"),2))/((VLOOKUP($B87,INDIRECT($B$5&amp;"生成成长"),4))/(VLOOKUP(AT$72,INDIRECT($C$5&amp;"生成成长"),5))*(VLOOKUP($B$5,标准坦克设计!$B$24:$U$30,MATCH("对"&amp;LEFT($C$5,2)&amp;"输出",标准坦克设计!$B$23:$U$23,0)))*(VLOOKUP($B87,INDIRECT($B$5&amp;"生成成长"),3))*(VLOOKUP($B$5,标准坦克设计!$B$14:$K$20,9)/30))</f>
        <v>43.133864327609125</v>
      </c>
      <c r="AU87" s="172">
        <f ca="1">(VLOOKUP(AU$72,INDIRECT($C$5&amp;"生成成长"),2))/((VLOOKUP($B87,INDIRECT($B$5&amp;"生成成长"),4))/(VLOOKUP(AU$72,INDIRECT($C$5&amp;"生成成长"),5))*(VLOOKUP($B$5,标准坦克设计!$B$24:$U$30,MATCH("对"&amp;LEFT($C$5,2)&amp;"输出",标准坦克设计!$B$23:$U$23,0)))*(VLOOKUP($B87,INDIRECT($B$5&amp;"生成成长"),3))*(VLOOKUP($B$5,标准坦克设计!$B$14:$K$20,9)/30))</f>
        <v>45.817661458629956</v>
      </c>
      <c r="AV87" s="172">
        <f ca="1">(VLOOKUP(AV$72,INDIRECT($C$5&amp;"生成成长"),2))/((VLOOKUP($B87,INDIRECT($B$5&amp;"生成成长"),4))/(VLOOKUP(AV$72,INDIRECT($C$5&amp;"生成成长"),5))*(VLOOKUP($B$5,标准坦克设计!$B$24:$U$30,MATCH("对"&amp;LEFT($C$5,2)&amp;"输出",标准坦克设计!$B$23:$U$23,0)))*(VLOOKUP($B87,INDIRECT($B$5&amp;"生成成长"),3))*(VLOOKUP($B$5,标准坦克设计!$B$14:$K$20,9)/30))</f>
        <v>4.6600812136593399</v>
      </c>
      <c r="AW87" s="172">
        <f ca="1">(VLOOKUP(AW$72,INDIRECT($C$5&amp;"生成成长"),2))/((VLOOKUP($B87,INDIRECT($B$5&amp;"生成成长"),4))/(VLOOKUP(AW$72,INDIRECT($C$5&amp;"生成成长"),5))*(VLOOKUP($B$5,标准坦克设计!$B$24:$U$30,MATCH("对"&amp;LEFT($C$5,2)&amp;"输出",标准坦克设计!$B$23:$U$23,0)))*(VLOOKUP($B87,INDIRECT($B$5&amp;"生成成长"),3))*(VLOOKUP($B$5,标准坦克设计!$B$14:$K$20,9)/30))</f>
        <v>5.3133761381826838</v>
      </c>
      <c r="AX87" s="172">
        <f ca="1">(VLOOKUP(AX$72,INDIRECT($C$5&amp;"生成成长"),2))/((VLOOKUP($B87,INDIRECT($B$5&amp;"生成成长"),4))/(VLOOKUP(AX$72,INDIRECT($C$5&amp;"生成成长"),5))*(VLOOKUP($B$5,标准坦克设计!$B$24:$U$30,MATCH("对"&amp;LEFT($C$5,2)&amp;"输出",标准坦克设计!$B$23:$U$23,0)))*(VLOOKUP($B87,INDIRECT($B$5&amp;"生成成长"),3))*(VLOOKUP($B$5,标准坦克设计!$B$14:$K$20,9)/30))</f>
        <v>6.009510074150179</v>
      </c>
      <c r="AY87" s="172">
        <f ca="1">(VLOOKUP(AY$72,INDIRECT($C$5&amp;"生成成长"),2))/((VLOOKUP($B87,INDIRECT($B$5&amp;"生成成长"),4))/(VLOOKUP(AY$72,INDIRECT($C$5&amp;"生成成长"),5))*(VLOOKUP($B$5,标准坦克设计!$B$24:$U$30,MATCH("对"&amp;LEFT($C$5,2)&amp;"输出",标准坦克设计!$B$23:$U$23,0)))*(VLOOKUP($B87,INDIRECT($B$5&amp;"生成成长"),3))*(VLOOKUP($B$5,标准坦克设计!$B$14:$K$20,9)/30))</f>
        <v>6.748483021561829</v>
      </c>
      <c r="AZ87" s="172">
        <f ca="1">(VLOOKUP(AZ$72,INDIRECT($C$5&amp;"生成成长"),2))/((VLOOKUP($B87,INDIRECT($B$5&amp;"生成成长"),4))/(VLOOKUP(AZ$72,INDIRECT($C$5&amp;"生成成长"),5))*(VLOOKUP($B$5,标准坦克设计!$B$24:$U$30,MATCH("对"&amp;LEFT($C$5,2)&amp;"输出",标准坦克设计!$B$23:$U$23,0)))*(VLOOKUP($B87,INDIRECT($B$5&amp;"生成成长"),3))*(VLOOKUP($B$5,标准坦克设计!$B$14:$K$20,9)/30))</f>
        <v>7.5302949804176347</v>
      </c>
      <c r="BA87" s="172">
        <f ca="1">(VLOOKUP(BA$72,INDIRECT($C$5&amp;"生成成长"),2))/((VLOOKUP($B87,INDIRECT($B$5&amp;"生成成长"),4))/(VLOOKUP(BA$72,INDIRECT($C$5&amp;"生成成长"),5))*(VLOOKUP($B$5,标准坦克设计!$B$24:$U$30,MATCH("对"&amp;LEFT($C$5,2)&amp;"输出",标准坦克设计!$B$23:$U$23,0)))*(VLOOKUP($B87,INDIRECT($B$5&amp;"生成成长"),3))*(VLOOKUP($B$5,标准坦克设计!$B$14:$K$20,9)/30))</f>
        <v>8.3549459507175907</v>
      </c>
      <c r="BB87" s="172">
        <f ca="1">(VLOOKUP(BB$72,INDIRECT($C$5&amp;"生成成长"),2))/((VLOOKUP($B87,INDIRECT($B$5&amp;"生成成长"),4))/(VLOOKUP(BB$72,INDIRECT($C$5&amp;"生成成长"),5))*(VLOOKUP($B$5,标准坦克设计!$B$24:$U$30,MATCH("对"&amp;LEFT($C$5,2)&amp;"输出",标准坦克设计!$B$23:$U$23,0)))*(VLOOKUP($B87,INDIRECT($B$5&amp;"生成成长"),3))*(VLOOKUP($B$5,标准坦克设计!$B$14:$K$20,9)/30))</f>
        <v>9.2224359324617033</v>
      </c>
      <c r="BC87" s="172">
        <f ca="1">(VLOOKUP(BC$72,INDIRECT($C$5&amp;"生成成长"),2))/((VLOOKUP($B87,INDIRECT($B$5&amp;"生成成长"),4))/(VLOOKUP(BC$72,INDIRECT($C$5&amp;"生成成长"),5))*(VLOOKUP($B$5,标准坦克设计!$B$24:$U$30,MATCH("对"&amp;LEFT($C$5,2)&amp;"输出",标准坦克设计!$B$23:$U$23,0)))*(VLOOKUP($B87,INDIRECT($B$5&amp;"生成成长"),3))*(VLOOKUP($B$5,标准坦克设计!$B$14:$K$20,9)/30))</f>
        <v>10.132764925649967</v>
      </c>
      <c r="BD87" s="172">
        <f ca="1">(VLOOKUP(BD$72,INDIRECT($C$5&amp;"生成成长"),2))/((VLOOKUP($B87,INDIRECT($B$5&amp;"生成成长"),4))/(VLOOKUP(BD$72,INDIRECT($C$5&amp;"生成成长"),5))*(VLOOKUP($B$5,标准坦克设计!$B$24:$U$30,MATCH("对"&amp;LEFT($C$5,2)&amp;"输出",标准坦克设计!$B$23:$U$23,0)))*(VLOOKUP($B87,INDIRECT($B$5&amp;"生成成长"),3))*(VLOOKUP($B$5,标准坦克设计!$B$14:$K$20,9)/30))</f>
        <v>11.208091048853609</v>
      </c>
      <c r="BE87" s="172">
        <f ca="1">(VLOOKUP(BE$72,INDIRECT($C$5&amp;"生成成长"),2))/((VLOOKUP($B87,INDIRECT($B$5&amp;"生成成长"),4))/(VLOOKUP(BE$72,INDIRECT($C$5&amp;"生成成长"),5))*(VLOOKUP($B$5,标准坦克设计!$B$24:$U$30,MATCH("对"&amp;LEFT($C$5,2)&amp;"输出",标准坦克设计!$B$23:$U$23,0)))*(VLOOKUP($B87,INDIRECT($B$5&amp;"生成成长"),3))*(VLOOKUP($B$5,标准坦克设计!$B$14:$K$20,9)/30))</f>
        <v>12.337635295916252</v>
      </c>
      <c r="BF87" s="172">
        <f ca="1">(VLOOKUP(BF$72,INDIRECT($C$5&amp;"生成成长"),2))/((VLOOKUP($B87,INDIRECT($B$5&amp;"生成成长"),4))/(VLOOKUP(BF$72,INDIRECT($C$5&amp;"生成成长"),5))*(VLOOKUP($B$5,标准坦克设计!$B$24:$U$30,MATCH("对"&amp;LEFT($C$5,2)&amp;"输出",标准坦克设计!$B$23:$U$23,0)))*(VLOOKUP($B87,INDIRECT($B$5&amp;"生成成长"),3))*(VLOOKUP($B$5,标准坦克设计!$B$14:$K$20,9)/30))</f>
        <v>13.521397666837903</v>
      </c>
      <c r="BG87" s="172">
        <f ca="1">(VLOOKUP(BG$72,INDIRECT($C$5&amp;"生成成长"),2))/((VLOOKUP($B87,INDIRECT($B$5&amp;"生成成长"),4))/(VLOOKUP(BG$72,INDIRECT($C$5&amp;"生成成长"),5))*(VLOOKUP($B$5,标准坦克设计!$B$24:$U$30,MATCH("对"&amp;LEFT($C$5,2)&amp;"输出",标准坦克设计!$B$23:$U$23,0)))*(VLOOKUP($B87,INDIRECT($B$5&amp;"生成成长"),3))*(VLOOKUP($B$5,标准坦克设计!$B$14:$K$20,9)/30))</f>
        <v>14.75937816161856</v>
      </c>
      <c r="BH87" s="172">
        <f ca="1">(VLOOKUP(BH$72,INDIRECT($C$5&amp;"生成成长"),2))/((VLOOKUP($B87,INDIRECT($B$5&amp;"生成成长"),4))/(VLOOKUP(BH$72,INDIRECT($C$5&amp;"生成成长"),5))*(VLOOKUP($B$5,标准坦克设计!$B$24:$U$30,MATCH("对"&amp;LEFT($C$5,2)&amp;"输出",标准坦克设计!$B$23:$U$23,0)))*(VLOOKUP($B87,INDIRECT($B$5&amp;"生成成长"),3))*(VLOOKUP($B$5,标准坦克设计!$B$14:$K$20,9)/30))</f>
        <v>7.1340341245592134</v>
      </c>
      <c r="BI87" s="172">
        <f ca="1">(VLOOKUP(BI$72,INDIRECT($C$5&amp;"生成成长"),2))/((VLOOKUP($B87,INDIRECT($B$5&amp;"生成成长"),4))/(VLOOKUP(BI$72,INDIRECT($C$5&amp;"生成成长"),5))*(VLOOKUP($B$5,标准坦克设计!$B$24:$U$30,MATCH("对"&amp;LEFT($C$5,2)&amp;"输出",标准坦克设计!$B$23:$U$23,0)))*(VLOOKUP($B87,INDIRECT($B$5&amp;"生成成长"),3))*(VLOOKUP($B$5,标准坦克设计!$B$14:$K$20,9)/30))</f>
        <v>8.0406816402014947</v>
      </c>
      <c r="BJ87" s="172">
        <f ca="1">(VLOOKUP(BJ$72,INDIRECT($C$5&amp;"生成成长"),2))/((VLOOKUP($B87,INDIRECT($B$5&amp;"生成成长"),4))/(VLOOKUP(BJ$72,INDIRECT($C$5&amp;"生成成长"),5))*(VLOOKUP($B$5,标准坦克设计!$B$24:$U$30,MATCH("对"&amp;LEFT($C$5,2)&amp;"输出",标准坦克设计!$B$23:$U$23,0)))*(VLOOKUP($B87,INDIRECT($B$5&amp;"生成成长"),3))*(VLOOKUP($B$5,标准坦克设计!$B$14:$K$20,9)/30))</f>
        <v>9.0015472797027876</v>
      </c>
      <c r="BK87" s="172">
        <f ca="1">(VLOOKUP(BK$72,INDIRECT($C$5&amp;"生成成长"),2))/((VLOOKUP($B87,INDIRECT($B$5&amp;"生成成长"),4))/(VLOOKUP(BK$72,INDIRECT($C$5&amp;"生成成长"),5))*(VLOOKUP($B$5,标准坦克设计!$B$24:$U$30,MATCH("对"&amp;LEFT($C$5,2)&amp;"输出",标准坦克设计!$B$23:$U$23,0)))*(VLOOKUP($B87,INDIRECT($B$5&amp;"生成成长"),3))*(VLOOKUP($B$5,标准坦克设计!$B$14:$K$20,9)/30))</f>
        <v>10.016631043063082</v>
      </c>
      <c r="BL87" s="172">
        <f ca="1">(VLOOKUP(BL$72,INDIRECT($C$5&amp;"生成成长"),2))/((VLOOKUP($B87,INDIRECT($B$5&amp;"生成成长"),4))/(VLOOKUP(BL$72,INDIRECT($C$5&amp;"生成成长"),5))*(VLOOKUP($B$5,标准坦克设计!$B$24:$U$30,MATCH("对"&amp;LEFT($C$5,2)&amp;"输出",标准坦克设计!$B$23:$U$23,0)))*(VLOOKUP($B87,INDIRECT($B$5&amp;"生成成长"),3))*(VLOOKUP($B$5,标准坦克设计!$B$14:$K$20,9)/30))</f>
        <v>11.085932930282386</v>
      </c>
      <c r="BM87" s="172">
        <f ca="1">(VLOOKUP(BM$72,INDIRECT($C$5&amp;"生成成长"),2))/((VLOOKUP($B87,INDIRECT($B$5&amp;"生成成长"),4))/(VLOOKUP(BM$72,INDIRECT($C$5&amp;"生成成长"),5))*(VLOOKUP($B$5,标准坦克设计!$B$24:$U$30,MATCH("对"&amp;LEFT($C$5,2)&amp;"输出",标准坦克设计!$B$23:$U$23,0)))*(VLOOKUP($B87,INDIRECT($B$5&amp;"生成成长"),3))*(VLOOKUP($B$5,标准坦克设计!$B$14:$K$20,9)/30))</f>
        <v>12.209452941360698</v>
      </c>
      <c r="BN87" s="172">
        <f ca="1">(VLOOKUP(BN$72,INDIRECT($C$5&amp;"生成成长"),2))/((VLOOKUP($B87,INDIRECT($B$5&amp;"生成成长"),4))/(VLOOKUP(BN$72,INDIRECT($C$5&amp;"生成成长"),5))*(VLOOKUP($B$5,标准坦克设计!$B$24:$U$30,MATCH("对"&amp;LEFT($C$5,2)&amp;"输出",标准坦克设计!$B$23:$U$23,0)))*(VLOOKUP($B87,INDIRECT($B$5&amp;"生成成长"),3))*(VLOOKUP($B$5,标准坦克设计!$B$14:$K$20,9)/30))</f>
        <v>13.387191076298015</v>
      </c>
      <c r="BO87" s="172">
        <f ca="1">(VLOOKUP(BO$72,INDIRECT($C$5&amp;"生成成长"),2))/((VLOOKUP($B87,INDIRECT($B$5&amp;"生成成长"),4))/(VLOOKUP(BO$72,INDIRECT($C$5&amp;"生成成长"),5))*(VLOOKUP($B$5,标准坦克设计!$B$24:$U$30,MATCH("对"&amp;LEFT($C$5,2)&amp;"输出",标准坦克设计!$B$23:$U$23,0)))*(VLOOKUP($B87,INDIRECT($B$5&amp;"生成成长"),3))*(VLOOKUP($B$5,标准坦克设计!$B$14:$K$20,9)/30))</f>
        <v>14.61914733509434</v>
      </c>
      <c r="BP87" s="172">
        <f ca="1">(VLOOKUP(BP$72,INDIRECT($C$5&amp;"生成成长"),2))/((VLOOKUP($B87,INDIRECT($B$5&amp;"生成成长"),4))/(VLOOKUP(BP$72,INDIRECT($C$5&amp;"生成成长"),5))*(VLOOKUP($B$5,标准坦克设计!$B$24:$U$30,MATCH("对"&amp;LEFT($C$5,2)&amp;"输出",标准坦克设计!$B$23:$U$23,0)))*(VLOOKUP($B87,INDIRECT($B$5&amp;"生成成长"),3))*(VLOOKUP($B$5,标准坦克设计!$B$14:$K$20,9)/30))</f>
        <v>15.905321717749676</v>
      </c>
      <c r="BQ87" s="172">
        <f ca="1">(VLOOKUP(BQ$72,INDIRECT($C$5&amp;"生成成长"),2))/((VLOOKUP($B87,INDIRECT($B$5&amp;"生成成长"),4))/(VLOOKUP(BQ$72,INDIRECT($C$5&amp;"生成成长"),5))*(VLOOKUP($B$5,标准坦克设计!$B$24:$U$30,MATCH("对"&amp;LEFT($C$5,2)&amp;"输出",标准坦克设计!$B$23:$U$23,0)))*(VLOOKUP($B87,INDIRECT($B$5&amp;"生成成长"),3))*(VLOOKUP($B$5,标准坦克设计!$B$14:$K$20,9)/30))</f>
        <v>17.245714224264013</v>
      </c>
      <c r="BR87" s="172">
        <f ca="1">(VLOOKUP(BR$72,INDIRECT($C$5&amp;"生成成长"),2))/((VLOOKUP($B87,INDIRECT($B$5&amp;"生成成长"),4))/(VLOOKUP(BR$72,INDIRECT($C$5&amp;"生成成长"),5))*(VLOOKUP($B$5,标准坦克设计!$B$24:$U$30,MATCH("对"&amp;LEFT($C$5,2)&amp;"输出",标准坦克设计!$B$23:$U$23,0)))*(VLOOKUP($B87,INDIRECT($B$5&amp;"生成成长"),3))*(VLOOKUP($B$5,标准坦克设计!$B$14:$K$20,9)/30))</f>
        <v>18.79862838911458</v>
      </c>
      <c r="BS87" s="172">
        <f ca="1">(VLOOKUP(BS$72,INDIRECT($C$5&amp;"生成成长"),2))/((VLOOKUP($B87,INDIRECT($B$5&amp;"生成成长"),4))/(VLOOKUP(BS$72,INDIRECT($C$5&amp;"生成成长"),5))*(VLOOKUP($B$5,标准坦克设计!$B$24:$U$30,MATCH("对"&amp;LEFT($C$5,2)&amp;"输出",标准坦克设计!$B$23:$U$23,0)))*(VLOOKUP($B87,INDIRECT($B$5&amp;"生成成长"),3))*(VLOOKUP($B$5,标准坦克设计!$B$14:$K$20,9)/30))</f>
        <v>20.418478509346638</v>
      </c>
      <c r="BT87" s="172">
        <f ca="1">(VLOOKUP(BT$72,INDIRECT($C$5&amp;"生成成长"),2))/((VLOOKUP($B87,INDIRECT($B$5&amp;"生成成长"),4))/(VLOOKUP(BT$72,INDIRECT($C$5&amp;"生成成长"),5))*(VLOOKUP($B$5,标准坦克设计!$B$24:$U$30,MATCH("对"&amp;LEFT($C$5,2)&amp;"输出",标准坦克设计!$B$23:$U$23,0)))*(VLOOKUP($B87,INDIRECT($B$5&amp;"生成成长"),3))*(VLOOKUP($B$5,标准坦克设计!$B$14:$K$20,9)/30))</f>
        <v>22.105264584960196</v>
      </c>
      <c r="BU87" s="172">
        <f ca="1">(VLOOKUP(BU$72,INDIRECT($C$5&amp;"生成成长"),2))/((VLOOKUP($B87,INDIRECT($B$5&amp;"生成成长"),4))/(VLOOKUP(BU$72,INDIRECT($C$5&amp;"生成成长"),5))*(VLOOKUP($B$5,标准坦克设计!$B$24:$U$30,MATCH("对"&amp;LEFT($C$5,2)&amp;"输出",标准坦克设计!$B$23:$U$23,0)))*(VLOOKUP($B87,INDIRECT($B$5&amp;"生成成长"),3))*(VLOOKUP($B$5,标准坦克设计!$B$14:$K$20,9)/30))</f>
        <v>23.858986615955232</v>
      </c>
      <c r="BV87" s="172">
        <f ca="1">(VLOOKUP(BV$72,INDIRECT($C$5&amp;"生成成长"),2))/((VLOOKUP($B87,INDIRECT($B$5&amp;"生成成长"),4))/(VLOOKUP(BV$72,INDIRECT($C$5&amp;"生成成长"),5))*(VLOOKUP($B$5,标准坦克设计!$B$24:$U$30,MATCH("对"&amp;LEFT($C$5,2)&amp;"输出",标准坦克设计!$B$23:$U$23,0)))*(VLOOKUP($B87,INDIRECT($B$5&amp;"生成成长"),3))*(VLOOKUP($B$5,标准坦克设计!$B$14:$K$20,9)/30))</f>
        <v>25.679644602331763</v>
      </c>
      <c r="BW87" s="172">
        <f ca="1">(VLOOKUP(BW$72,INDIRECT($C$5&amp;"生成成长"),2))/((VLOOKUP($B87,INDIRECT($B$5&amp;"生成成长"),4))/(VLOOKUP(BW$72,INDIRECT($C$5&amp;"生成成长"),5))*(VLOOKUP($B$5,标准坦克设计!$B$24:$U$30,MATCH("对"&amp;LEFT($C$5,2)&amp;"输出",标准坦克设计!$B$23:$U$23,0)))*(VLOOKUP($B87,INDIRECT($B$5&amp;"生成成长"),3))*(VLOOKUP($B$5,标准坦克设计!$B$14:$K$20,9)/30))</f>
        <v>11.703417118676631</v>
      </c>
      <c r="BX87" s="172">
        <f ca="1">(VLOOKUP(BX$72,INDIRECT($C$5&amp;"生成成长"),2))/((VLOOKUP($B87,INDIRECT($B$5&amp;"生成成长"),4))/(VLOOKUP(BX$72,INDIRECT($C$5&amp;"生成成长"),5))*(VLOOKUP($B$5,标准坦克设计!$B$24:$U$30,MATCH("对"&amp;LEFT($C$5,2)&amp;"输出",标准坦克设计!$B$23:$U$23,0)))*(VLOOKUP($B87,INDIRECT($B$5&amp;"生成成长"),3))*(VLOOKUP($B$5,标准坦克设计!$B$14:$K$20,9)/30))</f>
        <v>12.988587462001243</v>
      </c>
      <c r="BY87" s="172">
        <f ca="1">(VLOOKUP(BY$72,INDIRECT($C$5&amp;"生成成长"),2))/((VLOOKUP($B87,INDIRECT($B$5&amp;"生成成长"),4))/(VLOOKUP(BY$72,INDIRECT($C$5&amp;"生成成长"),5))*(VLOOKUP($B$5,标准坦克设计!$B$24:$U$30,MATCH("对"&amp;LEFT($C$5,2)&amp;"输出",标准坦克设计!$B$23:$U$23,0)))*(VLOOKUP($B87,INDIRECT($B$5&amp;"生成成长"),3))*(VLOOKUP($B$5,标准坦克设计!$B$14:$K$20,9)/30))</f>
        <v>14.340693760707342</v>
      </c>
      <c r="BZ87" s="172">
        <f ca="1">(VLOOKUP(BZ$72,INDIRECT($C$5&amp;"生成成长"),2))/((VLOOKUP($B87,INDIRECT($B$5&amp;"生成成长"),4))/(VLOOKUP(BZ$72,INDIRECT($C$5&amp;"生成成长"),5))*(VLOOKUP($B$5,标准坦克设计!$B$24:$U$30,MATCH("对"&amp;LEFT($C$5,2)&amp;"输出",标准坦克设计!$B$23:$U$23,0)))*(VLOOKUP($B87,INDIRECT($B$5&amp;"生成成长"),3))*(VLOOKUP($B$5,标准坦克设计!$B$14:$K$20,9)/30))</f>
        <v>15.759736014794933</v>
      </c>
      <c r="CA87" s="172">
        <f ca="1">(VLOOKUP(CA$72,INDIRECT($C$5&amp;"生成成长"),2))/((VLOOKUP($B87,INDIRECT($B$5&amp;"生成成长"),4))/(VLOOKUP(CA$72,INDIRECT($C$5&amp;"生成成长"),5))*(VLOOKUP($B$5,标准坦克设计!$B$24:$U$30,MATCH("对"&amp;LEFT($C$5,2)&amp;"输出",标准坦克设计!$B$23:$U$23,0)))*(VLOOKUP($B87,INDIRECT($B$5&amp;"生成成长"),3))*(VLOOKUP($B$5,标准坦克设计!$B$14:$K$20,9)/30))</f>
        <v>17.245714224264013</v>
      </c>
      <c r="CB87" s="172">
        <f ca="1">(VLOOKUP(CB$72,INDIRECT($C$5&amp;"生成成长"),2))/((VLOOKUP($B87,INDIRECT($B$5&amp;"生成成长"),4))/(VLOOKUP(CB$72,INDIRECT($C$5&amp;"生成成长"),5))*(VLOOKUP($B$5,标准坦克设计!$B$24:$U$30,MATCH("对"&amp;LEFT($C$5,2)&amp;"输出",标准坦克设计!$B$23:$U$23,0)))*(VLOOKUP($B87,INDIRECT($B$5&amp;"生成成长"),3))*(VLOOKUP($B$5,标准坦克设计!$B$14:$K$20,9)/30))</f>
        <v>18.79862838911458</v>
      </c>
      <c r="CC87" s="172">
        <f ca="1">(VLOOKUP(CC$72,INDIRECT($C$5&amp;"生成成长"),2))/((VLOOKUP($B87,INDIRECT($B$5&amp;"生成成长"),4))/(VLOOKUP(CC$72,INDIRECT($C$5&amp;"生成成长"),5))*(VLOOKUP($B$5,标准坦克设计!$B$24:$U$30,MATCH("对"&amp;LEFT($C$5,2)&amp;"输出",标准坦克设计!$B$23:$U$23,0)))*(VLOOKUP($B87,INDIRECT($B$5&amp;"生成成长"),3))*(VLOOKUP($B$5,标准坦克设计!$B$14:$K$20,9)/30))</f>
        <v>20.418478509346638</v>
      </c>
      <c r="CD87" s="172">
        <f ca="1">(VLOOKUP(CD$72,INDIRECT($C$5&amp;"生成成长"),2))/((VLOOKUP($B87,INDIRECT($B$5&amp;"生成成长"),4))/(VLOOKUP(CD$72,INDIRECT($C$5&amp;"生成成长"),5))*(VLOOKUP($B$5,标准坦克设计!$B$24:$U$30,MATCH("对"&amp;LEFT($C$5,2)&amp;"输出",标准坦克设计!$B$23:$U$23,0)))*(VLOOKUP($B87,INDIRECT($B$5&amp;"生成成长"),3))*(VLOOKUP($B$5,标准坦克设计!$B$14:$K$20,9)/30))</f>
        <v>22.105264584960196</v>
      </c>
      <c r="CE87" s="172">
        <f ca="1">(VLOOKUP(CE$72,INDIRECT($C$5&amp;"生成成长"),2))/((VLOOKUP($B87,INDIRECT($B$5&amp;"生成成长"),4))/(VLOOKUP(CE$72,INDIRECT($C$5&amp;"生成成长"),5))*(VLOOKUP($B$5,标准坦克设计!$B$24:$U$30,MATCH("对"&amp;LEFT($C$5,2)&amp;"输出",标准坦克设计!$B$23:$U$23,0)))*(VLOOKUP($B87,INDIRECT($B$5&amp;"生成成长"),3))*(VLOOKUP($B$5,标准坦克设计!$B$14:$K$20,9)/30))</f>
        <v>23.858986615955232</v>
      </c>
      <c r="CF87" s="172">
        <f ca="1">(VLOOKUP(CF$72,INDIRECT($C$5&amp;"生成成长"),2))/((VLOOKUP($B87,INDIRECT($B$5&amp;"生成成长"),4))/(VLOOKUP(CF$72,INDIRECT($C$5&amp;"生成成长"),5))*(VLOOKUP($B$5,标准坦克设计!$B$24:$U$30,MATCH("对"&amp;LEFT($C$5,2)&amp;"输出",标准坦克设计!$B$23:$U$23,0)))*(VLOOKUP($B87,INDIRECT($B$5&amp;"生成成长"),3))*(VLOOKUP($B$5,标准坦克设计!$B$14:$K$20,9)/30))</f>
        <v>25.679644602331763</v>
      </c>
      <c r="CG87" s="172">
        <f ca="1">(VLOOKUP(CG$72,INDIRECT($C$5&amp;"生成成长"),2))/((VLOOKUP($B87,INDIRECT($B$5&amp;"生成成长"),4))/(VLOOKUP(CG$72,INDIRECT($C$5&amp;"生成成长"),5))*(VLOOKUP($B$5,标准坦克设计!$B$24:$U$30,MATCH("对"&amp;LEFT($C$5,2)&amp;"输出",标准坦克设计!$B$23:$U$23,0)))*(VLOOKUP($B87,INDIRECT($B$5&amp;"生成成长"),3))*(VLOOKUP($B$5,标准坦克设计!$B$14:$K$20,9)/30))</f>
        <v>27.567238544089783</v>
      </c>
      <c r="CH87" s="172">
        <f ca="1">(VLOOKUP(CH$72,INDIRECT($C$5&amp;"生成成长"),2))/((VLOOKUP($B87,INDIRECT($B$5&amp;"生成成长"),4))/(VLOOKUP(CH$72,INDIRECT($C$5&amp;"生成成长"),5))*(VLOOKUP($B$5,标准坦克设计!$B$24:$U$30,MATCH("对"&amp;LEFT($C$5,2)&amp;"输出",标准坦克设计!$B$23:$U$23,0)))*(VLOOKUP($B87,INDIRECT($B$5&amp;"生成成长"),3))*(VLOOKUP($B$5,标准坦克设计!$B$14:$K$20,9)/30))</f>
        <v>29.521768441229295</v>
      </c>
      <c r="CI87" s="172">
        <f ca="1">(VLOOKUP(CI$72,INDIRECT($C$5&amp;"生成成长"),2))/((VLOOKUP($B87,INDIRECT($B$5&amp;"生成成长"),4))/(VLOOKUP(CI$72,INDIRECT($C$5&amp;"生成成长"),5))*(VLOOKUP($B$5,标准坦克设计!$B$24:$U$30,MATCH("对"&amp;LEFT($C$5,2)&amp;"输出",标准坦克设计!$B$23:$U$23,0)))*(VLOOKUP($B87,INDIRECT($B$5&amp;"生成成长"),3))*(VLOOKUP($B$5,标准坦克设计!$B$14:$K$20,9)/30))</f>
        <v>31.749062356548375</v>
      </c>
      <c r="CJ87" s="172">
        <f ca="1">(VLOOKUP(CJ$72,INDIRECT($C$5&amp;"生成成长"),2))/((VLOOKUP($B87,INDIRECT($B$5&amp;"生成成长"),4))/(VLOOKUP(CJ$72,INDIRECT($C$5&amp;"生成成长"),5))*(VLOOKUP($B$5,标准坦克设计!$B$24:$U$30,MATCH("对"&amp;LEFT($C$5,2)&amp;"输出",标准坦克设计!$B$23:$U$23,0)))*(VLOOKUP($B87,INDIRECT($B$5&amp;"生成成长"),3))*(VLOOKUP($B$5,标准坦克设计!$B$14:$K$20,9)/30))</f>
        <v>34.057348777879064</v>
      </c>
      <c r="CK87" s="172">
        <f ca="1">(VLOOKUP(CK$72,INDIRECT($C$5&amp;"生成成长"),2))/((VLOOKUP($B87,INDIRECT($B$5&amp;"生成成长"),4))/(VLOOKUP(CK$72,INDIRECT($C$5&amp;"生成成长"),5))*(VLOOKUP($B$5,标准坦克设计!$B$24:$U$30,MATCH("对"&amp;LEFT($C$5,2)&amp;"输出",标准坦克设计!$B$23:$U$23,0)))*(VLOOKUP($B87,INDIRECT($B$5&amp;"生成成长"),3))*(VLOOKUP($B$5,标准坦克设计!$B$14:$K$20,9)/30))</f>
        <v>36.446627705221353</v>
      </c>
      <c r="CL87" s="172">
        <f ca="1">(VLOOKUP(CL$72,INDIRECT($C$5&amp;"生成成长"),2))/((VLOOKUP($B87,INDIRECT($B$5&amp;"生成成长"),4))/(VLOOKUP(CL$72,INDIRECT($C$5&amp;"生成成长"),5))*(VLOOKUP($B$5,标准坦克设计!$B$24:$U$30,MATCH("对"&amp;LEFT($C$5,2)&amp;"输出",标准坦克设计!$B$23:$U$23,0)))*(VLOOKUP($B87,INDIRECT($B$5&amp;"生成成长"),3))*(VLOOKUP($B$5,标准坦克设计!$B$14:$K$20,9)/30))</f>
        <v>38.916899138575239</v>
      </c>
      <c r="CM87" s="172">
        <f ca="1">(VLOOKUP(CM$72,INDIRECT($C$5&amp;"生成成长"),2))/((VLOOKUP($B87,INDIRECT($B$5&amp;"生成成长"),4))/(VLOOKUP(CM$72,INDIRECT($C$5&amp;"生成成长"),5))*(VLOOKUP($B$5,标准坦克设计!$B$24:$U$30,MATCH("对"&amp;LEFT($C$5,2)&amp;"输出",标准坦克设计!$B$23:$U$23,0)))*(VLOOKUP($B87,INDIRECT($B$5&amp;"生成成长"),3))*(VLOOKUP($B$5,标准坦克设计!$B$14:$K$20,9)/30))</f>
        <v>41.468163077940737</v>
      </c>
      <c r="CN87" s="172">
        <f ca="1">(VLOOKUP(CN$72,INDIRECT($C$5&amp;"生成成长"),2))/((VLOOKUP($B87,INDIRECT($B$5&amp;"生成成长"),4))/(VLOOKUP(CN$72,INDIRECT($C$5&amp;"生成成长"),5))*(VLOOKUP($B$5,标准坦克设计!$B$24:$U$30,MATCH("对"&amp;LEFT($C$5,2)&amp;"输出",标准坦克设计!$B$23:$U$23,0)))*(VLOOKUP($B87,INDIRECT($B$5&amp;"生成成长"),3))*(VLOOKUP($B$5,标准坦克设计!$B$14:$K$20,9)/30))</f>
        <v>44.100419523317839</v>
      </c>
      <c r="CO87" s="172">
        <f ca="1">(VLOOKUP(CO$72,INDIRECT($C$5&amp;"生成成长"),2))/((VLOOKUP($B87,INDIRECT($B$5&amp;"生成成长"),4))/(VLOOKUP(CO$72,INDIRECT($C$5&amp;"生成成长"),5))*(VLOOKUP($B$5,标准坦克设计!$B$24:$U$30,MATCH("对"&amp;LEFT($C$5,2)&amp;"输出",标准坦克设计!$B$23:$U$23,0)))*(VLOOKUP($B87,INDIRECT($B$5&amp;"生成成长"),3))*(VLOOKUP($B$5,标准坦克设计!$B$14:$K$20,9)/30))</f>
        <v>19.76250614660804</v>
      </c>
      <c r="CP87" s="172">
        <f ca="1">(VLOOKUP(CP$72,INDIRECT($C$5&amp;"生成成长"),2))/((VLOOKUP($B87,INDIRECT($B$5&amp;"生成成长"),4))/(VLOOKUP(CP$72,INDIRECT($C$5&amp;"生成成长"),5))*(VLOOKUP($B$5,标准坦克设计!$B$24:$U$30,MATCH("对"&amp;LEFT($C$5,2)&amp;"输出",标准坦克设计!$B$23:$U$23,0)))*(VLOOKUP($B87,INDIRECT($B$5&amp;"生成成长"),3))*(VLOOKUP($B$5,标准坦克设计!$B$14:$K$20,9)/30))</f>
        <v>21.592200486961072</v>
      </c>
      <c r="CQ87" s="172">
        <f ca="1">(VLOOKUP(CQ$72,INDIRECT($C$5&amp;"生成成长"),2))/((VLOOKUP($B87,INDIRECT($B$5&amp;"生成成长"),4))/(VLOOKUP(CQ$72,INDIRECT($C$5&amp;"生成成长"),5))*(VLOOKUP($B$5,标准坦克设计!$B$24:$U$30,MATCH("对"&amp;LEFT($C$5,2)&amp;"输出",标准坦克设计!$B$23:$U$23,0)))*(VLOOKUP($B87,INDIRECT($B$5&amp;"生成成长"),3))*(VLOOKUP($B$5,标准坦克设计!$B$14:$K$20,9)/30))</f>
        <v>23.502887333325706</v>
      </c>
      <c r="CR87" s="172">
        <f ca="1">(VLOOKUP(CR$72,INDIRECT($C$5&amp;"生成成长"),2))/((VLOOKUP($B87,INDIRECT($B$5&amp;"生成成长"),4))/(VLOOKUP(CR$72,INDIRECT($C$5&amp;"生成成长"),5))*(VLOOKUP($B$5,标准坦克设计!$B$24:$U$30,MATCH("对"&amp;LEFT($C$5,2)&amp;"输出",标准坦克设计!$B$23:$U$23,0)))*(VLOOKUP($B87,INDIRECT($B$5&amp;"生成成长"),3))*(VLOOKUP($B$5,标准坦克设计!$B$14:$K$20,9)/30))</f>
        <v>25.494566685701944</v>
      </c>
      <c r="CS87" s="172">
        <f ca="1">(VLOOKUP(CS$72,INDIRECT($C$5&amp;"生成成长"),2))/((VLOOKUP($B87,INDIRECT($B$5&amp;"生成成长"),4))/(VLOOKUP(CS$72,INDIRECT($C$5&amp;"生成成长"),5))*(VLOOKUP($B$5,标准坦克设计!$B$24:$U$30,MATCH("对"&amp;LEFT($C$5,2)&amp;"输出",标准坦克设计!$B$23:$U$23,0)))*(VLOOKUP($B87,INDIRECT($B$5&amp;"生成成长"),3))*(VLOOKUP($B$5,标准坦克设计!$B$14:$K$20,9)/30))</f>
        <v>27.567238544089783</v>
      </c>
      <c r="CT87" s="172">
        <f ca="1">(VLOOKUP(CT$72,INDIRECT($C$5&amp;"生成成长"),2))/((VLOOKUP($B87,INDIRECT($B$5&amp;"生成成长"),4))/(VLOOKUP(CT$72,INDIRECT($C$5&amp;"生成成长"),5))*(VLOOKUP($B$5,标准坦克设计!$B$24:$U$30,MATCH("对"&amp;LEFT($C$5,2)&amp;"输出",标准坦克设计!$B$23:$U$23,0)))*(VLOOKUP($B87,INDIRECT($B$5&amp;"生成成长"),3))*(VLOOKUP($B$5,标准坦克设计!$B$14:$K$20,9)/30))</f>
        <v>29.720902908489226</v>
      </c>
      <c r="CU87" s="172">
        <f ca="1">(VLOOKUP(CU$72,INDIRECT($C$5&amp;"生成成长"),2))/((VLOOKUP($B87,INDIRECT($B$5&amp;"生成成长"),4))/(VLOOKUP(CU$72,INDIRECT($C$5&amp;"生成成长"),5))*(VLOOKUP($B$5,标准坦克设计!$B$24:$U$30,MATCH("对"&amp;LEFT($C$5,2)&amp;"输出",标准坦克设计!$B$23:$U$23,0)))*(VLOOKUP($B87,INDIRECT($B$5&amp;"生成成长"),3))*(VLOOKUP($B$5,标准坦克设计!$B$14:$K$20,9)/30))</f>
        <v>31.95555977890027</v>
      </c>
      <c r="CV87" s="172">
        <f ca="1">(VLOOKUP(CV$72,INDIRECT($C$5&amp;"生成成长"),2))/((VLOOKUP($B87,INDIRECT($B$5&amp;"生成成长"),4))/(VLOOKUP(CV$72,INDIRECT($C$5&amp;"生成成长"),5))*(VLOOKUP($B$5,标准坦克设计!$B$24:$U$30,MATCH("对"&amp;LEFT($C$5,2)&amp;"输出",标准坦克设计!$B$23:$U$23,0)))*(VLOOKUP($B87,INDIRECT($B$5&amp;"生成成长"),3))*(VLOOKUP($B$5,标准坦克设计!$B$14:$K$20,9)/30))</f>
        <v>34.271209155322914</v>
      </c>
      <c r="CW87" s="172">
        <f ca="1">(VLOOKUP(CW$72,INDIRECT($C$5&amp;"生成成长"),2))/((VLOOKUP($B87,INDIRECT($B$5&amp;"生成成长"),4))/(VLOOKUP(CW$72,INDIRECT($C$5&amp;"生成成长"),5))*(VLOOKUP($B$5,标准坦克设计!$B$24:$U$30,MATCH("对"&amp;LEFT($C$5,2)&amp;"输出",标准坦克设计!$B$23:$U$23,0)))*(VLOOKUP($B87,INDIRECT($B$5&amp;"生成成长"),3))*(VLOOKUP($B$5,标准坦克设计!$B$14:$K$20,9)/30))</f>
        <v>36.667851037757174</v>
      </c>
      <c r="CX87" s="172">
        <f ca="1">(VLOOKUP(CX$72,INDIRECT($C$5&amp;"生成成长"),2))/((VLOOKUP($B87,INDIRECT($B$5&amp;"生成成长"),4))/(VLOOKUP(CX$72,INDIRECT($C$5&amp;"生成成长"),5))*(VLOOKUP($B$5,标准坦克设计!$B$24:$U$30,MATCH("对"&amp;LEFT($C$5,2)&amp;"输出",标准坦克设计!$B$23:$U$23,0)))*(VLOOKUP($B87,INDIRECT($B$5&amp;"生成成长"),3))*(VLOOKUP($B$5,标准坦克设计!$B$14:$K$20,9)/30))</f>
        <v>39.145485426203024</v>
      </c>
      <c r="CY87" s="172">
        <f ca="1">(VLOOKUP(CY$72,INDIRECT($C$5&amp;"生成成长"),2))/((VLOOKUP($B87,INDIRECT($B$5&amp;"生成成长"),4))/(VLOOKUP(CY$72,INDIRECT($C$5&amp;"生成成长"),5))*(VLOOKUP($B$5,标准坦克设计!$B$24:$U$30,MATCH("对"&amp;LEFT($C$5,2)&amp;"输出",标准坦克设计!$B$23:$U$23,0)))*(VLOOKUP($B87,INDIRECT($B$5&amp;"生成成长"),3))*(VLOOKUP($B$5,标准坦克设计!$B$14:$K$20,9)/30))</f>
        <v>41.704112320660492</v>
      </c>
      <c r="CZ87" s="172">
        <f ca="1">(VLOOKUP(CZ$72,INDIRECT($C$5&amp;"生成成长"),2))/((VLOOKUP($B87,INDIRECT($B$5&amp;"生成成长"),4))/(VLOOKUP(CZ$72,INDIRECT($C$5&amp;"生成成长"),5))*(VLOOKUP($B$5,标准坦克设计!$B$24:$U$30,MATCH("对"&amp;LEFT($C$5,2)&amp;"输出",标准坦克设计!$B$23:$U$23,0)))*(VLOOKUP($B87,INDIRECT($B$5&amp;"生成成长"),3))*(VLOOKUP($B$5,标准坦克设计!$B$14:$K$20,9)/30))</f>
        <v>44.343731721129544</v>
      </c>
      <c r="DA87" s="172">
        <f ca="1">(VLOOKUP(DA$72,INDIRECT($C$5&amp;"生成成长"),2))/((VLOOKUP($B87,INDIRECT($B$5&amp;"生成成长"),4))/(VLOOKUP(DA$72,INDIRECT($C$5&amp;"生成成长"),5))*(VLOOKUP($B$5,标准坦克设计!$B$24:$U$30,MATCH("对"&amp;LEFT($C$5,2)&amp;"输出",标准坦克设计!$B$23:$U$23,0)))*(VLOOKUP($B87,INDIRECT($B$5&amp;"生成成长"),3))*(VLOOKUP($B$5,标准坦克设计!$B$14:$K$20,9)/30))</f>
        <v>47.064343627610214</v>
      </c>
      <c r="DB87" s="172">
        <f ca="1">(VLOOKUP(DB$72,INDIRECT($C$5&amp;"生成成长"),2))/((VLOOKUP($B87,INDIRECT($B$5&amp;"生成成长"),4))/(VLOOKUP(DB$72,INDIRECT($C$5&amp;"生成成长"),5))*(VLOOKUP($B$5,标准坦克设计!$B$24:$U$30,MATCH("对"&amp;LEFT($C$5,2)&amp;"输出",标准坦克设计!$B$23:$U$23,0)))*(VLOOKUP($B87,INDIRECT($B$5&amp;"生成成长"),3))*(VLOOKUP($B$5,标准坦克设计!$B$14:$K$20,9)/30))</f>
        <v>49.865948040102488</v>
      </c>
      <c r="DC87" s="172">
        <f ca="1">(VLOOKUP(DC$72,INDIRECT($C$5&amp;"生成成长"),2))/((VLOOKUP($B87,INDIRECT($B$5&amp;"生成成长"),4))/(VLOOKUP(DC$72,INDIRECT($C$5&amp;"生成成长"),5))*(VLOOKUP($B$5,标准坦克设计!$B$24:$U$30,MATCH("对"&amp;LEFT($C$5,2)&amp;"输出",标准坦克设计!$B$23:$U$23,0)))*(VLOOKUP($B87,INDIRECT($B$5&amp;"生成成长"),3))*(VLOOKUP($B$5,标准坦克设计!$B$14:$K$20,9)/30))</f>
        <v>53.014615381247779</v>
      </c>
      <c r="DD87" s="172">
        <f ca="1">(VLOOKUP(DD$72,INDIRECT($C$5&amp;"生成成长"),2))/((VLOOKUP($B87,INDIRECT($B$5&amp;"生成成长"),4))/(VLOOKUP(DD$72,INDIRECT($C$5&amp;"生成成长"),5))*(VLOOKUP($B$5,标准坦克设计!$B$24:$U$30,MATCH("对"&amp;LEFT($C$5,2)&amp;"输出",标准坦克设计!$B$23:$U$23,0)))*(VLOOKUP($B87,INDIRECT($B$5&amp;"生成成长"),3))*(VLOOKUP($B$5,标准坦克设计!$B$14:$K$20,9)/30))</f>
        <v>56.259670498142405</v>
      </c>
      <c r="DE87" s="172">
        <f ca="1">(VLOOKUP(DE$72,INDIRECT($C$5&amp;"生成成长"),2))/((VLOOKUP($B87,INDIRECT($B$5&amp;"生成成长"),4))/(VLOOKUP(DE$72,INDIRECT($C$5&amp;"生成成长"),5))*(VLOOKUP($B$5,标准坦克设计!$B$24:$U$30,MATCH("对"&amp;LEFT($C$5,2)&amp;"输出",标准坦克设计!$B$23:$U$23,0)))*(VLOOKUP($B87,INDIRECT($B$5&amp;"生成成长"),3))*(VLOOKUP($B$5,标准坦克设计!$B$14:$K$20,9)/30))</f>
        <v>59.601113390786409</v>
      </c>
      <c r="DF87" s="172">
        <f ca="1">(VLOOKUP(DF$72,INDIRECT($C$5&amp;"生成成长"),2))/((VLOOKUP($B87,INDIRECT($B$5&amp;"生成成长"),4))/(VLOOKUP(DF$72,INDIRECT($C$5&amp;"生成成长"),5))*(VLOOKUP($B$5,标准坦克设计!$B$24:$U$30,MATCH("对"&amp;LEFT($C$5,2)&amp;"输出",标准坦克设计!$B$23:$U$23,0)))*(VLOOKUP($B87,INDIRECT($B$5&amp;"生成成长"),3))*(VLOOKUP($B$5,标准坦克设计!$B$14:$K$20,9)/30))</f>
        <v>63.038944059179734</v>
      </c>
      <c r="DG87" s="172">
        <f ca="1">(VLOOKUP(DG$72,INDIRECT($C$5&amp;"生成成长"),2))/((VLOOKUP($B87,INDIRECT($B$5&amp;"生成成长"),4))/(VLOOKUP(DG$72,INDIRECT($C$5&amp;"生成成长"),5))*(VLOOKUP($B$5,标准坦克设计!$B$24:$U$30,MATCH("对"&amp;LEFT($C$5,2)&amp;"输出",标准坦克设计!$B$23:$U$23,0)))*(VLOOKUP($B87,INDIRECT($B$5&amp;"生成成长"),3))*(VLOOKUP($B$5,标准坦克设计!$B$14:$K$20,9)/30))</f>
        <v>66.573162503322408</v>
      </c>
      <c r="DH87" s="172">
        <f ca="1">(VLOOKUP(DH$72,INDIRECT($C$5&amp;"生成成长"),2))/((VLOOKUP($B87,INDIRECT($B$5&amp;"生成成长"),4))/(VLOOKUP(DH$72,INDIRECT($C$5&amp;"生成成长"),5))*(VLOOKUP($B$5,标准坦克设计!$B$24:$U$30,MATCH("对"&amp;LEFT($C$5,2)&amp;"输出",标准坦克设计!$B$23:$U$23,0)))*(VLOOKUP($B87,INDIRECT($B$5&amp;"生成成长"),3))*(VLOOKUP($B$5,标准坦克设计!$B$14:$K$20,9)/30))</f>
        <v>70.203768723214424</v>
      </c>
      <c r="DI87" s="172">
        <f ca="1">(VLOOKUP(DI$72,INDIRECT($C$5&amp;"生成成长"),2))/((VLOOKUP($B87,INDIRECT($B$5&amp;"生成成长"),4))/(VLOOKUP(DI$72,INDIRECT($C$5&amp;"生成成长"),5))*(VLOOKUP($B$5,标准坦克设计!$B$24:$U$30,MATCH("对"&amp;LEFT($C$5,2)&amp;"输出",标准坦克设计!$B$23:$U$23,0)))*(VLOOKUP($B87,INDIRECT($B$5&amp;"生成成长"),3))*(VLOOKUP($B$5,标准坦克设计!$B$14:$K$20,9)/30))</f>
        <v>73.930762718855803</v>
      </c>
      <c r="DJ87" s="172">
        <f ca="1">(VLOOKUP(DJ$72,INDIRECT($C$5&amp;"生成成长"),2))/((VLOOKUP($B87,INDIRECT($B$5&amp;"生成成长"),4))/(VLOOKUP(DJ$72,INDIRECT($C$5&amp;"生成成长"),5))*(VLOOKUP($B$5,标准坦克设计!$B$24:$U$30,MATCH("对"&amp;LEFT($C$5,2)&amp;"输出",标准坦克设计!$B$23:$U$23,0)))*(VLOOKUP($B87,INDIRECT($B$5&amp;"生成成长"),3))*(VLOOKUP($B$5,标准坦克设计!$B$14:$K$20,9)/30))</f>
        <v>7.4302257271223064</v>
      </c>
      <c r="DK87" s="172">
        <f ca="1">(VLOOKUP(DK$72,INDIRECT($C$5&amp;"生成成长"),2))/((VLOOKUP($B87,INDIRECT($B$5&amp;"生成成长"),4))/(VLOOKUP(DK$72,INDIRECT($C$5&amp;"生成成长"),5))*(VLOOKUP($B$5,标准坦克设计!$B$24:$U$30,MATCH("对"&amp;LEFT($C$5,2)&amp;"输出",标准坦克设计!$B$23:$U$23,0)))*(VLOOKUP($B87,INDIRECT($B$5&amp;"生成成长"),3))*(VLOOKUP($B$5,标准坦克设计!$B$14:$K$20,9)/30))</f>
        <v>8.3549459507175907</v>
      </c>
      <c r="DL87" s="172">
        <f ca="1">(VLOOKUP(DL$72,INDIRECT($C$5&amp;"生成成长"),2))/((VLOOKUP($B87,INDIRECT($B$5&amp;"生成成长"),4))/(VLOOKUP(DL$72,INDIRECT($C$5&amp;"生成成长"),5))*(VLOOKUP($B$5,标准坦克设计!$B$24:$U$30,MATCH("对"&amp;LEFT($C$5,2)&amp;"输出",标准坦克设计!$B$23:$U$23,0)))*(VLOOKUP($B87,INDIRECT($B$5&amp;"生成成长"),3))*(VLOOKUP($B$5,标准坦克设计!$B$14:$K$20,9)/30))</f>
        <v>9.3338842981718848</v>
      </c>
      <c r="DM87" s="172">
        <f ca="1">(VLOOKUP(DM$72,INDIRECT($C$5&amp;"生成成长"),2))/((VLOOKUP($B87,INDIRECT($B$5&amp;"生成成长"),4))/(VLOOKUP(DM$72,INDIRECT($C$5&amp;"生成成长"),5))*(VLOOKUP($B$5,标准坦克设计!$B$24:$U$30,MATCH("对"&amp;LEFT($C$5,2)&amp;"输出",标准坦克设计!$B$23:$U$23,0)))*(VLOOKUP($B87,INDIRECT($B$5&amp;"生成成长"),3))*(VLOOKUP($B$5,标准坦克设计!$B$14:$K$20,9)/30))</f>
        <v>10.367040769485184</v>
      </c>
      <c r="DN87" s="172">
        <f ca="1">(VLOOKUP(DN$72,INDIRECT($C$5&amp;"生成成长"),2))/((VLOOKUP($B87,INDIRECT($B$5&amp;"生成成长"),4))/(VLOOKUP(DN$72,INDIRECT($C$5&amp;"生成成长"),5))*(VLOOKUP($B$5,标准坦克设计!$B$24:$U$30,MATCH("对"&amp;LEFT($C$5,2)&amp;"输出",标准坦克设计!$B$23:$U$23,0)))*(VLOOKUP($B87,INDIRECT($B$5&amp;"生成成长"),3))*(VLOOKUP($B$5,标准坦克设计!$B$14:$K$20,9)/30))</f>
        <v>11.454415364657489</v>
      </c>
      <c r="DO87" s="172">
        <f ca="1">(VLOOKUP(DO$72,INDIRECT($C$5&amp;"生成成长"),2))/((VLOOKUP($B87,INDIRECT($B$5&amp;"生成成长"),4))/(VLOOKUP(DO$72,INDIRECT($C$5&amp;"生成成长"),5))*(VLOOKUP($B$5,标准坦克设计!$B$24:$U$30,MATCH("对"&amp;LEFT($C$5,2)&amp;"输出",标准坦克设计!$B$23:$U$23,0)))*(VLOOKUP($B87,INDIRECT($B$5&amp;"生成成长"),3))*(VLOOKUP($B$5,标准坦克设计!$B$14:$K$20,9)/30))</f>
        <v>12.596008083688803</v>
      </c>
      <c r="DP87" s="172">
        <f ca="1">(VLOOKUP(DP$72,INDIRECT($C$5&amp;"生成成长"),2))/((VLOOKUP($B87,INDIRECT($B$5&amp;"生成成长"),4))/(VLOOKUP(DP$72,INDIRECT($C$5&amp;"生成成长"),5))*(VLOOKUP($B$5,标准坦克设计!$B$24:$U$30,MATCH("对"&amp;LEFT($C$5,2)&amp;"输出",标准坦克设计!$B$23:$U$23,0)))*(VLOOKUP($B87,INDIRECT($B$5&amp;"生成成长"),3))*(VLOOKUP($B$5,标准坦克设计!$B$14:$K$20,9)/30))</f>
        <v>13.791818926579122</v>
      </c>
      <c r="DQ87" s="172">
        <f ca="1">(VLOOKUP(DQ$72,INDIRECT($C$5&amp;"生成成长"),2))/((VLOOKUP($B87,INDIRECT($B$5&amp;"生成成长"),4))/(VLOOKUP(DQ$72,INDIRECT($C$5&amp;"生成成长"),5))*(VLOOKUP($B$5,标准坦克设计!$B$24:$U$30,MATCH("对"&amp;LEFT($C$5,2)&amp;"输出",标准坦克设计!$B$23:$U$23,0)))*(VLOOKUP($B87,INDIRECT($B$5&amp;"生成成长"),3))*(VLOOKUP($B$5,标准坦克设计!$B$14:$K$20,9)/30))</f>
        <v>15.041847893328452</v>
      </c>
      <c r="DR87" s="172">
        <f ca="1">(VLOOKUP(DR$72,INDIRECT($C$5&amp;"生成成长"),2))/((VLOOKUP($B87,INDIRECT($B$5&amp;"生成成长"),4))/(VLOOKUP(DR$72,INDIRECT($C$5&amp;"生成成长"),5))*(VLOOKUP($B$5,标准坦克设计!$B$24:$U$30,MATCH("对"&amp;LEFT($C$5,2)&amp;"输出",标准坦克设计!$B$23:$U$23,0)))*(VLOOKUP($B87,INDIRECT($B$5&amp;"生成成长"),3))*(VLOOKUP($B$5,标准坦克设计!$B$14:$K$20,9)/30))</f>
        <v>16.346094983936787</v>
      </c>
      <c r="DS87" s="172">
        <f ca="1">(VLOOKUP(DS$72,INDIRECT($C$5&amp;"生成成长"),2))/((VLOOKUP($B87,INDIRECT($B$5&amp;"生成成长"),4))/(VLOOKUP(DS$72,INDIRECT($C$5&amp;"生成成长"),5))*(VLOOKUP($B$5,标准坦克设计!$B$24:$U$30,MATCH("对"&amp;LEFT($C$5,2)&amp;"输出",标准坦克设计!$B$23:$U$23,0)))*(VLOOKUP($B87,INDIRECT($B$5&amp;"生成成长"),3))*(VLOOKUP($B$5,标准坦克设计!$B$14:$K$20,9)/30))</f>
        <v>17.704560198404128</v>
      </c>
      <c r="DT87" s="172">
        <f ca="1">(VLOOKUP(DT$72,INDIRECT($C$5&amp;"生成成长"),2))/((VLOOKUP($B87,INDIRECT($B$5&amp;"生成成长"),4))/(VLOOKUP(DT$72,INDIRECT($C$5&amp;"生成成长"),5))*(VLOOKUP($B$5,标准坦克设计!$B$24:$U$30,MATCH("对"&amp;LEFT($C$5,2)&amp;"输出",标准坦克设计!$B$23:$U$23,0)))*(VLOOKUP($B87,INDIRECT($B$5&amp;"生成成长"),3))*(VLOOKUP($B$5,标准坦克设计!$B$14:$K$20,9)/30))</f>
        <v>19.438536122561629</v>
      </c>
      <c r="DU87" s="172">
        <f ca="1">(VLOOKUP(DU$72,INDIRECT($C$5&amp;"生成成长"),2))/((VLOOKUP($B87,INDIRECT($B$5&amp;"生成成长"),4))/(VLOOKUP(DU$72,INDIRECT($C$5&amp;"生成成长"),5))*(VLOOKUP($B$5,标准坦克设计!$B$24:$U$30,MATCH("对"&amp;LEFT($C$5,2)&amp;"输出",标准坦克设计!$B$23:$U$23,0)))*(VLOOKUP($B87,INDIRECT($B$5&amp;"生成成长"),3))*(VLOOKUP($B$5,标准坦克设计!$B$14:$K$20,9)/30))</f>
        <v>21.253504552730735</v>
      </c>
      <c r="DV87" s="172">
        <f ca="1">(VLOOKUP(DV$72,INDIRECT($C$5&amp;"生成成长"),2))/((VLOOKUP($B87,INDIRECT($B$5&amp;"生成成长"),4))/(VLOOKUP(DV$72,INDIRECT($C$5&amp;"生成成长"),5))*(VLOOKUP($B$5,标准坦克设计!$B$24:$U$30,MATCH("对"&amp;LEFT($C$5,2)&amp;"输出",标准坦克设计!$B$23:$U$23,0)))*(VLOOKUP($B87,INDIRECT($B$5&amp;"生成成长"),3))*(VLOOKUP($B$5,标准坦克设计!$B$14:$K$20,9)/30))</f>
        <v>23.149465488911435</v>
      </c>
      <c r="DW87" s="172">
        <f ca="1">(VLOOKUP(DW$72,INDIRECT($C$5&amp;"生成成长"),2))/((VLOOKUP($B87,INDIRECT($B$5&amp;"生成成长"),4))/(VLOOKUP(DW$72,INDIRECT($C$5&amp;"生成成长"),5))*(VLOOKUP($B$5,标准坦克设计!$B$24:$U$30,MATCH("对"&amp;LEFT($C$5,2)&amp;"输出",标准坦克设计!$B$23:$U$23,0)))*(VLOOKUP($B87,INDIRECT($B$5&amp;"生成成长"),3))*(VLOOKUP($B$5,标准坦克设计!$B$14:$K$20,9)/30))</f>
        <v>25.12641893110375</v>
      </c>
      <c r="DX87" s="172">
        <f ca="1">(VLOOKUP(DX$72,INDIRECT($C$5&amp;"生成成长"),2))/((VLOOKUP($B87,INDIRECT($B$5&amp;"生成成长"),4))/(VLOOKUP(DX$72,INDIRECT($C$5&amp;"生成成长"),5))*(VLOOKUP($B$5,标准坦克设计!$B$24:$U$30,MATCH("对"&amp;LEFT($C$5,2)&amp;"输出",标准坦克设计!$B$23:$U$23,0)))*(VLOOKUP($B87,INDIRECT($B$5&amp;"生成成长"),3))*(VLOOKUP($B$5,标准坦克设计!$B$14:$K$20,9)/30))</f>
        <v>27.184364879307658</v>
      </c>
      <c r="DY87" s="172">
        <f ca="1">(VLOOKUP(DY$72,INDIRECT($C$5&amp;"生成成长"),2))/((VLOOKUP($B87,INDIRECT($B$5&amp;"生成成长"),4))/(VLOOKUP(DY$72,INDIRECT($C$5&amp;"生成成长"),5))*(VLOOKUP($B$5,标准坦克设计!$B$24:$U$30,MATCH("对"&amp;LEFT($C$5,2)&amp;"输出",标准坦克设计!$B$23:$U$23,0)))*(VLOOKUP($B87,INDIRECT($B$5&amp;"生成成长"),3))*(VLOOKUP($B$5,标准坦克设计!$B$14:$K$20,9)/30))</f>
        <v>12.209452941360698</v>
      </c>
      <c r="DZ87" s="172">
        <f ca="1">(VLOOKUP(DZ$72,INDIRECT($C$5&amp;"生成成长"),2))/((VLOOKUP($B87,INDIRECT($B$5&amp;"生成成长"),4))/(VLOOKUP(DZ$72,INDIRECT($C$5&amp;"生成成长"),5))*(VLOOKUP($B$5,标准坦克设计!$B$24:$U$30,MATCH("对"&amp;LEFT($C$5,2)&amp;"输出",标准坦克设计!$B$23:$U$23,0)))*(VLOOKUP($B87,INDIRECT($B$5&amp;"生成成长"),3))*(VLOOKUP($B$5,标准坦克设计!$B$14:$K$20,9)/30))</f>
        <v>13.521397666837903</v>
      </c>
      <c r="EA87" s="172">
        <f ca="1">(VLOOKUP(EA$72,INDIRECT($C$5&amp;"生成成长"),2))/((VLOOKUP($B87,INDIRECT($B$5&amp;"生成成长"),4))/(VLOOKUP(EA$72,INDIRECT($C$5&amp;"生成成长"),5))*(VLOOKUP($B$5,标准坦克设计!$B$24:$U$30,MATCH("对"&amp;LEFT($C$5,2)&amp;"输出",标准坦克设计!$B$23:$U$23,0)))*(VLOOKUP($B87,INDIRECT($B$5&amp;"生成成长"),3))*(VLOOKUP($B$5,标准坦克设计!$B$14:$K$20,9)/30))</f>
        <v>14.900278347696602</v>
      </c>
      <c r="EB87" s="172">
        <f ca="1">(VLOOKUP(EB$72,INDIRECT($C$5&amp;"生成成长"),2))/((VLOOKUP($B87,INDIRECT($B$5&amp;"生成成长"),4))/(VLOOKUP(EB$72,INDIRECT($C$5&amp;"生成成长"),5))*(VLOOKUP($B$5,标准坦克设计!$B$24:$U$30,MATCH("对"&amp;LEFT($C$5,2)&amp;"输出",标准坦克设计!$B$23:$U$23,0)))*(VLOOKUP($B87,INDIRECT($B$5&amp;"生成成长"),3))*(VLOOKUP($B$5,标准坦克设计!$B$14:$K$20,9)/30))</f>
        <v>16.346094983936787</v>
      </c>
      <c r="EC87" s="172">
        <f ca="1">(VLOOKUP(EC$72,INDIRECT($C$5&amp;"生成成长"),2))/((VLOOKUP($B87,INDIRECT($B$5&amp;"生成成长"),4))/(VLOOKUP(EC$72,INDIRECT($C$5&amp;"生成成长"),5))*(VLOOKUP($B$5,标准坦克设计!$B$24:$U$30,MATCH("对"&amp;LEFT($C$5,2)&amp;"输出",标准坦克设计!$B$23:$U$23,0)))*(VLOOKUP($B87,INDIRECT($B$5&amp;"生成成长"),3))*(VLOOKUP($B$5,标准坦克设计!$B$14:$K$20,9)/30))</f>
        <v>17.85884757555846</v>
      </c>
      <c r="ED87" s="172">
        <f ca="1">(VLOOKUP(ED$72,INDIRECT($C$5&amp;"生成成长"),2))/((VLOOKUP($B87,INDIRECT($B$5&amp;"生成成长"),4))/(VLOOKUP(ED$72,INDIRECT($C$5&amp;"生成成长"),5))*(VLOOKUP($B$5,标准坦克设计!$B$24:$U$30,MATCH("对"&amp;LEFT($C$5,2)&amp;"输出",标准坦克设计!$B$23:$U$23,0)))*(VLOOKUP($B87,INDIRECT($B$5&amp;"生成成长"),3))*(VLOOKUP($B$5,标准坦克设计!$B$14:$K$20,9)/30))</f>
        <v>19.438536122561629</v>
      </c>
      <c r="EE87" s="172">
        <f ca="1">(VLOOKUP(EE$72,INDIRECT($C$5&amp;"生成成长"),2))/((VLOOKUP($B87,INDIRECT($B$5&amp;"生成成长"),4))/(VLOOKUP(EE$72,INDIRECT($C$5&amp;"生成成长"),5))*(VLOOKUP($B$5,标准坦克设计!$B$24:$U$30,MATCH("对"&amp;LEFT($C$5,2)&amp;"输出",标准坦克设计!$B$23:$U$23,0)))*(VLOOKUP($B87,INDIRECT($B$5&amp;"生成成长"),3))*(VLOOKUP($B$5,标准坦克设计!$B$14:$K$20,9)/30))</f>
        <v>21.085160624946283</v>
      </c>
      <c r="EF87" s="172">
        <f ca="1">(VLOOKUP(EF$72,INDIRECT($C$5&amp;"生成成长"),2))/((VLOOKUP($B87,INDIRECT($B$5&amp;"生成成长"),4))/(VLOOKUP(EF$72,INDIRECT($C$5&amp;"生成成长"),5))*(VLOOKUP($B$5,标准坦克设计!$B$24:$U$30,MATCH("对"&amp;LEFT($C$5,2)&amp;"输出",标准坦克设计!$B$23:$U$23,0)))*(VLOOKUP($B87,INDIRECT($B$5&amp;"生成成长"),3))*(VLOOKUP($B$5,标准坦克设计!$B$14:$K$20,9)/30))</f>
        <v>22.798721082712429</v>
      </c>
      <c r="EG87" s="172">
        <f ca="1">(VLOOKUP(EG$72,INDIRECT($C$5&amp;"生成成长"),2))/((VLOOKUP($B87,INDIRECT($B$5&amp;"生成成长"),4))/(VLOOKUP(EG$72,INDIRECT($C$5&amp;"生成成长"),5))*(VLOOKUP($B$5,标准坦克设计!$B$24:$U$30,MATCH("对"&amp;LEFT($C$5,2)&amp;"输出",标准坦克设计!$B$23:$U$23,0)))*(VLOOKUP($B87,INDIRECT($B$5&amp;"生成成长"),3))*(VLOOKUP($B$5,标准坦克设计!$B$14:$K$20,9)/30))</f>
        <v>24.579217495860068</v>
      </c>
      <c r="EH87" s="172">
        <f ca="1">(VLOOKUP(EH$72,INDIRECT($C$5&amp;"生成成长"),2))/((VLOOKUP($B87,INDIRECT($B$5&amp;"生成成长"),4))/(VLOOKUP(EH$72,INDIRECT($C$5&amp;"生成成长"),5))*(VLOOKUP($B$5,标准坦克设计!$B$24:$U$30,MATCH("对"&amp;LEFT($C$5,2)&amp;"输出",标准坦克设计!$B$23:$U$23,0)))*(VLOOKUP($B87,INDIRECT($B$5&amp;"生成成长"),3))*(VLOOKUP($B$5,标准坦克设计!$B$14:$K$20,9)/30))</f>
        <v>26.426649864389191</v>
      </c>
      <c r="EI87" s="172">
        <f ca="1">(VLOOKUP(EI$72,INDIRECT($C$5&amp;"生成成长"),2))/((VLOOKUP($B87,INDIRECT($B$5&amp;"生成成长"),4))/(VLOOKUP(EI$72,INDIRECT($C$5&amp;"生成成长"),5))*(VLOOKUP($B$5,标准坦克设计!$B$24:$U$30,MATCH("对"&amp;LEFT($C$5,2)&amp;"输出",标准坦克设计!$B$23:$U$23,0)))*(VLOOKUP($B87,INDIRECT($B$5&amp;"生成成长"),3))*(VLOOKUP($B$5,标准坦克设计!$B$14:$K$20,9)/30))</f>
        <v>28.341018188299806</v>
      </c>
      <c r="EJ87" s="172">
        <f ca="1">(VLOOKUP(EJ$72,INDIRECT($C$5&amp;"生成成长"),2))/((VLOOKUP($B87,INDIRECT($B$5&amp;"生成成长"),4))/(VLOOKUP(EJ$72,INDIRECT($C$5&amp;"生成成长"),5))*(VLOOKUP($B$5,标准坦克设计!$B$24:$U$30,MATCH("对"&amp;LEFT($C$5,2)&amp;"输出",标准坦克设计!$B$23:$U$23,0)))*(VLOOKUP($B87,INDIRECT($B$5&amp;"生成成长"),3))*(VLOOKUP($B$5,标准坦克设计!$B$14:$K$20,9)/30))</f>
        <v>30.322322467591917</v>
      </c>
      <c r="EK87" s="172">
        <f ca="1">(VLOOKUP(EK$72,INDIRECT($C$5&amp;"生成成长"),2))/((VLOOKUP($B87,INDIRECT($B$5&amp;"生成成长"),4))/(VLOOKUP(EK$72,INDIRECT($C$5&amp;"生成成长"),5))*(VLOOKUP($B$5,标准坦克设计!$B$24:$U$30,MATCH("对"&amp;LEFT($C$5,2)&amp;"输出",标准坦克设计!$B$23:$U$23,0)))*(VLOOKUP($B87,INDIRECT($B$5&amp;"生成成长"),3))*(VLOOKUP($B$5,标准坦克设计!$B$14:$K$20,9)/30))</f>
        <v>32.788243063846004</v>
      </c>
      <c r="EL87" s="172">
        <f ca="1">(VLOOKUP(EL$72,INDIRECT($C$5&amp;"生成成长"),2))/((VLOOKUP($B87,INDIRECT($B$5&amp;"生成成长"),4))/(VLOOKUP(EL$72,INDIRECT($C$5&amp;"生成成长"),5))*(VLOOKUP($B$5,标准坦克设计!$B$24:$U$30,MATCH("对"&amp;LEFT($C$5,2)&amp;"输出",标准坦克设计!$B$23:$U$23,0)))*(VLOOKUP($B87,INDIRECT($B$5&amp;"生成成长"),3))*(VLOOKUP($B$5,标准坦克设计!$B$14:$K$20,9)/30))</f>
        <v>35.350551435849447</v>
      </c>
      <c r="EM87" s="172">
        <f ca="1">(VLOOKUP(EM$72,INDIRECT($C$5&amp;"生成成长"),2))/((VLOOKUP($B87,INDIRECT($B$5&amp;"生成成长"),4))/(VLOOKUP(EM$72,INDIRECT($C$5&amp;"生成成长"),5))*(VLOOKUP($B$5,标准坦克设计!$B$24:$U$30,MATCH("对"&amp;LEFT($C$5,2)&amp;"输出",标准坦克设计!$B$23:$U$23,0)))*(VLOOKUP($B87,INDIRECT($B$5&amp;"生成成长"),3))*(VLOOKUP($B$5,标准坦克设计!$B$14:$K$20,9)/30))</f>
        <v>38.009247583602239</v>
      </c>
      <c r="EN87" s="172">
        <f ca="1">(VLOOKUP(EN$72,INDIRECT($C$5&amp;"生成成长"),2))/((VLOOKUP($B87,INDIRECT($B$5&amp;"生成成长"),4))/(VLOOKUP(EN$72,INDIRECT($C$5&amp;"生成成长"),5))*(VLOOKUP($B$5,标准坦克设计!$B$24:$U$30,MATCH("对"&amp;LEFT($C$5,2)&amp;"输出",标准坦克设计!$B$23:$U$23,0)))*(VLOOKUP($B87,INDIRECT($B$5&amp;"生成成长"),3))*(VLOOKUP($B$5,标准坦克设计!$B$14:$K$20,9)/30))</f>
        <v>40.764331507104366</v>
      </c>
      <c r="EO87" s="172">
        <f ca="1">(VLOOKUP(EO$72,INDIRECT($C$5&amp;"生成成长"),2))/((VLOOKUP($B87,INDIRECT($B$5&amp;"生成成长"),4))/(VLOOKUP(EO$72,INDIRECT($C$5&amp;"生成成长"),5))*(VLOOKUP($B$5,标准坦克设计!$B$24:$U$30,MATCH("对"&amp;LEFT($C$5,2)&amp;"输出",标准坦克设计!$B$23:$U$23,0)))*(VLOOKUP($B87,INDIRECT($B$5&amp;"生成成长"),3))*(VLOOKUP($B$5,标准坦克设计!$B$14:$K$20,9)/30))</f>
        <v>43.615803206355842</v>
      </c>
      <c r="EP87" s="172">
        <f ca="1">(VLOOKUP(EP$72,INDIRECT($C$5&amp;"生成成长"),2))/((VLOOKUP($B87,INDIRECT($B$5&amp;"生成成长"),4))/(VLOOKUP(EP$72,INDIRECT($C$5&amp;"生成成长"),5))*(VLOOKUP($B$5,标准坦克设计!$B$24:$U$30,MATCH("对"&amp;LEFT($C$5,2)&amp;"输出",标准坦克设计!$B$23:$U$23,0)))*(VLOOKUP($B87,INDIRECT($B$5&amp;"生成成长"),3))*(VLOOKUP($B$5,标准坦克设计!$B$14:$K$20,9)/30))</f>
        <v>46.563662681356668</v>
      </c>
      <c r="EQ87" s="172">
        <f ca="1">(VLOOKUP(EQ$72,INDIRECT($C$5&amp;"生成成长"),2))/((VLOOKUP($B87,INDIRECT($B$5&amp;"生成成长"),4))/(VLOOKUP(EQ$72,INDIRECT($C$5&amp;"生成成长"),5))*(VLOOKUP($B$5,标准坦克设计!$B$24:$U$30,MATCH("对"&amp;LEFT($C$5,2)&amp;"输出",标准坦克设计!$B$23:$U$23,0)))*(VLOOKUP($B87,INDIRECT($B$5&amp;"生成成长"),3))*(VLOOKUP($B$5,标准坦克设计!$B$14:$K$20,9)/30))</f>
        <v>20.584144998915828</v>
      </c>
      <c r="ER87" s="172">
        <f ca="1">(VLOOKUP(ER$72,INDIRECT($C$5&amp;"生成成长"),2))/((VLOOKUP($B87,INDIRECT($B$5&amp;"生成成长"),4))/(VLOOKUP(ER$72,INDIRECT($C$5&amp;"生成成长"),5))*(VLOOKUP($B$5,标准坦克设计!$B$24:$U$30,MATCH("对"&amp;LEFT($C$5,2)&amp;"输出",标准坦克设计!$B$23:$U$23,0)))*(VLOOKUP($B87,INDIRECT($B$5&amp;"生成成长"),3))*(VLOOKUP($B$5,标准坦克设计!$B$14:$K$20,9)/30))</f>
        <v>22.450654114728678</v>
      </c>
      <c r="ES87" s="172">
        <f ca="1">(VLOOKUP(ES$72,INDIRECT($C$5&amp;"生成成长"),2))/((VLOOKUP($B87,INDIRECT($B$5&amp;"生成成长"),4))/(VLOOKUP(ES$72,INDIRECT($C$5&amp;"生成成长"),5))*(VLOOKUP($B$5,标准坦克设计!$B$24:$U$30,MATCH("对"&amp;LEFT($C$5,2)&amp;"输出",标准坦克设计!$B$23:$U$23,0)))*(VLOOKUP($B87,INDIRECT($B$5&amp;"生成成长"),3))*(VLOOKUP($B$5,标准坦克设计!$B$14:$K$20,9)/30))</f>
        <v>24.398155736553132</v>
      </c>
      <c r="ET87" s="172">
        <f ca="1">(VLOOKUP(ET$72,INDIRECT($C$5&amp;"生成成长"),2))/((VLOOKUP($B87,INDIRECT($B$5&amp;"生成成长"),4))/(VLOOKUP(ET$72,INDIRECT($C$5&amp;"生成成长"),5))*(VLOOKUP($B$5,标准坦克设计!$B$24:$U$30,MATCH("对"&amp;LEFT($C$5,2)&amp;"输出",标准坦克设计!$B$23:$U$23,0)))*(VLOOKUP($B87,INDIRECT($B$5&amp;"生成成长"),3))*(VLOOKUP($B$5,标准坦克设计!$B$14:$K$20,9)/30))</f>
        <v>26.426649864389191</v>
      </c>
      <c r="EU87" s="172">
        <f ca="1">(VLOOKUP(EU$72,INDIRECT($C$5&amp;"生成成长"),2))/((VLOOKUP($B87,INDIRECT($B$5&amp;"生成成长"),4))/(VLOOKUP(EU$72,INDIRECT($C$5&amp;"生成成长"),5))*(VLOOKUP($B$5,标准坦克设计!$B$24:$U$30,MATCH("对"&amp;LEFT($C$5,2)&amp;"输出",标准坦克设计!$B$23:$U$23,0)))*(VLOOKUP($B87,INDIRECT($B$5&amp;"生成成长"),3))*(VLOOKUP($B$5,标准坦克设计!$B$14:$K$20,9)/30))</f>
        <v>28.536136498236853</v>
      </c>
      <c r="EV87" s="172">
        <f ca="1">(VLOOKUP(EV$72,INDIRECT($C$5&amp;"生成成长"),2))/((VLOOKUP($B87,INDIRECT($B$5&amp;"生成成长"),4))/(VLOOKUP(EV$72,INDIRECT($C$5&amp;"生成成长"),5))*(VLOOKUP($B$5,标准坦克设计!$B$24:$U$30,MATCH("对"&amp;LEFT($C$5,2)&amp;"输出",标准坦克设计!$B$23:$U$23,0)))*(VLOOKUP($B87,INDIRECT($B$5&amp;"生成成长"),3))*(VLOOKUP($B$5,标准坦克设计!$B$14:$K$20,9)/30))</f>
        <v>30.726615638096114</v>
      </c>
      <c r="EW87" s="172">
        <f ca="1">(VLOOKUP(EW$72,INDIRECT($C$5&amp;"生成成长"),2))/((VLOOKUP($B87,INDIRECT($B$5&amp;"生成成长"),4))/(VLOOKUP(EW$72,INDIRECT($C$5&amp;"生成成长"),5))*(VLOOKUP($B$5,标准坦克设计!$B$24:$U$30,MATCH("对"&amp;LEFT($C$5,2)&amp;"输出",标准坦克设计!$B$23:$U$23,0)))*(VLOOKUP($B87,INDIRECT($B$5&amp;"生成成长"),3))*(VLOOKUP($B$5,标准坦克设计!$B$14:$K$20,9)/30))</f>
        <v>32.998087283966981</v>
      </c>
      <c r="EX87" s="172">
        <f ca="1">(VLOOKUP(EX$72,INDIRECT($C$5&amp;"生成成长"),2))/((VLOOKUP($B87,INDIRECT($B$5&amp;"生成成长"),4))/(VLOOKUP(EX$72,INDIRECT($C$5&amp;"生成成长"),5))*(VLOOKUP($B$5,标准坦克设计!$B$24:$U$30,MATCH("对"&amp;LEFT($C$5,2)&amp;"输出",标准坦克设计!$B$23:$U$23,0)))*(VLOOKUP($B87,INDIRECT($B$5&amp;"生成成长"),3))*(VLOOKUP($B$5,标准坦克设计!$B$14:$K$20,9)/30))</f>
        <v>35.350551435849447</v>
      </c>
      <c r="EY87" s="172">
        <f ca="1">(VLOOKUP(EY$72,INDIRECT($C$5&amp;"生成成长"),2))/((VLOOKUP($B87,INDIRECT($B$5&amp;"生成成长"),4))/(VLOOKUP(EY$72,INDIRECT($C$5&amp;"生成成长"),5))*(VLOOKUP($B$5,标准坦克设计!$B$24:$U$30,MATCH("对"&amp;LEFT($C$5,2)&amp;"输出",标准坦克设计!$B$23:$U$23,0)))*(VLOOKUP($B87,INDIRECT($B$5&amp;"生成成长"),3))*(VLOOKUP($B$5,标准坦克设计!$B$14:$K$20,9)/30))</f>
        <v>37.784008093743516</v>
      </c>
      <c r="EZ87" s="172">
        <f ca="1">(VLOOKUP(EZ$72,INDIRECT($C$5&amp;"生成成长"),2))/((VLOOKUP($B87,INDIRECT($B$5&amp;"生成成长"),4))/(VLOOKUP(EZ$72,INDIRECT($C$5&amp;"生成成长"),5))*(VLOOKUP($B$5,标准坦克设计!$B$24:$U$30,MATCH("对"&amp;LEFT($C$5,2)&amp;"输出",标准坦克设计!$B$23:$U$23,0)))*(VLOOKUP($B87,INDIRECT($B$5&amp;"生成成长"),3))*(VLOOKUP($B$5,标准坦克设计!$B$14:$K$20,9)/30))</f>
        <v>40.298457257649204</v>
      </c>
      <c r="FA87" s="172">
        <f ca="1">(VLOOKUP(FA$72,INDIRECT($C$5&amp;"生成成长"),2))/((VLOOKUP($B87,INDIRECT($B$5&amp;"生成成长"),4))/(VLOOKUP(FA$72,INDIRECT($C$5&amp;"生成成长"),5))*(VLOOKUP($B$5,标准坦克设计!$B$24:$U$30,MATCH("对"&amp;LEFT($C$5,2)&amp;"输出",标准坦克设计!$B$23:$U$23,0)))*(VLOOKUP($B87,INDIRECT($B$5&amp;"生成成长"),3))*(VLOOKUP($B$5,标准坦克设计!$B$14:$K$20,9)/30))</f>
        <v>42.893898927566475</v>
      </c>
      <c r="FB87" s="172">
        <f ca="1">(VLOOKUP(FB$72,INDIRECT($C$5&amp;"生成成长"),2))/((VLOOKUP($B87,INDIRECT($B$5&amp;"生成成长"),4))/(VLOOKUP(FB$72,INDIRECT($C$5&amp;"生成成长"),5))*(VLOOKUP($B$5,标准坦克设计!$B$24:$U$30,MATCH("对"&amp;LEFT($C$5,2)&amp;"输出",标准坦克设计!$B$23:$U$23,0)))*(VLOOKUP($B87,INDIRECT($B$5&amp;"生成成长"),3))*(VLOOKUP($B$5,标准坦克设计!$B$14:$K$20,9)/30))</f>
        <v>45.570333103495358</v>
      </c>
      <c r="FC87" s="172">
        <f ca="1">(VLOOKUP(FC$72,INDIRECT($C$5&amp;"生成成长"),2))/((VLOOKUP($B87,INDIRECT($B$5&amp;"生成成长"),4))/(VLOOKUP(FC$72,INDIRECT($C$5&amp;"生成成长"),5))*(VLOOKUP($B$5,标准坦克设计!$B$24:$U$30,MATCH("对"&amp;LEFT($C$5,2)&amp;"输出",标准坦克设计!$B$23:$U$23,0)))*(VLOOKUP($B87,INDIRECT($B$5&amp;"生成成长"),3))*(VLOOKUP($B$5,标准坦克设计!$B$14:$K$20,9)/30))</f>
        <v>48.327759785435852</v>
      </c>
      <c r="FD87" s="172">
        <f ca="1">(VLOOKUP(FD$72,INDIRECT($C$5&amp;"生成成长"),2))/((VLOOKUP($B87,INDIRECT($B$5&amp;"生成成长"),4))/(VLOOKUP(FD$72,INDIRECT($C$5&amp;"生成成长"),5))*(VLOOKUP($B$5,标准坦克设计!$B$24:$U$30,MATCH("对"&amp;LEFT($C$5,2)&amp;"输出",标准坦克设计!$B$23:$U$23,0)))*(VLOOKUP($B87,INDIRECT($B$5&amp;"生成成长"),3))*(VLOOKUP($B$5,标准坦克设计!$B$14:$K$20,9)/30))</f>
        <v>51.166178973387936</v>
      </c>
      <c r="FE87" s="172">
        <f ca="1">(VLOOKUP(FE$72,INDIRECT($C$5&amp;"生成成长"),2))/((VLOOKUP($B87,INDIRECT($B$5&amp;"生成成长"),4))/(VLOOKUP(FE$72,INDIRECT($C$5&amp;"生成成长"),5))*(VLOOKUP($B$5,标准坦克设计!$B$24:$U$30,MATCH("对"&amp;LEFT($C$5,2)&amp;"输出",标准坦克设计!$B$23:$U$23,0)))*(VLOOKUP($B87,INDIRECT($B$5&amp;"生成成长"),3))*(VLOOKUP($B$5,标准坦克设计!$B$14:$K$20,9)/30))</f>
        <v>54.62509446772642</v>
      </c>
      <c r="FF87" s="172">
        <f ca="1">(VLOOKUP(FF$72,INDIRECT($C$5&amp;"生成成长"),2))/((VLOOKUP($B87,INDIRECT($B$5&amp;"生成成长"),4))/(VLOOKUP(FF$72,INDIRECT($C$5&amp;"生成成长"),5))*(VLOOKUP($B$5,标准坦克设计!$B$24:$U$30,MATCH("对"&amp;LEFT($C$5,2)&amp;"输出",标准坦克设计!$B$23:$U$23,0)))*(VLOOKUP($B87,INDIRECT($B$5&amp;"生成成长"),3))*(VLOOKUP($B$5,标准坦克设计!$B$14:$K$20,9)/30))</f>
        <v>58.197131726659649</v>
      </c>
      <c r="FG87" s="172">
        <f ca="1">(VLOOKUP(FG$72,INDIRECT($C$5&amp;"生成成长"),2))/((VLOOKUP($B87,INDIRECT($B$5&amp;"生成成长"),4))/(VLOOKUP(FG$72,INDIRECT($C$5&amp;"生成成长"),5))*(VLOOKUP($B$5,标准坦克设计!$B$24:$U$30,MATCH("对"&amp;LEFT($C$5,2)&amp;"输出",标准坦克设计!$B$23:$U$23,0)))*(VLOOKUP($B87,INDIRECT($B$5&amp;"生成成长"),3))*(VLOOKUP($B$5,标准坦克设计!$B$14:$K$20,9)/30))</f>
        <v>61.882290750187579</v>
      </c>
      <c r="FH87" s="172">
        <f ca="1">(VLOOKUP(FH$72,INDIRECT($C$5&amp;"生成成长"),2))/((VLOOKUP($B87,INDIRECT($B$5&amp;"生成成长"),4))/(VLOOKUP(FH$72,INDIRECT($C$5&amp;"生成成长"),5))*(VLOOKUP($B$5,标准坦克设计!$B$24:$U$30,MATCH("对"&amp;LEFT($C$5,2)&amp;"输出",标准坦克设计!$B$23:$U$23,0)))*(VLOOKUP($B87,INDIRECT($B$5&amp;"生成成长"),3))*(VLOOKUP($B$5,标准坦克设计!$B$14:$K$20,9)/30))</f>
        <v>65.680571538310247</v>
      </c>
      <c r="FI87" s="172">
        <f ca="1">(VLOOKUP(FI$72,INDIRECT($C$5&amp;"生成成长"),2))/((VLOOKUP($B87,INDIRECT($B$5&amp;"生成成长"),4))/(VLOOKUP(FI$72,INDIRECT($C$5&amp;"生成成长"),5))*(VLOOKUP($B$5,标准坦克设计!$B$24:$U$30,MATCH("对"&amp;LEFT($C$5,2)&amp;"输出",标准坦克设计!$B$23:$U$23,0)))*(VLOOKUP($B87,INDIRECT($B$5&amp;"生成成长"),3))*(VLOOKUP($B$5,标准坦克设计!$B$14:$K$20,9)/30))</f>
        <v>69.591974091027609</v>
      </c>
      <c r="FJ87" s="172">
        <f ca="1">(VLOOKUP(FJ$72,INDIRECT($C$5&amp;"生成成长"),2))/((VLOOKUP($B87,INDIRECT($B$5&amp;"生成成长"),4))/(VLOOKUP(FJ$72,INDIRECT($C$5&amp;"生成成长"),5))*(VLOOKUP($B$5,标准坦克设计!$B$24:$U$30,MATCH("对"&amp;LEFT($C$5,2)&amp;"输出",标准坦克设计!$B$23:$U$23,0)))*(VLOOKUP($B87,INDIRECT($B$5&amp;"生成成长"),3))*(VLOOKUP($B$5,标准坦克设计!$B$14:$K$20,9)/30))</f>
        <v>73.616498408339709</v>
      </c>
      <c r="FK87" s="172">
        <f ca="1">(VLOOKUP(FK$72,INDIRECT($C$5&amp;"生成成长"),2))/((VLOOKUP($B87,INDIRECT($B$5&amp;"生成成长"),4))/(VLOOKUP(FK$72,INDIRECT($C$5&amp;"生成成长"),5))*(VLOOKUP($B$5,标准坦克设计!$B$24:$U$30,MATCH("对"&amp;LEFT($C$5,2)&amp;"输出",标准坦克设计!$B$23:$U$23,0)))*(VLOOKUP($B87,INDIRECT($B$5&amp;"生成成长"),3))*(VLOOKUP($B$5,标准坦克设计!$B$14:$K$20,9)/30))</f>
        <v>77.754144490246517</v>
      </c>
    </row>
    <row r="88" spans="1:167" x14ac:dyDescent="0.15">
      <c r="A88" s="170" t="str">
        <f t="shared" si="11"/>
        <v>T3低品质4级</v>
      </c>
      <c r="B88" s="171">
        <v>10304</v>
      </c>
      <c r="C88" s="172">
        <f ca="1">(VLOOKUP(C$72,INDIRECT($C$5&amp;"生成成长"),2))/((VLOOKUP($B88,INDIRECT($B$5&amp;"生成成长"),4))/(VLOOKUP(C$72,INDIRECT($C$5&amp;"生成成长"),5))*(VLOOKUP($B$5,标准坦克设计!$B$24:$U$30,MATCH("对"&amp;LEFT($C$5,2)&amp;"输出",标准坦克设计!$B$23:$U$23,0)))*(VLOOKUP($B88,INDIRECT($B$5&amp;"生成成长"),3))*(VLOOKUP($B$5,标准坦克设计!$B$14:$K$20,9)/30))</f>
        <v>2.9982838519451245</v>
      </c>
      <c r="D88" s="172">
        <f ca="1">(VLOOKUP(D$72,INDIRECT($C$5&amp;"生成成长"),2))/((VLOOKUP($B88,INDIRECT($B$5&amp;"生成成长"),4))/(VLOOKUP(D$72,INDIRECT($C$5&amp;"生成成长"),5))*(VLOOKUP($B$5,标准坦克设计!$B$24:$U$30,MATCH("对"&amp;LEFT($C$5,2)&amp;"输出",标准坦克设计!$B$23:$U$23,0)))*(VLOOKUP($B88,INDIRECT($B$5&amp;"生成成长"),3))*(VLOOKUP($B$5,标准坦克设计!$B$14:$K$20,9)/30))</f>
        <v>3.3688717360455414</v>
      </c>
      <c r="E88" s="172">
        <f ca="1">(VLOOKUP(E$72,INDIRECT($C$5&amp;"生成成长"),2))/((VLOOKUP($B88,INDIRECT($B$5&amp;"生成成长"),4))/(VLOOKUP(E$72,INDIRECT($C$5&amp;"生成成长"),5))*(VLOOKUP($B$5,标准坦克设计!$B$24:$U$30,MATCH("对"&amp;LEFT($C$5,2)&amp;"输出",标准坦克设计!$B$23:$U$23,0)))*(VLOOKUP($B88,INDIRECT($B$5&amp;"生成成长"),3))*(VLOOKUP($B$5,标准坦克设计!$B$14:$K$20,9)/30))</f>
        <v>3.7610472638799637</v>
      </c>
      <c r="F88" s="172">
        <f ca="1">(VLOOKUP(F$72,INDIRECT($C$5&amp;"生成成长"),2))/((VLOOKUP($B88,INDIRECT($B$5&amp;"生成成长"),4))/(VLOOKUP(F$72,INDIRECT($C$5&amp;"生成成长"),5))*(VLOOKUP($B$5,标准坦克设计!$B$24:$U$30,MATCH("对"&amp;LEFT($C$5,2)&amp;"输出",标准坦克设计!$B$23:$U$23,0)))*(VLOOKUP($B88,INDIRECT($B$5&amp;"生成成长"),3))*(VLOOKUP($B$5,标准坦克设计!$B$14:$K$20,9)/30))</f>
        <v>4.174810435448391</v>
      </c>
      <c r="G88" s="172">
        <f ca="1">(VLOOKUP(G$72,INDIRECT($C$5&amp;"生成成长"),2))/((VLOOKUP($B88,INDIRECT($B$5&amp;"生成成长"),4))/(VLOOKUP(G$72,INDIRECT($C$5&amp;"生成成长"),5))*(VLOOKUP($B$5,标准坦克设计!$B$24:$U$30,MATCH("对"&amp;LEFT($C$5,2)&amp;"输出",标准坦克设计!$B$23:$U$23,0)))*(VLOOKUP($B88,INDIRECT($B$5&amp;"生成成长"),3))*(VLOOKUP($B$5,标准坦克设计!$B$14:$K$20,9)/30))</f>
        <v>4.6101612507508234</v>
      </c>
      <c r="H88" s="172">
        <f ca="1">(VLOOKUP(H$72,INDIRECT($C$5&amp;"生成成长"),2))/((VLOOKUP($B88,INDIRECT($B$5&amp;"生成成长"),4))/(VLOOKUP(H$72,INDIRECT($C$5&amp;"生成成长"),5))*(VLOOKUP($B$5,标准坦克设计!$B$24:$U$30,MATCH("对"&amp;LEFT($C$5,2)&amp;"输出",标准坦克设计!$B$23:$U$23,0)))*(VLOOKUP($B88,INDIRECT($B$5&amp;"生成成长"),3))*(VLOOKUP($B$5,标准坦克设计!$B$14:$K$20,9)/30))</f>
        <v>4.0344907511773593</v>
      </c>
      <c r="I88" s="172">
        <f ca="1">(VLOOKUP(I$72,INDIRECT($C$5&amp;"生成成长"),2))/((VLOOKUP($B88,INDIRECT($B$5&amp;"生成成长"),4))/(VLOOKUP(I$72,INDIRECT($C$5&amp;"生成成长"),5))*(VLOOKUP($B$5,标准坦克设计!$B$24:$U$30,MATCH("对"&amp;LEFT($C$5,2)&amp;"输出",标准坦克设计!$B$23:$U$23,0)))*(VLOOKUP($B88,INDIRECT($B$5&amp;"生成成长"),3))*(VLOOKUP($B$5,标准坦克设计!$B$14:$K$20,9)/30))</f>
        <v>4.6101612507508234</v>
      </c>
      <c r="J88" s="172">
        <f ca="1">(VLOOKUP(J$72,INDIRECT($C$5&amp;"生成成长"),2))/((VLOOKUP($B88,INDIRECT($B$5&amp;"生成成长"),4))/(VLOOKUP(J$72,INDIRECT($C$5&amp;"生成成长"),5))*(VLOOKUP($B$5,标准坦克设计!$B$24:$U$30,MATCH("对"&amp;LEFT($C$5,2)&amp;"输出",标准坦克设计!$B$23:$U$23,0)))*(VLOOKUP($B88,INDIRECT($B$5&amp;"生成成长"),3))*(VLOOKUP($B$5,标准坦克设计!$B$14:$K$20,9)/30))</f>
        <v>5.2242097836291848</v>
      </c>
      <c r="K88" s="172">
        <f ca="1">(VLOOKUP(K$72,INDIRECT($C$5&amp;"生成成长"),2))/((VLOOKUP($B88,INDIRECT($B$5&amp;"生成成长"),4))/(VLOOKUP(K$72,INDIRECT($C$5&amp;"生成成长"),5))*(VLOOKUP($B$5,标准坦克设计!$B$24:$U$30,MATCH("对"&amp;LEFT($C$5,2)&amp;"输出",标准坦克设计!$B$23:$U$23,0)))*(VLOOKUP($B88,INDIRECT($B$5&amp;"生成成长"),3))*(VLOOKUP($B$5,标准坦克设计!$B$14:$K$20,9)/30))</f>
        <v>5.8766363498124434</v>
      </c>
      <c r="L88" s="172">
        <f ca="1">(VLOOKUP(L$72,INDIRECT($C$5&amp;"生成成长"),2))/((VLOOKUP($B88,INDIRECT($B$5&amp;"生成成长"),4))/(VLOOKUP(L$72,INDIRECT($C$5&amp;"生成成长"),5))*(VLOOKUP($B$5,标准坦克设计!$B$24:$U$30,MATCH("对"&amp;LEFT($C$5,2)&amp;"输出",标准坦克设计!$B$23:$U$23,0)))*(VLOOKUP($B88,INDIRECT($B$5&amp;"生成成长"),3))*(VLOOKUP($B$5,标准坦克设计!$B$14:$K$20,9)/30))</f>
        <v>6.5674409493005994</v>
      </c>
      <c r="M88" s="172">
        <f ca="1">(VLOOKUP(M$72,INDIRECT($C$5&amp;"生成成长"),2))/((VLOOKUP($B88,INDIRECT($B$5&amp;"生成成长"),4))/(VLOOKUP(M$72,INDIRECT($C$5&amp;"生成成长"),5))*(VLOOKUP($B$5,标准坦克设计!$B$24:$U$30,MATCH("对"&amp;LEFT($C$5,2)&amp;"输出",标准坦克设计!$B$23:$U$23,0)))*(VLOOKUP($B88,INDIRECT($B$5&amp;"生成成长"),3))*(VLOOKUP($B$5,标准坦克设计!$B$14:$K$20,9)/30))</f>
        <v>7.2966235820936545</v>
      </c>
      <c r="N88" s="172">
        <f ca="1">(VLOOKUP(N$72,INDIRECT($C$5&amp;"生成成长"),2))/((VLOOKUP($B88,INDIRECT($B$5&amp;"生成成长"),4))/(VLOOKUP(N$72,INDIRECT($C$5&amp;"生成成长"),5))*(VLOOKUP($B$5,标准坦克设计!$B$24:$U$30,MATCH("对"&amp;LEFT($C$5,2)&amp;"输出",标准坦克设计!$B$23:$U$23,0)))*(VLOOKUP($B88,INDIRECT($B$5&amp;"生成成长"),3))*(VLOOKUP($B$5,标准坦克设计!$B$14:$K$20,9)/30))</f>
        <v>8.0641842481916051</v>
      </c>
      <c r="O88" s="172">
        <f ca="1">(VLOOKUP(O$72,INDIRECT($C$5&amp;"生成成长"),2))/((VLOOKUP($B88,INDIRECT($B$5&amp;"生成成长"),4))/(VLOOKUP(O$72,INDIRECT($C$5&amp;"生成成长"),5))*(VLOOKUP($B$5,标准坦克设计!$B$24:$U$30,MATCH("对"&amp;LEFT($C$5,2)&amp;"输出",标准坦克设计!$B$23:$U$23,0)))*(VLOOKUP($B88,INDIRECT($B$5&amp;"生成成长"),3))*(VLOOKUP($B$5,标准坦克设计!$B$14:$K$20,9)/30))</f>
        <v>6.1311906488425842</v>
      </c>
      <c r="P88" s="172">
        <f ca="1">(VLOOKUP(P$72,INDIRECT($C$5&amp;"生成成长"),2))/((VLOOKUP($B88,INDIRECT($B$5&amp;"生成成长"),4))/(VLOOKUP(P$72,INDIRECT($C$5&amp;"生成成长"),5))*(VLOOKUP($B$5,标准坦克设计!$B$24:$U$30,MATCH("对"&amp;LEFT($C$5,2)&amp;"输出",标准坦克设计!$B$23:$U$23,0)))*(VLOOKUP($B88,INDIRECT($B$5&amp;"生成成长"),3))*(VLOOKUP($B$5,标准坦克设计!$B$14:$K$20,9)/30))</f>
        <v>6.9272350115340151</v>
      </c>
      <c r="Q88" s="172">
        <f ca="1">(VLOOKUP(Q$72,INDIRECT($C$5&amp;"生成成长"),2))/((VLOOKUP($B88,INDIRECT($B$5&amp;"生成成长"),4))/(VLOOKUP(Q$72,INDIRECT($C$5&amp;"生成成长"),5))*(VLOOKUP($B$5,标准坦克设计!$B$24:$U$30,MATCH("对"&amp;LEFT($C$5,2)&amp;"输出",标准坦克设计!$B$23:$U$23,0)))*(VLOOKUP($B88,INDIRECT($B$5&amp;"生成成长"),3))*(VLOOKUP($B$5,标准坦克设计!$B$14:$K$20,9)/30))</f>
        <v>7.7718515726269564</v>
      </c>
      <c r="R88" s="172">
        <f ca="1">(VLOOKUP(R$72,INDIRECT($C$5&amp;"生成成长"),2))/((VLOOKUP($B88,INDIRECT($B$5&amp;"生成成长"),4))/(VLOOKUP(R$72,INDIRECT($C$5&amp;"生成成长"),5))*(VLOOKUP($B$5,标准坦克设计!$B$24:$U$30,MATCH("对"&amp;LEFT($C$5,2)&amp;"输出",标准坦克设计!$B$23:$U$23,0)))*(VLOOKUP($B88,INDIRECT($B$5&amp;"生成成长"),3))*(VLOOKUP($B$5,标准坦克设计!$B$14:$K$20,9)/30))</f>
        <v>8.6650403321214071</v>
      </c>
      <c r="S88" s="172">
        <f ca="1">(VLOOKUP(S$72,INDIRECT($C$5&amp;"生成成长"),2))/((VLOOKUP($B88,INDIRECT($B$5&amp;"生成成长"),4))/(VLOOKUP(S$72,INDIRECT($C$5&amp;"生成成长"),5))*(VLOOKUP($B$5,标准坦克设计!$B$24:$U$30,MATCH("对"&amp;LEFT($C$5,2)&amp;"输出",标准坦克设计!$B$23:$U$23,0)))*(VLOOKUP($B88,INDIRECT($B$5&amp;"生成成长"),3))*(VLOOKUP($B$5,标准坦克设计!$B$14:$K$20,9)/30))</f>
        <v>9.6068012900173709</v>
      </c>
      <c r="T88" s="172">
        <f ca="1">(VLOOKUP(T$72,INDIRECT($C$5&amp;"生成成长"),2))/((VLOOKUP($B88,INDIRECT($B$5&amp;"生成成长"),4))/(VLOOKUP(T$72,INDIRECT($C$5&amp;"生成成长"),5))*(VLOOKUP($B$5,标准坦克设计!$B$24:$U$30,MATCH("对"&amp;LEFT($C$5,2)&amp;"输出",标准坦克设计!$B$23:$U$23,0)))*(VLOOKUP($B88,INDIRECT($B$5&amp;"生成成长"),3))*(VLOOKUP($B$5,标准坦克设计!$B$14:$K$20,9)/30))</f>
        <v>10.597134446314845</v>
      </c>
      <c r="U88" s="172">
        <f ca="1">(VLOOKUP(U$72,INDIRECT($C$5&amp;"生成成长"),2))/((VLOOKUP($B88,INDIRECT($B$5&amp;"生成成长"),4))/(VLOOKUP(U$72,INDIRECT($C$5&amp;"生成成长"),5))*(VLOOKUP($B$5,标准坦克设计!$B$24:$U$30,MATCH("对"&amp;LEFT($C$5,2)&amp;"输出",标准坦克设计!$B$23:$U$23,0)))*(VLOOKUP($B88,INDIRECT($B$5&amp;"生成成长"),3))*(VLOOKUP($B$5,标准坦克设计!$B$14:$K$20,9)/30))</f>
        <v>11.636039801013832</v>
      </c>
      <c r="V88" s="172">
        <f ca="1">(VLOOKUP(V$72,INDIRECT($C$5&amp;"生成成长"),2))/((VLOOKUP($B88,INDIRECT($B$5&amp;"生成成长"),4))/(VLOOKUP(V$72,INDIRECT($C$5&amp;"生成成长"),5))*(VLOOKUP($B$5,标准坦克设计!$B$24:$U$30,MATCH("对"&amp;LEFT($C$5,2)&amp;"输出",标准坦克设计!$B$23:$U$23,0)))*(VLOOKUP($B88,INDIRECT($B$5&amp;"生成成长"),3))*(VLOOKUP($B$5,标准坦克设计!$B$14:$K$20,9)/30))</f>
        <v>12.723517354114328</v>
      </c>
      <c r="W88" s="172">
        <f ca="1">(VLOOKUP(W$72,INDIRECT($C$5&amp;"生成成长"),2))/((VLOOKUP($B88,INDIRECT($B$5&amp;"生成成长"),4))/(VLOOKUP(W$72,INDIRECT($C$5&amp;"生成成长"),5))*(VLOOKUP($B$5,标准坦克设计!$B$24:$U$30,MATCH("对"&amp;LEFT($C$5,2)&amp;"输出",标准坦克设计!$B$23:$U$23,0)))*(VLOOKUP($B88,INDIRECT($B$5&amp;"生成成长"),3))*(VLOOKUP($B$5,标准坦克设计!$B$14:$K$20,9)/30))</f>
        <v>13.859567105616335</v>
      </c>
      <c r="X88" s="172">
        <f ca="1">(VLOOKUP(X$72,INDIRECT($C$5&amp;"生成成长"),2))/((VLOOKUP($B88,INDIRECT($B$5&amp;"生成成长"),4))/(VLOOKUP(X$72,INDIRECT($C$5&amp;"生成成长"),5))*(VLOOKUP($B$5,标准坦克设计!$B$24:$U$30,MATCH("对"&amp;LEFT($C$5,2)&amp;"输出",标准坦克设计!$B$23:$U$23,0)))*(VLOOKUP($B88,INDIRECT($B$5&amp;"生成成长"),3))*(VLOOKUP($B$5,标准坦克设计!$B$14:$K$20,9)/30))</f>
        <v>10.040952791779024</v>
      </c>
      <c r="Y88" s="172">
        <f ca="1">(VLOOKUP(Y$72,INDIRECT($C$5&amp;"生成成长"),2))/((VLOOKUP($B88,INDIRECT($B$5&amp;"生成成长"),4))/(VLOOKUP(Y$72,INDIRECT($C$5&amp;"生成成长"),5))*(VLOOKUP($B$5,标准坦克设计!$B$24:$U$30,MATCH("对"&amp;LEFT($C$5,2)&amp;"输出",标准坦克设计!$B$23:$U$23,0)))*(VLOOKUP($B88,INDIRECT($B$5&amp;"生成成长"),3))*(VLOOKUP($B$5,标准坦克设计!$B$14:$K$20,9)/30))</f>
        <v>11.168307520110393</v>
      </c>
      <c r="Z88" s="172">
        <f ca="1">(VLOOKUP(Z$72,INDIRECT($C$5&amp;"生成成长"),2))/((VLOOKUP($B88,INDIRECT($B$5&amp;"生成成长"),4))/(VLOOKUP(Z$72,INDIRECT($C$5&amp;"生成成长"),5))*(VLOOKUP($B$5,标准坦克设计!$B$24:$U$30,MATCH("对"&amp;LEFT($C$5,2)&amp;"输出",标准坦克设计!$B$23:$U$23,0)))*(VLOOKUP($B88,INDIRECT($B$5&amp;"生成成长"),3))*(VLOOKUP($B$5,标准坦克设计!$B$14:$K$20,9)/30))</f>
        <v>12.355627925480665</v>
      </c>
      <c r="AA88" s="172">
        <f ca="1">(VLOOKUP(AA$72,INDIRECT($C$5&amp;"生成成长"),2))/((VLOOKUP($B88,INDIRECT($B$5&amp;"生成成长"),4))/(VLOOKUP(AA$72,INDIRECT($C$5&amp;"生成成长"),5))*(VLOOKUP($B$5,标准坦克设计!$B$24:$U$30,MATCH("对"&amp;LEFT($C$5,2)&amp;"输出",标准坦克设计!$B$23:$U$23,0)))*(VLOOKUP($B88,INDIRECT($B$5&amp;"生成成长"),3))*(VLOOKUP($B$5,标准坦克设计!$B$14:$K$20,9)/30))</f>
        <v>13.602914007889835</v>
      </c>
      <c r="AB88" s="172">
        <f ca="1">(VLOOKUP(AB$72,INDIRECT($C$5&amp;"生成成长"),2))/((VLOOKUP($B88,INDIRECT($B$5&amp;"生成成长"),4))/(VLOOKUP(AB$72,INDIRECT($C$5&amp;"生成成长"),5))*(VLOOKUP($B$5,标准坦克设计!$B$24:$U$30,MATCH("对"&amp;LEFT($C$5,2)&amp;"输出",标准坦克设计!$B$23:$U$23,0)))*(VLOOKUP($B88,INDIRECT($B$5&amp;"生成成长"),3))*(VLOOKUP($B$5,标准坦克设计!$B$14:$K$20,9)/30))</f>
        <v>14.910165767337908</v>
      </c>
      <c r="AC88" s="172">
        <f ca="1">(VLOOKUP(AC$72,INDIRECT($C$5&amp;"生成成长"),2))/((VLOOKUP($B88,INDIRECT($B$5&amp;"生成成长"),4))/(VLOOKUP(AC$72,INDIRECT($C$5&amp;"生成成长"),5))*(VLOOKUP($B$5,标准坦克设计!$B$24:$U$30,MATCH("对"&amp;LEFT($C$5,2)&amp;"输出",标准坦克设计!$B$23:$U$23,0)))*(VLOOKUP($B88,INDIRECT($B$5&amp;"生成成长"),3))*(VLOOKUP($B$5,标准坦克设计!$B$14:$K$20,9)/30))</f>
        <v>16.277383203824886</v>
      </c>
      <c r="AD88" s="172">
        <f ca="1">(VLOOKUP(AD$72,INDIRECT($C$5&amp;"生成成长"),2))/((VLOOKUP($B88,INDIRECT($B$5&amp;"生成成长"),4))/(VLOOKUP(AD$72,INDIRECT($C$5&amp;"生成成长"),5))*(VLOOKUP($B$5,标准坦克设计!$B$24:$U$30,MATCH("对"&amp;LEFT($C$5,2)&amp;"输出",标准坦克设计!$B$23:$U$23,0)))*(VLOOKUP($B88,INDIRECT($B$5&amp;"生成成长"),3))*(VLOOKUP($B$5,标准坦克设计!$B$14:$K$20,9)/30))</f>
        <v>17.704566317350764</v>
      </c>
      <c r="AE88" s="172">
        <f ca="1">(VLOOKUP(AE$72,INDIRECT($C$5&amp;"生成成长"),2))/((VLOOKUP($B88,INDIRECT($B$5&amp;"生成成长"),4))/(VLOOKUP(AE$72,INDIRECT($C$5&amp;"生成成长"),5))*(VLOOKUP($B$5,标准坦克设计!$B$24:$U$30,MATCH("对"&amp;LEFT($C$5,2)&amp;"输出",标准坦克设计!$B$23:$U$23,0)))*(VLOOKUP($B88,INDIRECT($B$5&amp;"生成成长"),3))*(VLOOKUP($B$5,标准坦克设计!$B$14:$K$20,9)/30))</f>
        <v>19.191715107915545</v>
      </c>
      <c r="AF88" s="172">
        <f ca="1">(VLOOKUP(AF$72,INDIRECT($C$5&amp;"生成成长"),2))/((VLOOKUP($B88,INDIRECT($B$5&amp;"生成成长"),4))/(VLOOKUP(AF$72,INDIRECT($C$5&amp;"生成成长"),5))*(VLOOKUP($B$5,标准坦克设计!$B$24:$U$30,MATCH("对"&amp;LEFT($C$5,2)&amp;"输出",标准坦克设计!$B$23:$U$23,0)))*(VLOOKUP($B88,INDIRECT($B$5&amp;"生成成长"),3))*(VLOOKUP($B$5,标准坦克设计!$B$14:$K$20,9)/30))</f>
        <v>20.73882957551923</v>
      </c>
      <c r="AG88" s="172">
        <f ca="1">(VLOOKUP(AG$72,INDIRECT($C$5&amp;"生成成长"),2))/((VLOOKUP($B88,INDIRECT($B$5&amp;"生成成长"),4))/(VLOOKUP(AG$72,INDIRECT($C$5&amp;"生成成长"),5))*(VLOOKUP($B$5,标准坦克设计!$B$24:$U$30,MATCH("对"&amp;LEFT($C$5,2)&amp;"输出",标准坦克设计!$B$23:$U$23,0)))*(VLOOKUP($B88,INDIRECT($B$5&amp;"生成成长"),3))*(VLOOKUP($B$5,标准坦克设计!$B$14:$K$20,9)/30))</f>
        <v>22.345909720161814</v>
      </c>
      <c r="AH88" s="172">
        <f ca="1">(VLOOKUP(AH$72,INDIRECT($C$5&amp;"生成成长"),2))/((VLOOKUP($B88,INDIRECT($B$5&amp;"生成成长"),4))/(VLOOKUP(AH$72,INDIRECT($C$5&amp;"生成成长"),5))*(VLOOKUP($B$5,标准坦克设计!$B$24:$U$30,MATCH("对"&amp;LEFT($C$5,2)&amp;"输出",标准坦克设计!$B$23:$U$23,0)))*(VLOOKUP($B88,INDIRECT($B$5&amp;"生成成长"),3))*(VLOOKUP($B$5,标准坦克设计!$B$14:$K$20,9)/30))</f>
        <v>24.012955541843304</v>
      </c>
      <c r="AI88" s="172">
        <f ca="1">(VLOOKUP(AI$72,INDIRECT($C$5&amp;"生成成长"),2))/((VLOOKUP($B88,INDIRECT($B$5&amp;"生成成长"),4))/(VLOOKUP(AI$72,INDIRECT($C$5&amp;"生成成长"),5))*(VLOOKUP($B$5,标准坦克设计!$B$24:$U$30,MATCH("对"&amp;LEFT($C$5,2)&amp;"输出",标准坦克设计!$B$23:$U$23,0)))*(VLOOKUP($B88,INDIRECT($B$5&amp;"生成成长"),3))*(VLOOKUP($B$5,标准坦克设计!$B$14:$K$20,9)/30))</f>
        <v>16.983479050957961</v>
      </c>
      <c r="AJ88" s="172">
        <f ca="1">(VLOOKUP(AJ$72,INDIRECT($C$5&amp;"生成成长"),2))/((VLOOKUP($B88,INDIRECT($B$5&amp;"生成成长"),4))/(VLOOKUP(AJ$72,INDIRECT($C$5&amp;"生成成长"),5))*(VLOOKUP($B$5,标准坦克设计!$B$24:$U$30,MATCH("对"&amp;LEFT($C$5,2)&amp;"输出",标准坦克设计!$B$23:$U$23,0)))*(VLOOKUP($B88,INDIRECT($B$5&amp;"生成成长"),3))*(VLOOKUP($B$5,标准坦克设计!$B$14:$K$20,9)/30))</f>
        <v>18.589659710444963</v>
      </c>
      <c r="AK88" s="172">
        <f ca="1">(VLOOKUP(AK$72,INDIRECT($C$5&amp;"生成成长"),2))/((VLOOKUP($B88,INDIRECT($B$5&amp;"生成成长"),4))/(VLOOKUP(AK$72,INDIRECT($C$5&amp;"生成成长"),5))*(VLOOKUP($B$5,标准坦克设计!$B$24:$U$30,MATCH("对"&amp;LEFT($C$5,2)&amp;"输出",标准坦克设计!$B$23:$U$23,0)))*(VLOOKUP($B88,INDIRECT($B$5&amp;"生成成长"),3))*(VLOOKUP($B$5,标准坦克设计!$B$14:$K$20,9)/30))</f>
        <v>20.268398839149036</v>
      </c>
      <c r="AL88" s="172">
        <f ca="1">(VLOOKUP(AL$72,INDIRECT($C$5&amp;"生成成长"),2))/((VLOOKUP($B88,INDIRECT($B$5&amp;"生成成长"),4))/(VLOOKUP(AL$72,INDIRECT($C$5&amp;"生成成长"),5))*(VLOOKUP($B$5,标准坦克设计!$B$24:$U$30,MATCH("对"&amp;LEFT($C$5,2)&amp;"输出",标准坦克设计!$B$23:$U$23,0)))*(VLOOKUP($B88,INDIRECT($B$5&amp;"生成成长"),3))*(VLOOKUP($B$5,标准坦克设计!$B$14:$K$20,9)/30))</f>
        <v>22.019696437070184</v>
      </c>
      <c r="AM88" s="172">
        <f ca="1">(VLOOKUP(AM$72,INDIRECT($C$5&amp;"生成成长"),2))/((VLOOKUP($B88,INDIRECT($B$5&amp;"生成成长"),4))/(VLOOKUP(AM$72,INDIRECT($C$5&amp;"生成成长"),5))*(VLOOKUP($B$5,标准坦克设计!$B$24:$U$30,MATCH("对"&amp;LEFT($C$5,2)&amp;"输出",标准坦克设计!$B$23:$U$23,0)))*(VLOOKUP($B88,INDIRECT($B$5&amp;"生成成长"),3))*(VLOOKUP($B$5,标准坦克设计!$B$14:$K$20,9)/30))</f>
        <v>23.843552504208407</v>
      </c>
      <c r="AN88" s="172">
        <f ca="1">(VLOOKUP(AN$72,INDIRECT($C$5&amp;"生成成长"),2))/((VLOOKUP($B88,INDIRECT($B$5&amp;"生成成长"),4))/(VLOOKUP(AN$72,INDIRECT($C$5&amp;"生成成长"),5))*(VLOOKUP($B$5,标准坦克设计!$B$24:$U$30,MATCH("对"&amp;LEFT($C$5,2)&amp;"输出",标准坦克设计!$B$23:$U$23,0)))*(VLOOKUP($B88,INDIRECT($B$5&amp;"生成成长"),3))*(VLOOKUP($B$5,标准坦克设计!$B$14:$K$20,9)/30))</f>
        <v>25.739967040563695</v>
      </c>
      <c r="AO88" s="172">
        <f ca="1">(VLOOKUP(AO$72,INDIRECT($C$5&amp;"生成成长"),2))/((VLOOKUP($B88,INDIRECT($B$5&amp;"生成成长"),4))/(VLOOKUP(AO$72,INDIRECT($C$5&amp;"生成成长"),5))*(VLOOKUP($B$5,标准坦克设计!$B$24:$U$30,MATCH("对"&amp;LEFT($C$5,2)&amp;"输出",标准坦克设计!$B$23:$U$23,0)))*(VLOOKUP($B88,INDIRECT($B$5&amp;"生成成长"),3))*(VLOOKUP($B$5,标准坦克设计!$B$14:$K$20,9)/30))</f>
        <v>27.70894004613606</v>
      </c>
      <c r="AP88" s="172">
        <f ca="1">(VLOOKUP(AP$72,INDIRECT($C$5&amp;"生成成长"),2))/((VLOOKUP($B88,INDIRECT($B$5&amp;"生成成长"),4))/(VLOOKUP(AP$72,INDIRECT($C$5&amp;"生成成长"),5))*(VLOOKUP($B$5,标准坦克设计!$B$24:$U$30,MATCH("对"&amp;LEFT($C$5,2)&amp;"输出",标准坦克设计!$B$23:$U$23,0)))*(VLOOKUP($B88,INDIRECT($B$5&amp;"生成成长"),3))*(VLOOKUP($B$5,标准坦克设计!$B$14:$K$20,9)/30))</f>
        <v>29.750471520925494</v>
      </c>
      <c r="AQ88" s="172">
        <f ca="1">(VLOOKUP(AQ$72,INDIRECT($C$5&amp;"生成成长"),2))/((VLOOKUP($B88,INDIRECT($B$5&amp;"生成成长"),4))/(VLOOKUP(AQ$72,INDIRECT($C$5&amp;"生成成长"),5))*(VLOOKUP($B$5,标准坦克设计!$B$24:$U$30,MATCH("对"&amp;LEFT($C$5,2)&amp;"输出",标准坦克设计!$B$23:$U$23,0)))*(VLOOKUP($B88,INDIRECT($B$5&amp;"生成成长"),3))*(VLOOKUP($B$5,标准坦克设计!$B$14:$K$20,9)/30))</f>
        <v>31.864561464932002</v>
      </c>
      <c r="AR88" s="172">
        <f ca="1">(VLOOKUP(AR$72,INDIRECT($C$5&amp;"生成成长"),2))/((VLOOKUP($B88,INDIRECT($B$5&amp;"生成成长"),4))/(VLOOKUP(AR$72,INDIRECT($C$5&amp;"生成成长"),5))*(VLOOKUP($B$5,标准坦克设计!$B$24:$U$30,MATCH("对"&amp;LEFT($C$5,2)&amp;"输出",标准坦克设计!$B$23:$U$23,0)))*(VLOOKUP($B88,INDIRECT($B$5&amp;"生成成长"),3))*(VLOOKUP($B$5,标准坦克设计!$B$14:$K$20,9)/30))</f>
        <v>34.051209878155575</v>
      </c>
      <c r="AS88" s="172">
        <f ca="1">(VLOOKUP(AS$72,INDIRECT($C$5&amp;"生成成长"),2))/((VLOOKUP($B88,INDIRECT($B$5&amp;"生成成长"),4))/(VLOOKUP(AS$72,INDIRECT($C$5&amp;"生成成长"),5))*(VLOOKUP($B$5,标准坦克设计!$B$24:$U$30,MATCH("对"&amp;LEFT($C$5,2)&amp;"输出",标准坦克设计!$B$23:$U$23,0)))*(VLOOKUP($B88,INDIRECT($B$5&amp;"生成成长"),3))*(VLOOKUP($B$5,标准坦克设计!$B$14:$K$20,9)/30))</f>
        <v>36.310416760596233</v>
      </c>
      <c r="AT88" s="172">
        <f ca="1">(VLOOKUP(AT$72,INDIRECT($C$5&amp;"生成成长"),2))/((VLOOKUP($B88,INDIRECT($B$5&amp;"生成成长"),4))/(VLOOKUP(AT$72,INDIRECT($C$5&amp;"生成成长"),5))*(VLOOKUP($B$5,标准坦克设计!$B$24:$U$30,MATCH("对"&amp;LEFT($C$5,2)&amp;"输出",标准坦克设计!$B$23:$U$23,0)))*(VLOOKUP($B88,INDIRECT($B$5&amp;"生成成长"),3))*(VLOOKUP($B$5,标准坦克设计!$B$14:$K$20,9)/30))</f>
        <v>38.642182112253955</v>
      </c>
      <c r="AU88" s="172">
        <f ca="1">(VLOOKUP(AU$72,INDIRECT($C$5&amp;"生成成长"),2))/((VLOOKUP($B88,INDIRECT($B$5&amp;"生成成长"),4))/(VLOOKUP(AU$72,INDIRECT($C$5&amp;"生成成长"),5))*(VLOOKUP($B$5,标准坦克设计!$B$24:$U$30,MATCH("对"&amp;LEFT($C$5,2)&amp;"输出",标准坦克设计!$B$23:$U$23,0)))*(VLOOKUP($B88,INDIRECT($B$5&amp;"生成成长"),3))*(VLOOKUP($B$5,标准坦克设计!$B$14:$K$20,9)/30))</f>
        <v>41.046505933128742</v>
      </c>
      <c r="AV88" s="172">
        <f ca="1">(VLOOKUP(AV$72,INDIRECT($C$5&amp;"生成成长"),2))/((VLOOKUP($B88,INDIRECT($B$5&amp;"生成成长"),4))/(VLOOKUP(AV$72,INDIRECT($C$5&amp;"生成成长"),5))*(VLOOKUP($B$5,标准坦克设计!$B$24:$U$30,MATCH("对"&amp;LEFT($C$5,2)&amp;"输出",标准坦克设计!$B$23:$U$23,0)))*(VLOOKUP($B88,INDIRECT($B$5&amp;"生成成长"),3))*(VLOOKUP($B$5,标准坦克设计!$B$14:$K$20,9)/30))</f>
        <v>4.174810435448391</v>
      </c>
      <c r="AW88" s="172">
        <f ca="1">(VLOOKUP(AW$72,INDIRECT($C$5&amp;"生成成长"),2))/((VLOOKUP($B88,INDIRECT($B$5&amp;"生成成长"),4))/(VLOOKUP(AW$72,INDIRECT($C$5&amp;"生成成长"),5))*(VLOOKUP($B$5,标准坦克设计!$B$24:$U$30,MATCH("对"&amp;LEFT($C$5,2)&amp;"输出",标准坦克设计!$B$23:$U$23,0)))*(VLOOKUP($B88,INDIRECT($B$5&amp;"生成成长"),3))*(VLOOKUP($B$5,标准坦克设计!$B$14:$K$20,9)/30))</f>
        <v>4.7600754433480787</v>
      </c>
      <c r="AX88" s="172">
        <f ca="1">(VLOOKUP(AX$72,INDIRECT($C$5&amp;"生成成长"),2))/((VLOOKUP($B88,INDIRECT($B$5&amp;"生成成长"),4))/(VLOOKUP(AX$72,INDIRECT($C$5&amp;"生成成长"),5))*(VLOOKUP($B$5,标准坦克设计!$B$24:$U$30,MATCH("对"&amp;LEFT($C$5,2)&amp;"输出",标准坦克设计!$B$23:$U$23,0)))*(VLOOKUP($B88,INDIRECT($B$5&amp;"生成成长"),3))*(VLOOKUP($B$5,标准坦克设计!$B$14:$K$20,9)/30))</f>
        <v>5.3837184845526647</v>
      </c>
      <c r="AY88" s="172">
        <f ca="1">(VLOOKUP(AY$72,INDIRECT($C$5&amp;"生成成长"),2))/((VLOOKUP($B88,INDIRECT($B$5&amp;"生成成长"),4))/(VLOOKUP(AY$72,INDIRECT($C$5&amp;"生成成长"),5))*(VLOOKUP($B$5,标准坦克设计!$B$24:$U$30,MATCH("对"&amp;LEFT($C$5,2)&amp;"输出",标准坦克设计!$B$23:$U$23,0)))*(VLOOKUP($B88,INDIRECT($B$5&amp;"生成成长"),3))*(VLOOKUP($B$5,标准坦克设计!$B$14:$K$20,9)/30))</f>
        <v>6.0457395590621479</v>
      </c>
      <c r="AZ88" s="172">
        <f ca="1">(VLOOKUP(AZ$72,INDIRECT($C$5&amp;"生成成长"),2))/((VLOOKUP($B88,INDIRECT($B$5&amp;"生成成长"),4))/(VLOOKUP(AZ$72,INDIRECT($C$5&amp;"生成成长"),5))*(VLOOKUP($B$5,标准坦克设计!$B$24:$U$30,MATCH("对"&amp;LEFT($C$5,2)&amp;"输出",标准坦克设计!$B$23:$U$23,0)))*(VLOOKUP($B88,INDIRECT($B$5&amp;"生成成长"),3))*(VLOOKUP($B$5,标准坦克设计!$B$14:$K$20,9)/30))</f>
        <v>6.7461386668765293</v>
      </c>
      <c r="BA88" s="172">
        <f ca="1">(VLOOKUP(BA$72,INDIRECT($C$5&amp;"生成成长"),2))/((VLOOKUP($B88,INDIRECT($B$5&amp;"生成成长"),4))/(VLOOKUP(BA$72,INDIRECT($C$5&amp;"生成成长"),5))*(VLOOKUP($B$5,标准坦克设计!$B$24:$U$30,MATCH("对"&amp;LEFT($C$5,2)&amp;"输出",标准坦克设计!$B$23:$U$23,0)))*(VLOOKUP($B88,INDIRECT($B$5&amp;"生成成长"),3))*(VLOOKUP($B$5,标准坦克设计!$B$14:$K$20,9)/30))</f>
        <v>7.484915807995808</v>
      </c>
      <c r="BB88" s="172">
        <f ca="1">(VLOOKUP(BB$72,INDIRECT($C$5&amp;"生成成长"),2))/((VLOOKUP($B88,INDIRECT($B$5&amp;"生成成长"),4))/(VLOOKUP(BB$72,INDIRECT($C$5&amp;"生成成长"),5))*(VLOOKUP($B$5,标准坦克设计!$B$24:$U$30,MATCH("对"&amp;LEFT($C$5,2)&amp;"输出",标准坦克设计!$B$23:$U$23,0)))*(VLOOKUP($B88,INDIRECT($B$5&amp;"生成成长"),3))*(VLOOKUP($B$5,标准坦克设计!$B$14:$K$20,9)/30))</f>
        <v>8.2620709824199832</v>
      </c>
      <c r="BC88" s="172">
        <f ca="1">(VLOOKUP(BC$72,INDIRECT($C$5&amp;"生成成长"),2))/((VLOOKUP($B88,INDIRECT($B$5&amp;"生成成长"),4))/(VLOOKUP(BC$72,INDIRECT($C$5&amp;"生成成长"),5))*(VLOOKUP($B$5,标准坦克设计!$B$24:$U$30,MATCH("对"&amp;LEFT($C$5,2)&amp;"输出",标准坦克设计!$B$23:$U$23,0)))*(VLOOKUP($B88,INDIRECT($B$5&amp;"生成成长"),3))*(VLOOKUP($B$5,标准坦克设计!$B$14:$K$20,9)/30))</f>
        <v>9.0776041901490583</v>
      </c>
      <c r="BD88" s="172">
        <f ca="1">(VLOOKUP(BD$72,INDIRECT($C$5&amp;"生成成长"),2))/((VLOOKUP($B88,INDIRECT($B$5&amp;"生成成长"),4))/(VLOOKUP(BD$72,INDIRECT($C$5&amp;"生成成长"),5))*(VLOOKUP($B$5,标准坦克设计!$B$24:$U$30,MATCH("对"&amp;LEFT($C$5,2)&amp;"输出",标准坦克设计!$B$23:$U$23,0)))*(VLOOKUP($B88,INDIRECT($B$5&amp;"生成成长"),3))*(VLOOKUP($B$5,标准坦克设计!$B$14:$K$20,9)/30))</f>
        <v>10.040952791779024</v>
      </c>
      <c r="BE88" s="172">
        <f ca="1">(VLOOKUP(BE$72,INDIRECT($C$5&amp;"生成成长"),2))/((VLOOKUP($B88,INDIRECT($B$5&amp;"生成成长"),4))/(VLOOKUP(BE$72,INDIRECT($C$5&amp;"生成成长"),5))*(VLOOKUP($B$5,标准坦克设计!$B$24:$U$30,MATCH("对"&amp;LEFT($C$5,2)&amp;"输出",标准坦克设计!$B$23:$U$23,0)))*(VLOOKUP($B88,INDIRECT($B$5&amp;"生成成长"),3))*(VLOOKUP($B$5,标准坦克设计!$B$14:$K$20,9)/30))</f>
        <v>11.052873591810505</v>
      </c>
      <c r="BF88" s="172">
        <f ca="1">(VLOOKUP(BF$72,INDIRECT($C$5&amp;"生成成长"),2))/((VLOOKUP($B88,INDIRECT($B$5&amp;"生成成长"),4))/(VLOOKUP(BF$72,INDIRECT($C$5&amp;"生成成长"),5))*(VLOOKUP($B$5,标准坦克设计!$B$24:$U$30,MATCH("对"&amp;LEFT($C$5,2)&amp;"输出",标准坦克设计!$B$23:$U$23,0)))*(VLOOKUP($B88,INDIRECT($B$5&amp;"生成成长"),3))*(VLOOKUP($B$5,标准坦克设计!$B$14:$K$20,9)/30))</f>
        <v>12.113366590243496</v>
      </c>
      <c r="BG88" s="172">
        <f ca="1">(VLOOKUP(BG$72,INDIRECT($C$5&amp;"生成成长"),2))/((VLOOKUP($B88,INDIRECT($B$5&amp;"生成成长"),4))/(VLOOKUP(BG$72,INDIRECT($C$5&amp;"生成成长"),5))*(VLOOKUP($B$5,标准坦克设计!$B$24:$U$30,MATCH("对"&amp;LEFT($C$5,2)&amp;"输出",标准坦克设计!$B$23:$U$23,0)))*(VLOOKUP($B88,INDIRECT($B$5&amp;"生成成长"),3))*(VLOOKUP($B$5,标准坦克设计!$B$14:$K$20,9)/30))</f>
        <v>13.222431787077998</v>
      </c>
      <c r="BH88" s="172">
        <f ca="1">(VLOOKUP(BH$72,INDIRECT($C$5&amp;"生成成长"),2))/((VLOOKUP($B88,INDIRECT($B$5&amp;"生成成长"),4))/(VLOOKUP(BH$72,INDIRECT($C$5&amp;"生成成长"),5))*(VLOOKUP($B$5,标准坦克设计!$B$24:$U$30,MATCH("对"&amp;LEFT($C$5,2)&amp;"输出",标准坦克设计!$B$23:$U$23,0)))*(VLOOKUP($B88,INDIRECT($B$5&amp;"生成成长"),3))*(VLOOKUP($B$5,标准坦克设计!$B$14:$K$20,9)/30))</f>
        <v>6.3911418588062263</v>
      </c>
      <c r="BI88" s="172">
        <f ca="1">(VLOOKUP(BI$72,INDIRECT($C$5&amp;"生成成长"),2))/((VLOOKUP($B88,INDIRECT($B$5&amp;"生成成长"),4))/(VLOOKUP(BI$72,INDIRECT($C$5&amp;"生成成长"),5))*(VLOOKUP($B$5,标准坦克设计!$B$24:$U$30,MATCH("对"&amp;LEFT($C$5,2)&amp;"输出",标准坦克设计!$B$23:$U$23,0)))*(VLOOKUP($B88,INDIRECT($B$5&amp;"生成成长"),3))*(VLOOKUP($B$5,标准坦克设计!$B$14:$K$20,9)/30))</f>
        <v>7.2033769542981609</v>
      </c>
      <c r="BJ88" s="172">
        <f ca="1">(VLOOKUP(BJ$72,INDIRECT($C$5&amp;"生成成长"),2))/((VLOOKUP($B88,INDIRECT($B$5&amp;"生成成长"),4))/(VLOOKUP(BJ$72,INDIRECT($C$5&amp;"生成成长"),5))*(VLOOKUP($B$5,标准坦克设计!$B$24:$U$30,MATCH("对"&amp;LEFT($C$5,2)&amp;"输出",标准坦克设计!$B$23:$U$23,0)))*(VLOOKUP($B88,INDIRECT($B$5&amp;"生成成长"),3))*(VLOOKUP($B$5,标准坦克设计!$B$14:$K$20,9)/30))</f>
        <v>8.0641842481916051</v>
      </c>
      <c r="BK88" s="172">
        <f ca="1">(VLOOKUP(BK$72,INDIRECT($C$5&amp;"生成成长"),2))/((VLOOKUP($B88,INDIRECT($B$5&amp;"生成成长"),4))/(VLOOKUP(BK$72,INDIRECT($C$5&amp;"生成成长"),5))*(VLOOKUP($B$5,标准坦克设计!$B$24:$U$30,MATCH("对"&amp;LEFT($C$5,2)&amp;"输出",标准坦克设计!$B$23:$U$23,0)))*(VLOOKUP($B88,INDIRECT($B$5&amp;"生成成长"),3))*(VLOOKUP($B$5,标准坦克设计!$B$14:$K$20,9)/30))</f>
        <v>8.9735637404865631</v>
      </c>
      <c r="BL88" s="172">
        <f ca="1">(VLOOKUP(BL$72,INDIRECT($C$5&amp;"生成成长"),2))/((VLOOKUP($B88,INDIRECT($B$5&amp;"生成成长"),4))/(VLOOKUP(BL$72,INDIRECT($C$5&amp;"生成成长"),5))*(VLOOKUP($B$5,标准坦克设计!$B$24:$U$30,MATCH("对"&amp;LEFT($C$5,2)&amp;"输出",标准坦克设计!$B$23:$U$23,0)))*(VLOOKUP($B88,INDIRECT($B$5&amp;"生成成长"),3))*(VLOOKUP($B$5,标准坦克设计!$B$14:$K$20,9)/30))</f>
        <v>9.9315154311830298</v>
      </c>
      <c r="BM88" s="172">
        <f ca="1">(VLOOKUP(BM$72,INDIRECT($C$5&amp;"生成成长"),2))/((VLOOKUP($B88,INDIRECT($B$5&amp;"生成成长"),4))/(VLOOKUP(BM$72,INDIRECT($C$5&amp;"生成成长"),5))*(VLOOKUP($B$5,标准坦克设计!$B$24:$U$30,MATCH("对"&amp;LEFT($C$5,2)&amp;"输出",标准坦克设计!$B$23:$U$23,0)))*(VLOOKUP($B88,INDIRECT($B$5&amp;"生成成长"),3))*(VLOOKUP($B$5,标准坦克设计!$B$14:$K$20,9)/30))</f>
        <v>10.938039320281009</v>
      </c>
      <c r="BN88" s="172">
        <f ca="1">(VLOOKUP(BN$72,INDIRECT($C$5&amp;"生成成长"),2))/((VLOOKUP($B88,INDIRECT($B$5&amp;"生成成长"),4))/(VLOOKUP(BN$72,INDIRECT($C$5&amp;"生成成长"),5))*(VLOOKUP($B$5,标准坦克设计!$B$24:$U$30,MATCH("对"&amp;LEFT($C$5,2)&amp;"输出",标准坦克设计!$B$23:$U$23,0)))*(VLOOKUP($B88,INDIRECT($B$5&amp;"生成成长"),3))*(VLOOKUP($B$5,标准坦克设计!$B$14:$K$20,9)/30))</f>
        <v>11.993135407780498</v>
      </c>
      <c r="BO88" s="172">
        <f ca="1">(VLOOKUP(BO$72,INDIRECT($C$5&amp;"生成成长"),2))/((VLOOKUP($B88,INDIRECT($B$5&amp;"生成成长"),4))/(VLOOKUP(BO$72,INDIRECT($C$5&amp;"生成成长"),5))*(VLOOKUP($B$5,标准坦克设计!$B$24:$U$30,MATCH("对"&amp;LEFT($C$5,2)&amp;"输出",标准坦克设计!$B$23:$U$23,0)))*(VLOOKUP($B88,INDIRECT($B$5&amp;"生成成长"),3))*(VLOOKUP($B$5,标准坦克设计!$B$14:$K$20,9)/30))</f>
        <v>13.096803693681496</v>
      </c>
      <c r="BP88" s="172">
        <f ca="1">(VLOOKUP(BP$72,INDIRECT($C$5&amp;"生成成长"),2))/((VLOOKUP($B88,INDIRECT($B$5&amp;"生成成长"),4))/(VLOOKUP(BP$72,INDIRECT($C$5&amp;"生成成长"),5))*(VLOOKUP($B$5,标准坦克设计!$B$24:$U$30,MATCH("对"&amp;LEFT($C$5,2)&amp;"输出",标准坦克设计!$B$23:$U$23,0)))*(VLOOKUP($B88,INDIRECT($B$5&amp;"生成成长"),3))*(VLOOKUP($B$5,标准坦克设计!$B$14:$K$20,9)/30))</f>
        <v>14.249044177984009</v>
      </c>
      <c r="BQ88" s="172">
        <f ca="1">(VLOOKUP(BQ$72,INDIRECT($C$5&amp;"生成成长"),2))/((VLOOKUP($B88,INDIRECT($B$5&amp;"生成成长"),4))/(VLOOKUP(BQ$72,INDIRECT($C$5&amp;"生成成长"),5))*(VLOOKUP($B$5,标准坦克设计!$B$24:$U$30,MATCH("对"&amp;LEFT($C$5,2)&amp;"输出",标准坦克设计!$B$23:$U$23,0)))*(VLOOKUP($B88,INDIRECT($B$5&amp;"生成成长"),3))*(VLOOKUP($B$5,标准坦克设计!$B$14:$K$20,9)/30))</f>
        <v>15.44985686068803</v>
      </c>
      <c r="BR88" s="172">
        <f ca="1">(VLOOKUP(BR$72,INDIRECT($C$5&amp;"生成成长"),2))/((VLOOKUP($B88,INDIRECT($B$5&amp;"生成成长"),4))/(VLOOKUP(BR$72,INDIRECT($C$5&amp;"生成成长"),5))*(VLOOKUP($B$5,标准坦克设计!$B$24:$U$30,MATCH("对"&amp;LEFT($C$5,2)&amp;"输出",标准坦克设计!$B$23:$U$23,0)))*(VLOOKUP($B88,INDIRECT($B$5&amp;"生成成长"),3))*(VLOOKUP($B$5,标准坦克设计!$B$14:$K$20,9)/30))</f>
        <v>16.841060567990571</v>
      </c>
      <c r="BS88" s="172">
        <f ca="1">(VLOOKUP(BS$72,INDIRECT($C$5&amp;"生成成长"),2))/((VLOOKUP($B88,INDIRECT($B$5&amp;"生成成长"),4))/(VLOOKUP(BS$72,INDIRECT($C$5&amp;"生成成长"),5))*(VLOOKUP($B$5,标准坦克设计!$B$24:$U$30,MATCH("对"&amp;LEFT($C$5,2)&amp;"输出",标准坦克设计!$B$23:$U$23,0)))*(VLOOKUP($B88,INDIRECT($B$5&amp;"生成成长"),3))*(VLOOKUP($B$5,标准坦克设计!$B$14:$K$20,9)/30))</f>
        <v>18.292229952332011</v>
      </c>
      <c r="BT88" s="172">
        <f ca="1">(VLOOKUP(BT$72,INDIRECT($C$5&amp;"生成成长"),2))/((VLOOKUP($B88,INDIRECT($B$5&amp;"生成成长"),4))/(VLOOKUP(BT$72,INDIRECT($C$5&amp;"生成成长"),5))*(VLOOKUP($B$5,标准坦克设计!$B$24:$U$30,MATCH("对"&amp;LEFT($C$5,2)&amp;"输出",标准坦克设计!$B$23:$U$23,0)))*(VLOOKUP($B88,INDIRECT($B$5&amp;"生成成长"),3))*(VLOOKUP($B$5,标准坦克设计!$B$14:$K$20,9)/30))</f>
        <v>19.803365013712348</v>
      </c>
      <c r="BU88" s="172">
        <f ca="1">(VLOOKUP(BU$72,INDIRECT($C$5&amp;"生成成长"),2))/((VLOOKUP($B88,INDIRECT($B$5&amp;"生成成长"),4))/(VLOOKUP(BU$72,INDIRECT($C$5&amp;"生成成长"),5))*(VLOOKUP($B$5,标准坦克设计!$B$24:$U$30,MATCH("对"&amp;LEFT($C$5,2)&amp;"输出",标准坦克设计!$B$23:$U$23,0)))*(VLOOKUP($B88,INDIRECT($B$5&amp;"生成成长"),3))*(VLOOKUP($B$5,标准坦克设计!$B$14:$K$20,9)/30))</f>
        <v>21.374465752131595</v>
      </c>
      <c r="BV88" s="172">
        <f ca="1">(VLOOKUP(BV$72,INDIRECT($C$5&amp;"生成成长"),2))/((VLOOKUP($B88,INDIRECT($B$5&amp;"生成成长"),4))/(VLOOKUP(BV$72,INDIRECT($C$5&amp;"生成成长"),5))*(VLOOKUP($B$5,标准坦克设计!$B$24:$U$30,MATCH("对"&amp;LEFT($C$5,2)&amp;"输出",标准坦克设计!$B$23:$U$23,0)))*(VLOOKUP($B88,INDIRECT($B$5&amp;"生成成长"),3))*(VLOOKUP($B$5,标准坦克设计!$B$14:$K$20,9)/30))</f>
        <v>23.005532167589745</v>
      </c>
      <c r="BW88" s="172">
        <f ca="1">(VLOOKUP(BW$72,INDIRECT($C$5&amp;"生成成长"),2))/((VLOOKUP($B88,INDIRECT($B$5&amp;"生成成长"),4))/(VLOOKUP(BW$72,INDIRECT($C$5&amp;"生成成长"),5))*(VLOOKUP($B$5,标准坦克设计!$B$24:$U$30,MATCH("对"&amp;LEFT($C$5,2)&amp;"输出",标准坦克设计!$B$23:$U$23,0)))*(VLOOKUP($B88,INDIRECT($B$5&amp;"生成成长"),3))*(VLOOKUP($B$5,标准坦克设计!$B$14:$K$20,9)/30))</f>
        <v>10.484698801866903</v>
      </c>
      <c r="BX88" s="172">
        <f ca="1">(VLOOKUP(BX$72,INDIRECT($C$5&amp;"生成成长"),2))/((VLOOKUP($B88,INDIRECT($B$5&amp;"生成成长"),4))/(VLOOKUP(BX$72,INDIRECT($C$5&amp;"生成成长"),5))*(VLOOKUP($B$5,标准坦克设计!$B$24:$U$30,MATCH("对"&amp;LEFT($C$5,2)&amp;"输出",标准坦克设计!$B$23:$U$23,0)))*(VLOOKUP($B88,INDIRECT($B$5&amp;"生成成长"),3))*(VLOOKUP($B$5,标准坦克设计!$B$14:$K$20,9)/30))</f>
        <v>11.636039801013832</v>
      </c>
      <c r="BY88" s="172">
        <f ca="1">(VLOOKUP(BY$72,INDIRECT($C$5&amp;"生成成长"),2))/((VLOOKUP($B88,INDIRECT($B$5&amp;"生成成长"),4))/(VLOOKUP(BY$72,INDIRECT($C$5&amp;"生成成长"),5))*(VLOOKUP($B$5,标准坦克设计!$B$24:$U$30,MATCH("对"&amp;LEFT($C$5,2)&amp;"输出",标准坦克设计!$B$23:$U$23,0)))*(VLOOKUP($B88,INDIRECT($B$5&amp;"生成成长"),3))*(VLOOKUP($B$5,标准坦克设计!$B$14:$K$20,9)/30))</f>
        <v>12.847346477199661</v>
      </c>
      <c r="BZ88" s="172">
        <f ca="1">(VLOOKUP(BZ$72,INDIRECT($C$5&amp;"生成成长"),2))/((VLOOKUP($B88,INDIRECT($B$5&amp;"生成成长"),4))/(VLOOKUP(BZ$72,INDIRECT($C$5&amp;"生成成长"),5))*(VLOOKUP($B$5,标准坦克设计!$B$24:$U$30,MATCH("对"&amp;LEFT($C$5,2)&amp;"输出",标准坦克设计!$B$23:$U$23,0)))*(VLOOKUP($B88,INDIRECT($B$5&amp;"生成成长"),3))*(VLOOKUP($B$5,标准坦克设计!$B$14:$K$20,9)/30))</f>
        <v>14.118618830424394</v>
      </c>
      <c r="CA88" s="172">
        <f ca="1">(VLOOKUP(CA$72,INDIRECT($C$5&amp;"生成成长"),2))/((VLOOKUP($B88,INDIRECT($B$5&amp;"生成成长"),4))/(VLOOKUP(CA$72,INDIRECT($C$5&amp;"生成成长"),5))*(VLOOKUP($B$5,标准坦克设计!$B$24:$U$30,MATCH("对"&amp;LEFT($C$5,2)&amp;"输出",标准坦克设计!$B$23:$U$23,0)))*(VLOOKUP($B88,INDIRECT($B$5&amp;"生成成长"),3))*(VLOOKUP($B$5,标准坦克设计!$B$14:$K$20,9)/30))</f>
        <v>15.44985686068803</v>
      </c>
      <c r="CB88" s="172">
        <f ca="1">(VLOOKUP(CB$72,INDIRECT($C$5&amp;"生成成长"),2))/((VLOOKUP($B88,INDIRECT($B$5&amp;"生成成长"),4))/(VLOOKUP(CB$72,INDIRECT($C$5&amp;"生成成长"),5))*(VLOOKUP($B$5,标准坦克设计!$B$24:$U$30,MATCH("对"&amp;LEFT($C$5,2)&amp;"输出",标准坦克设计!$B$23:$U$23,0)))*(VLOOKUP($B88,INDIRECT($B$5&amp;"生成成长"),3))*(VLOOKUP($B$5,标准坦克设计!$B$14:$K$20,9)/30))</f>
        <v>16.841060567990571</v>
      </c>
      <c r="CC88" s="172">
        <f ca="1">(VLOOKUP(CC$72,INDIRECT($C$5&amp;"生成成长"),2))/((VLOOKUP($B88,INDIRECT($B$5&amp;"生成成长"),4))/(VLOOKUP(CC$72,INDIRECT($C$5&amp;"生成成长"),5))*(VLOOKUP($B$5,标准坦克设计!$B$24:$U$30,MATCH("对"&amp;LEFT($C$5,2)&amp;"输出",标准坦克设计!$B$23:$U$23,0)))*(VLOOKUP($B88,INDIRECT($B$5&amp;"生成成长"),3))*(VLOOKUP($B$5,标准坦克设计!$B$14:$K$20,9)/30))</f>
        <v>18.292229952332011</v>
      </c>
      <c r="CD88" s="172">
        <f ca="1">(VLOOKUP(CD$72,INDIRECT($C$5&amp;"生成成长"),2))/((VLOOKUP($B88,INDIRECT($B$5&amp;"生成成长"),4))/(VLOOKUP(CD$72,INDIRECT($C$5&amp;"生成成长"),5))*(VLOOKUP($B$5,标准坦克设计!$B$24:$U$30,MATCH("对"&amp;LEFT($C$5,2)&amp;"输出",标准坦克设计!$B$23:$U$23,0)))*(VLOOKUP($B88,INDIRECT($B$5&amp;"生成成长"),3))*(VLOOKUP($B$5,标准坦克设计!$B$14:$K$20,9)/30))</f>
        <v>19.803365013712348</v>
      </c>
      <c r="CE88" s="172">
        <f ca="1">(VLOOKUP(CE$72,INDIRECT($C$5&amp;"生成成长"),2))/((VLOOKUP($B88,INDIRECT($B$5&amp;"生成成长"),4))/(VLOOKUP(CE$72,INDIRECT($C$5&amp;"生成成长"),5))*(VLOOKUP($B$5,标准坦克设计!$B$24:$U$30,MATCH("对"&amp;LEFT($C$5,2)&amp;"输出",标准坦克设计!$B$23:$U$23,0)))*(VLOOKUP($B88,INDIRECT($B$5&amp;"生成成长"),3))*(VLOOKUP($B$5,标准坦克设计!$B$14:$K$20,9)/30))</f>
        <v>21.374465752131595</v>
      </c>
      <c r="CF88" s="172">
        <f ca="1">(VLOOKUP(CF$72,INDIRECT($C$5&amp;"生成成长"),2))/((VLOOKUP($B88,INDIRECT($B$5&amp;"生成成长"),4))/(VLOOKUP(CF$72,INDIRECT($C$5&amp;"生成成长"),5))*(VLOOKUP($B$5,标准坦克设计!$B$24:$U$30,MATCH("对"&amp;LEFT($C$5,2)&amp;"输出",标准坦克设计!$B$23:$U$23,0)))*(VLOOKUP($B88,INDIRECT($B$5&amp;"生成成长"),3))*(VLOOKUP($B$5,标准坦克设计!$B$14:$K$20,9)/30))</f>
        <v>23.005532167589745</v>
      </c>
      <c r="CG88" s="172">
        <f ca="1">(VLOOKUP(CG$72,INDIRECT($C$5&amp;"生成成长"),2))/((VLOOKUP($B88,INDIRECT($B$5&amp;"生成成长"),4))/(VLOOKUP(CG$72,INDIRECT($C$5&amp;"生成成长"),5))*(VLOOKUP($B$5,标准坦克设计!$B$24:$U$30,MATCH("对"&amp;LEFT($C$5,2)&amp;"输出",标准坦克设计!$B$23:$U$23,0)))*(VLOOKUP($B88,INDIRECT($B$5&amp;"生成成长"),3))*(VLOOKUP($B$5,标准坦克设计!$B$14:$K$20,9)/30))</f>
        <v>24.696564260086792</v>
      </c>
      <c r="CH88" s="172">
        <f ca="1">(VLOOKUP(CH$72,INDIRECT($C$5&amp;"生成成长"),2))/((VLOOKUP($B88,INDIRECT($B$5&amp;"生成成长"),4))/(VLOOKUP(CH$72,INDIRECT($C$5&amp;"生成成长"),5))*(VLOOKUP($B$5,标准坦克设计!$B$24:$U$30,MATCH("对"&amp;LEFT($C$5,2)&amp;"输出",标准坦克设计!$B$23:$U$23,0)))*(VLOOKUP($B88,INDIRECT($B$5&amp;"生成成长"),3))*(VLOOKUP($B$5,标准坦克设计!$B$14:$K$20,9)/30))</f>
        <v>26.447562029622748</v>
      </c>
      <c r="CI88" s="172">
        <f ca="1">(VLOOKUP(CI$72,INDIRECT($C$5&amp;"生成成长"),2))/((VLOOKUP($B88,INDIRECT($B$5&amp;"生成成长"),4))/(VLOOKUP(CI$72,INDIRECT($C$5&amp;"生成成长"),5))*(VLOOKUP($B$5,标准坦克设计!$B$24:$U$30,MATCH("对"&amp;LEFT($C$5,2)&amp;"输出",标准坦克设计!$B$23:$U$23,0)))*(VLOOKUP($B88,INDIRECT($B$5&amp;"生成成长"),3))*(VLOOKUP($B$5,标准坦克设计!$B$14:$K$20,9)/30))</f>
        <v>28.442919933092224</v>
      </c>
      <c r="CJ88" s="172">
        <f ca="1">(VLOOKUP(CJ$72,INDIRECT($C$5&amp;"生成成长"),2))/((VLOOKUP($B88,INDIRECT($B$5&amp;"生成成长"),4))/(VLOOKUP(CJ$72,INDIRECT($C$5&amp;"生成成长"),5))*(VLOOKUP($B$5,标准坦克设计!$B$24:$U$30,MATCH("对"&amp;LEFT($C$5,2)&amp;"输出",标准坦克设计!$B$23:$U$23,0)))*(VLOOKUP($B88,INDIRECT($B$5&amp;"生成成长"),3))*(VLOOKUP($B$5,标准坦克设计!$B$14:$K$20,9)/30))</f>
        <v>30.510836305778781</v>
      </c>
      <c r="CK88" s="172">
        <f ca="1">(VLOOKUP(CK$72,INDIRECT($C$5&amp;"生成成长"),2))/((VLOOKUP($B88,INDIRECT($B$5&amp;"生成成长"),4))/(VLOOKUP(CK$72,INDIRECT($C$5&amp;"生成成长"),5))*(VLOOKUP($B$5,标准坦克设计!$B$24:$U$30,MATCH("对"&amp;LEFT($C$5,2)&amp;"输出",标准坦克设计!$B$23:$U$23,0)))*(VLOOKUP($B88,INDIRECT($B$5&amp;"生成成长"),3))*(VLOOKUP($B$5,标准坦克设计!$B$14:$K$20,9)/30))</f>
        <v>32.651311147682406</v>
      </c>
      <c r="CL88" s="172">
        <f ca="1">(VLOOKUP(CL$72,INDIRECT($C$5&amp;"生成成长"),2))/((VLOOKUP($B88,INDIRECT($B$5&amp;"生成成长"),4))/(VLOOKUP(CL$72,INDIRECT($C$5&amp;"生成成长"),5))*(VLOOKUP($B$5,标准坦克设计!$B$24:$U$30,MATCH("对"&amp;LEFT($C$5,2)&amp;"输出",标准坦克设计!$B$23:$U$23,0)))*(VLOOKUP($B88,INDIRECT($B$5&amp;"生成成长"),3))*(VLOOKUP($B$5,标准坦克设计!$B$14:$K$20,9)/30))</f>
        <v>34.864344458803103</v>
      </c>
      <c r="CM88" s="172">
        <f ca="1">(VLOOKUP(CM$72,INDIRECT($C$5&amp;"生成成长"),2))/((VLOOKUP($B88,INDIRECT($B$5&amp;"生成成长"),4))/(VLOOKUP(CM$72,INDIRECT($C$5&amp;"生成成长"),5))*(VLOOKUP($B$5,标准坦克设计!$B$24:$U$30,MATCH("对"&amp;LEFT($C$5,2)&amp;"输出",标准坦克设计!$B$23:$U$23,0)))*(VLOOKUP($B88,INDIRECT($B$5&amp;"生成成长"),3))*(VLOOKUP($B$5,标准坦克设计!$B$14:$K$20,9)/30))</f>
        <v>37.149936239140864</v>
      </c>
      <c r="CN88" s="172">
        <f ca="1">(VLOOKUP(CN$72,INDIRECT($C$5&amp;"生成成长"),2))/((VLOOKUP($B88,INDIRECT($B$5&amp;"生成成长"),4))/(VLOOKUP(CN$72,INDIRECT($C$5&amp;"生成成长"),5))*(VLOOKUP($B$5,标准坦克设计!$B$24:$U$30,MATCH("对"&amp;LEFT($C$5,2)&amp;"输出",标准坦克设计!$B$23:$U$23,0)))*(VLOOKUP($B88,INDIRECT($B$5&amp;"生成成长"),3))*(VLOOKUP($B$5,标准坦克设计!$B$14:$K$20,9)/30))</f>
        <v>39.508086488695703</v>
      </c>
      <c r="CO88" s="172">
        <f ca="1">(VLOOKUP(CO$72,INDIRECT($C$5&amp;"生成成长"),2))/((VLOOKUP($B88,INDIRECT($B$5&amp;"生成成长"),4))/(VLOOKUP(CO$72,INDIRECT($C$5&amp;"生成成长"),5))*(VLOOKUP($B$5,标准坦克设计!$B$24:$U$30,MATCH("对"&amp;LEFT($C$5,2)&amp;"输出",标准坦克设计!$B$23:$U$23,0)))*(VLOOKUP($B88,INDIRECT($B$5&amp;"生成成长"),3))*(VLOOKUP($B$5,标准坦克设计!$B$14:$K$20,9)/30))</f>
        <v>17.704566317350764</v>
      </c>
      <c r="CP88" s="172">
        <f ca="1">(VLOOKUP(CP$72,INDIRECT($C$5&amp;"生成成长"),2))/((VLOOKUP($B88,INDIRECT($B$5&amp;"生成成长"),4))/(VLOOKUP(CP$72,INDIRECT($C$5&amp;"生成成长"),5))*(VLOOKUP($B$5,标准坦克设计!$B$24:$U$30,MATCH("对"&amp;LEFT($C$5,2)&amp;"输出",标准坦克设计!$B$23:$U$23,0)))*(VLOOKUP($B88,INDIRECT($B$5&amp;"生成成长"),3))*(VLOOKUP($B$5,标准坦克设计!$B$14:$K$20,9)/30))</f>
        <v>19.343728099209159</v>
      </c>
      <c r="CQ88" s="172">
        <f ca="1">(VLOOKUP(CQ$72,INDIRECT($C$5&amp;"生成成长"),2))/((VLOOKUP($B88,INDIRECT($B$5&amp;"生成成长"),4))/(VLOOKUP(CQ$72,INDIRECT($C$5&amp;"生成成长"),5))*(VLOOKUP($B$5,标准坦克设计!$B$24:$U$30,MATCH("对"&amp;LEFT($C$5,2)&amp;"输出",标准坦克设计!$B$23:$U$23,0)))*(VLOOKUP($B88,INDIRECT($B$5&amp;"生成成长"),3))*(VLOOKUP($B$5,标准坦克设计!$B$14:$K$20,9)/30))</f>
        <v>21.055448350284635</v>
      </c>
      <c r="CR88" s="172">
        <f ca="1">(VLOOKUP(CR$72,INDIRECT($C$5&amp;"生成成长"),2))/((VLOOKUP($B88,INDIRECT($B$5&amp;"生成成长"),4))/(VLOOKUP(CR$72,INDIRECT($C$5&amp;"生成成长"),5))*(VLOOKUP($B$5,标准坦克设计!$B$24:$U$30,MATCH("对"&amp;LEFT($C$5,2)&amp;"输出",标准坦克设计!$B$23:$U$23,0)))*(VLOOKUP($B88,INDIRECT($B$5&amp;"生成成长"),3))*(VLOOKUP($B$5,标准坦克设计!$B$14:$K$20,9)/30))</f>
        <v>22.83972707057718</v>
      </c>
      <c r="CS88" s="172">
        <f ca="1">(VLOOKUP(CS$72,INDIRECT($C$5&amp;"生成成长"),2))/((VLOOKUP($B88,INDIRECT($B$5&amp;"生成成长"),4))/(VLOOKUP(CS$72,INDIRECT($C$5&amp;"生成成长"),5))*(VLOOKUP($B$5,标准坦克设计!$B$24:$U$30,MATCH("对"&amp;LEFT($C$5,2)&amp;"输出",标准坦克设计!$B$23:$U$23,0)))*(VLOOKUP($B88,INDIRECT($B$5&amp;"生成成长"),3))*(VLOOKUP($B$5,标准坦克设计!$B$14:$K$20,9)/30))</f>
        <v>24.696564260086792</v>
      </c>
      <c r="CT88" s="172">
        <f ca="1">(VLOOKUP(CT$72,INDIRECT($C$5&amp;"生成成长"),2))/((VLOOKUP($B88,INDIRECT($B$5&amp;"生成成长"),4))/(VLOOKUP(CT$72,INDIRECT($C$5&amp;"生成成长"),5))*(VLOOKUP($B$5,标准坦克设计!$B$24:$U$30,MATCH("对"&amp;LEFT($C$5,2)&amp;"输出",标准坦克设计!$B$23:$U$23,0)))*(VLOOKUP($B88,INDIRECT($B$5&amp;"生成成长"),3))*(VLOOKUP($B$5,标准坦克设计!$B$14:$K$20,9)/30))</f>
        <v>26.625959918813479</v>
      </c>
      <c r="CU88" s="172">
        <f ca="1">(VLOOKUP(CU$72,INDIRECT($C$5&amp;"生成成长"),2))/((VLOOKUP($B88,INDIRECT($B$5&amp;"生成成长"),4))/(VLOOKUP(CU$72,INDIRECT($C$5&amp;"生成成长"),5))*(VLOOKUP($B$5,标准坦克设计!$B$24:$U$30,MATCH("对"&amp;LEFT($C$5,2)&amp;"输出",标准坦克设计!$B$23:$U$23,0)))*(VLOOKUP($B88,INDIRECT($B$5&amp;"生成成长"),3))*(VLOOKUP($B$5,标准坦克设计!$B$14:$K$20,9)/30))</f>
        <v>28.627914046757233</v>
      </c>
      <c r="CV88" s="172">
        <f ca="1">(VLOOKUP(CV$72,INDIRECT($C$5&amp;"生成成长"),2))/((VLOOKUP($B88,INDIRECT($B$5&amp;"生成成长"),4))/(VLOOKUP(CV$72,INDIRECT($C$5&amp;"生成成长"),5))*(VLOOKUP($B$5,标准坦克设计!$B$24:$U$30,MATCH("对"&amp;LEFT($C$5,2)&amp;"输出",标准坦克设计!$B$23:$U$23,0)))*(VLOOKUP($B88,INDIRECT($B$5&amp;"生成成长"),3))*(VLOOKUP($B$5,标准坦克设计!$B$14:$K$20,9)/30))</f>
        <v>30.70242664391807</v>
      </c>
      <c r="CW88" s="172">
        <f ca="1">(VLOOKUP(CW$72,INDIRECT($C$5&amp;"生成成长"),2))/((VLOOKUP($B88,INDIRECT($B$5&amp;"生成成长"),4))/(VLOOKUP(CW$72,INDIRECT($C$5&amp;"生成成长"),5))*(VLOOKUP($B$5,标准坦克设计!$B$24:$U$30,MATCH("对"&amp;LEFT($C$5,2)&amp;"输出",标准坦克设计!$B$23:$U$23,0)))*(VLOOKUP($B88,INDIRECT($B$5&amp;"生成成长"),3))*(VLOOKUP($B$5,标准坦克设计!$B$14:$K$20,9)/30))</f>
        <v>32.849497710295964</v>
      </c>
      <c r="CX88" s="172">
        <f ca="1">(VLOOKUP(CX$72,INDIRECT($C$5&amp;"生成成长"),2))/((VLOOKUP($B88,INDIRECT($B$5&amp;"生成成长"),4))/(VLOOKUP(CX$72,INDIRECT($C$5&amp;"生成成长"),5))*(VLOOKUP($B$5,标准坦克设计!$B$24:$U$30,MATCH("对"&amp;LEFT($C$5,2)&amp;"输出",标准坦克设计!$B$23:$U$23,0)))*(VLOOKUP($B88,INDIRECT($B$5&amp;"生成成长"),3))*(VLOOKUP($B$5,标准坦克设计!$B$14:$K$20,9)/30))</f>
        <v>35.069127245890954</v>
      </c>
      <c r="CY88" s="172">
        <f ca="1">(VLOOKUP(CY$72,INDIRECT($C$5&amp;"生成成长"),2))/((VLOOKUP($B88,INDIRECT($B$5&amp;"生成成长"),4))/(VLOOKUP(CY$72,INDIRECT($C$5&amp;"生成成长"),5))*(VLOOKUP($B$5,标准坦克设计!$B$24:$U$30,MATCH("对"&amp;LEFT($C$5,2)&amp;"输出",标准坦克设计!$B$23:$U$23,0)))*(VLOOKUP($B88,INDIRECT($B$5&amp;"生成成长"),3))*(VLOOKUP($B$5,标准坦克设计!$B$14:$K$20,9)/30))</f>
        <v>37.361315250702994</v>
      </c>
      <c r="CZ88" s="172">
        <f ca="1">(VLOOKUP(CZ$72,INDIRECT($C$5&amp;"生成成长"),2))/((VLOOKUP($B88,INDIRECT($B$5&amp;"生成成长"),4))/(VLOOKUP(CZ$72,INDIRECT($C$5&amp;"生成成长"),5))*(VLOOKUP($B$5,标准坦克设计!$B$24:$U$30,MATCH("对"&amp;LEFT($C$5,2)&amp;"输出",标准坦克设计!$B$23:$U$23,0)))*(VLOOKUP($B88,INDIRECT($B$5&amp;"生成成长"),3))*(VLOOKUP($B$5,标准坦克设计!$B$14:$K$20,9)/30))</f>
        <v>39.726061724732119</v>
      </c>
      <c r="DA88" s="172">
        <f ca="1">(VLOOKUP(DA$72,INDIRECT($C$5&amp;"生成成长"),2))/((VLOOKUP($B88,INDIRECT($B$5&amp;"生成成长"),4))/(VLOOKUP(DA$72,INDIRECT($C$5&amp;"生成成长"),5))*(VLOOKUP($B$5,标准坦克设计!$B$24:$U$30,MATCH("对"&amp;LEFT($C$5,2)&amp;"输出",标准坦克设计!$B$23:$U$23,0)))*(VLOOKUP($B88,INDIRECT($B$5&amp;"生成成长"),3))*(VLOOKUP($B$5,标准坦克设计!$B$14:$K$20,9)/30))</f>
        <v>42.163366667978309</v>
      </c>
      <c r="DB88" s="172">
        <f ca="1">(VLOOKUP(DB$72,INDIRECT($C$5&amp;"生成成长"),2))/((VLOOKUP($B88,INDIRECT($B$5&amp;"生成成长"),4))/(VLOOKUP(DB$72,INDIRECT($C$5&amp;"生成成长"),5))*(VLOOKUP($B$5,标准坦克设计!$B$24:$U$30,MATCH("对"&amp;LEFT($C$5,2)&amp;"输出",标准坦克设计!$B$23:$U$23,0)))*(VLOOKUP($B88,INDIRECT($B$5&amp;"生成成长"),3))*(VLOOKUP($B$5,标准坦克设计!$B$14:$K$20,9)/30))</f>
        <v>44.67323008044157</v>
      </c>
      <c r="DC88" s="172">
        <f ca="1">(VLOOKUP(DC$72,INDIRECT($C$5&amp;"生成成长"),2))/((VLOOKUP($B88,INDIRECT($B$5&amp;"生成成长"),4))/(VLOOKUP(DC$72,INDIRECT($C$5&amp;"生成成长"),5))*(VLOOKUP($B$5,标准坦克设计!$B$24:$U$30,MATCH("对"&amp;LEFT($C$5,2)&amp;"输出",标准坦克设计!$B$23:$U$23,0)))*(VLOOKUP($B88,INDIRECT($B$5&amp;"生成成长"),3))*(VLOOKUP($B$5,标准坦克设计!$B$14:$K$20,9)/30))</f>
        <v>47.49401552835154</v>
      </c>
      <c r="DD88" s="172">
        <f ca="1">(VLOOKUP(DD$72,INDIRECT($C$5&amp;"生成成长"),2))/((VLOOKUP($B88,INDIRECT($B$5&amp;"生成成长"),4))/(VLOOKUP(DD$72,INDIRECT($C$5&amp;"生成成长"),5))*(VLOOKUP($B$5,标准坦克设计!$B$24:$U$30,MATCH("对"&amp;LEFT($C$5,2)&amp;"输出",标准坦克设计!$B$23:$U$23,0)))*(VLOOKUP($B88,INDIRECT($B$5&amp;"生成成长"),3))*(VLOOKUP($B$5,标准坦克设计!$B$14:$K$20,9)/30))</f>
        <v>50.401151551197536</v>
      </c>
      <c r="DE88" s="172">
        <f ca="1">(VLOOKUP(DE$72,INDIRECT($C$5&amp;"生成成长"),2))/((VLOOKUP($B88,INDIRECT($B$5&amp;"生成成长"),4))/(VLOOKUP(DE$72,INDIRECT($C$5&amp;"生成成长"),5))*(VLOOKUP($B$5,标准坦克设计!$B$24:$U$30,MATCH("对"&amp;LEFT($C$5,2)&amp;"输出",标准坦克设计!$B$23:$U$23,0)))*(VLOOKUP($B88,INDIRECT($B$5&amp;"生成成长"),3))*(VLOOKUP($B$5,标准坦克设计!$B$14:$K$20,9)/30))</f>
        <v>53.394638148979553</v>
      </c>
      <c r="DF88" s="172">
        <f ca="1">(VLOOKUP(DF$72,INDIRECT($C$5&amp;"生成成长"),2))/((VLOOKUP($B88,INDIRECT($B$5&amp;"生成成长"),4))/(VLOOKUP(DF$72,INDIRECT($C$5&amp;"生成成长"),5))*(VLOOKUP($B$5,标准坦克设计!$B$24:$U$30,MATCH("对"&amp;LEFT($C$5,2)&amp;"输出",标准坦克设计!$B$23:$U$23,0)))*(VLOOKUP($B88,INDIRECT($B$5&amp;"生成成长"),3))*(VLOOKUP($B$5,标准坦克设计!$B$14:$K$20,9)/30))</f>
        <v>56.474475321697575</v>
      </c>
      <c r="DG88" s="172">
        <f ca="1">(VLOOKUP(DG$72,INDIRECT($C$5&amp;"生成成长"),2))/((VLOOKUP($B88,INDIRECT($B$5&amp;"生成成长"),4))/(VLOOKUP(DG$72,INDIRECT($C$5&amp;"生成成长"),5))*(VLOOKUP($B$5,标准坦克设计!$B$24:$U$30,MATCH("对"&amp;LEFT($C$5,2)&amp;"输出",标准坦克设计!$B$23:$U$23,0)))*(VLOOKUP($B88,INDIRECT($B$5&amp;"生成成长"),3))*(VLOOKUP($B$5,标准坦克设计!$B$14:$K$20,9)/30))</f>
        <v>59.640663069351632</v>
      </c>
      <c r="DH88" s="172">
        <f ca="1">(VLOOKUP(DH$72,INDIRECT($C$5&amp;"生成成长"),2))/((VLOOKUP($B88,INDIRECT($B$5&amp;"生成成长"),4))/(VLOOKUP(DH$72,INDIRECT($C$5&amp;"生成成长"),5))*(VLOOKUP($B$5,标准坦克设计!$B$24:$U$30,MATCH("对"&amp;LEFT($C$5,2)&amp;"输出",标准坦克设计!$B$23:$U$23,0)))*(VLOOKUP($B88,INDIRECT($B$5&amp;"生成成长"),3))*(VLOOKUP($B$5,标准坦克设计!$B$14:$K$20,9)/30))</f>
        <v>62.893201391941716</v>
      </c>
      <c r="DI88" s="172">
        <f ca="1">(VLOOKUP(DI$72,INDIRECT($C$5&amp;"生成成长"),2))/((VLOOKUP($B88,INDIRECT($B$5&amp;"生成成长"),4))/(VLOOKUP(DI$72,INDIRECT($C$5&amp;"生成成长"),5))*(VLOOKUP($B$5,标准坦克设计!$B$24:$U$30,MATCH("对"&amp;LEFT($C$5,2)&amp;"输出",标准坦克设计!$B$23:$U$23,0)))*(VLOOKUP($B88,INDIRECT($B$5&amp;"生成成长"),3))*(VLOOKUP($B$5,标准坦克设计!$B$14:$K$20,9)/30))</f>
        <v>66.232090289467791</v>
      </c>
      <c r="DJ88" s="172">
        <f ca="1">(VLOOKUP(DJ$72,INDIRECT($C$5&amp;"生成成长"),2))/((VLOOKUP($B88,INDIRECT($B$5&amp;"生成成长"),4))/(VLOOKUP(DJ$72,INDIRECT($C$5&amp;"生成成长"),5))*(VLOOKUP($B$5,标准坦克设计!$B$24:$U$30,MATCH("对"&amp;LEFT($C$5,2)&amp;"输出",标准坦克设计!$B$23:$U$23,0)))*(VLOOKUP($B88,INDIRECT($B$5&amp;"生成成长"),3))*(VLOOKUP($B$5,标准坦克设计!$B$14:$K$20,9)/30))</f>
        <v>6.6564899797033696</v>
      </c>
      <c r="DK88" s="172">
        <f ca="1">(VLOOKUP(DK$72,INDIRECT($C$5&amp;"生成成长"),2))/((VLOOKUP($B88,INDIRECT($B$5&amp;"生成成长"),4))/(VLOOKUP(DK$72,INDIRECT($C$5&amp;"生成成长"),5))*(VLOOKUP($B$5,标准坦克设计!$B$24:$U$30,MATCH("对"&amp;LEFT($C$5,2)&amp;"输出",标准坦克设计!$B$23:$U$23,0)))*(VLOOKUP($B88,INDIRECT($B$5&amp;"生成成长"),3))*(VLOOKUP($B$5,标准坦克设计!$B$14:$K$20,9)/30))</f>
        <v>7.484915807995808</v>
      </c>
      <c r="DL88" s="172">
        <f ca="1">(VLOOKUP(DL$72,INDIRECT($C$5&amp;"生成成长"),2))/((VLOOKUP($B88,INDIRECT($B$5&amp;"生成成长"),4))/(VLOOKUP(DL$72,INDIRECT($C$5&amp;"生成成长"),5))*(VLOOKUP($B$5,标准坦克设计!$B$24:$U$30,MATCH("对"&amp;LEFT($C$5,2)&amp;"输出",标准坦克设计!$B$23:$U$23,0)))*(VLOOKUP($B88,INDIRECT($B$5&amp;"生成成长"),3))*(VLOOKUP($B$5,标准坦克设计!$B$14:$K$20,9)/30))</f>
        <v>8.3619138346897568</v>
      </c>
      <c r="DM88" s="172">
        <f ca="1">(VLOOKUP(DM$72,INDIRECT($C$5&amp;"生成成长"),2))/((VLOOKUP($B88,INDIRECT($B$5&amp;"生成成长"),4))/(VLOOKUP(DM$72,INDIRECT($C$5&amp;"生成成长"),5))*(VLOOKUP($B$5,标准坦克设计!$B$24:$U$30,MATCH("对"&amp;LEFT($C$5,2)&amp;"输出",标准坦克设计!$B$23:$U$23,0)))*(VLOOKUP($B88,INDIRECT($B$5&amp;"生成成长"),3))*(VLOOKUP($B$5,标准坦克设计!$B$14:$K$20,9)/30))</f>
        <v>9.287484059785216</v>
      </c>
      <c r="DN88" s="172">
        <f ca="1">(VLOOKUP(DN$72,INDIRECT($C$5&amp;"生成成长"),2))/((VLOOKUP($B88,INDIRECT($B$5&amp;"生成成长"),4))/(VLOOKUP(DN$72,INDIRECT($C$5&amp;"生成成长"),5))*(VLOOKUP($B$5,标准坦克设计!$B$24:$U$30,MATCH("对"&amp;LEFT($C$5,2)&amp;"输出",标准坦克设计!$B$23:$U$23,0)))*(VLOOKUP($B88,INDIRECT($B$5&amp;"生成成长"),3))*(VLOOKUP($B$5,标准坦克设计!$B$14:$K$20,9)/30))</f>
        <v>10.261626483282186</v>
      </c>
      <c r="DO88" s="172">
        <f ca="1">(VLOOKUP(DO$72,INDIRECT($C$5&amp;"生成成长"),2))/((VLOOKUP($B88,INDIRECT($B$5&amp;"生成成长"),4))/(VLOOKUP(DO$72,INDIRECT($C$5&amp;"生成成长"),5))*(VLOOKUP($B$5,标准坦克设计!$B$24:$U$30,MATCH("对"&amp;LEFT($C$5,2)&amp;"输出",标准坦克设计!$B$23:$U$23,0)))*(VLOOKUP($B88,INDIRECT($B$5&amp;"生成成长"),3))*(VLOOKUP($B$5,标准坦克设计!$B$14:$K$20,9)/30))</f>
        <v>11.284341105180671</v>
      </c>
      <c r="DP88" s="172">
        <f ca="1">(VLOOKUP(DP$72,INDIRECT($C$5&amp;"生成成长"),2))/((VLOOKUP($B88,INDIRECT($B$5&amp;"生成成长"),4))/(VLOOKUP(DP$72,INDIRECT($C$5&amp;"生成成长"),5))*(VLOOKUP($B$5,标准坦克设计!$B$24:$U$30,MATCH("对"&amp;LEFT($C$5,2)&amp;"输出",标准坦克设计!$B$23:$U$23,0)))*(VLOOKUP($B88,INDIRECT($B$5&amp;"生成成长"),3))*(VLOOKUP($B$5,标准坦克设计!$B$14:$K$20,9)/30))</f>
        <v>12.355627925480665</v>
      </c>
      <c r="DQ88" s="172">
        <f ca="1">(VLOOKUP(DQ$72,INDIRECT($C$5&amp;"生成成长"),2))/((VLOOKUP($B88,INDIRECT($B$5&amp;"生成成长"),4))/(VLOOKUP(DQ$72,INDIRECT($C$5&amp;"生成成长"),5))*(VLOOKUP($B$5,标准坦克设计!$B$24:$U$30,MATCH("对"&amp;LEFT($C$5,2)&amp;"输出",标准坦克设计!$B$23:$U$23,0)))*(VLOOKUP($B88,INDIRECT($B$5&amp;"生成成长"),3))*(VLOOKUP($B$5,标准坦克设计!$B$14:$K$20,9)/30))</f>
        <v>13.475486944182165</v>
      </c>
      <c r="DR88" s="172">
        <f ca="1">(VLOOKUP(DR$72,INDIRECT($C$5&amp;"生成成长"),2))/((VLOOKUP($B88,INDIRECT($B$5&amp;"生成成长"),4))/(VLOOKUP(DR$72,INDIRECT($C$5&amp;"生成成长"),5))*(VLOOKUP($B$5,标准坦克设计!$B$24:$U$30,MATCH("对"&amp;LEFT($C$5,2)&amp;"输出",标准坦克设计!$B$23:$U$23,0)))*(VLOOKUP($B88,INDIRECT($B$5&amp;"生成成长"),3))*(VLOOKUP($B$5,标准坦克设计!$B$14:$K$20,9)/30))</f>
        <v>14.64391816128518</v>
      </c>
      <c r="DS88" s="172">
        <f ca="1">(VLOOKUP(DS$72,INDIRECT($C$5&amp;"生成成长"),2))/((VLOOKUP($B88,INDIRECT($B$5&amp;"生成成长"),4))/(VLOOKUP(DS$72,INDIRECT($C$5&amp;"生成成长"),5))*(VLOOKUP($B$5,标准坦克设计!$B$24:$U$30,MATCH("对"&amp;LEFT($C$5,2)&amp;"输出",标准坦克设计!$B$23:$U$23,0)))*(VLOOKUP($B88,INDIRECT($B$5&amp;"生成成长"),3))*(VLOOKUP($B$5,标准坦克设计!$B$14:$K$20,9)/30))</f>
        <v>15.860921576789705</v>
      </c>
      <c r="DT88" s="172">
        <f ca="1">(VLOOKUP(DT$72,INDIRECT($C$5&amp;"生成成长"),2))/((VLOOKUP($B88,INDIRECT($B$5&amp;"生成成长"),4))/(VLOOKUP(DT$72,INDIRECT($C$5&amp;"生成成长"),5))*(VLOOKUP($B$5,标准坦克设计!$B$24:$U$30,MATCH("对"&amp;LEFT($C$5,2)&amp;"输出",标准坦克设计!$B$23:$U$23,0)))*(VLOOKUP($B88,INDIRECT($B$5&amp;"生成成长"),3))*(VLOOKUP($B$5,标准坦克设计!$B$14:$K$20,9)/30))</f>
        <v>17.414332440482472</v>
      </c>
      <c r="DU88" s="172">
        <f ca="1">(VLOOKUP(DU$72,INDIRECT($C$5&amp;"生成成长"),2))/((VLOOKUP($B88,INDIRECT($B$5&amp;"生成成长"),4))/(VLOOKUP(DU$72,INDIRECT($C$5&amp;"生成成长"),5))*(VLOOKUP($B$5,标准坦克设计!$B$24:$U$30,MATCH("对"&amp;LEFT($C$5,2)&amp;"输出",标准坦克设计!$B$23:$U$23,0)))*(VLOOKUP($B88,INDIRECT($B$5&amp;"生成成长"),3))*(VLOOKUP($B$5,标准坦克设计!$B$14:$K$20,9)/30))</f>
        <v>19.040301773392315</v>
      </c>
      <c r="DV88" s="172">
        <f ca="1">(VLOOKUP(DV$72,INDIRECT($C$5&amp;"生成成长"),2))/((VLOOKUP($B88,INDIRECT($B$5&amp;"生成成长"),4))/(VLOOKUP(DV$72,INDIRECT($C$5&amp;"生成成长"),5))*(VLOOKUP($B$5,标准坦克设计!$B$24:$U$30,MATCH("对"&amp;LEFT($C$5,2)&amp;"输出",标准坦克设计!$B$23:$U$23,0)))*(VLOOKUP($B88,INDIRECT($B$5&amp;"生成成长"),3))*(VLOOKUP($B$5,标准坦克设计!$B$14:$K$20,9)/30))</f>
        <v>20.73882957551923</v>
      </c>
      <c r="DW88" s="172">
        <f ca="1">(VLOOKUP(DW$72,INDIRECT($C$5&amp;"生成成长"),2))/((VLOOKUP($B88,INDIRECT($B$5&amp;"生成成长"),4))/(VLOOKUP(DW$72,INDIRECT($C$5&amp;"生成成长"),5))*(VLOOKUP($B$5,标准坦克设计!$B$24:$U$30,MATCH("对"&amp;LEFT($C$5,2)&amp;"输出",标准坦克设计!$B$23:$U$23,0)))*(VLOOKUP($B88,INDIRECT($B$5&amp;"生成成长"),3))*(VLOOKUP($B$5,标准坦克设计!$B$14:$K$20,9)/30))</f>
        <v>22.509915846863215</v>
      </c>
      <c r="DX88" s="172">
        <f ca="1">(VLOOKUP(DX$72,INDIRECT($C$5&amp;"生成成长"),2))/((VLOOKUP($B88,INDIRECT($B$5&amp;"生成成长"),4))/(VLOOKUP(DX$72,INDIRECT($C$5&amp;"生成成长"),5))*(VLOOKUP($B$5,标准坦克设计!$B$24:$U$30,MATCH("对"&amp;LEFT($C$5,2)&amp;"输出",标准坦克设计!$B$23:$U$23,0)))*(VLOOKUP($B88,INDIRECT($B$5&amp;"生成成长"),3))*(VLOOKUP($B$5,标准坦克设计!$B$14:$K$20,9)/30))</f>
        <v>24.353560587424273</v>
      </c>
      <c r="DY88" s="172">
        <f ca="1">(VLOOKUP(DY$72,INDIRECT($C$5&amp;"生成成长"),2))/((VLOOKUP($B88,INDIRECT($B$5&amp;"生成成长"),4))/(VLOOKUP(DY$72,INDIRECT($C$5&amp;"生成成长"),5))*(VLOOKUP($B$5,标准坦克设计!$B$24:$U$30,MATCH("对"&amp;LEFT($C$5,2)&amp;"输出",标准坦克设计!$B$23:$U$23,0)))*(VLOOKUP($B88,INDIRECT($B$5&amp;"生成成长"),3))*(VLOOKUP($B$5,标准坦克设计!$B$14:$K$20,9)/30))</f>
        <v>10.938039320281009</v>
      </c>
      <c r="DZ88" s="172">
        <f ca="1">(VLOOKUP(DZ$72,INDIRECT($C$5&amp;"生成成长"),2))/((VLOOKUP($B88,INDIRECT($B$5&amp;"生成成长"),4))/(VLOOKUP(DZ$72,INDIRECT($C$5&amp;"生成成长"),5))*(VLOOKUP($B$5,标准坦克设计!$B$24:$U$30,MATCH("对"&amp;LEFT($C$5,2)&amp;"输出",标准坦克设计!$B$23:$U$23,0)))*(VLOOKUP($B88,INDIRECT($B$5&amp;"生成成长"),3))*(VLOOKUP($B$5,标准坦克设计!$B$14:$K$20,9)/30))</f>
        <v>12.113366590243496</v>
      </c>
      <c r="EA88" s="172">
        <f ca="1">(VLOOKUP(EA$72,INDIRECT($C$5&amp;"生成成长"),2))/((VLOOKUP($B88,INDIRECT($B$5&amp;"生成成长"),4))/(VLOOKUP(EA$72,INDIRECT($C$5&amp;"生成成长"),5))*(VLOOKUP($B$5,标准坦克设计!$B$24:$U$30,MATCH("对"&amp;LEFT($C$5,2)&amp;"输出",标准坦克设计!$B$23:$U$23,0)))*(VLOOKUP($B88,INDIRECT($B$5&amp;"生成成长"),3))*(VLOOKUP($B$5,标准坦克设计!$B$14:$K$20,9)/30))</f>
        <v>13.348659537244888</v>
      </c>
      <c r="EB88" s="172">
        <f ca="1">(VLOOKUP(EB$72,INDIRECT($C$5&amp;"生成成长"),2))/((VLOOKUP($B88,INDIRECT($B$5&amp;"生成成长"),4))/(VLOOKUP(EB$72,INDIRECT($C$5&amp;"生成成长"),5))*(VLOOKUP($B$5,标准坦克设计!$B$24:$U$30,MATCH("对"&amp;LEFT($C$5,2)&amp;"输出",标准坦克设计!$B$23:$U$23,0)))*(VLOOKUP($B88,INDIRECT($B$5&amp;"生成成长"),3))*(VLOOKUP($B$5,标准坦克设计!$B$14:$K$20,9)/30))</f>
        <v>14.64391816128518</v>
      </c>
      <c r="EC88" s="172">
        <f ca="1">(VLOOKUP(EC$72,INDIRECT($C$5&amp;"生成成长"),2))/((VLOOKUP($B88,INDIRECT($B$5&amp;"生成成长"),4))/(VLOOKUP(EC$72,INDIRECT($C$5&amp;"生成成长"),5))*(VLOOKUP($B$5,标准坦克设计!$B$24:$U$30,MATCH("对"&amp;LEFT($C$5,2)&amp;"输出",标准坦克设计!$B$23:$U$23,0)))*(VLOOKUP($B88,INDIRECT($B$5&amp;"生成成长"),3))*(VLOOKUP($B$5,标准坦克设计!$B$14:$K$20,9)/30))</f>
        <v>15.999142462364379</v>
      </c>
      <c r="ED88" s="172">
        <f ca="1">(VLOOKUP(ED$72,INDIRECT($C$5&amp;"生成成长"),2))/((VLOOKUP($B88,INDIRECT($B$5&amp;"生成成长"),4))/(VLOOKUP(ED$72,INDIRECT($C$5&amp;"生成成长"),5))*(VLOOKUP($B$5,标准坦克设计!$B$24:$U$30,MATCH("对"&amp;LEFT($C$5,2)&amp;"输出",标准坦克设计!$B$23:$U$23,0)))*(VLOOKUP($B88,INDIRECT($B$5&amp;"生成成长"),3))*(VLOOKUP($B$5,标准坦克设计!$B$14:$K$20,9)/30))</f>
        <v>17.414332440482472</v>
      </c>
      <c r="EE88" s="172">
        <f ca="1">(VLOOKUP(EE$72,INDIRECT($C$5&amp;"生成成长"),2))/((VLOOKUP($B88,INDIRECT($B$5&amp;"生成成长"),4))/(VLOOKUP(EE$72,INDIRECT($C$5&amp;"生成成长"),5))*(VLOOKUP($B$5,标准坦克设计!$B$24:$U$30,MATCH("对"&amp;LEFT($C$5,2)&amp;"输出",标准坦克设计!$B$23:$U$23,0)))*(VLOOKUP($B88,INDIRECT($B$5&amp;"生成成长"),3))*(VLOOKUP($B$5,标准坦克设计!$B$14:$K$20,9)/30))</f>
        <v>18.889488095639479</v>
      </c>
      <c r="EF88" s="172">
        <f ca="1">(VLOOKUP(EF$72,INDIRECT($C$5&amp;"生成成长"),2))/((VLOOKUP($B88,INDIRECT($B$5&amp;"生成成长"),4))/(VLOOKUP(EF$72,INDIRECT($C$5&amp;"生成成长"),5))*(VLOOKUP($B$5,标准坦克设计!$B$24:$U$30,MATCH("对"&amp;LEFT($C$5,2)&amp;"输出",标准坦克设计!$B$23:$U$23,0)))*(VLOOKUP($B88,INDIRECT($B$5&amp;"生成成长"),3))*(VLOOKUP($B$5,标准坦克设计!$B$14:$K$20,9)/30))</f>
        <v>20.424609427835382</v>
      </c>
      <c r="EG88" s="172">
        <f ca="1">(VLOOKUP(EG$72,INDIRECT($C$5&amp;"生成成长"),2))/((VLOOKUP($B88,INDIRECT($B$5&amp;"生成成长"),4))/(VLOOKUP(EG$72,INDIRECT($C$5&amp;"生成成长"),5))*(VLOOKUP($B$5,标准坦克设计!$B$24:$U$30,MATCH("对"&amp;LEFT($C$5,2)&amp;"输出",标准坦克设计!$B$23:$U$23,0)))*(VLOOKUP($B88,INDIRECT($B$5&amp;"生成成长"),3))*(VLOOKUP($B$5,标准坦克设计!$B$14:$K$20,9)/30))</f>
        <v>22.019696437070184</v>
      </c>
      <c r="EH88" s="172">
        <f ca="1">(VLOOKUP(EH$72,INDIRECT($C$5&amp;"生成成长"),2))/((VLOOKUP($B88,INDIRECT($B$5&amp;"生成成长"),4))/(VLOOKUP(EH$72,INDIRECT($C$5&amp;"生成成长"),5))*(VLOOKUP($B$5,标准坦克设计!$B$24:$U$30,MATCH("对"&amp;LEFT($C$5,2)&amp;"输出",标准坦克设计!$B$23:$U$23,0)))*(VLOOKUP($B88,INDIRECT($B$5&amp;"生成成长"),3))*(VLOOKUP($B$5,标准坦克设计!$B$14:$K$20,9)/30))</f>
        <v>23.674749123343894</v>
      </c>
      <c r="EI88" s="172">
        <f ca="1">(VLOOKUP(EI$72,INDIRECT($C$5&amp;"生成成长"),2))/((VLOOKUP($B88,INDIRECT($B$5&amp;"生成成长"),4))/(VLOOKUP(EI$72,INDIRECT($C$5&amp;"生成成长"),5))*(VLOOKUP($B$5,标准坦克设计!$B$24:$U$30,MATCH("对"&amp;LEFT($C$5,2)&amp;"输出",标准坦克设计!$B$23:$U$23,0)))*(VLOOKUP($B88,INDIRECT($B$5&amp;"生成成长"),3))*(VLOOKUP($B$5,标准坦克设计!$B$14:$K$20,9)/30))</f>
        <v>25.389767486656506</v>
      </c>
      <c r="EJ88" s="172">
        <f ca="1">(VLOOKUP(EJ$72,INDIRECT($C$5&amp;"生成成长"),2))/((VLOOKUP($B88,INDIRECT($B$5&amp;"生成成长"),4))/(VLOOKUP(EJ$72,INDIRECT($C$5&amp;"生成成长"),5))*(VLOOKUP($B$5,标准坦克设计!$B$24:$U$30,MATCH("对"&amp;LEFT($C$5,2)&amp;"输出",标准坦克设计!$B$23:$U$23,0)))*(VLOOKUP($B88,INDIRECT($B$5&amp;"生成成长"),3))*(VLOOKUP($B$5,标准坦克设计!$B$14:$K$20,9)/30))</f>
        <v>27.164751527008018</v>
      </c>
      <c r="EK88" s="172">
        <f ca="1">(VLOOKUP(EK$72,INDIRECT($C$5&amp;"生成成长"),2))/((VLOOKUP($B88,INDIRECT($B$5&amp;"生成成长"),4))/(VLOOKUP(EK$72,INDIRECT($C$5&amp;"生成成长"),5))*(VLOOKUP($B$5,标准坦克设计!$B$24:$U$30,MATCH("对"&amp;LEFT($C$5,2)&amp;"输出",标准坦克设计!$B$23:$U$23,0)))*(VLOOKUP($B88,INDIRECT($B$5&amp;"生成成长"),3))*(VLOOKUP($B$5,标准坦克设计!$B$14:$K$20,9)/30))</f>
        <v>29.373887069121189</v>
      </c>
      <c r="EL88" s="172">
        <f ca="1">(VLOOKUP(EL$72,INDIRECT($C$5&amp;"生成成长"),2))/((VLOOKUP($B88,INDIRECT($B$5&amp;"生成成长"),4))/(VLOOKUP(EL$72,INDIRECT($C$5&amp;"生成成长"),5))*(VLOOKUP($B$5,标准坦克设计!$B$24:$U$30,MATCH("对"&amp;LEFT($C$5,2)&amp;"输出",标准坦克设计!$B$23:$U$23,0)))*(VLOOKUP($B88,INDIRECT($B$5&amp;"生成成长"),3))*(VLOOKUP($B$5,标准坦克设计!$B$14:$K$20,9)/30))</f>
        <v>31.669373186170372</v>
      </c>
      <c r="EM88" s="172">
        <f ca="1">(VLOOKUP(EM$72,INDIRECT($C$5&amp;"生成成长"),2))/((VLOOKUP($B88,INDIRECT($B$5&amp;"生成成长"),4))/(VLOOKUP(EM$72,INDIRECT($C$5&amp;"生成成长"),5))*(VLOOKUP($B$5,标准坦克设计!$B$24:$U$30,MATCH("对"&amp;LEFT($C$5,2)&amp;"输出",标准坦克设计!$B$23:$U$23,0)))*(VLOOKUP($B88,INDIRECT($B$5&amp;"生成成长"),3))*(VLOOKUP($B$5,标准坦克设计!$B$14:$K$20,9)/30))</f>
        <v>34.051209878155575</v>
      </c>
      <c r="EN88" s="172">
        <f ca="1">(VLOOKUP(EN$72,INDIRECT($C$5&amp;"生成成长"),2))/((VLOOKUP($B88,INDIRECT($B$5&amp;"生成成长"),4))/(VLOOKUP(EN$72,INDIRECT($C$5&amp;"生成成长"),5))*(VLOOKUP($B$5,标准坦克设计!$B$24:$U$30,MATCH("对"&amp;LEFT($C$5,2)&amp;"输出",标准坦克设计!$B$23:$U$23,0)))*(VLOOKUP($B88,INDIRECT($B$5&amp;"生成成长"),3))*(VLOOKUP($B$5,标准坦克设计!$B$14:$K$20,9)/30))</f>
        <v>36.519397145076809</v>
      </c>
      <c r="EO88" s="172">
        <f ca="1">(VLOOKUP(EO$72,INDIRECT($C$5&amp;"生成成长"),2))/((VLOOKUP($B88,INDIRECT($B$5&amp;"生成成长"),4))/(VLOOKUP(EO$72,INDIRECT($C$5&amp;"生成成长"),5))*(VLOOKUP($B$5,标准坦克设计!$B$24:$U$30,MATCH("对"&amp;LEFT($C$5,2)&amp;"输出",标准坦克设计!$B$23:$U$23,0)))*(VLOOKUP($B88,INDIRECT($B$5&amp;"生成成长"),3))*(VLOOKUP($B$5,标准坦克设计!$B$14:$K$20,9)/30))</f>
        <v>39.073934986934056</v>
      </c>
      <c r="EP88" s="172">
        <f ca="1">(VLOOKUP(EP$72,INDIRECT($C$5&amp;"生成成长"),2))/((VLOOKUP($B88,INDIRECT($B$5&amp;"生成成长"),4))/(VLOOKUP(EP$72,INDIRECT($C$5&amp;"生成成长"),5))*(VLOOKUP($B$5,标准坦克设计!$B$24:$U$30,MATCH("对"&amp;LEFT($C$5,2)&amp;"输出",标准坦克设计!$B$23:$U$23,0)))*(VLOOKUP($B88,INDIRECT($B$5&amp;"生成成长"),3))*(VLOOKUP($B$5,标准坦克设计!$B$14:$K$20,9)/30))</f>
        <v>41.714823403727316</v>
      </c>
      <c r="EQ88" s="172">
        <f ca="1">(VLOOKUP(EQ$72,INDIRECT($C$5&amp;"生成成长"),2))/((VLOOKUP($B88,INDIRECT($B$5&amp;"生成成长"),4))/(VLOOKUP(EQ$72,INDIRECT($C$5&amp;"生成成长"),5))*(VLOOKUP($B$5,标准坦克设计!$B$24:$U$30,MATCH("对"&amp;LEFT($C$5,2)&amp;"输出",标准坦克设计!$B$23:$U$23,0)))*(VLOOKUP($B88,INDIRECT($B$5&amp;"生成成长"),3))*(VLOOKUP($B$5,标准坦克设计!$B$14:$K$20,9)/30))</f>
        <v>18.440645003003294</v>
      </c>
      <c r="ER88" s="172">
        <f ca="1">(VLOOKUP(ER$72,INDIRECT($C$5&amp;"生成成长"),2))/((VLOOKUP($B88,INDIRECT($B$5&amp;"生成成长"),4))/(VLOOKUP(ER$72,INDIRECT($C$5&amp;"生成成长"),5))*(VLOOKUP($B$5,标准坦克设计!$B$24:$U$30,MATCH("对"&amp;LEFT($C$5,2)&amp;"输出",标准坦克设计!$B$23:$U$23,0)))*(VLOOKUP($B88,INDIRECT($B$5&amp;"生成成长"),3))*(VLOOKUP($B$5,标准坦克设计!$B$14:$K$20,9)/30))</f>
        <v>20.112787907233088</v>
      </c>
      <c r="ES88" s="172">
        <f ca="1">(VLOOKUP(ES$72,INDIRECT($C$5&amp;"生成成长"),2))/((VLOOKUP($B88,INDIRECT($B$5&amp;"生成成长"),4))/(VLOOKUP(ES$72,INDIRECT($C$5&amp;"生成成长"),5))*(VLOOKUP($B$5,标准坦克设计!$B$24:$U$30,MATCH("对"&amp;LEFT($C$5,2)&amp;"输出",标准坦克设计!$B$23:$U$23,0)))*(VLOOKUP($B88,INDIRECT($B$5&amp;"生成成长"),3))*(VLOOKUP($B$5,标准坦克设计!$B$14:$K$20,9)/30))</f>
        <v>21.857489280679953</v>
      </c>
      <c r="ET88" s="172">
        <f ca="1">(VLOOKUP(ET$72,INDIRECT($C$5&amp;"生成成长"),2))/((VLOOKUP($B88,INDIRECT($B$5&amp;"生成成长"),4))/(VLOOKUP(ET$72,INDIRECT($C$5&amp;"生成成长"),5))*(VLOOKUP($B$5,标准坦克设计!$B$24:$U$30,MATCH("对"&amp;LEFT($C$5,2)&amp;"输出",标准坦克设计!$B$23:$U$23,0)))*(VLOOKUP($B88,INDIRECT($B$5&amp;"生成成长"),3))*(VLOOKUP($B$5,标准坦克设计!$B$14:$K$20,9)/30))</f>
        <v>23.674749123343894</v>
      </c>
      <c r="EU88" s="172">
        <f ca="1">(VLOOKUP(EU$72,INDIRECT($C$5&amp;"生成成长"),2))/((VLOOKUP($B88,INDIRECT($B$5&amp;"生成成长"),4))/(VLOOKUP(EU$72,INDIRECT($C$5&amp;"生成成长"),5))*(VLOOKUP($B$5,标准坦克设计!$B$24:$U$30,MATCH("对"&amp;LEFT($C$5,2)&amp;"输出",标准坦克设计!$B$23:$U$23,0)))*(VLOOKUP($B88,INDIRECT($B$5&amp;"生成成长"),3))*(VLOOKUP($B$5,标准坦克设计!$B$14:$K$20,9)/30))</f>
        <v>25.564567435224905</v>
      </c>
      <c r="EV88" s="172">
        <f ca="1">(VLOOKUP(EV$72,INDIRECT($C$5&amp;"生成成长"),2))/((VLOOKUP($B88,INDIRECT($B$5&amp;"生成成长"),4))/(VLOOKUP(EV$72,INDIRECT($C$5&amp;"生成成长"),5))*(VLOOKUP($B$5,标准坦克设计!$B$24:$U$30,MATCH("对"&amp;LEFT($C$5,2)&amp;"输出",标准坦克设计!$B$23:$U$23,0)))*(VLOOKUP($B88,INDIRECT($B$5&amp;"生成成长"),3))*(VLOOKUP($B$5,标准坦克设计!$B$14:$K$20,9)/30))</f>
        <v>27.526944216322992</v>
      </c>
      <c r="EW88" s="172">
        <f ca="1">(VLOOKUP(EW$72,INDIRECT($C$5&amp;"生成成长"),2))/((VLOOKUP($B88,INDIRECT($B$5&amp;"生成成长"),4))/(VLOOKUP(EW$72,INDIRECT($C$5&amp;"生成成长"),5))*(VLOOKUP($B$5,标准坦克设计!$B$24:$U$30,MATCH("对"&amp;LEFT($C$5,2)&amp;"输出",标准坦克设计!$B$23:$U$23,0)))*(VLOOKUP($B88,INDIRECT($B$5&amp;"生成成长"),3))*(VLOOKUP($B$5,标准坦克设计!$B$14:$K$20,9)/30))</f>
        <v>29.561879466638143</v>
      </c>
      <c r="EX88" s="172">
        <f ca="1">(VLOOKUP(EX$72,INDIRECT($C$5&amp;"生成成长"),2))/((VLOOKUP($B88,INDIRECT($B$5&amp;"生成成长"),4))/(VLOOKUP(EX$72,INDIRECT($C$5&amp;"生成成长"),5))*(VLOOKUP($B$5,标准坦克设计!$B$24:$U$30,MATCH("对"&amp;LEFT($C$5,2)&amp;"输出",标准坦克设计!$B$23:$U$23,0)))*(VLOOKUP($B88,INDIRECT($B$5&amp;"生成成长"),3))*(VLOOKUP($B$5,标准坦克设计!$B$14:$K$20,9)/30))</f>
        <v>31.669373186170372</v>
      </c>
      <c r="EY88" s="172">
        <f ca="1">(VLOOKUP(EY$72,INDIRECT($C$5&amp;"生成成长"),2))/((VLOOKUP($B88,INDIRECT($B$5&amp;"生成成长"),4))/(VLOOKUP(EY$72,INDIRECT($C$5&amp;"生成成长"),5))*(VLOOKUP($B$5,标准坦克设计!$B$24:$U$30,MATCH("对"&amp;LEFT($C$5,2)&amp;"输出",标准坦克设计!$B$23:$U$23,0)))*(VLOOKUP($B88,INDIRECT($B$5&amp;"生成成长"),3))*(VLOOKUP($B$5,标准坦克设计!$B$14:$K$20,9)/30))</f>
        <v>33.849425374919669</v>
      </c>
      <c r="EZ88" s="172">
        <f ca="1">(VLOOKUP(EZ$72,INDIRECT($C$5&amp;"生成成长"),2))/((VLOOKUP($B88,INDIRECT($B$5&amp;"生成成长"),4))/(VLOOKUP(EZ$72,INDIRECT($C$5&amp;"生成成长"),5))*(VLOOKUP($B$5,标准坦克设计!$B$24:$U$30,MATCH("对"&amp;LEFT($C$5,2)&amp;"输出",标准坦克设计!$B$23:$U$23,0)))*(VLOOKUP($B88,INDIRECT($B$5&amp;"生成成长"),3))*(VLOOKUP($B$5,标准坦克设计!$B$14:$K$20,9)/30))</f>
        <v>36.102036032886048</v>
      </c>
      <c r="FA88" s="172">
        <f ca="1">(VLOOKUP(FA$72,INDIRECT($C$5&amp;"生成成长"),2))/((VLOOKUP($B88,INDIRECT($B$5&amp;"生成成长"),4))/(VLOOKUP(FA$72,INDIRECT($C$5&amp;"生成成长"),5))*(VLOOKUP($B$5,标准坦克设计!$B$24:$U$30,MATCH("对"&amp;LEFT($C$5,2)&amp;"输出",标准坦克设计!$B$23:$U$23,0)))*(VLOOKUP($B88,INDIRECT($B$5&amp;"生成成长"),3))*(VLOOKUP($B$5,标准坦克设计!$B$14:$K$20,9)/30))</f>
        <v>38.427205160069484</v>
      </c>
      <c r="FB88" s="172">
        <f ca="1">(VLOOKUP(FB$72,INDIRECT($C$5&amp;"生成成长"),2))/((VLOOKUP($B88,INDIRECT($B$5&amp;"生成成长"),4))/(VLOOKUP(FB$72,INDIRECT($C$5&amp;"生成成长"),5))*(VLOOKUP($B$5,标准坦克设计!$B$24:$U$30,MATCH("对"&amp;LEFT($C$5,2)&amp;"输出",标准坦克设计!$B$23:$U$23,0)))*(VLOOKUP($B88,INDIRECT($B$5&amp;"生成成长"),3))*(VLOOKUP($B$5,标准坦克设计!$B$14:$K$20,9)/30))</f>
        <v>40.824932756469998</v>
      </c>
      <c r="FC88" s="172">
        <f ca="1">(VLOOKUP(FC$72,INDIRECT($C$5&amp;"生成成长"),2))/((VLOOKUP($B88,INDIRECT($B$5&amp;"生成成长"),4))/(VLOOKUP(FC$72,INDIRECT($C$5&amp;"生成成长"),5))*(VLOOKUP($B$5,标准坦克设计!$B$24:$U$30,MATCH("对"&amp;LEFT($C$5,2)&amp;"输出",标准坦克设计!$B$23:$U$23,0)))*(VLOOKUP($B88,INDIRECT($B$5&amp;"生成成长"),3))*(VLOOKUP($B$5,标准坦克设计!$B$14:$K$20,9)/30))</f>
        <v>43.295218822087584</v>
      </c>
      <c r="FD88" s="172">
        <f ca="1">(VLOOKUP(FD$72,INDIRECT($C$5&amp;"生成成长"),2))/((VLOOKUP($B88,INDIRECT($B$5&amp;"生成成长"),4))/(VLOOKUP(FD$72,INDIRECT($C$5&amp;"生成成长"),5))*(VLOOKUP($B$5,标准坦克设计!$B$24:$U$30,MATCH("对"&amp;LEFT($C$5,2)&amp;"输出",标准坦克设计!$B$23:$U$23,0)))*(VLOOKUP($B88,INDIRECT($B$5&amp;"生成成长"),3))*(VLOOKUP($B$5,标准坦克设计!$B$14:$K$20,9)/30))</f>
        <v>45.838063356922255</v>
      </c>
      <c r="FE88" s="172">
        <f ca="1">(VLOOKUP(FE$72,INDIRECT($C$5&amp;"生成成长"),2))/((VLOOKUP($B88,INDIRECT($B$5&amp;"生成成长"),4))/(VLOOKUP(FE$72,INDIRECT($C$5&amp;"生成成长"),5))*(VLOOKUP($B$5,标准坦克设计!$B$24:$U$30,MATCH("对"&amp;LEFT($C$5,2)&amp;"输出",标准坦克设计!$B$23:$U$23,0)))*(VLOOKUP($B88,INDIRECT($B$5&amp;"生成成长"),3))*(VLOOKUP($B$5,标准坦克设计!$B$14:$K$20,9)/30))</f>
        <v>48.936789717907537</v>
      </c>
      <c r="FF88" s="172">
        <f ca="1">(VLOOKUP(FF$72,INDIRECT($C$5&amp;"生成成长"),2))/((VLOOKUP($B88,INDIRECT($B$5&amp;"生成成长"),4))/(VLOOKUP(FF$72,INDIRECT($C$5&amp;"生成成长"),5))*(VLOOKUP($B$5,标准坦克设计!$B$24:$U$30,MATCH("对"&amp;LEFT($C$5,2)&amp;"输出",标准坦克设计!$B$23:$U$23,0)))*(VLOOKUP($B88,INDIRECT($B$5&amp;"生成成长"),3))*(VLOOKUP($B$5,标准坦克设计!$B$14:$K$20,9)/30))</f>
        <v>52.136858073088561</v>
      </c>
      <c r="FG88" s="172">
        <f ca="1">(VLOOKUP(FG$72,INDIRECT($C$5&amp;"生成成长"),2))/((VLOOKUP($B88,INDIRECT($B$5&amp;"生成成长"),4))/(VLOOKUP(FG$72,INDIRECT($C$5&amp;"生成成长"),5))*(VLOOKUP($B$5,标准坦克设计!$B$24:$U$30,MATCH("对"&amp;LEFT($C$5,2)&amp;"输出",标准坦克设计!$B$23:$U$23,0)))*(VLOOKUP($B88,INDIRECT($B$5&amp;"生成成长"),3))*(VLOOKUP($B$5,标准坦克设计!$B$14:$K$20,9)/30))</f>
        <v>55.438268422465342</v>
      </c>
      <c r="FH88" s="172">
        <f ca="1">(VLOOKUP(FH$72,INDIRECT($C$5&amp;"生成成长"),2))/((VLOOKUP($B88,INDIRECT($B$5&amp;"生成成长"),4))/(VLOOKUP(FH$72,INDIRECT($C$5&amp;"生成成长"),5))*(VLOOKUP($B$5,标准坦克设计!$B$24:$U$30,MATCH("对"&amp;LEFT($C$5,2)&amp;"输出",标准坦克设计!$B$23:$U$23,0)))*(VLOOKUP($B88,INDIRECT($B$5&amp;"生成成长"),3))*(VLOOKUP($B$5,标准坦克设计!$B$14:$K$20,9)/30))</f>
        <v>58.841020766037865</v>
      </c>
      <c r="FI88" s="172">
        <f ca="1">(VLOOKUP(FI$72,INDIRECT($C$5&amp;"生成成长"),2))/((VLOOKUP($B88,INDIRECT($B$5&amp;"生成成长"),4))/(VLOOKUP(FI$72,INDIRECT($C$5&amp;"生成成长"),5))*(VLOOKUP($B$5,标准坦克设计!$B$24:$U$30,MATCH("对"&amp;LEFT($C$5,2)&amp;"输出",标准坦克设计!$B$23:$U$23,0)))*(VLOOKUP($B88,INDIRECT($B$5&amp;"生成成长"),3))*(VLOOKUP($B$5,标准坦克设计!$B$14:$K$20,9)/30))</f>
        <v>62.345115103806137</v>
      </c>
      <c r="FJ88" s="172">
        <f ca="1">(VLOOKUP(FJ$72,INDIRECT($C$5&amp;"生成成长"),2))/((VLOOKUP($B88,INDIRECT($B$5&amp;"生成成长"),4))/(VLOOKUP(FJ$72,INDIRECT($C$5&amp;"生成成长"),5))*(VLOOKUP($B$5,标准坦克设计!$B$24:$U$30,MATCH("对"&amp;LEFT($C$5,2)&amp;"输出",标准坦克设计!$B$23:$U$23,0)))*(VLOOKUP($B88,INDIRECT($B$5&amp;"生成成长"),3))*(VLOOKUP($B$5,标准坦克设计!$B$14:$K$20,9)/30))</f>
        <v>65.950551435770137</v>
      </c>
      <c r="FK88" s="172">
        <f ca="1">(VLOOKUP(FK$72,INDIRECT($C$5&amp;"生成成长"),2))/((VLOOKUP($B88,INDIRECT($B$5&amp;"生成成长"),4))/(VLOOKUP(FK$72,INDIRECT($C$5&amp;"生成成长"),5))*(VLOOKUP($B$5,标准坦克设计!$B$24:$U$30,MATCH("对"&amp;LEFT($C$5,2)&amp;"输出",标准坦克设计!$B$23:$U$23,0)))*(VLOOKUP($B88,INDIRECT($B$5&amp;"生成成长"),3))*(VLOOKUP($B$5,标准坦克设计!$B$14:$K$20,9)/30))</f>
        <v>69.657329761929887</v>
      </c>
    </row>
    <row r="89" spans="1:167" x14ac:dyDescent="0.15">
      <c r="A89" s="170" t="str">
        <f t="shared" si="11"/>
        <v>T3低品质5级</v>
      </c>
      <c r="B89" s="171">
        <v>10305</v>
      </c>
      <c r="C89" s="172">
        <f ca="1">(VLOOKUP(C$72,INDIRECT($C$5&amp;"生成成长"),2))/((VLOOKUP($B89,INDIRECT($B$5&amp;"生成成长"),4))/(VLOOKUP(C$72,INDIRECT($C$5&amp;"生成成长"),5))*(VLOOKUP($B$5,标准坦克设计!$B$24:$U$30,MATCH("对"&amp;LEFT($C$5,2)&amp;"输出",标准坦克设计!$B$23:$U$23,0)))*(VLOOKUP($B89,INDIRECT($B$5&amp;"生成成长"),3))*(VLOOKUP($B$5,标准坦克设计!$B$14:$K$20,9)/30))</f>
        <v>2.7015048601539653</v>
      </c>
      <c r="D89" s="172">
        <f ca="1">(VLOOKUP(D$72,INDIRECT($C$5&amp;"生成成长"),2))/((VLOOKUP($B89,INDIRECT($B$5&amp;"生成成长"),4))/(VLOOKUP(D$72,INDIRECT($C$5&amp;"生成成长"),5))*(VLOOKUP($B$5,标准坦克设计!$B$24:$U$30,MATCH("对"&amp;LEFT($C$5,2)&amp;"输出",标准坦克设计!$B$23:$U$23,0)))*(VLOOKUP($B89,INDIRECT($B$5&amp;"生成成长"),3))*(VLOOKUP($B$5,标准坦克设计!$B$14:$K$20,9)/30))</f>
        <v>3.0354108608689949</v>
      </c>
      <c r="E89" s="172">
        <f ca="1">(VLOOKUP(E$72,INDIRECT($C$5&amp;"生成成长"),2))/((VLOOKUP($B89,INDIRECT($B$5&amp;"生成成长"),4))/(VLOOKUP(E$72,INDIRECT($C$5&amp;"生成成长"),5))*(VLOOKUP($B$5,标准坦克设计!$B$24:$U$30,MATCH("对"&amp;LEFT($C$5,2)&amp;"输出",标准坦克设计!$B$23:$U$23,0)))*(VLOOKUP($B89,INDIRECT($B$5&amp;"生成成长"),3))*(VLOOKUP($B$5,标准坦克设计!$B$14:$K$20,9)/30))</f>
        <v>3.3887676965771334</v>
      </c>
      <c r="F89" s="172">
        <f ca="1">(VLOOKUP(F$72,INDIRECT($C$5&amp;"生成成长"),2))/((VLOOKUP($B89,INDIRECT($B$5&amp;"生成成长"),4))/(VLOOKUP(F$72,INDIRECT($C$5&amp;"生成成长"),5))*(VLOOKUP($B$5,标准坦克设计!$B$24:$U$30,MATCH("对"&amp;LEFT($C$5,2)&amp;"输出",标准坦克设计!$B$23:$U$23,0)))*(VLOOKUP($B89,INDIRECT($B$5&amp;"生成成长"),3))*(VLOOKUP($B$5,标准坦克设计!$B$14:$K$20,9)/30))</f>
        <v>3.7615753672783812</v>
      </c>
      <c r="G89" s="172">
        <f ca="1">(VLOOKUP(G$72,INDIRECT($C$5&amp;"生成成长"),2))/((VLOOKUP($B89,INDIRECT($B$5&amp;"生成成长"),4))/(VLOOKUP(G$72,INDIRECT($C$5&amp;"生成成长"),5))*(VLOOKUP($B$5,标准坦克设计!$B$24:$U$30,MATCH("对"&amp;LEFT($C$5,2)&amp;"输出",标准坦克设计!$B$23:$U$23,0)))*(VLOOKUP($B89,INDIRECT($B$5&amp;"生成成长"),3))*(VLOOKUP($B$5,标准坦克设计!$B$14:$K$20,9)/30))</f>
        <v>4.1538338729727364</v>
      </c>
      <c r="H89" s="172">
        <f ca="1">(VLOOKUP(H$72,INDIRECT($C$5&amp;"生成成长"),2))/((VLOOKUP($B89,INDIRECT($B$5&amp;"生成成长"),4))/(VLOOKUP(H$72,INDIRECT($C$5&amp;"生成成长"),5))*(VLOOKUP($B$5,标准坦克设计!$B$24:$U$30,MATCH("对"&amp;LEFT($C$5,2)&amp;"输出",标准坦克设计!$B$23:$U$23,0)))*(VLOOKUP($B89,INDIRECT($B$5&amp;"生成成长"),3))*(VLOOKUP($B$5,标准坦克设计!$B$14:$K$20,9)/30))</f>
        <v>3.6351449398231752</v>
      </c>
      <c r="I89" s="172">
        <f ca="1">(VLOOKUP(I$72,INDIRECT($C$5&amp;"生成成长"),2))/((VLOOKUP($B89,INDIRECT($B$5&amp;"生成成长"),4))/(VLOOKUP(I$72,INDIRECT($C$5&amp;"生成成长"),5))*(VLOOKUP($B$5,标准坦克设计!$B$24:$U$30,MATCH("对"&amp;LEFT($C$5,2)&amp;"输出",标准坦克设计!$B$23:$U$23,0)))*(VLOOKUP($B89,INDIRECT($B$5&amp;"生成成长"),3))*(VLOOKUP($B$5,标准坦克设计!$B$14:$K$20,9)/30))</f>
        <v>4.1538338729727364</v>
      </c>
      <c r="J89" s="172">
        <f ca="1">(VLOOKUP(J$72,INDIRECT($C$5&amp;"生成成长"),2))/((VLOOKUP($B89,INDIRECT($B$5&amp;"生成成长"),4))/(VLOOKUP(J$72,INDIRECT($C$5&amp;"生成成长"),5))*(VLOOKUP($B$5,标准坦克设计!$B$24:$U$30,MATCH("对"&amp;LEFT($C$5,2)&amp;"输出",标准坦克设计!$B$23:$U$23,0)))*(VLOOKUP($B89,INDIRECT($B$5&amp;"生成成长"),3))*(VLOOKUP($B$5,标准坦克设计!$B$14:$K$20,9)/30))</f>
        <v>4.7071020683322686</v>
      </c>
      <c r="K89" s="172">
        <f ca="1">(VLOOKUP(K$72,INDIRECT($C$5&amp;"生成成长"),2))/((VLOOKUP($B89,INDIRECT($B$5&amp;"生成成长"),4))/(VLOOKUP(K$72,INDIRECT($C$5&amp;"生成成长"),5))*(VLOOKUP($B$5,标准坦克设计!$B$24:$U$30,MATCH("对"&amp;LEFT($C$5,2)&amp;"输出",标准坦克设计!$B$23:$U$23,0)))*(VLOOKUP($B89,INDIRECT($B$5&amp;"生成成长"),3))*(VLOOKUP($B$5,标准坦克设计!$B$14:$K$20,9)/30))</f>
        <v>5.2949495259017718</v>
      </c>
      <c r="L89" s="172">
        <f ca="1">(VLOOKUP(L$72,INDIRECT($C$5&amp;"生成成长"),2))/((VLOOKUP($B89,INDIRECT($B$5&amp;"生成成长"),4))/(VLOOKUP(L$72,INDIRECT($C$5&amp;"生成成长"),5))*(VLOOKUP($B$5,标准坦克设计!$B$24:$U$30,MATCH("对"&amp;LEFT($C$5,2)&amp;"输出",标准坦克设计!$B$23:$U$23,0)))*(VLOOKUP($B89,INDIRECT($B$5&amp;"生成成长"),3))*(VLOOKUP($B$5,标准坦克设计!$B$14:$K$20,9)/30))</f>
        <v>5.9173762456812451</v>
      </c>
      <c r="M89" s="172">
        <f ca="1">(VLOOKUP(M$72,INDIRECT($C$5&amp;"生成成长"),2))/((VLOOKUP($B89,INDIRECT($B$5&amp;"生成成长"),4))/(VLOOKUP(M$72,INDIRECT($C$5&amp;"生成成长"),5))*(VLOOKUP($B$5,标准坦克设计!$B$24:$U$30,MATCH("对"&amp;LEFT($C$5,2)&amp;"输出",标准坦克设计!$B$23:$U$23,0)))*(VLOOKUP($B89,INDIRECT($B$5&amp;"生成成长"),3))*(VLOOKUP($B$5,标准坦克设计!$B$14:$K$20,9)/30))</f>
        <v>6.5743822276706894</v>
      </c>
      <c r="N89" s="172">
        <f ca="1">(VLOOKUP(N$72,INDIRECT($C$5&amp;"生成成长"),2))/((VLOOKUP($B89,INDIRECT($B$5&amp;"生成成长"),4))/(VLOOKUP(N$72,INDIRECT($C$5&amp;"生成成长"),5))*(VLOOKUP($B$5,标准坦克设计!$B$24:$U$30,MATCH("对"&amp;LEFT($C$5,2)&amp;"输出",标准坦克设计!$B$23:$U$23,0)))*(VLOOKUP($B89,INDIRECT($B$5&amp;"生成成长"),3))*(VLOOKUP($B$5,标准坦克设计!$B$14:$K$20,9)/30))</f>
        <v>7.2659674718701037</v>
      </c>
      <c r="O89" s="172">
        <f ca="1">(VLOOKUP(O$72,INDIRECT($C$5&amp;"生成成长"),2))/((VLOOKUP($B89,INDIRECT($B$5&amp;"生成成长"),4))/(VLOOKUP(O$72,INDIRECT($C$5&amp;"生成成长"),5))*(VLOOKUP($B$5,标准坦克设计!$B$24:$U$30,MATCH("对"&amp;LEFT($C$5,2)&amp;"输出",标准坦克设计!$B$23:$U$23,0)))*(VLOOKUP($B89,INDIRECT($B$5&amp;"生成成长"),3))*(VLOOKUP($B$5,标准坦克设计!$B$14:$K$20,9)/30))</f>
        <v>5.5243072885288438</v>
      </c>
      <c r="P89" s="172">
        <f ca="1">(VLOOKUP(P$72,INDIRECT($C$5&amp;"生成成长"),2))/((VLOOKUP($B89,INDIRECT($B$5&amp;"生成成长"),4))/(VLOOKUP(P$72,INDIRECT($C$5&amp;"生成成长"),5))*(VLOOKUP($B$5,标准坦克设计!$B$24:$U$30,MATCH("对"&amp;LEFT($C$5,2)&amp;"输出",标准坦克设计!$B$23:$U$23,0)))*(VLOOKUP($B89,INDIRECT($B$5&amp;"生成成长"),3))*(VLOOKUP($B$5,标准坦克设计!$B$14:$K$20,9)/30))</f>
        <v>6.2415568288997214</v>
      </c>
      <c r="Q89" s="172">
        <f ca="1">(VLOOKUP(Q$72,INDIRECT($C$5&amp;"生成成长"),2))/((VLOOKUP($B89,INDIRECT($B$5&amp;"生成成长"),4))/(VLOOKUP(Q$72,INDIRECT($C$5&amp;"生成成长"),5))*(VLOOKUP($B$5,标准坦克设计!$B$24:$U$30,MATCH("对"&amp;LEFT($C$5,2)&amp;"输出",标准坦克设计!$B$23:$U$23,0)))*(VLOOKUP($B89,INDIRECT($B$5&amp;"生成成长"),3))*(VLOOKUP($B$5,标准坦克设计!$B$14:$K$20,9)/30))</f>
        <v>7.0025707480050938</v>
      </c>
      <c r="R89" s="172">
        <f ca="1">(VLOOKUP(R$72,INDIRECT($C$5&amp;"生成成长"),2))/((VLOOKUP($B89,INDIRECT($B$5&amp;"生成成长"),4))/(VLOOKUP(R$72,INDIRECT($C$5&amp;"生成成长"),5))*(VLOOKUP($B$5,标准坦克设计!$B$24:$U$30,MATCH("对"&amp;LEFT($C$5,2)&amp;"输出",标准坦克设计!$B$23:$U$23,0)))*(VLOOKUP($B89,INDIRECT($B$5&amp;"生成成长"),3))*(VLOOKUP($B$5,标准坦克设计!$B$14:$K$20,9)/30))</f>
        <v>7.8073490458449593</v>
      </c>
      <c r="S89" s="172">
        <f ca="1">(VLOOKUP(S$72,INDIRECT($C$5&amp;"生成成长"),2))/((VLOOKUP($B89,INDIRECT($B$5&amp;"生成成长"),4))/(VLOOKUP(S$72,INDIRECT($C$5&amp;"生成成长"),5))*(VLOOKUP($B$5,标准坦克设计!$B$24:$U$30,MATCH("对"&amp;LEFT($C$5,2)&amp;"输出",标准坦克设计!$B$23:$U$23,0)))*(VLOOKUP($B89,INDIRECT($B$5&amp;"生成成长"),3))*(VLOOKUP($B$5,标准坦克设计!$B$14:$K$20,9)/30))</f>
        <v>8.6558917224193195</v>
      </c>
      <c r="T89" s="172">
        <f ca="1">(VLOOKUP(T$72,INDIRECT($C$5&amp;"生成成长"),2))/((VLOOKUP($B89,INDIRECT($B$5&amp;"生成成长"),4))/(VLOOKUP(T$72,INDIRECT($C$5&amp;"生成成长"),5))*(VLOOKUP($B$5,标准坦克设计!$B$24:$U$30,MATCH("对"&amp;LEFT($C$5,2)&amp;"输出",标准坦克设计!$B$23:$U$23,0)))*(VLOOKUP($B89,INDIRECT($B$5&amp;"生成成长"),3))*(VLOOKUP($B$5,标准坦克设计!$B$14:$K$20,9)/30))</f>
        <v>9.5481987777281745</v>
      </c>
      <c r="U89" s="172">
        <f ca="1">(VLOOKUP(U$72,INDIRECT($C$5&amp;"生成成长"),2))/((VLOOKUP($B89,INDIRECT($B$5&amp;"生成成长"),4))/(VLOOKUP(U$72,INDIRECT($C$5&amp;"生成成长"),5))*(VLOOKUP($B$5,标准坦克设计!$B$24:$U$30,MATCH("对"&amp;LEFT($C$5,2)&amp;"输出",标准坦克设计!$B$23:$U$23,0)))*(VLOOKUP($B89,INDIRECT($B$5&amp;"生成成长"),3))*(VLOOKUP($B$5,标准坦克设计!$B$14:$K$20,9)/30))</f>
        <v>10.484270211771525</v>
      </c>
      <c r="V89" s="172">
        <f ca="1">(VLOOKUP(V$72,INDIRECT($C$5&amp;"生成成长"),2))/((VLOOKUP($B89,INDIRECT($B$5&amp;"生成成长"),4))/(VLOOKUP(V$72,INDIRECT($C$5&amp;"生成成长"),5))*(VLOOKUP($B$5,标准坦克设计!$B$24:$U$30,MATCH("对"&amp;LEFT($C$5,2)&amp;"输出",标准坦克设计!$B$23:$U$23,0)))*(VLOOKUP($B89,INDIRECT($B$5&amp;"生成成长"),3))*(VLOOKUP($B$5,标准坦克设计!$B$14:$K$20,9)/30))</f>
        <v>11.464106024549366</v>
      </c>
      <c r="W89" s="172">
        <f ca="1">(VLOOKUP(W$72,INDIRECT($C$5&amp;"生成成长"),2))/((VLOOKUP($B89,INDIRECT($B$5&amp;"生成成长"),4))/(VLOOKUP(W$72,INDIRECT($C$5&amp;"生成成长"),5))*(VLOOKUP($B$5,标准坦克设计!$B$24:$U$30,MATCH("对"&amp;LEFT($C$5,2)&amp;"输出",标准坦克设计!$B$23:$U$23,0)))*(VLOOKUP($B89,INDIRECT($B$5&amp;"生成成长"),3))*(VLOOKUP($B$5,标准坦克设计!$B$14:$K$20,9)/30))</f>
        <v>12.487706216061705</v>
      </c>
      <c r="X89" s="172">
        <f ca="1">(VLOOKUP(X$72,INDIRECT($C$5&amp;"生成成长"),2))/((VLOOKUP($B89,INDIRECT($B$5&amp;"生成成长"),4))/(VLOOKUP(X$72,INDIRECT($C$5&amp;"生成成长"),5))*(VLOOKUP($B$5,标准坦克设计!$B$24:$U$30,MATCH("对"&amp;LEFT($C$5,2)&amp;"输出",标准坦克设计!$B$23:$U$23,0)))*(VLOOKUP($B89,INDIRECT($B$5&amp;"生成成长"),3))*(VLOOKUP($B$5,标准坦克设计!$B$14:$K$20,9)/30))</f>
        <v>9.0470696261696126</v>
      </c>
      <c r="Y89" s="172">
        <f ca="1">(VLOOKUP(Y$72,INDIRECT($C$5&amp;"生成成长"),2))/((VLOOKUP($B89,INDIRECT($B$5&amp;"生成成长"),4))/(VLOOKUP(Y$72,INDIRECT($C$5&amp;"生成成长"),5))*(VLOOKUP($B$5,标准坦克设计!$B$24:$U$30,MATCH("对"&amp;LEFT($C$5,2)&amp;"输出",标准坦克设计!$B$23:$U$23,0)))*(VLOOKUP($B89,INDIRECT($B$5&amp;"生成成长"),3))*(VLOOKUP($B$5,标准坦克设计!$B$14:$K$20,9)/30))</f>
        <v>10.062835453587505</v>
      </c>
      <c r="Z89" s="172">
        <f ca="1">(VLOOKUP(Z$72,INDIRECT($C$5&amp;"生成成长"),2))/((VLOOKUP($B89,INDIRECT($B$5&amp;"生成成长"),4))/(VLOOKUP(Z$72,INDIRECT($C$5&amp;"生成成长"),5))*(VLOOKUP($B$5,标准坦克设计!$B$24:$U$30,MATCH("对"&amp;LEFT($C$5,2)&amp;"输出",标准坦克设计!$B$23:$U$23,0)))*(VLOOKUP($B89,INDIRECT($B$5&amp;"生成成长"),3))*(VLOOKUP($B$5,标准坦克设计!$B$14:$K$20,9)/30))</f>
        <v>11.132631378208474</v>
      </c>
      <c r="AA89" s="172">
        <f ca="1">(VLOOKUP(AA$72,INDIRECT($C$5&amp;"生成成长"),2))/((VLOOKUP($B89,INDIRECT($B$5&amp;"生成成长"),4))/(VLOOKUP(AA$72,INDIRECT($C$5&amp;"生成成长"),5))*(VLOOKUP($B$5,标准坦克设计!$B$24:$U$30,MATCH("对"&amp;LEFT($C$5,2)&amp;"输出",标准坦克设计!$B$23:$U$23,0)))*(VLOOKUP($B89,INDIRECT($B$5&amp;"生成成长"),3))*(VLOOKUP($B$5,标准坦克设计!$B$14:$K$20,9)/30))</f>
        <v>12.256457400032524</v>
      </c>
      <c r="AB89" s="172">
        <f ca="1">(VLOOKUP(AB$72,INDIRECT($C$5&amp;"生成成长"),2))/((VLOOKUP($B89,INDIRECT($B$5&amp;"生成成长"),4))/(VLOOKUP(AB$72,INDIRECT($C$5&amp;"生成成长"),5))*(VLOOKUP($B$5,标准坦克设计!$B$24:$U$30,MATCH("对"&amp;LEFT($C$5,2)&amp;"输出",标准坦克设计!$B$23:$U$23,0)))*(VLOOKUP($B89,INDIRECT($B$5&amp;"生成成长"),3))*(VLOOKUP($B$5,标准坦克设计!$B$14:$K$20,9)/30))</f>
        <v>13.434313519059655</v>
      </c>
      <c r="AC89" s="172">
        <f ca="1">(VLOOKUP(AC$72,INDIRECT($C$5&amp;"生成成长"),2))/((VLOOKUP($B89,INDIRECT($B$5&amp;"生成成长"),4))/(VLOOKUP(AC$72,INDIRECT($C$5&amp;"生成成长"),5))*(VLOOKUP($B$5,标准坦克设计!$B$24:$U$30,MATCH("对"&amp;LEFT($C$5,2)&amp;"输出",标准坦克设计!$B$23:$U$23,0)))*(VLOOKUP($B89,INDIRECT($B$5&amp;"生成成长"),3))*(VLOOKUP($B$5,标准坦克设计!$B$14:$K$20,9)/30))</f>
        <v>14.666199735289862</v>
      </c>
      <c r="AD89" s="172">
        <f ca="1">(VLOOKUP(AD$72,INDIRECT($C$5&amp;"生成成长"),2))/((VLOOKUP($B89,INDIRECT($B$5&amp;"生成成长"),4))/(VLOOKUP(AD$72,INDIRECT($C$5&amp;"生成成长"),5))*(VLOOKUP($B$5,标准坦克设计!$B$24:$U$30,MATCH("对"&amp;LEFT($C$5,2)&amp;"输出",标准坦克设计!$B$23:$U$23,0)))*(VLOOKUP($B89,INDIRECT($B$5&amp;"生成成长"),3))*(VLOOKUP($B$5,标准坦克设计!$B$14:$K$20,9)/30))</f>
        <v>15.952116048723148</v>
      </c>
      <c r="AE89" s="172">
        <f ca="1">(VLOOKUP(AE$72,INDIRECT($C$5&amp;"生成成长"),2))/((VLOOKUP($B89,INDIRECT($B$5&amp;"生成成长"),4))/(VLOOKUP(AE$72,INDIRECT($C$5&amp;"生成成长"),5))*(VLOOKUP($B$5,标准坦克设计!$B$24:$U$30,MATCH("对"&amp;LEFT($C$5,2)&amp;"输出",标准坦克设计!$B$23:$U$23,0)))*(VLOOKUP($B89,INDIRECT($B$5&amp;"生成成长"),3))*(VLOOKUP($B$5,标准坦克设计!$B$14:$K$20,9)/30))</f>
        <v>17.292062459359514</v>
      </c>
      <c r="AF89" s="172">
        <f ca="1">(VLOOKUP(AF$72,INDIRECT($C$5&amp;"生成成长"),2))/((VLOOKUP($B89,INDIRECT($B$5&amp;"生成成长"),4))/(VLOOKUP(AF$72,INDIRECT($C$5&amp;"生成成长"),5))*(VLOOKUP($B$5,标准坦克设计!$B$24:$U$30,MATCH("对"&amp;LEFT($C$5,2)&amp;"输出",标准坦克设计!$B$23:$U$23,0)))*(VLOOKUP($B89,INDIRECT($B$5&amp;"生成成长"),3))*(VLOOKUP($B$5,标准坦克设计!$B$14:$K$20,9)/30))</f>
        <v>18.686038967198957</v>
      </c>
      <c r="AG89" s="172">
        <f ca="1">(VLOOKUP(AG$72,INDIRECT($C$5&amp;"生成成长"),2))/((VLOOKUP($B89,INDIRECT($B$5&amp;"生成成长"),4))/(VLOOKUP(AG$72,INDIRECT($C$5&amp;"生成成长"),5))*(VLOOKUP($B$5,标准坦克设计!$B$24:$U$30,MATCH("对"&amp;LEFT($C$5,2)&amp;"输出",标准坦克设计!$B$23:$U$23,0)))*(VLOOKUP($B89,INDIRECT($B$5&amp;"生成成长"),3))*(VLOOKUP($B$5,标准坦克设计!$B$14:$K$20,9)/30))</f>
        <v>20.134045572241487</v>
      </c>
      <c r="AH89" s="172">
        <f ca="1">(VLOOKUP(AH$72,INDIRECT($C$5&amp;"生成成长"),2))/((VLOOKUP($B89,INDIRECT($B$5&amp;"生成成长"),4))/(VLOOKUP(AH$72,INDIRECT($C$5&amp;"生成成长"),5))*(VLOOKUP($B$5,标准坦克设计!$B$24:$U$30,MATCH("对"&amp;LEFT($C$5,2)&amp;"输出",标准坦克设计!$B$23:$U$23,0)))*(VLOOKUP($B89,INDIRECT($B$5&amp;"生成成长"),3))*(VLOOKUP($B$5,标准坦克设计!$B$14:$K$20,9)/30))</f>
        <v>21.636082274487091</v>
      </c>
      <c r="AI89" s="172">
        <f ca="1">(VLOOKUP(AI$72,INDIRECT($C$5&amp;"生成成长"),2))/((VLOOKUP($B89,INDIRECT($B$5&amp;"生成成长"),4))/(VLOOKUP(AI$72,INDIRECT($C$5&amp;"生成成长"),5))*(VLOOKUP($B$5,标准坦克设计!$B$24:$U$30,MATCH("对"&amp;LEFT($C$5,2)&amp;"输出",标准坦克设计!$B$23:$U$23,0)))*(VLOOKUP($B89,INDIRECT($B$5&amp;"生成成长"),3))*(VLOOKUP($B$5,标准坦克设计!$B$14:$K$20,9)/30))</f>
        <v>15.30240412985612</v>
      </c>
      <c r="AJ89" s="172">
        <f ca="1">(VLOOKUP(AJ$72,INDIRECT($C$5&amp;"生成成长"),2))/((VLOOKUP($B89,INDIRECT($B$5&amp;"生成成长"),4))/(VLOOKUP(AJ$72,INDIRECT($C$5&amp;"生成成长"),5))*(VLOOKUP($B$5,标准坦克设计!$B$24:$U$30,MATCH("对"&amp;LEFT($C$5,2)&amp;"输出",标准坦克设计!$B$23:$U$23,0)))*(VLOOKUP($B89,INDIRECT($B$5&amp;"生成成长"),3))*(VLOOKUP($B$5,标准坦克设计!$B$14:$K$20,9)/30))</f>
        <v>16.7496002834406</v>
      </c>
      <c r="AK89" s="172">
        <f ca="1">(VLOOKUP(AK$72,INDIRECT($C$5&amp;"生成成长"),2))/((VLOOKUP($B89,INDIRECT($B$5&amp;"生成成长"),4))/(VLOOKUP(AK$72,INDIRECT($C$5&amp;"生成成长"),5))*(VLOOKUP($B$5,标准坦克设计!$B$24:$U$30,MATCH("对"&amp;LEFT($C$5,2)&amp;"输出",标准坦克设计!$B$23:$U$23,0)))*(VLOOKUP($B89,INDIRECT($B$5&amp;"生成成长"),3))*(VLOOKUP($B$5,标准坦克设计!$B$14:$K$20,9)/30))</f>
        <v>18.262172854640806</v>
      </c>
      <c r="AL89" s="172">
        <f ca="1">(VLOOKUP(AL$72,INDIRECT($C$5&amp;"生成成长"),2))/((VLOOKUP($B89,INDIRECT($B$5&amp;"生成成长"),4))/(VLOOKUP(AL$72,INDIRECT($C$5&amp;"生成成长"),5))*(VLOOKUP($B$5,标准坦克设计!$B$24:$U$30,MATCH("对"&amp;LEFT($C$5,2)&amp;"输出",标准坦克设计!$B$23:$U$23,0)))*(VLOOKUP($B89,INDIRECT($B$5&amp;"生成成长"),3))*(VLOOKUP($B$5,标准坦克设计!$B$14:$K$20,9)/30))</f>
        <v>19.840121843456735</v>
      </c>
      <c r="AM89" s="172">
        <f ca="1">(VLOOKUP(AM$72,INDIRECT($C$5&amp;"生成成长"),2))/((VLOOKUP($B89,INDIRECT($B$5&amp;"生成成长"),4))/(VLOOKUP(AM$72,INDIRECT($C$5&amp;"生成成长"),5))*(VLOOKUP($B$5,标准坦克设计!$B$24:$U$30,MATCH("对"&amp;LEFT($C$5,2)&amp;"输出",标准坦克设计!$B$23:$U$23,0)))*(VLOOKUP($B89,INDIRECT($B$5&amp;"生成成长"),3))*(VLOOKUP($B$5,标准坦克设计!$B$14:$K$20,9)/30))</f>
        <v>21.483447249888393</v>
      </c>
      <c r="AN89" s="172">
        <f ca="1">(VLOOKUP(AN$72,INDIRECT($C$5&amp;"生成成长"),2))/((VLOOKUP($B89,INDIRECT($B$5&amp;"生成成长"),4))/(VLOOKUP(AN$72,INDIRECT($C$5&amp;"生成成长"),5))*(VLOOKUP($B$5,标准坦克设计!$B$24:$U$30,MATCH("对"&amp;LEFT($C$5,2)&amp;"输出",标准坦克设计!$B$23:$U$23,0)))*(VLOOKUP($B89,INDIRECT($B$5&amp;"生成成长"),3))*(VLOOKUP($B$5,标准坦克设计!$B$14:$K$20,9)/30))</f>
        <v>23.192149073935777</v>
      </c>
      <c r="AO89" s="172">
        <f ca="1">(VLOOKUP(AO$72,INDIRECT($C$5&amp;"生成成长"),2))/((VLOOKUP($B89,INDIRECT($B$5&amp;"生成成长"),4))/(VLOOKUP(AO$72,INDIRECT($C$5&amp;"生成成长"),5))*(VLOOKUP($B$5,标准坦克设计!$B$24:$U$30,MATCH("对"&amp;LEFT($C$5,2)&amp;"输出",标准坦克设计!$B$23:$U$23,0)))*(VLOOKUP($B89,INDIRECT($B$5&amp;"生成成长"),3))*(VLOOKUP($B$5,标准坦克设计!$B$14:$K$20,9)/30))</f>
        <v>24.966227315598886</v>
      </c>
      <c r="AP89" s="172">
        <f ca="1">(VLOOKUP(AP$72,INDIRECT($C$5&amp;"生成成长"),2))/((VLOOKUP($B89,INDIRECT($B$5&amp;"生成成长"),4))/(VLOOKUP(AP$72,INDIRECT($C$5&amp;"生成成长"),5))*(VLOOKUP($B$5,标准坦克设计!$B$24:$U$30,MATCH("对"&amp;LEFT($C$5,2)&amp;"输出",标准坦克设计!$B$23:$U$23,0)))*(VLOOKUP($B89,INDIRECT($B$5&amp;"生成成长"),3))*(VLOOKUP($B$5,标准坦克设计!$B$14:$K$20,9)/30))</f>
        <v>26.805681974877718</v>
      </c>
      <c r="AQ89" s="172">
        <f ca="1">(VLOOKUP(AQ$72,INDIRECT($C$5&amp;"生成成长"),2))/((VLOOKUP($B89,INDIRECT($B$5&amp;"生成成长"),4))/(VLOOKUP(AQ$72,INDIRECT($C$5&amp;"生成成长"),5))*(VLOOKUP($B$5,标准坦克设计!$B$24:$U$30,MATCH("对"&amp;LEFT($C$5,2)&amp;"输出",标准坦克设计!$B$23:$U$23,0)))*(VLOOKUP($B89,INDIRECT($B$5&amp;"生成成长"),3))*(VLOOKUP($B$5,标准坦克设计!$B$14:$K$20,9)/30))</f>
        <v>28.710513051772278</v>
      </c>
      <c r="AR89" s="172">
        <f ca="1">(VLOOKUP(AR$72,INDIRECT($C$5&amp;"生成成长"),2))/((VLOOKUP($B89,INDIRECT($B$5&amp;"生成成长"),4))/(VLOOKUP(AR$72,INDIRECT($C$5&amp;"生成成长"),5))*(VLOOKUP($B$5,标准坦克设计!$B$24:$U$30,MATCH("对"&amp;LEFT($C$5,2)&amp;"输出",标准坦克设计!$B$23:$U$23,0)))*(VLOOKUP($B89,INDIRECT($B$5&amp;"生成成长"),3))*(VLOOKUP($B$5,标准坦克设计!$B$14:$K$20,9)/30))</f>
        <v>30.680720546282569</v>
      </c>
      <c r="AS89" s="172">
        <f ca="1">(VLOOKUP(AS$72,INDIRECT($C$5&amp;"生成成长"),2))/((VLOOKUP($B89,INDIRECT($B$5&amp;"生成成长"),4))/(VLOOKUP(AS$72,INDIRECT($C$5&amp;"生成成长"),5))*(VLOOKUP($B$5,标准坦克设计!$B$24:$U$30,MATCH("对"&amp;LEFT($C$5,2)&amp;"输出",标准坦克设计!$B$23:$U$23,0)))*(VLOOKUP($B89,INDIRECT($B$5&amp;"生成成长"),3))*(VLOOKUP($B$5,标准坦克设计!$B$14:$K$20,9)/30))</f>
        <v>32.71630445840858</v>
      </c>
      <c r="AT89" s="172">
        <f ca="1">(VLOOKUP(AT$72,INDIRECT($C$5&amp;"生成成长"),2))/((VLOOKUP($B89,INDIRECT($B$5&amp;"生成成长"),4))/(VLOOKUP(AT$72,INDIRECT($C$5&amp;"生成成长"),5))*(VLOOKUP($B$5,标准坦克设计!$B$24:$U$30,MATCH("对"&amp;LEFT($C$5,2)&amp;"输出",标准坦克设计!$B$23:$U$23,0)))*(VLOOKUP($B89,INDIRECT($B$5&amp;"生成成长"),3))*(VLOOKUP($B$5,标准坦克设计!$B$14:$K$20,9)/30))</f>
        <v>34.817264788150318</v>
      </c>
      <c r="AU89" s="172">
        <f ca="1">(VLOOKUP(AU$72,INDIRECT($C$5&amp;"生成成长"),2))/((VLOOKUP($B89,INDIRECT($B$5&amp;"生成成长"),4))/(VLOOKUP(AU$72,INDIRECT($C$5&amp;"生成成长"),5))*(VLOOKUP($B$5,标准坦克设计!$B$24:$U$30,MATCH("对"&amp;LEFT($C$5,2)&amp;"输出",标准坦克设计!$B$23:$U$23,0)))*(VLOOKUP($B89,INDIRECT($B$5&amp;"生成成长"),3))*(VLOOKUP($B$5,标准坦克设计!$B$14:$K$20,9)/30))</f>
        <v>36.983601535507788</v>
      </c>
      <c r="AV89" s="172">
        <f ca="1">(VLOOKUP(AV$72,INDIRECT($C$5&amp;"生成成长"),2))/((VLOOKUP($B89,INDIRECT($B$5&amp;"生成成长"),4))/(VLOOKUP(AV$72,INDIRECT($C$5&amp;"生成成长"),5))*(VLOOKUP($B$5,标准坦克设计!$B$24:$U$30,MATCH("对"&amp;LEFT($C$5,2)&amp;"输出",标准坦克设计!$B$23:$U$23,0)))*(VLOOKUP($B89,INDIRECT($B$5&amp;"生成成长"),3))*(VLOOKUP($B$5,标准坦克设计!$B$14:$K$20,9)/30))</f>
        <v>3.7615753672783812</v>
      </c>
      <c r="AW89" s="172">
        <f ca="1">(VLOOKUP(AW$72,INDIRECT($C$5&amp;"生成成长"),2))/((VLOOKUP($B89,INDIRECT($B$5&amp;"生成成长"),4))/(VLOOKUP(AW$72,INDIRECT($C$5&amp;"生成成长"),5))*(VLOOKUP($B$5,标准坦克设计!$B$24:$U$30,MATCH("对"&amp;LEFT($C$5,2)&amp;"输出",标准坦克设计!$B$23:$U$23,0)))*(VLOOKUP($B89,INDIRECT($B$5&amp;"生成成长"),3))*(VLOOKUP($B$5,标准坦克设计!$B$14:$K$20,9)/30))</f>
        <v>4.2889091159804344</v>
      </c>
      <c r="AX89" s="172">
        <f ca="1">(VLOOKUP(AX$72,INDIRECT($C$5&amp;"生成成长"),2))/((VLOOKUP($B89,INDIRECT($B$5&amp;"生成成长"),4))/(VLOOKUP(AX$72,INDIRECT($C$5&amp;"生成成长"),5))*(VLOOKUP($B$5,标准坦克设计!$B$24:$U$30,MATCH("对"&amp;LEFT($C$5,2)&amp;"输出",标准坦克设计!$B$23:$U$23,0)))*(VLOOKUP($B89,INDIRECT($B$5&amp;"生成成长"),3))*(VLOOKUP($B$5,标准坦克设计!$B$14:$K$20,9)/30))</f>
        <v>4.8508221268924592</v>
      </c>
      <c r="AY89" s="172">
        <f ca="1">(VLOOKUP(AY$72,INDIRECT($C$5&amp;"生成成长"),2))/((VLOOKUP($B89,INDIRECT($B$5&amp;"生成成长"),4))/(VLOOKUP(AY$72,INDIRECT($C$5&amp;"生成成长"),5))*(VLOOKUP($B$5,标准坦克设计!$B$24:$U$30,MATCH("对"&amp;LEFT($C$5,2)&amp;"输出",标准坦克设计!$B$23:$U$23,0)))*(VLOOKUP($B89,INDIRECT($B$5&amp;"生成成长"),3))*(VLOOKUP($B$5,标准坦克设计!$B$14:$K$20,9)/30))</f>
        <v>5.4473144000144549</v>
      </c>
      <c r="AZ89" s="172">
        <f ca="1">(VLOOKUP(AZ$72,INDIRECT($C$5&amp;"生成成长"),2))/((VLOOKUP($B89,INDIRECT($B$5&amp;"生成成长"),4))/(VLOOKUP(AZ$72,INDIRECT($C$5&amp;"生成成长"),5))*(VLOOKUP($B$5,标准坦克设计!$B$24:$U$30,MATCH("对"&amp;LEFT($C$5,2)&amp;"输出",标准坦克设计!$B$23:$U$23,0)))*(VLOOKUP($B89,INDIRECT($B$5&amp;"生成成长"),3))*(VLOOKUP($B$5,标准坦克设计!$B$14:$K$20,9)/30))</f>
        <v>6.0783859353464216</v>
      </c>
      <c r="BA89" s="172">
        <f ca="1">(VLOOKUP(BA$72,INDIRECT($C$5&amp;"生成成长"),2))/((VLOOKUP($B89,INDIRECT($B$5&amp;"生成成长"),4))/(VLOOKUP(BA$72,INDIRECT($C$5&amp;"生成成长"),5))*(VLOOKUP($B$5,标准坦克设计!$B$24:$U$30,MATCH("对"&amp;LEFT($C$5,2)&amp;"输出",标准坦克设计!$B$23:$U$23,0)))*(VLOOKUP($B89,INDIRECT($B$5&amp;"生成成长"),3))*(VLOOKUP($B$5,标准坦克设计!$B$14:$K$20,9)/30))</f>
        <v>6.7440367328883584</v>
      </c>
      <c r="BB89" s="172">
        <f ca="1">(VLOOKUP(BB$72,INDIRECT($C$5&amp;"生成成长"),2))/((VLOOKUP($B89,INDIRECT($B$5&amp;"生成成长"),4))/(VLOOKUP(BB$72,INDIRECT($C$5&amp;"生成成长"),5))*(VLOOKUP($B$5,标准坦克设计!$B$24:$U$30,MATCH("对"&amp;LEFT($C$5,2)&amp;"输出",标准坦克设计!$B$23:$U$23,0)))*(VLOOKUP($B89,INDIRECT($B$5&amp;"生成成长"),3))*(VLOOKUP($B$5,标准坦克设计!$B$14:$K$20,9)/30))</f>
        <v>7.4442667926402661</v>
      </c>
      <c r="BC89" s="172">
        <f ca="1">(VLOOKUP(BC$72,INDIRECT($C$5&amp;"生成成长"),2))/((VLOOKUP($B89,INDIRECT($B$5&amp;"生成成长"),4))/(VLOOKUP(BC$72,INDIRECT($C$5&amp;"生成成长"),5))*(VLOOKUP($B$5,标准坦克设计!$B$24:$U$30,MATCH("对"&amp;LEFT($C$5,2)&amp;"输出",标准坦克设计!$B$23:$U$23,0)))*(VLOOKUP($B89,INDIRECT($B$5&amp;"生成成长"),3))*(VLOOKUP($B$5,标准坦克设计!$B$14:$K$20,9)/30))</f>
        <v>8.1790761146021449</v>
      </c>
      <c r="BD89" s="172">
        <f ca="1">(VLOOKUP(BD$72,INDIRECT($C$5&amp;"生成成长"),2))/((VLOOKUP($B89,INDIRECT($B$5&amp;"生成成长"),4))/(VLOOKUP(BD$72,INDIRECT($C$5&amp;"生成成长"),5))*(VLOOKUP($B$5,标准坦克设计!$B$24:$U$30,MATCH("对"&amp;LEFT($C$5,2)&amp;"输出",标准坦克设计!$B$23:$U$23,0)))*(VLOOKUP($B89,INDIRECT($B$5&amp;"生成成长"),3))*(VLOOKUP($B$5,标准坦克设计!$B$14:$K$20,9)/30))</f>
        <v>9.0470696261696126</v>
      </c>
      <c r="BE89" s="172">
        <f ca="1">(VLOOKUP(BE$72,INDIRECT($C$5&amp;"生成成长"),2))/((VLOOKUP($B89,INDIRECT($B$5&amp;"生成成长"),4))/(VLOOKUP(BE$72,INDIRECT($C$5&amp;"生成成长"),5))*(VLOOKUP($B$5,标准坦克设计!$B$24:$U$30,MATCH("对"&amp;LEFT($C$5,2)&amp;"输出",标准坦克设计!$B$23:$U$23,0)))*(VLOOKUP($B89,INDIRECT($B$5&amp;"生成成长"),3))*(VLOOKUP($B$5,标准坦克设计!$B$14:$K$20,9)/30))</f>
        <v>9.9588275164715796</v>
      </c>
      <c r="BF89" s="172">
        <f ca="1">(VLOOKUP(BF$72,INDIRECT($C$5&amp;"生成成长"),2))/((VLOOKUP($B89,INDIRECT($B$5&amp;"生成成长"),4))/(VLOOKUP(BF$72,INDIRECT($C$5&amp;"生成成长"),5))*(VLOOKUP($B$5,标准坦克设计!$B$24:$U$30,MATCH("对"&amp;LEFT($C$5,2)&amp;"输出",标准坦克设计!$B$23:$U$23,0)))*(VLOOKUP($B89,INDIRECT($B$5&amp;"生成成长"),3))*(VLOOKUP($B$5,标准坦克设计!$B$14:$K$20,9)/30))</f>
        <v>10.914349785508035</v>
      </c>
      <c r="BG89" s="172">
        <f ca="1">(VLOOKUP(BG$72,INDIRECT($C$5&amp;"生成成长"),2))/((VLOOKUP($B89,INDIRECT($B$5&amp;"生成成长"),4))/(VLOOKUP(BG$72,INDIRECT($C$5&amp;"生成成长"),5))*(VLOOKUP($B$5,标准坦克设计!$B$24:$U$30,MATCH("对"&amp;LEFT($C$5,2)&amp;"输出",标准坦克设计!$B$23:$U$23,0)))*(VLOOKUP($B89,INDIRECT($B$5&amp;"生成成长"),3))*(VLOOKUP($B$5,标准坦克设计!$B$14:$K$20,9)/30))</f>
        <v>11.913636433278986</v>
      </c>
      <c r="BH89" s="172">
        <f ca="1">(VLOOKUP(BH$72,INDIRECT($C$5&amp;"生成成长"),2))/((VLOOKUP($B89,INDIRECT($B$5&amp;"生成成长"),4))/(VLOOKUP(BH$72,INDIRECT($C$5&amp;"生成成长"),5))*(VLOOKUP($B$5,标准坦克设计!$B$24:$U$30,MATCH("对"&amp;LEFT($C$5,2)&amp;"输出",标准坦克设计!$B$23:$U$23,0)))*(VLOOKUP($B89,INDIRECT($B$5&amp;"生成成长"),3))*(VLOOKUP($B$5,标准坦克设计!$B$14:$K$20,9)/30))</f>
        <v>5.758527759904192</v>
      </c>
      <c r="BI89" s="172">
        <f ca="1">(VLOOKUP(BI$72,INDIRECT($C$5&amp;"生成成长"),2))/((VLOOKUP($B89,INDIRECT($B$5&amp;"生成成长"),4))/(VLOOKUP(BI$72,INDIRECT($C$5&amp;"生成成长"),5))*(VLOOKUP($B$5,标准坦克设计!$B$24:$U$30,MATCH("对"&amp;LEFT($C$5,2)&amp;"输出",标准坦克设计!$B$23:$U$23,0)))*(VLOOKUP($B89,INDIRECT($B$5&amp;"生成成长"),3))*(VLOOKUP($B$5,标准坦克设计!$B$14:$K$20,9)/30))</f>
        <v>6.4903654265199018</v>
      </c>
      <c r="BJ89" s="172">
        <f ca="1">(VLOOKUP(BJ$72,INDIRECT($C$5&amp;"生成成长"),2))/((VLOOKUP($B89,INDIRECT($B$5&amp;"生成成长"),4))/(VLOOKUP(BJ$72,INDIRECT($C$5&amp;"生成成长"),5))*(VLOOKUP($B$5,标准坦克设计!$B$24:$U$30,MATCH("对"&amp;LEFT($C$5,2)&amp;"输出",标准坦克设计!$B$23:$U$23,0)))*(VLOOKUP($B89,INDIRECT($B$5&amp;"生成成长"),3))*(VLOOKUP($B$5,标准坦克设计!$B$14:$K$20,9)/30))</f>
        <v>7.2659674718701037</v>
      </c>
      <c r="BK89" s="172">
        <f ca="1">(VLOOKUP(BK$72,INDIRECT($C$5&amp;"生成成长"),2))/((VLOOKUP($B89,INDIRECT($B$5&amp;"生成成长"),4))/(VLOOKUP(BK$72,INDIRECT($C$5&amp;"生成成长"),5))*(VLOOKUP($B$5,标准坦克设计!$B$24:$U$30,MATCH("对"&amp;LEFT($C$5,2)&amp;"输出",标准坦克设计!$B$23:$U$23,0)))*(VLOOKUP($B89,INDIRECT($B$5&amp;"生成成长"),3))*(VLOOKUP($B$5,标准坦克设计!$B$14:$K$20,9)/30))</f>
        <v>8.0853338959548022</v>
      </c>
      <c r="BL89" s="172">
        <f ca="1">(VLOOKUP(BL$72,INDIRECT($C$5&amp;"生成成长"),2))/((VLOOKUP($B89,INDIRECT($B$5&amp;"生成成长"),4))/(VLOOKUP(BL$72,INDIRECT($C$5&amp;"生成成长"),5))*(VLOOKUP($B$5,标准坦克设计!$B$24:$U$30,MATCH("对"&amp;LEFT($C$5,2)&amp;"输出",标准坦克设计!$B$23:$U$23,0)))*(VLOOKUP($B89,INDIRECT($B$5&amp;"生成成长"),3))*(VLOOKUP($B$5,标准坦克设计!$B$14:$K$20,9)/30))</f>
        <v>8.9484646987739929</v>
      </c>
      <c r="BM89" s="172">
        <f ca="1">(VLOOKUP(BM$72,INDIRECT($C$5&amp;"生成成长"),2))/((VLOOKUP($B89,INDIRECT($B$5&amp;"生成成长"),4))/(VLOOKUP(BM$72,INDIRECT($C$5&amp;"生成成长"),5))*(VLOOKUP($B$5,标准坦克设计!$B$24:$U$30,MATCH("对"&amp;LEFT($C$5,2)&amp;"输出",标准坦克设计!$B$23:$U$23,0)))*(VLOOKUP($B89,INDIRECT($B$5&amp;"生成成长"),3))*(VLOOKUP($B$5,标准坦克设计!$B$14:$K$20,9)/30))</f>
        <v>9.855359880327681</v>
      </c>
      <c r="BN89" s="172">
        <f ca="1">(VLOOKUP(BN$72,INDIRECT($C$5&amp;"生成成长"),2))/((VLOOKUP($B89,INDIRECT($B$5&amp;"生成成长"),4))/(VLOOKUP(BN$72,INDIRECT($C$5&amp;"生成成长"),5))*(VLOOKUP($B$5,标准坦克设计!$B$24:$U$30,MATCH("对"&amp;LEFT($C$5,2)&amp;"输出",标准坦克设计!$B$23:$U$23,0)))*(VLOOKUP($B89,INDIRECT($B$5&amp;"生成成长"),3))*(VLOOKUP($B$5,标准坦克设计!$B$14:$K$20,9)/30))</f>
        <v>10.806019440615861</v>
      </c>
      <c r="BO89" s="172">
        <f ca="1">(VLOOKUP(BO$72,INDIRECT($C$5&amp;"生成成长"),2))/((VLOOKUP($B89,INDIRECT($B$5&amp;"生成成长"),4))/(VLOOKUP(BO$72,INDIRECT($C$5&amp;"生成成长"),5))*(VLOOKUP($B$5,标准坦克设计!$B$24:$U$30,MATCH("对"&amp;LEFT($C$5,2)&amp;"输出",标准坦克设计!$B$23:$U$23,0)))*(VLOOKUP($B89,INDIRECT($B$5&amp;"生成成长"),3))*(VLOOKUP($B$5,标准坦克设计!$B$14:$K$20,9)/30))</f>
        <v>11.800443379638535</v>
      </c>
      <c r="BP89" s="172">
        <f ca="1">(VLOOKUP(BP$72,INDIRECT($C$5&amp;"生成成长"),2))/((VLOOKUP($B89,INDIRECT($B$5&amp;"生成成长"),4))/(VLOOKUP(BP$72,INDIRECT($C$5&amp;"生成成长"),5))*(VLOOKUP($B$5,标准坦克设计!$B$24:$U$30,MATCH("对"&amp;LEFT($C$5,2)&amp;"输出",标准坦克设计!$B$23:$U$23,0)))*(VLOOKUP($B89,INDIRECT($B$5&amp;"生成成长"),3))*(VLOOKUP($B$5,标准坦克设计!$B$14:$K$20,9)/30))</f>
        <v>12.838631697395705</v>
      </c>
      <c r="BQ89" s="172">
        <f ca="1">(VLOOKUP(BQ$72,INDIRECT($C$5&amp;"生成成长"),2))/((VLOOKUP($B89,INDIRECT($B$5&amp;"生成成长"),4))/(VLOOKUP(BQ$72,INDIRECT($C$5&amp;"生成成长"),5))*(VLOOKUP($B$5,标准坦克设计!$B$24:$U$30,MATCH("对"&amp;LEFT($C$5,2)&amp;"输出",标准坦克设计!$B$23:$U$23,0)))*(VLOOKUP($B89,INDIRECT($B$5&amp;"生成成长"),3))*(VLOOKUP($B$5,标准坦克设计!$B$14:$K$20,9)/30))</f>
        <v>13.920584393887369</v>
      </c>
      <c r="BR89" s="172">
        <f ca="1">(VLOOKUP(BR$72,INDIRECT($C$5&amp;"生成成长"),2))/((VLOOKUP($B89,INDIRECT($B$5&amp;"生成成长"),4))/(VLOOKUP(BR$72,INDIRECT($C$5&amp;"生成成长"),5))*(VLOOKUP($B$5,标准坦克设计!$B$24:$U$30,MATCH("对"&amp;LEFT($C$5,2)&amp;"输出",标准坦克设计!$B$23:$U$23,0)))*(VLOOKUP($B89,INDIRECT($B$5&amp;"生成成长"),3))*(VLOOKUP($B$5,标准坦克设计!$B$14:$K$20,9)/30))</f>
        <v>15.174082648998805</v>
      </c>
      <c r="BS89" s="172">
        <f ca="1">(VLOOKUP(BS$72,INDIRECT($C$5&amp;"生成成长"),2))/((VLOOKUP($B89,INDIRECT($B$5&amp;"生成成长"),4))/(VLOOKUP(BS$72,INDIRECT($C$5&amp;"生成成长"),5))*(VLOOKUP($B$5,标准坦克设计!$B$24:$U$30,MATCH("对"&amp;LEFT($C$5,2)&amp;"输出",标准坦克设计!$B$23:$U$23,0)))*(VLOOKUP($B89,INDIRECT($B$5&amp;"生成成长"),3))*(VLOOKUP($B$5,标准坦克设计!$B$14:$K$20,9)/30))</f>
        <v>16.481611001313325</v>
      </c>
      <c r="BT89" s="172">
        <f ca="1">(VLOOKUP(BT$72,INDIRECT($C$5&amp;"生成成长"),2))/((VLOOKUP($B89,INDIRECT($B$5&amp;"生成成长"),4))/(VLOOKUP(BT$72,INDIRECT($C$5&amp;"生成成长"),5))*(VLOOKUP($B$5,标准坦克设计!$B$24:$U$30,MATCH("对"&amp;LEFT($C$5,2)&amp;"输出",标准坦克设计!$B$23:$U$23,0)))*(VLOOKUP($B89,INDIRECT($B$5&amp;"生成成长"),3))*(VLOOKUP($B$5,标准坦克设计!$B$14:$K$20,9)/30))</f>
        <v>17.843169450830928</v>
      </c>
      <c r="BU89" s="172">
        <f ca="1">(VLOOKUP(BU$72,INDIRECT($C$5&amp;"生成成长"),2))/((VLOOKUP($B89,INDIRECT($B$5&amp;"生成成长"),4))/(VLOOKUP(BU$72,INDIRECT($C$5&amp;"生成成长"),5))*(VLOOKUP($B$5,标准坦克设计!$B$24:$U$30,MATCH("对"&amp;LEFT($C$5,2)&amp;"输出",标准坦克设计!$B$23:$U$23,0)))*(VLOOKUP($B89,INDIRECT($B$5&amp;"生成成长"),3))*(VLOOKUP($B$5,标准坦克设计!$B$14:$K$20,9)/30))</f>
        <v>19.258757997551605</v>
      </c>
      <c r="BV89" s="172">
        <f ca="1">(VLOOKUP(BV$72,INDIRECT($C$5&amp;"生成成长"),2))/((VLOOKUP($B89,INDIRECT($B$5&amp;"生成成长"),4))/(VLOOKUP(BV$72,INDIRECT($C$5&amp;"生成成长"),5))*(VLOOKUP($B$5,标准坦克设计!$B$24:$U$30,MATCH("对"&amp;LEFT($C$5,2)&amp;"输出",标准坦克设计!$B$23:$U$23,0)))*(VLOOKUP($B89,INDIRECT($B$5&amp;"生成成长"),3))*(VLOOKUP($B$5,标准坦克设计!$B$14:$K$20,9)/30))</f>
        <v>20.728376641475361</v>
      </c>
      <c r="BW89" s="172">
        <f ca="1">(VLOOKUP(BW$72,INDIRECT($C$5&amp;"生成成长"),2))/((VLOOKUP($B89,INDIRECT($B$5&amp;"生成成长"),4))/(VLOOKUP(BW$72,INDIRECT($C$5&amp;"生成成长"),5))*(VLOOKUP($B$5,标准坦克设计!$B$24:$U$30,MATCH("对"&amp;LEFT($C$5,2)&amp;"输出",标准坦克设计!$B$23:$U$23,0)))*(VLOOKUP($B89,INDIRECT($B$5&amp;"生成成长"),3))*(VLOOKUP($B$5,标准坦克设计!$B$14:$K$20,9)/30))</f>
        <v>9.4468923454724028</v>
      </c>
      <c r="BX89" s="172">
        <f ca="1">(VLOOKUP(BX$72,INDIRECT($C$5&amp;"生成成长"),2))/((VLOOKUP($B89,INDIRECT($B$5&amp;"生成成长"),4))/(VLOOKUP(BX$72,INDIRECT($C$5&amp;"生成成长"),5))*(VLOOKUP($B$5,标准坦克设计!$B$24:$U$30,MATCH("对"&amp;LEFT($C$5,2)&amp;"输出",标准坦克设计!$B$23:$U$23,0)))*(VLOOKUP($B89,INDIRECT($B$5&amp;"生成成长"),3))*(VLOOKUP($B$5,标准坦克设计!$B$14:$K$20,9)/30))</f>
        <v>10.484270211771525</v>
      </c>
      <c r="BY89" s="172">
        <f ca="1">(VLOOKUP(BY$72,INDIRECT($C$5&amp;"生成成长"),2))/((VLOOKUP($B89,INDIRECT($B$5&amp;"生成成长"),4))/(VLOOKUP(BY$72,INDIRECT($C$5&amp;"生成成长"),5))*(VLOOKUP($B$5,标准坦克设计!$B$24:$U$30,MATCH("对"&amp;LEFT($C$5,2)&amp;"输出",标准坦克设计!$B$23:$U$23,0)))*(VLOOKUP($B89,INDIRECT($B$5&amp;"生成成长"),3))*(VLOOKUP($B$5,标准坦克设计!$B$14:$K$20,9)/30))</f>
        <v>11.575678175273726</v>
      </c>
      <c r="BZ89" s="172">
        <f ca="1">(VLOOKUP(BZ$72,INDIRECT($C$5&amp;"生成成长"),2))/((VLOOKUP($B89,INDIRECT($B$5&amp;"生成成长"),4))/(VLOOKUP(BZ$72,INDIRECT($C$5&amp;"生成成长"),5))*(VLOOKUP($B$5,标准坦克设计!$B$24:$U$30,MATCH("对"&amp;LEFT($C$5,2)&amp;"输出",标准坦克设计!$B$23:$U$23,0)))*(VLOOKUP($B89,INDIRECT($B$5&amp;"生成成长"),3))*(VLOOKUP($B$5,标准坦克设计!$B$14:$K$20,9)/30))</f>
        <v>12.721116235979006</v>
      </c>
      <c r="CA89" s="172">
        <f ca="1">(VLOOKUP(CA$72,INDIRECT($C$5&amp;"生成成长"),2))/((VLOOKUP($B89,INDIRECT($B$5&amp;"生成成长"),4))/(VLOOKUP(CA$72,INDIRECT($C$5&amp;"生成成长"),5))*(VLOOKUP($B$5,标准坦克设计!$B$24:$U$30,MATCH("对"&amp;LEFT($C$5,2)&amp;"输出",标准坦克设计!$B$23:$U$23,0)))*(VLOOKUP($B89,INDIRECT($B$5&amp;"生成成长"),3))*(VLOOKUP($B$5,标准坦克设计!$B$14:$K$20,9)/30))</f>
        <v>13.920584393887369</v>
      </c>
      <c r="CB89" s="172">
        <f ca="1">(VLOOKUP(CB$72,INDIRECT($C$5&amp;"生成成长"),2))/((VLOOKUP($B89,INDIRECT($B$5&amp;"生成成长"),4))/(VLOOKUP(CB$72,INDIRECT($C$5&amp;"生成成长"),5))*(VLOOKUP($B$5,标准坦克设计!$B$24:$U$30,MATCH("对"&amp;LEFT($C$5,2)&amp;"输出",标准坦克设计!$B$23:$U$23,0)))*(VLOOKUP($B89,INDIRECT($B$5&amp;"生成成长"),3))*(VLOOKUP($B$5,标准坦克设计!$B$14:$K$20,9)/30))</f>
        <v>15.174082648998805</v>
      </c>
      <c r="CC89" s="172">
        <f ca="1">(VLOOKUP(CC$72,INDIRECT($C$5&amp;"生成成长"),2))/((VLOOKUP($B89,INDIRECT($B$5&amp;"生成成长"),4))/(VLOOKUP(CC$72,INDIRECT($C$5&amp;"生成成长"),5))*(VLOOKUP($B$5,标准坦克设计!$B$24:$U$30,MATCH("对"&amp;LEFT($C$5,2)&amp;"输出",标准坦克设计!$B$23:$U$23,0)))*(VLOOKUP($B89,INDIRECT($B$5&amp;"生成成长"),3))*(VLOOKUP($B$5,标准坦克设计!$B$14:$K$20,9)/30))</f>
        <v>16.481611001313325</v>
      </c>
      <c r="CD89" s="172">
        <f ca="1">(VLOOKUP(CD$72,INDIRECT($C$5&amp;"生成成长"),2))/((VLOOKUP($B89,INDIRECT($B$5&amp;"生成成长"),4))/(VLOOKUP(CD$72,INDIRECT($C$5&amp;"生成成长"),5))*(VLOOKUP($B$5,标准坦克设计!$B$24:$U$30,MATCH("对"&amp;LEFT($C$5,2)&amp;"输出",标准坦克设计!$B$23:$U$23,0)))*(VLOOKUP($B89,INDIRECT($B$5&amp;"生成成长"),3))*(VLOOKUP($B$5,标准坦克设计!$B$14:$K$20,9)/30))</f>
        <v>17.843169450830928</v>
      </c>
      <c r="CE89" s="172">
        <f ca="1">(VLOOKUP(CE$72,INDIRECT($C$5&amp;"生成成长"),2))/((VLOOKUP($B89,INDIRECT($B$5&amp;"生成成长"),4))/(VLOOKUP(CE$72,INDIRECT($C$5&amp;"生成成长"),5))*(VLOOKUP($B$5,标准坦克设计!$B$24:$U$30,MATCH("对"&amp;LEFT($C$5,2)&amp;"输出",标准坦克设计!$B$23:$U$23,0)))*(VLOOKUP($B89,INDIRECT($B$5&amp;"生成成长"),3))*(VLOOKUP($B$5,标准坦克设计!$B$14:$K$20,9)/30))</f>
        <v>19.258757997551605</v>
      </c>
      <c r="CF89" s="172">
        <f ca="1">(VLOOKUP(CF$72,INDIRECT($C$5&amp;"生成成长"),2))/((VLOOKUP($B89,INDIRECT($B$5&amp;"生成成长"),4))/(VLOOKUP(CF$72,INDIRECT($C$5&amp;"生成成长"),5))*(VLOOKUP($B$5,标准坦克设计!$B$24:$U$30,MATCH("对"&amp;LEFT($C$5,2)&amp;"输出",标准坦克设计!$B$23:$U$23,0)))*(VLOOKUP($B89,INDIRECT($B$5&amp;"生成成长"),3))*(VLOOKUP($B$5,标准坦克设计!$B$14:$K$20,9)/30))</f>
        <v>20.728376641475361</v>
      </c>
      <c r="CG89" s="172">
        <f ca="1">(VLOOKUP(CG$72,INDIRECT($C$5&amp;"生成成长"),2))/((VLOOKUP($B89,INDIRECT($B$5&amp;"生成成长"),4))/(VLOOKUP(CG$72,INDIRECT($C$5&amp;"生成成长"),5))*(VLOOKUP($B$5,标准坦克设计!$B$24:$U$30,MATCH("对"&amp;LEFT($C$5,2)&amp;"输出",标准坦克设计!$B$23:$U$23,0)))*(VLOOKUP($B89,INDIRECT($B$5&amp;"生成成长"),3))*(VLOOKUP($B$5,标准坦克设计!$B$14:$K$20,9)/30))</f>
        <v>22.252025382602195</v>
      </c>
      <c r="CH89" s="172">
        <f ca="1">(VLOOKUP(CH$72,INDIRECT($C$5&amp;"生成成长"),2))/((VLOOKUP($B89,INDIRECT($B$5&amp;"生成成长"),4))/(VLOOKUP(CH$72,INDIRECT($C$5&amp;"生成成长"),5))*(VLOOKUP($B$5,标准坦克设计!$B$24:$U$30,MATCH("对"&amp;LEFT($C$5,2)&amp;"输出",标准坦克设计!$B$23:$U$23,0)))*(VLOOKUP($B89,INDIRECT($B$5&amp;"生成成长"),3))*(VLOOKUP($B$5,标准坦克设计!$B$14:$K$20,9)/30))</f>
        <v>23.829704220932108</v>
      </c>
      <c r="CI89" s="172">
        <f ca="1">(VLOOKUP(CI$72,INDIRECT($C$5&amp;"生成成长"),2))/((VLOOKUP($B89,INDIRECT($B$5&amp;"生成成长"),4))/(VLOOKUP(CI$72,INDIRECT($C$5&amp;"生成成长"),5))*(VLOOKUP($B$5,标准坦克设计!$B$24:$U$30,MATCH("对"&amp;LEFT($C$5,2)&amp;"输出",标准坦克设计!$B$23:$U$23,0)))*(VLOOKUP($B89,INDIRECT($B$5&amp;"生成成长"),3))*(VLOOKUP($B$5,标准坦克设计!$B$14:$K$20,9)/30))</f>
        <v>25.627555705364571</v>
      </c>
      <c r="CJ89" s="172">
        <f ca="1">(VLOOKUP(CJ$72,INDIRECT($C$5&amp;"生成成长"),2))/((VLOOKUP($B89,INDIRECT($B$5&amp;"生成成长"),4))/(VLOOKUP(CJ$72,INDIRECT($C$5&amp;"生成成长"),5))*(VLOOKUP($B$5,标准坦克设计!$B$24:$U$30,MATCH("对"&amp;LEFT($C$5,2)&amp;"输出",标准坦克设计!$B$23:$U$23,0)))*(VLOOKUP($B89,INDIRECT($B$5&amp;"生成成长"),3))*(VLOOKUP($B$5,标准坦克设计!$B$14:$K$20,9)/30))</f>
        <v>27.490783607412766</v>
      </c>
      <c r="CK89" s="172">
        <f ca="1">(VLOOKUP(CK$72,INDIRECT($C$5&amp;"生成成长"),2))/((VLOOKUP($B89,INDIRECT($B$5&amp;"生成成长"),4))/(VLOOKUP(CK$72,INDIRECT($C$5&amp;"生成成长"),5))*(VLOOKUP($B$5,标准坦克设计!$B$24:$U$30,MATCH("对"&amp;LEFT($C$5,2)&amp;"输出",标准坦克设计!$B$23:$U$23,0)))*(VLOOKUP($B89,INDIRECT($B$5&amp;"生成成长"),3))*(VLOOKUP($B$5,标准坦克设计!$B$14:$K$20,9)/30))</f>
        <v>29.419387927076681</v>
      </c>
      <c r="CL89" s="172">
        <f ca="1">(VLOOKUP(CL$72,INDIRECT($C$5&amp;"生成成长"),2))/((VLOOKUP($B89,INDIRECT($B$5&amp;"生成成长"),4))/(VLOOKUP(CL$72,INDIRECT($C$5&amp;"生成成长"),5))*(VLOOKUP($B$5,标准坦克设计!$B$24:$U$30,MATCH("对"&amp;LEFT($C$5,2)&amp;"输出",标准坦克设计!$B$23:$U$23,0)))*(VLOOKUP($B89,INDIRECT($B$5&amp;"生成成长"),3))*(VLOOKUP($B$5,标准坦克设计!$B$14:$K$20,9)/30))</f>
        <v>31.413368664356319</v>
      </c>
      <c r="CM89" s="172">
        <f ca="1">(VLOOKUP(CM$72,INDIRECT($C$5&amp;"生成成长"),2))/((VLOOKUP($B89,INDIRECT($B$5&amp;"生成成长"),4))/(VLOOKUP(CM$72,INDIRECT($C$5&amp;"生成成长"),5))*(VLOOKUP($B$5,标准坦克设计!$B$24:$U$30,MATCH("对"&amp;LEFT($C$5,2)&amp;"输出",标准坦克设计!$B$23:$U$23,0)))*(VLOOKUP($B89,INDIRECT($B$5&amp;"生成成长"),3))*(VLOOKUP($B$5,标准坦克设计!$B$14:$K$20,9)/30))</f>
        <v>33.472725819251686</v>
      </c>
      <c r="CN89" s="172">
        <f ca="1">(VLOOKUP(CN$72,INDIRECT($C$5&amp;"生成成长"),2))/((VLOOKUP($B89,INDIRECT($B$5&amp;"生成成长"),4))/(VLOOKUP(CN$72,INDIRECT($C$5&amp;"生成成长"),5))*(VLOOKUP($B$5,标准坦克设计!$B$24:$U$30,MATCH("对"&amp;LEFT($C$5,2)&amp;"输出",标准坦克设计!$B$23:$U$23,0)))*(VLOOKUP($B89,INDIRECT($B$5&amp;"生成成长"),3))*(VLOOKUP($B$5,标准坦克设计!$B$14:$K$20,9)/30))</f>
        <v>35.597459391762776</v>
      </c>
      <c r="CO89" s="172">
        <f ca="1">(VLOOKUP(CO$72,INDIRECT($C$5&amp;"生成成长"),2))/((VLOOKUP($B89,INDIRECT($B$5&amp;"生成成长"),4))/(VLOOKUP(CO$72,INDIRECT($C$5&amp;"生成成长"),5))*(VLOOKUP($B$5,标准坦克设计!$B$24:$U$30,MATCH("对"&amp;LEFT($C$5,2)&amp;"输出",标准坦克设计!$B$23:$U$23,0)))*(VLOOKUP($B89,INDIRECT($B$5&amp;"生成成长"),3))*(VLOOKUP($B$5,标准坦克设计!$B$14:$K$20,9)/30))</f>
        <v>15.952116048723148</v>
      </c>
      <c r="CP89" s="172">
        <f ca="1">(VLOOKUP(CP$72,INDIRECT($C$5&amp;"生成成长"),2))/((VLOOKUP($B89,INDIRECT($B$5&amp;"生成成长"),4))/(VLOOKUP(CP$72,INDIRECT($C$5&amp;"生成成长"),5))*(VLOOKUP($B$5,标准坦克设计!$B$24:$U$30,MATCH("对"&amp;LEFT($C$5,2)&amp;"输出",标准坦克设计!$B$23:$U$23,0)))*(VLOOKUP($B89,INDIRECT($B$5&amp;"生成成长"),3))*(VLOOKUP($B$5,标准坦克设计!$B$14:$K$20,9)/30))</f>
        <v>17.429028755769323</v>
      </c>
      <c r="CQ89" s="172">
        <f ca="1">(VLOOKUP(CQ$72,INDIRECT($C$5&amp;"生成成长"),2))/((VLOOKUP($B89,INDIRECT($B$5&amp;"生成成长"),4))/(VLOOKUP(CQ$72,INDIRECT($C$5&amp;"生成成长"),5))*(VLOOKUP($B$5,标准坦克设计!$B$24:$U$30,MATCH("对"&amp;LEFT($C$5,2)&amp;"输出",标准坦克设计!$B$23:$U$23,0)))*(VLOOKUP($B89,INDIRECT($B$5&amp;"生成成长"),3))*(VLOOKUP($B$5,标准坦克设计!$B$14:$K$20,9)/30))</f>
        <v>18.971317880431219</v>
      </c>
      <c r="CR89" s="172">
        <f ca="1">(VLOOKUP(CR$72,INDIRECT($C$5&amp;"生成成长"),2))/((VLOOKUP($B89,INDIRECT($B$5&amp;"生成成长"),4))/(VLOOKUP(CR$72,INDIRECT($C$5&amp;"生成成长"),5))*(VLOOKUP($B$5,标准坦克设计!$B$24:$U$30,MATCH("对"&amp;LEFT($C$5,2)&amp;"输出",标准坦克设计!$B$23:$U$23,0)))*(VLOOKUP($B89,INDIRECT($B$5&amp;"生成成长"),3))*(VLOOKUP($B$5,标准坦克设计!$B$14:$K$20,9)/30))</f>
        <v>20.578983422708845</v>
      </c>
      <c r="CS89" s="172">
        <f ca="1">(VLOOKUP(CS$72,INDIRECT($C$5&amp;"生成成长"),2))/((VLOOKUP($B89,INDIRECT($B$5&amp;"生成成长"),4))/(VLOOKUP(CS$72,INDIRECT($C$5&amp;"生成成长"),5))*(VLOOKUP($B$5,标准坦克设计!$B$24:$U$30,MATCH("对"&amp;LEFT($C$5,2)&amp;"输出",标准坦克设计!$B$23:$U$23,0)))*(VLOOKUP($B89,INDIRECT($B$5&amp;"生成成长"),3))*(VLOOKUP($B$5,标准坦克设计!$B$14:$K$20,9)/30))</f>
        <v>22.252025382602195</v>
      </c>
      <c r="CT89" s="172">
        <f ca="1">(VLOOKUP(CT$72,INDIRECT($C$5&amp;"生成成长"),2))/((VLOOKUP($B89,INDIRECT($B$5&amp;"生成成长"),4))/(VLOOKUP(CT$72,INDIRECT($C$5&amp;"生成成长"),5))*(VLOOKUP($B$5,标准坦克设计!$B$24:$U$30,MATCH("对"&amp;LEFT($C$5,2)&amp;"输出",标准坦克设计!$B$23:$U$23,0)))*(VLOOKUP($B89,INDIRECT($B$5&amp;"生成成长"),3))*(VLOOKUP($B$5,标准坦克设计!$B$14:$K$20,9)/30))</f>
        <v>23.990443760111273</v>
      </c>
      <c r="CU89" s="172">
        <f ca="1">(VLOOKUP(CU$72,INDIRECT($C$5&amp;"生成成长"),2))/((VLOOKUP($B89,INDIRECT($B$5&amp;"生成成长"),4))/(VLOOKUP(CU$72,INDIRECT($C$5&amp;"生成成长"),5))*(VLOOKUP($B$5,标准坦克设计!$B$24:$U$30,MATCH("对"&amp;LEFT($C$5,2)&amp;"输出",标准坦克设计!$B$23:$U$23,0)))*(VLOOKUP($B89,INDIRECT($B$5&amp;"生成成长"),3))*(VLOOKUP($B$5,标准坦克设计!$B$14:$K$20,9)/30))</f>
        <v>25.794238555236074</v>
      </c>
      <c r="CV89" s="172">
        <f ca="1">(VLOOKUP(CV$72,INDIRECT($C$5&amp;"生成成长"),2))/((VLOOKUP($B89,INDIRECT($B$5&amp;"生成成长"),4))/(VLOOKUP(CV$72,INDIRECT($C$5&amp;"生成成长"),5))*(VLOOKUP($B$5,标准坦克设计!$B$24:$U$30,MATCH("对"&amp;LEFT($C$5,2)&amp;"输出",标准坦克设计!$B$23:$U$23,0)))*(VLOOKUP($B89,INDIRECT($B$5&amp;"生成成长"),3))*(VLOOKUP($B$5,标准坦克设计!$B$14:$K$20,9)/30))</f>
        <v>27.663409767976603</v>
      </c>
      <c r="CW89" s="172">
        <f ca="1">(VLOOKUP(CW$72,INDIRECT($C$5&amp;"生成成长"),2))/((VLOOKUP($B89,INDIRECT($B$5&amp;"生成成长"),4))/(VLOOKUP(CW$72,INDIRECT($C$5&amp;"生成成长"),5))*(VLOOKUP($B$5,标准坦克设计!$B$24:$U$30,MATCH("对"&amp;LEFT($C$5,2)&amp;"输出",标准坦克设计!$B$23:$U$23,0)))*(VLOOKUP($B89,INDIRECT($B$5&amp;"生成成长"),3))*(VLOOKUP($B$5,标准坦克设计!$B$14:$K$20,9)/30))</f>
        <v>29.597957398332856</v>
      </c>
      <c r="CX89" s="172">
        <f ca="1">(VLOOKUP(CX$72,INDIRECT($C$5&amp;"生成成长"),2))/((VLOOKUP($B89,INDIRECT($B$5&amp;"生成成长"),4))/(VLOOKUP(CX$72,INDIRECT($C$5&amp;"生成成长"),5))*(VLOOKUP($B$5,标准坦克设计!$B$24:$U$30,MATCH("对"&amp;LEFT($C$5,2)&amp;"输出",标准坦克设计!$B$23:$U$23,0)))*(VLOOKUP($B89,INDIRECT($B$5&amp;"生成成长"),3))*(VLOOKUP($B$5,标准坦克设计!$B$14:$K$20,9)/30))</f>
        <v>31.597881446304839</v>
      </c>
      <c r="CY89" s="172">
        <f ca="1">(VLOOKUP(CY$72,INDIRECT($C$5&amp;"生成成长"),2))/((VLOOKUP($B89,INDIRECT($B$5&amp;"生成成长"),4))/(VLOOKUP(CY$72,INDIRECT($C$5&amp;"生成成长"),5))*(VLOOKUP($B$5,标准坦克设计!$B$24:$U$30,MATCH("对"&amp;LEFT($C$5,2)&amp;"输出",标准坦克设计!$B$23:$U$23,0)))*(VLOOKUP($B89,INDIRECT($B$5&amp;"生成成长"),3))*(VLOOKUP($B$5,标准坦克设计!$B$14:$K$20,9)/30))</f>
        <v>33.663181911892551</v>
      </c>
      <c r="CZ89" s="172">
        <f ca="1">(VLOOKUP(CZ$72,INDIRECT($C$5&amp;"生成成长"),2))/((VLOOKUP($B89,INDIRECT($B$5&amp;"生成成长"),4))/(VLOOKUP(CZ$72,INDIRECT($C$5&amp;"生成成长"),5))*(VLOOKUP($B$5,标准坦克设计!$B$24:$U$30,MATCH("对"&amp;LEFT($C$5,2)&amp;"输出",标准坦克设计!$B$23:$U$23,0)))*(VLOOKUP($B89,INDIRECT($B$5&amp;"生成成长"),3))*(VLOOKUP($B$5,标准坦克设计!$B$14:$K$20,9)/30))</f>
        <v>35.793858795095971</v>
      </c>
      <c r="DA89" s="172">
        <f ca="1">(VLOOKUP(DA$72,INDIRECT($C$5&amp;"生成成长"),2))/((VLOOKUP($B89,INDIRECT($B$5&amp;"生成成长"),4))/(VLOOKUP(DA$72,INDIRECT($C$5&amp;"生成成长"),5))*(VLOOKUP($B$5,标准坦克设计!$B$24:$U$30,MATCH("对"&amp;LEFT($C$5,2)&amp;"输出",标准坦克设计!$B$23:$U$23,0)))*(VLOOKUP($B89,INDIRECT($B$5&amp;"生成成长"),3))*(VLOOKUP($B$5,标准坦克设计!$B$14:$K$20,9)/30))</f>
        <v>37.98991209591513</v>
      </c>
      <c r="DB89" s="172">
        <f ca="1">(VLOOKUP(DB$72,INDIRECT($C$5&amp;"生成成长"),2))/((VLOOKUP($B89,INDIRECT($B$5&amp;"生成成长"),4))/(VLOOKUP(DB$72,INDIRECT($C$5&amp;"生成成长"),5))*(VLOOKUP($B$5,标准坦克设计!$B$24:$U$30,MATCH("对"&amp;LEFT($C$5,2)&amp;"输出",标准坦克设计!$B$23:$U$23,0)))*(VLOOKUP($B89,INDIRECT($B$5&amp;"生成成长"),3))*(VLOOKUP($B$5,标准坦克设计!$B$14:$K$20,9)/30))</f>
        <v>40.25134181435002</v>
      </c>
      <c r="DC89" s="172">
        <f ca="1">(VLOOKUP(DC$72,INDIRECT($C$5&amp;"生成成长"),2))/((VLOOKUP($B89,INDIRECT($B$5&amp;"生成成长"),4))/(VLOOKUP(DC$72,INDIRECT($C$5&amp;"生成成长"),5))*(VLOOKUP($B$5,标准坦克设计!$B$24:$U$30,MATCH("对"&amp;LEFT($C$5,2)&amp;"输出",标准坦克设计!$B$23:$U$23,0)))*(VLOOKUP($B89,INDIRECT($B$5&amp;"生成成长"),3))*(VLOOKUP($B$5,标准坦克设计!$B$14:$K$20,9)/30))</f>
        <v>42.79291758678287</v>
      </c>
      <c r="DD89" s="172">
        <f ca="1">(VLOOKUP(DD$72,INDIRECT($C$5&amp;"生成成长"),2))/((VLOOKUP($B89,INDIRECT($B$5&amp;"生成成长"),4))/(VLOOKUP(DD$72,INDIRECT($C$5&amp;"生成成长"),5))*(VLOOKUP($B$5,标准坦克设计!$B$24:$U$30,MATCH("对"&amp;LEFT($C$5,2)&amp;"输出",标准坦克设计!$B$23:$U$23,0)))*(VLOOKUP($B89,INDIRECT($B$5&amp;"生成成长"),3))*(VLOOKUP($B$5,标准坦克设计!$B$14:$K$20,9)/30))</f>
        <v>45.412296699188154</v>
      </c>
      <c r="DE89" s="172">
        <f ca="1">(VLOOKUP(DE$72,INDIRECT($C$5&amp;"生成成长"),2))/((VLOOKUP($B89,INDIRECT($B$5&amp;"生成成长"),4))/(VLOOKUP(DE$72,INDIRECT($C$5&amp;"生成成长"),5))*(VLOOKUP($B$5,标准坦克设计!$B$24:$U$30,MATCH("对"&amp;LEFT($C$5,2)&amp;"输出",标准坦克设计!$B$23:$U$23,0)))*(VLOOKUP($B89,INDIRECT($B$5&amp;"生成成长"),3))*(VLOOKUP($B$5,标准坦克设计!$B$14:$K$20,9)/30))</f>
        <v>48.109479151565878</v>
      </c>
      <c r="DF89" s="172">
        <f ca="1">(VLOOKUP(DF$72,INDIRECT($C$5&amp;"生成成长"),2))/((VLOOKUP($B89,INDIRECT($B$5&amp;"生成成长"),4))/(VLOOKUP(DF$72,INDIRECT($C$5&amp;"生成成长"),5))*(VLOOKUP($B$5,标准坦克设计!$B$24:$U$30,MATCH("对"&amp;LEFT($C$5,2)&amp;"输出",标准坦克设计!$B$23:$U$23,0)))*(VLOOKUP($B89,INDIRECT($B$5&amp;"生成成长"),3))*(VLOOKUP($B$5,标准坦克设计!$B$14:$K$20,9)/30))</f>
        <v>50.884464943916022</v>
      </c>
      <c r="DG89" s="172">
        <f ca="1">(VLOOKUP(DG$72,INDIRECT($C$5&amp;"生成成长"),2))/((VLOOKUP($B89,INDIRECT($B$5&amp;"生成成长"),4))/(VLOOKUP(DG$72,INDIRECT($C$5&amp;"生成成长"),5))*(VLOOKUP($B$5,标准坦克设计!$B$24:$U$30,MATCH("对"&amp;LEFT($C$5,2)&amp;"输出",标准坦克设计!$B$23:$U$23,0)))*(VLOOKUP($B89,INDIRECT($B$5&amp;"生成成长"),3))*(VLOOKUP($B$5,标准坦克设计!$B$14:$K$20,9)/30))</f>
        <v>53.737254076238621</v>
      </c>
      <c r="DH89" s="172">
        <f ca="1">(VLOOKUP(DH$72,INDIRECT($C$5&amp;"生成成长"),2))/((VLOOKUP($B89,INDIRECT($B$5&amp;"生成成长"),4))/(VLOOKUP(DH$72,INDIRECT($C$5&amp;"生成成长"),5))*(VLOOKUP($B$5,标准坦克设计!$B$24:$U$30,MATCH("对"&amp;LEFT($C$5,2)&amp;"输出",标准坦克设计!$B$23:$U$23,0)))*(VLOOKUP($B89,INDIRECT($B$5&amp;"生成成长"),3))*(VLOOKUP($B$5,标准坦克设计!$B$14:$K$20,9)/30))</f>
        <v>56.667846548533625</v>
      </c>
      <c r="DI89" s="172">
        <f ca="1">(VLOOKUP(DI$72,INDIRECT($C$5&amp;"生成成长"),2))/((VLOOKUP($B89,INDIRECT($B$5&amp;"生成成长"),4))/(VLOOKUP(DI$72,INDIRECT($C$5&amp;"生成成长"),5))*(VLOOKUP($B$5,标准坦克设计!$B$24:$U$30,MATCH("对"&amp;LEFT($C$5,2)&amp;"输出",标准坦克设计!$B$23:$U$23,0)))*(VLOOKUP($B89,INDIRECT($B$5&amp;"生成成长"),3))*(VLOOKUP($B$5,标准坦克设计!$B$14:$K$20,9)/30))</f>
        <v>59.676242360801091</v>
      </c>
      <c r="DJ89" s="172">
        <f ca="1">(VLOOKUP(DJ$72,INDIRECT($C$5&amp;"生成成长"),2))/((VLOOKUP($B89,INDIRECT($B$5&amp;"生成成长"),4))/(VLOOKUP(DJ$72,INDIRECT($C$5&amp;"生成成长"),5))*(VLOOKUP($B$5,标准坦克设计!$B$24:$U$30,MATCH("对"&amp;LEFT($C$5,2)&amp;"输出",标准坦克设计!$B$23:$U$23,0)))*(VLOOKUP($B89,INDIRECT($B$5&amp;"生成成长"),3))*(VLOOKUP($B$5,标准坦克设计!$B$14:$K$20,9)/30))</f>
        <v>5.9976109400278181</v>
      </c>
      <c r="DK89" s="172">
        <f ca="1">(VLOOKUP(DK$72,INDIRECT($C$5&amp;"生成成长"),2))/((VLOOKUP($B89,INDIRECT($B$5&amp;"生成成长"),4))/(VLOOKUP(DK$72,INDIRECT($C$5&amp;"生成成长"),5))*(VLOOKUP($B$5,标准坦克设计!$B$24:$U$30,MATCH("对"&amp;LEFT($C$5,2)&amp;"输出",标准坦克设计!$B$23:$U$23,0)))*(VLOOKUP($B89,INDIRECT($B$5&amp;"生成成长"),3))*(VLOOKUP($B$5,标准坦克设计!$B$14:$K$20,9)/30))</f>
        <v>6.7440367328883584</v>
      </c>
      <c r="DL89" s="172">
        <f ca="1">(VLOOKUP(DL$72,INDIRECT($C$5&amp;"生成成长"),2))/((VLOOKUP($B89,INDIRECT($B$5&amp;"生成成长"),4))/(VLOOKUP(DL$72,INDIRECT($C$5&amp;"生成成长"),5))*(VLOOKUP($B$5,标准坦克设计!$B$24:$U$30,MATCH("对"&amp;LEFT($C$5,2)&amp;"输出",标准坦克设计!$B$23:$U$23,0)))*(VLOOKUP($B89,INDIRECT($B$5&amp;"生成成长"),3))*(VLOOKUP($B$5,标准坦克设计!$B$14:$K$20,9)/30))</f>
        <v>7.5342269044833943</v>
      </c>
      <c r="DM89" s="172">
        <f ca="1">(VLOOKUP(DM$72,INDIRECT($C$5&amp;"生成成长"),2))/((VLOOKUP($B89,INDIRECT($B$5&amp;"生成成长"),4))/(VLOOKUP(DM$72,INDIRECT($C$5&amp;"生成成长"),5))*(VLOOKUP($B$5,标准坦克设计!$B$24:$U$30,MATCH("对"&amp;LEFT($C$5,2)&amp;"输出",标准坦克设计!$B$23:$U$23,0)))*(VLOOKUP($B89,INDIRECT($B$5&amp;"生成成长"),3))*(VLOOKUP($B$5,标准坦克设计!$B$14:$K$20,9)/30))</f>
        <v>8.3681814548129214</v>
      </c>
      <c r="DN89" s="172">
        <f ca="1">(VLOOKUP(DN$72,INDIRECT($C$5&amp;"生成成长"),2))/((VLOOKUP($B89,INDIRECT($B$5&amp;"生成成长"),4))/(VLOOKUP(DN$72,INDIRECT($C$5&amp;"生成成长"),5))*(VLOOKUP($B$5,标准坦克设计!$B$24:$U$30,MATCH("对"&amp;LEFT($C$5,2)&amp;"输出",标准坦克设计!$B$23:$U$23,0)))*(VLOOKUP($B89,INDIRECT($B$5&amp;"生成成长"),3))*(VLOOKUP($B$5,标准坦克设计!$B$14:$K$20,9)/30))</f>
        <v>9.2459003838769469</v>
      </c>
      <c r="DO89" s="172">
        <f ca="1">(VLOOKUP(DO$72,INDIRECT($C$5&amp;"生成成长"),2))/((VLOOKUP($B89,INDIRECT($B$5&amp;"生成成长"),4))/(VLOOKUP(DO$72,INDIRECT($C$5&amp;"生成成长"),5))*(VLOOKUP($B$5,标准坦克设计!$B$24:$U$30,MATCH("对"&amp;LEFT($C$5,2)&amp;"输出",标准坦克设计!$B$23:$U$23,0)))*(VLOOKUP($B89,INDIRECT($B$5&amp;"生成成长"),3))*(VLOOKUP($B$5,标准坦克设计!$B$14:$K$20,9)/30))</f>
        <v>10.167383691675463</v>
      </c>
      <c r="DP89" s="172">
        <f ca="1">(VLOOKUP(DP$72,INDIRECT($C$5&amp;"生成成长"),2))/((VLOOKUP($B89,INDIRECT($B$5&amp;"生成成长"),4))/(VLOOKUP(DP$72,INDIRECT($C$5&amp;"生成成长"),5))*(VLOOKUP($B$5,标准坦克设计!$B$24:$U$30,MATCH("对"&amp;LEFT($C$5,2)&amp;"输出",标准坦克设计!$B$23:$U$23,0)))*(VLOOKUP($B89,INDIRECT($B$5&amp;"生成成长"),3))*(VLOOKUP($B$5,标准坦克设计!$B$14:$K$20,9)/30))</f>
        <v>11.132631378208474</v>
      </c>
      <c r="DQ89" s="172">
        <f ca="1">(VLOOKUP(DQ$72,INDIRECT($C$5&amp;"生成成长"),2))/((VLOOKUP($B89,INDIRECT($B$5&amp;"生成成长"),4))/(VLOOKUP(DQ$72,INDIRECT($C$5&amp;"生成成长"),5))*(VLOOKUP($B$5,标准坦克设计!$B$24:$U$30,MATCH("对"&amp;LEFT($C$5,2)&amp;"输出",标准坦克设计!$B$23:$U$23,0)))*(VLOOKUP($B89,INDIRECT($B$5&amp;"生成成长"),3))*(VLOOKUP($B$5,标准坦克设计!$B$14:$K$20,9)/30))</f>
        <v>12.14164344347598</v>
      </c>
      <c r="DR89" s="172">
        <f ca="1">(VLOOKUP(DR$72,INDIRECT($C$5&amp;"生成成长"),2))/((VLOOKUP($B89,INDIRECT($B$5&amp;"生成成长"),4))/(VLOOKUP(DR$72,INDIRECT($C$5&amp;"生成成长"),5))*(VLOOKUP($B$5,标准坦克设计!$B$24:$U$30,MATCH("对"&amp;LEFT($C$5,2)&amp;"输出",标准坦克设计!$B$23:$U$23,0)))*(VLOOKUP($B89,INDIRECT($B$5&amp;"生成成长"),3))*(VLOOKUP($B$5,标准坦克设计!$B$14:$K$20,9)/30))</f>
        <v>13.194419887477981</v>
      </c>
      <c r="DS89" s="172">
        <f ca="1">(VLOOKUP(DS$72,INDIRECT($C$5&amp;"生成成长"),2))/((VLOOKUP($B89,INDIRECT($B$5&amp;"生成成长"),4))/(VLOOKUP(DS$72,INDIRECT($C$5&amp;"生成成长"),5))*(VLOOKUP($B$5,标准坦克设计!$B$24:$U$30,MATCH("对"&amp;LEFT($C$5,2)&amp;"输出",标准坦克设计!$B$23:$U$23,0)))*(VLOOKUP($B89,INDIRECT($B$5&amp;"生成成长"),3))*(VLOOKUP($B$5,标准坦克设计!$B$14:$K$20,9)/30))</f>
        <v>14.290960710214476</v>
      </c>
      <c r="DT89" s="172">
        <f ca="1">(VLOOKUP(DT$72,INDIRECT($C$5&amp;"生成成长"),2))/((VLOOKUP($B89,INDIRECT($B$5&amp;"生成成长"),4))/(VLOOKUP(DT$72,INDIRECT($C$5&amp;"生成成长"),5))*(VLOOKUP($B$5,标准坦克设计!$B$24:$U$30,MATCH("对"&amp;LEFT($C$5,2)&amp;"输出",标准坦克设计!$B$23:$U$23,0)))*(VLOOKUP($B89,INDIRECT($B$5&amp;"生成成长"),3))*(VLOOKUP($B$5,标准坦克设计!$B$14:$K$20,9)/30))</f>
        <v>15.690610378260246</v>
      </c>
      <c r="DU89" s="172">
        <f ca="1">(VLOOKUP(DU$72,INDIRECT($C$5&amp;"生成成长"),2))/((VLOOKUP($B89,INDIRECT($B$5&amp;"生成成长"),4))/(VLOOKUP(DU$72,INDIRECT($C$5&amp;"生成成长"),5))*(VLOOKUP($B$5,标准坦克设计!$B$24:$U$30,MATCH("对"&amp;LEFT($C$5,2)&amp;"输出",标准坦克设计!$B$23:$U$23,0)))*(VLOOKUP($B89,INDIRECT($B$5&amp;"生成成长"),3))*(VLOOKUP($B$5,标准坦克设计!$B$14:$K$20,9)/30))</f>
        <v>17.155636463921738</v>
      </c>
      <c r="DV89" s="172">
        <f ca="1">(VLOOKUP(DV$72,INDIRECT($C$5&amp;"生成成长"),2))/((VLOOKUP($B89,INDIRECT($B$5&amp;"生成成长"),4))/(VLOOKUP(DV$72,INDIRECT($C$5&amp;"生成成长"),5))*(VLOOKUP($B$5,标准坦克设计!$B$24:$U$30,MATCH("对"&amp;LEFT($C$5,2)&amp;"输出",标准坦克设计!$B$23:$U$23,0)))*(VLOOKUP($B89,INDIRECT($B$5&amp;"生成成长"),3))*(VLOOKUP($B$5,标准坦克设计!$B$14:$K$20,9)/30))</f>
        <v>18.686038967198957</v>
      </c>
      <c r="DW89" s="172">
        <f ca="1">(VLOOKUP(DW$72,INDIRECT($C$5&amp;"生成成长"),2))/((VLOOKUP($B89,INDIRECT($B$5&amp;"生成成长"),4))/(VLOOKUP(DW$72,INDIRECT($C$5&amp;"生成成长"),5))*(VLOOKUP($B$5,标准坦克设计!$B$24:$U$30,MATCH("对"&amp;LEFT($C$5,2)&amp;"输出",标准坦克设计!$B$23:$U$23,0)))*(VLOOKUP($B89,INDIRECT($B$5&amp;"生成成长"),3))*(VLOOKUP($B$5,标准坦克设计!$B$14:$K$20,9)/30))</f>
        <v>20.281817888091911</v>
      </c>
      <c r="DX89" s="172">
        <f ca="1">(VLOOKUP(DX$72,INDIRECT($C$5&amp;"生成成长"),2))/((VLOOKUP($B89,INDIRECT($B$5&amp;"生成成长"),4))/(VLOOKUP(DX$72,INDIRECT($C$5&amp;"生成成长"),5))*(VLOOKUP($B$5,标准坦克设计!$B$24:$U$30,MATCH("对"&amp;LEFT($C$5,2)&amp;"输出",标准坦克设计!$B$23:$U$23,0)))*(VLOOKUP($B89,INDIRECT($B$5&amp;"生成成长"),3))*(VLOOKUP($B$5,标准坦克设计!$B$14:$K$20,9)/30))</f>
        <v>21.942973226600582</v>
      </c>
      <c r="DY89" s="172">
        <f ca="1">(VLOOKUP(DY$72,INDIRECT($C$5&amp;"生成成长"),2))/((VLOOKUP($B89,INDIRECT($B$5&amp;"生成成长"),4))/(VLOOKUP(DY$72,INDIRECT($C$5&amp;"生成成长"),5))*(VLOOKUP($B$5,标准坦克设计!$B$24:$U$30,MATCH("对"&amp;LEFT($C$5,2)&amp;"输出",标准坦克设计!$B$23:$U$23,0)))*(VLOOKUP($B89,INDIRECT($B$5&amp;"生成成长"),3))*(VLOOKUP($B$5,标准坦克设计!$B$14:$K$20,9)/30))</f>
        <v>9.855359880327681</v>
      </c>
      <c r="DZ89" s="172">
        <f ca="1">(VLOOKUP(DZ$72,INDIRECT($C$5&amp;"生成成长"),2))/((VLOOKUP($B89,INDIRECT($B$5&amp;"生成成长"),4))/(VLOOKUP(DZ$72,INDIRECT($C$5&amp;"生成成长"),5))*(VLOOKUP($B$5,标准坦克设计!$B$24:$U$30,MATCH("对"&amp;LEFT($C$5,2)&amp;"输出",标准坦克设计!$B$23:$U$23,0)))*(VLOOKUP($B89,INDIRECT($B$5&amp;"生成成长"),3))*(VLOOKUP($B$5,标准坦克设计!$B$14:$K$20,9)/30))</f>
        <v>10.914349785508035</v>
      </c>
      <c r="EA89" s="172">
        <f ca="1">(VLOOKUP(EA$72,INDIRECT($C$5&amp;"生成成长"),2))/((VLOOKUP($B89,INDIRECT($B$5&amp;"生成成长"),4))/(VLOOKUP(EA$72,INDIRECT($C$5&amp;"生成成长"),5))*(VLOOKUP($B$5,标准坦克设计!$B$24:$U$30,MATCH("对"&amp;LEFT($C$5,2)&amp;"输出",标准坦克设计!$B$23:$U$23,0)))*(VLOOKUP($B89,INDIRECT($B$5&amp;"生成成长"),3))*(VLOOKUP($B$5,标准坦克设计!$B$14:$K$20,9)/30))</f>
        <v>12.02736978789147</v>
      </c>
      <c r="EB89" s="172">
        <f ca="1">(VLOOKUP(EB$72,INDIRECT($C$5&amp;"生成成长"),2))/((VLOOKUP($B89,INDIRECT($B$5&amp;"生成成长"),4))/(VLOOKUP(EB$72,INDIRECT($C$5&amp;"生成成长"),5))*(VLOOKUP($B$5,标准坦克设计!$B$24:$U$30,MATCH("对"&amp;LEFT($C$5,2)&amp;"输出",标准坦克设计!$B$23:$U$23,0)))*(VLOOKUP($B89,INDIRECT($B$5&amp;"生成成长"),3))*(VLOOKUP($B$5,标准坦克设计!$B$14:$K$20,9)/30))</f>
        <v>13.194419887477981</v>
      </c>
      <c r="EC89" s="172">
        <f ca="1">(VLOOKUP(EC$72,INDIRECT($C$5&amp;"生成成长"),2))/((VLOOKUP($B89,INDIRECT($B$5&amp;"生成成长"),4))/(VLOOKUP(EC$72,INDIRECT($C$5&amp;"生成成长"),5))*(VLOOKUP($B$5,标准坦克设计!$B$24:$U$30,MATCH("对"&amp;LEFT($C$5,2)&amp;"输出",标准坦克设计!$B$23:$U$23,0)))*(VLOOKUP($B89,INDIRECT($B$5&amp;"生成成长"),3))*(VLOOKUP($B$5,标准坦克设计!$B$14:$K$20,9)/30))</f>
        <v>14.415500084267574</v>
      </c>
      <c r="ED89" s="172">
        <f ca="1">(VLOOKUP(ED$72,INDIRECT($C$5&amp;"生成成长"),2))/((VLOOKUP($B89,INDIRECT($B$5&amp;"生成成长"),4))/(VLOOKUP(ED$72,INDIRECT($C$5&amp;"生成成长"),5))*(VLOOKUP($B$5,标准坦克设计!$B$24:$U$30,MATCH("对"&amp;LEFT($C$5,2)&amp;"输出",标准坦克设计!$B$23:$U$23,0)))*(VLOOKUP($B89,INDIRECT($B$5&amp;"生成成长"),3))*(VLOOKUP($B$5,标准坦克设计!$B$14:$K$20,9)/30))</f>
        <v>15.690610378260246</v>
      </c>
      <c r="EE89" s="172">
        <f ca="1">(VLOOKUP(EE$72,INDIRECT($C$5&amp;"生成成长"),2))/((VLOOKUP($B89,INDIRECT($B$5&amp;"生成成长"),4))/(VLOOKUP(EE$72,INDIRECT($C$5&amp;"生成成长"),5))*(VLOOKUP($B$5,标准坦克设计!$B$24:$U$30,MATCH("对"&amp;LEFT($C$5,2)&amp;"输出",标准坦克设计!$B$23:$U$23,0)))*(VLOOKUP($B89,INDIRECT($B$5&amp;"生成成长"),3))*(VLOOKUP($B$5,标准坦克设计!$B$14:$K$20,9)/30))</f>
        <v>17.019750769455996</v>
      </c>
      <c r="EF89" s="172">
        <f ca="1">(VLOOKUP(EF$72,INDIRECT($C$5&amp;"生成成长"),2))/((VLOOKUP($B89,INDIRECT($B$5&amp;"生成成长"),4))/(VLOOKUP(EF$72,INDIRECT($C$5&amp;"生成成长"),5))*(VLOOKUP($B$5,标准坦克设计!$B$24:$U$30,MATCH("对"&amp;LEFT($C$5,2)&amp;"输出",标准坦克设计!$B$23:$U$23,0)))*(VLOOKUP($B89,INDIRECT($B$5&amp;"生成成长"),3))*(VLOOKUP($B$5,标准坦克设计!$B$14:$K$20,9)/30))</f>
        <v>18.402921257854828</v>
      </c>
      <c r="EG89" s="172">
        <f ca="1">(VLOOKUP(EG$72,INDIRECT($C$5&amp;"生成成长"),2))/((VLOOKUP($B89,INDIRECT($B$5&amp;"生成成长"),4))/(VLOOKUP(EG$72,INDIRECT($C$5&amp;"生成成长"),5))*(VLOOKUP($B$5,标准坦克设计!$B$24:$U$30,MATCH("对"&amp;LEFT($C$5,2)&amp;"输出",标准坦克设计!$B$23:$U$23,0)))*(VLOOKUP($B89,INDIRECT($B$5&amp;"生成成长"),3))*(VLOOKUP($B$5,标准坦克设计!$B$14:$K$20,9)/30))</f>
        <v>19.840121843456735</v>
      </c>
      <c r="EH89" s="172">
        <f ca="1">(VLOOKUP(EH$72,INDIRECT($C$5&amp;"生成成长"),2))/((VLOOKUP($B89,INDIRECT($B$5&amp;"生成成长"),4))/(VLOOKUP(EH$72,INDIRECT($C$5&amp;"生成成长"),5))*(VLOOKUP($B$5,标准坦克设计!$B$24:$U$30,MATCH("对"&amp;LEFT($C$5,2)&amp;"输出",标准坦克设计!$B$23:$U$23,0)))*(VLOOKUP($B89,INDIRECT($B$5&amp;"生成成长"),3))*(VLOOKUP($B$5,标准坦克设计!$B$14:$K$20,9)/30))</f>
        <v>21.331352526261725</v>
      </c>
      <c r="EI89" s="172">
        <f ca="1">(VLOOKUP(EI$72,INDIRECT($C$5&amp;"生成成长"),2))/((VLOOKUP($B89,INDIRECT($B$5&amp;"生成成长"),4))/(VLOOKUP(EI$72,INDIRECT($C$5&amp;"生成成长"),5))*(VLOOKUP($B$5,标准坦克设计!$B$24:$U$30,MATCH("对"&amp;LEFT($C$5,2)&amp;"输出",标准坦克设计!$B$23:$U$23,0)))*(VLOOKUP($B89,INDIRECT($B$5&amp;"生成成长"),3))*(VLOOKUP($B$5,标准坦克设计!$B$14:$K$20,9)/30))</f>
        <v>22.876613306269793</v>
      </c>
      <c r="EJ89" s="172">
        <f ca="1">(VLOOKUP(EJ$72,INDIRECT($C$5&amp;"生成成长"),2))/((VLOOKUP($B89,INDIRECT($B$5&amp;"生成成长"),4))/(VLOOKUP(EJ$72,INDIRECT($C$5&amp;"生成成长"),5))*(VLOOKUP($B$5,标准坦克设计!$B$24:$U$30,MATCH("对"&amp;LEFT($C$5,2)&amp;"输出",标准坦克设计!$B$23:$U$23,0)))*(VLOOKUP($B89,INDIRECT($B$5&amp;"生成成长"),3))*(VLOOKUP($B$5,标准坦克设计!$B$14:$K$20,9)/30))</f>
        <v>24.475904183480939</v>
      </c>
      <c r="EK89" s="172">
        <f ca="1">(VLOOKUP(EK$72,INDIRECT($C$5&amp;"生成成长"),2))/((VLOOKUP($B89,INDIRECT($B$5&amp;"生成成长"),4))/(VLOOKUP(EK$72,INDIRECT($C$5&amp;"生成成长"),5))*(VLOOKUP($B$5,标准坦克设计!$B$24:$U$30,MATCH("对"&amp;LEFT($C$5,2)&amp;"输出",标准坦克设计!$B$23:$U$23,0)))*(VLOOKUP($B89,INDIRECT($B$5&amp;"生成成长"),3))*(VLOOKUP($B$5,标准坦克设计!$B$14:$K$20,9)/30))</f>
        <v>26.466372964442382</v>
      </c>
      <c r="EL89" s="172">
        <f ca="1">(VLOOKUP(EL$72,INDIRECT($C$5&amp;"生成成长"),2))/((VLOOKUP($B89,INDIRECT($B$5&amp;"生成成长"),4))/(VLOOKUP(EL$72,INDIRECT($C$5&amp;"生成成长"),5))*(VLOOKUP($B$5,标准坦克设计!$B$24:$U$30,MATCH("对"&amp;LEFT($C$5,2)&amp;"输出",标准坦克设计!$B$23:$U$23,0)))*(VLOOKUP($B89,INDIRECT($B$5&amp;"生成成长"),3))*(VLOOKUP($B$5,标准坦克设计!$B$14:$K$20,9)/30))</f>
        <v>28.534645085376255</v>
      </c>
      <c r="EM89" s="172">
        <f ca="1">(VLOOKUP(EM$72,INDIRECT($C$5&amp;"生成成长"),2))/((VLOOKUP($B89,INDIRECT($B$5&amp;"生成成长"),4))/(VLOOKUP(EM$72,INDIRECT($C$5&amp;"生成成长"),5))*(VLOOKUP($B$5,标准坦克设计!$B$24:$U$30,MATCH("对"&amp;LEFT($C$5,2)&amp;"输出",标准坦克设计!$B$23:$U$23,0)))*(VLOOKUP($B89,INDIRECT($B$5&amp;"生成成长"),3))*(VLOOKUP($B$5,标准坦克设计!$B$14:$K$20,9)/30))</f>
        <v>30.680720546282569</v>
      </c>
      <c r="EN89" s="172">
        <f ca="1">(VLOOKUP(EN$72,INDIRECT($C$5&amp;"生成成长"),2))/((VLOOKUP($B89,INDIRECT($B$5&amp;"生成成长"),4))/(VLOOKUP(EN$72,INDIRECT($C$5&amp;"生成成长"),5))*(VLOOKUP($B$5,标准坦克设计!$B$24:$U$30,MATCH("对"&amp;LEFT($C$5,2)&amp;"输出",标准坦克设计!$B$23:$U$23,0)))*(VLOOKUP($B89,INDIRECT($B$5&amp;"生成成长"),3))*(VLOOKUP($B$5,标准坦克设计!$B$14:$K$20,9)/30))</f>
        <v>32.904599347161309</v>
      </c>
      <c r="EO89" s="172">
        <f ca="1">(VLOOKUP(EO$72,INDIRECT($C$5&amp;"生成成长"),2))/((VLOOKUP($B89,INDIRECT($B$5&amp;"生成成长"),4))/(VLOOKUP(EO$72,INDIRECT($C$5&amp;"生成成长"),5))*(VLOOKUP($B$5,标准坦克设计!$B$24:$U$30,MATCH("对"&amp;LEFT($C$5,2)&amp;"输出",标准坦克设计!$B$23:$U$23,0)))*(VLOOKUP($B89,INDIRECT($B$5&amp;"生成成长"),3))*(VLOOKUP($B$5,标准坦克设计!$B$14:$K$20,9)/30))</f>
        <v>35.206281488012493</v>
      </c>
      <c r="EP89" s="172">
        <f ca="1">(VLOOKUP(EP$72,INDIRECT($C$5&amp;"生成成长"),2))/((VLOOKUP($B89,INDIRECT($B$5&amp;"生成成长"),4))/(VLOOKUP(EP$72,INDIRECT($C$5&amp;"生成成长"),5))*(VLOOKUP($B$5,标准坦克设计!$B$24:$U$30,MATCH("对"&amp;LEFT($C$5,2)&amp;"输出",标准坦克设计!$B$23:$U$23,0)))*(VLOOKUP($B89,INDIRECT($B$5&amp;"生成成长"),3))*(VLOOKUP($B$5,标准坦克设计!$B$14:$K$20,9)/30))</f>
        <v>37.585766968836097</v>
      </c>
      <c r="EQ89" s="172">
        <f ca="1">(VLOOKUP(EQ$72,INDIRECT($C$5&amp;"生成成长"),2))/((VLOOKUP($B89,INDIRECT($B$5&amp;"生成成长"),4))/(VLOOKUP(EQ$72,INDIRECT($C$5&amp;"生成成长"),5))*(VLOOKUP($B$5,标准坦克设计!$B$24:$U$30,MATCH("对"&amp;LEFT($C$5,2)&amp;"输出",标准坦克设计!$B$23:$U$23,0)))*(VLOOKUP($B89,INDIRECT($B$5&amp;"生成成长"),3))*(VLOOKUP($B$5,标准坦克设计!$B$14:$K$20,9)/30))</f>
        <v>16.615335491890946</v>
      </c>
      <c r="ER89" s="172">
        <f ca="1">(VLOOKUP(ER$72,INDIRECT($C$5&amp;"生成成长"),2))/((VLOOKUP($B89,INDIRECT($B$5&amp;"生成成长"),4))/(VLOOKUP(ER$72,INDIRECT($C$5&amp;"生成成长"),5))*(VLOOKUP($B$5,标准坦克设计!$B$24:$U$30,MATCH("对"&amp;LEFT($C$5,2)&amp;"输出",标准坦克设计!$B$23:$U$23,0)))*(VLOOKUP($B89,INDIRECT($B$5&amp;"生成成长"),3))*(VLOOKUP($B$5,标准坦克设计!$B$14:$K$20,9)/30))</f>
        <v>18.121964752398817</v>
      </c>
      <c r="ES89" s="172">
        <f ca="1">(VLOOKUP(ES$72,INDIRECT($C$5&amp;"生成成长"),2))/((VLOOKUP($B89,INDIRECT($B$5&amp;"生成成长"),4))/(VLOOKUP(ES$72,INDIRECT($C$5&amp;"生成成长"),5))*(VLOOKUP($B$5,标准坦克设计!$B$24:$U$30,MATCH("对"&amp;LEFT($C$5,2)&amp;"输出",标准坦克设计!$B$23:$U$23,0)))*(VLOOKUP($B89,INDIRECT($B$5&amp;"生成成长"),3))*(VLOOKUP($B$5,标准坦克设计!$B$14:$K$20,9)/30))</f>
        <v>19.693970430522405</v>
      </c>
      <c r="ET89" s="172">
        <f ca="1">(VLOOKUP(ET$72,INDIRECT($C$5&amp;"生成成长"),2))/((VLOOKUP($B89,INDIRECT($B$5&amp;"生成成长"),4))/(VLOOKUP(ET$72,INDIRECT($C$5&amp;"生成成长"),5))*(VLOOKUP($B$5,标准坦克设计!$B$24:$U$30,MATCH("对"&amp;LEFT($C$5,2)&amp;"输出",标准坦克设计!$B$23:$U$23,0)))*(VLOOKUP($B89,INDIRECT($B$5&amp;"生成成长"),3))*(VLOOKUP($B$5,标准坦克设计!$B$14:$K$20,9)/30))</f>
        <v>21.331352526261725</v>
      </c>
      <c r="EU89" s="172">
        <f ca="1">(VLOOKUP(EU$72,INDIRECT($C$5&amp;"生成成长"),2))/((VLOOKUP($B89,INDIRECT($B$5&amp;"生成成长"),4))/(VLOOKUP(EU$72,INDIRECT($C$5&amp;"生成成长"),5))*(VLOOKUP($B$5,标准坦克设计!$B$24:$U$30,MATCH("对"&amp;LEFT($C$5,2)&amp;"输出",标准坦克设计!$B$23:$U$23,0)))*(VLOOKUP($B89,INDIRECT($B$5&amp;"生成成长"),3))*(VLOOKUP($B$5,标准坦克设计!$B$14:$K$20,9)/30))</f>
        <v>23.034111039616768</v>
      </c>
      <c r="EV89" s="172">
        <f ca="1">(VLOOKUP(EV$72,INDIRECT($C$5&amp;"生成成长"),2))/((VLOOKUP($B89,INDIRECT($B$5&amp;"生成成长"),4))/(VLOOKUP(EV$72,INDIRECT($C$5&amp;"生成成长"),5))*(VLOOKUP($B$5,标准坦克设计!$B$24:$U$30,MATCH("对"&amp;LEFT($C$5,2)&amp;"输出",标准坦克设计!$B$23:$U$23,0)))*(VLOOKUP($B89,INDIRECT($B$5&amp;"生成成长"),3))*(VLOOKUP($B$5,标准坦克设计!$B$14:$K$20,9)/30))</f>
        <v>24.802245970587535</v>
      </c>
      <c r="EW89" s="172">
        <f ca="1">(VLOOKUP(EW$72,INDIRECT($C$5&amp;"生成成长"),2))/((VLOOKUP($B89,INDIRECT($B$5&amp;"生成成长"),4))/(VLOOKUP(EW$72,INDIRECT($C$5&amp;"生成成长"),5))*(VLOOKUP($B$5,标准坦克设计!$B$24:$U$30,MATCH("对"&amp;LEFT($C$5,2)&amp;"输出",标准坦克设计!$B$23:$U$23,0)))*(VLOOKUP($B89,INDIRECT($B$5&amp;"生成成长"),3))*(VLOOKUP($B$5,标准坦克设计!$B$14:$K$20,9)/30))</f>
        <v>26.635757319174033</v>
      </c>
      <c r="EX89" s="172">
        <f ca="1">(VLOOKUP(EX$72,INDIRECT($C$5&amp;"生成成长"),2))/((VLOOKUP($B89,INDIRECT($B$5&amp;"生成成长"),4))/(VLOOKUP(EX$72,INDIRECT($C$5&amp;"生成成长"),5))*(VLOOKUP($B$5,标准坦克设计!$B$24:$U$30,MATCH("对"&amp;LEFT($C$5,2)&amp;"输出",标准坦克设计!$B$23:$U$23,0)))*(VLOOKUP($B89,INDIRECT($B$5&amp;"生成成长"),3))*(VLOOKUP($B$5,标准坦克设计!$B$14:$K$20,9)/30))</f>
        <v>28.534645085376255</v>
      </c>
      <c r="EY89" s="172">
        <f ca="1">(VLOOKUP(EY$72,INDIRECT($C$5&amp;"生成成长"),2))/((VLOOKUP($B89,INDIRECT($B$5&amp;"生成成长"),4))/(VLOOKUP(EY$72,INDIRECT($C$5&amp;"生成成长"),5))*(VLOOKUP($B$5,标准坦克设计!$B$24:$U$30,MATCH("对"&amp;LEFT($C$5,2)&amp;"输出",标准坦克设计!$B$23:$U$23,0)))*(VLOOKUP($B89,INDIRECT($B$5&amp;"生成成长"),3))*(VLOOKUP($B$5,标准坦克设计!$B$14:$K$20,9)/30))</f>
        <v>30.498909269194204</v>
      </c>
      <c r="EZ89" s="172">
        <f ca="1">(VLOOKUP(EZ$72,INDIRECT($C$5&amp;"生成成长"),2))/((VLOOKUP($B89,INDIRECT($B$5&amp;"生成成长"),4))/(VLOOKUP(EZ$72,INDIRECT($C$5&amp;"生成成长"),5))*(VLOOKUP($B$5,标准坦克设计!$B$24:$U$30,MATCH("对"&amp;LEFT($C$5,2)&amp;"输出",标准坦克设计!$B$23:$U$23,0)))*(VLOOKUP($B89,INDIRECT($B$5&amp;"生成成长"),3))*(VLOOKUP($B$5,标准坦克设计!$B$14:$K$20,9)/30))</f>
        <v>32.528549870627884</v>
      </c>
      <c r="FA89" s="172">
        <f ca="1">(VLOOKUP(FA$72,INDIRECT($C$5&amp;"生成成长"),2))/((VLOOKUP($B89,INDIRECT($B$5&amp;"生成成长"),4))/(VLOOKUP(FA$72,INDIRECT($C$5&amp;"生成成长"),5))*(VLOOKUP($B$5,标准坦克设计!$B$24:$U$30,MATCH("对"&amp;LEFT($C$5,2)&amp;"输出",标准坦克设计!$B$23:$U$23,0)))*(VLOOKUP($B89,INDIRECT($B$5&amp;"生成成长"),3))*(VLOOKUP($B$5,标准坦克设计!$B$14:$K$20,9)/30))</f>
        <v>34.623566889677278</v>
      </c>
      <c r="FB89" s="172">
        <f ca="1">(VLOOKUP(FB$72,INDIRECT($C$5&amp;"生成成长"),2))/((VLOOKUP($B89,INDIRECT($B$5&amp;"生成成长"),4))/(VLOOKUP(FB$72,INDIRECT($C$5&amp;"生成成长"),5))*(VLOOKUP($B$5,标准坦克设计!$B$24:$U$30,MATCH("对"&amp;LEFT($C$5,2)&amp;"输出",标准坦克设计!$B$23:$U$23,0)))*(VLOOKUP($B89,INDIRECT($B$5&amp;"生成成长"),3))*(VLOOKUP($B$5,标准坦克设计!$B$14:$K$20,9)/30))</f>
        <v>36.783960326342402</v>
      </c>
      <c r="FC89" s="172">
        <f ca="1">(VLOOKUP(FC$72,INDIRECT($C$5&amp;"生成成长"),2))/((VLOOKUP($B89,INDIRECT($B$5&amp;"生成成长"),4))/(VLOOKUP(FC$72,INDIRECT($C$5&amp;"生成成长"),5))*(VLOOKUP($B$5,标准坦克设计!$B$24:$U$30,MATCH("对"&amp;LEFT($C$5,2)&amp;"输出",标准坦克设计!$B$23:$U$23,0)))*(VLOOKUP($B89,INDIRECT($B$5&amp;"生成成长"),3))*(VLOOKUP($B$5,标准坦克设计!$B$14:$K$20,9)/30))</f>
        <v>39.009730180623258</v>
      </c>
      <c r="FD89" s="172">
        <f ca="1">(VLOOKUP(FD$72,INDIRECT($C$5&amp;"生成成长"),2))/((VLOOKUP($B89,INDIRECT($B$5&amp;"生成成长"),4))/(VLOOKUP(FD$72,INDIRECT($C$5&amp;"生成成长"),5))*(VLOOKUP($B$5,标准坦克设计!$B$24:$U$30,MATCH("对"&amp;LEFT($C$5,2)&amp;"输出",标准坦克设计!$B$23:$U$23,0)))*(VLOOKUP($B89,INDIRECT($B$5&amp;"生成成长"),3))*(VLOOKUP($B$5,标准坦克设计!$B$14:$K$20,9)/30))</f>
        <v>41.300876452519837</v>
      </c>
      <c r="FE89" s="172">
        <f ca="1">(VLOOKUP(FE$72,INDIRECT($C$5&amp;"生成成长"),2))/((VLOOKUP($B89,INDIRECT($B$5&amp;"生成成长"),4))/(VLOOKUP(FE$72,INDIRECT($C$5&amp;"生成成长"),5))*(VLOOKUP($B$5,标准坦克设计!$B$24:$U$30,MATCH("对"&amp;LEFT($C$5,2)&amp;"输出",标准坦克设计!$B$23:$U$23,0)))*(VLOOKUP($B89,INDIRECT($B$5&amp;"生成成长"),3))*(VLOOKUP($B$5,标准坦克设计!$B$14:$K$20,9)/30))</f>
        <v>44.092881725488958</v>
      </c>
      <c r="FF89" s="172">
        <f ca="1">(VLOOKUP(FF$72,INDIRECT($C$5&amp;"生成成长"),2))/((VLOOKUP($B89,INDIRECT($B$5&amp;"生成成长"),4))/(VLOOKUP(FF$72,INDIRECT($C$5&amp;"生成成长"),5))*(VLOOKUP($B$5,标准坦克设计!$B$24:$U$30,MATCH("对"&amp;LEFT($C$5,2)&amp;"输出",标准坦克设计!$B$23:$U$23,0)))*(VLOOKUP($B89,INDIRECT($B$5&amp;"生成成长"),3))*(VLOOKUP($B$5,标准坦克设计!$B$14:$K$20,9)/30))</f>
        <v>46.97619786273129</v>
      </c>
      <c r="FG89" s="172">
        <f ca="1">(VLOOKUP(FG$72,INDIRECT($C$5&amp;"生成成长"),2))/((VLOOKUP($B89,INDIRECT($B$5&amp;"生成成长"),4))/(VLOOKUP(FG$72,INDIRECT($C$5&amp;"生成成长"),5))*(VLOOKUP($B$5,标准坦克设计!$B$24:$U$30,MATCH("对"&amp;LEFT($C$5,2)&amp;"输出",标准坦克设计!$B$23:$U$23,0)))*(VLOOKUP($B89,INDIRECT($B$5&amp;"生成成长"),3))*(VLOOKUP($B$5,标准坦克设计!$B$14:$K$20,9)/30))</f>
        <v>49.950824864246819</v>
      </c>
      <c r="FH89" s="172">
        <f ca="1">(VLOOKUP(FH$72,INDIRECT($C$5&amp;"生成成长"),2))/((VLOOKUP($B89,INDIRECT($B$5&amp;"生成成长"),4))/(VLOOKUP(FH$72,INDIRECT($C$5&amp;"生成成长"),5))*(VLOOKUP($B$5,标准坦克设计!$B$24:$U$30,MATCH("对"&amp;LEFT($C$5,2)&amp;"输出",标准坦克设计!$B$23:$U$23,0)))*(VLOOKUP($B89,INDIRECT($B$5&amp;"生成成长"),3))*(VLOOKUP($B$5,标准坦克设计!$B$14:$K$20,9)/30))</f>
        <v>53.016762730035552</v>
      </c>
      <c r="FI89" s="172">
        <f ca="1">(VLOOKUP(FI$72,INDIRECT($C$5&amp;"生成成长"),2))/((VLOOKUP($B89,INDIRECT($B$5&amp;"生成成长"),4))/(VLOOKUP(FI$72,INDIRECT($C$5&amp;"生成成长"),5))*(VLOOKUP($B$5,标准坦克设计!$B$24:$U$30,MATCH("对"&amp;LEFT($C$5,2)&amp;"输出",标准坦克设计!$B$23:$U$23,0)))*(VLOOKUP($B89,INDIRECT($B$5&amp;"生成成长"),3))*(VLOOKUP($B$5,标准坦克设计!$B$14:$K$20,9)/30))</f>
        <v>56.174011460097496</v>
      </c>
      <c r="FJ89" s="172">
        <f ca="1">(VLOOKUP(FJ$72,INDIRECT($C$5&amp;"生成成长"),2))/((VLOOKUP($B89,INDIRECT($B$5&amp;"生成成长"),4))/(VLOOKUP(FJ$72,INDIRECT($C$5&amp;"生成成长"),5))*(VLOOKUP($B$5,标准坦克设计!$B$24:$U$30,MATCH("对"&amp;LEFT($C$5,2)&amp;"输出",标准坦克设计!$B$23:$U$23,0)))*(VLOOKUP($B89,INDIRECT($B$5&amp;"生成成长"),3))*(VLOOKUP($B$5,标准坦克设计!$B$14:$K$20,9)/30))</f>
        <v>59.422571054432623</v>
      </c>
      <c r="FK89" s="172">
        <f ca="1">(VLOOKUP(FK$72,INDIRECT($C$5&amp;"生成成长"),2))/((VLOOKUP($B89,INDIRECT($B$5&amp;"生成成长"),4))/(VLOOKUP(FK$72,INDIRECT($C$5&amp;"生成成长"),5))*(VLOOKUP($B$5,标准坦克设计!$B$24:$U$30,MATCH("对"&amp;LEFT($C$5,2)&amp;"输出",标准坦克设计!$B$23:$U$23,0)))*(VLOOKUP($B89,INDIRECT($B$5&amp;"生成成长"),3))*(VLOOKUP($B$5,标准坦克设计!$B$14:$K$20,9)/30))</f>
        <v>62.762441513040983</v>
      </c>
    </row>
    <row r="90" spans="1:167" x14ac:dyDescent="0.15">
      <c r="A90" s="170" t="str">
        <f t="shared" si="11"/>
        <v>T3低品质6级</v>
      </c>
      <c r="B90" s="171">
        <v>10306</v>
      </c>
      <c r="C90" s="172">
        <f ca="1">(VLOOKUP(C$72,INDIRECT($C$5&amp;"生成成长"),2))/((VLOOKUP($B90,INDIRECT($B$5&amp;"生成成长"),4))/(VLOOKUP(C$72,INDIRECT($C$5&amp;"生成成长"),5))*(VLOOKUP($B$5,标准坦克设计!$B$24:$U$30,MATCH("对"&amp;LEFT($C$5,2)&amp;"输出",标准坦克设计!$B$23:$U$23,0)))*(VLOOKUP($B90,INDIRECT($B$5&amp;"生成成长"),3))*(VLOOKUP($B$5,标准坦克设计!$B$14:$K$20,9)/30))</f>
        <v>2.4467054266651314</v>
      </c>
      <c r="D90" s="172">
        <f ca="1">(VLOOKUP(D$72,INDIRECT($C$5&amp;"生成成长"),2))/((VLOOKUP($B90,INDIRECT($B$5&amp;"生成成长"),4))/(VLOOKUP(D$72,INDIRECT($C$5&amp;"生成成长"),5))*(VLOOKUP($B$5,标准坦克设计!$B$24:$U$30,MATCH("对"&amp;LEFT($C$5,2)&amp;"输出",标准坦克设计!$B$23:$U$23,0)))*(VLOOKUP($B90,INDIRECT($B$5&amp;"生成成长"),3))*(VLOOKUP($B$5,标准坦克设计!$B$14:$K$20,9)/30))</f>
        <v>2.749118217400941</v>
      </c>
      <c r="E90" s="172">
        <f ca="1">(VLOOKUP(E$72,INDIRECT($C$5&amp;"生成成长"),2))/((VLOOKUP($B90,INDIRECT($B$5&amp;"生成成长"),4))/(VLOOKUP(E$72,INDIRECT($C$5&amp;"生成成长"),5))*(VLOOKUP($B$5,标准坦克设计!$B$24:$U$30,MATCH("对"&amp;LEFT($C$5,2)&amp;"输出",标准坦克设计!$B$23:$U$23,0)))*(VLOOKUP($B90,INDIRECT($B$5&amp;"生成成长"),3))*(VLOOKUP($B$5,标准坦克设计!$B$14:$K$20,9)/30))</f>
        <v>3.0691472872087404</v>
      </c>
      <c r="F90" s="172">
        <f ca="1">(VLOOKUP(F$72,INDIRECT($C$5&amp;"生成成长"),2))/((VLOOKUP($B90,INDIRECT($B$5&amp;"生成成长"),4))/(VLOOKUP(F$72,INDIRECT($C$5&amp;"生成成长"),5))*(VLOOKUP($B$5,标准坦克设计!$B$24:$U$30,MATCH("对"&amp;LEFT($C$5,2)&amp;"输出",标准坦克设计!$B$23:$U$23,0)))*(VLOOKUP($B90,INDIRECT($B$5&amp;"生成成长"),3))*(VLOOKUP($B$5,标准坦克设计!$B$14:$K$20,9)/30))</f>
        <v>3.4067926360885292</v>
      </c>
      <c r="G90" s="172">
        <f ca="1">(VLOOKUP(G$72,INDIRECT($C$5&amp;"生成成长"),2))/((VLOOKUP($B90,INDIRECT($B$5&amp;"生成成长"),4))/(VLOOKUP(G$72,INDIRECT($C$5&amp;"生成成长"),5))*(VLOOKUP($B$5,标准坦克设计!$B$24:$U$30,MATCH("对"&amp;LEFT($C$5,2)&amp;"输出",标准坦克设计!$B$23:$U$23,0)))*(VLOOKUP($B90,INDIRECT($B$5&amp;"生成成长"),3))*(VLOOKUP($B$5,标准坦克设计!$B$14:$K$20,9)/30))</f>
        <v>3.7620542640403052</v>
      </c>
      <c r="H90" s="172">
        <f ca="1">(VLOOKUP(H$72,INDIRECT($C$5&amp;"生成成长"),2))/((VLOOKUP($B90,INDIRECT($B$5&amp;"生成成长"),4))/(VLOOKUP(H$72,INDIRECT($C$5&amp;"生成成长"),5))*(VLOOKUP($B$5,标准坦克设计!$B$24:$U$30,MATCH("对"&amp;LEFT($C$5,2)&amp;"输出",标准坦克设计!$B$23:$U$23,0)))*(VLOOKUP($B90,INDIRECT($B$5&amp;"生成成长"),3))*(VLOOKUP($B$5,标准坦克设计!$B$14:$K$20,9)/30))</f>
        <v>3.2922868221206003</v>
      </c>
      <c r="I90" s="172">
        <f ca="1">(VLOOKUP(I$72,INDIRECT($C$5&amp;"生成成长"),2))/((VLOOKUP($B90,INDIRECT($B$5&amp;"生成成长"),4))/(VLOOKUP(I$72,INDIRECT($C$5&amp;"生成成长"),5))*(VLOOKUP($B$5,标准坦克设计!$B$24:$U$30,MATCH("对"&amp;LEFT($C$5,2)&amp;"输出",标准坦克设计!$B$23:$U$23,0)))*(VLOOKUP($B90,INDIRECT($B$5&amp;"生成成长"),3))*(VLOOKUP($B$5,标准坦克设计!$B$14:$K$20,9)/30))</f>
        <v>3.7620542640403052</v>
      </c>
      <c r="J90" s="172">
        <f ca="1">(VLOOKUP(J$72,INDIRECT($C$5&amp;"生成成长"),2))/((VLOOKUP($B90,INDIRECT($B$5&amp;"生成成长"),4))/(VLOOKUP(J$72,INDIRECT($C$5&amp;"生成成长"),5))*(VLOOKUP($B$5,标准坦克设计!$B$24:$U$30,MATCH("对"&amp;LEFT($C$5,2)&amp;"输出",标准坦克设计!$B$23:$U$23,0)))*(VLOOKUP($B90,INDIRECT($B$5&amp;"生成成长"),3))*(VLOOKUP($B$5,标准坦克设计!$B$14:$K$20,9)/30))</f>
        <v>4.263139535421324</v>
      </c>
      <c r="K90" s="172">
        <f ca="1">(VLOOKUP(K$72,INDIRECT($C$5&amp;"生成成长"),2))/((VLOOKUP($B90,INDIRECT($B$5&amp;"生成成长"),4))/(VLOOKUP(K$72,INDIRECT($C$5&amp;"生成成长"),5))*(VLOOKUP($B$5,标准坦克设计!$B$24:$U$30,MATCH("对"&amp;LEFT($C$5,2)&amp;"输出",标准坦克设计!$B$23:$U$23,0)))*(VLOOKUP($B90,INDIRECT($B$5&amp;"生成成长"),3))*(VLOOKUP($B$5,标准坦克设计!$B$14:$K$20,9)/30))</f>
        <v>4.7955426362636571</v>
      </c>
      <c r="L90" s="172">
        <f ca="1">(VLOOKUP(L$72,INDIRECT($C$5&amp;"生成成长"),2))/((VLOOKUP($B90,INDIRECT($B$5&amp;"生成成长"),4))/(VLOOKUP(L$72,INDIRECT($C$5&amp;"生成成长"),5))*(VLOOKUP($B$5,标准坦克设计!$B$24:$U$30,MATCH("对"&amp;LEFT($C$5,2)&amp;"输出",标准坦克设计!$B$23:$U$23,0)))*(VLOOKUP($B90,INDIRECT($B$5&amp;"生成成长"),3))*(VLOOKUP($B$5,标准坦克设计!$B$14:$K$20,9)/30))</f>
        <v>5.3592635665673036</v>
      </c>
      <c r="M90" s="172">
        <f ca="1">(VLOOKUP(M$72,INDIRECT($C$5&amp;"生成成长"),2))/((VLOOKUP($B90,INDIRECT($B$5&amp;"生成成长"),4))/(VLOOKUP(M$72,INDIRECT($C$5&amp;"生成成长"),5))*(VLOOKUP($B$5,标准坦克设计!$B$24:$U$30,MATCH("对"&amp;LEFT($C$5,2)&amp;"输出",标准坦克设计!$B$23:$U$23,0)))*(VLOOKUP($B90,INDIRECT($B$5&amp;"生成成长"),3))*(VLOOKUP($B$5,标准坦克设计!$B$14:$K$20,9)/30))</f>
        <v>5.9543023263322645</v>
      </c>
      <c r="N90" s="172">
        <f ca="1">(VLOOKUP(N$72,INDIRECT($C$5&amp;"生成成长"),2))/((VLOOKUP($B90,INDIRECT($B$5&amp;"生成成长"),4))/(VLOOKUP(N$72,INDIRECT($C$5&amp;"生成成长"),5))*(VLOOKUP($B$5,标准坦克设计!$B$24:$U$30,MATCH("对"&amp;LEFT($C$5,2)&amp;"输出",标准坦克设计!$B$23:$U$23,0)))*(VLOOKUP($B90,INDIRECT($B$5&amp;"生成成长"),3))*(VLOOKUP($B$5,标准坦克设计!$B$14:$K$20,9)/30))</f>
        <v>6.5806589155585362</v>
      </c>
      <c r="O90" s="172">
        <f ca="1">(VLOOKUP(O$72,INDIRECT($C$5&amp;"生成成长"),2))/((VLOOKUP($B90,INDIRECT($B$5&amp;"生成成长"),4))/(VLOOKUP(O$72,INDIRECT($C$5&amp;"生成成长"),5))*(VLOOKUP($B$5,标准坦克设计!$B$24:$U$30,MATCH("对"&amp;LEFT($C$5,2)&amp;"输出",标准坦克设计!$B$23:$U$23,0)))*(VLOOKUP($B90,INDIRECT($B$5&amp;"生成成长"),3))*(VLOOKUP($B$5,标准坦克设计!$B$14:$K$20,9)/30))</f>
        <v>5.0032679269875269</v>
      </c>
      <c r="P90" s="172">
        <f ca="1">(VLOOKUP(P$72,INDIRECT($C$5&amp;"生成成长"),2))/((VLOOKUP($B90,INDIRECT($B$5&amp;"生成成长"),4))/(VLOOKUP(P$72,INDIRECT($C$5&amp;"生成成长"),5))*(VLOOKUP($B$5,标准坦克设计!$B$24:$U$30,MATCH("对"&amp;LEFT($C$5,2)&amp;"输出",标准坦克设计!$B$23:$U$23,0)))*(VLOOKUP($B90,INDIRECT($B$5&amp;"生成成长"),3))*(VLOOKUP($B$5,标准坦克设计!$B$14:$K$20,9)/30))</f>
        <v>5.6528682177671179</v>
      </c>
      <c r="Q90" s="172">
        <f ca="1">(VLOOKUP(Q$72,INDIRECT($C$5&amp;"生成成长"),2))/((VLOOKUP($B90,INDIRECT($B$5&amp;"生成成长"),4))/(VLOOKUP(Q$72,INDIRECT($C$5&amp;"生成成长"),5))*(VLOOKUP($B$5,标准坦克设计!$B$24:$U$30,MATCH("对"&amp;LEFT($C$5,2)&amp;"输出",标准坦克设计!$B$23:$U$23,0)))*(VLOOKUP($B90,INDIRECT($B$5&amp;"生成成长"),3))*(VLOOKUP($B$5,标准坦克设计!$B$14:$K$20,9)/30))</f>
        <v>6.3421051364586862</v>
      </c>
      <c r="R90" s="172">
        <f ca="1">(VLOOKUP(R$72,INDIRECT($C$5&amp;"生成成长"),2))/((VLOOKUP($B90,INDIRECT($B$5&amp;"生成成长"),4))/(VLOOKUP(R$72,INDIRECT($C$5&amp;"生成成长"),5))*(VLOOKUP($B$5,标准坦克设计!$B$24:$U$30,MATCH("对"&amp;LEFT($C$5,2)&amp;"输出",标准坦克设计!$B$23:$U$23,0)))*(VLOOKUP($B90,INDIRECT($B$5&amp;"生成成长"),3))*(VLOOKUP($B$5,标准坦克设计!$B$14:$K$20,9)/30))</f>
        <v>7.0709786830622283</v>
      </c>
      <c r="S90" s="172">
        <f ca="1">(VLOOKUP(S$72,INDIRECT($C$5&amp;"生成成长"),2))/((VLOOKUP($B90,INDIRECT($B$5&amp;"生成成长"),4))/(VLOOKUP(S$72,INDIRECT($C$5&amp;"生成成长"),5))*(VLOOKUP($B$5,标准坦克设计!$B$24:$U$30,MATCH("对"&amp;LEFT($C$5,2)&amp;"输出",标准坦克设计!$B$23:$U$23,0)))*(VLOOKUP($B90,INDIRECT($B$5&amp;"生成成长"),3))*(VLOOKUP($B$5,标准坦克设计!$B$14:$K$20,9)/30))</f>
        <v>7.8394888575777477</v>
      </c>
      <c r="T90" s="172">
        <f ca="1">(VLOOKUP(T$72,INDIRECT($C$5&amp;"生成成长"),2))/((VLOOKUP($B90,INDIRECT($B$5&amp;"生成成长"),4))/(VLOOKUP(T$72,INDIRECT($C$5&amp;"生成成长"),5))*(VLOOKUP($B$5,标准坦克设计!$B$24:$U$30,MATCH("对"&amp;LEFT($C$5,2)&amp;"输出",标准坦克设计!$B$23:$U$23,0)))*(VLOOKUP($B90,INDIRECT($B$5&amp;"生成成长"),3))*(VLOOKUP($B$5,标准坦克设计!$B$14:$K$20,9)/30))</f>
        <v>8.6476356600052391</v>
      </c>
      <c r="U90" s="172">
        <f ca="1">(VLOOKUP(U$72,INDIRECT($C$5&amp;"生成成长"),2))/((VLOOKUP($B90,INDIRECT($B$5&amp;"生成成长"),4))/(VLOOKUP(U$72,INDIRECT($C$5&amp;"生成成长"),5))*(VLOOKUP($B$5,标准坦克设计!$B$24:$U$30,MATCH("对"&amp;LEFT($C$5,2)&amp;"输出",标准坦克设计!$B$23:$U$23,0)))*(VLOOKUP($B90,INDIRECT($B$5&amp;"生成成长"),3))*(VLOOKUP($B$5,标准坦克设计!$B$14:$K$20,9)/30))</f>
        <v>9.4954190903447078</v>
      </c>
      <c r="V90" s="172">
        <f ca="1">(VLOOKUP(V$72,INDIRECT($C$5&amp;"生成成长"),2))/((VLOOKUP($B90,INDIRECT($B$5&amp;"生成成长"),4))/(VLOOKUP(V$72,INDIRECT($C$5&amp;"生成成长"),5))*(VLOOKUP($B$5,标准坦克设计!$B$24:$U$30,MATCH("对"&amp;LEFT($C$5,2)&amp;"输出",标准坦克设计!$B$23:$U$23,0)))*(VLOOKUP($B90,INDIRECT($B$5&amp;"生成成长"),3))*(VLOOKUP($B$5,标准坦克设计!$B$14:$K$20,9)/30))</f>
        <v>10.382839148596149</v>
      </c>
      <c r="W90" s="172">
        <f ca="1">(VLOOKUP(W$72,INDIRECT($C$5&amp;"生成成长"),2))/((VLOOKUP($B90,INDIRECT($B$5&amp;"生成成长"),4))/(VLOOKUP(W$72,INDIRECT($C$5&amp;"生成成长"),5))*(VLOOKUP($B$5,标准坦克设计!$B$24:$U$30,MATCH("对"&amp;LEFT($C$5,2)&amp;"输出",标准坦克设计!$B$23:$U$23,0)))*(VLOOKUP($B90,INDIRECT($B$5&amp;"生成成长"),3))*(VLOOKUP($B$5,标准坦克设计!$B$14:$K$20,9)/30))</f>
        <v>11.309895834759567</v>
      </c>
      <c r="X90" s="172">
        <f ca="1">(VLOOKUP(X$72,INDIRECT($C$5&amp;"生成成长"),2))/((VLOOKUP($B90,INDIRECT($B$5&amp;"生成成长"),4))/(VLOOKUP(X$72,INDIRECT($C$5&amp;"生成成长"),5))*(VLOOKUP($B$5,标准坦克设计!$B$24:$U$30,MATCH("对"&amp;LEFT($C$5,2)&amp;"输出",标准坦克设计!$B$23:$U$23,0)))*(VLOOKUP($B90,INDIRECT($B$5&amp;"生成成长"),3))*(VLOOKUP($B$5,标准坦克设计!$B$14:$K$20,9)/30))</f>
        <v>8.1937718033588585</v>
      </c>
      <c r="Y90" s="172">
        <f ca="1">(VLOOKUP(Y$72,INDIRECT($C$5&amp;"生成成长"),2))/((VLOOKUP($B90,INDIRECT($B$5&amp;"生成成长"),4))/(VLOOKUP(Y$72,INDIRECT($C$5&amp;"生成成长"),5))*(VLOOKUP($B$5,标准坦克设计!$B$24:$U$30,MATCH("对"&amp;LEFT($C$5,2)&amp;"输出",标准坦克设计!$B$23:$U$23,0)))*(VLOOKUP($B90,INDIRECT($B$5&amp;"生成成长"),3))*(VLOOKUP($B$5,标准坦克设计!$B$14:$K$20,9)/30))</f>
        <v>9.1137330437849471</v>
      </c>
      <c r="Z90" s="172">
        <f ca="1">(VLOOKUP(Z$72,INDIRECT($C$5&amp;"生成成长"),2))/((VLOOKUP($B90,INDIRECT($B$5&amp;"生成成长"),4))/(VLOOKUP(Z$72,INDIRECT($C$5&amp;"生成成长"),5))*(VLOOKUP($B$5,标准坦克设计!$B$24:$U$30,MATCH("对"&amp;LEFT($C$5,2)&amp;"输出",标准坦克设计!$B$23:$U$23,0)))*(VLOOKUP($B90,INDIRECT($B$5&amp;"生成成长"),3))*(VLOOKUP($B$5,标准坦克设计!$B$14:$K$20,9)/30))</f>
        <v>10.08262839274434</v>
      </c>
      <c r="AA90" s="172">
        <f ca="1">(VLOOKUP(AA$72,INDIRECT($C$5&amp;"生成成长"),2))/((VLOOKUP($B90,INDIRECT($B$5&amp;"生成成长"),4))/(VLOOKUP(AA$72,INDIRECT($C$5&amp;"生成成长"),5))*(VLOOKUP($B$5,标准坦克设计!$B$24:$U$30,MATCH("对"&amp;LEFT($C$5,2)&amp;"输出",标准坦克设计!$B$23:$U$23,0)))*(VLOOKUP($B90,INDIRECT($B$5&amp;"生成成长"),3))*(VLOOKUP($B$5,标准坦克设计!$B$14:$K$20,9)/30))</f>
        <v>11.100457850237035</v>
      </c>
      <c r="AB90" s="172">
        <f ca="1">(VLOOKUP(AB$72,INDIRECT($C$5&amp;"生成成长"),2))/((VLOOKUP($B90,INDIRECT($B$5&amp;"生成成长"),4))/(VLOOKUP(AB$72,INDIRECT($C$5&amp;"生成成长"),5))*(VLOOKUP($B$5,标准坦克设计!$B$24:$U$30,MATCH("对"&amp;LEFT($C$5,2)&amp;"输出",标准坦克设计!$B$23:$U$23,0)))*(VLOOKUP($B90,INDIRECT($B$5&amp;"生成成长"),3))*(VLOOKUP($B$5,标准坦克设计!$B$14:$K$20,9)/30))</f>
        <v>12.167221416263031</v>
      </c>
      <c r="AC90" s="172">
        <f ca="1">(VLOOKUP(AC$72,INDIRECT($C$5&amp;"生成成长"),2))/((VLOOKUP($B90,INDIRECT($B$5&amp;"生成成长"),4))/(VLOOKUP(AC$72,INDIRECT($C$5&amp;"生成成长"),5))*(VLOOKUP($B$5,标准坦克设计!$B$24:$U$30,MATCH("对"&amp;LEFT($C$5,2)&amp;"输出",标准坦克设计!$B$23:$U$23,0)))*(VLOOKUP($B90,INDIRECT($B$5&amp;"生成成长"),3))*(VLOOKUP($B$5,标准坦克设计!$B$14:$K$20,9)/30))</f>
        <v>13.282919090822332</v>
      </c>
      <c r="AD90" s="172">
        <f ca="1">(VLOOKUP(AD$72,INDIRECT($C$5&amp;"生成成长"),2))/((VLOOKUP($B90,INDIRECT($B$5&amp;"生成成长"),4))/(VLOOKUP(AD$72,INDIRECT($C$5&amp;"生成成长"),5))*(VLOOKUP($B$5,标准坦克设计!$B$24:$U$30,MATCH("对"&amp;LEFT($C$5,2)&amp;"输出",标准坦克设计!$B$23:$U$23,0)))*(VLOOKUP($B90,INDIRECT($B$5&amp;"生成成长"),3))*(VLOOKUP($B$5,标准坦克设计!$B$14:$K$20,9)/30))</f>
        <v>14.447550873914929</v>
      </c>
      <c r="AE90" s="172">
        <f ca="1">(VLOOKUP(AE$72,INDIRECT($C$5&amp;"生成成长"),2))/((VLOOKUP($B90,INDIRECT($B$5&amp;"生成成长"),4))/(VLOOKUP(AE$72,INDIRECT($C$5&amp;"生成成长"),5))*(VLOOKUP($B$5,标准坦克设计!$B$24:$U$30,MATCH("对"&amp;LEFT($C$5,2)&amp;"输出",标准坦克设计!$B$23:$U$23,0)))*(VLOOKUP($B90,INDIRECT($B$5&amp;"生成成长"),3))*(VLOOKUP($B$5,标准坦克设计!$B$14:$K$20,9)/30))</f>
        <v>15.661116765540838</v>
      </c>
      <c r="AF90" s="172">
        <f ca="1">(VLOOKUP(AF$72,INDIRECT($C$5&amp;"生成成长"),2))/((VLOOKUP($B90,INDIRECT($B$5&amp;"生成成长"),4))/(VLOOKUP(AF$72,INDIRECT($C$5&amp;"生成成长"),5))*(VLOOKUP($B$5,标准坦克设计!$B$24:$U$30,MATCH("对"&amp;LEFT($C$5,2)&amp;"输出",标准坦克设计!$B$23:$U$23,0)))*(VLOOKUP($B90,INDIRECT($B$5&amp;"生成成长"),3))*(VLOOKUP($B$5,标准坦克设计!$B$14:$K$20,9)/30))</f>
        <v>16.923616765700043</v>
      </c>
      <c r="AG90" s="172">
        <f ca="1">(VLOOKUP(AG$72,INDIRECT($C$5&amp;"生成成长"),2))/((VLOOKUP($B90,INDIRECT($B$5&amp;"生成成长"),4))/(VLOOKUP(AG$72,INDIRECT($C$5&amp;"生成成长"),5))*(VLOOKUP($B$5,标准坦克设计!$B$24:$U$30,MATCH("对"&amp;LEFT($C$5,2)&amp;"输出",标准坦克设计!$B$23:$U$23,0)))*(VLOOKUP($B90,INDIRECT($B$5&amp;"生成成长"),3))*(VLOOKUP($B$5,标准坦克设计!$B$14:$K$20,9)/30))</f>
        <v>18.235050874392556</v>
      </c>
      <c r="AH90" s="172">
        <f ca="1">(VLOOKUP(AH$72,INDIRECT($C$5&amp;"生成成长"),2))/((VLOOKUP($B90,INDIRECT($B$5&amp;"生成成长"),4))/(VLOOKUP(AH$72,INDIRECT($C$5&amp;"生成成长"),5))*(VLOOKUP($B$5,标准坦克设计!$B$24:$U$30,MATCH("对"&amp;LEFT($C$5,2)&amp;"输出",标准坦克设计!$B$23:$U$23,0)))*(VLOOKUP($B90,INDIRECT($B$5&amp;"生成成长"),3))*(VLOOKUP($B$5,标准坦克设计!$B$14:$K$20,9)/30))</f>
        <v>19.595419091618371</v>
      </c>
      <c r="AI90" s="172">
        <f ca="1">(VLOOKUP(AI$72,INDIRECT($C$5&amp;"生成成长"),2))/((VLOOKUP($B90,INDIRECT($B$5&amp;"生成成长"),4))/(VLOOKUP(AI$72,INDIRECT($C$5&amp;"生成成长"),5))*(VLOOKUP($B$5,标准坦克设计!$B$24:$U$30,MATCH("对"&amp;LEFT($C$5,2)&amp;"输出",标准坦克设计!$B$23:$U$23,0)))*(VLOOKUP($B90,INDIRECT($B$5&amp;"生成成长"),3))*(VLOOKUP($B$5,标准坦克设计!$B$14:$K$20,9)/30))</f>
        <v>13.859118218801971</v>
      </c>
      <c r="AJ90" s="172">
        <f ca="1">(VLOOKUP(AJ$72,INDIRECT($C$5&amp;"生成成长"),2))/((VLOOKUP($B90,INDIRECT($B$5&amp;"生成成长"),4))/(VLOOKUP(AJ$72,INDIRECT($C$5&amp;"生成成长"),5))*(VLOOKUP($B$5,标准坦克设计!$B$24:$U$30,MATCH("对"&amp;LEFT($C$5,2)&amp;"输出",标准坦克设计!$B$23:$U$23,0)))*(VLOOKUP($B90,INDIRECT($B$5&amp;"生成成长"),3))*(VLOOKUP($B$5,标准坦克设计!$B$14:$K$20,9)/30))</f>
        <v>15.169818315866479</v>
      </c>
      <c r="AK90" s="172">
        <f ca="1">(VLOOKUP(AK$72,INDIRECT($C$5&amp;"生成成长"),2))/((VLOOKUP($B90,INDIRECT($B$5&amp;"生成成长"),4))/(VLOOKUP(AK$72,INDIRECT($C$5&amp;"生成成长"),5))*(VLOOKUP($B$5,标准坦克设计!$B$24:$U$30,MATCH("对"&amp;LEFT($C$5,2)&amp;"输出",标准坦克设计!$B$23:$U$23,0)))*(VLOOKUP($B90,INDIRECT($B$5&amp;"生成成长"),3))*(VLOOKUP($B$5,标准坦克设计!$B$14:$K$20,9)/30))</f>
        <v>16.539728684256286</v>
      </c>
      <c r="AL90" s="172">
        <f ca="1">(VLOOKUP(AL$72,INDIRECT($C$5&amp;"生成成长"),2))/((VLOOKUP($B90,INDIRECT($B$5&amp;"生成成长"),4))/(VLOOKUP(AL$72,INDIRECT($C$5&amp;"生成成长"),5))*(VLOOKUP($B$5,标准坦克设计!$B$24:$U$30,MATCH("对"&amp;LEFT($C$5,2)&amp;"输出",标准坦克设计!$B$23:$U$23,0)))*(VLOOKUP($B90,INDIRECT($B$5&amp;"生成成长"),3))*(VLOOKUP($B$5,标准坦克设计!$B$14:$K$20,9)/30))</f>
        <v>17.968849323971391</v>
      </c>
      <c r="AM90" s="172">
        <f ca="1">(VLOOKUP(AM$72,INDIRECT($C$5&amp;"生成成长"),2))/((VLOOKUP($B90,INDIRECT($B$5&amp;"生成成长"),4))/(VLOOKUP(AM$72,INDIRECT($C$5&amp;"生成成长"),5))*(VLOOKUP($B$5,标准坦克设计!$B$24:$U$30,MATCH("对"&amp;LEFT($C$5,2)&amp;"输出",标准坦克设计!$B$23:$U$23,0)))*(VLOOKUP($B90,INDIRECT($B$5&amp;"生成成长"),3))*(VLOOKUP($B$5,标准坦克设计!$B$14:$K$20,9)/30))</f>
        <v>19.457180235011787</v>
      </c>
      <c r="AN90" s="172">
        <f ca="1">(VLOOKUP(AN$72,INDIRECT($C$5&amp;"生成成长"),2))/((VLOOKUP($B90,INDIRECT($B$5&amp;"生成成长"),4))/(VLOOKUP(AN$72,INDIRECT($C$5&amp;"生成成长"),5))*(VLOOKUP($B$5,标准坦克设计!$B$24:$U$30,MATCH("对"&amp;LEFT($C$5,2)&amp;"输出",标准坦克设计!$B$23:$U$23,0)))*(VLOOKUP($B90,INDIRECT($B$5&amp;"生成成长"),3))*(VLOOKUP($B$5,标准坦克设计!$B$14:$K$20,9)/30))</f>
        <v>21.004721417377482</v>
      </c>
      <c r="AO90" s="172">
        <f ca="1">(VLOOKUP(AO$72,INDIRECT($C$5&amp;"生成成长"),2))/((VLOOKUP($B90,INDIRECT($B$5&amp;"生成成长"),4))/(VLOOKUP(AO$72,INDIRECT($C$5&amp;"生成成长"),5))*(VLOOKUP($B$5,标准坦克设计!$B$24:$U$30,MATCH("对"&amp;LEFT($C$5,2)&amp;"输出",标准坦克设计!$B$23:$U$23,0)))*(VLOOKUP($B90,INDIRECT($B$5&amp;"生成成长"),3))*(VLOOKUP($B$5,标准坦克设计!$B$14:$K$20,9)/30))</f>
        <v>22.611472871068472</v>
      </c>
      <c r="AP90" s="172">
        <f ca="1">(VLOOKUP(AP$72,INDIRECT($C$5&amp;"生成成长"),2))/((VLOOKUP($B90,INDIRECT($B$5&amp;"生成成长"),4))/(VLOOKUP(AP$72,INDIRECT($C$5&amp;"生成成长"),5))*(VLOOKUP($B$5,标准坦克设计!$B$24:$U$30,MATCH("对"&amp;LEFT($C$5,2)&amp;"输出",标准坦克设计!$B$23:$U$23,0)))*(VLOOKUP($B90,INDIRECT($B$5&amp;"生成成长"),3))*(VLOOKUP($B$5,标准坦克设计!$B$14:$K$20,9)/30))</f>
        <v>24.277434596084763</v>
      </c>
      <c r="AQ90" s="172">
        <f ca="1">(VLOOKUP(AQ$72,INDIRECT($C$5&amp;"生成成长"),2))/((VLOOKUP($B90,INDIRECT($B$5&amp;"生成成长"),4))/(VLOOKUP(AQ$72,INDIRECT($C$5&amp;"生成成长"),5))*(VLOOKUP($B$5,标准坦克设计!$B$24:$U$30,MATCH("对"&amp;LEFT($C$5,2)&amp;"输出",标准坦克设计!$B$23:$U$23,0)))*(VLOOKUP($B90,INDIRECT($B$5&amp;"生成成长"),3))*(VLOOKUP($B$5,标准坦克设计!$B$14:$K$20,9)/30))</f>
        <v>26.002606592426346</v>
      </c>
      <c r="AR90" s="172">
        <f ca="1">(VLOOKUP(AR$72,INDIRECT($C$5&amp;"生成成长"),2))/((VLOOKUP($B90,INDIRECT($B$5&amp;"生成成长"),4))/(VLOOKUP(AR$72,INDIRECT($C$5&amp;"生成成长"),5))*(VLOOKUP($B$5,标准坦克设计!$B$24:$U$30,MATCH("对"&amp;LEFT($C$5,2)&amp;"输出",标准坦克设计!$B$23:$U$23,0)))*(VLOOKUP($B90,INDIRECT($B$5&amp;"生成成长"),3))*(VLOOKUP($B$5,标准坦克设计!$B$14:$K$20,9)/30))</f>
        <v>27.786988860093228</v>
      </c>
      <c r="AS90" s="172">
        <f ca="1">(VLOOKUP(AS$72,INDIRECT($C$5&amp;"生成成长"),2))/((VLOOKUP($B90,INDIRECT($B$5&amp;"生成成长"),4))/(VLOOKUP(AS$72,INDIRECT($C$5&amp;"生成成长"),5))*(VLOOKUP($B$5,标准坦克设计!$B$24:$U$30,MATCH("对"&amp;LEFT($C$5,2)&amp;"输出",标准坦克设计!$B$23:$U$23,0)))*(VLOOKUP($B90,INDIRECT($B$5&amp;"生成成长"),3))*(VLOOKUP($B$5,标准坦克设计!$B$14:$K$20,9)/30))</f>
        <v>29.630581399085401</v>
      </c>
      <c r="AT90" s="172">
        <f ca="1">(VLOOKUP(AT$72,INDIRECT($C$5&amp;"生成成长"),2))/((VLOOKUP($B90,INDIRECT($B$5&amp;"生成成长"),4))/(VLOOKUP(AT$72,INDIRECT($C$5&amp;"生成成长"),5))*(VLOOKUP($B$5,标准坦克设计!$B$24:$U$30,MATCH("对"&amp;LEFT($C$5,2)&amp;"输出",标准坦克设计!$B$23:$U$23,0)))*(VLOOKUP($B90,INDIRECT($B$5&amp;"生成成长"),3))*(VLOOKUP($B$5,标准坦克设计!$B$14:$K$20,9)/30))</f>
        <v>31.533384209402879</v>
      </c>
      <c r="AU90" s="172">
        <f ca="1">(VLOOKUP(AU$72,INDIRECT($C$5&amp;"生成成长"),2))/((VLOOKUP($B90,INDIRECT($B$5&amp;"生成成长"),4))/(VLOOKUP(AU$72,INDIRECT($C$5&amp;"生成成长"),5))*(VLOOKUP($B$5,标准坦克设计!$B$24:$U$30,MATCH("对"&amp;LEFT($C$5,2)&amp;"输出",标准坦克设计!$B$23:$U$23,0)))*(VLOOKUP($B90,INDIRECT($B$5&amp;"生成成长"),3))*(VLOOKUP($B$5,标准坦克设计!$B$14:$K$20,9)/30))</f>
        <v>33.495397291045634</v>
      </c>
      <c r="AV90" s="172">
        <f ca="1">(VLOOKUP(AV$72,INDIRECT($C$5&amp;"生成成长"),2))/((VLOOKUP($B90,INDIRECT($B$5&amp;"生成成长"),4))/(VLOOKUP(AV$72,INDIRECT($C$5&amp;"生成成长"),5))*(VLOOKUP($B$5,标准坦克设计!$B$24:$U$30,MATCH("对"&amp;LEFT($C$5,2)&amp;"输出",标准坦克设计!$B$23:$U$23,0)))*(VLOOKUP($B90,INDIRECT($B$5&amp;"生成成长"),3))*(VLOOKUP($B$5,标准坦克设计!$B$14:$K$20,9)/30))</f>
        <v>3.4067926360885292</v>
      </c>
      <c r="AW90" s="172">
        <f ca="1">(VLOOKUP(AW$72,INDIRECT($C$5&amp;"生成成长"),2))/((VLOOKUP($B90,INDIRECT($B$5&amp;"生成成长"),4))/(VLOOKUP(AW$72,INDIRECT($C$5&amp;"生成成长"),5))*(VLOOKUP($B$5,标准坦克设计!$B$24:$U$30,MATCH("对"&amp;LEFT($C$5,2)&amp;"输出",标准坦克设计!$B$23:$U$23,0)))*(VLOOKUP($B90,INDIRECT($B$5&amp;"生成成长"),3))*(VLOOKUP($B$5,标准坦克设计!$B$14:$K$20,9)/30))</f>
        <v>3.8843895353735616</v>
      </c>
      <c r="AX90" s="172">
        <f ca="1">(VLOOKUP(AX$72,INDIRECT($C$5&amp;"生成成长"),2))/((VLOOKUP($B90,INDIRECT($B$5&amp;"生成成长"),4))/(VLOOKUP(AX$72,INDIRECT($C$5&amp;"生成成长"),5))*(VLOOKUP($B$5,标准坦克设计!$B$24:$U$30,MATCH("对"&amp;LEFT($C$5,2)&amp;"输出",标准坦克设计!$B$23:$U$23,0)))*(VLOOKUP($B90,INDIRECT($B$5&amp;"生成成长"),3))*(VLOOKUP($B$5,标准坦克设计!$B$14:$K$20,9)/30))</f>
        <v>4.3933042641199087</v>
      </c>
      <c r="AY90" s="172">
        <f ca="1">(VLOOKUP(AY$72,INDIRECT($C$5&amp;"生成成长"),2))/((VLOOKUP($B90,INDIRECT($B$5&amp;"生成成长"),4))/(VLOOKUP(AY$72,INDIRECT($C$5&amp;"生成成长"),5))*(VLOOKUP($B$5,标准坦克设计!$B$24:$U$30,MATCH("对"&amp;LEFT($C$5,2)&amp;"输出",标准坦克设计!$B$23:$U$23,0)))*(VLOOKUP($B90,INDIRECT($B$5&amp;"生成成长"),3))*(VLOOKUP($B$5,标准坦克设计!$B$14:$K$20,9)/30))</f>
        <v>4.9335368223275706</v>
      </c>
      <c r="AZ90" s="172">
        <f ca="1">(VLOOKUP(AZ$72,INDIRECT($C$5&amp;"生成成长"),2))/((VLOOKUP($B90,INDIRECT($B$5&amp;"生成成长"),4))/(VLOOKUP(AZ$72,INDIRECT($C$5&amp;"生成成长"),5))*(VLOOKUP($B$5,标准坦克设计!$B$24:$U$30,MATCH("对"&amp;LEFT($C$5,2)&amp;"输出",标准坦克设计!$B$23:$U$23,0)))*(VLOOKUP($B90,INDIRECT($B$5&amp;"生成成长"),3))*(VLOOKUP($B$5,标准坦克设计!$B$14:$K$20,9)/30))</f>
        <v>5.5050872099965451</v>
      </c>
      <c r="BA90" s="172">
        <f ca="1">(VLOOKUP(BA$72,INDIRECT($C$5&amp;"生成成长"),2))/((VLOOKUP($B90,INDIRECT($B$5&amp;"生成成长"),4))/(VLOOKUP(BA$72,INDIRECT($C$5&amp;"生成成长"),5))*(VLOOKUP($B$5,标准坦克设计!$B$24:$U$30,MATCH("对"&amp;LEFT($C$5,2)&amp;"输出",标准坦克设计!$B$23:$U$23,0)))*(VLOOKUP($B90,INDIRECT($B$5&amp;"生成成长"),3))*(VLOOKUP($B$5,标准坦克设计!$B$14:$K$20,9)/30))</f>
        <v>6.1079554271268339</v>
      </c>
      <c r="BB90" s="172">
        <f ca="1">(VLOOKUP(BB$72,INDIRECT($C$5&amp;"生成成长"),2))/((VLOOKUP($B90,INDIRECT($B$5&amp;"生成成长"),4))/(VLOOKUP(BB$72,INDIRECT($C$5&amp;"生成成长"),5))*(VLOOKUP($B$5,标准坦克设计!$B$24:$U$30,MATCH("对"&amp;LEFT($C$5,2)&amp;"输出",标准坦克设计!$B$23:$U$23,0)))*(VLOOKUP($B90,INDIRECT($B$5&amp;"生成成长"),3))*(VLOOKUP($B$5,标准坦克设计!$B$14:$K$20,9)/30))</f>
        <v>6.7421414737184353</v>
      </c>
      <c r="BC90" s="172">
        <f ca="1">(VLOOKUP(BC$72,INDIRECT($C$5&amp;"生成成长"),2))/((VLOOKUP($B90,INDIRECT($B$5&amp;"生成成长"),4))/(VLOOKUP(BC$72,INDIRECT($C$5&amp;"生成成长"),5))*(VLOOKUP($B$5,标准坦克设计!$B$24:$U$30,MATCH("对"&amp;LEFT($C$5,2)&amp;"输出",标准坦克设计!$B$23:$U$23,0)))*(VLOOKUP($B90,INDIRECT($B$5&amp;"生成成长"),3))*(VLOOKUP($B$5,标准坦克设计!$B$14:$K$20,9)/30))</f>
        <v>7.4076453497713501</v>
      </c>
      <c r="BD90" s="172">
        <f ca="1">(VLOOKUP(BD$72,INDIRECT($C$5&amp;"生成成长"),2))/((VLOOKUP($B90,INDIRECT($B$5&amp;"生成成长"),4))/(VLOOKUP(BD$72,INDIRECT($C$5&amp;"生成成长"),5))*(VLOOKUP($B$5,标准坦克设计!$B$24:$U$30,MATCH("对"&amp;LEFT($C$5,2)&amp;"输出",标准坦克设计!$B$23:$U$23,0)))*(VLOOKUP($B90,INDIRECT($B$5&amp;"生成成长"),3))*(VLOOKUP($B$5,标准坦克设计!$B$14:$K$20,9)/30))</f>
        <v>8.1937718033588585</v>
      </c>
      <c r="BE90" s="172">
        <f ca="1">(VLOOKUP(BE$72,INDIRECT($C$5&amp;"生成成长"),2))/((VLOOKUP($B90,INDIRECT($B$5&amp;"生成成长"),4))/(VLOOKUP(BE$72,INDIRECT($C$5&amp;"生成成长"),5))*(VLOOKUP($B$5,标准坦克设计!$B$24:$U$30,MATCH("对"&amp;LEFT($C$5,2)&amp;"输出",标准坦克设计!$B$23:$U$23,0)))*(VLOOKUP($B90,INDIRECT($B$5&amp;"生成成长"),3))*(VLOOKUP($B$5,标准坦克设计!$B$14:$K$20,9)/30))</f>
        <v>9.0195348848583379</v>
      </c>
      <c r="BF90" s="172">
        <f ca="1">(VLOOKUP(BF$72,INDIRECT($C$5&amp;"生成成长"),2))/((VLOOKUP($B90,INDIRECT($B$5&amp;"生成成长"),4))/(VLOOKUP(BF$72,INDIRECT($C$5&amp;"生成成长"),5))*(VLOOKUP($B$5,标准坦克设计!$B$24:$U$30,MATCH("对"&amp;LEFT($C$5,2)&amp;"输出",标准坦克设计!$B$23:$U$23,0)))*(VLOOKUP($B90,INDIRECT($B$5&amp;"生成成长"),3))*(VLOOKUP($B$5,标准坦克设计!$B$14:$K$20,9)/30))</f>
        <v>9.8849345942697973</v>
      </c>
      <c r="BG90" s="172">
        <f ca="1">(VLOOKUP(BG$72,INDIRECT($C$5&amp;"生成成长"),2))/((VLOOKUP($B90,INDIRECT($B$5&amp;"生成成长"),4))/(VLOOKUP(BG$72,INDIRECT($C$5&amp;"生成成长"),5))*(VLOOKUP($B$5,标准坦克设计!$B$24:$U$30,MATCH("对"&amp;LEFT($C$5,2)&amp;"输出",标准坦克设计!$B$23:$U$23,0)))*(VLOOKUP($B90,INDIRECT($B$5&amp;"生成成长"),3))*(VLOOKUP($B$5,标准坦克设计!$B$14:$K$20,9)/30))</f>
        <v>10.789970931593228</v>
      </c>
      <c r="BH90" s="172">
        <f ca="1">(VLOOKUP(BH$72,INDIRECT($C$5&amp;"生成成长"),2))/((VLOOKUP($B90,INDIRECT($B$5&amp;"生成成长"),4))/(VLOOKUP(BH$72,INDIRECT($C$5&amp;"生成成长"),5))*(VLOOKUP($B$5,标准坦克设计!$B$24:$U$30,MATCH("对"&amp;LEFT($C$5,2)&amp;"输出",标准坦克设计!$B$23:$U$23,0)))*(VLOOKUP($B90,INDIRECT($B$5&amp;"生成成长"),3))*(VLOOKUP($B$5,标准坦克设计!$B$14:$K$20,9)/30))</f>
        <v>5.2153972874793944</v>
      </c>
      <c r="BI90" s="172">
        <f ca="1">(VLOOKUP(BI$72,INDIRECT($C$5&amp;"生成成长"),2))/((VLOOKUP($B90,INDIRECT($B$5&amp;"生成成长"),4))/(VLOOKUP(BI$72,INDIRECT($C$5&amp;"生成成长"),5))*(VLOOKUP($B$5,标准坦克设计!$B$24:$U$30,MATCH("对"&amp;LEFT($C$5,2)&amp;"输出",标准坦克设计!$B$23:$U$23,0)))*(VLOOKUP($B90,INDIRECT($B$5&amp;"生成成长"),3))*(VLOOKUP($B$5,标准坦克设计!$B$14:$K$20,9)/30))</f>
        <v>5.8782097875629766</v>
      </c>
      <c r="BJ90" s="172">
        <f ca="1">(VLOOKUP(BJ$72,INDIRECT($C$5&amp;"生成成长"),2))/((VLOOKUP($B90,INDIRECT($B$5&amp;"生成成长"),4))/(VLOOKUP(BJ$72,INDIRECT($C$5&amp;"生成成长"),5))*(VLOOKUP($B$5,标准坦克设计!$B$24:$U$30,MATCH("对"&amp;LEFT($C$5,2)&amp;"输出",标准坦克设计!$B$23:$U$23,0)))*(VLOOKUP($B90,INDIRECT($B$5&amp;"生成成长"),3))*(VLOOKUP($B$5,标准坦克设计!$B$14:$K$20,9)/30))</f>
        <v>6.5806589155585362</v>
      </c>
      <c r="BK90" s="172">
        <f ca="1">(VLOOKUP(BK$72,INDIRECT($C$5&amp;"生成成长"),2))/((VLOOKUP($B90,INDIRECT($B$5&amp;"生成成长"),4))/(VLOOKUP(BK$72,INDIRECT($C$5&amp;"生成成长"),5))*(VLOOKUP($B$5,标准坦克设计!$B$24:$U$30,MATCH("对"&amp;LEFT($C$5,2)&amp;"输出",标准坦克设计!$B$23:$U$23,0)))*(VLOOKUP($B90,INDIRECT($B$5&amp;"生成成长"),3))*(VLOOKUP($B$5,标准坦克设计!$B$14:$K$20,9)/30))</f>
        <v>7.3227446714660722</v>
      </c>
      <c r="BL90" s="172">
        <f ca="1">(VLOOKUP(BL$72,INDIRECT($C$5&amp;"生成成长"),2))/((VLOOKUP($B90,INDIRECT($B$5&amp;"生成成长"),4))/(VLOOKUP(BL$72,INDIRECT($C$5&amp;"生成成长"),5))*(VLOOKUP($B$5,标准坦克设计!$B$24:$U$30,MATCH("对"&amp;LEFT($C$5,2)&amp;"输出",标准坦克设计!$B$23:$U$23,0)))*(VLOOKUP($B90,INDIRECT($B$5&amp;"生成成长"),3))*(VLOOKUP($B$5,标准坦克设计!$B$14:$K$20,9)/30))</f>
        <v>8.1044670552855784</v>
      </c>
      <c r="BM90" s="172">
        <f ca="1">(VLOOKUP(BM$72,INDIRECT($C$5&amp;"生成成长"),2))/((VLOOKUP($B90,INDIRECT($B$5&amp;"生成成长"),4))/(VLOOKUP(BM$72,INDIRECT($C$5&amp;"生成成长"),5))*(VLOOKUP($B$5,标准坦克设计!$B$24:$U$30,MATCH("对"&amp;LEFT($C$5,2)&amp;"输出",标准坦克设计!$B$23:$U$23,0)))*(VLOOKUP($B90,INDIRECT($B$5&amp;"生成成长"),3))*(VLOOKUP($B$5,标准坦克设计!$B$14:$K$20,9)/30))</f>
        <v>8.9258260670170628</v>
      </c>
      <c r="BN90" s="172">
        <f ca="1">(VLOOKUP(BN$72,INDIRECT($C$5&amp;"生成成长"),2))/((VLOOKUP($B90,INDIRECT($B$5&amp;"生成成长"),4))/(VLOOKUP(BN$72,INDIRECT($C$5&amp;"生成成长"),5))*(VLOOKUP($B$5,标准坦克设计!$B$24:$U$30,MATCH("对"&amp;LEFT($C$5,2)&amp;"输出",标准坦克设计!$B$23:$U$23,0)))*(VLOOKUP($B90,INDIRECT($B$5&amp;"生成成长"),3))*(VLOOKUP($B$5,标准坦克设计!$B$14:$K$20,9)/30))</f>
        <v>9.7868217066605254</v>
      </c>
      <c r="BO90" s="172">
        <f ca="1">(VLOOKUP(BO$72,INDIRECT($C$5&amp;"生成成长"),2))/((VLOOKUP($B90,INDIRECT($B$5&amp;"生成成长"),4))/(VLOOKUP(BO$72,INDIRECT($C$5&amp;"生成成长"),5))*(VLOOKUP($B$5,标准坦克设计!$B$24:$U$30,MATCH("对"&amp;LEFT($C$5,2)&amp;"输出",标准坦克设计!$B$23:$U$23,0)))*(VLOOKUP($B90,INDIRECT($B$5&amp;"生成成长"),3))*(VLOOKUP($B$5,标准坦克设计!$B$14:$K$20,9)/30))</f>
        <v>10.687453974215959</v>
      </c>
      <c r="BP90" s="172">
        <f ca="1">(VLOOKUP(BP$72,INDIRECT($C$5&amp;"生成成长"),2))/((VLOOKUP($B90,INDIRECT($B$5&amp;"生成成长"),4))/(VLOOKUP(BP$72,INDIRECT($C$5&amp;"生成成长"),5))*(VLOOKUP($B$5,标准坦克设计!$B$24:$U$30,MATCH("对"&amp;LEFT($C$5,2)&amp;"输出",标准坦克设计!$B$23:$U$23,0)))*(VLOOKUP($B90,INDIRECT($B$5&amp;"生成成长"),3))*(VLOOKUP($B$5,标准坦克设计!$B$14:$K$20,9)/30))</f>
        <v>11.627722869683367</v>
      </c>
      <c r="BQ90" s="172">
        <f ca="1">(VLOOKUP(BQ$72,INDIRECT($C$5&amp;"生成成长"),2))/((VLOOKUP($B90,INDIRECT($B$5&amp;"生成成长"),4))/(VLOOKUP(BQ$72,INDIRECT($C$5&amp;"生成成长"),5))*(VLOOKUP($B$5,标准坦克设计!$B$24:$U$30,MATCH("对"&amp;LEFT($C$5,2)&amp;"输出",标准坦克设计!$B$23:$U$23,0)))*(VLOOKUP($B90,INDIRECT($B$5&amp;"生成成长"),3))*(VLOOKUP($B$5,标准坦克设计!$B$14:$K$20,9)/30))</f>
        <v>12.607628393062752</v>
      </c>
      <c r="BR90" s="172">
        <f ca="1">(VLOOKUP(BR$72,INDIRECT($C$5&amp;"生成成长"),2))/((VLOOKUP($B90,INDIRECT($B$5&amp;"生成成长"),4))/(VLOOKUP(BR$72,INDIRECT($C$5&amp;"生成成长"),5))*(VLOOKUP($B$5,标准坦克设计!$B$24:$U$30,MATCH("对"&amp;LEFT($C$5,2)&amp;"输出",标准坦克设计!$B$23:$U$23,0)))*(VLOOKUP($B90,INDIRECT($B$5&amp;"生成成长"),3))*(VLOOKUP($B$5,标准坦克设计!$B$14:$K$20,9)/30))</f>
        <v>13.742899711035374</v>
      </c>
      <c r="BS90" s="172">
        <f ca="1">(VLOOKUP(BS$72,INDIRECT($C$5&amp;"生成成长"),2))/((VLOOKUP($B90,INDIRECT($B$5&amp;"生成成长"),4))/(VLOOKUP(BS$72,INDIRECT($C$5&amp;"生成成长"),5))*(VLOOKUP($B$5,标准坦克设计!$B$24:$U$30,MATCH("对"&amp;LEFT($C$5,2)&amp;"输出",标准坦克设计!$B$23:$U$23,0)))*(VLOOKUP($B90,INDIRECT($B$5&amp;"生成成长"),3))*(VLOOKUP($B$5,标准坦克设计!$B$14:$K$20,9)/30))</f>
        <v>14.9271051375413</v>
      </c>
      <c r="BT90" s="172">
        <f ca="1">(VLOOKUP(BT$72,INDIRECT($C$5&amp;"生成成长"),2))/((VLOOKUP($B90,INDIRECT($B$5&amp;"生成成长"),4))/(VLOOKUP(BT$72,INDIRECT($C$5&amp;"生成成长"),5))*(VLOOKUP($B$5,标准坦克设计!$B$24:$U$30,MATCH("对"&amp;LEFT($C$5,2)&amp;"输出",标准坦克设计!$B$23:$U$23,0)))*(VLOOKUP($B90,INDIRECT($B$5&amp;"生成成长"),3))*(VLOOKUP($B$5,标准坦克设计!$B$14:$K$20,9)/30))</f>
        <v>16.160244672580525</v>
      </c>
      <c r="BU90" s="172">
        <f ca="1">(VLOOKUP(BU$72,INDIRECT($C$5&amp;"生成成长"),2))/((VLOOKUP($B90,INDIRECT($B$5&amp;"生成成长"),4))/(VLOOKUP(BU$72,INDIRECT($C$5&amp;"生成成长"),5))*(VLOOKUP($B$5,标准坦克设计!$B$24:$U$30,MATCH("对"&amp;LEFT($C$5,2)&amp;"输出",标准坦克设计!$B$23:$U$23,0)))*(VLOOKUP($B90,INDIRECT($B$5&amp;"生成成长"),3))*(VLOOKUP($B$5,标准坦克设计!$B$14:$K$20,9)/30))</f>
        <v>17.442318316153052</v>
      </c>
      <c r="BV90" s="172">
        <f ca="1">(VLOOKUP(BV$72,INDIRECT($C$5&amp;"生成成长"),2))/((VLOOKUP($B90,INDIRECT($B$5&amp;"生成成长"),4))/(VLOOKUP(BV$72,INDIRECT($C$5&amp;"生成成长"),5))*(VLOOKUP($B$5,标准坦克设计!$B$24:$U$30,MATCH("对"&amp;LEFT($C$5,2)&amp;"输出",标准坦克设计!$B$23:$U$23,0)))*(VLOOKUP($B90,INDIRECT($B$5&amp;"生成成长"),3))*(VLOOKUP($B$5,标准坦克设计!$B$14:$K$20,9)/30))</f>
        <v>18.773326068258889</v>
      </c>
      <c r="BW90" s="172">
        <f ca="1">(VLOOKUP(BW$72,INDIRECT($C$5&amp;"生成成长"),2))/((VLOOKUP($B90,INDIRECT($B$5&amp;"生成成长"),4))/(VLOOKUP(BW$72,INDIRECT($C$5&amp;"生成成长"),5))*(VLOOKUP($B$5,标准坦克设计!$B$24:$U$30,MATCH("对"&amp;LEFT($C$5,2)&amp;"输出",标准坦克设计!$B$23:$U$23,0)))*(VLOOKUP($B90,INDIRECT($B$5&amp;"生成成长"),3))*(VLOOKUP($B$5,标准坦克设计!$B$14:$K$20,9)/30))</f>
        <v>8.5558842065052954</v>
      </c>
      <c r="BX90" s="172">
        <f ca="1">(VLOOKUP(BX$72,INDIRECT($C$5&amp;"生成成长"),2))/((VLOOKUP($B90,INDIRECT($B$5&amp;"生成成长"),4))/(VLOOKUP(BX$72,INDIRECT($C$5&amp;"生成成长"),5))*(VLOOKUP($B$5,标准坦克设计!$B$24:$U$30,MATCH("对"&amp;LEFT($C$5,2)&amp;"输出",标准坦克设计!$B$23:$U$23,0)))*(VLOOKUP($B90,INDIRECT($B$5&amp;"生成成长"),3))*(VLOOKUP($B$5,标准坦克设计!$B$14:$K$20,9)/30))</f>
        <v>9.4954190903447078</v>
      </c>
      <c r="BY90" s="172">
        <f ca="1">(VLOOKUP(BY$72,INDIRECT($C$5&amp;"生成成长"),2))/((VLOOKUP($B90,INDIRECT($B$5&amp;"生成成长"),4))/(VLOOKUP(BY$72,INDIRECT($C$5&amp;"生成成长"),5))*(VLOOKUP($B$5,标准坦克设计!$B$24:$U$30,MATCH("对"&amp;LEFT($C$5,2)&amp;"输出",标准坦克设计!$B$23:$U$23,0)))*(VLOOKUP($B90,INDIRECT($B$5&amp;"生成成长"),3))*(VLOOKUP($B$5,标准坦克设计!$B$14:$K$20,9)/30))</f>
        <v>10.483888082717419</v>
      </c>
      <c r="BZ90" s="172">
        <f ca="1">(VLOOKUP(BZ$72,INDIRECT($C$5&amp;"生成成长"),2))/((VLOOKUP($B90,INDIRECT($B$5&amp;"生成成长"),4))/(VLOOKUP(BZ$72,INDIRECT($C$5&amp;"生成成长"),5))*(VLOOKUP($B$5,标准坦克设计!$B$24:$U$30,MATCH("对"&amp;LEFT($C$5,2)&amp;"输出",标准坦克设计!$B$23:$U$23,0)))*(VLOOKUP($B90,INDIRECT($B$5&amp;"生成成长"),3))*(VLOOKUP($B$5,标准坦克设计!$B$14:$K$20,9)/30))</f>
        <v>11.521291183623436</v>
      </c>
      <c r="CA90" s="172">
        <f ca="1">(VLOOKUP(CA$72,INDIRECT($C$5&amp;"生成成长"),2))/((VLOOKUP($B90,INDIRECT($B$5&amp;"生成成长"),4))/(VLOOKUP(CA$72,INDIRECT($C$5&amp;"生成成长"),5))*(VLOOKUP($B$5,标准坦克设计!$B$24:$U$30,MATCH("对"&amp;LEFT($C$5,2)&amp;"输出",标准坦克设计!$B$23:$U$23,0)))*(VLOOKUP($B90,INDIRECT($B$5&amp;"生成成长"),3))*(VLOOKUP($B$5,标准坦克设计!$B$14:$K$20,9)/30))</f>
        <v>12.607628393062752</v>
      </c>
      <c r="CB90" s="172">
        <f ca="1">(VLOOKUP(CB$72,INDIRECT($C$5&amp;"生成成长"),2))/((VLOOKUP($B90,INDIRECT($B$5&amp;"生成成长"),4))/(VLOOKUP(CB$72,INDIRECT($C$5&amp;"生成成长"),5))*(VLOOKUP($B$5,标准坦克设计!$B$24:$U$30,MATCH("对"&amp;LEFT($C$5,2)&amp;"输出",标准坦克设计!$B$23:$U$23,0)))*(VLOOKUP($B90,INDIRECT($B$5&amp;"生成成长"),3))*(VLOOKUP($B$5,标准坦克设计!$B$14:$K$20,9)/30))</f>
        <v>13.742899711035374</v>
      </c>
      <c r="CC90" s="172">
        <f ca="1">(VLOOKUP(CC$72,INDIRECT($C$5&amp;"生成成长"),2))/((VLOOKUP($B90,INDIRECT($B$5&amp;"生成成长"),4))/(VLOOKUP(CC$72,INDIRECT($C$5&amp;"生成成长"),5))*(VLOOKUP($B$5,标准坦克设计!$B$24:$U$30,MATCH("对"&amp;LEFT($C$5,2)&amp;"输出",标准坦克设计!$B$23:$U$23,0)))*(VLOOKUP($B90,INDIRECT($B$5&amp;"生成成长"),3))*(VLOOKUP($B$5,标准坦克设计!$B$14:$K$20,9)/30))</f>
        <v>14.9271051375413</v>
      </c>
      <c r="CD90" s="172">
        <f ca="1">(VLOOKUP(CD$72,INDIRECT($C$5&amp;"生成成长"),2))/((VLOOKUP($B90,INDIRECT($B$5&amp;"生成成长"),4))/(VLOOKUP(CD$72,INDIRECT($C$5&amp;"生成成长"),5))*(VLOOKUP($B$5,标准坦克设计!$B$24:$U$30,MATCH("对"&amp;LEFT($C$5,2)&amp;"输出",标准坦克设计!$B$23:$U$23,0)))*(VLOOKUP($B90,INDIRECT($B$5&amp;"生成成长"),3))*(VLOOKUP($B$5,标准坦克设计!$B$14:$K$20,9)/30))</f>
        <v>16.160244672580525</v>
      </c>
      <c r="CE90" s="172">
        <f ca="1">(VLOOKUP(CE$72,INDIRECT($C$5&amp;"生成成长"),2))/((VLOOKUP($B90,INDIRECT($B$5&amp;"生成成长"),4))/(VLOOKUP(CE$72,INDIRECT($C$5&amp;"生成成长"),5))*(VLOOKUP($B$5,标准坦克设计!$B$24:$U$30,MATCH("对"&amp;LEFT($C$5,2)&amp;"输出",标准坦克设计!$B$23:$U$23,0)))*(VLOOKUP($B90,INDIRECT($B$5&amp;"生成成长"),3))*(VLOOKUP($B$5,标准坦克设计!$B$14:$K$20,9)/30))</f>
        <v>17.442318316153052</v>
      </c>
      <c r="CF90" s="172">
        <f ca="1">(VLOOKUP(CF$72,INDIRECT($C$5&amp;"生成成长"),2))/((VLOOKUP($B90,INDIRECT($B$5&amp;"生成成长"),4))/(VLOOKUP(CF$72,INDIRECT($C$5&amp;"生成成长"),5))*(VLOOKUP($B$5,标准坦克设计!$B$24:$U$30,MATCH("对"&amp;LEFT($C$5,2)&amp;"输出",标准坦克设计!$B$23:$U$23,0)))*(VLOOKUP($B90,INDIRECT($B$5&amp;"生成成长"),3))*(VLOOKUP($B$5,标准坦克设计!$B$14:$K$20,9)/30))</f>
        <v>18.773326068258889</v>
      </c>
      <c r="CG90" s="172">
        <f ca="1">(VLOOKUP(CG$72,INDIRECT($C$5&amp;"生成成长"),2))/((VLOOKUP($B90,INDIRECT($B$5&amp;"生成成长"),4))/(VLOOKUP(CG$72,INDIRECT($C$5&amp;"生成成长"),5))*(VLOOKUP($B$5,标准坦克设计!$B$24:$U$30,MATCH("对"&amp;LEFT($C$5,2)&amp;"输出",标准坦克设计!$B$23:$U$23,0)))*(VLOOKUP($B90,INDIRECT($B$5&amp;"生成成长"),3))*(VLOOKUP($B$5,标准坦克设计!$B$14:$K$20,9)/30))</f>
        <v>20.153267928898018</v>
      </c>
      <c r="CH90" s="172">
        <f ca="1">(VLOOKUP(CH$72,INDIRECT($C$5&amp;"生成成长"),2))/((VLOOKUP($B90,INDIRECT($B$5&amp;"生成成长"),4))/(VLOOKUP(CH$72,INDIRECT($C$5&amp;"生成成长"),5))*(VLOOKUP($B$5,标准坦克设计!$B$24:$U$30,MATCH("对"&amp;LEFT($C$5,2)&amp;"输出",标准坦克设计!$B$23:$U$23,0)))*(VLOOKUP($B90,INDIRECT($B$5&amp;"生成成长"),3))*(VLOOKUP($B$5,标准坦克设计!$B$14:$K$20,9)/30))</f>
        <v>21.582143898070456</v>
      </c>
      <c r="CI90" s="172">
        <f ca="1">(VLOOKUP(CI$72,INDIRECT($C$5&amp;"生成成长"),2))/((VLOOKUP($B90,INDIRECT($B$5&amp;"生成成长"),4))/(VLOOKUP(CI$72,INDIRECT($C$5&amp;"生成成长"),5))*(VLOOKUP($B$5,标准坦克设计!$B$24:$U$30,MATCH("对"&amp;LEFT($C$5,2)&amp;"输出",标准坦克设计!$B$23:$U$23,0)))*(VLOOKUP($B90,INDIRECT($B$5&amp;"生成成长"),3))*(VLOOKUP($B$5,标准坦克设计!$B$14:$K$20,9)/30))</f>
        <v>23.210426359516102</v>
      </c>
      <c r="CJ90" s="172">
        <f ca="1">(VLOOKUP(CJ$72,INDIRECT($C$5&amp;"生成成长"),2))/((VLOOKUP($B90,INDIRECT($B$5&amp;"生成成长"),4))/(VLOOKUP(CJ$72,INDIRECT($C$5&amp;"生成成长"),5))*(VLOOKUP($B$5,标准坦克设计!$B$24:$U$30,MATCH("对"&amp;LEFT($C$5,2)&amp;"输出",标准坦克设计!$B$23:$U$23,0)))*(VLOOKUP($B90,INDIRECT($B$5&amp;"生成成长"),3))*(VLOOKUP($B$5,标准坦克设计!$B$14:$K$20,9)/30))</f>
        <v>24.897919092287044</v>
      </c>
      <c r="CK90" s="172">
        <f ca="1">(VLOOKUP(CK$72,INDIRECT($C$5&amp;"生成成长"),2))/((VLOOKUP($B90,INDIRECT($B$5&amp;"生成成长"),4))/(VLOOKUP(CK$72,INDIRECT($C$5&amp;"生成成长"),5))*(VLOOKUP($B$5,标准坦克设计!$B$24:$U$30,MATCH("对"&amp;LEFT($C$5,2)&amp;"输出",标准坦克设计!$B$23:$U$23,0)))*(VLOOKUP($B90,INDIRECT($B$5&amp;"生成成长"),3))*(VLOOKUP($B$5,标准坦克设计!$B$14:$K$20,9)/30))</f>
        <v>26.644622096383273</v>
      </c>
      <c r="CL90" s="172">
        <f ca="1">(VLOOKUP(CL$72,INDIRECT($C$5&amp;"生成成长"),2))/((VLOOKUP($B90,INDIRECT($B$5&amp;"生成成长"),4))/(VLOOKUP(CL$72,INDIRECT($C$5&amp;"生成成长"),5))*(VLOOKUP($B$5,标准坦克设计!$B$24:$U$30,MATCH("对"&amp;LEFT($C$5,2)&amp;"输出",标准坦克设计!$B$23:$U$23,0)))*(VLOOKUP($B90,INDIRECT($B$5&amp;"生成成长"),3))*(VLOOKUP($B$5,标准坦克设计!$B$14:$K$20,9)/30))</f>
        <v>28.450535371804815</v>
      </c>
      <c r="CM90" s="172">
        <f ca="1">(VLOOKUP(CM$72,INDIRECT($C$5&amp;"生成成长"),2))/((VLOOKUP($B90,INDIRECT($B$5&amp;"生成成长"),4))/(VLOOKUP(CM$72,INDIRECT($C$5&amp;"生成成长"),5))*(VLOOKUP($B$5,标准坦克设计!$B$24:$U$30,MATCH("对"&amp;LEFT($C$5,2)&amp;"输出",标准坦克设计!$B$23:$U$23,0)))*(VLOOKUP($B90,INDIRECT($B$5&amp;"生成成长"),3))*(VLOOKUP($B$5,标准坦克设计!$B$14:$K$20,9)/30))</f>
        <v>30.315658918551648</v>
      </c>
      <c r="CN90" s="172">
        <f ca="1">(VLOOKUP(CN$72,INDIRECT($C$5&amp;"生成成长"),2))/((VLOOKUP($B90,INDIRECT($B$5&amp;"生成成长"),4))/(VLOOKUP(CN$72,INDIRECT($C$5&amp;"生成成长"),5))*(VLOOKUP($B$5,标准坦克设计!$B$24:$U$30,MATCH("对"&amp;LEFT($C$5,2)&amp;"输出",标准坦克设计!$B$23:$U$23,0)))*(VLOOKUP($B90,INDIRECT($B$5&amp;"生成成长"),3))*(VLOOKUP($B$5,标准坦克设计!$B$14:$K$20,9)/30))</f>
        <v>32.239992736623762</v>
      </c>
      <c r="CO90" s="172">
        <f ca="1">(VLOOKUP(CO$72,INDIRECT($C$5&amp;"生成成长"),2))/((VLOOKUP($B90,INDIRECT($B$5&amp;"生成成长"),4))/(VLOOKUP(CO$72,INDIRECT($C$5&amp;"生成成长"),5))*(VLOOKUP($B$5,标准坦克设计!$B$24:$U$30,MATCH("对"&amp;LEFT($C$5,2)&amp;"输出",标准坦克设计!$B$23:$U$23,0)))*(VLOOKUP($B90,INDIRECT($B$5&amp;"生成成长"),3))*(VLOOKUP($B$5,标准坦克设计!$B$14:$K$20,9)/30))</f>
        <v>14.447550873914929</v>
      </c>
      <c r="CP90" s="172">
        <f ca="1">(VLOOKUP(CP$72,INDIRECT($C$5&amp;"生成成长"),2))/((VLOOKUP($B90,INDIRECT($B$5&amp;"生成成长"),4))/(VLOOKUP(CP$72,INDIRECT($C$5&amp;"生成成长"),5))*(VLOOKUP($B$5,标准坦克设计!$B$24:$U$30,MATCH("对"&amp;LEFT($C$5,2)&amp;"输出",标准坦克设计!$B$23:$U$23,0)))*(VLOOKUP($B90,INDIRECT($B$5&amp;"生成成长"),3))*(VLOOKUP($B$5,标准坦克设计!$B$14:$K$20,9)/30))</f>
        <v>15.785164730672758</v>
      </c>
      <c r="CQ90" s="172">
        <f ca="1">(VLOOKUP(CQ$72,INDIRECT($C$5&amp;"生成成长"),2))/((VLOOKUP($B90,INDIRECT($B$5&amp;"生成成长"),4))/(VLOOKUP(CQ$72,INDIRECT($C$5&amp;"生成成长"),5))*(VLOOKUP($B$5,标准坦克设计!$B$24:$U$30,MATCH("对"&amp;LEFT($C$5,2)&amp;"输出",标准坦克设计!$B$23:$U$23,0)))*(VLOOKUP($B90,INDIRECT($B$5&amp;"生成成长"),3))*(VLOOKUP($B$5,标准坦克设计!$B$14:$K$20,9)/30))</f>
        <v>17.181988858755883</v>
      </c>
      <c r="CR90" s="172">
        <f ca="1">(VLOOKUP(CR$72,INDIRECT($C$5&amp;"生成成长"),2))/((VLOOKUP($B90,INDIRECT($B$5&amp;"生成成长"),4))/(VLOOKUP(CR$72,INDIRECT($C$5&amp;"生成成长"),5))*(VLOOKUP($B$5,标准坦克设计!$B$24:$U$30,MATCH("对"&amp;LEFT($C$5,2)&amp;"输出",标准坦克设计!$B$23:$U$23,0)))*(VLOOKUP($B90,INDIRECT($B$5&amp;"生成成长"),3))*(VLOOKUP($B$5,标准坦克设计!$B$14:$K$20,9)/30))</f>
        <v>18.638023258164303</v>
      </c>
      <c r="CS90" s="172">
        <f ca="1">(VLOOKUP(CS$72,INDIRECT($C$5&amp;"生成成长"),2))/((VLOOKUP($B90,INDIRECT($B$5&amp;"生成成长"),4))/(VLOOKUP(CS$72,INDIRECT($C$5&amp;"生成成长"),5))*(VLOOKUP($B$5,标准坦克设计!$B$24:$U$30,MATCH("对"&amp;LEFT($C$5,2)&amp;"输出",标准坦克设计!$B$23:$U$23,0)))*(VLOOKUP($B90,INDIRECT($B$5&amp;"生成成长"),3))*(VLOOKUP($B$5,标准坦克设计!$B$14:$K$20,9)/30))</f>
        <v>20.153267928898018</v>
      </c>
      <c r="CT90" s="172">
        <f ca="1">(VLOOKUP(CT$72,INDIRECT($C$5&amp;"生成成长"),2))/((VLOOKUP($B90,INDIRECT($B$5&amp;"生成成长"),4))/(VLOOKUP(CT$72,INDIRECT($C$5&amp;"生成成长"),5))*(VLOOKUP($B$5,标准坦克设计!$B$24:$U$30,MATCH("对"&amp;LEFT($C$5,2)&amp;"输出",标准坦克设计!$B$23:$U$23,0)))*(VLOOKUP($B90,INDIRECT($B$5&amp;"生成成长"),3))*(VLOOKUP($B$5,标准坦克设计!$B$14:$K$20,9)/30))</f>
        <v>21.727722870957031</v>
      </c>
      <c r="CU90" s="172">
        <f ca="1">(VLOOKUP(CU$72,INDIRECT($C$5&amp;"生成成长"),2))/((VLOOKUP($B90,INDIRECT($B$5&amp;"生成成长"),4))/(VLOOKUP(CU$72,INDIRECT($C$5&amp;"生成成长"),5))*(VLOOKUP($B$5,标准坦克设计!$B$24:$U$30,MATCH("对"&amp;LEFT($C$5,2)&amp;"输出",标准坦克设计!$B$23:$U$23,0)))*(VLOOKUP($B90,INDIRECT($B$5&amp;"生成成长"),3))*(VLOOKUP($B$5,标准坦克设计!$B$14:$K$20,9)/30))</f>
        <v>23.361388084341339</v>
      </c>
      <c r="CV90" s="172">
        <f ca="1">(VLOOKUP(CV$72,INDIRECT($C$5&amp;"生成成长"),2))/((VLOOKUP($B90,INDIRECT($B$5&amp;"生成成长"),4))/(VLOOKUP(CV$72,INDIRECT($C$5&amp;"生成成长"),5))*(VLOOKUP($B$5,标准坦克设计!$B$24:$U$30,MATCH("对"&amp;LEFT($C$5,2)&amp;"输出",标准坦克设计!$B$23:$U$23,0)))*(VLOOKUP($B90,INDIRECT($B$5&amp;"生成成长"),3))*(VLOOKUP($B$5,标准坦克设计!$B$14:$K$20,9)/30))</f>
        <v>25.054263569050939</v>
      </c>
      <c r="CW90" s="172">
        <f ca="1">(VLOOKUP(CW$72,INDIRECT($C$5&amp;"生成成长"),2))/((VLOOKUP($B90,INDIRECT($B$5&amp;"生成成长"),4))/(VLOOKUP(CW$72,INDIRECT($C$5&amp;"生成成长"),5))*(VLOOKUP($B$5,标准坦克设计!$B$24:$U$30,MATCH("对"&amp;LEFT($C$5,2)&amp;"输出",标准坦克设计!$B$23:$U$23,0)))*(VLOOKUP($B90,INDIRECT($B$5&amp;"生成成长"),3))*(VLOOKUP($B$5,标准坦克设计!$B$14:$K$20,9)/30))</f>
        <v>26.80634932508584</v>
      </c>
      <c r="CX90" s="172">
        <f ca="1">(VLOOKUP(CX$72,INDIRECT($C$5&amp;"生成成长"),2))/((VLOOKUP($B90,INDIRECT($B$5&amp;"生成成长"),4))/(VLOOKUP(CX$72,INDIRECT($C$5&amp;"生成成长"),5))*(VLOOKUP($B$5,标准坦克设计!$B$24:$U$30,MATCH("对"&amp;LEFT($C$5,2)&amp;"输出",标准坦克设计!$B$23:$U$23,0)))*(VLOOKUP($B90,INDIRECT($B$5&amp;"生成成长"),3))*(VLOOKUP($B$5,标准坦克设计!$B$14:$K$20,9)/30))</f>
        <v>28.61764535244604</v>
      </c>
      <c r="CY90" s="172">
        <f ca="1">(VLOOKUP(CY$72,INDIRECT($C$5&amp;"生成成长"),2))/((VLOOKUP($B90,INDIRECT($B$5&amp;"生成成长"),4))/(VLOOKUP(CY$72,INDIRECT($C$5&amp;"生成成长"),5))*(VLOOKUP($B$5,标准坦克设计!$B$24:$U$30,MATCH("对"&amp;LEFT($C$5,2)&amp;"输出",标准坦克设计!$B$23:$U$23,0)))*(VLOOKUP($B90,INDIRECT($B$5&amp;"生成成长"),3))*(VLOOKUP($B$5,标准坦克设计!$B$14:$K$20,9)/30))</f>
        <v>30.488151651131535</v>
      </c>
      <c r="CZ90" s="172">
        <f ca="1">(VLOOKUP(CZ$72,INDIRECT($C$5&amp;"生成成长"),2))/((VLOOKUP($B90,INDIRECT($B$5&amp;"生成成长"),4))/(VLOOKUP(CZ$72,INDIRECT($C$5&amp;"生成成长"),5))*(VLOOKUP($B$5,标准坦克设计!$B$24:$U$30,MATCH("对"&amp;LEFT($C$5,2)&amp;"输出",标准坦克设计!$B$23:$U$23,0)))*(VLOOKUP($B90,INDIRECT($B$5&amp;"生成成长"),3))*(VLOOKUP($B$5,标准坦克设计!$B$14:$K$20,9)/30))</f>
        <v>32.417868221142314</v>
      </c>
      <c r="DA90" s="172">
        <f ca="1">(VLOOKUP(DA$72,INDIRECT($C$5&amp;"生成成长"),2))/((VLOOKUP($B90,INDIRECT($B$5&amp;"生成成长"),4))/(VLOOKUP(DA$72,INDIRECT($C$5&amp;"生成成长"),5))*(VLOOKUP($B$5,标准坦克设计!$B$24:$U$30,MATCH("对"&amp;LEFT($C$5,2)&amp;"输出",标准坦克设计!$B$23:$U$23,0)))*(VLOOKUP($B90,INDIRECT($B$5&amp;"生成成长"),3))*(VLOOKUP($B$5,标准坦克设计!$B$14:$K$20,9)/30))</f>
        <v>34.406795062478402</v>
      </c>
      <c r="DB90" s="172">
        <f ca="1">(VLOOKUP(DB$72,INDIRECT($C$5&amp;"生成成长"),2))/((VLOOKUP($B90,INDIRECT($B$5&amp;"生成成长"),4))/(VLOOKUP(DB$72,INDIRECT($C$5&amp;"生成成长"),5))*(VLOOKUP($B$5,标准坦克设计!$B$24:$U$30,MATCH("对"&amp;LEFT($C$5,2)&amp;"输出",标准坦克设计!$B$23:$U$23,0)))*(VLOOKUP($B90,INDIRECT($B$5&amp;"生成成长"),3))*(VLOOKUP($B$5,标准坦克设计!$B$14:$K$20,9)/30))</f>
        <v>36.454932175139788</v>
      </c>
      <c r="DC90" s="172">
        <f ca="1">(VLOOKUP(DC$72,INDIRECT($C$5&amp;"生成成长"),2))/((VLOOKUP($B90,INDIRECT($B$5&amp;"生成成长"),4))/(VLOOKUP(DC$72,INDIRECT($C$5&amp;"生成成长"),5))*(VLOOKUP($B$5,标准坦克设计!$B$24:$U$30,MATCH("对"&amp;LEFT($C$5,2)&amp;"输出",标准坦克设计!$B$23:$U$23,0)))*(VLOOKUP($B90,INDIRECT($B$5&amp;"生成成长"),3))*(VLOOKUP($B$5,标准坦克设计!$B$14:$K$20,9)/30))</f>
        <v>38.756792640546344</v>
      </c>
      <c r="DD90" s="172">
        <f ca="1">(VLOOKUP(DD$72,INDIRECT($C$5&amp;"生成成长"),2))/((VLOOKUP($B90,INDIRECT($B$5&amp;"生成成长"),4))/(VLOOKUP(DD$72,INDIRECT($C$5&amp;"生成成长"),5))*(VLOOKUP($B$5,标准坦克设计!$B$24:$U$30,MATCH("对"&amp;LEFT($C$5,2)&amp;"输出",标准坦克设计!$B$23:$U$23,0)))*(VLOOKUP($B90,INDIRECT($B$5&amp;"生成成长"),3))*(VLOOKUP($B$5,标准坦克设计!$B$14:$K$20,9)/30))</f>
        <v>41.129118222240848</v>
      </c>
      <c r="DE90" s="172">
        <f ca="1">(VLOOKUP(DE$72,INDIRECT($C$5&amp;"生成成长"),2))/((VLOOKUP($B90,INDIRECT($B$5&amp;"生成成长"),4))/(VLOOKUP(DE$72,INDIRECT($C$5&amp;"生成成长"),5))*(VLOOKUP($B$5,标准坦克设计!$B$24:$U$30,MATCH("对"&amp;LEFT($C$5,2)&amp;"输出",标准坦克设计!$B$23:$U$23,0)))*(VLOOKUP($B90,INDIRECT($B$5&amp;"生成成长"),3))*(VLOOKUP($B$5,标准坦克设计!$B$14:$K$20,9)/30))</f>
        <v>43.571908920223322</v>
      </c>
      <c r="DF90" s="172">
        <f ca="1">(VLOOKUP(DF$72,INDIRECT($C$5&amp;"生成成长"),2))/((VLOOKUP($B90,INDIRECT($B$5&amp;"生成成长"),4))/(VLOOKUP(DF$72,INDIRECT($C$5&amp;"生成成长"),5))*(VLOOKUP($B$5,标准坦克设计!$B$24:$U$30,MATCH("对"&amp;LEFT($C$5,2)&amp;"输出",标准坦克设计!$B$23:$U$23,0)))*(VLOOKUP($B90,INDIRECT($B$5&amp;"生成成长"),3))*(VLOOKUP($B$5,标准坦克设计!$B$14:$K$20,9)/30))</f>
        <v>46.085164734493745</v>
      </c>
      <c r="DG90" s="172">
        <f ca="1">(VLOOKUP(DG$72,INDIRECT($C$5&amp;"生成成长"),2))/((VLOOKUP($B90,INDIRECT($B$5&amp;"生成成长"),4))/(VLOOKUP(DG$72,INDIRECT($C$5&amp;"生成成长"),5))*(VLOOKUP($B$5,标准坦克设计!$B$24:$U$30,MATCH("对"&amp;LEFT($C$5,2)&amp;"输出",标准坦克设计!$B$23:$U$23,0)))*(VLOOKUP($B90,INDIRECT($B$5&amp;"生成成长"),3))*(VLOOKUP($B$5,标准坦克设计!$B$14:$K$20,9)/30))</f>
        <v>48.668885665052123</v>
      </c>
      <c r="DH90" s="172">
        <f ca="1">(VLOOKUP(DH$72,INDIRECT($C$5&amp;"生成成长"),2))/((VLOOKUP($B90,INDIRECT($B$5&amp;"生成成长"),4))/(VLOOKUP(DH$72,INDIRECT($C$5&amp;"生成成长"),5))*(VLOOKUP($B$5,标准坦克设计!$B$24:$U$30,MATCH("对"&amp;LEFT($C$5,2)&amp;"输出",标准坦克设计!$B$23:$U$23,0)))*(VLOOKUP($B90,INDIRECT($B$5&amp;"生成成长"),3))*(VLOOKUP($B$5,标准坦克设计!$B$14:$K$20,9)/30))</f>
        <v>51.32307171189845</v>
      </c>
      <c r="DI90" s="172">
        <f ca="1">(VLOOKUP(DI$72,INDIRECT($C$5&amp;"生成成长"),2))/((VLOOKUP($B90,INDIRECT($B$5&amp;"生成成长"),4))/(VLOOKUP(DI$72,INDIRECT($C$5&amp;"生成成长"),5))*(VLOOKUP($B$5,标准坦克设计!$B$24:$U$30,MATCH("对"&amp;LEFT($C$5,2)&amp;"输出",标准坦克设计!$B$23:$U$23,0)))*(VLOOKUP($B90,INDIRECT($B$5&amp;"生成成长"),3))*(VLOOKUP($B$5,标准坦克设计!$B$14:$K$20,9)/30))</f>
        <v>54.047722875032747</v>
      </c>
      <c r="DJ90" s="172">
        <f ca="1">(VLOOKUP(DJ$72,INDIRECT($C$5&amp;"生成成长"),2))/((VLOOKUP($B90,INDIRECT($B$5&amp;"生成成长"),4))/(VLOOKUP(DJ$72,INDIRECT($C$5&amp;"生成成长"),5))*(VLOOKUP($B$5,标准坦克设计!$B$24:$U$30,MATCH("对"&amp;LEFT($C$5,2)&amp;"输出",标准坦克设计!$B$23:$U$23,0)))*(VLOOKUP($B90,INDIRECT($B$5&amp;"生成成长"),3))*(VLOOKUP($B$5,标准坦克设计!$B$14:$K$20,9)/30))</f>
        <v>5.4319307177392577</v>
      </c>
      <c r="DK90" s="172">
        <f ca="1">(VLOOKUP(DK$72,INDIRECT($C$5&amp;"生成成长"),2))/((VLOOKUP($B90,INDIRECT($B$5&amp;"生成成长"),4))/(VLOOKUP(DK$72,INDIRECT($C$5&amp;"生成成长"),5))*(VLOOKUP($B$5,标准坦克设计!$B$24:$U$30,MATCH("对"&amp;LEFT($C$5,2)&amp;"输出",标准坦克设计!$B$23:$U$23,0)))*(VLOOKUP($B90,INDIRECT($B$5&amp;"生成成长"),3))*(VLOOKUP($B$5,标准坦克设计!$B$14:$K$20,9)/30))</f>
        <v>6.1079554271268339</v>
      </c>
      <c r="DL90" s="172">
        <f ca="1">(VLOOKUP(DL$72,INDIRECT($C$5&amp;"生成成长"),2))/((VLOOKUP($B90,INDIRECT($B$5&amp;"生成成长"),4))/(VLOOKUP(DL$72,INDIRECT($C$5&amp;"生成成长"),5))*(VLOOKUP($B$5,标准坦克设计!$B$24:$U$30,MATCH("对"&amp;LEFT($C$5,2)&amp;"输出",标准坦克设计!$B$23:$U$23,0)))*(VLOOKUP($B90,INDIRECT($B$5&amp;"生成成长"),3))*(VLOOKUP($B$5,标准坦克设计!$B$14:$K$20,9)/30))</f>
        <v>6.823616764426383</v>
      </c>
      <c r="DM90" s="172">
        <f ca="1">(VLOOKUP(DM$72,INDIRECT($C$5&amp;"生成成长"),2))/((VLOOKUP($B90,INDIRECT($B$5&amp;"生成成长"),4))/(VLOOKUP(DM$72,INDIRECT($C$5&amp;"生成成长"),5))*(VLOOKUP($B$5,标准坦克设计!$B$24:$U$30,MATCH("对"&amp;LEFT($C$5,2)&amp;"输出",标准坦克设计!$B$23:$U$23,0)))*(VLOOKUP($B90,INDIRECT($B$5&amp;"生成成长"),3))*(VLOOKUP($B$5,标准坦克设计!$B$14:$K$20,9)/30))</f>
        <v>7.578914729637912</v>
      </c>
      <c r="DN90" s="172">
        <f ca="1">(VLOOKUP(DN$72,INDIRECT($C$5&amp;"生成成长"),2))/((VLOOKUP($B90,INDIRECT($B$5&amp;"生成成长"),4))/(VLOOKUP(DN$72,INDIRECT($C$5&amp;"生成成长"),5))*(VLOOKUP($B$5,标准坦克设计!$B$24:$U$30,MATCH("对"&amp;LEFT($C$5,2)&amp;"输出",标准坦克设计!$B$23:$U$23,0)))*(VLOOKUP($B90,INDIRECT($B$5&amp;"生成成长"),3))*(VLOOKUP($B$5,标准坦克设计!$B$14:$K$20,9)/30))</f>
        <v>8.3738493227614086</v>
      </c>
      <c r="DO90" s="172">
        <f ca="1">(VLOOKUP(DO$72,INDIRECT($C$5&amp;"生成成长"),2))/((VLOOKUP($B90,INDIRECT($B$5&amp;"生成成长"),4))/(VLOOKUP(DO$72,INDIRECT($C$5&amp;"生成成长"),5))*(VLOOKUP($B$5,标准坦克设计!$B$24:$U$30,MATCH("对"&amp;LEFT($C$5,2)&amp;"输出",标准坦克设计!$B$23:$U$23,0)))*(VLOOKUP($B90,INDIRECT($B$5&amp;"生成成长"),3))*(VLOOKUP($B$5,标准坦克设计!$B$14:$K$20,9)/30))</f>
        <v>9.2084205437968869</v>
      </c>
      <c r="DP90" s="172">
        <f ca="1">(VLOOKUP(DP$72,INDIRECT($C$5&amp;"生成成长"),2))/((VLOOKUP($B90,INDIRECT($B$5&amp;"生成成长"),4))/(VLOOKUP(DP$72,INDIRECT($C$5&amp;"生成成长"),5))*(VLOOKUP($B$5,标准坦克设计!$B$24:$U$30,MATCH("对"&amp;LEFT($C$5,2)&amp;"输出",标准坦克设计!$B$23:$U$23,0)))*(VLOOKUP($B90,INDIRECT($B$5&amp;"生成成长"),3))*(VLOOKUP($B$5,标准坦克设计!$B$14:$K$20,9)/30))</f>
        <v>10.08262839274434</v>
      </c>
      <c r="DQ90" s="172">
        <f ca="1">(VLOOKUP(DQ$72,INDIRECT($C$5&amp;"生成成长"),2))/((VLOOKUP($B90,INDIRECT($B$5&amp;"生成成长"),4))/(VLOOKUP(DQ$72,INDIRECT($C$5&amp;"生成成长"),5))*(VLOOKUP($B$5,标准坦克设计!$B$24:$U$30,MATCH("对"&amp;LEFT($C$5,2)&amp;"输出",标准坦克设计!$B$23:$U$23,0)))*(VLOOKUP($B90,INDIRECT($B$5&amp;"生成成长"),3))*(VLOOKUP($B$5,标准坦克设计!$B$14:$K$20,9)/30))</f>
        <v>10.996472869603764</v>
      </c>
      <c r="DR90" s="172">
        <f ca="1">(VLOOKUP(DR$72,INDIRECT($C$5&amp;"生成成长"),2))/((VLOOKUP($B90,INDIRECT($B$5&amp;"生成成长"),4))/(VLOOKUP(DR$72,INDIRECT($C$5&amp;"生成成长"),5))*(VLOOKUP($B$5,标准坦克设计!$B$24:$U$30,MATCH("对"&amp;LEFT($C$5,2)&amp;"输出",标准坦克设计!$B$23:$U$23,0)))*(VLOOKUP($B90,INDIRECT($B$5&amp;"生成成长"),3))*(VLOOKUP($B$5,标准坦克设计!$B$14:$K$20,9)/30))</f>
        <v>11.949953974375166</v>
      </c>
      <c r="DS90" s="172">
        <f ca="1">(VLOOKUP(DS$72,INDIRECT($C$5&amp;"生成成长"),2))/((VLOOKUP($B90,INDIRECT($B$5&amp;"生成成长"),4))/(VLOOKUP(DS$72,INDIRECT($C$5&amp;"生成成长"),5))*(VLOOKUP($B$5,标准坦克设计!$B$24:$U$30,MATCH("对"&amp;LEFT($C$5,2)&amp;"输出",标准坦克设计!$B$23:$U$23,0)))*(VLOOKUP($B90,INDIRECT($B$5&amp;"生成成长"),3))*(VLOOKUP($B$5,标准坦克设计!$B$14:$K$20,9)/30))</f>
        <v>12.943071707058541</v>
      </c>
      <c r="DT90" s="172">
        <f ca="1">(VLOOKUP(DT$72,INDIRECT($C$5&amp;"生成成长"),2))/((VLOOKUP($B90,INDIRECT($B$5&amp;"生成成长"),4))/(VLOOKUP(DT$72,INDIRECT($C$5&amp;"生成成长"),5))*(VLOOKUP($B$5,标准坦克设计!$B$24:$U$30,MATCH("对"&amp;LEFT($C$5,2)&amp;"输出",标准坦克设计!$B$23:$U$23,0)))*(VLOOKUP($B90,INDIRECT($B$5&amp;"生成成长"),3))*(VLOOKUP($B$5,标准坦克设计!$B$14:$K$20,9)/30))</f>
        <v>14.210709788613748</v>
      </c>
      <c r="DU90" s="172">
        <f ca="1">(VLOOKUP(DU$72,INDIRECT($C$5&amp;"生成成长"),2))/((VLOOKUP($B90,INDIRECT($B$5&amp;"生成成长"),4))/(VLOOKUP(DU$72,INDIRECT($C$5&amp;"生成成长"),5))*(VLOOKUP($B$5,标准坦克设计!$B$24:$U$30,MATCH("对"&amp;LEFT($C$5,2)&amp;"输出",标准坦克设计!$B$23:$U$23,0)))*(VLOOKUP($B90,INDIRECT($B$5&amp;"生成成长"),3))*(VLOOKUP($B$5,标准坦克设计!$B$14:$K$20,9)/30))</f>
        <v>15.537558141494246</v>
      </c>
      <c r="DV90" s="172">
        <f ca="1">(VLOOKUP(DV$72,INDIRECT($C$5&amp;"生成成长"),2))/((VLOOKUP($B90,INDIRECT($B$5&amp;"生成成长"),4))/(VLOOKUP(DV$72,INDIRECT($C$5&amp;"生成成长"),5))*(VLOOKUP($B$5,标准坦克设计!$B$24:$U$30,MATCH("对"&amp;LEFT($C$5,2)&amp;"输出",标准坦克设计!$B$23:$U$23,0)))*(VLOOKUP($B90,INDIRECT($B$5&amp;"生成成长"),3))*(VLOOKUP($B$5,标准坦克设计!$B$14:$K$20,9)/30))</f>
        <v>16.923616765700043</v>
      </c>
      <c r="DW90" s="172">
        <f ca="1">(VLOOKUP(DW$72,INDIRECT($C$5&amp;"生成成长"),2))/((VLOOKUP($B90,INDIRECT($B$5&amp;"生成成长"),4))/(VLOOKUP(DW$72,INDIRECT($C$5&amp;"生成成长"),5))*(VLOOKUP($B$5,标准坦克设计!$B$24:$U$30,MATCH("对"&amp;LEFT($C$5,2)&amp;"输出",标准坦克设计!$B$23:$U$23,0)))*(VLOOKUP($B90,INDIRECT($B$5&amp;"生成成长"),3))*(VLOOKUP($B$5,标准坦克设计!$B$14:$K$20,9)/30))</f>
        <v>18.368885661231136</v>
      </c>
      <c r="DX90" s="172">
        <f ca="1">(VLOOKUP(DX$72,INDIRECT($C$5&amp;"生成成长"),2))/((VLOOKUP($B90,INDIRECT($B$5&amp;"生成成长"),4))/(VLOOKUP(DX$72,INDIRECT($C$5&amp;"生成成长"),5))*(VLOOKUP($B$5,标准坦克设计!$B$24:$U$30,MATCH("对"&amp;LEFT($C$5,2)&amp;"输出",标准坦克设计!$B$23:$U$23,0)))*(VLOOKUP($B90,INDIRECT($B$5&amp;"生成成长"),3))*(VLOOKUP($B$5,标准坦克设计!$B$14:$K$20,9)/30))</f>
        <v>19.873364828087524</v>
      </c>
      <c r="DY90" s="172">
        <f ca="1">(VLOOKUP(DY$72,INDIRECT($C$5&amp;"生成成长"),2))/((VLOOKUP($B90,INDIRECT($B$5&amp;"生成成长"),4))/(VLOOKUP(DY$72,INDIRECT($C$5&amp;"生成成长"),5))*(VLOOKUP($B$5,标准坦克设计!$B$24:$U$30,MATCH("对"&amp;LEFT($C$5,2)&amp;"输出",标准坦克设计!$B$23:$U$23,0)))*(VLOOKUP($B90,INDIRECT($B$5&amp;"生成成长"),3))*(VLOOKUP($B$5,标准坦克设计!$B$14:$K$20,9)/30))</f>
        <v>8.9258260670170628</v>
      </c>
      <c r="DZ90" s="172">
        <f ca="1">(VLOOKUP(DZ$72,INDIRECT($C$5&amp;"生成成长"),2))/((VLOOKUP($B90,INDIRECT($B$5&amp;"生成成长"),4))/(VLOOKUP(DZ$72,INDIRECT($C$5&amp;"生成成长"),5))*(VLOOKUP($B$5,标准坦克设计!$B$24:$U$30,MATCH("对"&amp;LEFT($C$5,2)&amp;"输出",标准坦克设计!$B$23:$U$23,0)))*(VLOOKUP($B90,INDIRECT($B$5&amp;"生成成长"),3))*(VLOOKUP($B$5,标准坦克设计!$B$14:$K$20,9)/30))</f>
        <v>9.8849345942697973</v>
      </c>
      <c r="EA90" s="172">
        <f ca="1">(VLOOKUP(EA$72,INDIRECT($C$5&amp;"生成成长"),2))/((VLOOKUP($B90,INDIRECT($B$5&amp;"生成成长"),4))/(VLOOKUP(EA$72,INDIRECT($C$5&amp;"生成成长"),5))*(VLOOKUP($B$5,标准坦克设计!$B$24:$U$30,MATCH("对"&amp;LEFT($C$5,2)&amp;"输出",标准坦克设计!$B$23:$U$23,0)))*(VLOOKUP($B90,INDIRECT($B$5&amp;"生成成长"),3))*(VLOOKUP($B$5,标准坦克设计!$B$14:$K$20,9)/30))</f>
        <v>10.892977230055831</v>
      </c>
      <c r="EB90" s="172">
        <f ca="1">(VLOOKUP(EB$72,INDIRECT($C$5&amp;"生成成长"),2))/((VLOOKUP($B90,INDIRECT($B$5&amp;"生成成长"),4))/(VLOOKUP(EB$72,INDIRECT($C$5&amp;"生成成长"),5))*(VLOOKUP($B$5,标准坦克设计!$B$24:$U$30,MATCH("对"&amp;LEFT($C$5,2)&amp;"输出",标准坦克设计!$B$23:$U$23,0)))*(VLOOKUP($B90,INDIRECT($B$5&amp;"生成成长"),3))*(VLOOKUP($B$5,标准坦克设计!$B$14:$K$20,9)/30))</f>
        <v>11.949953974375166</v>
      </c>
      <c r="EC90" s="172">
        <f ca="1">(VLOOKUP(EC$72,INDIRECT($C$5&amp;"生成成长"),2))/((VLOOKUP($B90,INDIRECT($B$5&amp;"生成成长"),4))/(VLOOKUP(EC$72,INDIRECT($C$5&amp;"生成成长"),5))*(VLOOKUP($B$5,标准坦克设计!$B$24:$U$30,MATCH("对"&amp;LEFT($C$5,2)&amp;"输出",标准坦克设计!$B$23:$U$23,0)))*(VLOOKUP($B90,INDIRECT($B$5&amp;"生成成长"),3))*(VLOOKUP($B$5,标准坦克设计!$B$14:$K$20,9)/30))</f>
        <v>13.055864827227808</v>
      </c>
      <c r="ED90" s="172">
        <f ca="1">(VLOOKUP(ED$72,INDIRECT($C$5&amp;"生成成长"),2))/((VLOOKUP($B90,INDIRECT($B$5&amp;"生成成长"),4))/(VLOOKUP(ED$72,INDIRECT($C$5&amp;"生成成长"),5))*(VLOOKUP($B$5,标准坦克设计!$B$24:$U$30,MATCH("对"&amp;LEFT($C$5,2)&amp;"输出",标准坦克设计!$B$23:$U$23,0)))*(VLOOKUP($B90,INDIRECT($B$5&amp;"生成成长"),3))*(VLOOKUP($B$5,标准坦克设计!$B$14:$K$20,9)/30))</f>
        <v>14.210709788613748</v>
      </c>
      <c r="EE90" s="172">
        <f ca="1">(VLOOKUP(EE$72,INDIRECT($C$5&amp;"生成成长"),2))/((VLOOKUP($B90,INDIRECT($B$5&amp;"生成成长"),4))/(VLOOKUP(EE$72,INDIRECT($C$5&amp;"生成成长"),5))*(VLOOKUP($B$5,标准坦克设计!$B$24:$U$30,MATCH("对"&amp;LEFT($C$5,2)&amp;"输出",标准坦克设计!$B$23:$U$23,0)))*(VLOOKUP($B90,INDIRECT($B$5&amp;"生成成长"),3))*(VLOOKUP($B$5,标准坦克设计!$B$14:$K$20,9)/30))</f>
        <v>15.414488858532993</v>
      </c>
      <c r="EF90" s="172">
        <f ca="1">(VLOOKUP(EF$72,INDIRECT($C$5&amp;"生成成长"),2))/((VLOOKUP($B90,INDIRECT($B$5&amp;"生成成长"),4))/(VLOOKUP(EF$72,INDIRECT($C$5&amp;"生成成长"),5))*(VLOOKUP($B$5,标准坦克设计!$B$24:$U$30,MATCH("对"&amp;LEFT($C$5,2)&amp;"输出",标准坦克设计!$B$23:$U$23,0)))*(VLOOKUP($B90,INDIRECT($B$5&amp;"生成成长"),3))*(VLOOKUP($B$5,标准坦克设计!$B$14:$K$20,9)/30))</f>
        <v>16.66720203698554</v>
      </c>
      <c r="EG90" s="172">
        <f ca="1">(VLOOKUP(EG$72,INDIRECT($C$5&amp;"生成成长"),2))/((VLOOKUP($B90,INDIRECT($B$5&amp;"生成成长"),4))/(VLOOKUP(EG$72,INDIRECT($C$5&amp;"生成成长"),5))*(VLOOKUP($B$5,标准坦克设计!$B$24:$U$30,MATCH("对"&amp;LEFT($C$5,2)&amp;"输出",标准坦克设计!$B$23:$U$23,0)))*(VLOOKUP($B90,INDIRECT($B$5&amp;"生成成长"),3))*(VLOOKUP($B$5,标准坦克设计!$B$14:$K$20,9)/30))</f>
        <v>17.968849323971391</v>
      </c>
      <c r="EH90" s="172">
        <f ca="1">(VLOOKUP(EH$72,INDIRECT($C$5&amp;"生成成长"),2))/((VLOOKUP($B90,INDIRECT($B$5&amp;"生成成长"),4))/(VLOOKUP(EH$72,INDIRECT($C$5&amp;"生成成长"),5))*(VLOOKUP($B$5,标准坦克设计!$B$24:$U$30,MATCH("对"&amp;LEFT($C$5,2)&amp;"输出",标准坦克设计!$B$23:$U$23,0)))*(VLOOKUP($B90,INDIRECT($B$5&amp;"生成成长"),3))*(VLOOKUP($B$5,标准坦克设计!$B$14:$K$20,9)/30))</f>
        <v>19.319430719490541</v>
      </c>
      <c r="EI90" s="172">
        <f ca="1">(VLOOKUP(EI$72,INDIRECT($C$5&amp;"生成成长"),2))/((VLOOKUP($B90,INDIRECT($B$5&amp;"生成成长"),4))/(VLOOKUP(EI$72,INDIRECT($C$5&amp;"生成成长"),5))*(VLOOKUP($B$5,标准坦克设计!$B$24:$U$30,MATCH("对"&amp;LEFT($C$5,2)&amp;"输出",标准坦克设计!$B$23:$U$23,0)))*(VLOOKUP($B90,INDIRECT($B$5&amp;"生成成长"),3))*(VLOOKUP($B$5,标准坦克设计!$B$14:$K$20,9)/30))</f>
        <v>20.718946223542993</v>
      </c>
      <c r="EJ90" s="172">
        <f ca="1">(VLOOKUP(EJ$72,INDIRECT($C$5&amp;"生成成长"),2))/((VLOOKUP($B90,INDIRECT($B$5&amp;"生成成长"),4))/(VLOOKUP(EJ$72,INDIRECT($C$5&amp;"生成成长"),5))*(VLOOKUP($B$5,标准坦克设计!$B$24:$U$30,MATCH("对"&amp;LEFT($C$5,2)&amp;"输出",标准坦克设计!$B$23:$U$23,0)))*(VLOOKUP($B90,INDIRECT($B$5&amp;"生成成长"),3))*(VLOOKUP($B$5,标准坦克设计!$B$14:$K$20,9)/30))</f>
        <v>22.167395836128755</v>
      </c>
      <c r="EK90" s="172">
        <f ca="1">(VLOOKUP(EK$72,INDIRECT($C$5&amp;"生成成长"),2))/((VLOOKUP($B90,INDIRECT($B$5&amp;"生成成长"),4))/(VLOOKUP(EK$72,INDIRECT($C$5&amp;"生成成长"),5))*(VLOOKUP($B$5,标准坦克设计!$B$24:$U$30,MATCH("对"&amp;LEFT($C$5,2)&amp;"输出",标准坦克设计!$B$23:$U$23,0)))*(VLOOKUP($B90,INDIRECT($B$5&amp;"生成成长"),3))*(VLOOKUP($B$5,标准坦克设计!$B$14:$K$20,9)/30))</f>
        <v>23.970128394495621</v>
      </c>
      <c r="EL90" s="172">
        <f ca="1">(VLOOKUP(EL$72,INDIRECT($C$5&amp;"生成成长"),2))/((VLOOKUP($B90,INDIRECT($B$5&amp;"生成成长"),4))/(VLOOKUP(EL$72,INDIRECT($C$5&amp;"生成成长"),5))*(VLOOKUP($B$5,标准坦克设计!$B$24:$U$30,MATCH("对"&amp;LEFT($C$5,2)&amp;"输出",标准坦克设计!$B$23:$U$23,0)))*(VLOOKUP($B90,INDIRECT($B$5&amp;"生成成长"),3))*(VLOOKUP($B$5,标准坦克设计!$B$14:$K$20,9)/30))</f>
        <v>25.843326069150447</v>
      </c>
      <c r="EM90" s="172">
        <f ca="1">(VLOOKUP(EM$72,INDIRECT($C$5&amp;"生成成长"),2))/((VLOOKUP($B90,INDIRECT($B$5&amp;"生成成长"),4))/(VLOOKUP(EM$72,INDIRECT($C$5&amp;"生成成长"),5))*(VLOOKUP($B$5,标准坦克设计!$B$24:$U$30,MATCH("对"&amp;LEFT($C$5,2)&amp;"输出",标准坦克设计!$B$23:$U$23,0)))*(VLOOKUP($B90,INDIRECT($B$5&amp;"生成成长"),3))*(VLOOKUP($B$5,标准坦克设计!$B$14:$K$20,9)/30))</f>
        <v>27.786988860093228</v>
      </c>
      <c r="EN90" s="172">
        <f ca="1">(VLOOKUP(EN$72,INDIRECT($C$5&amp;"生成成长"),2))/((VLOOKUP($B90,INDIRECT($B$5&amp;"生成成长"),4))/(VLOOKUP(EN$72,INDIRECT($C$5&amp;"生成成长"),5))*(VLOOKUP($B$5,标准坦克设计!$B$24:$U$30,MATCH("对"&amp;LEFT($C$5,2)&amp;"输出",标准坦克设计!$B$23:$U$23,0)))*(VLOOKUP($B90,INDIRECT($B$5&amp;"生成成长"),3))*(VLOOKUP($B$5,标准坦克设计!$B$14:$K$20,9)/30))</f>
        <v>29.801116767323958</v>
      </c>
      <c r="EO90" s="172">
        <f ca="1">(VLOOKUP(EO$72,INDIRECT($C$5&amp;"生成成长"),2))/((VLOOKUP($B90,INDIRECT($B$5&amp;"生成成长"),4))/(VLOOKUP(EO$72,INDIRECT($C$5&amp;"生成成长"),5))*(VLOOKUP($B$5,标准坦克设计!$B$24:$U$30,MATCH("对"&amp;LEFT($C$5,2)&amp;"输出",标准坦克设计!$B$23:$U$23,0)))*(VLOOKUP($B90,INDIRECT($B$5&amp;"生成成长"),3))*(VLOOKUP($B$5,标准坦克设计!$B$14:$K$20,9)/30))</f>
        <v>31.88570979084265</v>
      </c>
      <c r="EP90" s="172">
        <f ca="1">(VLOOKUP(EP$72,INDIRECT($C$5&amp;"生成成长"),2))/((VLOOKUP($B90,INDIRECT($B$5&amp;"生成成长"),4))/(VLOOKUP(EP$72,INDIRECT($C$5&amp;"生成成长"),5))*(VLOOKUP($B$5,标准坦克设计!$B$24:$U$30,MATCH("对"&amp;LEFT($C$5,2)&amp;"输出",标准坦克设计!$B$23:$U$23,0)))*(VLOOKUP($B90,INDIRECT($B$5&amp;"生成成长"),3))*(VLOOKUP($B$5,标准坦克设计!$B$14:$K$20,9)/30))</f>
        <v>34.040767930649302</v>
      </c>
      <c r="EQ90" s="172">
        <f ca="1">(VLOOKUP(EQ$72,INDIRECT($C$5&amp;"生成成长"),2))/((VLOOKUP($B90,INDIRECT($B$5&amp;"生成成长"),4))/(VLOOKUP(EQ$72,INDIRECT($C$5&amp;"生成成长"),5))*(VLOOKUP($B$5,标准坦克设计!$B$24:$U$30,MATCH("对"&amp;LEFT($C$5,2)&amp;"输出",标准坦克设计!$B$23:$U$23,0)))*(VLOOKUP($B90,INDIRECT($B$5&amp;"生成成长"),3))*(VLOOKUP($B$5,标准坦克设计!$B$14:$K$20,9)/30))</f>
        <v>15.048217056161221</v>
      </c>
      <c r="ER90" s="172">
        <f ca="1">(VLOOKUP(ER$72,INDIRECT($C$5&amp;"生成成长"),2))/((VLOOKUP($B90,INDIRECT($B$5&amp;"生成成长"),4))/(VLOOKUP(ER$72,INDIRECT($C$5&amp;"生成成长"),5))*(VLOOKUP($B$5,标准坦克设计!$B$24:$U$30,MATCH("对"&amp;LEFT($C$5,2)&amp;"输出",标准坦克设计!$B$23:$U$23,0)))*(VLOOKUP($B90,INDIRECT($B$5&amp;"生成成长"),3))*(VLOOKUP($B$5,标准坦克设计!$B$14:$K$20,9)/30))</f>
        <v>16.412744672612366</v>
      </c>
      <c r="ES90" s="172">
        <f ca="1">(VLOOKUP(ES$72,INDIRECT($C$5&amp;"生成成长"),2))/((VLOOKUP($B90,INDIRECT($B$5&amp;"生成成长"),4))/(VLOOKUP(ES$72,INDIRECT($C$5&amp;"生成成长"),5))*(VLOOKUP($B$5,标准坦克设计!$B$24:$U$30,MATCH("对"&amp;LEFT($C$5,2)&amp;"输出",标准坦克设计!$B$23:$U$23,0)))*(VLOOKUP($B90,INDIRECT($B$5&amp;"生成成长"),3))*(VLOOKUP($B$5,标准坦克设计!$B$14:$K$20,9)/30))</f>
        <v>17.836482560388806</v>
      </c>
      <c r="ET90" s="172">
        <f ca="1">(VLOOKUP(ET$72,INDIRECT($C$5&amp;"生成成长"),2))/((VLOOKUP($B90,INDIRECT($B$5&amp;"生成成长"),4))/(VLOOKUP(ET$72,INDIRECT($C$5&amp;"生成成长"),5))*(VLOOKUP($B$5,标准坦克设计!$B$24:$U$30,MATCH("对"&amp;LEFT($C$5,2)&amp;"输出",标准坦克设计!$B$23:$U$23,0)))*(VLOOKUP($B90,INDIRECT($B$5&amp;"生成成长"),3))*(VLOOKUP($B$5,标准坦克设计!$B$14:$K$20,9)/30))</f>
        <v>19.319430719490541</v>
      </c>
      <c r="EU90" s="172">
        <f ca="1">(VLOOKUP(EU$72,INDIRECT($C$5&amp;"生成成长"),2))/((VLOOKUP($B90,INDIRECT($B$5&amp;"生成成长"),4))/(VLOOKUP(EU$72,INDIRECT($C$5&amp;"生成成长"),5))*(VLOOKUP($B$5,标准坦克设计!$B$24:$U$30,MATCH("对"&amp;LEFT($C$5,2)&amp;"输出",标准坦克设计!$B$23:$U$23,0)))*(VLOOKUP($B90,INDIRECT($B$5&amp;"生成成长"),3))*(VLOOKUP($B$5,标准坦克设计!$B$14:$K$20,9)/30))</f>
        <v>20.861589149917577</v>
      </c>
      <c r="EV90" s="172">
        <f ca="1">(VLOOKUP(EV$72,INDIRECT($C$5&amp;"生成成长"),2))/((VLOOKUP($B90,INDIRECT($B$5&amp;"生成成长"),4))/(VLOOKUP(EV$72,INDIRECT($C$5&amp;"生成成长"),5))*(VLOOKUP($B$5,标准坦克设计!$B$24:$U$30,MATCH("对"&amp;LEFT($C$5,2)&amp;"输出",标准坦克设计!$B$23:$U$23,0)))*(VLOOKUP($B90,INDIRECT($B$5&amp;"生成成长"),3))*(VLOOKUP($B$5,标准坦克设计!$B$14:$K$20,9)/30))</f>
        <v>22.462957851669902</v>
      </c>
      <c r="EW90" s="172">
        <f ca="1">(VLOOKUP(EW$72,INDIRECT($C$5&amp;"生成成长"),2))/((VLOOKUP($B90,INDIRECT($B$5&amp;"生成成长"),4))/(VLOOKUP(EW$72,INDIRECT($C$5&amp;"生成成长"),5))*(VLOOKUP($B$5,标准坦克设计!$B$24:$U$30,MATCH("对"&amp;LEFT($C$5,2)&amp;"输出",标准坦克设计!$B$23:$U$23,0)))*(VLOOKUP($B90,INDIRECT($B$5&amp;"生成成长"),3))*(VLOOKUP($B$5,标准坦克设计!$B$14:$K$20,9)/30))</f>
        <v>24.123536824747529</v>
      </c>
      <c r="EX90" s="172">
        <f ca="1">(VLOOKUP(EX$72,INDIRECT($C$5&amp;"生成成长"),2))/((VLOOKUP($B90,INDIRECT($B$5&amp;"生成成长"),4))/(VLOOKUP(EX$72,INDIRECT($C$5&amp;"生成成长"),5))*(VLOOKUP($B$5,标准坦克设计!$B$24:$U$30,MATCH("对"&amp;LEFT($C$5,2)&amp;"输出",标准坦克设计!$B$23:$U$23,0)))*(VLOOKUP($B90,INDIRECT($B$5&amp;"生成成长"),3))*(VLOOKUP($B$5,标准坦克设计!$B$14:$K$20,9)/30))</f>
        <v>25.843326069150447</v>
      </c>
      <c r="EY90" s="172">
        <f ca="1">(VLOOKUP(EY$72,INDIRECT($C$5&amp;"生成成长"),2))/((VLOOKUP($B90,INDIRECT($B$5&amp;"生成成长"),4))/(VLOOKUP(EY$72,INDIRECT($C$5&amp;"生成成长"),5))*(VLOOKUP($B$5,标准坦克设计!$B$24:$U$30,MATCH("对"&amp;LEFT($C$5,2)&amp;"输出",标准坦克设计!$B$23:$U$23,0)))*(VLOOKUP($B90,INDIRECT($B$5&amp;"生成成长"),3))*(VLOOKUP($B$5,标准坦克设计!$B$14:$K$20,9)/30))</f>
        <v>27.622325584878659</v>
      </c>
      <c r="EZ90" s="172">
        <f ca="1">(VLOOKUP(EZ$72,INDIRECT($C$5&amp;"生成成长"),2))/((VLOOKUP($B90,INDIRECT($B$5&amp;"生成成长"),4))/(VLOOKUP(EZ$72,INDIRECT($C$5&amp;"生成成长"),5))*(VLOOKUP($B$5,标准坦克设计!$B$24:$U$30,MATCH("对"&amp;LEFT($C$5,2)&amp;"输出",标准坦克设计!$B$23:$U$23,0)))*(VLOOKUP($B90,INDIRECT($B$5&amp;"生成成长"),3))*(VLOOKUP($B$5,标准坦克设计!$B$14:$K$20,9)/30))</f>
        <v>29.460535371932181</v>
      </c>
      <c r="FA90" s="172">
        <f ca="1">(VLOOKUP(FA$72,INDIRECT($C$5&amp;"生成成长"),2))/((VLOOKUP($B90,INDIRECT($B$5&amp;"生成成长"),4))/(VLOOKUP(FA$72,INDIRECT($C$5&amp;"生成成长"),5))*(VLOOKUP($B$5,标准坦克设计!$B$24:$U$30,MATCH("对"&amp;LEFT($C$5,2)&amp;"输出",标准坦克设计!$B$23:$U$23,0)))*(VLOOKUP($B90,INDIRECT($B$5&amp;"生成成长"),3))*(VLOOKUP($B$5,标准坦克设计!$B$14:$K$20,9)/30))</f>
        <v>31.357955430310991</v>
      </c>
      <c r="FB90" s="172">
        <f ca="1">(VLOOKUP(FB$72,INDIRECT($C$5&amp;"生成成长"),2))/((VLOOKUP($B90,INDIRECT($B$5&amp;"生成成长"),4))/(VLOOKUP(FB$72,INDIRECT($C$5&amp;"生成成长"),5))*(VLOOKUP($B$5,标准坦克设计!$B$24:$U$30,MATCH("对"&amp;LEFT($C$5,2)&amp;"输出",标准坦克设计!$B$23:$U$23,0)))*(VLOOKUP($B90,INDIRECT($B$5&amp;"生成成长"),3))*(VLOOKUP($B$5,标准坦克设计!$B$14:$K$20,9)/30))</f>
        <v>33.314585760015092</v>
      </c>
      <c r="FC90" s="172">
        <f ca="1">(VLOOKUP(FC$72,INDIRECT($C$5&amp;"生成成长"),2))/((VLOOKUP($B90,INDIRECT($B$5&amp;"生成成长"),4))/(VLOOKUP(FC$72,INDIRECT($C$5&amp;"生成成长"),5))*(VLOOKUP($B$5,标准坦克设计!$B$24:$U$30,MATCH("对"&amp;LEFT($C$5,2)&amp;"输出",标准坦克设计!$B$23:$U$23,0)))*(VLOOKUP($B90,INDIRECT($B$5&amp;"生成成长"),3))*(VLOOKUP($B$5,标准坦克设计!$B$14:$K$20,9)/30))</f>
        <v>35.330426361044495</v>
      </c>
      <c r="FD90" s="172">
        <f ca="1">(VLOOKUP(FD$72,INDIRECT($C$5&amp;"生成成长"),2))/((VLOOKUP($B90,INDIRECT($B$5&amp;"生成成长"),4))/(VLOOKUP(FD$72,INDIRECT($C$5&amp;"生成成长"),5))*(VLOOKUP($B$5,标准坦克设计!$B$24:$U$30,MATCH("对"&amp;LEFT($C$5,2)&amp;"输出",标准坦克设计!$B$23:$U$23,0)))*(VLOOKUP($B90,INDIRECT($B$5&amp;"生成成长"),3))*(VLOOKUP($B$5,标准坦克设计!$B$14:$K$20,9)/30))</f>
        <v>37.405477233399189</v>
      </c>
      <c r="FE90" s="172">
        <f ca="1">(VLOOKUP(FE$72,INDIRECT($C$5&amp;"生成成长"),2))/((VLOOKUP($B90,INDIRECT($B$5&amp;"生成成长"),4))/(VLOOKUP(FE$72,INDIRECT($C$5&amp;"生成成长"),5))*(VLOOKUP($B$5,标准坦克设计!$B$24:$U$30,MATCH("对"&amp;LEFT($C$5,2)&amp;"输出",标准坦克设计!$B$23:$U$23,0)))*(VLOOKUP($B90,INDIRECT($B$5&amp;"生成成长"),3))*(VLOOKUP($B$5,标准坦克设计!$B$14:$K$20,9)/30))</f>
        <v>39.934147291857606</v>
      </c>
      <c r="FF90" s="172">
        <f ca="1">(VLOOKUP(FF$72,INDIRECT($C$5&amp;"生成成长"),2))/((VLOOKUP($B90,INDIRECT($B$5&amp;"生成成长"),4))/(VLOOKUP(FF$72,INDIRECT($C$5&amp;"生成成长"),5))*(VLOOKUP($B$5,标准坦克设计!$B$24:$U$30,MATCH("对"&amp;LEFT($C$5,2)&amp;"输出",标准坦克设计!$B$23:$U$23,0)))*(VLOOKUP($B90,INDIRECT($B$5&amp;"生成成长"),3))*(VLOOKUP($B$5,标准坦克设计!$B$14:$K$20,9)/30))</f>
        <v>42.545515993737297</v>
      </c>
      <c r="FG90" s="172">
        <f ca="1">(VLOOKUP(FG$72,INDIRECT($C$5&amp;"生成成长"),2))/((VLOOKUP($B90,INDIRECT($B$5&amp;"生成成长"),4))/(VLOOKUP(FG$72,INDIRECT($C$5&amp;"生成成长"),5))*(VLOOKUP($B$5,标准坦克设计!$B$24:$U$30,MATCH("对"&amp;LEFT($C$5,2)&amp;"输出",标准坦克设计!$B$23:$U$23,0)))*(VLOOKUP($B90,INDIRECT($B$5&amp;"生成成长"),3))*(VLOOKUP($B$5,标准坦克设计!$B$14:$K$20,9)/30))</f>
        <v>45.239583339038269</v>
      </c>
      <c r="FH90" s="172">
        <f ca="1">(VLOOKUP(FH$72,INDIRECT($C$5&amp;"生成成长"),2))/((VLOOKUP($B90,INDIRECT($B$5&amp;"生成成长"),4))/(VLOOKUP(FH$72,INDIRECT($C$5&amp;"生成成长"),5))*(VLOOKUP($B$5,标准坦克设计!$B$24:$U$30,MATCH("对"&amp;LEFT($C$5,2)&amp;"输出",标准坦克设计!$B$23:$U$23,0)))*(VLOOKUP($B90,INDIRECT($B$5&amp;"生成成长"),3))*(VLOOKUP($B$5,标准坦克设计!$B$14:$K$20,9)/30))</f>
        <v>48.01634932776053</v>
      </c>
      <c r="FI90" s="172">
        <f ca="1">(VLOOKUP(FI$72,INDIRECT($C$5&amp;"生成成长"),2))/((VLOOKUP($B90,INDIRECT($B$5&amp;"生成成长"),4))/(VLOOKUP(FI$72,INDIRECT($C$5&amp;"生成成长"),5))*(VLOOKUP($B$5,标准坦克设计!$B$24:$U$30,MATCH("对"&amp;LEFT($C$5,2)&amp;"输出",标准坦克设计!$B$23:$U$23,0)))*(VLOOKUP($B90,INDIRECT($B$5&amp;"生成成长"),3))*(VLOOKUP($B$5,标准坦克设计!$B$14:$K$20,9)/30))</f>
        <v>50.875813959904072</v>
      </c>
      <c r="FJ90" s="172">
        <f ca="1">(VLOOKUP(FJ$72,INDIRECT($C$5&amp;"生成成长"),2))/((VLOOKUP($B90,INDIRECT($B$5&amp;"生成成长"),4))/(VLOOKUP(FJ$72,INDIRECT($C$5&amp;"生成成长"),5))*(VLOOKUP($B$5,标准坦克设计!$B$24:$U$30,MATCH("对"&amp;LEFT($C$5,2)&amp;"输出",标准坦克设计!$B$23:$U$23,0)))*(VLOOKUP($B90,INDIRECT($B$5&amp;"生成成长"),3))*(VLOOKUP($B$5,标准坦克设计!$B$14:$K$20,9)/30))</f>
        <v>53.817977235468895</v>
      </c>
      <c r="FK90" s="172">
        <f ca="1">(VLOOKUP(FK$72,INDIRECT($C$5&amp;"生成成长"),2))/((VLOOKUP($B90,INDIRECT($B$5&amp;"生成成长"),4))/(VLOOKUP(FK$72,INDIRECT($C$5&amp;"生成成长"),5))*(VLOOKUP($B$5,标准坦克设计!$B$24:$U$30,MATCH("对"&amp;LEFT($C$5,2)&amp;"输出",标准坦克设计!$B$23:$U$23,0)))*(VLOOKUP($B90,INDIRECT($B$5&amp;"生成成长"),3))*(VLOOKUP($B$5,标准坦克设计!$B$14:$K$20,9)/30))</f>
        <v>56.842839154454992</v>
      </c>
    </row>
    <row r="91" spans="1:167" x14ac:dyDescent="0.15">
      <c r="A91" s="170" t="str">
        <f t="shared" si="11"/>
        <v>T3低品质7级</v>
      </c>
      <c r="B91" s="171">
        <v>10307</v>
      </c>
      <c r="C91" s="172">
        <f ca="1">(VLOOKUP(C$72,INDIRECT($C$5&amp;"生成成长"),2))/((VLOOKUP($B91,INDIRECT($B$5&amp;"生成成长"),4))/(VLOOKUP(C$72,INDIRECT($C$5&amp;"生成成长"),5))*(VLOOKUP($B$5,标准坦克设计!$B$24:$U$30,MATCH("对"&amp;LEFT($C$5,2)&amp;"输出",标准坦克设计!$B$23:$U$23,0)))*(VLOOKUP($B91,INDIRECT($B$5&amp;"生成成长"),3))*(VLOOKUP($B$5,标准坦克设计!$B$14:$K$20,9)/30))</f>
        <v>2.2393451988879782</v>
      </c>
      <c r="D91" s="172">
        <f ca="1">(VLOOKUP(D$72,INDIRECT($C$5&amp;"生成成长"),2))/((VLOOKUP($B91,INDIRECT($B$5&amp;"生成成长"),4))/(VLOOKUP(D$72,INDIRECT($C$5&amp;"生成成长"),5))*(VLOOKUP($B$5,标准坦克设计!$B$24:$U$30,MATCH("对"&amp;LEFT($C$5,2)&amp;"输出",标准坦克设计!$B$23:$U$23,0)))*(VLOOKUP($B91,INDIRECT($B$5&amp;"生成成长"),3))*(VLOOKUP($B$5,标准坦克设计!$B$14:$K$20,9)/30))</f>
        <v>2.5161282654705328</v>
      </c>
      <c r="E91" s="172">
        <f ca="1">(VLOOKUP(E$72,INDIRECT($C$5&amp;"生成成长"),2))/((VLOOKUP($B91,INDIRECT($B$5&amp;"生成成长"),4))/(VLOOKUP(E$72,INDIRECT($C$5&amp;"生成成长"),5))*(VLOOKUP($B$5,标准坦克设计!$B$24:$U$30,MATCH("对"&amp;LEFT($C$5,2)&amp;"输出",标准坦克设计!$B$23:$U$23,0)))*(VLOOKUP($B91,INDIRECT($B$5&amp;"生成成长"),3))*(VLOOKUP($B$5,标准坦克设计!$B$14:$K$20,9)/30))</f>
        <v>2.8090346174850795</v>
      </c>
      <c r="F91" s="172">
        <f ca="1">(VLOOKUP(F$72,INDIRECT($C$5&amp;"生成成长"),2))/((VLOOKUP($B91,INDIRECT($B$5&amp;"生成成长"),4))/(VLOOKUP(F$72,INDIRECT($C$5&amp;"生成成长"),5))*(VLOOKUP($B$5,标准坦克设计!$B$24:$U$30,MATCH("对"&amp;LEFT($C$5,2)&amp;"输出",标准坦克设计!$B$23:$U$23,0)))*(VLOOKUP($B91,INDIRECT($B$5&amp;"生成成长"),3))*(VLOOKUP($B$5,标准坦克设计!$B$14:$K$20,9)/30))</f>
        <v>3.1180642549316206</v>
      </c>
      <c r="G91" s="172">
        <f ca="1">(VLOOKUP(G$72,INDIRECT($C$5&amp;"生成成长"),2))/((VLOOKUP($B91,INDIRECT($B$5&amp;"生成成长"),4))/(VLOOKUP(G$72,INDIRECT($C$5&amp;"生成成长"),5))*(VLOOKUP($B$5,标准坦克设计!$B$24:$U$30,MATCH("对"&amp;LEFT($C$5,2)&amp;"输出",标准坦克设计!$B$23:$U$23,0)))*(VLOOKUP($B91,INDIRECT($B$5&amp;"生成成长"),3))*(VLOOKUP($B$5,标准坦克设计!$B$14:$K$20,9)/30))</f>
        <v>3.4432171778101557</v>
      </c>
      <c r="H91" s="172">
        <f ca="1">(VLOOKUP(H$72,INDIRECT($C$5&amp;"生成成长"),2))/((VLOOKUP($B91,INDIRECT($B$5&amp;"生成成长"),4))/(VLOOKUP(H$72,INDIRECT($C$5&amp;"生成成长"),5))*(VLOOKUP($B$5,标准坦克设计!$B$24:$U$30,MATCH("对"&amp;LEFT($C$5,2)&amp;"输出",标准坦克设计!$B$23:$U$23,0)))*(VLOOKUP($B91,INDIRECT($B$5&amp;"生成成长"),3))*(VLOOKUP($B$5,标准坦克设计!$B$14:$K$20,9)/30))</f>
        <v>3.0132628996236637</v>
      </c>
      <c r="I91" s="172">
        <f ca="1">(VLOOKUP(I$72,INDIRECT($C$5&amp;"生成成长"),2))/((VLOOKUP($B91,INDIRECT($B$5&amp;"生成成长"),4))/(VLOOKUP(I$72,INDIRECT($C$5&amp;"生成成长"),5))*(VLOOKUP($B$5,标准坦克设计!$B$24:$U$30,MATCH("对"&amp;LEFT($C$5,2)&amp;"输出",标准坦克设计!$B$23:$U$23,0)))*(VLOOKUP($B91,INDIRECT($B$5&amp;"生成成长"),3))*(VLOOKUP($B$5,标准坦克设计!$B$14:$K$20,9)/30))</f>
        <v>3.4432171778101557</v>
      </c>
      <c r="J91" s="172">
        <f ca="1">(VLOOKUP(J$72,INDIRECT($C$5&amp;"生成成长"),2))/((VLOOKUP($B91,INDIRECT($B$5&amp;"生成成长"),4))/(VLOOKUP(J$72,INDIRECT($C$5&amp;"生成成长"),5))*(VLOOKUP($B$5,标准坦克设计!$B$24:$U$30,MATCH("对"&amp;LEFT($C$5,2)&amp;"输出",标准坦克设计!$B$23:$U$23,0)))*(VLOOKUP($B91,INDIRECT($B$5&amp;"生成成长"),3))*(VLOOKUP($B$5,标准坦克设计!$B$14:$K$20,9)/30))</f>
        <v>3.9018350745424133</v>
      </c>
      <c r="K91" s="172">
        <f ca="1">(VLOOKUP(K$72,INDIRECT($C$5&amp;"生成成长"),2))/((VLOOKUP($B91,INDIRECT($B$5&amp;"生成成长"),4))/(VLOOKUP(K$72,INDIRECT($C$5&amp;"生成成长"),5))*(VLOOKUP($B$5,标准坦克设计!$B$24:$U$30,MATCH("对"&amp;LEFT($C$5,2)&amp;"输出",标准坦克设计!$B$23:$U$23,0)))*(VLOOKUP($B91,INDIRECT($B$5&amp;"生成成长"),3))*(VLOOKUP($B$5,标准坦克设计!$B$14:$K$20,9)/30))</f>
        <v>4.3891165898204365</v>
      </c>
      <c r="L91" s="172">
        <f ca="1">(VLOOKUP(L$72,INDIRECT($C$5&amp;"生成成长"),2))/((VLOOKUP($B91,INDIRECT($B$5&amp;"生成成长"),4))/(VLOOKUP(L$72,INDIRECT($C$5&amp;"生成成长"),5))*(VLOOKUP($B$5,标准坦克设计!$B$24:$U$30,MATCH("对"&amp;LEFT($C$5,2)&amp;"输出",标准坦克设计!$B$23:$U$23,0)))*(VLOOKUP($B91,INDIRECT($B$5&amp;"生成成长"),3))*(VLOOKUP($B$5,标准坦克设计!$B$14:$K$20,9)/30))</f>
        <v>4.9050617236442271</v>
      </c>
      <c r="M91" s="172">
        <f ca="1">(VLOOKUP(M$72,INDIRECT($C$5&amp;"生成成长"),2))/((VLOOKUP($B91,INDIRECT($B$5&amp;"生成成长"),4))/(VLOOKUP(M$72,INDIRECT($C$5&amp;"生成成长"),5))*(VLOOKUP($B$5,标准坦克设计!$B$24:$U$30,MATCH("对"&amp;LEFT($C$5,2)&amp;"输出",标准坦克设计!$B$23:$U$23,0)))*(VLOOKUP($B91,INDIRECT($B$5&amp;"生成成长"),3))*(VLOOKUP($B$5,标准坦克设计!$B$14:$K$20,9)/30))</f>
        <v>5.4496704760137842</v>
      </c>
      <c r="N91" s="172">
        <f ca="1">(VLOOKUP(N$72,INDIRECT($C$5&amp;"生成成长"),2))/((VLOOKUP($B91,INDIRECT($B$5&amp;"生成成长"),4))/(VLOOKUP(N$72,INDIRECT($C$5&amp;"生成成长"),5))*(VLOOKUP($B$5,标准坦克设计!$B$24:$U$30,MATCH("对"&amp;LEFT($C$5,2)&amp;"输出",标准坦克设计!$B$23:$U$23,0)))*(VLOOKUP($B91,INDIRECT($B$5&amp;"生成成长"),3))*(VLOOKUP($B$5,标准坦克设计!$B$14:$K$20,9)/30))</f>
        <v>6.0229428469291069</v>
      </c>
      <c r="O91" s="172">
        <f ca="1">(VLOOKUP(O$72,INDIRECT($C$5&amp;"生成成长"),2))/((VLOOKUP($B91,INDIRECT($B$5&amp;"生成成长"),4))/(VLOOKUP(O$72,INDIRECT($C$5&amp;"生成成长"),5))*(VLOOKUP($B$5,标准坦克设计!$B$24:$U$30,MATCH("对"&amp;LEFT($C$5,2)&amp;"输出",标准坦克设计!$B$23:$U$23,0)))*(VLOOKUP($B91,INDIRECT($B$5&amp;"生成成长"),3))*(VLOOKUP($B$5,标准坦克设计!$B$14:$K$20,9)/30))</f>
        <v>4.5792369972060261</v>
      </c>
      <c r="P91" s="172">
        <f ca="1">(VLOOKUP(P$72,INDIRECT($C$5&amp;"生成成长"),2))/((VLOOKUP($B91,INDIRECT($B$5&amp;"生成成长"),4))/(VLOOKUP(P$72,INDIRECT($C$5&amp;"生成成长"),5))*(VLOOKUP($B$5,标准坦克设计!$B$24:$U$30,MATCH("对"&amp;LEFT($C$5,2)&amp;"输出",标准坦克设计!$B$23:$U$23,0)))*(VLOOKUP($B91,INDIRECT($B$5&amp;"生成成长"),3))*(VLOOKUP($B$5,标准坦克设计!$B$14:$K$20,9)/30))</f>
        <v>5.1737831475107852</v>
      </c>
      <c r="Q91" s="172">
        <f ca="1">(VLOOKUP(Q$72,INDIRECT($C$5&amp;"生成成长"),2))/((VLOOKUP($B91,INDIRECT($B$5&amp;"生成成长"),4))/(VLOOKUP(Q$72,INDIRECT($C$5&amp;"生成成长"),5))*(VLOOKUP($B$5,标准坦克设计!$B$24:$U$30,MATCH("对"&amp;LEFT($C$5,2)&amp;"输出",标准坦克设计!$B$23:$U$23,0)))*(VLOOKUP($B91,INDIRECT($B$5&amp;"生成成长"),3))*(VLOOKUP($B$5,标准坦克设计!$B$14:$K$20,9)/30))</f>
        <v>5.804606690037529</v>
      </c>
      <c r="R91" s="172">
        <f ca="1">(VLOOKUP(R$72,INDIRECT($C$5&amp;"生成成长"),2))/((VLOOKUP($B91,INDIRECT($B$5&amp;"生成成长"),4))/(VLOOKUP(R$72,INDIRECT($C$5&amp;"生成成长"),5))*(VLOOKUP($B$5,标准坦克设计!$B$24:$U$30,MATCH("对"&amp;LEFT($C$5,2)&amp;"输出",标准坦克设计!$B$23:$U$23,0)))*(VLOOKUP($B91,INDIRECT($B$5&amp;"生成成长"),3))*(VLOOKUP($B$5,标准坦克设计!$B$14:$K$20,9)/30))</f>
        <v>6.4717076247862559</v>
      </c>
      <c r="S91" s="172">
        <f ca="1">(VLOOKUP(S$72,INDIRECT($C$5&amp;"生成成长"),2))/((VLOOKUP($B91,INDIRECT($B$5&amp;"生成成长"),4))/(VLOOKUP(S$72,INDIRECT($C$5&amp;"生成成长"),5))*(VLOOKUP($B$5,标准坦克设计!$B$24:$U$30,MATCH("对"&amp;LEFT($C$5,2)&amp;"输出",标准坦克设计!$B$23:$U$23,0)))*(VLOOKUP($B91,INDIRECT($B$5&amp;"生成成长"),3))*(VLOOKUP($B$5,标准坦克设计!$B$14:$K$20,9)/30))</f>
        <v>7.1750859517569712</v>
      </c>
      <c r="T91" s="172">
        <f ca="1">(VLOOKUP(T$72,INDIRECT($C$5&amp;"生成成长"),2))/((VLOOKUP($B91,INDIRECT($B$5&amp;"生成成长"),4))/(VLOOKUP(T$72,INDIRECT($C$5&amp;"生成成长"),5))*(VLOOKUP($B$5,标准坦克设计!$B$24:$U$30,MATCH("对"&amp;LEFT($C$5,2)&amp;"输出",标准坦克设计!$B$23:$U$23,0)))*(VLOOKUP($B91,INDIRECT($B$5&amp;"生成成长"),3))*(VLOOKUP($B$5,标准坦克设计!$B$14:$K$20,9)/30))</f>
        <v>7.9147416709496694</v>
      </c>
      <c r="U91" s="172">
        <f ca="1">(VLOOKUP(U$72,INDIRECT($C$5&amp;"生成成长"),2))/((VLOOKUP($B91,INDIRECT($B$5&amp;"生成成长"),4))/(VLOOKUP(U$72,INDIRECT($C$5&amp;"生成成长"),5))*(VLOOKUP($B$5,标准坦克设计!$B$24:$U$30,MATCH("对"&amp;LEFT($C$5,2)&amp;"输出",标准坦克设计!$B$23:$U$23,0)))*(VLOOKUP($B91,INDIRECT($B$5&amp;"生成成长"),3))*(VLOOKUP($B$5,标准坦克设计!$B$14:$K$20,9)/30))</f>
        <v>8.6906747823643542</v>
      </c>
      <c r="V91" s="172">
        <f ca="1">(VLOOKUP(V$72,INDIRECT($C$5&amp;"生成成长"),2))/((VLOOKUP($B91,INDIRECT($B$5&amp;"生成成长"),4))/(VLOOKUP(V$72,INDIRECT($C$5&amp;"生成成长"),5))*(VLOOKUP($B$5,标准坦克设计!$B$24:$U$30,MATCH("对"&amp;LEFT($C$5,2)&amp;"输出",标准坦克设计!$B$23:$U$23,0)))*(VLOOKUP($B91,INDIRECT($B$5&amp;"生成成长"),3))*(VLOOKUP($B$5,标准坦克设计!$B$14:$K$20,9)/30))</f>
        <v>9.5028852860010247</v>
      </c>
      <c r="W91" s="172">
        <f ca="1">(VLOOKUP(W$72,INDIRECT($C$5&amp;"生成成长"),2))/((VLOOKUP($B91,INDIRECT($B$5&amp;"生成成长"),4))/(VLOOKUP(W$72,INDIRECT($C$5&amp;"生成成长"),5))*(VLOOKUP($B$5,标准坦克设计!$B$24:$U$30,MATCH("对"&amp;LEFT($C$5,2)&amp;"输出",标准坦克设计!$B$23:$U$23,0)))*(VLOOKUP($B91,INDIRECT($B$5&amp;"生成成长"),3))*(VLOOKUP($B$5,标准坦克设计!$B$14:$K$20,9)/30))</f>
        <v>10.35137318185968</v>
      </c>
      <c r="X91" s="172">
        <f ca="1">(VLOOKUP(X$72,INDIRECT($C$5&amp;"生成成长"),2))/((VLOOKUP($B91,INDIRECT($B$5&amp;"生成成长"),4))/(VLOOKUP(X$72,INDIRECT($C$5&amp;"生成成长"),5))*(VLOOKUP($B$5,标准坦克设计!$B$24:$U$30,MATCH("对"&amp;LEFT($C$5,2)&amp;"输出",标准坦克设计!$B$23:$U$23,0)))*(VLOOKUP($B91,INDIRECT($B$5&amp;"生成成长"),3))*(VLOOKUP($B$5,标准坦克设计!$B$14:$K$20,9)/30))</f>
        <v>7.4993431365559493</v>
      </c>
      <c r="Y91" s="172">
        <f ca="1">(VLOOKUP(Y$72,INDIRECT($C$5&amp;"生成成长"),2))/((VLOOKUP($B91,INDIRECT($B$5&amp;"生成成长"),4))/(VLOOKUP(Y$72,INDIRECT($C$5&amp;"生成成长"),5))*(VLOOKUP($B$5,标准坦克设计!$B$24:$U$30,MATCH("对"&amp;LEFT($C$5,2)&amp;"输出",标准坦克设计!$B$23:$U$23,0)))*(VLOOKUP($B91,INDIRECT($B$5&amp;"生成成长"),3))*(VLOOKUP($B$5,标准坦克设计!$B$14:$K$20,9)/30))</f>
        <v>8.3413369313378283</v>
      </c>
      <c r="Z91" s="172">
        <f ca="1">(VLOOKUP(Z$72,INDIRECT($C$5&amp;"生成成长"),2))/((VLOOKUP($B91,INDIRECT($B$5&amp;"生成成长"),4))/(VLOOKUP(Z$72,INDIRECT($C$5&amp;"生成成长"),5))*(VLOOKUP($B$5,标准坦克设计!$B$24:$U$30,MATCH("对"&amp;LEFT($C$5,2)&amp;"输出",标准坦克设计!$B$23:$U$23,0)))*(VLOOKUP($B91,INDIRECT($B$5&amp;"生成成长"),3))*(VLOOKUP($B$5,标准坦克设计!$B$14:$K$20,9)/30))</f>
        <v>9.2281176300974685</v>
      </c>
      <c r="AA91" s="172">
        <f ca="1">(VLOOKUP(AA$72,INDIRECT($C$5&amp;"生成成长"),2))/((VLOOKUP($B91,INDIRECT($B$5&amp;"生成成长"),4))/(VLOOKUP(AA$72,INDIRECT($C$5&amp;"生成成长"),5))*(VLOOKUP($B$5,标准坦克设计!$B$24:$U$30,MATCH("对"&amp;LEFT($C$5,2)&amp;"输出",标准坦克设计!$B$23:$U$23,0)))*(VLOOKUP($B91,INDIRECT($B$5&amp;"生成成长"),3))*(VLOOKUP($B$5,标准坦克设计!$B$14:$K$20,9)/30))</f>
        <v>10.159685232834869</v>
      </c>
      <c r="AB91" s="172">
        <f ca="1">(VLOOKUP(AB$72,INDIRECT($C$5&amp;"生成成长"),2))/((VLOOKUP($B91,INDIRECT($B$5&amp;"生成成长"),4))/(VLOOKUP(AB$72,INDIRECT($C$5&amp;"生成成长"),5))*(VLOOKUP($B$5,标准坦克设计!$B$24:$U$30,MATCH("对"&amp;LEFT($C$5,2)&amp;"输出",标准坦克设计!$B$23:$U$23,0)))*(VLOOKUP($B91,INDIRECT($B$5&amp;"生成成长"),3))*(VLOOKUP($B$5,标准坦克设计!$B$14:$K$20,9)/30))</f>
        <v>11.136039739550027</v>
      </c>
      <c r="AC91" s="172">
        <f ca="1">(VLOOKUP(AC$72,INDIRECT($C$5&amp;"生成成长"),2))/((VLOOKUP($B91,INDIRECT($B$5&amp;"生成成长"),4))/(VLOOKUP(AC$72,INDIRECT($C$5&amp;"生成成长"),5))*(VLOOKUP($B$5,标准坦克设计!$B$24:$U$30,MATCH("对"&amp;LEFT($C$5,2)&amp;"输出",标准坦克设计!$B$23:$U$23,0)))*(VLOOKUP($B91,INDIRECT($B$5&amp;"生成成长"),3))*(VLOOKUP($B$5,标准坦克设计!$B$14:$K$20,9)/30))</f>
        <v>12.157181150242947</v>
      </c>
      <c r="AD91" s="172">
        <f ca="1">(VLOOKUP(AD$72,INDIRECT($C$5&amp;"生成成长"),2))/((VLOOKUP($B91,INDIRECT($B$5&amp;"生成成长"),4))/(VLOOKUP(AD$72,INDIRECT($C$5&amp;"生成成长"),5))*(VLOOKUP($B$5,标准坦克设计!$B$24:$U$30,MATCH("对"&amp;LEFT($C$5,2)&amp;"输出",标准坦克设计!$B$23:$U$23,0)))*(VLOOKUP($B91,INDIRECT($B$5&amp;"生成成长"),3))*(VLOOKUP($B$5,标准坦克设计!$B$14:$K$20,9)/30))</f>
        <v>13.223109464913621</v>
      </c>
      <c r="AE91" s="172">
        <f ca="1">(VLOOKUP(AE$72,INDIRECT($C$5&amp;"生成成长"),2))/((VLOOKUP($B91,INDIRECT($B$5&amp;"生成成长"),4))/(VLOOKUP(AE$72,INDIRECT($C$5&amp;"生成成长"),5))*(VLOOKUP($B$5,标准坦克设计!$B$24:$U$30,MATCH("对"&amp;LEFT($C$5,2)&amp;"输出",标准坦克设计!$B$23:$U$23,0)))*(VLOOKUP($B91,INDIRECT($B$5&amp;"生成成长"),3))*(VLOOKUP($B$5,标准坦克设计!$B$14:$K$20,9)/30))</f>
        <v>14.333824683562062</v>
      </c>
      <c r="AF91" s="172">
        <f ca="1">(VLOOKUP(AF$72,INDIRECT($C$5&amp;"生成成长"),2))/((VLOOKUP($B91,INDIRECT($B$5&amp;"生成成长"),4))/(VLOOKUP(AF$72,INDIRECT($C$5&amp;"生成成长"),5))*(VLOOKUP($B$5,标准坦克设计!$B$24:$U$30,MATCH("对"&amp;LEFT($C$5,2)&amp;"输出",标准坦克设计!$B$23:$U$23,0)))*(VLOOKUP($B91,INDIRECT($B$5&amp;"生成成长"),3))*(VLOOKUP($B$5,标准坦克设计!$B$14:$K$20,9)/30))</f>
        <v>15.489326806188258</v>
      </c>
      <c r="AG91" s="172">
        <f ca="1">(VLOOKUP(AG$72,INDIRECT($C$5&amp;"生成成长"),2))/((VLOOKUP($B91,INDIRECT($B$5&amp;"生成成长"),4))/(VLOOKUP(AG$72,INDIRECT($C$5&amp;"生成成长"),5))*(VLOOKUP($B$5,标准坦克设计!$B$24:$U$30,MATCH("对"&amp;LEFT($C$5,2)&amp;"输出",标准坦克设计!$B$23:$U$23,0)))*(VLOOKUP($B91,INDIRECT($B$5&amp;"生成成长"),3))*(VLOOKUP($B$5,标准坦克设计!$B$14:$K$20,9)/30))</f>
        <v>16.689615832792214</v>
      </c>
      <c r="AH91" s="172">
        <f ca="1">(VLOOKUP(AH$72,INDIRECT($C$5&amp;"生成成长"),2))/((VLOOKUP($B91,INDIRECT($B$5&amp;"生成成长"),4))/(VLOOKUP(AH$72,INDIRECT($C$5&amp;"生成成长"),5))*(VLOOKUP($B$5,标准坦克设计!$B$24:$U$30,MATCH("对"&amp;LEFT($C$5,2)&amp;"输出",标准坦克设计!$B$23:$U$23,0)))*(VLOOKUP($B91,INDIRECT($B$5&amp;"生成成长"),3))*(VLOOKUP($B$5,标准坦克设计!$B$14:$K$20,9)/30))</f>
        <v>17.93469176337393</v>
      </c>
      <c r="AI91" s="172">
        <f ca="1">(VLOOKUP(AI$72,INDIRECT($C$5&amp;"生成成长"),2))/((VLOOKUP($B91,INDIRECT($B$5&amp;"生成成长"),4))/(VLOOKUP(AI$72,INDIRECT($C$5&amp;"生成成长"),5))*(VLOOKUP($B$5,标准坦克设计!$B$24:$U$30,MATCH("对"&amp;LEFT($C$5,2)&amp;"输出",标准坦克设计!$B$23:$U$23,0)))*(VLOOKUP($B91,INDIRECT($B$5&amp;"生成成长"),3))*(VLOOKUP($B$5,标准坦克设计!$B$14:$K$20,9)/30))</f>
        <v>12.684546944581063</v>
      </c>
      <c r="AJ91" s="172">
        <f ca="1">(VLOOKUP(AJ$72,INDIRECT($C$5&amp;"生成成长"),2))/((VLOOKUP($B91,INDIRECT($B$5&amp;"生成成长"),4))/(VLOOKUP(AJ$72,INDIRECT($C$5&amp;"生成成长"),5))*(VLOOKUP($B$5,标准坦克设计!$B$24:$U$30,MATCH("对"&amp;LEFT($C$5,2)&amp;"输出",标准坦克设计!$B$23:$U$23,0)))*(VLOOKUP($B91,INDIRECT($B$5&amp;"生成成长"),3))*(VLOOKUP($B$5,标准坦克设计!$B$14:$K$20,9)/30))</f>
        <v>13.884164167625352</v>
      </c>
      <c r="AK91" s="172">
        <f ca="1">(VLOOKUP(AK$72,INDIRECT($C$5&amp;"生成成长"),2))/((VLOOKUP($B91,INDIRECT($B$5&amp;"生成成长"),4))/(VLOOKUP(AK$72,INDIRECT($C$5&amp;"生成成长"),5))*(VLOOKUP($B$5,标准坦克设计!$B$24:$U$30,MATCH("对"&amp;LEFT($C$5,2)&amp;"输出",标准坦克设计!$B$23:$U$23,0)))*(VLOOKUP($B91,INDIRECT($B$5&amp;"生成成长"),3))*(VLOOKUP($B$5,标准坦克设计!$B$14:$K$20,9)/30))</f>
        <v>15.137973544482735</v>
      </c>
      <c r="AL91" s="172">
        <f ca="1">(VLOOKUP(AL$72,INDIRECT($C$5&amp;"生成成长"),2))/((VLOOKUP($B91,INDIRECT($B$5&amp;"生成成长"),4))/(VLOOKUP(AL$72,INDIRECT($C$5&amp;"生成成长"),5))*(VLOOKUP($B$5,标准坦克设计!$B$24:$U$30,MATCH("对"&amp;LEFT($C$5,2)&amp;"输出",标准坦克设计!$B$23:$U$23,0)))*(VLOOKUP($B91,INDIRECT($B$5&amp;"生成成长"),3))*(VLOOKUP($B$5,标准坦克设计!$B$14:$K$20,9)/30))</f>
        <v>16.4459750751532</v>
      </c>
      <c r="AM91" s="172">
        <f ca="1">(VLOOKUP(AM$72,INDIRECT($C$5&amp;"生成成长"),2))/((VLOOKUP($B91,INDIRECT($B$5&amp;"生成成长"),4))/(VLOOKUP(AM$72,INDIRECT($C$5&amp;"生成成长"),5))*(VLOOKUP($B$5,标准坦克设计!$B$24:$U$30,MATCH("对"&amp;LEFT($C$5,2)&amp;"输出",标准坦克设计!$B$23:$U$23,0)))*(VLOOKUP($B91,INDIRECT($B$5&amp;"生成成长"),3))*(VLOOKUP($B$5,标准坦克设计!$B$14:$K$20,9)/30))</f>
        <v>17.808168759636757</v>
      </c>
      <c r="AN91" s="172">
        <f ca="1">(VLOOKUP(AN$72,INDIRECT($C$5&amp;"生成成长"),2))/((VLOOKUP($B91,INDIRECT($B$5&amp;"生成成长"),4))/(VLOOKUP(AN$72,INDIRECT($C$5&amp;"生成成长"),5))*(VLOOKUP($B$5,标准坦克设计!$B$24:$U$30,MATCH("对"&amp;LEFT($C$5,2)&amp;"输出",标准坦克设计!$B$23:$U$23,0)))*(VLOOKUP($B91,INDIRECT($B$5&amp;"生成成长"),3))*(VLOOKUP($B$5,标准坦克设计!$B$14:$K$20,9)/30))</f>
        <v>19.224554597933402</v>
      </c>
      <c r="AO91" s="172">
        <f ca="1">(VLOOKUP(AO$72,INDIRECT($C$5&amp;"生成成长"),2))/((VLOOKUP($B91,INDIRECT($B$5&amp;"生成成长"),4))/(VLOOKUP(AO$72,INDIRECT($C$5&amp;"生成成长"),5))*(VLOOKUP($B$5,标准坦克设计!$B$24:$U$30,MATCH("对"&amp;LEFT($C$5,2)&amp;"输出",标准坦克设计!$B$23:$U$23,0)))*(VLOOKUP($B91,INDIRECT($B$5&amp;"生成成长"),3))*(VLOOKUP($B$5,标准坦克设计!$B$14:$K$20,9)/30))</f>
        <v>20.695132590043141</v>
      </c>
      <c r="AP91" s="172">
        <f ca="1">(VLOOKUP(AP$72,INDIRECT($C$5&amp;"生成成长"),2))/((VLOOKUP($B91,INDIRECT($B$5&amp;"生成成长"),4))/(VLOOKUP(AP$72,INDIRECT($C$5&amp;"生成成长"),5))*(VLOOKUP($B$5,标准坦克设计!$B$24:$U$30,MATCH("对"&amp;LEFT($C$5,2)&amp;"输出",标准坦克设计!$B$23:$U$23,0)))*(VLOOKUP($B91,INDIRECT($B$5&amp;"生成成长"),3))*(VLOOKUP($B$5,标准坦克设计!$B$14:$K$20,9)/30))</f>
        <v>22.21990273596596</v>
      </c>
      <c r="AQ91" s="172">
        <f ca="1">(VLOOKUP(AQ$72,INDIRECT($C$5&amp;"生成成长"),2))/((VLOOKUP($B91,INDIRECT($B$5&amp;"生成成长"),4))/(VLOOKUP(AQ$72,INDIRECT($C$5&amp;"生成成长"),5))*(VLOOKUP($B$5,标准坦克设计!$B$24:$U$30,MATCH("对"&amp;LEFT($C$5,2)&amp;"输出",标准坦克设计!$B$23:$U$23,0)))*(VLOOKUP($B91,INDIRECT($B$5&amp;"生成成长"),3))*(VLOOKUP($B$5,标准坦克设计!$B$14:$K$20,9)/30))</f>
        <v>23.79886503570188</v>
      </c>
      <c r="AR91" s="172">
        <f ca="1">(VLOOKUP(AR$72,INDIRECT($C$5&amp;"生成成长"),2))/((VLOOKUP($B91,INDIRECT($B$5&amp;"生成成长"),4))/(VLOOKUP(AR$72,INDIRECT($C$5&amp;"生成成长"),5))*(VLOOKUP($B$5,标准坦克设计!$B$24:$U$30,MATCH("对"&amp;LEFT($C$5,2)&amp;"输出",标准坦克设计!$B$23:$U$23,0)))*(VLOOKUP($B91,INDIRECT($B$5&amp;"生成成长"),3))*(VLOOKUP($B$5,标准坦克设计!$B$14:$K$20,9)/30))</f>
        <v>25.432019489250884</v>
      </c>
      <c r="AS91" s="172">
        <f ca="1">(VLOOKUP(AS$72,INDIRECT($C$5&amp;"生成成长"),2))/((VLOOKUP($B91,INDIRECT($B$5&amp;"生成成长"),4))/(VLOOKUP(AS$72,INDIRECT($C$5&amp;"生成成长"),5))*(VLOOKUP($B$5,标准坦克设计!$B$24:$U$30,MATCH("对"&amp;LEFT($C$5,2)&amp;"输出",标准坦克设计!$B$23:$U$23,0)))*(VLOOKUP($B91,INDIRECT($B$5&amp;"生成成长"),3))*(VLOOKUP($B$5,标准坦克设计!$B$14:$K$20,9)/30))</f>
        <v>27.119366096612971</v>
      </c>
      <c r="AT91" s="172">
        <f ca="1">(VLOOKUP(AT$72,INDIRECT($C$5&amp;"生成成长"),2))/((VLOOKUP($B91,INDIRECT($B$5&amp;"生成成长"),4))/(VLOOKUP(AT$72,INDIRECT($C$5&amp;"生成成长"),5))*(VLOOKUP($B$5,标准坦克设计!$B$24:$U$30,MATCH("对"&amp;LEFT($C$5,2)&amp;"输出",标准坦克设计!$B$23:$U$23,0)))*(VLOOKUP($B91,INDIRECT($B$5&amp;"生成成长"),3))*(VLOOKUP($B$5,标准坦克设计!$B$14:$K$20,9)/30))</f>
        <v>28.860904857788153</v>
      </c>
      <c r="AU91" s="172">
        <f ca="1">(VLOOKUP(AU$72,INDIRECT($C$5&amp;"生成成长"),2))/((VLOOKUP($B91,INDIRECT($B$5&amp;"生成成长"),4))/(VLOOKUP(AU$72,INDIRECT($C$5&amp;"生成成长"),5))*(VLOOKUP($B$5,标准坦克设计!$B$24:$U$30,MATCH("对"&amp;LEFT($C$5,2)&amp;"输出",标准坦克设计!$B$23:$U$23,0)))*(VLOOKUP($B91,INDIRECT($B$5&amp;"生成成长"),3))*(VLOOKUP($B$5,标准坦克设计!$B$14:$K$20,9)/30))</f>
        <v>30.656635772776422</v>
      </c>
      <c r="AV91" s="172">
        <f ca="1">(VLOOKUP(AV$72,INDIRECT($C$5&amp;"生成成长"),2))/((VLOOKUP($B91,INDIRECT($B$5&amp;"生成成长"),4))/(VLOOKUP(AV$72,INDIRECT($C$5&amp;"生成成长"),5))*(VLOOKUP($B$5,标准坦克设计!$B$24:$U$30,MATCH("对"&amp;LEFT($C$5,2)&amp;"输出",标准坦克设计!$B$23:$U$23,0)))*(VLOOKUP($B91,INDIRECT($B$5&amp;"生成成长"),3))*(VLOOKUP($B$5,标准坦克设计!$B$14:$K$20,9)/30))</f>
        <v>3.1180642549316206</v>
      </c>
      <c r="AW91" s="172">
        <f ca="1">(VLOOKUP(AW$72,INDIRECT($C$5&amp;"生成成长"),2))/((VLOOKUP($B91,INDIRECT($B$5&amp;"生成成长"),4))/(VLOOKUP(AW$72,INDIRECT($C$5&amp;"生成成长"),5))*(VLOOKUP($B$5,标准坦克设计!$B$24:$U$30,MATCH("对"&amp;LEFT($C$5,2)&amp;"输出",标准坦克设计!$B$23:$U$23,0)))*(VLOOKUP($B91,INDIRECT($B$5&amp;"生成成长"),3))*(VLOOKUP($B$5,标准坦克设计!$B$14:$K$20,9)/30))</f>
        <v>3.5551844377545545</v>
      </c>
      <c r="AX91" s="172">
        <f ca="1">(VLOOKUP(AX$72,INDIRECT($C$5&amp;"生成成长"),2))/((VLOOKUP($B91,INDIRECT($B$5&amp;"生成成长"),4))/(VLOOKUP(AX$72,INDIRECT($C$5&amp;"生成成长"),5))*(VLOOKUP($B$5,标准坦克设计!$B$24:$U$30,MATCH("对"&amp;LEFT($C$5,2)&amp;"输出",标准坦克设计!$B$23:$U$23,0)))*(VLOOKUP($B91,INDIRECT($B$5&amp;"生成成长"),3))*(VLOOKUP($B$5,标准坦克设计!$B$14:$K$20,9)/30))</f>
        <v>4.0209682391232544</v>
      </c>
      <c r="AY91" s="172">
        <f ca="1">(VLOOKUP(AY$72,INDIRECT($C$5&amp;"生成成长"),2))/((VLOOKUP($B91,INDIRECT($B$5&amp;"生成成长"),4))/(VLOOKUP(AY$72,INDIRECT($C$5&amp;"生成成长"),5))*(VLOOKUP($B$5,标准坦克设计!$B$24:$U$30,MATCH("对"&amp;LEFT($C$5,2)&amp;"输出",标准坦克设计!$B$23:$U$23,0)))*(VLOOKUP($B91,INDIRECT($B$5&amp;"生成成长"),3))*(VLOOKUP($B$5,标准坦克设计!$B$14:$K$20,9)/30))</f>
        <v>4.5154156590377195</v>
      </c>
      <c r="AZ91" s="172">
        <f ca="1">(VLOOKUP(AZ$72,INDIRECT($C$5&amp;"生成成长"),2))/((VLOOKUP($B91,INDIRECT($B$5&amp;"生成成长"),4))/(VLOOKUP(AZ$72,INDIRECT($C$5&amp;"生成成长"),5))*(VLOOKUP($B$5,标准坦克设计!$B$24:$U$30,MATCH("对"&amp;LEFT($C$5,2)&amp;"输出",标准坦克设计!$B$23:$U$23,0)))*(VLOOKUP($B91,INDIRECT($B$5&amp;"生成成长"),3))*(VLOOKUP($B$5,标准坦克设计!$B$14:$K$20,9)/30))</f>
        <v>5.0385266974979519</v>
      </c>
      <c r="BA91" s="172">
        <f ca="1">(VLOOKUP(BA$72,INDIRECT($C$5&amp;"生成成长"),2))/((VLOOKUP($B91,INDIRECT($B$5&amp;"生成成长"),4))/(VLOOKUP(BA$72,INDIRECT($C$5&amp;"生成成长"),5))*(VLOOKUP($B$5,标准坦克设计!$B$24:$U$30,MATCH("对"&amp;LEFT($C$5,2)&amp;"输出",标准坦克设计!$B$23:$U$23,0)))*(VLOOKUP($B91,INDIRECT($B$5&amp;"生成成长"),3))*(VLOOKUP($B$5,标准坦克设计!$B$14:$K$20,9)/30))</f>
        <v>5.590301354503949</v>
      </c>
      <c r="BB91" s="172">
        <f ca="1">(VLOOKUP(BB$72,INDIRECT($C$5&amp;"生成成长"),2))/((VLOOKUP($B91,INDIRECT($B$5&amp;"生成成长"),4))/(VLOOKUP(BB$72,INDIRECT($C$5&amp;"生成成长"),5))*(VLOOKUP($B$5,标准坦克设计!$B$24:$U$30,MATCH("对"&amp;LEFT($C$5,2)&amp;"输出",标准坦克设计!$B$23:$U$23,0)))*(VLOOKUP($B91,INDIRECT($B$5&amp;"生成成长"),3))*(VLOOKUP($B$5,标准坦克设计!$B$14:$K$20,9)/30))</f>
        <v>6.1707396300557118</v>
      </c>
      <c r="BC91" s="172">
        <f ca="1">(VLOOKUP(BC$72,INDIRECT($C$5&amp;"生成成长"),2))/((VLOOKUP($B91,INDIRECT($B$5&amp;"生成成长"),4))/(VLOOKUP(BC$72,INDIRECT($C$5&amp;"生成成长"),5))*(VLOOKUP($B$5,标准坦克设计!$B$24:$U$30,MATCH("对"&amp;LEFT($C$5,2)&amp;"输出",标准坦克设计!$B$23:$U$23,0)))*(VLOOKUP($B91,INDIRECT($B$5&amp;"生成成长"),3))*(VLOOKUP($B$5,标准坦克设计!$B$14:$K$20,9)/30))</f>
        <v>6.7798415241532428</v>
      </c>
      <c r="BD91" s="172">
        <f ca="1">(VLOOKUP(BD$72,INDIRECT($C$5&amp;"生成成长"),2))/((VLOOKUP($B91,INDIRECT($B$5&amp;"生成成长"),4))/(VLOOKUP(BD$72,INDIRECT($C$5&amp;"生成成长"),5))*(VLOOKUP($B$5,标准坦克设计!$B$24:$U$30,MATCH("对"&amp;LEFT($C$5,2)&amp;"输出",标准坦克设计!$B$23:$U$23,0)))*(VLOOKUP($B91,INDIRECT($B$5&amp;"生成成长"),3))*(VLOOKUP($B$5,标准坦克设计!$B$14:$K$20,9)/30))</f>
        <v>7.4993431365559493</v>
      </c>
      <c r="BE91" s="172">
        <f ca="1">(VLOOKUP(BE$72,INDIRECT($C$5&amp;"生成成长"),2))/((VLOOKUP($B91,INDIRECT($B$5&amp;"生成成长"),4))/(VLOOKUP(BE$72,INDIRECT($C$5&amp;"生成成长"),5))*(VLOOKUP($B$5,标准坦克设计!$B$24:$U$30,MATCH("对"&amp;LEFT($C$5,2)&amp;"输出",标准坦克设计!$B$23:$U$23,0)))*(VLOOKUP($B91,INDIRECT($B$5&amp;"生成成长"),3))*(VLOOKUP($B$5,标准坦克设计!$B$14:$K$20,9)/30))</f>
        <v>8.2551221411806424</v>
      </c>
      <c r="BF91" s="172">
        <f ca="1">(VLOOKUP(BF$72,INDIRECT($C$5&amp;"生成成长"),2))/((VLOOKUP($B91,INDIRECT($B$5&amp;"生成成长"),4))/(VLOOKUP(BF$72,INDIRECT($C$5&amp;"生成成长"),5))*(VLOOKUP($B$5,标准坦克设计!$B$24:$U$30,MATCH("对"&amp;LEFT($C$5,2)&amp;"输出",标准坦克设计!$B$23:$U$23,0)))*(VLOOKUP($B91,INDIRECT($B$5&amp;"生成成长"),3))*(VLOOKUP($B$5,标准坦克设计!$B$14:$K$20,9)/30))</f>
        <v>9.0471785380273193</v>
      </c>
      <c r="BG91" s="172">
        <f ca="1">(VLOOKUP(BG$72,INDIRECT($C$5&amp;"生成成长"),2))/((VLOOKUP($B91,INDIRECT($B$5&amp;"生成成长"),4))/(VLOOKUP(BG$72,INDIRECT($C$5&amp;"生成成长"),5))*(VLOOKUP($B$5,标准坦克设计!$B$24:$U$30,MATCH("对"&amp;LEFT($C$5,2)&amp;"输出",标准坦克设计!$B$23:$U$23,0)))*(VLOOKUP($B91,INDIRECT($B$5&amp;"生成成长"),3))*(VLOOKUP($B$5,标准坦克设计!$B$14:$K$20,9)/30))</f>
        <v>9.8755123270959828</v>
      </c>
      <c r="BH91" s="172">
        <f ca="1">(VLOOKUP(BH$72,INDIRECT($C$5&amp;"生成成长"),2))/((VLOOKUP($B91,INDIRECT($B$5&amp;"生成成长"),4))/(VLOOKUP(BH$72,INDIRECT($C$5&amp;"生成成长"),5))*(VLOOKUP($B$5,标准坦克设计!$B$24:$U$30,MATCH("对"&amp;LEFT($C$5,2)&amp;"输出",标准坦克设计!$B$23:$U$23,0)))*(VLOOKUP($B91,INDIRECT($B$5&amp;"生成成长"),3))*(VLOOKUP($B$5,标准坦克设计!$B$14:$K$20,9)/30))</f>
        <v>4.7733882259496143</v>
      </c>
      <c r="BI91" s="172">
        <f ca="1">(VLOOKUP(BI$72,INDIRECT($C$5&amp;"生成成长"),2))/((VLOOKUP($B91,INDIRECT($B$5&amp;"生成成长"),4))/(VLOOKUP(BI$72,INDIRECT($C$5&amp;"生成成长"),5))*(VLOOKUP($B$5,标准坦克设计!$B$24:$U$30,MATCH("对"&amp;LEFT($C$5,2)&amp;"输出",标准坦克设计!$B$23:$U$23,0)))*(VLOOKUP($B91,INDIRECT($B$5&amp;"生成成长"),3))*(VLOOKUP($B$5,标准坦克设计!$B$14:$K$20,9)/30))</f>
        <v>5.3800268403283678</v>
      </c>
      <c r="BJ91" s="172">
        <f ca="1">(VLOOKUP(BJ$72,INDIRECT($C$5&amp;"生成成长"),2))/((VLOOKUP($B91,INDIRECT($B$5&amp;"生成成长"),4))/(VLOOKUP(BJ$72,INDIRECT($C$5&amp;"生成成长"),5))*(VLOOKUP($B$5,标准坦克设计!$B$24:$U$30,MATCH("对"&amp;LEFT($C$5,2)&amp;"输出",标准坦克设计!$B$23:$U$23,0)))*(VLOOKUP($B91,INDIRECT($B$5&amp;"生成成长"),3))*(VLOOKUP($B$5,标准坦克设计!$B$14:$K$20,9)/30))</f>
        <v>6.0229428469291069</v>
      </c>
      <c r="BK91" s="172">
        <f ca="1">(VLOOKUP(BK$72,INDIRECT($C$5&amp;"生成成长"),2))/((VLOOKUP($B91,INDIRECT($B$5&amp;"生成成长"),4))/(VLOOKUP(BK$72,INDIRECT($C$5&amp;"生成成长"),5))*(VLOOKUP($B$5,标准坦克设计!$B$24:$U$30,MATCH("对"&amp;LEFT($C$5,2)&amp;"输出",标准坦克设计!$B$23:$U$23,0)))*(VLOOKUP($B91,INDIRECT($B$5&amp;"生成成长"),3))*(VLOOKUP($B$5,标准坦克设计!$B$14:$K$20,9)/30))</f>
        <v>6.7021362457518308</v>
      </c>
      <c r="BL91" s="172">
        <f ca="1">(VLOOKUP(BL$72,INDIRECT($C$5&amp;"生成成长"),2))/((VLOOKUP($B91,INDIRECT($B$5&amp;"生成成长"),4))/(VLOOKUP(BL$72,INDIRECT($C$5&amp;"生成成长"),5))*(VLOOKUP($B$5,标准坦克设计!$B$24:$U$30,MATCH("对"&amp;LEFT($C$5,2)&amp;"输出",标准坦克设计!$B$23:$U$23,0)))*(VLOOKUP($B91,INDIRECT($B$5&amp;"生成成长"),3))*(VLOOKUP($B$5,标准坦克设计!$B$14:$K$20,9)/30))</f>
        <v>7.4176070367965394</v>
      </c>
      <c r="BM91" s="172">
        <f ca="1">(VLOOKUP(BM$72,INDIRECT($C$5&amp;"生成成长"),2))/((VLOOKUP($B91,INDIRECT($B$5&amp;"生成成长"),4))/(VLOOKUP(BM$72,INDIRECT($C$5&amp;"生成成长"),5))*(VLOOKUP($B$5,标准坦克设计!$B$24:$U$30,MATCH("对"&amp;LEFT($C$5,2)&amp;"输出",标准坦克设计!$B$23:$U$23,0)))*(VLOOKUP($B91,INDIRECT($B$5&amp;"生成成长"),3))*(VLOOKUP($B$5,标准坦克设计!$B$14:$K$20,9)/30))</f>
        <v>8.1693552200632329</v>
      </c>
      <c r="BN91" s="172">
        <f ca="1">(VLOOKUP(BN$72,INDIRECT($C$5&amp;"生成成长"),2))/((VLOOKUP($B91,INDIRECT($B$5&amp;"生成成长"),4))/(VLOOKUP(BN$72,INDIRECT($C$5&amp;"生成成长"),5))*(VLOOKUP($B$5,标准坦克设计!$B$24:$U$30,MATCH("对"&amp;LEFT($C$5,2)&amp;"输出",标准坦克设计!$B$23:$U$23,0)))*(VLOOKUP($B91,INDIRECT($B$5&amp;"生成成长"),3))*(VLOOKUP($B$5,标准坦克设计!$B$14:$K$20,9)/30))</f>
        <v>8.9573807955519129</v>
      </c>
      <c r="BO91" s="172">
        <f ca="1">(VLOOKUP(BO$72,INDIRECT($C$5&amp;"生成成长"),2))/((VLOOKUP($B91,INDIRECT($B$5&amp;"生成成长"),4))/(VLOOKUP(BO$72,INDIRECT($C$5&amp;"生成成长"),5))*(VLOOKUP($B$5,标准坦克设计!$B$24:$U$30,MATCH("对"&amp;LEFT($C$5,2)&amp;"输出",标准坦克设计!$B$23:$U$23,0)))*(VLOOKUP($B91,INDIRECT($B$5&amp;"生成成长"),3))*(VLOOKUP($B$5,标准坦克设计!$B$14:$K$20,9)/30))</f>
        <v>9.7816837632625759</v>
      </c>
      <c r="BP91" s="172">
        <f ca="1">(VLOOKUP(BP$72,INDIRECT($C$5&amp;"生成成长"),2))/((VLOOKUP($B91,INDIRECT($B$5&amp;"生成成长"),4))/(VLOOKUP(BP$72,INDIRECT($C$5&amp;"生成成长"),5))*(VLOOKUP($B$5,标准坦克设计!$B$24:$U$30,MATCH("对"&amp;LEFT($C$5,2)&amp;"输出",标准坦克设计!$B$23:$U$23,0)))*(VLOOKUP($B91,INDIRECT($B$5&amp;"生成成长"),3))*(VLOOKUP($B$5,标准坦克设计!$B$14:$K$20,9)/30))</f>
        <v>10.642264123195227</v>
      </c>
      <c r="BQ91" s="172">
        <f ca="1">(VLOOKUP(BQ$72,INDIRECT($C$5&amp;"生成成长"),2))/((VLOOKUP($B91,INDIRECT($B$5&amp;"生成成长"),4))/(VLOOKUP(BQ$72,INDIRECT($C$5&amp;"生成成长"),5))*(VLOOKUP($B$5,标准坦克设计!$B$24:$U$30,MATCH("对"&amp;LEFT($C$5,2)&amp;"输出",标准坦克设计!$B$23:$U$23,0)))*(VLOOKUP($B91,INDIRECT($B$5&amp;"生成成长"),3))*(VLOOKUP($B$5,标准坦克设计!$B$14:$K$20,9)/30))</f>
        <v>11.539121875349865</v>
      </c>
      <c r="BR91" s="172">
        <f ca="1">(VLOOKUP(BR$72,INDIRECT($C$5&amp;"生成成长"),2))/((VLOOKUP($B91,INDIRECT($B$5&amp;"生成成长"),4))/(VLOOKUP(BR$72,INDIRECT($C$5&amp;"生成成长"),5))*(VLOOKUP($B$5,标准坦克设计!$B$24:$U$30,MATCH("对"&amp;LEFT($C$5,2)&amp;"输出",标准坦克设计!$B$23:$U$23,0)))*(VLOOKUP($B91,INDIRECT($B$5&amp;"生成成长"),3))*(VLOOKUP($B$5,标准坦克设计!$B$14:$K$20,9)/30))</f>
        <v>12.578178047633884</v>
      </c>
      <c r="BS91" s="172">
        <f ca="1">(VLOOKUP(BS$72,INDIRECT($C$5&amp;"生成成长"),2))/((VLOOKUP($B91,INDIRECT($B$5&amp;"生成成长"),4))/(VLOOKUP(BS$72,INDIRECT($C$5&amp;"生成成长"),5))*(VLOOKUP($B$5,标准坦克设计!$B$24:$U$30,MATCH("对"&amp;LEFT($C$5,2)&amp;"输出",标准坦克设计!$B$23:$U$23,0)))*(VLOOKUP($B91,INDIRECT($B$5&amp;"生成成长"),3))*(VLOOKUP($B$5,标准坦克设计!$B$14:$K$20,9)/30))</f>
        <v>13.662021123895665</v>
      </c>
      <c r="BT91" s="172">
        <f ca="1">(VLOOKUP(BT$72,INDIRECT($C$5&amp;"生成成长"),2))/((VLOOKUP($B91,INDIRECT($B$5&amp;"生成成长"),4))/(VLOOKUP(BT$72,INDIRECT($C$5&amp;"生成成长"),5))*(VLOOKUP($B$5,标准坦克设计!$B$24:$U$30,MATCH("对"&amp;LEFT($C$5,2)&amp;"输出",标准坦克设计!$B$23:$U$23,0)))*(VLOOKUP($B91,INDIRECT($B$5&amp;"生成成长"),3))*(VLOOKUP($B$5,标准坦克设计!$B$14:$K$20,9)/30))</f>
        <v>14.790651104135208</v>
      </c>
      <c r="BU91" s="172">
        <f ca="1">(VLOOKUP(BU$72,INDIRECT($C$5&amp;"生成成长"),2))/((VLOOKUP($B91,INDIRECT($B$5&amp;"生成成长"),4))/(VLOOKUP(BU$72,INDIRECT($C$5&amp;"生成成长"),5))*(VLOOKUP($B$5,标准坦克设计!$B$24:$U$30,MATCH("对"&amp;LEFT($C$5,2)&amp;"输出",标准坦克设计!$B$23:$U$23,0)))*(VLOOKUP($B91,INDIRECT($B$5&amp;"生成成长"),3))*(VLOOKUP($B$5,标准坦克设计!$B$14:$K$20,9)/30))</f>
        <v>15.964067988352507</v>
      </c>
      <c r="BV91" s="172">
        <f ca="1">(VLOOKUP(BV$72,INDIRECT($C$5&amp;"生成成长"),2))/((VLOOKUP($B91,INDIRECT($B$5&amp;"生成成长"),4))/(VLOOKUP(BV$72,INDIRECT($C$5&amp;"生成成长"),5))*(VLOOKUP($B$5,标准坦克设计!$B$24:$U$30,MATCH("对"&amp;LEFT($C$5,2)&amp;"输出",标准坦克设计!$B$23:$U$23,0)))*(VLOOKUP($B91,INDIRECT($B$5&amp;"生成成长"),3))*(VLOOKUP($B$5,标准坦克设计!$B$14:$K$20,9)/30))</f>
        <v>17.182271776547569</v>
      </c>
      <c r="BW91" s="172">
        <f ca="1">(VLOOKUP(BW$72,INDIRECT($C$5&amp;"生成成长"),2))/((VLOOKUP($B91,INDIRECT($B$5&amp;"生成成长"),4))/(VLOOKUP(BW$72,INDIRECT($C$5&amp;"生成成长"),5))*(VLOOKUP($B$5,标准坦克设计!$B$24:$U$30,MATCH("对"&amp;LEFT($C$5,2)&amp;"输出",标准坦克设计!$B$23:$U$23,0)))*(VLOOKUP($B91,INDIRECT($B$5&amp;"生成成长"),3))*(VLOOKUP($B$5,标准坦克设计!$B$14:$K$20,9)/30))</f>
        <v>7.8307662259913711</v>
      </c>
      <c r="BX91" s="172">
        <f ca="1">(VLOOKUP(BX$72,INDIRECT($C$5&amp;"生成成长"),2))/((VLOOKUP($B91,INDIRECT($B$5&amp;"生成成长"),4))/(VLOOKUP(BX$72,INDIRECT($C$5&amp;"生成成长"),5))*(VLOOKUP($B$5,标准坦克设计!$B$24:$U$30,MATCH("对"&amp;LEFT($C$5,2)&amp;"输出",标准坦克设计!$B$23:$U$23,0)))*(VLOOKUP($B91,INDIRECT($B$5&amp;"生成成长"),3))*(VLOOKUP($B$5,标准坦克设计!$B$14:$K$20,9)/30))</f>
        <v>8.6906747823643542</v>
      </c>
      <c r="BY91" s="172">
        <f ca="1">(VLOOKUP(BY$72,INDIRECT($C$5&amp;"生成成长"),2))/((VLOOKUP($B91,INDIRECT($B$5&amp;"生成成长"),4))/(VLOOKUP(BY$72,INDIRECT($C$5&amp;"生成成长"),5))*(VLOOKUP($B$5,标准坦克设计!$B$24:$U$30,MATCH("对"&amp;LEFT($C$5,2)&amp;"输出",标准坦克设计!$B$23:$U$23,0)))*(VLOOKUP($B91,INDIRECT($B$5&amp;"生成成长"),3))*(VLOOKUP($B$5,标准坦克设计!$B$14:$K$20,9)/30))</f>
        <v>9.5953702427150986</v>
      </c>
      <c r="BZ91" s="172">
        <f ca="1">(VLOOKUP(BZ$72,INDIRECT($C$5&amp;"生成成长"),2))/((VLOOKUP($B91,INDIRECT($B$5&amp;"生成成长"),4))/(VLOOKUP(BZ$72,INDIRECT($C$5&amp;"生成成长"),5))*(VLOOKUP($B$5,标准坦克设计!$B$24:$U$30,MATCH("对"&amp;LEFT($C$5,2)&amp;"输出",标准坦克设计!$B$23:$U$23,0)))*(VLOOKUP($B91,INDIRECT($B$5&amp;"生成成长"),3))*(VLOOKUP($B$5,标准坦克设计!$B$14:$K$20,9)/30))</f>
        <v>10.5448526070436</v>
      </c>
      <c r="CA91" s="172">
        <f ca="1">(VLOOKUP(CA$72,INDIRECT($C$5&amp;"生成成长"),2))/((VLOOKUP($B91,INDIRECT($B$5&amp;"生成成长"),4))/(VLOOKUP(CA$72,INDIRECT($C$5&amp;"生成成长"),5))*(VLOOKUP($B$5,标准坦克设计!$B$24:$U$30,MATCH("对"&amp;LEFT($C$5,2)&amp;"输出",标准坦克设计!$B$23:$U$23,0)))*(VLOOKUP($B91,INDIRECT($B$5&amp;"生成成长"),3))*(VLOOKUP($B$5,标准坦克设计!$B$14:$K$20,9)/30))</f>
        <v>11.539121875349865</v>
      </c>
      <c r="CB91" s="172">
        <f ca="1">(VLOOKUP(CB$72,INDIRECT($C$5&amp;"生成成长"),2))/((VLOOKUP($B91,INDIRECT($B$5&amp;"生成成长"),4))/(VLOOKUP(CB$72,INDIRECT($C$5&amp;"生成成长"),5))*(VLOOKUP($B$5,标准坦克设计!$B$24:$U$30,MATCH("对"&amp;LEFT($C$5,2)&amp;"输出",标准坦克设计!$B$23:$U$23,0)))*(VLOOKUP($B91,INDIRECT($B$5&amp;"生成成长"),3))*(VLOOKUP($B$5,标准坦克设计!$B$14:$K$20,9)/30))</f>
        <v>12.578178047633884</v>
      </c>
      <c r="CC91" s="172">
        <f ca="1">(VLOOKUP(CC$72,INDIRECT($C$5&amp;"生成成长"),2))/((VLOOKUP($B91,INDIRECT($B$5&amp;"生成成长"),4))/(VLOOKUP(CC$72,INDIRECT($C$5&amp;"生成成长"),5))*(VLOOKUP($B$5,标准坦克设计!$B$24:$U$30,MATCH("对"&amp;LEFT($C$5,2)&amp;"输出",标准坦克设计!$B$23:$U$23,0)))*(VLOOKUP($B91,INDIRECT($B$5&amp;"生成成长"),3))*(VLOOKUP($B$5,标准坦克设计!$B$14:$K$20,9)/30))</f>
        <v>13.662021123895665</v>
      </c>
      <c r="CD91" s="172">
        <f ca="1">(VLOOKUP(CD$72,INDIRECT($C$5&amp;"生成成长"),2))/((VLOOKUP($B91,INDIRECT($B$5&amp;"生成成长"),4))/(VLOOKUP(CD$72,INDIRECT($C$5&amp;"生成成长"),5))*(VLOOKUP($B$5,标准坦克设计!$B$24:$U$30,MATCH("对"&amp;LEFT($C$5,2)&amp;"输出",标准坦克设计!$B$23:$U$23,0)))*(VLOOKUP($B91,INDIRECT($B$5&amp;"生成成长"),3))*(VLOOKUP($B$5,标准坦克设计!$B$14:$K$20,9)/30))</f>
        <v>14.790651104135208</v>
      </c>
      <c r="CE91" s="172">
        <f ca="1">(VLOOKUP(CE$72,INDIRECT($C$5&amp;"生成成长"),2))/((VLOOKUP($B91,INDIRECT($B$5&amp;"生成成长"),4))/(VLOOKUP(CE$72,INDIRECT($C$5&amp;"生成成长"),5))*(VLOOKUP($B$5,标准坦克设计!$B$24:$U$30,MATCH("对"&amp;LEFT($C$5,2)&amp;"输出",标准坦克设计!$B$23:$U$23,0)))*(VLOOKUP($B91,INDIRECT($B$5&amp;"生成成长"),3))*(VLOOKUP($B$5,标准坦克设计!$B$14:$K$20,9)/30))</f>
        <v>15.964067988352507</v>
      </c>
      <c r="CF91" s="172">
        <f ca="1">(VLOOKUP(CF$72,INDIRECT($C$5&amp;"生成成长"),2))/((VLOOKUP($B91,INDIRECT($B$5&amp;"生成成长"),4))/(VLOOKUP(CF$72,INDIRECT($C$5&amp;"生成成长"),5))*(VLOOKUP($B$5,标准坦克设计!$B$24:$U$30,MATCH("对"&amp;LEFT($C$5,2)&amp;"输出",标准坦克设计!$B$23:$U$23,0)))*(VLOOKUP($B91,INDIRECT($B$5&amp;"生成成长"),3))*(VLOOKUP($B$5,标准坦克设计!$B$14:$K$20,9)/30))</f>
        <v>17.182271776547569</v>
      </c>
      <c r="CG91" s="172">
        <f ca="1">(VLOOKUP(CG$72,INDIRECT($C$5&amp;"生成成长"),2))/((VLOOKUP($B91,INDIRECT($B$5&amp;"生成成长"),4))/(VLOOKUP(CG$72,INDIRECT($C$5&amp;"生成成长"),5))*(VLOOKUP($B$5,标准坦克设计!$B$24:$U$30,MATCH("对"&amp;LEFT($C$5,2)&amp;"输出",标准坦克设计!$B$23:$U$23,0)))*(VLOOKUP($B91,INDIRECT($B$5&amp;"生成成长"),3))*(VLOOKUP($B$5,标准坦克设计!$B$14:$K$20,9)/30))</f>
        <v>18.445262468720387</v>
      </c>
      <c r="CH91" s="172">
        <f ca="1">(VLOOKUP(CH$72,INDIRECT($C$5&amp;"生成成长"),2))/((VLOOKUP($B91,INDIRECT($B$5&amp;"生成成长"),4))/(VLOOKUP(CH$72,INDIRECT($C$5&amp;"生成成长"),5))*(VLOOKUP($B$5,标准坦克设计!$B$24:$U$30,MATCH("对"&amp;LEFT($C$5,2)&amp;"输出",标准坦克设计!$B$23:$U$23,0)))*(VLOOKUP($B91,INDIRECT($B$5&amp;"生成成长"),3))*(VLOOKUP($B$5,标准坦克设计!$B$14:$K$20,9)/30))</f>
        <v>19.753040064870969</v>
      </c>
      <c r="CI91" s="172">
        <f ca="1">(VLOOKUP(CI$72,INDIRECT($C$5&amp;"生成成长"),2))/((VLOOKUP($B91,INDIRECT($B$5&amp;"生成成长"),4))/(VLOOKUP(CI$72,INDIRECT($C$5&amp;"生成成长"),5))*(VLOOKUP($B$5,标准坦克设计!$B$24:$U$30,MATCH("对"&amp;LEFT($C$5,2)&amp;"输出",标准坦克设计!$B$23:$U$23,0)))*(VLOOKUP($B91,INDIRECT($B$5&amp;"生成成长"),3))*(VLOOKUP($B$5,标准坦克设计!$B$14:$K$20,9)/30))</f>
        <v>21.243324294730915</v>
      </c>
      <c r="CJ91" s="172">
        <f ca="1">(VLOOKUP(CJ$72,INDIRECT($C$5&amp;"生成成长"),2))/((VLOOKUP($B91,INDIRECT($B$5&amp;"生成成长"),4))/(VLOOKUP(CJ$72,INDIRECT($C$5&amp;"生成成长"),5))*(VLOOKUP($B$5,标准坦克设计!$B$24:$U$30,MATCH("对"&amp;LEFT($C$5,2)&amp;"输出",标准坦克设计!$B$23:$U$23,0)))*(VLOOKUP($B91,INDIRECT($B$5&amp;"生成成长"),3))*(VLOOKUP($B$5,标准坦克设计!$B$14:$K$20,9)/30))</f>
        <v>22.787800678403958</v>
      </c>
      <c r="CK91" s="172">
        <f ca="1">(VLOOKUP(CK$72,INDIRECT($C$5&amp;"生成成长"),2))/((VLOOKUP($B91,INDIRECT($B$5&amp;"生成成长"),4))/(VLOOKUP(CK$72,INDIRECT($C$5&amp;"生成成长"),5))*(VLOOKUP($B$5,标准坦克设计!$B$24:$U$30,MATCH("对"&amp;LEFT($C$5,2)&amp;"输出",标准坦克设计!$B$23:$U$23,0)))*(VLOOKUP($B91,INDIRECT($B$5&amp;"生成成长"),3))*(VLOOKUP($B$5,标准坦克设计!$B$14:$K$20,9)/30))</f>
        <v>24.386469215890084</v>
      </c>
      <c r="CL91" s="172">
        <f ca="1">(VLOOKUP(CL$72,INDIRECT($C$5&amp;"生成成长"),2))/((VLOOKUP($B91,INDIRECT($B$5&amp;"生成成长"),4))/(VLOOKUP(CL$72,INDIRECT($C$5&amp;"生成成长"),5))*(VLOOKUP($B$5,标准坦克设计!$B$24:$U$30,MATCH("对"&amp;LEFT($C$5,2)&amp;"输出",标准坦克设计!$B$23:$U$23,0)))*(VLOOKUP($B91,INDIRECT($B$5&amp;"生成成长"),3))*(VLOOKUP($B$5,标准坦克设计!$B$14:$K$20,9)/30))</f>
        <v>26.039329907189302</v>
      </c>
      <c r="CM91" s="172">
        <f ca="1">(VLOOKUP(CM$72,INDIRECT($C$5&amp;"生成成长"),2))/((VLOOKUP($B91,INDIRECT($B$5&amp;"生成成长"),4))/(VLOOKUP(CM$72,INDIRECT($C$5&amp;"生成成长"),5))*(VLOOKUP($B$5,标准坦克设计!$B$24:$U$30,MATCH("对"&amp;LEFT($C$5,2)&amp;"输出",标准坦克设计!$B$23:$U$23,0)))*(VLOOKUP($B91,INDIRECT($B$5&amp;"生成成长"),3))*(VLOOKUP($B$5,标准坦克设计!$B$14:$K$20,9)/30))</f>
        <v>27.746382752301603</v>
      </c>
      <c r="CN91" s="172">
        <f ca="1">(VLOOKUP(CN$72,INDIRECT($C$5&amp;"生成成长"),2))/((VLOOKUP($B91,INDIRECT($B$5&amp;"生成成长"),4))/(VLOOKUP(CN$72,INDIRECT($C$5&amp;"生成成长"),5))*(VLOOKUP($B$5,标准坦克设计!$B$24:$U$30,MATCH("对"&amp;LEFT($C$5,2)&amp;"输出",标准坦克设计!$B$23:$U$23,0)))*(VLOOKUP($B91,INDIRECT($B$5&amp;"生成成长"),3))*(VLOOKUP($B$5,标准坦克设计!$B$14:$K$20,9)/30))</f>
        <v>29.507627751226995</v>
      </c>
      <c r="CO91" s="172">
        <f ca="1">(VLOOKUP(CO$72,INDIRECT($C$5&amp;"生成成长"),2))/((VLOOKUP($B91,INDIRECT($B$5&amp;"生成成长"),4))/(VLOOKUP(CO$72,INDIRECT($C$5&amp;"生成成长"),5))*(VLOOKUP($B$5,标准坦克设计!$B$24:$U$30,MATCH("对"&amp;LEFT($C$5,2)&amp;"输出",标准坦克设计!$B$23:$U$23,0)))*(VLOOKUP($B91,INDIRECT($B$5&amp;"生成成长"),3))*(VLOOKUP($B$5,标准坦克设计!$B$14:$K$20,9)/30))</f>
        <v>13.223109464913621</v>
      </c>
      <c r="CP91" s="172">
        <f ca="1">(VLOOKUP(CP$72,INDIRECT($C$5&amp;"生成成长"),2))/((VLOOKUP($B91,INDIRECT($B$5&amp;"生成成长"),4))/(VLOOKUP(CP$72,INDIRECT($C$5&amp;"生成成长"),5))*(VLOOKUP($B$5,标准坦克设计!$B$24:$U$30,MATCH("对"&amp;LEFT($C$5,2)&amp;"输出",标准坦克设计!$B$23:$U$23,0)))*(VLOOKUP($B91,INDIRECT($B$5&amp;"生成成长"),3))*(VLOOKUP($B$5,标准坦克设计!$B$14:$K$20,9)/30))</f>
        <v>14.447359485145682</v>
      </c>
      <c r="CQ91" s="172">
        <f ca="1">(VLOOKUP(CQ$72,INDIRECT($C$5&amp;"生成成长"),2))/((VLOOKUP($B91,INDIRECT($B$5&amp;"生成成长"),4))/(VLOOKUP(CQ$72,INDIRECT($C$5&amp;"生成成长"),5))*(VLOOKUP($B$5,标准坦克设计!$B$24:$U$30,MATCH("对"&amp;LEFT($C$5,2)&amp;"输出",标准坦克设计!$B$23:$U$23,0)))*(VLOOKUP($B91,INDIRECT($B$5&amp;"生成成长"),3))*(VLOOKUP($B$5,标准坦克设计!$B$14:$K$20,9)/30))</f>
        <v>15.725801659190829</v>
      </c>
      <c r="CR91" s="172">
        <f ca="1">(VLOOKUP(CR$72,INDIRECT($C$5&amp;"生成成长"),2))/((VLOOKUP($B91,INDIRECT($B$5&amp;"生成成长"),4))/(VLOOKUP(CR$72,INDIRECT($C$5&amp;"生成成长"),5))*(VLOOKUP($B$5,标准坦克设计!$B$24:$U$30,MATCH("对"&amp;LEFT($C$5,2)&amp;"输出",标准坦克设计!$B$23:$U$23,0)))*(VLOOKUP($B91,INDIRECT($B$5&amp;"生成成长"),3))*(VLOOKUP($B$5,标准坦克设计!$B$14:$K$20,9)/30))</f>
        <v>17.058435987049062</v>
      </c>
      <c r="CS91" s="172">
        <f ca="1">(VLOOKUP(CS$72,INDIRECT($C$5&amp;"生成成长"),2))/((VLOOKUP($B91,INDIRECT($B$5&amp;"生成成长"),4))/(VLOOKUP(CS$72,INDIRECT($C$5&amp;"生成成长"),5))*(VLOOKUP($B$5,标准坦克设计!$B$24:$U$30,MATCH("对"&amp;LEFT($C$5,2)&amp;"输出",标准坦克设计!$B$23:$U$23,0)))*(VLOOKUP($B91,INDIRECT($B$5&amp;"生成成长"),3))*(VLOOKUP($B$5,标准坦克设计!$B$14:$K$20,9)/30))</f>
        <v>18.445262468720387</v>
      </c>
      <c r="CT91" s="172">
        <f ca="1">(VLOOKUP(CT$72,INDIRECT($C$5&amp;"生成成长"),2))/((VLOOKUP($B91,INDIRECT($B$5&amp;"生成成长"),4))/(VLOOKUP(CT$72,INDIRECT($C$5&amp;"生成成长"),5))*(VLOOKUP($B$5,标准坦克设计!$B$24:$U$30,MATCH("对"&amp;LEFT($C$5,2)&amp;"输出",标准坦克设计!$B$23:$U$23,0)))*(VLOOKUP($B91,INDIRECT($B$5&amp;"生成成长"),3))*(VLOOKUP($B$5,标准坦克设计!$B$14:$K$20,9)/30))</f>
        <v>19.886281104204802</v>
      </c>
      <c r="CU91" s="172">
        <f ca="1">(VLOOKUP(CU$72,INDIRECT($C$5&amp;"生成成长"),2))/((VLOOKUP($B91,INDIRECT($B$5&amp;"生成成长"),4))/(VLOOKUP(CU$72,INDIRECT($C$5&amp;"生成成长"),5))*(VLOOKUP($B$5,标准坦克设计!$B$24:$U$30,MATCH("对"&amp;LEFT($C$5,2)&amp;"输出",标准坦克设计!$B$23:$U$23,0)))*(VLOOKUP($B91,INDIRECT($B$5&amp;"生成成长"),3))*(VLOOKUP($B$5,标准坦克设计!$B$14:$K$20,9)/30))</f>
        <v>21.381491893502304</v>
      </c>
      <c r="CV91" s="172">
        <f ca="1">(VLOOKUP(CV$72,INDIRECT($C$5&amp;"生成成长"),2))/((VLOOKUP($B91,INDIRECT($B$5&amp;"生成成长"),4))/(VLOOKUP(CV$72,INDIRECT($C$5&amp;"生成成长"),5))*(VLOOKUP($B$5,标准坦克设计!$B$24:$U$30,MATCH("对"&amp;LEFT($C$5,2)&amp;"输出",标准坦克设计!$B$23:$U$23,0)))*(VLOOKUP($B91,INDIRECT($B$5&amp;"生成成长"),3))*(VLOOKUP($B$5,标准坦克设计!$B$14:$K$20,9)/30))</f>
        <v>22.9308948366129</v>
      </c>
      <c r="CW91" s="172">
        <f ca="1">(VLOOKUP(CW$72,INDIRECT($C$5&amp;"生成成长"),2))/((VLOOKUP($B91,INDIRECT($B$5&amp;"生成成长"),4))/(VLOOKUP(CW$72,INDIRECT($C$5&amp;"生成成长"),5))*(VLOOKUP($B$5,标准坦克设计!$B$24:$U$30,MATCH("对"&amp;LEFT($C$5,2)&amp;"输出",标准坦克设计!$B$23:$U$23,0)))*(VLOOKUP($B91,INDIRECT($B$5&amp;"生成成长"),3))*(VLOOKUP($B$5,标准坦克设计!$B$14:$K$20,9)/30))</f>
        <v>24.534489933536577</v>
      </c>
      <c r="CX91" s="172">
        <f ca="1">(VLOOKUP(CX$72,INDIRECT($C$5&amp;"生成成长"),2))/((VLOOKUP($B91,INDIRECT($B$5&amp;"生成成长"),4))/(VLOOKUP(CX$72,INDIRECT($C$5&amp;"生成成长"),5))*(VLOOKUP($B$5,标准坦克设计!$B$24:$U$30,MATCH("对"&amp;LEFT($C$5,2)&amp;"输出",标准坦克设计!$B$23:$U$23,0)))*(VLOOKUP($B91,INDIRECT($B$5&amp;"生成成长"),3))*(VLOOKUP($B$5,标准坦克设计!$B$14:$K$20,9)/30))</f>
        <v>26.192277184273344</v>
      </c>
      <c r="CY91" s="172">
        <f ca="1">(VLOOKUP(CY$72,INDIRECT($C$5&amp;"生成成长"),2))/((VLOOKUP($B91,INDIRECT($B$5&amp;"生成成长"),4))/(VLOOKUP(CY$72,INDIRECT($C$5&amp;"生成成长"),5))*(VLOOKUP($B$5,标准坦克设计!$B$24:$U$30,MATCH("对"&amp;LEFT($C$5,2)&amp;"输出",标准坦克设计!$B$23:$U$23,0)))*(VLOOKUP($B91,INDIRECT($B$5&amp;"生成成长"),3))*(VLOOKUP($B$5,标准坦克设计!$B$14:$K$20,9)/30))</f>
        <v>27.904256588823213</v>
      </c>
      <c r="CZ91" s="172">
        <f ca="1">(VLOOKUP(CZ$72,INDIRECT($C$5&amp;"生成成长"),2))/((VLOOKUP($B91,INDIRECT($B$5&amp;"生成成长"),4))/(VLOOKUP(CZ$72,INDIRECT($C$5&amp;"生成成长"),5))*(VLOOKUP($B$5,标准坦克设计!$B$24:$U$30,MATCH("对"&amp;LEFT($C$5,2)&amp;"输出",标准坦克设计!$B$23:$U$23,0)))*(VLOOKUP($B91,INDIRECT($B$5&amp;"生成成长"),3))*(VLOOKUP($B$5,标准坦克设计!$B$14:$K$20,9)/30))</f>
        <v>29.670428147186158</v>
      </c>
      <c r="DA91" s="172">
        <f ca="1">(VLOOKUP(DA$72,INDIRECT($C$5&amp;"生成成长"),2))/((VLOOKUP($B91,INDIRECT($B$5&amp;"生成成长"),4))/(VLOOKUP(DA$72,INDIRECT($C$5&amp;"生成成长"),5))*(VLOOKUP($B$5,标准坦克设计!$B$24:$U$30,MATCH("对"&amp;LEFT($C$5,2)&amp;"输出",标准坦克设计!$B$23:$U$23,0)))*(VLOOKUP($B91,INDIRECT($B$5&amp;"生成成长"),3))*(VLOOKUP($B$5,标准坦克设计!$B$14:$K$20,9)/30))</f>
        <v>31.490791859362201</v>
      </c>
      <c r="DB91" s="172">
        <f ca="1">(VLOOKUP(DB$72,INDIRECT($C$5&amp;"生成成长"),2))/((VLOOKUP($B91,INDIRECT($B$5&amp;"生成成长"),4))/(VLOOKUP(DB$72,INDIRECT($C$5&amp;"生成成长"),5))*(VLOOKUP($B$5,标准坦克设计!$B$24:$U$30,MATCH("对"&amp;LEFT($C$5,2)&amp;"输出",标准坦克设计!$B$23:$U$23,0)))*(VLOOKUP($B91,INDIRECT($B$5&amp;"生成成长"),3))*(VLOOKUP($B$5,标准坦克设计!$B$14:$K$20,9)/30))</f>
        <v>33.365347725351313</v>
      </c>
      <c r="DC91" s="172">
        <f ca="1">(VLOOKUP(DC$72,INDIRECT($C$5&amp;"生成成长"),2))/((VLOOKUP($B91,INDIRECT($B$5&amp;"生成成长"),4))/(VLOOKUP(DC$72,INDIRECT($C$5&amp;"生成成长"),5))*(VLOOKUP($B$5,标准坦克设计!$B$24:$U$30,MATCH("对"&amp;LEFT($C$5,2)&amp;"输出",标准坦克设计!$B$23:$U$23,0)))*(VLOOKUP($B91,INDIRECT($B$5&amp;"生成成长"),3))*(VLOOKUP($B$5,标准坦克设计!$B$14:$K$20,9)/30))</f>
        <v>35.472123688465132</v>
      </c>
      <c r="DD91" s="172">
        <f ca="1">(VLOOKUP(DD$72,INDIRECT($C$5&amp;"生成成长"),2))/((VLOOKUP($B91,INDIRECT($B$5&amp;"生成成长"),4))/(VLOOKUP(DD$72,INDIRECT($C$5&amp;"生成成长"),5))*(VLOOKUP($B$5,标准坦克设计!$B$24:$U$30,MATCH("对"&amp;LEFT($C$5,2)&amp;"输出",标准坦克设计!$B$23:$U$23,0)))*(VLOOKUP($B91,INDIRECT($B$5&amp;"生成成长"),3))*(VLOOKUP($B$5,标准坦克设计!$B$14:$K$20,9)/30))</f>
        <v>37.643392793306916</v>
      </c>
      <c r="DE91" s="172">
        <f ca="1">(VLOOKUP(DE$72,INDIRECT($C$5&amp;"生成成长"),2))/((VLOOKUP($B91,INDIRECT($B$5&amp;"生成成长"),4))/(VLOOKUP(DE$72,INDIRECT($C$5&amp;"生成成长"),5))*(VLOOKUP($B$5,标准坦克设计!$B$24:$U$30,MATCH("对"&amp;LEFT($C$5,2)&amp;"输出",标准坦克设计!$B$23:$U$23,0)))*(VLOOKUP($B91,INDIRECT($B$5&amp;"生成成长"),3))*(VLOOKUP($B$5,标准坦克设计!$B$14:$K$20,9)/30))</f>
        <v>39.879155039876672</v>
      </c>
      <c r="DF91" s="172">
        <f ca="1">(VLOOKUP(DF$72,INDIRECT($C$5&amp;"生成成长"),2))/((VLOOKUP($B91,INDIRECT($B$5&amp;"生成成长"),4))/(VLOOKUP(DF$72,INDIRECT($C$5&amp;"生成成长"),5))*(VLOOKUP($B$5,标准坦克设计!$B$24:$U$30,MATCH("对"&amp;LEFT($C$5,2)&amp;"输出",标准坦克设计!$B$23:$U$23,0)))*(VLOOKUP($B91,INDIRECT($B$5&amp;"生成成长"),3))*(VLOOKUP($B$5,标准坦克设计!$B$14:$K$20,9)/30))</f>
        <v>42.1794104281744</v>
      </c>
      <c r="DG91" s="172">
        <f ca="1">(VLOOKUP(DG$72,INDIRECT($C$5&amp;"生成成长"),2))/((VLOOKUP($B91,INDIRECT($B$5&amp;"生成成长"),4))/(VLOOKUP(DG$72,INDIRECT($C$5&amp;"生成成长"),5))*(VLOOKUP($B$5,标准坦克设计!$B$24:$U$30,MATCH("对"&amp;LEFT($C$5,2)&amp;"输出",标准坦克设计!$B$23:$U$23,0)))*(VLOOKUP($B91,INDIRECT($B$5&amp;"生成成长"),3))*(VLOOKUP($B$5,标准坦克设计!$B$14:$K$20,9)/30))</f>
        <v>44.544158958200107</v>
      </c>
      <c r="DH91" s="172">
        <f ca="1">(VLOOKUP(DH$72,INDIRECT($C$5&amp;"生成成长"),2))/((VLOOKUP($B91,INDIRECT($B$5&amp;"生成成长"),4))/(VLOOKUP(DH$72,INDIRECT($C$5&amp;"生成成长"),5))*(VLOOKUP($B$5,标准坦克设计!$B$24:$U$30,MATCH("对"&amp;LEFT($C$5,2)&amp;"输出",标准坦克设计!$B$23:$U$23,0)))*(VLOOKUP($B91,INDIRECT($B$5&amp;"生成成长"),3))*(VLOOKUP($B$5,标准坦克设计!$B$14:$K$20,9)/30))</f>
        <v>46.973400629953787</v>
      </c>
      <c r="DI91" s="172">
        <f ca="1">(VLOOKUP(DI$72,INDIRECT($C$5&amp;"生成成长"),2))/((VLOOKUP($B91,INDIRECT($B$5&amp;"生成成长"),4))/(VLOOKUP(DI$72,INDIRECT($C$5&amp;"生成成长"),5))*(VLOOKUP($B$5,标准坦克设计!$B$24:$U$30,MATCH("对"&amp;LEFT($C$5,2)&amp;"输出",标准坦克设计!$B$23:$U$23,0)))*(VLOOKUP($B91,INDIRECT($B$5&amp;"生成成长"),3))*(VLOOKUP($B$5,标准坦克设计!$B$14:$K$20,9)/30))</f>
        <v>49.467135443435431</v>
      </c>
      <c r="DJ91" s="172">
        <f ca="1">(VLOOKUP(DJ$72,INDIRECT($C$5&amp;"生成成长"),2))/((VLOOKUP($B91,INDIRECT($B$5&amp;"生成成长"),4))/(VLOOKUP(DJ$72,INDIRECT($C$5&amp;"生成成长"),5))*(VLOOKUP($B$5,标准坦克设计!$B$24:$U$30,MATCH("对"&amp;LEFT($C$5,2)&amp;"输出",标准坦克设计!$B$23:$U$23,0)))*(VLOOKUP($B91,INDIRECT($B$5&amp;"生成成长"),3))*(VLOOKUP($B$5,标准坦克设计!$B$14:$K$20,9)/30))</f>
        <v>4.9715702760512004</v>
      </c>
      <c r="DK91" s="172">
        <f ca="1">(VLOOKUP(DK$72,INDIRECT($C$5&amp;"生成成长"),2))/((VLOOKUP($B91,INDIRECT($B$5&amp;"生成成长"),4))/(VLOOKUP(DK$72,INDIRECT($C$5&amp;"生成成长"),5))*(VLOOKUP($B$5,标准坦克设计!$B$24:$U$30,MATCH("对"&amp;LEFT($C$5,2)&amp;"输出",标准坦克设计!$B$23:$U$23,0)))*(VLOOKUP($B91,INDIRECT($B$5&amp;"生成成长"),3))*(VLOOKUP($B$5,标准坦克设计!$B$14:$K$20,9)/30))</f>
        <v>5.590301354503949</v>
      </c>
      <c r="DL91" s="172">
        <f ca="1">(VLOOKUP(DL$72,INDIRECT($C$5&amp;"生成成长"),2))/((VLOOKUP($B91,INDIRECT($B$5&amp;"生成成长"),4))/(VLOOKUP(DL$72,INDIRECT($C$5&amp;"生成成长"),5))*(VLOOKUP($B$5,标准坦克设计!$B$24:$U$30,MATCH("对"&amp;LEFT($C$5,2)&amp;"输出",标准坦克设计!$B$23:$U$23,0)))*(VLOOKUP($B91,INDIRECT($B$5&amp;"生成成长"),3))*(VLOOKUP($B$5,标准坦克设计!$B$14:$K$20,9)/30))</f>
        <v>6.2453098251786816</v>
      </c>
      <c r="DM91" s="172">
        <f ca="1">(VLOOKUP(DM$72,INDIRECT($C$5&amp;"生成成长"),2))/((VLOOKUP($B91,INDIRECT($B$5&amp;"生成成长"),4))/(VLOOKUP(DM$72,INDIRECT($C$5&amp;"生成成长"),5))*(VLOOKUP($B$5,标准坦克设计!$B$24:$U$30,MATCH("对"&amp;LEFT($C$5,2)&amp;"输出",标准坦克设计!$B$23:$U$23,0)))*(VLOOKUP($B91,INDIRECT($B$5&amp;"生成成长"),3))*(VLOOKUP($B$5,标准坦克设计!$B$14:$K$20,9)/30))</f>
        <v>6.9365956880754007</v>
      </c>
      <c r="DN91" s="172">
        <f ca="1">(VLOOKUP(DN$72,INDIRECT($C$5&amp;"生成成长"),2))/((VLOOKUP($B91,INDIRECT($B$5&amp;"生成成长"),4))/(VLOOKUP(DN$72,INDIRECT($C$5&amp;"生成成长"),5))*(VLOOKUP($B$5,标准坦克设计!$B$24:$U$30,MATCH("对"&amp;LEFT($C$5,2)&amp;"输出",标准坦克设计!$B$23:$U$23,0)))*(VLOOKUP($B91,INDIRECT($B$5&amp;"生成成长"),3))*(VLOOKUP($B$5,标准坦克设计!$B$14:$K$20,9)/30))</f>
        <v>7.6641589431941055</v>
      </c>
      <c r="DO91" s="172">
        <f ca="1">(VLOOKUP(DO$72,INDIRECT($C$5&amp;"生成成长"),2))/((VLOOKUP($B91,INDIRECT($B$5&amp;"生成成长"),4))/(VLOOKUP(DO$72,INDIRECT($C$5&amp;"生成成长"),5))*(VLOOKUP($B$5,标准坦克设计!$B$24:$U$30,MATCH("对"&amp;LEFT($C$5,2)&amp;"输出",标准坦克设计!$B$23:$U$23,0)))*(VLOOKUP($B91,INDIRECT($B$5&amp;"生成成长"),3))*(VLOOKUP($B$5,标准坦克设计!$B$14:$K$20,9)/30))</f>
        <v>8.427999590534796</v>
      </c>
      <c r="DP91" s="172">
        <f ca="1">(VLOOKUP(DP$72,INDIRECT($C$5&amp;"生成成长"),2))/((VLOOKUP($B91,INDIRECT($B$5&amp;"生成成长"),4))/(VLOOKUP(DP$72,INDIRECT($C$5&amp;"生成成长"),5))*(VLOOKUP($B$5,标准坦克设计!$B$24:$U$30,MATCH("对"&amp;LEFT($C$5,2)&amp;"输出",标准坦克设计!$B$23:$U$23,0)))*(VLOOKUP($B91,INDIRECT($B$5&amp;"生成成长"),3))*(VLOOKUP($B$5,标准坦克设计!$B$14:$K$20,9)/30))</f>
        <v>9.2281176300974685</v>
      </c>
      <c r="DQ91" s="172">
        <f ca="1">(VLOOKUP(DQ$72,INDIRECT($C$5&amp;"生成成长"),2))/((VLOOKUP($B91,INDIRECT($B$5&amp;"生成成长"),4))/(VLOOKUP(DQ$72,INDIRECT($C$5&amp;"生成成长"),5))*(VLOOKUP($B$5,标准坦克设计!$B$24:$U$30,MATCH("对"&amp;LEFT($C$5,2)&amp;"输出",标准坦克设计!$B$23:$U$23,0)))*(VLOOKUP($B91,INDIRECT($B$5&amp;"生成成长"),3))*(VLOOKUP($B$5,标准坦克设计!$B$14:$K$20,9)/30))</f>
        <v>10.064513061882131</v>
      </c>
      <c r="DR91" s="172">
        <f ca="1">(VLOOKUP(DR$72,INDIRECT($C$5&amp;"生成成长"),2))/((VLOOKUP($B91,INDIRECT($B$5&amp;"生成成长"),4))/(VLOOKUP(DR$72,INDIRECT($C$5&amp;"生成成长"),5))*(VLOOKUP($B$5,标准坦克设计!$B$24:$U$30,MATCH("对"&amp;LEFT($C$5,2)&amp;"输出",标准坦克设计!$B$23:$U$23,0)))*(VLOOKUP($B91,INDIRECT($B$5&amp;"生成成长"),3))*(VLOOKUP($B$5,标准坦克设计!$B$14:$K$20,9)/30))</f>
        <v>10.937185885888775</v>
      </c>
      <c r="DS91" s="172">
        <f ca="1">(VLOOKUP(DS$72,INDIRECT($C$5&amp;"生成成长"),2))/((VLOOKUP($B91,INDIRECT($B$5&amp;"生成成长"),4))/(VLOOKUP(DS$72,INDIRECT($C$5&amp;"生成成长"),5))*(VLOOKUP($B$5,标准坦克设计!$B$24:$U$30,MATCH("对"&amp;LEFT($C$5,2)&amp;"输出",标准坦克设计!$B$23:$U$23,0)))*(VLOOKUP($B91,INDIRECT($B$5&amp;"生成成长"),3))*(VLOOKUP($B$5,标准坦克设计!$B$14:$K$20,9)/30))</f>
        <v>11.846136102117404</v>
      </c>
      <c r="DT91" s="172">
        <f ca="1">(VLOOKUP(DT$72,INDIRECT($C$5&amp;"生成成长"),2))/((VLOOKUP($B91,INDIRECT($B$5&amp;"生成成长"),4))/(VLOOKUP(DT$72,INDIRECT($C$5&amp;"生成成长"),5))*(VLOOKUP($B$5,标准坦克设计!$B$24:$U$30,MATCH("对"&amp;LEFT($C$5,2)&amp;"输出",标准坦克设计!$B$23:$U$23,0)))*(VLOOKUP($B91,INDIRECT($B$5&amp;"生成成长"),3))*(VLOOKUP($B$5,标准坦克设计!$B$14:$K$20,9)/30))</f>
        <v>13.006340849661267</v>
      </c>
      <c r="DU91" s="172">
        <f ca="1">(VLOOKUP(DU$72,INDIRECT($C$5&amp;"生成成长"),2))/((VLOOKUP($B91,INDIRECT($B$5&amp;"生成成长"),4))/(VLOOKUP(DU$72,INDIRECT($C$5&amp;"生成成长"),5))*(VLOOKUP($B$5,标准坦克设计!$B$24:$U$30,MATCH("对"&amp;LEFT($C$5,2)&amp;"输出",标准坦克设计!$B$23:$U$23,0)))*(VLOOKUP($B91,INDIRECT($B$5&amp;"生成成长"),3))*(VLOOKUP($B$5,标准坦克设计!$B$14:$K$20,9)/30))</f>
        <v>14.220737751018218</v>
      </c>
      <c r="DV91" s="172">
        <f ca="1">(VLOOKUP(DV$72,INDIRECT($C$5&amp;"生成成长"),2))/((VLOOKUP($B91,INDIRECT($B$5&amp;"生成成长"),4))/(VLOOKUP(DV$72,INDIRECT($C$5&amp;"生成成长"),5))*(VLOOKUP($B$5,标准坦克设计!$B$24:$U$30,MATCH("对"&amp;LEFT($C$5,2)&amp;"输出",标准坦克设计!$B$23:$U$23,0)))*(VLOOKUP($B91,INDIRECT($B$5&amp;"生成成长"),3))*(VLOOKUP($B$5,标准坦克设计!$B$14:$K$20,9)/30))</f>
        <v>15.489326806188258</v>
      </c>
      <c r="DW91" s="172">
        <f ca="1">(VLOOKUP(DW$72,INDIRECT($C$5&amp;"生成成长"),2))/((VLOOKUP($B91,INDIRECT($B$5&amp;"生成成长"),4))/(VLOOKUP(DW$72,INDIRECT($C$5&amp;"生成成长"),5))*(VLOOKUP($B$5,标准坦克设计!$B$24:$U$30,MATCH("对"&amp;LEFT($C$5,2)&amp;"输出",标准坦克设计!$B$23:$U$23,0)))*(VLOOKUP($B91,INDIRECT($B$5&amp;"生成成长"),3))*(VLOOKUP($B$5,标准坦克设计!$B$14:$K$20,9)/30))</f>
        <v>16.812108015171386</v>
      </c>
      <c r="DX91" s="172">
        <f ca="1">(VLOOKUP(DX$72,INDIRECT($C$5&amp;"生成成长"),2))/((VLOOKUP($B91,INDIRECT($B$5&amp;"生成成长"),4))/(VLOOKUP(DX$72,INDIRECT($C$5&amp;"生成成长"),5))*(VLOOKUP($B$5,标准坦克设计!$B$24:$U$30,MATCH("对"&amp;LEFT($C$5,2)&amp;"输出",标准坦克设计!$B$23:$U$23,0)))*(VLOOKUP($B91,INDIRECT($B$5&amp;"生成成长"),3))*(VLOOKUP($B$5,标准坦克设计!$B$14:$K$20,9)/30))</f>
        <v>18.189081377967604</v>
      </c>
      <c r="DY91" s="172">
        <f ca="1">(VLOOKUP(DY$72,INDIRECT($C$5&amp;"生成成长"),2))/((VLOOKUP($B91,INDIRECT($B$5&amp;"生成成长"),4))/(VLOOKUP(DY$72,INDIRECT($C$5&amp;"生成成长"),5))*(VLOOKUP($B$5,标准坦克设计!$B$24:$U$30,MATCH("对"&amp;LEFT($C$5,2)&amp;"输出",标准坦克设计!$B$23:$U$23,0)))*(VLOOKUP($B91,INDIRECT($B$5&amp;"生成成长"),3))*(VLOOKUP($B$5,标准坦克设计!$B$14:$K$20,9)/30))</f>
        <v>8.1693552200632329</v>
      </c>
      <c r="DZ91" s="172">
        <f ca="1">(VLOOKUP(DZ$72,INDIRECT($C$5&amp;"生成成长"),2))/((VLOOKUP($B91,INDIRECT($B$5&amp;"生成成长"),4))/(VLOOKUP(DZ$72,INDIRECT($C$5&amp;"生成成长"),5))*(VLOOKUP($B$5,标准坦克设计!$B$24:$U$30,MATCH("对"&amp;LEFT($C$5,2)&amp;"输出",标准坦克设计!$B$23:$U$23,0)))*(VLOOKUP($B91,INDIRECT($B$5&amp;"生成成长"),3))*(VLOOKUP($B$5,标准坦克设计!$B$14:$K$20,9)/30))</f>
        <v>9.0471785380273193</v>
      </c>
      <c r="EA91" s="172">
        <f ca="1">(VLOOKUP(EA$72,INDIRECT($C$5&amp;"生成成长"),2))/((VLOOKUP($B91,INDIRECT($B$5&amp;"生成成长"),4))/(VLOOKUP(EA$72,INDIRECT($C$5&amp;"生成成长"),5))*(VLOOKUP($B$5,标准坦克设计!$B$24:$U$30,MATCH("对"&amp;LEFT($C$5,2)&amp;"输出",标准坦克设计!$B$23:$U$23,0)))*(VLOOKUP($B91,INDIRECT($B$5&amp;"生成成长"),3))*(VLOOKUP($B$5,标准坦克设计!$B$14:$K$20,9)/30))</f>
        <v>9.9697887599691679</v>
      </c>
      <c r="EB91" s="172">
        <f ca="1">(VLOOKUP(EB$72,INDIRECT($C$5&amp;"生成成长"),2))/((VLOOKUP($B91,INDIRECT($B$5&amp;"生成成长"),4))/(VLOOKUP(EB$72,INDIRECT($C$5&amp;"生成成长"),5))*(VLOOKUP($B$5,标准坦克设计!$B$24:$U$30,MATCH("对"&amp;LEFT($C$5,2)&amp;"输出",标准坦克设计!$B$23:$U$23,0)))*(VLOOKUP($B91,INDIRECT($B$5&amp;"生成成长"),3))*(VLOOKUP($B$5,标准坦克设计!$B$14:$K$20,9)/30))</f>
        <v>10.937185885888775</v>
      </c>
      <c r="EC91" s="172">
        <f ca="1">(VLOOKUP(EC$72,INDIRECT($C$5&amp;"生成成长"),2))/((VLOOKUP($B91,INDIRECT($B$5&amp;"生成成长"),4))/(VLOOKUP(EC$72,INDIRECT($C$5&amp;"生成成长"),5))*(VLOOKUP($B$5,标准坦克设计!$B$24:$U$30,MATCH("对"&amp;LEFT($C$5,2)&amp;"输出",标准坦克设计!$B$23:$U$23,0)))*(VLOOKUP($B91,INDIRECT($B$5&amp;"生成成长"),3))*(VLOOKUP($B$5,标准坦克设计!$B$14:$K$20,9)/30))</f>
        <v>11.949369915786139</v>
      </c>
      <c r="ED91" s="172">
        <f ca="1">(VLOOKUP(ED$72,INDIRECT($C$5&amp;"生成成长"),2))/((VLOOKUP($B91,INDIRECT($B$5&amp;"生成成长"),4))/(VLOOKUP(ED$72,INDIRECT($C$5&amp;"生成成长"),5))*(VLOOKUP($B$5,标准坦克设计!$B$24:$U$30,MATCH("对"&amp;LEFT($C$5,2)&amp;"输出",标准坦克设计!$B$23:$U$23,0)))*(VLOOKUP($B91,INDIRECT($B$5&amp;"生成成长"),3))*(VLOOKUP($B$5,标准坦克设计!$B$14:$K$20,9)/30))</f>
        <v>13.006340849661267</v>
      </c>
      <c r="EE91" s="172">
        <f ca="1">(VLOOKUP(EE$72,INDIRECT($C$5&amp;"生成成长"),2))/((VLOOKUP($B91,INDIRECT($B$5&amp;"生成成长"),4))/(VLOOKUP(EE$72,INDIRECT($C$5&amp;"生成成长"),5))*(VLOOKUP($B$5,标准坦克设计!$B$24:$U$30,MATCH("对"&amp;LEFT($C$5,2)&amp;"输出",标准坦克设计!$B$23:$U$23,0)))*(VLOOKUP($B91,INDIRECT($B$5&amp;"生成成长"),3))*(VLOOKUP($B$5,标准坦克设计!$B$14:$K$20,9)/30))</f>
        <v>14.108098687514151</v>
      </c>
      <c r="EF91" s="172">
        <f ca="1">(VLOOKUP(EF$72,INDIRECT($C$5&amp;"生成成长"),2))/((VLOOKUP($B91,INDIRECT($B$5&amp;"生成成长"),4))/(VLOOKUP(EF$72,INDIRECT($C$5&amp;"生成成长"),5))*(VLOOKUP($B$5,标准坦克设计!$B$24:$U$30,MATCH("对"&amp;LEFT($C$5,2)&amp;"输出",标准坦克设计!$B$23:$U$23,0)))*(VLOOKUP($B91,INDIRECT($B$5&amp;"生成成长"),3))*(VLOOKUP($B$5,标准坦克设计!$B$14:$K$20,9)/30))</f>
        <v>15.254643429344794</v>
      </c>
      <c r="EG91" s="172">
        <f ca="1">(VLOOKUP(EG$72,INDIRECT($C$5&amp;"生成成长"),2))/((VLOOKUP($B91,INDIRECT($B$5&amp;"生成成长"),4))/(VLOOKUP(EG$72,INDIRECT($C$5&amp;"生成成长"),5))*(VLOOKUP($B$5,标准坦克设计!$B$24:$U$30,MATCH("对"&amp;LEFT($C$5,2)&amp;"输出",标准坦克设计!$B$23:$U$23,0)))*(VLOOKUP($B91,INDIRECT($B$5&amp;"生成成长"),3))*(VLOOKUP($B$5,标准坦克设计!$B$14:$K$20,9)/30))</f>
        <v>16.4459750751532</v>
      </c>
      <c r="EH91" s="172">
        <f ca="1">(VLOOKUP(EH$72,INDIRECT($C$5&amp;"生成成长"),2))/((VLOOKUP($B91,INDIRECT($B$5&amp;"生成成长"),4))/(VLOOKUP(EH$72,INDIRECT($C$5&amp;"生成成长"),5))*(VLOOKUP($B$5,标准坦克设计!$B$24:$U$30,MATCH("对"&amp;LEFT($C$5,2)&amp;"输出",标准坦克设计!$B$23:$U$23,0)))*(VLOOKUP($B91,INDIRECT($B$5&amp;"生成成长"),3))*(VLOOKUP($B$5,标准坦克设计!$B$14:$K$20,9)/30))</f>
        <v>17.682093624939366</v>
      </c>
      <c r="EI91" s="172">
        <f ca="1">(VLOOKUP(EI$72,INDIRECT($C$5&amp;"生成成长"),2))/((VLOOKUP($B91,INDIRECT($B$5&amp;"生成成长"),4))/(VLOOKUP(EI$72,INDIRECT($C$5&amp;"生成成长"),5))*(VLOOKUP($B$5,标准坦克设计!$B$24:$U$30,MATCH("对"&amp;LEFT($C$5,2)&amp;"输出",标准坦克设计!$B$23:$U$23,0)))*(VLOOKUP($B91,INDIRECT($B$5&amp;"生成成长"),3))*(VLOOKUP($B$5,标准坦克设计!$B$14:$K$20,9)/30))</f>
        <v>18.962999078703284</v>
      </c>
      <c r="EJ91" s="172">
        <f ca="1">(VLOOKUP(EJ$72,INDIRECT($C$5&amp;"生成成长"),2))/((VLOOKUP($B91,INDIRECT($B$5&amp;"生成成长"),4))/(VLOOKUP(EJ$72,INDIRECT($C$5&amp;"生成成长"),5))*(VLOOKUP($B$5,标准坦克设计!$B$24:$U$30,MATCH("对"&amp;LEFT($C$5,2)&amp;"输出",标准坦克设计!$B$23:$U$23,0)))*(VLOOKUP($B91,INDIRECT($B$5&amp;"生成成长"),3))*(VLOOKUP($B$5,标准坦克设计!$B$14:$K$20,9)/30))</f>
        <v>20.288691436444971</v>
      </c>
      <c r="EK91" s="172">
        <f ca="1">(VLOOKUP(EK$72,INDIRECT($C$5&amp;"生成成长"),2))/((VLOOKUP($B91,INDIRECT($B$5&amp;"生成成长"),4))/(VLOOKUP(EK$72,INDIRECT($C$5&amp;"生成成长"),5))*(VLOOKUP($B$5,标准坦克设计!$B$24:$U$30,MATCH("对"&amp;LEFT($C$5,2)&amp;"输出",标准坦克设计!$B$23:$U$23,0)))*(VLOOKUP($B91,INDIRECT($B$5&amp;"生成成长"),3))*(VLOOKUP($B$5,标准坦克设计!$B$14:$K$20,9)/30))</f>
        <v>21.938640978985635</v>
      </c>
      <c r="EL91" s="172">
        <f ca="1">(VLOOKUP(EL$72,INDIRECT($C$5&amp;"生成成长"),2))/((VLOOKUP($B91,INDIRECT($B$5&amp;"生成成长"),4))/(VLOOKUP(EL$72,INDIRECT($C$5&amp;"生成成长"),5))*(VLOOKUP($B$5,标准坦克设计!$B$24:$U$30,MATCH("对"&amp;LEFT($C$5,2)&amp;"输出",标准坦克设计!$B$23:$U$23,0)))*(VLOOKUP($B91,INDIRECT($B$5&amp;"生成成长"),3))*(VLOOKUP($B$5,标准坦克设计!$B$14:$K$20,9)/30))</f>
        <v>23.653083663254272</v>
      </c>
      <c r="EM91" s="172">
        <f ca="1">(VLOOKUP(EM$72,INDIRECT($C$5&amp;"生成成长"),2))/((VLOOKUP($B91,INDIRECT($B$5&amp;"生成成长"),4))/(VLOOKUP(EM$72,INDIRECT($C$5&amp;"生成成长"),5))*(VLOOKUP($B$5,标准坦克设计!$B$24:$U$30,MATCH("对"&amp;LEFT($C$5,2)&amp;"输出",标准坦克设计!$B$23:$U$23,0)))*(VLOOKUP($B91,INDIRECT($B$5&amp;"生成成长"),3))*(VLOOKUP($B$5,标准坦克设计!$B$14:$K$20,9)/30))</f>
        <v>25.432019489250884</v>
      </c>
      <c r="EN91" s="172">
        <f ca="1">(VLOOKUP(EN$72,INDIRECT($C$5&amp;"生成成长"),2))/((VLOOKUP($B91,INDIRECT($B$5&amp;"生成成长"),4))/(VLOOKUP(EN$72,INDIRECT($C$5&amp;"生成成长"),5))*(VLOOKUP($B$5,标准坦克设计!$B$24:$U$30,MATCH("对"&amp;LEFT($C$5,2)&amp;"输出",标准坦克设计!$B$23:$U$23,0)))*(VLOOKUP($B91,INDIRECT($B$5&amp;"生成成长"),3))*(VLOOKUP($B$5,标准坦克设计!$B$14:$K$20,9)/30))</f>
        <v>27.275448456975464</v>
      </c>
      <c r="EO91" s="172">
        <f ca="1">(VLOOKUP(EO$72,INDIRECT($C$5&amp;"生成成长"),2))/((VLOOKUP($B91,INDIRECT($B$5&amp;"生成成长"),4))/(VLOOKUP(EO$72,INDIRECT($C$5&amp;"生成成长"),5))*(VLOOKUP($B$5,标准坦克设计!$B$24:$U$30,MATCH("对"&amp;LEFT($C$5,2)&amp;"输出",标准坦克设计!$B$23:$U$23,0)))*(VLOOKUP($B91,INDIRECT($B$5&amp;"生成成长"),3))*(VLOOKUP($B$5,标准坦克设计!$B$14:$K$20,9)/30))</f>
        <v>29.183370566428017</v>
      </c>
      <c r="EP91" s="172">
        <f ca="1">(VLOOKUP(EP$72,INDIRECT($C$5&amp;"生成成长"),2))/((VLOOKUP($B91,INDIRECT($B$5&amp;"生成成长"),4))/(VLOOKUP(EP$72,INDIRECT($C$5&amp;"生成成长"),5))*(VLOOKUP($B$5,标准坦克设计!$B$24:$U$30,MATCH("对"&amp;LEFT($C$5,2)&amp;"输出",标准坦克设计!$B$23:$U$23,0)))*(VLOOKUP($B91,INDIRECT($B$5&amp;"生成成长"),3))*(VLOOKUP($B$5,标准坦克设计!$B$14:$K$20,9)/30))</f>
        <v>31.155785817608553</v>
      </c>
      <c r="EQ91" s="172">
        <f ca="1">(VLOOKUP(EQ$72,INDIRECT($C$5&amp;"生成成长"),2))/((VLOOKUP($B91,INDIRECT($B$5&amp;"生成成长"),4))/(VLOOKUP(EQ$72,INDIRECT($C$5&amp;"生成成长"),5))*(VLOOKUP($B$5,标准坦克设计!$B$24:$U$30,MATCH("对"&amp;LEFT($C$5,2)&amp;"输出",标准坦克设计!$B$23:$U$23,0)))*(VLOOKUP($B91,INDIRECT($B$5&amp;"生成成长"),3))*(VLOOKUP($B$5,标准坦克设计!$B$14:$K$20,9)/30))</f>
        <v>13.772868711240623</v>
      </c>
      <c r="ER91" s="172">
        <f ca="1">(VLOOKUP(ER$72,INDIRECT($C$5&amp;"生成成长"),2))/((VLOOKUP($B91,INDIRECT($B$5&amp;"生成成长"),4))/(VLOOKUP(ER$72,INDIRECT($C$5&amp;"生成成长"),5))*(VLOOKUP($B$5,标准坦克设计!$B$24:$U$30,MATCH("对"&amp;LEFT($C$5,2)&amp;"输出",标准坦克设计!$B$23:$U$23,0)))*(VLOOKUP($B91,INDIRECT($B$5&amp;"生成成长"),3))*(VLOOKUP($B$5,标准坦克设计!$B$14:$K$20,9)/30))</f>
        <v>15.021751528660449</v>
      </c>
      <c r="ES91" s="172">
        <f ca="1">(VLOOKUP(ES$72,INDIRECT($C$5&amp;"生成成长"),2))/((VLOOKUP($B91,INDIRECT($B$5&amp;"生成成长"),4))/(VLOOKUP(ES$72,INDIRECT($C$5&amp;"生成成长"),5))*(VLOOKUP($B$5,标准坦克设计!$B$24:$U$30,MATCH("对"&amp;LEFT($C$5,2)&amp;"输出",标准坦克设计!$B$23:$U$23,0)))*(VLOOKUP($B91,INDIRECT($B$5&amp;"生成成长"),3))*(VLOOKUP($B$5,标准坦克设计!$B$14:$K$20,9)/30))</f>
        <v>16.324826499893359</v>
      </c>
      <c r="ET91" s="172">
        <f ca="1">(VLOOKUP(ET$72,INDIRECT($C$5&amp;"生成成长"),2))/((VLOOKUP($B91,INDIRECT($B$5&amp;"生成成长"),4))/(VLOOKUP(ET$72,INDIRECT($C$5&amp;"生成成长"),5))*(VLOOKUP($B$5,标准坦克设计!$B$24:$U$30,MATCH("对"&amp;LEFT($C$5,2)&amp;"输出",标准坦克设计!$B$23:$U$23,0)))*(VLOOKUP($B91,INDIRECT($B$5&amp;"生成成长"),3))*(VLOOKUP($B$5,标准坦克设计!$B$14:$K$20,9)/30))</f>
        <v>17.682093624939366</v>
      </c>
      <c r="EU91" s="172">
        <f ca="1">(VLOOKUP(EU$72,INDIRECT($C$5&amp;"生成成长"),2))/((VLOOKUP($B91,INDIRECT($B$5&amp;"生成成长"),4))/(VLOOKUP(EU$72,INDIRECT($C$5&amp;"生成成长"),5))*(VLOOKUP($B$5,标准坦克设计!$B$24:$U$30,MATCH("对"&amp;LEFT($C$5,2)&amp;"输出",标准坦克设计!$B$23:$U$23,0)))*(VLOOKUP($B91,INDIRECT($B$5&amp;"生成成长"),3))*(VLOOKUP($B$5,标准坦克设计!$B$14:$K$20,9)/30))</f>
        <v>19.093552903798457</v>
      </c>
      <c r="EV91" s="172">
        <f ca="1">(VLOOKUP(EV$72,INDIRECT($C$5&amp;"生成成长"),2))/((VLOOKUP($B91,INDIRECT($B$5&amp;"生成成长"),4))/(VLOOKUP(EV$72,INDIRECT($C$5&amp;"生成成长"),5))*(VLOOKUP($B$5,标准坦克设计!$B$24:$U$30,MATCH("对"&amp;LEFT($C$5,2)&amp;"输出",标准坦克设计!$B$23:$U$23,0)))*(VLOOKUP($B91,INDIRECT($B$5&amp;"生成成长"),3))*(VLOOKUP($B$5,标准坦克设计!$B$14:$K$20,9)/30))</f>
        <v>20.559204336470643</v>
      </c>
      <c r="EW91" s="172">
        <f ca="1">(VLOOKUP(EW$72,INDIRECT($C$5&amp;"生成成长"),2))/((VLOOKUP($B91,INDIRECT($B$5&amp;"生成成长"),4))/(VLOOKUP(EW$72,INDIRECT($C$5&amp;"生成成长"),5))*(VLOOKUP($B$5,标准坦克设计!$B$24:$U$30,MATCH("对"&amp;LEFT($C$5,2)&amp;"输出",标准坦克设计!$B$23:$U$23,0)))*(VLOOKUP($B91,INDIRECT($B$5&amp;"生成成长"),3))*(VLOOKUP($B$5,标准坦克设计!$B$14:$K$20,9)/30))</f>
        <v>22.079047922955912</v>
      </c>
      <c r="EX91" s="172">
        <f ca="1">(VLOOKUP(EX$72,INDIRECT($C$5&amp;"生成成长"),2))/((VLOOKUP($B91,INDIRECT($B$5&amp;"生成成长"),4))/(VLOOKUP(EX$72,INDIRECT($C$5&amp;"生成成长"),5))*(VLOOKUP($B$5,标准坦克设计!$B$24:$U$30,MATCH("对"&amp;LEFT($C$5,2)&amp;"输出",标准坦克设计!$B$23:$U$23,0)))*(VLOOKUP($B91,INDIRECT($B$5&amp;"生成成长"),3))*(VLOOKUP($B$5,标准坦克设计!$B$14:$K$20,9)/30))</f>
        <v>23.653083663254272</v>
      </c>
      <c r="EY91" s="172">
        <f ca="1">(VLOOKUP(EY$72,INDIRECT($C$5&amp;"生成成长"),2))/((VLOOKUP($B91,INDIRECT($B$5&amp;"生成成长"),4))/(VLOOKUP(EY$72,INDIRECT($C$5&amp;"生成成长"),5))*(VLOOKUP($B$5,标准坦克设计!$B$24:$U$30,MATCH("对"&amp;LEFT($C$5,2)&amp;"输出",标准坦克设计!$B$23:$U$23,0)))*(VLOOKUP($B91,INDIRECT($B$5&amp;"生成成长"),3))*(VLOOKUP($B$5,标准坦克设计!$B$14:$K$20,9)/30))</f>
        <v>25.281311557365719</v>
      </c>
      <c r="EZ91" s="172">
        <f ca="1">(VLOOKUP(EZ$72,INDIRECT($C$5&amp;"生成成长"),2))/((VLOOKUP($B91,INDIRECT($B$5&amp;"生成成长"),4))/(VLOOKUP(EZ$72,INDIRECT($C$5&amp;"生成成长"),5))*(VLOOKUP($B$5,标准坦克设计!$B$24:$U$30,MATCH("对"&amp;LEFT($C$5,2)&amp;"输出",标准坦克设计!$B$23:$U$23,0)))*(VLOOKUP($B91,INDIRECT($B$5&amp;"生成成长"),3))*(VLOOKUP($B$5,标准坦克设计!$B$14:$K$20,9)/30))</f>
        <v>26.96373160529026</v>
      </c>
      <c r="FA91" s="172">
        <f ca="1">(VLOOKUP(FA$72,INDIRECT($C$5&amp;"生成成长"),2))/((VLOOKUP($B91,INDIRECT($B$5&amp;"生成成长"),4))/(VLOOKUP(FA$72,INDIRECT($C$5&amp;"生成成长"),5))*(VLOOKUP($B$5,标准坦克设计!$B$24:$U$30,MATCH("对"&amp;LEFT($C$5,2)&amp;"输出",标准坦克设计!$B$23:$U$23,0)))*(VLOOKUP($B91,INDIRECT($B$5&amp;"生成成长"),3))*(VLOOKUP($B$5,标准坦克设计!$B$14:$K$20,9)/30))</f>
        <v>28.700343807027885</v>
      </c>
      <c r="FB91" s="172">
        <f ca="1">(VLOOKUP(FB$72,INDIRECT($C$5&amp;"生成成长"),2))/((VLOOKUP($B91,INDIRECT($B$5&amp;"生成成长"),4))/(VLOOKUP(FB$72,INDIRECT($C$5&amp;"生成成长"),5))*(VLOOKUP($B$5,标准坦克设计!$B$24:$U$30,MATCH("对"&amp;LEFT($C$5,2)&amp;"输出",标准坦克设计!$B$23:$U$23,0)))*(VLOOKUP($B91,INDIRECT($B$5&amp;"生成成长"),3))*(VLOOKUP($B$5,标准坦克设计!$B$14:$K$20,9)/30))</f>
        <v>30.491148162578593</v>
      </c>
      <c r="FC91" s="172">
        <f ca="1">(VLOOKUP(FC$72,INDIRECT($C$5&amp;"生成成长"),2))/((VLOOKUP($B91,INDIRECT($B$5&amp;"生成成长"),4))/(VLOOKUP(FC$72,INDIRECT($C$5&amp;"生成成长"),5))*(VLOOKUP($B$5,标准坦克设计!$B$24:$U$30,MATCH("对"&amp;LEFT($C$5,2)&amp;"输出",标准坦克设计!$B$23:$U$23,0)))*(VLOOKUP($B91,INDIRECT($B$5&amp;"生成成长"),3))*(VLOOKUP($B$5,标准坦克设计!$B$14:$K$20,9)/30))</f>
        <v>32.336144671942407</v>
      </c>
      <c r="FD91" s="172">
        <f ca="1">(VLOOKUP(FD$72,INDIRECT($C$5&amp;"生成成长"),2))/((VLOOKUP($B91,INDIRECT($B$5&amp;"生成成长"),4))/(VLOOKUP(FD$72,INDIRECT($C$5&amp;"生成成长"),5))*(VLOOKUP($B$5,标准坦克设计!$B$24:$U$30,MATCH("对"&amp;LEFT($C$5,2)&amp;"输出",标准坦克设计!$B$23:$U$23,0)))*(VLOOKUP($B91,INDIRECT($B$5&amp;"生成成长"),3))*(VLOOKUP($B$5,标准坦克设计!$B$14:$K$20,9)/30))</f>
        <v>34.235333335119307</v>
      </c>
      <c r="FE91" s="172">
        <f ca="1">(VLOOKUP(FE$72,INDIRECT($C$5&amp;"生成成长"),2))/((VLOOKUP($B91,INDIRECT($B$5&amp;"生成成长"),4))/(VLOOKUP(FE$72,INDIRECT($C$5&amp;"生成成长"),5))*(VLOOKUP($B$5,标准坦克设计!$B$24:$U$30,MATCH("对"&amp;LEFT($C$5,2)&amp;"输出",标准坦克设计!$B$23:$U$23,0)))*(VLOOKUP($B91,INDIRECT($B$5&amp;"生成成长"),3))*(VLOOKUP($B$5,标准坦克设计!$B$14:$K$20,9)/30))</f>
        <v>36.54969659817003</v>
      </c>
      <c r="FF91" s="172">
        <f ca="1">(VLOOKUP(FF$72,INDIRECT($C$5&amp;"生成成长"),2))/((VLOOKUP($B91,INDIRECT($B$5&amp;"生成成长"),4))/(VLOOKUP(FF$72,INDIRECT($C$5&amp;"生成成长"),5))*(VLOOKUP($B$5,标准坦克设计!$B$24:$U$30,MATCH("对"&amp;LEFT($C$5,2)&amp;"输出",标准坦克设计!$B$23:$U$23,0)))*(VLOOKUP($B91,INDIRECT($B$5&amp;"生成成长"),3))*(VLOOKUP($B$5,标准坦克设计!$B$14:$K$20,9)/30))</f>
        <v>38.939749728943163</v>
      </c>
      <c r="FG91" s="172">
        <f ca="1">(VLOOKUP(FG$72,INDIRECT($C$5&amp;"生成成长"),2))/((VLOOKUP($B91,INDIRECT($B$5&amp;"生成成长"),4))/(VLOOKUP(FG$72,INDIRECT($C$5&amp;"生成成长"),5))*(VLOOKUP($B$5,标准坦克设计!$B$24:$U$30,MATCH("对"&amp;LEFT($C$5,2)&amp;"输出",标准坦克设计!$B$23:$U$23,0)))*(VLOOKUP($B91,INDIRECT($B$5&amp;"生成成长"),3))*(VLOOKUP($B$5,标准坦克设计!$B$14:$K$20,9)/30))</f>
        <v>41.40549272743872</v>
      </c>
      <c r="FH91" s="172">
        <f ca="1">(VLOOKUP(FH$72,INDIRECT($C$5&amp;"生成成长"),2))/((VLOOKUP($B91,INDIRECT($B$5&amp;"生成成长"),4))/(VLOOKUP(FH$72,INDIRECT($C$5&amp;"生成成长"),5))*(VLOOKUP($B$5,标准坦克设计!$B$24:$U$30,MATCH("对"&amp;LEFT($C$5,2)&amp;"输出",标准坦克设计!$B$23:$U$23,0)))*(VLOOKUP($B91,INDIRECT($B$5&amp;"生成成长"),3))*(VLOOKUP($B$5,标准坦克设计!$B$14:$K$20,9)/30))</f>
        <v>43.946925593656687</v>
      </c>
      <c r="FI91" s="172">
        <f ca="1">(VLOOKUP(FI$72,INDIRECT($C$5&amp;"生成成长"),2))/((VLOOKUP($B91,INDIRECT($B$5&amp;"生成成长"),4))/(VLOOKUP(FI$72,INDIRECT($C$5&amp;"生成成长"),5))*(VLOOKUP($B$5,标准坦克设计!$B$24:$U$30,MATCH("对"&amp;LEFT($C$5,2)&amp;"输出",标准坦克设计!$B$23:$U$23,0)))*(VLOOKUP($B91,INDIRECT($B$5&amp;"生成成长"),3))*(VLOOKUP($B$5,标准坦克设计!$B$14:$K$20,9)/30))</f>
        <v>46.564048327597071</v>
      </c>
      <c r="FJ91" s="172">
        <f ca="1">(VLOOKUP(FJ$72,INDIRECT($C$5&amp;"生成成长"),2))/((VLOOKUP($B91,INDIRECT($B$5&amp;"生成成长"),4))/(VLOOKUP(FJ$72,INDIRECT($C$5&amp;"生成成长"),5))*(VLOOKUP($B$5,标准坦克设计!$B$24:$U$30,MATCH("对"&amp;LEFT($C$5,2)&amp;"输出",标准坦克设计!$B$23:$U$23,0)))*(VLOOKUP($B91,INDIRECT($B$5&amp;"生成成长"),3))*(VLOOKUP($B$5,标准坦克设计!$B$14:$K$20,9)/30))</f>
        <v>49.256860929259865</v>
      </c>
      <c r="FK91" s="172">
        <f ca="1">(VLOOKUP(FK$72,INDIRECT($C$5&amp;"生成成长"),2))/((VLOOKUP($B91,INDIRECT($B$5&amp;"生成成长"),4))/(VLOOKUP(FK$72,INDIRECT($C$5&amp;"生成成长"),5))*(VLOOKUP($B$5,标准坦克设计!$B$24:$U$30,MATCH("对"&amp;LEFT($C$5,2)&amp;"输出",标准坦克设计!$B$23:$U$23,0)))*(VLOOKUP($B91,INDIRECT($B$5&amp;"生成成长"),3))*(VLOOKUP($B$5,标准坦克设计!$B$14:$K$20,9)/30))</f>
        <v>52.025363398645069</v>
      </c>
    </row>
    <row r="92" spans="1:167" x14ac:dyDescent="0.15">
      <c r="A92" s="170" t="str">
        <f t="shared" si="11"/>
        <v>T3低品质8级</v>
      </c>
      <c r="B92" s="171">
        <v>10308</v>
      </c>
      <c r="C92" s="172">
        <f ca="1">(VLOOKUP(C$72,INDIRECT($C$5&amp;"生成成长"),2))/((VLOOKUP($B92,INDIRECT($B$5&amp;"生成成长"),4))/(VLOOKUP(C$72,INDIRECT($C$5&amp;"生成成长"),5))*(VLOOKUP($B$5,标准坦克设计!$B$24:$U$30,MATCH("对"&amp;LEFT($C$5,2)&amp;"输出",标准坦克设计!$B$23:$U$23,0)))*(VLOOKUP($B92,INDIRECT($B$5&amp;"生成成长"),3))*(VLOOKUP($B$5,标准坦克设计!$B$14:$K$20,9)/30))</f>
        <v>2.0457997970097987</v>
      </c>
      <c r="D92" s="172">
        <f ca="1">(VLOOKUP(D$72,INDIRECT($C$5&amp;"生成成长"),2))/((VLOOKUP($B92,INDIRECT($B$5&amp;"生成成长"),4))/(VLOOKUP(D$72,INDIRECT($C$5&amp;"生成成长"),5))*(VLOOKUP($B$5,标准坦克设计!$B$24:$U$30,MATCH("对"&amp;LEFT($C$5,2)&amp;"输出",标准坦克设计!$B$23:$U$23,0)))*(VLOOKUP($B92,INDIRECT($B$5&amp;"生成成长"),3))*(VLOOKUP($B$5,标准坦克设计!$B$14:$K$20,9)/30))</f>
        <v>2.2986606519202097</v>
      </c>
      <c r="E92" s="172">
        <f ca="1">(VLOOKUP(E$72,INDIRECT($C$5&amp;"生成成长"),2))/((VLOOKUP($B92,INDIRECT($B$5&amp;"生成成长"),4))/(VLOOKUP(E$72,INDIRECT($C$5&amp;"生成成长"),5))*(VLOOKUP($B$5,标准坦克设计!$B$24:$U$30,MATCH("对"&amp;LEFT($C$5,2)&amp;"输出",标准坦克设计!$B$23:$U$23,0)))*(VLOOKUP($B92,INDIRECT($B$5&amp;"生成成长"),3))*(VLOOKUP($B$5,标准坦克设计!$B$14:$K$20,9)/30))</f>
        <v>2.5662512653690919</v>
      </c>
      <c r="F92" s="172">
        <f ca="1">(VLOOKUP(F$72,INDIRECT($C$5&amp;"生成成长"),2))/((VLOOKUP($B92,INDIRECT($B$5&amp;"生成成长"),4))/(VLOOKUP(F$72,INDIRECT($C$5&amp;"生成成长"),5))*(VLOOKUP($B$5,标准坦克设计!$B$24:$U$30,MATCH("对"&amp;LEFT($C$5,2)&amp;"输出",标准坦克设计!$B$23:$U$23,0)))*(VLOOKUP($B92,INDIRECT($B$5&amp;"生成成长"),3))*(VLOOKUP($B$5,标准坦克设计!$B$14:$K$20,9)/30))</f>
        <v>2.8485716373564438</v>
      </c>
      <c r="G92" s="172">
        <f ca="1">(VLOOKUP(G$72,INDIRECT($C$5&amp;"生成成长"),2))/((VLOOKUP($B92,INDIRECT($B$5&amp;"生成成长"),4))/(VLOOKUP(G$72,INDIRECT($C$5&amp;"生成成长"),5))*(VLOOKUP($B$5,标准坦克设计!$B$24:$U$30,MATCH("对"&amp;LEFT($C$5,2)&amp;"输出",标准坦克设计!$B$23:$U$23,0)))*(VLOOKUP($B92,INDIRECT($B$5&amp;"生成成长"),3))*(VLOOKUP($B$5,标准坦克设计!$B$14:$K$20,9)/30))</f>
        <v>3.1456217678822664</v>
      </c>
      <c r="H92" s="172">
        <f ca="1">(VLOOKUP(H$72,INDIRECT($C$5&amp;"生成成长"),2))/((VLOOKUP($B92,INDIRECT($B$5&amp;"生成成长"),4))/(VLOOKUP(H$72,INDIRECT($C$5&amp;"生成成长"),5))*(VLOOKUP($B$5,标准坦克设计!$B$24:$U$30,MATCH("对"&amp;LEFT($C$5,2)&amp;"输出",标准坦克设计!$B$23:$U$23,0)))*(VLOOKUP($B92,INDIRECT($B$5&amp;"生成成长"),3))*(VLOOKUP($B$5,标准坦克设计!$B$14:$K$20,9)/30))</f>
        <v>2.752828206856385</v>
      </c>
      <c r="I92" s="172">
        <f ca="1">(VLOOKUP(I$72,INDIRECT($C$5&amp;"生成成长"),2))/((VLOOKUP($B92,INDIRECT($B$5&amp;"生成成长"),4))/(VLOOKUP(I$72,INDIRECT($C$5&amp;"生成成长"),5))*(VLOOKUP($B$5,标准坦克设计!$B$24:$U$30,MATCH("对"&amp;LEFT($C$5,2)&amp;"输出",标准坦克设计!$B$23:$U$23,0)))*(VLOOKUP($B92,INDIRECT($B$5&amp;"生成成长"),3))*(VLOOKUP($B$5,标准坦克设计!$B$14:$K$20,9)/30))</f>
        <v>3.1456217678822664</v>
      </c>
      <c r="J92" s="172">
        <f ca="1">(VLOOKUP(J$72,INDIRECT($C$5&amp;"生成成长"),2))/((VLOOKUP($B92,INDIRECT($B$5&amp;"生成成长"),4))/(VLOOKUP(J$72,INDIRECT($C$5&amp;"生成成长"),5))*(VLOOKUP($B$5,标准坦克设计!$B$24:$U$30,MATCH("对"&amp;LEFT($C$5,2)&amp;"输出",标准坦克设计!$B$23:$U$23,0)))*(VLOOKUP($B92,INDIRECT($B$5&amp;"生成成长"),3))*(VLOOKUP($B$5,标准坦克设计!$B$14:$K$20,9)/30))</f>
        <v>3.5646015663098738</v>
      </c>
      <c r="K92" s="172">
        <f ca="1">(VLOOKUP(K$72,INDIRECT($C$5&amp;"生成成长"),2))/((VLOOKUP($B92,INDIRECT($B$5&amp;"生成成长"),4))/(VLOOKUP(K$72,INDIRECT($C$5&amp;"生成成长"),5))*(VLOOKUP($B$5,标准坦克设计!$B$24:$U$30,MATCH("对"&amp;LEFT($C$5,2)&amp;"输出",标准坦克设计!$B$23:$U$23,0)))*(VLOOKUP($B92,INDIRECT($B$5&amp;"生成成长"),3))*(VLOOKUP($B$5,标准坦克设计!$B$14:$K$20,9)/30))</f>
        <v>4.0097676021392052</v>
      </c>
      <c r="L92" s="172">
        <f ca="1">(VLOOKUP(L$72,INDIRECT($C$5&amp;"生成成长"),2))/((VLOOKUP($B92,INDIRECT($B$5&amp;"生成成长"),4))/(VLOOKUP(L$72,INDIRECT($C$5&amp;"生成成长"),5))*(VLOOKUP($B$5,标准坦克设计!$B$24:$U$30,MATCH("对"&amp;LEFT($C$5,2)&amp;"输出",标准坦克设计!$B$23:$U$23,0)))*(VLOOKUP($B92,INDIRECT($B$5&amp;"生成成长"),3))*(VLOOKUP($B$5,标准坦克设计!$B$14:$K$20,9)/30))</f>
        <v>4.481119875370263</v>
      </c>
      <c r="M92" s="172">
        <f ca="1">(VLOOKUP(M$72,INDIRECT($C$5&amp;"生成成长"),2))/((VLOOKUP($B92,INDIRECT($B$5&amp;"生成成长"),4))/(VLOOKUP(M$72,INDIRECT($C$5&amp;"生成成长"),5))*(VLOOKUP($B$5,标准坦克设计!$B$24:$U$30,MATCH("对"&amp;LEFT($C$5,2)&amp;"输出",标准坦克设计!$B$23:$U$23,0)))*(VLOOKUP($B92,INDIRECT($B$5&amp;"生成成长"),3))*(VLOOKUP($B$5,标准坦克设计!$B$14:$K$20,9)/30))</f>
        <v>4.9786583860030458</v>
      </c>
      <c r="N92" s="172">
        <f ca="1">(VLOOKUP(N$72,INDIRECT($C$5&amp;"生成成长"),2))/((VLOOKUP($B92,INDIRECT($B$5&amp;"生成成长"),4))/(VLOOKUP(N$72,INDIRECT($C$5&amp;"生成成长"),5))*(VLOOKUP($B$5,标准坦克设计!$B$24:$U$30,MATCH("对"&amp;LEFT($C$5,2)&amp;"输出",标准坦克设计!$B$23:$U$23,0)))*(VLOOKUP($B92,INDIRECT($B$5&amp;"生成成长"),3))*(VLOOKUP($B$5,标准坦克设计!$B$14:$K$20,9)/30))</f>
        <v>5.5023831340375553</v>
      </c>
      <c r="O92" s="172">
        <f ca="1">(VLOOKUP(O$72,INDIRECT($C$5&amp;"生成成长"),2))/((VLOOKUP($B92,INDIRECT($B$5&amp;"生成成长"),4))/(VLOOKUP(O$72,INDIRECT($C$5&amp;"生成成长"),5))*(VLOOKUP($B$5,标准坦克设计!$B$24:$U$30,MATCH("对"&amp;LEFT($C$5,2)&amp;"输出",标准坦克设计!$B$23:$U$23,0)))*(VLOOKUP($B92,INDIRECT($B$5&amp;"生成成长"),3))*(VLOOKUP($B$5,标准坦克设计!$B$14:$K$20,9)/30))</f>
        <v>4.183456004905338</v>
      </c>
      <c r="P92" s="172">
        <f ca="1">(VLOOKUP(P$72,INDIRECT($C$5&amp;"生成成长"),2))/((VLOOKUP($B92,INDIRECT($B$5&amp;"生成成长"),4))/(VLOOKUP(P$72,INDIRECT($C$5&amp;"生成成长"),5))*(VLOOKUP($B$5,标准坦克设计!$B$24:$U$30,MATCH("对"&amp;LEFT($C$5,2)&amp;"输出",标准坦克设计!$B$23:$U$23,0)))*(VLOOKUP($B92,INDIRECT($B$5&amp;"生成成长"),3))*(VLOOKUP($B$5,标准坦克设计!$B$14:$K$20,9)/30))</f>
        <v>4.7266158510114398</v>
      </c>
      <c r="Q92" s="172">
        <f ca="1">(VLOOKUP(Q$72,INDIRECT($C$5&amp;"生成成长"),2))/((VLOOKUP($B92,INDIRECT($B$5&amp;"生成成长"),4))/(VLOOKUP(Q$72,INDIRECT($C$5&amp;"生成成长"),5))*(VLOOKUP($B$5,标准坦克设计!$B$24:$U$30,MATCH("对"&amp;LEFT($C$5,2)&amp;"输出",标准坦克设计!$B$23:$U$23,0)))*(VLOOKUP($B92,INDIRECT($B$5&amp;"生成成长"),3))*(VLOOKUP($B$5,标准坦克设计!$B$14:$K$20,9)/30))</f>
        <v>5.3029176538290992</v>
      </c>
      <c r="R92" s="172">
        <f ca="1">(VLOOKUP(R$72,INDIRECT($C$5&amp;"生成成长"),2))/((VLOOKUP($B92,INDIRECT($B$5&amp;"生成成长"),4))/(VLOOKUP(R$72,INDIRECT($C$5&amp;"生成成长"),5))*(VLOOKUP($B$5,标准坦克设计!$B$24:$U$30,MATCH("对"&amp;LEFT($C$5,2)&amp;"输出",标准坦克设计!$B$23:$U$23,0)))*(VLOOKUP($B92,INDIRECT($B$5&amp;"生成成长"),3))*(VLOOKUP($B$5,标准坦克设计!$B$14:$K$20,9)/30))</f>
        <v>5.9123614133583198</v>
      </c>
      <c r="S92" s="172">
        <f ca="1">(VLOOKUP(S$72,INDIRECT($C$5&amp;"生成成长"),2))/((VLOOKUP($B92,INDIRECT($B$5&amp;"生成成长"),4))/(VLOOKUP(S$72,INDIRECT($C$5&amp;"生成成长"),5))*(VLOOKUP($B$5,标准坦克设计!$B$24:$U$30,MATCH("对"&amp;LEFT($C$5,2)&amp;"输出",标准坦克设计!$B$23:$U$23,0)))*(VLOOKUP($B92,INDIRECT($B$5&amp;"生成成长"),3))*(VLOOKUP($B$5,标准坦克设计!$B$14:$K$20,9)/30))</f>
        <v>6.5549471295990962</v>
      </c>
      <c r="T92" s="172">
        <f ca="1">(VLOOKUP(T$72,INDIRECT($C$5&amp;"生成成长"),2))/((VLOOKUP($B92,INDIRECT($B$5&amp;"生成成长"),4))/(VLOOKUP(T$72,INDIRECT($C$5&amp;"生成成长"),5))*(VLOOKUP($B$5,标准坦克设计!$B$24:$U$30,MATCH("对"&amp;LEFT($C$5,2)&amp;"输出",标准坦克设计!$B$23:$U$23,0)))*(VLOOKUP($B92,INDIRECT($B$5&amp;"生成成长"),3))*(VLOOKUP($B$5,标准坦克设计!$B$14:$K$20,9)/30))</f>
        <v>7.2306748025514329</v>
      </c>
      <c r="U92" s="172">
        <f ca="1">(VLOOKUP(U$72,INDIRECT($C$5&amp;"生成成长"),2))/((VLOOKUP($B92,INDIRECT($B$5&amp;"生成成长"),4))/(VLOOKUP(U$72,INDIRECT($C$5&amp;"生成成长"),5))*(VLOOKUP($B$5,标准坦克设计!$B$24:$U$30,MATCH("对"&amp;LEFT($C$5,2)&amp;"输出",标准坦克设计!$B$23:$U$23,0)))*(VLOOKUP($B92,INDIRECT($B$5&amp;"生成成长"),3))*(VLOOKUP($B$5,标准坦克设计!$B$14:$K$20,9)/30))</f>
        <v>7.9395444322153281</v>
      </c>
      <c r="V92" s="172">
        <f ca="1">(VLOOKUP(V$72,INDIRECT($C$5&amp;"生成成长"),2))/((VLOOKUP($B92,INDIRECT($B$5&amp;"生成成长"),4))/(VLOOKUP(V$72,INDIRECT($C$5&amp;"生成成长"),5))*(VLOOKUP($B$5,标准坦克设计!$B$24:$U$30,MATCH("对"&amp;LEFT($C$5,2)&amp;"输出",标准坦克设计!$B$23:$U$23,0)))*(VLOOKUP($B92,INDIRECT($B$5&amp;"生成成长"),3))*(VLOOKUP($B$5,标准坦克设计!$B$14:$K$20,9)/30))</f>
        <v>8.6815560185907827</v>
      </c>
      <c r="W92" s="172">
        <f ca="1">(VLOOKUP(W$72,INDIRECT($C$5&amp;"生成成长"),2))/((VLOOKUP($B92,INDIRECT($B$5&amp;"生成成长"),4))/(VLOOKUP(W$72,INDIRECT($C$5&amp;"生成成长"),5))*(VLOOKUP($B$5,标准坦克设计!$B$24:$U$30,MATCH("对"&amp;LEFT($C$5,2)&amp;"输出",标准坦克设计!$B$23:$U$23,0)))*(VLOOKUP($B92,INDIRECT($B$5&amp;"生成成长"),3))*(VLOOKUP($B$5,标准坦克设计!$B$14:$K$20,9)/30))</f>
        <v>9.4567095616777941</v>
      </c>
      <c r="X92" s="172">
        <f ca="1">(VLOOKUP(X$72,INDIRECT($C$5&amp;"生成成长"),2))/((VLOOKUP($B92,INDIRECT($B$5&amp;"生成成长"),4))/(VLOOKUP(X$72,INDIRECT($C$5&amp;"生成成长"),5))*(VLOOKUP($B$5,标准坦克设计!$B$24:$U$30,MATCH("对"&amp;LEFT($C$5,2)&amp;"输出",标准坦克设计!$B$23:$U$23,0)))*(VLOOKUP($B92,INDIRECT($B$5&amp;"生成成长"),3))*(VLOOKUP($B$5,标准坦克设计!$B$14:$K$20,9)/30))</f>
        <v>6.8511789402061156</v>
      </c>
      <c r="Y92" s="172">
        <f ca="1">(VLOOKUP(Y$72,INDIRECT($C$5&amp;"生成成长"),2))/((VLOOKUP($B92,INDIRECT($B$5&amp;"生成成长"),4))/(VLOOKUP(Y$72,INDIRECT($C$5&amp;"生成成长"),5))*(VLOOKUP($B$5,标准坦克设计!$B$24:$U$30,MATCH("对"&amp;LEFT($C$5,2)&amp;"输出",标准坦克设计!$B$23:$U$23,0)))*(VLOOKUP($B92,INDIRECT($B$5&amp;"生成成长"),3))*(VLOOKUP($B$5,标准坦克设计!$B$14:$K$20,9)/30))</f>
        <v>7.6203996638818001</v>
      </c>
      <c r="Z92" s="172">
        <f ca="1">(VLOOKUP(Z$72,INDIRECT($C$5&amp;"生成成长"),2))/((VLOOKUP($B92,INDIRECT($B$5&amp;"生成成长"),4))/(VLOOKUP(Z$72,INDIRECT($C$5&amp;"生成成长"),5))*(VLOOKUP($B$5,标准坦克设计!$B$24:$U$30,MATCH("对"&amp;LEFT($C$5,2)&amp;"输出",标准坦克设计!$B$23:$U$23,0)))*(VLOOKUP($B92,INDIRECT($B$5&amp;"生成成长"),3))*(VLOOKUP($B$5,标准坦克设计!$B$14:$K$20,9)/30))</f>
        <v>8.4305363834976799</v>
      </c>
      <c r="AA92" s="172">
        <f ca="1">(VLOOKUP(AA$72,INDIRECT($C$5&amp;"生成成长"),2))/((VLOOKUP($B92,INDIRECT($B$5&amp;"生成成长"),4))/(VLOOKUP(AA$72,INDIRECT($C$5&amp;"生成成长"),5))*(VLOOKUP($B$5,标准坦克设计!$B$24:$U$30,MATCH("对"&amp;LEFT($C$5,2)&amp;"输出",标准坦克设计!$B$23:$U$23,0)))*(VLOOKUP($B92,INDIRECT($B$5&amp;"生成成长"),3))*(VLOOKUP($B$5,标准坦克设计!$B$14:$K$20,9)/30))</f>
        <v>9.2815890990537575</v>
      </c>
      <c r="AB92" s="172">
        <f ca="1">(VLOOKUP(AB$72,INDIRECT($C$5&amp;"生成成长"),2))/((VLOOKUP($B92,INDIRECT($B$5&amp;"生成成长"),4))/(VLOOKUP(AB$72,INDIRECT($C$5&amp;"生成成长"),5))*(VLOOKUP($B$5,标准坦克设计!$B$24:$U$30,MATCH("对"&amp;LEFT($C$5,2)&amp;"输出",标准坦克设计!$B$23:$U$23,0)))*(VLOOKUP($B92,INDIRECT($B$5&amp;"生成成长"),3))*(VLOOKUP($B$5,标准坦克设计!$B$14:$K$20,9)/30))</f>
        <v>10.173557810550028</v>
      </c>
      <c r="AC92" s="172">
        <f ca="1">(VLOOKUP(AC$72,INDIRECT($C$5&amp;"生成成长"),2))/((VLOOKUP($B92,INDIRECT($B$5&amp;"生成成长"),4))/(VLOOKUP(AC$72,INDIRECT($C$5&amp;"生成成长"),5))*(VLOOKUP($B$5,标准坦克设计!$B$24:$U$30,MATCH("对"&amp;LEFT($C$5,2)&amp;"输出",标准坦克设计!$B$23:$U$23,0)))*(VLOOKUP($B92,INDIRECT($B$5&amp;"生成成长"),3))*(VLOOKUP($B$5,标准坦克设计!$B$14:$K$20,9)/30))</f>
        <v>11.106442517986498</v>
      </c>
      <c r="AD92" s="172">
        <f ca="1">(VLOOKUP(AD$72,INDIRECT($C$5&amp;"生成成长"),2))/((VLOOKUP($B92,INDIRECT($B$5&amp;"生成成长"),4))/(VLOOKUP(AD$72,INDIRECT($C$5&amp;"生成成长"),5))*(VLOOKUP($B$5,标准坦克设计!$B$24:$U$30,MATCH("对"&amp;LEFT($C$5,2)&amp;"输出",标准坦克设计!$B$23:$U$23,0)))*(VLOOKUP($B92,INDIRECT($B$5&amp;"生成成长"),3))*(VLOOKUP($B$5,标准坦克设计!$B$14:$K$20,9)/30))</f>
        <v>12.08024322136316</v>
      </c>
      <c r="AE92" s="172">
        <f ca="1">(VLOOKUP(AE$72,INDIRECT($C$5&amp;"生成成长"),2))/((VLOOKUP($B92,INDIRECT($B$5&amp;"生成成长"),4))/(VLOOKUP(AE$72,INDIRECT($C$5&amp;"生成成长"),5))*(VLOOKUP($B$5,标准坦克设计!$B$24:$U$30,MATCH("对"&amp;LEFT($C$5,2)&amp;"输出",标准坦克设计!$B$23:$U$23,0)))*(VLOOKUP($B92,INDIRECT($B$5&amp;"生成成长"),3))*(VLOOKUP($B$5,标准坦克设计!$B$14:$K$20,9)/30))</f>
        <v>13.094959920680022</v>
      </c>
      <c r="AF92" s="172">
        <f ca="1">(VLOOKUP(AF$72,INDIRECT($C$5&amp;"生成成长"),2))/((VLOOKUP($B92,INDIRECT($B$5&amp;"生成成长"),4))/(VLOOKUP(AF$72,INDIRECT($C$5&amp;"生成成长"),5))*(VLOOKUP($B$5,标准坦克设计!$B$24:$U$30,MATCH("对"&amp;LEFT($C$5,2)&amp;"输出",标准坦克设计!$B$23:$U$23,0)))*(VLOOKUP($B92,INDIRECT($B$5&amp;"生成成长"),3))*(VLOOKUP($B$5,标准坦克设计!$B$14:$K$20,9)/30))</f>
        <v>14.150592615937077</v>
      </c>
      <c r="AG92" s="172">
        <f ca="1">(VLOOKUP(AG$72,INDIRECT($C$5&amp;"生成成长"),2))/((VLOOKUP($B92,INDIRECT($B$5&amp;"生成成长"),4))/(VLOOKUP(AG$72,INDIRECT($C$5&amp;"生成成长"),5))*(VLOOKUP($B$5,标准坦克设计!$B$24:$U$30,MATCH("对"&amp;LEFT($C$5,2)&amp;"输出",标准坦克设计!$B$23:$U$23,0)))*(VLOOKUP($B92,INDIRECT($B$5&amp;"生成成长"),3))*(VLOOKUP($B$5,标准坦克设计!$B$14:$K$20,9)/30))</f>
        <v>15.247141307134328</v>
      </c>
      <c r="AH92" s="172">
        <f ca="1">(VLOOKUP(AH$72,INDIRECT($C$5&amp;"生成成长"),2))/((VLOOKUP($B92,INDIRECT($B$5&amp;"生成成长"),4))/(VLOOKUP(AH$72,INDIRECT($C$5&amp;"生成成长"),5))*(VLOOKUP($B$5,标准坦克设计!$B$24:$U$30,MATCH("对"&amp;LEFT($C$5,2)&amp;"输出",标准坦克设计!$B$23:$U$23,0)))*(VLOOKUP($B92,INDIRECT($B$5&amp;"生成成长"),3))*(VLOOKUP($B$5,标准坦克设计!$B$14:$K$20,9)/30))</f>
        <v>16.38460599427178</v>
      </c>
      <c r="AI92" s="172">
        <f ca="1">(VLOOKUP(AI$72,INDIRECT($C$5&amp;"生成成长"),2))/((VLOOKUP($B92,INDIRECT($B$5&amp;"生成成长"),4))/(VLOOKUP(AI$72,INDIRECT($C$5&amp;"生成成长"),5))*(VLOOKUP($B$5,标准坦克设计!$B$24:$U$30,MATCH("对"&amp;LEFT($C$5,2)&amp;"输出",标准坦克设计!$B$23:$U$23,0)))*(VLOOKUP($B92,INDIRECT($B$5&amp;"生成成长"),3))*(VLOOKUP($B$5,标准坦克设计!$B$14:$K$20,9)/30))</f>
        <v>11.588228370182303</v>
      </c>
      <c r="AJ92" s="172">
        <f ca="1">(VLOOKUP(AJ$72,INDIRECT($C$5&amp;"生成成长"),2))/((VLOOKUP($B92,INDIRECT($B$5&amp;"生成成长"),4))/(VLOOKUP(AJ$72,INDIRECT($C$5&amp;"生成成长"),5))*(VLOOKUP($B$5,标准坦克设计!$B$24:$U$30,MATCH("对"&amp;LEFT($C$5,2)&amp;"输出",标准坦克设计!$B$23:$U$23,0)))*(VLOOKUP($B92,INDIRECT($B$5&amp;"生成成长"),3))*(VLOOKUP($B$5,标准坦克设计!$B$14:$K$20,9)/30))</f>
        <v>12.684163321440455</v>
      </c>
      <c r="AK92" s="172">
        <f ca="1">(VLOOKUP(AK$72,INDIRECT($C$5&amp;"生成成长"),2))/((VLOOKUP($B92,INDIRECT($B$5&amp;"生成成长"),4))/(VLOOKUP(AK$72,INDIRECT($C$5&amp;"生成成长"),5))*(VLOOKUP($B$5,标准坦克设计!$B$24:$U$30,MATCH("对"&amp;LEFT($C$5,2)&amp;"输出",标准坦克设计!$B$23:$U$23,0)))*(VLOOKUP($B92,INDIRECT($B$5&amp;"生成成长"),3))*(VLOOKUP($B$5,标准坦克设计!$B$14:$K$20,9)/30))</f>
        <v>13.829606627786239</v>
      </c>
      <c r="AL92" s="172">
        <f ca="1">(VLOOKUP(AL$72,INDIRECT($C$5&amp;"生成成长"),2))/((VLOOKUP($B92,INDIRECT($B$5&amp;"生成成长"),4))/(VLOOKUP(AL$72,INDIRECT($C$5&amp;"生成成长"),5))*(VLOOKUP($B$5,标准坦克设计!$B$24:$U$30,MATCH("对"&amp;LEFT($C$5,2)&amp;"输出",标准坦克设计!$B$23:$U$23,0)))*(VLOOKUP($B92,INDIRECT($B$5&amp;"生成成长"),3))*(VLOOKUP($B$5,标准坦克设计!$B$14:$K$20,9)/30))</f>
        <v>15.024558289219662</v>
      </c>
      <c r="AM92" s="172">
        <f ca="1">(VLOOKUP(AM$72,INDIRECT($C$5&amp;"生成成长"),2))/((VLOOKUP($B92,INDIRECT($B$5&amp;"生成成长"),4))/(VLOOKUP(AM$72,INDIRECT($C$5&amp;"生成成长"),5))*(VLOOKUP($B$5,标准坦克设计!$B$24:$U$30,MATCH("对"&amp;LEFT($C$5,2)&amp;"输出",标准坦克设计!$B$23:$U$23,0)))*(VLOOKUP($B92,INDIRECT($B$5&amp;"生成成长"),3))*(VLOOKUP($B$5,标准坦克设计!$B$14:$K$20,9)/30))</f>
        <v>16.269018305740726</v>
      </c>
      <c r="AN92" s="172">
        <f ca="1">(VLOOKUP(AN$72,INDIRECT($C$5&amp;"生成成长"),2))/((VLOOKUP($B92,INDIRECT($B$5&amp;"生成成长"),4))/(VLOOKUP(AN$72,INDIRECT($C$5&amp;"生成成长"),5))*(VLOOKUP($B$5,标准坦克设计!$B$24:$U$30,MATCH("对"&amp;LEFT($C$5,2)&amp;"输出",标准坦克设计!$B$23:$U$23,0)))*(VLOOKUP($B92,INDIRECT($B$5&amp;"生成成长"),3))*(VLOOKUP($B$5,标准坦克设计!$B$14:$K$20,9)/30))</f>
        <v>17.562986677349425</v>
      </c>
      <c r="AO92" s="172">
        <f ca="1">(VLOOKUP(AO$72,INDIRECT($C$5&amp;"生成成长"),2))/((VLOOKUP($B92,INDIRECT($B$5&amp;"生成成长"),4))/(VLOOKUP(AO$72,INDIRECT($C$5&amp;"生成成长"),5))*(VLOOKUP($B$5,标准坦克设计!$B$24:$U$30,MATCH("对"&amp;LEFT($C$5,2)&amp;"输出",标准坦克设计!$B$23:$U$23,0)))*(VLOOKUP($B92,INDIRECT($B$5&amp;"生成成长"),3))*(VLOOKUP($B$5,标准坦克设计!$B$14:$K$20,9)/30))</f>
        <v>18.906463404045759</v>
      </c>
      <c r="AP92" s="172">
        <f ca="1">(VLOOKUP(AP$72,INDIRECT($C$5&amp;"生成成长"),2))/((VLOOKUP($B92,INDIRECT($B$5&amp;"生成成长"),4))/(VLOOKUP(AP$72,INDIRECT($C$5&amp;"生成成长"),5))*(VLOOKUP($B$5,标准坦克设计!$B$24:$U$30,MATCH("对"&amp;LEFT($C$5,2)&amp;"输出",标准坦克设计!$B$23:$U$23,0)))*(VLOOKUP($B92,INDIRECT($B$5&amp;"生成成长"),3))*(VLOOKUP($B$5,标准坦克设计!$B$14:$K$20,9)/30))</f>
        <v>20.299448485829732</v>
      </c>
      <c r="AQ92" s="172">
        <f ca="1">(VLOOKUP(AQ$72,INDIRECT($C$5&amp;"生成成长"),2))/((VLOOKUP($B92,INDIRECT($B$5&amp;"生成成长"),4))/(VLOOKUP(AQ$72,INDIRECT($C$5&amp;"生成成长"),5))*(VLOOKUP($B$5,标准坦克设计!$B$24:$U$30,MATCH("对"&amp;LEFT($C$5,2)&amp;"输出",标准坦克设计!$B$23:$U$23,0)))*(VLOOKUP($B92,INDIRECT($B$5&amp;"生成成长"),3))*(VLOOKUP($B$5,标准坦克设计!$B$14:$K$20,9)/30))</f>
        <v>21.741941922701333</v>
      </c>
      <c r="AR92" s="172">
        <f ca="1">(VLOOKUP(AR$72,INDIRECT($C$5&amp;"生成成长"),2))/((VLOOKUP($B92,INDIRECT($B$5&amp;"生成成长"),4))/(VLOOKUP(AR$72,INDIRECT($C$5&amp;"生成成长"),5))*(VLOOKUP($B$5,标准坦克设计!$B$24:$U$30,MATCH("对"&amp;LEFT($C$5,2)&amp;"输出",标准坦克设计!$B$23:$U$23,0)))*(VLOOKUP($B92,INDIRECT($B$5&amp;"生成成长"),3))*(VLOOKUP($B$5,标准坦克设计!$B$14:$K$20,9)/30))</f>
        <v>23.23394371466058</v>
      </c>
      <c r="AS92" s="172">
        <f ca="1">(VLOOKUP(AS$72,INDIRECT($C$5&amp;"生成成长"),2))/((VLOOKUP($B92,INDIRECT($B$5&amp;"生成成长"),4))/(VLOOKUP(AS$72,INDIRECT($C$5&amp;"生成成长"),5))*(VLOOKUP($B$5,标准坦克设计!$B$24:$U$30,MATCH("对"&amp;LEFT($C$5,2)&amp;"输出",标准坦克设计!$B$23:$U$23,0)))*(VLOOKUP($B92,INDIRECT($B$5&amp;"生成成长"),3))*(VLOOKUP($B$5,标准坦克设计!$B$14:$K$20,9)/30))</f>
        <v>24.775453861707465</v>
      </c>
      <c r="AT92" s="172">
        <f ca="1">(VLOOKUP(AT$72,INDIRECT($C$5&amp;"生成成长"),2))/((VLOOKUP($B92,INDIRECT($B$5&amp;"生成成长"),4))/(VLOOKUP(AT$72,INDIRECT($C$5&amp;"生成成长"),5))*(VLOOKUP($B$5,标准坦克设计!$B$24:$U$30,MATCH("对"&amp;LEFT($C$5,2)&amp;"输出",标准坦克设计!$B$23:$U$23,0)))*(VLOOKUP($B92,INDIRECT($B$5&amp;"生成成长"),3))*(VLOOKUP($B$5,标准坦克设计!$B$14:$K$20,9)/30))</f>
        <v>26.366472363841986</v>
      </c>
      <c r="AU92" s="172">
        <f ca="1">(VLOOKUP(AU$72,INDIRECT($C$5&amp;"生成成长"),2))/((VLOOKUP($B92,INDIRECT($B$5&amp;"生成成长"),4))/(VLOOKUP(AU$72,INDIRECT($C$5&amp;"生成成长"),5))*(VLOOKUP($B$5,标准坦克设计!$B$24:$U$30,MATCH("对"&amp;LEFT($C$5,2)&amp;"输出",标准坦克设计!$B$23:$U$23,0)))*(VLOOKUP($B92,INDIRECT($B$5&amp;"生成成长"),3))*(VLOOKUP($B$5,标准坦克设计!$B$14:$K$20,9)/30))</f>
        <v>28.006999221064145</v>
      </c>
      <c r="AV92" s="172">
        <f ca="1">(VLOOKUP(AV$72,INDIRECT($C$5&amp;"生成成长"),2))/((VLOOKUP($B92,INDIRECT($B$5&amp;"生成成长"),4))/(VLOOKUP(AV$72,INDIRECT($C$5&amp;"生成成长"),5))*(VLOOKUP($B$5,标准坦克设计!$B$24:$U$30,MATCH("对"&amp;LEFT($C$5,2)&amp;"输出",标准坦克设计!$B$23:$U$23,0)))*(VLOOKUP($B92,INDIRECT($B$5&amp;"生成成长"),3))*(VLOOKUP($B$5,标准坦克设计!$B$14:$K$20,9)/30))</f>
        <v>2.8485716373564438</v>
      </c>
      <c r="AW92" s="172">
        <f ca="1">(VLOOKUP(AW$72,INDIRECT($C$5&amp;"生成成长"),2))/((VLOOKUP($B92,INDIRECT($B$5&amp;"生成成长"),4))/(VLOOKUP(AW$72,INDIRECT($C$5&amp;"生成成长"),5))*(VLOOKUP($B$5,标准坦克设计!$B$24:$U$30,MATCH("对"&amp;LEFT($C$5,2)&amp;"输出",标准坦克设计!$B$23:$U$23,0)))*(VLOOKUP($B92,INDIRECT($B$5&amp;"生成成长"),3))*(VLOOKUP($B$5,标准坦克设计!$B$14:$K$20,9)/30))</f>
        <v>3.2479117577327568</v>
      </c>
      <c r="AX92" s="172">
        <f ca="1">(VLOOKUP(AX$72,INDIRECT($C$5&amp;"生成成长"),2))/((VLOOKUP($B92,INDIRECT($B$5&amp;"生成成长"),4))/(VLOOKUP(AX$72,INDIRECT($C$5&amp;"生成成长"),5))*(VLOOKUP($B$5,标准坦克设计!$B$24:$U$30,MATCH("对"&amp;LEFT($C$5,2)&amp;"输出",标准坦克设计!$B$23:$U$23,0)))*(VLOOKUP($B92,INDIRECT($B$5&amp;"生成成长"),3))*(VLOOKUP($B$5,标准坦克设计!$B$14:$K$20,9)/30))</f>
        <v>3.6734381155107947</v>
      </c>
      <c r="AY92" s="172">
        <f ca="1">(VLOOKUP(AY$72,INDIRECT($C$5&amp;"生成成长"),2))/((VLOOKUP($B92,INDIRECT($B$5&amp;"生成成长"),4))/(VLOOKUP(AY$72,INDIRECT($C$5&amp;"生成成长"),5))*(VLOOKUP($B$5,标准坦克设计!$B$24:$U$30,MATCH("对"&amp;LEFT($C$5,2)&amp;"输出",标准坦克设计!$B$23:$U$23,0)))*(VLOOKUP($B92,INDIRECT($B$5&amp;"生成成长"),3))*(VLOOKUP($B$5,标准坦克设计!$B$14:$K$20,9)/30))</f>
        <v>4.1251507106905576</v>
      </c>
      <c r="AZ92" s="172">
        <f ca="1">(VLOOKUP(AZ$72,INDIRECT($C$5&amp;"生成成长"),2))/((VLOOKUP($B92,INDIRECT($B$5&amp;"生成成长"),4))/(VLOOKUP(AZ$72,INDIRECT($C$5&amp;"生成成长"),5))*(VLOOKUP($B$5,标准坦克设计!$B$24:$U$30,MATCH("对"&amp;LEFT($C$5,2)&amp;"输出",标准坦克设计!$B$23:$U$23,0)))*(VLOOKUP($B92,INDIRECT($B$5&amp;"生成成长"),3))*(VLOOKUP($B$5,标准坦克设计!$B$14:$K$20,9)/30))</f>
        <v>4.6030495432720473</v>
      </c>
      <c r="BA92" s="172">
        <f ca="1">(VLOOKUP(BA$72,INDIRECT($C$5&amp;"生成成长"),2))/((VLOOKUP($B92,INDIRECT($B$5&amp;"生成成长"),4))/(VLOOKUP(BA$72,INDIRECT($C$5&amp;"生成成长"),5))*(VLOOKUP($B$5,标准坦克设计!$B$24:$U$30,MATCH("对"&amp;LEFT($C$5,2)&amp;"输出",标准坦克设计!$B$23:$U$23,0)))*(VLOOKUP($B92,INDIRECT($B$5&amp;"生成成长"),3))*(VLOOKUP($B$5,标准坦克设计!$B$14:$K$20,9)/30))</f>
        <v>5.1071346132552611</v>
      </c>
      <c r="BB92" s="172">
        <f ca="1">(VLOOKUP(BB$72,INDIRECT($C$5&amp;"生成成长"),2))/((VLOOKUP($B92,INDIRECT($B$5&amp;"生成成长"),4))/(VLOOKUP(BB$72,INDIRECT($C$5&amp;"生成成长"),5))*(VLOOKUP($B$5,标准坦克设计!$B$24:$U$30,MATCH("对"&amp;LEFT($C$5,2)&amp;"输出",标准坦克设计!$B$23:$U$23,0)))*(VLOOKUP($B92,INDIRECT($B$5&amp;"生成成长"),3))*(VLOOKUP($B$5,标准坦克设计!$B$14:$K$20,9)/30))</f>
        <v>5.6374059206402007</v>
      </c>
      <c r="BC92" s="172">
        <f ca="1">(VLOOKUP(BC$72,INDIRECT($C$5&amp;"生成成长"),2))/((VLOOKUP($B92,INDIRECT($B$5&amp;"生成成长"),4))/(VLOOKUP(BC$72,INDIRECT($C$5&amp;"生成成长"),5))*(VLOOKUP($B$5,标准坦克设计!$B$24:$U$30,MATCH("对"&amp;LEFT($C$5,2)&amp;"输出",标准坦克设计!$B$23:$U$23,0)))*(VLOOKUP($B92,INDIRECT($B$5&amp;"生成成长"),3))*(VLOOKUP($B$5,标准坦克设计!$B$14:$K$20,9)/30))</f>
        <v>6.1938634654268663</v>
      </c>
      <c r="BD92" s="172">
        <f ca="1">(VLOOKUP(BD$72,INDIRECT($C$5&amp;"生成成长"),2))/((VLOOKUP($B92,INDIRECT($B$5&amp;"生成成长"),4))/(VLOOKUP(BD$72,INDIRECT($C$5&amp;"生成成长"),5))*(VLOOKUP($B$5,标准坦克设计!$B$24:$U$30,MATCH("对"&amp;LEFT($C$5,2)&amp;"输出",标准坦克设计!$B$23:$U$23,0)))*(VLOOKUP($B92,INDIRECT($B$5&amp;"生成成长"),3))*(VLOOKUP($B$5,标准坦克设计!$B$14:$K$20,9)/30))</f>
        <v>6.8511789402061156</v>
      </c>
      <c r="BE92" s="172">
        <f ca="1">(VLOOKUP(BE$72,INDIRECT($C$5&amp;"生成成长"),2))/((VLOOKUP($B92,INDIRECT($B$5&amp;"生成成长"),4))/(VLOOKUP(BE$72,INDIRECT($C$5&amp;"生成成长"),5))*(VLOOKUP($B$5,标准坦克设计!$B$24:$U$30,MATCH("对"&amp;LEFT($C$5,2)&amp;"输出",标准坦克设计!$B$23:$U$23,0)))*(VLOOKUP($B92,INDIRECT($B$5&amp;"生成成长"),3))*(VLOOKUP($B$5,标准坦克设计!$B$14:$K$20,9)/30))</f>
        <v>7.5416363716969226</v>
      </c>
      <c r="BF92" s="172">
        <f ca="1">(VLOOKUP(BF$72,INDIRECT($C$5&amp;"生成成长"),2))/((VLOOKUP($B92,INDIRECT($B$5&amp;"生成成长"),4))/(VLOOKUP(BF$72,INDIRECT($C$5&amp;"生成成长"),5))*(VLOOKUP($B$5,标准坦克设计!$B$24:$U$30,MATCH("对"&amp;LEFT($C$5,2)&amp;"输出",标准坦克设计!$B$23:$U$23,0)))*(VLOOKUP($B92,INDIRECT($B$5&amp;"生成成长"),3))*(VLOOKUP($B$5,标准坦克设计!$B$14:$K$20,9)/30))</f>
        <v>8.2652357598992872</v>
      </c>
      <c r="BG92" s="172">
        <f ca="1">(VLOOKUP(BG$72,INDIRECT($C$5&amp;"生成成长"),2))/((VLOOKUP($B92,INDIRECT($B$5&amp;"生成成长"),4))/(VLOOKUP(BG$72,INDIRECT($C$5&amp;"生成成长"),5))*(VLOOKUP($B$5,标准坦克设计!$B$24:$U$30,MATCH("对"&amp;LEFT($C$5,2)&amp;"输出",标准坦克设计!$B$23:$U$23,0)))*(VLOOKUP($B92,INDIRECT($B$5&amp;"生成成长"),3))*(VLOOKUP($B$5,标准坦克设计!$B$14:$K$20,9)/30))</f>
        <v>9.021977104813212</v>
      </c>
      <c r="BH92" s="172">
        <f ca="1">(VLOOKUP(BH$72,INDIRECT($C$5&amp;"生成成长"),2))/((VLOOKUP($B92,INDIRECT($B$5&amp;"生成成长"),4))/(VLOOKUP(BH$72,INDIRECT($C$5&amp;"生成成长"),5))*(VLOOKUP($B$5,标准坦克设计!$B$24:$U$30,MATCH("对"&amp;LEFT($C$5,2)&amp;"输出",标准坦克设计!$B$23:$U$23,0)))*(VLOOKUP($B92,INDIRECT($B$5&amp;"生成成长"),3))*(VLOOKUP($B$5,标准坦克设计!$B$14:$K$20,9)/30))</f>
        <v>4.3608268473060869</v>
      </c>
      <c r="BI92" s="172">
        <f ca="1">(VLOOKUP(BI$72,INDIRECT($C$5&amp;"生成成长"),2))/((VLOOKUP($B92,INDIRECT($B$5&amp;"生成成长"),4))/(VLOOKUP(BI$72,INDIRECT($C$5&amp;"生成成长"),5))*(VLOOKUP($B$5,标准坦克设计!$B$24:$U$30,MATCH("对"&amp;LEFT($C$5,2)&amp;"输出",标准坦克设计!$B$23:$U$23,0)))*(VLOOKUP($B92,INDIRECT($B$5&amp;"生成成长"),3))*(VLOOKUP($B$5,标准坦克设计!$B$14:$K$20,9)/30))</f>
        <v>4.915034012316041</v>
      </c>
      <c r="BJ92" s="172">
        <f ca="1">(VLOOKUP(BJ$72,INDIRECT($C$5&amp;"生成成长"),2))/((VLOOKUP($B92,INDIRECT($B$5&amp;"生成成长"),4))/(VLOOKUP(BJ$72,INDIRECT($C$5&amp;"生成成长"),5))*(VLOOKUP($B$5,标准坦克设计!$B$24:$U$30,MATCH("对"&amp;LEFT($C$5,2)&amp;"输出",标准坦克设计!$B$23:$U$23,0)))*(VLOOKUP($B92,INDIRECT($B$5&amp;"生成成长"),3))*(VLOOKUP($B$5,标准坦克设计!$B$14:$K$20,9)/30))</f>
        <v>5.5023831340375553</v>
      </c>
      <c r="BK92" s="172">
        <f ca="1">(VLOOKUP(BK$72,INDIRECT($C$5&amp;"生成成长"),2))/((VLOOKUP($B92,INDIRECT($B$5&amp;"生成成长"),4))/(VLOOKUP(BK$72,INDIRECT($C$5&amp;"生成成长"),5))*(VLOOKUP($B$5,标准坦克设计!$B$24:$U$30,MATCH("对"&amp;LEFT($C$5,2)&amp;"输出",标准坦克设计!$B$23:$U$23,0)))*(VLOOKUP($B92,INDIRECT($B$5&amp;"生成成长"),3))*(VLOOKUP($B$5,标准坦克设计!$B$14:$K$20,9)/30))</f>
        <v>6.1228742124706272</v>
      </c>
      <c r="BL92" s="172">
        <f ca="1">(VLOOKUP(BL$72,INDIRECT($C$5&amp;"生成成长"),2))/((VLOOKUP($B92,INDIRECT($B$5&amp;"生成成长"),4))/(VLOOKUP(BL$72,INDIRECT($C$5&amp;"生成成长"),5))*(VLOOKUP($B$5,标准坦克设计!$B$24:$U$30,MATCH("对"&amp;LEFT($C$5,2)&amp;"输出",标准坦克设计!$B$23:$U$23,0)))*(VLOOKUP($B92,INDIRECT($B$5&amp;"生成成长"),3))*(VLOOKUP($B$5,标准坦克设计!$B$14:$K$20,9)/30))</f>
        <v>6.7765072476152568</v>
      </c>
      <c r="BM92" s="172">
        <f ca="1">(VLOOKUP(BM$72,INDIRECT($C$5&amp;"生成成长"),2))/((VLOOKUP($B92,INDIRECT($B$5&amp;"生成成长"),4))/(VLOOKUP(BM$72,INDIRECT($C$5&amp;"生成成长"),5))*(VLOOKUP($B$5,标准坦克设计!$B$24:$U$30,MATCH("对"&amp;LEFT($C$5,2)&amp;"输出",标准坦克设计!$B$23:$U$23,0)))*(VLOOKUP($B92,INDIRECT($B$5&amp;"生成成长"),3))*(VLOOKUP($B$5,标准坦克设计!$B$14:$K$20,9)/30))</f>
        <v>7.4632822394714475</v>
      </c>
      <c r="BN92" s="172">
        <f ca="1">(VLOOKUP(BN$72,INDIRECT($C$5&amp;"生成成长"),2))/((VLOOKUP($B92,INDIRECT($B$5&amp;"生成成长"),4))/(VLOOKUP(BN$72,INDIRECT($C$5&amp;"生成成长"),5))*(VLOOKUP($B$5,标准坦克设计!$B$24:$U$30,MATCH("对"&amp;LEFT($C$5,2)&amp;"输出",标准坦克设计!$B$23:$U$23,0)))*(VLOOKUP($B92,INDIRECT($B$5&amp;"生成成长"),3))*(VLOOKUP($B$5,标准坦克设计!$B$14:$K$20,9)/30))</f>
        <v>8.183199188039195</v>
      </c>
      <c r="BO92" s="172">
        <f ca="1">(VLOOKUP(BO$72,INDIRECT($C$5&amp;"生成成长"),2))/((VLOOKUP($B92,INDIRECT($B$5&amp;"生成成长"),4))/(VLOOKUP(BO$72,INDIRECT($C$5&amp;"生成成长"),5))*(VLOOKUP($B$5,标准坦克设计!$B$24:$U$30,MATCH("对"&amp;LEFT($C$5,2)&amp;"输出",标准坦克设计!$B$23:$U$23,0)))*(VLOOKUP($B92,INDIRECT($B$5&amp;"生成成长"),3))*(VLOOKUP($B$5,标准坦克设计!$B$14:$K$20,9)/30))</f>
        <v>8.9362580933185001</v>
      </c>
      <c r="BP92" s="172">
        <f ca="1">(VLOOKUP(BP$72,INDIRECT($C$5&amp;"生成成长"),2))/((VLOOKUP($B92,INDIRECT($B$5&amp;"生成成长"),4))/(VLOOKUP(BP$72,INDIRECT($C$5&amp;"生成成长"),5))*(VLOOKUP($B$5,标准坦克设计!$B$24:$U$30,MATCH("对"&amp;LEFT($C$5,2)&amp;"输出",标准坦克设计!$B$23:$U$23,0)))*(VLOOKUP($B92,INDIRECT($B$5&amp;"生成成长"),3))*(VLOOKUP($B$5,标准坦克设计!$B$14:$K$20,9)/30))</f>
        <v>9.7224589553093672</v>
      </c>
      <c r="BQ92" s="172">
        <f ca="1">(VLOOKUP(BQ$72,INDIRECT($C$5&amp;"生成成长"),2))/((VLOOKUP($B92,INDIRECT($B$5&amp;"生成成长"),4))/(VLOOKUP(BQ$72,INDIRECT($C$5&amp;"生成成长"),5))*(VLOOKUP($B$5,标准坦克设计!$B$24:$U$30,MATCH("对"&amp;LEFT($C$5,2)&amp;"输出",标准坦克设计!$B$23:$U$23,0)))*(VLOOKUP($B92,INDIRECT($B$5&amp;"生成成长"),3))*(VLOOKUP($B$5,标准坦克设计!$B$14:$K$20,9)/30))</f>
        <v>10.541801774011791</v>
      </c>
      <c r="BR92" s="172">
        <f ca="1">(VLOOKUP(BR$72,INDIRECT($C$5&amp;"生成成长"),2))/((VLOOKUP($B92,INDIRECT($B$5&amp;"生成成长"),4))/(VLOOKUP(BR$72,INDIRECT($C$5&amp;"生成成长"),5))*(VLOOKUP($B$5,标准坦克设计!$B$24:$U$30,MATCH("对"&amp;LEFT($C$5,2)&amp;"输出",标准坦克设计!$B$23:$U$23,0)))*(VLOOKUP($B92,INDIRECT($B$5&amp;"生成成长"),3))*(VLOOKUP($B$5,标准坦克设计!$B$14:$K$20,9)/30))</f>
        <v>11.491052879824339</v>
      </c>
      <c r="BS92" s="172">
        <f ca="1">(VLOOKUP(BS$72,INDIRECT($C$5&amp;"生成成长"),2))/((VLOOKUP($B92,INDIRECT($B$5&amp;"生成成长"),4))/(VLOOKUP(BS$72,INDIRECT($C$5&amp;"生成成长"),5))*(VLOOKUP($B$5,标准坦克设计!$B$24:$U$30,MATCH("对"&amp;LEFT($C$5,2)&amp;"输出",标准坦克设计!$B$23:$U$23,0)))*(VLOOKUP($B92,INDIRECT($B$5&amp;"生成成长"),3))*(VLOOKUP($B$5,标准坦克设计!$B$14:$K$20,9)/30))</f>
        <v>12.481219981577082</v>
      </c>
      <c r="BT92" s="172">
        <f ca="1">(VLOOKUP(BT$72,INDIRECT($C$5&amp;"生成成长"),2))/((VLOOKUP($B92,INDIRECT($B$5&amp;"生成成长"),4))/(VLOOKUP(BT$72,INDIRECT($C$5&amp;"生成成长"),5))*(VLOOKUP($B$5,标准坦克设计!$B$24:$U$30,MATCH("对"&amp;LEFT($C$5,2)&amp;"输出",标准坦克设计!$B$23:$U$23,0)))*(VLOOKUP($B92,INDIRECT($B$5&amp;"生成成长"),3))*(VLOOKUP($B$5,标准坦克设计!$B$14:$K$20,9)/30))</f>
        <v>13.512303079270017</v>
      </c>
      <c r="BU92" s="172">
        <f ca="1">(VLOOKUP(BU$72,INDIRECT($C$5&amp;"生成成长"),2))/((VLOOKUP($B92,INDIRECT($B$5&amp;"生成成长"),4))/(VLOOKUP(BU$72,INDIRECT($C$5&amp;"生成成长"),5))*(VLOOKUP($B$5,标准坦克设计!$B$24:$U$30,MATCH("对"&amp;LEFT($C$5,2)&amp;"输出",标准坦克设计!$B$23:$U$23,0)))*(VLOOKUP($B92,INDIRECT($B$5&amp;"生成成长"),3))*(VLOOKUP($B$5,标准坦克设计!$B$14:$K$20,9)/30))</f>
        <v>14.584302172903154</v>
      </c>
      <c r="BV92" s="172">
        <f ca="1">(VLOOKUP(BV$72,INDIRECT($C$5&amp;"生成成长"),2))/((VLOOKUP($B92,INDIRECT($B$5&amp;"生成成长"),4))/(VLOOKUP(BV$72,INDIRECT($C$5&amp;"生成成长"),5))*(VLOOKUP($B$5,标准坦克设计!$B$24:$U$30,MATCH("对"&amp;LEFT($C$5,2)&amp;"输出",标准坦克设计!$B$23:$U$23,0)))*(VLOOKUP($B92,INDIRECT($B$5&amp;"生成成长"),3))*(VLOOKUP($B$5,标准坦克设计!$B$14:$K$20,9)/30))</f>
        <v>15.697217262476485</v>
      </c>
      <c r="BW92" s="172">
        <f ca="1">(VLOOKUP(BW$72,INDIRECT($C$5&amp;"生成成长"),2))/((VLOOKUP($B92,INDIRECT($B$5&amp;"生成成长"),4))/(VLOOKUP(BW$72,INDIRECT($C$5&amp;"生成成长"),5))*(VLOOKUP($B$5,标准坦克设计!$B$24:$U$30,MATCH("对"&amp;LEFT($C$5,2)&amp;"输出",标准坦克设计!$B$23:$U$23,0)))*(VLOOKUP($B92,INDIRECT($B$5&amp;"生成成长"),3))*(VLOOKUP($B$5,标准坦克设计!$B$14:$K$20,9)/30))</f>
        <v>7.1539573101635652</v>
      </c>
      <c r="BX92" s="172">
        <f ca="1">(VLOOKUP(BX$72,INDIRECT($C$5&amp;"生成成长"),2))/((VLOOKUP($B92,INDIRECT($B$5&amp;"生成成长"),4))/(VLOOKUP(BX$72,INDIRECT($C$5&amp;"生成成长"),5))*(VLOOKUP($B$5,标准坦克设计!$B$24:$U$30,MATCH("对"&amp;LEFT($C$5,2)&amp;"输出",标准坦克设计!$B$23:$U$23,0)))*(VLOOKUP($B92,INDIRECT($B$5&amp;"生成成长"),3))*(VLOOKUP($B$5,标准坦克设计!$B$14:$K$20,9)/30))</f>
        <v>7.9395444322153281</v>
      </c>
      <c r="BY92" s="172">
        <f ca="1">(VLOOKUP(BY$72,INDIRECT($C$5&amp;"生成成长"),2))/((VLOOKUP($B92,INDIRECT($B$5&amp;"生成成长"),4))/(VLOOKUP(BY$72,INDIRECT($C$5&amp;"生成成长"),5))*(VLOOKUP($B$5,标准坦克设计!$B$24:$U$30,MATCH("对"&amp;LEFT($C$5,2)&amp;"输出",标准坦克设计!$B$23:$U$23,0)))*(VLOOKUP($B92,INDIRECT($B$5&amp;"生成成长"),3))*(VLOOKUP($B$5,标准坦克设计!$B$14:$K$20,9)/30))</f>
        <v>8.7660475502072863</v>
      </c>
      <c r="BZ92" s="172">
        <f ca="1">(VLOOKUP(BZ$72,INDIRECT($C$5&amp;"生成成长"),2))/((VLOOKUP($B92,INDIRECT($B$5&amp;"生成成长"),4))/(VLOOKUP(BZ$72,INDIRECT($C$5&amp;"生成成长"),5))*(VLOOKUP($B$5,标准坦克设计!$B$24:$U$30,MATCH("对"&amp;LEFT($C$5,2)&amp;"输出",标准坦克设计!$B$23:$U$23,0)))*(VLOOKUP($B92,INDIRECT($B$5&amp;"生成成长"),3))*(VLOOKUP($B$5,标准坦克设计!$B$14:$K$20,9)/30))</f>
        <v>9.6334666641394424</v>
      </c>
      <c r="CA92" s="172">
        <f ca="1">(VLOOKUP(CA$72,INDIRECT($C$5&amp;"生成成长"),2))/((VLOOKUP($B92,INDIRECT($B$5&amp;"生成成长"),4))/(VLOOKUP(CA$72,INDIRECT($C$5&amp;"生成成长"),5))*(VLOOKUP($B$5,标准坦克设计!$B$24:$U$30,MATCH("对"&amp;LEFT($C$5,2)&amp;"输出",标准坦克设计!$B$23:$U$23,0)))*(VLOOKUP($B92,INDIRECT($B$5&amp;"生成成长"),3))*(VLOOKUP($B$5,标准坦克设计!$B$14:$K$20,9)/30))</f>
        <v>10.541801774011791</v>
      </c>
      <c r="CB92" s="172">
        <f ca="1">(VLOOKUP(CB$72,INDIRECT($C$5&amp;"生成成长"),2))/((VLOOKUP($B92,INDIRECT($B$5&amp;"生成成长"),4))/(VLOOKUP(CB$72,INDIRECT($C$5&amp;"生成成长"),5))*(VLOOKUP($B$5,标准坦克设计!$B$24:$U$30,MATCH("对"&amp;LEFT($C$5,2)&amp;"输出",标准坦克设计!$B$23:$U$23,0)))*(VLOOKUP($B92,INDIRECT($B$5&amp;"生成成长"),3))*(VLOOKUP($B$5,标准坦克设计!$B$14:$K$20,9)/30))</f>
        <v>11.491052879824339</v>
      </c>
      <c r="CC92" s="172">
        <f ca="1">(VLOOKUP(CC$72,INDIRECT($C$5&amp;"生成成长"),2))/((VLOOKUP($B92,INDIRECT($B$5&amp;"生成成长"),4))/(VLOOKUP(CC$72,INDIRECT($C$5&amp;"生成成长"),5))*(VLOOKUP($B$5,标准坦克设计!$B$24:$U$30,MATCH("对"&amp;LEFT($C$5,2)&amp;"输出",标准坦克设计!$B$23:$U$23,0)))*(VLOOKUP($B92,INDIRECT($B$5&amp;"生成成长"),3))*(VLOOKUP($B$5,标准坦克设计!$B$14:$K$20,9)/30))</f>
        <v>12.481219981577082</v>
      </c>
      <c r="CD92" s="172">
        <f ca="1">(VLOOKUP(CD$72,INDIRECT($C$5&amp;"生成成长"),2))/((VLOOKUP($B92,INDIRECT($B$5&amp;"生成成长"),4))/(VLOOKUP(CD$72,INDIRECT($C$5&amp;"生成成长"),5))*(VLOOKUP($B$5,标准坦克设计!$B$24:$U$30,MATCH("对"&amp;LEFT($C$5,2)&amp;"输出",标准坦克设计!$B$23:$U$23,0)))*(VLOOKUP($B92,INDIRECT($B$5&amp;"生成成长"),3))*(VLOOKUP($B$5,标准坦克设计!$B$14:$K$20,9)/30))</f>
        <v>13.512303079270017</v>
      </c>
      <c r="CE92" s="172">
        <f ca="1">(VLOOKUP(CE$72,INDIRECT($C$5&amp;"生成成长"),2))/((VLOOKUP($B92,INDIRECT($B$5&amp;"生成成长"),4))/(VLOOKUP(CE$72,INDIRECT($C$5&amp;"生成成长"),5))*(VLOOKUP($B$5,标准坦克设计!$B$24:$U$30,MATCH("对"&amp;LEFT($C$5,2)&amp;"输出",标准坦克设计!$B$23:$U$23,0)))*(VLOOKUP($B92,INDIRECT($B$5&amp;"生成成长"),3))*(VLOOKUP($B$5,标准坦克设计!$B$14:$K$20,9)/30))</f>
        <v>14.584302172903154</v>
      </c>
      <c r="CF92" s="172">
        <f ca="1">(VLOOKUP(CF$72,INDIRECT($C$5&amp;"生成成长"),2))/((VLOOKUP($B92,INDIRECT($B$5&amp;"生成成长"),4))/(VLOOKUP(CF$72,INDIRECT($C$5&amp;"生成成长"),5))*(VLOOKUP($B$5,标准坦克设计!$B$24:$U$30,MATCH("对"&amp;LEFT($C$5,2)&amp;"输出",标准坦克设计!$B$23:$U$23,0)))*(VLOOKUP($B92,INDIRECT($B$5&amp;"生成成长"),3))*(VLOOKUP($B$5,标准坦克设计!$B$14:$K$20,9)/30))</f>
        <v>15.697217262476485</v>
      </c>
      <c r="CG92" s="172">
        <f ca="1">(VLOOKUP(CG$72,INDIRECT($C$5&amp;"生成成长"),2))/((VLOOKUP($B92,INDIRECT($B$5&amp;"生成成长"),4))/(VLOOKUP(CG$72,INDIRECT($C$5&amp;"生成成长"),5))*(VLOOKUP($B$5,标准坦克设计!$B$24:$U$30,MATCH("对"&amp;LEFT($C$5,2)&amp;"输出",标准坦克设计!$B$23:$U$23,0)))*(VLOOKUP($B92,INDIRECT($B$5&amp;"生成成长"),3))*(VLOOKUP($B$5,标准坦克设计!$B$14:$K$20,9)/30))</f>
        <v>16.851048347990012</v>
      </c>
      <c r="CH92" s="172">
        <f ca="1">(VLOOKUP(CH$72,INDIRECT($C$5&amp;"生成成长"),2))/((VLOOKUP($B92,INDIRECT($B$5&amp;"生成成长"),4))/(VLOOKUP(CH$72,INDIRECT($C$5&amp;"生成成长"),5))*(VLOOKUP($B$5,标准坦克设计!$B$24:$U$30,MATCH("对"&amp;LEFT($C$5,2)&amp;"输出",标准坦克设计!$B$23:$U$23,0)))*(VLOOKUP($B92,INDIRECT($B$5&amp;"生成成长"),3))*(VLOOKUP($B$5,标准坦克设计!$B$14:$K$20,9)/30))</f>
        <v>18.045795429443736</v>
      </c>
      <c r="CI92" s="172">
        <f ca="1">(VLOOKUP(CI$72,INDIRECT($C$5&amp;"生成成长"),2))/((VLOOKUP($B92,INDIRECT($B$5&amp;"生成成长"),4))/(VLOOKUP(CI$72,INDIRECT($C$5&amp;"生成成长"),5))*(VLOOKUP($B$5,标准坦克设计!$B$24:$U$30,MATCH("对"&amp;LEFT($C$5,2)&amp;"输出",标准坦克设计!$B$23:$U$23,0)))*(VLOOKUP($B92,INDIRECT($B$5&amp;"生成成长"),3))*(VLOOKUP($B$5,标准坦克设计!$B$14:$K$20,9)/30))</f>
        <v>19.407275194353758</v>
      </c>
      <c r="CJ92" s="172">
        <f ca="1">(VLOOKUP(CJ$72,INDIRECT($C$5&amp;"生成成长"),2))/((VLOOKUP($B92,INDIRECT($B$5&amp;"生成成长"),4))/(VLOOKUP(CJ$72,INDIRECT($C$5&amp;"生成成长"),5))*(VLOOKUP($B$5,标准坦克设计!$B$24:$U$30,MATCH("对"&amp;LEFT($C$5,2)&amp;"输出",标准坦克设计!$B$23:$U$23,0)))*(VLOOKUP($B92,INDIRECT($B$5&amp;"生成成长"),3))*(VLOOKUP($B$5,标准坦克设计!$B$14:$K$20,9)/30))</f>
        <v>20.818263314351412</v>
      </c>
      <c r="CK92" s="172">
        <f ca="1">(VLOOKUP(CK$72,INDIRECT($C$5&amp;"生成成长"),2))/((VLOOKUP($B92,INDIRECT($B$5&amp;"生成成长"),4))/(VLOOKUP(CK$72,INDIRECT($C$5&amp;"生成成长"),5))*(VLOOKUP($B$5,标准坦克设计!$B$24:$U$30,MATCH("对"&amp;LEFT($C$5,2)&amp;"输出",标准坦克设计!$B$23:$U$23,0)))*(VLOOKUP($B92,INDIRECT($B$5&amp;"生成成长"),3))*(VLOOKUP($B$5,标准坦克设计!$B$14:$K$20,9)/30))</f>
        <v>22.278759789436709</v>
      </c>
      <c r="CL92" s="172">
        <f ca="1">(VLOOKUP(CL$72,INDIRECT($C$5&amp;"生成成长"),2))/((VLOOKUP($B92,INDIRECT($B$5&amp;"生成成长"),4))/(VLOOKUP(CL$72,INDIRECT($C$5&amp;"生成成长"),5))*(VLOOKUP($B$5,标准坦克设计!$B$24:$U$30,MATCH("对"&amp;LEFT($C$5,2)&amp;"输出",标准坦克设计!$B$23:$U$23,0)))*(VLOOKUP($B92,INDIRECT($B$5&amp;"生成成长"),3))*(VLOOKUP($B$5,标准坦克设计!$B$14:$K$20,9)/30))</f>
        <v>23.788764619609637</v>
      </c>
      <c r="CM92" s="172">
        <f ca="1">(VLOOKUP(CM$72,INDIRECT($C$5&amp;"生成成长"),2))/((VLOOKUP($B92,INDIRECT($B$5&amp;"生成成长"),4))/(VLOOKUP(CM$72,INDIRECT($C$5&amp;"生成成长"),5))*(VLOOKUP($B$5,标准坦克设计!$B$24:$U$30,MATCH("对"&amp;LEFT($C$5,2)&amp;"输出",标准坦克设计!$B$23:$U$23,0)))*(VLOOKUP($B92,INDIRECT($B$5&amp;"生成成长"),3))*(VLOOKUP($B$5,标准坦克设计!$B$14:$K$20,9)/30))</f>
        <v>25.348277804870207</v>
      </c>
      <c r="CN92" s="172">
        <f ca="1">(VLOOKUP(CN$72,INDIRECT($C$5&amp;"生成成长"),2))/((VLOOKUP($B92,INDIRECT($B$5&amp;"生成成长"),4))/(VLOOKUP(CN$72,INDIRECT($C$5&amp;"生成成长"),5))*(VLOOKUP($B$5,标准坦克设计!$B$24:$U$30,MATCH("对"&amp;LEFT($C$5,2)&amp;"输出",标准坦克设计!$B$23:$U$23,0)))*(VLOOKUP($B92,INDIRECT($B$5&amp;"生成成长"),3))*(VLOOKUP($B$5,标准坦克设计!$B$14:$K$20,9)/30))</f>
        <v>26.957299345218424</v>
      </c>
      <c r="CO92" s="172">
        <f ca="1">(VLOOKUP(CO$72,INDIRECT($C$5&amp;"生成成长"),2))/((VLOOKUP($B92,INDIRECT($B$5&amp;"生成成长"),4))/(VLOOKUP(CO$72,INDIRECT($C$5&amp;"生成成长"),5))*(VLOOKUP($B$5,标准坦克设计!$B$24:$U$30,MATCH("对"&amp;LEFT($C$5,2)&amp;"输出",标准坦克设计!$B$23:$U$23,0)))*(VLOOKUP($B92,INDIRECT($B$5&amp;"生成成长"),3))*(VLOOKUP($B$5,标准坦克设计!$B$14:$K$20,9)/30))</f>
        <v>12.08024322136316</v>
      </c>
      <c r="CP92" s="172">
        <f ca="1">(VLOOKUP(CP$72,INDIRECT($C$5&amp;"生成成长"),2))/((VLOOKUP($B92,INDIRECT($B$5&amp;"生成成长"),4))/(VLOOKUP(CP$72,INDIRECT($C$5&amp;"生成成长"),5))*(VLOOKUP($B$5,标准坦克设计!$B$24:$U$30,MATCH("对"&amp;LEFT($C$5,2)&amp;"输出",标准坦克设计!$B$23:$U$23,0)))*(VLOOKUP($B92,INDIRECT($B$5&amp;"生成成长"),3))*(VLOOKUP($B$5,标准坦克设计!$B$14:$K$20,9)/30))</f>
        <v>13.198681970388417</v>
      </c>
      <c r="CQ92" s="172">
        <f ca="1">(VLOOKUP(CQ$72,INDIRECT($C$5&amp;"生成成长"),2))/((VLOOKUP($B92,INDIRECT($B$5&amp;"生成成长"),4))/(VLOOKUP(CQ$72,INDIRECT($C$5&amp;"生成成长"),5))*(VLOOKUP($B$5,标准坦克设计!$B$24:$U$30,MATCH("对"&amp;LEFT($C$5,2)&amp;"输出",标准坦克设计!$B$23:$U$23,0)))*(VLOOKUP($B92,INDIRECT($B$5&amp;"生成成长"),3))*(VLOOKUP($B$5,标准坦克设计!$B$14:$K$20,9)/30))</f>
        <v>14.366629074501311</v>
      </c>
      <c r="CR92" s="172">
        <f ca="1">(VLOOKUP(CR$72,INDIRECT($C$5&amp;"生成成长"),2))/((VLOOKUP($B92,INDIRECT($B$5&amp;"生成成长"),4))/(VLOOKUP(CR$72,INDIRECT($C$5&amp;"生成成长"),5))*(VLOOKUP($B$5,标准坦克设计!$B$24:$U$30,MATCH("对"&amp;LEFT($C$5,2)&amp;"输出",标准坦克设计!$B$23:$U$23,0)))*(VLOOKUP($B92,INDIRECT($B$5&amp;"生成成长"),3))*(VLOOKUP($B$5,标准坦克设计!$B$14:$K$20,9)/30))</f>
        <v>15.584084533701844</v>
      </c>
      <c r="CS92" s="172">
        <f ca="1">(VLOOKUP(CS$72,INDIRECT($C$5&amp;"生成成长"),2))/((VLOOKUP($B92,INDIRECT($B$5&amp;"生成成长"),4))/(VLOOKUP(CS$72,INDIRECT($C$5&amp;"生成成长"),5))*(VLOOKUP($B$5,标准坦克设计!$B$24:$U$30,MATCH("对"&amp;LEFT($C$5,2)&amp;"输出",标准坦克设计!$B$23:$U$23,0)))*(VLOOKUP($B92,INDIRECT($B$5&amp;"生成成长"),3))*(VLOOKUP($B$5,标准坦克设计!$B$14:$K$20,9)/30))</f>
        <v>16.851048347990012</v>
      </c>
      <c r="CT92" s="172">
        <f ca="1">(VLOOKUP(CT$72,INDIRECT($C$5&amp;"生成成长"),2))/((VLOOKUP($B92,INDIRECT($B$5&amp;"生成成长"),4))/(VLOOKUP(CT$72,INDIRECT($C$5&amp;"生成成长"),5))*(VLOOKUP($B$5,标准坦克设计!$B$24:$U$30,MATCH("对"&amp;LEFT($C$5,2)&amp;"输出",标准坦克设计!$B$23:$U$23,0)))*(VLOOKUP($B92,INDIRECT($B$5&amp;"生成成长"),3))*(VLOOKUP($B$5,标准坦克设计!$B$14:$K$20,9)/30))</f>
        <v>18.167520517365816</v>
      </c>
      <c r="CU92" s="172">
        <f ca="1">(VLOOKUP(CU$72,INDIRECT($C$5&amp;"生成成长"),2))/((VLOOKUP($B92,INDIRECT($B$5&amp;"生成成长"),4))/(VLOOKUP(CU$72,INDIRECT($C$5&amp;"生成成长"),5))*(VLOOKUP($B$5,标准坦克设计!$B$24:$U$30,MATCH("对"&amp;LEFT($C$5,2)&amp;"输出",标准坦克设计!$B$23:$U$23,0)))*(VLOOKUP($B92,INDIRECT($B$5&amp;"生成成长"),3))*(VLOOKUP($B$5,标准坦克设计!$B$14:$K$20,9)/30))</f>
        <v>19.533501041829258</v>
      </c>
      <c r="CV92" s="172">
        <f ca="1">(VLOOKUP(CV$72,INDIRECT($C$5&amp;"生成成长"),2))/((VLOOKUP($B92,INDIRECT($B$5&amp;"生成成长"),4))/(VLOOKUP(CV$72,INDIRECT($C$5&amp;"生成成长"),5))*(VLOOKUP($B$5,标准坦克设计!$B$24:$U$30,MATCH("对"&amp;LEFT($C$5,2)&amp;"输出",标准坦克设计!$B$23:$U$23,0)))*(VLOOKUP($B92,INDIRECT($B$5&amp;"生成成长"),3))*(VLOOKUP($B$5,标准坦克设计!$B$14:$K$20,9)/30))</f>
        <v>20.948989921380338</v>
      </c>
      <c r="CW92" s="172">
        <f ca="1">(VLOOKUP(CW$72,INDIRECT($C$5&amp;"生成成长"),2))/((VLOOKUP($B92,INDIRECT($B$5&amp;"生成成长"),4))/(VLOOKUP(CW$72,INDIRECT($C$5&amp;"生成成长"),5))*(VLOOKUP($B$5,标准坦克设计!$B$24:$U$30,MATCH("对"&amp;LEFT($C$5,2)&amp;"输出",标准坦克设计!$B$23:$U$23,0)))*(VLOOKUP($B92,INDIRECT($B$5&amp;"生成成长"),3))*(VLOOKUP($B$5,标准坦克设计!$B$14:$K$20,9)/30))</f>
        <v>22.413987156019058</v>
      </c>
      <c r="CX92" s="172">
        <f ca="1">(VLOOKUP(CX$72,INDIRECT($C$5&amp;"生成成长"),2))/((VLOOKUP($B92,INDIRECT($B$5&amp;"生成成长"),4))/(VLOOKUP(CX$72,INDIRECT($C$5&amp;"生成成长"),5))*(VLOOKUP($B$5,标准坦克设计!$B$24:$U$30,MATCH("对"&amp;LEFT($C$5,2)&amp;"输出",标准坦克设计!$B$23:$U$23,0)))*(VLOOKUP($B92,INDIRECT($B$5&amp;"生成成长"),3))*(VLOOKUP($B$5,标准坦克设计!$B$14:$K$20,9)/30))</f>
        <v>23.928492745745405</v>
      </c>
      <c r="CY92" s="172">
        <f ca="1">(VLOOKUP(CY$72,INDIRECT($C$5&amp;"生成成长"),2))/((VLOOKUP($B92,INDIRECT($B$5&amp;"生成成长"),4))/(VLOOKUP(CY$72,INDIRECT($C$5&amp;"生成成长"),5))*(VLOOKUP($B$5,标准坦克设计!$B$24:$U$30,MATCH("对"&amp;LEFT($C$5,2)&amp;"输出",标准坦克设计!$B$23:$U$23,0)))*(VLOOKUP($B92,INDIRECT($B$5&amp;"生成成长"),3))*(VLOOKUP($B$5,标准坦克设计!$B$14:$K$20,9)/30))</f>
        <v>25.492506690559399</v>
      </c>
      <c r="CZ92" s="172">
        <f ca="1">(VLOOKUP(CZ$72,INDIRECT($C$5&amp;"生成成长"),2))/((VLOOKUP($B92,INDIRECT($B$5&amp;"生成成长"),4))/(VLOOKUP(CZ$72,INDIRECT($C$5&amp;"生成成长"),5))*(VLOOKUP($B$5,标准坦克设计!$B$24:$U$30,MATCH("对"&amp;LEFT($C$5,2)&amp;"输出",标准坦克设计!$B$23:$U$23,0)))*(VLOOKUP($B92,INDIRECT($B$5&amp;"生成成长"),3))*(VLOOKUP($B$5,标准坦克设计!$B$14:$K$20,9)/30))</f>
        <v>27.106028990461027</v>
      </c>
      <c r="DA92" s="172">
        <f ca="1">(VLOOKUP(DA$72,INDIRECT($C$5&amp;"生成成长"),2))/((VLOOKUP($B92,INDIRECT($B$5&amp;"生成成长"),4))/(VLOOKUP(DA$72,INDIRECT($C$5&amp;"生成成长"),5))*(VLOOKUP($B$5,标准坦克设计!$B$24:$U$30,MATCH("对"&amp;LEFT($C$5,2)&amp;"输出",标准坦克设计!$B$23:$U$23,0)))*(VLOOKUP($B92,INDIRECT($B$5&amp;"生成成长"),3))*(VLOOKUP($B$5,标准坦克设计!$B$14:$K$20,9)/30))</f>
        <v>28.769059645450294</v>
      </c>
      <c r="DB92" s="172">
        <f ca="1">(VLOOKUP(DB$72,INDIRECT($C$5&amp;"生成成长"),2))/((VLOOKUP($B92,INDIRECT($B$5&amp;"生成成长"),4))/(VLOOKUP(DB$72,INDIRECT($C$5&amp;"生成成长"),5))*(VLOOKUP($B$5,标准坦克设计!$B$24:$U$30,MATCH("对"&amp;LEFT($C$5,2)&amp;"输出",标准坦克设计!$B$23:$U$23,0)))*(VLOOKUP($B92,INDIRECT($B$5&amp;"生成成长"),3))*(VLOOKUP($B$5,标准坦克设计!$B$14:$K$20,9)/30))</f>
        <v>30.4815986555272</v>
      </c>
      <c r="DC92" s="172">
        <f ca="1">(VLOOKUP(DC$72,INDIRECT($C$5&amp;"生成成长"),2))/((VLOOKUP($B92,INDIRECT($B$5&amp;"生成成长"),4))/(VLOOKUP(DC$72,INDIRECT($C$5&amp;"生成成长"),5))*(VLOOKUP($B$5,标准坦克设计!$B$24:$U$30,MATCH("对"&amp;LEFT($C$5,2)&amp;"输出",标准坦克设计!$B$23:$U$23,0)))*(VLOOKUP($B92,INDIRECT($B$5&amp;"生成成长"),3))*(VLOOKUP($B$5,标准坦克设计!$B$14:$K$20,9)/30))</f>
        <v>32.406287104554011</v>
      </c>
      <c r="DD92" s="172">
        <f ca="1">(VLOOKUP(DD$72,INDIRECT($C$5&amp;"生成成长"),2))/((VLOOKUP($B92,INDIRECT($B$5&amp;"生成成长"),4))/(VLOOKUP(DD$72,INDIRECT($C$5&amp;"生成成长"),5))*(VLOOKUP($B$5,标准坦克设计!$B$24:$U$30,MATCH("对"&amp;LEFT($C$5,2)&amp;"输出",标准坦克设计!$B$23:$U$23,0)))*(VLOOKUP($B92,INDIRECT($B$5&amp;"生成成长"),3))*(VLOOKUP($B$5,标准坦克设计!$B$14:$K$20,9)/30))</f>
        <v>34.389894587734716</v>
      </c>
      <c r="DE92" s="172">
        <f ca="1">(VLOOKUP(DE$72,INDIRECT($C$5&amp;"生成成长"),2))/((VLOOKUP($B92,INDIRECT($B$5&amp;"生成成长"),4))/(VLOOKUP(DE$72,INDIRECT($C$5&amp;"生成成长"),5))*(VLOOKUP($B$5,标准坦克设计!$B$24:$U$30,MATCH("对"&amp;LEFT($C$5,2)&amp;"输出",标准坦克设计!$B$23:$U$23,0)))*(VLOOKUP($B92,INDIRECT($B$5&amp;"生成成长"),3))*(VLOOKUP($B$5,标准坦克设计!$B$14:$K$20,9)/30))</f>
        <v>36.432421105069302</v>
      </c>
      <c r="DF92" s="172">
        <f ca="1">(VLOOKUP(DF$72,INDIRECT($C$5&amp;"生成成长"),2))/((VLOOKUP($B92,INDIRECT($B$5&amp;"生成成长"),4))/(VLOOKUP(DF$72,INDIRECT($C$5&amp;"生成成长"),5))*(VLOOKUP($B$5,标准坦克设计!$B$24:$U$30,MATCH("对"&amp;LEFT($C$5,2)&amp;"输出",标准坦克设计!$B$23:$U$23,0)))*(VLOOKUP($B92,INDIRECT($B$5&amp;"生成成长"),3))*(VLOOKUP($B$5,标准坦克设计!$B$14:$K$20,9)/30))</f>
        <v>38.53386665655777</v>
      </c>
      <c r="DG92" s="172">
        <f ca="1">(VLOOKUP(DG$72,INDIRECT($C$5&amp;"生成成长"),2))/((VLOOKUP($B92,INDIRECT($B$5&amp;"生成成长"),4))/(VLOOKUP(DG$72,INDIRECT($C$5&amp;"生成成长"),5))*(VLOOKUP($B$5,标准坦克设计!$B$24:$U$30,MATCH("对"&amp;LEFT($C$5,2)&amp;"输出",标准坦克设计!$B$23:$U$23,0)))*(VLOOKUP($B92,INDIRECT($B$5&amp;"生成成长"),3))*(VLOOKUP($B$5,标准坦克设计!$B$14:$K$20,9)/30))</f>
        <v>40.694231242200111</v>
      </c>
      <c r="DH92" s="172">
        <f ca="1">(VLOOKUP(DH$72,INDIRECT($C$5&amp;"生成成长"),2))/((VLOOKUP($B92,INDIRECT($B$5&amp;"生成成长"),4))/(VLOOKUP(DH$72,INDIRECT($C$5&amp;"生成成长"),5))*(VLOOKUP($B$5,标准坦克设计!$B$24:$U$30,MATCH("对"&amp;LEFT($C$5,2)&amp;"输出",标准坦克设计!$B$23:$U$23,0)))*(VLOOKUP($B92,INDIRECT($B$5&amp;"生成成长"),3))*(VLOOKUP($B$5,标准坦克设计!$B$14:$K$20,9)/30))</f>
        <v>42.913514861996347</v>
      </c>
      <c r="DI92" s="172">
        <f ca="1">(VLOOKUP(DI$72,INDIRECT($C$5&amp;"生成成长"),2))/((VLOOKUP($B92,INDIRECT($B$5&amp;"生成成长"),4))/(VLOOKUP(DI$72,INDIRECT($C$5&amp;"生成成长"),5))*(VLOOKUP($B$5,标准坦克设计!$B$24:$U$30,MATCH("对"&amp;LEFT($C$5,2)&amp;"输出",标准坦克设计!$B$23:$U$23,0)))*(VLOOKUP($B92,INDIRECT($B$5&amp;"生成成长"),3))*(VLOOKUP($B$5,标准坦克设计!$B$14:$K$20,9)/30))</f>
        <v>45.191717515946451</v>
      </c>
      <c r="DJ92" s="172">
        <f ca="1">(VLOOKUP(DJ$72,INDIRECT($C$5&amp;"生成成长"),2))/((VLOOKUP($B92,INDIRECT($B$5&amp;"生成成长"),4))/(VLOOKUP(DJ$72,INDIRECT($C$5&amp;"生成成长"),5))*(VLOOKUP($B$5,标准坦克设计!$B$24:$U$30,MATCH("对"&amp;LEFT($C$5,2)&amp;"输出",标准坦克设计!$B$23:$U$23,0)))*(VLOOKUP($B92,INDIRECT($B$5&amp;"生成成长"),3))*(VLOOKUP($B$5,标准坦克设计!$B$14:$K$20,9)/30))</f>
        <v>4.5418801293414539</v>
      </c>
      <c r="DK92" s="172">
        <f ca="1">(VLOOKUP(DK$72,INDIRECT($C$5&amp;"生成成长"),2))/((VLOOKUP($B92,INDIRECT($B$5&amp;"生成成长"),4))/(VLOOKUP(DK$72,INDIRECT($C$5&amp;"生成成长"),5))*(VLOOKUP($B$5,标准坦克设计!$B$24:$U$30,MATCH("对"&amp;LEFT($C$5,2)&amp;"输出",标准坦克设计!$B$23:$U$23,0)))*(VLOOKUP($B92,INDIRECT($B$5&amp;"生成成长"),3))*(VLOOKUP($B$5,标准坦克设计!$B$14:$K$20,9)/30))</f>
        <v>5.1071346132552611</v>
      </c>
      <c r="DL92" s="172">
        <f ca="1">(VLOOKUP(DL$72,INDIRECT($C$5&amp;"生成成长"),2))/((VLOOKUP($B92,INDIRECT($B$5&amp;"生成成长"),4))/(VLOOKUP(DL$72,INDIRECT($C$5&amp;"生成成长"),5))*(VLOOKUP($B$5,标准坦克设计!$B$24:$U$30,MATCH("对"&amp;LEFT($C$5,2)&amp;"输出",标准坦克设计!$B$23:$U$23,0)))*(VLOOKUP($B92,INDIRECT($B$5&amp;"生成成长"),3))*(VLOOKUP($B$5,标准坦克设计!$B$14:$K$20,9)/30))</f>
        <v>5.7055310538806276</v>
      </c>
      <c r="DM92" s="172">
        <f ca="1">(VLOOKUP(DM$72,INDIRECT($C$5&amp;"生成成长"),2))/((VLOOKUP($B92,INDIRECT($B$5&amp;"生成成长"),4))/(VLOOKUP(DM$72,INDIRECT($C$5&amp;"生成成长"),5))*(VLOOKUP($B$5,标准坦克设计!$B$24:$U$30,MATCH("对"&amp;LEFT($C$5,2)&amp;"输出",标准坦克设计!$B$23:$U$23,0)))*(VLOOKUP($B92,INDIRECT($B$5&amp;"生成成长"),3))*(VLOOKUP($B$5,标准坦克设计!$B$14:$K$20,9)/30))</f>
        <v>6.3370694512175518</v>
      </c>
      <c r="DN92" s="172">
        <f ca="1">(VLOOKUP(DN$72,INDIRECT($C$5&amp;"生成成长"),2))/((VLOOKUP($B92,INDIRECT($B$5&amp;"生成成长"),4))/(VLOOKUP(DN$72,INDIRECT($C$5&amp;"生成成长"),5))*(VLOOKUP($B$5,标准坦克设计!$B$24:$U$30,MATCH("对"&amp;LEFT($C$5,2)&amp;"输出",标准坦克设计!$B$23:$U$23,0)))*(VLOOKUP($B92,INDIRECT($B$5&amp;"生成成长"),3))*(VLOOKUP($B$5,标准坦克设计!$B$14:$K$20,9)/30))</f>
        <v>7.0017498052660363</v>
      </c>
      <c r="DO92" s="172">
        <f ca="1">(VLOOKUP(DO$72,INDIRECT($C$5&amp;"生成成长"),2))/((VLOOKUP($B92,INDIRECT($B$5&amp;"生成成长"),4))/(VLOOKUP(DO$72,INDIRECT($C$5&amp;"生成成长"),5))*(VLOOKUP($B$5,标准坦克设计!$B$24:$U$30,MATCH("对"&amp;LEFT($C$5,2)&amp;"输出",标准坦克设计!$B$23:$U$23,0)))*(VLOOKUP($B92,INDIRECT($B$5&amp;"生成成长"),3))*(VLOOKUP($B$5,标准坦克设计!$B$14:$K$20,9)/30))</f>
        <v>7.6995721160260793</v>
      </c>
      <c r="DP92" s="172">
        <f ca="1">(VLOOKUP(DP$72,INDIRECT($C$5&amp;"生成成长"),2))/((VLOOKUP($B92,INDIRECT($B$5&amp;"生成成长"),4))/(VLOOKUP(DP$72,INDIRECT($C$5&amp;"生成成长"),5))*(VLOOKUP($B$5,标准坦克设计!$B$24:$U$30,MATCH("对"&amp;LEFT($C$5,2)&amp;"输出",标准坦克设计!$B$23:$U$23,0)))*(VLOOKUP($B92,INDIRECT($B$5&amp;"生成成长"),3))*(VLOOKUP($B$5,标准坦克设计!$B$14:$K$20,9)/30))</f>
        <v>8.4305363834976799</v>
      </c>
      <c r="DQ92" s="172">
        <f ca="1">(VLOOKUP(DQ$72,INDIRECT($C$5&amp;"生成成长"),2))/((VLOOKUP($B92,INDIRECT($B$5&amp;"生成成长"),4))/(VLOOKUP(DQ$72,INDIRECT($C$5&amp;"生成成长"),5))*(VLOOKUP($B$5,标准坦克设计!$B$24:$U$30,MATCH("对"&amp;LEFT($C$5,2)&amp;"输出",标准坦克设计!$B$23:$U$23,0)))*(VLOOKUP($B92,INDIRECT($B$5&amp;"生成成长"),3))*(VLOOKUP($B$5,标准坦克设计!$B$14:$K$20,9)/30))</f>
        <v>9.194642607680839</v>
      </c>
      <c r="DR92" s="172">
        <f ca="1">(VLOOKUP(DR$72,INDIRECT($C$5&amp;"生成成长"),2))/((VLOOKUP($B92,INDIRECT($B$5&amp;"生成成长"),4))/(VLOOKUP(DR$72,INDIRECT($C$5&amp;"生成成长"),5))*(VLOOKUP($B$5,标准坦克设计!$B$24:$U$30,MATCH("对"&amp;LEFT($C$5,2)&amp;"输出",标准坦克设计!$B$23:$U$23,0)))*(VLOOKUP($B92,INDIRECT($B$5&amp;"生成成长"),3))*(VLOOKUP($B$5,标准坦克设计!$B$14:$K$20,9)/30))</f>
        <v>9.9918907885755601</v>
      </c>
      <c r="DS92" s="172">
        <f ca="1">(VLOOKUP(DS$72,INDIRECT($C$5&amp;"生成成长"),2))/((VLOOKUP($B92,INDIRECT($B$5&amp;"生成成长"),4))/(VLOOKUP(DS$72,INDIRECT($C$5&amp;"生成成长"),5))*(VLOOKUP($B$5,标准坦克设计!$B$24:$U$30,MATCH("对"&amp;LEFT($C$5,2)&amp;"输出",标准坦克设计!$B$23:$U$23,0)))*(VLOOKUP($B92,INDIRECT($B$5&amp;"生成成长"),3))*(VLOOKUP($B$5,标准坦克设计!$B$14:$K$20,9)/30))</f>
        <v>10.822280926181838</v>
      </c>
      <c r="DT92" s="172">
        <f ca="1">(VLOOKUP(DT$72,INDIRECT($C$5&amp;"生成成长"),2))/((VLOOKUP($B92,INDIRECT($B$5&amp;"生成成长"),4))/(VLOOKUP(DT$72,INDIRECT($C$5&amp;"生成成长"),5))*(VLOOKUP($B$5,标准坦克设计!$B$24:$U$30,MATCH("对"&amp;LEFT($C$5,2)&amp;"输出",标准坦克设计!$B$23:$U$23,0)))*(VLOOKUP($B92,INDIRECT($B$5&amp;"生成成长"),3))*(VLOOKUP($B$5,标准坦克设计!$B$14:$K$20,9)/30))</f>
        <v>11.882209801012612</v>
      </c>
      <c r="DU92" s="172">
        <f ca="1">(VLOOKUP(DU$72,INDIRECT($C$5&amp;"生成成长"),2))/((VLOOKUP($B92,INDIRECT($B$5&amp;"生成成长"),4))/(VLOOKUP(DU$72,INDIRECT($C$5&amp;"生成成长"),5))*(VLOOKUP($B$5,标准坦克设计!$B$24:$U$30,MATCH("对"&amp;LEFT($C$5,2)&amp;"输出",标准坦克设计!$B$23:$U$23,0)))*(VLOOKUP($B92,INDIRECT($B$5&amp;"生成成长"),3))*(VLOOKUP($B$5,标准坦克设计!$B$14:$K$20,9)/30))</f>
        <v>12.991647030931027</v>
      </c>
      <c r="DV92" s="172">
        <f ca="1">(VLOOKUP(DV$72,INDIRECT($C$5&amp;"生成成长"),2))/((VLOOKUP($B92,INDIRECT($B$5&amp;"生成成长"),4))/(VLOOKUP(DV$72,INDIRECT($C$5&amp;"生成成长"),5))*(VLOOKUP($B$5,标准坦克设计!$B$24:$U$30,MATCH("对"&amp;LEFT($C$5,2)&amp;"输出",标准坦克设计!$B$23:$U$23,0)))*(VLOOKUP($B92,INDIRECT($B$5&amp;"生成成长"),3))*(VLOOKUP($B$5,标准坦克设计!$B$14:$K$20,9)/30))</f>
        <v>14.150592615937077</v>
      </c>
      <c r="DW92" s="172">
        <f ca="1">(VLOOKUP(DW$72,INDIRECT($C$5&amp;"生成成长"),2))/((VLOOKUP($B92,INDIRECT($B$5&amp;"生成成长"),4))/(VLOOKUP(DW$72,INDIRECT($C$5&amp;"生成成长"),5))*(VLOOKUP($B$5,标准坦克设计!$B$24:$U$30,MATCH("对"&amp;LEFT($C$5,2)&amp;"输出",标准坦克设计!$B$23:$U$23,0)))*(VLOOKUP($B92,INDIRECT($B$5&amp;"生成成长"),3))*(VLOOKUP($B$5,标准坦克设计!$B$14:$K$20,9)/30))</f>
        <v>15.359046556030767</v>
      </c>
      <c r="DX92" s="172">
        <f ca="1">(VLOOKUP(DX$72,INDIRECT($C$5&amp;"生成成长"),2))/((VLOOKUP($B92,INDIRECT($B$5&amp;"生成成长"),4))/(VLOOKUP(DX$72,INDIRECT($C$5&amp;"生成成长"),5))*(VLOOKUP($B$5,标准坦克设计!$B$24:$U$30,MATCH("对"&amp;LEFT($C$5,2)&amp;"输出",标准坦克设计!$B$23:$U$23,0)))*(VLOOKUP($B92,INDIRECT($B$5&amp;"生成成长"),3))*(VLOOKUP($B$5,标准坦克设计!$B$14:$K$20,9)/30))</f>
        <v>16.617008851212091</v>
      </c>
      <c r="DY92" s="172">
        <f ca="1">(VLOOKUP(DY$72,INDIRECT($C$5&amp;"生成成长"),2))/((VLOOKUP($B92,INDIRECT($B$5&amp;"生成成长"),4))/(VLOOKUP(DY$72,INDIRECT($C$5&amp;"生成成长"),5))*(VLOOKUP($B$5,标准坦克设计!$B$24:$U$30,MATCH("对"&amp;LEFT($C$5,2)&amp;"输出",标准坦克设计!$B$23:$U$23,0)))*(VLOOKUP($B92,INDIRECT($B$5&amp;"生成成长"),3))*(VLOOKUP($B$5,标准坦克设计!$B$14:$K$20,9)/30))</f>
        <v>7.4632822394714475</v>
      </c>
      <c r="DZ92" s="172">
        <f ca="1">(VLOOKUP(DZ$72,INDIRECT($C$5&amp;"生成成长"),2))/((VLOOKUP($B92,INDIRECT($B$5&amp;"生成成长"),4))/(VLOOKUP(DZ$72,INDIRECT($C$5&amp;"生成成长"),5))*(VLOOKUP($B$5,标准坦克设计!$B$24:$U$30,MATCH("对"&amp;LEFT($C$5,2)&amp;"输出",标准坦克设计!$B$23:$U$23,0)))*(VLOOKUP($B92,INDIRECT($B$5&amp;"生成成长"),3))*(VLOOKUP($B$5,标准坦克设计!$B$14:$K$20,9)/30))</f>
        <v>8.2652357598992872</v>
      </c>
      <c r="EA92" s="172">
        <f ca="1">(VLOOKUP(EA$72,INDIRECT($C$5&amp;"生成成长"),2))/((VLOOKUP($B92,INDIRECT($B$5&amp;"生成成长"),4))/(VLOOKUP(EA$72,INDIRECT($C$5&amp;"生成成长"),5))*(VLOOKUP($B$5,标准坦克设计!$B$24:$U$30,MATCH("对"&amp;LEFT($C$5,2)&amp;"输出",标准坦克设计!$B$23:$U$23,0)))*(VLOOKUP($B92,INDIRECT($B$5&amp;"生成成长"),3))*(VLOOKUP($B$5,标准坦克设计!$B$14:$K$20,9)/30))</f>
        <v>9.1081052762673256</v>
      </c>
      <c r="EB92" s="172">
        <f ca="1">(VLOOKUP(EB$72,INDIRECT($C$5&amp;"生成成长"),2))/((VLOOKUP($B92,INDIRECT($B$5&amp;"生成成长"),4))/(VLOOKUP(EB$72,INDIRECT($C$5&amp;"生成成长"),5))*(VLOOKUP($B$5,标准坦克设计!$B$24:$U$30,MATCH("对"&amp;LEFT($C$5,2)&amp;"输出",标准坦克设计!$B$23:$U$23,0)))*(VLOOKUP($B92,INDIRECT($B$5&amp;"生成成长"),3))*(VLOOKUP($B$5,标准坦克设计!$B$14:$K$20,9)/30))</f>
        <v>9.9918907885755601</v>
      </c>
      <c r="EC92" s="172">
        <f ca="1">(VLOOKUP(EC$72,INDIRECT($C$5&amp;"生成成长"),2))/((VLOOKUP($B92,INDIRECT($B$5&amp;"生成成长"),4))/(VLOOKUP(EC$72,INDIRECT($C$5&amp;"生成成长"),5))*(VLOOKUP($B$5,标准坦克设计!$B$24:$U$30,MATCH("对"&amp;LEFT($C$5,2)&amp;"输出",标准坦克设计!$B$23:$U$23,0)))*(VLOOKUP($B92,INDIRECT($B$5&amp;"生成成长"),3))*(VLOOKUP($B$5,标准坦克设计!$B$14:$K$20,9)/30))</f>
        <v>10.916592296823985</v>
      </c>
      <c r="ED92" s="172">
        <f ca="1">(VLOOKUP(ED$72,INDIRECT($C$5&amp;"生成成长"),2))/((VLOOKUP($B92,INDIRECT($B$5&amp;"生成成长"),4))/(VLOOKUP(ED$72,INDIRECT($C$5&amp;"生成成长"),5))*(VLOOKUP($B$5,标准坦克设计!$B$24:$U$30,MATCH("对"&amp;LEFT($C$5,2)&amp;"输出",标准坦克设计!$B$23:$U$23,0)))*(VLOOKUP($B92,INDIRECT($B$5&amp;"生成成长"),3))*(VLOOKUP($B$5,标准坦克设计!$B$14:$K$20,9)/30))</f>
        <v>11.882209801012612</v>
      </c>
      <c r="EE92" s="172">
        <f ca="1">(VLOOKUP(EE$72,INDIRECT($C$5&amp;"生成成长"),2))/((VLOOKUP($B92,INDIRECT($B$5&amp;"生成成长"),4))/(VLOOKUP(EE$72,INDIRECT($C$5&amp;"生成成长"),5))*(VLOOKUP($B$5,标准坦克设计!$B$24:$U$30,MATCH("对"&amp;LEFT($C$5,2)&amp;"输出",标准坦克设计!$B$23:$U$23,0)))*(VLOOKUP($B92,INDIRECT($B$5&amp;"生成成长"),3))*(VLOOKUP($B$5,标准坦克设计!$B$14:$K$20,9)/30))</f>
        <v>12.888743301141433</v>
      </c>
      <c r="EF92" s="172">
        <f ca="1">(VLOOKUP(EF$72,INDIRECT($C$5&amp;"生成成长"),2))/((VLOOKUP($B92,INDIRECT($B$5&amp;"生成成长"),4))/(VLOOKUP(EF$72,INDIRECT($C$5&amp;"生成成长"),5))*(VLOOKUP($B$5,标准坦克设计!$B$24:$U$30,MATCH("对"&amp;LEFT($C$5,2)&amp;"输出",标准坦克设计!$B$23:$U$23,0)))*(VLOOKUP($B92,INDIRECT($B$5&amp;"生成成长"),3))*(VLOOKUP($B$5,标准坦克设计!$B$14:$K$20,9)/30))</f>
        <v>13.936192797210451</v>
      </c>
      <c r="EG92" s="172">
        <f ca="1">(VLOOKUP(EG$72,INDIRECT($C$5&amp;"生成成长"),2))/((VLOOKUP($B92,INDIRECT($B$5&amp;"生成成长"),4))/(VLOOKUP(EG$72,INDIRECT($C$5&amp;"生成成长"),5))*(VLOOKUP($B$5,标准坦克设计!$B$24:$U$30,MATCH("对"&amp;LEFT($C$5,2)&amp;"输出",标准坦克设计!$B$23:$U$23,0)))*(VLOOKUP($B92,INDIRECT($B$5&amp;"生成成长"),3))*(VLOOKUP($B$5,标准坦克设计!$B$14:$K$20,9)/30))</f>
        <v>15.024558289219662</v>
      </c>
      <c r="EH92" s="172">
        <f ca="1">(VLOOKUP(EH$72,INDIRECT($C$5&amp;"生成成长"),2))/((VLOOKUP($B92,INDIRECT($B$5&amp;"生成成长"),4))/(VLOOKUP(EH$72,INDIRECT($C$5&amp;"生成成长"),5))*(VLOOKUP($B$5,标准坦克设计!$B$24:$U$30,MATCH("对"&amp;LEFT($C$5,2)&amp;"输出",标准坦克设计!$B$23:$U$23,0)))*(VLOOKUP($B92,INDIRECT($B$5&amp;"生成成长"),3))*(VLOOKUP($B$5,标准坦克设计!$B$14:$K$20,9)/30))</f>
        <v>16.153839777169075</v>
      </c>
      <c r="EI92" s="172">
        <f ca="1">(VLOOKUP(EI$72,INDIRECT($C$5&amp;"生成成长"),2))/((VLOOKUP($B92,INDIRECT($B$5&amp;"生成成长"),4))/(VLOOKUP(EI$72,INDIRECT($C$5&amp;"生成成长"),5))*(VLOOKUP($B$5,标准坦克设计!$B$24:$U$30,MATCH("对"&amp;LEFT($C$5,2)&amp;"输出",标准坦克设计!$B$23:$U$23,0)))*(VLOOKUP($B92,INDIRECT($B$5&amp;"生成成长"),3))*(VLOOKUP($B$5,标准坦克设计!$B$14:$K$20,9)/30))</f>
        <v>17.324037261058681</v>
      </c>
      <c r="EJ92" s="172">
        <f ca="1">(VLOOKUP(EJ$72,INDIRECT($C$5&amp;"生成成长"),2))/((VLOOKUP($B92,INDIRECT($B$5&amp;"生成成长"),4))/(VLOOKUP(EJ$72,INDIRECT($C$5&amp;"生成成长"),5))*(VLOOKUP($B$5,标准坦克设计!$B$24:$U$30,MATCH("对"&amp;LEFT($C$5,2)&amp;"输出",标准坦克设计!$B$23:$U$23,0)))*(VLOOKUP($B92,INDIRECT($B$5&amp;"生成成长"),3))*(VLOOKUP($B$5,标准坦克设计!$B$14:$K$20,9)/30))</f>
        <v>18.535150740888479</v>
      </c>
      <c r="EK92" s="172">
        <f ca="1">(VLOOKUP(EK$72,INDIRECT($C$5&amp;"生成成长"),2))/((VLOOKUP($B92,INDIRECT($B$5&amp;"生成成长"),4))/(VLOOKUP(EK$72,INDIRECT($C$5&amp;"生成成长"),5))*(VLOOKUP($B$5,标准坦克设计!$B$24:$U$30,MATCH("对"&amp;LEFT($C$5,2)&amp;"输出",标准坦克设计!$B$23:$U$23,0)))*(VLOOKUP($B92,INDIRECT($B$5&amp;"生成成长"),3))*(VLOOKUP($B$5,标准坦克设计!$B$14:$K$20,9)/30))</f>
        <v>20.0424960313253</v>
      </c>
      <c r="EL92" s="172">
        <f ca="1">(VLOOKUP(EL$72,INDIRECT($C$5&amp;"生成成长"),2))/((VLOOKUP($B92,INDIRECT($B$5&amp;"生成成长"),4))/(VLOOKUP(EL$72,INDIRECT($C$5&amp;"生成成长"),5))*(VLOOKUP($B$5,标准坦克设计!$B$24:$U$30,MATCH("对"&amp;LEFT($C$5,2)&amp;"输出",标准坦克设计!$B$23:$U$23,0)))*(VLOOKUP($B92,INDIRECT($B$5&amp;"生成成长"),3))*(VLOOKUP($B$5,标准坦克设计!$B$14:$K$20,9)/30))</f>
        <v>21.608760355916001</v>
      </c>
      <c r="EM92" s="172">
        <f ca="1">(VLOOKUP(EM$72,INDIRECT($C$5&amp;"生成成长"),2))/((VLOOKUP($B92,INDIRECT($B$5&amp;"生成成长"),4))/(VLOOKUP(EM$72,INDIRECT($C$5&amp;"生成成长"),5))*(VLOOKUP($B$5,标准坦克设计!$B$24:$U$30,MATCH("对"&amp;LEFT($C$5,2)&amp;"输出",标准坦克设计!$B$23:$U$23,0)))*(VLOOKUP($B92,INDIRECT($B$5&amp;"生成成长"),3))*(VLOOKUP($B$5,标准坦克设计!$B$14:$K$20,9)/30))</f>
        <v>23.23394371466058</v>
      </c>
      <c r="EN92" s="172">
        <f ca="1">(VLOOKUP(EN$72,INDIRECT($C$5&amp;"生成成长"),2))/((VLOOKUP($B92,INDIRECT($B$5&amp;"生成成长"),4))/(VLOOKUP(EN$72,INDIRECT($C$5&amp;"生成成长"),5))*(VLOOKUP($B$5,标准坦克设计!$B$24:$U$30,MATCH("对"&amp;LEFT($C$5,2)&amp;"输出",标准坦克设计!$B$23:$U$23,0)))*(VLOOKUP($B92,INDIRECT($B$5&amp;"生成成长"),3))*(VLOOKUP($B$5,标准坦克设计!$B$14:$K$20,9)/30))</f>
        <v>24.918046107559046</v>
      </c>
      <c r="EO92" s="172">
        <f ca="1">(VLOOKUP(EO$72,INDIRECT($C$5&amp;"生成成长"),2))/((VLOOKUP($B92,INDIRECT($B$5&amp;"生成成长"),4))/(VLOOKUP(EO$72,INDIRECT($C$5&amp;"生成成长"),5))*(VLOOKUP($B$5,标准坦克设计!$B$24:$U$30,MATCH("对"&amp;LEFT($C$5,2)&amp;"输出",标准坦克设计!$B$23:$U$23,0)))*(VLOOKUP($B92,INDIRECT($B$5&amp;"生成成长"),3))*(VLOOKUP($B$5,标准坦克设计!$B$14:$K$20,9)/30))</f>
        <v>26.661067534611398</v>
      </c>
      <c r="EP92" s="172">
        <f ca="1">(VLOOKUP(EP$72,INDIRECT($C$5&amp;"生成成长"),2))/((VLOOKUP($B92,INDIRECT($B$5&amp;"生成成长"),4))/(VLOOKUP(EP$72,INDIRECT($C$5&amp;"生成成长"),5))*(VLOOKUP($B$5,标准坦克设计!$B$24:$U$30,MATCH("对"&amp;LEFT($C$5,2)&amp;"输出",标准坦克设计!$B$23:$U$23,0)))*(VLOOKUP($B92,INDIRECT($B$5&amp;"生成成长"),3))*(VLOOKUP($B$5,标准坦克设计!$B$14:$K$20,9)/30))</f>
        <v>28.46300799581763</v>
      </c>
      <c r="EQ92" s="172">
        <f ca="1">(VLOOKUP(EQ$72,INDIRECT($C$5&amp;"生成成长"),2))/((VLOOKUP($B92,INDIRECT($B$5&amp;"生成成长"),4))/(VLOOKUP(EQ$72,INDIRECT($C$5&amp;"生成成长"),5))*(VLOOKUP($B$5,标准坦克设计!$B$24:$U$30,MATCH("对"&amp;LEFT($C$5,2)&amp;"输出",标准坦克设计!$B$23:$U$23,0)))*(VLOOKUP($B92,INDIRECT($B$5&amp;"生成成长"),3))*(VLOOKUP($B$5,标准坦克设计!$B$14:$K$20,9)/30))</f>
        <v>12.582487071529066</v>
      </c>
      <c r="ER92" s="172">
        <f ca="1">(VLOOKUP(ER$72,INDIRECT($C$5&amp;"生成成长"),2))/((VLOOKUP($B92,INDIRECT($B$5&amp;"生成成长"),4))/(VLOOKUP(ER$72,INDIRECT($C$5&amp;"生成成长"),5))*(VLOOKUP($B$5,标准坦克设计!$B$24:$U$30,MATCH("对"&amp;LEFT($C$5,2)&amp;"输出",标准坦克设计!$B$23:$U$23,0)))*(VLOOKUP($B92,INDIRECT($B$5&amp;"生成成长"),3))*(VLOOKUP($B$5,标准坦克设计!$B$14:$K$20,9)/30))</f>
        <v>13.723429618321431</v>
      </c>
      <c r="ES92" s="172">
        <f ca="1">(VLOOKUP(ES$72,INDIRECT($C$5&amp;"生成成长"),2))/((VLOOKUP($B92,INDIRECT($B$5&amp;"生成成长"),4))/(VLOOKUP(ES$72,INDIRECT($C$5&amp;"生成成长"),5))*(VLOOKUP($B$5,标准坦克设计!$B$24:$U$30,MATCH("对"&amp;LEFT($C$5,2)&amp;"输出",标准坦克设计!$B$23:$U$23,0)))*(VLOOKUP($B92,INDIRECT($B$5&amp;"生成成长"),3))*(VLOOKUP($B$5,标准坦克设计!$B$14:$K$20,9)/30))</f>
        <v>14.913880520201433</v>
      </c>
      <c r="ET92" s="172">
        <f ca="1">(VLOOKUP(ET$72,INDIRECT($C$5&amp;"生成成长"),2))/((VLOOKUP($B92,INDIRECT($B$5&amp;"生成成长"),4))/(VLOOKUP(ET$72,INDIRECT($C$5&amp;"生成成长"),5))*(VLOOKUP($B$5,标准坦克设计!$B$24:$U$30,MATCH("对"&amp;LEFT($C$5,2)&amp;"输出",标准坦克设计!$B$23:$U$23,0)))*(VLOOKUP($B92,INDIRECT($B$5&amp;"生成成长"),3))*(VLOOKUP($B$5,标准坦克设计!$B$14:$K$20,9)/30))</f>
        <v>16.153839777169075</v>
      </c>
      <c r="EU92" s="172">
        <f ca="1">(VLOOKUP(EU$72,INDIRECT($C$5&amp;"生成成长"),2))/((VLOOKUP($B92,INDIRECT($B$5&amp;"生成成长"),4))/(VLOOKUP(EU$72,INDIRECT($C$5&amp;"生成成长"),5))*(VLOOKUP($B$5,标准坦克设计!$B$24:$U$30,MATCH("对"&amp;LEFT($C$5,2)&amp;"输出",标准坦克设计!$B$23:$U$23,0)))*(VLOOKUP($B92,INDIRECT($B$5&amp;"生成成长"),3))*(VLOOKUP($B$5,标准坦克设计!$B$14:$K$20,9)/30))</f>
        <v>17.443307389224348</v>
      </c>
      <c r="EV92" s="172">
        <f ca="1">(VLOOKUP(EV$72,INDIRECT($C$5&amp;"生成成长"),2))/((VLOOKUP($B92,INDIRECT($B$5&amp;"生成成长"),4))/(VLOOKUP(EV$72,INDIRECT($C$5&amp;"生成成长"),5))*(VLOOKUP($B$5,标准坦克设计!$B$24:$U$30,MATCH("对"&amp;LEFT($C$5,2)&amp;"输出",标准坦克设计!$B$23:$U$23,0)))*(VLOOKUP($B92,INDIRECT($B$5&amp;"生成成长"),3))*(VLOOKUP($B$5,标准坦克设计!$B$14:$K$20,9)/30))</f>
        <v>18.782283356367262</v>
      </c>
      <c r="EW92" s="172">
        <f ca="1">(VLOOKUP(EW$72,INDIRECT($C$5&amp;"生成成长"),2))/((VLOOKUP($B92,INDIRECT($B$5&amp;"生成成长"),4))/(VLOOKUP(EW$72,INDIRECT($C$5&amp;"生成成长"),5))*(VLOOKUP($B$5,标准坦克设计!$B$24:$U$30,MATCH("对"&amp;LEFT($C$5,2)&amp;"输出",标准坦克设计!$B$23:$U$23,0)))*(VLOOKUP($B92,INDIRECT($B$5&amp;"生成成长"),3))*(VLOOKUP($B$5,标准坦克设计!$B$14:$K$20,9)/30))</f>
        <v>20.170767678597812</v>
      </c>
      <c r="EX92" s="172">
        <f ca="1">(VLOOKUP(EX$72,INDIRECT($C$5&amp;"生成成长"),2))/((VLOOKUP($B92,INDIRECT($B$5&amp;"生成成长"),4))/(VLOOKUP(EX$72,INDIRECT($C$5&amp;"生成成长"),5))*(VLOOKUP($B$5,标准坦克设计!$B$24:$U$30,MATCH("对"&amp;LEFT($C$5,2)&amp;"输出",标准坦克设计!$B$23:$U$23,0)))*(VLOOKUP($B92,INDIRECT($B$5&amp;"生成成长"),3))*(VLOOKUP($B$5,标准坦克设计!$B$14:$K$20,9)/30))</f>
        <v>21.608760355916001</v>
      </c>
      <c r="EY92" s="172">
        <f ca="1">(VLOOKUP(EY$72,INDIRECT($C$5&amp;"生成成长"),2))/((VLOOKUP($B92,INDIRECT($B$5&amp;"生成成长"),4))/(VLOOKUP(EY$72,INDIRECT($C$5&amp;"生成成长"),5))*(VLOOKUP($B$5,标准坦克设计!$B$24:$U$30,MATCH("对"&amp;LEFT($C$5,2)&amp;"输出",标准坦克设计!$B$23:$U$23,0)))*(VLOOKUP($B92,INDIRECT($B$5&amp;"生成成长"),3))*(VLOOKUP($B$5,标准坦克设计!$B$14:$K$20,9)/30))</f>
        <v>23.096261388321825</v>
      </c>
      <c r="EZ92" s="172">
        <f ca="1">(VLOOKUP(EZ$72,INDIRECT($C$5&amp;"生成成长"),2))/((VLOOKUP($B92,INDIRECT($B$5&amp;"生成成长"),4))/(VLOOKUP(EZ$72,INDIRECT($C$5&amp;"生成成长"),5))*(VLOOKUP($B$5,标准坦克设计!$B$24:$U$30,MATCH("对"&amp;LEFT($C$5,2)&amp;"输出",标准坦克设计!$B$23:$U$23,0)))*(VLOOKUP($B92,INDIRECT($B$5&amp;"生成成长"),3))*(VLOOKUP($B$5,标准坦克设计!$B$14:$K$20,9)/30))</f>
        <v>24.633270775815291</v>
      </c>
      <c r="FA92" s="172">
        <f ca="1">(VLOOKUP(FA$72,INDIRECT($C$5&amp;"生成成长"),2))/((VLOOKUP($B92,INDIRECT($B$5&amp;"生成成长"),4))/(VLOOKUP(FA$72,INDIRECT($C$5&amp;"生成成长"),5))*(VLOOKUP($B$5,标准坦克设计!$B$24:$U$30,MATCH("对"&amp;LEFT($C$5,2)&amp;"输出",标准坦克设计!$B$23:$U$23,0)))*(VLOOKUP($B92,INDIRECT($B$5&amp;"生成成长"),3))*(VLOOKUP($B$5,标准坦克设计!$B$14:$K$20,9)/30))</f>
        <v>26.219788518396385</v>
      </c>
      <c r="FB92" s="172">
        <f ca="1">(VLOOKUP(FB$72,INDIRECT($C$5&amp;"生成成长"),2))/((VLOOKUP($B92,INDIRECT($B$5&amp;"生成成长"),4))/(VLOOKUP(FB$72,INDIRECT($C$5&amp;"生成成长"),5))*(VLOOKUP($B$5,标准坦克设计!$B$24:$U$30,MATCH("对"&amp;LEFT($C$5,2)&amp;"输出",标准坦克设计!$B$23:$U$23,0)))*(VLOOKUP($B92,INDIRECT($B$5&amp;"生成成长"),3))*(VLOOKUP($B$5,标准坦克设计!$B$14:$K$20,9)/30))</f>
        <v>27.855814616065118</v>
      </c>
      <c r="FC92" s="172">
        <f ca="1">(VLOOKUP(FC$72,INDIRECT($C$5&amp;"生成成长"),2))/((VLOOKUP($B92,INDIRECT($B$5&amp;"生成成长"),4))/(VLOOKUP(FC$72,INDIRECT($C$5&amp;"生成成长"),5))*(VLOOKUP($B$5,标准坦克设计!$B$24:$U$30,MATCH("对"&amp;LEFT($C$5,2)&amp;"输出",标准坦克设计!$B$23:$U$23,0)))*(VLOOKUP($B92,INDIRECT($B$5&amp;"生成成长"),3))*(VLOOKUP($B$5,标准坦克设计!$B$14:$K$20,9)/30))</f>
        <v>29.541349068821496</v>
      </c>
      <c r="FD92" s="172">
        <f ca="1">(VLOOKUP(FD$72,INDIRECT($C$5&amp;"生成成长"),2))/((VLOOKUP($B92,INDIRECT($B$5&amp;"生成成长"),4))/(VLOOKUP(FD$72,INDIRECT($C$5&amp;"生成成长"),5))*(VLOOKUP($B$5,标准坦克设计!$B$24:$U$30,MATCH("对"&amp;LEFT($C$5,2)&amp;"输出",标准坦克设计!$B$23:$U$23,0)))*(VLOOKUP($B92,INDIRECT($B$5&amp;"生成成长"),3))*(VLOOKUP($B$5,标准坦克设计!$B$14:$K$20,9)/30))</f>
        <v>31.27639187666551</v>
      </c>
      <c r="FE92" s="172">
        <f ca="1">(VLOOKUP(FE$72,INDIRECT($C$5&amp;"生成成长"),2))/((VLOOKUP($B92,INDIRECT($B$5&amp;"生成成长"),4))/(VLOOKUP(FE$72,INDIRECT($C$5&amp;"生成成长"),5))*(VLOOKUP($B$5,标准坦克设计!$B$24:$U$30,MATCH("对"&amp;LEFT($C$5,2)&amp;"输出",标准坦克设计!$B$23:$U$23,0)))*(VLOOKUP($B92,INDIRECT($B$5&amp;"生成成长"),3))*(VLOOKUP($B$5,标准坦克设计!$B$14:$K$20,9)/30))</f>
        <v>33.390725966875131</v>
      </c>
      <c r="FF92" s="172">
        <f ca="1">(VLOOKUP(FF$72,INDIRECT($C$5&amp;"生成成长"),2))/((VLOOKUP($B92,INDIRECT($B$5&amp;"生成成长"),4))/(VLOOKUP(FF$72,INDIRECT($C$5&amp;"生成成长"),5))*(VLOOKUP($B$5,标准坦克设计!$B$24:$U$30,MATCH("对"&amp;LEFT($C$5,2)&amp;"输出",标准坦克设计!$B$23:$U$23,0)))*(VLOOKUP($B92,INDIRECT($B$5&amp;"生成成长"),3))*(VLOOKUP($B$5,标准坦克设计!$B$14:$K$20,9)/30))</f>
        <v>35.574208090223692</v>
      </c>
      <c r="FG92" s="172">
        <f ca="1">(VLOOKUP(FG$72,INDIRECT($C$5&amp;"生成成长"),2))/((VLOOKUP($B92,INDIRECT($B$5&amp;"生成成长"),4))/(VLOOKUP(FG$72,INDIRECT($C$5&amp;"生成成长"),5))*(VLOOKUP($B$5,标准坦克设计!$B$24:$U$30,MATCH("对"&amp;LEFT($C$5,2)&amp;"输出",标准坦克设计!$B$23:$U$23,0)))*(VLOOKUP($B92,INDIRECT($B$5&amp;"生成成长"),3))*(VLOOKUP($B$5,标准坦克设计!$B$14:$K$20,9)/30))</f>
        <v>37.826838246711176</v>
      </c>
      <c r="FH92" s="172">
        <f ca="1">(VLOOKUP(FH$72,INDIRECT($C$5&amp;"生成成长"),2))/((VLOOKUP($B92,INDIRECT($B$5&amp;"生成成长"),4))/(VLOOKUP(FH$72,INDIRECT($C$5&amp;"生成成长"),5))*(VLOOKUP($B$5,标准坦克设计!$B$24:$U$30,MATCH("对"&amp;LEFT($C$5,2)&amp;"输出",标准坦克设计!$B$23:$U$23,0)))*(VLOOKUP($B92,INDIRECT($B$5&amp;"生成成长"),3))*(VLOOKUP($B$5,标准坦克设计!$B$14:$K$20,9)/30))</f>
        <v>40.148616436337591</v>
      </c>
      <c r="FI92" s="172">
        <f ca="1">(VLOOKUP(FI$72,INDIRECT($C$5&amp;"生成成长"),2))/((VLOOKUP($B92,INDIRECT($B$5&amp;"生成成长"),4))/(VLOOKUP(FI$72,INDIRECT($C$5&amp;"生成成长"),5))*(VLOOKUP($B$5,标准坦克设计!$B$24:$U$30,MATCH("对"&amp;LEFT($C$5,2)&amp;"输出",标准坦克设计!$B$23:$U$23,0)))*(VLOOKUP($B92,INDIRECT($B$5&amp;"生成成长"),3))*(VLOOKUP($B$5,标准坦克设计!$B$14:$K$20,9)/30))</f>
        <v>42.539542659102956</v>
      </c>
      <c r="FJ92" s="172">
        <f ca="1">(VLOOKUP(FJ$72,INDIRECT($C$5&amp;"生成成长"),2))/((VLOOKUP($B92,INDIRECT($B$5&amp;"生成成长"),4))/(VLOOKUP(FJ$72,INDIRECT($C$5&amp;"生成成长"),5))*(VLOOKUP($B$5,标准坦克设计!$B$24:$U$30,MATCH("对"&amp;LEFT($C$5,2)&amp;"输出",标准坦克设计!$B$23:$U$23,0)))*(VLOOKUP($B92,INDIRECT($B$5&amp;"生成成长"),3))*(VLOOKUP($B$5,标准坦克设计!$B$14:$K$20,9)/30))</f>
        <v>44.99961691500723</v>
      </c>
      <c r="FK92" s="172">
        <f ca="1">(VLOOKUP(FK$72,INDIRECT($C$5&amp;"生成成长"),2))/((VLOOKUP($B92,INDIRECT($B$5&amp;"生成成长"),4))/(VLOOKUP(FK$72,INDIRECT($C$5&amp;"生成成长"),5))*(VLOOKUP($B$5,标准坦克设计!$B$24:$U$30,MATCH("对"&amp;LEFT($C$5,2)&amp;"输出",标准坦克设计!$B$23:$U$23,0)))*(VLOOKUP($B92,INDIRECT($B$5&amp;"生成成长"),3))*(VLOOKUP($B$5,标准坦克设计!$B$14:$K$20,9)/30))</f>
        <v>47.528839204050449</v>
      </c>
    </row>
    <row r="93" spans="1:167" x14ac:dyDescent="0.15">
      <c r="A93" s="170" t="str">
        <f t="shared" si="11"/>
        <v>T3低品质9级</v>
      </c>
      <c r="B93" s="171">
        <v>10309</v>
      </c>
      <c r="C93" s="172">
        <f ca="1">(VLOOKUP(C$72,INDIRECT($C$5&amp;"生成成长"),2))/((VLOOKUP($B93,INDIRECT($B$5&amp;"生成成长"),4))/(VLOOKUP(C$72,INDIRECT($C$5&amp;"生成成长"),5))*(VLOOKUP($B$5,标准坦克设计!$B$24:$U$30,MATCH("对"&amp;LEFT($C$5,2)&amp;"输出",标准坦克设计!$B$23:$U$23,0)))*(VLOOKUP($B93,INDIRECT($B$5&amp;"生成成长"),3))*(VLOOKUP($B$5,标准坦克设计!$B$14:$K$20,9)/30))</f>
        <v>1.8763044824011774</v>
      </c>
      <c r="D93" s="172">
        <f ca="1">(VLOOKUP(D$72,INDIRECT($C$5&amp;"生成成长"),2))/((VLOOKUP($B93,INDIRECT($B$5&amp;"生成成长"),4))/(VLOOKUP(D$72,INDIRECT($C$5&amp;"生成成长"),5))*(VLOOKUP($B$5,标准坦克设计!$B$24:$U$30,MATCH("对"&amp;LEFT($C$5,2)&amp;"输出",标准坦克设计!$B$23:$U$23,0)))*(VLOOKUP($B93,INDIRECT($B$5&amp;"生成成长"),3))*(VLOOKUP($B$5,标准坦克设计!$B$14:$K$20,9)/30))</f>
        <v>2.1082157164259625</v>
      </c>
      <c r="E93" s="172">
        <f ca="1">(VLOOKUP(E$72,INDIRECT($C$5&amp;"生成成长"),2))/((VLOOKUP($B93,INDIRECT($B$5&amp;"生成成长"),4))/(VLOOKUP(E$72,INDIRECT($C$5&amp;"生成成长"),5))*(VLOOKUP($B$5,标准坦克设计!$B$24:$U$30,MATCH("对"&amp;LEFT($C$5,2)&amp;"输出",标准坦克设计!$B$23:$U$23,0)))*(VLOOKUP($B93,INDIRECT($B$5&amp;"生成成长"),3))*(VLOOKUP($B$5,标准坦克设计!$B$14:$K$20,9)/30))</f>
        <v>2.3536363427240365</v>
      </c>
      <c r="F93" s="172">
        <f ca="1">(VLOOKUP(F$72,INDIRECT($C$5&amp;"生成成长"),2))/((VLOOKUP($B93,INDIRECT($B$5&amp;"生成成长"),4))/(VLOOKUP(F$72,INDIRECT($C$5&amp;"生成成长"),5))*(VLOOKUP($B$5,标准坦克设计!$B$24:$U$30,MATCH("对"&amp;LEFT($C$5,2)&amp;"输出",标准坦克设计!$B$23:$U$23,0)))*(VLOOKUP($B93,INDIRECT($B$5&amp;"生成成长"),3))*(VLOOKUP($B$5,标准坦克设计!$B$14:$K$20,9)/30))</f>
        <v>2.6125663612953987</v>
      </c>
      <c r="G93" s="172">
        <f ca="1">(VLOOKUP(G$72,INDIRECT($C$5&amp;"生成成长"),2))/((VLOOKUP($B93,INDIRECT($B$5&amp;"生成成长"),4))/(VLOOKUP(G$72,INDIRECT($C$5&amp;"生成成长"),5))*(VLOOKUP($B$5,标准坦克设计!$B$24:$U$30,MATCH("对"&amp;LEFT($C$5,2)&amp;"输出",标准坦克设计!$B$23:$U$23,0)))*(VLOOKUP($B93,INDIRECT($B$5&amp;"生成成长"),3))*(VLOOKUP($B$5,标准坦克设计!$B$14:$K$20,9)/30))</f>
        <v>2.8850057721400502</v>
      </c>
      <c r="H93" s="172">
        <f ca="1">(VLOOKUP(H$72,INDIRECT($C$5&amp;"生成成长"),2))/((VLOOKUP($B93,INDIRECT($B$5&amp;"生成成长"),4))/(VLOOKUP(H$72,INDIRECT($C$5&amp;"生成成长"),5))*(VLOOKUP($B$5,标准坦克设计!$B$24:$U$30,MATCH("对"&amp;LEFT($C$5,2)&amp;"输出",标准坦克设计!$B$23:$U$23,0)))*(VLOOKUP($B93,INDIRECT($B$5&amp;"生成成长"),3))*(VLOOKUP($B$5,标准坦克设计!$B$14:$K$20,9)/30))</f>
        <v>2.5247553115190238</v>
      </c>
      <c r="I93" s="172">
        <f ca="1">(VLOOKUP(I$72,INDIRECT($C$5&amp;"生成成长"),2))/((VLOOKUP($B93,INDIRECT($B$5&amp;"生成成长"),4))/(VLOOKUP(I$72,INDIRECT($C$5&amp;"生成成长"),5))*(VLOOKUP($B$5,标准坦克设计!$B$24:$U$30,MATCH("对"&amp;LEFT($C$5,2)&amp;"输出",标准坦克设计!$B$23:$U$23,0)))*(VLOOKUP($B93,INDIRECT($B$5&amp;"生成成长"),3))*(VLOOKUP($B$5,标准坦克设计!$B$14:$K$20,9)/30))</f>
        <v>2.8850057721400502</v>
      </c>
      <c r="J93" s="172">
        <f ca="1">(VLOOKUP(J$72,INDIRECT($C$5&amp;"生成成长"),2))/((VLOOKUP($B93,INDIRECT($B$5&amp;"生成成长"),4))/(VLOOKUP(J$72,INDIRECT($C$5&amp;"生成成长"),5))*(VLOOKUP($B$5,标准坦克设计!$B$24:$U$30,MATCH("对"&amp;LEFT($C$5,2)&amp;"输出",标准坦克设计!$B$23:$U$23,0)))*(VLOOKUP($B93,INDIRECT($B$5&amp;"生成成长"),3))*(VLOOKUP($B$5,标准坦克设计!$B$14:$K$20,9)/30))</f>
        <v>3.269272930135811</v>
      </c>
      <c r="K93" s="172">
        <f ca="1">(VLOOKUP(K$72,INDIRECT($C$5&amp;"生成成长"),2))/((VLOOKUP($B93,INDIRECT($B$5&amp;"生成成长"),4))/(VLOOKUP(K$72,INDIRECT($C$5&amp;"生成成长"),5))*(VLOOKUP($B$5,标准坦克设计!$B$24:$U$30,MATCH("对"&amp;LEFT($C$5,2)&amp;"输出",标准坦克设计!$B$23:$U$23,0)))*(VLOOKUP($B93,INDIRECT($B$5&amp;"生成成长"),3))*(VLOOKUP($B$5,标准坦克设计!$B$14:$K$20,9)/30))</f>
        <v>3.6775567855063067</v>
      </c>
      <c r="L93" s="172">
        <f ca="1">(VLOOKUP(L$72,INDIRECT($C$5&amp;"生成成长"),2))/((VLOOKUP($B93,INDIRECT($B$5&amp;"生成成长"),4))/(VLOOKUP(L$72,INDIRECT($C$5&amp;"生成成长"),5))*(VLOOKUP($B$5,标准坦克设计!$B$24:$U$30,MATCH("对"&amp;LEFT($C$5,2)&amp;"输出",标准坦克设计!$B$23:$U$23,0)))*(VLOOKUP($B93,INDIRECT($B$5&amp;"生成成长"),3))*(VLOOKUP($B$5,标准坦克设计!$B$14:$K$20,9)/30))</f>
        <v>4.1098573382515386</v>
      </c>
      <c r="M93" s="172">
        <f ca="1">(VLOOKUP(M$72,INDIRECT($C$5&amp;"生成成长"),2))/((VLOOKUP($B93,INDIRECT($B$5&amp;"生成成长"),4))/(VLOOKUP(M$72,INDIRECT($C$5&amp;"生成成长"),5))*(VLOOKUP($B$5,标准坦克设计!$B$24:$U$30,MATCH("对"&amp;LEFT($C$5,2)&amp;"输出",标准坦克设计!$B$23:$U$23,0)))*(VLOOKUP($B93,INDIRECT($B$5&amp;"生成成长"),3))*(VLOOKUP($B$5,标准坦克设计!$B$14:$K$20,9)/30))</f>
        <v>4.5661745883715046</v>
      </c>
      <c r="N93" s="172">
        <f ca="1">(VLOOKUP(N$72,INDIRECT($C$5&amp;"生成成长"),2))/((VLOOKUP($B93,INDIRECT($B$5&amp;"生成成长"),4))/(VLOOKUP(N$72,INDIRECT($C$5&amp;"生成成长"),5))*(VLOOKUP($B$5,标准坦克设计!$B$24:$U$30,MATCH("对"&amp;LEFT($C$5,2)&amp;"输出",标准坦克设计!$B$23:$U$23,0)))*(VLOOKUP($B93,INDIRECT($B$5&amp;"生成成长"),3))*(VLOOKUP($B$5,标准坦克设计!$B$14:$K$20,9)/30))</f>
        <v>5.0465085358662058</v>
      </c>
      <c r="O93" s="172">
        <f ca="1">(VLOOKUP(O$72,INDIRECT($C$5&amp;"生成成长"),2))/((VLOOKUP($B93,INDIRECT($B$5&amp;"生成成长"),4))/(VLOOKUP(O$72,INDIRECT($C$5&amp;"生成成长"),5))*(VLOOKUP($B$5,标准坦克设计!$B$24:$U$30,MATCH("对"&amp;LEFT($C$5,2)&amp;"输出",标准坦克设计!$B$23:$U$23,0)))*(VLOOKUP($B93,INDIRECT($B$5&amp;"生成成长"),3))*(VLOOKUP($B$5,标准坦克设计!$B$14:$K$20,9)/30))</f>
        <v>3.8368550360621669</v>
      </c>
      <c r="P93" s="172">
        <f ca="1">(VLOOKUP(P$72,INDIRECT($C$5&amp;"生成成长"),2))/((VLOOKUP($B93,INDIRECT($B$5&amp;"生成成长"),4))/(VLOOKUP(P$72,INDIRECT($C$5&amp;"生成成长"),5))*(VLOOKUP($B$5,标准坦克设计!$B$24:$U$30,MATCH("对"&amp;LEFT($C$5,2)&amp;"输出",标准坦克设计!$B$23:$U$23,0)))*(VLOOKUP($B93,INDIRECT($B$5&amp;"生成成长"),3))*(VLOOKUP($B$5,标准坦克设计!$B$14:$K$20,9)/30))</f>
        <v>4.3350138761396781</v>
      </c>
      <c r="Q93" s="172">
        <f ca="1">(VLOOKUP(Q$72,INDIRECT($C$5&amp;"生成成长"),2))/((VLOOKUP($B93,INDIRECT($B$5&amp;"生成成长"),4))/(VLOOKUP(Q$72,INDIRECT($C$5&amp;"生成成长"),5))*(VLOOKUP($B$5,标准坦克设计!$B$24:$U$30,MATCH("对"&amp;LEFT($C$5,2)&amp;"输出",标准坦克设计!$B$23:$U$23,0)))*(VLOOKUP($B93,INDIRECT($B$5&amp;"生成成长"),3))*(VLOOKUP($B$5,标准坦克设计!$B$14:$K$20,9)/30))</f>
        <v>4.8635688488320907</v>
      </c>
      <c r="R93" s="172">
        <f ca="1">(VLOOKUP(R$72,INDIRECT($C$5&amp;"生成成长"),2))/((VLOOKUP($B93,INDIRECT($B$5&amp;"生成成长"),4))/(VLOOKUP(R$72,INDIRECT($C$5&amp;"生成成长"),5))*(VLOOKUP($B$5,标准坦克设计!$B$24:$U$30,MATCH("对"&amp;LEFT($C$5,2)&amp;"输出",标准坦克设计!$B$23:$U$23,0)))*(VLOOKUP($B93,INDIRECT($B$5&amp;"生成成长"),3))*(VLOOKUP($B$5,标准坦克设计!$B$14:$K$20,9)/30))</f>
        <v>5.4225199541394016</v>
      </c>
      <c r="S93" s="172">
        <f ca="1">(VLOOKUP(S$72,INDIRECT($C$5&amp;"生成成长"),2))/((VLOOKUP($B93,INDIRECT($B$5&amp;"生成成长"),4))/(VLOOKUP(S$72,INDIRECT($C$5&amp;"生成成长"),5))*(VLOOKUP($B$5,标准坦克设计!$B$24:$U$30,MATCH("对"&amp;LEFT($C$5,2)&amp;"输出",标准坦克设计!$B$23:$U$23,0)))*(VLOOKUP($B93,INDIRECT($B$5&amp;"生成成长"),3))*(VLOOKUP($B$5,标准坦克设计!$B$14:$K$20,9)/30))</f>
        <v>6.0118671920616116</v>
      </c>
      <c r="T93" s="172">
        <f ca="1">(VLOOKUP(T$72,INDIRECT($C$5&amp;"生成成长"),2))/((VLOOKUP($B93,INDIRECT($B$5&amp;"生成成长"),4))/(VLOOKUP(T$72,INDIRECT($C$5&amp;"生成成长"),5))*(VLOOKUP($B$5,标准坦克设计!$B$24:$U$30,MATCH("对"&amp;LEFT($C$5,2)&amp;"输出",标准坦克设计!$B$23:$U$23,0)))*(VLOOKUP($B93,INDIRECT($B$5&amp;"生成成长"),3))*(VLOOKUP($B$5,标准坦克设计!$B$14:$K$20,9)/30))</f>
        <v>6.6316105625987198</v>
      </c>
      <c r="U93" s="172">
        <f ca="1">(VLOOKUP(U$72,INDIRECT($C$5&amp;"生成成长"),2))/((VLOOKUP($B93,INDIRECT($B$5&amp;"生成成长"),4))/(VLOOKUP(U$72,INDIRECT($C$5&amp;"生成成长"),5))*(VLOOKUP($B$5,标准坦克设计!$B$24:$U$30,MATCH("对"&amp;LEFT($C$5,2)&amp;"输出",标准坦克设计!$B$23:$U$23,0)))*(VLOOKUP($B93,INDIRECT($B$5&amp;"生成成长"),3))*(VLOOKUP($B$5,标准坦克设计!$B$14:$K$20,9)/30))</f>
        <v>7.2817500657507264</v>
      </c>
      <c r="V93" s="172">
        <f ca="1">(VLOOKUP(V$72,INDIRECT($C$5&amp;"生成成长"),2))/((VLOOKUP($B93,INDIRECT($B$5&amp;"生成成长"),4))/(VLOOKUP(V$72,INDIRECT($C$5&amp;"生成成长"),5))*(VLOOKUP($B$5,标准坦克设计!$B$24:$U$30,MATCH("对"&amp;LEFT($C$5,2)&amp;"输出",标准坦克设计!$B$23:$U$23,0)))*(VLOOKUP($B93,INDIRECT($B$5&amp;"生成成长"),3))*(VLOOKUP($B$5,标准坦克设计!$B$14:$K$20,9)/30))</f>
        <v>7.9622857015176347</v>
      </c>
      <c r="W93" s="172">
        <f ca="1">(VLOOKUP(W$72,INDIRECT($C$5&amp;"生成成长"),2))/((VLOOKUP($B93,INDIRECT($B$5&amp;"生成成长"),4))/(VLOOKUP(W$72,INDIRECT($C$5&amp;"生成成长"),5))*(VLOOKUP($B$5,标准坦克设计!$B$24:$U$30,MATCH("对"&amp;LEFT($C$5,2)&amp;"输出",标准坦克设计!$B$23:$U$23,0)))*(VLOOKUP($B93,INDIRECT($B$5&amp;"生成成长"),3))*(VLOOKUP($B$5,标准坦克设计!$B$14:$K$20,9)/30))</f>
        <v>8.6732174698994413</v>
      </c>
      <c r="X93" s="172">
        <f ca="1">(VLOOKUP(X$72,INDIRECT($C$5&amp;"生成成长"),2))/((VLOOKUP($B93,INDIRECT($B$5&amp;"生成成长"),4))/(VLOOKUP(X$72,INDIRECT($C$5&amp;"生成成长"),5))*(VLOOKUP($B$5,标准坦克设计!$B$24:$U$30,MATCH("对"&amp;LEFT($C$5,2)&amp;"输出",标准坦克设计!$B$23:$U$23,0)))*(VLOOKUP($B93,INDIRECT($B$5&amp;"生成成长"),3))*(VLOOKUP($B$5,标准坦克设计!$B$14:$K$20,9)/30))</f>
        <v>6.2835560811133009</v>
      </c>
      <c r="Y93" s="172">
        <f ca="1">(VLOOKUP(Y$72,INDIRECT($C$5&amp;"生成成长"),2))/((VLOOKUP($B93,INDIRECT($B$5&amp;"生成成长"),4))/(VLOOKUP(Y$72,INDIRECT($C$5&amp;"生成成长"),5))*(VLOOKUP($B$5,标准坦克设计!$B$24:$U$30,MATCH("对"&amp;LEFT($C$5,2)&amp;"输出",标准坦克设计!$B$23:$U$23,0)))*(VLOOKUP($B93,INDIRECT($B$5&amp;"生成成长"),3))*(VLOOKUP($B$5,标准坦克设计!$B$14:$K$20,9)/30))</f>
        <v>6.9890465664961443</v>
      </c>
      <c r="Z93" s="172">
        <f ca="1">(VLOOKUP(Z$72,INDIRECT($C$5&amp;"生成成长"),2))/((VLOOKUP($B93,INDIRECT($B$5&amp;"生成成长"),4))/(VLOOKUP(Z$72,INDIRECT($C$5&amp;"生成成长"),5))*(VLOOKUP($B$5,标准坦克设计!$B$24:$U$30,MATCH("对"&amp;LEFT($C$5,2)&amp;"输出",标准坦克设计!$B$23:$U$23,0)))*(VLOOKUP($B93,INDIRECT($B$5&amp;"生成成长"),3))*(VLOOKUP($B$5,标准坦克设计!$B$14:$K$20,9)/30))</f>
        <v>7.7320631415270107</v>
      </c>
      <c r="AA93" s="172">
        <f ca="1">(VLOOKUP(AA$72,INDIRECT($C$5&amp;"生成成长"),2))/((VLOOKUP($B93,INDIRECT($B$5&amp;"生成成长"),4))/(VLOOKUP(AA$72,INDIRECT($C$5&amp;"生成成长"),5))*(VLOOKUP($B$5,标准坦克设计!$B$24:$U$30,MATCH("对"&amp;LEFT($C$5,2)&amp;"输出",标准坦克设计!$B$23:$U$23,0)))*(VLOOKUP($B93,INDIRECT($B$5&amp;"生成成长"),3))*(VLOOKUP($B$5,标准坦克设计!$B$14:$K$20,9)/30))</f>
        <v>8.5126058062059009</v>
      </c>
      <c r="AB93" s="172">
        <f ca="1">(VLOOKUP(AB$72,INDIRECT($C$5&amp;"生成成长"),2))/((VLOOKUP($B93,INDIRECT($B$5&amp;"生成成长"),4))/(VLOOKUP(AB$72,INDIRECT($C$5&amp;"生成成长"),5))*(VLOOKUP($B$5,标准坦克设计!$B$24:$U$30,MATCH("对"&amp;LEFT($C$5,2)&amp;"输出",标准坦克设计!$B$23:$U$23,0)))*(VLOOKUP($B93,INDIRECT($B$5&amp;"生成成长"),3))*(VLOOKUP($B$5,标准坦克设计!$B$14:$K$20,9)/30))</f>
        <v>9.3306745605328132</v>
      </c>
      <c r="AC93" s="172">
        <f ca="1">(VLOOKUP(AC$72,INDIRECT($C$5&amp;"生成成长"),2))/((VLOOKUP($B93,INDIRECT($B$5&amp;"生成成长"),4))/(VLOOKUP(AC$72,INDIRECT($C$5&amp;"生成成长"),5))*(VLOOKUP($B$5,标准坦克设计!$B$24:$U$30,MATCH("对"&amp;LEFT($C$5,2)&amp;"输出",标准坦克设计!$B$23:$U$23,0)))*(VLOOKUP($B93,INDIRECT($B$5&amp;"生成成长"),3))*(VLOOKUP($B$5,标准坦克设计!$B$14:$K$20,9)/30))</f>
        <v>10.186269404507749</v>
      </c>
      <c r="AD93" s="172">
        <f ca="1">(VLOOKUP(AD$72,INDIRECT($C$5&amp;"生成成长"),2))/((VLOOKUP($B93,INDIRECT($B$5&amp;"生成成长"),4))/(VLOOKUP(AD$72,INDIRECT($C$5&amp;"生成成长"),5))*(VLOOKUP($B$5,标准坦克设计!$B$24:$U$30,MATCH("对"&amp;LEFT($C$5,2)&amp;"输出",标准坦克设计!$B$23:$U$23,0)))*(VLOOKUP($B93,INDIRECT($B$5&amp;"生成成长"),3))*(VLOOKUP($B$5,标准坦克设计!$B$14:$K$20,9)/30))</f>
        <v>11.079390338130711</v>
      </c>
      <c r="AE93" s="172">
        <f ca="1">(VLOOKUP(AE$72,INDIRECT($C$5&amp;"生成成长"),2))/((VLOOKUP($B93,INDIRECT($B$5&amp;"生成成长"),4))/(VLOOKUP(AE$72,INDIRECT($C$5&amp;"生成成长"),5))*(VLOOKUP($B$5,标准坦克设计!$B$24:$U$30,MATCH("对"&amp;LEFT($C$5,2)&amp;"输出",标准坦克设计!$B$23:$U$23,0)))*(VLOOKUP($B93,INDIRECT($B$5&amp;"生成成长"),3))*(VLOOKUP($B$5,标准坦克设计!$B$14:$K$20,9)/30))</f>
        <v>12.010037361401691</v>
      </c>
      <c r="AF93" s="172">
        <f ca="1">(VLOOKUP(AF$72,INDIRECT($C$5&amp;"生成成长"),2))/((VLOOKUP($B93,INDIRECT($B$5&amp;"生成成长"),4))/(VLOOKUP(AF$72,INDIRECT($C$5&amp;"生成成长"),5))*(VLOOKUP($B$5,标准坦克设计!$B$24:$U$30,MATCH("对"&amp;LEFT($C$5,2)&amp;"输出",标准坦克设计!$B$23:$U$23,0)))*(VLOOKUP($B93,INDIRECT($B$5&amp;"生成成长"),3))*(VLOOKUP($B$5,标准坦克设计!$B$14:$K$20,9)/30))</f>
        <v>12.978210474320701</v>
      </c>
      <c r="AG93" s="172">
        <f ca="1">(VLOOKUP(AG$72,INDIRECT($C$5&amp;"生成成长"),2))/((VLOOKUP($B93,INDIRECT($B$5&amp;"生成成长"),4))/(VLOOKUP(AG$72,INDIRECT($C$5&amp;"生成成长"),5))*(VLOOKUP($B$5,标准坦克设计!$B$24:$U$30,MATCH("对"&amp;LEFT($C$5,2)&amp;"输出",标准坦克设计!$B$23:$U$23,0)))*(VLOOKUP($B93,INDIRECT($B$5&amp;"生成成长"),3))*(VLOOKUP($B$5,标准坦克设计!$B$14:$K$20,9)/30))</f>
        <v>13.983909676887732</v>
      </c>
      <c r="AH93" s="172">
        <f ca="1">(VLOOKUP(AH$72,INDIRECT($C$5&amp;"生成成长"),2))/((VLOOKUP($B93,INDIRECT($B$5&amp;"生成成长"),4))/(VLOOKUP(AH$72,INDIRECT($C$5&amp;"生成成长"),5))*(VLOOKUP($B$5,标准坦克设计!$B$24:$U$30,MATCH("对"&amp;LEFT($C$5,2)&amp;"输出",标准坦克设计!$B$23:$U$23,0)))*(VLOOKUP($B93,INDIRECT($B$5&amp;"生成成长"),3))*(VLOOKUP($B$5,标准坦克设计!$B$14:$K$20,9)/30))</f>
        <v>15.027134969102788</v>
      </c>
      <c r="AI93" s="172">
        <f ca="1">(VLOOKUP(AI$72,INDIRECT($C$5&amp;"生成成长"),2))/((VLOOKUP($B93,INDIRECT($B$5&amp;"生成成长"),4))/(VLOOKUP(AI$72,INDIRECT($C$5&amp;"生成成长"),5))*(VLOOKUP($B$5,标准坦克设计!$B$24:$U$30,MATCH("对"&amp;LEFT($C$5,2)&amp;"输出",标准坦克设计!$B$23:$U$23,0)))*(VLOOKUP($B93,INDIRECT($B$5&amp;"生成成长"),3))*(VLOOKUP($B$5,标准坦克设计!$B$14:$K$20,9)/30))</f>
        <v>10.628139110113228</v>
      </c>
      <c r="AJ93" s="172">
        <f ca="1">(VLOOKUP(AJ$72,INDIRECT($C$5&amp;"生成成长"),2))/((VLOOKUP($B93,INDIRECT($B$5&amp;"生成成长"),4))/(VLOOKUP(AJ$72,INDIRECT($C$5&amp;"生成成长"),5))*(VLOOKUP($B$5,标准坦克设计!$B$24:$U$30,MATCH("对"&amp;LEFT($C$5,2)&amp;"输出",标准坦克设计!$B$23:$U$23,0)))*(VLOOKUP($B93,INDIRECT($B$5&amp;"生成成长"),3))*(VLOOKUP($B$5,标准坦克设计!$B$14:$K$20,9)/30))</f>
        <v>11.633275421335538</v>
      </c>
      <c r="AK93" s="172">
        <f ca="1">(VLOOKUP(AK$72,INDIRECT($C$5&amp;"生成成长"),2))/((VLOOKUP($B93,INDIRECT($B$5&amp;"生成成长"),4))/(VLOOKUP(AK$72,INDIRECT($C$5&amp;"生成成长"),5))*(VLOOKUP($B$5,标准坦克设计!$B$24:$U$30,MATCH("对"&amp;LEFT($C$5,2)&amp;"输出",标准坦克设计!$B$23:$U$23,0)))*(VLOOKUP($B93,INDIRECT($B$5&amp;"生成成长"),3))*(VLOOKUP($B$5,标准坦克设计!$B$14:$K$20,9)/30))</f>
        <v>12.683818301031957</v>
      </c>
      <c r="AL93" s="172">
        <f ca="1">(VLOOKUP(AL$72,INDIRECT($C$5&amp;"生成成长"),2))/((VLOOKUP($B93,INDIRECT($B$5&amp;"生成成长"),4))/(VLOOKUP(AL$72,INDIRECT($C$5&amp;"生成成长"),5))*(VLOOKUP($B$5,标准坦克设计!$B$24:$U$30,MATCH("对"&amp;LEFT($C$5,2)&amp;"输出",标准坦克设计!$B$23:$U$23,0)))*(VLOOKUP($B93,INDIRECT($B$5&amp;"生成成长"),3))*(VLOOKUP($B$5,标准坦克设计!$B$14:$K$20,9)/30))</f>
        <v>13.779767749202483</v>
      </c>
      <c r="AM93" s="172">
        <f ca="1">(VLOOKUP(AM$72,INDIRECT($C$5&amp;"生成成长"),2))/((VLOOKUP($B93,INDIRECT($B$5&amp;"生成成长"),4))/(VLOOKUP(AM$72,INDIRECT($C$5&amp;"生成成长"),5))*(VLOOKUP($B$5,标准坦克设计!$B$24:$U$30,MATCH("对"&amp;LEFT($C$5,2)&amp;"输出",标准坦克设计!$B$23:$U$23,0)))*(VLOOKUP($B93,INDIRECT($B$5&amp;"生成成长"),3))*(VLOOKUP($B$5,标准坦克设计!$B$14:$K$20,9)/30))</f>
        <v>14.921123765847119</v>
      </c>
      <c r="AN93" s="172">
        <f ca="1">(VLOOKUP(AN$72,INDIRECT($C$5&amp;"生成成长"),2))/((VLOOKUP($B93,INDIRECT($B$5&amp;"生成成长"),4))/(VLOOKUP(AN$72,INDIRECT($C$5&amp;"生成成长"),5))*(VLOOKUP($B$5,标准坦克设计!$B$24:$U$30,MATCH("对"&amp;LEFT($C$5,2)&amp;"输出",标准坦克设计!$B$23:$U$23,0)))*(VLOOKUP($B93,INDIRECT($B$5&amp;"生成成长"),3))*(VLOOKUP($B$5,标准坦克设计!$B$14:$K$20,9)/30))</f>
        <v>16.107886350965863</v>
      </c>
      <c r="AO93" s="172">
        <f ca="1">(VLOOKUP(AO$72,INDIRECT($C$5&amp;"生成成长"),2))/((VLOOKUP($B93,INDIRECT($B$5&amp;"生成成长"),4))/(VLOOKUP(AO$72,INDIRECT($C$5&amp;"生成成长"),5))*(VLOOKUP($B$5,标准坦克设计!$B$24:$U$30,MATCH("对"&amp;LEFT($C$5,2)&amp;"输出",标准坦克设计!$B$23:$U$23,0)))*(VLOOKUP($B93,INDIRECT($B$5&amp;"生成成长"),3))*(VLOOKUP($B$5,标准坦克设计!$B$14:$K$20,9)/30))</f>
        <v>17.340055504558713</v>
      </c>
      <c r="AP93" s="172">
        <f ca="1">(VLOOKUP(AP$72,INDIRECT($C$5&amp;"生成成长"),2))/((VLOOKUP($B93,INDIRECT($B$5&amp;"生成成长"),4))/(VLOOKUP(AP$72,INDIRECT($C$5&amp;"生成成长"),5))*(VLOOKUP($B$5,标准坦克设计!$B$24:$U$30,MATCH("对"&amp;LEFT($C$5,2)&amp;"输出",标准坦克设计!$B$23:$U$23,0)))*(VLOOKUP($B93,INDIRECT($B$5&amp;"生成成长"),3))*(VLOOKUP($B$5,标准坦克设计!$B$14:$K$20,9)/30))</f>
        <v>18.617631226625679</v>
      </c>
      <c r="AQ93" s="172">
        <f ca="1">(VLOOKUP(AQ$72,INDIRECT($C$5&amp;"生成成长"),2))/((VLOOKUP($B93,INDIRECT($B$5&amp;"生成成长"),4))/(VLOOKUP(AQ$72,INDIRECT($C$5&amp;"生成成长"),5))*(VLOOKUP($B$5,标准坦克设计!$B$24:$U$30,MATCH("对"&amp;LEFT($C$5,2)&amp;"输出",标准坦克设计!$B$23:$U$23,0)))*(VLOOKUP($B93,INDIRECT($B$5&amp;"生成成长"),3))*(VLOOKUP($B$5,标准坦克设计!$B$14:$K$20,9)/30))</f>
        <v>19.940613517166749</v>
      </c>
      <c r="AR93" s="172">
        <f ca="1">(VLOOKUP(AR$72,INDIRECT($C$5&amp;"生成成长"),2))/((VLOOKUP($B93,INDIRECT($B$5&amp;"生成成长"),4))/(VLOOKUP(AR$72,INDIRECT($C$5&amp;"生成成长"),5))*(VLOOKUP($B$5,标准坦克设计!$B$24:$U$30,MATCH("对"&amp;LEFT($C$5,2)&amp;"输出",标准坦克设计!$B$23:$U$23,0)))*(VLOOKUP($B93,INDIRECT($B$5&amp;"生成成长"),3))*(VLOOKUP($B$5,标准坦克设计!$B$14:$K$20,9)/30))</f>
        <v>21.309002376181926</v>
      </c>
      <c r="AS93" s="172">
        <f ca="1">(VLOOKUP(AS$72,INDIRECT($C$5&amp;"生成成长"),2))/((VLOOKUP($B93,INDIRECT($B$5&amp;"生成成长"),4))/(VLOOKUP(AS$72,INDIRECT($C$5&amp;"生成成长"),5))*(VLOOKUP($B$5,标准坦克设计!$B$24:$U$30,MATCH("对"&amp;LEFT($C$5,2)&amp;"输出",标准坦克设计!$B$23:$U$23,0)))*(VLOOKUP($B93,INDIRECT($B$5&amp;"生成成长"),3))*(VLOOKUP($B$5,标准坦克设计!$B$14:$K$20,9)/30))</f>
        <v>22.722797803671213</v>
      </c>
      <c r="AT93" s="172">
        <f ca="1">(VLOOKUP(AT$72,INDIRECT($C$5&amp;"生成成长"),2))/((VLOOKUP($B93,INDIRECT($B$5&amp;"生成成长"),4))/(VLOOKUP(AT$72,INDIRECT($C$5&amp;"生成成长"),5))*(VLOOKUP($B$5,标准坦克设计!$B$24:$U$30,MATCH("对"&amp;LEFT($C$5,2)&amp;"输出",标准坦克设计!$B$23:$U$23,0)))*(VLOOKUP($B93,INDIRECT($B$5&amp;"生成成长"),3))*(VLOOKUP($B$5,标准坦克设计!$B$14:$K$20,9)/30))</f>
        <v>24.181999799634607</v>
      </c>
      <c r="AU93" s="172">
        <f ca="1">(VLOOKUP(AU$72,INDIRECT($C$5&amp;"生成成长"),2))/((VLOOKUP($B93,INDIRECT($B$5&amp;"生成成长"),4))/(VLOOKUP(AU$72,INDIRECT($C$5&amp;"生成成长"),5))*(VLOOKUP($B$5,标准坦克设计!$B$24:$U$30,MATCH("对"&amp;LEFT($C$5,2)&amp;"输出",标准坦克设计!$B$23:$U$23,0)))*(VLOOKUP($B93,INDIRECT($B$5&amp;"生成成长"),3))*(VLOOKUP($B$5,标准坦克设计!$B$14:$K$20,9)/30))</f>
        <v>25.686608364072118</v>
      </c>
      <c r="AV93" s="172">
        <f ca="1">(VLOOKUP(AV$72,INDIRECT($C$5&amp;"生成成长"),2))/((VLOOKUP($B93,INDIRECT($B$5&amp;"生成成长"),4))/(VLOOKUP(AV$72,INDIRECT($C$5&amp;"生成成长"),5))*(VLOOKUP($B$5,标准坦克设计!$B$24:$U$30,MATCH("对"&amp;LEFT($C$5,2)&amp;"输出",标准坦克设计!$B$23:$U$23,0)))*(VLOOKUP($B93,INDIRECT($B$5&amp;"生成成长"),3))*(VLOOKUP($B$5,标准坦克设计!$B$14:$K$20,9)/30))</f>
        <v>2.6125663612953987</v>
      </c>
      <c r="AW93" s="172">
        <f ca="1">(VLOOKUP(AW$72,INDIRECT($C$5&amp;"生成成长"),2))/((VLOOKUP($B93,INDIRECT($B$5&amp;"生成成长"),4))/(VLOOKUP(AW$72,INDIRECT($C$5&amp;"生成成长"),5))*(VLOOKUP($B$5,标准坦克设计!$B$24:$U$30,MATCH("对"&amp;LEFT($C$5,2)&amp;"输出",标准坦克设计!$B$23:$U$23,0)))*(VLOOKUP($B93,INDIRECT($B$5&amp;"生成成长"),3))*(VLOOKUP($B$5,标准坦克设计!$B$14:$K$20,9)/30))</f>
        <v>2.9788209962601093</v>
      </c>
      <c r="AX93" s="172">
        <f ca="1">(VLOOKUP(AX$72,INDIRECT($C$5&amp;"生成成长"),2))/((VLOOKUP($B93,INDIRECT($B$5&amp;"生成成长"),4))/(VLOOKUP(AX$72,INDIRECT($C$5&amp;"生成成长"),5))*(VLOOKUP($B$5,标准坦克设计!$B$24:$U$30,MATCH("对"&amp;LEFT($C$5,2)&amp;"输出",标准坦克设计!$B$23:$U$23,0)))*(VLOOKUP($B93,INDIRECT($B$5&amp;"生成成长"),3))*(VLOOKUP($B$5,标准坦克设计!$B$14:$K$20,9)/30))</f>
        <v>3.3690923285995531</v>
      </c>
      <c r="AY93" s="172">
        <f ca="1">(VLOOKUP(AY$72,INDIRECT($C$5&amp;"生成成长"),2))/((VLOOKUP($B93,INDIRECT($B$5&amp;"生成成长"),4))/(VLOOKUP(AY$72,INDIRECT($C$5&amp;"生成成长"),5))*(VLOOKUP($B$5,标准坦克设计!$B$24:$U$30,MATCH("对"&amp;LEFT($C$5,2)&amp;"输出",标准坦克设计!$B$23:$U$23,0)))*(VLOOKUP($B93,INDIRECT($B$5&amp;"生成成长"),3))*(VLOOKUP($B$5,标准坦克设计!$B$14:$K$20,9)/30))</f>
        <v>3.783380358313734</v>
      </c>
      <c r="AZ93" s="172">
        <f ca="1">(VLOOKUP(AZ$72,INDIRECT($C$5&amp;"生成成长"),2))/((VLOOKUP($B93,INDIRECT($B$5&amp;"生成成长"),4))/(VLOOKUP(AZ$72,INDIRECT($C$5&amp;"生成成长"),5))*(VLOOKUP($B$5,标准坦克设计!$B$24:$U$30,MATCH("对"&amp;LEFT($C$5,2)&amp;"输出",标准坦克设计!$B$23:$U$23,0)))*(VLOOKUP($B93,INDIRECT($B$5&amp;"生成成长"),3))*(VLOOKUP($B$5,标准坦克设计!$B$14:$K$20,9)/30))</f>
        <v>4.2216850854026484</v>
      </c>
      <c r="BA93" s="172">
        <f ca="1">(VLOOKUP(BA$72,INDIRECT($C$5&amp;"生成成长"),2))/((VLOOKUP($B93,INDIRECT($B$5&amp;"生成成长"),4))/(VLOOKUP(BA$72,INDIRECT($C$5&amp;"生成成长"),5))*(VLOOKUP($B$5,标准坦克设计!$B$24:$U$30,MATCH("对"&amp;LEFT($C$5,2)&amp;"输出",标准坦克设计!$B$23:$U$23,0)))*(VLOOKUP($B93,INDIRECT($B$5&amp;"生成成长"),3))*(VLOOKUP($B$5,标准坦克设计!$B$14:$K$20,9)/30))</f>
        <v>4.6840065098662986</v>
      </c>
      <c r="BB93" s="172">
        <f ca="1">(VLOOKUP(BB$72,INDIRECT($C$5&amp;"生成成长"),2))/((VLOOKUP($B93,INDIRECT($B$5&amp;"生成成长"),4))/(VLOOKUP(BB$72,INDIRECT($C$5&amp;"生成成长"),5))*(VLOOKUP($B$5,标准坦克设计!$B$24:$U$30,MATCH("对"&amp;LEFT($C$5,2)&amp;"输出",标准坦克设计!$B$23:$U$23,0)))*(VLOOKUP($B93,INDIRECT($B$5&amp;"生成成长"),3))*(VLOOKUP($B$5,标准坦克设计!$B$14:$K$20,9)/30))</f>
        <v>5.1703446317046842</v>
      </c>
      <c r="BC93" s="172">
        <f ca="1">(VLOOKUP(BC$72,INDIRECT($C$5&amp;"生成成长"),2))/((VLOOKUP($B93,INDIRECT($B$5&amp;"生成成长"),4))/(VLOOKUP(BC$72,INDIRECT($C$5&amp;"生成成长"),5))*(VLOOKUP($B$5,标准坦克设计!$B$24:$U$30,MATCH("对"&amp;LEFT($C$5,2)&amp;"输出",标准坦克设计!$B$23:$U$23,0)))*(VLOOKUP($B93,INDIRECT($B$5&amp;"生成成长"),3))*(VLOOKUP($B$5,标准坦克设计!$B$14:$K$20,9)/30))</f>
        <v>5.6806994509178033</v>
      </c>
      <c r="BD93" s="172">
        <f ca="1">(VLOOKUP(BD$72,INDIRECT($C$5&amp;"生成成长"),2))/((VLOOKUP($B93,INDIRECT($B$5&amp;"生成成长"),4))/(VLOOKUP(BD$72,INDIRECT($C$5&amp;"生成成长"),5))*(VLOOKUP($B$5,标准坦克设计!$B$24:$U$30,MATCH("对"&amp;LEFT($C$5,2)&amp;"输出",标准坦克设计!$B$23:$U$23,0)))*(VLOOKUP($B93,INDIRECT($B$5&amp;"生成成长"),3))*(VLOOKUP($B$5,标准坦克设计!$B$14:$K$20,9)/30))</f>
        <v>6.2835560811133009</v>
      </c>
      <c r="BE93" s="172">
        <f ca="1">(VLOOKUP(BE$72,INDIRECT($C$5&amp;"生成成长"),2))/((VLOOKUP($B93,INDIRECT($B$5&amp;"生成成长"),4))/(VLOOKUP(BE$72,INDIRECT($C$5&amp;"生成成长"),5))*(VLOOKUP($B$5,标准坦克设计!$B$24:$U$30,MATCH("对"&amp;LEFT($C$5,2)&amp;"输出",标准坦克设计!$B$23:$U$23,0)))*(VLOOKUP($B93,INDIRECT($B$5&amp;"生成成长"),3))*(VLOOKUP($B$5,标准坦克设计!$B$14:$K$20,9)/30))</f>
        <v>6.9168088439236977</v>
      </c>
      <c r="BF93" s="172">
        <f ca="1">(VLOOKUP(BF$72,INDIRECT($C$5&amp;"生成成长"),2))/((VLOOKUP($B93,INDIRECT($B$5&amp;"生成成长"),4))/(VLOOKUP(BF$72,INDIRECT($C$5&amp;"生成成长"),5))*(VLOOKUP($B$5,标准坦克设计!$B$24:$U$30,MATCH("对"&amp;LEFT($C$5,2)&amp;"输出",标准坦克设计!$B$23:$U$23,0)))*(VLOOKUP($B93,INDIRECT($B$5&amp;"生成成长"),3))*(VLOOKUP($B$5,标准坦克设计!$B$14:$K$20,9)/30))</f>
        <v>7.5804577393489971</v>
      </c>
      <c r="BG93" s="172">
        <f ca="1">(VLOOKUP(BG$72,INDIRECT($C$5&amp;"生成成长"),2))/((VLOOKUP($B93,INDIRECT($B$5&amp;"生成成长"),4))/(VLOOKUP(BG$72,INDIRECT($C$5&amp;"生成成长"),5))*(VLOOKUP($B$5,标准坦克设计!$B$24:$U$30,MATCH("对"&amp;LEFT($C$5,2)&amp;"输出",标准坦克设计!$B$23:$U$23,0)))*(VLOOKUP($B93,INDIRECT($B$5&amp;"生成成长"),3))*(VLOOKUP($B$5,标准坦克设计!$B$14:$K$20,9)/30))</f>
        <v>8.2745027673891904</v>
      </c>
      <c r="BH93" s="172">
        <f ca="1">(VLOOKUP(BH$72,INDIRECT($C$5&amp;"生成成长"),2))/((VLOOKUP($B93,INDIRECT($B$5&amp;"生成成长"),4))/(VLOOKUP(BH$72,INDIRECT($C$5&amp;"生成成长"),5))*(VLOOKUP($B$5,标准坦克设计!$B$24:$U$30,MATCH("对"&amp;LEFT($C$5,2)&amp;"输出",标准坦克设计!$B$23:$U$23,0)))*(VLOOKUP($B93,INDIRECT($B$5&amp;"生成成长"),3))*(VLOOKUP($B$5,标准坦克设计!$B$14:$K$20,9)/30))</f>
        <v>3.9995306346863488</v>
      </c>
      <c r="BI93" s="172">
        <f ca="1">(VLOOKUP(BI$72,INDIRECT($C$5&amp;"生成成长"),2))/((VLOOKUP($B93,INDIRECT($B$5&amp;"生成成长"),4))/(VLOOKUP(BI$72,INDIRECT($C$5&amp;"生成成长"),5))*(VLOOKUP($B$5,标准坦克设计!$B$24:$U$30,MATCH("对"&amp;LEFT($C$5,2)&amp;"输出",标准坦克设计!$B$23:$U$23,0)))*(VLOOKUP($B93,INDIRECT($B$5&amp;"生成成长"),3))*(VLOOKUP($B$5,标准坦克设计!$B$14:$K$20,9)/30))</f>
        <v>4.5078215189688269</v>
      </c>
      <c r="BJ93" s="172">
        <f ca="1">(VLOOKUP(BJ$72,INDIRECT($C$5&amp;"生成成长"),2))/((VLOOKUP($B93,INDIRECT($B$5&amp;"生成成长"),4))/(VLOOKUP(BJ$72,INDIRECT($C$5&amp;"生成成长"),5))*(VLOOKUP($B$5,标准坦克设计!$B$24:$U$30,MATCH("对"&amp;LEFT($C$5,2)&amp;"输出",标准坦克设计!$B$23:$U$23,0)))*(VLOOKUP($B93,INDIRECT($B$5&amp;"生成成长"),3))*(VLOOKUP($B$5,标准坦克设计!$B$14:$K$20,9)/30))</f>
        <v>5.0465085358662058</v>
      </c>
      <c r="BK93" s="172">
        <f ca="1">(VLOOKUP(BK$72,INDIRECT($C$5&amp;"生成成长"),2))/((VLOOKUP($B93,INDIRECT($B$5&amp;"生成成长"),4))/(VLOOKUP(BK$72,INDIRECT($C$5&amp;"生成成长"),5))*(VLOOKUP($B$5,标准坦克设计!$B$24:$U$30,MATCH("对"&amp;LEFT($C$5,2)&amp;"输出",标准坦克设计!$B$23:$U$23,0)))*(VLOOKUP($B93,INDIRECT($B$5&amp;"生成成长"),3))*(VLOOKUP($B$5,标准坦克设计!$B$14:$K$20,9)/30))</f>
        <v>5.6155916853784831</v>
      </c>
      <c r="BL93" s="172">
        <f ca="1">(VLOOKUP(BL$72,INDIRECT($C$5&amp;"生成成长"),2))/((VLOOKUP($B93,INDIRECT($B$5&amp;"生成成长"),4))/(VLOOKUP(BL$72,INDIRECT($C$5&amp;"生成成长"),5))*(VLOOKUP($B$5,标准坦克设计!$B$24:$U$30,MATCH("对"&amp;LEFT($C$5,2)&amp;"输出",标准坦克设计!$B$23:$U$23,0)))*(VLOOKUP($B93,INDIRECT($B$5&amp;"生成成长"),3))*(VLOOKUP($B$5,标准坦克设计!$B$14:$K$20,9)/30))</f>
        <v>6.2150709675056586</v>
      </c>
      <c r="BM93" s="172">
        <f ca="1">(VLOOKUP(BM$72,INDIRECT($C$5&amp;"生成成长"),2))/((VLOOKUP($B93,INDIRECT($B$5&amp;"生成成长"),4))/(VLOOKUP(BM$72,INDIRECT($C$5&amp;"生成成长"),5))*(VLOOKUP($B$5,标准坦克设计!$B$24:$U$30,MATCH("对"&amp;LEFT($C$5,2)&amp;"输出",标准坦克设计!$B$23:$U$23,0)))*(VLOOKUP($B93,INDIRECT($B$5&amp;"生成成长"),3))*(VLOOKUP($B$5,标准坦克设计!$B$14:$K$20,9)/30))</f>
        <v>6.8449463822477341</v>
      </c>
      <c r="BN93" s="172">
        <f ca="1">(VLOOKUP(BN$72,INDIRECT($C$5&amp;"生成成长"),2))/((VLOOKUP($B93,INDIRECT($B$5&amp;"生成成长"),4))/(VLOOKUP(BN$72,INDIRECT($C$5&amp;"生成成长"),5))*(VLOOKUP($B$5,标准坦克设计!$B$24:$U$30,MATCH("对"&amp;LEFT($C$5,2)&amp;"输出",标准坦克设计!$B$23:$U$23,0)))*(VLOOKUP($B93,INDIRECT($B$5&amp;"生成成长"),3))*(VLOOKUP($B$5,标准坦克设计!$B$14:$K$20,9)/30))</f>
        <v>7.5052179296047097</v>
      </c>
      <c r="BO93" s="172">
        <f ca="1">(VLOOKUP(BO$72,INDIRECT($C$5&amp;"生成成长"),2))/((VLOOKUP($B93,INDIRECT($B$5&amp;"生成成长"),4))/(VLOOKUP(BO$72,INDIRECT($C$5&amp;"生成成长"),5))*(VLOOKUP($B$5,标准坦克设计!$B$24:$U$30,MATCH("对"&amp;LEFT($C$5,2)&amp;"输出",标准坦克设计!$B$23:$U$23,0)))*(VLOOKUP($B93,INDIRECT($B$5&amp;"生成成长"),3))*(VLOOKUP($B$5,标准坦克设计!$B$14:$K$20,9)/30))</f>
        <v>8.1958856095765835</v>
      </c>
      <c r="BP93" s="172">
        <f ca="1">(VLOOKUP(BP$72,INDIRECT($C$5&amp;"生成成长"),2))/((VLOOKUP($B93,INDIRECT($B$5&amp;"生成成长"),4))/(VLOOKUP(BP$72,INDIRECT($C$5&amp;"生成成长"),5))*(VLOOKUP($B$5,标准坦克设计!$B$24:$U$30,MATCH("对"&amp;LEFT($C$5,2)&amp;"输出",标准坦克设计!$B$23:$U$23,0)))*(VLOOKUP($B93,INDIRECT($B$5&amp;"生成成长"),3))*(VLOOKUP($B$5,标准坦克设计!$B$14:$K$20,9)/30))</f>
        <v>8.9169494221633538</v>
      </c>
      <c r="BQ93" s="172">
        <f ca="1">(VLOOKUP(BQ$72,INDIRECT($C$5&amp;"生成成长"),2))/((VLOOKUP($B93,INDIRECT($B$5&amp;"生成成长"),4))/(VLOOKUP(BQ$72,INDIRECT($C$5&amp;"生成成长"),5))*(VLOOKUP($B$5,标准坦克设计!$B$24:$U$30,MATCH("对"&amp;LEFT($C$5,2)&amp;"输出",标准坦克设计!$B$23:$U$23,0)))*(VLOOKUP($B93,INDIRECT($B$5&amp;"生成成长"),3))*(VLOOKUP($B$5,标准坦克设计!$B$14:$K$20,9)/30))</f>
        <v>9.668409367365026</v>
      </c>
      <c r="BR93" s="172">
        <f ca="1">(VLOOKUP(BR$72,INDIRECT($C$5&amp;"生成成长"),2))/((VLOOKUP($B93,INDIRECT($B$5&amp;"生成成长"),4))/(VLOOKUP(BR$72,INDIRECT($C$5&amp;"生成成长"),5))*(VLOOKUP($B$5,标准坦克设计!$B$24:$U$30,MATCH("对"&amp;LEFT($C$5,2)&amp;"输出",标准坦克设计!$B$23:$U$23,0)))*(VLOOKUP($B93,INDIRECT($B$5&amp;"生成成长"),3))*(VLOOKUP($B$5,标准坦克设计!$B$14:$K$20,9)/30))</f>
        <v>10.539014647199171</v>
      </c>
      <c r="BS93" s="172">
        <f ca="1">(VLOOKUP(BS$72,INDIRECT($C$5&amp;"生成成长"),2))/((VLOOKUP($B93,INDIRECT($B$5&amp;"生成成长"),4))/(VLOOKUP(BS$72,INDIRECT($C$5&amp;"生成成长"),5))*(VLOOKUP($B$5,标准坦克设计!$B$24:$U$30,MATCH("对"&amp;LEFT($C$5,2)&amp;"输出",标准坦克设计!$B$23:$U$23,0)))*(VLOOKUP($B93,INDIRECT($B$5&amp;"生成成长"),3))*(VLOOKUP($B$5,标准坦克设计!$B$14:$K$20,9)/30))</f>
        <v>11.447146016681341</v>
      </c>
      <c r="BT93" s="172">
        <f ca="1">(VLOOKUP(BT$72,INDIRECT($C$5&amp;"生成成长"),2))/((VLOOKUP($B93,INDIRECT($B$5&amp;"生成成长"),4))/(VLOOKUP(BT$72,INDIRECT($C$5&amp;"生成成长"),5))*(VLOOKUP($B$5,标准坦克设计!$B$24:$U$30,MATCH("对"&amp;LEFT($C$5,2)&amp;"输出",标准坦克设计!$B$23:$U$23,0)))*(VLOOKUP($B93,INDIRECT($B$5&amp;"生成成长"),3))*(VLOOKUP($B$5,标准坦克设计!$B$14:$K$20,9)/30))</f>
        <v>12.392803475811535</v>
      </c>
      <c r="BU93" s="172">
        <f ca="1">(VLOOKUP(BU$72,INDIRECT($C$5&amp;"生成成长"),2))/((VLOOKUP($B93,INDIRECT($B$5&amp;"生成成长"),4))/(VLOOKUP(BU$72,INDIRECT($C$5&amp;"生成成长"),5))*(VLOOKUP($B$5,标准坦克设计!$B$24:$U$30,MATCH("对"&amp;LEFT($C$5,2)&amp;"输出",标准坦克设计!$B$23:$U$23,0)))*(VLOOKUP($B93,INDIRECT($B$5&amp;"生成成长"),3))*(VLOOKUP($B$5,标准坦克设计!$B$14:$K$20,9)/30))</f>
        <v>13.375987024589751</v>
      </c>
      <c r="BV93" s="172">
        <f ca="1">(VLOOKUP(BV$72,INDIRECT($C$5&amp;"生成成长"),2))/((VLOOKUP($B93,INDIRECT($B$5&amp;"生成成长"),4))/(VLOOKUP(BV$72,INDIRECT($C$5&amp;"生成成长"),5))*(VLOOKUP($B$5,标准坦克设计!$B$24:$U$30,MATCH("对"&amp;LEFT($C$5,2)&amp;"输出",标准坦克设计!$B$23:$U$23,0)))*(VLOOKUP($B93,INDIRECT($B$5&amp;"生成成长"),3))*(VLOOKUP($B$5,标准坦克设计!$B$14:$K$20,9)/30))</f>
        <v>14.396696663015991</v>
      </c>
      <c r="BW93" s="172">
        <f ca="1">(VLOOKUP(BW$72,INDIRECT($C$5&amp;"生成成长"),2))/((VLOOKUP($B93,INDIRECT($B$5&amp;"生成成长"),4))/(VLOOKUP(BW$72,INDIRECT($C$5&amp;"生成成长"),5))*(VLOOKUP($B$5,标准坦克设计!$B$24:$U$30,MATCH("对"&amp;LEFT($C$5,2)&amp;"输出",标准坦克设计!$B$23:$U$23,0)))*(VLOOKUP($B93,INDIRECT($B$5&amp;"生成成长"),3))*(VLOOKUP($B$5,标准坦克设计!$B$14:$K$20,9)/30))</f>
        <v>6.5612491445086771</v>
      </c>
      <c r="BX93" s="172">
        <f ca="1">(VLOOKUP(BX$72,INDIRECT($C$5&amp;"生成成长"),2))/((VLOOKUP($B93,INDIRECT($B$5&amp;"生成成长"),4))/(VLOOKUP(BX$72,INDIRECT($C$5&amp;"生成成长"),5))*(VLOOKUP($B$5,标准坦克设计!$B$24:$U$30,MATCH("对"&amp;LEFT($C$5,2)&amp;"输出",标准坦克设计!$B$23:$U$23,0)))*(VLOOKUP($B93,INDIRECT($B$5&amp;"生成成长"),3))*(VLOOKUP($B$5,标准坦克设计!$B$14:$K$20,9)/30))</f>
        <v>7.2817500657507264</v>
      </c>
      <c r="BY93" s="172">
        <f ca="1">(VLOOKUP(BY$72,INDIRECT($C$5&amp;"生成成长"),2))/((VLOOKUP($B93,INDIRECT($B$5&amp;"生成成长"),4))/(VLOOKUP(BY$72,INDIRECT($C$5&amp;"生成成长"),5))*(VLOOKUP($B$5,标准坦克设计!$B$24:$U$30,MATCH("对"&amp;LEFT($C$5,2)&amp;"输出",标准坦克设计!$B$23:$U$23,0)))*(VLOOKUP($B93,INDIRECT($B$5&amp;"生成成长"),3))*(VLOOKUP($B$5,标准坦克设计!$B$14:$K$20,9)/30))</f>
        <v>8.0397770766408048</v>
      </c>
      <c r="BZ93" s="172">
        <f ca="1">(VLOOKUP(BZ$72,INDIRECT($C$5&amp;"生成成长"),2))/((VLOOKUP($B93,INDIRECT($B$5&amp;"生成成长"),4))/(VLOOKUP(BZ$72,INDIRECT($C$5&amp;"生成成长"),5))*(VLOOKUP($B$5,标准坦克设计!$B$24:$U$30,MATCH("对"&amp;LEFT($C$5,2)&amp;"输出",标准坦克设计!$B$23:$U$23,0)))*(VLOOKUP($B93,INDIRECT($B$5&amp;"生成成长"),3))*(VLOOKUP($B$5,标准坦克设计!$B$14:$K$20,9)/30))</f>
        <v>8.8353301771789017</v>
      </c>
      <c r="CA93" s="172">
        <f ca="1">(VLOOKUP(CA$72,INDIRECT($C$5&amp;"生成成长"),2))/((VLOOKUP($B93,INDIRECT($B$5&amp;"生成成长"),4))/(VLOOKUP(CA$72,INDIRECT($C$5&amp;"生成成长"),5))*(VLOOKUP($B$5,标准坦克设计!$B$24:$U$30,MATCH("对"&amp;LEFT($C$5,2)&amp;"输出",标准坦克设计!$B$23:$U$23,0)))*(VLOOKUP($B93,INDIRECT($B$5&amp;"生成成长"),3))*(VLOOKUP($B$5,标准坦克设计!$B$14:$K$20,9)/30))</f>
        <v>9.668409367365026</v>
      </c>
      <c r="CB93" s="172">
        <f ca="1">(VLOOKUP(CB$72,INDIRECT($C$5&amp;"生成成长"),2))/((VLOOKUP($B93,INDIRECT($B$5&amp;"生成成长"),4))/(VLOOKUP(CB$72,INDIRECT($C$5&amp;"生成成长"),5))*(VLOOKUP($B$5,标准坦克设计!$B$24:$U$30,MATCH("对"&amp;LEFT($C$5,2)&amp;"输出",标准坦克设计!$B$23:$U$23,0)))*(VLOOKUP($B93,INDIRECT($B$5&amp;"生成成长"),3))*(VLOOKUP($B$5,标准坦克设计!$B$14:$K$20,9)/30))</f>
        <v>10.539014647199171</v>
      </c>
      <c r="CC93" s="172">
        <f ca="1">(VLOOKUP(CC$72,INDIRECT($C$5&amp;"生成成长"),2))/((VLOOKUP($B93,INDIRECT($B$5&amp;"生成成长"),4))/(VLOOKUP(CC$72,INDIRECT($C$5&amp;"生成成长"),5))*(VLOOKUP($B$5,标准坦克设计!$B$24:$U$30,MATCH("对"&amp;LEFT($C$5,2)&amp;"输出",标准坦克设计!$B$23:$U$23,0)))*(VLOOKUP($B93,INDIRECT($B$5&amp;"生成成长"),3))*(VLOOKUP($B$5,标准坦克设计!$B$14:$K$20,9)/30))</f>
        <v>11.447146016681341</v>
      </c>
      <c r="CD93" s="172">
        <f ca="1">(VLOOKUP(CD$72,INDIRECT($C$5&amp;"生成成长"),2))/((VLOOKUP($B93,INDIRECT($B$5&amp;"生成成长"),4))/(VLOOKUP(CD$72,INDIRECT($C$5&amp;"生成成长"),5))*(VLOOKUP($B$5,标准坦克设计!$B$24:$U$30,MATCH("对"&amp;LEFT($C$5,2)&amp;"输出",标准坦克设计!$B$23:$U$23,0)))*(VLOOKUP($B93,INDIRECT($B$5&amp;"生成成长"),3))*(VLOOKUP($B$5,标准坦克设计!$B$14:$K$20,9)/30))</f>
        <v>12.392803475811535</v>
      </c>
      <c r="CE93" s="172">
        <f ca="1">(VLOOKUP(CE$72,INDIRECT($C$5&amp;"生成成长"),2))/((VLOOKUP($B93,INDIRECT($B$5&amp;"生成成长"),4))/(VLOOKUP(CE$72,INDIRECT($C$5&amp;"生成成长"),5))*(VLOOKUP($B$5,标准坦克设计!$B$24:$U$30,MATCH("对"&amp;LEFT($C$5,2)&amp;"输出",标准坦克设计!$B$23:$U$23,0)))*(VLOOKUP($B93,INDIRECT($B$5&amp;"生成成长"),3))*(VLOOKUP($B$5,标准坦克设计!$B$14:$K$20,9)/30))</f>
        <v>13.375987024589751</v>
      </c>
      <c r="CF93" s="172">
        <f ca="1">(VLOOKUP(CF$72,INDIRECT($C$5&amp;"生成成长"),2))/((VLOOKUP($B93,INDIRECT($B$5&amp;"生成成长"),4))/(VLOOKUP(CF$72,INDIRECT($C$5&amp;"生成成长"),5))*(VLOOKUP($B$5,标准坦克设计!$B$24:$U$30,MATCH("对"&amp;LEFT($C$5,2)&amp;"输出",标准坦克设计!$B$23:$U$23,0)))*(VLOOKUP($B93,INDIRECT($B$5&amp;"生成成长"),3))*(VLOOKUP($B$5,标准坦克设计!$B$14:$K$20,9)/30))</f>
        <v>14.396696663015991</v>
      </c>
      <c r="CG93" s="172">
        <f ca="1">(VLOOKUP(CG$72,INDIRECT($C$5&amp;"生成成长"),2))/((VLOOKUP($B93,INDIRECT($B$5&amp;"生成成长"),4))/(VLOOKUP(CG$72,INDIRECT($C$5&amp;"生成成长"),5))*(VLOOKUP($B$5,标准坦克设计!$B$24:$U$30,MATCH("对"&amp;LEFT($C$5,2)&amp;"输出",标准坦克设计!$B$23:$U$23,0)))*(VLOOKUP($B93,INDIRECT($B$5&amp;"生成成长"),3))*(VLOOKUP($B$5,标准坦克设计!$B$14:$K$20,9)/30))</f>
        <v>15.454932391090255</v>
      </c>
      <c r="CH93" s="172">
        <f ca="1">(VLOOKUP(CH$72,INDIRECT($C$5&amp;"生成成长"),2))/((VLOOKUP($B93,INDIRECT($B$5&amp;"生成成长"),4))/(VLOOKUP(CH$72,INDIRECT($C$5&amp;"生成成长"),5))*(VLOOKUP($B$5,标准坦克设计!$B$24:$U$30,MATCH("对"&amp;LEFT($C$5,2)&amp;"输出",标准坦克设计!$B$23:$U$23,0)))*(VLOOKUP($B93,INDIRECT($B$5&amp;"生成成长"),3))*(VLOOKUP($B$5,标准坦克设计!$B$14:$K$20,9)/30))</f>
        <v>16.550694208812541</v>
      </c>
      <c r="CI93" s="172">
        <f ca="1">(VLOOKUP(CI$72,INDIRECT($C$5&amp;"生成成长"),2))/((VLOOKUP($B93,INDIRECT($B$5&amp;"生成成长"),4))/(VLOOKUP(CI$72,INDIRECT($C$5&amp;"生成成长"),5))*(VLOOKUP($B$5,标准坦克设计!$B$24:$U$30,MATCH("对"&amp;LEFT($C$5,2)&amp;"输出",标准坦克设计!$B$23:$U$23,0)))*(VLOOKUP($B93,INDIRECT($B$5&amp;"生成成长"),3))*(VLOOKUP($B$5,标准坦克设计!$B$14:$K$20,9)/30))</f>
        <v>17.799374841850526</v>
      </c>
      <c r="CJ93" s="172">
        <f ca="1">(VLOOKUP(CJ$72,INDIRECT($C$5&amp;"生成成长"),2))/((VLOOKUP($B93,INDIRECT($B$5&amp;"生成成长"),4))/(VLOOKUP(CJ$72,INDIRECT($C$5&amp;"生成成长"),5))*(VLOOKUP($B$5,标准坦克设计!$B$24:$U$30,MATCH("对"&amp;LEFT($C$5,2)&amp;"输出",标准坦克设计!$B$23:$U$23,0)))*(VLOOKUP($B93,INDIRECT($B$5&amp;"生成成长"),3))*(VLOOKUP($B$5,标准坦克设计!$B$14:$K$20,9)/30))</f>
        <v>19.093462043362617</v>
      </c>
      <c r="CK93" s="172">
        <f ca="1">(VLOOKUP(CK$72,INDIRECT($C$5&amp;"生成成长"),2))/((VLOOKUP($B93,INDIRECT($B$5&amp;"生成成长"),4))/(VLOOKUP(CK$72,INDIRECT($C$5&amp;"生成成长"),5))*(VLOOKUP($B$5,标准坦克设计!$B$24:$U$30,MATCH("对"&amp;LEFT($C$5,2)&amp;"输出",标准坦克设计!$B$23:$U$23,0)))*(VLOOKUP($B93,INDIRECT($B$5&amp;"生成成长"),3))*(VLOOKUP($B$5,标准坦克设计!$B$14:$K$20,9)/30))</f>
        <v>20.432955813348819</v>
      </c>
      <c r="CL93" s="172">
        <f ca="1">(VLOOKUP(CL$72,INDIRECT($C$5&amp;"生成成长"),2))/((VLOOKUP($B93,INDIRECT($B$5&amp;"生成成长"),4))/(VLOOKUP(CL$72,INDIRECT($C$5&amp;"生成成长"),5))*(VLOOKUP($B$5,标准坦克设计!$B$24:$U$30,MATCH("对"&amp;LEFT($C$5,2)&amp;"输出",标准坦克设计!$B$23:$U$23,0)))*(VLOOKUP($B93,INDIRECT($B$5&amp;"生成成长"),3))*(VLOOKUP($B$5,标准坦克设计!$B$14:$K$20,9)/30))</f>
        <v>21.817856151809124</v>
      </c>
      <c r="CM93" s="172">
        <f ca="1">(VLOOKUP(CM$72,INDIRECT($C$5&amp;"生成成长"),2))/((VLOOKUP($B93,INDIRECT($B$5&amp;"生成成长"),4))/(VLOOKUP(CM$72,INDIRECT($C$5&amp;"生成成长"),5))*(VLOOKUP($B$5,标准坦克设计!$B$24:$U$30,MATCH("对"&amp;LEFT($C$5,2)&amp;"输出",标准坦克设计!$B$23:$U$23,0)))*(VLOOKUP($B93,INDIRECT($B$5&amp;"生成成长"),3))*(VLOOKUP($B$5,标准坦克设计!$B$14:$K$20,9)/30))</f>
        <v>23.248163058743543</v>
      </c>
      <c r="CN93" s="172">
        <f ca="1">(VLOOKUP(CN$72,INDIRECT($C$5&amp;"生成成长"),2))/((VLOOKUP($B93,INDIRECT($B$5&amp;"生成成长"),4))/(VLOOKUP(CN$72,INDIRECT($C$5&amp;"生成成长"),5))*(VLOOKUP($B$5,标准坦克设计!$B$24:$U$30,MATCH("对"&amp;LEFT($C$5,2)&amp;"输出",标准坦克设计!$B$23:$U$23,0)))*(VLOOKUP($B93,INDIRECT($B$5&amp;"生成成长"),3))*(VLOOKUP($B$5,标准坦克设计!$B$14:$K$20,9)/30))</f>
        <v>24.723876534152069</v>
      </c>
      <c r="CO93" s="172">
        <f ca="1">(VLOOKUP(CO$72,INDIRECT($C$5&amp;"生成成长"),2))/((VLOOKUP($B93,INDIRECT($B$5&amp;"生成成长"),4))/(VLOOKUP(CO$72,INDIRECT($C$5&amp;"生成成长"),5))*(VLOOKUP($B$5,标准坦克设计!$B$24:$U$30,MATCH("对"&amp;LEFT($C$5,2)&amp;"输出",标准坦克设计!$B$23:$U$23,0)))*(VLOOKUP($B93,INDIRECT($B$5&amp;"生成成长"),3))*(VLOOKUP($B$5,标准坦克设计!$B$14:$K$20,9)/30))</f>
        <v>11.079390338130711</v>
      </c>
      <c r="CP93" s="172">
        <f ca="1">(VLOOKUP(CP$72,INDIRECT($C$5&amp;"生成成长"),2))/((VLOOKUP($B93,INDIRECT($B$5&amp;"生成成长"),4))/(VLOOKUP(CP$72,INDIRECT($C$5&amp;"生成成长"),5))*(VLOOKUP($B$5,标准坦克设计!$B$24:$U$30,MATCH("对"&amp;LEFT($C$5,2)&amp;"输出",标准坦克设计!$B$23:$U$23,0)))*(VLOOKUP($B93,INDIRECT($B$5&amp;"生成成长"),3))*(VLOOKUP($B$5,标准坦克设计!$B$14:$K$20,9)/30))</f>
        <v>12.105165998659432</v>
      </c>
      <c r="CQ93" s="172">
        <f ca="1">(VLOOKUP(CQ$72,INDIRECT($C$5&amp;"生成成长"),2))/((VLOOKUP($B93,INDIRECT($B$5&amp;"生成成长"),4))/(VLOOKUP(CQ$72,INDIRECT($C$5&amp;"生成成长"),5))*(VLOOKUP($B$5,标准坦克设计!$B$24:$U$30,MATCH("对"&amp;LEFT($C$5,2)&amp;"输出",标准坦克设计!$B$23:$U$23,0)))*(VLOOKUP($B93,INDIRECT($B$5&amp;"生成成长"),3))*(VLOOKUP($B$5,标准坦克设计!$B$14:$K$20,9)/30))</f>
        <v>13.176348227662265</v>
      </c>
      <c r="CR93" s="172">
        <f ca="1">(VLOOKUP(CR$72,INDIRECT($C$5&amp;"生成成长"),2))/((VLOOKUP($B93,INDIRECT($B$5&amp;"生成成长"),4))/(VLOOKUP(CR$72,INDIRECT($C$5&amp;"生成成长"),5))*(VLOOKUP($B$5,标准坦克设计!$B$24:$U$30,MATCH("对"&amp;LEFT($C$5,2)&amp;"输出",标准坦克设计!$B$23:$U$23,0)))*(VLOOKUP($B93,INDIRECT($B$5&amp;"生成成长"),3))*(VLOOKUP($B$5,标准坦克设计!$B$14:$K$20,9)/30))</f>
        <v>14.292937025139203</v>
      </c>
      <c r="CS93" s="172">
        <f ca="1">(VLOOKUP(CS$72,INDIRECT($C$5&amp;"生成成长"),2))/((VLOOKUP($B93,INDIRECT($B$5&amp;"生成成长"),4))/(VLOOKUP(CS$72,INDIRECT($C$5&amp;"生成成长"),5))*(VLOOKUP($B$5,标准坦克设计!$B$24:$U$30,MATCH("对"&amp;LEFT($C$5,2)&amp;"输出",标准坦克设计!$B$23:$U$23,0)))*(VLOOKUP($B93,INDIRECT($B$5&amp;"生成成长"),3))*(VLOOKUP($B$5,标准坦克设计!$B$14:$K$20,9)/30))</f>
        <v>15.454932391090255</v>
      </c>
      <c r="CT93" s="172">
        <f ca="1">(VLOOKUP(CT$72,INDIRECT($C$5&amp;"生成成长"),2))/((VLOOKUP($B93,INDIRECT($B$5&amp;"生成成长"),4))/(VLOOKUP(CT$72,INDIRECT($C$5&amp;"生成成长"),5))*(VLOOKUP($B$5,标准坦克设计!$B$24:$U$30,MATCH("对"&amp;LEFT($C$5,2)&amp;"输出",标准坦克设计!$B$23:$U$23,0)))*(VLOOKUP($B93,INDIRECT($B$5&amp;"生成成长"),3))*(VLOOKUP($B$5,标准坦克设计!$B$14:$K$20,9)/30))</f>
        <v>16.66233432551541</v>
      </c>
      <c r="CU93" s="172">
        <f ca="1">(VLOOKUP(CU$72,INDIRECT($C$5&amp;"生成成长"),2))/((VLOOKUP($B93,INDIRECT($B$5&amp;"生成成长"),4))/(VLOOKUP(CU$72,INDIRECT($C$5&amp;"生成成长"),5))*(VLOOKUP($B$5,标准坦克设计!$B$24:$U$30,MATCH("对"&amp;LEFT($C$5,2)&amp;"输出",标准坦克设计!$B$23:$U$23,0)))*(VLOOKUP($B93,INDIRECT($B$5&amp;"生成成长"),3))*(VLOOKUP($B$5,标准坦克设计!$B$14:$K$20,9)/30))</f>
        <v>17.915142828414677</v>
      </c>
      <c r="CV93" s="172">
        <f ca="1">(VLOOKUP(CV$72,INDIRECT($C$5&amp;"生成成长"),2))/((VLOOKUP($B93,INDIRECT($B$5&amp;"生成成长"),4))/(VLOOKUP(CV$72,INDIRECT($C$5&amp;"生成成长"),5))*(VLOOKUP($B$5,标准坦克设计!$B$24:$U$30,MATCH("对"&amp;LEFT($C$5,2)&amp;"输出",标准坦克设计!$B$23:$U$23,0)))*(VLOOKUP($B93,INDIRECT($B$5&amp;"生成成长"),3))*(VLOOKUP($B$5,标准坦克设计!$B$14:$K$20,9)/30))</f>
        <v>19.213357899788054</v>
      </c>
      <c r="CW93" s="172">
        <f ca="1">(VLOOKUP(CW$72,INDIRECT($C$5&amp;"生成成长"),2))/((VLOOKUP($B93,INDIRECT($B$5&amp;"生成成长"),4))/(VLOOKUP(CW$72,INDIRECT($C$5&amp;"生成成长"),5))*(VLOOKUP($B$5,标准坦克设计!$B$24:$U$30,MATCH("对"&amp;LEFT($C$5,2)&amp;"输出",标准坦克设计!$B$23:$U$23,0)))*(VLOOKUP($B93,INDIRECT($B$5&amp;"生成成长"),3))*(VLOOKUP($B$5,标准坦克设计!$B$14:$K$20,9)/30))</f>
        <v>20.556979539635538</v>
      </c>
      <c r="CX93" s="172">
        <f ca="1">(VLOOKUP(CX$72,INDIRECT($C$5&amp;"生成成长"),2))/((VLOOKUP($B93,INDIRECT($B$5&amp;"生成成长"),4))/(VLOOKUP(CX$72,INDIRECT($C$5&amp;"生成成长"),5))*(VLOOKUP($B$5,标准坦克设计!$B$24:$U$30,MATCH("对"&amp;LEFT($C$5,2)&amp;"输出",标准坦克设计!$B$23:$U$23,0)))*(VLOOKUP($B93,INDIRECT($B$5&amp;"生成成长"),3))*(VLOOKUP($B$5,标准坦克设计!$B$14:$K$20,9)/30))</f>
        <v>21.946007747957129</v>
      </c>
      <c r="CY93" s="172">
        <f ca="1">(VLOOKUP(CY$72,INDIRECT($C$5&amp;"生成成长"),2))/((VLOOKUP($B93,INDIRECT($B$5&amp;"生成成长"),4))/(VLOOKUP(CY$72,INDIRECT($C$5&amp;"生成成长"),5))*(VLOOKUP($B$5,标准坦克设计!$B$24:$U$30,MATCH("对"&amp;LEFT($C$5,2)&amp;"输出",标准坦克设计!$B$23:$U$23,0)))*(VLOOKUP($B93,INDIRECT($B$5&amp;"生成成长"),3))*(VLOOKUP($B$5,标准坦克设计!$B$14:$K$20,9)/30))</f>
        <v>23.380442524752826</v>
      </c>
      <c r="CZ93" s="172">
        <f ca="1">(VLOOKUP(CZ$72,INDIRECT($C$5&amp;"生成成长"),2))/((VLOOKUP($B93,INDIRECT($B$5&amp;"生成成长"),4))/(VLOOKUP(CZ$72,INDIRECT($C$5&amp;"生成成长"),5))*(VLOOKUP($B$5,标准坦克设计!$B$24:$U$30,MATCH("对"&amp;LEFT($C$5,2)&amp;"输出",标准坦克设计!$B$23:$U$23,0)))*(VLOOKUP($B93,INDIRECT($B$5&amp;"生成成长"),3))*(VLOOKUP($B$5,标准坦克设计!$B$14:$K$20,9)/30))</f>
        <v>24.860283870022634</v>
      </c>
      <c r="DA93" s="172">
        <f ca="1">(VLOOKUP(DA$72,INDIRECT($C$5&amp;"生成成长"),2))/((VLOOKUP($B93,INDIRECT($B$5&amp;"生成成长"),4))/(VLOOKUP(DA$72,INDIRECT($C$5&amp;"生成成长"),5))*(VLOOKUP($B$5,标准坦克设计!$B$24:$U$30,MATCH("对"&amp;LEFT($C$5,2)&amp;"输出",标准坦克设计!$B$23:$U$23,0)))*(VLOOKUP($B93,INDIRECT($B$5&amp;"生成成长"),3))*(VLOOKUP($B$5,标准坦克设计!$B$14:$K$20,9)/30))</f>
        <v>26.385531783766549</v>
      </c>
      <c r="DB93" s="172">
        <f ca="1">(VLOOKUP(DB$72,INDIRECT($C$5&amp;"生成成长"),2))/((VLOOKUP($B93,INDIRECT($B$5&amp;"生成成长"),4))/(VLOOKUP(DB$72,INDIRECT($C$5&amp;"生成成长"),5))*(VLOOKUP($B$5,标准坦克设计!$B$24:$U$30,MATCH("对"&amp;LEFT($C$5,2)&amp;"输出",标准坦克设计!$B$23:$U$23,0)))*(VLOOKUP($B93,INDIRECT($B$5&amp;"生成成长"),3))*(VLOOKUP($B$5,标准坦克设计!$B$14:$K$20,9)/30))</f>
        <v>27.956186265984577</v>
      </c>
      <c r="DC93" s="172">
        <f ca="1">(VLOOKUP(DC$72,INDIRECT($C$5&amp;"生成成长"),2))/((VLOOKUP($B93,INDIRECT($B$5&amp;"生成成长"),4))/(VLOOKUP(DC$72,INDIRECT($C$5&amp;"生成成长"),5))*(VLOOKUP($B$5,标准坦克设计!$B$24:$U$30,MATCH("对"&amp;LEFT($C$5,2)&amp;"输出",标准坦克设计!$B$23:$U$23,0)))*(VLOOKUP($B93,INDIRECT($B$5&amp;"生成成长"),3))*(VLOOKUP($B$5,标准坦克设计!$B$14:$K$20,9)/30))</f>
        <v>29.721413523027604</v>
      </c>
      <c r="DD93" s="172">
        <f ca="1">(VLOOKUP(DD$72,INDIRECT($C$5&amp;"生成成长"),2))/((VLOOKUP($B93,INDIRECT($B$5&amp;"生成成长"),4))/(VLOOKUP(DD$72,INDIRECT($C$5&amp;"生成成长"),5))*(VLOOKUP($B$5,标准坦克设计!$B$24:$U$30,MATCH("对"&amp;LEFT($C$5,2)&amp;"输出",标准坦克设计!$B$23:$U$23,0)))*(VLOOKUP($B93,INDIRECT($B$5&amp;"生成成长"),3))*(VLOOKUP($B$5,标准坦克设计!$B$14:$K$20,9)/30))</f>
        <v>31.540678349163784</v>
      </c>
      <c r="DE93" s="172">
        <f ca="1">(VLOOKUP(DE$72,INDIRECT($C$5&amp;"生成成长"),2))/((VLOOKUP($B93,INDIRECT($B$5&amp;"生成成长"),4))/(VLOOKUP(DE$72,INDIRECT($C$5&amp;"生成成长"),5))*(VLOOKUP($B$5,标准坦克设计!$B$24:$U$30,MATCH("对"&amp;LEFT($C$5,2)&amp;"输出",标准坦克设计!$B$23:$U$23,0)))*(VLOOKUP($B93,INDIRECT($B$5&amp;"生成成长"),3))*(VLOOKUP($B$5,标准坦克设计!$B$14:$K$20,9)/30))</f>
        <v>33.413980744393122</v>
      </c>
      <c r="DF93" s="172">
        <f ca="1">(VLOOKUP(DF$72,INDIRECT($C$5&amp;"生成成长"),2))/((VLOOKUP($B93,INDIRECT($B$5&amp;"生成成长"),4))/(VLOOKUP(DF$72,INDIRECT($C$5&amp;"生成成长"),5))*(VLOOKUP($B$5,标准坦克设计!$B$24:$U$30,MATCH("对"&amp;LEFT($C$5,2)&amp;"输出",标准坦克设计!$B$23:$U$23,0)))*(VLOOKUP($B93,INDIRECT($B$5&amp;"生成成长"),3))*(VLOOKUP($B$5,标准坦克设计!$B$14:$K$20,9)/30))</f>
        <v>35.341320708715607</v>
      </c>
      <c r="DG93" s="172">
        <f ca="1">(VLOOKUP(DG$72,INDIRECT($C$5&amp;"生成成长"),2))/((VLOOKUP($B93,INDIRECT($B$5&amp;"生成成长"),4))/(VLOOKUP(DG$72,INDIRECT($C$5&amp;"生成成长"),5))*(VLOOKUP($B$5,标准坦克设计!$B$24:$U$30,MATCH("对"&amp;LEFT($C$5,2)&amp;"输出",标准坦克设计!$B$23:$U$23,0)))*(VLOOKUP($B93,INDIRECT($B$5&amp;"生成成长"),3))*(VLOOKUP($B$5,标准坦克设计!$B$14:$K$20,9)/30))</f>
        <v>37.322698242131253</v>
      </c>
      <c r="DH93" s="172">
        <f ca="1">(VLOOKUP(DH$72,INDIRECT($C$5&amp;"生成成长"),2))/((VLOOKUP($B93,INDIRECT($B$5&amp;"生成成长"),4))/(VLOOKUP(DH$72,INDIRECT($C$5&amp;"生成成长"),5))*(VLOOKUP($B$5,标准坦克设计!$B$24:$U$30,MATCH("对"&amp;LEFT($C$5,2)&amp;"输出",标准坦克设计!$B$23:$U$23,0)))*(VLOOKUP($B93,INDIRECT($B$5&amp;"生成成长"),3))*(VLOOKUP($B$5,标准坦克设计!$B$14:$K$20,9)/30))</f>
        <v>39.358113344640046</v>
      </c>
      <c r="DI93" s="172">
        <f ca="1">(VLOOKUP(DI$72,INDIRECT($C$5&amp;"生成成长"),2))/((VLOOKUP($B93,INDIRECT($B$5&amp;"生成成长"),4))/(VLOOKUP(DI$72,INDIRECT($C$5&amp;"生成成长"),5))*(VLOOKUP($B$5,标准坦克设计!$B$24:$U$30,MATCH("对"&amp;LEFT($C$5,2)&amp;"输出",标准坦克设计!$B$23:$U$23,0)))*(VLOOKUP($B93,INDIRECT($B$5&amp;"生成成长"),3))*(VLOOKUP($B$5,标准坦克设计!$B$14:$K$20,9)/30))</f>
        <v>41.447566016242</v>
      </c>
      <c r="DJ93" s="172">
        <f ca="1">(VLOOKUP(DJ$72,INDIRECT($C$5&amp;"生成成长"),2))/((VLOOKUP($B93,INDIRECT($B$5&amp;"生成成长"),4))/(VLOOKUP(DJ$72,INDIRECT($C$5&amp;"生成成长"),5))*(VLOOKUP($B$5,标准坦克设计!$B$24:$U$30,MATCH("对"&amp;LEFT($C$5,2)&amp;"输出",标准坦克设计!$B$23:$U$23,0)))*(VLOOKUP($B93,INDIRECT($B$5&amp;"生成成长"),3))*(VLOOKUP($B$5,标准坦克设计!$B$14:$K$20,9)/30))</f>
        <v>4.1655835813788524</v>
      </c>
      <c r="DK93" s="172">
        <f ca="1">(VLOOKUP(DK$72,INDIRECT($C$5&amp;"生成成长"),2))/((VLOOKUP($B93,INDIRECT($B$5&amp;"生成成长"),4))/(VLOOKUP(DK$72,INDIRECT($C$5&amp;"生成成长"),5))*(VLOOKUP($B$5,标准坦克设计!$B$24:$U$30,MATCH("对"&amp;LEFT($C$5,2)&amp;"输出",标准坦克设计!$B$23:$U$23,0)))*(VLOOKUP($B93,INDIRECT($B$5&amp;"生成成长"),3))*(VLOOKUP($B$5,标准坦克设计!$B$14:$K$20,9)/30))</f>
        <v>4.6840065098662986</v>
      </c>
      <c r="DL93" s="172">
        <f ca="1">(VLOOKUP(DL$72,INDIRECT($C$5&amp;"生成成长"),2))/((VLOOKUP($B93,INDIRECT($B$5&amp;"生成成长"),4))/(VLOOKUP(DL$72,INDIRECT($C$5&amp;"生成成长"),5))*(VLOOKUP($B$5,标准坦克设计!$B$24:$U$30,MATCH("对"&amp;LEFT($C$5,2)&amp;"输出",标准坦克设计!$B$23:$U$23,0)))*(VLOOKUP($B93,INDIRECT($B$5&amp;"生成成长"),3))*(VLOOKUP($B$5,标准坦克设计!$B$14:$K$20,9)/30))</f>
        <v>5.2328255709686431</v>
      </c>
      <c r="DM93" s="172">
        <f ca="1">(VLOOKUP(DM$72,INDIRECT($C$5&amp;"生成成长"),2))/((VLOOKUP($B93,INDIRECT($B$5&amp;"生成成长"),4))/(VLOOKUP(DM$72,INDIRECT($C$5&amp;"生成成长"),5))*(VLOOKUP($B$5,标准坦克设计!$B$24:$U$30,MATCH("对"&amp;LEFT($C$5,2)&amp;"输出",标准坦克设计!$B$23:$U$23,0)))*(VLOOKUP($B93,INDIRECT($B$5&amp;"生成成长"),3))*(VLOOKUP($B$5,标准坦克设计!$B$14:$K$20,9)/30))</f>
        <v>5.8120407646858858</v>
      </c>
      <c r="DN93" s="172">
        <f ca="1">(VLOOKUP(DN$72,INDIRECT($C$5&amp;"生成成长"),2))/((VLOOKUP($B93,INDIRECT($B$5&amp;"生成成长"),4))/(VLOOKUP(DN$72,INDIRECT($C$5&amp;"生成成长"),5))*(VLOOKUP($B$5,标准坦克设计!$B$24:$U$30,MATCH("对"&amp;LEFT($C$5,2)&amp;"输出",标准坦克设计!$B$23:$U$23,0)))*(VLOOKUP($B93,INDIRECT($B$5&amp;"生成成长"),3))*(VLOOKUP($B$5,标准坦克设计!$B$14:$K$20,9)/30))</f>
        <v>6.4216520910180295</v>
      </c>
      <c r="DO93" s="172">
        <f ca="1">(VLOOKUP(DO$72,INDIRECT($C$5&amp;"生成成长"),2))/((VLOOKUP($B93,INDIRECT($B$5&amp;"生成成长"),4))/(VLOOKUP(DO$72,INDIRECT($C$5&amp;"生成成长"),5))*(VLOOKUP($B$5,标准坦克设计!$B$24:$U$30,MATCH("对"&amp;LEFT($C$5,2)&amp;"输出",标准坦克设计!$B$23:$U$23,0)))*(VLOOKUP($B93,INDIRECT($B$5&amp;"生成成长"),3))*(VLOOKUP($B$5,标准坦克设计!$B$14:$K$20,9)/30))</f>
        <v>7.0616595499650696</v>
      </c>
      <c r="DP93" s="172">
        <f ca="1">(VLOOKUP(DP$72,INDIRECT($C$5&amp;"生成成长"),2))/((VLOOKUP($B93,INDIRECT($B$5&amp;"生成成长"),4))/(VLOOKUP(DP$72,INDIRECT($C$5&amp;"生成成长"),5))*(VLOOKUP($B$5,标准坦克设计!$B$24:$U$30,MATCH("对"&amp;LEFT($C$5,2)&amp;"输出",标准坦克设计!$B$23:$U$23,0)))*(VLOOKUP($B93,INDIRECT($B$5&amp;"生成成长"),3))*(VLOOKUP($B$5,标准坦克设计!$B$14:$K$20,9)/30))</f>
        <v>7.7320631415270107</v>
      </c>
      <c r="DQ93" s="172">
        <f ca="1">(VLOOKUP(DQ$72,INDIRECT($C$5&amp;"生成成长"),2))/((VLOOKUP($B93,INDIRECT($B$5&amp;"生成成长"),4))/(VLOOKUP(DQ$72,INDIRECT($C$5&amp;"生成成长"),5))*(VLOOKUP($B$5,标准坦克设计!$B$24:$U$30,MATCH("对"&amp;LEFT($C$5,2)&amp;"输出",标准坦克设计!$B$23:$U$23,0)))*(VLOOKUP($B93,INDIRECT($B$5&amp;"生成成长"),3))*(VLOOKUP($B$5,标准坦克设计!$B$14:$K$20,9)/30))</f>
        <v>8.43286286570385</v>
      </c>
      <c r="DR93" s="172">
        <f ca="1">(VLOOKUP(DR$72,INDIRECT($C$5&amp;"生成成长"),2))/((VLOOKUP($B93,INDIRECT($B$5&amp;"生成成长"),4))/(VLOOKUP(DR$72,INDIRECT($C$5&amp;"生成成长"),5))*(VLOOKUP($B$5,标准坦克设计!$B$24:$U$30,MATCH("对"&amp;LEFT($C$5,2)&amp;"输出",标准坦克设计!$B$23:$U$23,0)))*(VLOOKUP($B93,INDIRECT($B$5&amp;"生成成长"),3))*(VLOOKUP($B$5,标准坦克设计!$B$14:$K$20,9)/30))</f>
        <v>9.1640587224955894</v>
      </c>
      <c r="DS93" s="172">
        <f ca="1">(VLOOKUP(DS$72,INDIRECT($C$5&amp;"生成成长"),2))/((VLOOKUP($B93,INDIRECT($B$5&amp;"生成成长"),4))/(VLOOKUP(DS$72,INDIRECT($C$5&amp;"生成成长"),5))*(VLOOKUP($B$5,标准坦克设计!$B$24:$U$30,MATCH("对"&amp;LEFT($C$5,2)&amp;"输出",标准坦克设计!$B$23:$U$23,0)))*(VLOOKUP($B93,INDIRECT($B$5&amp;"生成成长"),3))*(VLOOKUP($B$5,标准坦克设计!$B$14:$K$20,9)/30))</f>
        <v>9.9256507119022253</v>
      </c>
      <c r="DT93" s="172">
        <f ca="1">(VLOOKUP(DT$72,INDIRECT($C$5&amp;"生成成长"),2))/((VLOOKUP($B93,INDIRECT($B$5&amp;"生成成长"),4))/(VLOOKUP(DT$72,INDIRECT($C$5&amp;"生成成长"),5))*(VLOOKUP($B$5,标准坦克设计!$B$24:$U$30,MATCH("对"&amp;LEFT($C$5,2)&amp;"输出",标准坦克设计!$B$23:$U$23,0)))*(VLOOKUP($B93,INDIRECT($B$5&amp;"生成成长"),3))*(VLOOKUP($B$5,标准坦克设计!$B$14:$K$20,9)/30))</f>
        <v>10.897764064234275</v>
      </c>
      <c r="DU93" s="172">
        <f ca="1">(VLOOKUP(DU$72,INDIRECT($C$5&amp;"生成成长"),2))/((VLOOKUP($B93,INDIRECT($B$5&amp;"生成成长"),4))/(VLOOKUP(DU$72,INDIRECT($C$5&amp;"生成成长"),5))*(VLOOKUP($B$5,标准坦克设计!$B$24:$U$30,MATCH("对"&amp;LEFT($C$5,2)&amp;"输出",标准坦克设计!$B$23:$U$23,0)))*(VLOOKUP($B93,INDIRECT($B$5&amp;"生成成长"),3))*(VLOOKUP($B$5,标准坦克设计!$B$14:$K$20,9)/30))</f>
        <v>11.915283985040437</v>
      </c>
      <c r="DV93" s="172">
        <f ca="1">(VLOOKUP(DV$72,INDIRECT($C$5&amp;"生成成长"),2))/((VLOOKUP($B93,INDIRECT($B$5&amp;"生成成长"),4))/(VLOOKUP(DV$72,INDIRECT($C$5&amp;"生成成长"),5))*(VLOOKUP($B$5,标准坦克设计!$B$24:$U$30,MATCH("对"&amp;LEFT($C$5,2)&amp;"输出",标准坦克设计!$B$23:$U$23,0)))*(VLOOKUP($B93,INDIRECT($B$5&amp;"生成成长"),3))*(VLOOKUP($B$5,标准坦克设计!$B$14:$K$20,9)/30))</f>
        <v>12.978210474320701</v>
      </c>
      <c r="DW93" s="172">
        <f ca="1">(VLOOKUP(DW$72,INDIRECT($C$5&amp;"生成成长"),2))/((VLOOKUP($B93,INDIRECT($B$5&amp;"生成成长"),4))/(VLOOKUP(DW$72,INDIRECT($C$5&amp;"生成成长"),5))*(VLOOKUP($B$5,标准坦克设计!$B$24:$U$30,MATCH("对"&amp;LEFT($C$5,2)&amp;"输出",标准坦克设计!$B$23:$U$23,0)))*(VLOOKUP($B93,INDIRECT($B$5&amp;"生成成长"),3))*(VLOOKUP($B$5,标准坦克设计!$B$14:$K$20,9)/30))</f>
        <v>14.086543532075076</v>
      </c>
      <c r="DX93" s="172">
        <f ca="1">(VLOOKUP(DX$72,INDIRECT($C$5&amp;"生成成长"),2))/((VLOOKUP($B93,INDIRECT($B$5&amp;"生成成长"),4))/(VLOOKUP(DX$72,INDIRECT($C$5&amp;"生成成长"),5))*(VLOOKUP($B$5,标准坦克设计!$B$24:$U$30,MATCH("对"&amp;LEFT($C$5,2)&amp;"输出",标准坦克设计!$B$23:$U$23,0)))*(VLOOKUP($B93,INDIRECT($B$5&amp;"生成成长"),3))*(VLOOKUP($B$5,标准坦克设计!$B$14:$K$20,9)/30))</f>
        <v>15.24028315830356</v>
      </c>
      <c r="DY93" s="172">
        <f ca="1">(VLOOKUP(DY$72,INDIRECT($C$5&amp;"生成成长"),2))/((VLOOKUP($B93,INDIRECT($B$5&amp;"生成成长"),4))/(VLOOKUP(DY$72,INDIRECT($C$5&amp;"生成成长"),5))*(VLOOKUP($B$5,标准坦克设计!$B$24:$U$30,MATCH("对"&amp;LEFT($C$5,2)&amp;"输出",标准坦克设计!$B$23:$U$23,0)))*(VLOOKUP($B93,INDIRECT($B$5&amp;"生成成长"),3))*(VLOOKUP($B$5,标准坦克设计!$B$14:$K$20,9)/30))</f>
        <v>6.8449463822477341</v>
      </c>
      <c r="DZ93" s="172">
        <f ca="1">(VLOOKUP(DZ$72,INDIRECT($C$5&amp;"生成成长"),2))/((VLOOKUP($B93,INDIRECT($B$5&amp;"生成成长"),4))/(VLOOKUP(DZ$72,INDIRECT($C$5&amp;"生成成长"),5))*(VLOOKUP($B$5,标准坦克设计!$B$24:$U$30,MATCH("对"&amp;LEFT($C$5,2)&amp;"输出",标准坦克设计!$B$23:$U$23,0)))*(VLOOKUP($B93,INDIRECT($B$5&amp;"生成成长"),3))*(VLOOKUP($B$5,标准坦克设计!$B$14:$K$20,9)/30))</f>
        <v>7.5804577393489971</v>
      </c>
      <c r="EA93" s="172">
        <f ca="1">(VLOOKUP(EA$72,INDIRECT($C$5&amp;"生成成长"),2))/((VLOOKUP($B93,INDIRECT($B$5&amp;"生成成长"),4))/(VLOOKUP(EA$72,INDIRECT($C$5&amp;"生成成长"),5))*(VLOOKUP($B$5,标准坦克设计!$B$24:$U$30,MATCH("对"&amp;LEFT($C$5,2)&amp;"输出",标准坦克设计!$B$23:$U$23,0)))*(VLOOKUP($B93,INDIRECT($B$5&amp;"生成成长"),3))*(VLOOKUP($B$5,标准坦克设计!$B$14:$K$20,9)/30))</f>
        <v>8.3534951860982805</v>
      </c>
      <c r="EB93" s="172">
        <f ca="1">(VLOOKUP(EB$72,INDIRECT($C$5&amp;"生成成长"),2))/((VLOOKUP($B93,INDIRECT($B$5&amp;"生成成长"),4))/(VLOOKUP(EB$72,INDIRECT($C$5&amp;"生成成长"),5))*(VLOOKUP($B$5,标准坦克设计!$B$24:$U$30,MATCH("对"&amp;LEFT($C$5,2)&amp;"输出",标准坦克设计!$B$23:$U$23,0)))*(VLOOKUP($B93,INDIRECT($B$5&amp;"生成成长"),3))*(VLOOKUP($B$5,标准坦克设计!$B$14:$K$20,9)/30))</f>
        <v>9.1640587224955894</v>
      </c>
      <c r="EC93" s="172">
        <f ca="1">(VLOOKUP(EC$72,INDIRECT($C$5&amp;"生成成长"),2))/((VLOOKUP($B93,INDIRECT($B$5&amp;"生成成长"),4))/(VLOOKUP(EC$72,INDIRECT($C$5&amp;"生成成长"),5))*(VLOOKUP($B$5,标准坦克设计!$B$24:$U$30,MATCH("对"&amp;LEFT($C$5,2)&amp;"输出",标准坦克设计!$B$23:$U$23,0)))*(VLOOKUP($B93,INDIRECT($B$5&amp;"生成成长"),3))*(VLOOKUP($B$5,标准坦克设计!$B$14:$K$20,9)/30))</f>
        <v>10.01214834854092</v>
      </c>
      <c r="ED93" s="172">
        <f ca="1">(VLOOKUP(ED$72,INDIRECT($C$5&amp;"生成成长"),2))/((VLOOKUP($B93,INDIRECT($B$5&amp;"生成成长"),4))/(VLOOKUP(ED$72,INDIRECT($C$5&amp;"生成成长"),5))*(VLOOKUP($B$5,标准坦克设计!$B$24:$U$30,MATCH("对"&amp;LEFT($C$5,2)&amp;"输出",标准坦克设计!$B$23:$U$23,0)))*(VLOOKUP($B93,INDIRECT($B$5&amp;"生成成长"),3))*(VLOOKUP($B$5,标准坦克设计!$B$14:$K$20,9)/30))</f>
        <v>10.897764064234275</v>
      </c>
      <c r="EE93" s="172">
        <f ca="1">(VLOOKUP(EE$72,INDIRECT($C$5&amp;"生成成长"),2))/((VLOOKUP($B93,INDIRECT($B$5&amp;"生成成长"),4))/(VLOOKUP(EE$72,INDIRECT($C$5&amp;"生成成长"),5))*(VLOOKUP($B$5,标准坦克设计!$B$24:$U$30,MATCH("对"&amp;LEFT($C$5,2)&amp;"输出",标准坦克设计!$B$23:$U$23,0)))*(VLOOKUP($B93,INDIRECT($B$5&amp;"生成成长"),3))*(VLOOKUP($B$5,标准坦克设计!$B$14:$K$20,9)/30))</f>
        <v>11.820905869575656</v>
      </c>
      <c r="EF93" s="172">
        <f ca="1">(VLOOKUP(EF$72,INDIRECT($C$5&amp;"生成成长"),2))/((VLOOKUP($B93,INDIRECT($B$5&amp;"生成成长"),4))/(VLOOKUP(EF$72,INDIRECT($C$5&amp;"生成成长"),5))*(VLOOKUP($B$5,标准坦克设计!$B$24:$U$30,MATCH("对"&amp;LEFT($C$5,2)&amp;"输出",标准坦克设计!$B$23:$U$23,0)))*(VLOOKUP($B93,INDIRECT($B$5&amp;"生成成长"),3))*(VLOOKUP($B$5,标准坦克设计!$B$14:$K$20,9)/30))</f>
        <v>12.781573764565056</v>
      </c>
      <c r="EG93" s="172">
        <f ca="1">(VLOOKUP(EG$72,INDIRECT($C$5&amp;"生成成长"),2))/((VLOOKUP($B93,INDIRECT($B$5&amp;"生成成长"),4))/(VLOOKUP(EG$72,INDIRECT($C$5&amp;"生成成长"),5))*(VLOOKUP($B$5,标准坦克设计!$B$24:$U$30,MATCH("对"&amp;LEFT($C$5,2)&amp;"输出",标准坦克设计!$B$23:$U$23,0)))*(VLOOKUP($B93,INDIRECT($B$5&amp;"生成成长"),3))*(VLOOKUP($B$5,标准坦克设计!$B$14:$K$20,9)/30))</f>
        <v>13.779767749202483</v>
      </c>
      <c r="EH93" s="172">
        <f ca="1">(VLOOKUP(EH$72,INDIRECT($C$5&amp;"生成成长"),2))/((VLOOKUP($B93,INDIRECT($B$5&amp;"生成成长"),4))/(VLOOKUP(EH$72,INDIRECT($C$5&amp;"生成成长"),5))*(VLOOKUP($B$5,标准坦克设计!$B$24:$U$30,MATCH("对"&amp;LEFT($C$5,2)&amp;"输出",标准坦克设计!$B$23:$U$23,0)))*(VLOOKUP($B93,INDIRECT($B$5&amp;"生成成长"),3))*(VLOOKUP($B$5,标准坦克设计!$B$14:$K$20,9)/30))</f>
        <v>14.815487823487937</v>
      </c>
      <c r="EI93" s="172">
        <f ca="1">(VLOOKUP(EI$72,INDIRECT($C$5&amp;"生成成长"),2))/((VLOOKUP($B93,INDIRECT($B$5&amp;"生成成长"),4))/(VLOOKUP(EI$72,INDIRECT($C$5&amp;"生成成长"),5))*(VLOOKUP($B$5,标准坦克设计!$B$24:$U$30,MATCH("对"&amp;LEFT($C$5,2)&amp;"输出",标准坦克设计!$B$23:$U$23,0)))*(VLOOKUP($B93,INDIRECT($B$5&amp;"生成成长"),3))*(VLOOKUP($B$5,标准坦克设计!$B$14:$K$20,9)/30))</f>
        <v>15.888733987421405</v>
      </c>
      <c r="EJ93" s="172">
        <f ca="1">(VLOOKUP(EJ$72,INDIRECT($C$5&amp;"生成成长"),2))/((VLOOKUP($B93,INDIRECT($B$5&amp;"生成成长"),4))/(VLOOKUP(EJ$72,INDIRECT($C$5&amp;"生成成长"),5))*(VLOOKUP($B$5,标准坦克设计!$B$24:$U$30,MATCH("对"&amp;LEFT($C$5,2)&amp;"输出",标准坦克设计!$B$23:$U$23,0)))*(VLOOKUP($B93,INDIRECT($B$5&amp;"生成成长"),3))*(VLOOKUP($B$5,标准坦克设计!$B$14:$K$20,9)/30))</f>
        <v>16.999506241002901</v>
      </c>
      <c r="EK93" s="172">
        <f ca="1">(VLOOKUP(EK$72,INDIRECT($C$5&amp;"生成成长"),2))/((VLOOKUP($B93,INDIRECT($B$5&amp;"生成成长"),4))/(VLOOKUP(EK$72,INDIRECT($C$5&amp;"生成成长"),5))*(VLOOKUP($B$5,标准坦克设计!$B$24:$U$30,MATCH("对"&amp;LEFT($C$5,2)&amp;"输出",标准坦克设计!$B$23:$U$23,0)))*(VLOOKUP($B93,INDIRECT($B$5&amp;"生成成长"),3))*(VLOOKUP($B$5,标准坦克设计!$B$14:$K$20,9)/30))</f>
        <v>18.381967383636088</v>
      </c>
      <c r="EL93" s="172">
        <f ca="1">(VLOOKUP(EL$72,INDIRECT($C$5&amp;"生成成长"),2))/((VLOOKUP($B93,INDIRECT($B$5&amp;"生成成长"),4))/(VLOOKUP(EL$72,INDIRECT($C$5&amp;"生成成长"),5))*(VLOOKUP($B$5,标准坦克设计!$B$24:$U$30,MATCH("对"&amp;LEFT($C$5,2)&amp;"输出",标准坦克设计!$B$23:$U$23,0)))*(VLOOKUP($B93,INDIRECT($B$5&amp;"生成成长"),3))*(VLOOKUP($B$5,标准坦克设计!$B$14:$K$20,9)/30))</f>
        <v>19.818466095362432</v>
      </c>
      <c r="EM93" s="172">
        <f ca="1">(VLOOKUP(EM$72,INDIRECT($C$5&amp;"生成成长"),2))/((VLOOKUP($B93,INDIRECT($B$5&amp;"生成成长"),4))/(VLOOKUP(EM$72,INDIRECT($C$5&amp;"生成成长"),5))*(VLOOKUP($B$5,标准坦克设计!$B$24:$U$30,MATCH("对"&amp;LEFT($C$5,2)&amp;"输出",标准坦克设计!$B$23:$U$23,0)))*(VLOOKUP($B93,INDIRECT($B$5&amp;"生成成长"),3))*(VLOOKUP($B$5,标准坦克设计!$B$14:$K$20,9)/30))</f>
        <v>21.309002376181926</v>
      </c>
      <c r="EN93" s="172">
        <f ca="1">(VLOOKUP(EN$72,INDIRECT($C$5&amp;"生成成长"),2))/((VLOOKUP($B93,INDIRECT($B$5&amp;"生成成长"),4))/(VLOOKUP(EN$72,INDIRECT($C$5&amp;"生成成长"),5))*(VLOOKUP($B$5,标准坦克设计!$B$24:$U$30,MATCH("对"&amp;LEFT($C$5,2)&amp;"输出",标准坦克设计!$B$23:$U$23,0)))*(VLOOKUP($B93,INDIRECT($B$5&amp;"生成成长"),3))*(VLOOKUP($B$5,标准坦克设计!$B$14:$K$20,9)/30))</f>
        <v>22.853576226094575</v>
      </c>
      <c r="EO93" s="172">
        <f ca="1">(VLOOKUP(EO$72,INDIRECT($C$5&amp;"生成成长"),2))/((VLOOKUP($B93,INDIRECT($B$5&amp;"生成成长"),4))/(VLOOKUP(EO$72,INDIRECT($C$5&amp;"生成成长"),5))*(VLOOKUP($B$5,标准坦克设计!$B$24:$U$30,MATCH("对"&amp;LEFT($C$5,2)&amp;"输出",标准坦克设计!$B$23:$U$23,0)))*(VLOOKUP($B93,INDIRECT($B$5&amp;"生成成长"),3))*(VLOOKUP($B$5,标准坦克设计!$B$14:$K$20,9)/30))</f>
        <v>24.452187645100381</v>
      </c>
      <c r="EP93" s="172">
        <f ca="1">(VLOOKUP(EP$72,INDIRECT($C$5&amp;"生成成长"),2))/((VLOOKUP($B93,INDIRECT($B$5&amp;"生成成长"),4))/(VLOOKUP(EP$72,INDIRECT($C$5&amp;"生成成长"),5))*(VLOOKUP($B$5,标准坦克设计!$B$24:$U$30,MATCH("对"&amp;LEFT($C$5,2)&amp;"输出",标准坦克设计!$B$23:$U$23,0)))*(VLOOKUP($B93,INDIRECT($B$5&amp;"生成成长"),3))*(VLOOKUP($B$5,标准坦克设计!$B$14:$K$20,9)/30))</f>
        <v>26.104836633199334</v>
      </c>
      <c r="EQ93" s="172">
        <f ca="1">(VLOOKUP(EQ$72,INDIRECT($C$5&amp;"生成成长"),2))/((VLOOKUP($B93,INDIRECT($B$5&amp;"生成成长"),4))/(VLOOKUP(EQ$72,INDIRECT($C$5&amp;"生成成长"),5))*(VLOOKUP($B$5,标准坦克设计!$B$24:$U$30,MATCH("对"&amp;LEFT($C$5,2)&amp;"输出",标准坦克设计!$B$23:$U$23,0)))*(VLOOKUP($B93,INDIRECT($B$5&amp;"生成成长"),3))*(VLOOKUP($B$5,标准坦克设计!$B$14:$K$20,9)/30))</f>
        <v>11.540023088560201</v>
      </c>
      <c r="ER93" s="172">
        <f ca="1">(VLOOKUP(ER$72,INDIRECT($C$5&amp;"生成成长"),2))/((VLOOKUP($B93,INDIRECT($B$5&amp;"生成成长"),4))/(VLOOKUP(ER$72,INDIRECT($C$5&amp;"生成成长"),5))*(VLOOKUP($B$5,标准坦克设计!$B$24:$U$30,MATCH("对"&amp;LEFT($C$5,2)&amp;"输出",标准坦克设计!$B$23:$U$23,0)))*(VLOOKUP($B93,INDIRECT($B$5&amp;"生成成长"),3))*(VLOOKUP($B$5,标准坦克设计!$B$14:$K$20,9)/30))</f>
        <v>12.586438098395334</v>
      </c>
      <c r="ES93" s="172">
        <f ca="1">(VLOOKUP(ES$72,INDIRECT($C$5&amp;"生成成长"),2))/((VLOOKUP($B93,INDIRECT($B$5&amp;"生成成长"),4))/(VLOOKUP(ES$72,INDIRECT($C$5&amp;"生成成长"),5))*(VLOOKUP($B$5,标准坦克设计!$B$24:$U$30,MATCH("对"&amp;LEFT($C$5,2)&amp;"输出",标准坦克设计!$B$23:$U$23,0)))*(VLOOKUP($B93,INDIRECT($B$5&amp;"生成成长"),3))*(VLOOKUP($B$5,标准坦克设计!$B$14:$K$20,9)/30))</f>
        <v>13.678259676704581</v>
      </c>
      <c r="ET93" s="172">
        <f ca="1">(VLOOKUP(ET$72,INDIRECT($C$5&amp;"生成成长"),2))/((VLOOKUP($B93,INDIRECT($B$5&amp;"生成成长"),4))/(VLOOKUP(ET$72,INDIRECT($C$5&amp;"生成成长"),5))*(VLOOKUP($B$5,标准坦克设计!$B$24:$U$30,MATCH("对"&amp;LEFT($C$5,2)&amp;"输出",标准坦克设计!$B$23:$U$23,0)))*(VLOOKUP($B93,INDIRECT($B$5&amp;"生成成长"),3))*(VLOOKUP($B$5,标准坦克设计!$B$14:$K$20,9)/30))</f>
        <v>14.815487823487937</v>
      </c>
      <c r="EU93" s="172">
        <f ca="1">(VLOOKUP(EU$72,INDIRECT($C$5&amp;"生成成长"),2))/((VLOOKUP($B93,INDIRECT($B$5&amp;"生成成长"),4))/(VLOOKUP(EU$72,INDIRECT($C$5&amp;"生成成长"),5))*(VLOOKUP($B$5,标准坦克设计!$B$24:$U$30,MATCH("对"&amp;LEFT($C$5,2)&amp;"输出",标准坦克设计!$B$23:$U$23,0)))*(VLOOKUP($B93,INDIRECT($B$5&amp;"生成成长"),3))*(VLOOKUP($B$5,标准坦克设计!$B$14:$K$20,9)/30))</f>
        <v>15.998122538745395</v>
      </c>
      <c r="EV93" s="172">
        <f ca="1">(VLOOKUP(EV$72,INDIRECT($C$5&amp;"生成成长"),2))/((VLOOKUP($B93,INDIRECT($B$5&amp;"生成成长"),4))/(VLOOKUP(EV$72,INDIRECT($C$5&amp;"生成成长"),5))*(VLOOKUP($B$5,标准坦克设计!$B$24:$U$30,MATCH("对"&amp;LEFT($C$5,2)&amp;"输出",标准坦克设计!$B$23:$U$23,0)))*(VLOOKUP($B93,INDIRECT($B$5&amp;"生成成长"),3))*(VLOOKUP($B$5,标准坦克设计!$B$14:$K$20,9)/30))</f>
        <v>17.226163822476966</v>
      </c>
      <c r="EW93" s="172">
        <f ca="1">(VLOOKUP(EW$72,INDIRECT($C$5&amp;"生成成长"),2))/((VLOOKUP($B93,INDIRECT($B$5&amp;"生成成长"),4))/(VLOOKUP(EW$72,INDIRECT($C$5&amp;"生成成长"),5))*(VLOOKUP($B$5,标准坦克设计!$B$24:$U$30,MATCH("对"&amp;LEFT($C$5,2)&amp;"输出",标准坦克设计!$B$23:$U$23,0)))*(VLOOKUP($B93,INDIRECT($B$5&amp;"生成成长"),3))*(VLOOKUP($B$5,标准坦克设计!$B$14:$K$20,9)/30))</f>
        <v>18.499611674682647</v>
      </c>
      <c r="EX93" s="172">
        <f ca="1">(VLOOKUP(EX$72,INDIRECT($C$5&amp;"生成成长"),2))/((VLOOKUP($B93,INDIRECT($B$5&amp;"生成成长"),4))/(VLOOKUP(EX$72,INDIRECT($C$5&amp;"生成成长"),5))*(VLOOKUP($B$5,标准坦克设计!$B$24:$U$30,MATCH("对"&amp;LEFT($C$5,2)&amp;"输出",标准坦克设计!$B$23:$U$23,0)))*(VLOOKUP($B93,INDIRECT($B$5&amp;"生成成长"),3))*(VLOOKUP($B$5,标准坦克设计!$B$14:$K$20,9)/30))</f>
        <v>19.818466095362432</v>
      </c>
      <c r="EY93" s="172">
        <f ca="1">(VLOOKUP(EY$72,INDIRECT($C$5&amp;"生成成长"),2))/((VLOOKUP($B93,INDIRECT($B$5&amp;"生成成长"),4))/(VLOOKUP(EY$72,INDIRECT($C$5&amp;"生成成长"),5))*(VLOOKUP($B$5,标准坦克设计!$B$24:$U$30,MATCH("对"&amp;LEFT($C$5,2)&amp;"输出",标准坦克设计!$B$23:$U$23,0)))*(VLOOKUP($B93,INDIRECT($B$5&amp;"生成成长"),3))*(VLOOKUP($B$5,标准坦克设计!$B$14:$K$20,9)/30))</f>
        <v>21.18272708451633</v>
      </c>
      <c r="EZ93" s="172">
        <f ca="1">(VLOOKUP(EZ$72,INDIRECT($C$5&amp;"生成成长"),2))/((VLOOKUP($B93,INDIRECT($B$5&amp;"生成成长"),4))/(VLOOKUP(EZ$72,INDIRECT($C$5&amp;"生成成长"),5))*(VLOOKUP($B$5,标准坦克设计!$B$24:$U$30,MATCH("对"&amp;LEFT($C$5,2)&amp;"输出",标准坦克设计!$B$23:$U$23,0)))*(VLOOKUP($B93,INDIRECT($B$5&amp;"生成成长"),3))*(VLOOKUP($B$5,标准坦克设计!$B$14:$K$20,9)/30))</f>
        <v>22.592394642144335</v>
      </c>
      <c r="FA93" s="172">
        <f ca="1">(VLOOKUP(FA$72,INDIRECT($C$5&amp;"生成成长"),2))/((VLOOKUP($B93,INDIRECT($B$5&amp;"生成成长"),4))/(VLOOKUP(FA$72,INDIRECT($C$5&amp;"生成成长"),5))*(VLOOKUP($B$5,标准坦克设计!$B$24:$U$30,MATCH("对"&amp;LEFT($C$5,2)&amp;"输出",标准坦克设计!$B$23:$U$23,0)))*(VLOOKUP($B93,INDIRECT($B$5&amp;"生成成长"),3))*(VLOOKUP($B$5,标准坦克设计!$B$14:$K$20,9)/30))</f>
        <v>24.047468768246446</v>
      </c>
      <c r="FB93" s="172">
        <f ca="1">(VLOOKUP(FB$72,INDIRECT($C$5&amp;"生成成长"),2))/((VLOOKUP($B93,INDIRECT($B$5&amp;"生成成长"),4))/(VLOOKUP(FB$72,INDIRECT($C$5&amp;"生成成长"),5))*(VLOOKUP($B$5,标准坦克设计!$B$24:$U$30,MATCH("对"&amp;LEFT($C$5,2)&amp;"输出",标准坦克设计!$B$23:$U$23,0)))*(VLOOKUP($B93,INDIRECT($B$5&amp;"生成成长"),3))*(VLOOKUP($B$5,标准坦克设计!$B$14:$K$20,9)/30))</f>
        <v>25.547949462822672</v>
      </c>
      <c r="FC93" s="172">
        <f ca="1">(VLOOKUP(FC$72,INDIRECT($C$5&amp;"生成成长"),2))/((VLOOKUP($B93,INDIRECT($B$5&amp;"生成成长"),4))/(VLOOKUP(FC$72,INDIRECT($C$5&amp;"生成成长"),5))*(VLOOKUP($B$5,标准坦克设计!$B$24:$U$30,MATCH("对"&amp;LEFT($C$5,2)&amp;"输出",标准坦克设计!$B$23:$U$23,0)))*(VLOOKUP($B93,INDIRECT($B$5&amp;"生成成长"),3))*(VLOOKUP($B$5,标准坦克设计!$B$14:$K$20,9)/30))</f>
        <v>27.093836725872993</v>
      </c>
      <c r="FD93" s="172">
        <f ca="1">(VLOOKUP(FD$72,INDIRECT($C$5&amp;"生成成长"),2))/((VLOOKUP($B93,INDIRECT($B$5&amp;"生成成长"),4))/(VLOOKUP(FD$72,INDIRECT($C$5&amp;"生成成长"),5))*(VLOOKUP($B$5,标准坦克设计!$B$24:$U$30,MATCH("对"&amp;LEFT($C$5,2)&amp;"输出",标准坦克设计!$B$23:$U$23,0)))*(VLOOKUP($B93,INDIRECT($B$5&amp;"生成成长"),3))*(VLOOKUP($B$5,标准坦克设计!$B$14:$K$20,9)/30))</f>
        <v>28.685130557397429</v>
      </c>
      <c r="FE93" s="172">
        <f ca="1">(VLOOKUP(FE$72,INDIRECT($C$5&amp;"生成成长"),2))/((VLOOKUP($B93,INDIRECT($B$5&amp;"生成成长"),4))/(VLOOKUP(FE$72,INDIRECT($C$5&amp;"生成成长"),5))*(VLOOKUP($B$5,标准坦克设计!$B$24:$U$30,MATCH("对"&amp;LEFT($C$5,2)&amp;"输出",标准坦克设计!$B$23:$U$23,0)))*(VLOOKUP($B93,INDIRECT($B$5&amp;"生成成长"),3))*(VLOOKUP($B$5,标准坦克设计!$B$14:$K$20,9)/30))</f>
        <v>30.624291239959046</v>
      </c>
      <c r="FF93" s="172">
        <f ca="1">(VLOOKUP(FF$72,INDIRECT($C$5&amp;"生成成长"),2))/((VLOOKUP($B93,INDIRECT($B$5&amp;"生成成长"),4))/(VLOOKUP(FF$72,INDIRECT($C$5&amp;"生成成长"),5))*(VLOOKUP($B$5,标准坦克设计!$B$24:$U$30,MATCH("对"&amp;LEFT($C$5,2)&amp;"输出",标准坦克设计!$B$23:$U$23,0)))*(VLOOKUP($B93,INDIRECT($B$5&amp;"生成成长"),3))*(VLOOKUP($B$5,标准坦克设计!$B$14:$K$20,9)/30))</f>
        <v>32.626871014025824</v>
      </c>
      <c r="FG93" s="172">
        <f ca="1">(VLOOKUP(FG$72,INDIRECT($C$5&amp;"生成成长"),2))/((VLOOKUP($B93,INDIRECT($B$5&amp;"生成成长"),4))/(VLOOKUP(FG$72,INDIRECT($C$5&amp;"生成成长"),5))*(VLOOKUP($B$5,标准坦克设计!$B$24:$U$30,MATCH("对"&amp;LEFT($C$5,2)&amp;"输出",标准坦克设计!$B$23:$U$23,0)))*(VLOOKUP($B93,INDIRECT($B$5&amp;"生成成长"),3))*(VLOOKUP($B$5,标准坦克设计!$B$14:$K$20,9)/30))</f>
        <v>34.692869879597765</v>
      </c>
      <c r="FH93" s="172">
        <f ca="1">(VLOOKUP(FH$72,INDIRECT($C$5&amp;"生成成长"),2))/((VLOOKUP($B93,INDIRECT($B$5&amp;"生成成长"),4))/(VLOOKUP(FH$72,INDIRECT($C$5&amp;"生成成长"),5))*(VLOOKUP($B$5,标准坦克设计!$B$24:$U$30,MATCH("对"&amp;LEFT($C$5,2)&amp;"输出",标准坦克设计!$B$23:$U$23,0)))*(VLOOKUP($B93,INDIRECT($B$5&amp;"生成成长"),3))*(VLOOKUP($B$5,标准坦克设计!$B$14:$K$20,9)/30))</f>
        <v>36.82228783667486</v>
      </c>
      <c r="FI93" s="172">
        <f ca="1">(VLOOKUP(FI$72,INDIRECT($C$5&amp;"生成成长"),2))/((VLOOKUP($B93,INDIRECT($B$5&amp;"生成成长"),4))/(VLOOKUP(FI$72,INDIRECT($C$5&amp;"生成成长"),5))*(VLOOKUP($B$5,标准坦克设计!$B$24:$U$30,MATCH("对"&amp;LEFT($C$5,2)&amp;"输出",标准坦克设计!$B$23:$U$23,0)))*(VLOOKUP($B93,INDIRECT($B$5&amp;"生成成长"),3))*(VLOOKUP($B$5,标准坦克设计!$B$14:$K$20,9)/30))</f>
        <v>39.015124885257109</v>
      </c>
      <c r="FJ93" s="172">
        <f ca="1">(VLOOKUP(FJ$72,INDIRECT($C$5&amp;"生成成长"),2))/((VLOOKUP($B93,INDIRECT($B$5&amp;"生成成长"),4))/(VLOOKUP(FJ$72,INDIRECT($C$5&amp;"生成成长"),5))*(VLOOKUP($B$5,标准坦克设计!$B$24:$U$30,MATCH("对"&amp;LEFT($C$5,2)&amp;"输出",标准坦克设计!$B$23:$U$23,0)))*(VLOOKUP($B93,INDIRECT($B$5&amp;"生成成长"),3))*(VLOOKUP($B$5,标准坦克设计!$B$14:$K$20,9)/30))</f>
        <v>41.271381025344532</v>
      </c>
      <c r="FK93" s="172">
        <f ca="1">(VLOOKUP(FK$72,INDIRECT($C$5&amp;"生成成长"),2))/((VLOOKUP($B93,INDIRECT($B$5&amp;"生成成长"),4))/(VLOOKUP(FK$72,INDIRECT($C$5&amp;"生成成长"),5))*(VLOOKUP($B$5,标准坦克设计!$B$24:$U$30,MATCH("对"&amp;LEFT($C$5,2)&amp;"输出",标准坦克设计!$B$23:$U$23,0)))*(VLOOKUP($B93,INDIRECT($B$5&amp;"生成成长"),3))*(VLOOKUP($B$5,标准坦克设计!$B$14:$K$20,9)/30))</f>
        <v>43.591056256937101</v>
      </c>
    </row>
    <row r="94" spans="1:167" x14ac:dyDescent="0.15">
      <c r="A94" s="170" t="str">
        <f t="shared" si="11"/>
        <v>T4低品质1级</v>
      </c>
      <c r="B94" s="171">
        <v>10401</v>
      </c>
      <c r="C94" s="172">
        <f ca="1">(VLOOKUP(C$72,INDIRECT($C$5&amp;"生成成长"),2))/((VLOOKUP($B94,INDIRECT($B$5&amp;"生成成长"),4))/(VLOOKUP(C$72,INDIRECT($C$5&amp;"生成成长"),5))*(VLOOKUP($B$5,标准坦克设计!$B$24:$U$30,MATCH("对"&amp;LEFT($C$5,2)&amp;"输出",标准坦克设计!$B$23:$U$23,0)))*(VLOOKUP($B94,INDIRECT($B$5&amp;"生成成长"),3))*(VLOOKUP($B$5,标准坦克设计!$B$14:$K$20,9)/30))</f>
        <v>2.5925979212612749</v>
      </c>
      <c r="D94" s="172">
        <f ca="1">(VLOOKUP(D$72,INDIRECT($C$5&amp;"生成成长"),2))/((VLOOKUP($B94,INDIRECT($B$5&amp;"生成成长"),4))/(VLOOKUP(D$72,INDIRECT($C$5&amp;"生成成长"),5))*(VLOOKUP($B$5,标准坦克设计!$B$24:$U$30,MATCH("对"&amp;LEFT($C$5,2)&amp;"输出",标准坦克设计!$B$23:$U$23,0)))*(VLOOKUP($B94,INDIRECT($B$5&amp;"生成成长"),3))*(VLOOKUP($B$5,标准坦克设计!$B$14:$K$20,9)/30))</f>
        <v>2.9130430243291685</v>
      </c>
      <c r="E94" s="172">
        <f ca="1">(VLOOKUP(E$72,INDIRECT($C$5&amp;"生成成长"),2))/((VLOOKUP($B94,INDIRECT($B$5&amp;"生成成长"),4))/(VLOOKUP(E$72,INDIRECT($C$5&amp;"生成成长"),5))*(VLOOKUP($B$5,标准坦克设计!$B$24:$U$30,MATCH("对"&amp;LEFT($C$5,2)&amp;"输出",标准坦克设计!$B$23:$U$23,0)))*(VLOOKUP($B94,INDIRECT($B$5&amp;"生成成长"),3))*(VLOOKUP($B$5,标准坦克设计!$B$14:$K$20,9)/30))</f>
        <v>3.2521548324301439</v>
      </c>
      <c r="F94" s="172">
        <f ca="1">(VLOOKUP(F$72,INDIRECT($C$5&amp;"生成成长"),2))/((VLOOKUP($B94,INDIRECT($B$5&amp;"生成成长"),4))/(VLOOKUP(F$72,INDIRECT($C$5&amp;"生成成长"),5))*(VLOOKUP($B$5,标准坦克设计!$B$24:$U$30,MATCH("对"&amp;LEFT($C$5,2)&amp;"输出",标准坦克设计!$B$23:$U$23,0)))*(VLOOKUP($B94,INDIRECT($B$5&amp;"生成成长"),3))*(VLOOKUP($B$5,标准坦克设计!$B$14:$K$20,9)/30))</f>
        <v>3.6099333455641993</v>
      </c>
      <c r="G94" s="172">
        <f ca="1">(VLOOKUP(G$72,INDIRECT($C$5&amp;"生成成长"),2))/((VLOOKUP($B94,INDIRECT($B$5&amp;"生成成长"),4))/(VLOOKUP(G$72,INDIRECT($C$5&amp;"生成成长"),5))*(VLOOKUP($B$5,标准坦克设计!$B$24:$U$30,MATCH("对"&amp;LEFT($C$5,2)&amp;"输出",标准坦克设计!$B$23:$U$23,0)))*(VLOOKUP($B94,INDIRECT($B$5&amp;"生成成长"),3))*(VLOOKUP($B$5,标准坦克设计!$B$14:$K$20,9)/30))</f>
        <v>3.9863785637313365</v>
      </c>
      <c r="H94" s="172">
        <f ca="1">(VLOOKUP(H$72,INDIRECT($C$5&amp;"生成成长"),2))/((VLOOKUP($B94,INDIRECT($B$5&amp;"生成成长"),4))/(VLOOKUP(H$72,INDIRECT($C$5&amp;"生成成长"),5))*(VLOOKUP($B$5,标准坦克设计!$B$24:$U$30,MATCH("对"&amp;LEFT($C$5,2)&amp;"输出",标准坦克设计!$B$23:$U$23,0)))*(VLOOKUP($B94,INDIRECT($B$5&amp;"生成成长"),3))*(VLOOKUP($B$5,标准坦克设计!$B$14:$K$20,9)/30))</f>
        <v>3.4885997628491716</v>
      </c>
      <c r="I94" s="172">
        <f ca="1">(VLOOKUP(I$72,INDIRECT($C$5&amp;"生成成长"),2))/((VLOOKUP($B94,INDIRECT($B$5&amp;"生成成长"),4))/(VLOOKUP(I$72,INDIRECT($C$5&amp;"生成成长"),5))*(VLOOKUP($B$5,标准坦克设计!$B$24:$U$30,MATCH("对"&amp;LEFT($C$5,2)&amp;"输出",标准坦克设计!$B$23:$U$23,0)))*(VLOOKUP($B94,INDIRECT($B$5&amp;"生成成长"),3))*(VLOOKUP($B$5,标准坦克设计!$B$14:$K$20,9)/30))</f>
        <v>3.9863785637313365</v>
      </c>
      <c r="J94" s="172">
        <f ca="1">(VLOOKUP(J$72,INDIRECT($C$5&amp;"生成成长"),2))/((VLOOKUP($B94,INDIRECT($B$5&amp;"生成成长"),4))/(VLOOKUP(J$72,INDIRECT($C$5&amp;"生成成长"),5))*(VLOOKUP($B$5,标准坦克设计!$B$24:$U$30,MATCH("对"&amp;LEFT($C$5,2)&amp;"输出",标准坦克设计!$B$23:$U$23,0)))*(VLOOKUP($B94,INDIRECT($B$5&amp;"生成成长"),3))*(VLOOKUP($B$5,标准坦克设计!$B$14:$K$20,9)/30))</f>
        <v>4.517342618005646</v>
      </c>
      <c r="K94" s="172">
        <f ca="1">(VLOOKUP(K$72,INDIRECT($C$5&amp;"生成成长"),2))/((VLOOKUP($B94,INDIRECT($B$5&amp;"生成成长"),4))/(VLOOKUP(K$72,INDIRECT($C$5&amp;"生成成长"),5))*(VLOOKUP($B$5,标准坦克设计!$B$24:$U$30,MATCH("对"&amp;LEFT($C$5,2)&amp;"输出",标准坦克设计!$B$23:$U$23,0)))*(VLOOKUP($B94,INDIRECT($B$5&amp;"生成成长"),3))*(VLOOKUP($B$5,标准坦克设计!$B$14:$K$20,9)/30))</f>
        <v>5.0814919256720987</v>
      </c>
      <c r="L94" s="172">
        <f ca="1">(VLOOKUP(L$72,INDIRECT($C$5&amp;"生成成长"),2))/((VLOOKUP($B94,INDIRECT($B$5&amp;"生成成长"),4))/(VLOOKUP(L$72,INDIRECT($C$5&amp;"生成成长"),5))*(VLOOKUP($B$5,标准坦克设计!$B$24:$U$30,MATCH("对"&amp;LEFT($C$5,2)&amp;"输出",标准坦克设计!$B$23:$U$23,0)))*(VLOOKUP($B94,INDIRECT($B$5&amp;"生成成长"),3))*(VLOOKUP($B$5,标准坦克设计!$B$14:$K$20,9)/30))</f>
        <v>5.6788264867306975</v>
      </c>
      <c r="M94" s="172">
        <f ca="1">(VLOOKUP(M$72,INDIRECT($C$5&amp;"生成成长"),2))/((VLOOKUP($B94,INDIRECT($B$5&amp;"生成成长"),4))/(VLOOKUP(M$72,INDIRECT($C$5&amp;"生成成长"),5))*(VLOOKUP($B$5,标准坦克设计!$B$24:$U$30,MATCH("对"&amp;LEFT($C$5,2)&amp;"输出",标准坦克设计!$B$23:$U$23,0)))*(VLOOKUP($B94,INDIRECT($B$5&amp;"生成成长"),3))*(VLOOKUP($B$5,标准坦克设计!$B$14:$K$20,9)/30))</f>
        <v>6.3093463011814386</v>
      </c>
      <c r="N94" s="172">
        <f ca="1">(VLOOKUP(N$72,INDIRECT($C$5&amp;"生成成长"),2))/((VLOOKUP($B94,INDIRECT($B$5&amp;"生成成长"),4))/(VLOOKUP(N$72,INDIRECT($C$5&amp;"生成成长"),5))*(VLOOKUP($B$5,标准坦克设计!$B$24:$U$30,MATCH("对"&amp;LEFT($C$5,2)&amp;"输出",标准坦克设计!$B$23:$U$23,0)))*(VLOOKUP($B94,INDIRECT($B$5&amp;"生成成长"),3))*(VLOOKUP($B$5,标准坦克设计!$B$14:$K$20,9)/30))</f>
        <v>6.9730513690243248</v>
      </c>
      <c r="O94" s="172">
        <f ca="1">(VLOOKUP(O$72,INDIRECT($C$5&amp;"生成成长"),2))/((VLOOKUP($B94,INDIRECT($B$5&amp;"生成成长"),4))/(VLOOKUP(O$72,INDIRECT($C$5&amp;"生成成长"),5))*(VLOOKUP($B$5,标准坦克设计!$B$24:$U$30,MATCH("对"&amp;LEFT($C$5,2)&amp;"输出",标准坦克设计!$B$23:$U$23,0)))*(VLOOKUP($B94,INDIRECT($B$5&amp;"生成成长"),3))*(VLOOKUP($B$5,标准坦克设计!$B$14:$K$20,9)/30))</f>
        <v>5.3016034891871806</v>
      </c>
      <c r="P94" s="172">
        <f ca="1">(VLOOKUP(P$72,INDIRECT($C$5&amp;"生成成长"),2))/((VLOOKUP($B94,INDIRECT($B$5&amp;"生成成长"),4))/(VLOOKUP(P$72,INDIRECT($C$5&amp;"生成成长"),5))*(VLOOKUP($B$5,标准坦克设计!$B$24:$U$30,MATCH("对"&amp;LEFT($C$5,2)&amp;"输出",标准坦克设计!$B$23:$U$23,0)))*(VLOOKUP($B94,INDIRECT($B$5&amp;"生成成长"),3))*(VLOOKUP($B$5,标准坦克设计!$B$14:$K$20,9)/30))</f>
        <v>5.9899382372820495</v>
      </c>
      <c r="Q94" s="172">
        <f ca="1">(VLOOKUP(Q$72,INDIRECT($C$5&amp;"生成成长"),2))/((VLOOKUP($B94,INDIRECT($B$5&amp;"生成成长"),4))/(VLOOKUP(Q$72,INDIRECT($C$5&amp;"生成成长"),5))*(VLOOKUP($B$5,标准坦克设计!$B$24:$U$30,MATCH("对"&amp;LEFT($C$5,2)&amp;"输出",标准坦克设计!$B$23:$U$23,0)))*(VLOOKUP($B94,INDIRECT($B$5&amp;"生成成长"),3))*(VLOOKUP($B$5,标准坦克设计!$B$14:$K$20,9)/30))</f>
        <v>6.7202730717013504</v>
      </c>
      <c r="R94" s="172">
        <f ca="1">(VLOOKUP(R$72,INDIRECT($C$5&amp;"生成成长"),2))/((VLOOKUP($B94,INDIRECT($B$5&amp;"生成成长"),4))/(VLOOKUP(R$72,INDIRECT($C$5&amp;"生成成长"),5))*(VLOOKUP($B$5,标准坦克设计!$B$24:$U$30,MATCH("对"&amp;LEFT($C$5,2)&amp;"输出",标准坦克设计!$B$23:$U$23,0)))*(VLOOKUP($B94,INDIRECT($B$5&amp;"生成成长"),3))*(VLOOKUP($B$5,标准坦克设计!$B$14:$K$20,9)/30))</f>
        <v>7.4926079924450848</v>
      </c>
      <c r="S94" s="172">
        <f ca="1">(VLOOKUP(S$72,INDIRECT($C$5&amp;"生成成长"),2))/((VLOOKUP($B94,INDIRECT($B$5&amp;"生成成长"),4))/(VLOOKUP(S$72,INDIRECT($C$5&amp;"生成成长"),5))*(VLOOKUP($B$5,标准坦克设计!$B$24:$U$30,MATCH("对"&amp;LEFT($C$5,2)&amp;"输出",标准坦克设计!$B$23:$U$23,0)))*(VLOOKUP($B94,INDIRECT($B$5&amp;"生成成长"),3))*(VLOOKUP($B$5,标准坦克设计!$B$14:$K$20,9)/30))</f>
        <v>8.306942999513252</v>
      </c>
      <c r="T94" s="172">
        <f ca="1">(VLOOKUP(T$72,INDIRECT($C$5&amp;"生成成长"),2))/((VLOOKUP($B94,INDIRECT($B$5&amp;"生成成长"),4))/(VLOOKUP(T$72,INDIRECT($C$5&amp;"生成成长"),5))*(VLOOKUP($B$5,标准坦克设计!$B$24:$U$30,MATCH("对"&amp;LEFT($C$5,2)&amp;"输出",标准坦克设计!$B$23:$U$23,0)))*(VLOOKUP($B94,INDIRECT($B$5&amp;"生成成长"),3))*(VLOOKUP($B$5,标准坦克设计!$B$14:$K$20,9)/30))</f>
        <v>9.1632780929058502</v>
      </c>
      <c r="U94" s="172">
        <f ca="1">(VLOOKUP(U$72,INDIRECT($C$5&amp;"生成成长"),2))/((VLOOKUP($B94,INDIRECT($B$5&amp;"生成成长"),4))/(VLOOKUP(U$72,INDIRECT($C$5&amp;"生成成长"),5))*(VLOOKUP($B$5,标准坦克设计!$B$24:$U$30,MATCH("对"&amp;LEFT($C$5,2)&amp;"输出",标准坦克设计!$B$23:$U$23,0)))*(VLOOKUP($B94,INDIRECT($B$5&amp;"生成成长"),3))*(VLOOKUP($B$5,标准坦克设计!$B$14:$K$20,9)/30))</f>
        <v>10.061613272622884</v>
      </c>
      <c r="V94" s="172">
        <f ca="1">(VLOOKUP(V$72,INDIRECT($C$5&amp;"生成成长"),2))/((VLOOKUP($B94,INDIRECT($B$5&amp;"生成成长"),4))/(VLOOKUP(V$72,INDIRECT($C$5&amp;"生成成长"),5))*(VLOOKUP($B$5,标准坦克设计!$B$24:$U$30,MATCH("对"&amp;LEFT($C$5,2)&amp;"输出",标准坦克设计!$B$23:$U$23,0)))*(VLOOKUP($B94,INDIRECT($B$5&amp;"生成成长"),3))*(VLOOKUP($B$5,标准坦克设计!$B$14:$K$20,9)/30))</f>
        <v>11.001948538664347</v>
      </c>
      <c r="W94" s="172">
        <f ca="1">(VLOOKUP(W$72,INDIRECT($C$5&amp;"生成成长"),2))/((VLOOKUP($B94,INDIRECT($B$5&amp;"生成成长"),4))/(VLOOKUP(W$72,INDIRECT($C$5&amp;"生成成长"),5))*(VLOOKUP($B$5,标准坦克设计!$B$24:$U$30,MATCH("对"&amp;LEFT($C$5,2)&amp;"输出",标准坦克设计!$B$23:$U$23,0)))*(VLOOKUP($B94,INDIRECT($B$5&amp;"生成成长"),3))*(VLOOKUP($B$5,标准坦克设计!$B$14:$K$20,9)/30))</f>
        <v>11.984283891030243</v>
      </c>
      <c r="X94" s="172">
        <f ca="1">(VLOOKUP(X$72,INDIRECT($C$5&amp;"生成成长"),2))/((VLOOKUP($B94,INDIRECT($B$5&amp;"生成成长"),4))/(VLOOKUP(X$72,INDIRECT($C$5&amp;"生成成长"),5))*(VLOOKUP($B$5,标准坦克设计!$B$24:$U$30,MATCH("对"&amp;LEFT($C$5,2)&amp;"输出",标准坦克设计!$B$23:$U$23,0)))*(VLOOKUP($B94,INDIRECT($B$5&amp;"生成成长"),3))*(VLOOKUP($B$5,标准坦克设计!$B$14:$K$20,9)/30))</f>
        <v>8.682351178511885</v>
      </c>
      <c r="Y94" s="172">
        <f ca="1">(VLOOKUP(Y$72,INDIRECT($C$5&amp;"生成成长"),2))/((VLOOKUP($B94,INDIRECT($B$5&amp;"生成成长"),4))/(VLOOKUP(Y$72,INDIRECT($C$5&amp;"生成成长"),5))*(VLOOKUP($B$5,标准坦克设计!$B$24:$U$30,MATCH("对"&amp;LEFT($C$5,2)&amp;"输出",标准坦克设计!$B$23:$U$23,0)))*(VLOOKUP($B94,INDIRECT($B$5&amp;"生成成长"),3))*(VLOOKUP($B$5,标准坦克设计!$B$14:$K$20,9)/30))</f>
        <v>9.6571679969061233</v>
      </c>
      <c r="Z94" s="172">
        <f ca="1">(VLOOKUP(Z$72,INDIRECT($C$5&amp;"生成成长"),2))/((VLOOKUP($B94,INDIRECT($B$5&amp;"生成成长"),4))/(VLOOKUP(Z$72,INDIRECT($C$5&amp;"生成成长"),5))*(VLOOKUP($B$5,标准坦克设计!$B$24:$U$30,MATCH("对"&amp;LEFT($C$5,2)&amp;"输出",标准坦克设计!$B$23:$U$23,0)))*(VLOOKUP($B94,INDIRECT($B$5&amp;"生成成长"),3))*(VLOOKUP($B$5,标准坦克设计!$B$14:$K$20,9)/30))</f>
        <v>10.683836773725588</v>
      </c>
      <c r="AA94" s="172">
        <f ca="1">(VLOOKUP(AA$72,INDIRECT($C$5&amp;"生成成长"),2))/((VLOOKUP($B94,INDIRECT($B$5&amp;"生成成长"),4))/(VLOOKUP(AA$72,INDIRECT($C$5&amp;"生成成长"),5))*(VLOOKUP($B$5,标准坦克设计!$B$24:$U$30,MATCH("对"&amp;LEFT($C$5,2)&amp;"输出",标准坦克设计!$B$23:$U$23,0)))*(VLOOKUP($B94,INDIRECT($B$5&amp;"生成成长"),3))*(VLOOKUP($B$5,标准坦克设计!$B$14:$K$20,9)/30))</f>
        <v>11.762357508970281</v>
      </c>
      <c r="AB94" s="172">
        <f ca="1">(VLOOKUP(AB$72,INDIRECT($C$5&amp;"生成成长"),2))/((VLOOKUP($B94,INDIRECT($B$5&amp;"生成成长"),4))/(VLOOKUP(AB$72,INDIRECT($C$5&amp;"生成成长"),5))*(VLOOKUP($B$5,标准坦克设计!$B$24:$U$30,MATCH("对"&amp;LEFT($C$5,2)&amp;"输出",标准坦克设计!$B$23:$U$23,0)))*(VLOOKUP($B94,INDIRECT($B$5&amp;"生成成长"),3))*(VLOOKUP($B$5,标准坦克设计!$B$14:$K$20,9)/30))</f>
        <v>12.892730202640193</v>
      </c>
      <c r="AC94" s="172">
        <f ca="1">(VLOOKUP(AC$72,INDIRECT($C$5&amp;"生成成长"),2))/((VLOOKUP($B94,INDIRECT($B$5&amp;"生成成长"),4))/(VLOOKUP(AC$72,INDIRECT($C$5&amp;"生成成长"),5))*(VLOOKUP($B$5,标准坦克设计!$B$24:$U$30,MATCH("对"&amp;LEFT($C$5,2)&amp;"输出",标准坦克设计!$B$23:$U$23,0)))*(VLOOKUP($B94,INDIRECT($B$5&amp;"生成成长"),3))*(VLOOKUP($B$5,标准坦克设计!$B$14:$K$20,9)/30))</f>
        <v>14.074954854735335</v>
      </c>
      <c r="AD94" s="172">
        <f ca="1">(VLOOKUP(AD$72,INDIRECT($C$5&amp;"生成成长"),2))/((VLOOKUP($B94,INDIRECT($B$5&amp;"生成成长"),4))/(VLOOKUP(AD$72,INDIRECT($C$5&amp;"生成成长"),5))*(VLOOKUP($B$5,标准坦克设计!$B$24:$U$30,MATCH("对"&amp;LEFT($C$5,2)&amp;"输出",标准坦克设计!$B$23:$U$23,0)))*(VLOOKUP($B94,INDIRECT($B$5&amp;"生成成长"),3))*(VLOOKUP($B$5,标准坦克设计!$B$14:$K$20,9)/30))</f>
        <v>15.309031465255703</v>
      </c>
      <c r="AE94" s="172">
        <f ca="1">(VLOOKUP(AE$72,INDIRECT($C$5&amp;"生成成长"),2))/((VLOOKUP($B94,INDIRECT($B$5&amp;"生成成长"),4))/(VLOOKUP(AE$72,INDIRECT($C$5&amp;"生成成长"),5))*(VLOOKUP($B$5,标准坦克设计!$B$24:$U$30,MATCH("对"&amp;LEFT($C$5,2)&amp;"输出",标准坦克设计!$B$23:$U$23,0)))*(VLOOKUP($B94,INDIRECT($B$5&amp;"生成成长"),3))*(VLOOKUP($B$5,标准坦克设计!$B$14:$K$20,9)/30))</f>
        <v>16.594960034201293</v>
      </c>
      <c r="AF94" s="172">
        <f ca="1">(VLOOKUP(AF$72,INDIRECT($C$5&amp;"生成成长"),2))/((VLOOKUP($B94,INDIRECT($B$5&amp;"生成成长"),4))/(VLOOKUP(AF$72,INDIRECT($C$5&amp;"生成成长"),5))*(VLOOKUP($B$5,标准坦克设计!$B$24:$U$30,MATCH("对"&amp;LEFT($C$5,2)&amp;"输出",标准坦克设计!$B$23:$U$23,0)))*(VLOOKUP($B94,INDIRECT($B$5&amp;"生成成长"),3))*(VLOOKUP($B$5,标准坦克设计!$B$14:$K$20,9)/30))</f>
        <v>17.932740561572114</v>
      </c>
      <c r="AG94" s="172">
        <f ca="1">(VLOOKUP(AG$72,INDIRECT($C$5&amp;"生成成长"),2))/((VLOOKUP($B94,INDIRECT($B$5&amp;"生成成长"),4))/(VLOOKUP(AG$72,INDIRECT($C$5&amp;"生成成长"),5))*(VLOOKUP($B$5,标准坦克设计!$B$24:$U$30,MATCH("对"&amp;LEFT($C$5,2)&amp;"输出",标准坦克设计!$B$23:$U$23,0)))*(VLOOKUP($B94,INDIRECT($B$5&amp;"生成成长"),3))*(VLOOKUP($B$5,标准坦克设计!$B$14:$K$20,9)/30))</f>
        <v>19.32237304736816</v>
      </c>
      <c r="AH94" s="172">
        <f ca="1">(VLOOKUP(AH$72,INDIRECT($C$5&amp;"生成成长"),2))/((VLOOKUP($B94,INDIRECT($B$5&amp;"生成成长"),4))/(VLOOKUP(AH$72,INDIRECT($C$5&amp;"生成成长"),5))*(VLOOKUP($B$5,标准坦克设计!$B$24:$U$30,MATCH("对"&amp;LEFT($C$5,2)&amp;"输出",标准坦克设计!$B$23:$U$23,0)))*(VLOOKUP($B94,INDIRECT($B$5&amp;"生成成长"),3))*(VLOOKUP($B$5,标准坦克设计!$B$14:$K$20,9)/30))</f>
        <v>20.763857491589427</v>
      </c>
      <c r="AI94" s="172">
        <f ca="1">(VLOOKUP(AI$72,INDIRECT($C$5&amp;"生成成长"),2))/((VLOOKUP($B94,INDIRECT($B$5&amp;"生成成长"),4))/(VLOOKUP(AI$72,INDIRECT($C$5&amp;"生成成长"),5))*(VLOOKUP($B$5,标准坦克设计!$B$24:$U$30,MATCH("对"&amp;LEFT($C$5,2)&amp;"输出",标准坦克设计!$B$23:$U$23,0)))*(VLOOKUP($B94,INDIRECT($B$5&amp;"生成成长"),3))*(VLOOKUP($B$5,标准坦克设计!$B$14:$K$20,9)/30))</f>
        <v>14.685511665192369</v>
      </c>
      <c r="AJ94" s="172">
        <f ca="1">(VLOOKUP(AJ$72,INDIRECT($C$5&amp;"生成成长"),2))/((VLOOKUP($B94,INDIRECT($B$5&amp;"生成成长"),4))/(VLOOKUP(AJ$72,INDIRECT($C$5&amp;"生成成长"),5))*(VLOOKUP($B$5,标准坦克设计!$B$24:$U$30,MATCH("对"&amp;LEFT($C$5,2)&amp;"输出",标准坦克设计!$B$23:$U$23,0)))*(VLOOKUP($B94,INDIRECT($B$5&amp;"生成成长"),3))*(VLOOKUP($B$5,标准坦克设计!$B$14:$K$20,9)/30))</f>
        <v>16.074366371612033</v>
      </c>
      <c r="AK94" s="172">
        <f ca="1">(VLOOKUP(AK$72,INDIRECT($C$5&amp;"生成成长"),2))/((VLOOKUP($B94,INDIRECT($B$5&amp;"生成成长"),4))/(VLOOKUP(AK$72,INDIRECT($C$5&amp;"生成成长"),5))*(VLOOKUP($B$5,标准坦克设计!$B$24:$U$30,MATCH("对"&amp;LEFT($C$5,2)&amp;"输出",标准坦克设计!$B$23:$U$23,0)))*(VLOOKUP($B94,INDIRECT($B$5&amp;"生成成长"),3))*(VLOOKUP($B$5,标准坦克设计!$B$14:$K$20,9)/30))</f>
        <v>17.525961947726216</v>
      </c>
      <c r="AL94" s="172">
        <f ca="1">(VLOOKUP(AL$72,INDIRECT($C$5&amp;"生成成长"),2))/((VLOOKUP($B94,INDIRECT($B$5&amp;"生成成长"),4))/(VLOOKUP(AL$72,INDIRECT($C$5&amp;"生成成长"),5))*(VLOOKUP($B$5,标准坦克设计!$B$24:$U$30,MATCH("对"&amp;LEFT($C$5,2)&amp;"输出",标准坦克设计!$B$23:$U$23,0)))*(VLOOKUP($B94,INDIRECT($B$5&amp;"生成成长"),3))*(VLOOKUP($B$5,标准坦克设计!$B$14:$K$20,9)/30))</f>
        <v>19.040298393534933</v>
      </c>
      <c r="AM94" s="172">
        <f ca="1">(VLOOKUP(AM$72,INDIRECT($C$5&amp;"生成成长"),2))/((VLOOKUP($B94,INDIRECT($B$5&amp;"生成成长"),4))/(VLOOKUP(AM$72,INDIRECT($C$5&amp;"生成成长"),5))*(VLOOKUP($B$5,标准坦克设计!$B$24:$U$30,MATCH("对"&amp;LEFT($C$5,2)&amp;"输出",标准坦克设计!$B$23:$U$23,0)))*(VLOOKUP($B94,INDIRECT($B$5&amp;"生成成长"),3))*(VLOOKUP($B$5,标准坦克设计!$B$14:$K$20,9)/30))</f>
        <v>20.617375709038161</v>
      </c>
      <c r="AN94" s="172">
        <f ca="1">(VLOOKUP(AN$72,INDIRECT($C$5&amp;"生成成长"),2))/((VLOOKUP($B94,INDIRECT($B$5&amp;"生成成长"),4))/(VLOOKUP(AN$72,INDIRECT($C$5&amp;"生成成长"),5))*(VLOOKUP($B$5,标准坦克设计!$B$24:$U$30,MATCH("对"&amp;LEFT($C$5,2)&amp;"输出",标准坦克设计!$B$23:$U$23,0)))*(VLOOKUP($B94,INDIRECT($B$5&amp;"生成成长"),3))*(VLOOKUP($B$5,标准坦克设计!$B$14:$K$20,9)/30))</f>
        <v>22.257193894235922</v>
      </c>
      <c r="AO94" s="172">
        <f ca="1">(VLOOKUP(AO$72,INDIRECT($C$5&amp;"生成成长"),2))/((VLOOKUP($B94,INDIRECT($B$5&amp;"生成成长"),4))/(VLOOKUP(AO$72,INDIRECT($C$5&amp;"生成成长"),5))*(VLOOKUP($B$5,标准坦克设计!$B$24:$U$30,MATCH("对"&amp;LEFT($C$5,2)&amp;"输出",标准坦克设计!$B$23:$U$23,0)))*(VLOOKUP($B94,INDIRECT($B$5&amp;"生成成长"),3))*(VLOOKUP($B$5,标准坦克设计!$B$14:$K$20,9)/30))</f>
        <v>23.959752949128198</v>
      </c>
      <c r="AP94" s="172">
        <f ca="1">(VLOOKUP(AP$72,INDIRECT($C$5&amp;"生成成长"),2))/((VLOOKUP($B94,INDIRECT($B$5&amp;"生成成长"),4))/(VLOOKUP(AP$72,INDIRECT($C$5&amp;"生成成长"),5))*(VLOOKUP($B$5,标准坦克设计!$B$24:$U$30,MATCH("对"&amp;LEFT($C$5,2)&amp;"输出",标准坦克设计!$B$23:$U$23,0)))*(VLOOKUP($B94,INDIRECT($B$5&amp;"生成成长"),3))*(VLOOKUP($B$5,标准坦克设计!$B$14:$K$20,9)/30))</f>
        <v>25.725052873715001</v>
      </c>
      <c r="AQ94" s="172">
        <f ca="1">(VLOOKUP(AQ$72,INDIRECT($C$5&amp;"生成成长"),2))/((VLOOKUP($B94,INDIRECT($B$5&amp;"生成成长"),4))/(VLOOKUP(AQ$72,INDIRECT($C$5&amp;"生成成长"),5))*(VLOOKUP($B$5,标准坦克设计!$B$24:$U$30,MATCH("对"&amp;LEFT($C$5,2)&amp;"输出",标准坦克设计!$B$23:$U$23,0)))*(VLOOKUP($B94,INDIRECT($B$5&amp;"生成成长"),3))*(VLOOKUP($B$5,标准坦克设计!$B$14:$K$20,9)/30))</f>
        <v>27.553093667996325</v>
      </c>
      <c r="AR94" s="172">
        <f ca="1">(VLOOKUP(AR$72,INDIRECT($C$5&amp;"生成成长"),2))/((VLOOKUP($B94,INDIRECT($B$5&amp;"生成成长"),4))/(VLOOKUP(AR$72,INDIRECT($C$5&amp;"生成成长"),5))*(VLOOKUP($B$5,标准坦克设计!$B$24:$U$30,MATCH("对"&amp;LEFT($C$5,2)&amp;"输出",标准坦克设计!$B$23:$U$23,0)))*(VLOOKUP($B94,INDIRECT($B$5&amp;"生成成长"),3))*(VLOOKUP($B$5,标准坦克设计!$B$14:$K$20,9)/30))</f>
        <v>29.443875331972173</v>
      </c>
      <c r="AS94" s="172">
        <f ca="1">(VLOOKUP(AS$72,INDIRECT($C$5&amp;"生成成长"),2))/((VLOOKUP($B94,INDIRECT($B$5&amp;"生成成长"),4))/(VLOOKUP(AS$72,INDIRECT($C$5&amp;"生成成长"),5))*(VLOOKUP($B$5,标准坦克设计!$B$24:$U$30,MATCH("对"&amp;LEFT($C$5,2)&amp;"输出",标准坦克设计!$B$23:$U$23,0)))*(VLOOKUP($B94,INDIRECT($B$5&amp;"生成成长"),3))*(VLOOKUP($B$5,标准坦克设计!$B$14:$K$20,9)/30))</f>
        <v>31.397397865642546</v>
      </c>
      <c r="AT94" s="172">
        <f ca="1">(VLOOKUP(AT$72,INDIRECT($C$5&amp;"生成成长"),2))/((VLOOKUP($B94,INDIRECT($B$5&amp;"生成成长"),4))/(VLOOKUP(AT$72,INDIRECT($C$5&amp;"生成成长"),5))*(VLOOKUP($B$5,标准坦克设计!$B$24:$U$30,MATCH("对"&amp;LEFT($C$5,2)&amp;"输出",标准坦克设计!$B$23:$U$23,0)))*(VLOOKUP($B94,INDIRECT($B$5&amp;"生成成长"),3))*(VLOOKUP($B$5,标准坦克设计!$B$14:$K$20,9)/30))</f>
        <v>33.413661269007441</v>
      </c>
      <c r="AU94" s="172">
        <f ca="1">(VLOOKUP(AU$72,INDIRECT($C$5&amp;"生成成长"),2))/((VLOOKUP($B94,INDIRECT($B$5&amp;"生成成长"),4))/(VLOOKUP(AU$72,INDIRECT($C$5&amp;"生成成长"),5))*(VLOOKUP($B$5,标准坦克设计!$B$24:$U$30,MATCH("对"&amp;LEFT($C$5,2)&amp;"输出",标准坦克设计!$B$23:$U$23,0)))*(VLOOKUP($B94,INDIRECT($B$5&amp;"生成成长"),3))*(VLOOKUP($B$5,标准坦克设计!$B$14:$K$20,9)/30))</f>
        <v>35.49266554206686</v>
      </c>
      <c r="AV94" s="172">
        <f ca="1">(VLOOKUP(AV$72,INDIRECT($C$5&amp;"生成成长"),2))/((VLOOKUP($B94,INDIRECT($B$5&amp;"生成成长"),4))/(VLOOKUP(AV$72,INDIRECT($C$5&amp;"生成成长"),5))*(VLOOKUP($B$5,标准坦克设计!$B$24:$U$30,MATCH("对"&amp;LEFT($C$5,2)&amp;"输出",标准坦克设计!$B$23:$U$23,0)))*(VLOOKUP($B94,INDIRECT($B$5&amp;"生成成长"),3))*(VLOOKUP($B$5,标准坦克设计!$B$14:$K$20,9)/30))</f>
        <v>3.6099333455641993</v>
      </c>
      <c r="AW94" s="172">
        <f ca="1">(VLOOKUP(AW$72,INDIRECT($C$5&amp;"生成成长"),2))/((VLOOKUP($B94,INDIRECT($B$5&amp;"生成成长"),4))/(VLOOKUP(AW$72,INDIRECT($C$5&amp;"生成成长"),5))*(VLOOKUP($B$5,标准坦克设计!$B$24:$U$30,MATCH("对"&amp;LEFT($C$5,2)&amp;"输出",标准坦克设计!$B$23:$U$23,0)))*(VLOOKUP($B94,INDIRECT($B$5&amp;"生成成长"),3))*(VLOOKUP($B$5,标准坦克设计!$B$14:$K$20,9)/30))</f>
        <v>4.1160084597944007</v>
      </c>
      <c r="AX94" s="172">
        <f ca="1">(VLOOKUP(AX$72,INDIRECT($C$5&amp;"生成成长"),2))/((VLOOKUP($B94,INDIRECT($B$5&amp;"生成成长"),4))/(VLOOKUP(AX$72,INDIRECT($C$5&amp;"生成成长"),5))*(VLOOKUP($B$5,标准坦克设计!$B$24:$U$30,MATCH("对"&amp;LEFT($C$5,2)&amp;"输出",标准坦克设计!$B$23:$U$23,0)))*(VLOOKUP($B94,INDIRECT($B$5&amp;"生成成长"),3))*(VLOOKUP($B$5,标准坦克设计!$B$14:$K$20,9)/30))</f>
        <v>4.6552688274167453</v>
      </c>
      <c r="AY94" s="172">
        <f ca="1">(VLOOKUP(AY$72,INDIRECT($C$5&amp;"生成成长"),2))/((VLOOKUP($B94,INDIRECT($B$5&amp;"生成成长"),4))/(VLOOKUP(AY$72,INDIRECT($C$5&amp;"生成成长"),5))*(VLOOKUP($B$5,标准坦克设计!$B$24:$U$30,MATCH("对"&amp;LEFT($C$5,2)&amp;"输出",标准坦克设计!$B$23:$U$23,0)))*(VLOOKUP($B94,INDIRECT($B$5&amp;"生成成长"),3))*(VLOOKUP($B$5,标准坦克设计!$B$14:$K$20,9)/30))</f>
        <v>5.2277144484312341</v>
      </c>
      <c r="AZ94" s="172">
        <f ca="1">(VLOOKUP(AZ$72,INDIRECT($C$5&amp;"生成成长"),2))/((VLOOKUP($B94,INDIRECT($B$5&amp;"生成成长"),4))/(VLOOKUP(AZ$72,INDIRECT($C$5&amp;"生成成长"),5))*(VLOOKUP($B$5,标准坦克设计!$B$24:$U$30,MATCH("对"&amp;LEFT($C$5,2)&amp;"输出",标准坦克设计!$B$23:$U$23,0)))*(VLOOKUP($B94,INDIRECT($B$5&amp;"生成成长"),3))*(VLOOKUP($B$5,标准坦克设计!$B$14:$K$20,9)/30))</f>
        <v>5.833345322837868</v>
      </c>
      <c r="BA94" s="172">
        <f ca="1">(VLOOKUP(BA$72,INDIRECT($C$5&amp;"生成成长"),2))/((VLOOKUP($B94,INDIRECT($B$5&amp;"生成成长"),4))/(VLOOKUP(BA$72,INDIRECT($C$5&amp;"生成成长"),5))*(VLOOKUP($B$5,标准坦克设计!$B$24:$U$30,MATCH("对"&amp;LEFT($C$5,2)&amp;"输出",标准坦克设计!$B$23:$U$23,0)))*(VLOOKUP($B94,INDIRECT($B$5&amp;"生成成长"),3))*(VLOOKUP($B$5,标准坦克设计!$B$14:$K$20,9)/30))</f>
        <v>6.4721614506366469</v>
      </c>
      <c r="BB94" s="172">
        <f ca="1">(VLOOKUP(BB$72,INDIRECT($C$5&amp;"生成成长"),2))/((VLOOKUP($B94,INDIRECT($B$5&amp;"生成成长"),4))/(VLOOKUP(BB$72,INDIRECT($C$5&amp;"生成成长"),5))*(VLOOKUP($B$5,标准坦克设计!$B$24:$U$30,MATCH("对"&amp;LEFT($C$5,2)&amp;"输出",标准坦克设计!$B$23:$U$23,0)))*(VLOOKUP($B94,INDIRECT($B$5&amp;"生成成长"),3))*(VLOOKUP($B$5,标准坦克设计!$B$14:$K$20,9)/30))</f>
        <v>7.1441628318275709</v>
      </c>
      <c r="BC94" s="172">
        <f ca="1">(VLOOKUP(BC$72,INDIRECT($C$5&amp;"生成成长"),2))/((VLOOKUP($B94,INDIRECT($B$5&amp;"生成成长"),4))/(VLOOKUP(BC$72,INDIRECT($C$5&amp;"生成成长"),5))*(VLOOKUP($B$5,标准坦克设计!$B$24:$U$30,MATCH("对"&amp;LEFT($C$5,2)&amp;"输出",标准坦克设计!$B$23:$U$23,0)))*(VLOOKUP($B94,INDIRECT($B$5&amp;"生成成长"),3))*(VLOOKUP($B$5,标准坦克设计!$B$14:$K$20,9)/30))</f>
        <v>7.8493494664106365</v>
      </c>
      <c r="BD94" s="172">
        <f ca="1">(VLOOKUP(BD$72,INDIRECT($C$5&amp;"生成成长"),2))/((VLOOKUP($B94,INDIRECT($B$5&amp;"生成成长"),4))/(VLOOKUP(BD$72,INDIRECT($C$5&amp;"生成成长"),5))*(VLOOKUP($B$5,标准坦克设计!$B$24:$U$30,MATCH("对"&amp;LEFT($C$5,2)&amp;"输出",标准坦克设计!$B$23:$U$23,0)))*(VLOOKUP($B94,INDIRECT($B$5&amp;"生成成长"),3))*(VLOOKUP($B$5,标准坦克设计!$B$14:$K$20,9)/30))</f>
        <v>8.682351178511885</v>
      </c>
      <c r="BE94" s="172">
        <f ca="1">(VLOOKUP(BE$72,INDIRECT($C$5&amp;"生成成长"),2))/((VLOOKUP($B94,INDIRECT($B$5&amp;"生成成长"),4))/(VLOOKUP(BE$72,INDIRECT($C$5&amp;"生成成长"),5))*(VLOOKUP($B$5,标准坦克设计!$B$24:$U$30,MATCH("对"&amp;LEFT($C$5,2)&amp;"输出",标准坦克设计!$B$23:$U$23,0)))*(VLOOKUP($B94,INDIRECT($B$5&amp;"生成成长"),3))*(VLOOKUP($B$5,标准坦克设计!$B$14:$K$20,9)/30))</f>
        <v>9.5573529769375654</v>
      </c>
      <c r="BF94" s="172">
        <f ca="1">(VLOOKUP(BF$72,INDIRECT($C$5&amp;"生成成长"),2))/((VLOOKUP($B94,INDIRECT($B$5&amp;"生成成长"),4))/(VLOOKUP(BF$72,INDIRECT($C$5&amp;"生成成长"),5))*(VLOOKUP($B$5,标准坦克设计!$B$24:$U$30,MATCH("对"&amp;LEFT($C$5,2)&amp;"输出",标准坦克设计!$B$23:$U$23,0)))*(VLOOKUP($B94,INDIRECT($B$5&amp;"生成成长"),3))*(VLOOKUP($B$5,标准坦克设计!$B$14:$K$20,9)/30))</f>
        <v>10.474354861687678</v>
      </c>
      <c r="BG94" s="172">
        <f ca="1">(VLOOKUP(BG$72,INDIRECT($C$5&amp;"生成成长"),2))/((VLOOKUP($B94,INDIRECT($B$5&amp;"生成成长"),4))/(VLOOKUP(BG$72,INDIRECT($C$5&amp;"生成成长"),5))*(VLOOKUP($B$5,标准坦克设计!$B$24:$U$30,MATCH("对"&amp;LEFT($C$5,2)&amp;"输出",标准坦克设计!$B$23:$U$23,0)))*(VLOOKUP($B94,INDIRECT($B$5&amp;"生成成长"),3))*(VLOOKUP($B$5,标准坦克设计!$B$14:$K$20,9)/30))</f>
        <v>11.433356832762222</v>
      </c>
      <c r="BH94" s="172">
        <f ca="1">(VLOOKUP(BH$72,INDIRECT($C$5&amp;"生成成长"),2))/((VLOOKUP($B94,INDIRECT($B$5&amp;"生成成长"),4))/(VLOOKUP(BH$72,INDIRECT($C$5&amp;"生成成长"),5))*(VLOOKUP($B$5,标准坦克设计!$B$24:$U$30,MATCH("对"&amp;LEFT($C$5,2)&amp;"输出",标准坦克设计!$B$23:$U$23,0)))*(VLOOKUP($B94,INDIRECT($B$5&amp;"生成成长"),3))*(VLOOKUP($B$5,标准坦克设计!$B$14:$K$20,9)/30))</f>
        <v>5.5263817289605353</v>
      </c>
      <c r="BI94" s="172">
        <f ca="1">(VLOOKUP(BI$72,INDIRECT($C$5&amp;"生成成长"),2))/((VLOOKUP($B94,INDIRECT($B$5&amp;"生成成长"),4))/(VLOOKUP(BI$72,INDIRECT($C$5&amp;"生成成长"),5))*(VLOOKUP($B$5,标准坦克设计!$B$24:$U$30,MATCH("对"&amp;LEFT($C$5,2)&amp;"输出",标准坦克设计!$B$23:$U$23,0)))*(VLOOKUP($B94,INDIRECT($B$5&amp;"生成成长"),3))*(VLOOKUP($B$5,标准坦克设计!$B$14:$K$20,9)/30))</f>
        <v>6.2287165058302136</v>
      </c>
      <c r="BJ94" s="172">
        <f ca="1">(VLOOKUP(BJ$72,INDIRECT($C$5&amp;"生成成长"),2))/((VLOOKUP($B94,INDIRECT($B$5&amp;"生成成长"),4))/(VLOOKUP(BJ$72,INDIRECT($C$5&amp;"生成成长"),5))*(VLOOKUP($B$5,标准坦克设计!$B$24:$U$30,MATCH("对"&amp;LEFT($C$5,2)&amp;"输出",标准坦克设计!$B$23:$U$23,0)))*(VLOOKUP($B94,INDIRECT($B$5&amp;"生成成长"),3))*(VLOOKUP($B$5,标准坦克设计!$B$14:$K$20,9)/30))</f>
        <v>6.9730513690243248</v>
      </c>
      <c r="BK94" s="172">
        <f ca="1">(VLOOKUP(BK$72,INDIRECT($C$5&amp;"生成成长"),2))/((VLOOKUP($B94,INDIRECT($B$5&amp;"生成成长"),4))/(VLOOKUP(BK$72,INDIRECT($C$5&amp;"生成成长"),5))*(VLOOKUP($B$5,标准坦克设计!$B$24:$U$30,MATCH("对"&amp;LEFT($C$5,2)&amp;"输出",标准坦克设计!$B$23:$U$23,0)))*(VLOOKUP($B94,INDIRECT($B$5&amp;"生成成长"),3))*(VLOOKUP($B$5,标准坦克设计!$B$14:$K$20,9)/30))</f>
        <v>7.7593863185428704</v>
      </c>
      <c r="BL94" s="172">
        <f ca="1">(VLOOKUP(BL$72,INDIRECT($C$5&amp;"生成成长"),2))/((VLOOKUP($B94,INDIRECT($B$5&amp;"生成成长"),4))/(VLOOKUP(BL$72,INDIRECT($C$5&amp;"生成成长"),5))*(VLOOKUP($B$5,标准坦克设计!$B$24:$U$30,MATCH("对"&amp;LEFT($C$5,2)&amp;"输出",标准坦克设计!$B$23:$U$23,0)))*(VLOOKUP($B94,INDIRECT($B$5&amp;"生成成长"),3))*(VLOOKUP($B$5,标准坦克设计!$B$14:$K$20,9)/30))</f>
        <v>8.5877213543858488</v>
      </c>
      <c r="BM94" s="172">
        <f ca="1">(VLOOKUP(BM$72,INDIRECT($C$5&amp;"生成成长"),2))/((VLOOKUP($B94,INDIRECT($B$5&amp;"生成成长"),4))/(VLOOKUP(BM$72,INDIRECT($C$5&amp;"生成成长"),5))*(VLOOKUP($B$5,标准坦克设计!$B$24:$U$30,MATCH("对"&amp;LEFT($C$5,2)&amp;"输出",标准坦克设计!$B$23:$U$23,0)))*(VLOOKUP($B94,INDIRECT($B$5&amp;"生成成长"),3))*(VLOOKUP($B$5,标准坦克设计!$B$14:$K$20,9)/30))</f>
        <v>9.4580564765532582</v>
      </c>
      <c r="BN94" s="172">
        <f ca="1">(VLOOKUP(BN$72,INDIRECT($C$5&amp;"生成成长"),2))/((VLOOKUP($B94,INDIRECT($B$5&amp;"生成成长"),4))/(VLOOKUP(BN$72,INDIRECT($C$5&amp;"生成成长"),5))*(VLOOKUP($B$5,标准坦克设计!$B$24:$U$30,MATCH("对"&amp;LEFT($C$5,2)&amp;"输出",标准坦克设计!$B$23:$U$23,0)))*(VLOOKUP($B94,INDIRECT($B$5&amp;"生成成长"),3))*(VLOOKUP($B$5,标准坦克设计!$B$14:$K$20,9)/30))</f>
        <v>10.370391685045099</v>
      </c>
      <c r="BO94" s="172">
        <f ca="1">(VLOOKUP(BO$72,INDIRECT($C$5&amp;"生成成长"),2))/((VLOOKUP($B94,INDIRECT($B$5&amp;"生成成长"),4))/(VLOOKUP(BO$72,INDIRECT($C$5&amp;"生成成长"),5))*(VLOOKUP($B$5,标准坦克设计!$B$24:$U$30,MATCH("对"&amp;LEFT($C$5,2)&amp;"输出",标准坦克设计!$B$23:$U$23,0)))*(VLOOKUP($B94,INDIRECT($B$5&amp;"生成成长"),3))*(VLOOKUP($B$5,标准坦克设计!$B$14:$K$20,9)/30))</f>
        <v>11.324726979861376</v>
      </c>
      <c r="BP94" s="172">
        <f ca="1">(VLOOKUP(BP$72,INDIRECT($C$5&amp;"生成成长"),2))/((VLOOKUP($B94,INDIRECT($B$5&amp;"生成成长"),4))/(VLOOKUP(BP$72,INDIRECT($C$5&amp;"生成成长"),5))*(VLOOKUP($B$5,标准坦克设计!$B$24:$U$30,MATCH("对"&amp;LEFT($C$5,2)&amp;"输出",标准坦克设计!$B$23:$U$23,0)))*(VLOOKUP($B94,INDIRECT($B$5&amp;"生成成长"),3))*(VLOOKUP($B$5,标准坦克设计!$B$14:$K$20,9)/30))</f>
        <v>12.321062361002083</v>
      </c>
      <c r="BQ94" s="172">
        <f ca="1">(VLOOKUP(BQ$72,INDIRECT($C$5&amp;"生成成长"),2))/((VLOOKUP($B94,INDIRECT($B$5&amp;"生成成长"),4))/(VLOOKUP(BQ$72,INDIRECT($C$5&amp;"生成成长"),5))*(VLOOKUP($B$5,标准坦克设计!$B$24:$U$30,MATCH("对"&amp;LEFT($C$5,2)&amp;"输出",标准坦克设计!$B$23:$U$23,0)))*(VLOOKUP($B94,INDIRECT($B$5&amp;"生成成长"),3))*(VLOOKUP($B$5,标准坦克设计!$B$14:$K$20,9)/30))</f>
        <v>13.359397828467223</v>
      </c>
      <c r="BR94" s="172">
        <f ca="1">(VLOOKUP(BR$72,INDIRECT($C$5&amp;"生成成长"),2))/((VLOOKUP($B94,INDIRECT($B$5&amp;"生成成长"),4))/(VLOOKUP(BR$72,INDIRECT($C$5&amp;"生成成长"),5))*(VLOOKUP($B$5,标准坦克设计!$B$24:$U$30,MATCH("对"&amp;LEFT($C$5,2)&amp;"输出",标准坦克设计!$B$23:$U$23,0)))*(VLOOKUP($B94,INDIRECT($B$5&amp;"生成成长"),3))*(VLOOKUP($B$5,标准坦克设计!$B$14:$K$20,9)/30))</f>
        <v>14.562363263932456</v>
      </c>
      <c r="BS94" s="172">
        <f ca="1">(VLOOKUP(BS$72,INDIRECT($C$5&amp;"生成成长"),2))/((VLOOKUP($B94,INDIRECT($B$5&amp;"生成成长"),4))/(VLOOKUP(BS$72,INDIRECT($C$5&amp;"生成成长"),5))*(VLOOKUP($B$5,标准坦克设计!$B$24:$U$30,MATCH("对"&amp;LEFT($C$5,2)&amp;"输出",标准坦克设计!$B$23:$U$23,0)))*(VLOOKUP($B94,INDIRECT($B$5&amp;"生成成长"),3))*(VLOOKUP($B$5,标准坦克设计!$B$14:$K$20,9)/30))</f>
        <v>15.817180657822913</v>
      </c>
      <c r="BT94" s="172">
        <f ca="1">(VLOOKUP(BT$72,INDIRECT($C$5&amp;"生成成长"),2))/((VLOOKUP($B94,INDIRECT($B$5&amp;"生成成长"),4))/(VLOOKUP(BT$72,INDIRECT($C$5&amp;"生成成长"),5))*(VLOOKUP($B$5,标准坦克设计!$B$24:$U$30,MATCH("对"&amp;LEFT($C$5,2)&amp;"输出",标准坦克设计!$B$23:$U$23,0)))*(VLOOKUP($B94,INDIRECT($B$5&amp;"生成成长"),3))*(VLOOKUP($B$5,标准坦克设计!$B$14:$K$20,9)/30))</f>
        <v>17.123850010138597</v>
      </c>
      <c r="BU94" s="172">
        <f ca="1">(VLOOKUP(BU$72,INDIRECT($C$5&amp;"生成成长"),2))/((VLOOKUP($B94,INDIRECT($B$5&amp;"生成成长"),4))/(VLOOKUP(BU$72,INDIRECT($C$5&amp;"生成成长"),5))*(VLOOKUP($B$5,标准坦克设计!$B$24:$U$30,MATCH("对"&amp;LEFT($C$5,2)&amp;"输出",标准坦克设计!$B$23:$U$23,0)))*(VLOOKUP($B94,INDIRECT($B$5&amp;"生成成长"),3))*(VLOOKUP($B$5,标准坦克设计!$B$14:$K$20,9)/30))</f>
        <v>18.482371320879505</v>
      </c>
      <c r="BV94" s="172">
        <f ca="1">(VLOOKUP(BV$72,INDIRECT($C$5&amp;"生成成长"),2))/((VLOOKUP($B94,INDIRECT($B$5&amp;"生成成长"),4))/(VLOOKUP(BV$72,INDIRECT($C$5&amp;"生成成长"),5))*(VLOOKUP($B$5,标准坦克设计!$B$24:$U$30,MATCH("对"&amp;LEFT($C$5,2)&amp;"输出",标准坦克设计!$B$23:$U$23,0)))*(VLOOKUP($B94,INDIRECT($B$5&amp;"生成成长"),3))*(VLOOKUP($B$5,标准坦克设计!$B$14:$K$20,9)/30))</f>
        <v>19.892744590045638</v>
      </c>
      <c r="BW94" s="172">
        <f ca="1">(VLOOKUP(BW$72,INDIRECT($C$5&amp;"生成成长"),2))/((VLOOKUP($B94,INDIRECT($B$5&amp;"生成成长"),4))/(VLOOKUP(BW$72,INDIRECT($C$5&amp;"生成成长"),5))*(VLOOKUP($B$5,标准坦克设计!$B$24:$U$30,MATCH("对"&amp;LEFT($C$5,2)&amp;"输出",标准坦克设计!$B$23:$U$23,0)))*(VLOOKUP($B94,INDIRECT($B$5&amp;"生成成长"),3))*(VLOOKUP($B$5,标准坦克设计!$B$14:$K$20,9)/30))</f>
        <v>9.0660556708585531</v>
      </c>
      <c r="BX94" s="172">
        <f ca="1">(VLOOKUP(BX$72,INDIRECT($C$5&amp;"生成成长"),2))/((VLOOKUP($B94,INDIRECT($B$5&amp;"生成成长"),4))/(VLOOKUP(BX$72,INDIRECT($C$5&amp;"生成成长"),5))*(VLOOKUP($B$5,标准坦克设计!$B$24:$U$30,MATCH("对"&amp;LEFT($C$5,2)&amp;"输出",标准坦克设计!$B$23:$U$23,0)))*(VLOOKUP($B94,INDIRECT($B$5&amp;"生成成长"),3))*(VLOOKUP($B$5,标准坦克设计!$B$14:$K$20,9)/30))</f>
        <v>10.061613272622884</v>
      </c>
      <c r="BY94" s="172">
        <f ca="1">(VLOOKUP(BY$72,INDIRECT($C$5&amp;"生成成长"),2))/((VLOOKUP($B94,INDIRECT($B$5&amp;"生成成长"),4))/(VLOOKUP(BY$72,INDIRECT($C$5&amp;"生成成长"),5))*(VLOOKUP($B$5,标准坦克设计!$B$24:$U$30,MATCH("对"&amp;LEFT($C$5,2)&amp;"输出",标准坦克设计!$B$23:$U$23,0)))*(VLOOKUP($B94,INDIRECT($B$5&amp;"生成成长"),3))*(VLOOKUP($B$5,标准坦克设计!$B$14:$K$20,9)/30))</f>
        <v>11.109022832812437</v>
      </c>
      <c r="BZ94" s="172">
        <f ca="1">(VLOOKUP(BZ$72,INDIRECT($C$5&amp;"生成成长"),2))/((VLOOKUP($B94,INDIRECT($B$5&amp;"生成成长"),4))/(VLOOKUP(BZ$72,INDIRECT($C$5&amp;"生成成长"),5))*(VLOOKUP($B$5,标准坦克设计!$B$24:$U$30,MATCH("对"&amp;LEFT($C$5,2)&amp;"输出",标准坦克设计!$B$23:$U$23,0)))*(VLOOKUP($B94,INDIRECT($B$5&amp;"生成成长"),3))*(VLOOKUP($B$5,标准坦克设计!$B$14:$K$20,9)/30))</f>
        <v>12.208284351427219</v>
      </c>
      <c r="CA94" s="172">
        <f ca="1">(VLOOKUP(CA$72,INDIRECT($C$5&amp;"生成成长"),2))/((VLOOKUP($B94,INDIRECT($B$5&amp;"生成成长"),4))/(VLOOKUP(CA$72,INDIRECT($C$5&amp;"生成成长"),5))*(VLOOKUP($B$5,标准坦克设计!$B$24:$U$30,MATCH("对"&amp;LEFT($C$5,2)&amp;"输出",标准坦克设计!$B$23:$U$23,0)))*(VLOOKUP($B94,INDIRECT($B$5&amp;"生成成长"),3))*(VLOOKUP($B$5,标准坦克设计!$B$14:$K$20,9)/30))</f>
        <v>13.359397828467223</v>
      </c>
      <c r="CB94" s="172">
        <f ca="1">(VLOOKUP(CB$72,INDIRECT($C$5&amp;"生成成长"),2))/((VLOOKUP($B94,INDIRECT($B$5&amp;"生成成长"),4))/(VLOOKUP(CB$72,INDIRECT($C$5&amp;"生成成长"),5))*(VLOOKUP($B$5,标准坦克设计!$B$24:$U$30,MATCH("对"&amp;LEFT($C$5,2)&amp;"输出",标准坦克设计!$B$23:$U$23,0)))*(VLOOKUP($B94,INDIRECT($B$5&amp;"生成成长"),3))*(VLOOKUP($B$5,标准坦克设计!$B$14:$K$20,9)/30))</f>
        <v>14.562363263932456</v>
      </c>
      <c r="CC94" s="172">
        <f ca="1">(VLOOKUP(CC$72,INDIRECT($C$5&amp;"生成成长"),2))/((VLOOKUP($B94,INDIRECT($B$5&amp;"生成成长"),4))/(VLOOKUP(CC$72,INDIRECT($C$5&amp;"生成成长"),5))*(VLOOKUP($B$5,标准坦克设计!$B$24:$U$30,MATCH("对"&amp;LEFT($C$5,2)&amp;"输出",标准坦克设计!$B$23:$U$23,0)))*(VLOOKUP($B94,INDIRECT($B$5&amp;"生成成长"),3))*(VLOOKUP($B$5,标准坦克设计!$B$14:$K$20,9)/30))</f>
        <v>15.817180657822913</v>
      </c>
      <c r="CD94" s="172">
        <f ca="1">(VLOOKUP(CD$72,INDIRECT($C$5&amp;"生成成长"),2))/((VLOOKUP($B94,INDIRECT($B$5&amp;"生成成长"),4))/(VLOOKUP(CD$72,INDIRECT($C$5&amp;"生成成长"),5))*(VLOOKUP($B$5,标准坦克设计!$B$24:$U$30,MATCH("对"&amp;LEFT($C$5,2)&amp;"输出",标准坦克设计!$B$23:$U$23,0)))*(VLOOKUP($B94,INDIRECT($B$5&amp;"生成成长"),3))*(VLOOKUP($B$5,标准坦克设计!$B$14:$K$20,9)/30))</f>
        <v>17.123850010138597</v>
      </c>
      <c r="CE94" s="172">
        <f ca="1">(VLOOKUP(CE$72,INDIRECT($C$5&amp;"生成成长"),2))/((VLOOKUP($B94,INDIRECT($B$5&amp;"生成成长"),4))/(VLOOKUP(CE$72,INDIRECT($C$5&amp;"生成成长"),5))*(VLOOKUP($B$5,标准坦克设计!$B$24:$U$30,MATCH("对"&amp;LEFT($C$5,2)&amp;"输出",标准坦克设计!$B$23:$U$23,0)))*(VLOOKUP($B94,INDIRECT($B$5&amp;"生成成长"),3))*(VLOOKUP($B$5,标准坦克设计!$B$14:$K$20,9)/30))</f>
        <v>18.482371320879505</v>
      </c>
      <c r="CF94" s="172">
        <f ca="1">(VLOOKUP(CF$72,INDIRECT($C$5&amp;"生成成长"),2))/((VLOOKUP($B94,INDIRECT($B$5&amp;"生成成长"),4))/(VLOOKUP(CF$72,INDIRECT($C$5&amp;"生成成长"),5))*(VLOOKUP($B$5,标准坦克设计!$B$24:$U$30,MATCH("对"&amp;LEFT($C$5,2)&amp;"输出",标准坦克设计!$B$23:$U$23,0)))*(VLOOKUP($B94,INDIRECT($B$5&amp;"生成成长"),3))*(VLOOKUP($B$5,标准坦克设计!$B$14:$K$20,9)/30))</f>
        <v>19.892744590045638</v>
      </c>
      <c r="CG94" s="172">
        <f ca="1">(VLOOKUP(CG$72,INDIRECT($C$5&amp;"生成成长"),2))/((VLOOKUP($B94,INDIRECT($B$5&amp;"生成成长"),4))/(VLOOKUP(CG$72,INDIRECT($C$5&amp;"生成成长"),5))*(VLOOKUP($B$5,标准坦克设计!$B$24:$U$30,MATCH("对"&amp;LEFT($C$5,2)&amp;"输出",标准坦克设计!$B$23:$U$23,0)))*(VLOOKUP($B94,INDIRECT($B$5&amp;"生成成长"),3))*(VLOOKUP($B$5,标准坦克设计!$B$14:$K$20,9)/30))</f>
        <v>21.354969817636995</v>
      </c>
      <c r="CH94" s="172">
        <f ca="1">(VLOOKUP(CH$72,INDIRECT($C$5&amp;"生成成长"),2))/((VLOOKUP($B94,INDIRECT($B$5&amp;"生成成长"),4))/(VLOOKUP(CH$72,INDIRECT($C$5&amp;"生成成长"),5))*(VLOOKUP($B$5,标准坦克设计!$B$24:$U$30,MATCH("对"&amp;LEFT($C$5,2)&amp;"输出",标准坦克设计!$B$23:$U$23,0)))*(VLOOKUP($B94,INDIRECT($B$5&amp;"生成成长"),3))*(VLOOKUP($B$5,标准坦克设计!$B$14:$K$20,9)/30))</f>
        <v>22.869047003653584</v>
      </c>
      <c r="CI94" s="172">
        <f ca="1">(VLOOKUP(CI$72,INDIRECT($C$5&amp;"生成成长"),2))/((VLOOKUP($B94,INDIRECT($B$5&amp;"生成成长"),4))/(VLOOKUP(CI$72,INDIRECT($C$5&amp;"生成成长"),5))*(VLOOKUP($B$5,标准坦克设计!$B$24:$U$30,MATCH("对"&amp;LEFT($C$5,2)&amp;"输出",标准坦克设计!$B$23:$U$23,0)))*(VLOOKUP($B94,INDIRECT($B$5&amp;"生成成长"),3))*(VLOOKUP($B$5,标准坦克设计!$B$14:$K$20,9)/30))</f>
        <v>24.594420920252961</v>
      </c>
      <c r="CJ94" s="172">
        <f ca="1">(VLOOKUP(CJ$72,INDIRECT($C$5&amp;"生成成长"),2))/((VLOOKUP($B94,INDIRECT($B$5&amp;"生成成长"),4))/(VLOOKUP(CJ$72,INDIRECT($C$5&amp;"生成成长"),5))*(VLOOKUP($B$5,标准坦克设计!$B$24:$U$30,MATCH("对"&amp;LEFT($C$5,2)&amp;"输出",标准坦克设计!$B$23:$U$23,0)))*(VLOOKUP($B94,INDIRECT($B$5&amp;"生成成长"),3))*(VLOOKUP($B$5,标准坦克设计!$B$14:$K$20,9)/30))</f>
        <v>26.382535706546864</v>
      </c>
      <c r="CK94" s="172">
        <f ca="1">(VLOOKUP(CK$72,INDIRECT($C$5&amp;"生成成长"),2))/((VLOOKUP($B94,INDIRECT($B$5&amp;"生成成长"),4))/(VLOOKUP(CK$72,INDIRECT($C$5&amp;"生成成长"),5))*(VLOOKUP($B$5,标准坦克设计!$B$24:$U$30,MATCH("对"&amp;LEFT($C$5,2)&amp;"输出",标准坦克设计!$B$23:$U$23,0)))*(VLOOKUP($B94,INDIRECT($B$5&amp;"生成成长"),3))*(VLOOKUP($B$5,标准坦克设计!$B$14:$K$20,9)/30))</f>
        <v>28.233391362535283</v>
      </c>
      <c r="CL94" s="172">
        <f ca="1">(VLOOKUP(CL$72,INDIRECT($C$5&amp;"生成成长"),2))/((VLOOKUP($B94,INDIRECT($B$5&amp;"生成成长"),4))/(VLOOKUP(CL$72,INDIRECT($C$5&amp;"生成成长"),5))*(VLOOKUP($B$5,标准坦克设计!$B$24:$U$30,MATCH("对"&amp;LEFT($C$5,2)&amp;"输出",标准坦克设计!$B$23:$U$23,0)))*(VLOOKUP($B94,INDIRECT($B$5&amp;"生成成长"),3))*(VLOOKUP($B$5,标准坦克设计!$B$14:$K$20,9)/30))</f>
        <v>30.146987888218238</v>
      </c>
      <c r="CM94" s="172">
        <f ca="1">(VLOOKUP(CM$72,INDIRECT($C$5&amp;"生成成长"),2))/((VLOOKUP($B94,INDIRECT($B$5&amp;"生成成长"),4))/(VLOOKUP(CM$72,INDIRECT($C$5&amp;"生成成长"),5))*(VLOOKUP($B$5,标准坦克设计!$B$24:$U$30,MATCH("对"&amp;LEFT($C$5,2)&amp;"输出",标准坦克设计!$B$23:$U$23,0)))*(VLOOKUP($B94,INDIRECT($B$5&amp;"生成成长"),3))*(VLOOKUP($B$5,标准坦克设计!$B$14:$K$20,9)/30))</f>
        <v>32.123325283595705</v>
      </c>
      <c r="CN94" s="172">
        <f ca="1">(VLOOKUP(CN$72,INDIRECT($C$5&amp;"生成成长"),2))/((VLOOKUP($B94,INDIRECT($B$5&amp;"生成成长"),4))/(VLOOKUP(CN$72,INDIRECT($C$5&amp;"生成成长"),5))*(VLOOKUP($B$5,标准坦克设计!$B$24:$U$30,MATCH("对"&amp;LEFT($C$5,2)&amp;"输出",标准坦克设计!$B$23:$U$23,0)))*(VLOOKUP($B94,INDIRECT($B$5&amp;"生成成长"),3))*(VLOOKUP($B$5,标准坦克设计!$B$14:$K$20,9)/30))</f>
        <v>34.162403548667697</v>
      </c>
      <c r="CO94" s="172">
        <f ca="1">(VLOOKUP(CO$72,INDIRECT($C$5&amp;"生成成长"),2))/((VLOOKUP($B94,INDIRECT($B$5&amp;"生成成长"),4))/(VLOOKUP(CO$72,INDIRECT($C$5&amp;"生成成长"),5))*(VLOOKUP($B$5,标准坦克设计!$B$24:$U$30,MATCH("对"&amp;LEFT($C$5,2)&amp;"输出",标准坦克设计!$B$23:$U$23,0)))*(VLOOKUP($B94,INDIRECT($B$5&amp;"生成成长"),3))*(VLOOKUP($B$5,标准坦克设计!$B$14:$K$20,9)/30))</f>
        <v>15.309031465255703</v>
      </c>
      <c r="CP94" s="172">
        <f ca="1">(VLOOKUP(CP$72,INDIRECT($C$5&amp;"生成成长"),2))/((VLOOKUP($B94,INDIRECT($B$5&amp;"生成成长"),4))/(VLOOKUP(CP$72,INDIRECT($C$5&amp;"生成成长"),5))*(VLOOKUP($B$5,标准坦克设计!$B$24:$U$30,MATCH("对"&amp;LEFT($C$5,2)&amp;"输出",标准坦克设计!$B$23:$U$23,0)))*(VLOOKUP($B94,INDIRECT($B$5&amp;"生成成长"),3))*(VLOOKUP($B$5,标准坦克设计!$B$14:$K$20,9)/30))</f>
        <v>16.726404748809241</v>
      </c>
      <c r="CQ94" s="172">
        <f ca="1">(VLOOKUP(CQ$72,INDIRECT($C$5&amp;"生成成长"),2))/((VLOOKUP($B94,INDIRECT($B$5&amp;"生成成长"),4))/(VLOOKUP(CQ$72,INDIRECT($C$5&amp;"生成成长"),5))*(VLOOKUP($B$5,标准坦克设计!$B$24:$U$30,MATCH("对"&amp;LEFT($C$5,2)&amp;"输出",标准坦克设计!$B$23:$U$23,0)))*(VLOOKUP($B94,INDIRECT($B$5&amp;"生成成长"),3))*(VLOOKUP($B$5,标准坦克设计!$B$14:$K$20,9)/30))</f>
        <v>18.206518902057304</v>
      </c>
      <c r="CR94" s="172">
        <f ca="1">(VLOOKUP(CR$72,INDIRECT($C$5&amp;"生成成长"),2))/((VLOOKUP($B94,INDIRECT($B$5&amp;"生成成长"),4))/(VLOOKUP(CR$72,INDIRECT($C$5&amp;"生成成长"),5))*(VLOOKUP($B$5,标准坦克设计!$B$24:$U$30,MATCH("对"&amp;LEFT($C$5,2)&amp;"输出",标准坦克设计!$B$23:$U$23,0)))*(VLOOKUP($B94,INDIRECT($B$5&amp;"生成成长"),3))*(VLOOKUP($B$5,标准坦克设计!$B$14:$K$20,9)/30))</f>
        <v>19.74937392499989</v>
      </c>
      <c r="CS94" s="172">
        <f ca="1">(VLOOKUP(CS$72,INDIRECT($C$5&amp;"生成成长"),2))/((VLOOKUP($B94,INDIRECT($B$5&amp;"生成成长"),4))/(VLOOKUP(CS$72,INDIRECT($C$5&amp;"生成成长"),5))*(VLOOKUP($B$5,标准坦克设计!$B$24:$U$30,MATCH("对"&amp;LEFT($C$5,2)&amp;"输出",标准坦克设计!$B$23:$U$23,0)))*(VLOOKUP($B94,INDIRECT($B$5&amp;"生成成长"),3))*(VLOOKUP($B$5,标准坦克设计!$B$14:$K$20,9)/30))</f>
        <v>21.354969817636995</v>
      </c>
      <c r="CT94" s="172">
        <f ca="1">(VLOOKUP(CT$72,INDIRECT($C$5&amp;"生成成长"),2))/((VLOOKUP($B94,INDIRECT($B$5&amp;"生成成长"),4))/(VLOOKUP(CT$72,INDIRECT($C$5&amp;"生成成长"),5))*(VLOOKUP($B$5,标准坦克设计!$B$24:$U$30,MATCH("对"&amp;LEFT($C$5,2)&amp;"输出",标准坦克设计!$B$23:$U$23,0)))*(VLOOKUP($B94,INDIRECT($B$5&amp;"生成成长"),3))*(VLOOKUP($B$5,标准坦克设计!$B$14:$K$20,9)/30))</f>
        <v>23.023306579968629</v>
      </c>
      <c r="CU94" s="172">
        <f ca="1">(VLOOKUP(CU$72,INDIRECT($C$5&amp;"生成成长"),2))/((VLOOKUP($B94,INDIRECT($B$5&amp;"生成成长"),4))/(VLOOKUP(CU$72,INDIRECT($C$5&amp;"生成成长"),5))*(VLOOKUP($B$5,标准坦克设计!$B$24:$U$30,MATCH("对"&amp;LEFT($C$5,2)&amp;"输出",标准坦克设计!$B$23:$U$23,0)))*(VLOOKUP($B94,INDIRECT($B$5&amp;"生成成长"),3))*(VLOOKUP($B$5,标准坦克设计!$B$14:$K$20,9)/30))</f>
        <v>24.754384211994783</v>
      </c>
      <c r="CV94" s="172">
        <f ca="1">(VLOOKUP(CV$72,INDIRECT($C$5&amp;"生成成长"),2))/((VLOOKUP($B94,INDIRECT($B$5&amp;"生成成长"),4))/(VLOOKUP(CV$72,INDIRECT($C$5&amp;"生成成长"),5))*(VLOOKUP($B$5,标准坦克设计!$B$24:$U$30,MATCH("对"&amp;LEFT($C$5,2)&amp;"输出",标准坦克设计!$B$23:$U$23,0)))*(VLOOKUP($B94,INDIRECT($B$5&amp;"生成成长"),3))*(VLOOKUP($B$5,标准坦克设计!$B$14:$K$20,9)/30))</f>
        <v>26.548202713715458</v>
      </c>
      <c r="CW94" s="172">
        <f ca="1">(VLOOKUP(CW$72,INDIRECT($C$5&amp;"生成成长"),2))/((VLOOKUP($B94,INDIRECT($B$5&amp;"生成成长"),4))/(VLOOKUP(CW$72,INDIRECT($C$5&amp;"生成成长"),5))*(VLOOKUP($B$5,标准坦克设计!$B$24:$U$30,MATCH("对"&amp;LEFT($C$5,2)&amp;"输出",标准坦克设计!$B$23:$U$23,0)))*(VLOOKUP($B94,INDIRECT($B$5&amp;"生成成长"),3))*(VLOOKUP($B$5,标准坦克设计!$B$14:$K$20,9)/30))</f>
        <v>28.40476208513066</v>
      </c>
      <c r="CX94" s="172">
        <f ca="1">(VLOOKUP(CX$72,INDIRECT($C$5&amp;"生成成长"),2))/((VLOOKUP($B94,INDIRECT($B$5&amp;"生成成长"),4))/(VLOOKUP(CX$72,INDIRECT($C$5&amp;"生成成长"),5))*(VLOOKUP($B$5,标准坦克设计!$B$24:$U$30,MATCH("对"&amp;LEFT($C$5,2)&amp;"输出",标准坦克设计!$B$23:$U$23,0)))*(VLOOKUP($B94,INDIRECT($B$5&amp;"生成成长"),3))*(VLOOKUP($B$5,标准坦克设计!$B$14:$K$20,9)/30))</f>
        <v>30.32406232624038</v>
      </c>
      <c r="CY94" s="172">
        <f ca="1">(VLOOKUP(CY$72,INDIRECT($C$5&amp;"生成成长"),2))/((VLOOKUP($B94,INDIRECT($B$5&amp;"生成成长"),4))/(VLOOKUP(CY$72,INDIRECT($C$5&amp;"生成成长"),5))*(VLOOKUP($B$5,标准坦克设计!$B$24:$U$30,MATCH("对"&amp;LEFT($C$5,2)&amp;"输出",标准坦克设计!$B$23:$U$23,0)))*(VLOOKUP($B94,INDIRECT($B$5&amp;"生成成长"),3))*(VLOOKUP($B$5,标准坦克设计!$B$14:$K$20,9)/30))</f>
        <v>32.306103437044619</v>
      </c>
      <c r="CZ94" s="172">
        <f ca="1">(VLOOKUP(CZ$72,INDIRECT($C$5&amp;"生成成长"),2))/((VLOOKUP($B94,INDIRECT($B$5&amp;"生成成长"),4))/(VLOOKUP(CZ$72,INDIRECT($C$5&amp;"生成成长"),5))*(VLOOKUP($B$5,标准坦克设计!$B$24:$U$30,MATCH("对"&amp;LEFT($C$5,2)&amp;"输出",标准坦克设计!$B$23:$U$23,0)))*(VLOOKUP($B94,INDIRECT($B$5&amp;"生成成长"),3))*(VLOOKUP($B$5,标准坦克设计!$B$14:$K$20,9)/30))</f>
        <v>34.350885417543395</v>
      </c>
      <c r="DA94" s="172">
        <f ca="1">(VLOOKUP(DA$72,INDIRECT($C$5&amp;"生成成长"),2))/((VLOOKUP($B94,INDIRECT($B$5&amp;"生成成长"),4))/(VLOOKUP(DA$72,INDIRECT($C$5&amp;"生成成长"),5))*(VLOOKUP($B$5,标准坦克设计!$B$24:$U$30,MATCH("对"&amp;LEFT($C$5,2)&amp;"输出",标准坦克设计!$B$23:$U$23,0)))*(VLOOKUP($B94,INDIRECT($B$5&amp;"生成成长"),3))*(VLOOKUP($B$5,标准坦克设计!$B$14:$K$20,9)/30))</f>
        <v>36.458408267736679</v>
      </c>
      <c r="DB94" s="172">
        <f ca="1">(VLOOKUP(DB$72,INDIRECT($C$5&amp;"生成成长"),2))/((VLOOKUP($B94,INDIRECT($B$5&amp;"生成成长"),4))/(VLOOKUP(DB$72,INDIRECT($C$5&amp;"生成成长"),5))*(VLOOKUP($B$5,标准坦克设计!$B$24:$U$30,MATCH("对"&amp;LEFT($C$5,2)&amp;"输出",标准坦克设计!$B$23:$U$23,0)))*(VLOOKUP($B94,INDIRECT($B$5&amp;"生成成长"),3))*(VLOOKUP($B$5,标准坦克设计!$B$14:$K$20,9)/30))</f>
        <v>38.628671987624493</v>
      </c>
      <c r="DC94" s="172">
        <f ca="1">(VLOOKUP(DC$72,INDIRECT($C$5&amp;"生成成长"),2))/((VLOOKUP($B94,INDIRECT($B$5&amp;"生成成长"),4))/(VLOOKUP(DC$72,INDIRECT($C$5&amp;"生成成长"),5))*(VLOOKUP($B$5,标准坦克设计!$B$24:$U$30,MATCH("对"&amp;LEFT($C$5,2)&amp;"输出",标准坦克设计!$B$23:$U$23,0)))*(VLOOKUP($B94,INDIRECT($B$5&amp;"生成成长"),3))*(VLOOKUP($B$5,标准坦克设计!$B$14:$K$20,9)/30))</f>
        <v>41.067788111947102</v>
      </c>
      <c r="DD94" s="172">
        <f ca="1">(VLOOKUP(DD$72,INDIRECT($C$5&amp;"生成成长"),2))/((VLOOKUP($B94,INDIRECT($B$5&amp;"生成成长"),4))/(VLOOKUP(DD$72,INDIRECT($C$5&amp;"生成成长"),5))*(VLOOKUP($B$5,标准坦克设计!$B$24:$U$30,MATCH("对"&amp;LEFT($C$5,2)&amp;"输出",标准坦克设计!$B$23:$U$23,0)))*(VLOOKUP($B94,INDIRECT($B$5&amp;"生成成长"),3))*(VLOOKUP($B$5,标准坦克设计!$B$14:$K$20,9)/30))</f>
        <v>43.581571056402034</v>
      </c>
      <c r="DE94" s="172">
        <f ca="1">(VLOOKUP(DE$72,INDIRECT($C$5&amp;"生成成长"),2))/((VLOOKUP($B94,INDIRECT($B$5&amp;"生成成长"),4))/(VLOOKUP(DE$72,INDIRECT($C$5&amp;"生成成长"),5))*(VLOOKUP($B$5,标准坦克设计!$B$24:$U$30,MATCH("对"&amp;LEFT($C$5,2)&amp;"输出",标准坦克设计!$B$23:$U$23,0)))*(VLOOKUP($B94,INDIRECT($B$5&amp;"生成成长"),3))*(VLOOKUP($B$5,标准坦克设计!$B$14:$K$20,9)/30))</f>
        <v>46.170020820989301</v>
      </c>
      <c r="DF94" s="172">
        <f ca="1">(VLOOKUP(DF$72,INDIRECT($C$5&amp;"生成成长"),2))/((VLOOKUP($B94,INDIRECT($B$5&amp;"生成成长"),4))/(VLOOKUP(DF$72,INDIRECT($C$5&amp;"生成成长"),5))*(VLOOKUP($B$5,标准坦克设计!$B$24:$U$30,MATCH("对"&amp;LEFT($C$5,2)&amp;"输出",标准坦克设计!$B$23:$U$23,0)))*(VLOOKUP($B94,INDIRECT($B$5&amp;"生成成长"),3))*(VLOOKUP($B$5,标准坦克设计!$B$14:$K$20,9)/30))</f>
        <v>48.833137405708875</v>
      </c>
      <c r="DG94" s="172">
        <f ca="1">(VLOOKUP(DG$72,INDIRECT($C$5&amp;"生成成长"),2))/((VLOOKUP($B94,INDIRECT($B$5&amp;"生成成长"),4))/(VLOOKUP(DG$72,INDIRECT($C$5&amp;"生成成长"),5))*(VLOOKUP($B$5,标准坦克设计!$B$24:$U$30,MATCH("对"&amp;LEFT($C$5,2)&amp;"输出",标准坦克设计!$B$23:$U$23,0)))*(VLOOKUP($B94,INDIRECT($B$5&amp;"生成成长"),3))*(VLOOKUP($B$5,标准坦克设计!$B$14:$K$20,9)/30))</f>
        <v>51.570920810560771</v>
      </c>
      <c r="DH94" s="172">
        <f ca="1">(VLOOKUP(DH$72,INDIRECT($C$5&amp;"生成成长"),2))/((VLOOKUP($B94,INDIRECT($B$5&amp;"生成成长"),4))/(VLOOKUP(DH$72,INDIRECT($C$5&amp;"生成成长"),5))*(VLOOKUP($B$5,标准坦克设计!$B$24:$U$30,MATCH("对"&amp;LEFT($C$5,2)&amp;"输出",标准坦克设计!$B$23:$U$23,0)))*(VLOOKUP($B94,INDIRECT($B$5&amp;"生成成长"),3))*(VLOOKUP($B$5,标准坦克设计!$B$14:$K$20,9)/30))</f>
        <v>54.383371035545004</v>
      </c>
      <c r="DI94" s="172">
        <f ca="1">(VLOOKUP(DI$72,INDIRECT($C$5&amp;"生成成长"),2))/((VLOOKUP($B94,INDIRECT($B$5&amp;"生成成长"),4))/(VLOOKUP(DI$72,INDIRECT($C$5&amp;"生成成长"),5))*(VLOOKUP($B$5,标准坦克设计!$B$24:$U$30,MATCH("对"&amp;LEFT($C$5,2)&amp;"输出",标准坦克设计!$B$23:$U$23,0)))*(VLOOKUP($B94,INDIRECT($B$5&amp;"生成成长"),3))*(VLOOKUP($B$5,标准坦克设计!$B$14:$K$20,9)/30))</f>
        <v>57.270488080661572</v>
      </c>
      <c r="DJ94" s="172">
        <f ca="1">(VLOOKUP(DJ$72,INDIRECT($C$5&amp;"生成成长"),2))/((VLOOKUP($B94,INDIRECT($B$5&amp;"生成成长"),4))/(VLOOKUP(DJ$72,INDIRECT($C$5&amp;"生成成长"),5))*(VLOOKUP($B$5,标准坦克设计!$B$24:$U$30,MATCH("对"&amp;LEFT($C$5,2)&amp;"输出",标准坦克设计!$B$23:$U$23,0)))*(VLOOKUP($B94,INDIRECT($B$5&amp;"生成成长"),3))*(VLOOKUP($B$5,标准坦克设计!$B$14:$K$20,9)/30))</f>
        <v>5.7558266449921573</v>
      </c>
      <c r="DK94" s="172">
        <f ca="1">(VLOOKUP(DK$72,INDIRECT($C$5&amp;"生成成长"),2))/((VLOOKUP($B94,INDIRECT($B$5&amp;"生成成长"),4))/(VLOOKUP(DK$72,INDIRECT($C$5&amp;"生成成长"),5))*(VLOOKUP($B$5,标准坦克设计!$B$24:$U$30,MATCH("对"&amp;LEFT($C$5,2)&amp;"输出",标准坦克设计!$B$23:$U$23,0)))*(VLOOKUP($B94,INDIRECT($B$5&amp;"生成成长"),3))*(VLOOKUP($B$5,标准坦克设计!$B$14:$K$20,9)/30))</f>
        <v>6.4721614506366469</v>
      </c>
      <c r="DL94" s="172">
        <f ca="1">(VLOOKUP(DL$72,INDIRECT($C$5&amp;"生成成长"),2))/((VLOOKUP($B94,INDIRECT($B$5&amp;"生成成长"),4))/(VLOOKUP(DL$72,INDIRECT($C$5&amp;"生成成长"),5))*(VLOOKUP($B$5,标准坦克设计!$B$24:$U$30,MATCH("对"&amp;LEFT($C$5,2)&amp;"输出",标准坦克设计!$B$23:$U$23,0)))*(VLOOKUP($B94,INDIRECT($B$5&amp;"生成成长"),3))*(VLOOKUP($B$5,标准坦克设计!$B$14:$K$20,9)/30))</f>
        <v>7.2304963426055693</v>
      </c>
      <c r="DM94" s="172">
        <f ca="1">(VLOOKUP(DM$72,INDIRECT($C$5&amp;"生成成长"),2))/((VLOOKUP($B94,INDIRECT($B$5&amp;"生成成长"),4))/(VLOOKUP(DM$72,INDIRECT($C$5&amp;"生成成长"),5))*(VLOOKUP($B$5,标准坦克设计!$B$24:$U$30,MATCH("对"&amp;LEFT($C$5,2)&amp;"输出",标准坦克设计!$B$23:$U$23,0)))*(VLOOKUP($B94,INDIRECT($B$5&amp;"生成成长"),3))*(VLOOKUP($B$5,标准坦克设计!$B$14:$K$20,9)/30))</f>
        <v>8.0308313208989262</v>
      </c>
      <c r="DN94" s="172">
        <f ca="1">(VLOOKUP(DN$72,INDIRECT($C$5&amp;"生成成长"),2))/((VLOOKUP($B94,INDIRECT($B$5&amp;"生成成长"),4))/(VLOOKUP(DN$72,INDIRECT($C$5&amp;"生成成长"),5))*(VLOOKUP($B$5,标准坦克设计!$B$24:$U$30,MATCH("对"&amp;LEFT($C$5,2)&amp;"输出",标准坦克设计!$B$23:$U$23,0)))*(VLOOKUP($B94,INDIRECT($B$5&amp;"生成成长"),3))*(VLOOKUP($B$5,标准坦克设计!$B$14:$K$20,9)/30))</f>
        <v>8.8731663855167149</v>
      </c>
      <c r="DO94" s="172">
        <f ca="1">(VLOOKUP(DO$72,INDIRECT($C$5&amp;"生成成长"),2))/((VLOOKUP($B94,INDIRECT($B$5&amp;"生成成长"),4))/(VLOOKUP(DO$72,INDIRECT($C$5&amp;"生成成长"),5))*(VLOOKUP($B$5,标准坦克设计!$B$24:$U$30,MATCH("对"&amp;LEFT($C$5,2)&amp;"输出",标准坦克设计!$B$23:$U$23,0)))*(VLOOKUP($B94,INDIRECT($B$5&amp;"生成成长"),3))*(VLOOKUP($B$5,标准坦克设计!$B$14:$K$20,9)/30))</f>
        <v>9.7575015364589337</v>
      </c>
      <c r="DP94" s="172">
        <f ca="1">(VLOOKUP(DP$72,INDIRECT($C$5&amp;"生成成长"),2))/((VLOOKUP($B94,INDIRECT($B$5&amp;"生成成长"),4))/(VLOOKUP(DP$72,INDIRECT($C$5&amp;"生成成长"),5))*(VLOOKUP($B$5,标准坦克设计!$B$24:$U$30,MATCH("对"&amp;LEFT($C$5,2)&amp;"输出",标准坦克设计!$B$23:$U$23,0)))*(VLOOKUP($B94,INDIRECT($B$5&amp;"生成成长"),3))*(VLOOKUP($B$5,标准坦克设计!$B$14:$K$20,9)/30))</f>
        <v>10.683836773725588</v>
      </c>
      <c r="DQ94" s="172">
        <f ca="1">(VLOOKUP(DQ$72,INDIRECT($C$5&amp;"生成成长"),2))/((VLOOKUP($B94,INDIRECT($B$5&amp;"生成成长"),4))/(VLOOKUP(DQ$72,INDIRECT($C$5&amp;"生成成长"),5))*(VLOOKUP($B$5,标准坦克设计!$B$24:$U$30,MATCH("对"&amp;LEFT($C$5,2)&amp;"输出",标准坦克设计!$B$23:$U$23,0)))*(VLOOKUP($B94,INDIRECT($B$5&amp;"生成成长"),3))*(VLOOKUP($B$5,标准坦克设计!$B$14:$K$20,9)/30))</f>
        <v>11.652172097316674</v>
      </c>
      <c r="DR94" s="172">
        <f ca="1">(VLOOKUP(DR$72,INDIRECT($C$5&amp;"生成成长"),2))/((VLOOKUP($B94,INDIRECT($B$5&amp;"生成成长"),4))/(VLOOKUP(DR$72,INDIRECT($C$5&amp;"生成成长"),5))*(VLOOKUP($B$5,标准坦克设计!$B$24:$U$30,MATCH("对"&amp;LEFT($C$5,2)&amp;"输出",标准坦克设计!$B$23:$U$23,0)))*(VLOOKUP($B94,INDIRECT($B$5&amp;"生成成长"),3))*(VLOOKUP($B$5,标准坦克设计!$B$14:$K$20,9)/30))</f>
        <v>12.662507507232194</v>
      </c>
      <c r="DS94" s="172">
        <f ca="1">(VLOOKUP(DS$72,INDIRECT($C$5&amp;"生成成长"),2))/((VLOOKUP($B94,INDIRECT($B$5&amp;"生成成长"),4))/(VLOOKUP(DS$72,INDIRECT($C$5&amp;"生成成长"),5))*(VLOOKUP($B$5,标准坦克设计!$B$24:$U$30,MATCH("对"&amp;LEFT($C$5,2)&amp;"输出",标准坦克设计!$B$23:$U$23,0)))*(VLOOKUP($B94,INDIRECT($B$5&amp;"生成成长"),3))*(VLOOKUP($B$5,标准坦克设计!$B$14:$K$20,9)/30))</f>
        <v>13.714843003472144</v>
      </c>
      <c r="DT94" s="172">
        <f ca="1">(VLOOKUP(DT$72,INDIRECT($C$5&amp;"生成成长"),2))/((VLOOKUP($B94,INDIRECT($B$5&amp;"生成成长"),4))/(VLOOKUP(DT$72,INDIRECT($C$5&amp;"生成成长"),5))*(VLOOKUP($B$5,标准坦克设计!$B$24:$U$30,MATCH("对"&amp;LEFT($C$5,2)&amp;"输出",标准坦克设计!$B$23:$U$23,0)))*(VLOOKUP($B94,INDIRECT($B$5&amp;"生成成长"),3))*(VLOOKUP($B$5,标准坦克设计!$B$14:$K$20,9)/30))</f>
        <v>15.058067986477614</v>
      </c>
      <c r="DU94" s="172">
        <f ca="1">(VLOOKUP(DU$72,INDIRECT($C$5&amp;"生成成长"),2))/((VLOOKUP($B94,INDIRECT($B$5&amp;"生成成长"),4))/(VLOOKUP(DU$72,INDIRECT($C$5&amp;"生成成长"),5))*(VLOOKUP($B$5,标准坦克设计!$B$24:$U$30,MATCH("对"&amp;LEFT($C$5,2)&amp;"输出",标准坦克设计!$B$23:$U$23,0)))*(VLOOKUP($B94,INDIRECT($B$5&amp;"生成成长"),3))*(VLOOKUP($B$5,标准坦克设计!$B$14:$K$20,9)/30))</f>
        <v>16.464033839177603</v>
      </c>
      <c r="DV94" s="172">
        <f ca="1">(VLOOKUP(DV$72,INDIRECT($C$5&amp;"生成成长"),2))/((VLOOKUP($B94,INDIRECT($B$5&amp;"生成成长"),4))/(VLOOKUP(DV$72,INDIRECT($C$5&amp;"生成成长"),5))*(VLOOKUP($B$5,标准坦克设计!$B$24:$U$30,MATCH("对"&amp;LEFT($C$5,2)&amp;"输出",标准坦克设计!$B$23:$U$23,0)))*(VLOOKUP($B94,INDIRECT($B$5&amp;"生成成长"),3))*(VLOOKUP($B$5,标准坦克设计!$B$14:$K$20,9)/30))</f>
        <v>17.932740561572114</v>
      </c>
      <c r="DW94" s="172">
        <f ca="1">(VLOOKUP(DW$72,INDIRECT($C$5&amp;"生成成长"),2))/((VLOOKUP($B94,INDIRECT($B$5&amp;"生成成长"),4))/(VLOOKUP(DW$72,INDIRECT($C$5&amp;"生成成长"),5))*(VLOOKUP($B$5,标准坦克设计!$B$24:$U$30,MATCH("对"&amp;LEFT($C$5,2)&amp;"输出",标准坦克设计!$B$23:$U$23,0)))*(VLOOKUP($B94,INDIRECT($B$5&amp;"生成成长"),3))*(VLOOKUP($B$5,标准坦克设计!$B$14:$K$20,9)/30))</f>
        <v>19.464188153661151</v>
      </c>
      <c r="DX94" s="172">
        <f ca="1">(VLOOKUP(DX$72,INDIRECT($C$5&amp;"生成成长"),2))/((VLOOKUP($B94,INDIRECT($B$5&amp;"生成成长"),4))/(VLOOKUP(DX$72,INDIRECT($C$5&amp;"生成成长"),5))*(VLOOKUP($B$5,标准坦克设计!$B$24:$U$30,MATCH("对"&amp;LEFT($C$5,2)&amp;"输出",标准坦克设计!$B$23:$U$23,0)))*(VLOOKUP($B94,INDIRECT($B$5&amp;"生成成长"),3))*(VLOOKUP($B$5,标准坦克设计!$B$14:$K$20,9)/30))</f>
        <v>21.058376615444708</v>
      </c>
      <c r="DY94" s="172">
        <f ca="1">(VLOOKUP(DY$72,INDIRECT($C$5&amp;"生成成长"),2))/((VLOOKUP($B94,INDIRECT($B$5&amp;"生成成长"),4))/(VLOOKUP(DY$72,INDIRECT($C$5&amp;"生成成长"),5))*(VLOOKUP($B$5,标准坦克设计!$B$24:$U$30,MATCH("对"&amp;LEFT($C$5,2)&amp;"输出",标准坦克设计!$B$23:$U$23,0)))*(VLOOKUP($B94,INDIRECT($B$5&amp;"生成成长"),3))*(VLOOKUP($B$5,标准坦克设计!$B$14:$K$20,9)/30))</f>
        <v>9.4580564765532582</v>
      </c>
      <c r="DZ94" s="172">
        <f ca="1">(VLOOKUP(DZ$72,INDIRECT($C$5&amp;"生成成长"),2))/((VLOOKUP($B94,INDIRECT($B$5&amp;"生成成长"),4))/(VLOOKUP(DZ$72,INDIRECT($C$5&amp;"生成成长"),5))*(VLOOKUP($B$5,标准坦克设计!$B$24:$U$30,MATCH("对"&amp;LEFT($C$5,2)&amp;"输出",标准坦克设计!$B$23:$U$23,0)))*(VLOOKUP($B94,INDIRECT($B$5&amp;"生成成长"),3))*(VLOOKUP($B$5,标准坦克设计!$B$14:$K$20,9)/30))</f>
        <v>10.474354861687678</v>
      </c>
      <c r="EA94" s="172">
        <f ca="1">(VLOOKUP(EA$72,INDIRECT($C$5&amp;"生成成长"),2))/((VLOOKUP($B94,INDIRECT($B$5&amp;"生成成长"),4))/(VLOOKUP(EA$72,INDIRECT($C$5&amp;"生成成长"),5))*(VLOOKUP($B$5,标准坦克设计!$B$24:$U$30,MATCH("对"&amp;LEFT($C$5,2)&amp;"输出",标准坦克设计!$B$23:$U$23,0)))*(VLOOKUP($B94,INDIRECT($B$5&amp;"生成成长"),3))*(VLOOKUP($B$5,标准坦克设计!$B$14:$K$20,9)/30))</f>
        <v>11.542505205247325</v>
      </c>
      <c r="EB94" s="172">
        <f ca="1">(VLOOKUP(EB$72,INDIRECT($C$5&amp;"生成成长"),2))/((VLOOKUP($B94,INDIRECT($B$5&amp;"生成成长"),4))/(VLOOKUP(EB$72,INDIRECT($C$5&amp;"生成成长"),5))*(VLOOKUP($B$5,标准坦克设计!$B$24:$U$30,MATCH("对"&amp;LEFT($C$5,2)&amp;"输出",标准坦克设计!$B$23:$U$23,0)))*(VLOOKUP($B94,INDIRECT($B$5&amp;"生成成长"),3))*(VLOOKUP($B$5,标准坦克设计!$B$14:$K$20,9)/30))</f>
        <v>12.662507507232194</v>
      </c>
      <c r="EC94" s="172">
        <f ca="1">(VLOOKUP(EC$72,INDIRECT($C$5&amp;"生成成长"),2))/((VLOOKUP($B94,INDIRECT($B$5&amp;"生成成长"),4))/(VLOOKUP(EC$72,INDIRECT($C$5&amp;"生成成长"),5))*(VLOOKUP($B$5,标准坦克设计!$B$24:$U$30,MATCH("对"&amp;LEFT($C$5,2)&amp;"输出",标准坦克设计!$B$23:$U$23,0)))*(VLOOKUP($B94,INDIRECT($B$5&amp;"生成成长"),3))*(VLOOKUP($B$5,标准坦克设计!$B$14:$K$20,9)/30))</f>
        <v>13.834361767642291</v>
      </c>
      <c r="ED94" s="172">
        <f ca="1">(VLOOKUP(ED$72,INDIRECT($C$5&amp;"生成成长"),2))/((VLOOKUP($B94,INDIRECT($B$5&amp;"生成成长"),4))/(VLOOKUP(ED$72,INDIRECT($C$5&amp;"生成成长"),5))*(VLOOKUP($B$5,标准坦克设计!$B$24:$U$30,MATCH("对"&amp;LEFT($C$5,2)&amp;"输出",标准坦克设计!$B$23:$U$23,0)))*(VLOOKUP($B94,INDIRECT($B$5&amp;"生成成长"),3))*(VLOOKUP($B$5,标准坦克设计!$B$14:$K$20,9)/30))</f>
        <v>15.058067986477614</v>
      </c>
      <c r="EE94" s="172">
        <f ca="1">(VLOOKUP(EE$72,INDIRECT($C$5&amp;"生成成长"),2))/((VLOOKUP($B94,INDIRECT($B$5&amp;"生成成长"),4))/(VLOOKUP(EE$72,INDIRECT($C$5&amp;"生成成长"),5))*(VLOOKUP($B$5,标准坦克设计!$B$24:$U$30,MATCH("对"&amp;LEFT($C$5,2)&amp;"输出",标准坦克设计!$B$23:$U$23,0)))*(VLOOKUP($B94,INDIRECT($B$5&amp;"生成成长"),3))*(VLOOKUP($B$5,标准坦克设计!$B$14:$K$20,9)/30))</f>
        <v>16.333626163738156</v>
      </c>
      <c r="EF94" s="172">
        <f ca="1">(VLOOKUP(EF$72,INDIRECT($C$5&amp;"生成成长"),2))/((VLOOKUP($B94,INDIRECT($B$5&amp;"生成成长"),4))/(VLOOKUP(EF$72,INDIRECT($C$5&amp;"生成成长"),5))*(VLOOKUP($B$5,标准坦克设计!$B$24:$U$30,MATCH("对"&amp;LEFT($C$5,2)&amp;"输出",标准坦克设计!$B$23:$U$23,0)))*(VLOOKUP($B94,INDIRECT($B$5&amp;"生成成长"),3))*(VLOOKUP($B$5,标准坦克设计!$B$14:$K$20,9)/30))</f>
        <v>17.661036299423934</v>
      </c>
      <c r="EG94" s="172">
        <f ca="1">(VLOOKUP(EG$72,INDIRECT($C$5&amp;"生成成长"),2))/((VLOOKUP($B94,INDIRECT($B$5&amp;"生成成长"),4))/(VLOOKUP(EG$72,INDIRECT($C$5&amp;"生成成长"),5))*(VLOOKUP($B$5,标准坦克设计!$B$24:$U$30,MATCH("对"&amp;LEFT($C$5,2)&amp;"输出",标准坦克设计!$B$23:$U$23,0)))*(VLOOKUP($B94,INDIRECT($B$5&amp;"生成成长"),3))*(VLOOKUP($B$5,标准坦克设计!$B$14:$K$20,9)/30))</f>
        <v>19.040298393534933</v>
      </c>
      <c r="EH94" s="172">
        <f ca="1">(VLOOKUP(EH$72,INDIRECT($C$5&amp;"生成成长"),2))/((VLOOKUP($B94,INDIRECT($B$5&amp;"生成成长"),4))/(VLOOKUP(EH$72,INDIRECT($C$5&amp;"生成成长"),5))*(VLOOKUP($B$5,标准坦克设计!$B$24:$U$30,MATCH("对"&amp;LEFT($C$5,2)&amp;"输出",标准坦克设计!$B$23:$U$23,0)))*(VLOOKUP($B94,INDIRECT($B$5&amp;"生成成长"),3))*(VLOOKUP($B$5,标准坦克设计!$B$14:$K$20,9)/30))</f>
        <v>20.471412446071156</v>
      </c>
      <c r="EI94" s="172">
        <f ca="1">(VLOOKUP(EI$72,INDIRECT($C$5&amp;"生成成长"),2))/((VLOOKUP($B94,INDIRECT($B$5&amp;"生成成长"),4))/(VLOOKUP(EI$72,INDIRECT($C$5&amp;"生成成长"),5))*(VLOOKUP($B$5,标准坦克设计!$B$24:$U$30,MATCH("对"&amp;LEFT($C$5,2)&amp;"输出",标准坦克设计!$B$23:$U$23,0)))*(VLOOKUP($B94,INDIRECT($B$5&amp;"生成成长"),3))*(VLOOKUP($B$5,标准坦克设计!$B$14:$K$20,9)/30))</f>
        <v>21.954378457032604</v>
      </c>
      <c r="EJ94" s="172">
        <f ca="1">(VLOOKUP(EJ$72,INDIRECT($C$5&amp;"生成成长"),2))/((VLOOKUP($B94,INDIRECT($B$5&amp;"生成成长"),4))/(VLOOKUP(EJ$72,INDIRECT($C$5&amp;"生成成长"),5))*(VLOOKUP($B$5,标准坦克设计!$B$24:$U$30,MATCH("对"&amp;LEFT($C$5,2)&amp;"输出",标准坦克设计!$B$23:$U$23,0)))*(VLOOKUP($B94,INDIRECT($B$5&amp;"生成成长"),3))*(VLOOKUP($B$5,标准坦克设计!$B$14:$K$20,9)/30))</f>
        <v>23.489196426419277</v>
      </c>
      <c r="EK94" s="172">
        <f ca="1">(VLOOKUP(EK$72,INDIRECT($C$5&amp;"生成成长"),2))/((VLOOKUP($B94,INDIRECT($B$5&amp;"生成成长"),4))/(VLOOKUP(EK$72,INDIRECT($C$5&amp;"生成成长"),5))*(VLOOKUP($B$5,标准坦克设计!$B$24:$U$30,MATCH("对"&amp;LEFT($C$5,2)&amp;"输出",标准坦克设计!$B$23:$U$23,0)))*(VLOOKUP($B94,INDIRECT($B$5&amp;"生成成长"),3))*(VLOOKUP($B$5,标准坦克设计!$B$14:$K$20,9)/30))</f>
        <v>25.399422574804586</v>
      </c>
      <c r="EL94" s="172">
        <f ca="1">(VLOOKUP(EL$72,INDIRECT($C$5&amp;"生成成长"),2))/((VLOOKUP($B94,INDIRECT($B$5&amp;"生成成长"),4))/(VLOOKUP(EL$72,INDIRECT($C$5&amp;"生成成长"),5))*(VLOOKUP($B$5,标准坦克设计!$B$24:$U$30,MATCH("对"&amp;LEFT($C$5,2)&amp;"输出",标准坦克设计!$B$23:$U$23,0)))*(VLOOKUP($B94,INDIRECT($B$5&amp;"生成成长"),3))*(VLOOKUP($B$5,标准坦克设计!$B$14:$K$20,9)/30))</f>
        <v>27.38431554332222</v>
      </c>
      <c r="EM94" s="172">
        <f ca="1">(VLOOKUP(EM$72,INDIRECT($C$5&amp;"生成成长"),2))/((VLOOKUP($B94,INDIRECT($B$5&amp;"生成成长"),4))/(VLOOKUP(EM$72,INDIRECT($C$5&amp;"生成成长"),5))*(VLOOKUP($B$5,标准坦克设计!$B$24:$U$30,MATCH("对"&amp;LEFT($C$5,2)&amp;"输出",标准坦克设计!$B$23:$U$23,0)))*(VLOOKUP($B94,INDIRECT($B$5&amp;"生成成长"),3))*(VLOOKUP($B$5,标准坦克设计!$B$14:$K$20,9)/30))</f>
        <v>29.443875331972173</v>
      </c>
      <c r="EN94" s="172">
        <f ca="1">(VLOOKUP(EN$72,INDIRECT($C$5&amp;"生成成长"),2))/((VLOOKUP($B94,INDIRECT($B$5&amp;"生成成长"),4))/(VLOOKUP(EN$72,INDIRECT($C$5&amp;"生成成长"),5))*(VLOOKUP($B$5,标准坦克设计!$B$24:$U$30,MATCH("对"&amp;LEFT($C$5,2)&amp;"输出",标准坦克设计!$B$23:$U$23,0)))*(VLOOKUP($B94,INDIRECT($B$5&amp;"生成成长"),3))*(VLOOKUP($B$5,标准坦克设计!$B$14:$K$20,9)/30))</f>
        <v>31.578101940754461</v>
      </c>
      <c r="EO94" s="172">
        <f ca="1">(VLOOKUP(EO$72,INDIRECT($C$5&amp;"生成成长"),2))/((VLOOKUP($B94,INDIRECT($B$5&amp;"生成成长"),4))/(VLOOKUP(EO$72,INDIRECT($C$5&amp;"生成成长"),5))*(VLOOKUP($B$5,标准坦克设计!$B$24:$U$30,MATCH("对"&amp;LEFT($C$5,2)&amp;"输出",标准坦克设计!$B$23:$U$23,0)))*(VLOOKUP($B94,INDIRECT($B$5&amp;"生成成长"),3))*(VLOOKUP($B$5,标准坦克设计!$B$14:$K$20,9)/30))</f>
        <v>33.786995369669064</v>
      </c>
      <c r="EP94" s="172">
        <f ca="1">(VLOOKUP(EP$72,INDIRECT($C$5&amp;"生成成长"),2))/((VLOOKUP($B94,INDIRECT($B$5&amp;"生成成长"),4))/(VLOOKUP(EP$72,INDIRECT($C$5&amp;"生成成长"),5))*(VLOOKUP($B$5,标准坦克设计!$B$24:$U$30,MATCH("对"&amp;LEFT($C$5,2)&amp;"输出",标准坦克设计!$B$23:$U$23,0)))*(VLOOKUP($B94,INDIRECT($B$5&amp;"生成成长"),3))*(VLOOKUP($B$5,标准坦克设计!$B$14:$K$20,9)/30))</f>
        <v>36.070555618715993</v>
      </c>
      <c r="EQ94" s="172">
        <f ca="1">(VLOOKUP(EQ$72,INDIRECT($C$5&amp;"生成成长"),2))/((VLOOKUP($B94,INDIRECT($B$5&amp;"生成成长"),4))/(VLOOKUP(EQ$72,INDIRECT($C$5&amp;"生成成长"),5))*(VLOOKUP($B$5,标准坦克设计!$B$24:$U$30,MATCH("对"&amp;LEFT($C$5,2)&amp;"输出",标准坦克设计!$B$23:$U$23,0)))*(VLOOKUP($B94,INDIRECT($B$5&amp;"生成成长"),3))*(VLOOKUP($B$5,标准坦克设计!$B$14:$K$20,9)/30))</f>
        <v>15.945514254925346</v>
      </c>
      <c r="ER94" s="172">
        <f ca="1">(VLOOKUP(ER$72,INDIRECT($C$5&amp;"生成成长"),2))/((VLOOKUP($B94,INDIRECT($B$5&amp;"生成成长"),4))/(VLOOKUP(ER$72,INDIRECT($C$5&amp;"生成成长"),5))*(VLOOKUP($B$5,标准坦克设计!$B$24:$U$30,MATCH("对"&amp;LEFT($C$5,2)&amp;"输出",标准坦克设计!$B$23:$U$23,0)))*(VLOOKUP($B94,INDIRECT($B$5&amp;"生成成长"),3))*(VLOOKUP($B$5,标准坦克设计!$B$14:$K$20,9)/30))</f>
        <v>17.39140611561276</v>
      </c>
      <c r="ES94" s="172">
        <f ca="1">(VLOOKUP(ES$72,INDIRECT($C$5&amp;"生成成长"),2))/((VLOOKUP($B94,INDIRECT($B$5&amp;"生成成长"),4))/(VLOOKUP(ES$72,INDIRECT($C$5&amp;"生成成长"),5))*(VLOOKUP($B$5,标准坦克设计!$B$24:$U$30,MATCH("对"&amp;LEFT($C$5,2)&amp;"输出",标准坦克设计!$B$23:$U$23,0)))*(VLOOKUP($B94,INDIRECT($B$5&amp;"生成成长"),3))*(VLOOKUP($B$5,标准坦克设计!$B$14:$K$20,9)/30))</f>
        <v>18.900038845994697</v>
      </c>
      <c r="ET94" s="172">
        <f ca="1">(VLOOKUP(ET$72,INDIRECT($C$5&amp;"生成成长"),2))/((VLOOKUP($B94,INDIRECT($B$5&amp;"生成成长"),4))/(VLOOKUP(ET$72,INDIRECT($C$5&amp;"生成成长"),5))*(VLOOKUP($B$5,标准坦克设计!$B$24:$U$30,MATCH("对"&amp;LEFT($C$5,2)&amp;"输出",标准坦克设计!$B$23:$U$23,0)))*(VLOOKUP($B94,INDIRECT($B$5&amp;"生成成长"),3))*(VLOOKUP($B$5,标准坦克设计!$B$14:$K$20,9)/30))</f>
        <v>20.471412446071156</v>
      </c>
      <c r="EU94" s="172">
        <f ca="1">(VLOOKUP(EU$72,INDIRECT($C$5&amp;"生成成长"),2))/((VLOOKUP($B94,INDIRECT($B$5&amp;"生成成长"),4))/(VLOOKUP(EU$72,INDIRECT($C$5&amp;"生成成长"),5))*(VLOOKUP($B$5,标准坦克设计!$B$24:$U$30,MATCH("对"&amp;LEFT($C$5,2)&amp;"输出",标准坦克设计!$B$23:$U$23,0)))*(VLOOKUP($B94,INDIRECT($B$5&amp;"生成成长"),3))*(VLOOKUP($B$5,标准坦克设计!$B$14:$K$20,9)/30))</f>
        <v>22.105526915842141</v>
      </c>
      <c r="EV94" s="172">
        <f ca="1">(VLOOKUP(EV$72,INDIRECT($C$5&amp;"生成成长"),2))/((VLOOKUP($B94,INDIRECT($B$5&amp;"生成成长"),4))/(VLOOKUP(EV$72,INDIRECT($C$5&amp;"生成成长"),5))*(VLOOKUP($B$5,标准坦克设计!$B$24:$U$30,MATCH("对"&amp;LEFT($C$5,2)&amp;"输出",标准坦克设计!$B$23:$U$23,0)))*(VLOOKUP($B94,INDIRECT($B$5&amp;"生成成长"),3))*(VLOOKUP($B$5,标准坦克设计!$B$14:$K$20,9)/30))</f>
        <v>23.802382255307641</v>
      </c>
      <c r="EW94" s="172">
        <f ca="1">(VLOOKUP(EW$72,INDIRECT($C$5&amp;"生成成长"),2))/((VLOOKUP($B94,INDIRECT($B$5&amp;"生成成长"),4))/(VLOOKUP(EW$72,INDIRECT($C$5&amp;"生成成长"),5))*(VLOOKUP($B$5,标准坦克设计!$B$24:$U$30,MATCH("对"&amp;LEFT($C$5,2)&amp;"输出",标准坦克设计!$B$23:$U$23,0)))*(VLOOKUP($B94,INDIRECT($B$5&amp;"生成成长"),3))*(VLOOKUP($B$5,标准坦克设计!$B$14:$K$20,9)/30))</f>
        <v>25.561978464467668</v>
      </c>
      <c r="EX94" s="172">
        <f ca="1">(VLOOKUP(EX$72,INDIRECT($C$5&amp;"生成成长"),2))/((VLOOKUP($B94,INDIRECT($B$5&amp;"生成成长"),4))/(VLOOKUP(EX$72,INDIRECT($C$5&amp;"生成成长"),5))*(VLOOKUP($B$5,标准坦克设计!$B$24:$U$30,MATCH("对"&amp;LEFT($C$5,2)&amp;"输出",标准坦克设计!$B$23:$U$23,0)))*(VLOOKUP($B94,INDIRECT($B$5&amp;"生成成长"),3))*(VLOOKUP($B$5,标准坦克设计!$B$14:$K$20,9)/30))</f>
        <v>27.38431554332222</v>
      </c>
      <c r="EY94" s="172">
        <f ca="1">(VLOOKUP(EY$72,INDIRECT($C$5&amp;"生成成长"),2))/((VLOOKUP($B94,INDIRECT($B$5&amp;"生成成长"),4))/(VLOOKUP(EY$72,INDIRECT($C$5&amp;"生成成长"),5))*(VLOOKUP($B$5,标准坦克设计!$B$24:$U$30,MATCH("对"&amp;LEFT($C$5,2)&amp;"输出",标准坦克设计!$B$23:$U$23,0)))*(VLOOKUP($B94,INDIRECT($B$5&amp;"生成成长"),3))*(VLOOKUP($B$5,标准坦克设计!$B$14:$K$20,9)/30))</f>
        <v>29.269393491871291</v>
      </c>
      <c r="EZ94" s="172">
        <f ca="1">(VLOOKUP(EZ$72,INDIRECT($C$5&amp;"生成成长"),2))/((VLOOKUP($B94,INDIRECT($B$5&amp;"生成成长"),4))/(VLOOKUP(EZ$72,INDIRECT($C$5&amp;"生成成长"),5))*(VLOOKUP($B$5,标准坦克设计!$B$24:$U$30,MATCH("对"&amp;LEFT($C$5,2)&amp;"输出",标准坦克设计!$B$23:$U$23,0)))*(VLOOKUP($B94,INDIRECT($B$5&amp;"生成成长"),3))*(VLOOKUP($B$5,标准坦克设计!$B$14:$K$20,9)/30))</f>
        <v>31.217212310114885</v>
      </c>
      <c r="FA94" s="172">
        <f ca="1">(VLOOKUP(FA$72,INDIRECT($C$5&amp;"生成成长"),2))/((VLOOKUP($B94,INDIRECT($B$5&amp;"生成成长"),4))/(VLOOKUP(FA$72,INDIRECT($C$5&amp;"生成成长"),5))*(VLOOKUP($B$5,标准坦克设计!$B$24:$U$30,MATCH("对"&amp;LEFT($C$5,2)&amp;"输出",标准坦克设计!$B$23:$U$23,0)))*(VLOOKUP($B94,INDIRECT($B$5&amp;"生成成长"),3))*(VLOOKUP($B$5,标准坦克设计!$B$14:$K$20,9)/30))</f>
        <v>33.227771998053008</v>
      </c>
      <c r="FB94" s="172">
        <f ca="1">(VLOOKUP(FB$72,INDIRECT($C$5&amp;"生成成长"),2))/((VLOOKUP($B94,INDIRECT($B$5&amp;"生成成长"),4))/(VLOOKUP(FB$72,INDIRECT($C$5&amp;"生成成长"),5))*(VLOOKUP($B$5,标准坦克设计!$B$24:$U$30,MATCH("对"&amp;LEFT($C$5,2)&amp;"输出",标准坦克设计!$B$23:$U$23,0)))*(VLOOKUP($B94,INDIRECT($B$5&amp;"生成成长"),3))*(VLOOKUP($B$5,标准坦克设计!$B$14:$K$20,9)/30))</f>
        <v>35.30107255568565</v>
      </c>
      <c r="FC94" s="172">
        <f ca="1">(VLOOKUP(FC$72,INDIRECT($C$5&amp;"生成成长"),2))/((VLOOKUP($B94,INDIRECT($B$5&amp;"生成成长"),4))/(VLOOKUP(FC$72,INDIRECT($C$5&amp;"生成成长"),5))*(VLOOKUP($B$5,标准坦克设计!$B$24:$U$30,MATCH("对"&amp;LEFT($C$5,2)&amp;"输出",标准坦克设计!$B$23:$U$23,0)))*(VLOOKUP($B94,INDIRECT($B$5&amp;"生成成长"),3))*(VLOOKUP($B$5,标准坦克设计!$B$14:$K$20,9)/30))</f>
        <v>37.437113983012814</v>
      </c>
      <c r="FD94" s="172">
        <f ca="1">(VLOOKUP(FD$72,INDIRECT($C$5&amp;"生成成长"),2))/((VLOOKUP($B94,INDIRECT($B$5&amp;"生成成长"),4))/(VLOOKUP(FD$72,INDIRECT($C$5&amp;"生成成长"),5))*(VLOOKUP($B$5,标准坦克设计!$B$24:$U$30,MATCH("对"&amp;LEFT($C$5,2)&amp;"输出",标准坦克设计!$B$23:$U$23,0)))*(VLOOKUP($B94,INDIRECT($B$5&amp;"生成成长"),3))*(VLOOKUP($B$5,标准坦克设计!$B$14:$K$20,9)/30))</f>
        <v>39.635896280034501</v>
      </c>
      <c r="FE94" s="172">
        <f ca="1">(VLOOKUP(FE$72,INDIRECT($C$5&amp;"生成成长"),2))/((VLOOKUP($B94,INDIRECT($B$5&amp;"生成成长"),4))/(VLOOKUP(FE$72,INDIRECT($C$5&amp;"生成成长"),5))*(VLOOKUP($B$5,标准坦克设计!$B$24:$U$30,MATCH("对"&amp;LEFT($C$5,2)&amp;"输出",标准坦克设计!$B$23:$U$23,0)))*(VLOOKUP($B94,INDIRECT($B$5&amp;"生成成长"),3))*(VLOOKUP($B$5,标准坦克设计!$B$14:$K$20,9)/30))</f>
        <v>42.315346231658026</v>
      </c>
      <c r="FF94" s="172">
        <f ca="1">(VLOOKUP(FF$72,INDIRECT($C$5&amp;"生成成长"),2))/((VLOOKUP($B94,INDIRECT($B$5&amp;"生成成长"),4))/(VLOOKUP(FF$72,INDIRECT($C$5&amp;"生成成长"),5))*(VLOOKUP($B$5,标准坦克设计!$B$24:$U$30,MATCH("对"&amp;LEFT($C$5,2)&amp;"输出",标准坦克设计!$B$23:$U$23,0)))*(VLOOKUP($B94,INDIRECT($B$5&amp;"生成成长"),3))*(VLOOKUP($B$5,标准坦克设计!$B$14:$K$20,9)/30))</f>
        <v>45.082425993020188</v>
      </c>
      <c r="FG94" s="172">
        <f ca="1">(VLOOKUP(FG$72,INDIRECT($C$5&amp;"生成成长"),2))/((VLOOKUP($B94,INDIRECT($B$5&amp;"生成成长"),4))/(VLOOKUP(FG$72,INDIRECT($C$5&amp;"生成成长"),5))*(VLOOKUP($B$5,标准坦克设计!$B$24:$U$30,MATCH("对"&amp;LEFT($C$5,2)&amp;"输出",标准坦克设计!$B$23:$U$23,0)))*(VLOOKUP($B94,INDIRECT($B$5&amp;"生成成长"),3))*(VLOOKUP($B$5,标准坦克设计!$B$14:$K$20,9)/30))</f>
        <v>47.937135564120972</v>
      </c>
      <c r="FH94" s="172">
        <f ca="1">(VLOOKUP(FH$72,INDIRECT($C$5&amp;"生成成长"),2))/((VLOOKUP($B94,INDIRECT($B$5&amp;"生成成长"),4))/(VLOOKUP(FH$72,INDIRECT($C$5&amp;"生成成长"),5))*(VLOOKUP($B$5,标准坦克设计!$B$24:$U$30,MATCH("对"&amp;LEFT($C$5,2)&amp;"输出",标准坦克设计!$B$23:$U$23,0)))*(VLOOKUP($B94,INDIRECT($B$5&amp;"生成成长"),3))*(VLOOKUP($B$5,标准坦克设计!$B$14:$K$20,9)/30))</f>
        <v>50.8794749449604</v>
      </c>
      <c r="FI94" s="172">
        <f ca="1">(VLOOKUP(FI$72,INDIRECT($C$5&amp;"生成成长"),2))/((VLOOKUP($B94,INDIRECT($B$5&amp;"生成成长"),4))/(VLOOKUP(FI$72,INDIRECT($C$5&amp;"生成成长"),5))*(VLOOKUP($B$5,标准坦克设计!$B$24:$U$30,MATCH("对"&amp;LEFT($C$5,2)&amp;"输出",标准坦克设计!$B$23:$U$23,0)))*(VLOOKUP($B94,INDIRECT($B$5&amp;"生成成长"),3))*(VLOOKUP($B$5,标准坦克设计!$B$14:$K$20,9)/30))</f>
        <v>53.90944413553845</v>
      </c>
      <c r="FJ94" s="172">
        <f ca="1">(VLOOKUP(FJ$72,INDIRECT($C$5&amp;"生成成长"),2))/((VLOOKUP($B94,INDIRECT($B$5&amp;"生成成长"),4))/(VLOOKUP(FJ$72,INDIRECT($C$5&amp;"生成成长"),5))*(VLOOKUP($B$5,标准坦克设计!$B$24:$U$30,MATCH("对"&amp;LEFT($C$5,2)&amp;"输出",标准坦克设计!$B$23:$U$23,0)))*(VLOOKUP($B94,INDIRECT($B$5&amp;"生成成长"),3))*(VLOOKUP($B$5,标准坦克设计!$B$14:$K$20,9)/30))</f>
        <v>57.027043135855124</v>
      </c>
      <c r="FK94" s="172">
        <f ca="1">(VLOOKUP(FK$72,INDIRECT($C$5&amp;"生成成长"),2))/((VLOOKUP($B94,INDIRECT($B$5&amp;"生成成长"),4))/(VLOOKUP(FK$72,INDIRECT($C$5&amp;"生成成长"),5))*(VLOOKUP($B$5,标准坦克设计!$B$24:$U$30,MATCH("对"&amp;LEFT($C$5,2)&amp;"输出",标准坦克设计!$B$23:$U$23,0)))*(VLOOKUP($B94,INDIRECT($B$5&amp;"生成成长"),3))*(VLOOKUP($B$5,标准坦克设计!$B$14:$K$20,9)/30))</f>
        <v>60.232271945910455</v>
      </c>
    </row>
    <row r="95" spans="1:167" x14ac:dyDescent="0.15">
      <c r="A95" s="170" t="str">
        <f t="shared" si="11"/>
        <v>T4低品质2级</v>
      </c>
      <c r="B95" s="171">
        <v>10402</v>
      </c>
      <c r="C95" s="172">
        <f ca="1">(VLOOKUP(C$72,INDIRECT($C$5&amp;"生成成长"),2))/((VLOOKUP($B95,INDIRECT($B$5&amp;"生成成长"),4))/(VLOOKUP(C$72,INDIRECT($C$5&amp;"生成成长"),5))*(VLOOKUP($B$5,标准坦克设计!$B$24:$U$30,MATCH("对"&amp;LEFT($C$5,2)&amp;"输出",标准坦克设计!$B$23:$U$23,0)))*(VLOOKUP($B95,INDIRECT($B$5&amp;"生成成长"),3))*(VLOOKUP($B$5,标准坦克设计!$B$14:$K$20,9)/30))</f>
        <v>2.3265735786744179</v>
      </c>
      <c r="D95" s="172">
        <f ca="1">(VLOOKUP(D$72,INDIRECT($C$5&amp;"生成成长"),2))/((VLOOKUP($B95,INDIRECT($B$5&amp;"生成成长"),4))/(VLOOKUP(D$72,INDIRECT($C$5&amp;"生成成长"),5))*(VLOOKUP($B$5,标准坦克设计!$B$24:$U$30,MATCH("对"&amp;LEFT($C$5,2)&amp;"输出",标准坦克设计!$B$23:$U$23,0)))*(VLOOKUP($B95,INDIRECT($B$5&amp;"生成成长"),3))*(VLOOKUP($B$5,标准坦克设计!$B$14:$K$20,9)/30))</f>
        <v>2.6141380729985761</v>
      </c>
      <c r="E95" s="172">
        <f ca="1">(VLOOKUP(E$72,INDIRECT($C$5&amp;"生成成长"),2))/((VLOOKUP($B95,INDIRECT($B$5&amp;"生成成长"),4))/(VLOOKUP(E$72,INDIRECT($C$5&amp;"生成成长"),5))*(VLOOKUP($B$5,标准坦克设计!$B$24:$U$30,MATCH("对"&amp;LEFT($C$5,2)&amp;"输出",标准坦克设计!$B$23:$U$23,0)))*(VLOOKUP($B95,INDIRECT($B$5&amp;"生成成长"),3))*(VLOOKUP($B$5,标准坦克设计!$B$14:$K$20,9)/30))</f>
        <v>2.9184538970891891</v>
      </c>
      <c r="F95" s="172">
        <f ca="1">(VLOOKUP(F$72,INDIRECT($C$5&amp;"生成成长"),2))/((VLOOKUP($B95,INDIRECT($B$5&amp;"生成成长"),4))/(VLOOKUP(F$72,INDIRECT($C$5&amp;"生成成长"),5))*(VLOOKUP($B$5,标准坦克设计!$B$24:$U$30,MATCH("对"&amp;LEFT($C$5,2)&amp;"输出",标准坦克设计!$B$23:$U$23,0)))*(VLOOKUP($B95,INDIRECT($B$5&amp;"生成成长"),3))*(VLOOKUP($B$5,标准坦克设计!$B$14:$K$20,9)/30))</f>
        <v>3.2395210509462586</v>
      </c>
      <c r="G95" s="172">
        <f ca="1">(VLOOKUP(G$72,INDIRECT($C$5&amp;"生成成长"),2))/((VLOOKUP($B95,INDIRECT($B$5&amp;"生成成长"),4))/(VLOOKUP(G$72,INDIRECT($C$5&amp;"生成成长"),5))*(VLOOKUP($B$5,标准坦克设计!$B$24:$U$30,MATCH("对"&amp;LEFT($C$5,2)&amp;"输出",标准坦克设计!$B$23:$U$23,0)))*(VLOOKUP($B95,INDIRECT($B$5&amp;"生成成长"),3))*(VLOOKUP($B$5,标准坦克设计!$B$14:$K$20,9)/30))</f>
        <v>3.5773395345697852</v>
      </c>
      <c r="H95" s="172">
        <f ca="1">(VLOOKUP(H$72,INDIRECT($C$5&amp;"生成成长"),2))/((VLOOKUP($B95,INDIRECT($B$5&amp;"生成成长"),4))/(VLOOKUP(H$72,INDIRECT($C$5&amp;"生成成长"),5))*(VLOOKUP($B$5,标准坦克设计!$B$24:$U$30,MATCH("对"&amp;LEFT($C$5,2)&amp;"输出",标准坦克设计!$B$23:$U$23,0)))*(VLOOKUP($B95,INDIRECT($B$5&amp;"生成成长"),3))*(VLOOKUP($B$5,标准坦克设计!$B$14:$K$20,9)/30))</f>
        <v>3.1306374074642962</v>
      </c>
      <c r="I95" s="172">
        <f ca="1">(VLOOKUP(I$72,INDIRECT($C$5&amp;"生成成长"),2))/((VLOOKUP($B95,INDIRECT($B$5&amp;"生成成长"),4))/(VLOOKUP(I$72,INDIRECT($C$5&amp;"生成成长"),5))*(VLOOKUP($B$5,标准坦克设计!$B$24:$U$30,MATCH("对"&amp;LEFT($C$5,2)&amp;"输出",标准坦克设计!$B$23:$U$23,0)))*(VLOOKUP($B95,INDIRECT($B$5&amp;"生成成长"),3))*(VLOOKUP($B$5,标准坦克设计!$B$14:$K$20,9)/30))</f>
        <v>3.5773395345697852</v>
      </c>
      <c r="J95" s="172">
        <f ca="1">(VLOOKUP(J$72,INDIRECT($C$5&amp;"生成成长"),2))/((VLOOKUP($B95,INDIRECT($B$5&amp;"生成成长"),4))/(VLOOKUP(J$72,INDIRECT($C$5&amp;"生成成长"),5))*(VLOOKUP($B$5,标准坦克设计!$B$24:$U$30,MATCH("对"&amp;LEFT($C$5,2)&amp;"输出",标准坦克设计!$B$23:$U$23,0)))*(VLOOKUP($B95,INDIRECT($B$5&amp;"生成成长"),3))*(VLOOKUP($B$5,标准坦克设计!$B$14:$K$20,9)/30))</f>
        <v>4.0538218034823048</v>
      </c>
      <c r="K95" s="172">
        <f ca="1">(VLOOKUP(K$72,INDIRECT($C$5&amp;"生成成长"),2))/((VLOOKUP($B95,INDIRECT($B$5&amp;"生成成长"),4))/(VLOOKUP(K$72,INDIRECT($C$5&amp;"生成成长"),5))*(VLOOKUP($B$5,标准坦克设计!$B$24:$U$30,MATCH("对"&amp;LEFT($C$5,2)&amp;"输出",标准坦克设计!$B$23:$U$23,0)))*(VLOOKUP($B95,INDIRECT($B$5&amp;"生成成长"),3))*(VLOOKUP($B$5,标准坦克设计!$B$14:$K$20,9)/30))</f>
        <v>4.5600842142018596</v>
      </c>
      <c r="L95" s="172">
        <f ca="1">(VLOOKUP(L$72,INDIRECT($C$5&amp;"生成成长"),2))/((VLOOKUP($B95,INDIRECT($B$5&amp;"生成成长"),4))/(VLOOKUP(L$72,INDIRECT($C$5&amp;"生成成长"),5))*(VLOOKUP($B$5,标准坦克设计!$B$24:$U$30,MATCH("对"&amp;LEFT($C$5,2)&amp;"输出",标准坦克设计!$B$23:$U$23,0)))*(VLOOKUP($B95,INDIRECT($B$5&amp;"生成成长"),3))*(VLOOKUP($B$5,标准坦克设计!$B$14:$K$20,9)/30))</f>
        <v>5.0961267667284442</v>
      </c>
      <c r="M95" s="172">
        <f ca="1">(VLOOKUP(M$72,INDIRECT($C$5&amp;"生成成长"),2))/((VLOOKUP($B95,INDIRECT($B$5&amp;"生成成长"),4))/(VLOOKUP(M$72,INDIRECT($C$5&amp;"生成成长"),5))*(VLOOKUP($B$5,标准坦克设计!$B$24:$U$30,MATCH("对"&amp;LEFT($C$5,2)&amp;"输出",标准坦克设计!$B$23:$U$23,0)))*(VLOOKUP($B95,INDIRECT($B$5&amp;"生成成长"),3))*(VLOOKUP($B$5,标准坦克设计!$B$14:$K$20,9)/30))</f>
        <v>5.6619494610620631</v>
      </c>
      <c r="N95" s="172">
        <f ca="1">(VLOOKUP(N$72,INDIRECT($C$5&amp;"生成成长"),2))/((VLOOKUP($B95,INDIRECT($B$5&amp;"生成成长"),4))/(VLOOKUP(N$72,INDIRECT($C$5&amp;"生成成长"),5))*(VLOOKUP($B$5,标准坦克设计!$B$24:$U$30,MATCH("对"&amp;LEFT($C$5,2)&amp;"输出",标准坦克设计!$B$23:$U$23,0)))*(VLOOKUP($B95,INDIRECT($B$5&amp;"生成成长"),3))*(VLOOKUP($B$5,标准坦克设计!$B$14:$K$20,9)/30))</f>
        <v>6.2575522972027144</v>
      </c>
      <c r="O95" s="172">
        <f ca="1">(VLOOKUP(O$72,INDIRECT($C$5&amp;"生成成长"),2))/((VLOOKUP($B95,INDIRECT($B$5&amp;"生成成长"),4))/(VLOOKUP(O$72,INDIRECT($C$5&amp;"生成成长"),5))*(VLOOKUP($B$5,标准坦克设计!$B$24:$U$30,MATCH("对"&amp;LEFT($C$5,2)&amp;"输出",标准坦克设计!$B$23:$U$23,0)))*(VLOOKUP($B95,INDIRECT($B$5&amp;"生成成长"),3))*(VLOOKUP($B$5,标准坦克设计!$B$14:$K$20,9)/30))</f>
        <v>4.7576103110313177</v>
      </c>
      <c r="P95" s="172">
        <f ca="1">(VLOOKUP(P$72,INDIRECT($C$5&amp;"生成成长"),2))/((VLOOKUP($B95,INDIRECT($B$5&amp;"生成成长"),4))/(VLOOKUP(P$72,INDIRECT($C$5&amp;"生成成长"),5))*(VLOOKUP($B$5,标准坦克设计!$B$24:$U$30,MATCH("对"&amp;LEFT($C$5,2)&amp;"输出",标准坦克设计!$B$23:$U$23,0)))*(VLOOKUP($B95,INDIRECT($B$5&amp;"生成成长"),3))*(VLOOKUP($B$5,标准坦克设计!$B$14:$K$20,9)/30))</f>
        <v>5.3753155961693757</v>
      </c>
      <c r="Q95" s="172">
        <f ca="1">(VLOOKUP(Q$72,INDIRECT($C$5&amp;"生成成长"),2))/((VLOOKUP($B95,INDIRECT($B$5&amp;"生成成长"),4))/(VLOOKUP(Q$72,INDIRECT($C$5&amp;"生成成长"),5))*(VLOOKUP($B$5,标准坦克设计!$B$24:$U$30,MATCH("对"&amp;LEFT($C$5,2)&amp;"输出",标准坦克设计!$B$23:$U$23,0)))*(VLOOKUP($B95,INDIRECT($B$5&amp;"生成成长"),3))*(VLOOKUP($B$5,标准坦克设计!$B$14:$K$20,9)/30))</f>
        <v>6.0307113732819584</v>
      </c>
      <c r="R95" s="172">
        <f ca="1">(VLOOKUP(R$72,INDIRECT($C$5&amp;"生成成长"),2))/((VLOOKUP($B95,INDIRECT($B$5&amp;"生成成长"),4))/(VLOOKUP(R$72,INDIRECT($C$5&amp;"生成成长"),5))*(VLOOKUP($B$5,标准坦克设计!$B$24:$U$30,MATCH("对"&amp;LEFT($C$5,2)&amp;"输出",标准坦克设计!$B$23:$U$23,0)))*(VLOOKUP($B95,INDIRECT($B$5&amp;"生成成长"),3))*(VLOOKUP($B$5,标准坦克设计!$B$14:$K$20,9)/30))</f>
        <v>6.7237976423690675</v>
      </c>
      <c r="S95" s="172">
        <f ca="1">(VLOOKUP(S$72,INDIRECT($C$5&amp;"生成成长"),2))/((VLOOKUP($B95,INDIRECT($B$5&amp;"生成成长"),4))/(VLOOKUP(S$72,INDIRECT($C$5&amp;"生成成长"),5))*(VLOOKUP($B$5,标准坦克设计!$B$24:$U$30,MATCH("对"&amp;LEFT($C$5,2)&amp;"输出",标准坦克设计!$B$23:$U$23,0)))*(VLOOKUP($B95,INDIRECT($B$5&amp;"生成成长"),3))*(VLOOKUP($B$5,标准坦克设计!$B$14:$K$20,9)/30))</f>
        <v>7.4545744034307022</v>
      </c>
      <c r="T95" s="172">
        <f ca="1">(VLOOKUP(T$72,INDIRECT($C$5&amp;"生成成长"),2))/((VLOOKUP($B95,INDIRECT($B$5&amp;"生成成长"),4))/(VLOOKUP(T$72,INDIRECT($C$5&amp;"生成成长"),5))*(VLOOKUP($B$5,标准坦克设计!$B$24:$U$30,MATCH("对"&amp;LEFT($C$5,2)&amp;"输出",标准坦克设计!$B$23:$U$23,0)))*(VLOOKUP($B95,INDIRECT($B$5&amp;"生成成长"),3))*(VLOOKUP($B$5,标准坦克设计!$B$14:$K$20,9)/30))</f>
        <v>8.2230416564668616</v>
      </c>
      <c r="U95" s="172">
        <f ca="1">(VLOOKUP(U$72,INDIRECT($C$5&amp;"生成成长"),2))/((VLOOKUP($B95,INDIRECT($B$5&amp;"生成成长"),4))/(VLOOKUP(U$72,INDIRECT($C$5&amp;"生成成长"),5))*(VLOOKUP($B$5,标准坦克设计!$B$24:$U$30,MATCH("对"&amp;LEFT($C$5,2)&amp;"输出",标准坦克设计!$B$23:$U$23,0)))*(VLOOKUP($B95,INDIRECT($B$5&amp;"生成成长"),3))*(VLOOKUP($B$5,标准坦克设计!$B$14:$K$20,9)/30))</f>
        <v>9.0291994014775483</v>
      </c>
      <c r="V95" s="172">
        <f ca="1">(VLOOKUP(V$72,INDIRECT($C$5&amp;"生成成长"),2))/((VLOOKUP($B95,INDIRECT($B$5&amp;"生成成长"),4))/(VLOOKUP(V$72,INDIRECT($C$5&amp;"生成成长"),5))*(VLOOKUP($B$5,标准坦克设计!$B$24:$U$30,MATCH("对"&amp;LEFT($C$5,2)&amp;"输出",标准坦克设计!$B$23:$U$23,0)))*(VLOOKUP($B95,INDIRECT($B$5&amp;"生成成长"),3))*(VLOOKUP($B$5,标准坦克设计!$B$14:$K$20,9)/30))</f>
        <v>9.8730476384627597</v>
      </c>
      <c r="W95" s="172">
        <f ca="1">(VLOOKUP(W$72,INDIRECT($C$5&amp;"生成成长"),2))/((VLOOKUP($B95,INDIRECT($B$5&amp;"生成成长"),4))/(VLOOKUP(W$72,INDIRECT($C$5&amp;"生成成长"),5))*(VLOOKUP($B$5,标准坦克设计!$B$24:$U$30,MATCH("对"&amp;LEFT($C$5,2)&amp;"输出",标准坦克设计!$B$23:$U$23,0)))*(VLOOKUP($B95,INDIRECT($B$5&amp;"生成成长"),3))*(VLOOKUP($B$5,标准坦克设计!$B$14:$K$20,9)/30))</f>
        <v>10.754586367422498</v>
      </c>
      <c r="X95" s="172">
        <f ca="1">(VLOOKUP(X$72,INDIRECT($C$5&amp;"生成成长"),2))/((VLOOKUP($B95,INDIRECT($B$5&amp;"生成成长"),4))/(VLOOKUP(X$72,INDIRECT($C$5&amp;"生成成长"),5))*(VLOOKUP($B$5,标准坦克设计!$B$24:$U$30,MATCH("对"&amp;LEFT($C$5,2)&amp;"输出",标准坦克设计!$B$23:$U$23,0)))*(VLOOKUP($B95,INDIRECT($B$5&amp;"生成成长"),3))*(VLOOKUP($B$5,标准坦克设计!$B$14:$K$20,9)/30))</f>
        <v>7.791462257622757</v>
      </c>
      <c r="Y95" s="172">
        <f ca="1">(VLOOKUP(Y$72,INDIRECT($C$5&amp;"生成成长"),2))/((VLOOKUP($B95,INDIRECT($B$5&amp;"生成成长"),4))/(VLOOKUP(Y$72,INDIRECT($C$5&amp;"生成成长"),5))*(VLOOKUP($B$5,标准坦克设计!$B$24:$U$30,MATCH("对"&amp;LEFT($C$5,2)&amp;"输出",标准坦克设计!$B$23:$U$23,0)))*(VLOOKUP($B95,INDIRECT($B$5&amp;"生成成长"),3))*(VLOOKUP($B$5,标准坦克设计!$B$14:$K$20,9)/30))</f>
        <v>8.666253923204339</v>
      </c>
      <c r="Z95" s="172">
        <f ca="1">(VLOOKUP(Z$72,INDIRECT($C$5&amp;"生成成长"),2))/((VLOOKUP($B95,INDIRECT($B$5&amp;"生成成长"),4))/(VLOOKUP(Z$72,INDIRECT($C$5&amp;"生成成长"),5))*(VLOOKUP($B$5,标准坦克设计!$B$24:$U$30,MATCH("对"&amp;LEFT($C$5,2)&amp;"输出",标准坦克设计!$B$23:$U$23,0)))*(VLOOKUP($B95,INDIRECT($B$5&amp;"生成成长"),3))*(VLOOKUP($B$5,标准坦克设计!$B$14:$K$20,9)/30))</f>
        <v>9.5875770603594095</v>
      </c>
      <c r="AA95" s="172">
        <f ca="1">(VLOOKUP(AA$72,INDIRECT($C$5&amp;"生成成长"),2))/((VLOOKUP($B95,INDIRECT($B$5&amp;"生成成长"),4))/(VLOOKUP(AA$72,INDIRECT($C$5&amp;"生成成长"),5))*(VLOOKUP($B$5,标准坦克设计!$B$24:$U$30,MATCH("对"&amp;LEFT($C$5,2)&amp;"输出",标准坦克设计!$B$23:$U$23,0)))*(VLOOKUP($B95,INDIRECT($B$5&amp;"生成成长"),3))*(VLOOKUP($B$5,标准坦克设计!$B$14:$K$20,9)/30))</f>
        <v>10.555431669087964</v>
      </c>
      <c r="AB95" s="172">
        <f ca="1">(VLOOKUP(AB$72,INDIRECT($C$5&amp;"生成成长"),2))/((VLOOKUP($B95,INDIRECT($B$5&amp;"生成成长"),4))/(VLOOKUP(AB$72,INDIRECT($C$5&amp;"生成成长"),5))*(VLOOKUP($B$5,标准坦克设计!$B$24:$U$30,MATCH("对"&amp;LEFT($C$5,2)&amp;"输出",标准坦克设计!$B$23:$U$23,0)))*(VLOOKUP($B95,INDIRECT($B$5&amp;"生成成长"),3))*(VLOOKUP($B$5,标准坦克设计!$B$14:$K$20,9)/30))</f>
        <v>11.569817749390014</v>
      </c>
      <c r="AC95" s="172">
        <f ca="1">(VLOOKUP(AC$72,INDIRECT($C$5&amp;"生成成长"),2))/((VLOOKUP($B95,INDIRECT($B$5&amp;"生成成长"),4))/(VLOOKUP(AC$72,INDIRECT($C$5&amp;"生成成长"),5))*(VLOOKUP($B$5,标准坦克设计!$B$24:$U$30,MATCH("对"&amp;LEFT($C$5,2)&amp;"输出",标准坦克设计!$B$23:$U$23,0)))*(VLOOKUP($B95,INDIRECT($B$5&amp;"生成成长"),3))*(VLOOKUP($B$5,标准坦克设计!$B$14:$K$20,9)/30))</f>
        <v>12.630735301265547</v>
      </c>
      <c r="AD95" s="172">
        <f ca="1">(VLOOKUP(AD$72,INDIRECT($C$5&amp;"生成成长"),2))/((VLOOKUP($B95,INDIRECT($B$5&amp;"生成成长"),4))/(VLOOKUP(AD$72,INDIRECT($C$5&amp;"生成成长"),5))*(VLOOKUP($B$5,标准坦克设计!$B$24:$U$30,MATCH("对"&amp;LEFT($C$5,2)&amp;"输出",标准坦克设计!$B$23:$U$23,0)))*(VLOOKUP($B95,INDIRECT($B$5&amp;"生成成长"),3))*(VLOOKUP($B$5,标准坦克设计!$B$14:$K$20,9)/30))</f>
        <v>13.73818432471457</v>
      </c>
      <c r="AE95" s="172">
        <f ca="1">(VLOOKUP(AE$72,INDIRECT($C$5&amp;"生成成长"),2))/((VLOOKUP($B95,INDIRECT($B$5&amp;"生成成长"),4))/(VLOOKUP(AE$72,INDIRECT($C$5&amp;"生成成长"),5))*(VLOOKUP($B$5,标准坦克设计!$B$24:$U$30,MATCH("对"&amp;LEFT($C$5,2)&amp;"输出",标准坦克设计!$B$23:$U$23,0)))*(VLOOKUP($B95,INDIRECT($B$5&amp;"生成成长"),3))*(VLOOKUP($B$5,标准坦克设计!$B$14:$K$20,9)/30))</f>
        <v>14.892164819737078</v>
      </c>
      <c r="AF95" s="172">
        <f ca="1">(VLOOKUP(AF$72,INDIRECT($C$5&amp;"生成成长"),2))/((VLOOKUP($B95,INDIRECT($B$5&amp;"生成成长"),4))/(VLOOKUP(AF$72,INDIRECT($C$5&amp;"生成成长"),5))*(VLOOKUP($B$5,标准坦克设计!$B$24:$U$30,MATCH("对"&amp;LEFT($C$5,2)&amp;"输出",标准坦克设计!$B$23:$U$23,0)))*(VLOOKUP($B95,INDIRECT($B$5&amp;"生成成长"),3))*(VLOOKUP($B$5,标准坦克设计!$B$14:$K$20,9)/30))</f>
        <v>16.09267678633308</v>
      </c>
      <c r="AG95" s="172">
        <f ca="1">(VLOOKUP(AG$72,INDIRECT($C$5&amp;"生成成长"),2))/((VLOOKUP($B95,INDIRECT($B$5&amp;"生成成长"),4))/(VLOOKUP(AG$72,INDIRECT($C$5&amp;"生成成长"),5))*(VLOOKUP($B$5,标准坦克设计!$B$24:$U$30,MATCH("对"&amp;LEFT($C$5,2)&amp;"输出",标准坦克设计!$B$23:$U$23,0)))*(VLOOKUP($B95,INDIRECT($B$5&amp;"生成成长"),3))*(VLOOKUP($B$5,标准坦克设计!$B$14:$K$20,9)/30))</f>
        <v>17.339720224502567</v>
      </c>
      <c r="AH95" s="172">
        <f ca="1">(VLOOKUP(AH$72,INDIRECT($C$5&amp;"生成成长"),2))/((VLOOKUP($B95,INDIRECT($B$5&amp;"生成成长"),4))/(VLOOKUP(AH$72,INDIRECT($C$5&amp;"生成成长"),5))*(VLOOKUP($B$5,标准坦克设计!$B$24:$U$30,MATCH("对"&amp;LEFT($C$5,2)&amp;"输出",标准坦克设计!$B$23:$U$23,0)))*(VLOOKUP($B95,INDIRECT($B$5&amp;"生成成长"),3))*(VLOOKUP($B$5,标准坦克设计!$B$14:$K$20,9)/30))</f>
        <v>18.633295134245543</v>
      </c>
      <c r="AI95" s="172">
        <f ca="1">(VLOOKUP(AI$72,INDIRECT($C$5&amp;"生成成长"),2))/((VLOOKUP($B95,INDIRECT($B$5&amp;"生成成长"),4))/(VLOOKUP(AI$72,INDIRECT($C$5&amp;"生成成长"),5))*(VLOOKUP($B$5,标准坦克设计!$B$24:$U$30,MATCH("对"&amp;LEFT($C$5,2)&amp;"输出",标准坦克设计!$B$23:$U$23,0)))*(VLOOKUP($B95,INDIRECT($B$5&amp;"生成成长"),3))*(VLOOKUP($B$5,标准坦克设计!$B$14:$K$20,9)/30))</f>
        <v>13.178643379043372</v>
      </c>
      <c r="AJ95" s="172">
        <f ca="1">(VLOOKUP(AJ$72,INDIRECT($C$5&amp;"生成成长"),2))/((VLOOKUP($B95,INDIRECT($B$5&amp;"生成成长"),4))/(VLOOKUP(AJ$72,INDIRECT($C$5&amp;"生成成长"),5))*(VLOOKUP($B$5,标准坦克设计!$B$24:$U$30,MATCH("对"&amp;LEFT($C$5,2)&amp;"输出",标准坦克设计!$B$23:$U$23,0)))*(VLOOKUP($B95,INDIRECT($B$5&amp;"生成成长"),3))*(VLOOKUP($B$5,标准坦克设计!$B$14:$K$20,9)/30))</f>
        <v>14.424988845139259</v>
      </c>
      <c r="AK95" s="172">
        <f ca="1">(VLOOKUP(AK$72,INDIRECT($C$5&amp;"生成成长"),2))/((VLOOKUP($B95,INDIRECT($B$5&amp;"生成成长"),4))/(VLOOKUP(AK$72,INDIRECT($C$5&amp;"生成成长"),5))*(VLOOKUP($B$5,标准坦克设计!$B$24:$U$30,MATCH("对"&amp;LEFT($C$5,2)&amp;"输出",标准坦克设计!$B$23:$U$23,0)))*(VLOOKUP($B95,INDIRECT($B$5&amp;"生成成长"),3))*(VLOOKUP($B$5,标准坦克设计!$B$14:$K$20,9)/30))</f>
        <v>15.727637391839064</v>
      </c>
      <c r="AL95" s="172">
        <f ca="1">(VLOOKUP(AL$72,INDIRECT($C$5&amp;"生成成长"),2))/((VLOOKUP($B95,INDIRECT($B$5&amp;"生成成长"),4))/(VLOOKUP(AL$72,INDIRECT($C$5&amp;"生成成长"),5))*(VLOOKUP($B$5,标准坦克设计!$B$24:$U$30,MATCH("对"&amp;LEFT($C$5,2)&amp;"输出",标准坦克设计!$B$23:$U$23,0)))*(VLOOKUP($B95,INDIRECT($B$5&amp;"生成成长"),3))*(VLOOKUP($B$5,标准坦克设计!$B$14:$K$20,9)/30))</f>
        <v>17.086589019142789</v>
      </c>
      <c r="AM95" s="172">
        <f ca="1">(VLOOKUP(AM$72,INDIRECT($C$5&amp;"生成成长"),2))/((VLOOKUP($B95,INDIRECT($B$5&amp;"生成成长"),4))/(VLOOKUP(AM$72,INDIRECT($C$5&amp;"生成成长"),5))*(VLOOKUP($B$5,标准坦克设计!$B$24:$U$30,MATCH("对"&amp;LEFT($C$5,2)&amp;"输出",标准坦克设计!$B$23:$U$23,0)))*(VLOOKUP($B95,INDIRECT($B$5&amp;"生成成长"),3))*(VLOOKUP($B$5,标准坦克设计!$B$14:$K$20,9)/30))</f>
        <v>18.501843727050439</v>
      </c>
      <c r="AN95" s="172">
        <f ca="1">(VLOOKUP(AN$72,INDIRECT($C$5&amp;"生成成长"),2))/((VLOOKUP($B95,INDIRECT($B$5&amp;"生成成长"),4))/(VLOOKUP(AN$72,INDIRECT($C$5&amp;"生成成长"),5))*(VLOOKUP($B$5,标准坦克设计!$B$24:$U$30,MATCH("对"&amp;LEFT($C$5,2)&amp;"输出",标准坦克设计!$B$23:$U$23,0)))*(VLOOKUP($B95,INDIRECT($B$5&amp;"生成成长"),3))*(VLOOKUP($B$5,标准坦克设计!$B$14:$K$20,9)/30))</f>
        <v>19.97340151556201</v>
      </c>
      <c r="AO95" s="172">
        <f ca="1">(VLOOKUP(AO$72,INDIRECT($C$5&amp;"生成成长"),2))/((VLOOKUP($B95,INDIRECT($B$5&amp;"生成成长"),4))/(VLOOKUP(AO$72,INDIRECT($C$5&amp;"生成成长"),5))*(VLOOKUP($B$5,标准坦克设计!$B$24:$U$30,MATCH("对"&amp;LEFT($C$5,2)&amp;"输出",标准坦克设计!$B$23:$U$23,0)))*(VLOOKUP($B95,INDIRECT($B$5&amp;"生成成长"),3))*(VLOOKUP($B$5,标准坦克设计!$B$14:$K$20,9)/30))</f>
        <v>21.501262384677503</v>
      </c>
      <c r="AP95" s="172">
        <f ca="1">(VLOOKUP(AP$72,INDIRECT($C$5&amp;"生成成长"),2))/((VLOOKUP($B95,INDIRECT($B$5&amp;"生成成长"),4))/(VLOOKUP(AP$72,INDIRECT($C$5&amp;"生成成长"),5))*(VLOOKUP($B$5,标准坦克设计!$B$24:$U$30,MATCH("对"&amp;LEFT($C$5,2)&amp;"输出",标准坦克设计!$B$23:$U$23,0)))*(VLOOKUP($B95,INDIRECT($B$5&amp;"生成成长"),3))*(VLOOKUP($B$5,标准坦克设计!$B$14:$K$20,9)/30))</f>
        <v>23.08542633439691</v>
      </c>
      <c r="AQ95" s="172">
        <f ca="1">(VLOOKUP(AQ$72,INDIRECT($C$5&amp;"生成成长"),2))/((VLOOKUP($B95,INDIRECT($B$5&amp;"生成成长"),4))/(VLOOKUP(AQ$72,INDIRECT($C$5&amp;"生成成长"),5))*(VLOOKUP($B$5,标准坦克设计!$B$24:$U$30,MATCH("对"&amp;LEFT($C$5,2)&amp;"输出",标准坦克设计!$B$23:$U$23,0)))*(VLOOKUP($B95,INDIRECT($B$5&amp;"生成成长"),3))*(VLOOKUP($B$5,标准坦克设计!$B$14:$K$20,9)/30))</f>
        <v>24.725893364720243</v>
      </c>
      <c r="AR95" s="172">
        <f ca="1">(VLOOKUP(AR$72,INDIRECT($C$5&amp;"生成成长"),2))/((VLOOKUP($B95,INDIRECT($B$5&amp;"生成成长"),4))/(VLOOKUP(AR$72,INDIRECT($C$5&amp;"生成成长"),5))*(VLOOKUP($B$5,标准坦克设计!$B$24:$U$30,MATCH("对"&amp;LEFT($C$5,2)&amp;"输出",标准坦克设计!$B$23:$U$23,0)))*(VLOOKUP($B95,INDIRECT($B$5&amp;"生成成长"),3))*(VLOOKUP($B$5,标准坦克设计!$B$14:$K$20,9)/30))</f>
        <v>26.422663475647497</v>
      </c>
      <c r="AS95" s="172">
        <f ca="1">(VLOOKUP(AS$72,INDIRECT($C$5&amp;"生成成长"),2))/((VLOOKUP($B95,INDIRECT($B$5&amp;"生成成长"),4))/(VLOOKUP(AS$72,INDIRECT($C$5&amp;"生成成长"),5))*(VLOOKUP($B$5,标准坦克设计!$B$24:$U$30,MATCH("对"&amp;LEFT($C$5,2)&amp;"输出",标准坦克设计!$B$23:$U$23,0)))*(VLOOKUP($B95,INDIRECT($B$5&amp;"生成成长"),3))*(VLOOKUP($B$5,标准坦克设计!$B$14:$K$20,9)/30))</f>
        <v>28.175736667178668</v>
      </c>
      <c r="AT95" s="172">
        <f ca="1">(VLOOKUP(AT$72,INDIRECT($C$5&amp;"生成成长"),2))/((VLOOKUP($B95,INDIRECT($B$5&amp;"生成成长"),4))/(VLOOKUP(AT$72,INDIRECT($C$5&amp;"生成成长"),5))*(VLOOKUP($B$5,标准坦克设计!$B$24:$U$30,MATCH("对"&amp;LEFT($C$5,2)&amp;"输出",标准坦克设计!$B$23:$U$23,0)))*(VLOOKUP($B95,INDIRECT($B$5&amp;"生成成长"),3))*(VLOOKUP($B$5,标准坦克设计!$B$14:$K$20,9)/30))</f>
        <v>29.985112939313762</v>
      </c>
      <c r="AU95" s="172">
        <f ca="1">(VLOOKUP(AU$72,INDIRECT($C$5&amp;"生成成长"),2))/((VLOOKUP($B95,INDIRECT($B$5&amp;"生成成长"),4))/(VLOOKUP(AU$72,INDIRECT($C$5&amp;"生成成长"),5))*(VLOOKUP($B$5,标准坦克设计!$B$24:$U$30,MATCH("对"&amp;LEFT($C$5,2)&amp;"输出",标准坦克设计!$B$23:$U$23,0)))*(VLOOKUP($B95,INDIRECT($B$5&amp;"生成成长"),3))*(VLOOKUP($B$5,标准坦克设计!$B$14:$K$20,9)/30))</f>
        <v>31.85079229205278</v>
      </c>
      <c r="AV95" s="172">
        <f ca="1">(VLOOKUP(AV$72,INDIRECT($C$5&amp;"生成成长"),2))/((VLOOKUP($B95,INDIRECT($B$5&amp;"生成成长"),4))/(VLOOKUP(AV$72,INDIRECT($C$5&amp;"生成成长"),5))*(VLOOKUP($B$5,标准坦克设计!$B$24:$U$30,MATCH("对"&amp;LEFT($C$5,2)&amp;"输出",标准坦克设计!$B$23:$U$23,0)))*(VLOOKUP($B95,INDIRECT($B$5&amp;"生成成长"),3))*(VLOOKUP($B$5,标准坦克设计!$B$14:$K$20,9)/30))</f>
        <v>3.2395210509462586</v>
      </c>
      <c r="AW95" s="172">
        <f ca="1">(VLOOKUP(AW$72,INDIRECT($C$5&amp;"生成成长"),2))/((VLOOKUP($B95,INDIRECT($B$5&amp;"生成成长"),4))/(VLOOKUP(AW$72,INDIRECT($C$5&amp;"生成成长"),5))*(VLOOKUP($B$5,标准坦克设计!$B$24:$U$30,MATCH("对"&amp;LEFT($C$5,2)&amp;"输出",标准坦克设计!$B$23:$U$23,0)))*(VLOOKUP($B95,INDIRECT($B$5&amp;"生成成长"),3))*(VLOOKUP($B$5,标准坦克设计!$B$14:$K$20,9)/30))</f>
        <v>3.6936682135035062</v>
      </c>
      <c r="AX95" s="172">
        <f ca="1">(VLOOKUP(AX$72,INDIRECT($C$5&amp;"生成成长"),2))/((VLOOKUP($B95,INDIRECT($B$5&amp;"生成成长"),4))/(VLOOKUP(AX$72,INDIRECT($C$5&amp;"生成成长"),5))*(VLOOKUP($B$5,标准坦克设计!$B$24:$U$30,MATCH("对"&amp;LEFT($C$5,2)&amp;"输出",标准坦克设计!$B$23:$U$23,0)))*(VLOOKUP($B95,INDIRECT($B$5&amp;"生成成长"),3))*(VLOOKUP($B$5,标准坦克设计!$B$14:$K$20,9)/30))</f>
        <v>4.1775955178677844</v>
      </c>
      <c r="AY95" s="172">
        <f ca="1">(VLOOKUP(AY$72,INDIRECT($C$5&amp;"生成成长"),2))/((VLOOKUP($B95,INDIRECT($B$5&amp;"生成成长"),4))/(VLOOKUP(AY$72,INDIRECT($C$5&amp;"生成成长"),5))*(VLOOKUP($B$5,标准坦克设计!$B$24:$U$30,MATCH("对"&amp;LEFT($C$5,2)&amp;"输出",标准坦克设计!$B$23:$U$23,0)))*(VLOOKUP($B95,INDIRECT($B$5&amp;"生成成长"),3))*(VLOOKUP($B$5,标准坦克设计!$B$14:$K$20,9)/30))</f>
        <v>4.6913029640390969</v>
      </c>
      <c r="AZ95" s="172">
        <f ca="1">(VLOOKUP(AZ$72,INDIRECT($C$5&amp;"生成成长"),2))/((VLOOKUP($B95,INDIRECT($B$5&amp;"生成成长"),4))/(VLOOKUP(AZ$72,INDIRECT($C$5&amp;"生成成长"),5))*(VLOOKUP($B$5,标准坦克设计!$B$24:$U$30,MATCH("对"&amp;LEFT($C$5,2)&amp;"输出",标准坦克设计!$B$23:$U$23,0)))*(VLOOKUP($B95,INDIRECT($B$5&amp;"生成成长"),3))*(VLOOKUP($B$5,标准坦克设计!$B$14:$K$20,9)/30))</f>
        <v>5.2347905520174391</v>
      </c>
      <c r="BA95" s="172">
        <f ca="1">(VLOOKUP(BA$72,INDIRECT($C$5&amp;"生成成长"),2))/((VLOOKUP($B95,INDIRECT($B$5&amp;"生成成长"),4))/(VLOOKUP(BA$72,INDIRECT($C$5&amp;"生成成长"),5))*(VLOOKUP($B$5,标准坦克设计!$B$24:$U$30,MATCH("对"&amp;LEFT($C$5,2)&amp;"输出",标准坦克设计!$B$23:$U$23,0)))*(VLOOKUP($B95,INDIRECT($B$5&amp;"生成成长"),3))*(VLOOKUP($B$5,标准坦克设计!$B$14:$K$20,9)/30))</f>
        <v>5.8080582818028157</v>
      </c>
      <c r="BB95" s="172">
        <f ca="1">(VLOOKUP(BB$72,INDIRECT($C$5&amp;"生成成长"),2))/((VLOOKUP($B95,INDIRECT($B$5&amp;"生成成长"),4))/(VLOOKUP(BB$72,INDIRECT($C$5&amp;"生成成长"),5))*(VLOOKUP($B$5,标准坦克设计!$B$24:$U$30,MATCH("对"&amp;LEFT($C$5,2)&amp;"输出",标准坦克设计!$B$23:$U$23,0)))*(VLOOKUP($B95,INDIRECT($B$5&amp;"生成成长"),3))*(VLOOKUP($B$5,标准坦克设计!$B$14:$K$20,9)/30))</f>
        <v>6.4111061533952265</v>
      </c>
      <c r="BC95" s="172">
        <f ca="1">(VLOOKUP(BC$72,INDIRECT($C$5&amp;"生成成长"),2))/((VLOOKUP($B95,INDIRECT($B$5&amp;"生成成长"),4))/(VLOOKUP(BC$72,INDIRECT($C$5&amp;"生成成长"),5))*(VLOOKUP($B$5,标准坦克设计!$B$24:$U$30,MATCH("对"&amp;LEFT($C$5,2)&amp;"输出",标准坦克设计!$B$23:$U$23,0)))*(VLOOKUP($B95,INDIRECT($B$5&amp;"生成成长"),3))*(VLOOKUP($B$5,标准坦克设计!$B$14:$K$20,9)/30))</f>
        <v>7.0439341667946671</v>
      </c>
      <c r="BD95" s="172">
        <f ca="1">(VLOOKUP(BD$72,INDIRECT($C$5&amp;"生成成长"),2))/((VLOOKUP($B95,INDIRECT($B$5&amp;"生成成长"),4))/(VLOOKUP(BD$72,INDIRECT($C$5&amp;"生成成长"),5))*(VLOOKUP($B$5,标准坦克设计!$B$24:$U$30,MATCH("对"&amp;LEFT($C$5,2)&amp;"输出",标准坦克设计!$B$23:$U$23,0)))*(VLOOKUP($B95,INDIRECT($B$5&amp;"生成成长"),3))*(VLOOKUP($B$5,标准坦克设计!$B$14:$K$20,9)/30))</f>
        <v>7.791462257622757</v>
      </c>
      <c r="BE95" s="172">
        <f ca="1">(VLOOKUP(BE$72,INDIRECT($C$5&amp;"生成成长"),2))/((VLOOKUP($B95,INDIRECT($B$5&amp;"生成成长"),4))/(VLOOKUP(BE$72,INDIRECT($C$5&amp;"生成成长"),5))*(VLOOKUP($B$5,标准坦克设计!$B$24:$U$30,MATCH("对"&amp;LEFT($C$5,2)&amp;"输出",标准坦克设计!$B$23:$U$23,0)))*(VLOOKUP($B95,INDIRECT($B$5&amp;"生成成长"),3))*(VLOOKUP($B$5,标准坦克设计!$B$14:$K$20,9)/30))</f>
        <v>8.5766808404253734</v>
      </c>
      <c r="BF95" s="172">
        <f ca="1">(VLOOKUP(BF$72,INDIRECT($C$5&amp;"生成成长"),2))/((VLOOKUP($B95,INDIRECT($B$5&amp;"生成成长"),4))/(VLOOKUP(BF$72,INDIRECT($C$5&amp;"生成成长"),5))*(VLOOKUP($B$5,标准坦克设计!$B$24:$U$30,MATCH("对"&amp;LEFT($C$5,2)&amp;"输出",标准坦克设计!$B$23:$U$23,0)))*(VLOOKUP($B95,INDIRECT($B$5&amp;"生成成长"),3))*(VLOOKUP($B$5,标准坦克设计!$B$14:$K$20,9)/30))</f>
        <v>9.3995899152025153</v>
      </c>
      <c r="BG95" s="172">
        <f ca="1">(VLOOKUP(BG$72,INDIRECT($C$5&amp;"生成成长"),2))/((VLOOKUP($B95,INDIRECT($B$5&amp;"生成成长"),4))/(VLOOKUP(BG$72,INDIRECT($C$5&amp;"生成成长"),5))*(VLOOKUP($B$5,标准坦克设计!$B$24:$U$30,MATCH("对"&amp;LEFT($C$5,2)&amp;"输出",标准坦克设计!$B$23:$U$23,0)))*(VLOOKUP($B95,INDIRECT($B$5&amp;"生成成长"),3))*(VLOOKUP($B$5,标准坦克设计!$B$14:$K$20,9)/30))</f>
        <v>10.260189481954184</v>
      </c>
      <c r="BH95" s="172">
        <f ca="1">(VLOOKUP(BH$72,INDIRECT($C$5&amp;"生成成长"),2))/((VLOOKUP($B95,INDIRECT($B$5&amp;"生成成长"),4))/(VLOOKUP(BH$72,INDIRECT($C$5&amp;"生成成长"),5))*(VLOOKUP($B$5,标准坦克设计!$B$24:$U$30,MATCH("对"&amp;LEFT($C$5,2)&amp;"输出",标准坦克设计!$B$23:$U$23,0)))*(VLOOKUP($B95,INDIRECT($B$5&amp;"生成成长"),3))*(VLOOKUP($B$5,标准坦克设计!$B$14:$K$20,9)/30))</f>
        <v>4.9593242403023892</v>
      </c>
      <c r="BI95" s="172">
        <f ca="1">(VLOOKUP(BI$72,INDIRECT($C$5&amp;"生成成长"),2))/((VLOOKUP($B95,INDIRECT($B$5&amp;"生成成长"),4))/(VLOOKUP(BI$72,INDIRECT($C$5&amp;"生成成长"),5))*(VLOOKUP($B$5,标准坦克设计!$B$24:$U$30,MATCH("对"&amp;LEFT($C$5,2)&amp;"输出",标准坦克设计!$B$23:$U$23,0)))*(VLOOKUP($B95,INDIRECT($B$5&amp;"生成成长"),3))*(VLOOKUP($B$5,标准坦克设计!$B$14:$K$20,9)/30))</f>
        <v>5.589593022765289</v>
      </c>
      <c r="BJ95" s="172">
        <f ca="1">(VLOOKUP(BJ$72,INDIRECT($C$5&amp;"生成成长"),2))/((VLOOKUP($B95,INDIRECT($B$5&amp;"生成成长"),4))/(VLOOKUP(BJ$72,INDIRECT($C$5&amp;"生成成长"),5))*(VLOOKUP($B$5,标准坦克设计!$B$24:$U$30,MATCH("对"&amp;LEFT($C$5,2)&amp;"输出",标准坦克设计!$B$23:$U$23,0)))*(VLOOKUP($B95,INDIRECT($B$5&amp;"生成成长"),3))*(VLOOKUP($B$5,标准坦克设计!$B$14:$K$20,9)/30))</f>
        <v>6.2575522972027144</v>
      </c>
      <c r="BK95" s="172">
        <f ca="1">(VLOOKUP(BK$72,INDIRECT($C$5&amp;"生成成长"),2))/((VLOOKUP($B95,INDIRECT($B$5&amp;"生成成长"),4))/(VLOOKUP(BK$72,INDIRECT($C$5&amp;"生成成长"),5))*(VLOOKUP($B$5,标准坦克设计!$B$24:$U$30,MATCH("对"&amp;LEFT($C$5,2)&amp;"输出",标准坦克设计!$B$23:$U$23,0)))*(VLOOKUP($B95,INDIRECT($B$5&amp;"生成成长"),3))*(VLOOKUP($B$5,标准坦克设计!$B$14:$K$20,9)/30))</f>
        <v>6.9632020636146654</v>
      </c>
      <c r="BL95" s="172">
        <f ca="1">(VLOOKUP(BL$72,INDIRECT($C$5&amp;"生成成长"),2))/((VLOOKUP($B95,INDIRECT($B$5&amp;"生成成长"),4))/(VLOOKUP(BL$72,INDIRECT($C$5&amp;"生成成长"),5))*(VLOOKUP($B$5,标准坦克设计!$B$24:$U$30,MATCH("对"&amp;LEFT($C$5,2)&amp;"输出",标准坦克设计!$B$23:$U$23,0)))*(VLOOKUP($B95,INDIRECT($B$5&amp;"生成成长"),3))*(VLOOKUP($B$5,标准坦克设计!$B$14:$K$20,9)/30))</f>
        <v>7.7065423220011411</v>
      </c>
      <c r="BM95" s="172">
        <f ca="1">(VLOOKUP(BM$72,INDIRECT($C$5&amp;"生成成长"),2))/((VLOOKUP($B95,INDIRECT($B$5&amp;"生成成长"),4))/(VLOOKUP(BM$72,INDIRECT($C$5&amp;"生成成长"),5))*(VLOOKUP($B$5,标准坦克设计!$B$24:$U$30,MATCH("对"&amp;LEFT($C$5,2)&amp;"输出",标准坦克设计!$B$23:$U$23,0)))*(VLOOKUP($B95,INDIRECT($B$5&amp;"生成成长"),3))*(VLOOKUP($B$5,标准坦克设计!$B$14:$K$20,9)/30))</f>
        <v>8.4875730723621459</v>
      </c>
      <c r="BN95" s="172">
        <f ca="1">(VLOOKUP(BN$72,INDIRECT($C$5&amp;"生成成长"),2))/((VLOOKUP($B95,INDIRECT($B$5&amp;"生成成长"),4))/(VLOOKUP(BN$72,INDIRECT($C$5&amp;"生成成长"),5))*(VLOOKUP($B$5,标准坦克设计!$B$24:$U$30,MATCH("对"&amp;LEFT($C$5,2)&amp;"输出",标准坦克设计!$B$23:$U$23,0)))*(VLOOKUP($B95,INDIRECT($B$5&amp;"生成成长"),3))*(VLOOKUP($B$5,标准坦克设计!$B$14:$K$20,9)/30))</f>
        <v>9.3062943146976718</v>
      </c>
      <c r="BO95" s="172">
        <f ca="1">(VLOOKUP(BO$72,INDIRECT($C$5&amp;"生成成长"),2))/((VLOOKUP($B95,INDIRECT($B$5&amp;"生成成长"),4))/(VLOOKUP(BO$72,INDIRECT($C$5&amp;"生成成长"),5))*(VLOOKUP($B$5,标准坦克设计!$B$24:$U$30,MATCH("对"&amp;LEFT($C$5,2)&amp;"输出",标准坦克设计!$B$23:$U$23,0)))*(VLOOKUP($B95,INDIRECT($B$5&amp;"生成成长"),3))*(VLOOKUP($B$5,标准坦克设计!$B$14:$K$20,9)/30))</f>
        <v>10.162706049007722</v>
      </c>
      <c r="BP95" s="172">
        <f ca="1">(VLOOKUP(BP$72,INDIRECT($C$5&amp;"生成成长"),2))/((VLOOKUP($B95,INDIRECT($B$5&amp;"生成成长"),4))/(VLOOKUP(BP$72,INDIRECT($C$5&amp;"生成成长"),5))*(VLOOKUP($B$5,标准坦克设计!$B$24:$U$30,MATCH("对"&amp;LEFT($C$5,2)&amp;"输出",标准坦克设计!$B$23:$U$23,0)))*(VLOOKUP($B95,INDIRECT($B$5&amp;"生成成长"),3))*(VLOOKUP($B$5,标准坦克设计!$B$14:$K$20,9)/30))</f>
        <v>11.056808275292301</v>
      </c>
      <c r="BQ95" s="172">
        <f ca="1">(VLOOKUP(BQ$72,INDIRECT($C$5&amp;"生成成长"),2))/((VLOOKUP($B95,INDIRECT($B$5&amp;"生成成长"),4))/(VLOOKUP(BQ$72,INDIRECT($C$5&amp;"生成成长"),5))*(VLOOKUP($B$5,标准坦克设计!$B$24:$U$30,MATCH("对"&amp;LEFT($C$5,2)&amp;"输出",标准坦克设计!$B$23:$U$23,0)))*(VLOOKUP($B95,INDIRECT($B$5&amp;"生成成长"),3))*(VLOOKUP($B$5,标准坦克设计!$B$14:$K$20,9)/30))</f>
        <v>11.988600993551408</v>
      </c>
      <c r="BR95" s="172">
        <f ca="1">(VLOOKUP(BR$72,INDIRECT($C$5&amp;"生成成长"),2))/((VLOOKUP($B95,INDIRECT($B$5&amp;"生成成长"),4))/(VLOOKUP(BR$72,INDIRECT($C$5&amp;"生成成长"),5))*(VLOOKUP($B$5,标准坦克设计!$B$24:$U$30,MATCH("对"&amp;LEFT($C$5,2)&amp;"输出",标准坦克设计!$B$23:$U$23,0)))*(VLOOKUP($B95,INDIRECT($B$5&amp;"生成成长"),3))*(VLOOKUP($B$5,标准坦克设计!$B$14:$K$20,9)/30))</f>
        <v>13.068131134056337</v>
      </c>
      <c r="BS95" s="172">
        <f ca="1">(VLOOKUP(BS$72,INDIRECT($C$5&amp;"生成成长"),2))/((VLOOKUP($B95,INDIRECT($B$5&amp;"生成成长"),4))/(VLOOKUP(BS$72,INDIRECT($C$5&amp;"生成成长"),5))*(VLOOKUP($B$5,标准坦克设计!$B$24:$U$30,MATCH("对"&amp;LEFT($C$5,2)&amp;"输出",标准坦克设计!$B$23:$U$23,0)))*(VLOOKUP($B95,INDIRECT($B$5&amp;"生成成长"),3))*(VLOOKUP($B$5,标准坦克设计!$B$14:$K$20,9)/30))</f>
        <v>14.194192746134755</v>
      </c>
      <c r="BT95" s="172">
        <f ca="1">(VLOOKUP(BT$72,INDIRECT($C$5&amp;"生成成长"),2))/((VLOOKUP($B95,INDIRECT($B$5&amp;"生成成长"),4))/(VLOOKUP(BT$72,INDIRECT($C$5&amp;"生成成长"),5))*(VLOOKUP($B$5,标准坦克设计!$B$24:$U$30,MATCH("对"&amp;LEFT($C$5,2)&amp;"输出",标准坦克设计!$B$23:$U$23,0)))*(VLOOKUP($B95,INDIRECT($B$5&amp;"生成成长"),3))*(VLOOKUP($B$5,标准坦克设计!$B$14:$K$20,9)/30))</f>
        <v>15.366785829786663</v>
      </c>
      <c r="BU95" s="172">
        <f ca="1">(VLOOKUP(BU$72,INDIRECT($C$5&amp;"生成成长"),2))/((VLOOKUP($B95,INDIRECT($B$5&amp;"生成成长"),4))/(VLOOKUP(BU$72,INDIRECT($C$5&amp;"生成成长"),5))*(VLOOKUP($B$5,标准坦克设计!$B$24:$U$30,MATCH("对"&amp;LEFT($C$5,2)&amp;"输出",标准坦克设计!$B$23:$U$23,0)))*(VLOOKUP($B95,INDIRECT($B$5&amp;"生成成长"),3))*(VLOOKUP($B$5,标准坦克设计!$B$14:$K$20,9)/30))</f>
        <v>16.585910385012056</v>
      </c>
      <c r="BV95" s="172">
        <f ca="1">(VLOOKUP(BV$72,INDIRECT($C$5&amp;"生成成长"),2))/((VLOOKUP($B95,INDIRECT($B$5&amp;"生成成长"),4))/(VLOOKUP(BV$72,INDIRECT($C$5&amp;"生成成长"),5))*(VLOOKUP($B$5,标准坦克设计!$B$24:$U$30,MATCH("对"&amp;LEFT($C$5,2)&amp;"输出",标准坦克设计!$B$23:$U$23,0)))*(VLOOKUP($B95,INDIRECT($B$5&amp;"生成成长"),3))*(VLOOKUP($B$5,标准坦克设计!$B$14:$K$20,9)/30))</f>
        <v>17.851566411810939</v>
      </c>
      <c r="BW95" s="172">
        <f ca="1">(VLOOKUP(BW$72,INDIRECT($C$5&amp;"生成成长"),2))/((VLOOKUP($B95,INDIRECT($B$5&amp;"生成成长"),4))/(VLOOKUP(BW$72,INDIRECT($C$5&amp;"生成成长"),5))*(VLOOKUP($B$5,标准坦克设计!$B$24:$U$30,MATCH("对"&amp;LEFT($C$5,2)&amp;"输出",标准坦克设计!$B$23:$U$23,0)))*(VLOOKUP($B95,INDIRECT($B$5&amp;"生成成长"),3))*(VLOOKUP($B$5,标准坦克设计!$B$14:$K$20,9)/30))</f>
        <v>8.1357951472665739</v>
      </c>
      <c r="BX95" s="172">
        <f ca="1">(VLOOKUP(BX$72,INDIRECT($C$5&amp;"生成成长"),2))/((VLOOKUP($B95,INDIRECT($B$5&amp;"生成成长"),4))/(VLOOKUP(BX$72,INDIRECT($C$5&amp;"生成成长"),5))*(VLOOKUP($B$5,标准坦克设计!$B$24:$U$30,MATCH("对"&amp;LEFT($C$5,2)&amp;"输出",标准坦克设计!$B$23:$U$23,0)))*(VLOOKUP($B95,INDIRECT($B$5&amp;"生成成长"),3))*(VLOOKUP($B$5,标准坦克设计!$B$14:$K$20,9)/30))</f>
        <v>9.0291994014775483</v>
      </c>
      <c r="BY95" s="172">
        <f ca="1">(VLOOKUP(BY$72,INDIRECT($C$5&amp;"生成成长"),2))/((VLOOKUP($B95,INDIRECT($B$5&amp;"生成成长"),4))/(VLOOKUP(BY$72,INDIRECT($C$5&amp;"生成成长"),5))*(VLOOKUP($B$5,标准坦克设计!$B$24:$U$30,MATCH("对"&amp;LEFT($C$5,2)&amp;"输出",标准坦克设计!$B$23:$U$23,0)))*(VLOOKUP($B95,INDIRECT($B$5&amp;"生成成长"),3))*(VLOOKUP($B$5,标准坦克设计!$B$14:$K$20,9)/30))</f>
        <v>9.9691351272620121</v>
      </c>
      <c r="BZ95" s="172">
        <f ca="1">(VLOOKUP(BZ$72,INDIRECT($C$5&amp;"生成成长"),2))/((VLOOKUP($B95,INDIRECT($B$5&amp;"生成成长"),4))/(VLOOKUP(BZ$72,INDIRECT($C$5&amp;"生成成长"),5))*(VLOOKUP($B$5,标准坦克设计!$B$24:$U$30,MATCH("对"&amp;LEFT($C$5,2)&amp;"输出",标准坦克设计!$B$23:$U$23,0)))*(VLOOKUP($B95,INDIRECT($B$5&amp;"生成成长"),3))*(VLOOKUP($B$5,标准坦克设计!$B$14:$K$20,9)/30))</f>
        <v>10.955602324619965</v>
      </c>
      <c r="CA95" s="172">
        <f ca="1">(VLOOKUP(CA$72,INDIRECT($C$5&amp;"生成成长"),2))/((VLOOKUP($B95,INDIRECT($B$5&amp;"生成成长"),4))/(VLOOKUP(CA$72,INDIRECT($C$5&amp;"生成成长"),5))*(VLOOKUP($B$5,标准坦克设计!$B$24:$U$30,MATCH("对"&amp;LEFT($C$5,2)&amp;"输出",标准坦克设计!$B$23:$U$23,0)))*(VLOOKUP($B95,INDIRECT($B$5&amp;"生成成长"),3))*(VLOOKUP($B$5,标准坦克设计!$B$14:$K$20,9)/30))</f>
        <v>11.988600993551408</v>
      </c>
      <c r="CB95" s="172">
        <f ca="1">(VLOOKUP(CB$72,INDIRECT($C$5&amp;"生成成长"),2))/((VLOOKUP($B95,INDIRECT($B$5&amp;"生成成长"),4))/(VLOOKUP(CB$72,INDIRECT($C$5&amp;"生成成长"),5))*(VLOOKUP($B$5,标准坦克设计!$B$24:$U$30,MATCH("对"&amp;LEFT($C$5,2)&amp;"输出",标准坦克设计!$B$23:$U$23,0)))*(VLOOKUP($B95,INDIRECT($B$5&amp;"生成成长"),3))*(VLOOKUP($B$5,标准坦克设计!$B$14:$K$20,9)/30))</f>
        <v>13.068131134056337</v>
      </c>
      <c r="CC95" s="172">
        <f ca="1">(VLOOKUP(CC$72,INDIRECT($C$5&amp;"生成成长"),2))/((VLOOKUP($B95,INDIRECT($B$5&amp;"生成成长"),4))/(VLOOKUP(CC$72,INDIRECT($C$5&amp;"生成成长"),5))*(VLOOKUP($B$5,标准坦克设计!$B$24:$U$30,MATCH("对"&amp;LEFT($C$5,2)&amp;"输出",标准坦克设计!$B$23:$U$23,0)))*(VLOOKUP($B95,INDIRECT($B$5&amp;"生成成长"),3))*(VLOOKUP($B$5,标准坦克设计!$B$14:$K$20,9)/30))</f>
        <v>14.194192746134755</v>
      </c>
      <c r="CD95" s="172">
        <f ca="1">(VLOOKUP(CD$72,INDIRECT($C$5&amp;"生成成长"),2))/((VLOOKUP($B95,INDIRECT($B$5&amp;"生成成长"),4))/(VLOOKUP(CD$72,INDIRECT($C$5&amp;"生成成长"),5))*(VLOOKUP($B$5,标准坦克设计!$B$24:$U$30,MATCH("对"&amp;LEFT($C$5,2)&amp;"输出",标准坦克设计!$B$23:$U$23,0)))*(VLOOKUP($B95,INDIRECT($B$5&amp;"生成成长"),3))*(VLOOKUP($B$5,标准坦克设计!$B$14:$K$20,9)/30))</f>
        <v>15.366785829786663</v>
      </c>
      <c r="CE95" s="172">
        <f ca="1">(VLOOKUP(CE$72,INDIRECT($C$5&amp;"生成成长"),2))/((VLOOKUP($B95,INDIRECT($B$5&amp;"生成成长"),4))/(VLOOKUP(CE$72,INDIRECT($C$5&amp;"生成成长"),5))*(VLOOKUP($B$5,标准坦克设计!$B$24:$U$30,MATCH("对"&amp;LEFT($C$5,2)&amp;"输出",标准坦克设计!$B$23:$U$23,0)))*(VLOOKUP($B95,INDIRECT($B$5&amp;"生成成长"),3))*(VLOOKUP($B$5,标准坦克设计!$B$14:$K$20,9)/30))</f>
        <v>16.585910385012056</v>
      </c>
      <c r="CF95" s="172">
        <f ca="1">(VLOOKUP(CF$72,INDIRECT($C$5&amp;"生成成长"),2))/((VLOOKUP($B95,INDIRECT($B$5&amp;"生成成长"),4))/(VLOOKUP(CF$72,INDIRECT($C$5&amp;"生成成长"),5))*(VLOOKUP($B$5,标准坦克设计!$B$24:$U$30,MATCH("对"&amp;LEFT($C$5,2)&amp;"输出",标准坦克设计!$B$23:$U$23,0)))*(VLOOKUP($B95,INDIRECT($B$5&amp;"生成成长"),3))*(VLOOKUP($B$5,标准坦克设计!$B$14:$K$20,9)/30))</f>
        <v>17.851566411810939</v>
      </c>
      <c r="CG95" s="172">
        <f ca="1">(VLOOKUP(CG$72,INDIRECT($C$5&amp;"生成成长"),2))/((VLOOKUP($B95,INDIRECT($B$5&amp;"生成成长"),4))/(VLOOKUP(CG$72,INDIRECT($C$5&amp;"生成成长"),5))*(VLOOKUP($B$5,标准坦克设计!$B$24:$U$30,MATCH("对"&amp;LEFT($C$5,2)&amp;"输出",标准坦克设计!$B$23:$U$23,0)))*(VLOOKUP($B95,INDIRECT($B$5&amp;"生成成长"),3))*(VLOOKUP($B$5,标准坦克设计!$B$14:$K$20,9)/30))</f>
        <v>19.163753910183313</v>
      </c>
      <c r="CH95" s="172">
        <f ca="1">(VLOOKUP(CH$72,INDIRECT($C$5&amp;"生成成长"),2))/((VLOOKUP($B95,INDIRECT($B$5&amp;"生成成长"),4))/(VLOOKUP(CH$72,INDIRECT($C$5&amp;"生成成长"),5))*(VLOOKUP($B$5,标准坦克设计!$B$24:$U$30,MATCH("对"&amp;LEFT($C$5,2)&amp;"输出",标准坦克设计!$B$23:$U$23,0)))*(VLOOKUP($B95,INDIRECT($B$5&amp;"生成成长"),3))*(VLOOKUP($B$5,标准坦克设计!$B$14:$K$20,9)/30))</f>
        <v>20.522472880129172</v>
      </c>
      <c r="CI95" s="172">
        <f ca="1">(VLOOKUP(CI$72,INDIRECT($C$5&amp;"生成成长"),2))/((VLOOKUP($B95,INDIRECT($B$5&amp;"生成成长"),4))/(VLOOKUP(CI$72,INDIRECT($C$5&amp;"生成成长"),5))*(VLOOKUP($B$5,标准坦克设计!$B$24:$U$30,MATCH("对"&amp;LEFT($C$5,2)&amp;"输出",标准坦克设计!$B$23:$U$23,0)))*(VLOOKUP($B95,INDIRECT($B$5&amp;"生成成长"),3))*(VLOOKUP($B$5,标准坦克设计!$B$14:$K$20,9)/30))</f>
        <v>22.070807596736998</v>
      </c>
      <c r="CJ95" s="172">
        <f ca="1">(VLOOKUP(CJ$72,INDIRECT($C$5&amp;"生成成长"),2))/((VLOOKUP($B95,INDIRECT($B$5&amp;"生成成长"),4))/(VLOOKUP(CJ$72,INDIRECT($C$5&amp;"生成成长"),5))*(VLOOKUP($B$5,标准坦克设计!$B$24:$U$30,MATCH("对"&amp;LEFT($C$5,2)&amp;"输出",标准坦克设计!$B$23:$U$23,0)))*(VLOOKUP($B95,INDIRECT($B$5&amp;"生成成长"),3))*(VLOOKUP($B$5,标准坦克设计!$B$14:$K$20,9)/30))</f>
        <v>23.675445393948742</v>
      </c>
      <c r="CK95" s="172">
        <f ca="1">(VLOOKUP(CK$72,INDIRECT($C$5&amp;"生成成长"),2))/((VLOOKUP($B95,INDIRECT($B$5&amp;"生成成长"),4))/(VLOOKUP(CK$72,INDIRECT($C$5&amp;"生成成长"),5))*(VLOOKUP($B$5,标准坦克设计!$B$24:$U$30,MATCH("对"&amp;LEFT($C$5,2)&amp;"输出",标准坦克设计!$B$23:$U$23,0)))*(VLOOKUP($B95,INDIRECT($B$5&amp;"生成成长"),3))*(VLOOKUP($B$5,标准坦克设计!$B$14:$K$20,9)/30))</f>
        <v>25.336386271764407</v>
      </c>
      <c r="CL95" s="172">
        <f ca="1">(VLOOKUP(CL$72,INDIRECT($C$5&amp;"生成成长"),2))/((VLOOKUP($B95,INDIRECT($B$5&amp;"生成成长"),4))/(VLOOKUP(CL$72,INDIRECT($C$5&amp;"生成成长"),5))*(VLOOKUP($B$5,标准坦克设计!$B$24:$U$30,MATCH("对"&amp;LEFT($C$5,2)&amp;"输出",标准坦克设计!$B$23:$U$23,0)))*(VLOOKUP($B95,INDIRECT($B$5&amp;"生成成长"),3))*(VLOOKUP($B$5,标准坦克设计!$B$14:$K$20,9)/30))</f>
        <v>27.053630230183998</v>
      </c>
      <c r="CM95" s="172">
        <f ca="1">(VLOOKUP(CM$72,INDIRECT($C$5&amp;"生成成长"),2))/((VLOOKUP($B95,INDIRECT($B$5&amp;"生成成长"),4))/(VLOOKUP(CM$72,INDIRECT($C$5&amp;"生成成长"),5))*(VLOOKUP($B$5,标准坦克设计!$B$24:$U$30,MATCH("对"&amp;LEFT($C$5,2)&amp;"输出",标准坦克设计!$B$23:$U$23,0)))*(VLOOKUP($B95,INDIRECT($B$5&amp;"生成成长"),3))*(VLOOKUP($B$5,标准坦克设计!$B$14:$K$20,9)/30))</f>
        <v>28.827177269207507</v>
      </c>
      <c r="CN95" s="172">
        <f ca="1">(VLOOKUP(CN$72,INDIRECT($C$5&amp;"生成成长"),2))/((VLOOKUP($B95,INDIRECT($B$5&amp;"生成成长"),4))/(VLOOKUP(CN$72,INDIRECT($C$5&amp;"生成成长"),5))*(VLOOKUP($B$5,标准坦克设计!$B$24:$U$30,MATCH("对"&amp;LEFT($C$5,2)&amp;"输出",标准坦克设计!$B$23:$U$23,0)))*(VLOOKUP($B95,INDIRECT($B$5&amp;"生成成长"),3))*(VLOOKUP($B$5,标准坦克设计!$B$14:$K$20,9)/30))</f>
        <v>30.657027388834933</v>
      </c>
      <c r="CO95" s="172">
        <f ca="1">(VLOOKUP(CO$72,INDIRECT($C$5&amp;"生成成长"),2))/((VLOOKUP($B95,INDIRECT($B$5&amp;"生成成长"),4))/(VLOOKUP(CO$72,INDIRECT($C$5&amp;"生成成长"),5))*(VLOOKUP($B$5,标准坦克设计!$B$24:$U$30,MATCH("对"&amp;LEFT($C$5,2)&amp;"输出",标准坦克设计!$B$23:$U$23,0)))*(VLOOKUP($B95,INDIRECT($B$5&amp;"生成成长"),3))*(VLOOKUP($B$5,标准坦克设计!$B$14:$K$20,9)/30))</f>
        <v>13.73818432471457</v>
      </c>
      <c r="CP95" s="172">
        <f ca="1">(VLOOKUP(CP$72,INDIRECT($C$5&amp;"生成成长"),2))/((VLOOKUP($B95,INDIRECT($B$5&amp;"生成成长"),4))/(VLOOKUP(CP$72,INDIRECT($C$5&amp;"生成成长"),5))*(VLOOKUP($B$5,标准坦克设计!$B$24:$U$30,MATCH("对"&amp;LEFT($C$5,2)&amp;"输出",标准坦克设计!$B$23:$U$23,0)))*(VLOOKUP($B95,INDIRECT($B$5&amp;"生成成长"),3))*(VLOOKUP($B$5,标准坦克设计!$B$14:$K$20,9)/30))</f>
        <v>15.010122100175876</v>
      </c>
      <c r="CQ95" s="172">
        <f ca="1">(VLOOKUP(CQ$72,INDIRECT($C$5&amp;"生成成长"),2))/((VLOOKUP($B95,INDIRECT($B$5&amp;"生成成长"),4))/(VLOOKUP(CQ$72,INDIRECT($C$5&amp;"生成成长"),5))*(VLOOKUP($B$5,标准坦克设计!$B$24:$U$30,MATCH("对"&amp;LEFT($C$5,2)&amp;"输出",标准坦克设计!$B$23:$U$23,0)))*(VLOOKUP($B95,INDIRECT($B$5&amp;"生成成长"),3))*(VLOOKUP($B$5,标准坦克设计!$B$14:$K$20,9)/30))</f>
        <v>16.338362956241102</v>
      </c>
      <c r="CR95" s="172">
        <f ca="1">(VLOOKUP(CR$72,INDIRECT($C$5&amp;"生成成长"),2))/((VLOOKUP($B95,INDIRECT($B$5&amp;"生成成长"),4))/(VLOOKUP(CR$72,INDIRECT($C$5&amp;"生成成长"),5))*(VLOOKUP($B$5,标准坦克设计!$B$24:$U$30,MATCH("对"&amp;LEFT($C$5,2)&amp;"输出",标准坦克设计!$B$23:$U$23,0)))*(VLOOKUP($B95,INDIRECT($B$5&amp;"生成成长"),3))*(VLOOKUP($B$5,标准坦克设计!$B$14:$K$20,9)/30))</f>
        <v>17.722906892910242</v>
      </c>
      <c r="CS95" s="172">
        <f ca="1">(VLOOKUP(CS$72,INDIRECT($C$5&amp;"生成成长"),2))/((VLOOKUP($B95,INDIRECT($B$5&amp;"生成成长"),4))/(VLOOKUP(CS$72,INDIRECT($C$5&amp;"生成成长"),5))*(VLOOKUP($B$5,标准坦克设计!$B$24:$U$30,MATCH("对"&amp;LEFT($C$5,2)&amp;"输出",标准坦克设计!$B$23:$U$23,0)))*(VLOOKUP($B95,INDIRECT($B$5&amp;"生成成长"),3))*(VLOOKUP($B$5,标准坦克设计!$B$14:$K$20,9)/30))</f>
        <v>19.163753910183313</v>
      </c>
      <c r="CT95" s="172">
        <f ca="1">(VLOOKUP(CT$72,INDIRECT($C$5&amp;"生成成长"),2))/((VLOOKUP($B95,INDIRECT($B$5&amp;"生成成长"),4))/(VLOOKUP(CT$72,INDIRECT($C$5&amp;"生成成长"),5))*(VLOOKUP($B$5,标准坦克设计!$B$24:$U$30,MATCH("对"&amp;LEFT($C$5,2)&amp;"输出",标准坦克设计!$B$23:$U$23,0)))*(VLOOKUP($B95,INDIRECT($B$5&amp;"生成成长"),3))*(VLOOKUP($B$5,标准坦克设计!$B$14:$K$20,9)/30))</f>
        <v>20.660904008060299</v>
      </c>
      <c r="CU95" s="172">
        <f ca="1">(VLOOKUP(CU$72,INDIRECT($C$5&amp;"生成成长"),2))/((VLOOKUP($B95,INDIRECT($B$5&amp;"生成成长"),4))/(VLOOKUP(CU$72,INDIRECT($C$5&amp;"生成成长"),5))*(VLOOKUP($B$5,标准坦克设计!$B$24:$U$30,MATCH("对"&amp;LEFT($C$5,2)&amp;"输出",标准坦克设计!$B$23:$U$23,0)))*(VLOOKUP($B95,INDIRECT($B$5&amp;"生成成长"),3))*(VLOOKUP($B$5,标准坦克设计!$B$14:$K$20,9)/30))</f>
        <v>22.214357186541211</v>
      </c>
      <c r="CV95" s="172">
        <f ca="1">(VLOOKUP(CV$72,INDIRECT($C$5&amp;"生成成长"),2))/((VLOOKUP($B95,INDIRECT($B$5&amp;"生成成长"),4))/(VLOOKUP(CV$72,INDIRECT($C$5&amp;"生成成长"),5))*(VLOOKUP($B$5,标准坦克设计!$B$24:$U$30,MATCH("对"&amp;LEFT($C$5,2)&amp;"输出",标准坦克设计!$B$23:$U$23,0)))*(VLOOKUP($B95,INDIRECT($B$5&amp;"生成成长"),3))*(VLOOKUP($B$5,标准坦克设计!$B$14:$K$20,9)/30))</f>
        <v>23.824113445626036</v>
      </c>
      <c r="CW95" s="172">
        <f ca="1">(VLOOKUP(CW$72,INDIRECT($C$5&amp;"生成成长"),2))/((VLOOKUP($B95,INDIRECT($B$5&amp;"生成成长"),4))/(VLOOKUP(CW$72,INDIRECT($C$5&amp;"生成成长"),5))*(VLOOKUP($B$5,标准坦克设计!$B$24:$U$30,MATCH("对"&amp;LEFT($C$5,2)&amp;"输出",标准坦克设计!$B$23:$U$23,0)))*(VLOOKUP($B95,INDIRECT($B$5&amp;"生成成长"),3))*(VLOOKUP($B$5,标准坦克设计!$B$14:$K$20,9)/30))</f>
        <v>25.490172785314787</v>
      </c>
      <c r="CX95" s="172">
        <f ca="1">(VLOOKUP(CX$72,INDIRECT($C$5&amp;"生成成长"),2))/((VLOOKUP($B95,INDIRECT($B$5&amp;"生成成长"),4))/(VLOOKUP(CX$72,INDIRECT($C$5&amp;"生成成长"),5))*(VLOOKUP($B$5,标准坦克设计!$B$24:$U$30,MATCH("对"&amp;LEFT($C$5,2)&amp;"输出",标准坦克设计!$B$23:$U$23,0)))*(VLOOKUP($B95,INDIRECT($B$5&amp;"生成成长"),3))*(VLOOKUP($B$5,标准坦克设计!$B$14:$K$20,9)/30))</f>
        <v>27.212535205607459</v>
      </c>
      <c r="CY95" s="172">
        <f ca="1">(VLOOKUP(CY$72,INDIRECT($C$5&amp;"生成成长"),2))/((VLOOKUP($B95,INDIRECT($B$5&amp;"生成成长"),4))/(VLOOKUP(CY$72,INDIRECT($C$5&amp;"生成成长"),5))*(VLOOKUP($B$5,标准坦克设计!$B$24:$U$30,MATCH("对"&amp;LEFT($C$5,2)&amp;"输出",标准坦克设计!$B$23:$U$23,0)))*(VLOOKUP($B95,INDIRECT($B$5&amp;"生成成长"),3))*(VLOOKUP($B$5,标准坦克设计!$B$14:$K$20,9)/30))</f>
        <v>28.991200706504053</v>
      </c>
      <c r="CZ95" s="172">
        <f ca="1">(VLOOKUP(CZ$72,INDIRECT($C$5&amp;"生成成长"),2))/((VLOOKUP($B95,INDIRECT($B$5&amp;"生成成长"),4))/(VLOOKUP(CZ$72,INDIRECT($C$5&amp;"生成成长"),5))*(VLOOKUP($B$5,标准坦克设计!$B$24:$U$30,MATCH("对"&amp;LEFT($C$5,2)&amp;"输出",标准坦克设计!$B$23:$U$23,0)))*(VLOOKUP($B95,INDIRECT($B$5&amp;"生成成长"),3))*(VLOOKUP($B$5,标准坦克设计!$B$14:$K$20,9)/30))</f>
        <v>30.826169288004564</v>
      </c>
      <c r="DA95" s="172">
        <f ca="1">(VLOOKUP(DA$72,INDIRECT($C$5&amp;"生成成长"),2))/((VLOOKUP($B95,INDIRECT($B$5&amp;"生成成长"),4))/(VLOOKUP(DA$72,INDIRECT($C$5&amp;"生成成长"),5))*(VLOOKUP($B$5,标准坦克设计!$B$24:$U$30,MATCH("对"&amp;LEFT($C$5,2)&amp;"输出",标准坦克设计!$B$23:$U$23,0)))*(VLOOKUP($B95,INDIRECT($B$5&amp;"生成成长"),3))*(VLOOKUP($B$5,标准坦克设计!$B$14:$K$20,9)/30))</f>
        <v>32.717440950108994</v>
      </c>
      <c r="DB95" s="172">
        <f ca="1">(VLOOKUP(DB$72,INDIRECT($C$5&amp;"生成成长"),2))/((VLOOKUP($B95,INDIRECT($B$5&amp;"生成成长"),4))/(VLOOKUP(DB$72,INDIRECT($C$5&amp;"生成成长"),5))*(VLOOKUP($B$5,标准坦克设计!$B$24:$U$30,MATCH("对"&amp;LEFT($C$5,2)&amp;"输出",标准坦克设计!$B$23:$U$23,0)))*(VLOOKUP($B95,INDIRECT($B$5&amp;"生成成长"),3))*(VLOOKUP($B$5,标准坦克设计!$B$14:$K$20,9)/30))</f>
        <v>34.665015692817356</v>
      </c>
      <c r="DC95" s="172">
        <f ca="1">(VLOOKUP(DC$72,INDIRECT($C$5&amp;"生成成长"),2))/((VLOOKUP($B95,INDIRECT($B$5&amp;"生成成长"),4))/(VLOOKUP(DC$72,INDIRECT($C$5&amp;"生成成长"),5))*(VLOOKUP($B$5,标准坦克设计!$B$24:$U$30,MATCH("对"&amp;LEFT($C$5,2)&amp;"输出",标准坦克设计!$B$23:$U$23,0)))*(VLOOKUP($B95,INDIRECT($B$5&amp;"生成成长"),3))*(VLOOKUP($B$5,标准坦克设计!$B$14:$K$20,9)/30))</f>
        <v>36.853856115634244</v>
      </c>
      <c r="DD95" s="172">
        <f ca="1">(VLOOKUP(DD$72,INDIRECT($C$5&amp;"生成成长"),2))/((VLOOKUP($B95,INDIRECT($B$5&amp;"生成成长"),4))/(VLOOKUP(DD$72,INDIRECT($C$5&amp;"生成成长"),5))*(VLOOKUP($B$5,标准坦克设计!$B$24:$U$30,MATCH("对"&amp;LEFT($C$5,2)&amp;"输出",标准坦克设计!$B$23:$U$23,0)))*(VLOOKUP($B95,INDIRECT($B$5&amp;"生成成长"),3))*(VLOOKUP($B$5,标准坦克设计!$B$14:$K$20,9)/30))</f>
        <v>39.109701857516967</v>
      </c>
      <c r="DE95" s="172">
        <f ca="1">(VLOOKUP(DE$72,INDIRECT($C$5&amp;"生成成长"),2))/((VLOOKUP($B95,INDIRECT($B$5&amp;"生成成长"),4))/(VLOOKUP(DE$72,INDIRECT($C$5&amp;"生成成长"),5))*(VLOOKUP($B$5,标准坦克设计!$B$24:$U$30,MATCH("对"&amp;LEFT($C$5,2)&amp;"输出",标准坦克设计!$B$23:$U$23,0)))*(VLOOKUP($B95,INDIRECT($B$5&amp;"生成成长"),3))*(VLOOKUP($B$5,标准坦克设计!$B$14:$K$20,9)/30))</f>
        <v>41.432552918465504</v>
      </c>
      <c r="DF95" s="172">
        <f ca="1">(VLOOKUP(DF$72,INDIRECT($C$5&amp;"生成成长"),2))/((VLOOKUP($B95,INDIRECT($B$5&amp;"生成成长"),4))/(VLOOKUP(DF$72,INDIRECT($C$5&amp;"生成成长"),5))*(VLOOKUP($B$5,标准坦克设计!$B$24:$U$30,MATCH("对"&amp;LEFT($C$5,2)&amp;"输出",标准坦克设计!$B$23:$U$23,0)))*(VLOOKUP($B95,INDIRECT($B$5&amp;"生成成长"),3))*(VLOOKUP($B$5,标准坦克设计!$B$14:$K$20,9)/30))</f>
        <v>43.822409298479862</v>
      </c>
      <c r="DG95" s="172">
        <f ca="1">(VLOOKUP(DG$72,INDIRECT($C$5&amp;"生成成长"),2))/((VLOOKUP($B95,INDIRECT($B$5&amp;"生成成长"),4))/(VLOOKUP(DG$72,INDIRECT($C$5&amp;"生成成长"),5))*(VLOOKUP($B$5,标准坦克设计!$B$24:$U$30,MATCH("对"&amp;LEFT($C$5,2)&amp;"输出",标准坦克设计!$B$23:$U$23,0)))*(VLOOKUP($B95,INDIRECT($B$5&amp;"生成成长"),3))*(VLOOKUP($B$5,标准坦克设计!$B$14:$K$20,9)/30))</f>
        <v>46.279270997560054</v>
      </c>
      <c r="DH95" s="172">
        <f ca="1">(VLOOKUP(DH$72,INDIRECT($C$5&amp;"生成成长"),2))/((VLOOKUP($B95,INDIRECT($B$5&amp;"生成成长"),4))/(VLOOKUP(DH$72,INDIRECT($C$5&amp;"生成成长"),5))*(VLOOKUP($B$5,标准坦克设计!$B$24:$U$30,MATCH("对"&amp;LEFT($C$5,2)&amp;"输出",标准坦克设计!$B$23:$U$23,0)))*(VLOOKUP($B95,INDIRECT($B$5&amp;"生成成长"),3))*(VLOOKUP($B$5,标准坦克设计!$B$14:$K$20,9)/30))</f>
        <v>48.803138015706054</v>
      </c>
      <c r="DI95" s="172">
        <f ca="1">(VLOOKUP(DI$72,INDIRECT($C$5&amp;"生成成长"),2))/((VLOOKUP($B95,INDIRECT($B$5&amp;"生成成长"),4))/(VLOOKUP(DI$72,INDIRECT($C$5&amp;"生成成长"),5))*(VLOOKUP($B$5,标准坦克设计!$B$24:$U$30,MATCH("对"&amp;LEFT($C$5,2)&amp;"输出",标准坦克设计!$B$23:$U$23,0)))*(VLOOKUP($B95,INDIRECT($B$5&amp;"生成成长"),3))*(VLOOKUP($B$5,标准坦克设计!$B$14:$K$20,9)/30))</f>
        <v>51.394010352917896</v>
      </c>
      <c r="DJ95" s="172">
        <f ca="1">(VLOOKUP(DJ$72,INDIRECT($C$5&amp;"生成成长"),2))/((VLOOKUP($B95,INDIRECT($B$5&amp;"生成成长"),4))/(VLOOKUP(DJ$72,INDIRECT($C$5&amp;"生成成长"),5))*(VLOOKUP($B$5,标准坦克设计!$B$24:$U$30,MATCH("对"&amp;LEFT($C$5,2)&amp;"输出",标准坦克设计!$B$23:$U$23,0)))*(VLOOKUP($B95,INDIRECT($B$5&amp;"生成成长"),3))*(VLOOKUP($B$5,标准坦克设计!$B$14:$K$20,9)/30))</f>
        <v>5.1652260020150749</v>
      </c>
      <c r="DK95" s="172">
        <f ca="1">(VLOOKUP(DK$72,INDIRECT($C$5&amp;"生成成长"),2))/((VLOOKUP($B95,INDIRECT($B$5&amp;"生成成长"),4))/(VLOOKUP(DK$72,INDIRECT($C$5&amp;"生成成长"),5))*(VLOOKUP($B$5,标准坦克设计!$B$24:$U$30,MATCH("对"&amp;LEFT($C$5,2)&amp;"输出",标准坦克设计!$B$23:$U$23,0)))*(VLOOKUP($B95,INDIRECT($B$5&amp;"生成成长"),3))*(VLOOKUP($B$5,标准坦克设计!$B$14:$K$20,9)/30))</f>
        <v>5.8080582818028157</v>
      </c>
      <c r="DL95" s="172">
        <f ca="1">(VLOOKUP(DL$72,INDIRECT($C$5&amp;"生成成长"),2))/((VLOOKUP($B95,INDIRECT($B$5&amp;"生成成长"),4))/(VLOOKUP(DL$72,INDIRECT($C$5&amp;"生成成长"),5))*(VLOOKUP($B$5,标准坦克设计!$B$24:$U$30,MATCH("对"&amp;LEFT($C$5,2)&amp;"输出",标准坦克设计!$B$23:$U$23,0)))*(VLOOKUP($B95,INDIRECT($B$5&amp;"生成成长"),3))*(VLOOKUP($B$5,标准坦克设计!$B$14:$K$20,9)/30))</f>
        <v>6.4885810535650847</v>
      </c>
      <c r="DM95" s="172">
        <f ca="1">(VLOOKUP(DM$72,INDIRECT($C$5&amp;"生成成长"),2))/((VLOOKUP($B95,INDIRECT($B$5&amp;"生成成长"),4))/(VLOOKUP(DM$72,INDIRECT($C$5&amp;"生成成长"),5))*(VLOOKUP($B$5,标准坦克设计!$B$24:$U$30,MATCH("对"&amp;LEFT($C$5,2)&amp;"输出",标准坦克设计!$B$23:$U$23,0)))*(VLOOKUP($B95,INDIRECT($B$5&amp;"生成成长"),3))*(VLOOKUP($B$5,标准坦克设计!$B$14:$K$20,9)/30))</f>
        <v>7.2067943173018767</v>
      </c>
      <c r="DN95" s="172">
        <f ca="1">(VLOOKUP(DN$72,INDIRECT($C$5&amp;"生成成长"),2))/((VLOOKUP($B95,INDIRECT($B$5&amp;"生成成长"),4))/(VLOOKUP(DN$72,INDIRECT($C$5&amp;"生成成长"),5))*(VLOOKUP($B$5,标准坦克设计!$B$24:$U$30,MATCH("对"&amp;LEFT($C$5,2)&amp;"输出",标准坦克设计!$B$23:$U$23,0)))*(VLOOKUP($B95,INDIRECT($B$5&amp;"生成成长"),3))*(VLOOKUP($B$5,标准坦克设计!$B$14:$K$20,9)/30))</f>
        <v>7.9626980730131951</v>
      </c>
      <c r="DO95" s="172">
        <f ca="1">(VLOOKUP(DO$72,INDIRECT($C$5&amp;"生成成长"),2))/((VLOOKUP($B95,INDIRECT($B$5&amp;"生成成长"),4))/(VLOOKUP(DO$72,INDIRECT($C$5&amp;"生成成长"),5))*(VLOOKUP($B$5,标准坦克设计!$B$24:$U$30,MATCH("对"&amp;LEFT($C$5,2)&amp;"输出",标准坦克设计!$B$23:$U$23,0)))*(VLOOKUP($B95,INDIRECT($B$5&amp;"生成成长"),3))*(VLOOKUP($B$5,标准坦克设计!$B$14:$K$20,9)/30))</f>
        <v>8.7562923206990391</v>
      </c>
      <c r="DP95" s="172">
        <f ca="1">(VLOOKUP(DP$72,INDIRECT($C$5&amp;"生成成长"),2))/((VLOOKUP($B95,INDIRECT($B$5&amp;"生成成长"),4))/(VLOOKUP(DP$72,INDIRECT($C$5&amp;"生成成长"),5))*(VLOOKUP($B$5,标准坦克设计!$B$24:$U$30,MATCH("对"&amp;LEFT($C$5,2)&amp;"输出",标准坦克设计!$B$23:$U$23,0)))*(VLOOKUP($B95,INDIRECT($B$5&amp;"生成成长"),3))*(VLOOKUP($B$5,标准坦克设计!$B$14:$K$20,9)/30))</f>
        <v>9.5875770603594095</v>
      </c>
      <c r="DQ95" s="172">
        <f ca="1">(VLOOKUP(DQ$72,INDIRECT($C$5&amp;"生成成长"),2))/((VLOOKUP($B95,INDIRECT($B$5&amp;"生成成长"),4))/(VLOOKUP(DQ$72,INDIRECT($C$5&amp;"生成成长"),5))*(VLOOKUP($B$5,标准坦克设计!$B$24:$U$30,MATCH("对"&amp;LEFT($C$5,2)&amp;"输出",标准坦克设计!$B$23:$U$23,0)))*(VLOOKUP($B95,INDIRECT($B$5&amp;"生成成长"),3))*(VLOOKUP($B$5,标准坦克设计!$B$14:$K$20,9)/30))</f>
        <v>10.456552291994305</v>
      </c>
      <c r="DR95" s="172">
        <f ca="1">(VLOOKUP(DR$72,INDIRECT($C$5&amp;"生成成长"),2))/((VLOOKUP($B95,INDIRECT($B$5&amp;"生成成长"),4))/(VLOOKUP(DR$72,INDIRECT($C$5&amp;"生成成长"),5))*(VLOOKUP($B$5,标准坦克设计!$B$24:$U$30,MATCH("对"&amp;LEFT($C$5,2)&amp;"输出",标准坦克设计!$B$23:$U$23,0)))*(VLOOKUP($B95,INDIRECT($B$5&amp;"生成成长"),3))*(VLOOKUP($B$5,标准坦克设计!$B$14:$K$20,9)/30))</f>
        <v>11.363218015603723</v>
      </c>
      <c r="DS95" s="172">
        <f ca="1">(VLOOKUP(DS$72,INDIRECT($C$5&amp;"生成成长"),2))/((VLOOKUP($B95,INDIRECT($B$5&amp;"生成成长"),4))/(VLOOKUP(DS$72,INDIRECT($C$5&amp;"生成成长"),5))*(VLOOKUP($B$5,标准坦克设计!$B$24:$U$30,MATCH("对"&amp;LEFT($C$5,2)&amp;"输出",标准坦克设计!$B$23:$U$23,0)))*(VLOOKUP($B95,INDIRECT($B$5&amp;"生成成长"),3))*(VLOOKUP($B$5,标准坦克设计!$B$14:$K$20,9)/30))</f>
        <v>12.307574231187671</v>
      </c>
      <c r="DT95" s="172">
        <f ca="1">(VLOOKUP(DT$72,INDIRECT($C$5&amp;"生成成长"),2))/((VLOOKUP($B95,INDIRECT($B$5&amp;"生成成长"),4))/(VLOOKUP(DT$72,INDIRECT($C$5&amp;"生成成长"),5))*(VLOOKUP($B$5,标准坦克设计!$B$24:$U$30,MATCH("对"&amp;LEFT($C$5,2)&amp;"输出",标准坦克设计!$B$23:$U$23,0)))*(VLOOKUP($B95,INDIRECT($B$5&amp;"生成成长"),3))*(VLOOKUP($B$5,标准坦克设计!$B$14:$K$20,9)/30))</f>
        <v>13.512972002298884</v>
      </c>
      <c r="DU95" s="172">
        <f ca="1">(VLOOKUP(DU$72,INDIRECT($C$5&amp;"生成成长"),2))/((VLOOKUP($B95,INDIRECT($B$5&amp;"生成成长"),4))/(VLOOKUP(DU$72,INDIRECT($C$5&amp;"生成成长"),5))*(VLOOKUP($B$5,标准坦克设计!$B$24:$U$30,MATCH("对"&amp;LEFT($C$5,2)&amp;"输出",标准坦克设计!$B$23:$U$23,0)))*(VLOOKUP($B95,INDIRECT($B$5&amp;"生成成长"),3))*(VLOOKUP($B$5,标准坦克设计!$B$14:$K$20,9)/30))</f>
        <v>14.774672854014025</v>
      </c>
      <c r="DV95" s="172">
        <f ca="1">(VLOOKUP(DV$72,INDIRECT($C$5&amp;"生成成长"),2))/((VLOOKUP($B95,INDIRECT($B$5&amp;"生成成长"),4))/(VLOOKUP(DV$72,INDIRECT($C$5&amp;"生成成长"),5))*(VLOOKUP($B$5,标准坦克设计!$B$24:$U$30,MATCH("对"&amp;LEFT($C$5,2)&amp;"输出",标准坦克设计!$B$23:$U$23,0)))*(VLOOKUP($B95,INDIRECT($B$5&amp;"生成成长"),3))*(VLOOKUP($B$5,标准坦克设计!$B$14:$K$20,9)/30))</f>
        <v>16.09267678633308</v>
      </c>
      <c r="DW95" s="172">
        <f ca="1">(VLOOKUP(DW$72,INDIRECT($C$5&amp;"生成成长"),2))/((VLOOKUP($B95,INDIRECT($B$5&amp;"生成成长"),4))/(VLOOKUP(DW$72,INDIRECT($C$5&amp;"生成成长"),5))*(VLOOKUP($B$5,标准坦克设计!$B$24:$U$30,MATCH("对"&amp;LEFT($C$5,2)&amp;"输出",标准坦克设计!$B$23:$U$23,0)))*(VLOOKUP($B95,INDIRECT($B$5&amp;"生成成长"),3))*(VLOOKUP($B$5,标准坦克设计!$B$14:$K$20,9)/30))</f>
        <v>17.466983799256059</v>
      </c>
      <c r="DX95" s="172">
        <f ca="1">(VLOOKUP(DX$72,INDIRECT($C$5&amp;"生成成长"),2))/((VLOOKUP($B95,INDIRECT($B$5&amp;"生成成长"),4))/(VLOOKUP(DX$72,INDIRECT($C$5&amp;"生成成长"),5))*(VLOOKUP($B$5,标准坦克设计!$B$24:$U$30,MATCH("对"&amp;LEFT($C$5,2)&amp;"输出",标准坦克设计!$B$23:$U$23,0)))*(VLOOKUP($B95,INDIRECT($B$5&amp;"生成成长"),3))*(VLOOKUP($B$5,标准坦克设计!$B$14:$K$20,9)/30))</f>
        <v>18.897593892782961</v>
      </c>
      <c r="DY95" s="172">
        <f ca="1">(VLOOKUP(DY$72,INDIRECT($C$5&amp;"生成成长"),2))/((VLOOKUP($B95,INDIRECT($B$5&amp;"生成成长"),4))/(VLOOKUP(DY$72,INDIRECT($C$5&amp;"生成成长"),5))*(VLOOKUP($B$5,标准坦克设计!$B$24:$U$30,MATCH("对"&amp;LEFT($C$5,2)&amp;"输出",标准坦克设计!$B$23:$U$23,0)))*(VLOOKUP($B95,INDIRECT($B$5&amp;"生成成长"),3))*(VLOOKUP($B$5,标准坦克设计!$B$14:$K$20,9)/30))</f>
        <v>8.4875730723621459</v>
      </c>
      <c r="DZ95" s="172">
        <f ca="1">(VLOOKUP(DZ$72,INDIRECT($C$5&amp;"生成成长"),2))/((VLOOKUP($B95,INDIRECT($B$5&amp;"生成成长"),4))/(VLOOKUP(DZ$72,INDIRECT($C$5&amp;"生成成长"),5))*(VLOOKUP($B$5,标准坦克设计!$B$24:$U$30,MATCH("对"&amp;LEFT($C$5,2)&amp;"输出",标准坦克设计!$B$23:$U$23,0)))*(VLOOKUP($B95,INDIRECT($B$5&amp;"生成成长"),3))*(VLOOKUP($B$5,标准坦克设计!$B$14:$K$20,9)/30))</f>
        <v>9.3995899152025153</v>
      </c>
      <c r="EA95" s="172">
        <f ca="1">(VLOOKUP(EA$72,INDIRECT($C$5&amp;"生成成长"),2))/((VLOOKUP($B95,INDIRECT($B$5&amp;"生成成长"),4))/(VLOOKUP(EA$72,INDIRECT($C$5&amp;"生成成长"),5))*(VLOOKUP($B$5,标准坦克设计!$B$24:$U$30,MATCH("对"&amp;LEFT($C$5,2)&amp;"输出",标准坦克设计!$B$23:$U$23,0)))*(VLOOKUP($B95,INDIRECT($B$5&amp;"生成成长"),3))*(VLOOKUP($B$5,标准坦克设计!$B$14:$K$20,9)/30))</f>
        <v>10.358138229616376</v>
      </c>
      <c r="EB95" s="172">
        <f ca="1">(VLOOKUP(EB$72,INDIRECT($C$5&amp;"生成成长"),2))/((VLOOKUP($B95,INDIRECT($B$5&amp;"生成成长"),4))/(VLOOKUP(EB$72,INDIRECT($C$5&amp;"生成成长"),5))*(VLOOKUP($B$5,标准坦克设计!$B$24:$U$30,MATCH("对"&amp;LEFT($C$5,2)&amp;"输出",标准坦克设计!$B$23:$U$23,0)))*(VLOOKUP($B95,INDIRECT($B$5&amp;"生成成长"),3))*(VLOOKUP($B$5,标准坦克设计!$B$14:$K$20,9)/30))</f>
        <v>11.363218015603723</v>
      </c>
      <c r="EC95" s="172">
        <f ca="1">(VLOOKUP(EC$72,INDIRECT($C$5&amp;"生成成长"),2))/((VLOOKUP($B95,INDIRECT($B$5&amp;"生成成长"),4))/(VLOOKUP(EC$72,INDIRECT($C$5&amp;"生成成长"),5))*(VLOOKUP($B$5,标准坦克设计!$B$24:$U$30,MATCH("对"&amp;LEFT($C$5,2)&amp;"输出",标准坦克设计!$B$23:$U$23,0)))*(VLOOKUP($B95,INDIRECT($B$5&amp;"生成成长"),3))*(VLOOKUP($B$5,标准坦克设计!$B$14:$K$20,9)/30))</f>
        <v>12.414829273164559</v>
      </c>
      <c r="ED95" s="172">
        <f ca="1">(VLOOKUP(ED$72,INDIRECT($C$5&amp;"生成成长"),2))/((VLOOKUP($B95,INDIRECT($B$5&amp;"生成成长"),4))/(VLOOKUP(ED$72,INDIRECT($C$5&amp;"生成成长"),5))*(VLOOKUP($B$5,标准坦克设计!$B$24:$U$30,MATCH("对"&amp;LEFT($C$5,2)&amp;"输出",标准坦克设计!$B$23:$U$23,0)))*(VLOOKUP($B95,INDIRECT($B$5&amp;"生成成长"),3))*(VLOOKUP($B$5,标准坦克设计!$B$14:$K$20,9)/30))</f>
        <v>13.512972002298884</v>
      </c>
      <c r="EE95" s="172">
        <f ca="1">(VLOOKUP(EE$72,INDIRECT($C$5&amp;"生成成长"),2))/((VLOOKUP($B95,INDIRECT($B$5&amp;"生成成长"),4))/(VLOOKUP(EE$72,INDIRECT($C$5&amp;"生成成长"),5))*(VLOOKUP($B$5,标准坦克设计!$B$24:$U$30,MATCH("对"&amp;LEFT($C$5,2)&amp;"输出",标准坦克设计!$B$23:$U$23,0)))*(VLOOKUP($B95,INDIRECT($B$5&amp;"生成成长"),3))*(VLOOKUP($B$5,标准坦克设计!$B$14:$K$20,9)/30))</f>
        <v>14.657646203006701</v>
      </c>
      <c r="EF95" s="172">
        <f ca="1">(VLOOKUP(EF$72,INDIRECT($C$5&amp;"生成成长"),2))/((VLOOKUP($B95,INDIRECT($B$5&amp;"生成成长"),4))/(VLOOKUP(EF$72,INDIRECT($C$5&amp;"生成成长"),5))*(VLOOKUP($B$5,标准坦克设计!$B$24:$U$30,MATCH("对"&amp;LEFT($C$5,2)&amp;"输出",标准坦克设计!$B$23:$U$23,0)))*(VLOOKUP($B95,INDIRECT($B$5&amp;"生成成长"),3))*(VLOOKUP($B$5,标准坦克设计!$B$14:$K$20,9)/30))</f>
        <v>15.848851875288002</v>
      </c>
      <c r="EG95" s="172">
        <f ca="1">(VLOOKUP(EG$72,INDIRECT($C$5&amp;"生成成长"),2))/((VLOOKUP($B95,INDIRECT($B$5&amp;"生成成长"),4))/(VLOOKUP(EG$72,INDIRECT($C$5&amp;"生成成长"),5))*(VLOOKUP($B$5,标准坦克设计!$B$24:$U$30,MATCH("对"&amp;LEFT($C$5,2)&amp;"输出",标准坦克设计!$B$23:$U$23,0)))*(VLOOKUP($B95,INDIRECT($B$5&amp;"生成成长"),3))*(VLOOKUP($B$5,标准坦克设计!$B$14:$K$20,9)/30))</f>
        <v>17.086589019142789</v>
      </c>
      <c r="EH95" s="172">
        <f ca="1">(VLOOKUP(EH$72,INDIRECT($C$5&amp;"生成成长"),2))/((VLOOKUP($B95,INDIRECT($B$5&amp;"生成成长"),4))/(VLOOKUP(EH$72,INDIRECT($C$5&amp;"生成成长"),5))*(VLOOKUP($B$5,标准坦克设计!$B$24:$U$30,MATCH("对"&amp;LEFT($C$5,2)&amp;"输出",标准坦克设计!$B$23:$U$23,0)))*(VLOOKUP($B95,INDIRECT($B$5&amp;"生成成长"),3))*(VLOOKUP($B$5,标准坦克设计!$B$14:$K$20,9)/30))</f>
        <v>18.37085763457107</v>
      </c>
      <c r="EI95" s="172">
        <f ca="1">(VLOOKUP(EI$72,INDIRECT($C$5&amp;"生成成长"),2))/((VLOOKUP($B95,INDIRECT($B$5&amp;"生成成长"),4))/(VLOOKUP(EI$72,INDIRECT($C$5&amp;"生成成长"),5))*(VLOOKUP($B$5,标准坦克设计!$B$24:$U$30,MATCH("对"&amp;LEFT($C$5,2)&amp;"输出",标准坦克设计!$B$23:$U$23,0)))*(VLOOKUP($B95,INDIRECT($B$5&amp;"生成成长"),3))*(VLOOKUP($B$5,标准坦克设计!$B$14:$K$20,9)/30))</f>
        <v>19.701657721572836</v>
      </c>
      <c r="EJ95" s="172">
        <f ca="1">(VLOOKUP(EJ$72,INDIRECT($C$5&amp;"生成成长"),2))/((VLOOKUP($B95,INDIRECT($B$5&amp;"生成成长"),4))/(VLOOKUP(EJ$72,INDIRECT($C$5&amp;"生成成长"),5))*(VLOOKUP($B$5,标准坦克设计!$B$24:$U$30,MATCH("对"&amp;LEFT($C$5,2)&amp;"输出",标准坦克设计!$B$23:$U$23,0)))*(VLOOKUP($B95,INDIRECT($B$5&amp;"生成成长"),3))*(VLOOKUP($B$5,标准坦克设计!$B$14:$K$20,9)/30))</f>
        <v>21.078989280148093</v>
      </c>
      <c r="EK95" s="172">
        <f ca="1">(VLOOKUP(EK$72,INDIRECT($C$5&amp;"生成成长"),2))/((VLOOKUP($B95,INDIRECT($B$5&amp;"生成成长"),4))/(VLOOKUP(EK$72,INDIRECT($C$5&amp;"生成成长"),5))*(VLOOKUP($B$5,标准坦克设计!$B$24:$U$30,MATCH("对"&amp;LEFT($C$5,2)&amp;"输出",标准坦克设计!$B$23:$U$23,0)))*(VLOOKUP($B95,INDIRECT($B$5&amp;"生成成长"),3))*(VLOOKUP($B$5,标准坦克设计!$B$14:$K$20,9)/30))</f>
        <v>22.793208692915403</v>
      </c>
      <c r="EL95" s="172">
        <f ca="1">(VLOOKUP(EL$72,INDIRECT($C$5&amp;"生成成长"),2))/((VLOOKUP($B95,INDIRECT($B$5&amp;"生成成长"),4))/(VLOOKUP(EL$72,INDIRECT($C$5&amp;"生成成长"),5))*(VLOOKUP($B$5,标准坦克设计!$B$24:$U$30,MATCH("对"&amp;LEFT($C$5,2)&amp;"输出",标准坦克设计!$B$23:$U$23,0)))*(VLOOKUP($B95,INDIRECT($B$5&amp;"生成成长"),3))*(VLOOKUP($B$5,标准坦克设计!$B$14:$K$20,9)/30))</f>
        <v>24.574433424748541</v>
      </c>
      <c r="EM95" s="172">
        <f ca="1">(VLOOKUP(EM$72,INDIRECT($C$5&amp;"生成成长"),2))/((VLOOKUP($B95,INDIRECT($B$5&amp;"生成成长"),4))/(VLOOKUP(EM$72,INDIRECT($C$5&amp;"生成成长"),5))*(VLOOKUP($B$5,标准坦克设计!$B$24:$U$30,MATCH("对"&amp;LEFT($C$5,2)&amp;"输出",标准坦克设计!$B$23:$U$23,0)))*(VLOOKUP($B95,INDIRECT($B$5&amp;"生成成长"),3))*(VLOOKUP($B$5,标准坦克设计!$B$14:$K$20,9)/30))</f>
        <v>26.422663475647497</v>
      </c>
      <c r="EN95" s="172">
        <f ca="1">(VLOOKUP(EN$72,INDIRECT($C$5&amp;"生成成长"),2))/((VLOOKUP($B95,INDIRECT($B$5&amp;"生成成长"),4))/(VLOOKUP(EN$72,INDIRECT($C$5&amp;"生成成长"),5))*(VLOOKUP($B$5,标准坦克设计!$B$24:$U$30,MATCH("对"&amp;LEFT($C$5,2)&amp;"输出",标准坦克设计!$B$23:$U$23,0)))*(VLOOKUP($B95,INDIRECT($B$5&amp;"生成成长"),3))*(VLOOKUP($B$5,标准坦克设计!$B$14:$K$20,9)/30))</f>
        <v>28.337898845612273</v>
      </c>
      <c r="EO95" s="172">
        <f ca="1">(VLOOKUP(EO$72,INDIRECT($C$5&amp;"生成成长"),2))/((VLOOKUP($B95,INDIRECT($B$5&amp;"生成成长"),4))/(VLOOKUP(EO$72,INDIRECT($C$5&amp;"生成成长"),5))*(VLOOKUP($B$5,标准坦克设计!$B$24:$U$30,MATCH("对"&amp;LEFT($C$5,2)&amp;"输出",标准坦克设计!$B$23:$U$23,0)))*(VLOOKUP($B95,INDIRECT($B$5&amp;"生成成长"),3))*(VLOOKUP($B$5,标准坦克设计!$B$14:$K$20,9)/30))</f>
        <v>30.32013953464288</v>
      </c>
      <c r="EP95" s="172">
        <f ca="1">(VLOOKUP(EP$72,INDIRECT($C$5&amp;"生成成长"),2))/((VLOOKUP($B95,INDIRECT($B$5&amp;"生成成长"),4))/(VLOOKUP(EP$72,INDIRECT($C$5&amp;"生成成长"),5))*(VLOOKUP($B$5,标准坦克设计!$B$24:$U$30,MATCH("对"&amp;LEFT($C$5,2)&amp;"输出",标准坦克设计!$B$23:$U$23,0)))*(VLOOKUP($B95,INDIRECT($B$5&amp;"生成成长"),3))*(VLOOKUP($B$5,标准坦克设计!$B$14:$K$20,9)/30))</f>
        <v>32.369385542739309</v>
      </c>
      <c r="EQ95" s="172">
        <f ca="1">(VLOOKUP(EQ$72,INDIRECT($C$5&amp;"生成成长"),2))/((VLOOKUP($B95,INDIRECT($B$5&amp;"生成成长"),4))/(VLOOKUP(EQ$72,INDIRECT($C$5&amp;"生成成长"),5))*(VLOOKUP($B$5,标准坦克设计!$B$24:$U$30,MATCH("对"&amp;LEFT($C$5,2)&amp;"输出",标准坦克设计!$B$23:$U$23,0)))*(VLOOKUP($B95,INDIRECT($B$5&amp;"生成成长"),3))*(VLOOKUP($B$5,标准坦克设计!$B$14:$K$20,9)/30))</f>
        <v>14.309358138279141</v>
      </c>
      <c r="ER95" s="172">
        <f ca="1">(VLOOKUP(ER$72,INDIRECT($C$5&amp;"生成成长"),2))/((VLOOKUP($B95,INDIRECT($B$5&amp;"生成成长"),4))/(VLOOKUP(ER$72,INDIRECT($C$5&amp;"生成成长"),5))*(VLOOKUP($B$5,标准坦克设计!$B$24:$U$30,MATCH("对"&amp;LEFT($C$5,2)&amp;"输出",标准坦克设计!$B$23:$U$23,0)))*(VLOOKUP($B95,INDIRECT($B$5&amp;"生成成长"),3))*(VLOOKUP($B$5,标准坦克设计!$B$14:$K$20,9)/30))</f>
        <v>15.606888223105861</v>
      </c>
      <c r="ES95" s="172">
        <f ca="1">(VLOOKUP(ES$72,INDIRECT($C$5&amp;"生成成长"),2))/((VLOOKUP($B95,INDIRECT($B$5&amp;"生成成长"),4))/(VLOOKUP(ES$72,INDIRECT($C$5&amp;"生成成长"),5))*(VLOOKUP($B$5,标准坦克设计!$B$24:$U$30,MATCH("对"&amp;LEFT($C$5,2)&amp;"输出",标准坦克设计!$B$23:$U$23,0)))*(VLOOKUP($B95,INDIRECT($B$5&amp;"生成成长"),3))*(VLOOKUP($B$5,标准坦克设计!$B$14:$K$20,9)/30))</f>
        <v>16.960721388536506</v>
      </c>
      <c r="ET95" s="172">
        <f ca="1">(VLOOKUP(ET$72,INDIRECT($C$5&amp;"生成成长"),2))/((VLOOKUP($B95,INDIRECT($B$5&amp;"生成成长"),4))/(VLOOKUP(ET$72,INDIRECT($C$5&amp;"生成成长"),5))*(VLOOKUP($B$5,标准坦克设计!$B$24:$U$30,MATCH("对"&amp;LEFT($C$5,2)&amp;"输出",标准坦克设计!$B$23:$U$23,0)))*(VLOOKUP($B95,INDIRECT($B$5&amp;"生成成长"),3))*(VLOOKUP($B$5,标准坦克设计!$B$14:$K$20,9)/30))</f>
        <v>18.37085763457107</v>
      </c>
      <c r="EU95" s="172">
        <f ca="1">(VLOOKUP(EU$72,INDIRECT($C$5&amp;"生成成长"),2))/((VLOOKUP($B95,INDIRECT($B$5&amp;"生成成长"),4))/(VLOOKUP(EU$72,INDIRECT($C$5&amp;"生成成长"),5))*(VLOOKUP($B$5,标准坦克设计!$B$24:$U$30,MATCH("对"&amp;LEFT($C$5,2)&amp;"输出",标准坦克设计!$B$23:$U$23,0)))*(VLOOKUP($B95,INDIRECT($B$5&amp;"生成成长"),3))*(VLOOKUP($B$5,标准坦克设计!$B$14:$K$20,9)/30))</f>
        <v>19.837296961209557</v>
      </c>
      <c r="EV95" s="172">
        <f ca="1">(VLOOKUP(EV$72,INDIRECT($C$5&amp;"生成成长"),2))/((VLOOKUP($B95,INDIRECT($B$5&amp;"生成成长"),4))/(VLOOKUP(EV$72,INDIRECT($C$5&amp;"生成成长"),5))*(VLOOKUP($B$5,标准坦克设计!$B$24:$U$30,MATCH("对"&amp;LEFT($C$5,2)&amp;"输出",标准坦克设计!$B$23:$U$23,0)))*(VLOOKUP($B95,INDIRECT($B$5&amp;"生成成长"),3))*(VLOOKUP($B$5,标准坦克设计!$B$14:$K$20,9)/30))</f>
        <v>21.360039368451961</v>
      </c>
      <c r="EW95" s="172">
        <f ca="1">(VLOOKUP(EW$72,INDIRECT($C$5&amp;"生成成长"),2))/((VLOOKUP($B95,INDIRECT($B$5&amp;"生成成长"),4))/(VLOOKUP(EW$72,INDIRECT($C$5&amp;"生成成长"),5))*(VLOOKUP($B$5,标准坦克设计!$B$24:$U$30,MATCH("对"&amp;LEFT($C$5,2)&amp;"输出",标准坦克设计!$B$23:$U$23,0)))*(VLOOKUP($B95,INDIRECT($B$5&amp;"生成成长"),3))*(VLOOKUP($B$5,标准坦克设计!$B$14:$K$20,9)/30))</f>
        <v>22.93908485629829</v>
      </c>
      <c r="EX95" s="172">
        <f ca="1">(VLOOKUP(EX$72,INDIRECT($C$5&amp;"生成成长"),2))/((VLOOKUP($B95,INDIRECT($B$5&amp;"生成成长"),4))/(VLOOKUP(EX$72,INDIRECT($C$5&amp;"生成成长"),5))*(VLOOKUP($B$5,标准坦克设计!$B$24:$U$30,MATCH("对"&amp;LEFT($C$5,2)&amp;"输出",标准坦克设计!$B$23:$U$23,0)))*(VLOOKUP($B95,INDIRECT($B$5&amp;"生成成长"),3))*(VLOOKUP($B$5,标准坦克设计!$B$14:$K$20,9)/30))</f>
        <v>24.574433424748541</v>
      </c>
      <c r="EY95" s="172">
        <f ca="1">(VLOOKUP(EY$72,INDIRECT($C$5&amp;"生成成长"),2))/((VLOOKUP($B95,INDIRECT($B$5&amp;"生成成长"),4))/(VLOOKUP(EY$72,INDIRECT($C$5&amp;"生成成长"),5))*(VLOOKUP($B$5,标准坦克设计!$B$24:$U$30,MATCH("对"&amp;LEFT($C$5,2)&amp;"输出",标准坦克设计!$B$23:$U$23,0)))*(VLOOKUP($B95,INDIRECT($B$5&amp;"生成成长"),3))*(VLOOKUP($B$5,标准坦克设计!$B$14:$K$20,9)/30))</f>
        <v>26.26608507380271</v>
      </c>
      <c r="EZ95" s="172">
        <f ca="1">(VLOOKUP(EZ$72,INDIRECT($C$5&amp;"生成成长"),2))/((VLOOKUP($B95,INDIRECT($B$5&amp;"生成成长"),4))/(VLOOKUP(EZ$72,INDIRECT($C$5&amp;"生成成长"),5))*(VLOOKUP($B$5,标准坦克设计!$B$24:$U$30,MATCH("对"&amp;LEFT($C$5,2)&amp;"输出",标准坦克设计!$B$23:$U$23,0)))*(VLOOKUP($B95,INDIRECT($B$5&amp;"生成成长"),3))*(VLOOKUP($B$5,标准坦克设计!$B$14:$K$20,9)/30))</f>
        <v>28.014039803460797</v>
      </c>
      <c r="FA95" s="172">
        <f ca="1">(VLOOKUP(FA$72,INDIRECT($C$5&amp;"生成成长"),2))/((VLOOKUP($B95,INDIRECT($B$5&amp;"生成成长"),4))/(VLOOKUP(FA$72,INDIRECT($C$5&amp;"生成成长"),5))*(VLOOKUP($B$5,标准坦克设计!$B$24:$U$30,MATCH("对"&amp;LEFT($C$5,2)&amp;"输出",标准坦克设计!$B$23:$U$23,0)))*(VLOOKUP($B95,INDIRECT($B$5&amp;"生成成长"),3))*(VLOOKUP($B$5,标准坦克设计!$B$14:$K$20,9)/30))</f>
        <v>29.818297613722809</v>
      </c>
      <c r="FB95" s="172">
        <f ca="1">(VLOOKUP(FB$72,INDIRECT($C$5&amp;"生成成长"),2))/((VLOOKUP($B95,INDIRECT($B$5&amp;"生成成长"),4))/(VLOOKUP(FB$72,INDIRECT($C$5&amp;"生成成长"),5))*(VLOOKUP($B$5,标准坦克设计!$B$24:$U$30,MATCH("对"&amp;LEFT($C$5,2)&amp;"输出",标准坦克设计!$B$23:$U$23,0)))*(VLOOKUP($B95,INDIRECT($B$5&amp;"生成成长"),3))*(VLOOKUP($B$5,标准坦克设计!$B$14:$K$20,9)/30))</f>
        <v>31.678858504588746</v>
      </c>
      <c r="FC95" s="172">
        <f ca="1">(VLOOKUP(FC$72,INDIRECT($C$5&amp;"生成成长"),2))/((VLOOKUP($B95,INDIRECT($B$5&amp;"生成成长"),4))/(VLOOKUP(FC$72,INDIRECT($C$5&amp;"生成成长"),5))*(VLOOKUP($B$5,标准坦克设计!$B$24:$U$30,MATCH("对"&amp;LEFT($C$5,2)&amp;"输出",标准坦克设计!$B$23:$U$23,0)))*(VLOOKUP($B95,INDIRECT($B$5&amp;"生成成长"),3))*(VLOOKUP($B$5,标准坦克设计!$B$14:$K$20,9)/30))</f>
        <v>33.59572247605859</v>
      </c>
      <c r="FD95" s="172">
        <f ca="1">(VLOOKUP(FD$72,INDIRECT($C$5&amp;"生成成长"),2))/((VLOOKUP($B95,INDIRECT($B$5&amp;"生成成长"),4))/(VLOOKUP(FD$72,INDIRECT($C$5&amp;"生成成长"),5))*(VLOOKUP($B$5,标准坦克设计!$B$24:$U$30,MATCH("对"&amp;LEFT($C$5,2)&amp;"输出",标准坦克设计!$B$23:$U$23,0)))*(VLOOKUP($B95,INDIRECT($B$5&amp;"生成成长"),3))*(VLOOKUP($B$5,标准坦克设计!$B$14:$K$20,9)/30))</f>
        <v>35.568889528132374</v>
      </c>
      <c r="FE95" s="172">
        <f ca="1">(VLOOKUP(FE$72,INDIRECT($C$5&amp;"生成成长"),2))/((VLOOKUP($B95,INDIRECT($B$5&amp;"生成成长"),4))/(VLOOKUP(FE$72,INDIRECT($C$5&amp;"生成成长"),5))*(VLOOKUP($B$5,标准坦克设计!$B$24:$U$30,MATCH("对"&amp;LEFT($C$5,2)&amp;"输出",标准坦克设计!$B$23:$U$23,0)))*(VLOOKUP($B95,INDIRECT($B$5&amp;"生成成长"),3))*(VLOOKUP($B$5,标准坦克设计!$B$14:$K$20,9)/30))</f>
        <v>37.973403321692373</v>
      </c>
      <c r="FF95" s="172">
        <f ca="1">(VLOOKUP(FF$72,INDIRECT($C$5&amp;"生成成长"),2))/((VLOOKUP($B95,INDIRECT($B$5&amp;"生成成长"),4))/(VLOOKUP(FF$72,INDIRECT($C$5&amp;"生成成长"),5))*(VLOOKUP($B$5,标准坦克设计!$B$24:$U$30,MATCH("对"&amp;LEFT($C$5,2)&amp;"输出",标准坦克设计!$B$23:$U$23,0)))*(VLOOKUP($B95,INDIRECT($B$5&amp;"生成成长"),3))*(VLOOKUP($B$5,标准坦克设计!$B$14:$K$20,9)/30))</f>
        <v>40.456555302211584</v>
      </c>
      <c r="FG95" s="172">
        <f ca="1">(VLOOKUP(FG$72,INDIRECT($C$5&amp;"生成成长"),2))/((VLOOKUP($B95,INDIRECT($B$5&amp;"生成成长"),4))/(VLOOKUP(FG$72,INDIRECT($C$5&amp;"生成成长"),5))*(VLOOKUP($B$5,标准坦克设计!$B$24:$U$30,MATCH("对"&amp;LEFT($C$5,2)&amp;"输出",标准坦克设计!$B$23:$U$23,0)))*(VLOOKUP($B95,INDIRECT($B$5&amp;"生成成长"),3))*(VLOOKUP($B$5,标准坦克设计!$B$14:$K$20,9)/30))</f>
        <v>43.01834546968999</v>
      </c>
      <c r="FH95" s="172">
        <f ca="1">(VLOOKUP(FH$72,INDIRECT($C$5&amp;"生成成长"),2))/((VLOOKUP($B95,INDIRECT($B$5&amp;"生成成长"),4))/(VLOOKUP(FH$72,INDIRECT($C$5&amp;"生成成长"),5))*(VLOOKUP($B$5,标准坦克设计!$B$24:$U$30,MATCH("对"&amp;LEFT($C$5,2)&amp;"输出",标准坦克设计!$B$23:$U$23,0)))*(VLOOKUP($B95,INDIRECT($B$5&amp;"生成成长"),3))*(VLOOKUP($B$5,标准坦克设计!$B$14:$K$20,9)/30))</f>
        <v>45.658773824127586</v>
      </c>
      <c r="FI95" s="172">
        <f ca="1">(VLOOKUP(FI$72,INDIRECT($C$5&amp;"生成成长"),2))/((VLOOKUP($B95,INDIRECT($B$5&amp;"生成成长"),4))/(VLOOKUP(FI$72,INDIRECT($C$5&amp;"生成成长"),5))*(VLOOKUP($B$5,标准坦克设计!$B$24:$U$30,MATCH("对"&amp;LEFT($C$5,2)&amp;"输出",标准坦克设计!$B$23:$U$23,0)))*(VLOOKUP($B95,INDIRECT($B$5&amp;"生成成长"),3))*(VLOOKUP($B$5,标准坦克设计!$B$14:$K$20,9)/30))</f>
        <v>48.377840365524371</v>
      </c>
      <c r="FJ95" s="172">
        <f ca="1">(VLOOKUP(FJ$72,INDIRECT($C$5&amp;"生成成长"),2))/((VLOOKUP($B95,INDIRECT($B$5&amp;"生成成长"),4))/(VLOOKUP(FJ$72,INDIRECT($C$5&amp;"生成成长"),5))*(VLOOKUP($B$5,标准坦克设计!$B$24:$U$30,MATCH("对"&amp;LEFT($C$5,2)&amp;"输出",标准坦克设计!$B$23:$U$23,0)))*(VLOOKUP($B95,INDIRECT($B$5&amp;"生成成长"),3))*(VLOOKUP($B$5,标准坦克设计!$B$14:$K$20,9)/30))</f>
        <v>51.175545093880359</v>
      </c>
      <c r="FK95" s="172">
        <f ca="1">(VLOOKUP(FK$72,INDIRECT($C$5&amp;"生成成长"),2))/((VLOOKUP($B95,INDIRECT($B$5&amp;"生成成长"),4))/(VLOOKUP(FK$72,INDIRECT($C$5&amp;"生成成长"),5))*(VLOOKUP($B$5,标准坦克设计!$B$24:$U$30,MATCH("对"&amp;LEFT($C$5,2)&amp;"输出",标准坦克设计!$B$23:$U$23,0)))*(VLOOKUP($B95,INDIRECT($B$5&amp;"生成成长"),3))*(VLOOKUP($B$5,标准坦克设计!$B$14:$K$20,9)/30))</f>
        <v>54.051888009195537</v>
      </c>
    </row>
    <row r="96" spans="1:167" x14ac:dyDescent="0.15">
      <c r="A96" s="170" t="str">
        <f t="shared" si="11"/>
        <v>T4低品质3级</v>
      </c>
      <c r="B96" s="171">
        <v>10403</v>
      </c>
      <c r="C96" s="172">
        <f ca="1">(VLOOKUP(C$72,INDIRECT($C$5&amp;"生成成长"),2))/((VLOOKUP($B96,INDIRECT($B$5&amp;"生成成长"),4))/(VLOOKUP(C$72,INDIRECT($C$5&amp;"生成成长"),5))*(VLOOKUP($B$5,标准坦克设计!$B$24:$U$30,MATCH("对"&amp;LEFT($C$5,2)&amp;"输出",标准坦克设计!$B$23:$U$23,0)))*(VLOOKUP($B96,INDIRECT($B$5&amp;"生成成长"),3))*(VLOOKUP($B$5,标准坦克设计!$B$14:$K$20,9)/30))</f>
        <v>2.0994912948412048</v>
      </c>
      <c r="D96" s="172">
        <f ca="1">(VLOOKUP(D$72,INDIRECT($C$5&amp;"生成成长"),2))/((VLOOKUP($B96,INDIRECT($B$5&amp;"生成成长"),4))/(VLOOKUP(D$72,INDIRECT($C$5&amp;"生成成长"),5))*(VLOOKUP($B$5,标准坦克设计!$B$24:$U$30,MATCH("对"&amp;LEFT($C$5,2)&amp;"输出",标准坦克设计!$B$23:$U$23,0)))*(VLOOKUP($B96,INDIRECT($B$5&amp;"生成成长"),3))*(VLOOKUP($B$5,标准坦克设计!$B$14:$K$20,9)/30))</f>
        <v>2.3589884188835777</v>
      </c>
      <c r="E96" s="172">
        <f ca="1">(VLOOKUP(E$72,INDIRECT($C$5&amp;"生成成长"),2))/((VLOOKUP($B96,INDIRECT($B$5&amp;"生成成长"),4))/(VLOOKUP(E$72,INDIRECT($C$5&amp;"生成成长"),5))*(VLOOKUP($B$5,标准坦克设计!$B$24:$U$30,MATCH("对"&amp;LEFT($C$5,2)&amp;"输出",标准坦克设计!$B$23:$U$23,0)))*(VLOOKUP($B96,INDIRECT($B$5&amp;"生成成长"),3))*(VLOOKUP($B$5,标准坦克设计!$B$14:$K$20,9)/30))</f>
        <v>2.6336018802488068</v>
      </c>
      <c r="F96" s="172">
        <f ca="1">(VLOOKUP(F$72,INDIRECT($C$5&amp;"生成成长"),2))/((VLOOKUP($B96,INDIRECT($B$5&amp;"生成成长"),4))/(VLOOKUP(F$72,INDIRECT($C$5&amp;"生成成长"),5))*(VLOOKUP($B$5,标准坦克设计!$B$24:$U$30,MATCH("对"&amp;LEFT($C$5,2)&amp;"输出",标准坦克设计!$B$23:$U$23,0)))*(VLOOKUP($B96,INDIRECT($B$5&amp;"生成成长"),3))*(VLOOKUP($B$5,标准坦克设计!$B$14:$K$20,9)/30))</f>
        <v>2.9233316789368931</v>
      </c>
      <c r="G96" s="172">
        <f ca="1">(VLOOKUP(G$72,INDIRECT($C$5&amp;"生成成长"),2))/((VLOOKUP($B96,INDIRECT($B$5&amp;"生成成长"),4))/(VLOOKUP(G$72,INDIRECT($C$5&amp;"生成成长"),5))*(VLOOKUP($B$5,标准坦克设计!$B$24:$U$30,MATCH("对"&amp;LEFT($C$5,2)&amp;"输出",标准坦克设计!$B$23:$U$23,0)))*(VLOOKUP($B96,INDIRECT($B$5&amp;"生成成长"),3))*(VLOOKUP($B$5,标准坦克设计!$B$14:$K$20,9)/30))</f>
        <v>3.228177814947836</v>
      </c>
      <c r="H96" s="172">
        <f ca="1">(VLOOKUP(H$72,INDIRECT($C$5&amp;"生成成长"),2))/((VLOOKUP($B96,INDIRECT($B$5&amp;"生成成长"),4))/(VLOOKUP(H$72,INDIRECT($C$5&amp;"生成成长"),5))*(VLOOKUP($B$5,标准坦克设计!$B$24:$U$30,MATCH("对"&amp;LEFT($C$5,2)&amp;"输出",标准坦克设计!$B$23:$U$23,0)))*(VLOOKUP($B96,INDIRECT($B$5&amp;"生成成长"),3))*(VLOOKUP($B$5,标准坦克设计!$B$14:$K$20,9)/30))</f>
        <v>2.8250754863383243</v>
      </c>
      <c r="I96" s="172">
        <f ca="1">(VLOOKUP(I$72,INDIRECT($C$5&amp;"生成成长"),2))/((VLOOKUP($B96,INDIRECT($B$5&amp;"生成成长"),4))/(VLOOKUP(I$72,INDIRECT($C$5&amp;"生成成长"),5))*(VLOOKUP($B$5,标准坦克设计!$B$24:$U$30,MATCH("对"&amp;LEFT($C$5,2)&amp;"输出",标准坦克设计!$B$23:$U$23,0)))*(VLOOKUP($B96,INDIRECT($B$5&amp;"生成成长"),3))*(VLOOKUP($B$5,标准坦克设计!$B$14:$K$20,9)/30))</f>
        <v>3.228177814947836</v>
      </c>
      <c r="J96" s="172">
        <f ca="1">(VLOOKUP(J$72,INDIRECT($C$5&amp;"生成成长"),2))/((VLOOKUP($B96,INDIRECT($B$5&amp;"生成成长"),4))/(VLOOKUP(J$72,INDIRECT($C$5&amp;"生成成长"),5))*(VLOOKUP($B$5,标准坦克设计!$B$24:$U$30,MATCH("对"&amp;LEFT($C$5,2)&amp;"输出",标准坦克设计!$B$23:$U$23,0)))*(VLOOKUP($B96,INDIRECT($B$5&amp;"生成成长"),3))*(VLOOKUP($B$5,标准坦克设计!$B$14:$K$20,9)/30))</f>
        <v>3.6581536321313157</v>
      </c>
      <c r="K96" s="172">
        <f ca="1">(VLOOKUP(K$72,INDIRECT($C$5&amp;"生成成长"),2))/((VLOOKUP($B96,INDIRECT($B$5&amp;"生成成长"),4))/(VLOOKUP(K$72,INDIRECT($C$5&amp;"生成成长"),5))*(VLOOKUP($B$5,标准坦克设计!$B$24:$U$30,MATCH("对"&amp;LEFT($C$5,2)&amp;"输出",标准坦克设计!$B$23:$U$23,0)))*(VLOOKUP($B96,INDIRECT($B$5&amp;"生成成长"),3))*(VLOOKUP($B$5,标准坦克设计!$B$14:$K$20,9)/30))</f>
        <v>4.1150029378887618</v>
      </c>
      <c r="L96" s="172">
        <f ca="1">(VLOOKUP(L$72,INDIRECT($C$5&amp;"生成成长"),2))/((VLOOKUP($B96,INDIRECT($B$5&amp;"生成成长"),4))/(VLOOKUP(L$72,INDIRECT($C$5&amp;"生成成长"),5))*(VLOOKUP($B$5,标准坦克设计!$B$24:$U$30,MATCH("对"&amp;LEFT($C$5,2)&amp;"输出",标准坦克设计!$B$23:$U$23,0)))*(VLOOKUP($B96,INDIRECT($B$5&amp;"生成成长"),3))*(VLOOKUP($B$5,标准坦克设计!$B$14:$K$20,9)/30))</f>
        <v>4.5987257322201742</v>
      </c>
      <c r="M96" s="172">
        <f ca="1">(VLOOKUP(M$72,INDIRECT($C$5&amp;"生成成长"),2))/((VLOOKUP($B96,INDIRECT($B$5&amp;"生成成长"),4))/(VLOOKUP(M$72,INDIRECT($C$5&amp;"生成成长"),5))*(VLOOKUP($B$5,标准坦克设计!$B$24:$U$30,MATCH("对"&amp;LEFT($C$5,2)&amp;"输出",标准坦克设计!$B$23:$U$23,0)))*(VLOOKUP($B96,INDIRECT($B$5&amp;"生成成长"),3))*(VLOOKUP($B$5,标准坦克设计!$B$14:$K$20,9)/30))</f>
        <v>5.1093220151255556</v>
      </c>
      <c r="N96" s="172">
        <f ca="1">(VLOOKUP(N$72,INDIRECT($C$5&amp;"生成成长"),2))/((VLOOKUP($B96,INDIRECT($B$5&amp;"生成成长"),4))/(VLOOKUP(N$72,INDIRECT($C$5&amp;"生成成长"),5))*(VLOOKUP($B$5,标准坦克设计!$B$24:$U$30,MATCH("对"&amp;LEFT($C$5,2)&amp;"输出",标准坦克设计!$B$23:$U$23,0)))*(VLOOKUP($B96,INDIRECT($B$5&amp;"生成成长"),3))*(VLOOKUP($B$5,标准坦克设计!$B$14:$K$20,9)/30))</f>
        <v>5.6467917866049042</v>
      </c>
      <c r="O96" s="172">
        <f ca="1">(VLOOKUP(O$72,INDIRECT($C$5&amp;"生成成长"),2))/((VLOOKUP($B96,INDIRECT($B$5&amp;"生成成长"),4))/(VLOOKUP(O$72,INDIRECT($C$5&amp;"生成成长"),5))*(VLOOKUP($B$5,标准坦克设计!$B$24:$U$30,MATCH("对"&amp;LEFT($C$5,2)&amp;"输出",标准坦克设计!$B$23:$U$23,0)))*(VLOOKUP($B96,INDIRECT($B$5&amp;"生成成长"),3))*(VLOOKUP($B$5,标准坦克设计!$B$14:$K$20,9)/30))</f>
        <v>4.2932497488207799</v>
      </c>
      <c r="P96" s="172">
        <f ca="1">(VLOOKUP(P$72,INDIRECT($C$5&amp;"生成成长"),2))/((VLOOKUP($B96,INDIRECT($B$5&amp;"生成成长"),4))/(VLOOKUP(P$72,INDIRECT($C$5&amp;"生成成长"),5))*(VLOOKUP($B$5,标准坦克设计!$B$24:$U$30,MATCH("对"&amp;LEFT($C$5,2)&amp;"输出",标准坦克设计!$B$23:$U$23,0)))*(VLOOKUP($B96,INDIRECT($B$5&amp;"生成成长"),3))*(VLOOKUP($B$5,标准坦克设计!$B$14:$K$20,9)/30))</f>
        <v>4.8506646876011192</v>
      </c>
      <c r="Q96" s="172">
        <f ca="1">(VLOOKUP(Q$72,INDIRECT($C$5&amp;"生成成长"),2))/((VLOOKUP($B96,INDIRECT($B$5&amp;"生成成长"),4))/(VLOOKUP(Q$72,INDIRECT($C$5&amp;"生成成长"),5))*(VLOOKUP($B$5,标准坦克设计!$B$24:$U$30,MATCH("对"&amp;LEFT($C$5,2)&amp;"输出",标准坦克设计!$B$23:$U$23,0)))*(VLOOKUP($B96,INDIRECT($B$5&amp;"生成成长"),3))*(VLOOKUP($B$5,标准坦克设计!$B$14:$K$20,9)/30))</f>
        <v>5.4420913853578856</v>
      </c>
      <c r="R96" s="172">
        <f ca="1">(VLOOKUP(R$72,INDIRECT($C$5&amp;"生成成长"),2))/((VLOOKUP($B96,INDIRECT($B$5&amp;"生成成长"),4))/(VLOOKUP(R$72,INDIRECT($C$5&amp;"生成成长"),5))*(VLOOKUP($B$5,标准坦克设计!$B$24:$U$30,MATCH("对"&amp;LEFT($C$5,2)&amp;"输出",标准坦克设计!$B$23:$U$23,0)))*(VLOOKUP($B96,INDIRECT($B$5&amp;"生成成长"),3))*(VLOOKUP($B$5,标准坦克设计!$B$14:$K$20,9)/30))</f>
        <v>6.0675298420910817</v>
      </c>
      <c r="S96" s="172">
        <f ca="1">(VLOOKUP(S$72,INDIRECT($C$5&amp;"生成成长"),2))/((VLOOKUP($B96,INDIRECT($B$5&amp;"生成成长"),4))/(VLOOKUP(S$72,INDIRECT($C$5&amp;"生成成长"),5))*(VLOOKUP($B$5,标准坦克设计!$B$24:$U$30,MATCH("对"&amp;LEFT($C$5,2)&amp;"输出",标准坦克设计!$B$23:$U$23,0)))*(VLOOKUP($B96,INDIRECT($B$5&amp;"生成成长"),3))*(VLOOKUP($B$5,标准坦克设计!$B$14:$K$20,9)/30))</f>
        <v>6.7269800578007031</v>
      </c>
      <c r="T96" s="172">
        <f ca="1">(VLOOKUP(T$72,INDIRECT($C$5&amp;"生成成长"),2))/((VLOOKUP($B96,INDIRECT($B$5&amp;"生成成长"),4))/(VLOOKUP(T$72,INDIRECT($C$5&amp;"生成成长"),5))*(VLOOKUP($B$5,标准坦克设计!$B$24:$U$30,MATCH("对"&amp;LEFT($C$5,2)&amp;"输出",标准坦克设计!$B$23:$U$23,0)))*(VLOOKUP($B96,INDIRECT($B$5&amp;"生成成长"),3))*(VLOOKUP($B$5,标准坦克设计!$B$14:$K$20,9)/30))</f>
        <v>7.4204420324867533</v>
      </c>
      <c r="U96" s="172">
        <f ca="1">(VLOOKUP(U$72,INDIRECT($C$5&amp;"生成成长"),2))/((VLOOKUP($B96,INDIRECT($B$5&amp;"生成成长"),4))/(VLOOKUP(U$72,INDIRECT($C$5&amp;"生成成长"),5))*(VLOOKUP($B$5,标准坦克设计!$B$24:$U$30,MATCH("对"&amp;LEFT($C$5,2)&amp;"输出",标准坦克设计!$B$23:$U$23,0)))*(VLOOKUP($B96,INDIRECT($B$5&amp;"生成成长"),3))*(VLOOKUP($B$5,标准坦克设计!$B$14:$K$20,9)/30))</f>
        <v>8.1479157661492305</v>
      </c>
      <c r="V96" s="172">
        <f ca="1">(VLOOKUP(V$72,INDIRECT($C$5&amp;"生成成长"),2))/((VLOOKUP($B96,INDIRECT($B$5&amp;"生成成长"),4))/(VLOOKUP(V$72,INDIRECT($C$5&amp;"生成成长"),5))*(VLOOKUP($B$5,标准坦克设计!$B$24:$U$30,MATCH("对"&amp;LEFT($C$5,2)&amp;"输出",标准坦克设计!$B$23:$U$23,0)))*(VLOOKUP($B96,INDIRECT($B$5&amp;"生成成长"),3))*(VLOOKUP($B$5,标准坦克设计!$B$14:$K$20,9)/30))</f>
        <v>8.9094012587881366</v>
      </c>
      <c r="W96" s="172">
        <f ca="1">(VLOOKUP(W$72,INDIRECT($C$5&amp;"生成成长"),2))/((VLOOKUP($B96,INDIRECT($B$5&amp;"生成成长"),4))/(VLOOKUP(W$72,INDIRECT($C$5&amp;"生成成长"),5))*(VLOOKUP($B$5,标准坦克设计!$B$24:$U$30,MATCH("对"&amp;LEFT($C$5,2)&amp;"输出",标准坦克设计!$B$23:$U$23,0)))*(VLOOKUP($B96,INDIRECT($B$5&amp;"生成成长"),3))*(VLOOKUP($B$5,标准坦克设计!$B$14:$K$20,9)/30))</f>
        <v>9.7048985104034688</v>
      </c>
      <c r="X96" s="172">
        <f ca="1">(VLOOKUP(X$72,INDIRECT($C$5&amp;"生成成长"),2))/((VLOOKUP($B96,INDIRECT($B$5&amp;"生成成长"),4))/(VLOOKUP(X$72,INDIRECT($C$5&amp;"生成成长"),5))*(VLOOKUP($B$5,标准坦克设计!$B$24:$U$30,MATCH("对"&amp;LEFT($C$5,2)&amp;"输出",标准坦克设计!$B$23:$U$23,0)))*(VLOOKUP($B96,INDIRECT($B$5&amp;"生成成长"),3))*(VLOOKUP($B$5,标准坦克设计!$B$14:$K$20,9)/30))</f>
        <v>7.0309863972937103</v>
      </c>
      <c r="Y96" s="172">
        <f ca="1">(VLOOKUP(Y$72,INDIRECT($C$5&amp;"生成成长"),2))/((VLOOKUP($B96,INDIRECT($B$5&amp;"生成成长"),4))/(VLOOKUP(Y$72,INDIRECT($C$5&amp;"生成成长"),5))*(VLOOKUP($B$5,标准坦克设计!$B$24:$U$30,MATCH("对"&amp;LEFT($C$5,2)&amp;"输出",标准坦克设计!$B$23:$U$23,0)))*(VLOOKUP($B96,INDIRECT($B$5&amp;"生成成长"),3))*(VLOOKUP($B$5,标准坦克设计!$B$14:$K$20,9)/30))</f>
        <v>7.820395124154004</v>
      </c>
      <c r="Z96" s="172">
        <f ca="1">(VLOOKUP(Z$72,INDIRECT($C$5&amp;"生成成长"),2))/((VLOOKUP($B96,INDIRECT($B$5&amp;"生成成长"),4))/(VLOOKUP(Z$72,INDIRECT($C$5&amp;"生成成长"),5))*(VLOOKUP($B$5,标准坦克设计!$B$24:$U$30,MATCH("对"&amp;LEFT($C$5,2)&amp;"输出",标准坦克设计!$B$23:$U$23,0)))*(VLOOKUP($B96,INDIRECT($B$5&amp;"生成成长"),3))*(VLOOKUP($B$5,标准坦克设计!$B$14:$K$20,9)/30))</f>
        <v>8.6517936769111188</v>
      </c>
      <c r="AA96" s="172">
        <f ca="1">(VLOOKUP(AA$72,INDIRECT($C$5&amp;"生成成长"),2))/((VLOOKUP($B96,INDIRECT($B$5&amp;"生成成长"),4))/(VLOOKUP(AA$72,INDIRECT($C$5&amp;"生成成长"),5))*(VLOOKUP($B$5,标准坦克设计!$B$24:$U$30,MATCH("对"&amp;LEFT($C$5,2)&amp;"输出",标准坦克设计!$B$23:$U$23,0)))*(VLOOKUP($B96,INDIRECT($B$5&amp;"生成成长"),3))*(VLOOKUP($B$5,标准坦克设计!$B$14:$K$20,9)/30))</f>
        <v>9.525182055565061</v>
      </c>
      <c r="AB96" s="172">
        <f ca="1">(VLOOKUP(AB$72,INDIRECT($C$5&amp;"生成成长"),2))/((VLOOKUP($B96,INDIRECT($B$5&amp;"生成成长"),4))/(VLOOKUP(AB$72,INDIRECT($C$5&amp;"生成成长"),5))*(VLOOKUP($B$5,标准坦克设计!$B$24:$U$30,MATCH("对"&amp;LEFT($C$5,2)&amp;"输出",标准坦克设计!$B$23:$U$23,0)))*(VLOOKUP($B96,INDIRECT($B$5&amp;"生成成长"),3))*(VLOOKUP($B$5,标准坦克设计!$B$14:$K$20,9)/30))</f>
        <v>10.440560260115827</v>
      </c>
      <c r="AC96" s="172">
        <f ca="1">(VLOOKUP(AC$72,INDIRECT($C$5&amp;"生成成长"),2))/((VLOOKUP($B96,INDIRECT($B$5&amp;"生成成长"),4))/(VLOOKUP(AC$72,INDIRECT($C$5&amp;"生成成长"),5))*(VLOOKUP($B$5,标准坦克设计!$B$24:$U$30,MATCH("对"&amp;LEFT($C$5,2)&amp;"输出",标准坦克设计!$B$23:$U$23,0)))*(VLOOKUP($B96,INDIRECT($B$5&amp;"生成成长"),3))*(VLOOKUP($B$5,标准坦克设计!$B$14:$K$20,9)/30))</f>
        <v>11.397928290563415</v>
      </c>
      <c r="AD96" s="172">
        <f ca="1">(VLOOKUP(AD$72,INDIRECT($C$5&amp;"生成成长"),2))/((VLOOKUP($B96,INDIRECT($B$5&amp;"生成成长"),4))/(VLOOKUP(AD$72,INDIRECT($C$5&amp;"生成成长"),5))*(VLOOKUP($B$5,标准坦克设计!$B$24:$U$30,MATCH("对"&amp;LEFT($C$5,2)&amp;"输出",标准坦克设计!$B$23:$U$23,0)))*(VLOOKUP($B96,INDIRECT($B$5&amp;"生成成长"),3))*(VLOOKUP($B$5,标准坦克设计!$B$14:$K$20,9)/30))</f>
        <v>12.397286146907831</v>
      </c>
      <c r="AE96" s="172">
        <f ca="1">(VLOOKUP(AE$72,INDIRECT($C$5&amp;"生成成长"),2))/((VLOOKUP($B96,INDIRECT($B$5&amp;"生成成长"),4))/(VLOOKUP(AE$72,INDIRECT($C$5&amp;"生成成长"),5))*(VLOOKUP($B$5,标准坦克设计!$B$24:$U$30,MATCH("对"&amp;LEFT($C$5,2)&amp;"输出",标准坦克设计!$B$23:$U$23,0)))*(VLOOKUP($B96,INDIRECT($B$5&amp;"生成成长"),3))*(VLOOKUP($B$5,标准坦克设计!$B$14:$K$20,9)/30))</f>
        <v>13.438633829149065</v>
      </c>
      <c r="AF96" s="172">
        <f ca="1">(VLOOKUP(AF$72,INDIRECT($C$5&amp;"生成成长"),2))/((VLOOKUP($B96,INDIRECT($B$5&amp;"生成成长"),4))/(VLOOKUP(AF$72,INDIRECT($C$5&amp;"生成成长"),5))*(VLOOKUP($B$5,标准坦克设计!$B$24:$U$30,MATCH("对"&amp;LEFT($C$5,2)&amp;"输出",标准坦克设计!$B$23:$U$23,0)))*(VLOOKUP($B96,INDIRECT($B$5&amp;"生成成长"),3))*(VLOOKUP($B$5,标准坦克设计!$B$14:$K$20,9)/30))</f>
        <v>14.521971337287129</v>
      </c>
      <c r="AG96" s="172">
        <f ca="1">(VLOOKUP(AG$72,INDIRECT($C$5&amp;"生成成长"),2))/((VLOOKUP($B96,INDIRECT($B$5&amp;"生成成长"),4))/(VLOOKUP(AG$72,INDIRECT($C$5&amp;"生成成长"),5))*(VLOOKUP($B$5,标准坦克设计!$B$24:$U$30,MATCH("对"&amp;LEFT($C$5,2)&amp;"输出",标准坦克设计!$B$23:$U$23,0)))*(VLOOKUP($B96,INDIRECT($B$5&amp;"生成成长"),3))*(VLOOKUP($B$5,标准坦克设计!$B$14:$K$20,9)/30))</f>
        <v>15.647298671322011</v>
      </c>
      <c r="AH96" s="172">
        <f ca="1">(VLOOKUP(AH$72,INDIRECT($C$5&amp;"生成成长"),2))/((VLOOKUP($B96,INDIRECT($B$5&amp;"生成成长"),4))/(VLOOKUP(AH$72,INDIRECT($C$5&amp;"生成成长"),5))*(VLOOKUP($B$5,标准坦克设计!$B$24:$U$30,MATCH("对"&amp;LEFT($C$5,2)&amp;"输出",标准坦克设计!$B$23:$U$23,0)))*(VLOOKUP($B96,INDIRECT($B$5&amp;"生成成长"),3))*(VLOOKUP($B$5,标准坦克设计!$B$14:$K$20,9)/30))</f>
        <v>16.814615831253725</v>
      </c>
      <c r="AI96" s="172">
        <f ca="1">(VLOOKUP(AI$72,INDIRECT($C$5&amp;"生成成长"),2))/((VLOOKUP($B96,INDIRECT($B$5&amp;"生成成长"),4))/(VLOOKUP(AI$72,INDIRECT($C$5&amp;"生成成长"),5))*(VLOOKUP($B$5,标准坦克设计!$B$24:$U$30,MATCH("对"&amp;LEFT($C$5,2)&amp;"输出",标准坦克设计!$B$23:$U$23,0)))*(VLOOKUP($B96,INDIRECT($B$5&amp;"生成成长"),3))*(VLOOKUP($B$5,标准坦克设计!$B$14:$K$20,9)/30))</f>
        <v>11.89235849049852</v>
      </c>
      <c r="AJ96" s="172">
        <f ca="1">(VLOOKUP(AJ$72,INDIRECT($C$5&amp;"生成成长"),2))/((VLOOKUP($B96,INDIRECT($B$5&amp;"生成成长"),4))/(VLOOKUP(AJ$72,INDIRECT($C$5&amp;"生成成长"),5))*(VLOOKUP($B$5,标准坦克设计!$B$24:$U$30,MATCH("对"&amp;LEFT($C$5,2)&amp;"输出",标准坦克设计!$B$23:$U$23,0)))*(VLOOKUP($B96,INDIRECT($B$5&amp;"生成成长"),3))*(VLOOKUP($B$5,标准坦克设计!$B$14:$K$20,9)/30))</f>
        <v>13.017055977144951</v>
      </c>
      <c r="AK96" s="172">
        <f ca="1">(VLOOKUP(AK$72,INDIRECT($C$5&amp;"生成成长"),2))/((VLOOKUP($B96,INDIRECT($B$5&amp;"生成成长"),4))/(VLOOKUP(AK$72,INDIRECT($C$5&amp;"生成成长"),5))*(VLOOKUP($B$5,标准坦克设计!$B$24:$U$30,MATCH("对"&amp;LEFT($C$5,2)&amp;"输出",标准坦克设计!$B$23:$U$23,0)))*(VLOOKUP($B96,INDIRECT($B$5&amp;"生成成长"),3))*(VLOOKUP($B$5,标准坦克设计!$B$14:$K$20,9)/30))</f>
        <v>14.192561153126544</v>
      </c>
      <c r="AL96" s="172">
        <f ca="1">(VLOOKUP(AL$72,INDIRECT($C$5&amp;"生成成长"),2))/((VLOOKUP($B96,INDIRECT($B$5&amp;"生成成长"),4))/(VLOOKUP(AL$72,INDIRECT($C$5&amp;"生成成长"),5))*(VLOOKUP($B$5,标准坦克设计!$B$24:$U$30,MATCH("对"&amp;LEFT($C$5,2)&amp;"输出",标准坦克设计!$B$23:$U$23,0)))*(VLOOKUP($B96,INDIRECT($B$5&amp;"生成成长"),3))*(VLOOKUP($B$5,标准坦克设计!$B$14:$K$20,9)/30))</f>
        <v>15.418874018443294</v>
      </c>
      <c r="AM96" s="172">
        <f ca="1">(VLOOKUP(AM$72,INDIRECT($C$5&amp;"生成成长"),2))/((VLOOKUP($B96,INDIRECT($B$5&amp;"生成成长"),4))/(VLOOKUP(AM$72,INDIRECT($C$5&amp;"生成成长"),5))*(VLOOKUP($B$5,标准坦克设计!$B$24:$U$30,MATCH("对"&amp;LEFT($C$5,2)&amp;"输出",标准坦克设计!$B$23:$U$23,0)))*(VLOOKUP($B96,INDIRECT($B$5&amp;"生成成长"),3))*(VLOOKUP($B$5,标准坦克设计!$B$14:$K$20,9)/30))</f>
        <v>16.695994573095195</v>
      </c>
      <c r="AN96" s="172">
        <f ca="1">(VLOOKUP(AN$72,INDIRECT($C$5&amp;"生成成长"),2))/((VLOOKUP($B96,INDIRECT($B$5&amp;"生成成长"),4))/(VLOOKUP(AN$72,INDIRECT($C$5&amp;"生成成长"),5))*(VLOOKUP($B$5,标准坦克设计!$B$24:$U$30,MATCH("对"&amp;LEFT($C$5,2)&amp;"输出",标准坦克设计!$B$23:$U$23,0)))*(VLOOKUP($B96,INDIRECT($B$5&amp;"生成成长"),3))*(VLOOKUP($B$5,标准坦克设计!$B$14:$K$20,9)/30))</f>
        <v>18.023922817082259</v>
      </c>
      <c r="AO96" s="172">
        <f ca="1">(VLOOKUP(AO$72,INDIRECT($C$5&amp;"生成成长"),2))/((VLOOKUP($B96,INDIRECT($B$5&amp;"生成成长"),4))/(VLOOKUP(AO$72,INDIRECT($C$5&amp;"生成成长"),5))*(VLOOKUP($B$5,标准坦克设计!$B$24:$U$30,MATCH("对"&amp;LEFT($C$5,2)&amp;"输出",标准坦克设计!$B$23:$U$23,0)))*(VLOOKUP($B96,INDIRECT($B$5&amp;"生成成长"),3))*(VLOOKUP($B$5,标准坦克设计!$B$14:$K$20,9)/30))</f>
        <v>19.402658750404477</v>
      </c>
      <c r="AP96" s="172">
        <f ca="1">(VLOOKUP(AP$72,INDIRECT($C$5&amp;"生成成长"),2))/((VLOOKUP($B96,INDIRECT($B$5&amp;"生成成长"),4))/(VLOOKUP(AP$72,INDIRECT($C$5&amp;"生成成长"),5))*(VLOOKUP($B$5,标准坦克设计!$B$24:$U$30,MATCH("对"&amp;LEFT($C$5,2)&amp;"输出",标准坦克设计!$B$23:$U$23,0)))*(VLOOKUP($B96,INDIRECT($B$5&amp;"生成成长"),3))*(VLOOKUP($B$5,标准坦克设计!$B$14:$K$20,9)/30))</f>
        <v>20.83220237306185</v>
      </c>
      <c r="AQ96" s="172">
        <f ca="1">(VLOOKUP(AQ$72,INDIRECT($C$5&amp;"生成成长"),2))/((VLOOKUP($B96,INDIRECT($B$5&amp;"生成成长"),4))/(VLOOKUP(AQ$72,INDIRECT($C$5&amp;"生成成长"),5))*(VLOOKUP($B$5,标准坦克设计!$B$24:$U$30,MATCH("对"&amp;LEFT($C$5,2)&amp;"输出",标准坦克设计!$B$23:$U$23,0)))*(VLOOKUP($B96,INDIRECT($B$5&amp;"生成成长"),3))*(VLOOKUP($B$5,标准坦克设计!$B$14:$K$20,9)/30))</f>
        <v>22.312553685054382</v>
      </c>
      <c r="AR96" s="172">
        <f ca="1">(VLOOKUP(AR$72,INDIRECT($C$5&amp;"生成成长"),2))/((VLOOKUP($B96,INDIRECT($B$5&amp;"生成成长"),4))/(VLOOKUP(AR$72,INDIRECT($C$5&amp;"生成成长"),5))*(VLOOKUP($B$5,标准坦克设计!$B$24:$U$30,MATCH("对"&amp;LEFT($C$5,2)&amp;"输出",标准坦克设计!$B$23:$U$23,0)))*(VLOOKUP($B96,INDIRECT($B$5&amp;"生成成长"),3))*(VLOOKUP($B$5,标准坦克设计!$B$14:$K$20,9)/30))</f>
        <v>23.843712686382077</v>
      </c>
      <c r="AS96" s="172">
        <f ca="1">(VLOOKUP(AS$72,INDIRECT($C$5&amp;"生成成长"),2))/((VLOOKUP($B96,INDIRECT($B$5&amp;"生成成长"),4))/(VLOOKUP(AS$72,INDIRECT($C$5&amp;"生成成长"),5))*(VLOOKUP($B$5,标准坦克设计!$B$24:$U$30,MATCH("对"&amp;LEFT($C$5,2)&amp;"输出",标准坦克设计!$B$23:$U$23,0)))*(VLOOKUP($B96,INDIRECT($B$5&amp;"生成成长"),3))*(VLOOKUP($B$5,标准坦克设计!$B$14:$K$20,9)/30))</f>
        <v>25.425679377044926</v>
      </c>
      <c r="AT96" s="172">
        <f ca="1">(VLOOKUP(AT$72,INDIRECT($C$5&amp;"生成成长"),2))/((VLOOKUP($B96,INDIRECT($B$5&amp;"生成成长"),4))/(VLOOKUP(AT$72,INDIRECT($C$5&amp;"生成成长"),5))*(VLOOKUP($B$5,标准坦克设计!$B$24:$U$30,MATCH("对"&amp;LEFT($C$5,2)&amp;"输出",标准坦克设计!$B$23:$U$23,0)))*(VLOOKUP($B96,INDIRECT($B$5&amp;"生成成长"),3))*(VLOOKUP($B$5,标准坦克设计!$B$14:$K$20,9)/30))</f>
        <v>27.05845375704293</v>
      </c>
      <c r="AU96" s="172">
        <f ca="1">(VLOOKUP(AU$72,INDIRECT($C$5&amp;"生成成长"),2))/((VLOOKUP($B96,INDIRECT($B$5&amp;"生成成长"),4))/(VLOOKUP(AU$72,INDIRECT($C$5&amp;"生成成长"),5))*(VLOOKUP($B$5,标准坦克设计!$B$24:$U$30,MATCH("对"&amp;LEFT($C$5,2)&amp;"输出",标准坦克设计!$B$23:$U$23,0)))*(VLOOKUP($B96,INDIRECT($B$5&amp;"生成成长"),3))*(VLOOKUP($B$5,标准坦克设计!$B$14:$K$20,9)/30))</f>
        <v>28.742035826376092</v>
      </c>
      <c r="AV96" s="172">
        <f ca="1">(VLOOKUP(AV$72,INDIRECT($C$5&amp;"生成成长"),2))/((VLOOKUP($B96,INDIRECT($B$5&amp;"生成成长"),4))/(VLOOKUP(AV$72,INDIRECT($C$5&amp;"生成成长"),5))*(VLOOKUP($B$5,标准坦克设计!$B$24:$U$30,MATCH("对"&amp;LEFT($C$5,2)&amp;"输出",标准坦克设计!$B$23:$U$23,0)))*(VLOOKUP($B96,INDIRECT($B$5&amp;"生成成长"),3))*(VLOOKUP($B$5,标准坦克设计!$B$14:$K$20,9)/30))</f>
        <v>2.9233316789368931</v>
      </c>
      <c r="AW96" s="172">
        <f ca="1">(VLOOKUP(AW$72,INDIRECT($C$5&amp;"生成成长"),2))/((VLOOKUP($B96,INDIRECT($B$5&amp;"生成成长"),4))/(VLOOKUP(AW$72,INDIRECT($C$5&amp;"生成成长"),5))*(VLOOKUP($B$5,标准坦克设计!$B$24:$U$30,MATCH("对"&amp;LEFT($C$5,2)&amp;"输出",标准坦克设计!$B$23:$U$23,0)))*(VLOOKUP($B96,INDIRECT($B$5&amp;"生成成长"),3))*(VLOOKUP($B$5,标准坦克设计!$B$14:$K$20,9)/30))</f>
        <v>3.3331523796898965</v>
      </c>
      <c r="AX96" s="172">
        <f ca="1">(VLOOKUP(AX$72,INDIRECT($C$5&amp;"生成成长"),2))/((VLOOKUP($B96,INDIRECT($B$5&amp;"生成成长"),4))/(VLOOKUP(AX$72,INDIRECT($C$5&amp;"生成成长"),5))*(VLOOKUP($B$5,标准坦克设计!$B$24:$U$30,MATCH("对"&amp;LEFT($C$5,2)&amp;"输出",标准坦克设计!$B$23:$U$23,0)))*(VLOOKUP($B96,INDIRECT($B$5&amp;"生成成长"),3))*(VLOOKUP($B$5,标准坦克设计!$B$14:$K$20,9)/30))</f>
        <v>3.7698465690168663</v>
      </c>
      <c r="AY96" s="172">
        <f ca="1">(VLOOKUP(AY$72,INDIRECT($C$5&amp;"生成成长"),2))/((VLOOKUP($B96,INDIRECT($B$5&amp;"生成成长"),4))/(VLOOKUP(AY$72,INDIRECT($C$5&amp;"生成成长"),5))*(VLOOKUP($B$5,标准坦克设计!$B$24:$U$30,MATCH("对"&amp;LEFT($C$5,2)&amp;"输出",标准坦克设计!$B$23:$U$23,0)))*(VLOOKUP($B96,INDIRECT($B$5&amp;"生成成长"),3))*(VLOOKUP($B$5,标准坦克设计!$B$14:$K$20,9)/30))</f>
        <v>4.2334142469178051</v>
      </c>
      <c r="AZ96" s="172">
        <f ca="1">(VLOOKUP(AZ$72,INDIRECT($C$5&amp;"生成成长"),2))/((VLOOKUP($B96,INDIRECT($B$5&amp;"生成成长"),4))/(VLOOKUP(AZ$72,INDIRECT($C$5&amp;"生成成长"),5))*(VLOOKUP($B$5,标准坦克设计!$B$24:$U$30,MATCH("对"&amp;LEFT($C$5,2)&amp;"输出",标准坦克设计!$B$23:$U$23,0)))*(VLOOKUP($B96,INDIRECT($B$5&amp;"生成成长"),3))*(VLOOKUP($B$5,标准坦克设计!$B$14:$K$20,9)/30))</f>
        <v>4.7238554133927106</v>
      </c>
      <c r="BA96" s="172">
        <f ca="1">(VLOOKUP(BA$72,INDIRECT($C$5&amp;"生成成长"),2))/((VLOOKUP($B96,INDIRECT($B$5&amp;"生成成长"),4))/(VLOOKUP(BA$72,INDIRECT($C$5&amp;"生成成长"),5))*(VLOOKUP($B$5,标准坦克设计!$B$24:$U$30,MATCH("对"&amp;LEFT($C$5,2)&amp;"输出",标准坦克设计!$B$23:$U$23,0)))*(VLOOKUP($B96,INDIRECT($B$5&amp;"生成成长"),3))*(VLOOKUP($B$5,标准坦克设计!$B$14:$K$20,9)/30))</f>
        <v>5.2411700684415825</v>
      </c>
      <c r="BB96" s="172">
        <f ca="1">(VLOOKUP(BB$72,INDIRECT($C$5&amp;"生成成长"),2))/((VLOOKUP($B96,INDIRECT($B$5&amp;"生成成长"),4))/(VLOOKUP(BB$72,INDIRECT($C$5&amp;"生成成长"),5))*(VLOOKUP($B$5,标准坦克设计!$B$24:$U$30,MATCH("对"&amp;LEFT($C$5,2)&amp;"输出",标准坦克设计!$B$23:$U$23,0)))*(VLOOKUP($B96,INDIRECT($B$5&amp;"生成成长"),3))*(VLOOKUP($B$5,标准坦克设计!$B$14:$K$20,9)/30))</f>
        <v>5.7853582120644234</v>
      </c>
      <c r="BC96" s="172">
        <f ca="1">(VLOOKUP(BC$72,INDIRECT($C$5&amp;"生成成长"),2))/((VLOOKUP($B96,INDIRECT($B$5&amp;"生成成长"),4))/(VLOOKUP(BC$72,INDIRECT($C$5&amp;"生成成长"),5))*(VLOOKUP($B$5,标准坦克设计!$B$24:$U$30,MATCH("对"&amp;LEFT($C$5,2)&amp;"输出",标准坦克设计!$B$23:$U$23,0)))*(VLOOKUP($B96,INDIRECT($B$5&amp;"生成成长"),3))*(VLOOKUP($B$5,标准坦克设计!$B$14:$K$20,9)/30))</f>
        <v>6.3564198442612314</v>
      </c>
      <c r="BD96" s="172">
        <f ca="1">(VLOOKUP(BD$72,INDIRECT($C$5&amp;"生成成长"),2))/((VLOOKUP($B96,INDIRECT($B$5&amp;"生成成长"),4))/(VLOOKUP(BD$72,INDIRECT($C$5&amp;"生成成长"),5))*(VLOOKUP($B$5,标准坦克设计!$B$24:$U$30,MATCH("对"&amp;LEFT($C$5,2)&amp;"输出",标准坦克设计!$B$23:$U$23,0)))*(VLOOKUP($B96,INDIRECT($B$5&amp;"生成成长"),3))*(VLOOKUP($B$5,标准坦克设计!$B$14:$K$20,9)/30))</f>
        <v>7.0309863972937103</v>
      </c>
      <c r="BE96" s="172">
        <f ca="1">(VLOOKUP(BE$72,INDIRECT($C$5&amp;"生成成长"),2))/((VLOOKUP($B96,INDIRECT($B$5&amp;"生成成长"),4))/(VLOOKUP(BE$72,INDIRECT($C$5&amp;"生成成长"),5))*(VLOOKUP($B$5,标准坦克设计!$B$24:$U$30,MATCH("对"&amp;LEFT($C$5,2)&amp;"输出",标准坦克设计!$B$23:$U$23,0)))*(VLOOKUP($B96,INDIRECT($B$5&amp;"生成成长"),3))*(VLOOKUP($B$5,标准坦克设计!$B$14:$K$20,9)/30))</f>
        <v>7.7395647093026163</v>
      </c>
      <c r="BF96" s="172">
        <f ca="1">(VLOOKUP(BF$72,INDIRECT($C$5&amp;"生成成长"),2))/((VLOOKUP($B96,INDIRECT($B$5&amp;"生成成长"),4))/(VLOOKUP(BF$72,INDIRECT($C$5&amp;"生成成长"),5))*(VLOOKUP($B$5,标准坦克设计!$B$24:$U$30,MATCH("对"&amp;LEFT($C$5,2)&amp;"输出",标准坦克设计!$B$23:$U$23,0)))*(VLOOKUP($B96,INDIRECT($B$5&amp;"生成成长"),3))*(VLOOKUP($B$5,标准坦克设计!$B$14:$K$20,9)/30))</f>
        <v>8.4821547802879511</v>
      </c>
      <c r="BG96" s="172">
        <f ca="1">(VLOOKUP(BG$72,INDIRECT($C$5&amp;"生成成长"),2))/((VLOOKUP($B96,INDIRECT($B$5&amp;"生成成长"),4))/(VLOOKUP(BG$72,INDIRECT($C$5&amp;"生成成长"),5))*(VLOOKUP($B$5,标准坦克设计!$B$24:$U$30,MATCH("对"&amp;LEFT($C$5,2)&amp;"输出",标准坦克设计!$B$23:$U$23,0)))*(VLOOKUP($B96,INDIRECT($B$5&amp;"生成成长"),3))*(VLOOKUP($B$5,标准坦克设计!$B$14:$K$20,9)/30))</f>
        <v>9.2587566102497121</v>
      </c>
      <c r="BH96" s="172">
        <f ca="1">(VLOOKUP(BH$72,INDIRECT($C$5&amp;"生成成长"),2))/((VLOOKUP($B96,INDIRECT($B$5&amp;"生成成长"),4))/(VLOOKUP(BH$72,INDIRECT($C$5&amp;"生成成长"),5))*(VLOOKUP($B$5,标准坦克设计!$B$24:$U$30,MATCH("对"&amp;LEFT($C$5,2)&amp;"输出",标准坦克设计!$B$23:$U$23,0)))*(VLOOKUP($B96,INDIRECT($B$5&amp;"生成成长"),3))*(VLOOKUP($B$5,标准坦克设计!$B$14:$K$20,9)/30))</f>
        <v>4.4752756440835109</v>
      </c>
      <c r="BI96" s="172">
        <f ca="1">(VLOOKUP(BI$72,INDIRECT($C$5&amp;"生成成长"),2))/((VLOOKUP($B96,INDIRECT($B$5&amp;"生成成长"),4))/(VLOOKUP(BI$72,INDIRECT($C$5&amp;"生成成长"),5))*(VLOOKUP($B$5,标准坦克设计!$B$24:$U$30,MATCH("对"&amp;LEFT($C$5,2)&amp;"输出",标准坦克设计!$B$23:$U$23,0)))*(VLOOKUP($B96,INDIRECT($B$5&amp;"生成成长"),3))*(VLOOKUP($B$5,标准坦克设计!$B$14:$K$20,9)/30))</f>
        <v>5.0440278358559949</v>
      </c>
      <c r="BJ96" s="172">
        <f ca="1">(VLOOKUP(BJ$72,INDIRECT($C$5&amp;"生成成长"),2))/((VLOOKUP($B96,INDIRECT($B$5&amp;"生成成长"),4))/(VLOOKUP(BJ$72,INDIRECT($C$5&amp;"生成成长"),5))*(VLOOKUP($B$5,标准坦克设计!$B$24:$U$30,MATCH("对"&amp;LEFT($C$5,2)&amp;"输出",标准坦克设计!$B$23:$U$23,0)))*(VLOOKUP($B96,INDIRECT($B$5&amp;"生成成长"),3))*(VLOOKUP($B$5,标准坦克设计!$B$14:$K$20,9)/30))</f>
        <v>5.6467917866049042</v>
      </c>
      <c r="BK96" s="172">
        <f ca="1">(VLOOKUP(BK$72,INDIRECT($C$5&amp;"生成成长"),2))/((VLOOKUP($B96,INDIRECT($B$5&amp;"生成成长"),4))/(VLOOKUP(BK$72,INDIRECT($C$5&amp;"生成成长"),5))*(VLOOKUP($B$5,标准坦克设计!$B$24:$U$30,MATCH("对"&amp;LEFT($C$5,2)&amp;"输出",标准坦克设计!$B$23:$U$23,0)))*(VLOOKUP($B96,INDIRECT($B$5&amp;"生成成长"),3))*(VLOOKUP($B$5,标准坦克设计!$B$14:$K$20,9)/30))</f>
        <v>6.2835674963302415</v>
      </c>
      <c r="BL96" s="172">
        <f ca="1">(VLOOKUP(BL$72,INDIRECT($C$5&amp;"生成成长"),2))/((VLOOKUP($B96,INDIRECT($B$5&amp;"生成成长"),4))/(VLOOKUP(BL$72,INDIRECT($C$5&amp;"生成成长"),5))*(VLOOKUP($B$5,标准坦克设计!$B$24:$U$30,MATCH("对"&amp;LEFT($C$5,2)&amp;"输出",标准坦克设计!$B$23:$U$23,0)))*(VLOOKUP($B96,INDIRECT($B$5&amp;"生成成长"),3))*(VLOOKUP($B$5,标准坦克设计!$B$14:$K$20,9)/30))</f>
        <v>6.9543549650320058</v>
      </c>
      <c r="BM96" s="172">
        <f ca="1">(VLOOKUP(BM$72,INDIRECT($C$5&amp;"生成成长"),2))/((VLOOKUP($B96,INDIRECT($B$5&amp;"生成成长"),4))/(VLOOKUP(BM$72,INDIRECT($C$5&amp;"生成成长"),5))*(VLOOKUP($B$5,标准坦克设计!$B$24:$U$30,MATCH("对"&amp;LEFT($C$5,2)&amp;"输出",标准坦克设计!$B$23:$U$23,0)))*(VLOOKUP($B96,INDIRECT($B$5&amp;"生成成长"),3))*(VLOOKUP($B$5,标准坦克设计!$B$14:$K$20,9)/30))</f>
        <v>7.659154192710198</v>
      </c>
      <c r="BN96" s="172">
        <f ca="1">(VLOOKUP(BN$72,INDIRECT($C$5&amp;"生成成长"),2))/((VLOOKUP($B96,INDIRECT($B$5&amp;"生成成长"),4))/(VLOOKUP(BN$72,INDIRECT($C$5&amp;"生成成长"),5))*(VLOOKUP($B$5,标准坦克设计!$B$24:$U$30,MATCH("对"&amp;LEFT($C$5,2)&amp;"输出",标准坦克设计!$B$23:$U$23,0)))*(VLOOKUP($B96,INDIRECT($B$5&amp;"生成成长"),3))*(VLOOKUP($B$5,标准坦克设计!$B$14:$K$20,9)/30))</f>
        <v>8.3979651793648191</v>
      </c>
      <c r="BO96" s="172">
        <f ca="1">(VLOOKUP(BO$72,INDIRECT($C$5&amp;"生成成长"),2))/((VLOOKUP($B96,INDIRECT($B$5&amp;"生成成长"),4))/(VLOOKUP(BO$72,INDIRECT($C$5&amp;"生成成长"),5))*(VLOOKUP($B$5,标准坦克设计!$B$24:$U$30,MATCH("对"&amp;LEFT($C$5,2)&amp;"输出",标准坦克设计!$B$23:$U$23,0)))*(VLOOKUP($B96,INDIRECT($B$5&amp;"生成成长"),3))*(VLOOKUP($B$5,标准坦克设计!$B$14:$K$20,9)/30))</f>
        <v>9.1707879249958655</v>
      </c>
      <c r="BP96" s="172">
        <f ca="1">(VLOOKUP(BP$72,INDIRECT($C$5&amp;"生成成长"),2))/((VLOOKUP($B96,INDIRECT($B$5&amp;"生成成长"),4))/(VLOOKUP(BP$72,INDIRECT($C$5&amp;"生成成长"),5))*(VLOOKUP($B$5,标准坦克设计!$B$24:$U$30,MATCH("对"&amp;LEFT($C$5,2)&amp;"输出",标准坦克设计!$B$23:$U$23,0)))*(VLOOKUP($B96,INDIRECT($B$5&amp;"生成成长"),3))*(VLOOKUP($B$5,标准坦克设计!$B$14:$K$20,9)/30))</f>
        <v>9.9776224296033398</v>
      </c>
      <c r="BQ96" s="172">
        <f ca="1">(VLOOKUP(BQ$72,INDIRECT($C$5&amp;"生成成长"),2))/((VLOOKUP($B96,INDIRECT($B$5&amp;"生成成长"),4))/(VLOOKUP(BQ$72,INDIRECT($C$5&amp;"生成成长"),5))*(VLOOKUP($B$5,标准坦克设计!$B$24:$U$30,MATCH("对"&amp;LEFT($C$5,2)&amp;"输出",标准坦克设计!$B$23:$U$23,0)))*(VLOOKUP($B96,INDIRECT($B$5&amp;"生成成长"),3))*(VLOOKUP($B$5,标准坦克设计!$B$14:$K$20,9)/30))</f>
        <v>10.818468693187244</v>
      </c>
      <c r="BR96" s="172">
        <f ca="1">(VLOOKUP(BR$72,INDIRECT($C$5&amp;"生成成长"),2))/((VLOOKUP($B96,INDIRECT($B$5&amp;"生成成长"),4))/(VLOOKUP(BR$72,INDIRECT($C$5&amp;"生成成长"),5))*(VLOOKUP($B$5,标准坦克设计!$B$24:$U$30,MATCH("对"&amp;LEFT($C$5,2)&amp;"输出",标准坦克设计!$B$23:$U$23,0)))*(VLOOKUP($B96,INDIRECT($B$5&amp;"生成成长"),3))*(VLOOKUP($B$5,标准坦克设计!$B$14:$K$20,9)/30))</f>
        <v>11.792632653993564</v>
      </c>
      <c r="BS96" s="172">
        <f ca="1">(VLOOKUP(BS$72,INDIRECT($C$5&amp;"生成成长"),2))/((VLOOKUP($B96,INDIRECT($B$5&amp;"生成成长"),4))/(VLOOKUP(BS$72,INDIRECT($C$5&amp;"生成成长"),5))*(VLOOKUP($B$5,标准坦克设计!$B$24:$U$30,MATCH("对"&amp;LEFT($C$5,2)&amp;"输出",标准坦克设计!$B$23:$U$23,0)))*(VLOOKUP($B96,INDIRECT($B$5&amp;"生成成长"),3))*(VLOOKUP($B$5,标准坦克设计!$B$14:$K$20,9)/30))</f>
        <v>12.808786440696709</v>
      </c>
      <c r="BT96" s="172">
        <f ca="1">(VLOOKUP(BT$72,INDIRECT($C$5&amp;"生成成长"),2))/((VLOOKUP($B96,INDIRECT($B$5&amp;"生成成长"),4))/(VLOOKUP(BT$72,INDIRECT($C$5&amp;"生成成长"),5))*(VLOOKUP($B$5,标准坦克设计!$B$24:$U$30,MATCH("对"&amp;LEFT($C$5,2)&amp;"输出",标准坦克设计!$B$23:$U$23,0)))*(VLOOKUP($B96,INDIRECT($B$5&amp;"生成成长"),3))*(VLOOKUP($B$5,标准坦克设计!$B$14:$K$20,9)/30))</f>
        <v>13.866930053296672</v>
      </c>
      <c r="BU96" s="172">
        <f ca="1">(VLOOKUP(BU$72,INDIRECT($C$5&amp;"生成成长"),2))/((VLOOKUP($B96,INDIRECT($B$5&amp;"生成成长"),4))/(VLOOKUP(BU$72,INDIRECT($C$5&amp;"生成成长"),5))*(VLOOKUP($B$5,标准坦克设计!$B$24:$U$30,MATCH("对"&amp;LEFT($C$5,2)&amp;"输出",标准坦克设计!$B$23:$U$23,0)))*(VLOOKUP($B96,INDIRECT($B$5&amp;"生成成长"),3))*(VLOOKUP($B$5,标准坦克设计!$B$14:$K$20,9)/30))</f>
        <v>14.967063491793464</v>
      </c>
      <c r="BV96" s="172">
        <f ca="1">(VLOOKUP(BV$72,INDIRECT($C$5&amp;"生成成长"),2))/((VLOOKUP($B96,INDIRECT($B$5&amp;"生成成长"),4))/(VLOOKUP(BV$72,INDIRECT($C$5&amp;"生成成长"),5))*(VLOOKUP($B$5,标准坦克设计!$B$24:$U$30,MATCH("对"&amp;LEFT($C$5,2)&amp;"输出",标准坦克设计!$B$23:$U$23,0)))*(VLOOKUP($B96,INDIRECT($B$5&amp;"生成成长"),3))*(VLOOKUP($B$5,标准坦克设计!$B$14:$K$20,9)/30))</f>
        <v>16.109186756187079</v>
      </c>
      <c r="BW96" s="172">
        <f ca="1">(VLOOKUP(BW$72,INDIRECT($C$5&amp;"生成成长"),2))/((VLOOKUP($B96,INDIRECT($B$5&amp;"生成成长"),4))/(VLOOKUP(BW$72,INDIRECT($C$5&amp;"生成成长"),5))*(VLOOKUP($B$5,标准坦克设计!$B$24:$U$30,MATCH("对"&amp;LEFT($C$5,2)&amp;"输出",标准坦克设计!$B$23:$U$23,0)))*(VLOOKUP($B96,INDIRECT($B$5&amp;"生成成长"),3))*(VLOOKUP($B$5,标准坦克设计!$B$14:$K$20,9)/30))</f>
        <v>7.341711108930209</v>
      </c>
      <c r="BX96" s="172">
        <f ca="1">(VLOOKUP(BX$72,INDIRECT($C$5&amp;"生成成长"),2))/((VLOOKUP($B96,INDIRECT($B$5&amp;"生成成长"),4))/(VLOOKUP(BX$72,INDIRECT($C$5&amp;"生成成长"),5))*(VLOOKUP($B$5,标准坦克设计!$B$24:$U$30,MATCH("对"&amp;LEFT($C$5,2)&amp;"输出",标准坦克设计!$B$23:$U$23,0)))*(VLOOKUP($B96,INDIRECT($B$5&amp;"生成成长"),3))*(VLOOKUP($B$5,标准坦克设计!$B$14:$K$20,9)/30))</f>
        <v>8.1479157661492305</v>
      </c>
      <c r="BY96" s="172">
        <f ca="1">(VLOOKUP(BY$72,INDIRECT($C$5&amp;"生成成长"),2))/((VLOOKUP($B96,INDIRECT($B$5&amp;"生成成长"),4))/(VLOOKUP(BY$72,INDIRECT($C$5&amp;"生成成长"),5))*(VLOOKUP($B$5,标准坦克设计!$B$24:$U$30,MATCH("对"&amp;LEFT($C$5,2)&amp;"输出",标准坦克设计!$B$23:$U$23,0)))*(VLOOKUP($B96,INDIRECT($B$5&amp;"生成成长"),3))*(VLOOKUP($B$5,标准坦克设计!$B$14:$K$20,9)/30))</f>
        <v>8.9961102492650777</v>
      </c>
      <c r="BZ96" s="172">
        <f ca="1">(VLOOKUP(BZ$72,INDIRECT($C$5&amp;"生成成长"),2))/((VLOOKUP($B96,INDIRECT($B$5&amp;"生成成长"),4))/(VLOOKUP(BZ$72,INDIRECT($C$5&amp;"生成成长"),5))*(VLOOKUP($B$5,标准坦克设计!$B$24:$U$30,MATCH("对"&amp;LEFT($C$5,2)&amp;"输出",标准坦克设计!$B$23:$U$23,0)))*(VLOOKUP($B96,INDIRECT($B$5&amp;"生成成长"),3))*(VLOOKUP($B$5,标准坦克设计!$B$14:$K$20,9)/30))</f>
        <v>9.8862945582777471</v>
      </c>
      <c r="CA96" s="172">
        <f ca="1">(VLOOKUP(CA$72,INDIRECT($C$5&amp;"生成成长"),2))/((VLOOKUP($B96,INDIRECT($B$5&amp;"生成成长"),4))/(VLOOKUP(CA$72,INDIRECT($C$5&amp;"生成成长"),5))*(VLOOKUP($B$5,标准坦克设计!$B$24:$U$30,MATCH("对"&amp;LEFT($C$5,2)&amp;"输出",标准坦克设计!$B$23:$U$23,0)))*(VLOOKUP($B96,INDIRECT($B$5&amp;"生成成长"),3))*(VLOOKUP($B$5,标准坦克设计!$B$14:$K$20,9)/30))</f>
        <v>10.818468693187244</v>
      </c>
      <c r="CB96" s="172">
        <f ca="1">(VLOOKUP(CB$72,INDIRECT($C$5&amp;"生成成长"),2))/((VLOOKUP($B96,INDIRECT($B$5&amp;"生成成长"),4))/(VLOOKUP(CB$72,INDIRECT($C$5&amp;"生成成长"),5))*(VLOOKUP($B$5,标准坦克设计!$B$24:$U$30,MATCH("对"&amp;LEFT($C$5,2)&amp;"输出",标准坦克设计!$B$23:$U$23,0)))*(VLOOKUP($B96,INDIRECT($B$5&amp;"生成成长"),3))*(VLOOKUP($B$5,标准坦克设计!$B$14:$K$20,9)/30))</f>
        <v>11.792632653993564</v>
      </c>
      <c r="CC96" s="172">
        <f ca="1">(VLOOKUP(CC$72,INDIRECT($C$5&amp;"生成成长"),2))/((VLOOKUP($B96,INDIRECT($B$5&amp;"生成成长"),4))/(VLOOKUP(CC$72,INDIRECT($C$5&amp;"生成成长"),5))*(VLOOKUP($B$5,标准坦克设计!$B$24:$U$30,MATCH("对"&amp;LEFT($C$5,2)&amp;"输出",标准坦克设计!$B$23:$U$23,0)))*(VLOOKUP($B96,INDIRECT($B$5&amp;"生成成长"),3))*(VLOOKUP($B$5,标准坦克设计!$B$14:$K$20,9)/30))</f>
        <v>12.808786440696709</v>
      </c>
      <c r="CD96" s="172">
        <f ca="1">(VLOOKUP(CD$72,INDIRECT($C$5&amp;"生成成长"),2))/((VLOOKUP($B96,INDIRECT($B$5&amp;"生成成长"),4))/(VLOOKUP(CD$72,INDIRECT($C$5&amp;"生成成长"),5))*(VLOOKUP($B$5,标准坦克设计!$B$24:$U$30,MATCH("对"&amp;LEFT($C$5,2)&amp;"输出",标准坦克设计!$B$23:$U$23,0)))*(VLOOKUP($B96,INDIRECT($B$5&amp;"生成成长"),3))*(VLOOKUP($B$5,标准坦克设计!$B$14:$K$20,9)/30))</f>
        <v>13.866930053296672</v>
      </c>
      <c r="CE96" s="172">
        <f ca="1">(VLOOKUP(CE$72,INDIRECT($C$5&amp;"生成成长"),2))/((VLOOKUP($B96,INDIRECT($B$5&amp;"生成成长"),4))/(VLOOKUP(CE$72,INDIRECT($C$5&amp;"生成成长"),5))*(VLOOKUP($B$5,标准坦克设计!$B$24:$U$30,MATCH("对"&amp;LEFT($C$5,2)&amp;"输出",标准坦克设计!$B$23:$U$23,0)))*(VLOOKUP($B96,INDIRECT($B$5&amp;"生成成长"),3))*(VLOOKUP($B$5,标准坦克设计!$B$14:$K$20,9)/30))</f>
        <v>14.967063491793464</v>
      </c>
      <c r="CF96" s="172">
        <f ca="1">(VLOOKUP(CF$72,INDIRECT($C$5&amp;"生成成长"),2))/((VLOOKUP($B96,INDIRECT($B$5&amp;"生成成长"),4))/(VLOOKUP(CF$72,INDIRECT($C$5&amp;"生成成长"),5))*(VLOOKUP($B$5,标准坦克设计!$B$24:$U$30,MATCH("对"&amp;LEFT($C$5,2)&amp;"输出",标准坦克设计!$B$23:$U$23,0)))*(VLOOKUP($B96,INDIRECT($B$5&amp;"生成成长"),3))*(VLOOKUP($B$5,标准坦克设计!$B$14:$K$20,9)/30))</f>
        <v>16.109186756187079</v>
      </c>
      <c r="CG96" s="172">
        <f ca="1">(VLOOKUP(CG$72,INDIRECT($C$5&amp;"生成成长"),2))/((VLOOKUP($B96,INDIRECT($B$5&amp;"生成成长"),4))/(VLOOKUP(CG$72,INDIRECT($C$5&amp;"生成成长"),5))*(VLOOKUP($B$5,标准坦克设计!$B$24:$U$30,MATCH("对"&amp;LEFT($C$5,2)&amp;"输出",标准坦克设计!$B$23:$U$23,0)))*(VLOOKUP($B96,INDIRECT($B$5&amp;"生成成长"),3))*(VLOOKUP($B$5,标准坦克设计!$B$14:$K$20,9)/30))</f>
        <v>17.293299846477517</v>
      </c>
      <c r="CH96" s="172">
        <f ca="1">(VLOOKUP(CH$72,INDIRECT($C$5&amp;"生成成长"),2))/((VLOOKUP($B96,INDIRECT($B$5&amp;"生成成长"),4))/(VLOOKUP(CH$72,INDIRECT($C$5&amp;"生成成长"),5))*(VLOOKUP($B$5,标准坦克设计!$B$24:$U$30,MATCH("对"&amp;LEFT($C$5,2)&amp;"输出",标准坦克设计!$B$23:$U$23,0)))*(VLOOKUP($B96,INDIRECT($B$5&amp;"生成成长"),3))*(VLOOKUP($B$5,标准坦克设计!$B$14:$K$20,9)/30))</f>
        <v>18.519402762664782</v>
      </c>
      <c r="CI96" s="172">
        <f ca="1">(VLOOKUP(CI$72,INDIRECT($C$5&amp;"生成成长"),2))/((VLOOKUP($B96,INDIRECT($B$5&amp;"生成成长"),4))/(VLOOKUP(CI$72,INDIRECT($C$5&amp;"生成成长"),5))*(VLOOKUP($B$5,标准坦克设计!$B$24:$U$30,MATCH("对"&amp;LEFT($C$5,2)&amp;"输出",标准坦克设计!$B$23:$U$23,0)))*(VLOOKUP($B96,INDIRECT($B$5&amp;"生成成长"),3))*(VLOOKUP($B$5,标准坦克设计!$B$14:$K$20,9)/30))</f>
        <v>19.916614219381607</v>
      </c>
      <c r="CJ96" s="172">
        <f ca="1">(VLOOKUP(CJ$72,INDIRECT($C$5&amp;"生成成长"),2))/((VLOOKUP($B96,INDIRECT($B$5&amp;"生成成长"),4))/(VLOOKUP(CJ$72,INDIRECT($C$5&amp;"生成成长"),5))*(VLOOKUP($B$5,标准坦克设计!$B$24:$U$30,MATCH("对"&amp;LEFT($C$5,2)&amp;"输出",标准坦克设计!$B$23:$U$23,0)))*(VLOOKUP($B96,INDIRECT($B$5&amp;"生成成长"),3))*(VLOOKUP($B$5,标准坦克设计!$B$14:$K$20,9)/30))</f>
        <v>21.364633365433583</v>
      </c>
      <c r="CK96" s="172">
        <f ca="1">(VLOOKUP(CK$72,INDIRECT($C$5&amp;"生成成长"),2))/((VLOOKUP($B96,INDIRECT($B$5&amp;"生成成长"),4))/(VLOOKUP(CK$72,INDIRECT($C$5&amp;"生成成长"),5))*(VLOOKUP($B$5,标准坦克设计!$B$24:$U$30,MATCH("对"&amp;LEFT($C$5,2)&amp;"输出",标准坦克设计!$B$23:$U$23,0)))*(VLOOKUP($B96,INDIRECT($B$5&amp;"生成成长"),3))*(VLOOKUP($B$5,标准坦克设计!$B$14:$K$20,9)/30))</f>
        <v>22.863460200820722</v>
      </c>
      <c r="CL96" s="172">
        <f ca="1">(VLOOKUP(CL$72,INDIRECT($C$5&amp;"生成成长"),2))/((VLOOKUP($B96,INDIRECT($B$5&amp;"生成成长"),4))/(VLOOKUP(CL$72,INDIRECT($C$5&amp;"生成成长"),5))*(VLOOKUP($B$5,标准坦克设计!$B$24:$U$30,MATCH("对"&amp;LEFT($C$5,2)&amp;"输出",标准坦克设计!$B$23:$U$23,0)))*(VLOOKUP($B96,INDIRECT($B$5&amp;"生成成长"),3))*(VLOOKUP($B$5,标准坦克设计!$B$14:$K$20,9)/30))</f>
        <v>24.413094725543008</v>
      </c>
      <c r="CM96" s="172">
        <f ca="1">(VLOOKUP(CM$72,INDIRECT($C$5&amp;"生成成长"),2))/((VLOOKUP($B96,INDIRECT($B$5&amp;"生成成长"),4))/(VLOOKUP(CM$72,INDIRECT($C$5&amp;"生成成长"),5))*(VLOOKUP($B$5,标准坦克设计!$B$24:$U$30,MATCH("对"&amp;LEFT($C$5,2)&amp;"输出",标准坦克设计!$B$23:$U$23,0)))*(VLOOKUP($B96,INDIRECT($B$5&amp;"生成成长"),3))*(VLOOKUP($B$5,标准坦克设计!$B$14:$K$20,9)/30))</f>
        <v>26.013536939600463</v>
      </c>
      <c r="CN96" s="172">
        <f ca="1">(VLOOKUP(CN$72,INDIRECT($C$5&amp;"生成成长"),2))/((VLOOKUP($B96,INDIRECT($B$5&amp;"生成成长"),4))/(VLOOKUP(CN$72,INDIRECT($C$5&amp;"生成成长"),5))*(VLOOKUP($B$5,标准坦克设计!$B$24:$U$30,MATCH("对"&amp;LEFT($C$5,2)&amp;"输出",标准坦克设计!$B$23:$U$23,0)))*(VLOOKUP($B96,INDIRECT($B$5&amp;"生成成长"),3))*(VLOOKUP($B$5,标准坦克设计!$B$14:$K$20,9)/30))</f>
        <v>27.66478684299307</v>
      </c>
      <c r="CO96" s="172">
        <f ca="1">(VLOOKUP(CO$72,INDIRECT($C$5&amp;"生成成长"),2))/((VLOOKUP($B96,INDIRECT($B$5&amp;"生成成长"),4))/(VLOOKUP(CO$72,INDIRECT($C$5&amp;"生成成长"),5))*(VLOOKUP($B$5,标准坦克设计!$B$24:$U$30,MATCH("对"&amp;LEFT($C$5,2)&amp;"输出",标准坦克设计!$B$23:$U$23,0)))*(VLOOKUP($B96,INDIRECT($B$5&amp;"生成成长"),3))*(VLOOKUP($B$5,标准坦克设计!$B$14:$K$20,9)/30))</f>
        <v>12.397286146907831</v>
      </c>
      <c r="CP96" s="172">
        <f ca="1">(VLOOKUP(CP$72,INDIRECT($C$5&amp;"生成成长"),2))/((VLOOKUP($B96,INDIRECT($B$5&amp;"生成成长"),4))/(VLOOKUP(CP$72,INDIRECT($C$5&amp;"生成成长"),5))*(VLOOKUP($B$5,标准坦克设计!$B$24:$U$30,MATCH("对"&amp;LEFT($C$5,2)&amp;"输出",标准坦克设计!$B$23:$U$23,0)))*(VLOOKUP($B96,INDIRECT($B$5&amp;"生成成长"),3))*(VLOOKUP($B$5,标准坦克设计!$B$14:$K$20,9)/30))</f>
        <v>13.545078037797516</v>
      </c>
      <c r="CQ96" s="172">
        <f ca="1">(VLOOKUP(CQ$72,INDIRECT($C$5&amp;"生成成长"),2))/((VLOOKUP($B96,INDIRECT($B$5&amp;"生成成长"),4))/(VLOOKUP(CQ$72,INDIRECT($C$5&amp;"生成成长"),5))*(VLOOKUP($B$5,标准坦克设计!$B$24:$U$30,MATCH("对"&amp;LEFT($C$5,2)&amp;"输出",标准坦克设计!$B$23:$U$23,0)))*(VLOOKUP($B96,INDIRECT($B$5&amp;"生成成长"),3))*(VLOOKUP($B$5,标准坦克设计!$B$14:$K$20,9)/30))</f>
        <v>14.743677618022359</v>
      </c>
      <c r="CR96" s="172">
        <f ca="1">(VLOOKUP(CR$72,INDIRECT($C$5&amp;"生成成长"),2))/((VLOOKUP($B96,INDIRECT($B$5&amp;"生成成长"),4))/(VLOOKUP(CR$72,INDIRECT($C$5&amp;"生成成长"),5))*(VLOOKUP($B$5,标准坦克设计!$B$24:$U$30,MATCH("对"&amp;LEFT($C$5,2)&amp;"输出",标准坦克设计!$B$23:$U$23,0)))*(VLOOKUP($B96,INDIRECT($B$5&amp;"生成成长"),3))*(VLOOKUP($B$5,标准坦克设计!$B$14:$K$20,9)/30))</f>
        <v>15.993084887582357</v>
      </c>
      <c r="CS96" s="172">
        <f ca="1">(VLOOKUP(CS$72,INDIRECT($C$5&amp;"生成成长"),2))/((VLOOKUP($B96,INDIRECT($B$5&amp;"生成成长"),4))/(VLOOKUP(CS$72,INDIRECT($C$5&amp;"生成成长"),5))*(VLOOKUP($B$5,标准坦克设计!$B$24:$U$30,MATCH("对"&amp;LEFT($C$5,2)&amp;"输出",标准坦克设计!$B$23:$U$23,0)))*(VLOOKUP($B96,INDIRECT($B$5&amp;"生成成长"),3))*(VLOOKUP($B$5,标准坦克设计!$B$14:$K$20,9)/30))</f>
        <v>17.293299846477517</v>
      </c>
      <c r="CT96" s="172">
        <f ca="1">(VLOOKUP(CT$72,INDIRECT($C$5&amp;"生成成长"),2))/((VLOOKUP($B96,INDIRECT($B$5&amp;"生成成长"),4))/(VLOOKUP(CT$72,INDIRECT($C$5&amp;"生成成长"),5))*(VLOOKUP($B$5,标准坦克设计!$B$24:$U$30,MATCH("对"&amp;LEFT($C$5,2)&amp;"输出",标准坦克设计!$B$23:$U$23,0)))*(VLOOKUP($B96,INDIRECT($B$5&amp;"生成成长"),3))*(VLOOKUP($B$5,标准坦克设计!$B$14:$K$20,9)/30))</f>
        <v>18.644322494707833</v>
      </c>
      <c r="CU96" s="172">
        <f ca="1">(VLOOKUP(CU$72,INDIRECT($C$5&amp;"生成成长"),2))/((VLOOKUP($B96,INDIRECT($B$5&amp;"生成成长"),4))/(VLOOKUP(CU$72,INDIRECT($C$5&amp;"生成成长"),5))*(VLOOKUP($B$5,标准坦克设计!$B$24:$U$30,MATCH("对"&amp;LEFT($C$5,2)&amp;"输出",标准坦克设计!$B$23:$U$23,0)))*(VLOOKUP($B96,INDIRECT($B$5&amp;"生成成长"),3))*(VLOOKUP($B$5,标准坦克设计!$B$14:$K$20,9)/30))</f>
        <v>20.046152832273307</v>
      </c>
      <c r="CV96" s="172">
        <f ca="1">(VLOOKUP(CV$72,INDIRECT($C$5&amp;"生成成长"),2))/((VLOOKUP($B96,INDIRECT($B$5&amp;"生成成长"),4))/(VLOOKUP(CV$72,INDIRECT($C$5&amp;"生成成长"),5))*(VLOOKUP($B$5,标准坦克设计!$B$24:$U$30,MATCH("对"&amp;LEFT($C$5,2)&amp;"输出",标准坦克设计!$B$23:$U$23,0)))*(VLOOKUP($B96,INDIRECT($B$5&amp;"生成成长"),3))*(VLOOKUP($B$5,标准坦克设计!$B$14:$K$20,9)/30))</f>
        <v>21.49879085917393</v>
      </c>
      <c r="CW96" s="172">
        <f ca="1">(VLOOKUP(CW$72,INDIRECT($C$5&amp;"生成成长"),2))/((VLOOKUP($B96,INDIRECT($B$5&amp;"生成成长"),4))/(VLOOKUP(CW$72,INDIRECT($C$5&amp;"生成成长"),5))*(VLOOKUP($B$5,标准坦克设计!$B$24:$U$30,MATCH("对"&amp;LEFT($C$5,2)&amp;"输出",标准坦克设计!$B$23:$U$23,0)))*(VLOOKUP($B96,INDIRECT($B$5&amp;"生成成长"),3))*(VLOOKUP($B$5,标准坦克设计!$B$14:$K$20,9)/30))</f>
        <v>23.002236575409722</v>
      </c>
      <c r="CX96" s="172">
        <f ca="1">(VLOOKUP(CX$72,INDIRECT($C$5&amp;"生成成长"),2))/((VLOOKUP($B96,INDIRECT($B$5&amp;"生成成长"),4))/(VLOOKUP(CX$72,INDIRECT($C$5&amp;"生成成长"),5))*(VLOOKUP($B$5,标准坦克设计!$B$24:$U$30,MATCH("对"&amp;LEFT($C$5,2)&amp;"输出",标准坦克设计!$B$23:$U$23,0)))*(VLOOKUP($B96,INDIRECT($B$5&amp;"生成成长"),3))*(VLOOKUP($B$5,标准坦克设计!$B$14:$K$20,9)/30))</f>
        <v>24.556489980980665</v>
      </c>
      <c r="CY96" s="172">
        <f ca="1">(VLOOKUP(CY$72,INDIRECT($C$5&amp;"生成成长"),2))/((VLOOKUP($B96,INDIRECT($B$5&amp;"生成成长"),4))/(VLOOKUP(CY$72,INDIRECT($C$5&amp;"生成成长"),5))*(VLOOKUP($B$5,标准坦克设计!$B$24:$U$30,MATCH("对"&amp;LEFT($C$5,2)&amp;"输出",标准坦克设计!$B$23:$U$23,0)))*(VLOOKUP($B96,INDIRECT($B$5&amp;"生成成长"),3))*(VLOOKUP($B$5,标准坦克设计!$B$14:$K$20,9)/30))</f>
        <v>26.161551075886766</v>
      </c>
      <c r="CZ96" s="172">
        <f ca="1">(VLOOKUP(CZ$72,INDIRECT($C$5&amp;"生成成长"),2))/((VLOOKUP($B96,INDIRECT($B$5&amp;"生成成长"),4))/(VLOOKUP(CZ$72,INDIRECT($C$5&amp;"生成成长"),5))*(VLOOKUP($B$5,标准坦克设计!$B$24:$U$30,MATCH("对"&amp;LEFT($C$5,2)&amp;"输出",标准坦克设计!$B$23:$U$23,0)))*(VLOOKUP($B96,INDIRECT($B$5&amp;"生成成长"),3))*(VLOOKUP($B$5,标准坦克设计!$B$14:$K$20,9)/30))</f>
        <v>27.817419860128023</v>
      </c>
      <c r="DA96" s="172">
        <f ca="1">(VLOOKUP(DA$72,INDIRECT($C$5&amp;"生成成长"),2))/((VLOOKUP($B96,INDIRECT($B$5&amp;"生成成长"),4))/(VLOOKUP(DA$72,INDIRECT($C$5&amp;"生成成长"),5))*(VLOOKUP($B$5,标准坦克设计!$B$24:$U$30,MATCH("对"&amp;LEFT($C$5,2)&amp;"输出",标准坦克设计!$B$23:$U$23,0)))*(VLOOKUP($B96,INDIRECT($B$5&amp;"生成成长"),3))*(VLOOKUP($B$5,标准坦克设计!$B$14:$K$20,9)/30))</f>
        <v>29.524096333704438</v>
      </c>
      <c r="DB96" s="172">
        <f ca="1">(VLOOKUP(DB$72,INDIRECT($C$5&amp;"生成成长"),2))/((VLOOKUP($B96,INDIRECT($B$5&amp;"生成成长"),4))/(VLOOKUP(DB$72,INDIRECT($C$5&amp;"生成成长"),5))*(VLOOKUP($B$5,标准坦克设计!$B$24:$U$30,MATCH("对"&amp;LEFT($C$5,2)&amp;"输出",标准坦克设计!$B$23:$U$23,0)))*(VLOOKUP($B96,INDIRECT($B$5&amp;"生成成长"),3))*(VLOOKUP($B$5,标准坦克设计!$B$14:$K$20,9)/30))</f>
        <v>31.281580496616016</v>
      </c>
      <c r="DC96" s="172">
        <f ca="1">(VLOOKUP(DC$72,INDIRECT($C$5&amp;"生成成长"),2))/((VLOOKUP($B96,INDIRECT($B$5&amp;"生成成长"),4))/(VLOOKUP(DC$72,INDIRECT($C$5&amp;"生成成长"),5))*(VLOOKUP($B$5,标准坦克设计!$B$24:$U$30,MATCH("对"&amp;LEFT($C$5,2)&amp;"输出",标准坦克设计!$B$23:$U$23,0)))*(VLOOKUP($B96,INDIRECT($B$5&amp;"生成成长"),3))*(VLOOKUP($B$5,标准坦克设计!$B$14:$K$20,9)/30))</f>
        <v>33.256781906802608</v>
      </c>
      <c r="DD96" s="172">
        <f ca="1">(VLOOKUP(DD$72,INDIRECT($C$5&amp;"生成成长"),2))/((VLOOKUP($B96,INDIRECT($B$5&amp;"生成成长"),4))/(VLOOKUP(DD$72,INDIRECT($C$5&amp;"生成成长"),5))*(VLOOKUP($B$5,标准坦克设计!$B$24:$U$30,MATCH("对"&amp;LEFT($C$5,2)&amp;"输出",标准坦克设计!$B$23:$U$23,0)))*(VLOOKUP($B96,INDIRECT($B$5&amp;"生成成长"),3))*(VLOOKUP($B$5,标准坦克设计!$B$14:$K$20,9)/30))</f>
        <v>35.292448666280656</v>
      </c>
      <c r="DE96" s="172">
        <f ca="1">(VLOOKUP(DE$72,INDIRECT($C$5&amp;"生成成长"),2))/((VLOOKUP($B96,INDIRECT($B$5&amp;"生成成长"),4))/(VLOOKUP(DE$72,INDIRECT($C$5&amp;"生成成长"),5))*(VLOOKUP($B$5,标准坦克设计!$B$24:$U$30,MATCH("对"&amp;LEFT($C$5,2)&amp;"输出",标准坦克设计!$B$23:$U$23,0)))*(VLOOKUP($B96,INDIRECT($B$5&amp;"生成成长"),3))*(VLOOKUP($B$5,标准坦克设计!$B$14:$K$20,9)/30))</f>
        <v>37.388580775050102</v>
      </c>
      <c r="DF96" s="172">
        <f ca="1">(VLOOKUP(DF$72,INDIRECT($C$5&amp;"生成成长"),2))/((VLOOKUP($B96,INDIRECT($B$5&amp;"生成成长"),4))/(VLOOKUP(DF$72,INDIRECT($C$5&amp;"生成成长"),5))*(VLOOKUP($B$5,标准坦克设计!$B$24:$U$30,MATCH("对"&amp;LEFT($C$5,2)&amp;"输出",标准坦克设计!$B$23:$U$23,0)))*(VLOOKUP($B96,INDIRECT($B$5&amp;"生成成长"),3))*(VLOOKUP($B$5,标准坦克设计!$B$14:$K$20,9)/30))</f>
        <v>39.545178233110988</v>
      </c>
      <c r="DG96" s="172">
        <f ca="1">(VLOOKUP(DG$72,INDIRECT($C$5&amp;"生成成长"),2))/((VLOOKUP($B96,INDIRECT($B$5&amp;"生成成长"),4))/(VLOOKUP(DG$72,INDIRECT($C$5&amp;"生成成长"),5))*(VLOOKUP($B$5,标准坦克设计!$B$24:$U$30,MATCH("对"&amp;LEFT($C$5,2)&amp;"输出",标准坦克设计!$B$23:$U$23,0)))*(VLOOKUP($B96,INDIRECT($B$5&amp;"生成成长"),3))*(VLOOKUP($B$5,标准坦克设计!$B$14:$K$20,9)/30))</f>
        <v>41.762241040463309</v>
      </c>
      <c r="DH96" s="172">
        <f ca="1">(VLOOKUP(DH$72,INDIRECT($C$5&amp;"生成成长"),2))/((VLOOKUP($B96,INDIRECT($B$5&amp;"生成成长"),4))/(VLOOKUP(DH$72,INDIRECT($C$5&amp;"生成成长"),5))*(VLOOKUP($B$5,标准坦克设计!$B$24:$U$30,MATCH("对"&amp;LEFT($C$5,2)&amp;"输出",标准坦克设计!$B$23:$U$23,0)))*(VLOOKUP($B96,INDIRECT($B$5&amp;"生成成长"),3))*(VLOOKUP($B$5,标准坦克设计!$B$14:$K$20,9)/30))</f>
        <v>44.039769197107049</v>
      </c>
      <c r="DI96" s="172">
        <f ca="1">(VLOOKUP(DI$72,INDIRECT($C$5&amp;"生成成长"),2))/((VLOOKUP($B96,INDIRECT($B$5&amp;"生成成长"),4))/(VLOOKUP(DI$72,INDIRECT($C$5&amp;"生成成长"),5))*(VLOOKUP($B$5,标准坦克设计!$B$24:$U$30,MATCH("对"&amp;LEFT($C$5,2)&amp;"输出",标准坦克设计!$B$23:$U$23,0)))*(VLOOKUP($B96,INDIRECT($B$5&amp;"生成成长"),3))*(VLOOKUP($B$5,标准坦克设计!$B$14:$K$20,9)/30))</f>
        <v>46.377762703042208</v>
      </c>
      <c r="DJ96" s="172">
        <f ca="1">(VLOOKUP(DJ$72,INDIRECT($C$5&amp;"生成成长"),2))/((VLOOKUP($B96,INDIRECT($B$5&amp;"生成成长"),4))/(VLOOKUP(DJ$72,INDIRECT($C$5&amp;"生成成长"),5))*(VLOOKUP($B$5,标准坦克设计!$B$24:$U$30,MATCH("对"&amp;LEFT($C$5,2)&amp;"输出",标准坦克设计!$B$23:$U$23,0)))*(VLOOKUP($B96,INDIRECT($B$5&amp;"生成成长"),3))*(VLOOKUP($B$5,标准坦克设计!$B$14:$K$20,9)/30))</f>
        <v>4.6610806236769582</v>
      </c>
      <c r="DK96" s="172">
        <f ca="1">(VLOOKUP(DK$72,INDIRECT($C$5&amp;"生成成长"),2))/((VLOOKUP($B96,INDIRECT($B$5&amp;"生成成长"),4))/(VLOOKUP(DK$72,INDIRECT($C$5&amp;"生成成长"),5))*(VLOOKUP($B$5,标准坦克设计!$B$24:$U$30,MATCH("对"&amp;LEFT($C$5,2)&amp;"输出",标准坦克设计!$B$23:$U$23,0)))*(VLOOKUP($B96,INDIRECT($B$5&amp;"生成成长"),3))*(VLOOKUP($B$5,标准坦克设计!$B$14:$K$20,9)/30))</f>
        <v>5.2411700684415825</v>
      </c>
      <c r="DL96" s="172">
        <f ca="1">(VLOOKUP(DL$72,INDIRECT($C$5&amp;"生成成长"),2))/((VLOOKUP($B96,INDIRECT($B$5&amp;"生成成长"),4))/(VLOOKUP(DL$72,INDIRECT($C$5&amp;"生成成长"),5))*(VLOOKUP($B$5,标准坦克设计!$B$24:$U$30,MATCH("对"&amp;LEFT($C$5,2)&amp;"输出",标准坦克设计!$B$23:$U$23,0)))*(VLOOKUP($B96,INDIRECT($B$5&amp;"生成成长"),3))*(VLOOKUP($B$5,标准坦克设计!$B$14:$K$20,9)/30))</f>
        <v>5.8552712721826357</v>
      </c>
      <c r="DM96" s="172">
        <f ca="1">(VLOOKUP(DM$72,INDIRECT($C$5&amp;"生成成长"),2))/((VLOOKUP($B96,INDIRECT($B$5&amp;"生成成长"),4))/(VLOOKUP(DM$72,INDIRECT($C$5&amp;"生成成长"),5))*(VLOOKUP($B$5,标准坦克设计!$B$24:$U$30,MATCH("对"&amp;LEFT($C$5,2)&amp;"输出",标准坦克设计!$B$23:$U$23,0)))*(VLOOKUP($B96,INDIRECT($B$5&amp;"生成成长"),3))*(VLOOKUP($B$5,标准坦克设计!$B$14:$K$20,9)/30))</f>
        <v>6.5033842349001159</v>
      </c>
      <c r="DN96" s="172">
        <f ca="1">(VLOOKUP(DN$72,INDIRECT($C$5&amp;"生成成长"),2))/((VLOOKUP($B96,INDIRECT($B$5&amp;"生成成长"),4))/(VLOOKUP(DN$72,INDIRECT($C$5&amp;"生成成长"),5))*(VLOOKUP($B$5,标准坦克设计!$B$24:$U$30,MATCH("对"&amp;LEFT($C$5,2)&amp;"输出",标准坦克设计!$B$23:$U$23,0)))*(VLOOKUP($B96,INDIRECT($B$5&amp;"生成成长"),3))*(VLOOKUP($B$5,标准坦克设计!$B$14:$K$20,9)/30))</f>
        <v>7.1855089565940231</v>
      </c>
      <c r="DO96" s="172">
        <f ca="1">(VLOOKUP(DO$72,INDIRECT($C$5&amp;"生成成长"),2))/((VLOOKUP($B96,INDIRECT($B$5&amp;"生成成长"),4))/(VLOOKUP(DO$72,INDIRECT($C$5&amp;"生成成长"),5))*(VLOOKUP($B$5,标准坦克设计!$B$24:$U$30,MATCH("对"&amp;LEFT($C$5,2)&amp;"输出",标准坦克设计!$B$23:$U$23,0)))*(VLOOKUP($B96,INDIRECT($B$5&amp;"生成成长"),3))*(VLOOKUP($B$5,标准坦克设计!$B$14:$K$20,9)/30))</f>
        <v>7.9016454372643565</v>
      </c>
      <c r="DP96" s="172">
        <f ca="1">(VLOOKUP(DP$72,INDIRECT($C$5&amp;"生成成长"),2))/((VLOOKUP($B96,INDIRECT($B$5&amp;"生成成长"),4))/(VLOOKUP(DP$72,INDIRECT($C$5&amp;"生成成长"),5))*(VLOOKUP($B$5,标准坦克设计!$B$24:$U$30,MATCH("对"&amp;LEFT($C$5,2)&amp;"输出",标准坦克设计!$B$23:$U$23,0)))*(VLOOKUP($B96,INDIRECT($B$5&amp;"生成成长"),3))*(VLOOKUP($B$5,标准坦克设计!$B$14:$K$20,9)/30))</f>
        <v>8.6517936769111188</v>
      </c>
      <c r="DQ96" s="172">
        <f ca="1">(VLOOKUP(DQ$72,INDIRECT($C$5&amp;"生成成长"),2))/((VLOOKUP($B96,INDIRECT($B$5&amp;"生成成长"),4))/(VLOOKUP(DQ$72,INDIRECT($C$5&amp;"生成成长"),5))*(VLOOKUP($B$5,标准坦克设计!$B$24:$U$30,MATCH("对"&amp;LEFT($C$5,2)&amp;"输出",标准坦克设计!$B$23:$U$23,0)))*(VLOOKUP($B96,INDIRECT($B$5&amp;"生成成长"),3))*(VLOOKUP($B$5,标准坦克设计!$B$14:$K$20,9)/30))</f>
        <v>9.4359536755343107</v>
      </c>
      <c r="DR96" s="172">
        <f ca="1">(VLOOKUP(DR$72,INDIRECT($C$5&amp;"生成成长"),2))/((VLOOKUP($B96,INDIRECT($B$5&amp;"生成成长"),4))/(VLOOKUP(DR$72,INDIRECT($C$5&amp;"生成成长"),5))*(VLOOKUP($B$5,标准坦克设计!$B$24:$U$30,MATCH("对"&amp;LEFT($C$5,2)&amp;"输出",标准坦克设计!$B$23:$U$23,0)))*(VLOOKUP($B96,INDIRECT($B$5&amp;"生成成长"),3))*(VLOOKUP($B$5,标准坦克设计!$B$14:$K$20,9)/30))</f>
        <v>10.254125433133929</v>
      </c>
      <c r="DS96" s="172">
        <f ca="1">(VLOOKUP(DS$72,INDIRECT($C$5&amp;"生成成长"),2))/((VLOOKUP($B96,INDIRECT($B$5&amp;"生成成长"),4))/(VLOOKUP(DS$72,INDIRECT($C$5&amp;"生成成长"),5))*(VLOOKUP($B$5,标准坦克设计!$B$24:$U$30,MATCH("对"&amp;LEFT($C$5,2)&amp;"输出",标准坦克设计!$B$23:$U$23,0)))*(VLOOKUP($B96,INDIRECT($B$5&amp;"生成成长"),3))*(VLOOKUP($B$5,标准坦克设计!$B$14:$K$20,9)/30))</f>
        <v>11.106308949709971</v>
      </c>
      <c r="DT96" s="172">
        <f ca="1">(VLOOKUP(DT$72,INDIRECT($C$5&amp;"生成成长"),2))/((VLOOKUP($B96,INDIRECT($B$5&amp;"生成成长"),4))/(VLOOKUP(DT$72,INDIRECT($C$5&amp;"生成成长"),5))*(VLOOKUP($B$5,标准坦克设计!$B$24:$U$30,MATCH("对"&amp;LEFT($C$5,2)&amp;"输出",标准坦克设计!$B$23:$U$23,0)))*(VLOOKUP($B96,INDIRECT($B$5&amp;"生成成长"),3))*(VLOOKUP($B$5,标准坦克设计!$B$14:$K$20,9)/30))</f>
        <v>12.194055389567199</v>
      </c>
      <c r="DU96" s="172">
        <f ca="1">(VLOOKUP(DU$72,INDIRECT($C$5&amp;"生成成长"),2))/((VLOOKUP($B96,INDIRECT($B$5&amp;"生成成长"),4))/(VLOOKUP(DU$72,INDIRECT($C$5&amp;"生成成长"),5))*(VLOOKUP($B$5,标准坦克设计!$B$24:$U$30,MATCH("对"&amp;LEFT($C$5,2)&amp;"输出",标准坦克设计!$B$23:$U$23,0)))*(VLOOKUP($B96,INDIRECT($B$5&amp;"生成成长"),3))*(VLOOKUP($B$5,标准坦克设计!$B$14:$K$20,9)/30))</f>
        <v>13.332609518759586</v>
      </c>
      <c r="DV96" s="172">
        <f ca="1">(VLOOKUP(DV$72,INDIRECT($C$5&amp;"生成成长"),2))/((VLOOKUP($B96,INDIRECT($B$5&amp;"生成成长"),4))/(VLOOKUP(DV$72,INDIRECT($C$5&amp;"生成成长"),5))*(VLOOKUP($B$5,标准坦克设计!$B$24:$U$30,MATCH("对"&amp;LEFT($C$5,2)&amp;"输出",标准坦克设计!$B$23:$U$23,0)))*(VLOOKUP($B96,INDIRECT($B$5&amp;"生成成长"),3))*(VLOOKUP($B$5,标准坦克设计!$B$14:$K$20,9)/30))</f>
        <v>14.521971337287129</v>
      </c>
      <c r="DW96" s="172">
        <f ca="1">(VLOOKUP(DW$72,INDIRECT($C$5&amp;"生成成长"),2))/((VLOOKUP($B96,INDIRECT($B$5&amp;"生成成长"),4))/(VLOOKUP(DW$72,INDIRECT($C$5&amp;"生成成长"),5))*(VLOOKUP($B$5,标准坦克设计!$B$24:$U$30,MATCH("对"&amp;LEFT($C$5,2)&amp;"输出",标准坦克设计!$B$23:$U$23,0)))*(VLOOKUP($B96,INDIRECT($B$5&amp;"生成成长"),3))*(VLOOKUP($B$5,标准坦克设计!$B$14:$K$20,9)/30))</f>
        <v>15.76214084514983</v>
      </c>
      <c r="DX96" s="172">
        <f ca="1">(VLOOKUP(DX$72,INDIRECT($C$5&amp;"生成成长"),2))/((VLOOKUP($B96,INDIRECT($B$5&amp;"生成成长"),4))/(VLOOKUP(DX$72,INDIRECT($C$5&amp;"生成成长"),5))*(VLOOKUP($B$5,标准坦克设计!$B$24:$U$30,MATCH("对"&amp;LEFT($C$5,2)&amp;"输出",标准坦克设计!$B$23:$U$23,0)))*(VLOOKUP($B96,INDIRECT($B$5&amp;"生成成长"),3))*(VLOOKUP($B$5,标准坦克设计!$B$14:$K$20,9)/30))</f>
        <v>17.053118042347684</v>
      </c>
      <c r="DY96" s="172">
        <f ca="1">(VLOOKUP(DY$72,INDIRECT($C$5&amp;"生成成长"),2))/((VLOOKUP($B96,INDIRECT($B$5&amp;"生成成长"),4))/(VLOOKUP(DY$72,INDIRECT($C$5&amp;"生成成长"),5))*(VLOOKUP($B$5,标准坦克设计!$B$24:$U$30,MATCH("对"&amp;LEFT($C$5,2)&amp;"输出",标准坦克设计!$B$23:$U$23,0)))*(VLOOKUP($B96,INDIRECT($B$5&amp;"生成成长"),3))*(VLOOKUP($B$5,标准坦克设计!$B$14:$K$20,9)/30))</f>
        <v>7.659154192710198</v>
      </c>
      <c r="DZ96" s="172">
        <f ca="1">(VLOOKUP(DZ$72,INDIRECT($C$5&amp;"生成成长"),2))/((VLOOKUP($B96,INDIRECT($B$5&amp;"生成成长"),4))/(VLOOKUP(DZ$72,INDIRECT($C$5&amp;"生成成长"),5))*(VLOOKUP($B$5,标准坦克设计!$B$24:$U$30,MATCH("对"&amp;LEFT($C$5,2)&amp;"输出",标准坦克设计!$B$23:$U$23,0)))*(VLOOKUP($B96,INDIRECT($B$5&amp;"生成成长"),3))*(VLOOKUP($B$5,标准坦克设计!$B$14:$K$20,9)/30))</f>
        <v>8.4821547802879511</v>
      </c>
      <c r="EA96" s="172">
        <f ca="1">(VLOOKUP(EA$72,INDIRECT($C$5&amp;"生成成长"),2))/((VLOOKUP($B96,INDIRECT($B$5&amp;"生成成长"),4))/(VLOOKUP(EA$72,INDIRECT($C$5&amp;"生成成长"),5))*(VLOOKUP($B$5,标准坦克设计!$B$24:$U$30,MATCH("对"&amp;LEFT($C$5,2)&amp;"输出",标准坦克设计!$B$23:$U$23,0)))*(VLOOKUP($B96,INDIRECT($B$5&amp;"生成成长"),3))*(VLOOKUP($B$5,标准坦克设计!$B$14:$K$20,9)/30))</f>
        <v>9.3471451937625254</v>
      </c>
      <c r="EB96" s="172">
        <f ca="1">(VLOOKUP(EB$72,INDIRECT($C$5&amp;"生成成长"),2))/((VLOOKUP($B96,INDIRECT($B$5&amp;"生成成长"),4))/(VLOOKUP(EB$72,INDIRECT($C$5&amp;"生成成长"),5))*(VLOOKUP($B$5,标准坦克设计!$B$24:$U$30,MATCH("对"&amp;LEFT($C$5,2)&amp;"输出",标准坦克设计!$B$23:$U$23,0)))*(VLOOKUP($B96,INDIRECT($B$5&amp;"生成成长"),3))*(VLOOKUP($B$5,标准坦克设计!$B$14:$K$20,9)/30))</f>
        <v>10.254125433133929</v>
      </c>
      <c r="EC96" s="172">
        <f ca="1">(VLOOKUP(EC$72,INDIRECT($C$5&amp;"生成成长"),2))/((VLOOKUP($B96,INDIRECT($B$5&amp;"生成成长"),4))/(VLOOKUP(EC$72,INDIRECT($C$5&amp;"生成成长"),5))*(VLOOKUP($B$5,标准坦克设计!$B$24:$U$30,MATCH("对"&amp;LEFT($C$5,2)&amp;"输出",标准坦克设计!$B$23:$U$23,0)))*(VLOOKUP($B96,INDIRECT($B$5&amp;"生成成长"),3))*(VLOOKUP($B$5,标准坦克设计!$B$14:$K$20,9)/30))</f>
        <v>11.203095498402149</v>
      </c>
      <c r="ED96" s="172">
        <f ca="1">(VLOOKUP(ED$72,INDIRECT($C$5&amp;"生成成长"),2))/((VLOOKUP($B96,INDIRECT($B$5&amp;"生成成长"),4))/(VLOOKUP(ED$72,INDIRECT($C$5&amp;"生成成长"),5))*(VLOOKUP($B$5,标准坦克设计!$B$24:$U$30,MATCH("对"&amp;LEFT($C$5,2)&amp;"输出",标准坦克设计!$B$23:$U$23,0)))*(VLOOKUP($B96,INDIRECT($B$5&amp;"生成成长"),3))*(VLOOKUP($B$5,标准坦克设计!$B$14:$K$20,9)/30))</f>
        <v>12.194055389567199</v>
      </c>
      <c r="EE96" s="172">
        <f ca="1">(VLOOKUP(EE$72,INDIRECT($C$5&amp;"生成成长"),2))/((VLOOKUP($B96,INDIRECT($B$5&amp;"生成成长"),4))/(VLOOKUP(EE$72,INDIRECT($C$5&amp;"生成成长"),5))*(VLOOKUP($B$5,标准坦克设计!$B$24:$U$30,MATCH("对"&amp;LEFT($C$5,2)&amp;"输出",标准坦克设计!$B$23:$U$23,0)))*(VLOOKUP($B96,INDIRECT($B$5&amp;"生成成长"),3))*(VLOOKUP($B$5,标准坦克设计!$B$14:$K$20,9)/30))</f>
        <v>13.227005106629074</v>
      </c>
      <c r="EF96" s="172">
        <f ca="1">(VLOOKUP(EF$72,INDIRECT($C$5&amp;"生成成长"),2))/((VLOOKUP($B96,INDIRECT($B$5&amp;"生成成长"),4))/(VLOOKUP(EF$72,INDIRECT($C$5&amp;"生成成长"),5))*(VLOOKUP($B$5,标准坦克设计!$B$24:$U$30,MATCH("对"&amp;LEFT($C$5,2)&amp;"输出",标准坦克设计!$B$23:$U$23,0)))*(VLOOKUP($B96,INDIRECT($B$5&amp;"生成成长"),3))*(VLOOKUP($B$5,标准坦克设计!$B$14:$K$20,9)/30))</f>
        <v>14.301944649587769</v>
      </c>
      <c r="EG96" s="172">
        <f ca="1">(VLOOKUP(EG$72,INDIRECT($C$5&amp;"生成成长"),2))/((VLOOKUP($B96,INDIRECT($B$5&amp;"生成成长"),4))/(VLOOKUP(EG$72,INDIRECT($C$5&amp;"生成成长"),5))*(VLOOKUP($B$5,标准坦克设计!$B$24:$U$30,MATCH("对"&amp;LEFT($C$5,2)&amp;"输出",标准坦克设计!$B$23:$U$23,0)))*(VLOOKUP($B96,INDIRECT($B$5&amp;"生成成长"),3))*(VLOOKUP($B$5,标准坦克设计!$B$14:$K$20,9)/30))</f>
        <v>15.418874018443294</v>
      </c>
      <c r="EH96" s="172">
        <f ca="1">(VLOOKUP(EH$72,INDIRECT($C$5&amp;"生成成长"),2))/((VLOOKUP($B96,INDIRECT($B$5&amp;"生成成长"),4))/(VLOOKUP(EH$72,INDIRECT($C$5&amp;"生成成长"),5))*(VLOOKUP($B$5,标准坦克设计!$B$24:$U$30,MATCH("对"&amp;LEFT($C$5,2)&amp;"输出",标准坦克设计!$B$23:$U$23,0)))*(VLOOKUP($B96,INDIRECT($B$5&amp;"生成成长"),3))*(VLOOKUP($B$5,标准坦克设计!$B$14:$K$20,9)/30))</f>
        <v>16.577793213195633</v>
      </c>
      <c r="EI96" s="172">
        <f ca="1">(VLOOKUP(EI$72,INDIRECT($C$5&amp;"生成成长"),2))/((VLOOKUP($B96,INDIRECT($B$5&amp;"生成成长"),4))/(VLOOKUP(EI$72,INDIRECT($C$5&amp;"生成成长"),5))*(VLOOKUP($B$5,标准坦克设计!$B$24:$U$30,MATCH("对"&amp;LEFT($C$5,2)&amp;"输出",标准坦克设计!$B$23:$U$23,0)))*(VLOOKUP($B96,INDIRECT($B$5&amp;"生成成长"),3))*(VLOOKUP($B$5,标准坦克设计!$B$14:$K$20,9)/30))</f>
        <v>17.778702233844808</v>
      </c>
      <c r="EJ96" s="172">
        <f ca="1">(VLOOKUP(EJ$72,INDIRECT($C$5&amp;"生成成长"),2))/((VLOOKUP($B96,INDIRECT($B$5&amp;"生成成长"),4))/(VLOOKUP(EJ$72,INDIRECT($C$5&amp;"生成成长"),5))*(VLOOKUP($B$5,标准坦克设计!$B$24:$U$30,MATCH("对"&amp;LEFT($C$5,2)&amp;"输出",标准坦克设计!$B$23:$U$23,0)))*(VLOOKUP($B96,INDIRECT($B$5&amp;"生成成长"),3))*(VLOOKUP($B$5,标准坦克设计!$B$14:$K$20,9)/30))</f>
        <v>19.021601080390798</v>
      </c>
      <c r="EK96" s="172">
        <f ca="1">(VLOOKUP(EK$72,INDIRECT($C$5&amp;"生成成长"),2))/((VLOOKUP($B96,INDIRECT($B$5&amp;"生成成长"),4))/(VLOOKUP(EK$72,INDIRECT($C$5&amp;"生成成长"),5))*(VLOOKUP($B$5,标准坦克设计!$B$24:$U$30,MATCH("对"&amp;LEFT($C$5,2)&amp;"输出",标准坦克设计!$B$23:$U$23,0)))*(VLOOKUP($B96,INDIRECT($B$5&amp;"生成成长"),3))*(VLOOKUP($B$5,标准坦克设计!$B$14:$K$20,9)/30))</f>
        <v>20.5685062664298</v>
      </c>
      <c r="EL96" s="172">
        <f ca="1">(VLOOKUP(EL$72,INDIRECT($C$5&amp;"生成成长"),2))/((VLOOKUP($B96,INDIRECT($B$5&amp;"生成成长"),4))/(VLOOKUP(EL$72,INDIRECT($C$5&amp;"生成成长"),5))*(VLOOKUP($B$5,标准坦克设计!$B$24:$U$30,MATCH("对"&amp;LEFT($C$5,2)&amp;"输出",标准坦克设计!$B$23:$U$23,0)))*(VLOOKUP($B96,INDIRECT($B$5&amp;"生成成长"),3))*(VLOOKUP($B$5,标准坦克设计!$B$14:$K$20,9)/30))</f>
        <v>22.175876801760225</v>
      </c>
      <c r="EM96" s="172">
        <f ca="1">(VLOOKUP(EM$72,INDIRECT($C$5&amp;"生成成长"),2))/((VLOOKUP($B96,INDIRECT($B$5&amp;"生成成长"),4))/(VLOOKUP(EM$72,INDIRECT($C$5&amp;"生成成长"),5))*(VLOOKUP($B$5,标准坦克设计!$B$24:$U$30,MATCH("对"&amp;LEFT($C$5,2)&amp;"输出",标准坦克设计!$B$23:$U$23,0)))*(VLOOKUP($B96,INDIRECT($B$5&amp;"生成成长"),3))*(VLOOKUP($B$5,标准坦克设计!$B$14:$K$20,9)/30))</f>
        <v>23.843712686382077</v>
      </c>
      <c r="EN96" s="172">
        <f ca="1">(VLOOKUP(EN$72,INDIRECT($C$5&amp;"生成成长"),2))/((VLOOKUP($B96,INDIRECT($B$5&amp;"生成成长"),4))/(VLOOKUP(EN$72,INDIRECT($C$5&amp;"生成成长"),5))*(VLOOKUP($B$5,标准坦克设计!$B$24:$U$30,MATCH("对"&amp;LEFT($C$5,2)&amp;"输出",标准坦克设计!$B$23:$U$23,0)))*(VLOOKUP($B96,INDIRECT($B$5&amp;"生成成长"),3))*(VLOOKUP($B$5,标准坦克设计!$B$14:$K$20,9)/30))</f>
        <v>25.572013920295358</v>
      </c>
      <c r="EO96" s="172">
        <f ca="1">(VLOOKUP(EO$72,INDIRECT($C$5&amp;"生成成长"),2))/((VLOOKUP($B96,INDIRECT($B$5&amp;"生成成长"),4))/(VLOOKUP(EO$72,INDIRECT($C$5&amp;"生成成长"),5))*(VLOOKUP($B$5,标准坦克设计!$B$24:$U$30,MATCH("对"&amp;LEFT($C$5,2)&amp;"输出",标准坦克设计!$B$23:$U$23,0)))*(VLOOKUP($B96,INDIRECT($B$5&amp;"生成成长"),3))*(VLOOKUP($B$5,标准坦克设计!$B$14:$K$20,9)/30))</f>
        <v>27.360780503500067</v>
      </c>
      <c r="EP96" s="172">
        <f ca="1">(VLOOKUP(EP$72,INDIRECT($C$5&amp;"生成成长"),2))/((VLOOKUP($B96,INDIRECT($B$5&amp;"生成成长"),4))/(VLOOKUP(EP$72,INDIRECT($C$5&amp;"生成成长"),5))*(VLOOKUP($B$5,标准坦克设计!$B$24:$U$30,MATCH("对"&amp;LEFT($C$5,2)&amp;"输出",标准坦克设计!$B$23:$U$23,0)))*(VLOOKUP($B96,INDIRECT($B$5&amp;"生成成长"),3))*(VLOOKUP($B$5,标准坦克设计!$B$14:$K$20,9)/30))</f>
        <v>29.210012435996195</v>
      </c>
      <c r="EQ96" s="172">
        <f ca="1">(VLOOKUP(EQ$72,INDIRECT($C$5&amp;"生成成长"),2))/((VLOOKUP($B96,INDIRECT($B$5&amp;"生成成长"),4))/(VLOOKUP(EQ$72,INDIRECT($C$5&amp;"生成成长"),5))*(VLOOKUP($B$5,标准坦克设计!$B$24:$U$30,MATCH("对"&amp;LEFT($C$5,2)&amp;"输出",标准坦克设计!$B$23:$U$23,0)))*(VLOOKUP($B96,INDIRECT($B$5&amp;"生成成长"),3))*(VLOOKUP($B$5,标准坦克设计!$B$14:$K$20,9)/30))</f>
        <v>12.912711259791344</v>
      </c>
      <c r="ER96" s="172">
        <f ca="1">(VLOOKUP(ER$72,INDIRECT($C$5&amp;"生成成长"),2))/((VLOOKUP($B96,INDIRECT($B$5&amp;"生成成长"),4))/(VLOOKUP(ER$72,INDIRECT($C$5&amp;"生成成长"),5))*(VLOOKUP($B$5,标准坦克设计!$B$24:$U$30,MATCH("对"&amp;LEFT($C$5,2)&amp;"输出",标准坦克设计!$B$23:$U$23,0)))*(VLOOKUP($B96,INDIRECT($B$5&amp;"生成成长"),3))*(VLOOKUP($B$5,标准坦克设计!$B$14:$K$20,9)/30))</f>
        <v>14.083597554924284</v>
      </c>
      <c r="ES96" s="172">
        <f ca="1">(VLOOKUP(ES$72,INDIRECT($C$5&amp;"生成成长"),2))/((VLOOKUP($B96,INDIRECT($B$5&amp;"生成成长"),4))/(VLOOKUP(ES$72,INDIRECT($C$5&amp;"生成成长"),5))*(VLOOKUP($B$5,标准坦克设计!$B$24:$U$30,MATCH("对"&amp;LEFT($C$5,2)&amp;"输出",标准坦克设计!$B$23:$U$23,0)))*(VLOOKUP($B96,INDIRECT($B$5&amp;"生成成长"),3))*(VLOOKUP($B$5,标准坦克设计!$B$14:$K$20,9)/30))</f>
        <v>15.305291539392382</v>
      </c>
      <c r="ET96" s="172">
        <f ca="1">(VLOOKUP(ET$72,INDIRECT($C$5&amp;"生成成长"),2))/((VLOOKUP($B96,INDIRECT($B$5&amp;"生成成长"),4))/(VLOOKUP(ET$72,INDIRECT($C$5&amp;"生成成长"),5))*(VLOOKUP($B$5,标准坦克设计!$B$24:$U$30,MATCH("对"&amp;LEFT($C$5,2)&amp;"输出",标准坦克设计!$B$23:$U$23,0)))*(VLOOKUP($B96,INDIRECT($B$5&amp;"生成成长"),3))*(VLOOKUP($B$5,标准坦克设计!$B$14:$K$20,9)/30))</f>
        <v>16.577793213195633</v>
      </c>
      <c r="EU96" s="172">
        <f ca="1">(VLOOKUP(EU$72,INDIRECT($C$5&amp;"生成成长"),2))/((VLOOKUP($B96,INDIRECT($B$5&amp;"生成成长"),4))/(VLOOKUP(EU$72,INDIRECT($C$5&amp;"生成成长"),5))*(VLOOKUP($B$5,标准坦克设计!$B$24:$U$30,MATCH("对"&amp;LEFT($C$5,2)&amp;"输出",标准坦克设计!$B$23:$U$23,0)))*(VLOOKUP($B96,INDIRECT($B$5&amp;"生成成长"),3))*(VLOOKUP($B$5,标准坦克设计!$B$14:$K$20,9)/30))</f>
        <v>17.901102576334043</v>
      </c>
      <c r="EV96" s="172">
        <f ca="1">(VLOOKUP(EV$72,INDIRECT($C$5&amp;"生成成长"),2))/((VLOOKUP($B96,INDIRECT($B$5&amp;"生成成长"),4))/(VLOOKUP(EV$72,INDIRECT($C$5&amp;"生成成长"),5))*(VLOOKUP($B$5,标准坦克设计!$B$24:$U$30,MATCH("对"&amp;LEFT($C$5,2)&amp;"输出",标准坦克设计!$B$23:$U$23,0)))*(VLOOKUP($B96,INDIRECT($B$5&amp;"生成成长"),3))*(VLOOKUP($B$5,标准坦克设计!$B$14:$K$20,9)/30))</f>
        <v>19.275219628807616</v>
      </c>
      <c r="EW96" s="172">
        <f ca="1">(VLOOKUP(EW$72,INDIRECT($C$5&amp;"生成成长"),2))/((VLOOKUP($B96,INDIRECT($B$5&amp;"生成成长"),4))/(VLOOKUP(EW$72,INDIRECT($C$5&amp;"生成成长"),5))*(VLOOKUP($B$5,标准坦克设计!$B$24:$U$30,MATCH("对"&amp;LEFT($C$5,2)&amp;"输出",标准坦克设计!$B$23:$U$23,0)))*(VLOOKUP($B96,INDIRECT($B$5&amp;"生成成长"),3))*(VLOOKUP($B$5,标准坦克设计!$B$14:$K$20,9)/30))</f>
        <v>20.700144370616343</v>
      </c>
      <c r="EX96" s="172">
        <f ca="1">(VLOOKUP(EX$72,INDIRECT($C$5&amp;"生成成长"),2))/((VLOOKUP($B96,INDIRECT($B$5&amp;"生成成长"),4))/(VLOOKUP(EX$72,INDIRECT($C$5&amp;"生成成长"),5))*(VLOOKUP($B$5,标准坦克设计!$B$24:$U$30,MATCH("对"&amp;LEFT($C$5,2)&amp;"输出",标准坦克设计!$B$23:$U$23,0)))*(VLOOKUP($B96,INDIRECT($B$5&amp;"生成成长"),3))*(VLOOKUP($B$5,标准坦克设计!$B$14:$K$20,9)/30))</f>
        <v>22.175876801760225</v>
      </c>
      <c r="EY96" s="172">
        <f ca="1">(VLOOKUP(EY$72,INDIRECT($C$5&amp;"生成成长"),2))/((VLOOKUP($B96,INDIRECT($B$5&amp;"生成成长"),4))/(VLOOKUP(EY$72,INDIRECT($C$5&amp;"生成成长"),5))*(VLOOKUP($B$5,标准坦克设计!$B$24:$U$30,MATCH("对"&amp;LEFT($C$5,2)&amp;"输出",标准坦克设计!$B$23:$U$23,0)))*(VLOOKUP($B96,INDIRECT($B$5&amp;"生成成长"),3))*(VLOOKUP($B$5,标准坦克设计!$B$14:$K$20,9)/30))</f>
        <v>23.702416922239266</v>
      </c>
      <c r="EZ96" s="172">
        <f ca="1">(VLOOKUP(EZ$72,INDIRECT($C$5&amp;"生成成长"),2))/((VLOOKUP($B96,INDIRECT($B$5&amp;"生成成长"),4))/(VLOOKUP(EZ$72,INDIRECT($C$5&amp;"生成成长"),5))*(VLOOKUP($B$5,标准坦克设计!$B$24:$U$30,MATCH("对"&amp;LEFT($C$5,2)&amp;"输出",标准坦克设计!$B$23:$U$23,0)))*(VLOOKUP($B96,INDIRECT($B$5&amp;"生成成长"),3))*(VLOOKUP($B$5,标准坦克设计!$B$14:$K$20,9)/30))</f>
        <v>25.279764732053458</v>
      </c>
      <c r="FA96" s="172">
        <f ca="1">(VLOOKUP(FA$72,INDIRECT($C$5&amp;"生成成长"),2))/((VLOOKUP($B96,INDIRECT($B$5&amp;"生成成长"),4))/(VLOOKUP(FA$72,INDIRECT($C$5&amp;"生成成长"),5))*(VLOOKUP($B$5,标准坦克设计!$B$24:$U$30,MATCH("对"&amp;LEFT($C$5,2)&amp;"输出",标准坦克设计!$B$23:$U$23,0)))*(VLOOKUP($B96,INDIRECT($B$5&amp;"生成成长"),3))*(VLOOKUP($B$5,标准坦克设计!$B$14:$K$20,9)/30))</f>
        <v>26.907920231202812</v>
      </c>
      <c r="FB96" s="172">
        <f ca="1">(VLOOKUP(FB$72,INDIRECT($C$5&amp;"生成成长"),2))/((VLOOKUP($B96,INDIRECT($B$5&amp;"生成成长"),4))/(VLOOKUP(FB$72,INDIRECT($C$5&amp;"生成成长"),5))*(VLOOKUP($B$5,标准坦克设计!$B$24:$U$30,MATCH("对"&amp;LEFT($C$5,2)&amp;"输出",标准坦克设计!$B$23:$U$23,0)))*(VLOOKUP($B96,INDIRECT($B$5&amp;"生成成长"),3))*(VLOOKUP($B$5,标准坦克设计!$B$14:$K$20,9)/30))</f>
        <v>28.586883419687325</v>
      </c>
      <c r="FC96" s="172">
        <f ca="1">(VLOOKUP(FC$72,INDIRECT($C$5&amp;"生成成长"),2))/((VLOOKUP($B96,INDIRECT($B$5&amp;"生成成长"),4))/(VLOOKUP(FC$72,INDIRECT($C$5&amp;"生成成长"),5))*(VLOOKUP($B$5,标准坦克设计!$B$24:$U$30,MATCH("对"&amp;LEFT($C$5,2)&amp;"输出",标准坦克设计!$B$23:$U$23,0)))*(VLOOKUP($B96,INDIRECT($B$5&amp;"生成成长"),3))*(VLOOKUP($B$5,标准坦克设计!$B$14:$K$20,9)/30))</f>
        <v>30.316654297506993</v>
      </c>
      <c r="FD96" s="172">
        <f ca="1">(VLOOKUP(FD$72,INDIRECT($C$5&amp;"生成成长"),2))/((VLOOKUP($B96,INDIRECT($B$5&amp;"生成成长"),4))/(VLOOKUP(FD$72,INDIRECT($C$5&amp;"生成成长"),5))*(VLOOKUP($B$5,标准坦克设计!$B$24:$U$30,MATCH("对"&amp;LEFT($C$5,2)&amp;"输出",标准坦克设计!$B$23:$U$23,0)))*(VLOOKUP($B96,INDIRECT($B$5&amp;"生成成长"),3))*(VLOOKUP($B$5,标准坦克设计!$B$14:$K$20,9)/30))</f>
        <v>32.097232864661812</v>
      </c>
      <c r="FE96" s="172">
        <f ca="1">(VLOOKUP(FE$72,INDIRECT($C$5&amp;"生成成长"),2))/((VLOOKUP($B96,INDIRECT($B$5&amp;"生成成长"),4))/(VLOOKUP(FE$72,INDIRECT($C$5&amp;"生成成长"),5))*(VLOOKUP($B$5,标准坦克设计!$B$24:$U$30,MATCH("对"&amp;LEFT($C$5,2)&amp;"输出",标准坦克设计!$B$23:$U$23,0)))*(VLOOKUP($B96,INDIRECT($B$5&amp;"生成成长"),3))*(VLOOKUP($B$5,标准坦克设计!$B$14:$K$20,9)/30))</f>
        <v>34.267057117880199</v>
      </c>
      <c r="FF96" s="172">
        <f ca="1">(VLOOKUP(FF$72,INDIRECT($C$5&amp;"生成成长"),2))/((VLOOKUP($B96,INDIRECT($B$5&amp;"生成成长"),4))/(VLOOKUP(FF$72,INDIRECT($C$5&amp;"生成成长"),5))*(VLOOKUP($B$5,标准坦克设计!$B$24:$U$30,MATCH("对"&amp;LEFT($C$5,2)&amp;"输出",标准坦克设计!$B$23:$U$23,0)))*(VLOOKUP($B96,INDIRECT($B$5&amp;"生成成长"),3))*(VLOOKUP($B$5,标准坦克设计!$B$14:$K$20,9)/30))</f>
        <v>36.507844176864225</v>
      </c>
      <c r="FG96" s="172">
        <f ca="1">(VLOOKUP(FG$72,INDIRECT($C$5&amp;"生成成长"),2))/((VLOOKUP($B96,INDIRECT($B$5&amp;"生成成长"),4))/(VLOOKUP(FG$72,INDIRECT($C$5&amp;"生成成长"),5))*(VLOOKUP($B$5,标准坦克设计!$B$24:$U$30,MATCH("对"&amp;LEFT($C$5,2)&amp;"输出",标准坦克设计!$B$23:$U$23,0)))*(VLOOKUP($B96,INDIRECT($B$5&amp;"生成成长"),3))*(VLOOKUP($B$5,标准坦克设计!$B$14:$K$20,9)/30))</f>
        <v>38.819594041613875</v>
      </c>
      <c r="FH96" s="172">
        <f ca="1">(VLOOKUP(FH$72,INDIRECT($C$5&amp;"生成成长"),2))/((VLOOKUP($B96,INDIRECT($B$5&amp;"生成成长"),4))/(VLOOKUP(FH$72,INDIRECT($C$5&amp;"生成成长"),5))*(VLOOKUP($B$5,标准坦克设计!$B$24:$U$30,MATCH("对"&amp;LEFT($C$5,2)&amp;"输出",标准坦克设计!$B$23:$U$23,0)))*(VLOOKUP($B96,INDIRECT($B$5&amp;"生成成长"),3))*(VLOOKUP($B$5,标准坦克设计!$B$14:$K$20,9)/30))</f>
        <v>41.20230671212915</v>
      </c>
      <c r="FI96" s="172">
        <f ca="1">(VLOOKUP(FI$72,INDIRECT($C$5&amp;"生成成长"),2))/((VLOOKUP($B96,INDIRECT($B$5&amp;"生成成长"),4))/(VLOOKUP(FI$72,INDIRECT($C$5&amp;"生成成长"),5))*(VLOOKUP($B$5,标准坦克设计!$B$24:$U$30,MATCH("对"&amp;LEFT($C$5,2)&amp;"输出",标准坦克设计!$B$23:$U$23,0)))*(VLOOKUP($B96,INDIRECT($B$5&amp;"生成成长"),3))*(VLOOKUP($B$5,标准坦克设计!$B$14:$K$20,9)/30))</f>
        <v>43.655982188410071</v>
      </c>
      <c r="FJ96" s="172">
        <f ca="1">(VLOOKUP(FJ$72,INDIRECT($C$5&amp;"生成成长"),2))/((VLOOKUP($B96,INDIRECT($B$5&amp;"生成成长"),4))/(VLOOKUP(FJ$72,INDIRECT($C$5&amp;"生成成长"),5))*(VLOOKUP($B$5,标准坦克设计!$B$24:$U$30,MATCH("对"&amp;LEFT($C$5,2)&amp;"输出",标准坦克设计!$B$23:$U$23,0)))*(VLOOKUP($B96,INDIRECT($B$5&amp;"生成成长"),3))*(VLOOKUP($B$5,标准坦克设计!$B$14:$K$20,9)/30))</f>
        <v>46.180620470456631</v>
      </c>
      <c r="FK96" s="172">
        <f ca="1">(VLOOKUP(FK$72,INDIRECT($C$5&amp;"生成成长"),2))/((VLOOKUP($B96,INDIRECT($B$5&amp;"生成成长"),4))/(VLOOKUP(FK$72,INDIRECT($C$5&amp;"生成成长"),5))*(VLOOKUP($B$5,标准坦克设计!$B$24:$U$30,MATCH("对"&amp;LEFT($C$5,2)&amp;"输出",标准坦克设计!$B$23:$U$23,0)))*(VLOOKUP($B96,INDIRECT($B$5&amp;"生成成长"),3))*(VLOOKUP($B$5,标准坦克设计!$B$14:$K$20,9)/30))</f>
        <v>48.776221558268794</v>
      </c>
    </row>
    <row r="97" spans="1:167" x14ac:dyDescent="0.15">
      <c r="A97" s="170" t="str">
        <f t="shared" si="11"/>
        <v>T4低品质4级</v>
      </c>
      <c r="B97" s="171">
        <v>10404</v>
      </c>
      <c r="C97" s="172">
        <f ca="1">(VLOOKUP(C$72,INDIRECT($C$5&amp;"生成成长"),2))/((VLOOKUP($B97,INDIRECT($B$5&amp;"生成成长"),4))/(VLOOKUP(C$72,INDIRECT($C$5&amp;"生成成长"),5))*(VLOOKUP($B$5,标准坦克设计!$B$24:$U$30,MATCH("对"&amp;LEFT($C$5,2)&amp;"输出",标准坦克设计!$B$23:$U$23,0)))*(VLOOKUP($B97,INDIRECT($B$5&amp;"生成成长"),3))*(VLOOKUP($B$5,标准坦克设计!$B$14:$K$20,9)/30))</f>
        <v>1.9143972012419572</v>
      </c>
      <c r="D97" s="172">
        <f ca="1">(VLOOKUP(D$72,INDIRECT($C$5&amp;"生成成长"),2))/((VLOOKUP($B97,INDIRECT($B$5&amp;"生成成长"),4))/(VLOOKUP(D$72,INDIRECT($C$5&amp;"生成成长"),5))*(VLOOKUP($B$5,标准坦克设计!$B$24:$U$30,MATCH("对"&amp;LEFT($C$5,2)&amp;"输出",标准坦克设计!$B$23:$U$23,0)))*(VLOOKUP($B97,INDIRECT($B$5&amp;"生成成长"),3))*(VLOOKUP($B$5,标准坦克设计!$B$14:$K$20,9)/30))</f>
        <v>2.1510166953154628</v>
      </c>
      <c r="E97" s="172">
        <f ca="1">(VLOOKUP(E$72,INDIRECT($C$5&amp;"生成成长"),2))/((VLOOKUP($B97,INDIRECT($B$5&amp;"生成成长"),4))/(VLOOKUP(E$72,INDIRECT($C$5&amp;"生成成长"),5))*(VLOOKUP($B$5,标准坦克设计!$B$24:$U$30,MATCH("对"&amp;LEFT($C$5,2)&amp;"输出",标准坦克设计!$B$23:$U$23,0)))*(VLOOKUP($B97,INDIRECT($B$5&amp;"生成成长"),3))*(VLOOKUP($B$5,标准坦克设计!$B$14:$K$20,9)/30))</f>
        <v>2.4014198492379117</v>
      </c>
      <c r="F97" s="172">
        <f ca="1">(VLOOKUP(F$72,INDIRECT($C$5&amp;"生成成长"),2))/((VLOOKUP($B97,INDIRECT($B$5&amp;"生成成长"),4))/(VLOOKUP(F$72,INDIRECT($C$5&amp;"生成成长"),5))*(VLOOKUP($B$5,标准坦克设计!$B$24:$U$30,MATCH("对"&amp;LEFT($C$5,2)&amp;"输出",标准坦克设计!$B$23:$U$23,0)))*(VLOOKUP($B97,INDIRECT($B$5&amp;"生成成长"),3))*(VLOOKUP($B$5,标准坦克设计!$B$14:$K$20,9)/30))</f>
        <v>2.6656066630093012</v>
      </c>
      <c r="G97" s="172">
        <f ca="1">(VLOOKUP(G$72,INDIRECT($C$5&amp;"生成成长"),2))/((VLOOKUP($B97,INDIRECT($B$5&amp;"生成成长"),4))/(VLOOKUP(G$72,INDIRECT($C$5&amp;"生成成长"),5))*(VLOOKUP($B$5,标准坦克设计!$B$24:$U$30,MATCH("对"&amp;LEFT($C$5,2)&amp;"输出",标准坦克设计!$B$23:$U$23,0)))*(VLOOKUP($B97,INDIRECT($B$5&amp;"生成成长"),3))*(VLOOKUP($B$5,标准坦克设计!$B$14:$K$20,9)/30))</f>
        <v>2.9435771366296333</v>
      </c>
      <c r="H97" s="172">
        <f ca="1">(VLOOKUP(H$72,INDIRECT($C$5&amp;"生成成长"),2))/((VLOOKUP($B97,INDIRECT($B$5&amp;"生成成长"),4))/(VLOOKUP(H$72,INDIRECT($C$5&amp;"生成成长"),5))*(VLOOKUP($B$5,标准坦克设计!$B$24:$U$30,MATCH("对"&amp;LEFT($C$5,2)&amp;"输出",标准坦克设计!$B$23:$U$23,0)))*(VLOOKUP($B97,INDIRECT($B$5&amp;"生成成长"),3))*(VLOOKUP($B$5,标准坦克设计!$B$14:$K$20,9)/30))</f>
        <v>2.5760128739911776</v>
      </c>
      <c r="I97" s="172">
        <f ca="1">(VLOOKUP(I$72,INDIRECT($C$5&amp;"生成成长"),2))/((VLOOKUP($B97,INDIRECT($B$5&amp;"生成成长"),4))/(VLOOKUP(I$72,INDIRECT($C$5&amp;"生成成长"),5))*(VLOOKUP($B$5,标准坦克设计!$B$24:$U$30,MATCH("对"&amp;LEFT($C$5,2)&amp;"输出",标准坦克设计!$B$23:$U$23,0)))*(VLOOKUP($B97,INDIRECT($B$5&amp;"生成成长"),3))*(VLOOKUP($B$5,标准坦克设计!$B$14:$K$20,9)/30))</f>
        <v>2.9435771366296333</v>
      </c>
      <c r="J97" s="172">
        <f ca="1">(VLOOKUP(J$72,INDIRECT($C$5&amp;"生成成长"),2))/((VLOOKUP($B97,INDIRECT($B$5&amp;"生成成长"),4))/(VLOOKUP(J$72,INDIRECT($C$5&amp;"生成成长"),5))*(VLOOKUP($B$5,标准坦克设计!$B$24:$U$30,MATCH("对"&amp;LEFT($C$5,2)&amp;"输出",标准坦克设计!$B$23:$U$23,0)))*(VLOOKUP($B97,INDIRECT($B$5&amp;"生成成长"),3))*(VLOOKUP($B$5,标准坦克设计!$B$14:$K$20,9)/30))</f>
        <v>3.3356456834439863</v>
      </c>
      <c r="K97" s="172">
        <f ca="1">(VLOOKUP(K$72,INDIRECT($C$5&amp;"生成成长"),2))/((VLOOKUP($B97,INDIRECT($B$5&amp;"生成成长"),4))/(VLOOKUP(K$72,INDIRECT($C$5&amp;"生成成长"),5))*(VLOOKUP($B$5,标准坦克设计!$B$24:$U$30,MATCH("对"&amp;LEFT($C$5,2)&amp;"输出",标准坦克设计!$B$23:$U$23,0)))*(VLOOKUP($B97,INDIRECT($B$5&amp;"生成成长"),3))*(VLOOKUP($B$5,标准坦克设计!$B$14:$K$20,9)/30))</f>
        <v>3.7522185144342357</v>
      </c>
      <c r="L97" s="172">
        <f ca="1">(VLOOKUP(L$72,INDIRECT($C$5&amp;"生成成长"),2))/((VLOOKUP($B97,INDIRECT($B$5&amp;"生成成长"),4))/(VLOOKUP(L$72,INDIRECT($C$5&amp;"生成成长"),5))*(VLOOKUP($B$5,标准坦克设计!$B$24:$U$30,MATCH("对"&amp;LEFT($C$5,2)&amp;"输出",标准坦克设计!$B$23:$U$23,0)))*(VLOOKUP($B97,INDIRECT($B$5&amp;"生成成长"),3))*(VLOOKUP($B$5,标准坦克设计!$B$14:$K$20,9)/30))</f>
        <v>4.1932956296003825</v>
      </c>
      <c r="M97" s="172">
        <f ca="1">(VLOOKUP(M$72,INDIRECT($C$5&amp;"生成成长"),2))/((VLOOKUP($B97,INDIRECT($B$5&amp;"生成成长"),4))/(VLOOKUP(M$72,INDIRECT($C$5&amp;"生成成长"),5))*(VLOOKUP($B$5,标准坦克设计!$B$24:$U$30,MATCH("对"&amp;LEFT($C$5,2)&amp;"输出",标准坦克设计!$B$23:$U$23,0)))*(VLOOKUP($B97,INDIRECT($B$5&amp;"生成成长"),3))*(VLOOKUP($B$5,标准坦克设计!$B$14:$K$20,9)/30))</f>
        <v>4.6588770289424275</v>
      </c>
      <c r="N97" s="172">
        <f ca="1">(VLOOKUP(N$72,INDIRECT($C$5&amp;"生成成长"),2))/((VLOOKUP($B97,INDIRECT($B$5&amp;"生成成长"),4))/(VLOOKUP(N$72,INDIRECT($C$5&amp;"生成成长"),5))*(VLOOKUP($B$5,标准坦克设计!$B$24:$U$30,MATCH("对"&amp;LEFT($C$5,2)&amp;"输出",标准坦克设计!$B$23:$U$23,0)))*(VLOOKUP($B97,INDIRECT($B$5&amp;"生成成长"),3))*(VLOOKUP($B$5,标准坦克设计!$B$14:$K$20,9)/30))</f>
        <v>5.1489627124603672</v>
      </c>
      <c r="O97" s="172">
        <f ca="1">(VLOOKUP(O$72,INDIRECT($C$5&amp;"生成成长"),2))/((VLOOKUP($B97,INDIRECT($B$5&amp;"生成成长"),4))/(VLOOKUP(O$72,INDIRECT($C$5&amp;"生成成长"),5))*(VLOOKUP($B$5,标准坦克设计!$B$24:$U$30,MATCH("对"&amp;LEFT($C$5,2)&amp;"输出",标准坦克设计!$B$23:$U$23,0)))*(VLOOKUP($B97,INDIRECT($B$5&amp;"生成成长"),3))*(VLOOKUP($B$5,标准坦克设计!$B$14:$K$20,9)/30))</f>
        <v>3.9147508368196782</v>
      </c>
      <c r="P97" s="172">
        <f ca="1">(VLOOKUP(P$72,INDIRECT($C$5&amp;"生成成长"),2))/((VLOOKUP($B97,INDIRECT($B$5&amp;"生成成长"),4))/(VLOOKUP(P$72,INDIRECT($C$5&amp;"生成成长"),5))*(VLOOKUP($B$5,标准坦克设计!$B$24:$U$30,MATCH("对"&amp;LEFT($C$5,2)&amp;"输出",标准坦克设计!$B$23:$U$23,0)))*(VLOOKUP($B97,INDIRECT($B$5&amp;"生成成长"),3))*(VLOOKUP($B$5,标准坦克设计!$B$14:$K$20,9)/30))</f>
        <v>4.4230232937494183</v>
      </c>
      <c r="Q97" s="172">
        <f ca="1">(VLOOKUP(Q$72,INDIRECT($C$5&amp;"生成成长"),2))/((VLOOKUP($B97,INDIRECT($B$5&amp;"生成成长"),4))/(VLOOKUP(Q$72,INDIRECT($C$5&amp;"生成成长"),5))*(VLOOKUP($B$5,标准坦克设计!$B$24:$U$30,MATCH("对"&amp;LEFT($C$5,2)&amp;"输出",标准坦克设计!$B$23:$U$23,0)))*(VLOOKUP($B97,INDIRECT($B$5&amp;"生成成长"),3))*(VLOOKUP($B$5,标准坦克设计!$B$14:$K$20,9)/30))</f>
        <v>4.962308985339277</v>
      </c>
      <c r="R97" s="172">
        <f ca="1">(VLOOKUP(R$72,INDIRECT($C$5&amp;"生成成长"),2))/((VLOOKUP($B97,INDIRECT($B$5&amp;"生成成长"),4))/(VLOOKUP(R$72,INDIRECT($C$5&amp;"生成成长"),5))*(VLOOKUP($B$5,标准坦克设计!$B$24:$U$30,MATCH("对"&amp;LEFT($C$5,2)&amp;"输出",标准坦克设计!$B$23:$U$23,0)))*(VLOOKUP($B97,INDIRECT($B$5&amp;"生成成长"),3))*(VLOOKUP($B$5,标准坦克设计!$B$14:$K$20,9)/30))</f>
        <v>5.5326079115892561</v>
      </c>
      <c r="S97" s="172">
        <f ca="1">(VLOOKUP(S$72,INDIRECT($C$5&amp;"生成成长"),2))/((VLOOKUP($B97,INDIRECT($B$5&amp;"生成成长"),4))/(VLOOKUP(S$72,INDIRECT($C$5&amp;"生成成长"),5))*(VLOOKUP($B$5,标准坦克设计!$B$24:$U$30,MATCH("对"&amp;LEFT($C$5,2)&amp;"输出",标准坦克设计!$B$23:$U$23,0)))*(VLOOKUP($B97,INDIRECT($B$5&amp;"生成成长"),3))*(VLOOKUP($B$5,标准坦克设计!$B$14:$K$20,9)/30))</f>
        <v>6.1339200724993557</v>
      </c>
      <c r="T97" s="172">
        <f ca="1">(VLOOKUP(T$72,INDIRECT($C$5&amp;"生成成长"),2))/((VLOOKUP($B97,INDIRECT($B$5&amp;"生成成长"),4))/(VLOOKUP(T$72,INDIRECT($C$5&amp;"生成成长"),5))*(VLOOKUP($B$5,标准坦克设计!$B$24:$U$30,MATCH("对"&amp;LEFT($C$5,2)&amp;"输出",标准坦克设计!$B$23:$U$23,0)))*(VLOOKUP($B97,INDIRECT($B$5&amp;"生成成长"),3))*(VLOOKUP($B$5,标准坦克设计!$B$14:$K$20,9)/30))</f>
        <v>6.7662454680695721</v>
      </c>
      <c r="U97" s="172">
        <f ca="1">(VLOOKUP(U$72,INDIRECT($C$5&amp;"生成成长"),2))/((VLOOKUP($B97,INDIRECT($B$5&amp;"生成成长"),4))/(VLOOKUP(U$72,INDIRECT($C$5&amp;"生成成长"),5))*(VLOOKUP($B$5,标准坦克设计!$B$24:$U$30,MATCH("对"&amp;LEFT($C$5,2)&amp;"输出",标准坦克设计!$B$23:$U$23,0)))*(VLOOKUP($B97,INDIRECT($B$5&amp;"生成成长"),3))*(VLOOKUP($B$5,标准坦克设计!$B$14:$K$20,9)/30))</f>
        <v>7.4295840982999115</v>
      </c>
      <c r="V97" s="172">
        <f ca="1">(VLOOKUP(V$72,INDIRECT($C$5&amp;"生成成长"),2))/((VLOOKUP($B97,INDIRECT($B$5&amp;"生成成长"),4))/(VLOOKUP(V$72,INDIRECT($C$5&amp;"生成成长"),5))*(VLOOKUP($B$5,标准坦克设计!$B$24:$U$30,MATCH("对"&amp;LEFT($C$5,2)&amp;"输出",标准坦克设计!$B$23:$U$23,0)))*(VLOOKUP($B97,INDIRECT($B$5&amp;"生成成长"),3))*(VLOOKUP($B$5,标准坦克设计!$B$14:$K$20,9)/30))</f>
        <v>8.1239359631903696</v>
      </c>
      <c r="W97" s="172">
        <f ca="1">(VLOOKUP(W$72,INDIRECT($C$5&amp;"生成成长"),2))/((VLOOKUP($B97,INDIRECT($B$5&amp;"生成成长"),4))/(VLOOKUP(W$72,INDIRECT($C$5&amp;"生成成长"),5))*(VLOOKUP($B$5,标准坦克设计!$B$24:$U$30,MATCH("对"&amp;LEFT($C$5,2)&amp;"输出",标准坦克设计!$B$23:$U$23,0)))*(VLOOKUP($B97,INDIRECT($B$5&amp;"生成成长"),3))*(VLOOKUP($B$5,标准坦克设计!$B$14:$K$20,9)/30))</f>
        <v>8.8493010627409472</v>
      </c>
      <c r="X97" s="172">
        <f ca="1">(VLOOKUP(X$72,INDIRECT($C$5&amp;"生成成长"),2))/((VLOOKUP($B97,INDIRECT($B$5&amp;"生成成长"),4))/(VLOOKUP(X$72,INDIRECT($C$5&amp;"生成成长"),5))*(VLOOKUP($B$5,标准坦克设计!$B$24:$U$30,MATCH("对"&amp;LEFT($C$5,2)&amp;"输出",标准坦克设计!$B$23:$U$23,0)))*(VLOOKUP($B97,INDIRECT($B$5&amp;"生成成长"),3))*(VLOOKUP($B$5,标准坦克设计!$B$14:$K$20,9)/30))</f>
        <v>6.4111247872391903</v>
      </c>
      <c r="Y97" s="172">
        <f ca="1">(VLOOKUP(Y$72,INDIRECT($C$5&amp;"生成成长"),2))/((VLOOKUP($B97,INDIRECT($B$5&amp;"生成成长"),4))/(VLOOKUP(Y$72,INDIRECT($C$5&amp;"生成成长"),5))*(VLOOKUP($B$5,标准坦克设计!$B$24:$U$30,MATCH("对"&amp;LEFT($C$5,2)&amp;"输出",标准坦克设计!$B$23:$U$23,0)))*(VLOOKUP($B97,INDIRECT($B$5&amp;"生成成长"),3))*(VLOOKUP($B$5,标准坦克设计!$B$14:$K$20,9)/30))</f>
        <v>7.1309381349061667</v>
      </c>
      <c r="Z97" s="172">
        <f ca="1">(VLOOKUP(Z$72,INDIRECT($C$5&amp;"生成成长"),2))/((VLOOKUP($B97,INDIRECT($B$5&amp;"生成成长"),4))/(VLOOKUP(Z$72,INDIRECT($C$5&amp;"生成成长"),5))*(VLOOKUP($B$5,标准坦克设计!$B$24:$U$30,MATCH("对"&amp;LEFT($C$5,2)&amp;"输出",标准坦克设计!$B$23:$U$23,0)))*(VLOOKUP($B97,INDIRECT($B$5&amp;"生成成长"),3))*(VLOOKUP($B$5,标准坦克设计!$B$14:$K$20,9)/30))</f>
        <v>7.8890394265979822</v>
      </c>
      <c r="AA97" s="172">
        <f ca="1">(VLOOKUP(AA$72,INDIRECT($C$5&amp;"生成成长"),2))/((VLOOKUP($B97,INDIRECT($B$5&amp;"生成成长"),4))/(VLOOKUP(AA$72,INDIRECT($C$5&amp;"生成成长"),5))*(VLOOKUP($B$5,标准坦克设计!$B$24:$U$30,MATCH("对"&amp;LEFT($C$5,2)&amp;"输出",标准坦克设计!$B$23:$U$23,0)))*(VLOOKUP($B97,INDIRECT($B$5&amp;"生成成长"),3))*(VLOOKUP($B$5,标准坦克设计!$B$14:$K$20,9)/30))</f>
        <v>8.6854286623146351</v>
      </c>
      <c r="AB97" s="172">
        <f ca="1">(VLOOKUP(AB$72,INDIRECT($C$5&amp;"生成成长"),2))/((VLOOKUP($B97,INDIRECT($B$5&amp;"生成成长"),4))/(VLOOKUP(AB$72,INDIRECT($C$5&amp;"生成成长"),5))*(VLOOKUP($B$5,标准坦克设计!$B$24:$U$30,MATCH("对"&amp;LEFT($C$5,2)&amp;"输出",标准坦克设计!$B$23:$U$23,0)))*(VLOOKUP($B97,INDIRECT($B$5&amp;"生成成长"),3))*(VLOOKUP($B$5,标准坦克设计!$B$14:$K$20,9)/30))</f>
        <v>9.5201058420561289</v>
      </c>
      <c r="AC97" s="172">
        <f ca="1">(VLOOKUP(AC$72,INDIRECT($C$5&amp;"生成成长"),2))/((VLOOKUP($B97,INDIRECT($B$5&amp;"生成成长"),4))/(VLOOKUP(AC$72,INDIRECT($C$5&amp;"生成成长"),5))*(VLOOKUP($B$5,标准坦克设计!$B$24:$U$30,MATCH("对"&amp;LEFT($C$5,2)&amp;"输出",标准坦克设计!$B$23:$U$23,0)))*(VLOOKUP($B97,INDIRECT($B$5&amp;"生成成长"),3))*(VLOOKUP($B$5,标准坦克设计!$B$14:$K$20,9)/30))</f>
        <v>10.39307096582246</v>
      </c>
      <c r="AD97" s="172">
        <f ca="1">(VLOOKUP(AD$72,INDIRECT($C$5&amp;"生成成长"),2))/((VLOOKUP($B97,INDIRECT($B$5&amp;"生成成长"),4))/(VLOOKUP(AD$72,INDIRECT($C$5&amp;"生成成长"),5))*(VLOOKUP($B$5,标准坦克设计!$B$24:$U$30,MATCH("对"&amp;LEFT($C$5,2)&amp;"输出",标准坦克设计!$B$23:$U$23,0)))*(VLOOKUP($B97,INDIRECT($B$5&amp;"生成成长"),3))*(VLOOKUP($B$5,标准坦克设计!$B$14:$K$20,9)/30))</f>
        <v>11.304324033613634</v>
      </c>
      <c r="AE97" s="172">
        <f ca="1">(VLOOKUP(AE$72,INDIRECT($C$5&amp;"生成成长"),2))/((VLOOKUP($B97,INDIRECT($B$5&amp;"生成成长"),4))/(VLOOKUP(AE$72,INDIRECT($C$5&amp;"生成成长"),5))*(VLOOKUP($B$5,标准坦克设计!$B$24:$U$30,MATCH("对"&amp;LEFT($C$5,2)&amp;"输出",标准坦克设计!$B$23:$U$23,0)))*(VLOOKUP($B97,INDIRECT($B$5&amp;"生成成长"),3))*(VLOOKUP($B$5,标准坦克设计!$B$14:$K$20,9)/30))</f>
        <v>12.253865045429642</v>
      </c>
      <c r="AF97" s="172">
        <f ca="1">(VLOOKUP(AF$72,INDIRECT($C$5&amp;"生成成长"),2))/((VLOOKUP($B97,INDIRECT($B$5&amp;"生成成长"),4))/(VLOOKUP(AF$72,INDIRECT($C$5&amp;"生成成长"),5))*(VLOOKUP($B$5,标准坦克设计!$B$24:$U$30,MATCH("对"&amp;LEFT($C$5,2)&amp;"输出",标准坦克设计!$B$23:$U$23,0)))*(VLOOKUP($B97,INDIRECT($B$5&amp;"生成成长"),3))*(VLOOKUP($B$5,标准坦克设计!$B$14:$K$20,9)/30))</f>
        <v>13.241694001270494</v>
      </c>
      <c r="AG97" s="172">
        <f ca="1">(VLOOKUP(AG$72,INDIRECT($C$5&amp;"生成成长"),2))/((VLOOKUP($B97,INDIRECT($B$5&amp;"生成成长"),4))/(VLOOKUP(AG$72,INDIRECT($C$5&amp;"生成成长"),5))*(VLOOKUP($B$5,标准坦克设计!$B$24:$U$30,MATCH("对"&amp;LEFT($C$5,2)&amp;"输出",标准坦克设计!$B$23:$U$23,0)))*(VLOOKUP($B97,INDIRECT($B$5&amp;"生成成长"),3))*(VLOOKUP($B$5,标准坦克设计!$B$14:$K$20,9)/30))</f>
        <v>14.26781090113618</v>
      </c>
      <c r="AH97" s="172">
        <f ca="1">(VLOOKUP(AH$72,INDIRECT($C$5&amp;"生成成长"),2))/((VLOOKUP($B97,INDIRECT($B$5&amp;"生成成长"),4))/(VLOOKUP(AH$72,INDIRECT($C$5&amp;"生成成长"),5))*(VLOOKUP($B$5,标准坦克设计!$B$24:$U$30,MATCH("对"&amp;LEFT($C$5,2)&amp;"输出",标准坦克设计!$B$23:$U$23,0)))*(VLOOKUP($B97,INDIRECT($B$5&amp;"生成成长"),3))*(VLOOKUP($B$5,标准坦克设计!$B$14:$K$20,9)/30))</f>
        <v>15.332215745026714</v>
      </c>
      <c r="AI97" s="172">
        <f ca="1">(VLOOKUP(AI$72,INDIRECT($C$5&amp;"生成成长"),2))/((VLOOKUP($B97,INDIRECT($B$5&amp;"生成成长"),4))/(VLOOKUP(AI$72,INDIRECT($C$5&amp;"生成成长"),5))*(VLOOKUP($B$5,标准坦克设计!$B$24:$U$30,MATCH("对"&amp;LEFT($C$5,2)&amp;"输出",标准坦克设计!$B$23:$U$23,0)))*(VLOOKUP($B97,INDIRECT($B$5&amp;"生成成长"),3))*(VLOOKUP($B$5,标准坦克设计!$B$14:$K$20,9)/30))</f>
        <v>10.843911506714941</v>
      </c>
      <c r="AJ97" s="172">
        <f ca="1">(VLOOKUP(AJ$72,INDIRECT($C$5&amp;"生成成长"),2))/((VLOOKUP($B97,INDIRECT($B$5&amp;"生成成长"),4))/(VLOOKUP(AJ$72,INDIRECT($C$5&amp;"生成成长"),5))*(VLOOKUP($B$5,标准坦克设计!$B$24:$U$30,MATCH("对"&amp;LEFT($C$5,2)&amp;"输出",标准坦克设计!$B$23:$U$23,0)))*(VLOOKUP($B97,INDIRECT($B$5&amp;"生成成长"),3))*(VLOOKUP($B$5,标准坦克设计!$B$14:$K$20,9)/30))</f>
        <v>11.869454087420261</v>
      </c>
      <c r="AK97" s="172">
        <f ca="1">(VLOOKUP(AK$72,INDIRECT($C$5&amp;"生成成长"),2))/((VLOOKUP($B97,INDIRECT($B$5&amp;"生成成长"),4))/(VLOOKUP(AK$72,INDIRECT($C$5&amp;"生成成长"),5))*(VLOOKUP($B$5,标准坦克设计!$B$24:$U$30,MATCH("对"&amp;LEFT($C$5,2)&amp;"输出",标准坦克设计!$B$23:$U$23,0)))*(VLOOKUP($B97,INDIRECT($B$5&amp;"生成成长"),3))*(VLOOKUP($B$5,标准坦克设计!$B$14:$K$20,9)/30))</f>
        <v>12.941325080395629</v>
      </c>
      <c r="AL97" s="172">
        <f ca="1">(VLOOKUP(AL$72,INDIRECT($C$5&amp;"生成成长"),2))/((VLOOKUP($B97,INDIRECT($B$5&amp;"生成成长"),4))/(VLOOKUP(AL$72,INDIRECT($C$5&amp;"生成成长"),5))*(VLOOKUP($B$5,标准坦克设计!$B$24:$U$30,MATCH("对"&amp;LEFT($C$5,2)&amp;"输出",标准坦克设计!$B$23:$U$23,0)))*(VLOOKUP($B97,INDIRECT($B$5&amp;"生成成长"),3))*(VLOOKUP($B$5,标准坦克设计!$B$14:$K$20,9)/30))</f>
        <v>14.059524485641059</v>
      </c>
      <c r="AM97" s="172">
        <f ca="1">(VLOOKUP(AM$72,INDIRECT($C$5&amp;"生成成长"),2))/((VLOOKUP($B97,INDIRECT($B$5&amp;"生成成长"),4))/(VLOOKUP(AM$72,INDIRECT($C$5&amp;"生成成长"),5))*(VLOOKUP($B$5,标准坦克设计!$B$24:$U$30,MATCH("对"&amp;LEFT($C$5,2)&amp;"输出",标准坦克设计!$B$23:$U$23,0)))*(VLOOKUP($B97,INDIRECT($B$5&amp;"生成成长"),3))*(VLOOKUP($B$5,标准坦克设计!$B$14:$K$20,9)/30))</f>
        <v>15.22405230315654</v>
      </c>
      <c r="AN97" s="172">
        <f ca="1">(VLOOKUP(AN$72,INDIRECT($C$5&amp;"生成成长"),2))/((VLOOKUP($B97,INDIRECT($B$5&amp;"生成成长"),4))/(VLOOKUP(AN$72,INDIRECT($C$5&amp;"生成成长"),5))*(VLOOKUP($B$5,标准坦克设计!$B$24:$U$30,MATCH("对"&amp;LEFT($C$5,2)&amp;"输出",标准坦克设计!$B$23:$U$23,0)))*(VLOOKUP($B97,INDIRECT($B$5&amp;"生成成长"),3))*(VLOOKUP($B$5,标准坦克设计!$B$14:$K$20,9)/30))</f>
        <v>16.434908532942078</v>
      </c>
      <c r="AO97" s="172">
        <f ca="1">(VLOOKUP(AO$72,INDIRECT($C$5&amp;"生成成长"),2))/((VLOOKUP($B97,INDIRECT($B$5&amp;"生成成长"),4))/(VLOOKUP(AO$72,INDIRECT($C$5&amp;"生成成长"),5))*(VLOOKUP($B$5,标准坦克设计!$B$24:$U$30,MATCH("对"&amp;LEFT($C$5,2)&amp;"输出",标准坦克设计!$B$23:$U$23,0)))*(VLOOKUP($B97,INDIRECT($B$5&amp;"生成成长"),3))*(VLOOKUP($B$5,标准坦克设计!$B$14:$K$20,9)/30))</f>
        <v>17.692093174997673</v>
      </c>
      <c r="AP97" s="172">
        <f ca="1">(VLOOKUP(AP$72,INDIRECT($C$5&amp;"生成成长"),2))/((VLOOKUP($B97,INDIRECT($B$5&amp;"生成成长"),4))/(VLOOKUP(AP$72,INDIRECT($C$5&amp;"生成成长"),5))*(VLOOKUP($B$5,标准坦克设计!$B$24:$U$30,MATCH("对"&amp;LEFT($C$5,2)&amp;"输出",标准坦克设计!$B$23:$U$23,0)))*(VLOOKUP($B97,INDIRECT($B$5&amp;"生成成长"),3))*(VLOOKUP($B$5,标准坦克设计!$B$14:$K$20,9)/30))</f>
        <v>18.995606229323318</v>
      </c>
      <c r="AQ97" s="172">
        <f ca="1">(VLOOKUP(AQ$72,INDIRECT($C$5&amp;"生成成长"),2))/((VLOOKUP($B97,INDIRECT($B$5&amp;"生成成长"),4))/(VLOOKUP(AQ$72,INDIRECT($C$5&amp;"生成成长"),5))*(VLOOKUP($B$5,标准坦克设计!$B$24:$U$30,MATCH("对"&amp;LEFT($C$5,2)&amp;"输出",标准坦克设计!$B$23:$U$23,0)))*(VLOOKUP($B97,INDIRECT($B$5&amp;"生成成长"),3))*(VLOOKUP($B$5,标准坦克设计!$B$14:$K$20,9)/30))</f>
        <v>20.345447695919024</v>
      </c>
      <c r="AR97" s="172">
        <f ca="1">(VLOOKUP(AR$72,INDIRECT($C$5&amp;"生成成长"),2))/((VLOOKUP($B97,INDIRECT($B$5&amp;"生成成长"),4))/(VLOOKUP(AR$72,INDIRECT($C$5&amp;"生成成长"),5))*(VLOOKUP($B$5,标准坦克设计!$B$24:$U$30,MATCH("对"&amp;LEFT($C$5,2)&amp;"输出",标准坦克设计!$B$23:$U$23,0)))*(VLOOKUP($B97,INDIRECT($B$5&amp;"生成成长"),3))*(VLOOKUP($B$5,标准坦克设计!$B$14:$K$20,9)/30))</f>
        <v>21.741617574784783</v>
      </c>
      <c r="AS97" s="172">
        <f ca="1">(VLOOKUP(AS$72,INDIRECT($C$5&amp;"生成成长"),2))/((VLOOKUP($B97,INDIRECT($B$5&amp;"生成成长"),4))/(VLOOKUP(AS$72,INDIRECT($C$5&amp;"生成成长"),5))*(VLOOKUP($B$5,标准坦克设计!$B$24:$U$30,MATCH("对"&amp;LEFT($C$5,2)&amp;"输出",标准坦克设计!$B$23:$U$23,0)))*(VLOOKUP($B97,INDIRECT($B$5&amp;"生成成长"),3))*(VLOOKUP($B$5,标准坦克设计!$B$14:$K$20,9)/30))</f>
        <v>23.184115865920599</v>
      </c>
      <c r="AT97" s="172">
        <f ca="1">(VLOOKUP(AT$72,INDIRECT($C$5&amp;"生成成长"),2))/((VLOOKUP($B97,INDIRECT($B$5&amp;"生成成长"),4))/(VLOOKUP(AT$72,INDIRECT($C$5&amp;"生成成长"),5))*(VLOOKUP($B$5,标准坦克设计!$B$24:$U$30,MATCH("对"&amp;LEFT($C$5,2)&amp;"输出",标准坦克设计!$B$23:$U$23,0)))*(VLOOKUP($B97,INDIRECT($B$5&amp;"生成成长"),3))*(VLOOKUP($B$5,标准坦克设计!$B$14:$K$20,9)/30))</f>
        <v>24.672942569326469</v>
      </c>
      <c r="AU97" s="172">
        <f ca="1">(VLOOKUP(AU$72,INDIRECT($C$5&amp;"生成成长"),2))/((VLOOKUP($B97,INDIRECT($B$5&amp;"生成成长"),4))/(VLOOKUP(AU$72,INDIRECT($C$5&amp;"生成成长"),5))*(VLOOKUP($B$5,标准坦克设计!$B$24:$U$30,MATCH("对"&amp;LEFT($C$5,2)&amp;"输出",标准坦克设计!$B$23:$U$23,0)))*(VLOOKUP($B97,INDIRECT($B$5&amp;"生成成长"),3))*(VLOOKUP($B$5,标准坦克设计!$B$14:$K$20,9)/30))</f>
        <v>26.208097685002397</v>
      </c>
      <c r="AV97" s="172">
        <f ca="1">(VLOOKUP(AV$72,INDIRECT($C$5&amp;"生成成长"),2))/((VLOOKUP($B97,INDIRECT($B$5&amp;"生成成长"),4))/(VLOOKUP(AV$72,INDIRECT($C$5&amp;"生成成长"),5))*(VLOOKUP($B$5,标准坦克设计!$B$24:$U$30,MATCH("对"&amp;LEFT($C$5,2)&amp;"输出",标准坦克设计!$B$23:$U$23,0)))*(VLOOKUP($B97,INDIRECT($B$5&amp;"生成成长"),3))*(VLOOKUP($B$5,标准坦克设计!$B$14:$K$20,9)/30))</f>
        <v>2.6656066630093012</v>
      </c>
      <c r="AW97" s="172">
        <f ca="1">(VLOOKUP(AW$72,INDIRECT($C$5&amp;"生成成长"),2))/((VLOOKUP($B97,INDIRECT($B$5&amp;"生成成长"),4))/(VLOOKUP(AW$72,INDIRECT($C$5&amp;"生成成长"),5))*(VLOOKUP($B$5,标准坦克设计!$B$24:$U$30,MATCH("对"&amp;LEFT($C$5,2)&amp;"输出",标准坦克设计!$B$23:$U$23,0)))*(VLOOKUP($B97,INDIRECT($B$5&amp;"生成成长"),3))*(VLOOKUP($B$5,标准坦克设计!$B$14:$K$20,9)/30))</f>
        <v>3.0392969966917311</v>
      </c>
      <c r="AX97" s="172">
        <f ca="1">(VLOOKUP(AX$72,INDIRECT($C$5&amp;"生成成长"),2))/((VLOOKUP($B97,INDIRECT($B$5&amp;"生成成长"),4))/(VLOOKUP(AX$72,INDIRECT($C$5&amp;"生成成长"),5))*(VLOOKUP($B$5,标准坦克设计!$B$24:$U$30,MATCH("对"&amp;LEFT($C$5,2)&amp;"输出",标准坦克设计!$B$23:$U$23,0)))*(VLOOKUP($B97,INDIRECT($B$5&amp;"生成成长"),3))*(VLOOKUP($B$5,标准坦克设计!$B$14:$K$20,9)/30))</f>
        <v>3.437491614550058</v>
      </c>
      <c r="AY97" s="172">
        <f ca="1">(VLOOKUP(AY$72,INDIRECT($C$5&amp;"生成成长"),2))/((VLOOKUP($B97,INDIRECT($B$5&amp;"生成成长"),4))/(VLOOKUP(AY$72,INDIRECT($C$5&amp;"生成成长"),5))*(VLOOKUP($B$5,标准坦克设计!$B$24:$U$30,MATCH("对"&amp;LEFT($C$5,2)&amp;"输出",标准坦克设计!$B$23:$U$23,0)))*(VLOOKUP($B97,INDIRECT($B$5&amp;"生成成长"),3))*(VLOOKUP($B$5,标准坦克设计!$B$14:$K$20,9)/30))</f>
        <v>3.8601905165842822</v>
      </c>
      <c r="AZ97" s="172">
        <f ca="1">(VLOOKUP(AZ$72,INDIRECT($C$5&amp;"生成成长"),2))/((VLOOKUP($B97,INDIRECT($B$5&amp;"生成成长"),4))/(VLOOKUP(AZ$72,INDIRECT($C$5&amp;"生成成长"),5))*(VLOOKUP($B$5,标准坦克设计!$B$24:$U$30,MATCH("对"&amp;LEFT($C$5,2)&amp;"输出",标准坦克设计!$B$23:$U$23,0)))*(VLOOKUP($B97,INDIRECT($B$5&amp;"生成成长"),3))*(VLOOKUP($B$5,标准坦克设计!$B$14:$K$20,9)/30))</f>
        <v>4.3073937027944043</v>
      </c>
      <c r="BA97" s="172">
        <f ca="1">(VLOOKUP(BA$72,INDIRECT($C$5&amp;"生成成长"),2))/((VLOOKUP($B97,INDIRECT($B$5&amp;"生成成长"),4))/(VLOOKUP(BA$72,INDIRECT($C$5&amp;"生成成长"),5))*(VLOOKUP($B$5,标准坦克设计!$B$24:$U$30,MATCH("对"&amp;LEFT($C$5,2)&amp;"输出",标准坦克设计!$B$23:$U$23,0)))*(VLOOKUP($B97,INDIRECT($B$5&amp;"生成成长"),3))*(VLOOKUP($B$5,标准坦克设计!$B$14:$K$20,9)/30))</f>
        <v>4.7791011731804218</v>
      </c>
      <c r="BB97" s="172">
        <f ca="1">(VLOOKUP(BB$72,INDIRECT($C$5&amp;"生成成长"),2))/((VLOOKUP($B97,INDIRECT($B$5&amp;"生成成长"),4))/(VLOOKUP(BB$72,INDIRECT($C$5&amp;"生成成长"),5))*(VLOOKUP($B$5,标准坦克设计!$B$24:$U$30,MATCH("对"&amp;LEFT($C$5,2)&amp;"输出",标准坦克设计!$B$23:$U$23,0)))*(VLOOKUP($B97,INDIRECT($B$5&amp;"生成成长"),3))*(VLOOKUP($B$5,标准坦克设计!$B$14:$K$20,9)/30))</f>
        <v>5.2753129277423376</v>
      </c>
      <c r="BC97" s="172">
        <f ca="1">(VLOOKUP(BC$72,INDIRECT($C$5&amp;"生成成长"),2))/((VLOOKUP($B97,INDIRECT($B$5&amp;"生成成长"),4))/(VLOOKUP(BC$72,INDIRECT($C$5&amp;"生成成长"),5))*(VLOOKUP($B$5,标准坦克设计!$B$24:$U$30,MATCH("对"&amp;LEFT($C$5,2)&amp;"输出",标准坦克设计!$B$23:$U$23,0)))*(VLOOKUP($B97,INDIRECT($B$5&amp;"生成成长"),3))*(VLOOKUP($B$5,标准坦克设计!$B$14:$K$20,9)/30))</f>
        <v>5.7960289664801499</v>
      </c>
      <c r="BD97" s="172">
        <f ca="1">(VLOOKUP(BD$72,INDIRECT($C$5&amp;"生成成长"),2))/((VLOOKUP($B97,INDIRECT($B$5&amp;"生成成长"),4))/(VLOOKUP(BD$72,INDIRECT($C$5&amp;"生成成长"),5))*(VLOOKUP($B$5,标准坦克设计!$B$24:$U$30,MATCH("对"&amp;LEFT($C$5,2)&amp;"输出",标准坦克设计!$B$23:$U$23,0)))*(VLOOKUP($B97,INDIRECT($B$5&amp;"生成成长"),3))*(VLOOKUP($B$5,标准坦克设计!$B$14:$K$20,9)/30))</f>
        <v>6.4111247872391903</v>
      </c>
      <c r="BE97" s="172">
        <f ca="1">(VLOOKUP(BE$72,INDIRECT($C$5&amp;"生成成长"),2))/((VLOOKUP($B97,INDIRECT($B$5&amp;"生成成长"),4))/(VLOOKUP(BE$72,INDIRECT($C$5&amp;"生成成长"),5))*(VLOOKUP($B$5,标准坦克设计!$B$24:$U$30,MATCH("对"&amp;LEFT($C$5,2)&amp;"输出",标准坦克设计!$B$23:$U$23,0)))*(VLOOKUP($B97,INDIRECT($B$5&amp;"生成成长"),3))*(VLOOKUP($B$5,标准坦克设计!$B$14:$K$20,9)/30))</f>
        <v>7.0572338426583512</v>
      </c>
      <c r="BF97" s="172">
        <f ca="1">(VLOOKUP(BF$72,INDIRECT($C$5&amp;"生成成长"),2))/((VLOOKUP($B97,INDIRECT($B$5&amp;"生成成长"),4))/(VLOOKUP(BF$72,INDIRECT($C$5&amp;"生成成长"),5))*(VLOOKUP($B$5,标准坦克设计!$B$24:$U$30,MATCH("对"&amp;LEFT($C$5,2)&amp;"输出",标准坦克设计!$B$23:$U$23,0)))*(VLOOKUP($B97,INDIRECT($B$5&amp;"生成成长"),3))*(VLOOKUP($B$5,标准坦克设计!$B$14:$K$20,9)/30))</f>
        <v>7.7343561327376324</v>
      </c>
      <c r="BG97" s="172">
        <f ca="1">(VLOOKUP(BG$72,INDIRECT($C$5&amp;"生成成长"),2))/((VLOOKUP($B97,INDIRECT($B$5&amp;"生成成长"),4))/(VLOOKUP(BG$72,INDIRECT($C$5&amp;"生成成长"),5))*(VLOOKUP($B$5,标准坦克设计!$B$24:$U$30,MATCH("对"&amp;LEFT($C$5,2)&amp;"输出",标准坦克设计!$B$23:$U$23,0)))*(VLOOKUP($B97,INDIRECT($B$5&amp;"生成成长"),3))*(VLOOKUP($B$5,标准坦克设计!$B$14:$K$20,9)/30))</f>
        <v>8.4424916574770315</v>
      </c>
      <c r="BH97" s="172">
        <f ca="1">(VLOOKUP(BH$72,INDIRECT($C$5&amp;"生成成长"),2))/((VLOOKUP($B97,INDIRECT($B$5&amp;"生成成长"),4))/(VLOOKUP(BH$72,INDIRECT($C$5&amp;"生成成长"),5))*(VLOOKUP($B$5,标准坦克设计!$B$24:$U$30,MATCH("对"&amp;LEFT($C$5,2)&amp;"输出",标准坦克设计!$B$23:$U$23,0)))*(VLOOKUP($B97,INDIRECT($B$5&amp;"生成成长"),3))*(VLOOKUP($B$5,标准坦克设计!$B$14:$K$20,9)/30))</f>
        <v>4.0807290741673556</v>
      </c>
      <c r="BI97" s="172">
        <f ca="1">(VLOOKUP(BI$72,INDIRECT($C$5&amp;"生成成长"),2))/((VLOOKUP($B97,INDIRECT($B$5&amp;"生成成长"),4))/(VLOOKUP(BI$72,INDIRECT($C$5&amp;"生成成长"),5))*(VLOOKUP($B$5,标准坦克设计!$B$24:$U$30,MATCH("对"&amp;LEFT($C$5,2)&amp;"输出",标准坦克设计!$B$23:$U$23,0)))*(VLOOKUP($B97,INDIRECT($B$5&amp;"生成成长"),3))*(VLOOKUP($B$5,标准坦克设计!$B$14:$K$20,9)/30))</f>
        <v>4.5993392759838017</v>
      </c>
      <c r="BJ97" s="172">
        <f ca="1">(VLOOKUP(BJ$72,INDIRECT($C$5&amp;"生成成长"),2))/((VLOOKUP($B97,INDIRECT($B$5&amp;"生成成长"),4))/(VLOOKUP(BJ$72,INDIRECT($C$5&amp;"生成成长"),5))*(VLOOKUP($B$5,标准坦克设计!$B$24:$U$30,MATCH("对"&amp;LEFT($C$5,2)&amp;"输出",标准坦克设计!$B$23:$U$23,0)))*(VLOOKUP($B97,INDIRECT($B$5&amp;"生成成长"),3))*(VLOOKUP($B$5,标准坦克设计!$B$14:$K$20,9)/30))</f>
        <v>5.1489627124603672</v>
      </c>
      <c r="BK97" s="172">
        <f ca="1">(VLOOKUP(BK$72,INDIRECT($C$5&amp;"生成成长"),2))/((VLOOKUP($B97,INDIRECT($B$5&amp;"生成成长"),4))/(VLOOKUP(BK$72,INDIRECT($C$5&amp;"生成成长"),5))*(VLOOKUP($B$5,标准坦克设计!$B$24:$U$30,MATCH("对"&amp;LEFT($C$5,2)&amp;"输出",标准坦克设计!$B$23:$U$23,0)))*(VLOOKUP($B97,INDIRECT($B$5&amp;"生成成长"),3))*(VLOOKUP($B$5,标准坦克设计!$B$14:$K$20,9)/30))</f>
        <v>5.7295993835970522</v>
      </c>
      <c r="BL97" s="172">
        <f ca="1">(VLOOKUP(BL$72,INDIRECT($C$5&amp;"生成成长"),2))/((VLOOKUP($B97,INDIRECT($B$5&amp;"生成成长"),4))/(VLOOKUP(BL$72,INDIRECT($C$5&amp;"生成成长"),5))*(VLOOKUP($B$5,标准坦克设计!$B$24:$U$30,MATCH("对"&amp;LEFT($C$5,2)&amp;"输出",标准坦克设计!$B$23:$U$23,0)))*(VLOOKUP($B97,INDIRECT($B$5&amp;"生成成长"),3))*(VLOOKUP($B$5,标准坦克设计!$B$14:$K$20,9)/30))</f>
        <v>6.3412492893938577</v>
      </c>
      <c r="BM97" s="172">
        <f ca="1">(VLOOKUP(BM$72,INDIRECT($C$5&amp;"生成成长"),2))/((VLOOKUP($B97,INDIRECT($B$5&amp;"生成成长"),4))/(VLOOKUP(BM$72,INDIRECT($C$5&amp;"生成成长"),5))*(VLOOKUP($B$5,标准坦克设计!$B$24:$U$30,MATCH("对"&amp;LEFT($C$5,2)&amp;"输出",标准坦克设计!$B$23:$U$23,0)))*(VLOOKUP($B97,INDIRECT($B$5&amp;"生成成长"),3))*(VLOOKUP($B$5,标准坦克设计!$B$14:$K$20,9)/30))</f>
        <v>6.9839124298507835</v>
      </c>
      <c r="BN97" s="172">
        <f ca="1">(VLOOKUP(BN$72,INDIRECT($C$5&amp;"生成成长"),2))/((VLOOKUP($B97,INDIRECT($B$5&amp;"生成成长"),4))/(VLOOKUP(BN$72,INDIRECT($C$5&amp;"生成成长"),5))*(VLOOKUP($B$5,标准坦克设计!$B$24:$U$30,MATCH("对"&amp;LEFT($C$5,2)&amp;"输出",标准坦克设计!$B$23:$U$23,0)))*(VLOOKUP($B97,INDIRECT($B$5&amp;"生成成长"),3))*(VLOOKUP($B$5,标准坦克设计!$B$14:$K$20,9)/30))</f>
        <v>7.6575888049678289</v>
      </c>
      <c r="BO97" s="172">
        <f ca="1">(VLOOKUP(BO$72,INDIRECT($C$5&amp;"生成成长"),2))/((VLOOKUP($B97,INDIRECT($B$5&amp;"生成成长"),4))/(VLOOKUP(BO$72,INDIRECT($C$5&amp;"生成成长"),5))*(VLOOKUP($B$5,标准坦克设计!$B$24:$U$30,MATCH("对"&amp;LEFT($C$5,2)&amp;"输出",标准坦克设计!$B$23:$U$23,0)))*(VLOOKUP($B97,INDIRECT($B$5&amp;"生成成长"),3))*(VLOOKUP($B$5,标准坦克设计!$B$14:$K$20,9)/30))</f>
        <v>8.362278414744992</v>
      </c>
      <c r="BP97" s="172">
        <f ca="1">(VLOOKUP(BP$72,INDIRECT($C$5&amp;"生成成长"),2))/((VLOOKUP($B97,INDIRECT($B$5&amp;"生成成长"),4))/(VLOOKUP(BP$72,INDIRECT($C$5&amp;"生成成长"),5))*(VLOOKUP($B$5,标准坦克设计!$B$24:$U$30,MATCH("对"&amp;LEFT($C$5,2)&amp;"输出",标准坦克设计!$B$23:$U$23,0)))*(VLOOKUP($B97,INDIRECT($B$5&amp;"生成成长"),3))*(VLOOKUP($B$5,标准坦克设计!$B$14:$K$20,9)/30))</f>
        <v>9.0979812591822782</v>
      </c>
      <c r="BQ97" s="172">
        <f ca="1">(VLOOKUP(BQ$72,INDIRECT($C$5&amp;"生成成长"),2))/((VLOOKUP($B97,INDIRECT($B$5&amp;"生成成长"),4))/(VLOOKUP(BQ$72,INDIRECT($C$5&amp;"生成成长"),5))*(VLOOKUP($B$5,标准坦克设计!$B$24:$U$30,MATCH("对"&amp;LEFT($C$5,2)&amp;"输出",标准坦克设计!$B$23:$U$23,0)))*(VLOOKUP($B97,INDIRECT($B$5&amp;"生成成长"),3))*(VLOOKUP($B$5,标准坦克设计!$B$14:$K$20,9)/30))</f>
        <v>9.864697338279683</v>
      </c>
      <c r="BR97" s="172">
        <f ca="1">(VLOOKUP(BR$72,INDIRECT($C$5&amp;"生成成长"),2))/((VLOOKUP($B97,INDIRECT($B$5&amp;"生成成长"),4))/(VLOOKUP(BR$72,INDIRECT($C$5&amp;"生成成长"),5))*(VLOOKUP($B$5,标准坦克设计!$B$24:$U$30,MATCH("对"&amp;LEFT($C$5,2)&amp;"输出",标准坦克设计!$B$23:$U$23,0)))*(VLOOKUP($B97,INDIRECT($B$5&amp;"生成成长"),3))*(VLOOKUP($B$5,标准坦克设计!$B$14:$K$20,9)/30))</f>
        <v>10.752977639655949</v>
      </c>
      <c r="BS97" s="172">
        <f ca="1">(VLOOKUP(BS$72,INDIRECT($C$5&amp;"生成成长"),2))/((VLOOKUP($B97,INDIRECT($B$5&amp;"生成成长"),4))/(VLOOKUP(BS$72,INDIRECT($C$5&amp;"生成成长"),5))*(VLOOKUP($B$5,标准坦克设计!$B$24:$U$30,MATCH("对"&amp;LEFT($C$5,2)&amp;"输出",标准坦克设计!$B$23:$U$23,0)))*(VLOOKUP($B97,INDIRECT($B$5&amp;"生成成长"),3))*(VLOOKUP($B$5,标准坦克设计!$B$14:$K$20,9)/30))</f>
        <v>11.679545885057056</v>
      </c>
      <c r="BT97" s="172">
        <f ca="1">(VLOOKUP(BT$72,INDIRECT($C$5&amp;"生成成长"),2))/((VLOOKUP($B97,INDIRECT($B$5&amp;"生成成长"),4))/(VLOOKUP(BT$72,INDIRECT($C$5&amp;"生成成长"),5))*(VLOOKUP($B$5,标准坦克设计!$B$24:$U$30,MATCH("对"&amp;LEFT($C$5,2)&amp;"输出",标准坦克设计!$B$23:$U$23,0)))*(VLOOKUP($B97,INDIRECT($B$5&amp;"生成成长"),3))*(VLOOKUP($B$5,标准坦克设计!$B$14:$K$20,9)/30))</f>
        <v>12.644402074483001</v>
      </c>
      <c r="BU97" s="172">
        <f ca="1">(VLOOKUP(BU$72,INDIRECT($C$5&amp;"生成成长"),2))/((VLOOKUP($B97,INDIRECT($B$5&amp;"生成成长"),4))/(VLOOKUP(BU$72,INDIRECT($C$5&amp;"生成成长"),5))*(VLOOKUP($B$5,标准坦克设计!$B$24:$U$30,MATCH("对"&amp;LEFT($C$5,2)&amp;"输出",标准坦克设计!$B$23:$U$23,0)))*(VLOOKUP($B97,INDIRECT($B$5&amp;"生成成长"),3))*(VLOOKUP($B$5,标准坦克设计!$B$14:$K$20,9)/30))</f>
        <v>13.647546207933788</v>
      </c>
      <c r="BV97" s="172">
        <f ca="1">(VLOOKUP(BV$72,INDIRECT($C$5&amp;"生成成长"),2))/((VLOOKUP($B97,INDIRECT($B$5&amp;"生成成长"),4))/(VLOOKUP(BV$72,INDIRECT($C$5&amp;"生成成长"),5))*(VLOOKUP($B$5,标准坦克设计!$B$24:$U$30,MATCH("对"&amp;LEFT($C$5,2)&amp;"输出",标准坦克设计!$B$23:$U$23,0)))*(VLOOKUP($B97,INDIRECT($B$5&amp;"生成成长"),3))*(VLOOKUP($B$5,标准坦克设计!$B$14:$K$20,9)/30))</f>
        <v>14.688978285409412</v>
      </c>
      <c r="BW97" s="172">
        <f ca="1">(VLOOKUP(BW$72,INDIRECT($C$5&amp;"生成成长"),2))/((VLOOKUP($B97,INDIRECT($B$5&amp;"生成成长"),4))/(VLOOKUP(BW$72,INDIRECT($C$5&amp;"生成成长"),5))*(VLOOKUP($B$5,标准坦克设计!$B$24:$U$30,MATCH("对"&amp;LEFT($C$5,2)&amp;"输出",标准坦克设计!$B$23:$U$23,0)))*(VLOOKUP($B97,INDIRECT($B$5&amp;"生成成长"),3))*(VLOOKUP($B$5,标准坦克设计!$B$14:$K$20,9)/30))</f>
        <v>6.6944555730230002</v>
      </c>
      <c r="BX97" s="172">
        <f ca="1">(VLOOKUP(BX$72,INDIRECT($C$5&amp;"生成成长"),2))/((VLOOKUP($B97,INDIRECT($B$5&amp;"生成成长"),4))/(VLOOKUP(BX$72,INDIRECT($C$5&amp;"生成成长"),5))*(VLOOKUP($B$5,标准坦克设计!$B$24:$U$30,MATCH("对"&amp;LEFT($C$5,2)&amp;"输出",标准坦克设计!$B$23:$U$23,0)))*(VLOOKUP($B97,INDIRECT($B$5&amp;"生成成长"),3))*(VLOOKUP($B$5,标准坦克设计!$B$14:$K$20,9)/30))</f>
        <v>7.4295840982999115</v>
      </c>
      <c r="BY97" s="172">
        <f ca="1">(VLOOKUP(BY$72,INDIRECT($C$5&amp;"生成成长"),2))/((VLOOKUP($B97,INDIRECT($B$5&amp;"生成成长"),4))/(VLOOKUP(BY$72,INDIRECT($C$5&amp;"生成成长"),5))*(VLOOKUP($B$5,标准坦克设计!$B$24:$U$30,MATCH("对"&amp;LEFT($C$5,2)&amp;"输出",标准坦克设计!$B$23:$U$23,0)))*(VLOOKUP($B97,INDIRECT($B$5&amp;"生成成长"),3))*(VLOOKUP($B$5,标准坦克设计!$B$14:$K$20,9)/30))</f>
        <v>8.2030005676016629</v>
      </c>
      <c r="BZ97" s="172">
        <f ca="1">(VLOOKUP(BZ$72,INDIRECT($C$5&amp;"生成成长"),2))/((VLOOKUP($B97,INDIRECT($B$5&amp;"生成成长"),4))/(VLOOKUP(BZ$72,INDIRECT($C$5&amp;"生成成长"),5))*(VLOOKUP($B$5,标准坦克设计!$B$24:$U$30,MATCH("对"&amp;LEFT($C$5,2)&amp;"输出",标准坦克设计!$B$23:$U$23,0)))*(VLOOKUP($B97,INDIRECT($B$5&amp;"生成成长"),3))*(VLOOKUP($B$5,标准坦克设计!$B$14:$K$20,9)/30))</f>
        <v>9.0147049809282542</v>
      </c>
      <c r="CA97" s="172">
        <f ca="1">(VLOOKUP(CA$72,INDIRECT($C$5&amp;"生成成长"),2))/((VLOOKUP($B97,INDIRECT($B$5&amp;"生成成长"),4))/(VLOOKUP(CA$72,INDIRECT($C$5&amp;"生成成长"),5))*(VLOOKUP($B$5,标准坦克设计!$B$24:$U$30,MATCH("对"&amp;LEFT($C$5,2)&amp;"输出",标准坦克设计!$B$23:$U$23,0)))*(VLOOKUP($B97,INDIRECT($B$5&amp;"生成成长"),3))*(VLOOKUP($B$5,标准坦克设计!$B$14:$K$20,9)/30))</f>
        <v>9.864697338279683</v>
      </c>
      <c r="CB97" s="172">
        <f ca="1">(VLOOKUP(CB$72,INDIRECT($C$5&amp;"生成成长"),2))/((VLOOKUP($B97,INDIRECT($B$5&amp;"生成成长"),4))/(VLOOKUP(CB$72,INDIRECT($C$5&amp;"生成成长"),5))*(VLOOKUP($B$5,标准坦克设计!$B$24:$U$30,MATCH("对"&amp;LEFT($C$5,2)&amp;"输出",标准坦克设计!$B$23:$U$23,0)))*(VLOOKUP($B97,INDIRECT($B$5&amp;"生成成长"),3))*(VLOOKUP($B$5,标准坦克设计!$B$14:$K$20,9)/30))</f>
        <v>10.752977639655949</v>
      </c>
      <c r="CC97" s="172">
        <f ca="1">(VLOOKUP(CC$72,INDIRECT($C$5&amp;"生成成长"),2))/((VLOOKUP($B97,INDIRECT($B$5&amp;"生成成长"),4))/(VLOOKUP(CC$72,INDIRECT($C$5&amp;"生成成长"),5))*(VLOOKUP($B$5,标准坦克设计!$B$24:$U$30,MATCH("对"&amp;LEFT($C$5,2)&amp;"输出",标准坦克设计!$B$23:$U$23,0)))*(VLOOKUP($B97,INDIRECT($B$5&amp;"生成成长"),3))*(VLOOKUP($B$5,标准坦克设计!$B$14:$K$20,9)/30))</f>
        <v>11.679545885057056</v>
      </c>
      <c r="CD97" s="172">
        <f ca="1">(VLOOKUP(CD$72,INDIRECT($C$5&amp;"生成成长"),2))/((VLOOKUP($B97,INDIRECT($B$5&amp;"生成成长"),4))/(VLOOKUP(CD$72,INDIRECT($C$5&amp;"生成成长"),5))*(VLOOKUP($B$5,标准坦克设计!$B$24:$U$30,MATCH("对"&amp;LEFT($C$5,2)&amp;"输出",标准坦克设计!$B$23:$U$23,0)))*(VLOOKUP($B97,INDIRECT($B$5&amp;"生成成长"),3))*(VLOOKUP($B$5,标准坦克设计!$B$14:$K$20,9)/30))</f>
        <v>12.644402074483001</v>
      </c>
      <c r="CE97" s="172">
        <f ca="1">(VLOOKUP(CE$72,INDIRECT($C$5&amp;"生成成长"),2))/((VLOOKUP($B97,INDIRECT($B$5&amp;"生成成长"),4))/(VLOOKUP(CE$72,INDIRECT($C$5&amp;"生成成长"),5))*(VLOOKUP($B$5,标准坦克设计!$B$24:$U$30,MATCH("对"&amp;LEFT($C$5,2)&amp;"输出",标准坦克设计!$B$23:$U$23,0)))*(VLOOKUP($B97,INDIRECT($B$5&amp;"生成成长"),3))*(VLOOKUP($B$5,标准坦克设计!$B$14:$K$20,9)/30))</f>
        <v>13.647546207933788</v>
      </c>
      <c r="CF97" s="172">
        <f ca="1">(VLOOKUP(CF$72,INDIRECT($C$5&amp;"生成成长"),2))/((VLOOKUP($B97,INDIRECT($B$5&amp;"生成成长"),4))/(VLOOKUP(CF$72,INDIRECT($C$5&amp;"生成成长"),5))*(VLOOKUP($B$5,标准坦克设计!$B$24:$U$30,MATCH("对"&amp;LEFT($C$5,2)&amp;"输出",标准坦克设计!$B$23:$U$23,0)))*(VLOOKUP($B97,INDIRECT($B$5&amp;"生成成长"),3))*(VLOOKUP($B$5,标准坦克设计!$B$14:$K$20,9)/30))</f>
        <v>14.688978285409412</v>
      </c>
      <c r="CG97" s="172">
        <f ca="1">(VLOOKUP(CG$72,INDIRECT($C$5&amp;"生成成长"),2))/((VLOOKUP($B97,INDIRECT($B$5&amp;"生成成长"),4))/(VLOOKUP(CG$72,INDIRECT($C$5&amp;"生成成长"),5))*(VLOOKUP($B$5,标准坦克设计!$B$24:$U$30,MATCH("对"&amp;LEFT($C$5,2)&amp;"输出",标准坦克设计!$B$23:$U$23,0)))*(VLOOKUP($B97,INDIRECT($B$5&amp;"生成成长"),3))*(VLOOKUP($B$5,标准坦克设计!$B$14:$K$20,9)/30))</f>
        <v>15.768698306909878</v>
      </c>
      <c r="CH97" s="172">
        <f ca="1">(VLOOKUP(CH$72,INDIRECT($C$5&amp;"生成成长"),2))/((VLOOKUP($B97,INDIRECT($B$5&amp;"生成成长"),4))/(VLOOKUP(CH$72,INDIRECT($C$5&amp;"生成成长"),5))*(VLOOKUP($B$5,标准坦克设计!$B$24:$U$30,MATCH("对"&amp;LEFT($C$5,2)&amp;"输出",标准坦克设计!$B$23:$U$23,0)))*(VLOOKUP($B97,INDIRECT($B$5&amp;"生成成长"),3))*(VLOOKUP($B$5,标准坦克设计!$B$14:$K$20,9)/30))</f>
        <v>16.886706272435177</v>
      </c>
      <c r="CI97" s="172">
        <f ca="1">(VLOOKUP(CI$72,INDIRECT($C$5&amp;"生成成长"),2))/((VLOOKUP($B97,INDIRECT($B$5&amp;"生成成长"),4))/(VLOOKUP(CI$72,INDIRECT($C$5&amp;"生成成长"),5))*(VLOOKUP($B$5,标准坦克设计!$B$24:$U$30,MATCH("对"&amp;LEFT($C$5,2)&amp;"输出",标准坦克设计!$B$23:$U$23,0)))*(VLOOKUP($B97,INDIRECT($B$5&amp;"生成成长"),3))*(VLOOKUP($B$5,标准坦克设计!$B$14:$K$20,9)/30))</f>
        <v>18.160737609861698</v>
      </c>
      <c r="CJ97" s="172">
        <f ca="1">(VLOOKUP(CJ$72,INDIRECT($C$5&amp;"生成成长"),2))/((VLOOKUP($B97,INDIRECT($B$5&amp;"生成成长"),4))/(VLOOKUP(CJ$72,INDIRECT($C$5&amp;"生成成长"),5))*(VLOOKUP($B$5,标准坦克设计!$B$24:$U$30,MATCH("对"&amp;LEFT($C$5,2)&amp;"输出",标准坦克设计!$B$23:$U$23,0)))*(VLOOKUP($B97,INDIRECT($B$5&amp;"生成成长"),3))*(VLOOKUP($B$5,标准坦克设计!$B$14:$K$20,9)/30))</f>
        <v>19.48109735955828</v>
      </c>
      <c r="CK97" s="172">
        <f ca="1">(VLOOKUP(CK$72,INDIRECT($C$5&amp;"生成成长"),2))/((VLOOKUP($B97,INDIRECT($B$5&amp;"生成成长"),4))/(VLOOKUP(CK$72,INDIRECT($C$5&amp;"生成成长"),5))*(VLOOKUP($B$5,标准坦克设计!$B$24:$U$30,MATCH("对"&amp;LEFT($C$5,2)&amp;"输出",标准坦克设计!$B$23:$U$23,0)))*(VLOOKUP($B97,INDIRECT($B$5&amp;"生成成长"),3))*(VLOOKUP($B$5,标准坦克设计!$B$14:$K$20,9)/30))</f>
        <v>20.847785521524912</v>
      </c>
      <c r="CL97" s="172">
        <f ca="1">(VLOOKUP(CL$72,INDIRECT($C$5&amp;"生成成长"),2))/((VLOOKUP($B97,INDIRECT($B$5&amp;"生成成长"),4))/(VLOOKUP(CL$72,INDIRECT($C$5&amp;"生成成长"),5))*(VLOOKUP($B$5,标准坦克设计!$B$24:$U$30,MATCH("对"&amp;LEFT($C$5,2)&amp;"输出",标准坦克设计!$B$23:$U$23,0)))*(VLOOKUP($B97,INDIRECT($B$5&amp;"生成成长"),3))*(VLOOKUP($B$5,标准坦克设计!$B$14:$K$20,9)/30))</f>
        <v>22.260802095761601</v>
      </c>
      <c r="CM97" s="172">
        <f ca="1">(VLOOKUP(CM$72,INDIRECT($C$5&amp;"生成成长"),2))/((VLOOKUP($B97,INDIRECT($B$5&amp;"生成成长"),4))/(VLOOKUP(CM$72,INDIRECT($C$5&amp;"生成成长"),5))*(VLOOKUP($B$5,标准坦克设计!$B$24:$U$30,MATCH("对"&amp;LEFT($C$5,2)&amp;"输出",标准坦克设计!$B$23:$U$23,0)))*(VLOOKUP($B97,INDIRECT($B$5&amp;"生成成长"),3))*(VLOOKUP($B$5,标准坦克设计!$B$14:$K$20,9)/30))</f>
        <v>23.720147082268348</v>
      </c>
      <c r="CN97" s="172">
        <f ca="1">(VLOOKUP(CN$72,INDIRECT($C$5&amp;"生成成长"),2))/((VLOOKUP($B97,INDIRECT($B$5&amp;"生成成长"),4))/(VLOOKUP(CN$72,INDIRECT($C$5&amp;"生成成长"),5))*(VLOOKUP($B$5,标准坦克设计!$B$24:$U$30,MATCH("对"&amp;LEFT($C$5,2)&amp;"输出",标准坦克设计!$B$23:$U$23,0)))*(VLOOKUP($B97,INDIRECT($B$5&amp;"生成成长"),3))*(VLOOKUP($B$5,标准坦克设计!$B$14:$K$20,9)/30))</f>
        <v>25.225820481045147</v>
      </c>
      <c r="CO97" s="172">
        <f ca="1">(VLOOKUP(CO$72,INDIRECT($C$5&amp;"生成成长"),2))/((VLOOKUP($B97,INDIRECT($B$5&amp;"生成成长"),4))/(VLOOKUP(CO$72,INDIRECT($C$5&amp;"生成成长"),5))*(VLOOKUP($B$5,标准坦克设计!$B$24:$U$30,MATCH("对"&amp;LEFT($C$5,2)&amp;"输出",标准坦克设计!$B$23:$U$23,0)))*(VLOOKUP($B97,INDIRECT($B$5&amp;"生成成长"),3))*(VLOOKUP($B$5,标准坦克设计!$B$14:$K$20,9)/30))</f>
        <v>11.304324033613634</v>
      </c>
      <c r="CP97" s="172">
        <f ca="1">(VLOOKUP(CP$72,INDIRECT($C$5&amp;"生成成长"),2))/((VLOOKUP($B97,INDIRECT($B$5&amp;"生成成长"),4))/(VLOOKUP(CP$72,INDIRECT($C$5&amp;"生成成长"),5))*(VLOOKUP($B$5,标准坦克设计!$B$24:$U$30,MATCH("对"&amp;LEFT($C$5,2)&amp;"输出",标准坦克设计!$B$23:$U$23,0)))*(VLOOKUP($B97,INDIRECT($B$5&amp;"生成成长"),3))*(VLOOKUP($B$5,标准坦克设计!$B$14:$K$20,9)/30))</f>
        <v>12.350924983532611</v>
      </c>
      <c r="CQ97" s="172">
        <f ca="1">(VLOOKUP(CQ$72,INDIRECT($C$5&amp;"生成成长"),2))/((VLOOKUP($B97,INDIRECT($B$5&amp;"生成成长"),4))/(VLOOKUP(CQ$72,INDIRECT($C$5&amp;"生成成长"),5))*(VLOOKUP($B$5,标准坦克设计!$B$24:$U$30,MATCH("对"&amp;LEFT($C$5,2)&amp;"输出",标准坦克设计!$B$23:$U$23,0)))*(VLOOKUP($B97,INDIRECT($B$5&amp;"生成成长"),3))*(VLOOKUP($B$5,标准坦克设计!$B$14:$K$20,9)/30))</f>
        <v>13.443854345721643</v>
      </c>
      <c r="CR97" s="172">
        <f ca="1">(VLOOKUP(CR$72,INDIRECT($C$5&amp;"生成成长"),2))/((VLOOKUP($B97,INDIRECT($B$5&amp;"生成成长"),4))/(VLOOKUP(CR$72,INDIRECT($C$5&amp;"生成成长"),5))*(VLOOKUP($B$5,标准坦克设计!$B$24:$U$30,MATCH("对"&amp;LEFT($C$5,2)&amp;"输出",标准坦克设计!$B$23:$U$23,0)))*(VLOOKUP($B97,INDIRECT($B$5&amp;"生成成长"),3))*(VLOOKUP($B$5,标准坦克设计!$B$14:$K$20,9)/30))</f>
        <v>14.583112120180733</v>
      </c>
      <c r="CS97" s="172">
        <f ca="1">(VLOOKUP(CS$72,INDIRECT($C$5&amp;"生成成长"),2))/((VLOOKUP($B97,INDIRECT($B$5&amp;"生成成长"),4))/(VLOOKUP(CS$72,INDIRECT($C$5&amp;"生成成长"),5))*(VLOOKUP($B$5,标准坦克设计!$B$24:$U$30,MATCH("对"&amp;LEFT($C$5,2)&amp;"输出",标准坦克设计!$B$23:$U$23,0)))*(VLOOKUP($B97,INDIRECT($B$5&amp;"生成成长"),3))*(VLOOKUP($B$5,标准坦克设计!$B$14:$K$20,9)/30))</f>
        <v>15.768698306909878</v>
      </c>
      <c r="CT97" s="172">
        <f ca="1">(VLOOKUP(CT$72,INDIRECT($C$5&amp;"生成成长"),2))/((VLOOKUP($B97,INDIRECT($B$5&amp;"生成成长"),4))/(VLOOKUP(CT$72,INDIRECT($C$5&amp;"生成成长"),5))*(VLOOKUP($B$5,标准坦克设计!$B$24:$U$30,MATCH("对"&amp;LEFT($C$5,2)&amp;"输出",标准坦克设计!$B$23:$U$23,0)))*(VLOOKUP($B97,INDIRECT($B$5&amp;"生成成长"),3))*(VLOOKUP($B$5,标准坦克设计!$B$14:$K$20,9)/30))</f>
        <v>17.000612905909076</v>
      </c>
      <c r="CU97" s="172">
        <f ca="1">(VLOOKUP(CU$72,INDIRECT($C$5&amp;"生成成长"),2))/((VLOOKUP($B97,INDIRECT($B$5&amp;"生成成长"),4))/(VLOOKUP(CU$72,INDIRECT($C$5&amp;"生成成长"),5))*(VLOOKUP($B$5,标准坦克设计!$B$24:$U$30,MATCH("对"&amp;LEFT($C$5,2)&amp;"输出",标准坦克设计!$B$23:$U$23,0)))*(VLOOKUP($B97,INDIRECT($B$5&amp;"生成成长"),3))*(VLOOKUP($B$5,标准坦克设计!$B$14:$K$20,9)/30))</f>
        <v>18.27885591717833</v>
      </c>
      <c r="CV97" s="172">
        <f ca="1">(VLOOKUP(CV$72,INDIRECT($C$5&amp;"生成成长"),2))/((VLOOKUP($B97,INDIRECT($B$5&amp;"生成成长"),4))/(VLOOKUP(CV$72,INDIRECT($C$5&amp;"生成成长"),5))*(VLOOKUP($B$5,标准坦克设计!$B$24:$U$30,MATCH("对"&amp;LEFT($C$5,2)&amp;"输出",标准坦克设计!$B$23:$U$23,0)))*(VLOOKUP($B97,INDIRECT($B$5&amp;"生成成长"),3))*(VLOOKUP($B$5,标准坦克设计!$B$14:$K$20,9)/30))</f>
        <v>19.603427340717641</v>
      </c>
      <c r="CW97" s="172">
        <f ca="1">(VLOOKUP(CW$72,INDIRECT($C$5&amp;"生成成长"),2))/((VLOOKUP($B97,INDIRECT($B$5&amp;"生成成长"),4))/(VLOOKUP(CW$72,INDIRECT($C$5&amp;"生成成长"),5))*(VLOOKUP($B$5,标准坦克设计!$B$24:$U$30,MATCH("对"&amp;LEFT($C$5,2)&amp;"输出",标准坦克设计!$B$23:$U$23,0)))*(VLOOKUP($B97,INDIRECT($B$5&amp;"生成成长"),3))*(VLOOKUP($B$5,标准坦克设计!$B$14:$K$20,9)/30))</f>
        <v>20.974327176527009</v>
      </c>
      <c r="CX97" s="172">
        <f ca="1">(VLOOKUP(CX$72,INDIRECT($C$5&amp;"生成成长"),2))/((VLOOKUP($B97,INDIRECT($B$5&amp;"生成成长"),4))/(VLOOKUP(CX$72,INDIRECT($C$5&amp;"生成成长"),5))*(VLOOKUP($B$5,标准坦克设计!$B$24:$U$30,MATCH("对"&amp;LEFT($C$5,2)&amp;"输出",标准坦克设计!$B$23:$U$23,0)))*(VLOOKUP($B97,INDIRECT($B$5&amp;"生成成长"),3))*(VLOOKUP($B$5,标准坦克设计!$B$14:$K$20,9)/30))</f>
        <v>22.391555424606427</v>
      </c>
      <c r="CY97" s="172">
        <f ca="1">(VLOOKUP(CY$72,INDIRECT($C$5&amp;"生成成长"),2))/((VLOOKUP($B97,INDIRECT($B$5&amp;"生成成长"),4))/(VLOOKUP(CY$72,INDIRECT($C$5&amp;"生成成长"),5))*(VLOOKUP($B$5,标准坦克设计!$B$24:$U$30,MATCH("对"&amp;LEFT($C$5,2)&amp;"输出",标准坦克设计!$B$23:$U$23,0)))*(VLOOKUP($B97,INDIRECT($B$5&amp;"生成成长"),3))*(VLOOKUP($B$5,标准坦克设计!$B$14:$K$20,9)/30))</f>
        <v>23.855112084955909</v>
      </c>
      <c r="CZ97" s="172">
        <f ca="1">(VLOOKUP(CZ$72,INDIRECT($C$5&amp;"生成成长"),2))/((VLOOKUP($B97,INDIRECT($B$5&amp;"生成成长"),4))/(VLOOKUP(CZ$72,INDIRECT($C$5&amp;"生成成长"),5))*(VLOOKUP($B$5,标准坦克设计!$B$24:$U$30,MATCH("对"&amp;LEFT($C$5,2)&amp;"输出",标准坦克设计!$B$23:$U$23,0)))*(VLOOKUP($B97,INDIRECT($B$5&amp;"生成成长"),3))*(VLOOKUP($B$5,标准坦克设计!$B$14:$K$20,9)/30))</f>
        <v>25.364997157575431</v>
      </c>
      <c r="DA97" s="172">
        <f ca="1">(VLOOKUP(DA$72,INDIRECT($C$5&amp;"生成成长"),2))/((VLOOKUP($B97,INDIRECT($B$5&amp;"生成成长"),4))/(VLOOKUP(DA$72,INDIRECT($C$5&amp;"生成成长"),5))*(VLOOKUP($B$5,标准坦克设计!$B$24:$U$30,MATCH("对"&amp;LEFT($C$5,2)&amp;"输出",标准坦克设计!$B$23:$U$23,0)))*(VLOOKUP($B97,INDIRECT($B$5&amp;"生成成长"),3))*(VLOOKUP($B$5,标准坦克设计!$B$14:$K$20,9)/30))</f>
        <v>26.921210642465027</v>
      </c>
      <c r="DB97" s="172">
        <f ca="1">(VLOOKUP(DB$72,INDIRECT($C$5&amp;"生成成长"),2))/((VLOOKUP($B97,INDIRECT($B$5&amp;"生成成长"),4))/(VLOOKUP(DB$72,INDIRECT($C$5&amp;"生成成长"),5))*(VLOOKUP($B$5,标准坦克设计!$B$24:$U$30,MATCH("对"&amp;LEFT($C$5,2)&amp;"输出",标准坦克设计!$B$23:$U$23,0)))*(VLOOKUP($B97,INDIRECT($B$5&amp;"生成成长"),3))*(VLOOKUP($B$5,标准坦克设计!$B$14:$K$20,9)/30))</f>
        <v>28.523752539624667</v>
      </c>
      <c r="DC97" s="172">
        <f ca="1">(VLOOKUP(DC$72,INDIRECT($C$5&amp;"生成成长"),2))/((VLOOKUP($B97,INDIRECT($B$5&amp;"生成成长"),4))/(VLOOKUP(DC$72,INDIRECT($C$5&amp;"生成成长"),5))*(VLOOKUP($B$5,标准坦克设计!$B$24:$U$30,MATCH("对"&amp;LEFT($C$5,2)&amp;"输出",标准坦克设计!$B$23:$U$23,0)))*(VLOOKUP($B97,INDIRECT($B$5&amp;"生成成长"),3))*(VLOOKUP($B$5,标准坦克设计!$B$14:$K$20,9)/30))</f>
        <v>30.324817426553096</v>
      </c>
      <c r="DD97" s="172">
        <f ca="1">(VLOOKUP(DD$72,INDIRECT($C$5&amp;"生成成长"),2))/((VLOOKUP($B97,INDIRECT($B$5&amp;"生成成长"),4))/(VLOOKUP(DD$72,INDIRECT($C$5&amp;"生成成长"),5))*(VLOOKUP($B$5,标准坦克设计!$B$24:$U$30,MATCH("对"&amp;LEFT($C$5,2)&amp;"输出",标准坦克设计!$B$23:$U$23,0)))*(VLOOKUP($B97,INDIRECT($B$5&amp;"生成成长"),3))*(VLOOKUP($B$5,标准坦克设计!$B$14:$K$20,9)/30))</f>
        <v>32.1810169528773</v>
      </c>
      <c r="DE97" s="172">
        <f ca="1">(VLOOKUP(DE$72,INDIRECT($C$5&amp;"生成成长"),2))/((VLOOKUP($B97,INDIRECT($B$5&amp;"生成成长"),4))/(VLOOKUP(DE$72,INDIRECT($C$5&amp;"生成成长"),5))*(VLOOKUP($B$5,标准坦克设计!$B$24:$U$30,MATCH("对"&amp;LEFT($C$5,2)&amp;"输出",标准坦克设计!$B$23:$U$23,0)))*(VLOOKUP($B97,INDIRECT($B$5&amp;"生成成长"),3))*(VLOOKUP($B$5,标准坦克设计!$B$14:$K$20,9)/30))</f>
        <v>34.092351118597264</v>
      </c>
      <c r="DF97" s="172">
        <f ca="1">(VLOOKUP(DF$72,INDIRECT($C$5&amp;"生成成长"),2))/((VLOOKUP($B97,INDIRECT($B$5&amp;"生成成长"),4))/(VLOOKUP(DF$72,INDIRECT($C$5&amp;"生成成长"),5))*(VLOOKUP($B$5,标准坦克设计!$B$24:$U$30,MATCH("对"&amp;LEFT($C$5,2)&amp;"输出",标准坦克设计!$B$23:$U$23,0)))*(VLOOKUP($B97,INDIRECT($B$5&amp;"生成成长"),3))*(VLOOKUP($B$5,标准坦克设计!$B$14:$K$20,9)/30))</f>
        <v>36.058819923713017</v>
      </c>
      <c r="DG97" s="172">
        <f ca="1">(VLOOKUP(DG$72,INDIRECT($C$5&amp;"生成成长"),2))/((VLOOKUP($B97,INDIRECT($B$5&amp;"生成成长"),4))/(VLOOKUP(DG$72,INDIRECT($C$5&amp;"生成成长"),5))*(VLOOKUP($B$5,标准坦克设计!$B$24:$U$30,MATCH("对"&amp;LEFT($C$5,2)&amp;"输出",标准坦克设计!$B$23:$U$23,0)))*(VLOOKUP($B97,INDIRECT($B$5&amp;"生成成长"),3))*(VLOOKUP($B$5,标准坦克设计!$B$14:$K$20,9)/30))</f>
        <v>38.080423368224515</v>
      </c>
      <c r="DH97" s="172">
        <f ca="1">(VLOOKUP(DH$72,INDIRECT($C$5&amp;"生成成长"),2))/((VLOOKUP($B97,INDIRECT($B$5&amp;"生成成长"),4))/(VLOOKUP(DH$72,INDIRECT($C$5&amp;"生成成长"),5))*(VLOOKUP($B$5,标准坦克设计!$B$24:$U$30,MATCH("对"&amp;LEFT($C$5,2)&amp;"输出",标准坦克设计!$B$23:$U$23,0)))*(VLOOKUP($B97,INDIRECT($B$5&amp;"生成成长"),3))*(VLOOKUP($B$5,标准坦克设计!$B$14:$K$20,9)/30))</f>
        <v>40.157161452131795</v>
      </c>
      <c r="DI97" s="172">
        <f ca="1">(VLOOKUP(DI$72,INDIRECT($C$5&amp;"生成成长"),2))/((VLOOKUP($B97,INDIRECT($B$5&amp;"生成成长"),4))/(VLOOKUP(DI$72,INDIRECT($C$5&amp;"生成成长"),5))*(VLOOKUP($B$5,标准坦克设计!$B$24:$U$30,MATCH("对"&amp;LEFT($C$5,2)&amp;"输出",标准坦克设计!$B$23:$U$23,0)))*(VLOOKUP($B97,INDIRECT($B$5&amp;"生成成长"),3))*(VLOOKUP($B$5,标准坦克设计!$B$14:$K$20,9)/30))</f>
        <v>42.289034175434836</v>
      </c>
      <c r="DJ97" s="172">
        <f ca="1">(VLOOKUP(DJ$72,INDIRECT($C$5&amp;"生成成长"),2))/((VLOOKUP($B97,INDIRECT($B$5&amp;"生成成长"),4))/(VLOOKUP(DJ$72,INDIRECT($C$5&amp;"生成成长"),5))*(VLOOKUP($B$5,标准坦克设计!$B$24:$U$30,MATCH("对"&amp;LEFT($C$5,2)&amp;"输出",标准坦克设计!$B$23:$U$23,0)))*(VLOOKUP($B97,INDIRECT($B$5&amp;"生成成长"),3))*(VLOOKUP($B$5,标准坦克设计!$B$14:$K$20,9)/30))</f>
        <v>4.250153226477269</v>
      </c>
      <c r="DK97" s="172">
        <f ca="1">(VLOOKUP(DK$72,INDIRECT($C$5&amp;"生成成长"),2))/((VLOOKUP($B97,INDIRECT($B$5&amp;"生成成长"),4))/(VLOOKUP(DK$72,INDIRECT($C$5&amp;"生成成长"),5))*(VLOOKUP($B$5,标准坦克设计!$B$24:$U$30,MATCH("对"&amp;LEFT($C$5,2)&amp;"输出",标准坦克设计!$B$23:$U$23,0)))*(VLOOKUP($B97,INDIRECT($B$5&amp;"生成成长"),3))*(VLOOKUP($B$5,标准坦克设计!$B$14:$K$20,9)/30))</f>
        <v>4.7791011731804218</v>
      </c>
      <c r="DL97" s="172">
        <f ca="1">(VLOOKUP(DL$72,INDIRECT($C$5&amp;"生成成长"),2))/((VLOOKUP($B97,INDIRECT($B$5&amp;"生成成长"),4))/(VLOOKUP(DL$72,INDIRECT($C$5&amp;"生成成长"),5))*(VLOOKUP($B$5,标准坦克设计!$B$24:$U$30,MATCH("对"&amp;LEFT($C$5,2)&amp;"输出",标准坦克设计!$B$23:$U$23,0)))*(VLOOKUP($B97,INDIRECT($B$5&amp;"生成成长"),3))*(VLOOKUP($B$5,标准坦克设计!$B$14:$K$20,9)/30))</f>
        <v>5.339062354543695</v>
      </c>
      <c r="DM97" s="172">
        <f ca="1">(VLOOKUP(DM$72,INDIRECT($C$5&amp;"生成成长"),2))/((VLOOKUP($B97,INDIRECT($B$5&amp;"生成成长"),4))/(VLOOKUP(DM$72,INDIRECT($C$5&amp;"生成成长"),5))*(VLOOKUP($B$5,标准坦克设计!$B$24:$U$30,MATCH("对"&amp;LEFT($C$5,2)&amp;"输出",标准坦克设计!$B$23:$U$23,0)))*(VLOOKUP($B97,INDIRECT($B$5&amp;"生成成长"),3))*(VLOOKUP($B$5,标准坦克设计!$B$14:$K$20,9)/30))</f>
        <v>5.9300367705670869</v>
      </c>
      <c r="DN97" s="172">
        <f ca="1">(VLOOKUP(DN$72,INDIRECT($C$5&amp;"生成成长"),2))/((VLOOKUP($B97,INDIRECT($B$5&amp;"生成成长"),4))/(VLOOKUP(DN$72,INDIRECT($C$5&amp;"生成成长"),5))*(VLOOKUP($B$5,标准坦克设计!$B$24:$U$30,MATCH("对"&amp;LEFT($C$5,2)&amp;"输出",标准坦克设计!$B$23:$U$23,0)))*(VLOOKUP($B97,INDIRECT($B$5&amp;"生成成长"),3))*(VLOOKUP($B$5,标准坦克设计!$B$14:$K$20,9)/30))</f>
        <v>6.5520244212505991</v>
      </c>
      <c r="DO97" s="172">
        <f ca="1">(VLOOKUP(DO$72,INDIRECT($C$5&amp;"生成成长"),2))/((VLOOKUP($B97,INDIRECT($B$5&amp;"生成成长"),4))/(VLOOKUP(DO$72,INDIRECT($C$5&amp;"生成成长"),5))*(VLOOKUP($B$5,标准坦克设计!$B$24:$U$30,MATCH("对"&amp;LEFT($C$5,2)&amp;"输出",标准坦克设计!$B$23:$U$23,0)))*(VLOOKUP($B97,INDIRECT($B$5&amp;"生成成长"),3))*(VLOOKUP($B$5,标准坦克设计!$B$14:$K$20,9)/30))</f>
        <v>7.2050253065942291</v>
      </c>
      <c r="DP97" s="172">
        <f ca="1">(VLOOKUP(DP$72,INDIRECT($C$5&amp;"生成成长"),2))/((VLOOKUP($B97,INDIRECT($B$5&amp;"生成成长"),4))/(VLOOKUP(DP$72,INDIRECT($C$5&amp;"生成成长"),5))*(VLOOKUP($B$5,标准坦克设计!$B$24:$U$30,MATCH("对"&amp;LEFT($C$5,2)&amp;"输出",标准坦克设计!$B$23:$U$23,0)))*(VLOOKUP($B97,INDIRECT($B$5&amp;"生成成长"),3))*(VLOOKUP($B$5,标准坦克设计!$B$14:$K$20,9)/30))</f>
        <v>7.8890394265979822</v>
      </c>
      <c r="DQ97" s="172">
        <f ca="1">(VLOOKUP(DQ$72,INDIRECT($C$5&amp;"生成成长"),2))/((VLOOKUP($B97,INDIRECT($B$5&amp;"生成成长"),4))/(VLOOKUP(DQ$72,INDIRECT($C$5&amp;"生成成长"),5))*(VLOOKUP($B$5,标准坦克设计!$B$24:$U$30,MATCH("对"&amp;LEFT($C$5,2)&amp;"输出",标准坦克设计!$B$23:$U$23,0)))*(VLOOKUP($B97,INDIRECT($B$5&amp;"生成成长"),3))*(VLOOKUP($B$5,标准坦克设计!$B$14:$K$20,9)/30))</f>
        <v>8.6040667812618512</v>
      </c>
      <c r="DR97" s="172">
        <f ca="1">(VLOOKUP(DR$72,INDIRECT($C$5&amp;"生成成长"),2))/((VLOOKUP($B97,INDIRECT($B$5&amp;"生成成长"),4))/(VLOOKUP(DR$72,INDIRECT($C$5&amp;"生成成长"),5))*(VLOOKUP($B$5,标准坦克设计!$B$24:$U$30,MATCH("对"&amp;LEFT($C$5,2)&amp;"输出",标准坦克设计!$B$23:$U$23,0)))*(VLOOKUP($B97,INDIRECT($B$5&amp;"生成成长"),3))*(VLOOKUP($B$5,标准坦克设计!$B$14:$K$20,9)/30))</f>
        <v>9.3501073705858424</v>
      </c>
      <c r="DS97" s="172">
        <f ca="1">(VLOOKUP(DS$72,INDIRECT($C$5&amp;"生成成长"),2))/((VLOOKUP($B97,INDIRECT($B$5&amp;"生成成长"),4))/(VLOOKUP(DS$72,INDIRECT($C$5&amp;"生成成长"),5))*(VLOOKUP($B$5,标准坦克设计!$B$24:$U$30,MATCH("对"&amp;LEFT($C$5,2)&amp;"输出",标准坦克设计!$B$23:$U$23,0)))*(VLOOKUP($B97,INDIRECT($B$5&amp;"生成成长"),3))*(VLOOKUP($B$5,标准坦克设计!$B$14:$K$20,9)/30))</f>
        <v>10.127161194569952</v>
      </c>
      <c r="DT97" s="172">
        <f ca="1">(VLOOKUP(DT$72,INDIRECT($C$5&amp;"生成成长"),2))/((VLOOKUP($B97,INDIRECT($B$5&amp;"生成成长"),4))/(VLOOKUP(DT$72,INDIRECT($C$5&amp;"生成成长"),5))*(VLOOKUP($B$5,标准坦克设计!$B$24:$U$30,MATCH("对"&amp;LEFT($C$5,2)&amp;"输出",标准坦克设计!$B$23:$U$23,0)))*(VLOOKUP($B97,INDIRECT($B$5&amp;"生成成长"),3))*(VLOOKUP($B$5,标准坦克设计!$B$14:$K$20,9)/30))</f>
        <v>11.119010384533413</v>
      </c>
      <c r="DU97" s="172">
        <f ca="1">(VLOOKUP(DU$72,INDIRECT($C$5&amp;"生成成长"),2))/((VLOOKUP($B97,INDIRECT($B$5&amp;"生成成长"),4))/(VLOOKUP(DU$72,INDIRECT($C$5&amp;"生成成长"),5))*(VLOOKUP($B$5,标准坦克设计!$B$24:$U$30,MATCH("对"&amp;LEFT($C$5,2)&amp;"输出",标准坦克设计!$B$23:$U$23,0)))*(VLOOKUP($B97,INDIRECT($B$5&amp;"生成成长"),3))*(VLOOKUP($B$5,标准坦克设计!$B$14:$K$20,9)/30))</f>
        <v>12.157187986766925</v>
      </c>
      <c r="DV97" s="172">
        <f ca="1">(VLOOKUP(DV$72,INDIRECT($C$5&amp;"生成成长"),2))/((VLOOKUP($B97,INDIRECT($B$5&amp;"生成成长"),4))/(VLOOKUP(DV$72,INDIRECT($C$5&amp;"生成成长"),5))*(VLOOKUP($B$5,标准坦克设计!$B$24:$U$30,MATCH("对"&amp;LEFT($C$5,2)&amp;"输出",标准坦克设计!$B$23:$U$23,0)))*(VLOOKUP($B97,INDIRECT($B$5&amp;"生成成长"),3))*(VLOOKUP($B$5,标准坦克设计!$B$14:$K$20,9)/30))</f>
        <v>13.241694001270494</v>
      </c>
      <c r="DW97" s="172">
        <f ca="1">(VLOOKUP(DW$72,INDIRECT($C$5&amp;"生成成长"),2))/((VLOOKUP($B97,INDIRECT($B$5&amp;"生成成长"),4))/(VLOOKUP(DW$72,INDIRECT($C$5&amp;"生成成长"),5))*(VLOOKUP($B$5,标准坦克设计!$B$24:$U$30,MATCH("对"&amp;LEFT($C$5,2)&amp;"输出",标准坦克设计!$B$23:$U$23,0)))*(VLOOKUP($B97,INDIRECT($B$5&amp;"生成成长"),3))*(VLOOKUP($B$5,标准坦克设计!$B$14:$K$20,9)/30))</f>
        <v>14.372528428044117</v>
      </c>
      <c r="DX97" s="172">
        <f ca="1">(VLOOKUP(DX$72,INDIRECT($C$5&amp;"生成成长"),2))/((VLOOKUP($B97,INDIRECT($B$5&amp;"生成成长"),4))/(VLOOKUP(DX$72,INDIRECT($C$5&amp;"生成成长"),5))*(VLOOKUP($B$5,标准坦克设计!$B$24:$U$30,MATCH("对"&amp;LEFT($C$5,2)&amp;"输出",标准坦克设计!$B$23:$U$23,0)))*(VLOOKUP($B97,INDIRECT($B$5&amp;"生成成长"),3))*(VLOOKUP($B$5,标准坦克设计!$B$14:$K$20,9)/30))</f>
        <v>15.549691267087796</v>
      </c>
      <c r="DY97" s="172">
        <f ca="1">(VLOOKUP(DY$72,INDIRECT($C$5&amp;"生成成长"),2))/((VLOOKUP($B97,INDIRECT($B$5&amp;"生成成长"),4))/(VLOOKUP(DY$72,INDIRECT($C$5&amp;"生成成长"),5))*(VLOOKUP($B$5,标准坦克设计!$B$24:$U$30,MATCH("对"&amp;LEFT($C$5,2)&amp;"输出",标准坦克设计!$B$23:$U$23,0)))*(VLOOKUP($B97,INDIRECT($B$5&amp;"生成成长"),3))*(VLOOKUP($B$5,标准坦克设计!$B$14:$K$20,9)/30))</f>
        <v>6.9839124298507835</v>
      </c>
      <c r="DZ97" s="172">
        <f ca="1">(VLOOKUP(DZ$72,INDIRECT($C$5&amp;"生成成长"),2))/((VLOOKUP($B97,INDIRECT($B$5&amp;"生成成长"),4))/(VLOOKUP(DZ$72,INDIRECT($C$5&amp;"生成成长"),5))*(VLOOKUP($B$5,标准坦克设计!$B$24:$U$30,MATCH("对"&amp;LEFT($C$5,2)&amp;"输出",标准坦克设计!$B$23:$U$23,0)))*(VLOOKUP($B97,INDIRECT($B$5&amp;"生成成长"),3))*(VLOOKUP($B$5,标准坦克设计!$B$14:$K$20,9)/30))</f>
        <v>7.7343561327376324</v>
      </c>
      <c r="EA97" s="172">
        <f ca="1">(VLOOKUP(EA$72,INDIRECT($C$5&amp;"生成成长"),2))/((VLOOKUP($B97,INDIRECT($B$5&amp;"生成成长"),4))/(VLOOKUP(EA$72,INDIRECT($C$5&amp;"生成成长"),5))*(VLOOKUP($B$5,标准坦克设计!$B$24:$U$30,MATCH("对"&amp;LEFT($C$5,2)&amp;"输出",标准坦克设计!$B$23:$U$23,0)))*(VLOOKUP($B97,INDIRECT($B$5&amp;"生成成长"),3))*(VLOOKUP($B$5,标准坦克设计!$B$14:$K$20,9)/30))</f>
        <v>8.5230877796493161</v>
      </c>
      <c r="EB97" s="172">
        <f ca="1">(VLOOKUP(EB$72,INDIRECT($C$5&amp;"生成成长"),2))/((VLOOKUP($B97,INDIRECT($B$5&amp;"生成成长"),4))/(VLOOKUP(EB$72,INDIRECT($C$5&amp;"生成成长"),5))*(VLOOKUP($B$5,标准坦克设计!$B$24:$U$30,MATCH("对"&amp;LEFT($C$5,2)&amp;"输出",标准坦克设计!$B$23:$U$23,0)))*(VLOOKUP($B97,INDIRECT($B$5&amp;"生成成长"),3))*(VLOOKUP($B$5,标准坦克设计!$B$14:$K$20,9)/30))</f>
        <v>9.3501073705858424</v>
      </c>
      <c r="EC97" s="172">
        <f ca="1">(VLOOKUP(EC$72,INDIRECT($C$5&amp;"生成成长"),2))/((VLOOKUP($B97,INDIRECT($B$5&amp;"生成成长"),4))/(VLOOKUP(EC$72,INDIRECT($C$5&amp;"生成成长"),5))*(VLOOKUP($B$5,标准坦克设计!$B$24:$U$30,MATCH("对"&amp;LEFT($C$5,2)&amp;"输出",标准坦克设计!$B$23:$U$23,0)))*(VLOOKUP($B97,INDIRECT($B$5&amp;"生成成长"),3))*(VLOOKUP($B$5,标准坦克设计!$B$14:$K$20,9)/30))</f>
        <v>10.215414905547208</v>
      </c>
      <c r="ED97" s="172">
        <f ca="1">(VLOOKUP(ED$72,INDIRECT($C$5&amp;"生成成长"),2))/((VLOOKUP($B97,INDIRECT($B$5&amp;"生成成长"),4))/(VLOOKUP(ED$72,INDIRECT($C$5&amp;"生成成长"),5))*(VLOOKUP($B$5,标准坦克设计!$B$24:$U$30,MATCH("对"&amp;LEFT($C$5,2)&amp;"输出",标准坦克设计!$B$23:$U$23,0)))*(VLOOKUP($B97,INDIRECT($B$5&amp;"生成成长"),3))*(VLOOKUP($B$5,标准坦克设计!$B$14:$K$20,9)/30))</f>
        <v>11.119010384533413</v>
      </c>
      <c r="EE97" s="172">
        <f ca="1">(VLOOKUP(EE$72,INDIRECT($C$5&amp;"生成成长"),2))/((VLOOKUP($B97,INDIRECT($B$5&amp;"生成成长"),4))/(VLOOKUP(EE$72,INDIRECT($C$5&amp;"生成成长"),5))*(VLOOKUP($B$5,标准坦克设计!$B$24:$U$30,MATCH("对"&amp;LEFT($C$5,2)&amp;"输出",标准坦克设计!$B$23:$U$23,0)))*(VLOOKUP($B97,INDIRECT($B$5&amp;"生成成长"),3))*(VLOOKUP($B$5,标准坦克设计!$B$14:$K$20,9)/30))</f>
        <v>12.060893807544453</v>
      </c>
      <c r="EF97" s="172">
        <f ca="1">(VLOOKUP(EF$72,INDIRECT($C$5&amp;"生成成长"),2))/((VLOOKUP($B97,INDIRECT($B$5&amp;"生成成长"),4))/(VLOOKUP(EF$72,INDIRECT($C$5&amp;"生成成长"),5))*(VLOOKUP($B$5,标准坦克设计!$B$24:$U$30,MATCH("对"&amp;LEFT($C$5,2)&amp;"输出",标准坦克设计!$B$23:$U$23,0)))*(VLOOKUP($B97,INDIRECT($B$5&amp;"生成成长"),3))*(VLOOKUP($B$5,标准坦克设计!$B$14:$K$20,9)/30))</f>
        <v>13.041065174580337</v>
      </c>
      <c r="EG97" s="172">
        <f ca="1">(VLOOKUP(EG$72,INDIRECT($C$5&amp;"生成成长"),2))/((VLOOKUP($B97,INDIRECT($B$5&amp;"生成成长"),4))/(VLOOKUP(EG$72,INDIRECT($C$5&amp;"生成成长"),5))*(VLOOKUP($B$5,标准坦克设计!$B$24:$U$30,MATCH("对"&amp;LEFT($C$5,2)&amp;"输出",标准坦克设计!$B$23:$U$23,0)))*(VLOOKUP($B97,INDIRECT($B$5&amp;"生成成长"),3))*(VLOOKUP($B$5,标准坦克设计!$B$14:$K$20,9)/30))</f>
        <v>14.059524485641059</v>
      </c>
      <c r="EH97" s="172">
        <f ca="1">(VLOOKUP(EH$72,INDIRECT($C$5&amp;"生成成长"),2))/((VLOOKUP($B97,INDIRECT($B$5&amp;"生成成长"),4))/(VLOOKUP(EH$72,INDIRECT($C$5&amp;"生成成长"),5))*(VLOOKUP($B$5,标准坦克设计!$B$24:$U$30,MATCH("对"&amp;LEFT($C$5,2)&amp;"输出",标准坦克设计!$B$23:$U$23,0)))*(VLOOKUP($B97,INDIRECT($B$5&amp;"生成成长"),3))*(VLOOKUP($B$5,标准坦克设计!$B$14:$K$20,9)/30))</f>
        <v>15.116271740726619</v>
      </c>
      <c r="EI97" s="172">
        <f ca="1">(VLOOKUP(EI$72,INDIRECT($C$5&amp;"生成成长"),2))/((VLOOKUP($B97,INDIRECT($B$5&amp;"生成成长"),4))/(VLOOKUP(EI$72,INDIRECT($C$5&amp;"生成成长"),5))*(VLOOKUP($B$5,标准坦克设计!$B$24:$U$30,MATCH("对"&amp;LEFT($C$5,2)&amp;"输出",标准坦克设计!$B$23:$U$23,0)))*(VLOOKUP($B97,INDIRECT($B$5&amp;"生成成长"),3))*(VLOOKUP($B$5,标准坦克设计!$B$14:$K$20,9)/30))</f>
        <v>16.211306939837019</v>
      </c>
      <c r="EJ97" s="172">
        <f ca="1">(VLOOKUP(EJ$72,INDIRECT($C$5&amp;"生成成长"),2))/((VLOOKUP($B97,INDIRECT($B$5&amp;"生成成长"),4))/(VLOOKUP(EJ$72,INDIRECT($C$5&amp;"生成成长"),5))*(VLOOKUP($B$5,标准坦克设计!$B$24:$U$30,MATCH("对"&amp;LEFT($C$5,2)&amp;"输出",标准坦克设计!$B$23:$U$23,0)))*(VLOOKUP($B97,INDIRECT($B$5&amp;"生成成长"),3))*(VLOOKUP($B$5,标准坦克设计!$B$14:$K$20,9)/30))</f>
        <v>17.344630082972259</v>
      </c>
      <c r="EK97" s="172">
        <f ca="1">(VLOOKUP(EK$72,INDIRECT($C$5&amp;"生成成长"),2))/((VLOOKUP($B97,INDIRECT($B$5&amp;"生成成长"),4))/(VLOOKUP(EK$72,INDIRECT($C$5&amp;"生成成长"),5))*(VLOOKUP($B$5,标准坦克设计!$B$24:$U$30,MATCH("对"&amp;LEFT($C$5,2)&amp;"输出",标准坦克设计!$B$23:$U$23,0)))*(VLOOKUP($B97,INDIRECT($B$5&amp;"生成成长"),3))*(VLOOKUP($B$5,标准坦克设计!$B$14:$K$20,9)/30))</f>
        <v>18.755157940847333</v>
      </c>
      <c r="EL97" s="172">
        <f ca="1">(VLOOKUP(EL$72,INDIRECT($C$5&amp;"生成成长"),2))/((VLOOKUP($B97,INDIRECT($B$5&amp;"生成成长"),4))/(VLOOKUP(EL$72,INDIRECT($C$5&amp;"生成成长"),5))*(VLOOKUP($B$5,标准坦克设计!$B$24:$U$30,MATCH("对"&amp;LEFT($C$5,2)&amp;"输出",标准坦克设计!$B$23:$U$23,0)))*(VLOOKUP($B97,INDIRECT($B$5&amp;"生成成长"),3))*(VLOOKUP($B$5,标准坦克设计!$B$14:$K$20,9)/30))</f>
        <v>20.220820438118174</v>
      </c>
      <c r="EM97" s="172">
        <f ca="1">(VLOOKUP(EM$72,INDIRECT($C$5&amp;"生成成长"),2))/((VLOOKUP($B97,INDIRECT($B$5&amp;"生成成长"),4))/(VLOOKUP(EM$72,INDIRECT($C$5&amp;"生成成长"),5))*(VLOOKUP($B$5,标准坦克设计!$B$24:$U$30,MATCH("对"&amp;LEFT($C$5,2)&amp;"输出",标准坦克设计!$B$23:$U$23,0)))*(VLOOKUP($B97,INDIRECT($B$5&amp;"生成成长"),3))*(VLOOKUP($B$5,标准坦克设计!$B$14:$K$20,9)/30))</f>
        <v>21.741617574784783</v>
      </c>
      <c r="EN97" s="172">
        <f ca="1">(VLOOKUP(EN$72,INDIRECT($C$5&amp;"生成成长"),2))/((VLOOKUP($B97,INDIRECT($B$5&amp;"生成成长"),4))/(VLOOKUP(EN$72,INDIRECT($C$5&amp;"生成成长"),5))*(VLOOKUP($B$5,标准坦克设计!$B$24:$U$30,MATCH("对"&amp;LEFT($C$5,2)&amp;"输出",标准坦克设计!$B$23:$U$23,0)))*(VLOOKUP($B97,INDIRECT($B$5&amp;"生成成长"),3))*(VLOOKUP($B$5,标准坦克设计!$B$14:$K$20,9)/30))</f>
        <v>23.317549350847163</v>
      </c>
      <c r="EO97" s="172">
        <f ca="1">(VLOOKUP(EO$72,INDIRECT($C$5&amp;"生成成长"),2))/((VLOOKUP($B97,INDIRECT($B$5&amp;"生成成长"),4))/(VLOOKUP(EO$72,INDIRECT($C$5&amp;"生成成长"),5))*(VLOOKUP($B$5,标准坦克设计!$B$24:$U$30,MATCH("对"&amp;LEFT($C$5,2)&amp;"输出",标准坦克设计!$B$23:$U$23,0)))*(VLOOKUP($B97,INDIRECT($B$5&amp;"生成成长"),3))*(VLOOKUP($B$5,标准坦克设计!$B$14:$K$20,9)/30))</f>
        <v>24.948615766305309</v>
      </c>
      <c r="EP97" s="172">
        <f ca="1">(VLOOKUP(EP$72,INDIRECT($C$5&amp;"生成成长"),2))/((VLOOKUP($B97,INDIRECT($B$5&amp;"生成成长"),4))/(VLOOKUP(EP$72,INDIRECT($C$5&amp;"生成成长"),5))*(VLOOKUP($B$5,标准坦克设计!$B$24:$U$30,MATCH("对"&amp;LEFT($C$5,2)&amp;"输出",标准坦克设计!$B$23:$U$23,0)))*(VLOOKUP($B97,INDIRECT($B$5&amp;"生成成长"),3))*(VLOOKUP($B$5,标准坦克设计!$B$14:$K$20,9)/30))</f>
        <v>26.634816821159223</v>
      </c>
      <c r="EQ97" s="172">
        <f ca="1">(VLOOKUP(EQ$72,INDIRECT($C$5&amp;"生成成长"),2))/((VLOOKUP($B97,INDIRECT($B$5&amp;"生成成长"),4))/(VLOOKUP(EQ$72,INDIRECT($C$5&amp;"生成成长"),5))*(VLOOKUP($B$5,标准坦克设计!$B$24:$U$30,MATCH("对"&amp;LEFT($C$5,2)&amp;"输出",标准坦克设计!$B$23:$U$23,0)))*(VLOOKUP($B97,INDIRECT($B$5&amp;"生成成长"),3))*(VLOOKUP($B$5,标准坦克设计!$B$14:$K$20,9)/30))</f>
        <v>11.774308546518533</v>
      </c>
      <c r="ER97" s="172">
        <f ca="1">(VLOOKUP(ER$72,INDIRECT($C$5&amp;"生成成长"),2))/((VLOOKUP($B97,INDIRECT($B$5&amp;"生成成长"),4))/(VLOOKUP(ER$72,INDIRECT($C$5&amp;"生成成长"),5))*(VLOOKUP($B$5,标准坦克设计!$B$24:$U$30,MATCH("对"&amp;LEFT($C$5,2)&amp;"输出",标准坦克设计!$B$23:$U$23,0)))*(VLOOKUP($B97,INDIRECT($B$5&amp;"生成成长"),3))*(VLOOKUP($B$5,标准坦克设计!$B$14:$K$20,9)/30))</f>
        <v>12.841967865651172</v>
      </c>
      <c r="ES97" s="172">
        <f ca="1">(VLOOKUP(ES$72,INDIRECT($C$5&amp;"生成成长"),2))/((VLOOKUP($B97,INDIRECT($B$5&amp;"生成成长"),4))/(VLOOKUP(ES$72,INDIRECT($C$5&amp;"生成成长"),5))*(VLOOKUP($B$5,标准坦克设计!$B$24:$U$30,MATCH("对"&amp;LEFT($C$5,2)&amp;"输出",标准坦克设计!$B$23:$U$23,0)))*(VLOOKUP($B97,INDIRECT($B$5&amp;"生成成长"),3))*(VLOOKUP($B$5,标准坦克设计!$B$14:$K$20,9)/30))</f>
        <v>13.955955597053867</v>
      </c>
      <c r="ET97" s="172">
        <f ca="1">(VLOOKUP(ET$72,INDIRECT($C$5&amp;"生成成长"),2))/((VLOOKUP($B97,INDIRECT($B$5&amp;"生成成长"),4))/(VLOOKUP(ET$72,INDIRECT($C$5&amp;"生成成长"),5))*(VLOOKUP($B$5,标准坦克设计!$B$24:$U$30,MATCH("对"&amp;LEFT($C$5,2)&amp;"输出",标准坦克设计!$B$23:$U$23,0)))*(VLOOKUP($B97,INDIRECT($B$5&amp;"生成成长"),3))*(VLOOKUP($B$5,标准坦克设计!$B$14:$K$20,9)/30))</f>
        <v>15.116271740726619</v>
      </c>
      <c r="EU97" s="172">
        <f ca="1">(VLOOKUP(EU$72,INDIRECT($C$5&amp;"生成成长"),2))/((VLOOKUP($B97,INDIRECT($B$5&amp;"生成成长"),4))/(VLOOKUP(EU$72,INDIRECT($C$5&amp;"生成成长"),5))*(VLOOKUP($B$5,标准坦克设计!$B$24:$U$30,MATCH("对"&amp;LEFT($C$5,2)&amp;"输出",标准坦克设计!$B$23:$U$23,0)))*(VLOOKUP($B97,INDIRECT($B$5&amp;"生成成长"),3))*(VLOOKUP($B$5,标准坦克设计!$B$14:$K$20,9)/30))</f>
        <v>16.322916296669423</v>
      </c>
      <c r="EV97" s="172">
        <f ca="1">(VLOOKUP(EV$72,INDIRECT($C$5&amp;"生成成长"),2))/((VLOOKUP($B97,INDIRECT($B$5&amp;"生成成长"),4))/(VLOOKUP(EV$72,INDIRECT($C$5&amp;"生成成长"),5))*(VLOOKUP($B$5,标准坦克设计!$B$24:$U$30,MATCH("对"&amp;LEFT($C$5,2)&amp;"输出",标准坦克设计!$B$23:$U$23,0)))*(VLOOKUP($B97,INDIRECT($B$5&amp;"生成成长"),3))*(VLOOKUP($B$5,标准坦克设计!$B$14:$K$20,9)/30))</f>
        <v>17.575889264882289</v>
      </c>
      <c r="EW97" s="172">
        <f ca="1">(VLOOKUP(EW$72,INDIRECT($C$5&amp;"生成成长"),2))/((VLOOKUP($B97,INDIRECT($B$5&amp;"生成成长"),4))/(VLOOKUP(EW$72,INDIRECT($C$5&amp;"生成成长"),5))*(VLOOKUP($B$5,标准坦克设计!$B$24:$U$30,MATCH("对"&amp;LEFT($C$5,2)&amp;"输出",标准坦克设计!$B$23:$U$23,0)))*(VLOOKUP($B97,INDIRECT($B$5&amp;"生成成长"),3))*(VLOOKUP($B$5,标准坦克设计!$B$14:$K$20,9)/30))</f>
        <v>18.875190645365201</v>
      </c>
      <c r="EX97" s="172">
        <f ca="1">(VLOOKUP(EX$72,INDIRECT($C$5&amp;"生成成长"),2))/((VLOOKUP($B97,INDIRECT($B$5&amp;"生成成长"),4))/(VLOOKUP(EX$72,INDIRECT($C$5&amp;"生成成长"),5))*(VLOOKUP($B$5,标准坦克设计!$B$24:$U$30,MATCH("对"&amp;LEFT($C$5,2)&amp;"输出",标准坦克设计!$B$23:$U$23,0)))*(VLOOKUP($B97,INDIRECT($B$5&amp;"生成成长"),3))*(VLOOKUP($B$5,标准坦克设计!$B$14:$K$20,9)/30))</f>
        <v>20.220820438118174</v>
      </c>
      <c r="EY97" s="172">
        <f ca="1">(VLOOKUP(EY$72,INDIRECT($C$5&amp;"生成成长"),2))/((VLOOKUP($B97,INDIRECT($B$5&amp;"生成成长"),4))/(VLOOKUP(EY$72,INDIRECT($C$5&amp;"生成成长"),5))*(VLOOKUP($B$5,标准坦克设计!$B$24:$U$30,MATCH("对"&amp;LEFT($C$5,2)&amp;"输出",标准坦克设计!$B$23:$U$23,0)))*(VLOOKUP($B97,INDIRECT($B$5&amp;"生成成长"),3))*(VLOOKUP($B$5,标准坦克设计!$B$14:$K$20,9)/30))</f>
        <v>21.612778643141201</v>
      </c>
      <c r="EZ97" s="172">
        <f ca="1">(VLOOKUP(EZ$72,INDIRECT($C$5&amp;"生成成长"),2))/((VLOOKUP($B97,INDIRECT($B$5&amp;"生成成长"),4))/(VLOOKUP(EZ$72,INDIRECT($C$5&amp;"生成成长"),5))*(VLOOKUP($B$5,标准坦克设计!$B$24:$U$30,MATCH("对"&amp;LEFT($C$5,2)&amp;"输出",标准坦克设计!$B$23:$U$23,0)))*(VLOOKUP($B97,INDIRECT($B$5&amp;"生成成长"),3))*(VLOOKUP($B$5,标准坦克设计!$B$14:$K$20,9)/30))</f>
        <v>23.051065260434285</v>
      </c>
      <c r="FA97" s="172">
        <f ca="1">(VLOOKUP(FA$72,INDIRECT($C$5&amp;"生成成长"),2))/((VLOOKUP($B97,INDIRECT($B$5&amp;"生成成长"),4))/(VLOOKUP(FA$72,INDIRECT($C$5&amp;"生成成长"),5))*(VLOOKUP($B$5,标准坦克设计!$B$24:$U$30,MATCH("对"&amp;LEFT($C$5,2)&amp;"输出",标准坦克设计!$B$23:$U$23,0)))*(VLOOKUP($B97,INDIRECT($B$5&amp;"生成成长"),3))*(VLOOKUP($B$5,标准坦克设计!$B$14:$K$20,9)/30))</f>
        <v>24.535680289997423</v>
      </c>
      <c r="FB97" s="172">
        <f ca="1">(VLOOKUP(FB$72,INDIRECT($C$5&amp;"生成成长"),2))/((VLOOKUP($B97,INDIRECT($B$5&amp;"生成成长"),4))/(VLOOKUP(FB$72,INDIRECT($C$5&amp;"生成成长"),5))*(VLOOKUP($B$5,标准坦克设计!$B$24:$U$30,MATCH("对"&amp;LEFT($C$5,2)&amp;"输出",标准坦克设计!$B$23:$U$23,0)))*(VLOOKUP($B97,INDIRECT($B$5&amp;"生成成长"),3))*(VLOOKUP($B$5,标准坦克设计!$B$14:$K$20,9)/30))</f>
        <v>26.06662373183061</v>
      </c>
      <c r="FC97" s="172">
        <f ca="1">(VLOOKUP(FC$72,INDIRECT($C$5&amp;"生成成长"),2))/((VLOOKUP($B97,INDIRECT($B$5&amp;"生成成长"),4))/(VLOOKUP(FC$72,INDIRECT($C$5&amp;"生成成长"),5))*(VLOOKUP($B$5,标准坦克设计!$B$24:$U$30,MATCH("对"&amp;LEFT($C$5,2)&amp;"输出",标准坦克设计!$B$23:$U$23,0)))*(VLOOKUP($B97,INDIRECT($B$5&amp;"生成成长"),3))*(VLOOKUP($B$5,标准坦克设计!$B$14:$K$20,9)/30))</f>
        <v>27.643895585933862</v>
      </c>
      <c r="FD97" s="172">
        <f ca="1">(VLOOKUP(FD$72,INDIRECT($C$5&amp;"生成成长"),2))/((VLOOKUP($B97,INDIRECT($B$5&amp;"生成成长"),4))/(VLOOKUP(FD$72,INDIRECT($C$5&amp;"生成成长"),5))*(VLOOKUP($B$5,标准坦克设计!$B$24:$U$30,MATCH("对"&amp;LEFT($C$5,2)&amp;"输出",标准坦克设计!$B$23:$U$23,0)))*(VLOOKUP($B97,INDIRECT($B$5&amp;"生成成长"),3))*(VLOOKUP($B$5,标准坦克设计!$B$14:$K$20,9)/30))</f>
        <v>29.26749585230716</v>
      </c>
      <c r="FE97" s="172">
        <f ca="1">(VLOOKUP(FE$72,INDIRECT($C$5&amp;"生成成长"),2))/((VLOOKUP($B97,INDIRECT($B$5&amp;"生成成长"),4))/(VLOOKUP(FE$72,INDIRECT($C$5&amp;"生成成长"),5))*(VLOOKUP($B$5,标准坦克设计!$B$24:$U$30,MATCH("对"&amp;LEFT($C$5,2)&amp;"输出",标准坦克设计!$B$23:$U$23,0)))*(VLOOKUP($B97,INDIRECT($B$5&amp;"生成成长"),3))*(VLOOKUP($B$5,标准坦克设计!$B$14:$K$20,9)/30))</f>
        <v>31.246025359790728</v>
      </c>
      <c r="FF97" s="172">
        <f ca="1">(VLOOKUP(FF$72,INDIRECT($C$5&amp;"生成成长"),2))/((VLOOKUP($B97,INDIRECT($B$5&amp;"生成成长"),4))/(VLOOKUP(FF$72,INDIRECT($C$5&amp;"生成成长"),5))*(VLOOKUP($B$5,标准坦克设计!$B$24:$U$30,MATCH("对"&amp;LEFT($C$5,2)&amp;"输出",标准坦克设计!$B$23:$U$23,0)))*(VLOOKUP($B97,INDIRECT($B$5&amp;"生成成长"),3))*(VLOOKUP($B$5,标准坦克设计!$B$14:$K$20,9)/30))</f>
        <v>33.289261492676268</v>
      </c>
      <c r="FG97" s="172">
        <f ca="1">(VLOOKUP(FG$72,INDIRECT($C$5&amp;"生成成长"),2))/((VLOOKUP($B97,INDIRECT($B$5&amp;"生成成长"),4))/(VLOOKUP(FG$72,INDIRECT($C$5&amp;"生成成长"),5))*(VLOOKUP($B$5,标准坦克设计!$B$24:$U$30,MATCH("对"&amp;LEFT($C$5,2)&amp;"输出",标准坦克设计!$B$23:$U$23,0)))*(VLOOKUP($B97,INDIRECT($B$5&amp;"生成成长"),3))*(VLOOKUP($B$5,标准坦克设计!$B$14:$K$20,9)/30))</f>
        <v>35.397204250963789</v>
      </c>
      <c r="FH97" s="172">
        <f ca="1">(VLOOKUP(FH$72,INDIRECT($C$5&amp;"生成成长"),2))/((VLOOKUP($B97,INDIRECT($B$5&amp;"生成成长"),4))/(VLOOKUP(FH$72,INDIRECT($C$5&amp;"生成成长"),5))*(VLOOKUP($B$5,标准坦克设计!$B$24:$U$30,MATCH("对"&amp;LEFT($C$5,2)&amp;"输出",标准坦克设计!$B$23:$U$23,0)))*(VLOOKUP($B97,INDIRECT($B$5&amp;"生成成长"),3))*(VLOOKUP($B$5,标准坦克设计!$B$14:$K$20,9)/30))</f>
        <v>37.569853634653285</v>
      </c>
      <c r="FI97" s="172">
        <f ca="1">(VLOOKUP(FI$72,INDIRECT($C$5&amp;"生成成长"),2))/((VLOOKUP($B97,INDIRECT($B$5&amp;"生成成长"),4))/(VLOOKUP(FI$72,INDIRECT($C$5&amp;"生成成长"),5))*(VLOOKUP($B$5,标准坦克设计!$B$24:$U$30,MATCH("对"&amp;LEFT($C$5,2)&amp;"输出",标准坦克设计!$B$23:$U$23,0)))*(VLOOKUP($B97,INDIRECT($B$5&amp;"生成成长"),3))*(VLOOKUP($B$5,标准坦克设计!$B$14:$K$20,9)/30))</f>
        <v>39.807209643744756</v>
      </c>
      <c r="FJ97" s="172">
        <f ca="1">(VLOOKUP(FJ$72,INDIRECT($C$5&amp;"生成成长"),2))/((VLOOKUP($B97,INDIRECT($B$5&amp;"生成成长"),4))/(VLOOKUP(FJ$72,INDIRECT($C$5&amp;"生成成长"),5))*(VLOOKUP($B$5,标准坦克设计!$B$24:$U$30,MATCH("对"&amp;LEFT($C$5,2)&amp;"输出",标准坦克设计!$B$23:$U$23,0)))*(VLOOKUP($B97,INDIRECT($B$5&amp;"生成成长"),3))*(VLOOKUP($B$5,标准坦克设计!$B$14:$K$20,9)/30))</f>
        <v>42.109272278238215</v>
      </c>
      <c r="FK97" s="172">
        <f ca="1">(VLOOKUP(FK$72,INDIRECT($C$5&amp;"生成成长"),2))/((VLOOKUP($B97,INDIRECT($B$5&amp;"生成成长"),4))/(VLOOKUP(FK$72,INDIRECT($C$5&amp;"生成成长"),5))*(VLOOKUP($B$5,标准坦克设计!$B$24:$U$30,MATCH("对"&amp;LEFT($C$5,2)&amp;"输出",标准坦克设计!$B$23:$U$23,0)))*(VLOOKUP($B97,INDIRECT($B$5&amp;"生成成长"),3))*(VLOOKUP($B$5,标准坦克设计!$B$14:$K$20,9)/30))</f>
        <v>44.47604153813365</v>
      </c>
    </row>
    <row r="98" spans="1:167" x14ac:dyDescent="0.15">
      <c r="A98" s="170" t="str">
        <f t="shared" si="11"/>
        <v>T4低品质5级</v>
      </c>
      <c r="B98" s="171">
        <v>10405</v>
      </c>
      <c r="C98" s="172">
        <f ca="1">(VLOOKUP(C$72,INDIRECT($C$5&amp;"生成成长"),2))/((VLOOKUP($B98,INDIRECT($B$5&amp;"生成成长"),4))/(VLOOKUP(C$72,INDIRECT($C$5&amp;"生成成长"),5))*(VLOOKUP($B$5,标准坦克设计!$B$24:$U$30,MATCH("对"&amp;LEFT($C$5,2)&amp;"输出",标准坦克设计!$B$23:$U$23,0)))*(VLOOKUP($B98,INDIRECT($B$5&amp;"生成成长"),3))*(VLOOKUP($B$5,标准坦克设计!$B$14:$K$20,9)/30))</f>
        <v>1.7437201635370376</v>
      </c>
      <c r="D98" s="172">
        <f ca="1">(VLOOKUP(D$72,INDIRECT($C$5&amp;"生成成长"),2))/((VLOOKUP($B98,INDIRECT($B$5&amp;"生成成长"),4))/(VLOOKUP(D$72,INDIRECT($C$5&amp;"生成成长"),5))*(VLOOKUP($B$5,标准坦克设计!$B$24:$U$30,MATCH("对"&amp;LEFT($C$5,2)&amp;"输出",标准坦克设计!$B$23:$U$23,0)))*(VLOOKUP($B98,INDIRECT($B$5&amp;"生成成长"),3))*(VLOOKUP($B$5,标准坦克设计!$B$14:$K$20,9)/30))</f>
        <v>1.9592439757502154</v>
      </c>
      <c r="E98" s="172">
        <f ca="1">(VLOOKUP(E$72,INDIRECT($C$5&amp;"生成成长"),2))/((VLOOKUP($B98,INDIRECT($B$5&amp;"生成成长"),4))/(VLOOKUP(E$72,INDIRECT($C$5&amp;"生成成长"),5))*(VLOOKUP($B$5,标准坦克设计!$B$24:$U$30,MATCH("对"&amp;LEFT($C$5,2)&amp;"输出",标准坦克设计!$B$23:$U$23,0)))*(VLOOKUP($B98,INDIRECT($B$5&amp;"生成成长"),3))*(VLOOKUP($B$5,标准坦克设计!$B$14:$K$20,9)/30))</f>
        <v>2.1873225731408601</v>
      </c>
      <c r="F98" s="172">
        <f ca="1">(VLOOKUP(F$72,INDIRECT($C$5&amp;"生成成长"),2))/((VLOOKUP($B98,INDIRECT($B$5&amp;"生成成长"),4))/(VLOOKUP(F$72,INDIRECT($C$5&amp;"生成成长"),5))*(VLOOKUP($B$5,标准坦克设计!$B$24:$U$30,MATCH("对"&amp;LEFT($C$5,2)&amp;"输出",标准坦克设计!$B$23:$U$23,0)))*(VLOOKUP($B98,INDIRECT($B$5&amp;"生成成长"),3))*(VLOOKUP($B$5,标准坦克设计!$B$14:$K$20,9)/30))</f>
        <v>2.4279559557089714</v>
      </c>
      <c r="G98" s="172">
        <f ca="1">(VLOOKUP(G$72,INDIRECT($C$5&amp;"生成成长"),2))/((VLOOKUP($B98,INDIRECT($B$5&amp;"生成成长"),4))/(VLOOKUP(G$72,INDIRECT($C$5&amp;"生成成长"),5))*(VLOOKUP($B$5,标准坦克设计!$B$24:$U$30,MATCH("对"&amp;LEFT($C$5,2)&amp;"输出",标准坦克设计!$B$23:$U$23,0)))*(VLOOKUP($B98,INDIRECT($B$5&amp;"生成成长"),3))*(VLOOKUP($B$5,标准坦克设计!$B$14:$K$20,9)/30))</f>
        <v>2.6811441234545494</v>
      </c>
      <c r="H98" s="172">
        <f ca="1">(VLOOKUP(H$72,INDIRECT($C$5&amp;"生成成长"),2))/((VLOOKUP($B98,INDIRECT($B$5&amp;"生成成长"),4))/(VLOOKUP(H$72,INDIRECT($C$5&amp;"生成成长"),5))*(VLOOKUP($B$5,标准坦克设计!$B$24:$U$30,MATCH("对"&amp;LEFT($C$5,2)&amp;"输出",标准坦克设计!$B$23:$U$23,0)))*(VLOOKUP($B98,INDIRECT($B$5&amp;"生成成长"),3))*(VLOOKUP($B$5,标准坦克设计!$B$14:$K$20,9)/30))</f>
        <v>2.3463498520554382</v>
      </c>
      <c r="I98" s="172">
        <f ca="1">(VLOOKUP(I$72,INDIRECT($C$5&amp;"生成成长"),2))/((VLOOKUP($B98,INDIRECT($B$5&amp;"生成成长"),4))/(VLOOKUP(I$72,INDIRECT($C$5&amp;"生成成长"),5))*(VLOOKUP($B$5,标准坦克设计!$B$24:$U$30,MATCH("对"&amp;LEFT($C$5,2)&amp;"输出",标准坦克设计!$B$23:$U$23,0)))*(VLOOKUP($B98,INDIRECT($B$5&amp;"生成成长"),3))*(VLOOKUP($B$5,标准坦克设计!$B$14:$K$20,9)/30))</f>
        <v>2.6811441234545494</v>
      </c>
      <c r="J98" s="172">
        <f ca="1">(VLOOKUP(J$72,INDIRECT($C$5&amp;"生成成长"),2))/((VLOOKUP($B98,INDIRECT($B$5&amp;"生成成长"),4))/(VLOOKUP(J$72,INDIRECT($C$5&amp;"生成成长"),5))*(VLOOKUP($B$5,标准坦克设计!$B$24:$U$30,MATCH("对"&amp;LEFT($C$5,2)&amp;"输出",标准坦克设计!$B$23:$U$23,0)))*(VLOOKUP($B98,INDIRECT($B$5&amp;"生成成长"),3))*(VLOOKUP($B$5,标准坦克设计!$B$14:$K$20,9)/30))</f>
        <v>3.0382580129469345</v>
      </c>
      <c r="K98" s="172">
        <f ca="1">(VLOOKUP(K$72,INDIRECT($C$5&amp;"生成成长"),2))/((VLOOKUP($B98,INDIRECT($B$5&amp;"生成成长"),4))/(VLOOKUP(K$72,INDIRECT($C$5&amp;"生成成长"),5))*(VLOOKUP($B$5,标准坦克设计!$B$24:$U$30,MATCH("对"&amp;LEFT($C$5,2)&amp;"输出",标准坦克设计!$B$23:$U$23,0)))*(VLOOKUP($B98,INDIRECT($B$5&amp;"生成成长"),3))*(VLOOKUP($B$5,标准坦克设计!$B$14:$K$20,9)/30))</f>
        <v>3.4176915205325944</v>
      </c>
      <c r="L98" s="172">
        <f ca="1">(VLOOKUP(L$72,INDIRECT($C$5&amp;"生成成长"),2))/((VLOOKUP($B98,INDIRECT($B$5&amp;"生成成长"),4))/(VLOOKUP(L$72,INDIRECT($C$5&amp;"生成成长"),5))*(VLOOKUP($B$5,标准坦克设计!$B$24:$U$30,MATCH("对"&amp;LEFT($C$5,2)&amp;"输出",标准坦克设计!$B$23:$U$23,0)))*(VLOOKUP($B98,INDIRECT($B$5&amp;"生成成长"),3))*(VLOOKUP($B$5,标准坦克设计!$B$14:$K$20,9)/30))</f>
        <v>3.8194446462115272</v>
      </c>
      <c r="M98" s="172">
        <f ca="1">(VLOOKUP(M$72,INDIRECT($C$5&amp;"生成成长"),2))/((VLOOKUP($B98,INDIRECT($B$5&amp;"生成成长"),4))/(VLOOKUP(M$72,INDIRECT($C$5&amp;"生成成长"),5))*(VLOOKUP($B$5,标准坦克设计!$B$24:$U$30,MATCH("对"&amp;LEFT($C$5,2)&amp;"输出",标准坦克设计!$B$23:$U$23,0)))*(VLOOKUP($B98,INDIRECT($B$5&amp;"生成成长"),3))*(VLOOKUP($B$5,标准坦克设计!$B$14:$K$20,9)/30))</f>
        <v>4.2435173899837348</v>
      </c>
      <c r="N98" s="172">
        <f ca="1">(VLOOKUP(N$72,INDIRECT($C$5&amp;"生成成长"),2))/((VLOOKUP($B98,INDIRECT($B$5&amp;"生成成长"),4))/(VLOOKUP(N$72,INDIRECT($C$5&amp;"生成成长"),5))*(VLOOKUP($B$5,标准坦克设计!$B$24:$U$30,MATCH("对"&amp;LEFT($C$5,2)&amp;"输出",标准坦克设计!$B$23:$U$23,0)))*(VLOOKUP($B98,INDIRECT($B$5&amp;"生成成长"),3))*(VLOOKUP($B$5,标准坦克设计!$B$14:$K$20,9)/30))</f>
        <v>4.6899097518492159</v>
      </c>
      <c r="O98" s="172">
        <f ca="1">(VLOOKUP(O$72,INDIRECT($C$5&amp;"生成成长"),2))/((VLOOKUP($B98,INDIRECT($B$5&amp;"生成成长"),4))/(VLOOKUP(O$72,INDIRECT($C$5&amp;"生成成长"),5))*(VLOOKUP($B$5,标准坦克设计!$B$24:$U$30,MATCH("对"&amp;LEFT($C$5,2)&amp;"输出",标准坦克设计!$B$23:$U$23,0)))*(VLOOKUP($B98,INDIRECT($B$5&amp;"生成成长"),3))*(VLOOKUP($B$5,标准坦克设计!$B$14:$K$20,9)/30))</f>
        <v>3.5657333624168883</v>
      </c>
      <c r="P98" s="172">
        <f ca="1">(VLOOKUP(P$72,INDIRECT($C$5&amp;"生成成长"),2))/((VLOOKUP($B98,INDIRECT($B$5&amp;"生成成长"),4))/(VLOOKUP(P$72,INDIRECT($C$5&amp;"生成成长"),5))*(VLOOKUP($B$5,标准坦克设计!$B$24:$U$30,MATCH("对"&amp;LEFT($C$5,2)&amp;"输出",标准坦克设计!$B$23:$U$23,0)))*(VLOOKUP($B98,INDIRECT($B$5&amp;"生成成长"),3))*(VLOOKUP($B$5,标准坦克设计!$B$14:$K$20,9)/30))</f>
        <v>4.0286910658359716</v>
      </c>
      <c r="Q98" s="172">
        <f ca="1">(VLOOKUP(Q$72,INDIRECT($C$5&amp;"生成成长"),2))/((VLOOKUP($B98,INDIRECT($B$5&amp;"生成成长"),4))/(VLOOKUP(Q$72,INDIRECT($C$5&amp;"生成成长"),5))*(VLOOKUP($B$5,标准坦克设计!$B$24:$U$30,MATCH("对"&amp;LEFT($C$5,2)&amp;"输出",标准坦克设计!$B$23:$U$23,0)))*(VLOOKUP($B98,INDIRECT($B$5&amp;"生成成长"),3))*(VLOOKUP($B$5,标准坦克设计!$B$14:$K$20,9)/30))</f>
        <v>4.5198970359043553</v>
      </c>
      <c r="R98" s="172">
        <f ca="1">(VLOOKUP(R$72,INDIRECT($C$5&amp;"生成成长"),2))/((VLOOKUP($B98,INDIRECT($B$5&amp;"生成成长"),4))/(VLOOKUP(R$72,INDIRECT($C$5&amp;"生成成长"),5))*(VLOOKUP($B$5,标准坦克设计!$B$24:$U$30,MATCH("对"&amp;LEFT($C$5,2)&amp;"输出",标准坦克设计!$B$23:$U$23,0)))*(VLOOKUP($B98,INDIRECT($B$5&amp;"生成成长"),3))*(VLOOKUP($B$5,标准坦克设计!$B$14:$K$20,9)/30))</f>
        <v>5.0393512726220386</v>
      </c>
      <c r="S98" s="172">
        <f ca="1">(VLOOKUP(S$72,INDIRECT($C$5&amp;"生成成长"),2))/((VLOOKUP($B98,INDIRECT($B$5&amp;"生成成长"),4))/(VLOOKUP(S$72,INDIRECT($C$5&amp;"生成成长"),5))*(VLOOKUP($B$5,标准坦克设计!$B$24:$U$30,MATCH("对"&amp;LEFT($C$5,2)&amp;"输出",标准坦克设计!$B$23:$U$23,0)))*(VLOOKUP($B98,INDIRECT($B$5&amp;"生成成长"),3))*(VLOOKUP($B$5,标准坦克设计!$B$14:$K$20,9)/30))</f>
        <v>5.5870537759890224</v>
      </c>
      <c r="T98" s="172">
        <f ca="1">(VLOOKUP(T$72,INDIRECT($C$5&amp;"生成成长"),2))/((VLOOKUP($B98,INDIRECT($B$5&amp;"生成成长"),4))/(VLOOKUP(T$72,INDIRECT($C$5&amp;"生成成长"),5))*(VLOOKUP($B$5,标准坦克设计!$B$24:$U$30,MATCH("对"&amp;LEFT($C$5,2)&amp;"输出",标准坦克设计!$B$23:$U$23,0)))*(VLOOKUP($B98,INDIRECT($B$5&amp;"生成成长"),3))*(VLOOKUP($B$5,标准坦克设计!$B$14:$K$20,9)/30))</f>
        <v>6.1630045460053067</v>
      </c>
      <c r="U98" s="172">
        <f ca="1">(VLOOKUP(U$72,INDIRECT($C$5&amp;"生成成长"),2))/((VLOOKUP($B98,INDIRECT($B$5&amp;"生成成长"),4))/(VLOOKUP(U$72,INDIRECT($C$5&amp;"生成成长"),5))*(VLOOKUP($B$5,标准坦克设计!$B$24:$U$30,MATCH("对"&amp;LEFT($C$5,2)&amp;"输出",标准坦克设计!$B$23:$U$23,0)))*(VLOOKUP($B98,INDIRECT($B$5&amp;"生成成长"),3))*(VLOOKUP($B$5,标准坦克设计!$B$14:$K$20,9)/30))</f>
        <v>6.7672035826708887</v>
      </c>
      <c r="V98" s="172">
        <f ca="1">(VLOOKUP(V$72,INDIRECT($C$5&amp;"生成成长"),2))/((VLOOKUP($B98,INDIRECT($B$5&amp;"生成成长"),4))/(VLOOKUP(V$72,INDIRECT($C$5&amp;"生成成长"),5))*(VLOOKUP($B$5,标准坦克设计!$B$24:$U$30,MATCH("对"&amp;LEFT($C$5,2)&amp;"输出",标准坦克设计!$B$23:$U$23,0)))*(VLOOKUP($B98,INDIRECT($B$5&amp;"生成成长"),3))*(VLOOKUP($B$5,标准坦克设计!$B$14:$K$20,9)/30))</f>
        <v>7.3996508859857721</v>
      </c>
      <c r="W98" s="172">
        <f ca="1">(VLOOKUP(W$72,INDIRECT($C$5&amp;"生成成长"),2))/((VLOOKUP($B98,INDIRECT($B$5&amp;"生成成长"),4))/(VLOOKUP(W$72,INDIRECT($C$5&amp;"生成成长"),5))*(VLOOKUP($B$5,标准坦克设计!$B$24:$U$30,MATCH("对"&amp;LEFT($C$5,2)&amp;"输出",标准坦克设计!$B$23:$U$23,0)))*(VLOOKUP($B98,INDIRECT($B$5&amp;"生成成长"),3))*(VLOOKUP($B$5,标准坦克设计!$B$14:$K$20,9)/30))</f>
        <v>8.060346455949956</v>
      </c>
      <c r="X98" s="172">
        <f ca="1">(VLOOKUP(X$72,INDIRECT($C$5&amp;"生成成长"),2))/((VLOOKUP($B98,INDIRECT($B$5&amp;"生成成长"),4))/(VLOOKUP(X$72,INDIRECT($C$5&amp;"生成成长"),5))*(VLOOKUP($B$5,标准坦克设计!$B$24:$U$30,MATCH("对"&amp;LEFT($C$5,2)&amp;"输出",标准坦克设计!$B$23:$U$23,0)))*(VLOOKUP($B98,INDIRECT($B$5&amp;"生成成长"),3))*(VLOOKUP($B$5,标准坦克设计!$B$14:$K$20,9)/30))</f>
        <v>5.839544455669186</v>
      </c>
      <c r="Y98" s="172">
        <f ca="1">(VLOOKUP(Y$72,INDIRECT($C$5&amp;"生成成长"),2))/((VLOOKUP($B98,INDIRECT($B$5&amp;"生成成长"),4))/(VLOOKUP(Y$72,INDIRECT($C$5&amp;"生成成长"),5))*(VLOOKUP($B$5,标准坦克设计!$B$24:$U$30,MATCH("对"&amp;LEFT($C$5,2)&amp;"输出",标准坦克设计!$B$23:$U$23,0)))*(VLOOKUP($B98,INDIRECT($B$5&amp;"生成成长"),3))*(VLOOKUP($B$5,标准坦克设计!$B$14:$K$20,9)/30))</f>
        <v>6.4951832371591109</v>
      </c>
      <c r="Z98" s="172">
        <f ca="1">(VLOOKUP(Z$72,INDIRECT($C$5&amp;"生成成长"),2))/((VLOOKUP($B98,INDIRECT($B$5&amp;"生成成长"),4))/(VLOOKUP(Z$72,INDIRECT($C$5&amp;"生成成长"),5))*(VLOOKUP($B$5,标准坦克设计!$B$24:$U$30,MATCH("对"&amp;LEFT($C$5,2)&amp;"输出",标准坦克设计!$B$23:$U$23,0)))*(VLOOKUP($B98,INDIRECT($B$5&amp;"生成成长"),3))*(VLOOKUP($B$5,标准坦克设计!$B$14:$K$20,9)/30))</f>
        <v>7.1856964219197783</v>
      </c>
      <c r="AA98" s="172">
        <f ca="1">(VLOOKUP(AA$72,INDIRECT($C$5&amp;"生成成长"),2))/((VLOOKUP($B98,INDIRECT($B$5&amp;"生成成长"),4))/(VLOOKUP(AA$72,INDIRECT($C$5&amp;"生成成长"),5))*(VLOOKUP($B$5,标准坦克设计!$B$24:$U$30,MATCH("对"&amp;LEFT($C$5,2)&amp;"输出",标准坦克设计!$B$23:$U$23,0)))*(VLOOKUP($B98,INDIRECT($B$5&amp;"生成成长"),3))*(VLOOKUP($B$5,标准坦克设计!$B$14:$K$20,9)/30))</f>
        <v>7.9110840099511872</v>
      </c>
      <c r="AB98" s="172">
        <f ca="1">(VLOOKUP(AB$72,INDIRECT($C$5&amp;"生成成长"),2))/((VLOOKUP($B98,INDIRECT($B$5&amp;"生成成长"),4))/(VLOOKUP(AB$72,INDIRECT($C$5&amp;"生成成长"),5))*(VLOOKUP($B$5,标准坦克设计!$B$24:$U$30,MATCH("对"&amp;LEFT($C$5,2)&amp;"输出",标准坦克设计!$B$23:$U$23,0)))*(VLOOKUP($B98,INDIRECT($B$5&amp;"生成成长"),3))*(VLOOKUP($B$5,标准坦克设计!$B$14:$K$20,9)/30))</f>
        <v>8.6713460012533332</v>
      </c>
      <c r="AC98" s="172">
        <f ca="1">(VLOOKUP(AC$72,INDIRECT($C$5&amp;"生成成长"),2))/((VLOOKUP($B98,INDIRECT($B$5&amp;"生成成长"),4))/(VLOOKUP(AC$72,INDIRECT($C$5&amp;"生成成长"),5))*(VLOOKUP($B$5,标准坦克设计!$B$24:$U$30,MATCH("对"&amp;LEFT($C$5,2)&amp;"输出",标准坦克设计!$B$23:$U$23,0)))*(VLOOKUP($B98,INDIRECT($B$5&amp;"生成成长"),3))*(VLOOKUP($B$5,标准坦克设计!$B$14:$K$20,9)/30))</f>
        <v>9.4664823958262225</v>
      </c>
      <c r="AD98" s="172">
        <f ca="1">(VLOOKUP(AD$72,INDIRECT($C$5&amp;"生成成长"),2))/((VLOOKUP($B98,INDIRECT($B$5&amp;"生成成长"),4))/(VLOOKUP(AD$72,INDIRECT($C$5&amp;"生成成长"),5))*(VLOOKUP($B$5,标准坦克设计!$B$24:$U$30,MATCH("对"&amp;LEFT($C$5,2)&amp;"输出",标准坦克设计!$B$23:$U$23,0)))*(VLOOKUP($B98,INDIRECT($B$5&amp;"生成成长"),3))*(VLOOKUP($B$5,标准坦克设计!$B$14:$K$20,9)/30))</f>
        <v>10.296493193669853</v>
      </c>
      <c r="AE98" s="172">
        <f ca="1">(VLOOKUP(AE$72,INDIRECT($C$5&amp;"生成成长"),2))/((VLOOKUP($B98,INDIRECT($B$5&amp;"生成成长"),4))/(VLOOKUP(AE$72,INDIRECT($C$5&amp;"生成成长"),5))*(VLOOKUP($B$5,标准坦克设计!$B$24:$U$30,MATCH("对"&amp;LEFT($C$5,2)&amp;"输出",标准坦克设计!$B$23:$U$23,0)))*(VLOOKUP($B98,INDIRECT($B$5&amp;"生成成长"),3))*(VLOOKUP($B$5,标准坦克设计!$B$14:$K$20,9)/30))</f>
        <v>11.161378394784224</v>
      </c>
      <c r="AF98" s="172">
        <f ca="1">(VLOOKUP(AF$72,INDIRECT($C$5&amp;"生成成长"),2))/((VLOOKUP($B98,INDIRECT($B$5&amp;"生成成长"),4))/(VLOOKUP(AF$72,INDIRECT($C$5&amp;"生成成长"),5))*(VLOOKUP($B$5,标准坦克设计!$B$24:$U$30,MATCH("对"&amp;LEFT($C$5,2)&amp;"输出",标准坦克设计!$B$23:$U$23,0)))*(VLOOKUP($B98,INDIRECT($B$5&amp;"生成成长"),3))*(VLOOKUP($B$5,标准坦克设计!$B$14:$K$20,9)/30))</f>
        <v>12.061137999169336</v>
      </c>
      <c r="AG98" s="172">
        <f ca="1">(VLOOKUP(AG$72,INDIRECT($C$5&amp;"生成成长"),2))/((VLOOKUP($B98,INDIRECT($B$5&amp;"生成成长"),4))/(VLOOKUP(AG$72,INDIRECT($C$5&amp;"生成成长"),5))*(VLOOKUP($B$5,标准坦克设计!$B$24:$U$30,MATCH("对"&amp;LEFT($C$5,2)&amp;"输出",标准坦克设计!$B$23:$U$23,0)))*(VLOOKUP($B98,INDIRECT($B$5&amp;"生成成长"),3))*(VLOOKUP($B$5,标准坦克设计!$B$14:$K$20,9)/30))</f>
        <v>12.995772006825186</v>
      </c>
      <c r="AH98" s="172">
        <f ca="1">(VLOOKUP(AH$72,INDIRECT($C$5&amp;"生成成长"),2))/((VLOOKUP($B98,INDIRECT($B$5&amp;"生成成长"),4))/(VLOOKUP(AH$72,INDIRECT($C$5&amp;"生成成长"),5))*(VLOOKUP($B$5,标准坦克设计!$B$24:$U$30,MATCH("对"&amp;LEFT($C$5,2)&amp;"输出",标准坦克设计!$B$23:$U$23,0)))*(VLOOKUP($B98,INDIRECT($B$5&amp;"生成成长"),3))*(VLOOKUP($B$5,标准坦克设计!$B$14:$K$20,9)/30))</f>
        <v>13.965280417751778</v>
      </c>
      <c r="AI98" s="172">
        <f ca="1">(VLOOKUP(AI$72,INDIRECT($C$5&amp;"生成成长"),2))/((VLOOKUP($B98,INDIRECT($B$5&amp;"生成成长"),4))/(VLOOKUP(AI$72,INDIRECT($C$5&amp;"生成成长"),5))*(VLOOKUP($B$5,标准坦克设计!$B$24:$U$30,MATCH("对"&amp;LEFT($C$5,2)&amp;"输出",标准坦克设计!$B$23:$U$23,0)))*(VLOOKUP($B98,INDIRECT($B$5&amp;"生成成长"),3))*(VLOOKUP($B$5,标准坦克设计!$B$14:$K$20,9)/30))</f>
        <v>9.8771284943391962</v>
      </c>
      <c r="AJ98" s="172">
        <f ca="1">(VLOOKUP(AJ$72,INDIRECT($C$5&amp;"生成成长"),2))/((VLOOKUP($B98,INDIRECT($B$5&amp;"生成成长"),4))/(VLOOKUP(AJ$72,INDIRECT($C$5&amp;"生成成长"),5))*(VLOOKUP($B$5,标准坦克设计!$B$24:$U$30,MATCH("对"&amp;LEFT($C$5,2)&amp;"输出",标准坦克设计!$B$23:$U$23,0)))*(VLOOKUP($B98,INDIRECT($B$5&amp;"生成成长"),3))*(VLOOKUP($B$5,标准坦克设计!$B$14:$K$20,9)/30))</f>
        <v>10.811239385945987</v>
      </c>
      <c r="AK98" s="172">
        <f ca="1">(VLOOKUP(AK$72,INDIRECT($C$5&amp;"生成成长"),2))/((VLOOKUP($B98,INDIRECT($B$5&amp;"生成成长"),4))/(VLOOKUP(AK$72,INDIRECT($C$5&amp;"生成成长"),5))*(VLOOKUP($B$5,标准坦克设计!$B$24:$U$30,MATCH("对"&amp;LEFT($C$5,2)&amp;"输出",标准坦克设计!$B$23:$U$23,0)))*(VLOOKUP($B98,INDIRECT($B$5&amp;"生成成长"),3))*(VLOOKUP($B$5,标准坦克设计!$B$14:$K$20,9)/30))</f>
        <v>11.787548305510375</v>
      </c>
      <c r="AL98" s="172">
        <f ca="1">(VLOOKUP(AL$72,INDIRECT($C$5&amp;"生成成长"),2))/((VLOOKUP($B98,INDIRECT($B$5&amp;"生成成长"),4))/(VLOOKUP(AL$72,INDIRECT($C$5&amp;"生成成长"),5))*(VLOOKUP($B$5,标准坦克设计!$B$24:$U$30,MATCH("对"&amp;LEFT($C$5,2)&amp;"输出",标准坦克设计!$B$23:$U$23,0)))*(VLOOKUP($B98,INDIRECT($B$5&amp;"生成成长"),3))*(VLOOKUP($B$5,标准坦克设计!$B$14:$K$20,9)/30))</f>
        <v>12.806055253032358</v>
      </c>
      <c r="AM98" s="172">
        <f ca="1">(VLOOKUP(AM$72,INDIRECT($C$5&amp;"生成成长"),2))/((VLOOKUP($B98,INDIRECT($B$5&amp;"生成成长"),4))/(VLOOKUP(AM$72,INDIRECT($C$5&amp;"生成成长"),5))*(VLOOKUP($B$5,标准坦克设计!$B$24:$U$30,MATCH("对"&amp;LEFT($C$5,2)&amp;"输出",标准坦克设计!$B$23:$U$23,0)))*(VLOOKUP($B98,INDIRECT($B$5&amp;"生成成长"),3))*(VLOOKUP($B$5,标准坦克设计!$B$14:$K$20,9)/30))</f>
        <v>13.866760228511939</v>
      </c>
      <c r="AN98" s="172">
        <f ca="1">(VLOOKUP(AN$72,INDIRECT($C$5&amp;"生成成长"),2))/((VLOOKUP($B98,INDIRECT($B$5&amp;"生成成长"),4))/(VLOOKUP(AN$72,INDIRECT($C$5&amp;"生成成长"),5))*(VLOOKUP($B$5,标准坦克设计!$B$24:$U$30,MATCH("对"&amp;LEFT($C$5,2)&amp;"输出",标准坦克设计!$B$23:$U$23,0)))*(VLOOKUP($B98,INDIRECT($B$5&amp;"生成成长"),3))*(VLOOKUP($B$5,标准坦克设计!$B$14:$K$20,9)/30))</f>
        <v>14.969663231949115</v>
      </c>
      <c r="AO98" s="172">
        <f ca="1">(VLOOKUP(AO$72,INDIRECT($C$5&amp;"生成成长"),2))/((VLOOKUP($B98,INDIRECT($B$5&amp;"生成成长"),4))/(VLOOKUP(AO$72,INDIRECT($C$5&amp;"生成成长"),5))*(VLOOKUP($B$5,标准坦克设计!$B$24:$U$30,MATCH("对"&amp;LEFT($C$5,2)&amp;"输出",标准坦克设计!$B$23:$U$23,0)))*(VLOOKUP($B98,INDIRECT($B$5&amp;"生成成长"),3))*(VLOOKUP($B$5,标准坦克设计!$B$14:$K$20,9)/30))</f>
        <v>16.114764263343886</v>
      </c>
      <c r="AP98" s="172">
        <f ca="1">(VLOOKUP(AP$72,INDIRECT($C$5&amp;"生成成长"),2))/((VLOOKUP($B98,INDIRECT($B$5&amp;"生成成长"),4))/(VLOOKUP(AP$72,INDIRECT($C$5&amp;"生成成长"),5))*(VLOOKUP($B$5,标准坦克设计!$B$24:$U$30,MATCH("对"&amp;LEFT($C$5,2)&amp;"输出",标准坦克设计!$B$23:$U$23,0)))*(VLOOKUP($B98,INDIRECT($B$5&amp;"生成成长"),3))*(VLOOKUP($B$5,标准坦克设计!$B$14:$K$20,9)/30))</f>
        <v>17.302063322696256</v>
      </c>
      <c r="AQ98" s="172">
        <f ca="1">(VLOOKUP(AQ$72,INDIRECT($C$5&amp;"生成成长"),2))/((VLOOKUP($B98,INDIRECT($B$5&amp;"生成成长"),4))/(VLOOKUP(AQ$72,INDIRECT($C$5&amp;"生成成长"),5))*(VLOOKUP($B$5,标准坦克设计!$B$24:$U$30,MATCH("对"&amp;LEFT($C$5,2)&amp;"输出",标准坦克设计!$B$23:$U$23,0)))*(VLOOKUP($B98,INDIRECT($B$5&amp;"生成成长"),3))*(VLOOKUP($B$5,标准坦克设计!$B$14:$K$20,9)/30))</f>
        <v>18.531560410006218</v>
      </c>
      <c r="AR98" s="172">
        <f ca="1">(VLOOKUP(AR$72,INDIRECT($C$5&amp;"生成成长"),2))/((VLOOKUP($B98,INDIRECT($B$5&amp;"生成成长"),4))/(VLOOKUP(AR$72,INDIRECT($C$5&amp;"生成成长"),5))*(VLOOKUP($B$5,标准坦克设计!$B$24:$U$30,MATCH("对"&amp;LEFT($C$5,2)&amp;"输出",标准坦克设计!$B$23:$U$23,0)))*(VLOOKUP($B98,INDIRECT($B$5&amp;"生成成长"),3))*(VLOOKUP($B$5,标准坦克设计!$B$14:$K$20,9)/30))</f>
        <v>19.80325552527378</v>
      </c>
      <c r="AS98" s="172">
        <f ca="1">(VLOOKUP(AS$72,INDIRECT($C$5&amp;"生成成长"),2))/((VLOOKUP($B98,INDIRECT($B$5&amp;"生成成长"),4))/(VLOOKUP(AS$72,INDIRECT($C$5&amp;"生成成长"),5))*(VLOOKUP($B$5,标准坦克设计!$B$24:$U$30,MATCH("对"&amp;LEFT($C$5,2)&amp;"输出",标准坦克设计!$B$23:$U$23,0)))*(VLOOKUP($B98,INDIRECT($B$5&amp;"生成成长"),3))*(VLOOKUP($B$5,标准坦克设计!$B$14:$K$20,9)/30))</f>
        <v>21.117148668498935</v>
      </c>
      <c r="AT98" s="172">
        <f ca="1">(VLOOKUP(AT$72,INDIRECT($C$5&amp;"生成成长"),2))/((VLOOKUP($B98,INDIRECT($B$5&amp;"生成成长"),4))/(VLOOKUP(AT$72,INDIRECT($C$5&amp;"生成成长"),5))*(VLOOKUP($B$5,标准坦克设计!$B$24:$U$30,MATCH("对"&amp;LEFT($C$5,2)&amp;"输出",标准坦克设计!$B$23:$U$23,0)))*(VLOOKUP($B98,INDIRECT($B$5&amp;"生成成长"),3))*(VLOOKUP($B$5,标准坦克设计!$B$14:$K$20,9)/30))</f>
        <v>22.473239839681696</v>
      </c>
      <c r="AU98" s="172">
        <f ca="1">(VLOOKUP(AU$72,INDIRECT($C$5&amp;"生成成长"),2))/((VLOOKUP($B98,INDIRECT($B$5&amp;"生成成长"),4))/(VLOOKUP(AU$72,INDIRECT($C$5&amp;"生成成长"),5))*(VLOOKUP($B$5,标准坦克设计!$B$24:$U$30,MATCH("对"&amp;LEFT($C$5,2)&amp;"输出",标准坦克设计!$B$23:$U$23,0)))*(VLOOKUP($B98,INDIRECT($B$5&amp;"生成成长"),3))*(VLOOKUP($B$5,标准坦克设计!$B$14:$K$20,9)/30))</f>
        <v>23.87152903882205</v>
      </c>
      <c r="AV98" s="172">
        <f ca="1">(VLOOKUP(AV$72,INDIRECT($C$5&amp;"生成成长"),2))/((VLOOKUP($B98,INDIRECT($B$5&amp;"生成成长"),4))/(VLOOKUP(AV$72,INDIRECT($C$5&amp;"生成成长"),5))*(VLOOKUP($B$5,标准坦克设计!$B$24:$U$30,MATCH("对"&amp;LEFT($C$5,2)&amp;"输出",标准坦克设计!$B$23:$U$23,0)))*(VLOOKUP($B98,INDIRECT($B$5&amp;"生成成长"),3))*(VLOOKUP($B$5,标准坦克设计!$B$14:$K$20,9)/30))</f>
        <v>2.4279559557089714</v>
      </c>
      <c r="AW98" s="172">
        <f ca="1">(VLOOKUP(AW$72,INDIRECT($C$5&amp;"生成成长"),2))/((VLOOKUP($B98,INDIRECT($B$5&amp;"生成成长"),4))/(VLOOKUP(AW$72,INDIRECT($C$5&amp;"生成成长"),5))*(VLOOKUP($B$5,标准坦克设计!$B$24:$U$30,MATCH("对"&amp;LEFT($C$5,2)&amp;"输出",标准坦克设计!$B$23:$U$23,0)))*(VLOOKUP($B98,INDIRECT($B$5&amp;"生成成长"),3))*(VLOOKUP($B$5,标准坦克设计!$B$14:$K$20,9)/30))</f>
        <v>2.7683301316314011</v>
      </c>
      <c r="AX98" s="172">
        <f ca="1">(VLOOKUP(AX$72,INDIRECT($C$5&amp;"生成成长"),2))/((VLOOKUP($B98,INDIRECT($B$5&amp;"生成成长"),4))/(VLOOKUP(AX$72,INDIRECT($C$5&amp;"生成成长"),5))*(VLOOKUP($B$5,标准坦克设计!$B$24:$U$30,MATCH("对"&amp;LEFT($C$5,2)&amp;"输出",标准坦克设计!$B$23:$U$23,0)))*(VLOOKUP($B98,INDIRECT($B$5&amp;"生成成长"),3))*(VLOOKUP($B$5,标准坦克设计!$B$14:$K$20,9)/30))</f>
        <v>3.1310239256471046</v>
      </c>
      <c r="AY98" s="172">
        <f ca="1">(VLOOKUP(AY$72,INDIRECT($C$5&amp;"生成成长"),2))/((VLOOKUP($B98,INDIRECT($B$5&amp;"生成成长"),4))/(VLOOKUP(AY$72,INDIRECT($C$5&amp;"生成成长"),5))*(VLOOKUP($B$5,标准坦克设计!$B$24:$U$30,MATCH("对"&amp;LEFT($C$5,2)&amp;"输出",标准坦克设计!$B$23:$U$23,0)))*(VLOOKUP($B98,INDIRECT($B$5&amp;"生成成长"),3))*(VLOOKUP($B$5,标准坦克设计!$B$14:$K$20,9)/30))</f>
        <v>3.5160373377560825</v>
      </c>
      <c r="AZ98" s="172">
        <f ca="1">(VLOOKUP(AZ$72,INDIRECT($C$5&amp;"生成成长"),2))/((VLOOKUP($B98,INDIRECT($B$5&amp;"生成成长"),4))/(VLOOKUP(AZ$72,INDIRECT($C$5&amp;"生成成长"),5))*(VLOOKUP($B$5,标准坦克设计!$B$24:$U$30,MATCH("对"&amp;LEFT($C$5,2)&amp;"输出",标准坦克设计!$B$23:$U$23,0)))*(VLOOKUP($B98,INDIRECT($B$5&amp;"生成成长"),3))*(VLOOKUP($B$5,标准坦克设计!$B$14:$K$20,9)/30))</f>
        <v>3.9233703679583352</v>
      </c>
      <c r="BA98" s="172">
        <f ca="1">(VLOOKUP(BA$72,INDIRECT($C$5&amp;"生成成长"),2))/((VLOOKUP($B98,INDIRECT($B$5&amp;"生成成长"),4))/(VLOOKUP(BA$72,INDIRECT($C$5&amp;"生成成长"),5))*(VLOOKUP($B$5,标准坦克设计!$B$24:$U$30,MATCH("对"&amp;LEFT($C$5,2)&amp;"输出",标准坦克设计!$B$23:$U$23,0)))*(VLOOKUP($B98,INDIRECT($B$5&amp;"生成成长"),3))*(VLOOKUP($B$5,标准坦克设计!$B$14:$K$20,9)/30))</f>
        <v>4.3530230162538608</v>
      </c>
      <c r="BB98" s="172">
        <f ca="1">(VLOOKUP(BB$72,INDIRECT($C$5&amp;"生成成长"),2))/((VLOOKUP($B98,INDIRECT($B$5&amp;"生成成长"),4))/(VLOOKUP(BB$72,INDIRECT($C$5&amp;"生成成长"),5))*(VLOOKUP($B$5,标准坦克设计!$B$24:$U$30,MATCH("对"&amp;LEFT($C$5,2)&amp;"输出",标准坦克设计!$B$23:$U$23,0)))*(VLOOKUP($B98,INDIRECT($B$5&amp;"生成成长"),3))*(VLOOKUP($B$5,标准坦克设计!$B$14:$K$20,9)/30))</f>
        <v>4.8049952826426612</v>
      </c>
      <c r="BC98" s="172">
        <f ca="1">(VLOOKUP(BC$72,INDIRECT($C$5&amp;"生成成长"),2))/((VLOOKUP($B98,INDIRECT($B$5&amp;"生成成长"),4))/(VLOOKUP(BC$72,INDIRECT($C$5&amp;"生成成长"),5))*(VLOOKUP($B$5,标准坦克设计!$B$24:$U$30,MATCH("对"&amp;LEFT($C$5,2)&amp;"输出",标准坦克设计!$B$23:$U$23,0)))*(VLOOKUP($B98,INDIRECT($B$5&amp;"生成成长"),3))*(VLOOKUP($B$5,标准坦克设计!$B$14:$K$20,9)/30))</f>
        <v>5.2792871671247337</v>
      </c>
      <c r="BD98" s="172">
        <f ca="1">(VLOOKUP(BD$72,INDIRECT($C$5&amp;"生成成长"),2))/((VLOOKUP($B98,INDIRECT($B$5&amp;"生成成长"),4))/(VLOOKUP(BD$72,INDIRECT($C$5&amp;"生成成长"),5))*(VLOOKUP($B$5,标准坦克设计!$B$24:$U$30,MATCH("对"&amp;LEFT($C$5,2)&amp;"输出",标准坦克设计!$B$23:$U$23,0)))*(VLOOKUP($B98,INDIRECT($B$5&amp;"生成成长"),3))*(VLOOKUP($B$5,标准坦克设计!$B$14:$K$20,9)/30))</f>
        <v>5.839544455669186</v>
      </c>
      <c r="BE98" s="172">
        <f ca="1">(VLOOKUP(BE$72,INDIRECT($C$5&amp;"生成成长"),2))/((VLOOKUP($B98,INDIRECT($B$5&amp;"生成成长"),4))/(VLOOKUP(BE$72,INDIRECT($C$5&amp;"生成成长"),5))*(VLOOKUP($B$5,标准坦克设计!$B$24:$U$30,MATCH("对"&amp;LEFT($C$5,2)&amp;"输出",标准坦克设计!$B$23:$U$23,0)))*(VLOOKUP($B98,INDIRECT($B$5&amp;"生成成长"),3))*(VLOOKUP($B$5,标准坦克设计!$B$14:$K$20,9)/30))</f>
        <v>6.428050010862937</v>
      </c>
      <c r="BF98" s="172">
        <f ca="1">(VLOOKUP(BF$72,INDIRECT($C$5&amp;"生成成长"),2))/((VLOOKUP($B98,INDIRECT($B$5&amp;"生成成长"),4))/(VLOOKUP(BF$72,INDIRECT($C$5&amp;"生成成长"),5))*(VLOOKUP($B$5,标准坦克设计!$B$24:$U$30,MATCH("对"&amp;LEFT($C$5,2)&amp;"输出",标准坦克设计!$B$23:$U$23,0)))*(VLOOKUP($B98,INDIRECT($B$5&amp;"生成成长"),3))*(VLOOKUP($B$5,标准坦克设计!$B$14:$K$20,9)/30))</f>
        <v>7.0448038327059868</v>
      </c>
      <c r="BG98" s="172">
        <f ca="1">(VLOOKUP(BG$72,INDIRECT($C$5&amp;"生成成长"),2))/((VLOOKUP($B98,INDIRECT($B$5&amp;"生成成长"),4))/(VLOOKUP(BG$72,INDIRECT($C$5&amp;"生成成长"),5))*(VLOOKUP($B$5,标准坦克设计!$B$24:$U$30,MATCH("对"&amp;LEFT($C$5,2)&amp;"输出",标准坦克设计!$B$23:$U$23,0)))*(VLOOKUP($B98,INDIRECT($B$5&amp;"生成成长"),3))*(VLOOKUP($B$5,标准坦克设计!$B$14:$K$20,9)/30))</f>
        <v>7.6898059211983361</v>
      </c>
      <c r="BH98" s="172">
        <f ca="1">(VLOOKUP(BH$72,INDIRECT($C$5&amp;"生成成长"),2))/((VLOOKUP($B98,INDIRECT($B$5&amp;"生成成长"),4))/(VLOOKUP(BH$72,INDIRECT($C$5&amp;"生成成长"),5))*(VLOOKUP($B$5,标准坦克设计!$B$24:$U$30,MATCH("对"&amp;LEFT($C$5,2)&amp;"输出",标准坦克设计!$B$23:$U$23,0)))*(VLOOKUP($B98,INDIRECT($B$5&amp;"生成成长"),3))*(VLOOKUP($B$5,标准坦克设计!$B$14:$K$20,9)/30))</f>
        <v>3.7169139005955487</v>
      </c>
      <c r="BI98" s="172">
        <f ca="1">(VLOOKUP(BI$72,INDIRECT($C$5&amp;"生成成长"),2))/((VLOOKUP($B98,INDIRECT($B$5&amp;"生成成长"),4))/(VLOOKUP(BI$72,INDIRECT($C$5&amp;"生成成长"),5))*(VLOOKUP($B$5,标准坦克设计!$B$24:$U$30,MATCH("对"&amp;LEFT($C$5,2)&amp;"输出",标准坦克设计!$B$23:$U$23,0)))*(VLOOKUP($B98,INDIRECT($B$5&amp;"生成成长"),3))*(VLOOKUP($B$5,标准坦克设计!$B$14:$K$20,9)/30))</f>
        <v>4.1892876928977332</v>
      </c>
      <c r="BJ98" s="172">
        <f ca="1">(VLOOKUP(BJ$72,INDIRECT($C$5&amp;"生成成长"),2))/((VLOOKUP($B98,INDIRECT($B$5&amp;"生成成长"),4))/(VLOOKUP(BJ$72,INDIRECT($C$5&amp;"生成成长"),5))*(VLOOKUP($B$5,标准坦克设计!$B$24:$U$30,MATCH("对"&amp;LEFT($C$5,2)&amp;"输出",标准坦克设计!$B$23:$U$23,0)))*(VLOOKUP($B98,INDIRECT($B$5&amp;"生成成长"),3))*(VLOOKUP($B$5,标准坦克设计!$B$14:$K$20,9)/30))</f>
        <v>4.6899097518492159</v>
      </c>
      <c r="BK98" s="172">
        <f ca="1">(VLOOKUP(BK$72,INDIRECT($C$5&amp;"生成成长"),2))/((VLOOKUP($B98,INDIRECT($B$5&amp;"生成成长"),4))/(VLOOKUP(BK$72,INDIRECT($C$5&amp;"生成成长"),5))*(VLOOKUP($B$5,标准坦克设计!$B$24:$U$30,MATCH("对"&amp;LEFT($C$5,2)&amp;"输出",标准坦克设计!$B$23:$U$23,0)))*(VLOOKUP($B98,INDIRECT($B$5&amp;"生成成长"),3))*(VLOOKUP($B$5,标准坦克设计!$B$14:$K$20,9)/30))</f>
        <v>5.2187800774500008</v>
      </c>
      <c r="BL98" s="172">
        <f ca="1">(VLOOKUP(BL$72,INDIRECT($C$5&amp;"生成成长"),2))/((VLOOKUP($B98,INDIRECT($B$5&amp;"生成成长"),4))/(VLOOKUP(BL$72,INDIRECT($C$5&amp;"生成成长"),5))*(VLOOKUP($B$5,标准坦克设计!$B$24:$U$30,MATCH("对"&amp;LEFT($C$5,2)&amp;"输出",标准坦克设计!$B$23:$U$23,0)))*(VLOOKUP($B98,INDIRECT($B$5&amp;"生成成长"),3))*(VLOOKUP($B$5,标准坦克设计!$B$14:$K$20,9)/30))</f>
        <v>5.7758986697000836</v>
      </c>
      <c r="BM98" s="172">
        <f ca="1">(VLOOKUP(BM$72,INDIRECT($C$5&amp;"生成成长"),2))/((VLOOKUP($B98,INDIRECT($B$5&amp;"生成成长"),4))/(VLOOKUP(BM$72,INDIRECT($C$5&amp;"生成成长"),5))*(VLOOKUP($B$5,标准坦克设计!$B$24:$U$30,MATCH("对"&amp;LEFT($C$5,2)&amp;"输出",标准坦克设计!$B$23:$U$23,0)))*(VLOOKUP($B98,INDIRECT($B$5&amp;"生成成长"),3))*(VLOOKUP($B$5,标准坦克设计!$B$14:$K$20,9)/30))</f>
        <v>6.3612655285994677</v>
      </c>
      <c r="BN98" s="172">
        <f ca="1">(VLOOKUP(BN$72,INDIRECT($C$5&amp;"生成成长"),2))/((VLOOKUP($B98,INDIRECT($B$5&amp;"生成成长"),4))/(VLOOKUP(BN$72,INDIRECT($C$5&amp;"生成成长"),5))*(VLOOKUP($B$5,标准坦克设计!$B$24:$U$30,MATCH("对"&amp;LEFT($C$5,2)&amp;"输出",标准坦克设计!$B$23:$U$23,0)))*(VLOOKUP($B98,INDIRECT($B$5&amp;"生成成长"),3))*(VLOOKUP($B$5,标准坦克设计!$B$14:$K$20,9)/30))</f>
        <v>6.9748806541481505</v>
      </c>
      <c r="BO98" s="172">
        <f ca="1">(VLOOKUP(BO$72,INDIRECT($C$5&amp;"生成成长"),2))/((VLOOKUP($B98,INDIRECT($B$5&amp;"生成成长"),4))/(VLOOKUP(BO$72,INDIRECT($C$5&amp;"生成成长"),5))*(VLOOKUP($B$5,标准坦克设计!$B$24:$U$30,MATCH("对"&amp;LEFT($C$5,2)&amp;"输出",标准坦克设计!$B$23:$U$23,0)))*(VLOOKUP($B98,INDIRECT($B$5&amp;"生成成长"),3))*(VLOOKUP($B$5,标准坦克设计!$B$14:$K$20,9)/30))</f>
        <v>7.6167440463461347</v>
      </c>
      <c r="BP98" s="172">
        <f ca="1">(VLOOKUP(BP$72,INDIRECT($C$5&amp;"生成成长"),2))/((VLOOKUP($B98,INDIRECT($B$5&amp;"生成成长"),4))/(VLOOKUP(BP$72,INDIRECT($C$5&amp;"生成成长"),5))*(VLOOKUP($B$5,标准坦克设计!$B$24:$U$30,MATCH("对"&amp;LEFT($C$5,2)&amp;"输出",标准坦克设计!$B$23:$U$23,0)))*(VLOOKUP($B98,INDIRECT($B$5&amp;"生成成长"),3))*(VLOOKUP($B$5,标准坦克设计!$B$14:$K$20,9)/30))</f>
        <v>8.2868557051934175</v>
      </c>
      <c r="BQ98" s="172">
        <f ca="1">(VLOOKUP(BQ$72,INDIRECT($C$5&amp;"生成成长"),2))/((VLOOKUP($B98,INDIRECT($B$5&amp;"生成成长"),4))/(VLOOKUP(BQ$72,INDIRECT($C$5&amp;"生成成长"),5))*(VLOOKUP($B$5,标准坦克设计!$B$24:$U$30,MATCH("对"&amp;LEFT($C$5,2)&amp;"输出",标准坦克设计!$B$23:$U$23,0)))*(VLOOKUP($B98,INDIRECT($B$5&amp;"生成成长"),3))*(VLOOKUP($B$5,标准坦克设计!$B$14:$K$20,9)/30))</f>
        <v>8.9852156306900017</v>
      </c>
      <c r="BR98" s="172">
        <f ca="1">(VLOOKUP(BR$72,INDIRECT($C$5&amp;"生成成长"),2))/((VLOOKUP($B98,INDIRECT($B$5&amp;"生成成长"),4))/(VLOOKUP(BR$72,INDIRECT($C$5&amp;"生成成长"),5))*(VLOOKUP($B$5,标准坦克设计!$B$24:$U$30,MATCH("对"&amp;LEFT($C$5,2)&amp;"输出",标准坦克设计!$B$23:$U$23,0)))*(VLOOKUP($B98,INDIRECT($B$5&amp;"生成成长"),3))*(VLOOKUP($B$5,标准坦克设计!$B$14:$K$20,9)/30))</f>
        <v>9.7943017865711859</v>
      </c>
      <c r="BS98" s="172">
        <f ca="1">(VLOOKUP(BS$72,INDIRECT($C$5&amp;"生成成长"),2))/((VLOOKUP($B98,INDIRECT($B$5&amp;"生成成长"),4))/(VLOOKUP(BS$72,INDIRECT($C$5&amp;"生成成长"),5))*(VLOOKUP($B$5,标准坦克设计!$B$24:$U$30,MATCH("对"&amp;LEFT($C$5,2)&amp;"输出",标准坦克设计!$B$23:$U$23,0)))*(VLOOKUP($B98,INDIRECT($B$5&amp;"生成成长"),3))*(VLOOKUP($B$5,标准坦克设计!$B$14:$K$20,9)/30))</f>
        <v>10.638262345723113</v>
      </c>
      <c r="BT98" s="172">
        <f ca="1">(VLOOKUP(BT$72,INDIRECT($C$5&amp;"生成成长"),2))/((VLOOKUP($B98,INDIRECT($B$5&amp;"生成成长"),4))/(VLOOKUP(BT$72,INDIRECT($C$5&amp;"生成成长"),5))*(VLOOKUP($B$5,标准坦克设计!$B$24:$U$30,MATCH("对"&amp;LEFT($C$5,2)&amp;"输出",标准坦克设计!$B$23:$U$23,0)))*(VLOOKUP($B98,INDIRECT($B$5&amp;"生成成长"),3))*(VLOOKUP($B$5,标准坦克设计!$B$14:$K$20,9)/30))</f>
        <v>11.517097308145779</v>
      </c>
      <c r="BU98" s="172">
        <f ca="1">(VLOOKUP(BU$72,INDIRECT($C$5&amp;"生成成长"),2))/((VLOOKUP($B98,INDIRECT($B$5&amp;"生成成长"),4))/(VLOOKUP(BU$72,INDIRECT($C$5&amp;"生成成长"),5))*(VLOOKUP($B$5,标准坦克设计!$B$24:$U$30,MATCH("对"&amp;LEFT($C$5,2)&amp;"输出",标准坦克设计!$B$23:$U$23,0)))*(VLOOKUP($B98,INDIRECT($B$5&amp;"生成成长"),3))*(VLOOKUP($B$5,标准坦克设计!$B$14:$K$20,9)/30))</f>
        <v>12.430806673839188</v>
      </c>
      <c r="BV98" s="172">
        <f ca="1">(VLOOKUP(BV$72,INDIRECT($C$5&amp;"生成成长"),2))/((VLOOKUP($B98,INDIRECT($B$5&amp;"生成成长"),4))/(VLOOKUP(BV$72,INDIRECT($C$5&amp;"生成成长"),5))*(VLOOKUP($B$5,标准坦克设计!$B$24:$U$30,MATCH("对"&amp;LEFT($C$5,2)&amp;"输出",标准坦克设计!$B$23:$U$23,0)))*(VLOOKUP($B98,INDIRECT($B$5&amp;"生成成长"),3))*(VLOOKUP($B$5,标准坦克设计!$B$14:$K$20,9)/30))</f>
        <v>13.379390442803334</v>
      </c>
      <c r="BW98" s="172">
        <f ca="1">(VLOOKUP(BW$72,INDIRECT($C$5&amp;"生成成长"),2))/((VLOOKUP($B98,INDIRECT($B$5&amp;"生成成长"),4))/(VLOOKUP(BW$72,INDIRECT($C$5&amp;"生成成长"),5))*(VLOOKUP($B$5,标准坦克设计!$B$24:$U$30,MATCH("对"&amp;LEFT($C$5,2)&amp;"输出",标准坦克设计!$B$23:$U$23,0)))*(VLOOKUP($B98,INDIRECT($B$5&amp;"生成成长"),3))*(VLOOKUP($B$5,标准坦克设计!$B$14:$K$20,9)/30))</f>
        <v>6.0976150398726654</v>
      </c>
      <c r="BX98" s="172">
        <f ca="1">(VLOOKUP(BX$72,INDIRECT($C$5&amp;"生成成长"),2))/((VLOOKUP($B98,INDIRECT($B$5&amp;"生成成长"),4))/(VLOOKUP(BX$72,INDIRECT($C$5&amp;"生成成长"),5))*(VLOOKUP($B$5,标准坦克设计!$B$24:$U$30,MATCH("对"&amp;LEFT($C$5,2)&amp;"输出",标准坦克设计!$B$23:$U$23,0)))*(VLOOKUP($B98,INDIRECT($B$5&amp;"生成成长"),3))*(VLOOKUP($B$5,标准坦克设计!$B$14:$K$20,9)/30))</f>
        <v>6.7672035826708887</v>
      </c>
      <c r="BY98" s="172">
        <f ca="1">(VLOOKUP(BY$72,INDIRECT($C$5&amp;"生成成长"),2))/((VLOOKUP($B98,INDIRECT($B$5&amp;"生成成长"),4))/(VLOOKUP(BY$72,INDIRECT($C$5&amp;"生成成长"),5))*(VLOOKUP($B$5,标准坦克设计!$B$24:$U$30,MATCH("对"&amp;LEFT($C$5,2)&amp;"输出",标准坦克设计!$B$23:$U$23,0)))*(VLOOKUP($B98,INDIRECT($B$5&amp;"生成成长"),3))*(VLOOKUP($B$5,标准坦克设计!$B$14:$K$20,9)/30))</f>
        <v>7.4716665287398545</v>
      </c>
      <c r="BZ98" s="172">
        <f ca="1">(VLOOKUP(BZ$72,INDIRECT($C$5&amp;"生成成长"),2))/((VLOOKUP($B98,INDIRECT($B$5&amp;"生成成长"),4))/(VLOOKUP(BZ$72,INDIRECT($C$5&amp;"生成成长"),5))*(VLOOKUP($B$5,标准坦克设计!$B$24:$U$30,MATCH("对"&amp;LEFT($C$5,2)&amp;"输出",标准坦克设计!$B$23:$U$23,0)))*(VLOOKUP($B98,INDIRECT($B$5&amp;"生成成长"),3))*(VLOOKUP($B$5,标准坦克设计!$B$14:$K$20,9)/30))</f>
        <v>8.2110038780795556</v>
      </c>
      <c r="CA98" s="172">
        <f ca="1">(VLOOKUP(CA$72,INDIRECT($C$5&amp;"生成成长"),2))/((VLOOKUP($B98,INDIRECT($B$5&amp;"生成成长"),4))/(VLOOKUP(CA$72,INDIRECT($C$5&amp;"生成成长"),5))*(VLOOKUP($B$5,标准坦克设计!$B$24:$U$30,MATCH("对"&amp;LEFT($C$5,2)&amp;"输出",标准坦克设计!$B$23:$U$23,0)))*(VLOOKUP($B98,INDIRECT($B$5&amp;"生成成长"),3))*(VLOOKUP($B$5,标准坦克设计!$B$14:$K$20,9)/30))</f>
        <v>8.9852156306900017</v>
      </c>
      <c r="CB98" s="172">
        <f ca="1">(VLOOKUP(CB$72,INDIRECT($C$5&amp;"生成成长"),2))/((VLOOKUP($B98,INDIRECT($B$5&amp;"生成成长"),4))/(VLOOKUP(CB$72,INDIRECT($C$5&amp;"生成成长"),5))*(VLOOKUP($B$5,标准坦克设计!$B$24:$U$30,MATCH("对"&amp;LEFT($C$5,2)&amp;"输出",标准坦克设计!$B$23:$U$23,0)))*(VLOOKUP($B98,INDIRECT($B$5&amp;"生成成长"),3))*(VLOOKUP($B$5,标准坦克设计!$B$14:$K$20,9)/30))</f>
        <v>9.7943017865711859</v>
      </c>
      <c r="CC98" s="172">
        <f ca="1">(VLOOKUP(CC$72,INDIRECT($C$5&amp;"生成成长"),2))/((VLOOKUP($B98,INDIRECT($B$5&amp;"生成成长"),4))/(VLOOKUP(CC$72,INDIRECT($C$5&amp;"生成成长"),5))*(VLOOKUP($B$5,标准坦克设计!$B$24:$U$30,MATCH("对"&amp;LEFT($C$5,2)&amp;"输出",标准坦克设计!$B$23:$U$23,0)))*(VLOOKUP($B98,INDIRECT($B$5&amp;"生成成长"),3))*(VLOOKUP($B$5,标准坦克设计!$B$14:$K$20,9)/30))</f>
        <v>10.638262345723113</v>
      </c>
      <c r="CD98" s="172">
        <f ca="1">(VLOOKUP(CD$72,INDIRECT($C$5&amp;"生成成长"),2))/((VLOOKUP($B98,INDIRECT($B$5&amp;"生成成长"),4))/(VLOOKUP(CD$72,INDIRECT($C$5&amp;"生成成长"),5))*(VLOOKUP($B$5,标准坦克设计!$B$24:$U$30,MATCH("对"&amp;LEFT($C$5,2)&amp;"输出",标准坦克设计!$B$23:$U$23,0)))*(VLOOKUP($B98,INDIRECT($B$5&amp;"生成成长"),3))*(VLOOKUP($B$5,标准坦克设计!$B$14:$K$20,9)/30))</f>
        <v>11.517097308145779</v>
      </c>
      <c r="CE98" s="172">
        <f ca="1">(VLOOKUP(CE$72,INDIRECT($C$5&amp;"生成成长"),2))/((VLOOKUP($B98,INDIRECT($B$5&amp;"生成成长"),4))/(VLOOKUP(CE$72,INDIRECT($C$5&amp;"生成成长"),5))*(VLOOKUP($B$5,标准坦克设计!$B$24:$U$30,MATCH("对"&amp;LEFT($C$5,2)&amp;"输出",标准坦克设计!$B$23:$U$23,0)))*(VLOOKUP($B98,INDIRECT($B$5&amp;"生成成长"),3))*(VLOOKUP($B$5,标准坦克设计!$B$14:$K$20,9)/30))</f>
        <v>12.430806673839188</v>
      </c>
      <c r="CF98" s="172">
        <f ca="1">(VLOOKUP(CF$72,INDIRECT($C$5&amp;"生成成长"),2))/((VLOOKUP($B98,INDIRECT($B$5&amp;"生成成长"),4))/(VLOOKUP(CF$72,INDIRECT($C$5&amp;"生成成长"),5))*(VLOOKUP($B$5,标准坦克设计!$B$24:$U$30,MATCH("对"&amp;LEFT($C$5,2)&amp;"输出",标准坦克设计!$B$23:$U$23,0)))*(VLOOKUP($B98,INDIRECT($B$5&amp;"生成成长"),3))*(VLOOKUP($B$5,标准坦克设计!$B$14:$K$20,9)/30))</f>
        <v>13.379390442803334</v>
      </c>
      <c r="CG98" s="172">
        <f ca="1">(VLOOKUP(CG$72,INDIRECT($C$5&amp;"生成成长"),2))/((VLOOKUP($B98,INDIRECT($B$5&amp;"生成成长"),4))/(VLOOKUP(CG$72,INDIRECT($C$5&amp;"生成成长"),5))*(VLOOKUP($B$5,标准坦克设计!$B$24:$U$30,MATCH("对"&amp;LEFT($C$5,2)&amp;"输出",标准坦克设计!$B$23:$U$23,0)))*(VLOOKUP($B98,INDIRECT($B$5&amp;"生成成长"),3))*(VLOOKUP($B$5,标准坦克设计!$B$14:$K$20,9)/30))</f>
        <v>14.362848615038226</v>
      </c>
      <c r="CH98" s="172">
        <f ca="1">(VLOOKUP(CH$72,INDIRECT($C$5&amp;"生成成长"),2))/((VLOOKUP($B98,INDIRECT($B$5&amp;"生成成长"),4))/(VLOOKUP(CH$72,INDIRECT($C$5&amp;"生成成长"),5))*(VLOOKUP($B$5,标准坦克设计!$B$24:$U$30,MATCH("对"&amp;LEFT($C$5,2)&amp;"输出",标准坦克设计!$B$23:$U$23,0)))*(VLOOKUP($B98,INDIRECT($B$5&amp;"生成成长"),3))*(VLOOKUP($B$5,标准坦克设计!$B$14:$K$20,9)/30))</f>
        <v>15.381181190543854</v>
      </c>
      <c r="CI98" s="172">
        <f ca="1">(VLOOKUP(CI$72,INDIRECT($C$5&amp;"生成成长"),2))/((VLOOKUP($B98,INDIRECT($B$5&amp;"生成成长"),4))/(VLOOKUP(CI$72,INDIRECT($C$5&amp;"生成成长"),5))*(VLOOKUP($B$5,标准坦克设计!$B$24:$U$30,MATCH("对"&amp;LEFT($C$5,2)&amp;"输出",标准坦克设计!$B$23:$U$23,0)))*(VLOOKUP($B98,INDIRECT($B$5&amp;"生成成长"),3))*(VLOOKUP($B$5,标准坦克设计!$B$14:$K$20,9)/30))</f>
        <v>16.541626959377755</v>
      </c>
      <c r="CJ98" s="172">
        <f ca="1">(VLOOKUP(CJ$72,INDIRECT($C$5&amp;"生成成长"),2))/((VLOOKUP($B98,INDIRECT($B$5&amp;"生成成长"),4))/(VLOOKUP(CJ$72,INDIRECT($C$5&amp;"生成成长"),5))*(VLOOKUP($B$5,标准坦克设计!$B$24:$U$30,MATCH("对"&amp;LEFT($C$5,2)&amp;"输出",标准坦克设计!$B$23:$U$23,0)))*(VLOOKUP($B98,INDIRECT($B$5&amp;"生成成长"),3))*(VLOOKUP($B$5,标准坦克设计!$B$14:$K$20,9)/30))</f>
        <v>17.74427075616925</v>
      </c>
      <c r="CK98" s="172">
        <f ca="1">(VLOOKUP(CK$72,INDIRECT($C$5&amp;"生成成长"),2))/((VLOOKUP($B98,INDIRECT($B$5&amp;"生成成长"),4))/(VLOOKUP(CK$72,INDIRECT($C$5&amp;"生成成长"),5))*(VLOOKUP($B$5,标准坦克设计!$B$24:$U$30,MATCH("对"&amp;LEFT($C$5,2)&amp;"输出",标准坦克设计!$B$23:$U$23,0)))*(VLOOKUP($B98,INDIRECT($B$5&amp;"生成成长"),3))*(VLOOKUP($B$5,标准坦克设计!$B$14:$K$20,9)/30))</f>
        <v>18.989112580918338</v>
      </c>
      <c r="CL98" s="172">
        <f ca="1">(VLOOKUP(CL$72,INDIRECT($C$5&amp;"生成成长"),2))/((VLOOKUP($B98,INDIRECT($B$5&amp;"生成成长"),4))/(VLOOKUP(CL$72,INDIRECT($C$5&amp;"生成成长"),5))*(VLOOKUP($B$5,标准坦克设计!$B$24:$U$30,MATCH("对"&amp;LEFT($C$5,2)&amp;"输出",标准坦克设计!$B$23:$U$23,0)))*(VLOOKUP($B98,INDIRECT($B$5&amp;"生成成长"),3))*(VLOOKUP($B$5,标准坦克设计!$B$14:$K$20,9)/30))</f>
        <v>20.276152433625033</v>
      </c>
      <c r="CM98" s="172">
        <f ca="1">(VLOOKUP(CM$72,INDIRECT($C$5&amp;"生成成长"),2))/((VLOOKUP($B98,INDIRECT($B$5&amp;"生成成长"),4))/(VLOOKUP(CM$72,INDIRECT($C$5&amp;"生成成长"),5))*(VLOOKUP($B$5,标准坦克设计!$B$24:$U$30,MATCH("对"&amp;LEFT($C$5,2)&amp;"输出",标准坦克设计!$B$23:$U$23,0)))*(VLOOKUP($B98,INDIRECT($B$5&amp;"生成成长"),3))*(VLOOKUP($B$5,标准坦克设计!$B$14:$K$20,9)/30))</f>
        <v>21.605390314289313</v>
      </c>
      <c r="CN98" s="172">
        <f ca="1">(VLOOKUP(CN$72,INDIRECT($C$5&amp;"生成成长"),2))/((VLOOKUP($B98,INDIRECT($B$5&amp;"生成成长"),4))/(VLOOKUP(CN$72,INDIRECT($C$5&amp;"生成成长"),5))*(VLOOKUP($B$5,标准坦克设计!$B$24:$U$30,MATCH("对"&amp;LEFT($C$5,2)&amp;"输出",标准坦克设计!$B$23:$U$23,0)))*(VLOOKUP($B98,INDIRECT($B$5&amp;"生成成长"),3))*(VLOOKUP($B$5,标准坦克设计!$B$14:$K$20,9)/30))</f>
        <v>22.976826222911189</v>
      </c>
      <c r="CO98" s="172">
        <f ca="1">(VLOOKUP(CO$72,INDIRECT($C$5&amp;"生成成长"),2))/((VLOOKUP($B98,INDIRECT($B$5&amp;"生成成长"),4))/(VLOOKUP(CO$72,INDIRECT($C$5&amp;"生成成长"),5))*(VLOOKUP($B$5,标准坦克设计!$B$24:$U$30,MATCH("对"&amp;LEFT($C$5,2)&amp;"输出",标准坦克设计!$B$23:$U$23,0)))*(VLOOKUP($B98,INDIRECT($B$5&amp;"生成成长"),3))*(VLOOKUP($B$5,标准坦克设计!$B$14:$K$20,9)/30))</f>
        <v>10.296493193669853</v>
      </c>
      <c r="CP98" s="172">
        <f ca="1">(VLOOKUP(CP$72,INDIRECT($C$5&amp;"生成成长"),2))/((VLOOKUP($B98,INDIRECT($B$5&amp;"生成成长"),4))/(VLOOKUP(CP$72,INDIRECT($C$5&amp;"生成成长"),5))*(VLOOKUP($B$5,标准坦克设计!$B$24:$U$30,MATCH("对"&amp;LEFT($C$5,2)&amp;"输出",标准坦克设计!$B$23:$U$23,0)))*(VLOOKUP($B98,INDIRECT($B$5&amp;"生成成长"),3))*(VLOOKUP($B$5,标准坦克设计!$B$14:$K$20,9)/30))</f>
        <v>11.249785007075552</v>
      </c>
      <c r="CQ98" s="172">
        <f ca="1">(VLOOKUP(CQ$72,INDIRECT($C$5&amp;"生成成长"),2))/((VLOOKUP($B98,INDIRECT($B$5&amp;"生成成长"),4))/(VLOOKUP(CQ$72,INDIRECT($C$5&amp;"生成成长"),5))*(VLOOKUP($B$5,标准坦克设计!$B$24:$U$30,MATCH("对"&amp;LEFT($C$5,2)&amp;"输出",标准坦克设计!$B$23:$U$23,0)))*(VLOOKUP($B98,INDIRECT($B$5&amp;"生成成长"),3))*(VLOOKUP($B$5,标准坦克设计!$B$14:$K$20,9)/30))</f>
        <v>12.245274848438847</v>
      </c>
      <c r="CR98" s="172">
        <f ca="1">(VLOOKUP(CR$72,INDIRECT($C$5&amp;"生成成长"),2))/((VLOOKUP($B98,INDIRECT($B$5&amp;"生成成长"),4))/(VLOOKUP(CR$72,INDIRECT($C$5&amp;"生成成长"),5))*(VLOOKUP($B$5,标准坦克设计!$B$24:$U$30,MATCH("对"&amp;LEFT($C$5,2)&amp;"输出",标准坦克设计!$B$23:$U$23,0)))*(VLOOKUP($B98,INDIRECT($B$5&amp;"生成成长"),3))*(VLOOKUP($B$5,标准坦克设计!$B$14:$K$20,9)/30))</f>
        <v>13.282962717759736</v>
      </c>
      <c r="CS98" s="172">
        <f ca="1">(VLOOKUP(CS$72,INDIRECT($C$5&amp;"生成成长"),2))/((VLOOKUP($B98,INDIRECT($B$5&amp;"生成成长"),4))/(VLOOKUP(CS$72,INDIRECT($C$5&amp;"生成成长"),5))*(VLOOKUP($B$5,标准坦克设计!$B$24:$U$30,MATCH("对"&amp;LEFT($C$5,2)&amp;"输出",标准坦克设计!$B$23:$U$23,0)))*(VLOOKUP($B98,INDIRECT($B$5&amp;"生成成长"),3))*(VLOOKUP($B$5,标准坦克设计!$B$14:$K$20,9)/30))</f>
        <v>14.362848615038226</v>
      </c>
      <c r="CT98" s="172">
        <f ca="1">(VLOOKUP(CT$72,INDIRECT($C$5&amp;"生成成长"),2))/((VLOOKUP($B98,INDIRECT($B$5&amp;"生成成长"),4))/(VLOOKUP(CT$72,INDIRECT($C$5&amp;"生成成长"),5))*(VLOOKUP($B$5,标准坦克设计!$B$24:$U$30,MATCH("对"&amp;LEFT($C$5,2)&amp;"输出",标准坦克设计!$B$23:$U$23,0)))*(VLOOKUP($B98,INDIRECT($B$5&amp;"生成成长"),3))*(VLOOKUP($B$5,标准坦克设计!$B$14:$K$20,9)/30))</f>
        <v>15.484932540274309</v>
      </c>
      <c r="CU98" s="172">
        <f ca="1">(VLOOKUP(CU$72,INDIRECT($C$5&amp;"生成成长"),2))/((VLOOKUP($B98,INDIRECT($B$5&amp;"生成成长"),4))/(VLOOKUP(CU$72,INDIRECT($C$5&amp;"生成成长"),5))*(VLOOKUP($B$5,标准坦克设计!$B$24:$U$30,MATCH("对"&amp;LEFT($C$5,2)&amp;"输出",标准坦克设计!$B$23:$U$23,0)))*(VLOOKUP($B98,INDIRECT($B$5&amp;"生成成长"),3))*(VLOOKUP($B$5,标准坦克设计!$B$14:$K$20,9)/30))</f>
        <v>16.649214493467991</v>
      </c>
      <c r="CV98" s="172">
        <f ca="1">(VLOOKUP(CV$72,INDIRECT($C$5&amp;"生成成长"),2))/((VLOOKUP($B98,INDIRECT($B$5&amp;"生成成长"),4))/(VLOOKUP(CV$72,INDIRECT($C$5&amp;"生成成长"),5))*(VLOOKUP($B$5,标准坦克设计!$B$24:$U$30,MATCH("对"&amp;LEFT($C$5,2)&amp;"输出",标准坦克设计!$B$23:$U$23,0)))*(VLOOKUP($B98,INDIRECT($B$5&amp;"生成成长"),3))*(VLOOKUP($B$5,标准坦克设计!$B$14:$K$20,9)/30))</f>
        <v>17.855694474619266</v>
      </c>
      <c r="CW98" s="172">
        <f ca="1">(VLOOKUP(CW$72,INDIRECT($C$5&amp;"生成成长"),2))/((VLOOKUP($B98,INDIRECT($B$5&amp;"生成成长"),4))/(VLOOKUP(CW$72,INDIRECT($C$5&amp;"生成成长"),5))*(VLOOKUP($B$5,标准坦克设计!$B$24:$U$30,MATCH("对"&amp;LEFT($C$5,2)&amp;"输出",标准坦克设计!$B$23:$U$23,0)))*(VLOOKUP($B98,INDIRECT($B$5&amp;"生成成长"),3))*(VLOOKUP($B$5,标准坦克设计!$B$14:$K$20,9)/30))</f>
        <v>19.104372483728135</v>
      </c>
      <c r="CX98" s="172">
        <f ca="1">(VLOOKUP(CX$72,INDIRECT($C$5&amp;"生成成长"),2))/((VLOOKUP($B98,INDIRECT($B$5&amp;"生成成长"),4))/(VLOOKUP(CX$72,INDIRECT($C$5&amp;"生成成长"),5))*(VLOOKUP($B$5,标准坦克设计!$B$24:$U$30,MATCH("对"&amp;LEFT($C$5,2)&amp;"输出",标准坦克设计!$B$23:$U$23,0)))*(VLOOKUP($B98,INDIRECT($B$5&amp;"生成成长"),3))*(VLOOKUP($B$5,标准坦克设计!$B$14:$K$20,9)/30))</f>
        <v>20.39524852079461</v>
      </c>
      <c r="CY98" s="172">
        <f ca="1">(VLOOKUP(CY$72,INDIRECT($C$5&amp;"生成成长"),2))/((VLOOKUP($B98,INDIRECT($B$5&amp;"生成成长"),4))/(VLOOKUP(CY$72,INDIRECT($C$5&amp;"生成成长"),5))*(VLOOKUP($B$5,标准坦克设计!$B$24:$U$30,MATCH("对"&amp;LEFT($C$5,2)&amp;"输出",标准坦克设计!$B$23:$U$23,0)))*(VLOOKUP($B98,INDIRECT($B$5&amp;"生成成长"),3))*(VLOOKUP($B$5,标准坦克设计!$B$14:$K$20,9)/30))</f>
        <v>21.72832258581867</v>
      </c>
      <c r="CZ98" s="172">
        <f ca="1">(VLOOKUP(CZ$72,INDIRECT($C$5&amp;"生成成长"),2))/((VLOOKUP($B98,INDIRECT($B$5&amp;"生成成长"),4))/(VLOOKUP(CZ$72,INDIRECT($C$5&amp;"生成成长"),5))*(VLOOKUP($B$5,标准坦克设计!$B$24:$U$30,MATCH("对"&amp;LEFT($C$5,2)&amp;"输出",标准坦克设计!$B$23:$U$23,0)))*(VLOOKUP($B98,INDIRECT($B$5&amp;"生成成长"),3))*(VLOOKUP($B$5,标准坦克设计!$B$14:$K$20,9)/30))</f>
        <v>23.103594678800334</v>
      </c>
      <c r="DA98" s="172">
        <f ca="1">(VLOOKUP(DA$72,INDIRECT($C$5&amp;"生成成长"),2))/((VLOOKUP($B98,INDIRECT($B$5&amp;"生成成长"),4))/(VLOOKUP(DA$72,INDIRECT($C$5&amp;"生成成长"),5))*(VLOOKUP($B$5,标准坦克设计!$B$24:$U$30,MATCH("对"&amp;LEFT($C$5,2)&amp;"输出",标准坦克设计!$B$23:$U$23,0)))*(VLOOKUP($B98,INDIRECT($B$5&amp;"生成成长"),3))*(VLOOKUP($B$5,标准坦克设计!$B$14:$K$20,9)/30))</f>
        <v>24.521064799739587</v>
      </c>
      <c r="DB98" s="172">
        <f ca="1">(VLOOKUP(DB$72,INDIRECT($C$5&amp;"生成成长"),2))/((VLOOKUP($B98,INDIRECT($B$5&amp;"生成成长"),4))/(VLOOKUP(DB$72,INDIRECT($C$5&amp;"生成成长"),5))*(VLOOKUP($B$5,标准坦克设计!$B$24:$U$30,MATCH("对"&amp;LEFT($C$5,2)&amp;"输出",标准坦克设计!$B$23:$U$23,0)))*(VLOOKUP($B98,INDIRECT($B$5&amp;"生成成长"),3))*(VLOOKUP($B$5,标准坦克设计!$B$14:$K$20,9)/30))</f>
        <v>25.980732948636444</v>
      </c>
      <c r="DC98" s="172">
        <f ca="1">(VLOOKUP(DC$72,INDIRECT($C$5&amp;"生成成长"),2))/((VLOOKUP($B98,INDIRECT($B$5&amp;"生成成长"),4))/(VLOOKUP(DC$72,INDIRECT($C$5&amp;"生成成长"),5))*(VLOOKUP($B$5,标准坦克设计!$B$24:$U$30,MATCH("对"&amp;LEFT($C$5,2)&amp;"输出",标准坦克设计!$B$23:$U$23,0)))*(VLOOKUP($B98,INDIRECT($B$5&amp;"生成成长"),3))*(VLOOKUP($B$5,标准坦克设计!$B$14:$K$20,9)/30))</f>
        <v>27.62122487849209</v>
      </c>
      <c r="DD98" s="172">
        <f ca="1">(VLOOKUP(DD$72,INDIRECT($C$5&amp;"生成成长"),2))/((VLOOKUP($B98,INDIRECT($B$5&amp;"生成成长"),4))/(VLOOKUP(DD$72,INDIRECT($C$5&amp;"生成成长"),5))*(VLOOKUP($B$5,标准坦克设计!$B$24:$U$30,MATCH("对"&amp;LEFT($C$5,2)&amp;"输出",标准坦克设计!$B$23:$U$23,0)))*(VLOOKUP($B98,INDIRECT($B$5&amp;"生成成长"),3))*(VLOOKUP($B$5,标准坦克设计!$B$14:$K$20,9)/30))</f>
        <v>29.311935949057606</v>
      </c>
      <c r="DE98" s="172">
        <f ca="1">(VLOOKUP(DE$72,INDIRECT($C$5&amp;"生成成长"),2))/((VLOOKUP($B98,INDIRECT($B$5&amp;"生成成长"),4))/(VLOOKUP(DE$72,INDIRECT($C$5&amp;"生成成长"),5))*(VLOOKUP($B$5,标准坦克设计!$B$24:$U$30,MATCH("对"&amp;LEFT($C$5,2)&amp;"输出",标准坦克设计!$B$23:$U$23,0)))*(VLOOKUP($B98,INDIRECT($B$5&amp;"生成成长"),3))*(VLOOKUP($B$5,标准坦克设计!$B$14:$K$20,9)/30))</f>
        <v>31.052866160332982</v>
      </c>
      <c r="DF98" s="172">
        <f ca="1">(VLOOKUP(DF$72,INDIRECT($C$5&amp;"生成成长"),2))/((VLOOKUP($B98,INDIRECT($B$5&amp;"生成成长"),4))/(VLOOKUP(DF$72,INDIRECT($C$5&amp;"生成成长"),5))*(VLOOKUP($B$5,标准坦克设计!$B$24:$U$30,MATCH("对"&amp;LEFT($C$5,2)&amp;"输出",标准坦克设计!$B$23:$U$23,0)))*(VLOOKUP($B98,INDIRECT($B$5&amp;"生成成长"),3))*(VLOOKUP($B$5,标准坦克设计!$B$14:$K$20,9)/30))</f>
        <v>32.844015512318222</v>
      </c>
      <c r="DG98" s="172">
        <f ca="1">(VLOOKUP(DG$72,INDIRECT($C$5&amp;"生成成长"),2))/((VLOOKUP($B98,INDIRECT($B$5&amp;"生成成长"),4))/(VLOOKUP(DG$72,INDIRECT($C$5&amp;"生成成长"),5))*(VLOOKUP($B$5,标准坦克设计!$B$24:$U$30,MATCH("对"&amp;LEFT($C$5,2)&amp;"输出",标准坦克设计!$B$23:$U$23,0)))*(VLOOKUP($B98,INDIRECT($B$5&amp;"生成成长"),3))*(VLOOKUP($B$5,标准坦克设计!$B$14:$K$20,9)/30))</f>
        <v>34.685384005013333</v>
      </c>
      <c r="DH98" s="172">
        <f ca="1">(VLOOKUP(DH$72,INDIRECT($C$5&amp;"生成成长"),2))/((VLOOKUP($B98,INDIRECT($B$5&amp;"生成成长"),4))/(VLOOKUP(DH$72,INDIRECT($C$5&amp;"生成成长"),5))*(VLOOKUP($B$5,标准坦克设计!$B$24:$U$30,MATCH("对"&amp;LEFT($C$5,2)&amp;"输出",标准坦克设计!$B$23:$U$23,0)))*(VLOOKUP($B98,INDIRECT($B$5&amp;"生成成长"),3))*(VLOOKUP($B$5,标准坦克设计!$B$14:$K$20,9)/30))</f>
        <v>36.576971638418321</v>
      </c>
      <c r="DI98" s="172">
        <f ca="1">(VLOOKUP(DI$72,INDIRECT($C$5&amp;"生成成长"),2))/((VLOOKUP($B98,INDIRECT($B$5&amp;"生成成长"),4))/(VLOOKUP(DI$72,INDIRECT($C$5&amp;"生成成长"),5))*(VLOOKUP($B$5,标准坦克设计!$B$24:$U$30,MATCH("对"&amp;LEFT($C$5,2)&amp;"输出",标准坦克设计!$B$23:$U$23,0)))*(VLOOKUP($B98,INDIRECT($B$5&amp;"生成成长"),3))*(VLOOKUP($B$5,标准坦克设计!$B$14:$K$20,9)/30))</f>
        <v>38.518778412533159</v>
      </c>
      <c r="DJ98" s="172">
        <f ca="1">(VLOOKUP(DJ$72,INDIRECT($C$5&amp;"生成成长"),2))/((VLOOKUP($B98,INDIRECT($B$5&amp;"生成成长"),4))/(VLOOKUP(DJ$72,INDIRECT($C$5&amp;"生成成长"),5))*(VLOOKUP($B$5,标准坦克设计!$B$24:$U$30,MATCH("对"&amp;LEFT($C$5,2)&amp;"输出",标准坦克设计!$B$23:$U$23,0)))*(VLOOKUP($B98,INDIRECT($B$5&amp;"生成成长"),3))*(VLOOKUP($B$5,标准坦克设计!$B$14:$K$20,9)/30))</f>
        <v>3.8712331350685774</v>
      </c>
      <c r="DK98" s="172">
        <f ca="1">(VLOOKUP(DK$72,INDIRECT($C$5&amp;"生成成长"),2))/((VLOOKUP($B98,INDIRECT($B$5&amp;"生成成长"),4))/(VLOOKUP(DK$72,INDIRECT($C$5&amp;"生成成长"),5))*(VLOOKUP($B$5,标准坦克设计!$B$24:$U$30,MATCH("对"&amp;LEFT($C$5,2)&amp;"输出",标准坦克设计!$B$23:$U$23,0)))*(VLOOKUP($B98,INDIRECT($B$5&amp;"生成成长"),3))*(VLOOKUP($B$5,标准坦克设计!$B$14:$K$20,9)/30))</f>
        <v>4.3530230162538608</v>
      </c>
      <c r="DL98" s="172">
        <f ca="1">(VLOOKUP(DL$72,INDIRECT($C$5&amp;"生成成长"),2))/((VLOOKUP($B98,INDIRECT($B$5&amp;"生成成长"),4))/(VLOOKUP(DL$72,INDIRECT($C$5&amp;"生成成长"),5))*(VLOOKUP($B$5,标准坦克设计!$B$24:$U$30,MATCH("对"&amp;LEFT($C$5,2)&amp;"输出",标准坦克设计!$B$23:$U$23,0)))*(VLOOKUP($B98,INDIRECT($B$5&amp;"生成成长"),3))*(VLOOKUP($B$5,标准坦克设计!$B$14:$K$20,9)/30))</f>
        <v>4.8630611640884434</v>
      </c>
      <c r="DM98" s="172">
        <f ca="1">(VLOOKUP(DM$72,INDIRECT($C$5&amp;"生成成长"),2))/((VLOOKUP($B98,INDIRECT($B$5&amp;"生成成长"),4))/(VLOOKUP(DM$72,INDIRECT($C$5&amp;"生成成长"),5))*(VLOOKUP($B$5,标准坦克设计!$B$24:$U$30,MATCH("对"&amp;LEFT($C$5,2)&amp;"输出",标准坦克设计!$B$23:$U$23,0)))*(VLOOKUP($B98,INDIRECT($B$5&amp;"生成成长"),3))*(VLOOKUP($B$5,标准坦克设计!$B$14:$K$20,9)/30))</f>
        <v>5.4013475785723282</v>
      </c>
      <c r="DN98" s="172">
        <f ca="1">(VLOOKUP(DN$72,INDIRECT($C$5&amp;"生成成长"),2))/((VLOOKUP($B98,INDIRECT($B$5&amp;"生成成长"),4))/(VLOOKUP(DN$72,INDIRECT($C$5&amp;"生成成长"),5))*(VLOOKUP($B$5,标准坦克设计!$B$24:$U$30,MATCH("对"&amp;LEFT($C$5,2)&amp;"输出",标准坦克设计!$B$23:$U$23,0)))*(VLOOKUP($B98,INDIRECT($B$5&amp;"生成成长"),3))*(VLOOKUP($B$5,标准坦克设计!$B$14:$K$20,9)/30))</f>
        <v>5.9678822597055126</v>
      </c>
      <c r="DO98" s="172">
        <f ca="1">(VLOOKUP(DO$72,INDIRECT($C$5&amp;"生成成长"),2))/((VLOOKUP($B98,INDIRECT($B$5&amp;"生成成长"),4))/(VLOOKUP(DO$72,INDIRECT($C$5&amp;"生成成长"),5))*(VLOOKUP($B$5,标准坦克设计!$B$24:$U$30,MATCH("对"&amp;LEFT($C$5,2)&amp;"输出",标准坦克设计!$B$23:$U$23,0)))*(VLOOKUP($B98,INDIRECT($B$5&amp;"生成成长"),3))*(VLOOKUP($B$5,标准坦克设计!$B$14:$K$20,9)/30))</f>
        <v>6.5626652074879965</v>
      </c>
      <c r="DP98" s="172">
        <f ca="1">(VLOOKUP(DP$72,INDIRECT($C$5&amp;"生成成长"),2))/((VLOOKUP($B98,INDIRECT($B$5&amp;"生成成长"),4))/(VLOOKUP(DP$72,INDIRECT($C$5&amp;"生成成长"),5))*(VLOOKUP($B$5,标准坦克设计!$B$24:$U$30,MATCH("对"&amp;LEFT($C$5,2)&amp;"输出",标准坦克设计!$B$23:$U$23,0)))*(VLOOKUP($B98,INDIRECT($B$5&amp;"生成成长"),3))*(VLOOKUP($B$5,标准坦克设计!$B$14:$K$20,9)/30))</f>
        <v>7.1856964219197783</v>
      </c>
      <c r="DQ98" s="172">
        <f ca="1">(VLOOKUP(DQ$72,INDIRECT($C$5&amp;"生成成长"),2))/((VLOOKUP($B98,INDIRECT($B$5&amp;"生成成长"),4))/(VLOOKUP(DQ$72,INDIRECT($C$5&amp;"生成成长"),5))*(VLOOKUP($B$5,标准坦克设计!$B$24:$U$30,MATCH("对"&amp;LEFT($C$5,2)&amp;"输出",标准坦克设计!$B$23:$U$23,0)))*(VLOOKUP($B98,INDIRECT($B$5&amp;"生成成长"),3))*(VLOOKUP($B$5,标准坦克设计!$B$14:$K$20,9)/30))</f>
        <v>7.8369759030008614</v>
      </c>
      <c r="DR98" s="172">
        <f ca="1">(VLOOKUP(DR$72,INDIRECT($C$5&amp;"生成成长"),2))/((VLOOKUP($B98,INDIRECT($B$5&amp;"生成成长"),4))/(VLOOKUP(DR$72,INDIRECT($C$5&amp;"生成成长"),5))*(VLOOKUP($B$5,标准坦克设计!$B$24:$U$30,MATCH("对"&amp;LEFT($C$5,2)&amp;"输出",标准坦克设计!$B$23:$U$23,0)))*(VLOOKUP($B98,INDIRECT($B$5&amp;"生成成长"),3))*(VLOOKUP($B$5,标准坦克设计!$B$14:$K$20,9)/30))</f>
        <v>8.516503650731245</v>
      </c>
      <c r="DS98" s="172">
        <f ca="1">(VLOOKUP(DS$72,INDIRECT($C$5&amp;"生成成长"),2))/((VLOOKUP($B98,INDIRECT($B$5&amp;"生成成长"),4))/(VLOOKUP(DS$72,INDIRECT($C$5&amp;"生成成长"),5))*(VLOOKUP($B$5,标准坦克设计!$B$24:$U$30,MATCH("对"&amp;LEFT($C$5,2)&amp;"输出",标准坦克设计!$B$23:$U$23,0)))*(VLOOKUP($B98,INDIRECT($B$5&amp;"生成成长"),3))*(VLOOKUP($B$5,标准坦克设计!$B$14:$K$20,9)/30))</f>
        <v>9.2242796651109291</v>
      </c>
      <c r="DT98" s="172">
        <f ca="1">(VLOOKUP(DT$72,INDIRECT($C$5&amp;"生成成长"),2))/((VLOOKUP($B98,INDIRECT($B$5&amp;"生成成长"),4))/(VLOOKUP(DT$72,INDIRECT($C$5&amp;"生成成长"),5))*(VLOOKUP($B$5,标准坦克设计!$B$24:$U$30,MATCH("对"&amp;LEFT($C$5,2)&amp;"输出",标准坦克设计!$B$23:$U$23,0)))*(VLOOKUP($B98,INDIRECT($B$5&amp;"生成成长"),3))*(VLOOKUP($B$5,标准坦克设计!$B$14:$K$20,9)/30))</f>
        <v>10.127701081839467</v>
      </c>
      <c r="DU98" s="172">
        <f ca="1">(VLOOKUP(DU$72,INDIRECT($C$5&amp;"生成成长"),2))/((VLOOKUP($B98,INDIRECT($B$5&amp;"生成成长"),4))/(VLOOKUP(DU$72,INDIRECT($C$5&amp;"生成成长"),5))*(VLOOKUP($B$5,标准坦克设计!$B$24:$U$30,MATCH("对"&amp;LEFT($C$5,2)&amp;"输出",标准坦克设计!$B$23:$U$23,0)))*(VLOOKUP($B98,INDIRECT($B$5&amp;"生成成长"),3))*(VLOOKUP($B$5,标准坦克设计!$B$14:$K$20,9)/30))</f>
        <v>11.073320526525604</v>
      </c>
      <c r="DV98" s="172">
        <f ca="1">(VLOOKUP(DV$72,INDIRECT($C$5&amp;"生成成长"),2))/((VLOOKUP($B98,INDIRECT($B$5&amp;"生成成长"),4))/(VLOOKUP(DV$72,INDIRECT($C$5&amp;"生成成长"),5))*(VLOOKUP($B$5,标准坦克设计!$B$24:$U$30,MATCH("对"&amp;LEFT($C$5,2)&amp;"输出",标准坦克设计!$B$23:$U$23,0)))*(VLOOKUP($B98,INDIRECT($B$5&amp;"生成成长"),3))*(VLOOKUP($B$5,标准坦克设计!$B$14:$K$20,9)/30))</f>
        <v>12.061137999169336</v>
      </c>
      <c r="DW98" s="172">
        <f ca="1">(VLOOKUP(DW$72,INDIRECT($C$5&amp;"生成成长"),2))/((VLOOKUP($B98,INDIRECT($B$5&amp;"生成成长"),4))/(VLOOKUP(DW$72,INDIRECT($C$5&amp;"生成成长"),5))*(VLOOKUP($B$5,标准坦克设计!$B$24:$U$30,MATCH("对"&amp;LEFT($C$5,2)&amp;"输出",标准坦克设计!$B$23:$U$23,0)))*(VLOOKUP($B98,INDIRECT($B$5&amp;"生成成长"),3))*(VLOOKUP($B$5,标准坦克设计!$B$14:$K$20,9)/30))</f>
        <v>13.091153499770664</v>
      </c>
      <c r="DX98" s="172">
        <f ca="1">(VLOOKUP(DX$72,INDIRECT($C$5&amp;"生成成长"),2))/((VLOOKUP($B98,INDIRECT($B$5&amp;"生成成长"),4))/(VLOOKUP(DX$72,INDIRECT($C$5&amp;"生成成长"),5))*(VLOOKUP($B$5,标准坦克设计!$B$24:$U$30,MATCH("对"&amp;LEFT($C$5,2)&amp;"输出",标准坦克设计!$B$23:$U$23,0)))*(VLOOKUP($B98,INDIRECT($B$5&amp;"生成成长"),3))*(VLOOKUP($B$5,标准坦克设计!$B$14:$K$20,9)/30))</f>
        <v>14.163367028329588</v>
      </c>
      <c r="DY98" s="172">
        <f ca="1">(VLOOKUP(DY$72,INDIRECT($C$5&amp;"生成成长"),2))/((VLOOKUP($B98,INDIRECT($B$5&amp;"生成成长"),4))/(VLOOKUP(DY$72,INDIRECT($C$5&amp;"生成成长"),5))*(VLOOKUP($B$5,标准坦克设计!$B$24:$U$30,MATCH("对"&amp;LEFT($C$5,2)&amp;"输出",标准坦克设计!$B$23:$U$23,0)))*(VLOOKUP($B98,INDIRECT($B$5&amp;"生成成长"),3))*(VLOOKUP($B$5,标准坦克设计!$B$14:$K$20,9)/30))</f>
        <v>6.3612655285994677</v>
      </c>
      <c r="DZ98" s="172">
        <f ca="1">(VLOOKUP(DZ$72,INDIRECT($C$5&amp;"生成成长"),2))/((VLOOKUP($B98,INDIRECT($B$5&amp;"生成成长"),4))/(VLOOKUP(DZ$72,INDIRECT($C$5&amp;"生成成长"),5))*(VLOOKUP($B$5,标准坦克设计!$B$24:$U$30,MATCH("对"&amp;LEFT($C$5,2)&amp;"输出",标准坦克设计!$B$23:$U$23,0)))*(VLOOKUP($B98,INDIRECT($B$5&amp;"生成成长"),3))*(VLOOKUP($B$5,标准坦克设计!$B$14:$K$20,9)/30))</f>
        <v>7.0448038327059868</v>
      </c>
      <c r="EA98" s="172">
        <f ca="1">(VLOOKUP(EA$72,INDIRECT($C$5&amp;"生成成长"),2))/((VLOOKUP($B98,INDIRECT($B$5&amp;"生成成长"),4))/(VLOOKUP(EA$72,INDIRECT($C$5&amp;"生成成长"),5))*(VLOOKUP($B$5,标准坦克设计!$B$24:$U$30,MATCH("对"&amp;LEFT($C$5,2)&amp;"输出",标准坦克设计!$B$23:$U$23,0)))*(VLOOKUP($B98,INDIRECT($B$5&amp;"生成成长"),3))*(VLOOKUP($B$5,标准坦克设计!$B$14:$K$20,9)/30))</f>
        <v>7.7632165400832456</v>
      </c>
      <c r="EB98" s="172">
        <f ca="1">(VLOOKUP(EB$72,INDIRECT($C$5&amp;"生成成长"),2))/((VLOOKUP($B98,INDIRECT($B$5&amp;"生成成长"),4))/(VLOOKUP(EB$72,INDIRECT($C$5&amp;"生成成长"),5))*(VLOOKUP($B$5,标准坦克设计!$B$24:$U$30,MATCH("对"&amp;LEFT($C$5,2)&amp;"输出",标准坦克设计!$B$23:$U$23,0)))*(VLOOKUP($B98,INDIRECT($B$5&amp;"生成成长"),3))*(VLOOKUP($B$5,标准坦克设计!$B$14:$K$20,9)/30))</f>
        <v>8.516503650731245</v>
      </c>
      <c r="EC98" s="172">
        <f ca="1">(VLOOKUP(EC$72,INDIRECT($C$5&amp;"生成成长"),2))/((VLOOKUP($B98,INDIRECT($B$5&amp;"生成成长"),4))/(VLOOKUP(EC$72,INDIRECT($C$5&amp;"生成成长"),5))*(VLOOKUP($B$5,标准坦克设计!$B$24:$U$30,MATCH("对"&amp;LEFT($C$5,2)&amp;"输出",标准坦克设计!$B$23:$U$23,0)))*(VLOOKUP($B98,INDIRECT($B$5&amp;"生成成长"),3))*(VLOOKUP($B$5,标准坦克设计!$B$14:$K$20,9)/30))</f>
        <v>9.3046651646499878</v>
      </c>
      <c r="ED98" s="172">
        <f ca="1">(VLOOKUP(ED$72,INDIRECT($C$5&amp;"生成成长"),2))/((VLOOKUP($B98,INDIRECT($B$5&amp;"生成成长"),4))/(VLOOKUP(ED$72,INDIRECT($C$5&amp;"生成成长"),5))*(VLOOKUP($B$5,标准坦克设计!$B$24:$U$30,MATCH("对"&amp;LEFT($C$5,2)&amp;"输出",标准坦克设计!$B$23:$U$23,0)))*(VLOOKUP($B98,INDIRECT($B$5&amp;"生成成长"),3))*(VLOOKUP($B$5,标准坦克设计!$B$14:$K$20,9)/30))</f>
        <v>10.127701081839467</v>
      </c>
      <c r="EE98" s="172">
        <f ca="1">(VLOOKUP(EE$72,INDIRECT($C$5&amp;"生成成长"),2))/((VLOOKUP($B98,INDIRECT($B$5&amp;"生成成长"),4))/(VLOOKUP(EE$72,INDIRECT($C$5&amp;"生成成长"),5))*(VLOOKUP($B$5,标准坦克设计!$B$24:$U$30,MATCH("对"&amp;LEFT($C$5,2)&amp;"输出",标准坦克设计!$B$23:$U$23,0)))*(VLOOKUP($B98,INDIRECT($B$5&amp;"生成成长"),3))*(VLOOKUP($B$5,标准坦克设计!$B$14:$K$20,9)/30))</f>
        <v>10.985611402299693</v>
      </c>
      <c r="EF98" s="172">
        <f ca="1">(VLOOKUP(EF$72,INDIRECT($C$5&amp;"生成成长"),2))/((VLOOKUP($B98,INDIRECT($B$5&amp;"生成成长"),4))/(VLOOKUP(EF$72,INDIRECT($C$5&amp;"生成成长"),5))*(VLOOKUP($B$5,标准坦克设计!$B$24:$U$30,MATCH("对"&amp;LEFT($C$5,2)&amp;"输出",标准坦克设计!$B$23:$U$23,0)))*(VLOOKUP($B98,INDIRECT($B$5&amp;"生成成长"),3))*(VLOOKUP($B$5,标准坦克设计!$B$14:$K$20,9)/30))</f>
        <v>11.878396126030655</v>
      </c>
      <c r="EG98" s="172">
        <f ca="1">(VLOOKUP(EG$72,INDIRECT($C$5&amp;"生成成长"),2))/((VLOOKUP($B98,INDIRECT($B$5&amp;"生成成长"),4))/(VLOOKUP(EG$72,INDIRECT($C$5&amp;"生成成长"),5))*(VLOOKUP($B$5,标准坦克设计!$B$24:$U$30,MATCH("对"&amp;LEFT($C$5,2)&amp;"输出",标准坦克设计!$B$23:$U$23,0)))*(VLOOKUP($B98,INDIRECT($B$5&amp;"生成成长"),3))*(VLOOKUP($B$5,标准坦克设计!$B$14:$K$20,9)/30))</f>
        <v>12.806055253032358</v>
      </c>
      <c r="EH98" s="172">
        <f ca="1">(VLOOKUP(EH$72,INDIRECT($C$5&amp;"生成成长"),2))/((VLOOKUP($B98,INDIRECT($B$5&amp;"生成成长"),4))/(VLOOKUP(EH$72,INDIRECT($C$5&amp;"生成成长"),5))*(VLOOKUP($B$5,标准坦克设计!$B$24:$U$30,MATCH("对"&amp;LEFT($C$5,2)&amp;"输出",标准坦克设计!$B$23:$U$23,0)))*(VLOOKUP($B98,INDIRECT($B$5&amp;"生成成长"),3))*(VLOOKUP($B$5,标准坦克设计!$B$14:$K$20,9)/30))</f>
        <v>13.768588783304804</v>
      </c>
      <c r="EI98" s="172">
        <f ca="1">(VLOOKUP(EI$72,INDIRECT($C$5&amp;"生成成长"),2))/((VLOOKUP($B98,INDIRECT($B$5&amp;"生成成长"),4))/(VLOOKUP(EI$72,INDIRECT($C$5&amp;"生成成长"),5))*(VLOOKUP($B$5,标准坦克设计!$B$24:$U$30,MATCH("对"&amp;LEFT($C$5,2)&amp;"输出",标准坦克设计!$B$23:$U$23,0)))*(VLOOKUP($B98,INDIRECT($B$5&amp;"生成成长"),3))*(VLOOKUP($B$5,标准坦克设计!$B$14:$K$20,9)/30))</f>
        <v>14.765996716847987</v>
      </c>
      <c r="EJ98" s="172">
        <f ca="1">(VLOOKUP(EJ$72,INDIRECT($C$5&amp;"生成成长"),2))/((VLOOKUP($B98,INDIRECT($B$5&amp;"生成成长"),4))/(VLOOKUP(EJ$72,INDIRECT($C$5&amp;"生成成长"),5))*(VLOOKUP($B$5,标准坦克设计!$B$24:$U$30,MATCH("对"&amp;LEFT($C$5,2)&amp;"输出",标准坦克设计!$B$23:$U$23,0)))*(VLOOKUP($B98,INDIRECT($B$5&amp;"生成成长"),3))*(VLOOKUP($B$5,标准坦克设计!$B$14:$K$20,9)/30))</f>
        <v>15.798279053661913</v>
      </c>
      <c r="EK98" s="172">
        <f ca="1">(VLOOKUP(EK$72,INDIRECT($C$5&amp;"生成成长"),2))/((VLOOKUP($B98,INDIRECT($B$5&amp;"生成成长"),4))/(VLOOKUP(EK$72,INDIRECT($C$5&amp;"生成成长"),5))*(VLOOKUP($B$5,标准坦克设计!$B$24:$U$30,MATCH("对"&amp;LEFT($C$5,2)&amp;"输出",标准坦克设计!$B$23:$U$23,0)))*(VLOOKUP($B98,INDIRECT($B$5&amp;"生成成长"),3))*(VLOOKUP($B$5,标准坦克设计!$B$14:$K$20,9)/30))</f>
        <v>17.083052070156004</v>
      </c>
      <c r="EL98" s="172">
        <f ca="1">(VLOOKUP(EL$72,INDIRECT($C$5&amp;"生成成长"),2))/((VLOOKUP($B98,INDIRECT($B$5&amp;"生成成长"),4))/(VLOOKUP(EL$72,INDIRECT($C$5&amp;"生成成长"),5))*(VLOOKUP($B$5,标准坦克设计!$B$24:$U$30,MATCH("对"&amp;LEFT($C$5,2)&amp;"输出",标准坦克设计!$B$23:$U$23,0)))*(VLOOKUP($B98,INDIRECT($B$5&amp;"生成成长"),3))*(VLOOKUP($B$5,标准坦克设计!$B$14:$K$20,9)/30))</f>
        <v>18.41804422735996</v>
      </c>
      <c r="EM98" s="172">
        <f ca="1">(VLOOKUP(EM$72,INDIRECT($C$5&amp;"生成成长"),2))/((VLOOKUP($B98,INDIRECT($B$5&amp;"生成成长"),4))/(VLOOKUP(EM$72,INDIRECT($C$5&amp;"生成成长"),5))*(VLOOKUP($B$5,标准坦克设计!$B$24:$U$30,MATCH("对"&amp;LEFT($C$5,2)&amp;"输出",标准坦克设计!$B$23:$U$23,0)))*(VLOOKUP($B98,INDIRECT($B$5&amp;"生成成长"),3))*(VLOOKUP($B$5,标准坦克设计!$B$14:$K$20,9)/30))</f>
        <v>19.80325552527378</v>
      </c>
      <c r="EN98" s="172">
        <f ca="1">(VLOOKUP(EN$72,INDIRECT($C$5&amp;"生成成长"),2))/((VLOOKUP($B98,INDIRECT($B$5&amp;"生成成长"),4))/(VLOOKUP(EN$72,INDIRECT($C$5&amp;"生成成长"),5))*(VLOOKUP($B$5,标准坦克设计!$B$24:$U$30,MATCH("对"&amp;LEFT($C$5,2)&amp;"输出",标准坦克设计!$B$23:$U$23,0)))*(VLOOKUP($B98,INDIRECT($B$5&amp;"生成成长"),3))*(VLOOKUP($B$5,标准坦克设计!$B$14:$K$20,9)/30))</f>
        <v>21.238685963897474</v>
      </c>
      <c r="EO98" s="172">
        <f ca="1">(VLOOKUP(EO$72,INDIRECT($C$5&amp;"生成成长"),2))/((VLOOKUP($B98,INDIRECT($B$5&amp;"生成成长"),4))/(VLOOKUP(EO$72,INDIRECT($C$5&amp;"生成成长"),5))*(VLOOKUP($B$5,标准坦克设计!$B$24:$U$30,MATCH("对"&amp;LEFT($C$5,2)&amp;"输出",标准坦克设计!$B$23:$U$23,0)))*(VLOOKUP($B98,INDIRECT($B$5&amp;"生成成长"),3))*(VLOOKUP($B$5,标准坦克设计!$B$14:$K$20,9)/30))</f>
        <v>22.724335543231028</v>
      </c>
      <c r="EP98" s="172">
        <f ca="1">(VLOOKUP(EP$72,INDIRECT($C$5&amp;"生成成长"),2))/((VLOOKUP($B98,INDIRECT($B$5&amp;"生成成长"),4))/(VLOOKUP(EP$72,INDIRECT($C$5&amp;"生成成长"),5))*(VLOOKUP($B$5,标准坦克设计!$B$24:$U$30,MATCH("对"&amp;LEFT($C$5,2)&amp;"输出",标准坦克设计!$B$23:$U$23,0)))*(VLOOKUP($B98,INDIRECT($B$5&amp;"生成成长"),3))*(VLOOKUP($B$5,标准坦克设计!$B$14:$K$20,9)/30))</f>
        <v>24.260204263274453</v>
      </c>
      <c r="EQ98" s="172">
        <f ca="1">(VLOOKUP(EQ$72,INDIRECT($C$5&amp;"生成成长"),2))/((VLOOKUP($B98,INDIRECT($B$5&amp;"生成成长"),4))/(VLOOKUP(EQ$72,INDIRECT($C$5&amp;"生成成长"),5))*(VLOOKUP($B$5,标准坦克设计!$B$24:$U$30,MATCH("对"&amp;LEFT($C$5,2)&amp;"输出",标准坦克设计!$B$23:$U$23,0)))*(VLOOKUP($B98,INDIRECT($B$5&amp;"生成成长"),3))*(VLOOKUP($B$5,标准坦克设计!$B$14:$K$20,9)/30))</f>
        <v>10.724576493818198</v>
      </c>
      <c r="ER98" s="172">
        <f ca="1">(VLOOKUP(ER$72,INDIRECT($C$5&amp;"生成成长"),2))/((VLOOKUP($B98,INDIRECT($B$5&amp;"生成成长"),4))/(VLOOKUP(ER$72,INDIRECT($C$5&amp;"生成成长"),5))*(VLOOKUP($B$5,标准坦克设计!$B$24:$U$30,MATCH("对"&amp;LEFT($C$5,2)&amp;"输出",标准坦克设计!$B$23:$U$23,0)))*(VLOOKUP($B98,INDIRECT($B$5&amp;"生成成长"),3))*(VLOOKUP($B$5,标准坦克设计!$B$14:$K$20,9)/30))</f>
        <v>11.697049229022801</v>
      </c>
      <c r="ES98" s="172">
        <f ca="1">(VLOOKUP(ES$72,INDIRECT($C$5&amp;"生成成长"),2))/((VLOOKUP($B98,INDIRECT($B$5&amp;"生成成长"),4))/(VLOOKUP(ES$72,INDIRECT($C$5&amp;"生成成长"),5))*(VLOOKUP($B$5,标准坦克设计!$B$24:$U$30,MATCH("对"&amp;LEFT($C$5,2)&amp;"输出",标准坦克设计!$B$23:$U$23,0)))*(VLOOKUP($B98,INDIRECT($B$5&amp;"生成成长"),3))*(VLOOKUP($B$5,标准坦克设计!$B$14:$K$20,9)/30))</f>
        <v>12.711719992185007</v>
      </c>
      <c r="ET98" s="172">
        <f ca="1">(VLOOKUP(ET$72,INDIRECT($C$5&amp;"生成成长"),2))/((VLOOKUP($B98,INDIRECT($B$5&amp;"生成成长"),4))/(VLOOKUP(ET$72,INDIRECT($C$5&amp;"生成成长"),5))*(VLOOKUP($B$5,标准坦克设计!$B$24:$U$30,MATCH("对"&amp;LEFT($C$5,2)&amp;"输出",标准坦克设计!$B$23:$U$23,0)))*(VLOOKUP($B98,INDIRECT($B$5&amp;"生成成长"),3))*(VLOOKUP($B$5,标准坦克设计!$B$14:$K$20,9)/30))</f>
        <v>13.768588783304804</v>
      </c>
      <c r="EU98" s="172">
        <f ca="1">(VLOOKUP(EU$72,INDIRECT($C$5&amp;"生成成长"),2))/((VLOOKUP($B98,INDIRECT($B$5&amp;"生成成长"),4))/(VLOOKUP(EU$72,INDIRECT($C$5&amp;"生成成长"),5))*(VLOOKUP($B$5,标准坦克设计!$B$24:$U$30,MATCH("对"&amp;LEFT($C$5,2)&amp;"输出",标准坦克设计!$B$23:$U$23,0)))*(VLOOKUP($B98,INDIRECT($B$5&amp;"生成成长"),3))*(VLOOKUP($B$5,标准坦克设计!$B$14:$K$20,9)/30))</f>
        <v>14.867655602382195</v>
      </c>
      <c r="EV98" s="172">
        <f ca="1">(VLOOKUP(EV$72,INDIRECT($C$5&amp;"生成成长"),2))/((VLOOKUP($B98,INDIRECT($B$5&amp;"生成成长"),4))/(VLOOKUP(EV$72,INDIRECT($C$5&amp;"生成成长"),5))*(VLOOKUP($B$5,标准坦克设计!$B$24:$U$30,MATCH("对"&amp;LEFT($C$5,2)&amp;"输出",标准坦克设计!$B$23:$U$23,0)))*(VLOOKUP($B98,INDIRECT($B$5&amp;"生成成长"),3))*(VLOOKUP($B$5,标准坦克设计!$B$14:$K$20,9)/30))</f>
        <v>16.008920449417186</v>
      </c>
      <c r="EW98" s="172">
        <f ca="1">(VLOOKUP(EW$72,INDIRECT($C$5&amp;"生成成长"),2))/((VLOOKUP($B98,INDIRECT($B$5&amp;"生成成长"),4))/(VLOOKUP(EW$72,INDIRECT($C$5&amp;"生成成长"),5))*(VLOOKUP($B$5,标准坦克设计!$B$24:$U$30,MATCH("对"&amp;LEFT($C$5,2)&amp;"输出",标准坦克设计!$B$23:$U$23,0)))*(VLOOKUP($B98,INDIRECT($B$5&amp;"生成成长"),3))*(VLOOKUP($B$5,标准坦克设计!$B$14:$K$20,9)/30))</f>
        <v>17.192383324409775</v>
      </c>
      <c r="EX98" s="172">
        <f ca="1">(VLOOKUP(EX$72,INDIRECT($C$5&amp;"生成成长"),2))/((VLOOKUP($B98,INDIRECT($B$5&amp;"生成成长"),4))/(VLOOKUP(EX$72,INDIRECT($C$5&amp;"生成成长"),5))*(VLOOKUP($B$5,标准坦克设计!$B$24:$U$30,MATCH("对"&amp;LEFT($C$5,2)&amp;"输出",标准坦克设计!$B$23:$U$23,0)))*(VLOOKUP($B98,INDIRECT($B$5&amp;"生成成长"),3))*(VLOOKUP($B$5,标准坦克设计!$B$14:$K$20,9)/30))</f>
        <v>18.41804422735996</v>
      </c>
      <c r="EY98" s="172">
        <f ca="1">(VLOOKUP(EY$72,INDIRECT($C$5&amp;"生成成长"),2))/((VLOOKUP($B98,INDIRECT($B$5&amp;"生成成长"),4))/(VLOOKUP(EY$72,INDIRECT($C$5&amp;"生成成长"),5))*(VLOOKUP($B$5,标准坦克设计!$B$24:$U$30,MATCH("对"&amp;LEFT($C$5,2)&amp;"输出",标准坦克设计!$B$23:$U$23,0)))*(VLOOKUP($B98,INDIRECT($B$5&amp;"生成成长"),3))*(VLOOKUP($B$5,标准坦克设计!$B$14:$K$20,9)/30))</f>
        <v>19.685903158267738</v>
      </c>
      <c r="EZ98" s="172">
        <f ca="1">(VLOOKUP(EZ$72,INDIRECT($C$5&amp;"生成成长"),2))/((VLOOKUP($B98,INDIRECT($B$5&amp;"生成成长"),4))/(VLOOKUP(EZ$72,INDIRECT($C$5&amp;"生成成长"),5))*(VLOOKUP($B$5,标准坦克设计!$B$24:$U$30,MATCH("对"&amp;LEFT($C$5,2)&amp;"输出",标准坦克设计!$B$23:$U$23,0)))*(VLOOKUP($B98,INDIRECT($B$5&amp;"生成成长"),3))*(VLOOKUP($B$5,标准坦克设计!$B$14:$K$20,9)/30))</f>
        <v>20.995960117133119</v>
      </c>
      <c r="FA98" s="172">
        <f ca="1">(VLOOKUP(FA$72,INDIRECT($C$5&amp;"生成成长"),2))/((VLOOKUP($B98,INDIRECT($B$5&amp;"生成成长"),4))/(VLOOKUP(FA$72,INDIRECT($C$5&amp;"生成成长"),5))*(VLOOKUP($B$5,标准坦克设计!$B$24:$U$30,MATCH("对"&amp;LEFT($C$5,2)&amp;"输出",标准坦克设计!$B$23:$U$23,0)))*(VLOOKUP($B98,INDIRECT($B$5&amp;"生成成长"),3))*(VLOOKUP($B$5,标准坦克设计!$B$14:$K$20,9)/30))</f>
        <v>22.34821510395609</v>
      </c>
      <c r="FB98" s="172">
        <f ca="1">(VLOOKUP(FB$72,INDIRECT($C$5&amp;"生成成长"),2))/((VLOOKUP($B98,INDIRECT($B$5&amp;"生成成长"),4))/(VLOOKUP(FB$72,INDIRECT($C$5&amp;"生成成长"),5))*(VLOOKUP($B$5,标准坦克设计!$B$24:$U$30,MATCH("对"&amp;LEFT($C$5,2)&amp;"输出",标准坦克设计!$B$23:$U$23,0)))*(VLOOKUP($B98,INDIRECT($B$5&amp;"生成成长"),3))*(VLOOKUP($B$5,标准坦克设计!$B$14:$K$20,9)/30))</f>
        <v>23.74266811873666</v>
      </c>
      <c r="FC98" s="172">
        <f ca="1">(VLOOKUP(FC$72,INDIRECT($C$5&amp;"生成成长"),2))/((VLOOKUP($B98,INDIRECT($B$5&amp;"生成成长"),4))/(VLOOKUP(FC$72,INDIRECT($C$5&amp;"生成成长"),5))*(VLOOKUP($B$5,标准坦克设计!$B$24:$U$30,MATCH("对"&amp;LEFT($C$5,2)&amp;"输出",标准坦克设计!$B$23:$U$23,0)))*(VLOOKUP($B98,INDIRECT($B$5&amp;"生成成长"),3))*(VLOOKUP($B$5,标准坦克设计!$B$14:$K$20,9)/30))</f>
        <v>25.179319161474822</v>
      </c>
      <c r="FD98" s="172">
        <f ca="1">(VLOOKUP(FD$72,INDIRECT($C$5&amp;"生成成长"),2))/((VLOOKUP($B98,INDIRECT($B$5&amp;"生成成长"),4))/(VLOOKUP(FD$72,INDIRECT($C$5&amp;"生成成长"),5))*(VLOOKUP($B$5,标准坦克设计!$B$24:$U$30,MATCH("对"&amp;LEFT($C$5,2)&amp;"输出",标准坦克设计!$B$23:$U$23,0)))*(VLOOKUP($B98,INDIRECT($B$5&amp;"生成成长"),3))*(VLOOKUP($B$5,标准坦克设计!$B$14:$K$20,9)/30))</f>
        <v>26.658168232170581</v>
      </c>
      <c r="FE98" s="172">
        <f ca="1">(VLOOKUP(FE$72,INDIRECT($C$5&amp;"生成成长"),2))/((VLOOKUP($B98,INDIRECT($B$5&amp;"生成成长"),4))/(VLOOKUP(FE$72,INDIRECT($C$5&amp;"生成成长"),5))*(VLOOKUP($B$5,标准坦克设计!$B$24:$U$30,MATCH("对"&amp;LEFT($C$5,2)&amp;"输出",标准坦克设计!$B$23:$U$23,0)))*(VLOOKUP($B98,INDIRECT($B$5&amp;"生成成长"),3))*(VLOOKUP($B$5,标准坦克设计!$B$14:$K$20,9)/30))</f>
        <v>28.460303021186114</v>
      </c>
      <c r="FF98" s="172">
        <f ca="1">(VLOOKUP(FF$72,INDIRECT($C$5&amp;"生成成长"),2))/((VLOOKUP($B98,INDIRECT($B$5&amp;"生成成长"),4))/(VLOOKUP(FF$72,INDIRECT($C$5&amp;"生成成长"),5))*(VLOOKUP($B$5,标准坦克设计!$B$24:$U$30,MATCH("对"&amp;LEFT($C$5,2)&amp;"输出",标准坦克设计!$B$23:$U$23,0)))*(VLOOKUP($B98,INDIRECT($B$5&amp;"生成成长"),3))*(VLOOKUP($B$5,标准坦克设计!$B$14:$K$20,9)/30))</f>
        <v>30.321375551729194</v>
      </c>
      <c r="FG98" s="172">
        <f ca="1">(VLOOKUP(FG$72,INDIRECT($C$5&amp;"生成成长"),2))/((VLOOKUP($B98,INDIRECT($B$5&amp;"生成成长"),4))/(VLOOKUP(FG$72,INDIRECT($C$5&amp;"生成成长"),5))*(VLOOKUP($B$5,标准坦克设计!$B$24:$U$30,MATCH("对"&amp;LEFT($C$5,2)&amp;"输出",标准坦克设计!$B$23:$U$23,0)))*(VLOOKUP($B98,INDIRECT($B$5&amp;"生成成长"),3))*(VLOOKUP($B$5,标准坦克设计!$B$14:$K$20,9)/30))</f>
        <v>32.241385823799824</v>
      </c>
      <c r="FH98" s="172">
        <f ca="1">(VLOOKUP(FH$72,INDIRECT($C$5&amp;"生成成长"),2))/((VLOOKUP($B98,INDIRECT($B$5&amp;"生成成长"),4))/(VLOOKUP(FH$72,INDIRECT($C$5&amp;"生成成长"),5))*(VLOOKUP($B$5,标准坦克设计!$B$24:$U$30,MATCH("对"&amp;LEFT($C$5,2)&amp;"输出",标准坦克设计!$B$23:$U$23,0)))*(VLOOKUP($B98,INDIRECT($B$5&amp;"生成成长"),3))*(VLOOKUP($B$5,标准坦克设计!$B$14:$K$20,9)/30))</f>
        <v>34.220333837398009</v>
      </c>
      <c r="FI98" s="172">
        <f ca="1">(VLOOKUP(FI$72,INDIRECT($C$5&amp;"生成成长"),2))/((VLOOKUP($B98,INDIRECT($B$5&amp;"生成成长"),4))/(VLOOKUP(FI$72,INDIRECT($C$5&amp;"生成成长"),5))*(VLOOKUP($B$5,标准坦克设计!$B$24:$U$30,MATCH("对"&amp;LEFT($C$5,2)&amp;"输出",标准坦克设计!$B$23:$U$23,0)))*(VLOOKUP($B98,INDIRECT($B$5&amp;"生成成长"),3))*(VLOOKUP($B$5,标准坦克设计!$B$14:$K$20,9)/30))</f>
        <v>36.258219592523744</v>
      </c>
      <c r="FJ98" s="172">
        <f ca="1">(VLOOKUP(FJ$72,INDIRECT($C$5&amp;"生成成长"),2))/((VLOOKUP($B98,INDIRECT($B$5&amp;"生成成长"),4))/(VLOOKUP(FJ$72,INDIRECT($C$5&amp;"生成成长"),5))*(VLOOKUP($B$5,标准坦克设计!$B$24:$U$30,MATCH("对"&amp;LEFT($C$5,2)&amp;"输出",标准坦克设计!$B$23:$U$23,0)))*(VLOOKUP($B98,INDIRECT($B$5&amp;"生成成长"),3))*(VLOOKUP($B$5,标准坦克设计!$B$14:$K$20,9)/30))</f>
        <v>38.355043089177038</v>
      </c>
      <c r="FK98" s="172">
        <f ca="1">(VLOOKUP(FK$72,INDIRECT($C$5&amp;"生成成长"),2))/((VLOOKUP($B98,INDIRECT($B$5&amp;"生成成长"),4))/(VLOOKUP(FK$72,INDIRECT($C$5&amp;"生成成长"),5))*(VLOOKUP($B$5,标准坦克设计!$B$24:$U$30,MATCH("对"&amp;LEFT($C$5,2)&amp;"输出",标准坦克设计!$B$23:$U$23,0)))*(VLOOKUP($B98,INDIRECT($B$5&amp;"生成成长"),3))*(VLOOKUP($B$5,标准坦克设计!$B$14:$K$20,9)/30))</f>
        <v>40.510804327357867</v>
      </c>
    </row>
    <row r="99" spans="1:167" x14ac:dyDescent="0.15">
      <c r="A99" s="170" t="str">
        <f t="shared" si="11"/>
        <v>T4低品质6级</v>
      </c>
      <c r="B99" s="171">
        <v>10406</v>
      </c>
      <c r="C99" s="172">
        <f ca="1">(VLOOKUP(C$72,INDIRECT($C$5&amp;"生成成长"),2))/((VLOOKUP($B99,INDIRECT($B$5&amp;"生成成长"),4))/(VLOOKUP(C$72,INDIRECT($C$5&amp;"生成成长"),5))*(VLOOKUP($B$5,标准坦克设计!$B$24:$U$30,MATCH("对"&amp;LEFT($C$5,2)&amp;"输出",标准坦克设计!$B$23:$U$23,0)))*(VLOOKUP($B99,INDIRECT($B$5&amp;"生成成长"),3))*(VLOOKUP($B$5,标准坦克设计!$B$14:$K$20,9)/30))</f>
        <v>1.5948925286991122</v>
      </c>
      <c r="D99" s="172">
        <f ca="1">(VLOOKUP(D$72,INDIRECT($C$5&amp;"生成成长"),2))/((VLOOKUP($B99,INDIRECT($B$5&amp;"生成成长"),4))/(VLOOKUP(D$72,INDIRECT($C$5&amp;"生成成长"),5))*(VLOOKUP($B$5,标准坦克设计!$B$24:$U$30,MATCH("对"&amp;LEFT($C$5,2)&amp;"输出",标准坦克设计!$B$23:$U$23,0)))*(VLOOKUP($B99,INDIRECT($B$5&amp;"生成成长"),3))*(VLOOKUP($B$5,标准坦克设计!$B$14:$K$20,9)/30))</f>
        <v>1.7920212452463231</v>
      </c>
      <c r="E99" s="172">
        <f ca="1">(VLOOKUP(E$72,INDIRECT($C$5&amp;"生成成长"),2))/((VLOOKUP($B99,INDIRECT($B$5&amp;"生成成长"),4))/(VLOOKUP(E$72,INDIRECT($C$5&amp;"生成成长"),5))*(VLOOKUP($B$5,标准坦克设计!$B$24:$U$30,MATCH("对"&amp;LEFT($C$5,2)&amp;"输出",标准坦克设计!$B$23:$U$23,0)))*(VLOOKUP($B99,INDIRECT($B$5&amp;"生成成长"),3))*(VLOOKUP($B$5,标准坦克设计!$B$14:$K$20,9)/30))</f>
        <v>2.0006331880001667</v>
      </c>
      <c r="F99" s="172">
        <f ca="1">(VLOOKUP(F$72,INDIRECT($C$5&amp;"生成成长"),2))/((VLOOKUP($B99,INDIRECT($B$5&amp;"生成成长"),4))/(VLOOKUP(F$72,INDIRECT($C$5&amp;"生成成长"),5))*(VLOOKUP($B$5,标准坦克设计!$B$24:$U$30,MATCH("对"&amp;LEFT($C$5,2)&amp;"输出",标准坦克设计!$B$23:$U$23,0)))*(VLOOKUP($B99,INDIRECT($B$5&amp;"生成成长"),3))*(VLOOKUP($B$5,标准坦克设计!$B$14:$K$20,9)/30))</f>
        <v>2.2207283569606444</v>
      </c>
      <c r="G99" s="172">
        <f ca="1">(VLOOKUP(G$72,INDIRECT($C$5&amp;"生成成长"),2))/((VLOOKUP($B99,INDIRECT($B$5&amp;"生成成长"),4))/(VLOOKUP(G$72,INDIRECT($C$5&amp;"生成成长"),5))*(VLOOKUP($B$5,标准坦克设计!$B$24:$U$30,MATCH("对"&amp;LEFT($C$5,2)&amp;"输出",标准坦克设计!$B$23:$U$23,0)))*(VLOOKUP($B99,INDIRECT($B$5&amp;"生成成长"),3))*(VLOOKUP($B$5,标准坦克设计!$B$14:$K$20,9)/30))</f>
        <v>2.4523067521277553</v>
      </c>
      <c r="H99" s="172">
        <f ca="1">(VLOOKUP(H$72,INDIRECT($C$5&amp;"生成成长"),2))/((VLOOKUP($B99,INDIRECT($B$5&amp;"生成成长"),4))/(VLOOKUP(H$72,INDIRECT($C$5&amp;"生成成长"),5))*(VLOOKUP($B$5,标准坦克设计!$B$24:$U$30,MATCH("对"&amp;LEFT($C$5,2)&amp;"输出",标准坦克设计!$B$23:$U$23,0)))*(VLOOKUP($B99,INDIRECT($B$5&amp;"生成成长"),3))*(VLOOKUP($B$5,标准坦克设计!$B$14:$K$20,9)/30))</f>
        <v>2.1460873866175256</v>
      </c>
      <c r="I99" s="172">
        <f ca="1">(VLOOKUP(I$72,INDIRECT($C$5&amp;"生成成长"),2))/((VLOOKUP($B99,INDIRECT($B$5&amp;"生成成长"),4))/(VLOOKUP(I$72,INDIRECT($C$5&amp;"生成成长"),5))*(VLOOKUP($B$5,标准坦克设计!$B$24:$U$30,MATCH("对"&amp;LEFT($C$5,2)&amp;"输出",标准坦克设计!$B$23:$U$23,0)))*(VLOOKUP($B99,INDIRECT($B$5&amp;"生成成长"),3))*(VLOOKUP($B$5,标准坦克设计!$B$14:$K$20,9)/30))</f>
        <v>2.4523067521277553</v>
      </c>
      <c r="J99" s="172">
        <f ca="1">(VLOOKUP(J$72,INDIRECT($C$5&amp;"生成成长"),2))/((VLOOKUP($B99,INDIRECT($B$5&amp;"生成成长"),4))/(VLOOKUP(J$72,INDIRECT($C$5&amp;"生成成长"),5))*(VLOOKUP($B$5,标准坦克设计!$B$24:$U$30,MATCH("对"&amp;LEFT($C$5,2)&amp;"输出",标准坦克设计!$B$23:$U$23,0)))*(VLOOKUP($B99,INDIRECT($B$5&amp;"生成成长"),3))*(VLOOKUP($B$5,标准坦克设计!$B$14:$K$20,9)/30))</f>
        <v>2.7789407420053336</v>
      </c>
      <c r="K99" s="172">
        <f ca="1">(VLOOKUP(K$72,INDIRECT($C$5&amp;"生成成长"),2))/((VLOOKUP($B99,INDIRECT($B$5&amp;"生成成长"),4))/(VLOOKUP(K$72,INDIRECT($C$5&amp;"生成成长"),5))*(VLOOKUP($B$5,标准坦克设计!$B$24:$U$30,MATCH("对"&amp;LEFT($C$5,2)&amp;"输出",标准坦克设计!$B$23:$U$23,0)))*(VLOOKUP($B99,INDIRECT($B$5&amp;"生成成长"),3))*(VLOOKUP($B$5,标准坦克设计!$B$14:$K$20,9)/30))</f>
        <v>3.1259893562502601</v>
      </c>
      <c r="L99" s="172">
        <f ca="1">(VLOOKUP(L$72,INDIRECT($C$5&amp;"生成成长"),2))/((VLOOKUP($B99,INDIRECT($B$5&amp;"生成成长"),4))/(VLOOKUP(L$72,INDIRECT($C$5&amp;"生成成长"),5))*(VLOOKUP($B$5,标准坦克设计!$B$24:$U$30,MATCH("对"&amp;LEFT($C$5,2)&amp;"输出",标准坦克设计!$B$23:$U$23,0)))*(VLOOKUP($B99,INDIRECT($B$5&amp;"生成成长"),3))*(VLOOKUP($B$5,标准坦克设计!$B$14:$K$20,9)/30))</f>
        <v>3.4934525948625361</v>
      </c>
      <c r="M99" s="172">
        <f ca="1">(VLOOKUP(M$72,INDIRECT($C$5&amp;"生成成长"),2))/((VLOOKUP($B99,INDIRECT($B$5&amp;"生成成长"),4))/(VLOOKUP(M$72,INDIRECT($C$5&amp;"生成成长"),5))*(VLOOKUP($B$5,标准坦克设计!$B$24:$U$30,MATCH("对"&amp;LEFT($C$5,2)&amp;"输出",标准坦克设计!$B$23:$U$23,0)))*(VLOOKUP($B99,INDIRECT($B$5&amp;"生成成长"),3))*(VLOOKUP($B$5,标准坦克设计!$B$14:$K$20,9)/30))</f>
        <v>3.8813304578421599</v>
      </c>
      <c r="N99" s="172">
        <f ca="1">(VLOOKUP(N$72,INDIRECT($C$5&amp;"生成成长"),2))/((VLOOKUP($B99,INDIRECT($B$5&amp;"生成成长"),4))/(VLOOKUP(N$72,INDIRECT($C$5&amp;"生成成长"),5))*(VLOOKUP($B$5,标准坦克设计!$B$24:$U$30,MATCH("对"&amp;LEFT($C$5,2)&amp;"输出",标准坦克设计!$B$23:$U$23,0)))*(VLOOKUP($B99,INDIRECT($B$5&amp;"生成成长"),3))*(VLOOKUP($B$5,标准坦克设计!$B$14:$K$20,9)/30))</f>
        <v>4.2896229451891337</v>
      </c>
      <c r="O99" s="172">
        <f ca="1">(VLOOKUP(O$72,INDIRECT($C$5&amp;"生成成长"),2))/((VLOOKUP($B99,INDIRECT($B$5&amp;"生成成长"),4))/(VLOOKUP(O$72,INDIRECT($C$5&amp;"生成成长"),5))*(VLOOKUP($B$5,标准坦克设计!$B$24:$U$30,MATCH("对"&amp;LEFT($C$5,2)&amp;"输出",标准坦克设计!$B$23:$U$23,0)))*(VLOOKUP($B99,INDIRECT($B$5&amp;"生成成长"),3))*(VLOOKUP($B$5,标准坦克设计!$B$14:$K$20,9)/30))</f>
        <v>3.2613957319368154</v>
      </c>
      <c r="P99" s="172">
        <f ca="1">(VLOOKUP(P$72,INDIRECT($C$5&amp;"生成成长"),2))/((VLOOKUP($B99,INDIRECT($B$5&amp;"生成成长"),4))/(VLOOKUP(P$72,INDIRECT($C$5&amp;"生成成长"),5))*(VLOOKUP($B$5,标准坦克设计!$B$24:$U$30,MATCH("对"&amp;LEFT($C$5,2)&amp;"输出",标准坦克设计!$B$23:$U$23,0)))*(VLOOKUP($B99,INDIRECT($B$5&amp;"生成成长"),3))*(VLOOKUP($B$5,标准坦克设计!$B$14:$K$20,9)/30))</f>
        <v>3.6848396983064293</v>
      </c>
      <c r="Q99" s="172">
        <f ca="1">(VLOOKUP(Q$72,INDIRECT($C$5&amp;"生成成长"),2))/((VLOOKUP($B99,INDIRECT($B$5&amp;"生成成长"),4))/(VLOOKUP(Q$72,INDIRECT($C$5&amp;"生成成长"),5))*(VLOOKUP($B$5,标准坦克设计!$B$24:$U$30,MATCH("对"&amp;LEFT($C$5,2)&amp;"输出",标准坦克设计!$B$23:$U$23,0)))*(VLOOKUP($B99,INDIRECT($B$5&amp;"生成成长"),3))*(VLOOKUP($B$5,标准坦克设计!$B$14:$K$20,9)/30))</f>
        <v>4.1341209236409693</v>
      </c>
      <c r="R99" s="172">
        <f ca="1">(VLOOKUP(R$72,INDIRECT($C$5&amp;"生成成长"),2))/((VLOOKUP($B99,INDIRECT($B$5&amp;"生成成长"),4))/(VLOOKUP(R$72,INDIRECT($C$5&amp;"生成成长"),5))*(VLOOKUP($B$5,标准坦克设计!$B$24:$U$30,MATCH("对"&amp;LEFT($C$5,2)&amp;"输出",标准坦克设计!$B$23:$U$23,0)))*(VLOOKUP($B99,INDIRECT($B$5&amp;"生成成长"),3))*(VLOOKUP($B$5,标准坦克设计!$B$14:$K$20,9)/30))</f>
        <v>4.6092394079404357</v>
      </c>
      <c r="S99" s="172">
        <f ca="1">(VLOOKUP(S$72,INDIRECT($C$5&amp;"生成成长"),2))/((VLOOKUP($B99,INDIRECT($B$5&amp;"生成成长"),4))/(VLOOKUP(S$72,INDIRECT($C$5&amp;"生成成长"),5))*(VLOOKUP($B$5,标准坦克设计!$B$24:$U$30,MATCH("对"&amp;LEFT($C$5,2)&amp;"输出",标准坦克设计!$B$23:$U$23,0)))*(VLOOKUP($B99,INDIRECT($B$5&amp;"生成成长"),3))*(VLOOKUP($B$5,标准坦克设计!$B$14:$K$20,9)/30))</f>
        <v>5.1101951512048256</v>
      </c>
      <c r="T99" s="172">
        <f ca="1">(VLOOKUP(T$72,INDIRECT($C$5&amp;"生成成长"),2))/((VLOOKUP($B99,INDIRECT($B$5&amp;"生成成长"),4))/(VLOOKUP(T$72,INDIRECT($C$5&amp;"生成成长"),5))*(VLOOKUP($B$5,标准坦克设计!$B$24:$U$30,MATCH("对"&amp;LEFT($C$5,2)&amp;"输出",标准坦克设计!$B$23:$U$23,0)))*(VLOOKUP($B99,INDIRECT($B$5&amp;"生成成长"),3))*(VLOOKUP($B$5,标准坦克设计!$B$14:$K$20,9)/30))</f>
        <v>5.6369881534341424</v>
      </c>
      <c r="U99" s="172">
        <f ca="1">(VLOOKUP(U$72,INDIRECT($C$5&amp;"生成成长"),2))/((VLOOKUP($B99,INDIRECT($B$5&amp;"生成成长"),4))/(VLOOKUP(U$72,INDIRECT($C$5&amp;"生成成长"),5))*(VLOOKUP($B$5,标准坦克设计!$B$24:$U$30,MATCH("对"&amp;LEFT($C$5,2)&amp;"输出",标准坦克设计!$B$23:$U$23,0)))*(VLOOKUP($B99,INDIRECT($B$5&amp;"生成成长"),3))*(VLOOKUP($B$5,标准坦克设计!$B$14:$K$20,9)/30))</f>
        <v>6.1896184146283852</v>
      </c>
      <c r="V99" s="172">
        <f ca="1">(VLOOKUP(V$72,INDIRECT($C$5&amp;"生成成长"),2))/((VLOOKUP($B99,INDIRECT($B$5&amp;"生成成长"),4))/(VLOOKUP(V$72,INDIRECT($C$5&amp;"生成成长"),5))*(VLOOKUP($B$5,标准坦克设计!$B$24:$U$30,MATCH("对"&amp;LEFT($C$5,2)&amp;"输出",标准坦克设计!$B$23:$U$23,0)))*(VLOOKUP($B99,INDIRECT($B$5&amp;"生成成长"),3))*(VLOOKUP($B$5,标准坦克设计!$B$14:$K$20,9)/30))</f>
        <v>6.7680859347875533</v>
      </c>
      <c r="W99" s="172">
        <f ca="1">(VLOOKUP(W$72,INDIRECT($C$5&amp;"生成成长"),2))/((VLOOKUP($B99,INDIRECT($B$5&amp;"生成成长"),4))/(VLOOKUP(W$72,INDIRECT($C$5&amp;"生成成长"),5))*(VLOOKUP($B$5,标准坦克设计!$B$24:$U$30,MATCH("对"&amp;LEFT($C$5,2)&amp;"输出",标准坦克设计!$B$23:$U$23,0)))*(VLOOKUP($B99,INDIRECT($B$5&amp;"生成成长"),3))*(VLOOKUP($B$5,标准坦克设计!$B$14:$K$20,9)/30))</f>
        <v>7.3723907139116482</v>
      </c>
      <c r="X99" s="172">
        <f ca="1">(VLOOKUP(X$72,INDIRECT($C$5&amp;"生成成长"),2))/((VLOOKUP($B99,INDIRECT($B$5&amp;"生成成长"),4))/(VLOOKUP(X$72,INDIRECT($C$5&amp;"生成成长"),5))*(VLOOKUP($B$5,标准坦克设计!$B$24:$U$30,MATCH("对"&amp;LEFT($C$5,2)&amp;"输出",标准坦克设计!$B$23:$U$23,0)))*(VLOOKUP($B99,INDIRECT($B$5&amp;"生成成长"),3))*(VLOOKUP($B$5,标准坦克设计!$B$14:$K$20,9)/30))</f>
        <v>5.3411355893604568</v>
      </c>
      <c r="Y99" s="172">
        <f ca="1">(VLOOKUP(Y$72,INDIRECT($C$5&amp;"生成成长"),2))/((VLOOKUP($B99,INDIRECT($B$5&amp;"生成成长"),4))/(VLOOKUP(Y$72,INDIRECT($C$5&amp;"生成成长"),5))*(VLOOKUP($B$5,标准坦克设计!$B$24:$U$30,MATCH("对"&amp;LEFT($C$5,2)&amp;"输出",标准坦克设计!$B$23:$U$23,0)))*(VLOOKUP($B99,INDIRECT($B$5&amp;"生成成长"),3))*(VLOOKUP($B$5,标准坦克设计!$B$14:$K$20,9)/30))</f>
        <v>5.9408151801513238</v>
      </c>
      <c r="Z99" s="172">
        <f ca="1">(VLOOKUP(Z$72,INDIRECT($C$5&amp;"生成成长"),2))/((VLOOKUP($B99,INDIRECT($B$5&amp;"生成成长"),4))/(VLOOKUP(Z$72,INDIRECT($C$5&amp;"生成成长"),5))*(VLOOKUP($B$5,标准坦克设计!$B$24:$U$30,MATCH("对"&amp;LEFT($C$5,2)&amp;"输出",标准坦克设计!$B$23:$U$23,0)))*(VLOOKUP($B99,INDIRECT($B$5&amp;"生成成长"),3))*(VLOOKUP($B$5,标准坦克设计!$B$14:$K$20,9)/30))</f>
        <v>6.5723926215161725</v>
      </c>
      <c r="AA99" s="172">
        <f ca="1">(VLOOKUP(AA$72,INDIRECT($C$5&amp;"生成成长"),2))/((VLOOKUP($B99,INDIRECT($B$5&amp;"生成成长"),4))/(VLOOKUP(AA$72,INDIRECT($C$5&amp;"生成成长"),5))*(VLOOKUP($B$5,标准坦克设计!$B$24:$U$30,MATCH("对"&amp;LEFT($C$5,2)&amp;"输出",标准坦克设计!$B$23:$U$23,0)))*(VLOOKUP($B99,INDIRECT($B$5&amp;"生成成长"),3))*(VLOOKUP($B$5,标准坦克设计!$B$14:$K$20,9)/30))</f>
        <v>7.235867913455003</v>
      </c>
      <c r="AB99" s="172">
        <f ca="1">(VLOOKUP(AB$72,INDIRECT($C$5&amp;"生成成长"),2))/((VLOOKUP($B99,INDIRECT($B$5&amp;"生成成长"),4))/(VLOOKUP(AB$72,INDIRECT($C$5&amp;"生成成长"),5))*(VLOOKUP($B$5,标准坦克设计!$B$24:$U$30,MATCH("对"&amp;LEFT($C$5,2)&amp;"输出",标准坦克设计!$B$23:$U$23,0)))*(VLOOKUP($B99,INDIRECT($B$5&amp;"生成成长"),3))*(VLOOKUP($B$5,标准坦克设计!$B$14:$K$20,9)/30))</f>
        <v>7.931241055967817</v>
      </c>
      <c r="AC99" s="172">
        <f ca="1">(VLOOKUP(AC$72,INDIRECT($C$5&amp;"生成成长"),2))/((VLOOKUP($B99,INDIRECT($B$5&amp;"生成成长"),4))/(VLOOKUP(AC$72,INDIRECT($C$5&amp;"生成成长"),5))*(VLOOKUP($B$5,标准坦克设计!$B$24:$U$30,MATCH("对"&amp;LEFT($C$5,2)&amp;"输出",标准坦克设计!$B$23:$U$23,0)))*(VLOOKUP($B99,INDIRECT($B$5&amp;"生成成长"),3))*(VLOOKUP($B$5,标准坦克设计!$B$14:$K$20,9)/30))</f>
        <v>8.658512049054611</v>
      </c>
      <c r="AD99" s="172">
        <f ca="1">(VLOOKUP(AD$72,INDIRECT($C$5&amp;"生成成长"),2))/((VLOOKUP($B99,INDIRECT($B$5&amp;"生成成长"),4))/(VLOOKUP(AD$72,INDIRECT($C$5&amp;"生成成长"),5))*(VLOOKUP($B$5,标准坦克设计!$B$24:$U$30,MATCH("对"&amp;LEFT($C$5,2)&amp;"输出",标准坦克设计!$B$23:$U$23,0)))*(VLOOKUP($B99,INDIRECT($B$5&amp;"生成成长"),3))*(VLOOKUP($B$5,标准坦克设计!$B$14:$K$20,9)/30))</f>
        <v>9.4176808927153903</v>
      </c>
      <c r="AE99" s="172">
        <f ca="1">(VLOOKUP(AE$72,INDIRECT($C$5&amp;"生成成长"),2))/((VLOOKUP($B99,INDIRECT($B$5&amp;"生成成长"),4))/(VLOOKUP(AE$72,INDIRECT($C$5&amp;"生成成长"),5))*(VLOOKUP($B$5,标准坦克设计!$B$24:$U$30,MATCH("对"&amp;LEFT($C$5,2)&amp;"输出",标准坦克设计!$B$23:$U$23,0)))*(VLOOKUP($B99,INDIRECT($B$5&amp;"生成成长"),3))*(VLOOKUP($B$5,标准坦克设计!$B$14:$K$20,9)/30))</f>
        <v>10.20874758695015</v>
      </c>
      <c r="AF99" s="172">
        <f ca="1">(VLOOKUP(AF$72,INDIRECT($C$5&amp;"生成成长"),2))/((VLOOKUP($B99,INDIRECT($B$5&amp;"生成成长"),4))/(VLOOKUP(AF$72,INDIRECT($C$5&amp;"生成成长"),5))*(VLOOKUP($B$5,标准坦克设计!$B$24:$U$30,MATCH("对"&amp;LEFT($C$5,2)&amp;"输出",标准坦克设计!$B$23:$U$23,0)))*(VLOOKUP($B99,INDIRECT($B$5&amp;"生成成长"),3))*(VLOOKUP($B$5,标准坦克设计!$B$14:$K$20,9)/30))</f>
        <v>11.031712131758891</v>
      </c>
      <c r="AG99" s="172">
        <f ca="1">(VLOOKUP(AG$72,INDIRECT($C$5&amp;"生成成长"),2))/((VLOOKUP($B99,INDIRECT($B$5&amp;"生成成长"),4))/(VLOOKUP(AG$72,INDIRECT($C$5&amp;"生成成长"),5))*(VLOOKUP($B$5,标准坦克设计!$B$24:$U$30,MATCH("对"&amp;LEFT($C$5,2)&amp;"输出",标准坦克设计!$B$23:$U$23,0)))*(VLOOKUP($B99,INDIRECT($B$5&amp;"生成成长"),3))*(VLOOKUP($B$5,标准坦克设计!$B$14:$K$20,9)/30))</f>
        <v>11.886574527141617</v>
      </c>
      <c r="AH99" s="172">
        <f ca="1">(VLOOKUP(AH$72,INDIRECT($C$5&amp;"生成成长"),2))/((VLOOKUP($B99,INDIRECT($B$5&amp;"生成成长"),4))/(VLOOKUP(AH$72,INDIRECT($C$5&amp;"生成成长"),5))*(VLOOKUP($B$5,标准坦克设计!$B$24:$U$30,MATCH("对"&amp;LEFT($C$5,2)&amp;"输出",标准坦克设计!$B$23:$U$23,0)))*(VLOOKUP($B99,INDIRECT($B$5&amp;"生成成长"),3))*(VLOOKUP($B$5,标准坦克设计!$B$14:$K$20,9)/30))</f>
        <v>12.773334773098322</v>
      </c>
      <c r="AI99" s="172">
        <f ca="1">(VLOOKUP(AI$72,INDIRECT($C$5&amp;"生成成长"),2))/((VLOOKUP($B99,INDIRECT($B$5&amp;"生成成长"),4))/(VLOOKUP(AI$72,INDIRECT($C$5&amp;"生成成长"),5))*(VLOOKUP($B$5,标准坦克设计!$B$24:$U$30,MATCH("对"&amp;LEFT($C$5,2)&amp;"输出",标准坦克设计!$B$23:$U$23,0)))*(VLOOKUP($B99,INDIRECT($B$5&amp;"生成成长"),3))*(VLOOKUP($B$5,标准坦克设计!$B$14:$K$20,9)/30))</f>
        <v>9.0341092395632536</v>
      </c>
      <c r="AJ99" s="172">
        <f ca="1">(VLOOKUP(AJ$72,INDIRECT($C$5&amp;"生成成长"),2))/((VLOOKUP($B99,INDIRECT($B$5&amp;"生成成长"),4))/(VLOOKUP(AJ$72,INDIRECT($C$5&amp;"生成成长"),5))*(VLOOKUP($B$5,标准坦克设计!$B$24:$U$30,MATCH("对"&amp;LEFT($C$5,2)&amp;"输出",标准坦克设计!$B$23:$U$23,0)))*(VLOOKUP($B99,INDIRECT($B$5&amp;"生成成长"),3))*(VLOOKUP($B$5,标准坦克设计!$B$14:$K$20,9)/30))</f>
        <v>9.8884931671873684</v>
      </c>
      <c r="AK99" s="172">
        <f ca="1">(VLOOKUP(AK$72,INDIRECT($C$5&amp;"生成成长"),2))/((VLOOKUP($B99,INDIRECT($B$5&amp;"生成成长"),4))/(VLOOKUP(AK$72,INDIRECT($C$5&amp;"生成成长"),5))*(VLOOKUP($B$5,标准坦克设计!$B$24:$U$30,MATCH("对"&amp;LEFT($C$5,2)&amp;"输出",标准坦克设计!$B$23:$U$23,0)))*(VLOOKUP($B99,INDIRECT($B$5&amp;"生成成长"),3))*(VLOOKUP($B$5,标准坦克设计!$B$14:$K$20,9)/30))</f>
        <v>10.781473494006002</v>
      </c>
      <c r="AL99" s="172">
        <f ca="1">(VLOOKUP(AL$72,INDIRECT($C$5&amp;"生成成长"),2))/((VLOOKUP($B99,INDIRECT($B$5&amp;"生成成长"),4))/(VLOOKUP(AL$72,INDIRECT($C$5&amp;"生成成长"),5))*(VLOOKUP($B$5,标准坦克设计!$B$24:$U$30,MATCH("对"&amp;LEFT($C$5,2)&amp;"输出",标准坦克设计!$B$23:$U$23,0)))*(VLOOKUP($B99,INDIRECT($B$5&amp;"生成成长"),3))*(VLOOKUP($B$5,标准坦克设计!$B$14:$K$20,9)/30))</f>
        <v>11.71305022001915</v>
      </c>
      <c r="AM99" s="172">
        <f ca="1">(VLOOKUP(AM$72,INDIRECT($C$5&amp;"生成成长"),2))/((VLOOKUP($B99,INDIRECT($B$5&amp;"生成成长"),4))/(VLOOKUP(AM$72,INDIRECT($C$5&amp;"生成成长"),5))*(VLOOKUP($B$5,标准坦克设计!$B$24:$U$30,MATCH("对"&amp;LEFT($C$5,2)&amp;"输出",标准坦克设计!$B$23:$U$23,0)))*(VLOOKUP($B99,INDIRECT($B$5&amp;"生成成长"),3))*(VLOOKUP($B$5,标准坦克设计!$B$14:$K$20,9)/30))</f>
        <v>12.683223345226823</v>
      </c>
      <c r="AN99" s="172">
        <f ca="1">(VLOOKUP(AN$72,INDIRECT($C$5&amp;"生成成长"),2))/((VLOOKUP($B99,INDIRECT($B$5&amp;"生成成长"),4))/(VLOOKUP(AN$72,INDIRECT($C$5&amp;"生成成长"),5))*(VLOOKUP($B$5,标准坦克设计!$B$24:$U$30,MATCH("对"&amp;LEFT($C$5,2)&amp;"输出",标准坦克设计!$B$23:$U$23,0)))*(VLOOKUP($B99,INDIRECT($B$5&amp;"生成成长"),3))*(VLOOKUP($B$5,标准坦克设计!$B$14:$K$20,9)/30))</f>
        <v>13.691992869629011</v>
      </c>
      <c r="AO99" s="172">
        <f ca="1">(VLOOKUP(AO$72,INDIRECT($C$5&amp;"生成成长"),2))/((VLOOKUP($B99,INDIRECT($B$5&amp;"生成成长"),4))/(VLOOKUP(AO$72,INDIRECT($C$5&amp;"生成成长"),5))*(VLOOKUP($B$5,标准坦克设计!$B$24:$U$30,MATCH("对"&amp;LEFT($C$5,2)&amp;"输出",标准坦克设计!$B$23:$U$23,0)))*(VLOOKUP($B99,INDIRECT($B$5&amp;"生成成长"),3))*(VLOOKUP($B$5,标准坦克设计!$B$14:$K$20,9)/30))</f>
        <v>14.739358793225717</v>
      </c>
      <c r="AP99" s="172">
        <f ca="1">(VLOOKUP(AP$72,INDIRECT($C$5&amp;"生成成长"),2))/((VLOOKUP($B99,INDIRECT($B$5&amp;"生成成长"),4))/(VLOOKUP(AP$72,INDIRECT($C$5&amp;"生成成长"),5))*(VLOOKUP($B$5,标准坦克设计!$B$24:$U$30,MATCH("对"&amp;LEFT($C$5,2)&amp;"输出",标准坦克设计!$B$23:$U$23,0)))*(VLOOKUP($B99,INDIRECT($B$5&amp;"生成成长"),3))*(VLOOKUP($B$5,标准坦克设计!$B$14:$K$20,9)/30))</f>
        <v>15.825321116016944</v>
      </c>
      <c r="AQ99" s="172">
        <f ca="1">(VLOOKUP(AQ$72,INDIRECT($C$5&amp;"生成成长"),2))/((VLOOKUP($B99,INDIRECT($B$5&amp;"生成成长"),4))/(VLOOKUP(AQ$72,INDIRECT($C$5&amp;"生成成长"),5))*(VLOOKUP($B$5,标准坦克设计!$B$24:$U$30,MATCH("对"&amp;LEFT($C$5,2)&amp;"输出",标准坦克设计!$B$23:$U$23,0)))*(VLOOKUP($B99,INDIRECT($B$5&amp;"生成成长"),3))*(VLOOKUP($B$5,标准坦克设计!$B$14:$K$20,9)/30))</f>
        <v>16.949879838002687</v>
      </c>
      <c r="AR99" s="172">
        <f ca="1">(VLOOKUP(AR$72,INDIRECT($C$5&amp;"生成成长"),2))/((VLOOKUP($B99,INDIRECT($B$5&amp;"生成成长"),4))/(VLOOKUP(AR$72,INDIRECT($C$5&amp;"生成成长"),5))*(VLOOKUP($B$5,标准坦克设计!$B$24:$U$30,MATCH("对"&amp;LEFT($C$5,2)&amp;"输出",标准坦克设计!$B$23:$U$23,0)))*(VLOOKUP($B99,INDIRECT($B$5&amp;"生成成长"),3))*(VLOOKUP($B$5,标准坦克设计!$B$14:$K$20,9)/30))</f>
        <v>18.113034959182951</v>
      </c>
      <c r="AS99" s="172">
        <f ca="1">(VLOOKUP(AS$72,INDIRECT($C$5&amp;"生成成长"),2))/((VLOOKUP($B99,INDIRECT($B$5&amp;"生成成长"),4))/(VLOOKUP(AS$72,INDIRECT($C$5&amp;"生成成长"),5))*(VLOOKUP($B$5,标准坦克设计!$B$24:$U$30,MATCH("对"&amp;LEFT($C$5,2)&amp;"输出",标准坦克设计!$B$23:$U$23,0)))*(VLOOKUP($B99,INDIRECT($B$5&amp;"生成成长"),3))*(VLOOKUP($B$5,标准坦克设计!$B$14:$K$20,9)/30))</f>
        <v>19.314786479557732</v>
      </c>
      <c r="AT99" s="172">
        <f ca="1">(VLOOKUP(AT$72,INDIRECT($C$5&amp;"生成成长"),2))/((VLOOKUP($B99,INDIRECT($B$5&amp;"生成成长"),4))/(VLOOKUP(AT$72,INDIRECT($C$5&amp;"生成成长"),5))*(VLOOKUP($B$5,标准坦克设计!$B$24:$U$30,MATCH("对"&amp;LEFT($C$5,2)&amp;"输出",标准坦克设计!$B$23:$U$23,0)))*(VLOOKUP($B99,INDIRECT($B$5&amp;"生成成长"),3))*(VLOOKUP($B$5,标准坦克设计!$B$14:$K$20,9)/30))</f>
        <v>20.555134399127031</v>
      </c>
      <c r="AU99" s="172">
        <f ca="1">(VLOOKUP(AU$72,INDIRECT($C$5&amp;"生成成长"),2))/((VLOOKUP($B99,INDIRECT($B$5&amp;"生成成长"),4))/(VLOOKUP(AU$72,INDIRECT($C$5&amp;"生成成长"),5))*(VLOOKUP($B$5,标准坦克设计!$B$24:$U$30,MATCH("对"&amp;LEFT($C$5,2)&amp;"输出",标准坦克设计!$B$23:$U$23,0)))*(VLOOKUP($B99,INDIRECT($B$5&amp;"生成成长"),3))*(VLOOKUP($B$5,标准坦克设计!$B$14:$K$20,9)/30))</f>
        <v>21.834078717890851</v>
      </c>
      <c r="AV99" s="172">
        <f ca="1">(VLOOKUP(AV$72,INDIRECT($C$5&amp;"生成成长"),2))/((VLOOKUP($B99,INDIRECT($B$5&amp;"生成成长"),4))/(VLOOKUP(AV$72,INDIRECT($C$5&amp;"生成成长"),5))*(VLOOKUP($B$5,标准坦克设计!$B$24:$U$30,MATCH("对"&amp;LEFT($C$5,2)&amp;"输出",标准坦克设计!$B$23:$U$23,0)))*(VLOOKUP($B99,INDIRECT($B$5&amp;"生成成长"),3))*(VLOOKUP($B$5,标准坦克设计!$B$14:$K$20,9)/30))</f>
        <v>2.2207283569606444</v>
      </c>
      <c r="AW99" s="172">
        <f ca="1">(VLOOKUP(AW$72,INDIRECT($C$5&amp;"生成成长"),2))/((VLOOKUP($B99,INDIRECT($B$5&amp;"生成成长"),4))/(VLOOKUP(AW$72,INDIRECT($C$5&amp;"生成成长"),5))*(VLOOKUP($B$5,标准坦克设计!$B$24:$U$30,MATCH("对"&amp;LEFT($C$5,2)&amp;"输出",标准坦克设计!$B$23:$U$23,0)))*(VLOOKUP($B99,INDIRECT($B$5&amp;"生成成长"),3))*(VLOOKUP($B$5,标准坦克设计!$B$14:$K$20,9)/30))</f>
        <v>2.532051378562711</v>
      </c>
      <c r="AX99" s="172">
        <f ca="1">(VLOOKUP(AX$72,INDIRECT($C$5&amp;"生成成长"),2))/((VLOOKUP($B99,INDIRECT($B$5&amp;"生成成长"),4))/(VLOOKUP(AX$72,INDIRECT($C$5&amp;"生成成长"),5))*(VLOOKUP($B$5,标准坦克设计!$B$24:$U$30,MATCH("对"&amp;LEFT($C$5,2)&amp;"输出",标准坦克设计!$B$23:$U$23,0)))*(VLOOKUP($B99,INDIRECT($B$5&amp;"生成成长"),3))*(VLOOKUP($B$5,标准坦克设计!$B$14:$K$20,9)/30))</f>
        <v>2.8637890245321267</v>
      </c>
      <c r="AY99" s="172">
        <f ca="1">(VLOOKUP(AY$72,INDIRECT($C$5&amp;"生成成长"),2))/((VLOOKUP($B99,INDIRECT($B$5&amp;"生成成长"),4))/(VLOOKUP(AY$72,INDIRECT($C$5&amp;"生成成长"),5))*(VLOOKUP($B$5,标准坦克设计!$B$24:$U$30,MATCH("对"&amp;LEFT($C$5,2)&amp;"输出",标准坦克设计!$B$23:$U$23,0)))*(VLOOKUP($B99,INDIRECT($B$5&amp;"生成成长"),3))*(VLOOKUP($B$5,标准坦克设计!$B$14:$K$20,9)/30))</f>
        <v>3.215941294868891</v>
      </c>
      <c r="AZ99" s="172">
        <f ca="1">(VLOOKUP(AZ$72,INDIRECT($C$5&amp;"生成成长"),2))/((VLOOKUP($B99,INDIRECT($B$5&amp;"生成成长"),4))/(VLOOKUP(AZ$72,INDIRECT($C$5&amp;"生成成长"),5))*(VLOOKUP($B$5,标准坦克设计!$B$24:$U$30,MATCH("对"&amp;LEFT($C$5,2)&amp;"输出",标准坦克设计!$B$23:$U$23,0)))*(VLOOKUP($B99,INDIRECT($B$5&amp;"生成成长"),3))*(VLOOKUP($B$5,标准坦克设计!$B$14:$K$20,9)/30))</f>
        <v>3.5885081895730035</v>
      </c>
      <c r="BA99" s="172">
        <f ca="1">(VLOOKUP(BA$72,INDIRECT($C$5&amp;"生成成长"),2))/((VLOOKUP($B99,INDIRECT($B$5&amp;"生成成长"),4))/(VLOOKUP(BA$72,INDIRECT($C$5&amp;"生成成长"),5))*(VLOOKUP($B$5,标准坦克设计!$B$24:$U$30,MATCH("对"&amp;LEFT($C$5,2)&amp;"输出",标准坦克设计!$B$23:$U$23,0)))*(VLOOKUP($B99,INDIRECT($B$5&amp;"生成成长"),3))*(VLOOKUP($B$5,标准坦克设计!$B$14:$K$20,9)/30))</f>
        <v>3.9814897086444643</v>
      </c>
      <c r="BB99" s="172">
        <f ca="1">(VLOOKUP(BB$72,INDIRECT($C$5&amp;"生成成长"),2))/((VLOOKUP($B99,INDIRECT($B$5&amp;"生成成长"),4))/(VLOOKUP(BB$72,INDIRECT($C$5&amp;"生成成长"),5))*(VLOOKUP($B$5,标准坦克设计!$B$24:$U$30,MATCH("对"&amp;LEFT($C$5,2)&amp;"输出",标准坦克设计!$B$23:$U$23,0)))*(VLOOKUP($B99,INDIRECT($B$5&amp;"生成成长"),3))*(VLOOKUP($B$5,标准坦克设计!$B$14:$K$20,9)/30))</f>
        <v>4.3948858520832745</v>
      </c>
      <c r="BC99" s="172">
        <f ca="1">(VLOOKUP(BC$72,INDIRECT($C$5&amp;"生成成长"),2))/((VLOOKUP($B99,INDIRECT($B$5&amp;"生成成长"),4))/(VLOOKUP(BC$72,INDIRECT($C$5&amp;"生成成长"),5))*(VLOOKUP($B$5,标准坦克设计!$B$24:$U$30,MATCH("对"&amp;LEFT($C$5,2)&amp;"输出",标准坦克设计!$B$23:$U$23,0)))*(VLOOKUP($B99,INDIRECT($B$5&amp;"生成成长"),3))*(VLOOKUP($B$5,标准坦克设计!$B$14:$K$20,9)/30))</f>
        <v>4.828696619889433</v>
      </c>
      <c r="BD99" s="172">
        <f ca="1">(VLOOKUP(BD$72,INDIRECT($C$5&amp;"生成成长"),2))/((VLOOKUP($B99,INDIRECT($B$5&amp;"生成成长"),4))/(VLOOKUP(BD$72,INDIRECT($C$5&amp;"生成成长"),5))*(VLOOKUP($B$5,标准坦克设计!$B$24:$U$30,MATCH("对"&amp;LEFT($C$5,2)&amp;"输出",标准坦克设计!$B$23:$U$23,0)))*(VLOOKUP($B99,INDIRECT($B$5&amp;"生成成长"),3))*(VLOOKUP($B$5,标准坦克设计!$B$14:$K$20,9)/30))</f>
        <v>5.3411355893604568</v>
      </c>
      <c r="BE99" s="172">
        <f ca="1">(VLOOKUP(BE$72,INDIRECT($C$5&amp;"生成成长"),2))/((VLOOKUP($B99,INDIRECT($B$5&amp;"生成成长"),4))/(VLOOKUP(BE$72,INDIRECT($C$5&amp;"生成成长"),5))*(VLOOKUP($B$5,标准坦克设计!$B$24:$U$30,MATCH("对"&amp;LEFT($C$5,2)&amp;"输出",标准坦克设计!$B$23:$U$23,0)))*(VLOOKUP($B99,INDIRECT($B$5&amp;"生成成长"),3))*(VLOOKUP($B$5,标准坦克设计!$B$14:$K$20,9)/30))</f>
        <v>5.8794118177964076</v>
      </c>
      <c r="BF99" s="172">
        <f ca="1">(VLOOKUP(BF$72,INDIRECT($C$5&amp;"生成成长"),2))/((VLOOKUP($B99,INDIRECT($B$5&amp;"生成成长"),4))/(VLOOKUP(BF$72,INDIRECT($C$5&amp;"生成成长"),5))*(VLOOKUP($B$5,标准坦克设计!$B$24:$U$30,MATCH("对"&amp;LEFT($C$5,2)&amp;"输出",标准坦克设计!$B$23:$U$23,0)))*(VLOOKUP($B99,INDIRECT($B$5&amp;"生成成长"),3))*(VLOOKUP($B$5,标准坦克设计!$B$14:$K$20,9)/30))</f>
        <v>6.4435253051972845</v>
      </c>
      <c r="BG99" s="172">
        <f ca="1">(VLOOKUP(BG$72,INDIRECT($C$5&amp;"生成成长"),2))/((VLOOKUP($B99,INDIRECT($B$5&amp;"生成成长"),4))/(VLOOKUP(BG$72,INDIRECT($C$5&amp;"生成成长"),5))*(VLOOKUP($B$5,标准坦克设计!$B$24:$U$30,MATCH("对"&amp;LEFT($C$5,2)&amp;"输出",标准坦克设计!$B$23:$U$23,0)))*(VLOOKUP($B99,INDIRECT($B$5&amp;"生成成长"),3))*(VLOOKUP($B$5,标准坦克设计!$B$14:$K$20,9)/30))</f>
        <v>7.0334760515630865</v>
      </c>
      <c r="BH99" s="172">
        <f ca="1">(VLOOKUP(BH$72,INDIRECT($C$5&amp;"生成成长"),2))/((VLOOKUP($B99,INDIRECT($B$5&amp;"生成成长"),4))/(VLOOKUP(BH$72,INDIRECT($C$5&amp;"生成成长"),5))*(VLOOKUP($B$5,标准坦克设计!$B$24:$U$30,MATCH("对"&amp;LEFT($C$5,2)&amp;"输出",标准坦克设计!$B$23:$U$23,0)))*(VLOOKUP($B99,INDIRECT($B$5&amp;"生成成长"),3))*(VLOOKUP($B$5,标准坦克设计!$B$14:$K$20,9)/30))</f>
        <v>3.3996729141750288</v>
      </c>
      <c r="BI99" s="172">
        <f ca="1">(VLOOKUP(BI$72,INDIRECT($C$5&amp;"生成成长"),2))/((VLOOKUP($B99,INDIRECT($B$5&amp;"生成成长"),4))/(VLOOKUP(BI$72,INDIRECT($C$5&amp;"生成成长"),5))*(VLOOKUP($B$5,标准坦克设计!$B$24:$U$30,MATCH("对"&amp;LEFT($C$5,2)&amp;"输出",标准坦克设计!$B$23:$U$23,0)))*(VLOOKUP($B99,INDIRECT($B$5&amp;"生成成长"),3))*(VLOOKUP($B$5,标准坦克设计!$B$14:$K$20,9)/30))</f>
        <v>3.8317293001996187</v>
      </c>
      <c r="BJ99" s="172">
        <f ca="1">(VLOOKUP(BJ$72,INDIRECT($C$5&amp;"生成成长"),2))/((VLOOKUP($B99,INDIRECT($B$5&amp;"生成成长"),4))/(VLOOKUP(BJ$72,INDIRECT($C$5&amp;"生成成长"),5))*(VLOOKUP($B$5,标准坦克设计!$B$24:$U$30,MATCH("对"&amp;LEFT($C$5,2)&amp;"输出",标准坦克设计!$B$23:$U$23,0)))*(VLOOKUP($B99,INDIRECT($B$5&amp;"生成成长"),3))*(VLOOKUP($B$5,标准坦克设计!$B$14:$K$20,9)/30))</f>
        <v>4.2896229451891337</v>
      </c>
      <c r="BK99" s="172">
        <f ca="1">(VLOOKUP(BK$72,INDIRECT($C$5&amp;"生成成长"),2))/((VLOOKUP($B99,INDIRECT($B$5&amp;"生成成长"),4))/(VLOOKUP(BK$72,INDIRECT($C$5&amp;"生成成长"),5))*(VLOOKUP($B$5,标准坦克设计!$B$24:$U$30,MATCH("对"&amp;LEFT($C$5,2)&amp;"输出",标准坦克设计!$B$23:$U$23,0)))*(VLOOKUP($B99,INDIRECT($B$5&amp;"生成成长"),3))*(VLOOKUP($B$5,标准坦克设计!$B$14:$K$20,9)/30))</f>
        <v>4.7733538491435725</v>
      </c>
      <c r="BL99" s="172">
        <f ca="1">(VLOOKUP(BL$72,INDIRECT($C$5&amp;"生成成长"),2))/((VLOOKUP($B99,INDIRECT($B$5&amp;"生成成长"),4))/(VLOOKUP(BL$72,INDIRECT($C$5&amp;"生成成长"),5))*(VLOOKUP($B$5,标准坦克设计!$B$24:$U$30,MATCH("对"&amp;LEFT($C$5,2)&amp;"输出",标准坦克设计!$B$23:$U$23,0)))*(VLOOKUP($B99,INDIRECT($B$5&amp;"生成成长"),3))*(VLOOKUP($B$5,标准坦克设计!$B$14:$K$20,9)/30))</f>
        <v>5.2829220120629401</v>
      </c>
      <c r="BM99" s="172">
        <f ca="1">(VLOOKUP(BM$72,INDIRECT($C$5&amp;"生成成长"),2))/((VLOOKUP($B99,INDIRECT($B$5&amp;"生成成长"),4))/(VLOOKUP(BM$72,INDIRECT($C$5&amp;"生成成长"),5))*(VLOOKUP($B$5,标准坦克设计!$B$24:$U$30,MATCH("对"&amp;LEFT($C$5,2)&amp;"输出",标准坦克设计!$B$23:$U$23,0)))*(VLOOKUP($B99,INDIRECT($B$5&amp;"生成成长"),3))*(VLOOKUP($B$5,标准坦克设计!$B$14:$K$20,9)/30))</f>
        <v>5.8183274339472328</v>
      </c>
      <c r="BN99" s="172">
        <f ca="1">(VLOOKUP(BN$72,INDIRECT($C$5&amp;"生成成长"),2))/((VLOOKUP($B99,INDIRECT($B$5&amp;"生成成长"),4))/(VLOOKUP(BN$72,INDIRECT($C$5&amp;"生成成长"),5))*(VLOOKUP($B$5,标准坦克设计!$B$24:$U$30,MATCH("对"&amp;LEFT($C$5,2)&amp;"输出",标准坦克设计!$B$23:$U$23,0)))*(VLOOKUP($B99,INDIRECT($B$5&amp;"生成成长"),3))*(VLOOKUP($B$5,标准坦克设计!$B$14:$K$20,9)/30))</f>
        <v>6.379570114796449</v>
      </c>
      <c r="BO99" s="172">
        <f ca="1">(VLOOKUP(BO$72,INDIRECT($C$5&amp;"生成成长"),2))/((VLOOKUP($B99,INDIRECT($B$5&amp;"生成成长"),4))/(VLOOKUP(BO$72,INDIRECT($C$5&amp;"生成成长"),5))*(VLOOKUP($B$5,标准坦克设计!$B$24:$U$30,MATCH("对"&amp;LEFT($C$5,2)&amp;"输出",标准坦克设计!$B$23:$U$23,0)))*(VLOOKUP($B99,INDIRECT($B$5&amp;"生成成长"),3))*(VLOOKUP($B$5,标准坦克设计!$B$14:$K$20,9)/30))</f>
        <v>6.9666500546105938</v>
      </c>
      <c r="BP99" s="172">
        <f ca="1">(VLOOKUP(BP$72,INDIRECT($C$5&amp;"生成成长"),2))/((VLOOKUP($B99,INDIRECT($B$5&amp;"生成成长"),4))/(VLOOKUP(BP$72,INDIRECT($C$5&amp;"生成成长"),5))*(VLOOKUP($B$5,标准坦克设计!$B$24:$U$30,MATCH("对"&amp;LEFT($C$5,2)&amp;"输出",标准坦克设计!$B$23:$U$23,0)))*(VLOOKUP($B99,INDIRECT($B$5&amp;"生成成长"),3))*(VLOOKUP($B$5,标准坦克设计!$B$14:$K$20,9)/30))</f>
        <v>7.579567253389663</v>
      </c>
      <c r="BQ99" s="172">
        <f ca="1">(VLOOKUP(BQ$72,INDIRECT($C$5&amp;"生成成长"),2))/((VLOOKUP($B99,INDIRECT($B$5&amp;"生成成长"),4))/(VLOOKUP(BQ$72,INDIRECT($C$5&amp;"生成成长"),5))*(VLOOKUP($B$5,标准坦克设计!$B$24:$U$30,MATCH("对"&amp;LEFT($C$5,2)&amp;"输出",标准坦克设计!$B$23:$U$23,0)))*(VLOOKUP($B99,INDIRECT($B$5&amp;"生成成长"),3))*(VLOOKUP($B$5,标准坦克设计!$B$14:$K$20,9)/30))</f>
        <v>8.2183217111336564</v>
      </c>
      <c r="BR99" s="172">
        <f ca="1">(VLOOKUP(BR$72,INDIRECT($C$5&amp;"生成成长"),2))/((VLOOKUP($B99,INDIRECT($B$5&amp;"生成成长"),4))/(VLOOKUP(BR$72,INDIRECT($C$5&amp;"生成成长"),5))*(VLOOKUP($B$5,标准坦克设计!$B$24:$U$30,MATCH("对"&amp;LEFT($C$5,2)&amp;"输出",标准坦克设计!$B$23:$U$23,0)))*(VLOOKUP($B99,INDIRECT($B$5&amp;"生成成长"),3))*(VLOOKUP($B$5,标准坦克设计!$B$14:$K$20,9)/30))</f>
        <v>8.9583518444500445</v>
      </c>
      <c r="BS99" s="172">
        <f ca="1">(VLOOKUP(BS$72,INDIRECT($C$5&amp;"生成成长"),2))/((VLOOKUP($B99,INDIRECT($B$5&amp;"生成成长"),4))/(VLOOKUP(BS$72,INDIRECT($C$5&amp;"生成成长"),5))*(VLOOKUP($B$5,标准坦克设计!$B$24:$U$30,MATCH("对"&amp;LEFT($C$5,2)&amp;"输出",标准坦克设计!$B$23:$U$23,0)))*(VLOOKUP($B99,INDIRECT($B$5&amp;"生成成长"),3))*(VLOOKUP($B$5,标准坦克设计!$B$14:$K$20,9)/30))</f>
        <v>9.7302798283404144</v>
      </c>
      <c r="BT99" s="172">
        <f ca="1">(VLOOKUP(BT$72,INDIRECT($C$5&amp;"生成成长"),2))/((VLOOKUP($B99,INDIRECT($B$5&amp;"生成成长"),4))/(VLOOKUP(BT$72,INDIRECT($C$5&amp;"生成成长"),5))*(VLOOKUP($B$5,标准坦克设计!$B$24:$U$30,MATCH("对"&amp;LEFT($C$5,2)&amp;"输出",标准坦克设计!$B$23:$U$23,0)))*(VLOOKUP($B99,INDIRECT($B$5&amp;"生成成长"),3))*(VLOOKUP($B$5,标准坦克设计!$B$14:$K$20,9)/30))</f>
        <v>10.534105662804768</v>
      </c>
      <c r="BU99" s="172">
        <f ca="1">(VLOOKUP(BU$72,INDIRECT($C$5&amp;"生成成长"),2))/((VLOOKUP($B99,INDIRECT($B$5&amp;"生成成长"),4))/(VLOOKUP(BU$72,INDIRECT($C$5&amp;"生成成长"),5))*(VLOOKUP($B$5,标准坦克设计!$B$24:$U$30,MATCH("对"&amp;LEFT($C$5,2)&amp;"输出",标准坦克设计!$B$23:$U$23,0)))*(VLOOKUP($B99,INDIRECT($B$5&amp;"生成成长"),3))*(VLOOKUP($B$5,标准坦克设计!$B$14:$K$20,9)/30))</f>
        <v>11.369829347843103</v>
      </c>
      <c r="BV99" s="172">
        <f ca="1">(VLOOKUP(BV$72,INDIRECT($C$5&amp;"生成成长"),2))/((VLOOKUP($B99,INDIRECT($B$5&amp;"生成成长"),4))/(VLOOKUP(BV$72,INDIRECT($C$5&amp;"生成成长"),5))*(VLOOKUP($B$5,标准坦克设计!$B$24:$U$30,MATCH("对"&amp;LEFT($C$5,2)&amp;"输出",标准坦克设计!$B$23:$U$23,0)))*(VLOOKUP($B99,INDIRECT($B$5&amp;"生成成长"),3))*(VLOOKUP($B$5,标准坦克设计!$B$14:$K$20,9)/30))</f>
        <v>12.23745088345542</v>
      </c>
      <c r="BW99" s="172">
        <f ca="1">(VLOOKUP(BW$72,INDIRECT($C$5&amp;"生成成长"),2))/((VLOOKUP($B99,INDIRECT($B$5&amp;"生成成长"),4))/(VLOOKUP(BW$72,INDIRECT($C$5&amp;"生成成长"),5))*(VLOOKUP($B$5,标准坦克设计!$B$24:$U$30,MATCH("对"&amp;LEFT($C$5,2)&amp;"输出",标准坦克设计!$B$23:$U$23,0)))*(VLOOKUP($B99,INDIRECT($B$5&amp;"生成成长"),3))*(VLOOKUP($B$5,标准坦克设计!$B$14:$K$20,9)/30))</f>
        <v>5.5771796836079259</v>
      </c>
      <c r="BX99" s="172">
        <f ca="1">(VLOOKUP(BX$72,INDIRECT($C$5&amp;"生成成长"),2))/((VLOOKUP($B99,INDIRECT($B$5&amp;"生成成长"),4))/(VLOOKUP(BX$72,INDIRECT($C$5&amp;"生成成长"),5))*(VLOOKUP($B$5,标准坦克设计!$B$24:$U$30,MATCH("对"&amp;LEFT($C$5,2)&amp;"输出",标准坦克设计!$B$23:$U$23,0)))*(VLOOKUP($B99,INDIRECT($B$5&amp;"生成成长"),3))*(VLOOKUP($B$5,标准坦克设计!$B$14:$K$20,9)/30))</f>
        <v>6.1896184146283852</v>
      </c>
      <c r="BY99" s="172">
        <f ca="1">(VLOOKUP(BY$72,INDIRECT($C$5&amp;"生成成长"),2))/((VLOOKUP($B99,INDIRECT($B$5&amp;"生成成长"),4))/(VLOOKUP(BY$72,INDIRECT($C$5&amp;"生成成长"),5))*(VLOOKUP($B$5,标准坦克设计!$B$24:$U$30,MATCH("对"&amp;LEFT($C$5,2)&amp;"输出",标准坦克设计!$B$23:$U$23,0)))*(VLOOKUP($B99,INDIRECT($B$5&amp;"生成成长"),3))*(VLOOKUP($B$5,标准坦克设计!$B$14:$K$20,9)/30))</f>
        <v>6.833954996222829</v>
      </c>
      <c r="BZ99" s="172">
        <f ca="1">(VLOOKUP(BZ$72,INDIRECT($C$5&amp;"生成成长"),2))/((VLOOKUP($B99,INDIRECT($B$5&amp;"生成成长"),4))/(VLOOKUP(BZ$72,INDIRECT($C$5&amp;"生成成长"),5))*(VLOOKUP($B$5,标准坦克设计!$B$24:$U$30,MATCH("对"&amp;LEFT($C$5,2)&amp;"输出",标准坦克设计!$B$23:$U$23,0)))*(VLOOKUP($B99,INDIRECT($B$5&amp;"生成成长"),3))*(VLOOKUP($B$5,标准坦克设计!$B$14:$K$20,9)/30))</f>
        <v>7.5101894283912509</v>
      </c>
      <c r="CA99" s="172">
        <f ca="1">(VLOOKUP(CA$72,INDIRECT($C$5&amp;"生成成长"),2))/((VLOOKUP($B99,INDIRECT($B$5&amp;"生成成长"),4))/(VLOOKUP(CA$72,INDIRECT($C$5&amp;"生成成长"),5))*(VLOOKUP($B$5,标准坦克设计!$B$24:$U$30,MATCH("对"&amp;LEFT($C$5,2)&amp;"输出",标准坦克设计!$B$23:$U$23,0)))*(VLOOKUP($B99,INDIRECT($B$5&amp;"生成成长"),3))*(VLOOKUP($B$5,标准坦克设计!$B$14:$K$20,9)/30))</f>
        <v>8.2183217111336564</v>
      </c>
      <c r="CB99" s="172">
        <f ca="1">(VLOOKUP(CB$72,INDIRECT($C$5&amp;"生成成长"),2))/((VLOOKUP($B99,INDIRECT($B$5&amp;"生成成长"),4))/(VLOOKUP(CB$72,INDIRECT($C$5&amp;"生成成长"),5))*(VLOOKUP($B$5,标准坦克设计!$B$24:$U$30,MATCH("对"&amp;LEFT($C$5,2)&amp;"输出",标准坦克设计!$B$23:$U$23,0)))*(VLOOKUP($B99,INDIRECT($B$5&amp;"生成成长"),3))*(VLOOKUP($B$5,标准坦克设计!$B$14:$K$20,9)/30))</f>
        <v>8.9583518444500445</v>
      </c>
      <c r="CC99" s="172">
        <f ca="1">(VLOOKUP(CC$72,INDIRECT($C$5&amp;"生成成长"),2))/((VLOOKUP($B99,INDIRECT($B$5&amp;"生成成长"),4))/(VLOOKUP(CC$72,INDIRECT($C$5&amp;"生成成长"),5))*(VLOOKUP($B$5,标准坦克设计!$B$24:$U$30,MATCH("对"&amp;LEFT($C$5,2)&amp;"输出",标准坦克设计!$B$23:$U$23,0)))*(VLOOKUP($B99,INDIRECT($B$5&amp;"生成成长"),3))*(VLOOKUP($B$5,标准坦克设计!$B$14:$K$20,9)/30))</f>
        <v>9.7302798283404144</v>
      </c>
      <c r="CD99" s="172">
        <f ca="1">(VLOOKUP(CD$72,INDIRECT($C$5&amp;"生成成长"),2))/((VLOOKUP($B99,INDIRECT($B$5&amp;"生成成长"),4))/(VLOOKUP(CD$72,INDIRECT($C$5&amp;"生成成长"),5))*(VLOOKUP($B$5,标准坦克设计!$B$24:$U$30,MATCH("对"&amp;LEFT($C$5,2)&amp;"输出",标准坦克设计!$B$23:$U$23,0)))*(VLOOKUP($B99,INDIRECT($B$5&amp;"生成成长"),3))*(VLOOKUP($B$5,标准坦克设计!$B$14:$K$20,9)/30))</f>
        <v>10.534105662804768</v>
      </c>
      <c r="CE99" s="172">
        <f ca="1">(VLOOKUP(CE$72,INDIRECT($C$5&amp;"生成成长"),2))/((VLOOKUP($B99,INDIRECT($B$5&amp;"生成成长"),4))/(VLOOKUP(CE$72,INDIRECT($C$5&amp;"生成成长"),5))*(VLOOKUP($B$5,标准坦克设计!$B$24:$U$30,MATCH("对"&amp;LEFT($C$5,2)&amp;"输出",标准坦克设计!$B$23:$U$23,0)))*(VLOOKUP($B99,INDIRECT($B$5&amp;"生成成长"),3))*(VLOOKUP($B$5,标准坦克设计!$B$14:$K$20,9)/30))</f>
        <v>11.369829347843103</v>
      </c>
      <c r="CF99" s="172">
        <f ca="1">(VLOOKUP(CF$72,INDIRECT($C$5&amp;"生成成长"),2))/((VLOOKUP($B99,INDIRECT($B$5&amp;"生成成长"),4))/(VLOOKUP(CF$72,INDIRECT($C$5&amp;"生成成长"),5))*(VLOOKUP($B$5,标准坦克设计!$B$24:$U$30,MATCH("对"&amp;LEFT($C$5,2)&amp;"输出",标准坦克设计!$B$23:$U$23,0)))*(VLOOKUP($B99,INDIRECT($B$5&amp;"生成成长"),3))*(VLOOKUP($B$5,标准坦克设计!$B$14:$K$20,9)/30))</f>
        <v>12.23745088345542</v>
      </c>
      <c r="CG99" s="172">
        <f ca="1">(VLOOKUP(CG$72,INDIRECT($C$5&amp;"生成成长"),2))/((VLOOKUP($B99,INDIRECT($B$5&amp;"生成成长"),4))/(VLOOKUP(CG$72,INDIRECT($C$5&amp;"生成成长"),5))*(VLOOKUP($B$5,标准坦克设计!$B$24:$U$30,MATCH("对"&amp;LEFT($C$5,2)&amp;"输出",标准坦克设计!$B$23:$U$23,0)))*(VLOOKUP($B99,INDIRECT($B$5&amp;"生成成长"),3))*(VLOOKUP($B$5,标准坦克设计!$B$14:$K$20,9)/30))</f>
        <v>13.13697026964172</v>
      </c>
      <c r="CH99" s="172">
        <f ca="1">(VLOOKUP(CH$72,INDIRECT($C$5&amp;"生成成长"),2))/((VLOOKUP($B99,INDIRECT($B$5&amp;"生成成长"),4))/(VLOOKUP(CH$72,INDIRECT($C$5&amp;"生成成长"),5))*(VLOOKUP($B$5,标准坦克设计!$B$24:$U$30,MATCH("对"&amp;LEFT($C$5,2)&amp;"输出",标准坦克设计!$B$23:$U$23,0)))*(VLOOKUP($B99,INDIRECT($B$5&amp;"生成成长"),3))*(VLOOKUP($B$5,标准坦克设计!$B$14:$K$20,9)/30))</f>
        <v>14.068387506402001</v>
      </c>
      <c r="CI99" s="172">
        <f ca="1">(VLOOKUP(CI$72,INDIRECT($C$5&amp;"生成成长"),2))/((VLOOKUP($B99,INDIRECT($B$5&amp;"生成成长"),4))/(VLOOKUP(CI$72,INDIRECT($C$5&amp;"生成成长"),5))*(VLOOKUP($B$5,标准坦克设计!$B$24:$U$30,MATCH("对"&amp;LEFT($C$5,2)&amp;"输出",标准坦克设计!$B$23:$U$23,0)))*(VLOOKUP($B99,INDIRECT($B$5&amp;"生成成长"),3))*(VLOOKUP($B$5,标准坦克设计!$B$14:$K$20,9)/30))</f>
        <v>15.129788484251261</v>
      </c>
      <c r="CJ99" s="172">
        <f ca="1">(VLOOKUP(CJ$72,INDIRECT($C$5&amp;"生成成长"),2))/((VLOOKUP($B99,INDIRECT($B$5&amp;"生成成长"),4))/(VLOOKUP(CJ$72,INDIRECT($C$5&amp;"生成成长"),5))*(VLOOKUP($B$5,标准坦克设计!$B$24:$U$30,MATCH("对"&amp;LEFT($C$5,2)&amp;"输出",标准坦克设计!$B$23:$U$23,0)))*(VLOOKUP($B99,INDIRECT($B$5&amp;"生成成长"),3))*(VLOOKUP($B$5,标准坦克设计!$B$14:$K$20,9)/30))</f>
        <v>16.229785861295039</v>
      </c>
      <c r="CK99" s="172">
        <f ca="1">(VLOOKUP(CK$72,INDIRECT($C$5&amp;"生成成长"),2))/((VLOOKUP($B99,INDIRECT($B$5&amp;"生成成长"),4))/(VLOOKUP(CK$72,INDIRECT($C$5&amp;"生成成长"),5))*(VLOOKUP($B$5,标准坦克设计!$B$24:$U$30,MATCH("对"&amp;LEFT($C$5,2)&amp;"输出",标准坦克设计!$B$23:$U$23,0)))*(VLOOKUP($B99,INDIRECT($B$5&amp;"生成成长"),3))*(VLOOKUP($B$5,标准坦克设计!$B$14:$K$20,9)/30))</f>
        <v>17.368379637533334</v>
      </c>
      <c r="CL99" s="172">
        <f ca="1">(VLOOKUP(CL$72,INDIRECT($C$5&amp;"生成成长"),2))/((VLOOKUP($B99,INDIRECT($B$5&amp;"生成成长"),4))/(VLOOKUP(CL$72,INDIRECT($C$5&amp;"生成成长"),5))*(VLOOKUP($B$5,标准坦克设计!$B$24:$U$30,MATCH("对"&amp;LEFT($C$5,2)&amp;"输出",标准坦克设计!$B$23:$U$23,0)))*(VLOOKUP($B99,INDIRECT($B$5&amp;"生成成长"),3))*(VLOOKUP($B$5,标准坦克设计!$B$14:$K$20,9)/30))</f>
        <v>18.54556981296615</v>
      </c>
      <c r="CM99" s="172">
        <f ca="1">(VLOOKUP(CM$72,INDIRECT($C$5&amp;"生成成长"),2))/((VLOOKUP($B99,INDIRECT($B$5&amp;"生成成长"),4))/(VLOOKUP(CM$72,INDIRECT($C$5&amp;"生成成长"),5))*(VLOOKUP($B$5,标准坦克设计!$B$24:$U$30,MATCH("对"&amp;LEFT($C$5,2)&amp;"输出",标准坦克设计!$B$23:$U$23,0)))*(VLOOKUP($B99,INDIRECT($B$5&amp;"生成成长"),3))*(VLOOKUP($B$5,标准坦克设计!$B$14:$K$20,9)/30))</f>
        <v>19.76135638759348</v>
      </c>
      <c r="CN99" s="172">
        <f ca="1">(VLOOKUP(CN$72,INDIRECT($C$5&amp;"生成成长"),2))/((VLOOKUP($B99,INDIRECT($B$5&amp;"生成成长"),4))/(VLOOKUP(CN$72,INDIRECT($C$5&amp;"生成成长"),5))*(VLOOKUP($B$5,标准坦克设计!$B$24:$U$30,MATCH("对"&amp;LEFT($C$5,2)&amp;"输出",标准坦克设计!$B$23:$U$23,0)))*(VLOOKUP($B99,INDIRECT($B$5&amp;"生成成长"),3))*(VLOOKUP($B$5,标准坦克设计!$B$14:$K$20,9)/30))</f>
        <v>21.015739361415331</v>
      </c>
      <c r="CO99" s="172">
        <f ca="1">(VLOOKUP(CO$72,INDIRECT($C$5&amp;"生成成长"),2))/((VLOOKUP($B99,INDIRECT($B$5&amp;"生成成长"),4))/(VLOOKUP(CO$72,INDIRECT($C$5&amp;"生成成长"),5))*(VLOOKUP($B$5,标准坦克设计!$B$24:$U$30,MATCH("对"&amp;LEFT($C$5,2)&amp;"输出",标准坦克设计!$B$23:$U$23,0)))*(VLOOKUP($B99,INDIRECT($B$5&amp;"生成成长"),3))*(VLOOKUP($B$5,标准坦克设计!$B$14:$K$20,9)/30))</f>
        <v>9.4176808927153903</v>
      </c>
      <c r="CP99" s="172">
        <f ca="1">(VLOOKUP(CP$72,INDIRECT($C$5&amp;"生成成长"),2))/((VLOOKUP($B99,INDIRECT($B$5&amp;"生成成长"),4))/(VLOOKUP(CP$72,INDIRECT($C$5&amp;"生成成长"),5))*(VLOOKUP($B$5,标准坦克设计!$B$24:$U$30,MATCH("对"&amp;LEFT($C$5,2)&amp;"输出",标准坦克设计!$B$23:$U$23,0)))*(VLOOKUP($B99,INDIRECT($B$5&amp;"生成成长"),3))*(VLOOKUP($B$5,标准坦克设计!$B$14:$K$20,9)/30))</f>
        <v>10.289608638155194</v>
      </c>
      <c r="CQ99" s="172">
        <f ca="1">(VLOOKUP(CQ$72,INDIRECT($C$5&amp;"生成成长"),2))/((VLOOKUP($B99,INDIRECT($B$5&amp;"生成成长"),4))/(VLOOKUP(CQ$72,INDIRECT($C$5&amp;"生成成长"),5))*(VLOOKUP($B$5,标准坦克设计!$B$24:$U$30,MATCH("对"&amp;LEFT($C$5,2)&amp;"输出",标准坦克设计!$B$23:$U$23,0)))*(VLOOKUP($B99,INDIRECT($B$5&amp;"生成成长"),3))*(VLOOKUP($B$5,标准坦克设计!$B$14:$K$20,9)/30))</f>
        <v>11.200132782789517</v>
      </c>
      <c r="CR99" s="172">
        <f ca="1">(VLOOKUP(CR$72,INDIRECT($C$5&amp;"生成成长"),2))/((VLOOKUP($B99,INDIRECT($B$5&amp;"生成成长"),4))/(VLOOKUP(CR$72,INDIRECT($C$5&amp;"生成成长"),5))*(VLOOKUP($B$5,标准坦克设计!$B$24:$U$30,MATCH("对"&amp;LEFT($C$5,2)&amp;"输出",标准坦克设计!$B$23:$U$23,0)))*(VLOOKUP($B99,INDIRECT($B$5&amp;"生成成长"),3))*(VLOOKUP($B$5,标准坦克设计!$B$14:$K$20,9)/30))</f>
        <v>12.149253326618361</v>
      </c>
      <c r="CS99" s="172">
        <f ca="1">(VLOOKUP(CS$72,INDIRECT($C$5&amp;"生成成长"),2))/((VLOOKUP($B99,INDIRECT($B$5&amp;"生成成长"),4))/(VLOOKUP(CS$72,INDIRECT($C$5&amp;"生成成长"),5))*(VLOOKUP($B$5,标准坦克设计!$B$24:$U$30,MATCH("对"&amp;LEFT($C$5,2)&amp;"输出",标准坦克设计!$B$23:$U$23,0)))*(VLOOKUP($B99,INDIRECT($B$5&amp;"生成成长"),3))*(VLOOKUP($B$5,标准坦克设计!$B$14:$K$20,9)/30))</f>
        <v>13.13697026964172</v>
      </c>
      <c r="CT99" s="172">
        <f ca="1">(VLOOKUP(CT$72,INDIRECT($C$5&amp;"生成成长"),2))/((VLOOKUP($B99,INDIRECT($B$5&amp;"生成成长"),4))/(VLOOKUP(CT$72,INDIRECT($C$5&amp;"生成成长"),5))*(VLOOKUP($B$5,标准坦克设计!$B$24:$U$30,MATCH("对"&amp;LEFT($C$5,2)&amp;"输出",标准坦克设计!$B$23:$U$23,0)))*(VLOOKUP($B99,INDIRECT($B$5&amp;"生成成长"),3))*(VLOOKUP($B$5,标准坦克设计!$B$14:$K$20,9)/30))</f>
        <v>14.163283611859597</v>
      </c>
      <c r="CU99" s="172">
        <f ca="1">(VLOOKUP(CU$72,INDIRECT($C$5&amp;"生成成长"),2))/((VLOOKUP($B99,INDIRECT($B$5&amp;"生成成长"),4))/(VLOOKUP(CU$72,INDIRECT($C$5&amp;"生成成长"),5))*(VLOOKUP($B$5,标准坦克设计!$B$24:$U$30,MATCH("对"&amp;LEFT($C$5,2)&amp;"输出",标准坦克设计!$B$23:$U$23,0)))*(VLOOKUP($B99,INDIRECT($B$5&amp;"生成成长"),3))*(VLOOKUP($B$5,标准坦克设计!$B$14:$K$20,9)/30))</f>
        <v>15.228193353271994</v>
      </c>
      <c r="CV99" s="172">
        <f ca="1">(VLOOKUP(CV$72,INDIRECT($C$5&amp;"生成成长"),2))/((VLOOKUP($B99,INDIRECT($B$5&amp;"生成成长"),4))/(VLOOKUP(CV$72,INDIRECT($C$5&amp;"生成成长"),5))*(VLOOKUP($B$5,标准坦克设计!$B$24:$U$30,MATCH("对"&amp;LEFT($C$5,2)&amp;"输出",标准坦克设计!$B$23:$U$23,0)))*(VLOOKUP($B99,INDIRECT($B$5&amp;"生成成长"),3))*(VLOOKUP($B$5,标准坦克设计!$B$14:$K$20,9)/30))</f>
        <v>16.331699493878912</v>
      </c>
      <c r="CW99" s="172">
        <f ca="1">(VLOOKUP(CW$72,INDIRECT($C$5&amp;"生成成长"),2))/((VLOOKUP($B99,INDIRECT($B$5&amp;"生成成长"),4))/(VLOOKUP(CW$72,INDIRECT($C$5&amp;"生成成长"),5))*(VLOOKUP($B$5,标准坦克设计!$B$24:$U$30,MATCH("对"&amp;LEFT($C$5,2)&amp;"输出",标准坦克设计!$B$23:$U$23,0)))*(VLOOKUP($B99,INDIRECT($B$5&amp;"生成成长"),3))*(VLOOKUP($B$5,标准坦克设计!$B$14:$K$20,9)/30))</f>
        <v>17.473802033680347</v>
      </c>
      <c r="CX99" s="172">
        <f ca="1">(VLOOKUP(CX$72,INDIRECT($C$5&amp;"生成成长"),2))/((VLOOKUP($B99,INDIRECT($B$5&amp;"生成成长"),4))/(VLOOKUP(CX$72,INDIRECT($C$5&amp;"生成成长"),5))*(VLOOKUP($B$5,标准坦克设计!$B$24:$U$30,MATCH("对"&amp;LEFT($C$5,2)&amp;"输出",标准坦克设计!$B$23:$U$23,0)))*(VLOOKUP($B99,INDIRECT($B$5&amp;"生成成长"),3))*(VLOOKUP($B$5,标准坦克设计!$B$14:$K$20,9)/30))</f>
        <v>18.654500972676299</v>
      </c>
      <c r="CY99" s="172">
        <f ca="1">(VLOOKUP(CY$72,INDIRECT($C$5&amp;"生成成长"),2))/((VLOOKUP($B99,INDIRECT($B$5&amp;"生成成长"),4))/(VLOOKUP(CY$72,INDIRECT($C$5&amp;"生成成长"),5))*(VLOOKUP($B$5,标准坦克设计!$B$24:$U$30,MATCH("对"&amp;LEFT($C$5,2)&amp;"输出",标准坦克设计!$B$23:$U$23,0)))*(VLOOKUP($B99,INDIRECT($B$5&amp;"生成成长"),3))*(VLOOKUP($B$5,标准坦克设计!$B$14:$K$20,9)/30))</f>
        <v>19.873796310866773</v>
      </c>
      <c r="CZ99" s="172">
        <f ca="1">(VLOOKUP(CZ$72,INDIRECT($C$5&amp;"生成成长"),2))/((VLOOKUP($B99,INDIRECT($B$5&amp;"生成成长"),4))/(VLOOKUP(CZ$72,INDIRECT($C$5&amp;"生成成长"),5))*(VLOOKUP($B$5,标准坦克设计!$B$24:$U$30,MATCH("对"&amp;LEFT($C$5,2)&amp;"输出",标准坦克设计!$B$23:$U$23,0)))*(VLOOKUP($B99,INDIRECT($B$5&amp;"生成成长"),3))*(VLOOKUP($B$5,标准坦克设计!$B$14:$K$20,9)/30))</f>
        <v>21.13168804825176</v>
      </c>
      <c r="DA99" s="172">
        <f ca="1">(VLOOKUP(DA$72,INDIRECT($C$5&amp;"生成成长"),2))/((VLOOKUP($B99,INDIRECT($B$5&amp;"生成成长"),4))/(VLOOKUP(DA$72,INDIRECT($C$5&amp;"生成成长"),5))*(VLOOKUP($B$5,标准坦克设计!$B$24:$U$30,MATCH("对"&amp;LEFT($C$5,2)&amp;"输出",标准坦克设计!$B$23:$U$23,0)))*(VLOOKUP($B99,INDIRECT($B$5&amp;"生成成长"),3))*(VLOOKUP($B$5,标准坦克设计!$B$14:$K$20,9)/30))</f>
        <v>22.428176184831273</v>
      </c>
      <c r="DB99" s="172">
        <f ca="1">(VLOOKUP(DB$72,INDIRECT($C$5&amp;"生成成长"),2))/((VLOOKUP($B99,INDIRECT($B$5&amp;"生成成长"),4))/(VLOOKUP(DB$72,INDIRECT($C$5&amp;"生成成长"),5))*(VLOOKUP($B$5,标准坦克设计!$B$24:$U$30,MATCH("对"&amp;LEFT($C$5,2)&amp;"输出",标准坦克设计!$B$23:$U$23,0)))*(VLOOKUP($B99,INDIRECT($B$5&amp;"生成成长"),3))*(VLOOKUP($B$5,标准坦克设计!$B$14:$K$20,9)/30))</f>
        <v>23.763260720605295</v>
      </c>
      <c r="DC99" s="172">
        <f ca="1">(VLOOKUP(DC$72,INDIRECT($C$5&amp;"生成成长"),2))/((VLOOKUP($B99,INDIRECT($B$5&amp;"生成成长"),4))/(VLOOKUP(DC$72,INDIRECT($C$5&amp;"生成成长"),5))*(VLOOKUP($B$5,标准坦克设计!$B$24:$U$30,MATCH("对"&amp;LEFT($C$5,2)&amp;"输出",标准坦克设计!$B$23:$U$23,0)))*(VLOOKUP($B99,INDIRECT($B$5&amp;"生成成长"),3))*(VLOOKUP($B$5,标准坦克设计!$B$14:$K$20,9)/30))</f>
        <v>25.263735611605419</v>
      </c>
      <c r="DD99" s="172">
        <f ca="1">(VLOOKUP(DD$72,INDIRECT($C$5&amp;"生成成长"),2))/((VLOOKUP($B99,INDIRECT($B$5&amp;"生成成长"),4))/(VLOOKUP(DD$72,INDIRECT($C$5&amp;"生成成长"),5))*(VLOOKUP($B$5,标准坦克设计!$B$24:$U$30,MATCH("对"&amp;LEFT($C$5,2)&amp;"输出",标准坦克设计!$B$23:$U$23,0)))*(VLOOKUP($B99,INDIRECT($B$5&amp;"生成成长"),3))*(VLOOKUP($B$5,标准坦克设计!$B$14:$K$20,9)/30))</f>
        <v>26.810143407432083</v>
      </c>
      <c r="DE99" s="172">
        <f ca="1">(VLOOKUP(DE$72,INDIRECT($C$5&amp;"生成成长"),2))/((VLOOKUP($B99,INDIRECT($B$5&amp;"生成成长"),4))/(VLOOKUP(DE$72,INDIRECT($C$5&amp;"生成成长"),5))*(VLOOKUP($B$5,标准坦克设计!$B$24:$U$30,MATCH("对"&amp;LEFT($C$5,2)&amp;"输出",标准坦克设计!$B$23:$U$23,0)))*(VLOOKUP($B99,INDIRECT($B$5&amp;"生成成长"),3))*(VLOOKUP($B$5,标准坦克设计!$B$14:$K$20,9)/30))</f>
        <v>28.402484108085279</v>
      </c>
      <c r="DF99" s="172">
        <f ca="1">(VLOOKUP(DF$72,INDIRECT($C$5&amp;"生成成长"),2))/((VLOOKUP($B99,INDIRECT($B$5&amp;"生成成长"),4))/(VLOOKUP(DF$72,INDIRECT($C$5&amp;"生成成长"),5))*(VLOOKUP($B$5,标准坦克设计!$B$24:$U$30,MATCH("对"&amp;LEFT($C$5,2)&amp;"输出",标准坦克设计!$B$23:$U$23,0)))*(VLOOKUP($B99,INDIRECT($B$5&amp;"生成成长"),3))*(VLOOKUP($B$5,标准坦克设计!$B$14:$K$20,9)/30))</f>
        <v>30.040757713565004</v>
      </c>
      <c r="DG99" s="172">
        <f ca="1">(VLOOKUP(DG$72,INDIRECT($C$5&amp;"生成成长"),2))/((VLOOKUP($B99,INDIRECT($B$5&amp;"生成成长"),4))/(VLOOKUP(DG$72,INDIRECT($C$5&amp;"生成成长"),5))*(VLOOKUP($B$5,标准坦克设计!$B$24:$U$30,MATCH("对"&amp;LEFT($C$5,2)&amp;"输出",标准坦克设计!$B$23:$U$23,0)))*(VLOOKUP($B99,INDIRECT($B$5&amp;"生成成长"),3))*(VLOOKUP($B$5,标准坦克设计!$B$14:$K$20,9)/30))</f>
        <v>31.724964223871268</v>
      </c>
      <c r="DH99" s="172">
        <f ca="1">(VLOOKUP(DH$72,INDIRECT($C$5&amp;"生成成长"),2))/((VLOOKUP($B99,INDIRECT($B$5&amp;"生成成长"),4))/(VLOOKUP(DH$72,INDIRECT($C$5&amp;"生成成长"),5))*(VLOOKUP($B$5,标准坦克设计!$B$24:$U$30,MATCH("对"&amp;LEFT($C$5,2)&amp;"输出",标准坦克设计!$B$23:$U$23,0)))*(VLOOKUP($B99,INDIRECT($B$5&amp;"生成成长"),3))*(VLOOKUP($B$5,标准坦克设计!$B$14:$K$20,9)/30))</f>
        <v>33.455103639004058</v>
      </c>
      <c r="DI99" s="172">
        <f ca="1">(VLOOKUP(DI$72,INDIRECT($C$5&amp;"生成成长"),2))/((VLOOKUP($B99,INDIRECT($B$5&amp;"生成成长"),4))/(VLOOKUP(DI$72,INDIRECT($C$5&amp;"生成成长"),5))*(VLOOKUP($B$5,标准坦克设计!$B$24:$U$30,MATCH("对"&amp;LEFT($C$5,2)&amp;"输出",标准坦克设计!$B$23:$U$23,0)))*(VLOOKUP($B99,INDIRECT($B$5&amp;"生成成长"),3))*(VLOOKUP($B$5,标准坦克设计!$B$14:$K$20,9)/30))</f>
        <v>35.231175958963398</v>
      </c>
      <c r="DJ99" s="172">
        <f ca="1">(VLOOKUP(DJ$72,INDIRECT($C$5&amp;"生成成长"),2))/((VLOOKUP($B99,INDIRECT($B$5&amp;"生成成长"),4))/(VLOOKUP(DJ$72,INDIRECT($C$5&amp;"生成成长"),5))*(VLOOKUP($B$5,标准坦克设计!$B$24:$U$30,MATCH("对"&amp;LEFT($C$5,2)&amp;"输出",标准坦克设计!$B$23:$U$23,0)))*(VLOOKUP($B99,INDIRECT($B$5&amp;"生成成长"),3))*(VLOOKUP($B$5,标准坦克设计!$B$14:$K$20,9)/30))</f>
        <v>3.5408209029648994</v>
      </c>
      <c r="DK99" s="172">
        <f ca="1">(VLOOKUP(DK$72,INDIRECT($C$5&amp;"生成成长"),2))/((VLOOKUP($B99,INDIRECT($B$5&amp;"生成成长"),4))/(VLOOKUP(DK$72,INDIRECT($C$5&amp;"生成成长"),5))*(VLOOKUP($B$5,标准坦克设计!$B$24:$U$30,MATCH("对"&amp;LEFT($C$5,2)&amp;"输出",标准坦克设计!$B$23:$U$23,0)))*(VLOOKUP($B99,INDIRECT($B$5&amp;"生成成长"),3))*(VLOOKUP($B$5,标准坦克设计!$B$14:$K$20,9)/30))</f>
        <v>3.9814897086444643</v>
      </c>
      <c r="DL99" s="172">
        <f ca="1">(VLOOKUP(DL$72,INDIRECT($C$5&amp;"生成成长"),2))/((VLOOKUP($B99,INDIRECT($B$5&amp;"生成成长"),4))/(VLOOKUP(DL$72,INDIRECT($C$5&amp;"生成成长"),5))*(VLOOKUP($B$5,标准坦克设计!$B$24:$U$30,MATCH("对"&amp;LEFT($C$5,2)&amp;"输出",标准坦克设计!$B$23:$U$23,0)))*(VLOOKUP($B99,INDIRECT($B$5&amp;"生成成长"),3))*(VLOOKUP($B$5,标准坦克设计!$B$14:$K$20,9)/30))</f>
        <v>4.4479957732889552</v>
      </c>
      <c r="DM99" s="172">
        <f ca="1">(VLOOKUP(DM$72,INDIRECT($C$5&amp;"生成成长"),2))/((VLOOKUP($B99,INDIRECT($B$5&amp;"生成成长"),4))/(VLOOKUP(DM$72,INDIRECT($C$5&amp;"生成成长"),5))*(VLOOKUP($B$5,标准坦克设计!$B$24:$U$30,MATCH("对"&amp;LEFT($C$5,2)&amp;"输出",标准坦克设计!$B$23:$U$23,0)))*(VLOOKUP($B99,INDIRECT($B$5&amp;"生成成长"),3))*(VLOOKUP($B$5,标准坦克设计!$B$14:$K$20,9)/30))</f>
        <v>4.94033909689837</v>
      </c>
      <c r="DN99" s="172">
        <f ca="1">(VLOOKUP(DN$72,INDIRECT($C$5&amp;"生成成长"),2))/((VLOOKUP($B99,INDIRECT($B$5&amp;"生成成长"),4))/(VLOOKUP(DN$72,INDIRECT($C$5&amp;"生成成长"),5))*(VLOOKUP($B$5,标准坦克设计!$B$24:$U$30,MATCH("对"&amp;LEFT($C$5,2)&amp;"输出",标准坦克设计!$B$23:$U$23,0)))*(VLOOKUP($B99,INDIRECT($B$5&amp;"生成成长"),3))*(VLOOKUP($B$5,标准坦克设计!$B$14:$K$20,9)/30))</f>
        <v>5.4585196794727127</v>
      </c>
      <c r="DO99" s="172">
        <f ca="1">(VLOOKUP(DO$72,INDIRECT($C$5&amp;"生成成长"),2))/((VLOOKUP($B99,INDIRECT($B$5&amp;"生成成长"),4))/(VLOOKUP(DO$72,INDIRECT($C$5&amp;"生成成长"),5))*(VLOOKUP($B$5,标准坦克设计!$B$24:$U$30,MATCH("对"&amp;LEFT($C$5,2)&amp;"输出",标准坦克设计!$B$23:$U$23,0)))*(VLOOKUP($B99,INDIRECT($B$5&amp;"生成成长"),3))*(VLOOKUP($B$5,标准坦克设计!$B$14:$K$20,9)/30))</f>
        <v>6.0025375210119796</v>
      </c>
      <c r="DP99" s="172">
        <f ca="1">(VLOOKUP(DP$72,INDIRECT($C$5&amp;"生成成长"),2))/((VLOOKUP($B99,INDIRECT($B$5&amp;"生成成长"),4))/(VLOOKUP(DP$72,INDIRECT($C$5&amp;"生成成长"),5))*(VLOOKUP($B$5,标准坦克设计!$B$24:$U$30,MATCH("对"&amp;LEFT($C$5,2)&amp;"输出",标准坦克设计!$B$23:$U$23,0)))*(VLOOKUP($B99,INDIRECT($B$5&amp;"生成成长"),3))*(VLOOKUP($B$5,标准坦克设计!$B$14:$K$20,9)/30))</f>
        <v>6.5723926215161725</v>
      </c>
      <c r="DQ99" s="172">
        <f ca="1">(VLOOKUP(DQ$72,INDIRECT($C$5&amp;"生成成长"),2))/((VLOOKUP($B99,INDIRECT($B$5&amp;"生成成长"),4))/(VLOOKUP(DQ$72,INDIRECT($C$5&amp;"生成成长"),5))*(VLOOKUP($B$5,标准坦克设计!$B$24:$U$30,MATCH("对"&amp;LEFT($C$5,2)&amp;"输出",标准坦克设计!$B$23:$U$23,0)))*(VLOOKUP($B99,INDIRECT($B$5&amp;"生成成长"),3))*(VLOOKUP($B$5,标准坦克设计!$B$14:$K$20,9)/30))</f>
        <v>7.1680849809852925</v>
      </c>
      <c r="DR99" s="172">
        <f ca="1">(VLOOKUP(DR$72,INDIRECT($C$5&amp;"生成成长"),2))/((VLOOKUP($B99,INDIRECT($B$5&amp;"生成成长"),4))/(VLOOKUP(DR$72,INDIRECT($C$5&amp;"生成成长"),5))*(VLOOKUP($B$5,标准坦克设计!$B$24:$U$30,MATCH("对"&amp;LEFT($C$5,2)&amp;"输出",标准坦克设计!$B$23:$U$23,0)))*(VLOOKUP($B99,INDIRECT($B$5&amp;"生成成长"),3))*(VLOOKUP($B$5,标准坦克设计!$B$14:$K$20,9)/30))</f>
        <v>7.789614599419334</v>
      </c>
      <c r="DS99" s="172">
        <f ca="1">(VLOOKUP(DS$72,INDIRECT($C$5&amp;"生成成长"),2))/((VLOOKUP($B99,INDIRECT($B$5&amp;"生成成长"),4))/(VLOOKUP(DS$72,INDIRECT($C$5&amp;"生成成长"),5))*(VLOOKUP($B$5,标准坦克设计!$B$24:$U$30,MATCH("对"&amp;LEFT($C$5,2)&amp;"输出",标准坦克设计!$B$23:$U$23,0)))*(VLOOKUP($B99,INDIRECT($B$5&amp;"生成成长"),3))*(VLOOKUP($B$5,标准坦克设计!$B$14:$K$20,9)/30))</f>
        <v>8.4369814768183051</v>
      </c>
      <c r="DT99" s="172">
        <f ca="1">(VLOOKUP(DT$72,INDIRECT($C$5&amp;"生成成长"),2))/((VLOOKUP($B99,INDIRECT($B$5&amp;"生成成长"),4))/(VLOOKUP(DT$72,INDIRECT($C$5&amp;"生成成长"),5))*(VLOOKUP($B$5,标准坦克设计!$B$24:$U$30,MATCH("对"&amp;LEFT($C$5,2)&amp;"输出",标准坦克设计!$B$23:$U$23,0)))*(VLOOKUP($B99,INDIRECT($B$5&amp;"生成成长"),3))*(VLOOKUP($B$5,标准坦克设计!$B$14:$K$20,9)/30))</f>
        <v>9.2632952959373149</v>
      </c>
      <c r="DU99" s="172">
        <f ca="1">(VLOOKUP(DU$72,INDIRECT($C$5&amp;"生成成长"),2))/((VLOOKUP($B99,INDIRECT($B$5&amp;"生成成长"),4))/(VLOOKUP(DU$72,INDIRECT($C$5&amp;"生成成长"),5))*(VLOOKUP($B$5,标准坦克设计!$B$24:$U$30,MATCH("对"&amp;LEFT($C$5,2)&amp;"输出",标准坦克设计!$B$23:$U$23,0)))*(VLOOKUP($B99,INDIRECT($B$5&amp;"生成成长"),3))*(VLOOKUP($B$5,标准坦克设计!$B$14:$K$20,9)/30))</f>
        <v>10.128205514250844</v>
      </c>
      <c r="DV99" s="172">
        <f ca="1">(VLOOKUP(DV$72,INDIRECT($C$5&amp;"生成成长"),2))/((VLOOKUP($B99,INDIRECT($B$5&amp;"生成成长"),4))/(VLOOKUP(DV$72,INDIRECT($C$5&amp;"生成成长"),5))*(VLOOKUP($B$5,标准坦克设计!$B$24:$U$30,MATCH("对"&amp;LEFT($C$5,2)&amp;"输出",标准坦克设计!$B$23:$U$23,0)))*(VLOOKUP($B99,INDIRECT($B$5&amp;"生成成长"),3))*(VLOOKUP($B$5,标准坦克设计!$B$14:$K$20,9)/30))</f>
        <v>11.031712131758891</v>
      </c>
      <c r="DW99" s="172">
        <f ca="1">(VLOOKUP(DW$72,INDIRECT($C$5&amp;"生成成长"),2))/((VLOOKUP($B99,INDIRECT($B$5&amp;"生成成长"),4))/(VLOOKUP(DW$72,INDIRECT($C$5&amp;"生成成长"),5))*(VLOOKUP($B$5,标准坦克设计!$B$24:$U$30,MATCH("对"&amp;LEFT($C$5,2)&amp;"输出",标准坦克设计!$B$23:$U$23,0)))*(VLOOKUP($B99,INDIRECT($B$5&amp;"生成成长"),3))*(VLOOKUP($B$5,标准坦克设计!$B$14:$K$20,9)/30))</f>
        <v>11.973815148461457</v>
      </c>
      <c r="DX99" s="172">
        <f ca="1">(VLOOKUP(DX$72,INDIRECT($C$5&amp;"生成成长"),2))/((VLOOKUP($B99,INDIRECT($B$5&amp;"生成成长"),4))/(VLOOKUP(DX$72,INDIRECT($C$5&amp;"生成成长"),5))*(VLOOKUP($B$5,标准坦克设计!$B$24:$U$30,MATCH("对"&amp;LEFT($C$5,2)&amp;"输出",标准坦克设计!$B$23:$U$23,0)))*(VLOOKUP($B99,INDIRECT($B$5&amp;"生成成长"),3))*(VLOOKUP($B$5,标准坦克设计!$B$14:$K$20,9)/30))</f>
        <v>12.954514564358542</v>
      </c>
      <c r="DY99" s="172">
        <f ca="1">(VLOOKUP(DY$72,INDIRECT($C$5&amp;"生成成长"),2))/((VLOOKUP($B99,INDIRECT($B$5&amp;"生成成长"),4))/(VLOOKUP(DY$72,INDIRECT($C$5&amp;"生成成长"),5))*(VLOOKUP($B$5,标准坦克设计!$B$24:$U$30,MATCH("对"&amp;LEFT($C$5,2)&amp;"输出",标准坦克设计!$B$23:$U$23,0)))*(VLOOKUP($B99,INDIRECT($B$5&amp;"生成成长"),3))*(VLOOKUP($B$5,标准坦克设计!$B$14:$K$20,9)/30))</f>
        <v>5.8183274339472328</v>
      </c>
      <c r="DZ99" s="172">
        <f ca="1">(VLOOKUP(DZ$72,INDIRECT($C$5&amp;"生成成长"),2))/((VLOOKUP($B99,INDIRECT($B$5&amp;"生成成长"),4))/(VLOOKUP(DZ$72,INDIRECT($C$5&amp;"生成成长"),5))*(VLOOKUP($B$5,标准坦克设计!$B$24:$U$30,MATCH("对"&amp;LEFT($C$5,2)&amp;"输出",标准坦克设计!$B$23:$U$23,0)))*(VLOOKUP($B99,INDIRECT($B$5&amp;"生成成长"),3))*(VLOOKUP($B$5,标准坦克设计!$B$14:$K$20,9)/30))</f>
        <v>6.4435253051972845</v>
      </c>
      <c r="EA99" s="172">
        <f ca="1">(VLOOKUP(EA$72,INDIRECT($C$5&amp;"生成成长"),2))/((VLOOKUP($B99,INDIRECT($B$5&amp;"生成成长"),4))/(VLOOKUP(EA$72,INDIRECT($C$5&amp;"生成成长"),5))*(VLOOKUP($B$5,标准坦克设计!$B$24:$U$30,MATCH("对"&amp;LEFT($C$5,2)&amp;"输出",标准坦克设计!$B$23:$U$23,0)))*(VLOOKUP($B99,INDIRECT($B$5&amp;"生成成长"),3))*(VLOOKUP($B$5,标准坦克设计!$B$14:$K$20,9)/30))</f>
        <v>7.1006210270213197</v>
      </c>
      <c r="EB99" s="172">
        <f ca="1">(VLOOKUP(EB$72,INDIRECT($C$5&amp;"生成成长"),2))/((VLOOKUP($B99,INDIRECT($B$5&amp;"生成成长"),4))/(VLOOKUP(EB$72,INDIRECT($C$5&amp;"生成成长"),5))*(VLOOKUP($B$5,标准坦克设计!$B$24:$U$30,MATCH("对"&amp;LEFT($C$5,2)&amp;"输出",标准坦克设计!$B$23:$U$23,0)))*(VLOOKUP($B99,INDIRECT($B$5&amp;"生成成长"),3))*(VLOOKUP($B$5,标准坦克设计!$B$14:$K$20,9)/30))</f>
        <v>7.789614599419334</v>
      </c>
      <c r="EC99" s="172">
        <f ca="1">(VLOOKUP(EC$72,INDIRECT($C$5&amp;"生成成长"),2))/((VLOOKUP($B99,INDIRECT($B$5&amp;"生成成长"),4))/(VLOOKUP(EC$72,INDIRECT($C$5&amp;"生成成长"),5))*(VLOOKUP($B$5,标准坦克设计!$B$24:$U$30,MATCH("对"&amp;LEFT($C$5,2)&amp;"输出",标准坦克设计!$B$23:$U$23,0)))*(VLOOKUP($B99,INDIRECT($B$5&amp;"生成成长"),3))*(VLOOKUP($B$5,标准坦克设计!$B$14:$K$20,9)/30))</f>
        <v>8.5105060223913345</v>
      </c>
      <c r="ED99" s="172">
        <f ca="1">(VLOOKUP(ED$72,INDIRECT($C$5&amp;"生成成长"),2))/((VLOOKUP($B99,INDIRECT($B$5&amp;"生成成长"),4))/(VLOOKUP(ED$72,INDIRECT($C$5&amp;"生成成长"),5))*(VLOOKUP($B$5,标准坦克设计!$B$24:$U$30,MATCH("对"&amp;LEFT($C$5,2)&amp;"输出",标准坦克设计!$B$23:$U$23,0)))*(VLOOKUP($B99,INDIRECT($B$5&amp;"生成成长"),3))*(VLOOKUP($B$5,标准坦克设计!$B$14:$K$20,9)/30))</f>
        <v>9.2632952959373149</v>
      </c>
      <c r="EE99" s="172">
        <f ca="1">(VLOOKUP(EE$72,INDIRECT($C$5&amp;"生成成长"),2))/((VLOOKUP($B99,INDIRECT($B$5&amp;"生成成长"),4))/(VLOOKUP(EE$72,INDIRECT($C$5&amp;"生成成长"),5))*(VLOOKUP($B$5,标准坦克设计!$B$24:$U$30,MATCH("对"&amp;LEFT($C$5,2)&amp;"输出",标准坦克设计!$B$23:$U$23,0)))*(VLOOKUP($B99,INDIRECT($B$5&amp;"生成成长"),3))*(VLOOKUP($B$5,标准坦克设计!$B$14:$K$20,9)/30))</f>
        <v>10.047982420057279</v>
      </c>
      <c r="EF99" s="172">
        <f ca="1">(VLOOKUP(EF$72,INDIRECT($C$5&amp;"生成成长"),2))/((VLOOKUP($B99,INDIRECT($B$5&amp;"生成成长"),4))/(VLOOKUP(EF$72,INDIRECT($C$5&amp;"生成成长"),5))*(VLOOKUP($B$5,标准坦克设计!$B$24:$U$30,MATCH("对"&amp;LEFT($C$5,2)&amp;"输出",标准坦克设计!$B$23:$U$23,0)))*(VLOOKUP($B99,INDIRECT($B$5&amp;"生成成长"),3))*(VLOOKUP($B$5,标准坦克设计!$B$14:$K$20,9)/30))</f>
        <v>10.864567394751225</v>
      </c>
      <c r="EG99" s="172">
        <f ca="1">(VLOOKUP(EG$72,INDIRECT($C$5&amp;"生成成长"),2))/((VLOOKUP($B99,INDIRECT($B$5&amp;"生成成长"),4))/(VLOOKUP(EG$72,INDIRECT($C$5&amp;"生成成长"),5))*(VLOOKUP($B$5,标准坦克设计!$B$24:$U$30,MATCH("对"&amp;LEFT($C$5,2)&amp;"输出",标准坦克设计!$B$23:$U$23,0)))*(VLOOKUP($B99,INDIRECT($B$5&amp;"生成成长"),3))*(VLOOKUP($B$5,标准坦克设计!$B$14:$K$20,9)/30))</f>
        <v>11.71305022001915</v>
      </c>
      <c r="EH99" s="172">
        <f ca="1">(VLOOKUP(EH$72,INDIRECT($C$5&amp;"生成成长"),2))/((VLOOKUP($B99,INDIRECT($B$5&amp;"生成成长"),4))/(VLOOKUP(EH$72,INDIRECT($C$5&amp;"生成成长"),5))*(VLOOKUP($B$5,标准坦克设计!$B$24:$U$30,MATCH("对"&amp;LEFT($C$5,2)&amp;"输出",标准坦克设计!$B$23:$U$23,0)))*(VLOOKUP($B99,INDIRECT($B$5&amp;"生成成长"),3))*(VLOOKUP($B$5,标准坦克设计!$B$14:$K$20,9)/30))</f>
        <v>12.593430895861063</v>
      </c>
      <c r="EI99" s="172">
        <f ca="1">(VLOOKUP(EI$72,INDIRECT($C$5&amp;"生成成长"),2))/((VLOOKUP($B99,INDIRECT($B$5&amp;"生成成长"),4))/(VLOOKUP(EI$72,INDIRECT($C$5&amp;"生成成长"),5))*(VLOOKUP($B$5,标准坦克设计!$B$24:$U$30,MATCH("对"&amp;LEFT($C$5,2)&amp;"输出",标准坦克设计!$B$23:$U$23,0)))*(VLOOKUP($B99,INDIRECT($B$5&amp;"生成成长"),3))*(VLOOKUP($B$5,标准坦克设计!$B$14:$K$20,9)/30))</f>
        <v>13.505709422276954</v>
      </c>
      <c r="EJ99" s="172">
        <f ca="1">(VLOOKUP(EJ$72,INDIRECT($C$5&amp;"生成成长"),2))/((VLOOKUP($B99,INDIRECT($B$5&amp;"生成成长"),4))/(VLOOKUP(EJ$72,INDIRECT($C$5&amp;"生成成长"),5))*(VLOOKUP($B$5,标准坦克设计!$B$24:$U$30,MATCH("对"&amp;LEFT($C$5,2)&amp;"输出",标准坦克设计!$B$23:$U$23,0)))*(VLOOKUP($B99,INDIRECT($B$5&amp;"生成成长"),3))*(VLOOKUP($B$5,标准坦克设计!$B$14:$K$20,9)/30))</f>
        <v>14.449885799266832</v>
      </c>
      <c r="EK99" s="172">
        <f ca="1">(VLOOKUP(EK$72,INDIRECT($C$5&amp;"生成成长"),2))/((VLOOKUP($B99,INDIRECT($B$5&amp;"生成成长"),4))/(VLOOKUP(EK$72,INDIRECT($C$5&amp;"生成成长"),5))*(VLOOKUP($B$5,标准坦克设计!$B$24:$U$30,MATCH("对"&amp;LEFT($C$5,2)&amp;"输出",标准坦克设计!$B$23:$U$23,0)))*(VLOOKUP($B99,INDIRECT($B$5&amp;"生成成长"),3))*(VLOOKUP($B$5,标准坦克设计!$B$14:$K$20,9)/30))</f>
        <v>15.625002614412333</v>
      </c>
      <c r="EL99" s="172">
        <f ca="1">(VLOOKUP(EL$72,INDIRECT($C$5&amp;"生成成长"),2))/((VLOOKUP($B99,INDIRECT($B$5&amp;"生成成长"),4))/(VLOOKUP(EL$72,INDIRECT($C$5&amp;"生成成长"),5))*(VLOOKUP($B$5,标准坦克设计!$B$24:$U$30,MATCH("对"&amp;LEFT($C$5,2)&amp;"输出",标准坦克设计!$B$23:$U$23,0)))*(VLOOKUP($B99,INDIRECT($B$5&amp;"生成成长"),3))*(VLOOKUP($B$5,标准坦克设计!$B$14:$K$20,9)/30))</f>
        <v>16.846052334384375</v>
      </c>
      <c r="EM99" s="172">
        <f ca="1">(VLOOKUP(EM$72,INDIRECT($C$5&amp;"生成成长"),2))/((VLOOKUP($B99,INDIRECT($B$5&amp;"生成成长"),4))/(VLOOKUP(EM$72,INDIRECT($C$5&amp;"生成成长"),5))*(VLOOKUP($B$5,标准坦克设计!$B$24:$U$30,MATCH("对"&amp;LEFT($C$5,2)&amp;"输出",标准坦克设计!$B$23:$U$23,0)))*(VLOOKUP($B99,INDIRECT($B$5&amp;"生成成长"),3))*(VLOOKUP($B$5,标准坦克设计!$B$14:$K$20,9)/30))</f>
        <v>18.113034959182951</v>
      </c>
      <c r="EN99" s="172">
        <f ca="1">(VLOOKUP(EN$72,INDIRECT($C$5&amp;"生成成长"),2))/((VLOOKUP($B99,INDIRECT($B$5&amp;"生成成长"),4))/(VLOOKUP(EN$72,INDIRECT($C$5&amp;"生成成长"),5))*(VLOOKUP($B$5,标准坦克设计!$B$24:$U$30,MATCH("对"&amp;LEFT($C$5,2)&amp;"输出",标准坦克设计!$B$23:$U$23,0)))*(VLOOKUP($B99,INDIRECT($B$5&amp;"生成成长"),3))*(VLOOKUP($B$5,标准坦克设计!$B$14:$K$20,9)/30))</f>
        <v>19.425950488808059</v>
      </c>
      <c r="EO99" s="172">
        <f ca="1">(VLOOKUP(EO$72,INDIRECT($C$5&amp;"生成成长"),2))/((VLOOKUP($B99,INDIRECT($B$5&amp;"生成成长"),4))/(VLOOKUP(EO$72,INDIRECT($C$5&amp;"生成成长"),5))*(VLOOKUP($B$5,标准坦克设计!$B$24:$U$30,MATCH("对"&amp;LEFT($C$5,2)&amp;"输出",标准坦克设计!$B$23:$U$23,0)))*(VLOOKUP($B99,INDIRECT($B$5&amp;"生成成长"),3))*(VLOOKUP($B$5,标准坦克设计!$B$14:$K$20,9)/30))</f>
        <v>20.784798923259704</v>
      </c>
      <c r="EP99" s="172">
        <f ca="1">(VLOOKUP(EP$72,INDIRECT($C$5&amp;"生成成长"),2))/((VLOOKUP($B99,INDIRECT($B$5&amp;"生成成长"),4))/(VLOOKUP(EP$72,INDIRECT($C$5&amp;"生成成长"),5))*(VLOOKUP($B$5,标准坦克设计!$B$24:$U$30,MATCH("对"&amp;LEFT($C$5,2)&amp;"输出",标准坦克设计!$B$23:$U$23,0)))*(VLOOKUP($B99,INDIRECT($B$5&amp;"生成成长"),3))*(VLOOKUP($B$5,标准坦克设计!$B$14:$K$20,9)/30))</f>
        <v>22.189580262537884</v>
      </c>
      <c r="EQ99" s="172">
        <f ca="1">(VLOOKUP(EQ$72,INDIRECT($C$5&amp;"生成成长"),2))/((VLOOKUP($B99,INDIRECT($B$5&amp;"生成成长"),4))/(VLOOKUP(EQ$72,INDIRECT($C$5&amp;"生成成长"),5))*(VLOOKUP($B$5,标准坦克设计!$B$24:$U$30,MATCH("对"&amp;LEFT($C$5,2)&amp;"输出",标准坦克设计!$B$23:$U$23,0)))*(VLOOKUP($B99,INDIRECT($B$5&amp;"生成成长"),3))*(VLOOKUP($B$5,标准坦克设计!$B$14:$K$20,9)/30))</f>
        <v>9.8092270085110211</v>
      </c>
      <c r="ER99" s="172">
        <f ca="1">(VLOOKUP(ER$72,INDIRECT($C$5&amp;"生成成长"),2))/((VLOOKUP($B99,INDIRECT($B$5&amp;"生成成长"),4))/(VLOOKUP(ER$72,INDIRECT($C$5&amp;"生成成长"),5))*(VLOOKUP($B$5,标准坦克设计!$B$24:$U$30,MATCH("对"&amp;LEFT($C$5,2)&amp;"输出",标准坦克设计!$B$23:$U$23,0)))*(VLOOKUP($B99,INDIRECT($B$5&amp;"生成成长"),3))*(VLOOKUP($B$5,标准坦克设计!$B$14:$K$20,9)/30))</f>
        <v>10.698698571766517</v>
      </c>
      <c r="ES99" s="172">
        <f ca="1">(VLOOKUP(ES$72,INDIRECT($C$5&amp;"生成成长"),2))/((VLOOKUP($B99,INDIRECT($B$5&amp;"生成成长"),4))/(VLOOKUP(ES$72,INDIRECT($C$5&amp;"生成成长"),5))*(VLOOKUP($B$5,标准坦克设计!$B$24:$U$30,MATCH("对"&amp;LEFT($C$5,2)&amp;"输出",标准坦克设计!$B$23:$U$23,0)))*(VLOOKUP($B99,INDIRECT($B$5&amp;"生成成长"),3))*(VLOOKUP($B$5,标准坦克设计!$B$14:$K$20,9)/30))</f>
        <v>11.626766534216529</v>
      </c>
      <c r="ET99" s="172">
        <f ca="1">(VLOOKUP(ET$72,INDIRECT($C$5&amp;"生成成长"),2))/((VLOOKUP($B99,INDIRECT($B$5&amp;"生成成长"),4))/(VLOOKUP(ET$72,INDIRECT($C$5&amp;"生成成长"),5))*(VLOOKUP($B$5,标准坦克设计!$B$24:$U$30,MATCH("对"&amp;LEFT($C$5,2)&amp;"输出",标准坦克设计!$B$23:$U$23,0)))*(VLOOKUP($B99,INDIRECT($B$5&amp;"生成成长"),3))*(VLOOKUP($B$5,标准坦克设计!$B$14:$K$20,9)/30))</f>
        <v>12.593430895861063</v>
      </c>
      <c r="EU99" s="172">
        <f ca="1">(VLOOKUP(EU$72,INDIRECT($C$5&amp;"生成成长"),2))/((VLOOKUP($B99,INDIRECT($B$5&amp;"生成成长"),4))/(VLOOKUP(EU$72,INDIRECT($C$5&amp;"生成成长"),5))*(VLOOKUP($B$5,标准坦克设计!$B$24:$U$30,MATCH("对"&amp;LEFT($C$5,2)&amp;"输出",标准坦克设计!$B$23:$U$23,0)))*(VLOOKUP($B99,INDIRECT($B$5&amp;"生成成长"),3))*(VLOOKUP($B$5,标准坦克设计!$B$14:$K$20,9)/30))</f>
        <v>13.598691656700115</v>
      </c>
      <c r="EV99" s="172">
        <f ca="1">(VLOOKUP(EV$72,INDIRECT($C$5&amp;"生成成长"),2))/((VLOOKUP($B99,INDIRECT($B$5&amp;"生成成长"),4))/(VLOOKUP(EV$72,INDIRECT($C$5&amp;"生成成长"),5))*(VLOOKUP($B$5,标准坦克设计!$B$24:$U$30,MATCH("对"&amp;LEFT($C$5,2)&amp;"输出",标准坦克设计!$B$23:$U$23,0)))*(VLOOKUP($B99,INDIRECT($B$5&amp;"生成成长"),3))*(VLOOKUP($B$5,标准坦克设计!$B$14:$K$20,9)/30))</f>
        <v>14.642548816733683</v>
      </c>
      <c r="EW99" s="172">
        <f ca="1">(VLOOKUP(EW$72,INDIRECT($C$5&amp;"生成成长"),2))/((VLOOKUP($B99,INDIRECT($B$5&amp;"生成成长"),4))/(VLOOKUP(EW$72,INDIRECT($C$5&amp;"生成成长"),5))*(VLOOKUP($B$5,标准坦克设计!$B$24:$U$30,MATCH("对"&amp;LEFT($C$5,2)&amp;"输出",标准坦克设计!$B$23:$U$23,0)))*(VLOOKUP($B99,INDIRECT($B$5&amp;"生成成长"),3))*(VLOOKUP($B$5,标准坦克设计!$B$14:$K$20,9)/30))</f>
        <v>15.725002375961772</v>
      </c>
      <c r="EX99" s="172">
        <f ca="1">(VLOOKUP(EX$72,INDIRECT($C$5&amp;"生成成长"),2))/((VLOOKUP($B99,INDIRECT($B$5&amp;"生成成长"),4))/(VLOOKUP(EX$72,INDIRECT($C$5&amp;"生成成长"),5))*(VLOOKUP($B$5,标准坦克设计!$B$24:$U$30,MATCH("对"&amp;LEFT($C$5,2)&amp;"输出",标准坦克设计!$B$23:$U$23,0)))*(VLOOKUP($B99,INDIRECT($B$5&amp;"生成成长"),3))*(VLOOKUP($B$5,标准坦克设计!$B$14:$K$20,9)/30))</f>
        <v>16.846052334384375</v>
      </c>
      <c r="EY99" s="172">
        <f ca="1">(VLOOKUP(EY$72,INDIRECT($C$5&amp;"生成成长"),2))/((VLOOKUP($B99,INDIRECT($B$5&amp;"生成成长"),4))/(VLOOKUP(EY$72,INDIRECT($C$5&amp;"生成成长"),5))*(VLOOKUP($B$5,标准坦克设计!$B$24:$U$30,MATCH("对"&amp;LEFT($C$5,2)&amp;"输出",标准坦克设计!$B$23:$U$23,0)))*(VLOOKUP($B99,INDIRECT($B$5&amp;"生成成长"),3))*(VLOOKUP($B$5,标准坦克设计!$B$14:$K$20,9)/30))</f>
        <v>18.005698692001499</v>
      </c>
      <c r="EZ99" s="172">
        <f ca="1">(VLOOKUP(EZ$72,INDIRECT($C$5&amp;"生成成长"),2))/((VLOOKUP($B99,INDIRECT($B$5&amp;"生成成长"),4))/(VLOOKUP(EZ$72,INDIRECT($C$5&amp;"生成成长"),5))*(VLOOKUP($B$5,标准坦克设计!$B$24:$U$30,MATCH("对"&amp;LEFT($C$5,2)&amp;"输出",标准坦克设计!$B$23:$U$23,0)))*(VLOOKUP($B99,INDIRECT($B$5&amp;"生成成长"),3))*(VLOOKUP($B$5,标准坦克设计!$B$14:$K$20,9)/30))</f>
        <v>19.203941448813143</v>
      </c>
      <c r="FA99" s="172">
        <f ca="1">(VLOOKUP(FA$72,INDIRECT($C$5&amp;"生成成长"),2))/((VLOOKUP($B99,INDIRECT($B$5&amp;"生成成长"),4))/(VLOOKUP(FA$72,INDIRECT($C$5&amp;"生成成长"),5))*(VLOOKUP($B$5,标准坦克设计!$B$24:$U$30,MATCH("对"&amp;LEFT($C$5,2)&amp;"输出",标准坦克设计!$B$23:$U$23,0)))*(VLOOKUP($B99,INDIRECT($B$5&amp;"生成成长"),3))*(VLOOKUP($B$5,标准坦克设计!$B$14:$K$20,9)/30))</f>
        <v>20.440780604819302</v>
      </c>
      <c r="FB99" s="172">
        <f ca="1">(VLOOKUP(FB$72,INDIRECT($C$5&amp;"生成成长"),2))/((VLOOKUP($B99,INDIRECT($B$5&amp;"生成成长"),4))/(VLOOKUP(FB$72,INDIRECT($C$5&amp;"生成成长"),5))*(VLOOKUP($B$5,标准坦克设计!$B$24:$U$30,MATCH("对"&amp;LEFT($C$5,2)&amp;"输出",标准坦克设计!$B$23:$U$23,0)))*(VLOOKUP($B99,INDIRECT($B$5&amp;"生成成长"),3))*(VLOOKUP($B$5,标准坦克设计!$B$14:$K$20,9)/30))</f>
        <v>21.716216160019986</v>
      </c>
      <c r="FC99" s="172">
        <f ca="1">(VLOOKUP(FC$72,INDIRECT($C$5&amp;"生成成长"),2))/((VLOOKUP($B99,INDIRECT($B$5&amp;"生成成长"),4))/(VLOOKUP(FC$72,INDIRECT($C$5&amp;"生成成长"),5))*(VLOOKUP($B$5,标准坦克设计!$B$24:$U$30,MATCH("对"&amp;LEFT($C$5,2)&amp;"输出",标准坦克设计!$B$23:$U$23,0)))*(VLOOKUP($B99,INDIRECT($B$5&amp;"生成成长"),3))*(VLOOKUP($B$5,标准坦克设计!$B$14:$K$20,9)/30))</f>
        <v>23.030248114415183</v>
      </c>
      <c r="FD99" s="172">
        <f ca="1">(VLOOKUP(FD$72,INDIRECT($C$5&amp;"生成成长"),2))/((VLOOKUP($B99,INDIRECT($B$5&amp;"生成成长"),4))/(VLOOKUP(FD$72,INDIRECT($C$5&amp;"生成成长"),5))*(VLOOKUP($B$5,标准坦克设计!$B$24:$U$30,MATCH("对"&amp;LEFT($C$5,2)&amp;"输出",标准坦克设计!$B$23:$U$23,0)))*(VLOOKUP($B99,INDIRECT($B$5&amp;"生成成长"),3))*(VLOOKUP($B$5,标准坦克设计!$B$14:$K$20,9)/30))</f>
        <v>24.382876468004898</v>
      </c>
      <c r="FE99" s="172">
        <f ca="1">(VLOOKUP(FE$72,INDIRECT($C$5&amp;"生成成长"),2))/((VLOOKUP($B99,INDIRECT($B$5&amp;"生成成长"),4))/(VLOOKUP(FE$72,INDIRECT($C$5&amp;"生成成长"),5))*(VLOOKUP($B$5,标准坦克设计!$B$24:$U$30,MATCH("对"&amp;LEFT($C$5,2)&amp;"输出",标准坦克设计!$B$23:$U$23,0)))*(VLOOKUP($B99,INDIRECT($B$5&amp;"生成成长"),3))*(VLOOKUP($B$5,标准坦克设计!$B$14:$K$20,9)/30))</f>
        <v>26.031197896415438</v>
      </c>
      <c r="FF99" s="172">
        <f ca="1">(VLOOKUP(FF$72,INDIRECT($C$5&amp;"生成成长"),2))/((VLOOKUP($B99,INDIRECT($B$5&amp;"生成成长"),4))/(VLOOKUP(FF$72,INDIRECT($C$5&amp;"生成成长"),5))*(VLOOKUP($B$5,标准坦克设计!$B$24:$U$30,MATCH("对"&amp;LEFT($C$5,2)&amp;"输出",标准坦克设计!$B$23:$U$23,0)))*(VLOOKUP($B99,INDIRECT($B$5&amp;"生成成长"),3))*(VLOOKUP($B$5,标准坦克设计!$B$14:$K$20,9)/30))</f>
        <v>27.733426692295996</v>
      </c>
      <c r="FG99" s="172">
        <f ca="1">(VLOOKUP(FG$72,INDIRECT($C$5&amp;"生成成长"),2))/((VLOOKUP($B99,INDIRECT($B$5&amp;"生成成长"),4))/(VLOOKUP(FG$72,INDIRECT($C$5&amp;"生成成长"),5))*(VLOOKUP($B$5,标准坦克设计!$B$24:$U$30,MATCH("对"&amp;LEFT($C$5,2)&amp;"输出",标准坦克设计!$B$23:$U$23,0)))*(VLOOKUP($B99,INDIRECT($B$5&amp;"生成成长"),3))*(VLOOKUP($B$5,标准坦克设计!$B$14:$K$20,9)/30))</f>
        <v>29.489562855646593</v>
      </c>
      <c r="FH99" s="172">
        <f ca="1">(VLOOKUP(FH$72,INDIRECT($C$5&amp;"生成成长"),2))/((VLOOKUP($B99,INDIRECT($B$5&amp;"生成成长"),4))/(VLOOKUP(FH$72,INDIRECT($C$5&amp;"生成成长"),5))*(VLOOKUP($B$5,标准坦克设计!$B$24:$U$30,MATCH("对"&amp;LEFT($C$5,2)&amp;"输出",标准坦克设计!$B$23:$U$23,0)))*(VLOOKUP($B99,INDIRECT($B$5&amp;"生成成长"),3))*(VLOOKUP($B$5,标准坦克设计!$B$14:$K$20,9)/30))</f>
        <v>31.299606386467214</v>
      </c>
      <c r="FI99" s="172">
        <f ca="1">(VLOOKUP(FI$72,INDIRECT($C$5&amp;"生成成长"),2))/((VLOOKUP($B99,INDIRECT($B$5&amp;"生成成长"),4))/(VLOOKUP(FI$72,INDIRECT($C$5&amp;"生成成长"),5))*(VLOOKUP($B$5,标准坦克设计!$B$24:$U$30,MATCH("对"&amp;LEFT($C$5,2)&amp;"输出",标准坦克设计!$B$23:$U$23,0)))*(VLOOKUP($B99,INDIRECT($B$5&amp;"生成成长"),3))*(VLOOKUP($B$5,标准坦克设计!$B$14:$K$20,9)/30))</f>
        <v>33.163557284757871</v>
      </c>
      <c r="FJ99" s="172">
        <f ca="1">(VLOOKUP(FJ$72,INDIRECT($C$5&amp;"生成成长"),2))/((VLOOKUP($B99,INDIRECT($B$5&amp;"生成成长"),4))/(VLOOKUP(FJ$72,INDIRECT($C$5&amp;"生成成长"),5))*(VLOOKUP($B$5,标准坦克设计!$B$24:$U$30,MATCH("对"&amp;LEFT($C$5,2)&amp;"输出",标准坦克设计!$B$23:$U$23,0)))*(VLOOKUP($B99,INDIRECT($B$5&amp;"生成成长"),3))*(VLOOKUP($B$5,标准坦克设计!$B$14:$K$20,9)/30))</f>
        <v>35.08141555051855</v>
      </c>
      <c r="FK99" s="172">
        <f ca="1">(VLOOKUP(FK$72,INDIRECT($C$5&amp;"生成成长"),2))/((VLOOKUP($B99,INDIRECT($B$5&amp;"生成成长"),4))/(VLOOKUP(FK$72,INDIRECT($C$5&amp;"生成成长"),5))*(VLOOKUP($B$5,标准坦克设计!$B$24:$U$30,MATCH("对"&amp;LEFT($C$5,2)&amp;"输出",标准坦克设计!$B$23:$U$23,0)))*(VLOOKUP($B99,INDIRECT($B$5&amp;"生成成长"),3))*(VLOOKUP($B$5,标准坦克设计!$B$14:$K$20,9)/30))</f>
        <v>37.05318118374926</v>
      </c>
    </row>
    <row r="100" spans="1:167" x14ac:dyDescent="0.15">
      <c r="A100" s="170" t="str">
        <f t="shared" si="11"/>
        <v>T4低品质7级</v>
      </c>
      <c r="B100" s="171">
        <v>10407</v>
      </c>
      <c r="C100" s="172">
        <f ca="1">(VLOOKUP(C$72,INDIRECT($C$5&amp;"生成成长"),2))/((VLOOKUP($B100,INDIRECT($B$5&amp;"生成成长"),4))/(VLOOKUP(C$72,INDIRECT($C$5&amp;"生成成长"),5))*(VLOOKUP($B$5,标准坦克设计!$B$24:$U$30,MATCH("对"&amp;LEFT($C$5,2)&amp;"输出",标准坦克设计!$B$23:$U$23,0)))*(VLOOKUP($B100,INDIRECT($B$5&amp;"生成成长"),3))*(VLOOKUP($B$5,标准坦克设计!$B$14:$K$20,9)/30))</f>
        <v>1.4712777039560647</v>
      </c>
      <c r="D100" s="172">
        <f ca="1">(VLOOKUP(D$72,INDIRECT($C$5&amp;"生成成长"),2))/((VLOOKUP($B100,INDIRECT($B$5&amp;"生成成长"),4))/(VLOOKUP(D$72,INDIRECT($C$5&amp;"生成成长"),5))*(VLOOKUP($B$5,标准坦克设计!$B$24:$U$30,MATCH("对"&amp;LEFT($C$5,2)&amp;"输出",标准坦克设计!$B$23:$U$23,0)))*(VLOOKUP($B100,INDIRECT($B$5&amp;"生成成长"),3))*(VLOOKUP($B$5,标准坦克设计!$B$14:$K$20,9)/30))</f>
        <v>1.6531276281650349</v>
      </c>
      <c r="E100" s="172">
        <f ca="1">(VLOOKUP(E$72,INDIRECT($C$5&amp;"生成成长"),2))/((VLOOKUP($B100,INDIRECT($B$5&amp;"生成成长"),4))/(VLOOKUP(E$72,INDIRECT($C$5&amp;"生成成长"),5))*(VLOOKUP($B$5,标准坦克设计!$B$24:$U$30,MATCH("对"&amp;LEFT($C$5,2)&amp;"输出",标准坦克设计!$B$23:$U$23,0)))*(VLOOKUP($B100,INDIRECT($B$5&amp;"生成成长"),3))*(VLOOKUP($B$5,标准坦克设计!$B$14:$K$20,9)/30))</f>
        <v>1.8455707518424882</v>
      </c>
      <c r="F100" s="172">
        <f ca="1">(VLOOKUP(F$72,INDIRECT($C$5&amp;"生成成长"),2))/((VLOOKUP($B100,INDIRECT($B$5&amp;"生成成长"),4))/(VLOOKUP(F$72,INDIRECT($C$5&amp;"生成成长"),5))*(VLOOKUP($B$5,标准坦克设计!$B$24:$U$30,MATCH("对"&amp;LEFT($C$5,2)&amp;"输出",标准坦克设计!$B$23:$U$23,0)))*(VLOOKUP($B100,INDIRECT($B$5&amp;"生成成长"),3))*(VLOOKUP($B$5,标准坦克设计!$B$14:$K$20,9)/30))</f>
        <v>2.0486070749884253</v>
      </c>
      <c r="G100" s="172">
        <f ca="1">(VLOOKUP(G$72,INDIRECT($C$5&amp;"生成成长"),2))/((VLOOKUP($B100,INDIRECT($B$5&amp;"生成成长"),4))/(VLOOKUP(G$72,INDIRECT($C$5&amp;"生成成长"),5))*(VLOOKUP($B$5,标准坦克设计!$B$24:$U$30,MATCH("对"&amp;LEFT($C$5,2)&amp;"输出",标准坦克设计!$B$23:$U$23,0)))*(VLOOKUP($B100,INDIRECT($B$5&amp;"生成成长"),3))*(VLOOKUP($B$5,标准坦克设计!$B$14:$K$20,9)/30))</f>
        <v>2.2622365976028456</v>
      </c>
      <c r="H100" s="172">
        <f ca="1">(VLOOKUP(H$72,INDIRECT($C$5&amp;"生成成长"),2))/((VLOOKUP($B100,INDIRECT($B$5&amp;"生成成长"),4))/(VLOOKUP(H$72,INDIRECT($C$5&amp;"生成成长"),5))*(VLOOKUP($B$5,标准坦克设计!$B$24:$U$30,MATCH("对"&amp;LEFT($C$5,2)&amp;"输出",标准坦克设计!$B$23:$U$23,0)))*(VLOOKUP($B100,INDIRECT($B$5&amp;"生成成长"),3))*(VLOOKUP($B$5,标准坦克设计!$B$14:$K$20,9)/30))</f>
        <v>1.9797512784432811</v>
      </c>
      <c r="I100" s="172">
        <f ca="1">(VLOOKUP(I$72,INDIRECT($C$5&amp;"生成成长"),2))/((VLOOKUP($B100,INDIRECT($B$5&amp;"生成成长"),4))/(VLOOKUP(I$72,INDIRECT($C$5&amp;"生成成长"),5))*(VLOOKUP($B$5,标准坦克设计!$B$24:$U$30,MATCH("对"&amp;LEFT($C$5,2)&amp;"输出",标准坦克设计!$B$23:$U$23,0)))*(VLOOKUP($B100,INDIRECT($B$5&amp;"生成成长"),3))*(VLOOKUP($B$5,标准坦克设计!$B$14:$K$20,9)/30))</f>
        <v>2.2622365976028456</v>
      </c>
      <c r="J100" s="172">
        <f ca="1">(VLOOKUP(J$72,INDIRECT($C$5&amp;"生成成长"),2))/((VLOOKUP($B100,INDIRECT($B$5&amp;"生成成长"),4))/(VLOOKUP(J$72,INDIRECT($C$5&amp;"生成成长"),5))*(VLOOKUP($B$5,标准坦克设计!$B$24:$U$30,MATCH("对"&amp;LEFT($C$5,2)&amp;"输出",标准坦克设计!$B$23:$U$23,0)))*(VLOOKUP($B100,INDIRECT($B$5&amp;"生成成长"),3))*(VLOOKUP($B$5,标准坦克设计!$B$14:$K$20,9)/30))</f>
        <v>2.5635542713730475</v>
      </c>
      <c r="K100" s="172">
        <f ca="1">(VLOOKUP(K$72,INDIRECT($C$5&amp;"生成成长"),2))/((VLOOKUP($B100,INDIRECT($B$5&amp;"生成成长"),4))/(VLOOKUP(K$72,INDIRECT($C$5&amp;"生成成长"),5))*(VLOOKUP($B$5,标准坦克设计!$B$24:$U$30,MATCH("对"&amp;LEFT($C$5,2)&amp;"输出",标准坦克设计!$B$23:$U$23,0)))*(VLOOKUP($B100,INDIRECT($B$5&amp;"生成成长"),3))*(VLOOKUP($B$5,标准坦克设计!$B$14:$K$20,9)/30))</f>
        <v>2.8837042997538873</v>
      </c>
      <c r="L100" s="172">
        <f ca="1">(VLOOKUP(L$72,INDIRECT($C$5&amp;"生成成长"),2))/((VLOOKUP($B100,INDIRECT($B$5&amp;"生成成长"),4))/(VLOOKUP(L$72,INDIRECT($C$5&amp;"生成成长"),5))*(VLOOKUP($B$5,标准坦克设计!$B$24:$U$30,MATCH("对"&amp;LEFT($C$5,2)&amp;"输出",标准坦克设计!$B$23:$U$23,0)))*(VLOOKUP($B100,INDIRECT($B$5&amp;"生成成长"),3))*(VLOOKUP($B$5,标准坦克设计!$B$14:$K$20,9)/30))</f>
        <v>3.2226866827453646</v>
      </c>
      <c r="M100" s="172">
        <f ca="1">(VLOOKUP(M$72,INDIRECT($C$5&amp;"生成成长"),2))/((VLOOKUP($B100,INDIRECT($B$5&amp;"生成成长"),4))/(VLOOKUP(M$72,INDIRECT($C$5&amp;"生成成长"),5))*(VLOOKUP($B$5,标准坦克设计!$B$24:$U$30,MATCH("对"&amp;LEFT($C$5,2)&amp;"输出",标准坦克设计!$B$23:$U$23,0)))*(VLOOKUP($B100,INDIRECT($B$5&amp;"生成成长"),3))*(VLOOKUP($B$5,标准坦克设计!$B$14:$K$20,9)/30))</f>
        <v>3.5805014203474799</v>
      </c>
      <c r="N100" s="172">
        <f ca="1">(VLOOKUP(N$72,INDIRECT($C$5&amp;"生成成长"),2))/((VLOOKUP($B100,INDIRECT($B$5&amp;"生成成长"),4))/(VLOOKUP(N$72,INDIRECT($C$5&amp;"生成成长"),5))*(VLOOKUP($B$5,标准坦克设计!$B$24:$U$30,MATCH("对"&amp;LEFT($C$5,2)&amp;"输出",标准坦克设计!$B$23:$U$23,0)))*(VLOOKUP($B100,INDIRECT($B$5&amp;"生成成长"),3))*(VLOOKUP($B$5,标准坦克设计!$B$14:$K$20,9)/30))</f>
        <v>3.9571485125602321</v>
      </c>
      <c r="O100" s="172">
        <f ca="1">(VLOOKUP(O$72,INDIRECT($C$5&amp;"生成成长"),2))/((VLOOKUP($B100,INDIRECT($B$5&amp;"生成成长"),4))/(VLOOKUP(O$72,INDIRECT($C$5&amp;"生成成长"),5))*(VLOOKUP($B$5,标准坦克设计!$B$24:$U$30,MATCH("对"&amp;LEFT($C$5,2)&amp;"输出",标准坦克设计!$B$23:$U$23,0)))*(VLOOKUP($B100,INDIRECT($B$5&amp;"生成成长"),3))*(VLOOKUP($B$5,标准坦克设计!$B$14:$K$20,9)/30))</f>
        <v>3.0086157768197568</v>
      </c>
      <c r="P100" s="172">
        <f ca="1">(VLOOKUP(P$72,INDIRECT($C$5&amp;"生成成长"),2))/((VLOOKUP($B100,INDIRECT($B$5&amp;"生成成长"),4))/(VLOOKUP(P$72,INDIRECT($C$5&amp;"生成成长"),5))*(VLOOKUP($B$5,标准坦克设计!$B$24:$U$30,MATCH("对"&amp;LEFT($C$5,2)&amp;"输出",标准坦克设计!$B$23:$U$23,0)))*(VLOOKUP($B100,INDIRECT($B$5&amp;"生成成长"),3))*(VLOOKUP($B$5,标准坦克设计!$B$14:$K$20,9)/30))</f>
        <v>3.3992400072200928</v>
      </c>
      <c r="Q100" s="172">
        <f ca="1">(VLOOKUP(Q$72,INDIRECT($C$5&amp;"生成成长"),2))/((VLOOKUP($B100,INDIRECT($B$5&amp;"生成成长"),4))/(VLOOKUP(Q$72,INDIRECT($C$5&amp;"生成成长"),5))*(VLOOKUP($B$5,标准坦克设计!$B$24:$U$30,MATCH("对"&amp;LEFT($C$5,2)&amp;"输出",标准坦克设计!$B$23:$U$23,0)))*(VLOOKUP($B100,INDIRECT($B$5&amp;"生成成长"),3))*(VLOOKUP($B$5,标准坦克设计!$B$14:$K$20,9)/30))</f>
        <v>3.8136989364245162</v>
      </c>
      <c r="R100" s="172">
        <f ca="1">(VLOOKUP(R$72,INDIRECT($C$5&amp;"生成成长"),2))/((VLOOKUP($B100,INDIRECT($B$5&amp;"生成成长"),4))/(VLOOKUP(R$72,INDIRECT($C$5&amp;"生成成长"),5))*(VLOOKUP($B$5,标准坦克设计!$B$24:$U$30,MATCH("对"&amp;LEFT($C$5,2)&amp;"输出",标准坦克设计!$B$23:$U$23,0)))*(VLOOKUP($B100,INDIRECT($B$5&amp;"生成成长"),3))*(VLOOKUP($B$5,标准坦克设计!$B$14:$K$20,9)/30))</f>
        <v>4.251992564433027</v>
      </c>
      <c r="S100" s="172">
        <f ca="1">(VLOOKUP(S$72,INDIRECT($C$5&amp;"生成成长"),2))/((VLOOKUP($B100,INDIRECT($B$5&amp;"生成成长"),4))/(VLOOKUP(S$72,INDIRECT($C$5&amp;"生成成长"),5))*(VLOOKUP($B$5,标准坦克设计!$B$24:$U$30,MATCH("对"&amp;LEFT($C$5,2)&amp;"输出",标准坦克设计!$B$23:$U$23,0)))*(VLOOKUP($B100,INDIRECT($B$5&amp;"生成成长"),3))*(VLOOKUP($B$5,标准坦克设计!$B$14:$K$20,9)/30))</f>
        <v>4.7141208912456287</v>
      </c>
      <c r="T100" s="172">
        <f ca="1">(VLOOKUP(T$72,INDIRECT($C$5&amp;"生成成长"),2))/((VLOOKUP($B100,INDIRECT($B$5&amp;"生成成长"),4))/(VLOOKUP(T$72,INDIRECT($C$5&amp;"生成成长"),5))*(VLOOKUP($B$5,标准坦克设计!$B$24:$U$30,MATCH("对"&amp;LEFT($C$5,2)&amp;"输出",标准坦克设计!$B$23:$U$23,0)))*(VLOOKUP($B100,INDIRECT($B$5&amp;"生成成长"),3))*(VLOOKUP($B$5,标准坦克设计!$B$14:$K$20,9)/30))</f>
        <v>5.2000839168623161</v>
      </c>
      <c r="U100" s="172">
        <f ca="1">(VLOOKUP(U$72,INDIRECT($C$5&amp;"生成成长"),2))/((VLOOKUP($B100,INDIRECT($B$5&amp;"生成成长"),4))/(VLOOKUP(U$72,INDIRECT($C$5&amp;"生成成长"),5))*(VLOOKUP($B$5,标准坦克设计!$B$24:$U$30,MATCH("对"&amp;LEFT($C$5,2)&amp;"输出",标准坦克设计!$B$23:$U$23,0)))*(VLOOKUP($B100,INDIRECT($B$5&amp;"生成成长"),3))*(VLOOKUP($B$5,标准坦克设计!$B$14:$K$20,9)/30))</f>
        <v>5.7098816412830917</v>
      </c>
      <c r="V100" s="172">
        <f ca="1">(VLOOKUP(V$72,INDIRECT($C$5&amp;"生成成长"),2))/((VLOOKUP($B100,INDIRECT($B$5&amp;"生成成长"),4))/(VLOOKUP(V$72,INDIRECT($C$5&amp;"生成成长"),5))*(VLOOKUP($B$5,标准坦克设计!$B$24:$U$30,MATCH("对"&amp;LEFT($C$5,2)&amp;"输出",标准坦克设计!$B$23:$U$23,0)))*(VLOOKUP($B100,INDIRECT($B$5&amp;"生成成长"),3))*(VLOOKUP($B$5,标准坦克设计!$B$14:$K$20,9)/30))</f>
        <v>6.2435140645079583</v>
      </c>
      <c r="W100" s="172">
        <f ca="1">(VLOOKUP(W$72,INDIRECT($C$5&amp;"生成成长"),2))/((VLOOKUP($B100,INDIRECT($B$5&amp;"生成成长"),4))/(VLOOKUP(W$72,INDIRECT($C$5&amp;"生成成长"),5))*(VLOOKUP($B$5,标准坦克设计!$B$24:$U$30,MATCH("对"&amp;LEFT($C$5,2)&amp;"输出",标准坦克设计!$B$23:$U$23,0)))*(VLOOKUP($B100,INDIRECT($B$5&amp;"生成成长"),3))*(VLOOKUP($B$5,标准坦克设计!$B$14:$K$20,9)/30))</f>
        <v>6.8009811865369105</v>
      </c>
      <c r="X100" s="172">
        <f ca="1">(VLOOKUP(X$72,INDIRECT($C$5&amp;"生成成长"),2))/((VLOOKUP($B100,INDIRECT($B$5&amp;"生成成长"),4))/(VLOOKUP(X$72,INDIRECT($C$5&amp;"生成成长"),5))*(VLOOKUP($B$5,标准坦克设计!$B$24:$U$30,MATCH("对"&amp;LEFT($C$5,2)&amp;"输出",标准坦克设计!$B$23:$U$23,0)))*(VLOOKUP($B100,INDIRECT($B$5&amp;"生成成长"),3))*(VLOOKUP($B$5,标准坦克设计!$B$14:$K$20,9)/30))</f>
        <v>4.9271619027784661</v>
      </c>
      <c r="Y100" s="172">
        <f ca="1">(VLOOKUP(Y$72,INDIRECT($C$5&amp;"生成成长"),2))/((VLOOKUP($B100,INDIRECT($B$5&amp;"生成成长"),4))/(VLOOKUP(Y$72,INDIRECT($C$5&amp;"生成成长"),5))*(VLOOKUP($B$5,标准坦克设计!$B$24:$U$30,MATCH("对"&amp;LEFT($C$5,2)&amp;"输出",标准坦克设计!$B$23:$U$23,0)))*(VLOOKUP($B100,INDIRECT($B$5&amp;"生成成长"),3))*(VLOOKUP($B$5,标准坦克设计!$B$14:$K$20,9)/30))</f>
        <v>5.4803623194659465</v>
      </c>
      <c r="Z100" s="172">
        <f ca="1">(VLOOKUP(Z$72,INDIRECT($C$5&amp;"生成成长"),2))/((VLOOKUP($B100,INDIRECT($B$5&amp;"生成成长"),4))/(VLOOKUP(Z$72,INDIRECT($C$5&amp;"生成成长"),5))*(VLOOKUP($B$5,标准坦克设计!$B$24:$U$30,MATCH("对"&amp;LEFT($C$5,2)&amp;"输出",标准坦克设计!$B$23:$U$23,0)))*(VLOOKUP($B100,INDIRECT($B$5&amp;"生成成长"),3))*(VLOOKUP($B$5,标准坦克设计!$B$14:$K$20,9)/30))</f>
        <v>6.0629882902325489</v>
      </c>
      <c r="AA100" s="172">
        <f ca="1">(VLOOKUP(AA$72,INDIRECT($C$5&amp;"生成成长"),2))/((VLOOKUP($B100,INDIRECT($B$5&amp;"生成成长"),4))/(VLOOKUP(AA$72,INDIRECT($C$5&amp;"生成成长"),5))*(VLOOKUP($B$5,标准坦克设计!$B$24:$U$30,MATCH("对"&amp;LEFT($C$5,2)&amp;"输出",标准坦克设计!$B$23:$U$23,0)))*(VLOOKUP($B100,INDIRECT($B$5&amp;"生成成长"),3))*(VLOOKUP($B$5,标准坦克设计!$B$14:$K$20,9)/30))</f>
        <v>6.6750398150782706</v>
      </c>
      <c r="AB100" s="172">
        <f ca="1">(VLOOKUP(AB$72,INDIRECT($C$5&amp;"生成成长"),2))/((VLOOKUP($B100,INDIRECT($B$5&amp;"生成成长"),4))/(VLOOKUP(AB$72,INDIRECT($C$5&amp;"生成成长"),5))*(VLOOKUP($B$5,标准坦克设计!$B$24:$U$30,MATCH("对"&amp;LEFT($C$5,2)&amp;"输出",标准坦克设计!$B$23:$U$23,0)))*(VLOOKUP($B100,INDIRECT($B$5&amp;"生成成长"),3))*(VLOOKUP($B$5,标准坦克设计!$B$14:$K$20,9)/30))</f>
        <v>7.3165168940031151</v>
      </c>
      <c r="AC100" s="172">
        <f ca="1">(VLOOKUP(AC$72,INDIRECT($C$5&amp;"生成成长"),2))/((VLOOKUP($B100,INDIRECT($B$5&amp;"生成成长"),4))/(VLOOKUP(AC$72,INDIRECT($C$5&amp;"生成成长"),5))*(VLOOKUP($B$5,标准坦克设计!$B$24:$U$30,MATCH("对"&amp;LEFT($C$5,2)&amp;"输出",标准坦克设计!$B$23:$U$23,0)))*(VLOOKUP($B100,INDIRECT($B$5&amp;"生成成长"),3))*(VLOOKUP($B$5,标准坦克设计!$B$14:$K$20,9)/30))</f>
        <v>7.9874195270070825</v>
      </c>
      <c r="AD100" s="172">
        <f ca="1">(VLOOKUP(AD$72,INDIRECT($C$5&amp;"生成成长"),2))/((VLOOKUP($B100,INDIRECT($B$5&amp;"生成成长"),4))/(VLOOKUP(AD$72,INDIRECT($C$5&amp;"生成成长"),5))*(VLOOKUP($B$5,标准坦克设计!$B$24:$U$30,MATCH("对"&amp;LEFT($C$5,2)&amp;"输出",标准坦克设计!$B$23:$U$23,0)))*(VLOOKUP($B100,INDIRECT($B$5&amp;"生成成长"),3))*(VLOOKUP($B$5,标准坦克设计!$B$14:$K$20,9)/30))</f>
        <v>8.68774771409017</v>
      </c>
      <c r="AE100" s="172">
        <f ca="1">(VLOOKUP(AE$72,INDIRECT($C$5&amp;"生成成长"),2))/((VLOOKUP($B100,INDIRECT($B$5&amp;"生成成长"),4))/(VLOOKUP(AE$72,INDIRECT($C$5&amp;"生成成长"),5))*(VLOOKUP($B$5,标准坦克设计!$B$24:$U$30,MATCH("对"&amp;LEFT($C$5,2)&amp;"输出",标准坦克设计!$B$23:$U$23,0)))*(VLOOKUP($B100,INDIRECT($B$5&amp;"生成成长"),3))*(VLOOKUP($B$5,标准坦克设计!$B$14:$K$20,9)/30))</f>
        <v>9.4175014552523759</v>
      </c>
      <c r="AF100" s="172">
        <f ca="1">(VLOOKUP(AF$72,INDIRECT($C$5&amp;"生成成长"),2))/((VLOOKUP($B100,INDIRECT($B$5&amp;"生成成长"),4))/(VLOOKUP(AF$72,INDIRECT($C$5&amp;"生成成长"),5))*(VLOOKUP($B$5,标准坦克设计!$B$24:$U$30,MATCH("对"&amp;LEFT($C$5,2)&amp;"输出",标准坦克设计!$B$23:$U$23,0)))*(VLOOKUP($B100,INDIRECT($B$5&amp;"生成成长"),3))*(VLOOKUP($B$5,标准坦克设计!$B$14:$K$20,9)/30))</f>
        <v>10.176680750493706</v>
      </c>
      <c r="AG100" s="172">
        <f ca="1">(VLOOKUP(AG$72,INDIRECT($C$5&amp;"生成成长"),2))/((VLOOKUP($B100,INDIRECT($B$5&amp;"生成成长"),4))/(VLOOKUP(AG$72,INDIRECT($C$5&amp;"生成成长"),5))*(VLOOKUP($B$5,标准坦克设计!$B$24:$U$30,MATCH("对"&amp;LEFT($C$5,2)&amp;"输出",标准坦克设计!$B$23:$U$23,0)))*(VLOOKUP($B100,INDIRECT($B$5&amp;"生成成长"),3))*(VLOOKUP($B$5,标准坦克设计!$B$14:$K$20,9)/30))</f>
        <v>10.965285599814159</v>
      </c>
      <c r="AH100" s="172">
        <f ca="1">(VLOOKUP(AH$72,INDIRECT($C$5&amp;"生成成长"),2))/((VLOOKUP($B100,INDIRECT($B$5&amp;"生成成长"),4))/(VLOOKUP(AH$72,INDIRECT($C$5&amp;"生成成长"),5))*(VLOOKUP($B$5,标准坦克设计!$B$24:$U$30,MATCH("对"&amp;LEFT($C$5,2)&amp;"输出",标准坦克设计!$B$23:$U$23,0)))*(VLOOKUP($B100,INDIRECT($B$5&amp;"生成成长"),3))*(VLOOKUP($B$5,标准坦克设计!$B$14:$K$20,9)/30))</f>
        <v>11.783316003213729</v>
      </c>
      <c r="AI100" s="172">
        <f ca="1">(VLOOKUP(AI$72,INDIRECT($C$5&amp;"生成成长"),2))/((VLOOKUP($B100,INDIRECT($B$5&amp;"生成成长"),4))/(VLOOKUP(AI$72,INDIRECT($C$5&amp;"生成成长"),5))*(VLOOKUP($B$5,标准坦克设计!$B$24:$U$30,MATCH("对"&amp;LEFT($C$5,2)&amp;"输出",标准坦克设计!$B$23:$U$23,0)))*(VLOOKUP($B100,INDIRECT($B$5&amp;"生成成长"),3))*(VLOOKUP($B$5,标准坦克设计!$B$14:$K$20,9)/30))</f>
        <v>8.3339054262887338</v>
      </c>
      <c r="AJ100" s="172">
        <f ca="1">(VLOOKUP(AJ$72,INDIRECT($C$5&amp;"生成成长"),2))/((VLOOKUP($B100,INDIRECT($B$5&amp;"生成成长"),4))/(VLOOKUP(AJ$72,INDIRECT($C$5&amp;"生成成长"),5))*(VLOOKUP($B$5,标准坦克设计!$B$24:$U$30,MATCH("对"&amp;LEFT($C$5,2)&amp;"输出",标准坦克设计!$B$23:$U$23,0)))*(VLOOKUP($B100,INDIRECT($B$5&amp;"生成成长"),3))*(VLOOKUP($B$5,标准坦克设计!$B$14:$K$20,9)/30))</f>
        <v>9.1220688922979978</v>
      </c>
      <c r="AK100" s="172">
        <f ca="1">(VLOOKUP(AK$72,INDIRECT($C$5&amp;"生成成长"),2))/((VLOOKUP($B100,INDIRECT($B$5&amp;"生成成长"),4))/(VLOOKUP(AK$72,INDIRECT($C$5&amp;"生成成长"),5))*(VLOOKUP($B$5,标准坦克设计!$B$24:$U$30,MATCH("对"&amp;LEFT($C$5,2)&amp;"输出",标准坦克设计!$B$23:$U$23,0)))*(VLOOKUP($B100,INDIRECT($B$5&amp;"生成成长"),3))*(VLOOKUP($B$5,标准坦克设计!$B$14:$K$20,9)/30))</f>
        <v>9.9458372787429994</v>
      </c>
      <c r="AL100" s="172">
        <f ca="1">(VLOOKUP(AL$72,INDIRECT($C$5&amp;"生成成长"),2))/((VLOOKUP($B100,INDIRECT($B$5&amp;"生成成长"),4))/(VLOOKUP(AL$72,INDIRECT($C$5&amp;"生成成长"),5))*(VLOOKUP($B$5,标准坦克设计!$B$24:$U$30,MATCH("对"&amp;LEFT($C$5,2)&amp;"输出",标准坦克设计!$B$23:$U$23,0)))*(VLOOKUP($B100,INDIRECT($B$5&amp;"生成成长"),3))*(VLOOKUP($B$5,标准坦克设计!$B$14:$K$20,9)/30))</f>
        <v>10.805210585623739</v>
      </c>
      <c r="AM100" s="172">
        <f ca="1">(VLOOKUP(AM$72,INDIRECT($C$5&amp;"生成成长"),2))/((VLOOKUP($B100,INDIRECT($B$5&amp;"生成成长"),4))/(VLOOKUP(AM$72,INDIRECT($C$5&amp;"生成成长"),5))*(VLOOKUP($B$5,标准坦克设计!$B$24:$U$30,MATCH("对"&amp;LEFT($C$5,2)&amp;"输出",标准坦克设计!$B$23:$U$23,0)))*(VLOOKUP($B100,INDIRECT($B$5&amp;"生成成长"),3))*(VLOOKUP($B$5,标准坦克设计!$B$14:$K$20,9)/30))</f>
        <v>11.700188812940212</v>
      </c>
      <c r="AN100" s="172">
        <f ca="1">(VLOOKUP(AN$72,INDIRECT($C$5&amp;"生成成长"),2))/((VLOOKUP($B100,INDIRECT($B$5&amp;"生成成长"),4))/(VLOOKUP(AN$72,INDIRECT($C$5&amp;"生成成长"),5))*(VLOOKUP($B$5,标准坦克设计!$B$24:$U$30,MATCH("对"&amp;LEFT($C$5,2)&amp;"输出",标准坦克设计!$B$23:$U$23,0)))*(VLOOKUP($B100,INDIRECT($B$5&amp;"生成成长"),3))*(VLOOKUP($B$5,标准坦克设计!$B$14:$K$20,9)/30))</f>
        <v>12.630771960692423</v>
      </c>
      <c r="AO100" s="172">
        <f ca="1">(VLOOKUP(AO$72,INDIRECT($C$5&amp;"生成成长"),2))/((VLOOKUP($B100,INDIRECT($B$5&amp;"生成成长"),4))/(VLOOKUP(AO$72,INDIRECT($C$5&amp;"生成成长"),5))*(VLOOKUP($B$5,标准坦克设计!$B$24:$U$30,MATCH("对"&amp;LEFT($C$5,2)&amp;"输出",标准坦克设计!$B$23:$U$23,0)))*(VLOOKUP($B100,INDIRECT($B$5&amp;"生成成长"),3))*(VLOOKUP($B$5,标准坦克设计!$B$14:$K$20,9)/30))</f>
        <v>13.596960028880371</v>
      </c>
      <c r="AP100" s="172">
        <f ca="1">(VLOOKUP(AP$72,INDIRECT($C$5&amp;"生成成长"),2))/((VLOOKUP($B100,INDIRECT($B$5&amp;"生成成长"),4))/(VLOOKUP(AP$72,INDIRECT($C$5&amp;"生成成长"),5))*(VLOOKUP($B$5,标准坦克设计!$B$24:$U$30,MATCH("对"&amp;LEFT($C$5,2)&amp;"输出",标准坦克设计!$B$23:$U$23,0)))*(VLOOKUP($B100,INDIRECT($B$5&amp;"生成成长"),3))*(VLOOKUP($B$5,标准坦克设计!$B$14:$K$20,9)/30))</f>
        <v>14.598753017504055</v>
      </c>
      <c r="AQ100" s="172">
        <f ca="1">(VLOOKUP(AQ$72,INDIRECT($C$5&amp;"生成成长"),2))/((VLOOKUP($B100,INDIRECT($B$5&amp;"生成成长"),4))/(VLOOKUP(AQ$72,INDIRECT($C$5&amp;"生成成长"),5))*(VLOOKUP($B$5,标准坦克设计!$B$24:$U$30,MATCH("对"&amp;LEFT($C$5,2)&amp;"输出",标准坦克设计!$B$23:$U$23,0)))*(VLOOKUP($B100,INDIRECT($B$5&amp;"生成成长"),3))*(VLOOKUP($B$5,标准坦克设计!$B$14:$K$20,9)/30))</f>
        <v>15.636150926563479</v>
      </c>
      <c r="AR100" s="172">
        <f ca="1">(VLOOKUP(AR$72,INDIRECT($C$5&amp;"生成成长"),2))/((VLOOKUP($B100,INDIRECT($B$5&amp;"生成成长"),4))/(VLOOKUP(AR$72,INDIRECT($C$5&amp;"生成成长"),5))*(VLOOKUP($B$5,标准坦克设计!$B$24:$U$30,MATCH("对"&amp;LEFT($C$5,2)&amp;"输出",标准坦克设计!$B$23:$U$23,0)))*(VLOOKUP($B100,INDIRECT($B$5&amp;"生成成长"),3))*(VLOOKUP($B$5,标准坦克设计!$B$14:$K$20,9)/30))</f>
        <v>16.709153756058633</v>
      </c>
      <c r="AS100" s="172">
        <f ca="1">(VLOOKUP(AS$72,INDIRECT($C$5&amp;"生成成长"),2))/((VLOOKUP($B100,INDIRECT($B$5&amp;"生成成长"),4))/(VLOOKUP(AS$72,INDIRECT($C$5&amp;"生成成长"),5))*(VLOOKUP($B$5,标准坦克设计!$B$24:$U$30,MATCH("对"&amp;LEFT($C$5,2)&amp;"输出",标准坦克设计!$B$23:$U$23,0)))*(VLOOKUP($B100,INDIRECT($B$5&amp;"生成成长"),3))*(VLOOKUP($B$5,标准坦克设计!$B$14:$K$20,9)/30))</f>
        <v>17.81776150598953</v>
      </c>
      <c r="AT100" s="172">
        <f ca="1">(VLOOKUP(AT$72,INDIRECT($C$5&amp;"生成成长"),2))/((VLOOKUP($B100,INDIRECT($B$5&amp;"生成成长"),4))/(VLOOKUP(AT$72,INDIRECT($C$5&amp;"生成成长"),5))*(VLOOKUP($B$5,标准坦克设计!$B$24:$U$30,MATCH("对"&amp;LEFT($C$5,2)&amp;"输出",标准坦克设计!$B$23:$U$23,0)))*(VLOOKUP($B100,INDIRECT($B$5&amp;"生成成长"),3))*(VLOOKUP($B$5,标准坦克设计!$B$14:$K$20,9)/30))</f>
        <v>18.961974176356161</v>
      </c>
      <c r="AU100" s="172">
        <f ca="1">(VLOOKUP(AU$72,INDIRECT($C$5&amp;"生成成长"),2))/((VLOOKUP($B100,INDIRECT($B$5&amp;"生成成长"),4))/(VLOOKUP(AU$72,INDIRECT($C$5&amp;"生成成长"),5))*(VLOOKUP($B$5,标准坦克设计!$B$24:$U$30,MATCH("对"&amp;LEFT($C$5,2)&amp;"输出",标准坦克设计!$B$23:$U$23,0)))*(VLOOKUP($B100,INDIRECT($B$5&amp;"生成成长"),3))*(VLOOKUP($B$5,标准坦克设计!$B$14:$K$20,9)/30))</f>
        <v>20.141791767158534</v>
      </c>
      <c r="AV100" s="172">
        <f ca="1">(VLOOKUP(AV$72,INDIRECT($C$5&amp;"生成成长"),2))/((VLOOKUP($B100,INDIRECT($B$5&amp;"生成成长"),4))/(VLOOKUP(AV$72,INDIRECT($C$5&amp;"生成成长"),5))*(VLOOKUP($B$5,标准坦克设计!$B$24:$U$30,MATCH("对"&amp;LEFT($C$5,2)&amp;"输出",标准坦克设计!$B$23:$U$23,0)))*(VLOOKUP($B100,INDIRECT($B$5&amp;"生成成长"),3))*(VLOOKUP($B$5,标准坦克设计!$B$14:$K$20,9)/30))</f>
        <v>2.0486070749884253</v>
      </c>
      <c r="AW100" s="172">
        <f ca="1">(VLOOKUP(AW$72,INDIRECT($C$5&amp;"生成成长"),2))/((VLOOKUP($B100,INDIRECT($B$5&amp;"生成成长"),4))/(VLOOKUP(AW$72,INDIRECT($C$5&amp;"生成成长"),5))*(VLOOKUP($B$5,标准坦克设计!$B$24:$U$30,MATCH("对"&amp;LEFT($C$5,2)&amp;"输出",标准坦克设计!$B$23:$U$23,0)))*(VLOOKUP($B100,INDIRECT($B$5&amp;"生成成长"),3))*(VLOOKUP($B$5,标准坦克设计!$B$14:$K$20,9)/30))</f>
        <v>2.3358004828006487</v>
      </c>
      <c r="AX100" s="172">
        <f ca="1">(VLOOKUP(AX$72,INDIRECT($C$5&amp;"生成成长"),2))/((VLOOKUP($B100,INDIRECT($B$5&amp;"生成成长"),4))/(VLOOKUP(AX$72,INDIRECT($C$5&amp;"生成成长"),5))*(VLOOKUP($B$5,标准坦克设计!$B$24:$U$30,MATCH("对"&amp;LEFT($C$5,2)&amp;"输出",标准坦克设计!$B$23:$U$23,0)))*(VLOOKUP($B100,INDIRECT($B$5&amp;"生成成长"),3))*(VLOOKUP($B$5,标准坦克设计!$B$14:$K$20,9)/30))</f>
        <v>2.64182624522351</v>
      </c>
      <c r="AY100" s="172">
        <f ca="1">(VLOOKUP(AY$72,INDIRECT($C$5&amp;"生成成长"),2))/((VLOOKUP($B100,INDIRECT($B$5&amp;"生成成长"),4))/(VLOOKUP(AY$72,INDIRECT($C$5&amp;"生成成长"),5))*(VLOOKUP($B$5,标准坦克设计!$B$24:$U$30,MATCH("对"&amp;LEFT($C$5,2)&amp;"输出",标准坦克设计!$B$23:$U$23,0)))*(VLOOKUP($B100,INDIRECT($B$5&amp;"生成成长"),3))*(VLOOKUP($B$5,标准坦克设计!$B$14:$K$20,9)/30))</f>
        <v>2.9666843622570096</v>
      </c>
      <c r="AZ100" s="172">
        <f ca="1">(VLOOKUP(AZ$72,INDIRECT($C$5&amp;"生成成长"),2))/((VLOOKUP($B100,INDIRECT($B$5&amp;"生成成长"),4))/(VLOOKUP(AZ$72,INDIRECT($C$5&amp;"生成成长"),5))*(VLOOKUP($B$5,标准坦克设计!$B$24:$U$30,MATCH("对"&amp;LEFT($C$5,2)&amp;"输出",标准坦克设计!$B$23:$U$23,0)))*(VLOOKUP($B100,INDIRECT($B$5&amp;"生成成长"),3))*(VLOOKUP($B$5,标准坦克设计!$B$14:$K$20,9)/30))</f>
        <v>3.3103748339011458</v>
      </c>
      <c r="BA100" s="172">
        <f ca="1">(VLOOKUP(BA$72,INDIRECT($C$5&amp;"生成成长"),2))/((VLOOKUP($B100,INDIRECT($B$5&amp;"生成成长"),4))/(VLOOKUP(BA$72,INDIRECT($C$5&amp;"生成成长"),5))*(VLOOKUP($B$5,标准坦克设计!$B$24:$U$30,MATCH("对"&amp;LEFT($C$5,2)&amp;"输出",标准坦克设计!$B$23:$U$23,0)))*(VLOOKUP($B100,INDIRECT($B$5&amp;"生成成长"),3))*(VLOOKUP($B$5,标准坦克设计!$B$14:$K$20,9)/30))</f>
        <v>3.6728976601559209</v>
      </c>
      <c r="BB100" s="172">
        <f ca="1">(VLOOKUP(BB$72,INDIRECT($C$5&amp;"生成成长"),2))/((VLOOKUP($B100,INDIRECT($B$5&amp;"生成成长"),4))/(VLOOKUP(BB$72,INDIRECT($C$5&amp;"生成成长"),5))*(VLOOKUP($B$5,标准坦克设计!$B$24:$U$30,MATCH("对"&amp;LEFT($C$5,2)&amp;"输出",标准坦克设计!$B$23:$U$23,0)))*(VLOOKUP($B100,INDIRECT($B$5&amp;"生成成长"),3))*(VLOOKUP($B$5,标准坦克设计!$B$14:$K$20,9)/30))</f>
        <v>4.0542528410213325</v>
      </c>
      <c r="BC100" s="172">
        <f ca="1">(VLOOKUP(BC$72,INDIRECT($C$5&amp;"生成成长"),2))/((VLOOKUP($B100,INDIRECT($B$5&amp;"生成成长"),4))/(VLOOKUP(BC$72,INDIRECT($C$5&amp;"生成成长"),5))*(VLOOKUP($B$5,标准坦克设计!$B$24:$U$30,MATCH("对"&amp;LEFT($C$5,2)&amp;"输出",标准坦克设计!$B$23:$U$23,0)))*(VLOOKUP($B100,INDIRECT($B$5&amp;"生成成长"),3))*(VLOOKUP($B$5,标准坦克设计!$B$14:$K$20,9)/30))</f>
        <v>4.4544403764973826</v>
      </c>
      <c r="BD100" s="172">
        <f ca="1">(VLOOKUP(BD$72,INDIRECT($C$5&amp;"生成成长"),2))/((VLOOKUP($B100,INDIRECT($B$5&amp;"生成成长"),4))/(VLOOKUP(BD$72,INDIRECT($C$5&amp;"生成成长"),5))*(VLOOKUP($B$5,标准坦克设计!$B$24:$U$30,MATCH("对"&amp;LEFT($C$5,2)&amp;"输出",标准坦克设计!$B$23:$U$23,0)))*(VLOOKUP($B100,INDIRECT($B$5&amp;"生成成长"),3))*(VLOOKUP($B$5,标准坦克设计!$B$14:$K$20,9)/30))</f>
        <v>4.9271619027784661</v>
      </c>
      <c r="BE100" s="172">
        <f ca="1">(VLOOKUP(BE$72,INDIRECT($C$5&amp;"生成成长"),2))/((VLOOKUP($B100,INDIRECT($B$5&amp;"生成成长"),4))/(VLOOKUP(BE$72,INDIRECT($C$5&amp;"生成成长"),5))*(VLOOKUP($B$5,标准坦克设计!$B$24:$U$30,MATCH("对"&amp;LEFT($C$5,2)&amp;"输出",标准坦克设计!$B$23:$U$23,0)))*(VLOOKUP($B100,INDIRECT($B$5&amp;"生成成长"),3))*(VLOOKUP($B$5,标准坦克设计!$B$14:$K$20,9)/30))</f>
        <v>5.4237181278636388</v>
      </c>
      <c r="BF100" s="172">
        <f ca="1">(VLOOKUP(BF$72,INDIRECT($C$5&amp;"生成成长"),2))/((VLOOKUP($B100,INDIRECT($B$5&amp;"生成成长"),4))/(VLOOKUP(BF$72,INDIRECT($C$5&amp;"生成成长"),5))*(VLOOKUP($B$5,标准坦克设计!$B$24:$U$30,MATCH("对"&amp;LEFT($C$5,2)&amp;"输出",标准坦克设计!$B$23:$U$23,0)))*(VLOOKUP($B100,INDIRECT($B$5&amp;"生成成长"),3))*(VLOOKUP($B$5,标准坦克设计!$B$14:$K$20,9)/30))</f>
        <v>5.9441090517528989</v>
      </c>
      <c r="BG100" s="172">
        <f ca="1">(VLOOKUP(BG$72,INDIRECT($C$5&amp;"生成成长"),2))/((VLOOKUP($B100,INDIRECT($B$5&amp;"生成成长"),4))/(VLOOKUP(BG$72,INDIRECT($C$5&amp;"生成成长"),5))*(VLOOKUP($B$5,标准坦克设计!$B$24:$U$30,MATCH("对"&amp;LEFT($C$5,2)&amp;"输出",标准坦克设计!$B$23:$U$23,0)))*(VLOOKUP($B100,INDIRECT($B$5&amp;"生成成长"),3))*(VLOOKUP($B$5,标准坦克设计!$B$14:$K$20,9)/30))</f>
        <v>6.4883346744462447</v>
      </c>
      <c r="BH100" s="172">
        <f ca="1">(VLOOKUP(BH$72,INDIRECT($C$5&amp;"生成成长"),2))/((VLOOKUP($B100,INDIRECT($B$5&amp;"生成成长"),4))/(VLOOKUP(BH$72,INDIRECT($C$5&amp;"生成成长"),5))*(VLOOKUP($B$5,标准坦克设计!$B$24:$U$30,MATCH("对"&amp;LEFT($C$5,2)&amp;"输出",标准坦克设计!$B$23:$U$23,0)))*(VLOOKUP($B100,INDIRECT($B$5&amp;"生成成长"),3))*(VLOOKUP($B$5,标准坦克设计!$B$14:$K$20,9)/30))</f>
        <v>3.1361755537527483</v>
      </c>
      <c r="BI100" s="172">
        <f ca="1">(VLOOKUP(BI$72,INDIRECT($C$5&amp;"生成成长"),2))/((VLOOKUP($B100,INDIRECT($B$5&amp;"生成成长"),4))/(VLOOKUP(BI$72,INDIRECT($C$5&amp;"生成成长"),5))*(VLOOKUP($B$5,标准坦克设计!$B$24:$U$30,MATCH("对"&amp;LEFT($C$5,2)&amp;"输出",标准坦克设计!$B$23:$U$23,0)))*(VLOOKUP($B100,INDIRECT($B$5&amp;"生成成长"),3))*(VLOOKUP($B$5,标准坦克设计!$B$14:$K$20,9)/30))</f>
        <v>3.5347446837544463</v>
      </c>
      <c r="BJ100" s="172">
        <f ca="1">(VLOOKUP(BJ$72,INDIRECT($C$5&amp;"生成成长"),2))/((VLOOKUP($B100,INDIRECT($B$5&amp;"生成成长"),4))/(VLOOKUP(BJ$72,INDIRECT($C$5&amp;"生成成长"),5))*(VLOOKUP($B$5,标准坦克设计!$B$24:$U$30,MATCH("对"&amp;LEFT($C$5,2)&amp;"输出",标准坦克设计!$B$23:$U$23,0)))*(VLOOKUP($B100,INDIRECT($B$5&amp;"生成成长"),3))*(VLOOKUP($B$5,标准坦克设计!$B$14:$K$20,9)/30))</f>
        <v>3.9571485125602321</v>
      </c>
      <c r="BK100" s="172">
        <f ca="1">(VLOOKUP(BK$72,INDIRECT($C$5&amp;"生成成长"),2))/((VLOOKUP($B100,INDIRECT($B$5&amp;"生成成长"),4))/(VLOOKUP(BK$72,INDIRECT($C$5&amp;"生成成长"),5))*(VLOOKUP($B$5,标准坦克设计!$B$24:$U$30,MATCH("对"&amp;LEFT($C$5,2)&amp;"输出",标准坦克设计!$B$23:$U$23,0)))*(VLOOKUP($B100,INDIRECT($B$5&amp;"生成成长"),3))*(VLOOKUP($B$5,标准坦克设计!$B$14:$K$20,9)/30))</f>
        <v>4.4033870401701076</v>
      </c>
      <c r="BL100" s="172">
        <f ca="1">(VLOOKUP(BL$72,INDIRECT($C$5&amp;"生成成长"),2))/((VLOOKUP($B100,INDIRECT($B$5&amp;"生成成长"),4))/(VLOOKUP(BL$72,INDIRECT($C$5&amp;"生成成长"),5))*(VLOOKUP($B$5,标准坦克设计!$B$24:$U$30,MATCH("对"&amp;LEFT($C$5,2)&amp;"输出",标准坦克设计!$B$23:$U$23,0)))*(VLOOKUP($B100,INDIRECT($B$5&amp;"生成成长"),3))*(VLOOKUP($B$5,标准坦克设计!$B$14:$K$20,9)/30))</f>
        <v>4.8734602665840701</v>
      </c>
      <c r="BM100" s="172">
        <f ca="1">(VLOOKUP(BM$72,INDIRECT($C$5&amp;"生成成长"),2))/((VLOOKUP($B100,INDIRECT($B$5&amp;"生成成长"),4))/(VLOOKUP(BM$72,INDIRECT($C$5&amp;"生成成长"),5))*(VLOOKUP($B$5,标准坦克设计!$B$24:$U$30,MATCH("对"&amp;LEFT($C$5,2)&amp;"输出",标准坦克设计!$B$23:$U$23,0)))*(VLOOKUP($B100,INDIRECT($B$5&amp;"生成成长"),3))*(VLOOKUP($B$5,标准坦克设计!$B$14:$K$20,9)/30))</f>
        <v>5.3673681918021208</v>
      </c>
      <c r="BN100" s="172">
        <f ca="1">(VLOOKUP(BN$72,INDIRECT($C$5&amp;"生成成长"),2))/((VLOOKUP($B100,INDIRECT($B$5&amp;"生成成长"),4))/(VLOOKUP(BN$72,INDIRECT($C$5&amp;"生成成长"),5))*(VLOOKUP($B$5,标准坦克设计!$B$24:$U$30,MATCH("对"&amp;LEFT($C$5,2)&amp;"输出",标准坦克设计!$B$23:$U$23,0)))*(VLOOKUP($B100,INDIRECT($B$5&amp;"生成成长"),3))*(VLOOKUP($B$5,标准坦克设计!$B$14:$K$20,9)/30))</f>
        <v>5.8851108158242589</v>
      </c>
      <c r="BO100" s="172">
        <f ca="1">(VLOOKUP(BO$72,INDIRECT($C$5&amp;"生成成长"),2))/((VLOOKUP($B100,INDIRECT($B$5&amp;"生成成长"),4))/(VLOOKUP(BO$72,INDIRECT($C$5&amp;"生成成长"),5))*(VLOOKUP($B$5,标准坦克设计!$B$24:$U$30,MATCH("对"&amp;LEFT($C$5,2)&amp;"输出",标准坦克设计!$B$23:$U$23,0)))*(VLOOKUP($B100,INDIRECT($B$5&amp;"生成成长"),3))*(VLOOKUP($B$5,标准坦克设计!$B$14:$K$20,9)/30))</f>
        <v>6.4266881386504879</v>
      </c>
      <c r="BP100" s="172">
        <f ca="1">(VLOOKUP(BP$72,INDIRECT($C$5&amp;"生成成长"),2))/((VLOOKUP($B100,INDIRECT($B$5&amp;"生成成长"),4))/(VLOOKUP(BP$72,INDIRECT($C$5&amp;"生成成长"),5))*(VLOOKUP($B$5,标准坦克设计!$B$24:$U$30,MATCH("对"&amp;LEFT($C$5,2)&amp;"输出",标准坦克设计!$B$23:$U$23,0)))*(VLOOKUP($B100,INDIRECT($B$5&amp;"生成成长"),3))*(VLOOKUP($B$5,标准坦克设计!$B$14:$K$20,9)/30))</f>
        <v>6.9921001602808026</v>
      </c>
      <c r="BQ100" s="172">
        <f ca="1">(VLOOKUP(BQ$72,INDIRECT($C$5&amp;"生成成长"),2))/((VLOOKUP($B100,INDIRECT($B$5&amp;"生成成长"),4))/(VLOOKUP(BQ$72,INDIRECT($C$5&amp;"生成成长"),5))*(VLOOKUP($B$5,标准坦克设计!$B$24:$U$30,MATCH("对"&amp;LEFT($C$5,2)&amp;"输出",标准坦克设计!$B$23:$U$23,0)))*(VLOOKUP($B100,INDIRECT($B$5&amp;"生成成长"),3))*(VLOOKUP($B$5,标准坦克设计!$B$14:$K$20,9)/30))</f>
        <v>7.5813468807152065</v>
      </c>
      <c r="BR100" s="172">
        <f ca="1">(VLOOKUP(BR$72,INDIRECT($C$5&amp;"生成成长"),2))/((VLOOKUP($B100,INDIRECT($B$5&amp;"生成成长"),4))/(VLOOKUP(BR$72,INDIRECT($C$5&amp;"生成成长"),5))*(VLOOKUP($B$5,标准坦克设计!$B$24:$U$30,MATCH("对"&amp;LEFT($C$5,2)&amp;"输出",标准坦克设计!$B$23:$U$23,0)))*(VLOOKUP($B100,INDIRECT($B$5&amp;"生成成长"),3))*(VLOOKUP($B$5,标准坦克设计!$B$14:$K$20,9)/30))</f>
        <v>8.2640197353508213</v>
      </c>
      <c r="BS100" s="172">
        <f ca="1">(VLOOKUP(BS$72,INDIRECT($C$5&amp;"生成成长"),2))/((VLOOKUP($B100,INDIRECT($B$5&amp;"生成成长"),4))/(VLOOKUP(BS$72,INDIRECT($C$5&amp;"生成成长"),5))*(VLOOKUP($B$5,标准坦克设计!$B$24:$U$30,MATCH("对"&amp;LEFT($C$5,2)&amp;"输出",标准坦克设计!$B$23:$U$23,0)))*(VLOOKUP($B100,INDIRECT($B$5&amp;"生成成长"),3))*(VLOOKUP($B$5,标准坦克设计!$B$14:$K$20,9)/30))</f>
        <v>8.9761181440655591</v>
      </c>
      <c r="BT100" s="172">
        <f ca="1">(VLOOKUP(BT$72,INDIRECT($C$5&amp;"生成成长"),2))/((VLOOKUP($B100,INDIRECT($B$5&amp;"生成成长"),4))/(VLOOKUP(BT$72,INDIRECT($C$5&amp;"生成成长"),5))*(VLOOKUP($B$5,标准坦克设计!$B$24:$U$30,MATCH("对"&amp;LEFT($C$5,2)&amp;"输出",标准坦克设计!$B$23:$U$23,0)))*(VLOOKUP($B100,INDIRECT($B$5&amp;"生成成长"),3))*(VLOOKUP($B$5,标准坦克设计!$B$14:$K$20,9)/30))</f>
        <v>9.7176421068594152</v>
      </c>
      <c r="BU100" s="172">
        <f ca="1">(VLOOKUP(BU$72,INDIRECT($C$5&amp;"生成成长"),2))/((VLOOKUP($B100,INDIRECT($B$5&amp;"生成成长"),4))/(VLOOKUP(BU$72,INDIRECT($C$5&amp;"生成成长"),5))*(VLOOKUP($B$5,标准坦克设计!$B$24:$U$30,MATCH("对"&amp;LEFT($C$5,2)&amp;"输出",标准坦克设计!$B$23:$U$23,0)))*(VLOOKUP($B100,INDIRECT($B$5&amp;"生成成长"),3))*(VLOOKUP($B$5,标准坦克设计!$B$14:$K$20,9)/30))</f>
        <v>10.488591623732392</v>
      </c>
      <c r="BV100" s="172">
        <f ca="1">(VLOOKUP(BV$72,INDIRECT($C$5&amp;"生成成长"),2))/((VLOOKUP($B100,INDIRECT($B$5&amp;"生成成长"),4))/(VLOOKUP(BV$72,INDIRECT($C$5&amp;"生成成长"),5))*(VLOOKUP($B$5,标准坦克设计!$B$24:$U$30,MATCH("对"&amp;LEFT($C$5,2)&amp;"输出",标准坦克设计!$B$23:$U$23,0)))*(VLOOKUP($B100,INDIRECT($B$5&amp;"生成成长"),3))*(VLOOKUP($B$5,标准坦克设计!$B$14:$K$20,9)/30))</f>
        <v>11.28896669468449</v>
      </c>
      <c r="BW100" s="172">
        <f ca="1">(VLOOKUP(BW$72,INDIRECT($C$5&amp;"生成成长"),2))/((VLOOKUP($B100,INDIRECT($B$5&amp;"生成成长"),4))/(VLOOKUP(BW$72,INDIRECT($C$5&amp;"生成成长"),5))*(VLOOKUP($B$5,标准坦克设计!$B$24:$U$30,MATCH("对"&amp;LEFT($C$5,2)&amp;"输出",标准坦克设计!$B$23:$U$23,0)))*(VLOOKUP($B100,INDIRECT($B$5&amp;"生成成长"),3))*(VLOOKUP($B$5,标准坦克设计!$B$14:$K$20,9)/30))</f>
        <v>5.1449110029639638</v>
      </c>
      <c r="BX100" s="172">
        <f ca="1">(VLOOKUP(BX$72,INDIRECT($C$5&amp;"生成成长"),2))/((VLOOKUP($B100,INDIRECT($B$5&amp;"生成成长"),4))/(VLOOKUP(BX$72,INDIRECT($C$5&amp;"生成成长"),5))*(VLOOKUP($B$5,标准坦克设计!$B$24:$U$30,MATCH("对"&amp;LEFT($C$5,2)&amp;"输出",标准坦克设计!$B$23:$U$23,0)))*(VLOOKUP($B100,INDIRECT($B$5&amp;"生成成长"),3))*(VLOOKUP($B$5,标准坦克设计!$B$14:$K$20,9)/30))</f>
        <v>5.7098816412830917</v>
      </c>
      <c r="BY100" s="172">
        <f ca="1">(VLOOKUP(BY$72,INDIRECT($C$5&amp;"生成成长"),2))/((VLOOKUP($B100,INDIRECT($B$5&amp;"生成成长"),4))/(VLOOKUP(BY$72,INDIRECT($C$5&amp;"生成成长"),5))*(VLOOKUP($B$5,标准坦克设计!$B$24:$U$30,MATCH("对"&amp;LEFT($C$5,2)&amp;"输出",标准坦克设计!$B$23:$U$23,0)))*(VLOOKUP($B100,INDIRECT($B$5&amp;"生成成长"),3))*(VLOOKUP($B$5,标准坦克设计!$B$14:$K$20,9)/30))</f>
        <v>6.3042778336813425</v>
      </c>
      <c r="BZ100" s="172">
        <f ca="1">(VLOOKUP(BZ$72,INDIRECT($C$5&amp;"生成成长"),2))/((VLOOKUP($B100,INDIRECT($B$5&amp;"生成成长"),4))/(VLOOKUP(BZ$72,INDIRECT($C$5&amp;"生成成长"),5))*(VLOOKUP($B$5,标准坦克设计!$B$24:$U$30,MATCH("对"&amp;LEFT($C$5,2)&amp;"输出",标准坦克设计!$B$23:$U$23,0)))*(VLOOKUP($B100,INDIRECT($B$5&amp;"生成成长"),3))*(VLOOKUP($B$5,标准坦克设计!$B$14:$K$20,9)/30))</f>
        <v>6.9280995801587144</v>
      </c>
      <c r="CA100" s="172">
        <f ca="1">(VLOOKUP(CA$72,INDIRECT($C$5&amp;"生成成长"),2))/((VLOOKUP($B100,INDIRECT($B$5&amp;"生成成长"),4))/(VLOOKUP(CA$72,INDIRECT($C$5&amp;"生成成长"),5))*(VLOOKUP($B$5,标准坦克设计!$B$24:$U$30,MATCH("对"&amp;LEFT($C$5,2)&amp;"输出",标准坦克设计!$B$23:$U$23,0)))*(VLOOKUP($B100,INDIRECT($B$5&amp;"生成成长"),3))*(VLOOKUP($B$5,标准坦克设计!$B$14:$K$20,9)/30))</f>
        <v>7.5813468807152065</v>
      </c>
      <c r="CB100" s="172">
        <f ca="1">(VLOOKUP(CB$72,INDIRECT($C$5&amp;"生成成长"),2))/((VLOOKUP($B100,INDIRECT($B$5&amp;"生成成长"),4))/(VLOOKUP(CB$72,INDIRECT($C$5&amp;"生成成长"),5))*(VLOOKUP($B$5,标准坦克设计!$B$24:$U$30,MATCH("对"&amp;LEFT($C$5,2)&amp;"输出",标准坦克设计!$B$23:$U$23,0)))*(VLOOKUP($B100,INDIRECT($B$5&amp;"生成成长"),3))*(VLOOKUP($B$5,标准坦克设计!$B$14:$K$20,9)/30))</f>
        <v>8.2640197353508213</v>
      </c>
      <c r="CC100" s="172">
        <f ca="1">(VLOOKUP(CC$72,INDIRECT($C$5&amp;"生成成长"),2))/((VLOOKUP($B100,INDIRECT($B$5&amp;"生成成长"),4))/(VLOOKUP(CC$72,INDIRECT($C$5&amp;"生成成长"),5))*(VLOOKUP($B$5,标准坦克设计!$B$24:$U$30,MATCH("对"&amp;LEFT($C$5,2)&amp;"输出",标准坦克设计!$B$23:$U$23,0)))*(VLOOKUP($B100,INDIRECT($B$5&amp;"生成成长"),3))*(VLOOKUP($B$5,标准坦克设计!$B$14:$K$20,9)/30))</f>
        <v>8.9761181440655591</v>
      </c>
      <c r="CD100" s="172">
        <f ca="1">(VLOOKUP(CD$72,INDIRECT($C$5&amp;"生成成长"),2))/((VLOOKUP($B100,INDIRECT($B$5&amp;"生成成长"),4))/(VLOOKUP(CD$72,INDIRECT($C$5&amp;"生成成长"),5))*(VLOOKUP($B$5,标准坦克设计!$B$24:$U$30,MATCH("对"&amp;LEFT($C$5,2)&amp;"输出",标准坦克设计!$B$23:$U$23,0)))*(VLOOKUP($B100,INDIRECT($B$5&amp;"生成成长"),3))*(VLOOKUP($B$5,标准坦克设计!$B$14:$K$20,9)/30))</f>
        <v>9.7176421068594152</v>
      </c>
      <c r="CE100" s="172">
        <f ca="1">(VLOOKUP(CE$72,INDIRECT($C$5&amp;"生成成长"),2))/((VLOOKUP($B100,INDIRECT($B$5&amp;"生成成长"),4))/(VLOOKUP(CE$72,INDIRECT($C$5&amp;"生成成长"),5))*(VLOOKUP($B$5,标准坦克设计!$B$24:$U$30,MATCH("对"&amp;LEFT($C$5,2)&amp;"输出",标准坦克设计!$B$23:$U$23,0)))*(VLOOKUP($B100,INDIRECT($B$5&amp;"生成成长"),3))*(VLOOKUP($B$5,标准坦克设计!$B$14:$K$20,9)/30))</f>
        <v>10.488591623732392</v>
      </c>
      <c r="CF100" s="172">
        <f ca="1">(VLOOKUP(CF$72,INDIRECT($C$5&amp;"生成成长"),2))/((VLOOKUP($B100,INDIRECT($B$5&amp;"生成成长"),4))/(VLOOKUP(CF$72,INDIRECT($C$5&amp;"生成成长"),5))*(VLOOKUP($B$5,标准坦克设计!$B$24:$U$30,MATCH("对"&amp;LEFT($C$5,2)&amp;"输出",标准坦克设计!$B$23:$U$23,0)))*(VLOOKUP($B100,INDIRECT($B$5&amp;"生成成长"),3))*(VLOOKUP($B$5,标准坦克设计!$B$14:$K$20,9)/30))</f>
        <v>11.28896669468449</v>
      </c>
      <c r="CG100" s="172">
        <f ca="1">(VLOOKUP(CG$72,INDIRECT($C$5&amp;"生成成长"),2))/((VLOOKUP($B100,INDIRECT($B$5&amp;"生成成长"),4))/(VLOOKUP(CG$72,INDIRECT($C$5&amp;"生成成长"),5))*(VLOOKUP($B$5,标准坦克设计!$B$24:$U$30,MATCH("对"&amp;LEFT($C$5,2)&amp;"输出",标准坦克设计!$B$23:$U$23,0)))*(VLOOKUP($B100,INDIRECT($B$5&amp;"生成成长"),3))*(VLOOKUP($B$5,标准坦克设计!$B$14:$K$20,9)/30))</f>
        <v>12.11876731971571</v>
      </c>
      <c r="CH100" s="172">
        <f ca="1">(VLOOKUP(CH$72,INDIRECT($C$5&amp;"生成成长"),2))/((VLOOKUP($B100,INDIRECT($B$5&amp;"生成成长"),4))/(VLOOKUP(CH$72,INDIRECT($C$5&amp;"生成成长"),5))*(VLOOKUP($B$5,标准坦克设计!$B$24:$U$30,MATCH("对"&amp;LEFT($C$5,2)&amp;"输出",标准坦克设计!$B$23:$U$23,0)))*(VLOOKUP($B100,INDIRECT($B$5&amp;"生成成长"),3))*(VLOOKUP($B$5,标准坦克设计!$B$14:$K$20,9)/30))</f>
        <v>12.977993498826052</v>
      </c>
      <c r="CI100" s="172">
        <f ca="1">(VLOOKUP(CI$72,INDIRECT($C$5&amp;"生成成长"),2))/((VLOOKUP($B100,INDIRECT($B$5&amp;"生成成长"),4))/(VLOOKUP(CI$72,INDIRECT($C$5&amp;"生成成长"),5))*(VLOOKUP($B$5,标准坦克设计!$B$24:$U$30,MATCH("对"&amp;LEFT($C$5,2)&amp;"输出",标准坦克设计!$B$23:$U$23,0)))*(VLOOKUP($B100,INDIRECT($B$5&amp;"生成成长"),3))*(VLOOKUP($B$5,标准坦克设计!$B$14:$K$20,9)/30))</f>
        <v>13.957128810808815</v>
      </c>
      <c r="CJ100" s="172">
        <f ca="1">(VLOOKUP(CJ$72,INDIRECT($C$5&amp;"生成成长"),2))/((VLOOKUP($B100,INDIRECT($B$5&amp;"生成成长"),4))/(VLOOKUP(CJ$72,INDIRECT($C$5&amp;"生成成长"),5))*(VLOOKUP($B$5,标准坦克设计!$B$24:$U$30,MATCH("对"&amp;LEFT($C$5,2)&amp;"输出",标准坦克设计!$B$23:$U$23,0)))*(VLOOKUP($B100,INDIRECT($B$5&amp;"生成成长"),3))*(VLOOKUP($B$5,标准坦克设计!$B$14:$K$20,9)/30))</f>
        <v>14.971869043227313</v>
      </c>
      <c r="CK100" s="172">
        <f ca="1">(VLOOKUP(CK$72,INDIRECT($C$5&amp;"生成成长"),2))/((VLOOKUP($B100,INDIRECT($B$5&amp;"生成成长"),4))/(VLOOKUP(CK$72,INDIRECT($C$5&amp;"生成成长"),5))*(VLOOKUP($B$5,标准坦克设计!$B$24:$U$30,MATCH("对"&amp;LEFT($C$5,2)&amp;"输出",标准坦克设计!$B$23:$U$23,0)))*(VLOOKUP($B100,INDIRECT($B$5&amp;"生成成长"),3))*(VLOOKUP($B$5,标准坦克设计!$B$14:$K$20,9)/30))</f>
        <v>16.022214196081549</v>
      </c>
      <c r="CL100" s="172">
        <f ca="1">(VLOOKUP(CL$72,INDIRECT($C$5&amp;"生成成长"),2))/((VLOOKUP($B100,INDIRECT($B$5&amp;"生成成长"),4))/(VLOOKUP(CL$72,INDIRECT($C$5&amp;"生成成长"),5))*(VLOOKUP($B$5,标准坦克设计!$B$24:$U$30,MATCH("对"&amp;LEFT($C$5,2)&amp;"输出",标准坦克设计!$B$23:$U$23,0)))*(VLOOKUP($B100,INDIRECT($B$5&amp;"生成成长"),3))*(VLOOKUP($B$5,标准坦克设计!$B$14:$K$20,9)/30))</f>
        <v>17.108164269371521</v>
      </c>
      <c r="CM100" s="172">
        <f ca="1">(VLOOKUP(CM$72,INDIRECT($C$5&amp;"生成成长"),2))/((VLOOKUP($B100,INDIRECT($B$5&amp;"生成成长"),4))/(VLOOKUP(CM$72,INDIRECT($C$5&amp;"生成成长"),5))*(VLOOKUP($B$5,标准坦克设计!$B$24:$U$30,MATCH("对"&amp;LEFT($C$5,2)&amp;"输出",标准坦克设计!$B$23:$U$23,0)))*(VLOOKUP($B100,INDIRECT($B$5&amp;"生成成长"),3))*(VLOOKUP($B$5,标准坦克设计!$B$14:$K$20,9)/30))</f>
        <v>18.229719263097227</v>
      </c>
      <c r="CN100" s="172">
        <f ca="1">(VLOOKUP(CN$72,INDIRECT($C$5&amp;"生成成长"),2))/((VLOOKUP($B100,INDIRECT($B$5&amp;"生成成长"),4))/(VLOOKUP(CN$72,INDIRECT($C$5&amp;"生成成长"),5))*(VLOOKUP($B$5,标准坦克设计!$B$24:$U$30,MATCH("对"&amp;LEFT($C$5,2)&amp;"输出",标准坦克设计!$B$23:$U$23,0)))*(VLOOKUP($B100,INDIRECT($B$5&amp;"生成成长"),3))*(VLOOKUP($B$5,标准坦克设计!$B$14:$K$20,9)/30))</f>
        <v>19.38687917725867</v>
      </c>
      <c r="CO100" s="172">
        <f ca="1">(VLOOKUP(CO$72,INDIRECT($C$5&amp;"生成成长"),2))/((VLOOKUP($B100,INDIRECT($B$5&amp;"生成成长"),4))/(VLOOKUP(CO$72,INDIRECT($C$5&amp;"生成成长"),5))*(VLOOKUP($B$5,标准坦克设计!$B$24:$U$30,MATCH("对"&amp;LEFT($C$5,2)&amp;"输出",标准坦克设计!$B$23:$U$23,0)))*(VLOOKUP($B100,INDIRECT($B$5&amp;"生成成长"),3))*(VLOOKUP($B$5,标准坦克设计!$B$14:$K$20,9)/30))</f>
        <v>8.68774771409017</v>
      </c>
      <c r="CP100" s="172">
        <f ca="1">(VLOOKUP(CP$72,INDIRECT($C$5&amp;"生成成长"),2))/((VLOOKUP($B100,INDIRECT($B$5&amp;"生成成长"),4))/(VLOOKUP(CP$72,INDIRECT($C$5&amp;"生成成长"),5))*(VLOOKUP($B$5,标准坦克设计!$B$24:$U$30,MATCH("对"&amp;LEFT($C$5,2)&amp;"输出",标准坦克设计!$B$23:$U$23,0)))*(VLOOKUP($B100,INDIRECT($B$5&amp;"生成成长"),3))*(VLOOKUP($B$5,标准坦克设计!$B$14:$K$20,9)/30))</f>
        <v>9.4920952348429495</v>
      </c>
      <c r="CQ100" s="172">
        <f ca="1">(VLOOKUP(CQ$72,INDIRECT($C$5&amp;"生成成长"),2))/((VLOOKUP($B100,INDIRECT($B$5&amp;"生成成长"),4))/(VLOOKUP(CQ$72,INDIRECT($C$5&amp;"生成成长"),5))*(VLOOKUP($B$5,标准坦克设计!$B$24:$U$30,MATCH("对"&amp;LEFT($C$5,2)&amp;"输出",标准坦克设计!$B$23:$U$23,0)))*(VLOOKUP($B100,INDIRECT($B$5&amp;"生成成长"),3))*(VLOOKUP($B$5,标准坦克设计!$B$14:$K$20,9)/30))</f>
        <v>10.332047676031467</v>
      </c>
      <c r="CR100" s="172">
        <f ca="1">(VLOOKUP(CR$72,INDIRECT($C$5&amp;"生成成长"),2))/((VLOOKUP($B100,INDIRECT($B$5&amp;"生成成长"),4))/(VLOOKUP(CR$72,INDIRECT($C$5&amp;"生成成长"),5))*(VLOOKUP($B$5,标准坦克设计!$B$24:$U$30,MATCH("对"&amp;LEFT($C$5,2)&amp;"输出",标准坦克设计!$B$23:$U$23,0)))*(VLOOKUP($B100,INDIRECT($B$5&amp;"生成成长"),3))*(VLOOKUP($B$5,标准坦克设计!$B$14:$K$20,9)/30))</f>
        <v>11.207605037655721</v>
      </c>
      <c r="CS100" s="172">
        <f ca="1">(VLOOKUP(CS$72,INDIRECT($C$5&amp;"生成成长"),2))/((VLOOKUP($B100,INDIRECT($B$5&amp;"生成成长"),4))/(VLOOKUP(CS$72,INDIRECT($C$5&amp;"生成成长"),5))*(VLOOKUP($B$5,标准坦克设计!$B$24:$U$30,MATCH("对"&amp;LEFT($C$5,2)&amp;"输出",标准坦克设计!$B$23:$U$23,0)))*(VLOOKUP($B100,INDIRECT($B$5&amp;"生成成长"),3))*(VLOOKUP($B$5,标准坦克设计!$B$14:$K$20,9)/30))</f>
        <v>12.11876731971571</v>
      </c>
      <c r="CT100" s="172">
        <f ca="1">(VLOOKUP(CT$72,INDIRECT($C$5&amp;"生成成长"),2))/((VLOOKUP($B100,INDIRECT($B$5&amp;"生成成长"),4))/(VLOOKUP(CT$72,INDIRECT($C$5&amp;"生成成长"),5))*(VLOOKUP($B$5,标准坦克设计!$B$24:$U$30,MATCH("对"&amp;LEFT($C$5,2)&amp;"输出",标准坦克设计!$B$23:$U$23,0)))*(VLOOKUP($B100,INDIRECT($B$5&amp;"生成成长"),3))*(VLOOKUP($B$5,标准坦克设计!$B$14:$K$20,9)/30))</f>
        <v>13.065534522211438</v>
      </c>
      <c r="CU100" s="172">
        <f ca="1">(VLOOKUP(CU$72,INDIRECT($C$5&amp;"生成成长"),2))/((VLOOKUP($B100,INDIRECT($B$5&amp;"生成成长"),4))/(VLOOKUP(CU$72,INDIRECT($C$5&amp;"生成成长"),5))*(VLOOKUP($B$5,标准坦克设计!$B$24:$U$30,MATCH("对"&amp;LEFT($C$5,2)&amp;"输出",标准坦克设计!$B$23:$U$23,0)))*(VLOOKUP($B100,INDIRECT($B$5&amp;"生成成长"),3))*(VLOOKUP($B$5,标准坦克设计!$B$14:$K$20,9)/30))</f>
        <v>14.047906645142906</v>
      </c>
      <c r="CV100" s="172">
        <f ca="1">(VLOOKUP(CV$72,INDIRECT($C$5&amp;"生成成长"),2))/((VLOOKUP($B100,INDIRECT($B$5&amp;"生成成长"),4))/(VLOOKUP(CV$72,INDIRECT($C$5&amp;"生成成长"),5))*(VLOOKUP($B$5,标准坦克设计!$B$24:$U$30,MATCH("对"&amp;LEFT($C$5,2)&amp;"输出",标准坦克设计!$B$23:$U$23,0)))*(VLOOKUP($B100,INDIRECT($B$5&amp;"生成成长"),3))*(VLOOKUP($B$5,标准坦克设计!$B$14:$K$20,9)/30))</f>
        <v>15.065883688510105</v>
      </c>
      <c r="CW100" s="172">
        <f ca="1">(VLOOKUP(CW$72,INDIRECT($C$5&amp;"生成成长"),2))/((VLOOKUP($B100,INDIRECT($B$5&amp;"生成成长"),4))/(VLOOKUP(CW$72,INDIRECT($C$5&amp;"生成成长"),5))*(VLOOKUP($B$5,标准坦克设计!$B$24:$U$30,MATCH("对"&amp;LEFT($C$5,2)&amp;"输出",标准坦克设计!$B$23:$U$23,0)))*(VLOOKUP($B100,INDIRECT($B$5&amp;"生成成长"),3))*(VLOOKUP($B$5,标准坦克设计!$B$14:$K$20,9)/30))</f>
        <v>16.119465652313043</v>
      </c>
      <c r="CX100" s="172">
        <f ca="1">(VLOOKUP(CX$72,INDIRECT($C$5&amp;"生成成长"),2))/((VLOOKUP($B100,INDIRECT($B$5&amp;"生成成长"),4))/(VLOOKUP(CX$72,INDIRECT($C$5&amp;"生成成长"),5))*(VLOOKUP($B$5,标准坦克设计!$B$24:$U$30,MATCH("对"&amp;LEFT($C$5,2)&amp;"输出",标准坦克设计!$B$23:$U$23,0)))*(VLOOKUP($B100,INDIRECT($B$5&amp;"生成成长"),3))*(VLOOKUP($B$5,标准坦克设计!$B$14:$K$20,9)/30))</f>
        <v>17.208652536551718</v>
      </c>
      <c r="CY100" s="172">
        <f ca="1">(VLOOKUP(CY$72,INDIRECT($C$5&amp;"生成成长"),2))/((VLOOKUP($B100,INDIRECT($B$5&amp;"生成成长"),4))/(VLOOKUP(CY$72,INDIRECT($C$5&amp;"生成成长"),5))*(VLOOKUP($B$5,标准坦克设计!$B$24:$U$30,MATCH("对"&amp;LEFT($C$5,2)&amp;"输出",标准坦克设计!$B$23:$U$23,0)))*(VLOOKUP($B100,INDIRECT($B$5&amp;"生成成长"),3))*(VLOOKUP($B$5,标准坦克设计!$B$14:$K$20,9)/30))</f>
        <v>18.33344434122613</v>
      </c>
      <c r="CZ100" s="172">
        <f ca="1">(VLOOKUP(CZ$72,INDIRECT($C$5&amp;"生成成长"),2))/((VLOOKUP($B100,INDIRECT($B$5&amp;"生成成长"),4))/(VLOOKUP(CZ$72,INDIRECT($C$5&amp;"生成成长"),5))*(VLOOKUP($B$5,标准坦克设计!$B$24:$U$30,MATCH("对"&amp;LEFT($C$5,2)&amp;"输出",标准坦克设计!$B$23:$U$23,0)))*(VLOOKUP($B100,INDIRECT($B$5&amp;"生成成长"),3))*(VLOOKUP($B$5,标准坦克设计!$B$14:$K$20,9)/30))</f>
        <v>19.49384106633628</v>
      </c>
      <c r="DA100" s="172">
        <f ca="1">(VLOOKUP(DA$72,INDIRECT($C$5&amp;"生成成长"),2))/((VLOOKUP($B100,INDIRECT($B$5&amp;"生成成长"),4))/(VLOOKUP(DA$72,INDIRECT($C$5&amp;"生成成长"),5))*(VLOOKUP($B$5,标准坦克设计!$B$24:$U$30,MATCH("对"&amp;LEFT($C$5,2)&amp;"输出",标准坦克设计!$B$23:$U$23,0)))*(VLOOKUP($B100,INDIRECT($B$5&amp;"生成成长"),3))*(VLOOKUP($B$5,标准坦克设计!$B$14:$K$20,9)/30))</f>
        <v>20.689842711882164</v>
      </c>
      <c r="DB100" s="172">
        <f ca="1">(VLOOKUP(DB$72,INDIRECT($C$5&amp;"生成成长"),2))/((VLOOKUP($B100,INDIRECT($B$5&amp;"生成成长"),4))/(VLOOKUP(DB$72,INDIRECT($C$5&amp;"生成成长"),5))*(VLOOKUP($B$5,标准坦克设计!$B$24:$U$30,MATCH("对"&amp;LEFT($C$5,2)&amp;"输出",标准坦克设计!$B$23:$U$23,0)))*(VLOOKUP($B100,INDIRECT($B$5&amp;"生成成长"),3))*(VLOOKUP($B$5,标准坦克设计!$B$14:$K$20,9)/30))</f>
        <v>21.921449277863786</v>
      </c>
      <c r="DC100" s="172">
        <f ca="1">(VLOOKUP(DC$72,INDIRECT($C$5&amp;"生成成长"),2))/((VLOOKUP($B100,INDIRECT($B$5&amp;"生成成长"),4))/(VLOOKUP(DC$72,INDIRECT($C$5&amp;"生成成长"),5))*(VLOOKUP($B$5,标准坦克设计!$B$24:$U$30,MATCH("对"&amp;LEFT($C$5,2)&amp;"输出",标准坦克设计!$B$23:$U$23,0)))*(VLOOKUP($B100,INDIRECT($B$5&amp;"生成成长"),3))*(VLOOKUP($B$5,标准坦克设计!$B$14:$K$20,9)/30))</f>
        <v>23.305627341745648</v>
      </c>
      <c r="DD100" s="172">
        <f ca="1">(VLOOKUP(DD$72,INDIRECT($C$5&amp;"生成成长"),2))/((VLOOKUP($B100,INDIRECT($B$5&amp;"生成成长"),4))/(VLOOKUP(DD$72,INDIRECT($C$5&amp;"生成成长"),5))*(VLOOKUP($B$5,标准坦克设计!$B$24:$U$30,MATCH("对"&amp;LEFT($C$5,2)&amp;"输出",标准坦克设计!$B$23:$U$23,0)))*(VLOOKUP($B100,INDIRECT($B$5&amp;"生成成长"),3))*(VLOOKUP($B$5,标准坦克设计!$B$14:$K$20,9)/30))</f>
        <v>24.732178203501455</v>
      </c>
      <c r="DE100" s="172">
        <f ca="1">(VLOOKUP(DE$72,INDIRECT($C$5&amp;"生成成长"),2))/((VLOOKUP($B100,INDIRECT($B$5&amp;"生成成长"),4))/(VLOOKUP(DE$72,INDIRECT($C$5&amp;"生成成长"),5))*(VLOOKUP($B$5,标准坦克设计!$B$24:$U$30,MATCH("对"&amp;LEFT($C$5,2)&amp;"输出",标准坦克设计!$B$23:$U$23,0)))*(VLOOKUP($B100,INDIRECT($B$5&amp;"生成成长"),3))*(VLOOKUP($B$5,标准坦克设计!$B$14:$K$20,9)/30))</f>
        <v>26.201101863131186</v>
      </c>
      <c r="DF100" s="172">
        <f ca="1">(VLOOKUP(DF$72,INDIRECT($C$5&amp;"生成成长"),2))/((VLOOKUP($B100,INDIRECT($B$5&amp;"生成成长"),4))/(VLOOKUP(DF$72,INDIRECT($C$5&amp;"生成成长"),5))*(VLOOKUP($B$5,标准坦克设计!$B$24:$U$30,MATCH("对"&amp;LEFT($C$5,2)&amp;"输出",标准坦克设计!$B$23:$U$23,0)))*(VLOOKUP($B100,INDIRECT($B$5&amp;"生成成长"),3))*(VLOOKUP($B$5,标准坦克设计!$B$14:$K$20,9)/30))</f>
        <v>27.712398320634858</v>
      </c>
      <c r="DG100" s="172">
        <f ca="1">(VLOOKUP(DG$72,INDIRECT($C$5&amp;"生成成长"),2))/((VLOOKUP($B100,INDIRECT($B$5&amp;"生成成长"),4))/(VLOOKUP(DG$72,INDIRECT($C$5&amp;"生成成长"),5))*(VLOOKUP($B$5,标准坦克设计!$B$24:$U$30,MATCH("对"&amp;LEFT($C$5,2)&amp;"输出",标准坦克设计!$B$23:$U$23,0)))*(VLOOKUP($B100,INDIRECT($B$5&amp;"生成成长"),3))*(VLOOKUP($B$5,标准坦克设计!$B$14:$K$20,9)/30))</f>
        <v>29.26606757601246</v>
      </c>
      <c r="DH100" s="172">
        <f ca="1">(VLOOKUP(DH$72,INDIRECT($C$5&amp;"生成成长"),2))/((VLOOKUP($B100,INDIRECT($B$5&amp;"生成成长"),4))/(VLOOKUP(DH$72,INDIRECT($C$5&amp;"生成成长"),5))*(VLOOKUP($B$5,标准坦克设计!$B$24:$U$30,MATCH("对"&amp;LEFT($C$5,2)&amp;"输出",标准坦克设计!$B$23:$U$23,0)))*(VLOOKUP($B100,INDIRECT($B$5&amp;"生成成长"),3))*(VLOOKUP($B$5,标准坦克设计!$B$14:$K$20,9)/30))</f>
        <v>30.862109629264012</v>
      </c>
      <c r="DI100" s="172">
        <f ca="1">(VLOOKUP(DI$72,INDIRECT($C$5&amp;"生成成长"),2))/((VLOOKUP($B100,INDIRECT($B$5&amp;"生成成长"),4))/(VLOOKUP(DI$72,INDIRECT($C$5&amp;"生成成长"),5))*(VLOOKUP($B$5,标准坦克设计!$B$24:$U$30,MATCH("对"&amp;LEFT($C$5,2)&amp;"输出",标准坦克设计!$B$23:$U$23,0)))*(VLOOKUP($B100,INDIRECT($B$5&amp;"生成成长"),3))*(VLOOKUP($B$5,标准坦克设计!$B$14:$K$20,9)/30))</f>
        <v>32.50052448038948</v>
      </c>
      <c r="DJ100" s="172">
        <f ca="1">(VLOOKUP(DJ$72,INDIRECT($C$5&amp;"生成成长"),2))/((VLOOKUP($B100,INDIRECT($B$5&amp;"生成成长"),4))/(VLOOKUP(DJ$72,INDIRECT($C$5&amp;"生成成长"),5))*(VLOOKUP($B$5,标准坦克设计!$B$24:$U$30,MATCH("对"&amp;LEFT($C$5,2)&amp;"输出",标准坦克设计!$B$23:$U$23,0)))*(VLOOKUP($B100,INDIRECT($B$5&amp;"生成成长"),3))*(VLOOKUP($B$5,标准坦克设计!$B$14:$K$20,9)/30))</f>
        <v>3.2663836305528595</v>
      </c>
      <c r="DK100" s="172">
        <f ca="1">(VLOOKUP(DK$72,INDIRECT($C$5&amp;"生成成长"),2))/((VLOOKUP($B100,INDIRECT($B$5&amp;"生成成长"),4))/(VLOOKUP(DK$72,INDIRECT($C$5&amp;"生成成长"),5))*(VLOOKUP($B$5,标准坦克设计!$B$24:$U$30,MATCH("对"&amp;LEFT($C$5,2)&amp;"输出",标准坦克设计!$B$23:$U$23,0)))*(VLOOKUP($B100,INDIRECT($B$5&amp;"生成成长"),3))*(VLOOKUP($B$5,标准坦克设计!$B$14:$K$20,9)/30))</f>
        <v>3.6728976601559209</v>
      </c>
      <c r="DL100" s="172">
        <f ca="1">(VLOOKUP(DL$72,INDIRECT($C$5&amp;"生成成长"),2))/((VLOOKUP($B100,INDIRECT($B$5&amp;"生成成长"),4))/(VLOOKUP(DL$72,INDIRECT($C$5&amp;"生成成长"),5))*(VLOOKUP($B$5,标准坦克设计!$B$24:$U$30,MATCH("对"&amp;LEFT($C$5,2)&amp;"输出",标准坦克设计!$B$23:$U$23,0)))*(VLOOKUP($B100,INDIRECT($B$5&amp;"生成成长"),3))*(VLOOKUP($B$5,标准坦克设计!$B$14:$K$20,9)/30))</f>
        <v>4.1032463885630701</v>
      </c>
      <c r="DM100" s="172">
        <f ca="1">(VLOOKUP(DM$72,INDIRECT($C$5&amp;"生成成长"),2))/((VLOOKUP($B100,INDIRECT($B$5&amp;"生成成长"),4))/(VLOOKUP(DM$72,INDIRECT($C$5&amp;"生成成长"),5))*(VLOOKUP($B$5,标准坦克设计!$B$24:$U$30,MATCH("对"&amp;LEFT($C$5,2)&amp;"输出",标准坦克设计!$B$23:$U$23,0)))*(VLOOKUP($B100,INDIRECT($B$5&amp;"生成成长"),3))*(VLOOKUP($B$5,标准坦克设计!$B$14:$K$20,9)/30))</f>
        <v>4.5574298157743067</v>
      </c>
      <c r="DN100" s="172">
        <f ca="1">(VLOOKUP(DN$72,INDIRECT($C$5&amp;"生成成长"),2))/((VLOOKUP($B100,INDIRECT($B$5&amp;"生成成长"),4))/(VLOOKUP(DN$72,INDIRECT($C$5&amp;"生成成长"),5))*(VLOOKUP($B$5,标准坦克设计!$B$24:$U$30,MATCH("对"&amp;LEFT($C$5,2)&amp;"输出",标准坦克设计!$B$23:$U$23,0)))*(VLOOKUP($B100,INDIRECT($B$5&amp;"生成成长"),3))*(VLOOKUP($B$5,标准坦克设计!$B$14:$K$20,9)/30))</f>
        <v>5.0354479417896334</v>
      </c>
      <c r="DO100" s="172">
        <f ca="1">(VLOOKUP(DO$72,INDIRECT($C$5&amp;"生成成长"),2))/((VLOOKUP($B100,INDIRECT($B$5&amp;"生成成长"),4))/(VLOOKUP(DO$72,INDIRECT($C$5&amp;"生成成长"),5))*(VLOOKUP($B$5,标准坦克设计!$B$24:$U$30,MATCH("对"&amp;LEFT($C$5,2)&amp;"输出",标准坦克设计!$B$23:$U$23,0)))*(VLOOKUP($B100,INDIRECT($B$5&amp;"生成成长"),3))*(VLOOKUP($B$5,标准坦克设计!$B$14:$K$20,9)/30))</f>
        <v>5.5373007666090466</v>
      </c>
      <c r="DP100" s="172">
        <f ca="1">(VLOOKUP(DP$72,INDIRECT($C$5&amp;"生成成长"),2))/((VLOOKUP($B100,INDIRECT($B$5&amp;"生成成长"),4))/(VLOOKUP(DP$72,INDIRECT($C$5&amp;"生成成长"),5))*(VLOOKUP($B$5,标准坦克设计!$B$24:$U$30,MATCH("对"&amp;LEFT($C$5,2)&amp;"输出",标准坦克设计!$B$23:$U$23,0)))*(VLOOKUP($B100,INDIRECT($B$5&amp;"生成成长"),3))*(VLOOKUP($B$5,标准坦克设计!$B$14:$K$20,9)/30))</f>
        <v>6.0629882902325489</v>
      </c>
      <c r="DQ100" s="172">
        <f ca="1">(VLOOKUP(DQ$72,INDIRECT($C$5&amp;"生成成长"),2))/((VLOOKUP($B100,INDIRECT($B$5&amp;"生成成长"),4))/(VLOOKUP(DQ$72,INDIRECT($C$5&amp;"生成成长"),5))*(VLOOKUP($B$5,标准坦克设计!$B$24:$U$30,MATCH("对"&amp;LEFT($C$5,2)&amp;"输出",标准坦克设计!$B$23:$U$23,0)))*(VLOOKUP($B100,INDIRECT($B$5&amp;"生成成长"),3))*(VLOOKUP($B$5,标准坦克设计!$B$14:$K$20,9)/30))</f>
        <v>6.6125105126601396</v>
      </c>
      <c r="DR100" s="172">
        <f ca="1">(VLOOKUP(DR$72,INDIRECT($C$5&amp;"生成成长"),2))/((VLOOKUP($B100,INDIRECT($B$5&amp;"生成成长"),4))/(VLOOKUP(DR$72,INDIRECT($C$5&amp;"生成成长"),5))*(VLOOKUP($B$5,标准坦克设计!$B$24:$U$30,MATCH("对"&amp;LEFT($C$5,2)&amp;"输出",标准坦克设计!$B$23:$U$23,0)))*(VLOOKUP($B100,INDIRECT($B$5&amp;"生成成长"),3))*(VLOOKUP($B$5,标准坦克设计!$B$14:$K$20,9)/30))</f>
        <v>7.1858674338918158</v>
      </c>
      <c r="DS100" s="172">
        <f ca="1">(VLOOKUP(DS$72,INDIRECT($C$5&amp;"生成成长"),2))/((VLOOKUP($B100,INDIRECT($B$5&amp;"生成成长"),4))/(VLOOKUP(DS$72,INDIRECT($C$5&amp;"生成成长"),5))*(VLOOKUP($B$5,标准坦克设计!$B$24:$U$30,MATCH("对"&amp;LEFT($C$5,2)&amp;"输出",标准坦克设计!$B$23:$U$23,0)))*(VLOOKUP($B100,INDIRECT($B$5&amp;"生成成长"),3))*(VLOOKUP($B$5,标准坦克设计!$B$14:$K$20,9)/30))</f>
        <v>7.7830590539275857</v>
      </c>
      <c r="DT100" s="172">
        <f ca="1">(VLOOKUP(DT$72,INDIRECT($C$5&amp;"生成成长"),2))/((VLOOKUP($B100,INDIRECT($B$5&amp;"生成成长"),4))/(VLOOKUP(DT$72,INDIRECT($C$5&amp;"生成成长"),5))*(VLOOKUP($B$5,标准坦克设计!$B$24:$U$30,MATCH("对"&amp;LEFT($C$5,2)&amp;"输出",标准坦克设计!$B$23:$U$23,0)))*(VLOOKUP($B100,INDIRECT($B$5&amp;"生成成长"),3))*(VLOOKUP($B$5,标准坦克设计!$B$14:$K$20,9)/30))</f>
        <v>8.5453280323472214</v>
      </c>
      <c r="DU100" s="172">
        <f ca="1">(VLOOKUP(DU$72,INDIRECT($C$5&amp;"生成成长"),2))/((VLOOKUP($B100,INDIRECT($B$5&amp;"生成成长"),4))/(VLOOKUP(DU$72,INDIRECT($C$5&amp;"生成成长"),5))*(VLOOKUP($B$5,标准坦克设计!$B$24:$U$30,MATCH("对"&amp;LEFT($C$5,2)&amp;"输出",标准坦克设计!$B$23:$U$23,0)))*(VLOOKUP($B100,INDIRECT($B$5&amp;"生成成长"),3))*(VLOOKUP($B$5,标准坦克设计!$B$14:$K$20,9)/30))</f>
        <v>9.3432019312025947</v>
      </c>
      <c r="DV100" s="172">
        <f ca="1">(VLOOKUP(DV$72,INDIRECT($C$5&amp;"生成成长"),2))/((VLOOKUP($B100,INDIRECT($B$5&amp;"生成成长"),4))/(VLOOKUP(DV$72,INDIRECT($C$5&amp;"生成成长"),5))*(VLOOKUP($B$5,标准坦克设计!$B$24:$U$30,MATCH("对"&amp;LEFT($C$5,2)&amp;"输出",标准坦克设计!$B$23:$U$23,0)))*(VLOOKUP($B100,INDIRECT($B$5&amp;"生成成长"),3))*(VLOOKUP($B$5,标准坦克设计!$B$14:$K$20,9)/30))</f>
        <v>10.176680750493706</v>
      </c>
      <c r="DW100" s="172">
        <f ca="1">(VLOOKUP(DW$72,INDIRECT($C$5&amp;"生成成长"),2))/((VLOOKUP($B100,INDIRECT($B$5&amp;"生成成长"),4))/(VLOOKUP(DW$72,INDIRECT($C$5&amp;"生成成长"),5))*(VLOOKUP($B$5,标准坦克设计!$B$24:$U$30,MATCH("对"&amp;LEFT($C$5,2)&amp;"输出",标准坦克设计!$B$23:$U$23,0)))*(VLOOKUP($B100,INDIRECT($B$5&amp;"生成成长"),3))*(VLOOKUP($B$5,标准坦克设计!$B$14:$K$20,9)/30))</f>
        <v>11.045764490220554</v>
      </c>
      <c r="DX100" s="172">
        <f ca="1">(VLOOKUP(DX$72,INDIRECT($C$5&amp;"生成成长"),2))/((VLOOKUP($B100,INDIRECT($B$5&amp;"生成成长"),4))/(VLOOKUP(DX$72,INDIRECT($C$5&amp;"生成成长"),5))*(VLOOKUP($B$5,标准坦克设计!$B$24:$U$30,MATCH("对"&amp;LEFT($C$5,2)&amp;"输出",标准坦克设计!$B$23:$U$23,0)))*(VLOOKUP($B100,INDIRECT($B$5&amp;"生成成长"),3))*(VLOOKUP($B$5,标准坦克设计!$B$14:$K$20,9)/30))</f>
        <v>11.95045315038314</v>
      </c>
      <c r="DY100" s="172">
        <f ca="1">(VLOOKUP(DY$72,INDIRECT($C$5&amp;"生成成长"),2))/((VLOOKUP($B100,INDIRECT($B$5&amp;"生成成长"),4))/(VLOOKUP(DY$72,INDIRECT($C$5&amp;"生成成长"),5))*(VLOOKUP($B$5,标准坦克设计!$B$24:$U$30,MATCH("对"&amp;LEFT($C$5,2)&amp;"输出",标准坦克设计!$B$23:$U$23,0)))*(VLOOKUP($B100,INDIRECT($B$5&amp;"生成成长"),3))*(VLOOKUP($B$5,标准坦克设计!$B$14:$K$20,9)/30))</f>
        <v>5.3673681918021208</v>
      </c>
      <c r="DZ100" s="172">
        <f ca="1">(VLOOKUP(DZ$72,INDIRECT($C$5&amp;"生成成长"),2))/((VLOOKUP($B100,INDIRECT($B$5&amp;"生成成长"),4))/(VLOOKUP(DZ$72,INDIRECT($C$5&amp;"生成成长"),5))*(VLOOKUP($B$5,标准坦克设计!$B$24:$U$30,MATCH("对"&amp;LEFT($C$5,2)&amp;"输出",标准坦克设计!$B$23:$U$23,0)))*(VLOOKUP($B100,INDIRECT($B$5&amp;"生成成长"),3))*(VLOOKUP($B$5,标准坦克设计!$B$14:$K$20,9)/30))</f>
        <v>5.9441090517528989</v>
      </c>
      <c r="EA100" s="172">
        <f ca="1">(VLOOKUP(EA$72,INDIRECT($C$5&amp;"生成成长"),2))/((VLOOKUP($B100,INDIRECT($B$5&amp;"生成成长"),4))/(VLOOKUP(EA$72,INDIRECT($C$5&amp;"生成成长"),5))*(VLOOKUP($B$5,标准坦克设计!$B$24:$U$30,MATCH("对"&amp;LEFT($C$5,2)&amp;"输出",标准坦克设计!$B$23:$U$23,0)))*(VLOOKUP($B100,INDIRECT($B$5&amp;"生成成长"),3))*(VLOOKUP($B$5,标准坦克设计!$B$14:$K$20,9)/30))</f>
        <v>6.5502754657827964</v>
      </c>
      <c r="EB100" s="172">
        <f ca="1">(VLOOKUP(EB$72,INDIRECT($C$5&amp;"生成成长"),2))/((VLOOKUP($B100,INDIRECT($B$5&amp;"生成成长"),4))/(VLOOKUP(EB$72,INDIRECT($C$5&amp;"生成成长"),5))*(VLOOKUP($B$5,标准坦克设计!$B$24:$U$30,MATCH("对"&amp;LEFT($C$5,2)&amp;"输出",标准坦克设计!$B$23:$U$23,0)))*(VLOOKUP($B100,INDIRECT($B$5&amp;"生成成长"),3))*(VLOOKUP($B$5,标准坦克设计!$B$14:$K$20,9)/30))</f>
        <v>7.1858674338918158</v>
      </c>
      <c r="EC100" s="172">
        <f ca="1">(VLOOKUP(EC$72,INDIRECT($C$5&amp;"生成成长"),2))/((VLOOKUP($B100,INDIRECT($B$5&amp;"生成成长"),4))/(VLOOKUP(EC$72,INDIRECT($C$5&amp;"生成成长"),5))*(VLOOKUP($B$5,标准坦克设计!$B$24:$U$30,MATCH("对"&amp;LEFT($C$5,2)&amp;"输出",标准坦克设计!$B$23:$U$23,0)))*(VLOOKUP($B100,INDIRECT($B$5&amp;"生成成长"),3))*(VLOOKUP($B$5,标准坦克设计!$B$14:$K$20,9)/30))</f>
        <v>7.8508849560799572</v>
      </c>
      <c r="ED100" s="172">
        <f ca="1">(VLOOKUP(ED$72,INDIRECT($C$5&amp;"生成成长"),2))/((VLOOKUP($B100,INDIRECT($B$5&amp;"生成成长"),4))/(VLOOKUP(ED$72,INDIRECT($C$5&amp;"生成成长"),5))*(VLOOKUP($B$5,标准坦克设计!$B$24:$U$30,MATCH("对"&amp;LEFT($C$5,2)&amp;"输出",标准坦克设计!$B$23:$U$23,0)))*(VLOOKUP($B100,INDIRECT($B$5&amp;"生成成长"),3))*(VLOOKUP($B$5,标准坦克设计!$B$14:$K$20,9)/30))</f>
        <v>8.5453280323472214</v>
      </c>
      <c r="EE100" s="172">
        <f ca="1">(VLOOKUP(EE$72,INDIRECT($C$5&amp;"生成成长"),2))/((VLOOKUP($B100,INDIRECT($B$5&amp;"生成成长"),4))/(VLOOKUP(EE$72,INDIRECT($C$5&amp;"生成成长"),5))*(VLOOKUP($B$5,标准坦克设计!$B$24:$U$30,MATCH("对"&amp;LEFT($C$5,2)&amp;"输出",标准坦克设计!$B$23:$U$23,0)))*(VLOOKUP($B100,INDIRECT($B$5&amp;"生成成长"),3))*(VLOOKUP($B$5,标准坦克设计!$B$14:$K$20,9)/30))</f>
        <v>9.2691966626936058</v>
      </c>
      <c r="EF100" s="172">
        <f ca="1">(VLOOKUP(EF$72,INDIRECT($C$5&amp;"生成成长"),2))/((VLOOKUP($B100,INDIRECT($B$5&amp;"生成成长"),4))/(VLOOKUP(EF$72,INDIRECT($C$5&amp;"生成成长"),5))*(VLOOKUP($B$5,标准坦克设计!$B$24:$U$30,MATCH("对"&amp;LEFT($C$5,2)&amp;"输出",标准坦克设计!$B$23:$U$23,0)))*(VLOOKUP($B100,INDIRECT($B$5&amp;"生成成长"),3))*(VLOOKUP($B$5,标准坦克设计!$B$14:$K$20,9)/30))</f>
        <v>10.02249084711911</v>
      </c>
      <c r="EG100" s="172">
        <f ca="1">(VLOOKUP(EG$72,INDIRECT($C$5&amp;"生成成长"),2))/((VLOOKUP($B100,INDIRECT($B$5&amp;"生成成长"),4))/(VLOOKUP(EG$72,INDIRECT($C$5&amp;"生成成长"),5))*(VLOOKUP($B$5,标准坦克设计!$B$24:$U$30,MATCH("对"&amp;LEFT($C$5,2)&amp;"输出",标准坦克设计!$B$23:$U$23,0)))*(VLOOKUP($B100,INDIRECT($B$5&amp;"生成成长"),3))*(VLOOKUP($B$5,标准坦克设计!$B$14:$K$20,9)/30))</f>
        <v>10.805210585623739</v>
      </c>
      <c r="EH100" s="172">
        <f ca="1">(VLOOKUP(EH$72,INDIRECT($C$5&amp;"生成成长"),2))/((VLOOKUP($B100,INDIRECT($B$5&amp;"生成成长"),4))/(VLOOKUP(EH$72,INDIRECT($C$5&amp;"生成成长"),5))*(VLOOKUP($B$5,标准坦克设计!$B$24:$U$30,MATCH("对"&amp;LEFT($C$5,2)&amp;"输出",标准坦克设计!$B$23:$U$23,0)))*(VLOOKUP($B100,INDIRECT($B$5&amp;"生成成长"),3))*(VLOOKUP($B$5,标准坦克设计!$B$14:$K$20,9)/30))</f>
        <v>11.617355878207485</v>
      </c>
      <c r="EI100" s="172">
        <f ca="1">(VLOOKUP(EI$72,INDIRECT($C$5&amp;"生成成长"),2))/((VLOOKUP($B100,INDIRECT($B$5&amp;"生成成长"),4))/(VLOOKUP(EI$72,INDIRECT($C$5&amp;"生成成长"),5))*(VLOOKUP($B$5,标准坦克设计!$B$24:$U$30,MATCH("对"&amp;LEFT($C$5,2)&amp;"输出",标准坦克设计!$B$23:$U$23,0)))*(VLOOKUP($B100,INDIRECT($B$5&amp;"生成成长"),3))*(VLOOKUP($B$5,标准坦克设计!$B$14:$K$20,9)/30))</f>
        <v>12.458926724870354</v>
      </c>
      <c r="EJ100" s="172">
        <f ca="1">(VLOOKUP(EJ$72,INDIRECT($C$5&amp;"生成成长"),2))/((VLOOKUP($B100,INDIRECT($B$5&amp;"生成成长"),4))/(VLOOKUP(EJ$72,INDIRECT($C$5&amp;"生成成长"),5))*(VLOOKUP($B$5,标准坦克设计!$B$24:$U$30,MATCH("对"&amp;LEFT($C$5,2)&amp;"输出",标准坦克设计!$B$23:$U$23,0)))*(VLOOKUP($B100,INDIRECT($B$5&amp;"生成成长"),3))*(VLOOKUP($B$5,标准坦克设计!$B$14:$K$20,9)/30))</f>
        <v>13.329923125612346</v>
      </c>
      <c r="EK100" s="172">
        <f ca="1">(VLOOKUP(EK$72,INDIRECT($C$5&amp;"生成成长"),2))/((VLOOKUP($B100,INDIRECT($B$5&amp;"生成成长"),4))/(VLOOKUP(EK$72,INDIRECT($C$5&amp;"生成成长"),5))*(VLOOKUP($B$5,标准坦克设计!$B$24:$U$30,MATCH("对"&amp;LEFT($C$5,2)&amp;"输出",标准坦克设计!$B$23:$U$23,0)))*(VLOOKUP($B100,INDIRECT($B$5&amp;"生成成长"),3))*(VLOOKUP($B$5,标准坦克设计!$B$14:$K$20,9)/30))</f>
        <v>14.413960537887174</v>
      </c>
      <c r="EL100" s="172">
        <f ca="1">(VLOOKUP(EL$72,INDIRECT($C$5&amp;"生成成长"),2))/((VLOOKUP($B100,INDIRECT($B$5&amp;"生成成长"),4))/(VLOOKUP(EL$72,INDIRECT($C$5&amp;"生成成长"),5))*(VLOOKUP($B$5,标准坦克设计!$B$24:$U$30,MATCH("对"&amp;LEFT($C$5,2)&amp;"输出",标准坦克设计!$B$23:$U$23,0)))*(VLOOKUP($B100,INDIRECT($B$5&amp;"生成成长"),3))*(VLOOKUP($B$5,标准坦克设计!$B$14:$K$20,9)/30))</f>
        <v>15.540370748035938</v>
      </c>
      <c r="EM100" s="172">
        <f ca="1">(VLOOKUP(EM$72,INDIRECT($C$5&amp;"生成成长"),2))/((VLOOKUP($B100,INDIRECT($B$5&amp;"生成成长"),4))/(VLOOKUP(EM$72,INDIRECT($C$5&amp;"生成成长"),5))*(VLOOKUP($B$5,标准坦克设计!$B$24:$U$30,MATCH("对"&amp;LEFT($C$5,2)&amp;"输出",标准坦克设计!$B$23:$U$23,0)))*(VLOOKUP($B100,INDIRECT($B$5&amp;"生成成长"),3))*(VLOOKUP($B$5,标准坦克设计!$B$14:$K$20,9)/30))</f>
        <v>16.709153756058633</v>
      </c>
      <c r="EN100" s="172">
        <f ca="1">(VLOOKUP(EN$72,INDIRECT($C$5&amp;"生成成长"),2))/((VLOOKUP($B100,INDIRECT($B$5&amp;"生成成长"),4))/(VLOOKUP(EN$72,INDIRECT($C$5&amp;"生成成长"),5))*(VLOOKUP($B$5,标准坦克设计!$B$24:$U$30,MATCH("对"&amp;LEFT($C$5,2)&amp;"输出",标准坦克设计!$B$23:$U$23,0)))*(VLOOKUP($B100,INDIRECT($B$5&amp;"生成成长"),3))*(VLOOKUP($B$5,标准坦克设计!$B$14:$K$20,9)/30))</f>
        <v>17.920309561955264</v>
      </c>
      <c r="EO100" s="172">
        <f ca="1">(VLOOKUP(EO$72,INDIRECT($C$5&amp;"生成成长"),2))/((VLOOKUP($B100,INDIRECT($B$5&amp;"生成成长"),4))/(VLOOKUP(EO$72,INDIRECT($C$5&amp;"生成成长"),5))*(VLOOKUP($B$5,标准坦克设计!$B$24:$U$30,MATCH("对"&amp;LEFT($C$5,2)&amp;"输出",标准坦克设计!$B$23:$U$23,0)))*(VLOOKUP($B100,INDIRECT($B$5&amp;"生成成长"),3))*(VLOOKUP($B$5,标准坦克设计!$B$14:$K$20,9)/30))</f>
        <v>19.173838165725833</v>
      </c>
      <c r="EP100" s="172">
        <f ca="1">(VLOOKUP(EP$72,INDIRECT($C$5&amp;"生成成长"),2))/((VLOOKUP($B100,INDIRECT($B$5&amp;"生成成长"),4))/(VLOOKUP(EP$72,INDIRECT($C$5&amp;"生成成长"),5))*(VLOOKUP($B$5,标准坦克设计!$B$24:$U$30,MATCH("对"&amp;LEFT($C$5,2)&amp;"输出",标准坦克设计!$B$23:$U$23,0)))*(VLOOKUP($B100,INDIRECT($B$5&amp;"生成成长"),3))*(VLOOKUP($B$5,标准坦克设计!$B$14:$K$20,9)/30))</f>
        <v>20.46973956737034</v>
      </c>
      <c r="EQ100" s="172">
        <f ca="1">(VLOOKUP(EQ$72,INDIRECT($C$5&amp;"生成成长"),2))/((VLOOKUP($B100,INDIRECT($B$5&amp;"生成成长"),4))/(VLOOKUP(EQ$72,INDIRECT($C$5&amp;"生成成长"),5))*(VLOOKUP($B$5,标准坦克设计!$B$24:$U$30,MATCH("对"&amp;LEFT($C$5,2)&amp;"输出",标准坦克设计!$B$23:$U$23,0)))*(VLOOKUP($B100,INDIRECT($B$5&amp;"生成成长"),3))*(VLOOKUP($B$5,标准坦克设计!$B$14:$K$20,9)/30))</f>
        <v>9.0489463904113823</v>
      </c>
      <c r="ER100" s="172">
        <f ca="1">(VLOOKUP(ER$72,INDIRECT($C$5&amp;"生成成长"),2))/((VLOOKUP($B100,INDIRECT($B$5&amp;"生成成长"),4))/(VLOOKUP(ER$72,INDIRECT($C$5&amp;"生成成长"),5))*(VLOOKUP($B$5,标准坦克设计!$B$24:$U$30,MATCH("对"&amp;LEFT($C$5,2)&amp;"输出",标准坦克设计!$B$23:$U$23,0)))*(VLOOKUP($B100,INDIRECT($B$5&amp;"生成成长"),3))*(VLOOKUP($B$5,标准坦克设计!$B$14:$K$20,9)/30))</f>
        <v>9.869477965907679</v>
      </c>
      <c r="ES100" s="172">
        <f ca="1">(VLOOKUP(ES$72,INDIRECT($C$5&amp;"生成成长"),2))/((VLOOKUP($B100,INDIRECT($B$5&amp;"生成成长"),4))/(VLOOKUP(ES$72,INDIRECT($C$5&amp;"生成成长"),5))*(VLOOKUP($B$5,标准坦克设计!$B$24:$U$30,MATCH("对"&amp;LEFT($C$5,2)&amp;"输出",标准坦克设计!$B$23:$U$23,0)))*(VLOOKUP($B100,INDIRECT($B$5&amp;"生成成长"),3))*(VLOOKUP($B$5,标准坦克设计!$B$14:$K$20,9)/30))</f>
        <v>10.725614461839713</v>
      </c>
      <c r="ET100" s="172">
        <f ca="1">(VLOOKUP(ET$72,INDIRECT($C$5&amp;"生成成长"),2))/((VLOOKUP($B100,INDIRECT($B$5&amp;"生成成长"),4))/(VLOOKUP(ET$72,INDIRECT($C$5&amp;"生成成长"),5))*(VLOOKUP($B$5,标准坦克设计!$B$24:$U$30,MATCH("对"&amp;LEFT($C$5,2)&amp;"输出",标准坦克设计!$B$23:$U$23,0)))*(VLOOKUP($B100,INDIRECT($B$5&amp;"生成成长"),3))*(VLOOKUP($B$5,标准坦克设计!$B$14:$K$20,9)/30))</f>
        <v>11.617355878207485</v>
      </c>
      <c r="EU100" s="172">
        <f ca="1">(VLOOKUP(EU$72,INDIRECT($C$5&amp;"生成成长"),2))/((VLOOKUP($B100,INDIRECT($B$5&amp;"生成成长"),4))/(VLOOKUP(EU$72,INDIRECT($C$5&amp;"生成成长"),5))*(VLOOKUP($B$5,标准坦克设计!$B$24:$U$30,MATCH("对"&amp;LEFT($C$5,2)&amp;"输出",标准坦克设计!$B$23:$U$23,0)))*(VLOOKUP($B100,INDIRECT($B$5&amp;"生成成长"),3))*(VLOOKUP($B$5,标准坦克设计!$B$14:$K$20,9)/30))</f>
        <v>12.544702215010993</v>
      </c>
      <c r="EV100" s="172">
        <f ca="1">(VLOOKUP(EV$72,INDIRECT($C$5&amp;"生成成长"),2))/((VLOOKUP($B100,INDIRECT($B$5&amp;"生成成长"),4))/(VLOOKUP(EV$72,INDIRECT($C$5&amp;"生成成长"),5))*(VLOOKUP($B$5,标准坦克设计!$B$24:$U$30,MATCH("对"&amp;LEFT($C$5,2)&amp;"输出",标准坦克设计!$B$23:$U$23,0)))*(VLOOKUP($B100,INDIRECT($B$5&amp;"生成成长"),3))*(VLOOKUP($B$5,标准坦克设计!$B$14:$K$20,9)/30))</f>
        <v>13.507653472250237</v>
      </c>
      <c r="EW100" s="172">
        <f ca="1">(VLOOKUP(EW$72,INDIRECT($C$5&amp;"生成成长"),2))/((VLOOKUP($B100,INDIRECT($B$5&amp;"生成成长"),4))/(VLOOKUP(EW$72,INDIRECT($C$5&amp;"生成成长"),5))*(VLOOKUP($B$5,标准坦克设计!$B$24:$U$30,MATCH("对"&amp;LEFT($C$5,2)&amp;"输出",标准坦克设计!$B$23:$U$23,0)))*(VLOOKUP($B100,INDIRECT($B$5&amp;"生成成长"),3))*(VLOOKUP($B$5,标准坦克设计!$B$14:$K$20,9)/30))</f>
        <v>14.506209649925218</v>
      </c>
      <c r="EX100" s="172">
        <f ca="1">(VLOOKUP(EX$72,INDIRECT($C$5&amp;"生成成长"),2))/((VLOOKUP($B100,INDIRECT($B$5&amp;"生成成长"),4))/(VLOOKUP(EX$72,INDIRECT($C$5&amp;"生成成长"),5))*(VLOOKUP($B$5,标准坦克设计!$B$24:$U$30,MATCH("对"&amp;LEFT($C$5,2)&amp;"输出",标准坦克设计!$B$23:$U$23,0)))*(VLOOKUP($B100,INDIRECT($B$5&amp;"生成成长"),3))*(VLOOKUP($B$5,标准坦克设计!$B$14:$K$20,9)/30))</f>
        <v>15.540370748035938</v>
      </c>
      <c r="EY100" s="172">
        <f ca="1">(VLOOKUP(EY$72,INDIRECT($C$5&amp;"生成成长"),2))/((VLOOKUP($B100,INDIRECT($B$5&amp;"生成成长"),4))/(VLOOKUP(EY$72,INDIRECT($C$5&amp;"生成成长"),5))*(VLOOKUP($B$5,标准坦克设计!$B$24:$U$30,MATCH("对"&amp;LEFT($C$5,2)&amp;"输出",标准坦克设计!$B$23:$U$23,0)))*(VLOOKUP($B100,INDIRECT($B$5&amp;"生成成长"),3))*(VLOOKUP($B$5,标准坦克设计!$B$14:$K$20,9)/30))</f>
        <v>16.610136766582393</v>
      </c>
      <c r="EZ100" s="172">
        <f ca="1">(VLOOKUP(EZ$72,INDIRECT($C$5&amp;"生成成长"),2))/((VLOOKUP($B100,INDIRECT($B$5&amp;"生成成长"),4))/(VLOOKUP(EZ$72,INDIRECT($C$5&amp;"生成成长"),5))*(VLOOKUP($B$5,标准坦克设计!$B$24:$U$30,MATCH("对"&amp;LEFT($C$5,2)&amp;"输出",标准坦克设计!$B$23:$U$23,0)))*(VLOOKUP($B100,INDIRECT($B$5&amp;"生成成长"),3))*(VLOOKUP($B$5,标准坦克设计!$B$14:$K$20,9)/30))</f>
        <v>17.715507705564583</v>
      </c>
      <c r="FA100" s="172">
        <f ca="1">(VLOOKUP(FA$72,INDIRECT($C$5&amp;"生成成长"),2))/((VLOOKUP($B100,INDIRECT($B$5&amp;"生成成长"),4))/(VLOOKUP(FA$72,INDIRECT($C$5&amp;"生成成长"),5))*(VLOOKUP($B$5,标准坦克设计!$B$24:$U$30,MATCH("对"&amp;LEFT($C$5,2)&amp;"输出",标准坦克设计!$B$23:$U$23,0)))*(VLOOKUP($B100,INDIRECT($B$5&amp;"生成成长"),3))*(VLOOKUP($B$5,标准坦克设计!$B$14:$K$20,9)/30))</f>
        <v>18.856483564982515</v>
      </c>
      <c r="FB100" s="172">
        <f ca="1">(VLOOKUP(FB$72,INDIRECT($C$5&amp;"生成成长"),2))/((VLOOKUP($B100,INDIRECT($B$5&amp;"生成成长"),4))/(VLOOKUP(FB$72,INDIRECT($C$5&amp;"生成成长"),5))*(VLOOKUP($B$5,标准坦克设计!$B$24:$U$30,MATCH("对"&amp;LEFT($C$5,2)&amp;"输出",标准坦克设计!$B$23:$U$23,0)))*(VLOOKUP($B100,INDIRECT($B$5&amp;"生成成长"),3))*(VLOOKUP($B$5,标准坦克设计!$B$14:$K$20,9)/30))</f>
        <v>20.033064344836177</v>
      </c>
      <c r="FC100" s="172">
        <f ca="1">(VLOOKUP(FC$72,INDIRECT($C$5&amp;"生成成长"),2))/((VLOOKUP($B100,INDIRECT($B$5&amp;"生成成长"),4))/(VLOOKUP(FC$72,INDIRECT($C$5&amp;"生成成长"),5))*(VLOOKUP($B$5,标准坦克设计!$B$24:$U$30,MATCH("对"&amp;LEFT($C$5,2)&amp;"输出",标准坦克设计!$B$23:$U$23,0)))*(VLOOKUP($B100,INDIRECT($B$5&amp;"生成成长"),3))*(VLOOKUP($B$5,标准坦克设计!$B$14:$K$20,9)/30))</f>
        <v>21.245250045125577</v>
      </c>
      <c r="FD100" s="172">
        <f ca="1">(VLOOKUP(FD$72,INDIRECT($C$5&amp;"生成成长"),2))/((VLOOKUP($B100,INDIRECT($B$5&amp;"生成成长"),4))/(VLOOKUP(FD$72,INDIRECT($C$5&amp;"生成成长"),5))*(VLOOKUP($B$5,标准坦克设计!$B$24:$U$30,MATCH("对"&amp;LEFT($C$5,2)&amp;"输出",标准坦克设计!$B$23:$U$23,0)))*(VLOOKUP($B100,INDIRECT($B$5&amp;"生成成长"),3))*(VLOOKUP($B$5,标准坦克设计!$B$14:$K$20,9)/30))</f>
        <v>22.493040665850717</v>
      </c>
      <c r="FE100" s="172">
        <f ca="1">(VLOOKUP(FE$72,INDIRECT($C$5&amp;"生成成长"),2))/((VLOOKUP($B100,INDIRECT($B$5&amp;"生成成长"),4))/(VLOOKUP(FE$72,INDIRECT($C$5&amp;"生成成长"),5))*(VLOOKUP($B$5,标准坦克设计!$B$24:$U$30,MATCH("对"&amp;LEFT($C$5,2)&amp;"输出",标准坦克设计!$B$23:$U$23,0)))*(VLOOKUP($B100,INDIRECT($B$5&amp;"生成成长"),3))*(VLOOKUP($B$5,标准坦克设计!$B$14:$K$20,9)/30))</f>
        <v>24.013606172889315</v>
      </c>
      <c r="FF100" s="172">
        <f ca="1">(VLOOKUP(FF$72,INDIRECT($C$5&amp;"生成成长"),2))/((VLOOKUP($B100,INDIRECT($B$5&amp;"生成成长"),4))/(VLOOKUP(FF$72,INDIRECT($C$5&amp;"生成成长"),5))*(VLOOKUP($B$5,标准坦克设计!$B$24:$U$30,MATCH("对"&amp;LEFT($C$5,2)&amp;"输出",标准坦克设计!$B$23:$U$23,0)))*(VLOOKUP($B100,INDIRECT($B$5&amp;"生成成长"),3))*(VLOOKUP($B$5,标准坦克设计!$B$14:$K$20,9)/30))</f>
        <v>25.583900866321613</v>
      </c>
      <c r="FG100" s="172">
        <f ca="1">(VLOOKUP(FG$72,INDIRECT($C$5&amp;"生成成长"),2))/((VLOOKUP($B100,INDIRECT($B$5&amp;"生成成长"),4))/(VLOOKUP(FG$72,INDIRECT($C$5&amp;"生成成长"),5))*(VLOOKUP($B$5,标准坦克设计!$B$24:$U$30,MATCH("对"&amp;LEFT($C$5,2)&amp;"输出",标准坦克设计!$B$23:$U$23,0)))*(VLOOKUP($B100,INDIRECT($B$5&amp;"生成成长"),3))*(VLOOKUP($B$5,标准坦克设计!$B$14:$K$20,9)/30))</f>
        <v>27.203924746147642</v>
      </c>
      <c r="FH100" s="172">
        <f ca="1">(VLOOKUP(FH$72,INDIRECT($C$5&amp;"生成成长"),2))/((VLOOKUP($B100,INDIRECT($B$5&amp;"生成成长"),4))/(VLOOKUP(FH$72,INDIRECT($C$5&amp;"生成成长"),5))*(VLOOKUP($B$5,标准坦克设计!$B$24:$U$30,MATCH("对"&amp;LEFT($C$5,2)&amp;"输出",标准坦克设计!$B$23:$U$23,0)))*(VLOOKUP($B100,INDIRECT($B$5&amp;"生成成长"),3))*(VLOOKUP($B$5,标准坦克设计!$B$14:$K$20,9)/30))</f>
        <v>28.873677812367379</v>
      </c>
      <c r="FI100" s="172">
        <f ca="1">(VLOOKUP(FI$72,INDIRECT($C$5&amp;"生成成长"),2))/((VLOOKUP($B100,INDIRECT($B$5&amp;"生成成长"),4))/(VLOOKUP(FI$72,INDIRECT($C$5&amp;"生成成长"),5))*(VLOOKUP($B$5,标准坦克设计!$B$24:$U$30,MATCH("对"&amp;LEFT($C$5,2)&amp;"输出",标准坦克设计!$B$23:$U$23,0)))*(VLOOKUP($B100,INDIRECT($B$5&amp;"生成成长"),3))*(VLOOKUP($B$5,标准坦克设计!$B$14:$K$20,9)/30))</f>
        <v>30.593160064980832</v>
      </c>
      <c r="FJ100" s="172">
        <f ca="1">(VLOOKUP(FJ$72,INDIRECT($C$5&amp;"生成成长"),2))/((VLOOKUP($B100,INDIRECT($B$5&amp;"生成成长"),4))/(VLOOKUP(FJ$72,INDIRECT($C$5&amp;"生成成长"),5))*(VLOOKUP($B$5,标准坦克设计!$B$24:$U$30,MATCH("对"&amp;LEFT($C$5,2)&amp;"输出",标准坦克设计!$B$23:$U$23,0)))*(VLOOKUP($B100,INDIRECT($B$5&amp;"生成成长"),3))*(VLOOKUP($B$5,标准坦克设计!$B$14:$K$20,9)/30))</f>
        <v>32.362371503988001</v>
      </c>
      <c r="FK100" s="172">
        <f ca="1">(VLOOKUP(FK$72,INDIRECT($C$5&amp;"生成成长"),2))/((VLOOKUP($B100,INDIRECT($B$5&amp;"生成成长"),4))/(VLOOKUP(FK$72,INDIRECT($C$5&amp;"生成成长"),5))*(VLOOKUP($B$5,标准坦克设计!$B$24:$U$30,MATCH("对"&amp;LEFT($C$5,2)&amp;"输出",标准坦克设计!$B$23:$U$23,0)))*(VLOOKUP($B100,INDIRECT($B$5&amp;"生成成长"),3))*(VLOOKUP($B$5,标准坦克设计!$B$14:$K$20,9)/30))</f>
        <v>34.181312129388886</v>
      </c>
    </row>
    <row r="101" spans="1:167" x14ac:dyDescent="0.15">
      <c r="A101" s="170" t="str">
        <f t="shared" si="11"/>
        <v>T4低品质8级</v>
      </c>
      <c r="B101" s="171">
        <v>10408</v>
      </c>
      <c r="C101" s="172">
        <f ca="1">(VLOOKUP(C$72,INDIRECT($C$5&amp;"生成成长"),2))/((VLOOKUP($B101,INDIRECT($B$5&amp;"生成成长"),4))/(VLOOKUP(C$72,INDIRECT($C$5&amp;"生成成长"),5))*(VLOOKUP($B$5,标准坦克设计!$B$24:$U$30,MATCH("对"&amp;LEFT($C$5,2)&amp;"输出",标准坦克设计!$B$23:$U$23,0)))*(VLOOKUP($B101,INDIRECT($B$5&amp;"生成成长"),3))*(VLOOKUP($B$5,标准坦克设计!$B$14:$K$20,9)/30))</f>
        <v>1.3553147990467</v>
      </c>
      <c r="D101" s="172">
        <f ca="1">(VLOOKUP(D$72,INDIRECT($C$5&amp;"生成成长"),2))/((VLOOKUP($B101,INDIRECT($B$5&amp;"生成成长"),4))/(VLOOKUP(D$72,INDIRECT($C$5&amp;"生成成长"),5))*(VLOOKUP($B$5,标准坦克设计!$B$24:$U$30,MATCH("对"&amp;LEFT($C$5,2)&amp;"输出",标准坦克设计!$B$23:$U$23,0)))*(VLOOKUP($B101,INDIRECT($B$5&amp;"生成成长"),3))*(VLOOKUP($B$5,标准坦克设计!$B$14:$K$20,9)/30))</f>
        <v>1.5228317082088723</v>
      </c>
      <c r="E101" s="172">
        <f ca="1">(VLOOKUP(E$72,INDIRECT($C$5&amp;"生成成长"),2))/((VLOOKUP($B101,INDIRECT($B$5&amp;"生成成长"),4))/(VLOOKUP(E$72,INDIRECT($C$5&amp;"生成成长"),5))*(VLOOKUP($B$5,标准坦克设计!$B$24:$U$30,MATCH("对"&amp;LEFT($C$5,2)&amp;"输出",标准坦克设计!$B$23:$U$23,0)))*(VLOOKUP($B101,INDIRECT($B$5&amp;"生成成长"),3))*(VLOOKUP($B$5,标准坦克设计!$B$14:$K$20,9)/30))</f>
        <v>1.7001068839241802</v>
      </c>
      <c r="F101" s="172">
        <f ca="1">(VLOOKUP(F$72,INDIRECT($C$5&amp;"生成成长"),2))/((VLOOKUP($B101,INDIRECT($B$5&amp;"生成成长"),4))/(VLOOKUP(F$72,INDIRECT($C$5&amp;"生成成长"),5))*(VLOOKUP($B$5,标准坦克设计!$B$24:$U$30,MATCH("对"&amp;LEFT($C$5,2)&amp;"输出",标准坦克设计!$B$23:$U$23,0)))*(VLOOKUP($B101,INDIRECT($B$5&amp;"生成成长"),3))*(VLOOKUP($B$5,标准坦克设计!$B$14:$K$20,9)/30))</f>
        <v>1.8871403261926247</v>
      </c>
      <c r="G101" s="172">
        <f ca="1">(VLOOKUP(G$72,INDIRECT($C$5&amp;"生成成长"),2))/((VLOOKUP($B101,INDIRECT($B$5&amp;"生成成长"),4))/(VLOOKUP(G$72,INDIRECT($C$5&amp;"生成成长"),5))*(VLOOKUP($B$5,标准坦克设计!$B$24:$U$30,MATCH("对"&amp;LEFT($C$5,2)&amp;"输出",标准坦克设计!$B$23:$U$23,0)))*(VLOOKUP($B101,INDIRECT($B$5&amp;"生成成长"),3))*(VLOOKUP($B$5,标准坦克设计!$B$14:$K$20,9)/30))</f>
        <v>2.0839320350142061</v>
      </c>
      <c r="H101" s="172">
        <f ca="1">(VLOOKUP(H$72,INDIRECT($C$5&amp;"生成成长"),2))/((VLOOKUP($B101,INDIRECT($B$5&amp;"生成成长"),4))/(VLOOKUP(H$72,INDIRECT($C$5&amp;"生成成长"),5))*(VLOOKUP($B$5,标准坦克设计!$B$24:$U$30,MATCH("对"&amp;LEFT($C$5,2)&amp;"输出",标准坦克设计!$B$23:$U$23,0)))*(VLOOKUP($B101,INDIRECT($B$5&amp;"生成成长"),3))*(VLOOKUP($B$5,标准坦克设计!$B$14:$K$20,9)/30))</f>
        <v>1.8237115935972397</v>
      </c>
      <c r="I101" s="172">
        <f ca="1">(VLOOKUP(I$72,INDIRECT($C$5&amp;"生成成长"),2))/((VLOOKUP($B101,INDIRECT($B$5&amp;"生成成长"),4))/(VLOOKUP(I$72,INDIRECT($C$5&amp;"生成成长"),5))*(VLOOKUP($B$5,标准坦克设计!$B$24:$U$30,MATCH("对"&amp;LEFT($C$5,2)&amp;"输出",标准坦克设计!$B$23:$U$23,0)))*(VLOOKUP($B101,INDIRECT($B$5&amp;"生成成长"),3))*(VLOOKUP($B$5,标准坦克设计!$B$14:$K$20,9)/30))</f>
        <v>2.0839320350142061</v>
      </c>
      <c r="J101" s="172">
        <f ca="1">(VLOOKUP(J$72,INDIRECT($C$5&amp;"生成成长"),2))/((VLOOKUP($B101,INDIRECT($B$5&amp;"生成成长"),4))/(VLOOKUP(J$72,INDIRECT($C$5&amp;"生成成长"),5))*(VLOOKUP($B$5,标准坦克设计!$B$24:$U$30,MATCH("对"&amp;LEFT($C$5,2)&amp;"输出",标准坦克设计!$B$23:$U$23,0)))*(VLOOKUP($B101,INDIRECT($B$5&amp;"生成成长"),3))*(VLOOKUP($B$5,标准坦克设计!$B$14:$K$20,9)/30))</f>
        <v>2.3615005058589702</v>
      </c>
      <c r="K101" s="172">
        <f ca="1">(VLOOKUP(K$72,INDIRECT($C$5&amp;"生成成长"),2))/((VLOOKUP($B101,INDIRECT($B$5&amp;"生成成长"),4))/(VLOOKUP(K$72,INDIRECT($C$5&amp;"生成成长"),5))*(VLOOKUP($B$5,标准坦克设计!$B$24:$U$30,MATCH("对"&amp;LEFT($C$5,2)&amp;"输出",标准坦克设计!$B$23:$U$23,0)))*(VLOOKUP($B101,INDIRECT($B$5&amp;"生成成长"),3))*(VLOOKUP($B$5,标准坦克设计!$B$14:$K$20,9)/30))</f>
        <v>2.656417006131532</v>
      </c>
      <c r="L101" s="172">
        <f ca="1">(VLOOKUP(L$72,INDIRECT($C$5&amp;"生成成长"),2))/((VLOOKUP($B101,INDIRECT($B$5&amp;"生成成长"),4))/(VLOOKUP(L$72,INDIRECT($C$5&amp;"生成成长"),5))*(VLOOKUP($B$5,标准坦克设计!$B$24:$U$30,MATCH("对"&amp;LEFT($C$5,2)&amp;"输出",标准坦克设计!$B$23:$U$23,0)))*(VLOOKUP($B101,INDIRECT($B$5&amp;"生成成长"),3))*(VLOOKUP($B$5,标准坦克设计!$B$14:$K$20,9)/30))</f>
        <v>2.9686815358318919</v>
      </c>
      <c r="M101" s="172">
        <f ca="1">(VLOOKUP(M$72,INDIRECT($C$5&amp;"生成成长"),2))/((VLOOKUP($B101,INDIRECT($B$5&amp;"生成成长"),4))/(VLOOKUP(M$72,INDIRECT($C$5&amp;"生成成长"),5))*(VLOOKUP($B$5,标准坦克设计!$B$24:$U$30,MATCH("对"&amp;LEFT($C$5,2)&amp;"输出",标准坦克设计!$B$23:$U$23,0)))*(VLOOKUP($B101,INDIRECT($B$5&amp;"生成成长"),3))*(VLOOKUP($B$5,标准坦克设计!$B$14:$K$20,9)/30))</f>
        <v>3.2982940949600494</v>
      </c>
      <c r="N101" s="172">
        <f ca="1">(VLOOKUP(N$72,INDIRECT($C$5&amp;"生成成长"),2))/((VLOOKUP($B101,INDIRECT($B$5&amp;"生成成长"),4))/(VLOOKUP(N$72,INDIRECT($C$5&amp;"生成成长"),5))*(VLOOKUP($B$5,标准坦克设计!$B$24:$U$30,MATCH("对"&amp;LEFT($C$5,2)&amp;"输出",标准坦克设计!$B$23:$U$23,0)))*(VLOOKUP($B101,INDIRECT($B$5&amp;"生成成长"),3))*(VLOOKUP($B$5,标准坦克设计!$B$14:$K$20,9)/30))</f>
        <v>3.6452546835160047</v>
      </c>
      <c r="O101" s="172">
        <f ca="1">(VLOOKUP(O$72,INDIRECT($C$5&amp;"生成成长"),2))/((VLOOKUP($B101,INDIRECT($B$5&amp;"生成成长"),4))/(VLOOKUP(O$72,INDIRECT($C$5&amp;"生成成长"),5))*(VLOOKUP($B$5,标准坦克设计!$B$24:$U$30,MATCH("对"&amp;LEFT($C$5,2)&amp;"输出",标准坦克设计!$B$23:$U$23,0)))*(VLOOKUP($B101,INDIRECT($B$5&amp;"生成成长"),3))*(VLOOKUP($B$5,标准坦克设计!$B$14:$K$20,9)/30))</f>
        <v>2.7714832325705969</v>
      </c>
      <c r="P101" s="172">
        <f ca="1">(VLOOKUP(P$72,INDIRECT($C$5&amp;"生成成长"),2))/((VLOOKUP($B101,INDIRECT($B$5&amp;"生成成长"),4))/(VLOOKUP(P$72,INDIRECT($C$5&amp;"生成成长"),5))*(VLOOKUP($B$5,标准坦克设计!$B$24:$U$30,MATCH("对"&amp;LEFT($C$5,2)&amp;"输出",标准坦克设计!$B$23:$U$23,0)))*(VLOOKUP($B101,INDIRECT($B$5&amp;"生成成长"),3))*(VLOOKUP($B$5,标准坦克设计!$B$14:$K$20,9)/30))</f>
        <v>3.1313193117174958</v>
      </c>
      <c r="Q101" s="172">
        <f ca="1">(VLOOKUP(Q$72,INDIRECT($C$5&amp;"生成成长"),2))/((VLOOKUP($B101,INDIRECT($B$5&amp;"生成成长"),4))/(VLOOKUP(Q$72,INDIRECT($C$5&amp;"生成成长"),5))*(VLOOKUP($B$5,标准坦克设计!$B$24:$U$30,MATCH("对"&amp;LEFT($C$5,2)&amp;"输出",标准坦克设计!$B$23:$U$23,0)))*(VLOOKUP($B101,INDIRECT($B$5&amp;"生成成长"),3))*(VLOOKUP($B$5,标准坦克设计!$B$14:$K$20,9)/30))</f>
        <v>3.5131114906089516</v>
      </c>
      <c r="R101" s="172">
        <f ca="1">(VLOOKUP(R$72,INDIRECT($C$5&amp;"生成成长"),2))/((VLOOKUP($B101,INDIRECT($B$5&amp;"生成成长"),4))/(VLOOKUP(R$72,INDIRECT($C$5&amp;"生成成长"),5))*(VLOOKUP($B$5,标准坦克设计!$B$24:$U$30,MATCH("对"&amp;LEFT($C$5,2)&amp;"输出",标准坦克设计!$B$23:$U$23,0)))*(VLOOKUP($B101,INDIRECT($B$5&amp;"生成成长"),3))*(VLOOKUP($B$5,标准坦克设计!$B$14:$K$20,9)/30))</f>
        <v>3.9168597692449629</v>
      </c>
      <c r="S101" s="172">
        <f ca="1">(VLOOKUP(S$72,INDIRECT($C$5&amp;"生成成长"),2))/((VLOOKUP($B101,INDIRECT($B$5&amp;"生成成长"),4))/(VLOOKUP(S$72,INDIRECT($C$5&amp;"生成成长"),5))*(VLOOKUP($B$5,标准坦克设计!$B$24:$U$30,MATCH("对"&amp;LEFT($C$5,2)&amp;"输出",标准坦克设计!$B$23:$U$23,0)))*(VLOOKUP($B101,INDIRECT($B$5&amp;"生成成长"),3))*(VLOOKUP($B$5,标准坦克设计!$B$14:$K$20,9)/30))</f>
        <v>4.3425641476255317</v>
      </c>
      <c r="T101" s="172">
        <f ca="1">(VLOOKUP(T$72,INDIRECT($C$5&amp;"生成成长"),2))/((VLOOKUP($B101,INDIRECT($B$5&amp;"生成成长"),4))/(VLOOKUP(T$72,INDIRECT($C$5&amp;"生成成长"),5))*(VLOOKUP($B$5,标准坦克设计!$B$24:$U$30,MATCH("对"&amp;LEFT($C$5,2)&amp;"输出",标准坦克设计!$B$23:$U$23,0)))*(VLOOKUP($B101,INDIRECT($B$5&amp;"生成成长"),3))*(VLOOKUP($B$5,标准坦克设计!$B$14:$K$20,9)/30))</f>
        <v>4.790224625750656</v>
      </c>
      <c r="U101" s="172">
        <f ca="1">(VLOOKUP(U$72,INDIRECT($C$5&amp;"生成成长"),2))/((VLOOKUP($B101,INDIRECT($B$5&amp;"生成成长"),4))/(VLOOKUP(U$72,INDIRECT($C$5&amp;"生成成长"),5))*(VLOOKUP($B$5,标准坦克设计!$B$24:$U$30,MATCH("对"&amp;LEFT($C$5,2)&amp;"输出",标准坦克设计!$B$23:$U$23,0)))*(VLOOKUP($B101,INDIRECT($B$5&amp;"生成成长"),3))*(VLOOKUP($B$5,标准坦克设计!$B$14:$K$20,9)/30))</f>
        <v>5.2598412036203381</v>
      </c>
      <c r="V101" s="172">
        <f ca="1">(VLOOKUP(V$72,INDIRECT($C$5&amp;"生成成长"),2))/((VLOOKUP($B101,INDIRECT($B$5&amp;"生成成长"),4))/(VLOOKUP(V$72,INDIRECT($C$5&amp;"生成成长"),5))*(VLOOKUP($B$5,标准坦克设计!$B$24:$U$30,MATCH("对"&amp;LEFT($C$5,2)&amp;"输出",标准坦克设计!$B$23:$U$23,0)))*(VLOOKUP($B101,INDIRECT($B$5&amp;"生成成长"),3))*(VLOOKUP($B$5,标准坦克设计!$B$14:$K$20,9)/30))</f>
        <v>5.7514138812345763</v>
      </c>
      <c r="W101" s="172">
        <f ca="1">(VLOOKUP(W$72,INDIRECT($C$5&amp;"生成成长"),2))/((VLOOKUP($B101,INDIRECT($B$5&amp;"生成成长"),4))/(VLOOKUP(W$72,INDIRECT($C$5&amp;"生成成长"),5))*(VLOOKUP($B$5,标准坦克设计!$B$24:$U$30,MATCH("对"&amp;LEFT($C$5,2)&amp;"输出",标准坦克设计!$B$23:$U$23,0)))*(VLOOKUP($B101,INDIRECT($B$5&amp;"生成成长"),3))*(VLOOKUP($B$5,标准坦克设计!$B$14:$K$20,9)/30))</f>
        <v>6.2649426585933714</v>
      </c>
      <c r="X101" s="172">
        <f ca="1">(VLOOKUP(X$72,INDIRECT($C$5&amp;"生成成长"),2))/((VLOOKUP($B101,INDIRECT($B$5&amp;"生成成长"),4))/(VLOOKUP(X$72,INDIRECT($C$5&amp;"生成成长"),5))*(VLOOKUP($B$5,标准坦克设计!$B$24:$U$30,MATCH("对"&amp;LEFT($C$5,2)&amp;"输出",标准坦克设计!$B$23:$U$23,0)))*(VLOOKUP($B101,INDIRECT($B$5&amp;"生成成长"),3))*(VLOOKUP($B$5,标准坦克设计!$B$14:$K$20,9)/30))</f>
        <v>4.5388137305274938</v>
      </c>
      <c r="Y101" s="172">
        <f ca="1">(VLOOKUP(Y$72,INDIRECT($C$5&amp;"生成成长"),2))/((VLOOKUP($B101,INDIRECT($B$5&amp;"生成成长"),4))/(VLOOKUP(Y$72,INDIRECT($C$5&amp;"生成成长"),5))*(VLOOKUP($B$5,标准坦克设计!$B$24:$U$30,MATCH("对"&amp;LEFT($C$5,2)&amp;"输出",标准坦克设计!$B$23:$U$23,0)))*(VLOOKUP($B101,INDIRECT($B$5&amp;"生成成长"),3))*(VLOOKUP($B$5,标准坦克设计!$B$14:$K$20,9)/30))</f>
        <v>5.048412094969053</v>
      </c>
      <c r="Z101" s="172">
        <f ca="1">(VLOOKUP(Z$72,INDIRECT($C$5&amp;"生成成长"),2))/((VLOOKUP($B101,INDIRECT($B$5&amp;"生成成长"),4))/(VLOOKUP(Z$72,INDIRECT($C$5&amp;"生成成长"),5))*(VLOOKUP($B$5,标准坦克设计!$B$24:$U$30,MATCH("对"&amp;LEFT($C$5,2)&amp;"输出",标准坦克设计!$B$23:$U$23,0)))*(VLOOKUP($B101,INDIRECT($B$5&amp;"生成成长"),3))*(VLOOKUP($B$5,标准坦克设计!$B$14:$K$20,9)/30))</f>
        <v>5.5851167553915468</v>
      </c>
      <c r="AA101" s="172">
        <f ca="1">(VLOOKUP(AA$72,INDIRECT($C$5&amp;"生成成长"),2))/((VLOOKUP($B101,INDIRECT($B$5&amp;"生成成长"),4))/(VLOOKUP(AA$72,INDIRECT($C$5&amp;"生成成长"),5))*(VLOOKUP($B$5,标准坦克设计!$B$24:$U$30,MATCH("对"&amp;LEFT($C$5,2)&amp;"输出",标准坦克设计!$B$23:$U$23,0)))*(VLOOKUP($B101,INDIRECT($B$5&amp;"生成成长"),3))*(VLOOKUP($B$5,标准坦克设计!$B$14:$K$20,9)/30))</f>
        <v>6.1489277117949728</v>
      </c>
      <c r="AB101" s="172">
        <f ca="1">(VLOOKUP(AB$72,INDIRECT($C$5&amp;"生成成长"),2))/((VLOOKUP($B101,INDIRECT($B$5&amp;"生成成长"),4))/(VLOOKUP(AB$72,INDIRECT($C$5&amp;"生成成长"),5))*(VLOOKUP($B$5,标准坦克设计!$B$24:$U$30,MATCH("对"&amp;LEFT($C$5,2)&amp;"输出",标准坦克设计!$B$23:$U$23,0)))*(VLOOKUP($B101,INDIRECT($B$5&amp;"生成成长"),3))*(VLOOKUP($B$5,标准坦克设计!$B$14:$K$20,9)/30))</f>
        <v>6.7398449641793352</v>
      </c>
      <c r="AC101" s="172">
        <f ca="1">(VLOOKUP(AC$72,INDIRECT($C$5&amp;"生成成长"),2))/((VLOOKUP($B101,INDIRECT($B$5&amp;"生成成长"),4))/(VLOOKUP(AC$72,INDIRECT($C$5&amp;"生成成长"),5))*(VLOOKUP($B$5,标准坦克设计!$B$24:$U$30,MATCH("对"&amp;LEFT($C$5,2)&amp;"输出",标准坦克设计!$B$23:$U$23,0)))*(VLOOKUP($B101,INDIRECT($B$5&amp;"生成成长"),3))*(VLOOKUP($B$5,标准坦克设计!$B$14:$K$20,9)/30))</f>
        <v>7.3578685125446297</v>
      </c>
      <c r="AD101" s="172">
        <f ca="1">(VLOOKUP(AD$72,INDIRECT($C$5&amp;"生成成长"),2))/((VLOOKUP($B101,INDIRECT($B$5&amp;"生成成长"),4))/(VLOOKUP(AD$72,INDIRECT($C$5&amp;"生成成长"),5))*(VLOOKUP($B$5,标准坦克设计!$B$24:$U$30,MATCH("对"&amp;LEFT($C$5,2)&amp;"输出",标准坦克设计!$B$23:$U$23,0)))*(VLOOKUP($B101,INDIRECT($B$5&amp;"生成成长"),3))*(VLOOKUP($B$5,标准坦克设计!$B$14:$K$20,9)/30))</f>
        <v>8.002998356890858</v>
      </c>
      <c r="AE101" s="172">
        <f ca="1">(VLOOKUP(AE$72,INDIRECT($C$5&amp;"生成成长"),2))/((VLOOKUP($B101,INDIRECT($B$5&amp;"生成成长"),4))/(VLOOKUP(AE$72,INDIRECT($C$5&amp;"生成成长"),5))*(VLOOKUP($B$5,标准坦克设计!$B$24:$U$30,MATCH("对"&amp;LEFT($C$5,2)&amp;"输出",标准坦克设计!$B$23:$U$23,0)))*(VLOOKUP($B101,INDIRECT($B$5&amp;"生成成长"),3))*(VLOOKUP($B$5,标准坦克设计!$B$14:$K$20,9)/30))</f>
        <v>8.6752344972180211</v>
      </c>
      <c r="AF101" s="172">
        <f ca="1">(VLOOKUP(AF$72,INDIRECT($C$5&amp;"生成成长"),2))/((VLOOKUP($B101,INDIRECT($B$5&amp;"生成成长"),4))/(VLOOKUP(AF$72,INDIRECT($C$5&amp;"生成成长"),5))*(VLOOKUP($B$5,标准坦克设计!$B$24:$U$30,MATCH("对"&amp;LEFT($C$5,2)&amp;"输出",标准坦克设计!$B$23:$U$23,0)))*(VLOOKUP($B101,INDIRECT($B$5&amp;"生成成长"),3))*(VLOOKUP($B$5,标准坦克设计!$B$14:$K$20,9)/30))</f>
        <v>9.374576933526118</v>
      </c>
      <c r="AG101" s="172">
        <f ca="1">(VLOOKUP(AG$72,INDIRECT($C$5&amp;"生成成长"),2))/((VLOOKUP($B101,INDIRECT($B$5&amp;"生成成长"),4))/(VLOOKUP(AG$72,INDIRECT($C$5&amp;"生成成长"),5))*(VLOOKUP($B$5,标准坦克设计!$B$24:$U$30,MATCH("对"&amp;LEFT($C$5,2)&amp;"输出",标准坦克设计!$B$23:$U$23,0)))*(VLOOKUP($B101,INDIRECT($B$5&amp;"生成成长"),3))*(VLOOKUP($B$5,标准坦克设计!$B$14:$K$20,9)/30))</f>
        <v>10.10102566581515</v>
      </c>
      <c r="AH101" s="172">
        <f ca="1">(VLOOKUP(AH$72,INDIRECT($C$5&amp;"生成成长"),2))/((VLOOKUP($B101,INDIRECT($B$5&amp;"生成成长"),4))/(VLOOKUP(AH$72,INDIRECT($C$5&amp;"生成成长"),5))*(VLOOKUP($B$5,标准坦克设计!$B$24:$U$30,MATCH("对"&amp;LEFT($C$5,2)&amp;"输出",标准坦克设计!$B$23:$U$23,0)))*(VLOOKUP($B101,INDIRECT($B$5&amp;"生成成长"),3))*(VLOOKUP($B$5,标准坦克设计!$B$14:$K$20,9)/30))</f>
        <v>10.854580694085115</v>
      </c>
      <c r="AI101" s="172">
        <f ca="1">(VLOOKUP(AI$72,INDIRECT($C$5&amp;"生成成长"),2))/((VLOOKUP($B101,INDIRECT($B$5&amp;"生成成长"),4))/(VLOOKUP(AI$72,INDIRECT($C$5&amp;"生成成长"),5))*(VLOOKUP($B$5,标准坦克设计!$B$24:$U$30,MATCH("对"&amp;LEFT($C$5,2)&amp;"输出",标准坦克设计!$B$23:$U$23,0)))*(VLOOKUP($B101,INDIRECT($B$5&amp;"生成成长"),3))*(VLOOKUP($B$5,标准坦克设计!$B$14:$K$20,9)/30))</f>
        <v>7.6770451477201282</v>
      </c>
      <c r="AJ101" s="172">
        <f ca="1">(VLOOKUP(AJ$72,INDIRECT($C$5&amp;"生成成长"),2))/((VLOOKUP($B101,INDIRECT($B$5&amp;"生成成长"),4))/(VLOOKUP(AJ$72,INDIRECT($C$5&amp;"生成成长"),5))*(VLOOKUP($B$5,标准坦克设计!$B$24:$U$30,MATCH("对"&amp;LEFT($C$5,2)&amp;"输出",标准坦克设计!$B$23:$U$23,0)))*(VLOOKUP($B101,INDIRECT($B$5&amp;"生成成长"),3))*(VLOOKUP($B$5,标准坦克设计!$B$14:$K$20,9)/30))</f>
        <v>8.4030872855694465</v>
      </c>
      <c r="AK101" s="172">
        <f ca="1">(VLOOKUP(AK$72,INDIRECT($C$5&amp;"生成成长"),2))/((VLOOKUP($B101,INDIRECT($B$5&amp;"生成成长"),4))/(VLOOKUP(AK$72,INDIRECT($C$5&amp;"生成成长"),5))*(VLOOKUP($B$5,标准坦克设计!$B$24:$U$30,MATCH("对"&amp;LEFT($C$5,2)&amp;"输出",标准坦克设计!$B$23:$U$23,0)))*(VLOOKUP($B101,INDIRECT($B$5&amp;"生成成长"),3))*(VLOOKUP($B$5,标准坦克设计!$B$14:$K$20,9)/30))</f>
        <v>9.1619280415556918</v>
      </c>
      <c r="AL101" s="172">
        <f ca="1">(VLOOKUP(AL$72,INDIRECT($C$5&amp;"生成成长"),2))/((VLOOKUP($B101,INDIRECT($B$5&amp;"生成成长"),4))/(VLOOKUP(AL$72,INDIRECT($C$5&amp;"生成成长"),5))*(VLOOKUP($B$5,标准坦克设计!$B$24:$U$30,MATCH("对"&amp;LEFT($C$5,2)&amp;"输出",标准坦克设计!$B$23:$U$23,0)))*(VLOOKUP($B101,INDIRECT($B$5&amp;"生成成长"),3))*(VLOOKUP($B$5,标准坦克设计!$B$14:$K$20,9)/30))</f>
        <v>9.9535674156788687</v>
      </c>
      <c r="AM101" s="172">
        <f ca="1">(VLOOKUP(AM$72,INDIRECT($C$5&amp;"生成成长"),2))/((VLOOKUP($B101,INDIRECT($B$5&amp;"生成成长"),4))/(VLOOKUP(AM$72,INDIRECT($C$5&amp;"生成成长"),5))*(VLOOKUP($B$5,标准坦克设计!$B$24:$U$30,MATCH("对"&amp;LEFT($C$5,2)&amp;"输出",标准坦克设计!$B$23:$U$23,0)))*(VLOOKUP($B101,INDIRECT($B$5&amp;"生成成长"),3))*(VLOOKUP($B$5,标准坦克设计!$B$14:$K$20,9)/30))</f>
        <v>10.778005407938977</v>
      </c>
      <c r="AN101" s="172">
        <f ca="1">(VLOOKUP(AN$72,INDIRECT($C$5&amp;"生成成长"),2))/((VLOOKUP($B101,INDIRECT($B$5&amp;"生成成长"),4))/(VLOOKUP(AN$72,INDIRECT($C$5&amp;"生成成长"),5))*(VLOOKUP($B$5,标准坦克设计!$B$24:$U$30,MATCH("对"&amp;LEFT($C$5,2)&amp;"输出",标准坦克设计!$B$23:$U$23,0)))*(VLOOKUP($B101,INDIRECT($B$5&amp;"生成成长"),3))*(VLOOKUP($B$5,标准坦克设计!$B$14:$K$20,9)/30))</f>
        <v>11.635242018336013</v>
      </c>
      <c r="AO101" s="172">
        <f ca="1">(VLOOKUP(AO$72,INDIRECT($C$5&amp;"生成成长"),2))/((VLOOKUP($B101,INDIRECT($B$5&amp;"生成成长"),4))/(VLOOKUP(AO$72,INDIRECT($C$5&amp;"生成成长"),5))*(VLOOKUP($B$5,标准坦克设计!$B$24:$U$30,MATCH("对"&amp;LEFT($C$5,2)&amp;"输出",标准坦克设计!$B$23:$U$23,0)))*(VLOOKUP($B101,INDIRECT($B$5&amp;"生成成长"),3))*(VLOOKUP($B$5,标准坦克设计!$B$14:$K$20,9)/30))</f>
        <v>12.525277246869983</v>
      </c>
      <c r="AP101" s="172">
        <f ca="1">(VLOOKUP(AP$72,INDIRECT($C$5&amp;"生成成长"),2))/((VLOOKUP($B101,INDIRECT($B$5&amp;"生成成长"),4))/(VLOOKUP(AP$72,INDIRECT($C$5&amp;"生成成长"),5))*(VLOOKUP($B$5,标准坦克设计!$B$24:$U$30,MATCH("对"&amp;LEFT($C$5,2)&amp;"输出",标准坦克设计!$B$23:$U$23,0)))*(VLOOKUP($B101,INDIRECT($B$5&amp;"生成成长"),3))*(VLOOKUP($B$5,标准坦克设计!$B$14:$K$20,9)/30))</f>
        <v>13.448111093540881</v>
      </c>
      <c r="AQ101" s="172">
        <f ca="1">(VLOOKUP(AQ$72,INDIRECT($C$5&amp;"生成成长"),2))/((VLOOKUP($B101,INDIRECT($B$5&amp;"生成成长"),4))/(VLOOKUP(AQ$72,INDIRECT($C$5&amp;"生成成长"),5))*(VLOOKUP($B$5,标准坦克设计!$B$24:$U$30,MATCH("对"&amp;LEFT($C$5,2)&amp;"输出",标准坦克设计!$B$23:$U$23,0)))*(VLOOKUP($B101,INDIRECT($B$5&amp;"生成成长"),3))*(VLOOKUP($B$5,标准坦克设计!$B$14:$K$20,9)/30))</f>
        <v>14.403743558348708</v>
      </c>
      <c r="AR101" s="172">
        <f ca="1">(VLOOKUP(AR$72,INDIRECT($C$5&amp;"生成成长"),2))/((VLOOKUP($B101,INDIRECT($B$5&amp;"生成成长"),4))/(VLOOKUP(AR$72,INDIRECT($C$5&amp;"生成成长"),5))*(VLOOKUP($B$5,标准坦克设计!$B$24:$U$30,MATCH("对"&amp;LEFT($C$5,2)&amp;"输出",标准坦克设计!$B$23:$U$23,0)))*(VLOOKUP($B101,INDIRECT($B$5&amp;"生成成长"),3))*(VLOOKUP($B$5,标准坦克设计!$B$14:$K$20,9)/30))</f>
        <v>15.392174641293467</v>
      </c>
      <c r="AS101" s="172">
        <f ca="1">(VLOOKUP(AS$72,INDIRECT($C$5&amp;"生成成长"),2))/((VLOOKUP($B101,INDIRECT($B$5&amp;"生成成长"),4))/(VLOOKUP(AS$72,INDIRECT($C$5&amp;"生成成长"),5))*(VLOOKUP($B$5,标准坦克设计!$B$24:$U$30,MATCH("对"&amp;LEFT($C$5,2)&amp;"输出",标准坦克设计!$B$23:$U$23,0)))*(VLOOKUP($B101,INDIRECT($B$5&amp;"生成成长"),3))*(VLOOKUP($B$5,标准坦克设计!$B$14:$K$20,9)/30))</f>
        <v>16.413404342375156</v>
      </c>
      <c r="AT101" s="172">
        <f ca="1">(VLOOKUP(AT$72,INDIRECT($C$5&amp;"生成成长"),2))/((VLOOKUP($B101,INDIRECT($B$5&amp;"生成成长"),4))/(VLOOKUP(AT$72,INDIRECT($C$5&amp;"生成成长"),5))*(VLOOKUP($B$5,标准坦克设计!$B$24:$U$30,MATCH("对"&amp;LEFT($C$5,2)&amp;"输出",标准坦克设计!$B$23:$U$23,0)))*(VLOOKUP($B101,INDIRECT($B$5&amp;"生成成长"),3))*(VLOOKUP($B$5,标准坦克设计!$B$14:$K$20,9)/30))</f>
        <v>17.467432661593776</v>
      </c>
      <c r="AU101" s="172">
        <f ca="1">(VLOOKUP(AU$72,INDIRECT($C$5&amp;"生成成长"),2))/((VLOOKUP($B101,INDIRECT($B$5&amp;"生成成长"),4))/(VLOOKUP(AU$72,INDIRECT($C$5&amp;"生成成长"),5))*(VLOOKUP($B$5,标准坦克设计!$B$24:$U$30,MATCH("对"&amp;LEFT($C$5,2)&amp;"输出",标准坦克设计!$B$23:$U$23,0)))*(VLOOKUP($B101,INDIRECT($B$5&amp;"生成成长"),3))*(VLOOKUP($B$5,标准坦克设计!$B$14:$K$20,9)/30))</f>
        <v>18.554259598949322</v>
      </c>
      <c r="AV101" s="172">
        <f ca="1">(VLOOKUP(AV$72,INDIRECT($C$5&amp;"生成成长"),2))/((VLOOKUP($B101,INDIRECT($B$5&amp;"生成成长"),4))/(VLOOKUP(AV$72,INDIRECT($C$5&amp;"生成成长"),5))*(VLOOKUP($B$5,标准坦克设计!$B$24:$U$30,MATCH("对"&amp;LEFT($C$5,2)&amp;"输出",标准坦克设计!$B$23:$U$23,0)))*(VLOOKUP($B101,INDIRECT($B$5&amp;"生成成长"),3))*(VLOOKUP($B$5,标准坦克设计!$B$14:$K$20,9)/30))</f>
        <v>1.8871403261926247</v>
      </c>
      <c r="AW101" s="172">
        <f ca="1">(VLOOKUP(AW$72,INDIRECT($C$5&amp;"生成成长"),2))/((VLOOKUP($B101,INDIRECT($B$5&amp;"生成成长"),4))/(VLOOKUP(AW$72,INDIRECT($C$5&amp;"生成成长"),5))*(VLOOKUP($B$5,标准坦克设计!$B$24:$U$30,MATCH("对"&amp;LEFT($C$5,2)&amp;"输出",标准坦克设计!$B$23:$U$23,0)))*(VLOOKUP($B101,INDIRECT($B$5&amp;"生成成长"),3))*(VLOOKUP($B$5,标准坦克设计!$B$14:$K$20,9)/30))</f>
        <v>2.1516977749665407</v>
      </c>
      <c r="AX101" s="172">
        <f ca="1">(VLOOKUP(AX$72,INDIRECT($C$5&amp;"生成成长"),2))/((VLOOKUP($B101,INDIRECT($B$5&amp;"生成成长"),4))/(VLOOKUP(AX$72,INDIRECT($C$5&amp;"生成成长"),5))*(VLOOKUP($B$5,标准坦克设计!$B$24:$U$30,MATCH("对"&amp;LEFT($C$5,2)&amp;"输出",标准坦克设计!$B$23:$U$23,0)))*(VLOOKUP($B101,INDIRECT($B$5&amp;"生成成长"),3))*(VLOOKUP($B$5,标准坦克设计!$B$14:$K$20,9)/30))</f>
        <v>2.4336032531682545</v>
      </c>
      <c r="AY101" s="172">
        <f ca="1">(VLOOKUP(AY$72,INDIRECT($C$5&amp;"生成成长"),2))/((VLOOKUP($B101,INDIRECT($B$5&amp;"生成成长"),4))/(VLOOKUP(AY$72,INDIRECT($C$5&amp;"生成成长"),5))*(VLOOKUP($B$5,标准坦克设计!$B$24:$U$30,MATCH("对"&amp;LEFT($C$5,2)&amp;"输出",标准坦克设计!$B$23:$U$23,0)))*(VLOOKUP($B101,INDIRECT($B$5&amp;"生成成长"),3))*(VLOOKUP($B$5,标准坦克设计!$B$14:$K$20,9)/30))</f>
        <v>2.7328567607977656</v>
      </c>
      <c r="AZ101" s="172">
        <f ca="1">(VLOOKUP(AZ$72,INDIRECT($C$5&amp;"生成成长"),2))/((VLOOKUP($B101,INDIRECT($B$5&amp;"生成成长"),4))/(VLOOKUP(AZ$72,INDIRECT($C$5&amp;"生成成长"),5))*(VLOOKUP($B$5,标准坦克设计!$B$24:$U$30,MATCH("对"&amp;LEFT($C$5,2)&amp;"输出",标准坦克设计!$B$23:$U$23,0)))*(VLOOKUP($B101,INDIRECT($B$5&amp;"生成成长"),3))*(VLOOKUP($B$5,标准坦克设计!$B$14:$K$20,9)/30))</f>
        <v>3.0494582978550748</v>
      </c>
      <c r="BA101" s="172">
        <f ca="1">(VLOOKUP(BA$72,INDIRECT($C$5&amp;"生成成长"),2))/((VLOOKUP($B101,INDIRECT($B$5&amp;"生成成长"),4))/(VLOOKUP(BA$72,INDIRECT($C$5&amp;"生成成长"),5))*(VLOOKUP($B$5,标准坦克设计!$B$24:$U$30,MATCH("对"&amp;LEFT($C$5,2)&amp;"输出",标准坦克设计!$B$23:$U$23,0)))*(VLOOKUP($B101,INDIRECT($B$5&amp;"生成成长"),3))*(VLOOKUP($B$5,标准坦克设计!$B$14:$K$20,9)/30))</f>
        <v>3.3834078643401817</v>
      </c>
      <c r="BB101" s="172">
        <f ca="1">(VLOOKUP(BB$72,INDIRECT($C$5&amp;"生成成长"),2))/((VLOOKUP($B101,INDIRECT($B$5&amp;"生成成长"),4))/(VLOOKUP(BB$72,INDIRECT($C$5&amp;"生成成长"),5))*(VLOOKUP($B$5,标准坦克设计!$B$24:$U$30,MATCH("对"&amp;LEFT($C$5,2)&amp;"输出",标准坦克设计!$B$23:$U$23,0)))*(VLOOKUP($B101,INDIRECT($B$5&amp;"生成成长"),3))*(VLOOKUP($B$5,标准坦克设计!$B$14:$K$20,9)/30))</f>
        <v>3.7347054602530858</v>
      </c>
      <c r="BC101" s="172">
        <f ca="1">(VLOOKUP(BC$72,INDIRECT($C$5&amp;"生成成长"),2))/((VLOOKUP($B101,INDIRECT($B$5&amp;"生成成长"),4))/(VLOOKUP(BC$72,INDIRECT($C$5&amp;"生成成长"),5))*(VLOOKUP($B$5,标准坦克设计!$B$24:$U$30,MATCH("对"&amp;LEFT($C$5,2)&amp;"输出",标准坦克设计!$B$23:$U$23,0)))*(VLOOKUP($B101,INDIRECT($B$5&amp;"生成成长"),3))*(VLOOKUP($B$5,标准坦克设计!$B$14:$K$20,9)/30))</f>
        <v>4.1033510855937889</v>
      </c>
      <c r="BD101" s="172">
        <f ca="1">(VLOOKUP(BD$72,INDIRECT($C$5&amp;"生成成长"),2))/((VLOOKUP($B101,INDIRECT($B$5&amp;"生成成长"),4))/(VLOOKUP(BD$72,INDIRECT($C$5&amp;"生成成长"),5))*(VLOOKUP($B$5,标准坦克设计!$B$24:$U$30,MATCH("对"&amp;LEFT($C$5,2)&amp;"输出",标准坦克设计!$B$23:$U$23,0)))*(VLOOKUP($B101,INDIRECT($B$5&amp;"生成成长"),3))*(VLOOKUP($B$5,标准坦克设计!$B$14:$K$20,9)/30))</f>
        <v>4.5388137305274938</v>
      </c>
      <c r="BE101" s="172">
        <f ca="1">(VLOOKUP(BE$72,INDIRECT($C$5&amp;"生成成长"),2))/((VLOOKUP($B101,INDIRECT($B$5&amp;"生成成长"),4))/(VLOOKUP(BE$72,INDIRECT($C$5&amp;"生成成长"),5))*(VLOOKUP($B$5,标准坦克设计!$B$24:$U$30,MATCH("对"&amp;LEFT($C$5,2)&amp;"输出",标准坦克设计!$B$23:$U$23,0)))*(VLOOKUP($B101,INDIRECT($B$5&amp;"生成成长"),3))*(VLOOKUP($B$5,标准坦克设计!$B$14:$K$20,9)/30))</f>
        <v>4.9962324752057556</v>
      </c>
      <c r="BF101" s="172">
        <f ca="1">(VLOOKUP(BF$72,INDIRECT($C$5&amp;"生成成长"),2))/((VLOOKUP($B101,INDIRECT($B$5&amp;"生成成长"),4))/(VLOOKUP(BF$72,INDIRECT($C$5&amp;"生成成长"),5))*(VLOOKUP($B$5,标准坦克设计!$B$24:$U$30,MATCH("对"&amp;LEFT($C$5,2)&amp;"输出",标准坦克设计!$B$23:$U$23,0)))*(VLOOKUP($B101,INDIRECT($B$5&amp;"生成成长"),3))*(VLOOKUP($B$5,标准坦克设计!$B$14:$K$20,9)/30))</f>
        <v>5.4756073196285726</v>
      </c>
      <c r="BG101" s="172">
        <f ca="1">(VLOOKUP(BG$72,INDIRECT($C$5&amp;"生成成长"),2))/((VLOOKUP($B101,INDIRECT($B$5&amp;"生成成长"),4))/(VLOOKUP(BG$72,INDIRECT($C$5&amp;"生成成长"),5))*(VLOOKUP($B$5,标准坦克设计!$B$24:$U$30,MATCH("对"&amp;LEFT($C$5,2)&amp;"输出",标准坦克设计!$B$23:$U$23,0)))*(VLOOKUP($B101,INDIRECT($B$5&amp;"生成成长"),3))*(VLOOKUP($B$5,标准坦克设计!$B$14:$K$20,9)/30))</f>
        <v>5.9769382637959483</v>
      </c>
      <c r="BH101" s="172">
        <f ca="1">(VLOOKUP(BH$72,INDIRECT($C$5&amp;"生成成长"),2))/((VLOOKUP($B101,INDIRECT($B$5&amp;"生成成长"),4))/(VLOOKUP(BH$72,INDIRECT($C$5&amp;"生成成长"),5))*(VLOOKUP($B$5,标准坦克设计!$B$24:$U$30,MATCH("对"&amp;LEFT($C$5,2)&amp;"输出",标准坦克设计!$B$23:$U$23,0)))*(VLOOKUP($B101,INDIRECT($B$5&amp;"生成成长"),3))*(VLOOKUP($B$5,标准坦克设计!$B$14:$K$20,9)/30))</f>
        <v>2.888989025647946</v>
      </c>
      <c r="BI101" s="172">
        <f ca="1">(VLOOKUP(BI$72,INDIRECT($C$5&amp;"生成成长"),2))/((VLOOKUP($B101,INDIRECT($B$5&amp;"生成成长"),4))/(VLOOKUP(BI$72,INDIRECT($C$5&amp;"生成成长"),5))*(VLOOKUP($B$5,标准坦克设计!$B$24:$U$30,MATCH("对"&amp;LEFT($C$5,2)&amp;"输出",标准坦克设计!$B$23:$U$23,0)))*(VLOOKUP($B101,INDIRECT($B$5&amp;"生成成长"),3))*(VLOOKUP($B$5,标准坦克设计!$B$14:$K$20,9)/30))</f>
        <v>3.2561438047096964</v>
      </c>
      <c r="BJ101" s="172">
        <f ca="1">(VLOOKUP(BJ$72,INDIRECT($C$5&amp;"生成成长"),2))/((VLOOKUP($B101,INDIRECT($B$5&amp;"生成成长"),4))/(VLOOKUP(BJ$72,INDIRECT($C$5&amp;"生成成长"),5))*(VLOOKUP($B$5,标准坦克设计!$B$24:$U$30,MATCH("对"&amp;LEFT($C$5,2)&amp;"输出",标准坦克设计!$B$23:$U$23,0)))*(VLOOKUP($B101,INDIRECT($B$5&amp;"生成成长"),3))*(VLOOKUP($B$5,标准坦克设计!$B$14:$K$20,9)/30))</f>
        <v>3.6452546835160047</v>
      </c>
      <c r="BK101" s="172">
        <f ca="1">(VLOOKUP(BK$72,INDIRECT($C$5&amp;"生成成长"),2))/((VLOOKUP($B101,INDIRECT($B$5&amp;"生成成长"),4))/(VLOOKUP(BK$72,INDIRECT($C$5&amp;"生成成长"),5))*(VLOOKUP($B$5,标准坦克设计!$B$24:$U$30,MATCH("对"&amp;LEFT($C$5,2)&amp;"输出",标准坦克设计!$B$23:$U$23,0)))*(VLOOKUP($B101,INDIRECT($B$5&amp;"生成成长"),3))*(VLOOKUP($B$5,标准坦克设计!$B$14:$K$20,9)/30))</f>
        <v>4.0563216620668685</v>
      </c>
      <c r="BL101" s="172">
        <f ca="1">(VLOOKUP(BL$72,INDIRECT($C$5&amp;"生成成长"),2))/((VLOOKUP($B101,INDIRECT($B$5&amp;"生成成长"),4))/(VLOOKUP(BL$72,INDIRECT($C$5&amp;"生成成长"),5))*(VLOOKUP($B$5,标准坦克设计!$B$24:$U$30,MATCH("对"&amp;LEFT($C$5,2)&amp;"输出",标准坦克设计!$B$23:$U$23,0)))*(VLOOKUP($B101,INDIRECT($B$5&amp;"生成成长"),3))*(VLOOKUP($B$5,标准坦克设计!$B$14:$K$20,9)/30))</f>
        <v>4.4893447403622888</v>
      </c>
      <c r="BM101" s="172">
        <f ca="1">(VLOOKUP(BM$72,INDIRECT($C$5&amp;"生成成长"),2))/((VLOOKUP($B101,INDIRECT($B$5&amp;"生成成长"),4))/(VLOOKUP(BM$72,INDIRECT($C$5&amp;"生成成长"),5))*(VLOOKUP($B$5,标准坦克设计!$B$24:$U$30,MATCH("对"&amp;LEFT($C$5,2)&amp;"输出",标准坦克设计!$B$23:$U$23,0)))*(VLOOKUP($B101,INDIRECT($B$5&amp;"生成成长"),3))*(VLOOKUP($B$5,标准坦克设计!$B$14:$K$20,9)/30))</f>
        <v>4.9443239184022669</v>
      </c>
      <c r="BN101" s="172">
        <f ca="1">(VLOOKUP(BN$72,INDIRECT($C$5&amp;"生成成长"),2))/((VLOOKUP($B101,INDIRECT($B$5&amp;"生成成长"),4))/(VLOOKUP(BN$72,INDIRECT($C$5&amp;"生成成长"),5))*(VLOOKUP($B$5,标准坦克设计!$B$24:$U$30,MATCH("对"&amp;LEFT($C$5,2)&amp;"输出",标准坦克设计!$B$23:$U$23,0)))*(VLOOKUP($B101,INDIRECT($B$5&amp;"生成成长"),3))*(VLOOKUP($B$5,标准坦克设计!$B$14:$K$20,9)/30))</f>
        <v>5.4212591961868002</v>
      </c>
      <c r="BO101" s="172">
        <f ca="1">(VLOOKUP(BO$72,INDIRECT($C$5&amp;"生成成长"),2))/((VLOOKUP($B101,INDIRECT($B$5&amp;"生成成长"),4))/(VLOOKUP(BO$72,INDIRECT($C$5&amp;"生成成长"),5))*(VLOOKUP($B$5,标准坦克设计!$B$24:$U$30,MATCH("对"&amp;LEFT($C$5,2)&amp;"输出",标准坦克设计!$B$23:$U$23,0)))*(VLOOKUP($B101,INDIRECT($B$5&amp;"生成成长"),3))*(VLOOKUP($B$5,标准坦克设计!$B$14:$K$20,9)/30))</f>
        <v>5.9201505737158913</v>
      </c>
      <c r="BP101" s="172">
        <f ca="1">(VLOOKUP(BP$72,INDIRECT($C$5&amp;"生成成长"),2))/((VLOOKUP($B101,INDIRECT($B$5&amp;"生成成长"),4))/(VLOOKUP(BP$72,INDIRECT($C$5&amp;"生成成长"),5))*(VLOOKUP($B$5,标准坦克设计!$B$24:$U$30,MATCH("对"&amp;LEFT($C$5,2)&amp;"输出",标准坦克设计!$B$23:$U$23,0)))*(VLOOKUP($B101,INDIRECT($B$5&amp;"生成成长"),3))*(VLOOKUP($B$5,标准坦克设计!$B$14:$K$20,9)/30))</f>
        <v>6.4409980509895375</v>
      </c>
      <c r="BQ101" s="172">
        <f ca="1">(VLOOKUP(BQ$72,INDIRECT($C$5&amp;"生成成长"),2))/((VLOOKUP($B101,INDIRECT($B$5&amp;"生成成长"),4))/(VLOOKUP(BQ$72,INDIRECT($C$5&amp;"生成成长"),5))*(VLOOKUP($B$5,标准坦克设计!$B$24:$U$30,MATCH("对"&amp;LEFT($C$5,2)&amp;"输出",标准坦克设计!$B$23:$U$23,0)))*(VLOOKUP($B101,INDIRECT($B$5&amp;"生成成长"),3))*(VLOOKUP($B$5,标准坦克设计!$B$14:$K$20,9)/30))</f>
        <v>6.9838016280077388</v>
      </c>
      <c r="BR101" s="172">
        <f ca="1">(VLOOKUP(BR$72,INDIRECT($C$5&amp;"生成成长"),2))/((VLOOKUP($B101,INDIRECT($B$5&amp;"生成成长"),4))/(VLOOKUP(BR$72,INDIRECT($C$5&amp;"生成成长"),5))*(VLOOKUP($B$5,标准坦克设计!$B$24:$U$30,MATCH("对"&amp;LEFT($C$5,2)&amp;"输出",标准坦克设计!$B$23:$U$23,0)))*(VLOOKUP($B101,INDIRECT($B$5&amp;"生成成长"),3))*(VLOOKUP($B$5,标准坦克设计!$B$14:$K$20,9)/30))</f>
        <v>7.6126676947654097</v>
      </c>
      <c r="BS101" s="172">
        <f ca="1">(VLOOKUP(BS$72,INDIRECT($C$5&amp;"生成成长"),2))/((VLOOKUP($B101,INDIRECT($B$5&amp;"生成成长"),4))/(VLOOKUP(BS$72,INDIRECT($C$5&amp;"生成成长"),5))*(VLOOKUP($B$5,标准坦克设计!$B$24:$U$30,MATCH("对"&amp;LEFT($C$5,2)&amp;"输出",标准坦克设计!$B$23:$U$23,0)))*(VLOOKUP($B101,INDIRECT($B$5&amp;"生成成长"),3))*(VLOOKUP($B$5,标准坦克设计!$B$14:$K$20,9)/30))</f>
        <v>8.26864005750401</v>
      </c>
      <c r="BT101" s="172">
        <f ca="1">(VLOOKUP(BT$72,INDIRECT($C$5&amp;"生成成长"),2))/((VLOOKUP($B101,INDIRECT($B$5&amp;"生成成长"),4))/(VLOOKUP(BT$72,INDIRECT($C$5&amp;"生成成长"),5))*(VLOOKUP($B$5,标准坦克设计!$B$24:$U$30,MATCH("对"&amp;LEFT($C$5,2)&amp;"输出",标准坦克设计!$B$23:$U$23,0)))*(VLOOKUP($B101,INDIRECT($B$5&amp;"生成成长"),3))*(VLOOKUP($B$5,标准坦克设计!$B$14:$K$20,9)/30))</f>
        <v>8.9517187162235476</v>
      </c>
      <c r="BU101" s="172">
        <f ca="1">(VLOOKUP(BU$72,INDIRECT($C$5&amp;"生成成长"),2))/((VLOOKUP($B101,INDIRECT($B$5&amp;"生成成长"),4))/(VLOOKUP(BU$72,INDIRECT($C$5&amp;"生成成长"),5))*(VLOOKUP($B$5,标准坦克设计!$B$24:$U$30,MATCH("对"&amp;LEFT($C$5,2)&amp;"输出",标准坦克设计!$B$23:$U$23,0)))*(VLOOKUP($B101,INDIRECT($B$5&amp;"生成成长"),3))*(VLOOKUP($B$5,标准坦克设计!$B$14:$K$20,9)/30))</f>
        <v>9.6619036709240209</v>
      </c>
      <c r="BV101" s="172">
        <f ca="1">(VLOOKUP(BV$72,INDIRECT($C$5&amp;"生成成长"),2))/((VLOOKUP($B101,INDIRECT($B$5&amp;"生成成长"),4))/(VLOOKUP(BV$72,INDIRECT($C$5&amp;"生成成长"),5))*(VLOOKUP($B$5,标准坦克设计!$B$24:$U$30,MATCH("对"&amp;LEFT($C$5,2)&amp;"输出",标准坦克设计!$B$23:$U$23,0)))*(VLOOKUP($B101,INDIRECT($B$5&amp;"生成成长"),3))*(VLOOKUP($B$5,标准坦克设计!$B$14:$K$20,9)/30))</f>
        <v>10.399194921605424</v>
      </c>
      <c r="BW101" s="172">
        <f ca="1">(VLOOKUP(BW$72,INDIRECT($C$5&amp;"生成成长"),2))/((VLOOKUP($B101,INDIRECT($B$5&amp;"生成成长"),4))/(VLOOKUP(BW$72,INDIRECT($C$5&amp;"生成成长"),5))*(VLOOKUP($B$5,标准坦克设计!$B$24:$U$30,MATCH("对"&amp;LEFT($C$5,2)&amp;"输出",标准坦克设计!$B$23:$U$23,0)))*(VLOOKUP($B101,INDIRECT($B$5&amp;"生成成长"),3))*(VLOOKUP($B$5,标准坦克设计!$B$14:$K$20,9)/30))</f>
        <v>4.7394003207864044</v>
      </c>
      <c r="BX101" s="172">
        <f ca="1">(VLOOKUP(BX$72,INDIRECT($C$5&amp;"生成成长"),2))/((VLOOKUP($B101,INDIRECT($B$5&amp;"生成成长"),4))/(VLOOKUP(BX$72,INDIRECT($C$5&amp;"生成成长"),5))*(VLOOKUP($B$5,标准坦克设计!$B$24:$U$30,MATCH("对"&amp;LEFT($C$5,2)&amp;"输出",标准坦克设计!$B$23:$U$23,0)))*(VLOOKUP($B101,INDIRECT($B$5&amp;"生成成长"),3))*(VLOOKUP($B$5,标准坦克设计!$B$14:$K$20,9)/30))</f>
        <v>5.2598412036203381</v>
      </c>
      <c r="BY101" s="172">
        <f ca="1">(VLOOKUP(BY$72,INDIRECT($C$5&amp;"生成成长"),2))/((VLOOKUP($B101,INDIRECT($B$5&amp;"生成成长"),4))/(VLOOKUP(BY$72,INDIRECT($C$5&amp;"生成成长"),5))*(VLOOKUP($B$5,标准坦克设计!$B$24:$U$30,MATCH("对"&amp;LEFT($C$5,2)&amp;"输出",标准坦克设计!$B$23:$U$23,0)))*(VLOOKUP($B101,INDIRECT($B$5&amp;"生成成长"),3))*(VLOOKUP($B$5,标准坦克设计!$B$14:$K$20,9)/30))</f>
        <v>5.8073883824352039</v>
      </c>
      <c r="BZ101" s="172">
        <f ca="1">(VLOOKUP(BZ$72,INDIRECT($C$5&amp;"生成成长"),2))/((VLOOKUP($B101,INDIRECT($B$5&amp;"生成成长"),4))/(VLOOKUP(BZ$72,INDIRECT($C$5&amp;"生成成长"),5))*(VLOOKUP($B$5,标准坦克设计!$B$24:$U$30,MATCH("对"&amp;LEFT($C$5,2)&amp;"输出",标准坦克设计!$B$23:$U$23,0)))*(VLOOKUP($B101,INDIRECT($B$5&amp;"生成成长"),3))*(VLOOKUP($B$5,标准坦克设计!$B$14:$K$20,9)/30))</f>
        <v>6.3820418572310054</v>
      </c>
      <c r="CA101" s="172">
        <f ca="1">(VLOOKUP(CA$72,INDIRECT($C$5&amp;"生成成长"),2))/((VLOOKUP($B101,INDIRECT($B$5&amp;"生成成长"),4))/(VLOOKUP(CA$72,INDIRECT($C$5&amp;"生成成长"),5))*(VLOOKUP($B$5,标准坦克设计!$B$24:$U$30,MATCH("对"&amp;LEFT($C$5,2)&amp;"输出",标准坦克设计!$B$23:$U$23,0)))*(VLOOKUP($B101,INDIRECT($B$5&amp;"生成成长"),3))*(VLOOKUP($B$5,标准坦克设计!$B$14:$K$20,9)/30))</f>
        <v>6.9838016280077388</v>
      </c>
      <c r="CB101" s="172">
        <f ca="1">(VLOOKUP(CB$72,INDIRECT($C$5&amp;"生成成长"),2))/((VLOOKUP($B101,INDIRECT($B$5&amp;"生成成长"),4))/(VLOOKUP(CB$72,INDIRECT($C$5&amp;"生成成长"),5))*(VLOOKUP($B$5,标准坦克设计!$B$24:$U$30,MATCH("对"&amp;LEFT($C$5,2)&amp;"输出",标准坦克设计!$B$23:$U$23,0)))*(VLOOKUP($B101,INDIRECT($B$5&amp;"生成成长"),3))*(VLOOKUP($B$5,标准坦克设计!$B$14:$K$20,9)/30))</f>
        <v>7.6126676947654097</v>
      </c>
      <c r="CC101" s="172">
        <f ca="1">(VLOOKUP(CC$72,INDIRECT($C$5&amp;"生成成长"),2))/((VLOOKUP($B101,INDIRECT($B$5&amp;"生成成长"),4))/(VLOOKUP(CC$72,INDIRECT($C$5&amp;"生成成长"),5))*(VLOOKUP($B$5,标准坦克设计!$B$24:$U$30,MATCH("对"&amp;LEFT($C$5,2)&amp;"输出",标准坦克设计!$B$23:$U$23,0)))*(VLOOKUP($B101,INDIRECT($B$5&amp;"生成成长"),3))*(VLOOKUP($B$5,标准坦克设计!$B$14:$K$20,9)/30))</f>
        <v>8.26864005750401</v>
      </c>
      <c r="CD101" s="172">
        <f ca="1">(VLOOKUP(CD$72,INDIRECT($C$5&amp;"生成成长"),2))/((VLOOKUP($B101,INDIRECT($B$5&amp;"生成成长"),4))/(VLOOKUP(CD$72,INDIRECT($C$5&amp;"生成成长"),5))*(VLOOKUP($B$5,标准坦克设计!$B$24:$U$30,MATCH("对"&amp;LEFT($C$5,2)&amp;"输出",标准坦克设计!$B$23:$U$23,0)))*(VLOOKUP($B101,INDIRECT($B$5&amp;"生成成长"),3))*(VLOOKUP($B$5,标准坦克设计!$B$14:$K$20,9)/30))</f>
        <v>8.9517187162235476</v>
      </c>
      <c r="CE101" s="172">
        <f ca="1">(VLOOKUP(CE$72,INDIRECT($C$5&amp;"生成成长"),2))/((VLOOKUP($B101,INDIRECT($B$5&amp;"生成成长"),4))/(VLOOKUP(CE$72,INDIRECT($C$5&amp;"生成成长"),5))*(VLOOKUP($B$5,标准坦克设计!$B$24:$U$30,MATCH("对"&amp;LEFT($C$5,2)&amp;"输出",标准坦克设计!$B$23:$U$23,0)))*(VLOOKUP($B101,INDIRECT($B$5&amp;"生成成长"),3))*(VLOOKUP($B$5,标准坦克设计!$B$14:$K$20,9)/30))</f>
        <v>9.6619036709240209</v>
      </c>
      <c r="CF101" s="172">
        <f ca="1">(VLOOKUP(CF$72,INDIRECT($C$5&amp;"生成成长"),2))/((VLOOKUP($B101,INDIRECT($B$5&amp;"生成成长"),4))/(VLOOKUP(CF$72,INDIRECT($C$5&amp;"生成成长"),5))*(VLOOKUP($B$5,标准坦克设计!$B$24:$U$30,MATCH("对"&amp;LEFT($C$5,2)&amp;"输出",标准坦克设计!$B$23:$U$23,0)))*(VLOOKUP($B101,INDIRECT($B$5&amp;"生成成长"),3))*(VLOOKUP($B$5,标准坦克设计!$B$14:$K$20,9)/30))</f>
        <v>10.399194921605424</v>
      </c>
      <c r="CG101" s="172">
        <f ca="1">(VLOOKUP(CG$72,INDIRECT($C$5&amp;"生成成长"),2))/((VLOOKUP($B101,INDIRECT($B$5&amp;"生成成长"),4))/(VLOOKUP(CG$72,INDIRECT($C$5&amp;"生成成长"),5))*(VLOOKUP($B$5,标准坦克设计!$B$24:$U$30,MATCH("对"&amp;LEFT($C$5,2)&amp;"输出",标准坦克设计!$B$23:$U$23,0)))*(VLOOKUP($B101,INDIRECT($B$5&amp;"生成成长"),3))*(VLOOKUP($B$5,标准坦克设计!$B$14:$K$20,9)/30))</f>
        <v>11.163592468267765</v>
      </c>
      <c r="CH101" s="172">
        <f ca="1">(VLOOKUP(CH$72,INDIRECT($C$5&amp;"生成成长"),2))/((VLOOKUP($B101,INDIRECT($B$5&amp;"生成成长"),4))/(VLOOKUP(CH$72,INDIRECT($C$5&amp;"生成成长"),5))*(VLOOKUP($B$5,标准坦克设计!$B$24:$U$30,MATCH("对"&amp;LEFT($C$5,2)&amp;"输出",标准坦克设计!$B$23:$U$23,0)))*(VLOOKUP($B101,INDIRECT($B$5&amp;"生成成长"),3))*(VLOOKUP($B$5,标准坦克设计!$B$14:$K$20,9)/30))</f>
        <v>11.955096310911038</v>
      </c>
      <c r="CI101" s="172">
        <f ca="1">(VLOOKUP(CI$72,INDIRECT($C$5&amp;"生成成长"),2))/((VLOOKUP($B101,INDIRECT($B$5&amp;"生成成长"),4))/(VLOOKUP(CI$72,INDIRECT($C$5&amp;"生成成长"),5))*(VLOOKUP($B$5,标准坦克设计!$B$24:$U$30,MATCH("对"&amp;LEFT($C$5,2)&amp;"输出",标准坦克设计!$B$23:$U$23,0)))*(VLOOKUP($B101,INDIRECT($B$5&amp;"生成成长"),3))*(VLOOKUP($B$5,标准坦克设计!$B$14:$K$20,9)/30))</f>
        <v>12.857058309676615</v>
      </c>
      <c r="CJ101" s="172">
        <f ca="1">(VLOOKUP(CJ$72,INDIRECT($C$5&amp;"生成成长"),2))/((VLOOKUP($B101,INDIRECT($B$5&amp;"生成成长"),4))/(VLOOKUP(CJ$72,INDIRECT($C$5&amp;"生成成长"),5))*(VLOOKUP($B$5,标准坦克设计!$B$24:$U$30,MATCH("对"&amp;LEFT($C$5,2)&amp;"输出",标准坦克设计!$B$23:$U$23,0)))*(VLOOKUP($B101,INDIRECT($B$5&amp;"生成成长"),3))*(VLOOKUP($B$5,标准坦克设计!$B$14:$K$20,9)/30))</f>
        <v>13.791818926579122</v>
      </c>
      <c r="CK101" s="172">
        <f ca="1">(VLOOKUP(CK$72,INDIRECT($C$5&amp;"生成成长"),2))/((VLOOKUP($B101,INDIRECT($B$5&amp;"生成成长"),4))/(VLOOKUP(CK$72,INDIRECT($C$5&amp;"生成成长"),5))*(VLOOKUP($B$5,标准坦克设计!$B$24:$U$30,MATCH("对"&amp;LEFT($C$5,2)&amp;"输出",标准坦克设计!$B$23:$U$23,0)))*(VLOOKUP($B101,INDIRECT($B$5&amp;"生成成长"),3))*(VLOOKUP($B$5,标准坦克设计!$B$14:$K$20,9)/30))</f>
        <v>14.759378161618562</v>
      </c>
      <c r="CL101" s="172">
        <f ca="1">(VLOOKUP(CL$72,INDIRECT($C$5&amp;"生成成长"),2))/((VLOOKUP($B101,INDIRECT($B$5&amp;"生成成长"),4))/(VLOOKUP(CL$72,INDIRECT($C$5&amp;"生成成长"),5))*(VLOOKUP($B$5,标准坦克设计!$B$24:$U$30,MATCH("对"&amp;LEFT($C$5,2)&amp;"输出",标准坦克设计!$B$23:$U$23,0)))*(VLOOKUP($B101,INDIRECT($B$5&amp;"生成成长"),3))*(VLOOKUP($B$5,标准坦克设计!$B$14:$K$20,9)/30))</f>
        <v>15.759736014794933</v>
      </c>
      <c r="CM101" s="172">
        <f ca="1">(VLOOKUP(CM$72,INDIRECT($C$5&amp;"生成成长"),2))/((VLOOKUP($B101,INDIRECT($B$5&amp;"生成成长"),4))/(VLOOKUP(CM$72,INDIRECT($C$5&amp;"生成成长"),5))*(VLOOKUP($B$5,标准坦克设计!$B$24:$U$30,MATCH("对"&amp;LEFT($C$5,2)&amp;"输出",标准坦克设计!$B$23:$U$23,0)))*(VLOOKUP($B101,INDIRECT($B$5&amp;"生成成长"),3))*(VLOOKUP($B$5,标准坦克设计!$B$14:$K$20,9)/30))</f>
        <v>16.792892486108233</v>
      </c>
      <c r="CN101" s="172">
        <f ca="1">(VLOOKUP(CN$72,INDIRECT($C$5&amp;"生成成长"),2))/((VLOOKUP($B101,INDIRECT($B$5&amp;"生成成长"),4))/(VLOOKUP(CN$72,INDIRECT($C$5&amp;"生成成长"),5))*(VLOOKUP($B$5,标准坦克设计!$B$24:$U$30,MATCH("对"&amp;LEFT($C$5,2)&amp;"输出",标准坦克设计!$B$23:$U$23,0)))*(VLOOKUP($B101,INDIRECT($B$5&amp;"生成成长"),3))*(VLOOKUP($B$5,标准坦克设计!$B$14:$K$20,9)/30))</f>
        <v>17.858847575558464</v>
      </c>
      <c r="CO101" s="172">
        <f ca="1">(VLOOKUP(CO$72,INDIRECT($C$5&amp;"生成成长"),2))/((VLOOKUP($B101,INDIRECT($B$5&amp;"生成成长"),4))/(VLOOKUP(CO$72,INDIRECT($C$5&amp;"生成成长"),5))*(VLOOKUP($B$5,标准坦克设计!$B$24:$U$30,MATCH("对"&amp;LEFT($C$5,2)&amp;"输出",标准坦克设计!$B$23:$U$23,0)))*(VLOOKUP($B101,INDIRECT($B$5&amp;"生成成长"),3))*(VLOOKUP($B$5,标准坦克设计!$B$14:$K$20,9)/30))</f>
        <v>8.002998356890858</v>
      </c>
      <c r="CP101" s="172">
        <f ca="1">(VLOOKUP(CP$72,INDIRECT($C$5&amp;"生成成长"),2))/((VLOOKUP($B101,INDIRECT($B$5&amp;"生成成长"),4))/(VLOOKUP(CP$72,INDIRECT($C$5&amp;"生成成长"),5))*(VLOOKUP($B$5,标准坦克设计!$B$24:$U$30,MATCH("对"&amp;LEFT($C$5,2)&amp;"输出",标准坦克设计!$B$23:$U$23,0)))*(VLOOKUP($B101,INDIRECT($B$5&amp;"生成成长"),3))*(VLOOKUP($B$5,标准坦克设计!$B$14:$K$20,9)/30))</f>
        <v>8.7439489575296889</v>
      </c>
      <c r="CQ101" s="172">
        <f ca="1">(VLOOKUP(CQ$72,INDIRECT($C$5&amp;"生成成长"),2))/((VLOOKUP($B101,INDIRECT($B$5&amp;"生成成长"),4))/(VLOOKUP(CQ$72,INDIRECT($C$5&amp;"生成成长"),5))*(VLOOKUP($B$5,标准坦克设计!$B$24:$U$30,MATCH("对"&amp;LEFT($C$5,2)&amp;"输出",标准坦克设计!$B$23:$U$23,0)))*(VLOOKUP($B101,INDIRECT($B$5&amp;"生成成长"),3))*(VLOOKUP($B$5,标准坦克设计!$B$14:$K$20,9)/30))</f>
        <v>9.5176981763054513</v>
      </c>
      <c r="CR101" s="172">
        <f ca="1">(VLOOKUP(CR$72,INDIRECT($C$5&amp;"生成成长"),2))/((VLOOKUP($B101,INDIRECT($B$5&amp;"生成成长"),4))/(VLOOKUP(CR$72,INDIRECT($C$5&amp;"生成成长"),5))*(VLOOKUP($B$5,标准坦克设计!$B$24:$U$30,MATCH("对"&amp;LEFT($C$5,2)&amp;"输出",标准坦克设计!$B$23:$U$23,0)))*(VLOOKUP($B101,INDIRECT($B$5&amp;"生成成长"),3))*(VLOOKUP($B$5,标准坦克设计!$B$14:$K$20,9)/30))</f>
        <v>10.324246013218142</v>
      </c>
      <c r="CS101" s="172">
        <f ca="1">(VLOOKUP(CS$72,INDIRECT($C$5&amp;"生成成长"),2))/((VLOOKUP($B101,INDIRECT($B$5&amp;"生成成长"),4))/(VLOOKUP(CS$72,INDIRECT($C$5&amp;"生成成长"),5))*(VLOOKUP($B$5,标准坦克设计!$B$24:$U$30,MATCH("对"&amp;LEFT($C$5,2)&amp;"输出",标准坦克设计!$B$23:$U$23,0)))*(VLOOKUP($B101,INDIRECT($B$5&amp;"生成成长"),3))*(VLOOKUP($B$5,标准坦克设计!$B$14:$K$20,9)/30))</f>
        <v>11.163592468267765</v>
      </c>
      <c r="CT101" s="172">
        <f ca="1">(VLOOKUP(CT$72,INDIRECT($C$5&amp;"生成成长"),2))/((VLOOKUP($B101,INDIRECT($B$5&amp;"生成成长"),4))/(VLOOKUP(CT$72,INDIRECT($C$5&amp;"生成成长"),5))*(VLOOKUP($B$5,标准坦克设计!$B$24:$U$30,MATCH("对"&amp;LEFT($C$5,2)&amp;"输出",标准坦克设计!$B$23:$U$23,0)))*(VLOOKUP($B101,INDIRECT($B$5&amp;"生成成长"),3))*(VLOOKUP($B$5,标准坦克设计!$B$14:$K$20,9)/30))</f>
        <v>12.035737541454314</v>
      </c>
      <c r="CU101" s="172">
        <f ca="1">(VLOOKUP(CU$72,INDIRECT($C$5&amp;"生成成长"),2))/((VLOOKUP($B101,INDIRECT($B$5&amp;"生成成长"),4))/(VLOOKUP(CU$72,INDIRECT($C$5&amp;"生成成长"),5))*(VLOOKUP($B$5,标准坦克设计!$B$24:$U$30,MATCH("对"&amp;LEFT($C$5,2)&amp;"输出",标准坦克设计!$B$23:$U$23,0)))*(VLOOKUP($B101,INDIRECT($B$5&amp;"生成成长"),3))*(VLOOKUP($B$5,标准坦克设计!$B$14:$K$20,9)/30))</f>
        <v>12.940681232777795</v>
      </c>
      <c r="CV101" s="172">
        <f ca="1">(VLOOKUP(CV$72,INDIRECT($C$5&amp;"生成成长"),2))/((VLOOKUP($B101,INDIRECT($B$5&amp;"生成成长"),4))/(VLOOKUP(CV$72,INDIRECT($C$5&amp;"生成成长"),5))*(VLOOKUP($B$5,标准坦克设计!$B$24:$U$30,MATCH("对"&amp;LEFT($C$5,2)&amp;"输出",标准坦克设计!$B$23:$U$23,0)))*(VLOOKUP($B101,INDIRECT($B$5&amp;"生成成长"),3))*(VLOOKUP($B$5,标准坦克设计!$B$14:$K$20,9)/30))</f>
        <v>13.87842354223821</v>
      </c>
      <c r="CW101" s="172">
        <f ca="1">(VLOOKUP(CW$72,INDIRECT($C$5&amp;"生成成长"),2))/((VLOOKUP($B101,INDIRECT($B$5&amp;"生成成长"),4))/(VLOOKUP(CW$72,INDIRECT($C$5&amp;"生成成长"),5))*(VLOOKUP($B$5,标准坦克设计!$B$24:$U$30,MATCH("对"&amp;LEFT($C$5,2)&amp;"输出",标准坦克设计!$B$23:$U$23,0)))*(VLOOKUP($B101,INDIRECT($B$5&amp;"生成成长"),3))*(VLOOKUP($B$5,标准坦克设计!$B$14:$K$20,9)/30))</f>
        <v>14.848964469835551</v>
      </c>
      <c r="CX101" s="172">
        <f ca="1">(VLOOKUP(CX$72,INDIRECT($C$5&amp;"生成成长"),2))/((VLOOKUP($B101,INDIRECT($B$5&amp;"生成成长"),4))/(VLOOKUP(CX$72,INDIRECT($C$5&amp;"生成成长"),5))*(VLOOKUP($B$5,标准坦克设计!$B$24:$U$30,MATCH("对"&amp;LEFT($C$5,2)&amp;"输出",标准坦克设计!$B$23:$U$23,0)))*(VLOOKUP($B101,INDIRECT($B$5&amp;"生成成长"),3))*(VLOOKUP($B$5,标准坦克设计!$B$14:$K$20,9)/30))</f>
        <v>15.852304015569819</v>
      </c>
      <c r="CY101" s="172">
        <f ca="1">(VLOOKUP(CY$72,INDIRECT($C$5&amp;"生成成长"),2))/((VLOOKUP($B101,INDIRECT($B$5&amp;"生成成长"),4))/(VLOOKUP(CY$72,INDIRECT($C$5&amp;"生成成长"),5))*(VLOOKUP($B$5,标准坦克设计!$B$24:$U$30,MATCH("对"&amp;LEFT($C$5,2)&amp;"输出",标准坦克设计!$B$23:$U$23,0)))*(VLOOKUP($B101,INDIRECT($B$5&amp;"生成成长"),3))*(VLOOKUP($B$5,标准坦克设计!$B$14:$K$20,9)/30))</f>
        <v>16.888442179441025</v>
      </c>
      <c r="CZ101" s="172">
        <f ca="1">(VLOOKUP(CZ$72,INDIRECT($C$5&amp;"生成成长"),2))/((VLOOKUP($B101,INDIRECT($B$5&amp;"生成成长"),4))/(VLOOKUP(CZ$72,INDIRECT($C$5&amp;"生成成长"),5))*(VLOOKUP($B$5,标准坦克设计!$B$24:$U$30,MATCH("对"&amp;LEFT($C$5,2)&amp;"输出",标准坦克设计!$B$23:$U$23,0)))*(VLOOKUP($B101,INDIRECT($B$5&amp;"生成成长"),3))*(VLOOKUP($B$5,标准坦克设计!$B$14:$K$20,9)/30))</f>
        <v>17.957378961449155</v>
      </c>
      <c r="DA101" s="172">
        <f ca="1">(VLOOKUP(DA$72,INDIRECT($C$5&amp;"生成成长"),2))/((VLOOKUP($B101,INDIRECT($B$5&amp;"生成成长"),4))/(VLOOKUP(DA$72,INDIRECT($C$5&amp;"生成成长"),5))*(VLOOKUP($B$5,标准坦克设计!$B$24:$U$30,MATCH("对"&amp;LEFT($C$5,2)&amp;"输出",标准坦克设计!$B$23:$U$23,0)))*(VLOOKUP($B101,INDIRECT($B$5&amp;"生成成长"),3))*(VLOOKUP($B$5,标准坦克设计!$B$14:$K$20,9)/30))</f>
        <v>19.059114361594219</v>
      </c>
      <c r="DB101" s="172">
        <f ca="1">(VLOOKUP(DB$72,INDIRECT($C$5&amp;"生成成长"),2))/((VLOOKUP($B101,INDIRECT($B$5&amp;"生成成长"),4))/(VLOOKUP(DB$72,INDIRECT($C$5&amp;"生成成长"),5))*(VLOOKUP($B$5,标准坦克设计!$B$24:$U$30,MATCH("对"&amp;LEFT($C$5,2)&amp;"输出",标准坦克设计!$B$23:$U$23,0)))*(VLOOKUP($B101,INDIRECT($B$5&amp;"生成成长"),3))*(VLOOKUP($B$5,标准坦克设计!$B$14:$K$20,9)/30))</f>
        <v>20.193648379876212</v>
      </c>
      <c r="DC101" s="172">
        <f ca="1">(VLOOKUP(DC$72,INDIRECT($C$5&amp;"生成成长"),2))/((VLOOKUP($B101,INDIRECT($B$5&amp;"生成成长"),4))/(VLOOKUP(DC$72,INDIRECT($C$5&amp;"生成成长"),5))*(VLOOKUP($B$5,标准坦克设计!$B$24:$U$30,MATCH("对"&amp;LEFT($C$5,2)&amp;"输出",标准坦克设计!$B$23:$U$23,0)))*(VLOOKUP($B101,INDIRECT($B$5&amp;"生成成长"),3))*(VLOOKUP($B$5,标准坦克设计!$B$14:$K$20,9)/30))</f>
        <v>21.468728542819342</v>
      </c>
      <c r="DD101" s="172">
        <f ca="1">(VLOOKUP(DD$72,INDIRECT($C$5&amp;"生成成长"),2))/((VLOOKUP($B101,INDIRECT($B$5&amp;"生成成长"),4))/(VLOOKUP(DD$72,INDIRECT($C$5&amp;"生成成长"),5))*(VLOOKUP($B$5,标准坦克设计!$B$24:$U$30,MATCH("对"&amp;LEFT($C$5,2)&amp;"输出",标准坦克设计!$B$23:$U$23,0)))*(VLOOKUP($B101,INDIRECT($B$5&amp;"生成成长"),3))*(VLOOKUP($B$5,标准坦克设计!$B$14:$K$20,9)/30))</f>
        <v>22.782841771975026</v>
      </c>
      <c r="DE101" s="172">
        <f ca="1">(VLOOKUP(DE$72,INDIRECT($C$5&amp;"生成成长"),2))/((VLOOKUP($B101,INDIRECT($B$5&amp;"生成成长"),4))/(VLOOKUP(DE$72,INDIRECT($C$5&amp;"生成成长"),5))*(VLOOKUP($B$5,标准坦克设计!$B$24:$U$30,MATCH("对"&amp;LEFT($C$5,2)&amp;"输出",标准坦克设计!$B$23:$U$23,0)))*(VLOOKUP($B101,INDIRECT($B$5&amp;"生成成长"),3))*(VLOOKUP($B$5,标准坦克设计!$B$14:$K$20,9)/30))</f>
        <v>24.135988067343256</v>
      </c>
      <c r="DF101" s="172">
        <f ca="1">(VLOOKUP(DF$72,INDIRECT($C$5&amp;"生成成长"),2))/((VLOOKUP($B101,INDIRECT($B$5&amp;"生成成长"),4))/(VLOOKUP(DF$72,INDIRECT($C$5&amp;"生成成长"),5))*(VLOOKUP($B$5,标准坦克设计!$B$24:$U$30,MATCH("对"&amp;LEFT($C$5,2)&amp;"输出",标准坦克设计!$B$23:$U$23,0)))*(VLOOKUP($B101,INDIRECT($B$5&amp;"生成成长"),3))*(VLOOKUP($B$5,标准坦克设计!$B$14:$K$20,9)/30))</f>
        <v>25.528167428924021</v>
      </c>
      <c r="DG101" s="172">
        <f ca="1">(VLOOKUP(DG$72,INDIRECT($C$5&amp;"生成成长"),2))/((VLOOKUP($B101,INDIRECT($B$5&amp;"生成成长"),4))/(VLOOKUP(DG$72,INDIRECT($C$5&amp;"生成成长"),5))*(VLOOKUP($B$5,标准坦克设计!$B$24:$U$30,MATCH("对"&amp;LEFT($C$5,2)&amp;"输出",标准坦克设计!$B$23:$U$23,0)))*(VLOOKUP($B101,INDIRECT($B$5&amp;"生成成长"),3))*(VLOOKUP($B$5,标准坦克设计!$B$14:$K$20,9)/30))</f>
        <v>26.959379856717341</v>
      </c>
      <c r="DH101" s="172">
        <f ca="1">(VLOOKUP(DH$72,INDIRECT($C$5&amp;"生成成长"),2))/((VLOOKUP($B101,INDIRECT($B$5&amp;"生成成长"),4))/(VLOOKUP(DH$72,INDIRECT($C$5&amp;"生成成长"),5))*(VLOOKUP($B$5,标准坦克设计!$B$24:$U$30,MATCH("对"&amp;LEFT($C$5,2)&amp;"输出",标准坦克设计!$B$23:$U$23,0)))*(VLOOKUP($B101,INDIRECT($B$5&amp;"生成成长"),3))*(VLOOKUP($B$5,标准坦克设计!$B$14:$K$20,9)/30))</f>
        <v>28.429625350723196</v>
      </c>
      <c r="DI101" s="172">
        <f ca="1">(VLOOKUP(DI$72,INDIRECT($C$5&amp;"生成成长"),2))/((VLOOKUP($B101,INDIRECT($B$5&amp;"生成成长"),4))/(VLOOKUP(DI$72,INDIRECT($C$5&amp;"生成成长"),5))*(VLOOKUP($B$5,标准坦克设计!$B$24:$U$30,MATCH("对"&amp;LEFT($C$5,2)&amp;"输出",标准坦克设计!$B$23:$U$23,0)))*(VLOOKUP($B101,INDIRECT($B$5&amp;"生成成长"),3))*(VLOOKUP($B$5,标准坦克设计!$B$14:$K$20,9)/30))</f>
        <v>29.938903910941601</v>
      </c>
      <c r="DJ101" s="172">
        <f ca="1">(VLOOKUP(DJ$72,INDIRECT($C$5&amp;"生成成长"),2))/((VLOOKUP($B101,INDIRECT($B$5&amp;"生成成长"),4))/(VLOOKUP(DJ$72,INDIRECT($C$5&amp;"生成成长"),5))*(VLOOKUP($B$5,标准坦克设计!$B$24:$U$30,MATCH("对"&amp;LEFT($C$5,2)&amp;"输出",标准坦克设计!$B$23:$U$23,0)))*(VLOOKUP($B101,INDIRECT($B$5&amp;"生成成长"),3))*(VLOOKUP($B$5,标准坦克设计!$B$14:$K$20,9)/30))</f>
        <v>3.0089343853635784</v>
      </c>
      <c r="DK101" s="172">
        <f ca="1">(VLOOKUP(DK$72,INDIRECT($C$5&amp;"生成成长"),2))/((VLOOKUP($B101,INDIRECT($B$5&amp;"生成成长"),4))/(VLOOKUP(DK$72,INDIRECT($C$5&amp;"生成成长"),5))*(VLOOKUP($B$5,标准坦克设计!$B$24:$U$30,MATCH("对"&amp;LEFT($C$5,2)&amp;"输出",标准坦克设计!$B$23:$U$23,0)))*(VLOOKUP($B101,INDIRECT($B$5&amp;"生成成长"),3))*(VLOOKUP($B$5,标准坦克设计!$B$14:$K$20,9)/30))</f>
        <v>3.3834078643401817</v>
      </c>
      <c r="DL101" s="172">
        <f ca="1">(VLOOKUP(DL$72,INDIRECT($C$5&amp;"生成成长"),2))/((VLOOKUP($B101,INDIRECT($B$5&amp;"生成成长"),4))/(VLOOKUP(DL$72,INDIRECT($C$5&amp;"生成成长"),5))*(VLOOKUP($B$5,标准坦克设计!$B$24:$U$30,MATCH("对"&amp;LEFT($C$5,2)&amp;"输出",标准坦克设计!$B$23:$U$23,0)))*(VLOOKUP($B101,INDIRECT($B$5&amp;"生成成长"),3))*(VLOOKUP($B$5,标准坦克设计!$B$14:$K$20,9)/30))</f>
        <v>3.7798374430613415</v>
      </c>
      <c r="DM101" s="172">
        <f ca="1">(VLOOKUP(DM$72,INDIRECT($C$5&amp;"生成成长"),2))/((VLOOKUP($B101,INDIRECT($B$5&amp;"生成成长"),4))/(VLOOKUP(DM$72,INDIRECT($C$5&amp;"生成成长"),5))*(VLOOKUP($B$5,标准坦克设计!$B$24:$U$30,MATCH("对"&amp;LEFT($C$5,2)&amp;"输出",标准坦克设计!$B$23:$U$23,0)))*(VLOOKUP($B101,INDIRECT($B$5&amp;"生成成长"),3))*(VLOOKUP($B$5,标准坦克设计!$B$14:$K$20,9)/30))</f>
        <v>4.1982231215270582</v>
      </c>
      <c r="DN101" s="172">
        <f ca="1">(VLOOKUP(DN$72,INDIRECT($C$5&amp;"生成成长"),2))/((VLOOKUP($B101,INDIRECT($B$5&amp;"生成成长"),4))/(VLOOKUP(DN$72,INDIRECT($C$5&amp;"生成成长"),5))*(VLOOKUP($B$5,标准坦克设计!$B$24:$U$30,MATCH("对"&amp;LEFT($C$5,2)&amp;"输出",标准坦克设计!$B$23:$U$23,0)))*(VLOOKUP($B101,INDIRECT($B$5&amp;"生成成长"),3))*(VLOOKUP($B$5,标准坦克设计!$B$14:$K$20,9)/30))</f>
        <v>4.6385648997373305</v>
      </c>
      <c r="DO101" s="172">
        <f ca="1">(VLOOKUP(DO$72,INDIRECT($C$5&amp;"生成成长"),2))/((VLOOKUP($B101,INDIRECT($B$5&amp;"生成成长"),4))/(VLOOKUP(DO$72,INDIRECT($C$5&amp;"生成成长"),5))*(VLOOKUP($B$5,标准坦克设计!$B$24:$U$30,MATCH("对"&amp;LEFT($C$5,2)&amp;"输出",标准坦克设计!$B$23:$U$23,0)))*(VLOOKUP($B101,INDIRECT($B$5&amp;"生成成长"),3))*(VLOOKUP($B$5,标准坦克设计!$B$14:$K$20,9)/30))</f>
        <v>5.1008627776921598</v>
      </c>
      <c r="DP101" s="172">
        <f ca="1">(VLOOKUP(DP$72,INDIRECT($C$5&amp;"生成成长"),2))/((VLOOKUP($B101,INDIRECT($B$5&amp;"生成成长"),4))/(VLOOKUP(DP$72,INDIRECT($C$5&amp;"生成成长"),5))*(VLOOKUP($B$5,标准坦克设计!$B$24:$U$30,MATCH("对"&amp;LEFT($C$5,2)&amp;"输出",标准坦克设计!$B$23:$U$23,0)))*(VLOOKUP($B101,INDIRECT($B$5&amp;"生成成长"),3))*(VLOOKUP($B$5,标准坦克设计!$B$14:$K$20,9)/30))</f>
        <v>5.5851167553915468</v>
      </c>
      <c r="DQ101" s="172">
        <f ca="1">(VLOOKUP(DQ$72,INDIRECT($C$5&amp;"生成成长"),2))/((VLOOKUP($B101,INDIRECT($B$5&amp;"生成成长"),4))/(VLOOKUP(DQ$72,INDIRECT($C$5&amp;"生成成长"),5))*(VLOOKUP($B$5,标准坦克设计!$B$24:$U$30,MATCH("对"&amp;LEFT($C$5,2)&amp;"输出",标准坦克设计!$B$23:$U$23,0)))*(VLOOKUP($B101,INDIRECT($B$5&amp;"生成成长"),3))*(VLOOKUP($B$5,标准坦克设计!$B$14:$K$20,9)/30))</f>
        <v>6.091326832835489</v>
      </c>
      <c r="DR101" s="172">
        <f ca="1">(VLOOKUP(DR$72,INDIRECT($C$5&amp;"生成成长"),2))/((VLOOKUP($B101,INDIRECT($B$5&amp;"生成成长"),4))/(VLOOKUP(DR$72,INDIRECT($C$5&amp;"生成成长"),5))*(VLOOKUP($B$5,标准坦克设计!$B$24:$U$30,MATCH("对"&amp;LEFT($C$5,2)&amp;"输出",标准坦克设计!$B$23:$U$23,0)))*(VLOOKUP($B101,INDIRECT($B$5&amp;"生成成长"),3))*(VLOOKUP($B$5,标准坦克设计!$B$14:$K$20,9)/30))</f>
        <v>6.6194930100239882</v>
      </c>
      <c r="DS101" s="172">
        <f ca="1">(VLOOKUP(DS$72,INDIRECT($C$5&amp;"生成成长"),2))/((VLOOKUP($B101,INDIRECT($B$5&amp;"生成成长"),4))/(VLOOKUP(DS$72,INDIRECT($C$5&amp;"生成成长"),5))*(VLOOKUP($B$5,标准坦克设计!$B$24:$U$30,MATCH("对"&amp;LEFT($C$5,2)&amp;"输出",标准坦克设计!$B$23:$U$23,0)))*(VLOOKUP($B101,INDIRECT($B$5&amp;"生成成长"),3))*(VLOOKUP($B$5,标准坦克设计!$B$14:$K$20,9)/30))</f>
        <v>7.1696152869570424</v>
      </c>
      <c r="DT101" s="172">
        <f ca="1">(VLOOKUP(DT$72,INDIRECT($C$5&amp;"生成成长"),2))/((VLOOKUP($B101,INDIRECT($B$5&amp;"生成成长"),4))/(VLOOKUP(DT$72,INDIRECT($C$5&amp;"生成成长"),5))*(VLOOKUP($B$5,标准坦克设计!$B$24:$U$30,MATCH("对"&amp;LEFT($C$5,2)&amp;"输出",标准坦克设计!$B$23:$U$23,0)))*(VLOOKUP($B101,INDIRECT($B$5&amp;"生成成长"),3))*(VLOOKUP($B$5,标准坦克设计!$B$14:$K$20,9)/30))</f>
        <v>7.8718038843431382</v>
      </c>
      <c r="DU101" s="172">
        <f ca="1">(VLOOKUP(DU$72,INDIRECT($C$5&amp;"生成成长"),2))/((VLOOKUP($B101,INDIRECT($B$5&amp;"生成成长"),4))/(VLOOKUP(DU$72,INDIRECT($C$5&amp;"生成成长"),5))*(VLOOKUP($B$5,标准坦克设计!$B$24:$U$30,MATCH("对"&amp;LEFT($C$5,2)&amp;"输出",标准坦克设计!$B$23:$U$23,0)))*(VLOOKUP($B101,INDIRECT($B$5&amp;"生成成长"),3))*(VLOOKUP($B$5,标准坦克设计!$B$14:$K$20,9)/30))</f>
        <v>8.6067910998661628</v>
      </c>
      <c r="DV101" s="172">
        <f ca="1">(VLOOKUP(DV$72,INDIRECT($C$5&amp;"生成成长"),2))/((VLOOKUP($B101,INDIRECT($B$5&amp;"生成成长"),4))/(VLOOKUP(DV$72,INDIRECT($C$5&amp;"生成成长"),5))*(VLOOKUP($B$5,标准坦克设计!$B$24:$U$30,MATCH("对"&amp;LEFT($C$5,2)&amp;"输出",标准坦克设计!$B$23:$U$23,0)))*(VLOOKUP($B101,INDIRECT($B$5&amp;"生成成长"),3))*(VLOOKUP($B$5,标准坦克设计!$B$14:$K$20,9)/30))</f>
        <v>9.374576933526118</v>
      </c>
      <c r="DW101" s="172">
        <f ca="1">(VLOOKUP(DW$72,INDIRECT($C$5&amp;"生成成长"),2))/((VLOOKUP($B101,INDIRECT($B$5&amp;"生成成长"),4))/(VLOOKUP(DW$72,INDIRECT($C$5&amp;"生成成长"),5))*(VLOOKUP($B$5,标准坦克设计!$B$24:$U$30,MATCH("对"&amp;LEFT($C$5,2)&amp;"输出",标准坦克设计!$B$23:$U$23,0)))*(VLOOKUP($B101,INDIRECT($B$5&amp;"生成成长"),3))*(VLOOKUP($B$5,标准坦克设计!$B$14:$K$20,9)/30))</f>
        <v>10.175161385323003</v>
      </c>
      <c r="DX101" s="172">
        <f ca="1">(VLOOKUP(DX$72,INDIRECT($C$5&amp;"生成成长"),2))/((VLOOKUP($B101,INDIRECT($B$5&amp;"生成成长"),4))/(VLOOKUP(DX$72,INDIRECT($C$5&amp;"生成成长"),5))*(VLOOKUP($B$5,标准坦克设计!$B$24:$U$30,MATCH("对"&amp;LEFT($C$5,2)&amp;"输出",标准坦克设计!$B$23:$U$23,0)))*(VLOOKUP($B101,INDIRECT($B$5&amp;"生成成长"),3))*(VLOOKUP($B$5,标准坦克设计!$B$14:$K$20,9)/30))</f>
        <v>11.008544455256819</v>
      </c>
      <c r="DY101" s="172">
        <f ca="1">(VLOOKUP(DY$72,INDIRECT($C$5&amp;"生成成长"),2))/((VLOOKUP($B101,INDIRECT($B$5&amp;"生成成长"),4))/(VLOOKUP(DY$72,INDIRECT($C$5&amp;"生成成长"),5))*(VLOOKUP($B$5,标准坦克设计!$B$24:$U$30,MATCH("对"&amp;LEFT($C$5,2)&amp;"输出",标准坦克设计!$B$23:$U$23,0)))*(VLOOKUP($B101,INDIRECT($B$5&amp;"生成成长"),3))*(VLOOKUP($B$5,标准坦克设计!$B$14:$K$20,9)/30))</f>
        <v>4.9443239184022669</v>
      </c>
      <c r="DZ101" s="172">
        <f ca="1">(VLOOKUP(DZ$72,INDIRECT($C$5&amp;"生成成长"),2))/((VLOOKUP($B101,INDIRECT($B$5&amp;"生成成长"),4))/(VLOOKUP(DZ$72,INDIRECT($C$5&amp;"生成成长"),5))*(VLOOKUP($B$5,标准坦克设计!$B$24:$U$30,MATCH("对"&amp;LEFT($C$5,2)&amp;"输出",标准坦克设计!$B$23:$U$23,0)))*(VLOOKUP($B101,INDIRECT($B$5&amp;"生成成长"),3))*(VLOOKUP($B$5,标准坦克设计!$B$14:$K$20,9)/30))</f>
        <v>5.4756073196285726</v>
      </c>
      <c r="EA101" s="172">
        <f ca="1">(VLOOKUP(EA$72,INDIRECT($C$5&amp;"生成成长"),2))/((VLOOKUP($B101,INDIRECT($B$5&amp;"生成成长"),4))/(VLOOKUP(EA$72,INDIRECT($C$5&amp;"生成成长"),5))*(VLOOKUP($B$5,标准坦克设计!$B$24:$U$30,MATCH("对"&amp;LEFT($C$5,2)&amp;"输出",标准坦克设计!$B$23:$U$23,0)))*(VLOOKUP($B101,INDIRECT($B$5&amp;"生成成长"),3))*(VLOOKUP($B$5,标准坦克设计!$B$14:$K$20,9)/30))</f>
        <v>6.0339970168358139</v>
      </c>
      <c r="EB101" s="172">
        <f ca="1">(VLOOKUP(EB$72,INDIRECT($C$5&amp;"生成成长"),2))/((VLOOKUP($B101,INDIRECT($B$5&amp;"生成成长"),4))/(VLOOKUP(EB$72,INDIRECT($C$5&amp;"生成成长"),5))*(VLOOKUP($B$5,标准坦克设计!$B$24:$U$30,MATCH("对"&amp;LEFT($C$5,2)&amp;"输出",标准坦克设计!$B$23:$U$23,0)))*(VLOOKUP($B101,INDIRECT($B$5&amp;"生成成长"),3))*(VLOOKUP($B$5,标准坦克设计!$B$14:$K$20,9)/30))</f>
        <v>6.6194930100239882</v>
      </c>
      <c r="EC101" s="172">
        <f ca="1">(VLOOKUP(EC$72,INDIRECT($C$5&amp;"生成成长"),2))/((VLOOKUP($B101,INDIRECT($B$5&amp;"生成成长"),4))/(VLOOKUP(EC$72,INDIRECT($C$5&amp;"生成成长"),5))*(VLOOKUP($B$5,标准坦克设计!$B$24:$U$30,MATCH("对"&amp;LEFT($C$5,2)&amp;"输出",标准坦克设计!$B$23:$U$23,0)))*(VLOOKUP($B101,INDIRECT($B$5&amp;"生成成长"),3))*(VLOOKUP($B$5,标准坦克设计!$B$14:$K$20,9)/30))</f>
        <v>7.2320952991930945</v>
      </c>
      <c r="ED101" s="172">
        <f ca="1">(VLOOKUP(ED$72,INDIRECT($C$5&amp;"生成成长"),2))/((VLOOKUP($B101,INDIRECT($B$5&amp;"生成成长"),4))/(VLOOKUP(ED$72,INDIRECT($C$5&amp;"生成成长"),5))*(VLOOKUP($B$5,标准坦克设计!$B$24:$U$30,MATCH("对"&amp;LEFT($C$5,2)&amp;"输出",标准坦克设计!$B$23:$U$23,0)))*(VLOOKUP($B101,INDIRECT($B$5&amp;"生成成长"),3))*(VLOOKUP($B$5,标准坦克设计!$B$14:$K$20,9)/30))</f>
        <v>7.8718038843431382</v>
      </c>
      <c r="EE101" s="172">
        <f ca="1">(VLOOKUP(EE$72,INDIRECT($C$5&amp;"生成成长"),2))/((VLOOKUP($B101,INDIRECT($B$5&amp;"生成成长"),4))/(VLOOKUP(EE$72,INDIRECT($C$5&amp;"生成成长"),5))*(VLOOKUP($B$5,标准坦克设计!$B$24:$U$30,MATCH("对"&amp;LEFT($C$5,2)&amp;"输出",标准坦克设计!$B$23:$U$23,0)))*(VLOOKUP($B101,INDIRECT($B$5&amp;"生成成长"),3))*(VLOOKUP($B$5,标准坦克设计!$B$14:$K$20,9)/30))</f>
        <v>8.5386187654741157</v>
      </c>
      <c r="EF101" s="172">
        <f ca="1">(VLOOKUP(EF$72,INDIRECT($C$5&amp;"生成成长"),2))/((VLOOKUP($B101,INDIRECT($B$5&amp;"生成成长"),4))/(VLOOKUP(EF$72,INDIRECT($C$5&amp;"生成成长"),5))*(VLOOKUP($B$5,标准坦克设计!$B$24:$U$30,MATCH("对"&amp;LEFT($C$5,2)&amp;"输出",标准坦克设计!$B$23:$U$23,0)))*(VLOOKUP($B101,INDIRECT($B$5&amp;"生成成长"),3))*(VLOOKUP($B$5,标准坦克设计!$B$14:$K$20,9)/30))</f>
        <v>9.2325399425860244</v>
      </c>
      <c r="EG101" s="172">
        <f ca="1">(VLOOKUP(EG$72,INDIRECT($C$5&amp;"生成成长"),2))/((VLOOKUP($B101,INDIRECT($B$5&amp;"生成成长"),4))/(VLOOKUP(EG$72,INDIRECT($C$5&amp;"生成成长"),5))*(VLOOKUP($B$5,标准坦克设计!$B$24:$U$30,MATCH("对"&amp;LEFT($C$5,2)&amp;"输出",标准坦克设计!$B$23:$U$23,0)))*(VLOOKUP($B101,INDIRECT($B$5&amp;"生成成长"),3))*(VLOOKUP($B$5,标准坦克设计!$B$14:$K$20,9)/30))</f>
        <v>9.9535674156788687</v>
      </c>
      <c r="EH101" s="172">
        <f ca="1">(VLOOKUP(EH$72,INDIRECT($C$5&amp;"生成成长"),2))/((VLOOKUP($B101,INDIRECT($B$5&amp;"生成成长"),4))/(VLOOKUP(EH$72,INDIRECT($C$5&amp;"生成成长"),5))*(VLOOKUP($B$5,标准坦克设计!$B$24:$U$30,MATCH("对"&amp;LEFT($C$5,2)&amp;"输出",标准坦克设计!$B$23:$U$23,0)))*(VLOOKUP($B101,INDIRECT($B$5&amp;"生成成长"),3))*(VLOOKUP($B$5,标准坦克设计!$B$14:$K$20,9)/30))</f>
        <v>10.701701184752647</v>
      </c>
      <c r="EI101" s="172">
        <f ca="1">(VLOOKUP(EI$72,INDIRECT($C$5&amp;"生成成长"),2))/((VLOOKUP($B101,INDIRECT($B$5&amp;"生成成长"),4))/(VLOOKUP(EI$72,INDIRECT($C$5&amp;"生成成长"),5))*(VLOOKUP($B$5,标准坦克设计!$B$24:$U$30,MATCH("对"&amp;LEFT($C$5,2)&amp;"输出",标准坦克设计!$B$23:$U$23,0)))*(VLOOKUP($B101,INDIRECT($B$5&amp;"生成成长"),3))*(VLOOKUP($B$5,标准坦克设计!$B$14:$K$20,9)/30))</f>
        <v>11.476941249807359</v>
      </c>
      <c r="EJ101" s="172">
        <f ca="1">(VLOOKUP(EJ$72,INDIRECT($C$5&amp;"生成成长"),2))/((VLOOKUP($B101,INDIRECT($B$5&amp;"生成成长"),4))/(VLOOKUP(EJ$72,INDIRECT($C$5&amp;"生成成长"),5))*(VLOOKUP($B$5,标准坦克设计!$B$24:$U$30,MATCH("对"&amp;LEFT($C$5,2)&amp;"输出",标准坦克设计!$B$23:$U$23,0)))*(VLOOKUP($B101,INDIRECT($B$5&amp;"生成成长"),3))*(VLOOKUP($B$5,标准坦克设计!$B$14:$K$20,9)/30))</f>
        <v>12.279287610843006</v>
      </c>
      <c r="EK101" s="172">
        <f ca="1">(VLOOKUP(EK$72,INDIRECT($C$5&amp;"生成成长"),2))/((VLOOKUP($B101,INDIRECT($B$5&amp;"生成成长"),4))/(VLOOKUP(EK$72,INDIRECT($C$5&amp;"生成成长"),5))*(VLOOKUP($B$5,标准坦克设计!$B$24:$U$30,MATCH("对"&amp;LEFT($C$5,2)&amp;"输出",标准坦克设计!$B$23:$U$23,0)))*(VLOOKUP($B101,INDIRECT($B$5&amp;"生成成长"),3))*(VLOOKUP($B$5,标准坦克设计!$B$14:$K$20,9)/30))</f>
        <v>13.277883554780617</v>
      </c>
      <c r="EL101" s="172">
        <f ca="1">(VLOOKUP(EL$72,INDIRECT($C$5&amp;"生成成长"),2))/((VLOOKUP($B101,INDIRECT($B$5&amp;"生成成长"),4))/(VLOOKUP(EL$72,INDIRECT($C$5&amp;"生成成长"),5))*(VLOOKUP($B$5,标准坦克设计!$B$24:$U$30,MATCH("对"&amp;LEFT($C$5,2)&amp;"输出",标准坦克设计!$B$23:$U$23,0)))*(VLOOKUP($B101,INDIRECT($B$5&amp;"生成成长"),3))*(VLOOKUP($B$5,标准坦克设计!$B$14:$K$20,9)/30))</f>
        <v>14.315512564930771</v>
      </c>
      <c r="EM101" s="172">
        <f ca="1">(VLOOKUP(EM$72,INDIRECT($C$5&amp;"生成成长"),2))/((VLOOKUP($B101,INDIRECT($B$5&amp;"生成成长"),4))/(VLOOKUP(EM$72,INDIRECT($C$5&amp;"生成成长"),5))*(VLOOKUP($B$5,标准坦克设计!$B$24:$U$30,MATCH("对"&amp;LEFT($C$5,2)&amp;"输出",标准坦克设计!$B$23:$U$23,0)))*(VLOOKUP($B101,INDIRECT($B$5&amp;"生成成长"),3))*(VLOOKUP($B$5,标准坦克设计!$B$14:$K$20,9)/30))</f>
        <v>15.392174641293467</v>
      </c>
      <c r="EN101" s="172">
        <f ca="1">(VLOOKUP(EN$72,INDIRECT($C$5&amp;"生成成长"),2))/((VLOOKUP($B101,INDIRECT($B$5&amp;"生成成长"),4))/(VLOOKUP(EN$72,INDIRECT($C$5&amp;"生成成长"),5))*(VLOOKUP($B$5,标准坦克设计!$B$24:$U$30,MATCH("对"&amp;LEFT($C$5,2)&amp;"输出",标准坦克设计!$B$23:$U$23,0)))*(VLOOKUP($B101,INDIRECT($B$5&amp;"生成成长"),3))*(VLOOKUP($B$5,标准坦克设计!$B$14:$K$20,9)/30))</f>
        <v>16.50786978386871</v>
      </c>
      <c r="EO101" s="172">
        <f ca="1">(VLOOKUP(EO$72,INDIRECT($C$5&amp;"生成成长"),2))/((VLOOKUP($B101,INDIRECT($B$5&amp;"生成成长"),4))/(VLOOKUP(EO$72,INDIRECT($C$5&amp;"生成成长"),5))*(VLOOKUP($B$5,标准坦克设计!$B$24:$U$30,MATCH("对"&amp;LEFT($C$5,2)&amp;"输出",标准坦克设计!$B$23:$U$23,0)))*(VLOOKUP($B101,INDIRECT($B$5&amp;"生成成长"),3))*(VLOOKUP($B$5,标准坦克设计!$B$14:$K$20,9)/30))</f>
        <v>17.662597992656497</v>
      </c>
      <c r="EP101" s="172">
        <f ca="1">(VLOOKUP(EP$72,INDIRECT($C$5&amp;"生成成长"),2))/((VLOOKUP($B101,INDIRECT($B$5&amp;"生成成长"),4))/(VLOOKUP(EP$72,INDIRECT($C$5&amp;"生成成长"),5))*(VLOOKUP($B$5,标准坦克设计!$B$24:$U$30,MATCH("对"&amp;LEFT($C$5,2)&amp;"输出",标准坦克设计!$B$23:$U$23,0)))*(VLOOKUP($B101,INDIRECT($B$5&amp;"生成成长"),3))*(VLOOKUP($B$5,标准坦克设计!$B$14:$K$20,9)/30))</f>
        <v>18.856359267656831</v>
      </c>
      <c r="EQ101" s="172">
        <f ca="1">(VLOOKUP(EQ$72,INDIRECT($C$5&amp;"生成成长"),2))/((VLOOKUP($B101,INDIRECT($B$5&amp;"生成成长"),4))/(VLOOKUP(EQ$72,INDIRECT($C$5&amp;"生成成长"),5))*(VLOOKUP($B$5,标准坦克设计!$B$24:$U$30,MATCH("对"&amp;LEFT($C$5,2)&amp;"输出",标准坦克设计!$B$23:$U$23,0)))*(VLOOKUP($B101,INDIRECT($B$5&amp;"生成成长"),3))*(VLOOKUP($B$5,标准坦克设计!$B$14:$K$20,9)/30))</f>
        <v>8.3357281400568244</v>
      </c>
      <c r="ER101" s="172">
        <f ca="1">(VLOOKUP(ER$72,INDIRECT($C$5&amp;"生成成长"),2))/((VLOOKUP($B101,INDIRECT($B$5&amp;"生成成长"),4))/(VLOOKUP(ER$72,INDIRECT($C$5&amp;"生成成长"),5))*(VLOOKUP($B$5,标准坦克设计!$B$24:$U$30,MATCH("对"&amp;LEFT($C$5,2)&amp;"输出",标准坦克设计!$B$23:$U$23,0)))*(VLOOKUP($B101,INDIRECT($B$5&amp;"生成成长"),3))*(VLOOKUP($B$5,标准坦克设计!$B$14:$K$20,9)/30))</f>
        <v>9.0915872034851688</v>
      </c>
      <c r="ES101" s="172">
        <f ca="1">(VLOOKUP(ES$72,INDIRECT($C$5&amp;"生成成长"),2))/((VLOOKUP($B101,INDIRECT($B$5&amp;"生成成长"),4))/(VLOOKUP(ES$72,INDIRECT($C$5&amp;"生成成长"),5))*(VLOOKUP($B$5,标准坦克设计!$B$24:$U$30,MATCH("对"&amp;LEFT($C$5,2)&amp;"输出",标准坦克设计!$B$23:$U$23,0)))*(VLOOKUP($B101,INDIRECT($B$5&amp;"生成成长"),3))*(VLOOKUP($B$5,标准坦克设计!$B$14:$K$20,9)/30))</f>
        <v>9.880244885050443</v>
      </c>
      <c r="ET101" s="172">
        <f ca="1">(VLOOKUP(ET$72,INDIRECT($C$5&amp;"生成成长"),2))/((VLOOKUP($B101,INDIRECT($B$5&amp;"生成成长"),4))/(VLOOKUP(ET$72,INDIRECT($C$5&amp;"生成成长"),5))*(VLOOKUP($B$5,标准坦克设计!$B$24:$U$30,MATCH("对"&amp;LEFT($C$5,2)&amp;"输出",标准坦克设计!$B$23:$U$23,0)))*(VLOOKUP($B101,INDIRECT($B$5&amp;"生成成长"),3))*(VLOOKUP($B$5,标准坦克设计!$B$14:$K$20,9)/30))</f>
        <v>10.701701184752647</v>
      </c>
      <c r="EU101" s="172">
        <f ca="1">(VLOOKUP(EU$72,INDIRECT($C$5&amp;"生成成长"),2))/((VLOOKUP($B101,INDIRECT($B$5&amp;"生成成长"),4))/(VLOOKUP(EU$72,INDIRECT($C$5&amp;"生成成长"),5))*(VLOOKUP($B$5,标准坦克设计!$B$24:$U$30,MATCH("对"&amp;LEFT($C$5,2)&amp;"输出",标准坦克设计!$B$23:$U$23,0)))*(VLOOKUP($B101,INDIRECT($B$5&amp;"生成成长"),3))*(VLOOKUP($B$5,标准坦克设计!$B$14:$K$20,9)/30))</f>
        <v>11.555956102591784</v>
      </c>
      <c r="EV101" s="172">
        <f ca="1">(VLOOKUP(EV$72,INDIRECT($C$5&amp;"生成成长"),2))/((VLOOKUP($B101,INDIRECT($B$5&amp;"生成成长"),4))/(VLOOKUP(EV$72,INDIRECT($C$5&amp;"生成成长"),5))*(VLOOKUP($B$5,标准坦克设计!$B$24:$U$30,MATCH("对"&amp;LEFT($C$5,2)&amp;"输出",标准坦克设计!$B$23:$U$23,0)))*(VLOOKUP($B101,INDIRECT($B$5&amp;"生成成长"),3))*(VLOOKUP($B$5,标准坦克设计!$B$14:$K$20,9)/30))</f>
        <v>12.443009638567847</v>
      </c>
      <c r="EW101" s="172">
        <f ca="1">(VLOOKUP(EW$72,INDIRECT($C$5&amp;"生成成长"),2))/((VLOOKUP($B101,INDIRECT($B$5&amp;"生成成长"),4))/(VLOOKUP(EW$72,INDIRECT($C$5&amp;"生成成长"),5))*(VLOOKUP($B$5,标准坦克设计!$B$24:$U$30,MATCH("对"&amp;LEFT($C$5,2)&amp;"输出",标准坦克设计!$B$23:$U$23,0)))*(VLOOKUP($B101,INDIRECT($B$5&amp;"生成成长"),3))*(VLOOKUP($B$5,标准坦克设计!$B$14:$K$20,9)/30))</f>
        <v>13.362861792680842</v>
      </c>
      <c r="EX101" s="172">
        <f ca="1">(VLOOKUP(EX$72,INDIRECT($C$5&amp;"生成成长"),2))/((VLOOKUP($B101,INDIRECT($B$5&amp;"生成成长"),4))/(VLOOKUP(EX$72,INDIRECT($C$5&amp;"生成成长"),5))*(VLOOKUP($B$5,标准坦克设计!$B$24:$U$30,MATCH("对"&amp;LEFT($C$5,2)&amp;"输出",标准坦克设计!$B$23:$U$23,0)))*(VLOOKUP($B101,INDIRECT($B$5&amp;"生成成长"),3))*(VLOOKUP($B$5,标准坦克设计!$B$14:$K$20,9)/30))</f>
        <v>14.315512564930771</v>
      </c>
      <c r="EY101" s="172">
        <f ca="1">(VLOOKUP(EY$72,INDIRECT($C$5&amp;"生成成长"),2))/((VLOOKUP($B101,INDIRECT($B$5&amp;"生成成长"),4))/(VLOOKUP(EY$72,INDIRECT($C$5&amp;"生成成长"),5))*(VLOOKUP($B$5,标准坦克设计!$B$24:$U$30,MATCH("对"&amp;LEFT($C$5,2)&amp;"输出",标准坦克设计!$B$23:$U$23,0)))*(VLOOKUP($B101,INDIRECT($B$5&amp;"生成成长"),3))*(VLOOKUP($B$5,标准坦克设计!$B$14:$K$20,9)/30))</f>
        <v>15.300961955317625</v>
      </c>
      <c r="EZ101" s="172">
        <f ca="1">(VLOOKUP(EZ$72,INDIRECT($C$5&amp;"生成成长"),2))/((VLOOKUP($B101,INDIRECT($B$5&amp;"生成成长"),4))/(VLOOKUP(EZ$72,INDIRECT($C$5&amp;"生成成长"),5))*(VLOOKUP($B$5,标准坦克设计!$B$24:$U$30,MATCH("对"&amp;LEFT($C$5,2)&amp;"输出",标准坦克设计!$B$23:$U$23,0)))*(VLOOKUP($B101,INDIRECT($B$5&amp;"生成成长"),3))*(VLOOKUP($B$5,标准坦克设计!$B$14:$K$20,9)/30))</f>
        <v>16.319209963841413</v>
      </c>
      <c r="FA101" s="172">
        <f ca="1">(VLOOKUP(FA$72,INDIRECT($C$5&amp;"生成成长"),2))/((VLOOKUP($B101,INDIRECT($B$5&amp;"生成成长"),4))/(VLOOKUP(FA$72,INDIRECT($C$5&amp;"生成成长"),5))*(VLOOKUP($B$5,标准坦克设计!$B$24:$U$30,MATCH("对"&amp;LEFT($C$5,2)&amp;"输出",标准坦克设计!$B$23:$U$23,0)))*(VLOOKUP($B101,INDIRECT($B$5&amp;"生成成长"),3))*(VLOOKUP($B$5,标准坦克设计!$B$14:$K$20,9)/30))</f>
        <v>17.370256590502127</v>
      </c>
      <c r="FB101" s="172">
        <f ca="1">(VLOOKUP(FB$72,INDIRECT($C$5&amp;"生成成长"),2))/((VLOOKUP($B101,INDIRECT($B$5&amp;"生成成长"),4))/(VLOOKUP(FB$72,INDIRECT($C$5&amp;"生成成长"),5))*(VLOOKUP($B$5,标准坦克设计!$B$24:$U$30,MATCH("对"&amp;LEFT($C$5,2)&amp;"输出",标准坦克设计!$B$23:$U$23,0)))*(VLOOKUP($B101,INDIRECT($B$5&amp;"生成成长"),3))*(VLOOKUP($B$5,标准坦克设计!$B$14:$K$20,9)/30))</f>
        <v>18.454101835299774</v>
      </c>
      <c r="FC101" s="172">
        <f ca="1">(VLOOKUP(FC$72,INDIRECT($C$5&amp;"生成成长"),2))/((VLOOKUP($B101,INDIRECT($B$5&amp;"生成成长"),4))/(VLOOKUP(FC$72,INDIRECT($C$5&amp;"生成成长"),5))*(VLOOKUP($B$5,标准坦克设计!$B$24:$U$30,MATCH("对"&amp;LEFT($C$5,2)&amp;"输出",标准坦克设计!$B$23:$U$23,0)))*(VLOOKUP($B101,INDIRECT($B$5&amp;"生成成长"),3))*(VLOOKUP($B$5,标准坦克设计!$B$14:$K$20,9)/30))</f>
        <v>19.570745698234347</v>
      </c>
      <c r="FD101" s="172">
        <f ca="1">(VLOOKUP(FD$72,INDIRECT($C$5&amp;"生成成长"),2))/((VLOOKUP($B101,INDIRECT($B$5&amp;"生成成长"),4))/(VLOOKUP(FD$72,INDIRECT($C$5&amp;"生成成长"),5))*(VLOOKUP($B$5,标准坦克设计!$B$24:$U$30,MATCH("对"&amp;LEFT($C$5,2)&amp;"输出",标准坦克设计!$B$23:$U$23,0)))*(VLOOKUP($B101,INDIRECT($B$5&amp;"生成成长"),3))*(VLOOKUP($B$5,标准坦克设计!$B$14:$K$20,9)/30))</f>
        <v>20.720188179305854</v>
      </c>
      <c r="FE101" s="172">
        <f ca="1">(VLOOKUP(FE$72,INDIRECT($C$5&amp;"生成成长"),2))/((VLOOKUP($B101,INDIRECT($B$5&amp;"生成成长"),4))/(VLOOKUP(FE$72,INDIRECT($C$5&amp;"生成成长"),5))*(VLOOKUP($B$5,标准坦克设计!$B$24:$U$30,MATCH("对"&amp;LEFT($C$5,2)&amp;"输出",标准坦克设计!$B$23:$U$23,0)))*(VLOOKUP($B101,INDIRECT($B$5&amp;"生成成长"),3))*(VLOOKUP($B$5,标准坦克设计!$B$14:$K$20,9)/30))</f>
        <v>22.120906024120618</v>
      </c>
      <c r="FF101" s="172">
        <f ca="1">(VLOOKUP(FF$72,INDIRECT($C$5&amp;"生成成长"),2))/((VLOOKUP($B101,INDIRECT($B$5&amp;"生成成长"),4))/(VLOOKUP(FF$72,INDIRECT($C$5&amp;"生成成长"),5))*(VLOOKUP($B$5,标准坦克设计!$B$24:$U$30,MATCH("对"&amp;LEFT($C$5,2)&amp;"输出",标准坦克设计!$B$23:$U$23,0)))*(VLOOKUP($B101,INDIRECT($B$5&amp;"生成成长"),3))*(VLOOKUP($B$5,标准坦克设计!$B$14:$K$20,9)/30))</f>
        <v>23.567433509143161</v>
      </c>
      <c r="FG101" s="172">
        <f ca="1">(VLOOKUP(FG$72,INDIRECT($C$5&amp;"生成成长"),2))/((VLOOKUP($B101,INDIRECT($B$5&amp;"生成成长"),4))/(VLOOKUP(FG$72,INDIRECT($C$5&amp;"生成成长"),5))*(VLOOKUP($B$5,标准坦克设计!$B$24:$U$30,MATCH("对"&amp;LEFT($C$5,2)&amp;"输出",标准坦克设计!$B$23:$U$23,0)))*(VLOOKUP($B101,INDIRECT($B$5&amp;"生成成长"),3))*(VLOOKUP($B$5,标准坦克设计!$B$14:$K$20,9)/30))</f>
        <v>25.059770634373486</v>
      </c>
      <c r="FH101" s="172">
        <f ca="1">(VLOOKUP(FH$72,INDIRECT($C$5&amp;"生成成长"),2))/((VLOOKUP($B101,INDIRECT($B$5&amp;"生成成长"),4))/(VLOOKUP(FH$72,INDIRECT($C$5&amp;"生成成长"),5))*(VLOOKUP($B$5,标准坦克设计!$B$24:$U$30,MATCH("对"&amp;LEFT($C$5,2)&amp;"输出",标准坦克设计!$B$23:$U$23,0)))*(VLOOKUP($B101,INDIRECT($B$5&amp;"生成成长"),3))*(VLOOKUP($B$5,标准坦克设计!$B$14:$K$20,9)/30))</f>
        <v>26.597917399811578</v>
      </c>
      <c r="FI101" s="172">
        <f ca="1">(VLOOKUP(FI$72,INDIRECT($C$5&amp;"生成成长"),2))/((VLOOKUP($B101,INDIRECT($B$5&amp;"生成成长"),4))/(VLOOKUP(FI$72,INDIRECT($C$5&amp;"生成成长"),5))*(VLOOKUP($B$5,标准坦克设计!$B$24:$U$30,MATCH("对"&amp;LEFT($C$5,2)&amp;"输出",标准坦克设计!$B$23:$U$23,0)))*(VLOOKUP($B101,INDIRECT($B$5&amp;"生成成长"),3))*(VLOOKUP($B$5,标准坦克设计!$B$14:$K$20,9)/30))</f>
        <v>28.181873805457464</v>
      </c>
      <c r="FJ101" s="172">
        <f ca="1">(VLOOKUP(FJ$72,INDIRECT($C$5&amp;"生成成长"),2))/((VLOOKUP($B101,INDIRECT($B$5&amp;"生成成长"),4))/(VLOOKUP(FJ$72,INDIRECT($C$5&amp;"生成成长"),5))*(VLOOKUP($B$5,标准坦克设计!$B$24:$U$30,MATCH("对"&amp;LEFT($C$5,2)&amp;"输出",标准坦克设计!$B$23:$U$23,0)))*(VLOOKUP($B101,INDIRECT($B$5&amp;"生成成长"),3))*(VLOOKUP($B$5,标准坦克设计!$B$14:$K$20,9)/30))</f>
        <v>29.811639851311114</v>
      </c>
      <c r="FK101" s="172">
        <f ca="1">(VLOOKUP(FK$72,INDIRECT($C$5&amp;"生成成长"),2))/((VLOOKUP($B101,INDIRECT($B$5&amp;"生成成长"),4))/(VLOOKUP(FK$72,INDIRECT($C$5&amp;"生成成长"),5))*(VLOOKUP($B$5,标准坦克设计!$B$24:$U$30,MATCH("对"&amp;LEFT($C$5,2)&amp;"输出",标准坦克设计!$B$23:$U$23,0)))*(VLOOKUP($B101,INDIRECT($B$5&amp;"生成成长"),3))*(VLOOKUP($B$5,标准坦克设计!$B$14:$K$20,9)/30))</f>
        <v>31.487215537372553</v>
      </c>
    </row>
    <row r="102" spans="1:167" x14ac:dyDescent="0.15">
      <c r="A102" s="170" t="str">
        <f t="shared" si="11"/>
        <v>T4低品质9级</v>
      </c>
      <c r="B102" s="171">
        <v>10409</v>
      </c>
      <c r="C102" s="172">
        <f ca="1">(VLOOKUP(C$72,INDIRECT($C$5&amp;"生成成长"),2))/((VLOOKUP($B102,INDIRECT($B$5&amp;"生成成长"),4))/(VLOOKUP(C$72,INDIRECT($C$5&amp;"生成成长"),5))*(VLOOKUP($B$5,标准坦克设计!$B$24:$U$30,MATCH("对"&amp;LEFT($C$5,2)&amp;"输出",标准坦克设计!$B$23:$U$23,0)))*(VLOOKUP($B102,INDIRECT($B$5&amp;"生成成长"),3))*(VLOOKUP($B$5,标准坦克设计!$B$14:$K$20,9)/30))</f>
        <v>1.2525415796061454</v>
      </c>
      <c r="D102" s="172">
        <f ca="1">(VLOOKUP(D$72,INDIRECT($C$5&amp;"生成成长"),2))/((VLOOKUP($B102,INDIRECT($B$5&amp;"生成成长"),4))/(VLOOKUP(D$72,INDIRECT($C$5&amp;"生成成长"),5))*(VLOOKUP($B$5,标准坦克设计!$B$24:$U$30,MATCH("对"&amp;LEFT($C$5,2)&amp;"输出",标准坦克设计!$B$23:$U$23,0)))*(VLOOKUP($B102,INDIRECT($B$5&amp;"生成成长"),3))*(VLOOKUP($B$5,标准坦克设计!$B$14:$K$20,9)/30))</f>
        <v>1.4073557188454651</v>
      </c>
      <c r="E102" s="172">
        <f ca="1">(VLOOKUP(E$72,INDIRECT($C$5&amp;"生成成长"),2))/((VLOOKUP($B102,INDIRECT($B$5&amp;"生成成长"),4))/(VLOOKUP(E$72,INDIRECT($C$5&amp;"生成成长"),5))*(VLOOKUP($B$5,标准坦克设计!$B$24:$U$30,MATCH("对"&amp;LEFT($C$5,2)&amp;"输出",标准坦克设计!$B$23:$U$23,0)))*(VLOOKUP($B102,INDIRECT($B$5&amp;"生成成长"),3))*(VLOOKUP($B$5,标准坦克设计!$B$14:$K$20,9)/30))</f>
        <v>1.5711881574579489</v>
      </c>
      <c r="F102" s="172">
        <f ca="1">(VLOOKUP(F$72,INDIRECT($C$5&amp;"生成成长"),2))/((VLOOKUP($B102,INDIRECT($B$5&amp;"生成成长"),4))/(VLOOKUP(F$72,INDIRECT($C$5&amp;"生成成长"),5))*(VLOOKUP($B$5,标准坦克设计!$B$24:$U$30,MATCH("对"&amp;LEFT($C$5,2)&amp;"输出",标准坦克设计!$B$23:$U$23,0)))*(VLOOKUP($B102,INDIRECT($B$5&amp;"生成成长"),3))*(VLOOKUP($B$5,标准坦克设计!$B$14:$K$20,9)/30))</f>
        <v>1.744038895443597</v>
      </c>
      <c r="G102" s="172">
        <f ca="1">(VLOOKUP(G$72,INDIRECT($C$5&amp;"生成成长"),2))/((VLOOKUP($B102,INDIRECT($B$5&amp;"生成成长"),4))/(VLOOKUP(G$72,INDIRECT($C$5&amp;"生成成长"),5))*(VLOOKUP($B$5,标准坦克设计!$B$24:$U$30,MATCH("对"&amp;LEFT($C$5,2)&amp;"输出",标准坦克设计!$B$23:$U$23,0)))*(VLOOKUP($B102,INDIRECT($B$5&amp;"生成成长"),3))*(VLOOKUP($B$5,标准坦克设计!$B$14:$K$20,9)/30))</f>
        <v>1.9259079328024091</v>
      </c>
      <c r="H102" s="172">
        <f ca="1">(VLOOKUP(H$72,INDIRECT($C$5&amp;"生成成长"),2))/((VLOOKUP($B102,INDIRECT($B$5&amp;"生成成长"),4))/(VLOOKUP(H$72,INDIRECT($C$5&amp;"生成成长"),5))*(VLOOKUP($B$5,标准坦克设计!$B$24:$U$30,MATCH("对"&amp;LEFT($C$5,2)&amp;"输出",标准坦克设计!$B$23:$U$23,0)))*(VLOOKUP($B102,INDIRECT($B$5&amp;"生成成长"),3))*(VLOOKUP($B$5,标准坦克设计!$B$14:$K$20,9)/30))</f>
        <v>1.6854199495180291</v>
      </c>
      <c r="I102" s="172">
        <f ca="1">(VLOOKUP(I$72,INDIRECT($C$5&amp;"生成成长"),2))/((VLOOKUP($B102,INDIRECT($B$5&amp;"生成成长"),4))/(VLOOKUP(I$72,INDIRECT($C$5&amp;"生成成长"),5))*(VLOOKUP($B$5,标准坦克设计!$B$24:$U$30,MATCH("对"&amp;LEFT($C$5,2)&amp;"输出",标准坦克设计!$B$23:$U$23,0)))*(VLOOKUP($B102,INDIRECT($B$5&amp;"生成成长"),3))*(VLOOKUP($B$5,标准坦克设计!$B$14:$K$20,9)/30))</f>
        <v>1.9259079328024091</v>
      </c>
      <c r="J102" s="172">
        <f ca="1">(VLOOKUP(J$72,INDIRECT($C$5&amp;"生成成长"),2))/((VLOOKUP($B102,INDIRECT($B$5&amp;"生成成长"),4))/(VLOOKUP(J$72,INDIRECT($C$5&amp;"生成成长"),5))*(VLOOKUP($B$5,标准坦克设计!$B$24:$U$30,MATCH("对"&amp;LEFT($C$5,2)&amp;"输出",标准坦克设计!$B$23:$U$23,0)))*(VLOOKUP($B102,INDIRECT($B$5&amp;"生成成长"),3))*(VLOOKUP($B$5,标准坦克设计!$B$14:$K$20,9)/30))</f>
        <v>2.1824284483057479</v>
      </c>
      <c r="K102" s="172">
        <f ca="1">(VLOOKUP(K$72,INDIRECT($C$5&amp;"生成成长"),2))/((VLOOKUP($B102,INDIRECT($B$5&amp;"生成成长"),4))/(VLOOKUP(K$72,INDIRECT($C$5&amp;"生成成长"),5))*(VLOOKUP($B$5,标准坦克设计!$B$24:$U$30,MATCH("对"&amp;LEFT($C$5,2)&amp;"输出",标准坦克设计!$B$23:$U$23,0)))*(VLOOKUP($B102,INDIRECT($B$5&amp;"生成成长"),3))*(VLOOKUP($B$5,标准坦克设计!$B$14:$K$20,9)/30))</f>
        <v>2.4549814960280449</v>
      </c>
      <c r="L102" s="172">
        <f ca="1">(VLOOKUP(L$72,INDIRECT($C$5&amp;"生成成长"),2))/((VLOOKUP($B102,INDIRECT($B$5&amp;"生成成长"),4))/(VLOOKUP(L$72,INDIRECT($C$5&amp;"生成成长"),5))*(VLOOKUP($B$5,标准坦克设计!$B$24:$U$30,MATCH("对"&amp;LEFT($C$5,2)&amp;"输出",标准坦克设计!$B$23:$U$23,0)))*(VLOOKUP($B102,INDIRECT($B$5&amp;"生成成长"),3))*(VLOOKUP($B$5,标准坦克设计!$B$14:$K$20,9)/30))</f>
        <v>2.7435670759693012</v>
      </c>
      <c r="M102" s="172">
        <f ca="1">(VLOOKUP(M$72,INDIRECT($C$5&amp;"生成成长"),2))/((VLOOKUP($B102,INDIRECT($B$5&amp;"生成成长"),4))/(VLOOKUP(M$72,INDIRECT($C$5&amp;"生成成长"),5))*(VLOOKUP($B$5,标准坦克设计!$B$24:$U$30,MATCH("对"&amp;LEFT($C$5,2)&amp;"输出",标准坦克设计!$B$23:$U$23,0)))*(VLOOKUP($B102,INDIRECT($B$5&amp;"生成成长"),3))*(VLOOKUP($B$5,标准坦克设计!$B$14:$K$20,9)/30))</f>
        <v>3.0481851881295161</v>
      </c>
      <c r="N102" s="172">
        <f ca="1">(VLOOKUP(N$72,INDIRECT($C$5&amp;"生成成长"),2))/((VLOOKUP($B102,INDIRECT($B$5&amp;"生成成长"),4))/(VLOOKUP(N$72,INDIRECT($C$5&amp;"生成成长"),5))*(VLOOKUP($B$5,标准坦克设计!$B$24:$U$30,MATCH("对"&amp;LEFT($C$5,2)&amp;"输出",标准坦克设计!$B$23:$U$23,0)))*(VLOOKUP($B102,INDIRECT($B$5&amp;"生成成长"),3))*(VLOOKUP($B$5,标准坦克设计!$B$14:$K$20,9)/30))</f>
        <v>3.3688358325086889</v>
      </c>
      <c r="O102" s="172">
        <f ca="1">(VLOOKUP(O$72,INDIRECT($C$5&amp;"生成成长"),2))/((VLOOKUP($B102,INDIRECT($B$5&amp;"生成成长"),4))/(VLOOKUP(O$72,INDIRECT($C$5&amp;"生成成长"),5))*(VLOOKUP($B$5,标准坦克设计!$B$24:$U$30,MATCH("对"&amp;LEFT($C$5,2)&amp;"输出",标准坦克设计!$B$23:$U$23,0)))*(VLOOKUP($B102,INDIRECT($B$5&amp;"生成成长"),3))*(VLOOKUP($B$5,标准坦克设计!$B$14:$K$20,9)/30))</f>
        <v>2.5613222761366066</v>
      </c>
      <c r="P102" s="172">
        <f ca="1">(VLOOKUP(P$72,INDIRECT($C$5&amp;"生成成长"),2))/((VLOOKUP($B102,INDIRECT($B$5&amp;"生成成长"),4))/(VLOOKUP(P$72,INDIRECT($C$5&amp;"生成成长"),5))*(VLOOKUP($B$5,标准坦克设计!$B$24:$U$30,MATCH("对"&amp;LEFT($C$5,2)&amp;"输出",标准坦克设计!$B$23:$U$23,0)))*(VLOOKUP($B102,INDIRECT($B$5&amp;"生成成长"),3))*(VLOOKUP($B$5,标准坦克设计!$B$14:$K$20,9)/30))</f>
        <v>2.8938720655220385</v>
      </c>
      <c r="Q102" s="172">
        <f ca="1">(VLOOKUP(Q$72,INDIRECT($C$5&amp;"生成成长"),2))/((VLOOKUP($B102,INDIRECT($B$5&amp;"生成成长"),4))/(VLOOKUP(Q$72,INDIRECT($C$5&amp;"生成成长"),5))*(VLOOKUP($B$5,标准坦克设计!$B$24:$U$30,MATCH("对"&amp;LEFT($C$5,2)&amp;"输出",标准坦克设计!$B$23:$U$23,0)))*(VLOOKUP($B102,INDIRECT($B$5&amp;"生成成长"),3))*(VLOOKUP($B$5,标准坦克设计!$B$14:$K$20,9)/30))</f>
        <v>3.2467130284970893</v>
      </c>
      <c r="R102" s="172">
        <f ca="1">(VLOOKUP(R$72,INDIRECT($C$5&amp;"生成成长"),2))/((VLOOKUP($B102,INDIRECT($B$5&amp;"生成成长"),4))/(VLOOKUP(R$72,INDIRECT($C$5&amp;"生成成长"),5))*(VLOOKUP($B$5,标准坦克设计!$B$24:$U$30,MATCH("对"&amp;LEFT($C$5,2)&amp;"输出",标准坦克设计!$B$23:$U$23,0)))*(VLOOKUP($B102,INDIRECT($B$5&amp;"生成成长"),3))*(VLOOKUP($B$5,标准坦克设计!$B$14:$K$20,9)/30))</f>
        <v>3.6198451650617609</v>
      </c>
      <c r="S102" s="172">
        <f ca="1">(VLOOKUP(S$72,INDIRECT($C$5&amp;"生成成长"),2))/((VLOOKUP($B102,INDIRECT($B$5&amp;"生成成长"),4))/(VLOOKUP(S$72,INDIRECT($C$5&amp;"生成成长"),5))*(VLOOKUP($B$5,标准坦克设计!$B$24:$U$30,MATCH("对"&amp;LEFT($C$5,2)&amp;"输出",标准坦克设计!$B$23:$U$23,0)))*(VLOOKUP($B102,INDIRECT($B$5&amp;"生成成长"),3))*(VLOOKUP($B$5,标准坦克设计!$B$14:$K$20,9)/30))</f>
        <v>4.0132684752160506</v>
      </c>
      <c r="T102" s="172">
        <f ca="1">(VLOOKUP(T$72,INDIRECT($C$5&amp;"生成成长"),2))/((VLOOKUP($B102,INDIRECT($B$5&amp;"生成成长"),4))/(VLOOKUP(T$72,INDIRECT($C$5&amp;"生成成长"),5))*(VLOOKUP($B$5,标准坦克设计!$B$24:$U$30,MATCH("对"&amp;LEFT($C$5,2)&amp;"输出",标准坦克设计!$B$23:$U$23,0)))*(VLOOKUP($B102,INDIRECT($B$5&amp;"生成成长"),3))*(VLOOKUP($B$5,标准坦克设计!$B$14:$K$20,9)/30))</f>
        <v>4.4269829589599601</v>
      </c>
      <c r="U102" s="172">
        <f ca="1">(VLOOKUP(U$72,INDIRECT($C$5&amp;"生成成长"),2))/((VLOOKUP($B102,INDIRECT($B$5&amp;"生成成长"),4))/(VLOOKUP(U$72,INDIRECT($C$5&amp;"生成成长"),5))*(VLOOKUP($B$5,标准坦克设计!$B$24:$U$30,MATCH("对"&amp;LEFT($C$5,2)&amp;"输出",标准坦克设计!$B$23:$U$23,0)))*(VLOOKUP($B102,INDIRECT($B$5&amp;"生成成长"),3))*(VLOOKUP($B$5,标准坦克设计!$B$14:$K$20,9)/30))</f>
        <v>4.8609886162934908</v>
      </c>
      <c r="V102" s="172">
        <f ca="1">(VLOOKUP(V$72,INDIRECT($C$5&amp;"生成成长"),2))/((VLOOKUP($B102,INDIRECT($B$5&amp;"生成成长"),4))/(VLOOKUP(V$72,INDIRECT($C$5&amp;"生成成长"),5))*(VLOOKUP($B$5,标准坦克设计!$B$24:$U$30,MATCH("对"&amp;LEFT($C$5,2)&amp;"输出",标准坦克设计!$B$23:$U$23,0)))*(VLOOKUP($B102,INDIRECT($B$5&amp;"生成成长"),3))*(VLOOKUP($B$5,标准坦克设计!$B$14:$K$20,9)/30))</f>
        <v>5.3152854472166382</v>
      </c>
      <c r="W102" s="172">
        <f ca="1">(VLOOKUP(W$72,INDIRECT($C$5&amp;"生成成长"),2))/((VLOOKUP($B102,INDIRECT($B$5&amp;"生成成长"),4))/(VLOOKUP(W$72,INDIRECT($C$5&amp;"生成成长"),5))*(VLOOKUP($B$5,标准坦克设计!$B$24:$U$30,MATCH("对"&amp;LEFT($C$5,2)&amp;"输出",标准坦克设计!$B$23:$U$23,0)))*(VLOOKUP($B102,INDIRECT($B$5&amp;"生成成长"),3))*(VLOOKUP($B$5,标准坦克设计!$B$14:$K$20,9)/30))</f>
        <v>5.7898734517294077</v>
      </c>
      <c r="X102" s="172">
        <f ca="1">(VLOOKUP(X$72,INDIRECT($C$5&amp;"生成成长"),2))/((VLOOKUP($B102,INDIRECT($B$5&amp;"生成成长"),4))/(VLOOKUP(X$72,INDIRECT($C$5&amp;"生成成长"),5))*(VLOOKUP($B$5,标准坦克设计!$B$24:$U$30,MATCH("对"&amp;LEFT($C$5,2)&amp;"输出",标准坦克设计!$B$23:$U$23,0)))*(VLOOKUP($B102,INDIRECT($B$5&amp;"生成成长"),3))*(VLOOKUP($B$5,标准坦克设计!$B$14:$K$20,9)/30))</f>
        <v>4.19463649594302</v>
      </c>
      <c r="Y102" s="172">
        <f ca="1">(VLOOKUP(Y$72,INDIRECT($C$5&amp;"生成成长"),2))/((VLOOKUP($B102,INDIRECT($B$5&amp;"生成成长"),4))/(VLOOKUP(Y$72,INDIRECT($C$5&amp;"生成成长"),5))*(VLOOKUP($B$5,标准坦克设计!$B$24:$U$30,MATCH("对"&amp;LEFT($C$5,2)&amp;"输出",标准坦克设计!$B$23:$U$23,0)))*(VLOOKUP($B102,INDIRECT($B$5&amp;"生成成长"),3))*(VLOOKUP($B$5,标准坦克设计!$B$14:$K$20,9)/30))</f>
        <v>4.6655921298749314</v>
      </c>
      <c r="Z102" s="172">
        <f ca="1">(VLOOKUP(Z$72,INDIRECT($C$5&amp;"生成成长"),2))/((VLOOKUP($B102,INDIRECT($B$5&amp;"生成成长"),4))/(VLOOKUP(Z$72,INDIRECT($C$5&amp;"生成成长"),5))*(VLOOKUP($B$5,标准坦克设计!$B$24:$U$30,MATCH("对"&amp;LEFT($C$5,2)&amp;"输出",标准坦克设计!$B$23:$U$23,0)))*(VLOOKUP($B102,INDIRECT($B$5&amp;"生成成长"),3))*(VLOOKUP($B$5,标准坦克设计!$B$14:$K$20,9)/30))</f>
        <v>5.1615985953989645</v>
      </c>
      <c r="AA102" s="172">
        <f ca="1">(VLOOKUP(AA$72,INDIRECT($C$5&amp;"生成成长"),2))/((VLOOKUP($B102,INDIRECT($B$5&amp;"生成成长"),4))/(VLOOKUP(AA$72,INDIRECT($C$5&amp;"生成成长"),5))*(VLOOKUP($B$5,标准坦克设计!$B$24:$U$30,MATCH("对"&amp;LEFT($C$5,2)&amp;"输出",标准坦克设计!$B$23:$U$23,0)))*(VLOOKUP($B102,INDIRECT($B$5&amp;"生成成长"),3))*(VLOOKUP($B$5,标准坦克设计!$B$14:$K$20,9)/30))</f>
        <v>5.6826558925151218</v>
      </c>
      <c r="AB102" s="172">
        <f ca="1">(VLOOKUP(AB$72,INDIRECT($C$5&amp;"生成成长"),2))/((VLOOKUP($B102,INDIRECT($B$5&amp;"生成成长"),4))/(VLOOKUP(AB$72,INDIRECT($C$5&amp;"生成成长"),5))*(VLOOKUP($B$5,标准坦克设计!$B$24:$U$30,MATCH("对"&amp;LEFT($C$5,2)&amp;"输出",标准坦克设计!$B$23:$U$23,0)))*(VLOOKUP($B102,INDIRECT($B$5&amp;"生成成长"),3))*(VLOOKUP($B$5,标准坦克设计!$B$14:$K$20,9)/30))</f>
        <v>6.2287640212234008</v>
      </c>
      <c r="AC102" s="172">
        <f ca="1">(VLOOKUP(AC$72,INDIRECT($C$5&amp;"生成成长"),2))/((VLOOKUP($B102,INDIRECT($B$5&amp;"生成成长"),4))/(VLOOKUP(AC$72,INDIRECT($C$5&amp;"生成成长"),5))*(VLOOKUP($B$5,标准坦克设计!$B$24:$U$30,MATCH("对"&amp;LEFT($C$5,2)&amp;"输出",标准坦克设计!$B$23:$U$23,0)))*(VLOOKUP($B102,INDIRECT($B$5&amp;"生成成长"),3))*(VLOOKUP($B$5,标准坦克设计!$B$14:$K$20,9)/30))</f>
        <v>6.7999229815238031</v>
      </c>
      <c r="AD102" s="172">
        <f ca="1">(VLOOKUP(AD$72,INDIRECT($C$5&amp;"生成成长"),2))/((VLOOKUP($B102,INDIRECT($B$5&amp;"生成成长"),4))/(VLOOKUP(AD$72,INDIRECT($C$5&amp;"生成成长"),5))*(VLOOKUP($B$5,标准坦克设计!$B$24:$U$30,MATCH("对"&amp;LEFT($C$5,2)&amp;"输出",标准坦克设计!$B$23:$U$23,0)))*(VLOOKUP($B102,INDIRECT($B$5&amp;"生成成长"),3))*(VLOOKUP($B$5,标准坦克设计!$B$14:$K$20,9)/30))</f>
        <v>7.3961327734163289</v>
      </c>
      <c r="AE102" s="172">
        <f ca="1">(VLOOKUP(AE$72,INDIRECT($C$5&amp;"生成成长"),2))/((VLOOKUP($B102,INDIRECT($B$5&amp;"生成成长"),4))/(VLOOKUP(AE$72,INDIRECT($C$5&amp;"生成成长"),5))*(VLOOKUP($B$5,标准坦克设计!$B$24:$U$30,MATCH("对"&amp;LEFT($C$5,2)&amp;"输出",标准坦克设计!$B$23:$U$23,0)))*(VLOOKUP($B102,INDIRECT($B$5&amp;"生成成长"),3))*(VLOOKUP($B$5,标准坦克设计!$B$14:$K$20,9)/30))</f>
        <v>8.0173933969009763</v>
      </c>
      <c r="AF102" s="172">
        <f ca="1">(VLOOKUP(AF$72,INDIRECT($C$5&amp;"生成成长"),2))/((VLOOKUP($B102,INDIRECT($B$5&amp;"生成成长"),4))/(VLOOKUP(AF$72,INDIRECT($C$5&amp;"生成成长"),5))*(VLOOKUP($B$5,标准坦克设计!$B$24:$U$30,MATCH("对"&amp;LEFT($C$5,2)&amp;"输出",标准坦克设计!$B$23:$U$23,0)))*(VLOOKUP($B102,INDIRECT($B$5&amp;"生成成长"),3))*(VLOOKUP($B$5,标准坦克设计!$B$14:$K$20,9)/30))</f>
        <v>8.6637048519777462</v>
      </c>
      <c r="AG102" s="172">
        <f ca="1">(VLOOKUP(AG$72,INDIRECT($C$5&amp;"生成成长"),2))/((VLOOKUP($B102,INDIRECT($B$5&amp;"生成成长"),4))/(VLOOKUP(AG$72,INDIRECT($C$5&amp;"生成成长"),5))*(VLOOKUP($B$5,标准坦克设计!$B$24:$U$30,MATCH("对"&amp;LEFT($C$5,2)&amp;"输出",标准坦克设计!$B$23:$U$23,0)))*(VLOOKUP($B102,INDIRECT($B$5&amp;"生成成长"),3))*(VLOOKUP($B$5,标准坦克设计!$B$14:$K$20,9)/30))</f>
        <v>9.3350671386466413</v>
      </c>
      <c r="AH102" s="172">
        <f ca="1">(VLOOKUP(AH$72,INDIRECT($C$5&amp;"生成成长"),2))/((VLOOKUP($B102,INDIRECT($B$5&amp;"生成成长"),4))/(VLOOKUP(AH$72,INDIRECT($C$5&amp;"生成成长"),5))*(VLOOKUP($B$5,标准坦克设计!$B$24:$U$30,MATCH("对"&amp;LEFT($C$5,2)&amp;"输出",标准坦克设计!$B$23:$U$23,0)))*(VLOOKUP($B102,INDIRECT($B$5&amp;"生成成长"),3))*(VLOOKUP($B$5,标准坦克设计!$B$14:$K$20,9)/30))</f>
        <v>10.031480256907658</v>
      </c>
      <c r="AI102" s="172">
        <f ca="1">(VLOOKUP(AI$72,INDIRECT($C$5&amp;"生成成长"),2))/((VLOOKUP($B102,INDIRECT($B$5&amp;"生成成长"),4))/(VLOOKUP(AI$72,INDIRECT($C$5&amp;"生成成长"),5))*(VLOOKUP($B$5,标准坦克设计!$B$24:$U$30,MATCH("对"&amp;LEFT($C$5,2)&amp;"输出",标准坦克设计!$B$23:$U$23,0)))*(VLOOKUP($B102,INDIRECT($B$5&amp;"生成成长"),3))*(VLOOKUP($B$5,标准坦克设计!$B$14:$K$20,9)/30))</f>
        <v>7.0948965235210517</v>
      </c>
      <c r="AJ102" s="172">
        <f ca="1">(VLOOKUP(AJ$72,INDIRECT($C$5&amp;"生成成长"),2))/((VLOOKUP($B102,INDIRECT($B$5&amp;"生成成长"),4))/(VLOOKUP(AJ$72,INDIRECT($C$5&amp;"生成成长"),5))*(VLOOKUP($B$5,标准坦克设计!$B$24:$U$30,MATCH("对"&amp;LEFT($C$5,2)&amp;"输出",标准坦克设计!$B$23:$U$23,0)))*(VLOOKUP($B102,INDIRECT($B$5&amp;"生成成长"),3))*(VLOOKUP($B$5,标准坦克设计!$B$14:$K$20,9)/30))</f>
        <v>7.7658830477160619</v>
      </c>
      <c r="AK102" s="172">
        <f ca="1">(VLOOKUP(AK$72,INDIRECT($C$5&amp;"生成成长"),2))/((VLOOKUP($B102,INDIRECT($B$5&amp;"生成成长"),4))/(VLOOKUP(AK$72,INDIRECT($C$5&amp;"生成成长"),5))*(VLOOKUP($B$5,标准坦克设计!$B$24:$U$30,MATCH("对"&amp;LEFT($C$5,2)&amp;"输出",标准坦克设计!$B$23:$U$23,0)))*(VLOOKUP($B102,INDIRECT($B$5&amp;"生成成长"),3))*(VLOOKUP($B$5,标准坦克设计!$B$14:$K$20,9)/30))</f>
        <v>8.4671810781375445</v>
      </c>
      <c r="AL102" s="172">
        <f ca="1">(VLOOKUP(AL$72,INDIRECT($C$5&amp;"生成成长"),2))/((VLOOKUP($B102,INDIRECT($B$5&amp;"生成成长"),4))/(VLOOKUP(AL$72,INDIRECT($C$5&amp;"生成成长"),5))*(VLOOKUP($B$5,标准坦克设计!$B$24:$U$30,MATCH("对"&amp;LEFT($C$5,2)&amp;"输出",标准坦克设计!$B$23:$U$23,0)))*(VLOOKUP($B102,INDIRECT($B$5&amp;"生成成长"),3))*(VLOOKUP($B$5,标准坦克设计!$B$14:$K$20,9)/30))</f>
        <v>9.1987906147854925</v>
      </c>
      <c r="AM102" s="172">
        <f ca="1">(VLOOKUP(AM$72,INDIRECT($C$5&amp;"生成成长"),2))/((VLOOKUP($B102,INDIRECT($B$5&amp;"生成成长"),4))/(VLOOKUP(AM$72,INDIRECT($C$5&amp;"生成成长"),5))*(VLOOKUP($B$5,标准坦克设计!$B$24:$U$30,MATCH("对"&amp;LEFT($C$5,2)&amp;"输出",标准坦克设计!$B$23:$U$23,0)))*(VLOOKUP($B102,INDIRECT($B$5&amp;"生成成长"),3))*(VLOOKUP($B$5,标准坦克设计!$B$14:$K$20,9)/30))</f>
        <v>9.9607116576599104</v>
      </c>
      <c r="AN102" s="172">
        <f ca="1">(VLOOKUP(AN$72,INDIRECT($C$5&amp;"生成成长"),2))/((VLOOKUP($B102,INDIRECT($B$5&amp;"生成成长"),4))/(VLOOKUP(AN$72,INDIRECT($C$5&amp;"生成成长"),5))*(VLOOKUP($B$5,标准坦克设计!$B$24:$U$30,MATCH("对"&amp;LEFT($C$5,2)&amp;"输出",标准坦克设计!$B$23:$U$23,0)))*(VLOOKUP($B102,INDIRECT($B$5&amp;"生成成长"),3))*(VLOOKUP($B$5,标准坦克设计!$B$14:$K$20,9)/30))</f>
        <v>10.752944206760796</v>
      </c>
      <c r="AO102" s="172">
        <f ca="1">(VLOOKUP(AO$72,INDIRECT($C$5&amp;"生成成长"),2))/((VLOOKUP($B102,INDIRECT($B$5&amp;"生成成长"),4))/(VLOOKUP(AO$72,INDIRECT($C$5&amp;"生成成长"),5))*(VLOOKUP($B$5,标准坦克设计!$B$24:$U$30,MATCH("对"&amp;LEFT($C$5,2)&amp;"输出",标准坦克设计!$B$23:$U$23,0)))*(VLOOKUP($B102,INDIRECT($B$5&amp;"生成成长"),3))*(VLOOKUP($B$5,标准坦克设计!$B$14:$K$20,9)/30))</f>
        <v>11.575488262088154</v>
      </c>
      <c r="AP102" s="172">
        <f ca="1">(VLOOKUP(AP$72,INDIRECT($C$5&amp;"生成成长"),2))/((VLOOKUP($B102,INDIRECT($B$5&amp;"生成成长"),4))/(VLOOKUP(AP$72,INDIRECT($C$5&amp;"生成成长"),5))*(VLOOKUP($B$5,标准坦克设计!$B$24:$U$30,MATCH("对"&amp;LEFT($C$5,2)&amp;"输出",标准坦克设计!$B$23:$U$23,0)))*(VLOOKUP($B102,INDIRECT($B$5&amp;"生成成长"),3))*(VLOOKUP($B$5,标准坦克设计!$B$14:$K$20,9)/30))</f>
        <v>12.428343823641978</v>
      </c>
      <c r="AQ102" s="172">
        <f ca="1">(VLOOKUP(AQ$72,INDIRECT($C$5&amp;"生成成长"),2))/((VLOOKUP($B102,INDIRECT($B$5&amp;"生成成长"),4))/(VLOOKUP(AQ$72,INDIRECT($C$5&amp;"生成成长"),5))*(VLOOKUP($B$5,标准坦克设计!$B$24:$U$30,MATCH("对"&amp;LEFT($C$5,2)&amp;"输出",标准坦克设计!$B$23:$U$23,0)))*(VLOOKUP($B102,INDIRECT($B$5&amp;"生成成长"),3))*(VLOOKUP($B$5,标准坦克设计!$B$14:$K$20,9)/30))</f>
        <v>13.311510891422271</v>
      </c>
      <c r="AR102" s="172">
        <f ca="1">(VLOOKUP(AR$72,INDIRECT($C$5&amp;"生成成长"),2))/((VLOOKUP($B102,INDIRECT($B$5&amp;"生成成长"),4))/(VLOOKUP(AR$72,INDIRECT($C$5&amp;"生成成长"),5))*(VLOOKUP($B$5,标准坦克设计!$B$24:$U$30,MATCH("对"&amp;LEFT($C$5,2)&amp;"输出",标准坦克设计!$B$23:$U$23,0)))*(VLOOKUP($B102,INDIRECT($B$5&amp;"生成成长"),3))*(VLOOKUP($B$5,标准坦克设计!$B$14:$K$20,9)/30))</f>
        <v>14.224989465429035</v>
      </c>
      <c r="AS102" s="172">
        <f ca="1">(VLOOKUP(AS$72,INDIRECT($C$5&amp;"生成成长"),2))/((VLOOKUP($B102,INDIRECT($B$5&amp;"生成成长"),4))/(VLOOKUP(AS$72,INDIRECT($C$5&amp;"生成成长"),5))*(VLOOKUP($B$5,标准坦克设计!$B$24:$U$30,MATCH("对"&amp;LEFT($C$5,2)&amp;"输出",标准坦克设计!$B$23:$U$23,0)))*(VLOOKUP($B102,INDIRECT($B$5&amp;"生成成长"),3))*(VLOOKUP($B$5,标准坦克设计!$B$14:$K$20,9)/30))</f>
        <v>15.168779545662263</v>
      </c>
      <c r="AT102" s="172">
        <f ca="1">(VLOOKUP(AT$72,INDIRECT($C$5&amp;"生成成长"),2))/((VLOOKUP($B102,INDIRECT($B$5&amp;"生成成长"),4))/(VLOOKUP(AT$72,INDIRECT($C$5&amp;"生成成长"),5))*(VLOOKUP($B$5,标准坦克设计!$B$24:$U$30,MATCH("对"&amp;LEFT($C$5,2)&amp;"输出",标准坦克设计!$B$23:$U$23,0)))*(VLOOKUP($B102,INDIRECT($B$5&amp;"生成成长"),3))*(VLOOKUP($B$5,标准坦克设计!$B$14:$K$20,9)/30))</f>
        <v>16.142881132121961</v>
      </c>
      <c r="AU102" s="172">
        <f ca="1">(VLOOKUP(AU$72,INDIRECT($C$5&amp;"生成成长"),2))/((VLOOKUP($B102,INDIRECT($B$5&amp;"生成成长"),4))/(VLOOKUP(AU$72,INDIRECT($C$5&amp;"生成成长"),5))*(VLOOKUP($B$5,标准坦克设计!$B$24:$U$30,MATCH("对"&amp;LEFT($C$5,2)&amp;"输出",标准坦克设计!$B$23:$U$23,0)))*(VLOOKUP($B102,INDIRECT($B$5&amp;"生成成长"),3))*(VLOOKUP($B$5,标准坦克设计!$B$14:$K$20,9)/30))</f>
        <v>17.147294224808132</v>
      </c>
      <c r="AV102" s="172">
        <f ca="1">(VLOOKUP(AV$72,INDIRECT($C$5&amp;"生成成长"),2))/((VLOOKUP($B102,INDIRECT($B$5&amp;"生成成长"),4))/(VLOOKUP(AV$72,INDIRECT($C$5&amp;"生成成长"),5))*(VLOOKUP($B$5,标准坦克设计!$B$24:$U$30,MATCH("对"&amp;LEFT($C$5,2)&amp;"输出",标准坦克设计!$B$23:$U$23,0)))*(VLOOKUP($B102,INDIRECT($B$5&amp;"生成成长"),3))*(VLOOKUP($B$5,标准坦克设计!$B$14:$K$20,9)/30))</f>
        <v>1.744038895443597</v>
      </c>
      <c r="AW102" s="172">
        <f ca="1">(VLOOKUP(AW$72,INDIRECT($C$5&amp;"生成成长"),2))/((VLOOKUP($B102,INDIRECT($B$5&amp;"生成成长"),4))/(VLOOKUP(AW$72,INDIRECT($C$5&amp;"生成成长"),5))*(VLOOKUP($B$5,标准坦克设计!$B$24:$U$30,MATCH("对"&amp;LEFT($C$5,2)&amp;"输出",标准坦克设计!$B$23:$U$23,0)))*(VLOOKUP($B102,INDIRECT($B$5&amp;"生成成长"),3))*(VLOOKUP($B$5,标准坦克设计!$B$14:$K$20,9)/30))</f>
        <v>1.9885350117827167</v>
      </c>
      <c r="AX102" s="172">
        <f ca="1">(VLOOKUP(AX$72,INDIRECT($C$5&amp;"生成成长"),2))/((VLOOKUP($B102,INDIRECT($B$5&amp;"生成成长"),4))/(VLOOKUP(AX$72,INDIRECT($C$5&amp;"生成成长"),5))*(VLOOKUP($B$5,标准坦克设计!$B$24:$U$30,MATCH("对"&amp;LEFT($C$5,2)&amp;"输出",标准坦克设计!$B$23:$U$23,0)))*(VLOOKUP($B102,INDIRECT($B$5&amp;"生成成长"),3))*(VLOOKUP($B$5,标准坦克设计!$B$14:$K$20,9)/30))</f>
        <v>2.2490636603407945</v>
      </c>
      <c r="AY102" s="172">
        <f ca="1">(VLOOKUP(AY$72,INDIRECT($C$5&amp;"生成成长"),2))/((VLOOKUP($B102,INDIRECT($B$5&amp;"生成成长"),4))/(VLOOKUP(AY$72,INDIRECT($C$5&amp;"生成成长"),5))*(VLOOKUP($B$5,标准坦克设计!$B$24:$U$30,MATCH("对"&amp;LEFT($C$5,2)&amp;"输出",标准坦克设计!$B$23:$U$23,0)))*(VLOOKUP($B102,INDIRECT($B$5&amp;"生成成长"),3))*(VLOOKUP($B$5,标准坦克设计!$B$14:$K$20,9)/30))</f>
        <v>2.5256248411178315</v>
      </c>
      <c r="AZ102" s="172">
        <f ca="1">(VLOOKUP(AZ$72,INDIRECT($C$5&amp;"生成成长"),2))/((VLOOKUP($B102,INDIRECT($B$5&amp;"生成成长"),4))/(VLOOKUP(AZ$72,INDIRECT($C$5&amp;"生成成长"),5))*(VLOOKUP($B$5,标准坦克设计!$B$24:$U$30,MATCH("对"&amp;LEFT($C$5,2)&amp;"输出",标准坦克设计!$B$23:$U$23,0)))*(VLOOKUP($B102,INDIRECT($B$5&amp;"生成成长"),3))*(VLOOKUP($B$5,标准坦克设计!$B$14:$K$20,9)/30))</f>
        <v>2.8182185541138272</v>
      </c>
      <c r="BA102" s="172">
        <f ca="1">(VLOOKUP(BA$72,INDIRECT($C$5&amp;"生成成长"),2))/((VLOOKUP($B102,INDIRECT($B$5&amp;"生成成长"),4))/(VLOOKUP(BA$72,INDIRECT($C$5&amp;"生成成长"),5))*(VLOOKUP($B$5,标准坦克设计!$B$24:$U$30,MATCH("对"&amp;LEFT($C$5,2)&amp;"输出",标准坦克设计!$B$23:$U$23,0)))*(VLOOKUP($B102,INDIRECT($B$5&amp;"生成成长"),3))*(VLOOKUP($B$5,标准坦克设计!$B$14:$K$20,9)/30))</f>
        <v>3.1268447993287811</v>
      </c>
      <c r="BB102" s="172">
        <f ca="1">(VLOOKUP(BB$72,INDIRECT($C$5&amp;"生成成长"),2))/((VLOOKUP($B102,INDIRECT($B$5&amp;"生成成长"),4))/(VLOOKUP(BB$72,INDIRECT($C$5&amp;"生成成长"),5))*(VLOOKUP($B$5,标准坦克设计!$B$24:$U$30,MATCH("对"&amp;LEFT($C$5,2)&amp;"输出",标准坦克设计!$B$23:$U$23,0)))*(VLOOKUP($B102,INDIRECT($B$5&amp;"生成成长"),3))*(VLOOKUP($B$5,标准坦克设计!$B$14:$K$20,9)/30))</f>
        <v>3.4515035767626947</v>
      </c>
      <c r="BC102" s="172">
        <f ca="1">(VLOOKUP(BC$72,INDIRECT($C$5&amp;"生成成长"),2))/((VLOOKUP($B102,INDIRECT($B$5&amp;"生成成长"),4))/(VLOOKUP(BC$72,INDIRECT($C$5&amp;"生成成长"),5))*(VLOOKUP($B$5,标准坦克设计!$B$24:$U$30,MATCH("对"&amp;LEFT($C$5,2)&amp;"输出",标准坦克设计!$B$23:$U$23,0)))*(VLOOKUP($B102,INDIRECT($B$5&amp;"生成成长"),3))*(VLOOKUP($B$5,标准坦克设计!$B$14:$K$20,9)/30))</f>
        <v>3.7921948864155657</v>
      </c>
      <c r="BD102" s="172">
        <f ca="1">(VLOOKUP(BD$72,INDIRECT($C$5&amp;"生成成长"),2))/((VLOOKUP($B102,INDIRECT($B$5&amp;"生成成长"),4))/(VLOOKUP(BD$72,INDIRECT($C$5&amp;"生成成长"),5))*(VLOOKUP($B$5,标准坦克设计!$B$24:$U$30,MATCH("对"&amp;LEFT($C$5,2)&amp;"输出",标准坦克设计!$B$23:$U$23,0)))*(VLOOKUP($B102,INDIRECT($B$5&amp;"生成成长"),3))*(VLOOKUP($B$5,标准坦克设计!$B$14:$K$20,9)/30))</f>
        <v>4.19463649594302</v>
      </c>
      <c r="BE102" s="172">
        <f ca="1">(VLOOKUP(BE$72,INDIRECT($C$5&amp;"生成成长"),2))/((VLOOKUP($B102,INDIRECT($B$5&amp;"生成成长"),4))/(VLOOKUP(BE$72,INDIRECT($C$5&amp;"生成成长"),5))*(VLOOKUP($B$5,标准坦克设计!$B$24:$U$30,MATCH("对"&amp;LEFT($C$5,2)&amp;"输出",标准坦克设计!$B$23:$U$23,0)))*(VLOOKUP($B102,INDIRECT($B$5&amp;"生成成长"),3))*(VLOOKUP($B$5,标准坦克设计!$B$14:$K$20,9)/30))</f>
        <v>4.6173692790600933</v>
      </c>
      <c r="BF102" s="172">
        <f ca="1">(VLOOKUP(BF$72,INDIRECT($C$5&amp;"生成成长"),2))/((VLOOKUP($B102,INDIRECT($B$5&amp;"生成成长"),4))/(VLOOKUP(BF$72,INDIRECT($C$5&amp;"生成成长"),5))*(VLOOKUP($B$5,标准坦克设计!$B$24:$U$30,MATCH("对"&amp;LEFT($C$5,2)&amp;"输出",标准坦克设计!$B$23:$U$23,0)))*(VLOOKUP($B102,INDIRECT($B$5&amp;"生成成长"),3))*(VLOOKUP($B$5,标准坦克设计!$B$14:$K$20,9)/30))</f>
        <v>5.0603932357667887</v>
      </c>
      <c r="BG102" s="172">
        <f ca="1">(VLOOKUP(BG$72,INDIRECT($C$5&amp;"生成成长"),2))/((VLOOKUP($B102,INDIRECT($B$5&amp;"生成成长"),4))/(VLOOKUP(BG$72,INDIRECT($C$5&amp;"生成成长"),5))*(VLOOKUP($B$5,标准坦克设计!$B$24:$U$30,MATCH("对"&amp;LEFT($C$5,2)&amp;"输出",标准坦克设计!$B$23:$U$23,0)))*(VLOOKUP($B102,INDIRECT($B$5&amp;"生成成长"),3))*(VLOOKUP($B$5,标准坦克设计!$B$14:$K$20,9)/30))</f>
        <v>5.5237083660631017</v>
      </c>
      <c r="BH102" s="172">
        <f ca="1">(VLOOKUP(BH$72,INDIRECT($C$5&amp;"生成成长"),2))/((VLOOKUP($B102,INDIRECT($B$5&amp;"生成成长"),4))/(VLOOKUP(BH$72,INDIRECT($C$5&amp;"生成成长"),5))*(VLOOKUP($B$5,标准坦克设计!$B$24:$U$30,MATCH("对"&amp;LEFT($C$5,2)&amp;"输出",标准坦克设计!$B$23:$U$23,0)))*(VLOOKUP($B102,INDIRECT($B$5&amp;"生成成长"),3))*(VLOOKUP($B$5,标准坦克设计!$B$14:$K$20,9)/30))</f>
        <v>2.6699176310884591</v>
      </c>
      <c r="BI102" s="172">
        <f ca="1">(VLOOKUP(BI$72,INDIRECT($C$5&amp;"生成成长"),2))/((VLOOKUP($B102,INDIRECT($B$5&amp;"生成成长"),4))/(VLOOKUP(BI$72,INDIRECT($C$5&amp;"生成成长"),5))*(VLOOKUP($B$5,标准坦克设计!$B$24:$U$30,MATCH("对"&amp;LEFT($C$5,2)&amp;"输出",标准坦克设计!$B$23:$U$23,0)))*(VLOOKUP($B102,INDIRECT($B$5&amp;"生成成长"),3))*(VLOOKUP($B$5,标准坦克设计!$B$14:$K$20,9)/30))</f>
        <v>3.0092311450037643</v>
      </c>
      <c r="BJ102" s="172">
        <f ca="1">(VLOOKUP(BJ$72,INDIRECT($C$5&amp;"生成成长"),2))/((VLOOKUP($B102,INDIRECT($B$5&amp;"生成成长"),4))/(VLOOKUP(BJ$72,INDIRECT($C$5&amp;"生成成长"),5))*(VLOOKUP($B$5,标准坦克设计!$B$24:$U$30,MATCH("对"&amp;LEFT($C$5,2)&amp;"输出",标准坦克设计!$B$23:$U$23,0)))*(VLOOKUP($B102,INDIRECT($B$5&amp;"生成成长"),3))*(VLOOKUP($B$5,标准坦克设计!$B$14:$K$20,9)/30))</f>
        <v>3.3688358325086889</v>
      </c>
      <c r="BK102" s="172">
        <f ca="1">(VLOOKUP(BK$72,INDIRECT($C$5&amp;"生成成长"),2))/((VLOOKUP($B102,INDIRECT($B$5&amp;"生成成长"),4))/(VLOOKUP(BK$72,INDIRECT($C$5&amp;"生成成长"),5))*(VLOOKUP($B$5,标准坦克设计!$B$24:$U$30,MATCH("对"&amp;LEFT($C$5,2)&amp;"输出",标准坦克设计!$B$23:$U$23,0)))*(VLOOKUP($B102,INDIRECT($B$5&amp;"生成成长"),3))*(VLOOKUP($B$5,标准坦克设计!$B$14:$K$20,9)/30))</f>
        <v>3.748731693603232</v>
      </c>
      <c r="BL102" s="172">
        <f ca="1">(VLOOKUP(BL$72,INDIRECT($C$5&amp;"生成成长"),2))/((VLOOKUP($B102,INDIRECT($B$5&amp;"生成成长"),4))/(VLOOKUP(BL$72,INDIRECT($C$5&amp;"生成成长"),5))*(VLOOKUP($B$5,标准坦克设计!$B$24:$U$30,MATCH("对"&amp;LEFT($C$5,2)&amp;"输出",标准坦克设计!$B$23:$U$23,0)))*(VLOOKUP($B102,INDIRECT($B$5&amp;"生成成长"),3))*(VLOOKUP($B$5,标准坦克设计!$B$14:$K$20,9)/30))</f>
        <v>4.1489187282873967</v>
      </c>
      <c r="BM102" s="172">
        <f ca="1">(VLOOKUP(BM$72,INDIRECT($C$5&amp;"生成成长"),2))/((VLOOKUP($B102,INDIRECT($B$5&amp;"生成成长"),4))/(VLOOKUP(BM$72,INDIRECT($C$5&amp;"生成成长"),5))*(VLOOKUP($B$5,标准坦克设计!$B$24:$U$30,MATCH("对"&amp;LEFT($C$5,2)&amp;"输出",标准坦克设计!$B$23:$U$23,0)))*(VLOOKUP($B102,INDIRECT($B$5&amp;"生成成长"),3))*(VLOOKUP($B$5,标准坦克设计!$B$14:$K$20,9)/30))</f>
        <v>4.5693969365611791</v>
      </c>
      <c r="BN102" s="172">
        <f ca="1">(VLOOKUP(BN$72,INDIRECT($C$5&amp;"生成成长"),2))/((VLOOKUP($B102,INDIRECT($B$5&amp;"生成成长"),4))/(VLOOKUP(BN$72,INDIRECT($C$5&amp;"生成成长"),5))*(VLOOKUP($B$5,标准坦克设计!$B$24:$U$30,MATCH("对"&amp;LEFT($C$5,2)&amp;"输出",标准坦克设计!$B$23:$U$23,0)))*(VLOOKUP($B102,INDIRECT($B$5&amp;"生成成长"),3))*(VLOOKUP($B$5,标准坦克设计!$B$14:$K$20,9)/30))</f>
        <v>5.0101663184245817</v>
      </c>
      <c r="BO102" s="172">
        <f ca="1">(VLOOKUP(BO$72,INDIRECT($C$5&amp;"生成成长"),2))/((VLOOKUP($B102,INDIRECT($B$5&amp;"生成成长"),4))/(VLOOKUP(BO$72,INDIRECT($C$5&amp;"生成成长"),5))*(VLOOKUP($B$5,标准坦克设计!$B$24:$U$30,MATCH("对"&amp;LEFT($C$5,2)&amp;"输出",标准坦克设计!$B$23:$U$23,0)))*(VLOOKUP($B102,INDIRECT($B$5&amp;"生成成长"),3))*(VLOOKUP($B$5,标准坦克设计!$B$14:$K$20,9)/30))</f>
        <v>5.4712268738776038</v>
      </c>
      <c r="BP102" s="172">
        <f ca="1">(VLOOKUP(BP$72,INDIRECT($C$5&amp;"生成成长"),2))/((VLOOKUP($B102,INDIRECT($B$5&amp;"生成成长"),4))/(VLOOKUP(BP$72,INDIRECT($C$5&amp;"生成成长"),5))*(VLOOKUP($B$5,标准坦克设计!$B$24:$U$30,MATCH("对"&amp;LEFT($C$5,2)&amp;"输出",标准坦克设计!$B$23:$U$23,0)))*(VLOOKUP($B102,INDIRECT($B$5&amp;"生成成长"),3))*(VLOOKUP($B$5,标准坦克设计!$B$14:$K$20,9)/30))</f>
        <v>5.9525786029202461</v>
      </c>
      <c r="BQ102" s="172">
        <f ca="1">(VLOOKUP(BQ$72,INDIRECT($C$5&amp;"生成成长"),2))/((VLOOKUP($B102,INDIRECT($B$5&amp;"生成成长"),4))/(VLOOKUP(BQ$72,INDIRECT($C$5&amp;"生成成长"),5))*(VLOOKUP($B$5,标准坦克设计!$B$24:$U$30,MATCH("对"&amp;LEFT($C$5,2)&amp;"输出",标准坦克设计!$B$23:$U$23,0)))*(VLOOKUP($B102,INDIRECT($B$5&amp;"生成成长"),3))*(VLOOKUP($B$5,标准坦克设计!$B$14:$K$20,9)/30))</f>
        <v>6.454221505552507</v>
      </c>
      <c r="BR102" s="172">
        <f ca="1">(VLOOKUP(BR$72,INDIRECT($C$5&amp;"生成成长"),2))/((VLOOKUP($B102,INDIRECT($B$5&amp;"生成成长"),4))/(VLOOKUP(BR$72,INDIRECT($C$5&amp;"生成成长"),5))*(VLOOKUP($B$5,标准坦克设计!$B$24:$U$30,MATCH("对"&amp;LEFT($C$5,2)&amp;"输出",标准坦克设计!$B$23:$U$23,0)))*(VLOOKUP($B102,INDIRECT($B$5&amp;"生成成长"),3))*(VLOOKUP($B$5,标准坦克设计!$B$14:$K$20,9)/30))</f>
        <v>7.035400798489758</v>
      </c>
      <c r="BS102" s="172">
        <f ca="1">(VLOOKUP(BS$72,INDIRECT($C$5&amp;"生成成长"),2))/((VLOOKUP($B102,INDIRECT($B$5&amp;"生成成长"),4))/(VLOOKUP(BS$72,INDIRECT($C$5&amp;"生成成长"),5))*(VLOOKUP($B$5,标准坦克设计!$B$24:$U$30,MATCH("对"&amp;LEFT($C$5,2)&amp;"输出",标准坦克设计!$B$23:$U$23,0)))*(VLOOKUP($B102,INDIRECT($B$5&amp;"生成成长"),3))*(VLOOKUP($B$5,标准坦克设计!$B$14:$K$20,9)/30))</f>
        <v>7.6416309230191333</v>
      </c>
      <c r="BT102" s="172">
        <f ca="1">(VLOOKUP(BT$72,INDIRECT($C$5&amp;"生成成长"),2))/((VLOOKUP($B102,INDIRECT($B$5&amp;"生成成长"),4))/(VLOOKUP(BT$72,INDIRECT($C$5&amp;"生成成长"),5))*(VLOOKUP($B$5,标准坦克设计!$B$24:$U$30,MATCH("对"&amp;LEFT($C$5,2)&amp;"输出",标准坦克设计!$B$23:$U$23,0)))*(VLOOKUP($B102,INDIRECT($B$5&amp;"生成成长"),3))*(VLOOKUP($B$5,标准坦克设计!$B$14:$K$20,9)/30))</f>
        <v>8.2729118791406293</v>
      </c>
      <c r="BU102" s="172">
        <f ca="1">(VLOOKUP(BU$72,INDIRECT($C$5&amp;"生成成长"),2))/((VLOOKUP($B102,INDIRECT($B$5&amp;"生成成长"),4))/(VLOOKUP(BU$72,INDIRECT($C$5&amp;"生成成长"),5))*(VLOOKUP($B$5,标准坦克设计!$B$24:$U$30,MATCH("对"&amp;LEFT($C$5,2)&amp;"输出",标准坦克设计!$B$23:$U$23,0)))*(VLOOKUP($B102,INDIRECT($B$5&amp;"生成成长"),3))*(VLOOKUP($B$5,标准坦克设计!$B$14:$K$20,9)/30))</f>
        <v>8.9292436668542514</v>
      </c>
      <c r="BV102" s="172">
        <f ca="1">(VLOOKUP(BV$72,INDIRECT($C$5&amp;"生成成长"),2))/((VLOOKUP($B102,INDIRECT($B$5&amp;"生成成长"),4))/(VLOOKUP(BV$72,INDIRECT($C$5&amp;"生成成长"),5))*(VLOOKUP($B$5,标准坦克设计!$B$24:$U$30,MATCH("对"&amp;LEFT($C$5,2)&amp;"输出",标准坦克设计!$B$23:$U$23,0)))*(VLOOKUP($B102,INDIRECT($B$5&amp;"生成成长"),3))*(VLOOKUP($B$5,标准坦克设计!$B$14:$K$20,9)/30))</f>
        <v>9.6106262861599934</v>
      </c>
      <c r="BW102" s="172">
        <f ca="1">(VLOOKUP(BW$72,INDIRECT($C$5&amp;"生成成长"),2))/((VLOOKUP($B102,INDIRECT($B$5&amp;"生成成长"),4))/(VLOOKUP(BW$72,INDIRECT($C$5&amp;"生成成长"),5))*(VLOOKUP($B$5,标准坦克设计!$B$24:$U$30,MATCH("对"&amp;LEFT($C$5,2)&amp;"输出",标准坦克设计!$B$23:$U$23,0)))*(VLOOKUP($B102,INDIRECT($B$5&amp;"生成成长"),3))*(VLOOKUP($B$5,标准坦克设计!$B$14:$K$20,9)/30))</f>
        <v>4.3800126497247298</v>
      </c>
      <c r="BX102" s="172">
        <f ca="1">(VLOOKUP(BX$72,INDIRECT($C$5&amp;"生成成长"),2))/((VLOOKUP($B102,INDIRECT($B$5&amp;"生成成长"),4))/(VLOOKUP(BX$72,INDIRECT($C$5&amp;"生成成长"),5))*(VLOOKUP($B$5,标准坦克设计!$B$24:$U$30,MATCH("对"&amp;LEFT($C$5,2)&amp;"输出",标准坦克设计!$B$23:$U$23,0)))*(VLOOKUP($B102,INDIRECT($B$5&amp;"生成成长"),3))*(VLOOKUP($B$5,标准坦克设计!$B$14:$K$20,9)/30))</f>
        <v>4.8609886162934908</v>
      </c>
      <c r="BY102" s="172">
        <f ca="1">(VLOOKUP(BY$72,INDIRECT($C$5&amp;"生成成长"),2))/((VLOOKUP($B102,INDIRECT($B$5&amp;"生成成长"),4))/(VLOOKUP(BY$72,INDIRECT($C$5&amp;"生成成长"),5))*(VLOOKUP($B$5,标准坦克设计!$B$24:$U$30,MATCH("对"&amp;LEFT($C$5,2)&amp;"输出",标准坦克设计!$B$23:$U$23,0)))*(VLOOKUP($B102,INDIRECT($B$5&amp;"生成成长"),3))*(VLOOKUP($B$5,标准坦克设计!$B$14:$K$20,9)/30))</f>
        <v>5.3670154144543716</v>
      </c>
      <c r="BZ102" s="172">
        <f ca="1">(VLOOKUP(BZ$72,INDIRECT($C$5&amp;"生成成长"),2))/((VLOOKUP($B102,INDIRECT($B$5&amp;"生成成长"),4))/(VLOOKUP(BZ$72,INDIRECT($C$5&amp;"生成成长"),5))*(VLOOKUP($B$5,标准坦克设计!$B$24:$U$30,MATCH("对"&amp;LEFT($C$5,2)&amp;"输出",标准坦克设计!$B$23:$U$23,0)))*(VLOOKUP($B102,INDIRECT($B$5&amp;"生成成长"),3))*(VLOOKUP($B$5,标准坦克设计!$B$14:$K$20,9)/30))</f>
        <v>5.8980930442073785</v>
      </c>
      <c r="CA102" s="172">
        <f ca="1">(VLOOKUP(CA$72,INDIRECT($C$5&amp;"生成成长"),2))/((VLOOKUP($B102,INDIRECT($B$5&amp;"生成成长"),4))/(VLOOKUP(CA$72,INDIRECT($C$5&amp;"生成成长"),5))*(VLOOKUP($B$5,标准坦克设计!$B$24:$U$30,MATCH("对"&amp;LEFT($C$5,2)&amp;"输出",标准坦克设计!$B$23:$U$23,0)))*(VLOOKUP($B102,INDIRECT($B$5&amp;"生成成长"),3))*(VLOOKUP($B$5,标准坦克设计!$B$14:$K$20,9)/30))</f>
        <v>6.454221505552507</v>
      </c>
      <c r="CB102" s="172">
        <f ca="1">(VLOOKUP(CB$72,INDIRECT($C$5&amp;"生成成长"),2))/((VLOOKUP($B102,INDIRECT($B$5&amp;"生成成长"),4))/(VLOOKUP(CB$72,INDIRECT($C$5&amp;"生成成长"),5))*(VLOOKUP($B$5,标准坦克设计!$B$24:$U$30,MATCH("对"&amp;LEFT($C$5,2)&amp;"输出",标准坦克设计!$B$23:$U$23,0)))*(VLOOKUP($B102,INDIRECT($B$5&amp;"生成成长"),3))*(VLOOKUP($B$5,标准坦克设计!$B$14:$K$20,9)/30))</f>
        <v>7.035400798489758</v>
      </c>
      <c r="CC102" s="172">
        <f ca="1">(VLOOKUP(CC$72,INDIRECT($C$5&amp;"生成成长"),2))/((VLOOKUP($B102,INDIRECT($B$5&amp;"生成成长"),4))/(VLOOKUP(CC$72,INDIRECT($C$5&amp;"生成成长"),5))*(VLOOKUP($B$5,标准坦克设计!$B$24:$U$30,MATCH("对"&amp;LEFT($C$5,2)&amp;"输出",标准坦克设计!$B$23:$U$23,0)))*(VLOOKUP($B102,INDIRECT($B$5&amp;"生成成长"),3))*(VLOOKUP($B$5,标准坦克设计!$B$14:$K$20,9)/30))</f>
        <v>7.6416309230191333</v>
      </c>
      <c r="CD102" s="172">
        <f ca="1">(VLOOKUP(CD$72,INDIRECT($C$5&amp;"生成成长"),2))/((VLOOKUP($B102,INDIRECT($B$5&amp;"生成成长"),4))/(VLOOKUP(CD$72,INDIRECT($C$5&amp;"生成成长"),5))*(VLOOKUP($B$5,标准坦克设计!$B$24:$U$30,MATCH("对"&amp;LEFT($C$5,2)&amp;"输出",标准坦克设计!$B$23:$U$23,0)))*(VLOOKUP($B102,INDIRECT($B$5&amp;"生成成长"),3))*(VLOOKUP($B$5,标准坦克设计!$B$14:$K$20,9)/30))</f>
        <v>8.2729118791406293</v>
      </c>
      <c r="CE102" s="172">
        <f ca="1">(VLOOKUP(CE$72,INDIRECT($C$5&amp;"生成成长"),2))/((VLOOKUP($B102,INDIRECT($B$5&amp;"生成成长"),4))/(VLOOKUP(CE$72,INDIRECT($C$5&amp;"生成成长"),5))*(VLOOKUP($B$5,标准坦克设计!$B$24:$U$30,MATCH("对"&amp;LEFT($C$5,2)&amp;"输出",标准坦克设计!$B$23:$U$23,0)))*(VLOOKUP($B102,INDIRECT($B$5&amp;"生成成长"),3))*(VLOOKUP($B$5,标准坦克设计!$B$14:$K$20,9)/30))</f>
        <v>8.9292436668542514</v>
      </c>
      <c r="CF102" s="172">
        <f ca="1">(VLOOKUP(CF$72,INDIRECT($C$5&amp;"生成成长"),2))/((VLOOKUP($B102,INDIRECT($B$5&amp;"生成成长"),4))/(VLOOKUP(CF$72,INDIRECT($C$5&amp;"生成成长"),5))*(VLOOKUP($B$5,标准坦克设计!$B$24:$U$30,MATCH("对"&amp;LEFT($C$5,2)&amp;"输出",标准坦克设计!$B$23:$U$23,0)))*(VLOOKUP($B102,INDIRECT($B$5&amp;"生成成长"),3))*(VLOOKUP($B$5,标准坦克设计!$B$14:$K$20,9)/30))</f>
        <v>9.6106262861599934</v>
      </c>
      <c r="CG102" s="172">
        <f ca="1">(VLOOKUP(CG$72,INDIRECT($C$5&amp;"生成成长"),2))/((VLOOKUP($B102,INDIRECT($B$5&amp;"生成成长"),4))/(VLOOKUP(CG$72,INDIRECT($C$5&amp;"生成成长"),5))*(VLOOKUP($B$5,标准坦克设计!$B$24:$U$30,MATCH("对"&amp;LEFT($C$5,2)&amp;"输出",标准坦克设计!$B$23:$U$23,0)))*(VLOOKUP($B102,INDIRECT($B$5&amp;"生成成长"),3))*(VLOOKUP($B$5,标准坦克设计!$B$14:$K$20,9)/30))</f>
        <v>10.317059737057859</v>
      </c>
      <c r="CH102" s="172">
        <f ca="1">(VLOOKUP(CH$72,INDIRECT($C$5&amp;"生成成长"),2))/((VLOOKUP($B102,INDIRECT($B$5&amp;"生成成长"),4))/(VLOOKUP(CH$72,INDIRECT($C$5&amp;"生成成长"),5))*(VLOOKUP($B$5,标准坦克设计!$B$24:$U$30,MATCH("对"&amp;LEFT($C$5,2)&amp;"输出",标准坦克设计!$B$23:$U$23,0)))*(VLOOKUP($B102,INDIRECT($B$5&amp;"生成成长"),3))*(VLOOKUP($B$5,标准坦克设计!$B$14:$K$20,9)/30))</f>
        <v>11.048544019547849</v>
      </c>
      <c r="CI102" s="172">
        <f ca="1">(VLOOKUP(CI$72,INDIRECT($C$5&amp;"生成成长"),2))/((VLOOKUP($B102,INDIRECT($B$5&amp;"生成成长"),4))/(VLOOKUP(CI$72,INDIRECT($C$5&amp;"生成成长"),5))*(VLOOKUP($B$5,标准坦克设计!$B$24:$U$30,MATCH("对"&amp;LEFT($C$5,2)&amp;"输出",标准坦克设计!$B$23:$U$23,0)))*(VLOOKUP($B102,INDIRECT($B$5&amp;"生成成长"),3))*(VLOOKUP($B$5,标准坦克设计!$B$14:$K$20,9)/30))</f>
        <v>11.882110440775739</v>
      </c>
      <c r="CJ102" s="172">
        <f ca="1">(VLOOKUP(CJ$72,INDIRECT($C$5&amp;"生成成长"),2))/((VLOOKUP($B102,INDIRECT($B$5&amp;"生成成长"),4))/(VLOOKUP(CJ$72,INDIRECT($C$5&amp;"生成成长"),5))*(VLOOKUP($B$5,标准坦克设计!$B$24:$U$30,MATCH("对"&amp;LEFT($C$5,2)&amp;"输出",标准坦克设计!$B$23:$U$23,0)))*(VLOOKUP($B102,INDIRECT($B$5&amp;"生成成长"),3))*(VLOOKUP($B$5,标准坦克设计!$B$14:$K$20,9)/30))</f>
        <v>12.745988368230098</v>
      </c>
      <c r="CK102" s="172">
        <f ca="1">(VLOOKUP(CK$72,INDIRECT($C$5&amp;"生成成长"),2))/((VLOOKUP($B102,INDIRECT($B$5&amp;"生成成长"),4))/(VLOOKUP(CK$72,INDIRECT($C$5&amp;"生成成长"),5))*(VLOOKUP($B$5,标准坦克设计!$B$24:$U$30,MATCH("对"&amp;LEFT($C$5,2)&amp;"输出",标准坦克设计!$B$23:$U$23,0)))*(VLOOKUP($B102,INDIRECT($B$5&amp;"生成成长"),3))*(VLOOKUP($B$5,标准坦克设计!$B$14:$K$20,9)/30))</f>
        <v>13.640177801910923</v>
      </c>
      <c r="CL102" s="172">
        <f ca="1">(VLOOKUP(CL$72,INDIRECT($C$5&amp;"生成成长"),2))/((VLOOKUP($B102,INDIRECT($B$5&amp;"生成成长"),4))/(VLOOKUP(CL$72,INDIRECT($C$5&amp;"生成成长"),5))*(VLOOKUP($B$5,标准坦克设计!$B$24:$U$30,MATCH("对"&amp;LEFT($C$5,2)&amp;"输出",标准坦克设计!$B$23:$U$23,0)))*(VLOOKUP($B102,INDIRECT($B$5&amp;"生成成长"),3))*(VLOOKUP($B$5,标准坦克设计!$B$14:$K$20,9)/30))</f>
        <v>14.56467874181822</v>
      </c>
      <c r="CM102" s="172">
        <f ca="1">(VLOOKUP(CM$72,INDIRECT($C$5&amp;"生成成长"),2))/((VLOOKUP($B102,INDIRECT($B$5&amp;"生成成长"),4))/(VLOOKUP(CM$72,INDIRECT($C$5&amp;"生成成长"),5))*(VLOOKUP($B$5,标准坦克设计!$B$24:$U$30,MATCH("对"&amp;LEFT($C$5,2)&amp;"输出",标准坦克设计!$B$23:$U$23,0)))*(VLOOKUP($B102,INDIRECT($B$5&amp;"生成成长"),3))*(VLOOKUP($B$5,标准坦克设计!$B$14:$K$20,9)/30))</f>
        <v>15.519491187951983</v>
      </c>
      <c r="CN102" s="172">
        <f ca="1">(VLOOKUP(CN$72,INDIRECT($C$5&amp;"生成成长"),2))/((VLOOKUP($B102,INDIRECT($B$5&amp;"生成成长"),4))/(VLOOKUP(CN$72,INDIRECT($C$5&amp;"生成成长"),5))*(VLOOKUP($B$5,标准坦克设计!$B$24:$U$30,MATCH("对"&amp;LEFT($C$5,2)&amp;"输出",标准坦克设计!$B$23:$U$23,0)))*(VLOOKUP($B102,INDIRECT($B$5&amp;"生成成长"),3))*(VLOOKUP($B$5,标准坦克设计!$B$14:$K$20,9)/30))</f>
        <v>16.504615140312215</v>
      </c>
      <c r="CO102" s="172">
        <f ca="1">(VLOOKUP(CO$72,INDIRECT($C$5&amp;"生成成长"),2))/((VLOOKUP($B102,INDIRECT($B$5&amp;"生成成长"),4))/(VLOOKUP(CO$72,INDIRECT($C$5&amp;"生成成长"),5))*(VLOOKUP($B$5,标准坦克设计!$B$24:$U$30,MATCH("对"&amp;LEFT($C$5,2)&amp;"输出",标准坦克设计!$B$23:$U$23,0)))*(VLOOKUP($B102,INDIRECT($B$5&amp;"生成成长"),3))*(VLOOKUP($B$5,标准坦克设计!$B$14:$K$20,9)/30))</f>
        <v>7.3961327734163289</v>
      </c>
      <c r="CP102" s="172">
        <f ca="1">(VLOOKUP(CP$72,INDIRECT($C$5&amp;"生成成长"),2))/((VLOOKUP($B102,INDIRECT($B$5&amp;"生成成长"),4))/(VLOOKUP(CP$72,INDIRECT($C$5&amp;"生成成长"),5))*(VLOOKUP($B$5,标准坦克设计!$B$24:$U$30,MATCH("对"&amp;LEFT($C$5,2)&amp;"输出",标准坦克设计!$B$23:$U$23,0)))*(VLOOKUP($B102,INDIRECT($B$5&amp;"生成成长"),3))*(VLOOKUP($B$5,标准坦克设计!$B$14:$K$20,9)/30))</f>
        <v>8.0808972549870095</v>
      </c>
      <c r="CQ102" s="172">
        <f ca="1">(VLOOKUP(CQ$72,INDIRECT($C$5&amp;"生成成长"),2))/((VLOOKUP($B102,INDIRECT($B$5&amp;"生成成长"),4))/(VLOOKUP(CQ$72,INDIRECT($C$5&amp;"生成成长"),5))*(VLOOKUP($B$5,标准坦克设计!$B$24:$U$30,MATCH("对"&amp;LEFT($C$5,2)&amp;"输出",标准坦克设计!$B$23:$U$23,0)))*(VLOOKUP($B102,INDIRECT($B$5&amp;"生成成长"),3))*(VLOOKUP($B$5,标准坦克设计!$B$14:$K$20,9)/30))</f>
        <v>8.7959732427841573</v>
      </c>
      <c r="CR102" s="172">
        <f ca="1">(VLOOKUP(CR$72,INDIRECT($C$5&amp;"生成成长"),2))/((VLOOKUP($B102,INDIRECT($B$5&amp;"生成成长"),4))/(VLOOKUP(CR$72,INDIRECT($C$5&amp;"生成成长"),5))*(VLOOKUP($B$5,标准坦克设计!$B$24:$U$30,MATCH("对"&amp;LEFT($C$5,2)&amp;"输出",标准坦克设计!$B$23:$U$23,0)))*(VLOOKUP($B102,INDIRECT($B$5&amp;"生成成长"),3))*(VLOOKUP($B$5,标准坦克设计!$B$14:$K$20,9)/30))</f>
        <v>9.5413607368077713</v>
      </c>
      <c r="CS102" s="172">
        <f ca="1">(VLOOKUP(CS$72,INDIRECT($C$5&amp;"生成成长"),2))/((VLOOKUP($B102,INDIRECT($B$5&amp;"生成成长"),4))/(VLOOKUP(CS$72,INDIRECT($C$5&amp;"生成成长"),5))*(VLOOKUP($B$5,标准坦克设计!$B$24:$U$30,MATCH("对"&amp;LEFT($C$5,2)&amp;"输出",标准坦克设计!$B$23:$U$23,0)))*(VLOOKUP($B102,INDIRECT($B$5&amp;"生成成长"),3))*(VLOOKUP($B$5,标准坦克设计!$B$14:$K$20,9)/30))</f>
        <v>10.317059737057859</v>
      </c>
      <c r="CT102" s="172">
        <f ca="1">(VLOOKUP(CT$72,INDIRECT($C$5&amp;"生成成长"),2))/((VLOOKUP($B102,INDIRECT($B$5&amp;"生成成长"),4))/(VLOOKUP(CT$72,INDIRECT($C$5&amp;"生成成长"),5))*(VLOOKUP($B$5,标准坦克设计!$B$24:$U$30,MATCH("对"&amp;LEFT($C$5,2)&amp;"输出",标准坦克设计!$B$23:$U$23,0)))*(VLOOKUP($B102,INDIRECT($B$5&amp;"生成成长"),3))*(VLOOKUP($B$5,标准坦克设计!$B$14:$K$20,9)/30))</f>
        <v>11.123070243534416</v>
      </c>
      <c r="CU102" s="172">
        <f ca="1">(VLOOKUP(CU$72,INDIRECT($C$5&amp;"生成成长"),2))/((VLOOKUP($B102,INDIRECT($B$5&amp;"生成成长"),4))/(VLOOKUP(CU$72,INDIRECT($C$5&amp;"生成成长"),5))*(VLOOKUP($B$5,标准坦克设计!$B$24:$U$30,MATCH("对"&amp;LEFT($C$5,2)&amp;"输出",标准坦克设计!$B$23:$U$23,0)))*(VLOOKUP($B102,INDIRECT($B$5&amp;"生成成长"),3))*(VLOOKUP($B$5,标准坦克设计!$B$14:$K$20,9)/30))</f>
        <v>11.959392256237438</v>
      </c>
      <c r="CV102" s="172">
        <f ca="1">(VLOOKUP(CV$72,INDIRECT($C$5&amp;"生成成长"),2))/((VLOOKUP($B102,INDIRECT($B$5&amp;"生成成长"),4))/(VLOOKUP(CV$72,INDIRECT($C$5&amp;"生成成长"),5))*(VLOOKUP($B$5,标准坦克设计!$B$24:$U$30,MATCH("对"&amp;LEFT($C$5,2)&amp;"输出",标准坦克设计!$B$23:$U$23,0)))*(VLOOKUP($B102,INDIRECT($B$5&amp;"生成成长"),3))*(VLOOKUP($B$5,标准坦克设计!$B$14:$K$20,9)/30))</f>
        <v>12.826025775166928</v>
      </c>
      <c r="CW102" s="172">
        <f ca="1">(VLOOKUP(CW$72,INDIRECT($C$5&amp;"生成成长"),2))/((VLOOKUP($B102,INDIRECT($B$5&amp;"生成成长"),4))/(VLOOKUP(CW$72,INDIRECT($C$5&amp;"生成成长"),5))*(VLOOKUP($B$5,标准坦克设计!$B$24:$U$30,MATCH("对"&amp;LEFT($C$5,2)&amp;"输出",标准坦克设计!$B$23:$U$23,0)))*(VLOOKUP($B102,INDIRECT($B$5&amp;"生成成长"),3))*(VLOOKUP($B$5,标准坦克设计!$B$14:$K$20,9)/30))</f>
        <v>13.722970800322891</v>
      </c>
      <c r="CX102" s="172">
        <f ca="1">(VLOOKUP(CX$72,INDIRECT($C$5&amp;"生成成长"),2))/((VLOOKUP($B102,INDIRECT($B$5&amp;"生成成长"),4))/(VLOOKUP(CX$72,INDIRECT($C$5&amp;"生成成长"),5))*(VLOOKUP($B$5,标准坦克设计!$B$24:$U$30,MATCH("对"&amp;LEFT($C$5,2)&amp;"输出",标准坦克设计!$B$23:$U$23,0)))*(VLOOKUP($B102,INDIRECT($B$5&amp;"生成成长"),3))*(VLOOKUP($B$5,标准坦克设计!$B$14:$K$20,9)/30))</f>
        <v>14.650227331705318</v>
      </c>
      <c r="CY102" s="172">
        <f ca="1">(VLOOKUP(CY$72,INDIRECT($C$5&amp;"生成成长"),2))/((VLOOKUP($B102,INDIRECT($B$5&amp;"生成成长"),4))/(VLOOKUP(CY$72,INDIRECT($C$5&amp;"生成成长"),5))*(VLOOKUP($B$5,标准坦克设计!$B$24:$U$30,MATCH("对"&amp;LEFT($C$5,2)&amp;"输出",标准坦克设计!$B$23:$U$23,0)))*(VLOOKUP($B102,INDIRECT($B$5&amp;"生成成长"),3))*(VLOOKUP($B$5,标准坦克设计!$B$14:$K$20,9)/30))</f>
        <v>15.607795369314218</v>
      </c>
      <c r="CZ102" s="172">
        <f ca="1">(VLOOKUP(CZ$72,INDIRECT($C$5&amp;"生成成长"),2))/((VLOOKUP($B102,INDIRECT($B$5&amp;"生成成长"),4))/(VLOOKUP(CZ$72,INDIRECT($C$5&amp;"生成成长"),5))*(VLOOKUP($B$5,标准坦克设计!$B$24:$U$30,MATCH("对"&amp;LEFT($C$5,2)&amp;"输出",标准坦克设计!$B$23:$U$23,0)))*(VLOOKUP($B102,INDIRECT($B$5&amp;"生成成长"),3))*(VLOOKUP($B$5,标准坦克设计!$B$14:$K$20,9)/30))</f>
        <v>16.595674913149587</v>
      </c>
      <c r="DA102" s="172">
        <f ca="1">(VLOOKUP(DA$72,INDIRECT($C$5&amp;"生成成长"),2))/((VLOOKUP($B102,INDIRECT($B$5&amp;"生成成长"),4))/(VLOOKUP(DA$72,INDIRECT($C$5&amp;"生成成长"),5))*(VLOOKUP($B$5,标准坦克设计!$B$24:$U$30,MATCH("对"&amp;LEFT($C$5,2)&amp;"输出",标准坦克设计!$B$23:$U$23,0)))*(VLOOKUP($B102,INDIRECT($B$5&amp;"生成成长"),3))*(VLOOKUP($B$5,标准坦克设计!$B$14:$K$20,9)/30))</f>
        <v>17.613865963211421</v>
      </c>
      <c r="DB102" s="172">
        <f ca="1">(VLOOKUP(DB$72,INDIRECT($C$5&amp;"生成成长"),2))/((VLOOKUP($B102,INDIRECT($B$5&amp;"生成成长"),4))/(VLOOKUP(DB$72,INDIRECT($C$5&amp;"生成成长"),5))*(VLOOKUP($B$5,标准坦克设计!$B$24:$U$30,MATCH("对"&amp;LEFT($C$5,2)&amp;"输出",标准坦克设计!$B$23:$U$23,0)))*(VLOOKUP($B102,INDIRECT($B$5&amp;"生成成长"),3))*(VLOOKUP($B$5,标准坦克设计!$B$14:$K$20,9)/30))</f>
        <v>18.662368519499726</v>
      </c>
      <c r="DC102" s="172">
        <f ca="1">(VLOOKUP(DC$72,INDIRECT($C$5&amp;"生成成长"),2))/((VLOOKUP($B102,INDIRECT($B$5&amp;"生成成长"),4))/(VLOOKUP(DC$72,INDIRECT($C$5&amp;"生成成长"),5))*(VLOOKUP($B$5,标准坦克设计!$B$24:$U$30,MATCH("对"&amp;LEFT($C$5,2)&amp;"输出",标准坦克设计!$B$23:$U$23,0)))*(VLOOKUP($B102,INDIRECT($B$5&amp;"生成成长"),3))*(VLOOKUP($B$5,标准坦克设计!$B$14:$K$20,9)/30))</f>
        <v>19.840759637593187</v>
      </c>
      <c r="DD102" s="172">
        <f ca="1">(VLOOKUP(DD$72,INDIRECT($C$5&amp;"生成成长"),2))/((VLOOKUP($B102,INDIRECT($B$5&amp;"生成成长"),4))/(VLOOKUP(DD$72,INDIRECT($C$5&amp;"生成成长"),5))*(VLOOKUP($B$5,标准坦克设计!$B$24:$U$30,MATCH("对"&amp;LEFT($C$5,2)&amp;"输出",标准坦克设计!$B$23:$U$23,0)))*(VLOOKUP($B102,INDIRECT($B$5&amp;"生成成长"),3))*(VLOOKUP($B$5,标准坦克设计!$B$14:$K$20,9)/30))</f>
        <v>21.055223953179301</v>
      </c>
      <c r="DE102" s="172">
        <f ca="1">(VLOOKUP(DE$72,INDIRECT($C$5&amp;"生成成长"),2))/((VLOOKUP($B102,INDIRECT($B$5&amp;"生成成长"),4))/(VLOOKUP(DE$72,INDIRECT($C$5&amp;"生成成长"),5))*(VLOOKUP($B$5,标准坦克设计!$B$24:$U$30,MATCH("对"&amp;LEFT($C$5,2)&amp;"输出",标准坦克设计!$B$23:$U$23,0)))*(VLOOKUP($B102,INDIRECT($B$5&amp;"生成成长"),3))*(VLOOKUP($B$5,标准坦克设计!$B$14:$K$20,9)/30))</f>
        <v>22.30576146625808</v>
      </c>
      <c r="DF102" s="172">
        <f ca="1">(VLOOKUP(DF$72,INDIRECT($C$5&amp;"生成成长"),2))/((VLOOKUP($B102,INDIRECT($B$5&amp;"生成成长"),4))/(VLOOKUP(DF$72,INDIRECT($C$5&amp;"生成成长"),5))*(VLOOKUP($B$5,标准坦克设计!$B$24:$U$30,MATCH("对"&amp;LEFT($C$5,2)&amp;"输出",标准坦克设计!$B$23:$U$23,0)))*(VLOOKUP($B102,INDIRECT($B$5&amp;"生成成长"),3))*(VLOOKUP($B$5,标准坦克设计!$B$14:$K$20,9)/30))</f>
        <v>23.592372176829514</v>
      </c>
      <c r="DG102" s="172">
        <f ca="1">(VLOOKUP(DG$72,INDIRECT($C$5&amp;"生成成长"),2))/((VLOOKUP($B102,INDIRECT($B$5&amp;"生成成长"),4))/(VLOOKUP(DG$72,INDIRECT($C$5&amp;"生成成长"),5))*(VLOOKUP($B$5,标准坦克设计!$B$24:$U$30,MATCH("对"&amp;LEFT($C$5,2)&amp;"输出",标准坦克设计!$B$23:$U$23,0)))*(VLOOKUP($B102,INDIRECT($B$5&amp;"生成成长"),3))*(VLOOKUP($B$5,标准坦克设计!$B$14:$K$20,9)/30))</f>
        <v>24.915056084893603</v>
      </c>
      <c r="DH102" s="172">
        <f ca="1">(VLOOKUP(DH$72,INDIRECT($C$5&amp;"生成成长"),2))/((VLOOKUP($B102,INDIRECT($B$5&amp;"生成成长"),4))/(VLOOKUP(DH$72,INDIRECT($C$5&amp;"生成成长"),5))*(VLOOKUP($B$5,标准坦克设计!$B$24:$U$30,MATCH("对"&amp;LEFT($C$5,2)&amp;"输出",标准坦克设计!$B$23:$U$23,0)))*(VLOOKUP($B102,INDIRECT($B$5&amp;"生成成长"),3))*(VLOOKUP($B$5,标准坦克设计!$B$14:$K$20,9)/30))</f>
        <v>26.273813190450355</v>
      </c>
      <c r="DI102" s="172">
        <f ca="1">(VLOOKUP(DI$72,INDIRECT($C$5&amp;"生成成长"),2))/((VLOOKUP($B102,INDIRECT($B$5&amp;"生成成长"),4))/(VLOOKUP(DI$72,INDIRECT($C$5&amp;"生成成长"),5))*(VLOOKUP($B$5,标准坦克设计!$B$24:$U$30,MATCH("对"&amp;LEFT($C$5,2)&amp;"输出",标准坦克设计!$B$23:$U$23,0)))*(VLOOKUP($B102,INDIRECT($B$5&amp;"生成成长"),3))*(VLOOKUP($B$5,标准坦克设计!$B$14:$K$20,9)/30))</f>
        <v>27.668643493499754</v>
      </c>
      <c r="DJ102" s="172">
        <f ca="1">(VLOOKUP(DJ$72,INDIRECT($C$5&amp;"生成成长"),2))/((VLOOKUP($B102,INDIRECT($B$5&amp;"生成成长"),4))/(VLOOKUP(DJ$72,INDIRECT($C$5&amp;"生成成长"),5))*(VLOOKUP($B$5,标准坦克设计!$B$24:$U$30,MATCH("对"&amp;LEFT($C$5,2)&amp;"输出",标准坦克设计!$B$23:$U$23,0)))*(VLOOKUP($B102,INDIRECT($B$5&amp;"生成成长"),3))*(VLOOKUP($B$5,标准坦克设计!$B$14:$K$20,9)/30))</f>
        <v>2.780767560883604</v>
      </c>
      <c r="DK102" s="172">
        <f ca="1">(VLOOKUP(DK$72,INDIRECT($C$5&amp;"生成成长"),2))/((VLOOKUP($B102,INDIRECT($B$5&amp;"生成成长"),4))/(VLOOKUP(DK$72,INDIRECT($C$5&amp;"生成成长"),5))*(VLOOKUP($B$5,标准坦克设计!$B$24:$U$30,MATCH("对"&amp;LEFT($C$5,2)&amp;"输出",标准坦克设计!$B$23:$U$23,0)))*(VLOOKUP($B102,INDIRECT($B$5&amp;"生成成长"),3))*(VLOOKUP($B$5,标准坦克设计!$B$14:$K$20,9)/30))</f>
        <v>3.1268447993287811</v>
      </c>
      <c r="DL102" s="172">
        <f ca="1">(VLOOKUP(DL$72,INDIRECT($C$5&amp;"生成成长"),2))/((VLOOKUP($B102,INDIRECT($B$5&amp;"生成成长"),4))/(VLOOKUP(DL$72,INDIRECT($C$5&amp;"生成成长"),5))*(VLOOKUP($B$5,标准坦克设计!$B$24:$U$30,MATCH("对"&amp;LEFT($C$5,2)&amp;"输出",标准坦克设计!$B$23:$U$23,0)))*(VLOOKUP($B102,INDIRECT($B$5&amp;"生成成长"),3))*(VLOOKUP($B$5,标准坦克设计!$B$14:$K$20,9)/30))</f>
        <v>3.493213211363579</v>
      </c>
      <c r="DM102" s="172">
        <f ca="1">(VLOOKUP(DM$72,INDIRECT($C$5&amp;"生成成长"),2))/((VLOOKUP($B102,INDIRECT($B$5&amp;"生成成长"),4))/(VLOOKUP(DM$72,INDIRECT($C$5&amp;"生成成长"),5))*(VLOOKUP($B$5,标准坦克设计!$B$24:$U$30,MATCH("对"&amp;LEFT($C$5,2)&amp;"输出",标准坦克设计!$B$23:$U$23,0)))*(VLOOKUP($B102,INDIRECT($B$5&amp;"生成成长"),3))*(VLOOKUP($B$5,标准坦克设计!$B$14:$K$20,9)/30))</f>
        <v>3.8798727969879958</v>
      </c>
      <c r="DN102" s="172">
        <f ca="1">(VLOOKUP(DN$72,INDIRECT($C$5&amp;"生成成长"),2))/((VLOOKUP($B102,INDIRECT($B$5&amp;"生成成长"),4))/(VLOOKUP(DN$72,INDIRECT($C$5&amp;"生成成长"),5))*(VLOOKUP($B$5,标准坦克设计!$B$24:$U$30,MATCH("对"&amp;LEFT($C$5,2)&amp;"输出",标准坦克设计!$B$23:$U$23,0)))*(VLOOKUP($B102,INDIRECT($B$5&amp;"生成成长"),3))*(VLOOKUP($B$5,标准坦克设计!$B$14:$K$20,9)/30))</f>
        <v>4.2868235562020329</v>
      </c>
      <c r="DO102" s="172">
        <f ca="1">(VLOOKUP(DO$72,INDIRECT($C$5&amp;"生成成长"),2))/((VLOOKUP($B102,INDIRECT($B$5&amp;"生成成长"),4))/(VLOOKUP(DO$72,INDIRECT($C$5&amp;"生成成长"),5))*(VLOOKUP($B$5,标准坦克设计!$B$24:$U$30,MATCH("对"&amp;LEFT($C$5,2)&amp;"输出",标准坦克设计!$B$23:$U$23,0)))*(VLOOKUP($B102,INDIRECT($B$5&amp;"生成成长"),3))*(VLOOKUP($B$5,标准坦克设计!$B$14:$K$20,9)/30))</f>
        <v>4.714065489005689</v>
      </c>
      <c r="DP102" s="172">
        <f ca="1">(VLOOKUP(DP$72,INDIRECT($C$5&amp;"生成成长"),2))/((VLOOKUP($B102,INDIRECT($B$5&amp;"生成成长"),4))/(VLOOKUP(DP$72,INDIRECT($C$5&amp;"生成成长"),5))*(VLOOKUP($B$5,标准坦克设计!$B$24:$U$30,MATCH("对"&amp;LEFT($C$5,2)&amp;"输出",标准坦克设计!$B$23:$U$23,0)))*(VLOOKUP($B102,INDIRECT($B$5&amp;"生成成长"),3))*(VLOOKUP($B$5,标准坦克设计!$B$14:$K$20,9)/30))</f>
        <v>5.1615985953989645</v>
      </c>
      <c r="DQ102" s="172">
        <f ca="1">(VLOOKUP(DQ$72,INDIRECT($C$5&amp;"生成成长"),2))/((VLOOKUP($B102,INDIRECT($B$5&amp;"生成成长"),4))/(VLOOKUP(DQ$72,INDIRECT($C$5&amp;"生成成长"),5))*(VLOOKUP($B$5,标准坦克设计!$B$24:$U$30,MATCH("对"&amp;LEFT($C$5,2)&amp;"输出",标准坦克设计!$B$23:$U$23,0)))*(VLOOKUP($B102,INDIRECT($B$5&amp;"生成成长"),3))*(VLOOKUP($B$5,标准坦克设计!$B$14:$K$20,9)/30))</f>
        <v>5.6294228753818603</v>
      </c>
      <c r="DR102" s="172">
        <f ca="1">(VLOOKUP(DR$72,INDIRECT($C$5&amp;"生成成长"),2))/((VLOOKUP($B102,INDIRECT($B$5&amp;"生成成长"),4))/(VLOOKUP(DR$72,INDIRECT($C$5&amp;"生成成长"),5))*(VLOOKUP($B$5,标准坦克设计!$B$24:$U$30,MATCH("对"&amp;LEFT($C$5,2)&amp;"输出",标准坦克设计!$B$23:$U$23,0)))*(VLOOKUP($B102,INDIRECT($B$5&amp;"生成成长"),3))*(VLOOKUP($B$5,标准坦克设计!$B$14:$K$20,9)/30))</f>
        <v>6.1175383289543754</v>
      </c>
      <c r="DS102" s="172">
        <f ca="1">(VLOOKUP(DS$72,INDIRECT($C$5&amp;"生成成长"),2))/((VLOOKUP($B102,INDIRECT($B$5&amp;"生成成长"),4))/(VLOOKUP(DS$72,INDIRECT($C$5&amp;"生成成长"),5))*(VLOOKUP($B$5,标准坦克设计!$B$24:$U$30,MATCH("对"&amp;LEFT($C$5,2)&amp;"输出",标准坦克设计!$B$23:$U$23,0)))*(VLOOKUP($B102,INDIRECT($B$5&amp;"生成成长"),3))*(VLOOKUP($B$5,标准坦克设计!$B$14:$K$20,9)/30))</f>
        <v>6.6259449561165091</v>
      </c>
      <c r="DT102" s="172">
        <f ca="1">(VLOOKUP(DT$72,INDIRECT($C$5&amp;"生成成长"),2))/((VLOOKUP($B102,INDIRECT($B$5&amp;"生成成长"),4))/(VLOOKUP(DT$72,INDIRECT($C$5&amp;"生成成长"),5))*(VLOOKUP($B$5,标准坦克设计!$B$24:$U$30,MATCH("对"&amp;LEFT($C$5,2)&amp;"输出",标准坦克设计!$B$23:$U$23,0)))*(VLOOKUP($B102,INDIRECT($B$5&amp;"生成成长"),3))*(VLOOKUP($B$5,标准坦克设计!$B$14:$K$20,9)/30))</f>
        <v>7.2748867485104531</v>
      </c>
      <c r="DU102" s="172">
        <f ca="1">(VLOOKUP(DU$72,INDIRECT($C$5&amp;"生成成长"),2))/((VLOOKUP($B102,INDIRECT($B$5&amp;"生成成长"),4))/(VLOOKUP(DU$72,INDIRECT($C$5&amp;"生成成长"),5))*(VLOOKUP($B$5,标准坦克设计!$B$24:$U$30,MATCH("对"&amp;LEFT($C$5,2)&amp;"输出",标准坦克设计!$B$23:$U$23,0)))*(VLOOKUP($B102,INDIRECT($B$5&amp;"生成成长"),3))*(VLOOKUP($B$5,标准坦克设计!$B$14:$K$20,9)/30))</f>
        <v>7.954140047130867</v>
      </c>
      <c r="DV102" s="172">
        <f ca="1">(VLOOKUP(DV$72,INDIRECT($C$5&amp;"生成成长"),2))/((VLOOKUP($B102,INDIRECT($B$5&amp;"生成成长"),4))/(VLOOKUP(DV$72,INDIRECT($C$5&amp;"生成成长"),5))*(VLOOKUP($B$5,标准坦克设计!$B$24:$U$30,MATCH("对"&amp;LEFT($C$5,2)&amp;"输出",标准坦克设计!$B$23:$U$23,0)))*(VLOOKUP($B102,INDIRECT($B$5&amp;"生成成长"),3))*(VLOOKUP($B$5,标准坦克设计!$B$14:$K$20,9)/30))</f>
        <v>8.6637048519777462</v>
      </c>
      <c r="DW102" s="172">
        <f ca="1">(VLOOKUP(DW$72,INDIRECT($C$5&amp;"生成成长"),2))/((VLOOKUP($B102,INDIRECT($B$5&amp;"生成成长"),4))/(VLOOKUP(DW$72,INDIRECT($C$5&amp;"生成成长"),5))*(VLOOKUP($B$5,标准坦克设计!$B$24:$U$30,MATCH("对"&amp;LEFT($C$5,2)&amp;"输出",标准坦克设计!$B$23:$U$23,0)))*(VLOOKUP($B102,INDIRECT($B$5&amp;"生成成长"),3))*(VLOOKUP($B$5,标准坦克设计!$B$14:$K$20,9)/30))</f>
        <v>9.4035811630510988</v>
      </c>
      <c r="DX102" s="172">
        <f ca="1">(VLOOKUP(DX$72,INDIRECT($C$5&amp;"生成成长"),2))/((VLOOKUP($B102,INDIRECT($B$5&amp;"生成成长"),4))/(VLOOKUP(DX$72,INDIRECT($C$5&amp;"生成成长"),5))*(VLOOKUP($B$5,标准坦克设计!$B$24:$U$30,MATCH("对"&amp;LEFT($C$5,2)&amp;"输出",标准坦克设计!$B$23:$U$23,0)))*(VLOOKUP($B102,INDIRECT($B$5&amp;"生成成长"),3))*(VLOOKUP($B$5,标准坦克设计!$B$14:$K$20,9)/30))</f>
        <v>10.173768980350916</v>
      </c>
      <c r="DY102" s="172">
        <f ca="1">(VLOOKUP(DY$72,INDIRECT($C$5&amp;"生成成长"),2))/((VLOOKUP($B102,INDIRECT($B$5&amp;"生成成长"),4))/(VLOOKUP(DY$72,INDIRECT($C$5&amp;"生成成长"),5))*(VLOOKUP($B$5,标准坦克设计!$B$24:$U$30,MATCH("对"&amp;LEFT($C$5,2)&amp;"输出",标准坦克设计!$B$23:$U$23,0)))*(VLOOKUP($B102,INDIRECT($B$5&amp;"生成成长"),3))*(VLOOKUP($B$5,标准坦克设计!$B$14:$K$20,9)/30))</f>
        <v>4.5693969365611791</v>
      </c>
      <c r="DZ102" s="172">
        <f ca="1">(VLOOKUP(DZ$72,INDIRECT($C$5&amp;"生成成长"),2))/((VLOOKUP($B102,INDIRECT($B$5&amp;"生成成长"),4))/(VLOOKUP(DZ$72,INDIRECT($C$5&amp;"生成成长"),5))*(VLOOKUP($B$5,标准坦克设计!$B$24:$U$30,MATCH("对"&amp;LEFT($C$5,2)&amp;"输出",标准坦克设计!$B$23:$U$23,0)))*(VLOOKUP($B102,INDIRECT($B$5&amp;"生成成长"),3))*(VLOOKUP($B$5,标准坦克设计!$B$14:$K$20,9)/30))</f>
        <v>5.0603932357667887</v>
      </c>
      <c r="EA102" s="172">
        <f ca="1">(VLOOKUP(EA$72,INDIRECT($C$5&amp;"生成成长"),2))/((VLOOKUP($B102,INDIRECT($B$5&amp;"生成成长"),4))/(VLOOKUP(EA$72,INDIRECT($C$5&amp;"生成成长"),5))*(VLOOKUP($B$5,标准坦克设计!$B$24:$U$30,MATCH("对"&amp;LEFT($C$5,2)&amp;"输出",标准坦克设计!$B$23:$U$23,0)))*(VLOOKUP($B102,INDIRECT($B$5&amp;"生成成长"),3))*(VLOOKUP($B$5,标准坦克设计!$B$14:$K$20,9)/30))</f>
        <v>5.5764403665645199</v>
      </c>
      <c r="EB102" s="172">
        <f ca="1">(VLOOKUP(EB$72,INDIRECT($C$5&amp;"生成成长"),2))/((VLOOKUP($B102,INDIRECT($B$5&amp;"生成成长"),4))/(VLOOKUP(EB$72,INDIRECT($C$5&amp;"生成成长"),5))*(VLOOKUP($B$5,标准坦克设计!$B$24:$U$30,MATCH("对"&amp;LEFT($C$5,2)&amp;"输出",标准坦克设计!$B$23:$U$23,0)))*(VLOOKUP($B102,INDIRECT($B$5&amp;"生成成长"),3))*(VLOOKUP($B$5,标准坦克设计!$B$14:$K$20,9)/30))</f>
        <v>6.1175383289543754</v>
      </c>
      <c r="EC102" s="172">
        <f ca="1">(VLOOKUP(EC$72,INDIRECT($C$5&amp;"生成成长"),2))/((VLOOKUP($B102,INDIRECT($B$5&amp;"生成成长"),4))/(VLOOKUP(EC$72,INDIRECT($C$5&amp;"生成成长"),5))*(VLOOKUP($B$5,标准坦克设计!$B$24:$U$30,MATCH("对"&amp;LEFT($C$5,2)&amp;"输出",标准坦克设计!$B$23:$U$23,0)))*(VLOOKUP($B102,INDIRECT($B$5&amp;"生成成长"),3))*(VLOOKUP($B$5,标准坦克设计!$B$14:$K$20,9)/30))</f>
        <v>6.6836871229363535</v>
      </c>
      <c r="ED102" s="172">
        <f ca="1">(VLOOKUP(ED$72,INDIRECT($C$5&amp;"生成成长"),2))/((VLOOKUP($B102,INDIRECT($B$5&amp;"生成成长"),4))/(VLOOKUP(ED$72,INDIRECT($C$5&amp;"生成成长"),5))*(VLOOKUP($B$5,标准坦克设计!$B$24:$U$30,MATCH("对"&amp;LEFT($C$5,2)&amp;"输出",标准坦克设计!$B$23:$U$23,0)))*(VLOOKUP($B102,INDIRECT($B$5&amp;"生成成长"),3))*(VLOOKUP($B$5,标准坦克设计!$B$14:$K$20,9)/30))</f>
        <v>7.2748867485104531</v>
      </c>
      <c r="EE102" s="172">
        <f ca="1">(VLOOKUP(EE$72,INDIRECT($C$5&amp;"生成成长"),2))/((VLOOKUP($B102,INDIRECT($B$5&amp;"生成成长"),4))/(VLOOKUP(EE$72,INDIRECT($C$5&amp;"生成成长"),5))*(VLOOKUP($B$5,标准坦克设计!$B$24:$U$30,MATCH("对"&amp;LEFT($C$5,2)&amp;"输出",标准坦克设计!$B$23:$U$23,0)))*(VLOOKUP($B102,INDIRECT($B$5&amp;"生成成长"),3))*(VLOOKUP($B$5,标准坦克设计!$B$14:$K$20,9)/30))</f>
        <v>7.8911372056766771</v>
      </c>
      <c r="EF102" s="172">
        <f ca="1">(VLOOKUP(EF$72,INDIRECT($C$5&amp;"生成成长"),2))/((VLOOKUP($B102,INDIRECT($B$5&amp;"生成成长"),4))/(VLOOKUP(EF$72,INDIRECT($C$5&amp;"生成成长"),5))*(VLOOKUP($B$5,标准坦克设计!$B$24:$U$30,MATCH("对"&amp;LEFT($C$5,2)&amp;"输出",标准坦克设计!$B$23:$U$23,0)))*(VLOOKUP($B102,INDIRECT($B$5&amp;"生成成长"),3))*(VLOOKUP($B$5,标准坦克设计!$B$14:$K$20,9)/30))</f>
        <v>8.5324384944350236</v>
      </c>
      <c r="EG102" s="172">
        <f ca="1">(VLOOKUP(EG$72,INDIRECT($C$5&amp;"生成成长"),2))/((VLOOKUP($B102,INDIRECT($B$5&amp;"生成成长"),4))/(VLOOKUP(EG$72,INDIRECT($C$5&amp;"生成成长"),5))*(VLOOKUP($B$5,标准坦克设计!$B$24:$U$30,MATCH("对"&amp;LEFT($C$5,2)&amp;"输出",标准坦克设计!$B$23:$U$23,0)))*(VLOOKUP($B102,INDIRECT($B$5&amp;"生成成长"),3))*(VLOOKUP($B$5,标准坦克设计!$B$14:$K$20,9)/30))</f>
        <v>9.1987906147854925</v>
      </c>
      <c r="EH102" s="172">
        <f ca="1">(VLOOKUP(EH$72,INDIRECT($C$5&amp;"生成成长"),2))/((VLOOKUP($B102,INDIRECT($B$5&amp;"生成成长"),4))/(VLOOKUP(EH$72,INDIRECT($C$5&amp;"生成成长"),5))*(VLOOKUP($B$5,标准坦克设计!$B$24:$U$30,MATCH("对"&amp;LEFT($C$5,2)&amp;"输出",标准坦克设计!$B$23:$U$23,0)))*(VLOOKUP($B102,INDIRECT($B$5&amp;"生成成长"),3))*(VLOOKUP($B$5,标准坦克设计!$B$14:$K$20,9)/30))</f>
        <v>9.8901935667280849</v>
      </c>
      <c r="EI102" s="172">
        <f ca="1">(VLOOKUP(EI$72,INDIRECT($C$5&amp;"生成成长"),2))/((VLOOKUP($B102,INDIRECT($B$5&amp;"生成成长"),4))/(VLOOKUP(EI$72,INDIRECT($C$5&amp;"生成成长"),5))*(VLOOKUP($B$5,标准坦克设计!$B$24:$U$30,MATCH("对"&amp;LEFT($C$5,2)&amp;"输出",标准坦克设计!$B$23:$U$23,0)))*(VLOOKUP($B102,INDIRECT($B$5&amp;"生成成长"),3))*(VLOOKUP($B$5,标准坦克设计!$B$14:$K$20,9)/30))</f>
        <v>10.606647350262799</v>
      </c>
      <c r="EJ102" s="172">
        <f ca="1">(VLOOKUP(EJ$72,INDIRECT($C$5&amp;"生成成长"),2))/((VLOOKUP($B102,INDIRECT($B$5&amp;"生成成长"),4))/(VLOOKUP(EJ$72,INDIRECT($C$5&amp;"生成成长"),5))*(VLOOKUP($B$5,标准坦克设计!$B$24:$U$30,MATCH("对"&amp;LEFT($C$5,2)&amp;"输出",标准坦克设计!$B$23:$U$23,0)))*(VLOOKUP($B102,INDIRECT($B$5&amp;"生成成长"),3))*(VLOOKUP($B$5,标准坦克设计!$B$14:$K$20,9)/30))</f>
        <v>11.34815196538964</v>
      </c>
      <c r="EK102" s="172">
        <f ca="1">(VLOOKUP(EK$72,INDIRECT($C$5&amp;"生成成长"),2))/((VLOOKUP($B102,INDIRECT($B$5&amp;"生成成长"),4))/(VLOOKUP(EK$72,INDIRECT($C$5&amp;"生成成长"),5))*(VLOOKUP($B$5,标准坦克设计!$B$24:$U$30,MATCH("对"&amp;LEFT($C$5,2)&amp;"输出",标准坦克设计!$B$23:$U$23,0)))*(VLOOKUP($B102,INDIRECT($B$5&amp;"生成成长"),3))*(VLOOKUP($B$5,标准坦克设计!$B$14:$K$20,9)/30))</f>
        <v>12.271024601243445</v>
      </c>
      <c r="EL102" s="172">
        <f ca="1">(VLOOKUP(EL$72,INDIRECT($C$5&amp;"生成成长"),2))/((VLOOKUP($B102,INDIRECT($B$5&amp;"生成成长"),4))/(VLOOKUP(EL$72,INDIRECT($C$5&amp;"生成成长"),5))*(VLOOKUP($B$5,标准坦克设计!$B$24:$U$30,MATCH("对"&amp;LEFT($C$5,2)&amp;"输出",标准坦克设计!$B$23:$U$23,0)))*(VLOOKUP($B102,INDIRECT($B$5&amp;"生成成长"),3))*(VLOOKUP($B$5,标准坦克设计!$B$14:$K$20,9)/30))</f>
        <v>13.229970434589911</v>
      </c>
      <c r="EM102" s="172">
        <f ca="1">(VLOOKUP(EM$72,INDIRECT($C$5&amp;"生成成长"),2))/((VLOOKUP($B102,INDIRECT($B$5&amp;"生成成长"),4))/(VLOOKUP(EM$72,INDIRECT($C$5&amp;"生成成长"),5))*(VLOOKUP($B$5,标准坦克设计!$B$24:$U$30,MATCH("对"&amp;LEFT($C$5,2)&amp;"输出",标准坦克设计!$B$23:$U$23,0)))*(VLOOKUP($B102,INDIRECT($B$5&amp;"生成成长"),3))*(VLOOKUP($B$5,标准坦克设计!$B$14:$K$20,9)/30))</f>
        <v>14.224989465429035</v>
      </c>
      <c r="EN102" s="172">
        <f ca="1">(VLOOKUP(EN$72,INDIRECT($C$5&amp;"生成成长"),2))/((VLOOKUP($B102,INDIRECT($B$5&amp;"生成成长"),4))/(VLOOKUP(EN$72,INDIRECT($C$5&amp;"生成成长"),5))*(VLOOKUP($B$5,标准坦克设计!$B$24:$U$30,MATCH("对"&amp;LEFT($C$5,2)&amp;"输出",标准坦克设计!$B$23:$U$23,0)))*(VLOOKUP($B102,INDIRECT($B$5&amp;"生成成长"),3))*(VLOOKUP($B$5,标准坦克设计!$B$14:$K$20,9)/30))</f>
        <v>15.256081693760811</v>
      </c>
      <c r="EO102" s="172">
        <f ca="1">(VLOOKUP(EO$72,INDIRECT($C$5&amp;"生成成长"),2))/((VLOOKUP($B102,INDIRECT($B$5&amp;"生成成长"),4))/(VLOOKUP(EO$72,INDIRECT($C$5&amp;"生成成长"),5))*(VLOOKUP($B$5,标准坦克设计!$B$24:$U$30,MATCH("对"&amp;LEFT($C$5,2)&amp;"输出",标准坦克设计!$B$23:$U$23,0)))*(VLOOKUP($B102,INDIRECT($B$5&amp;"生成成长"),3))*(VLOOKUP($B$5,标准坦克设计!$B$14:$K$20,9)/30))</f>
        <v>16.323247119585247</v>
      </c>
      <c r="EP102" s="172">
        <f ca="1">(VLOOKUP(EP$72,INDIRECT($C$5&amp;"生成成长"),2))/((VLOOKUP($B102,INDIRECT($B$5&amp;"生成成长"),4))/(VLOOKUP(EP$72,INDIRECT($C$5&amp;"生成成长"),5))*(VLOOKUP($B$5,标准坦克设计!$B$24:$U$30,MATCH("对"&amp;LEFT($C$5,2)&amp;"输出",标准坦克设计!$B$23:$U$23,0)))*(VLOOKUP($B102,INDIRECT($B$5&amp;"生成成长"),3))*(VLOOKUP($B$5,标准坦克设计!$B$14:$K$20,9)/30))</f>
        <v>17.426485742902337</v>
      </c>
      <c r="EQ102" s="172">
        <f ca="1">(VLOOKUP(EQ$72,INDIRECT($C$5&amp;"生成成长"),2))/((VLOOKUP($B102,INDIRECT($B$5&amp;"生成成长"),4))/(VLOOKUP(EQ$72,INDIRECT($C$5&amp;"生成成长"),5))*(VLOOKUP($B$5,标准坦克设计!$B$24:$U$30,MATCH("对"&amp;LEFT($C$5,2)&amp;"输出",标准坦克设计!$B$23:$U$23,0)))*(VLOOKUP($B102,INDIRECT($B$5&amp;"生成成长"),3))*(VLOOKUP($B$5,标准坦克设计!$B$14:$K$20,9)/30))</f>
        <v>7.7036317312096365</v>
      </c>
      <c r="ER102" s="172">
        <f ca="1">(VLOOKUP(ER$72,INDIRECT($C$5&amp;"生成成长"),2))/((VLOOKUP($B102,INDIRECT($B$5&amp;"生成成长"),4))/(VLOOKUP(ER$72,INDIRECT($C$5&amp;"生成成长"),5))*(VLOOKUP($B$5,标准坦克设计!$B$24:$U$30,MATCH("对"&amp;LEFT($C$5,2)&amp;"输出",标准坦克设计!$B$23:$U$23,0)))*(VLOOKUP($B102,INDIRECT($B$5&amp;"生成成长"),3))*(VLOOKUP($B$5,标准坦克设计!$B$14:$K$20,9)/30))</f>
        <v>8.402174170155984</v>
      </c>
      <c r="ES102" s="172">
        <f ca="1">(VLOOKUP(ES$72,INDIRECT($C$5&amp;"生成成长"),2))/((VLOOKUP($B102,INDIRECT($B$5&amp;"生成成长"),4))/(VLOOKUP(ES$72,INDIRECT($C$5&amp;"生成成长"),5))*(VLOOKUP($B$5,标准坦克设计!$B$24:$U$30,MATCH("对"&amp;LEFT($C$5,2)&amp;"输出",标准坦克设计!$B$23:$U$23,0)))*(VLOOKUP($B102,INDIRECT($B$5&amp;"生成成长"),3))*(VLOOKUP($B$5,标准坦克设计!$B$14:$K$20,9)/30))</f>
        <v>9.1310281153287995</v>
      </c>
      <c r="ET102" s="172">
        <f ca="1">(VLOOKUP(ET$72,INDIRECT($C$5&amp;"生成成长"),2))/((VLOOKUP($B102,INDIRECT($B$5&amp;"生成成长"),4))/(VLOOKUP(ET$72,INDIRECT($C$5&amp;"生成成长"),5))*(VLOOKUP($B$5,标准坦克设计!$B$24:$U$30,MATCH("对"&amp;LEFT($C$5,2)&amp;"输出",标准坦克设计!$B$23:$U$23,0)))*(VLOOKUP($B102,INDIRECT($B$5&amp;"生成成长"),3))*(VLOOKUP($B$5,标准坦克设计!$B$14:$K$20,9)/30))</f>
        <v>9.8901935667280849</v>
      </c>
      <c r="EU102" s="172">
        <f ca="1">(VLOOKUP(EU$72,INDIRECT($C$5&amp;"生成成长"),2))/((VLOOKUP($B102,INDIRECT($B$5&amp;"生成成长"),4))/(VLOOKUP(EU$72,INDIRECT($C$5&amp;"生成成长"),5))*(VLOOKUP($B$5,标准坦克设计!$B$24:$U$30,MATCH("对"&amp;LEFT($C$5,2)&amp;"输出",标准坦克设计!$B$23:$U$23,0)))*(VLOOKUP($B102,INDIRECT($B$5&amp;"生成成长"),3))*(VLOOKUP($B$5,标准坦克设计!$B$14:$K$20,9)/30))</f>
        <v>10.679670524353837</v>
      </c>
      <c r="EV102" s="172">
        <f ca="1">(VLOOKUP(EV$72,INDIRECT($C$5&amp;"生成成长"),2))/((VLOOKUP($B102,INDIRECT($B$5&amp;"生成成长"),4))/(VLOOKUP(EV$72,INDIRECT($C$5&amp;"生成成长"),5))*(VLOOKUP($B$5,标准坦克设计!$B$24:$U$30,MATCH("对"&amp;LEFT($C$5,2)&amp;"输出",标准坦克设计!$B$23:$U$23,0)))*(VLOOKUP($B102,INDIRECT($B$5&amp;"生成成长"),3))*(VLOOKUP($B$5,标准坦克设计!$B$14:$K$20,9)/30))</f>
        <v>11.499458988206062</v>
      </c>
      <c r="EW102" s="172">
        <f ca="1">(VLOOKUP(EW$72,INDIRECT($C$5&amp;"生成成长"),2))/((VLOOKUP($B102,INDIRECT($B$5&amp;"生成成长"),4))/(VLOOKUP(EW$72,INDIRECT($C$5&amp;"生成成长"),5))*(VLOOKUP($B$5,标准坦克设计!$B$24:$U$30,MATCH("对"&amp;LEFT($C$5,2)&amp;"输出",标准坦克设计!$B$23:$U$23,0)))*(VLOOKUP($B102,INDIRECT($B$5&amp;"生成成长"),3))*(VLOOKUP($B$5,标准坦克设计!$B$14:$K$20,9)/30))</f>
        <v>12.349558958284751</v>
      </c>
      <c r="EX102" s="172">
        <f ca="1">(VLOOKUP(EX$72,INDIRECT($C$5&amp;"生成成长"),2))/((VLOOKUP($B102,INDIRECT($B$5&amp;"生成成长"),4))/(VLOOKUP(EX$72,INDIRECT($C$5&amp;"生成成长"),5))*(VLOOKUP($B$5,标准坦克设计!$B$24:$U$30,MATCH("对"&amp;LEFT($C$5,2)&amp;"输出",标准坦克设计!$B$23:$U$23,0)))*(VLOOKUP($B102,INDIRECT($B$5&amp;"生成成长"),3))*(VLOOKUP($B$5,标准坦克设计!$B$14:$K$20,9)/30))</f>
        <v>13.229970434589911</v>
      </c>
      <c r="EY102" s="172">
        <f ca="1">(VLOOKUP(EY$72,INDIRECT($C$5&amp;"生成成长"),2))/((VLOOKUP($B102,INDIRECT($B$5&amp;"生成成长"),4))/(VLOOKUP(EY$72,INDIRECT($C$5&amp;"生成成长"),5))*(VLOOKUP($B$5,标准坦克设计!$B$24:$U$30,MATCH("对"&amp;LEFT($C$5,2)&amp;"输出",标准坦克设计!$B$23:$U$23,0)))*(VLOOKUP($B102,INDIRECT($B$5&amp;"生成成长"),3))*(VLOOKUP($B$5,标准坦克设计!$B$14:$K$20,9)/30))</f>
        <v>14.14069341712154</v>
      </c>
      <c r="EZ102" s="172">
        <f ca="1">(VLOOKUP(EZ$72,INDIRECT($C$5&amp;"生成成长"),2))/((VLOOKUP($B102,INDIRECT($B$5&amp;"生成成长"),4))/(VLOOKUP(EZ$72,INDIRECT($C$5&amp;"生成成长"),5))*(VLOOKUP($B$5,标准坦克设计!$B$24:$U$30,MATCH("对"&amp;LEFT($C$5,2)&amp;"输出",标准坦克设计!$B$23:$U$23,0)))*(VLOOKUP($B102,INDIRECT($B$5&amp;"生成成长"),3))*(VLOOKUP($B$5,标准坦克设计!$B$14:$K$20,9)/30))</f>
        <v>15.081727905879637</v>
      </c>
      <c r="FA102" s="172">
        <f ca="1">(VLOOKUP(FA$72,INDIRECT($C$5&amp;"生成成长"),2))/((VLOOKUP($B102,INDIRECT($B$5&amp;"生成成长"),4))/(VLOOKUP(FA$72,INDIRECT($C$5&amp;"生成成长"),5))*(VLOOKUP($B$5,标准坦克设计!$B$24:$U$30,MATCH("对"&amp;LEFT($C$5,2)&amp;"输出",标准坦克设计!$B$23:$U$23,0)))*(VLOOKUP($B102,INDIRECT($B$5&amp;"生成成长"),3))*(VLOOKUP($B$5,标准坦克设计!$B$14:$K$20,9)/30))</f>
        <v>16.053073900864202</v>
      </c>
      <c r="FB102" s="172">
        <f ca="1">(VLOOKUP(FB$72,INDIRECT($C$5&amp;"生成成长"),2))/((VLOOKUP($B102,INDIRECT($B$5&amp;"生成成长"),4))/(VLOOKUP(FB$72,INDIRECT($C$5&amp;"生成成长"),5))*(VLOOKUP($B$5,标准坦克设计!$B$24:$U$30,MATCH("对"&amp;LEFT($C$5,2)&amp;"输出",标准坦克设计!$B$23:$U$23,0)))*(VLOOKUP($B102,INDIRECT($B$5&amp;"生成成长"),3))*(VLOOKUP($B$5,标准坦克设计!$B$14:$K$20,9)/30))</f>
        <v>17.054731402075234</v>
      </c>
      <c r="FC102" s="172">
        <f ca="1">(VLOOKUP(FC$72,INDIRECT($C$5&amp;"生成成长"),2))/((VLOOKUP($B102,INDIRECT($B$5&amp;"生成成长"),4))/(VLOOKUP(FC$72,INDIRECT($C$5&amp;"生成成长"),5))*(VLOOKUP($B$5,标准坦克设计!$B$24:$U$30,MATCH("对"&amp;LEFT($C$5,2)&amp;"输出",标准坦克设计!$B$23:$U$23,0)))*(VLOOKUP($B102,INDIRECT($B$5&amp;"生成成长"),3))*(VLOOKUP($B$5,标准坦克设计!$B$14:$K$20,9)/30))</f>
        <v>18.086700409512741</v>
      </c>
      <c r="FD102" s="172">
        <f ca="1">(VLOOKUP(FD$72,INDIRECT($C$5&amp;"生成成长"),2))/((VLOOKUP($B102,INDIRECT($B$5&amp;"生成成长"),4))/(VLOOKUP(FD$72,INDIRECT($C$5&amp;"生成成长"),5))*(VLOOKUP($B$5,标准坦克设计!$B$24:$U$30,MATCH("对"&amp;LEFT($C$5,2)&amp;"输出",标准坦克设计!$B$23:$U$23,0)))*(VLOOKUP($B102,INDIRECT($B$5&amp;"生成成长"),3))*(VLOOKUP($B$5,标准坦克设计!$B$14:$K$20,9)/30))</f>
        <v>19.148980923176712</v>
      </c>
      <c r="FE102" s="172">
        <f ca="1">(VLOOKUP(FE$72,INDIRECT($C$5&amp;"生成成长"),2))/((VLOOKUP($B102,INDIRECT($B$5&amp;"生成成长"),4))/(VLOOKUP(FE$72,INDIRECT($C$5&amp;"生成成长"),5))*(VLOOKUP($B$5,标准坦克设计!$B$24:$U$30,MATCH("对"&amp;LEFT($C$5,2)&amp;"输出",标准坦克设计!$B$23:$U$23,0)))*(VLOOKUP($B102,INDIRECT($B$5&amp;"生成成长"),3))*(VLOOKUP($B$5,标准坦克设计!$B$14:$K$20,9)/30))</f>
        <v>20.44348264569966</v>
      </c>
      <c r="FF102" s="172">
        <f ca="1">(VLOOKUP(FF$72,INDIRECT($C$5&amp;"生成成长"),2))/((VLOOKUP($B102,INDIRECT($B$5&amp;"生成成长"),4))/(VLOOKUP(FF$72,INDIRECT($C$5&amp;"生成成长"),5))*(VLOOKUP($B$5,标准坦克设计!$B$24:$U$30,MATCH("对"&amp;LEFT($C$5,2)&amp;"输出",标准坦克设计!$B$23:$U$23,0)))*(VLOOKUP($B102,INDIRECT($B$5&amp;"生成成长"),3))*(VLOOKUP($B$5,标准坦克设计!$B$14:$K$20,9)/30))</f>
        <v>21.780320273613302</v>
      </c>
      <c r="FG102" s="172">
        <f ca="1">(VLOOKUP(FG$72,INDIRECT($C$5&amp;"生成成长"),2))/((VLOOKUP($B102,INDIRECT($B$5&amp;"生成成长"),4))/(VLOOKUP(FG$72,INDIRECT($C$5&amp;"生成成长"),5))*(VLOOKUP($B$5,标准坦克设计!$B$24:$U$30,MATCH("对"&amp;LEFT($C$5,2)&amp;"输出",标准坦克设计!$B$23:$U$23,0)))*(VLOOKUP($B102,INDIRECT($B$5&amp;"生成成长"),3))*(VLOOKUP($B$5,标准坦克设计!$B$14:$K$20,9)/30))</f>
        <v>23.159493806917631</v>
      </c>
      <c r="FH102" s="172">
        <f ca="1">(VLOOKUP(FH$72,INDIRECT($C$5&amp;"生成成长"),2))/((VLOOKUP($B102,INDIRECT($B$5&amp;"生成成长"),4))/(VLOOKUP(FH$72,INDIRECT($C$5&amp;"生成成长"),5))*(VLOOKUP($B$5,标准坦克设计!$B$24:$U$30,MATCH("对"&amp;LEFT($C$5,2)&amp;"输出",标准坦克设计!$B$23:$U$23,0)))*(VLOOKUP($B102,INDIRECT($B$5&amp;"生成成长"),3))*(VLOOKUP($B$5,标准坦克设计!$B$14:$K$20,9)/30))</f>
        <v>24.581003245612642</v>
      </c>
      <c r="FI102" s="172">
        <f ca="1">(VLOOKUP(FI$72,INDIRECT($C$5&amp;"生成成长"),2))/((VLOOKUP($B102,INDIRECT($B$5&amp;"生成成长"),4))/(VLOOKUP(FI$72,INDIRECT($C$5&amp;"生成成长"),5))*(VLOOKUP($B$5,标准坦克设计!$B$24:$U$30,MATCH("对"&amp;LEFT($C$5,2)&amp;"输出",标准坦克设计!$B$23:$U$23,0)))*(VLOOKUP($B102,INDIRECT($B$5&amp;"生成成长"),3))*(VLOOKUP($B$5,标准坦克设计!$B$14:$K$20,9)/30))</f>
        <v>26.044848589698347</v>
      </c>
      <c r="FJ102" s="172">
        <f ca="1">(VLOOKUP(FJ$72,INDIRECT($C$5&amp;"生成成长"),2))/((VLOOKUP($B102,INDIRECT($B$5&amp;"生成成长"),4))/(VLOOKUP(FJ$72,INDIRECT($C$5&amp;"生成成长"),5))*(VLOOKUP($B$5,标准坦克设计!$B$24:$U$30,MATCH("对"&amp;LEFT($C$5,2)&amp;"输出",标准坦克设计!$B$23:$U$23,0)))*(VLOOKUP($B102,INDIRECT($B$5&amp;"生成成长"),3))*(VLOOKUP($B$5,标准坦克设计!$B$14:$K$20,9)/30))</f>
        <v>27.551029839174731</v>
      </c>
      <c r="FK102" s="172">
        <f ca="1">(VLOOKUP(FK$72,INDIRECT($C$5&amp;"生成成长"),2))/((VLOOKUP($B102,INDIRECT($B$5&amp;"生成成长"),4))/(VLOOKUP(FK$72,INDIRECT($C$5&amp;"生成成长"),5))*(VLOOKUP($B$5,标准坦克设计!$B$24:$U$30,MATCH("对"&amp;LEFT($C$5,2)&amp;"输出",标准坦克设计!$B$23:$U$23,0)))*(VLOOKUP($B102,INDIRECT($B$5&amp;"生成成长"),3))*(VLOOKUP($B$5,标准坦克设计!$B$14:$K$20,9)/30))</f>
        <v>29.099546994041813</v>
      </c>
    </row>
    <row r="103" spans="1:167" x14ac:dyDescent="0.15">
      <c r="A103" s="170" t="str">
        <f t="shared" si="11"/>
        <v>T4低品质10级</v>
      </c>
      <c r="B103" s="171">
        <v>10410</v>
      </c>
      <c r="C103" s="172">
        <f ca="1">(VLOOKUP(C$72,INDIRECT($C$5&amp;"生成成长"),2))/((VLOOKUP($B103,INDIRECT($B$5&amp;"生成成长"),4))/(VLOOKUP(C$72,INDIRECT($C$5&amp;"生成成长"),5))*(VLOOKUP($B$5,标准坦克设计!$B$24:$U$30,MATCH("对"&amp;LEFT($C$5,2)&amp;"输出",标准坦克设计!$B$23:$U$23,0)))*(VLOOKUP($B103,INDIRECT($B$5&amp;"生成成长"),3))*(VLOOKUP($B$5,标准坦克设计!$B$14:$K$20,9)/30))</f>
        <v>1.1610309002822563</v>
      </c>
      <c r="D103" s="172">
        <f ca="1">(VLOOKUP(D$72,INDIRECT($C$5&amp;"生成成长"),2))/((VLOOKUP($B103,INDIRECT($B$5&amp;"生成成长"),4))/(VLOOKUP(D$72,INDIRECT($C$5&amp;"生成成长"),5))*(VLOOKUP($B$5,标准坦克设计!$B$24:$U$30,MATCH("对"&amp;LEFT($C$5,2)&amp;"输出",标准坦克设计!$B$23:$U$23,0)))*(VLOOKUP($B103,INDIRECT($B$5&amp;"生成成长"),3))*(VLOOKUP($B$5,标准坦克设计!$B$14:$K$20,9)/30))</f>
        <v>1.3045343195571431</v>
      </c>
      <c r="E103" s="172">
        <f ca="1">(VLOOKUP(E$72,INDIRECT($C$5&amp;"生成成长"),2))/((VLOOKUP($B103,INDIRECT($B$5&amp;"生成成长"),4))/(VLOOKUP(E$72,INDIRECT($C$5&amp;"生成成长"),5))*(VLOOKUP($B$5,标准坦克设计!$B$24:$U$30,MATCH("对"&amp;LEFT($C$5,2)&amp;"输出",标准坦克设计!$B$23:$U$23,0)))*(VLOOKUP($B103,INDIRECT($B$5&amp;"生成成长"),3))*(VLOOKUP($B$5,标准坦克设计!$B$14:$K$20,9)/30))</f>
        <v>1.4563971613140625</v>
      </c>
      <c r="F103" s="172">
        <f ca="1">(VLOOKUP(F$72,INDIRECT($C$5&amp;"生成成长"),2))/((VLOOKUP($B103,INDIRECT($B$5&amp;"生成成长"),4))/(VLOOKUP(F$72,INDIRECT($C$5&amp;"生成成长"),5))*(VLOOKUP($B$5,标准坦克设计!$B$24:$U$30,MATCH("对"&amp;LEFT($C$5,2)&amp;"输出",标准坦克设计!$B$23:$U$23,0)))*(VLOOKUP($B103,INDIRECT($B$5&amp;"生成成长"),3))*(VLOOKUP($B$5,标准坦克设计!$B$14:$K$20,9)/30))</f>
        <v>1.6166194255530137</v>
      </c>
      <c r="G103" s="172">
        <f ca="1">(VLOOKUP(G$72,INDIRECT($C$5&amp;"生成成长"),2))/((VLOOKUP($B103,INDIRECT($B$5&amp;"生成成长"),4))/(VLOOKUP(G$72,INDIRECT($C$5&amp;"生成成长"),5))*(VLOOKUP($B$5,标准坦克设计!$B$24:$U$30,MATCH("对"&amp;LEFT($C$5,2)&amp;"输出",标准坦克设计!$B$23:$U$23,0)))*(VLOOKUP($B103,INDIRECT($B$5&amp;"生成成长"),3))*(VLOOKUP($B$5,标准坦克设计!$B$14:$K$20,9)/30))</f>
        <v>1.7852011122739972</v>
      </c>
      <c r="H103" s="172">
        <f ca="1">(VLOOKUP(H$72,INDIRECT($C$5&amp;"生成成长"),2))/((VLOOKUP($B103,INDIRECT($B$5&amp;"生成成长"),4))/(VLOOKUP(H$72,INDIRECT($C$5&amp;"生成成长"),5))*(VLOOKUP($B$5,标准坦克设计!$B$24:$U$30,MATCH("对"&amp;LEFT($C$5,2)&amp;"输出",标准坦克设计!$B$23:$U$23,0)))*(VLOOKUP($B103,INDIRECT($B$5&amp;"生成成长"),3))*(VLOOKUP($B$5,标准坦克设计!$B$14:$K$20,9)/30))</f>
        <v>1.562283179419804</v>
      </c>
      <c r="I103" s="172">
        <f ca="1">(VLOOKUP(I$72,INDIRECT($C$5&amp;"生成成长"),2))/((VLOOKUP($B103,INDIRECT($B$5&amp;"生成成长"),4))/(VLOOKUP(I$72,INDIRECT($C$5&amp;"生成成长"),5))*(VLOOKUP($B$5,标准坦克设计!$B$24:$U$30,MATCH("对"&amp;LEFT($C$5,2)&amp;"输出",标准坦克设计!$B$23:$U$23,0)))*(VLOOKUP($B103,INDIRECT($B$5&amp;"生成成长"),3))*(VLOOKUP($B$5,标准坦克设计!$B$14:$K$20,9)/30))</f>
        <v>1.7852011122739972</v>
      </c>
      <c r="J103" s="172">
        <f ca="1">(VLOOKUP(J$72,INDIRECT($C$5&amp;"生成成长"),2))/((VLOOKUP($B103,INDIRECT($B$5&amp;"生成成长"),4))/(VLOOKUP(J$72,INDIRECT($C$5&amp;"生成成长"),5))*(VLOOKUP($B$5,标准坦克设计!$B$24:$U$30,MATCH("对"&amp;LEFT($C$5,2)&amp;"输出",标准坦克设计!$B$23:$U$23,0)))*(VLOOKUP($B103,INDIRECT($B$5&amp;"生成成长"),3))*(VLOOKUP($B$5,标准坦克设计!$B$14:$K$20,9)/30))</f>
        <v>2.0229802406518034</v>
      </c>
      <c r="K103" s="172">
        <f ca="1">(VLOOKUP(K$72,INDIRECT($C$5&amp;"生成成长"),2))/((VLOOKUP($B103,INDIRECT($B$5&amp;"生成成长"),4))/(VLOOKUP(K$72,INDIRECT($C$5&amp;"生成成长"),5))*(VLOOKUP($B$5,标准坦克设计!$B$24:$U$30,MATCH("对"&amp;LEFT($C$5,2)&amp;"输出",标准坦克设计!$B$23:$U$23,0)))*(VLOOKUP($B103,INDIRECT($B$5&amp;"生成成长"),3))*(VLOOKUP($B$5,标准坦克设计!$B$14:$K$20,9)/30))</f>
        <v>2.2756205645532228</v>
      </c>
      <c r="L103" s="172">
        <f ca="1">(VLOOKUP(L$72,INDIRECT($C$5&amp;"生成成长"),2))/((VLOOKUP($B103,INDIRECT($B$5&amp;"生成成长"),4))/(VLOOKUP(L$72,INDIRECT($C$5&amp;"生成成长"),5))*(VLOOKUP($B$5,标准坦克设计!$B$24:$U$30,MATCH("对"&amp;LEFT($C$5,2)&amp;"输出",标准坦克设计!$B$23:$U$23,0)))*(VLOOKUP($B103,INDIRECT($B$5&amp;"生成成长"),3))*(VLOOKUP($B$5,标准坦克设计!$B$14:$K$20,9)/30))</f>
        <v>2.5431220839782545</v>
      </c>
      <c r="M103" s="172">
        <f ca="1">(VLOOKUP(M$72,INDIRECT($C$5&amp;"生成成长"),2))/((VLOOKUP($B103,INDIRECT($B$5&amp;"生成成长"),4))/(VLOOKUP(M$72,INDIRECT($C$5&amp;"生成成长"),5))*(VLOOKUP($B$5,标准坦克设计!$B$24:$U$30,MATCH("对"&amp;LEFT($C$5,2)&amp;"输出",标准坦克设计!$B$23:$U$23,0)))*(VLOOKUP($B103,INDIRECT($B$5&amp;"生成成长"),3))*(VLOOKUP($B$5,标准坦克设计!$B$14:$K$20,9)/30))</f>
        <v>2.8254847989268987</v>
      </c>
      <c r="N103" s="172">
        <f ca="1">(VLOOKUP(N$72,INDIRECT($C$5&amp;"生成成长"),2))/((VLOOKUP($B103,INDIRECT($B$5&amp;"生成成长"),4))/(VLOOKUP(N$72,INDIRECT($C$5&amp;"生成成长"),5))*(VLOOKUP($B$5,标准坦克设计!$B$24:$U$30,MATCH("对"&amp;LEFT($C$5,2)&amp;"输出",标准坦克设计!$B$23:$U$23,0)))*(VLOOKUP($B103,INDIRECT($B$5&amp;"生成成长"),3))*(VLOOKUP($B$5,标准坦克设计!$B$14:$K$20,9)/30))</f>
        <v>3.122708709399157</v>
      </c>
      <c r="O103" s="172">
        <f ca="1">(VLOOKUP(O$72,INDIRECT($C$5&amp;"生成成长"),2))/((VLOOKUP($B103,INDIRECT($B$5&amp;"生成成长"),4))/(VLOOKUP(O$72,INDIRECT($C$5&amp;"生成成长"),5))*(VLOOKUP($B$5,标准坦克设计!$B$24:$U$30,MATCH("对"&amp;LEFT($C$5,2)&amp;"输出",标准坦克设计!$B$23:$U$23,0)))*(VLOOKUP($B103,INDIRECT($B$5&amp;"生成成长"),3))*(VLOOKUP($B$5,标准坦克设计!$B$14:$K$20,9)/30))</f>
        <v>2.3741920879871858</v>
      </c>
      <c r="P103" s="172">
        <f ca="1">(VLOOKUP(P$72,INDIRECT($C$5&amp;"生成成长"),2))/((VLOOKUP($B103,INDIRECT($B$5&amp;"生成成长"),4))/(VLOOKUP(P$72,INDIRECT($C$5&amp;"生成成长"),5))*(VLOOKUP($B$5,标准坦克设计!$B$24:$U$30,MATCH("对"&amp;LEFT($C$5,2)&amp;"输出",标准坦克设计!$B$23:$U$23,0)))*(VLOOKUP($B103,INDIRECT($B$5&amp;"生成成长"),3))*(VLOOKUP($B$5,标准坦克设计!$B$14:$K$20,9)/30))</f>
        <v>2.6824457920121247</v>
      </c>
      <c r="Q103" s="172">
        <f ca="1">(VLOOKUP(Q$72,INDIRECT($C$5&amp;"生成成长"),2))/((VLOOKUP($B103,INDIRECT($B$5&amp;"生成成长"),4))/(VLOOKUP(Q$72,INDIRECT($C$5&amp;"生成成长"),5))*(VLOOKUP($B$5,标准坦克设计!$B$24:$U$30,MATCH("对"&amp;LEFT($C$5,2)&amp;"输出",标准坦克设计!$B$23:$U$23,0)))*(VLOOKUP($B103,INDIRECT($B$5&amp;"生成成长"),3))*(VLOOKUP($B$5,标准坦克设计!$B$14:$K$20,9)/30))</f>
        <v>3.0095081966216366</v>
      </c>
      <c r="R103" s="172">
        <f ca="1">(VLOOKUP(R$72,INDIRECT($C$5&amp;"生成成长"),2))/((VLOOKUP($B103,INDIRECT($B$5&amp;"生成成长"),4))/(VLOOKUP(R$72,INDIRECT($C$5&amp;"生成成长"),5))*(VLOOKUP($B$5,标准坦克设计!$B$24:$U$30,MATCH("对"&amp;LEFT($C$5,2)&amp;"输出",标准坦克设计!$B$23:$U$23,0)))*(VLOOKUP($B103,INDIRECT($B$5&amp;"生成成长"),3))*(VLOOKUP($B$5,标准坦克设计!$B$14:$K$20,9)/30))</f>
        <v>3.3553793018157201</v>
      </c>
      <c r="S103" s="172">
        <f ca="1">(VLOOKUP(S$72,INDIRECT($C$5&amp;"生成成长"),2))/((VLOOKUP($B103,INDIRECT($B$5&amp;"生成成长"),4))/(VLOOKUP(S$72,INDIRECT($C$5&amp;"生成成长"),5))*(VLOOKUP($B$5,标准坦克设计!$B$24:$U$30,MATCH("对"&amp;LEFT($C$5,2)&amp;"输出",标准坦克设计!$B$23:$U$23,0)))*(VLOOKUP($B103,INDIRECT($B$5&amp;"生成成长"),3))*(VLOOKUP($B$5,标准坦克设计!$B$14:$K$20,9)/30))</f>
        <v>3.7200591075943774</v>
      </c>
      <c r="T103" s="172">
        <f ca="1">(VLOOKUP(T$72,INDIRECT($C$5&amp;"生成成长"),2))/((VLOOKUP($B103,INDIRECT($B$5&amp;"生成成长"),4))/(VLOOKUP(T$72,INDIRECT($C$5&amp;"生成成长"),5))*(VLOOKUP($B$5,标准坦克设计!$B$24:$U$30,MATCH("对"&amp;LEFT($C$5,2)&amp;"输出",标准坦克设计!$B$23:$U$23,0)))*(VLOOKUP($B103,INDIRECT($B$5&amp;"生成成长"),3))*(VLOOKUP($B$5,标准坦克设计!$B$14:$K$20,9)/30))</f>
        <v>4.1035476139576073</v>
      </c>
      <c r="U103" s="172">
        <f ca="1">(VLOOKUP(U$72,INDIRECT($C$5&amp;"生成成长"),2))/((VLOOKUP($B103,INDIRECT($B$5&amp;"生成成长"),4))/(VLOOKUP(U$72,INDIRECT($C$5&amp;"生成成长"),5))*(VLOOKUP($B$5,标准坦克设计!$B$24:$U$30,MATCH("对"&amp;LEFT($C$5,2)&amp;"输出",标准坦克设计!$B$23:$U$23,0)))*(VLOOKUP($B103,INDIRECT($B$5&amp;"生成成长"),3))*(VLOOKUP($B$5,标准坦克设计!$B$14:$K$20,9)/30))</f>
        <v>4.5058448209054083</v>
      </c>
      <c r="V103" s="172">
        <f ca="1">(VLOOKUP(V$72,INDIRECT($C$5&amp;"生成成长"),2))/((VLOOKUP($B103,INDIRECT($B$5&amp;"生成成长"),4))/(VLOOKUP(V$72,INDIRECT($C$5&amp;"生成成长"),5))*(VLOOKUP($B$5,标准坦克设计!$B$24:$U$30,MATCH("对"&amp;LEFT($C$5,2)&amp;"输出",标准坦克设计!$B$23:$U$23,0)))*(VLOOKUP($B103,INDIRECT($B$5&amp;"生成成长"),3))*(VLOOKUP($B$5,标准坦克设计!$B$14:$K$20,9)/30))</f>
        <v>4.9269507284377827</v>
      </c>
      <c r="W103" s="172">
        <f ca="1">(VLOOKUP(W$72,INDIRECT($C$5&amp;"生成成长"),2))/((VLOOKUP($B103,INDIRECT($B$5&amp;"生成成长"),4))/(VLOOKUP(W$72,INDIRECT($C$5&amp;"生成成长"),5))*(VLOOKUP($B$5,标准坦克设计!$B$24:$U$30,MATCH("对"&amp;LEFT($C$5,2)&amp;"输出",标准坦克设计!$B$23:$U$23,0)))*(VLOOKUP($B103,INDIRECT($B$5&amp;"生成成长"),3))*(VLOOKUP($B$5,标准坦克设计!$B$14:$K$20,9)/30))</f>
        <v>5.3668653365547296</v>
      </c>
      <c r="X103" s="172">
        <f ca="1">(VLOOKUP(X$72,INDIRECT($C$5&amp;"生成成长"),2))/((VLOOKUP($B103,INDIRECT($B$5&amp;"生成成长"),4))/(VLOOKUP(X$72,INDIRECT($C$5&amp;"生成成长"),5))*(VLOOKUP($B$5,标准坦克设计!$B$24:$U$30,MATCH("对"&amp;LEFT($C$5,2)&amp;"输出",标准坦克设计!$B$23:$U$23,0)))*(VLOOKUP($B103,INDIRECT($B$5&amp;"生成成长"),3))*(VLOOKUP($B$5,标准坦克设计!$B$14:$K$20,9)/30))</f>
        <v>3.888176381955248</v>
      </c>
      <c r="Y103" s="172">
        <f ca="1">(VLOOKUP(Y$72,INDIRECT($C$5&amp;"生成成长"),2))/((VLOOKUP($B103,INDIRECT($B$5&amp;"生成成长"),4))/(VLOOKUP(Y$72,INDIRECT($C$5&amp;"生成成长"),5))*(VLOOKUP($B$5,标准坦克设计!$B$24:$U$30,MATCH("对"&amp;LEFT($C$5,2)&amp;"输出",标准坦克设计!$B$23:$U$23,0)))*(VLOOKUP($B103,INDIRECT($B$5&amp;"生成成长"),3))*(VLOOKUP($B$5,标准坦克设计!$B$14:$K$20,9)/30))</f>
        <v>4.3247240004613765</v>
      </c>
      <c r="Z103" s="172">
        <f ca="1">(VLOOKUP(Z$72,INDIRECT($C$5&amp;"生成成长"),2))/((VLOOKUP($B103,INDIRECT($B$5&amp;"生成成长"),4))/(VLOOKUP(Z$72,INDIRECT($C$5&amp;"生成成长"),5))*(VLOOKUP($B$5,标准坦克设计!$B$24:$U$30,MATCH("对"&amp;LEFT($C$5,2)&amp;"输出",标准坦克设计!$B$23:$U$23,0)))*(VLOOKUP($B103,INDIRECT($B$5&amp;"生成成长"),3))*(VLOOKUP($B$5,标准坦克设计!$B$14:$K$20,9)/30))</f>
        <v>4.7844922369731497</v>
      </c>
      <c r="AA103" s="172">
        <f ca="1">(VLOOKUP(AA$72,INDIRECT($C$5&amp;"生成成长"),2))/((VLOOKUP($B103,INDIRECT($B$5&amp;"生成成长"),4))/(VLOOKUP(AA$72,INDIRECT($C$5&amp;"生成成长"),5))*(VLOOKUP($B$5,标准坦克设计!$B$24:$U$30,MATCH("对"&amp;LEFT($C$5,2)&amp;"输出",标准坦克设计!$B$23:$U$23,0)))*(VLOOKUP($B103,INDIRECT($B$5&amp;"生成成长"),3))*(VLOOKUP($B$5,标准坦克设计!$B$14:$K$20,9)/30))</f>
        <v>5.267481091490569</v>
      </c>
      <c r="AB103" s="172">
        <f ca="1">(VLOOKUP(AB$72,INDIRECT($C$5&amp;"生成成长"),2))/((VLOOKUP($B103,INDIRECT($B$5&amp;"生成成长"),4))/(VLOOKUP(AB$72,INDIRECT($C$5&amp;"生成成长"),5))*(VLOOKUP($B$5,标准坦克设计!$B$24:$U$30,MATCH("对"&amp;LEFT($C$5,2)&amp;"输出",标准坦克设计!$B$23:$U$23,0)))*(VLOOKUP($B103,INDIRECT($B$5&amp;"生成成长"),3))*(VLOOKUP($B$5,标准坦克设计!$B$14:$K$20,9)/30))</f>
        <v>5.7736905640136325</v>
      </c>
      <c r="AC103" s="172">
        <f ca="1">(VLOOKUP(AC$72,INDIRECT($C$5&amp;"生成成长"),2))/((VLOOKUP($B103,INDIRECT($B$5&amp;"生成成长"),4))/(VLOOKUP(AC$72,INDIRECT($C$5&amp;"生成成长"),5))*(VLOOKUP($B$5,标准坦克设计!$B$24:$U$30,MATCH("对"&amp;LEFT($C$5,2)&amp;"输出",标准坦克设计!$B$23:$U$23,0)))*(VLOOKUP($B103,INDIRECT($B$5&amp;"生成成长"),3))*(VLOOKUP($B$5,标准坦克设计!$B$14:$K$20,9)/30))</f>
        <v>6.3031206545423419</v>
      </c>
      <c r="AD103" s="172">
        <f ca="1">(VLOOKUP(AD$72,INDIRECT($C$5&amp;"生成成长"),2))/((VLOOKUP($B103,INDIRECT($B$5&amp;"生成成长"),4))/(VLOOKUP(AD$72,INDIRECT($C$5&amp;"生成成长"),5))*(VLOOKUP($B$5,标准坦克设计!$B$24:$U$30,MATCH("对"&amp;LEFT($C$5,2)&amp;"输出",标准坦克设计!$B$23:$U$23,0)))*(VLOOKUP($B103,INDIRECT($B$5&amp;"生成成长"),3))*(VLOOKUP($B$5,标准坦克设计!$B$14:$K$20,9)/30))</f>
        <v>6.8557713630766948</v>
      </c>
      <c r="AE103" s="172">
        <f ca="1">(VLOOKUP(AE$72,INDIRECT($C$5&amp;"生成成长"),2))/((VLOOKUP($B103,INDIRECT($B$5&amp;"生成成长"),4))/(VLOOKUP(AE$72,INDIRECT($C$5&amp;"生成成长"),5))*(VLOOKUP($B$5,标准坦克设计!$B$24:$U$30,MATCH("对"&amp;LEFT($C$5,2)&amp;"输出",标准坦克设计!$B$23:$U$23,0)))*(VLOOKUP($B103,INDIRECT($B$5&amp;"生成成长"),3))*(VLOOKUP($B$5,标准坦克设计!$B$14:$K$20,9)/30))</f>
        <v>7.4316426896166945</v>
      </c>
      <c r="AF103" s="172">
        <f ca="1">(VLOOKUP(AF$72,INDIRECT($C$5&amp;"生成成长"),2))/((VLOOKUP($B103,INDIRECT($B$5&amp;"生成成长"),4))/(VLOOKUP(AF$72,INDIRECT($C$5&amp;"生成成长"),5))*(VLOOKUP($B$5,标准坦克设计!$B$24:$U$30,MATCH("对"&amp;LEFT($C$5,2)&amp;"输出",标准坦克设计!$B$23:$U$23,0)))*(VLOOKUP($B103,INDIRECT($B$5&amp;"生成成长"),3))*(VLOOKUP($B$5,标准坦克设计!$B$14:$K$20,9)/30))</f>
        <v>8.0307346341623376</v>
      </c>
      <c r="AG103" s="172">
        <f ca="1">(VLOOKUP(AG$72,INDIRECT($C$5&amp;"生成成长"),2))/((VLOOKUP($B103,INDIRECT($B$5&amp;"生成成长"),4))/(VLOOKUP(AG$72,INDIRECT($C$5&amp;"生成成长"),5))*(VLOOKUP($B$5,标准坦克设计!$B$24:$U$30,MATCH("对"&amp;LEFT($C$5,2)&amp;"输出",标准坦克设计!$B$23:$U$23,0)))*(VLOOKUP($B103,INDIRECT($B$5&amp;"生成成长"),3))*(VLOOKUP($B$5,标准坦克设计!$B$14:$K$20,9)/30))</f>
        <v>8.6530471967136275</v>
      </c>
      <c r="AH103" s="172">
        <f ca="1">(VLOOKUP(AH$72,INDIRECT($C$5&amp;"生成成长"),2))/((VLOOKUP($B103,INDIRECT($B$5&amp;"生成成长"),4))/(VLOOKUP(AH$72,INDIRECT($C$5&amp;"生成成长"),5))*(VLOOKUP($B$5,标准坦克设计!$B$24:$U$30,MATCH("对"&amp;LEFT($C$5,2)&amp;"输出",标准坦克设计!$B$23:$U$23,0)))*(VLOOKUP($B103,INDIRECT($B$5&amp;"生成成长"),3))*(VLOOKUP($B$5,标准坦克设计!$B$14:$K$20,9)/30))</f>
        <v>9.2985803772705626</v>
      </c>
      <c r="AI103" s="172">
        <f ca="1">(VLOOKUP(AI$72,INDIRECT($C$5&amp;"生成成长"),2))/((VLOOKUP($B103,INDIRECT($B$5&amp;"生成成长"),4))/(VLOOKUP(AI$72,INDIRECT($C$5&amp;"生成成长"),5))*(VLOOKUP($B$5,标准坦克设计!$B$24:$U$30,MATCH("对"&amp;LEFT($C$5,2)&amp;"输出",标准坦克设计!$B$23:$U$23,0)))*(VLOOKUP($B103,INDIRECT($B$5&amp;"生成成长"),3))*(VLOOKUP($B$5,标准坦克设计!$B$14:$K$20,9)/30))</f>
        <v>6.5765434315588136</v>
      </c>
      <c r="AJ103" s="172">
        <f ca="1">(VLOOKUP(AJ$72,INDIRECT($C$5&amp;"生成成长"),2))/((VLOOKUP($B103,INDIRECT($B$5&amp;"生成成长"),4))/(VLOOKUP(AJ$72,INDIRECT($C$5&amp;"生成成长"),5))*(VLOOKUP($B$5,标准坦克设计!$B$24:$U$30,MATCH("对"&amp;LEFT($C$5,2)&amp;"输出",标准坦克设计!$B$23:$U$23,0)))*(VLOOKUP($B103,INDIRECT($B$5&amp;"生成成长"),3))*(VLOOKUP($B$5,标准坦克设计!$B$14:$K$20,9)/30))</f>
        <v>7.1985076848400178</v>
      </c>
      <c r="AK103" s="172">
        <f ca="1">(VLOOKUP(AK$72,INDIRECT($C$5&amp;"生成成长"),2))/((VLOOKUP($B103,INDIRECT($B$5&amp;"生成成长"),4))/(VLOOKUP(AK$72,INDIRECT($C$5&amp;"生成成长"),5))*(VLOOKUP($B$5,标准坦克设计!$B$24:$U$30,MATCH("对"&amp;LEFT($C$5,2)&amp;"输出",标准坦克设计!$B$23:$U$23,0)))*(VLOOKUP($B103,INDIRECT($B$5&amp;"生成成长"),3))*(VLOOKUP($B$5,标准坦克设计!$B$14:$K$20,9)/30))</f>
        <v>7.848568885908052</v>
      </c>
      <c r="AL103" s="172">
        <f ca="1">(VLOOKUP(AL$72,INDIRECT($C$5&amp;"生成成长"),2))/((VLOOKUP($B103,INDIRECT($B$5&amp;"生成成长"),4))/(VLOOKUP(AL$72,INDIRECT($C$5&amp;"生成成长"),5))*(VLOOKUP($B$5,标准坦克设计!$B$24:$U$30,MATCH("对"&amp;LEFT($C$5,2)&amp;"输出",标准坦克设计!$B$23:$U$23,0)))*(VLOOKUP($B103,INDIRECT($B$5&amp;"生成成长"),3))*(VLOOKUP($B$5,标准坦克设计!$B$14:$K$20,9)/30))</f>
        <v>8.5267270347629189</v>
      </c>
      <c r="AM103" s="172">
        <f ca="1">(VLOOKUP(AM$72,INDIRECT($C$5&amp;"生成成长"),2))/((VLOOKUP($B103,INDIRECT($B$5&amp;"生成成长"),4))/(VLOOKUP(AM$72,INDIRECT($C$5&amp;"生成成长"),5))*(VLOOKUP($B$5,标准坦克设计!$B$24:$U$30,MATCH("对"&amp;LEFT($C$5,2)&amp;"输出",标准坦克设计!$B$23:$U$23,0)))*(VLOOKUP($B103,INDIRECT($B$5&amp;"生成成长"),3))*(VLOOKUP($B$5,标准坦克设计!$B$14:$K$20,9)/30))</f>
        <v>9.2329821314046132</v>
      </c>
      <c r="AN103" s="172">
        <f ca="1">(VLOOKUP(AN$72,INDIRECT($C$5&amp;"生成成长"),2))/((VLOOKUP($B103,INDIRECT($B$5&amp;"生成成长"),4))/(VLOOKUP(AN$72,INDIRECT($C$5&amp;"生成成长"),5))*(VLOOKUP($B$5,标准坦克设计!$B$24:$U$30,MATCH("对"&amp;LEFT($C$5,2)&amp;"输出",标准坦克设计!$B$23:$U$23,0)))*(VLOOKUP($B103,INDIRECT($B$5&amp;"生成成长"),3))*(VLOOKUP($B$5,标准坦克设计!$B$14:$K$20,9)/30))</f>
        <v>9.9673341758331411</v>
      </c>
      <c r="AO103" s="172">
        <f ca="1">(VLOOKUP(AO$72,INDIRECT($C$5&amp;"生成成长"),2))/((VLOOKUP($B103,INDIRECT($B$5&amp;"生成成长"),4))/(VLOOKUP(AO$72,INDIRECT($C$5&amp;"生成成长"),5))*(VLOOKUP($B$5,标准坦克设计!$B$24:$U$30,MATCH("对"&amp;LEFT($C$5,2)&amp;"输出",标准坦克设计!$B$23:$U$23,0)))*(VLOOKUP($B103,INDIRECT($B$5&amp;"生成成长"),3))*(VLOOKUP($B$5,标准坦克设计!$B$14:$K$20,9)/30))</f>
        <v>10.729783168048499</v>
      </c>
      <c r="AP103" s="172">
        <f ca="1">(VLOOKUP(AP$72,INDIRECT($C$5&amp;"生成成长"),2))/((VLOOKUP($B103,INDIRECT($B$5&amp;"生成成长"),4))/(VLOOKUP(AP$72,INDIRECT($C$5&amp;"生成成长"),5))*(VLOOKUP($B$5,标准坦克设计!$B$24:$U$30,MATCH("对"&amp;LEFT($C$5,2)&amp;"输出",标准坦克设计!$B$23:$U$23,0)))*(VLOOKUP($B103,INDIRECT($B$5&amp;"生成成长"),3))*(VLOOKUP($B$5,标准坦克设计!$B$14:$K$20,9)/30))</f>
        <v>11.520329108050689</v>
      </c>
      <c r="AQ103" s="172">
        <f ca="1">(VLOOKUP(AQ$72,INDIRECT($C$5&amp;"生成成长"),2))/((VLOOKUP($B103,INDIRECT($B$5&amp;"生成成长"),4))/(VLOOKUP(AQ$72,INDIRECT($C$5&amp;"生成成长"),5))*(VLOOKUP($B$5,标准坦克设计!$B$24:$U$30,MATCH("对"&amp;LEFT($C$5,2)&amp;"输出",标准坦克设计!$B$23:$U$23,0)))*(VLOOKUP($B103,INDIRECT($B$5&amp;"生成成长"),3))*(VLOOKUP($B$5,标准坦克设计!$B$14:$K$20,9)/30))</f>
        <v>12.338971995839707</v>
      </c>
      <c r="AR103" s="172">
        <f ca="1">(VLOOKUP(AR$72,INDIRECT($C$5&amp;"生成成长"),2))/((VLOOKUP($B103,INDIRECT($B$5&amp;"生成成长"),4))/(VLOOKUP(AR$72,INDIRECT($C$5&amp;"生成成长"),5))*(VLOOKUP($B$5,标准坦克设计!$B$24:$U$30,MATCH("对"&amp;LEFT($C$5,2)&amp;"输出",标准坦克设计!$B$23:$U$23,0)))*(VLOOKUP($B103,INDIRECT($B$5&amp;"生成成长"),3))*(VLOOKUP($B$5,标准坦克设计!$B$14:$K$20,9)/30))</f>
        <v>13.185711831415558</v>
      </c>
      <c r="AS103" s="172">
        <f ca="1">(VLOOKUP(AS$72,INDIRECT($C$5&amp;"生成成长"),2))/((VLOOKUP($B103,INDIRECT($B$5&amp;"生成成长"),4))/(VLOOKUP(AS$72,INDIRECT($C$5&amp;"生成成长"),5))*(VLOOKUP($B$5,标准坦克设计!$B$24:$U$30,MATCH("对"&amp;LEFT($C$5,2)&amp;"输出",标准坦克设计!$B$23:$U$23,0)))*(VLOOKUP($B103,INDIRECT($B$5&amp;"生成成长"),3))*(VLOOKUP($B$5,标准坦克设计!$B$14:$K$20,9)/30))</f>
        <v>14.060548614778236</v>
      </c>
      <c r="AT103" s="172">
        <f ca="1">(VLOOKUP(AT$72,INDIRECT($C$5&amp;"生成成长"),2))/((VLOOKUP($B103,INDIRECT($B$5&amp;"生成成长"),4))/(VLOOKUP(AT$72,INDIRECT($C$5&amp;"生成成长"),5))*(VLOOKUP($B$5,标准坦克设计!$B$24:$U$30,MATCH("对"&amp;LEFT($C$5,2)&amp;"输出",标准坦克设计!$B$23:$U$23,0)))*(VLOOKUP($B103,INDIRECT($B$5&amp;"生成成长"),3))*(VLOOKUP($B$5,标准坦克设计!$B$14:$K$20,9)/30))</f>
        <v>14.963482345927748</v>
      </c>
      <c r="AU103" s="172">
        <f ca="1">(VLOOKUP(AU$72,INDIRECT($C$5&amp;"生成成长"),2))/((VLOOKUP($B103,INDIRECT($B$5&amp;"生成成长"),4))/(VLOOKUP(AU$72,INDIRECT($C$5&amp;"生成成长"),5))*(VLOOKUP($B$5,标准坦克设计!$B$24:$U$30,MATCH("对"&amp;LEFT($C$5,2)&amp;"输出",标准坦克设计!$B$23:$U$23,0)))*(VLOOKUP($B103,INDIRECT($B$5&amp;"生成成长"),3))*(VLOOKUP($B$5,标准坦克设计!$B$14:$K$20,9)/30))</f>
        <v>15.894513024864088</v>
      </c>
      <c r="AV103" s="172">
        <f ca="1">(VLOOKUP(AV$72,INDIRECT($C$5&amp;"生成成长"),2))/((VLOOKUP($B103,INDIRECT($B$5&amp;"生成成长"),4))/(VLOOKUP(AV$72,INDIRECT($C$5&amp;"生成成长"),5))*(VLOOKUP($B$5,标准坦克设计!$B$24:$U$30,MATCH("对"&amp;LEFT($C$5,2)&amp;"输出",标准坦克设计!$B$23:$U$23,0)))*(VLOOKUP($B103,INDIRECT($B$5&amp;"生成成长"),3))*(VLOOKUP($B$5,标准坦克设计!$B$14:$K$20,9)/30))</f>
        <v>1.6166194255530137</v>
      </c>
      <c r="AW103" s="172">
        <f ca="1">(VLOOKUP(AW$72,INDIRECT($C$5&amp;"生成成长"),2))/((VLOOKUP($B103,INDIRECT($B$5&amp;"生成成长"),4))/(VLOOKUP(AW$72,INDIRECT($C$5&amp;"生成成长"),5))*(VLOOKUP($B$5,标准坦克设计!$B$24:$U$30,MATCH("对"&amp;LEFT($C$5,2)&amp;"输出",标准坦克设计!$B$23:$U$23,0)))*(VLOOKUP($B103,INDIRECT($B$5&amp;"生成成长"),3))*(VLOOKUP($B$5,标准坦克设计!$B$14:$K$20,9)/30))</f>
        <v>1.8432526572881101</v>
      </c>
      <c r="AX103" s="172">
        <f ca="1">(VLOOKUP(AX$72,INDIRECT($C$5&amp;"生成成长"),2))/((VLOOKUP($B103,INDIRECT($B$5&amp;"生成成长"),4))/(VLOOKUP(AX$72,INDIRECT($C$5&amp;"生成成长"),5))*(VLOOKUP($B$5,标准坦克设计!$B$24:$U$30,MATCH("对"&amp;LEFT($C$5,2)&amp;"输出",标准坦克设计!$B$23:$U$23,0)))*(VLOOKUP($B103,INDIRECT($B$5&amp;"生成成长"),3))*(VLOOKUP($B$5,标准坦克设计!$B$14:$K$20,9)/30))</f>
        <v>2.0847470845468195</v>
      </c>
      <c r="AY103" s="172">
        <f ca="1">(VLOOKUP(AY$72,INDIRECT($C$5&amp;"生成成长"),2))/((VLOOKUP($B103,INDIRECT($B$5&amp;"生成成长"),4))/(VLOOKUP(AY$72,INDIRECT($C$5&amp;"生成成长"),5))*(VLOOKUP($B$5,标准坦克设计!$B$24:$U$30,MATCH("对"&amp;LEFT($C$5,2)&amp;"输出",标准坦克设计!$B$23:$U$23,0)))*(VLOOKUP($B103,INDIRECT($B$5&amp;"生成成长"),3))*(VLOOKUP($B$5,标准坦克设计!$B$14:$K$20,9)/30))</f>
        <v>2.3411027073291417</v>
      </c>
      <c r="AZ103" s="172">
        <f ca="1">(VLOOKUP(AZ$72,INDIRECT($C$5&amp;"生成成长"),2))/((VLOOKUP($B103,INDIRECT($B$5&amp;"生成成长"),4))/(VLOOKUP(AZ$72,INDIRECT($C$5&amp;"生成成长"),5))*(VLOOKUP($B$5,标准坦克设计!$B$24:$U$30,MATCH("对"&amp;LEFT($C$5,2)&amp;"输出",标准坦克设计!$B$23:$U$23,0)))*(VLOOKUP($B103,INDIRECT($B$5&amp;"生成成长"),3))*(VLOOKUP($B$5,标准坦克设计!$B$14:$K$20,9)/30))</f>
        <v>2.6123195256350766</v>
      </c>
      <c r="BA103" s="172">
        <f ca="1">(VLOOKUP(BA$72,INDIRECT($C$5&amp;"生成成长"),2))/((VLOOKUP($B103,INDIRECT($B$5&amp;"生成成长"),4))/(VLOOKUP(BA$72,INDIRECT($C$5&amp;"生成成长"),5))*(VLOOKUP($B$5,标准坦克设计!$B$24:$U$30,MATCH("对"&amp;LEFT($C$5,2)&amp;"输出",标准坦克设计!$B$23:$U$23,0)))*(VLOOKUP($B103,INDIRECT($B$5&amp;"生成成长"),3))*(VLOOKUP($B$5,标准坦克设计!$B$14:$K$20,9)/30))</f>
        <v>2.8983975394646246</v>
      </c>
      <c r="BB103" s="172">
        <f ca="1">(VLOOKUP(BB$72,INDIRECT($C$5&amp;"生成成长"),2))/((VLOOKUP($B103,INDIRECT($B$5&amp;"生成成长"),4))/(VLOOKUP(BB$72,INDIRECT($C$5&amp;"生成成长"),5))*(VLOOKUP($B$5,标准坦克设计!$B$24:$U$30,MATCH("对"&amp;LEFT($C$5,2)&amp;"输出",标准坦克设计!$B$23:$U$23,0)))*(VLOOKUP($B103,INDIRECT($B$5&amp;"生成成长"),3))*(VLOOKUP($B$5,标准坦克设计!$B$14:$K$20,9)/30))</f>
        <v>3.1993367488177857</v>
      </c>
      <c r="BC103" s="172">
        <f ca="1">(VLOOKUP(BC$72,INDIRECT($C$5&amp;"生成成长"),2))/((VLOOKUP($B103,INDIRECT($B$5&amp;"生成成长"),4))/(VLOOKUP(BC$72,INDIRECT($C$5&amp;"生成成长"),5))*(VLOOKUP($B$5,标准坦克设计!$B$24:$U$30,MATCH("对"&amp;LEFT($C$5,2)&amp;"输出",标准坦克设计!$B$23:$U$23,0)))*(VLOOKUP($B103,INDIRECT($B$5&amp;"生成成长"),3))*(VLOOKUP($B$5,标准坦克设计!$B$14:$K$20,9)/30))</f>
        <v>3.515137153694559</v>
      </c>
      <c r="BD103" s="172">
        <f ca="1">(VLOOKUP(BD$72,INDIRECT($C$5&amp;"生成成长"),2))/((VLOOKUP($B103,INDIRECT($B$5&amp;"生成成长"),4))/(VLOOKUP(BD$72,INDIRECT($C$5&amp;"生成成长"),5))*(VLOOKUP($B$5,标准坦克设计!$B$24:$U$30,MATCH("对"&amp;LEFT($C$5,2)&amp;"输出",标准坦克设计!$B$23:$U$23,0)))*(VLOOKUP($B103,INDIRECT($B$5&amp;"生成成长"),3))*(VLOOKUP($B$5,标准坦克设计!$B$14:$K$20,9)/30))</f>
        <v>3.888176381955248</v>
      </c>
      <c r="BE103" s="172">
        <f ca="1">(VLOOKUP(BE$72,INDIRECT($C$5&amp;"生成成长"),2))/((VLOOKUP($B103,INDIRECT($B$5&amp;"生成成长"),4))/(VLOOKUP(BE$72,INDIRECT($C$5&amp;"生成成长"),5))*(VLOOKUP($B$5,标准坦克设计!$B$24:$U$30,MATCH("对"&amp;LEFT($C$5,2)&amp;"输出",标准坦克设计!$B$23:$U$23,0)))*(VLOOKUP($B103,INDIRECT($B$5&amp;"生成成长"),3))*(VLOOKUP($B$5,标准坦克设计!$B$14:$K$20,9)/30))</f>
        <v>4.2800243108005098</v>
      </c>
      <c r="BF103" s="172">
        <f ca="1">(VLOOKUP(BF$72,INDIRECT($C$5&amp;"生成成长"),2))/((VLOOKUP($B103,INDIRECT($B$5&amp;"生成成长"),4))/(VLOOKUP(BF$72,INDIRECT($C$5&amp;"生成成长"),5))*(VLOOKUP($B$5,标准坦克设计!$B$24:$U$30,MATCH("对"&amp;LEFT($C$5,2)&amp;"输出",标准坦克设计!$B$23:$U$23,0)))*(VLOOKUP($B103,INDIRECT($B$5&amp;"生成成长"),3))*(VLOOKUP($B$5,标准坦克设计!$B$14:$K$20,9)/30))</f>
        <v>4.6906809402303438</v>
      </c>
      <c r="BG103" s="172">
        <f ca="1">(VLOOKUP(BG$72,INDIRECT($C$5&amp;"生成成长"),2))/((VLOOKUP($B103,INDIRECT($B$5&amp;"生成成长"),4))/(VLOOKUP(BG$72,INDIRECT($C$5&amp;"生成成长"),5))*(VLOOKUP($B$5,标准坦克设计!$B$24:$U$30,MATCH("对"&amp;LEFT($C$5,2)&amp;"输出",标准坦克设计!$B$23:$U$23,0)))*(VLOOKUP($B103,INDIRECT($B$5&amp;"生成成长"),3))*(VLOOKUP($B$5,标准坦克设计!$B$14:$K$20,9)/30))</f>
        <v>5.1201462702447502</v>
      </c>
      <c r="BH103" s="172">
        <f ca="1">(VLOOKUP(BH$72,INDIRECT($C$5&amp;"生成成长"),2))/((VLOOKUP($B103,INDIRECT($B$5&amp;"生成成长"),4))/(VLOOKUP(BH$72,INDIRECT($C$5&amp;"生成成长"),5))*(VLOOKUP($B$5,标准坦克设计!$B$24:$U$30,MATCH("对"&amp;LEFT($C$5,2)&amp;"输出",标准坦克设计!$B$23:$U$23,0)))*(VLOOKUP($B103,INDIRECT($B$5&amp;"生成成长"),3))*(VLOOKUP($B$5,标准坦克设计!$B$14:$K$20,9)/30))</f>
        <v>2.4748534670416578</v>
      </c>
      <c r="BI103" s="172">
        <f ca="1">(VLOOKUP(BI$72,INDIRECT($C$5&amp;"生成成长"),2))/((VLOOKUP($B103,INDIRECT($B$5&amp;"生成成长"),4))/(VLOOKUP(BI$72,INDIRECT($C$5&amp;"生成成长"),5))*(VLOOKUP($B$5,标准坦克设计!$B$24:$U$30,MATCH("对"&amp;LEFT($C$5,2)&amp;"输出",标准坦克设计!$B$23:$U$23,0)))*(VLOOKUP($B103,INDIRECT($B$5&amp;"生成成长"),3))*(VLOOKUP($B$5,标准坦克设计!$B$14:$K$20,9)/30))</f>
        <v>2.7893767379281211</v>
      </c>
      <c r="BJ103" s="172">
        <f ca="1">(VLOOKUP(BJ$72,INDIRECT($C$5&amp;"生成成长"),2))/((VLOOKUP($B103,INDIRECT($B$5&amp;"生成成长"),4))/(VLOOKUP(BJ$72,INDIRECT($C$5&amp;"生成成长"),5))*(VLOOKUP($B$5,标准坦克设计!$B$24:$U$30,MATCH("对"&amp;LEFT($C$5,2)&amp;"输出",标准坦克设计!$B$23:$U$23,0)))*(VLOOKUP($B103,INDIRECT($B$5&amp;"生成成长"),3))*(VLOOKUP($B$5,标准坦克设计!$B$14:$K$20,9)/30))</f>
        <v>3.122708709399157</v>
      </c>
      <c r="BK103" s="172">
        <f ca="1">(VLOOKUP(BK$72,INDIRECT($C$5&amp;"生成成长"),2))/((VLOOKUP($B103,INDIRECT($B$5&amp;"生成成长"),4))/(VLOOKUP(BK$72,INDIRECT($C$5&amp;"生成成长"),5))*(VLOOKUP($B$5,标准坦克设计!$B$24:$U$30,MATCH("对"&amp;LEFT($C$5,2)&amp;"输出",标准坦克设计!$B$23:$U$23,0)))*(VLOOKUP($B103,INDIRECT($B$5&amp;"生成成长"),3))*(VLOOKUP($B$5,标准坦克设计!$B$14:$K$20,9)/30))</f>
        <v>3.474849381454765</v>
      </c>
      <c r="BL103" s="172">
        <f ca="1">(VLOOKUP(BL$72,INDIRECT($C$5&amp;"生成成长"),2))/((VLOOKUP($B103,INDIRECT($B$5&amp;"生成成长"),4))/(VLOOKUP(BL$72,INDIRECT($C$5&amp;"生成成长"),5))*(VLOOKUP($B$5,标准坦克设计!$B$24:$U$30,MATCH("对"&amp;LEFT($C$5,2)&amp;"输出",标准坦克设计!$B$23:$U$23,0)))*(VLOOKUP($B103,INDIRECT($B$5&amp;"生成成长"),3))*(VLOOKUP($B$5,标准坦克设计!$B$14:$K$20,9)/30))</f>
        <v>3.8457987540949459</v>
      </c>
      <c r="BM103" s="172">
        <f ca="1">(VLOOKUP(BM$72,INDIRECT($C$5&amp;"生成成长"),2))/((VLOOKUP($B103,INDIRECT($B$5&amp;"生成成长"),4))/(VLOOKUP(BM$72,INDIRECT($C$5&amp;"生成成长"),5))*(VLOOKUP($B$5,标准坦克设计!$B$24:$U$30,MATCH("对"&amp;LEFT($C$5,2)&amp;"输出",标准坦克设计!$B$23:$U$23,0)))*(VLOOKUP($B103,INDIRECT($B$5&amp;"生成成长"),3))*(VLOOKUP($B$5,标准坦克设计!$B$14:$K$20,9)/30))</f>
        <v>4.2355568273196997</v>
      </c>
      <c r="BN103" s="172">
        <f ca="1">(VLOOKUP(BN$72,INDIRECT($C$5&amp;"生成成长"),2))/((VLOOKUP($B103,INDIRECT($B$5&amp;"生成成长"),4))/(VLOOKUP(BN$72,INDIRECT($C$5&amp;"生成成长"),5))*(VLOOKUP($B$5,标准坦克设计!$B$24:$U$30,MATCH("对"&amp;LEFT($C$5,2)&amp;"输出",标准坦克设计!$B$23:$U$23,0)))*(VLOOKUP($B103,INDIRECT($B$5&amp;"生成成长"),3))*(VLOOKUP($B$5,标准坦克设计!$B$14:$K$20,9)/30))</f>
        <v>4.6441236011290252</v>
      </c>
      <c r="BO103" s="172">
        <f ca="1">(VLOOKUP(BO$72,INDIRECT($C$5&amp;"生成成长"),2))/((VLOOKUP($B103,INDIRECT($B$5&amp;"生成成长"),4))/(VLOOKUP(BO$72,INDIRECT($C$5&amp;"生成成长"),5))*(VLOOKUP($B$5,标准坦克设计!$B$24:$U$30,MATCH("对"&amp;LEFT($C$5,2)&amp;"输出",标准坦克设计!$B$23:$U$23,0)))*(VLOOKUP($B103,INDIRECT($B$5&amp;"生成成长"),3))*(VLOOKUP($B$5,标准坦克设计!$B$14:$K$20,9)/30))</f>
        <v>5.0714990755229232</v>
      </c>
      <c r="BP103" s="172">
        <f ca="1">(VLOOKUP(BP$72,INDIRECT($C$5&amp;"生成成长"),2))/((VLOOKUP($B103,INDIRECT($B$5&amp;"生成成长"),4))/(VLOOKUP(BP$72,INDIRECT($C$5&amp;"生成成长"),5))*(VLOOKUP($B$5,标准坦克设计!$B$24:$U$30,MATCH("对"&amp;LEFT($C$5,2)&amp;"输出",标准坦克设计!$B$23:$U$23,0)))*(VLOOKUP($B103,INDIRECT($B$5&amp;"生成成长"),3))*(VLOOKUP($B$5,标准坦克设计!$B$14:$K$20,9)/30))</f>
        <v>5.5176832505013955</v>
      </c>
      <c r="BQ103" s="172">
        <f ca="1">(VLOOKUP(BQ$72,INDIRECT($C$5&amp;"生成成长"),2))/((VLOOKUP($B103,INDIRECT($B$5&amp;"生成成长"),4))/(VLOOKUP(BQ$72,INDIRECT($C$5&amp;"生成成长"),5))*(VLOOKUP($B$5,标准坦克设计!$B$24:$U$30,MATCH("对"&amp;LEFT($C$5,2)&amp;"输出",标准坦克设计!$B$23:$U$23,0)))*(VLOOKUP($B103,INDIRECT($B$5&amp;"生成成长"),3))*(VLOOKUP($B$5,标准坦克设计!$B$14:$K$20,9)/30))</f>
        <v>5.9826761260644385</v>
      </c>
      <c r="BR103" s="172">
        <f ca="1">(VLOOKUP(BR$72,INDIRECT($C$5&amp;"生成成长"),2))/((VLOOKUP($B103,INDIRECT($B$5&amp;"生成成长"),4))/(VLOOKUP(BR$72,INDIRECT($C$5&amp;"生成成长"),5))*(VLOOKUP($B$5,标准坦克设计!$B$24:$U$30,MATCH("对"&amp;LEFT($C$5,2)&amp;"输出",标准坦克设计!$B$23:$U$23,0)))*(VLOOKUP($B103,INDIRECT($B$5&amp;"生成成长"),3))*(VLOOKUP($B$5,标准坦克设计!$B$14:$K$20,9)/30))</f>
        <v>6.5213944637954047</v>
      </c>
      <c r="BS103" s="172">
        <f ca="1">(VLOOKUP(BS$72,INDIRECT($C$5&amp;"生成成长"),2))/((VLOOKUP($B103,INDIRECT($B$5&amp;"生成成长"),4))/(VLOOKUP(BS$72,INDIRECT($C$5&amp;"生成成长"),5))*(VLOOKUP($B$5,标准坦克设计!$B$24:$U$30,MATCH("对"&amp;LEFT($C$5,2)&amp;"输出",标准坦克设计!$B$23:$U$23,0)))*(VLOOKUP($B103,INDIRECT($B$5&amp;"生成成长"),3))*(VLOOKUP($B$5,标准坦克设计!$B$14:$K$20,9)/30))</f>
        <v>7.0833334195320168</v>
      </c>
      <c r="BT103" s="172">
        <f ca="1">(VLOOKUP(BT$72,INDIRECT($C$5&amp;"生成成长"),2))/((VLOOKUP($B103,INDIRECT($B$5&amp;"生成成长"),4))/(VLOOKUP(BT$72,INDIRECT($C$5&amp;"生成成长"),5))*(VLOOKUP($B$5,标准坦克设计!$B$24:$U$30,MATCH("对"&amp;LEFT($C$5,2)&amp;"输出",标准坦克设计!$B$23:$U$23,0)))*(VLOOKUP($B103,INDIRECT($B$5&amp;"生成成长"),3))*(VLOOKUP($B$5,标准坦克设计!$B$14:$K$20,9)/30))</f>
        <v>7.668492993274274</v>
      </c>
      <c r="BU103" s="172">
        <f ca="1">(VLOOKUP(BU$72,INDIRECT($C$5&amp;"生成成长"),2))/((VLOOKUP($B103,INDIRECT($B$5&amp;"生成成长"),4))/(VLOOKUP(BU$72,INDIRECT($C$5&amp;"生成成长"),5))*(VLOOKUP($B$5,标准坦克设计!$B$24:$U$30,MATCH("对"&amp;LEFT($C$5,2)&amp;"输出",标准坦克设计!$B$23:$U$23,0)))*(VLOOKUP($B103,INDIRECT($B$5&amp;"生成成长"),3))*(VLOOKUP($B$5,标准坦克设计!$B$14:$K$20,9)/30))</f>
        <v>8.2768731850221773</v>
      </c>
      <c r="BV103" s="172">
        <f ca="1">(VLOOKUP(BV$72,INDIRECT($C$5&amp;"生成成长"),2))/((VLOOKUP($B103,INDIRECT($B$5&amp;"生成成长"),4))/(VLOOKUP(BV$72,INDIRECT($C$5&amp;"生成成长"),5))*(VLOOKUP($B$5,标准坦克设计!$B$24:$U$30,MATCH("对"&amp;LEFT($C$5,2)&amp;"输出",标准坦克设计!$B$23:$U$23,0)))*(VLOOKUP($B103,INDIRECT($B$5&amp;"生成成长"),3))*(VLOOKUP($B$5,标准坦克设计!$B$14:$K$20,9)/30))</f>
        <v>8.9084739947757239</v>
      </c>
      <c r="BW103" s="172">
        <f ca="1">(VLOOKUP(BW$72,INDIRECT($C$5&amp;"生成成长"),2))/((VLOOKUP($B103,INDIRECT($B$5&amp;"生成成长"),4))/(VLOOKUP(BW$72,INDIRECT($C$5&amp;"生成成长"),5))*(VLOOKUP($B$5,标准坦克设计!$B$24:$U$30,MATCH("对"&amp;LEFT($C$5,2)&amp;"输出",标准坦克设计!$B$23:$U$23,0)))*(VLOOKUP($B103,INDIRECT($B$5&amp;"生成成长"),3))*(VLOOKUP($B$5,标准坦克设计!$B$14:$K$20,9)/30))</f>
        <v>4.0600089551970218</v>
      </c>
      <c r="BX103" s="172">
        <f ca="1">(VLOOKUP(BX$72,INDIRECT($C$5&amp;"生成成长"),2))/((VLOOKUP($B103,INDIRECT($B$5&amp;"生成成长"),4))/(VLOOKUP(BX$72,INDIRECT($C$5&amp;"生成成长"),5))*(VLOOKUP($B$5,标准坦克设计!$B$24:$U$30,MATCH("对"&amp;LEFT($C$5,2)&amp;"输出",标准坦克设计!$B$23:$U$23,0)))*(VLOOKUP($B103,INDIRECT($B$5&amp;"生成成长"),3))*(VLOOKUP($B$5,标准坦克设计!$B$14:$K$20,9)/30))</f>
        <v>4.5058448209054083</v>
      </c>
      <c r="BY103" s="172">
        <f ca="1">(VLOOKUP(BY$72,INDIRECT($C$5&amp;"生成成长"),2))/((VLOOKUP($B103,INDIRECT($B$5&amp;"生成成长"),4))/(VLOOKUP(BY$72,INDIRECT($C$5&amp;"生成成长"),5))*(VLOOKUP($B$5,标准坦克设计!$B$24:$U$30,MATCH("对"&amp;LEFT($C$5,2)&amp;"输出",标准坦克设计!$B$23:$U$23,0)))*(VLOOKUP($B103,INDIRECT($B$5&amp;"生成成长"),3))*(VLOOKUP($B$5,标准坦克设计!$B$14:$K$20,9)/30))</f>
        <v>4.974901304619439</v>
      </c>
      <c r="BZ103" s="172">
        <f ca="1">(VLOOKUP(BZ$72,INDIRECT($C$5&amp;"生成成长"),2))/((VLOOKUP($B103,INDIRECT($B$5&amp;"生成成长"),4))/(VLOOKUP(BZ$72,INDIRECT($C$5&amp;"生成成长"),5))*(VLOOKUP($B$5,标准坦克设计!$B$24:$U$30,MATCH("对"&amp;LEFT($C$5,2)&amp;"输出",标准坦克设计!$B$23:$U$23,0)))*(VLOOKUP($B103,INDIRECT($B$5&amp;"生成成长"),3))*(VLOOKUP($B$5,标准坦克设计!$B$14:$K$20,9)/30))</f>
        <v>5.4671784063391176</v>
      </c>
      <c r="CA103" s="172">
        <f ca="1">(VLOOKUP(CA$72,INDIRECT($C$5&amp;"生成成长"),2))/((VLOOKUP($B103,INDIRECT($B$5&amp;"生成成长"),4))/(VLOOKUP(CA$72,INDIRECT($C$5&amp;"生成成长"),5))*(VLOOKUP($B$5,标准坦克设计!$B$24:$U$30,MATCH("对"&amp;LEFT($C$5,2)&amp;"输出",标准坦克设计!$B$23:$U$23,0)))*(VLOOKUP($B103,INDIRECT($B$5&amp;"生成成长"),3))*(VLOOKUP($B$5,标准坦克设计!$B$14:$K$20,9)/30))</f>
        <v>5.9826761260644385</v>
      </c>
      <c r="CB103" s="172">
        <f ca="1">(VLOOKUP(CB$72,INDIRECT($C$5&amp;"生成成长"),2))/((VLOOKUP($B103,INDIRECT($B$5&amp;"生成成长"),4))/(VLOOKUP(CB$72,INDIRECT($C$5&amp;"生成成长"),5))*(VLOOKUP($B$5,标准坦克设计!$B$24:$U$30,MATCH("对"&amp;LEFT($C$5,2)&amp;"输出",标准坦克设计!$B$23:$U$23,0)))*(VLOOKUP($B103,INDIRECT($B$5&amp;"生成成长"),3))*(VLOOKUP($B$5,标准坦克设计!$B$14:$K$20,9)/30))</f>
        <v>6.5213944637954047</v>
      </c>
      <c r="CC103" s="172">
        <f ca="1">(VLOOKUP(CC$72,INDIRECT($C$5&amp;"生成成长"),2))/((VLOOKUP($B103,INDIRECT($B$5&amp;"生成成长"),4))/(VLOOKUP(CC$72,INDIRECT($C$5&amp;"生成成长"),5))*(VLOOKUP($B$5,标准坦克设计!$B$24:$U$30,MATCH("对"&amp;LEFT($C$5,2)&amp;"输出",标准坦克设计!$B$23:$U$23,0)))*(VLOOKUP($B103,INDIRECT($B$5&amp;"生成成长"),3))*(VLOOKUP($B$5,标准坦克设计!$B$14:$K$20,9)/30))</f>
        <v>7.0833334195320168</v>
      </c>
      <c r="CD103" s="172">
        <f ca="1">(VLOOKUP(CD$72,INDIRECT($C$5&amp;"生成成长"),2))/((VLOOKUP($B103,INDIRECT($B$5&amp;"生成成长"),4))/(VLOOKUP(CD$72,INDIRECT($C$5&amp;"生成成长"),5))*(VLOOKUP($B$5,标准坦克设计!$B$24:$U$30,MATCH("对"&amp;LEFT($C$5,2)&amp;"输出",标准坦克设计!$B$23:$U$23,0)))*(VLOOKUP($B103,INDIRECT($B$5&amp;"生成成长"),3))*(VLOOKUP($B$5,标准坦克设计!$B$14:$K$20,9)/30))</f>
        <v>7.668492993274274</v>
      </c>
      <c r="CE103" s="172">
        <f ca="1">(VLOOKUP(CE$72,INDIRECT($C$5&amp;"生成成长"),2))/((VLOOKUP($B103,INDIRECT($B$5&amp;"生成成长"),4))/(VLOOKUP(CE$72,INDIRECT($C$5&amp;"生成成长"),5))*(VLOOKUP($B$5,标准坦克设计!$B$24:$U$30,MATCH("对"&amp;LEFT($C$5,2)&amp;"输出",标准坦克设计!$B$23:$U$23,0)))*(VLOOKUP($B103,INDIRECT($B$5&amp;"生成成长"),3))*(VLOOKUP($B$5,标准坦克设计!$B$14:$K$20,9)/30))</f>
        <v>8.2768731850221773</v>
      </c>
      <c r="CF103" s="172">
        <f ca="1">(VLOOKUP(CF$72,INDIRECT($C$5&amp;"生成成长"),2))/((VLOOKUP($B103,INDIRECT($B$5&amp;"生成成长"),4))/(VLOOKUP(CF$72,INDIRECT($C$5&amp;"生成成长"),5))*(VLOOKUP($B$5,标准坦克设计!$B$24:$U$30,MATCH("对"&amp;LEFT($C$5,2)&amp;"输出",标准坦克设计!$B$23:$U$23,0)))*(VLOOKUP($B103,INDIRECT($B$5&amp;"生成成长"),3))*(VLOOKUP($B$5,标准坦克设计!$B$14:$K$20,9)/30))</f>
        <v>8.9084739947757239</v>
      </c>
      <c r="CG103" s="172">
        <f ca="1">(VLOOKUP(CG$72,INDIRECT($C$5&amp;"生成成长"),2))/((VLOOKUP($B103,INDIRECT($B$5&amp;"生成成长"),4))/(VLOOKUP(CG$72,INDIRECT($C$5&amp;"生成成长"),5))*(VLOOKUP($B$5,标准坦克设计!$B$24:$U$30,MATCH("对"&amp;LEFT($C$5,2)&amp;"输出",标准坦克设计!$B$23:$U$23,0)))*(VLOOKUP($B103,INDIRECT($B$5&amp;"生成成长"),3))*(VLOOKUP($B$5,标准坦克设计!$B$14:$K$20,9)/30))</f>
        <v>9.5632954225349192</v>
      </c>
      <c r="CH103" s="172">
        <f ca="1">(VLOOKUP(CH$72,INDIRECT($C$5&amp;"生成成长"),2))/((VLOOKUP($B103,INDIRECT($B$5&amp;"生成成长"),4))/(VLOOKUP(CH$72,INDIRECT($C$5&amp;"生成成长"),5))*(VLOOKUP($B$5,标准坦克设计!$B$24:$U$30,MATCH("对"&amp;LEFT($C$5,2)&amp;"输出",标准坦克设计!$B$23:$U$23,0)))*(VLOOKUP($B103,INDIRECT($B$5&amp;"生成成长"),3))*(VLOOKUP($B$5,标准坦克设计!$B$14:$K$20,9)/30))</f>
        <v>10.241337468299754</v>
      </c>
      <c r="CI103" s="172">
        <f ca="1">(VLOOKUP(CI$72,INDIRECT($C$5&amp;"生成成长"),2))/((VLOOKUP($B103,INDIRECT($B$5&amp;"生成成长"),4))/(VLOOKUP(CI$72,INDIRECT($C$5&amp;"生成成长"),5))*(VLOOKUP($B$5,标准坦克设计!$B$24:$U$30,MATCH("对"&amp;LEFT($C$5,2)&amp;"输出",标准坦克设计!$B$23:$U$23,0)))*(VLOOKUP($B103,INDIRECT($B$5&amp;"生成成长"),3))*(VLOOKUP($B$5,标准坦克设计!$B$14:$K$20,9)/30))</f>
        <v>11.014003532437595</v>
      </c>
      <c r="CJ103" s="172">
        <f ca="1">(VLOOKUP(CJ$72,INDIRECT($C$5&amp;"生成成长"),2))/((VLOOKUP($B103,INDIRECT($B$5&amp;"生成成长"),4))/(VLOOKUP(CJ$72,INDIRECT($C$5&amp;"生成成长"),5))*(VLOOKUP($B$5,标准坦克设计!$B$24:$U$30,MATCH("对"&amp;LEFT($C$5,2)&amp;"输出",标准坦克设计!$B$23:$U$23,0)))*(VLOOKUP($B103,INDIRECT($B$5&amp;"生成成长"),3))*(VLOOKUP($B$5,标准坦克设计!$B$14:$K$20,9)/30))</f>
        <v>11.81476654436227</v>
      </c>
      <c r="CK103" s="172">
        <f ca="1">(VLOOKUP(CK$72,INDIRECT($C$5&amp;"生成成长"),2))/((VLOOKUP($B103,INDIRECT($B$5&amp;"生成成长"),4))/(VLOOKUP(CK$72,INDIRECT($C$5&amp;"生成成长"),5))*(VLOOKUP($B$5,标准坦克设计!$B$24:$U$30,MATCH("对"&amp;LEFT($C$5,2)&amp;"输出",标准坦克设计!$B$23:$U$23,0)))*(VLOOKUP($B103,INDIRECT($B$5&amp;"生成成长"),3))*(VLOOKUP($B$5,标准坦克设计!$B$14:$K$20,9)/30))</f>
        <v>12.643626504073772</v>
      </c>
      <c r="CL103" s="172">
        <f ca="1">(VLOOKUP(CL$72,INDIRECT($C$5&amp;"生成成长"),2))/((VLOOKUP($B103,INDIRECT($B$5&amp;"生成成长"),4))/(VLOOKUP(CL$72,INDIRECT($C$5&amp;"生成成长"),5))*(VLOOKUP($B$5,标准坦克设计!$B$24:$U$30,MATCH("对"&amp;LEFT($C$5,2)&amp;"输出",标准坦克设计!$B$23:$U$23,0)))*(VLOOKUP($B103,INDIRECT($B$5&amp;"生成成长"),3))*(VLOOKUP($B$5,标准坦克设计!$B$14:$K$20,9)/30))</f>
        <v>13.500583411572105</v>
      </c>
      <c r="CM103" s="172">
        <f ca="1">(VLOOKUP(CM$72,INDIRECT($C$5&amp;"生成成长"),2))/((VLOOKUP($B103,INDIRECT($B$5&amp;"生成成长"),4))/(VLOOKUP(CM$72,INDIRECT($C$5&amp;"生成成长"),5))*(VLOOKUP($B$5,标准坦克设计!$B$24:$U$30,MATCH("对"&amp;LEFT($C$5,2)&amp;"输出",标准坦克设计!$B$23:$U$23,0)))*(VLOOKUP($B103,INDIRECT($B$5&amp;"生成成长"),3))*(VLOOKUP($B$5,标准坦克设计!$B$14:$K$20,9)/30))</f>
        <v>14.38563726685727</v>
      </c>
      <c r="CN103" s="172">
        <f ca="1">(VLOOKUP(CN$72,INDIRECT($C$5&amp;"生成成长"),2))/((VLOOKUP($B103,INDIRECT($B$5&amp;"生成成长"),4))/(VLOOKUP(CN$72,INDIRECT($C$5&amp;"生成成长"),5))*(VLOOKUP($B$5,标准坦克设计!$B$24:$U$30,MATCH("对"&amp;LEFT($C$5,2)&amp;"输出",标准坦克设计!$B$23:$U$23,0)))*(VLOOKUP($B103,INDIRECT($B$5&amp;"生成成长"),3))*(VLOOKUP($B$5,标准坦克设计!$B$14:$K$20,9)/30))</f>
        <v>15.298788069929264</v>
      </c>
      <c r="CO103" s="172">
        <f ca="1">(VLOOKUP(CO$72,INDIRECT($C$5&amp;"生成成长"),2))/((VLOOKUP($B103,INDIRECT($B$5&amp;"生成成长"),4))/(VLOOKUP(CO$72,INDIRECT($C$5&amp;"生成成长"),5))*(VLOOKUP($B$5,标准坦克设计!$B$24:$U$30,MATCH("对"&amp;LEFT($C$5,2)&amp;"输出",标准坦克设计!$B$23:$U$23,0)))*(VLOOKUP($B103,INDIRECT($B$5&amp;"生成成长"),3))*(VLOOKUP($B$5,标准坦克设计!$B$14:$K$20,9)/30))</f>
        <v>6.8557713630766948</v>
      </c>
      <c r="CP103" s="172">
        <f ca="1">(VLOOKUP(CP$72,INDIRECT($C$5&amp;"生成成长"),2))/((VLOOKUP($B103,INDIRECT($B$5&amp;"生成成长"),4))/(VLOOKUP(CP$72,INDIRECT($C$5&amp;"生成成长"),5))*(VLOOKUP($B$5,标准坦克设计!$B$24:$U$30,MATCH("对"&amp;LEFT($C$5,2)&amp;"输出",标准坦克设计!$B$23:$U$23,0)))*(VLOOKUP($B103,INDIRECT($B$5&amp;"生成成长"),3))*(VLOOKUP($B$5,标准坦克设计!$B$14:$K$20,9)/30))</f>
        <v>7.4905069562610036</v>
      </c>
      <c r="CQ103" s="172">
        <f ca="1">(VLOOKUP(CQ$72,INDIRECT($C$5&amp;"生成成长"),2))/((VLOOKUP($B103,INDIRECT($B$5&amp;"生成成长"),4))/(VLOOKUP(CQ$72,INDIRECT($C$5&amp;"生成成长"),5))*(VLOOKUP($B$5,标准坦克设计!$B$24:$U$30,MATCH("对"&amp;LEFT($C$5,2)&amp;"输出",标准坦克设计!$B$23:$U$23,0)))*(VLOOKUP($B103,INDIRECT($B$5&amp;"生成成长"),3))*(VLOOKUP($B$5,标准坦克设计!$B$14:$K$20,9)/30))</f>
        <v>8.153339497232146</v>
      </c>
      <c r="CR103" s="172">
        <f ca="1">(VLOOKUP(CR$72,INDIRECT($C$5&amp;"生成成长"),2))/((VLOOKUP($B103,INDIRECT($B$5&amp;"生成成长"),4))/(VLOOKUP(CR$72,INDIRECT($C$5&amp;"生成成长"),5))*(VLOOKUP($B$5,标准坦克设计!$B$24:$U$30,MATCH("对"&amp;LEFT($C$5,2)&amp;"输出",标准坦克设计!$B$23:$U$23,0)))*(VLOOKUP($B103,INDIRECT($B$5&amp;"生成成长"),3))*(VLOOKUP($B$5,标准坦克设计!$B$14:$K$20,9)/30))</f>
        <v>8.8442689859901176</v>
      </c>
      <c r="CS103" s="172">
        <f ca="1">(VLOOKUP(CS$72,INDIRECT($C$5&amp;"生成成长"),2))/((VLOOKUP($B103,INDIRECT($B$5&amp;"生成成长"),4))/(VLOOKUP(CS$72,INDIRECT($C$5&amp;"生成成长"),5))*(VLOOKUP($B$5,标准坦克设计!$B$24:$U$30,MATCH("对"&amp;LEFT($C$5,2)&amp;"输出",标准坦克设计!$B$23:$U$23,0)))*(VLOOKUP($B103,INDIRECT($B$5&amp;"生成成长"),3))*(VLOOKUP($B$5,标准坦克设计!$B$14:$K$20,9)/30))</f>
        <v>9.5632954225349192</v>
      </c>
      <c r="CT103" s="172">
        <f ca="1">(VLOOKUP(CT$72,INDIRECT($C$5&amp;"生成成长"),2))/((VLOOKUP($B103,INDIRECT($B$5&amp;"生成成长"),4))/(VLOOKUP(CT$72,INDIRECT($C$5&amp;"生成成长"),5))*(VLOOKUP($B$5,标准坦克设计!$B$24:$U$30,MATCH("对"&amp;LEFT($C$5,2)&amp;"输出",标准坦克设计!$B$23:$U$23,0)))*(VLOOKUP($B103,INDIRECT($B$5&amp;"生成成长"),3))*(VLOOKUP($B$5,标准坦克设计!$B$14:$K$20,9)/30))</f>
        <v>10.310418806866551</v>
      </c>
      <c r="CU103" s="172">
        <f ca="1">(VLOOKUP(CU$72,INDIRECT($C$5&amp;"生成成长"),2))/((VLOOKUP($B103,INDIRECT($B$5&amp;"生成成长"),4))/(VLOOKUP(CU$72,INDIRECT($C$5&amp;"生成成长"),5))*(VLOOKUP($B$5,标准坦克设计!$B$24:$U$30,MATCH("对"&amp;LEFT($C$5,2)&amp;"输出",标准坦克设计!$B$23:$U$23,0)))*(VLOOKUP($B103,INDIRECT($B$5&amp;"生成成长"),3))*(VLOOKUP($B$5,标准坦克设计!$B$14:$K$20,9)/30))</f>
        <v>11.085639138985012</v>
      </c>
      <c r="CV103" s="172">
        <f ca="1">(VLOOKUP(CV$72,INDIRECT($C$5&amp;"生成成长"),2))/((VLOOKUP($B103,INDIRECT($B$5&amp;"生成成长"),4))/(VLOOKUP(CV$72,INDIRECT($C$5&amp;"生成成长"),5))*(VLOOKUP($B$5,标准坦克设计!$B$24:$U$30,MATCH("对"&amp;LEFT($C$5,2)&amp;"输出",标准坦克设计!$B$23:$U$23,0)))*(VLOOKUP($B103,INDIRECT($B$5&amp;"生成成长"),3))*(VLOOKUP($B$5,标准坦克设计!$B$14:$K$20,9)/30))</f>
        <v>11.888956418890304</v>
      </c>
      <c r="CW103" s="172">
        <f ca="1">(VLOOKUP(CW$72,INDIRECT($C$5&amp;"生成成长"),2))/((VLOOKUP($B103,INDIRECT($B$5&amp;"生成成长"),4))/(VLOOKUP(CW$72,INDIRECT($C$5&amp;"生成成长"),5))*(VLOOKUP($B$5,标准坦克设计!$B$24:$U$30,MATCH("对"&amp;LEFT($C$5,2)&amp;"输出",标准坦克设计!$B$23:$U$23,0)))*(VLOOKUP($B103,INDIRECT($B$5&amp;"生成成长"),3))*(VLOOKUP($B$5,标准坦克设计!$B$14:$K$20,9)/30))</f>
        <v>12.720370646582428</v>
      </c>
      <c r="CX103" s="172">
        <f ca="1">(VLOOKUP(CX$72,INDIRECT($C$5&amp;"生成成长"),2))/((VLOOKUP($B103,INDIRECT($B$5&amp;"生成成长"),4))/(VLOOKUP(CX$72,INDIRECT($C$5&amp;"生成成长"),5))*(VLOOKUP($B$5,标准坦克设计!$B$24:$U$30,MATCH("对"&amp;LEFT($C$5,2)&amp;"输出",标准坦克设计!$B$23:$U$23,0)))*(VLOOKUP($B103,INDIRECT($B$5&amp;"生成成长"),3))*(VLOOKUP($B$5,标准坦克设计!$B$14:$K$20,9)/30))</f>
        <v>13.579881822061381</v>
      </c>
      <c r="CY103" s="172">
        <f ca="1">(VLOOKUP(CY$72,INDIRECT($C$5&amp;"生成成长"),2))/((VLOOKUP($B103,INDIRECT($B$5&amp;"生成成长"),4))/(VLOOKUP(CY$72,INDIRECT($C$5&amp;"生成成长"),5))*(VLOOKUP($B$5,标准坦克设计!$B$24:$U$30,MATCH("对"&amp;LEFT($C$5,2)&amp;"输出",标准坦克设计!$B$23:$U$23,0)))*(VLOOKUP($B103,INDIRECT($B$5&amp;"生成成长"),3))*(VLOOKUP($B$5,标准坦克设计!$B$14:$K$20,9)/30))</f>
        <v>14.467489945327168</v>
      </c>
      <c r="CZ103" s="172">
        <f ca="1">(VLOOKUP(CZ$72,INDIRECT($C$5&amp;"生成成长"),2))/((VLOOKUP($B103,INDIRECT($B$5&amp;"生成成长"),4))/(VLOOKUP(CZ$72,INDIRECT($C$5&amp;"生成成长"),5))*(VLOOKUP($B$5,标准坦克设计!$B$24:$U$30,MATCH("对"&amp;LEFT($C$5,2)&amp;"输出",标准坦克设计!$B$23:$U$23,0)))*(VLOOKUP($B103,INDIRECT($B$5&amp;"生成成长"),3))*(VLOOKUP($B$5,标准坦克设计!$B$14:$K$20,9)/30))</f>
        <v>15.383195016379783</v>
      </c>
      <c r="DA103" s="172">
        <f ca="1">(VLOOKUP(DA$72,INDIRECT($C$5&amp;"生成成长"),2))/((VLOOKUP($B103,INDIRECT($B$5&amp;"生成成长"),4))/(VLOOKUP(DA$72,INDIRECT($C$5&amp;"生成成长"),5))*(VLOOKUP($B$5,标准坦克设计!$B$24:$U$30,MATCH("对"&amp;LEFT($C$5,2)&amp;"输出",标准坦克设计!$B$23:$U$23,0)))*(VLOOKUP($B103,INDIRECT($B$5&amp;"生成成长"),3))*(VLOOKUP($B$5,标准坦克设计!$B$14:$K$20,9)/30))</f>
        <v>16.326997035219229</v>
      </c>
      <c r="DB103" s="172">
        <f ca="1">(VLOOKUP(DB$72,INDIRECT($C$5&amp;"生成成长"),2))/((VLOOKUP($B103,INDIRECT($B$5&amp;"生成成长"),4))/(VLOOKUP(DB$72,INDIRECT($C$5&amp;"生成成长"),5))*(VLOOKUP($B$5,标准坦克设计!$B$24:$U$30,MATCH("对"&amp;LEFT($C$5,2)&amp;"输出",标准坦克设计!$B$23:$U$23,0)))*(VLOOKUP($B103,INDIRECT($B$5&amp;"生成成长"),3))*(VLOOKUP($B$5,标准坦克设计!$B$14:$K$20,9)/30))</f>
        <v>17.298896001845506</v>
      </c>
      <c r="DC103" s="172">
        <f ca="1">(VLOOKUP(DC$72,INDIRECT($C$5&amp;"生成成长"),2))/((VLOOKUP($B103,INDIRECT($B$5&amp;"生成成长"),4))/(VLOOKUP(DC$72,INDIRECT($C$5&amp;"生成成长"),5))*(VLOOKUP($B$5,标准坦克设计!$B$24:$U$30,MATCH("对"&amp;LEFT($C$5,2)&amp;"输出",标准坦克设计!$B$23:$U$23,0)))*(VLOOKUP($B103,INDIRECT($B$5&amp;"生成成长"),3))*(VLOOKUP($B$5,标准坦克设计!$B$14:$K$20,9)/30))</f>
        <v>18.391193872831053</v>
      </c>
      <c r="DD103" s="172">
        <f ca="1">(VLOOKUP(DD$72,INDIRECT($C$5&amp;"生成成长"),2))/((VLOOKUP($B103,INDIRECT($B$5&amp;"生成成长"),4))/(VLOOKUP(DD$72,INDIRECT($C$5&amp;"生成成长"),5))*(VLOOKUP($B$5,标准坦克设计!$B$24:$U$30,MATCH("对"&amp;LEFT($C$5,2)&amp;"输出",标准坦克设计!$B$23:$U$23,0)))*(VLOOKUP($B103,INDIRECT($B$5&amp;"生成成长"),3))*(VLOOKUP($B$5,标准坦克设计!$B$14:$K$20,9)/30))</f>
        <v>19.516929433744728</v>
      </c>
      <c r="DE103" s="172">
        <f ca="1">(VLOOKUP(DE$72,INDIRECT($C$5&amp;"生成成长"),2))/((VLOOKUP($B103,INDIRECT($B$5&amp;"生成成长"),4))/(VLOOKUP(DE$72,INDIRECT($C$5&amp;"生成成长"),5))*(VLOOKUP($B$5,标准坦克设计!$B$24:$U$30,MATCH("对"&amp;LEFT($C$5,2)&amp;"输出",标准坦克设计!$B$23:$U$23,0)))*(VLOOKUP($B103,INDIRECT($B$5&amp;"生成成长"),3))*(VLOOKUP($B$5,标准坦克设计!$B$14:$K$20,9)/30))</f>
        <v>20.676102684586535</v>
      </c>
      <c r="DF103" s="172">
        <f ca="1">(VLOOKUP(DF$72,INDIRECT($C$5&amp;"生成成长"),2))/((VLOOKUP($B103,INDIRECT($B$5&amp;"生成成长"),4))/(VLOOKUP(DF$72,INDIRECT($C$5&amp;"生成成长"),5))*(VLOOKUP($B$5,标准坦克设计!$B$24:$U$30,MATCH("对"&amp;LEFT($C$5,2)&amp;"输出",标准坦克设计!$B$23:$U$23,0)))*(VLOOKUP($B103,INDIRECT($B$5&amp;"生成成长"),3))*(VLOOKUP($B$5,标准坦克设计!$B$14:$K$20,9)/30))</f>
        <v>21.86871362535647</v>
      </c>
      <c r="DG103" s="172">
        <f ca="1">(VLOOKUP(DG$72,INDIRECT($C$5&amp;"生成成长"),2))/((VLOOKUP($B103,INDIRECT($B$5&amp;"生成成长"),4))/(VLOOKUP(DG$72,INDIRECT($C$5&amp;"生成成长"),5))*(VLOOKUP($B$5,标准坦克设计!$B$24:$U$30,MATCH("对"&amp;LEFT($C$5,2)&amp;"输出",标准坦克设计!$B$23:$U$23,0)))*(VLOOKUP($B103,INDIRECT($B$5&amp;"生成成长"),3))*(VLOOKUP($B$5,标准坦克设计!$B$14:$K$20,9)/30))</f>
        <v>23.09476225605453</v>
      </c>
      <c r="DH103" s="172">
        <f ca="1">(VLOOKUP(DH$72,INDIRECT($C$5&amp;"生成成长"),2))/((VLOOKUP($B103,INDIRECT($B$5&amp;"生成成长"),4))/(VLOOKUP(DH$72,INDIRECT($C$5&amp;"生成成长"),5))*(VLOOKUP($B$5,标准坦克设计!$B$24:$U$30,MATCH("对"&amp;LEFT($C$5,2)&amp;"输出",标准坦克设计!$B$23:$U$23,0)))*(VLOOKUP($B103,INDIRECT($B$5&amp;"生成成长"),3))*(VLOOKUP($B$5,标准坦克设计!$B$14:$K$20,9)/30))</f>
        <v>24.354248576680725</v>
      </c>
      <c r="DI103" s="172">
        <f ca="1">(VLOOKUP(DI$72,INDIRECT($C$5&amp;"生成成长"),2))/((VLOOKUP($B103,INDIRECT($B$5&amp;"生成成长"),4))/(VLOOKUP(DI$72,INDIRECT($C$5&amp;"生成成长"),5))*(VLOOKUP($B$5,标准坦克设计!$B$24:$U$30,MATCH("对"&amp;LEFT($C$5,2)&amp;"输出",标准坦克设计!$B$23:$U$23,0)))*(VLOOKUP($B103,INDIRECT($B$5&amp;"生成成长"),3))*(VLOOKUP($B$5,标准坦克设计!$B$14:$K$20,9)/30))</f>
        <v>25.647172587235044</v>
      </c>
      <c r="DJ103" s="172">
        <f ca="1">(VLOOKUP(DJ$72,INDIRECT($C$5&amp;"生成成长"),2))/((VLOOKUP($B103,INDIRECT($B$5&amp;"生成成长"),4))/(VLOOKUP(DJ$72,INDIRECT($C$5&amp;"生成成长"),5))*(VLOOKUP($B$5,标准坦克设计!$B$24:$U$30,MATCH("对"&amp;LEFT($C$5,2)&amp;"输出",标准坦克设计!$B$23:$U$23,0)))*(VLOOKUP($B103,INDIRECT($B$5&amp;"生成成长"),3))*(VLOOKUP($B$5,标准坦克设计!$B$14:$K$20,9)/30))</f>
        <v>2.5776047017166377</v>
      </c>
      <c r="DK103" s="172">
        <f ca="1">(VLOOKUP(DK$72,INDIRECT($C$5&amp;"生成成长"),2))/((VLOOKUP($B103,INDIRECT($B$5&amp;"生成成长"),4))/(VLOOKUP(DK$72,INDIRECT($C$5&amp;"生成成长"),5))*(VLOOKUP($B$5,标准坦克设计!$B$24:$U$30,MATCH("对"&amp;LEFT($C$5,2)&amp;"输出",标准坦克设计!$B$23:$U$23,0)))*(VLOOKUP($B103,INDIRECT($B$5&amp;"生成成长"),3))*(VLOOKUP($B$5,标准坦克设计!$B$14:$K$20,9)/30))</f>
        <v>2.8983975394646246</v>
      </c>
      <c r="DL103" s="172">
        <f ca="1">(VLOOKUP(DL$72,INDIRECT($C$5&amp;"生成成长"),2))/((VLOOKUP($B103,INDIRECT($B$5&amp;"生成成长"),4))/(VLOOKUP(DL$72,INDIRECT($C$5&amp;"生成成长"),5))*(VLOOKUP($B$5,标准坦克设计!$B$24:$U$30,MATCH("对"&amp;LEFT($C$5,2)&amp;"输出",标准坦克设计!$B$23:$U$23,0)))*(VLOOKUP($B103,INDIRECT($B$5&amp;"生成成长"),3))*(VLOOKUP($B$5,标准坦克设计!$B$14:$K$20,9)/30))</f>
        <v>3.237999077797185</v>
      </c>
      <c r="DM103" s="172">
        <f ca="1">(VLOOKUP(DM$72,INDIRECT($C$5&amp;"生成成长"),2))/((VLOOKUP($B103,INDIRECT($B$5&amp;"生成成长"),4))/(VLOOKUP(DM$72,INDIRECT($C$5&amp;"生成成长"),5))*(VLOOKUP($B$5,标准坦克设计!$B$24:$U$30,MATCH("对"&amp;LEFT($C$5,2)&amp;"输出",标准坦克设计!$B$23:$U$23,0)))*(VLOOKUP($B103,INDIRECT($B$5&amp;"生成成长"),3))*(VLOOKUP($B$5,标准坦克设计!$B$14:$K$20,9)/30))</f>
        <v>3.5964093167143174</v>
      </c>
      <c r="DN103" s="172">
        <f ca="1">(VLOOKUP(DN$72,INDIRECT($C$5&amp;"生成成长"),2))/((VLOOKUP($B103,INDIRECT($B$5&amp;"生成成长"),4))/(VLOOKUP(DN$72,INDIRECT($C$5&amp;"生成成长"),5))*(VLOOKUP($B$5,标准坦克设计!$B$24:$U$30,MATCH("对"&amp;LEFT($C$5,2)&amp;"输出",标准坦克设计!$B$23:$U$23,0)))*(VLOOKUP($B103,INDIRECT($B$5&amp;"生成成长"),3))*(VLOOKUP($B$5,标准坦克设计!$B$14:$K$20,9)/30))</f>
        <v>3.9736282562160219</v>
      </c>
      <c r="DO103" s="172">
        <f ca="1">(VLOOKUP(DO$72,INDIRECT($C$5&amp;"生成成长"),2))/((VLOOKUP($B103,INDIRECT($B$5&amp;"生成成长"),4))/(VLOOKUP(DO$72,INDIRECT($C$5&amp;"生成成长"),5))*(VLOOKUP($B$5,标准坦克设计!$B$24:$U$30,MATCH("对"&amp;LEFT($C$5,2)&amp;"输出",标准坦克设计!$B$23:$U$23,0)))*(VLOOKUP($B103,INDIRECT($B$5&amp;"生成成长"),3))*(VLOOKUP($B$5,标准坦克设计!$B$14:$K$20,9)/30))</f>
        <v>4.3696558963022998</v>
      </c>
      <c r="DP103" s="172">
        <f ca="1">(VLOOKUP(DP$72,INDIRECT($C$5&amp;"生成成长"),2))/((VLOOKUP($B103,INDIRECT($B$5&amp;"生成成长"),4))/(VLOOKUP(DP$72,INDIRECT($C$5&amp;"生成成长"),5))*(VLOOKUP($B$5,标准坦克设计!$B$24:$U$30,MATCH("对"&amp;LEFT($C$5,2)&amp;"输出",标准坦克设计!$B$23:$U$23,0)))*(VLOOKUP($B103,INDIRECT($B$5&amp;"生成成长"),3))*(VLOOKUP($B$5,标准坦克设计!$B$14:$K$20,9)/30))</f>
        <v>4.7844922369731497</v>
      </c>
      <c r="DQ103" s="172">
        <f ca="1">(VLOOKUP(DQ$72,INDIRECT($C$5&amp;"生成成长"),2))/((VLOOKUP($B103,INDIRECT($B$5&amp;"生成成长"),4))/(VLOOKUP(DQ$72,INDIRECT($C$5&amp;"生成成长"),5))*(VLOOKUP($B$5,标准坦克设计!$B$24:$U$30,MATCH("对"&amp;LEFT($C$5,2)&amp;"输出",标准坦克设计!$B$23:$U$23,0)))*(VLOOKUP($B103,INDIRECT($B$5&amp;"生成成长"),3))*(VLOOKUP($B$5,标准坦克设计!$B$14:$K$20,9)/30))</f>
        <v>5.2181372782285722</v>
      </c>
      <c r="DR103" s="172">
        <f ca="1">(VLOOKUP(DR$72,INDIRECT($C$5&amp;"生成成长"),2))/((VLOOKUP($B103,INDIRECT($B$5&amp;"生成成长"),4))/(VLOOKUP(DR$72,INDIRECT($C$5&amp;"生成成长"),5))*(VLOOKUP($B$5,标准坦克设计!$B$24:$U$30,MATCH("对"&amp;LEFT($C$5,2)&amp;"输出",标准坦克设计!$B$23:$U$23,0)))*(VLOOKUP($B103,INDIRECT($B$5&amp;"生成成长"),3))*(VLOOKUP($B$5,标准坦克设计!$B$14:$K$20,9)/30))</f>
        <v>5.6705910200685681</v>
      </c>
      <c r="DS103" s="172">
        <f ca="1">(VLOOKUP(DS$72,INDIRECT($C$5&amp;"生成成长"),2))/((VLOOKUP($B103,INDIRECT($B$5&amp;"生成成长"),4))/(VLOOKUP(DS$72,INDIRECT($C$5&amp;"生成成长"),5))*(VLOOKUP($B$5,标准坦克设计!$B$24:$U$30,MATCH("对"&amp;LEFT($C$5,2)&amp;"输出",标准坦克设计!$B$23:$U$23,0)))*(VLOOKUP($B103,INDIRECT($B$5&amp;"生成成长"),3))*(VLOOKUP($B$5,标准坦克设计!$B$14:$K$20,9)/30))</f>
        <v>6.1418534624931365</v>
      </c>
      <c r="DT103" s="172">
        <f ca="1">(VLOOKUP(DT$72,INDIRECT($C$5&amp;"生成成长"),2))/((VLOOKUP($B103,INDIRECT($B$5&amp;"生成成长"),4))/(VLOOKUP(DT$72,INDIRECT($C$5&amp;"生成成长"),5))*(VLOOKUP($B$5,标准坦克设计!$B$24:$U$30,MATCH("对"&amp;LEFT($C$5,2)&amp;"输出",标准坦克设计!$B$23:$U$23,0)))*(VLOOKUP($B103,INDIRECT($B$5&amp;"生成成长"),3))*(VLOOKUP($B$5,标准坦克设计!$B$14:$K$20,9)/30))</f>
        <v>6.743383571929372</v>
      </c>
      <c r="DU103" s="172">
        <f ca="1">(VLOOKUP(DU$72,INDIRECT($C$5&amp;"生成成长"),2))/((VLOOKUP($B103,INDIRECT($B$5&amp;"生成成长"),4))/(VLOOKUP(DU$72,INDIRECT($C$5&amp;"生成成长"),5))*(VLOOKUP($B$5,标准坦克设计!$B$24:$U$30,MATCH("对"&amp;LEFT($C$5,2)&amp;"输出",标准坦克设计!$B$23:$U$23,0)))*(VLOOKUP($B103,INDIRECT($B$5&amp;"生成成长"),3))*(VLOOKUP($B$5,标准坦克设计!$B$14:$K$20,9)/30))</f>
        <v>7.3730106291524402</v>
      </c>
      <c r="DV103" s="172">
        <f ca="1">(VLOOKUP(DV$72,INDIRECT($C$5&amp;"生成成长"),2))/((VLOOKUP($B103,INDIRECT($B$5&amp;"生成成长"),4))/(VLOOKUP(DV$72,INDIRECT($C$5&amp;"生成成长"),5))*(VLOOKUP($B$5,标准坦克设计!$B$24:$U$30,MATCH("对"&amp;LEFT($C$5,2)&amp;"输出",标准坦克设计!$B$23:$U$23,0)))*(VLOOKUP($B103,INDIRECT($B$5&amp;"生成成长"),3))*(VLOOKUP($B$5,标准坦克设计!$B$14:$K$20,9)/30))</f>
        <v>8.0307346341623376</v>
      </c>
      <c r="DW103" s="172">
        <f ca="1">(VLOOKUP(DW$72,INDIRECT($C$5&amp;"生成成长"),2))/((VLOOKUP($B103,INDIRECT($B$5&amp;"生成成长"),4))/(VLOOKUP(DW$72,INDIRECT($C$5&amp;"生成成长"),5))*(VLOOKUP($B$5,标准坦克设计!$B$24:$U$30,MATCH("对"&amp;LEFT($C$5,2)&amp;"输出",标准坦克设计!$B$23:$U$23,0)))*(VLOOKUP($B103,INDIRECT($B$5&amp;"生成成长"),3))*(VLOOKUP($B$5,标准坦克设计!$B$14:$K$20,9)/30))</f>
        <v>8.7165555869590694</v>
      </c>
      <c r="DX103" s="172">
        <f ca="1">(VLOOKUP(DX$72,INDIRECT($C$5&amp;"生成成长"),2))/((VLOOKUP($B103,INDIRECT($B$5&amp;"生成成长"),4))/(VLOOKUP(DX$72,INDIRECT($C$5&amp;"生成成长"),5))*(VLOOKUP($B$5,标准坦克设计!$B$24:$U$30,MATCH("对"&amp;LEFT($C$5,2)&amp;"输出",标准坦克设计!$B$23:$U$23,0)))*(VLOOKUP($B103,INDIRECT($B$5&amp;"生成成长"),3))*(VLOOKUP($B$5,标准坦克设计!$B$14:$K$20,9)/30))</f>
        <v>9.4304734875426259</v>
      </c>
      <c r="DY103" s="172">
        <f ca="1">(VLOOKUP(DY$72,INDIRECT($C$5&amp;"生成成长"),2))/((VLOOKUP($B103,INDIRECT($B$5&amp;"生成成长"),4))/(VLOOKUP(DY$72,INDIRECT($C$5&amp;"生成成长"),5))*(VLOOKUP($B$5,标准坦克设计!$B$24:$U$30,MATCH("对"&amp;LEFT($C$5,2)&amp;"输出",标准坦克设计!$B$23:$U$23,0)))*(VLOOKUP($B103,INDIRECT($B$5&amp;"生成成长"),3))*(VLOOKUP($B$5,标准坦克设计!$B$14:$K$20,9)/30))</f>
        <v>4.2355568273196997</v>
      </c>
      <c r="DZ103" s="172">
        <f ca="1">(VLOOKUP(DZ$72,INDIRECT($C$5&amp;"生成成长"),2))/((VLOOKUP($B103,INDIRECT($B$5&amp;"生成成长"),4))/(VLOOKUP(DZ$72,INDIRECT($C$5&amp;"生成成长"),5))*(VLOOKUP($B$5,标准坦克设计!$B$24:$U$30,MATCH("对"&amp;LEFT($C$5,2)&amp;"输出",标准坦克设计!$B$23:$U$23,0)))*(VLOOKUP($B103,INDIRECT($B$5&amp;"生成成长"),3))*(VLOOKUP($B$5,标准坦克设计!$B$14:$K$20,9)/30))</f>
        <v>4.6906809402303438</v>
      </c>
      <c r="EA103" s="172">
        <f ca="1">(VLOOKUP(EA$72,INDIRECT($C$5&amp;"生成成长"),2))/((VLOOKUP($B103,INDIRECT($B$5&amp;"生成成长"),4))/(VLOOKUP(EA$72,INDIRECT($C$5&amp;"生成成长"),5))*(VLOOKUP($B$5,标准坦克设计!$B$24:$U$30,MATCH("对"&amp;LEFT($C$5,2)&amp;"输出",标准坦克设计!$B$23:$U$23,0)))*(VLOOKUP($B103,INDIRECT($B$5&amp;"生成成长"),3))*(VLOOKUP($B$5,标准坦克设计!$B$14:$K$20,9)/30))</f>
        <v>5.1690256711466338</v>
      </c>
      <c r="EB103" s="172">
        <f ca="1">(VLOOKUP(EB$72,INDIRECT($C$5&amp;"生成成长"),2))/((VLOOKUP($B103,INDIRECT($B$5&amp;"生成成长"),4))/(VLOOKUP(EB$72,INDIRECT($C$5&amp;"生成成长"),5))*(VLOOKUP($B$5,标准坦克设计!$B$24:$U$30,MATCH("对"&amp;LEFT($C$5,2)&amp;"输出",标准坦克设计!$B$23:$U$23,0)))*(VLOOKUP($B103,INDIRECT($B$5&amp;"生成成长"),3))*(VLOOKUP($B$5,标准坦克设计!$B$14:$K$20,9)/30))</f>
        <v>5.6705910200685681</v>
      </c>
      <c r="EC103" s="172">
        <f ca="1">(VLOOKUP(EC$72,INDIRECT($C$5&amp;"生成成长"),2))/((VLOOKUP($B103,INDIRECT($B$5&amp;"生成成长"),4))/(VLOOKUP(EC$72,INDIRECT($C$5&amp;"生成成长"),5))*(VLOOKUP($B$5,标准坦克设计!$B$24:$U$30,MATCH("对"&amp;LEFT($C$5,2)&amp;"输出",标准坦克设计!$B$23:$U$23,0)))*(VLOOKUP($B103,INDIRECT($B$5&amp;"生成成长"),3))*(VLOOKUP($B$5,标准坦克设计!$B$14:$K$20,9)/30))</f>
        <v>6.1953769869961475</v>
      </c>
      <c r="ED103" s="172">
        <f ca="1">(VLOOKUP(ED$72,INDIRECT($C$5&amp;"生成成长"),2))/((VLOOKUP($B103,INDIRECT($B$5&amp;"生成成长"),4))/(VLOOKUP(ED$72,INDIRECT($C$5&amp;"生成成长"),5))*(VLOOKUP($B$5,标准坦克设计!$B$24:$U$30,MATCH("对"&amp;LEFT($C$5,2)&amp;"输出",标准坦克设计!$B$23:$U$23,0)))*(VLOOKUP($B103,INDIRECT($B$5&amp;"生成成长"),3))*(VLOOKUP($B$5,标准坦克设计!$B$14:$K$20,9)/30))</f>
        <v>6.743383571929372</v>
      </c>
      <c r="EE103" s="172">
        <f ca="1">(VLOOKUP(EE$72,INDIRECT($C$5&amp;"生成成长"),2))/((VLOOKUP($B103,INDIRECT($B$5&amp;"生成成长"),4))/(VLOOKUP(EE$72,INDIRECT($C$5&amp;"生成成长"),5))*(VLOOKUP($B$5,标准坦克设计!$B$24:$U$30,MATCH("对"&amp;LEFT($C$5,2)&amp;"输出",标准坦克设计!$B$23:$U$23,0)))*(VLOOKUP($B103,INDIRECT($B$5&amp;"生成成长"),3))*(VLOOKUP($B$5,标准坦克设计!$B$14:$K$20,9)/30))</f>
        <v>7.3146107748682434</v>
      </c>
      <c r="EF103" s="172">
        <f ca="1">(VLOOKUP(EF$72,INDIRECT($C$5&amp;"生成成长"),2))/((VLOOKUP($B103,INDIRECT($B$5&amp;"生成成长"),4))/(VLOOKUP(EF$72,INDIRECT($C$5&amp;"生成成长"),5))*(VLOOKUP($B$5,标准坦克设计!$B$24:$U$30,MATCH("对"&amp;LEFT($C$5,2)&amp;"输出",标准坦克设计!$B$23:$U$23,0)))*(VLOOKUP($B103,INDIRECT($B$5&amp;"生成成长"),3))*(VLOOKUP($B$5,标准坦克设计!$B$14:$K$20,9)/30))</f>
        <v>7.9090585958127591</v>
      </c>
      <c r="EG103" s="172">
        <f ca="1">(VLOOKUP(EG$72,INDIRECT($C$5&amp;"生成成长"),2))/((VLOOKUP($B103,INDIRECT($B$5&amp;"生成成长"),4))/(VLOOKUP(EG$72,INDIRECT($C$5&amp;"生成成长"),5))*(VLOOKUP($B$5,标准坦克设计!$B$24:$U$30,MATCH("对"&amp;LEFT($C$5,2)&amp;"输出",标准坦克设计!$B$23:$U$23,0)))*(VLOOKUP($B103,INDIRECT($B$5&amp;"生成成长"),3))*(VLOOKUP($B$5,标准坦克设计!$B$14:$K$20,9)/30))</f>
        <v>8.5267270347629189</v>
      </c>
      <c r="EH103" s="172">
        <f ca="1">(VLOOKUP(EH$72,INDIRECT($C$5&amp;"生成成长"),2))/((VLOOKUP($B103,INDIRECT($B$5&amp;"生成成长"),4))/(VLOOKUP(EH$72,INDIRECT($C$5&amp;"生成成长"),5))*(VLOOKUP($B$5,标准坦克设计!$B$24:$U$30,MATCH("对"&amp;LEFT($C$5,2)&amp;"输出",标准坦克设计!$B$23:$U$23,0)))*(VLOOKUP($B103,INDIRECT($B$5&amp;"生成成长"),3))*(VLOOKUP($B$5,标准坦克设计!$B$14:$K$20,9)/30))</f>
        <v>9.1676160917187239</v>
      </c>
      <c r="EI103" s="172">
        <f ca="1">(VLOOKUP(EI$72,INDIRECT($C$5&amp;"生成成长"),2))/((VLOOKUP($B103,INDIRECT($B$5&amp;"生成成长"),4))/(VLOOKUP(EI$72,INDIRECT($C$5&amp;"生成成长"),5))*(VLOOKUP($B$5,标准坦克设计!$B$24:$U$30,MATCH("对"&amp;LEFT($C$5,2)&amp;"输出",标准坦克设计!$B$23:$U$23,0)))*(VLOOKUP($B103,INDIRECT($B$5&amp;"生成成长"),3))*(VLOOKUP($B$5,标准坦克设计!$B$14:$K$20,9)/30))</f>
        <v>9.8317257666801741</v>
      </c>
      <c r="EJ103" s="172">
        <f ca="1">(VLOOKUP(EJ$72,INDIRECT($C$5&amp;"生成成长"),2))/((VLOOKUP($B103,INDIRECT($B$5&amp;"生成成长"),4))/(VLOOKUP(EJ$72,INDIRECT($C$5&amp;"生成成长"),5))*(VLOOKUP($B$5,标准坦克设计!$B$24:$U$30,MATCH("对"&amp;LEFT($C$5,2)&amp;"输出",标准坦克设计!$B$23:$U$23,0)))*(VLOOKUP($B103,INDIRECT($B$5&amp;"生成成长"),3))*(VLOOKUP($B$5,标准坦克设计!$B$14:$K$20,9)/30))</f>
        <v>10.519056059647271</v>
      </c>
      <c r="EK103" s="172">
        <f ca="1">(VLOOKUP(EK$72,INDIRECT($C$5&amp;"生成成长"),2))/((VLOOKUP($B103,INDIRECT($B$5&amp;"生成成长"),4))/(VLOOKUP(EK$72,INDIRECT($C$5&amp;"生成成长"),5))*(VLOOKUP($B$5,标准坦克设计!$B$24:$U$30,MATCH("对"&amp;LEFT($C$5,2)&amp;"输出",标准坦克设计!$B$23:$U$23,0)))*(VLOOKUP($B103,INDIRECT($B$5&amp;"生成成长"),3))*(VLOOKUP($B$5,标准坦克设计!$B$14:$K$20,9)/30))</f>
        <v>11.374503626975237</v>
      </c>
      <c r="EL103" s="172">
        <f ca="1">(VLOOKUP(EL$72,INDIRECT($C$5&amp;"生成成长"),2))/((VLOOKUP($B103,INDIRECT($B$5&amp;"生成成长"),4))/(VLOOKUP(EL$72,INDIRECT($C$5&amp;"生成成长"),5))*(VLOOKUP($B$5,标准坦克设计!$B$24:$U$30,MATCH("对"&amp;LEFT($C$5,2)&amp;"输出",标准坦克设计!$B$23:$U$23,0)))*(VLOOKUP($B103,INDIRECT($B$5&amp;"生成成长"),3))*(VLOOKUP($B$5,标准坦克设计!$B$14:$K$20,9)/30))</f>
        <v>12.263388884231333</v>
      </c>
      <c r="EM103" s="172">
        <f ca="1">(VLOOKUP(EM$72,INDIRECT($C$5&amp;"生成成长"),2))/((VLOOKUP($B103,INDIRECT($B$5&amp;"生成成长"),4))/(VLOOKUP(EM$72,INDIRECT($C$5&amp;"生成成长"),5))*(VLOOKUP($B$5,标准坦克设计!$B$24:$U$30,MATCH("对"&amp;LEFT($C$5,2)&amp;"输出",标准坦克设计!$B$23:$U$23,0)))*(VLOOKUP($B103,INDIRECT($B$5&amp;"生成成长"),3))*(VLOOKUP($B$5,标准坦克设计!$B$14:$K$20,9)/30))</f>
        <v>13.185711831415558</v>
      </c>
      <c r="EN103" s="172">
        <f ca="1">(VLOOKUP(EN$72,INDIRECT($C$5&amp;"生成成长"),2))/((VLOOKUP($B103,INDIRECT($B$5&amp;"生成成长"),4))/(VLOOKUP(EN$72,INDIRECT($C$5&amp;"生成成长"),5))*(VLOOKUP($B$5,标准坦克设计!$B$24:$U$30,MATCH("对"&amp;LEFT($C$5,2)&amp;"输出",标准坦克设计!$B$23:$U$23,0)))*(VLOOKUP($B103,INDIRECT($B$5&amp;"生成成长"),3))*(VLOOKUP($B$5,标准坦克设计!$B$14:$K$20,9)/30))</f>
        <v>14.14147246852791</v>
      </c>
      <c r="EO103" s="172">
        <f ca="1">(VLOOKUP(EO$72,INDIRECT($C$5&amp;"生成成长"),2))/((VLOOKUP($B103,INDIRECT($B$5&amp;"生成成长"),4))/(VLOOKUP(EO$72,INDIRECT($C$5&amp;"生成成长"),5))*(VLOOKUP($B$5,标准坦克设计!$B$24:$U$30,MATCH("对"&amp;LEFT($C$5,2)&amp;"输出",标准坦克设计!$B$23:$U$23,0)))*(VLOOKUP($B103,INDIRECT($B$5&amp;"生成成长"),3))*(VLOOKUP($B$5,标准坦克设计!$B$14:$K$20,9)/30))</f>
        <v>15.130670795568394</v>
      </c>
      <c r="EP103" s="172">
        <f ca="1">(VLOOKUP(EP$72,INDIRECT($C$5&amp;"生成成长"),2))/((VLOOKUP($B103,INDIRECT($B$5&amp;"生成成长"),4))/(VLOOKUP(EP$72,INDIRECT($C$5&amp;"生成成长"),5))*(VLOOKUP($B$5,标准坦克设计!$B$24:$U$30,MATCH("对"&amp;LEFT($C$5,2)&amp;"输出",标准坦克设计!$B$23:$U$23,0)))*(VLOOKUP($B103,INDIRECT($B$5&amp;"生成成长"),3))*(VLOOKUP($B$5,标准坦克设计!$B$14:$K$20,9)/30))</f>
        <v>16.153306812537004</v>
      </c>
      <c r="EQ103" s="172">
        <f ca="1">(VLOOKUP(EQ$72,INDIRECT($C$5&amp;"生成成长"),2))/((VLOOKUP($B103,INDIRECT($B$5&amp;"生成成长"),4))/(VLOOKUP(EQ$72,INDIRECT($C$5&amp;"生成成长"),5))*(VLOOKUP($B$5,标准坦克设计!$B$24:$U$30,MATCH("对"&amp;LEFT($C$5,2)&amp;"输出",标准坦克设计!$B$23:$U$23,0)))*(VLOOKUP($B103,INDIRECT($B$5&amp;"生成成长"),3))*(VLOOKUP($B$5,标准坦克设计!$B$14:$K$20,9)/30))</f>
        <v>7.140804449095989</v>
      </c>
      <c r="ER103" s="172">
        <f ca="1">(VLOOKUP(ER$72,INDIRECT($C$5&amp;"生成成长"),2))/((VLOOKUP($B103,INDIRECT($B$5&amp;"生成成长"),4))/(VLOOKUP(ER$72,INDIRECT($C$5&amp;"生成成长"),5))*(VLOOKUP($B$5,标准坦克设计!$B$24:$U$30,MATCH("对"&amp;LEFT($C$5,2)&amp;"输出",标准坦克设计!$B$23:$U$23,0)))*(VLOOKUP($B103,INDIRECT($B$5&amp;"生成成长"),3))*(VLOOKUP($B$5,标准坦克设计!$B$14:$K$20,9)/30))</f>
        <v>7.7883113821834051</v>
      </c>
      <c r="ES103" s="172">
        <f ca="1">(VLOOKUP(ES$72,INDIRECT($C$5&amp;"生成成长"),2))/((VLOOKUP($B103,INDIRECT($B$5&amp;"生成成长"),4))/(VLOOKUP(ES$72,INDIRECT($C$5&amp;"生成成长"),5))*(VLOOKUP($B$5,标准坦克设计!$B$24:$U$30,MATCH("对"&amp;LEFT($C$5,2)&amp;"输出",标准坦克设计!$B$23:$U$23,0)))*(VLOOKUP($B103,INDIRECT($B$5&amp;"生成成长"),3))*(VLOOKUP($B$5,标准坦克设计!$B$14:$K$20,9)/30))</f>
        <v>8.4639152630576486</v>
      </c>
      <c r="ET103" s="172">
        <f ca="1">(VLOOKUP(ET$72,INDIRECT($C$5&amp;"生成成长"),2))/((VLOOKUP($B103,INDIRECT($B$5&amp;"生成成长"),4))/(VLOOKUP(ET$72,INDIRECT($C$5&amp;"生成成长"),5))*(VLOOKUP($B$5,标准坦克设计!$B$24:$U$30,MATCH("对"&amp;LEFT($C$5,2)&amp;"输出",标准坦克设计!$B$23:$U$23,0)))*(VLOOKUP($B103,INDIRECT($B$5&amp;"生成成长"),3))*(VLOOKUP($B$5,标准坦克设计!$B$14:$K$20,9)/30))</f>
        <v>9.1676160917187239</v>
      </c>
      <c r="EU103" s="172">
        <f ca="1">(VLOOKUP(EU$72,INDIRECT($C$5&amp;"生成成长"),2))/((VLOOKUP($B103,INDIRECT($B$5&amp;"生成成长"),4))/(VLOOKUP(EU$72,INDIRECT($C$5&amp;"生成成长"),5))*(VLOOKUP($B$5,标准坦克设计!$B$24:$U$30,MATCH("对"&amp;LEFT($C$5,2)&amp;"输出",标准坦克设计!$B$23:$U$23,0)))*(VLOOKUP($B103,INDIRECT($B$5&amp;"生成成长"),3))*(VLOOKUP($B$5,标准坦克设计!$B$14:$K$20,9)/30))</f>
        <v>9.899413868166631</v>
      </c>
      <c r="EV103" s="172">
        <f ca="1">(VLOOKUP(EV$72,INDIRECT($C$5&amp;"生成成长"),2))/((VLOOKUP($B103,INDIRECT($B$5&amp;"生成成长"),4))/(VLOOKUP(EV$72,INDIRECT($C$5&amp;"生成成长"),5))*(VLOOKUP($B$5,标准坦克设计!$B$24:$U$30,MATCH("对"&amp;LEFT($C$5,2)&amp;"输出",标准坦克设计!$B$23:$U$23,0)))*(VLOOKUP($B103,INDIRECT($B$5&amp;"生成成长"),3))*(VLOOKUP($B$5,标准坦克设计!$B$14:$K$20,9)/30))</f>
        <v>10.659308592401368</v>
      </c>
      <c r="EW103" s="172">
        <f ca="1">(VLOOKUP(EW$72,INDIRECT($C$5&amp;"生成成长"),2))/((VLOOKUP($B103,INDIRECT($B$5&amp;"生成成长"),4))/(VLOOKUP(EW$72,INDIRECT($C$5&amp;"生成成长"),5))*(VLOOKUP($B$5,标准坦克设计!$B$24:$U$30,MATCH("对"&amp;LEFT($C$5,2)&amp;"输出",标准坦克设计!$B$23:$U$23,0)))*(VLOOKUP($B103,INDIRECT($B$5&amp;"生成成长"),3))*(VLOOKUP($B$5,标准坦克设计!$B$14:$K$20,9)/30))</f>
        <v>11.447300264422934</v>
      </c>
      <c r="EX103" s="172">
        <f ca="1">(VLOOKUP(EX$72,INDIRECT($C$5&amp;"生成成长"),2))/((VLOOKUP($B103,INDIRECT($B$5&amp;"生成成长"),4))/(VLOOKUP(EX$72,INDIRECT($C$5&amp;"生成成长"),5))*(VLOOKUP($B$5,标准坦克设计!$B$24:$U$30,MATCH("对"&amp;LEFT($C$5,2)&amp;"输出",标准坦克设计!$B$23:$U$23,0)))*(VLOOKUP($B103,INDIRECT($B$5&amp;"生成成长"),3))*(VLOOKUP($B$5,标准坦克设计!$B$14:$K$20,9)/30))</f>
        <v>12.263388884231333</v>
      </c>
      <c r="EY103" s="172">
        <f ca="1">(VLOOKUP(EY$72,INDIRECT($C$5&amp;"生成成长"),2))/((VLOOKUP($B103,INDIRECT($B$5&amp;"生成成长"),4))/(VLOOKUP(EY$72,INDIRECT($C$5&amp;"生成成长"),5))*(VLOOKUP($B$5,标准坦克设计!$B$24:$U$30,MATCH("对"&amp;LEFT($C$5,2)&amp;"输出",标准坦克设计!$B$23:$U$23,0)))*(VLOOKUP($B103,INDIRECT($B$5&amp;"生成成长"),3))*(VLOOKUP($B$5,标准坦克设计!$B$14:$K$20,9)/30))</f>
        <v>13.107574451826562</v>
      </c>
      <c r="EZ103" s="172">
        <f ca="1">(VLOOKUP(EZ$72,INDIRECT($C$5&amp;"生成成长"),2))/((VLOOKUP($B103,INDIRECT($B$5&amp;"生成成长"),4))/(VLOOKUP(EZ$72,INDIRECT($C$5&amp;"生成成长"),5))*(VLOOKUP($B$5,标准坦克设计!$B$24:$U$30,MATCH("对"&amp;LEFT($C$5,2)&amp;"输出",标准坦克设计!$B$23:$U$23,0)))*(VLOOKUP($B103,INDIRECT($B$5&amp;"生成成长"),3))*(VLOOKUP($B$5,标准坦克设计!$B$14:$K$20,9)/30))</f>
        <v>13.979856967208619</v>
      </c>
      <c r="FA103" s="172">
        <f ca="1">(VLOOKUP(FA$72,INDIRECT($C$5&amp;"生成成长"),2))/((VLOOKUP($B103,INDIRECT($B$5&amp;"生成成长"),4))/(VLOOKUP(FA$72,INDIRECT($C$5&amp;"生成成长"),5))*(VLOOKUP($B$5,标准坦克设计!$B$24:$U$30,MATCH("对"&amp;LEFT($C$5,2)&amp;"输出",标准坦克设计!$B$23:$U$23,0)))*(VLOOKUP($B103,INDIRECT($B$5&amp;"生成成长"),3))*(VLOOKUP($B$5,标准坦克设计!$B$14:$K$20,9)/30))</f>
        <v>14.88023643037751</v>
      </c>
      <c r="FB103" s="172">
        <f ca="1">(VLOOKUP(FB$72,INDIRECT($C$5&amp;"生成成长"),2))/((VLOOKUP($B103,INDIRECT($B$5&amp;"生成成长"),4))/(VLOOKUP(FB$72,INDIRECT($C$5&amp;"生成成长"),5))*(VLOOKUP($B$5,标准坦克设计!$B$24:$U$30,MATCH("对"&amp;LEFT($C$5,2)&amp;"输出",标准坦克设计!$B$23:$U$23,0)))*(VLOOKUP($B103,INDIRECT($B$5&amp;"生成成长"),3))*(VLOOKUP($B$5,标准坦克设计!$B$14:$K$20,9)/30))</f>
        <v>15.808712841333231</v>
      </c>
      <c r="FC103" s="172">
        <f ca="1">(VLOOKUP(FC$72,INDIRECT($C$5&amp;"生成成长"),2))/((VLOOKUP($B103,INDIRECT($B$5&amp;"生成成长"),4))/(VLOOKUP(FC$72,INDIRECT($C$5&amp;"生成成长"),5))*(VLOOKUP($B$5,标准坦克设计!$B$24:$U$30,MATCH("对"&amp;LEFT($C$5,2)&amp;"输出",标准坦克设计!$B$23:$U$23,0)))*(VLOOKUP($B103,INDIRECT($B$5&amp;"生成成长"),3))*(VLOOKUP($B$5,标准坦克设计!$B$14:$K$20,9)/30))</f>
        <v>16.765286200075781</v>
      </c>
      <c r="FD103" s="172">
        <f ca="1">(VLOOKUP(FD$72,INDIRECT($C$5&amp;"生成成长"),2))/((VLOOKUP($B103,INDIRECT($B$5&amp;"生成成长"),4))/(VLOOKUP(FD$72,INDIRECT($C$5&amp;"生成成长"),5))*(VLOOKUP($B$5,标准坦克设计!$B$24:$U$30,MATCH("对"&amp;LEFT($C$5,2)&amp;"输出",标准坦克设计!$B$23:$U$23,0)))*(VLOOKUP($B103,INDIRECT($B$5&amp;"生成成长"),3))*(VLOOKUP($B$5,标准坦克设计!$B$14:$K$20,9)/30))</f>
        <v>17.749956506605162</v>
      </c>
      <c r="FE103" s="172">
        <f ca="1">(VLOOKUP(FE$72,INDIRECT($C$5&amp;"生成成长"),2))/((VLOOKUP($B103,INDIRECT($B$5&amp;"生成成长"),4))/(VLOOKUP(FE$72,INDIRECT($C$5&amp;"生成成长"),5))*(VLOOKUP($B$5,标准坦克设计!$B$24:$U$30,MATCH("对"&amp;LEFT($C$5,2)&amp;"输出",标准坦克设计!$B$23:$U$23,0)))*(VLOOKUP($B103,INDIRECT($B$5&amp;"生成成长"),3))*(VLOOKUP($B$5,标准坦克设计!$B$14:$K$20,9)/30))</f>
        <v>18.949881942046876</v>
      </c>
      <c r="FF103" s="172">
        <f ca="1">(VLOOKUP(FF$72,INDIRECT($C$5&amp;"生成成长"),2))/((VLOOKUP($B103,INDIRECT($B$5&amp;"生成成长"),4))/(VLOOKUP(FF$72,INDIRECT($C$5&amp;"生成成长"),5))*(VLOOKUP($B$5,标准坦克设计!$B$24:$U$30,MATCH("对"&amp;LEFT($C$5,2)&amp;"输出",标准坦克设计!$B$23:$U$23,0)))*(VLOOKUP($B103,INDIRECT($B$5&amp;"生成成长"),3))*(VLOOKUP($B$5,标准坦克设计!$B$14:$K$20,9)/30))</f>
        <v>20.189050221918123</v>
      </c>
      <c r="FG103" s="172">
        <f ca="1">(VLOOKUP(FG$72,INDIRECT($C$5&amp;"生成成长"),2))/((VLOOKUP($B103,INDIRECT($B$5&amp;"生成成长"),4))/(VLOOKUP(FG$72,INDIRECT($C$5&amp;"生成成长"),5))*(VLOOKUP($B$5,标准坦克设计!$B$24:$U$30,MATCH("对"&amp;LEFT($C$5,2)&amp;"输出",标准坦克设计!$B$23:$U$23,0)))*(VLOOKUP($B103,INDIRECT($B$5&amp;"生成成长"),3))*(VLOOKUP($B$5,标准坦克设计!$B$14:$K$20,9)/30))</f>
        <v>21.467461346218919</v>
      </c>
      <c r="FH103" s="172">
        <f ca="1">(VLOOKUP(FH$72,INDIRECT($C$5&amp;"生成成长"),2))/((VLOOKUP($B103,INDIRECT($B$5&amp;"生成成长"),4))/(VLOOKUP(FH$72,INDIRECT($C$5&amp;"生成成长"),5))*(VLOOKUP($B$5,标准坦克设计!$B$24:$U$30,MATCH("对"&amp;LEFT($C$5,2)&amp;"输出",标准坦克设计!$B$23:$U$23,0)))*(VLOOKUP($B103,INDIRECT($B$5&amp;"生成成长"),3))*(VLOOKUP($B$5,标准坦克设计!$B$14:$K$20,9)/30))</f>
        <v>22.785115314949248</v>
      </c>
      <c r="FI103" s="172">
        <f ca="1">(VLOOKUP(FI$72,INDIRECT($C$5&amp;"生成成长"),2))/((VLOOKUP($B103,INDIRECT($B$5&amp;"生成成长"),4))/(VLOOKUP(FI$72,INDIRECT($C$5&amp;"生成成长"),5))*(VLOOKUP($B$5,标准坦克设计!$B$24:$U$30,MATCH("对"&amp;LEFT($C$5,2)&amp;"输出",标准坦克设计!$B$23:$U$23,0)))*(VLOOKUP($B103,INDIRECT($B$5&amp;"生成成长"),3))*(VLOOKUP($B$5,标准坦克设计!$B$14:$K$20,9)/30))</f>
        <v>24.142012128109119</v>
      </c>
      <c r="FJ103" s="172">
        <f ca="1">(VLOOKUP(FJ$72,INDIRECT($C$5&amp;"生成成长"),2))/((VLOOKUP($B103,INDIRECT($B$5&amp;"生成成长"),4))/(VLOOKUP(FJ$72,INDIRECT($C$5&amp;"生成成长"),5))*(VLOOKUP($B$5,标准坦克设计!$B$24:$U$30,MATCH("对"&amp;LEFT($C$5,2)&amp;"输出",标准坦克设计!$B$23:$U$23,0)))*(VLOOKUP($B103,INDIRECT($B$5&amp;"生成成长"),3))*(VLOOKUP($B$5,标准坦克设计!$B$14:$K$20,9)/30))</f>
        <v>25.538151785698542</v>
      </c>
      <c r="FK103" s="172">
        <f ca="1">(VLOOKUP(FK$72,INDIRECT($C$5&amp;"生成成长"),2))/((VLOOKUP($B103,INDIRECT($B$5&amp;"生成成长"),4))/(VLOOKUP(FK$72,INDIRECT($C$5&amp;"生成成长"),5))*(VLOOKUP($B$5,标准坦克设计!$B$24:$U$30,MATCH("对"&amp;LEFT($C$5,2)&amp;"输出",标准坦克设计!$B$23:$U$23,0)))*(VLOOKUP($B103,INDIRECT($B$5&amp;"生成成长"),3))*(VLOOKUP($B$5,标准坦克设计!$B$14:$K$20,9)/30))</f>
        <v>26.973534287717488</v>
      </c>
    </row>
    <row r="104" spans="1:167" x14ac:dyDescent="0.15">
      <c r="A104" s="170" t="str">
        <f t="shared" si="11"/>
        <v>T4低品质11级</v>
      </c>
      <c r="B104" s="171">
        <v>10411</v>
      </c>
      <c r="C104" s="172">
        <f ca="1">(VLOOKUP(C$72,INDIRECT($C$5&amp;"生成成长"),2))/((VLOOKUP($B104,INDIRECT($B$5&amp;"生成成长"),4))/(VLOOKUP(C$72,INDIRECT($C$5&amp;"生成成长"),5))*(VLOOKUP($B$5,标准坦克设计!$B$24:$U$30,MATCH("对"&amp;LEFT($C$5,2)&amp;"输出",标准坦克设计!$B$23:$U$23,0)))*(VLOOKUP($B104,INDIRECT($B$5&amp;"生成成长"),3))*(VLOOKUP($B$5,标准坦克设计!$B$14:$K$20,9)/30))</f>
        <v>1.0835821442003408</v>
      </c>
      <c r="D104" s="172">
        <f ca="1">(VLOOKUP(D$72,INDIRECT($C$5&amp;"生成成长"),2))/((VLOOKUP($B104,INDIRECT($B$5&amp;"生成成长"),4))/(VLOOKUP(D$72,INDIRECT($C$5&amp;"生成成长"),5))*(VLOOKUP($B$5,标准坦克设计!$B$24:$U$30,MATCH("对"&amp;LEFT($C$5,2)&amp;"输出",标准坦克设计!$B$23:$U$23,0)))*(VLOOKUP($B104,INDIRECT($B$5&amp;"生成成长"),3))*(VLOOKUP($B$5,标准坦克设计!$B$14:$K$20,9)/30))</f>
        <v>1.2175128972235028</v>
      </c>
      <c r="E104" s="172">
        <f ca="1">(VLOOKUP(E$72,INDIRECT($C$5&amp;"生成成长"),2))/((VLOOKUP($B104,INDIRECT($B$5&amp;"生成成长"),4))/(VLOOKUP(E$72,INDIRECT($C$5&amp;"生成成长"),5))*(VLOOKUP($B$5,标准坦克设计!$B$24:$U$30,MATCH("对"&amp;LEFT($C$5,2)&amp;"输出",标准坦克设计!$B$23:$U$23,0)))*(VLOOKUP($B104,INDIRECT($B$5&amp;"生成成长"),3))*(VLOOKUP($B$5,标准坦克设计!$B$14:$K$20,9)/30))</f>
        <v>1.3592454416849076</v>
      </c>
      <c r="F104" s="172">
        <f ca="1">(VLOOKUP(F$72,INDIRECT($C$5&amp;"生成成长"),2))/((VLOOKUP($B104,INDIRECT($B$5&amp;"生成成长"),4))/(VLOOKUP(F$72,INDIRECT($C$5&amp;"生成成长"),5))*(VLOOKUP($B$5,标准坦克设计!$B$24:$U$30,MATCH("对"&amp;LEFT($C$5,2)&amp;"输出",标准坦克设计!$B$23:$U$23,0)))*(VLOOKUP($B104,INDIRECT($B$5&amp;"生成成长"),3))*(VLOOKUP($B$5,标准坦克设计!$B$14:$K$20,9)/30))</f>
        <v>1.5087797775845546</v>
      </c>
      <c r="G104" s="172">
        <f ca="1">(VLOOKUP(G$72,INDIRECT($C$5&amp;"生成成长"),2))/((VLOOKUP($B104,INDIRECT($B$5&amp;"生成成长"),4))/(VLOOKUP(G$72,INDIRECT($C$5&amp;"生成成长"),5))*(VLOOKUP($B$5,标准坦克设计!$B$24:$U$30,MATCH("对"&amp;LEFT($C$5,2)&amp;"输出",标准坦克设计!$B$23:$U$23,0)))*(VLOOKUP($B104,INDIRECT($B$5&amp;"生成成长"),3))*(VLOOKUP($B$5,标准坦克设计!$B$14:$K$20,9)/30))</f>
        <v>1.6661159049224439</v>
      </c>
      <c r="H104" s="172">
        <f ca="1">(VLOOKUP(H$72,INDIRECT($C$5&amp;"生成成长"),2))/((VLOOKUP($B104,INDIRECT($B$5&amp;"生成成长"),4))/(VLOOKUP(H$72,INDIRECT($C$5&amp;"生成成长"),5))*(VLOOKUP($B$5,标准坦克设计!$B$24:$U$30,MATCH("对"&amp;LEFT($C$5,2)&amp;"输出",标准坦克设计!$B$23:$U$23,0)))*(VLOOKUP($B104,INDIRECT($B$5&amp;"生成成长"),3))*(VLOOKUP($B$5,标准坦克设计!$B$14:$K$20,9)/30))</f>
        <v>1.4580681332359784</v>
      </c>
      <c r="I104" s="172">
        <f ca="1">(VLOOKUP(I$72,INDIRECT($C$5&amp;"生成成长"),2))/((VLOOKUP($B104,INDIRECT($B$5&amp;"生成成长"),4))/(VLOOKUP(I$72,INDIRECT($C$5&amp;"生成成长"),5))*(VLOOKUP($B$5,标准坦克设计!$B$24:$U$30,MATCH("对"&amp;LEFT($C$5,2)&amp;"输出",标准坦克设计!$B$23:$U$23,0)))*(VLOOKUP($B104,INDIRECT($B$5&amp;"生成成长"),3))*(VLOOKUP($B$5,标准坦克设计!$B$14:$K$20,9)/30))</f>
        <v>1.6661159049224439</v>
      </c>
      <c r="J104" s="172">
        <f ca="1">(VLOOKUP(J$72,INDIRECT($C$5&amp;"生成成长"),2))/((VLOOKUP($B104,INDIRECT($B$5&amp;"生成成长"),4))/(VLOOKUP(J$72,INDIRECT($C$5&amp;"生成成长"),5))*(VLOOKUP($B$5,标准坦克设计!$B$24:$U$30,MATCH("对"&amp;LEFT($C$5,2)&amp;"输出",标准坦克设计!$B$23:$U$23,0)))*(VLOOKUP($B104,INDIRECT($B$5&amp;"生成成长"),3))*(VLOOKUP($B$5,标准坦克设计!$B$14:$K$20,9)/30))</f>
        <v>1.8880335280546736</v>
      </c>
      <c r="K104" s="172">
        <f ca="1">(VLOOKUP(K$72,INDIRECT($C$5&amp;"生成成长"),2))/((VLOOKUP($B104,INDIRECT($B$5&amp;"生成成长"),4))/(VLOOKUP(K$72,INDIRECT($C$5&amp;"生成成长"),5))*(VLOOKUP($B$5,标准坦克设计!$B$24:$U$30,MATCH("对"&amp;LEFT($C$5,2)&amp;"输出",标准坦克设计!$B$23:$U$23,0)))*(VLOOKUP($B104,INDIRECT($B$5&amp;"生成成长"),3))*(VLOOKUP($B$5,标准坦克设计!$B$14:$K$20,9)/30))</f>
        <v>2.1238210026326678</v>
      </c>
      <c r="L104" s="172">
        <f ca="1">(VLOOKUP(L$72,INDIRECT($C$5&amp;"生成成长"),2))/((VLOOKUP($B104,INDIRECT($B$5&amp;"生成成长"),4))/(VLOOKUP(L$72,INDIRECT($C$5&amp;"生成成长"),5))*(VLOOKUP($B$5,标准坦克设计!$B$24:$U$30,MATCH("对"&amp;LEFT($C$5,2)&amp;"输出",标准坦克设计!$B$23:$U$23,0)))*(VLOOKUP($B104,INDIRECT($B$5&amp;"生成成长"),3))*(VLOOKUP($B$5,标准坦克设计!$B$14:$K$20,9)/30))</f>
        <v>2.3734783286564265</v>
      </c>
      <c r="M104" s="172">
        <f ca="1">(VLOOKUP(M$72,INDIRECT($C$5&amp;"生成成长"),2))/((VLOOKUP($B104,INDIRECT($B$5&amp;"生成成长"),4))/(VLOOKUP(M$72,INDIRECT($C$5&amp;"生成成长"),5))*(VLOOKUP($B$5,标准坦克设计!$B$24:$U$30,MATCH("对"&amp;LEFT($C$5,2)&amp;"输出",标准坦克设计!$B$23:$U$23,0)))*(VLOOKUP($B104,INDIRECT($B$5&amp;"生成成长"),3))*(VLOOKUP($B$5,标准坦克设计!$B$14:$K$20,9)/30))</f>
        <v>2.6370055061259485</v>
      </c>
      <c r="N104" s="172">
        <f ca="1">(VLOOKUP(N$72,INDIRECT($C$5&amp;"生成成长"),2))/((VLOOKUP($B104,INDIRECT($B$5&amp;"生成成长"),4))/(VLOOKUP(N$72,INDIRECT($C$5&amp;"生成成长"),5))*(VLOOKUP($B$5,标准坦克设计!$B$24:$U$30,MATCH("对"&amp;LEFT($C$5,2)&amp;"输出",标准坦克设计!$B$23:$U$23,0)))*(VLOOKUP($B104,INDIRECT($B$5&amp;"生成成长"),3))*(VLOOKUP($B$5,标准坦克设计!$B$14:$K$20,9)/30))</f>
        <v>2.9144025350412366</v>
      </c>
      <c r="O104" s="172">
        <f ca="1">(VLOOKUP(O$72,INDIRECT($C$5&amp;"生成成长"),2))/((VLOOKUP($B104,INDIRECT($B$5&amp;"生成成长"),4))/(VLOOKUP(O$72,INDIRECT($C$5&amp;"生成成长"),5))*(VLOOKUP($B$5,标准坦克设计!$B$24:$U$30,MATCH("对"&amp;LEFT($C$5,2)&amp;"输出",标准坦克设计!$B$23:$U$23,0)))*(VLOOKUP($B104,INDIRECT($B$5&amp;"生成成长"),3))*(VLOOKUP($B$5,标准坦克设计!$B$14:$K$20,9)/30))</f>
        <v>2.2158171266752764</v>
      </c>
      <c r="P104" s="172">
        <f ca="1">(VLOOKUP(P$72,INDIRECT($C$5&amp;"生成成长"),2))/((VLOOKUP($B104,INDIRECT($B$5&amp;"生成成长"),4))/(VLOOKUP(P$72,INDIRECT($C$5&amp;"生成成长"),5))*(VLOOKUP($B$5,标准坦克设计!$B$24:$U$30,MATCH("对"&amp;LEFT($C$5,2)&amp;"输出",标准坦克设计!$B$23:$U$23,0)))*(VLOOKUP($B104,INDIRECT($B$5&amp;"生成成长"),3))*(VLOOKUP($B$5,标准坦克设计!$B$14:$K$20,9)/30))</f>
        <v>2.5035081859604671</v>
      </c>
      <c r="Q104" s="172">
        <f ca="1">(VLOOKUP(Q$72,INDIRECT($C$5&amp;"生成成长"),2))/((VLOOKUP($B104,INDIRECT($B$5&amp;"生成成长"),4))/(VLOOKUP(Q$72,INDIRECT($C$5&amp;"生成成长"),5))*(VLOOKUP($B$5,标准坦克设计!$B$24:$U$30,MATCH("对"&amp;LEFT($C$5,2)&amp;"输出",标准坦克设计!$B$23:$U$23,0)))*(VLOOKUP($B104,INDIRECT($B$5&amp;"生成成长"),3))*(VLOOKUP($B$5,标准坦克设计!$B$14:$K$20,9)/30))</f>
        <v>2.8087532759817031</v>
      </c>
      <c r="R104" s="172">
        <f ca="1">(VLOOKUP(R$72,INDIRECT($C$5&amp;"生成成长"),2))/((VLOOKUP($B104,INDIRECT($B$5&amp;"生成成长"),4))/(VLOOKUP(R$72,INDIRECT($C$5&amp;"生成成长"),5))*(VLOOKUP($B$5,标准坦克设计!$B$24:$U$30,MATCH("对"&amp;LEFT($C$5,2)&amp;"输出",标准坦克设计!$B$23:$U$23,0)))*(VLOOKUP($B104,INDIRECT($B$5&amp;"生成成长"),3))*(VLOOKUP($B$5,标准坦克设计!$B$14:$K$20,9)/30))</f>
        <v>3.1315523967389844</v>
      </c>
      <c r="S104" s="172">
        <f ca="1">(VLOOKUP(S$72,INDIRECT($C$5&amp;"生成成长"),2))/((VLOOKUP($B104,INDIRECT($B$5&amp;"生成成长"),4))/(VLOOKUP(S$72,INDIRECT($C$5&amp;"生成成长"),5))*(VLOOKUP($B$5,标准坦克设计!$B$24:$U$30,MATCH("对"&amp;LEFT($C$5,2)&amp;"输出",标准坦克设计!$B$23:$U$23,0)))*(VLOOKUP($B104,INDIRECT($B$5&amp;"生成成长"),3))*(VLOOKUP($B$5,标准坦克设计!$B$14:$K$20,9)/30))</f>
        <v>3.4719055482323116</v>
      </c>
      <c r="T104" s="172">
        <f ca="1">(VLOOKUP(T$72,INDIRECT($C$5&amp;"生成成长"),2))/((VLOOKUP($B104,INDIRECT($B$5&amp;"生成成长"),4))/(VLOOKUP(T$72,INDIRECT($C$5&amp;"生成成长"),5))*(VLOOKUP($B$5,标准坦克设计!$B$24:$U$30,MATCH("对"&amp;LEFT($C$5,2)&amp;"输出",标准坦克设计!$B$23:$U$23,0)))*(VLOOKUP($B104,INDIRECT($B$5&amp;"生成成长"),3))*(VLOOKUP($B$5,标准坦克设计!$B$14:$K$20,9)/30))</f>
        <v>3.8298127304616845</v>
      </c>
      <c r="U104" s="172">
        <f ca="1">(VLOOKUP(U$72,INDIRECT($C$5&amp;"生成成长"),2))/((VLOOKUP($B104,INDIRECT($B$5&amp;"生成成长"),4))/(VLOOKUP(U$72,INDIRECT($C$5&amp;"生成成长"),5))*(VLOOKUP($B$5,标准坦克设计!$B$24:$U$30,MATCH("对"&amp;LEFT($C$5,2)&amp;"输出",标准坦克设计!$B$23:$U$23,0)))*(VLOOKUP($B104,INDIRECT($B$5&amp;"生成成长"),3))*(VLOOKUP($B$5,标准坦克设计!$B$14:$K$20,9)/30))</f>
        <v>4.2052739434271027</v>
      </c>
      <c r="V104" s="172">
        <f ca="1">(VLOOKUP(V$72,INDIRECT($C$5&amp;"生成成长"),2))/((VLOOKUP($B104,INDIRECT($B$5&amp;"生成成长"),4))/(VLOOKUP(V$72,INDIRECT($C$5&amp;"生成成长"),5))*(VLOOKUP($B$5,标准坦克设计!$B$24:$U$30,MATCH("对"&amp;LEFT($C$5,2)&amp;"输出",标准坦克设计!$B$23:$U$23,0)))*(VLOOKUP($B104,INDIRECT($B$5&amp;"生成成长"),3))*(VLOOKUP($B$5,标准坦克设计!$B$14:$K$20,9)/30))</f>
        <v>4.5982891871285663</v>
      </c>
      <c r="W104" s="172">
        <f ca="1">(VLOOKUP(W$72,INDIRECT($C$5&amp;"生成成长"),2))/((VLOOKUP($B104,INDIRECT($B$5&amp;"生成成长"),4))/(VLOOKUP(W$72,INDIRECT($C$5&amp;"生成成长"),5))*(VLOOKUP($B$5,标准坦克设计!$B$24:$U$30,MATCH("对"&amp;LEFT($C$5,2)&amp;"输出",标准坦克设计!$B$23:$U$23,0)))*(VLOOKUP($B104,INDIRECT($B$5&amp;"生成成长"),3))*(VLOOKUP($B$5,标准坦克设计!$B$14:$K$20,9)/30))</f>
        <v>5.0088584615660761</v>
      </c>
      <c r="X104" s="172">
        <f ca="1">(VLOOKUP(X$72,INDIRECT($C$5&amp;"生成成长"),2))/((VLOOKUP($B104,INDIRECT($B$5&amp;"生成成长"),4))/(VLOOKUP(X$72,INDIRECT($C$5&amp;"生成成长"),5))*(VLOOKUP($B$5,标准坦克设计!$B$24:$U$30,MATCH("对"&amp;LEFT($C$5,2)&amp;"输出",标准坦克设计!$B$23:$U$23,0)))*(VLOOKUP($B104,INDIRECT($B$5&amp;"生成成长"),3))*(VLOOKUP($B$5,标准坦克设计!$B$14:$K$20,9)/30))</f>
        <v>3.6288082427125214</v>
      </c>
      <c r="Y104" s="172">
        <f ca="1">(VLOOKUP(Y$72,INDIRECT($C$5&amp;"生成成长"),2))/((VLOOKUP($B104,INDIRECT($B$5&amp;"生成成长"),4))/(VLOOKUP(Y$72,INDIRECT($C$5&amp;"生成成长"),5))*(VLOOKUP($B$5,标准坦克设计!$B$24:$U$30,MATCH("对"&amp;LEFT($C$5,2)&amp;"输出",标准坦克设计!$B$23:$U$23,0)))*(VLOOKUP($B104,INDIRECT($B$5&amp;"生成成长"),3))*(VLOOKUP($B$5,标准坦克设计!$B$14:$K$20,9)/30))</f>
        <v>4.0362351289318488</v>
      </c>
      <c r="Z104" s="172">
        <f ca="1">(VLOOKUP(Z$72,INDIRECT($C$5&amp;"生成成长"),2))/((VLOOKUP($B104,INDIRECT($B$5&amp;"生成成长"),4))/(VLOOKUP(Z$72,INDIRECT($C$5&amp;"生成成长"),5))*(VLOOKUP($B$5,标准坦克设计!$B$24:$U$30,MATCH("对"&amp;LEFT($C$5,2)&amp;"输出",标准坦克设计!$B$23:$U$23,0)))*(VLOOKUP($B104,INDIRECT($B$5&amp;"生成成长"),3))*(VLOOKUP($B$5,标准坦克设计!$B$14:$K$20,9)/30))</f>
        <v>4.4653336580351839</v>
      </c>
      <c r="AA104" s="172">
        <f ca="1">(VLOOKUP(AA$72,INDIRECT($C$5&amp;"生成成长"),2))/((VLOOKUP($B104,INDIRECT($B$5&amp;"生成成长"),4))/(VLOOKUP(AA$72,INDIRECT($C$5&amp;"生成成长"),5))*(VLOOKUP($B$5,标准坦克设计!$B$24:$U$30,MATCH("对"&amp;LEFT($C$5,2)&amp;"输出",标准坦克设计!$B$23:$U$23,0)))*(VLOOKUP($B104,INDIRECT($B$5&amp;"生成成长"),3))*(VLOOKUP($B$5,标准坦克设计!$B$14:$K$20,9)/30))</f>
        <v>4.9161038300225259</v>
      </c>
      <c r="AB104" s="172">
        <f ca="1">(VLOOKUP(AB$72,INDIRECT($C$5&amp;"生成成长"),2))/((VLOOKUP($B104,INDIRECT($B$5&amp;"生成成长"),4))/(VLOOKUP(AB$72,INDIRECT($C$5&amp;"生成成长"),5))*(VLOOKUP($B$5,标准坦克设计!$B$24:$U$30,MATCH("对"&amp;LEFT($C$5,2)&amp;"输出",标准坦克设计!$B$23:$U$23,0)))*(VLOOKUP($B104,INDIRECT($B$5&amp;"生成成长"),3))*(VLOOKUP($B$5,标准坦克设计!$B$14:$K$20,9)/30))</f>
        <v>5.388545644893874</v>
      </c>
      <c r="AC104" s="172">
        <f ca="1">(VLOOKUP(AC$72,INDIRECT($C$5&amp;"生成成长"),2))/((VLOOKUP($B104,INDIRECT($B$5&amp;"生成成长"),4))/(VLOOKUP(AC$72,INDIRECT($C$5&amp;"生成成长"),5))*(VLOOKUP($B$5,标准坦克设计!$B$24:$U$30,MATCH("对"&amp;LEFT($C$5,2)&amp;"输出",标准坦克设计!$B$23:$U$23,0)))*(VLOOKUP($B104,INDIRECT($B$5&amp;"生成成长"),3))*(VLOOKUP($B$5,标准坦克设计!$B$14:$K$20,9)/30))</f>
        <v>5.8826591026492299</v>
      </c>
      <c r="AD104" s="172">
        <f ca="1">(VLOOKUP(AD$72,INDIRECT($C$5&amp;"生成成长"),2))/((VLOOKUP($B104,INDIRECT($B$5&amp;"生成成长"),4))/(VLOOKUP(AD$72,INDIRECT($C$5&amp;"生成成长"),5))*(VLOOKUP($B$5,标准坦克设计!$B$24:$U$30,MATCH("对"&amp;LEFT($C$5,2)&amp;"输出",标准坦克设计!$B$23:$U$23,0)))*(VLOOKUP($B104,INDIRECT($B$5&amp;"生成成长"),3))*(VLOOKUP($B$5,标准坦克设计!$B$14:$K$20,9)/30))</f>
        <v>6.3984442032885926</v>
      </c>
      <c r="AE104" s="172">
        <f ca="1">(VLOOKUP(AE$72,INDIRECT($C$5&amp;"生成成长"),2))/((VLOOKUP($B104,INDIRECT($B$5&amp;"生成成长"),4))/(VLOOKUP(AE$72,INDIRECT($C$5&amp;"生成成长"),5))*(VLOOKUP($B$5,标准坦克设计!$B$24:$U$30,MATCH("对"&amp;LEFT($C$5,2)&amp;"输出",标准坦克设计!$B$23:$U$23,0)))*(VLOOKUP($B104,INDIRECT($B$5&amp;"生成成长"),3))*(VLOOKUP($B$5,标准坦克设计!$B$14:$K$20,9)/30))</f>
        <v>6.9359009468119615</v>
      </c>
      <c r="AF104" s="172">
        <f ca="1">(VLOOKUP(AF$72,INDIRECT($C$5&amp;"生成成长"),2))/((VLOOKUP($B104,INDIRECT($B$5&amp;"生成成长"),4))/(VLOOKUP(AF$72,INDIRECT($C$5&amp;"生成成长"),5))*(VLOOKUP($B$5,标准坦克设计!$B$24:$U$30,MATCH("对"&amp;LEFT($C$5,2)&amp;"输出",标准坦克设计!$B$23:$U$23,0)))*(VLOOKUP($B104,INDIRECT($B$5&amp;"生成成长"),3))*(VLOOKUP($B$5,标准坦克设计!$B$14:$K$20,9)/30))</f>
        <v>7.4950293332193381</v>
      </c>
      <c r="AG104" s="172">
        <f ca="1">(VLOOKUP(AG$72,INDIRECT($C$5&amp;"生成成长"),2))/((VLOOKUP($B104,INDIRECT($B$5&amp;"生成成长"),4))/(VLOOKUP(AG$72,INDIRECT($C$5&amp;"生成成长"),5))*(VLOOKUP($B$5,标准坦克设计!$B$24:$U$30,MATCH("对"&amp;LEFT($C$5,2)&amp;"输出",标准坦克设计!$B$23:$U$23,0)))*(VLOOKUP($B104,INDIRECT($B$5&amp;"生成成长"),3))*(VLOOKUP($B$5,标准坦克设计!$B$14:$K$20,9)/30))</f>
        <v>8.0758293625107189</v>
      </c>
      <c r="AH104" s="172">
        <f ca="1">(VLOOKUP(AH$72,INDIRECT($C$5&amp;"生成成长"),2))/((VLOOKUP($B104,INDIRECT($B$5&amp;"生成成长"),4))/(VLOOKUP(AH$72,INDIRECT($C$5&amp;"生成成长"),5))*(VLOOKUP($B$5,标准坦克设计!$B$24:$U$30,MATCH("对"&amp;LEFT($C$5,2)&amp;"输出",标准坦克设计!$B$23:$U$23,0)))*(VLOOKUP($B104,INDIRECT($B$5&amp;"生成成长"),3))*(VLOOKUP($B$5,标准坦克设计!$B$14:$K$20,9)/30))</f>
        <v>8.6783010346861094</v>
      </c>
      <c r="AI104" s="172">
        <f ca="1">(VLOOKUP(AI$72,INDIRECT($C$5&amp;"生成成长"),2))/((VLOOKUP($B104,INDIRECT($B$5&amp;"生成成长"),4))/(VLOOKUP(AI$72,INDIRECT($C$5&amp;"生成成长"),5))*(VLOOKUP($B$5,标准坦克设计!$B$24:$U$30,MATCH("对"&amp;LEFT($C$5,2)&amp;"输出",标准坦克设计!$B$23:$U$23,0)))*(VLOOKUP($B104,INDIRECT($B$5&amp;"生成成长"),3))*(VLOOKUP($B$5,标准坦克设计!$B$14:$K$20,9)/30))</f>
        <v>6.1378426976084111</v>
      </c>
      <c r="AJ104" s="172">
        <f ca="1">(VLOOKUP(AJ$72,INDIRECT($C$5&amp;"生成成长"),2))/((VLOOKUP($B104,INDIRECT($B$5&amp;"生成成长"),4))/(VLOOKUP(AJ$72,INDIRECT($C$5&amp;"生成成长"),5))*(VLOOKUP($B$5,标准坦克设计!$B$24:$U$30,MATCH("对"&amp;LEFT($C$5,2)&amp;"输出",标准坦克设计!$B$23:$U$23,0)))*(VLOOKUP($B104,INDIRECT($B$5&amp;"生成成长"),3))*(VLOOKUP($B$5,标准坦克设计!$B$14:$K$20,9)/30))</f>
        <v>6.7183176522565322</v>
      </c>
      <c r="AK104" s="172">
        <f ca="1">(VLOOKUP(AK$72,INDIRECT($C$5&amp;"生成成长"),2))/((VLOOKUP($B104,INDIRECT($B$5&amp;"生成成长"),4))/(VLOOKUP(AK$72,INDIRECT($C$5&amp;"生成成长"),5))*(VLOOKUP($B$5,标准坦克设计!$B$24:$U$30,MATCH("对"&amp;LEFT($C$5,2)&amp;"输出",标准坦克设计!$B$23:$U$23,0)))*(VLOOKUP($B104,INDIRECT($B$5&amp;"生成成长"),3))*(VLOOKUP($B$5,标准坦克设计!$B$14:$K$20,9)/30))</f>
        <v>7.3250152947943041</v>
      </c>
      <c r="AL104" s="172">
        <f ca="1">(VLOOKUP(AL$72,INDIRECT($C$5&amp;"生成成长"),2))/((VLOOKUP($B104,INDIRECT($B$5&amp;"生成成长"),4))/(VLOOKUP(AL$72,INDIRECT($C$5&amp;"生成成长"),5))*(VLOOKUP($B$5,标准坦克设计!$B$24:$U$30,MATCH("对"&amp;LEFT($C$5,2)&amp;"输出",标准坦克设计!$B$23:$U$23,0)))*(VLOOKUP($B104,INDIRECT($B$5&amp;"生成成长"),3))*(VLOOKUP($B$5,标准坦克设计!$B$14:$K$20,9)/30))</f>
        <v>7.9579356252217224</v>
      </c>
      <c r="AM104" s="172">
        <f ca="1">(VLOOKUP(AM$72,INDIRECT($C$5&amp;"生成成长"),2))/((VLOOKUP($B104,INDIRECT($B$5&amp;"生成成长"),4))/(VLOOKUP(AM$72,INDIRECT($C$5&amp;"生成成长"),5))*(VLOOKUP($B$5,标准坦克设计!$B$24:$U$30,MATCH("对"&amp;LEFT($C$5,2)&amp;"输出",标准坦克设计!$B$23:$U$23,0)))*(VLOOKUP($B104,INDIRECT($B$5&amp;"生成成长"),3))*(VLOOKUP($B$5,标准坦克设计!$B$14:$K$20,9)/30))</f>
        <v>8.6170786435387896</v>
      </c>
      <c r="AN104" s="172">
        <f ca="1">(VLOOKUP(AN$72,INDIRECT($C$5&amp;"生成成长"),2))/((VLOOKUP($B104,INDIRECT($B$5&amp;"生成成长"),4))/(VLOOKUP(AN$72,INDIRECT($C$5&amp;"生成成长"),5))*(VLOOKUP($B$5,标准坦克设计!$B$24:$U$30,MATCH("对"&amp;LEFT($C$5,2)&amp;"输出",标准坦克设计!$B$23:$U$23,0)))*(VLOOKUP($B104,INDIRECT($B$5&amp;"生成成长"),3))*(VLOOKUP($B$5,标准坦克设计!$B$14:$K$20,9)/30))</f>
        <v>9.3024443497455032</v>
      </c>
      <c r="AO104" s="172">
        <f ca="1">(VLOOKUP(AO$72,INDIRECT($C$5&amp;"生成成长"),2))/((VLOOKUP($B104,INDIRECT($B$5&amp;"生成成长"),4))/(VLOOKUP(AO$72,INDIRECT($C$5&amp;"生成成长"),5))*(VLOOKUP($B$5,标准坦克设计!$B$24:$U$30,MATCH("对"&amp;LEFT($C$5,2)&amp;"输出",标准坦克设计!$B$23:$U$23,0)))*(VLOOKUP($B104,INDIRECT($B$5&amp;"生成成长"),3))*(VLOOKUP($B$5,标准坦克设计!$B$14:$K$20,9)/30))</f>
        <v>10.014032743841868</v>
      </c>
      <c r="AP104" s="172">
        <f ca="1">(VLOOKUP(AP$72,INDIRECT($C$5&amp;"生成成长"),2))/((VLOOKUP($B104,INDIRECT($B$5&amp;"生成成长"),4))/(VLOOKUP(AP$72,INDIRECT($C$5&amp;"生成成长"),5))*(VLOOKUP($B$5,标准坦克设计!$B$24:$U$30,MATCH("对"&amp;LEFT($C$5,2)&amp;"输出",标准坦克设计!$B$23:$U$23,0)))*(VLOOKUP($B104,INDIRECT($B$5&amp;"生成成长"),3))*(VLOOKUP($B$5,标准坦克设计!$B$14:$K$20,9)/30))</f>
        <v>10.751843825827882</v>
      </c>
      <c r="AQ104" s="172">
        <f ca="1">(VLOOKUP(AQ$72,INDIRECT($C$5&amp;"生成成长"),2))/((VLOOKUP($B104,INDIRECT($B$5&amp;"生成成长"),4))/(VLOOKUP(AQ$72,INDIRECT($C$5&amp;"生成成长"),5))*(VLOOKUP($B$5,标准坦克设计!$B$24:$U$30,MATCH("对"&amp;LEFT($C$5,2)&amp;"输出",标准坦克设计!$B$23:$U$23,0)))*(VLOOKUP($B104,INDIRECT($B$5&amp;"生成成长"),3))*(VLOOKUP($B$5,标准坦克设计!$B$14:$K$20,9)/30))</f>
        <v>11.515877595703541</v>
      </c>
      <c r="AR104" s="172">
        <f ca="1">(VLOOKUP(AR$72,INDIRECT($C$5&amp;"生成成长"),2))/((VLOOKUP($B104,INDIRECT($B$5&amp;"生成成长"),4))/(VLOOKUP(AR$72,INDIRECT($C$5&amp;"生成成长"),5))*(VLOOKUP($B$5,标准坦克设计!$B$24:$U$30,MATCH("对"&amp;LEFT($C$5,2)&amp;"输出",标准坦克设计!$B$23:$U$23,0)))*(VLOOKUP($B104,INDIRECT($B$5&amp;"生成成长"),3))*(VLOOKUP($B$5,标准坦克设计!$B$14:$K$20,9)/30))</f>
        <v>12.306134053468849</v>
      </c>
      <c r="AS104" s="172">
        <f ca="1">(VLOOKUP(AS$72,INDIRECT($C$5&amp;"生成成长"),2))/((VLOOKUP($B104,INDIRECT($B$5&amp;"生成成长"),4))/(VLOOKUP(AS$72,INDIRECT($C$5&amp;"生成成长"),5))*(VLOOKUP($B$5,标准坦克设计!$B$24:$U$30,MATCH("对"&amp;LEFT($C$5,2)&amp;"输出",标准坦克设计!$B$23:$U$23,0)))*(VLOOKUP($B104,INDIRECT($B$5&amp;"生成成长"),3))*(VLOOKUP($B$5,标准坦克设计!$B$14:$K$20,9)/30))</f>
        <v>13.122613199123808</v>
      </c>
      <c r="AT104" s="172">
        <f ca="1">(VLOOKUP(AT$72,INDIRECT($C$5&amp;"生成成长"),2))/((VLOOKUP($B104,INDIRECT($B$5&amp;"生成成长"),4))/(VLOOKUP(AT$72,INDIRECT($C$5&amp;"生成成长"),5))*(VLOOKUP($B$5,标准坦克设计!$B$24:$U$30,MATCH("对"&amp;LEFT($C$5,2)&amp;"输出",标准坦克设计!$B$23:$U$23,0)))*(VLOOKUP($B104,INDIRECT($B$5&amp;"生成成长"),3))*(VLOOKUP($B$5,标准坦克设计!$B$14:$K$20,9)/30))</f>
        <v>13.965315032668411</v>
      </c>
      <c r="AU104" s="172">
        <f ca="1">(VLOOKUP(AU$72,INDIRECT($C$5&amp;"生成成长"),2))/((VLOOKUP($B104,INDIRECT($B$5&amp;"生成成长"),4))/(VLOOKUP(AU$72,INDIRECT($C$5&amp;"生成成长"),5))*(VLOOKUP($B$5,标准坦克设计!$B$24:$U$30,MATCH("对"&amp;LEFT($C$5,2)&amp;"输出",标准坦克设计!$B$23:$U$23,0)))*(VLOOKUP($B104,INDIRECT($B$5&amp;"生成成长"),3))*(VLOOKUP($B$5,标准坦克设计!$B$14:$K$20,9)/30))</f>
        <v>14.834239554102668</v>
      </c>
      <c r="AV104" s="172">
        <f ca="1">(VLOOKUP(AV$72,INDIRECT($C$5&amp;"生成成长"),2))/((VLOOKUP($B104,INDIRECT($B$5&amp;"生成成长"),4))/(VLOOKUP(AV$72,INDIRECT($C$5&amp;"生成成长"),5))*(VLOOKUP($B$5,标准坦克设计!$B$24:$U$30,MATCH("对"&amp;LEFT($C$5,2)&amp;"输出",标准坦克设计!$B$23:$U$23,0)))*(VLOOKUP($B104,INDIRECT($B$5&amp;"生成成长"),3))*(VLOOKUP($B$5,标准坦克设计!$B$14:$K$20,9)/30))</f>
        <v>1.5087797775845546</v>
      </c>
      <c r="AW104" s="172">
        <f ca="1">(VLOOKUP(AW$72,INDIRECT($C$5&amp;"生成成长"),2))/((VLOOKUP($B104,INDIRECT($B$5&amp;"生成成长"),4))/(VLOOKUP(AW$72,INDIRECT($C$5&amp;"生成成长"),5))*(VLOOKUP($B$5,标准坦克设计!$B$24:$U$30,MATCH("对"&amp;LEFT($C$5,2)&amp;"输出",标准坦克设计!$B$23:$U$23,0)))*(VLOOKUP($B104,INDIRECT($B$5&amp;"生成成长"),3))*(VLOOKUP($B$5,标准坦克设计!$B$14:$K$20,9)/30))</f>
        <v>1.7202950121324609</v>
      </c>
      <c r="AX104" s="172">
        <f ca="1">(VLOOKUP(AX$72,INDIRECT($C$5&amp;"生成成长"),2))/((VLOOKUP($B104,INDIRECT($B$5&amp;"生成成长"),4))/(VLOOKUP(AX$72,INDIRECT($C$5&amp;"生成成长"),5))*(VLOOKUP($B$5,标准坦克设计!$B$24:$U$30,MATCH("对"&amp;LEFT($C$5,2)&amp;"输出",标准坦克设计!$B$23:$U$23,0)))*(VLOOKUP($B104,INDIRECT($B$5&amp;"生成成长"),3))*(VLOOKUP($B$5,标准坦克设计!$B$14:$K$20,9)/30))</f>
        <v>1.9456800981261315</v>
      </c>
      <c r="AY104" s="172">
        <f ca="1">(VLOOKUP(AY$72,INDIRECT($C$5&amp;"生成成长"),2))/((VLOOKUP($B104,INDIRECT($B$5&amp;"生成成长"),4))/(VLOOKUP(AY$72,INDIRECT($C$5&amp;"生成成长"),5))*(VLOOKUP($B$5,标准坦克设计!$B$24:$U$30,MATCH("对"&amp;LEFT($C$5,2)&amp;"输出",标准坦克设计!$B$23:$U$23,0)))*(VLOOKUP($B104,INDIRECT($B$5&amp;"生成成长"),3))*(VLOOKUP($B$5,标准坦克设计!$B$14:$K$20,9)/30))</f>
        <v>2.1849350355655672</v>
      </c>
      <c r="AZ104" s="172">
        <f ca="1">(VLOOKUP(AZ$72,INDIRECT($C$5&amp;"生成成长"),2))/((VLOOKUP($B104,INDIRECT($B$5&amp;"生成成长"),4))/(VLOOKUP(AZ$72,INDIRECT($C$5&amp;"生成成长"),5))*(VLOOKUP($B$5,标准坦克设计!$B$24:$U$30,MATCH("对"&amp;LEFT($C$5,2)&amp;"输出",标准坦克设计!$B$23:$U$23,0)))*(VLOOKUP($B104,INDIRECT($B$5&amp;"生成成长"),3))*(VLOOKUP($B$5,标准坦克设计!$B$14:$K$20,9)/30))</f>
        <v>2.4380598244507667</v>
      </c>
      <c r="BA104" s="172">
        <f ca="1">(VLOOKUP(BA$72,INDIRECT($C$5&amp;"生成成长"),2))/((VLOOKUP($B104,INDIRECT($B$5&amp;"生成成长"),4))/(VLOOKUP(BA$72,INDIRECT($C$5&amp;"生成成长"),5))*(VLOOKUP($B$5,标准坦克设计!$B$24:$U$30,MATCH("对"&amp;LEFT($C$5,2)&amp;"输出",标准坦克设计!$B$23:$U$23,0)))*(VLOOKUP($B104,INDIRECT($B$5&amp;"生成成长"),3))*(VLOOKUP($B$5,标准坦克设计!$B$14:$K$20,9)/30))</f>
        <v>2.7050544647817305</v>
      </c>
      <c r="BB104" s="172">
        <f ca="1">(VLOOKUP(BB$72,INDIRECT($C$5&amp;"生成成长"),2))/((VLOOKUP($B104,INDIRECT($B$5&amp;"生成成长"),4))/(VLOOKUP(BB$72,INDIRECT($C$5&amp;"生成成长"),5))*(VLOOKUP($B$5,标准坦克设计!$B$24:$U$30,MATCH("对"&amp;LEFT($C$5,2)&amp;"输出",标准坦克设计!$B$23:$U$23,0)))*(VLOOKUP($B104,INDIRECT($B$5&amp;"生成成长"),3))*(VLOOKUP($B$5,标准坦克设计!$B$14:$K$20,9)/30))</f>
        <v>2.985918956558459</v>
      </c>
      <c r="BC104" s="172">
        <f ca="1">(VLOOKUP(BC$72,INDIRECT($C$5&amp;"生成成长"),2))/((VLOOKUP($B104,INDIRECT($B$5&amp;"生成成长"),4))/(VLOOKUP(BC$72,INDIRECT($C$5&amp;"生成成长"),5))*(VLOOKUP($B$5,标准坦克设计!$B$24:$U$30,MATCH("对"&amp;LEFT($C$5,2)&amp;"输出",标准坦克设计!$B$23:$U$23,0)))*(VLOOKUP($B104,INDIRECT($B$5&amp;"生成成长"),3))*(VLOOKUP($B$5,标准坦克设计!$B$14:$K$20,9)/30))</f>
        <v>3.2806532997809521</v>
      </c>
      <c r="BD104" s="172">
        <f ca="1">(VLOOKUP(BD$72,INDIRECT($C$5&amp;"生成成长"),2))/((VLOOKUP($B104,INDIRECT($B$5&amp;"生成成长"),4))/(VLOOKUP(BD$72,INDIRECT($C$5&amp;"生成成长"),5))*(VLOOKUP($B$5,标准坦克设计!$B$24:$U$30,MATCH("对"&amp;LEFT($C$5,2)&amp;"输出",标准坦克设计!$B$23:$U$23,0)))*(VLOOKUP($B104,INDIRECT($B$5&amp;"生成成长"),3))*(VLOOKUP($B$5,标准坦克设计!$B$14:$K$20,9)/30))</f>
        <v>3.6288082427125214</v>
      </c>
      <c r="BE104" s="172">
        <f ca="1">(VLOOKUP(BE$72,INDIRECT($C$5&amp;"生成成长"),2))/((VLOOKUP($B104,INDIRECT($B$5&amp;"生成成长"),4))/(VLOOKUP(BE$72,INDIRECT($C$5&amp;"生成成长"),5))*(VLOOKUP($B$5,标准坦克设计!$B$24:$U$30,MATCH("对"&amp;LEFT($C$5,2)&amp;"输出",标准坦克设计!$B$23:$U$23,0)))*(VLOOKUP($B104,INDIRECT($B$5&amp;"生成成长"),3))*(VLOOKUP($B$5,标准坦克设计!$B$14:$K$20,9)/30))</f>
        <v>3.9945172163801361</v>
      </c>
      <c r="BF104" s="172">
        <f ca="1">(VLOOKUP(BF$72,INDIRECT($C$5&amp;"生成成长"),2))/((VLOOKUP($B104,INDIRECT($B$5&amp;"生成成长"),4))/(VLOOKUP(BF$72,INDIRECT($C$5&amp;"生成成长"),5))*(VLOOKUP($B$5,标准坦克设计!$B$24:$U$30,MATCH("对"&amp;LEFT($C$5,2)&amp;"输出",标准坦克设计!$B$23:$U$23,0)))*(VLOOKUP($B104,INDIRECT($B$5&amp;"生成成长"),3))*(VLOOKUP($B$5,标准坦克设计!$B$14:$K$20,9)/30))</f>
        <v>4.377780220783797</v>
      </c>
      <c r="BG104" s="172">
        <f ca="1">(VLOOKUP(BG$72,INDIRECT($C$5&amp;"生成成长"),2))/((VLOOKUP($B104,INDIRECT($B$5&amp;"生成成长"),4))/(VLOOKUP(BG$72,INDIRECT($C$5&amp;"生成成长"),5))*(VLOOKUP($B$5,标准坦克设计!$B$24:$U$30,MATCH("对"&amp;LEFT($C$5,2)&amp;"输出",标准坦克设计!$B$23:$U$23,0)))*(VLOOKUP($B104,INDIRECT($B$5&amp;"生成成长"),3))*(VLOOKUP($B$5,标准坦克设计!$B$14:$K$20,9)/30))</f>
        <v>4.7785972559235024</v>
      </c>
      <c r="BH104" s="172">
        <f ca="1">(VLOOKUP(BH$72,INDIRECT($C$5&amp;"生成成长"),2))/((VLOOKUP($B104,INDIRECT($B$5&amp;"生成成长"),4))/(VLOOKUP(BH$72,INDIRECT($C$5&amp;"生成成长"),5))*(VLOOKUP($B$5,标准坦克设计!$B$24:$U$30,MATCH("对"&amp;LEFT($C$5,2)&amp;"输出",标准坦克设计!$B$23:$U$23,0)))*(VLOOKUP($B104,INDIRECT($B$5&amp;"生成成长"),3))*(VLOOKUP($B$5,标准坦克设计!$B$14:$K$20,9)/30))</f>
        <v>2.3097636985774463</v>
      </c>
      <c r="BI104" s="172">
        <f ca="1">(VLOOKUP(BI$72,INDIRECT($C$5&amp;"生成成长"),2))/((VLOOKUP($B104,INDIRECT($B$5&amp;"生成成长"),4))/(VLOOKUP(BI$72,INDIRECT($C$5&amp;"生成成长"),5))*(VLOOKUP($B$5,标准坦克设计!$B$24:$U$30,MATCH("对"&amp;LEFT($C$5,2)&amp;"输出",标准坦克设计!$B$23:$U$23,0)))*(VLOOKUP($B104,INDIRECT($B$5&amp;"生成成长"),3))*(VLOOKUP($B$5,标准坦克设计!$B$14:$K$20,9)/30))</f>
        <v>2.6033061014413184</v>
      </c>
      <c r="BJ104" s="172">
        <f ca="1">(VLOOKUP(BJ$72,INDIRECT($C$5&amp;"生成成长"),2))/((VLOOKUP($B104,INDIRECT($B$5&amp;"生成成长"),4))/(VLOOKUP(BJ$72,INDIRECT($C$5&amp;"生成成长"),5))*(VLOOKUP($B$5,标准坦克设计!$B$24:$U$30,MATCH("对"&amp;LEFT($C$5,2)&amp;"输出",标准坦克设计!$B$23:$U$23,0)))*(VLOOKUP($B104,INDIRECT($B$5&amp;"生成成长"),3))*(VLOOKUP($B$5,标准坦克设计!$B$14:$K$20,9)/30))</f>
        <v>2.9144025350412366</v>
      </c>
      <c r="BK104" s="172">
        <f ca="1">(VLOOKUP(BK$72,INDIRECT($C$5&amp;"生成成长"),2))/((VLOOKUP($B104,INDIRECT($B$5&amp;"生成成长"),4))/(VLOOKUP(BK$72,INDIRECT($C$5&amp;"生成成长"),5))*(VLOOKUP($B$5,标准坦克设计!$B$24:$U$30,MATCH("对"&amp;LEFT($C$5,2)&amp;"输出",标准坦克设计!$B$23:$U$23,0)))*(VLOOKUP($B104,INDIRECT($B$5&amp;"生成成长"),3))*(VLOOKUP($B$5,标准坦克设计!$B$14:$K$20,9)/30))</f>
        <v>3.2430529993771997</v>
      </c>
      <c r="BL104" s="172">
        <f ca="1">(VLOOKUP(BL$72,INDIRECT($C$5&amp;"生成成长"),2))/((VLOOKUP($B104,INDIRECT($B$5&amp;"生成成长"),4))/(VLOOKUP(BL$72,INDIRECT($C$5&amp;"生成成长"),5))*(VLOOKUP($B$5,标准坦克设计!$B$24:$U$30,MATCH("对"&amp;LEFT($C$5,2)&amp;"输出",标准坦克设计!$B$23:$U$23,0)))*(VLOOKUP($B104,INDIRECT($B$5&amp;"生成成长"),3))*(VLOOKUP($B$5,标准坦克设计!$B$14:$K$20,9)/30))</f>
        <v>3.5892574944492086</v>
      </c>
      <c r="BM104" s="172">
        <f ca="1">(VLOOKUP(BM$72,INDIRECT($C$5&amp;"生成成长"),2))/((VLOOKUP($B104,INDIRECT($B$5&amp;"生成成长"),4))/(VLOOKUP(BM$72,INDIRECT($C$5&amp;"生成成长"),5))*(VLOOKUP($B$5,标准坦克设计!$B$24:$U$30,MATCH("对"&amp;LEFT($C$5,2)&amp;"输出",标准坦克设计!$B$23:$U$23,0)))*(VLOOKUP($B104,INDIRECT($B$5&amp;"生成成长"),3))*(VLOOKUP($B$5,标准坦克设计!$B$14:$K$20,9)/30))</f>
        <v>3.9530160202572624</v>
      </c>
      <c r="BN104" s="172">
        <f ca="1">(VLOOKUP(BN$72,INDIRECT($C$5&amp;"生成成长"),2))/((VLOOKUP($B104,INDIRECT($B$5&amp;"生成成长"),4))/(VLOOKUP(BN$72,INDIRECT($C$5&amp;"生成成长"),5))*(VLOOKUP($B$5,标准坦克设计!$B$24:$U$30,MATCH("对"&amp;LEFT($C$5,2)&amp;"输出",标准坦克设计!$B$23:$U$23,0)))*(VLOOKUP($B104,INDIRECT($B$5&amp;"生成成长"),3))*(VLOOKUP($B$5,标准坦克设计!$B$14:$K$20,9)/30))</f>
        <v>4.3343285768013633</v>
      </c>
      <c r="BO104" s="172">
        <f ca="1">(VLOOKUP(BO$72,INDIRECT($C$5&amp;"生成成长"),2))/((VLOOKUP($B104,INDIRECT($B$5&amp;"生成成长"),4))/(VLOOKUP(BO$72,INDIRECT($C$5&amp;"生成成长"),5))*(VLOOKUP($B$5,标准坦克设计!$B$24:$U$30,MATCH("对"&amp;LEFT($C$5,2)&amp;"输出",标准坦克设计!$B$23:$U$23,0)))*(VLOOKUP($B104,INDIRECT($B$5&amp;"生成成长"),3))*(VLOOKUP($B$5,标准坦克设计!$B$14:$K$20,9)/30))</f>
        <v>4.7331951640815078</v>
      </c>
      <c r="BP104" s="172">
        <f ca="1">(VLOOKUP(BP$72,INDIRECT($C$5&amp;"生成成长"),2))/((VLOOKUP($B104,INDIRECT($B$5&amp;"生成成长"),4))/(VLOOKUP(BP$72,INDIRECT($C$5&amp;"生成成长"),5))*(VLOOKUP($B$5,标准坦克设计!$B$24:$U$30,MATCH("对"&amp;LEFT($C$5,2)&amp;"输出",标准坦克设计!$B$23:$U$23,0)))*(VLOOKUP($B104,INDIRECT($B$5&amp;"生成成长"),3))*(VLOOKUP($B$5,标准坦克设计!$B$14:$K$20,9)/30))</f>
        <v>5.1496157820976984</v>
      </c>
      <c r="BQ104" s="172">
        <f ca="1">(VLOOKUP(BQ$72,INDIRECT($C$5&amp;"生成成长"),2))/((VLOOKUP($B104,INDIRECT($B$5&amp;"生成成长"),4))/(VLOOKUP(BQ$72,INDIRECT($C$5&amp;"生成成长"),5))*(VLOOKUP($B$5,标准坦克设计!$B$24:$U$30,MATCH("对"&amp;LEFT($C$5,2)&amp;"输出",标准坦克设计!$B$23:$U$23,0)))*(VLOOKUP($B104,INDIRECT($B$5&amp;"生成成长"),3))*(VLOOKUP($B$5,标准坦克设计!$B$14:$K$20,9)/30))</f>
        <v>5.5835904308499362</v>
      </c>
      <c r="BR104" s="172">
        <f ca="1">(VLOOKUP(BR$72,INDIRECT($C$5&amp;"生成成长"),2))/((VLOOKUP($B104,INDIRECT($B$5&amp;"生成成长"),4))/(VLOOKUP(BR$72,INDIRECT($C$5&amp;"生成成长"),5))*(VLOOKUP($B$5,标准坦克设计!$B$24:$U$30,MATCH("对"&amp;LEFT($C$5,2)&amp;"输出",标准坦克设计!$B$23:$U$23,0)))*(VLOOKUP($B104,INDIRECT($B$5&amp;"生成成长"),3))*(VLOOKUP($B$5,标准坦克设计!$B$14:$K$20,9)/30))</f>
        <v>6.0863725457588931</v>
      </c>
      <c r="BS104" s="172">
        <f ca="1">(VLOOKUP(BS$72,INDIRECT($C$5&amp;"生成成长"),2))/((VLOOKUP($B104,INDIRECT($B$5&amp;"生成成长"),4))/(VLOOKUP(BS$72,INDIRECT($C$5&amp;"生成成长"),5))*(VLOOKUP($B$5,标准坦克设计!$B$24:$U$30,MATCH("对"&amp;LEFT($C$5,2)&amp;"输出",标准坦克设计!$B$23:$U$23,0)))*(VLOOKUP($B104,INDIRECT($B$5&amp;"生成成长"),3))*(VLOOKUP($B$5,标准坦克设计!$B$14:$K$20,9)/30))</f>
        <v>6.6108263035518577</v>
      </c>
      <c r="BT104" s="172">
        <f ca="1">(VLOOKUP(BT$72,INDIRECT($C$5&amp;"生成成长"),2))/((VLOOKUP($B104,INDIRECT($B$5&amp;"生成成长"),4))/(VLOOKUP(BT$72,INDIRECT($C$5&amp;"生成成长"),5))*(VLOOKUP($B$5,标准坦克设计!$B$24:$U$30,MATCH("对"&amp;LEFT($C$5,2)&amp;"输出",标准坦克设计!$B$23:$U$23,0)))*(VLOOKUP($B104,INDIRECT($B$5&amp;"生成成长"),3))*(VLOOKUP($B$5,标准坦克设计!$B$14:$K$20,9)/30))</f>
        <v>7.1569517042288302</v>
      </c>
      <c r="BU104" s="172">
        <f ca="1">(VLOOKUP(BU$72,INDIRECT($C$5&amp;"生成成长"),2))/((VLOOKUP($B104,INDIRECT($B$5&amp;"生成成长"),4))/(VLOOKUP(BU$72,INDIRECT($C$5&amp;"生成成长"),5))*(VLOOKUP($B$5,标准坦克设计!$B$24:$U$30,MATCH("对"&amp;LEFT($C$5,2)&amp;"输出",标准坦克设计!$B$23:$U$23,0)))*(VLOOKUP($B104,INDIRECT($B$5&amp;"生成成长"),3))*(VLOOKUP($B$5,标准坦克设计!$B$14:$K$20,9)/30))</f>
        <v>7.7247487477898087</v>
      </c>
      <c r="BV104" s="172">
        <f ca="1">(VLOOKUP(BV$72,INDIRECT($C$5&amp;"生成成长"),2))/((VLOOKUP($B104,INDIRECT($B$5&amp;"生成成长"),4))/(VLOOKUP(BV$72,INDIRECT($C$5&amp;"生成成长"),5))*(VLOOKUP($B$5,标准坦克设计!$B$24:$U$30,MATCH("对"&amp;LEFT($C$5,2)&amp;"输出",标准坦克设计!$B$23:$U$23,0)))*(VLOOKUP($B104,INDIRECT($B$5&amp;"生成成长"),3))*(VLOOKUP($B$5,标准坦克设计!$B$14:$K$20,9)/30))</f>
        <v>8.3142174342347932</v>
      </c>
      <c r="BW104" s="172">
        <f ca="1">(VLOOKUP(BW$72,INDIRECT($C$5&amp;"生成成长"),2))/((VLOOKUP($B104,INDIRECT($B$5&amp;"生成成长"),4))/(VLOOKUP(BW$72,INDIRECT($C$5&amp;"生成成长"),5))*(VLOOKUP($B$5,标准坦克设计!$B$24:$U$30,MATCH("对"&amp;LEFT($C$5,2)&amp;"输出",标准坦克设计!$B$23:$U$23,0)))*(VLOOKUP($B104,INDIRECT($B$5&amp;"生成成长"),3))*(VLOOKUP($B$5,标准坦克设计!$B$14:$K$20,9)/30))</f>
        <v>3.7891784000541717</v>
      </c>
      <c r="BX104" s="172">
        <f ca="1">(VLOOKUP(BX$72,INDIRECT($C$5&amp;"生成成长"),2))/((VLOOKUP($B104,INDIRECT($B$5&amp;"生成成长"),4))/(VLOOKUP(BX$72,INDIRECT($C$5&amp;"生成成长"),5))*(VLOOKUP($B$5,标准坦克设计!$B$24:$U$30,MATCH("对"&amp;LEFT($C$5,2)&amp;"输出",标准坦克设计!$B$23:$U$23,0)))*(VLOOKUP($B104,INDIRECT($B$5&amp;"生成成长"),3))*(VLOOKUP($B$5,标准坦克设计!$B$14:$K$20,9)/30))</f>
        <v>4.2052739434271027</v>
      </c>
      <c r="BY104" s="172">
        <f ca="1">(VLOOKUP(BY$72,INDIRECT($C$5&amp;"生成成长"),2))/((VLOOKUP($B104,INDIRECT($B$5&amp;"生成成长"),4))/(VLOOKUP(BY$72,INDIRECT($C$5&amp;"生成成长"),5))*(VLOOKUP($B$5,标准坦克设计!$B$24:$U$30,MATCH("对"&amp;LEFT($C$5,2)&amp;"输出",标准坦克设计!$B$23:$U$23,0)))*(VLOOKUP($B104,INDIRECT($B$5&amp;"生成成长"),3))*(VLOOKUP($B$5,标准坦克设计!$B$14:$K$20,9)/30))</f>
        <v>4.6430411296840397</v>
      </c>
      <c r="BZ104" s="172">
        <f ca="1">(VLOOKUP(BZ$72,INDIRECT($C$5&amp;"生成成长"),2))/((VLOOKUP($B104,INDIRECT($B$5&amp;"生成成长"),4))/(VLOOKUP(BZ$72,INDIRECT($C$5&amp;"生成成长"),5))*(VLOOKUP($B$5,标准坦克设计!$B$24:$U$30,MATCH("对"&amp;LEFT($C$5,2)&amp;"输出",标准坦克设计!$B$23:$U$23,0)))*(VLOOKUP($B104,INDIRECT($B$5&amp;"生成成长"),3))*(VLOOKUP($B$5,标准坦克设计!$B$14:$K$20,9)/30))</f>
        <v>5.1024799588249845</v>
      </c>
      <c r="CA104" s="172">
        <f ca="1">(VLOOKUP(CA$72,INDIRECT($C$5&amp;"生成成长"),2))/((VLOOKUP($B104,INDIRECT($B$5&amp;"生成成长"),4))/(VLOOKUP(CA$72,INDIRECT($C$5&amp;"生成成长"),5))*(VLOOKUP($B$5,标准坦克设计!$B$24:$U$30,MATCH("对"&amp;LEFT($C$5,2)&amp;"输出",标准坦克设计!$B$23:$U$23,0)))*(VLOOKUP($B104,INDIRECT($B$5&amp;"生成成长"),3))*(VLOOKUP($B$5,标准坦克设计!$B$14:$K$20,9)/30))</f>
        <v>5.5835904308499362</v>
      </c>
      <c r="CB104" s="172">
        <f ca="1">(VLOOKUP(CB$72,INDIRECT($C$5&amp;"生成成长"),2))/((VLOOKUP($B104,INDIRECT($B$5&amp;"生成成长"),4))/(VLOOKUP(CB$72,INDIRECT($C$5&amp;"生成成长"),5))*(VLOOKUP($B$5,标准坦克设计!$B$24:$U$30,MATCH("对"&amp;LEFT($C$5,2)&amp;"输出",标准坦克设计!$B$23:$U$23,0)))*(VLOOKUP($B104,INDIRECT($B$5&amp;"生成成长"),3))*(VLOOKUP($B$5,标准坦克设计!$B$14:$K$20,9)/30))</f>
        <v>6.0863725457588931</v>
      </c>
      <c r="CC104" s="172">
        <f ca="1">(VLOOKUP(CC$72,INDIRECT($C$5&amp;"生成成长"),2))/((VLOOKUP($B104,INDIRECT($B$5&amp;"生成成长"),4))/(VLOOKUP(CC$72,INDIRECT($C$5&amp;"生成成长"),5))*(VLOOKUP($B$5,标准坦克设计!$B$24:$U$30,MATCH("对"&amp;LEFT($C$5,2)&amp;"输出",标准坦克设计!$B$23:$U$23,0)))*(VLOOKUP($B104,INDIRECT($B$5&amp;"生成成长"),3))*(VLOOKUP($B$5,标准坦克设计!$B$14:$K$20,9)/30))</f>
        <v>6.6108263035518577</v>
      </c>
      <c r="CD104" s="172">
        <f ca="1">(VLOOKUP(CD$72,INDIRECT($C$5&amp;"生成成长"),2))/((VLOOKUP($B104,INDIRECT($B$5&amp;"生成成长"),4))/(VLOOKUP(CD$72,INDIRECT($C$5&amp;"生成成长"),5))*(VLOOKUP($B$5,标准坦克设计!$B$24:$U$30,MATCH("对"&amp;LEFT($C$5,2)&amp;"输出",标准坦克设计!$B$23:$U$23,0)))*(VLOOKUP($B104,INDIRECT($B$5&amp;"生成成长"),3))*(VLOOKUP($B$5,标准坦克设计!$B$14:$K$20,9)/30))</f>
        <v>7.1569517042288302</v>
      </c>
      <c r="CE104" s="172">
        <f ca="1">(VLOOKUP(CE$72,INDIRECT($C$5&amp;"生成成长"),2))/((VLOOKUP($B104,INDIRECT($B$5&amp;"生成成长"),4))/(VLOOKUP(CE$72,INDIRECT($C$5&amp;"生成成长"),5))*(VLOOKUP($B$5,标准坦克设计!$B$24:$U$30,MATCH("对"&amp;LEFT($C$5,2)&amp;"输出",标准坦克设计!$B$23:$U$23,0)))*(VLOOKUP($B104,INDIRECT($B$5&amp;"生成成长"),3))*(VLOOKUP($B$5,标准坦克设计!$B$14:$K$20,9)/30))</f>
        <v>7.7247487477898087</v>
      </c>
      <c r="CF104" s="172">
        <f ca="1">(VLOOKUP(CF$72,INDIRECT($C$5&amp;"生成成长"),2))/((VLOOKUP($B104,INDIRECT($B$5&amp;"生成成长"),4))/(VLOOKUP(CF$72,INDIRECT($C$5&amp;"生成成长"),5))*(VLOOKUP($B$5,标准坦克设计!$B$24:$U$30,MATCH("对"&amp;LEFT($C$5,2)&amp;"输出",标准坦克设计!$B$23:$U$23,0)))*(VLOOKUP($B104,INDIRECT($B$5&amp;"生成成长"),3))*(VLOOKUP($B$5,标准坦克设计!$B$14:$K$20,9)/30))</f>
        <v>8.3142174342347932</v>
      </c>
      <c r="CG104" s="172">
        <f ca="1">(VLOOKUP(CG$72,INDIRECT($C$5&amp;"生成成长"),2))/((VLOOKUP($B104,INDIRECT($B$5&amp;"生成成长"),4))/(VLOOKUP(CG$72,INDIRECT($C$5&amp;"生成成长"),5))*(VLOOKUP($B$5,标准坦克设计!$B$24:$U$30,MATCH("对"&amp;LEFT($C$5,2)&amp;"输出",标准坦克设计!$B$23:$U$23,0)))*(VLOOKUP($B104,INDIRECT($B$5&amp;"生成成长"),3))*(VLOOKUP($B$5,标准坦克设计!$B$14:$K$20,9)/30))</f>
        <v>8.9253577635637864</v>
      </c>
      <c r="CH104" s="172">
        <f ca="1">(VLOOKUP(CH$72,INDIRECT($C$5&amp;"生成成长"),2))/((VLOOKUP($B104,INDIRECT($B$5&amp;"生成成长"),4))/(VLOOKUP(CH$72,INDIRECT($C$5&amp;"生成成长"),5))*(VLOOKUP($B$5,标准坦克设计!$B$24:$U$30,MATCH("对"&amp;LEFT($C$5,2)&amp;"输出",标准坦克设计!$B$23:$U$23,0)))*(VLOOKUP($B104,INDIRECT($B$5&amp;"生成成长"),3))*(VLOOKUP($B$5,标准坦克设计!$B$14:$K$20,9)/30))</f>
        <v>9.5581697357767847</v>
      </c>
      <c r="CI104" s="172">
        <f ca="1">(VLOOKUP(CI$72,INDIRECT($C$5&amp;"生成成长"),2))/((VLOOKUP($B104,INDIRECT($B$5&amp;"生成成长"),4))/(VLOOKUP(CI$72,INDIRECT($C$5&amp;"生成成长"),5))*(VLOOKUP($B$5,标准坦克设计!$B$24:$U$30,MATCH("对"&amp;LEFT($C$5,2)&amp;"输出",标准坦克设计!$B$23:$U$23,0)))*(VLOOKUP($B104,INDIRECT($B$5&amp;"生成成长"),3))*(VLOOKUP($B$5,标准坦克设计!$B$14:$K$20,9)/30))</f>
        <v>10.279293652742112</v>
      </c>
      <c r="CJ104" s="172">
        <f ca="1">(VLOOKUP(CJ$72,INDIRECT($C$5&amp;"生成成长"),2))/((VLOOKUP($B104,INDIRECT($B$5&amp;"生成成长"),4))/(VLOOKUP(CJ$72,INDIRECT($C$5&amp;"生成成长"),5))*(VLOOKUP($B$5,标准坦克设计!$B$24:$U$30,MATCH("对"&amp;LEFT($C$5,2)&amp;"输出",标准坦克设计!$B$23:$U$23,0)))*(VLOOKUP($B104,INDIRECT($B$5&amp;"生成成长"),3))*(VLOOKUP($B$5,标准坦克设计!$B$14:$K$20,9)/30))</f>
        <v>11.026640257597087</v>
      </c>
      <c r="CK104" s="172">
        <f ca="1">(VLOOKUP(CK$72,INDIRECT($C$5&amp;"生成成长"),2))/((VLOOKUP($B104,INDIRECT($B$5&amp;"生成成长"),4))/(VLOOKUP(CK$72,INDIRECT($C$5&amp;"生成成长"),5))*(VLOOKUP($B$5,标准坦克设计!$B$24:$U$30,MATCH("对"&amp;LEFT($C$5,2)&amp;"输出",标准坦克设计!$B$23:$U$23,0)))*(VLOOKUP($B104,INDIRECT($B$5&amp;"生成成长"),3))*(VLOOKUP($B$5,标准坦克设计!$B$14:$K$20,9)/30))</f>
        <v>11.800209550341709</v>
      </c>
      <c r="CL104" s="172">
        <f ca="1">(VLOOKUP(CL$72,INDIRECT($C$5&amp;"生成成长"),2))/((VLOOKUP($B104,INDIRECT($B$5&amp;"生成成长"),4))/(VLOOKUP(CL$72,INDIRECT($C$5&amp;"生成成长"),5))*(VLOOKUP($B$5,标准坦克设计!$B$24:$U$30,MATCH("对"&amp;LEFT($C$5,2)&amp;"输出",标准坦克设计!$B$23:$U$23,0)))*(VLOOKUP($B104,INDIRECT($B$5&amp;"生成成长"),3))*(VLOOKUP($B$5,标准坦克设计!$B$14:$K$20,9)/30))</f>
        <v>12.600001530975982</v>
      </c>
      <c r="CM104" s="172">
        <f ca="1">(VLOOKUP(CM$72,INDIRECT($C$5&amp;"生成成长"),2))/((VLOOKUP($B104,INDIRECT($B$5&amp;"生成成长"),4))/(VLOOKUP(CM$72,INDIRECT($C$5&amp;"生成成长"),5))*(VLOOKUP($B$5,标准坦克设计!$B$24:$U$30,MATCH("对"&amp;LEFT($C$5,2)&amp;"输出",标准坦克设计!$B$23:$U$23,0)))*(VLOOKUP($B104,INDIRECT($B$5&amp;"生成成长"),3))*(VLOOKUP($B$5,标准坦克设计!$B$14:$K$20,9)/30))</f>
        <v>13.426016199499902</v>
      </c>
      <c r="CN104" s="172">
        <f ca="1">(VLOOKUP(CN$72,INDIRECT($C$5&amp;"生成成长"),2))/((VLOOKUP($B104,INDIRECT($B$5&amp;"生成成长"),4))/(VLOOKUP(CN$72,INDIRECT($C$5&amp;"生成成长"),5))*(VLOOKUP($B$5,标准坦克设计!$B$24:$U$30,MATCH("对"&amp;LEFT($C$5,2)&amp;"输出",标准坦克设计!$B$23:$U$23,0)))*(VLOOKUP($B104,INDIRECT($B$5&amp;"生成成长"),3))*(VLOOKUP($B$5,标准坦克设计!$B$14:$K$20,9)/30))</f>
        <v>14.278253555913469</v>
      </c>
      <c r="CO104" s="172">
        <f ca="1">(VLOOKUP(CO$72,INDIRECT($C$5&amp;"生成成长"),2))/((VLOOKUP($B104,INDIRECT($B$5&amp;"生成成长"),4))/(VLOOKUP(CO$72,INDIRECT($C$5&amp;"生成成长"),5))*(VLOOKUP($B$5,标准坦克设计!$B$24:$U$30,MATCH("对"&amp;LEFT($C$5,2)&amp;"输出",标准坦克设计!$B$23:$U$23,0)))*(VLOOKUP($B104,INDIRECT($B$5&amp;"生成成长"),3))*(VLOOKUP($B$5,标准坦克设计!$B$14:$K$20,9)/30))</f>
        <v>6.3984442032885926</v>
      </c>
      <c r="CP104" s="172">
        <f ca="1">(VLOOKUP(CP$72,INDIRECT($C$5&amp;"生成成长"),2))/((VLOOKUP($B104,INDIRECT($B$5&amp;"生成成长"),4))/(VLOOKUP(CP$72,INDIRECT($C$5&amp;"生成成长"),5))*(VLOOKUP($B$5,标准坦克设计!$B$24:$U$30,MATCH("对"&amp;LEFT($C$5,2)&amp;"输出",标准坦克设计!$B$23:$U$23,0)))*(VLOOKUP($B104,INDIRECT($B$5&amp;"生成成长"),3))*(VLOOKUP($B$5,标准坦克设计!$B$14:$K$20,9)/30))</f>
        <v>6.990838561522918</v>
      </c>
      <c r="CQ104" s="172">
        <f ca="1">(VLOOKUP(CQ$72,INDIRECT($C$5&amp;"生成成长"),2))/((VLOOKUP($B104,INDIRECT($B$5&amp;"生成成长"),4))/(VLOOKUP(CQ$72,INDIRECT($C$5&amp;"生成成长"),5))*(VLOOKUP($B$5,标准坦克设计!$B$24:$U$30,MATCH("对"&amp;LEFT($C$5,2)&amp;"输出",标准坦克设计!$B$23:$U$23,0)))*(VLOOKUP($B104,INDIRECT($B$5&amp;"生成成长"),3))*(VLOOKUP($B$5,标准坦克设计!$B$14:$K$20,9)/30))</f>
        <v>7.6094556076468933</v>
      </c>
      <c r="CR104" s="172">
        <f ca="1">(VLOOKUP(CR$72,INDIRECT($C$5&amp;"生成成长"),2))/((VLOOKUP($B104,INDIRECT($B$5&amp;"生成成长"),4))/(VLOOKUP(CR$72,INDIRECT($C$5&amp;"生成成长"),5))*(VLOOKUP($B$5,标准坦克设计!$B$24:$U$30,MATCH("对"&amp;LEFT($C$5,2)&amp;"输出",标准坦克设计!$B$23:$U$23,0)))*(VLOOKUP($B104,INDIRECT($B$5&amp;"生成成长"),3))*(VLOOKUP($B$5,标准坦克设计!$B$14:$K$20,9)/30))</f>
        <v>8.2542953416605158</v>
      </c>
      <c r="CS104" s="172">
        <f ca="1">(VLOOKUP(CS$72,INDIRECT($C$5&amp;"生成成长"),2))/((VLOOKUP($B104,INDIRECT($B$5&amp;"生成成长"),4))/(VLOOKUP(CS$72,INDIRECT($C$5&amp;"生成成长"),5))*(VLOOKUP($B$5,标准坦克设计!$B$24:$U$30,MATCH("对"&amp;LEFT($C$5,2)&amp;"输出",标准坦克设计!$B$23:$U$23,0)))*(VLOOKUP($B104,INDIRECT($B$5&amp;"生成成长"),3))*(VLOOKUP($B$5,标准坦克设计!$B$14:$K$20,9)/30))</f>
        <v>8.9253577635637864</v>
      </c>
      <c r="CT104" s="172">
        <f ca="1">(VLOOKUP(CT$72,INDIRECT($C$5&amp;"生成成长"),2))/((VLOOKUP($B104,INDIRECT($B$5&amp;"生成成长"),4))/(VLOOKUP(CT$72,INDIRECT($C$5&amp;"生成成长"),5))*(VLOOKUP($B$5,标准坦克设计!$B$24:$U$30,MATCH("对"&amp;LEFT($C$5,2)&amp;"输出",标准坦克设计!$B$23:$U$23,0)))*(VLOOKUP($B104,INDIRECT($B$5&amp;"生成成长"),3))*(VLOOKUP($B$5,标准坦克设计!$B$14:$K$20,9)/30))</f>
        <v>9.6226428733567051</v>
      </c>
      <c r="CU104" s="172">
        <f ca="1">(VLOOKUP(CU$72,INDIRECT($C$5&amp;"生成成长"),2))/((VLOOKUP($B104,INDIRECT($B$5&amp;"生成成长"),4))/(VLOOKUP(CU$72,INDIRECT($C$5&amp;"生成成长"),5))*(VLOOKUP($B$5,标准坦克设计!$B$24:$U$30,MATCH("对"&amp;LEFT($C$5,2)&amp;"输出",标准坦克设计!$B$23:$U$23,0)))*(VLOOKUP($B104,INDIRECT($B$5&amp;"生成成长"),3))*(VLOOKUP($B$5,标准坦克设计!$B$14:$K$20,9)/30))</f>
        <v>10.346150671039272</v>
      </c>
      <c r="CV104" s="172">
        <f ca="1">(VLOOKUP(CV$72,INDIRECT($C$5&amp;"生成成长"),2))/((VLOOKUP($B104,INDIRECT($B$5&amp;"生成成长"),4))/(VLOOKUP(CV$72,INDIRECT($C$5&amp;"生成成长"),5))*(VLOOKUP($B$5,标准坦克设计!$B$24:$U$30,MATCH("对"&amp;LEFT($C$5,2)&amp;"输出",标准坦克设计!$B$23:$U$23,0)))*(VLOOKUP($B104,INDIRECT($B$5&amp;"生成成长"),3))*(VLOOKUP($B$5,标准坦克设计!$B$14:$K$20,9)/30))</f>
        <v>11.095881156611489</v>
      </c>
      <c r="CW104" s="172">
        <f ca="1">(VLOOKUP(CW$72,INDIRECT($C$5&amp;"生成成长"),2))/((VLOOKUP($B104,INDIRECT($B$5&amp;"生成成长"),4))/(VLOOKUP(CW$72,INDIRECT($C$5&amp;"生成成长"),5))*(VLOOKUP($B$5,标准坦克设计!$B$24:$U$30,MATCH("对"&amp;LEFT($C$5,2)&amp;"输出",标准坦克设计!$B$23:$U$23,0)))*(VLOOKUP($B104,INDIRECT($B$5&amp;"生成成长"),3))*(VLOOKUP($B$5,标准坦克设计!$B$14:$K$20,9)/30))</f>
        <v>11.871834330073353</v>
      </c>
      <c r="CX104" s="172">
        <f ca="1">(VLOOKUP(CX$72,INDIRECT($C$5&amp;"生成成长"),2))/((VLOOKUP($B104,INDIRECT($B$5&amp;"生成成长"),4))/(VLOOKUP(CX$72,INDIRECT($C$5&amp;"生成成长"),5))*(VLOOKUP($B$5,标准坦克设计!$B$24:$U$30,MATCH("对"&amp;LEFT($C$5,2)&amp;"输出",标准坦克设计!$B$23:$U$23,0)))*(VLOOKUP($B104,INDIRECT($B$5&amp;"生成成长"),3))*(VLOOKUP($B$5,标准坦克设计!$B$14:$K$20,9)/30))</f>
        <v>12.674010191424868</v>
      </c>
      <c r="CY104" s="172">
        <f ca="1">(VLOOKUP(CY$72,INDIRECT($C$5&amp;"生成成长"),2))/((VLOOKUP($B104,INDIRECT($B$5&amp;"生成成长"),4))/(VLOOKUP(CY$72,INDIRECT($C$5&amp;"生成成长"),5))*(VLOOKUP($B$5,标准坦克设计!$B$24:$U$30,MATCH("对"&amp;LEFT($C$5,2)&amp;"输出",标准坦克设计!$B$23:$U$23,0)))*(VLOOKUP($B104,INDIRECT($B$5&amp;"生成成长"),3))*(VLOOKUP($B$5,标准坦克设计!$B$14:$K$20,9)/30))</f>
        <v>13.502408740666024</v>
      </c>
      <c r="CZ104" s="172">
        <f ca="1">(VLOOKUP(CZ$72,INDIRECT($C$5&amp;"生成成长"),2))/((VLOOKUP($B104,INDIRECT($B$5&amp;"生成成长"),4))/(VLOOKUP(CZ$72,INDIRECT($C$5&amp;"生成成长"),5))*(VLOOKUP($B$5,标准坦克设计!$B$24:$U$30,MATCH("对"&amp;LEFT($C$5,2)&amp;"输出",标准坦克设计!$B$23:$U$23,0)))*(VLOOKUP($B104,INDIRECT($B$5&amp;"生成成长"),3))*(VLOOKUP($B$5,标准坦克设计!$B$14:$K$20,9)/30))</f>
        <v>14.357029977796834</v>
      </c>
      <c r="DA104" s="172">
        <f ca="1">(VLOOKUP(DA$72,INDIRECT($C$5&amp;"生成成长"),2))/((VLOOKUP($B104,INDIRECT($B$5&amp;"生成成长"),4))/(VLOOKUP(DA$72,INDIRECT($C$5&amp;"生成成长"),5))*(VLOOKUP($B$5,标准坦克设计!$B$24:$U$30,MATCH("对"&amp;LEFT($C$5,2)&amp;"输出",标准坦克设计!$B$23:$U$23,0)))*(VLOOKUP($B104,INDIRECT($B$5&amp;"生成成长"),3))*(VLOOKUP($B$5,标准坦克设计!$B$14:$K$20,9)/30))</f>
        <v>15.237873902817293</v>
      </c>
      <c r="DB104" s="172">
        <f ca="1">(VLOOKUP(DB$72,INDIRECT($C$5&amp;"生成成长"),2))/((VLOOKUP($B104,INDIRECT($B$5&amp;"生成成长"),4))/(VLOOKUP(DB$72,INDIRECT($C$5&amp;"生成成长"),5))*(VLOOKUP($B$5,标准坦克设计!$B$24:$U$30,MATCH("对"&amp;LEFT($C$5,2)&amp;"输出",标准坦克设计!$B$23:$U$23,0)))*(VLOOKUP($B104,INDIRECT($B$5&amp;"生成成长"),3))*(VLOOKUP($B$5,标准坦克设计!$B$14:$K$20,9)/30))</f>
        <v>16.144940515727395</v>
      </c>
      <c r="DC104" s="172">
        <f ca="1">(VLOOKUP(DC$72,INDIRECT($C$5&amp;"生成成长"),2))/((VLOOKUP($B104,INDIRECT($B$5&amp;"生成成长"),4))/(VLOOKUP(DC$72,INDIRECT($C$5&amp;"生成成长"),5))*(VLOOKUP($B$5,标准坦克设计!$B$24:$U$30,MATCH("对"&amp;LEFT($C$5,2)&amp;"输出",标准坦克设计!$B$23:$U$23,0)))*(VLOOKUP($B104,INDIRECT($B$5&amp;"生成成长"),3))*(VLOOKUP($B$5,标准坦克设计!$B$14:$K$20,9)/30))</f>
        <v>17.164374596991074</v>
      </c>
      <c r="DD104" s="172">
        <f ca="1">(VLOOKUP(DD$72,INDIRECT($C$5&amp;"生成成长"),2))/((VLOOKUP($B104,INDIRECT($B$5&amp;"生成成长"),4))/(VLOOKUP(DD$72,INDIRECT($C$5&amp;"生成成长"),5))*(VLOOKUP($B$5,标准坦克设计!$B$24:$U$30,MATCH("对"&amp;LEFT($C$5,2)&amp;"输出",标准坦克设计!$B$23:$U$23,0)))*(VLOOKUP($B104,INDIRECT($B$5&amp;"生成成长"),3))*(VLOOKUP($B$5,标准坦克设计!$B$14:$K$20,9)/30))</f>
        <v>18.215015844007731</v>
      </c>
      <c r="DE104" s="172">
        <f ca="1">(VLOOKUP(DE$72,INDIRECT($C$5&amp;"生成成长"),2))/((VLOOKUP($B104,INDIRECT($B$5&amp;"生成成长"),4))/(VLOOKUP(DE$72,INDIRECT($C$5&amp;"生成成长"),5))*(VLOOKUP($B$5,标准坦克设计!$B$24:$U$30,MATCH("对"&amp;LEFT($C$5,2)&amp;"输出",标准坦克设计!$B$23:$U$23,0)))*(VLOOKUP($B104,INDIRECT($B$5&amp;"生成成长"),3))*(VLOOKUP($B$5,标准坦克设计!$B$14:$K$20,9)/30))</f>
        <v>19.296864256777351</v>
      </c>
      <c r="DF104" s="172">
        <f ca="1">(VLOOKUP(DF$72,INDIRECT($C$5&amp;"生成成长"),2))/((VLOOKUP($B104,INDIRECT($B$5&amp;"生成成长"),4))/(VLOOKUP(DF$72,INDIRECT($C$5&amp;"生成成长"),5))*(VLOOKUP($B$5,标准坦克设计!$B$24:$U$30,MATCH("对"&amp;LEFT($C$5,2)&amp;"输出",标准坦克设计!$B$23:$U$23,0)))*(VLOOKUP($B104,INDIRECT($B$5&amp;"生成成长"),3))*(VLOOKUP($B$5,标准坦克设计!$B$14:$K$20,9)/30))</f>
        <v>20.409919835299938</v>
      </c>
      <c r="DG104" s="172">
        <f ca="1">(VLOOKUP(DG$72,INDIRECT($C$5&amp;"生成成长"),2))/((VLOOKUP($B104,INDIRECT($B$5&amp;"生成成长"),4))/(VLOOKUP(DG$72,INDIRECT($C$5&amp;"生成成长"),5))*(VLOOKUP($B$5,标准坦克设计!$B$24:$U$30,MATCH("对"&amp;LEFT($C$5,2)&amp;"输出",标准坦克设计!$B$23:$U$23,0)))*(VLOOKUP($B104,INDIRECT($B$5&amp;"生成成长"),3))*(VLOOKUP($B$5,标准坦克设计!$B$14:$K$20,9)/30))</f>
        <v>21.554182579575496</v>
      </c>
      <c r="DH104" s="172">
        <f ca="1">(VLOOKUP(DH$72,INDIRECT($C$5&amp;"生成成长"),2))/((VLOOKUP($B104,INDIRECT($B$5&amp;"生成成长"),4))/(VLOOKUP(DH$72,INDIRECT($C$5&amp;"生成成长"),5))*(VLOOKUP($B$5,标准坦克设计!$B$24:$U$30,MATCH("对"&amp;LEFT($C$5,2)&amp;"输出",标准坦克设计!$B$23:$U$23,0)))*(VLOOKUP($B104,INDIRECT($B$5&amp;"生成成长"),3))*(VLOOKUP($B$5,标准坦克设计!$B$14:$K$20,9)/30))</f>
        <v>22.729652489604025</v>
      </c>
      <c r="DI104" s="172">
        <f ca="1">(VLOOKUP(DI$72,INDIRECT($C$5&amp;"生成成长"),2))/((VLOOKUP($B104,INDIRECT($B$5&amp;"生成成长"),4))/(VLOOKUP(DI$72,INDIRECT($C$5&amp;"生成成长"),5))*(VLOOKUP($B$5,标准坦克设计!$B$24:$U$30,MATCH("对"&amp;LEFT($C$5,2)&amp;"输出",标准坦克设计!$B$23:$U$23,0)))*(VLOOKUP($B104,INDIRECT($B$5&amp;"生成成长"),3))*(VLOOKUP($B$5,标准坦克设计!$B$14:$K$20,9)/30))</f>
        <v>23.936329565385524</v>
      </c>
      <c r="DJ104" s="172">
        <f ca="1">(VLOOKUP(DJ$72,INDIRECT($C$5&amp;"生成成长"),2))/((VLOOKUP($B104,INDIRECT($B$5&amp;"生成成长"),4))/(VLOOKUP(DJ$72,INDIRECT($C$5&amp;"生成成长"),5))*(VLOOKUP($B$5,标准坦克设计!$B$24:$U$30,MATCH("对"&amp;LEFT($C$5,2)&amp;"输出",标准坦克设计!$B$23:$U$23,0)))*(VLOOKUP($B104,INDIRECT($B$5&amp;"生成成长"),3))*(VLOOKUP($B$5,标准坦克设计!$B$14:$K$20,9)/30))</f>
        <v>2.4056607183391763</v>
      </c>
      <c r="DK104" s="172">
        <f ca="1">(VLOOKUP(DK$72,INDIRECT($C$5&amp;"生成成长"),2))/((VLOOKUP($B104,INDIRECT($B$5&amp;"生成成长"),4))/(VLOOKUP(DK$72,INDIRECT($C$5&amp;"生成成长"),5))*(VLOOKUP($B$5,标准坦克设计!$B$24:$U$30,MATCH("对"&amp;LEFT($C$5,2)&amp;"输出",标准坦克设计!$B$23:$U$23,0)))*(VLOOKUP($B104,INDIRECT($B$5&amp;"生成成长"),3))*(VLOOKUP($B$5,标准坦克设计!$B$14:$K$20,9)/30))</f>
        <v>2.7050544647817305</v>
      </c>
      <c r="DL104" s="172">
        <f ca="1">(VLOOKUP(DL$72,INDIRECT($C$5&amp;"生成成长"),2))/((VLOOKUP($B104,INDIRECT($B$5&amp;"生成成长"),4))/(VLOOKUP(DL$72,INDIRECT($C$5&amp;"生成成长"),5))*(VLOOKUP($B$5,标准坦克设计!$B$24:$U$30,MATCH("对"&amp;LEFT($C$5,2)&amp;"输出",标准坦克设计!$B$23:$U$23,0)))*(VLOOKUP($B104,INDIRECT($B$5&amp;"生成成长"),3))*(VLOOKUP($B$5,标准坦克设计!$B$14:$K$20,9)/30))</f>
        <v>3.0220022419603305</v>
      </c>
      <c r="DM104" s="172">
        <f ca="1">(VLOOKUP(DM$72,INDIRECT($C$5&amp;"生成成长"),2))/((VLOOKUP($B104,INDIRECT($B$5&amp;"生成成长"),4))/(VLOOKUP(DM$72,INDIRECT($C$5&amp;"生成成长"),5))*(VLOOKUP($B$5,标准坦克设计!$B$24:$U$30,MATCH("对"&amp;LEFT($C$5,2)&amp;"输出",标准坦克设计!$B$23:$U$23,0)))*(VLOOKUP($B104,INDIRECT($B$5&amp;"生成成长"),3))*(VLOOKUP($B$5,标准坦克设计!$B$14:$K$20,9)/30))</f>
        <v>3.3565040498749754</v>
      </c>
      <c r="DN104" s="172">
        <f ca="1">(VLOOKUP(DN$72,INDIRECT($C$5&amp;"生成成长"),2))/((VLOOKUP($B104,INDIRECT($B$5&amp;"生成成长"),4))/(VLOOKUP(DN$72,INDIRECT($C$5&amp;"生成成长"),5))*(VLOOKUP($B$5,标准坦克设计!$B$24:$U$30,MATCH("对"&amp;LEFT($C$5,2)&amp;"输出",标准坦克设计!$B$23:$U$23,0)))*(VLOOKUP($B104,INDIRECT($B$5&amp;"生成成长"),3))*(VLOOKUP($B$5,标准坦克设计!$B$14:$K$20,9)/30))</f>
        <v>3.708559888525667</v>
      </c>
      <c r="DO104" s="172">
        <f ca="1">(VLOOKUP(DO$72,INDIRECT($C$5&amp;"生成成长"),2))/((VLOOKUP($B104,INDIRECT($B$5&amp;"生成成长"),4))/(VLOOKUP(DO$72,INDIRECT($C$5&amp;"生成成长"),5))*(VLOOKUP($B$5,标准坦克设计!$B$24:$U$30,MATCH("对"&amp;LEFT($C$5,2)&amp;"输出",标准坦克设计!$B$23:$U$23,0)))*(VLOOKUP($B104,INDIRECT($B$5&amp;"生成成长"),3))*(VLOOKUP($B$5,标准坦克设计!$B$14:$K$20,9)/30))</f>
        <v>4.078169757912403</v>
      </c>
      <c r="DP104" s="172">
        <f ca="1">(VLOOKUP(DP$72,INDIRECT($C$5&amp;"生成成长"),2))/((VLOOKUP($B104,INDIRECT($B$5&amp;"生成成长"),4))/(VLOOKUP(DP$72,INDIRECT($C$5&amp;"生成成长"),5))*(VLOOKUP($B$5,标准坦克设计!$B$24:$U$30,MATCH("对"&amp;LEFT($C$5,2)&amp;"输出",标准坦克设计!$B$23:$U$23,0)))*(VLOOKUP($B104,INDIRECT($B$5&amp;"生成成长"),3))*(VLOOKUP($B$5,标准坦克设计!$B$14:$K$20,9)/30))</f>
        <v>4.4653336580351839</v>
      </c>
      <c r="DQ104" s="172">
        <f ca="1">(VLOOKUP(DQ$72,INDIRECT($C$5&amp;"生成成长"),2))/((VLOOKUP($B104,INDIRECT($B$5&amp;"生成成长"),4))/(VLOOKUP(DQ$72,INDIRECT($C$5&amp;"生成成长"),5))*(VLOOKUP($B$5,标准坦克设计!$B$24:$U$30,MATCH("对"&amp;LEFT($C$5,2)&amp;"输出",标准坦克设计!$B$23:$U$23,0)))*(VLOOKUP($B104,INDIRECT($B$5&amp;"生成成长"),3))*(VLOOKUP($B$5,标准坦克设计!$B$14:$K$20,9)/30))</f>
        <v>4.870051588894011</v>
      </c>
      <c r="DR104" s="172">
        <f ca="1">(VLOOKUP(DR$72,INDIRECT($C$5&amp;"生成成长"),2))/((VLOOKUP($B104,INDIRECT($B$5&amp;"生成成长"),4))/(VLOOKUP(DR$72,INDIRECT($C$5&amp;"生成成长"),5))*(VLOOKUP($B$5,标准坦克设计!$B$24:$U$30,MATCH("对"&amp;LEFT($C$5,2)&amp;"输出",标准坦克设计!$B$23:$U$23,0)))*(VLOOKUP($B104,INDIRECT($B$5&amp;"生成成长"),3))*(VLOOKUP($B$5,标准坦克设计!$B$14:$K$20,9)/30))</f>
        <v>5.2923235504888853</v>
      </c>
      <c r="DS104" s="172">
        <f ca="1">(VLOOKUP(DS$72,INDIRECT($C$5&amp;"生成成长"),2))/((VLOOKUP($B104,INDIRECT($B$5&amp;"生成成长"),4))/(VLOOKUP(DS$72,INDIRECT($C$5&amp;"生成成长"),5))*(VLOOKUP($B$5,标准坦克设计!$B$24:$U$30,MATCH("对"&amp;LEFT($C$5,2)&amp;"输出",标准坦克设计!$B$23:$U$23,0)))*(VLOOKUP($B104,INDIRECT($B$5&amp;"生成成长"),3))*(VLOOKUP($B$5,标准坦克设计!$B$14:$K$20,9)/30))</f>
        <v>5.7321495428198022</v>
      </c>
      <c r="DT104" s="172">
        <f ca="1">(VLOOKUP(DT$72,INDIRECT($C$5&amp;"生成成长"),2))/((VLOOKUP($B104,INDIRECT($B$5&amp;"生成成长"),4))/(VLOOKUP(DT$72,INDIRECT($C$5&amp;"生成成长"),5))*(VLOOKUP($B$5,标准坦克设计!$B$24:$U$30,MATCH("对"&amp;LEFT($C$5,2)&amp;"输出",标准坦克设计!$B$23:$U$23,0)))*(VLOOKUP($B104,INDIRECT($B$5&amp;"生成成长"),3))*(VLOOKUP($B$5,标准坦克设计!$B$14:$K$20,9)/30))</f>
        <v>6.2935534517299985</v>
      </c>
      <c r="DU104" s="172">
        <f ca="1">(VLOOKUP(DU$72,INDIRECT($C$5&amp;"生成成长"),2))/((VLOOKUP($B104,INDIRECT($B$5&amp;"生成成长"),4))/(VLOOKUP(DU$72,INDIRECT($C$5&amp;"生成成长"),5))*(VLOOKUP($B$5,标准坦克设计!$B$24:$U$30,MATCH("对"&amp;LEFT($C$5,2)&amp;"输出",标准坦克设计!$B$23:$U$23,0)))*(VLOOKUP($B104,INDIRECT($B$5&amp;"生成成长"),3))*(VLOOKUP($B$5,标准坦克设计!$B$14:$K$20,9)/30))</f>
        <v>6.8811800485298438</v>
      </c>
      <c r="DV104" s="172">
        <f ca="1">(VLOOKUP(DV$72,INDIRECT($C$5&amp;"生成成长"),2))/((VLOOKUP($B104,INDIRECT($B$5&amp;"生成成长"),4))/(VLOOKUP(DV$72,INDIRECT($C$5&amp;"生成成长"),5))*(VLOOKUP($B$5,标准坦克设计!$B$24:$U$30,MATCH("对"&amp;LEFT($C$5,2)&amp;"输出",标准坦克设计!$B$23:$U$23,0)))*(VLOOKUP($B104,INDIRECT($B$5&amp;"生成成长"),3))*(VLOOKUP($B$5,标准坦克设计!$B$14:$K$20,9)/30))</f>
        <v>7.4950293332193381</v>
      </c>
      <c r="DW104" s="172">
        <f ca="1">(VLOOKUP(DW$72,INDIRECT($C$5&amp;"生成成长"),2))/((VLOOKUP($B104,INDIRECT($B$5&amp;"生成成长"),4))/(VLOOKUP(DW$72,INDIRECT($C$5&amp;"生成成长"),5))*(VLOOKUP($B$5,标准坦克设计!$B$24:$U$30,MATCH("对"&amp;LEFT($C$5,2)&amp;"输出",标准坦克设计!$B$23:$U$23,0)))*(VLOOKUP($B104,INDIRECT($B$5&amp;"生成成长"),3))*(VLOOKUP($B$5,标准坦克设计!$B$14:$K$20,9)/30))</f>
        <v>8.1351013057984787</v>
      </c>
      <c r="DX104" s="172">
        <f ca="1">(VLOOKUP(DX$72,INDIRECT($C$5&amp;"生成成长"),2))/((VLOOKUP($B104,INDIRECT($B$5&amp;"生成成长"),4))/(VLOOKUP(DX$72,INDIRECT($C$5&amp;"生成成长"),5))*(VLOOKUP($B$5,标准坦克设计!$B$24:$U$30,MATCH("对"&amp;LEFT($C$5,2)&amp;"输出",标准坦克设计!$B$23:$U$23,0)))*(VLOOKUP($B104,INDIRECT($B$5&amp;"生成成长"),3))*(VLOOKUP($B$5,标准坦克设计!$B$14:$K$20,9)/30))</f>
        <v>8.8013959662672683</v>
      </c>
      <c r="DY104" s="172">
        <f ca="1">(VLOOKUP(DY$72,INDIRECT($C$5&amp;"生成成长"),2))/((VLOOKUP($B104,INDIRECT($B$5&amp;"生成成长"),4))/(VLOOKUP(DY$72,INDIRECT($C$5&amp;"生成成长"),5))*(VLOOKUP($B$5,标准坦克设计!$B$24:$U$30,MATCH("对"&amp;LEFT($C$5,2)&amp;"输出",标准坦克设计!$B$23:$U$23,0)))*(VLOOKUP($B104,INDIRECT($B$5&amp;"生成成长"),3))*(VLOOKUP($B$5,标准坦克设计!$B$14:$K$20,9)/30))</f>
        <v>3.9530160202572624</v>
      </c>
      <c r="DZ104" s="172">
        <f ca="1">(VLOOKUP(DZ$72,INDIRECT($C$5&amp;"生成成长"),2))/((VLOOKUP($B104,INDIRECT($B$5&amp;"生成成长"),4))/(VLOOKUP(DZ$72,INDIRECT($C$5&amp;"生成成长"),5))*(VLOOKUP($B$5,标准坦克设计!$B$24:$U$30,MATCH("对"&amp;LEFT($C$5,2)&amp;"输出",标准坦克设计!$B$23:$U$23,0)))*(VLOOKUP($B104,INDIRECT($B$5&amp;"生成成长"),3))*(VLOOKUP($B$5,标准坦克设计!$B$14:$K$20,9)/30))</f>
        <v>4.377780220783797</v>
      </c>
      <c r="EA104" s="172">
        <f ca="1">(VLOOKUP(EA$72,INDIRECT($C$5&amp;"生成成长"),2))/((VLOOKUP($B104,INDIRECT($B$5&amp;"生成成长"),4))/(VLOOKUP(EA$72,INDIRECT($C$5&amp;"生成成长"),5))*(VLOOKUP($B$5,标准坦克设计!$B$24:$U$30,MATCH("对"&amp;LEFT($C$5,2)&amp;"输出",标准坦克设计!$B$23:$U$23,0)))*(VLOOKUP($B104,INDIRECT($B$5&amp;"生成成长"),3))*(VLOOKUP($B$5,标准坦克设计!$B$14:$K$20,9)/30))</f>
        <v>4.8242160641943377</v>
      </c>
      <c r="EB104" s="172">
        <f ca="1">(VLOOKUP(EB$72,INDIRECT($C$5&amp;"生成成长"),2))/((VLOOKUP($B104,INDIRECT($B$5&amp;"生成成长"),4))/(VLOOKUP(EB$72,INDIRECT($C$5&amp;"生成成长"),5))*(VLOOKUP($B$5,标准坦克设计!$B$24:$U$30,MATCH("对"&amp;LEFT($C$5,2)&amp;"输出",标准坦克设计!$B$23:$U$23,0)))*(VLOOKUP($B104,INDIRECT($B$5&amp;"生成成长"),3))*(VLOOKUP($B$5,标准坦克设计!$B$14:$K$20,9)/30))</f>
        <v>5.2923235504888853</v>
      </c>
      <c r="EC104" s="172">
        <f ca="1">(VLOOKUP(EC$72,INDIRECT($C$5&amp;"生成成长"),2))/((VLOOKUP($B104,INDIRECT($B$5&amp;"生成成长"),4))/(VLOOKUP(EC$72,INDIRECT($C$5&amp;"生成成长"),5))*(VLOOKUP($B$5,标准坦克设计!$B$24:$U$30,MATCH("对"&amp;LEFT($C$5,2)&amp;"输出",标准坦克设计!$B$23:$U$23,0)))*(VLOOKUP($B104,INDIRECT($B$5&amp;"生成成长"),3))*(VLOOKUP($B$5,标准坦克设计!$B$14:$K$20,9)/30))</f>
        <v>5.7821026796674397</v>
      </c>
      <c r="ED104" s="172">
        <f ca="1">(VLOOKUP(ED$72,INDIRECT($C$5&amp;"生成成长"),2))/((VLOOKUP($B104,INDIRECT($B$5&amp;"生成成长"),4))/(VLOOKUP(ED$72,INDIRECT($C$5&amp;"生成成长"),5))*(VLOOKUP($B$5,标准坦克设计!$B$24:$U$30,MATCH("对"&amp;LEFT($C$5,2)&amp;"输出",标准坦克设计!$B$23:$U$23,0)))*(VLOOKUP($B104,INDIRECT($B$5&amp;"生成成长"),3))*(VLOOKUP($B$5,标准坦克设计!$B$14:$K$20,9)/30))</f>
        <v>6.2935534517299985</v>
      </c>
      <c r="EE104" s="172">
        <f ca="1">(VLOOKUP(EE$72,INDIRECT($C$5&amp;"生成成长"),2))/((VLOOKUP($B104,INDIRECT($B$5&amp;"生成成长"),4))/(VLOOKUP(EE$72,INDIRECT($C$5&amp;"生成成长"),5))*(VLOOKUP($B$5,标准坦克设计!$B$24:$U$30,MATCH("对"&amp;LEFT($C$5,2)&amp;"输出",标准坦克设计!$B$23:$U$23,0)))*(VLOOKUP($B104,INDIRECT($B$5&amp;"生成成长"),3))*(VLOOKUP($B$5,标准坦克设计!$B$14:$K$20,9)/30))</f>
        <v>6.8266758666765668</v>
      </c>
      <c r="EF104" s="172">
        <f ca="1">(VLOOKUP(EF$72,INDIRECT($C$5&amp;"生成成长"),2))/((VLOOKUP($B104,INDIRECT($B$5&amp;"生成成长"),4))/(VLOOKUP(EF$72,INDIRECT($C$5&amp;"生成成长"),5))*(VLOOKUP($B$5,标准坦克设计!$B$24:$U$30,MATCH("对"&amp;LEFT($C$5,2)&amp;"输出",标准坦克设计!$B$23:$U$23,0)))*(VLOOKUP($B104,INDIRECT($B$5&amp;"生成成长"),3))*(VLOOKUP($B$5,标准坦克设计!$B$14:$K$20,9)/30))</f>
        <v>7.3814699245071402</v>
      </c>
      <c r="EG104" s="172">
        <f ca="1">(VLOOKUP(EG$72,INDIRECT($C$5&amp;"生成成长"),2))/((VLOOKUP($B104,INDIRECT($B$5&amp;"生成成长"),4))/(VLOOKUP(EG$72,INDIRECT($C$5&amp;"生成成长"),5))*(VLOOKUP($B$5,标准坦克设计!$B$24:$U$30,MATCH("对"&amp;LEFT($C$5,2)&amp;"输出",标准坦克设计!$B$23:$U$23,0)))*(VLOOKUP($B104,INDIRECT($B$5&amp;"生成成长"),3))*(VLOOKUP($B$5,标准坦克设计!$B$14:$K$20,9)/30))</f>
        <v>7.9579356252217224</v>
      </c>
      <c r="EH104" s="172">
        <f ca="1">(VLOOKUP(EH$72,INDIRECT($C$5&amp;"生成成长"),2))/((VLOOKUP($B104,INDIRECT($B$5&amp;"生成成长"),4))/(VLOOKUP(EH$72,INDIRECT($C$5&amp;"生成成长"),5))*(VLOOKUP($B$5,标准坦克设计!$B$24:$U$30,MATCH("对"&amp;LEFT($C$5,2)&amp;"输出",标准坦克设计!$B$23:$U$23,0)))*(VLOOKUP($B104,INDIRECT($B$5&amp;"生成成长"),3))*(VLOOKUP($B$5,标准坦克设计!$B$14:$K$20,9)/30))</f>
        <v>8.5560729688203114</v>
      </c>
      <c r="EI104" s="172">
        <f ca="1">(VLOOKUP(EI$72,INDIRECT($C$5&amp;"生成成长"),2))/((VLOOKUP($B104,INDIRECT($B$5&amp;"生成成长"),4))/(VLOOKUP(EI$72,INDIRECT($C$5&amp;"生成成长"),5))*(VLOOKUP($B$5,标准坦克设计!$B$24:$U$30,MATCH("对"&amp;LEFT($C$5,2)&amp;"输出",标准坦克设计!$B$23:$U$23,0)))*(VLOOKUP($B104,INDIRECT($B$5&amp;"生成成长"),3))*(VLOOKUP($B$5,标准坦克设计!$B$14:$K$20,9)/30))</f>
        <v>9.1758819553029056</v>
      </c>
      <c r="EJ104" s="172">
        <f ca="1">(VLOOKUP(EJ$72,INDIRECT($C$5&amp;"生成成长"),2))/((VLOOKUP($B104,INDIRECT($B$5&amp;"生成成长"),4))/(VLOOKUP(EJ$72,INDIRECT($C$5&amp;"生成成长"),5))*(VLOOKUP($B$5,标准坦克设计!$B$24:$U$30,MATCH("对"&amp;LEFT($C$5,2)&amp;"输出",标准坦克设计!$B$23:$U$23,0)))*(VLOOKUP($B104,INDIRECT($B$5&amp;"生成成长"),3))*(VLOOKUP($B$5,标准坦克设计!$B$14:$K$20,9)/30))</f>
        <v>9.8173625846695085</v>
      </c>
      <c r="EK104" s="172">
        <f ca="1">(VLOOKUP(EK$72,INDIRECT($C$5&amp;"生成成长"),2))/((VLOOKUP($B104,INDIRECT($B$5&amp;"生成成长"),4))/(VLOOKUP(EK$72,INDIRECT($C$5&amp;"生成成长"),5))*(VLOOKUP($B$5,标准坦克设计!$B$24:$U$30,MATCH("对"&amp;LEFT($C$5,2)&amp;"输出",标准坦克设计!$B$23:$U$23,0)))*(VLOOKUP($B104,INDIRECT($B$5&amp;"生成成长"),3))*(VLOOKUP($B$5,标准坦克设计!$B$14:$K$20,9)/30))</f>
        <v>10.615745908516319</v>
      </c>
      <c r="EL104" s="172">
        <f ca="1">(VLOOKUP(EL$72,INDIRECT($C$5&amp;"生成成长"),2))/((VLOOKUP($B104,INDIRECT($B$5&amp;"生成成长"),4))/(VLOOKUP(EL$72,INDIRECT($C$5&amp;"生成成长"),5))*(VLOOKUP($B$5,标准坦克设计!$B$24:$U$30,MATCH("对"&amp;LEFT($C$5,2)&amp;"输出",标准坦克设计!$B$23:$U$23,0)))*(VLOOKUP($B104,INDIRECT($B$5&amp;"生成成长"),3))*(VLOOKUP($B$5,标准坦克设计!$B$14:$K$20,9)/30))</f>
        <v>11.445336398116099</v>
      </c>
      <c r="EM104" s="172">
        <f ca="1">(VLOOKUP(EM$72,INDIRECT($C$5&amp;"生成成长"),2))/((VLOOKUP($B104,INDIRECT($B$5&amp;"生成成长"),4))/(VLOOKUP(EM$72,INDIRECT($C$5&amp;"生成成长"),5))*(VLOOKUP($B$5,标准坦克设计!$B$24:$U$30,MATCH("对"&amp;LEFT($C$5,2)&amp;"输出",标准坦克设计!$B$23:$U$23,0)))*(VLOOKUP($B104,INDIRECT($B$5&amp;"生成成长"),3))*(VLOOKUP($B$5,标准坦克设计!$B$14:$K$20,9)/30))</f>
        <v>12.306134053468849</v>
      </c>
      <c r="EN104" s="172">
        <f ca="1">(VLOOKUP(EN$72,INDIRECT($C$5&amp;"生成成长"),2))/((VLOOKUP($B104,INDIRECT($B$5&amp;"生成成长"),4))/(VLOOKUP(EN$72,INDIRECT($C$5&amp;"生成成长"),5))*(VLOOKUP($B$5,标准坦克设计!$B$24:$U$30,MATCH("对"&amp;LEFT($C$5,2)&amp;"输出",标准坦克设计!$B$23:$U$23,0)))*(VLOOKUP($B104,INDIRECT($B$5&amp;"生成成长"),3))*(VLOOKUP($B$5,标准坦克设计!$B$14:$K$20,9)/30))</f>
        <v>13.198138874574571</v>
      </c>
      <c r="EO104" s="172">
        <f ca="1">(VLOOKUP(EO$72,INDIRECT($C$5&amp;"生成成长"),2))/((VLOOKUP($B104,INDIRECT($B$5&amp;"生成成长"),4))/(VLOOKUP(EO$72,INDIRECT($C$5&amp;"生成成长"),5))*(VLOOKUP($B$5,标准坦克设计!$B$24:$U$30,MATCH("对"&amp;LEFT($C$5,2)&amp;"输出",标准坦克设计!$B$23:$U$23,0)))*(VLOOKUP($B104,INDIRECT($B$5&amp;"生成成长"),3))*(VLOOKUP($B$5,标准坦克设计!$B$14:$K$20,9)/30))</f>
        <v>14.121350861433262</v>
      </c>
      <c r="EP104" s="172">
        <f ca="1">(VLOOKUP(EP$72,INDIRECT($C$5&amp;"生成成长"),2))/((VLOOKUP($B104,INDIRECT($B$5&amp;"生成成长"),4))/(VLOOKUP(EP$72,INDIRECT($C$5&amp;"生成成长"),5))*(VLOOKUP($B$5,标准坦克设计!$B$24:$U$30,MATCH("对"&amp;LEFT($C$5,2)&amp;"输出",标准坦克设计!$B$23:$U$23,0)))*(VLOOKUP($B104,INDIRECT($B$5&amp;"生成成长"),3))*(VLOOKUP($B$5,标准坦克设计!$B$14:$K$20,9)/30))</f>
        <v>15.07577001404492</v>
      </c>
      <c r="EQ104" s="172">
        <f ca="1">(VLOOKUP(EQ$72,INDIRECT($C$5&amp;"生成成长"),2))/((VLOOKUP($B104,INDIRECT($B$5&amp;"生成成长"),4))/(VLOOKUP(EQ$72,INDIRECT($C$5&amp;"生成成长"),5))*(VLOOKUP($B$5,标准坦克设计!$B$24:$U$30,MATCH("对"&amp;LEFT($C$5,2)&amp;"输出",标准坦克设计!$B$23:$U$23,0)))*(VLOOKUP($B104,INDIRECT($B$5&amp;"生成成长"),3))*(VLOOKUP($B$5,标准坦克设计!$B$14:$K$20,9)/30))</f>
        <v>6.6644636196897755</v>
      </c>
      <c r="ER104" s="172">
        <f ca="1">(VLOOKUP(ER$72,INDIRECT($C$5&amp;"生成成长"),2))/((VLOOKUP($B104,INDIRECT($B$5&amp;"生成成长"),4))/(VLOOKUP(ER$72,INDIRECT($C$5&amp;"生成成长"),5))*(VLOOKUP($B$5,标准坦克设计!$B$24:$U$30,MATCH("对"&amp;LEFT($C$5,2)&amp;"输出",标准坦克设计!$B$23:$U$23,0)))*(VLOOKUP($B104,INDIRECT($B$5&amp;"生成成长"),3))*(VLOOKUP($B$5,标准坦克设计!$B$14:$K$20,9)/30))</f>
        <v>7.2687773815103052</v>
      </c>
      <c r="ES104" s="172">
        <f ca="1">(VLOOKUP(ES$72,INDIRECT($C$5&amp;"生成成长"),2))/((VLOOKUP($B104,INDIRECT($B$5&amp;"生成成长"),4))/(VLOOKUP(ES$72,INDIRECT($C$5&amp;"生成成长"),5))*(VLOOKUP($B$5,标准坦克设计!$B$24:$U$30,MATCH("对"&amp;LEFT($C$5,2)&amp;"输出",标准坦克设计!$B$23:$U$23,0)))*(VLOOKUP($B104,INDIRECT($B$5&amp;"生成成长"),3))*(VLOOKUP($B$5,标准坦克设计!$B$14:$K$20,9)/30))</f>
        <v>7.8993138312204838</v>
      </c>
      <c r="ET104" s="172">
        <f ca="1">(VLOOKUP(ET$72,INDIRECT($C$5&amp;"生成成长"),2))/((VLOOKUP($B104,INDIRECT($B$5&amp;"生成成长"),4))/(VLOOKUP(ET$72,INDIRECT($C$5&amp;"生成成长"),5))*(VLOOKUP($B$5,标准坦克设计!$B$24:$U$30,MATCH("对"&amp;LEFT($C$5,2)&amp;"输出",标准坦克设计!$B$23:$U$23,0)))*(VLOOKUP($B104,INDIRECT($B$5&amp;"生成成长"),3))*(VLOOKUP($B$5,标准坦克设计!$B$14:$K$20,9)/30))</f>
        <v>8.5560729688203114</v>
      </c>
      <c r="EU104" s="172">
        <f ca="1">(VLOOKUP(EU$72,INDIRECT($C$5&amp;"生成成长"),2))/((VLOOKUP($B104,INDIRECT($B$5&amp;"生成成长"),4))/(VLOOKUP(EU$72,INDIRECT($C$5&amp;"生成成长"),5))*(VLOOKUP($B$5,标准坦克设计!$B$24:$U$30,MATCH("对"&amp;LEFT($C$5,2)&amp;"输出",标准坦克设计!$B$23:$U$23,0)))*(VLOOKUP($B104,INDIRECT($B$5&amp;"生成成长"),3))*(VLOOKUP($B$5,标准坦克设计!$B$14:$K$20,9)/30))</f>
        <v>9.2390547943097854</v>
      </c>
      <c r="EV104" s="172">
        <f ca="1">(VLOOKUP(EV$72,INDIRECT($C$5&amp;"生成成长"),2))/((VLOOKUP($B104,INDIRECT($B$5&amp;"生成成长"),4))/(VLOOKUP(EV$72,INDIRECT($C$5&amp;"生成成长"),5))*(VLOOKUP($B$5,标准坦克设计!$B$24:$U$30,MATCH("对"&amp;LEFT($C$5,2)&amp;"输出",标准坦克设计!$B$23:$U$23,0)))*(VLOOKUP($B104,INDIRECT($B$5&amp;"生成成长"),3))*(VLOOKUP($B$5,标准坦克设计!$B$14:$K$20,9)/30))</f>
        <v>9.9482593076889092</v>
      </c>
      <c r="EW104" s="172">
        <f ca="1">(VLOOKUP(EW$72,INDIRECT($C$5&amp;"生成成长"),2))/((VLOOKUP($B104,INDIRECT($B$5&amp;"生成成长"),4))/(VLOOKUP(EW$72,INDIRECT($C$5&amp;"生成成长"),5))*(VLOOKUP($B$5,标准坦克设计!$B$24:$U$30,MATCH("对"&amp;LEFT($C$5,2)&amp;"输出",标准坦克设计!$B$23:$U$23,0)))*(VLOOKUP($B104,INDIRECT($B$5&amp;"生成成长"),3))*(VLOOKUP($B$5,标准坦克设计!$B$14:$K$20,9)/30))</f>
        <v>10.683686508957679</v>
      </c>
      <c r="EX104" s="172">
        <f ca="1">(VLOOKUP(EX$72,INDIRECT($C$5&amp;"生成成长"),2))/((VLOOKUP($B104,INDIRECT($B$5&amp;"生成成长"),4))/(VLOOKUP(EX$72,INDIRECT($C$5&amp;"生成成长"),5))*(VLOOKUP($B$5,标准坦克设计!$B$24:$U$30,MATCH("对"&amp;LEFT($C$5,2)&amp;"输出",标准坦克设计!$B$23:$U$23,0)))*(VLOOKUP($B104,INDIRECT($B$5&amp;"生成成长"),3))*(VLOOKUP($B$5,标准坦克设计!$B$14:$K$20,9)/30))</f>
        <v>11.445336398116099</v>
      </c>
      <c r="EY104" s="172">
        <f ca="1">(VLOOKUP(EY$72,INDIRECT($C$5&amp;"生成成长"),2))/((VLOOKUP($B104,INDIRECT($B$5&amp;"生成成长"),4))/(VLOOKUP(EY$72,INDIRECT($C$5&amp;"生成成长"),5))*(VLOOKUP($B$5,标准坦克设计!$B$24:$U$30,MATCH("对"&amp;LEFT($C$5,2)&amp;"输出",标准坦克设计!$B$23:$U$23,0)))*(VLOOKUP($B104,INDIRECT($B$5&amp;"生成成长"),3))*(VLOOKUP($B$5,标准坦克设计!$B$14:$K$20,9)/30))</f>
        <v>12.233208975164166</v>
      </c>
      <c r="EZ104" s="172">
        <f ca="1">(VLOOKUP(EZ$72,INDIRECT($C$5&amp;"生成成长"),2))/((VLOOKUP($B104,INDIRECT($B$5&amp;"生成成长"),4))/(VLOOKUP(EZ$72,INDIRECT($C$5&amp;"生成成长"),5))*(VLOOKUP($B$5,标准坦克设计!$B$24:$U$30,MATCH("对"&amp;LEFT($C$5,2)&amp;"输出",标准坦克设计!$B$23:$U$23,0)))*(VLOOKUP($B104,INDIRECT($B$5&amp;"生成成长"),3))*(VLOOKUP($B$5,标准坦克设计!$B$14:$K$20,9)/30))</f>
        <v>13.047304240101882</v>
      </c>
      <c r="FA104" s="172">
        <f ca="1">(VLOOKUP(FA$72,INDIRECT($C$5&amp;"生成成长"),2))/((VLOOKUP($B104,INDIRECT($B$5&amp;"生成成长"),4))/(VLOOKUP(FA$72,INDIRECT($C$5&amp;"生成成长"),5))*(VLOOKUP($B$5,标准坦克设计!$B$24:$U$30,MATCH("对"&amp;LEFT($C$5,2)&amp;"输出",标准坦克设计!$B$23:$U$23,0)))*(VLOOKUP($B104,INDIRECT($B$5&amp;"生成成长"),3))*(VLOOKUP($B$5,标准坦克设计!$B$14:$K$20,9)/30))</f>
        <v>13.887622192929246</v>
      </c>
      <c r="FB104" s="172">
        <f ca="1">(VLOOKUP(FB$72,INDIRECT($C$5&amp;"生成成长"),2))/((VLOOKUP($B104,INDIRECT($B$5&amp;"生成成长"),4))/(VLOOKUP(FB$72,INDIRECT($C$5&amp;"生成成长"),5))*(VLOOKUP($B$5,标准坦克设计!$B$24:$U$30,MATCH("对"&amp;LEFT($C$5,2)&amp;"输出",标准坦克设计!$B$23:$U$23,0)))*(VLOOKUP($B104,INDIRECT($B$5&amp;"生成成长"),3))*(VLOOKUP($B$5,标准坦克设计!$B$14:$K$20,9)/30))</f>
        <v>14.75416283364626</v>
      </c>
      <c r="FC104" s="172">
        <f ca="1">(VLOOKUP(FC$72,INDIRECT($C$5&amp;"生成成长"),2))/((VLOOKUP($B104,INDIRECT($B$5&amp;"生成成长"),4))/(VLOOKUP(FC$72,INDIRECT($C$5&amp;"生成成长"),5))*(VLOOKUP($B$5,标准坦克设计!$B$24:$U$30,MATCH("对"&amp;LEFT($C$5,2)&amp;"输出",标准坦克设计!$B$23:$U$23,0)))*(VLOOKUP($B104,INDIRECT($B$5&amp;"生成成长"),3))*(VLOOKUP($B$5,标准坦克设计!$B$14:$K$20,9)/30))</f>
        <v>15.646926162252919</v>
      </c>
      <c r="FD104" s="172">
        <f ca="1">(VLOOKUP(FD$72,INDIRECT($C$5&amp;"生成成长"),2))/((VLOOKUP($B104,INDIRECT($B$5&amp;"生成成长"),4))/(VLOOKUP(FD$72,INDIRECT($C$5&amp;"生成成长"),5))*(VLOOKUP($B$5,标准坦克设计!$B$24:$U$30,MATCH("对"&amp;LEFT($C$5,2)&amp;"输出",标准坦克设计!$B$23:$U$23,0)))*(VLOOKUP($B104,INDIRECT($B$5&amp;"生成成长"),3))*(VLOOKUP($B$5,标准坦克设计!$B$14:$K$20,9)/30))</f>
        <v>16.56591217874923</v>
      </c>
      <c r="FE104" s="172">
        <f ca="1">(VLOOKUP(FE$72,INDIRECT($C$5&amp;"生成成长"),2))/((VLOOKUP($B104,INDIRECT($B$5&amp;"生成成长"),4))/(VLOOKUP(FE$72,INDIRECT($C$5&amp;"生成成长"),5))*(VLOOKUP($B$5,标准坦克设计!$B$24:$U$30,MATCH("对"&amp;LEFT($C$5,2)&amp;"输出",标准坦克设计!$B$23:$U$23,0)))*(VLOOKUP($B104,INDIRECT($B$5&amp;"生成成长"),3))*(VLOOKUP($B$5,标准坦克设计!$B$14:$K$20,9)/30))</f>
        <v>17.685794324780282</v>
      </c>
      <c r="FF104" s="172">
        <f ca="1">(VLOOKUP(FF$72,INDIRECT($C$5&amp;"生成成长"),2))/((VLOOKUP($B104,INDIRECT($B$5&amp;"生成成长"),4))/(VLOOKUP(FF$72,INDIRECT($C$5&amp;"生成成长"),5))*(VLOOKUP($B$5,标准坦克设计!$B$24:$U$30,MATCH("对"&amp;LEFT($C$5,2)&amp;"输出",标准坦克设计!$B$23:$U$23,0)))*(VLOOKUP($B104,INDIRECT($B$5&amp;"生成成长"),3))*(VLOOKUP($B$5,标准坦克设计!$B$14:$K$20,9)/30))</f>
        <v>18.842301547285306</v>
      </c>
      <c r="FG104" s="172">
        <f ca="1">(VLOOKUP(FG$72,INDIRECT($C$5&amp;"生成成长"),2))/((VLOOKUP($B104,INDIRECT($B$5&amp;"生成成长"),4))/(VLOOKUP(FG$72,INDIRECT($C$5&amp;"生成成长"),5))*(VLOOKUP($B$5,标准坦克设计!$B$24:$U$30,MATCH("对"&amp;LEFT($C$5,2)&amp;"输出",标准坦克设计!$B$23:$U$23,0)))*(VLOOKUP($B104,INDIRECT($B$5&amp;"生成成长"),3))*(VLOOKUP($B$5,标准坦克设计!$B$14:$K$20,9)/30))</f>
        <v>20.035433846264304</v>
      </c>
      <c r="FH104" s="172">
        <f ca="1">(VLOOKUP(FH$72,INDIRECT($C$5&amp;"生成成长"),2))/((VLOOKUP($B104,INDIRECT($B$5&amp;"生成成长"),4))/(VLOOKUP(FH$72,INDIRECT($C$5&amp;"生成成长"),5))*(VLOOKUP($B$5,标准坦克设计!$B$24:$U$30,MATCH("对"&amp;LEFT($C$5,2)&amp;"输出",标准坦克设计!$B$23:$U$23,0)))*(VLOOKUP($B104,INDIRECT($B$5&amp;"生成成长"),3))*(VLOOKUP($B$5,标准坦克设计!$B$14:$K$20,9)/30))</f>
        <v>21.265191221717267</v>
      </c>
      <c r="FI104" s="172">
        <f ca="1">(VLOOKUP(FI$72,INDIRECT($C$5&amp;"生成成长"),2))/((VLOOKUP($B104,INDIRECT($B$5&amp;"生成成长"),4))/(VLOOKUP(FI$72,INDIRECT($C$5&amp;"生成成长"),5))*(VLOOKUP($B$5,标准坦克设计!$B$24:$U$30,MATCH("对"&amp;LEFT($C$5,2)&amp;"输出",标准坦克设计!$B$23:$U$23,0)))*(VLOOKUP($B104,INDIRECT($B$5&amp;"生成成长"),3))*(VLOOKUP($B$5,标准坦克设计!$B$14:$K$20,9)/30))</f>
        <v>22.531573673644207</v>
      </c>
      <c r="FJ104" s="172">
        <f ca="1">(VLOOKUP(FJ$72,INDIRECT($C$5&amp;"生成成长"),2))/((VLOOKUP($B104,INDIRECT($B$5&amp;"生成成长"),4))/(VLOOKUP(FJ$72,INDIRECT($C$5&amp;"生成成长"),5))*(VLOOKUP($B$5,标准坦克设计!$B$24:$U$30,MATCH("对"&amp;LEFT($C$5,2)&amp;"输出",标准坦克设计!$B$23:$U$23,0)))*(VLOOKUP($B104,INDIRECT($B$5&amp;"生成成长"),3))*(VLOOKUP($B$5,标准坦克设计!$B$14:$K$20,9)/30))</f>
        <v>23.834581202045118</v>
      </c>
      <c r="FK104" s="172">
        <f ca="1">(VLOOKUP(FK$72,INDIRECT($C$5&amp;"生成成长"),2))/((VLOOKUP($B104,INDIRECT($B$5&amp;"生成成长"),4))/(VLOOKUP(FK$72,INDIRECT($C$5&amp;"生成成长"),5))*(VLOOKUP($B$5,标准坦克设计!$B$24:$U$30,MATCH("对"&amp;LEFT($C$5,2)&amp;"输出",标准坦克设计!$B$23:$U$23,0)))*(VLOOKUP($B104,INDIRECT($B$5&amp;"生成成长"),3))*(VLOOKUP($B$5,标准坦克设计!$B$14:$K$20,9)/30))</f>
        <v>25.174213806919994</v>
      </c>
    </row>
    <row r="105" spans="1:167" x14ac:dyDescent="0.15">
      <c r="A105" s="170" t="str">
        <f t="shared" si="11"/>
        <v>T5低品质1级</v>
      </c>
      <c r="B105" s="171">
        <v>10501</v>
      </c>
      <c r="C105" s="172">
        <f ca="1">(VLOOKUP(C$72,INDIRECT($C$5&amp;"生成成长"),2))/((VLOOKUP($B105,INDIRECT($B$5&amp;"生成成长"),4))/(VLOOKUP(C$72,INDIRECT($C$5&amp;"生成成长"),5))*(VLOOKUP($B$5,标准坦克设计!$B$24:$U$30,MATCH("对"&amp;LEFT($C$5,2)&amp;"输出",标准坦克设计!$B$23:$U$23,0)))*(VLOOKUP($B105,INDIRECT($B$5&amp;"生成成长"),3))*(VLOOKUP($B$5,标准坦克设计!$B$14:$K$20,9)/30))</f>
        <v>1.5312146655896424</v>
      </c>
      <c r="D105" s="172">
        <f ca="1">(VLOOKUP(D$72,INDIRECT($C$5&amp;"生成成长"),2))/((VLOOKUP($B105,INDIRECT($B$5&amp;"生成成长"),4))/(VLOOKUP(D$72,INDIRECT($C$5&amp;"生成成长"),5))*(VLOOKUP($B$5,标准坦克设计!$B$24:$U$30,MATCH("对"&amp;LEFT($C$5,2)&amp;"输出",标准坦克设计!$B$23:$U$23,0)))*(VLOOKUP($B105,INDIRECT($B$5&amp;"生成成长"),3))*(VLOOKUP($B$5,标准坦克设计!$B$14:$K$20,9)/30))</f>
        <v>1.7204727982565218</v>
      </c>
      <c r="E105" s="172">
        <f ca="1">(VLOOKUP(E$72,INDIRECT($C$5&amp;"生成成长"),2))/((VLOOKUP($B105,INDIRECT($B$5&amp;"生成成长"),4))/(VLOOKUP(E$72,INDIRECT($C$5&amp;"生成成长"),5))*(VLOOKUP($B$5,标准坦克设计!$B$24:$U$30,MATCH("对"&amp;LEFT($C$5,2)&amp;"输出",标准坦克设计!$B$23:$U$23,0)))*(VLOOKUP($B105,INDIRECT($B$5&amp;"生成成长"),3))*(VLOOKUP($B$5,标准坦克设计!$B$14:$K$20,9)/30))</f>
        <v>1.9207556765156477</v>
      </c>
      <c r="F105" s="172">
        <f ca="1">(VLOOKUP(F$72,INDIRECT($C$5&amp;"生成成长"),2))/((VLOOKUP($B105,INDIRECT($B$5&amp;"生成成长"),4))/(VLOOKUP(F$72,INDIRECT($C$5&amp;"生成成长"),5))*(VLOOKUP($B$5,标准坦克设计!$B$24:$U$30,MATCH("对"&amp;LEFT($C$5,2)&amp;"输出",标准坦克设计!$B$23:$U$23,0)))*(VLOOKUP($B105,INDIRECT($B$5&amp;"生成成长"),3))*(VLOOKUP($B$5,标准坦克设计!$B$14:$K$20,9)/30))</f>
        <v>2.132063300367018</v>
      </c>
      <c r="G105" s="172">
        <f ca="1">(VLOOKUP(G$72,INDIRECT($C$5&amp;"生成成长"),2))/((VLOOKUP($B105,INDIRECT($B$5&amp;"生成成长"),4))/(VLOOKUP(G$72,INDIRECT($C$5&amp;"生成成长"),5))*(VLOOKUP($B$5,标准坦克设计!$B$24:$U$30,MATCH("对"&amp;LEFT($C$5,2)&amp;"输出",标准坦克设计!$B$23:$U$23,0)))*(VLOOKUP($B105,INDIRECT($B$5&amp;"生成成长"),3))*(VLOOKUP($B$5,标准坦克设计!$B$14:$K$20,9)/30))</f>
        <v>2.3543956698106339</v>
      </c>
      <c r="H105" s="172">
        <f ca="1">(VLOOKUP(H$72,INDIRECT($C$5&amp;"生成成长"),2))/((VLOOKUP($B105,INDIRECT($B$5&amp;"生成成长"),4))/(VLOOKUP(H$72,INDIRECT($C$5&amp;"生成成长"),5))*(VLOOKUP($B$5,标准坦克设计!$B$24:$U$30,MATCH("对"&amp;LEFT($C$5,2)&amp;"输出",标准坦克设计!$B$23:$U$23,0)))*(VLOOKUP($B105,INDIRECT($B$5&amp;"生成成长"),3))*(VLOOKUP($B$5,标准坦克设计!$B$14:$K$20,9)/30))</f>
        <v>2.0604024540174226</v>
      </c>
      <c r="I105" s="172">
        <f ca="1">(VLOOKUP(I$72,INDIRECT($C$5&amp;"生成成长"),2))/((VLOOKUP($B105,INDIRECT($B$5&amp;"生成成长"),4))/(VLOOKUP(I$72,INDIRECT($C$5&amp;"生成成长"),5))*(VLOOKUP($B$5,标准坦克设计!$B$24:$U$30,MATCH("对"&amp;LEFT($C$5,2)&amp;"输出",标准坦克设计!$B$23:$U$23,0)))*(VLOOKUP($B105,INDIRECT($B$5&amp;"生成成长"),3))*(VLOOKUP($B$5,标准坦克设计!$B$14:$K$20,9)/30))</f>
        <v>2.3543956698106339</v>
      </c>
      <c r="J105" s="172">
        <f ca="1">(VLOOKUP(J$72,INDIRECT($C$5&amp;"生成成长"),2))/((VLOOKUP($B105,INDIRECT($B$5&amp;"生成成长"),4))/(VLOOKUP(J$72,INDIRECT($C$5&amp;"生成成长"),5))*(VLOOKUP($B$5,标准坦克设计!$B$24:$U$30,MATCH("对"&amp;LEFT($C$5,2)&amp;"输出",标准坦克设计!$B$23:$U$23,0)))*(VLOOKUP($B105,INDIRECT($B$5&amp;"生成成长"),3))*(VLOOKUP($B$5,标准坦克设计!$B$14:$K$20,9)/30))</f>
        <v>2.6679884333233925</v>
      </c>
      <c r="K105" s="172">
        <f ca="1">(VLOOKUP(K$72,INDIRECT($C$5&amp;"生成成长"),2))/((VLOOKUP($B105,INDIRECT($B$5&amp;"生成成长"),4))/(VLOOKUP(K$72,INDIRECT($C$5&amp;"生成成长"),5))*(VLOOKUP($B$5,标准坦克设计!$B$24:$U$30,MATCH("对"&amp;LEFT($C$5,2)&amp;"输出",标准坦克设计!$B$23:$U$23,0)))*(VLOOKUP($B105,INDIRECT($B$5&amp;"生成成长"),3))*(VLOOKUP($B$5,标准坦克设计!$B$14:$K$20,9)/30))</f>
        <v>3.0011807445556995</v>
      </c>
      <c r="L105" s="172">
        <f ca="1">(VLOOKUP(L$72,INDIRECT($C$5&amp;"生成成长"),2))/((VLOOKUP($B105,INDIRECT($B$5&amp;"生成成长"),4))/(VLOOKUP(L$72,INDIRECT($C$5&amp;"生成成长"),5))*(VLOOKUP($B$5,标准坦克设计!$B$24:$U$30,MATCH("对"&amp;LEFT($C$5,2)&amp;"输出",标准坦克设计!$B$23:$U$23,0)))*(VLOOKUP($B105,INDIRECT($B$5&amp;"生成成长"),3))*(VLOOKUP($B$5,标准坦克设计!$B$14:$K$20,9)/30))</f>
        <v>3.353972603507553</v>
      </c>
      <c r="M105" s="172">
        <f ca="1">(VLOOKUP(M$72,INDIRECT($C$5&amp;"生成成长"),2))/((VLOOKUP($B105,INDIRECT($B$5&amp;"生成成长"),4))/(VLOOKUP(M$72,INDIRECT($C$5&amp;"生成成长"),5))*(VLOOKUP($B$5,标准坦克设计!$B$24:$U$30,MATCH("对"&amp;LEFT($C$5,2)&amp;"输出",标准坦克设计!$B$23:$U$23,0)))*(VLOOKUP($B105,INDIRECT($B$5&amp;"生成成长"),3))*(VLOOKUP($B$5,标准坦克设计!$B$14:$K$20,9)/30))</f>
        <v>3.7263640101789539</v>
      </c>
      <c r="N105" s="172">
        <f ca="1">(VLOOKUP(N$72,INDIRECT($C$5&amp;"生成成长"),2))/((VLOOKUP($B105,INDIRECT($B$5&amp;"生成成长"),4))/(VLOOKUP(N$72,INDIRECT($C$5&amp;"生成成长"),5))*(VLOOKUP($B$5,标准坦克设计!$B$24:$U$30,MATCH("对"&amp;LEFT($C$5,2)&amp;"输出",标准坦克设计!$B$23:$U$23,0)))*(VLOOKUP($B105,INDIRECT($B$5&amp;"生成成长"),3))*(VLOOKUP($B$5,标准坦克设计!$B$14:$K$20,9)/30))</f>
        <v>4.1183549645699031</v>
      </c>
      <c r="O105" s="172">
        <f ca="1">(VLOOKUP(O$72,INDIRECT($C$5&amp;"生成成长"),2))/((VLOOKUP($B105,INDIRECT($B$5&amp;"生成成长"),4))/(VLOOKUP(O$72,INDIRECT($C$5&amp;"生成成长"),5))*(VLOOKUP($B$5,标准坦克设计!$B$24:$U$30,MATCH("对"&amp;LEFT($C$5,2)&amp;"输出",标准坦克设计!$B$23:$U$23,0)))*(VLOOKUP($B105,INDIRECT($B$5&amp;"生成成长"),3))*(VLOOKUP($B$5,标准坦克设计!$B$14:$K$20,9)/30))</f>
        <v>3.1311808696642598</v>
      </c>
      <c r="P105" s="172">
        <f ca="1">(VLOOKUP(P$72,INDIRECT($C$5&amp;"生成成长"),2))/((VLOOKUP($B105,INDIRECT($B$5&amp;"生成成长"),4))/(VLOOKUP(P$72,INDIRECT($C$5&amp;"生成成长"),5))*(VLOOKUP($B$5,标准坦克设计!$B$24:$U$30,MATCH("对"&amp;LEFT($C$5,2)&amp;"输出",标准坦克设计!$B$23:$U$23,0)))*(VLOOKUP($B105,INDIRECT($B$5&amp;"生成成长"),3))*(VLOOKUP($B$5,标准坦克设计!$B$14:$K$20,9)/30))</f>
        <v>3.53771836337831</v>
      </c>
      <c r="Q105" s="172">
        <f ca="1">(VLOOKUP(Q$72,INDIRECT($C$5&amp;"生成成长"),2))/((VLOOKUP($B105,INDIRECT($B$5&amp;"生成成长"),4))/(VLOOKUP(Q$72,INDIRECT($C$5&amp;"生成成长"),5))*(VLOOKUP($B$5,标准坦克设计!$B$24:$U$30,MATCH("对"&amp;LEFT($C$5,2)&amp;"输出",标准坦克设计!$B$23:$U$23,0)))*(VLOOKUP($B105,INDIRECT($B$5&amp;"生成成长"),3))*(VLOOKUP($B$5,标准坦克设计!$B$14:$K$20,9)/30))</f>
        <v>3.9690615346749123</v>
      </c>
      <c r="R105" s="172">
        <f ca="1">(VLOOKUP(R$72,INDIRECT($C$5&amp;"生成成长"),2))/((VLOOKUP($B105,INDIRECT($B$5&amp;"生成成长"),4))/(VLOOKUP(R$72,INDIRECT($C$5&amp;"生成成长"),5))*(VLOOKUP($B$5,标准坦克设计!$B$24:$U$30,MATCH("对"&amp;LEFT($C$5,2)&amp;"输出",标准坦克设计!$B$23:$U$23,0)))*(VLOOKUP($B105,INDIRECT($B$5&amp;"生成成长"),3))*(VLOOKUP($B$5,标准坦克设计!$B$14:$K$20,9)/30))</f>
        <v>4.4252103835540666</v>
      </c>
      <c r="S105" s="172">
        <f ca="1">(VLOOKUP(S$72,INDIRECT($C$5&amp;"生成成长"),2))/((VLOOKUP($B105,INDIRECT($B$5&amp;"生成成长"),4))/(VLOOKUP(S$72,INDIRECT($C$5&amp;"生成成长"),5))*(VLOOKUP($B$5,标准坦克设计!$B$24:$U$30,MATCH("对"&amp;LEFT($C$5,2)&amp;"输出",标准坦克设计!$B$23:$U$23,0)))*(VLOOKUP($B105,INDIRECT($B$5&amp;"生成成长"),3))*(VLOOKUP($B$5,标准坦克设计!$B$14:$K$20,9)/30))</f>
        <v>4.9061649100157734</v>
      </c>
      <c r="T105" s="172">
        <f ca="1">(VLOOKUP(T$72,INDIRECT($C$5&amp;"生成成长"),2))/((VLOOKUP($B105,INDIRECT($B$5&amp;"生成成长"),4))/(VLOOKUP(T$72,INDIRECT($C$5&amp;"生成成长"),5))*(VLOOKUP($B$5,标准坦克设计!$B$24:$U$30,MATCH("对"&amp;LEFT($C$5,2)&amp;"输出",标准坦克设计!$B$23:$U$23,0)))*(VLOOKUP($B105,INDIRECT($B$5&amp;"生成成长"),3))*(VLOOKUP($B$5,标准坦克设计!$B$14:$K$20,9)/30))</f>
        <v>5.4119251140600326</v>
      </c>
      <c r="U105" s="172">
        <f ca="1">(VLOOKUP(U$72,INDIRECT($C$5&amp;"生成成长"),2))/((VLOOKUP($B105,INDIRECT($B$5&amp;"生成成长"),4))/(VLOOKUP(U$72,INDIRECT($C$5&amp;"生成成长"),5))*(VLOOKUP($B$5,标准坦克设计!$B$24:$U$30,MATCH("对"&amp;LEFT($C$5,2)&amp;"输出",标准坦克设计!$B$23:$U$23,0)))*(VLOOKUP($B105,INDIRECT($B$5&amp;"生成成长"),3))*(VLOOKUP($B$5,标准坦克设计!$B$14:$K$20,9)/30))</f>
        <v>5.9424909956868426</v>
      </c>
      <c r="V105" s="172">
        <f ca="1">(VLOOKUP(V$72,INDIRECT($C$5&amp;"生成成长"),2))/((VLOOKUP($B105,INDIRECT($B$5&amp;"生成成长"),4))/(VLOOKUP(V$72,INDIRECT($C$5&amp;"生成成长"),5))*(VLOOKUP($B$5,标准坦克设计!$B$24:$U$30,MATCH("对"&amp;LEFT($C$5,2)&amp;"输出",标准坦克设计!$B$23:$U$23,0)))*(VLOOKUP($B105,INDIRECT($B$5&amp;"生成成长"),3))*(VLOOKUP($B$5,标准坦克设计!$B$14:$K$20,9)/30))</f>
        <v>6.4978625548962068</v>
      </c>
      <c r="W105" s="172">
        <f ca="1">(VLOOKUP(W$72,INDIRECT($C$5&amp;"生成成长"),2))/((VLOOKUP($B105,INDIRECT($B$5&amp;"生成成长"),4))/(VLOOKUP(W$72,INDIRECT($C$5&amp;"生成成长"),5))*(VLOOKUP($B$5,标准坦克设计!$B$24:$U$30,MATCH("对"&amp;LEFT($C$5,2)&amp;"输出",标准坦克设计!$B$23:$U$23,0)))*(VLOOKUP($B105,INDIRECT($B$5&amp;"生成成长"),3))*(VLOOKUP($B$5,标准坦克设计!$B$14:$K$20,9)/30))</f>
        <v>7.0780397916881217</v>
      </c>
      <c r="X105" s="172">
        <f ca="1">(VLOOKUP(X$72,INDIRECT($C$5&amp;"生成成长"),2))/((VLOOKUP($B105,INDIRECT($B$5&amp;"生成成长"),4))/(VLOOKUP(X$72,INDIRECT($C$5&amp;"生成成长"),5))*(VLOOKUP($B$5,标准坦克设计!$B$24:$U$30,MATCH("对"&amp;LEFT($C$5,2)&amp;"输出",标准坦克设计!$B$23:$U$23,0)))*(VLOOKUP($B105,INDIRECT($B$5&amp;"生成成长"),3))*(VLOOKUP($B$5,标准坦克设计!$B$14:$K$20,9)/30))</f>
        <v>5.1278847935931546</v>
      </c>
      <c r="Y105" s="172">
        <f ca="1">(VLOOKUP(Y$72,INDIRECT($C$5&amp;"生成成长"),2))/((VLOOKUP($B105,INDIRECT($B$5&amp;"生成成长"),4))/(VLOOKUP(Y$72,INDIRECT($C$5&amp;"生成成长"),5))*(VLOOKUP($B$5,标准坦克设计!$B$24:$U$30,MATCH("对"&amp;LEFT($C$5,2)&amp;"输出",标准坦克设计!$B$23:$U$23,0)))*(VLOOKUP($B105,INDIRECT($B$5&amp;"生成成长"),3))*(VLOOKUP($B$5,标准坦克设计!$B$14:$K$20,9)/30))</f>
        <v>5.7036215078548587</v>
      </c>
      <c r="Z105" s="172">
        <f ca="1">(VLOOKUP(Z$72,INDIRECT($C$5&amp;"生成成长"),2))/((VLOOKUP($B105,INDIRECT($B$5&amp;"生成成长"),4))/(VLOOKUP(Z$72,INDIRECT($C$5&amp;"生成成长"),5))*(VLOOKUP($B$5,标准坦克设计!$B$24:$U$30,MATCH("对"&amp;LEFT($C$5,2)&amp;"输出",标准坦克设计!$B$23:$U$23,0)))*(VLOOKUP($B105,INDIRECT($B$5&amp;"生成成长"),3))*(VLOOKUP($B$5,标准坦克设计!$B$14:$K$20,9)/30))</f>
        <v>6.3099825154283566</v>
      </c>
      <c r="AA105" s="172">
        <f ca="1">(VLOOKUP(AA$72,INDIRECT($C$5&amp;"生成成长"),2))/((VLOOKUP($B105,INDIRECT($B$5&amp;"生成成长"),4))/(VLOOKUP(AA$72,INDIRECT($C$5&amp;"生成成长"),5))*(VLOOKUP($B$5,标准坦克设计!$B$24:$U$30,MATCH("对"&amp;LEFT($C$5,2)&amp;"输出",标准坦克设计!$B$23:$U$23,0)))*(VLOOKUP($B105,INDIRECT($B$5&amp;"生成成长"),3))*(VLOOKUP($B$5,标准坦克设计!$B$14:$K$20,9)/30))</f>
        <v>6.9469678163136486</v>
      </c>
      <c r="AB105" s="172">
        <f ca="1">(VLOOKUP(AB$72,INDIRECT($C$5&amp;"生成成长"),2))/((VLOOKUP($B105,INDIRECT($B$5&amp;"生成成长"),4))/(VLOOKUP(AB$72,INDIRECT($C$5&amp;"生成成长"),5))*(VLOOKUP($B$5,标准坦克设计!$B$24:$U$30,MATCH("对"&amp;LEFT($C$5,2)&amp;"输出",标准坦克设计!$B$23:$U$23,0)))*(VLOOKUP($B105,INDIRECT($B$5&amp;"生成成长"),3))*(VLOOKUP($B$5,标准坦克设计!$B$14:$K$20,9)/30))</f>
        <v>7.6145774105107327</v>
      </c>
      <c r="AC105" s="172">
        <f ca="1">(VLOOKUP(AC$72,INDIRECT($C$5&amp;"生成成长"),2))/((VLOOKUP($B105,INDIRECT($B$5&amp;"生成成长"),4))/(VLOOKUP(AC$72,INDIRECT($C$5&amp;"生成成长"),5))*(VLOOKUP($B$5,标准坦克设计!$B$24:$U$30,MATCH("对"&amp;LEFT($C$5,2)&amp;"输出",标准坦克设计!$B$23:$U$23,0)))*(VLOOKUP($B105,INDIRECT($B$5&amp;"生成成长"),3))*(VLOOKUP($B$5,标准坦克设计!$B$14:$K$20,9)/30))</f>
        <v>8.3128112980196089</v>
      </c>
      <c r="AD105" s="172">
        <f ca="1">(VLOOKUP(AD$72,INDIRECT($C$5&amp;"生成成长"),2))/((VLOOKUP($B105,INDIRECT($B$5&amp;"生成成长"),4))/(VLOOKUP(AD$72,INDIRECT($C$5&amp;"生成成长"),5))*(VLOOKUP($B$5,标准坦克设计!$B$24:$U$30,MATCH("对"&amp;LEFT($C$5,2)&amp;"输出",标准坦克设计!$B$23:$U$23,0)))*(VLOOKUP($B105,INDIRECT($B$5&amp;"生成成长"),3))*(VLOOKUP($B$5,标准坦克设计!$B$14:$K$20,9)/30))</f>
        <v>9.04166947884028</v>
      </c>
      <c r="AE105" s="172">
        <f ca="1">(VLOOKUP(AE$72,INDIRECT($C$5&amp;"生成成长"),2))/((VLOOKUP($B105,INDIRECT($B$5&amp;"生成成长"),4))/(VLOOKUP(AE$72,INDIRECT($C$5&amp;"生成成长"),5))*(VLOOKUP($B$5,标准坦克设计!$B$24:$U$30,MATCH("对"&amp;LEFT($C$5,2)&amp;"输出",标准坦克设计!$B$23:$U$23,0)))*(VLOOKUP($B105,INDIRECT($B$5&amp;"生成成长"),3))*(VLOOKUP($B$5,标准坦克设计!$B$14:$K$20,9)/30))</f>
        <v>9.8011519529727416</v>
      </c>
      <c r="AF105" s="172">
        <f ca="1">(VLOOKUP(AF$72,INDIRECT($C$5&amp;"生成成长"),2))/((VLOOKUP($B105,INDIRECT($B$5&amp;"生成成长"),4))/(VLOOKUP(AF$72,INDIRECT($C$5&amp;"生成成长"),5))*(VLOOKUP($B$5,标准坦克设计!$B$24:$U$30,MATCH("对"&amp;LEFT($C$5,2)&amp;"输出",标准坦克设计!$B$23:$U$23,0)))*(VLOOKUP($B105,INDIRECT($B$5&amp;"生成成长"),3))*(VLOOKUP($B$5,标准坦克设计!$B$14:$K$20,9)/30))</f>
        <v>10.591258720416997</v>
      </c>
      <c r="AG105" s="172">
        <f ca="1">(VLOOKUP(AG$72,INDIRECT($C$5&amp;"生成成长"),2))/((VLOOKUP($B105,INDIRECT($B$5&amp;"生成成长"),4))/(VLOOKUP(AG$72,INDIRECT($C$5&amp;"生成成长"),5))*(VLOOKUP($B$5,标准坦克设计!$B$24:$U$30,MATCH("对"&amp;LEFT($C$5,2)&amp;"输出",标准坦克设计!$B$23:$U$23,0)))*(VLOOKUP($B105,INDIRECT($B$5&amp;"生成成长"),3))*(VLOOKUP($B$5,标准坦克设计!$B$14:$K$20,9)/30))</f>
        <v>11.411989781173046</v>
      </c>
      <c r="AH105" s="172">
        <f ca="1">(VLOOKUP(AH$72,INDIRECT($C$5&amp;"生成成长"),2))/((VLOOKUP($B105,INDIRECT($B$5&amp;"生成成长"),4))/(VLOOKUP(AH$72,INDIRECT($C$5&amp;"生成成长"),5))*(VLOOKUP($B$5,标准坦克设计!$B$24:$U$30,MATCH("对"&amp;LEFT($C$5,2)&amp;"输出",标准坦克设计!$B$23:$U$23,0)))*(VLOOKUP($B105,INDIRECT($B$5&amp;"生成成长"),3))*(VLOOKUP($B$5,标准坦克设计!$B$14:$K$20,9)/30))</f>
        <v>12.263345135240888</v>
      </c>
      <c r="AI105" s="172">
        <f ca="1">(VLOOKUP(AI$72,INDIRECT($C$5&amp;"生成成长"),2))/((VLOOKUP($B105,INDIRECT($B$5&amp;"生成成长"),4))/(VLOOKUP(AI$72,INDIRECT($C$5&amp;"生成成长"),5))*(VLOOKUP($B$5,标准坦克设计!$B$24:$U$30,MATCH("对"&amp;LEFT($C$5,2)&amp;"输出",标准坦克设计!$B$23:$U$23,0)))*(VLOOKUP($B105,INDIRECT($B$5&amp;"生成成长"),3))*(VLOOKUP($B$5,标准坦克设计!$B$14:$K$20,9)/30))</f>
        <v>8.67341235176597</v>
      </c>
      <c r="AJ105" s="172">
        <f ca="1">(VLOOKUP(AJ$72,INDIRECT($C$5&amp;"生成成长"),2))/((VLOOKUP($B105,INDIRECT($B$5&amp;"生成成长"),4))/(VLOOKUP(AJ$72,INDIRECT($C$5&amp;"生成成长"),5))*(VLOOKUP($B$5,标准坦克设计!$B$24:$U$30,MATCH("对"&amp;LEFT($C$5,2)&amp;"输出",标准坦克设计!$B$23:$U$23,0)))*(VLOOKUP($B105,INDIRECT($B$5&amp;"生成成长"),3))*(VLOOKUP($B$5,标准坦克设计!$B$14:$K$20,9)/30))</f>
        <v>9.4936840481223417</v>
      </c>
      <c r="AK105" s="172">
        <f ca="1">(VLOOKUP(AK$72,INDIRECT($C$5&amp;"生成成长"),2))/((VLOOKUP($B105,INDIRECT($B$5&amp;"生成成长"),4))/(VLOOKUP(AK$72,INDIRECT($C$5&amp;"生成成长"),5))*(VLOOKUP($B$5,标准坦克设计!$B$24:$U$30,MATCH("对"&amp;LEFT($C$5,2)&amp;"输出",标准坦克设计!$B$23:$U$23,0)))*(VLOOKUP($B105,INDIRECT($B$5&amp;"生成成长"),3))*(VLOOKUP($B$5,标准坦克设计!$B$14:$K$20,9)/30))</f>
        <v>10.351011139385983</v>
      </c>
      <c r="AL105" s="172">
        <f ca="1">(VLOOKUP(AL$72,INDIRECT($C$5&amp;"生成成长"),2))/((VLOOKUP($B105,INDIRECT($B$5&amp;"生成成长"),4))/(VLOOKUP(AL$72,INDIRECT($C$5&amp;"生成成长"),5))*(VLOOKUP($B$5,标准坦克设计!$B$24:$U$30,MATCH("对"&amp;LEFT($C$5,2)&amp;"输出",标准坦克设计!$B$23:$U$23,0)))*(VLOOKUP($B105,INDIRECT($B$5&amp;"生成成长"),3))*(VLOOKUP($B$5,标准坦克设计!$B$14:$K$20,9)/30))</f>
        <v>11.245393625556893</v>
      </c>
      <c r="AM105" s="172">
        <f ca="1">(VLOOKUP(AM$72,INDIRECT($C$5&amp;"生成成长"),2))/((VLOOKUP($B105,INDIRECT($B$5&amp;"生成成长"),4))/(VLOOKUP(AM$72,INDIRECT($C$5&amp;"生成成长"),5))*(VLOOKUP($B$5,标准坦克设计!$B$24:$U$30,MATCH("对"&amp;LEFT($C$5,2)&amp;"输出",标准坦克设计!$B$23:$U$23,0)))*(VLOOKUP($B105,INDIRECT($B$5&amp;"生成成长"),3))*(VLOOKUP($B$5,标准坦克设计!$B$14:$K$20,9)/30))</f>
        <v>12.176831506635072</v>
      </c>
      <c r="AN105" s="172">
        <f ca="1">(VLOOKUP(AN$72,INDIRECT($C$5&amp;"生成成长"),2))/((VLOOKUP($B105,INDIRECT($B$5&amp;"生成成长"),4))/(VLOOKUP(AN$72,INDIRECT($C$5&amp;"生成成长"),5))*(VLOOKUP($B$5,标准坦克设计!$B$24:$U$30,MATCH("对"&amp;LEFT($C$5,2)&amp;"输出",标准坦克设计!$B$23:$U$23,0)))*(VLOOKUP($B105,INDIRECT($B$5&amp;"生成成长"),3))*(VLOOKUP($B$5,标准坦克设计!$B$14:$K$20,9)/30))</f>
        <v>13.145324782620522</v>
      </c>
      <c r="AO105" s="172">
        <f ca="1">(VLOOKUP(AO$72,INDIRECT($C$5&amp;"生成成长"),2))/((VLOOKUP($B105,INDIRECT($B$5&amp;"生成成长"),4))/(VLOOKUP(AO$72,INDIRECT($C$5&amp;"生成成长"),5))*(VLOOKUP($B$5,标准坦克设计!$B$24:$U$30,MATCH("对"&amp;LEFT($C$5,2)&amp;"输出",标准坦克设计!$B$23:$U$23,0)))*(VLOOKUP($B105,INDIRECT($B$5&amp;"生成成长"),3))*(VLOOKUP($B$5,标准坦克设计!$B$14:$K$20,9)/30))</f>
        <v>14.15087345351324</v>
      </c>
      <c r="AP105" s="172">
        <f ca="1">(VLOOKUP(AP$72,INDIRECT($C$5&amp;"生成成长"),2))/((VLOOKUP($B105,INDIRECT($B$5&amp;"生成成长"),4))/(VLOOKUP(AP$72,INDIRECT($C$5&amp;"生成成长"),5))*(VLOOKUP($B$5,标准坦克设计!$B$24:$U$30,MATCH("对"&amp;LEFT($C$5,2)&amp;"输出",标准坦克设计!$B$23:$U$23,0)))*(VLOOKUP($B105,INDIRECT($B$5&amp;"生成成长"),3))*(VLOOKUP($B$5,标准坦克设计!$B$14:$K$20,9)/30))</f>
        <v>15.193477519313227</v>
      </c>
      <c r="AQ105" s="172">
        <f ca="1">(VLOOKUP(AQ$72,INDIRECT($C$5&amp;"生成成长"),2))/((VLOOKUP($B105,INDIRECT($B$5&amp;"生成成长"),4))/(VLOOKUP(AQ$72,INDIRECT($C$5&amp;"生成成长"),5))*(VLOOKUP($B$5,标准坦克设计!$B$24:$U$30,MATCH("对"&amp;LEFT($C$5,2)&amp;"输出",标准坦克设计!$B$23:$U$23,0)))*(VLOOKUP($B105,INDIRECT($B$5&amp;"生成成长"),3))*(VLOOKUP($B$5,标准坦克设计!$B$14:$K$20,9)/30))</f>
        <v>16.273136980020482</v>
      </c>
      <c r="AR105" s="172">
        <f ca="1">(VLOOKUP(AR$72,INDIRECT($C$5&amp;"生成成长"),2))/((VLOOKUP($B105,INDIRECT($B$5&amp;"生成成长"),4))/(VLOOKUP(AR$72,INDIRECT($C$5&amp;"生成成长"),5))*(VLOOKUP($B$5,标准坦克设计!$B$24:$U$30,MATCH("对"&amp;LEFT($C$5,2)&amp;"输出",标准坦克设计!$B$23:$U$23,0)))*(VLOOKUP($B105,INDIRECT($B$5&amp;"生成成长"),3))*(VLOOKUP($B$5,标准坦克设计!$B$14:$K$20,9)/30))</f>
        <v>17.38985183563501</v>
      </c>
      <c r="AS105" s="172">
        <f ca="1">(VLOOKUP(AS$72,INDIRECT($C$5&amp;"生成成长"),2))/((VLOOKUP($B105,INDIRECT($B$5&amp;"生成成长"),4))/(VLOOKUP(AS$72,INDIRECT($C$5&amp;"生成成长"),5))*(VLOOKUP($B$5,标准坦克设计!$B$24:$U$30,MATCH("对"&amp;LEFT($C$5,2)&amp;"输出",标准坦克设计!$B$23:$U$23,0)))*(VLOOKUP($B105,INDIRECT($B$5&amp;"生成成长"),3))*(VLOOKUP($B$5,标准坦克设计!$B$14:$K$20,9)/30))</f>
        <v>18.543622086156809</v>
      </c>
      <c r="AT105" s="172">
        <f ca="1">(VLOOKUP(AT$72,INDIRECT($C$5&amp;"生成成长"),2))/((VLOOKUP($B105,INDIRECT($B$5&amp;"生成成长"),4))/(VLOOKUP(AT$72,INDIRECT($C$5&amp;"生成成长"),5))*(VLOOKUP($B$5,标准坦克设计!$B$24:$U$30,MATCH("对"&amp;LEFT($C$5,2)&amp;"输出",标准坦克设计!$B$23:$U$23,0)))*(VLOOKUP($B105,INDIRECT($B$5&amp;"生成成长"),3))*(VLOOKUP($B$5,标准坦克设计!$B$14:$K$20,9)/30))</f>
        <v>19.73444773158587</v>
      </c>
      <c r="AU105" s="172">
        <f ca="1">(VLOOKUP(AU$72,INDIRECT($C$5&amp;"生成成长"),2))/((VLOOKUP($B105,INDIRECT($B$5&amp;"生成成长"),4))/(VLOOKUP(AU$72,INDIRECT($C$5&amp;"生成成长"),5))*(VLOOKUP($B$5,标准坦克设计!$B$24:$U$30,MATCH("对"&amp;LEFT($C$5,2)&amp;"输出",标准坦克设计!$B$23:$U$23,0)))*(VLOOKUP($B105,INDIRECT($B$5&amp;"生成成长"),3))*(VLOOKUP($B$5,标准坦克设计!$B$14:$K$20,9)/30))</f>
        <v>20.962328771922202</v>
      </c>
      <c r="AV105" s="172">
        <f ca="1">(VLOOKUP(AV$72,INDIRECT($C$5&amp;"生成成长"),2))/((VLOOKUP($B105,INDIRECT($B$5&amp;"生成成长"),4))/(VLOOKUP(AV$72,INDIRECT($C$5&amp;"生成成长"),5))*(VLOOKUP($B$5,标准坦克设计!$B$24:$U$30,MATCH("对"&amp;LEFT($C$5,2)&amp;"输出",标准坦克设计!$B$23:$U$23,0)))*(VLOOKUP($B105,INDIRECT($B$5&amp;"生成成长"),3))*(VLOOKUP($B$5,标准坦克设计!$B$14:$K$20,9)/30))</f>
        <v>2.132063300367018</v>
      </c>
      <c r="AW105" s="172">
        <f ca="1">(VLOOKUP(AW$72,INDIRECT($C$5&amp;"生成成长"),2))/((VLOOKUP($B105,INDIRECT($B$5&amp;"生成成长"),4))/(VLOOKUP(AW$72,INDIRECT($C$5&amp;"生成成长"),5))*(VLOOKUP($B$5,标准坦克设计!$B$24:$U$30,MATCH("对"&amp;LEFT($C$5,2)&amp;"输出",标准坦克设计!$B$23:$U$23,0)))*(VLOOKUP($B105,INDIRECT($B$5&amp;"生成成长"),3))*(VLOOKUP($B$5,标准坦克设计!$B$14:$K$20,9)/30))</f>
        <v>2.4309564030901165</v>
      </c>
      <c r="AX105" s="172">
        <f ca="1">(VLOOKUP(AX$72,INDIRECT($C$5&amp;"生成成长"),2))/((VLOOKUP($B105,INDIRECT($B$5&amp;"生成成长"),4))/(VLOOKUP(AX$72,INDIRECT($C$5&amp;"生成成长"),5))*(VLOOKUP($B$5,标准坦克设计!$B$24:$U$30,MATCH("对"&amp;LEFT($C$5,2)&amp;"输出",标准坦克设计!$B$23:$U$23,0)))*(VLOOKUP($B105,INDIRECT($B$5&amp;"生成成长"),3))*(VLOOKUP($B$5,标准坦克设计!$B$14:$K$20,9)/30))</f>
        <v>2.7494490535327616</v>
      </c>
      <c r="AY105" s="172">
        <f ca="1">(VLOOKUP(AY$72,INDIRECT($C$5&amp;"生成成长"),2))/((VLOOKUP($B105,INDIRECT($B$5&amp;"生成成长"),4))/(VLOOKUP(AY$72,INDIRECT($C$5&amp;"生成成长"),5))*(VLOOKUP($B$5,标准坦克设计!$B$24:$U$30,MATCH("对"&amp;LEFT($C$5,2)&amp;"输出",标准坦克设计!$B$23:$U$23,0)))*(VLOOKUP($B105,INDIRECT($B$5&amp;"生成成长"),3))*(VLOOKUP($B$5,标准坦克设计!$B$14:$K$20,9)/30))</f>
        <v>3.087541251694955</v>
      </c>
      <c r="AZ105" s="172">
        <f ca="1">(VLOOKUP(AZ$72,INDIRECT($C$5&amp;"生成成长"),2))/((VLOOKUP($B105,INDIRECT($B$5&amp;"生成成长"),4))/(VLOOKUP(AZ$72,INDIRECT($C$5&amp;"生成成长"),5))*(VLOOKUP($B$5,标准坦克设计!$B$24:$U$30,MATCH("对"&amp;LEFT($C$5,2)&amp;"输出",标准坦克设计!$B$23:$U$23,0)))*(VLOOKUP($B105,INDIRECT($B$5&amp;"生成成长"),3))*(VLOOKUP($B$5,标准坦克设计!$B$14:$K$20,9)/30))</f>
        <v>3.4452329975766953</v>
      </c>
      <c r="BA105" s="172">
        <f ca="1">(VLOOKUP(BA$72,INDIRECT($C$5&amp;"生成成长"),2))/((VLOOKUP($B105,INDIRECT($B$5&amp;"生成成长"),4))/(VLOOKUP(BA$72,INDIRECT($C$5&amp;"生成成长"),5))*(VLOOKUP($B$5,标准坦克设计!$B$24:$U$30,MATCH("对"&amp;LEFT($C$5,2)&amp;"输出",标准坦克设计!$B$23:$U$23,0)))*(VLOOKUP($B105,INDIRECT($B$5&amp;"生成成长"),3))*(VLOOKUP($B$5,标准坦克设计!$B$14:$K$20,9)/30))</f>
        <v>3.8225242911779831</v>
      </c>
      <c r="BB105" s="172">
        <f ca="1">(VLOOKUP(BB$72,INDIRECT($C$5&amp;"生成成长"),2))/((VLOOKUP($B105,INDIRECT($B$5&amp;"生成成长"),4))/(VLOOKUP(BB$72,INDIRECT($C$5&amp;"生成成长"),5))*(VLOOKUP($B$5,标准坦克设计!$B$24:$U$30,MATCH("对"&amp;LEFT($C$5,2)&amp;"输出",标准坦克设计!$B$23:$U$23,0)))*(VLOOKUP($B105,INDIRECT($B$5&amp;"生成成长"),3))*(VLOOKUP($B$5,标准坦克设计!$B$14:$K$20,9)/30))</f>
        <v>4.2194151324988178</v>
      </c>
      <c r="BC105" s="172">
        <f ca="1">(VLOOKUP(BC$72,INDIRECT($C$5&amp;"生成成长"),2))/((VLOOKUP($B105,INDIRECT($B$5&amp;"生成成长"),4))/(VLOOKUP(BC$72,INDIRECT($C$5&amp;"生成成长"),5))*(VLOOKUP($B$5,标准坦克设计!$B$24:$U$30,MATCH("对"&amp;LEFT($C$5,2)&amp;"输出",标准坦克设计!$B$23:$U$23,0)))*(VLOOKUP($B105,INDIRECT($B$5&amp;"生成成长"),3))*(VLOOKUP($B$5,标准坦克设计!$B$14:$K$20,9)/30))</f>
        <v>4.6359055215392022</v>
      </c>
      <c r="BD105" s="172">
        <f ca="1">(VLOOKUP(BD$72,INDIRECT($C$5&amp;"生成成长"),2))/((VLOOKUP($B105,INDIRECT($B$5&amp;"生成成长"),4))/(VLOOKUP(BD$72,INDIRECT($C$5&amp;"生成成长"),5))*(VLOOKUP($B$5,标准坦克设计!$B$24:$U$30,MATCH("对"&amp;LEFT($C$5,2)&amp;"输出",标准坦克设计!$B$23:$U$23,0)))*(VLOOKUP($B105,INDIRECT($B$5&amp;"生成成长"),3))*(VLOOKUP($B$5,标准坦克设计!$B$14:$K$20,9)/30))</f>
        <v>5.1278847935931546</v>
      </c>
      <c r="BE105" s="172">
        <f ca="1">(VLOOKUP(BE$72,INDIRECT($C$5&amp;"生成成长"),2))/((VLOOKUP($B105,INDIRECT($B$5&amp;"生成成长"),4))/(VLOOKUP(BE$72,INDIRECT($C$5&amp;"生成成长"),5))*(VLOOKUP($B$5,标准坦克设计!$B$24:$U$30,MATCH("对"&amp;LEFT($C$5,2)&amp;"输出",标准坦克设计!$B$23:$U$23,0)))*(VLOOKUP($B105,INDIRECT($B$5&amp;"生成成长"),3))*(VLOOKUP($B$5,标准坦克设计!$B$14:$K$20,9)/30))</f>
        <v>5.6446697432296595</v>
      </c>
      <c r="BF105" s="172">
        <f ca="1">(VLOOKUP(BF$72,INDIRECT($C$5&amp;"生成成长"),2))/((VLOOKUP($B105,INDIRECT($B$5&amp;"生成成长"),4))/(VLOOKUP(BF$72,INDIRECT($C$5&amp;"生成成长"),5))*(VLOOKUP($B$5,标准坦克设计!$B$24:$U$30,MATCH("对"&amp;LEFT($C$5,2)&amp;"输出",标准坦克设计!$B$23:$U$23,0)))*(VLOOKUP($B105,INDIRECT($B$5&amp;"生成成长"),3))*(VLOOKUP($B$5,标准坦克设计!$B$14:$K$20,9)/30))</f>
        <v>6.1862603704487134</v>
      </c>
      <c r="BG105" s="172">
        <f ca="1">(VLOOKUP(BG$72,INDIRECT($C$5&amp;"生成成长"),2))/((VLOOKUP($B105,INDIRECT($B$5&amp;"生成成长"),4))/(VLOOKUP(BG$72,INDIRECT($C$5&amp;"生成成长"),5))*(VLOOKUP($B$5,标准坦克设计!$B$24:$U$30,MATCH("对"&amp;LEFT($C$5,2)&amp;"输出",标准坦克设计!$B$23:$U$23,0)))*(VLOOKUP($B105,INDIRECT($B$5&amp;"生成成长"),3))*(VLOOKUP($B$5,标准坦克设计!$B$14:$K$20,9)/30))</f>
        <v>6.7526566752503223</v>
      </c>
      <c r="BH105" s="172">
        <f ca="1">(VLOOKUP(BH$72,INDIRECT($C$5&amp;"生成成长"),2))/((VLOOKUP($B105,INDIRECT($B$5&amp;"生成成长"),4))/(VLOOKUP(BH$72,INDIRECT($C$5&amp;"生成成长"),5))*(VLOOKUP($B$5,标准坦克设计!$B$24:$U$30,MATCH("对"&amp;LEFT($C$5,2)&amp;"输出",标准坦克设计!$B$23:$U$23,0)))*(VLOOKUP($B105,INDIRECT($B$5&amp;"生成成长"),3))*(VLOOKUP($B$5,标准坦克设计!$B$14:$K$20,9)/30))</f>
        <v>3.2639371811708817</v>
      </c>
      <c r="BI105" s="172">
        <f ca="1">(VLOOKUP(BI$72,INDIRECT($C$5&amp;"生成成长"),2))/((VLOOKUP($B105,INDIRECT($B$5&amp;"生成成长"),4))/(VLOOKUP(BI$72,INDIRECT($C$5&amp;"生成成长"),5))*(VLOOKUP($B$5,标准坦克设计!$B$24:$U$30,MATCH("对"&amp;LEFT($C$5,2)&amp;"输出",标准坦克设计!$B$23:$U$23,0)))*(VLOOKUP($B105,INDIRECT($B$5&amp;"生成成长"),3))*(VLOOKUP($B$5,标准坦克设计!$B$14:$K$20,9)/30))</f>
        <v>3.6787432340791164</v>
      </c>
      <c r="BJ105" s="172">
        <f ca="1">(VLOOKUP(BJ$72,INDIRECT($C$5&amp;"生成成长"),2))/((VLOOKUP($B105,INDIRECT($B$5&amp;"生成成长"),4))/(VLOOKUP(BJ$72,INDIRECT($C$5&amp;"生成成长"),5))*(VLOOKUP($B$5,标准坦克设计!$B$24:$U$30,MATCH("对"&amp;LEFT($C$5,2)&amp;"输出",标准坦克设计!$B$23:$U$23,0)))*(VLOOKUP($B105,INDIRECT($B$5&amp;"生成成长"),3))*(VLOOKUP($B$5,标准坦克设计!$B$14:$K$20,9)/30))</f>
        <v>4.1183549645699031</v>
      </c>
      <c r="BK105" s="172">
        <f ca="1">(VLOOKUP(BK$72,INDIRECT($C$5&amp;"生成成长"),2))/((VLOOKUP($B105,INDIRECT($B$5&amp;"生成成长"),4))/(VLOOKUP(BK$72,INDIRECT($C$5&amp;"生成成长"),5))*(VLOOKUP($B$5,标准坦克设计!$B$24:$U$30,MATCH("对"&amp;LEFT($C$5,2)&amp;"输出",标准坦克设计!$B$23:$U$23,0)))*(VLOOKUP($B105,INDIRECT($B$5&amp;"生成成长"),3))*(VLOOKUP($B$5,标准坦克设计!$B$14:$K$20,9)/30))</f>
        <v>4.582772372643241</v>
      </c>
      <c r="BL105" s="172">
        <f ca="1">(VLOOKUP(BL$72,INDIRECT($C$5&amp;"生成成长"),2))/((VLOOKUP($B105,INDIRECT($B$5&amp;"生成成长"),4))/(VLOOKUP(BL$72,INDIRECT($C$5&amp;"生成成长"),5))*(VLOOKUP($B$5,标准坦克设计!$B$24:$U$30,MATCH("对"&amp;LEFT($C$5,2)&amp;"输出",标准坦克设计!$B$23:$U$23,0)))*(VLOOKUP($B105,INDIRECT($B$5&amp;"生成成长"),3))*(VLOOKUP($B$5,标准坦克设计!$B$14:$K$20,9)/30))</f>
        <v>5.0719954582991313</v>
      </c>
      <c r="BM105" s="172">
        <f ca="1">(VLOOKUP(BM$72,INDIRECT($C$5&amp;"生成成长"),2))/((VLOOKUP($B105,INDIRECT($B$5&amp;"生成成长"),4))/(VLOOKUP(BM$72,INDIRECT($C$5&amp;"生成成长"),5))*(VLOOKUP($B$5,标准坦克设计!$B$24:$U$30,MATCH("对"&amp;LEFT($C$5,2)&amp;"输出",标准坦克设计!$B$23:$U$23,0)))*(VLOOKUP($B105,INDIRECT($B$5&amp;"生成成长"),3))*(VLOOKUP($B$5,标准坦克设计!$B$14:$K$20,9)/30))</f>
        <v>5.5860242215375742</v>
      </c>
      <c r="BN105" s="172">
        <f ca="1">(VLOOKUP(BN$72,INDIRECT($C$5&amp;"生成成长"),2))/((VLOOKUP($B105,INDIRECT($B$5&amp;"生成成长"),4))/(VLOOKUP(BN$72,INDIRECT($C$5&amp;"生成成长"),5))*(VLOOKUP($B$5,标准坦克设计!$B$24:$U$30,MATCH("对"&amp;LEFT($C$5,2)&amp;"输出",标准坦克设计!$B$23:$U$23,0)))*(VLOOKUP($B105,INDIRECT($B$5&amp;"生成成长"),3))*(VLOOKUP($B$5,标准坦克设计!$B$14:$K$20,9)/30))</f>
        <v>6.1248586623585695</v>
      </c>
      <c r="BO105" s="172">
        <f ca="1">(VLOOKUP(BO$72,INDIRECT($C$5&amp;"生成成长"),2))/((VLOOKUP($B105,INDIRECT($B$5&amp;"生成成长"),4))/(VLOOKUP(BO$72,INDIRECT($C$5&amp;"生成成长"),5))*(VLOOKUP($B$5,标准坦克设计!$B$24:$U$30,MATCH("对"&amp;LEFT($C$5,2)&amp;"输出",标准坦克设计!$B$23:$U$23,0)))*(VLOOKUP($B105,INDIRECT($B$5&amp;"生成成长"),3))*(VLOOKUP($B$5,标准坦克设计!$B$14:$K$20,9)/30))</f>
        <v>6.6884987807621172</v>
      </c>
      <c r="BP105" s="172">
        <f ca="1">(VLOOKUP(BP$72,INDIRECT($C$5&amp;"生成成长"),2))/((VLOOKUP($B105,INDIRECT($B$5&amp;"生成成长"),4))/(VLOOKUP(BP$72,INDIRECT($C$5&amp;"生成成长"),5))*(VLOOKUP($B$5,标准坦克设计!$B$24:$U$30,MATCH("对"&amp;LEFT($C$5,2)&amp;"输出",标准坦克设计!$B$23:$U$23,0)))*(VLOOKUP($B105,INDIRECT($B$5&amp;"生成成长"),3))*(VLOOKUP($B$5,标准坦克设计!$B$14:$K$20,9)/30))</f>
        <v>7.2769445767482166</v>
      </c>
      <c r="BQ105" s="172">
        <f ca="1">(VLOOKUP(BQ$72,INDIRECT($C$5&amp;"生成成长"),2))/((VLOOKUP($B105,INDIRECT($B$5&amp;"生成成长"),4))/(VLOOKUP(BQ$72,INDIRECT($C$5&amp;"生成成长"),5))*(VLOOKUP($B$5,标准坦克设计!$B$24:$U$30,MATCH("对"&amp;LEFT($C$5,2)&amp;"输出",标准坦克设计!$B$23:$U$23,0)))*(VLOOKUP($B105,INDIRECT($B$5&amp;"生成成长"),3))*(VLOOKUP($B$5,标准坦克设计!$B$14:$K$20,9)/30))</f>
        <v>7.8901960503168684</v>
      </c>
      <c r="BR105" s="172">
        <f ca="1">(VLOOKUP(BR$72,INDIRECT($C$5&amp;"生成成长"),2))/((VLOOKUP($B105,INDIRECT($B$5&amp;"生成成长"),4))/(VLOOKUP(BR$72,INDIRECT($C$5&amp;"生成成长"),5))*(VLOOKUP($B$5,标准坦克设计!$B$24:$U$30,MATCH("对"&amp;LEFT($C$5,2)&amp;"输出",标准坦克设计!$B$23:$U$23,0)))*(VLOOKUP($B105,INDIRECT($B$5&amp;"生成成长"),3))*(VLOOKUP($B$5,标准坦克设计!$B$14:$K$20,9)/30))</f>
        <v>8.6006796551504632</v>
      </c>
      <c r="BS105" s="172">
        <f ca="1">(VLOOKUP(BS$72,INDIRECT($C$5&amp;"生成成长"),2))/((VLOOKUP($B105,INDIRECT($B$5&amp;"生成成长"),4))/(VLOOKUP(BS$72,INDIRECT($C$5&amp;"生成成长"),5))*(VLOOKUP($B$5,标准坦克设计!$B$24:$U$30,MATCH("对"&amp;LEFT($C$5,2)&amp;"输出",标准坦克设计!$B$23:$U$23,0)))*(VLOOKUP($B105,INDIRECT($B$5&amp;"生成成长"),3))*(VLOOKUP($B$5,标准坦克设计!$B$14:$K$20,9)/30))</f>
        <v>9.3417875532958501</v>
      </c>
      <c r="BT105" s="172">
        <f ca="1">(VLOOKUP(BT$72,INDIRECT($C$5&amp;"生成成长"),2))/((VLOOKUP($B105,INDIRECT($B$5&amp;"生成成长"),4))/(VLOOKUP(BT$72,INDIRECT($C$5&amp;"生成成长"),5))*(VLOOKUP($B$5,标准坦克设计!$B$24:$U$30,MATCH("对"&amp;LEFT($C$5,2)&amp;"输出",标准坦克设计!$B$23:$U$23,0)))*(VLOOKUP($B105,INDIRECT($B$5&amp;"生成成长"),3))*(VLOOKUP($B$5,标准坦克设计!$B$14:$K$20,9)/30))</f>
        <v>10.113519744753029</v>
      </c>
      <c r="BU105" s="172">
        <f ca="1">(VLOOKUP(BU$72,INDIRECT($C$5&amp;"生成成长"),2))/((VLOOKUP($B105,INDIRECT($B$5&amp;"生成成长"),4))/(VLOOKUP(BU$72,INDIRECT($C$5&amp;"生成成长"),5))*(VLOOKUP($B$5,标准坦克设计!$B$24:$U$30,MATCH("对"&amp;LEFT($C$5,2)&amp;"输出",标准坦克设计!$B$23:$U$23,0)))*(VLOOKUP($B105,INDIRECT($B$5&amp;"生成成长"),3))*(VLOOKUP($B$5,标准坦克设计!$B$14:$K$20,9)/30))</f>
        <v>10.915876229522002</v>
      </c>
      <c r="BV105" s="172">
        <f ca="1">(VLOOKUP(BV$72,INDIRECT($C$5&amp;"生成成长"),2))/((VLOOKUP($B105,INDIRECT($B$5&amp;"生成成长"),4))/(VLOOKUP(BV$72,INDIRECT($C$5&amp;"生成成长"),5))*(VLOOKUP($B$5,标准坦克设计!$B$24:$U$30,MATCH("对"&amp;LEFT($C$5,2)&amp;"输出",标准坦克设计!$B$23:$U$23,0)))*(VLOOKUP($B105,INDIRECT($B$5&amp;"生成成长"),3))*(VLOOKUP($B$5,标准坦克设计!$B$14:$K$20,9)/30))</f>
        <v>11.748857007602769</v>
      </c>
      <c r="BW105" s="172">
        <f ca="1">(VLOOKUP(BW$72,INDIRECT($C$5&amp;"生成成长"),2))/((VLOOKUP($B105,INDIRECT($B$5&amp;"生成成长"),4))/(VLOOKUP(BW$72,INDIRECT($C$5&amp;"生成成长"),5))*(VLOOKUP($B$5,标准坦克设计!$B$24:$U$30,MATCH("对"&amp;LEFT($C$5,2)&amp;"输出",标准坦克设计!$B$23:$U$23,0)))*(VLOOKUP($B105,INDIRECT($B$5&amp;"生成成长"),3))*(VLOOKUP($B$5,标准坦克设计!$B$14:$K$20,9)/30))</f>
        <v>5.354504564100421</v>
      </c>
      <c r="BX105" s="172">
        <f ca="1">(VLOOKUP(BX$72,INDIRECT($C$5&amp;"生成成长"),2))/((VLOOKUP($B105,INDIRECT($B$5&amp;"生成成长"),4))/(VLOOKUP(BX$72,INDIRECT($C$5&amp;"生成成长"),5))*(VLOOKUP($B$5,标准坦克设计!$B$24:$U$30,MATCH("对"&amp;LEFT($C$5,2)&amp;"输出",标准坦克设计!$B$23:$U$23,0)))*(VLOOKUP($B105,INDIRECT($B$5&amp;"生成成长"),3))*(VLOOKUP($B$5,标准坦克设计!$B$14:$K$20,9)/30))</f>
        <v>5.9424909956868426</v>
      </c>
      <c r="BY105" s="172">
        <f ca="1">(VLOOKUP(BY$72,INDIRECT($C$5&amp;"生成成长"),2))/((VLOOKUP($B105,INDIRECT($B$5&amp;"生成成长"),4))/(VLOOKUP(BY$72,INDIRECT($C$5&amp;"生成成长"),5))*(VLOOKUP($B$5,标准坦克设计!$B$24:$U$30,MATCH("对"&amp;LEFT($C$5,2)&amp;"输出",标准坦克设计!$B$23:$U$23,0)))*(VLOOKUP($B105,INDIRECT($B$5&amp;"生成成长"),3))*(VLOOKUP($B$5,标准坦克设计!$B$14:$K$20,9)/30))</f>
        <v>6.561101720585059</v>
      </c>
      <c r="BZ105" s="172">
        <f ca="1">(VLOOKUP(BZ$72,INDIRECT($C$5&amp;"生成成长"),2))/((VLOOKUP($B105,INDIRECT($B$5&amp;"生成成长"),4))/(VLOOKUP(BZ$72,INDIRECT($C$5&amp;"生成成长"),5))*(VLOOKUP($B$5,标准坦克设计!$B$24:$U$30,MATCH("对"&amp;LEFT($C$5,2)&amp;"输出",标准坦克设计!$B$23:$U$23,0)))*(VLOOKUP($B105,INDIRECT($B$5&amp;"生成成长"),3))*(VLOOKUP($B$5,标准坦克设计!$B$14:$K$20,9)/30))</f>
        <v>7.2103367387950668</v>
      </c>
      <c r="CA105" s="172">
        <f ca="1">(VLOOKUP(CA$72,INDIRECT($C$5&amp;"生成成长"),2))/((VLOOKUP($B105,INDIRECT($B$5&amp;"生成成长"),4))/(VLOOKUP(CA$72,INDIRECT($C$5&amp;"生成成长"),5))*(VLOOKUP($B$5,标准坦克设计!$B$24:$U$30,MATCH("对"&amp;LEFT($C$5,2)&amp;"输出",标准坦克设计!$B$23:$U$23,0)))*(VLOOKUP($B105,INDIRECT($B$5&amp;"生成成长"),3))*(VLOOKUP($B$5,标准坦克设计!$B$14:$K$20,9)/30))</f>
        <v>7.8901960503168684</v>
      </c>
      <c r="CB105" s="172">
        <f ca="1">(VLOOKUP(CB$72,INDIRECT($C$5&amp;"生成成长"),2))/((VLOOKUP($B105,INDIRECT($B$5&amp;"生成成长"),4))/(VLOOKUP(CB$72,INDIRECT($C$5&amp;"生成成长"),5))*(VLOOKUP($B$5,标准坦克设计!$B$24:$U$30,MATCH("对"&amp;LEFT($C$5,2)&amp;"输出",标准坦克设计!$B$23:$U$23,0)))*(VLOOKUP($B105,INDIRECT($B$5&amp;"生成成长"),3))*(VLOOKUP($B$5,标准坦克设计!$B$14:$K$20,9)/30))</f>
        <v>8.6006796551504632</v>
      </c>
      <c r="CC105" s="172">
        <f ca="1">(VLOOKUP(CC$72,INDIRECT($C$5&amp;"生成成长"),2))/((VLOOKUP($B105,INDIRECT($B$5&amp;"生成成长"),4))/(VLOOKUP(CC$72,INDIRECT($C$5&amp;"生成成长"),5))*(VLOOKUP($B$5,标准坦克设计!$B$24:$U$30,MATCH("对"&amp;LEFT($C$5,2)&amp;"输出",标准坦克设计!$B$23:$U$23,0)))*(VLOOKUP($B105,INDIRECT($B$5&amp;"生成成长"),3))*(VLOOKUP($B$5,标准坦克设计!$B$14:$K$20,9)/30))</f>
        <v>9.3417875532958501</v>
      </c>
      <c r="CD105" s="172">
        <f ca="1">(VLOOKUP(CD$72,INDIRECT($C$5&amp;"生成成长"),2))/((VLOOKUP($B105,INDIRECT($B$5&amp;"生成成长"),4))/(VLOOKUP(CD$72,INDIRECT($C$5&amp;"生成成长"),5))*(VLOOKUP($B$5,标准坦克设计!$B$24:$U$30,MATCH("对"&amp;LEFT($C$5,2)&amp;"输出",标准坦克设计!$B$23:$U$23,0)))*(VLOOKUP($B105,INDIRECT($B$5&amp;"生成成长"),3))*(VLOOKUP($B$5,标准坦克设计!$B$14:$K$20,9)/30))</f>
        <v>10.113519744753029</v>
      </c>
      <c r="CE105" s="172">
        <f ca="1">(VLOOKUP(CE$72,INDIRECT($C$5&amp;"生成成长"),2))/((VLOOKUP($B105,INDIRECT($B$5&amp;"生成成长"),4))/(VLOOKUP(CE$72,INDIRECT($C$5&amp;"生成成长"),5))*(VLOOKUP($B$5,标准坦克设计!$B$24:$U$30,MATCH("对"&amp;LEFT($C$5,2)&amp;"输出",标准坦克设计!$B$23:$U$23,0)))*(VLOOKUP($B105,INDIRECT($B$5&amp;"生成成长"),3))*(VLOOKUP($B$5,标准坦克设计!$B$14:$K$20,9)/30))</f>
        <v>10.915876229522002</v>
      </c>
      <c r="CF105" s="172">
        <f ca="1">(VLOOKUP(CF$72,INDIRECT($C$5&amp;"生成成长"),2))/((VLOOKUP($B105,INDIRECT($B$5&amp;"生成成长"),4))/(VLOOKUP(CF$72,INDIRECT($C$5&amp;"生成成长"),5))*(VLOOKUP($B$5,标准坦克设计!$B$24:$U$30,MATCH("对"&amp;LEFT($C$5,2)&amp;"输出",标准坦克设计!$B$23:$U$23,0)))*(VLOOKUP($B105,INDIRECT($B$5&amp;"生成成长"),3))*(VLOOKUP($B$5,标准坦克设计!$B$14:$K$20,9)/30))</f>
        <v>11.748857007602769</v>
      </c>
      <c r="CG105" s="172">
        <f ca="1">(VLOOKUP(CG$72,INDIRECT($C$5&amp;"生成成长"),2))/((VLOOKUP($B105,INDIRECT($B$5&amp;"生成成长"),4))/(VLOOKUP(CG$72,INDIRECT($C$5&amp;"生成成长"),5))*(VLOOKUP($B$5,标准坦克设计!$B$24:$U$30,MATCH("对"&amp;LEFT($C$5,2)&amp;"输出",标准坦克设计!$B$23:$U$23,0)))*(VLOOKUP($B105,INDIRECT($B$5&amp;"生成成长"),3))*(VLOOKUP($B$5,标准坦克设计!$B$14:$K$20,9)/30))</f>
        <v>12.612462078995325</v>
      </c>
      <c r="CH105" s="172">
        <f ca="1">(VLOOKUP(CH$72,INDIRECT($C$5&amp;"生成成长"),2))/((VLOOKUP($B105,INDIRECT($B$5&amp;"生成成长"),4))/(VLOOKUP(CH$72,INDIRECT($C$5&amp;"生成成长"),5))*(VLOOKUP($B$5,标准坦克设计!$B$24:$U$30,MATCH("对"&amp;LEFT($C$5,2)&amp;"输出",标准坦克设计!$B$23:$U$23,0)))*(VLOOKUP($B105,INDIRECT($B$5&amp;"生成成长"),3))*(VLOOKUP($B$5,标准坦克设计!$B$14:$K$20,9)/30))</f>
        <v>13.506691443699678</v>
      </c>
      <c r="CI105" s="172">
        <f ca="1">(VLOOKUP(CI$72,INDIRECT($C$5&amp;"生成成长"),2))/((VLOOKUP($B105,INDIRECT($B$5&amp;"生成成长"),4))/(VLOOKUP(CI$72,INDIRECT($C$5&amp;"生成成长"),5))*(VLOOKUP($B$5,标准坦克设计!$B$24:$U$30,MATCH("对"&amp;LEFT($C$5,2)&amp;"输出",标准坦克设计!$B$23:$U$23,0)))*(VLOOKUP($B105,INDIRECT($B$5&amp;"生成成长"),3))*(VLOOKUP($B$5,标准坦克设计!$B$14:$K$20,9)/30))</f>
        <v>14.525714803649583</v>
      </c>
      <c r="CJ105" s="172">
        <f ca="1">(VLOOKUP(CJ$72,INDIRECT($C$5&amp;"生成成长"),2))/((VLOOKUP($B105,INDIRECT($B$5&amp;"生成成长"),4))/(VLOOKUP(CJ$72,INDIRECT($C$5&amp;"生成成长"),5))*(VLOOKUP($B$5,标准坦克设计!$B$24:$U$30,MATCH("对"&amp;LEFT($C$5,2)&amp;"输出",标准坦克设计!$B$23:$U$23,0)))*(VLOOKUP($B105,INDIRECT($B$5&amp;"生成成长"),3))*(VLOOKUP($B$5,标准坦克设计!$B$14:$K$20,9)/30))</f>
        <v>15.581793558506758</v>
      </c>
      <c r="CK105" s="172">
        <f ca="1">(VLOOKUP(CK$72,INDIRECT($C$5&amp;"生成成长"),2))/((VLOOKUP($B105,INDIRECT($B$5&amp;"生成成长"),4))/(VLOOKUP(CK$72,INDIRECT($C$5&amp;"生成成长"),5))*(VLOOKUP($B$5,标准坦克设计!$B$24:$U$30,MATCH("对"&amp;LEFT($C$5,2)&amp;"输出",标准坦克设计!$B$23:$U$23,0)))*(VLOOKUP($B105,INDIRECT($B$5&amp;"生成成长"),3))*(VLOOKUP($B$5,标准坦克设计!$B$14:$K$20,9)/30))</f>
        <v>16.674927708271206</v>
      </c>
      <c r="CL105" s="172">
        <f ca="1">(VLOOKUP(CL$72,INDIRECT($C$5&amp;"生成成长"),2))/((VLOOKUP($B105,INDIRECT($B$5&amp;"生成成长"),4))/(VLOOKUP(CL$72,INDIRECT($C$5&amp;"生成成长"),5))*(VLOOKUP($B$5,标准坦克设计!$B$24:$U$30,MATCH("对"&amp;LEFT($C$5,2)&amp;"输出",标准坦克设计!$B$23:$U$23,0)))*(VLOOKUP($B105,INDIRECT($B$5&amp;"生成成长"),3))*(VLOOKUP($B$5,标准坦克设计!$B$14:$K$20,9)/30))</f>
        <v>17.805117252942921</v>
      </c>
      <c r="CM105" s="172">
        <f ca="1">(VLOOKUP(CM$72,INDIRECT($C$5&amp;"生成成长"),2))/((VLOOKUP($B105,INDIRECT($B$5&amp;"生成成长"),4))/(VLOOKUP(CM$72,INDIRECT($C$5&amp;"生成成长"),5))*(VLOOKUP($B$5,标准坦克设计!$B$24:$U$30,MATCH("对"&amp;LEFT($C$5,2)&amp;"输出",标准坦克设计!$B$23:$U$23,0)))*(VLOOKUP($B105,INDIRECT($B$5&amp;"生成成长"),3))*(VLOOKUP($B$5,标准坦克设计!$B$14:$K$20,9)/30))</f>
        <v>18.972362192521906</v>
      </c>
      <c r="CN105" s="172">
        <f ca="1">(VLOOKUP(CN$72,INDIRECT($C$5&amp;"生成成长"),2))/((VLOOKUP($B105,INDIRECT($B$5&amp;"生成成长"),4))/(VLOOKUP(CN$72,INDIRECT($C$5&amp;"生成成长"),5))*(VLOOKUP($B$5,标准坦克设计!$B$24:$U$30,MATCH("对"&amp;LEFT($C$5,2)&amp;"输出",标准坦克设计!$B$23:$U$23,0)))*(VLOOKUP($B105,INDIRECT($B$5&amp;"生成成长"),3))*(VLOOKUP($B$5,标准坦克设计!$B$14:$K$20,9)/30))</f>
        <v>20.176662527008158</v>
      </c>
      <c r="CO105" s="172">
        <f ca="1">(VLOOKUP(CO$72,INDIRECT($C$5&amp;"生成成长"),2))/((VLOOKUP($B105,INDIRECT($B$5&amp;"生成成长"),4))/(VLOOKUP(CO$72,INDIRECT($C$5&amp;"生成成长"),5))*(VLOOKUP($B$5,标准坦克设计!$B$24:$U$30,MATCH("对"&amp;LEFT($C$5,2)&amp;"输出",标准坦克设计!$B$23:$U$23,0)))*(VLOOKUP($B105,INDIRECT($B$5&amp;"生成成长"),3))*(VLOOKUP($B$5,标准坦克设计!$B$14:$K$20,9)/30))</f>
        <v>9.04166947884028</v>
      </c>
      <c r="CP105" s="172">
        <f ca="1">(VLOOKUP(CP$72,INDIRECT($C$5&amp;"生成成长"),2))/((VLOOKUP($B105,INDIRECT($B$5&amp;"生成成长"),4))/(VLOOKUP(CP$72,INDIRECT($C$5&amp;"生成成长"),5))*(VLOOKUP($B$5,标准坦克设计!$B$24:$U$30,MATCH("对"&amp;LEFT($C$5,2)&amp;"输出",标准坦克设计!$B$23:$U$23,0)))*(VLOOKUP($B105,INDIRECT($B$5&amp;"生成成长"),3))*(VLOOKUP($B$5,标准坦克设计!$B$14:$K$20,9)/30))</f>
        <v>9.8787845365181379</v>
      </c>
      <c r="CQ105" s="172">
        <f ca="1">(VLOOKUP(CQ$72,INDIRECT($C$5&amp;"生成成长"),2))/((VLOOKUP($B105,INDIRECT($B$5&amp;"生成成长"),4))/(VLOOKUP(CQ$72,INDIRECT($C$5&amp;"生成成长"),5))*(VLOOKUP($B$5,标准坦克设计!$B$24:$U$30,MATCH("对"&amp;LEFT($C$5,2)&amp;"输出",标准坦克设计!$B$23:$U$23,0)))*(VLOOKUP($B105,INDIRECT($B$5&amp;"生成成长"),3))*(VLOOKUP($B$5,标准坦克设计!$B$14:$K$20,9)/30))</f>
        <v>10.752954989103264</v>
      </c>
      <c r="CR105" s="172">
        <f ca="1">(VLOOKUP(CR$72,INDIRECT($C$5&amp;"生成成长"),2))/((VLOOKUP($B105,INDIRECT($B$5&amp;"生成成长"),4))/(VLOOKUP(CR$72,INDIRECT($C$5&amp;"生成成长"),5))*(VLOOKUP($B$5,标准坦克设计!$B$24:$U$30,MATCH("对"&amp;LEFT($C$5,2)&amp;"输出",标准坦克设计!$B$23:$U$23,0)))*(VLOOKUP($B105,INDIRECT($B$5&amp;"生成成长"),3))*(VLOOKUP($B$5,标准坦克设计!$B$14:$K$20,9)/30))</f>
        <v>11.66418083659566</v>
      </c>
      <c r="CS105" s="172">
        <f ca="1">(VLOOKUP(CS$72,INDIRECT($C$5&amp;"生成成长"),2))/((VLOOKUP($B105,INDIRECT($B$5&amp;"生成成长"),4))/(VLOOKUP(CS$72,INDIRECT($C$5&amp;"生成成长"),5))*(VLOOKUP($B$5,标准坦克设计!$B$24:$U$30,MATCH("对"&amp;LEFT($C$5,2)&amp;"输出",标准坦克设计!$B$23:$U$23,0)))*(VLOOKUP($B105,INDIRECT($B$5&amp;"生成成长"),3))*(VLOOKUP($B$5,标准坦克设计!$B$14:$K$20,9)/30))</f>
        <v>12.612462078995325</v>
      </c>
      <c r="CT105" s="172">
        <f ca="1">(VLOOKUP(CT$72,INDIRECT($C$5&amp;"生成成长"),2))/((VLOOKUP($B105,INDIRECT($B$5&amp;"生成成长"),4))/(VLOOKUP(CT$72,INDIRECT($C$5&amp;"生成成长"),5))*(VLOOKUP($B$5,标准坦克设计!$B$24:$U$30,MATCH("对"&amp;LEFT($C$5,2)&amp;"输出",标准坦克设计!$B$23:$U$23,0)))*(VLOOKUP($B105,INDIRECT($B$5&amp;"生成成长"),3))*(VLOOKUP($B$5,标准坦克设计!$B$14:$K$20,9)/30))</f>
        <v>13.597798716302259</v>
      </c>
      <c r="CU105" s="172">
        <f ca="1">(VLOOKUP(CU$72,INDIRECT($C$5&amp;"生成成长"),2))/((VLOOKUP($B105,INDIRECT($B$5&amp;"生成成长"),4))/(VLOOKUP(CU$72,INDIRECT($C$5&amp;"生成成长"),5))*(VLOOKUP($B$5,标准坦克设计!$B$24:$U$30,MATCH("对"&amp;LEFT($C$5,2)&amp;"输出",标准坦克设计!$B$23:$U$23,0)))*(VLOOKUP($B105,INDIRECT($B$5&amp;"生成成长"),3))*(VLOOKUP($B$5,标准坦克设计!$B$14:$K$20,9)/30))</f>
        <v>14.620190748516464</v>
      </c>
      <c r="CV105" s="172">
        <f ca="1">(VLOOKUP(CV$72,INDIRECT($C$5&amp;"生成成长"),2))/((VLOOKUP($B105,INDIRECT($B$5&amp;"生成成长"),4))/(VLOOKUP(CV$72,INDIRECT($C$5&amp;"生成成长"),5))*(VLOOKUP($B$5,标准坦克设计!$B$24:$U$30,MATCH("对"&amp;LEFT($C$5,2)&amp;"输出",标准坦克设计!$B$23:$U$23,0)))*(VLOOKUP($B105,INDIRECT($B$5&amp;"生成成长"),3))*(VLOOKUP($B$5,标准坦克设计!$B$14:$K$20,9)/30))</f>
        <v>15.679638175637937</v>
      </c>
      <c r="CW105" s="172">
        <f ca="1">(VLOOKUP(CW$72,INDIRECT($C$5&amp;"生成成长"),2))/((VLOOKUP($B105,INDIRECT($B$5&amp;"生成成长"),4))/(VLOOKUP(CW$72,INDIRECT($C$5&amp;"生成成长"),5))*(VLOOKUP($B$5,标准坦克设计!$B$24:$U$30,MATCH("对"&amp;LEFT($C$5,2)&amp;"输出",标准坦克设计!$B$23:$U$23,0)))*(VLOOKUP($B105,INDIRECT($B$5&amp;"生成成长"),3))*(VLOOKUP($B$5,标准坦克设计!$B$14:$K$20,9)/30))</f>
        <v>16.77614099766668</v>
      </c>
      <c r="CX105" s="172">
        <f ca="1">(VLOOKUP(CX$72,INDIRECT($C$5&amp;"生成成长"),2))/((VLOOKUP($B105,INDIRECT($B$5&amp;"生成成长"),4))/(VLOOKUP(CX$72,INDIRECT($C$5&amp;"生成成长"),5))*(VLOOKUP($B$5,标准坦克设计!$B$24:$U$30,MATCH("对"&amp;LEFT($C$5,2)&amp;"输出",标准坦克设计!$B$23:$U$23,0)))*(VLOOKUP($B105,INDIRECT($B$5&amp;"生成成长"),3))*(VLOOKUP($B$5,标准坦克设计!$B$14:$K$20,9)/30))</f>
        <v>17.909699214602693</v>
      </c>
      <c r="CY105" s="172">
        <f ca="1">(VLOOKUP(CY$72,INDIRECT($C$5&amp;"生成成长"),2))/((VLOOKUP($B105,INDIRECT($B$5&amp;"生成成长"),4))/(VLOOKUP(CY$72,INDIRECT($C$5&amp;"生成成长"),5))*(VLOOKUP($B$5,标准坦克设计!$B$24:$U$30,MATCH("对"&amp;LEFT($C$5,2)&amp;"输出",标准坦克设计!$B$23:$U$23,0)))*(VLOOKUP($B105,INDIRECT($B$5&amp;"生成成长"),3))*(VLOOKUP($B$5,标准坦克设计!$B$14:$K$20,9)/30))</f>
        <v>19.080312826445976</v>
      </c>
      <c r="CZ105" s="172">
        <f ca="1">(VLOOKUP(CZ$72,INDIRECT($C$5&amp;"生成成长"),2))/((VLOOKUP($B105,INDIRECT($B$5&amp;"生成成长"),4))/(VLOOKUP(CZ$72,INDIRECT($C$5&amp;"生成成长"),5))*(VLOOKUP($B$5,标准坦克设计!$B$24:$U$30,MATCH("对"&amp;LEFT($C$5,2)&amp;"输出",标准坦克设计!$B$23:$U$23,0)))*(VLOOKUP($B105,INDIRECT($B$5&amp;"生成成长"),3))*(VLOOKUP($B$5,标准坦克设计!$B$14:$K$20,9)/30))</f>
        <v>20.287981833196525</v>
      </c>
      <c r="DA105" s="172">
        <f ca="1">(VLOOKUP(DA$72,INDIRECT($C$5&amp;"生成成长"),2))/((VLOOKUP($B105,INDIRECT($B$5&amp;"生成成长"),4))/(VLOOKUP(DA$72,INDIRECT($C$5&amp;"生成成长"),5))*(VLOOKUP($B$5,标准坦克设计!$B$24:$U$30,MATCH("对"&amp;LEFT($C$5,2)&amp;"输出",标准坦克设计!$B$23:$U$23,0)))*(VLOOKUP($B105,INDIRECT($B$5&amp;"生成成长"),3))*(VLOOKUP($B$5,标准坦克设计!$B$14:$K$20,9)/30))</f>
        <v>21.532706234854345</v>
      </c>
      <c r="DB105" s="172">
        <f ca="1">(VLOOKUP(DB$72,INDIRECT($C$5&amp;"生成成长"),2))/((VLOOKUP($B105,INDIRECT($B$5&amp;"生成成长"),4))/(VLOOKUP(DB$72,INDIRECT($C$5&amp;"生成成长"),5))*(VLOOKUP($B$5,标准坦克设计!$B$24:$U$30,MATCH("对"&amp;LEFT($C$5,2)&amp;"输出",标准坦克设计!$B$23:$U$23,0)))*(VLOOKUP($B105,INDIRECT($B$5&amp;"生成成长"),3))*(VLOOKUP($B$5,标准坦克设计!$B$14:$K$20,9)/30))</f>
        <v>22.814486031419435</v>
      </c>
      <c r="DC105" s="172">
        <f ca="1">(VLOOKUP(DC$72,INDIRECT($C$5&amp;"生成成长"),2))/((VLOOKUP($B105,INDIRECT($B$5&amp;"生成成长"),4))/(VLOOKUP(DC$72,INDIRECT($C$5&amp;"生成成长"),5))*(VLOOKUP($B$5,标准坦克设计!$B$24:$U$30,MATCH("对"&amp;LEFT($C$5,2)&amp;"输出",标准坦克设计!$B$23:$U$23,0)))*(VLOOKUP($B105,INDIRECT($B$5&amp;"生成成长"),3))*(VLOOKUP($B$5,标准坦克设计!$B$14:$K$20,9)/30))</f>
        <v>24.255052788806164</v>
      </c>
      <c r="DD105" s="172">
        <f ca="1">(VLOOKUP(DD$72,INDIRECT($C$5&amp;"生成成长"),2))/((VLOOKUP($B105,INDIRECT($B$5&amp;"生成成长"),4))/(VLOOKUP(DD$72,INDIRECT($C$5&amp;"生成成长"),5))*(VLOOKUP($B$5,标准坦克设计!$B$24:$U$30,MATCH("对"&amp;LEFT($C$5,2)&amp;"输出",标准坦克设计!$B$23:$U$23,0)))*(VLOOKUP($B105,INDIRECT($B$5&amp;"生成成长"),3))*(VLOOKUP($B$5,标准坦克设计!$B$14:$K$20,9)/30))</f>
        <v>25.739718528561887</v>
      </c>
      <c r="DE105" s="172">
        <f ca="1">(VLOOKUP(DE$72,INDIRECT($C$5&amp;"生成成长"),2))/((VLOOKUP($B105,INDIRECT($B$5&amp;"生成成长"),4))/(VLOOKUP(DE$72,INDIRECT($C$5&amp;"生成成长"),5))*(VLOOKUP($B$5,标准坦克设计!$B$24:$U$30,MATCH("对"&amp;LEFT($C$5,2)&amp;"输出",标准坦克设计!$B$23:$U$23,0)))*(VLOOKUP($B105,INDIRECT($B$5&amp;"生成成长"),3))*(VLOOKUP($B$5,标准坦克设计!$B$14:$K$20,9)/30))</f>
        <v>27.268483250686586</v>
      </c>
      <c r="DF105" s="172">
        <f ca="1">(VLOOKUP(DF$72,INDIRECT($C$5&amp;"生成成长"),2))/((VLOOKUP($B105,INDIRECT($B$5&amp;"生成成长"),4))/(VLOOKUP(DF$72,INDIRECT($C$5&amp;"生成成长"),5))*(VLOOKUP($B$5,标准坦克设计!$B$24:$U$30,MATCH("对"&amp;LEFT($C$5,2)&amp;"输出",标准坦克设计!$B$23:$U$23,0)))*(VLOOKUP($B105,INDIRECT($B$5&amp;"生成成长"),3))*(VLOOKUP($B$5,标准坦克设计!$B$14:$K$20,9)/30))</f>
        <v>28.841346955180267</v>
      </c>
      <c r="DG105" s="172">
        <f ca="1">(VLOOKUP(DG$72,INDIRECT($C$5&amp;"生成成长"),2))/((VLOOKUP($B105,INDIRECT($B$5&amp;"生成成长"),4))/(VLOOKUP(DG$72,INDIRECT($C$5&amp;"生成成长"),5))*(VLOOKUP($B$5,标准坦克设计!$B$24:$U$30,MATCH("对"&amp;LEFT($C$5,2)&amp;"输出",标准坦克设计!$B$23:$U$23,0)))*(VLOOKUP($B105,INDIRECT($B$5&amp;"生成成长"),3))*(VLOOKUP($B$5,标准坦克设计!$B$14:$K$20,9)/30))</f>
        <v>30.458309642042931</v>
      </c>
      <c r="DH105" s="172">
        <f ca="1">(VLOOKUP(DH$72,INDIRECT($C$5&amp;"生成成长"),2))/((VLOOKUP($B105,INDIRECT($B$5&amp;"生成成长"),4))/(VLOOKUP(DH$72,INDIRECT($C$5&amp;"生成成长"),5))*(VLOOKUP($B$5,标准坦克设计!$B$24:$U$30,MATCH("对"&amp;LEFT($C$5,2)&amp;"输出",标准坦克设计!$B$23:$U$23,0)))*(VLOOKUP($B105,INDIRECT($B$5&amp;"生成成长"),3))*(VLOOKUP($B$5,标准坦克设计!$B$14:$K$20,9)/30))</f>
        <v>32.11937131127457</v>
      </c>
      <c r="DI105" s="172">
        <f ca="1">(VLOOKUP(DI$72,INDIRECT($C$5&amp;"生成成长"),2))/((VLOOKUP($B105,INDIRECT($B$5&amp;"生成成长"),4))/(VLOOKUP(DI$72,INDIRECT($C$5&amp;"生成成长"),5))*(VLOOKUP($B$5,标准坦克设计!$B$24:$U$30,MATCH("对"&amp;LEFT($C$5,2)&amp;"输出",标准坦克设计!$B$23:$U$23,0)))*(VLOOKUP($B105,INDIRECT($B$5&amp;"生成成长"),3))*(VLOOKUP($B$5,标准坦克设计!$B$14:$K$20,9)/30))</f>
        <v>33.824531962875206</v>
      </c>
      <c r="DJ105" s="172">
        <f ca="1">(VLOOKUP(DJ$72,INDIRECT($C$5&amp;"生成成长"),2))/((VLOOKUP($B105,INDIRECT($B$5&amp;"生成成长"),4))/(VLOOKUP(DJ$72,INDIRECT($C$5&amp;"生成成长"),5))*(VLOOKUP($B$5,标准坦克设计!$B$24:$U$30,MATCH("对"&amp;LEFT($C$5,2)&amp;"输出",标准坦克设计!$B$23:$U$23,0)))*(VLOOKUP($B105,INDIRECT($B$5&amp;"生成成长"),3))*(VLOOKUP($B$5,标准坦克设计!$B$14:$K$20,9)/30))</f>
        <v>3.3994496790755648</v>
      </c>
      <c r="DK105" s="172">
        <f ca="1">(VLOOKUP(DK$72,INDIRECT($C$5&amp;"生成成长"),2))/((VLOOKUP($B105,INDIRECT($B$5&amp;"生成成长"),4))/(VLOOKUP(DK$72,INDIRECT($C$5&amp;"生成成长"),5))*(VLOOKUP($B$5,标准坦克设计!$B$24:$U$30,MATCH("对"&amp;LEFT($C$5,2)&amp;"输出",标准坦克设计!$B$23:$U$23,0)))*(VLOOKUP($B105,INDIRECT($B$5&amp;"生成成长"),3))*(VLOOKUP($B$5,标准坦克设计!$B$14:$K$20,9)/30))</f>
        <v>3.8225242911779831</v>
      </c>
      <c r="DL105" s="172">
        <f ca="1">(VLOOKUP(DL$72,INDIRECT($C$5&amp;"生成成长"),2))/((VLOOKUP($B105,INDIRECT($B$5&amp;"生成成长"),4))/(VLOOKUP(DL$72,INDIRECT($C$5&amp;"生成成长"),5))*(VLOOKUP($B$5,标准坦克设计!$B$24:$U$30,MATCH("对"&amp;LEFT($C$5,2)&amp;"输出",标准坦克设计!$B$23:$U$23,0)))*(VLOOKUP($B105,INDIRECT($B$5&amp;"生成成长"),3))*(VLOOKUP($B$5,标准坦克设计!$B$14:$K$20,9)/30))</f>
        <v>4.2704045808629543</v>
      </c>
      <c r="DM105" s="172">
        <f ca="1">(VLOOKUP(DM$72,INDIRECT($C$5&amp;"生成成长"),2))/((VLOOKUP($B105,INDIRECT($B$5&amp;"生成成长"),4))/(VLOOKUP(DM$72,INDIRECT($C$5&amp;"生成成长"),5))*(VLOOKUP($B$5,标准坦克设计!$B$24:$U$30,MATCH("对"&amp;LEFT($C$5,2)&amp;"输出",标准坦克设计!$B$23:$U$23,0)))*(VLOOKUP($B105,INDIRECT($B$5&amp;"生成成长"),3))*(VLOOKUP($B$5,标准坦克设计!$B$14:$K$20,9)/30))</f>
        <v>4.7430905481304766</v>
      </c>
      <c r="DN105" s="172">
        <f ca="1">(VLOOKUP(DN$72,INDIRECT($C$5&amp;"生成成长"),2))/((VLOOKUP($B105,INDIRECT($B$5&amp;"生成成长"),4))/(VLOOKUP(DN$72,INDIRECT($C$5&amp;"生成成长"),5))*(VLOOKUP($B$5,标准坦克设计!$B$24:$U$30,MATCH("对"&amp;LEFT($C$5,2)&amp;"输出",标准坦克设计!$B$23:$U$23,0)))*(VLOOKUP($B105,INDIRECT($B$5&amp;"生成成长"),3))*(VLOOKUP($B$5,标准坦克设计!$B$14:$K$20,9)/30))</f>
        <v>5.2405821929805505</v>
      </c>
      <c r="DO105" s="172">
        <f ca="1">(VLOOKUP(DO$72,INDIRECT($C$5&amp;"生成成长"),2))/((VLOOKUP($B105,INDIRECT($B$5&amp;"生成成长"),4))/(VLOOKUP(DO$72,INDIRECT($C$5&amp;"生成成长"),5))*(VLOOKUP($B$5,标准坦克设计!$B$24:$U$30,MATCH("对"&amp;LEFT($C$5,2)&amp;"输出",标准坦克设计!$B$23:$U$23,0)))*(VLOOKUP($B105,INDIRECT($B$5&amp;"生成成长"),3))*(VLOOKUP($B$5,标准坦克设计!$B$14:$K$20,9)/30))</f>
        <v>5.7628795154131778</v>
      </c>
      <c r="DP105" s="172">
        <f ca="1">(VLOOKUP(DP$72,INDIRECT($C$5&amp;"生成成长"),2))/((VLOOKUP($B105,INDIRECT($B$5&amp;"生成成长"),4))/(VLOOKUP(DP$72,INDIRECT($C$5&amp;"生成成长"),5))*(VLOOKUP($B$5,标准坦克设计!$B$24:$U$30,MATCH("对"&amp;LEFT($C$5,2)&amp;"输出",标准坦克设计!$B$23:$U$23,0)))*(VLOOKUP($B105,INDIRECT($B$5&amp;"生成成长"),3))*(VLOOKUP($B$5,标准坦克设计!$B$14:$K$20,9)/30))</f>
        <v>6.3099825154283566</v>
      </c>
      <c r="DQ105" s="172">
        <f ca="1">(VLOOKUP(DQ$72,INDIRECT($C$5&amp;"生成成长"),2))/((VLOOKUP($B105,INDIRECT($B$5&amp;"生成成长"),4))/(VLOOKUP(DQ$72,INDIRECT($C$5&amp;"生成成长"),5))*(VLOOKUP($B$5,标准坦克设计!$B$24:$U$30,MATCH("对"&amp;LEFT($C$5,2)&amp;"输出",标准坦克设计!$B$23:$U$23,0)))*(VLOOKUP($B105,INDIRECT($B$5&amp;"生成成长"),3))*(VLOOKUP($B$5,标准坦克设计!$B$14:$K$20,9)/30))</f>
        <v>6.8818911930260871</v>
      </c>
      <c r="DR105" s="172">
        <f ca="1">(VLOOKUP(DR$72,INDIRECT($C$5&amp;"生成成长"),2))/((VLOOKUP($B105,INDIRECT($B$5&amp;"生成成长"),4))/(VLOOKUP(DR$72,INDIRECT($C$5&amp;"生成成长"),5))*(VLOOKUP($B$5,标准坦克设计!$B$24:$U$30,MATCH("对"&amp;LEFT($C$5,2)&amp;"输出",标准坦克设计!$B$23:$U$23,0)))*(VLOOKUP($B105,INDIRECT($B$5&amp;"生成成长"),3))*(VLOOKUP($B$5,标准坦克设计!$B$14:$K$20,9)/30))</f>
        <v>7.4786055482063727</v>
      </c>
      <c r="DS105" s="172">
        <f ca="1">(VLOOKUP(DS$72,INDIRECT($C$5&amp;"生成成长"),2))/((VLOOKUP($B105,INDIRECT($B$5&amp;"生成成长"),4))/(VLOOKUP(DS$72,INDIRECT($C$5&amp;"生成成长"),5))*(VLOOKUP($B$5,标准坦克设计!$B$24:$U$30,MATCH("对"&amp;LEFT($C$5,2)&amp;"输出",标准坦克设计!$B$23:$U$23,0)))*(VLOOKUP($B105,INDIRECT($B$5&amp;"生成成长"),3))*(VLOOKUP($B$5,标准坦克设计!$B$14:$K$20,9)/30))</f>
        <v>8.1001255809692072</v>
      </c>
      <c r="DT105" s="172">
        <f ca="1">(VLOOKUP(DT$72,INDIRECT($C$5&amp;"生成成长"),2))/((VLOOKUP($B105,INDIRECT($B$5&amp;"生成成长"),4))/(VLOOKUP(DT$72,INDIRECT($C$5&amp;"生成成长"),5))*(VLOOKUP($B$5,标准坦克设计!$B$24:$U$30,MATCH("对"&amp;LEFT($C$5,2)&amp;"输出",标准坦克设计!$B$23:$U$23,0)))*(VLOOKUP($B105,INDIRECT($B$5&amp;"生成成长"),3))*(VLOOKUP($B$5,标准坦克设计!$B$14:$K$20,9)/30))</f>
        <v>8.8934478992112016</v>
      </c>
      <c r="DU105" s="172">
        <f ca="1">(VLOOKUP(DU$72,INDIRECT($C$5&amp;"生成成长"),2))/((VLOOKUP($B105,INDIRECT($B$5&amp;"生成成长"),4))/(VLOOKUP(DU$72,INDIRECT($C$5&amp;"生成成长"),5))*(VLOOKUP($B$5,标准坦克设计!$B$24:$U$30,MATCH("对"&amp;LEFT($C$5,2)&amp;"输出",标准坦克设计!$B$23:$U$23,0)))*(VLOOKUP($B105,INDIRECT($B$5&amp;"生成成长"),3))*(VLOOKUP($B$5,标准坦克设计!$B$14:$K$20,9)/30))</f>
        <v>9.7238256123604661</v>
      </c>
      <c r="DV105" s="172">
        <f ca="1">(VLOOKUP(DV$72,INDIRECT($C$5&amp;"生成成长"),2))/((VLOOKUP($B105,INDIRECT($B$5&amp;"生成成长"),4))/(VLOOKUP(DV$72,INDIRECT($C$5&amp;"生成成长"),5))*(VLOOKUP($B$5,标准坦克设计!$B$24:$U$30,MATCH("对"&amp;LEFT($C$5,2)&amp;"输出",标准坦克设计!$B$23:$U$23,0)))*(VLOOKUP($B105,INDIRECT($B$5&amp;"生成成长"),3))*(VLOOKUP($B$5,标准坦克设计!$B$14:$K$20,9)/30))</f>
        <v>10.591258720416997</v>
      </c>
      <c r="DW105" s="172">
        <f ca="1">(VLOOKUP(DW$72,INDIRECT($C$5&amp;"生成成长"),2))/((VLOOKUP($B105,INDIRECT($B$5&amp;"生成成长"),4))/(VLOOKUP(DW$72,INDIRECT($C$5&amp;"生成成长"),5))*(VLOOKUP($B$5,标准坦克设计!$B$24:$U$30,MATCH("对"&amp;LEFT($C$5,2)&amp;"输出",标准坦克设计!$B$23:$U$23,0)))*(VLOOKUP($B105,INDIRECT($B$5&amp;"生成成长"),3))*(VLOOKUP($B$5,标准坦克设计!$B$14:$K$20,9)/30))</f>
        <v>11.495747223380798</v>
      </c>
      <c r="DX105" s="172">
        <f ca="1">(VLOOKUP(DX$72,INDIRECT($C$5&amp;"生成成长"),2))/((VLOOKUP($B105,INDIRECT($B$5&amp;"生成成长"),4))/(VLOOKUP(DX$72,INDIRECT($C$5&amp;"生成成长"),5))*(VLOOKUP($B$5,标准坦克设计!$B$24:$U$30,MATCH("对"&amp;LEFT($C$5,2)&amp;"输出",标准坦克设计!$B$23:$U$23,0)))*(VLOOKUP($B105,INDIRECT($B$5&amp;"生成成长"),3))*(VLOOKUP($B$5,标准坦克设计!$B$14:$K$20,9)/30))</f>
        <v>12.437291121251869</v>
      </c>
      <c r="DY105" s="172">
        <f ca="1">(VLOOKUP(DY$72,INDIRECT($C$5&amp;"生成成长"),2))/((VLOOKUP($B105,INDIRECT($B$5&amp;"生成成长"),4))/(VLOOKUP(DY$72,INDIRECT($C$5&amp;"生成成长"),5))*(VLOOKUP($B$5,标准坦克设计!$B$24:$U$30,MATCH("对"&amp;LEFT($C$5,2)&amp;"输出",标准坦克设计!$B$23:$U$23,0)))*(VLOOKUP($B105,INDIRECT($B$5&amp;"生成成长"),3))*(VLOOKUP($B$5,标准坦克设计!$B$14:$K$20,9)/30))</f>
        <v>5.5860242215375742</v>
      </c>
      <c r="DZ105" s="172">
        <f ca="1">(VLOOKUP(DZ$72,INDIRECT($C$5&amp;"生成成长"),2))/((VLOOKUP($B105,INDIRECT($B$5&amp;"生成成长"),4))/(VLOOKUP(DZ$72,INDIRECT($C$5&amp;"生成成长"),5))*(VLOOKUP($B$5,标准坦克设计!$B$24:$U$30,MATCH("对"&amp;LEFT($C$5,2)&amp;"输出",标准坦克设计!$B$23:$U$23,0)))*(VLOOKUP($B105,INDIRECT($B$5&amp;"生成成长"),3))*(VLOOKUP($B$5,标准坦克设计!$B$14:$K$20,9)/30))</f>
        <v>6.1862603704487134</v>
      </c>
      <c r="EA105" s="172">
        <f ca="1">(VLOOKUP(EA$72,INDIRECT($C$5&amp;"生成成长"),2))/((VLOOKUP($B105,INDIRECT($B$5&amp;"生成成长"),4))/(VLOOKUP(EA$72,INDIRECT($C$5&amp;"生成成长"),5))*(VLOOKUP($B$5,标准坦克设计!$B$24:$U$30,MATCH("对"&amp;LEFT($C$5,2)&amp;"输出",标准坦克设计!$B$23:$U$23,0)))*(VLOOKUP($B105,INDIRECT($B$5&amp;"生成成长"),3))*(VLOOKUP($B$5,标准坦克设计!$B$14:$K$20,9)/30))</f>
        <v>6.8171208126716465</v>
      </c>
      <c r="EB105" s="172">
        <f ca="1">(VLOOKUP(EB$72,INDIRECT($C$5&amp;"生成成长"),2))/((VLOOKUP($B105,INDIRECT($B$5&amp;"生成成长"),4))/(VLOOKUP(EB$72,INDIRECT($C$5&amp;"生成成长"),5))*(VLOOKUP($B$5,标准坦克设计!$B$24:$U$30,MATCH("对"&amp;LEFT($C$5,2)&amp;"输出",标准坦克设计!$B$23:$U$23,0)))*(VLOOKUP($B105,INDIRECT($B$5&amp;"生成成长"),3))*(VLOOKUP($B$5,标准坦克设计!$B$14:$K$20,9)/30))</f>
        <v>7.4786055482063727</v>
      </c>
      <c r="EC105" s="172">
        <f ca="1">(VLOOKUP(EC$72,INDIRECT($C$5&amp;"生成成长"),2))/((VLOOKUP($B105,INDIRECT($B$5&amp;"生成成长"),4))/(VLOOKUP(EC$72,INDIRECT($C$5&amp;"生成成长"),5))*(VLOOKUP($B$5,标准坦克设计!$B$24:$U$30,MATCH("对"&amp;LEFT($C$5,2)&amp;"输出",标准坦克设计!$B$23:$U$23,0)))*(VLOOKUP($B105,INDIRECT($B$5&amp;"生成成长"),3))*(VLOOKUP($B$5,标准坦克设计!$B$14:$K$20,9)/30))</f>
        <v>8.1707145770528911</v>
      </c>
      <c r="ED105" s="172">
        <f ca="1">(VLOOKUP(ED$72,INDIRECT($C$5&amp;"生成成长"),2))/((VLOOKUP($B105,INDIRECT($B$5&amp;"生成成长"),4))/(VLOOKUP(ED$72,INDIRECT($C$5&amp;"生成成长"),5))*(VLOOKUP($B$5,标准坦克设计!$B$24:$U$30,MATCH("对"&amp;LEFT($C$5,2)&amp;"输出",标准坦克设计!$B$23:$U$23,0)))*(VLOOKUP($B105,INDIRECT($B$5&amp;"生成成长"),3))*(VLOOKUP($B$5,标准坦克设计!$B$14:$K$20,9)/30))</f>
        <v>8.8934478992112016</v>
      </c>
      <c r="EE105" s="172">
        <f ca="1">(VLOOKUP(EE$72,INDIRECT($C$5&amp;"生成成长"),2))/((VLOOKUP($B105,INDIRECT($B$5&amp;"生成成长"),4))/(VLOOKUP(EE$72,INDIRECT($C$5&amp;"生成成长"),5))*(VLOOKUP($B$5,标准坦克设计!$B$24:$U$30,MATCH("对"&amp;LEFT($C$5,2)&amp;"输出",标准坦克设计!$B$23:$U$23,0)))*(VLOOKUP($B105,INDIRECT($B$5&amp;"生成成长"),3))*(VLOOKUP($B$5,标准坦克设计!$B$14:$K$20,9)/30))</f>
        <v>9.6468055146813043</v>
      </c>
      <c r="EF105" s="172">
        <f ca="1">(VLOOKUP(EF$72,INDIRECT($C$5&amp;"生成成长"),2))/((VLOOKUP($B105,INDIRECT($B$5&amp;"生成成长"),4))/(VLOOKUP(EF$72,INDIRECT($C$5&amp;"生成成长"),5))*(VLOOKUP($B$5,标准坦克设计!$B$24:$U$30,MATCH("对"&amp;LEFT($C$5,2)&amp;"输出",标准坦克设计!$B$23:$U$23,0)))*(VLOOKUP($B105,INDIRECT($B$5&amp;"生成成长"),3))*(VLOOKUP($B$5,标准坦克设计!$B$14:$K$20,9)/30))</f>
        <v>10.430787423463201</v>
      </c>
      <c r="EG105" s="172">
        <f ca="1">(VLOOKUP(EG$72,INDIRECT($C$5&amp;"生成成长"),2))/((VLOOKUP($B105,INDIRECT($B$5&amp;"生成成长"),4))/(VLOOKUP(EG$72,INDIRECT($C$5&amp;"生成成长"),5))*(VLOOKUP($B$5,标准坦克设计!$B$24:$U$30,MATCH("对"&amp;LEFT($C$5,2)&amp;"输出",标准坦克设计!$B$23:$U$23,0)))*(VLOOKUP($B105,INDIRECT($B$5&amp;"生成成长"),3))*(VLOOKUP($B$5,标准坦克设计!$B$14:$K$20,9)/30))</f>
        <v>11.245393625556893</v>
      </c>
      <c r="EH105" s="172">
        <f ca="1">(VLOOKUP(EH$72,INDIRECT($C$5&amp;"生成成长"),2))/((VLOOKUP($B105,INDIRECT($B$5&amp;"生成成长"),4))/(VLOOKUP(EH$72,INDIRECT($C$5&amp;"生成成长"),5))*(VLOOKUP($B$5,标准坦克设计!$B$24:$U$30,MATCH("对"&amp;LEFT($C$5,2)&amp;"输出",标准坦克设计!$B$23:$U$23,0)))*(VLOOKUP($B105,INDIRECT($B$5&amp;"生成成长"),3))*(VLOOKUP($B$5,标准坦克设计!$B$14:$K$20,9)/30))</f>
        <v>12.090624120962374</v>
      </c>
      <c r="EI105" s="172">
        <f ca="1">(VLOOKUP(EI$72,INDIRECT($C$5&amp;"生成成长"),2))/((VLOOKUP($B105,INDIRECT($B$5&amp;"生成成长"),4))/(VLOOKUP(EI$72,INDIRECT($C$5&amp;"生成成长"),5))*(VLOOKUP($B$5,标准坦克设计!$B$24:$U$30,MATCH("对"&amp;LEFT($C$5,2)&amp;"输出",标准坦克设计!$B$23:$U$23,0)))*(VLOOKUP($B105,INDIRECT($B$5&amp;"生成成长"),3))*(VLOOKUP($B$5,标准坦克设计!$B$14:$K$20,9)/30))</f>
        <v>12.966478909679653</v>
      </c>
      <c r="EJ105" s="172">
        <f ca="1">(VLOOKUP(EJ$72,INDIRECT($C$5&amp;"生成成长"),2))/((VLOOKUP($B105,INDIRECT($B$5&amp;"生成成长"),4))/(VLOOKUP(EJ$72,INDIRECT($C$5&amp;"生成成长"),5))*(VLOOKUP($B$5,标准坦克设计!$B$24:$U$30,MATCH("对"&amp;LEFT($C$5,2)&amp;"输出",标准坦克设计!$B$23:$U$23,0)))*(VLOOKUP($B105,INDIRECT($B$5&amp;"生成成长"),3))*(VLOOKUP($B$5,标准坦克设计!$B$14:$K$20,9)/30))</f>
        <v>13.87295799170872</v>
      </c>
      <c r="EK105" s="172">
        <f ca="1">(VLOOKUP(EK$72,INDIRECT($C$5&amp;"生成成长"),2))/((VLOOKUP($B105,INDIRECT($B$5&amp;"生成成长"),4))/(VLOOKUP(EK$72,INDIRECT($C$5&amp;"生成成长"),5))*(VLOOKUP($B$5,标准坦克设计!$B$24:$U$30,MATCH("对"&amp;LEFT($C$5,2)&amp;"输出",标准坦克设计!$B$23:$U$23,0)))*(VLOOKUP($B105,INDIRECT($B$5&amp;"生成成长"),3))*(VLOOKUP($B$5,标准坦克设计!$B$14:$K$20,9)/30))</f>
        <v>15.001156957315168</v>
      </c>
      <c r="EL105" s="172">
        <f ca="1">(VLOOKUP(EL$72,INDIRECT($C$5&amp;"生成成长"),2))/((VLOOKUP($B105,INDIRECT($B$5&amp;"生成成长"),4))/(VLOOKUP(EL$72,INDIRECT($C$5&amp;"生成成长"),5))*(VLOOKUP($B$5,标准坦克设计!$B$24:$U$30,MATCH("对"&amp;LEFT($C$5,2)&amp;"输出",标准坦克设计!$B$23:$U$23,0)))*(VLOOKUP($B105,INDIRECT($B$5&amp;"生成成长"),3))*(VLOOKUP($B$5,标准坦克设计!$B$14:$K$20,9)/30))</f>
        <v>16.173454905290598</v>
      </c>
      <c r="EM105" s="172">
        <f ca="1">(VLOOKUP(EM$72,INDIRECT($C$5&amp;"生成成长"),2))/((VLOOKUP($B105,INDIRECT($B$5&amp;"生成成长"),4))/(VLOOKUP(EM$72,INDIRECT($C$5&amp;"生成成长"),5))*(VLOOKUP($B$5,标准坦克设计!$B$24:$U$30,MATCH("对"&amp;LEFT($C$5,2)&amp;"输出",标准坦克设计!$B$23:$U$23,0)))*(VLOOKUP($B105,INDIRECT($B$5&amp;"生成成长"),3))*(VLOOKUP($B$5,标准坦克设计!$B$14:$K$20,9)/30))</f>
        <v>17.38985183563501</v>
      </c>
      <c r="EN105" s="172">
        <f ca="1">(VLOOKUP(EN$72,INDIRECT($C$5&amp;"生成成长"),2))/((VLOOKUP($B105,INDIRECT($B$5&amp;"生成成长"),4))/(VLOOKUP(EN$72,INDIRECT($C$5&amp;"生成成长"),5))*(VLOOKUP($B$5,标准坦克设计!$B$24:$U$30,MATCH("对"&amp;LEFT($C$5,2)&amp;"输出",标准坦克设计!$B$23:$U$23,0)))*(VLOOKUP($B105,INDIRECT($B$5&amp;"生成成长"),3))*(VLOOKUP($B$5,标准坦克设计!$B$14:$K$20,9)/30))</f>
        <v>18.650347748348405</v>
      </c>
      <c r="EO105" s="172">
        <f ca="1">(VLOOKUP(EO$72,INDIRECT($C$5&amp;"生成成长"),2))/((VLOOKUP($B105,INDIRECT($B$5&amp;"生成成长"),4))/(VLOOKUP(EO$72,INDIRECT($C$5&amp;"生成成长"),5))*(VLOOKUP($B$5,标准坦克设计!$B$24:$U$30,MATCH("对"&amp;LEFT($C$5,2)&amp;"输出",标准坦克设计!$B$23:$U$23,0)))*(VLOOKUP($B105,INDIRECT($B$5&amp;"生成成长"),3))*(VLOOKUP($B$5,标准坦克设计!$B$14:$K$20,9)/30))</f>
        <v>19.954942643430776</v>
      </c>
      <c r="EP105" s="172">
        <f ca="1">(VLOOKUP(EP$72,INDIRECT($C$5&amp;"生成成长"),2))/((VLOOKUP($B105,INDIRECT($B$5&amp;"生成成长"),4))/(VLOOKUP(EP$72,INDIRECT($C$5&amp;"生成成长"),5))*(VLOOKUP($B$5,标准坦克设计!$B$24:$U$30,MATCH("对"&amp;LEFT($C$5,2)&amp;"输出",标准坦克设计!$B$23:$U$23,0)))*(VLOOKUP($B105,INDIRECT($B$5&amp;"生成成长"),3))*(VLOOKUP($B$5,标准坦克设计!$B$14:$K$20,9)/30))</f>
        <v>21.303636520882137</v>
      </c>
      <c r="EQ105" s="172">
        <f ca="1">(VLOOKUP(EQ$72,INDIRECT($C$5&amp;"生成成长"),2))/((VLOOKUP($B105,INDIRECT($B$5&amp;"生成成长"),4))/(VLOOKUP(EQ$72,INDIRECT($C$5&amp;"生成成长"),5))*(VLOOKUP($B$5,标准坦克设计!$B$24:$U$30,MATCH("对"&amp;LEFT($C$5,2)&amp;"输出",标准坦克设计!$B$23:$U$23,0)))*(VLOOKUP($B105,INDIRECT($B$5&amp;"生成成长"),3))*(VLOOKUP($B$5,标准坦克设计!$B$14:$K$20,9)/30))</f>
        <v>9.4175826792425354</v>
      </c>
      <c r="ER105" s="172">
        <f ca="1">(VLOOKUP(ER$72,INDIRECT($C$5&amp;"生成成长"),2))/((VLOOKUP($B105,INDIRECT($B$5&amp;"生成成长"),4))/(VLOOKUP(ER$72,INDIRECT($C$5&amp;"生成成长"),5))*(VLOOKUP($B$5,标准坦克设计!$B$24:$U$30,MATCH("对"&amp;LEFT($C$5,2)&amp;"输出",标准坦克设计!$B$23:$U$23,0)))*(VLOOKUP($B105,INDIRECT($B$5&amp;"生成成长"),3))*(VLOOKUP($B$5,标准坦克设计!$B$14:$K$20,9)/30))</f>
        <v>10.27154109824188</v>
      </c>
      <c r="ES105" s="172">
        <f ca="1">(VLOOKUP(ES$72,INDIRECT($C$5&amp;"生成成长"),2))/((VLOOKUP($B105,INDIRECT($B$5&amp;"生成成长"),4))/(VLOOKUP(ES$72,INDIRECT($C$5&amp;"生成成长"),5))*(VLOOKUP($B$5,标准坦克设计!$B$24:$U$30,MATCH("对"&amp;LEFT($C$5,2)&amp;"输出",标准坦克设计!$B$23:$U$23,0)))*(VLOOKUP($B105,INDIRECT($B$5&amp;"生成成长"),3))*(VLOOKUP($B$5,标准坦克设计!$B$14:$K$20,9)/30))</f>
        <v>11.162554912148494</v>
      </c>
      <c r="ET105" s="172">
        <f ca="1">(VLOOKUP(ET$72,INDIRECT($C$5&amp;"生成成长"),2))/((VLOOKUP($B105,INDIRECT($B$5&amp;"生成成长"),4))/(VLOOKUP(ET$72,INDIRECT($C$5&amp;"生成成长"),5))*(VLOOKUP($B$5,标准坦克设计!$B$24:$U$30,MATCH("对"&amp;LEFT($C$5,2)&amp;"输出",标准坦克设计!$B$23:$U$23,0)))*(VLOOKUP($B105,INDIRECT($B$5&amp;"生成成长"),3))*(VLOOKUP($B$5,标准坦克设计!$B$14:$K$20,9)/30))</f>
        <v>12.090624120962374</v>
      </c>
      <c r="EU105" s="172">
        <f ca="1">(VLOOKUP(EU$72,INDIRECT($C$5&amp;"生成成长"),2))/((VLOOKUP($B105,INDIRECT($B$5&amp;"生成成长"),4))/(VLOOKUP(EU$72,INDIRECT($C$5&amp;"生成成长"),5))*(VLOOKUP($B$5,标准坦克设计!$B$24:$U$30,MATCH("对"&amp;LEFT($C$5,2)&amp;"输出",标准坦克设计!$B$23:$U$23,0)))*(VLOOKUP($B105,INDIRECT($B$5&amp;"生成成长"),3))*(VLOOKUP($B$5,标准坦克设计!$B$14:$K$20,9)/30))</f>
        <v>13.055748724683527</v>
      </c>
      <c r="EV105" s="172">
        <f ca="1">(VLOOKUP(EV$72,INDIRECT($C$5&amp;"生成成长"),2))/((VLOOKUP($B105,INDIRECT($B$5&amp;"生成成长"),4))/(VLOOKUP(EV$72,INDIRECT($C$5&amp;"生成成长"),5))*(VLOOKUP($B$5,标准坦克设计!$B$24:$U$30,MATCH("对"&amp;LEFT($C$5,2)&amp;"输出",标准坦克设计!$B$23:$U$23,0)))*(VLOOKUP($B105,INDIRECT($B$5&amp;"生成成长"),3))*(VLOOKUP($B$5,标准坦克设计!$B$14:$K$20,9)/30))</f>
        <v>14.057928723311946</v>
      </c>
      <c r="EW105" s="172">
        <f ca="1">(VLOOKUP(EW$72,INDIRECT($C$5&amp;"生成成长"),2))/((VLOOKUP($B105,INDIRECT($B$5&amp;"生成成长"),4))/(VLOOKUP(EW$72,INDIRECT($C$5&amp;"生成成长"),5))*(VLOOKUP($B$5,标准坦克设计!$B$24:$U$30,MATCH("对"&amp;LEFT($C$5,2)&amp;"输出",标准坦克设计!$B$23:$U$23,0)))*(VLOOKUP($B105,INDIRECT($B$5&amp;"生成成长"),3))*(VLOOKUP($B$5,标准坦克设计!$B$14:$K$20,9)/30))</f>
        <v>15.097164116847638</v>
      </c>
      <c r="EX105" s="172">
        <f ca="1">(VLOOKUP(EX$72,INDIRECT($C$5&amp;"生成成长"),2))/((VLOOKUP($B105,INDIRECT($B$5&amp;"生成成长"),4))/(VLOOKUP(EX$72,INDIRECT($C$5&amp;"生成成长"),5))*(VLOOKUP($B$5,标准坦克设计!$B$24:$U$30,MATCH("对"&amp;LEFT($C$5,2)&amp;"输出",标准坦克设计!$B$23:$U$23,0)))*(VLOOKUP($B105,INDIRECT($B$5&amp;"生成成长"),3))*(VLOOKUP($B$5,标准坦克设计!$B$14:$K$20,9)/30))</f>
        <v>16.173454905290598</v>
      </c>
      <c r="EY105" s="172">
        <f ca="1">(VLOOKUP(EY$72,INDIRECT($C$5&amp;"生成成长"),2))/((VLOOKUP($B105,INDIRECT($B$5&amp;"生成成长"),4))/(VLOOKUP(EY$72,INDIRECT($C$5&amp;"生成成长"),5))*(VLOOKUP($B$5,标准坦克设计!$B$24:$U$30,MATCH("对"&amp;LEFT($C$5,2)&amp;"输出",标准坦克设计!$B$23:$U$23,0)))*(VLOOKUP($B105,INDIRECT($B$5&amp;"生成成长"),3))*(VLOOKUP($B$5,标准坦克设计!$B$14:$K$20,9)/30))</f>
        <v>17.286801088640829</v>
      </c>
      <c r="EZ105" s="172">
        <f ca="1">(VLOOKUP(EZ$72,INDIRECT($C$5&amp;"生成成长"),2))/((VLOOKUP($B105,INDIRECT($B$5&amp;"生成成长"),4))/(VLOOKUP(EZ$72,INDIRECT($C$5&amp;"生成成长"),5))*(VLOOKUP($B$5,标准坦克设计!$B$24:$U$30,MATCH("对"&amp;LEFT($C$5,2)&amp;"输出",标准坦克设计!$B$23:$U$23,0)))*(VLOOKUP($B105,INDIRECT($B$5&amp;"生成成长"),3))*(VLOOKUP($B$5,标准坦克设计!$B$14:$K$20,9)/30))</f>
        <v>18.437202666898326</v>
      </c>
      <c r="FA105" s="172">
        <f ca="1">(VLOOKUP(FA$72,INDIRECT($C$5&amp;"生成成长"),2))/((VLOOKUP($B105,INDIRECT($B$5&amp;"生成成长"),4))/(VLOOKUP(FA$72,INDIRECT($C$5&amp;"生成成长"),5))*(VLOOKUP($B$5,标准坦克设计!$B$24:$U$30,MATCH("对"&amp;LEFT($C$5,2)&amp;"输出",标准坦克设计!$B$23:$U$23,0)))*(VLOOKUP($B105,INDIRECT($B$5&amp;"生成成长"),3))*(VLOOKUP($B$5,标准坦克设计!$B$14:$K$20,9)/30))</f>
        <v>19.624659640063093</v>
      </c>
      <c r="FB105" s="172">
        <f ca="1">(VLOOKUP(FB$72,INDIRECT($C$5&amp;"生成成长"),2))/((VLOOKUP($B105,INDIRECT($B$5&amp;"生成成长"),4))/(VLOOKUP(FB$72,INDIRECT($C$5&amp;"生成成长"),5))*(VLOOKUP($B$5,标准坦克设计!$B$24:$U$30,MATCH("对"&amp;LEFT($C$5,2)&amp;"输出",标准坦克设计!$B$23:$U$23,0)))*(VLOOKUP($B105,INDIRECT($B$5&amp;"生成成长"),3))*(VLOOKUP($B$5,标准坦克设计!$B$14:$K$20,9)/30))</f>
        <v>20.849172008135131</v>
      </c>
      <c r="FC105" s="172">
        <f ca="1">(VLOOKUP(FC$72,INDIRECT($C$5&amp;"生成成长"),2))/((VLOOKUP($B105,INDIRECT($B$5&amp;"生成成长"),4))/(VLOOKUP(FC$72,INDIRECT($C$5&amp;"生成成长"),5))*(VLOOKUP($B$5,标准坦克设计!$B$24:$U$30,MATCH("对"&amp;LEFT($C$5,2)&amp;"输出",标准坦克设计!$B$23:$U$23,0)))*(VLOOKUP($B105,INDIRECT($B$5&amp;"生成成长"),3))*(VLOOKUP($B$5,标准坦克设计!$B$14:$K$20,9)/30))</f>
        <v>22.110739771114439</v>
      </c>
      <c r="FD105" s="172">
        <f ca="1">(VLOOKUP(FD$72,INDIRECT($C$5&amp;"生成成长"),2))/((VLOOKUP($B105,INDIRECT($B$5&amp;"生成成长"),4))/(VLOOKUP(FD$72,INDIRECT($C$5&amp;"生成成长"),5))*(VLOOKUP($B$5,标准坦克设计!$B$24:$U$30,MATCH("对"&amp;LEFT($C$5,2)&amp;"输出",标准坦克设计!$B$23:$U$23,0)))*(VLOOKUP($B105,INDIRECT($B$5&amp;"生成成长"),3))*(VLOOKUP($B$5,标准坦克设计!$B$14:$K$20,9)/30))</f>
        <v>23.409362929001013</v>
      </c>
      <c r="FE105" s="172">
        <f ca="1">(VLOOKUP(FE$72,INDIRECT($C$5&amp;"生成成长"),2))/((VLOOKUP($B105,INDIRECT($B$5&amp;"生成成长"),4))/(VLOOKUP(FE$72,INDIRECT($C$5&amp;"生成成长"),5))*(VLOOKUP($B$5,标准坦克设计!$B$24:$U$30,MATCH("对"&amp;LEFT($C$5,2)&amp;"输出",标准坦克设计!$B$23:$U$23,0)))*(VLOOKUP($B105,INDIRECT($B$5&amp;"生成成长"),3))*(VLOOKUP($B$5,标准坦克设计!$B$14:$K$20,9)/30))</f>
        <v>24.991873285887909</v>
      </c>
      <c r="FF105" s="172">
        <f ca="1">(VLOOKUP(FF$72,INDIRECT($C$5&amp;"生成成长"),2))/((VLOOKUP($B105,INDIRECT($B$5&amp;"生成成长"),4))/(VLOOKUP(FF$72,INDIRECT($C$5&amp;"生成成长"),5))*(VLOOKUP($B$5,标准坦克设计!$B$24:$U$30,MATCH("对"&amp;LEFT($C$5,2)&amp;"输出",标准坦克设计!$B$23:$U$23,0)))*(VLOOKUP($B105,INDIRECT($B$5&amp;"生成成长"),3))*(VLOOKUP($B$5,标准坦克设计!$B$14:$K$20,9)/30))</f>
        <v>26.626138698471731</v>
      </c>
      <c r="FG105" s="172">
        <f ca="1">(VLOOKUP(FG$72,INDIRECT($C$5&amp;"生成成长"),2))/((VLOOKUP($B105,INDIRECT($B$5&amp;"生成成长"),4))/(VLOOKUP(FG$72,INDIRECT($C$5&amp;"生成成长"),5))*(VLOOKUP($B$5,标准坦克设计!$B$24:$U$30,MATCH("对"&amp;LEFT($C$5,2)&amp;"输出",标准坦克设计!$B$23:$U$23,0)))*(VLOOKUP($B105,INDIRECT($B$5&amp;"生成成长"),3))*(VLOOKUP($B$5,标准坦克设计!$B$14:$K$20,9)/30))</f>
        <v>28.312159166752487</v>
      </c>
      <c r="FH105" s="172">
        <f ca="1">(VLOOKUP(FH$72,INDIRECT($C$5&amp;"生成成长"),2))/((VLOOKUP($B105,INDIRECT($B$5&amp;"生成成长"),4))/(VLOOKUP(FH$72,INDIRECT($C$5&amp;"生成成长"),5))*(VLOOKUP($B$5,标准坦克设计!$B$24:$U$30,MATCH("对"&amp;LEFT($C$5,2)&amp;"输出",标准坦克设计!$B$23:$U$23,0)))*(VLOOKUP($B105,INDIRECT($B$5&amp;"生成成长"),3))*(VLOOKUP($B$5,标准坦克设计!$B$14:$K$20,9)/30))</f>
        <v>30.049934690730172</v>
      </c>
      <c r="FI105" s="172">
        <f ca="1">(VLOOKUP(FI$72,INDIRECT($C$5&amp;"生成成长"),2))/((VLOOKUP($B105,INDIRECT($B$5&amp;"生成成长"),4))/(VLOOKUP(FI$72,INDIRECT($C$5&amp;"生成成长"),5))*(VLOOKUP($B$5,标准坦克设计!$B$24:$U$30,MATCH("对"&amp;LEFT($C$5,2)&amp;"输出",标准坦克设计!$B$23:$U$23,0)))*(VLOOKUP($B105,INDIRECT($B$5&amp;"生成成长"),3))*(VLOOKUP($B$5,标准坦克设计!$B$14:$K$20,9)/30))</f>
        <v>31.839465270404791</v>
      </c>
      <c r="FJ105" s="172">
        <f ca="1">(VLOOKUP(FJ$72,INDIRECT($C$5&amp;"生成成长"),2))/((VLOOKUP($B105,INDIRECT($B$5&amp;"生成成长"),4))/(VLOOKUP(FJ$72,INDIRECT($C$5&amp;"生成成长"),5))*(VLOOKUP($B$5,标准坦克设计!$B$24:$U$30,MATCH("对"&amp;LEFT($C$5,2)&amp;"输出",标准坦克设计!$B$23:$U$23,0)))*(VLOOKUP($B105,INDIRECT($B$5&amp;"生成成长"),3))*(VLOOKUP($B$5,标准坦克设计!$B$14:$K$20,9)/30))</f>
        <v>33.680750905776328</v>
      </c>
      <c r="FK105" s="172">
        <f ca="1">(VLOOKUP(FK$72,INDIRECT($C$5&amp;"生成成长"),2))/((VLOOKUP($B105,INDIRECT($B$5&amp;"生成成长"),4))/(VLOOKUP(FK$72,INDIRECT($C$5&amp;"生成成长"),5))*(VLOOKUP($B$5,标准坦克设计!$B$24:$U$30,MATCH("对"&amp;LEFT($C$5,2)&amp;"输出",标准坦克设计!$B$23:$U$23,0)))*(VLOOKUP($B105,INDIRECT($B$5&amp;"生成成长"),3))*(VLOOKUP($B$5,标准坦克设计!$B$14:$K$20,9)/30))</f>
        <v>35.573791596844806</v>
      </c>
    </row>
    <row r="106" spans="1:167" x14ac:dyDescent="0.15">
      <c r="A106" s="170" t="str">
        <f t="shared" si="11"/>
        <v>T5低品质2级</v>
      </c>
      <c r="B106" s="171">
        <v>10502</v>
      </c>
      <c r="C106" s="172">
        <f ca="1">(VLOOKUP(C$72,INDIRECT($C$5&amp;"生成成长"),2))/((VLOOKUP($B106,INDIRECT($B$5&amp;"生成成长"),4))/(VLOOKUP(C$72,INDIRECT($C$5&amp;"生成成长"),5))*(VLOOKUP($B$5,标准坦克设计!$B$24:$U$30,MATCH("对"&amp;LEFT($C$5,2)&amp;"输出",标准坦克设计!$B$23:$U$23,0)))*(VLOOKUP($B106,INDIRECT($B$5&amp;"生成成长"),3))*(VLOOKUP($B$5,标准坦克设计!$B$14:$K$20,9)/30))</f>
        <v>1.3961249924109214</v>
      </c>
      <c r="D106" s="172">
        <f ca="1">(VLOOKUP(D$72,INDIRECT($C$5&amp;"生成成长"),2))/((VLOOKUP($B106,INDIRECT($B$5&amp;"生成成长"),4))/(VLOOKUP(D$72,INDIRECT($C$5&amp;"生成成长"),5))*(VLOOKUP($B$5,标准坦克设计!$B$24:$U$30,MATCH("对"&amp;LEFT($C$5,2)&amp;"输出",标准坦克设计!$B$23:$U$23,0)))*(VLOOKUP($B106,INDIRECT($B$5&amp;"生成成长"),3))*(VLOOKUP($B$5,标准坦克设计!$B$14:$K$20,9)/30))</f>
        <v>1.5686860414729111</v>
      </c>
      <c r="E106" s="172">
        <f ca="1">(VLOOKUP(E$72,INDIRECT($C$5&amp;"生成成长"),2))/((VLOOKUP($B106,INDIRECT($B$5&amp;"生成成长"),4))/(VLOOKUP(E$72,INDIRECT($C$5&amp;"生成成长"),5))*(VLOOKUP($B$5,标准坦克设计!$B$24:$U$30,MATCH("对"&amp;LEFT($C$5,2)&amp;"输出",标准坦克设计!$B$23:$U$23,0)))*(VLOOKUP($B106,INDIRECT($B$5&amp;"生成成长"),3))*(VLOOKUP($B$5,标准坦克设计!$B$14:$K$20,9)/30))</f>
        <v>1.7512991904802599</v>
      </c>
      <c r="F106" s="172">
        <f ca="1">(VLOOKUP(F$72,INDIRECT($C$5&amp;"生成成长"),2))/((VLOOKUP($B106,INDIRECT($B$5&amp;"生成成长"),4))/(VLOOKUP(F$72,INDIRECT($C$5&amp;"生成成长"),5))*(VLOOKUP($B$5,标准坦克设计!$B$24:$U$30,MATCH("对"&amp;LEFT($C$5,2)&amp;"输出",标准坦克设计!$B$23:$U$23,0)))*(VLOOKUP($B106,INDIRECT($B$5&amp;"生成成长"),3))*(VLOOKUP($B$5,标准坦克设计!$B$14:$K$20,9)/30))</f>
        <v>1.9439644394329669</v>
      </c>
      <c r="G106" s="172">
        <f ca="1">(VLOOKUP(G$72,INDIRECT($C$5&amp;"生成成长"),2))/((VLOOKUP($B106,INDIRECT($B$5&amp;"生成成长"),4))/(VLOOKUP(G$72,INDIRECT($C$5&amp;"生成成长"),5))*(VLOOKUP($B$5,标准坦克设计!$B$24:$U$30,MATCH("对"&amp;LEFT($C$5,2)&amp;"输出",标准坦克设计!$B$23:$U$23,0)))*(VLOOKUP($B106,INDIRECT($B$5&amp;"生成成长"),3))*(VLOOKUP($B$5,标准坦克设计!$B$14:$K$20,9)/30))</f>
        <v>2.1466817883310325</v>
      </c>
      <c r="H106" s="172">
        <f ca="1">(VLOOKUP(H$72,INDIRECT($C$5&amp;"生成成长"),2))/((VLOOKUP($B106,INDIRECT($B$5&amp;"生成成长"),4))/(VLOOKUP(H$72,INDIRECT($C$5&amp;"生成成长"),5))*(VLOOKUP($B$5,标准坦克设计!$B$24:$U$30,MATCH("对"&amp;LEFT($C$5,2)&amp;"输出",标准坦克设计!$B$23:$U$23,0)))*(VLOOKUP($B106,INDIRECT($B$5&amp;"生成成长"),3))*(VLOOKUP($B$5,标准坦克设计!$B$14:$K$20,9)/30))</f>
        <v>1.8786257897881362</v>
      </c>
      <c r="I106" s="172">
        <f ca="1">(VLOOKUP(I$72,INDIRECT($C$5&amp;"生成成长"),2))/((VLOOKUP($B106,INDIRECT($B$5&amp;"生成成长"),4))/(VLOOKUP(I$72,INDIRECT($C$5&amp;"生成成长"),5))*(VLOOKUP($B$5,标准坦克设计!$B$24:$U$30,MATCH("对"&amp;LEFT($C$5,2)&amp;"输出",标准坦克设计!$B$23:$U$23,0)))*(VLOOKUP($B106,INDIRECT($B$5&amp;"生成成长"),3))*(VLOOKUP($B$5,标准坦克设计!$B$14:$K$20,9)/30))</f>
        <v>2.1466817883310325</v>
      </c>
      <c r="J106" s="172">
        <f ca="1">(VLOOKUP(J$72,INDIRECT($C$5&amp;"生成成长"),2))/((VLOOKUP($B106,INDIRECT($B$5&amp;"生成成长"),4))/(VLOOKUP(J$72,INDIRECT($C$5&amp;"生成成长"),5))*(VLOOKUP($B$5,标准坦克设计!$B$24:$U$30,MATCH("对"&amp;LEFT($C$5,2)&amp;"输出",标准坦克设计!$B$23:$U$23,0)))*(VLOOKUP($B106,INDIRECT($B$5&amp;"生成成长"),3))*(VLOOKUP($B$5,标准坦克设计!$B$14:$K$20,9)/30))</f>
        <v>2.4326081867767892</v>
      </c>
      <c r="K106" s="172">
        <f ca="1">(VLOOKUP(K$72,INDIRECT($C$5&amp;"生成成长"),2))/((VLOOKUP($B106,INDIRECT($B$5&amp;"生成成长"),4))/(VLOOKUP(K$72,INDIRECT($C$5&amp;"生成成长"),5))*(VLOOKUP($B$5,标准坦克设计!$B$24:$U$30,MATCH("对"&amp;LEFT($C$5,2)&amp;"输出",标准坦克设计!$B$23:$U$23,0)))*(VLOOKUP($B106,INDIRECT($B$5&amp;"生成成长"),3))*(VLOOKUP($B$5,标准坦克设计!$B$14:$K$20,9)/30))</f>
        <v>2.736404985125406</v>
      </c>
      <c r="L106" s="172">
        <f ca="1">(VLOOKUP(L$72,INDIRECT($C$5&amp;"生成成长"),2))/((VLOOKUP($B106,INDIRECT($B$5&amp;"生成成长"),4))/(VLOOKUP(L$72,INDIRECT($C$5&amp;"生成成长"),5))*(VLOOKUP($B$5,标准坦克设计!$B$24:$U$30,MATCH("对"&amp;LEFT($C$5,2)&amp;"输出",标准坦克设计!$B$23:$U$23,0)))*(VLOOKUP($B106,INDIRECT($B$5&amp;"生成成长"),3))*(VLOOKUP($B$5,标准坦克设计!$B$14:$K$20,9)/30))</f>
        <v>3.0580721833768827</v>
      </c>
      <c r="M106" s="172">
        <f ca="1">(VLOOKUP(M$72,INDIRECT($C$5&amp;"生成成长"),2))/((VLOOKUP($B106,INDIRECT($B$5&amp;"生成成长"),4))/(VLOOKUP(M$72,INDIRECT($C$5&amp;"生成成长"),5))*(VLOOKUP($B$5,标准坦克设计!$B$24:$U$30,MATCH("对"&amp;LEFT($C$5,2)&amp;"输出",标准坦克设计!$B$23:$U$23,0)))*(VLOOKUP($B106,INDIRECT($B$5&amp;"生成成长"),3))*(VLOOKUP($B$5,标准坦克设计!$B$14:$K$20,9)/30))</f>
        <v>3.3976097815312181</v>
      </c>
      <c r="N106" s="172">
        <f ca="1">(VLOOKUP(N$72,INDIRECT($C$5&amp;"生成成长"),2))/((VLOOKUP($B106,INDIRECT($B$5&amp;"生成成长"),4))/(VLOOKUP(N$72,INDIRECT($C$5&amp;"生成成长"),5))*(VLOOKUP($B$5,标准坦克设计!$B$24:$U$30,MATCH("对"&amp;LEFT($C$5,2)&amp;"输出",标准坦克设计!$B$23:$U$23,0)))*(VLOOKUP($B106,INDIRECT($B$5&amp;"生成成长"),3))*(VLOOKUP($B$5,标准坦克设计!$B$14:$K$20,9)/30))</f>
        <v>3.7550177795884143</v>
      </c>
      <c r="O106" s="172">
        <f ca="1">(VLOOKUP(O$72,INDIRECT($C$5&amp;"生成成长"),2))/((VLOOKUP($B106,INDIRECT($B$5&amp;"生成成长"),4))/(VLOOKUP(O$72,INDIRECT($C$5&amp;"生成成长"),5))*(VLOOKUP($B$5,标准坦克设计!$B$24:$U$30,MATCH("对"&amp;LEFT($C$5,2)&amp;"输出",标准坦克设计!$B$23:$U$23,0)))*(VLOOKUP($B106,INDIRECT($B$5&amp;"生成成长"),3))*(VLOOKUP($B$5,标准坦克设计!$B$14:$K$20,9)/30))</f>
        <v>2.8549359969810935</v>
      </c>
      <c r="P106" s="172">
        <f ca="1">(VLOOKUP(P$72,INDIRECT($C$5&amp;"生成成长"),2))/((VLOOKUP($B106,INDIRECT($B$5&amp;"生成成长"),4))/(VLOOKUP(P$72,INDIRECT($C$5&amp;"生成成长"),5))*(VLOOKUP($B$5,标准坦克设计!$B$24:$U$30,MATCH("对"&amp;LEFT($C$5,2)&amp;"输出",标准坦克设计!$B$23:$U$23,0)))*(VLOOKUP($B106,INDIRECT($B$5&amp;"生成成长"),3))*(VLOOKUP($B$5,标准坦克设计!$B$14:$K$20,9)/30))</f>
        <v>3.2256071824661938</v>
      </c>
      <c r="Q106" s="172">
        <f ca="1">(VLOOKUP(Q$72,INDIRECT($C$5&amp;"生成成长"),2))/((VLOOKUP($B106,INDIRECT($B$5&amp;"生成成长"),4))/(VLOOKUP(Q$72,INDIRECT($C$5&amp;"生成成长"),5))*(VLOOKUP($B$5,标准坦克设计!$B$24:$U$30,MATCH("对"&amp;LEFT($C$5,2)&amp;"输出",标准坦克设计!$B$23:$U$23,0)))*(VLOOKUP($B106,INDIRECT($B$5&amp;"生成成长"),3))*(VLOOKUP($B$5,标准坦克设计!$B$14:$K$20,9)/30))</f>
        <v>3.6188955928283502</v>
      </c>
      <c r="R106" s="172">
        <f ca="1">(VLOOKUP(R$72,INDIRECT($C$5&amp;"生成成长"),2))/((VLOOKUP($B106,INDIRECT($B$5&amp;"生成成长"),4))/(VLOOKUP(R$72,INDIRECT($C$5&amp;"生成成长"),5))*(VLOOKUP($B$5,标准坦克设计!$B$24:$U$30,MATCH("对"&amp;LEFT($C$5,2)&amp;"输出",标准坦克设计!$B$23:$U$23,0)))*(VLOOKUP($B106,INDIRECT($B$5&amp;"生成成长"),3))*(VLOOKUP($B$5,标准坦克设计!$B$14:$K$20,9)/30))</f>
        <v>4.0348012280675629</v>
      </c>
      <c r="S106" s="172">
        <f ca="1">(VLOOKUP(S$72,INDIRECT($C$5&amp;"生成成长"),2))/((VLOOKUP($B106,INDIRECT($B$5&amp;"生成成长"),4))/(VLOOKUP(S$72,INDIRECT($C$5&amp;"生成成长"),5))*(VLOOKUP($B$5,标准坦克设计!$B$24:$U$30,MATCH("对"&amp;LEFT($C$5,2)&amp;"输出",标准坦克设计!$B$23:$U$23,0)))*(VLOOKUP($B106,INDIRECT($B$5&amp;"生成成长"),3))*(VLOOKUP($B$5,标准坦克设计!$B$14:$K$20,9)/30))</f>
        <v>4.4733240881838334</v>
      </c>
      <c r="T106" s="172">
        <f ca="1">(VLOOKUP(T$72,INDIRECT($C$5&amp;"生成成长"),2))/((VLOOKUP($B106,INDIRECT($B$5&amp;"生成成长"),4))/(VLOOKUP(T$72,INDIRECT($C$5&amp;"生成成长"),5))*(VLOOKUP($B$5,标准坦克设计!$B$24:$U$30,MATCH("对"&amp;LEFT($C$5,2)&amp;"输出",标准坦克设计!$B$23:$U$23,0)))*(VLOOKUP($B106,INDIRECT($B$5&amp;"生成成长"),3))*(VLOOKUP($B$5,标准坦克设计!$B$14:$K$20,9)/30))</f>
        <v>4.9344641731771608</v>
      </c>
      <c r="U106" s="172">
        <f ca="1">(VLOOKUP(U$72,INDIRECT($C$5&amp;"生成成长"),2))/((VLOOKUP($B106,INDIRECT($B$5&amp;"生成成长"),4))/(VLOOKUP(U$72,INDIRECT($C$5&amp;"生成成长"),5))*(VLOOKUP($B$5,标准坦克设计!$B$24:$U$30,MATCH("对"&amp;LEFT($C$5,2)&amp;"输出",标准坦克设计!$B$23:$U$23,0)))*(VLOOKUP($B106,INDIRECT($B$5&amp;"生成成长"),3))*(VLOOKUP($B$5,标准坦克设计!$B$14:$K$20,9)/30))</f>
        <v>5.4182214830475459</v>
      </c>
      <c r="V106" s="172">
        <f ca="1">(VLOOKUP(V$72,INDIRECT($C$5&amp;"生成成长"),2))/((VLOOKUP($B106,INDIRECT($B$5&amp;"生成成长"),4))/(VLOOKUP(V$72,INDIRECT($C$5&amp;"生成成长"),5))*(VLOOKUP($B$5,标准坦克设计!$B$24:$U$30,MATCH("对"&amp;LEFT($C$5,2)&amp;"输出",标准坦克设计!$B$23:$U$23,0)))*(VLOOKUP($B106,INDIRECT($B$5&amp;"生成成长"),3))*(VLOOKUP($B$5,标准坦克设计!$B$14:$K$20,9)/30))</f>
        <v>5.924596017794987</v>
      </c>
      <c r="W106" s="172">
        <f ca="1">(VLOOKUP(W$72,INDIRECT($C$5&amp;"生成成长"),2))/((VLOOKUP($B106,INDIRECT($B$5&amp;"生成成长"),4))/(VLOOKUP(W$72,INDIRECT($C$5&amp;"生成成长"),5))*(VLOOKUP($B$5,标准坦克设计!$B$24:$U$30,MATCH("对"&amp;LEFT($C$5,2)&amp;"输出",标准坦克设计!$B$23:$U$23,0)))*(VLOOKUP($B106,INDIRECT($B$5&amp;"生成成长"),3))*(VLOOKUP($B$5,标准坦克设计!$B$14:$K$20,9)/30))</f>
        <v>6.453587777419485</v>
      </c>
      <c r="X106" s="172">
        <f ca="1">(VLOOKUP(X$72,INDIRECT($C$5&amp;"生成成长"),2))/((VLOOKUP($B106,INDIRECT($B$5&amp;"生成成长"),4))/(VLOOKUP(X$72,INDIRECT($C$5&amp;"生成成长"),5))*(VLOOKUP($B$5,标准坦克设计!$B$24:$U$30,MATCH("对"&amp;LEFT($C$5,2)&amp;"输出",标准坦克设计!$B$23:$U$23,0)))*(VLOOKUP($B106,INDIRECT($B$5&amp;"生成成长"),3))*(VLOOKUP($B$5,标准坦克设计!$B$14:$K$20,9)/30))</f>
        <v>4.6754829870849353</v>
      </c>
      <c r="Y106" s="172">
        <f ca="1">(VLOOKUP(Y$72,INDIRECT($C$5&amp;"生成成长"),2))/((VLOOKUP($B106,INDIRECT($B$5&amp;"生成成长"),4))/(VLOOKUP(Y$72,INDIRECT($C$5&amp;"生成成长"),5))*(VLOOKUP($B$5,标准坦克设计!$B$24:$U$30,MATCH("对"&amp;LEFT($C$5,2)&amp;"输出",标准坦克设计!$B$23:$U$23,0)))*(VLOOKUP($B106,INDIRECT($B$5&amp;"生成成长"),3))*(VLOOKUP($B$5,标准坦克设计!$B$14:$K$20,9)/30))</f>
        <v>5.2004259842314422</v>
      </c>
      <c r="Z106" s="172">
        <f ca="1">(VLOOKUP(Z$72,INDIRECT($C$5&amp;"生成成长"),2))/((VLOOKUP($B106,INDIRECT($B$5&amp;"生成成长"),4))/(VLOOKUP(Z$72,INDIRECT($C$5&amp;"生成成长"),5))*(VLOOKUP($B$5,标准坦克设计!$B$24:$U$30,MATCH("对"&amp;LEFT($C$5,2)&amp;"输出",标准坦克设计!$B$23:$U$23,0)))*(VLOOKUP($B106,INDIRECT($B$5&amp;"生成成长"),3))*(VLOOKUP($B$5,标准坦克设计!$B$14:$K$20,9)/30))</f>
        <v>5.7532914812261664</v>
      </c>
      <c r="AA106" s="172">
        <f ca="1">(VLOOKUP(AA$72,INDIRECT($C$5&amp;"生成成长"),2))/((VLOOKUP($B106,INDIRECT($B$5&amp;"生成成长"),4))/(VLOOKUP(AA$72,INDIRECT($C$5&amp;"生成成长"),5))*(VLOOKUP($B$5,标准坦克设计!$B$24:$U$30,MATCH("对"&amp;LEFT($C$5,2)&amp;"输出",标准坦克设计!$B$23:$U$23,0)))*(VLOOKUP($B106,INDIRECT($B$5&amp;"生成成长"),3))*(VLOOKUP($B$5,标准坦克设计!$B$14:$K$20,9)/30))</f>
        <v>6.3340794780691105</v>
      </c>
      <c r="AB106" s="172">
        <f ca="1">(VLOOKUP(AB$72,INDIRECT($C$5&amp;"生成成长"),2))/((VLOOKUP($B106,INDIRECT($B$5&amp;"生成成长"),4))/(VLOOKUP(AB$72,INDIRECT($C$5&amp;"生成成长"),5))*(VLOOKUP($B$5,标准坦克设计!$B$24:$U$30,MATCH("对"&amp;LEFT($C$5,2)&amp;"输出",标准坦克设计!$B$23:$U$23,0)))*(VLOOKUP($B106,INDIRECT($B$5&amp;"生成成长"),3))*(VLOOKUP($B$5,标准坦克设计!$B$14:$K$20,9)/30))</f>
        <v>6.942789974760271</v>
      </c>
      <c r="AC106" s="172">
        <f ca="1">(VLOOKUP(AC$72,INDIRECT($C$5&amp;"生成成长"),2))/((VLOOKUP($B106,INDIRECT($B$5&amp;"生成成长"),4))/(VLOOKUP(AC$72,INDIRECT($C$5&amp;"生成成长"),5))*(VLOOKUP($B$5,标准坦克设计!$B$24:$U$30,MATCH("对"&amp;LEFT($C$5,2)&amp;"输出",标准坦克设计!$B$23:$U$23,0)))*(VLOOKUP($B106,INDIRECT($B$5&amp;"生成成长"),3))*(VLOOKUP($B$5,标准坦克设计!$B$14:$K$20,9)/30))</f>
        <v>7.5794229712996515</v>
      </c>
      <c r="AD106" s="172">
        <f ca="1">(VLOOKUP(AD$72,INDIRECT($C$5&amp;"生成成长"),2))/((VLOOKUP($B106,INDIRECT($B$5&amp;"生成成长"),4))/(VLOOKUP(AD$72,INDIRECT($C$5&amp;"生成成长"),5))*(VLOOKUP($B$5,标准坦克设计!$B$24:$U$30,MATCH("对"&amp;LEFT($C$5,2)&amp;"输出",标准坦克设计!$B$23:$U$23,0)))*(VLOOKUP($B106,INDIRECT($B$5&amp;"生成成长"),3))*(VLOOKUP($B$5,标准坦克设计!$B$14:$K$20,9)/30))</f>
        <v>8.2439784676872492</v>
      </c>
      <c r="AE106" s="172">
        <f ca="1">(VLOOKUP(AE$72,INDIRECT($C$5&amp;"生成成长"),2))/((VLOOKUP($B106,INDIRECT($B$5&amp;"生成成长"),4))/(VLOOKUP(AE$72,INDIRECT($C$5&amp;"生成成长"),5))*(VLOOKUP($B$5,标准坦克设计!$B$24:$U$30,MATCH("对"&amp;LEFT($C$5,2)&amp;"输出",标准坦克设计!$B$23:$U$23,0)))*(VLOOKUP($B106,INDIRECT($B$5&amp;"生成成长"),3))*(VLOOKUP($B$5,标准坦克设计!$B$14:$K$20,9)/30))</f>
        <v>8.9364564639230668</v>
      </c>
      <c r="AF106" s="172">
        <f ca="1">(VLOOKUP(AF$72,INDIRECT($C$5&amp;"生成成长"),2))/((VLOOKUP($B106,INDIRECT($B$5&amp;"生成成长"),4))/(VLOOKUP(AF$72,INDIRECT($C$5&amp;"生成成长"),5))*(VLOOKUP($B$5,标准坦克设计!$B$24:$U$30,MATCH("对"&amp;LEFT($C$5,2)&amp;"输出",标准坦克设计!$B$23:$U$23,0)))*(VLOOKUP($B106,INDIRECT($B$5&amp;"生成成长"),3))*(VLOOKUP($B$5,标准坦克设计!$B$14:$K$20,9)/30))</f>
        <v>9.6568569600071026</v>
      </c>
      <c r="AG106" s="172">
        <f ca="1">(VLOOKUP(AG$72,INDIRECT($C$5&amp;"生成成长"),2))/((VLOOKUP($B106,INDIRECT($B$5&amp;"生成成长"),4))/(VLOOKUP(AG$72,INDIRECT($C$5&amp;"生成成长"),5))*(VLOOKUP($B$5,标准坦克设计!$B$24:$U$30,MATCH("对"&amp;LEFT($C$5,2)&amp;"输出",标准坦克设计!$B$23:$U$23,0)))*(VLOOKUP($B106,INDIRECT($B$5&amp;"生成成长"),3))*(VLOOKUP($B$5,标准坦克设计!$B$14:$K$20,9)/30))</f>
        <v>10.405179955939358</v>
      </c>
      <c r="AH106" s="172">
        <f ca="1">(VLOOKUP(AH$72,INDIRECT($C$5&amp;"生成成长"),2))/((VLOOKUP($B106,INDIRECT($B$5&amp;"生成成长"),4))/(VLOOKUP(AH$72,INDIRECT($C$5&amp;"生成成长"),5))*(VLOOKUP($B$5,标准坦克设计!$B$24:$U$30,MATCH("对"&amp;LEFT($C$5,2)&amp;"输出",标准坦克设计!$B$23:$U$23,0)))*(VLOOKUP($B106,INDIRECT($B$5&amp;"生成成长"),3))*(VLOOKUP($B$5,标准坦克设计!$B$14:$K$20,9)/30))</f>
        <v>11.181425451719829</v>
      </c>
      <c r="AI106" s="172">
        <f ca="1">(VLOOKUP(AI$72,INDIRECT($C$5&amp;"生成成长"),2))/((VLOOKUP($B106,INDIRECT($B$5&amp;"生成成长"),4))/(VLOOKUP(AI$72,INDIRECT($C$5&amp;"生成成长"),5))*(VLOOKUP($B$5,标准坦克设计!$B$24:$U$30,MATCH("对"&amp;LEFT($C$5,2)&amp;"输出",标准坦克设计!$B$23:$U$23,0)))*(VLOOKUP($B106,INDIRECT($B$5&amp;"生成成长"),3))*(VLOOKUP($B$5,标准坦克设计!$B$14:$K$20,9)/30))</f>
        <v>7.9082104070124224</v>
      </c>
      <c r="AJ106" s="172">
        <f ca="1">(VLOOKUP(AJ$72,INDIRECT($C$5&amp;"生成成长"),2))/((VLOOKUP($B106,INDIRECT($B$5&amp;"生成成长"),4))/(VLOOKUP(AJ$72,INDIRECT($C$5&amp;"生成成长"),5))*(VLOOKUP($B$5,标准坦克设计!$B$24:$U$30,MATCH("对"&amp;LEFT($C$5,2)&amp;"输出",标准坦克设计!$B$23:$U$23,0)))*(VLOOKUP($B106,INDIRECT($B$5&amp;"生成成长"),3))*(VLOOKUP($B$5,标准坦克设计!$B$14:$K$20,9)/30))</f>
        <v>8.6561145654469538</v>
      </c>
      <c r="AK106" s="172">
        <f ca="1">(VLOOKUP(AK$72,INDIRECT($C$5&amp;"生成成长"),2))/((VLOOKUP($B106,INDIRECT($B$5&amp;"生成成长"),4))/(VLOOKUP(AK$72,INDIRECT($C$5&amp;"生成成长"),5))*(VLOOKUP($B$5,标准坦克设计!$B$24:$U$30,MATCH("对"&amp;LEFT($C$5,2)&amp;"输出",标准坦克设计!$B$23:$U$23,0)))*(VLOOKUP($B106,INDIRECT($B$5&amp;"生成成长"),3))*(VLOOKUP($B$5,标准坦克设计!$B$14:$K$20,9)/30))</f>
        <v>9.4378049486978295</v>
      </c>
      <c r="AL106" s="172">
        <f ca="1">(VLOOKUP(AL$72,INDIRECT($C$5&amp;"生成成长"),2))/((VLOOKUP($B106,INDIRECT($B$5&amp;"生成成长"),4))/(VLOOKUP(AL$72,INDIRECT($C$5&amp;"生成成长"),5))*(VLOOKUP($B$5,标准坦克设计!$B$24:$U$30,MATCH("对"&amp;LEFT($C$5,2)&amp;"输出",标准坦克设计!$B$23:$U$23,0)))*(VLOOKUP($B106,INDIRECT($B$5&amp;"生成成长"),3))*(VLOOKUP($B$5,标准坦克设计!$B$14:$K$20,9)/30))</f>
        <v>10.253281556765048</v>
      </c>
      <c r="AM106" s="172">
        <f ca="1">(VLOOKUP(AM$72,INDIRECT($C$5&amp;"生成成长"),2))/((VLOOKUP($B106,INDIRECT($B$5&amp;"生成成长"),4))/(VLOOKUP(AM$72,INDIRECT($C$5&amp;"生成成长"),5))*(VLOOKUP($B$5,标准坦克设计!$B$24:$U$30,MATCH("对"&amp;LEFT($C$5,2)&amp;"输出",标准坦克设计!$B$23:$U$23,0)))*(VLOOKUP($B106,INDIRECT($B$5&amp;"生成成长"),3))*(VLOOKUP($B$5,标准坦克设计!$B$14:$K$20,9)/30))</f>
        <v>11.102544389648612</v>
      </c>
      <c r="AN106" s="172">
        <f ca="1">(VLOOKUP(AN$72,INDIRECT($C$5&amp;"生成成长"),2))/((VLOOKUP($B106,INDIRECT($B$5&amp;"生成成长"),4))/(VLOOKUP(AN$72,INDIRECT($C$5&amp;"生成成长"),5))*(VLOOKUP($B$5,标准坦克设计!$B$24:$U$30,MATCH("对"&amp;LEFT($C$5,2)&amp;"输出",标准坦克设计!$B$23:$U$23,0)))*(VLOOKUP($B106,INDIRECT($B$5&amp;"生成成长"),3))*(VLOOKUP($B$5,标准坦克设计!$B$14:$K$20,9)/30))</f>
        <v>11.985593447348519</v>
      </c>
      <c r="AO106" s="172">
        <f ca="1">(VLOOKUP(AO$72,INDIRECT($C$5&amp;"生成成长"),2))/((VLOOKUP($B106,INDIRECT($B$5&amp;"生成成长"),4))/(VLOOKUP(AO$72,INDIRECT($C$5&amp;"生成成长"),5))*(VLOOKUP($B$5,标准坦克设计!$B$24:$U$30,MATCH("对"&amp;LEFT($C$5,2)&amp;"输出",标准坦克设计!$B$23:$U$23,0)))*(VLOOKUP($B106,INDIRECT($B$5&amp;"生成成长"),3))*(VLOOKUP($B$5,标准坦克设计!$B$14:$K$20,9)/30))</f>
        <v>12.902428729864775</v>
      </c>
      <c r="AP106" s="172">
        <f ca="1">(VLOOKUP(AP$72,INDIRECT($C$5&amp;"生成成长"),2))/((VLOOKUP($B106,INDIRECT($B$5&amp;"生成成长"),4))/(VLOOKUP(AP$72,INDIRECT($C$5&amp;"生成成长"),5))*(VLOOKUP($B$5,标准坦克设计!$B$24:$U$30,MATCH("对"&amp;LEFT($C$5,2)&amp;"输出",标准坦克设计!$B$23:$U$23,0)))*(VLOOKUP($B106,INDIRECT($B$5&amp;"生成成长"),3))*(VLOOKUP($B$5,标准坦克设计!$B$14:$K$20,9)/30))</f>
        <v>13.853050237197369</v>
      </c>
      <c r="AQ106" s="172">
        <f ca="1">(VLOOKUP(AQ$72,INDIRECT($C$5&amp;"生成成长"),2))/((VLOOKUP($B106,INDIRECT($B$5&amp;"生成成长"),4))/(VLOOKUP(AQ$72,INDIRECT($C$5&amp;"生成成长"),5))*(VLOOKUP($B$5,标准坦克设计!$B$24:$U$30,MATCH("对"&amp;LEFT($C$5,2)&amp;"输出",标准坦克设计!$B$23:$U$23,0)))*(VLOOKUP($B106,INDIRECT($B$5&amp;"生成成长"),3))*(VLOOKUP($B$5,标准坦克设计!$B$14:$K$20,9)/30))</f>
        <v>14.837457969346307</v>
      </c>
      <c r="AR106" s="172">
        <f ca="1">(VLOOKUP(AR$72,INDIRECT($C$5&amp;"生成成长"),2))/((VLOOKUP($B106,INDIRECT($B$5&amp;"生成成长"),4))/(VLOOKUP(AR$72,INDIRECT($C$5&amp;"生成成长"),5))*(VLOOKUP($B$5,标准坦克设计!$B$24:$U$30,MATCH("对"&amp;LEFT($C$5,2)&amp;"输出",标准坦克设计!$B$23:$U$23,0)))*(VLOOKUP($B106,INDIRECT($B$5&amp;"生成成长"),3))*(VLOOKUP($B$5,标准坦克设计!$B$14:$K$20,9)/30))</f>
        <v>15.855651926311596</v>
      </c>
      <c r="AS106" s="172">
        <f ca="1">(VLOOKUP(AS$72,INDIRECT($C$5&amp;"生成成长"),2))/((VLOOKUP($B106,INDIRECT($B$5&amp;"生成成长"),4))/(VLOOKUP(AS$72,INDIRECT($C$5&amp;"生成成长"),5))*(VLOOKUP($B$5,标准坦克设计!$B$24:$U$30,MATCH("对"&amp;LEFT($C$5,2)&amp;"输出",标准坦克设计!$B$23:$U$23,0)))*(VLOOKUP($B106,INDIRECT($B$5&amp;"生成成长"),3))*(VLOOKUP($B$5,标准坦克设计!$B$14:$K$20,9)/30))</f>
        <v>16.907632108093225</v>
      </c>
      <c r="AT106" s="172">
        <f ca="1">(VLOOKUP(AT$72,INDIRECT($C$5&amp;"生成成长"),2))/((VLOOKUP($B106,INDIRECT($B$5&amp;"生成成长"),4))/(VLOOKUP(AT$72,INDIRECT($C$5&amp;"生成成长"),5))*(VLOOKUP($B$5,标准坦克设计!$B$24:$U$30,MATCH("对"&amp;LEFT($C$5,2)&amp;"输出",标准坦克设计!$B$23:$U$23,0)))*(VLOOKUP($B106,INDIRECT($B$5&amp;"生成成长"),3))*(VLOOKUP($B$5,标准坦克设计!$B$14:$K$20,9)/30))</f>
        <v>17.993398514691197</v>
      </c>
      <c r="AU106" s="172">
        <f ca="1">(VLOOKUP(AU$72,INDIRECT($C$5&amp;"生成成长"),2))/((VLOOKUP($B106,INDIRECT($B$5&amp;"生成成长"),4))/(VLOOKUP(AU$72,INDIRECT($C$5&amp;"生成成长"),5))*(VLOOKUP($B$5,标准坦克设计!$B$24:$U$30,MATCH("对"&amp;LEFT($C$5,2)&amp;"输出",标准坦克设计!$B$23:$U$23,0)))*(VLOOKUP($B106,INDIRECT($B$5&amp;"生成成长"),3))*(VLOOKUP($B$5,标准坦克设计!$B$14:$K$20,9)/30))</f>
        <v>19.112951146105516</v>
      </c>
      <c r="AV106" s="172">
        <f ca="1">(VLOOKUP(AV$72,INDIRECT($C$5&amp;"生成成长"),2))/((VLOOKUP($B106,INDIRECT($B$5&amp;"生成成长"),4))/(VLOOKUP(AV$72,INDIRECT($C$5&amp;"生成成长"),5))*(VLOOKUP($B$5,标准坦克设计!$B$24:$U$30,MATCH("对"&amp;LEFT($C$5,2)&amp;"输出",标准坦克设计!$B$23:$U$23,0)))*(VLOOKUP($B106,INDIRECT($B$5&amp;"生成成长"),3))*(VLOOKUP($B$5,标准坦克设计!$B$14:$K$20,9)/30))</f>
        <v>1.9439644394329669</v>
      </c>
      <c r="AW106" s="172">
        <f ca="1">(VLOOKUP(AW$72,INDIRECT($C$5&amp;"生成成长"),2))/((VLOOKUP($B106,INDIRECT($B$5&amp;"生成成长"),4))/(VLOOKUP(AW$72,INDIRECT($C$5&amp;"生成成长"),5))*(VLOOKUP($B$5,标准坦克设计!$B$24:$U$30,MATCH("对"&amp;LEFT($C$5,2)&amp;"输出",标准坦克设计!$B$23:$U$23,0)))*(VLOOKUP($B106,INDIRECT($B$5&amp;"生成成长"),3))*(VLOOKUP($B$5,标准坦克设计!$B$14:$K$20,9)/30))</f>
        <v>2.2164880379515788</v>
      </c>
      <c r="AX106" s="172">
        <f ca="1">(VLOOKUP(AX$72,INDIRECT($C$5&amp;"生成成长"),2))/((VLOOKUP($B106,INDIRECT($B$5&amp;"生成成长"),4))/(VLOOKUP(AX$72,INDIRECT($C$5&amp;"生成成长"),5))*(VLOOKUP($B$5,标准坦克设计!$B$24:$U$30,MATCH("对"&amp;LEFT($C$5,2)&amp;"输出",标准坦克设计!$B$23:$U$23,0)))*(VLOOKUP($B106,INDIRECT($B$5&amp;"生成成长"),3))*(VLOOKUP($B$5,标准坦克设计!$B$14:$K$20,9)/30))</f>
        <v>2.5068820363730508</v>
      </c>
      <c r="AY106" s="172">
        <f ca="1">(VLOOKUP(AY$72,INDIRECT($C$5&amp;"生成成长"),2))/((VLOOKUP($B106,INDIRECT($B$5&amp;"生成成长"),4))/(VLOOKUP(AY$72,INDIRECT($C$5&amp;"生成成长"),5))*(VLOOKUP($B$5,标准坦克设计!$B$24:$U$30,MATCH("对"&amp;LEFT($C$5,2)&amp;"输出",标准坦克设计!$B$23:$U$23,0)))*(VLOOKUP($B106,INDIRECT($B$5&amp;"生成成长"),3))*(VLOOKUP($B$5,标准坦克设计!$B$14:$K$20,9)/30))</f>
        <v>2.815146434697382</v>
      </c>
      <c r="AZ106" s="172">
        <f ca="1">(VLOOKUP(AZ$72,INDIRECT($C$5&amp;"生成成长"),2))/((VLOOKUP($B106,INDIRECT($B$5&amp;"生成成长"),4))/(VLOOKUP(AZ$72,INDIRECT($C$5&amp;"生成成长"),5))*(VLOOKUP($B$5,标准坦克设计!$B$24:$U$30,MATCH("对"&amp;LEFT($C$5,2)&amp;"输出",标准坦克设计!$B$23:$U$23,0)))*(VLOOKUP($B106,INDIRECT($B$5&amp;"生成成长"),3))*(VLOOKUP($B$5,标准坦克设计!$B$14:$K$20,9)/30))</f>
        <v>3.1412812329245732</v>
      </c>
      <c r="BA106" s="172">
        <f ca="1">(VLOOKUP(BA$72,INDIRECT($C$5&amp;"生成成长"),2))/((VLOOKUP($B106,INDIRECT($B$5&amp;"生成成长"),4))/(VLOOKUP(BA$72,INDIRECT($C$5&amp;"生成成长"),5))*(VLOOKUP($B$5,标准坦克设计!$B$24:$U$30,MATCH("对"&amp;LEFT($C$5,2)&amp;"输出",标准坦克设计!$B$23:$U$23,0)))*(VLOOKUP($B106,INDIRECT($B$5&amp;"生成成长"),3))*(VLOOKUP($B$5,标准坦克设计!$B$14:$K$20,9)/30))</f>
        <v>3.4852864310546248</v>
      </c>
      <c r="BB106" s="172">
        <f ca="1">(VLOOKUP(BB$72,INDIRECT($C$5&amp;"生成成长"),2))/((VLOOKUP($B106,INDIRECT($B$5&amp;"生成成长"),4))/(VLOOKUP(BB$72,INDIRECT($C$5&amp;"生成成长"),5))*(VLOOKUP($B$5,标准坦克设计!$B$24:$U$30,MATCH("对"&amp;LEFT($C$5,2)&amp;"输出",标准坦克设计!$B$23:$U$23,0)))*(VLOOKUP($B106,INDIRECT($B$5&amp;"生成成长"),3))*(VLOOKUP($B$5,标准坦克设计!$B$14:$K$20,9)/30))</f>
        <v>3.847162029087535</v>
      </c>
      <c r="BC106" s="172">
        <f ca="1">(VLOOKUP(BC$72,INDIRECT($C$5&amp;"生成成长"),2))/((VLOOKUP($B106,INDIRECT($B$5&amp;"生成成长"),4))/(VLOOKUP(BC$72,INDIRECT($C$5&amp;"生成成长"),5))*(VLOOKUP($B$5,标准坦克设计!$B$24:$U$30,MATCH("对"&amp;LEFT($C$5,2)&amp;"输出",标准坦克设计!$B$23:$U$23,0)))*(VLOOKUP($B106,INDIRECT($B$5&amp;"生成成长"),3))*(VLOOKUP($B$5,标准坦克设计!$B$14:$K$20,9)/30))</f>
        <v>4.2269080270233061</v>
      </c>
      <c r="BD106" s="172">
        <f ca="1">(VLOOKUP(BD$72,INDIRECT($C$5&amp;"生成成长"),2))/((VLOOKUP($B106,INDIRECT($B$5&amp;"生成成长"),4))/(VLOOKUP(BD$72,INDIRECT($C$5&amp;"生成成长"),5))*(VLOOKUP($B$5,标准坦克设计!$B$24:$U$30,MATCH("对"&amp;LEFT($C$5,2)&amp;"输出",标准坦克设计!$B$23:$U$23,0)))*(VLOOKUP($B106,INDIRECT($B$5&amp;"生成成长"),3))*(VLOOKUP($B$5,标准坦克设计!$B$14:$K$20,9)/30))</f>
        <v>4.6754829870849353</v>
      </c>
      <c r="BE106" s="172">
        <f ca="1">(VLOOKUP(BE$72,INDIRECT($C$5&amp;"生成成长"),2))/((VLOOKUP($B106,INDIRECT($B$5&amp;"生成成长"),4))/(VLOOKUP(BE$72,INDIRECT($C$5&amp;"生成成长"),5))*(VLOOKUP($B$5,标准坦克设计!$B$24:$U$30,MATCH("对"&amp;LEFT($C$5,2)&amp;"输出",标准坦克设计!$B$23:$U$23,0)))*(VLOOKUP($B106,INDIRECT($B$5&amp;"生成成长"),3))*(VLOOKUP($B$5,标准坦克设计!$B$14:$K$20,9)/30))</f>
        <v>5.1466751720236212</v>
      </c>
      <c r="BF106" s="172">
        <f ca="1">(VLOOKUP(BF$72,INDIRECT($C$5&amp;"生成成长"),2))/((VLOOKUP($B106,INDIRECT($B$5&amp;"生成成长"),4))/(VLOOKUP(BF$72,INDIRECT($C$5&amp;"生成成长"),5))*(VLOOKUP($B$5,标准坦克设计!$B$24:$U$30,MATCH("对"&amp;LEFT($C$5,2)&amp;"输出",标准坦克设计!$B$23:$U$23,0)))*(VLOOKUP($B106,INDIRECT($B$5&amp;"生成成长"),3))*(VLOOKUP($B$5,标准坦克设计!$B$14:$K$20,9)/30))</f>
        <v>5.6404845818393632</v>
      </c>
      <c r="BG106" s="172">
        <f ca="1">(VLOOKUP(BG$72,INDIRECT($C$5&amp;"生成成长"),2))/((VLOOKUP($B106,INDIRECT($B$5&amp;"生成成长"),4))/(VLOOKUP(BG$72,INDIRECT($C$5&amp;"生成成长"),5))*(VLOOKUP($B$5,标准坦克设计!$B$24:$U$30,MATCH("对"&amp;LEFT($C$5,2)&amp;"输出",标准坦克设计!$B$23:$U$23,0)))*(VLOOKUP($B106,INDIRECT($B$5&amp;"生成成长"),3))*(VLOOKUP($B$5,标准坦克设计!$B$14:$K$20,9)/30))</f>
        <v>6.1569112165321638</v>
      </c>
      <c r="BH106" s="172">
        <f ca="1">(VLOOKUP(BH$72,INDIRECT($C$5&amp;"生成成长"),2))/((VLOOKUP($B106,INDIRECT($B$5&amp;"生成成长"),4))/(VLOOKUP(BH$72,INDIRECT($C$5&amp;"生成成长"),5))*(VLOOKUP($B$5,标准坦克设计!$B$24:$U$30,MATCH("对"&amp;LEFT($C$5,2)&amp;"输出",标准坦克设计!$B$23:$U$23,0)))*(VLOOKUP($B106,INDIRECT($B$5&amp;"生成成长"),3))*(VLOOKUP($B$5,标准坦克设计!$B$14:$K$20,9)/30))</f>
        <v>2.975980033823121</v>
      </c>
      <c r="BI106" s="172">
        <f ca="1">(VLOOKUP(BI$72,INDIRECT($C$5&amp;"生成成长"),2))/((VLOOKUP($B106,INDIRECT($B$5&amp;"生成成长"),4))/(VLOOKUP(BI$72,INDIRECT($C$5&amp;"生成成长"),5))*(VLOOKUP($B$5,标准坦克设计!$B$24:$U$30,MATCH("对"&amp;LEFT($C$5,2)&amp;"输出",标准坦克设计!$B$23:$U$23,0)))*(VLOOKUP($B106,INDIRECT($B$5&amp;"生成成长"),3))*(VLOOKUP($B$5,标准坦克设计!$B$14:$K$20,9)/30))</f>
        <v>3.354190294267239</v>
      </c>
      <c r="BJ106" s="172">
        <f ca="1">(VLOOKUP(BJ$72,INDIRECT($C$5&amp;"生成成长"),2))/((VLOOKUP($B106,INDIRECT($B$5&amp;"生成成长"),4))/(VLOOKUP(BJ$72,INDIRECT($C$5&amp;"生成成长"),5))*(VLOOKUP($B$5,标准坦克设计!$B$24:$U$30,MATCH("对"&amp;LEFT($C$5,2)&amp;"输出",标准坦克设计!$B$23:$U$23,0)))*(VLOOKUP($B106,INDIRECT($B$5&amp;"生成成长"),3))*(VLOOKUP($B$5,标准坦克设计!$B$14:$K$20,9)/30))</f>
        <v>3.7550177795884143</v>
      </c>
      <c r="BK106" s="172">
        <f ca="1">(VLOOKUP(BK$72,INDIRECT($C$5&amp;"生成成长"),2))/((VLOOKUP($B106,INDIRECT($B$5&amp;"生成成长"),4))/(VLOOKUP(BK$72,INDIRECT($C$5&amp;"生成成长"),5))*(VLOOKUP($B$5,标准坦克设计!$B$24:$U$30,MATCH("对"&amp;LEFT($C$5,2)&amp;"输出",标准坦克设计!$B$23:$U$23,0)))*(VLOOKUP($B106,INDIRECT($B$5&amp;"生成成长"),3))*(VLOOKUP($B$5,标准坦克设计!$B$14:$K$20,9)/30))</f>
        <v>4.1784624897866465</v>
      </c>
      <c r="BL106" s="172">
        <f ca="1">(VLOOKUP(BL$72,INDIRECT($C$5&amp;"生成成长"),2))/((VLOOKUP($B106,INDIRECT($B$5&amp;"生成成长"),4))/(VLOOKUP(BL$72,INDIRECT($C$5&amp;"生成成长"),5))*(VLOOKUP($B$5,标准坦克设计!$B$24:$U$30,MATCH("对"&amp;LEFT($C$5,2)&amp;"输出",标准坦克设计!$B$23:$U$23,0)))*(VLOOKUP($B106,INDIRECT($B$5&amp;"生成成长"),3))*(VLOOKUP($B$5,标准坦克设计!$B$14:$K$20,9)/30))</f>
        <v>4.6245244248619368</v>
      </c>
      <c r="BM106" s="172">
        <f ca="1">(VLOOKUP(BM$72,INDIRECT($C$5&amp;"生成成长"),2))/((VLOOKUP($B106,INDIRECT($B$5&amp;"生成成长"),4))/(VLOOKUP(BM$72,INDIRECT($C$5&amp;"生成成长"),5))*(VLOOKUP($B$5,标准坦克设计!$B$24:$U$30,MATCH("对"&amp;LEFT($C$5,2)&amp;"输出",标准坦克设计!$B$23:$U$23,0)))*(VLOOKUP($B106,INDIRECT($B$5&amp;"生成成长"),3))*(VLOOKUP($B$5,标准坦克设计!$B$14:$K$20,9)/30))</f>
        <v>5.0932035848142831</v>
      </c>
      <c r="BN106" s="172">
        <f ca="1">(VLOOKUP(BN$72,INDIRECT($C$5&amp;"生成成长"),2))/((VLOOKUP($B106,INDIRECT($B$5&amp;"生成成长"),4))/(VLOOKUP(BN$72,INDIRECT($C$5&amp;"生成成长"),5))*(VLOOKUP($B$5,标准坦克设计!$B$24:$U$30,MATCH("对"&amp;LEFT($C$5,2)&amp;"输出",标准坦克设计!$B$23:$U$23,0)))*(VLOOKUP($B106,INDIRECT($B$5&amp;"生成成长"),3))*(VLOOKUP($B$5,标准坦克设计!$B$14:$K$20,9)/30))</f>
        <v>5.5844999696436854</v>
      </c>
      <c r="BO106" s="172">
        <f ca="1">(VLOOKUP(BO$72,INDIRECT($C$5&amp;"生成成长"),2))/((VLOOKUP($B106,INDIRECT($B$5&amp;"生成成长"),4))/(VLOOKUP(BO$72,INDIRECT($C$5&amp;"生成成长"),5))*(VLOOKUP($B$5,标准坦克设计!$B$24:$U$30,MATCH("对"&amp;LEFT($C$5,2)&amp;"输出",标准坦克设计!$B$23:$U$23,0)))*(VLOOKUP($B106,INDIRECT($B$5&amp;"生成成长"),3))*(VLOOKUP($B$5,标准坦克设计!$B$14:$K$20,9)/30))</f>
        <v>6.0984135793501455</v>
      </c>
      <c r="BP106" s="172">
        <f ca="1">(VLOOKUP(BP$72,INDIRECT($C$5&amp;"生成成长"),2))/((VLOOKUP($B106,INDIRECT($B$5&amp;"生成成长"),4))/(VLOOKUP(BP$72,INDIRECT($C$5&amp;"生成成长"),5))*(VLOOKUP($B$5,标准坦克设计!$B$24:$U$30,MATCH("对"&amp;LEFT($C$5,2)&amp;"输出",标准坦克设计!$B$23:$U$23,0)))*(VLOOKUP($B106,INDIRECT($B$5&amp;"生成成长"),3))*(VLOOKUP($B$5,标准坦克设计!$B$14:$K$20,9)/30))</f>
        <v>6.6349444139336633</v>
      </c>
      <c r="BQ106" s="172">
        <f ca="1">(VLOOKUP(BQ$72,INDIRECT($C$5&amp;"生成成长"),2))/((VLOOKUP($B106,INDIRECT($B$5&amp;"生成成长"),4))/(VLOOKUP(BQ$72,INDIRECT($C$5&amp;"生成成长"),5))*(VLOOKUP($B$5,标准坦克设计!$B$24:$U$30,MATCH("对"&amp;LEFT($C$5,2)&amp;"输出",标准坦克设计!$B$23:$U$23,0)))*(VLOOKUP($B106,INDIRECT($B$5&amp;"生成成长"),3))*(VLOOKUP($B$5,标准坦克设计!$B$14:$K$20,9)/30))</f>
        <v>7.1940924733942371</v>
      </c>
      <c r="BR106" s="172">
        <f ca="1">(VLOOKUP(BR$72,INDIRECT($C$5&amp;"生成成长"),2))/((VLOOKUP($B106,INDIRECT($B$5&amp;"生成成长"),4))/(VLOOKUP(BR$72,INDIRECT($C$5&amp;"生成成长"),5))*(VLOOKUP($B$5,标准坦克设计!$B$24:$U$30,MATCH("对"&amp;LEFT($C$5,2)&amp;"输出",标准坦克设计!$B$23:$U$23,0)))*(VLOOKUP($B106,INDIRECT($B$5&amp;"生成成长"),3))*(VLOOKUP($B$5,标准坦克设计!$B$14:$K$20,9)/30))</f>
        <v>7.8418944698729049</v>
      </c>
      <c r="BS106" s="172">
        <f ca="1">(VLOOKUP(BS$72,INDIRECT($C$5&amp;"生成成长"),2))/((VLOOKUP($B106,INDIRECT($B$5&amp;"生成成长"),4))/(VLOOKUP(BS$72,INDIRECT($C$5&amp;"生成成长"),5))*(VLOOKUP($B$5,标准坦克设计!$B$24:$U$30,MATCH("对"&amp;LEFT($C$5,2)&amp;"输出",标准坦克设计!$B$23:$U$23,0)))*(VLOOKUP($B106,INDIRECT($B$5&amp;"生成成长"),3))*(VLOOKUP($B$5,标准坦克设计!$B$14:$K$20,9)/30))</f>
        <v>8.517618966199791</v>
      </c>
      <c r="BT106" s="172">
        <f ca="1">(VLOOKUP(BT$72,INDIRECT($C$5&amp;"生成成长"),2))/((VLOOKUP($B106,INDIRECT($B$5&amp;"生成成长"),4))/(VLOOKUP(BT$72,INDIRECT($C$5&amp;"生成成长"),5))*(VLOOKUP($B$5,标准坦克设计!$B$24:$U$30,MATCH("对"&amp;LEFT($C$5,2)&amp;"输出",标准坦克设计!$B$23:$U$23,0)))*(VLOOKUP($B106,INDIRECT($B$5&amp;"生成成长"),3))*(VLOOKUP($B$5,标准坦克设计!$B$14:$K$20,9)/30))</f>
        <v>9.2212659623748952</v>
      </c>
      <c r="BU106" s="172">
        <f ca="1">(VLOOKUP(BU$72,INDIRECT($C$5&amp;"生成成长"),2))/((VLOOKUP($B106,INDIRECT($B$5&amp;"生成成长"),4))/(VLOOKUP(BU$72,INDIRECT($C$5&amp;"生成成长"),5))*(VLOOKUP($B$5,标准坦克设计!$B$24:$U$30,MATCH("对"&amp;LEFT($C$5,2)&amp;"输出",标准坦克设计!$B$23:$U$23,0)))*(VLOOKUP($B106,INDIRECT($B$5&amp;"生成成长"),3))*(VLOOKUP($B$5,标准坦克设计!$B$14:$K$20,9)/30))</f>
        <v>9.9528354583982193</v>
      </c>
      <c r="BV106" s="172">
        <f ca="1">(VLOOKUP(BV$72,INDIRECT($C$5&amp;"生成成长"),2))/((VLOOKUP($B106,INDIRECT($B$5&amp;"生成成长"),4))/(VLOOKUP(BV$72,INDIRECT($C$5&amp;"生成成长"),5))*(VLOOKUP($B$5,标准坦克设计!$B$24:$U$30,MATCH("对"&amp;LEFT($C$5,2)&amp;"输出",标准坦克设计!$B$23:$U$23,0)))*(VLOOKUP($B106,INDIRECT($B$5&amp;"生成成长"),3))*(VLOOKUP($B$5,标准坦克设计!$B$14:$K$20,9)/30))</f>
        <v>10.71232745426976</v>
      </c>
      <c r="BW106" s="172">
        <f ca="1">(VLOOKUP(BW$72,INDIRECT($C$5&amp;"生成成长"),2))/((VLOOKUP($B106,INDIRECT($B$5&amp;"生成成长"),4))/(VLOOKUP(BW$72,INDIRECT($C$5&amp;"生成成长"),5))*(VLOOKUP($B$5,标准坦克设计!$B$24:$U$30,MATCH("对"&amp;LEFT($C$5,2)&amp;"输出",标准坦克设计!$B$23:$U$23,0)))*(VLOOKUP($B106,INDIRECT($B$5&amp;"生成成长"),3))*(VLOOKUP($B$5,标准坦克设计!$B$14:$K$20,9)/30))</f>
        <v>4.8821094859617515</v>
      </c>
      <c r="BX106" s="172">
        <f ca="1">(VLOOKUP(BX$72,INDIRECT($C$5&amp;"生成成长"),2))/((VLOOKUP($B106,INDIRECT($B$5&amp;"生成成长"),4))/(VLOOKUP(BX$72,INDIRECT($C$5&amp;"生成成长"),5))*(VLOOKUP($B$5,标准坦克设计!$B$24:$U$30,MATCH("对"&amp;LEFT($C$5,2)&amp;"输出",标准坦克设计!$B$23:$U$23,0)))*(VLOOKUP($B106,INDIRECT($B$5&amp;"生成成长"),3))*(VLOOKUP($B$5,标准坦克设计!$B$14:$K$20,9)/30))</f>
        <v>5.4182214830475459</v>
      </c>
      <c r="BY106" s="172">
        <f ca="1">(VLOOKUP(BY$72,INDIRECT($C$5&amp;"生成成长"),2))/((VLOOKUP($B106,INDIRECT($B$5&amp;"生成成长"),4))/(VLOOKUP(BY$72,INDIRECT($C$5&amp;"生成成长"),5))*(VLOOKUP($B$5,标准坦克设计!$B$24:$U$30,MATCH("对"&amp;LEFT($C$5,2)&amp;"输出",标准坦克设计!$B$23:$U$23,0)))*(VLOOKUP($B106,INDIRECT($B$5&amp;"生成成长"),3))*(VLOOKUP($B$5,标准坦克设计!$B$14:$K$20,9)/30))</f>
        <v>5.9822559799815567</v>
      </c>
      <c r="BZ106" s="172">
        <f ca="1">(VLOOKUP(BZ$72,INDIRECT($C$5&amp;"生成成长"),2))/((VLOOKUP($B106,INDIRECT($B$5&amp;"生成成长"),4))/(VLOOKUP(BZ$72,INDIRECT($C$5&amp;"生成成长"),5))*(VLOOKUP($B$5,标准坦克设计!$B$24:$U$30,MATCH("对"&amp;LEFT($C$5,2)&amp;"输出",标准坦克设计!$B$23:$U$23,0)))*(VLOOKUP($B106,INDIRECT($B$5&amp;"生成成长"),3))*(VLOOKUP($B$5,标准坦克设计!$B$14:$K$20,9)/30))</f>
        <v>6.5742129767637882</v>
      </c>
      <c r="CA106" s="172">
        <f ca="1">(VLOOKUP(CA$72,INDIRECT($C$5&amp;"生成成长"),2))/((VLOOKUP($B106,INDIRECT($B$5&amp;"生成成长"),4))/(VLOOKUP(CA$72,INDIRECT($C$5&amp;"生成成长"),5))*(VLOOKUP($B$5,标准坦克设计!$B$24:$U$30,MATCH("对"&amp;LEFT($C$5,2)&amp;"输出",标准坦克设计!$B$23:$U$23,0)))*(VLOOKUP($B106,INDIRECT($B$5&amp;"生成成长"),3))*(VLOOKUP($B$5,标准坦克设计!$B$14:$K$20,9)/30))</f>
        <v>7.1940924733942371</v>
      </c>
      <c r="CB106" s="172">
        <f ca="1">(VLOOKUP(CB$72,INDIRECT($C$5&amp;"生成成长"),2))/((VLOOKUP($B106,INDIRECT($B$5&amp;"生成成长"),4))/(VLOOKUP(CB$72,INDIRECT($C$5&amp;"生成成长"),5))*(VLOOKUP($B$5,标准坦克设计!$B$24:$U$30,MATCH("对"&amp;LEFT($C$5,2)&amp;"输出",标准坦克设计!$B$23:$U$23,0)))*(VLOOKUP($B106,INDIRECT($B$5&amp;"生成成长"),3))*(VLOOKUP($B$5,标准坦克设计!$B$14:$K$20,9)/30))</f>
        <v>7.8418944698729049</v>
      </c>
      <c r="CC106" s="172">
        <f ca="1">(VLOOKUP(CC$72,INDIRECT($C$5&amp;"生成成长"),2))/((VLOOKUP($B106,INDIRECT($B$5&amp;"生成成长"),4))/(VLOOKUP(CC$72,INDIRECT($C$5&amp;"生成成长"),5))*(VLOOKUP($B$5,标准坦克设计!$B$24:$U$30,MATCH("对"&amp;LEFT($C$5,2)&amp;"输出",标准坦克设计!$B$23:$U$23,0)))*(VLOOKUP($B106,INDIRECT($B$5&amp;"生成成长"),3))*(VLOOKUP($B$5,标准坦克设计!$B$14:$K$20,9)/30))</f>
        <v>8.517618966199791</v>
      </c>
      <c r="CD106" s="172">
        <f ca="1">(VLOOKUP(CD$72,INDIRECT($C$5&amp;"生成成长"),2))/((VLOOKUP($B106,INDIRECT($B$5&amp;"生成成长"),4))/(VLOOKUP(CD$72,INDIRECT($C$5&amp;"生成成长"),5))*(VLOOKUP($B$5,标准坦克设计!$B$24:$U$30,MATCH("对"&amp;LEFT($C$5,2)&amp;"输出",标准坦克设计!$B$23:$U$23,0)))*(VLOOKUP($B106,INDIRECT($B$5&amp;"生成成长"),3))*(VLOOKUP($B$5,标准坦克设计!$B$14:$K$20,9)/30))</f>
        <v>9.2212659623748952</v>
      </c>
      <c r="CE106" s="172">
        <f ca="1">(VLOOKUP(CE$72,INDIRECT($C$5&amp;"生成成长"),2))/((VLOOKUP($B106,INDIRECT($B$5&amp;"生成成长"),4))/(VLOOKUP(CE$72,INDIRECT($C$5&amp;"生成成长"),5))*(VLOOKUP($B$5,标准坦克设计!$B$24:$U$30,MATCH("对"&amp;LEFT($C$5,2)&amp;"输出",标准坦克设计!$B$23:$U$23,0)))*(VLOOKUP($B106,INDIRECT($B$5&amp;"生成成长"),3))*(VLOOKUP($B$5,标准坦克设计!$B$14:$K$20,9)/30))</f>
        <v>9.9528354583982193</v>
      </c>
      <c r="CF106" s="172">
        <f ca="1">(VLOOKUP(CF$72,INDIRECT($C$5&amp;"生成成长"),2))/((VLOOKUP($B106,INDIRECT($B$5&amp;"生成成长"),4))/(VLOOKUP(CF$72,INDIRECT($C$5&amp;"生成成长"),5))*(VLOOKUP($B$5,标准坦克设计!$B$24:$U$30,MATCH("对"&amp;LEFT($C$5,2)&amp;"输出",标准坦克设计!$B$23:$U$23,0)))*(VLOOKUP($B106,INDIRECT($B$5&amp;"生成成长"),3))*(VLOOKUP($B$5,标准坦克设计!$B$14:$K$20,9)/30))</f>
        <v>10.71232745426976</v>
      </c>
      <c r="CG106" s="172">
        <f ca="1">(VLOOKUP(CG$72,INDIRECT($C$5&amp;"生成成长"),2))/((VLOOKUP($B106,INDIRECT($B$5&amp;"生成成长"),4))/(VLOOKUP(CG$72,INDIRECT($C$5&amp;"生成成长"),5))*(VLOOKUP($B$5,标准坦克设计!$B$24:$U$30,MATCH("对"&amp;LEFT($C$5,2)&amp;"输出",标准坦克设计!$B$23:$U$23,0)))*(VLOOKUP($B106,INDIRECT($B$5&amp;"生成成长"),3))*(VLOOKUP($B$5,标准坦克设计!$B$14:$K$20,9)/30))</f>
        <v>11.49974194998952</v>
      </c>
      <c r="CH106" s="172">
        <f ca="1">(VLOOKUP(CH$72,INDIRECT($C$5&amp;"生成成长"),2))/((VLOOKUP($B106,INDIRECT($B$5&amp;"生成成长"),4))/(VLOOKUP(CH$72,INDIRECT($C$5&amp;"生成成长"),5))*(VLOOKUP($B$5,标准坦克设计!$B$24:$U$30,MATCH("对"&amp;LEFT($C$5,2)&amp;"输出",标准坦克设计!$B$23:$U$23,0)))*(VLOOKUP($B106,INDIRECT($B$5&amp;"生成成长"),3))*(VLOOKUP($B$5,标准坦克设计!$B$14:$K$20,9)/30))</f>
        <v>12.3150789455575</v>
      </c>
      <c r="CI106" s="172">
        <f ca="1">(VLOOKUP(CI$72,INDIRECT($C$5&amp;"生成成长"),2))/((VLOOKUP($B106,INDIRECT($B$5&amp;"生成成长"),4))/(VLOOKUP(CI$72,INDIRECT($C$5&amp;"生成成长"),5))*(VLOOKUP($B$5,标准坦克设计!$B$24:$U$30,MATCH("对"&amp;LEFT($C$5,2)&amp;"输出",标准坦克设计!$B$23:$U$23,0)))*(VLOOKUP($B106,INDIRECT($B$5&amp;"生成成长"),3))*(VLOOKUP($B$5,标准坦克设计!$B$14:$K$20,9)/30))</f>
        <v>13.244200128006966</v>
      </c>
      <c r="CJ106" s="172">
        <f ca="1">(VLOOKUP(CJ$72,INDIRECT($C$5&amp;"生成成长"),2))/((VLOOKUP($B106,INDIRECT($B$5&amp;"生成成长"),4))/(VLOOKUP(CJ$72,INDIRECT($C$5&amp;"生成成长"),5))*(VLOOKUP($B$5,标准坦克设计!$B$24:$U$30,MATCH("对"&amp;LEFT($C$5,2)&amp;"输出",标准坦克设计!$B$23:$U$23,0)))*(VLOOKUP($B106,INDIRECT($B$5&amp;"生成成长"),3))*(VLOOKUP($B$5,标准坦克设计!$B$14:$K$20,9)/30))</f>
        <v>14.20710753527278</v>
      </c>
      <c r="CK106" s="172">
        <f ca="1">(VLOOKUP(CK$72,INDIRECT($C$5&amp;"生成成长"),2))/((VLOOKUP($B106,INDIRECT($B$5&amp;"生成成长"),4))/(VLOOKUP(CK$72,INDIRECT($C$5&amp;"生成成长"),5))*(VLOOKUP($B$5,标准坦克设计!$B$24:$U$30,MATCH("对"&amp;LEFT($C$5,2)&amp;"输出",标准坦克设计!$B$23:$U$23,0)))*(VLOOKUP($B106,INDIRECT($B$5&amp;"生成成长"),3))*(VLOOKUP($B$5,标准坦克设计!$B$14:$K$20,9)/30))</f>
        <v>15.203801167354936</v>
      </c>
      <c r="CL106" s="172">
        <f ca="1">(VLOOKUP(CL$72,INDIRECT($C$5&amp;"生成成长"),2))/((VLOOKUP($B106,INDIRECT($B$5&amp;"生成成长"),4))/(VLOOKUP(CL$72,INDIRECT($C$5&amp;"生成成长"),5))*(VLOOKUP($B$5,标准坦克设计!$B$24:$U$30,MATCH("对"&amp;LEFT($C$5,2)&amp;"输出",标准坦克设计!$B$23:$U$23,0)))*(VLOOKUP($B106,INDIRECT($B$5&amp;"生成成长"),3))*(VLOOKUP($B$5,标准坦克设计!$B$14:$K$20,9)/30))</f>
        <v>16.234281024253434</v>
      </c>
      <c r="CM106" s="172">
        <f ca="1">(VLOOKUP(CM$72,INDIRECT($C$5&amp;"生成成长"),2))/((VLOOKUP($B106,INDIRECT($B$5&amp;"生成成长"),4))/(VLOOKUP(CM$72,INDIRECT($C$5&amp;"生成成长"),5))*(VLOOKUP($B$5,标准坦克设计!$B$24:$U$30,MATCH("对"&amp;LEFT($C$5,2)&amp;"输出",标准坦克设计!$B$23:$U$23,0)))*(VLOOKUP($B106,INDIRECT($B$5&amp;"生成成长"),3))*(VLOOKUP($B$5,标准坦克设计!$B$14:$K$20,9)/30))</f>
        <v>17.298547105968279</v>
      </c>
      <c r="CN106" s="172">
        <f ca="1">(VLOOKUP(CN$72,INDIRECT($C$5&amp;"生成成长"),2))/((VLOOKUP($B106,INDIRECT($B$5&amp;"生成成长"),4))/(VLOOKUP(CN$72,INDIRECT($C$5&amp;"生成成长"),5))*(VLOOKUP($B$5,标准坦克设计!$B$24:$U$30,MATCH("对"&amp;LEFT($C$5,2)&amp;"输出",标准坦克设计!$B$23:$U$23,0)))*(VLOOKUP($B106,INDIRECT($B$5&amp;"生成成长"),3))*(VLOOKUP($B$5,标准坦克设计!$B$14:$K$20,9)/30))</f>
        <v>18.396599412499469</v>
      </c>
      <c r="CO106" s="172">
        <f ca="1">(VLOOKUP(CO$72,INDIRECT($C$5&amp;"生成成长"),2))/((VLOOKUP($B106,INDIRECT($B$5&amp;"生成成长"),4))/(VLOOKUP(CO$72,INDIRECT($C$5&amp;"生成成长"),5))*(VLOOKUP($B$5,标准坦克设计!$B$24:$U$30,MATCH("对"&amp;LEFT($C$5,2)&amp;"输出",标准坦克设计!$B$23:$U$23,0)))*(VLOOKUP($B106,INDIRECT($B$5&amp;"生成成长"),3))*(VLOOKUP($B$5,标准坦克设计!$B$14:$K$20,9)/30))</f>
        <v>8.2439784676872492</v>
      </c>
      <c r="CP106" s="172">
        <f ca="1">(VLOOKUP(CP$72,INDIRECT($C$5&amp;"生成成长"),2))/((VLOOKUP($B106,INDIRECT($B$5&amp;"生成成长"),4))/(VLOOKUP(CP$72,INDIRECT($C$5&amp;"生成成长"),5))*(VLOOKUP($B$5,标准坦克设计!$B$24:$U$30,MATCH("对"&amp;LEFT($C$5,2)&amp;"输出",标准坦克设计!$B$23:$U$23,0)))*(VLOOKUP($B106,INDIRECT($B$5&amp;"生成成长"),3))*(VLOOKUP($B$5,标准坦克设计!$B$14:$K$20,9)/30))</f>
        <v>9.0072400010382996</v>
      </c>
      <c r="CQ106" s="172">
        <f ca="1">(VLOOKUP(CQ$72,INDIRECT($C$5&amp;"生成成长"),2))/((VLOOKUP($B106,INDIRECT($B$5&amp;"生成成长"),4))/(VLOOKUP(CQ$72,INDIRECT($C$5&amp;"生成成长"),5))*(VLOOKUP($B$5,标准坦克设计!$B$24:$U$30,MATCH("对"&amp;LEFT($C$5,2)&amp;"输出",标准坦克设计!$B$23:$U$23,0)))*(VLOOKUP($B106,INDIRECT($B$5&amp;"生成成长"),3))*(VLOOKUP($B$5,标准坦克设计!$B$14:$K$20,9)/30))</f>
        <v>9.8042877592056978</v>
      </c>
      <c r="CR106" s="172">
        <f ca="1">(VLOOKUP(CR$72,INDIRECT($C$5&amp;"生成成长"),2))/((VLOOKUP($B106,INDIRECT($B$5&amp;"生成成长"),4))/(VLOOKUP(CR$72,INDIRECT($C$5&amp;"生成成长"),5))*(VLOOKUP($B$5,标准坦克设计!$B$24:$U$30,MATCH("对"&amp;LEFT($C$5,2)&amp;"输出",标准坦克设计!$B$23:$U$23,0)))*(VLOOKUP($B106,INDIRECT($B$5&amp;"生成成长"),3))*(VLOOKUP($B$5,标准坦克设计!$B$14:$K$20,9)/30))</f>
        <v>10.635121742189435</v>
      </c>
      <c r="CS106" s="172">
        <f ca="1">(VLOOKUP(CS$72,INDIRECT($C$5&amp;"生成成长"),2))/((VLOOKUP($B106,INDIRECT($B$5&amp;"生成成长"),4))/(VLOOKUP(CS$72,INDIRECT($C$5&amp;"生成成长"),5))*(VLOOKUP($B$5,标准坦克设计!$B$24:$U$30,MATCH("对"&amp;LEFT($C$5,2)&amp;"输出",标准坦克设计!$B$23:$U$23,0)))*(VLOOKUP($B106,INDIRECT($B$5&amp;"生成成长"),3))*(VLOOKUP($B$5,标准坦克设计!$B$14:$K$20,9)/30))</f>
        <v>11.49974194998952</v>
      </c>
      <c r="CT106" s="172">
        <f ca="1">(VLOOKUP(CT$72,INDIRECT($C$5&amp;"生成成长"),2))/((VLOOKUP($B106,INDIRECT($B$5&amp;"生成成长"),4))/(VLOOKUP(CT$72,INDIRECT($C$5&amp;"生成成长"),5))*(VLOOKUP($B$5,标准坦克设计!$B$24:$U$30,MATCH("对"&amp;LEFT($C$5,2)&amp;"输出",标准坦克设计!$B$23:$U$23,0)))*(VLOOKUP($B106,INDIRECT($B$5&amp;"生成成长"),3))*(VLOOKUP($B$5,标准坦克设计!$B$14:$K$20,9)/30))</f>
        <v>12.398148382605948</v>
      </c>
      <c r="CU106" s="172">
        <f ca="1">(VLOOKUP(CU$72,INDIRECT($C$5&amp;"生成成长"),2))/((VLOOKUP($B106,INDIRECT($B$5&amp;"生成成长"),4))/(VLOOKUP(CU$72,INDIRECT($C$5&amp;"生成成长"),5))*(VLOOKUP($B$5,标准坦克设计!$B$24:$U$30,MATCH("对"&amp;LEFT($C$5,2)&amp;"输出",标准坦克设计!$B$23:$U$23,0)))*(VLOOKUP($B106,INDIRECT($B$5&amp;"生成成长"),3))*(VLOOKUP($B$5,标准坦克设计!$B$14:$K$20,9)/30))</f>
        <v>13.33034104003872</v>
      </c>
      <c r="CV106" s="172">
        <f ca="1">(VLOOKUP(CV$72,INDIRECT($C$5&amp;"生成成长"),2))/((VLOOKUP($B106,INDIRECT($B$5&amp;"生成成长"),4))/(VLOOKUP(CV$72,INDIRECT($C$5&amp;"生成成长"),5))*(VLOOKUP($B$5,标准坦克设计!$B$24:$U$30,MATCH("对"&amp;LEFT($C$5,2)&amp;"输出",标准坦克设计!$B$23:$U$23,0)))*(VLOOKUP($B106,INDIRECT($B$5&amp;"生成成长"),3))*(VLOOKUP($B$5,标准坦克设计!$B$14:$K$20,9)/30))</f>
        <v>14.296319922287836</v>
      </c>
      <c r="CW106" s="172">
        <f ca="1">(VLOOKUP(CW$72,INDIRECT($C$5&amp;"生成成长"),2))/((VLOOKUP($B106,INDIRECT($B$5&amp;"生成成长"),4))/(VLOOKUP(CW$72,INDIRECT($C$5&amp;"生成成长"),5))*(VLOOKUP($B$5,标准坦克设计!$B$24:$U$30,MATCH("对"&amp;LEFT($C$5,2)&amp;"输出",标准坦克设计!$B$23:$U$23,0)))*(VLOOKUP($B106,INDIRECT($B$5&amp;"生成成长"),3))*(VLOOKUP($B$5,标准坦克设计!$B$14:$K$20,9)/30))</f>
        <v>15.296085029353296</v>
      </c>
      <c r="CX106" s="172">
        <f ca="1">(VLOOKUP(CX$72,INDIRECT($C$5&amp;"生成成长"),2))/((VLOOKUP($B106,INDIRECT($B$5&amp;"生成成长"),4))/(VLOOKUP(CX$72,INDIRECT($C$5&amp;"生成成长"),5))*(VLOOKUP($B$5,标准坦克设计!$B$24:$U$30,MATCH("对"&amp;LEFT($C$5,2)&amp;"输出",标准坦克设计!$B$23:$U$23,0)))*(VLOOKUP($B106,INDIRECT($B$5&amp;"生成成长"),3))*(VLOOKUP($B$5,标准坦克设计!$B$14:$K$20,9)/30))</f>
        <v>16.329636361235099</v>
      </c>
      <c r="CY106" s="172">
        <f ca="1">(VLOOKUP(CY$72,INDIRECT($C$5&amp;"生成成长"),2))/((VLOOKUP($B106,INDIRECT($B$5&amp;"生成成长"),4))/(VLOOKUP(CY$72,INDIRECT($C$5&amp;"生成成长"),5))*(VLOOKUP($B$5,标准坦克设计!$B$24:$U$30,MATCH("对"&amp;LEFT($C$5,2)&amp;"输出",标准坦克设计!$B$23:$U$23,0)))*(VLOOKUP($B106,INDIRECT($B$5&amp;"生成成长"),3))*(VLOOKUP($B$5,标准坦克设计!$B$14:$K$20,9)/30))</f>
        <v>17.396973917933249</v>
      </c>
      <c r="CZ106" s="172">
        <f ca="1">(VLOOKUP(CZ$72,INDIRECT($C$5&amp;"生成成长"),2))/((VLOOKUP($B106,INDIRECT($B$5&amp;"生成成长"),4))/(VLOOKUP(CZ$72,INDIRECT($C$5&amp;"生成成长"),5))*(VLOOKUP($B$5,标准坦克设计!$B$24:$U$30,MATCH("对"&amp;LEFT($C$5,2)&amp;"输出",标准坦克设计!$B$23:$U$23,0)))*(VLOOKUP($B106,INDIRECT($B$5&amp;"生成成长"),3))*(VLOOKUP($B$5,标准坦克设计!$B$14:$K$20,9)/30))</f>
        <v>18.498097699447747</v>
      </c>
      <c r="DA106" s="172">
        <f ca="1">(VLOOKUP(DA$72,INDIRECT($C$5&amp;"生成成长"),2))/((VLOOKUP($B106,INDIRECT($B$5&amp;"生成成长"),4))/(VLOOKUP(DA$72,INDIRECT($C$5&amp;"生成成长"),5))*(VLOOKUP($B$5,标准坦克设计!$B$24:$U$30,MATCH("对"&amp;LEFT($C$5,2)&amp;"输出",标准坦克设计!$B$23:$U$23,0)))*(VLOOKUP($B106,INDIRECT($B$5&amp;"生成成长"),3))*(VLOOKUP($B$5,标准坦克设计!$B$14:$K$20,9)/30))</f>
        <v>19.633007705778581</v>
      </c>
      <c r="DB106" s="172">
        <f ca="1">(VLOOKUP(DB$72,INDIRECT($C$5&amp;"生成成长"),2))/((VLOOKUP($B106,INDIRECT($B$5&amp;"生成成长"),4))/(VLOOKUP(DB$72,INDIRECT($C$5&amp;"生成成长"),5))*(VLOOKUP($B$5,标准坦克设计!$B$24:$U$30,MATCH("对"&amp;LEFT($C$5,2)&amp;"输出",标准坦克设计!$B$23:$U$23,0)))*(VLOOKUP($B106,INDIRECT($B$5&amp;"生成成长"),3))*(VLOOKUP($B$5,标准坦克设计!$B$14:$K$20,9)/30))</f>
        <v>20.801703936925769</v>
      </c>
      <c r="DC106" s="172">
        <f ca="1">(VLOOKUP(DC$72,INDIRECT($C$5&amp;"生成成长"),2))/((VLOOKUP($B106,INDIRECT($B$5&amp;"生成成长"),4))/(VLOOKUP(DC$72,INDIRECT($C$5&amp;"生成成长"),5))*(VLOOKUP($B$5,标准坦克设计!$B$24:$U$30,MATCH("对"&amp;LEFT($C$5,2)&amp;"输出",标准坦克设计!$B$23:$U$23,0)))*(VLOOKUP($B106,INDIRECT($B$5&amp;"生成成长"),3))*(VLOOKUP($B$5,标准坦克设计!$B$14:$K$20,9)/30))</f>
        <v>22.115178329785962</v>
      </c>
      <c r="DD106" s="172">
        <f ca="1">(VLOOKUP(DD$72,INDIRECT($C$5&amp;"生成成长"),2))/((VLOOKUP($B106,INDIRECT($B$5&amp;"生成成长"),4))/(VLOOKUP(DD$72,INDIRECT($C$5&amp;"生成成长"),5))*(VLOOKUP($B$5,标准坦克设计!$B$24:$U$30,MATCH("对"&amp;LEFT($C$5,2)&amp;"输出",标准坦克设计!$B$23:$U$23,0)))*(VLOOKUP($B106,INDIRECT($B$5&amp;"生成成长"),3))*(VLOOKUP($B$5,标准坦克设计!$B$14:$K$20,9)/30))</f>
        <v>23.46886112242759</v>
      </c>
      <c r="DE106" s="172">
        <f ca="1">(VLOOKUP(DE$72,INDIRECT($C$5&amp;"生成成长"),2))/((VLOOKUP($B106,INDIRECT($B$5&amp;"生成成长"),4))/(VLOOKUP(DE$72,INDIRECT($C$5&amp;"生成成长"),5))*(VLOOKUP($B$5,标准坦克设计!$B$24:$U$30,MATCH("对"&amp;LEFT($C$5,2)&amp;"输出",标准坦克设计!$B$23:$U$23,0)))*(VLOOKUP($B106,INDIRECT($B$5&amp;"生成成长"),3))*(VLOOKUP($B$5,标准坦克设计!$B$14:$K$20,9)/30))</f>
        <v>24.862752314850653</v>
      </c>
      <c r="DF106" s="172">
        <f ca="1">(VLOOKUP(DF$72,INDIRECT($C$5&amp;"生成成长"),2))/((VLOOKUP($B106,INDIRECT($B$5&amp;"生成成长"),4))/(VLOOKUP(DF$72,INDIRECT($C$5&amp;"生成成长"),5))*(VLOOKUP($B$5,标准坦克设计!$B$24:$U$30,MATCH("对"&amp;LEFT($C$5,2)&amp;"输出",标准坦克设计!$B$23:$U$23,0)))*(VLOOKUP($B106,INDIRECT($B$5&amp;"生成成长"),3))*(VLOOKUP($B$5,标准坦克设计!$B$14:$K$20,9)/30))</f>
        <v>26.296851907055153</v>
      </c>
      <c r="DG106" s="172">
        <f ca="1">(VLOOKUP(DG$72,INDIRECT($C$5&amp;"生成成长"),2))/((VLOOKUP($B106,INDIRECT($B$5&amp;"生成成长"),4))/(VLOOKUP(DG$72,INDIRECT($C$5&amp;"生成成长"),5))*(VLOOKUP($B$5,标准坦克设计!$B$24:$U$30,MATCH("对"&amp;LEFT($C$5,2)&amp;"输出",标准坦克设计!$B$23:$U$23,0)))*(VLOOKUP($B106,INDIRECT($B$5&amp;"生成成长"),3))*(VLOOKUP($B$5,标准坦克设计!$B$14:$K$20,9)/30))</f>
        <v>27.771159899041084</v>
      </c>
      <c r="DH106" s="172">
        <f ca="1">(VLOOKUP(DH$72,INDIRECT($C$5&amp;"生成成长"),2))/((VLOOKUP($B106,INDIRECT($B$5&amp;"生成成长"),4))/(VLOOKUP(DH$72,INDIRECT($C$5&amp;"生成成长"),5))*(VLOOKUP($B$5,标准坦克设计!$B$24:$U$30,MATCH("对"&amp;LEFT($C$5,2)&amp;"输出",标准坦克设计!$B$23:$U$23,0)))*(VLOOKUP($B106,INDIRECT($B$5&amp;"生成成长"),3))*(VLOOKUP($B$5,标准坦克设计!$B$14:$K$20,9)/30))</f>
        <v>29.28567629080845</v>
      </c>
      <c r="DI106" s="172">
        <f ca="1">(VLOOKUP(DI$72,INDIRECT($C$5&amp;"生成成长"),2))/((VLOOKUP($B106,INDIRECT($B$5&amp;"生成成长"),4))/(VLOOKUP(DI$72,INDIRECT($C$5&amp;"生成成长"),5))*(VLOOKUP($B$5,标准坦克设计!$B$24:$U$30,MATCH("对"&amp;LEFT($C$5,2)&amp;"输出",标准坦克设计!$B$23:$U$23,0)))*(VLOOKUP($B106,INDIRECT($B$5&amp;"生成成长"),3))*(VLOOKUP($B$5,标准坦克设计!$B$14:$K$20,9)/30))</f>
        <v>30.840401082357257</v>
      </c>
      <c r="DJ106" s="172">
        <f ca="1">(VLOOKUP(DJ$72,INDIRECT($C$5&amp;"生成成长"),2))/((VLOOKUP($B106,INDIRECT($B$5&amp;"生成成长"),4))/(VLOOKUP(DJ$72,INDIRECT($C$5&amp;"生成成长"),5))*(VLOOKUP($B$5,标准坦克设计!$B$24:$U$30,MATCH("对"&amp;LEFT($C$5,2)&amp;"输出",标准坦克设计!$B$23:$U$23,0)))*(VLOOKUP($B106,INDIRECT($B$5&amp;"生成成长"),3))*(VLOOKUP($B$5,标准坦克设计!$B$14:$K$20,9)/30))</f>
        <v>3.0995370956514869</v>
      </c>
      <c r="DK106" s="172">
        <f ca="1">(VLOOKUP(DK$72,INDIRECT($C$5&amp;"生成成长"),2))/((VLOOKUP($B106,INDIRECT($B$5&amp;"生成成长"),4))/(VLOOKUP(DK$72,INDIRECT($C$5&amp;"生成成长"),5))*(VLOOKUP($B$5,标准坦克设计!$B$24:$U$30,MATCH("对"&amp;LEFT($C$5,2)&amp;"输出",标准坦克设计!$B$23:$U$23,0)))*(VLOOKUP($B106,INDIRECT($B$5&amp;"生成成长"),3))*(VLOOKUP($B$5,标准坦克设计!$B$14:$K$20,9)/30))</f>
        <v>3.4852864310546248</v>
      </c>
      <c r="DL106" s="172">
        <f ca="1">(VLOOKUP(DL$72,INDIRECT($C$5&amp;"生成成长"),2))/((VLOOKUP($B106,INDIRECT($B$5&amp;"生成成长"),4))/(VLOOKUP(DL$72,INDIRECT($C$5&amp;"生成成长"),5))*(VLOOKUP($B$5,标准坦克设计!$B$24:$U$30,MATCH("对"&amp;LEFT($C$5,2)&amp;"输出",标准坦克设计!$B$23:$U$23,0)))*(VLOOKUP($B106,INDIRECT($B$5&amp;"生成成长"),3))*(VLOOKUP($B$5,标准坦克设计!$B$14:$K$20,9)/30))</f>
        <v>3.893652991334819</v>
      </c>
      <c r="DM106" s="172">
        <f ca="1">(VLOOKUP(DM$72,INDIRECT($C$5&amp;"生成成长"),2))/((VLOOKUP($B106,INDIRECT($B$5&amp;"生成成长"),4))/(VLOOKUP(DM$72,INDIRECT($C$5&amp;"生成成长"),5))*(VLOOKUP($B$5,标准坦克设计!$B$24:$U$30,MATCH("对"&amp;LEFT($C$5,2)&amp;"输出",标准坦克设计!$B$23:$U$23,0)))*(VLOOKUP($B106,INDIRECT($B$5&amp;"生成成长"),3))*(VLOOKUP($B$5,标准坦克设计!$B$14:$K$20,9)/30))</f>
        <v>4.3246367764920697</v>
      </c>
      <c r="DN106" s="172">
        <f ca="1">(VLOOKUP(DN$72,INDIRECT($C$5&amp;"生成成长"),2))/((VLOOKUP($B106,INDIRECT($B$5&amp;"生成成长"),4))/(VLOOKUP(DN$72,INDIRECT($C$5&amp;"生成成长"),5))*(VLOOKUP($B$5,标准坦克设计!$B$24:$U$30,MATCH("对"&amp;LEFT($C$5,2)&amp;"输出",标准坦克设计!$B$23:$U$23,0)))*(VLOOKUP($B106,INDIRECT($B$5&amp;"生成成长"),3))*(VLOOKUP($B$5,标准坦克设计!$B$14:$K$20,9)/30))</f>
        <v>4.778237786526379</v>
      </c>
      <c r="DO106" s="172">
        <f ca="1">(VLOOKUP(DO$72,INDIRECT($C$5&amp;"生成成长"),2))/((VLOOKUP($B106,INDIRECT($B$5&amp;"生成成长"),4))/(VLOOKUP(DO$72,INDIRECT($C$5&amp;"生成成长"),5))*(VLOOKUP($B$5,标准坦克设计!$B$24:$U$30,MATCH("对"&amp;LEFT($C$5,2)&amp;"输出",标准坦克设计!$B$23:$U$23,0)))*(VLOOKUP($B106,INDIRECT($B$5&amp;"生成成长"),3))*(VLOOKUP($B$5,标准坦克设计!$B$14:$K$20,9)/30))</f>
        <v>5.2544560214377443</v>
      </c>
      <c r="DP106" s="172">
        <f ca="1">(VLOOKUP(DP$72,INDIRECT($C$5&amp;"生成成长"),2))/((VLOOKUP($B106,INDIRECT($B$5&amp;"生成成长"),4))/(VLOOKUP(DP$72,INDIRECT($C$5&amp;"生成成长"),5))*(VLOOKUP($B$5,标准坦克设计!$B$24:$U$30,MATCH("对"&amp;LEFT($C$5,2)&amp;"输出",标准坦克设计!$B$23:$U$23,0)))*(VLOOKUP($B106,INDIRECT($B$5&amp;"生成成长"),3))*(VLOOKUP($B$5,标准坦克设计!$B$14:$K$20,9)/30))</f>
        <v>5.7532914812261664</v>
      </c>
      <c r="DQ106" s="172">
        <f ca="1">(VLOOKUP(DQ$72,INDIRECT($C$5&amp;"生成成长"),2))/((VLOOKUP($B106,INDIRECT($B$5&amp;"生成成长"),4))/(VLOOKUP(DQ$72,INDIRECT($C$5&amp;"生成成长"),5))*(VLOOKUP($B$5,标准坦克设计!$B$24:$U$30,MATCH("对"&amp;LEFT($C$5,2)&amp;"输出",标准坦克设计!$B$23:$U$23,0)))*(VLOOKUP($B106,INDIRECT($B$5&amp;"生成成长"),3))*(VLOOKUP($B$5,标准坦克设计!$B$14:$K$20,9)/30))</f>
        <v>6.2747441658916445</v>
      </c>
      <c r="DR106" s="172">
        <f ca="1">(VLOOKUP(DR$72,INDIRECT($C$5&amp;"生成成长"),2))/((VLOOKUP($B106,INDIRECT($B$5&amp;"生成成长"),4))/(VLOOKUP(DR$72,INDIRECT($C$5&amp;"生成成长"),5))*(VLOOKUP($B$5,标准坦克设计!$B$24:$U$30,MATCH("对"&amp;LEFT($C$5,2)&amp;"输出",标准坦克设计!$B$23:$U$23,0)))*(VLOOKUP($B106,INDIRECT($B$5&amp;"生成成长"),3))*(VLOOKUP($B$5,标准坦克设计!$B$14:$K$20,9)/30))</f>
        <v>6.8188140754341822</v>
      </c>
      <c r="DS106" s="172">
        <f ca="1">(VLOOKUP(DS$72,INDIRECT($C$5&amp;"生成成长"),2))/((VLOOKUP($B106,INDIRECT($B$5&amp;"生成成长"),4))/(VLOOKUP(DS$72,INDIRECT($C$5&amp;"生成成长"),5))*(VLOOKUP($B$5,标准坦克设计!$B$24:$U$30,MATCH("对"&amp;LEFT($C$5,2)&amp;"输出",标准坦克设计!$B$23:$U$23,0)))*(VLOOKUP($B106,INDIRECT($B$5&amp;"生成成长"),3))*(VLOOKUP($B$5,标准坦克设计!$B$14:$K$20,9)/30))</f>
        <v>7.3855012098537749</v>
      </c>
      <c r="DT106" s="172">
        <f ca="1">(VLOOKUP(DT$72,INDIRECT($C$5&amp;"生成成长"),2))/((VLOOKUP($B106,INDIRECT($B$5&amp;"生成成长"),4))/(VLOOKUP(DT$72,INDIRECT($C$5&amp;"生成成长"),5))*(VLOOKUP($B$5,标准坦克设计!$B$24:$U$30,MATCH("对"&amp;LEFT($C$5,2)&amp;"输出",标准坦克设计!$B$23:$U$23,0)))*(VLOOKUP($B106,INDIRECT($B$5&amp;"生成成长"),3))*(VLOOKUP($B$5,标准坦克设计!$B$14:$K$20,9)/30))</f>
        <v>8.108833568421872</v>
      </c>
      <c r="DU106" s="172">
        <f ca="1">(VLOOKUP(DU$72,INDIRECT($C$5&amp;"生成成长"),2))/((VLOOKUP($B106,INDIRECT($B$5&amp;"生成成长"),4))/(VLOOKUP(DU$72,INDIRECT($C$5&amp;"生成成长"),5))*(VLOOKUP($B$5,标准坦克设计!$B$24:$U$30,MATCH("对"&amp;LEFT($C$5,2)&amp;"输出",标准坦克设计!$B$23:$U$23,0)))*(VLOOKUP($B106,INDIRECT($B$5&amp;"生成成长"),3))*(VLOOKUP($B$5,标准坦克设计!$B$14:$K$20,9)/30))</f>
        <v>8.8659521518063151</v>
      </c>
      <c r="DV106" s="172">
        <f ca="1">(VLOOKUP(DV$72,INDIRECT($C$5&amp;"生成成长"),2))/((VLOOKUP($B106,INDIRECT($B$5&amp;"生成成长"),4))/(VLOOKUP(DV$72,INDIRECT($C$5&amp;"生成成长"),5))*(VLOOKUP($B$5,标准坦克设计!$B$24:$U$30,MATCH("对"&amp;LEFT($C$5,2)&amp;"输出",标准坦克设计!$B$23:$U$23,0)))*(VLOOKUP($B106,INDIRECT($B$5&amp;"生成成长"),3))*(VLOOKUP($B$5,标准坦克设计!$B$14:$K$20,9)/30))</f>
        <v>9.6568569600071026</v>
      </c>
      <c r="DW106" s="172">
        <f ca="1">(VLOOKUP(DW$72,INDIRECT($C$5&amp;"生成成长"),2))/((VLOOKUP($B106,INDIRECT($B$5&amp;"生成成长"),4))/(VLOOKUP(DW$72,INDIRECT($C$5&amp;"生成成长"),5))*(VLOOKUP($B$5,标准坦克设计!$B$24:$U$30,MATCH("对"&amp;LEFT($C$5,2)&amp;"输出",标准坦克设计!$B$23:$U$23,0)))*(VLOOKUP($B106,INDIRECT($B$5&amp;"生成成长"),3))*(VLOOKUP($B$5,标准坦克设计!$B$14:$K$20,9)/30))</f>
        <v>10.481547993024234</v>
      </c>
      <c r="DX106" s="172">
        <f ca="1">(VLOOKUP(DX$72,INDIRECT($C$5&amp;"生成成长"),2))/((VLOOKUP($B106,INDIRECT($B$5&amp;"生成成长"),4))/(VLOOKUP(DX$72,INDIRECT($C$5&amp;"生成成长"),5))*(VLOOKUP($B$5,标准坦克设计!$B$24:$U$30,MATCH("对"&amp;LEFT($C$5,2)&amp;"输出",标准坦克设计!$B$23:$U$23,0)))*(VLOOKUP($B106,INDIRECT($B$5&amp;"生成成长"),3))*(VLOOKUP($B$5,标准坦克设计!$B$14:$K$20,9)/30))</f>
        <v>11.340025250857709</v>
      </c>
      <c r="DY106" s="172">
        <f ca="1">(VLOOKUP(DY$72,INDIRECT($C$5&amp;"生成成长"),2))/((VLOOKUP($B106,INDIRECT($B$5&amp;"生成成长"),4))/(VLOOKUP(DY$72,INDIRECT($C$5&amp;"生成成长"),5))*(VLOOKUP($B$5,标准坦克设计!$B$24:$U$30,MATCH("对"&amp;LEFT($C$5,2)&amp;"输出",标准坦克设计!$B$23:$U$23,0)))*(VLOOKUP($B106,INDIRECT($B$5&amp;"生成成长"),3))*(VLOOKUP($B$5,标准坦克设计!$B$14:$K$20,9)/30))</f>
        <v>5.0932035848142831</v>
      </c>
      <c r="DZ106" s="172">
        <f ca="1">(VLOOKUP(DZ$72,INDIRECT($C$5&amp;"生成成长"),2))/((VLOOKUP($B106,INDIRECT($B$5&amp;"生成成长"),4))/(VLOOKUP(DZ$72,INDIRECT($C$5&amp;"生成成长"),5))*(VLOOKUP($B$5,标准坦克设计!$B$24:$U$30,MATCH("对"&amp;LEFT($C$5,2)&amp;"输出",标准坦克设计!$B$23:$U$23,0)))*(VLOOKUP($B106,INDIRECT($B$5&amp;"生成成长"),3))*(VLOOKUP($B$5,标准坦克设计!$B$14:$K$20,9)/30))</f>
        <v>5.6404845818393632</v>
      </c>
      <c r="EA106" s="172">
        <f ca="1">(VLOOKUP(EA$72,INDIRECT($C$5&amp;"生成成长"),2))/((VLOOKUP($B106,INDIRECT($B$5&amp;"生成成长"),4))/(VLOOKUP(EA$72,INDIRECT($C$5&amp;"生成成长"),5))*(VLOOKUP($B$5,标准坦克设计!$B$24:$U$30,MATCH("对"&amp;LEFT($C$5,2)&amp;"输出",标准坦克设计!$B$23:$U$23,0)))*(VLOOKUP($B106,INDIRECT($B$5&amp;"生成成长"),3))*(VLOOKUP($B$5,标准坦克设计!$B$14:$K$20,9)/30))</f>
        <v>6.2156880787126632</v>
      </c>
      <c r="EB106" s="172">
        <f ca="1">(VLOOKUP(EB$72,INDIRECT($C$5&amp;"生成成长"),2))/((VLOOKUP($B106,INDIRECT($B$5&amp;"生成成长"),4))/(VLOOKUP(EB$72,INDIRECT($C$5&amp;"生成成长"),5))*(VLOOKUP($B$5,标准坦克设计!$B$24:$U$30,MATCH("对"&amp;LEFT($C$5,2)&amp;"输出",标准坦克设计!$B$23:$U$23,0)))*(VLOOKUP($B106,INDIRECT($B$5&amp;"生成成长"),3))*(VLOOKUP($B$5,标准坦克设计!$B$14:$K$20,9)/30))</f>
        <v>6.8188140754341822</v>
      </c>
      <c r="EC106" s="172">
        <f ca="1">(VLOOKUP(EC$72,INDIRECT($C$5&amp;"生成成长"),2))/((VLOOKUP($B106,INDIRECT($B$5&amp;"生成成长"),4))/(VLOOKUP(EC$72,INDIRECT($C$5&amp;"生成成长"),5))*(VLOOKUP($B$5,标准坦克设计!$B$24:$U$30,MATCH("对"&amp;LEFT($C$5,2)&amp;"输出",标准坦克设计!$B$23:$U$23,0)))*(VLOOKUP($B106,INDIRECT($B$5&amp;"生成成长"),3))*(VLOOKUP($B$5,标准坦克设计!$B$14:$K$20,9)/30))</f>
        <v>7.4498625720039184</v>
      </c>
      <c r="ED106" s="172">
        <f ca="1">(VLOOKUP(ED$72,INDIRECT($C$5&amp;"生成成长"),2))/((VLOOKUP($B106,INDIRECT($B$5&amp;"生成成长"),4))/(VLOOKUP(ED$72,INDIRECT($C$5&amp;"生成成长"),5))*(VLOOKUP($B$5,标准坦克设计!$B$24:$U$30,MATCH("对"&amp;LEFT($C$5,2)&amp;"输出",标准坦克设计!$B$23:$U$23,0)))*(VLOOKUP($B106,INDIRECT($B$5&amp;"生成成长"),3))*(VLOOKUP($B$5,标准坦克设计!$B$14:$K$20,9)/30))</f>
        <v>8.108833568421872</v>
      </c>
      <c r="EE106" s="172">
        <f ca="1">(VLOOKUP(EE$72,INDIRECT($C$5&amp;"生成成长"),2))/((VLOOKUP($B106,INDIRECT($B$5&amp;"生成成长"),4))/(VLOOKUP(EE$72,INDIRECT($C$5&amp;"生成成长"),5))*(VLOOKUP($B$5,标准坦克设计!$B$24:$U$30,MATCH("对"&amp;LEFT($C$5,2)&amp;"输出",标准坦克设计!$B$23:$U$23,0)))*(VLOOKUP($B106,INDIRECT($B$5&amp;"生成成长"),3))*(VLOOKUP($B$5,标准坦克设计!$B$14:$K$20,9)/30))</f>
        <v>8.7957270646880463</v>
      </c>
      <c r="EF106" s="172">
        <f ca="1">(VLOOKUP(EF$72,INDIRECT($C$5&amp;"生成成长"),2))/((VLOOKUP($B106,INDIRECT($B$5&amp;"生成成长"),4))/(VLOOKUP(EF$72,INDIRECT($C$5&amp;"生成成长"),5))*(VLOOKUP($B$5,标准坦克设计!$B$24:$U$30,MATCH("对"&amp;LEFT($C$5,2)&amp;"输出",标准坦克设计!$B$23:$U$23,0)))*(VLOOKUP($B106,INDIRECT($B$5&amp;"生成成长"),3))*(VLOOKUP($B$5,标准坦克设计!$B$14:$K$20,9)/30))</f>
        <v>9.5105430608024388</v>
      </c>
      <c r="EG106" s="172">
        <f ca="1">(VLOOKUP(EG$72,INDIRECT($C$5&amp;"生成成长"),2))/((VLOOKUP($B106,INDIRECT($B$5&amp;"生成成长"),4))/(VLOOKUP(EG$72,INDIRECT($C$5&amp;"生成成长"),5))*(VLOOKUP($B$5,标准坦克设计!$B$24:$U$30,MATCH("对"&amp;LEFT($C$5,2)&amp;"输出",标准坦克设计!$B$23:$U$23,0)))*(VLOOKUP($B106,INDIRECT($B$5&amp;"生成成长"),3))*(VLOOKUP($B$5,标准坦克设计!$B$14:$K$20,9)/30))</f>
        <v>10.253281556765048</v>
      </c>
      <c r="EH106" s="172">
        <f ca="1">(VLOOKUP(EH$72,INDIRECT($C$5&amp;"生成成长"),2))/((VLOOKUP($B106,INDIRECT($B$5&amp;"生成成长"),4))/(VLOOKUP(EH$72,INDIRECT($C$5&amp;"生成成长"),5))*(VLOOKUP($B$5,标准坦克设计!$B$24:$U$30,MATCH("对"&amp;LEFT($C$5,2)&amp;"输出",标准坦克设计!$B$23:$U$23,0)))*(VLOOKUP($B106,INDIRECT($B$5&amp;"生成成长"),3))*(VLOOKUP($B$5,标准坦克设计!$B$14:$K$20,9)/30))</f>
        <v>11.023942552575877</v>
      </c>
      <c r="EI106" s="172">
        <f ca="1">(VLOOKUP(EI$72,INDIRECT($C$5&amp;"生成成长"),2))/((VLOOKUP($B106,INDIRECT($B$5&amp;"生成成长"),4))/(VLOOKUP(EI$72,INDIRECT($C$5&amp;"生成成长"),5))*(VLOOKUP($B$5,标准坦克设计!$B$24:$U$30,MATCH("对"&amp;LEFT($C$5,2)&amp;"输出",标准坦克设计!$B$23:$U$23,0)))*(VLOOKUP($B106,INDIRECT($B$5&amp;"生成成长"),3))*(VLOOKUP($B$5,标准坦克设计!$B$14:$K$20,9)/30))</f>
        <v>11.822526048234925</v>
      </c>
      <c r="EJ106" s="172">
        <f ca="1">(VLOOKUP(EJ$72,INDIRECT($C$5&amp;"生成成长"),2))/((VLOOKUP($B106,INDIRECT($B$5&amp;"生成成长"),4))/(VLOOKUP(EJ$72,INDIRECT($C$5&amp;"生成成长"),5))*(VLOOKUP($B$5,标准坦克设计!$B$24:$U$30,MATCH("对"&amp;LEFT($C$5,2)&amp;"输出",标准坦克设计!$B$23:$U$23,0)))*(VLOOKUP($B106,INDIRECT($B$5&amp;"生成成长"),3))*(VLOOKUP($B$5,标准坦克设计!$B$14:$K$20,9)/30))</f>
        <v>12.649032043742192</v>
      </c>
      <c r="EK106" s="172">
        <f ca="1">(VLOOKUP(EK$72,INDIRECT($C$5&amp;"生成成长"),2))/((VLOOKUP($B106,INDIRECT($B$5&amp;"生成成长"),4))/(VLOOKUP(EK$72,INDIRECT($C$5&amp;"生成成长"),5))*(VLOOKUP($B$5,标准坦克设计!$B$24:$U$30,MATCH("对"&amp;LEFT($C$5,2)&amp;"输出",标准坦克设计!$B$23:$U$23,0)))*(VLOOKUP($B106,INDIRECT($B$5&amp;"生成成长"),3))*(VLOOKUP($B$5,标准坦克设计!$B$14:$K$20,9)/30))</f>
        <v>13.677696938150557</v>
      </c>
      <c r="EL106" s="172">
        <f ca="1">(VLOOKUP(EL$72,INDIRECT($C$5&amp;"生成成长"),2))/((VLOOKUP($B106,INDIRECT($B$5&amp;"生成成长"),4))/(VLOOKUP(EL$72,INDIRECT($C$5&amp;"生成成长"),5))*(VLOOKUP($B$5,标准坦克设计!$B$24:$U$30,MATCH("对"&amp;LEFT($C$5,2)&amp;"输出",标准坦克设计!$B$23:$U$23,0)))*(VLOOKUP($B106,INDIRECT($B$5&amp;"生成成长"),3))*(VLOOKUP($B$5,标准坦克设计!$B$14:$K$20,9)/30))</f>
        <v>14.746570232340357</v>
      </c>
      <c r="EM106" s="172">
        <f ca="1">(VLOOKUP(EM$72,INDIRECT($C$5&amp;"生成成长"),2))/((VLOOKUP($B106,INDIRECT($B$5&amp;"生成成长"),4))/(VLOOKUP(EM$72,INDIRECT($C$5&amp;"生成成长"),5))*(VLOOKUP($B$5,标准坦克设计!$B$24:$U$30,MATCH("对"&amp;LEFT($C$5,2)&amp;"输出",标准坦克设计!$B$23:$U$23,0)))*(VLOOKUP($B106,INDIRECT($B$5&amp;"生成成长"),3))*(VLOOKUP($B$5,标准坦克设计!$B$14:$K$20,9)/30))</f>
        <v>15.855651926311596</v>
      </c>
      <c r="EN106" s="172">
        <f ca="1">(VLOOKUP(EN$72,INDIRECT($C$5&amp;"生成成长"),2))/((VLOOKUP($B106,INDIRECT($B$5&amp;"生成成长"),4))/(VLOOKUP(EN$72,INDIRECT($C$5&amp;"生成成长"),5))*(VLOOKUP($B$5,标准坦克设计!$B$24:$U$30,MATCH("对"&amp;LEFT($C$5,2)&amp;"输出",标准坦克设计!$B$23:$U$23,0)))*(VLOOKUP($B106,INDIRECT($B$5&amp;"生成成长"),3))*(VLOOKUP($B$5,标准坦克设计!$B$14:$K$20,9)/30))</f>
        <v>17.004942020064266</v>
      </c>
      <c r="EO106" s="172">
        <f ca="1">(VLOOKUP(EO$72,INDIRECT($C$5&amp;"生成成长"),2))/((VLOOKUP($B106,INDIRECT($B$5&amp;"生成成长"),4))/(VLOOKUP(EO$72,INDIRECT($C$5&amp;"生成成长"),5))*(VLOOKUP($B$5,标准坦克设计!$B$24:$U$30,MATCH("对"&amp;LEFT($C$5,2)&amp;"输出",标准坦克设计!$B$23:$U$23,0)))*(VLOOKUP($B106,INDIRECT($B$5&amp;"生成成长"),3))*(VLOOKUP($B$5,标准坦克设计!$B$14:$K$20,9)/30))</f>
        <v>18.194440513598369</v>
      </c>
      <c r="EP106" s="172">
        <f ca="1">(VLOOKUP(EP$72,INDIRECT($C$5&amp;"生成成长"),2))/((VLOOKUP($B106,INDIRECT($B$5&amp;"生成成长"),4))/(VLOOKUP(EP$72,INDIRECT($C$5&amp;"生成成长"),5))*(VLOOKUP($B$5,标准坦克设计!$B$24:$U$30,MATCH("对"&amp;LEFT($C$5,2)&amp;"输出",标准坦克设计!$B$23:$U$23,0)))*(VLOOKUP($B106,INDIRECT($B$5&amp;"生成成长"),3))*(VLOOKUP($B$5,标准坦克设计!$B$14:$K$20,9)/30))</f>
        <v>19.42414740691391</v>
      </c>
      <c r="EQ106" s="172">
        <f ca="1">(VLOOKUP(EQ$72,INDIRECT($C$5&amp;"生成成长"),2))/((VLOOKUP($B106,INDIRECT($B$5&amp;"生成成长"),4))/(VLOOKUP(EQ$72,INDIRECT($C$5&amp;"生成成长"),5))*(VLOOKUP($B$5,标准坦克设计!$B$24:$U$30,MATCH("对"&amp;LEFT($C$5,2)&amp;"输出",标准坦克设计!$B$23:$U$23,0)))*(VLOOKUP($B106,INDIRECT($B$5&amp;"生成成长"),3))*(VLOOKUP($B$5,标准坦克设计!$B$14:$K$20,9)/30))</f>
        <v>8.5867271533241301</v>
      </c>
      <c r="ER106" s="172">
        <f ca="1">(VLOOKUP(ER$72,INDIRECT($C$5&amp;"生成成长"),2))/((VLOOKUP($B106,INDIRECT($B$5&amp;"生成成长"),4))/(VLOOKUP(ER$72,INDIRECT($C$5&amp;"生成成长"),5))*(VLOOKUP($B$5,标准坦克设计!$B$24:$U$30,MATCH("对"&amp;LEFT($C$5,2)&amp;"输出",标准坦克设计!$B$23:$U$23,0)))*(VLOOKUP($B106,INDIRECT($B$5&amp;"生成成长"),3))*(VLOOKUP($B$5,标准坦克设计!$B$14:$K$20,9)/30))</f>
        <v>9.365346061591703</v>
      </c>
      <c r="ES106" s="172">
        <f ca="1">(VLOOKUP(ES$72,INDIRECT($C$5&amp;"生成成长"),2))/((VLOOKUP($B106,INDIRECT($B$5&amp;"生成成长"),4))/(VLOOKUP(ES$72,INDIRECT($C$5&amp;"生成成长"),5))*(VLOOKUP($B$5,标准坦克设计!$B$24:$U$30,MATCH("对"&amp;LEFT($C$5,2)&amp;"输出",标准坦克设计!$B$23:$U$23,0)))*(VLOOKUP($B106,INDIRECT($B$5&amp;"生成成长"),3))*(VLOOKUP($B$5,标准坦克设计!$B$14:$K$20,9)/30))</f>
        <v>10.177751194675619</v>
      </c>
      <c r="ET106" s="172">
        <f ca="1">(VLOOKUP(ET$72,INDIRECT($C$5&amp;"生成成长"),2))/((VLOOKUP($B106,INDIRECT($B$5&amp;"生成成长"),4))/(VLOOKUP(ET$72,INDIRECT($C$5&amp;"生成成长"),5))*(VLOOKUP($B$5,标准坦克设计!$B$24:$U$30,MATCH("对"&amp;LEFT($C$5,2)&amp;"输出",标准坦克设计!$B$23:$U$23,0)))*(VLOOKUP($B106,INDIRECT($B$5&amp;"生成成长"),3))*(VLOOKUP($B$5,标准坦克设计!$B$14:$K$20,9)/30))</f>
        <v>11.023942552575877</v>
      </c>
      <c r="EU106" s="172">
        <f ca="1">(VLOOKUP(EU$72,INDIRECT($C$5&amp;"生成成长"),2))/((VLOOKUP($B106,INDIRECT($B$5&amp;"生成成长"),4))/(VLOOKUP(EU$72,INDIRECT($C$5&amp;"生成成长"),5))*(VLOOKUP($B$5,标准坦克设计!$B$24:$U$30,MATCH("对"&amp;LEFT($C$5,2)&amp;"输出",标准坦克设计!$B$23:$U$23,0)))*(VLOOKUP($B106,INDIRECT($B$5&amp;"生成成长"),3))*(VLOOKUP($B$5,标准坦克设计!$B$14:$K$20,9)/30))</f>
        <v>11.903920135292484</v>
      </c>
      <c r="EV106" s="172">
        <f ca="1">(VLOOKUP(EV$72,INDIRECT($C$5&amp;"生成成长"),2))/((VLOOKUP($B106,INDIRECT($B$5&amp;"生成成长"),4))/(VLOOKUP(EV$72,INDIRECT($C$5&amp;"生成成长"),5))*(VLOOKUP($B$5,标准坦克设计!$B$24:$U$30,MATCH("对"&amp;LEFT($C$5,2)&amp;"输出",标准坦克设计!$B$23:$U$23,0)))*(VLOOKUP($B106,INDIRECT($B$5&amp;"生成成长"),3))*(VLOOKUP($B$5,标准坦克设计!$B$14:$K$20,9)/30))</f>
        <v>12.817683942825431</v>
      </c>
      <c r="EW106" s="172">
        <f ca="1">(VLOOKUP(EW$72,INDIRECT($C$5&amp;"生成成长"),2))/((VLOOKUP($B106,INDIRECT($B$5&amp;"生成成长"),4))/(VLOOKUP(EW$72,INDIRECT($C$5&amp;"生成成长"),5))*(VLOOKUP($B$5,标准坦克设计!$B$24:$U$30,MATCH("对"&amp;LEFT($C$5,2)&amp;"输出",标准坦克设计!$B$23:$U$23,0)))*(VLOOKUP($B106,INDIRECT($B$5&amp;"生成成长"),3))*(VLOOKUP($B$5,标准坦克设计!$B$14:$K$20,9)/30))</f>
        <v>13.765233975174722</v>
      </c>
      <c r="EX106" s="172">
        <f ca="1">(VLOOKUP(EX$72,INDIRECT($C$5&amp;"生成成长"),2))/((VLOOKUP($B106,INDIRECT($B$5&amp;"生成成长"),4))/(VLOOKUP(EX$72,INDIRECT($C$5&amp;"生成成长"),5))*(VLOOKUP($B$5,标准坦克设计!$B$24:$U$30,MATCH("对"&amp;LEFT($C$5,2)&amp;"输出",标准坦克设计!$B$23:$U$23,0)))*(VLOOKUP($B106,INDIRECT($B$5&amp;"生成成长"),3))*(VLOOKUP($B$5,标准坦克设计!$B$14:$K$20,9)/30))</f>
        <v>14.746570232340357</v>
      </c>
      <c r="EY106" s="172">
        <f ca="1">(VLOOKUP(EY$72,INDIRECT($C$5&amp;"生成成长"),2))/((VLOOKUP($B106,INDIRECT($B$5&amp;"生成成长"),4))/(VLOOKUP(EY$72,INDIRECT($C$5&amp;"生成成长"),5))*(VLOOKUP($B$5,标准坦克设计!$B$24:$U$30,MATCH("对"&amp;LEFT($C$5,2)&amp;"输出",标准坦克设计!$B$23:$U$23,0)))*(VLOOKUP($B106,INDIRECT($B$5&amp;"生成成长"),3))*(VLOOKUP($B$5,标准坦克设计!$B$14:$K$20,9)/30))</f>
        <v>15.76169271432234</v>
      </c>
      <c r="EZ106" s="172">
        <f ca="1">(VLOOKUP(EZ$72,INDIRECT($C$5&amp;"生成成长"),2))/((VLOOKUP($B106,INDIRECT($B$5&amp;"生成成长"),4))/(VLOOKUP(EZ$72,INDIRECT($C$5&amp;"生成成长"),5))*(VLOOKUP($B$5,标准坦克设计!$B$24:$U$30,MATCH("对"&amp;LEFT($C$5,2)&amp;"输出",标准坦克设计!$B$23:$U$23,0)))*(VLOOKUP($B106,INDIRECT($B$5&amp;"生成成长"),3))*(VLOOKUP($B$5,标准坦克设计!$B$14:$K$20,9)/30))</f>
        <v>16.810601421120666</v>
      </c>
      <c r="FA106" s="172">
        <f ca="1">(VLOOKUP(FA$72,INDIRECT($C$5&amp;"生成成长"),2))/((VLOOKUP($B106,INDIRECT($B$5&amp;"生成成长"),4))/(VLOOKUP(FA$72,INDIRECT($C$5&amp;"生成成长"),5))*(VLOOKUP($B$5,标准坦克设计!$B$24:$U$30,MATCH("对"&amp;LEFT($C$5,2)&amp;"输出",标准坦克设计!$B$23:$U$23,0)))*(VLOOKUP($B106,INDIRECT($B$5&amp;"生成成长"),3))*(VLOOKUP($B$5,标准坦克设计!$B$14:$K$20,9)/30))</f>
        <v>17.893296352735334</v>
      </c>
      <c r="FB106" s="172">
        <f ca="1">(VLOOKUP(FB$72,INDIRECT($C$5&amp;"生成成长"),2))/((VLOOKUP($B106,INDIRECT($B$5&amp;"生成成长"),4))/(VLOOKUP(FB$72,INDIRECT($C$5&amp;"生成成长"),5))*(VLOOKUP($B$5,标准坦克设计!$B$24:$U$30,MATCH("对"&amp;LEFT($C$5,2)&amp;"输出",标准坦克设计!$B$23:$U$23,0)))*(VLOOKUP($B106,INDIRECT($B$5&amp;"生成成长"),3))*(VLOOKUP($B$5,标准坦克设计!$B$14:$K$20,9)/30))</f>
        <v>19.009777509166348</v>
      </c>
      <c r="FC106" s="172">
        <f ca="1">(VLOOKUP(FC$72,INDIRECT($C$5&amp;"生成成长"),2))/((VLOOKUP($B106,INDIRECT($B$5&amp;"生成成长"),4))/(VLOOKUP(FC$72,INDIRECT($C$5&amp;"生成成长"),5))*(VLOOKUP($B$5,标准坦克设计!$B$24:$U$30,MATCH("对"&amp;LEFT($C$5,2)&amp;"输出",标准坦克设计!$B$23:$U$23,0)))*(VLOOKUP($B106,INDIRECT($B$5&amp;"生成成长"),3))*(VLOOKUP($B$5,标准坦克设计!$B$14:$K$20,9)/30))</f>
        <v>20.160044890413705</v>
      </c>
      <c r="FD106" s="172">
        <f ca="1">(VLOOKUP(FD$72,INDIRECT($C$5&amp;"生成成长"),2))/((VLOOKUP($B106,INDIRECT($B$5&amp;"生成成长"),4))/(VLOOKUP(FD$72,INDIRECT($C$5&amp;"生成成长"),5))*(VLOOKUP($B$5,标准坦克设计!$B$24:$U$30,MATCH("对"&amp;LEFT($C$5,2)&amp;"输出",标准坦克设计!$B$23:$U$23,0)))*(VLOOKUP($B106,INDIRECT($B$5&amp;"生成成长"),3))*(VLOOKUP($B$5,标准坦克设计!$B$14:$K$20,9)/30))</f>
        <v>21.344098496477411</v>
      </c>
      <c r="FE106" s="172">
        <f ca="1">(VLOOKUP(FE$72,INDIRECT($C$5&amp;"生成成长"),2))/((VLOOKUP($B106,INDIRECT($B$5&amp;"生成成长"),4))/(VLOOKUP(FE$72,INDIRECT($C$5&amp;"生成成长"),5))*(VLOOKUP($B$5,标准坦克设计!$B$24:$U$30,MATCH("对"&amp;LEFT($C$5,2)&amp;"输出",标准坦克设计!$B$23:$U$23,0)))*(VLOOKUP($B106,INDIRECT($B$5&amp;"生成成长"),3))*(VLOOKUP($B$5,标准坦克设计!$B$14:$K$20,9)/30))</f>
        <v>22.786993676134099</v>
      </c>
      <c r="FF106" s="172">
        <f ca="1">(VLOOKUP(FF$72,INDIRECT($C$5&amp;"生成成长"),2))/((VLOOKUP($B106,INDIRECT($B$5&amp;"生成成长"),4))/(VLOOKUP(FF$72,INDIRECT($C$5&amp;"生成成长"),5))*(VLOOKUP($B$5,标准坦克设计!$B$24:$U$30,MATCH("对"&amp;LEFT($C$5,2)&amp;"输出",标准坦克设计!$B$23:$U$23,0)))*(VLOOKUP($B106,INDIRECT($B$5&amp;"生成成长"),3))*(VLOOKUP($B$5,标准坦克设计!$B$14:$K$20,9)/30))</f>
        <v>24.277077880534275</v>
      </c>
      <c r="FG106" s="172">
        <f ca="1">(VLOOKUP(FG$72,INDIRECT($C$5&amp;"生成成长"),2))/((VLOOKUP($B106,INDIRECT($B$5&amp;"生成成长"),4))/(VLOOKUP(FG$72,INDIRECT($C$5&amp;"生成成长"),5))*(VLOOKUP($B$5,标准坦克设计!$B$24:$U$30,MATCH("对"&amp;LEFT($C$5,2)&amp;"输出",标准坦克设计!$B$23:$U$23,0)))*(VLOOKUP($B106,INDIRECT($B$5&amp;"生成成长"),3))*(VLOOKUP($B$5,标准坦克设计!$B$14:$K$20,9)/30))</f>
        <v>25.81435110967794</v>
      </c>
      <c r="FH106" s="172">
        <f ca="1">(VLOOKUP(FH$72,INDIRECT($C$5&amp;"生成成长"),2))/((VLOOKUP($B106,INDIRECT($B$5&amp;"生成成长"),4))/(VLOOKUP(FH$72,INDIRECT($C$5&amp;"生成成长"),5))*(VLOOKUP($B$5,标准坦克设计!$B$24:$U$30,MATCH("对"&amp;LEFT($C$5,2)&amp;"输出",标准坦克设计!$B$23:$U$23,0)))*(VLOOKUP($B106,INDIRECT($B$5&amp;"生成成长"),3))*(VLOOKUP($B$5,标准坦克设计!$B$14:$K$20,9)/30))</f>
        <v>27.398813363565097</v>
      </c>
      <c r="FI106" s="172">
        <f ca="1">(VLOOKUP(FI$72,INDIRECT($C$5&amp;"生成成长"),2))/((VLOOKUP($B106,INDIRECT($B$5&amp;"生成成长"),4))/(VLOOKUP(FI$72,INDIRECT($C$5&amp;"生成成长"),5))*(VLOOKUP($B$5,标准坦克设计!$B$24:$U$30,MATCH("对"&amp;LEFT($C$5,2)&amp;"输出",标准坦克设计!$B$23:$U$23,0)))*(VLOOKUP($B106,INDIRECT($B$5&amp;"生成成长"),3))*(VLOOKUP($B$5,标准坦克设计!$B$14:$K$20,9)/30))</f>
        <v>29.030464642195739</v>
      </c>
      <c r="FJ106" s="172">
        <f ca="1">(VLOOKUP(FJ$72,INDIRECT($C$5&amp;"生成成长"),2))/((VLOOKUP($B106,INDIRECT($B$5&amp;"生成成长"),4))/(VLOOKUP(FJ$72,INDIRECT($C$5&amp;"生成成长"),5))*(VLOOKUP($B$5,标准坦克设计!$B$24:$U$30,MATCH("对"&amp;LEFT($C$5,2)&amp;"输出",标准坦克设计!$B$23:$U$23,0)))*(VLOOKUP($B106,INDIRECT($B$5&amp;"生成成长"),3))*(VLOOKUP($B$5,标准坦克设计!$B$14:$K$20,9)/30))</f>
        <v>30.709304945569869</v>
      </c>
      <c r="FK106" s="172">
        <f ca="1">(VLOOKUP(FK$72,INDIRECT($C$5&amp;"生成成长"),2))/((VLOOKUP($B106,INDIRECT($B$5&amp;"生成成长"),4))/(VLOOKUP(FK$72,INDIRECT($C$5&amp;"生成成长"),5))*(VLOOKUP($B$5,标准坦克设计!$B$24:$U$30,MATCH("对"&amp;LEFT($C$5,2)&amp;"输出",标准坦克设计!$B$23:$U$23,0)))*(VLOOKUP($B106,INDIRECT($B$5&amp;"生成成长"),3))*(VLOOKUP($B$5,标准坦克设计!$B$14:$K$20,9)/30))</f>
        <v>32.435334273687488</v>
      </c>
    </row>
    <row r="107" spans="1:167" x14ac:dyDescent="0.15">
      <c r="A107" s="170" t="str">
        <f t="shared" si="11"/>
        <v>T5低品质3级</v>
      </c>
      <c r="B107" s="171">
        <v>10503</v>
      </c>
      <c r="C107" s="172">
        <f ca="1">(VLOOKUP(C$72,INDIRECT($C$5&amp;"生成成长"),2))/((VLOOKUP($B107,INDIRECT($B$5&amp;"生成成长"),4))/(VLOOKUP(C$72,INDIRECT($C$5&amp;"生成成长"),5))*(VLOOKUP($B$5,标准坦克设计!$B$24:$U$30,MATCH("对"&amp;LEFT($C$5,2)&amp;"输出",标准坦克设计!$B$23:$U$23,0)))*(VLOOKUP($B107,INDIRECT($B$5&amp;"生成成长"),3))*(VLOOKUP($B$5,标准坦克设计!$B$14:$K$20,9)/30))</f>
        <v>1.2838124866395391</v>
      </c>
      <c r="D107" s="172">
        <f ca="1">(VLOOKUP(D$72,INDIRECT($C$5&amp;"生成成长"),2))/((VLOOKUP($B107,INDIRECT($B$5&amp;"生成成长"),4))/(VLOOKUP(D$72,INDIRECT($C$5&amp;"生成成长"),5))*(VLOOKUP($B$5,标准坦克设计!$B$24:$U$30,MATCH("对"&amp;LEFT($C$5,2)&amp;"输出",标准坦克设计!$B$23:$U$23,0)))*(VLOOKUP($B107,INDIRECT($B$5&amp;"生成成长"),3))*(VLOOKUP($B$5,标准坦克设计!$B$14:$K$20,9)/30))</f>
        <v>1.4424917099881864</v>
      </c>
      <c r="E107" s="172">
        <f ca="1">(VLOOKUP(E$72,INDIRECT($C$5&amp;"生成成长"),2))/((VLOOKUP($B107,INDIRECT($B$5&amp;"生成成长"),4))/(VLOOKUP(E$72,INDIRECT($C$5&amp;"生成成长"),5))*(VLOOKUP($B$5,标准坦克设计!$B$24:$U$30,MATCH("对"&amp;LEFT($C$5,2)&amp;"输出",标准坦克设计!$B$23:$U$23,0)))*(VLOOKUP($B107,INDIRECT($B$5&amp;"生成成长"),3))*(VLOOKUP($B$5,标准坦克设计!$B$14:$K$20,9)/30))</f>
        <v>1.6104143832406381</v>
      </c>
      <c r="F107" s="172">
        <f ca="1">(VLOOKUP(F$72,INDIRECT($C$5&amp;"生成成长"),2))/((VLOOKUP($B107,INDIRECT($B$5&amp;"生成成长"),4))/(VLOOKUP(F$72,INDIRECT($C$5&amp;"生成成长"),5))*(VLOOKUP($B$5,标准坦克设计!$B$24:$U$30,MATCH("对"&amp;LEFT($C$5,2)&amp;"输出",标准坦克设计!$B$23:$U$23,0)))*(VLOOKUP($B107,INDIRECT($B$5&amp;"生成成长"),3))*(VLOOKUP($B$5,标准坦克设计!$B$14:$K$20,9)/30))</f>
        <v>1.7875805063968944</v>
      </c>
      <c r="G107" s="172">
        <f ca="1">(VLOOKUP(G$72,INDIRECT($C$5&amp;"生成成长"),2))/((VLOOKUP($B107,INDIRECT($B$5&amp;"生成成长"),4))/(VLOOKUP(G$72,INDIRECT($C$5&amp;"生成成长"),5))*(VLOOKUP($B$5,标准坦克设计!$B$24:$U$30,MATCH("对"&amp;LEFT($C$5,2)&amp;"输出",标准坦克设计!$B$23:$U$23,0)))*(VLOOKUP($B107,INDIRECT($B$5&amp;"生成成长"),3))*(VLOOKUP($B$5,标准坦克设计!$B$14:$K$20,9)/30))</f>
        <v>1.9739900794569554</v>
      </c>
      <c r="H107" s="172">
        <f ca="1">(VLOOKUP(H$72,INDIRECT($C$5&amp;"生成成长"),2))/((VLOOKUP($B107,INDIRECT($B$5&amp;"生成成长"),4))/(VLOOKUP(H$72,INDIRECT($C$5&amp;"生成成长"),5))*(VLOOKUP($B$5,标准坦克设计!$B$24:$U$30,MATCH("对"&amp;LEFT($C$5,2)&amp;"输出",标准坦克设计!$B$23:$U$23,0)))*(VLOOKUP($B107,INDIRECT($B$5&amp;"生成成长"),3))*(VLOOKUP($B$5,标准坦克设计!$B$14:$K$20,9)/30))</f>
        <v>1.7274980820221641</v>
      </c>
      <c r="I107" s="172">
        <f ca="1">(VLOOKUP(I$72,INDIRECT($C$5&amp;"生成成长"),2))/((VLOOKUP($B107,INDIRECT($B$5&amp;"生成成长"),4))/(VLOOKUP(I$72,INDIRECT($C$5&amp;"生成成长"),5))*(VLOOKUP($B$5,标准坦克设计!$B$24:$U$30,MATCH("对"&amp;LEFT($C$5,2)&amp;"输出",标准坦克设计!$B$23:$U$23,0)))*(VLOOKUP($B107,INDIRECT($B$5&amp;"生成成长"),3))*(VLOOKUP($B$5,标准坦克设计!$B$14:$K$20,9)/30))</f>
        <v>1.9739900794569554</v>
      </c>
      <c r="J107" s="172">
        <f ca="1">(VLOOKUP(J$72,INDIRECT($C$5&amp;"生成成长"),2))/((VLOOKUP($B107,INDIRECT($B$5&amp;"生成成长"),4))/(VLOOKUP(J$72,INDIRECT($C$5&amp;"生成成长"),5))*(VLOOKUP($B$5,标准坦克设计!$B$24:$U$30,MATCH("对"&amp;LEFT($C$5,2)&amp;"输出",标准坦克设计!$B$23:$U$23,0)))*(VLOOKUP($B107,INDIRECT($B$5&amp;"生成成长"),3))*(VLOOKUP($B$5,标准坦克设计!$B$14:$K$20,9)/30))</f>
        <v>2.236914876720733</v>
      </c>
      <c r="K107" s="172">
        <f ca="1">(VLOOKUP(K$72,INDIRECT($C$5&amp;"生成成长"),2))/((VLOOKUP($B107,INDIRECT($B$5&amp;"生成成长"),4))/(VLOOKUP(K$72,INDIRECT($C$5&amp;"生成成长"),5))*(VLOOKUP($B$5,标准坦克设计!$B$24:$U$30,MATCH("对"&amp;LEFT($C$5,2)&amp;"输出",标准坦克设计!$B$23:$U$23,0)))*(VLOOKUP($B107,INDIRECT($B$5&amp;"生成成长"),3))*(VLOOKUP($B$5,标准坦克设计!$B$14:$K$20,9)/30))</f>
        <v>2.5162724738134967</v>
      </c>
      <c r="L107" s="172">
        <f ca="1">(VLOOKUP(L$72,INDIRECT($C$5&amp;"生成成长"),2))/((VLOOKUP($B107,INDIRECT($B$5&amp;"生成成长"),4))/(VLOOKUP(L$72,INDIRECT($C$5&amp;"生成成长"),5))*(VLOOKUP($B$5,标准坦克设计!$B$24:$U$30,MATCH("对"&amp;LEFT($C$5,2)&amp;"输出",标准坦克设计!$B$23:$U$23,0)))*(VLOOKUP($B107,INDIRECT($B$5&amp;"生成成长"),3))*(VLOOKUP($B$5,标准坦克设计!$B$14:$K$20,9)/30))</f>
        <v>2.8120628707352471</v>
      </c>
      <c r="M107" s="172">
        <f ca="1">(VLOOKUP(M$72,INDIRECT($C$5&amp;"生成成长"),2))/((VLOOKUP($B107,INDIRECT($B$5&amp;"生成成长"),4))/(VLOOKUP(M$72,INDIRECT($C$5&amp;"生成成长"),5))*(VLOOKUP($B$5,标准坦克设计!$B$24:$U$30,MATCH("对"&amp;LEFT($C$5,2)&amp;"输出",标准坦克设计!$B$23:$U$23,0)))*(VLOOKUP($B107,INDIRECT($B$5&amp;"生成成长"),3))*(VLOOKUP($B$5,标准坦克设计!$B$14:$K$20,9)/30))</f>
        <v>3.1242860674859827</v>
      </c>
      <c r="N107" s="172">
        <f ca="1">(VLOOKUP(N$72,INDIRECT($C$5&amp;"生成成长"),2))/((VLOOKUP($B107,INDIRECT($B$5&amp;"生成成长"),4))/(VLOOKUP(N$72,INDIRECT($C$5&amp;"生成成长"),5))*(VLOOKUP($B$5,标准坦克设计!$B$24:$U$30,MATCH("对"&amp;LEFT($C$5,2)&amp;"输出",标准坦克设计!$B$23:$U$23,0)))*(VLOOKUP($B107,INDIRECT($B$5&amp;"生成成长"),3))*(VLOOKUP($B$5,标准坦克设计!$B$14:$K$20,9)/30))</f>
        <v>3.4529420640657045</v>
      </c>
      <c r="O107" s="172">
        <f ca="1">(VLOOKUP(O$72,INDIRECT($C$5&amp;"生成成长"),2))/((VLOOKUP($B107,INDIRECT($B$5&amp;"生成成长"),4))/(VLOOKUP(O$72,INDIRECT($C$5&amp;"生成成长"),5))*(VLOOKUP($B$5,标准坦克设计!$B$24:$U$30,MATCH("对"&amp;LEFT($C$5,2)&amp;"输出",标准坦克设计!$B$23:$U$23,0)))*(VLOOKUP($B107,INDIRECT($B$5&amp;"生成成长"),3))*(VLOOKUP($B$5,标准坦克设计!$B$14:$K$20,9)/30))</f>
        <v>2.6252681539291935</v>
      </c>
      <c r="P107" s="172">
        <f ca="1">(VLOOKUP(P$72,INDIRECT($C$5&amp;"生成成长"),2))/((VLOOKUP($B107,INDIRECT($B$5&amp;"生成成长"),4))/(VLOOKUP(P$72,INDIRECT($C$5&amp;"生成成长"),5))*(VLOOKUP($B$5,标准坦克设计!$B$24:$U$30,MATCH("对"&amp;LEFT($C$5,2)&amp;"输出",标准坦克设计!$B$23:$U$23,0)))*(VLOOKUP($B107,INDIRECT($B$5&amp;"生成成长"),3))*(VLOOKUP($B$5,标准坦克设计!$B$14:$K$20,9)/30))</f>
        <v>2.9661203691319913</v>
      </c>
      <c r="Q107" s="172">
        <f ca="1">(VLOOKUP(Q$72,INDIRECT($C$5&amp;"生成成长"),2))/((VLOOKUP($B107,INDIRECT($B$5&amp;"生成成长"),4))/(VLOOKUP(Q$72,INDIRECT($C$5&amp;"生成成长"),5))*(VLOOKUP($B$5,标准坦克设计!$B$24:$U$30,MATCH("对"&amp;LEFT($C$5,2)&amp;"输出",标准坦克设计!$B$23:$U$23,0)))*(VLOOKUP($B107,INDIRECT($B$5&amp;"生成成长"),3))*(VLOOKUP($B$5,标准坦克设计!$B$14:$K$20,9)/30))</f>
        <v>3.3277703466183497</v>
      </c>
      <c r="R107" s="172">
        <f ca="1">(VLOOKUP(R$72,INDIRECT($C$5&amp;"生成成长"),2))/((VLOOKUP($B107,INDIRECT($B$5&amp;"生成成长"),4))/(VLOOKUP(R$72,INDIRECT($C$5&amp;"生成成长"),5))*(VLOOKUP($B$5,标准坦克设计!$B$24:$U$30,MATCH("对"&amp;LEFT($C$5,2)&amp;"输出",标准坦克设计!$B$23:$U$23,0)))*(VLOOKUP($B107,INDIRECT($B$5&amp;"生成成长"),3))*(VLOOKUP($B$5,标准坦克设计!$B$14:$K$20,9)/30))</f>
        <v>3.7102180863882683</v>
      </c>
      <c r="S107" s="172">
        <f ca="1">(VLOOKUP(S$72,INDIRECT($C$5&amp;"生成成长"),2))/((VLOOKUP($B107,INDIRECT($B$5&amp;"生成成长"),4))/(VLOOKUP(S$72,INDIRECT($C$5&amp;"生成成长"),5))*(VLOOKUP($B$5,标准坦克设计!$B$24:$U$30,MATCH("对"&amp;LEFT($C$5,2)&amp;"输出",标准坦克设计!$B$23:$U$23,0)))*(VLOOKUP($B107,INDIRECT($B$5&amp;"生成成长"),3))*(VLOOKUP($B$5,标准坦克设计!$B$14:$K$20,9)/30))</f>
        <v>4.1134635884417472</v>
      </c>
      <c r="T107" s="172">
        <f ca="1">(VLOOKUP(T$72,INDIRECT($C$5&amp;"生成成长"),2))/((VLOOKUP($B107,INDIRECT($B$5&amp;"生成成长"),4))/(VLOOKUP(T$72,INDIRECT($C$5&amp;"生成成长"),5))*(VLOOKUP($B$5,标准坦克设计!$B$24:$U$30,MATCH("对"&amp;LEFT($C$5,2)&amp;"输出",标准坦克设计!$B$23:$U$23,0)))*(VLOOKUP($B107,INDIRECT($B$5&amp;"生成成长"),3))*(VLOOKUP($B$5,标准坦克设计!$B$14:$K$20,9)/30))</f>
        <v>4.5375068527787867</v>
      </c>
      <c r="U107" s="172">
        <f ca="1">(VLOOKUP(U$72,INDIRECT($C$5&amp;"生成成长"),2))/((VLOOKUP($B107,INDIRECT($B$5&amp;"生成成长"),4))/(VLOOKUP(U$72,INDIRECT($C$5&amp;"生成成长"),5))*(VLOOKUP($B$5,标准坦克设计!$B$24:$U$30,MATCH("对"&amp;LEFT($C$5,2)&amp;"输出",标准坦克设计!$B$23:$U$23,0)))*(VLOOKUP($B107,INDIRECT($B$5&amp;"生成成长"),3))*(VLOOKUP($B$5,标准坦克设计!$B$14:$K$20,9)/30))</f>
        <v>4.9823478793993869</v>
      </c>
      <c r="V107" s="172">
        <f ca="1">(VLOOKUP(V$72,INDIRECT($C$5&amp;"生成成长"),2))/((VLOOKUP($B107,INDIRECT($B$5&amp;"生成成长"),4))/(VLOOKUP(V$72,INDIRECT($C$5&amp;"生成成长"),5))*(VLOOKUP($B$5,标准坦克设计!$B$24:$U$30,MATCH("对"&amp;LEFT($C$5,2)&amp;"输出",标准坦克设计!$B$23:$U$23,0)))*(VLOOKUP($B107,INDIRECT($B$5&amp;"生成成长"),3))*(VLOOKUP($B$5,标准坦克设计!$B$14:$K$20,9)/30))</f>
        <v>5.4479866683035469</v>
      </c>
      <c r="W107" s="172">
        <f ca="1">(VLOOKUP(W$72,INDIRECT($C$5&amp;"生成成长"),2))/((VLOOKUP($B107,INDIRECT($B$5&amp;"生成成长"),4))/(VLOOKUP(W$72,INDIRECT($C$5&amp;"生成成长"),5))*(VLOOKUP($B$5,标准坦克设计!$B$24:$U$30,MATCH("对"&amp;LEFT($C$5,2)&amp;"输出",标准坦克设计!$B$23:$U$23,0)))*(VLOOKUP($B107,INDIRECT($B$5&amp;"生成成长"),3))*(VLOOKUP($B$5,标准坦克设计!$B$14:$K$20,9)/30))</f>
        <v>5.9344232194912703</v>
      </c>
      <c r="X107" s="172">
        <f ca="1">(VLOOKUP(X$72,INDIRECT($C$5&amp;"生成成长"),2))/((VLOOKUP($B107,INDIRECT($B$5&amp;"生成成长"),4))/(VLOOKUP(X$72,INDIRECT($C$5&amp;"生成成长"),5))*(VLOOKUP($B$5,标准坦克设计!$B$24:$U$30,MATCH("对"&amp;LEFT($C$5,2)&amp;"输出",标准坦克设计!$B$23:$U$23,0)))*(VLOOKUP($B107,INDIRECT($B$5&amp;"生成成长"),3))*(VLOOKUP($B$5,标准坦克设计!$B$14:$K$20,9)/30))</f>
        <v>4.2993596365071518</v>
      </c>
      <c r="Y107" s="172">
        <f ca="1">(VLOOKUP(Y$72,INDIRECT($C$5&amp;"生成成长"),2))/((VLOOKUP($B107,INDIRECT($B$5&amp;"生成成长"),4))/(VLOOKUP(Y$72,INDIRECT($C$5&amp;"生成成长"),5))*(VLOOKUP($B$5,标准坦克设计!$B$24:$U$30,MATCH("对"&amp;LEFT($C$5,2)&amp;"输出",标准坦克设计!$B$23:$U$23,0)))*(VLOOKUP($B107,INDIRECT($B$5&amp;"生成成长"),3))*(VLOOKUP($B$5,标准坦克设计!$B$14:$K$20,9)/30))</f>
        <v>4.78207313148362</v>
      </c>
      <c r="Z107" s="172">
        <f ca="1">(VLOOKUP(Z$72,INDIRECT($C$5&amp;"生成成长"),2))/((VLOOKUP($B107,INDIRECT($B$5&amp;"生成成长"),4))/(VLOOKUP(Z$72,INDIRECT($C$5&amp;"生成成长"),5))*(VLOOKUP($B$5,标准坦克设计!$B$24:$U$30,MATCH("对"&amp;LEFT($C$5,2)&amp;"输出",标准坦克设计!$B$23:$U$23,0)))*(VLOOKUP($B107,INDIRECT($B$5&amp;"生成成长"),3))*(VLOOKUP($B$5,标准坦克设计!$B$14:$K$20,9)/30))</f>
        <v>5.2904628761928763</v>
      </c>
      <c r="AA107" s="172">
        <f ca="1">(VLOOKUP(AA$72,INDIRECT($C$5&amp;"生成成长"),2))/((VLOOKUP($B107,INDIRECT($B$5&amp;"生成成长"),4))/(VLOOKUP(AA$72,INDIRECT($C$5&amp;"生成成长"),5))*(VLOOKUP($B$5,标准坦克设计!$B$24:$U$30,MATCH("对"&amp;LEFT($C$5,2)&amp;"输出",标准坦克设计!$B$23:$U$23,0)))*(VLOOKUP($B107,INDIRECT($B$5&amp;"生成成长"),3))*(VLOOKUP($B$5,标准坦克设计!$B$14:$K$20,9)/30))</f>
        <v>5.824528870634925</v>
      </c>
      <c r="AB107" s="172">
        <f ca="1">(VLOOKUP(AB$72,INDIRECT($C$5&amp;"生成成长"),2))/((VLOOKUP($B107,INDIRECT($B$5&amp;"生成成长"),4))/(VLOOKUP(AB$72,INDIRECT($C$5&amp;"生成成长"),5))*(VLOOKUP($B$5,标准坦克设计!$B$24:$U$30,MATCH("对"&amp;LEFT($C$5,2)&amp;"输出",标准坦克设计!$B$23:$U$23,0)))*(VLOOKUP($B107,INDIRECT($B$5&amp;"生成成长"),3))*(VLOOKUP($B$5,标准坦克设计!$B$14:$K$20,9)/30))</f>
        <v>6.3842711148097635</v>
      </c>
      <c r="AC107" s="172">
        <f ca="1">(VLOOKUP(AC$72,INDIRECT($C$5&amp;"生成成长"),2))/((VLOOKUP($B107,INDIRECT($B$5&amp;"生成成长"),4))/(VLOOKUP(AC$72,INDIRECT($C$5&amp;"生成成长"),5))*(VLOOKUP($B$5,标准坦克设计!$B$24:$U$30,MATCH("对"&amp;LEFT($C$5,2)&amp;"输出",标准坦克设计!$B$23:$U$23,0)))*(VLOOKUP($B107,INDIRECT($B$5&amp;"生成成长"),3))*(VLOOKUP($B$5,标准坦克设计!$B$14:$K$20,9)/30))</f>
        <v>6.9696896087173954</v>
      </c>
      <c r="AD107" s="172">
        <f ca="1">(VLOOKUP(AD$72,INDIRECT($C$5&amp;"生成成长"),2))/((VLOOKUP($B107,INDIRECT($B$5&amp;"生成成长"),4))/(VLOOKUP(AD$72,INDIRECT($C$5&amp;"生成成长"),5))*(VLOOKUP($B$5,标准坦克设计!$B$24:$U$30,MATCH("对"&amp;LEFT($C$5,2)&amp;"输出",标准坦克设计!$B$23:$U$23,0)))*(VLOOKUP($B107,INDIRECT($B$5&amp;"生成成长"),3))*(VLOOKUP($B$5,标准坦克设计!$B$14:$K$20,9)/30))</f>
        <v>7.5807843523578144</v>
      </c>
      <c r="AE107" s="172">
        <f ca="1">(VLOOKUP(AE$72,INDIRECT($C$5&amp;"生成成长"),2))/((VLOOKUP($B107,INDIRECT($B$5&amp;"生成成长"),4))/(VLOOKUP(AE$72,INDIRECT($C$5&amp;"生成成长"),5))*(VLOOKUP($B$5,标准坦克设计!$B$24:$U$30,MATCH("对"&amp;LEFT($C$5,2)&amp;"输出",标准坦克设计!$B$23:$U$23,0)))*(VLOOKUP($B107,INDIRECT($B$5&amp;"生成成长"),3))*(VLOOKUP($B$5,标准坦克设计!$B$14:$K$20,9)/30))</f>
        <v>8.2175553457310251</v>
      </c>
      <c r="AF107" s="172">
        <f ca="1">(VLOOKUP(AF$72,INDIRECT($C$5&amp;"生成成长"),2))/((VLOOKUP($B107,INDIRECT($B$5&amp;"生成成长"),4))/(VLOOKUP(AF$72,INDIRECT($C$5&amp;"生成成长"),5))*(VLOOKUP($B$5,标准坦克设计!$B$24:$U$30,MATCH("对"&amp;LEFT($C$5,2)&amp;"输出",标准坦克设计!$B$23:$U$23,0)))*(VLOOKUP($B107,INDIRECT($B$5&amp;"生成成长"),3))*(VLOOKUP($B$5,标准坦克设计!$B$14:$K$20,9)/30))</f>
        <v>8.8800025888370282</v>
      </c>
      <c r="AG107" s="172">
        <f ca="1">(VLOOKUP(AG$72,INDIRECT($C$5&amp;"生成成长"),2))/((VLOOKUP($B107,INDIRECT($B$5&amp;"生成成长"),4))/(VLOOKUP(AG$72,INDIRECT($C$5&amp;"生成成长"),5))*(VLOOKUP($B$5,标准坦克设计!$B$24:$U$30,MATCH("对"&amp;LEFT($C$5,2)&amp;"输出",标准坦克设计!$B$23:$U$23,0)))*(VLOOKUP($B107,INDIRECT($B$5&amp;"生成成长"),3))*(VLOOKUP($B$5,标准坦克设计!$B$14:$K$20,9)/30))</f>
        <v>9.5681260816758229</v>
      </c>
      <c r="AH107" s="172">
        <f ca="1">(VLOOKUP(AH$72,INDIRECT($C$5&amp;"生成成长"),2))/((VLOOKUP($B107,INDIRECT($B$5&amp;"生成成长"),4))/(VLOOKUP(AH$72,INDIRECT($C$5&amp;"生成成长"),5))*(VLOOKUP($B$5,标准坦克设计!$B$24:$U$30,MATCH("对"&amp;LEFT($C$5,2)&amp;"输出",标准坦克设计!$B$23:$U$23,0)))*(VLOOKUP($B107,INDIRECT($B$5&amp;"生成成长"),3))*(VLOOKUP($B$5,标准坦克设计!$B$14:$K$20,9)/30))</f>
        <v>10.281925824247406</v>
      </c>
      <c r="AI107" s="172">
        <f ca="1">(VLOOKUP(AI$72,INDIRECT($C$5&amp;"生成成长"),2))/((VLOOKUP($B107,INDIRECT($B$5&amp;"生成成长"),4))/(VLOOKUP(AI$72,INDIRECT($C$5&amp;"生成成长"),5))*(VLOOKUP($B$5,标准坦克设计!$B$24:$U$30,MATCH("对"&amp;LEFT($C$5,2)&amp;"输出",标准坦克设计!$B$23:$U$23,0)))*(VLOOKUP($B107,INDIRECT($B$5&amp;"生成成长"),3))*(VLOOKUP($B$5,标准坦克设计!$B$14:$K$20,9)/30))</f>
        <v>7.2720274493210058</v>
      </c>
      <c r="AJ107" s="172">
        <f ca="1">(VLOOKUP(AJ$72,INDIRECT($C$5&amp;"生成成长"),2))/((VLOOKUP($B107,INDIRECT($B$5&amp;"生成成长"),4))/(VLOOKUP(AJ$72,INDIRECT($C$5&amp;"生成成长"),5))*(VLOOKUP($B$5,标准坦克设计!$B$24:$U$30,MATCH("对"&amp;LEFT($C$5,2)&amp;"输出",标准坦克设计!$B$23:$U$23,0)))*(VLOOKUP($B107,INDIRECT($B$5&amp;"生成成长"),3))*(VLOOKUP($B$5,标准坦克设计!$B$14:$K$20,9)/30))</f>
        <v>7.9597657984138053</v>
      </c>
      <c r="AK107" s="172">
        <f ca="1">(VLOOKUP(AK$72,INDIRECT($C$5&amp;"生成成长"),2))/((VLOOKUP($B107,INDIRECT($B$5&amp;"生成成长"),4))/(VLOOKUP(AK$72,INDIRECT($C$5&amp;"生成成长"),5))*(VLOOKUP($B$5,标准坦克设计!$B$24:$U$30,MATCH("对"&amp;LEFT($C$5,2)&amp;"输出",标准坦克设计!$B$23:$U$23,0)))*(VLOOKUP($B107,INDIRECT($B$5&amp;"生成成长"),3))*(VLOOKUP($B$5,标准坦克设计!$B$14:$K$20,9)/30))</f>
        <v>8.6785724096832837</v>
      </c>
      <c r="AL107" s="172">
        <f ca="1">(VLOOKUP(AL$72,INDIRECT($C$5&amp;"生成成长"),2))/((VLOOKUP($B107,INDIRECT($B$5&amp;"生成成长"),4))/(VLOOKUP(AL$72,INDIRECT($C$5&amp;"生成成长"),5))*(VLOOKUP($B$5,标准坦克设计!$B$24:$U$30,MATCH("对"&amp;LEFT($C$5,2)&amp;"输出",标准坦克设计!$B$23:$U$23,0)))*(VLOOKUP($B107,INDIRECT($B$5&amp;"生成成长"),3))*(VLOOKUP($B$5,标准坦克设计!$B$14:$K$20,9)/30))</f>
        <v>9.4284472831294401</v>
      </c>
      <c r="AM107" s="172">
        <f ca="1">(VLOOKUP(AM$72,INDIRECT($C$5&amp;"生成成长"),2))/((VLOOKUP($B107,INDIRECT($B$5&amp;"生成成长"),4))/(VLOOKUP(AM$72,INDIRECT($C$5&amp;"生成成长"),5))*(VLOOKUP($B$5,标准坦克设计!$B$24:$U$30,MATCH("对"&amp;LEFT($C$5,2)&amp;"输出",标准坦克设计!$B$23:$U$23,0)))*(VLOOKUP($B107,INDIRECT($B$5&amp;"生成成长"),3))*(VLOOKUP($B$5,标准坦克设计!$B$14:$K$20,9)/30))</f>
        <v>10.209390418752273</v>
      </c>
      <c r="AN107" s="172">
        <f ca="1">(VLOOKUP(AN$72,INDIRECT($C$5&amp;"生成成长"),2))/((VLOOKUP($B107,INDIRECT($B$5&amp;"生成成长"),4))/(VLOOKUP(AN$72,INDIRECT($C$5&amp;"生成成长"),5))*(VLOOKUP($B$5,标准坦克设计!$B$24:$U$30,MATCH("对"&amp;LEFT($C$5,2)&amp;"输出",标准坦克设计!$B$23:$U$23,0)))*(VLOOKUP($B107,INDIRECT($B$5&amp;"生成成长"),3))*(VLOOKUP($B$5,标准坦克设计!$B$14:$K$20,9)/30))</f>
        <v>11.021401816551778</v>
      </c>
      <c r="AO107" s="172">
        <f ca="1">(VLOOKUP(AO$72,INDIRECT($C$5&amp;"生成成长"),2))/((VLOOKUP($B107,INDIRECT($B$5&amp;"生成成长"),4))/(VLOOKUP(AO$72,INDIRECT($C$5&amp;"生成成长"),5))*(VLOOKUP($B$5,标准坦克设计!$B$24:$U$30,MATCH("对"&amp;LEFT($C$5,2)&amp;"输出",标准坦克设计!$B$23:$U$23,0)))*(VLOOKUP($B107,INDIRECT($B$5&amp;"生成成长"),3))*(VLOOKUP($B$5,标准坦克设计!$B$14:$K$20,9)/30))</f>
        <v>11.864481476527965</v>
      </c>
      <c r="AP107" s="172">
        <f ca="1">(VLOOKUP(AP$72,INDIRECT($C$5&amp;"生成成长"),2))/((VLOOKUP($B107,INDIRECT($B$5&amp;"生成成长"),4))/(VLOOKUP(AP$72,INDIRECT($C$5&amp;"生成成长"),5))*(VLOOKUP($B$5,标准坦克设计!$B$24:$U$30,MATCH("对"&amp;LEFT($C$5,2)&amp;"输出",标准坦克设计!$B$23:$U$23,0)))*(VLOOKUP($B107,INDIRECT($B$5&amp;"生成成长"),3))*(VLOOKUP($B$5,标准坦克设计!$B$14:$K$20,9)/30))</f>
        <v>12.73862939868083</v>
      </c>
      <c r="AQ107" s="172">
        <f ca="1">(VLOOKUP(AQ$72,INDIRECT($C$5&amp;"生成成长"),2))/((VLOOKUP($B107,INDIRECT($B$5&amp;"生成成长"),4))/(VLOOKUP(AQ$72,INDIRECT($C$5&amp;"生成成长"),5))*(VLOOKUP($B$5,标准坦克设计!$B$24:$U$30,MATCH("对"&amp;LEFT($C$5,2)&amp;"输出",标准坦克设计!$B$23:$U$23,0)))*(VLOOKUP($B107,INDIRECT($B$5&amp;"生成成长"),3))*(VLOOKUP($B$5,标准坦克设计!$B$14:$K$20,9)/30))</f>
        <v>13.64384558301037</v>
      </c>
      <c r="AR107" s="172">
        <f ca="1">(VLOOKUP(AR$72,INDIRECT($C$5&amp;"生成成长"),2))/((VLOOKUP($B107,INDIRECT($B$5&amp;"生成成长"),4))/(VLOOKUP(AR$72,INDIRECT($C$5&amp;"生成成长"),5))*(VLOOKUP($B$5,标准坦克设计!$B$24:$U$30,MATCH("对"&amp;LEFT($C$5,2)&amp;"输出",标准坦克设计!$B$23:$U$23,0)))*(VLOOKUP($B107,INDIRECT($B$5&amp;"生成成长"),3))*(VLOOKUP($B$5,标准坦克设计!$B$14:$K$20,9)/30))</f>
        <v>14.580130029516583</v>
      </c>
      <c r="AS107" s="172">
        <f ca="1">(VLOOKUP(AS$72,INDIRECT($C$5&amp;"生成成长"),2))/((VLOOKUP($B107,INDIRECT($B$5&amp;"生成成长"),4))/(VLOOKUP(AS$72,INDIRECT($C$5&amp;"生成成长"),5))*(VLOOKUP($B$5,标准坦克设计!$B$24:$U$30,MATCH("对"&amp;LEFT($C$5,2)&amp;"输出",标准坦克设计!$B$23:$U$23,0)))*(VLOOKUP($B107,INDIRECT($B$5&amp;"生成成长"),3))*(VLOOKUP($B$5,标准坦克设计!$B$14:$K$20,9)/30))</f>
        <v>15.547482738199475</v>
      </c>
      <c r="AT107" s="172">
        <f ca="1">(VLOOKUP(AT$72,INDIRECT($C$5&amp;"生成成长"),2))/((VLOOKUP($B107,INDIRECT($B$5&amp;"生成成长"),4))/(VLOOKUP(AT$72,INDIRECT($C$5&amp;"生成成长"),5))*(VLOOKUP($B$5,标准坦克设计!$B$24:$U$30,MATCH("对"&amp;LEFT($C$5,2)&amp;"输出",标准坦克设计!$B$23:$U$23,0)))*(VLOOKUP($B107,INDIRECT($B$5&amp;"生成成长"),3))*(VLOOKUP($B$5,标准坦克设计!$B$14:$K$20,9)/30))</f>
        <v>16.545903709059044</v>
      </c>
      <c r="AU107" s="172">
        <f ca="1">(VLOOKUP(AU$72,INDIRECT($C$5&amp;"生成成长"),2))/((VLOOKUP($B107,INDIRECT($B$5&amp;"生成成长"),4))/(VLOOKUP(AU$72,INDIRECT($C$5&amp;"生成成长"),5))*(VLOOKUP($B$5,标准坦克设计!$B$24:$U$30,MATCH("对"&amp;LEFT($C$5,2)&amp;"输出",标准坦克设计!$B$23:$U$23,0)))*(VLOOKUP($B107,INDIRECT($B$5&amp;"生成成长"),3))*(VLOOKUP($B$5,标准坦克设计!$B$14:$K$20,9)/30))</f>
        <v>17.575392942095288</v>
      </c>
      <c r="AV107" s="172">
        <f ca="1">(VLOOKUP(AV$72,INDIRECT($C$5&amp;"生成成长"),2))/((VLOOKUP($B107,INDIRECT($B$5&amp;"生成成长"),4))/(VLOOKUP(AV$72,INDIRECT($C$5&amp;"生成成长"),5))*(VLOOKUP($B$5,标准坦克设计!$B$24:$U$30,MATCH("对"&amp;LEFT($C$5,2)&amp;"输出",标准坦克设计!$B$23:$U$23,0)))*(VLOOKUP($B107,INDIRECT($B$5&amp;"生成成长"),3))*(VLOOKUP($B$5,标准坦克设计!$B$14:$K$20,9)/30))</f>
        <v>1.7875805063968944</v>
      </c>
      <c r="AW107" s="172">
        <f ca="1">(VLOOKUP(AW$72,INDIRECT($C$5&amp;"生成成长"),2))/((VLOOKUP($B107,INDIRECT($B$5&amp;"生成成长"),4))/(VLOOKUP(AW$72,INDIRECT($C$5&amp;"生成成长"),5))*(VLOOKUP($B$5,标准坦克设计!$B$24:$U$30,MATCH("对"&amp;LEFT($C$5,2)&amp;"输出",标准坦克设计!$B$23:$U$23,0)))*(VLOOKUP($B107,INDIRECT($B$5&amp;"生成成长"),3))*(VLOOKUP($B$5,标准坦克设计!$B$14:$K$20,9)/30))</f>
        <v>2.0381807037889326</v>
      </c>
      <c r="AX107" s="172">
        <f ca="1">(VLOOKUP(AX$72,INDIRECT($C$5&amp;"生成成长"),2))/((VLOOKUP($B107,INDIRECT($B$5&amp;"生成成长"),4))/(VLOOKUP(AX$72,INDIRECT($C$5&amp;"生成成长"),5))*(VLOOKUP($B$5,标准坦克设计!$B$24:$U$30,MATCH("对"&amp;LEFT($C$5,2)&amp;"输出",标准坦克设计!$B$23:$U$23,0)))*(VLOOKUP($B107,INDIRECT($B$5&amp;"生成成长"),3))*(VLOOKUP($B$5,标准坦克设计!$B$14:$K$20,9)/30))</f>
        <v>2.305213701009956</v>
      </c>
      <c r="AY107" s="172">
        <f ca="1">(VLOOKUP(AY$72,INDIRECT($C$5&amp;"生成成长"),2))/((VLOOKUP($B107,INDIRECT($B$5&amp;"生成成长"),4))/(VLOOKUP(AY$72,INDIRECT($C$5&amp;"生成成长"),5))*(VLOOKUP($B$5,标准坦克设计!$B$24:$U$30,MATCH("对"&amp;LEFT($C$5,2)&amp;"输出",标准坦克设计!$B$23:$U$23,0)))*(VLOOKUP($B107,INDIRECT($B$5&amp;"生成成长"),3))*(VLOOKUP($B$5,标准坦克设计!$B$14:$K$20,9)/30))</f>
        <v>2.5886794980599666</v>
      </c>
      <c r="AZ107" s="172">
        <f ca="1">(VLOOKUP(AZ$72,INDIRECT($C$5&amp;"生成成长"),2))/((VLOOKUP($B107,INDIRECT($B$5&amp;"生成成长"),4))/(VLOOKUP(AZ$72,INDIRECT($C$5&amp;"生成成长"),5))*(VLOOKUP($B$5,标准坦克设计!$B$24:$U$30,MATCH("对"&amp;LEFT($C$5,2)&amp;"输出",标准坦克设计!$B$23:$U$23,0)))*(VLOOKUP($B107,INDIRECT($B$5&amp;"生成成长"),3))*(VLOOKUP($B$5,标准坦克设计!$B$14:$K$20,9)/30))</f>
        <v>2.8885780949389632</v>
      </c>
      <c r="BA107" s="172">
        <f ca="1">(VLOOKUP(BA$72,INDIRECT($C$5&amp;"生成成长"),2))/((VLOOKUP($B107,INDIRECT($B$5&amp;"生成成长"),4))/(VLOOKUP(BA$72,INDIRECT($C$5&amp;"生成成长"),5))*(VLOOKUP($B$5,标准坦克设计!$B$24:$U$30,MATCH("对"&amp;LEFT($C$5,2)&amp;"输出",标准坦克设计!$B$23:$U$23,0)))*(VLOOKUP($B107,INDIRECT($B$5&amp;"生成成长"),3))*(VLOOKUP($B$5,标准坦克设计!$B$14:$K$20,9)/30))</f>
        <v>3.2049094916469452</v>
      </c>
      <c r="BB107" s="172">
        <f ca="1">(VLOOKUP(BB$72,INDIRECT($C$5&amp;"生成成长"),2))/((VLOOKUP($B107,INDIRECT($B$5&amp;"生成成长"),4))/(VLOOKUP(BB$72,INDIRECT($C$5&amp;"生成成长"),5))*(VLOOKUP($B$5,标准坦克设计!$B$24:$U$30,MATCH("对"&amp;LEFT($C$5,2)&amp;"输出",标准坦克设计!$B$23:$U$23,0)))*(VLOOKUP($B107,INDIRECT($B$5&amp;"生成成长"),3))*(VLOOKUP($B$5,标准坦克设计!$B$14:$K$20,9)/30))</f>
        <v>3.5376736881839141</v>
      </c>
      <c r="BC107" s="172">
        <f ca="1">(VLOOKUP(BC$72,INDIRECT($C$5&amp;"生成成长"),2))/((VLOOKUP($B107,INDIRECT($B$5&amp;"生成成长"),4))/(VLOOKUP(BC$72,INDIRECT($C$5&amp;"生成成长"),5))*(VLOOKUP($B$5,标准坦克设计!$B$24:$U$30,MATCH("对"&amp;LEFT($C$5,2)&amp;"输出",标准坦克设计!$B$23:$U$23,0)))*(VLOOKUP($B107,INDIRECT($B$5&amp;"生成成长"),3))*(VLOOKUP($B$5,标准坦克设计!$B$14:$K$20,9)/30))</f>
        <v>3.8868706845498688</v>
      </c>
      <c r="BD107" s="172">
        <f ca="1">(VLOOKUP(BD$72,INDIRECT($C$5&amp;"生成成长"),2))/((VLOOKUP($B107,INDIRECT($B$5&amp;"生成成长"),4))/(VLOOKUP(BD$72,INDIRECT($C$5&amp;"生成成长"),5))*(VLOOKUP($B$5,标准坦克设计!$B$24:$U$30,MATCH("对"&amp;LEFT($C$5,2)&amp;"输出",标准坦克设计!$B$23:$U$23,0)))*(VLOOKUP($B107,INDIRECT($B$5&amp;"生成成长"),3))*(VLOOKUP($B$5,标准坦克设计!$B$14:$K$20,9)/30))</f>
        <v>4.2993596365071518</v>
      </c>
      <c r="BE107" s="172">
        <f ca="1">(VLOOKUP(BE$72,INDIRECT($C$5&amp;"生成成长"),2))/((VLOOKUP($B107,INDIRECT($B$5&amp;"生成成长"),4))/(VLOOKUP(BE$72,INDIRECT($C$5&amp;"生成成长"),5))*(VLOOKUP($B$5,标准坦克设计!$B$24:$U$30,MATCH("对"&amp;LEFT($C$5,2)&amp;"输出",标准坦克设计!$B$23:$U$23,0)))*(VLOOKUP($B107,INDIRECT($B$5&amp;"生成成长"),3))*(VLOOKUP($B$5,标准坦克设计!$B$14:$K$20,9)/30))</f>
        <v>4.7326463507479968</v>
      </c>
      <c r="BF107" s="172">
        <f ca="1">(VLOOKUP(BF$72,INDIRECT($C$5&amp;"生成成长"),2))/((VLOOKUP($B107,INDIRECT($B$5&amp;"生成成长"),4))/(VLOOKUP(BF$72,INDIRECT($C$5&amp;"生成成长"),5))*(VLOOKUP($B$5,标准坦克设计!$B$24:$U$30,MATCH("对"&amp;LEFT($C$5,2)&amp;"输出",标准坦克设计!$B$23:$U$23,0)))*(VLOOKUP($B107,INDIRECT($B$5&amp;"生成成长"),3))*(VLOOKUP($B$5,标准坦克设计!$B$14:$K$20,9)/30))</f>
        <v>5.1867308272724024</v>
      </c>
      <c r="BG107" s="172">
        <f ca="1">(VLOOKUP(BG$72,INDIRECT($C$5&amp;"生成成长"),2))/((VLOOKUP($B107,INDIRECT($B$5&amp;"生成成长"),4))/(VLOOKUP(BG$72,INDIRECT($C$5&amp;"生成成长"),5))*(VLOOKUP($B$5,标准坦克设计!$B$24:$U$30,MATCH("对"&amp;LEFT($C$5,2)&amp;"输出",标准坦克设计!$B$23:$U$23,0)))*(VLOOKUP($B107,INDIRECT($B$5&amp;"生成成长"),3))*(VLOOKUP($B$5,标准坦克设计!$B$14:$K$20,9)/30))</f>
        <v>5.661613066080367</v>
      </c>
      <c r="BH107" s="172">
        <f ca="1">(VLOOKUP(BH$72,INDIRECT($C$5&amp;"生成成长"),2))/((VLOOKUP($B107,INDIRECT($B$5&amp;"生成成长"),4))/(VLOOKUP(BH$72,INDIRECT($C$5&amp;"生成成长"),5))*(VLOOKUP($B$5,标准坦克设计!$B$24:$U$30,MATCH("对"&amp;LEFT($C$5,2)&amp;"输出",标准坦克设计!$B$23:$U$23,0)))*(VLOOKUP($B107,INDIRECT($B$5&amp;"生成成长"),3))*(VLOOKUP($B$5,标准坦克设计!$B$14:$K$20,9)/30))</f>
        <v>2.7365746965208415</v>
      </c>
      <c r="BI107" s="172">
        <f ca="1">(VLOOKUP(BI$72,INDIRECT($C$5&amp;"生成成长"),2))/((VLOOKUP($B107,INDIRECT($B$5&amp;"生成成长"),4))/(VLOOKUP(BI$72,INDIRECT($C$5&amp;"生成成长"),5))*(VLOOKUP($B$5,标准坦克设计!$B$24:$U$30,MATCH("对"&amp;LEFT($C$5,2)&amp;"输出",标准坦克设计!$B$23:$U$23,0)))*(VLOOKUP($B107,INDIRECT($B$5&amp;"生成成长"),3))*(VLOOKUP($B$5,标准坦克设计!$B$14:$K$20,9)/30))</f>
        <v>3.0843594991514927</v>
      </c>
      <c r="BJ107" s="172">
        <f ca="1">(VLOOKUP(BJ$72,INDIRECT($C$5&amp;"生成成长"),2))/((VLOOKUP($B107,INDIRECT($B$5&amp;"生成成长"),4))/(VLOOKUP(BJ$72,INDIRECT($C$5&amp;"生成成长"),5))*(VLOOKUP($B$5,标准坦克设计!$B$24:$U$30,MATCH("对"&amp;LEFT($C$5,2)&amp;"输出",标准坦克设计!$B$23:$U$23,0)))*(VLOOKUP($B107,INDIRECT($B$5&amp;"生成成长"),3))*(VLOOKUP($B$5,标准坦克设计!$B$14:$K$20,9)/30))</f>
        <v>3.4529420640657045</v>
      </c>
      <c r="BK107" s="172">
        <f ca="1">(VLOOKUP(BK$72,INDIRECT($C$5&amp;"生成成长"),2))/((VLOOKUP($B107,INDIRECT($B$5&amp;"生成成长"),4))/(VLOOKUP(BK$72,INDIRECT($C$5&amp;"生成成长"),5))*(VLOOKUP($B$5,标准坦克设计!$B$24:$U$30,MATCH("对"&amp;LEFT($C$5,2)&amp;"输出",标准坦克设计!$B$23:$U$23,0)))*(VLOOKUP($B107,INDIRECT($B$5&amp;"生成成长"),3))*(VLOOKUP($B$5,标准坦克设计!$B$14:$K$20,9)/30))</f>
        <v>3.8423223912634765</v>
      </c>
      <c r="BL107" s="172">
        <f ca="1">(VLOOKUP(BL$72,INDIRECT($C$5&amp;"生成成长"),2))/((VLOOKUP($B107,INDIRECT($B$5&amp;"生成成长"),4))/(VLOOKUP(BL$72,INDIRECT($C$5&amp;"生成成长"),5))*(VLOOKUP($B$5,标准坦克设计!$B$24:$U$30,MATCH("对"&amp;LEFT($C$5,2)&amp;"输出",标准坦克设计!$B$23:$U$23,0)))*(VLOOKUP($B107,INDIRECT($B$5&amp;"生成成长"),3))*(VLOOKUP($B$5,标准坦克设计!$B$14:$K$20,9)/30))</f>
        <v>4.2525004807448097</v>
      </c>
      <c r="BM107" s="172">
        <f ca="1">(VLOOKUP(BM$72,INDIRECT($C$5&amp;"生成成长"),2))/((VLOOKUP($B107,INDIRECT($B$5&amp;"生成成长"),4))/(VLOOKUP(BM$72,INDIRECT($C$5&amp;"生成成长"),5))*(VLOOKUP($B$5,标准坦克设计!$B$24:$U$30,MATCH("对"&amp;LEFT($C$5,2)&amp;"输出",标准坦克设计!$B$23:$U$23,0)))*(VLOOKUP($B107,INDIRECT($B$5&amp;"生成成长"),3))*(VLOOKUP($B$5,标准坦克设计!$B$14:$K$20,9)/30))</f>
        <v>4.6834763325097031</v>
      </c>
      <c r="BN107" s="172">
        <f ca="1">(VLOOKUP(BN$72,INDIRECT($C$5&amp;"生成成长"),2))/((VLOOKUP($B107,INDIRECT($B$5&amp;"生成成长"),4))/(VLOOKUP(BN$72,INDIRECT($C$5&amp;"生成成长"),5))*(VLOOKUP($B$5,标准坦克设计!$B$24:$U$30,MATCH("对"&amp;LEFT($C$5,2)&amp;"输出",标准坦克设计!$B$23:$U$23,0)))*(VLOOKUP($B107,INDIRECT($B$5&amp;"生成成长"),3))*(VLOOKUP($B$5,标准坦克设计!$B$14:$K$20,9)/30))</f>
        <v>5.1352499465581563</v>
      </c>
      <c r="BO107" s="172">
        <f ca="1">(VLOOKUP(BO$72,INDIRECT($C$5&amp;"生成成长"),2))/((VLOOKUP($B107,INDIRECT($B$5&amp;"生成成长"),4))/(VLOOKUP(BO$72,INDIRECT($C$5&amp;"生成成长"),5))*(VLOOKUP($B$5,标准坦克设计!$B$24:$U$30,MATCH("对"&amp;LEFT($C$5,2)&amp;"输出",标准坦克设计!$B$23:$U$23,0)))*(VLOOKUP($B107,INDIRECT($B$5&amp;"生成成长"),3))*(VLOOKUP($B$5,标准坦克设计!$B$14:$K$20,9)/30))</f>
        <v>5.6078213228901701</v>
      </c>
      <c r="BP107" s="172">
        <f ca="1">(VLOOKUP(BP$72,INDIRECT($C$5&amp;"生成成长"),2))/((VLOOKUP($B107,INDIRECT($B$5&amp;"生成成长"),4))/(VLOOKUP(BP$72,INDIRECT($C$5&amp;"生成成长"),5))*(VLOOKUP($B$5,标准坦克设计!$B$24:$U$30,MATCH("对"&amp;LEFT($C$5,2)&amp;"输出",标准坦克设计!$B$23:$U$23,0)))*(VLOOKUP($B107,INDIRECT($B$5&amp;"生成成长"),3))*(VLOOKUP($B$5,标准坦克设计!$B$14:$K$20,9)/30))</f>
        <v>6.1011904615057455</v>
      </c>
      <c r="BQ107" s="172">
        <f ca="1">(VLOOKUP(BQ$72,INDIRECT($C$5&amp;"生成成长"),2))/((VLOOKUP($B107,INDIRECT($B$5&amp;"生成成长"),4))/(VLOOKUP(BQ$72,INDIRECT($C$5&amp;"生成成长"),5))*(VLOOKUP($B$5,标准坦克设计!$B$24:$U$30,MATCH("对"&amp;LEFT($C$5,2)&amp;"输出",标准坦克设计!$B$23:$U$23,0)))*(VLOOKUP($B107,INDIRECT($B$5&amp;"生成成长"),3))*(VLOOKUP($B$5,标准坦克设计!$B$14:$K$20,9)/30))</f>
        <v>6.6153573624048816</v>
      </c>
      <c r="BR107" s="172">
        <f ca="1">(VLOOKUP(BR$72,INDIRECT($C$5&amp;"生成成长"),2))/((VLOOKUP($B107,INDIRECT($B$5&amp;"生成成长"),4))/(VLOOKUP(BR$72,INDIRECT($C$5&amp;"生成成长"),5))*(VLOOKUP($B$5,标准坦克设计!$B$24:$U$30,MATCH("对"&amp;LEFT($C$5,2)&amp;"输出",标准坦克设计!$B$23:$U$23,0)))*(VLOOKUP($B107,INDIRECT($B$5&amp;"生成成长"),3))*(VLOOKUP($B$5,标准坦克设计!$B$14:$K$20,9)/30))</f>
        <v>7.2110463562056282</v>
      </c>
      <c r="BS107" s="172">
        <f ca="1">(VLOOKUP(BS$72,INDIRECT($C$5&amp;"生成成长"),2))/((VLOOKUP($B107,INDIRECT($B$5&amp;"生成成长"),4))/(VLOOKUP(BS$72,INDIRECT($C$5&amp;"生成成长"),5))*(VLOOKUP($B$5,标准坦克设计!$B$24:$U$30,MATCH("对"&amp;LEFT($C$5,2)&amp;"输出",标准坦克设计!$B$23:$U$23,0)))*(VLOOKUP($B107,INDIRECT($B$5&amp;"生成成长"),3))*(VLOOKUP($B$5,标准坦克设计!$B$14:$K$20,9)/30))</f>
        <v>7.8324115997391655</v>
      </c>
      <c r="BT107" s="172">
        <f ca="1">(VLOOKUP(BT$72,INDIRECT($C$5&amp;"生成成长"),2))/((VLOOKUP($B107,INDIRECT($B$5&amp;"生成成长"),4))/(VLOOKUP(BT$72,INDIRECT($C$5&amp;"生成成长"),5))*(VLOOKUP($B$5,标准坦克设计!$B$24:$U$30,MATCH("对"&amp;LEFT($C$5,2)&amp;"输出",标准坦克设计!$B$23:$U$23,0)))*(VLOOKUP($B107,INDIRECT($B$5&amp;"生成成长"),3))*(VLOOKUP($B$5,标准坦克设计!$B$14:$K$20,9)/30))</f>
        <v>8.4794530930054925</v>
      </c>
      <c r="BU107" s="172">
        <f ca="1">(VLOOKUP(BU$72,INDIRECT($C$5&amp;"生成成长"),2))/((VLOOKUP($B107,INDIRECT($B$5&amp;"生成成长"),4))/(VLOOKUP(BU$72,INDIRECT($C$5&amp;"生成成长"),5))*(VLOOKUP($B$5,标准坦克设计!$B$24:$U$30,MATCH("对"&amp;LEFT($C$5,2)&amp;"输出",标准坦克设计!$B$23:$U$23,0)))*(VLOOKUP($B107,INDIRECT($B$5&amp;"生成成长"),3))*(VLOOKUP($B$5,标准坦克设计!$B$14:$K$20,9)/30))</f>
        <v>9.1521708360046095</v>
      </c>
      <c r="BV107" s="172">
        <f ca="1">(VLOOKUP(BV$72,INDIRECT($C$5&amp;"生成成长"),2))/((VLOOKUP($B107,INDIRECT($B$5&amp;"生成成长"),4))/(VLOOKUP(BV$72,INDIRECT($C$5&amp;"生成成长"),5))*(VLOOKUP($B$5,标准坦克设计!$B$24:$U$30,MATCH("对"&amp;LEFT($C$5,2)&amp;"输出",标准坦克设计!$B$23:$U$23,0)))*(VLOOKUP($B107,INDIRECT($B$5&amp;"生成成长"),3))*(VLOOKUP($B$5,标准坦克设计!$B$14:$K$20,9)/30))</f>
        <v>9.8505648287365197</v>
      </c>
      <c r="BW107" s="172">
        <f ca="1">(VLOOKUP(BW$72,INDIRECT($C$5&amp;"生成成长"),2))/((VLOOKUP($B107,INDIRECT($B$5&amp;"生成成长"),4))/(VLOOKUP(BW$72,INDIRECT($C$5&amp;"生成成长"),5))*(VLOOKUP($B$5,标准坦克设计!$B$24:$U$30,MATCH("对"&amp;LEFT($C$5,2)&amp;"输出",标准坦克设计!$B$23:$U$23,0)))*(VLOOKUP($B107,INDIRECT($B$5&amp;"生成成长"),3))*(VLOOKUP($B$5,标准坦克设计!$B$14:$K$20,9)/30))</f>
        <v>4.4893638845298049</v>
      </c>
      <c r="BX107" s="172">
        <f ca="1">(VLOOKUP(BX$72,INDIRECT($C$5&amp;"生成成长"),2))/((VLOOKUP($B107,INDIRECT($B$5&amp;"生成成长"),4))/(VLOOKUP(BX$72,INDIRECT($C$5&amp;"生成成长"),5))*(VLOOKUP($B$5,标准坦克设计!$B$24:$U$30,MATCH("对"&amp;LEFT($C$5,2)&amp;"输出",标准坦克设计!$B$23:$U$23,0)))*(VLOOKUP($B107,INDIRECT($B$5&amp;"生成成长"),3))*(VLOOKUP($B$5,标准坦克设计!$B$14:$K$20,9)/30))</f>
        <v>4.9823478793993869</v>
      </c>
      <c r="BY107" s="172">
        <f ca="1">(VLOOKUP(BY$72,INDIRECT($C$5&amp;"生成成长"),2))/((VLOOKUP($B107,INDIRECT($B$5&amp;"生成成长"),4))/(VLOOKUP(BY$72,INDIRECT($C$5&amp;"生成成长"),5))*(VLOOKUP($B$5,标准坦克设计!$B$24:$U$30,MATCH("对"&amp;LEFT($C$5,2)&amp;"输出",标准坦克设计!$B$23:$U$23,0)))*(VLOOKUP($B107,INDIRECT($B$5&amp;"生成成长"),3))*(VLOOKUP($B$5,标准坦克设计!$B$14:$K$20,9)/30))</f>
        <v>5.5010081240017614</v>
      </c>
      <c r="BZ107" s="172">
        <f ca="1">(VLOOKUP(BZ$72,INDIRECT($C$5&amp;"生成成长"),2))/((VLOOKUP($B107,INDIRECT($B$5&amp;"生成成长"),4))/(VLOOKUP(BZ$72,INDIRECT($C$5&amp;"生成成长"),5))*(VLOOKUP($B$5,标准坦克设计!$B$24:$U$30,MATCH("对"&amp;LEFT($C$5,2)&amp;"输出",标准坦克设计!$B$23:$U$23,0)))*(VLOOKUP($B107,INDIRECT($B$5&amp;"生成成长"),3))*(VLOOKUP($B$5,标准坦克设计!$B$14:$K$20,9)/30))</f>
        <v>6.0453446183369266</v>
      </c>
      <c r="CA107" s="172">
        <f ca="1">(VLOOKUP(CA$72,INDIRECT($C$5&amp;"生成成长"),2))/((VLOOKUP($B107,INDIRECT($B$5&amp;"生成成长"),4))/(VLOOKUP(CA$72,INDIRECT($C$5&amp;"生成成长"),5))*(VLOOKUP($B$5,标准坦克设计!$B$24:$U$30,MATCH("对"&amp;LEFT($C$5,2)&amp;"输出",标准坦克设计!$B$23:$U$23,0)))*(VLOOKUP($B107,INDIRECT($B$5&amp;"生成成长"),3))*(VLOOKUP($B$5,标准坦克设计!$B$14:$K$20,9)/30))</f>
        <v>6.6153573624048816</v>
      </c>
      <c r="CB107" s="172">
        <f ca="1">(VLOOKUP(CB$72,INDIRECT($C$5&amp;"生成成长"),2))/((VLOOKUP($B107,INDIRECT($B$5&amp;"生成成长"),4))/(VLOOKUP(CB$72,INDIRECT($C$5&amp;"生成成长"),5))*(VLOOKUP($B$5,标准坦克设计!$B$24:$U$30,MATCH("对"&amp;LEFT($C$5,2)&amp;"输出",标准坦克设计!$B$23:$U$23,0)))*(VLOOKUP($B107,INDIRECT($B$5&amp;"生成成长"),3))*(VLOOKUP($B$5,标准坦克设计!$B$14:$K$20,9)/30))</f>
        <v>7.2110463562056282</v>
      </c>
      <c r="CC107" s="172">
        <f ca="1">(VLOOKUP(CC$72,INDIRECT($C$5&amp;"生成成长"),2))/((VLOOKUP($B107,INDIRECT($B$5&amp;"生成成长"),4))/(VLOOKUP(CC$72,INDIRECT($C$5&amp;"生成成长"),5))*(VLOOKUP($B$5,标准坦克设计!$B$24:$U$30,MATCH("对"&amp;LEFT($C$5,2)&amp;"输出",标准坦克设计!$B$23:$U$23,0)))*(VLOOKUP($B107,INDIRECT($B$5&amp;"生成成长"),3))*(VLOOKUP($B$5,标准坦克设计!$B$14:$K$20,9)/30))</f>
        <v>7.8324115997391655</v>
      </c>
      <c r="CD107" s="172">
        <f ca="1">(VLOOKUP(CD$72,INDIRECT($C$5&amp;"生成成长"),2))/((VLOOKUP($B107,INDIRECT($B$5&amp;"生成成长"),4))/(VLOOKUP(CD$72,INDIRECT($C$5&amp;"生成成长"),5))*(VLOOKUP($B$5,标准坦克设计!$B$24:$U$30,MATCH("对"&amp;LEFT($C$5,2)&amp;"输出",标准坦克设计!$B$23:$U$23,0)))*(VLOOKUP($B107,INDIRECT($B$5&amp;"生成成长"),3))*(VLOOKUP($B$5,标准坦克设计!$B$14:$K$20,9)/30))</f>
        <v>8.4794530930054925</v>
      </c>
      <c r="CE107" s="172">
        <f ca="1">(VLOOKUP(CE$72,INDIRECT($C$5&amp;"生成成长"),2))/((VLOOKUP($B107,INDIRECT($B$5&amp;"生成成长"),4))/(VLOOKUP(CE$72,INDIRECT($C$5&amp;"生成成长"),5))*(VLOOKUP($B$5,标准坦克设计!$B$24:$U$30,MATCH("对"&amp;LEFT($C$5,2)&amp;"输出",标准坦克设计!$B$23:$U$23,0)))*(VLOOKUP($B107,INDIRECT($B$5&amp;"生成成长"),3))*(VLOOKUP($B$5,标准坦克设计!$B$14:$K$20,9)/30))</f>
        <v>9.1521708360046095</v>
      </c>
      <c r="CF107" s="172">
        <f ca="1">(VLOOKUP(CF$72,INDIRECT($C$5&amp;"生成成长"),2))/((VLOOKUP($B107,INDIRECT($B$5&amp;"生成成长"),4))/(VLOOKUP(CF$72,INDIRECT($C$5&amp;"生成成长"),5))*(VLOOKUP($B$5,标准坦克设计!$B$24:$U$30,MATCH("对"&amp;LEFT($C$5,2)&amp;"输出",标准坦克设计!$B$23:$U$23,0)))*(VLOOKUP($B107,INDIRECT($B$5&amp;"生成成长"),3))*(VLOOKUP($B$5,标准坦克设计!$B$14:$K$20,9)/30))</f>
        <v>9.8505648287365197</v>
      </c>
      <c r="CG107" s="172">
        <f ca="1">(VLOOKUP(CG$72,INDIRECT($C$5&amp;"生成成长"),2))/((VLOOKUP($B107,INDIRECT($B$5&amp;"生成成长"),4))/(VLOOKUP(CG$72,INDIRECT($C$5&amp;"生成成长"),5))*(VLOOKUP($B$5,标准坦克设计!$B$24:$U$30,MATCH("对"&amp;LEFT($C$5,2)&amp;"输出",标准坦克设计!$B$23:$U$23,0)))*(VLOOKUP($B107,INDIRECT($B$5&amp;"生成成长"),3))*(VLOOKUP($B$5,标准坦克设计!$B$14:$K$20,9)/30))</f>
        <v>10.57463507120122</v>
      </c>
      <c r="CH107" s="172">
        <f ca="1">(VLOOKUP(CH$72,INDIRECT($C$5&amp;"生成成长"),2))/((VLOOKUP($B107,INDIRECT($B$5&amp;"生成成长"),4))/(VLOOKUP(CH$72,INDIRECT($C$5&amp;"生成成长"),5))*(VLOOKUP($B$5,标准坦克设计!$B$24:$U$30,MATCH("对"&amp;LEFT($C$5,2)&amp;"输出",标准坦克设计!$B$23:$U$23,0)))*(VLOOKUP($B107,INDIRECT($B$5&amp;"生成成长"),3))*(VLOOKUP($B$5,标准坦克设计!$B$14:$K$20,9)/30))</f>
        <v>11.324381563398711</v>
      </c>
      <c r="CI107" s="172">
        <f ca="1">(VLOOKUP(CI$72,INDIRECT($C$5&amp;"生成成长"),2))/((VLOOKUP($B107,INDIRECT($B$5&amp;"生成成长"),4))/(VLOOKUP(CI$72,INDIRECT($C$5&amp;"生成成长"),5))*(VLOOKUP($B$5,标准坦克设计!$B$24:$U$30,MATCH("对"&amp;LEFT($C$5,2)&amp;"输出",标准坦克设计!$B$23:$U$23,0)))*(VLOOKUP($B107,INDIRECT($B$5&amp;"生成成长"),3))*(VLOOKUP($B$5,标准坦克设计!$B$14:$K$20,9)/30))</f>
        <v>12.178758773257323</v>
      </c>
      <c r="CJ107" s="172">
        <f ca="1">(VLOOKUP(CJ$72,INDIRECT($C$5&amp;"生成成长"),2))/((VLOOKUP($B107,INDIRECT($B$5&amp;"生成成长"),4))/(VLOOKUP(CJ$72,INDIRECT($C$5&amp;"生成成长"),5))*(VLOOKUP($B$5,标准坦克设计!$B$24:$U$30,MATCH("对"&amp;LEFT($C$5,2)&amp;"输出",标准坦克设计!$B$23:$U$23,0)))*(VLOOKUP($B107,INDIRECT($B$5&amp;"生成成长"),3))*(VLOOKUP($B$5,标准坦克设计!$B$14:$K$20,9)/30))</f>
        <v>13.064204245292615</v>
      </c>
      <c r="CK107" s="172">
        <f ca="1">(VLOOKUP(CK$72,INDIRECT($C$5&amp;"生成成长"),2))/((VLOOKUP($B107,INDIRECT($B$5&amp;"生成成长"),4))/(VLOOKUP(CK$72,INDIRECT($C$5&amp;"生成成长"),5))*(VLOOKUP($B$5,标准坦克设计!$B$24:$U$30,MATCH("对"&amp;LEFT($C$5,2)&amp;"输出",标准坦克设计!$B$23:$U$23,0)))*(VLOOKUP($B107,INDIRECT($B$5&amp;"生成成长"),3))*(VLOOKUP($B$5,标准坦克设计!$B$14:$K$20,9)/30))</f>
        <v>13.980717979504581</v>
      </c>
      <c r="CL107" s="172">
        <f ca="1">(VLOOKUP(CL$72,INDIRECT($C$5&amp;"生成成长"),2))/((VLOOKUP($B107,INDIRECT($B$5&amp;"生成成长"),4))/(VLOOKUP(CL$72,INDIRECT($C$5&amp;"生成成长"),5))*(VLOOKUP($B$5,标准坦克设计!$B$24:$U$30,MATCH("对"&amp;LEFT($C$5,2)&amp;"输出",标准坦克设计!$B$23:$U$23,0)))*(VLOOKUP($B107,INDIRECT($B$5&amp;"生成成长"),3))*(VLOOKUP($B$5,标准坦克设计!$B$14:$K$20,9)/30))</f>
        <v>14.928299975893227</v>
      </c>
      <c r="CM107" s="172">
        <f ca="1">(VLOOKUP(CM$72,INDIRECT($C$5&amp;"生成成长"),2))/((VLOOKUP($B107,INDIRECT($B$5&amp;"生成成长"),4))/(VLOOKUP(CM$72,INDIRECT($C$5&amp;"生成成长"),5))*(VLOOKUP($B$5,标准坦克设计!$B$24:$U$30,MATCH("对"&amp;LEFT($C$5,2)&amp;"输出",标准坦克设计!$B$23:$U$23,0)))*(VLOOKUP($B107,INDIRECT($B$5&amp;"生成成长"),3))*(VLOOKUP($B$5,标准坦克设计!$B$14:$K$20,9)/30))</f>
        <v>15.906950234458543</v>
      </c>
      <c r="CN107" s="172">
        <f ca="1">(VLOOKUP(CN$72,INDIRECT($C$5&amp;"生成成长"),2))/((VLOOKUP($B107,INDIRECT($B$5&amp;"生成成长"),4))/(VLOOKUP(CN$72,INDIRECT($C$5&amp;"生成成长"),5))*(VLOOKUP($B$5,标准坦克设计!$B$24:$U$30,MATCH("对"&amp;LEFT($C$5,2)&amp;"输出",标准坦克设计!$B$23:$U$23,0)))*(VLOOKUP($B107,INDIRECT($B$5&amp;"生成成长"),3))*(VLOOKUP($B$5,标准坦克设计!$B$14:$K$20,9)/30))</f>
        <v>16.916668755200543</v>
      </c>
      <c r="CO107" s="172">
        <f ca="1">(VLOOKUP(CO$72,INDIRECT($C$5&amp;"生成成长"),2))/((VLOOKUP($B107,INDIRECT($B$5&amp;"生成成长"),4))/(VLOOKUP(CO$72,INDIRECT($C$5&amp;"生成成长"),5))*(VLOOKUP($B$5,标准坦克设计!$B$24:$U$30,MATCH("对"&amp;LEFT($C$5,2)&amp;"输出",标准坦克设计!$B$23:$U$23,0)))*(VLOOKUP($B107,INDIRECT($B$5&amp;"生成成长"),3))*(VLOOKUP($B$5,标准坦克设计!$B$14:$K$20,9)/30))</f>
        <v>7.5807843523578144</v>
      </c>
      <c r="CP107" s="172">
        <f ca="1">(VLOOKUP(CP$72,INDIRECT($C$5&amp;"生成成长"),2))/((VLOOKUP($B107,INDIRECT($B$5&amp;"生成成长"),4))/(VLOOKUP(CP$72,INDIRECT($C$5&amp;"生成成长"),5))*(VLOOKUP($B$5,标准坦克设计!$B$24:$U$30,MATCH("对"&amp;LEFT($C$5,2)&amp;"输出",标准坦克设计!$B$23:$U$23,0)))*(VLOOKUP($B107,INDIRECT($B$5&amp;"生成成长"),3))*(VLOOKUP($B$5,标准坦克设计!$B$14:$K$20,9)/30))</f>
        <v>8.2826446388036512</v>
      </c>
      <c r="CQ107" s="172">
        <f ca="1">(VLOOKUP(CQ$72,INDIRECT($C$5&amp;"生成成长"),2))/((VLOOKUP($B107,INDIRECT($B$5&amp;"生成成长"),4))/(VLOOKUP(CQ$72,INDIRECT($C$5&amp;"生成成长"),5))*(VLOOKUP($B$5,标准坦克设计!$B$24:$U$30,MATCH("对"&amp;LEFT($C$5,2)&amp;"输出",标准坦克设计!$B$23:$U$23,0)))*(VLOOKUP($B107,INDIRECT($B$5&amp;"生成成长"),3))*(VLOOKUP($B$5,标准坦克设计!$B$14:$K$20,9)/30))</f>
        <v>9.0155731874261633</v>
      </c>
      <c r="CR107" s="172">
        <f ca="1">(VLOOKUP(CR$72,INDIRECT($C$5&amp;"生成成长"),2))/((VLOOKUP($B107,INDIRECT($B$5&amp;"生成成长"),4))/(VLOOKUP(CR$72,INDIRECT($C$5&amp;"生成成长"),5))*(VLOOKUP($B$5,标准坦克设计!$B$24:$U$30,MATCH("对"&amp;LEFT($C$5,2)&amp;"输出",标准坦克设计!$B$23:$U$23,0)))*(VLOOKUP($B107,INDIRECT($B$5&amp;"生成成长"),3))*(VLOOKUP($B$5,标准坦克设计!$B$14:$K$20,9)/30))</f>
        <v>9.7795699982253534</v>
      </c>
      <c r="CS107" s="172">
        <f ca="1">(VLOOKUP(CS$72,INDIRECT($C$5&amp;"生成成长"),2))/((VLOOKUP($B107,INDIRECT($B$5&amp;"生成成长"),4))/(VLOOKUP(CS$72,INDIRECT($C$5&amp;"生成成长"),5))*(VLOOKUP($B$5,标准坦克设计!$B$24:$U$30,MATCH("对"&amp;LEFT($C$5,2)&amp;"输出",标准坦克设计!$B$23:$U$23,0)))*(VLOOKUP($B107,INDIRECT($B$5&amp;"生成成长"),3))*(VLOOKUP($B$5,标准坦克设计!$B$14:$K$20,9)/30))</f>
        <v>10.57463507120122</v>
      </c>
      <c r="CT107" s="172">
        <f ca="1">(VLOOKUP(CT$72,INDIRECT($C$5&amp;"生成成长"),2))/((VLOOKUP($B107,INDIRECT($B$5&amp;"生成成长"),4))/(VLOOKUP(CT$72,INDIRECT($C$5&amp;"生成成长"),5))*(VLOOKUP($B$5,标准坦克设计!$B$24:$U$30,MATCH("对"&amp;LEFT($C$5,2)&amp;"输出",标准坦克设计!$B$23:$U$23,0)))*(VLOOKUP($B107,INDIRECT($B$5&amp;"生成成长"),3))*(VLOOKUP($B$5,标准坦克设计!$B$14:$K$20,9)/30))</f>
        <v>11.400768406353764</v>
      </c>
      <c r="CU107" s="172">
        <f ca="1">(VLOOKUP(CU$72,INDIRECT($C$5&amp;"生成成长"),2))/((VLOOKUP($B107,INDIRECT($B$5&amp;"生成成长"),4))/(VLOOKUP(CU$72,INDIRECT($C$5&amp;"生成成长"),5))*(VLOOKUP($B$5,标准坦克设计!$B$24:$U$30,MATCH("对"&amp;LEFT($C$5,2)&amp;"输出",标准坦克设计!$B$23:$U$23,0)))*(VLOOKUP($B107,INDIRECT($B$5&amp;"生成成长"),3))*(VLOOKUP($B$5,标准坦克设计!$B$14:$K$20,9)/30))</f>
        <v>12.257970003682985</v>
      </c>
      <c r="CV107" s="172">
        <f ca="1">(VLOOKUP(CV$72,INDIRECT($C$5&amp;"生成成长"),2))/((VLOOKUP($B107,INDIRECT($B$5&amp;"生成成长"),4))/(VLOOKUP(CV$72,INDIRECT($C$5&amp;"生成成长"),5))*(VLOOKUP($B$5,标准坦克设计!$B$24:$U$30,MATCH("对"&amp;LEFT($C$5,2)&amp;"输出",标准坦克设计!$B$23:$U$23,0)))*(VLOOKUP($B107,INDIRECT($B$5&amp;"生成成长"),3))*(VLOOKUP($B$5,标准坦克设计!$B$14:$K$20,9)/30))</f>
        <v>13.146239863188882</v>
      </c>
      <c r="CW107" s="172">
        <f ca="1">(VLOOKUP(CW$72,INDIRECT($C$5&amp;"生成成长"),2))/((VLOOKUP($B107,INDIRECT($B$5&amp;"生成成长"),4))/(VLOOKUP(CW$72,INDIRECT($C$5&amp;"生成成长"),5))*(VLOOKUP($B$5,标准坦克设计!$B$24:$U$30,MATCH("对"&amp;LEFT($C$5,2)&amp;"输出",标准坦克设计!$B$23:$U$23,0)))*(VLOOKUP($B107,INDIRECT($B$5&amp;"生成成长"),3))*(VLOOKUP($B$5,标准坦克设计!$B$14:$K$20,9)/30))</f>
        <v>14.065577984871455</v>
      </c>
      <c r="CX107" s="172">
        <f ca="1">(VLOOKUP(CX$72,INDIRECT($C$5&amp;"生成成长"),2))/((VLOOKUP($B107,INDIRECT($B$5&amp;"生成成长"),4))/(VLOOKUP(CX$72,INDIRECT($C$5&amp;"生成成长"),5))*(VLOOKUP($B$5,标准坦克设计!$B$24:$U$30,MATCH("对"&amp;LEFT($C$5,2)&amp;"输出",标准坦克设计!$B$23:$U$23,0)))*(VLOOKUP($B107,INDIRECT($B$5&amp;"生成成长"),3))*(VLOOKUP($B$5,标准坦克设计!$B$14:$K$20,9)/30))</f>
        <v>15.015984368730708</v>
      </c>
      <c r="CY107" s="172">
        <f ca="1">(VLOOKUP(CY$72,INDIRECT($C$5&amp;"生成成长"),2))/((VLOOKUP($B107,INDIRECT($B$5&amp;"生成成长"),4))/(VLOOKUP(CY$72,INDIRECT($C$5&amp;"生成成长"),5))*(VLOOKUP($B$5,标准坦克设计!$B$24:$U$30,MATCH("对"&amp;LEFT($C$5,2)&amp;"输出",标准坦克设计!$B$23:$U$23,0)))*(VLOOKUP($B107,INDIRECT($B$5&amp;"生成成长"),3))*(VLOOKUP($B$5,标准坦克设计!$B$14:$K$20,9)/30))</f>
        <v>15.997459014766632</v>
      </c>
      <c r="CZ107" s="172">
        <f ca="1">(VLOOKUP(CZ$72,INDIRECT($C$5&amp;"生成成长"),2))/((VLOOKUP($B107,INDIRECT($B$5&amp;"生成成长"),4))/(VLOOKUP(CZ$72,INDIRECT($C$5&amp;"生成成长"),5))*(VLOOKUP($B$5,标准坦克设计!$B$24:$U$30,MATCH("对"&amp;LEFT($C$5,2)&amp;"输出",标准坦克设计!$B$23:$U$23,0)))*(VLOOKUP($B107,INDIRECT($B$5&amp;"生成成长"),3))*(VLOOKUP($B$5,标准坦克设计!$B$14:$K$20,9)/30))</f>
        <v>17.010001922979239</v>
      </c>
      <c r="DA107" s="172">
        <f ca="1">(VLOOKUP(DA$72,INDIRECT($C$5&amp;"生成成长"),2))/((VLOOKUP($B107,INDIRECT($B$5&amp;"生成成长"),4))/(VLOOKUP(DA$72,INDIRECT($C$5&amp;"生成成长"),5))*(VLOOKUP($B$5,标准坦克设计!$B$24:$U$30,MATCH("对"&amp;LEFT($C$5,2)&amp;"输出",标准坦克设计!$B$23:$U$23,0)))*(VLOOKUP($B107,INDIRECT($B$5&amp;"生成成长"),3))*(VLOOKUP($B$5,标准坦克设计!$B$14:$K$20,9)/30))</f>
        <v>18.053613093368519</v>
      </c>
      <c r="DB107" s="172">
        <f ca="1">(VLOOKUP(DB$72,INDIRECT($C$5&amp;"生成成长"),2))/((VLOOKUP($B107,INDIRECT($B$5&amp;"生成成长"),4))/(VLOOKUP(DB$72,INDIRECT($C$5&amp;"生成成长"),5))*(VLOOKUP($B$5,标准坦克设计!$B$24:$U$30,MATCH("对"&amp;LEFT($C$5,2)&amp;"输出",标准坦克设计!$B$23:$U$23,0)))*(VLOOKUP($B107,INDIRECT($B$5&amp;"生成成长"),3))*(VLOOKUP($B$5,标准坦克设计!$B$14:$K$20,9)/30))</f>
        <v>19.12829252593448</v>
      </c>
      <c r="DC107" s="172">
        <f ca="1">(VLOOKUP(DC$72,INDIRECT($C$5&amp;"生成成长"),2))/((VLOOKUP($B107,INDIRECT($B$5&amp;"生成成长"),4))/(VLOOKUP(DC$72,INDIRECT($C$5&amp;"生成成长"),5))*(VLOOKUP($B$5,标准坦克设计!$B$24:$U$30,MATCH("对"&amp;LEFT($C$5,2)&amp;"输出",标准坦克设计!$B$23:$U$23,0)))*(VLOOKUP($B107,INDIRECT($B$5&amp;"生成成长"),3))*(VLOOKUP($B$5,标准坦克设计!$B$14:$K$20,9)/30))</f>
        <v>20.336103313364955</v>
      </c>
      <c r="DD107" s="172">
        <f ca="1">(VLOOKUP(DD$72,INDIRECT($C$5&amp;"生成成长"),2))/((VLOOKUP($B107,INDIRECT($B$5&amp;"生成成长"),4))/(VLOOKUP(DD$72,INDIRECT($C$5&amp;"生成成长"),5))*(VLOOKUP($B$5,标准坦克设计!$B$24:$U$30,MATCH("对"&amp;LEFT($C$5,2)&amp;"输出",标准坦克设计!$B$23:$U$23,0)))*(VLOOKUP($B107,INDIRECT($B$5&amp;"生成成长"),3))*(VLOOKUP($B$5,标准坦克设计!$B$14:$K$20,9)/30))</f>
        <v>21.580887900410655</v>
      </c>
      <c r="DE107" s="172">
        <f ca="1">(VLOOKUP(DE$72,INDIRECT($C$5&amp;"生成成长"),2))/((VLOOKUP($B107,INDIRECT($B$5&amp;"生成成长"),4))/(VLOOKUP(DE$72,INDIRECT($C$5&amp;"生成成长"),5))*(VLOOKUP($B$5,标准坦克设计!$B$24:$U$30,MATCH("对"&amp;LEFT($C$5,2)&amp;"输出",标准坦克设计!$B$23:$U$23,0)))*(VLOOKUP($B107,INDIRECT($B$5&amp;"生成成长"),3))*(VLOOKUP($B$5,标准坦克设计!$B$14:$K$20,9)/30))</f>
        <v>22.862646287071566</v>
      </c>
      <c r="DF107" s="172">
        <f ca="1">(VLOOKUP(DF$72,INDIRECT($C$5&amp;"生成成长"),2))/((VLOOKUP($B107,INDIRECT($B$5&amp;"生成成长"),4))/(VLOOKUP(DF$72,INDIRECT($C$5&amp;"生成成长"),5))*(VLOOKUP($B$5,标准坦克设计!$B$24:$U$30,MATCH("对"&amp;LEFT($C$5,2)&amp;"输出",标准坦克设计!$B$23:$U$23,0)))*(VLOOKUP($B107,INDIRECT($B$5&amp;"生成成长"),3))*(VLOOKUP($B$5,标准坦克设计!$B$14:$K$20,9)/30))</f>
        <v>24.181378473347706</v>
      </c>
      <c r="DG107" s="172">
        <f ca="1">(VLOOKUP(DG$72,INDIRECT($C$5&amp;"生成成长"),2))/((VLOOKUP($B107,INDIRECT($B$5&amp;"生成成长"),4))/(VLOOKUP(DG$72,INDIRECT($C$5&amp;"生成成长"),5))*(VLOOKUP($B$5,标准坦克设计!$B$24:$U$30,MATCH("对"&amp;LEFT($C$5,2)&amp;"输出",标准坦克设计!$B$23:$U$23,0)))*(VLOOKUP($B107,INDIRECT($B$5&amp;"生成成长"),3))*(VLOOKUP($B$5,标准坦克设计!$B$14:$K$20,9)/30))</f>
        <v>25.537084459239054</v>
      </c>
      <c r="DH107" s="172">
        <f ca="1">(VLOOKUP(DH$72,INDIRECT($C$5&amp;"生成成长"),2))/((VLOOKUP($B107,INDIRECT($B$5&amp;"生成成长"),4))/(VLOOKUP(DH$72,INDIRECT($C$5&amp;"生成成长"),5))*(VLOOKUP($B$5,标准坦克设计!$B$24:$U$30,MATCH("对"&amp;LEFT($C$5,2)&amp;"输出",标准坦克设计!$B$23:$U$23,0)))*(VLOOKUP($B107,INDIRECT($B$5&amp;"生成成长"),3))*(VLOOKUP($B$5,标准坦克设计!$B$14:$K$20,9)/30))</f>
        <v>26.92976424474563</v>
      </c>
      <c r="DI107" s="172">
        <f ca="1">(VLOOKUP(DI$72,INDIRECT($C$5&amp;"生成成长"),2))/((VLOOKUP($B107,INDIRECT($B$5&amp;"生成成长"),4))/(VLOOKUP(DI$72,INDIRECT($C$5&amp;"生成成长"),5))*(VLOOKUP($B$5,标准坦克设计!$B$24:$U$30,MATCH("对"&amp;LEFT($C$5,2)&amp;"输出",标准坦克设计!$B$23:$U$23,0)))*(VLOOKUP($B107,INDIRECT($B$5&amp;"生成成长"),3))*(VLOOKUP($B$5,标准坦克设计!$B$14:$K$20,9)/30))</f>
        <v>28.359417829867425</v>
      </c>
      <c r="DJ107" s="172">
        <f ca="1">(VLOOKUP(DJ$72,INDIRECT($C$5&amp;"生成成长"),2))/((VLOOKUP($B107,INDIRECT($B$5&amp;"生成成长"),4))/(VLOOKUP(DJ$72,INDIRECT($C$5&amp;"生成成长"),5))*(VLOOKUP($B$5,标准坦克设计!$B$24:$U$30,MATCH("对"&amp;LEFT($C$5,2)&amp;"输出",标准坦克设计!$B$23:$U$23,0)))*(VLOOKUP($B107,INDIRECT($B$5&amp;"生成成长"),3))*(VLOOKUP($B$5,标准坦克设计!$B$14:$K$20,9)/30))</f>
        <v>2.8501921015884411</v>
      </c>
      <c r="DK107" s="172">
        <f ca="1">(VLOOKUP(DK$72,INDIRECT($C$5&amp;"生成成长"),2))/((VLOOKUP($B107,INDIRECT($B$5&amp;"生成成长"),4))/(VLOOKUP(DK$72,INDIRECT($C$5&amp;"生成成长"),5))*(VLOOKUP($B$5,标准坦克设计!$B$24:$U$30,MATCH("对"&amp;LEFT($C$5,2)&amp;"输出",标准坦克设计!$B$23:$U$23,0)))*(VLOOKUP($B107,INDIRECT($B$5&amp;"生成成长"),3))*(VLOOKUP($B$5,标准坦克设计!$B$14:$K$20,9)/30))</f>
        <v>3.2049094916469452</v>
      </c>
      <c r="DL107" s="172">
        <f ca="1">(VLOOKUP(DL$72,INDIRECT($C$5&amp;"生成成长"),2))/((VLOOKUP($B107,INDIRECT($B$5&amp;"生成成长"),4))/(VLOOKUP(DL$72,INDIRECT($C$5&amp;"生成成长"),5))*(VLOOKUP($B$5,标准坦克设计!$B$24:$U$30,MATCH("对"&amp;LEFT($C$5,2)&amp;"输出",标准坦克设计!$B$23:$U$23,0)))*(VLOOKUP($B107,INDIRECT($B$5&amp;"生成成长"),3))*(VLOOKUP($B$5,标准坦克设计!$B$14:$K$20,9)/30))</f>
        <v>3.5804246439890108</v>
      </c>
      <c r="DM107" s="172">
        <f ca="1">(VLOOKUP(DM$72,INDIRECT($C$5&amp;"生成成长"),2))/((VLOOKUP($B107,INDIRECT($B$5&amp;"生成成长"),4))/(VLOOKUP(DM$72,INDIRECT($C$5&amp;"生成成长"),5))*(VLOOKUP($B$5,标准坦克设计!$B$24:$U$30,MATCH("对"&amp;LEFT($C$5,2)&amp;"输出",标准坦克设计!$B$23:$U$23,0)))*(VLOOKUP($B107,INDIRECT($B$5&amp;"生成成长"),3))*(VLOOKUP($B$5,标准坦克设计!$B$14:$K$20,9)/30))</f>
        <v>3.9767375586146358</v>
      </c>
      <c r="DN107" s="172">
        <f ca="1">(VLOOKUP(DN$72,INDIRECT($C$5&amp;"生成成长"),2))/((VLOOKUP($B107,INDIRECT($B$5&amp;"生成成长"),4))/(VLOOKUP(DN$72,INDIRECT($C$5&amp;"生成成长"),5))*(VLOOKUP($B$5,标准坦克设计!$B$24:$U$30,MATCH("对"&amp;LEFT($C$5,2)&amp;"输出",标准坦克设计!$B$23:$U$23,0)))*(VLOOKUP($B107,INDIRECT($B$5&amp;"生成成长"),3))*(VLOOKUP($B$5,标准坦克设计!$B$14:$K$20,9)/30))</f>
        <v>4.393848235523822</v>
      </c>
      <c r="DO107" s="172">
        <f ca="1">(VLOOKUP(DO$72,INDIRECT($C$5&amp;"生成成长"),2))/((VLOOKUP($B107,INDIRECT($B$5&amp;"生成成长"),4))/(VLOOKUP(DO$72,INDIRECT($C$5&amp;"生成成长"),5))*(VLOOKUP($B$5,标准坦克设计!$B$24:$U$30,MATCH("对"&amp;LEFT($C$5,2)&amp;"输出",标准坦克设计!$B$23:$U$23,0)))*(VLOOKUP($B107,INDIRECT($B$5&amp;"生成成长"),3))*(VLOOKUP($B$5,标准坦克设计!$B$14:$K$20,9)/30))</f>
        <v>4.8317566747165701</v>
      </c>
      <c r="DP107" s="172">
        <f ca="1">(VLOOKUP(DP$72,INDIRECT($C$5&amp;"生成成长"),2))/((VLOOKUP($B107,INDIRECT($B$5&amp;"生成成长"),4))/(VLOOKUP(DP$72,INDIRECT($C$5&amp;"生成成长"),5))*(VLOOKUP($B$5,标准坦克设计!$B$24:$U$30,MATCH("对"&amp;LEFT($C$5,2)&amp;"输出",标准坦克设计!$B$23:$U$23,0)))*(VLOOKUP($B107,INDIRECT($B$5&amp;"生成成长"),3))*(VLOOKUP($B$5,标准坦克设计!$B$14:$K$20,9)/30))</f>
        <v>5.2904628761928763</v>
      </c>
      <c r="DQ107" s="172">
        <f ca="1">(VLOOKUP(DQ$72,INDIRECT($C$5&amp;"生成成长"),2))/((VLOOKUP($B107,INDIRECT($B$5&amp;"生成成长"),4))/(VLOOKUP(DQ$72,INDIRECT($C$5&amp;"生成成长"),5))*(VLOOKUP($B$5,标准坦克设计!$B$24:$U$30,MATCH("对"&amp;LEFT($C$5,2)&amp;"输出",标准坦克设计!$B$23:$U$23,0)))*(VLOOKUP($B107,INDIRECT($B$5&amp;"生成成长"),3))*(VLOOKUP($B$5,标准坦克设计!$B$14:$K$20,9)/30))</f>
        <v>5.7699668399527457</v>
      </c>
      <c r="DR107" s="172">
        <f ca="1">(VLOOKUP(DR$72,INDIRECT($C$5&amp;"生成成长"),2))/((VLOOKUP($B107,INDIRECT($B$5&amp;"生成成长"),4))/(VLOOKUP(DR$72,INDIRECT($C$5&amp;"生成成长"),5))*(VLOOKUP($B$5,标准坦克设计!$B$24:$U$30,MATCH("对"&amp;LEFT($C$5,2)&amp;"输出",标准坦克设计!$B$23:$U$23,0)))*(VLOOKUP($B107,INDIRECT($B$5&amp;"生成成长"),3))*(VLOOKUP($B$5,标准坦克设计!$B$14:$K$20,9)/30))</f>
        <v>6.2702685659961732</v>
      </c>
      <c r="DS107" s="172">
        <f ca="1">(VLOOKUP(DS$72,INDIRECT($C$5&amp;"生成成长"),2))/((VLOOKUP($B107,INDIRECT($B$5&amp;"生成成长"),4))/(VLOOKUP(DS$72,INDIRECT($C$5&amp;"生成成长"),5))*(VLOOKUP($B$5,标准坦克设计!$B$24:$U$30,MATCH("对"&amp;LEFT($C$5,2)&amp;"输出",标准坦克设计!$B$23:$U$23,0)))*(VLOOKUP($B107,INDIRECT($B$5&amp;"生成成长"),3))*(VLOOKUP($B$5,标准坦克设计!$B$14:$K$20,9)/30))</f>
        <v>6.7913680543231632</v>
      </c>
      <c r="DT107" s="172">
        <f ca="1">(VLOOKUP(DT$72,INDIRECT($C$5&amp;"生成成长"),2))/((VLOOKUP($B107,INDIRECT($B$5&amp;"生成成长"),4))/(VLOOKUP(DT$72,INDIRECT($C$5&amp;"生成成长"),5))*(VLOOKUP($B$5,标准坦克设计!$B$24:$U$30,MATCH("对"&amp;LEFT($C$5,2)&amp;"输出",标准坦克设计!$B$23:$U$23,0)))*(VLOOKUP($B107,INDIRECT($B$5&amp;"生成成长"),3))*(VLOOKUP($B$5,标准坦克设计!$B$14:$K$20,9)/30))</f>
        <v>7.4565113036511068</v>
      </c>
      <c r="DU107" s="172">
        <f ca="1">(VLOOKUP(DU$72,INDIRECT($C$5&amp;"生成成长"),2))/((VLOOKUP($B107,INDIRECT($B$5&amp;"生成成长"),4))/(VLOOKUP(DU$72,INDIRECT($C$5&amp;"生成成长"),5))*(VLOOKUP($B$5,标准坦克设计!$B$24:$U$30,MATCH("对"&amp;LEFT($C$5,2)&amp;"输出",标准坦克设计!$B$23:$U$23,0)))*(VLOOKUP($B107,INDIRECT($B$5&amp;"生成成长"),3))*(VLOOKUP($B$5,标准坦克设计!$B$14:$K$20,9)/30))</f>
        <v>8.1527228151557303</v>
      </c>
      <c r="DV107" s="172">
        <f ca="1">(VLOOKUP(DV$72,INDIRECT($C$5&amp;"生成成长"),2))/((VLOOKUP($B107,INDIRECT($B$5&amp;"生成成长"),4))/(VLOOKUP(DV$72,INDIRECT($C$5&amp;"生成成长"),5))*(VLOOKUP($B$5,标准坦克设计!$B$24:$U$30,MATCH("对"&amp;LEFT($C$5,2)&amp;"输出",标准坦克设计!$B$23:$U$23,0)))*(VLOOKUP($B107,INDIRECT($B$5&amp;"生成成长"),3))*(VLOOKUP($B$5,标准坦克设计!$B$14:$K$20,9)/30))</f>
        <v>8.8800025888370282</v>
      </c>
      <c r="DW107" s="172">
        <f ca="1">(VLOOKUP(DW$72,INDIRECT($C$5&amp;"生成成长"),2))/((VLOOKUP($B107,INDIRECT($B$5&amp;"生成成长"),4))/(VLOOKUP(DW$72,INDIRECT($C$5&amp;"生成成长"),5))*(VLOOKUP($B$5,标准坦克设计!$B$24:$U$30,MATCH("对"&amp;LEFT($C$5,2)&amp;"输出",标准坦克设计!$B$23:$U$23,0)))*(VLOOKUP($B107,INDIRECT($B$5&amp;"生成成长"),3))*(VLOOKUP($B$5,标准坦克设计!$B$14:$K$20,9)/30))</f>
        <v>9.6383506246950041</v>
      </c>
      <c r="DX107" s="172">
        <f ca="1">(VLOOKUP(DX$72,INDIRECT($C$5&amp;"生成成长"),2))/((VLOOKUP($B107,INDIRECT($B$5&amp;"生成成长"),4))/(VLOOKUP(DX$72,INDIRECT($C$5&amp;"生成成长"),5))*(VLOOKUP($B$5,标准坦克设计!$B$24:$U$30,MATCH("对"&amp;LEFT($C$5,2)&amp;"输出",标准坦克设计!$B$23:$U$23,0)))*(VLOOKUP($B107,INDIRECT($B$5&amp;"生成成长"),3))*(VLOOKUP($B$5,标准坦克设计!$B$14:$K$20,9)/30))</f>
        <v>10.427766922729656</v>
      </c>
      <c r="DY107" s="172">
        <f ca="1">(VLOOKUP(DY$72,INDIRECT($C$5&amp;"生成成长"),2))/((VLOOKUP($B107,INDIRECT($B$5&amp;"生成成长"),4))/(VLOOKUP(DY$72,INDIRECT($C$5&amp;"生成成长"),5))*(VLOOKUP($B$5,标准坦克设计!$B$24:$U$30,MATCH("对"&amp;LEFT($C$5,2)&amp;"输出",标准坦克设计!$B$23:$U$23,0)))*(VLOOKUP($B107,INDIRECT($B$5&amp;"生成成长"),3))*(VLOOKUP($B$5,标准坦克设计!$B$14:$K$20,9)/30))</f>
        <v>4.6834763325097031</v>
      </c>
      <c r="DZ107" s="172">
        <f ca="1">(VLOOKUP(DZ$72,INDIRECT($C$5&amp;"生成成长"),2))/((VLOOKUP($B107,INDIRECT($B$5&amp;"生成成长"),4))/(VLOOKUP(DZ$72,INDIRECT($C$5&amp;"生成成长"),5))*(VLOOKUP($B$5,标准坦克设计!$B$24:$U$30,MATCH("对"&amp;LEFT($C$5,2)&amp;"输出",标准坦克设计!$B$23:$U$23,0)))*(VLOOKUP($B107,INDIRECT($B$5&amp;"生成成长"),3))*(VLOOKUP($B$5,标准坦克设计!$B$14:$K$20,9)/30))</f>
        <v>5.1867308272724024</v>
      </c>
      <c r="EA107" s="172">
        <f ca="1">(VLOOKUP(EA$72,INDIRECT($C$5&amp;"生成成长"),2))/((VLOOKUP($B107,INDIRECT($B$5&amp;"生成成长"),4))/(VLOOKUP(EA$72,INDIRECT($C$5&amp;"生成成长"),5))*(VLOOKUP($B$5,标准坦克设计!$B$24:$U$30,MATCH("对"&amp;LEFT($C$5,2)&amp;"输出",标准坦克设计!$B$23:$U$23,0)))*(VLOOKUP($B107,INDIRECT($B$5&amp;"生成成长"),3))*(VLOOKUP($B$5,标准坦克设计!$B$14:$K$20,9)/30))</f>
        <v>5.7156615717678916</v>
      </c>
      <c r="EB107" s="172">
        <f ca="1">(VLOOKUP(EB$72,INDIRECT($C$5&amp;"生成成长"),2))/((VLOOKUP($B107,INDIRECT($B$5&amp;"生成成长"),4))/(VLOOKUP(EB$72,INDIRECT($C$5&amp;"生成成长"),5))*(VLOOKUP($B$5,标准坦克设计!$B$24:$U$30,MATCH("对"&amp;LEFT($C$5,2)&amp;"输出",标准坦克设计!$B$23:$U$23,0)))*(VLOOKUP($B107,INDIRECT($B$5&amp;"生成成长"),3))*(VLOOKUP($B$5,标准坦克设计!$B$14:$K$20,9)/30))</f>
        <v>6.2702685659961732</v>
      </c>
      <c r="EC107" s="172">
        <f ca="1">(VLOOKUP(EC$72,INDIRECT($C$5&amp;"生成成长"),2))/((VLOOKUP($B107,INDIRECT($B$5&amp;"生成成长"),4))/(VLOOKUP(EC$72,INDIRECT($C$5&amp;"生成成长"),5))*(VLOOKUP($B$5,标准坦克设计!$B$24:$U$30,MATCH("对"&amp;LEFT($C$5,2)&amp;"输出",标准坦克设计!$B$23:$U$23,0)))*(VLOOKUP($B107,INDIRECT($B$5&amp;"生成成长"),3))*(VLOOKUP($B$5,标准坦克设计!$B$14:$K$20,9)/30))</f>
        <v>6.8505518099572447</v>
      </c>
      <c r="ED107" s="172">
        <f ca="1">(VLOOKUP(ED$72,INDIRECT($C$5&amp;"生成成长"),2))/((VLOOKUP($B107,INDIRECT($B$5&amp;"生成成长"),4))/(VLOOKUP(ED$72,INDIRECT($C$5&amp;"生成成长"),5))*(VLOOKUP($B$5,标准坦克设计!$B$24:$U$30,MATCH("对"&amp;LEFT($C$5,2)&amp;"输出",标准坦克设计!$B$23:$U$23,0)))*(VLOOKUP($B107,INDIRECT($B$5&amp;"生成成长"),3))*(VLOOKUP($B$5,标准坦克设计!$B$14:$K$20,9)/30))</f>
        <v>7.4565113036511068</v>
      </c>
      <c r="EE107" s="172">
        <f ca="1">(VLOOKUP(EE$72,INDIRECT($C$5&amp;"生成成长"),2))/((VLOOKUP($B107,INDIRECT($B$5&amp;"生成成长"),4))/(VLOOKUP(EE$72,INDIRECT($C$5&amp;"生成成长"),5))*(VLOOKUP($B$5,标准坦克设计!$B$24:$U$30,MATCH("对"&amp;LEFT($C$5,2)&amp;"输出",标准坦克设计!$B$23:$U$23,0)))*(VLOOKUP($B107,INDIRECT($B$5&amp;"生成成长"),3))*(VLOOKUP($B$5,标准坦克设计!$B$14:$K$20,9)/30))</f>
        <v>8.0881470470777597</v>
      </c>
      <c r="EF107" s="172">
        <f ca="1">(VLOOKUP(EF$72,INDIRECT($C$5&amp;"生成成长"),2))/((VLOOKUP($B107,INDIRECT($B$5&amp;"生成成长"),4))/(VLOOKUP(EF$72,INDIRECT($C$5&amp;"生成成长"),5))*(VLOOKUP($B$5,标准坦克设计!$B$24:$U$30,MATCH("对"&amp;LEFT($C$5,2)&amp;"输出",标准坦克设计!$B$23:$U$23,0)))*(VLOOKUP($B107,INDIRECT($B$5&amp;"生成成长"),3))*(VLOOKUP($B$5,标准坦克设计!$B$14:$K$20,9)/30))</f>
        <v>8.7454590402372059</v>
      </c>
      <c r="EG107" s="172">
        <f ca="1">(VLOOKUP(EG$72,INDIRECT($C$5&amp;"生成成长"),2))/((VLOOKUP($B107,INDIRECT($B$5&amp;"生成成长"),4))/(VLOOKUP(EG$72,INDIRECT($C$5&amp;"生成成长"),5))*(VLOOKUP($B$5,标准坦克设计!$B$24:$U$30,MATCH("对"&amp;LEFT($C$5,2)&amp;"输出",标准坦克设计!$B$23:$U$23,0)))*(VLOOKUP($B107,INDIRECT($B$5&amp;"生成成长"),3))*(VLOOKUP($B$5,标准坦克设计!$B$14:$K$20,9)/30))</f>
        <v>9.4284472831294401</v>
      </c>
      <c r="EH107" s="172">
        <f ca="1">(VLOOKUP(EH$72,INDIRECT($C$5&amp;"生成成长"),2))/((VLOOKUP($B107,INDIRECT($B$5&amp;"生成成长"),4))/(VLOOKUP(EH$72,INDIRECT($C$5&amp;"生成成长"),5))*(VLOOKUP($B$5,标准坦克设计!$B$24:$U$30,MATCH("对"&amp;LEFT($C$5,2)&amp;"输出",标准坦克设计!$B$23:$U$23,0)))*(VLOOKUP($B107,INDIRECT($B$5&amp;"生成成长"),3))*(VLOOKUP($B$5,标准坦克设计!$B$14:$K$20,9)/30))</f>
        <v>10.137111775754464</v>
      </c>
      <c r="EI107" s="172">
        <f ca="1">(VLOOKUP(EI$72,INDIRECT($C$5&amp;"生成成长"),2))/((VLOOKUP($B107,INDIRECT($B$5&amp;"生成成长"),4))/(VLOOKUP(EI$72,INDIRECT($C$5&amp;"生成成长"),5))*(VLOOKUP($B$5,标准坦克设计!$B$24:$U$30,MATCH("对"&amp;LEFT($C$5,2)&amp;"输出",标准坦克设计!$B$23:$U$23,0)))*(VLOOKUP($B107,INDIRECT($B$5&amp;"生成成长"),3))*(VLOOKUP($B$5,标准坦克设计!$B$14:$K$20,9)/30))</f>
        <v>10.871452518112282</v>
      </c>
      <c r="EJ107" s="172">
        <f ca="1">(VLOOKUP(EJ$72,INDIRECT($C$5&amp;"生成成长"),2))/((VLOOKUP($B107,INDIRECT($B$5&amp;"生成成长"),4))/(VLOOKUP(EJ$72,INDIRECT($C$5&amp;"生成成长"),5))*(VLOOKUP($B$5,标准坦克设计!$B$24:$U$30,MATCH("对"&amp;LEFT($C$5,2)&amp;"输出",标准坦克设计!$B$23:$U$23,0)))*(VLOOKUP($B107,INDIRECT($B$5&amp;"生成成长"),3))*(VLOOKUP($B$5,标准坦克设计!$B$14:$K$20,9)/30))</f>
        <v>11.631469510202889</v>
      </c>
      <c r="EK107" s="172">
        <f ca="1">(VLOOKUP(EK$72,INDIRECT($C$5&amp;"生成成长"),2))/((VLOOKUP($B107,INDIRECT($B$5&amp;"生成成长"),4))/(VLOOKUP(EK$72,INDIRECT($C$5&amp;"生成成长"),5))*(VLOOKUP($B$5,标准坦克设计!$B$24:$U$30,MATCH("对"&amp;LEFT($C$5,2)&amp;"输出",标准坦克设计!$B$23:$U$23,0)))*(VLOOKUP($B107,INDIRECT($B$5&amp;"生成成长"),3))*(VLOOKUP($B$5,标准坦克设计!$B$14:$K$20,9)/30))</f>
        <v>12.577382550358902</v>
      </c>
      <c r="EL107" s="172">
        <f ca="1">(VLOOKUP(EL$72,INDIRECT($C$5&amp;"生成成长"),2))/((VLOOKUP($B107,INDIRECT($B$5&amp;"生成成长"),4))/(VLOOKUP(EL$72,INDIRECT($C$5&amp;"生成成长"),5))*(VLOOKUP($B$5,标准坦克设计!$B$24:$U$30,MATCH("对"&amp;LEFT($C$5,2)&amp;"输出",标准坦克设计!$B$23:$U$23,0)))*(VLOOKUP($B107,INDIRECT($B$5&amp;"生成成长"),3))*(VLOOKUP($B$5,标准坦克设计!$B$14:$K$20,9)/30))</f>
        <v>13.560269390130133</v>
      </c>
      <c r="EM107" s="172">
        <f ca="1">(VLOOKUP(EM$72,INDIRECT($C$5&amp;"生成成长"),2))/((VLOOKUP($B107,INDIRECT($B$5&amp;"生成成长"),4))/(VLOOKUP(EM$72,INDIRECT($C$5&amp;"生成成长"),5))*(VLOOKUP($B$5,标准坦克设计!$B$24:$U$30,MATCH("对"&amp;LEFT($C$5,2)&amp;"输出",标准坦克设计!$B$23:$U$23,0)))*(VLOOKUP($B107,INDIRECT($B$5&amp;"生成成长"),3))*(VLOOKUP($B$5,标准坦克设计!$B$14:$K$20,9)/30))</f>
        <v>14.580130029516583</v>
      </c>
      <c r="EN107" s="172">
        <f ca="1">(VLOOKUP(EN$72,INDIRECT($C$5&amp;"生成成长"),2))/((VLOOKUP($B107,INDIRECT($B$5&amp;"生成成长"),4))/(VLOOKUP(EN$72,INDIRECT($C$5&amp;"生成成长"),5))*(VLOOKUP($B$5,标准坦克设计!$B$24:$U$30,MATCH("对"&amp;LEFT($C$5,2)&amp;"输出",标准坦克设计!$B$23:$U$23,0)))*(VLOOKUP($B107,INDIRECT($B$5&amp;"生成成长"),3))*(VLOOKUP($B$5,标准坦克设计!$B$14:$K$20,9)/30))</f>
        <v>15.636964468518251</v>
      </c>
      <c r="EO107" s="172">
        <f ca="1">(VLOOKUP(EO$72,INDIRECT($C$5&amp;"生成成长"),2))/((VLOOKUP($B107,INDIRECT($B$5&amp;"生成成长"),4))/(VLOOKUP(EO$72,INDIRECT($C$5&amp;"生成成长"),5))*(VLOOKUP($B$5,标准坦克设计!$B$24:$U$30,MATCH("对"&amp;LEFT($C$5,2)&amp;"输出",标准坦克设计!$B$23:$U$23,0)))*(VLOOKUP($B107,INDIRECT($B$5&amp;"生成成长"),3))*(VLOOKUP($B$5,标准坦克设计!$B$14:$K$20,9)/30))</f>
        <v>16.730772707135138</v>
      </c>
      <c r="EP107" s="172">
        <f ca="1">(VLOOKUP(EP$72,INDIRECT($C$5&amp;"生成成长"),2))/((VLOOKUP($B107,INDIRECT($B$5&amp;"生成成长"),4))/(VLOOKUP(EP$72,INDIRECT($C$5&amp;"生成成长"),5))*(VLOOKUP($B$5,标准坦克设计!$B$24:$U$30,MATCH("对"&amp;LEFT($C$5,2)&amp;"输出",标准坦克设计!$B$23:$U$23,0)))*(VLOOKUP($B107,INDIRECT($B$5&amp;"生成成长"),3))*(VLOOKUP($B$5,标准坦克设计!$B$14:$K$20,9)/30))</f>
        <v>17.861554745367247</v>
      </c>
      <c r="EQ107" s="172">
        <f ca="1">(VLOOKUP(EQ$72,INDIRECT($C$5&amp;"生成成长"),2))/((VLOOKUP($B107,INDIRECT($B$5&amp;"生成成长"),4))/(VLOOKUP(EQ$72,INDIRECT($C$5&amp;"生成成长"),5))*(VLOOKUP($B$5,标准坦克设计!$B$24:$U$30,MATCH("对"&amp;LEFT($C$5,2)&amp;"输出",标准坦克设计!$B$23:$U$23,0)))*(VLOOKUP($B107,INDIRECT($B$5&amp;"生成成长"),3))*(VLOOKUP($B$5,标准坦克设计!$B$14:$K$20,9)/30))</f>
        <v>7.8959603178278215</v>
      </c>
      <c r="ER107" s="172">
        <f ca="1">(VLOOKUP(ER$72,INDIRECT($C$5&amp;"生成成长"),2))/((VLOOKUP($B107,INDIRECT($B$5&amp;"生成成长"),4))/(VLOOKUP(ER$72,INDIRECT($C$5&amp;"生成成长"),5))*(VLOOKUP($B$5,标准坦克设计!$B$24:$U$30,MATCH("对"&amp;LEFT($C$5,2)&amp;"输出",标准坦克设计!$B$23:$U$23,0)))*(VLOOKUP($B107,INDIRECT($B$5&amp;"生成成长"),3))*(VLOOKUP($B$5,标准坦克设计!$B$14:$K$20,9)/30))</f>
        <v>8.611942541626691</v>
      </c>
      <c r="ES107" s="172">
        <f ca="1">(VLOOKUP(ES$72,INDIRECT($C$5&amp;"生成成长"),2))/((VLOOKUP($B107,INDIRECT($B$5&amp;"生成成长"),4))/(VLOOKUP(ES$72,INDIRECT($C$5&amp;"生成成长"),5))*(VLOOKUP($B$5,标准坦克设计!$B$24:$U$30,MATCH("对"&amp;LEFT($C$5,2)&amp;"输出",标准坦克设计!$B$23:$U$23,0)))*(VLOOKUP($B107,INDIRECT($B$5&amp;"生成成长"),3))*(VLOOKUP($B$5,标准坦克设计!$B$14:$K$20,9)/30))</f>
        <v>9.3589930276022404</v>
      </c>
      <c r="ET107" s="172">
        <f ca="1">(VLOOKUP(ET$72,INDIRECT($C$5&amp;"生成成长"),2))/((VLOOKUP($B107,INDIRECT($B$5&amp;"生成成长"),4))/(VLOOKUP(ET$72,INDIRECT($C$5&amp;"生成成长"),5))*(VLOOKUP($B$5,标准坦克设计!$B$24:$U$30,MATCH("对"&amp;LEFT($C$5,2)&amp;"输出",标准坦克设计!$B$23:$U$23,0)))*(VLOOKUP($B107,INDIRECT($B$5&amp;"生成成长"),3))*(VLOOKUP($B$5,标准坦克设计!$B$14:$K$20,9)/30))</f>
        <v>10.137111775754464</v>
      </c>
      <c r="EU107" s="172">
        <f ca="1">(VLOOKUP(EU$72,INDIRECT($C$5&amp;"生成成长"),2))/((VLOOKUP($B107,INDIRECT($B$5&amp;"生成成长"),4))/(VLOOKUP(EU$72,INDIRECT($C$5&amp;"生成成长"),5))*(VLOOKUP($B$5,标准坦克设计!$B$24:$U$30,MATCH("对"&amp;LEFT($C$5,2)&amp;"输出",标准坦克设计!$B$23:$U$23,0)))*(VLOOKUP($B107,INDIRECT($B$5&amp;"生成成长"),3))*(VLOOKUP($B$5,标准坦克设计!$B$14:$K$20,9)/30))</f>
        <v>10.946298786083366</v>
      </c>
      <c r="EV107" s="172">
        <f ca="1">(VLOOKUP(EV$72,INDIRECT($C$5&amp;"生成成长"),2))/((VLOOKUP($B107,INDIRECT($B$5&amp;"生成成长"),4))/(VLOOKUP(EV$72,INDIRECT($C$5&amp;"生成成长"),5))*(VLOOKUP($B$5,标准坦克设计!$B$24:$U$30,MATCH("对"&amp;LEFT($C$5,2)&amp;"输出",标准坦克设计!$B$23:$U$23,0)))*(VLOOKUP($B107,INDIRECT($B$5&amp;"生成成长"),3))*(VLOOKUP($B$5,标准坦克设计!$B$14:$K$20,9)/30))</f>
        <v>11.786554058588946</v>
      </c>
      <c r="EW107" s="172">
        <f ca="1">(VLOOKUP(EW$72,INDIRECT($C$5&amp;"生成成长"),2))/((VLOOKUP($B107,INDIRECT($B$5&amp;"生成成长"),4))/(VLOOKUP(EW$72,INDIRECT($C$5&amp;"生成成长"),5))*(VLOOKUP($B$5,标准坦克设计!$B$24:$U$30,MATCH("对"&amp;LEFT($C$5,2)&amp;"输出",标准坦克设计!$B$23:$U$23,0)))*(VLOOKUP($B107,INDIRECT($B$5&amp;"生成成长"),3))*(VLOOKUP($B$5,标准坦克设计!$B$14:$K$20,9)/30))</f>
        <v>12.657877593271198</v>
      </c>
      <c r="EX107" s="172">
        <f ca="1">(VLOOKUP(EX$72,INDIRECT($C$5&amp;"生成成长"),2))/((VLOOKUP($B107,INDIRECT($B$5&amp;"生成成长"),4))/(VLOOKUP(EX$72,INDIRECT($C$5&amp;"生成成长"),5))*(VLOOKUP($B$5,标准坦克设计!$B$24:$U$30,MATCH("对"&amp;LEFT($C$5,2)&amp;"输出",标准坦克设计!$B$23:$U$23,0)))*(VLOOKUP($B107,INDIRECT($B$5&amp;"生成成长"),3))*(VLOOKUP($B$5,标准坦克设计!$B$14:$K$20,9)/30))</f>
        <v>13.560269390130133</v>
      </c>
      <c r="EY107" s="172">
        <f ca="1">(VLOOKUP(EY$72,INDIRECT($C$5&amp;"生成成长"),2))/((VLOOKUP($B107,INDIRECT($B$5&amp;"生成成长"),4))/(VLOOKUP(EY$72,INDIRECT($C$5&amp;"生成成长"),5))*(VLOOKUP($B$5,标准坦克设计!$B$24:$U$30,MATCH("对"&amp;LEFT($C$5,2)&amp;"输出",标准坦克设计!$B$23:$U$23,0)))*(VLOOKUP($B107,INDIRECT($B$5&amp;"生成成长"),3))*(VLOOKUP($B$5,标准坦克设计!$B$14:$K$20,9)/30))</f>
        <v>14.493729449165741</v>
      </c>
      <c r="EZ107" s="172">
        <f ca="1">(VLOOKUP(EZ$72,INDIRECT($C$5&amp;"生成成长"),2))/((VLOOKUP($B107,INDIRECT($B$5&amp;"生成成长"),4))/(VLOOKUP(EZ$72,INDIRECT($C$5&amp;"生成成长"),5))*(VLOOKUP($B$5,标准坦克设计!$B$24:$U$30,MATCH("对"&amp;LEFT($C$5,2)&amp;"输出",标准坦克设计!$B$23:$U$23,0)))*(VLOOKUP($B107,INDIRECT($B$5&amp;"生成成长"),3))*(VLOOKUP($B$5,标准坦克设计!$B$14:$K$20,9)/30))</f>
        <v>15.458257770378026</v>
      </c>
      <c r="FA107" s="172">
        <f ca="1">(VLOOKUP(FA$72,INDIRECT($C$5&amp;"生成成长"),2))/((VLOOKUP($B107,INDIRECT($B$5&amp;"生成成长"),4))/(VLOOKUP(FA$72,INDIRECT($C$5&amp;"生成成长"),5))*(VLOOKUP($B$5,标准坦克设计!$B$24:$U$30,MATCH("对"&amp;LEFT($C$5,2)&amp;"输出",标准坦克设计!$B$23:$U$23,0)))*(VLOOKUP($B107,INDIRECT($B$5&amp;"生成成长"),3))*(VLOOKUP($B$5,标准坦克设计!$B$14:$K$20,9)/30))</f>
        <v>16.453854353766989</v>
      </c>
      <c r="FB107" s="172">
        <f ca="1">(VLOOKUP(FB$72,INDIRECT($C$5&amp;"生成成长"),2))/((VLOOKUP($B107,INDIRECT($B$5&amp;"生成成长"),4))/(VLOOKUP(FB$72,INDIRECT($C$5&amp;"生成成长"),5))*(VLOOKUP($B$5,标准坦克设计!$B$24:$U$30,MATCH("对"&amp;LEFT($C$5,2)&amp;"输出",标准坦克设计!$B$23:$U$23,0)))*(VLOOKUP($B107,INDIRECT($B$5&amp;"生成成长"),3))*(VLOOKUP($B$5,标准坦克设计!$B$14:$K$20,9)/30))</f>
        <v>17.480519199332633</v>
      </c>
      <c r="FC107" s="172">
        <f ca="1">(VLOOKUP(FC$72,INDIRECT($C$5&amp;"生成成长"),2))/((VLOOKUP($B107,INDIRECT($B$5&amp;"生成成长"),4))/(VLOOKUP(FC$72,INDIRECT($C$5&amp;"生成成长"),5))*(VLOOKUP($B$5,标准坦克设计!$B$24:$U$30,MATCH("对"&amp;LEFT($C$5,2)&amp;"输出",标准坦克设计!$B$23:$U$23,0)))*(VLOOKUP($B107,INDIRECT($B$5&amp;"生成成长"),3))*(VLOOKUP($B$5,标准坦克设计!$B$14:$K$20,9)/30))</f>
        <v>18.538252307074945</v>
      </c>
      <c r="FD107" s="172">
        <f ca="1">(VLOOKUP(FD$72,INDIRECT($C$5&amp;"生成成长"),2))/((VLOOKUP($B107,INDIRECT($B$5&amp;"生成成长"),4))/(VLOOKUP(FD$72,INDIRECT($C$5&amp;"生成成长"),5))*(VLOOKUP($B$5,标准坦克设计!$B$24:$U$30,MATCH("对"&amp;LEFT($C$5,2)&amp;"输出",标准坦克设计!$B$23:$U$23,0)))*(VLOOKUP($B107,INDIRECT($B$5&amp;"生成成长"),3))*(VLOOKUP($B$5,标准坦克设计!$B$14:$K$20,9)/30))</f>
        <v>19.627053676993938</v>
      </c>
      <c r="FE107" s="172">
        <f ca="1">(VLOOKUP(FE$72,INDIRECT($C$5&amp;"生成成长"),2))/((VLOOKUP($B107,INDIRECT($B$5&amp;"生成成长"),4))/(VLOOKUP(FE$72,INDIRECT($C$5&amp;"生成成长"),5))*(VLOOKUP($B$5,标准坦克设计!$B$24:$U$30,MATCH("对"&amp;LEFT($C$5,2)&amp;"输出",标准坦克设计!$B$23:$U$23,0)))*(VLOOKUP($B107,INDIRECT($B$5&amp;"生成成长"),3))*(VLOOKUP($B$5,标准坦克设计!$B$14:$K$20,9)/30))</f>
        <v>20.953873881935905</v>
      </c>
      <c r="FF107" s="172">
        <f ca="1">(VLOOKUP(FF$72,INDIRECT($C$5&amp;"生成成长"),2))/((VLOOKUP($B107,INDIRECT($B$5&amp;"生成成长"),4))/(VLOOKUP(FF$72,INDIRECT($C$5&amp;"生成成长"),5))*(VLOOKUP($B$5,标准坦克设计!$B$24:$U$30,MATCH("对"&amp;LEFT($C$5,2)&amp;"输出",标准坦克设计!$B$23:$U$23,0)))*(VLOOKUP($B107,INDIRECT($B$5&amp;"生成成长"),3))*(VLOOKUP($B$5,标准坦克设计!$B$14:$K$20,9)/30))</f>
        <v>22.324086948926279</v>
      </c>
      <c r="FG107" s="172">
        <f ca="1">(VLOOKUP(FG$72,INDIRECT($C$5&amp;"生成成长"),2))/((VLOOKUP($B107,INDIRECT($B$5&amp;"生成成长"),4))/(VLOOKUP(FG$72,INDIRECT($C$5&amp;"生成成长"),5))*(VLOOKUP($B$5,标准坦克设计!$B$24:$U$30,MATCH("对"&amp;LEFT($C$5,2)&amp;"输出",标准坦克设计!$B$23:$U$23,0)))*(VLOOKUP($B107,INDIRECT($B$5&amp;"生成成长"),3))*(VLOOKUP($B$5,标准坦克设计!$B$14:$K$20,9)/30))</f>
        <v>23.737692877965081</v>
      </c>
      <c r="FH107" s="172">
        <f ca="1">(VLOOKUP(FH$72,INDIRECT($C$5&amp;"生成成长"),2))/((VLOOKUP($B107,INDIRECT($B$5&amp;"生成成长"),4))/(VLOOKUP(FH$72,INDIRECT($C$5&amp;"生成成长"),5))*(VLOOKUP($B$5,标准坦克设计!$B$24:$U$30,MATCH("对"&amp;LEFT($C$5,2)&amp;"输出",标准坦克设计!$B$23:$U$23,0)))*(VLOOKUP($B107,INDIRECT($B$5&amp;"生成成长"),3))*(VLOOKUP($B$5,标准坦克设计!$B$14:$K$20,9)/30))</f>
        <v>25.194691669052286</v>
      </c>
      <c r="FI107" s="172">
        <f ca="1">(VLOOKUP(FI$72,INDIRECT($C$5&amp;"生成成长"),2))/((VLOOKUP($B107,INDIRECT($B$5&amp;"生成成长"),4))/(VLOOKUP(FI$72,INDIRECT($C$5&amp;"生成成长"),5))*(VLOOKUP($B$5,标准坦克设计!$B$24:$U$30,MATCH("对"&amp;LEFT($C$5,2)&amp;"输出",标准坦克设计!$B$23:$U$23,0)))*(VLOOKUP($B107,INDIRECT($B$5&amp;"生成成长"),3))*(VLOOKUP($B$5,标准坦克设计!$B$14:$K$20,9)/30))</f>
        <v>26.695083322187923</v>
      </c>
      <c r="FJ107" s="172">
        <f ca="1">(VLOOKUP(FJ$72,INDIRECT($C$5&amp;"生成成长"),2))/((VLOOKUP($B107,INDIRECT($B$5&amp;"生成成长"),4))/(VLOOKUP(FJ$72,INDIRECT($C$5&amp;"生成成长"),5))*(VLOOKUP($B$5,标准坦克设计!$B$24:$U$30,MATCH("对"&amp;LEFT($C$5,2)&amp;"输出",标准坦克设计!$B$23:$U$23,0)))*(VLOOKUP($B107,INDIRECT($B$5&amp;"生成成长"),3))*(VLOOKUP($B$5,标准坦克设计!$B$14:$K$20,9)/30))</f>
        <v>28.238867837371966</v>
      </c>
      <c r="FK107" s="172">
        <f ca="1">(VLOOKUP(FK$72,INDIRECT($C$5&amp;"生成成长"),2))/((VLOOKUP($B107,INDIRECT($B$5&amp;"生成成长"),4))/(VLOOKUP(FK$72,INDIRECT($C$5&amp;"生成成长"),5))*(VLOOKUP($B$5,标准坦克设计!$B$24:$U$30,MATCH("对"&amp;LEFT($C$5,2)&amp;"输出",标准坦克设计!$B$23:$U$23,0)))*(VLOOKUP($B107,INDIRECT($B$5&amp;"生成成长"),3))*(VLOOKUP($B$5,标准坦克设计!$B$14:$K$20,9)/30))</f>
        <v>29.826045214604427</v>
      </c>
    </row>
    <row r="108" spans="1:167" x14ac:dyDescent="0.15">
      <c r="A108" s="170" t="str">
        <f t="shared" si="11"/>
        <v>T5低品质4级</v>
      </c>
      <c r="B108" s="171">
        <v>10504</v>
      </c>
      <c r="C108" s="172">
        <f ca="1">(VLOOKUP(C$72,INDIRECT($C$5&amp;"生成成长"),2))/((VLOOKUP($B108,INDIRECT($B$5&amp;"生成成长"),4))/(VLOOKUP(C$72,INDIRECT($C$5&amp;"生成成长"),5))*(VLOOKUP($B$5,标准坦克设计!$B$24:$U$30,MATCH("对"&amp;LEFT($C$5,2)&amp;"输出",标准坦克设计!$B$23:$U$23,0)))*(VLOOKUP($B108,INDIRECT($B$5&amp;"生成成长"),3))*(VLOOKUP($B$5,标准坦克设计!$B$14:$K$20,9)/30))</f>
        <v>1.1795112532825587</v>
      </c>
      <c r="D108" s="172">
        <f ca="1">(VLOOKUP(D$72,INDIRECT($C$5&amp;"生成成长"),2))/((VLOOKUP($B108,INDIRECT($B$5&amp;"生成成长"),4))/(VLOOKUP(D$72,INDIRECT($C$5&amp;"生成成长"),5))*(VLOOKUP($B$5,标准坦克设计!$B$24:$U$30,MATCH("对"&amp;LEFT($C$5,2)&amp;"输出",标准坦克设计!$B$23:$U$23,0)))*(VLOOKUP($B108,INDIRECT($B$5&amp;"生成成长"),3))*(VLOOKUP($B$5,标准坦克设计!$B$14:$K$20,9)/30))</f>
        <v>1.3252988441882827</v>
      </c>
      <c r="E108" s="172">
        <f ca="1">(VLOOKUP(E$72,INDIRECT($C$5&amp;"生成成长"),2))/((VLOOKUP($B108,INDIRECT($B$5&amp;"生成成长"),4))/(VLOOKUP(E$72,INDIRECT($C$5&amp;"生成成长"),5))*(VLOOKUP($B$5,标准坦克设计!$B$24:$U$30,MATCH("对"&amp;LEFT($C$5,2)&amp;"输出",标准坦克设计!$B$23:$U$23,0)))*(VLOOKUP($B108,INDIRECT($B$5&amp;"生成成长"),3))*(VLOOKUP($B$5,标准坦克设计!$B$14:$K$20,9)/30))</f>
        <v>1.4795789161176416</v>
      </c>
      <c r="F108" s="172">
        <f ca="1">(VLOOKUP(F$72,INDIRECT($C$5&amp;"生成成长"),2))/((VLOOKUP($B108,INDIRECT($B$5&amp;"生成成长"),4))/(VLOOKUP(F$72,INDIRECT($C$5&amp;"生成成长"),5))*(VLOOKUP($B$5,标准坦克设计!$B$24:$U$30,MATCH("对"&amp;LEFT($C$5,2)&amp;"输出",标准坦克设计!$B$23:$U$23,0)))*(VLOOKUP($B108,INDIRECT($B$5&amp;"生成成长"),3))*(VLOOKUP($B$5,标准坦克设计!$B$14:$K$20,9)/30))</f>
        <v>1.6423514690706347</v>
      </c>
      <c r="G108" s="172">
        <f ca="1">(VLOOKUP(G$72,INDIRECT($C$5&amp;"生成成长"),2))/((VLOOKUP($B108,INDIRECT($B$5&amp;"生成成长"),4))/(VLOOKUP(G$72,INDIRECT($C$5&amp;"生成成长"),5))*(VLOOKUP($B$5,标准坦克设计!$B$24:$U$30,MATCH("对"&amp;LEFT($C$5,2)&amp;"输出",标准坦克设计!$B$23:$U$23,0)))*(VLOOKUP($B108,INDIRECT($B$5&amp;"生成成长"),3))*(VLOOKUP($B$5,标准坦克设计!$B$14:$K$20,9)/30))</f>
        <v>1.8136165030472624</v>
      </c>
      <c r="H108" s="172">
        <f ca="1">(VLOOKUP(H$72,INDIRECT($C$5&amp;"生成成长"),2))/((VLOOKUP($B108,INDIRECT($B$5&amp;"生成成长"),4))/(VLOOKUP(H$72,INDIRECT($C$5&amp;"生成成长"),5))*(VLOOKUP($B$5,标准坦克设计!$B$24:$U$30,MATCH("对"&amp;LEFT($C$5,2)&amp;"输出",标准坦克设计!$B$23:$U$23,0)))*(VLOOKUP($B108,INDIRECT($B$5&amp;"生成成长"),3))*(VLOOKUP($B$5,标准坦克设计!$B$14:$K$20,9)/30))</f>
        <v>1.5871503424170108</v>
      </c>
      <c r="I108" s="172">
        <f ca="1">(VLOOKUP(I$72,INDIRECT($C$5&amp;"生成成长"),2))/((VLOOKUP($B108,INDIRECT($B$5&amp;"生成成长"),4))/(VLOOKUP(I$72,INDIRECT($C$5&amp;"生成成长"),5))*(VLOOKUP($B$5,标准坦克设计!$B$24:$U$30,MATCH("对"&amp;LEFT($C$5,2)&amp;"输出",标准坦克设计!$B$23:$U$23,0)))*(VLOOKUP($B108,INDIRECT($B$5&amp;"生成成长"),3))*(VLOOKUP($B$5,标准坦克设计!$B$14:$K$20,9)/30))</f>
        <v>1.8136165030472624</v>
      </c>
      <c r="J108" s="172">
        <f ca="1">(VLOOKUP(J$72,INDIRECT($C$5&amp;"生成成长"),2))/((VLOOKUP($B108,INDIRECT($B$5&amp;"生成成长"),4))/(VLOOKUP(J$72,INDIRECT($C$5&amp;"生成成长"),5))*(VLOOKUP($B$5,标准坦克设计!$B$24:$U$30,MATCH("对"&amp;LEFT($C$5,2)&amp;"输出",标准坦克设计!$B$23:$U$23,0)))*(VLOOKUP($B108,INDIRECT($B$5&amp;"生成成长"),3))*(VLOOKUP($B$5,标准坦克设计!$B$14:$K$20,9)/30))</f>
        <v>2.0551804077195301</v>
      </c>
      <c r="K108" s="172">
        <f ca="1">(VLOOKUP(K$72,INDIRECT($C$5&amp;"生成成长"),2))/((VLOOKUP($B108,INDIRECT($B$5&amp;"生成成长"),4))/(VLOOKUP(K$72,INDIRECT($C$5&amp;"生成成长"),5))*(VLOOKUP($B$5,标准坦克设计!$B$24:$U$30,MATCH("对"&amp;LEFT($C$5,2)&amp;"输出",标准坦克设计!$B$23:$U$23,0)))*(VLOOKUP($B108,INDIRECT($B$5&amp;"生成成长"),3))*(VLOOKUP($B$5,标准坦克设计!$B$14:$K$20,9)/30))</f>
        <v>2.3118420564338149</v>
      </c>
      <c r="L108" s="172">
        <f ca="1">(VLOOKUP(L$72,INDIRECT($C$5&amp;"生成成长"),2))/((VLOOKUP($B108,INDIRECT($B$5&amp;"生成成长"),4))/(VLOOKUP(L$72,INDIRECT($C$5&amp;"生成成长"),5))*(VLOOKUP($B$5,标准坦克设计!$B$24:$U$30,MATCH("对"&amp;LEFT($C$5,2)&amp;"输出",标准坦克设计!$B$23:$U$23,0)))*(VLOOKUP($B108,INDIRECT($B$5&amp;"生成成长"),3))*(VLOOKUP($B$5,标准坦克设计!$B$14:$K$20,9)/30))</f>
        <v>2.583601449190116</v>
      </c>
      <c r="M108" s="172">
        <f ca="1">(VLOOKUP(M$72,INDIRECT($C$5&amp;"生成成长"),2))/((VLOOKUP($B108,INDIRECT($B$5&amp;"生成成长"),4))/(VLOOKUP(M$72,INDIRECT($C$5&amp;"生成成长"),5))*(VLOOKUP($B$5,标准坦克设计!$B$24:$U$30,MATCH("对"&amp;LEFT($C$5,2)&amp;"输出",标准坦克设计!$B$23:$U$23,0)))*(VLOOKUP($B108,INDIRECT($B$5&amp;"生成成长"),3))*(VLOOKUP($B$5,标准坦克设计!$B$14:$K$20,9)/30))</f>
        <v>2.8704585859884348</v>
      </c>
      <c r="N108" s="172">
        <f ca="1">(VLOOKUP(N$72,INDIRECT($C$5&amp;"生成成长"),2))/((VLOOKUP($B108,INDIRECT($B$5&amp;"生成成长"),4))/(VLOOKUP(N$72,INDIRECT($C$5&amp;"生成成长"),5))*(VLOOKUP($B$5,标准坦克设计!$B$24:$U$30,MATCH("对"&amp;LEFT($C$5,2)&amp;"输出",标准坦克设计!$B$23:$U$23,0)))*(VLOOKUP($B108,INDIRECT($B$5&amp;"生成成长"),3))*(VLOOKUP($B$5,标准坦克设计!$B$14:$K$20,9)/30))</f>
        <v>3.17241346682877</v>
      </c>
      <c r="O108" s="172">
        <f ca="1">(VLOOKUP(O$72,INDIRECT($C$5&amp;"生成成长"),2))/((VLOOKUP($B108,INDIRECT($B$5&amp;"生成成长"),4))/(VLOOKUP(O$72,INDIRECT($C$5&amp;"生成成长"),5))*(VLOOKUP($B$5,标准坦克设计!$B$24:$U$30,MATCH("对"&amp;LEFT($C$5,2)&amp;"输出",标准坦克设计!$B$23:$U$23,0)))*(VLOOKUP($B108,INDIRECT($B$5&amp;"生成成长"),3))*(VLOOKUP($B$5,标准坦克设计!$B$14:$K$20,9)/30))</f>
        <v>2.4119825618375041</v>
      </c>
      <c r="P108" s="172">
        <f ca="1">(VLOOKUP(P$72,INDIRECT($C$5&amp;"生成成长"),2))/((VLOOKUP($B108,INDIRECT($B$5&amp;"生成成长"),4))/(VLOOKUP(P$72,INDIRECT($C$5&amp;"生成成长"),5))*(VLOOKUP($B$5,标准坦克设计!$B$24:$U$30,MATCH("对"&amp;LEFT($C$5,2)&amp;"输出",标准坦克设计!$B$23:$U$23,0)))*(VLOOKUP($B108,INDIRECT($B$5&amp;"生成成长"),3))*(VLOOKUP($B$5,标准坦克设计!$B$14:$K$20,9)/30))</f>
        <v>2.7251427995840234</v>
      </c>
      <c r="Q108" s="172">
        <f ca="1">(VLOOKUP(Q$72,INDIRECT($C$5&amp;"生成成长"),2))/((VLOOKUP($B108,INDIRECT($B$5&amp;"生成成长"),4))/(VLOOKUP(Q$72,INDIRECT($C$5&amp;"生成成长"),5))*(VLOOKUP($B$5,标准坦克设计!$B$24:$U$30,MATCH("对"&amp;LEFT($C$5,2)&amp;"输出",标准坦克设计!$B$23:$U$23,0)))*(VLOOKUP($B108,INDIRECT($B$5&amp;"生成成长"),3))*(VLOOKUP($B$5,标准坦克设计!$B$14:$K$20,9)/30))</f>
        <v>3.0574111196337204</v>
      </c>
      <c r="R108" s="172">
        <f ca="1">(VLOOKUP(R$72,INDIRECT($C$5&amp;"生成成长"),2))/((VLOOKUP($B108,INDIRECT($B$5&amp;"生成成长"),4))/(VLOOKUP(R$72,INDIRECT($C$5&amp;"生成成长"),5))*(VLOOKUP($B$5,标准坦克设计!$B$24:$U$30,MATCH("对"&amp;LEFT($C$5,2)&amp;"输出",标准坦克设计!$B$23:$U$23,0)))*(VLOOKUP($B108,INDIRECT($B$5&amp;"生成成长"),3))*(VLOOKUP($B$5,标准坦克设计!$B$14:$K$20,9)/30))</f>
        <v>3.4087875219865942</v>
      </c>
      <c r="S108" s="172">
        <f ca="1">(VLOOKUP(S$72,INDIRECT($C$5&amp;"生成成长"),2))/((VLOOKUP($B108,INDIRECT($B$5&amp;"生成成长"),4))/(VLOOKUP(S$72,INDIRECT($C$5&amp;"生成成长"),5))*(VLOOKUP($B$5,标准坦克设计!$B$24:$U$30,MATCH("对"&amp;LEFT($C$5,2)&amp;"输出",标准坦克设计!$B$23:$U$23,0)))*(VLOOKUP($B108,INDIRECT($B$5&amp;"生成成长"),3))*(VLOOKUP($B$5,标准坦克设计!$B$14:$K$20,9)/30))</f>
        <v>3.7792720066426466</v>
      </c>
      <c r="T108" s="172">
        <f ca="1">(VLOOKUP(T$72,INDIRECT($C$5&amp;"生成成长"),2))/((VLOOKUP($B108,INDIRECT($B$5&amp;"生成成长"),4))/(VLOOKUP(T$72,INDIRECT($C$5&amp;"生成成长"),5))*(VLOOKUP($B$5,标准坦克设计!$B$24:$U$30,MATCH("对"&amp;LEFT($C$5,2)&amp;"输出",标准坦克设计!$B$23:$U$23,0)))*(VLOOKUP($B108,INDIRECT($B$5&amp;"生成成长"),3))*(VLOOKUP($B$5,标准坦克设计!$B$14:$K$20,9)/30))</f>
        <v>4.1688645736018755</v>
      </c>
      <c r="U108" s="172">
        <f ca="1">(VLOOKUP(U$72,INDIRECT($C$5&amp;"生成成长"),2))/((VLOOKUP($B108,INDIRECT($B$5&amp;"生成成长"),4))/(VLOOKUP(U$72,INDIRECT($C$5&amp;"生成成长"),5))*(VLOOKUP($B$5,标准坦克设计!$B$24:$U$30,MATCH("对"&amp;LEFT($C$5,2)&amp;"输出",标准坦克设计!$B$23:$U$23,0)))*(VLOOKUP($B108,INDIRECT($B$5&amp;"生成成长"),3))*(VLOOKUP($B$5,标准坦克设计!$B$14:$K$20,9)/30))</f>
        <v>4.5775652228642816</v>
      </c>
      <c r="V108" s="172">
        <f ca="1">(VLOOKUP(V$72,INDIRECT($C$5&amp;"生成成长"),2))/((VLOOKUP($B108,INDIRECT($B$5&amp;"生成成长"),4))/(VLOOKUP(V$72,INDIRECT($C$5&amp;"生成成长"),5))*(VLOOKUP($B$5,标准坦克设计!$B$24:$U$30,MATCH("对"&amp;LEFT($C$5,2)&amp;"输出",标准坦克设计!$B$23:$U$23,0)))*(VLOOKUP($B108,INDIRECT($B$5&amp;"生成成长"),3))*(VLOOKUP($B$5,标准坦克设计!$B$14:$K$20,9)/30))</f>
        <v>5.0053739544298654</v>
      </c>
      <c r="W108" s="172">
        <f ca="1">(VLOOKUP(W$72,INDIRECT($C$5&amp;"生成成长"),2))/((VLOOKUP($B108,INDIRECT($B$5&amp;"生成成长"),4))/(VLOOKUP(W$72,INDIRECT($C$5&amp;"生成成长"),5))*(VLOOKUP($B$5,标准坦克设计!$B$24:$U$30,MATCH("对"&amp;LEFT($C$5,2)&amp;"输出",标准坦克设计!$B$23:$U$23,0)))*(VLOOKUP($B108,INDIRECT($B$5&amp;"生成成长"),3))*(VLOOKUP($B$5,标准坦克设计!$B$14:$K$20,9)/30))</f>
        <v>5.452290768298627</v>
      </c>
      <c r="X108" s="172">
        <f ca="1">(VLOOKUP(X$72,INDIRECT($C$5&amp;"生成成长"),2))/((VLOOKUP($B108,INDIRECT($B$5&amp;"生成成长"),4))/(VLOOKUP(X$72,INDIRECT($C$5&amp;"生成成长"),5))*(VLOOKUP($B$5,标准坦克设计!$B$24:$U$30,MATCH("对"&amp;LEFT($C$5,2)&amp;"输出",标准坦克设计!$B$23:$U$23,0)))*(VLOOKUP($B108,INDIRECT($B$5&amp;"生成成长"),3))*(VLOOKUP($B$5,标准坦克设计!$B$14:$K$20,9)/30))</f>
        <v>3.9500652361179602</v>
      </c>
      <c r="Y108" s="172">
        <f ca="1">(VLOOKUP(Y$72,INDIRECT($C$5&amp;"生成成长"),2))/((VLOOKUP($B108,INDIRECT($B$5&amp;"生成成长"),4))/(VLOOKUP(Y$72,INDIRECT($C$5&amp;"生成成长"),5))*(VLOOKUP($B$5,标准坦克设计!$B$24:$U$30,MATCH("对"&amp;LEFT($C$5,2)&amp;"输出",标准坦克设计!$B$23:$U$23,0)))*(VLOOKUP($B108,INDIRECT($B$5&amp;"生成成长"),3))*(VLOOKUP($B$5,标准坦克设计!$B$14:$K$20,9)/30))</f>
        <v>4.3935614673522023</v>
      </c>
      <c r="Z108" s="172">
        <f ca="1">(VLOOKUP(Z$72,INDIRECT($C$5&amp;"生成成长"),2))/((VLOOKUP($B108,INDIRECT($B$5&amp;"生成成长"),4))/(VLOOKUP(Z$72,INDIRECT($C$5&amp;"生成成长"),5))*(VLOOKUP($B$5,标准坦克设计!$B$24:$U$30,MATCH("对"&amp;LEFT($C$5,2)&amp;"输出",标准坦克设计!$B$23:$U$23,0)))*(VLOOKUP($B108,INDIRECT($B$5&amp;"生成成长"),3))*(VLOOKUP($B$5,标准坦克设计!$B$14:$K$20,9)/30))</f>
        <v>4.8606479236520954</v>
      </c>
      <c r="AA108" s="172">
        <f ca="1">(VLOOKUP(AA$72,INDIRECT($C$5&amp;"生成成长"),2))/((VLOOKUP($B108,INDIRECT($B$5&amp;"生成成长"),4))/(VLOOKUP(AA$72,INDIRECT($C$5&amp;"生成成长"),5))*(VLOOKUP($B$5,标准坦克设计!$B$24:$U$30,MATCH("对"&amp;LEFT($C$5,2)&amp;"输出",标准坦克设计!$B$23:$U$23,0)))*(VLOOKUP($B108,INDIRECT($B$5&amp;"生成成长"),3))*(VLOOKUP($B$5,标准坦克设计!$B$14:$K$20,9)/30))</f>
        <v>5.3513246050176404</v>
      </c>
      <c r="AB108" s="172">
        <f ca="1">(VLOOKUP(AB$72,INDIRECT($C$5&amp;"生成成长"),2))/((VLOOKUP($B108,INDIRECT($B$5&amp;"生成成长"),4))/(VLOOKUP(AB$72,INDIRECT($C$5&amp;"生成成长"),5))*(VLOOKUP($B$5,标准坦克设计!$B$24:$U$30,MATCH("对"&amp;LEFT($C$5,2)&amp;"输出",标准坦克设计!$B$23:$U$23,0)))*(VLOOKUP($B108,INDIRECT($B$5&amp;"生成成长"),3))*(VLOOKUP($B$5,标准坦克设计!$B$14:$K$20,9)/30))</f>
        <v>5.8655915114488364</v>
      </c>
      <c r="AC108" s="172">
        <f ca="1">(VLOOKUP(AC$72,INDIRECT($C$5&amp;"生成成长"),2))/((VLOOKUP($B108,INDIRECT($B$5&amp;"生成成长"),4))/(VLOOKUP(AC$72,INDIRECT($C$5&amp;"生成成长"),5))*(VLOOKUP($B$5,标准坦克设计!$B$24:$U$30,MATCH("对"&amp;LEFT($C$5,2)&amp;"输出",标准坦克设计!$B$23:$U$23,0)))*(VLOOKUP($B108,INDIRECT($B$5&amp;"生成成长"),3))*(VLOOKUP($B$5,标准坦克设计!$B$14:$K$20,9)/30))</f>
        <v>6.4034486429456834</v>
      </c>
      <c r="AD108" s="172">
        <f ca="1">(VLOOKUP(AD$72,INDIRECT($C$5&amp;"生成成长"),2))/((VLOOKUP($B108,INDIRECT($B$5&amp;"生成成长"),4))/(VLOOKUP(AD$72,INDIRECT($C$5&amp;"生成成长"),5))*(VLOOKUP($B$5,标准坦克设计!$B$24:$U$30,MATCH("对"&amp;LEFT($C$5,2)&amp;"输出",标准坦克设计!$B$23:$U$23,0)))*(VLOOKUP($B108,INDIRECT($B$5&amp;"生成成长"),3))*(VLOOKUP($B$5,标准坦克设计!$B$14:$K$20,9)/30))</f>
        <v>6.9648959995081814</v>
      </c>
      <c r="AE108" s="172">
        <f ca="1">(VLOOKUP(AE$72,INDIRECT($C$5&amp;"生成成长"),2))/((VLOOKUP($B108,INDIRECT($B$5&amp;"生成成长"),4))/(VLOOKUP(AE$72,INDIRECT($C$5&amp;"生成成长"),5))*(VLOOKUP($B$5,标准坦克设计!$B$24:$U$30,MATCH("对"&amp;LEFT($C$5,2)&amp;"输出",标准坦克设计!$B$23:$U$23,0)))*(VLOOKUP($B108,INDIRECT($B$5&amp;"生成成长"),3))*(VLOOKUP($B$5,标准坦克设计!$B$14:$K$20,9)/30))</f>
        <v>7.5499335811363295</v>
      </c>
      <c r="AF108" s="172">
        <f ca="1">(VLOOKUP(AF$72,INDIRECT($C$5&amp;"生成成长"),2))/((VLOOKUP($B108,INDIRECT($B$5&amp;"生成成长"),4))/(VLOOKUP(AF$72,INDIRECT($C$5&amp;"生成成长"),5))*(VLOOKUP($B$5,标准坦克设计!$B$24:$U$30,MATCH("对"&amp;LEFT($C$5,2)&amp;"输出",标准坦克设计!$B$23:$U$23,0)))*(VLOOKUP($B108,INDIRECT($B$5&amp;"生成成长"),3))*(VLOOKUP($B$5,标准坦克设计!$B$14:$K$20,9)/30))</f>
        <v>8.1585613878301295</v>
      </c>
      <c r="AG108" s="172">
        <f ca="1">(VLOOKUP(AG$72,INDIRECT($C$5&amp;"生成成长"),2))/((VLOOKUP($B108,INDIRECT($B$5&amp;"生成成长"),4))/(VLOOKUP(AG$72,INDIRECT($C$5&amp;"生成成长"),5))*(VLOOKUP($B$5,标准坦克设计!$B$24:$U$30,MATCH("对"&amp;LEFT($C$5,2)&amp;"输出",标准坦克设计!$B$23:$U$23,0)))*(VLOOKUP($B108,INDIRECT($B$5&amp;"生成成长"),3))*(VLOOKUP($B$5,标准坦克设计!$B$14:$K$20,9)/30))</f>
        <v>8.7907794195895814</v>
      </c>
      <c r="AH108" s="172">
        <f ca="1">(VLOOKUP(AH$72,INDIRECT($C$5&amp;"生成成长"),2))/((VLOOKUP($B108,INDIRECT($B$5&amp;"生成成长"),4))/(VLOOKUP(AH$72,INDIRECT($C$5&amp;"生成成长"),5))*(VLOOKUP($B$5,标准坦克设计!$B$24:$U$30,MATCH("对"&amp;LEFT($C$5,2)&amp;"输出",标准坦克设计!$B$23:$U$23,0)))*(VLOOKUP($B108,INDIRECT($B$5&amp;"生成成长"),3))*(VLOOKUP($B$5,标准坦克设计!$B$14:$K$20,9)/30))</f>
        <v>9.4465876764146852</v>
      </c>
      <c r="AI108" s="172">
        <f ca="1">(VLOOKUP(AI$72,INDIRECT($C$5&amp;"生成成长"),2))/((VLOOKUP($B108,INDIRECT($B$5&amp;"生成成长"),4))/(VLOOKUP(AI$72,INDIRECT($C$5&amp;"生成成长"),5))*(VLOOKUP($B$5,标准坦克设计!$B$24:$U$30,MATCH("对"&amp;LEFT($C$5,2)&amp;"输出",标准坦克设计!$B$23:$U$23,0)))*(VLOOKUP($B108,INDIRECT($B$5&amp;"生成成长"),3))*(VLOOKUP($B$5,标准坦克设计!$B$14:$K$20,9)/30))</f>
        <v>6.6812235430937248</v>
      </c>
      <c r="AJ108" s="172">
        <f ca="1">(VLOOKUP(AJ$72,INDIRECT($C$5&amp;"生成成长"),2))/((VLOOKUP($B108,INDIRECT($B$5&amp;"生成成长"),4))/(VLOOKUP(AJ$72,INDIRECT($C$5&amp;"生成成长"),5))*(VLOOKUP($B$5,标准坦克设计!$B$24:$U$30,MATCH("对"&amp;LEFT($C$5,2)&amp;"输出",标准坦克设计!$B$23:$U$23,0)))*(VLOOKUP($B108,INDIRECT($B$5&amp;"生成成长"),3))*(VLOOKUP($B$5,标准坦克设计!$B$14:$K$20,9)/30))</f>
        <v>7.3130877214771921</v>
      </c>
      <c r="AK108" s="172">
        <f ca="1">(VLOOKUP(AK$72,INDIRECT($C$5&amp;"生成成长"),2))/((VLOOKUP($B108,INDIRECT($B$5&amp;"生成成长"),4))/(VLOOKUP(AK$72,INDIRECT($C$5&amp;"生成成长"),5))*(VLOOKUP($B$5,标准坦克设计!$B$24:$U$30,MATCH("对"&amp;LEFT($C$5,2)&amp;"输出",标准坦克设计!$B$23:$U$23,0)))*(VLOOKUP($B108,INDIRECT($B$5&amp;"生成成长"),3))*(VLOOKUP($B$5,标准坦克设计!$B$14:$K$20,9)/30))</f>
        <v>7.9734960721900974</v>
      </c>
      <c r="AL108" s="172">
        <f ca="1">(VLOOKUP(AL$72,INDIRECT($C$5&amp;"生成成长"),2))/((VLOOKUP($B108,INDIRECT($B$5&amp;"生成成长"),4))/(VLOOKUP(AL$72,INDIRECT($C$5&amp;"生成成长"),5))*(VLOOKUP($B$5,标准坦克设计!$B$24:$U$30,MATCH("对"&amp;LEFT($C$5,2)&amp;"输出",标准坦克设计!$B$23:$U$23,0)))*(VLOOKUP($B108,INDIRECT($B$5&amp;"生成成长"),3))*(VLOOKUP($B$5,标准坦克设计!$B$14:$K$20,9)/30))</f>
        <v>8.6624485952324388</v>
      </c>
      <c r="AM108" s="172">
        <f ca="1">(VLOOKUP(AM$72,INDIRECT($C$5&amp;"生成成长"),2))/((VLOOKUP($B108,INDIRECT($B$5&amp;"生成成长"),4))/(VLOOKUP(AM$72,INDIRECT($C$5&amp;"生成成长"),5))*(VLOOKUP($B$5,标准坦克设计!$B$24:$U$30,MATCH("对"&amp;LEFT($C$5,2)&amp;"输出",标准坦克设计!$B$23:$U$23,0)))*(VLOOKUP($B108,INDIRECT($B$5&amp;"生成成长"),3))*(VLOOKUP($B$5,标准坦克设计!$B$14:$K$20,9)/30))</f>
        <v>9.3799452906042191</v>
      </c>
      <c r="AN108" s="172">
        <f ca="1">(VLOOKUP(AN$72,INDIRECT($C$5&amp;"生成成长"),2))/((VLOOKUP($B108,INDIRECT($B$5&amp;"生成成长"),4))/(VLOOKUP(AN$72,INDIRECT($C$5&amp;"生成成长"),5))*(VLOOKUP($B$5,标准坦克设计!$B$24:$U$30,MATCH("对"&amp;LEFT($C$5,2)&amp;"输出",标准坦克设计!$B$23:$U$23,0)))*(VLOOKUP($B108,INDIRECT($B$5&amp;"生成成长"),3))*(VLOOKUP($B$5,标准坦克设计!$B$14:$K$20,9)/30))</f>
        <v>10.125986158305437</v>
      </c>
      <c r="AO108" s="172">
        <f ca="1">(VLOOKUP(AO$72,INDIRECT($C$5&amp;"生成成长"),2))/((VLOOKUP($B108,INDIRECT($B$5&amp;"生成成长"),4))/(VLOOKUP(AO$72,INDIRECT($C$5&amp;"生成成长"),5))*(VLOOKUP($B$5,标准坦克设计!$B$24:$U$30,MATCH("对"&amp;LEFT($C$5,2)&amp;"输出",标准坦克设计!$B$23:$U$23,0)))*(VLOOKUP($B108,INDIRECT($B$5&amp;"生成成长"),3))*(VLOOKUP($B$5,标准坦克设计!$B$14:$K$20,9)/30))</f>
        <v>10.900571198336094</v>
      </c>
      <c r="AP108" s="172">
        <f ca="1">(VLOOKUP(AP$72,INDIRECT($C$5&amp;"生成成长"),2))/((VLOOKUP($B108,INDIRECT($B$5&amp;"生成成长"),4))/(VLOOKUP(AP$72,INDIRECT($C$5&amp;"生成成长"),5))*(VLOOKUP($B$5,标准坦克设计!$B$24:$U$30,MATCH("对"&amp;LEFT($C$5,2)&amp;"输出",标准坦克设计!$B$23:$U$23,0)))*(VLOOKUP($B108,INDIRECT($B$5&amp;"生成成长"),3))*(VLOOKUP($B$5,标准坦克设计!$B$14:$K$20,9)/30))</f>
        <v>11.703700410696186</v>
      </c>
      <c r="AQ108" s="172">
        <f ca="1">(VLOOKUP(AQ$72,INDIRECT($C$5&amp;"生成成长"),2))/((VLOOKUP($B108,INDIRECT($B$5&amp;"生成成长"),4))/(VLOOKUP(AQ$72,INDIRECT($C$5&amp;"生成成长"),5))*(VLOOKUP($B$5,标准坦克设计!$B$24:$U$30,MATCH("对"&amp;LEFT($C$5,2)&amp;"输出",标准坦克设计!$B$23:$U$23,0)))*(VLOOKUP($B108,INDIRECT($B$5&amp;"生成成长"),3))*(VLOOKUP($B$5,标准坦克设计!$B$14:$K$20,9)/30))</f>
        <v>12.53537379538572</v>
      </c>
      <c r="AR108" s="172">
        <f ca="1">(VLOOKUP(AR$72,INDIRECT($C$5&amp;"生成成长"),2))/((VLOOKUP($B108,INDIRECT($B$5&amp;"生成成长"),4))/(VLOOKUP(AR$72,INDIRECT($C$5&amp;"生成成长"),5))*(VLOOKUP($B$5,标准坦克设计!$B$24:$U$30,MATCH("对"&amp;LEFT($C$5,2)&amp;"输出",标准坦克设计!$B$23:$U$23,0)))*(VLOOKUP($B108,INDIRECT($B$5&amp;"生成成长"),3))*(VLOOKUP($B$5,标准坦克设计!$B$14:$K$20,9)/30))</f>
        <v>13.39559135240469</v>
      </c>
      <c r="AS108" s="172">
        <f ca="1">(VLOOKUP(AS$72,INDIRECT($C$5&amp;"生成成长"),2))/((VLOOKUP($B108,INDIRECT($B$5&amp;"生成成长"),4))/(VLOOKUP(AS$72,INDIRECT($C$5&amp;"生成成长"),5))*(VLOOKUP($B$5,标准坦克设计!$B$24:$U$30,MATCH("对"&amp;LEFT($C$5,2)&amp;"输出",标准坦克设计!$B$23:$U$23,0)))*(VLOOKUP($B108,INDIRECT($B$5&amp;"生成成长"),3))*(VLOOKUP($B$5,标准坦克设计!$B$14:$K$20,9)/30))</f>
        <v>14.284353081753098</v>
      </c>
      <c r="AT108" s="172">
        <f ca="1">(VLOOKUP(AT$72,INDIRECT($C$5&amp;"生成成长"),2))/((VLOOKUP($B108,INDIRECT($B$5&amp;"生成成长"),4))/(VLOOKUP(AT$72,INDIRECT($C$5&amp;"生成成长"),5))*(VLOOKUP($B$5,标准坦克设计!$B$24:$U$30,MATCH("对"&amp;LEFT($C$5,2)&amp;"输出",标准坦克设计!$B$23:$U$23,0)))*(VLOOKUP($B108,INDIRECT($B$5&amp;"生成成长"),3))*(VLOOKUP($B$5,标准坦克设计!$B$14:$K$20,9)/30))</f>
        <v>15.201658983430944</v>
      </c>
      <c r="AU108" s="172">
        <f ca="1">(VLOOKUP(AU$72,INDIRECT($C$5&amp;"生成成长"),2))/((VLOOKUP($B108,INDIRECT($B$5&amp;"生成成长"),4))/(VLOOKUP(AU$72,INDIRECT($C$5&amp;"生成成长"),5))*(VLOOKUP($B$5,标准坦克设计!$B$24:$U$30,MATCH("对"&amp;LEFT($C$5,2)&amp;"输出",标准坦克设计!$B$23:$U$23,0)))*(VLOOKUP($B108,INDIRECT($B$5&amp;"生成成长"),3))*(VLOOKUP($B$5,标准坦克设计!$B$14:$K$20,9)/30))</f>
        <v>16.147509057438231</v>
      </c>
      <c r="AV108" s="172">
        <f ca="1">(VLOOKUP(AV$72,INDIRECT($C$5&amp;"生成成长"),2))/((VLOOKUP($B108,INDIRECT($B$5&amp;"生成成长"),4))/(VLOOKUP(AV$72,INDIRECT($C$5&amp;"生成成长"),5))*(VLOOKUP($B$5,标准坦克设计!$B$24:$U$30,MATCH("对"&amp;LEFT($C$5,2)&amp;"输出",标准坦克设计!$B$23:$U$23,0)))*(VLOOKUP($B108,INDIRECT($B$5&amp;"生成成长"),3))*(VLOOKUP($B$5,标准坦克设计!$B$14:$K$20,9)/30))</f>
        <v>1.6423514690706347</v>
      </c>
      <c r="AW108" s="172">
        <f ca="1">(VLOOKUP(AW$72,INDIRECT($C$5&amp;"生成成长"),2))/((VLOOKUP($B108,INDIRECT($B$5&amp;"生成成长"),4))/(VLOOKUP(AW$72,INDIRECT($C$5&amp;"生成成长"),5))*(VLOOKUP($B$5,标准坦克设计!$B$24:$U$30,MATCH("对"&amp;LEFT($C$5,2)&amp;"输出",标准坦克设计!$B$23:$U$23,0)))*(VLOOKUP($B108,INDIRECT($B$5&amp;"生成成长"),3))*(VLOOKUP($B$5,标准坦克设计!$B$14:$K$20,9)/30))</f>
        <v>1.8725920657113904</v>
      </c>
      <c r="AX108" s="172">
        <f ca="1">(VLOOKUP(AX$72,INDIRECT($C$5&amp;"生成成长"),2))/((VLOOKUP($B108,INDIRECT($B$5&amp;"生成成长"),4))/(VLOOKUP(AX$72,INDIRECT($C$5&amp;"生成成长"),5))*(VLOOKUP($B$5,标准坦克设计!$B$24:$U$30,MATCH("对"&amp;LEFT($C$5,2)&amp;"输出",标准坦克设计!$B$23:$U$23,0)))*(VLOOKUP($B108,INDIRECT($B$5&amp;"生成成长"),3))*(VLOOKUP($B$5,标准坦克设计!$B$14:$K$20,9)/30))</f>
        <v>2.1179304063941626</v>
      </c>
      <c r="AY108" s="172">
        <f ca="1">(VLOOKUP(AY$72,INDIRECT($C$5&amp;"生成成长"),2))/((VLOOKUP($B108,INDIRECT($B$5&amp;"生成成长"),4))/(VLOOKUP(AY$72,INDIRECT($C$5&amp;"生成成长"),5))*(VLOOKUP($B$5,标准坦克设计!$B$24:$U$30,MATCH("对"&amp;LEFT($C$5,2)&amp;"输出",标准坦克设计!$B$23:$U$23,0)))*(VLOOKUP($B108,INDIRECT($B$5&amp;"生成成长"),3))*(VLOOKUP($B$5,标准坦克设计!$B$14:$K$20,9)/30))</f>
        <v>2.3783664911189515</v>
      </c>
      <c r="AZ108" s="172">
        <f ca="1">(VLOOKUP(AZ$72,INDIRECT($C$5&amp;"生成成长"),2))/((VLOOKUP($B108,INDIRECT($B$5&amp;"生成成长"),4))/(VLOOKUP(AZ$72,INDIRECT($C$5&amp;"生成成长"),5))*(VLOOKUP($B$5,标准坦克设计!$B$24:$U$30,MATCH("对"&amp;LEFT($C$5,2)&amp;"输出",标准坦克设计!$B$23:$U$23,0)))*(VLOOKUP($B108,INDIRECT($B$5&amp;"生成成长"),3))*(VLOOKUP($B$5,标准坦克设计!$B$14:$K$20,9)/30))</f>
        <v>2.6539003198857571</v>
      </c>
      <c r="BA108" s="172">
        <f ca="1">(VLOOKUP(BA$72,INDIRECT($C$5&amp;"生成成长"),2))/((VLOOKUP($B108,INDIRECT($B$5&amp;"生成成长"),4))/(VLOOKUP(BA$72,INDIRECT($C$5&amp;"生成成长"),5))*(VLOOKUP($B$5,标准坦克设计!$B$24:$U$30,MATCH("对"&amp;LEFT($C$5,2)&amp;"输出",标准坦克设计!$B$23:$U$23,0)))*(VLOOKUP($B108,INDIRECT($B$5&amp;"生成成长"),3))*(VLOOKUP($B$5,标准坦克设计!$B$14:$K$20,9)/30))</f>
        <v>2.9445318926945792</v>
      </c>
      <c r="BB108" s="172">
        <f ca="1">(VLOOKUP(BB$72,INDIRECT($C$5&amp;"生成成长"),2))/((VLOOKUP($B108,INDIRECT($B$5&amp;"生成成长"),4))/(VLOOKUP(BB$72,INDIRECT($C$5&amp;"生成成长"),5))*(VLOOKUP($B$5,标准坦克设计!$B$24:$U$30,MATCH("对"&amp;LEFT($C$5,2)&amp;"输出",标准坦克设计!$B$23:$U$23,0)))*(VLOOKUP($B108,INDIRECT($B$5&amp;"生成成长"),3))*(VLOOKUP($B$5,标准坦克设计!$B$14:$K$20,9)/30))</f>
        <v>3.2502612095454184</v>
      </c>
      <c r="BC108" s="172">
        <f ca="1">(VLOOKUP(BC$72,INDIRECT($C$5&amp;"生成成长"),2))/((VLOOKUP($B108,INDIRECT($B$5&amp;"生成成长"),4))/(VLOOKUP(BC$72,INDIRECT($C$5&amp;"生成成长"),5))*(VLOOKUP($B$5,标准坦克设计!$B$24:$U$30,MATCH("对"&amp;LEFT($C$5,2)&amp;"输出",标准坦克设计!$B$23:$U$23,0)))*(VLOOKUP($B108,INDIRECT($B$5&amp;"生成成长"),3))*(VLOOKUP($B$5,标准坦克设计!$B$14:$K$20,9)/30))</f>
        <v>3.5710882704382745</v>
      </c>
      <c r="BD108" s="172">
        <f ca="1">(VLOOKUP(BD$72,INDIRECT($C$5&amp;"生成成长"),2))/((VLOOKUP($B108,INDIRECT($B$5&amp;"生成成长"),4))/(VLOOKUP(BD$72,INDIRECT($C$5&amp;"生成成长"),5))*(VLOOKUP($B$5,标准坦克设计!$B$24:$U$30,MATCH("对"&amp;LEFT($C$5,2)&amp;"输出",标准坦克设计!$B$23:$U$23,0)))*(VLOOKUP($B108,INDIRECT($B$5&amp;"生成成长"),3))*(VLOOKUP($B$5,标准坦克设计!$B$14:$K$20,9)/30))</f>
        <v>3.9500652361179602</v>
      </c>
      <c r="BE108" s="172">
        <f ca="1">(VLOOKUP(BE$72,INDIRECT($C$5&amp;"生成成长"),2))/((VLOOKUP($B108,INDIRECT($B$5&amp;"生成成长"),4))/(VLOOKUP(BE$72,INDIRECT($C$5&amp;"生成成长"),5))*(VLOOKUP($B$5,标准坦克设计!$B$24:$U$30,MATCH("对"&amp;LEFT($C$5,2)&amp;"输出",标准坦克设计!$B$23:$U$23,0)))*(VLOOKUP($B108,INDIRECT($B$5&amp;"生成成长"),3))*(VLOOKUP($B$5,标准坦克设计!$B$14:$K$20,9)/30))</f>
        <v>4.348150284100825</v>
      </c>
      <c r="BF108" s="172">
        <f ca="1">(VLOOKUP(BF$72,INDIRECT($C$5&amp;"生成成长"),2))/((VLOOKUP($B108,INDIRECT($B$5&amp;"生成成长"),4))/(VLOOKUP(BF$72,INDIRECT($C$5&amp;"生成成长"),5))*(VLOOKUP($B$5,标准坦克设计!$B$24:$U$30,MATCH("对"&amp;LEFT($C$5,2)&amp;"输出",标准坦克设计!$B$23:$U$23,0)))*(VLOOKUP($B108,INDIRECT($B$5&amp;"生成成长"),3))*(VLOOKUP($B$5,标准坦克设计!$B$14:$K$20,9)/30))</f>
        <v>4.7653434143868658</v>
      </c>
      <c r="BG108" s="172">
        <f ca="1">(VLOOKUP(BG$72,INDIRECT($C$5&amp;"生成成长"),2))/((VLOOKUP($B108,INDIRECT($B$5&amp;"生成成长"),4))/(VLOOKUP(BG$72,INDIRECT($C$5&amp;"生成成长"),5))*(VLOOKUP($B$5,标准坦克设计!$B$24:$U$30,MATCH("对"&amp;LEFT($C$5,2)&amp;"输出",标准坦克设计!$B$23:$U$23,0)))*(VLOOKUP($B108,INDIRECT($B$5&amp;"生成成长"),3))*(VLOOKUP($B$5,标准坦克设计!$B$14:$K$20,9)/30))</f>
        <v>5.2016446269760834</v>
      </c>
      <c r="BH108" s="172">
        <f ca="1">(VLOOKUP(BH$72,INDIRECT($C$5&amp;"生成成长"),2))/((VLOOKUP($B108,INDIRECT($B$5&amp;"生成成长"),4))/(VLOOKUP(BH$72,INDIRECT($C$5&amp;"生成成长"),5))*(VLOOKUP($B$5,标准坦克设计!$B$24:$U$30,MATCH("对"&amp;LEFT($C$5,2)&amp;"输出",标准坦克设计!$B$23:$U$23,0)))*(VLOOKUP($B108,INDIRECT($B$5&amp;"生成成长"),3))*(VLOOKUP($B$5,标准坦克设计!$B$14:$K$20,9)/30))</f>
        <v>2.5142461874971018</v>
      </c>
      <c r="BI108" s="172">
        <f ca="1">(VLOOKUP(BI$72,INDIRECT($C$5&amp;"生成成长"),2))/((VLOOKUP($B108,INDIRECT($B$5&amp;"生成成长"),4))/(VLOOKUP(BI$72,INDIRECT($C$5&amp;"生成成长"),5))*(VLOOKUP($B$5,标准坦克设计!$B$24:$U$30,MATCH("对"&amp;LEFT($C$5,2)&amp;"输出",标准坦克设计!$B$23:$U$23,0)))*(VLOOKUP($B108,INDIRECT($B$5&amp;"生成成长"),3))*(VLOOKUP($B$5,标准坦克设计!$B$14:$K$20,9)/30))</f>
        <v>2.8337757860113477</v>
      </c>
      <c r="BJ108" s="172">
        <f ca="1">(VLOOKUP(BJ$72,INDIRECT($C$5&amp;"生成成长"),2))/((VLOOKUP($B108,INDIRECT($B$5&amp;"生成成长"),4))/(VLOOKUP(BJ$72,INDIRECT($C$5&amp;"生成成长"),5))*(VLOOKUP($B$5,标准坦克设计!$B$24:$U$30,MATCH("对"&amp;LEFT($C$5,2)&amp;"输出",标准坦克设计!$B$23:$U$23,0)))*(VLOOKUP($B108,INDIRECT($B$5&amp;"生成成长"),3))*(VLOOKUP($B$5,标准坦克设计!$B$14:$K$20,9)/30))</f>
        <v>3.17241346682877</v>
      </c>
      <c r="BK108" s="172">
        <f ca="1">(VLOOKUP(BK$72,INDIRECT($C$5&amp;"生成成长"),2))/((VLOOKUP($B108,INDIRECT($B$5&amp;"生成成长"),4))/(VLOOKUP(BK$72,INDIRECT($C$5&amp;"生成成长"),5))*(VLOOKUP($B$5,标准坦克设计!$B$24:$U$30,MATCH("对"&amp;LEFT($C$5,2)&amp;"输出",标准坦克设计!$B$23:$U$23,0)))*(VLOOKUP($B108,INDIRECT($B$5&amp;"生成成长"),3))*(VLOOKUP($B$5,标准坦克设计!$B$14:$K$20,9)/30))</f>
        <v>3.53015922994937</v>
      </c>
      <c r="BL108" s="172">
        <f ca="1">(VLOOKUP(BL$72,INDIRECT($C$5&amp;"生成成长"),2))/((VLOOKUP($B108,INDIRECT($B$5&amp;"生成成长"),4))/(VLOOKUP(BL$72,INDIRECT($C$5&amp;"生成成长"),5))*(VLOOKUP($B$5,标准坦克设计!$B$24:$U$30,MATCH("对"&amp;LEFT($C$5,2)&amp;"输出",标准坦克设计!$B$23:$U$23,0)))*(VLOOKUP($B108,INDIRECT($B$5&amp;"生成成长"),3))*(VLOOKUP($B$5,标准坦克设计!$B$14:$K$20,9)/30))</f>
        <v>3.9070130753731469</v>
      </c>
      <c r="BM108" s="172">
        <f ca="1">(VLOOKUP(BM$72,INDIRECT($C$5&amp;"生成成长"),2))/((VLOOKUP($B108,INDIRECT($B$5&amp;"生成成长"),4))/(VLOOKUP(BM$72,INDIRECT($C$5&amp;"生成成长"),5))*(VLOOKUP($B$5,标准坦克设计!$B$24:$U$30,MATCH("对"&amp;LEFT($C$5,2)&amp;"输出",标准坦克设计!$B$23:$U$23,0)))*(VLOOKUP($B108,INDIRECT($B$5&amp;"生成成长"),3))*(VLOOKUP($B$5,标准坦克设计!$B$14:$K$20,9)/30))</f>
        <v>4.3029750031001024</v>
      </c>
      <c r="BN108" s="172">
        <f ca="1">(VLOOKUP(BN$72,INDIRECT($C$5&amp;"生成成长"),2))/((VLOOKUP($B108,INDIRECT($B$5&amp;"生成成长"),4))/(VLOOKUP(BN$72,INDIRECT($C$5&amp;"生成成长"),5))*(VLOOKUP($B$5,标准坦克设计!$B$24:$U$30,MATCH("对"&amp;LEFT($C$5,2)&amp;"输出",标准坦克设计!$B$23:$U$23,0)))*(VLOOKUP($B108,INDIRECT($B$5&amp;"生成成长"),3))*(VLOOKUP($B$5,标准坦克设计!$B$14:$K$20,9)/30))</f>
        <v>4.7180450131302347</v>
      </c>
      <c r="BO108" s="172">
        <f ca="1">(VLOOKUP(BO$72,INDIRECT($C$5&amp;"生成成长"),2))/((VLOOKUP($B108,INDIRECT($B$5&amp;"生成成长"),4))/(VLOOKUP(BO$72,INDIRECT($C$5&amp;"生成成长"),5))*(VLOOKUP($B$5,标准坦克设计!$B$24:$U$30,MATCH("对"&amp;LEFT($C$5,2)&amp;"输出",标准坦克设计!$B$23:$U$23,0)))*(VLOOKUP($B108,INDIRECT($B$5&amp;"生成成长"),3))*(VLOOKUP($B$5,标准坦克设计!$B$14:$K$20,9)/30))</f>
        <v>5.1522231054635448</v>
      </c>
      <c r="BP108" s="172">
        <f ca="1">(VLOOKUP(BP$72,INDIRECT($C$5&amp;"生成成长"),2))/((VLOOKUP($B108,INDIRECT($B$5&amp;"生成成长"),4))/(VLOOKUP(BP$72,INDIRECT($C$5&amp;"生成成长"),5))*(VLOOKUP($B$5,标准坦克设计!$B$24:$U$30,MATCH("对"&amp;LEFT($C$5,2)&amp;"输出",标准坦克设计!$B$23:$U$23,0)))*(VLOOKUP($B108,INDIRECT($B$5&amp;"生成成长"),3))*(VLOOKUP($B$5,标准坦克设计!$B$14:$K$20,9)/30))</f>
        <v>5.6055092801000317</v>
      </c>
      <c r="BQ108" s="172">
        <f ca="1">(VLOOKUP(BQ$72,INDIRECT($C$5&amp;"生成成长"),2))/((VLOOKUP($B108,INDIRECT($B$5&amp;"生成成长"),4))/(VLOOKUP(BQ$72,INDIRECT($C$5&amp;"生成成长"),5))*(VLOOKUP($B$5,标准坦克设计!$B$24:$U$30,MATCH("对"&amp;LEFT($C$5,2)&amp;"输出",标准坦克设计!$B$23:$U$23,0)))*(VLOOKUP($B108,INDIRECT($B$5&amp;"生成成长"),3))*(VLOOKUP($B$5,标准坦克设计!$B$14:$K$20,9)/30))</f>
        <v>6.0779035370396972</v>
      </c>
      <c r="BR108" s="172">
        <f ca="1">(VLOOKUP(BR$72,INDIRECT($C$5&amp;"生成成长"),2))/((VLOOKUP($B108,INDIRECT($B$5&amp;"生成成长"),4))/(VLOOKUP(BR$72,INDIRECT($C$5&amp;"生成成长"),5))*(VLOOKUP($B$5,标准坦克设计!$B$24:$U$30,MATCH("对"&amp;LEFT($C$5,2)&amp;"输出",标准坦克设计!$B$23:$U$23,0)))*(VLOOKUP($B108,INDIRECT($B$5&amp;"生成成长"),3))*(VLOOKUP($B$5,标准坦克设计!$B$14:$K$20,9)/30))</f>
        <v>6.6251967585628035</v>
      </c>
      <c r="BS108" s="172">
        <f ca="1">(VLOOKUP(BS$72,INDIRECT($C$5&amp;"生成成长"),2))/((VLOOKUP($B108,INDIRECT($B$5&amp;"生成成长"),4))/(VLOOKUP(BS$72,INDIRECT($C$5&amp;"生成成长"),5))*(VLOOKUP($B$5,标准坦克设计!$B$24:$U$30,MATCH("对"&amp;LEFT($C$5,2)&amp;"输出",标准坦克设计!$B$23:$U$23,0)))*(VLOOKUP($B108,INDIRECT($B$5&amp;"生成成长"),3))*(VLOOKUP($B$5,标准坦克设计!$B$14:$K$20,9)/30))</f>
        <v>7.1960802051515627</v>
      </c>
      <c r="BT108" s="172">
        <f ca="1">(VLOOKUP(BT$72,INDIRECT($C$5&amp;"生成成长"),2))/((VLOOKUP($B108,INDIRECT($B$5&amp;"生成成长"),4))/(VLOOKUP(BT$72,INDIRECT($C$5&amp;"生成成长"),5))*(VLOOKUP($B$5,标准坦克设计!$B$24:$U$30,MATCH("对"&amp;LEFT($C$5,2)&amp;"输出",标准坦克设计!$B$23:$U$23,0)))*(VLOOKUP($B108,INDIRECT($B$5&amp;"生成成长"),3))*(VLOOKUP($B$5,标准坦克设计!$B$14:$K$20,9)/30))</f>
        <v>7.7905538768059701</v>
      </c>
      <c r="BU108" s="172">
        <f ca="1">(VLOOKUP(BU$72,INDIRECT($C$5&amp;"生成成长"),2))/((VLOOKUP($B108,INDIRECT($B$5&amp;"生成成长"),4))/(VLOOKUP(BU$72,INDIRECT($C$5&amp;"生成成长"),5))*(VLOOKUP($B$5,标准坦克设计!$B$24:$U$30,MATCH("对"&amp;LEFT($C$5,2)&amp;"输出",标准坦克设计!$B$23:$U$23,0)))*(VLOOKUP($B108,INDIRECT($B$5&amp;"生成成长"),3))*(VLOOKUP($B$5,标准坦克设计!$B$14:$K$20,9)/30))</f>
        <v>8.4086177735260321</v>
      </c>
      <c r="BV108" s="172">
        <f ca="1">(VLOOKUP(BV$72,INDIRECT($C$5&amp;"生成成长"),2))/((VLOOKUP($B108,INDIRECT($B$5&amp;"生成成长"),4))/(VLOOKUP(BV$72,INDIRECT($C$5&amp;"生成成长"),5))*(VLOOKUP($B$5,标准坦克设计!$B$24:$U$30,MATCH("对"&amp;LEFT($C$5,2)&amp;"输出",标准坦克设计!$B$23:$U$23,0)))*(VLOOKUP($B108,INDIRECT($B$5&amp;"生成成长"),3))*(VLOOKUP($B$5,标准坦克设计!$B$14:$K$20,9)/30))</f>
        <v>9.0502718953117416</v>
      </c>
      <c r="BW108" s="172">
        <f ca="1">(VLOOKUP(BW$72,INDIRECT($C$5&amp;"生成成长"),2))/((VLOOKUP($B108,INDIRECT($B$5&amp;"生成成长"),4))/(VLOOKUP(BW$72,INDIRECT($C$5&amp;"生成成长"),5))*(VLOOKUP($B$5,标准坦克设计!$B$24:$U$30,MATCH("对"&amp;LEFT($C$5,2)&amp;"输出",标准坦克设计!$B$23:$U$23,0)))*(VLOOKUP($B108,INDIRECT($B$5&amp;"生成成长"),3))*(VLOOKUP($B$5,标准坦克设计!$B$14:$K$20,9)/30))</f>
        <v>4.1246329016037793</v>
      </c>
      <c r="BX108" s="172">
        <f ca="1">(VLOOKUP(BX$72,INDIRECT($C$5&amp;"生成成长"),2))/((VLOOKUP($B108,INDIRECT($B$5&amp;"生成成长"),4))/(VLOOKUP(BX$72,INDIRECT($C$5&amp;"生成成长"),5))*(VLOOKUP($B$5,标准坦克设计!$B$24:$U$30,MATCH("对"&amp;LEFT($C$5,2)&amp;"输出",标准坦克设计!$B$23:$U$23,0)))*(VLOOKUP($B108,INDIRECT($B$5&amp;"生成成长"),3))*(VLOOKUP($B$5,标准坦克设计!$B$14:$K$20,9)/30))</f>
        <v>4.5775652228642816</v>
      </c>
      <c r="BY108" s="172">
        <f ca="1">(VLOOKUP(BY$72,INDIRECT($C$5&amp;"生成成长"),2))/((VLOOKUP($B108,INDIRECT($B$5&amp;"生成成长"),4))/(VLOOKUP(BY$72,INDIRECT($C$5&amp;"生成成长"),5))*(VLOOKUP($B$5,标准坦克设计!$B$24:$U$30,MATCH("对"&amp;LEFT($C$5,2)&amp;"输出",标准坦克设计!$B$23:$U$23,0)))*(VLOOKUP($B108,INDIRECT($B$5&amp;"生成成长"),3))*(VLOOKUP($B$5,标准坦克设计!$B$14:$K$20,9)/30))</f>
        <v>5.0540877691904349</v>
      </c>
      <c r="BZ108" s="172">
        <f ca="1">(VLOOKUP(BZ$72,INDIRECT($C$5&amp;"生成成长"),2))/((VLOOKUP($B108,INDIRECT($B$5&amp;"生成成长"),4))/(VLOOKUP(BZ$72,INDIRECT($C$5&amp;"生成成长"),5))*(VLOOKUP($B$5,标准坦克设计!$B$24:$U$30,MATCH("对"&amp;LEFT($C$5,2)&amp;"输出",标准坦克设计!$B$23:$U$23,0)))*(VLOOKUP($B108,INDIRECT($B$5&amp;"生成成长"),3))*(VLOOKUP($B$5,标准坦克设计!$B$14:$K$20,9)/30))</f>
        <v>5.554200540582241</v>
      </c>
      <c r="CA108" s="172">
        <f ca="1">(VLOOKUP(CA$72,INDIRECT($C$5&amp;"生成成长"),2))/((VLOOKUP($B108,INDIRECT($B$5&amp;"生成成长"),4))/(VLOOKUP(CA$72,INDIRECT($C$5&amp;"生成成长"),5))*(VLOOKUP($B$5,标准坦克设计!$B$24:$U$30,MATCH("对"&amp;LEFT($C$5,2)&amp;"输出",标准坦克设计!$B$23:$U$23,0)))*(VLOOKUP($B108,INDIRECT($B$5&amp;"生成成长"),3))*(VLOOKUP($B$5,标准坦克设计!$B$14:$K$20,9)/30))</f>
        <v>6.0779035370396972</v>
      </c>
      <c r="CB108" s="172">
        <f ca="1">(VLOOKUP(CB$72,INDIRECT($C$5&amp;"生成成长"),2))/((VLOOKUP($B108,INDIRECT($B$5&amp;"生成成长"),4))/(VLOOKUP(CB$72,INDIRECT($C$5&amp;"生成成长"),5))*(VLOOKUP($B$5,标准坦克设计!$B$24:$U$30,MATCH("对"&amp;LEFT($C$5,2)&amp;"输出",标准坦克设计!$B$23:$U$23,0)))*(VLOOKUP($B108,INDIRECT($B$5&amp;"生成成长"),3))*(VLOOKUP($B$5,标准坦克设计!$B$14:$K$20,9)/30))</f>
        <v>6.6251967585628035</v>
      </c>
      <c r="CC108" s="172">
        <f ca="1">(VLOOKUP(CC$72,INDIRECT($C$5&amp;"生成成长"),2))/((VLOOKUP($B108,INDIRECT($B$5&amp;"生成成长"),4))/(VLOOKUP(CC$72,INDIRECT($C$5&amp;"生成成长"),5))*(VLOOKUP($B$5,标准坦克设计!$B$24:$U$30,MATCH("对"&amp;LEFT($C$5,2)&amp;"输出",标准坦克设计!$B$23:$U$23,0)))*(VLOOKUP($B108,INDIRECT($B$5&amp;"生成成长"),3))*(VLOOKUP($B$5,标准坦克设计!$B$14:$K$20,9)/30))</f>
        <v>7.1960802051515627</v>
      </c>
      <c r="CD108" s="172">
        <f ca="1">(VLOOKUP(CD$72,INDIRECT($C$5&amp;"生成成长"),2))/((VLOOKUP($B108,INDIRECT($B$5&amp;"生成成长"),4))/(VLOOKUP(CD$72,INDIRECT($C$5&amp;"生成成长"),5))*(VLOOKUP($B$5,标准坦克设计!$B$24:$U$30,MATCH("对"&amp;LEFT($C$5,2)&amp;"输出",标准坦克设计!$B$23:$U$23,0)))*(VLOOKUP($B108,INDIRECT($B$5&amp;"生成成长"),3))*(VLOOKUP($B$5,标准坦克设计!$B$14:$K$20,9)/30))</f>
        <v>7.7905538768059701</v>
      </c>
      <c r="CE108" s="172">
        <f ca="1">(VLOOKUP(CE$72,INDIRECT($C$5&amp;"生成成长"),2))/((VLOOKUP($B108,INDIRECT($B$5&amp;"生成成长"),4))/(VLOOKUP(CE$72,INDIRECT($C$5&amp;"生成成长"),5))*(VLOOKUP($B$5,标准坦克设计!$B$24:$U$30,MATCH("对"&amp;LEFT($C$5,2)&amp;"输出",标准坦克设计!$B$23:$U$23,0)))*(VLOOKUP($B108,INDIRECT($B$5&amp;"生成成长"),3))*(VLOOKUP($B$5,标准坦克设计!$B$14:$K$20,9)/30))</f>
        <v>8.4086177735260321</v>
      </c>
      <c r="CF108" s="172">
        <f ca="1">(VLOOKUP(CF$72,INDIRECT($C$5&amp;"生成成长"),2))/((VLOOKUP($B108,INDIRECT($B$5&amp;"生成成长"),4))/(VLOOKUP(CF$72,INDIRECT($C$5&amp;"生成成长"),5))*(VLOOKUP($B$5,标准坦克设计!$B$24:$U$30,MATCH("对"&amp;LEFT($C$5,2)&amp;"输出",标准坦克设计!$B$23:$U$23,0)))*(VLOOKUP($B108,INDIRECT($B$5&amp;"生成成长"),3))*(VLOOKUP($B$5,标准坦克设计!$B$14:$K$20,9)/30))</f>
        <v>9.0502718953117416</v>
      </c>
      <c r="CG108" s="172">
        <f ca="1">(VLOOKUP(CG$72,INDIRECT($C$5&amp;"生成成长"),2))/((VLOOKUP($B108,INDIRECT($B$5&amp;"生成成长"),4))/(VLOOKUP(CG$72,INDIRECT($C$5&amp;"生成成长"),5))*(VLOOKUP($B$5,标准坦克设计!$B$24:$U$30,MATCH("对"&amp;LEFT($C$5,2)&amp;"输出",标准坦克设计!$B$23:$U$23,0)))*(VLOOKUP($B108,INDIRECT($B$5&amp;"生成成长"),3))*(VLOOKUP($B$5,标准坦克设计!$B$14:$K$20,9)/30))</f>
        <v>9.7155162421631065</v>
      </c>
      <c r="CH108" s="172">
        <f ca="1">(VLOOKUP(CH$72,INDIRECT($C$5&amp;"生成成长"),2))/((VLOOKUP($B108,INDIRECT($B$5&amp;"生成成长"),4))/(VLOOKUP(CH$72,INDIRECT($C$5&amp;"生成成长"),5))*(VLOOKUP($B$5,标准坦克设计!$B$24:$U$30,MATCH("对"&amp;LEFT($C$5,2)&amp;"输出",标准坦克设计!$B$23:$U$23,0)))*(VLOOKUP($B108,INDIRECT($B$5&amp;"生成成长"),3))*(VLOOKUP($B$5,标准坦克设计!$B$14:$K$20,9)/30))</f>
        <v>10.404350814080123</v>
      </c>
      <c r="CI108" s="172">
        <f ca="1">(VLOOKUP(CI$72,INDIRECT($C$5&amp;"生成成长"),2))/((VLOOKUP($B108,INDIRECT($B$5&amp;"生成成长"),4))/(VLOOKUP(CI$72,INDIRECT($C$5&amp;"生成成长"),5))*(VLOOKUP($B$5,标准坦克设计!$B$24:$U$30,MATCH("对"&amp;LEFT($C$5,2)&amp;"输出",标准坦克设计!$B$23:$U$23,0)))*(VLOOKUP($B108,INDIRECT($B$5&amp;"生成成长"),3))*(VLOOKUP($B$5,标准坦克设计!$B$14:$K$20,9)/30))</f>
        <v>11.189315553139664</v>
      </c>
      <c r="CJ108" s="172">
        <f ca="1">(VLOOKUP(CJ$72,INDIRECT($C$5&amp;"生成成长"),2))/((VLOOKUP($B108,INDIRECT($B$5&amp;"生成成长"),4))/(VLOOKUP(CJ$72,INDIRECT($C$5&amp;"生成成长"),5))*(VLOOKUP($B$5,标准坦克设计!$B$24:$U$30,MATCH("对"&amp;LEFT($C$5,2)&amp;"输出",标准坦克设计!$B$23:$U$23,0)))*(VLOOKUP($B108,INDIRECT($B$5&amp;"生成成长"),3))*(VLOOKUP($B$5,标准坦克设计!$B$14:$K$20,9)/30))</f>
        <v>12.002824464528643</v>
      </c>
      <c r="CK108" s="172">
        <f ca="1">(VLOOKUP(CK$72,INDIRECT($C$5&amp;"生成成长"),2))/((VLOOKUP($B108,INDIRECT($B$5&amp;"生成成长"),4))/(VLOOKUP(CK$72,INDIRECT($C$5&amp;"生成成长"),5))*(VLOOKUP($B$5,标准坦克设计!$B$24:$U$30,MATCH("对"&amp;LEFT($C$5,2)&amp;"输出",标准坦克设计!$B$23:$U$23,0)))*(VLOOKUP($B108,INDIRECT($B$5&amp;"生成成长"),3))*(VLOOKUP($B$5,标准坦克设计!$B$14:$K$20,9)/30))</f>
        <v>12.844877548247064</v>
      </c>
      <c r="CL108" s="172">
        <f ca="1">(VLOOKUP(CL$72,INDIRECT($C$5&amp;"生成成长"),2))/((VLOOKUP($B108,INDIRECT($B$5&amp;"生成成长"),4))/(VLOOKUP(CL$72,INDIRECT($C$5&amp;"生成成长"),5))*(VLOOKUP($B$5,标准坦克设计!$B$24:$U$30,MATCH("对"&amp;LEFT($C$5,2)&amp;"输出",标准坦克设计!$B$23:$U$23,0)))*(VLOOKUP($B108,INDIRECT($B$5&amp;"生成成长"),3))*(VLOOKUP($B$5,标准坦克设计!$B$14:$K$20,9)/30))</f>
        <v>13.715474804294921</v>
      </c>
      <c r="CM108" s="172">
        <f ca="1">(VLOOKUP(CM$72,INDIRECT($C$5&amp;"生成成长"),2))/((VLOOKUP($B108,INDIRECT($B$5&amp;"生成成长"),4))/(VLOOKUP(CM$72,INDIRECT($C$5&amp;"生成成长"),5))*(VLOOKUP($B$5,标准坦克设计!$B$24:$U$30,MATCH("对"&amp;LEFT($C$5,2)&amp;"输出",标准坦克设计!$B$23:$U$23,0)))*(VLOOKUP($B108,INDIRECT($B$5&amp;"生成成长"),3))*(VLOOKUP($B$5,标准坦克设计!$B$14:$K$20,9)/30))</f>
        <v>14.614616232672214</v>
      </c>
      <c r="CN108" s="172">
        <f ca="1">(VLOOKUP(CN$72,INDIRECT($C$5&amp;"生成成长"),2))/((VLOOKUP($B108,INDIRECT($B$5&amp;"生成成长"),4))/(VLOOKUP(CN$72,INDIRECT($C$5&amp;"生成成长"),5))*(VLOOKUP($B$5,标准坦克设计!$B$24:$U$30,MATCH("对"&amp;LEFT($C$5,2)&amp;"输出",标准坦克设计!$B$23:$U$23,0)))*(VLOOKUP($B108,INDIRECT($B$5&amp;"生成成长"),3))*(VLOOKUP($B$5,标准坦克设计!$B$14:$K$20,9)/30))</f>
        <v>15.542301833378948</v>
      </c>
      <c r="CO108" s="172">
        <f ca="1">(VLOOKUP(CO$72,INDIRECT($C$5&amp;"生成成长"),2))/((VLOOKUP($B108,INDIRECT($B$5&amp;"生成成长"),4))/(VLOOKUP(CO$72,INDIRECT($C$5&amp;"生成成长"),5))*(VLOOKUP($B$5,标准坦克设计!$B$24:$U$30,MATCH("对"&amp;LEFT($C$5,2)&amp;"输出",标准坦克设计!$B$23:$U$23,0)))*(VLOOKUP($B108,INDIRECT($B$5&amp;"生成成长"),3))*(VLOOKUP($B$5,标准坦克设计!$B$14:$K$20,9)/30))</f>
        <v>6.9648959995081814</v>
      </c>
      <c r="CP108" s="172">
        <f ca="1">(VLOOKUP(CP$72,INDIRECT($C$5&amp;"生成成长"),2))/((VLOOKUP($B108,INDIRECT($B$5&amp;"生成成长"),4))/(VLOOKUP(CP$72,INDIRECT($C$5&amp;"生成成长"),5))*(VLOOKUP($B$5,标准坦克设计!$B$24:$U$30,MATCH("对"&amp;LEFT($C$5,2)&amp;"输出",标准坦克设计!$B$23:$U$23,0)))*(VLOOKUP($B108,INDIRECT($B$5&amp;"生成成长"),3))*(VLOOKUP($B$5,标准坦克设计!$B$14:$K$20,9)/30))</f>
        <v>7.6097348016777548</v>
      </c>
      <c r="CQ108" s="172">
        <f ca="1">(VLOOKUP(CQ$72,INDIRECT($C$5&amp;"生成成长"),2))/((VLOOKUP($B108,INDIRECT($B$5&amp;"生成成长"),4))/(VLOOKUP(CQ$72,INDIRECT($C$5&amp;"生成成长"),5))*(VLOOKUP($B$5,标准坦克设计!$B$24:$U$30,MATCH("对"&amp;LEFT($C$5,2)&amp;"输出",标准坦克设计!$B$23:$U$23,0)))*(VLOOKUP($B108,INDIRECT($B$5&amp;"生成成长"),3))*(VLOOKUP($B$5,标准坦克设计!$B$14:$K$20,9)/30))</f>
        <v>8.283117776176768</v>
      </c>
      <c r="CR108" s="172">
        <f ca="1">(VLOOKUP(CR$72,INDIRECT($C$5&amp;"生成成长"),2))/((VLOOKUP($B108,INDIRECT($B$5&amp;"生成成长"),4))/(VLOOKUP(CR$72,INDIRECT($C$5&amp;"生成成长"),5))*(VLOOKUP($B$5,标准坦克设计!$B$24:$U$30,MATCH("对"&amp;LEFT($C$5,2)&amp;"输出",标准坦克设计!$B$23:$U$23,0)))*(VLOOKUP($B108,INDIRECT($B$5&amp;"生成成长"),3))*(VLOOKUP($B$5,标准坦克设计!$B$14:$K$20,9)/30))</f>
        <v>8.9850449230052174</v>
      </c>
      <c r="CS108" s="172">
        <f ca="1">(VLOOKUP(CS$72,INDIRECT($C$5&amp;"生成成长"),2))/((VLOOKUP($B108,INDIRECT($B$5&amp;"生成成长"),4))/(VLOOKUP(CS$72,INDIRECT($C$5&amp;"生成成长"),5))*(VLOOKUP($B$5,标准坦克设计!$B$24:$U$30,MATCH("对"&amp;LEFT($C$5,2)&amp;"输出",标准坦克设计!$B$23:$U$23,0)))*(VLOOKUP($B108,INDIRECT($B$5&amp;"生成成长"),3))*(VLOOKUP($B$5,标准坦克设计!$B$14:$K$20,9)/30))</f>
        <v>9.7155162421631065</v>
      </c>
      <c r="CT108" s="172">
        <f ca="1">(VLOOKUP(CT$72,INDIRECT($C$5&amp;"生成成长"),2))/((VLOOKUP($B108,INDIRECT($B$5&amp;"生成成长"),4))/(VLOOKUP(CT$72,INDIRECT($C$5&amp;"生成成长"),5))*(VLOOKUP($B$5,标准坦克设计!$B$24:$U$30,MATCH("对"&amp;LEFT($C$5,2)&amp;"输出",标准坦克设计!$B$23:$U$23,0)))*(VLOOKUP($B108,INDIRECT($B$5&amp;"生成成长"),3))*(VLOOKUP($B$5,标准坦克设计!$B$14:$K$20,9)/30))</f>
        <v>10.474531733650437</v>
      </c>
      <c r="CU108" s="172">
        <f ca="1">(VLOOKUP(CU$72,INDIRECT($C$5&amp;"生成成长"),2))/((VLOOKUP($B108,INDIRECT($B$5&amp;"生成成长"),4))/(VLOOKUP(CU$72,INDIRECT($C$5&amp;"生成成长"),5))*(VLOOKUP($B$5,标准坦克设计!$B$24:$U$30,MATCH("对"&amp;LEFT($C$5,2)&amp;"输出",标准坦克设计!$B$23:$U$23,0)))*(VLOOKUP($B108,INDIRECT($B$5&amp;"生成成长"),3))*(VLOOKUP($B$5,标准坦克设计!$B$14:$K$20,9)/30))</f>
        <v>11.262091397467199</v>
      </c>
      <c r="CV108" s="172">
        <f ca="1">(VLOOKUP(CV$72,INDIRECT($C$5&amp;"生成成长"),2))/((VLOOKUP($B108,INDIRECT($B$5&amp;"生成成长"),4))/(VLOOKUP(CV$72,INDIRECT($C$5&amp;"生成成长"),5))*(VLOOKUP($B$5,标准坦克设计!$B$24:$U$30,MATCH("对"&amp;LEFT($C$5,2)&amp;"输出",标准坦克设计!$B$23:$U$23,0)))*(VLOOKUP($B108,INDIRECT($B$5&amp;"生成成长"),3))*(VLOOKUP($B$5,标准坦克设计!$B$14:$K$20,9)/30))</f>
        <v>12.078195233613398</v>
      </c>
      <c r="CW108" s="172">
        <f ca="1">(VLOOKUP(CW$72,INDIRECT($C$5&amp;"生成成长"),2))/((VLOOKUP($B108,INDIRECT($B$5&amp;"生成成长"),4))/(VLOOKUP(CW$72,INDIRECT($C$5&amp;"生成成长"),5))*(VLOOKUP($B$5,标准坦克设计!$B$24:$U$30,MATCH("对"&amp;LEFT($C$5,2)&amp;"输出",标准坦克设计!$B$23:$U$23,0)))*(VLOOKUP($B108,INDIRECT($B$5&amp;"生成成长"),3))*(VLOOKUP($B$5,标准坦克设计!$B$14:$K$20,9)/30))</f>
        <v>12.922843242089042</v>
      </c>
      <c r="CX108" s="172">
        <f ca="1">(VLOOKUP(CX$72,INDIRECT($C$5&amp;"生成成长"),2))/((VLOOKUP($B108,INDIRECT($B$5&amp;"生成成长"),4))/(VLOOKUP(CX$72,INDIRECT($C$5&amp;"生成成长"),5))*(VLOOKUP($B$5,标准坦克设计!$B$24:$U$30,MATCH("对"&amp;LEFT($C$5,2)&amp;"输出",标准坦克设计!$B$23:$U$23,0)))*(VLOOKUP($B108,INDIRECT($B$5&amp;"生成成长"),3))*(VLOOKUP($B$5,标准坦克设计!$B$14:$K$20,9)/30))</f>
        <v>13.79603542289412</v>
      </c>
      <c r="CY108" s="172">
        <f ca="1">(VLOOKUP(CY$72,INDIRECT($C$5&amp;"生成成长"),2))/((VLOOKUP($B108,INDIRECT($B$5&amp;"生成成长"),4))/(VLOOKUP(CY$72,INDIRECT($C$5&amp;"生成成长"),5))*(VLOOKUP($B$5,标准坦克设计!$B$24:$U$30,MATCH("对"&amp;LEFT($C$5,2)&amp;"输出",标准坦克设计!$B$23:$U$23,0)))*(VLOOKUP($B108,INDIRECT($B$5&amp;"生成成长"),3))*(VLOOKUP($B$5,标准坦克设计!$B$14:$K$20,9)/30))</f>
        <v>14.697771776028635</v>
      </c>
      <c r="CZ108" s="172">
        <f ca="1">(VLOOKUP(CZ$72,INDIRECT($C$5&amp;"生成成长"),2))/((VLOOKUP($B108,INDIRECT($B$5&amp;"生成成长"),4))/(VLOOKUP(CZ$72,INDIRECT($C$5&amp;"生成成长"),5))*(VLOOKUP($B$5,标准坦克设计!$B$24:$U$30,MATCH("对"&amp;LEFT($C$5,2)&amp;"输出",标准坦克设计!$B$23:$U$23,0)))*(VLOOKUP($B108,INDIRECT($B$5&amp;"生成成长"),3))*(VLOOKUP($B$5,标准坦克设计!$B$14:$K$20,9)/30))</f>
        <v>15.628052301492588</v>
      </c>
      <c r="DA108" s="172">
        <f ca="1">(VLOOKUP(DA$72,INDIRECT($C$5&amp;"生成成长"),2))/((VLOOKUP($B108,INDIRECT($B$5&amp;"生成成长"),4))/(VLOOKUP(DA$72,INDIRECT($C$5&amp;"生成成长"),5))*(VLOOKUP($B$5,标准坦克设计!$B$24:$U$30,MATCH("对"&amp;LEFT($C$5,2)&amp;"输出",标准坦克设计!$B$23:$U$23,0)))*(VLOOKUP($B108,INDIRECT($B$5&amp;"生成成长"),3))*(VLOOKUP($B$5,标准坦克设计!$B$14:$K$20,9)/30))</f>
        <v>16.58687699928598</v>
      </c>
      <c r="DB108" s="172">
        <f ca="1">(VLOOKUP(DB$72,INDIRECT($C$5&amp;"生成成长"),2))/((VLOOKUP($B108,INDIRECT($B$5&amp;"生成成长"),4))/(VLOOKUP(DB$72,INDIRECT($C$5&amp;"生成成长"),5))*(VLOOKUP($B$5,标准坦克设计!$B$24:$U$30,MATCH("对"&amp;LEFT($C$5,2)&amp;"输出",标准坦克设计!$B$23:$U$23,0)))*(VLOOKUP($B108,INDIRECT($B$5&amp;"生成成长"),3))*(VLOOKUP($B$5,标准坦克设计!$B$14:$K$20,9)/30))</f>
        <v>17.574245869408809</v>
      </c>
      <c r="DC108" s="172">
        <f ca="1">(VLOOKUP(DC$72,INDIRECT($C$5&amp;"生成成长"),2))/((VLOOKUP($B108,INDIRECT($B$5&amp;"生成成长"),4))/(VLOOKUP(DC$72,INDIRECT($C$5&amp;"生成成长"),5))*(VLOOKUP($B$5,标准坦克设计!$B$24:$U$30,MATCH("对"&amp;LEFT($C$5,2)&amp;"输出",标准坦克设计!$B$23:$U$23,0)))*(VLOOKUP($B108,INDIRECT($B$5&amp;"生成成长"),3))*(VLOOKUP($B$5,标准坦克设计!$B$14:$K$20,9)/30))</f>
        <v>18.683930056497044</v>
      </c>
      <c r="DD108" s="172">
        <f ca="1">(VLOOKUP(DD$72,INDIRECT($C$5&amp;"生成成长"),2))/((VLOOKUP($B108,INDIRECT($B$5&amp;"生成成长"),4))/(VLOOKUP(DD$72,INDIRECT($C$5&amp;"生成成长"),5))*(VLOOKUP($B$5,标准坦克设计!$B$24:$U$30,MATCH("对"&amp;LEFT($C$5,2)&amp;"输出",标准坦克设计!$B$23:$U$23,0)))*(VLOOKUP($B108,INDIRECT($B$5&amp;"生成成长"),3))*(VLOOKUP($B$5,标准坦克设计!$B$14:$K$20,9)/30))</f>
        <v>19.827584167679813</v>
      </c>
      <c r="DE108" s="172">
        <f ca="1">(VLOOKUP(DE$72,INDIRECT($C$5&amp;"生成成长"),2))/((VLOOKUP($B108,INDIRECT($B$5&amp;"生成成长"),4))/(VLOOKUP(DE$72,INDIRECT($C$5&amp;"生成成长"),5))*(VLOOKUP($B$5,标准坦克设计!$B$24:$U$30,MATCH("对"&amp;LEFT($C$5,2)&amp;"输出",标准坦克设计!$B$23:$U$23,0)))*(VLOOKUP($B108,INDIRECT($B$5&amp;"生成成长"),3))*(VLOOKUP($B$5,标准坦克设计!$B$14:$K$20,9)/30))</f>
        <v>21.005208202957117</v>
      </c>
      <c r="DF108" s="172">
        <f ca="1">(VLOOKUP(DF$72,INDIRECT($C$5&amp;"生成成长"),2))/((VLOOKUP($B108,INDIRECT($B$5&amp;"生成成长"),4))/(VLOOKUP(DF$72,INDIRECT($C$5&amp;"生成成长"),5))*(VLOOKUP($B$5,标准坦克设计!$B$24:$U$30,MATCH("对"&amp;LEFT($C$5,2)&amp;"输出",标准坦克设计!$B$23:$U$23,0)))*(VLOOKUP($B108,INDIRECT($B$5&amp;"生成成长"),3))*(VLOOKUP($B$5,标准坦克设计!$B$14:$K$20,9)/30))</f>
        <v>22.216802162328964</v>
      </c>
      <c r="DG108" s="172">
        <f ca="1">(VLOOKUP(DG$72,INDIRECT($C$5&amp;"生成成长"),2))/((VLOOKUP($B108,INDIRECT($B$5&amp;"生成成长"),4))/(VLOOKUP(DG$72,INDIRECT($C$5&amp;"生成成长"),5))*(VLOOKUP($B$5,标准坦克设计!$B$24:$U$30,MATCH("对"&amp;LEFT($C$5,2)&amp;"输出",标准坦克设计!$B$23:$U$23,0)))*(VLOOKUP($B108,INDIRECT($B$5&amp;"生成成长"),3))*(VLOOKUP($B$5,标准坦克设计!$B$14:$K$20,9)/30))</f>
        <v>23.462366045795346</v>
      </c>
      <c r="DH108" s="172">
        <f ca="1">(VLOOKUP(DH$72,INDIRECT($C$5&amp;"生成成长"),2))/((VLOOKUP($B108,INDIRECT($B$5&amp;"生成成长"),4))/(VLOOKUP(DH$72,INDIRECT($C$5&amp;"生成成长"),5))*(VLOOKUP($B$5,标准坦克设计!$B$24:$U$30,MATCH("对"&amp;LEFT($C$5,2)&amp;"输出",标准坦克设计!$B$23:$U$23,0)))*(VLOOKUP($B108,INDIRECT($B$5&amp;"生成成长"),3))*(VLOOKUP($B$5,标准坦克设计!$B$14:$K$20,9)/30))</f>
        <v>24.741899853356262</v>
      </c>
      <c r="DI108" s="172">
        <f ca="1">(VLOOKUP(DI$72,INDIRECT($C$5&amp;"生成成长"),2))/((VLOOKUP($B108,INDIRECT($B$5&amp;"生成成长"),4))/(VLOOKUP(DI$72,INDIRECT($C$5&amp;"生成成长"),5))*(VLOOKUP($B$5,标准坦克设计!$B$24:$U$30,MATCH("对"&amp;LEFT($C$5,2)&amp;"输出",标准坦克设计!$B$23:$U$23,0)))*(VLOOKUP($B108,INDIRECT($B$5&amp;"生成成长"),3))*(VLOOKUP($B$5,标准坦克设计!$B$14:$K$20,9)/30))</f>
        <v>26.055403585011721</v>
      </c>
      <c r="DJ108" s="172">
        <f ca="1">(VLOOKUP(DJ$72,INDIRECT($C$5&amp;"生成成长"),2))/((VLOOKUP($B108,INDIRECT($B$5&amp;"生成成长"),4))/(VLOOKUP(DJ$72,INDIRECT($C$5&amp;"生成成长"),5))*(VLOOKUP($B$5,标准坦克设计!$B$24:$U$30,MATCH("对"&amp;LEFT($C$5,2)&amp;"输出",标准坦克设计!$B$23:$U$23,0)))*(VLOOKUP($B108,INDIRECT($B$5&amp;"生成成长"),3))*(VLOOKUP($B$5,标准坦克设计!$B$14:$K$20,9)/30))</f>
        <v>2.6186329334126093</v>
      </c>
      <c r="DK108" s="172">
        <f ca="1">(VLOOKUP(DK$72,INDIRECT($C$5&amp;"生成成长"),2))/((VLOOKUP($B108,INDIRECT($B$5&amp;"生成成长"),4))/(VLOOKUP(DK$72,INDIRECT($C$5&amp;"生成成长"),5))*(VLOOKUP($B$5,标准坦克设计!$B$24:$U$30,MATCH("对"&amp;LEFT($C$5,2)&amp;"输出",标准坦克设计!$B$23:$U$23,0)))*(VLOOKUP($B108,INDIRECT($B$5&amp;"生成成长"),3))*(VLOOKUP($B$5,标准坦克设计!$B$14:$K$20,9)/30))</f>
        <v>2.9445318926945792</v>
      </c>
      <c r="DL108" s="172">
        <f ca="1">(VLOOKUP(DL$72,INDIRECT($C$5&amp;"生成成长"),2))/((VLOOKUP($B108,INDIRECT($B$5&amp;"生成成长"),4))/(VLOOKUP(DL$72,INDIRECT($C$5&amp;"生成成长"),5))*(VLOOKUP($B$5,标准坦克设计!$B$24:$U$30,MATCH("对"&amp;LEFT($C$5,2)&amp;"输出",标准坦克设计!$B$23:$U$23,0)))*(VLOOKUP($B108,INDIRECT($B$5&amp;"生成成长"),3))*(VLOOKUP($B$5,标准坦克设计!$B$14:$K$20,9)/30))</f>
        <v>3.2895389342797281</v>
      </c>
      <c r="DM108" s="172">
        <f ca="1">(VLOOKUP(DM$72,INDIRECT($C$5&amp;"生成成长"),2))/((VLOOKUP($B108,INDIRECT($B$5&amp;"生成成长"),4))/(VLOOKUP(DM$72,INDIRECT($C$5&amp;"生成成长"),5))*(VLOOKUP($B$5,标准坦克设计!$B$24:$U$30,MATCH("对"&amp;LEFT($C$5,2)&amp;"输出",标准坦克设计!$B$23:$U$23,0)))*(VLOOKUP($B108,INDIRECT($B$5&amp;"生成成长"),3))*(VLOOKUP($B$5,标准坦克设计!$B$14:$K$20,9)/30))</f>
        <v>3.6536540581680534</v>
      </c>
      <c r="DN108" s="172">
        <f ca="1">(VLOOKUP(DN$72,INDIRECT($C$5&amp;"生成成长"),2))/((VLOOKUP($B108,INDIRECT($B$5&amp;"生成成长"),4))/(VLOOKUP(DN$72,INDIRECT($C$5&amp;"生成成长"),5))*(VLOOKUP($B$5,标准坦克设计!$B$24:$U$30,MATCH("对"&amp;LEFT($C$5,2)&amp;"输出",标准坦克设计!$B$23:$U$23,0)))*(VLOOKUP($B108,INDIRECT($B$5&amp;"生成成长"),3))*(VLOOKUP($B$5,标准坦克设计!$B$14:$K$20,9)/30))</f>
        <v>4.0368772643595578</v>
      </c>
      <c r="DO108" s="172">
        <f ca="1">(VLOOKUP(DO$72,INDIRECT($C$5&amp;"生成成长"),2))/((VLOOKUP($B108,INDIRECT($B$5&amp;"生成成长"),4))/(VLOOKUP(DO$72,INDIRECT($C$5&amp;"生成成长"),5))*(VLOOKUP($B$5,标准坦克设计!$B$24:$U$30,MATCH("对"&amp;LEFT($C$5,2)&amp;"输出",标准坦克设计!$B$23:$U$23,0)))*(VLOOKUP($B108,INDIRECT($B$5&amp;"生成成长"),3))*(VLOOKUP($B$5,标准坦克设计!$B$14:$K$20,9)/30))</f>
        <v>4.4392085528542378</v>
      </c>
      <c r="DP108" s="172">
        <f ca="1">(VLOOKUP(DP$72,INDIRECT($C$5&amp;"生成成长"),2))/((VLOOKUP($B108,INDIRECT($B$5&amp;"生成成长"),4))/(VLOOKUP(DP$72,INDIRECT($C$5&amp;"生成成长"),5))*(VLOOKUP($B$5,标准坦克设计!$B$24:$U$30,MATCH("对"&amp;LEFT($C$5,2)&amp;"输出",标准坦克设计!$B$23:$U$23,0)))*(VLOOKUP($B108,INDIRECT($B$5&amp;"生成成长"),3))*(VLOOKUP($B$5,标准坦克设计!$B$14:$K$20,9)/30))</f>
        <v>4.8606479236520954</v>
      </c>
      <c r="DQ108" s="172">
        <f ca="1">(VLOOKUP(DQ$72,INDIRECT($C$5&amp;"生成成长"),2))/((VLOOKUP($B108,INDIRECT($B$5&amp;"生成成长"),4))/(VLOOKUP(DQ$72,INDIRECT($C$5&amp;"生成成长"),5))*(VLOOKUP($B$5,标准坦克设计!$B$24:$U$30,MATCH("对"&amp;LEFT($C$5,2)&amp;"输出",标准坦克设计!$B$23:$U$23,0)))*(VLOOKUP($B108,INDIRECT($B$5&amp;"生成成长"),3))*(VLOOKUP($B$5,标准坦克设计!$B$14:$K$20,9)/30))</f>
        <v>5.3011953767531308</v>
      </c>
      <c r="DR108" s="172">
        <f ca="1">(VLOOKUP(DR$72,INDIRECT($C$5&amp;"生成成长"),2))/((VLOOKUP($B108,INDIRECT($B$5&amp;"生成成长"),4))/(VLOOKUP(DR$72,INDIRECT($C$5&amp;"生成成长"),5))*(VLOOKUP($B$5,标准坦克设计!$B$24:$U$30,MATCH("对"&amp;LEFT($C$5,2)&amp;"输出",标准坦克设计!$B$23:$U$23,0)))*(VLOOKUP($B108,INDIRECT($B$5&amp;"生成成长"),3))*(VLOOKUP($B$5,标准坦克设计!$B$14:$K$20,9)/30))</f>
        <v>5.7608509121573439</v>
      </c>
      <c r="DS108" s="172">
        <f ca="1">(VLOOKUP(DS$72,INDIRECT($C$5&amp;"生成成长"),2))/((VLOOKUP($B108,INDIRECT($B$5&amp;"生成成长"),4))/(VLOOKUP(DS$72,INDIRECT($C$5&amp;"生成成长"),5))*(VLOOKUP($B$5,标准坦克设计!$B$24:$U$30,MATCH("对"&amp;LEFT($C$5,2)&amp;"输出",标准坦克设计!$B$23:$U$23,0)))*(VLOOKUP($B108,INDIRECT($B$5&amp;"生成成长"),3))*(VLOOKUP($B$5,标准坦克设计!$B$14:$K$20,9)/30))</f>
        <v>6.2396145298647347</v>
      </c>
      <c r="DT108" s="172">
        <f ca="1">(VLOOKUP(DT$72,INDIRECT($C$5&amp;"生成成长"),2))/((VLOOKUP($B108,INDIRECT($B$5&amp;"生成成长"),4))/(VLOOKUP(DT$72,INDIRECT($C$5&amp;"生成成长"),5))*(VLOOKUP($B$5,标准坦克设计!$B$24:$U$30,MATCH("对"&amp;LEFT($C$5,2)&amp;"输出",标准坦克设计!$B$23:$U$23,0)))*(VLOOKUP($B108,INDIRECT($B$5&amp;"生成成长"),3))*(VLOOKUP($B$5,标准坦克设计!$B$14:$K$20,9)/30))</f>
        <v>6.8507193101904296</v>
      </c>
      <c r="DU108" s="172">
        <f ca="1">(VLOOKUP(DU$72,INDIRECT($C$5&amp;"生成成长"),2))/((VLOOKUP($B108,INDIRECT($B$5&amp;"生成成长"),4))/(VLOOKUP(DU$72,INDIRECT($C$5&amp;"生成成长"),5))*(VLOOKUP($B$5,标准坦克设计!$B$24:$U$30,MATCH("对"&amp;LEFT($C$5,2)&amp;"输出",标准坦克设计!$B$23:$U$23,0)))*(VLOOKUP($B108,INDIRECT($B$5&amp;"生成成长"),3))*(VLOOKUP($B$5,标准坦克设计!$B$14:$K$20,9)/30))</f>
        <v>7.4903682628455615</v>
      </c>
      <c r="DV108" s="172">
        <f ca="1">(VLOOKUP(DV$72,INDIRECT($C$5&amp;"生成成长"),2))/((VLOOKUP($B108,INDIRECT($B$5&amp;"生成成长"),4))/(VLOOKUP(DV$72,INDIRECT($C$5&amp;"生成成长"),5))*(VLOOKUP($B$5,标准坦克设计!$B$24:$U$30,MATCH("对"&amp;LEFT($C$5,2)&amp;"输出",标准坦克设计!$B$23:$U$23,0)))*(VLOOKUP($B108,INDIRECT($B$5&amp;"生成成长"),3))*(VLOOKUP($B$5,标准坦克设计!$B$14:$K$20,9)/30))</f>
        <v>8.1585613878301295</v>
      </c>
      <c r="DW108" s="172">
        <f ca="1">(VLOOKUP(DW$72,INDIRECT($C$5&amp;"生成成长"),2))/((VLOOKUP($B108,INDIRECT($B$5&amp;"生成成长"),4))/(VLOOKUP(DW$72,INDIRECT($C$5&amp;"生成成长"),5))*(VLOOKUP($B$5,标准坦克设计!$B$24:$U$30,MATCH("对"&amp;LEFT($C$5,2)&amp;"输出",标准坦克设计!$B$23:$U$23,0)))*(VLOOKUP($B108,INDIRECT($B$5&amp;"生成成长"),3))*(VLOOKUP($B$5,标准坦克设计!$B$14:$K$20,9)/30))</f>
        <v>8.8552986851441382</v>
      </c>
      <c r="DX108" s="172">
        <f ca="1">(VLOOKUP(DX$72,INDIRECT($C$5&amp;"生成成长"),2))/((VLOOKUP($B108,INDIRECT($B$5&amp;"生成成长"),4))/(VLOOKUP(DX$72,INDIRECT($C$5&amp;"生成成长"),5))*(VLOOKUP($B$5,标准坦克设计!$B$24:$U$30,MATCH("对"&amp;LEFT($C$5,2)&amp;"输出",标准坦克设计!$B$23:$U$23,0)))*(VLOOKUP($B108,INDIRECT($B$5&amp;"生成成长"),3))*(VLOOKUP($B$5,标准坦克设计!$B$14:$K$20,9)/30))</f>
        <v>9.5805801547875848</v>
      </c>
      <c r="DY108" s="172">
        <f ca="1">(VLOOKUP(DY$72,INDIRECT($C$5&amp;"生成成长"),2))/((VLOOKUP($B108,INDIRECT($B$5&amp;"生成成长"),4))/(VLOOKUP(DY$72,INDIRECT($C$5&amp;"生成成长"),5))*(VLOOKUP($B$5,标准坦克设计!$B$24:$U$30,MATCH("对"&amp;LEFT($C$5,2)&amp;"输出",标准坦克设计!$B$23:$U$23,0)))*(VLOOKUP($B108,INDIRECT($B$5&amp;"生成成长"),3))*(VLOOKUP($B$5,标准坦克设计!$B$14:$K$20,9)/30))</f>
        <v>4.3029750031001024</v>
      </c>
      <c r="DZ108" s="172">
        <f ca="1">(VLOOKUP(DZ$72,INDIRECT($C$5&amp;"生成成长"),2))/((VLOOKUP($B108,INDIRECT($B$5&amp;"生成成长"),4))/(VLOOKUP(DZ$72,INDIRECT($C$5&amp;"生成成长"),5))*(VLOOKUP($B$5,标准坦克设计!$B$24:$U$30,MATCH("对"&amp;LEFT($C$5,2)&amp;"输出",标准坦克设计!$B$23:$U$23,0)))*(VLOOKUP($B108,INDIRECT($B$5&amp;"生成成长"),3))*(VLOOKUP($B$5,标准坦克设计!$B$14:$K$20,9)/30))</f>
        <v>4.7653434143868658</v>
      </c>
      <c r="EA108" s="172">
        <f ca="1">(VLOOKUP(EA$72,INDIRECT($C$5&amp;"生成成长"),2))/((VLOOKUP($B108,INDIRECT($B$5&amp;"生成成长"),4))/(VLOOKUP(EA$72,INDIRECT($C$5&amp;"生成成长"),5))*(VLOOKUP($B$5,标准坦克设计!$B$24:$U$30,MATCH("对"&amp;LEFT($C$5,2)&amp;"输出",标准坦克设计!$B$23:$U$23,0)))*(VLOOKUP($B108,INDIRECT($B$5&amp;"生成成长"),3))*(VLOOKUP($B$5,标准坦克设计!$B$14:$K$20,9)/30))</f>
        <v>5.2513020507392794</v>
      </c>
      <c r="EB108" s="172">
        <f ca="1">(VLOOKUP(EB$72,INDIRECT($C$5&amp;"生成成长"),2))/((VLOOKUP($B108,INDIRECT($B$5&amp;"生成成长"),4))/(VLOOKUP(EB$72,INDIRECT($C$5&amp;"生成成长"),5))*(VLOOKUP($B$5,标准坦克设计!$B$24:$U$30,MATCH("对"&amp;LEFT($C$5,2)&amp;"输出",标准坦克设计!$B$23:$U$23,0)))*(VLOOKUP($B108,INDIRECT($B$5&amp;"生成成长"),3))*(VLOOKUP($B$5,标准坦克设计!$B$14:$K$20,9)/30))</f>
        <v>5.7608509121573439</v>
      </c>
      <c r="EC108" s="172">
        <f ca="1">(VLOOKUP(EC$72,INDIRECT($C$5&amp;"生成成长"),2))/((VLOOKUP($B108,INDIRECT($B$5&amp;"生成成长"),4))/(VLOOKUP(EC$72,INDIRECT($C$5&amp;"生成成长"),5))*(VLOOKUP($B$5,标准坦克设计!$B$24:$U$30,MATCH("对"&amp;LEFT($C$5,2)&amp;"输出",标准坦克设计!$B$23:$U$23,0)))*(VLOOKUP($B108,INDIRECT($B$5&amp;"生成成长"),3))*(VLOOKUP($B$5,标准坦克设计!$B$14:$K$20,9)/30))</f>
        <v>6.2939899986410612</v>
      </c>
      <c r="ED108" s="172">
        <f ca="1">(VLOOKUP(ED$72,INDIRECT($C$5&amp;"生成成长"),2))/((VLOOKUP($B108,INDIRECT($B$5&amp;"生成成长"),4))/(VLOOKUP(ED$72,INDIRECT($C$5&amp;"生成成长"),5))*(VLOOKUP($B$5,标准坦克设计!$B$24:$U$30,MATCH("对"&amp;LEFT($C$5,2)&amp;"输出",标准坦克设计!$B$23:$U$23,0)))*(VLOOKUP($B108,INDIRECT($B$5&amp;"生成成长"),3))*(VLOOKUP($B$5,标准坦克设计!$B$14:$K$20,9)/30))</f>
        <v>6.8507193101904296</v>
      </c>
      <c r="EE108" s="172">
        <f ca="1">(VLOOKUP(EE$72,INDIRECT($C$5&amp;"生成成长"),2))/((VLOOKUP($B108,INDIRECT($B$5&amp;"生成成长"),4))/(VLOOKUP(EE$72,INDIRECT($C$5&amp;"生成成长"),5))*(VLOOKUP($B$5,标准坦克设计!$B$24:$U$30,MATCH("对"&amp;LEFT($C$5,2)&amp;"输出",标准坦克设计!$B$23:$U$23,0)))*(VLOOKUP($B108,INDIRECT($B$5&amp;"生成成长"),3))*(VLOOKUP($B$5,标准坦克设计!$B$14:$K$20,9)/30))</f>
        <v>7.4310388468054498</v>
      </c>
      <c r="EF108" s="172">
        <f ca="1">(VLOOKUP(EF$72,INDIRECT($C$5&amp;"生成成长"),2))/((VLOOKUP($B108,INDIRECT($B$5&amp;"生成成长"),4))/(VLOOKUP(EF$72,INDIRECT($C$5&amp;"生成成长"),5))*(VLOOKUP($B$5,标准坦克设计!$B$24:$U$30,MATCH("对"&amp;LEFT($C$5,2)&amp;"输出",标准坦克设计!$B$23:$U$23,0)))*(VLOOKUP($B108,INDIRECT($B$5&amp;"生成成长"),3))*(VLOOKUP($B$5,标准坦克设计!$B$14:$K$20,9)/30))</f>
        <v>8.0349486084861184</v>
      </c>
      <c r="EG108" s="172">
        <f ca="1">(VLOOKUP(EG$72,INDIRECT($C$5&amp;"生成成长"),2))/((VLOOKUP($B108,INDIRECT($B$5&amp;"生成成长"),4))/(VLOOKUP(EG$72,INDIRECT($C$5&amp;"生成成长"),5))*(VLOOKUP($B$5,标准坦克设计!$B$24:$U$30,MATCH("对"&amp;LEFT($C$5,2)&amp;"输出",标准坦克设计!$B$23:$U$23,0)))*(VLOOKUP($B108,INDIRECT($B$5&amp;"生成成长"),3))*(VLOOKUP($B$5,标准坦克设计!$B$14:$K$20,9)/30))</f>
        <v>8.6624485952324388</v>
      </c>
      <c r="EH108" s="172">
        <f ca="1">(VLOOKUP(EH$72,INDIRECT($C$5&amp;"生成成长"),2))/((VLOOKUP($B108,INDIRECT($B$5&amp;"生成成长"),4))/(VLOOKUP(EH$72,INDIRECT($C$5&amp;"生成成长"),5))*(VLOOKUP($B$5,标准坦克设计!$B$24:$U$30,MATCH("对"&amp;LEFT($C$5,2)&amp;"输出",标准坦克设计!$B$23:$U$23,0)))*(VLOOKUP($B108,INDIRECT($B$5&amp;"生成成长"),3))*(VLOOKUP($B$5,标准坦克设计!$B$14:$K$20,9)/30))</f>
        <v>9.3135388070444112</v>
      </c>
      <c r="EI108" s="172">
        <f ca="1">(VLOOKUP(EI$72,INDIRECT($C$5&amp;"生成成长"),2))/((VLOOKUP($B108,INDIRECT($B$5&amp;"生成成长"),4))/(VLOOKUP(EI$72,INDIRECT($C$5&amp;"生成成长"),5))*(VLOOKUP($B$5,标准坦克设计!$B$24:$U$30,MATCH("对"&amp;LEFT($C$5,2)&amp;"输出",标准坦克设计!$B$23:$U$23,0)))*(VLOOKUP($B108,INDIRECT($B$5&amp;"生成成长"),3))*(VLOOKUP($B$5,标准坦克设计!$B$14:$K$20,9)/30))</f>
        <v>9.9882192439220354</v>
      </c>
      <c r="EJ108" s="172">
        <f ca="1">(VLOOKUP(EJ$72,INDIRECT($C$5&amp;"生成成长"),2))/((VLOOKUP($B108,INDIRECT($B$5&amp;"生成成长"),4))/(VLOOKUP(EJ$72,INDIRECT($C$5&amp;"生成成长"),5))*(VLOOKUP($B$5,标准坦克设计!$B$24:$U$30,MATCH("对"&amp;LEFT($C$5,2)&amp;"输出",标准坦克设计!$B$23:$U$23,0)))*(VLOOKUP($B108,INDIRECT($B$5&amp;"生成成长"),3))*(VLOOKUP($B$5,标准坦克设计!$B$14:$K$20,9)/30))</f>
        <v>10.68648990586531</v>
      </c>
      <c r="EK108" s="172">
        <f ca="1">(VLOOKUP(EK$72,INDIRECT($C$5&amp;"生成成长"),2))/((VLOOKUP($B108,INDIRECT($B$5&amp;"生成成长"),4))/(VLOOKUP(EK$72,INDIRECT($C$5&amp;"生成成长"),5))*(VLOOKUP($B$5,标准坦克设计!$B$24:$U$30,MATCH("对"&amp;LEFT($C$5,2)&amp;"输出",标准坦克设计!$B$23:$U$23,0)))*(VLOOKUP($B108,INDIRECT($B$5&amp;"生成成长"),3))*(VLOOKUP($B$5,标准坦克设计!$B$14:$K$20,9)/30))</f>
        <v>11.555553797283897</v>
      </c>
      <c r="EL108" s="172">
        <f ca="1">(VLOOKUP(EL$72,INDIRECT($C$5&amp;"生成成长"),2))/((VLOOKUP($B108,INDIRECT($B$5&amp;"生成成长"),4))/(VLOOKUP(EL$72,INDIRECT($C$5&amp;"生成成长"),5))*(VLOOKUP($B$5,标准坦克设计!$B$24:$U$30,MATCH("对"&amp;LEFT($C$5,2)&amp;"输出",标准坦克设计!$B$23:$U$23,0)))*(VLOOKUP($B108,INDIRECT($B$5&amp;"生成成长"),3))*(VLOOKUP($B$5,标准坦克设计!$B$14:$K$20,9)/30))</f>
        <v>12.458587612797027</v>
      </c>
      <c r="EM108" s="172">
        <f ca="1">(VLOOKUP(EM$72,INDIRECT($C$5&amp;"生成成长"),2))/((VLOOKUP($B108,INDIRECT($B$5&amp;"生成成长"),4))/(VLOOKUP(EM$72,INDIRECT($C$5&amp;"生成成长"),5))*(VLOOKUP($B$5,标准坦克设计!$B$24:$U$30,MATCH("对"&amp;LEFT($C$5,2)&amp;"输出",标准坦克设计!$B$23:$U$23,0)))*(VLOOKUP($B108,INDIRECT($B$5&amp;"生成成长"),3))*(VLOOKUP($B$5,标准坦克设计!$B$14:$K$20,9)/30))</f>
        <v>13.39559135240469</v>
      </c>
      <c r="EN108" s="172">
        <f ca="1">(VLOOKUP(EN$72,INDIRECT($C$5&amp;"生成成长"),2))/((VLOOKUP($B108,INDIRECT($B$5&amp;"生成成长"),4))/(VLOOKUP(EN$72,INDIRECT($C$5&amp;"生成成长"),5))*(VLOOKUP($B$5,标准坦克设计!$B$24:$U$30,MATCH("对"&amp;LEFT($C$5,2)&amp;"输出",标准坦克设计!$B$23:$U$23,0)))*(VLOOKUP($B108,INDIRECT($B$5&amp;"生成成长"),3))*(VLOOKUP($B$5,标准坦克设计!$B$14:$K$20,9)/30))</f>
        <v>14.366565016106891</v>
      </c>
      <c r="EO108" s="172">
        <f ca="1">(VLOOKUP(EO$72,INDIRECT($C$5&amp;"生成成长"),2))/((VLOOKUP($B108,INDIRECT($B$5&amp;"生成成长"),4))/(VLOOKUP(EO$72,INDIRECT($C$5&amp;"生成成长"),5))*(VLOOKUP($B$5,标准坦克设计!$B$24:$U$30,MATCH("对"&amp;LEFT($C$5,2)&amp;"输出",标准坦克设计!$B$23:$U$23,0)))*(VLOOKUP($B108,INDIRECT($B$5&amp;"生成成长"),3))*(VLOOKUP($B$5,标准坦克设计!$B$14:$K$20,9)/30))</f>
        <v>15.371508603903633</v>
      </c>
      <c r="EP108" s="172">
        <f ca="1">(VLOOKUP(EP$72,INDIRECT($C$5&amp;"生成成长"),2))/((VLOOKUP($B108,INDIRECT($B$5&amp;"生成成长"),4))/(VLOOKUP(EP$72,INDIRECT($C$5&amp;"生成成长"),5))*(VLOOKUP($B$5,标准坦克设计!$B$24:$U$30,MATCH("对"&amp;LEFT($C$5,2)&amp;"输出",标准坦克设计!$B$23:$U$23,0)))*(VLOOKUP($B108,INDIRECT($B$5&amp;"生成成长"),3))*(VLOOKUP($B$5,标准坦克设计!$B$14:$K$20,9)/30))</f>
        <v>16.410422115794908</v>
      </c>
      <c r="EQ108" s="172">
        <f ca="1">(VLOOKUP(EQ$72,INDIRECT($C$5&amp;"生成成长"),2))/((VLOOKUP($B108,INDIRECT($B$5&amp;"生成成长"),4))/(VLOOKUP(EQ$72,INDIRECT($C$5&amp;"生成成长"),5))*(VLOOKUP($B$5,标准坦克设计!$B$24:$U$30,MATCH("对"&amp;LEFT($C$5,2)&amp;"输出",标准坦克设计!$B$23:$U$23,0)))*(VLOOKUP($B108,INDIRECT($B$5&amp;"生成成长"),3))*(VLOOKUP($B$5,标准坦克设计!$B$14:$K$20,9)/30))</f>
        <v>7.2544660121890496</v>
      </c>
      <c r="ER108" s="172">
        <f ca="1">(VLOOKUP(ER$72,INDIRECT($C$5&amp;"生成成长"),2))/((VLOOKUP($B108,INDIRECT($B$5&amp;"生成成长"),4))/(VLOOKUP(ER$72,INDIRECT($C$5&amp;"生成成长"),5))*(VLOOKUP($B$5,标准坦克设计!$B$24:$U$30,MATCH("对"&amp;LEFT($C$5,2)&amp;"输出",标准坦克设计!$B$23:$U$23,0)))*(VLOOKUP($B108,INDIRECT($B$5&amp;"生成成长"),3))*(VLOOKUP($B$5,标准坦克设计!$B$14:$K$20,9)/30))</f>
        <v>7.9122794381447337</v>
      </c>
      <c r="ES108" s="172">
        <f ca="1">(VLOOKUP(ES$72,INDIRECT($C$5&amp;"生成成长"),2))/((VLOOKUP($B108,INDIRECT($B$5&amp;"生成成长"),4))/(VLOOKUP(ES$72,INDIRECT($C$5&amp;"生成成长"),5))*(VLOOKUP($B$5,标准坦克设计!$B$24:$U$30,MATCH("对"&amp;LEFT($C$5,2)&amp;"输出",标准坦克设计!$B$23:$U$23,0)))*(VLOOKUP($B108,INDIRECT($B$5&amp;"生成成长"),3))*(VLOOKUP($B$5,标准坦克设计!$B$14:$K$20,9)/30))</f>
        <v>8.598637036429853</v>
      </c>
      <c r="ET108" s="172">
        <f ca="1">(VLOOKUP(ET$72,INDIRECT($C$5&amp;"生成成长"),2))/((VLOOKUP($B108,INDIRECT($B$5&amp;"生成成长"),4))/(VLOOKUP(ET$72,INDIRECT($C$5&amp;"生成成长"),5))*(VLOOKUP($B$5,标准坦克设计!$B$24:$U$30,MATCH("对"&amp;LEFT($C$5,2)&amp;"输出",标准坦克设计!$B$23:$U$23,0)))*(VLOOKUP($B108,INDIRECT($B$5&amp;"生成成长"),3))*(VLOOKUP($B$5,标准坦克设计!$B$14:$K$20,9)/30))</f>
        <v>9.3135388070444112</v>
      </c>
      <c r="EU108" s="172">
        <f ca="1">(VLOOKUP(EU$72,INDIRECT($C$5&amp;"生成成长"),2))/((VLOOKUP($B108,INDIRECT($B$5&amp;"生成成长"),4))/(VLOOKUP(EU$72,INDIRECT($C$5&amp;"生成成长"),5))*(VLOOKUP($B$5,标准坦克设计!$B$24:$U$30,MATCH("对"&amp;LEFT($C$5,2)&amp;"输出",标准坦克设计!$B$23:$U$23,0)))*(VLOOKUP($B108,INDIRECT($B$5&amp;"生成成长"),3))*(VLOOKUP($B$5,标准坦克设计!$B$14:$K$20,9)/30))</f>
        <v>10.056984749988407</v>
      </c>
      <c r="EV108" s="172">
        <f ca="1">(VLOOKUP(EV$72,INDIRECT($C$5&amp;"生成成长"),2))/((VLOOKUP($B108,INDIRECT($B$5&amp;"生成成长"),4))/(VLOOKUP(EV$72,INDIRECT($C$5&amp;"生成成长"),5))*(VLOOKUP($B$5,标准坦克设计!$B$24:$U$30,MATCH("对"&amp;LEFT($C$5,2)&amp;"输出",标准坦克设计!$B$23:$U$23,0)))*(VLOOKUP($B108,INDIRECT($B$5&amp;"生成成长"),3))*(VLOOKUP($B$5,标准坦克设计!$B$14:$K$20,9)/30))</f>
        <v>10.828974865261843</v>
      </c>
      <c r="EW108" s="172">
        <f ca="1">(VLOOKUP(EW$72,INDIRECT($C$5&amp;"生成成长"),2))/((VLOOKUP($B108,INDIRECT($B$5&amp;"生成成长"),4))/(VLOOKUP(EW$72,INDIRECT($C$5&amp;"生成成长"),5))*(VLOOKUP($B$5,标准坦克设计!$B$24:$U$30,MATCH("对"&amp;LEFT($C$5,2)&amp;"输出",标准坦克设计!$B$23:$U$23,0)))*(VLOOKUP($B108,INDIRECT($B$5&amp;"生成成长"),3))*(VLOOKUP($B$5,标准坦克设计!$B$14:$K$20,9)/30))</f>
        <v>11.629509152864713</v>
      </c>
      <c r="EX108" s="172">
        <f ca="1">(VLOOKUP(EX$72,INDIRECT($C$5&amp;"生成成长"),2))/((VLOOKUP($B108,INDIRECT($B$5&amp;"生成成长"),4))/(VLOOKUP(EX$72,INDIRECT($C$5&amp;"生成成长"),5))*(VLOOKUP($B$5,标准坦克设计!$B$24:$U$30,MATCH("对"&amp;LEFT($C$5,2)&amp;"输出",标准坦克设计!$B$23:$U$23,0)))*(VLOOKUP($B108,INDIRECT($B$5&amp;"生成成长"),3))*(VLOOKUP($B$5,标准坦克设计!$B$14:$K$20,9)/30))</f>
        <v>12.458587612797027</v>
      </c>
      <c r="EY108" s="172">
        <f ca="1">(VLOOKUP(EY$72,INDIRECT($C$5&amp;"生成成长"),2))/((VLOOKUP($B108,INDIRECT($B$5&amp;"生成成长"),4))/(VLOOKUP(EY$72,INDIRECT($C$5&amp;"生成成长"),5))*(VLOOKUP($B$5,标准坦克设计!$B$24:$U$30,MATCH("对"&amp;LEFT($C$5,2)&amp;"输出",标准坦克设计!$B$23:$U$23,0)))*(VLOOKUP($B108,INDIRECT($B$5&amp;"生成成长"),3))*(VLOOKUP($B$5,标准坦克设计!$B$14:$K$20,9)/30))</f>
        <v>13.316210245058773</v>
      </c>
      <c r="EZ108" s="172">
        <f ca="1">(VLOOKUP(EZ$72,INDIRECT($C$5&amp;"生成成长"),2))/((VLOOKUP($B108,INDIRECT($B$5&amp;"生成成长"),4))/(VLOOKUP(EZ$72,INDIRECT($C$5&amp;"生成成长"),5))*(VLOOKUP($B$5,标准坦克设计!$B$24:$U$30,MATCH("对"&amp;LEFT($C$5,2)&amp;"输出",标准坦克设计!$B$23:$U$23,0)))*(VLOOKUP($B108,INDIRECT($B$5&amp;"生成成长"),3))*(VLOOKUP($B$5,标准坦克设计!$B$14:$K$20,9)/30))</f>
        <v>14.202377049649957</v>
      </c>
      <c r="FA108" s="172">
        <f ca="1">(VLOOKUP(FA$72,INDIRECT($C$5&amp;"生成成长"),2))/((VLOOKUP($B108,INDIRECT($B$5&amp;"生成成长"),4))/(VLOOKUP(FA$72,INDIRECT($C$5&amp;"生成成长"),5))*(VLOOKUP($B$5,标准坦克设计!$B$24:$U$30,MATCH("对"&amp;LEFT($C$5,2)&amp;"输出",标准坦克设计!$B$23:$U$23,0)))*(VLOOKUP($B108,INDIRECT($B$5&amp;"生成成长"),3))*(VLOOKUP($B$5,标准坦克设计!$B$14:$K$20,9)/30))</f>
        <v>15.117088026570586</v>
      </c>
      <c r="FB108" s="172">
        <f ca="1">(VLOOKUP(FB$72,INDIRECT($C$5&amp;"生成成长"),2))/((VLOOKUP($B108,INDIRECT($B$5&amp;"生成成长"),4))/(VLOOKUP(FB$72,INDIRECT($C$5&amp;"生成成长"),5))*(VLOOKUP($B$5,标准坦克设计!$B$24:$U$30,MATCH("对"&amp;LEFT($C$5,2)&amp;"输出",标准坦克设计!$B$23:$U$23,0)))*(VLOOKUP($B108,INDIRECT($B$5&amp;"生成成长"),3))*(VLOOKUP($B$5,标准坦克设计!$B$14:$K$20,9)/30))</f>
        <v>16.060343175820648</v>
      </c>
      <c r="FC108" s="172">
        <f ca="1">(VLOOKUP(FC$72,INDIRECT($C$5&amp;"生成成长"),2))/((VLOOKUP($B108,INDIRECT($B$5&amp;"生成成长"),4))/(VLOOKUP(FC$72,INDIRECT($C$5&amp;"生成成长"),5))*(VLOOKUP($B$5,标准坦克设计!$B$24:$U$30,MATCH("对"&amp;LEFT($C$5,2)&amp;"输出",标准坦克设计!$B$23:$U$23,0)))*(VLOOKUP($B108,INDIRECT($B$5&amp;"生成成长"),3))*(VLOOKUP($B$5,标准坦克设计!$B$14:$K$20,9)/30))</f>
        <v>17.032142497400145</v>
      </c>
      <c r="FD108" s="172">
        <f ca="1">(VLOOKUP(FD$72,INDIRECT($C$5&amp;"生成成长"),2))/((VLOOKUP($B108,INDIRECT($B$5&amp;"生成成长"),4))/(VLOOKUP(FD$72,INDIRECT($C$5&amp;"生成成长"),5))*(VLOOKUP($B$5,标准坦克设计!$B$24:$U$30,MATCH("对"&amp;LEFT($C$5,2)&amp;"输出",标准坦克设计!$B$23:$U$23,0)))*(VLOOKUP($B108,INDIRECT($B$5&amp;"生成成长"),3))*(VLOOKUP($B$5,标准坦克设计!$B$14:$K$20,9)/30))</f>
        <v>18.032485991309084</v>
      </c>
      <c r="FE108" s="172">
        <f ca="1">(VLOOKUP(FE$72,INDIRECT($C$5&amp;"生成成长"),2))/((VLOOKUP($B108,INDIRECT($B$5&amp;"生成成长"),4))/(VLOOKUP(FE$72,INDIRECT($C$5&amp;"生成成长"),5))*(VLOOKUP($B$5,标准坦克设计!$B$24:$U$30,MATCH("对"&amp;LEFT($C$5,2)&amp;"输出",标准坦克设计!$B$23:$U$23,0)))*(VLOOKUP($B108,INDIRECT($B$5&amp;"生成成长"),3))*(VLOOKUP($B$5,标准坦克设计!$B$14:$K$20,9)/30))</f>
        <v>19.251510871576606</v>
      </c>
      <c r="FF108" s="172">
        <f ca="1">(VLOOKUP(FF$72,INDIRECT($C$5&amp;"生成成长"),2))/((VLOOKUP($B108,INDIRECT($B$5&amp;"生成成长"),4))/(VLOOKUP(FF$72,INDIRECT($C$5&amp;"生成成长"),5))*(VLOOKUP($B$5,标准坦克设计!$B$24:$U$30,MATCH("对"&amp;LEFT($C$5,2)&amp;"输出",标准坦克设计!$B$23:$U$23,0)))*(VLOOKUP($B108,INDIRECT($B$5&amp;"生成成长"),3))*(VLOOKUP($B$5,标准坦克设计!$B$14:$K$20,9)/30))</f>
        <v>20.510403232205089</v>
      </c>
      <c r="FG108" s="172">
        <f ca="1">(VLOOKUP(FG$72,INDIRECT($C$5&amp;"生成成长"),2))/((VLOOKUP($B108,INDIRECT($B$5&amp;"生成成长"),4))/(VLOOKUP(FG$72,INDIRECT($C$5&amp;"生成成长"),5))*(VLOOKUP($B$5,标准坦克设计!$B$24:$U$30,MATCH("对"&amp;LEFT($C$5,2)&amp;"输出",标准坦克设计!$B$23:$U$23,0)))*(VLOOKUP($B108,INDIRECT($B$5&amp;"生成成长"),3))*(VLOOKUP($B$5,标准坦克设计!$B$14:$K$20,9)/30))</f>
        <v>21.809163073194508</v>
      </c>
      <c r="FH108" s="172">
        <f ca="1">(VLOOKUP(FH$72,INDIRECT($C$5&amp;"生成成长"),2))/((VLOOKUP($B108,INDIRECT($B$5&amp;"生成成长"),4))/(VLOOKUP(FH$72,INDIRECT($C$5&amp;"生成成长"),5))*(VLOOKUP($B$5,标准坦克设计!$B$24:$U$30,MATCH("对"&amp;LEFT($C$5,2)&amp;"输出",标准坦克设计!$B$23:$U$23,0)))*(VLOOKUP($B108,INDIRECT($B$5&amp;"生成成长"),3))*(VLOOKUP($B$5,标准坦克设计!$B$14:$K$20,9)/30))</f>
        <v>23.147790394544884</v>
      </c>
      <c r="FI108" s="172">
        <f ca="1">(VLOOKUP(FI$72,INDIRECT($C$5&amp;"生成成长"),2))/((VLOOKUP($B108,INDIRECT($B$5&amp;"生成成长"),4))/(VLOOKUP(FI$72,INDIRECT($C$5&amp;"生成成长"),5))*(VLOOKUP($B$5,标准坦克设计!$B$24:$U$30,MATCH("对"&amp;LEFT($C$5,2)&amp;"输出",标准坦克设计!$B$23:$U$23,0)))*(VLOOKUP($B108,INDIRECT($B$5&amp;"生成成长"),3))*(VLOOKUP($B$5,标准坦克设计!$B$14:$K$20,9)/30))</f>
        <v>24.526285196256215</v>
      </c>
      <c r="FJ108" s="172">
        <f ca="1">(VLOOKUP(FJ$72,INDIRECT($C$5&amp;"生成成长"),2))/((VLOOKUP($B108,INDIRECT($B$5&amp;"生成成长"),4))/(VLOOKUP(FJ$72,INDIRECT($C$5&amp;"生成成长"),5))*(VLOOKUP($B$5,标准坦克设计!$B$24:$U$30,MATCH("对"&amp;LEFT($C$5,2)&amp;"输出",标准坦克设计!$B$23:$U$23,0)))*(VLOOKUP($B108,INDIRECT($B$5&amp;"生成成长"),3))*(VLOOKUP($B$5,标准坦克设计!$B$14:$K$20,9)/30))</f>
        <v>25.944647478328488</v>
      </c>
      <c r="FK108" s="172">
        <f ca="1">(VLOOKUP(FK$72,INDIRECT($C$5&amp;"生成成长"),2))/((VLOOKUP($B108,INDIRECT($B$5&amp;"生成成长"),4))/(VLOOKUP(FK$72,INDIRECT($C$5&amp;"生成成长"),5))*(VLOOKUP($B$5,标准坦克设计!$B$24:$U$30,MATCH("对"&amp;LEFT($C$5,2)&amp;"输出",标准坦克设计!$B$23:$U$23,0)))*(VLOOKUP($B108,INDIRECT($B$5&amp;"生成成长"),3))*(VLOOKUP($B$5,标准坦克设计!$B$14:$K$20,9)/30))</f>
        <v>27.402877240761718</v>
      </c>
    </row>
    <row r="109" spans="1:167" x14ac:dyDescent="0.15">
      <c r="A109" s="170" t="str">
        <f t="shared" si="11"/>
        <v>T5低品质5级</v>
      </c>
      <c r="B109" s="171">
        <v>10505</v>
      </c>
      <c r="C109" s="172">
        <f ca="1">(VLOOKUP(C$72,INDIRECT($C$5&amp;"生成成长"),2))/((VLOOKUP($B109,INDIRECT($B$5&amp;"生成成长"),4))/(VLOOKUP(C$72,INDIRECT($C$5&amp;"生成成长"),5))*(VLOOKUP($B$5,标准坦克设计!$B$24:$U$30,MATCH("对"&amp;LEFT($C$5,2)&amp;"输出",标准坦克设计!$B$23:$U$23,0)))*(VLOOKUP($B109,INDIRECT($B$5&amp;"生成成长"),3))*(VLOOKUP($B$5,标准坦克设计!$B$14:$K$20,9)/30))</f>
        <v>1.0918631019675686</v>
      </c>
      <c r="D109" s="172">
        <f ca="1">(VLOOKUP(D$72,INDIRECT($C$5&amp;"生成成长"),2))/((VLOOKUP($B109,INDIRECT($B$5&amp;"生成成长"),4))/(VLOOKUP(D$72,INDIRECT($C$5&amp;"生成成长"),5))*(VLOOKUP($B$5,标准坦克设计!$B$24:$U$30,MATCH("对"&amp;LEFT($C$5,2)&amp;"输出",标准坦克设计!$B$23:$U$23,0)))*(VLOOKUP($B109,INDIRECT($B$5&amp;"生成成长"),3))*(VLOOKUP($B$5,标准坦克设计!$B$14:$K$20,9)/30))</f>
        <v>1.2268173813707601</v>
      </c>
      <c r="E109" s="172">
        <f ca="1">(VLOOKUP(E$72,INDIRECT($C$5&amp;"生成成长"),2))/((VLOOKUP($B109,INDIRECT($B$5&amp;"生成成长"),4))/(VLOOKUP(E$72,INDIRECT($C$5&amp;"生成成长"),5))*(VLOOKUP($B$5,标准坦克设计!$B$24:$U$30,MATCH("对"&amp;LEFT($C$5,2)&amp;"输出",标准坦克设计!$B$23:$U$23,0)))*(VLOOKUP($B109,INDIRECT($B$5&amp;"生成成长"),3))*(VLOOKUP($B$5,标准坦克设计!$B$14:$K$20,9)/30))</f>
        <v>1.3696330751081185</v>
      </c>
      <c r="F109" s="172">
        <f ca="1">(VLOOKUP(F$72,INDIRECT($C$5&amp;"生成成长"),2))/((VLOOKUP($B109,INDIRECT($B$5&amp;"生成成长"),4))/(VLOOKUP(F$72,INDIRECT($C$5&amp;"生成成长"),5))*(VLOOKUP($B$5,标准坦克设计!$B$24:$U$30,MATCH("对"&amp;LEFT($C$5,2)&amp;"输出",标准坦克设计!$B$23:$U$23,0)))*(VLOOKUP($B109,INDIRECT($B$5&amp;"生成成长"),3))*(VLOOKUP($B$5,标准坦克设计!$B$14:$K$20,9)/30))</f>
        <v>1.5203101831796428</v>
      </c>
      <c r="G109" s="172">
        <f ca="1">(VLOOKUP(G$72,INDIRECT($C$5&amp;"生成成长"),2))/((VLOOKUP($B109,INDIRECT($B$5&amp;"生成成长"),4))/(VLOOKUP(G$72,INDIRECT($C$5&amp;"生成成长"),5))*(VLOOKUP($B$5,标准坦克设计!$B$24:$U$30,MATCH("对"&amp;LEFT($C$5,2)&amp;"输出",标准坦克设计!$B$23:$U$23,0)))*(VLOOKUP($B109,INDIRECT($B$5&amp;"生成成长"),3))*(VLOOKUP($B$5,标准坦克设计!$B$14:$K$20,9)/30))</f>
        <v>1.6788487055853334</v>
      </c>
      <c r="H109" s="172">
        <f ca="1">(VLOOKUP(H$72,INDIRECT($C$5&amp;"生成成长"),2))/((VLOOKUP($B109,INDIRECT($B$5&amp;"生成成长"),4))/(VLOOKUP(H$72,INDIRECT($C$5&amp;"生成成长"),5))*(VLOOKUP($B$5,标准坦克设计!$B$24:$U$30,MATCH("对"&amp;LEFT($C$5,2)&amp;"输出",标准坦克设计!$B$23:$U$23,0)))*(VLOOKUP($B109,INDIRECT($B$5&amp;"生成成长"),3))*(VLOOKUP($B$5,标准坦克设计!$B$14:$K$20,9)/30))</f>
        <v>1.4692109900075605</v>
      </c>
      <c r="I109" s="172">
        <f ca="1">(VLOOKUP(I$72,INDIRECT($C$5&amp;"生成成长"),2))/((VLOOKUP($B109,INDIRECT($B$5&amp;"生成成长"),4))/(VLOOKUP(I$72,INDIRECT($C$5&amp;"生成成长"),5))*(VLOOKUP($B$5,标准坦克设计!$B$24:$U$30,MATCH("对"&amp;LEFT($C$5,2)&amp;"输出",标准坦克设计!$B$23:$U$23,0)))*(VLOOKUP($B109,INDIRECT($B$5&amp;"生成成长"),3))*(VLOOKUP($B$5,标准坦克设计!$B$14:$K$20,9)/30))</f>
        <v>1.6788487055853334</v>
      </c>
      <c r="J109" s="172">
        <f ca="1">(VLOOKUP(J$72,INDIRECT($C$5&amp;"生成成长"),2))/((VLOOKUP($B109,INDIRECT($B$5&amp;"生成成长"),4))/(VLOOKUP(J$72,INDIRECT($C$5&amp;"生成成长"),5))*(VLOOKUP($B$5,标准坦克设计!$B$24:$U$30,MATCH("对"&amp;LEFT($C$5,2)&amp;"输出",标准坦克设计!$B$23:$U$23,0)))*(VLOOKUP($B109,INDIRECT($B$5&amp;"生成成长"),3))*(VLOOKUP($B$5,标准坦克设计!$B$14:$K$20,9)/30))</f>
        <v>1.902462268868292</v>
      </c>
      <c r="K109" s="172">
        <f ca="1">(VLOOKUP(K$72,INDIRECT($C$5&amp;"生成成长"),2))/((VLOOKUP($B109,INDIRECT($B$5&amp;"生成成长"),4))/(VLOOKUP(K$72,INDIRECT($C$5&amp;"生成成长"),5))*(VLOOKUP($B$5,标准坦克设计!$B$24:$U$30,MATCH("对"&amp;LEFT($C$5,2)&amp;"输出",标准坦克设计!$B$23:$U$23,0)))*(VLOOKUP($B109,INDIRECT($B$5&amp;"生成成长"),3))*(VLOOKUP($B$5,标准坦克设计!$B$14:$K$20,9)/30))</f>
        <v>2.1400516798564344</v>
      </c>
      <c r="L109" s="172">
        <f ca="1">(VLOOKUP(L$72,INDIRECT($C$5&amp;"生成成长"),2))/((VLOOKUP($B109,INDIRECT($B$5&amp;"生成成长"),4))/(VLOOKUP(L$72,INDIRECT($C$5&amp;"生成成长"),5))*(VLOOKUP($B$5,标准坦克设计!$B$24:$U$30,MATCH("对"&amp;LEFT($C$5,2)&amp;"输出",标准坦克设计!$B$23:$U$23,0)))*(VLOOKUP($B109,INDIRECT($B$5&amp;"生成成长"),3))*(VLOOKUP($B$5,标准坦克设计!$B$14:$K$20,9)/30))</f>
        <v>2.3916169385497623</v>
      </c>
      <c r="M109" s="172">
        <f ca="1">(VLOOKUP(M$72,INDIRECT($C$5&amp;"生成成长"),2))/((VLOOKUP($B109,INDIRECT($B$5&amp;"生成成长"),4))/(VLOOKUP(M$72,INDIRECT($C$5&amp;"生成成长"),5))*(VLOOKUP($B$5,标准坦克设计!$B$24:$U$30,MATCH("对"&amp;LEFT($C$5,2)&amp;"输出",标准坦克设计!$B$23:$U$23,0)))*(VLOOKUP($B109,INDIRECT($B$5&amp;"生成成长"),3))*(VLOOKUP($B$5,标准坦克设计!$B$14:$K$20,9)/30))</f>
        <v>2.6571580449482748</v>
      </c>
      <c r="N109" s="172">
        <f ca="1">(VLOOKUP(N$72,INDIRECT($C$5&amp;"生成成长"),2))/((VLOOKUP($B109,INDIRECT($B$5&amp;"生成成长"),4))/(VLOOKUP(N$72,INDIRECT($C$5&amp;"生成成长"),5))*(VLOOKUP($B$5,标准坦克设计!$B$24:$U$30,MATCH("对"&amp;LEFT($C$5,2)&amp;"输出",标准坦克设计!$B$23:$U$23,0)))*(VLOOKUP($B109,INDIRECT($B$5&amp;"生成成长"),3))*(VLOOKUP($B$5,标准坦克设计!$B$14:$K$20,9)/30))</f>
        <v>2.9366749990519732</v>
      </c>
      <c r="O109" s="172">
        <f ca="1">(VLOOKUP(O$72,INDIRECT($C$5&amp;"生成成长"),2))/((VLOOKUP($B109,INDIRECT($B$5&amp;"生成成长"),4))/(VLOOKUP(O$72,INDIRECT($C$5&amp;"生成成长"),5))*(VLOOKUP($B$5,标准坦克设计!$B$24:$U$30,MATCH("对"&amp;LEFT($C$5,2)&amp;"输出",标准坦克设计!$B$23:$U$23,0)))*(VLOOKUP($B109,INDIRECT($B$5&amp;"生成成长"),3))*(VLOOKUP($B$5,标准坦克设计!$B$14:$K$20,9)/30))</f>
        <v>2.2327508572134813</v>
      </c>
      <c r="P109" s="172">
        <f ca="1">(VLOOKUP(P$72,INDIRECT($C$5&amp;"生成成长"),2))/((VLOOKUP($B109,INDIRECT($B$5&amp;"生成成长"),4))/(VLOOKUP(P$72,INDIRECT($C$5&amp;"生成成长"),5))*(VLOOKUP($B$5,标准坦克设计!$B$24:$U$30,MATCH("对"&amp;LEFT($C$5,2)&amp;"输出",标准坦克设计!$B$23:$U$23,0)))*(VLOOKUP($B109,INDIRECT($B$5&amp;"生成成长"),3))*(VLOOKUP($B$5,标准坦克设计!$B$14:$K$20,9)/30))</f>
        <v>2.52264051078587</v>
      </c>
      <c r="Q109" s="172">
        <f ca="1">(VLOOKUP(Q$72,INDIRECT($C$5&amp;"生成成长"),2))/((VLOOKUP($B109,INDIRECT($B$5&amp;"生成成长"),4))/(VLOOKUP(Q$72,INDIRECT($C$5&amp;"生成成长"),5))*(VLOOKUP($B$5,标准坦克设计!$B$24:$U$30,MATCH("对"&amp;LEFT($C$5,2)&amp;"输出",标准坦克设计!$B$23:$U$23,0)))*(VLOOKUP($B109,INDIRECT($B$5&amp;"生成成长"),3))*(VLOOKUP($B$5,标准坦克设计!$B$14:$K$20,9)/30))</f>
        <v>2.8302183466101347</v>
      </c>
      <c r="R109" s="172">
        <f ca="1">(VLOOKUP(R$72,INDIRECT($C$5&amp;"生成成长"),2))/((VLOOKUP($B109,INDIRECT($B$5&amp;"生成成长"),4))/(VLOOKUP(R$72,INDIRECT($C$5&amp;"生成成长"),5))*(VLOOKUP($B$5,标准坦克设计!$B$24:$U$30,MATCH("对"&amp;LEFT($C$5,2)&amp;"输出",标准坦克设计!$B$23:$U$23,0)))*(VLOOKUP($B109,INDIRECT($B$5&amp;"生成成长"),3))*(VLOOKUP($B$5,标准坦克设计!$B$14:$K$20,9)/30))</f>
        <v>3.1554843646862736</v>
      </c>
      <c r="S109" s="172">
        <f ca="1">(VLOOKUP(S$72,INDIRECT($C$5&amp;"生成成长"),2))/((VLOOKUP($B109,INDIRECT($B$5&amp;"生成成长"),4))/(VLOOKUP(S$72,INDIRECT($C$5&amp;"生成成长"),5))*(VLOOKUP($B$5,标准坦克设计!$B$24:$U$30,MATCH("对"&amp;LEFT($C$5,2)&amp;"输出",标准坦克设计!$B$23:$U$23,0)))*(VLOOKUP($B109,INDIRECT($B$5&amp;"生成成长"),3))*(VLOOKUP($B$5,标准坦克设计!$B$14:$K$20,9)/30))</f>
        <v>3.4984385650142866</v>
      </c>
      <c r="T109" s="172">
        <f ca="1">(VLOOKUP(T$72,INDIRECT($C$5&amp;"生成成长"),2))/((VLOOKUP($B109,INDIRECT($B$5&amp;"生成成长"),4))/(VLOOKUP(T$72,INDIRECT($C$5&amp;"生成成长"),5))*(VLOOKUP($B$5,标准坦克设计!$B$24:$U$30,MATCH("对"&amp;LEFT($C$5,2)&amp;"输出",标准坦克设计!$B$23:$U$23,0)))*(VLOOKUP($B109,INDIRECT($B$5&amp;"生成成长"),3))*(VLOOKUP($B$5,标准坦克设计!$B$14:$K$20,9)/30))</f>
        <v>3.8590809475941747</v>
      </c>
      <c r="U109" s="172">
        <f ca="1">(VLOOKUP(U$72,INDIRECT($C$5&amp;"生成成长"),2))/((VLOOKUP($B109,INDIRECT($B$5&amp;"生成成长"),4))/(VLOOKUP(U$72,INDIRECT($C$5&amp;"生成成长"),5))*(VLOOKUP($B$5,标准坦克设计!$B$24:$U$30,MATCH("对"&amp;LEFT($C$5,2)&amp;"输出",标准坦克设计!$B$23:$U$23,0)))*(VLOOKUP($B109,INDIRECT($B$5&amp;"生成成长"),3))*(VLOOKUP($B$5,标准坦克设计!$B$14:$K$20,9)/30))</f>
        <v>4.2374115124259371</v>
      </c>
      <c r="V109" s="172">
        <f ca="1">(VLOOKUP(V$72,INDIRECT($C$5&amp;"生成成长"),2))/((VLOOKUP($B109,INDIRECT($B$5&amp;"生成成长"),4))/(VLOOKUP(V$72,INDIRECT($C$5&amp;"生成成长"),5))*(VLOOKUP($B$5,标准坦克设计!$B$24:$U$30,MATCH("对"&amp;LEFT($C$5,2)&amp;"输出",标准坦克设计!$B$23:$U$23,0)))*(VLOOKUP($B109,INDIRECT($B$5&amp;"生成成长"),3))*(VLOOKUP($B$5,标准坦克设计!$B$14:$K$20,9)/30))</f>
        <v>4.6334302595095744</v>
      </c>
      <c r="W109" s="172">
        <f ca="1">(VLOOKUP(W$72,INDIRECT($C$5&amp;"生成成长"),2))/((VLOOKUP($B109,INDIRECT($B$5&amp;"生成成长"),4))/(VLOOKUP(W$72,INDIRECT($C$5&amp;"生成成长"),5))*(VLOOKUP($B$5,标准坦克设计!$B$24:$U$30,MATCH("对"&amp;LEFT($C$5,2)&amp;"输出",标准坦克设计!$B$23:$U$23,0)))*(VLOOKUP($B109,INDIRECT($B$5&amp;"生成成长"),3))*(VLOOKUP($B$5,标准坦克设计!$B$14:$K$20,9)/30))</f>
        <v>5.0471371888450864</v>
      </c>
      <c r="X109" s="172">
        <f ca="1">(VLOOKUP(X$72,INDIRECT($C$5&amp;"生成成长"),2))/((VLOOKUP($B109,INDIRECT($B$5&amp;"生成成长"),4))/(VLOOKUP(X$72,INDIRECT($C$5&amp;"生成成长"),5))*(VLOOKUP($B$5,标准坦克设计!$B$24:$U$30,MATCH("对"&amp;LEFT($C$5,2)&amp;"输出",标准坦克设计!$B$23:$U$23,0)))*(VLOOKUP($B109,INDIRECT($B$5&amp;"生成成长"),3))*(VLOOKUP($B$5,标准坦克设计!$B$14:$K$20,9)/30))</f>
        <v>3.6565403421791909</v>
      </c>
      <c r="Y109" s="172">
        <f ca="1">(VLOOKUP(Y$72,INDIRECT($C$5&amp;"生成成长"),2))/((VLOOKUP($B109,INDIRECT($B$5&amp;"生成成长"),4))/(VLOOKUP(Y$72,INDIRECT($C$5&amp;"生成成长"),5))*(VLOOKUP($B$5,标准坦克设计!$B$24:$U$30,MATCH("对"&amp;LEFT($C$5,2)&amp;"输出",标准坦克设计!$B$23:$U$23,0)))*(VLOOKUP($B109,INDIRECT($B$5&amp;"生成成长"),3))*(VLOOKUP($B$5,标准坦克设计!$B$14:$K$20,9)/30))</f>
        <v>4.067080868518997</v>
      </c>
      <c r="Z109" s="172">
        <f ca="1">(VLOOKUP(Z$72,INDIRECT($C$5&amp;"生成成长"),2))/((VLOOKUP($B109,INDIRECT($B$5&amp;"生成成长"),4))/(VLOOKUP(Z$72,INDIRECT($C$5&amp;"生成成长"),5))*(VLOOKUP($B$5,标准坦克设计!$B$24:$U$30,MATCH("对"&amp;LEFT($C$5,2)&amp;"输出",标准坦克设计!$B$23:$U$23,0)))*(VLOOKUP($B109,INDIRECT($B$5&amp;"生成成长"),3))*(VLOOKUP($B$5,标准坦克设计!$B$14:$K$20,9)/30))</f>
        <v>4.4994586568981534</v>
      </c>
      <c r="AA109" s="172">
        <f ca="1">(VLOOKUP(AA$72,INDIRECT($C$5&amp;"生成成长"),2))/((VLOOKUP($B109,INDIRECT($B$5&amp;"生成成长"),4))/(VLOOKUP(AA$72,INDIRECT($C$5&amp;"生成成长"),5))*(VLOOKUP($B$5,标准坦克设计!$B$24:$U$30,MATCH("对"&amp;LEFT($C$5,2)&amp;"输出",标准坦克设计!$B$23:$U$23,0)))*(VLOOKUP($B109,INDIRECT($B$5&amp;"生成成长"),3))*(VLOOKUP($B$5,标准坦克设计!$B$14:$K$20,9)/30))</f>
        <v>4.9536737073166623</v>
      </c>
      <c r="AB109" s="172">
        <f ca="1">(VLOOKUP(AB$72,INDIRECT($C$5&amp;"生成成长"),2))/((VLOOKUP($B109,INDIRECT($B$5&amp;"生成成长"),4))/(VLOOKUP(AB$72,INDIRECT($C$5&amp;"生成成长"),5))*(VLOOKUP($B$5,标准坦克设计!$B$24:$U$30,MATCH("对"&amp;LEFT($C$5,2)&amp;"输出",标准坦克设计!$B$23:$U$23,0)))*(VLOOKUP($B109,INDIRECT($B$5&amp;"生成成长"),3))*(VLOOKUP($B$5,标准坦克设计!$B$14:$K$20,9)/30))</f>
        <v>5.4297260197745221</v>
      </c>
      <c r="AC109" s="172">
        <f ca="1">(VLOOKUP(AC$72,INDIRECT($C$5&amp;"生成成长"),2))/((VLOOKUP($B109,INDIRECT($B$5&amp;"生成成长"),4))/(VLOOKUP(AC$72,INDIRECT($C$5&amp;"生成成长"),5))*(VLOOKUP($B$5,标准坦克设计!$B$24:$U$30,MATCH("对"&amp;LEFT($C$5,2)&amp;"输出",标准坦克设计!$B$23:$U$23,0)))*(VLOOKUP($B109,INDIRECT($B$5&amp;"生成成长"),3))*(VLOOKUP($B$5,标准坦克设计!$B$14:$K$20,9)/30))</f>
        <v>5.9276155942717326</v>
      </c>
      <c r="AD109" s="172">
        <f ca="1">(VLOOKUP(AD$72,INDIRECT($C$5&amp;"生成成长"),2))/((VLOOKUP($B109,INDIRECT($B$5&amp;"生成成长"),4))/(VLOOKUP(AD$72,INDIRECT($C$5&amp;"生成成长"),5))*(VLOOKUP($B$5,标准坦克设计!$B$24:$U$30,MATCH("对"&amp;LEFT($C$5,2)&amp;"输出",标准坦克设计!$B$23:$U$23,0)))*(VLOOKUP($B109,INDIRECT($B$5&amp;"生成成长"),3))*(VLOOKUP($B$5,标准坦克设计!$B$14:$K$20,9)/30))</f>
        <v>6.4473424308082956</v>
      </c>
      <c r="AE109" s="172">
        <f ca="1">(VLOOKUP(AE$72,INDIRECT($C$5&amp;"生成成长"),2))/((VLOOKUP($B109,INDIRECT($B$5&amp;"生成成长"),4))/(VLOOKUP(AE$72,INDIRECT($C$5&amp;"生成成长"),5))*(VLOOKUP($B$5,标准坦克设计!$B$24:$U$30,MATCH("对"&amp;LEFT($C$5,2)&amp;"输出",标准坦克设计!$B$23:$U$23,0)))*(VLOOKUP($B109,INDIRECT($B$5&amp;"生成成长"),3))*(VLOOKUP($B$5,标准坦克设计!$B$14:$K$20,9)/30))</f>
        <v>6.9889065293842103</v>
      </c>
      <c r="AF109" s="172">
        <f ca="1">(VLOOKUP(AF$72,INDIRECT($C$5&amp;"生成成长"),2))/((VLOOKUP($B109,INDIRECT($B$5&amp;"生成成长"),4))/(VLOOKUP(AF$72,INDIRECT($C$5&amp;"生成成长"),5))*(VLOOKUP($B$5,标准坦克设计!$B$24:$U$30,MATCH("对"&amp;LEFT($C$5,2)&amp;"输出",标准坦克设计!$B$23:$U$23,0)))*(VLOOKUP($B109,INDIRECT($B$5&amp;"生成成长"),3))*(VLOOKUP($B$5,标准坦克设计!$B$14:$K$20,9)/30))</f>
        <v>7.5523078899994749</v>
      </c>
      <c r="AG109" s="172">
        <f ca="1">(VLOOKUP(AG$72,INDIRECT($C$5&amp;"生成成长"),2))/((VLOOKUP($B109,INDIRECT($B$5&amp;"生成成长"),4))/(VLOOKUP(AG$72,INDIRECT($C$5&amp;"生成成长"),5))*(VLOOKUP($B$5,标准坦克设计!$B$24:$U$30,MATCH("对"&amp;LEFT($C$5,2)&amp;"输出",标准坦克设计!$B$23:$U$23,0)))*(VLOOKUP($B109,INDIRECT($B$5&amp;"生成成长"),3))*(VLOOKUP($B$5,标准坦克设计!$B$14:$K$20,9)/30))</f>
        <v>8.137546512654092</v>
      </c>
      <c r="AH109" s="172">
        <f ca="1">(VLOOKUP(AH$72,INDIRECT($C$5&amp;"生成成长"),2))/((VLOOKUP($B109,INDIRECT($B$5&amp;"生成成长"),4))/(VLOOKUP(AH$72,INDIRECT($C$5&amp;"生成成长"),5))*(VLOOKUP($B$5,标准坦克设计!$B$24:$U$30,MATCH("对"&amp;LEFT($C$5,2)&amp;"输出",标准坦克设计!$B$23:$U$23,0)))*(VLOOKUP($B109,INDIRECT($B$5&amp;"生成成长"),3))*(VLOOKUP($B$5,标准坦克设计!$B$14:$K$20,9)/30))</f>
        <v>8.7446223973480617</v>
      </c>
      <c r="AI109" s="172">
        <f ca="1">(VLOOKUP(AI$72,INDIRECT($C$5&amp;"生成成长"),2))/((VLOOKUP($B109,INDIRECT($B$5&amp;"生成成长"),4))/(VLOOKUP(AI$72,INDIRECT($C$5&amp;"生成成长"),5))*(VLOOKUP($B$5,标准坦克设计!$B$24:$U$30,MATCH("对"&amp;LEFT($C$5,2)&amp;"输出",标准坦克设计!$B$23:$U$23,0)))*(VLOOKUP($B109,INDIRECT($B$5&amp;"生成成长"),3))*(VLOOKUP($B$5,标准坦克设计!$B$14:$K$20,9)/30))</f>
        <v>6.1847493547850965</v>
      </c>
      <c r="AJ109" s="172">
        <f ca="1">(VLOOKUP(AJ$72,INDIRECT($C$5&amp;"生成成长"),2))/((VLOOKUP($B109,INDIRECT($B$5&amp;"生成成长"),4))/(VLOOKUP(AJ$72,INDIRECT($C$5&amp;"生成成长"),5))*(VLOOKUP($B$5,标准坦克设计!$B$24:$U$30,MATCH("对"&amp;LEFT($C$5,2)&amp;"输出",标准坦克设计!$B$23:$U$23,0)))*(VLOOKUP($B109,INDIRECT($B$5&amp;"生成成长"),3))*(VLOOKUP($B$5,标准坦克设计!$B$14:$K$20,9)/30))</f>
        <v>6.7696604185091225</v>
      </c>
      <c r="AK109" s="172">
        <f ca="1">(VLOOKUP(AK$72,INDIRECT($C$5&amp;"生成成长"),2))/((VLOOKUP($B109,INDIRECT($B$5&amp;"生成成长"),4))/(VLOOKUP(AK$72,INDIRECT($C$5&amp;"生成成长"),5))*(VLOOKUP($B$5,标准坦克设计!$B$24:$U$30,MATCH("对"&amp;LEFT($C$5,2)&amp;"输出",标准坦克设计!$B$23:$U$23,0)))*(VLOOKUP($B109,INDIRECT($B$5&amp;"生成成长"),3))*(VLOOKUP($B$5,标准坦克设计!$B$14:$K$20,9)/30))</f>
        <v>7.3809945693007641</v>
      </c>
      <c r="AL109" s="172">
        <f ca="1">(VLOOKUP(AL$72,INDIRECT($C$5&amp;"生成成长"),2))/((VLOOKUP($B109,INDIRECT($B$5&amp;"生成成长"),4))/(VLOOKUP(AL$72,INDIRECT($C$5&amp;"生成成长"),5))*(VLOOKUP($B$5,标准坦克设计!$B$24:$U$30,MATCH("对"&amp;LEFT($C$5,2)&amp;"输出",标准坦克设计!$B$23:$U$23,0)))*(VLOOKUP($B109,INDIRECT($B$5&amp;"生成成长"),3))*(VLOOKUP($B$5,标准坦克设计!$B$14:$K$20,9)/30))</f>
        <v>8.0187518071600223</v>
      </c>
      <c r="AM109" s="172">
        <f ca="1">(VLOOKUP(AM$72,INDIRECT($C$5&amp;"生成成长"),2))/((VLOOKUP($B109,INDIRECT($B$5&amp;"生成成长"),4))/(VLOOKUP(AM$72,INDIRECT($C$5&amp;"生成成长"),5))*(VLOOKUP($B$5,标准坦克设计!$B$24:$U$30,MATCH("对"&amp;LEFT($C$5,2)&amp;"输出",标准坦克设计!$B$23:$U$23,0)))*(VLOOKUP($B109,INDIRECT($B$5&amp;"生成成长"),3))*(VLOOKUP($B$5,标准坦克设计!$B$14:$K$20,9)/30))</f>
        <v>8.6829321320868917</v>
      </c>
      <c r="AN109" s="172">
        <f ca="1">(VLOOKUP(AN$72,INDIRECT($C$5&amp;"生成成长"),2))/((VLOOKUP($B109,INDIRECT($B$5&amp;"生成成长"),4))/(VLOOKUP(AN$72,INDIRECT($C$5&amp;"生成成长"),5))*(VLOOKUP($B$5,标准坦克设计!$B$24:$U$30,MATCH("对"&amp;LEFT($C$5,2)&amp;"输出",标准坦克设计!$B$23:$U$23,0)))*(VLOOKUP($B109,INDIRECT($B$5&amp;"生成成长"),3))*(VLOOKUP($B$5,标准坦克设计!$B$14:$K$20,9)/30))</f>
        <v>9.3735355440813812</v>
      </c>
      <c r="AO109" s="172">
        <f ca="1">(VLOOKUP(AO$72,INDIRECT($C$5&amp;"生成成长"),2))/((VLOOKUP($B109,INDIRECT($B$5&amp;"生成成长"),4))/(VLOOKUP(AO$72,INDIRECT($C$5&amp;"生成成长"),5))*(VLOOKUP($B$5,标准坦克设计!$B$24:$U$30,MATCH("对"&amp;LEFT($C$5,2)&amp;"输出",标准坦克设计!$B$23:$U$23,0)))*(VLOOKUP($B109,INDIRECT($B$5&amp;"生成成长"),3))*(VLOOKUP($B$5,标准坦克设计!$B$14:$K$20,9)/30))</f>
        <v>10.09056204314348</v>
      </c>
      <c r="AP109" s="172">
        <f ca="1">(VLOOKUP(AP$72,INDIRECT($C$5&amp;"生成成长"),2))/((VLOOKUP($B109,INDIRECT($B$5&amp;"生成成长"),4))/(VLOOKUP(AP$72,INDIRECT($C$5&amp;"生成成长"),5))*(VLOOKUP($B$5,标准坦克设计!$B$24:$U$30,MATCH("对"&amp;LEFT($C$5,2)&amp;"输出",标准坦克设计!$B$23:$U$23,0)))*(VLOOKUP($B109,INDIRECT($B$5&amp;"生成成长"),3))*(VLOOKUP($B$5,标准坦克设计!$B$14:$K$20,9)/30))</f>
        <v>10.834011629273201</v>
      </c>
      <c r="AQ109" s="172">
        <f ca="1">(VLOOKUP(AQ$72,INDIRECT($C$5&amp;"生成成长"),2))/((VLOOKUP($B109,INDIRECT($B$5&amp;"生成成长"),4))/(VLOOKUP(AQ$72,INDIRECT($C$5&amp;"生成成长"),5))*(VLOOKUP($B$5,标准坦克设计!$B$24:$U$30,MATCH("对"&amp;LEFT($C$5,2)&amp;"输出",标准坦克设计!$B$23:$U$23,0)))*(VLOOKUP($B109,INDIRECT($B$5&amp;"生成成长"),3))*(VLOOKUP($B$5,标准坦克设计!$B$14:$K$20,9)/30))</f>
        <v>11.603884302470533</v>
      </c>
      <c r="AR109" s="172">
        <f ca="1">(VLOOKUP(AR$72,INDIRECT($C$5&amp;"生成成长"),2))/((VLOOKUP($B109,INDIRECT($B$5&amp;"生成成长"),4))/(VLOOKUP(AR$72,INDIRECT($C$5&amp;"生成成长"),5))*(VLOOKUP($B$5,标准坦克设计!$B$24:$U$30,MATCH("对"&amp;LEFT($C$5,2)&amp;"输出",标准坦克设计!$B$23:$U$23,0)))*(VLOOKUP($B109,INDIRECT($B$5&amp;"生成成长"),3))*(VLOOKUP($B$5,标准坦克设计!$B$14:$K$20,9)/30))</f>
        <v>12.400180062735481</v>
      </c>
      <c r="AS109" s="172">
        <f ca="1">(VLOOKUP(AS$72,INDIRECT($C$5&amp;"生成成长"),2))/((VLOOKUP($B109,INDIRECT($B$5&amp;"生成成长"),4))/(VLOOKUP(AS$72,INDIRECT($C$5&amp;"生成成长"),5))*(VLOOKUP($B$5,标准坦克设计!$B$24:$U$30,MATCH("对"&amp;LEFT($C$5,2)&amp;"输出",标准坦克设计!$B$23:$U$23,0)))*(VLOOKUP($B109,INDIRECT($B$5&amp;"生成成长"),3))*(VLOOKUP($B$5,标准坦克设计!$B$14:$K$20,9)/30))</f>
        <v>13.222898910068045</v>
      </c>
      <c r="AT109" s="172">
        <f ca="1">(VLOOKUP(AT$72,INDIRECT($C$5&amp;"生成成长"),2))/((VLOOKUP($B109,INDIRECT($B$5&amp;"生成成长"),4))/(VLOOKUP(AT$72,INDIRECT($C$5&amp;"生成成长"),5))*(VLOOKUP($B$5,标准坦克设计!$B$24:$U$30,MATCH("对"&amp;LEFT($C$5,2)&amp;"输出",标准坦克设计!$B$23:$U$23,0)))*(VLOOKUP($B109,INDIRECT($B$5&amp;"生成成长"),3))*(VLOOKUP($B$5,标准坦克设计!$B$14:$K$20,9)/30))</f>
        <v>14.072040844468223</v>
      </c>
      <c r="AU109" s="172">
        <f ca="1">(VLOOKUP(AU$72,INDIRECT($C$5&amp;"生成成长"),2))/((VLOOKUP($B109,INDIRECT($B$5&amp;"生成成长"),4))/(VLOOKUP(AU$72,INDIRECT($C$5&amp;"生成成长"),5))*(VLOOKUP($B$5,标准坦克设计!$B$24:$U$30,MATCH("对"&amp;LEFT($C$5,2)&amp;"输出",标准坦克设计!$B$23:$U$23,0)))*(VLOOKUP($B109,INDIRECT($B$5&amp;"生成成长"),3))*(VLOOKUP($B$5,标准坦克设计!$B$14:$K$20,9)/30))</f>
        <v>14.947605865936014</v>
      </c>
      <c r="AV109" s="172">
        <f ca="1">(VLOOKUP(AV$72,INDIRECT($C$5&amp;"生成成长"),2))/((VLOOKUP($B109,INDIRECT($B$5&amp;"生成成长"),4))/(VLOOKUP(AV$72,INDIRECT($C$5&amp;"生成成长"),5))*(VLOOKUP($B$5,标准坦克设计!$B$24:$U$30,MATCH("对"&amp;LEFT($C$5,2)&amp;"输出",标准坦克设计!$B$23:$U$23,0)))*(VLOOKUP($B109,INDIRECT($B$5&amp;"生成成长"),3))*(VLOOKUP($B$5,标准坦克设计!$B$14:$K$20,9)/30))</f>
        <v>1.5203101831796428</v>
      </c>
      <c r="AW109" s="172">
        <f ca="1">(VLOOKUP(AW$72,INDIRECT($C$5&amp;"生成成长"),2))/((VLOOKUP($B109,INDIRECT($B$5&amp;"生成成长"),4))/(VLOOKUP(AW$72,INDIRECT($C$5&amp;"生成成长"),5))*(VLOOKUP($B$5,标准坦克设计!$B$24:$U$30,MATCH("对"&amp;LEFT($C$5,2)&amp;"输出",标准坦克设计!$B$23:$U$23,0)))*(VLOOKUP($B109,INDIRECT($B$5&amp;"生成成长"),3))*(VLOOKUP($B$5,标准坦克设计!$B$14:$K$20,9)/30))</f>
        <v>1.7334418606837119</v>
      </c>
      <c r="AX109" s="172">
        <f ca="1">(VLOOKUP(AX$72,INDIRECT($C$5&amp;"生成成长"),2))/((VLOOKUP($B109,INDIRECT($B$5&amp;"生成成长"),4))/(VLOOKUP(AX$72,INDIRECT($C$5&amp;"生成成长"),5))*(VLOOKUP($B$5,标准坦克设计!$B$24:$U$30,MATCH("对"&amp;LEFT($C$5,2)&amp;"输出",标准坦克设计!$B$23:$U$23,0)))*(VLOOKUP($B109,INDIRECT($B$5&amp;"生成成长"),3))*(VLOOKUP($B$5,标准坦克设计!$B$14:$K$20,9)/30))</f>
        <v>1.9605493858929663</v>
      </c>
      <c r="AY109" s="172">
        <f ca="1">(VLOOKUP(AY$72,INDIRECT($C$5&amp;"生成成长"),2))/((VLOOKUP($B109,INDIRECT($B$5&amp;"生成成长"),4))/(VLOOKUP(AY$72,INDIRECT($C$5&amp;"生成成长"),5))*(VLOOKUP($B$5,标准坦克设计!$B$24:$U$30,MATCH("对"&amp;LEFT($C$5,2)&amp;"输出",标准坦克设计!$B$23:$U$23,0)))*(VLOOKUP($B109,INDIRECT($B$5&amp;"生成成长"),3))*(VLOOKUP($B$5,标准坦克设计!$B$14:$K$20,9)/30))</f>
        <v>2.2016327588074058</v>
      </c>
      <c r="AZ109" s="172">
        <f ca="1">(VLOOKUP(AZ$72,INDIRECT($C$5&amp;"生成成长"),2))/((VLOOKUP($B109,INDIRECT($B$5&amp;"生成成长"),4))/(VLOOKUP(AZ$72,INDIRECT($C$5&amp;"生成成长"),5))*(VLOOKUP($B$5,标准坦克设计!$B$24:$U$30,MATCH("对"&amp;LEFT($C$5,2)&amp;"输出",标准坦克设计!$B$23:$U$23,0)))*(VLOOKUP($B109,INDIRECT($B$5&amp;"生成成长"),3))*(VLOOKUP($B$5,标准坦克设计!$B$14:$K$20,9)/30))</f>
        <v>2.4566919794270299</v>
      </c>
      <c r="BA109" s="172">
        <f ca="1">(VLOOKUP(BA$72,INDIRECT($C$5&amp;"生成成长"),2))/((VLOOKUP($B109,INDIRECT($B$5&amp;"生成成长"),4))/(VLOOKUP(BA$72,INDIRECT($C$5&amp;"生成成长"),5))*(VLOOKUP($B$5,标准坦克设计!$B$24:$U$30,MATCH("对"&amp;LEFT($C$5,2)&amp;"输出",标准坦克设计!$B$23:$U$23,0)))*(VLOOKUP($B109,INDIRECT($B$5&amp;"生成成长"),3))*(VLOOKUP($B$5,标准坦克设计!$B$14:$K$20,9)/30))</f>
        <v>2.7257270477518389</v>
      </c>
      <c r="BB109" s="172">
        <f ca="1">(VLOOKUP(BB$72,INDIRECT($C$5&amp;"生成成长"),2))/((VLOOKUP($B109,INDIRECT($B$5&amp;"生成成长"),4))/(VLOOKUP(BB$72,INDIRECT($C$5&amp;"生成成长"),5))*(VLOOKUP($B$5,标准坦克设计!$B$24:$U$30,MATCH("对"&amp;LEFT($C$5,2)&amp;"输出",标准坦克设计!$B$23:$U$23,0)))*(VLOOKUP($B109,INDIRECT($B$5&amp;"生成成长"),3))*(VLOOKUP($B$5,标准坦克设计!$B$14:$K$20,9)/30))</f>
        <v>3.0087379637818321</v>
      </c>
      <c r="BC109" s="172">
        <f ca="1">(VLOOKUP(BC$72,INDIRECT($C$5&amp;"生成成长"),2))/((VLOOKUP($B109,INDIRECT($B$5&amp;"生成成长"),4))/(VLOOKUP(BC$72,INDIRECT($C$5&amp;"生成成长"),5))*(VLOOKUP($B$5,标准坦克设计!$B$24:$U$30,MATCH("对"&amp;LEFT($C$5,2)&amp;"输出",标准坦克设计!$B$23:$U$23,0)))*(VLOOKUP($B109,INDIRECT($B$5&amp;"生成成长"),3))*(VLOOKUP($B$5,标准坦克设计!$B$14:$K$20,9)/30))</f>
        <v>3.3057247275170112</v>
      </c>
      <c r="BD109" s="172">
        <f ca="1">(VLOOKUP(BD$72,INDIRECT($C$5&amp;"生成成长"),2))/((VLOOKUP($B109,INDIRECT($B$5&amp;"生成成长"),4))/(VLOOKUP(BD$72,INDIRECT($C$5&amp;"生成成长"),5))*(VLOOKUP($B$5,标准坦克设计!$B$24:$U$30,MATCH("对"&amp;LEFT($C$5,2)&amp;"输出",标准坦克设计!$B$23:$U$23,0)))*(VLOOKUP($B109,INDIRECT($B$5&amp;"生成成长"),3))*(VLOOKUP($B$5,标准坦克设计!$B$14:$K$20,9)/30))</f>
        <v>3.6565403421791909</v>
      </c>
      <c r="BE109" s="172">
        <f ca="1">(VLOOKUP(BE$72,INDIRECT($C$5&amp;"生成成长"),2))/((VLOOKUP($B109,INDIRECT($B$5&amp;"生成成长"),4))/(VLOOKUP(BE$72,INDIRECT($C$5&amp;"生成成长"),5))*(VLOOKUP($B$5,标准坦克设计!$B$24:$U$30,MATCH("对"&amp;LEFT($C$5,2)&amp;"输出",标准坦克设计!$B$23:$U$23,0)))*(VLOOKUP($B109,INDIRECT($B$5&amp;"生成成长"),3))*(VLOOKUP($B$5,标准坦克设计!$B$14:$K$20,9)/30))</f>
        <v>4.0250441390932457</v>
      </c>
      <c r="BF109" s="172">
        <f ca="1">(VLOOKUP(BF$72,INDIRECT($C$5&amp;"生成成长"),2))/((VLOOKUP($B109,INDIRECT($B$5&amp;"生成成长"),4))/(VLOOKUP(BF$72,INDIRECT($C$5&amp;"生成成长"),5))*(VLOOKUP($B$5,标准坦克设计!$B$24:$U$30,MATCH("对"&amp;LEFT($C$5,2)&amp;"输出",标准坦克设计!$B$23:$U$23,0)))*(VLOOKUP($B109,INDIRECT($B$5&amp;"生成成长"),3))*(VLOOKUP($B$5,标准坦克设计!$B$14:$K$20,9)/30))</f>
        <v>4.4112361182591746</v>
      </c>
      <c r="BG109" s="172">
        <f ca="1">(VLOOKUP(BG$72,INDIRECT($C$5&amp;"生成成长"),2))/((VLOOKUP($B109,INDIRECT($B$5&amp;"生成成长"),4))/(VLOOKUP(BG$72,INDIRECT($C$5&amp;"生成成长"),5))*(VLOOKUP($B$5,标准坦克设计!$B$24:$U$30,MATCH("对"&amp;LEFT($C$5,2)&amp;"输出",标准坦克设计!$B$23:$U$23,0)))*(VLOOKUP($B109,INDIRECT($B$5&amp;"生成成长"),3))*(VLOOKUP($B$5,标准坦克设计!$B$14:$K$20,9)/30))</f>
        <v>4.8151162796769782</v>
      </c>
      <c r="BH109" s="172">
        <f ca="1">(VLOOKUP(BH$72,INDIRECT($C$5&amp;"生成成长"),2))/((VLOOKUP($B109,INDIRECT($B$5&amp;"生成成长"),4))/(VLOOKUP(BH$72,INDIRECT($C$5&amp;"生成成长"),5))*(VLOOKUP($B$5,标准坦克设计!$B$24:$U$30,MATCH("对"&amp;LEFT($C$5,2)&amp;"输出",标准坦克设计!$B$23:$U$23,0)))*(VLOOKUP($B109,INDIRECT($B$5&amp;"生成成长"),3))*(VLOOKUP($B$5,标准坦克设计!$B$14:$K$20,9)/30))</f>
        <v>2.3274153881540696</v>
      </c>
      <c r="BI109" s="172">
        <f ca="1">(VLOOKUP(BI$72,INDIRECT($C$5&amp;"生成成长"),2))/((VLOOKUP($B109,INDIRECT($B$5&amp;"生成成长"),4))/(VLOOKUP(BI$72,INDIRECT($C$5&amp;"生成成长"),5))*(VLOOKUP($B$5,标准坦克设计!$B$24:$U$30,MATCH("对"&amp;LEFT($C$5,2)&amp;"输出",标准坦克设计!$B$23:$U$23,0)))*(VLOOKUP($B109,INDIRECT($B$5&amp;"生成成长"),3))*(VLOOKUP($B$5,标准坦克设计!$B$14:$K$20,9)/30))</f>
        <v>2.623201102477084</v>
      </c>
      <c r="BJ109" s="172">
        <f ca="1">(VLOOKUP(BJ$72,INDIRECT($C$5&amp;"生成成长"),2))/((VLOOKUP($B109,INDIRECT($B$5&amp;"生成成长"),4))/(VLOOKUP(BJ$72,INDIRECT($C$5&amp;"生成成长"),5))*(VLOOKUP($B$5,标准坦克设计!$B$24:$U$30,MATCH("对"&amp;LEFT($C$5,2)&amp;"输出",标准坦克设计!$B$23:$U$23,0)))*(VLOOKUP($B109,INDIRECT($B$5&amp;"生成成长"),3))*(VLOOKUP($B$5,标准坦克设计!$B$14:$K$20,9)/30))</f>
        <v>2.9366749990519732</v>
      </c>
      <c r="BK109" s="172">
        <f ca="1">(VLOOKUP(BK$72,INDIRECT($C$5&amp;"生成成长"),2))/((VLOOKUP($B109,INDIRECT($B$5&amp;"生成成长"),4))/(VLOOKUP(BK$72,INDIRECT($C$5&amp;"生成成长"),5))*(VLOOKUP($B$5,标准坦克设计!$B$24:$U$30,MATCH("对"&amp;LEFT($C$5,2)&amp;"输出",标准坦克设计!$B$23:$U$23,0)))*(VLOOKUP($B109,INDIRECT($B$5&amp;"生成成长"),3))*(VLOOKUP($B$5,标准坦克设计!$B$14:$K$20,9)/30))</f>
        <v>3.2678370778787365</v>
      </c>
      <c r="BL109" s="172">
        <f ca="1">(VLOOKUP(BL$72,INDIRECT($C$5&amp;"生成成长"),2))/((VLOOKUP($B109,INDIRECT($B$5&amp;"生成成长"),4))/(VLOOKUP(BL$72,INDIRECT($C$5&amp;"生成成长"),5))*(VLOOKUP($B$5,标准坦克设计!$B$24:$U$30,MATCH("对"&amp;LEFT($C$5,2)&amp;"输出",标准坦克设计!$B$23:$U$23,0)))*(VLOOKUP($B109,INDIRECT($B$5&amp;"生成成长"),3))*(VLOOKUP($B$5,标准坦克设计!$B$14:$K$20,9)/30))</f>
        <v>3.6166873389573744</v>
      </c>
      <c r="BM109" s="172">
        <f ca="1">(VLOOKUP(BM$72,INDIRECT($C$5&amp;"生成成长"),2))/((VLOOKUP($B109,INDIRECT($B$5&amp;"生成成长"),4))/(VLOOKUP(BM$72,INDIRECT($C$5&amp;"生成成长"),5))*(VLOOKUP($B$5,标准坦克设计!$B$24:$U$30,MATCH("对"&amp;LEFT($C$5,2)&amp;"输出",标准坦克设计!$B$23:$U$23,0)))*(VLOOKUP($B109,INDIRECT($B$5&amp;"生成成长"),3))*(VLOOKUP($B$5,标准坦克设计!$B$14:$K$20,9)/30))</f>
        <v>3.9832257822878878</v>
      </c>
      <c r="BN109" s="172">
        <f ca="1">(VLOOKUP(BN$72,INDIRECT($C$5&amp;"生成成长"),2))/((VLOOKUP($B109,INDIRECT($B$5&amp;"生成成长"),4))/(VLOOKUP(BN$72,INDIRECT($C$5&amp;"生成成长"),5))*(VLOOKUP($B$5,标准坦克设计!$B$24:$U$30,MATCH("对"&amp;LEFT($C$5,2)&amp;"输出",标准坦克设计!$B$23:$U$23,0)))*(VLOOKUP($B109,INDIRECT($B$5&amp;"生成成长"),3))*(VLOOKUP($B$5,标准坦克设计!$B$14:$K$20,9)/30))</f>
        <v>4.3674524078702746</v>
      </c>
      <c r="BO109" s="172">
        <f ca="1">(VLOOKUP(BO$72,INDIRECT($C$5&amp;"生成成长"),2))/((VLOOKUP($B109,INDIRECT($B$5&amp;"生成成长"),4))/(VLOOKUP(BO$72,INDIRECT($C$5&amp;"生成成长"),5))*(VLOOKUP($B$5,标准坦克设计!$B$24:$U$30,MATCH("对"&amp;LEFT($C$5,2)&amp;"输出",标准坦克设计!$B$23:$U$23,0)))*(VLOOKUP($B109,INDIRECT($B$5&amp;"生成成长"),3))*(VLOOKUP($B$5,标准坦克设计!$B$14:$K$20,9)/30))</f>
        <v>4.7693672157045368</v>
      </c>
      <c r="BP109" s="172">
        <f ca="1">(VLOOKUP(BP$72,INDIRECT($C$5&amp;"生成成长"),2))/((VLOOKUP($B109,INDIRECT($B$5&amp;"生成成长"),4))/(VLOOKUP(BP$72,INDIRECT($C$5&amp;"生成成长"),5))*(VLOOKUP($B$5,标准坦克设计!$B$24:$U$30,MATCH("对"&amp;LEFT($C$5,2)&amp;"输出",标准坦克设计!$B$23:$U$23,0)))*(VLOOKUP($B109,INDIRECT($B$5&amp;"生成成长"),3))*(VLOOKUP($B$5,标准坦克设计!$B$14:$K$20,9)/30))</f>
        <v>5.1889702057906737</v>
      </c>
      <c r="BQ109" s="172">
        <f ca="1">(VLOOKUP(BQ$72,INDIRECT($C$5&amp;"生成成长"),2))/((VLOOKUP($B109,INDIRECT($B$5&amp;"生成成长"),4))/(VLOOKUP(BQ$72,INDIRECT($C$5&amp;"生成成长"),5))*(VLOOKUP($B$5,标准坦克设计!$B$24:$U$30,MATCH("对"&amp;LEFT($C$5,2)&amp;"输出",标准坦克设计!$B$23:$U$23,0)))*(VLOOKUP($B109,INDIRECT($B$5&amp;"生成成长"),3))*(VLOOKUP($B$5,标准坦克设计!$B$14:$K$20,9)/30))</f>
        <v>5.6262613781286843</v>
      </c>
      <c r="BR109" s="172">
        <f ca="1">(VLOOKUP(BR$72,INDIRECT($C$5&amp;"生成成长"),2))/((VLOOKUP($B109,INDIRECT($B$5&amp;"生成成长"),4))/(VLOOKUP(BR$72,INDIRECT($C$5&amp;"生成成长"),5))*(VLOOKUP($B$5,标准坦克设计!$B$24:$U$30,MATCH("对"&amp;LEFT($C$5,2)&amp;"输出",标准坦克设计!$B$23:$U$23,0)))*(VLOOKUP($B109,INDIRECT($B$5&amp;"生成成长"),3))*(VLOOKUP($B$5,标准坦克设计!$B$14:$K$20,9)/30))</f>
        <v>6.1328858574416376</v>
      </c>
      <c r="BS109" s="172">
        <f ca="1">(VLOOKUP(BS$72,INDIRECT($C$5&amp;"生成成长"),2))/((VLOOKUP($B109,INDIRECT($B$5&amp;"生成成长"),4))/(VLOOKUP(BS$72,INDIRECT($C$5&amp;"生成成长"),5))*(VLOOKUP($B$5,标准坦克设计!$B$24:$U$30,MATCH("对"&amp;LEFT($C$5,2)&amp;"输出",标准坦克设计!$B$23:$U$23,0)))*(VLOOKUP($B109,INDIRECT($B$5&amp;"生成成长"),3))*(VLOOKUP($B$5,标准坦克设计!$B$14:$K$20,9)/30))</f>
        <v>6.6613475987939408</v>
      </c>
      <c r="BT109" s="172">
        <f ca="1">(VLOOKUP(BT$72,INDIRECT($C$5&amp;"生成成长"),2))/((VLOOKUP($B109,INDIRECT($B$5&amp;"生成成长"),4))/(VLOOKUP(BT$72,INDIRECT($C$5&amp;"生成成长"),5))*(VLOOKUP($B$5,标准坦克设计!$B$24:$U$30,MATCH("对"&amp;LEFT($C$5,2)&amp;"输出",标准坦克设计!$B$23:$U$23,0)))*(VLOOKUP($B109,INDIRECT($B$5&amp;"生成成长"),3))*(VLOOKUP($B$5,标准坦克设计!$B$14:$K$20,9)/30))</f>
        <v>7.2116466021855938</v>
      </c>
      <c r="BU109" s="172">
        <f ca="1">(VLOOKUP(BU$72,INDIRECT($C$5&amp;"生成成长"),2))/((VLOOKUP($B109,INDIRECT($B$5&amp;"生成成长"),4))/(VLOOKUP(BU$72,INDIRECT($C$5&amp;"生成成长"),5))*(VLOOKUP($B$5,标准坦克设计!$B$24:$U$30,MATCH("对"&amp;LEFT($C$5,2)&amp;"输出",标准坦克设计!$B$23:$U$23,0)))*(VLOOKUP($B109,INDIRECT($B$5&amp;"生成成长"),3))*(VLOOKUP($B$5,标准坦克设计!$B$14:$K$20,9)/30))</f>
        <v>7.7837828676166012</v>
      </c>
      <c r="BV109" s="172">
        <f ca="1">(VLOOKUP(BV$72,INDIRECT($C$5&amp;"生成成长"),2))/((VLOOKUP($B109,INDIRECT($B$5&amp;"生成成长"),4))/(VLOOKUP(BV$72,INDIRECT($C$5&amp;"生成成长"),5))*(VLOOKUP($B$5,标准坦克设计!$B$24:$U$30,MATCH("对"&amp;LEFT($C$5,2)&amp;"输出",标准坦克设计!$B$23:$U$23,0)))*(VLOOKUP($B109,INDIRECT($B$5&amp;"生成成长"),3))*(VLOOKUP($B$5,标准坦克设计!$B$14:$K$20,9)/30))</f>
        <v>8.3777563950869585</v>
      </c>
      <c r="BW109" s="172">
        <f ca="1">(VLOOKUP(BW$72,INDIRECT($C$5&amp;"生成成长"),2))/((VLOOKUP($B109,INDIRECT($B$5&amp;"生成成长"),4))/(VLOOKUP(BW$72,INDIRECT($C$5&amp;"生成成长"),5))*(VLOOKUP($B$5,标准坦克设计!$B$24:$U$30,MATCH("对"&amp;LEFT($C$5,2)&amp;"输出",标准坦克设计!$B$23:$U$23,0)))*(VLOOKUP($B109,INDIRECT($B$5&amp;"生成成长"),3))*(VLOOKUP($B$5,标准坦克设计!$B$14:$K$20,9)/30))</f>
        <v>3.8181360812703908</v>
      </c>
      <c r="BX109" s="172">
        <f ca="1">(VLOOKUP(BX$72,INDIRECT($C$5&amp;"生成成长"),2))/((VLOOKUP($B109,INDIRECT($B$5&amp;"生成成长"),4))/(VLOOKUP(BX$72,INDIRECT($C$5&amp;"生成成长"),5))*(VLOOKUP($B$5,标准坦克设计!$B$24:$U$30,MATCH("对"&amp;LEFT($C$5,2)&amp;"输出",标准坦克设计!$B$23:$U$23,0)))*(VLOOKUP($B109,INDIRECT($B$5&amp;"生成成长"),3))*(VLOOKUP($B$5,标准坦克设计!$B$14:$K$20,9)/30))</f>
        <v>4.2374115124259371</v>
      </c>
      <c r="BY109" s="172">
        <f ca="1">(VLOOKUP(BY$72,INDIRECT($C$5&amp;"生成成长"),2))/((VLOOKUP($B109,INDIRECT($B$5&amp;"生成成长"),4))/(VLOOKUP(BY$72,INDIRECT($C$5&amp;"生成成长"),5))*(VLOOKUP($B$5,标准坦克设计!$B$24:$U$30,MATCH("对"&amp;LEFT($C$5,2)&amp;"输出",标准坦克设计!$B$23:$U$23,0)))*(VLOOKUP($B109,INDIRECT($B$5&amp;"生成成长"),3))*(VLOOKUP($B$5,标准坦克设计!$B$14:$K$20,9)/30))</f>
        <v>4.6785242056208354</v>
      </c>
      <c r="BZ109" s="172">
        <f ca="1">(VLOOKUP(BZ$72,INDIRECT($C$5&amp;"生成成长"),2))/((VLOOKUP($B109,INDIRECT($B$5&amp;"生成成长"),4))/(VLOOKUP(BZ$72,INDIRECT($C$5&amp;"生成成长"),5))*(VLOOKUP($B$5,标准坦克设计!$B$24:$U$30,MATCH("对"&amp;LEFT($C$5,2)&amp;"输出",标准坦克设计!$B$23:$U$23,0)))*(VLOOKUP($B109,INDIRECT($B$5&amp;"生成成长"),3))*(VLOOKUP($B$5,标准坦克设计!$B$14:$K$20,9)/30))</f>
        <v>5.1414741608550845</v>
      </c>
      <c r="CA109" s="172">
        <f ca="1">(VLOOKUP(CA$72,INDIRECT($C$5&amp;"生成成长"),2))/((VLOOKUP($B109,INDIRECT($B$5&amp;"生成成长"),4))/(VLOOKUP(CA$72,INDIRECT($C$5&amp;"生成成长"),5))*(VLOOKUP($B$5,标准坦克设计!$B$24:$U$30,MATCH("对"&amp;LEFT($C$5,2)&amp;"输出",标准坦克设计!$B$23:$U$23,0)))*(VLOOKUP($B109,INDIRECT($B$5&amp;"生成成长"),3))*(VLOOKUP($B$5,标准坦克设计!$B$14:$K$20,9)/30))</f>
        <v>5.6262613781286843</v>
      </c>
      <c r="CB109" s="172">
        <f ca="1">(VLOOKUP(CB$72,INDIRECT($C$5&amp;"生成成长"),2))/((VLOOKUP($B109,INDIRECT($B$5&amp;"生成成长"),4))/(VLOOKUP(CB$72,INDIRECT($C$5&amp;"生成成长"),5))*(VLOOKUP($B$5,标准坦克设计!$B$24:$U$30,MATCH("对"&amp;LEFT($C$5,2)&amp;"输出",标准坦克设计!$B$23:$U$23,0)))*(VLOOKUP($B109,INDIRECT($B$5&amp;"生成成长"),3))*(VLOOKUP($B$5,标准坦克设计!$B$14:$K$20,9)/30))</f>
        <v>6.1328858574416376</v>
      </c>
      <c r="CC109" s="172">
        <f ca="1">(VLOOKUP(CC$72,INDIRECT($C$5&amp;"生成成长"),2))/((VLOOKUP($B109,INDIRECT($B$5&amp;"生成成长"),4))/(VLOOKUP(CC$72,INDIRECT($C$5&amp;"生成成长"),5))*(VLOOKUP($B$5,标准坦克设计!$B$24:$U$30,MATCH("对"&amp;LEFT($C$5,2)&amp;"输出",标准坦克设计!$B$23:$U$23,0)))*(VLOOKUP($B109,INDIRECT($B$5&amp;"生成成长"),3))*(VLOOKUP($B$5,标准坦克设计!$B$14:$K$20,9)/30))</f>
        <v>6.6613475987939408</v>
      </c>
      <c r="CD109" s="172">
        <f ca="1">(VLOOKUP(CD$72,INDIRECT($C$5&amp;"生成成长"),2))/((VLOOKUP($B109,INDIRECT($B$5&amp;"生成成长"),4))/(VLOOKUP(CD$72,INDIRECT($C$5&amp;"生成成长"),5))*(VLOOKUP($B$5,标准坦克设计!$B$24:$U$30,MATCH("对"&amp;LEFT($C$5,2)&amp;"输出",标准坦克设计!$B$23:$U$23,0)))*(VLOOKUP($B109,INDIRECT($B$5&amp;"生成成长"),3))*(VLOOKUP($B$5,标准坦克设计!$B$14:$K$20,9)/30))</f>
        <v>7.2116466021855938</v>
      </c>
      <c r="CE109" s="172">
        <f ca="1">(VLOOKUP(CE$72,INDIRECT($C$5&amp;"生成成长"),2))/((VLOOKUP($B109,INDIRECT($B$5&amp;"生成成长"),4))/(VLOOKUP(CE$72,INDIRECT($C$5&amp;"生成成长"),5))*(VLOOKUP($B$5,标准坦克设计!$B$24:$U$30,MATCH("对"&amp;LEFT($C$5,2)&amp;"输出",标准坦克设计!$B$23:$U$23,0)))*(VLOOKUP($B109,INDIRECT($B$5&amp;"生成成长"),3))*(VLOOKUP($B$5,标准坦克设计!$B$14:$K$20,9)/30))</f>
        <v>7.7837828676166012</v>
      </c>
      <c r="CF109" s="172">
        <f ca="1">(VLOOKUP(CF$72,INDIRECT($C$5&amp;"生成成长"),2))/((VLOOKUP($B109,INDIRECT($B$5&amp;"生成成长"),4))/(VLOOKUP(CF$72,INDIRECT($C$5&amp;"生成成长"),5))*(VLOOKUP($B$5,标准坦克设计!$B$24:$U$30,MATCH("对"&amp;LEFT($C$5,2)&amp;"输出",标准坦克设计!$B$23:$U$23,0)))*(VLOOKUP($B109,INDIRECT($B$5&amp;"生成成长"),3))*(VLOOKUP($B$5,标准坦克设计!$B$14:$K$20,9)/30))</f>
        <v>8.3777563950869585</v>
      </c>
      <c r="CG109" s="172">
        <f ca="1">(VLOOKUP(CG$72,INDIRECT($C$5&amp;"生成成长"),2))/((VLOOKUP($B109,INDIRECT($B$5&amp;"生成成长"),4))/(VLOOKUP(CG$72,INDIRECT($C$5&amp;"生成成长"),5))*(VLOOKUP($B$5,标准坦克设计!$B$24:$U$30,MATCH("对"&amp;LEFT($C$5,2)&amp;"输出",标准坦克设计!$B$23:$U$23,0)))*(VLOOKUP($B109,INDIRECT($B$5&amp;"生成成长"),3))*(VLOOKUP($B$5,标准坦克设计!$B$14:$K$20,9)/30))</f>
        <v>8.9935671845966656</v>
      </c>
      <c r="CH109" s="172">
        <f ca="1">(VLOOKUP(CH$72,INDIRECT($C$5&amp;"生成成长"),2))/((VLOOKUP($B109,INDIRECT($B$5&amp;"生成成长"),4))/(VLOOKUP(CH$72,INDIRECT($C$5&amp;"生成成长"),5))*(VLOOKUP($B$5,标准坦克设计!$B$24:$U$30,MATCH("对"&amp;LEFT($C$5,2)&amp;"输出",标准坦克设计!$B$23:$U$23,0)))*(VLOOKUP($B109,INDIRECT($B$5&amp;"生成成长"),3))*(VLOOKUP($B$5,标准坦克设计!$B$14:$K$20,9)/30))</f>
        <v>9.6312152361457262</v>
      </c>
      <c r="CI109" s="172">
        <f ca="1">(VLOOKUP(CI$72,INDIRECT($C$5&amp;"生成成长"),2))/((VLOOKUP($B109,INDIRECT($B$5&amp;"生成成长"),4))/(VLOOKUP(CI$72,INDIRECT($C$5&amp;"生成成长"),5))*(VLOOKUP($B$5,标准坦克设计!$B$24:$U$30,MATCH("对"&amp;LEFT($C$5,2)&amp;"输出",标准坦克设计!$B$23:$U$23,0)))*(VLOOKUP($B109,INDIRECT($B$5&amp;"生成成长"),3))*(VLOOKUP($B$5,标准坦克设计!$B$14:$K$20,9)/30))</f>
        <v>10.357850130505144</v>
      </c>
      <c r="CJ109" s="172">
        <f ca="1">(VLOOKUP(CJ$72,INDIRECT($C$5&amp;"生成成长"),2))/((VLOOKUP($B109,INDIRECT($B$5&amp;"生成成长"),4))/(VLOOKUP(CJ$72,INDIRECT($C$5&amp;"生成成长"),5))*(VLOOKUP($B$5,标准坦克设计!$B$24:$U$30,MATCH("对"&amp;LEFT($C$5,2)&amp;"输出",标准坦克设计!$B$23:$U$23,0)))*(VLOOKUP($B109,INDIRECT($B$5&amp;"生成成长"),3))*(VLOOKUP($B$5,标准坦克设计!$B$14:$K$20,9)/30))</f>
        <v>11.110908111932178</v>
      </c>
      <c r="CK109" s="172">
        <f ca="1">(VLOOKUP(CK$72,INDIRECT($C$5&amp;"生成成长"),2))/((VLOOKUP($B109,INDIRECT($B$5&amp;"生成成长"),4))/(VLOOKUP(CK$72,INDIRECT($C$5&amp;"生成成长"),5))*(VLOOKUP($B$5,标准坦克设计!$B$24:$U$30,MATCH("对"&amp;LEFT($C$5,2)&amp;"输出",标准坦克设计!$B$23:$U$23,0)))*(VLOOKUP($B109,INDIRECT($B$5&amp;"生成成长"),3))*(VLOOKUP($B$5,标准坦克设计!$B$14:$K$20,9)/30))</f>
        <v>11.890389180426824</v>
      </c>
      <c r="CL109" s="172">
        <f ca="1">(VLOOKUP(CL$72,INDIRECT($C$5&amp;"生成成长"),2))/((VLOOKUP($B109,INDIRECT($B$5&amp;"生成成长"),4))/(VLOOKUP(CL$72,INDIRECT($C$5&amp;"生成成长"),5))*(VLOOKUP($B$5,标准坦克设计!$B$24:$U$30,MATCH("对"&amp;LEFT($C$5,2)&amp;"输出",标准坦克设计!$B$23:$U$23,0)))*(VLOOKUP($B109,INDIRECT($B$5&amp;"生成成长"),3))*(VLOOKUP($B$5,标准坦克设计!$B$14:$K$20,9)/30))</f>
        <v>12.696293335989086</v>
      </c>
      <c r="CM109" s="172">
        <f ca="1">(VLOOKUP(CM$72,INDIRECT($C$5&amp;"生成成长"),2))/((VLOOKUP($B109,INDIRECT($B$5&amp;"生成成长"),4))/(VLOOKUP(CM$72,INDIRECT($C$5&amp;"生成成长"),5))*(VLOOKUP($B$5,标准坦克设计!$B$24:$U$30,MATCH("对"&amp;LEFT($C$5,2)&amp;"输出",标准坦克设计!$B$23:$U$23,0)))*(VLOOKUP($B109,INDIRECT($B$5&amp;"生成成长"),3))*(VLOOKUP($B$5,标准坦克设计!$B$14:$K$20,9)/30))</f>
        <v>13.528620578618963</v>
      </c>
      <c r="CN109" s="172">
        <f ca="1">(VLOOKUP(CN$72,INDIRECT($C$5&amp;"生成成长"),2))/((VLOOKUP($B109,INDIRECT($B$5&amp;"生成成长"),4))/(VLOOKUP(CN$72,INDIRECT($C$5&amp;"生成成长"),5))*(VLOOKUP($B$5,标准坦克设计!$B$24:$U$30,MATCH("对"&amp;LEFT($C$5,2)&amp;"输出",标准坦克设计!$B$23:$U$23,0)))*(VLOOKUP($B109,INDIRECT($B$5&amp;"生成成长"),3))*(VLOOKUP($B$5,标准坦克设计!$B$14:$K$20,9)/30))</f>
        <v>14.387370908316457</v>
      </c>
      <c r="CO109" s="172">
        <f ca="1">(VLOOKUP(CO$72,INDIRECT($C$5&amp;"生成成长"),2))/((VLOOKUP($B109,INDIRECT($B$5&amp;"生成成长"),4))/(VLOOKUP(CO$72,INDIRECT($C$5&amp;"生成成长"),5))*(VLOOKUP($B$5,标准坦克设计!$B$24:$U$30,MATCH("对"&amp;LEFT($C$5,2)&amp;"输出",标准坦克设计!$B$23:$U$23,0)))*(VLOOKUP($B109,INDIRECT($B$5&amp;"生成成长"),3))*(VLOOKUP($B$5,标准坦克设计!$B$14:$K$20,9)/30))</f>
        <v>6.4473424308082956</v>
      </c>
      <c r="CP109" s="172">
        <f ca="1">(VLOOKUP(CP$72,INDIRECT($C$5&amp;"生成成长"),2))/((VLOOKUP($B109,INDIRECT($B$5&amp;"生成成长"),4))/(VLOOKUP(CP$72,INDIRECT($C$5&amp;"生成成长"),5))*(VLOOKUP($B$5,标准坦克设计!$B$24:$U$30,MATCH("对"&amp;LEFT($C$5,2)&amp;"输出",标准坦克设计!$B$23:$U$23,0)))*(VLOOKUP($B109,INDIRECT($B$5&amp;"生成成长"),3))*(VLOOKUP($B$5,标准坦克设计!$B$14:$K$20,9)/30))</f>
        <v>7.0442639886539657</v>
      </c>
      <c r="CQ109" s="172">
        <f ca="1">(VLOOKUP(CQ$72,INDIRECT($C$5&amp;"生成成长"),2))/((VLOOKUP($B109,INDIRECT($B$5&amp;"生成成长"),4))/(VLOOKUP(CQ$72,INDIRECT($C$5&amp;"生成成长"),5))*(VLOOKUP($B$5,标准坦克设计!$B$24:$U$30,MATCH("对"&amp;LEFT($C$5,2)&amp;"输出",标准坦克设计!$B$23:$U$23,0)))*(VLOOKUP($B109,INDIRECT($B$5&amp;"生成成长"),3))*(VLOOKUP($B$5,标准坦克设计!$B$14:$K$20,9)/30))</f>
        <v>7.6676086335672506</v>
      </c>
      <c r="CR109" s="172">
        <f ca="1">(VLOOKUP(CR$72,INDIRECT($C$5&amp;"生成成长"),2))/((VLOOKUP($B109,INDIRECT($B$5&amp;"生成成长"),4))/(VLOOKUP(CR$72,INDIRECT($C$5&amp;"生成成长"),5))*(VLOOKUP($B$5,标准坦克设计!$B$24:$U$30,MATCH("对"&amp;LEFT($C$5,2)&amp;"输出",标准坦克设计!$B$23:$U$23,0)))*(VLOOKUP($B109,INDIRECT($B$5&amp;"生成成长"),3))*(VLOOKUP($B$5,标准坦克设计!$B$14:$K$20,9)/30))</f>
        <v>8.3173763655481512</v>
      </c>
      <c r="CS109" s="172">
        <f ca="1">(VLOOKUP(CS$72,INDIRECT($C$5&amp;"生成成长"),2))/((VLOOKUP($B109,INDIRECT($B$5&amp;"生成成长"),4))/(VLOOKUP(CS$72,INDIRECT($C$5&amp;"生成成长"),5))*(VLOOKUP($B$5,标准坦克设计!$B$24:$U$30,MATCH("对"&amp;LEFT($C$5,2)&amp;"输出",标准坦克设计!$B$23:$U$23,0)))*(VLOOKUP($B109,INDIRECT($B$5&amp;"生成成长"),3))*(VLOOKUP($B$5,标准坦克设计!$B$14:$K$20,9)/30))</f>
        <v>8.9935671845966656</v>
      </c>
      <c r="CT109" s="172">
        <f ca="1">(VLOOKUP(CT$72,INDIRECT($C$5&amp;"生成成长"),2))/((VLOOKUP($B109,INDIRECT($B$5&amp;"生成成长"),4))/(VLOOKUP(CT$72,INDIRECT($C$5&amp;"生成成长"),5))*(VLOOKUP($B$5,标准坦克设计!$B$24:$U$30,MATCH("对"&amp;LEFT($C$5,2)&amp;"输出",标准坦克设计!$B$23:$U$23,0)))*(VLOOKUP($B109,INDIRECT($B$5&amp;"生成成长"),3))*(VLOOKUP($B$5,标准坦克设计!$B$14:$K$20,9)/30))</f>
        <v>9.6961810907127983</v>
      </c>
      <c r="CU109" s="172">
        <f ca="1">(VLOOKUP(CU$72,INDIRECT($C$5&amp;"生成成长"),2))/((VLOOKUP($B109,INDIRECT($B$5&amp;"生成成长"),4))/(VLOOKUP(CU$72,INDIRECT($C$5&amp;"生成成长"),5))*(VLOOKUP($B$5,标准坦克设计!$B$24:$U$30,MATCH("对"&amp;LEFT($C$5,2)&amp;"输出",标准坦克设计!$B$23:$U$23,0)))*(VLOOKUP($B109,INDIRECT($B$5&amp;"生成成长"),3))*(VLOOKUP($B$5,标准坦克设计!$B$14:$K$20,9)/30))</f>
        <v>10.425218083896542</v>
      </c>
      <c r="CV109" s="172">
        <f ca="1">(VLOOKUP(CV$72,INDIRECT($C$5&amp;"生成成长"),2))/((VLOOKUP($B109,INDIRECT($B$5&amp;"生成成长"),4))/(VLOOKUP(CV$72,INDIRECT($C$5&amp;"生成成长"),5))*(VLOOKUP($B$5,标准坦克设计!$B$24:$U$30,MATCH("对"&amp;LEFT($C$5,2)&amp;"输出",标准坦克设计!$B$23:$U$23,0)))*(VLOOKUP($B109,INDIRECT($B$5&amp;"生成成长"),3))*(VLOOKUP($B$5,标准坦克设计!$B$14:$K$20,9)/30))</f>
        <v>11.180678164147903</v>
      </c>
      <c r="CW109" s="172">
        <f ca="1">(VLOOKUP(CW$72,INDIRECT($C$5&amp;"生成成长"),2))/((VLOOKUP($B109,INDIRECT($B$5&amp;"生成成长"),4))/(VLOOKUP(CW$72,INDIRECT($C$5&amp;"生成成长"),5))*(VLOOKUP($B$5,标准坦克设计!$B$24:$U$30,MATCH("对"&amp;LEFT($C$5,2)&amp;"输出",标准坦克设计!$B$23:$U$23,0)))*(VLOOKUP($B109,INDIRECT($B$5&amp;"生成成长"),3))*(VLOOKUP($B$5,标准坦克设计!$B$14:$K$20,9)/30))</f>
        <v>11.96256133146688</v>
      </c>
      <c r="CX109" s="172">
        <f ca="1">(VLOOKUP(CX$72,INDIRECT($C$5&amp;"生成成长"),2))/((VLOOKUP($B109,INDIRECT($B$5&amp;"生成成长"),4))/(VLOOKUP(CX$72,INDIRECT($C$5&amp;"生成成长"),5))*(VLOOKUP($B$5,标准坦克设计!$B$24:$U$30,MATCH("对"&amp;LEFT($C$5,2)&amp;"输出",标准坦克设计!$B$23:$U$23,0)))*(VLOOKUP($B109,INDIRECT($B$5&amp;"生成成长"),3))*(VLOOKUP($B$5,标准坦克设计!$B$14:$K$20,9)/30))</f>
        <v>12.77086758585347</v>
      </c>
      <c r="CY109" s="172">
        <f ca="1">(VLOOKUP(CY$72,INDIRECT($C$5&amp;"生成成长"),2))/((VLOOKUP($B109,INDIRECT($B$5&amp;"生成成长"),4))/(VLOOKUP(CY$72,INDIRECT($C$5&amp;"生成成长"),5))*(VLOOKUP($B$5,标准坦克设计!$B$24:$U$30,MATCH("对"&amp;LEFT($C$5,2)&amp;"输出",标准坦克设计!$B$23:$U$23,0)))*(VLOOKUP($B109,INDIRECT($B$5&amp;"生成成长"),3))*(VLOOKUP($B$5,标准坦克设计!$B$14:$K$20,9)/30))</f>
        <v>13.605596927307676</v>
      </c>
      <c r="CZ109" s="172">
        <f ca="1">(VLOOKUP(CZ$72,INDIRECT($C$5&amp;"生成成长"),2))/((VLOOKUP($B109,INDIRECT($B$5&amp;"生成成长"),4))/(VLOOKUP(CZ$72,INDIRECT($C$5&amp;"生成成长"),5))*(VLOOKUP($B$5,标准坦克设计!$B$24:$U$30,MATCH("对"&amp;LEFT($C$5,2)&amp;"输出",标准坦克设计!$B$23:$U$23,0)))*(VLOOKUP($B109,INDIRECT($B$5&amp;"生成成长"),3))*(VLOOKUP($B$5,标准坦克设计!$B$14:$K$20,9)/30))</f>
        <v>14.466749355829498</v>
      </c>
      <c r="DA109" s="172">
        <f ca="1">(VLOOKUP(DA$72,INDIRECT($C$5&amp;"生成成长"),2))/((VLOOKUP($B109,INDIRECT($B$5&amp;"生成成长"),4))/(VLOOKUP(DA$72,INDIRECT($C$5&amp;"生成成长"),5))*(VLOOKUP($B$5,标准坦克设计!$B$24:$U$30,MATCH("对"&amp;LEFT($C$5,2)&amp;"输出",标准坦克设计!$B$23:$U$23,0)))*(VLOOKUP($B109,INDIRECT($B$5&amp;"生成成长"),3))*(VLOOKUP($B$5,标准坦克设计!$B$14:$K$20,9)/30))</f>
        <v>15.354324871418935</v>
      </c>
      <c r="DB109" s="172">
        <f ca="1">(VLOOKUP(DB$72,INDIRECT($C$5&amp;"生成成长"),2))/((VLOOKUP($B109,INDIRECT($B$5&amp;"生成成长"),4))/(VLOOKUP(DB$72,INDIRECT($C$5&amp;"生成成长"),5))*(VLOOKUP($B$5,标准坦克设计!$B$24:$U$30,MATCH("对"&amp;LEFT($C$5,2)&amp;"输出",标准坦克设计!$B$23:$U$23,0)))*(VLOOKUP($B109,INDIRECT($B$5&amp;"生成成长"),3))*(VLOOKUP($B$5,标准坦克设计!$B$14:$K$20,9)/30))</f>
        <v>16.268323474075988</v>
      </c>
      <c r="DC109" s="172">
        <f ca="1">(VLOOKUP(DC$72,INDIRECT($C$5&amp;"生成成长"),2))/((VLOOKUP($B109,INDIRECT($B$5&amp;"生成成长"),4))/(VLOOKUP(DC$72,INDIRECT($C$5&amp;"生成成长"),5))*(VLOOKUP($B$5,标准坦克设计!$B$24:$U$30,MATCH("对"&amp;LEFT($C$5,2)&amp;"输出",标准坦克设计!$B$23:$U$23,0)))*(VLOOKUP($B109,INDIRECT($B$5&amp;"生成成长"),3))*(VLOOKUP($B$5,标准坦克设计!$B$14:$K$20,9)/30))</f>
        <v>17.295548280407075</v>
      </c>
      <c r="DD109" s="172">
        <f ca="1">(VLOOKUP(DD$72,INDIRECT($C$5&amp;"生成成长"),2))/((VLOOKUP($B109,INDIRECT($B$5&amp;"生成成长"),4))/(VLOOKUP(DD$72,INDIRECT($C$5&amp;"生成成长"),5))*(VLOOKUP($B$5,标准坦克设计!$B$24:$U$30,MATCH("对"&amp;LEFT($C$5,2)&amp;"输出",标准坦克设计!$B$23:$U$23,0)))*(VLOOKUP($B109,INDIRECT($B$5&amp;"生成成长"),3))*(VLOOKUP($B$5,标准坦克设计!$B$14:$K$20,9)/30))</f>
        <v>18.354218744074828</v>
      </c>
      <c r="DE109" s="172">
        <f ca="1">(VLOOKUP(DE$72,INDIRECT($C$5&amp;"生成成长"),2))/((VLOOKUP($B109,INDIRECT($B$5&amp;"生成成长"),4))/(VLOOKUP(DE$72,INDIRECT($C$5&amp;"生成成长"),5))*(VLOOKUP($B$5,标准坦克设计!$B$24:$U$30,MATCH("对"&amp;LEFT($C$5,2)&amp;"输出",标准坦克设计!$B$23:$U$23,0)))*(VLOOKUP($B109,INDIRECT($B$5&amp;"生成成长"),3))*(VLOOKUP($B$5,标准坦克设计!$B$14:$K$20,9)/30))</f>
        <v>19.444334865079252</v>
      </c>
      <c r="DF109" s="172">
        <f ca="1">(VLOOKUP(DF$72,INDIRECT($C$5&amp;"生成成长"),2))/((VLOOKUP($B109,INDIRECT($B$5&amp;"生成成长"),4))/(VLOOKUP(DF$72,INDIRECT($C$5&amp;"生成成长"),5))*(VLOOKUP($B$5,标准坦克设计!$B$24:$U$30,MATCH("对"&amp;LEFT($C$5,2)&amp;"输出",标准坦克设计!$B$23:$U$23,0)))*(VLOOKUP($B109,INDIRECT($B$5&amp;"生成成长"),3))*(VLOOKUP($B$5,标准坦克设计!$B$14:$K$20,9)/30))</f>
        <v>20.565896643420338</v>
      </c>
      <c r="DG109" s="172">
        <f ca="1">(VLOOKUP(DG$72,INDIRECT($C$5&amp;"生成成长"),2))/((VLOOKUP($B109,INDIRECT($B$5&amp;"生成成长"),4))/(VLOOKUP(DG$72,INDIRECT($C$5&amp;"生成成长"),5))*(VLOOKUP($B$5,标准坦克设计!$B$24:$U$30,MATCH("对"&amp;LEFT($C$5,2)&amp;"输出",标准坦克设计!$B$23:$U$23,0)))*(VLOOKUP($B109,INDIRECT($B$5&amp;"生成成长"),3))*(VLOOKUP($B$5,标准坦克设计!$B$14:$K$20,9)/30))</f>
        <v>21.718904079098088</v>
      </c>
      <c r="DH109" s="172">
        <f ca="1">(VLOOKUP(DH$72,INDIRECT($C$5&amp;"生成成长"),2))/((VLOOKUP($B109,INDIRECT($B$5&amp;"生成成长"),4))/(VLOOKUP(DH$72,INDIRECT($C$5&amp;"生成成长"),5))*(VLOOKUP($B$5,标准坦克设计!$B$24:$U$30,MATCH("对"&amp;LEFT($C$5,2)&amp;"输出",标准坦克设计!$B$23:$U$23,0)))*(VLOOKUP($B109,INDIRECT($B$5&amp;"生成成长"),3))*(VLOOKUP($B$5,标准坦克设计!$B$14:$K$20,9)/30))</f>
        <v>22.903357172112507</v>
      </c>
      <c r="DI109" s="172">
        <f ca="1">(VLOOKUP(DI$72,INDIRECT($C$5&amp;"生成成长"),2))/((VLOOKUP($B109,INDIRECT($B$5&amp;"生成成长"),4))/(VLOOKUP(DI$72,INDIRECT($C$5&amp;"生成成长"),5))*(VLOOKUP($B$5,标准坦克设计!$B$24:$U$30,MATCH("对"&amp;LEFT($C$5,2)&amp;"输出",标准坦克设计!$B$23:$U$23,0)))*(VLOOKUP($B109,INDIRECT($B$5&amp;"生成成长"),3))*(VLOOKUP($B$5,标准坦克设计!$B$14:$K$20,9)/30))</f>
        <v>24.119255922463594</v>
      </c>
      <c r="DJ109" s="172">
        <f ca="1">(VLOOKUP(DJ$72,INDIRECT($C$5&amp;"生成成长"),2))/((VLOOKUP($B109,INDIRECT($B$5&amp;"生成成长"),4))/(VLOOKUP(DJ$72,INDIRECT($C$5&amp;"生成成长"),5))*(VLOOKUP($B$5,标准坦克设计!$B$24:$U$30,MATCH("对"&amp;LEFT($C$5,2)&amp;"输出",标准坦克设计!$B$23:$U$23,0)))*(VLOOKUP($B109,INDIRECT($B$5&amp;"生成成长"),3))*(VLOOKUP($B$5,标准坦克设计!$B$14:$K$20,9)/30))</f>
        <v>2.4240452726781996</v>
      </c>
      <c r="DK109" s="172">
        <f ca="1">(VLOOKUP(DK$72,INDIRECT($C$5&amp;"生成成长"),2))/((VLOOKUP($B109,INDIRECT($B$5&amp;"生成成长"),4))/(VLOOKUP(DK$72,INDIRECT($C$5&amp;"生成成长"),5))*(VLOOKUP($B$5,标准坦克设计!$B$24:$U$30,MATCH("对"&amp;LEFT($C$5,2)&amp;"输出",标准坦克设计!$B$23:$U$23,0)))*(VLOOKUP($B109,INDIRECT($B$5&amp;"生成成长"),3))*(VLOOKUP($B$5,标准坦克设计!$B$14:$K$20,9)/30))</f>
        <v>2.7257270477518389</v>
      </c>
      <c r="DL109" s="172">
        <f ca="1">(VLOOKUP(DL$72,INDIRECT($C$5&amp;"生成成长"),2))/((VLOOKUP($B109,INDIRECT($B$5&amp;"生成成长"),4))/(VLOOKUP(DL$72,INDIRECT($C$5&amp;"生成成长"),5))*(VLOOKUP($B$5,标准坦克设计!$B$24:$U$30,MATCH("对"&amp;LEFT($C$5,2)&amp;"输出",标准坦克设计!$B$23:$U$23,0)))*(VLOOKUP($B109,INDIRECT($B$5&amp;"生成成长"),3))*(VLOOKUP($B$5,标准坦克设计!$B$14:$K$20,9)/30))</f>
        <v>3.0450970050773529</v>
      </c>
      <c r="DM109" s="172">
        <f ca="1">(VLOOKUP(DM$72,INDIRECT($C$5&amp;"生成成长"),2))/((VLOOKUP($B109,INDIRECT($B$5&amp;"生成成长"),4))/(VLOOKUP(DM$72,INDIRECT($C$5&amp;"生成成长"),5))*(VLOOKUP($B$5,标准坦克设计!$B$24:$U$30,MATCH("对"&amp;LEFT($C$5,2)&amp;"输出",标准坦克设计!$B$23:$U$23,0)))*(VLOOKUP($B109,INDIRECT($B$5&amp;"生成成长"),3))*(VLOOKUP($B$5,标准坦克设计!$B$14:$K$20,9)/30))</f>
        <v>3.3821551446547407</v>
      </c>
      <c r="DN109" s="172">
        <f ca="1">(VLOOKUP(DN$72,INDIRECT($C$5&amp;"生成成长"),2))/((VLOOKUP($B109,INDIRECT($B$5&amp;"生成成长"),4))/(VLOOKUP(DN$72,INDIRECT($C$5&amp;"生成成长"),5))*(VLOOKUP($B$5,标准坦克设计!$B$24:$U$30,MATCH("对"&amp;LEFT($C$5,2)&amp;"输出",标准坦克设计!$B$23:$U$23,0)))*(VLOOKUP($B109,INDIRECT($B$5&amp;"生成成长"),3))*(VLOOKUP($B$5,标准坦克设计!$B$14:$K$20,9)/30))</f>
        <v>3.7369014664840035</v>
      </c>
      <c r="DO109" s="172">
        <f ca="1">(VLOOKUP(DO$72,INDIRECT($C$5&amp;"生成成长"),2))/((VLOOKUP($B109,INDIRECT($B$5&amp;"生成成长"),4))/(VLOOKUP(DO$72,INDIRECT($C$5&amp;"生成成长"),5))*(VLOOKUP($B$5,标准坦克设计!$B$24:$U$30,MATCH("对"&amp;LEFT($C$5,2)&amp;"输出",标准坦克设计!$B$23:$U$23,0)))*(VLOOKUP($B109,INDIRECT($B$5&amp;"生成成长"),3))*(VLOOKUP($B$5,标准坦克设计!$B$14:$K$20,9)/30))</f>
        <v>4.1093359705651418</v>
      </c>
      <c r="DP109" s="172">
        <f ca="1">(VLOOKUP(DP$72,INDIRECT($C$5&amp;"生成成长"),2))/((VLOOKUP($B109,INDIRECT($B$5&amp;"生成成长"),4))/(VLOOKUP(DP$72,INDIRECT($C$5&amp;"生成成长"),5))*(VLOOKUP($B$5,标准坦克设计!$B$24:$U$30,MATCH("对"&amp;LEFT($C$5,2)&amp;"输出",标准坦克设计!$B$23:$U$23,0)))*(VLOOKUP($B109,INDIRECT($B$5&amp;"生成成长"),3))*(VLOOKUP($B$5,标准坦克设计!$B$14:$K$20,9)/30))</f>
        <v>4.4994586568981534</v>
      </c>
      <c r="DQ109" s="172">
        <f ca="1">(VLOOKUP(DQ$72,INDIRECT($C$5&amp;"生成成长"),2))/((VLOOKUP($B109,INDIRECT($B$5&amp;"生成成长"),4))/(VLOOKUP(DQ$72,INDIRECT($C$5&amp;"生成成长"),5))*(VLOOKUP($B$5,标准坦克设计!$B$24:$U$30,MATCH("对"&amp;LEFT($C$5,2)&amp;"输出",标准坦克设计!$B$23:$U$23,0)))*(VLOOKUP($B109,INDIRECT($B$5&amp;"生成成长"),3))*(VLOOKUP($B$5,标准坦克设计!$B$14:$K$20,9)/30))</f>
        <v>4.9072695254830405</v>
      </c>
      <c r="DR109" s="172">
        <f ca="1">(VLOOKUP(DR$72,INDIRECT($C$5&amp;"生成成长"),2))/((VLOOKUP($B109,INDIRECT($B$5&amp;"生成成长"),4))/(VLOOKUP(DR$72,INDIRECT($C$5&amp;"生成成长"),5))*(VLOOKUP($B$5,标准坦克设计!$B$24:$U$30,MATCH("对"&amp;LEFT($C$5,2)&amp;"输出",标准坦克设计!$B$23:$U$23,0)))*(VLOOKUP($B109,INDIRECT($B$5&amp;"生成成长"),3))*(VLOOKUP($B$5,标准坦克设计!$B$14:$K$20,9)/30))</f>
        <v>5.3327685763198014</v>
      </c>
      <c r="DS109" s="172">
        <f ca="1">(VLOOKUP(DS$72,INDIRECT($C$5&amp;"生成成长"),2))/((VLOOKUP($B109,INDIRECT($B$5&amp;"生成成长"),4))/(VLOOKUP(DS$72,INDIRECT($C$5&amp;"生成成长"),5))*(VLOOKUP($B$5,标准坦克设计!$B$24:$U$30,MATCH("对"&amp;LEFT($C$5,2)&amp;"输出",标准坦克设计!$B$23:$U$23,0)))*(VLOOKUP($B109,INDIRECT($B$5&amp;"生成成长"),3))*(VLOOKUP($B$5,标准坦克设计!$B$14:$K$20,9)/30))</f>
        <v>5.7759558094084378</v>
      </c>
      <c r="DT109" s="172">
        <f ca="1">(VLOOKUP(DT$72,INDIRECT($C$5&amp;"生成成长"),2))/((VLOOKUP($B109,INDIRECT($B$5&amp;"生成成长"),4))/(VLOOKUP(DT$72,INDIRECT($C$5&amp;"生成成长"),5))*(VLOOKUP($B$5,标准坦克设计!$B$24:$U$30,MATCH("对"&amp;LEFT($C$5,2)&amp;"输出",标准坦克设计!$B$23:$U$23,0)))*(VLOOKUP($B109,INDIRECT($B$5&amp;"生成成长"),3))*(VLOOKUP($B$5,标准坦克设计!$B$14:$K$20,9)/30))</f>
        <v>6.3416500825378357</v>
      </c>
      <c r="DU109" s="172">
        <f ca="1">(VLOOKUP(DU$72,INDIRECT($C$5&amp;"生成成长"),2))/((VLOOKUP($B109,INDIRECT($B$5&amp;"生成成长"),4))/(VLOOKUP(DU$72,INDIRECT($C$5&amp;"生成成长"),5))*(VLOOKUP($B$5,标准坦克设计!$B$24:$U$30,MATCH("对"&amp;LEFT($C$5,2)&amp;"输出",标准坦克设计!$B$23:$U$23,0)))*(VLOOKUP($B109,INDIRECT($B$5&amp;"生成成长"),3))*(VLOOKUP($B$5,标准坦克设计!$B$14:$K$20,9)/30))</f>
        <v>6.9337674427348475</v>
      </c>
      <c r="DV109" s="172">
        <f ca="1">(VLOOKUP(DV$72,INDIRECT($C$5&amp;"生成成长"),2))/((VLOOKUP($B109,INDIRECT($B$5&amp;"生成成长"),4))/(VLOOKUP(DV$72,INDIRECT($C$5&amp;"生成成长"),5))*(VLOOKUP($B$5,标准坦克设计!$B$24:$U$30,MATCH("对"&amp;LEFT($C$5,2)&amp;"输出",标准坦克设计!$B$23:$U$23,0)))*(VLOOKUP($B109,INDIRECT($B$5&amp;"生成成长"),3))*(VLOOKUP($B$5,标准坦克设计!$B$14:$K$20,9)/30))</f>
        <v>7.5523078899994749</v>
      </c>
      <c r="DW109" s="172">
        <f ca="1">(VLOOKUP(DW$72,INDIRECT($C$5&amp;"生成成长"),2))/((VLOOKUP($B109,INDIRECT($B$5&amp;"生成成长"),4))/(VLOOKUP(DW$72,INDIRECT($C$5&amp;"生成成长"),5))*(VLOOKUP($B$5,标准坦克设计!$B$24:$U$30,MATCH("对"&amp;LEFT($C$5,2)&amp;"输出",标准坦克设计!$B$23:$U$23,0)))*(VLOOKUP($B109,INDIRECT($B$5&amp;"生成成长"),3))*(VLOOKUP($B$5,标准坦克设计!$B$14:$K$20,9)/30))</f>
        <v>8.1972714243317188</v>
      </c>
      <c r="DX109" s="172">
        <f ca="1">(VLOOKUP(DX$72,INDIRECT($C$5&amp;"生成成长"),2))/((VLOOKUP($B109,INDIRECT($B$5&amp;"生成成长"),4))/(VLOOKUP(DX$72,INDIRECT($C$5&amp;"生成成长"),5))*(VLOOKUP($B$5,标准坦克设计!$B$24:$U$30,MATCH("对"&amp;LEFT($C$5,2)&amp;"输出",标准坦克设计!$B$23:$U$23,0)))*(VLOOKUP($B109,INDIRECT($B$5&amp;"生成成长"),3))*(VLOOKUP($B$5,标准坦克设计!$B$14:$K$20,9)/30))</f>
        <v>8.8686580457315785</v>
      </c>
      <c r="DY109" s="172">
        <f ca="1">(VLOOKUP(DY$72,INDIRECT($C$5&amp;"生成成长"),2))/((VLOOKUP($B109,INDIRECT($B$5&amp;"生成成长"),4))/(VLOOKUP(DY$72,INDIRECT($C$5&amp;"生成成长"),5))*(VLOOKUP($B$5,标准坦克设计!$B$24:$U$30,MATCH("对"&amp;LEFT($C$5,2)&amp;"输出",标准坦克设计!$B$23:$U$23,0)))*(VLOOKUP($B109,INDIRECT($B$5&amp;"生成成长"),3))*(VLOOKUP($B$5,标准坦克设计!$B$14:$K$20,9)/30))</f>
        <v>3.9832257822878878</v>
      </c>
      <c r="DZ109" s="172">
        <f ca="1">(VLOOKUP(DZ$72,INDIRECT($C$5&amp;"生成成长"),2))/((VLOOKUP($B109,INDIRECT($B$5&amp;"生成成长"),4))/(VLOOKUP(DZ$72,INDIRECT($C$5&amp;"生成成长"),5))*(VLOOKUP($B$5,标准坦克设计!$B$24:$U$30,MATCH("对"&amp;LEFT($C$5,2)&amp;"输出",标准坦克设计!$B$23:$U$23,0)))*(VLOOKUP($B109,INDIRECT($B$5&amp;"生成成长"),3))*(VLOOKUP($B$5,标准坦克设计!$B$14:$K$20,9)/30))</f>
        <v>4.4112361182591746</v>
      </c>
      <c r="EA109" s="172">
        <f ca="1">(VLOOKUP(EA$72,INDIRECT($C$5&amp;"生成成长"),2))/((VLOOKUP($B109,INDIRECT($B$5&amp;"生成成长"),4))/(VLOOKUP(EA$72,INDIRECT($C$5&amp;"生成成长"),5))*(VLOOKUP($B$5,标准坦克设计!$B$24:$U$30,MATCH("对"&amp;LEFT($C$5,2)&amp;"输出",标准坦克设计!$B$23:$U$23,0)))*(VLOOKUP($B109,INDIRECT($B$5&amp;"生成成长"),3))*(VLOOKUP($B$5,标准坦克设计!$B$14:$K$20,9)/30))</f>
        <v>4.8610837162698131</v>
      </c>
      <c r="EB109" s="172">
        <f ca="1">(VLOOKUP(EB$72,INDIRECT($C$5&amp;"生成成长"),2))/((VLOOKUP($B109,INDIRECT($B$5&amp;"生成成长"),4))/(VLOOKUP(EB$72,INDIRECT($C$5&amp;"生成成长"),5))*(VLOOKUP($B$5,标准坦克设计!$B$24:$U$30,MATCH("对"&amp;LEFT($C$5,2)&amp;"输出",标准坦克设计!$B$23:$U$23,0)))*(VLOOKUP($B109,INDIRECT($B$5&amp;"生成成长"),3))*(VLOOKUP($B$5,标准坦克设计!$B$14:$K$20,9)/30))</f>
        <v>5.3327685763198014</v>
      </c>
      <c r="EC109" s="172">
        <f ca="1">(VLOOKUP(EC$72,INDIRECT($C$5&amp;"生成成长"),2))/((VLOOKUP($B109,INDIRECT($B$5&amp;"生成成长"),4))/(VLOOKUP(EC$72,INDIRECT($C$5&amp;"生成成长"),5))*(VLOOKUP($B$5,标准坦克设计!$B$24:$U$30,MATCH("对"&amp;LEFT($C$5,2)&amp;"输出",标准坦克设计!$B$23:$U$23,0)))*(VLOOKUP($B109,INDIRECT($B$5&amp;"生成成长"),3))*(VLOOKUP($B$5,标准坦克设计!$B$14:$K$20,9)/30))</f>
        <v>5.826290698409144</v>
      </c>
      <c r="ED109" s="172">
        <f ca="1">(VLOOKUP(ED$72,INDIRECT($C$5&amp;"生成成长"),2))/((VLOOKUP($B109,INDIRECT($B$5&amp;"生成成长"),4))/(VLOOKUP(ED$72,INDIRECT($C$5&amp;"生成成长"),5))*(VLOOKUP($B$5,标准坦克设计!$B$24:$U$30,MATCH("对"&amp;LEFT($C$5,2)&amp;"输出",标准坦克设计!$B$23:$U$23,0)))*(VLOOKUP($B109,INDIRECT($B$5&amp;"生成成长"),3))*(VLOOKUP($B$5,标准坦克设计!$B$14:$K$20,9)/30))</f>
        <v>6.3416500825378357</v>
      </c>
      <c r="EE109" s="172">
        <f ca="1">(VLOOKUP(EE$72,INDIRECT($C$5&amp;"生成成长"),2))/((VLOOKUP($B109,INDIRECT($B$5&amp;"生成成长"),4))/(VLOOKUP(EE$72,INDIRECT($C$5&amp;"生成成长"),5))*(VLOOKUP($B$5,标准坦克设计!$B$24:$U$30,MATCH("对"&amp;LEFT($C$5,2)&amp;"输出",标准坦克设计!$B$23:$U$23,0)))*(VLOOKUP($B109,INDIRECT($B$5&amp;"生成成长"),3))*(VLOOKUP($B$5,标准坦克设计!$B$14:$K$20,9)/30))</f>
        <v>6.8788467287058799</v>
      </c>
      <c r="EF109" s="172">
        <f ca="1">(VLOOKUP(EF$72,INDIRECT($C$5&amp;"生成成长"),2))/((VLOOKUP($B109,INDIRECT($B$5&amp;"生成成长"),4))/(VLOOKUP(EF$72,INDIRECT($C$5&amp;"生成成长"),5))*(VLOOKUP($B$5,标准坦克设计!$B$24:$U$30,MATCH("对"&amp;LEFT($C$5,2)&amp;"输出",标准坦克设计!$B$23:$U$23,0)))*(VLOOKUP($B109,INDIRECT($B$5&amp;"生成成长"),3))*(VLOOKUP($B$5,标准坦克设计!$B$14:$K$20,9)/30))</f>
        <v>7.4378806369132739</v>
      </c>
      <c r="EG109" s="172">
        <f ca="1">(VLOOKUP(EG$72,INDIRECT($C$5&amp;"生成成长"),2))/((VLOOKUP($B109,INDIRECT($B$5&amp;"生成成长"),4))/(VLOOKUP(EG$72,INDIRECT($C$5&amp;"生成成长"),5))*(VLOOKUP($B$5,标准坦克设计!$B$24:$U$30,MATCH("对"&amp;LEFT($C$5,2)&amp;"输出",标准坦克设计!$B$23:$U$23,0)))*(VLOOKUP($B109,INDIRECT($B$5&amp;"生成成长"),3))*(VLOOKUP($B$5,标准坦克设计!$B$14:$K$20,9)/30))</f>
        <v>8.0187518071600223</v>
      </c>
      <c r="EH109" s="172">
        <f ca="1">(VLOOKUP(EH$72,INDIRECT($C$5&amp;"生成成长"),2))/((VLOOKUP($B109,INDIRECT($B$5&amp;"生成成长"),4))/(VLOOKUP(EH$72,INDIRECT($C$5&amp;"生成成长"),5))*(VLOOKUP($B$5,标准坦克设计!$B$24:$U$30,MATCH("对"&amp;LEFT($C$5,2)&amp;"输出",标准坦克设计!$B$23:$U$23,0)))*(VLOOKUP($B109,INDIRECT($B$5&amp;"生成成长"),3))*(VLOOKUP($B$5,标准坦克设计!$B$14:$K$20,9)/30))</f>
        <v>8.6214602394461188</v>
      </c>
      <c r="EI109" s="172">
        <f ca="1">(VLOOKUP(EI$72,INDIRECT($C$5&amp;"生成成长"),2))/((VLOOKUP($B109,INDIRECT($B$5&amp;"生成成长"),4))/(VLOOKUP(EI$72,INDIRECT($C$5&amp;"生成成长"),5))*(VLOOKUP($B$5,标准坦克设计!$B$24:$U$30,MATCH("对"&amp;LEFT($C$5,2)&amp;"输出",标准坦克设计!$B$23:$U$23,0)))*(VLOOKUP($B109,INDIRECT($B$5&amp;"生成成长"),3))*(VLOOKUP($B$5,标准坦克设计!$B$14:$K$20,9)/30))</f>
        <v>9.2460059337715688</v>
      </c>
      <c r="EJ109" s="172">
        <f ca="1">(VLOOKUP(EJ$72,INDIRECT($C$5&amp;"生成成长"),2))/((VLOOKUP($B109,INDIRECT($B$5&amp;"生成成长"),4))/(VLOOKUP(EJ$72,INDIRECT($C$5&amp;"生成成长"),5))*(VLOOKUP($B$5,标准坦克设计!$B$24:$U$30,MATCH("对"&amp;LEFT($C$5,2)&amp;"输出",标准坦克设计!$B$23:$U$23,0)))*(VLOOKUP($B109,INDIRECT($B$5&amp;"生成成长"),3))*(VLOOKUP($B$5,标准坦克设计!$B$14:$K$20,9)/30))</f>
        <v>9.8923888901363686</v>
      </c>
      <c r="EK109" s="172">
        <f ca="1">(VLOOKUP(EK$72,INDIRECT($C$5&amp;"生成成长"),2))/((VLOOKUP($B109,INDIRECT($B$5&amp;"生成成长"),4))/(VLOOKUP(EK$72,INDIRECT($C$5&amp;"生成成长"),5))*(VLOOKUP($B$5,标准坦克设计!$B$24:$U$30,MATCH("对"&amp;LEFT($C$5,2)&amp;"输出",标准坦克设计!$B$23:$U$23,0)))*(VLOOKUP($B109,INDIRECT($B$5&amp;"生成成长"),3))*(VLOOKUP($B$5,标准坦克设计!$B$14:$K$20,9)/30))</f>
        <v>10.696873623666074</v>
      </c>
      <c r="EL109" s="172">
        <f ca="1">(VLOOKUP(EL$72,INDIRECT($C$5&amp;"生成成长"),2))/((VLOOKUP($B109,INDIRECT($B$5&amp;"生成成长"),4))/(VLOOKUP(EL$72,INDIRECT($C$5&amp;"生成成长"),5))*(VLOOKUP($B$5,标准坦克设计!$B$24:$U$30,MATCH("对"&amp;LEFT($C$5,2)&amp;"输出",标准坦克设计!$B$23:$U$23,0)))*(VLOOKUP($B109,INDIRECT($B$5&amp;"生成成长"),3))*(VLOOKUP($B$5,标准坦克设计!$B$14:$K$20,9)/30))</f>
        <v>11.532804014532445</v>
      </c>
      <c r="EM109" s="172">
        <f ca="1">(VLOOKUP(EM$72,INDIRECT($C$5&amp;"生成成长"),2))/((VLOOKUP($B109,INDIRECT($B$5&amp;"生成成长"),4))/(VLOOKUP(EM$72,INDIRECT($C$5&amp;"生成成长"),5))*(VLOOKUP($B$5,标准坦克设计!$B$24:$U$30,MATCH("对"&amp;LEFT($C$5,2)&amp;"输出",标准坦克设计!$B$23:$U$23,0)))*(VLOOKUP($B109,INDIRECT($B$5&amp;"生成成长"),3))*(VLOOKUP($B$5,标准坦克设计!$B$14:$K$20,9)/30))</f>
        <v>12.400180062735481</v>
      </c>
      <c r="EN109" s="172">
        <f ca="1">(VLOOKUP(EN$72,INDIRECT($C$5&amp;"生成成长"),2))/((VLOOKUP($B109,INDIRECT($B$5&amp;"生成成长"),4))/(VLOOKUP(EN$72,INDIRECT($C$5&amp;"生成成长"),5))*(VLOOKUP($B$5,标准坦克设计!$B$24:$U$30,MATCH("对"&amp;LEFT($C$5,2)&amp;"输出",标准坦克设计!$B$23:$U$23,0)))*(VLOOKUP($B109,INDIRECT($B$5&amp;"生成成长"),3))*(VLOOKUP($B$5,标准坦克设计!$B$14:$K$20,9)/30))</f>
        <v>13.299001768275184</v>
      </c>
      <c r="EO109" s="172">
        <f ca="1">(VLOOKUP(EO$72,INDIRECT($C$5&amp;"生成成长"),2))/((VLOOKUP($B109,INDIRECT($B$5&amp;"生成成长"),4))/(VLOOKUP(EO$72,INDIRECT($C$5&amp;"生成成长"),5))*(VLOOKUP($B$5,标准坦克设计!$B$24:$U$30,MATCH("对"&amp;LEFT($C$5,2)&amp;"输出",标准坦克设计!$B$23:$U$23,0)))*(VLOOKUP($B109,INDIRECT($B$5&amp;"生成成长"),3))*(VLOOKUP($B$5,标准坦克设计!$B$14:$K$20,9)/30))</f>
        <v>14.229269131151552</v>
      </c>
      <c r="EP109" s="172">
        <f ca="1">(VLOOKUP(EP$72,INDIRECT($C$5&amp;"生成成长"),2))/((VLOOKUP($B109,INDIRECT($B$5&amp;"生成成长"),4))/(VLOOKUP(EP$72,INDIRECT($C$5&amp;"生成成长"),5))*(VLOOKUP($B$5,标准坦克设计!$B$24:$U$30,MATCH("对"&amp;LEFT($C$5,2)&amp;"输出",标准坦克设计!$B$23:$U$23,0)))*(VLOOKUP($B109,INDIRECT($B$5&amp;"生成成长"),3))*(VLOOKUP($B$5,标准坦克设计!$B$14:$K$20,9)/30))</f>
        <v>15.190982151364587</v>
      </c>
      <c r="EQ109" s="172">
        <f ca="1">(VLOOKUP(EQ$72,INDIRECT($C$5&amp;"生成成长"),2))/((VLOOKUP($B109,INDIRECT($B$5&amp;"生成成长"),4))/(VLOOKUP(EQ$72,INDIRECT($C$5&amp;"生成成长"),5))*(VLOOKUP($B$5,标准坦克设计!$B$24:$U$30,MATCH("对"&amp;LEFT($C$5,2)&amp;"输出",标准坦克设计!$B$23:$U$23,0)))*(VLOOKUP($B109,INDIRECT($B$5&amp;"生成成长"),3))*(VLOOKUP($B$5,标准坦克设计!$B$14:$K$20,9)/30))</f>
        <v>6.7153948223413336</v>
      </c>
      <c r="ER109" s="172">
        <f ca="1">(VLOOKUP(ER$72,INDIRECT($C$5&amp;"生成成长"),2))/((VLOOKUP($B109,INDIRECT($B$5&amp;"生成成长"),4))/(VLOOKUP(ER$72,INDIRECT($C$5&amp;"生成成长"),5))*(VLOOKUP($B$5,标准坦克设计!$B$24:$U$30,MATCH("对"&amp;LEFT($C$5,2)&amp;"输出",标准坦克设计!$B$23:$U$23,0)))*(VLOOKUP($B109,INDIRECT($B$5&amp;"生成成长"),3))*(VLOOKUP($B$5,标准坦克设计!$B$14:$K$20,9)/30))</f>
        <v>7.3243268743086478</v>
      </c>
      <c r="ES109" s="172">
        <f ca="1">(VLOOKUP(ES$72,INDIRECT($C$5&amp;"生成成长"),2))/((VLOOKUP($B109,INDIRECT($B$5&amp;"生成成长"),4))/(VLOOKUP(ES$72,INDIRECT($C$5&amp;"生成成长"),5))*(VLOOKUP($B$5,标准坦克设计!$B$24:$U$30,MATCH("对"&amp;LEFT($C$5,2)&amp;"输出",标准坦克设计!$B$23:$U$23,0)))*(VLOOKUP($B109,INDIRECT($B$5&amp;"生成成长"),3))*(VLOOKUP($B$5,标准坦克设计!$B$14:$K$20,9)/30))</f>
        <v>7.9596820133435742</v>
      </c>
      <c r="ET109" s="172">
        <f ca="1">(VLOOKUP(ET$72,INDIRECT($C$5&amp;"生成成长"),2))/((VLOOKUP($B109,INDIRECT($B$5&amp;"生成成长"),4))/(VLOOKUP(ET$72,INDIRECT($C$5&amp;"生成成长"),5))*(VLOOKUP($B$5,标准坦克设计!$B$24:$U$30,MATCH("对"&amp;LEFT($C$5,2)&amp;"输出",标准坦克设计!$B$23:$U$23,0)))*(VLOOKUP($B109,INDIRECT($B$5&amp;"生成成长"),3))*(VLOOKUP($B$5,标准坦克设计!$B$14:$K$20,9)/30))</f>
        <v>8.6214602394461188</v>
      </c>
      <c r="EU109" s="172">
        <f ca="1">(VLOOKUP(EU$72,INDIRECT($C$5&amp;"生成成长"),2))/((VLOOKUP($B109,INDIRECT($B$5&amp;"生成成长"),4))/(VLOOKUP(EU$72,INDIRECT($C$5&amp;"生成成长"),5))*(VLOOKUP($B$5,标准坦克设计!$B$24:$U$30,MATCH("对"&amp;LEFT($C$5,2)&amp;"输出",标准坦克设计!$B$23:$U$23,0)))*(VLOOKUP($B109,INDIRECT($B$5&amp;"生成成长"),3))*(VLOOKUP($B$5,标准坦克设计!$B$14:$K$20,9)/30))</f>
        <v>9.3096615526162783</v>
      </c>
      <c r="EV109" s="172">
        <f ca="1">(VLOOKUP(EV$72,INDIRECT($C$5&amp;"生成成长"),2))/((VLOOKUP($B109,INDIRECT($B$5&amp;"生成成长"),4))/(VLOOKUP(EV$72,INDIRECT($C$5&amp;"生成成长"),5))*(VLOOKUP($B$5,标准坦克设计!$B$24:$U$30,MATCH("对"&amp;LEFT($C$5,2)&amp;"输出",标准坦克设计!$B$23:$U$23,0)))*(VLOOKUP($B109,INDIRECT($B$5&amp;"生成成长"),3))*(VLOOKUP($B$5,标准坦克设计!$B$14:$K$20,9)/30))</f>
        <v>10.024285952854051</v>
      </c>
      <c r="EW109" s="172">
        <f ca="1">(VLOOKUP(EW$72,INDIRECT($C$5&amp;"生成成长"),2))/((VLOOKUP($B109,INDIRECT($B$5&amp;"生成成长"),4))/(VLOOKUP(EW$72,INDIRECT($C$5&amp;"生成成长"),5))*(VLOOKUP($B$5,标准坦克设计!$B$24:$U$30,MATCH("对"&amp;LEFT($C$5,2)&amp;"输出",标准坦克设计!$B$23:$U$23,0)))*(VLOOKUP($B109,INDIRECT($B$5&amp;"生成成长"),3))*(VLOOKUP($B$5,标准坦克设计!$B$14:$K$20,9)/30))</f>
        <v>10.76533344015944</v>
      </c>
      <c r="EX109" s="172">
        <f ca="1">(VLOOKUP(EX$72,INDIRECT($C$5&amp;"生成成长"),2))/((VLOOKUP($B109,INDIRECT($B$5&amp;"生成成长"),4))/(VLOOKUP(EX$72,INDIRECT($C$5&amp;"生成成长"),5))*(VLOOKUP($B$5,标准坦克设计!$B$24:$U$30,MATCH("对"&amp;LEFT($C$5,2)&amp;"输出",标准坦克设计!$B$23:$U$23,0)))*(VLOOKUP($B109,INDIRECT($B$5&amp;"生成成长"),3))*(VLOOKUP($B$5,标准坦克设计!$B$14:$K$20,9)/30))</f>
        <v>11.532804014532445</v>
      </c>
      <c r="EY109" s="172">
        <f ca="1">(VLOOKUP(EY$72,INDIRECT($C$5&amp;"生成成长"),2))/((VLOOKUP($B109,INDIRECT($B$5&amp;"生成成长"),4))/(VLOOKUP(EY$72,INDIRECT($C$5&amp;"生成成长"),5))*(VLOOKUP($B$5,标准坦克设计!$B$24:$U$30,MATCH("对"&amp;LEFT($C$5,2)&amp;"输出",标准坦克设计!$B$23:$U$23,0)))*(VLOOKUP($B109,INDIRECT($B$5&amp;"生成成长"),3))*(VLOOKUP($B$5,标准坦克设计!$B$14:$K$20,9)/30))</f>
        <v>12.326697675973064</v>
      </c>
      <c r="EZ109" s="172">
        <f ca="1">(VLOOKUP(EZ$72,INDIRECT($C$5&amp;"生成成长"),2))/((VLOOKUP($B109,INDIRECT($B$5&amp;"生成成长"),4))/(VLOOKUP(EZ$72,INDIRECT($C$5&amp;"生成成长"),5))*(VLOOKUP($B$5,标准坦克设计!$B$24:$U$30,MATCH("对"&amp;LEFT($C$5,2)&amp;"输出",标准坦克设计!$B$23:$U$23,0)))*(VLOOKUP($B109,INDIRECT($B$5&amp;"生成成长"),3))*(VLOOKUP($B$5,标准坦克设计!$B$14:$K$20,9)/30))</f>
        <v>13.147014424481297</v>
      </c>
      <c r="FA109" s="172">
        <f ca="1">(VLOOKUP(FA$72,INDIRECT($C$5&amp;"生成成长"),2))/((VLOOKUP($B109,INDIRECT($B$5&amp;"生成成长"),4))/(VLOOKUP(FA$72,INDIRECT($C$5&amp;"生成成长"),5))*(VLOOKUP($B$5,标准坦克设计!$B$24:$U$30,MATCH("对"&amp;LEFT($C$5,2)&amp;"输出",标准坦克设计!$B$23:$U$23,0)))*(VLOOKUP($B109,INDIRECT($B$5&amp;"生成成长"),3))*(VLOOKUP($B$5,标准坦克设计!$B$14:$K$20,9)/30))</f>
        <v>13.993754260057147</v>
      </c>
      <c r="FB109" s="172">
        <f ca="1">(VLOOKUP(FB$72,INDIRECT($C$5&amp;"生成成长"),2))/((VLOOKUP($B109,INDIRECT($B$5&amp;"生成成长"),4))/(VLOOKUP(FB$72,INDIRECT($C$5&amp;"生成成长"),5))*(VLOOKUP($B$5,标准坦克设计!$B$24:$U$30,MATCH("对"&amp;LEFT($C$5,2)&amp;"输出",标准坦克设计!$B$23:$U$23,0)))*(VLOOKUP($B109,INDIRECT($B$5&amp;"生成成长"),3))*(VLOOKUP($B$5,标准坦克设计!$B$14:$K$20,9)/30))</f>
        <v>14.866917182700611</v>
      </c>
      <c r="FC109" s="172">
        <f ca="1">(VLOOKUP(FC$72,INDIRECT($C$5&amp;"生成成长"),2))/((VLOOKUP($B109,INDIRECT($B$5&amp;"生成成长"),4))/(VLOOKUP(FC$72,INDIRECT($C$5&amp;"生成成长"),5))*(VLOOKUP($B$5,标准坦克设计!$B$24:$U$30,MATCH("对"&amp;LEFT($C$5,2)&amp;"输出",标准坦克设计!$B$23:$U$23,0)))*(VLOOKUP($B109,INDIRECT($B$5&amp;"生成成长"),3))*(VLOOKUP($B$5,标准坦克设计!$B$14:$K$20,9)/30))</f>
        <v>15.766503192411694</v>
      </c>
      <c r="FD109" s="172">
        <f ca="1">(VLOOKUP(FD$72,INDIRECT($C$5&amp;"生成成长"),2))/((VLOOKUP($B109,INDIRECT($B$5&amp;"生成成长"),4))/(VLOOKUP(FD$72,INDIRECT($C$5&amp;"生成成长"),5))*(VLOOKUP($B$5,标准坦克设计!$B$24:$U$30,MATCH("对"&amp;LEFT($C$5,2)&amp;"输出",标准坦克设计!$B$23:$U$23,0)))*(VLOOKUP($B109,INDIRECT($B$5&amp;"生成成长"),3))*(VLOOKUP($B$5,标准坦克设计!$B$14:$K$20,9)/30))</f>
        <v>16.692512289190386</v>
      </c>
      <c r="FE109" s="172">
        <f ca="1">(VLOOKUP(FE$72,INDIRECT($C$5&amp;"生成成长"),2))/((VLOOKUP($B109,INDIRECT($B$5&amp;"生成成长"),4))/(VLOOKUP(FE$72,INDIRECT($C$5&amp;"生成成长"),5))*(VLOOKUP($B$5,标准坦克设计!$B$24:$U$30,MATCH("对"&amp;LEFT($C$5,2)&amp;"输出",标准坦克设计!$B$23:$U$23,0)))*(VLOOKUP($B109,INDIRECT($B$5&amp;"生成成长"),3))*(VLOOKUP($B$5,标准坦克设计!$B$14:$K$20,9)/30))</f>
        <v>17.820952805073873</v>
      </c>
      <c r="FF109" s="172">
        <f ca="1">(VLOOKUP(FF$72,INDIRECT($C$5&amp;"生成成长"),2))/((VLOOKUP($B109,INDIRECT($B$5&amp;"生成成长"),4))/(VLOOKUP(FF$72,INDIRECT($C$5&amp;"生成成长"),5))*(VLOOKUP($B$5,标准坦克设计!$B$24:$U$30,MATCH("对"&amp;LEFT($C$5,2)&amp;"输出",标准坦克设计!$B$23:$U$23,0)))*(VLOOKUP($B109,INDIRECT($B$5&amp;"生成成长"),3))*(VLOOKUP($B$5,标准坦克设计!$B$14:$K$20,9)/30))</f>
        <v>18.986298293803856</v>
      </c>
      <c r="FG109" s="172">
        <f ca="1">(VLOOKUP(FG$72,INDIRECT($C$5&amp;"生成成长"),2))/((VLOOKUP($B109,INDIRECT($B$5&amp;"生成成长"),4))/(VLOOKUP(FG$72,INDIRECT($C$5&amp;"生成成长"),5))*(VLOOKUP($B$5,标准坦克设计!$B$24:$U$30,MATCH("对"&amp;LEFT($C$5,2)&amp;"输出",标准坦克设计!$B$23:$U$23,0)))*(VLOOKUP($B109,INDIRECT($B$5&amp;"生成成长"),3))*(VLOOKUP($B$5,标准坦克设计!$B$14:$K$20,9)/30))</f>
        <v>20.188548755380346</v>
      </c>
      <c r="FH109" s="172">
        <f ca="1">(VLOOKUP(FH$72,INDIRECT($C$5&amp;"生成成长"),2))/((VLOOKUP($B109,INDIRECT($B$5&amp;"生成成长"),4))/(VLOOKUP(FH$72,INDIRECT($C$5&amp;"生成成长"),5))*(VLOOKUP($B$5,标准坦克设计!$B$24:$U$30,MATCH("对"&amp;LEFT($C$5,2)&amp;"输出",标准坦克设计!$B$23:$U$23,0)))*(VLOOKUP($B109,INDIRECT($B$5&amp;"生成成长"),3))*(VLOOKUP($B$5,标准坦克设计!$B$14:$K$20,9)/30))</f>
        <v>21.427704189803343</v>
      </c>
      <c r="FI109" s="172">
        <f ca="1">(VLOOKUP(FI$72,INDIRECT($C$5&amp;"生成成长"),2))/((VLOOKUP($B109,INDIRECT($B$5&amp;"生成成长"),4))/(VLOOKUP(FI$72,INDIRECT($C$5&amp;"生成成长"),5))*(VLOOKUP($B$5,标准坦克设计!$B$24:$U$30,MATCH("对"&amp;LEFT($C$5,2)&amp;"输出",标准坦克设计!$B$23:$U$23,0)))*(VLOOKUP($B109,INDIRECT($B$5&amp;"生成成长"),3))*(VLOOKUP($B$5,标准坦克设计!$B$14:$K$20,9)/30))</f>
        <v>22.703764597072833</v>
      </c>
      <c r="FJ109" s="172">
        <f ca="1">(VLOOKUP(FJ$72,INDIRECT($C$5&amp;"生成成长"),2))/((VLOOKUP($B109,INDIRECT($B$5&amp;"生成成长"),4))/(VLOOKUP(FJ$72,INDIRECT($C$5&amp;"生成成长"),5))*(VLOOKUP($B$5,标准坦克设计!$B$24:$U$30,MATCH("对"&amp;LEFT($C$5,2)&amp;"输出",标准坦克设计!$B$23:$U$23,0)))*(VLOOKUP($B109,INDIRECT($B$5&amp;"生成成长"),3))*(VLOOKUP($B$5,标准坦克设计!$B$14:$K$20,9)/30))</f>
        <v>24.016729977188838</v>
      </c>
      <c r="FK109" s="172">
        <f ca="1">(VLOOKUP(FK$72,INDIRECT($C$5&amp;"生成成长"),2))/((VLOOKUP($B109,INDIRECT($B$5&amp;"生成成长"),4))/(VLOOKUP(FK$72,INDIRECT($C$5&amp;"生成成长"),5))*(VLOOKUP($B$5,标准坦克设计!$B$24:$U$30,MATCH("对"&amp;LEFT($C$5,2)&amp;"输出",标准坦克设计!$B$23:$U$23,0)))*(VLOOKUP($B109,INDIRECT($B$5&amp;"生成成长"),3))*(VLOOKUP($B$5,标准坦克设计!$B$14:$K$20,9)/30))</f>
        <v>25.366600330151343</v>
      </c>
    </row>
    <row r="110" spans="1:167" x14ac:dyDescent="0.15">
      <c r="A110" s="170" t="str">
        <f t="shared" si="11"/>
        <v>T5低品质6级</v>
      </c>
      <c r="B110" s="171">
        <v>10506</v>
      </c>
      <c r="C110" s="172">
        <f ca="1">(VLOOKUP(C$72,INDIRECT($C$5&amp;"生成成长"),2))/((VLOOKUP($B110,INDIRECT($B$5&amp;"生成成长"),4))/(VLOOKUP(C$72,INDIRECT($C$5&amp;"生成成长"),5))*(VLOOKUP($B$5,标准坦克设计!$B$24:$U$30,MATCH("对"&amp;LEFT($C$5,2)&amp;"输出",标准坦克设计!$B$23:$U$23,0)))*(VLOOKUP($B110,INDIRECT($B$5&amp;"生成成长"),3))*(VLOOKUP($B$5,标准坦克设计!$B$14:$K$20,9)/30))</f>
        <v>1.0096610013376071</v>
      </c>
      <c r="D110" s="172">
        <f ca="1">(VLOOKUP(D$72,INDIRECT($C$5&amp;"生成成长"),2))/((VLOOKUP($B110,INDIRECT($B$5&amp;"生成成长"),4))/(VLOOKUP(D$72,INDIRECT($C$5&amp;"生成成长"),5))*(VLOOKUP($B$5,标准坦克设计!$B$24:$U$30,MATCH("对"&amp;LEFT($C$5,2)&amp;"输出",标准坦克设计!$B$23:$U$23,0)))*(VLOOKUP($B110,INDIRECT($B$5&amp;"生成成长"),3))*(VLOOKUP($B$5,标准坦克设计!$B$14:$K$20,9)/30))</f>
        <v>1.1344551011029356</v>
      </c>
      <c r="E110" s="172">
        <f ca="1">(VLOOKUP(E$72,INDIRECT($C$5&amp;"生成成长"),2))/((VLOOKUP($B110,INDIRECT($B$5&amp;"生成成长"),4))/(VLOOKUP(E$72,INDIRECT($C$5&amp;"生成成长"),5))*(VLOOKUP($B$5,标准坦克设计!$B$24:$U$30,MATCH("对"&amp;LEFT($C$5,2)&amp;"输出",标准坦克设计!$B$23:$U$23,0)))*(VLOOKUP($B110,INDIRECT($B$5&amp;"生成成长"),3))*(VLOOKUP($B$5,标准坦克设计!$B$14:$K$20,9)/30))</f>
        <v>1.2665187600778947</v>
      </c>
      <c r="F110" s="172">
        <f ca="1">(VLOOKUP(F$72,INDIRECT($C$5&amp;"生成成长"),2))/((VLOOKUP($B110,INDIRECT($B$5&amp;"生成成长"),4))/(VLOOKUP(F$72,INDIRECT($C$5&amp;"生成成长"),5))*(VLOOKUP($B$5,标准坦克设计!$B$24:$U$30,MATCH("对"&amp;LEFT($C$5,2)&amp;"输出",标准坦克设计!$B$23:$U$23,0)))*(VLOOKUP($B110,INDIRECT($B$5&amp;"生成成长"),3))*(VLOOKUP($B$5,标准坦克设计!$B$14:$K$20,9)/30))</f>
        <v>1.4058519782624845</v>
      </c>
      <c r="G110" s="172">
        <f ca="1">(VLOOKUP(G$72,INDIRECT($C$5&amp;"生成成长"),2))/((VLOOKUP($B110,INDIRECT($B$5&amp;"生成成长"),4))/(VLOOKUP(G$72,INDIRECT($C$5&amp;"生成成长"),5))*(VLOOKUP($B$5,标准坦克设计!$B$24:$U$30,MATCH("对"&amp;LEFT($C$5,2)&amp;"输出",标准坦克设计!$B$23:$U$23,0)))*(VLOOKUP($B110,INDIRECT($B$5&amp;"生成成长"),3))*(VLOOKUP($B$5,标准坦克设计!$B$14:$K$20,9)/30))</f>
        <v>1.552454755656705</v>
      </c>
      <c r="H110" s="172">
        <f ca="1">(VLOOKUP(H$72,INDIRECT($C$5&amp;"生成成长"),2))/((VLOOKUP($B110,INDIRECT($B$5&amp;"生成成长"),4))/(VLOOKUP(H$72,INDIRECT($C$5&amp;"生成成长"),5))*(VLOOKUP($B$5,标准坦克设计!$B$24:$U$30,MATCH("对"&amp;LEFT($C$5,2)&amp;"输出",标准坦克设计!$B$23:$U$23,0)))*(VLOOKUP($B110,INDIRECT($B$5&amp;"生成成长"),3))*(VLOOKUP($B$5,标准坦克设计!$B$14:$K$20,9)/30))</f>
        <v>1.3585998433998843</v>
      </c>
      <c r="I110" s="172">
        <f ca="1">(VLOOKUP(I$72,INDIRECT($C$5&amp;"生成成长"),2))/((VLOOKUP($B110,INDIRECT($B$5&amp;"生成成长"),4))/(VLOOKUP(I$72,INDIRECT($C$5&amp;"生成成长"),5))*(VLOOKUP($B$5,标准坦克设计!$B$24:$U$30,MATCH("对"&amp;LEFT($C$5,2)&amp;"输出",标准坦克设计!$B$23:$U$23,0)))*(VLOOKUP($B110,INDIRECT($B$5&amp;"生成成长"),3))*(VLOOKUP($B$5,标准坦克设计!$B$14:$K$20,9)/30))</f>
        <v>1.552454755656705</v>
      </c>
      <c r="J110" s="172">
        <f ca="1">(VLOOKUP(J$72,INDIRECT($C$5&amp;"生成成长"),2))/((VLOOKUP($B110,INDIRECT($B$5&amp;"生成成长"),4))/(VLOOKUP(J$72,INDIRECT($C$5&amp;"生成成长"),5))*(VLOOKUP($B$5,标准坦克设计!$B$24:$U$30,MATCH("对"&amp;LEFT($C$5,2)&amp;"输出",标准坦克设计!$B$23:$U$23,0)))*(VLOOKUP($B110,INDIRECT($B$5&amp;"生成成长"),3))*(VLOOKUP($B$5,标准坦克设计!$B$14:$K$20,9)/30))</f>
        <v>1.7592333287306468</v>
      </c>
      <c r="K110" s="172">
        <f ca="1">(VLOOKUP(K$72,INDIRECT($C$5&amp;"生成成长"),2))/((VLOOKUP($B110,INDIRECT($B$5&amp;"生成成长"),4))/(VLOOKUP(K$72,INDIRECT($C$5&amp;"生成成长"),5))*(VLOOKUP($B$5,标准坦克设计!$B$24:$U$30,MATCH("对"&amp;LEFT($C$5,2)&amp;"输出",标准坦克设计!$B$23:$U$23,0)))*(VLOOKUP($B110,INDIRECT($B$5&amp;"生成成长"),3))*(VLOOKUP($B$5,标准坦克设计!$B$14:$K$20,9)/30))</f>
        <v>1.9789355626217102</v>
      </c>
      <c r="L110" s="172">
        <f ca="1">(VLOOKUP(L$72,INDIRECT($C$5&amp;"生成成长"),2))/((VLOOKUP($B110,INDIRECT($B$5&amp;"生成成长"),4))/(VLOOKUP(L$72,INDIRECT($C$5&amp;"生成成长"),5))*(VLOOKUP($B$5,标准坦克设计!$B$24:$U$30,MATCH("对"&amp;LEFT($C$5,2)&amp;"输出",标准坦克设计!$B$23:$U$23,0)))*(VLOOKUP($B110,INDIRECT($B$5&amp;"生成成长"),3))*(VLOOKUP($B$5,标准坦克设计!$B$14:$K$20,9)/30))</f>
        <v>2.211561457329895</v>
      </c>
      <c r="M110" s="172">
        <f ca="1">(VLOOKUP(M$72,INDIRECT($C$5&amp;"生成成长"),2))/((VLOOKUP($B110,INDIRECT($B$5&amp;"生成成长"),4))/(VLOOKUP(M$72,INDIRECT($C$5&amp;"生成成长"),5))*(VLOOKUP($B$5,标准坦克设计!$B$24:$U$30,MATCH("对"&amp;LEFT($C$5,2)&amp;"输出",标准坦克设计!$B$23:$U$23,0)))*(VLOOKUP($B110,INDIRECT($B$5&amp;"生成成长"),3))*(VLOOKUP($B$5,标准坦克设计!$B$14:$K$20,9)/30))</f>
        <v>2.4571110128552012</v>
      </c>
      <c r="N110" s="172">
        <f ca="1">(VLOOKUP(N$72,INDIRECT($C$5&amp;"生成成长"),2))/((VLOOKUP($B110,INDIRECT($B$5&amp;"生成成长"),4))/(VLOOKUP(N$72,INDIRECT($C$5&amp;"生成成长"),5))*(VLOOKUP($B$5,标准坦克设计!$B$24:$U$30,MATCH("对"&amp;LEFT($C$5,2)&amp;"输出",标准坦克设计!$B$23:$U$23,0)))*(VLOOKUP($B110,INDIRECT($B$5&amp;"生成成长"),3))*(VLOOKUP($B$5,标准坦克设计!$B$14:$K$20,9)/30))</f>
        <v>2.7155842291976282</v>
      </c>
      <c r="O110" s="172">
        <f ca="1">(VLOOKUP(O$72,INDIRECT($C$5&amp;"生成成长"),2))/((VLOOKUP($B110,INDIRECT($B$5&amp;"生成成长"),4))/(VLOOKUP(O$72,INDIRECT($C$5&amp;"生成成长"),5))*(VLOOKUP($B$5,标准坦克设计!$B$24:$U$30,MATCH("对"&amp;LEFT($C$5,2)&amp;"输出",标准坦克设计!$B$23:$U$23,0)))*(VLOOKUP($B110,INDIRECT($B$5&amp;"生成成长"),3))*(VLOOKUP($B$5,标准坦克设计!$B$14:$K$20,9)/30))</f>
        <v>2.0646557816352735</v>
      </c>
      <c r="P110" s="172">
        <f ca="1">(VLOOKUP(P$72,INDIRECT($C$5&amp;"生成成长"),2))/((VLOOKUP($B110,INDIRECT($B$5&amp;"生成成长"),4))/(VLOOKUP(P$72,INDIRECT($C$5&amp;"生成成长"),5))*(VLOOKUP($B$5,标准坦克设计!$B$24:$U$30,MATCH("对"&amp;LEFT($C$5,2)&amp;"输出",标准坦克设计!$B$23:$U$23,0)))*(VLOOKUP($B110,INDIRECT($B$5&amp;"生成成长"),3))*(VLOOKUP($B$5,标准坦克设计!$B$14:$K$20,9)/30))</f>
        <v>2.3327207774904082</v>
      </c>
      <c r="Q110" s="172">
        <f ca="1">(VLOOKUP(Q$72,INDIRECT($C$5&amp;"生成成长"),2))/((VLOOKUP($B110,INDIRECT($B$5&amp;"生成成长"),4))/(VLOOKUP(Q$72,INDIRECT($C$5&amp;"生成成长"),5))*(VLOOKUP($B$5,标准坦克设计!$B$24:$U$30,MATCH("对"&amp;LEFT($C$5,2)&amp;"输出",标准坦克设计!$B$23:$U$23,0)))*(VLOOKUP($B110,INDIRECT($B$5&amp;"生成成长"),3))*(VLOOKUP($B$5,标准坦克设计!$B$14:$K$20,9)/30))</f>
        <v>2.6171422815672121</v>
      </c>
      <c r="R110" s="172">
        <f ca="1">(VLOOKUP(R$72,INDIRECT($C$5&amp;"生成成长"),2))/((VLOOKUP($B110,INDIRECT($B$5&amp;"生成成长"),4))/(VLOOKUP(R$72,INDIRECT($C$5&amp;"生成成长"),5))*(VLOOKUP($B$5,标准坦克设计!$B$24:$U$30,MATCH("对"&amp;LEFT($C$5,2)&amp;"输出",标准坦克设计!$B$23:$U$23,0)))*(VLOOKUP($B110,INDIRECT($B$5&amp;"生成成长"),3))*(VLOOKUP($B$5,标准坦克设计!$B$14:$K$20,9)/30))</f>
        <v>2.9179202938656847</v>
      </c>
      <c r="S110" s="172">
        <f ca="1">(VLOOKUP(S$72,INDIRECT($C$5&amp;"生成成长"),2))/((VLOOKUP($B110,INDIRECT($B$5&amp;"生成成长"),4))/(VLOOKUP(S$72,INDIRECT($C$5&amp;"生成成长"),5))*(VLOOKUP($B$5,标准坦克设计!$B$24:$U$30,MATCH("对"&amp;LEFT($C$5,2)&amp;"输出",标准坦克设计!$B$23:$U$23,0)))*(VLOOKUP($B110,INDIRECT($B$5&amp;"生成成长"),3))*(VLOOKUP($B$5,标准坦克设计!$B$14:$K$20,9)/30))</f>
        <v>3.2350548143858271</v>
      </c>
      <c r="T110" s="172">
        <f ca="1">(VLOOKUP(T$72,INDIRECT($C$5&amp;"生成成长"),2))/((VLOOKUP($B110,INDIRECT($B$5&amp;"生成成长"),4))/(VLOOKUP(T$72,INDIRECT($C$5&amp;"生成成长"),5))*(VLOOKUP($B$5,标准坦克设计!$B$24:$U$30,MATCH("对"&amp;LEFT($C$5,2)&amp;"输出",标准坦克设计!$B$23:$U$23,0)))*(VLOOKUP($B110,INDIRECT($B$5&amp;"生成成长"),3))*(VLOOKUP($B$5,标准坦克设计!$B$14:$K$20,9)/30))</f>
        <v>3.5685458431276387</v>
      </c>
      <c r="U110" s="172">
        <f ca="1">(VLOOKUP(U$72,INDIRECT($C$5&amp;"生成成长"),2))/((VLOOKUP($B110,INDIRECT($B$5&amp;"生成成长"),4))/(VLOOKUP(U$72,INDIRECT($C$5&amp;"生成成长"),5))*(VLOOKUP($B$5,标准坦克设计!$B$24:$U$30,MATCH("对"&amp;LEFT($C$5,2)&amp;"输出",标准坦克设计!$B$23:$U$23,0)))*(VLOOKUP($B110,INDIRECT($B$5&amp;"生成成长"),3))*(VLOOKUP($B$5,标准坦克设计!$B$14:$K$20,9)/30))</f>
        <v>3.9183933800911199</v>
      </c>
      <c r="V110" s="172">
        <f ca="1">(VLOOKUP(V$72,INDIRECT($C$5&amp;"生成成长"),2))/((VLOOKUP($B110,INDIRECT($B$5&amp;"生成成长"),4))/(VLOOKUP(V$72,INDIRECT($C$5&amp;"生成成长"),5))*(VLOOKUP($B$5,标准坦克设计!$B$24:$U$30,MATCH("对"&amp;LEFT($C$5,2)&amp;"输出",标准坦克设计!$B$23:$U$23,0)))*(VLOOKUP($B110,INDIRECT($B$5&amp;"生成成长"),3))*(VLOOKUP($B$5,标准坦克设计!$B$14:$K$20,9)/30))</f>
        <v>4.28459742527627</v>
      </c>
      <c r="W110" s="172">
        <f ca="1">(VLOOKUP(W$72,INDIRECT($C$5&amp;"生成成长"),2))/((VLOOKUP($B110,INDIRECT($B$5&amp;"生成成长"),4))/(VLOOKUP(W$72,INDIRECT($C$5&amp;"生成成长"),5))*(VLOOKUP($B$5,标准坦克设计!$B$24:$U$30,MATCH("对"&amp;LEFT($C$5,2)&amp;"输出",标准坦克设计!$B$23:$U$23,0)))*(VLOOKUP($B110,INDIRECT($B$5&amp;"生成成长"),3))*(VLOOKUP($B$5,标准坦克设计!$B$14:$K$20,9)/30))</f>
        <v>4.6671579786830888</v>
      </c>
      <c r="X110" s="172">
        <f ca="1">(VLOOKUP(X$72,INDIRECT($C$5&amp;"生成成长"),2))/((VLOOKUP($B110,INDIRECT($B$5&amp;"生成成长"),4))/(VLOOKUP(X$72,INDIRECT($C$5&amp;"生成成长"),5))*(VLOOKUP($B$5,标准坦克设计!$B$24:$U$30,MATCH("对"&amp;LEFT($C$5,2)&amp;"输出",标准坦克设计!$B$23:$U$23,0)))*(VLOOKUP($B110,INDIRECT($B$5&amp;"生成成长"),3))*(VLOOKUP($B$5,标准坦克设计!$B$14:$K$20,9)/30))</f>
        <v>3.3812537273795127</v>
      </c>
      <c r="Y110" s="172">
        <f ca="1">(VLOOKUP(Y$72,INDIRECT($C$5&amp;"生成成长"),2))/((VLOOKUP($B110,INDIRECT($B$5&amp;"生成成长"),4))/(VLOOKUP(Y$72,INDIRECT($C$5&amp;"生成成长"),5))*(VLOOKUP($B$5,标准坦克设计!$B$24:$U$30,MATCH("对"&amp;LEFT($C$5,2)&amp;"输出",标准坦克设计!$B$23:$U$23,0)))*(VLOOKUP($B110,INDIRECT($B$5&amp;"生成成长"),3))*(VLOOKUP($B$5,标准坦克设计!$B$14:$K$20,9)/30))</f>
        <v>3.7608862638824534</v>
      </c>
      <c r="Z110" s="172">
        <f ca="1">(VLOOKUP(Z$72,INDIRECT($C$5&amp;"生成成长"),2))/((VLOOKUP($B110,INDIRECT($B$5&amp;"生成成长"),4))/(VLOOKUP(Z$72,INDIRECT($C$5&amp;"生成成长"),5))*(VLOOKUP($B$5,标准坦克设计!$B$24:$U$30,MATCH("对"&amp;LEFT($C$5,2)&amp;"输出",标准坦克设计!$B$23:$U$23,0)))*(VLOOKUP($B110,INDIRECT($B$5&amp;"生成成长"),3))*(VLOOKUP($B$5,标准坦克设计!$B$14:$K$20,9)/30))</f>
        <v>4.1607120204121459</v>
      </c>
      <c r="AA110" s="172">
        <f ca="1">(VLOOKUP(AA$72,INDIRECT($C$5&amp;"生成成长"),2))/((VLOOKUP($B110,INDIRECT($B$5&amp;"生成成长"),4))/(VLOOKUP(AA$72,INDIRECT($C$5&amp;"生成成长"),5))*(VLOOKUP($B$5,标准坦克设计!$B$24:$U$30,MATCH("对"&amp;LEFT($C$5,2)&amp;"输出",标准坦克设计!$B$23:$U$23,0)))*(VLOOKUP($B110,INDIRECT($B$5&amp;"生成成长"),3))*(VLOOKUP($B$5,标准坦克设计!$B$14:$K$20,9)/30))</f>
        <v>4.5807309969685894</v>
      </c>
      <c r="AB110" s="172">
        <f ca="1">(VLOOKUP(AB$72,INDIRECT($C$5&amp;"生成成长"),2))/((VLOOKUP($B110,INDIRECT($B$5&amp;"生成成长"),4))/(VLOOKUP(AB$72,INDIRECT($C$5&amp;"生成成长"),5))*(VLOOKUP($B$5,标准坦克设计!$B$24:$U$30,MATCH("对"&amp;LEFT($C$5,2)&amp;"输出",标准坦克设计!$B$23:$U$23,0)))*(VLOOKUP($B110,INDIRECT($B$5&amp;"生成成长"),3))*(VLOOKUP($B$5,标准坦克设计!$B$14:$K$20,9)/30))</f>
        <v>5.0209431935517861</v>
      </c>
      <c r="AC110" s="172">
        <f ca="1">(VLOOKUP(AC$72,INDIRECT($C$5&amp;"生成成长"),2))/((VLOOKUP($B110,INDIRECT($B$5&amp;"生成成长"),4))/(VLOOKUP(AC$72,INDIRECT($C$5&amp;"生成成长"),5))*(VLOOKUP($B$5,标准坦克设计!$B$24:$U$30,MATCH("对"&amp;LEFT($C$5,2)&amp;"输出",标准坦克设计!$B$23:$U$23,0)))*(VLOOKUP($B110,INDIRECT($B$5&amp;"生成成长"),3))*(VLOOKUP($B$5,标准坦克设计!$B$14:$K$20,9)/30))</f>
        <v>5.4813486101617341</v>
      </c>
      <c r="AD110" s="172">
        <f ca="1">(VLOOKUP(AD$72,INDIRECT($C$5&amp;"生成成长"),2))/((VLOOKUP($B110,INDIRECT($B$5&amp;"生成成长"),4))/(VLOOKUP(AD$72,INDIRECT($C$5&amp;"生成成长"),5))*(VLOOKUP($B$5,标准坦克设计!$B$24:$U$30,MATCH("对"&amp;LEFT($C$5,2)&amp;"输出",标准坦克设计!$B$23:$U$23,0)))*(VLOOKUP($B110,INDIRECT($B$5&amp;"生成成长"),3))*(VLOOKUP($B$5,标准坦克设计!$B$14:$K$20,9)/30))</f>
        <v>5.9619472467984362</v>
      </c>
      <c r="AE110" s="172">
        <f ca="1">(VLOOKUP(AE$72,INDIRECT($C$5&amp;"生成成长"),2))/((VLOOKUP($B110,INDIRECT($B$5&amp;"生成成长"),4))/(VLOOKUP(AE$72,INDIRECT($C$5&amp;"生成成长"),5))*(VLOOKUP($B$5,标准坦克设计!$B$24:$U$30,MATCH("对"&amp;LEFT($C$5,2)&amp;"输出",标准坦克设计!$B$23:$U$23,0)))*(VLOOKUP($B110,INDIRECT($B$5&amp;"生成成长"),3))*(VLOOKUP($B$5,标准坦克设计!$B$14:$K$20,9)/30))</f>
        <v>6.4627391034618906</v>
      </c>
      <c r="AF110" s="172">
        <f ca="1">(VLOOKUP(AF$72,INDIRECT($C$5&amp;"生成成长"),2))/((VLOOKUP($B110,INDIRECT($B$5&amp;"生成成长"),4))/(VLOOKUP(AF$72,INDIRECT($C$5&amp;"生成成长"),5))*(VLOOKUP($B$5,标准坦克设计!$B$24:$U$30,MATCH("对"&amp;LEFT($C$5,2)&amp;"输出",标准坦克设计!$B$23:$U$23,0)))*(VLOOKUP($B110,INDIRECT($B$5&amp;"生成成长"),3))*(VLOOKUP($B$5,标准坦克设计!$B$14:$K$20,9)/30))</f>
        <v>6.9837241801520937</v>
      </c>
      <c r="AG110" s="172">
        <f ca="1">(VLOOKUP(AG$72,INDIRECT($C$5&amp;"生成成长"),2))/((VLOOKUP($B110,INDIRECT($B$5&amp;"生成成长"),4))/(VLOOKUP(AG$72,INDIRECT($C$5&amp;"生成成长"),5))*(VLOOKUP($B$5,标准坦克设计!$B$24:$U$30,MATCH("对"&amp;LEFT($C$5,2)&amp;"输出",标准坦克设计!$B$23:$U$23,0)))*(VLOOKUP($B110,INDIRECT($B$5&amp;"生成成长"),3))*(VLOOKUP($B$5,标准坦克设计!$B$14:$K$20,9)/30))</f>
        <v>7.5249024768690527</v>
      </c>
      <c r="AH110" s="172">
        <f ca="1">(VLOOKUP(AH$72,INDIRECT($C$5&amp;"生成成长"),2))/((VLOOKUP($B110,INDIRECT($B$5&amp;"生成成长"),4))/(VLOOKUP(AH$72,INDIRECT($C$5&amp;"生成成长"),5))*(VLOOKUP($B$5,标准坦克设计!$B$24:$U$30,MATCH("对"&amp;LEFT($C$5,2)&amp;"输出",标准坦克设计!$B$23:$U$23,0)))*(VLOOKUP($B110,INDIRECT($B$5&amp;"生成成长"),3))*(VLOOKUP($B$5,标准坦克设计!$B$14:$K$20,9)/30))</f>
        <v>8.0862739936127639</v>
      </c>
      <c r="AI110" s="172">
        <f ca="1">(VLOOKUP(AI$72,INDIRECT($C$5&amp;"生成成长"),2))/((VLOOKUP($B110,INDIRECT($B$5&amp;"生成成长"),4))/(VLOOKUP(AI$72,INDIRECT($C$5&amp;"生成成长"),5))*(VLOOKUP($B$5,标准坦克设计!$B$24:$U$30,MATCH("对"&amp;LEFT($C$5,2)&amp;"输出",标准坦克设计!$B$23:$U$23,0)))*(VLOOKUP($B110,INDIRECT($B$5&amp;"生成成长"),3))*(VLOOKUP($B$5,标准坦克设计!$B$14:$K$20,9)/30))</f>
        <v>5.7191237759767422</v>
      </c>
      <c r="AJ110" s="172">
        <f ca="1">(VLOOKUP(AJ$72,INDIRECT($C$5&amp;"生成成长"),2))/((VLOOKUP($B110,INDIRECT($B$5&amp;"生成成长"),4))/(VLOOKUP(AJ$72,INDIRECT($C$5&amp;"生成成长"),5))*(VLOOKUP($B$5,标准坦克设计!$B$24:$U$30,MATCH("对"&amp;LEFT($C$5,2)&amp;"输出",标准坦克设计!$B$23:$U$23,0)))*(VLOOKUP($B110,INDIRECT($B$5&amp;"生成成长"),3))*(VLOOKUP($B$5,标准坦克设计!$B$14:$K$20,9)/30))</f>
        <v>6.2599991743932977</v>
      </c>
      <c r="AK110" s="172">
        <f ca="1">(VLOOKUP(AK$72,INDIRECT($C$5&amp;"生成成长"),2))/((VLOOKUP($B110,INDIRECT($B$5&amp;"生成成长"),4))/(VLOOKUP(AK$72,INDIRECT($C$5&amp;"生成成长"),5))*(VLOOKUP($B$5,标准坦克设计!$B$24:$U$30,MATCH("对"&amp;LEFT($C$5,2)&amp;"输出",标准坦克设计!$B$23:$U$23,0)))*(VLOOKUP($B110,INDIRECT($B$5&amp;"生成成长"),3))*(VLOOKUP($B$5,标准坦克设计!$B$14:$K$20,9)/30))</f>
        <v>6.8253083690422258</v>
      </c>
      <c r="AL110" s="172">
        <f ca="1">(VLOOKUP(AL$72,INDIRECT($C$5&amp;"生成成长"),2))/((VLOOKUP($B110,INDIRECT($B$5&amp;"生成成长"),4))/(VLOOKUP(AL$72,INDIRECT($C$5&amp;"生成成长"),5))*(VLOOKUP($B$5,标准坦克设计!$B$24:$U$30,MATCH("对"&amp;LEFT($C$5,2)&amp;"输出",标准坦克设计!$B$23:$U$23,0)))*(VLOOKUP($B110,INDIRECT($B$5&amp;"生成成长"),3))*(VLOOKUP($B$5,标准坦克设计!$B$14:$K$20,9)/30))</f>
        <v>7.4150513599235213</v>
      </c>
      <c r="AM110" s="172">
        <f ca="1">(VLOOKUP(AM$72,INDIRECT($C$5&amp;"生成成长"),2))/((VLOOKUP($B110,INDIRECT($B$5&amp;"生成成长"),4))/(VLOOKUP(AM$72,INDIRECT($C$5&amp;"生成成长"),5))*(VLOOKUP($B$5,标准坦克设计!$B$24:$U$30,MATCH("对"&amp;LEFT($C$5,2)&amp;"输出",标准坦克设计!$B$23:$U$23,0)))*(VLOOKUP($B110,INDIRECT($B$5&amp;"生成成长"),3))*(VLOOKUP($B$5,标准坦克设计!$B$14:$K$20,9)/30))</f>
        <v>8.0292281470371893</v>
      </c>
      <c r="AN110" s="172">
        <f ca="1">(VLOOKUP(AN$72,INDIRECT($C$5&amp;"生成成长"),2))/((VLOOKUP($B110,INDIRECT($B$5&amp;"生成成长"),4))/(VLOOKUP(AN$72,INDIRECT($C$5&amp;"生成成长"),5))*(VLOOKUP($B$5,标准坦克设计!$B$24:$U$30,MATCH("对"&amp;LEFT($C$5,2)&amp;"输出",标准坦克设计!$B$23:$U$23,0)))*(VLOOKUP($B110,INDIRECT($B$5&amp;"生成成长"),3))*(VLOOKUP($B$5,标准坦克设计!$B$14:$K$20,9)/30))</f>
        <v>8.6678387303832256</v>
      </c>
      <c r="AO110" s="172">
        <f ca="1">(VLOOKUP(AO$72,INDIRECT($C$5&amp;"生成成长"),2))/((VLOOKUP($B110,INDIRECT($B$5&amp;"生成成长"),4))/(VLOOKUP(AO$72,INDIRECT($C$5&amp;"生成成长"),5))*(VLOOKUP($B$5,标准坦克设计!$B$24:$U$30,MATCH("对"&amp;LEFT($C$5,2)&amp;"输出",标准坦克设计!$B$23:$U$23,0)))*(VLOOKUP($B110,INDIRECT($B$5&amp;"生成成长"),3))*(VLOOKUP($B$5,标准坦克设计!$B$14:$K$20,9)/30))</f>
        <v>9.3308831099616327</v>
      </c>
      <c r="AP110" s="172">
        <f ca="1">(VLOOKUP(AP$72,INDIRECT($C$5&amp;"生成成长"),2))/((VLOOKUP($B110,INDIRECT($B$5&amp;"生成成长"),4))/(VLOOKUP(AP$72,INDIRECT($C$5&amp;"生成成长"),5))*(VLOOKUP($B$5,标准坦克设计!$B$24:$U$30,MATCH("对"&amp;LEFT($C$5,2)&amp;"输出",标准坦克设计!$B$23:$U$23,0)))*(VLOOKUP($B110,INDIRECT($B$5&amp;"生成成长"),3))*(VLOOKUP($B$5,标准坦克设计!$B$14:$K$20,9)/30))</f>
        <v>10.018361285772407</v>
      </c>
      <c r="AQ110" s="172">
        <f ca="1">(VLOOKUP(AQ$72,INDIRECT($C$5&amp;"生成成长"),2))/((VLOOKUP($B110,INDIRECT($B$5&amp;"生成成长"),4))/(VLOOKUP(AQ$72,INDIRECT($C$5&amp;"生成成长"),5))*(VLOOKUP($B$5,标准坦克设计!$B$24:$U$30,MATCH("对"&amp;LEFT($C$5,2)&amp;"输出",标准坦克设计!$B$23:$U$23,0)))*(VLOOKUP($B110,INDIRECT($B$5&amp;"生成成长"),3))*(VLOOKUP($B$5,标准坦克设计!$B$14:$K$20,9)/30))</f>
        <v>10.730273257815556</v>
      </c>
      <c r="AR110" s="172">
        <f ca="1">(VLOOKUP(AR$72,INDIRECT($C$5&amp;"生成成长"),2))/((VLOOKUP($B110,INDIRECT($B$5&amp;"生成成长"),4))/(VLOOKUP(AR$72,INDIRECT($C$5&amp;"生成成长"),5))*(VLOOKUP($B$5,标准坦克设计!$B$24:$U$30,MATCH("对"&amp;LEFT($C$5,2)&amp;"输出",标准坦克设计!$B$23:$U$23,0)))*(VLOOKUP($B110,INDIRECT($B$5&amp;"生成成长"),3))*(VLOOKUP($B$5,标准坦克设计!$B$14:$K$20,9)/30))</f>
        <v>11.466619026091069</v>
      </c>
      <c r="AS110" s="172">
        <f ca="1">(VLOOKUP(AS$72,INDIRECT($C$5&amp;"生成成长"),2))/((VLOOKUP($B110,INDIRECT($B$5&amp;"生成成长"),4))/(VLOOKUP(AS$72,INDIRECT($C$5&amp;"生成成长"),5))*(VLOOKUP($B$5,标准坦克设计!$B$24:$U$30,MATCH("对"&amp;LEFT($C$5,2)&amp;"输出",标准坦克设计!$B$23:$U$23,0)))*(VLOOKUP($B110,INDIRECT($B$5&amp;"生成成长"),3))*(VLOOKUP($B$5,标准坦克设计!$B$14:$K$20,9)/30))</f>
        <v>12.227398590598957</v>
      </c>
      <c r="AT110" s="172">
        <f ca="1">(VLOOKUP(AT$72,INDIRECT($C$5&amp;"生成成长"),2))/((VLOOKUP($B110,INDIRECT($B$5&amp;"生成成长"),4))/(VLOOKUP(AT$72,INDIRECT($C$5&amp;"生成成长"),5))*(VLOOKUP($B$5,标准坦克设计!$B$24:$U$30,MATCH("对"&amp;LEFT($C$5,2)&amp;"输出",标准坦克设计!$B$23:$U$23,0)))*(VLOOKUP($B110,INDIRECT($B$5&amp;"生成成长"),3))*(VLOOKUP($B$5,标准坦克设计!$B$14:$K$20,9)/30))</f>
        <v>13.012611951339215</v>
      </c>
      <c r="AU110" s="172">
        <f ca="1">(VLOOKUP(AU$72,INDIRECT($C$5&amp;"生成成长"),2))/((VLOOKUP($B110,INDIRECT($B$5&amp;"生成成长"),4))/(VLOOKUP(AU$72,INDIRECT($C$5&amp;"生成成长"),5))*(VLOOKUP($B$5,标准坦克设计!$B$24:$U$30,MATCH("对"&amp;LEFT($C$5,2)&amp;"输出",标准坦克设计!$B$23:$U$23,0)))*(VLOOKUP($B110,INDIRECT($B$5&amp;"生成成长"),3))*(VLOOKUP($B$5,标准坦克设计!$B$14:$K$20,9)/30))</f>
        <v>13.822259108311844</v>
      </c>
      <c r="AV110" s="172">
        <f ca="1">(VLOOKUP(AV$72,INDIRECT($C$5&amp;"生成成长"),2))/((VLOOKUP($B110,INDIRECT($B$5&amp;"生成成长"),4))/(VLOOKUP(AV$72,INDIRECT($C$5&amp;"生成成长"),5))*(VLOOKUP($B$5,标准坦克设计!$B$24:$U$30,MATCH("对"&amp;LEFT($C$5,2)&amp;"输出",标准坦克设计!$B$23:$U$23,0)))*(VLOOKUP($B110,INDIRECT($B$5&amp;"生成成长"),3))*(VLOOKUP($B$5,标准坦克设计!$B$14:$K$20,9)/30))</f>
        <v>1.4058519782624845</v>
      </c>
      <c r="AW110" s="172">
        <f ca="1">(VLOOKUP(AW$72,INDIRECT($C$5&amp;"生成成长"),2))/((VLOOKUP($B110,INDIRECT($B$5&amp;"生成成长"),4))/(VLOOKUP(AW$72,INDIRECT($C$5&amp;"生成成长"),5))*(VLOOKUP($B$5,标准坦克设计!$B$24:$U$30,MATCH("对"&amp;LEFT($C$5,2)&amp;"输出",标准坦克设计!$B$23:$U$23,0)))*(VLOOKUP($B110,INDIRECT($B$5&amp;"生成成长"),3))*(VLOOKUP($B$5,标准坦克设计!$B$14:$K$20,9)/30))</f>
        <v>1.602937805723585</v>
      </c>
      <c r="AX110" s="172">
        <f ca="1">(VLOOKUP(AX$72,INDIRECT($C$5&amp;"生成成长"),2))/((VLOOKUP($B110,INDIRECT($B$5&amp;"生成成长"),4))/(VLOOKUP(AX$72,INDIRECT($C$5&amp;"生成成长"),5))*(VLOOKUP($B$5,标准坦克设计!$B$24:$U$30,MATCH("对"&amp;LEFT($C$5,2)&amp;"输出",标准坦克设计!$B$23:$U$23,0)))*(VLOOKUP($B110,INDIRECT($B$5&amp;"生成成长"),3))*(VLOOKUP($B$5,标准坦克设计!$B$14:$K$20,9)/30))</f>
        <v>1.8129472940018072</v>
      </c>
      <c r="AY110" s="172">
        <f ca="1">(VLOOKUP(AY$72,INDIRECT($C$5&amp;"生成成长"),2))/((VLOOKUP($B110,INDIRECT($B$5&amp;"生成成长"),4))/(VLOOKUP(AY$72,INDIRECT($C$5&amp;"生成成长"),5))*(VLOOKUP($B$5,标准坦克设计!$B$24:$U$30,MATCH("对"&amp;LEFT($C$5,2)&amp;"输出",标准坦克设计!$B$23:$U$23,0)))*(VLOOKUP($B110,INDIRECT($B$5&amp;"生成成长"),3))*(VLOOKUP($B$5,标准坦克设计!$B$14:$K$20,9)/30))</f>
        <v>2.0358804430971507</v>
      </c>
      <c r="AZ110" s="172">
        <f ca="1">(VLOOKUP(AZ$72,INDIRECT($C$5&amp;"生成成长"),2))/((VLOOKUP($B110,INDIRECT($B$5&amp;"生成成长"),4))/(VLOOKUP(AZ$72,INDIRECT($C$5&amp;"生成成长"),5))*(VLOOKUP($B$5,标准坦克设计!$B$24:$U$30,MATCH("对"&amp;LEFT($C$5,2)&amp;"输出",标准坦克设计!$B$23:$U$23,0)))*(VLOOKUP($B110,INDIRECT($B$5&amp;"生成成长"),3))*(VLOOKUP($B$5,标准坦克设计!$B$14:$K$20,9)/30))</f>
        <v>2.2717372530096158</v>
      </c>
      <c r="BA110" s="172">
        <f ca="1">(VLOOKUP(BA$72,INDIRECT($C$5&amp;"生成成长"),2))/((VLOOKUP($B110,INDIRECT($B$5&amp;"生成成长"),4))/(VLOOKUP(BA$72,INDIRECT($C$5&amp;"生成成长"),5))*(VLOOKUP($B$5,标准坦克设计!$B$24:$U$30,MATCH("对"&amp;LEFT($C$5,2)&amp;"输出",标准坦克设计!$B$23:$U$23,0)))*(VLOOKUP($B110,INDIRECT($B$5&amp;"生成成长"),3))*(VLOOKUP($B$5,标准坦克设计!$B$14:$K$20,9)/30))</f>
        <v>2.5205177237392031</v>
      </c>
      <c r="BB110" s="172">
        <f ca="1">(VLOOKUP(BB$72,INDIRECT($C$5&amp;"生成成长"),2))/((VLOOKUP($B110,INDIRECT($B$5&amp;"生成成长"),4))/(VLOOKUP(BB$72,INDIRECT($C$5&amp;"生成成长"),5))*(VLOOKUP($B$5,标准坦克设计!$B$24:$U$30,MATCH("对"&amp;LEFT($C$5,2)&amp;"输出",标准坦克设计!$B$23:$U$23,0)))*(VLOOKUP($B110,INDIRECT($B$5&amp;"生成成长"),3))*(VLOOKUP($B$5,标准坦克设计!$B$14:$K$20,9)/30))</f>
        <v>2.7822218552859099</v>
      </c>
      <c r="BC110" s="172">
        <f ca="1">(VLOOKUP(BC$72,INDIRECT($C$5&amp;"生成成长"),2))/((VLOOKUP($B110,INDIRECT($B$5&amp;"生成成长"),4))/(VLOOKUP(BC$72,INDIRECT($C$5&amp;"生成成长"),5))*(VLOOKUP($B$5,标准坦克设计!$B$24:$U$30,MATCH("对"&amp;LEFT($C$5,2)&amp;"输出",标准坦克设计!$B$23:$U$23,0)))*(VLOOKUP($B110,INDIRECT($B$5&amp;"生成成长"),3))*(VLOOKUP($B$5,标准坦克设计!$B$14:$K$20,9)/30))</f>
        <v>3.0568496476497393</v>
      </c>
      <c r="BD110" s="172">
        <f ca="1">(VLOOKUP(BD$72,INDIRECT($C$5&amp;"生成成长"),2))/((VLOOKUP($B110,INDIRECT($B$5&amp;"生成成长"),4))/(VLOOKUP(BD$72,INDIRECT($C$5&amp;"生成成长"),5))*(VLOOKUP($B$5,标准坦克设计!$B$24:$U$30,MATCH("对"&amp;LEFT($C$5,2)&amp;"输出",标准坦克设计!$B$23:$U$23,0)))*(VLOOKUP($B110,INDIRECT($B$5&amp;"生成成长"),3))*(VLOOKUP($B$5,标准坦克设计!$B$14:$K$20,9)/30))</f>
        <v>3.3812537273795127</v>
      </c>
      <c r="BE110" s="172">
        <f ca="1">(VLOOKUP(BE$72,INDIRECT($C$5&amp;"生成成长"),2))/((VLOOKUP($B110,INDIRECT($B$5&amp;"生成成长"),4))/(VLOOKUP(BE$72,INDIRECT($C$5&amp;"生成成长"),5))*(VLOOKUP($B$5,标准坦克设计!$B$24:$U$30,MATCH("对"&amp;LEFT($C$5,2)&amp;"输出",标准坦克设计!$B$23:$U$23,0)))*(VLOOKUP($B110,INDIRECT($B$5&amp;"生成成长"),3))*(VLOOKUP($B$5,标准坦克设计!$B$14:$K$20,9)/30))</f>
        <v>3.7220143153309553</v>
      </c>
      <c r="BF110" s="172">
        <f ca="1">(VLOOKUP(BF$72,INDIRECT($C$5&amp;"生成成长"),2))/((VLOOKUP($B110,INDIRECT($B$5&amp;"生成成长"),4))/(VLOOKUP(BF$72,INDIRECT($C$5&amp;"生成成长"),5))*(VLOOKUP($B$5,标准坦克设计!$B$24:$U$30,MATCH("对"&amp;LEFT($C$5,2)&amp;"输出",标准坦克设计!$B$23:$U$23,0)))*(VLOOKUP($B110,INDIRECT($B$5&amp;"生成成长"),3))*(VLOOKUP($B$5,标准坦克设计!$B$14:$K$20,9)/30))</f>
        <v>4.0791314115040667</v>
      </c>
      <c r="BG110" s="172">
        <f ca="1">(VLOOKUP(BG$72,INDIRECT($C$5&amp;"生成成长"),2))/((VLOOKUP($B110,INDIRECT($B$5&amp;"生成成长"),4))/(VLOOKUP(BG$72,INDIRECT($C$5&amp;"生成成长"),5))*(VLOOKUP($B$5,标准坦克设计!$B$24:$U$30,MATCH("对"&amp;LEFT($C$5,2)&amp;"输出",标准坦克设计!$B$23:$U$23,0)))*(VLOOKUP($B110,INDIRECT($B$5&amp;"生成成长"),3))*(VLOOKUP($B$5,标准坦克设计!$B$14:$K$20,9)/30))</f>
        <v>4.4526050158988477</v>
      </c>
      <c r="BH110" s="172">
        <f ca="1">(VLOOKUP(BH$72,INDIRECT($C$5&amp;"生成成长"),2))/((VLOOKUP($B110,INDIRECT($B$5&amp;"生成成长"),4))/(VLOOKUP(BH$72,INDIRECT($C$5&amp;"生成成长"),5))*(VLOOKUP($B$5,标准坦克设计!$B$24:$U$30,MATCH("对"&amp;LEFT($C$5,2)&amp;"输出",标准坦克设计!$B$23:$U$23,0)))*(VLOOKUP($B110,INDIRECT($B$5&amp;"生成成长"),3))*(VLOOKUP($B$5,标准坦克设计!$B$14:$K$20,9)/30))</f>
        <v>2.1521933904512438</v>
      </c>
      <c r="BI110" s="172">
        <f ca="1">(VLOOKUP(BI$72,INDIRECT($C$5&amp;"生成成长"),2))/((VLOOKUP($B110,INDIRECT($B$5&amp;"生成成长"),4))/(VLOOKUP(BI$72,INDIRECT($C$5&amp;"生成成长"),5))*(VLOOKUP($B$5,标准坦克设计!$B$24:$U$30,MATCH("对"&amp;LEFT($C$5,2)&amp;"输出",标准坦克设计!$B$23:$U$23,0)))*(VLOOKUP($B110,INDIRECT($B$5&amp;"生成成长"),3))*(VLOOKUP($B$5,标准坦克设计!$B$14:$K$20,9)/30))</f>
        <v>2.4257105557136014</v>
      </c>
      <c r="BJ110" s="172">
        <f ca="1">(VLOOKUP(BJ$72,INDIRECT($C$5&amp;"生成成长"),2))/((VLOOKUP($B110,INDIRECT($B$5&amp;"生成成长"),4))/(VLOOKUP(BJ$72,INDIRECT($C$5&amp;"生成成长"),5))*(VLOOKUP($B$5,标准坦克设计!$B$24:$U$30,MATCH("对"&amp;LEFT($C$5,2)&amp;"输出",标准坦克设计!$B$23:$U$23,0)))*(VLOOKUP($B110,INDIRECT($B$5&amp;"生成成长"),3))*(VLOOKUP($B$5,标准坦克设计!$B$14:$K$20,9)/30))</f>
        <v>2.7155842291976282</v>
      </c>
      <c r="BK110" s="172">
        <f ca="1">(VLOOKUP(BK$72,INDIRECT($C$5&amp;"生成成长"),2))/((VLOOKUP($B110,INDIRECT($B$5&amp;"生成成长"),4))/(VLOOKUP(BK$72,INDIRECT($C$5&amp;"生成成长"),5))*(VLOOKUP($B$5,标准坦克设计!$B$24:$U$30,MATCH("对"&amp;LEFT($C$5,2)&amp;"输出",标准坦克设计!$B$23:$U$23,0)))*(VLOOKUP($B110,INDIRECT($B$5&amp;"生成成长"),3))*(VLOOKUP($B$5,标准坦克设计!$B$14:$K$20,9)/30))</f>
        <v>3.0218144109033243</v>
      </c>
      <c r="BL110" s="172">
        <f ca="1">(VLOOKUP(BL$72,INDIRECT($C$5&amp;"生成成长"),2))/((VLOOKUP($B110,INDIRECT($B$5&amp;"生成成长"),4))/(VLOOKUP(BL$72,INDIRECT($C$5&amp;"生成成长"),5))*(VLOOKUP($B$5,标准坦克设计!$B$24:$U$30,MATCH("对"&amp;LEFT($C$5,2)&amp;"输出",标准坦克设计!$B$23:$U$23,0)))*(VLOOKUP($B110,INDIRECT($B$5&amp;"生成成长"),3))*(VLOOKUP($B$5,标准坦克设计!$B$14:$K$20,9)/30))</f>
        <v>3.34440110083069</v>
      </c>
      <c r="BM110" s="172">
        <f ca="1">(VLOOKUP(BM$72,INDIRECT($C$5&amp;"生成成长"),2))/((VLOOKUP($B110,INDIRECT($B$5&amp;"生成成长"),4))/(VLOOKUP(BM$72,INDIRECT($C$5&amp;"生成成长"),5))*(VLOOKUP($B$5,标准坦克设计!$B$24:$U$30,MATCH("对"&amp;LEFT($C$5,2)&amp;"输出",标准坦克设计!$B$23:$U$23,0)))*(VLOOKUP($B110,INDIRECT($B$5&amp;"生成成长"),3))*(VLOOKUP($B$5,标准坦克设计!$B$14:$K$20,9)/30))</f>
        <v>3.6833442989797249</v>
      </c>
      <c r="BN110" s="172">
        <f ca="1">(VLOOKUP(BN$72,INDIRECT($C$5&amp;"生成成长"),2))/((VLOOKUP($B110,INDIRECT($B$5&amp;"生成成长"),4))/(VLOOKUP(BN$72,INDIRECT($C$5&amp;"生成成长"),5))*(VLOOKUP($B$5,标准坦克设计!$B$24:$U$30,MATCH("对"&amp;LEFT($C$5,2)&amp;"输出",标准坦克设计!$B$23:$U$23,0)))*(VLOOKUP($B110,INDIRECT($B$5&amp;"生成成长"),3))*(VLOOKUP($B$5,标准坦克设计!$B$14:$K$20,9)/30))</f>
        <v>4.0386440053504282</v>
      </c>
      <c r="BO110" s="172">
        <f ca="1">(VLOOKUP(BO$72,INDIRECT($C$5&amp;"生成成长"),2))/((VLOOKUP($B110,INDIRECT($B$5&amp;"生成成长"),4))/(VLOOKUP(BO$72,INDIRECT($C$5&amp;"生成成长"),5))*(VLOOKUP($B$5,标准坦克设计!$B$24:$U$30,MATCH("对"&amp;LEFT($C$5,2)&amp;"输出",标准坦克设计!$B$23:$U$23,0)))*(VLOOKUP($B110,INDIRECT($B$5&amp;"生成成长"),3))*(VLOOKUP($B$5,标准坦克设计!$B$14:$K$20,9)/30))</f>
        <v>4.4103002199428021</v>
      </c>
      <c r="BP110" s="172">
        <f ca="1">(VLOOKUP(BP$72,INDIRECT($C$5&amp;"生成成长"),2))/((VLOOKUP($B110,INDIRECT($B$5&amp;"生成成长"),4))/(VLOOKUP(BP$72,INDIRECT($C$5&amp;"生成成长"),5))*(VLOOKUP($B$5,标准坦克设计!$B$24:$U$30,MATCH("对"&amp;LEFT($C$5,2)&amp;"输出",标准坦克设计!$B$23:$U$23,0)))*(VLOOKUP($B110,INDIRECT($B$5&amp;"生成成长"),3))*(VLOOKUP($B$5,标准坦克设计!$B$14:$K$20,9)/30))</f>
        <v>4.7983129427568443</v>
      </c>
      <c r="BQ110" s="172">
        <f ca="1">(VLOOKUP(BQ$72,INDIRECT($C$5&amp;"生成成长"),2))/((VLOOKUP($B110,INDIRECT($B$5&amp;"生成成长"),4))/(VLOOKUP(BQ$72,INDIRECT($C$5&amp;"生成成长"),5))*(VLOOKUP($B$5,标准坦克设计!$B$24:$U$30,MATCH("对"&amp;LEFT($C$5,2)&amp;"输出",标准坦克设计!$B$23:$U$23,0)))*(VLOOKUP($B110,INDIRECT($B$5&amp;"生成成长"),3))*(VLOOKUP($B$5,标准坦克设计!$B$14:$K$20,9)/30))</f>
        <v>5.2026821737925557</v>
      </c>
      <c r="BR110" s="172">
        <f ca="1">(VLOOKUP(BR$72,INDIRECT($C$5&amp;"生成成长"),2))/((VLOOKUP($B110,INDIRECT($B$5&amp;"生成成长"),4))/(VLOOKUP(BR$72,INDIRECT($C$5&amp;"生成成长"),5))*(VLOOKUP($B$5,标准坦克设计!$B$24:$U$30,MATCH("对"&amp;LEFT($C$5,2)&amp;"输出",标准坦克设计!$B$23:$U$23,0)))*(VLOOKUP($B110,INDIRECT($B$5&amp;"生成成长"),3))*(VLOOKUP($B$5,标准坦克设计!$B$14:$K$20,9)/30))</f>
        <v>5.6711648784132054</v>
      </c>
      <c r="BS110" s="172">
        <f ca="1">(VLOOKUP(BS$72,INDIRECT($C$5&amp;"生成成长"),2))/((VLOOKUP($B110,INDIRECT($B$5&amp;"生成成长"),4))/(VLOOKUP(BS$72,INDIRECT($C$5&amp;"生成成长"),5))*(VLOOKUP($B$5,标准坦克设计!$B$24:$U$30,MATCH("对"&amp;LEFT($C$5,2)&amp;"输出",标准坦克设计!$B$23:$U$23,0)))*(VLOOKUP($B110,INDIRECT($B$5&amp;"生成成长"),3))*(VLOOKUP($B$5,标准坦克设计!$B$14:$K$20,9)/30))</f>
        <v>6.1598408030606073</v>
      </c>
      <c r="BT110" s="172">
        <f ca="1">(VLOOKUP(BT$72,INDIRECT($C$5&amp;"生成成长"),2))/((VLOOKUP($B110,INDIRECT($B$5&amp;"生成成长"),4))/(VLOOKUP(BT$72,INDIRECT($C$5&amp;"生成成长"),5))*(VLOOKUP($B$5,标准坦克设计!$B$24:$U$30,MATCH("对"&amp;LEFT($C$5,2)&amp;"输出",标准坦克设计!$B$23:$U$23,0)))*(VLOOKUP($B110,INDIRECT($B$5&amp;"生成成长"),3))*(VLOOKUP($B$5,标准坦克设计!$B$14:$K$20,9)/30))</f>
        <v>6.6687099477347616</v>
      </c>
      <c r="BU110" s="172">
        <f ca="1">(VLOOKUP(BU$72,INDIRECT($C$5&amp;"生成成长"),2))/((VLOOKUP($B110,INDIRECT($B$5&amp;"生成成长"),4))/(VLOOKUP(BU$72,INDIRECT($C$5&amp;"生成成长"),5))*(VLOOKUP($B$5,标准坦克设计!$B$24:$U$30,MATCH("对"&amp;LEFT($C$5,2)&amp;"输出",标准坦克设计!$B$23:$U$23,0)))*(VLOOKUP($B110,INDIRECT($B$5&amp;"生成成长"),3))*(VLOOKUP($B$5,标准坦克设计!$B$14:$K$20,9)/30))</f>
        <v>7.1977723124356681</v>
      </c>
      <c r="BV110" s="172">
        <f ca="1">(VLOOKUP(BV$72,INDIRECT($C$5&amp;"生成成长"),2))/((VLOOKUP($B110,INDIRECT($B$5&amp;"生成成长"),4))/(VLOOKUP(BV$72,INDIRECT($C$5&amp;"生成成长"),5))*(VLOOKUP($B$5,标准坦克设计!$B$24:$U$30,MATCH("对"&amp;LEFT($C$5,2)&amp;"输出",标准坦克设计!$B$23:$U$23,0)))*(VLOOKUP($B110,INDIRECT($B$5&amp;"生成成长"),3))*(VLOOKUP($B$5,标准坦克设计!$B$14:$K$20,9)/30))</f>
        <v>7.7470278971633268</v>
      </c>
      <c r="BW110" s="172">
        <f ca="1">(VLOOKUP(BW$72,INDIRECT($C$5&amp;"生成成长"),2))/((VLOOKUP($B110,INDIRECT($B$5&amp;"生成成长"),4))/(VLOOKUP(BW$72,INDIRECT($C$5&amp;"生成成长"),5))*(VLOOKUP($B$5,标准坦克设计!$B$24:$U$30,MATCH("对"&amp;LEFT($C$5,2)&amp;"输出",标准坦克设计!$B$23:$U$23,0)))*(VLOOKUP($B110,INDIRECT($B$5&amp;"生成成长"),3))*(VLOOKUP($B$5,标准坦克设计!$B$14:$K$20,9)/30))</f>
        <v>3.5306835555774785</v>
      </c>
      <c r="BX110" s="172">
        <f ca="1">(VLOOKUP(BX$72,INDIRECT($C$5&amp;"生成成长"),2))/((VLOOKUP($B110,INDIRECT($B$5&amp;"生成成长"),4))/(VLOOKUP(BX$72,INDIRECT($C$5&amp;"生成成长"),5))*(VLOOKUP($B$5,标准坦克设计!$B$24:$U$30,MATCH("对"&amp;LEFT($C$5,2)&amp;"输出",标准坦克设计!$B$23:$U$23,0)))*(VLOOKUP($B110,INDIRECT($B$5&amp;"生成成长"),3))*(VLOOKUP($B$5,标准坦克设计!$B$14:$K$20,9)/30))</f>
        <v>3.9183933800911199</v>
      </c>
      <c r="BY110" s="172">
        <f ca="1">(VLOOKUP(BY$72,INDIRECT($C$5&amp;"生成成长"),2))/((VLOOKUP($B110,INDIRECT($B$5&amp;"生成成长"),4))/(VLOOKUP(BY$72,INDIRECT($C$5&amp;"生成成长"),5))*(VLOOKUP($B$5,标准坦克设计!$B$24:$U$30,MATCH("对"&amp;LEFT($C$5,2)&amp;"输出",标准坦克设计!$B$23:$U$23,0)))*(VLOOKUP($B110,INDIRECT($B$5&amp;"生成成长"),3))*(VLOOKUP($B$5,标准坦克设计!$B$14:$K$20,9)/30))</f>
        <v>4.3262964246315123</v>
      </c>
      <c r="BZ110" s="172">
        <f ca="1">(VLOOKUP(BZ$72,INDIRECT($C$5&amp;"生成成长"),2))/((VLOOKUP($B110,INDIRECT($B$5&amp;"生成成长"),4))/(VLOOKUP(BZ$72,INDIRECT($C$5&amp;"生成成长"),5))*(VLOOKUP($B$5,标准坦克设计!$B$24:$U$30,MATCH("对"&amp;LEFT($C$5,2)&amp;"输出",标准坦克设计!$B$23:$U$23,0)))*(VLOOKUP($B110,INDIRECT($B$5&amp;"生成成长"),3))*(VLOOKUP($B$5,标准坦克设计!$B$14:$K$20,9)/30))</f>
        <v>4.7543926891986583</v>
      </c>
      <c r="CA110" s="172">
        <f ca="1">(VLOOKUP(CA$72,INDIRECT($C$5&amp;"生成成长"),2))/((VLOOKUP($B110,INDIRECT($B$5&amp;"生成成长"),4))/(VLOOKUP(CA$72,INDIRECT($C$5&amp;"生成成长"),5))*(VLOOKUP($B$5,标准坦克设计!$B$24:$U$30,MATCH("对"&amp;LEFT($C$5,2)&amp;"输出",标准坦克设计!$B$23:$U$23,0)))*(VLOOKUP($B110,INDIRECT($B$5&amp;"生成成长"),3))*(VLOOKUP($B$5,标准坦克设计!$B$14:$K$20,9)/30))</f>
        <v>5.2026821737925557</v>
      </c>
      <c r="CB110" s="172">
        <f ca="1">(VLOOKUP(CB$72,INDIRECT($C$5&amp;"生成成长"),2))/((VLOOKUP($B110,INDIRECT($B$5&amp;"生成成长"),4))/(VLOOKUP(CB$72,INDIRECT($C$5&amp;"生成成长"),5))*(VLOOKUP($B$5,标准坦克设计!$B$24:$U$30,MATCH("对"&amp;LEFT($C$5,2)&amp;"输出",标准坦克设计!$B$23:$U$23,0)))*(VLOOKUP($B110,INDIRECT($B$5&amp;"生成成长"),3))*(VLOOKUP($B$5,标准坦克设计!$B$14:$K$20,9)/30))</f>
        <v>5.6711648784132054</v>
      </c>
      <c r="CC110" s="172">
        <f ca="1">(VLOOKUP(CC$72,INDIRECT($C$5&amp;"生成成长"),2))/((VLOOKUP($B110,INDIRECT($B$5&amp;"生成成长"),4))/(VLOOKUP(CC$72,INDIRECT($C$5&amp;"生成成长"),5))*(VLOOKUP($B$5,标准坦克设计!$B$24:$U$30,MATCH("对"&amp;LEFT($C$5,2)&amp;"输出",标准坦克设计!$B$23:$U$23,0)))*(VLOOKUP($B110,INDIRECT($B$5&amp;"生成成长"),3))*(VLOOKUP($B$5,标准坦克设计!$B$14:$K$20,9)/30))</f>
        <v>6.1598408030606073</v>
      </c>
      <c r="CD110" s="172">
        <f ca="1">(VLOOKUP(CD$72,INDIRECT($C$5&amp;"生成成长"),2))/((VLOOKUP($B110,INDIRECT($B$5&amp;"生成成长"),4))/(VLOOKUP(CD$72,INDIRECT($C$5&amp;"生成成长"),5))*(VLOOKUP($B$5,标准坦克设计!$B$24:$U$30,MATCH("对"&amp;LEFT($C$5,2)&amp;"输出",标准坦克设计!$B$23:$U$23,0)))*(VLOOKUP($B110,INDIRECT($B$5&amp;"生成成长"),3))*(VLOOKUP($B$5,标准坦克设计!$B$14:$K$20,9)/30))</f>
        <v>6.6687099477347616</v>
      </c>
      <c r="CE110" s="172">
        <f ca="1">(VLOOKUP(CE$72,INDIRECT($C$5&amp;"生成成长"),2))/((VLOOKUP($B110,INDIRECT($B$5&amp;"生成成长"),4))/(VLOOKUP(CE$72,INDIRECT($C$5&amp;"生成成长"),5))*(VLOOKUP($B$5,标准坦克设计!$B$24:$U$30,MATCH("对"&amp;LEFT($C$5,2)&amp;"输出",标准坦克设计!$B$23:$U$23,0)))*(VLOOKUP($B110,INDIRECT($B$5&amp;"生成成长"),3))*(VLOOKUP($B$5,标准坦克设计!$B$14:$K$20,9)/30))</f>
        <v>7.1977723124356681</v>
      </c>
      <c r="CF110" s="172">
        <f ca="1">(VLOOKUP(CF$72,INDIRECT($C$5&amp;"生成成长"),2))/((VLOOKUP($B110,INDIRECT($B$5&amp;"生成成长"),4))/(VLOOKUP(CF$72,INDIRECT($C$5&amp;"生成成长"),5))*(VLOOKUP($B$5,标准坦克设计!$B$24:$U$30,MATCH("对"&amp;LEFT($C$5,2)&amp;"输出",标准坦克设计!$B$23:$U$23,0)))*(VLOOKUP($B110,INDIRECT($B$5&amp;"生成成长"),3))*(VLOOKUP($B$5,标准坦克设计!$B$14:$K$20,9)/30))</f>
        <v>7.7470278971633268</v>
      </c>
      <c r="CG110" s="172">
        <f ca="1">(VLOOKUP(CG$72,INDIRECT($C$5&amp;"生成成长"),2))/((VLOOKUP($B110,INDIRECT($B$5&amp;"生成成长"),4))/(VLOOKUP(CG$72,INDIRECT($C$5&amp;"生成成长"),5))*(VLOOKUP($B$5,标准坦克设计!$B$24:$U$30,MATCH("对"&amp;LEFT($C$5,2)&amp;"输出",标准坦克设计!$B$23:$U$23,0)))*(VLOOKUP($B110,INDIRECT($B$5&amp;"生成成长"),3))*(VLOOKUP($B$5,标准坦克设计!$B$14:$K$20,9)/30))</f>
        <v>8.3164767019177379</v>
      </c>
      <c r="CH110" s="172">
        <f ca="1">(VLOOKUP(CH$72,INDIRECT($C$5&amp;"生成成长"),2))/((VLOOKUP($B110,INDIRECT($B$5&amp;"生成成长"),4))/(VLOOKUP(CH$72,INDIRECT($C$5&amp;"生成成长"),5))*(VLOOKUP($B$5,标准坦克设计!$B$24:$U$30,MATCH("对"&amp;LEFT($C$5,2)&amp;"输出",标准坦克设计!$B$23:$U$23,0)))*(VLOOKUP($B110,INDIRECT($B$5&amp;"生成成长"),3))*(VLOOKUP($B$5,标准坦克设计!$B$14:$K$20,9)/30))</f>
        <v>8.9061187266988995</v>
      </c>
      <c r="CI110" s="172">
        <f ca="1">(VLOOKUP(CI$72,INDIRECT($C$5&amp;"生成成长"),2))/((VLOOKUP($B110,INDIRECT($B$5&amp;"生成成长"),4))/(VLOOKUP(CI$72,INDIRECT($C$5&amp;"生成成长"),5))*(VLOOKUP($B$5,标准坦克设计!$B$24:$U$30,MATCH("对"&amp;LEFT($C$5,2)&amp;"输出",标准坦克设计!$B$23:$U$23,0)))*(VLOOKUP($B110,INDIRECT($B$5&amp;"生成成长"),3))*(VLOOKUP($B$5,标准坦克设计!$B$14:$K$20,9)/30))</f>
        <v>9.5780481230890775</v>
      </c>
      <c r="CJ110" s="172">
        <f ca="1">(VLOOKUP(CJ$72,INDIRECT($C$5&amp;"生成成长"),2))/((VLOOKUP($B110,INDIRECT($B$5&amp;"生成成长"),4))/(VLOOKUP(CJ$72,INDIRECT($C$5&amp;"生成成长"),5))*(VLOOKUP($B$5,标准坦克设计!$B$24:$U$30,MATCH("对"&amp;LEFT($C$5,2)&amp;"输出",标准坦克设计!$B$23:$U$23,0)))*(VLOOKUP($B110,INDIRECT($B$5&amp;"生成成长"),3))*(VLOOKUP($B$5,标准坦克设计!$B$14:$K$20,9)/30))</f>
        <v>10.274411315711625</v>
      </c>
      <c r="CK110" s="172">
        <f ca="1">(VLOOKUP(CK$72,INDIRECT($C$5&amp;"生成成长"),2))/((VLOOKUP($B110,INDIRECT($B$5&amp;"生成成长"),4))/(VLOOKUP(CK$72,INDIRECT($C$5&amp;"生成成长"),5))*(VLOOKUP($B$5,标准坦克设计!$B$24:$U$30,MATCH("对"&amp;LEFT($C$5,2)&amp;"输出",标准坦克设计!$B$23:$U$23,0)))*(VLOOKUP($B110,INDIRECT($B$5&amp;"生成成长"),3))*(VLOOKUP($B$5,标准坦克设计!$B$14:$K$20,9)/30))</f>
        <v>10.995208304566543</v>
      </c>
      <c r="CL110" s="172">
        <f ca="1">(VLOOKUP(CL$72,INDIRECT($C$5&amp;"生成成长"),2))/((VLOOKUP($B110,INDIRECT($B$5&amp;"生成成长"),4))/(VLOOKUP(CL$72,INDIRECT($C$5&amp;"生成成长"),5))*(VLOOKUP($B$5,标准坦克设计!$B$24:$U$30,MATCH("对"&amp;LEFT($C$5,2)&amp;"输出",标准坦克设计!$B$23:$U$23,0)))*(VLOOKUP($B110,INDIRECT($B$5&amp;"生成成长"),3))*(VLOOKUP($B$5,标准坦克设计!$B$14:$K$20,9)/30))</f>
        <v>11.740439089653831</v>
      </c>
      <c r="CM110" s="172">
        <f ca="1">(VLOOKUP(CM$72,INDIRECT($C$5&amp;"生成成长"),2))/((VLOOKUP($B110,INDIRECT($B$5&amp;"生成成长"),4))/(VLOOKUP(CM$72,INDIRECT($C$5&amp;"生成成长"),5))*(VLOOKUP($B$5,标准坦克设计!$B$24:$U$30,MATCH("对"&amp;LEFT($C$5,2)&amp;"输出",标准坦克设计!$B$23:$U$23,0)))*(VLOOKUP($B110,INDIRECT($B$5&amp;"生成成长"),3))*(VLOOKUP($B$5,标准坦克设计!$B$14:$K$20,9)/30))</f>
        <v>12.510103670973487</v>
      </c>
      <c r="CN110" s="172">
        <f ca="1">(VLOOKUP(CN$72,INDIRECT($C$5&amp;"生成成长"),2))/((VLOOKUP($B110,INDIRECT($B$5&amp;"生成成长"),4))/(VLOOKUP(CN$72,INDIRECT($C$5&amp;"生成成长"),5))*(VLOOKUP($B$5,标准坦克设计!$B$24:$U$30,MATCH("对"&amp;LEFT($C$5,2)&amp;"输出",标准坦克设计!$B$23:$U$23,0)))*(VLOOKUP($B110,INDIRECT($B$5&amp;"生成成长"),3))*(VLOOKUP($B$5,标准坦克设计!$B$14:$K$20,9)/30))</f>
        <v>13.304202048525516</v>
      </c>
      <c r="CO110" s="172">
        <f ca="1">(VLOOKUP(CO$72,INDIRECT($C$5&amp;"生成成长"),2))/((VLOOKUP($B110,INDIRECT($B$5&amp;"生成成长"),4))/(VLOOKUP(CO$72,INDIRECT($C$5&amp;"生成成长"),5))*(VLOOKUP($B$5,标准坦克设计!$B$24:$U$30,MATCH("对"&amp;LEFT($C$5,2)&amp;"输出",标准坦克设计!$B$23:$U$23,0)))*(VLOOKUP($B110,INDIRECT($B$5&amp;"生成成长"),3))*(VLOOKUP($B$5,标准坦克设计!$B$14:$K$20,9)/30))</f>
        <v>5.9619472467984362</v>
      </c>
      <c r="CP110" s="172">
        <f ca="1">(VLOOKUP(CP$72,INDIRECT($C$5&amp;"生成成长"),2))/((VLOOKUP($B110,INDIRECT($B$5&amp;"生成成长"),4))/(VLOOKUP(CP$72,INDIRECT($C$5&amp;"生成成长"),5))*(VLOOKUP($B$5,标准坦克设计!$B$24:$U$30,MATCH("对"&amp;LEFT($C$5,2)&amp;"输出",标准坦克设计!$B$23:$U$23,0)))*(VLOOKUP($B110,INDIRECT($B$5&amp;"生成成长"),3))*(VLOOKUP($B$5,标准坦克设计!$B$14:$K$20,9)/30))</f>
        <v>6.5139289162297072</v>
      </c>
      <c r="CQ110" s="172">
        <f ca="1">(VLOOKUP(CQ$72,INDIRECT($C$5&amp;"生成成长"),2))/((VLOOKUP($B110,INDIRECT($B$5&amp;"生成成长"),4))/(VLOOKUP(CQ$72,INDIRECT($C$5&amp;"生成成长"),5))*(VLOOKUP($B$5,标准坦克设计!$B$24:$U$30,MATCH("对"&amp;LEFT($C$5,2)&amp;"输出",标准坦克设计!$B$23:$U$23,0)))*(VLOOKUP($B110,INDIRECT($B$5&amp;"生成成长"),3))*(VLOOKUP($B$5,标准坦克设计!$B$14:$K$20,9)/30))</f>
        <v>7.0903443818933463</v>
      </c>
      <c r="CR110" s="172">
        <f ca="1">(VLOOKUP(CR$72,INDIRECT($C$5&amp;"生成成长"),2))/((VLOOKUP($B110,INDIRECT($B$5&amp;"生成成长"),4))/(VLOOKUP(CR$72,INDIRECT($C$5&amp;"生成成长"),5))*(VLOOKUP($B$5,标准坦克设计!$B$24:$U$30,MATCH("对"&amp;LEFT($C$5,2)&amp;"输出",标准坦克设计!$B$23:$U$23,0)))*(VLOOKUP($B110,INDIRECT($B$5&amp;"生成成长"),3))*(VLOOKUP($B$5,标准坦克设计!$B$14:$K$20,9)/30))</f>
        <v>7.6911936437893571</v>
      </c>
      <c r="CS110" s="172">
        <f ca="1">(VLOOKUP(CS$72,INDIRECT($C$5&amp;"生成成长"),2))/((VLOOKUP($B110,INDIRECT($B$5&amp;"生成成长"),4))/(VLOOKUP(CS$72,INDIRECT($C$5&amp;"生成成长"),5))*(VLOOKUP($B$5,标准坦克设计!$B$24:$U$30,MATCH("对"&amp;LEFT($C$5,2)&amp;"输出",标准坦克设计!$B$23:$U$23,0)))*(VLOOKUP($B110,INDIRECT($B$5&amp;"生成成长"),3))*(VLOOKUP($B$5,标准坦克设计!$B$14:$K$20,9)/30))</f>
        <v>8.3164767019177379</v>
      </c>
      <c r="CT110" s="172">
        <f ca="1">(VLOOKUP(CT$72,INDIRECT($C$5&amp;"生成成长"),2))/((VLOOKUP($B110,INDIRECT($B$5&amp;"生成成长"),4))/(VLOOKUP(CT$72,INDIRECT($C$5&amp;"生成成长"),5))*(VLOOKUP($B$5,标准坦克设计!$B$24:$U$30,MATCH("对"&amp;LEFT($C$5,2)&amp;"输出",标准坦克设计!$B$23:$U$23,0)))*(VLOOKUP($B110,INDIRECT($B$5&amp;"生成成长"),3))*(VLOOKUP($B$5,标准坦克设计!$B$14:$K$20,9)/30))</f>
        <v>8.9661935562784887</v>
      </c>
      <c r="CU110" s="172">
        <f ca="1">(VLOOKUP(CU$72,INDIRECT($C$5&amp;"生成成长"),2))/((VLOOKUP($B110,INDIRECT($B$5&amp;"生成成长"),4))/(VLOOKUP(CU$72,INDIRECT($C$5&amp;"生成成长"),5))*(VLOOKUP($B$5,标准坦克设计!$B$24:$U$30,MATCH("对"&amp;LEFT($C$5,2)&amp;"输出",标准坦克设计!$B$23:$U$23,0)))*(VLOOKUP($B110,INDIRECT($B$5&amp;"生成成长"),3))*(VLOOKUP($B$5,标准坦克设计!$B$14:$K$20,9)/30))</f>
        <v>9.6403442068716103</v>
      </c>
      <c r="CV110" s="172">
        <f ca="1">(VLOOKUP(CV$72,INDIRECT($C$5&amp;"生成成长"),2))/((VLOOKUP($B110,INDIRECT($B$5&amp;"生成成长"),4))/(VLOOKUP(CV$72,INDIRECT($C$5&amp;"生成成长"),5))*(VLOOKUP($B$5,标准坦克设计!$B$24:$U$30,MATCH("对"&amp;LEFT($C$5,2)&amp;"输出",标准坦克设计!$B$23:$U$23,0)))*(VLOOKUP($B110,INDIRECT($B$5&amp;"生成成长"),3))*(VLOOKUP($B$5,标准坦克设计!$B$14:$K$20,9)/30))</f>
        <v>10.338928653697097</v>
      </c>
      <c r="CW110" s="172">
        <f ca="1">(VLOOKUP(CW$72,INDIRECT($C$5&amp;"生成成长"),2))/((VLOOKUP($B110,INDIRECT($B$5&amp;"生成成长"),4))/(VLOOKUP(CW$72,INDIRECT($C$5&amp;"生成成长"),5))*(VLOOKUP($B$5,标准坦克设计!$B$24:$U$30,MATCH("对"&amp;LEFT($C$5,2)&amp;"输出",标准坦克设计!$B$23:$U$23,0)))*(VLOOKUP($B110,INDIRECT($B$5&amp;"生成成长"),3))*(VLOOKUP($B$5,标准坦克设计!$B$14:$K$20,9)/30))</f>
        <v>11.061946896754959</v>
      </c>
      <c r="CX110" s="172">
        <f ca="1">(VLOOKUP(CX$72,INDIRECT($C$5&amp;"生成成长"),2))/((VLOOKUP($B110,INDIRECT($B$5&amp;"生成成长"),4))/(VLOOKUP(CX$72,INDIRECT($C$5&amp;"生成成长"),5))*(VLOOKUP($B$5,标准坦克设计!$B$24:$U$30,MATCH("对"&amp;LEFT($C$5,2)&amp;"输出",标准坦克设计!$B$23:$U$23,0)))*(VLOOKUP($B110,INDIRECT($B$5&amp;"生成成长"),3))*(VLOOKUP($B$5,标准坦克设计!$B$14:$K$20,9)/30))</f>
        <v>11.80939893604519</v>
      </c>
      <c r="CY110" s="172">
        <f ca="1">(VLOOKUP(CY$72,INDIRECT($C$5&amp;"生成成长"),2))/((VLOOKUP($B110,INDIRECT($B$5&amp;"生成成长"),4))/(VLOOKUP(CY$72,INDIRECT($C$5&amp;"生成成长"),5))*(VLOOKUP($B$5,标准坦克设计!$B$24:$U$30,MATCH("对"&amp;LEFT($C$5,2)&amp;"输出",标准坦克设计!$B$23:$U$23,0)))*(VLOOKUP($B110,INDIRECT($B$5&amp;"生成成长"),3))*(VLOOKUP($B$5,标准坦克设计!$B$14:$K$20,9)/30))</f>
        <v>12.581284771567791</v>
      </c>
      <c r="CZ110" s="172">
        <f ca="1">(VLOOKUP(CZ$72,INDIRECT($C$5&amp;"生成成长"),2))/((VLOOKUP($B110,INDIRECT($B$5&amp;"生成成长"),4))/(VLOOKUP(CZ$72,INDIRECT($C$5&amp;"生成成长"),5))*(VLOOKUP($B$5,标准坦克设计!$B$24:$U$30,MATCH("对"&amp;LEFT($C$5,2)&amp;"输出",标准坦克设计!$B$23:$U$23,0)))*(VLOOKUP($B110,INDIRECT($B$5&amp;"生成成长"),3))*(VLOOKUP($B$5,标准坦克设计!$B$14:$K$20,9)/30))</f>
        <v>13.37760440332276</v>
      </c>
      <c r="DA110" s="172">
        <f ca="1">(VLOOKUP(DA$72,INDIRECT($C$5&amp;"生成成长"),2))/((VLOOKUP($B110,INDIRECT($B$5&amp;"生成成长"),4))/(VLOOKUP(DA$72,INDIRECT($C$5&amp;"生成成长"),5))*(VLOOKUP($B$5,标准坦克设计!$B$24:$U$30,MATCH("对"&amp;LEFT($C$5,2)&amp;"输出",标准坦克设计!$B$23:$U$23,0)))*(VLOOKUP($B110,INDIRECT($B$5&amp;"生成成长"),3))*(VLOOKUP($B$5,标准坦克设计!$B$14:$K$20,9)/30))</f>
        <v>14.1983578313101</v>
      </c>
      <c r="DB110" s="172">
        <f ca="1">(VLOOKUP(DB$72,INDIRECT($C$5&amp;"生成成长"),2))/((VLOOKUP($B110,INDIRECT($B$5&amp;"生成成长"),4))/(VLOOKUP(DB$72,INDIRECT($C$5&amp;"生成成长"),5))*(VLOOKUP($B$5,标准坦克设计!$B$24:$U$30,MATCH("对"&amp;LEFT($C$5,2)&amp;"输出",标准坦克设计!$B$23:$U$23,0)))*(VLOOKUP($B110,INDIRECT($B$5&amp;"生成成长"),3))*(VLOOKUP($B$5,标准坦克设计!$B$14:$K$20,9)/30))</f>
        <v>15.043545055529814</v>
      </c>
      <c r="DC110" s="172">
        <f ca="1">(VLOOKUP(DC$72,INDIRECT($C$5&amp;"生成成长"),2))/((VLOOKUP($B110,INDIRECT($B$5&amp;"生成成长"),4))/(VLOOKUP(DC$72,INDIRECT($C$5&amp;"生成成长"),5))*(VLOOKUP($B$5,标准坦克设计!$B$24:$U$30,MATCH("对"&amp;LEFT($C$5,2)&amp;"输出",标准坦克设计!$B$23:$U$23,0)))*(VLOOKUP($B110,INDIRECT($B$5&amp;"生成成长"),3))*(VLOOKUP($B$5,标准坦克设计!$B$14:$K$20,9)/30))</f>
        <v>15.993434125588232</v>
      </c>
      <c r="DD110" s="172">
        <f ca="1">(VLOOKUP(DD$72,INDIRECT($C$5&amp;"生成成长"),2))/((VLOOKUP($B110,INDIRECT($B$5&amp;"生成成长"),4))/(VLOOKUP(DD$72,INDIRECT($C$5&amp;"生成成长"),5))*(VLOOKUP($B$5,标准坦克设计!$B$24:$U$30,MATCH("对"&amp;LEFT($C$5,2)&amp;"输出",标准坦克设计!$B$23:$U$23,0)))*(VLOOKUP($B110,INDIRECT($B$5&amp;"生成成长"),3))*(VLOOKUP($B$5,标准坦克设计!$B$14:$K$20,9)/30))</f>
        <v>16.972401432485178</v>
      </c>
      <c r="DE110" s="172">
        <f ca="1">(VLOOKUP(DE$72,INDIRECT($C$5&amp;"生成成长"),2))/((VLOOKUP($B110,INDIRECT($B$5&amp;"生成成长"),4))/(VLOOKUP(DE$72,INDIRECT($C$5&amp;"生成成长"),5))*(VLOOKUP($B$5,标准坦克设计!$B$24:$U$30,MATCH("对"&amp;LEFT($C$5,2)&amp;"输出",标准坦克设计!$B$23:$U$23,0)))*(VLOOKUP($B110,INDIRECT($B$5&amp;"生成成长"),3))*(VLOOKUP($B$5,标准坦克设计!$B$14:$K$20,9)/30))</f>
        <v>17.980446976220644</v>
      </c>
      <c r="DF110" s="172">
        <f ca="1">(VLOOKUP(DF$72,INDIRECT($C$5&amp;"生成成长"),2))/((VLOOKUP($B110,INDIRECT($B$5&amp;"生成成长"),4))/(VLOOKUP(DF$72,INDIRECT($C$5&amp;"生成成长"),5))*(VLOOKUP($B$5,标准坦克设计!$B$24:$U$30,MATCH("对"&amp;LEFT($C$5,2)&amp;"输出",标准坦克设计!$B$23:$U$23,0)))*(VLOOKUP($B110,INDIRECT($B$5&amp;"生成成长"),3))*(VLOOKUP($B$5,标准坦克设计!$B$14:$K$20,9)/30))</f>
        <v>19.017570756794633</v>
      </c>
      <c r="DG110" s="172">
        <f ca="1">(VLOOKUP(DG$72,INDIRECT($C$5&amp;"生成成长"),2))/((VLOOKUP($B110,INDIRECT($B$5&amp;"生成成长"),4))/(VLOOKUP(DG$72,INDIRECT($C$5&amp;"生成成长"),5))*(VLOOKUP($B$5,标准坦克设计!$B$24:$U$30,MATCH("对"&amp;LEFT($C$5,2)&amp;"输出",标准坦克设计!$B$23:$U$23,0)))*(VLOOKUP($B110,INDIRECT($B$5&amp;"生成成长"),3))*(VLOOKUP($B$5,标准坦克设计!$B$14:$K$20,9)/30))</f>
        <v>20.083772774207144</v>
      </c>
      <c r="DH110" s="172">
        <f ca="1">(VLOOKUP(DH$72,INDIRECT($C$5&amp;"生成成长"),2))/((VLOOKUP($B110,INDIRECT($B$5&amp;"生成成长"),4))/(VLOOKUP(DH$72,INDIRECT($C$5&amp;"生成成长"),5))*(VLOOKUP($B$5,标准坦克设计!$B$24:$U$30,MATCH("对"&amp;LEFT($C$5,2)&amp;"输出",标准坦克设计!$B$23:$U$23,0)))*(VLOOKUP($B110,INDIRECT($B$5&amp;"生成成长"),3))*(VLOOKUP($B$5,标准坦克设计!$B$14:$K$20,9)/30))</f>
        <v>21.179053028458185</v>
      </c>
      <c r="DI110" s="172">
        <f ca="1">(VLOOKUP(DI$72,INDIRECT($C$5&amp;"生成成长"),2))/((VLOOKUP($B110,INDIRECT($B$5&amp;"生成成长"),4))/(VLOOKUP(DI$72,INDIRECT($C$5&amp;"生成成长"),5))*(VLOOKUP($B$5,标准坦克设计!$B$24:$U$30,MATCH("对"&amp;LEFT($C$5,2)&amp;"输出",标准坦克设计!$B$23:$U$23,0)))*(VLOOKUP($B110,INDIRECT($B$5&amp;"生成成长"),3))*(VLOOKUP($B$5,标准坦克设计!$B$14:$K$20,9)/30))</f>
        <v>22.303411519547748</v>
      </c>
      <c r="DJ110" s="172">
        <f ca="1">(VLOOKUP(DJ$72,INDIRECT($C$5&amp;"生成成长"),2))/((VLOOKUP($B110,INDIRECT($B$5&amp;"生成成长"),4))/(VLOOKUP(DJ$72,INDIRECT($C$5&amp;"生成成长"),5))*(VLOOKUP($B$5,标准坦克设计!$B$24:$U$30,MATCH("对"&amp;LEFT($C$5,2)&amp;"输出",标准坦克设计!$B$23:$U$23,0)))*(VLOOKUP($B110,INDIRECT($B$5&amp;"生成成长"),3))*(VLOOKUP($B$5,标准坦克设计!$B$14:$K$20,9)/30))</f>
        <v>2.2415483890696222</v>
      </c>
      <c r="DK110" s="172">
        <f ca="1">(VLOOKUP(DK$72,INDIRECT($C$5&amp;"生成成长"),2))/((VLOOKUP($B110,INDIRECT($B$5&amp;"生成成长"),4))/(VLOOKUP(DK$72,INDIRECT($C$5&amp;"生成成长"),5))*(VLOOKUP($B$5,标准坦克设计!$B$24:$U$30,MATCH("对"&amp;LEFT($C$5,2)&amp;"输出",标准坦克设计!$B$23:$U$23,0)))*(VLOOKUP($B110,INDIRECT($B$5&amp;"生成成长"),3))*(VLOOKUP($B$5,标准坦克设计!$B$14:$K$20,9)/30))</f>
        <v>2.5205177237392031</v>
      </c>
      <c r="DL110" s="172">
        <f ca="1">(VLOOKUP(DL$72,INDIRECT($C$5&amp;"生成成长"),2))/((VLOOKUP($B110,INDIRECT($B$5&amp;"生成成长"),4))/(VLOOKUP(DL$72,INDIRECT($C$5&amp;"生成成长"),5))*(VLOOKUP($B$5,标准坦克设计!$B$24:$U$30,MATCH("对"&amp;LEFT($C$5,2)&amp;"输出",标准坦克设计!$B$23:$U$23,0)))*(VLOOKUP($B110,INDIRECT($B$5&amp;"生成成长"),3))*(VLOOKUP($B$5,标准坦克设计!$B$14:$K$20,9)/30))</f>
        <v>2.8158435666304524</v>
      </c>
      <c r="DM110" s="172">
        <f ca="1">(VLOOKUP(DM$72,INDIRECT($C$5&amp;"生成成长"),2))/((VLOOKUP($B110,INDIRECT($B$5&amp;"生成成长"),4))/(VLOOKUP(DM$72,INDIRECT($C$5&amp;"生成成长"),5))*(VLOOKUP($B$5,标准坦克设计!$B$24:$U$30,MATCH("对"&amp;LEFT($C$5,2)&amp;"输出",标准坦克设计!$B$23:$U$23,0)))*(VLOOKUP($B110,INDIRECT($B$5&amp;"生成成长"),3))*(VLOOKUP($B$5,标准坦克设计!$B$14:$K$20,9)/30))</f>
        <v>3.1275259177433719</v>
      </c>
      <c r="DN110" s="172">
        <f ca="1">(VLOOKUP(DN$72,INDIRECT($C$5&amp;"生成成长"),2))/((VLOOKUP($B110,INDIRECT($B$5&amp;"生成成长"),4))/(VLOOKUP(DN$72,INDIRECT($C$5&amp;"生成成长"),5))*(VLOOKUP($B$5,标准坦克设计!$B$24:$U$30,MATCH("对"&amp;LEFT($C$5,2)&amp;"输出",标准坦克设计!$B$23:$U$23,0)))*(VLOOKUP($B110,INDIRECT($B$5&amp;"生成成长"),3))*(VLOOKUP($B$5,标准坦克设计!$B$14:$K$20,9)/30))</f>
        <v>3.4555647770779609</v>
      </c>
      <c r="DO110" s="172">
        <f ca="1">(VLOOKUP(DO$72,INDIRECT($C$5&amp;"生成成长"),2))/((VLOOKUP($B110,INDIRECT($B$5&amp;"生成成长"),4))/(VLOOKUP(DO$72,INDIRECT($C$5&amp;"生成成长"),5))*(VLOOKUP($B$5,标准坦克设计!$B$24:$U$30,MATCH("对"&amp;LEFT($C$5,2)&amp;"输出",标准坦克设计!$B$23:$U$23,0)))*(VLOOKUP($B110,INDIRECT($B$5&amp;"生成成长"),3))*(VLOOKUP($B$5,标准坦克设计!$B$14:$K$20,9)/30))</f>
        <v>3.7999601446342188</v>
      </c>
      <c r="DP110" s="172">
        <f ca="1">(VLOOKUP(DP$72,INDIRECT($C$5&amp;"生成成长"),2))/((VLOOKUP($B110,INDIRECT($B$5&amp;"生成成长"),4))/(VLOOKUP(DP$72,INDIRECT($C$5&amp;"生成成长"),5))*(VLOOKUP($B$5,标准坦克设计!$B$24:$U$30,MATCH("对"&amp;LEFT($C$5,2)&amp;"输出",标准坦克设计!$B$23:$U$23,0)))*(VLOOKUP($B110,INDIRECT($B$5&amp;"生成成长"),3))*(VLOOKUP($B$5,标准坦克设计!$B$14:$K$20,9)/30))</f>
        <v>4.1607120204121459</v>
      </c>
      <c r="DQ110" s="172">
        <f ca="1">(VLOOKUP(DQ$72,INDIRECT($C$5&amp;"生成成长"),2))/((VLOOKUP($B110,INDIRECT($B$5&amp;"生成成长"),4))/(VLOOKUP(DQ$72,INDIRECT($C$5&amp;"生成成长"),5))*(VLOOKUP($B$5,标准坦克设计!$B$24:$U$30,MATCH("对"&amp;LEFT($C$5,2)&amp;"输出",标准坦克设计!$B$23:$U$23,0)))*(VLOOKUP($B110,INDIRECT($B$5&amp;"生成成长"),3))*(VLOOKUP($B$5,标准坦克设计!$B$14:$K$20,9)/30))</f>
        <v>4.5378204044117423</v>
      </c>
      <c r="DR110" s="172">
        <f ca="1">(VLOOKUP(DR$72,INDIRECT($C$5&amp;"生成成长"),2))/((VLOOKUP($B110,INDIRECT($B$5&amp;"生成成长"),4))/(VLOOKUP(DR$72,INDIRECT($C$5&amp;"生成成长"),5))*(VLOOKUP($B$5,标准坦克设计!$B$24:$U$30,MATCH("对"&amp;LEFT($C$5,2)&amp;"输出",标准坦克设计!$B$23:$U$23,0)))*(VLOOKUP($B110,INDIRECT($B$5&amp;"生成成长"),3))*(VLOOKUP($B$5,标准坦克设计!$B$14:$K$20,9)/30))</f>
        <v>4.9312852966330079</v>
      </c>
      <c r="DS110" s="172">
        <f ca="1">(VLOOKUP(DS$72,INDIRECT($C$5&amp;"生成成长"),2))/((VLOOKUP($B110,INDIRECT($B$5&amp;"生成成长"),4))/(VLOOKUP(DS$72,INDIRECT($C$5&amp;"生成成长"),5))*(VLOOKUP($B$5,标准坦克设计!$B$24:$U$30,MATCH("对"&amp;LEFT($C$5,2)&amp;"输出",标准坦克设计!$B$23:$U$23,0)))*(VLOOKUP($B110,INDIRECT($B$5&amp;"生成成长"),3))*(VLOOKUP($B$5,标准坦克设计!$B$14:$K$20,9)/30))</f>
        <v>5.3411066970759427</v>
      </c>
      <c r="DT110" s="172">
        <f ca="1">(VLOOKUP(DT$72,INDIRECT($C$5&amp;"生成成长"),2))/((VLOOKUP($B110,INDIRECT($B$5&amp;"生成成长"),4))/(VLOOKUP(DT$72,INDIRECT($C$5&amp;"生成成长"),5))*(VLOOKUP($B$5,标准坦克设计!$B$24:$U$30,MATCH("对"&amp;LEFT($C$5,2)&amp;"输出",标准坦克设计!$B$23:$U$23,0)))*(VLOOKUP($B110,INDIRECT($B$5&amp;"生成成长"),3))*(VLOOKUP($B$5,标准坦克设计!$B$14:$K$20,9)/30))</f>
        <v>5.8642120618689573</v>
      </c>
      <c r="DU110" s="172">
        <f ca="1">(VLOOKUP(DU$72,INDIRECT($C$5&amp;"生成成长"),2))/((VLOOKUP($B110,INDIRECT($B$5&amp;"生成成长"),4))/(VLOOKUP(DU$72,INDIRECT($C$5&amp;"生成成长"),5))*(VLOOKUP($B$5,标准坦克设计!$B$24:$U$30,MATCH("对"&amp;LEFT($C$5,2)&amp;"输出",标准坦克设计!$B$23:$U$23,0)))*(VLOOKUP($B110,INDIRECT($B$5&amp;"生成成长"),3))*(VLOOKUP($B$5,标准坦克设计!$B$14:$K$20,9)/30))</f>
        <v>6.4117512228943401</v>
      </c>
      <c r="DV110" s="172">
        <f ca="1">(VLOOKUP(DV$72,INDIRECT($C$5&amp;"生成成长"),2))/((VLOOKUP($B110,INDIRECT($B$5&amp;"生成成长"),4))/(VLOOKUP(DV$72,INDIRECT($C$5&amp;"生成成长"),5))*(VLOOKUP($B$5,标准坦克设计!$B$24:$U$30,MATCH("对"&amp;LEFT($C$5,2)&amp;"输出",标准坦克设计!$B$23:$U$23,0)))*(VLOOKUP($B110,INDIRECT($B$5&amp;"生成成长"),3))*(VLOOKUP($B$5,标准坦克设计!$B$14:$K$20,9)/30))</f>
        <v>6.9837241801520937</v>
      </c>
      <c r="DW110" s="172">
        <f ca="1">(VLOOKUP(DW$72,INDIRECT($C$5&amp;"生成成长"),2))/((VLOOKUP($B110,INDIRECT($B$5&amp;"生成成长"),4))/(VLOOKUP(DW$72,INDIRECT($C$5&amp;"生成成长"),5))*(VLOOKUP($B$5,标准坦克设计!$B$24:$U$30,MATCH("对"&amp;LEFT($C$5,2)&amp;"输出",标准坦克设计!$B$23:$U$23,0)))*(VLOOKUP($B110,INDIRECT($B$5&amp;"生成成长"),3))*(VLOOKUP($B$5,标准坦克设计!$B$14:$K$20,9)/30))</f>
        <v>7.58013093364222</v>
      </c>
      <c r="DX110" s="172">
        <f ca="1">(VLOOKUP(DX$72,INDIRECT($C$5&amp;"生成成长"),2))/((VLOOKUP($B110,INDIRECT($B$5&amp;"生成成长"),4))/(VLOOKUP(DX$72,INDIRECT($C$5&amp;"生成成长"),5))*(VLOOKUP($B$5,标准坦克设计!$B$24:$U$30,MATCH("对"&amp;LEFT($C$5,2)&amp;"输出",标准坦克设计!$B$23:$U$23,0)))*(VLOOKUP($B110,INDIRECT($B$5&amp;"生成成长"),3))*(VLOOKUP($B$5,标准坦克设计!$B$14:$K$20,9)/30))</f>
        <v>8.2009714833647127</v>
      </c>
      <c r="DY110" s="172">
        <f ca="1">(VLOOKUP(DY$72,INDIRECT($C$5&amp;"生成成长"),2))/((VLOOKUP($B110,INDIRECT($B$5&amp;"生成成长"),4))/(VLOOKUP(DY$72,INDIRECT($C$5&amp;"生成成长"),5))*(VLOOKUP($B$5,标准坦克设计!$B$24:$U$30,MATCH("对"&amp;LEFT($C$5,2)&amp;"输出",标准坦克设计!$B$23:$U$23,0)))*(VLOOKUP($B110,INDIRECT($B$5&amp;"生成成长"),3))*(VLOOKUP($B$5,标准坦克设计!$B$14:$K$20,9)/30))</f>
        <v>3.6833442989797249</v>
      </c>
      <c r="DZ110" s="172">
        <f ca="1">(VLOOKUP(DZ$72,INDIRECT($C$5&amp;"生成成长"),2))/((VLOOKUP($B110,INDIRECT($B$5&amp;"生成成长"),4))/(VLOOKUP(DZ$72,INDIRECT($C$5&amp;"生成成长"),5))*(VLOOKUP($B$5,标准坦克设计!$B$24:$U$30,MATCH("对"&amp;LEFT($C$5,2)&amp;"输出",标准坦克设计!$B$23:$U$23,0)))*(VLOOKUP($B110,INDIRECT($B$5&amp;"生成成长"),3))*(VLOOKUP($B$5,标准坦克设计!$B$14:$K$20,9)/30))</f>
        <v>4.0791314115040667</v>
      </c>
      <c r="EA110" s="172">
        <f ca="1">(VLOOKUP(EA$72,INDIRECT($C$5&amp;"生成成长"),2))/((VLOOKUP($B110,INDIRECT($B$5&amp;"生成成长"),4))/(VLOOKUP(EA$72,INDIRECT($C$5&amp;"生成成长"),5))*(VLOOKUP($B$5,标准坦克设计!$B$24:$U$30,MATCH("对"&amp;LEFT($C$5,2)&amp;"输出",标准坦克设计!$B$23:$U$23,0)))*(VLOOKUP($B110,INDIRECT($B$5&amp;"生成成长"),3))*(VLOOKUP($B$5,标准坦克设计!$B$14:$K$20,9)/30))</f>
        <v>4.4951117440551611</v>
      </c>
      <c r="EB110" s="172">
        <f ca="1">(VLOOKUP(EB$72,INDIRECT($C$5&amp;"生成成长"),2))/((VLOOKUP($B110,INDIRECT($B$5&amp;"生成成长"),4))/(VLOOKUP(EB$72,INDIRECT($C$5&amp;"生成成长"),5))*(VLOOKUP($B$5,标准坦克设计!$B$24:$U$30,MATCH("对"&amp;LEFT($C$5,2)&amp;"输出",标准坦克设计!$B$23:$U$23,0)))*(VLOOKUP($B110,INDIRECT($B$5&amp;"生成成长"),3))*(VLOOKUP($B$5,标准坦克设计!$B$14:$K$20,9)/30))</f>
        <v>4.9312852966330079</v>
      </c>
      <c r="EC110" s="172">
        <f ca="1">(VLOOKUP(EC$72,INDIRECT($C$5&amp;"生成成长"),2))/((VLOOKUP($B110,INDIRECT($B$5&amp;"生成成长"),4))/(VLOOKUP(EC$72,INDIRECT($C$5&amp;"生成成长"),5))*(VLOOKUP($B$5,标准坦克设计!$B$24:$U$30,MATCH("对"&amp;LEFT($C$5,2)&amp;"输出",标准坦克设计!$B$23:$U$23,0)))*(VLOOKUP($B110,INDIRECT($B$5&amp;"生成成长"),3))*(VLOOKUP($B$5,标准坦克设计!$B$14:$K$20,9)/30))</f>
        <v>5.3876520692376051</v>
      </c>
      <c r="ED110" s="172">
        <f ca="1">(VLOOKUP(ED$72,INDIRECT($C$5&amp;"生成成长"),2))/((VLOOKUP($B110,INDIRECT($B$5&amp;"生成成长"),4))/(VLOOKUP(ED$72,INDIRECT($C$5&amp;"生成成长"),5))*(VLOOKUP($B$5,标准坦克设计!$B$24:$U$30,MATCH("对"&amp;LEFT($C$5,2)&amp;"输出",标准坦克设计!$B$23:$U$23,0)))*(VLOOKUP($B110,INDIRECT($B$5&amp;"生成成长"),3))*(VLOOKUP($B$5,标准坦克设计!$B$14:$K$20,9)/30))</f>
        <v>5.8642120618689573</v>
      </c>
      <c r="EE110" s="172">
        <f ca="1">(VLOOKUP(EE$72,INDIRECT($C$5&amp;"生成成长"),2))/((VLOOKUP($B110,INDIRECT($B$5&amp;"生成成长"),4))/(VLOOKUP(EE$72,INDIRECT($C$5&amp;"生成成长"),5))*(VLOOKUP($B$5,标准坦克设计!$B$24:$U$30,MATCH("对"&amp;LEFT($C$5,2)&amp;"输出",标准坦克设计!$B$23:$U$23,0)))*(VLOOKUP($B110,INDIRECT($B$5&amp;"生成成长"),3))*(VLOOKUP($B$5,标准坦克设计!$B$14:$K$20,9)/30))</f>
        <v>6.36096527452706</v>
      </c>
      <c r="EF110" s="172">
        <f ca="1">(VLOOKUP(EF$72,INDIRECT($C$5&amp;"生成成长"),2))/((VLOOKUP($B110,INDIRECT($B$5&amp;"生成成长"),4))/(VLOOKUP(EF$72,INDIRECT($C$5&amp;"生成成长"),5))*(VLOOKUP($B$5,标准坦克设计!$B$24:$U$30,MATCH("对"&amp;LEFT($C$5,2)&amp;"输出",标准坦克设计!$B$23:$U$23,0)))*(VLOOKUP($B110,INDIRECT($B$5&amp;"生成成长"),3))*(VLOOKUP($B$5,标准坦克设计!$B$14:$K$20,9)/30))</f>
        <v>6.8779117072119149</v>
      </c>
      <c r="EG110" s="172">
        <f ca="1">(VLOOKUP(EG$72,INDIRECT($C$5&amp;"生成成长"),2))/((VLOOKUP($B110,INDIRECT($B$5&amp;"生成成长"),4))/(VLOOKUP(EG$72,INDIRECT($C$5&amp;"生成成长"),5))*(VLOOKUP($B$5,标准坦克设计!$B$24:$U$30,MATCH("对"&amp;LEFT($C$5,2)&amp;"输出",标准坦克设计!$B$23:$U$23,0)))*(VLOOKUP($B110,INDIRECT($B$5&amp;"生成成长"),3))*(VLOOKUP($B$5,标准坦克设计!$B$14:$K$20,9)/30))</f>
        <v>7.4150513599235213</v>
      </c>
      <c r="EH110" s="172">
        <f ca="1">(VLOOKUP(EH$72,INDIRECT($C$5&amp;"生成成长"),2))/((VLOOKUP($B110,INDIRECT($B$5&amp;"生成成长"),4))/(VLOOKUP(EH$72,INDIRECT($C$5&amp;"生成成长"),5))*(VLOOKUP($B$5,标准坦克设计!$B$24:$U$30,MATCH("对"&amp;LEFT($C$5,2)&amp;"输出",标准坦克设计!$B$23:$U$23,0)))*(VLOOKUP($B110,INDIRECT($B$5&amp;"生成成长"),3))*(VLOOKUP($B$5,标准坦克设计!$B$14:$K$20,9)/30))</f>
        <v>7.9723842326618808</v>
      </c>
      <c r="EI110" s="172">
        <f ca="1">(VLOOKUP(EI$72,INDIRECT($C$5&amp;"生成成长"),2))/((VLOOKUP($B110,INDIRECT($B$5&amp;"生成成长"),4))/(VLOOKUP(EI$72,INDIRECT($C$5&amp;"生成成长"),5))*(VLOOKUP($B$5,标准坦克设计!$B$24:$U$30,MATCH("对"&amp;LEFT($C$5,2)&amp;"输出",标准坦克设计!$B$23:$U$23,0)))*(VLOOKUP($B110,INDIRECT($B$5&amp;"生成成长"),3))*(VLOOKUP($B$5,标准坦克设计!$B$14:$K$20,9)/30))</f>
        <v>8.5499103254269908</v>
      </c>
      <c r="EJ110" s="172">
        <f ca="1">(VLOOKUP(EJ$72,INDIRECT($C$5&amp;"生成成长"),2))/((VLOOKUP($B110,INDIRECT($B$5&amp;"生成成长"),4))/(VLOOKUP(EJ$72,INDIRECT($C$5&amp;"生成成长"),5))*(VLOOKUP($B$5,标准坦克设计!$B$24:$U$30,MATCH("对"&amp;LEFT($C$5,2)&amp;"输出",标准坦克设计!$B$23:$U$23,0)))*(VLOOKUP($B110,INDIRECT($B$5&amp;"生成成长"),3))*(VLOOKUP($B$5,标准坦克设计!$B$14:$K$20,9)/30))</f>
        <v>9.147629638218854</v>
      </c>
      <c r="EK110" s="172">
        <f ca="1">(VLOOKUP(EK$72,INDIRECT($C$5&amp;"生成成长"),2))/((VLOOKUP($B110,INDIRECT($B$5&amp;"生成成长"),4))/(VLOOKUP(EK$72,INDIRECT($C$5&amp;"生成成长"),5))*(VLOOKUP($B$5,标准坦克设计!$B$24:$U$30,MATCH("对"&amp;LEFT($C$5,2)&amp;"输出",标准坦克设计!$B$23:$U$23,0)))*(VLOOKUP($B110,INDIRECT($B$5&amp;"生成成长"),3))*(VLOOKUP($B$5,标准坦克设计!$B$14:$K$20,9)/30))</f>
        <v>9.8915478640044032</v>
      </c>
      <c r="EL110" s="172">
        <f ca="1">(VLOOKUP(EL$72,INDIRECT($C$5&amp;"生成成长"),2))/((VLOOKUP($B110,INDIRECT($B$5&amp;"生成成长"),4))/(VLOOKUP(EL$72,INDIRECT($C$5&amp;"生成成长"),5))*(VLOOKUP($B$5,标准坦克设计!$B$24:$U$30,MATCH("对"&amp;LEFT($C$5,2)&amp;"输出",标准坦克设计!$B$23:$U$23,0)))*(VLOOKUP($B110,INDIRECT($B$5&amp;"生成成长"),3))*(VLOOKUP($B$5,标准坦克设计!$B$14:$K$20,9)/30))</f>
        <v>10.664544326628475</v>
      </c>
      <c r="EM110" s="172">
        <f ca="1">(VLOOKUP(EM$72,INDIRECT($C$5&amp;"生成成长"),2))/((VLOOKUP($B110,INDIRECT($B$5&amp;"生成成长"),4))/(VLOOKUP(EM$72,INDIRECT($C$5&amp;"生成成长"),5))*(VLOOKUP($B$5,标准坦克设计!$B$24:$U$30,MATCH("对"&amp;LEFT($C$5,2)&amp;"输出",标准坦克设计!$B$23:$U$23,0)))*(VLOOKUP($B110,INDIRECT($B$5&amp;"生成成长"),3))*(VLOOKUP($B$5,标准坦克设计!$B$14:$K$20,9)/30))</f>
        <v>11.466619026091069</v>
      </c>
      <c r="EN110" s="172">
        <f ca="1">(VLOOKUP(EN$72,INDIRECT($C$5&amp;"生成成长"),2))/((VLOOKUP($B110,INDIRECT($B$5&amp;"生成成长"),4))/(VLOOKUP(EN$72,INDIRECT($C$5&amp;"生成成长"),5))*(VLOOKUP($B$5,标准坦克设计!$B$24:$U$30,MATCH("对"&amp;LEFT($C$5,2)&amp;"输出",标准坦克设计!$B$23:$U$23,0)))*(VLOOKUP($B110,INDIRECT($B$5&amp;"生成成长"),3))*(VLOOKUP($B$5,标准坦克设计!$B$14:$K$20,9)/30))</f>
        <v>12.29777196239219</v>
      </c>
      <c r="EO110" s="172">
        <f ca="1">(VLOOKUP(EO$72,INDIRECT($C$5&amp;"生成成长"),2))/((VLOOKUP($B110,INDIRECT($B$5&amp;"生成成长"),4))/(VLOOKUP(EO$72,INDIRECT($C$5&amp;"生成成长"),5))*(VLOOKUP($B$5,标准坦克设计!$B$24:$U$30,MATCH("对"&amp;LEFT($C$5,2)&amp;"输出",标准坦克设计!$B$23:$U$23,0)))*(VLOOKUP($B110,INDIRECT($B$5&amp;"生成成长"),3))*(VLOOKUP($B$5,标准坦克设计!$B$14:$K$20,9)/30))</f>
        <v>13.15800313553183</v>
      </c>
      <c r="EP110" s="172">
        <f ca="1">(VLOOKUP(EP$72,INDIRECT($C$5&amp;"生成成长"),2))/((VLOOKUP($B110,INDIRECT($B$5&amp;"生成成长"),4))/(VLOOKUP(EP$72,INDIRECT($C$5&amp;"生成成长"),5))*(VLOOKUP($B$5,标准坦克设计!$B$24:$U$30,MATCH("对"&amp;LEFT($C$5,2)&amp;"输出",标准坦克设计!$B$23:$U$23,0)))*(VLOOKUP($B110,INDIRECT($B$5&amp;"生成成长"),3))*(VLOOKUP($B$5,标准坦克设计!$B$14:$K$20,9)/30))</f>
        <v>14.047312545509994</v>
      </c>
      <c r="EQ110" s="172">
        <f ca="1">(VLOOKUP(EQ$72,INDIRECT($C$5&amp;"生成成长"),2))/((VLOOKUP($B110,INDIRECT($B$5&amp;"生成成长"),4))/(VLOOKUP(EQ$72,INDIRECT($C$5&amp;"生成成长"),5))*(VLOOKUP($B$5,标准坦克设计!$B$24:$U$30,MATCH("对"&amp;LEFT($C$5,2)&amp;"输出",标准坦克设计!$B$23:$U$23,0)))*(VLOOKUP($B110,INDIRECT($B$5&amp;"生成成长"),3))*(VLOOKUP($B$5,标准坦克设计!$B$14:$K$20,9)/30))</f>
        <v>6.20981902262682</v>
      </c>
      <c r="ER110" s="172">
        <f ca="1">(VLOOKUP(ER$72,INDIRECT($C$5&amp;"生成成长"),2))/((VLOOKUP($B110,INDIRECT($B$5&amp;"生成成长"),4))/(VLOOKUP(ER$72,INDIRECT($C$5&amp;"生成成长"),5))*(VLOOKUP($B$5,标准坦克设计!$B$24:$U$30,MATCH("对"&amp;LEFT($C$5,2)&amp;"输出",标准坦克设计!$B$23:$U$23,0)))*(VLOOKUP($B110,INDIRECT($B$5&amp;"生成成长"),3))*(VLOOKUP($B$5,标准坦克设计!$B$14:$K$20,9)/30))</f>
        <v>6.7729069630728027</v>
      </c>
      <c r="ES110" s="172">
        <f ca="1">(VLOOKUP(ES$72,INDIRECT($C$5&amp;"生成成长"),2))/((VLOOKUP($B110,INDIRECT($B$5&amp;"生成成长"),4))/(VLOOKUP(ES$72,INDIRECT($C$5&amp;"生成成长"),5))*(VLOOKUP($B$5,标准坦克设计!$B$24:$U$30,MATCH("对"&amp;LEFT($C$5,2)&amp;"输出",标准坦克设计!$B$23:$U$23,0)))*(VLOOKUP($B110,INDIRECT($B$5&amp;"生成成长"),3))*(VLOOKUP($B$5,标准坦克设计!$B$14:$K$20,9)/30))</f>
        <v>7.3604286997511554</v>
      </c>
      <c r="ET110" s="172">
        <f ca="1">(VLOOKUP(ET$72,INDIRECT($C$5&amp;"生成成长"),2))/((VLOOKUP($B110,INDIRECT($B$5&amp;"生成成长"),4))/(VLOOKUP(ET$72,INDIRECT($C$5&amp;"生成成长"),5))*(VLOOKUP($B$5,标准坦克设计!$B$24:$U$30,MATCH("对"&amp;LEFT($C$5,2)&amp;"输出",标准坦克设计!$B$23:$U$23,0)))*(VLOOKUP($B110,INDIRECT($B$5&amp;"生成成长"),3))*(VLOOKUP($B$5,标准坦克设计!$B$14:$K$20,9)/30))</f>
        <v>7.9723842326618808</v>
      </c>
      <c r="EU110" s="172">
        <f ca="1">(VLOOKUP(EU$72,INDIRECT($C$5&amp;"生成成长"),2))/((VLOOKUP($B110,INDIRECT($B$5&amp;"生成成长"),4))/(VLOOKUP(EU$72,INDIRECT($C$5&amp;"生成成长"),5))*(VLOOKUP($B$5,标准坦克设计!$B$24:$U$30,MATCH("对"&amp;LEFT($C$5,2)&amp;"输出",标准坦克设计!$B$23:$U$23,0)))*(VLOOKUP($B110,INDIRECT($B$5&amp;"生成成长"),3))*(VLOOKUP($B$5,标准坦克设计!$B$14:$K$20,9)/30))</f>
        <v>8.6087735618049752</v>
      </c>
      <c r="EV110" s="172">
        <f ca="1">(VLOOKUP(EV$72,INDIRECT($C$5&amp;"生成成长"),2))/((VLOOKUP($B110,INDIRECT($B$5&amp;"生成成长"),4))/(VLOOKUP(EV$72,INDIRECT($C$5&amp;"生成成长"),5))*(VLOOKUP($B$5,标准坦克设计!$B$24:$U$30,MATCH("对"&amp;LEFT($C$5,2)&amp;"输出",标准坦克设计!$B$23:$U$23,0)))*(VLOOKUP($B110,INDIRECT($B$5&amp;"生成成长"),3))*(VLOOKUP($B$5,标准坦克设计!$B$14:$K$20,9)/30))</f>
        <v>9.2695966871804369</v>
      </c>
      <c r="EW110" s="172">
        <f ca="1">(VLOOKUP(EW$72,INDIRECT($C$5&amp;"生成成长"),2))/((VLOOKUP($B110,INDIRECT($B$5&amp;"生成成长"),4))/(VLOOKUP(EW$72,INDIRECT($C$5&amp;"生成成长"),5))*(VLOOKUP($B$5,标准坦克设计!$B$24:$U$30,MATCH("对"&amp;LEFT($C$5,2)&amp;"输出",标准坦克设计!$B$23:$U$23,0)))*(VLOOKUP($B110,INDIRECT($B$5&amp;"生成成长"),3))*(VLOOKUP($B$5,标准坦克设计!$B$14:$K$20,9)/30))</f>
        <v>9.9548536087882695</v>
      </c>
      <c r="EX110" s="172">
        <f ca="1">(VLOOKUP(EX$72,INDIRECT($C$5&amp;"生成成长"),2))/((VLOOKUP($B110,INDIRECT($B$5&amp;"生成成长"),4))/(VLOOKUP(EX$72,INDIRECT($C$5&amp;"生成成长"),5))*(VLOOKUP($B$5,标准坦克设计!$B$24:$U$30,MATCH("对"&amp;LEFT($C$5,2)&amp;"输出",标准坦克设计!$B$23:$U$23,0)))*(VLOOKUP($B110,INDIRECT($B$5&amp;"生成成长"),3))*(VLOOKUP($B$5,标准坦克设计!$B$14:$K$20,9)/30))</f>
        <v>10.664544326628475</v>
      </c>
      <c r="EY110" s="172">
        <f ca="1">(VLOOKUP(EY$72,INDIRECT($C$5&amp;"生成成长"),2))/((VLOOKUP($B110,INDIRECT($B$5&amp;"生成成长"),4))/(VLOOKUP(EY$72,INDIRECT($C$5&amp;"生成成长"),5))*(VLOOKUP($B$5,标准坦克设计!$B$24:$U$30,MATCH("对"&amp;LEFT($C$5,2)&amp;"输出",标准坦克设计!$B$23:$U$23,0)))*(VLOOKUP($B110,INDIRECT($B$5&amp;"生成成长"),3))*(VLOOKUP($B$5,标准坦克设计!$B$14:$K$20,9)/30))</f>
        <v>11.398668840701049</v>
      </c>
      <c r="EZ110" s="172">
        <f ca="1">(VLOOKUP(EZ$72,INDIRECT($C$5&amp;"生成成长"),2))/((VLOOKUP($B110,INDIRECT($B$5&amp;"生成成长"),4))/(VLOOKUP(EZ$72,INDIRECT($C$5&amp;"生成成长"),5))*(VLOOKUP($B$5,标准坦克设计!$B$24:$U$30,MATCH("对"&amp;LEFT($C$5,2)&amp;"输出",标准坦克设计!$B$23:$U$23,0)))*(VLOOKUP($B110,INDIRECT($B$5&amp;"生成成长"),3))*(VLOOKUP($B$5,标准坦克设计!$B$14:$K$20,9)/30))</f>
        <v>12.157227151005994</v>
      </c>
      <c r="FA110" s="172">
        <f ca="1">(VLOOKUP(FA$72,INDIRECT($C$5&amp;"生成成长"),2))/((VLOOKUP($B110,INDIRECT($B$5&amp;"生成成长"),4))/(VLOOKUP(FA$72,INDIRECT($C$5&amp;"生成成长"),5))*(VLOOKUP($B$5,标准坦克设计!$B$24:$U$30,MATCH("对"&amp;LEFT($C$5,2)&amp;"输出",标准坦克设计!$B$23:$U$23,0)))*(VLOOKUP($B110,INDIRECT($B$5&amp;"生成成长"),3))*(VLOOKUP($B$5,标准坦克设计!$B$14:$K$20,9)/30))</f>
        <v>12.940219257543308</v>
      </c>
      <c r="FB110" s="172">
        <f ca="1">(VLOOKUP(FB$72,INDIRECT($C$5&amp;"生成成长"),2))/((VLOOKUP($B110,INDIRECT($B$5&amp;"生成成长"),4))/(VLOOKUP(FB$72,INDIRECT($C$5&amp;"生成成长"),5))*(VLOOKUP($B$5,标准坦克设计!$B$24:$U$30,MATCH("对"&amp;LEFT($C$5,2)&amp;"输出",标准坦克设计!$B$23:$U$23,0)))*(VLOOKUP($B110,INDIRECT($B$5&amp;"生成成长"),3))*(VLOOKUP($B$5,标准坦克设计!$B$14:$K$20,9)/30))</f>
        <v>13.747645160312995</v>
      </c>
      <c r="FC110" s="172">
        <f ca="1">(VLOOKUP(FC$72,INDIRECT($C$5&amp;"生成成长"),2))/((VLOOKUP($B110,INDIRECT($B$5&amp;"生成成长"),4))/(VLOOKUP(FC$72,INDIRECT($C$5&amp;"生成成长"),5))*(VLOOKUP($B$5,标准坦克设计!$B$24:$U$30,MATCH("对"&amp;LEFT($C$5,2)&amp;"输出",标准坦克设计!$B$23:$U$23,0)))*(VLOOKUP($B110,INDIRECT($B$5&amp;"生成成长"),3))*(VLOOKUP($B$5,标准坦克设计!$B$14:$K$20,9)/30))</f>
        <v>14.579504859315049</v>
      </c>
      <c r="FD110" s="172">
        <f ca="1">(VLOOKUP(FD$72,INDIRECT($C$5&amp;"生成成长"),2))/((VLOOKUP($B110,INDIRECT($B$5&amp;"生成成长"),4))/(VLOOKUP(FD$72,INDIRECT($C$5&amp;"生成成长"),5))*(VLOOKUP($B$5,标准坦克设计!$B$24:$U$30,MATCH("对"&amp;LEFT($C$5,2)&amp;"输出",标准坦克设计!$B$23:$U$23,0)))*(VLOOKUP($B110,INDIRECT($B$5&amp;"生成成长"),3))*(VLOOKUP($B$5,标准坦克设计!$B$14:$K$20,9)/30))</f>
        <v>15.435798354549473</v>
      </c>
      <c r="FE110" s="172">
        <f ca="1">(VLOOKUP(FE$72,INDIRECT($C$5&amp;"生成成长"),2))/((VLOOKUP($B110,INDIRECT($B$5&amp;"生成成长"),4))/(VLOOKUP(FE$72,INDIRECT($C$5&amp;"生成成长"),5))*(VLOOKUP($B$5,标准坦克设计!$B$24:$U$30,MATCH("对"&amp;LEFT($C$5,2)&amp;"输出",标准坦克设计!$B$23:$U$23,0)))*(VLOOKUP($B110,INDIRECT($B$5&amp;"生成成长"),3))*(VLOOKUP($B$5,标准坦克设计!$B$14:$K$20,9)/30))</f>
        <v>16.479282999431891</v>
      </c>
      <c r="FF110" s="172">
        <f ca="1">(VLOOKUP(FF$72,INDIRECT($C$5&amp;"生成成长"),2))/((VLOOKUP($B110,INDIRECT($B$5&amp;"生成成长"),4))/(VLOOKUP(FF$72,INDIRECT($C$5&amp;"生成成长"),5))*(VLOOKUP($B$5,标准坦克设计!$B$24:$U$30,MATCH("对"&amp;LEFT($C$5,2)&amp;"输出",标准坦克设计!$B$23:$U$23,0)))*(VLOOKUP($B110,INDIRECT($B$5&amp;"生成成长"),3))*(VLOOKUP($B$5,标准坦克设计!$B$14:$K$20,9)/30))</f>
        <v>17.556894186159518</v>
      </c>
      <c r="FG110" s="172">
        <f ca="1">(VLOOKUP(FG$72,INDIRECT($C$5&amp;"生成成长"),2))/((VLOOKUP($B110,INDIRECT($B$5&amp;"生成成长"),4))/(VLOOKUP(FG$72,INDIRECT($C$5&amp;"生成成长"),5))*(VLOOKUP($B$5,标准坦克设计!$B$24:$U$30,MATCH("对"&amp;LEFT($C$5,2)&amp;"输出",标准坦克设计!$B$23:$U$23,0)))*(VLOOKUP($B110,INDIRECT($B$5&amp;"生成成长"),3))*(VLOOKUP($B$5,标准坦克设计!$B$14:$K$20,9)/30))</f>
        <v>18.668631914732355</v>
      </c>
      <c r="FH110" s="172">
        <f ca="1">(VLOOKUP(FH$72,INDIRECT($C$5&amp;"生成成长"),2))/((VLOOKUP($B110,INDIRECT($B$5&amp;"生成成长"),4))/(VLOOKUP(FH$72,INDIRECT($C$5&amp;"生成成长"),5))*(VLOOKUP($B$5,标准坦克设计!$B$24:$U$30,MATCH("对"&amp;LEFT($C$5,2)&amp;"输出",标准坦克设计!$B$23:$U$23,0)))*(VLOOKUP($B110,INDIRECT($B$5&amp;"生成成长"),3))*(VLOOKUP($B$5,标准坦克设计!$B$14:$K$20,9)/30))</f>
        <v>19.814496185150407</v>
      </c>
      <c r="FI110" s="172">
        <f ca="1">(VLOOKUP(FI$72,INDIRECT($C$5&amp;"生成成长"),2))/((VLOOKUP($B110,INDIRECT($B$5&amp;"生成成长"),4))/(VLOOKUP(FI$72,INDIRECT($C$5&amp;"生成成长"),5))*(VLOOKUP($B$5,标准坦克设计!$B$24:$U$30,MATCH("对"&amp;LEFT($C$5,2)&amp;"输出",标准坦克设计!$B$23:$U$23,0)))*(VLOOKUP($B110,INDIRECT($B$5&amp;"生成成长"),3))*(VLOOKUP($B$5,标准坦克设计!$B$14:$K$20,9)/30))</f>
        <v>20.994486997413667</v>
      </c>
      <c r="FJ110" s="172">
        <f ca="1">(VLOOKUP(FJ$72,INDIRECT($C$5&amp;"生成成长"),2))/((VLOOKUP($B110,INDIRECT($B$5&amp;"生成成长"),4))/(VLOOKUP(FJ$72,INDIRECT($C$5&amp;"生成成长"),5))*(VLOOKUP($B$5,标准坦克设计!$B$24:$U$30,MATCH("对"&amp;LEFT($C$5,2)&amp;"输出",标准坦克设计!$B$23:$U$23,0)))*(VLOOKUP($B110,INDIRECT($B$5&amp;"生成成长"),3))*(VLOOKUP($B$5,标准坦克设计!$B$14:$K$20,9)/30))</f>
        <v>22.208604351522141</v>
      </c>
      <c r="FK110" s="172">
        <f ca="1">(VLOOKUP(FK$72,INDIRECT($C$5&amp;"生成成长"),2))/((VLOOKUP($B110,INDIRECT($B$5&amp;"生成成长"),4))/(VLOOKUP(FK$72,INDIRECT($C$5&amp;"生成成长"),5))*(VLOOKUP($B$5,标准坦克设计!$B$24:$U$30,MATCH("对"&amp;LEFT($C$5,2)&amp;"输出",标准坦克设计!$B$23:$U$23,0)))*(VLOOKUP($B110,INDIRECT($B$5&amp;"生成成长"),3))*(VLOOKUP($B$5,标准坦克设计!$B$14:$K$20,9)/30))</f>
        <v>23.456848247475829</v>
      </c>
    </row>
    <row r="111" spans="1:167" x14ac:dyDescent="0.15">
      <c r="A111" s="170" t="str">
        <f t="shared" si="11"/>
        <v>T5低品质7级</v>
      </c>
      <c r="B111" s="171">
        <v>10507</v>
      </c>
      <c r="C111" s="172">
        <f ca="1">(VLOOKUP(C$72,INDIRECT($C$5&amp;"生成成长"),2))/((VLOOKUP($B111,INDIRECT($B$5&amp;"生成成长"),4))/(VLOOKUP(C$72,INDIRECT($C$5&amp;"生成成长"),5))*(VLOOKUP($B$5,标准坦克设计!$B$24:$U$30,MATCH("对"&amp;LEFT($C$5,2)&amp;"输出",标准坦克设计!$B$23:$U$23,0)))*(VLOOKUP($B111,INDIRECT($B$5&amp;"生成成长"),3))*(VLOOKUP($B$5,标准坦克设计!$B$14:$K$20,9)/30))</f>
        <v>0.93640543340292104</v>
      </c>
      <c r="D111" s="172">
        <f ca="1">(VLOOKUP(D$72,INDIRECT($C$5&amp;"生成成长"),2))/((VLOOKUP($B111,INDIRECT($B$5&amp;"生成成长"),4))/(VLOOKUP(D$72,INDIRECT($C$5&amp;"生成成长"),5))*(VLOOKUP($B$5,标准坦克设计!$B$24:$U$30,MATCH("对"&amp;LEFT($C$5,2)&amp;"输出",标准坦克设计!$B$23:$U$23,0)))*(VLOOKUP($B111,INDIRECT($B$5&amp;"生成成长"),3))*(VLOOKUP($B$5,标准坦克设计!$B$14:$K$20,9)/30))</f>
        <v>1.0521451449715225</v>
      </c>
      <c r="E111" s="172">
        <f ca="1">(VLOOKUP(E$72,INDIRECT($C$5&amp;"生成成长"),2))/((VLOOKUP($B111,INDIRECT($B$5&amp;"生成成长"),4))/(VLOOKUP(E$72,INDIRECT($C$5&amp;"生成成长"),5))*(VLOOKUP($B$5,标准坦克设计!$B$24:$U$30,MATCH("对"&amp;LEFT($C$5,2)&amp;"输出",标准坦克设计!$B$23:$U$23,0)))*(VLOOKUP($B111,INDIRECT($B$5&amp;"生成成长"),3))*(VLOOKUP($B$5,标准坦克设计!$B$14:$K$20,9)/30))</f>
        <v>1.174626975660624</v>
      </c>
      <c r="F111" s="172">
        <f ca="1">(VLOOKUP(F$72,INDIRECT($C$5&amp;"生成成长"),2))/((VLOOKUP($B111,INDIRECT($B$5&amp;"生成成长"),4))/(VLOOKUP(F$72,INDIRECT($C$5&amp;"生成成长"),5))*(VLOOKUP($B$5,标准坦克设计!$B$24:$U$30,MATCH("对"&amp;LEFT($C$5,2)&amp;"输出",标准坦克设计!$B$23:$U$23,0)))*(VLOOKUP($B111,INDIRECT($B$5&amp;"生成成长"),3))*(VLOOKUP($B$5,标准坦克设计!$B$14:$K$20,9)/30))</f>
        <v>1.3038509254702275</v>
      </c>
      <c r="G111" s="172">
        <f ca="1">(VLOOKUP(G$72,INDIRECT($C$5&amp;"生成成长"),2))/((VLOOKUP($B111,INDIRECT($B$5&amp;"生成成长"),4))/(VLOOKUP(G$72,INDIRECT($C$5&amp;"生成成长"),5))*(VLOOKUP($B$5,标准坦克设计!$B$24:$U$30,MATCH("对"&amp;LEFT($C$5,2)&amp;"输出",标准坦克设计!$B$23:$U$23,0)))*(VLOOKUP($B111,INDIRECT($B$5&amp;"生成成长"),3))*(VLOOKUP($B$5,标准坦克设计!$B$14:$K$20,9)/30))</f>
        <v>1.4398169944003314</v>
      </c>
      <c r="H111" s="172">
        <f ca="1">(VLOOKUP(H$72,INDIRECT($C$5&amp;"生成成长"),2))/((VLOOKUP($B111,INDIRECT($B$5&amp;"生成成长"),4))/(VLOOKUP(H$72,INDIRECT($C$5&amp;"生成成长"),5))*(VLOOKUP($B$5,标准坦克设计!$B$24:$U$30,MATCH("对"&amp;LEFT($C$5,2)&amp;"输出",标准坦克设计!$B$23:$U$23,0)))*(VLOOKUP($B111,INDIRECT($B$5&amp;"生成成长"),3))*(VLOOKUP($B$5,标准坦克设计!$B$14:$K$20,9)/30))</f>
        <v>1.2600271511869707</v>
      </c>
      <c r="I111" s="172">
        <f ca="1">(VLOOKUP(I$72,INDIRECT($C$5&amp;"生成成长"),2))/((VLOOKUP($B111,INDIRECT($B$5&amp;"生成成长"),4))/(VLOOKUP(I$72,INDIRECT($C$5&amp;"生成成长"),5))*(VLOOKUP($B$5,标准坦克设计!$B$24:$U$30,MATCH("对"&amp;LEFT($C$5,2)&amp;"输出",标准坦克设计!$B$23:$U$23,0)))*(VLOOKUP($B111,INDIRECT($B$5&amp;"生成成长"),3))*(VLOOKUP($B$5,标准坦克设计!$B$14:$K$20,9)/30))</f>
        <v>1.4398169944003314</v>
      </c>
      <c r="J111" s="172">
        <f ca="1">(VLOOKUP(J$72,INDIRECT($C$5&amp;"生成成长"),2))/((VLOOKUP($B111,INDIRECT($B$5&amp;"生成成长"),4))/(VLOOKUP(J$72,INDIRECT($C$5&amp;"生成成长"),5))*(VLOOKUP($B$5,标准坦克设计!$B$24:$U$30,MATCH("对"&amp;LEFT($C$5,2)&amp;"输出",标准坦克设计!$B$23:$U$23,0)))*(VLOOKUP($B111,INDIRECT($B$5&amp;"生成成长"),3))*(VLOOKUP($B$5,标准坦克设计!$B$14:$K$20,9)/30))</f>
        <v>1.6315928271612494</v>
      </c>
      <c r="K111" s="172">
        <f ca="1">(VLOOKUP(K$72,INDIRECT($C$5&amp;"生成成长"),2))/((VLOOKUP($B111,INDIRECT($B$5&amp;"生成成长"),4))/(VLOOKUP(K$72,INDIRECT($C$5&amp;"生成成长"),5))*(VLOOKUP($B$5,标准坦克设计!$B$24:$U$30,MATCH("对"&amp;LEFT($C$5,2)&amp;"输出",标准坦克设计!$B$23:$U$23,0)))*(VLOOKUP($B111,INDIRECT($B$5&amp;"生成成长"),3))*(VLOOKUP($B$5,标准坦克设计!$B$14:$K$20,9)/30))</f>
        <v>1.8353546494697255</v>
      </c>
      <c r="L111" s="172">
        <f ca="1">(VLOOKUP(L$72,INDIRECT($C$5&amp;"生成成长"),2))/((VLOOKUP($B111,INDIRECT($B$5&amp;"生成成长"),4))/(VLOOKUP(L$72,INDIRECT($C$5&amp;"生成成长"),5))*(VLOOKUP($B$5,标准坦克设计!$B$24:$U$30,MATCH("对"&amp;LEFT($C$5,2)&amp;"输出",标准坦克设计!$B$23:$U$23,0)))*(VLOOKUP($B111,INDIRECT($B$5&amp;"生成成长"),3))*(VLOOKUP($B$5,标准坦克设计!$B$14:$K$20,9)/30))</f>
        <v>2.0511024613257582</v>
      </c>
      <c r="M111" s="172">
        <f ca="1">(VLOOKUP(M$72,INDIRECT($C$5&amp;"生成成长"),2))/((VLOOKUP($B111,INDIRECT($B$5&amp;"生成成长"),4))/(VLOOKUP(M$72,INDIRECT($C$5&amp;"生成成长"),5))*(VLOOKUP($B$5,标准坦克设计!$B$24:$U$30,MATCH("对"&amp;LEFT($C$5,2)&amp;"输出",标准坦克设计!$B$23:$U$23,0)))*(VLOOKUP($B111,INDIRECT($B$5&amp;"生成成长"),3))*(VLOOKUP($B$5,标准坦克设计!$B$14:$K$20,9)/30))</f>
        <v>2.278836262729349</v>
      </c>
      <c r="N111" s="172">
        <f ca="1">(VLOOKUP(N$72,INDIRECT($C$5&amp;"生成成长"),2))/((VLOOKUP($B111,INDIRECT($B$5&amp;"生成成长"),4))/(VLOOKUP(N$72,INDIRECT($C$5&amp;"生成成长"),5))*(VLOOKUP($B$5,标准坦克设计!$B$24:$U$30,MATCH("对"&amp;LEFT($C$5,2)&amp;"输出",标准坦克设计!$B$23:$U$23,0)))*(VLOOKUP($B111,INDIRECT($B$5&amp;"生成成长"),3))*(VLOOKUP($B$5,标准坦克设计!$B$14:$K$20,9)/30))</f>
        <v>2.5185560536804963</v>
      </c>
      <c r="O111" s="172">
        <f ca="1">(VLOOKUP(O$72,INDIRECT($C$5&amp;"生成成长"),2))/((VLOOKUP($B111,INDIRECT($B$5&amp;"生成成长"),4))/(VLOOKUP(O$72,INDIRECT($C$5&amp;"生成成长"),5))*(VLOOKUP($B$5,标准坦克设计!$B$24:$U$30,MATCH("对"&amp;LEFT($C$5,2)&amp;"输出",标准坦克设计!$B$23:$U$23,0)))*(VLOOKUP($B111,INDIRECT($B$5&amp;"生成成长"),3))*(VLOOKUP($B$5,标准坦克设计!$B$14:$K$20,9)/30))</f>
        <v>1.9148554707656333</v>
      </c>
      <c r="P111" s="172">
        <f ca="1">(VLOOKUP(P$72,INDIRECT($C$5&amp;"生成成长"),2))/((VLOOKUP($B111,INDIRECT($B$5&amp;"生成成长"),4))/(VLOOKUP(P$72,INDIRECT($C$5&amp;"生成成长"),5))*(VLOOKUP($B$5,标准坦克设计!$B$24:$U$30,MATCH("对"&amp;LEFT($C$5,2)&amp;"输出",标准坦克设计!$B$23:$U$23,0)))*(VLOOKUP($B111,INDIRECT($B$5&amp;"生成成长"),3))*(VLOOKUP($B$5,标准坦克设计!$B$14:$K$20,9)/30))</f>
        <v>2.1634711133341087</v>
      </c>
      <c r="Q111" s="172">
        <f ca="1">(VLOOKUP(Q$72,INDIRECT($C$5&amp;"生成成长"),2))/((VLOOKUP($B111,INDIRECT($B$5&amp;"生成成长"),4))/(VLOOKUP(Q$72,INDIRECT($C$5&amp;"生成成长"),5))*(VLOOKUP($B$5,标准坦克设计!$B$24:$U$30,MATCH("对"&amp;LEFT($C$5,2)&amp;"输出",标准坦克设计!$B$23:$U$23,0)))*(VLOOKUP($B111,INDIRECT($B$5&amp;"生成成长"),3))*(VLOOKUP($B$5,标准坦克设计!$B$14:$K$20,9)/30))</f>
        <v>2.4272565239237118</v>
      </c>
      <c r="R111" s="172">
        <f ca="1">(VLOOKUP(R$72,INDIRECT($C$5&amp;"生成成长"),2))/((VLOOKUP($B111,INDIRECT($B$5&amp;"生成成长"),4))/(VLOOKUP(R$72,INDIRECT($C$5&amp;"生成成长"),5))*(VLOOKUP($B$5,标准坦克设计!$B$24:$U$30,MATCH("对"&amp;LEFT($C$5,2)&amp;"输出",标准坦克设计!$B$23:$U$23,0)))*(VLOOKUP($B111,INDIRECT($B$5&amp;"生成成长"),3))*(VLOOKUP($B$5,标准坦克设计!$B$14:$K$20,9)/30))</f>
        <v>2.7062117025344419</v>
      </c>
      <c r="S111" s="172">
        <f ca="1">(VLOOKUP(S$72,INDIRECT($C$5&amp;"生成成长"),2))/((VLOOKUP($B111,INDIRECT($B$5&amp;"生成成长"),4))/(VLOOKUP(S$72,INDIRECT($C$5&amp;"生成成长"),5))*(VLOOKUP($B$5,标准坦克设计!$B$24:$U$30,MATCH("对"&amp;LEFT($C$5,2)&amp;"输出",标准坦克设计!$B$23:$U$23,0)))*(VLOOKUP($B111,INDIRECT($B$5&amp;"生成成长"),3))*(VLOOKUP($B$5,标准坦克设计!$B$14:$K$20,9)/30))</f>
        <v>3.0003366491662993</v>
      </c>
      <c r="T111" s="172">
        <f ca="1">(VLOOKUP(T$72,INDIRECT($C$5&amp;"生成成长"),2))/((VLOOKUP($B111,INDIRECT($B$5&amp;"生成成长"),4))/(VLOOKUP(T$72,INDIRECT($C$5&amp;"生成成长"),5))*(VLOOKUP($B$5,标准坦克设计!$B$24:$U$30,MATCH("对"&amp;LEFT($C$5,2)&amp;"输出",标准坦克设计!$B$23:$U$23,0)))*(VLOOKUP($B111,INDIRECT($B$5&amp;"生成成长"),3))*(VLOOKUP($B$5,标准坦克设计!$B$14:$K$20,9)/30))</f>
        <v>3.309631363819284</v>
      </c>
      <c r="U111" s="172">
        <f ca="1">(VLOOKUP(U$72,INDIRECT($C$5&amp;"生成成长"),2))/((VLOOKUP($B111,INDIRECT($B$5&amp;"生成成长"),4))/(VLOOKUP(U$72,INDIRECT($C$5&amp;"生成成长"),5))*(VLOOKUP($B$5,标准坦克设计!$B$24:$U$30,MATCH("对"&amp;LEFT($C$5,2)&amp;"输出",标准坦克设计!$B$23:$U$23,0)))*(VLOOKUP($B111,INDIRECT($B$5&amp;"生成成长"),3))*(VLOOKUP($B$5,标准坦克设计!$B$14:$K$20,9)/30))</f>
        <v>3.6340958464933966</v>
      </c>
      <c r="V111" s="172">
        <f ca="1">(VLOOKUP(V$72,INDIRECT($C$5&amp;"生成成长"),2))/((VLOOKUP($B111,INDIRECT($B$5&amp;"生成成长"),4))/(VLOOKUP(V$72,INDIRECT($C$5&amp;"生成成长"),5))*(VLOOKUP($B$5,标准坦克设计!$B$24:$U$30,MATCH("对"&amp;LEFT($C$5,2)&amp;"输出",标准坦克设计!$B$23:$U$23,0)))*(VLOOKUP($B111,INDIRECT($B$5&amp;"生成成长"),3))*(VLOOKUP($B$5,标准坦克设计!$B$14:$K$20,9)/30))</f>
        <v>3.973730097188636</v>
      </c>
      <c r="W111" s="172">
        <f ca="1">(VLOOKUP(W$72,INDIRECT($C$5&amp;"生成成长"),2))/((VLOOKUP($B111,INDIRECT($B$5&amp;"生成成长"),4))/(VLOOKUP(W$72,INDIRECT($C$5&amp;"生成成长"),5))*(VLOOKUP($B$5,标准坦克设计!$B$24:$U$30,MATCH("对"&amp;LEFT($C$5,2)&amp;"输出",标准坦克设计!$B$23:$U$23,0)))*(VLOOKUP($B111,INDIRECT($B$5&amp;"生成成长"),3))*(VLOOKUP($B$5,标准坦克设计!$B$14:$K$20,9)/30))</f>
        <v>4.3285341159050024</v>
      </c>
      <c r="X111" s="172">
        <f ca="1">(VLOOKUP(X$72,INDIRECT($C$5&amp;"生成成长"),2))/((VLOOKUP($B111,INDIRECT($B$5&amp;"生成成长"),4))/(VLOOKUP(X$72,INDIRECT($C$5&amp;"生成成长"),5))*(VLOOKUP($B$5,标准坦克设计!$B$24:$U$30,MATCH("对"&amp;LEFT($C$5,2)&amp;"输出",标准坦克设计!$B$23:$U$23,0)))*(VLOOKUP($B111,INDIRECT($B$5&amp;"生成成长"),3))*(VLOOKUP($B$5,标准坦克设计!$B$14:$K$20,9)/30))</f>
        <v>3.1359281559230423</v>
      </c>
      <c r="Y111" s="172">
        <f ca="1">(VLOOKUP(Y$72,INDIRECT($C$5&amp;"生成成长"),2))/((VLOOKUP($B111,INDIRECT($B$5&amp;"生成成长"),4))/(VLOOKUP(Y$72,INDIRECT($C$5&amp;"生成成长"),5))*(VLOOKUP($B$5,标准坦克设计!$B$24:$U$30,MATCH("对"&amp;LEFT($C$5,2)&amp;"输出",标准坦克设计!$B$23:$U$23,0)))*(VLOOKUP($B111,INDIRECT($B$5&amp;"生成成长"),3))*(VLOOKUP($B$5,标准坦克设计!$B$14:$K$20,9)/30))</f>
        <v>3.4880165988825409</v>
      </c>
      <c r="Z111" s="172">
        <f ca="1">(VLOOKUP(Z$72,INDIRECT($C$5&amp;"生成成长"),2))/((VLOOKUP($B111,INDIRECT($B$5&amp;"生成成长"),4))/(VLOOKUP(Z$72,INDIRECT($C$5&amp;"生成成长"),5))*(VLOOKUP($B$5,标准坦克设计!$B$24:$U$30,MATCH("对"&amp;LEFT($C$5,2)&amp;"输出",标准坦克设计!$B$23:$U$23,0)))*(VLOOKUP($B111,INDIRECT($B$5&amp;"生成成长"),3))*(VLOOKUP($B$5,标准坦克设计!$B$14:$K$20,9)/30))</f>
        <v>3.8588331505100975</v>
      </c>
      <c r="AA111" s="172">
        <f ca="1">(VLOOKUP(AA$72,INDIRECT($C$5&amp;"生成成长"),2))/((VLOOKUP($B111,INDIRECT($B$5&amp;"生成成长"),4))/(VLOOKUP(AA$72,INDIRECT($C$5&amp;"生成成长"),5))*(VLOOKUP($B$5,标准坦克设计!$B$24:$U$30,MATCH("对"&amp;LEFT($C$5,2)&amp;"输出",标准坦克设计!$B$23:$U$23,0)))*(VLOOKUP($B111,INDIRECT($B$5&amp;"生成成长"),3))*(VLOOKUP($B$5,标准坦克设计!$B$14:$K$20,9)/30))</f>
        <v>4.2483778108057129</v>
      </c>
      <c r="AB111" s="172">
        <f ca="1">(VLOOKUP(AB$72,INDIRECT($C$5&amp;"生成成长"),2))/((VLOOKUP($B111,INDIRECT($B$5&amp;"生成成长"),4))/(VLOOKUP(AB$72,INDIRECT($C$5&amp;"生成成长"),5))*(VLOOKUP($B$5,标准坦克设计!$B$24:$U$30,MATCH("对"&amp;LEFT($C$5,2)&amp;"输出",标准坦克设计!$B$23:$U$23,0)))*(VLOOKUP($B111,INDIRECT($B$5&amp;"生成成长"),3))*(VLOOKUP($B$5,标准坦克设计!$B$14:$K$20,9)/30))</f>
        <v>4.6566505797693862</v>
      </c>
      <c r="AC111" s="172">
        <f ca="1">(VLOOKUP(AC$72,INDIRECT($C$5&amp;"生成成长"),2))/((VLOOKUP($B111,INDIRECT($B$5&amp;"生成成长"),4))/(VLOOKUP(AC$72,INDIRECT($C$5&amp;"生成成长"),5))*(VLOOKUP($B$5,标准坦克设计!$B$24:$U$30,MATCH("对"&amp;LEFT($C$5,2)&amp;"输出",标准坦克设计!$B$23:$U$23,0)))*(VLOOKUP($B111,INDIRECT($B$5&amp;"生成成长"),3))*(VLOOKUP($B$5,标准坦克设计!$B$14:$K$20,9)/30))</f>
        <v>5.0836514574011185</v>
      </c>
      <c r="AD111" s="172">
        <f ca="1">(VLOOKUP(AD$72,INDIRECT($C$5&amp;"生成成长"),2))/((VLOOKUP($B111,INDIRECT($B$5&amp;"生成成长"),4))/(VLOOKUP(AD$72,INDIRECT($C$5&amp;"生成成长"),5))*(VLOOKUP($B$5,标准坦克设计!$B$24:$U$30,MATCH("对"&amp;LEFT($C$5,2)&amp;"输出",标准坦克设计!$B$23:$U$23,0)))*(VLOOKUP($B111,INDIRECT($B$5&amp;"生成成长"),3))*(VLOOKUP($B$5,标准坦克设计!$B$14:$K$20,9)/30))</f>
        <v>5.5293804437009086</v>
      </c>
      <c r="AE111" s="172">
        <f ca="1">(VLOOKUP(AE$72,INDIRECT($C$5&amp;"生成成长"),2))/((VLOOKUP($B111,INDIRECT($B$5&amp;"生成成长"),4))/(VLOOKUP(AE$72,INDIRECT($C$5&amp;"生成成长"),5))*(VLOOKUP($B$5,标准坦克设计!$B$24:$U$30,MATCH("对"&amp;LEFT($C$5,2)&amp;"输出",标准坦克设计!$B$23:$U$23,0)))*(VLOOKUP($B111,INDIRECT($B$5&amp;"生成成长"),3))*(VLOOKUP($B$5,标准坦克设计!$B$14:$K$20,9)/30))</f>
        <v>5.9938375386687586</v>
      </c>
      <c r="AF111" s="172">
        <f ca="1">(VLOOKUP(AF$72,INDIRECT($C$5&amp;"生成成长"),2))/((VLOOKUP($B111,INDIRECT($B$5&amp;"生成成长"),4))/(VLOOKUP(AF$72,INDIRECT($C$5&amp;"生成成长"),5))*(VLOOKUP($B$5,标准坦克设计!$B$24:$U$30,MATCH("对"&amp;LEFT($C$5,2)&amp;"输出",标准坦克设计!$B$23:$U$23,0)))*(VLOOKUP($B111,INDIRECT($B$5&amp;"生成成长"),3))*(VLOOKUP($B$5,标准坦克设计!$B$14:$K$20,9)/30))</f>
        <v>6.4770227423046656</v>
      </c>
      <c r="AG111" s="172">
        <f ca="1">(VLOOKUP(AG$72,INDIRECT($C$5&amp;"生成成长"),2))/((VLOOKUP($B111,INDIRECT($B$5&amp;"生成成长"),4))/(VLOOKUP(AG$72,INDIRECT($C$5&amp;"生成成长"),5))*(VLOOKUP($B$5,标准坦克设计!$B$24:$U$30,MATCH("对"&amp;LEFT($C$5,2)&amp;"输出",标准坦克设计!$B$23:$U$23,0)))*(VLOOKUP($B111,INDIRECT($B$5&amp;"生成成长"),3))*(VLOOKUP($B$5,标准坦克设计!$B$14:$K$20,9)/30))</f>
        <v>6.9789360546086296</v>
      </c>
      <c r="AH111" s="172">
        <f ca="1">(VLOOKUP(AH$72,INDIRECT($C$5&amp;"生成成长"),2))/((VLOOKUP($B111,INDIRECT($B$5&amp;"生成成长"),4))/(VLOOKUP(AH$72,INDIRECT($C$5&amp;"生成成长"),5))*(VLOOKUP($B$5,标准坦克设计!$B$24:$U$30,MATCH("对"&amp;LEFT($C$5,2)&amp;"输出",标准坦克设计!$B$23:$U$23,0)))*(VLOOKUP($B111,INDIRECT($B$5&amp;"生成成长"),3))*(VLOOKUP($B$5,标准坦克设计!$B$14:$K$20,9)/30))</f>
        <v>7.4995774755806535</v>
      </c>
      <c r="AI111" s="172">
        <f ca="1">(VLOOKUP(AI$72,INDIRECT($C$5&amp;"生成成长"),2))/((VLOOKUP($B111,INDIRECT($B$5&amp;"生成成长"),4))/(VLOOKUP(AI$72,INDIRECT($C$5&amp;"生成成长"),5))*(VLOOKUP($B$5,标准坦克设计!$B$24:$U$30,MATCH("对"&amp;LEFT($C$5,2)&amp;"输出",标准坦克设计!$B$23:$U$23,0)))*(VLOOKUP($B111,INDIRECT($B$5&amp;"生成成长"),3))*(VLOOKUP($B$5,标准坦克设计!$B$14:$K$20,9)/30))</f>
        <v>5.3041749369675069</v>
      </c>
      <c r="AJ111" s="172">
        <f ca="1">(VLOOKUP(AJ$72,INDIRECT($C$5&amp;"生成成长"),2))/((VLOOKUP($B111,INDIRECT($B$5&amp;"生成成长"),4))/(VLOOKUP(AJ$72,INDIRECT($C$5&amp;"生成成长"),5))*(VLOOKUP($B$5,标准坦克设计!$B$24:$U$30,MATCH("对"&amp;LEFT($C$5,2)&amp;"输出",标准坦克设计!$B$23:$U$23,0)))*(VLOOKUP($B111,INDIRECT($B$5&amp;"生成成长"),3))*(VLOOKUP($B$5,标准坦克设计!$B$14:$K$20,9)/30))</f>
        <v>5.8058073276414515</v>
      </c>
      <c r="AK111" s="172">
        <f ca="1">(VLOOKUP(AK$72,INDIRECT($C$5&amp;"生成成长"),2))/((VLOOKUP($B111,INDIRECT($B$5&amp;"生成成长"),4))/(VLOOKUP(AK$72,INDIRECT($C$5&amp;"生成成长"),5))*(VLOOKUP($B$5,标准坦克设计!$B$24:$U$30,MATCH("对"&amp;LEFT($C$5,2)&amp;"输出",标准坦克设计!$B$23:$U$23,0)))*(VLOOKUP($B111,INDIRECT($B$5&amp;"生成成长"),3))*(VLOOKUP($B$5,标准坦克设计!$B$14:$K$20,9)/30))</f>
        <v>6.3301007298037453</v>
      </c>
      <c r="AL111" s="172">
        <f ca="1">(VLOOKUP(AL$72,INDIRECT($C$5&amp;"生成成长"),2))/((VLOOKUP($B111,INDIRECT($B$5&amp;"生成成长"),4))/(VLOOKUP(AL$72,INDIRECT($C$5&amp;"生成成长"),5))*(VLOOKUP($B$5,标准坦克设计!$B$24:$U$30,MATCH("对"&amp;LEFT($C$5,2)&amp;"输出",标准坦克设计!$B$23:$U$23,0)))*(VLOOKUP($B111,INDIRECT($B$5&amp;"生成成长"),3))*(VLOOKUP($B$5,标准坦克设计!$B$14:$K$20,9)/30))</f>
        <v>6.8770551434543936</v>
      </c>
      <c r="AM111" s="172">
        <f ca="1">(VLOOKUP(AM$72,INDIRECT($C$5&amp;"生成成长"),2))/((VLOOKUP($B111,INDIRECT($B$5&amp;"生成成长"),4))/(VLOOKUP(AM$72,INDIRECT($C$5&amp;"生成成长"),5))*(VLOOKUP($B$5,标准坦克设计!$B$24:$U$30,MATCH("对"&amp;LEFT($C$5,2)&amp;"输出",标准坦克设计!$B$23:$U$23,0)))*(VLOOKUP($B111,INDIRECT($B$5&amp;"生成成长"),3))*(VLOOKUP($B$5,标准坦克设计!$B$14:$K$20,9)/30))</f>
        <v>7.4466705685933903</v>
      </c>
      <c r="AN111" s="172">
        <f ca="1">(VLOOKUP(AN$72,INDIRECT($C$5&amp;"生成成长"),2))/((VLOOKUP($B111,INDIRECT($B$5&amp;"生成成长"),4))/(VLOOKUP(AN$72,INDIRECT($C$5&amp;"生成成长"),5))*(VLOOKUP($B$5,标准坦克设计!$B$24:$U$30,MATCH("对"&amp;LEFT($C$5,2)&amp;"输出",标准坦克设计!$B$23:$U$23,0)))*(VLOOKUP($B111,INDIRECT($B$5&amp;"生成成长"),3))*(VLOOKUP($B$5,标准坦克设计!$B$14:$K$20,9)/30))</f>
        <v>8.0389470052207379</v>
      </c>
      <c r="AO111" s="172">
        <f ca="1">(VLOOKUP(AO$72,INDIRECT($C$5&amp;"生成成长"),2))/((VLOOKUP($B111,INDIRECT($B$5&amp;"生成成长"),4))/(VLOOKUP(AO$72,INDIRECT($C$5&amp;"生成成长"),5))*(VLOOKUP($B$5,标准坦克设计!$B$24:$U$30,MATCH("对"&amp;LEFT($C$5,2)&amp;"输出",标准坦克设计!$B$23:$U$23,0)))*(VLOOKUP($B111,INDIRECT($B$5&amp;"生成成长"),3))*(VLOOKUP($B$5,标准坦克设计!$B$14:$K$20,9)/30))</f>
        <v>8.6538844533364347</v>
      </c>
      <c r="AP111" s="172">
        <f ca="1">(VLOOKUP(AP$72,INDIRECT($C$5&amp;"生成成长"),2))/((VLOOKUP($B111,INDIRECT($B$5&amp;"生成成长"),4))/(VLOOKUP(AP$72,INDIRECT($C$5&amp;"生成成长"),5))*(VLOOKUP($B$5,标准坦克设计!$B$24:$U$30,MATCH("对"&amp;LEFT($C$5,2)&amp;"输出",标准坦克设计!$B$23:$U$23,0)))*(VLOOKUP($B111,INDIRECT($B$5&amp;"生成成长"),3))*(VLOOKUP($B$5,标准坦克设计!$B$14:$K$20,9)/30))</f>
        <v>9.2914829129404861</v>
      </c>
      <c r="AQ111" s="172">
        <f ca="1">(VLOOKUP(AQ$72,INDIRECT($C$5&amp;"生成成长"),2))/((VLOOKUP($B111,INDIRECT($B$5&amp;"生成成长"),4))/(VLOOKUP(AQ$72,INDIRECT($C$5&amp;"生成成长"),5))*(VLOOKUP($B$5,标准坦克设计!$B$24:$U$30,MATCH("对"&amp;LEFT($C$5,2)&amp;"输出",标准坦克设计!$B$23:$U$23,0)))*(VLOOKUP($B111,INDIRECT($B$5&amp;"生成成长"),3))*(VLOOKUP($B$5,标准坦克设计!$B$14:$K$20,9)/30))</f>
        <v>9.9517423840328849</v>
      </c>
      <c r="AR111" s="172">
        <f ca="1">(VLOOKUP(AR$72,INDIRECT($C$5&amp;"生成成长"),2))/((VLOOKUP($B111,INDIRECT($B$5&amp;"生成成长"),4))/(VLOOKUP(AR$72,INDIRECT($C$5&amp;"生成成长"),5))*(VLOOKUP($B$5,标准坦克设计!$B$24:$U$30,MATCH("对"&amp;LEFT($C$5,2)&amp;"输出",标准坦克设计!$B$23:$U$23,0)))*(VLOOKUP($B111,INDIRECT($B$5&amp;"生成成长"),3))*(VLOOKUP($B$5,标准坦克设计!$B$14:$K$20,9)/30))</f>
        <v>10.634662866613635</v>
      </c>
      <c r="AS111" s="172">
        <f ca="1">(VLOOKUP(AS$72,INDIRECT($C$5&amp;"生成成长"),2))/((VLOOKUP($B111,INDIRECT($B$5&amp;"生成成长"),4))/(VLOOKUP(AS$72,INDIRECT($C$5&amp;"生成成长"),5))*(VLOOKUP($B$5,标准坦克设计!$B$24:$U$30,MATCH("对"&amp;LEFT($C$5,2)&amp;"输出",标准坦克设计!$B$23:$U$23,0)))*(VLOOKUP($B111,INDIRECT($B$5&amp;"生成成长"),3))*(VLOOKUP($B$5,标准坦克设计!$B$14:$K$20,9)/30))</f>
        <v>11.340244360682734</v>
      </c>
      <c r="AT111" s="172">
        <f ca="1">(VLOOKUP(AT$72,INDIRECT($C$5&amp;"生成成长"),2))/((VLOOKUP($B111,INDIRECT($B$5&amp;"生成成长"),4))/(VLOOKUP(AT$72,INDIRECT($C$5&amp;"生成成长"),5))*(VLOOKUP($B$5,标准坦克设计!$B$24:$U$30,MATCH("对"&amp;LEFT($C$5,2)&amp;"输出",标准坦克设计!$B$23:$U$23,0)))*(VLOOKUP($B111,INDIRECT($B$5&amp;"生成成长"),3))*(VLOOKUP($B$5,标准坦克设计!$B$14:$K$20,9)/30))</f>
        <v>12.068486866240187</v>
      </c>
      <c r="AU111" s="172">
        <f ca="1">(VLOOKUP(AU$72,INDIRECT($C$5&amp;"生成成长"),2))/((VLOOKUP($B111,INDIRECT($B$5&amp;"生成成长"),4))/(VLOOKUP(AU$72,INDIRECT($C$5&amp;"生成成长"),5))*(VLOOKUP($B$5,标准坦克设计!$B$24:$U$30,MATCH("对"&amp;LEFT($C$5,2)&amp;"输出",标准坦克设计!$B$23:$U$23,0)))*(VLOOKUP($B111,INDIRECT($B$5&amp;"生成成长"),3))*(VLOOKUP($B$5,标准坦克设计!$B$14:$K$20,9)/30))</f>
        <v>12.81939038328599</v>
      </c>
      <c r="AV111" s="172">
        <f ca="1">(VLOOKUP(AV$72,INDIRECT($C$5&amp;"生成成长"),2))/((VLOOKUP($B111,INDIRECT($B$5&amp;"生成成长"),4))/(VLOOKUP(AV$72,INDIRECT($C$5&amp;"生成成长"),5))*(VLOOKUP($B$5,标准坦克设计!$B$24:$U$30,MATCH("对"&amp;LEFT($C$5,2)&amp;"输出",标准坦克设计!$B$23:$U$23,0)))*(VLOOKUP($B111,INDIRECT($B$5&amp;"生成成长"),3))*(VLOOKUP($B$5,标准坦克设计!$B$14:$K$20,9)/30))</f>
        <v>1.3038509254702275</v>
      </c>
      <c r="AW111" s="172">
        <f ca="1">(VLOOKUP(AW$72,INDIRECT($C$5&amp;"生成成长"),2))/((VLOOKUP($B111,INDIRECT($B$5&amp;"生成成长"),4))/(VLOOKUP(AW$72,INDIRECT($C$5&amp;"生成成长"),5))*(VLOOKUP($B$5,标准坦克设计!$B$24:$U$30,MATCH("对"&amp;LEFT($C$5,2)&amp;"输出",标准坦克设计!$B$23:$U$23,0)))*(VLOOKUP($B111,INDIRECT($B$5&amp;"生成成长"),3))*(VLOOKUP($B$5,标准坦克设计!$B$14:$K$20,9)/30))</f>
        <v>1.4866372660704776</v>
      </c>
      <c r="AX111" s="172">
        <f ca="1">(VLOOKUP(AX$72,INDIRECT($C$5&amp;"生成成长"),2))/((VLOOKUP($B111,INDIRECT($B$5&amp;"生成成长"),4))/(VLOOKUP(AX$72,INDIRECT($C$5&amp;"生成成长"),5))*(VLOOKUP($B$5,标准坦克设计!$B$24:$U$30,MATCH("对"&amp;LEFT($C$5,2)&amp;"输出",标准坦克设计!$B$23:$U$23,0)))*(VLOOKUP($B111,INDIRECT($B$5&amp;"生成成长"),3))*(VLOOKUP($B$5,标准坦克设计!$B$14:$K$20,9)/30))</f>
        <v>1.6814095962182853</v>
      </c>
      <c r="AY111" s="172">
        <f ca="1">(VLOOKUP(AY$72,INDIRECT($C$5&amp;"生成成长"),2))/((VLOOKUP($B111,INDIRECT($B$5&amp;"生成成长"),4))/(VLOOKUP(AY$72,INDIRECT($C$5&amp;"生成成长"),5))*(VLOOKUP($B$5,标准坦克设计!$B$24:$U$30,MATCH("对"&amp;LEFT($C$5,2)&amp;"输出",标准坦克设计!$B$23:$U$23,0)))*(VLOOKUP($B111,INDIRECT($B$5&amp;"生成成长"),3))*(VLOOKUP($B$5,标准坦克设计!$B$14:$K$20,9)/30))</f>
        <v>1.8881679159136504</v>
      </c>
      <c r="AZ111" s="172">
        <f ca="1">(VLOOKUP(AZ$72,INDIRECT($C$5&amp;"生成成长"),2))/((VLOOKUP($B111,INDIRECT($B$5&amp;"生成成长"),4))/(VLOOKUP(AZ$72,INDIRECT($C$5&amp;"生成成长"),5))*(VLOOKUP($B$5,标准坦克设计!$B$24:$U$30,MATCH("对"&amp;LEFT($C$5,2)&amp;"输出",标准坦克设计!$B$23:$U$23,0)))*(VLOOKUP($B111,INDIRECT($B$5&amp;"生成成长"),3))*(VLOOKUP($B$5,标准坦克设计!$B$14:$K$20,9)/30))</f>
        <v>2.1069122251565724</v>
      </c>
      <c r="BA111" s="172">
        <f ca="1">(VLOOKUP(BA$72,INDIRECT($C$5&amp;"生成成长"),2))/((VLOOKUP($B111,INDIRECT($B$5&amp;"生成成长"),4))/(VLOOKUP(BA$72,INDIRECT($C$5&amp;"生成成长"),5))*(VLOOKUP($B$5,标准坦克设计!$B$24:$U$30,MATCH("对"&amp;LEFT($C$5,2)&amp;"输出",标准坦克设计!$B$23:$U$23,0)))*(VLOOKUP($B111,INDIRECT($B$5&amp;"生成成长"),3))*(VLOOKUP($B$5,标准坦克设计!$B$14:$K$20,9)/30))</f>
        <v>2.3376425239470522</v>
      </c>
      <c r="BB111" s="172">
        <f ca="1">(VLOOKUP(BB$72,INDIRECT($C$5&amp;"生成成长"),2))/((VLOOKUP($B111,INDIRECT($B$5&amp;"生成成长"),4))/(VLOOKUP(BB$72,INDIRECT($C$5&amp;"生成成长"),5))*(VLOOKUP($B$5,标准坦克设计!$B$24:$U$30,MATCH("对"&amp;LEFT($C$5,2)&amp;"输出",标准坦克设计!$B$23:$U$23,0)))*(VLOOKUP($B111,INDIRECT($B$5&amp;"生成成长"),3))*(VLOOKUP($B$5,标准坦克设计!$B$14:$K$20,9)/30))</f>
        <v>2.5803588122850893</v>
      </c>
      <c r="BC111" s="172">
        <f ca="1">(VLOOKUP(BC$72,INDIRECT($C$5&amp;"生成成长"),2))/((VLOOKUP($B111,INDIRECT($B$5&amp;"生成成长"),4))/(VLOOKUP(BC$72,INDIRECT($C$5&amp;"生成成长"),5))*(VLOOKUP($B$5,标准坦克设计!$B$24:$U$30,MATCH("对"&amp;LEFT($C$5,2)&amp;"输出",标准坦克设计!$B$23:$U$23,0)))*(VLOOKUP($B111,INDIRECT($B$5&amp;"生成成长"),3))*(VLOOKUP($B$5,标准坦克设计!$B$14:$K$20,9)/30))</f>
        <v>2.8350610901706834</v>
      </c>
      <c r="BD111" s="172">
        <f ca="1">(VLOOKUP(BD$72,INDIRECT($C$5&amp;"生成成长"),2))/((VLOOKUP($B111,INDIRECT($B$5&amp;"生成成长"),4))/(VLOOKUP(BD$72,INDIRECT($C$5&amp;"生成成长"),5))*(VLOOKUP($B$5,标准坦克设计!$B$24:$U$30,MATCH("对"&amp;LEFT($C$5,2)&amp;"输出",标准坦克设计!$B$23:$U$23,0)))*(VLOOKUP($B111,INDIRECT($B$5&amp;"生成成长"),3))*(VLOOKUP($B$5,标准坦克设计!$B$14:$K$20,9)/30))</f>
        <v>3.1359281559230423</v>
      </c>
      <c r="BE111" s="172">
        <f ca="1">(VLOOKUP(BE$72,INDIRECT($C$5&amp;"生成成长"),2))/((VLOOKUP($B111,INDIRECT($B$5&amp;"生成成长"),4))/(VLOOKUP(BE$72,INDIRECT($C$5&amp;"生成成长"),5))*(VLOOKUP($B$5,标准坦克设计!$B$24:$U$30,MATCH("对"&amp;LEFT($C$5,2)&amp;"输出",标准坦克设计!$B$23:$U$23,0)))*(VLOOKUP($B111,INDIRECT($B$5&amp;"生成成长"),3))*(VLOOKUP($B$5,标准坦克设计!$B$14:$K$20,9)/30))</f>
        <v>3.4519649896965281</v>
      </c>
      <c r="BF111" s="172">
        <f ca="1">(VLOOKUP(BF$72,INDIRECT($C$5&amp;"生成成长"),2))/((VLOOKUP($B111,INDIRECT($B$5&amp;"生成成长"),4))/(VLOOKUP(BF$72,INDIRECT($C$5&amp;"生成成长"),5))*(VLOOKUP($B$5,标准坦克设计!$B$24:$U$30,MATCH("对"&amp;LEFT($C$5,2)&amp;"输出",标准坦克设计!$B$23:$U$23,0)))*(VLOOKUP($B111,INDIRECT($B$5&amp;"生成成长"),3))*(VLOOKUP($B$5,标准坦克设计!$B$14:$K$20,9)/30))</f>
        <v>3.7831715914911417</v>
      </c>
      <c r="BG111" s="172">
        <f ca="1">(VLOOKUP(BG$72,INDIRECT($C$5&amp;"生成成长"),2))/((VLOOKUP($B111,INDIRECT($B$5&amp;"生成成长"),4))/(VLOOKUP(BG$72,INDIRECT($C$5&amp;"生成成长"),5))*(VLOOKUP($B$5,标准坦克设计!$B$24:$U$30,MATCH("对"&amp;LEFT($C$5,2)&amp;"输出",标准坦克设计!$B$23:$U$23,0)))*(VLOOKUP($B111,INDIRECT($B$5&amp;"生成成长"),3))*(VLOOKUP($B$5,标准坦克设计!$B$14:$K$20,9)/30))</f>
        <v>4.1295479613068817</v>
      </c>
      <c r="BH111" s="172">
        <f ca="1">(VLOOKUP(BH$72,INDIRECT($C$5&amp;"生成成长"),2))/((VLOOKUP($B111,INDIRECT($B$5&amp;"生成成长"),4))/(VLOOKUP(BH$72,INDIRECT($C$5&amp;"生成成长"),5))*(VLOOKUP($B$5,标准坦克设计!$B$24:$U$30,MATCH("对"&amp;LEFT($C$5,2)&amp;"输出",标准坦克设计!$B$23:$U$23,0)))*(VLOOKUP($B111,INDIRECT($B$5&amp;"生成成长"),3))*(VLOOKUP($B$5,标准坦克设计!$B$14:$K$20,9)/30))</f>
        <v>1.9960418218416667</v>
      </c>
      <c r="BI111" s="172">
        <f ca="1">(VLOOKUP(BI$72,INDIRECT($C$5&amp;"生成成长"),2))/((VLOOKUP($B111,INDIRECT($B$5&amp;"生成成长"),4))/(VLOOKUP(BI$72,INDIRECT($C$5&amp;"生成成长"),5))*(VLOOKUP($B$5,标准坦克设计!$B$24:$U$30,MATCH("对"&amp;LEFT($C$5,2)&amp;"输出",标准坦克设计!$B$23:$U$23,0)))*(VLOOKUP($B111,INDIRECT($B$5&amp;"生成成长"),3))*(VLOOKUP($B$5,标准坦克设计!$B$14:$K$20,9)/30))</f>
        <v>2.2497140537505178</v>
      </c>
      <c r="BJ111" s="172">
        <f ca="1">(VLOOKUP(BJ$72,INDIRECT($C$5&amp;"生成成长"),2))/((VLOOKUP($B111,INDIRECT($B$5&amp;"生成成长"),4))/(VLOOKUP(BJ$72,INDIRECT($C$5&amp;"生成成长"),5))*(VLOOKUP($B$5,标准坦克设计!$B$24:$U$30,MATCH("对"&amp;LEFT($C$5,2)&amp;"输出",标准坦克设计!$B$23:$U$23,0)))*(VLOOKUP($B111,INDIRECT($B$5&amp;"生成成长"),3))*(VLOOKUP($B$5,标准坦克设计!$B$14:$K$20,9)/30))</f>
        <v>2.5185560536804963</v>
      </c>
      <c r="BK111" s="172">
        <f ca="1">(VLOOKUP(BK$72,INDIRECT($C$5&amp;"生成成长"),2))/((VLOOKUP($B111,INDIRECT($B$5&amp;"生成成长"),4))/(VLOOKUP(BK$72,INDIRECT($C$5&amp;"生成成长"),5))*(VLOOKUP($B$5,标准坦克设计!$B$24:$U$30,MATCH("对"&amp;LEFT($C$5,2)&amp;"输出",标准坦克设计!$B$23:$U$23,0)))*(VLOOKUP($B111,INDIRECT($B$5&amp;"生成成长"),3))*(VLOOKUP($B$5,标准坦克设计!$B$14:$K$20,9)/30))</f>
        <v>2.8025678216316021</v>
      </c>
      <c r="BL111" s="172">
        <f ca="1">(VLOOKUP(BL$72,INDIRECT($C$5&amp;"生成成长"),2))/((VLOOKUP($B111,INDIRECT($B$5&amp;"生成成长"),4))/(VLOOKUP(BL$72,INDIRECT($C$5&amp;"生成成长"),5))*(VLOOKUP($B$5,标准坦克设计!$B$24:$U$30,MATCH("对"&amp;LEFT($C$5,2)&amp;"输出",标准坦克设计!$B$23:$U$23,0)))*(VLOOKUP($B111,INDIRECT($B$5&amp;"生成成长"),3))*(VLOOKUP($B$5,标准坦克设计!$B$14:$K$20,9)/30))</f>
        <v>3.1017493576038362</v>
      </c>
      <c r="BM111" s="172">
        <f ca="1">(VLOOKUP(BM$72,INDIRECT($C$5&amp;"生成成长"),2))/((VLOOKUP($B111,INDIRECT($B$5&amp;"生成成长"),4))/(VLOOKUP(BM$72,INDIRECT($C$5&amp;"生成成长"),5))*(VLOOKUP($B$5,标准坦克设计!$B$24:$U$30,MATCH("对"&amp;LEFT($C$5,2)&amp;"输出",标准坦克设计!$B$23:$U$23,0)))*(VLOOKUP($B111,INDIRECT($B$5&amp;"生成成长"),3))*(VLOOKUP($B$5,标准坦克设计!$B$14:$K$20,9)/30))</f>
        <v>3.4161006615971963</v>
      </c>
      <c r="BN111" s="172">
        <f ca="1">(VLOOKUP(BN$72,INDIRECT($C$5&amp;"生成成长"),2))/((VLOOKUP($B111,INDIRECT($B$5&amp;"生成成长"),4))/(VLOOKUP(BN$72,INDIRECT($C$5&amp;"生成成长"),5))*(VLOOKUP($B$5,标准坦克设计!$B$24:$U$30,MATCH("对"&amp;LEFT($C$5,2)&amp;"输出",标准坦克设计!$B$23:$U$23,0)))*(VLOOKUP($B111,INDIRECT($B$5&amp;"生成成长"),3))*(VLOOKUP($B$5,标准坦克设计!$B$14:$K$20,9)/30))</f>
        <v>3.7456217336116842</v>
      </c>
      <c r="BO111" s="172">
        <f ca="1">(VLOOKUP(BO$72,INDIRECT($C$5&amp;"生成成长"),2))/((VLOOKUP($B111,INDIRECT($B$5&amp;"生成成长"),4))/(VLOOKUP(BO$72,INDIRECT($C$5&amp;"生成成长"),5))*(VLOOKUP($B$5,标准坦克设计!$B$24:$U$30,MATCH("对"&amp;LEFT($C$5,2)&amp;"输出",标准坦克设计!$B$23:$U$23,0)))*(VLOOKUP($B111,INDIRECT($B$5&amp;"生成成长"),3))*(VLOOKUP($B$5,标准坦克设计!$B$14:$K$20,9)/30))</f>
        <v>4.0903125736472994</v>
      </c>
      <c r="BP111" s="172">
        <f ca="1">(VLOOKUP(BP$72,INDIRECT($C$5&amp;"生成成长"),2))/((VLOOKUP($B111,INDIRECT($B$5&amp;"生成成长"),4))/(VLOOKUP(BP$72,INDIRECT($C$5&amp;"生成成长"),5))*(VLOOKUP($B$5,标准坦克设计!$B$24:$U$30,MATCH("对"&amp;LEFT($C$5,2)&amp;"输出",标准坦克设计!$B$23:$U$23,0)))*(VLOOKUP($B111,INDIRECT($B$5&amp;"生成成长"),3))*(VLOOKUP($B$5,标准坦克设计!$B$14:$K$20,9)/30))</f>
        <v>4.4501731817040415</v>
      </c>
      <c r="BQ111" s="172">
        <f ca="1">(VLOOKUP(BQ$72,INDIRECT($C$5&amp;"生成成长"),2))/((VLOOKUP($B111,INDIRECT($B$5&amp;"生成成长"),4))/(VLOOKUP(BQ$72,INDIRECT($C$5&amp;"生成成长"),5))*(VLOOKUP($B$5,标准坦克设计!$B$24:$U$30,MATCH("对"&amp;LEFT($C$5,2)&amp;"输出",标准坦克设计!$B$23:$U$23,0)))*(VLOOKUP($B111,INDIRECT($B$5&amp;"生成成长"),3))*(VLOOKUP($B$5,标准坦克设计!$B$14:$K$20,9)/30))</f>
        <v>4.8252035577819123</v>
      </c>
      <c r="BR111" s="172">
        <f ca="1">(VLOOKUP(BR$72,INDIRECT($C$5&amp;"生成成长"),2))/((VLOOKUP($B111,INDIRECT($B$5&amp;"生成成长"),4))/(VLOOKUP(BR$72,INDIRECT($C$5&amp;"生成成长"),5))*(VLOOKUP($B$5,标准坦克设计!$B$24:$U$30,MATCH("对"&amp;LEFT($C$5,2)&amp;"输出",标准坦克设计!$B$23:$U$23,0)))*(VLOOKUP($B111,INDIRECT($B$5&amp;"生成成长"),3))*(VLOOKUP($B$5,标准坦克设计!$B$14:$K$20,9)/30))</f>
        <v>5.2596956788808669</v>
      </c>
      <c r="BS111" s="172">
        <f ca="1">(VLOOKUP(BS$72,INDIRECT($C$5&amp;"生成成长"),2))/((VLOOKUP($B111,INDIRECT($B$5&amp;"生成成长"),4))/(VLOOKUP(BS$72,INDIRECT($C$5&amp;"生成成长"),5))*(VLOOKUP($B$5,标准坦克设计!$B$24:$U$30,MATCH("对"&amp;LEFT($C$5,2)&amp;"输出",标准坦克设计!$B$23:$U$23,0)))*(VLOOKUP($B111,INDIRECT($B$5&amp;"生成成长"),3))*(VLOOKUP($B$5,标准坦克设计!$B$14:$K$20,9)/30))</f>
        <v>5.7129159086478811</v>
      </c>
      <c r="BT111" s="172">
        <f ca="1">(VLOOKUP(BT$72,INDIRECT($C$5&amp;"生成成长"),2))/((VLOOKUP($B111,INDIRECT($B$5&amp;"生成成长"),4))/(VLOOKUP(BT$72,INDIRECT($C$5&amp;"生成成长"),5))*(VLOOKUP($B$5,标准坦克设计!$B$24:$U$30,MATCH("对"&amp;LEFT($C$5,2)&amp;"输出",标准坦克设计!$B$23:$U$23,0)))*(VLOOKUP($B111,INDIRECT($B$5&amp;"生成成长"),3))*(VLOOKUP($B$5,标准坦克设计!$B$14:$K$20,9)/30))</f>
        <v>6.1848642470829542</v>
      </c>
      <c r="BU111" s="172">
        <f ca="1">(VLOOKUP(BU$72,INDIRECT($C$5&amp;"生成成长"),2))/((VLOOKUP($B111,INDIRECT($B$5&amp;"生成成长"),4))/(VLOOKUP(BU$72,INDIRECT($C$5&amp;"生成成长"),5))*(VLOOKUP($B$5,标准坦克设计!$B$24:$U$30,MATCH("对"&amp;LEFT($C$5,2)&amp;"输出",标准坦克设计!$B$23:$U$23,0)))*(VLOOKUP($B111,INDIRECT($B$5&amp;"生成成长"),3))*(VLOOKUP($B$5,标准坦克设计!$B$14:$K$20,9)/30))</f>
        <v>6.6755406941860844</v>
      </c>
      <c r="BV111" s="172">
        <f ca="1">(VLOOKUP(BV$72,INDIRECT($C$5&amp;"生成成长"),2))/((VLOOKUP($B111,INDIRECT($B$5&amp;"生成成长"),4))/(VLOOKUP(BV$72,INDIRECT($C$5&amp;"生成成长"),5))*(VLOOKUP($B$5,标准坦克设计!$B$24:$U$30,MATCH("对"&amp;LEFT($C$5,2)&amp;"输出",标准坦克设计!$B$23:$U$23,0)))*(VLOOKUP($B111,INDIRECT($B$5&amp;"生成成长"),3))*(VLOOKUP($B$5,标准坦克设计!$B$14:$K$20,9)/30))</f>
        <v>7.1849452499572735</v>
      </c>
      <c r="BW111" s="172">
        <f ca="1">(VLOOKUP(BW$72,INDIRECT($C$5&amp;"生成成长"),2))/((VLOOKUP($B111,INDIRECT($B$5&amp;"生成成长"),4))/(VLOOKUP(BW$72,INDIRECT($C$5&amp;"生成成长"),5))*(VLOOKUP($B$5,标准坦克设计!$B$24:$U$30,MATCH("对"&amp;LEFT($C$5,2)&amp;"输出",标准坦克设计!$B$23:$U$23,0)))*(VLOOKUP($B111,INDIRECT($B$5&amp;"生成成长"),3))*(VLOOKUP($B$5,标准坦克设计!$B$14:$K$20,9)/30))</f>
        <v>3.2745161600666748</v>
      </c>
      <c r="BX111" s="172">
        <f ca="1">(VLOOKUP(BX$72,INDIRECT($C$5&amp;"生成成长"),2))/((VLOOKUP($B111,INDIRECT($B$5&amp;"生成成长"),4))/(VLOOKUP(BX$72,INDIRECT($C$5&amp;"生成成长"),5))*(VLOOKUP($B$5,标准坦克设计!$B$24:$U$30,MATCH("对"&amp;LEFT($C$5,2)&amp;"输出",标准坦克设计!$B$23:$U$23,0)))*(VLOOKUP($B111,INDIRECT($B$5&amp;"生成成长"),3))*(VLOOKUP($B$5,标准坦克设计!$B$14:$K$20,9)/30))</f>
        <v>3.6340958464933966</v>
      </c>
      <c r="BY111" s="172">
        <f ca="1">(VLOOKUP(BY$72,INDIRECT($C$5&amp;"生成成长"),2))/((VLOOKUP($B111,INDIRECT($B$5&amp;"生成成长"),4))/(VLOOKUP(BY$72,INDIRECT($C$5&amp;"生成成长"),5))*(VLOOKUP($B$5,标准坦克设计!$B$24:$U$30,MATCH("对"&amp;LEFT($C$5,2)&amp;"输出",标准坦克设计!$B$23:$U$23,0)))*(VLOOKUP($B111,INDIRECT($B$5&amp;"生成成长"),3))*(VLOOKUP($B$5,标准坦克设计!$B$14:$K$20,9)/30))</f>
        <v>4.0124036415881763</v>
      </c>
      <c r="BZ111" s="172">
        <f ca="1">(VLOOKUP(BZ$72,INDIRECT($C$5&amp;"生成成长"),2))/((VLOOKUP($B111,INDIRECT($B$5&amp;"生成成长"),4))/(VLOOKUP(BZ$72,INDIRECT($C$5&amp;"生成成长"),5))*(VLOOKUP($B$5,标准坦克设计!$B$24:$U$30,MATCH("对"&amp;LEFT($C$5,2)&amp;"输出",标准坦克设计!$B$23:$U$23,0)))*(VLOOKUP($B111,INDIRECT($B$5&amp;"生成成长"),3))*(VLOOKUP($B$5,标准坦克设计!$B$14:$K$20,9)/30))</f>
        <v>4.4094395453510158</v>
      </c>
      <c r="CA111" s="172">
        <f ca="1">(VLOOKUP(CA$72,INDIRECT($C$5&amp;"生成成长"),2))/((VLOOKUP($B111,INDIRECT($B$5&amp;"生成成长"),4))/(VLOOKUP(CA$72,INDIRECT($C$5&amp;"生成成长"),5))*(VLOOKUP($B$5,标准坦克设计!$B$24:$U$30,MATCH("对"&amp;LEFT($C$5,2)&amp;"输出",标准坦克设计!$B$23:$U$23,0)))*(VLOOKUP($B111,INDIRECT($B$5&amp;"生成成长"),3))*(VLOOKUP($B$5,标准坦克设计!$B$14:$K$20,9)/30))</f>
        <v>4.8252035577819123</v>
      </c>
      <c r="CB111" s="172">
        <f ca="1">(VLOOKUP(CB$72,INDIRECT($C$5&amp;"生成成长"),2))/((VLOOKUP($B111,INDIRECT($B$5&amp;"生成成长"),4))/(VLOOKUP(CB$72,INDIRECT($C$5&amp;"生成成长"),5))*(VLOOKUP($B$5,标准坦克设计!$B$24:$U$30,MATCH("对"&amp;LEFT($C$5,2)&amp;"输出",标准坦克设计!$B$23:$U$23,0)))*(VLOOKUP($B111,INDIRECT($B$5&amp;"生成成长"),3))*(VLOOKUP($B$5,标准坦克设计!$B$14:$K$20,9)/30))</f>
        <v>5.2596956788808669</v>
      </c>
      <c r="CC111" s="172">
        <f ca="1">(VLOOKUP(CC$72,INDIRECT($C$5&amp;"生成成长"),2))/((VLOOKUP($B111,INDIRECT($B$5&amp;"生成成长"),4))/(VLOOKUP(CC$72,INDIRECT($C$5&amp;"生成成长"),5))*(VLOOKUP($B$5,标准坦克设计!$B$24:$U$30,MATCH("对"&amp;LEFT($C$5,2)&amp;"输出",标准坦克设计!$B$23:$U$23,0)))*(VLOOKUP($B111,INDIRECT($B$5&amp;"生成成长"),3))*(VLOOKUP($B$5,标准坦克设计!$B$14:$K$20,9)/30))</f>
        <v>5.7129159086478811</v>
      </c>
      <c r="CD111" s="172">
        <f ca="1">(VLOOKUP(CD$72,INDIRECT($C$5&amp;"生成成长"),2))/((VLOOKUP($B111,INDIRECT($B$5&amp;"生成成长"),4))/(VLOOKUP(CD$72,INDIRECT($C$5&amp;"生成成长"),5))*(VLOOKUP($B$5,标准坦克设计!$B$24:$U$30,MATCH("对"&amp;LEFT($C$5,2)&amp;"输出",标准坦克设计!$B$23:$U$23,0)))*(VLOOKUP($B111,INDIRECT($B$5&amp;"生成成长"),3))*(VLOOKUP($B$5,标准坦克设计!$B$14:$K$20,9)/30))</f>
        <v>6.1848642470829542</v>
      </c>
      <c r="CE111" s="172">
        <f ca="1">(VLOOKUP(CE$72,INDIRECT($C$5&amp;"生成成长"),2))/((VLOOKUP($B111,INDIRECT($B$5&amp;"生成成长"),4))/(VLOOKUP(CE$72,INDIRECT($C$5&amp;"生成成长"),5))*(VLOOKUP($B$5,标准坦克设计!$B$24:$U$30,MATCH("对"&amp;LEFT($C$5,2)&amp;"输出",标准坦克设计!$B$23:$U$23,0)))*(VLOOKUP($B111,INDIRECT($B$5&amp;"生成成长"),3))*(VLOOKUP($B$5,标准坦克设计!$B$14:$K$20,9)/30))</f>
        <v>6.6755406941860844</v>
      </c>
      <c r="CF111" s="172">
        <f ca="1">(VLOOKUP(CF$72,INDIRECT($C$5&amp;"生成成长"),2))/((VLOOKUP($B111,INDIRECT($B$5&amp;"生成成长"),4))/(VLOOKUP(CF$72,INDIRECT($C$5&amp;"生成成长"),5))*(VLOOKUP($B$5,标准坦克设计!$B$24:$U$30,MATCH("对"&amp;LEFT($C$5,2)&amp;"输出",标准坦克设计!$B$23:$U$23,0)))*(VLOOKUP($B111,INDIRECT($B$5&amp;"生成成长"),3))*(VLOOKUP($B$5,标准坦克设计!$B$14:$K$20,9)/30))</f>
        <v>7.1849452499572735</v>
      </c>
      <c r="CG111" s="172">
        <f ca="1">(VLOOKUP(CG$72,INDIRECT($C$5&amp;"生成成长"),2))/((VLOOKUP($B111,INDIRECT($B$5&amp;"生成成长"),4))/(VLOOKUP(CG$72,INDIRECT($C$5&amp;"生成成长"),5))*(VLOOKUP($B$5,标准坦克设计!$B$24:$U$30,MATCH("对"&amp;LEFT($C$5,2)&amp;"输出",标准坦克设计!$B$23:$U$23,0)))*(VLOOKUP($B111,INDIRECT($B$5&amp;"生成成长"),3))*(VLOOKUP($B$5,标准坦克设计!$B$14:$K$20,9)/30))</f>
        <v>7.7130779143965214</v>
      </c>
      <c r="CH111" s="172">
        <f ca="1">(VLOOKUP(CH$72,INDIRECT($C$5&amp;"生成成长"),2))/((VLOOKUP($B111,INDIRECT($B$5&amp;"生成成长"),4))/(VLOOKUP(CH$72,INDIRECT($C$5&amp;"生成成长"),5))*(VLOOKUP($B$5,标准坦克设计!$B$24:$U$30,MATCH("对"&amp;LEFT($C$5,2)&amp;"输出",标准坦克设计!$B$23:$U$23,0)))*(VLOOKUP($B111,INDIRECT($B$5&amp;"生成成长"),3))*(VLOOKUP($B$5,标准坦克设计!$B$14:$K$20,9)/30))</f>
        <v>8.2599386875038263</v>
      </c>
      <c r="CI111" s="172">
        <f ca="1">(VLOOKUP(CI$72,INDIRECT($C$5&amp;"生成成长"),2))/((VLOOKUP($B111,INDIRECT($B$5&amp;"生成成长"),4))/(VLOOKUP(CI$72,INDIRECT($C$5&amp;"生成成长"),5))*(VLOOKUP($B$5,标准坦克设计!$B$24:$U$30,MATCH("对"&amp;LEFT($C$5,2)&amp;"输出",标准坦克设计!$B$23:$U$23,0)))*(VLOOKUP($B111,INDIRECT($B$5&amp;"生成成长"),3))*(VLOOKUP($B$5,标准坦克设计!$B$14:$K$20,9)/30))</f>
        <v>8.8831165034334703</v>
      </c>
      <c r="CJ111" s="172">
        <f ca="1">(VLOOKUP(CJ$72,INDIRECT($C$5&amp;"生成成长"),2))/((VLOOKUP($B111,INDIRECT($B$5&amp;"生成成长"),4))/(VLOOKUP(CJ$72,INDIRECT($C$5&amp;"生成成长"),5))*(VLOOKUP($B$5,标准坦克设计!$B$24:$U$30,MATCH("对"&amp;LEFT($C$5,2)&amp;"输出",标准坦克设计!$B$23:$U$23,0)))*(VLOOKUP($B111,INDIRECT($B$5&amp;"生成成长"),3))*(VLOOKUP($B$5,标准坦克设计!$B$14:$K$20,9)/30))</f>
        <v>9.5289553308514652</v>
      </c>
      <c r="CK111" s="172">
        <f ca="1">(VLOOKUP(CK$72,INDIRECT($C$5&amp;"生成成长"),2))/((VLOOKUP($B111,INDIRECT($B$5&amp;"生成成长"),4))/(VLOOKUP(CK$72,INDIRECT($C$5&amp;"生成成长"),5))*(VLOOKUP($B$5,标准坦克设计!$B$24:$U$30,MATCH("对"&amp;LEFT($C$5,2)&amp;"输出",标准坦克设计!$B$23:$U$23,0)))*(VLOOKUP($B111,INDIRECT($B$5&amp;"生成成长"),3))*(VLOOKUP($B$5,标准坦克设计!$B$14:$K$20,9)/30))</f>
        <v>10.197455169757811</v>
      </c>
      <c r="CL111" s="172">
        <f ca="1">(VLOOKUP(CL$72,INDIRECT($C$5&amp;"生成成长"),2))/((VLOOKUP($B111,INDIRECT($B$5&amp;"生成成长"),4))/(VLOOKUP(CL$72,INDIRECT($C$5&amp;"生成成长"),5))*(VLOOKUP($B$5,标准坦克设计!$B$24:$U$30,MATCH("对"&amp;LEFT($C$5,2)&amp;"输出",标准坦克设计!$B$23:$U$23,0)))*(VLOOKUP($B111,INDIRECT($B$5&amp;"生成成长"),3))*(VLOOKUP($B$5,标准坦克设计!$B$14:$K$20,9)/30))</f>
        <v>10.888616020152508</v>
      </c>
      <c r="CM111" s="172">
        <f ca="1">(VLOOKUP(CM$72,INDIRECT($C$5&amp;"生成成长"),2))/((VLOOKUP($B111,INDIRECT($B$5&amp;"生成成长"),4))/(VLOOKUP(CM$72,INDIRECT($C$5&amp;"生成成长"),5))*(VLOOKUP($B$5,标准坦克设计!$B$24:$U$30,MATCH("对"&amp;LEFT($C$5,2)&amp;"输出",标准坦克设计!$B$23:$U$23,0)))*(VLOOKUP($B111,INDIRECT($B$5&amp;"生成成长"),3))*(VLOOKUP($B$5,标准坦克设计!$B$14:$K$20,9)/30))</f>
        <v>11.602437882035552</v>
      </c>
      <c r="CN111" s="172">
        <f ca="1">(VLOOKUP(CN$72,INDIRECT($C$5&amp;"生成成长"),2))/((VLOOKUP($B111,INDIRECT($B$5&amp;"生成成长"),4))/(VLOOKUP(CN$72,INDIRECT($C$5&amp;"生成成长"),5))*(VLOOKUP($B$5,标准坦克设计!$B$24:$U$30,MATCH("对"&amp;LEFT($C$5,2)&amp;"输出",标准坦克设计!$B$23:$U$23,0)))*(VLOOKUP($B111,INDIRECT($B$5&amp;"生成成长"),3))*(VLOOKUP($B$5,标准坦克设计!$B$14:$K$20,9)/30))</f>
        <v>12.338920755406951</v>
      </c>
      <c r="CO111" s="172">
        <f ca="1">(VLOOKUP(CO$72,INDIRECT($C$5&amp;"生成成长"),2))/((VLOOKUP($B111,INDIRECT($B$5&amp;"生成成长"),4))/(VLOOKUP(CO$72,INDIRECT($C$5&amp;"生成成长"),5))*(VLOOKUP($B$5,标准坦克设计!$B$24:$U$30,MATCH("对"&amp;LEFT($C$5,2)&amp;"输出",标准坦克设计!$B$23:$U$23,0)))*(VLOOKUP($B111,INDIRECT($B$5&amp;"生成成长"),3))*(VLOOKUP($B$5,标准坦克设计!$B$14:$K$20,9)/30))</f>
        <v>5.5293804437009086</v>
      </c>
      <c r="CP111" s="172">
        <f ca="1">(VLOOKUP(CP$72,INDIRECT($C$5&amp;"生成成长"),2))/((VLOOKUP($B111,INDIRECT($B$5&amp;"生成成长"),4))/(VLOOKUP(CP$72,INDIRECT($C$5&amp;"生成成长"),5))*(VLOOKUP($B$5,标准坦克设计!$B$24:$U$30,MATCH("对"&amp;LEFT($C$5,2)&amp;"输出",标准坦克设计!$B$23:$U$23,0)))*(VLOOKUP($B111,INDIRECT($B$5&amp;"生成成长"),3))*(VLOOKUP($B$5,标准坦克设计!$B$14:$K$20,9)/30))</f>
        <v>6.0413132941422845</v>
      </c>
      <c r="CQ111" s="172">
        <f ca="1">(VLOOKUP(CQ$72,INDIRECT($C$5&amp;"生成成长"),2))/((VLOOKUP($B111,INDIRECT($B$5&amp;"生成成长"),4))/(VLOOKUP(CQ$72,INDIRECT($C$5&amp;"生成成长"),5))*(VLOOKUP($B$5,标准坦克设计!$B$24:$U$30,MATCH("对"&amp;LEFT($C$5,2)&amp;"输出",标准坦克设计!$B$23:$U$23,0)))*(VLOOKUP($B111,INDIRECT($B$5&amp;"生成成长"),3))*(VLOOKUP($B$5,标准坦克设计!$B$14:$K$20,9)/30))</f>
        <v>6.5759071560720139</v>
      </c>
      <c r="CR111" s="172">
        <f ca="1">(VLOOKUP(CR$72,INDIRECT($C$5&amp;"生成成长"),2))/((VLOOKUP($B111,INDIRECT($B$5&amp;"生成成长"),4))/(VLOOKUP(CR$72,INDIRECT($C$5&amp;"生成成长"),5))*(VLOOKUP($B$5,标准坦克设计!$B$24:$U$30,MATCH("对"&amp;LEFT($C$5,2)&amp;"输出",标准坦克设计!$B$23:$U$23,0)))*(VLOOKUP($B111,INDIRECT($B$5&amp;"生成成长"),3))*(VLOOKUP($B$5,标准坦克设计!$B$14:$K$20,9)/30))</f>
        <v>7.1331620294900926</v>
      </c>
      <c r="CS111" s="172">
        <f ca="1">(VLOOKUP(CS$72,INDIRECT($C$5&amp;"生成成长"),2))/((VLOOKUP($B111,INDIRECT($B$5&amp;"生成成长"),4))/(VLOOKUP(CS$72,INDIRECT($C$5&amp;"生成成长"),5))*(VLOOKUP($B$5,标准坦克设计!$B$24:$U$30,MATCH("对"&amp;LEFT($C$5,2)&amp;"输出",标准坦克设计!$B$23:$U$23,0)))*(VLOOKUP($B111,INDIRECT($B$5&amp;"生成成长"),3))*(VLOOKUP($B$5,标准坦克设计!$B$14:$K$20,9)/30))</f>
        <v>7.7130779143965214</v>
      </c>
      <c r="CT111" s="172">
        <f ca="1">(VLOOKUP(CT$72,INDIRECT($C$5&amp;"生成成长"),2))/((VLOOKUP($B111,INDIRECT($B$5&amp;"生成成长"),4))/(VLOOKUP(CT$72,INDIRECT($C$5&amp;"生成成长"),5))*(VLOOKUP($B$5,标准坦克设计!$B$24:$U$30,MATCH("对"&amp;LEFT($C$5,2)&amp;"输出",标准坦克设计!$B$23:$U$23,0)))*(VLOOKUP($B111,INDIRECT($B$5&amp;"生成成长"),3))*(VLOOKUP($B$5,标准坦克设计!$B$14:$K$20,9)/30))</f>
        <v>8.3156548107912993</v>
      </c>
      <c r="CU111" s="172">
        <f ca="1">(VLOOKUP(CU$72,INDIRECT($C$5&amp;"生成成长"),2))/((VLOOKUP($B111,INDIRECT($B$5&amp;"生成成长"),4))/(VLOOKUP(CU$72,INDIRECT($C$5&amp;"生成成长"),5))*(VLOOKUP($B$5,标准坦克设计!$B$24:$U$30,MATCH("对"&amp;LEFT($C$5,2)&amp;"输出",标准坦克设计!$B$23:$U$23,0)))*(VLOOKUP($B111,INDIRECT($B$5&amp;"生成成长"),3))*(VLOOKUP($B$5,标准坦克设计!$B$14:$K$20,9)/30))</f>
        <v>8.9408927186744318</v>
      </c>
      <c r="CV111" s="172">
        <f ca="1">(VLOOKUP(CV$72,INDIRECT($C$5&amp;"生成成长"),2))/((VLOOKUP($B111,INDIRECT($B$5&amp;"生成成长"),4))/(VLOOKUP(CV$72,INDIRECT($C$5&amp;"生成成长"),5))*(VLOOKUP($B$5,标准坦克设计!$B$24:$U$30,MATCH("对"&amp;LEFT($C$5,2)&amp;"输出",标准坦克设计!$B$23:$U$23,0)))*(VLOOKUP($B111,INDIRECT($B$5&amp;"生成成长"),3))*(VLOOKUP($B$5,标准坦克设计!$B$14:$K$20,9)/30))</f>
        <v>9.5887916380459117</v>
      </c>
      <c r="CW111" s="172">
        <f ca="1">(VLOOKUP(CW$72,INDIRECT($C$5&amp;"生成成长"),2))/((VLOOKUP($B111,INDIRECT($B$5&amp;"生成成长"),4))/(VLOOKUP(CW$72,INDIRECT($C$5&amp;"生成成长"),5))*(VLOOKUP($B$5,标准坦克设计!$B$24:$U$30,MATCH("对"&amp;LEFT($C$5,2)&amp;"输出",标准坦克设计!$B$23:$U$23,0)))*(VLOOKUP($B111,INDIRECT($B$5&amp;"生成成长"),3))*(VLOOKUP($B$5,标准坦克设计!$B$14:$K$20,9)/30))</f>
        <v>10.259351568905744</v>
      </c>
      <c r="CX111" s="172">
        <f ca="1">(VLOOKUP(CX$72,INDIRECT($C$5&amp;"生成成长"),2))/((VLOOKUP($B111,INDIRECT($B$5&amp;"生成成长"),4))/(VLOOKUP(CX$72,INDIRECT($C$5&amp;"生成成长"),5))*(VLOOKUP($B$5,标准坦克设计!$B$24:$U$30,MATCH("对"&amp;LEFT($C$5,2)&amp;"输出",标准坦克设计!$B$23:$U$23,0)))*(VLOOKUP($B111,INDIRECT($B$5&amp;"生成成长"),3))*(VLOOKUP($B$5,标准坦克设计!$B$14:$K$20,9)/30))</f>
        <v>10.952572511253926</v>
      </c>
      <c r="CY111" s="172">
        <f ca="1">(VLOOKUP(CY$72,INDIRECT($C$5&amp;"生成成长"),2))/((VLOOKUP($B111,INDIRECT($B$5&amp;"生成成长"),4))/(VLOOKUP(CY$72,INDIRECT($C$5&amp;"生成成长"),5))*(VLOOKUP($B$5,标准坦克设计!$B$24:$U$30,MATCH("对"&amp;LEFT($C$5,2)&amp;"输出",标准坦克设计!$B$23:$U$23,0)))*(VLOOKUP($B111,INDIRECT($B$5&amp;"生成成长"),3))*(VLOOKUP($B$5,标准坦克设计!$B$14:$K$20,9)/30))</f>
        <v>11.668454465090459</v>
      </c>
      <c r="CZ111" s="172">
        <f ca="1">(VLOOKUP(CZ$72,INDIRECT($C$5&amp;"生成成长"),2))/((VLOOKUP($B111,INDIRECT($B$5&amp;"生成成长"),4))/(VLOOKUP(CZ$72,INDIRECT($C$5&amp;"生成成长"),5))*(VLOOKUP($B$5,标准坦克设计!$B$24:$U$30,MATCH("对"&amp;LEFT($C$5,2)&amp;"输出",标准坦克设计!$B$23:$U$23,0)))*(VLOOKUP($B111,INDIRECT($B$5&amp;"生成成长"),3))*(VLOOKUP($B$5,标准坦克设计!$B$14:$K$20,9)/30))</f>
        <v>12.406997430415345</v>
      </c>
      <c r="DA111" s="172">
        <f ca="1">(VLOOKUP(DA$72,INDIRECT($C$5&amp;"生成成长"),2))/((VLOOKUP($B111,INDIRECT($B$5&amp;"生成成长"),4))/(VLOOKUP(DA$72,INDIRECT($C$5&amp;"生成成长"),5))*(VLOOKUP($B$5,标准坦克设计!$B$24:$U$30,MATCH("对"&amp;LEFT($C$5,2)&amp;"输出",标准坦克设计!$B$23:$U$23,0)))*(VLOOKUP($B111,INDIRECT($B$5&amp;"生成成长"),3))*(VLOOKUP($B$5,标准坦克设计!$B$14:$K$20,9)/30))</f>
        <v>13.16820140722858</v>
      </c>
      <c r="DB111" s="172">
        <f ca="1">(VLOOKUP(DB$72,INDIRECT($C$5&amp;"生成成长"),2))/((VLOOKUP($B111,INDIRECT($B$5&amp;"生成成长"),4))/(VLOOKUP(DB$72,INDIRECT($C$5&amp;"生成成长"),5))*(VLOOKUP($B$5,标准坦克设计!$B$24:$U$30,MATCH("对"&amp;LEFT($C$5,2)&amp;"输出",标准坦克设计!$B$23:$U$23,0)))*(VLOOKUP($B111,INDIRECT($B$5&amp;"生成成长"),3))*(VLOOKUP($B$5,标准坦克设计!$B$14:$K$20,9)/30))</f>
        <v>13.952066395530164</v>
      </c>
      <c r="DC111" s="172">
        <f ca="1">(VLOOKUP(DC$72,INDIRECT($C$5&amp;"生成成长"),2))/((VLOOKUP($B111,INDIRECT($B$5&amp;"生成成长"),4))/(VLOOKUP(DC$72,INDIRECT($C$5&amp;"生成成长"),5))*(VLOOKUP($B$5,标准坦克设计!$B$24:$U$30,MATCH("对"&amp;LEFT($C$5,2)&amp;"输出",标准坦克设计!$B$23:$U$23,0)))*(VLOOKUP($B111,INDIRECT($B$5&amp;"生成成长"),3))*(VLOOKUP($B$5,标准坦克设计!$B$14:$K$20,9)/30))</f>
        <v>14.833036627275632</v>
      </c>
      <c r="DD111" s="172">
        <f ca="1">(VLOOKUP(DD$72,INDIRECT($C$5&amp;"生成成长"),2))/((VLOOKUP($B111,INDIRECT($B$5&amp;"生成成长"),4))/(VLOOKUP(DD$72,INDIRECT($C$5&amp;"生成成长"),5))*(VLOOKUP($B$5,标准坦克设计!$B$24:$U$30,MATCH("对"&amp;LEFT($C$5,2)&amp;"输出",标准坦克设计!$B$23:$U$23,0)))*(VLOOKUP($B111,INDIRECT($B$5&amp;"生成成长"),3))*(VLOOKUP($B$5,标准坦克设计!$B$14:$K$20,9)/30))</f>
        <v>15.740975335503105</v>
      </c>
      <c r="DE111" s="172">
        <f ca="1">(VLOOKUP(DE$72,INDIRECT($C$5&amp;"生成成长"),2))/((VLOOKUP($B111,INDIRECT($B$5&amp;"生成成长"),4))/(VLOOKUP(DE$72,INDIRECT($C$5&amp;"生成成长"),5))*(VLOOKUP($B$5,标准坦克设计!$B$24:$U$30,MATCH("对"&amp;LEFT($C$5,2)&amp;"输出",标准坦克设计!$B$23:$U$23,0)))*(VLOOKUP($B111,INDIRECT($B$5&amp;"生成成长"),3))*(VLOOKUP($B$5,标准坦克设计!$B$14:$K$20,9)/30))</f>
        <v>16.675882520212582</v>
      </c>
      <c r="DF111" s="172">
        <f ca="1">(VLOOKUP(DF$72,INDIRECT($C$5&amp;"生成成长"),2))/((VLOOKUP($B111,INDIRECT($B$5&amp;"生成成长"),4))/(VLOOKUP(DF$72,INDIRECT($C$5&amp;"生成成长"),5))*(VLOOKUP($B$5,标准坦克设计!$B$24:$U$30,MATCH("对"&amp;LEFT($C$5,2)&amp;"输出",标准坦克设计!$B$23:$U$23,0)))*(VLOOKUP($B111,INDIRECT($B$5&amp;"生成成长"),3))*(VLOOKUP($B$5,标准坦克设计!$B$14:$K$20,9)/30))</f>
        <v>17.637758181404063</v>
      </c>
      <c r="DG111" s="172">
        <f ca="1">(VLOOKUP(DG$72,INDIRECT($C$5&amp;"生成成长"),2))/((VLOOKUP($B111,INDIRECT($B$5&amp;"生成成长"),4))/(VLOOKUP(DG$72,INDIRECT($C$5&amp;"生成成长"),5))*(VLOOKUP($B$5,标准坦克设计!$B$24:$U$30,MATCH("对"&amp;LEFT($C$5,2)&amp;"输出",标准坦克设计!$B$23:$U$23,0)))*(VLOOKUP($B111,INDIRECT($B$5&amp;"生成成长"),3))*(VLOOKUP($B$5,标准坦克设计!$B$14:$K$20,9)/30))</f>
        <v>18.626602319077545</v>
      </c>
      <c r="DH111" s="172">
        <f ca="1">(VLOOKUP(DH$72,INDIRECT($C$5&amp;"生成成长"),2))/((VLOOKUP($B111,INDIRECT($B$5&amp;"生成成长"),4))/(VLOOKUP(DH$72,INDIRECT($C$5&amp;"生成成长"),5))*(VLOOKUP($B$5,标准坦克设计!$B$24:$U$30,MATCH("对"&amp;LEFT($C$5,2)&amp;"输出",标准坦克设计!$B$23:$U$23,0)))*(VLOOKUP($B111,INDIRECT($B$5&amp;"生成成长"),3))*(VLOOKUP($B$5,标准坦克设计!$B$14:$K$20,9)/30))</f>
        <v>19.642414933233034</v>
      </c>
      <c r="DI111" s="172">
        <f ca="1">(VLOOKUP(DI$72,INDIRECT($C$5&amp;"生成成长"),2))/((VLOOKUP($B111,INDIRECT($B$5&amp;"生成成长"),4))/(VLOOKUP(DI$72,INDIRECT($C$5&amp;"生成成长"),5))*(VLOOKUP($B$5,标准坦克设计!$B$24:$U$30,MATCH("对"&amp;LEFT($C$5,2)&amp;"输出",标准坦克设计!$B$23:$U$23,0)))*(VLOOKUP($B111,INDIRECT($B$5&amp;"生成成长"),3))*(VLOOKUP($B$5,标准坦克设计!$B$14:$K$20,9)/30))</f>
        <v>20.685196023870525</v>
      </c>
      <c r="DJ111" s="172">
        <f ca="1">(VLOOKUP(DJ$72,INDIRECT($C$5&amp;"生成成长"),2))/((VLOOKUP($B111,INDIRECT($B$5&amp;"生成成长"),4))/(VLOOKUP(DJ$72,INDIRECT($C$5&amp;"生成成长"),5))*(VLOOKUP($B$5,标准坦克设计!$B$24:$U$30,MATCH("对"&amp;LEFT($C$5,2)&amp;"输出",标准坦克设计!$B$23:$U$23,0)))*(VLOOKUP($B111,INDIRECT($B$5&amp;"生成成长"),3))*(VLOOKUP($B$5,标准坦克设计!$B$14:$K$20,9)/30))</f>
        <v>2.0789137026978248</v>
      </c>
      <c r="DK111" s="172">
        <f ca="1">(VLOOKUP(DK$72,INDIRECT($C$5&amp;"生成成长"),2))/((VLOOKUP($B111,INDIRECT($B$5&amp;"生成成长"),4))/(VLOOKUP(DK$72,INDIRECT($C$5&amp;"生成成长"),5))*(VLOOKUP($B$5,标准坦克设计!$B$24:$U$30,MATCH("对"&amp;LEFT($C$5,2)&amp;"输出",标准坦克设计!$B$23:$U$23,0)))*(VLOOKUP($B111,INDIRECT($B$5&amp;"生成成长"),3))*(VLOOKUP($B$5,标准坦克设计!$B$14:$K$20,9)/30))</f>
        <v>2.3376425239470522</v>
      </c>
      <c r="DL111" s="172">
        <f ca="1">(VLOOKUP(DL$72,INDIRECT($C$5&amp;"生成成长"),2))/((VLOOKUP($B111,INDIRECT($B$5&amp;"生成成长"),4))/(VLOOKUP(DL$72,INDIRECT($C$5&amp;"生成成长"),5))*(VLOOKUP($B$5,标准坦克设计!$B$24:$U$30,MATCH("对"&amp;LEFT($C$5,2)&amp;"输出",标准坦克设计!$B$23:$U$23,0)))*(VLOOKUP($B111,INDIRECT($B$5&amp;"生成成长"),3))*(VLOOKUP($B$5,标准坦克设计!$B$14:$K$20,9)/30))</f>
        <v>2.6115411132174065</v>
      </c>
      <c r="DM111" s="172">
        <f ca="1">(VLOOKUP(DM$72,INDIRECT($C$5&amp;"生成成长"),2))/((VLOOKUP($B111,INDIRECT($B$5&amp;"生成成长"),4))/(VLOOKUP(DM$72,INDIRECT($C$5&amp;"生成成长"),5))*(VLOOKUP($B$5,标准坦克设计!$B$24:$U$30,MATCH("对"&amp;LEFT($C$5,2)&amp;"输出",标准坦克设计!$B$23:$U$23,0)))*(VLOOKUP($B111,INDIRECT($B$5&amp;"生成成长"),3))*(VLOOKUP($B$5,标准坦克设计!$B$14:$K$20,9)/30))</f>
        <v>2.9006094705088881</v>
      </c>
      <c r="DN111" s="172">
        <f ca="1">(VLOOKUP(DN$72,INDIRECT($C$5&amp;"生成成长"),2))/((VLOOKUP($B111,INDIRECT($B$5&amp;"生成成长"),4))/(VLOOKUP(DN$72,INDIRECT($C$5&amp;"生成成长"),5))*(VLOOKUP($B$5,标准坦克设计!$B$24:$U$30,MATCH("对"&amp;LEFT($C$5,2)&amp;"输出",标准坦克设计!$B$23:$U$23,0)))*(VLOOKUP($B111,INDIRECT($B$5&amp;"生成成长"),3))*(VLOOKUP($B$5,标准坦克设计!$B$14:$K$20,9)/30))</f>
        <v>3.2048475958214975</v>
      </c>
      <c r="DO111" s="172">
        <f ca="1">(VLOOKUP(DO$72,INDIRECT($C$5&amp;"生成成长"),2))/((VLOOKUP($B111,INDIRECT($B$5&amp;"生成成长"),4))/(VLOOKUP(DO$72,INDIRECT($C$5&amp;"生成成长"),5))*(VLOOKUP($B$5,标准坦克设计!$B$24:$U$30,MATCH("对"&amp;LEFT($C$5,2)&amp;"输出",标准坦克设计!$B$23:$U$23,0)))*(VLOOKUP($B111,INDIRECT($B$5&amp;"生成成长"),3))*(VLOOKUP($B$5,标准坦克设计!$B$14:$K$20,9)/30))</f>
        <v>3.5242554891552338</v>
      </c>
      <c r="DP111" s="172">
        <f ca="1">(VLOOKUP(DP$72,INDIRECT($C$5&amp;"生成成长"),2))/((VLOOKUP($B111,INDIRECT($B$5&amp;"生成成长"),4))/(VLOOKUP(DP$72,INDIRECT($C$5&amp;"生成成长"),5))*(VLOOKUP($B$5,标准坦克设计!$B$24:$U$30,MATCH("对"&amp;LEFT($C$5,2)&amp;"输出",标准坦克设计!$B$23:$U$23,0)))*(VLOOKUP($B111,INDIRECT($B$5&amp;"生成成长"),3))*(VLOOKUP($B$5,标准坦克设计!$B$14:$K$20,9)/30))</f>
        <v>3.8588331505100975</v>
      </c>
      <c r="DQ111" s="172">
        <f ca="1">(VLOOKUP(DQ$72,INDIRECT($C$5&amp;"生成成长"),2))/((VLOOKUP($B111,INDIRECT($B$5&amp;"生成成长"),4))/(VLOOKUP(DQ$72,INDIRECT($C$5&amp;"生成成长"),5))*(VLOOKUP($B$5,标准坦克设计!$B$24:$U$30,MATCH("对"&amp;LEFT($C$5,2)&amp;"输出",标准坦克设计!$B$23:$U$23,0)))*(VLOOKUP($B111,INDIRECT($B$5&amp;"生成成长"),3))*(VLOOKUP($B$5,标准坦克设计!$B$14:$K$20,9)/30))</f>
        <v>4.2085805798860898</v>
      </c>
      <c r="DR111" s="172">
        <f ca="1">(VLOOKUP(DR$72,INDIRECT($C$5&amp;"生成成长"),2))/((VLOOKUP($B111,INDIRECT($B$5&amp;"生成成长"),4))/(VLOOKUP(DR$72,INDIRECT($C$5&amp;"生成成长"),5))*(VLOOKUP($B$5,标准坦克设计!$B$24:$U$30,MATCH("对"&amp;LEFT($C$5,2)&amp;"输出",标准坦克设计!$B$23:$U$23,0)))*(VLOOKUP($B111,INDIRECT($B$5&amp;"生成成长"),3))*(VLOOKUP($B$5,标准坦克设计!$B$14:$K$20,9)/30))</f>
        <v>4.5734977772832073</v>
      </c>
      <c r="DS111" s="172">
        <f ca="1">(VLOOKUP(DS$72,INDIRECT($C$5&amp;"生成成长"),2))/((VLOOKUP($B111,INDIRECT($B$5&amp;"生成成长"),4))/(VLOOKUP(DS$72,INDIRECT($C$5&amp;"生成成长"),5))*(VLOOKUP($B$5,标准坦克设计!$B$24:$U$30,MATCH("对"&amp;LEFT($C$5,2)&amp;"输出",标准坦克设计!$B$23:$U$23,0)))*(VLOOKUP($B111,INDIRECT($B$5&amp;"生成成长"),3))*(VLOOKUP($B$5,标准坦克设计!$B$14:$K$20,9)/30))</f>
        <v>4.9535847427014525</v>
      </c>
      <c r="DT111" s="172">
        <f ca="1">(VLOOKUP(DT$72,INDIRECT($C$5&amp;"生成成长"),2))/((VLOOKUP($B111,INDIRECT($B$5&amp;"生成成长"),4))/(VLOOKUP(DT$72,INDIRECT($C$5&amp;"生成成长"),5))*(VLOOKUP($B$5,标准坦克设计!$B$24:$U$30,MATCH("对"&amp;LEFT($C$5,2)&amp;"输出",标准坦克设计!$B$23:$U$23,0)))*(VLOOKUP($B111,INDIRECT($B$5&amp;"生成成长"),3))*(VLOOKUP($B$5,标准坦克设计!$B$14:$K$20,9)/30))</f>
        <v>5.4387363977475056</v>
      </c>
      <c r="DU111" s="172">
        <f ca="1">(VLOOKUP(DU$72,INDIRECT($C$5&amp;"生成成长"),2))/((VLOOKUP($B111,INDIRECT($B$5&amp;"生成成长"),4))/(VLOOKUP(DU$72,INDIRECT($C$5&amp;"生成成长"),5))*(VLOOKUP($B$5,标准坦克设计!$B$24:$U$30,MATCH("对"&amp;LEFT($C$5,2)&amp;"输出",标准坦克设计!$B$23:$U$23,0)))*(VLOOKUP($B111,INDIRECT($B$5&amp;"生成成长"),3))*(VLOOKUP($B$5,标准坦克设计!$B$14:$K$20,9)/30))</f>
        <v>5.9465490642819105</v>
      </c>
      <c r="DV111" s="172">
        <f ca="1">(VLOOKUP(DV$72,INDIRECT($C$5&amp;"生成成长"),2))/((VLOOKUP($B111,INDIRECT($B$5&amp;"生成成长"),4))/(VLOOKUP(DV$72,INDIRECT($C$5&amp;"生成成长"),5))*(VLOOKUP($B$5,标准坦克设计!$B$24:$U$30,MATCH("对"&amp;LEFT($C$5,2)&amp;"输出",标准坦克设计!$B$23:$U$23,0)))*(VLOOKUP($B111,INDIRECT($B$5&amp;"生成成长"),3))*(VLOOKUP($B$5,标准坦克设计!$B$14:$K$20,9)/30))</f>
        <v>6.4770227423046656</v>
      </c>
      <c r="DW111" s="172">
        <f ca="1">(VLOOKUP(DW$72,INDIRECT($C$5&amp;"生成成长"),2))/((VLOOKUP($B111,INDIRECT($B$5&amp;"生成成长"),4))/(VLOOKUP(DW$72,INDIRECT($C$5&amp;"生成成长"),5))*(VLOOKUP($B$5,标准坦克设计!$B$24:$U$30,MATCH("对"&amp;LEFT($C$5,2)&amp;"输出",标准坦克设计!$B$23:$U$23,0)))*(VLOOKUP($B111,INDIRECT($B$5&amp;"生成成长"),3))*(VLOOKUP($B$5,标准坦克设计!$B$14:$K$20,9)/30))</f>
        <v>7.0301574318157698</v>
      </c>
      <c r="DX111" s="172">
        <f ca="1">(VLOOKUP(DX$72,INDIRECT($C$5&amp;"生成成长"),2))/((VLOOKUP($B111,INDIRECT($B$5&amp;"生成成长"),4))/(VLOOKUP(DX$72,INDIRECT($C$5&amp;"生成成长"),5))*(VLOOKUP($B$5,标准坦克设计!$B$24:$U$30,MATCH("对"&amp;LEFT($C$5,2)&amp;"输出",标准坦克设计!$B$23:$U$23,0)))*(VLOOKUP($B111,INDIRECT($B$5&amp;"生成成长"),3))*(VLOOKUP($B$5,标准坦克设计!$B$14:$K$20,9)/30))</f>
        <v>7.6059531328152277</v>
      </c>
      <c r="DY111" s="172">
        <f ca="1">(VLOOKUP(DY$72,INDIRECT($C$5&amp;"生成成长"),2))/((VLOOKUP($B111,INDIRECT($B$5&amp;"生成成长"),4))/(VLOOKUP(DY$72,INDIRECT($C$5&amp;"生成成长"),5))*(VLOOKUP($B$5,标准坦克设计!$B$24:$U$30,MATCH("对"&amp;LEFT($C$5,2)&amp;"输出",标准坦克设计!$B$23:$U$23,0)))*(VLOOKUP($B111,INDIRECT($B$5&amp;"生成成长"),3))*(VLOOKUP($B$5,标准坦克设计!$B$14:$K$20,9)/30))</f>
        <v>3.4161006615971963</v>
      </c>
      <c r="DZ111" s="172">
        <f ca="1">(VLOOKUP(DZ$72,INDIRECT($C$5&amp;"生成成长"),2))/((VLOOKUP($B111,INDIRECT($B$5&amp;"生成成长"),4))/(VLOOKUP(DZ$72,INDIRECT($C$5&amp;"生成成长"),5))*(VLOOKUP($B$5,标准坦克设计!$B$24:$U$30,MATCH("对"&amp;LEFT($C$5,2)&amp;"输出",标准坦克设计!$B$23:$U$23,0)))*(VLOOKUP($B111,INDIRECT($B$5&amp;"生成成长"),3))*(VLOOKUP($B$5,标准坦克设计!$B$14:$K$20,9)/30))</f>
        <v>3.7831715914911417</v>
      </c>
      <c r="EA111" s="172">
        <f ca="1">(VLOOKUP(EA$72,INDIRECT($C$5&amp;"生成成长"),2))/((VLOOKUP($B111,INDIRECT($B$5&amp;"生成成长"),4))/(VLOOKUP(EA$72,INDIRECT($C$5&amp;"生成成长"),5))*(VLOOKUP($B$5,标准坦克设计!$B$24:$U$30,MATCH("对"&amp;LEFT($C$5,2)&amp;"输出",标准坦克设计!$B$23:$U$23,0)))*(VLOOKUP($B111,INDIRECT($B$5&amp;"生成成长"),3))*(VLOOKUP($B$5,标准坦克设计!$B$14:$K$20,9)/30))</f>
        <v>4.1689706300531455</v>
      </c>
      <c r="EB111" s="172">
        <f ca="1">(VLOOKUP(EB$72,INDIRECT($C$5&amp;"生成成长"),2))/((VLOOKUP($B111,INDIRECT($B$5&amp;"生成成长"),4))/(VLOOKUP(EB$72,INDIRECT($C$5&amp;"生成成长"),5))*(VLOOKUP($B$5,标准坦克设计!$B$24:$U$30,MATCH("对"&amp;LEFT($C$5,2)&amp;"输出",标准坦克设计!$B$23:$U$23,0)))*(VLOOKUP($B111,INDIRECT($B$5&amp;"生成成长"),3))*(VLOOKUP($B$5,标准坦克设计!$B$14:$K$20,9)/30))</f>
        <v>4.5734977772832073</v>
      </c>
      <c r="EC111" s="172">
        <f ca="1">(VLOOKUP(EC$72,INDIRECT($C$5&amp;"生成成长"),2))/((VLOOKUP($B111,INDIRECT($B$5&amp;"生成成长"),4))/(VLOOKUP(EC$72,INDIRECT($C$5&amp;"生成成长"),5))*(VLOOKUP($B$5,标准坦克设计!$B$24:$U$30,MATCH("对"&amp;LEFT($C$5,2)&amp;"输出",标准坦克设计!$B$23:$U$23,0)))*(VLOOKUP($B111,INDIRECT($B$5&amp;"生成成长"),3))*(VLOOKUP($B$5,标准坦克设计!$B$14:$K$20,9)/30))</f>
        <v>4.996753033181327</v>
      </c>
      <c r="ED111" s="172">
        <f ca="1">(VLOOKUP(ED$72,INDIRECT($C$5&amp;"生成成长"),2))/((VLOOKUP($B111,INDIRECT($B$5&amp;"生成成长"),4))/(VLOOKUP(ED$72,INDIRECT($C$5&amp;"生成成长"),5))*(VLOOKUP($B$5,标准坦克设计!$B$24:$U$30,MATCH("对"&amp;LEFT($C$5,2)&amp;"输出",标准坦克设计!$B$23:$U$23,0)))*(VLOOKUP($B111,INDIRECT($B$5&amp;"生成成长"),3))*(VLOOKUP($B$5,标准坦克设计!$B$14:$K$20,9)/30))</f>
        <v>5.4387363977475056</v>
      </c>
      <c r="EE111" s="172">
        <f ca="1">(VLOOKUP(EE$72,INDIRECT($C$5&amp;"生成成长"),2))/((VLOOKUP($B111,INDIRECT($B$5&amp;"生成成长"),4))/(VLOOKUP(EE$72,INDIRECT($C$5&amp;"生成成长"),5))*(VLOOKUP($B$5,标准坦克设计!$B$24:$U$30,MATCH("对"&amp;LEFT($C$5,2)&amp;"输出",标准坦克设计!$B$23:$U$23,0)))*(VLOOKUP($B111,INDIRECT($B$5&amp;"生成成长"),3))*(VLOOKUP($B$5,标准坦克设计!$B$14:$K$20,9)/30))</f>
        <v>5.8994478709817439</v>
      </c>
      <c r="EF111" s="172">
        <f ca="1">(VLOOKUP(EF$72,INDIRECT($C$5&amp;"生成成长"),2))/((VLOOKUP($B111,INDIRECT($B$5&amp;"生成成长"),4))/(VLOOKUP(EF$72,INDIRECT($C$5&amp;"生成成长"),5))*(VLOOKUP($B$5,标准坦克设计!$B$24:$U$30,MATCH("对"&amp;LEFT($C$5,2)&amp;"输出",标准坦克设计!$B$23:$U$23,0)))*(VLOOKUP($B111,INDIRECT($B$5&amp;"生成成长"),3))*(VLOOKUP($B$5,标准坦克设计!$B$14:$K$20,9)/30))</f>
        <v>6.3788874528840385</v>
      </c>
      <c r="EG111" s="172">
        <f ca="1">(VLOOKUP(EG$72,INDIRECT($C$5&amp;"生成成长"),2))/((VLOOKUP($B111,INDIRECT($B$5&amp;"生成成长"),4))/(VLOOKUP(EG$72,INDIRECT($C$5&amp;"生成成长"),5))*(VLOOKUP($B$5,标准坦克设计!$B$24:$U$30,MATCH("对"&amp;LEFT($C$5,2)&amp;"输出",标准坦克设计!$B$23:$U$23,0)))*(VLOOKUP($B111,INDIRECT($B$5&amp;"生成成长"),3))*(VLOOKUP($B$5,标准坦克设计!$B$14:$K$20,9)/30))</f>
        <v>6.8770551434543936</v>
      </c>
      <c r="EH111" s="172">
        <f ca="1">(VLOOKUP(EH$72,INDIRECT($C$5&amp;"生成成长"),2))/((VLOOKUP($B111,INDIRECT($B$5&amp;"生成成长"),4))/(VLOOKUP(EH$72,INDIRECT($C$5&amp;"生成成长"),5))*(VLOOKUP($B$5,标准坦克设计!$B$24:$U$30,MATCH("对"&amp;LEFT($C$5,2)&amp;"输出",标准坦克设计!$B$23:$U$23,0)))*(VLOOKUP($B111,INDIRECT($B$5&amp;"生成成长"),3))*(VLOOKUP($B$5,标准坦克设计!$B$14:$K$20,9)/30))</f>
        <v>7.393950942692805</v>
      </c>
      <c r="EI111" s="172">
        <f ca="1">(VLOOKUP(EI$72,INDIRECT($C$5&amp;"生成成长"),2))/((VLOOKUP($B111,INDIRECT($B$5&amp;"生成成长"),4))/(VLOOKUP(EI$72,INDIRECT($C$5&amp;"生成成长"),5))*(VLOOKUP($B$5,标准坦克设计!$B$24:$U$30,MATCH("对"&amp;LEFT($C$5,2)&amp;"输出",标准坦克设计!$B$23:$U$23,0)))*(VLOOKUP($B111,INDIRECT($B$5&amp;"生成成长"),3))*(VLOOKUP($B$5,标准坦克设计!$B$14:$K$20,9)/30))</f>
        <v>7.929574850599276</v>
      </c>
      <c r="EJ111" s="172">
        <f ca="1">(VLOOKUP(EJ$72,INDIRECT($C$5&amp;"生成成长"),2))/((VLOOKUP($B111,INDIRECT($B$5&amp;"生成成长"),4))/(VLOOKUP(EJ$72,INDIRECT($C$5&amp;"生成成长"),5))*(VLOOKUP($B$5,标准坦克设计!$B$24:$U$30,MATCH("对"&amp;LEFT($C$5,2)&amp;"输出",标准坦克设计!$B$23:$U$23,0)))*(VLOOKUP($B111,INDIRECT($B$5&amp;"生成成长"),3))*(VLOOKUP($B$5,标准坦克设计!$B$14:$K$20,9)/30))</f>
        <v>8.4839268671738051</v>
      </c>
      <c r="EK111" s="172">
        <f ca="1">(VLOOKUP(EK$72,INDIRECT($C$5&amp;"生成成长"),2))/((VLOOKUP($B111,INDIRECT($B$5&amp;"生成成长"),4))/(VLOOKUP(EK$72,INDIRECT($C$5&amp;"生成成长"),5))*(VLOOKUP($B$5,标准坦克设计!$B$24:$U$30,MATCH("对"&amp;LEFT($C$5,2)&amp;"输出",标准坦克设计!$B$23:$U$23,0)))*(VLOOKUP($B111,INDIRECT($B$5&amp;"生成成长"),3))*(VLOOKUP($B$5,标准坦克设计!$B$14:$K$20,9)/30))</f>
        <v>9.173870390505078</v>
      </c>
      <c r="EL111" s="172">
        <f ca="1">(VLOOKUP(EL$72,INDIRECT($C$5&amp;"生成成长"),2))/((VLOOKUP($B111,INDIRECT($B$5&amp;"生成成长"),4))/(VLOOKUP(EL$72,INDIRECT($C$5&amp;"生成成长"),5))*(VLOOKUP($B$5,标准坦克设计!$B$24:$U$30,MATCH("对"&amp;LEFT($C$5,2)&amp;"输出",标准坦克设计!$B$23:$U$23,0)))*(VLOOKUP($B111,INDIRECT($B$5&amp;"生成成长"),3))*(VLOOKUP($B$5,标准坦克设计!$B$14:$K$20,9)/30))</f>
        <v>9.8907823903183552</v>
      </c>
      <c r="EM111" s="172">
        <f ca="1">(VLOOKUP(EM$72,INDIRECT($C$5&amp;"生成成长"),2))/((VLOOKUP($B111,INDIRECT($B$5&amp;"生成成长"),4))/(VLOOKUP(EM$72,INDIRECT($C$5&amp;"生成成长"),5))*(VLOOKUP($B$5,标准坦克设计!$B$24:$U$30,MATCH("对"&amp;LEFT($C$5,2)&amp;"输出",标准坦克设计!$B$23:$U$23,0)))*(VLOOKUP($B111,INDIRECT($B$5&amp;"生成成长"),3))*(VLOOKUP($B$5,标准坦克设计!$B$14:$K$20,9)/30))</f>
        <v>10.634662866613635</v>
      </c>
      <c r="EN111" s="172">
        <f ca="1">(VLOOKUP(EN$72,INDIRECT($C$5&amp;"生成成长"),2))/((VLOOKUP($B111,INDIRECT($B$5&amp;"生成成长"),4))/(VLOOKUP(EN$72,INDIRECT($C$5&amp;"生成成长"),5))*(VLOOKUP($B$5,标准坦克设计!$B$24:$U$30,MATCH("对"&amp;LEFT($C$5,2)&amp;"输出",标准坦克设计!$B$23:$U$23,0)))*(VLOOKUP($B111,INDIRECT($B$5&amp;"生成成长"),3))*(VLOOKUP($B$5,标准坦克设计!$B$14:$K$20,9)/30))</f>
        <v>11.405511819390918</v>
      </c>
      <c r="EO111" s="172">
        <f ca="1">(VLOOKUP(EO$72,INDIRECT($C$5&amp;"生成成长"),2))/((VLOOKUP($B111,INDIRECT($B$5&amp;"生成成长"),4))/(VLOOKUP(EO$72,INDIRECT($C$5&amp;"生成成长"),5))*(VLOOKUP($B$5,标准坦克设计!$B$24:$U$30,MATCH("对"&amp;LEFT($C$5,2)&amp;"输出",标准坦克设计!$B$23:$U$23,0)))*(VLOOKUP($B111,INDIRECT($B$5&amp;"生成成长"),3))*(VLOOKUP($B$5,标准坦克设计!$B$14:$K$20,9)/30))</f>
        <v>12.203329248650206</v>
      </c>
      <c r="EP111" s="172">
        <f ca="1">(VLOOKUP(EP$72,INDIRECT($C$5&amp;"生成成长"),2))/((VLOOKUP($B111,INDIRECT($B$5&amp;"生成成长"),4))/(VLOOKUP(EP$72,INDIRECT($C$5&amp;"生成成长"),5))*(VLOOKUP($B$5,标准坦克设计!$B$24:$U$30,MATCH("对"&amp;LEFT($C$5,2)&amp;"输出",标准坦克设计!$B$23:$U$23,0)))*(VLOOKUP($B111,INDIRECT($B$5&amp;"生成成长"),3))*(VLOOKUP($B$5,标准坦克设计!$B$14:$K$20,9)/30))</f>
        <v>13.0281151543915</v>
      </c>
      <c r="EQ111" s="172">
        <f ca="1">(VLOOKUP(EQ$72,INDIRECT($C$5&amp;"生成成长"),2))/((VLOOKUP($B111,INDIRECT($B$5&amp;"生成成长"),4))/(VLOOKUP(EQ$72,INDIRECT($C$5&amp;"生成成长"),5))*(VLOOKUP($B$5,标准坦克设计!$B$24:$U$30,MATCH("对"&amp;LEFT($C$5,2)&amp;"输出",标准坦克设计!$B$23:$U$23,0)))*(VLOOKUP($B111,INDIRECT($B$5&amp;"生成成长"),3))*(VLOOKUP($B$5,标准坦克设计!$B$14:$K$20,9)/30))</f>
        <v>5.7592679776013256</v>
      </c>
      <c r="ER111" s="172">
        <f ca="1">(VLOOKUP(ER$72,INDIRECT($C$5&amp;"生成成长"),2))/((VLOOKUP($B111,INDIRECT($B$5&amp;"生成成长"),4))/(VLOOKUP(ER$72,INDIRECT($C$5&amp;"生成成长"),5))*(VLOOKUP($B$5,标准坦克设计!$B$24:$U$30,MATCH("对"&amp;LEFT($C$5,2)&amp;"输出",标准坦克设计!$B$23:$U$23,0)))*(VLOOKUP($B111,INDIRECT($B$5&amp;"生成成长"),3))*(VLOOKUP($B$5,标准坦克设计!$B$14:$K$20,9)/30))</f>
        <v>6.2815012878101344</v>
      </c>
      <c r="ES111" s="172">
        <f ca="1">(VLOOKUP(ES$72,INDIRECT($C$5&amp;"生成成长"),2))/((VLOOKUP($B111,INDIRECT($B$5&amp;"生成成长"),4))/(VLOOKUP(ES$72,INDIRECT($C$5&amp;"生成成长"),5))*(VLOOKUP($B$5,标准坦克设计!$B$24:$U$30,MATCH("对"&amp;LEFT($C$5,2)&amp;"输出",标准坦克设计!$B$23:$U$23,0)))*(VLOOKUP($B111,INDIRECT($B$5&amp;"生成成长"),3))*(VLOOKUP($B$5,标准坦克设计!$B$14:$K$20,9)/30))</f>
        <v>6.8263956095072951</v>
      </c>
      <c r="ET111" s="172">
        <f ca="1">(VLOOKUP(ET$72,INDIRECT($C$5&amp;"生成成长"),2))/((VLOOKUP($B111,INDIRECT($B$5&amp;"生成成长"),4))/(VLOOKUP(ET$72,INDIRECT($C$5&amp;"生成成长"),5))*(VLOOKUP($B$5,标准坦克设计!$B$24:$U$30,MATCH("对"&amp;LEFT($C$5,2)&amp;"输出",标准坦克设计!$B$23:$U$23,0)))*(VLOOKUP($B111,INDIRECT($B$5&amp;"生成成长"),3))*(VLOOKUP($B$5,标准坦克设计!$B$14:$K$20,9)/30))</f>
        <v>7.393950942692805</v>
      </c>
      <c r="EU111" s="172">
        <f ca="1">(VLOOKUP(EU$72,INDIRECT($C$5&amp;"生成成长"),2))/((VLOOKUP($B111,INDIRECT($B$5&amp;"生成成长"),4))/(VLOOKUP(EU$72,INDIRECT($C$5&amp;"生成成长"),5))*(VLOOKUP($B$5,标准坦克设计!$B$24:$U$30,MATCH("对"&amp;LEFT($C$5,2)&amp;"输出",标准坦克设计!$B$23:$U$23,0)))*(VLOOKUP($B111,INDIRECT($B$5&amp;"生成成长"),3))*(VLOOKUP($B$5,标准坦克设计!$B$14:$K$20,9)/30))</f>
        <v>7.9841672873666667</v>
      </c>
      <c r="EV111" s="172">
        <f ca="1">(VLOOKUP(EV$72,INDIRECT($C$5&amp;"生成成长"),2))/((VLOOKUP($B111,INDIRECT($B$5&amp;"生成成长"),4))/(VLOOKUP(EV$72,INDIRECT($C$5&amp;"生成成长"),5))*(VLOOKUP($B$5,标准坦克设计!$B$24:$U$30,MATCH("对"&amp;LEFT($C$5,2)&amp;"输出",标准坦克设计!$B$23:$U$23,0)))*(VLOOKUP($B111,INDIRECT($B$5&amp;"生成成长"),3))*(VLOOKUP($B$5,标准坦克设计!$B$14:$K$20,9)/30))</f>
        <v>8.5970446435288785</v>
      </c>
      <c r="EW111" s="172">
        <f ca="1">(VLOOKUP(EW$72,INDIRECT($C$5&amp;"生成成长"),2))/((VLOOKUP($B111,INDIRECT($B$5&amp;"生成成长"),4))/(VLOOKUP(EW$72,INDIRECT($C$5&amp;"生成成长"),5))*(VLOOKUP($B$5,标准坦克设计!$B$24:$U$30,MATCH("对"&amp;LEFT($C$5,2)&amp;"输出",标准坦克设计!$B$23:$U$23,0)))*(VLOOKUP($B111,INDIRECT($B$5&amp;"生成成长"),3))*(VLOOKUP($B$5,标准坦克设计!$B$14:$K$20,9)/30))</f>
        <v>9.2325830111794414</v>
      </c>
      <c r="EX111" s="172">
        <f ca="1">(VLOOKUP(EX$72,INDIRECT($C$5&amp;"生成成长"),2))/((VLOOKUP($B111,INDIRECT($B$5&amp;"生成成长"),4))/(VLOOKUP(EX$72,INDIRECT($C$5&amp;"生成成长"),5))*(VLOOKUP($B$5,标准坦克设计!$B$24:$U$30,MATCH("对"&amp;LEFT($C$5,2)&amp;"输出",标准坦克设计!$B$23:$U$23,0)))*(VLOOKUP($B111,INDIRECT($B$5&amp;"生成成长"),3))*(VLOOKUP($B$5,标准坦克设计!$B$14:$K$20,9)/30))</f>
        <v>9.8907823903183552</v>
      </c>
      <c r="EY111" s="172">
        <f ca="1">(VLOOKUP(EY$72,INDIRECT($C$5&amp;"生成成长"),2))/((VLOOKUP($B111,INDIRECT($B$5&amp;"生成成长"),4))/(VLOOKUP(EY$72,INDIRECT($C$5&amp;"生成成长"),5))*(VLOOKUP($B$5,标准坦克设计!$B$24:$U$30,MATCH("对"&amp;LEFT($C$5,2)&amp;"输出",标准坦克设计!$B$23:$U$23,0)))*(VLOOKUP($B111,INDIRECT($B$5&amp;"生成成长"),3))*(VLOOKUP($B$5,标准坦克设计!$B$14:$K$20,9)/30))</f>
        <v>10.571642780945616</v>
      </c>
      <c r="EZ111" s="172">
        <f ca="1">(VLOOKUP(EZ$72,INDIRECT($C$5&amp;"生成成长"),2))/((VLOOKUP($B111,INDIRECT($B$5&amp;"生成成长"),4))/(VLOOKUP(EZ$72,INDIRECT($C$5&amp;"生成成长"),5))*(VLOOKUP($B$5,标准坦克设计!$B$24:$U$30,MATCH("对"&amp;LEFT($C$5,2)&amp;"输出",标准坦克设计!$B$23:$U$23,0)))*(VLOOKUP($B111,INDIRECT($B$5&amp;"生成成长"),3))*(VLOOKUP($B$5,标准坦克设计!$B$14:$K$20,9)/30))</f>
        <v>11.275164183061232</v>
      </c>
      <c r="FA111" s="172">
        <f ca="1">(VLOOKUP(FA$72,INDIRECT($C$5&amp;"生成成长"),2))/((VLOOKUP($B111,INDIRECT($B$5&amp;"生成成长"),4))/(VLOOKUP(FA$72,INDIRECT($C$5&amp;"生成成长"),5))*(VLOOKUP($B$5,标准坦克设计!$B$24:$U$30,MATCH("对"&amp;LEFT($C$5,2)&amp;"输出",标准坦克设计!$B$23:$U$23,0)))*(VLOOKUP($B111,INDIRECT($B$5&amp;"生成成长"),3))*(VLOOKUP($B$5,标准坦克设计!$B$14:$K$20,9)/30))</f>
        <v>12.001346596665197</v>
      </c>
      <c r="FB111" s="172">
        <f ca="1">(VLOOKUP(FB$72,INDIRECT($C$5&amp;"生成成长"),2))/((VLOOKUP($B111,INDIRECT($B$5&amp;"生成成长"),4))/(VLOOKUP(FB$72,INDIRECT($C$5&amp;"生成成长"),5))*(VLOOKUP($B$5,标准坦克设计!$B$24:$U$30,MATCH("对"&amp;LEFT($C$5,2)&amp;"输出",标准坦克设计!$B$23:$U$23,0)))*(VLOOKUP($B111,INDIRECT($B$5&amp;"生成成长"),3))*(VLOOKUP($B$5,标准坦克设计!$B$14:$K$20,9)/30))</f>
        <v>12.750190021757513</v>
      </c>
      <c r="FC111" s="172">
        <f ca="1">(VLOOKUP(FC$72,INDIRECT($C$5&amp;"生成成长"),2))/((VLOOKUP($B111,INDIRECT($B$5&amp;"生成成长"),4))/(VLOOKUP(FC$72,INDIRECT($C$5&amp;"生成成长"),5))*(VLOOKUP($B$5,标准坦克设计!$B$24:$U$30,MATCH("对"&amp;LEFT($C$5,2)&amp;"输出",标准坦克设计!$B$23:$U$23,0)))*(VLOOKUP($B111,INDIRECT($B$5&amp;"生成成长"),3))*(VLOOKUP($B$5,标准坦克设计!$B$14:$K$20,9)/30))</f>
        <v>13.52169445833818</v>
      </c>
      <c r="FD111" s="172">
        <f ca="1">(VLOOKUP(FD$72,INDIRECT($C$5&amp;"生成成长"),2))/((VLOOKUP($B111,INDIRECT($B$5&amp;"生成成长"),4))/(VLOOKUP(FD$72,INDIRECT($C$5&amp;"生成成长"),5))*(VLOOKUP($B$5,标准坦克设计!$B$24:$U$30,MATCH("对"&amp;LEFT($C$5,2)&amp;"输出",标准坦克设计!$B$23:$U$23,0)))*(VLOOKUP($B111,INDIRECT($B$5&amp;"生成成长"),3))*(VLOOKUP($B$5,标准坦克设计!$B$14:$K$20,9)/30))</f>
        <v>14.315859906407198</v>
      </c>
      <c r="FE111" s="172">
        <f ca="1">(VLOOKUP(FE$72,INDIRECT($C$5&amp;"生成成长"),2))/((VLOOKUP($B111,INDIRECT($B$5&amp;"生成成长"),4))/(VLOOKUP(FE$72,INDIRECT($C$5&amp;"生成成长"),5))*(VLOOKUP($B$5,标准坦克设计!$B$24:$U$30,MATCH("对"&amp;LEFT($C$5,2)&amp;"输出",标准坦克设计!$B$23:$U$23,0)))*(VLOOKUP($B111,INDIRECT($B$5&amp;"生成成长"),3))*(VLOOKUP($B$5,标准坦克设计!$B$14:$K$20,9)/30))</f>
        <v>15.283634921829117</v>
      </c>
      <c r="FF111" s="172">
        <f ca="1">(VLOOKUP(FF$72,INDIRECT($C$5&amp;"生成成长"),2))/((VLOOKUP($B111,INDIRECT($B$5&amp;"生成成长"),4))/(VLOOKUP(FF$72,INDIRECT($C$5&amp;"生成成长"),5))*(VLOOKUP($B$5,标准坦克设计!$B$24:$U$30,MATCH("对"&amp;LEFT($C$5,2)&amp;"输出",标准坦克设计!$B$23:$U$23,0)))*(VLOOKUP($B111,INDIRECT($B$5&amp;"生成成长"),3))*(VLOOKUP($B$5,标准坦克设计!$B$14:$K$20,9)/30))</f>
        <v>16.283060440900055</v>
      </c>
      <c r="FG111" s="172">
        <f ca="1">(VLOOKUP(FG$72,INDIRECT($C$5&amp;"生成成长"),2))/((VLOOKUP($B111,INDIRECT($B$5&amp;"生成成长"),4))/(VLOOKUP(FG$72,INDIRECT($C$5&amp;"生成成长"),5))*(VLOOKUP($B$5,标准坦克设计!$B$24:$U$30,MATCH("对"&amp;LEFT($C$5,2)&amp;"输出",标准坦克设计!$B$23:$U$23,0)))*(VLOOKUP($B111,INDIRECT($B$5&amp;"生成成长"),3))*(VLOOKUP($B$5,标准坦克设计!$B$14:$K$20,9)/30))</f>
        <v>17.314136463620009</v>
      </c>
      <c r="FH111" s="172">
        <f ca="1">(VLOOKUP(FH$72,INDIRECT($C$5&amp;"生成成长"),2))/((VLOOKUP($B111,INDIRECT($B$5&amp;"生成成长"),4))/(VLOOKUP(FH$72,INDIRECT($C$5&amp;"生成成长"),5))*(VLOOKUP($B$5,标准坦克设计!$B$24:$U$30,MATCH("对"&amp;LEFT($C$5,2)&amp;"输出",标准坦克设计!$B$23:$U$23,0)))*(VLOOKUP($B111,INDIRECT($B$5&amp;"生成成长"),3))*(VLOOKUP($B$5,标准坦克设计!$B$14:$K$20,9)/30))</f>
        <v>18.376862989988986</v>
      </c>
      <c r="FI111" s="172">
        <f ca="1">(VLOOKUP(FI$72,INDIRECT($C$5&amp;"生成成长"),2))/((VLOOKUP($B111,INDIRECT($B$5&amp;"生成成长"),4))/(VLOOKUP(FI$72,INDIRECT($C$5&amp;"生成成长"),5))*(VLOOKUP($B$5,标准坦克设计!$B$24:$U$30,MATCH("对"&amp;LEFT($C$5,2)&amp;"输出",标准坦克设计!$B$23:$U$23,0)))*(VLOOKUP($B111,INDIRECT($B$5&amp;"生成成长"),3))*(VLOOKUP($B$5,标准坦克设计!$B$14:$K$20,9)/30))</f>
        <v>19.471240020006977</v>
      </c>
      <c r="FJ111" s="172">
        <f ca="1">(VLOOKUP(FJ$72,INDIRECT($C$5&amp;"生成成长"),2))/((VLOOKUP($B111,INDIRECT($B$5&amp;"生成成长"),4))/(VLOOKUP(FJ$72,INDIRECT($C$5&amp;"生成成长"),5))*(VLOOKUP($B$5,标准坦克设计!$B$24:$U$30,MATCH("对"&amp;LEFT($C$5,2)&amp;"输出",标准坦克设计!$B$23:$U$23,0)))*(VLOOKUP($B111,INDIRECT($B$5&amp;"生成成长"),3))*(VLOOKUP($B$5,标准坦克设计!$B$14:$K$20,9)/30))</f>
        <v>20.597267553673991</v>
      </c>
      <c r="FK111" s="172">
        <f ca="1">(VLOOKUP(FK$72,INDIRECT($C$5&amp;"生成成长"),2))/((VLOOKUP($B111,INDIRECT($B$5&amp;"生成成长"),4))/(VLOOKUP(FK$72,INDIRECT($C$5&amp;"生成成长"),5))*(VLOOKUP($B$5,标准坦克设计!$B$24:$U$30,MATCH("对"&amp;LEFT($C$5,2)&amp;"输出",标准坦克设计!$B$23:$U$23,0)))*(VLOOKUP($B111,INDIRECT($B$5&amp;"生成成长"),3))*(VLOOKUP($B$5,标准坦克设计!$B$14:$K$20,9)/30))</f>
        <v>21.754945590990022</v>
      </c>
    </row>
    <row r="112" spans="1:167" x14ac:dyDescent="0.15">
      <c r="A112" s="170" t="str">
        <f t="shared" si="11"/>
        <v>T5低品质8级</v>
      </c>
      <c r="B112" s="171">
        <v>10508</v>
      </c>
      <c r="C112" s="172">
        <f ca="1">(VLOOKUP(C$72,INDIRECT($C$5&amp;"生成成长"),2))/((VLOOKUP($B112,INDIRECT($B$5&amp;"生成成长"),4))/(VLOOKUP(C$72,INDIRECT($C$5&amp;"生成成长"),5))*(VLOOKUP($B$5,标准坦克设计!$B$24:$U$30,MATCH("对"&amp;LEFT($C$5,2)&amp;"输出",标准坦克设计!$B$23:$U$23,0)))*(VLOOKUP($B112,INDIRECT($B$5&amp;"生成成长"),3))*(VLOOKUP($B$5,标准坦克设计!$B$14:$K$20,9)/30))</f>
        <v>0.87402180181832134</v>
      </c>
      <c r="D112" s="172">
        <f ca="1">(VLOOKUP(D$72,INDIRECT($C$5&amp;"生成成长"),2))/((VLOOKUP($B112,INDIRECT($B$5&amp;"生成成长"),4))/(VLOOKUP(D$72,INDIRECT($C$5&amp;"生成成长"),5))*(VLOOKUP($B$5,标准坦克设计!$B$24:$U$30,MATCH("对"&amp;LEFT($C$5,2)&amp;"输出",标准坦克设计!$B$23:$U$23,0)))*(VLOOKUP($B112,INDIRECT($B$5&amp;"生成成长"),3))*(VLOOKUP($B$5,标准坦克设计!$B$14:$K$20,9)/30))</f>
        <v>0.98205089652306599</v>
      </c>
      <c r="E112" s="172">
        <f ca="1">(VLOOKUP(E$72,INDIRECT($C$5&amp;"生成成长"),2))/((VLOOKUP($B112,INDIRECT($B$5&amp;"生成成长"),4))/(VLOOKUP(E$72,INDIRECT($C$5&amp;"生成成长"),5))*(VLOOKUP($B$5,标准坦克设计!$B$24:$U$30,MATCH("对"&amp;LEFT($C$5,2)&amp;"输出",标准坦克设计!$B$23:$U$23,0)))*(VLOOKUP($B112,INDIRECT($B$5&amp;"生成成长"),3))*(VLOOKUP($B$5,标准坦克设计!$B$14:$K$20,9)/30))</f>
        <v>1.0963729482009024</v>
      </c>
      <c r="F112" s="172">
        <f ca="1">(VLOOKUP(F$72,INDIRECT($C$5&amp;"生成成长"),2))/((VLOOKUP($B112,INDIRECT($B$5&amp;"生成成长"),4))/(VLOOKUP(F$72,INDIRECT($C$5&amp;"生成成长"),5))*(VLOOKUP($B$5,标准坦克设计!$B$24:$U$30,MATCH("对"&amp;LEFT($C$5,2)&amp;"输出",标准坦克设计!$B$23:$U$23,0)))*(VLOOKUP($B112,INDIRECT($B$5&amp;"生成成长"),3))*(VLOOKUP($B$5,标准坦克设计!$B$14:$K$20,9)/30))</f>
        <v>1.2169879568518307</v>
      </c>
      <c r="G112" s="172">
        <f ca="1">(VLOOKUP(G$72,INDIRECT($C$5&amp;"生成成长"),2))/((VLOOKUP($B112,INDIRECT($B$5&amp;"生成成长"),4))/(VLOOKUP(G$72,INDIRECT($C$5&amp;"生成成长"),5))*(VLOOKUP($B$5,标准坦克设计!$B$24:$U$30,MATCH("对"&amp;LEFT($C$5,2)&amp;"输出",标准坦克设计!$B$23:$U$23,0)))*(VLOOKUP($B112,INDIRECT($B$5&amp;"生成成长"),3))*(VLOOKUP($B$5,标准坦克设计!$B$14:$K$20,9)/30))</f>
        <v>1.3438959224758511</v>
      </c>
      <c r="H112" s="172">
        <f ca="1">(VLOOKUP(H$72,INDIRECT($C$5&amp;"生成成长"),2))/((VLOOKUP($B112,INDIRECT($B$5&amp;"生成成长"),4))/(VLOOKUP(H$72,INDIRECT($C$5&amp;"生成成长"),5))*(VLOOKUP($B$5,标准坦克设计!$B$24:$U$30,MATCH("对"&amp;LEFT($C$5,2)&amp;"输出",标准坦克设计!$B$23:$U$23,0)))*(VLOOKUP($B112,INDIRECT($B$5&amp;"生成成长"),3))*(VLOOKUP($B$5,标准坦克设计!$B$14:$K$20,9)/30))</f>
        <v>1.1760837365267331</v>
      </c>
      <c r="I112" s="172">
        <f ca="1">(VLOOKUP(I$72,INDIRECT($C$5&amp;"生成成长"),2))/((VLOOKUP($B112,INDIRECT($B$5&amp;"生成成长"),4))/(VLOOKUP(I$72,INDIRECT($C$5&amp;"生成成长"),5))*(VLOOKUP($B$5,标准坦克设计!$B$24:$U$30,MATCH("对"&amp;LEFT($C$5,2)&amp;"输出",标准坦克设计!$B$23:$U$23,0)))*(VLOOKUP($B112,INDIRECT($B$5&amp;"生成成长"),3))*(VLOOKUP($B$5,标准坦克设计!$B$14:$K$20,9)/30))</f>
        <v>1.3438959224758511</v>
      </c>
      <c r="J112" s="172">
        <f ca="1">(VLOOKUP(J$72,INDIRECT($C$5&amp;"生成成长"),2))/((VLOOKUP($B112,INDIRECT($B$5&amp;"生成成长"),4))/(VLOOKUP(J$72,INDIRECT($C$5&amp;"生成成长"),5))*(VLOOKUP($B$5,标准坦克设计!$B$24:$U$30,MATCH("对"&amp;LEFT($C$5,2)&amp;"输出",标准坦克设计!$B$23:$U$23,0)))*(VLOOKUP($B112,INDIRECT($B$5&amp;"生成成长"),3))*(VLOOKUP($B$5,标准坦克设计!$B$14:$K$20,9)/30))</f>
        <v>1.5228955874882435</v>
      </c>
      <c r="K112" s="172">
        <f ca="1">(VLOOKUP(K$72,INDIRECT($C$5&amp;"生成成长"),2))/((VLOOKUP($B112,INDIRECT($B$5&amp;"生成成长"),4))/(VLOOKUP(K$72,INDIRECT($C$5&amp;"生成成长"),5))*(VLOOKUP($B$5,标准坦克设计!$B$24:$U$30,MATCH("对"&amp;LEFT($C$5,2)&amp;"输出",标准坦克设计!$B$23:$U$23,0)))*(VLOOKUP($B112,INDIRECT($B$5&amp;"生成成长"),3))*(VLOOKUP($B$5,标准坦克设计!$B$14:$K$20,9)/30))</f>
        <v>1.7130827315639103</v>
      </c>
      <c r="L112" s="172">
        <f ca="1">(VLOOKUP(L$72,INDIRECT($C$5&amp;"生成成长"),2))/((VLOOKUP($B112,INDIRECT($B$5&amp;"生成成长"),4))/(VLOOKUP(L$72,INDIRECT($C$5&amp;"生成成长"),5))*(VLOOKUP($B$5,标准坦克设计!$B$24:$U$30,MATCH("对"&amp;LEFT($C$5,2)&amp;"输出",标准坦克设计!$B$23:$U$23,0)))*(VLOOKUP($B112,INDIRECT($B$5&amp;"生成成长"),3))*(VLOOKUP($B$5,标准坦克设计!$B$14:$K$20,9)/30))</f>
        <v>1.9144573547028512</v>
      </c>
      <c r="M112" s="172">
        <f ca="1">(VLOOKUP(M$72,INDIRECT($C$5&amp;"生成成长"),2))/((VLOOKUP($B112,INDIRECT($B$5&amp;"生成成长"),4))/(VLOOKUP(M$72,INDIRECT($C$5&amp;"生成成长"),5))*(VLOOKUP($B$5,标准坦克设计!$B$24:$U$30,MATCH("对"&amp;LEFT($C$5,2)&amp;"输出",标准坦克设计!$B$23:$U$23,0)))*(VLOOKUP($B112,INDIRECT($B$5&amp;"生成成长"),3))*(VLOOKUP($B$5,标准坦克设计!$B$14:$K$20,9)/30))</f>
        <v>2.1270194569050669</v>
      </c>
      <c r="N112" s="172">
        <f ca="1">(VLOOKUP(N$72,INDIRECT($C$5&amp;"生成成长"),2))/((VLOOKUP($B112,INDIRECT($B$5&amp;"生成成长"),4))/(VLOOKUP(N$72,INDIRECT($C$5&amp;"生成成长"),5))*(VLOOKUP($B$5,标准坦克设计!$B$24:$U$30,MATCH("对"&amp;LEFT($C$5,2)&amp;"输出",标准坦克设计!$B$23:$U$23,0)))*(VLOOKUP($B112,INDIRECT($B$5&amp;"生成成长"),3))*(VLOOKUP($B$5,标准坦克设计!$B$14:$K$20,9)/30))</f>
        <v>2.3507690381705575</v>
      </c>
      <c r="O112" s="172">
        <f ca="1">(VLOOKUP(O$72,INDIRECT($C$5&amp;"生成成长"),2))/((VLOOKUP($B112,INDIRECT($B$5&amp;"生成成长"),4))/(VLOOKUP(O$72,INDIRECT($C$5&amp;"生成成长"),5))*(VLOOKUP($B$5,标准坦克设计!$B$24:$U$30,MATCH("对"&amp;LEFT($C$5,2)&amp;"输出",标准坦克设计!$B$23:$U$23,0)))*(VLOOKUP($B112,INDIRECT($B$5&amp;"生成成长"),3))*(VLOOKUP($B$5,标准坦克设计!$B$14:$K$20,9)/30))</f>
        <v>1.7872871825382854</v>
      </c>
      <c r="P112" s="172">
        <f ca="1">(VLOOKUP(P$72,INDIRECT($C$5&amp;"生成成长"),2))/((VLOOKUP($B112,INDIRECT($B$5&amp;"生成成长"),4))/(VLOOKUP(P$72,INDIRECT($C$5&amp;"生成成长"),5))*(VLOOKUP($B$5,标准坦克设计!$B$24:$U$30,MATCH("对"&amp;LEFT($C$5,2)&amp;"输出",标准坦克设计!$B$23:$U$23,0)))*(VLOOKUP($B112,INDIRECT($B$5&amp;"生成成长"),3))*(VLOOKUP($B$5,标准坦克设计!$B$14:$K$20,9)/30))</f>
        <v>2.0193399709210502</v>
      </c>
      <c r="Q112" s="172">
        <f ca="1">(VLOOKUP(Q$72,INDIRECT($C$5&amp;"生成成长"),2))/((VLOOKUP($B112,INDIRECT($B$5&amp;"生成成长"),4))/(VLOOKUP(Q$72,INDIRECT($C$5&amp;"生成成长"),5))*(VLOOKUP($B$5,标准坦克设计!$B$24:$U$30,MATCH("对"&amp;LEFT($C$5,2)&amp;"输出",标准坦克设计!$B$23:$U$23,0)))*(VLOOKUP($B112,INDIRECT($B$5&amp;"生成成长"),3))*(VLOOKUP($B$5,标准坦克设计!$B$14:$K$20,9)/30))</f>
        <v>2.265551912493271</v>
      </c>
      <c r="R112" s="172">
        <f ca="1">(VLOOKUP(R$72,INDIRECT($C$5&amp;"生成成长"),2))/((VLOOKUP($B112,INDIRECT($B$5&amp;"生成成长"),4))/(VLOOKUP(R$72,INDIRECT($C$5&amp;"生成成长"),5))*(VLOOKUP($B$5,标准坦克设计!$B$24:$U$30,MATCH("对"&amp;LEFT($C$5,2)&amp;"输出",标准坦克设计!$B$23:$U$23,0)))*(VLOOKUP($B112,INDIRECT($B$5&amp;"生成成长"),3))*(VLOOKUP($B$5,标准坦克设计!$B$14:$K$20,9)/30))</f>
        <v>2.5259230072549483</v>
      </c>
      <c r="S112" s="172">
        <f ca="1">(VLOOKUP(S$72,INDIRECT($C$5&amp;"生成成长"),2))/((VLOOKUP($B112,INDIRECT($B$5&amp;"生成成长"),4))/(VLOOKUP(S$72,INDIRECT($C$5&amp;"生成成长"),5))*(VLOOKUP($B$5,标准坦克设计!$B$24:$U$30,MATCH("对"&amp;LEFT($C$5,2)&amp;"输出",标准坦克设计!$B$23:$U$23,0)))*(VLOOKUP($B112,INDIRECT($B$5&amp;"生成成长"),3))*(VLOOKUP($B$5,标准坦克设计!$B$14:$K$20,9)/30))</f>
        <v>2.8004532552060839</v>
      </c>
      <c r="T112" s="172">
        <f ca="1">(VLOOKUP(T$72,INDIRECT($C$5&amp;"生成成长"),2))/((VLOOKUP($B112,INDIRECT($B$5&amp;"生成成长"),4))/(VLOOKUP(T$72,INDIRECT($C$5&amp;"生成成长"),5))*(VLOOKUP($B$5,标准坦克设计!$B$24:$U$30,MATCH("对"&amp;LEFT($C$5,2)&amp;"输出",标准坦克设计!$B$23:$U$23,0)))*(VLOOKUP($B112,INDIRECT($B$5&amp;"生成成长"),3))*(VLOOKUP($B$5,标准坦克设计!$B$14:$K$20,9)/30))</f>
        <v>3.0891426563466751</v>
      </c>
      <c r="U112" s="172">
        <f ca="1">(VLOOKUP(U$72,INDIRECT($C$5&amp;"生成成长"),2))/((VLOOKUP($B112,INDIRECT($B$5&amp;"生成成长"),4))/(VLOOKUP(U$72,INDIRECT($C$5&amp;"生成成长"),5))*(VLOOKUP($B$5,标准坦克设计!$B$24:$U$30,MATCH("对"&amp;LEFT($C$5,2)&amp;"输出",标准坦克设计!$B$23:$U$23,0)))*(VLOOKUP($B112,INDIRECT($B$5&amp;"生成成长"),3))*(VLOOKUP($B$5,标准坦克设计!$B$14:$K$20,9)/30))</f>
        <v>3.3919912106767236</v>
      </c>
      <c r="V112" s="172">
        <f ca="1">(VLOOKUP(V$72,INDIRECT($C$5&amp;"生成成长"),2))/((VLOOKUP($B112,INDIRECT($B$5&amp;"生成成长"),4))/(VLOOKUP(V$72,INDIRECT($C$5&amp;"生成成长"),5))*(VLOOKUP($B$5,标准坦克设计!$B$24:$U$30,MATCH("对"&amp;LEFT($C$5,2)&amp;"输出",标准坦克设计!$B$23:$U$23,0)))*(VLOOKUP($B112,INDIRECT($B$5&amp;"生成成长"),3))*(VLOOKUP($B$5,标准坦克设计!$B$14:$K$20,9)/30))</f>
        <v>3.7089989181962286</v>
      </c>
      <c r="W112" s="172">
        <f ca="1">(VLOOKUP(W$72,INDIRECT($C$5&amp;"生成成长"),2))/((VLOOKUP($B112,INDIRECT($B$5&amp;"生成成长"),4))/(VLOOKUP(W$72,INDIRECT($C$5&amp;"生成成长"),5))*(VLOOKUP($B$5,标准坦克设计!$B$24:$U$30,MATCH("对"&amp;LEFT($C$5,2)&amp;"输出",标准坦克设计!$B$23:$U$23,0)))*(VLOOKUP($B112,INDIRECT($B$5&amp;"生成成长"),3))*(VLOOKUP($B$5,标准坦克设计!$B$14:$K$20,9)/30))</f>
        <v>4.040165778905191</v>
      </c>
      <c r="X112" s="172">
        <f ca="1">(VLOOKUP(X$72,INDIRECT($C$5&amp;"生成成长"),2))/((VLOOKUP($B112,INDIRECT($B$5&amp;"生成成长"),4))/(VLOOKUP(X$72,INDIRECT($C$5&amp;"生成成长"),5))*(VLOOKUP($B$5,标准坦克设计!$B$24:$U$30,MATCH("对"&amp;LEFT($C$5,2)&amp;"输出",标准坦克设计!$B$23:$U$23,0)))*(VLOOKUP($B112,INDIRECT($B$5&amp;"生成成长"),3))*(VLOOKUP($B$5,标准坦克设计!$B$14:$K$20,9)/30))</f>
        <v>2.9270116121093768</v>
      </c>
      <c r="Y112" s="172">
        <f ca="1">(VLOOKUP(Y$72,INDIRECT($C$5&amp;"生成成长"),2))/((VLOOKUP($B112,INDIRECT($B$5&amp;"生成成长"),4))/(VLOOKUP(Y$72,INDIRECT($C$5&amp;"生成成长"),5))*(VLOOKUP($B$5,标准坦克设计!$B$24:$U$30,MATCH("对"&amp;LEFT($C$5,2)&amp;"输出",标准坦克设计!$B$23:$U$23,0)))*(VLOOKUP($B112,INDIRECT($B$5&amp;"生成成长"),3))*(VLOOKUP($B$5,标准坦克设计!$B$14:$K$20,9)/30))</f>
        <v>3.2556438095930651</v>
      </c>
      <c r="Z112" s="172">
        <f ca="1">(VLOOKUP(Z$72,INDIRECT($C$5&amp;"生成成长"),2))/((VLOOKUP($B112,INDIRECT($B$5&amp;"生成成长"),4))/(VLOOKUP(Z$72,INDIRECT($C$5&amp;"生成成长"),5))*(VLOOKUP($B$5,标准坦克设计!$B$24:$U$30,MATCH("对"&amp;LEFT($C$5,2)&amp;"输出",标准坦克设计!$B$23:$U$23,0)))*(VLOOKUP($B112,INDIRECT($B$5&amp;"生成成长"),3))*(VLOOKUP($B$5,标准坦克设计!$B$14:$K$20,9)/30))</f>
        <v>3.6017564431131204</v>
      </c>
      <c r="AA112" s="172">
        <f ca="1">(VLOOKUP(AA$72,INDIRECT($C$5&amp;"生成成长"),2))/((VLOOKUP($B112,INDIRECT($B$5&amp;"生成成长"),4))/(VLOOKUP(AA$72,INDIRECT($C$5&amp;"生成成长"),5))*(VLOOKUP($B$5,标准坦克设计!$B$24:$U$30,MATCH("对"&amp;LEFT($C$5,2)&amp;"输出",标准坦克设计!$B$23:$U$23,0)))*(VLOOKUP($B112,INDIRECT($B$5&amp;"生成成长"),3))*(VLOOKUP($B$5,标准坦克设计!$B$14:$K$20,9)/30))</f>
        <v>3.9653495126695422</v>
      </c>
      <c r="AB112" s="172">
        <f ca="1">(VLOOKUP(AB$72,INDIRECT($C$5&amp;"生成成长"),2))/((VLOOKUP($B112,INDIRECT($B$5&amp;"生成成长"),4))/(VLOOKUP(AB$72,INDIRECT($C$5&amp;"生成成长"),5))*(VLOOKUP($B$5,标准坦克设计!$B$24:$U$30,MATCH("对"&amp;LEFT($C$5,2)&amp;"输出",标准坦克设计!$B$23:$U$23,0)))*(VLOOKUP($B112,INDIRECT($B$5&amp;"生成成长"),3))*(VLOOKUP($B$5,标准坦克设计!$B$14:$K$20,9)/30))</f>
        <v>4.3464230182623309</v>
      </c>
      <c r="AC112" s="172">
        <f ca="1">(VLOOKUP(AC$72,INDIRECT($C$5&amp;"生成成长"),2))/((VLOOKUP($B112,INDIRECT($B$5&amp;"生成成长"),4))/(VLOOKUP(AC$72,INDIRECT($C$5&amp;"生成成长"),5))*(VLOOKUP($B$5,标准坦克设计!$B$24:$U$30,MATCH("对"&amp;LEFT($C$5,2)&amp;"输出",标准坦克设计!$B$23:$U$23,0)))*(VLOOKUP($B112,INDIRECT($B$5&amp;"生成成长"),3))*(VLOOKUP($B$5,标准坦克设计!$B$14:$K$20,9)/30))</f>
        <v>4.7449769598914848</v>
      </c>
      <c r="AD112" s="172">
        <f ca="1">(VLOOKUP(AD$72,INDIRECT($C$5&amp;"生成成长"),2))/((VLOOKUP($B112,INDIRECT($B$5&amp;"生成成长"),4))/(VLOOKUP(AD$72,INDIRECT($C$5&amp;"生成成长"),5))*(VLOOKUP($B$5,标准坦克设计!$B$24:$U$30,MATCH("对"&amp;LEFT($C$5,2)&amp;"输出",标准坦克设计!$B$23:$U$23,0)))*(VLOOKUP($B112,INDIRECT($B$5&amp;"生成成长"),3))*(VLOOKUP($B$5,标准坦克设计!$B$14:$K$20,9)/30))</f>
        <v>5.1610113375570066</v>
      </c>
      <c r="AE112" s="172">
        <f ca="1">(VLOOKUP(AE$72,INDIRECT($C$5&amp;"生成成长"),2))/((VLOOKUP($B112,INDIRECT($B$5&amp;"生成成长"),4))/(VLOOKUP(AE$72,INDIRECT($C$5&amp;"生成成长"),5))*(VLOOKUP($B$5,标准坦克设计!$B$24:$U$30,MATCH("对"&amp;LEFT($C$5,2)&amp;"输出",标准坦克设计!$B$23:$U$23,0)))*(VLOOKUP($B112,INDIRECT($B$5&amp;"生成成长"),3))*(VLOOKUP($B$5,标准坦克设计!$B$14:$K$20,9)/30))</f>
        <v>5.5945261512588935</v>
      </c>
      <c r="AF112" s="172">
        <f ca="1">(VLOOKUP(AF$72,INDIRECT($C$5&amp;"生成成长"),2))/((VLOOKUP($B112,INDIRECT($B$5&amp;"生成成长"),4))/(VLOOKUP(AF$72,INDIRECT($C$5&amp;"生成成长"),5))*(VLOOKUP($B$5,标准坦克设计!$B$24:$U$30,MATCH("对"&amp;LEFT($C$5,2)&amp;"输出",标准坦克设计!$B$23:$U$23,0)))*(VLOOKUP($B112,INDIRECT($B$5&amp;"生成成长"),3))*(VLOOKUP($B$5,标准坦克设计!$B$14:$K$20,9)/30))</f>
        <v>6.0455214009971474</v>
      </c>
      <c r="AG112" s="172">
        <f ca="1">(VLOOKUP(AG$72,INDIRECT($C$5&amp;"生成成长"),2))/((VLOOKUP($B112,INDIRECT($B$5&amp;"生成成长"),4))/(VLOOKUP(AG$72,INDIRECT($C$5&amp;"生成成长"),5))*(VLOOKUP($B$5,标准坦克设计!$B$24:$U$30,MATCH("对"&amp;LEFT($C$5,2)&amp;"输出",标准坦克设计!$B$23:$U$23,0)))*(VLOOKUP($B112,INDIRECT($B$5&amp;"生成成长"),3))*(VLOOKUP($B$5,标准坦克设计!$B$14:$K$20,9)/30))</f>
        <v>6.5139970867717683</v>
      </c>
      <c r="AH112" s="172">
        <f ca="1">(VLOOKUP(AH$72,INDIRECT($C$5&amp;"生成成长"),2))/((VLOOKUP($B112,INDIRECT($B$5&amp;"生成成长"),4))/(VLOOKUP(AH$72,INDIRECT($C$5&amp;"生成成长"),5))*(VLOOKUP($B$5,标准坦克设计!$B$24:$U$30,MATCH("对"&amp;LEFT($C$5,2)&amp;"输出",标准坦克设计!$B$23:$U$23,0)))*(VLOOKUP($B112,INDIRECT($B$5&amp;"生成成长"),3))*(VLOOKUP($B$5,标准坦克设计!$B$14:$K$20,9)/30))</f>
        <v>6.999953208582756</v>
      </c>
      <c r="AI112" s="172">
        <f ca="1">(VLOOKUP(AI$72,INDIRECT($C$5&amp;"生成成长"),2))/((VLOOKUP($B112,INDIRECT($B$5&amp;"生成成长"),4))/(VLOOKUP(AI$72,INDIRECT($C$5&amp;"生成成长"),5))*(VLOOKUP($B$5,标准坦克设计!$B$24:$U$30,MATCH("对"&amp;LEFT($C$5,2)&amp;"输出",标准坦克设计!$B$23:$U$23,0)))*(VLOOKUP($B112,INDIRECT($B$5&amp;"生成成长"),3))*(VLOOKUP($B$5,标准坦克设计!$B$14:$K$20,9)/30))</f>
        <v>4.9508090942197001</v>
      </c>
      <c r="AJ112" s="172">
        <f ca="1">(VLOOKUP(AJ$72,INDIRECT($C$5&amp;"生成成长"),2))/((VLOOKUP($B112,INDIRECT($B$5&amp;"生成成长"),4))/(VLOOKUP(AJ$72,INDIRECT($C$5&amp;"生成成长"),5))*(VLOOKUP($B$5,标准坦克设计!$B$24:$U$30,MATCH("对"&amp;LEFT($C$5,2)&amp;"输出",标准坦克设计!$B$23:$U$23,0)))*(VLOOKUP($B112,INDIRECT($B$5&amp;"生成成长"),3))*(VLOOKUP($B$5,标准坦克设计!$B$14:$K$20,9)/30))</f>
        <v>5.4190225734537751</v>
      </c>
      <c r="AK112" s="172">
        <f ca="1">(VLOOKUP(AK$72,INDIRECT($C$5&amp;"生成成长"),2))/((VLOOKUP($B112,INDIRECT($B$5&amp;"生成成长"),4))/(VLOOKUP(AK$72,INDIRECT($C$5&amp;"生成成长"),5))*(VLOOKUP($B$5,标准坦克设计!$B$24:$U$30,MATCH("对"&amp;LEFT($C$5,2)&amp;"输出",标准坦克设计!$B$23:$U$23,0)))*(VLOOKUP($B112,INDIRECT($B$5&amp;"生成成长"),3))*(VLOOKUP($B$5,标准坦克设计!$B$14:$K$20,9)/30))</f>
        <v>5.9083873802918534</v>
      </c>
      <c r="AL112" s="172">
        <f ca="1">(VLOOKUP(AL$72,INDIRECT($C$5&amp;"生成成长"),2))/((VLOOKUP($B112,INDIRECT($B$5&amp;"生成成长"),4))/(VLOOKUP(AL$72,INDIRECT($C$5&amp;"生成成长"),5))*(VLOOKUP($B$5,标准坦克设计!$B$24:$U$30,MATCH("对"&amp;LEFT($C$5,2)&amp;"输出",标准坦克设计!$B$23:$U$23,0)))*(VLOOKUP($B112,INDIRECT($B$5&amp;"生成成长"),3))*(VLOOKUP($B$5,标准坦克设计!$B$14:$K$20,9)/30))</f>
        <v>6.4189035147339339</v>
      </c>
      <c r="AM112" s="172">
        <f ca="1">(VLOOKUP(AM$72,INDIRECT($C$5&amp;"生成成长"),2))/((VLOOKUP($B112,INDIRECT($B$5&amp;"生成成长"),4))/(VLOOKUP(AM$72,INDIRECT($C$5&amp;"生成成长"),5))*(VLOOKUP($B$5,标准坦克设计!$B$24:$U$30,MATCH("对"&amp;LEFT($C$5,2)&amp;"输出",标准坦克设计!$B$23:$U$23,0)))*(VLOOKUP($B112,INDIRECT($B$5&amp;"生成成长"),3))*(VLOOKUP($B$5,标准坦克设计!$B$14:$K$20,9)/30))</f>
        <v>6.9505709767800203</v>
      </c>
      <c r="AN112" s="172">
        <f ca="1">(VLOOKUP(AN$72,INDIRECT($C$5&amp;"生成成长"),2))/((VLOOKUP($B112,INDIRECT($B$5&amp;"生成成长"),4))/(VLOOKUP(AN$72,INDIRECT($C$5&amp;"生成成长"),5))*(VLOOKUP($B$5,标准坦克设计!$B$24:$U$30,MATCH("对"&amp;LEFT($C$5,2)&amp;"输出",标准坦克设计!$B$23:$U$23,0)))*(VLOOKUP($B112,INDIRECT($B$5&amp;"生成成长"),3))*(VLOOKUP($B$5,标准坦克设计!$B$14:$K$20,9)/30))</f>
        <v>7.5033897664301064</v>
      </c>
      <c r="AO112" s="172">
        <f ca="1">(VLOOKUP(AO$72,INDIRECT($C$5&amp;"生成成长"),2))/((VLOOKUP($B112,INDIRECT($B$5&amp;"生成成长"),4))/(VLOOKUP(AO$72,INDIRECT($C$5&amp;"生成成长"),5))*(VLOOKUP($B$5,标准坦克设计!$B$24:$U$30,MATCH("对"&amp;LEFT($C$5,2)&amp;"输出",标准坦克设计!$B$23:$U$23,0)))*(VLOOKUP($B112,INDIRECT($B$5&amp;"生成成长"),3))*(VLOOKUP($B$5,标准坦克设计!$B$14:$K$20,9)/30))</f>
        <v>8.0773598836842009</v>
      </c>
      <c r="AP112" s="172">
        <f ca="1">(VLOOKUP(AP$72,INDIRECT($C$5&amp;"生成成长"),2))/((VLOOKUP($B112,INDIRECT($B$5&amp;"生成成长"),4))/(VLOOKUP(AP$72,INDIRECT($C$5&amp;"生成成长"),5))*(VLOOKUP($B$5,标准坦克设计!$B$24:$U$30,MATCH("对"&amp;LEFT($C$5,2)&amp;"输出",标准坦克设计!$B$23:$U$23,0)))*(VLOOKUP($B112,INDIRECT($B$5&amp;"生成成长"),3))*(VLOOKUP($B$5,标准坦克设计!$B$14:$K$20,9)/30))</f>
        <v>8.6724813285422933</v>
      </c>
      <c r="AQ112" s="172">
        <f ca="1">(VLOOKUP(AQ$72,INDIRECT($C$5&amp;"生成成长"),2))/((VLOOKUP($B112,INDIRECT($B$5&amp;"生成成长"),4))/(VLOOKUP(AQ$72,INDIRECT($C$5&amp;"生成成长"),5))*(VLOOKUP($B$5,标准坦克设计!$B$24:$U$30,MATCH("对"&amp;LEFT($C$5,2)&amp;"输出",标准坦克设计!$B$23:$U$23,0)))*(VLOOKUP($B112,INDIRECT($B$5&amp;"生成成长"),3))*(VLOOKUP($B$5,标准坦克设计!$B$14:$K$20,9)/30))</f>
        <v>9.2887541010043932</v>
      </c>
      <c r="AR112" s="172">
        <f ca="1">(VLOOKUP(AR$72,INDIRECT($C$5&amp;"生成成长"),2))/((VLOOKUP($B112,INDIRECT($B$5&amp;"生成成长"),4))/(VLOOKUP(AR$72,INDIRECT($C$5&amp;"生成成长"),5))*(VLOOKUP($B$5,标准坦克设计!$B$24:$U$30,MATCH("对"&amp;LEFT($C$5,2)&amp;"输出",标准坦克设计!$B$23:$U$23,0)))*(VLOOKUP($B112,INDIRECT($B$5&amp;"生成成长"),3))*(VLOOKUP($B$5,标准坦克设计!$B$14:$K$20,9)/30))</f>
        <v>9.9261782010704955</v>
      </c>
      <c r="AS112" s="172">
        <f ca="1">(VLOOKUP(AS$72,INDIRECT($C$5&amp;"生成成长"),2))/((VLOOKUP($B112,INDIRECT($B$5&amp;"生成成长"),4))/(VLOOKUP(AS$72,INDIRECT($C$5&amp;"生成成长"),5))*(VLOOKUP($B$5,标准坦克设计!$B$24:$U$30,MATCH("对"&amp;LEFT($C$5,2)&amp;"输出",标准坦克设计!$B$23:$U$23,0)))*(VLOOKUP($B112,INDIRECT($B$5&amp;"生成成长"),3))*(VLOOKUP($B$5,标准坦克设计!$B$14:$K$20,9)/30))</f>
        <v>10.5847536287406</v>
      </c>
      <c r="AT112" s="172">
        <f ca="1">(VLOOKUP(AT$72,INDIRECT($C$5&amp;"生成成长"),2))/((VLOOKUP($B112,INDIRECT($B$5&amp;"生成成长"),4))/(VLOOKUP(AT$72,INDIRECT($C$5&amp;"生成成长"),5))*(VLOOKUP($B$5,标准坦克设计!$B$24:$U$30,MATCH("对"&amp;LEFT($C$5,2)&amp;"输出",标准坦克设计!$B$23:$U$23,0)))*(VLOOKUP($B112,INDIRECT($B$5&amp;"生成成长"),3))*(VLOOKUP($B$5,标准坦克设计!$B$14:$K$20,9)/30))</f>
        <v>11.264480384014709</v>
      </c>
      <c r="AU112" s="172">
        <f ca="1">(VLOOKUP(AU$72,INDIRECT($C$5&amp;"生成成长"),2))/((VLOOKUP($B112,INDIRECT($B$5&amp;"生成成长"),4))/(VLOOKUP(AU$72,INDIRECT($C$5&amp;"生成成长"),5))*(VLOOKUP($B$5,标准坦克设计!$B$24:$U$30,MATCH("对"&amp;LEFT($C$5,2)&amp;"输出",标准坦克设计!$B$23:$U$23,0)))*(VLOOKUP($B112,INDIRECT($B$5&amp;"生成成长"),3))*(VLOOKUP($B$5,标准坦克设计!$B$14:$K$20,9)/30))</f>
        <v>11.965358466892821</v>
      </c>
      <c r="AV112" s="172">
        <f ca="1">(VLOOKUP(AV$72,INDIRECT($C$5&amp;"生成成长"),2))/((VLOOKUP($B112,INDIRECT($B$5&amp;"生成成长"),4))/(VLOOKUP(AV$72,INDIRECT($C$5&amp;"生成成长"),5))*(VLOOKUP($B$5,标准坦克设计!$B$24:$U$30,MATCH("对"&amp;LEFT($C$5,2)&amp;"输出",标准坦克设计!$B$23:$U$23,0)))*(VLOOKUP($B112,INDIRECT($B$5&amp;"生成成长"),3))*(VLOOKUP($B$5,标准坦克设计!$B$14:$K$20,9)/30))</f>
        <v>1.2169879568518307</v>
      </c>
      <c r="AW112" s="172">
        <f ca="1">(VLOOKUP(AW$72,INDIRECT($C$5&amp;"生成成长"),2))/((VLOOKUP($B112,INDIRECT($B$5&amp;"生成成长"),4))/(VLOOKUP(AW$72,INDIRECT($C$5&amp;"生成成长"),5))*(VLOOKUP($B$5,标准坦克设计!$B$24:$U$30,MATCH("对"&amp;LEFT($C$5,2)&amp;"输出",标准坦克设计!$B$23:$U$23,0)))*(VLOOKUP($B112,INDIRECT($B$5&amp;"生成成长"),3))*(VLOOKUP($B$5,标准坦克设计!$B$14:$K$20,9)/30))</f>
        <v>1.3875970125667672</v>
      </c>
      <c r="AX112" s="172">
        <f ca="1">(VLOOKUP(AX$72,INDIRECT($C$5&amp;"生成成长"),2))/((VLOOKUP($B112,INDIRECT($B$5&amp;"生成成长"),4))/(VLOOKUP(AX$72,INDIRECT($C$5&amp;"生成成长"),5))*(VLOOKUP($B$5,标准坦克设计!$B$24:$U$30,MATCH("对"&amp;LEFT($C$5,2)&amp;"输出",标准坦克设计!$B$23:$U$23,0)))*(VLOOKUP($B112,INDIRECT($B$5&amp;"生成成长"),3))*(VLOOKUP($B$5,标准坦克设计!$B$14:$K$20,9)/30))</f>
        <v>1.5693935473449778</v>
      </c>
      <c r="AY112" s="172">
        <f ca="1">(VLOOKUP(AY$72,INDIRECT($C$5&amp;"生成成长"),2))/((VLOOKUP($B112,INDIRECT($B$5&amp;"生成成长"),4))/(VLOOKUP(AY$72,INDIRECT($C$5&amp;"生成成长"),5))*(VLOOKUP($B$5,标准坦克设计!$B$24:$U$30,MATCH("对"&amp;LEFT($C$5,2)&amp;"输出",标准坦克设计!$B$23:$U$23,0)))*(VLOOKUP($B112,INDIRECT($B$5&amp;"生成成长"),3))*(VLOOKUP($B$5,标准坦克设计!$B$14:$K$20,9)/30))</f>
        <v>1.7623775611864636</v>
      </c>
      <c r="AZ112" s="172">
        <f ca="1">(VLOOKUP(AZ$72,INDIRECT($C$5&amp;"生成成长"),2))/((VLOOKUP($B112,INDIRECT($B$5&amp;"生成成长"),4))/(VLOOKUP(AZ$72,INDIRECT($C$5&amp;"生成成长"),5))*(VLOOKUP($B$5,标准坦克设计!$B$24:$U$30,MATCH("对"&amp;LEFT($C$5,2)&amp;"输出",标准坦克设计!$B$23:$U$23,0)))*(VLOOKUP($B112,INDIRECT($B$5&amp;"生成成长"),3))*(VLOOKUP($B$5,标准坦克设计!$B$14:$K$20,9)/30))</f>
        <v>1.9665490540912232</v>
      </c>
      <c r="BA112" s="172">
        <f ca="1">(VLOOKUP(BA$72,INDIRECT($C$5&amp;"生成成长"),2))/((VLOOKUP($B112,INDIRECT($B$5&amp;"生成成长"),4))/(VLOOKUP(BA$72,INDIRECT($C$5&amp;"生成成长"),5))*(VLOOKUP($B$5,标准坦克设计!$B$24:$U$30,MATCH("对"&amp;LEFT($C$5,2)&amp;"输出",标准坦克设计!$B$23:$U$23,0)))*(VLOOKUP($B112,INDIRECT($B$5&amp;"生成成长"),3))*(VLOOKUP($B$5,标准坦克设计!$B$14:$K$20,9)/30))</f>
        <v>2.1819080260592574</v>
      </c>
      <c r="BB112" s="172">
        <f ca="1">(VLOOKUP(BB$72,INDIRECT($C$5&amp;"生成成长"),2))/((VLOOKUP($B112,INDIRECT($B$5&amp;"生成成长"),4))/(VLOOKUP(BB$72,INDIRECT($C$5&amp;"生成成长"),5))*(VLOOKUP($B$5,标准坦克设计!$B$24:$U$30,MATCH("对"&amp;LEFT($C$5,2)&amp;"输出",标准坦克设计!$B$23:$U$23,0)))*(VLOOKUP($B112,INDIRECT($B$5&amp;"生成成长"),3))*(VLOOKUP($B$5,标准坦克设计!$B$14:$K$20,9)/30))</f>
        <v>2.4084544770905665</v>
      </c>
      <c r="BC112" s="172">
        <f ca="1">(VLOOKUP(BC$72,INDIRECT($C$5&amp;"生成成长"),2))/((VLOOKUP($B112,INDIRECT($B$5&amp;"生成成长"),4))/(VLOOKUP(BC$72,INDIRECT($C$5&amp;"生成成长"),5))*(VLOOKUP($B$5,标准坦克设计!$B$24:$U$30,MATCH("对"&amp;LEFT($C$5,2)&amp;"输出",标准坦克设计!$B$23:$U$23,0)))*(VLOOKUP($B112,INDIRECT($B$5&amp;"生成成长"),3))*(VLOOKUP($B$5,标准坦克设计!$B$14:$K$20,9)/30))</f>
        <v>2.64618840718515</v>
      </c>
      <c r="BD112" s="172">
        <f ca="1">(VLOOKUP(BD$72,INDIRECT($C$5&amp;"生成成长"),2))/((VLOOKUP($B112,INDIRECT($B$5&amp;"生成成长"),4))/(VLOOKUP(BD$72,INDIRECT($C$5&amp;"生成成长"),5))*(VLOOKUP($B$5,标准坦克设计!$B$24:$U$30,MATCH("对"&amp;LEFT($C$5,2)&amp;"输出",标准坦克设计!$B$23:$U$23,0)))*(VLOOKUP($B112,INDIRECT($B$5&amp;"生成成长"),3))*(VLOOKUP($B$5,标准坦克设计!$B$14:$K$20,9)/30))</f>
        <v>2.9270116121093768</v>
      </c>
      <c r="BE112" s="172">
        <f ca="1">(VLOOKUP(BE$72,INDIRECT($C$5&amp;"生成成长"),2))/((VLOOKUP($B112,INDIRECT($B$5&amp;"生成成长"),4))/(VLOOKUP(BE$72,INDIRECT($C$5&amp;"生成成长"),5))*(VLOOKUP($B$5,标准坦克设计!$B$24:$U$30,MATCH("对"&amp;LEFT($C$5,2)&amp;"输出",标准坦克设计!$B$23:$U$23,0)))*(VLOOKUP($B112,INDIRECT($B$5&amp;"生成成长"),3))*(VLOOKUP($B$5,标准坦克设计!$B$14:$K$20,9)/30))</f>
        <v>3.2219939702230596</v>
      </c>
      <c r="BF112" s="172">
        <f ca="1">(VLOOKUP(BF$72,INDIRECT($C$5&amp;"生成成长"),2))/((VLOOKUP($B112,INDIRECT($B$5&amp;"生成成长"),4))/(VLOOKUP(BF$72,INDIRECT($C$5&amp;"生成成长"),5))*(VLOOKUP($B$5,标准坦克设计!$B$24:$U$30,MATCH("对"&amp;LEFT($C$5,2)&amp;"输出",标准坦克设计!$B$23:$U$23,0)))*(VLOOKUP($B112,INDIRECT($B$5&amp;"生成成长"),3))*(VLOOKUP($B$5,标准坦克设计!$B$14:$K$20,9)/30))</f>
        <v>3.5311354815262002</v>
      </c>
      <c r="BG112" s="172">
        <f ca="1">(VLOOKUP(BG$72,INDIRECT($C$5&amp;"生成成长"),2))/((VLOOKUP($B112,INDIRECT($B$5&amp;"生成成长"),4))/(VLOOKUP(BG$72,INDIRECT($C$5&amp;"生成成长"),5))*(VLOOKUP($B$5,标准坦克设计!$B$24:$U$30,MATCH("对"&amp;LEFT($C$5,2)&amp;"输出",标准坦克设计!$B$23:$U$23,0)))*(VLOOKUP($B112,INDIRECT($B$5&amp;"生成成长"),3))*(VLOOKUP($B$5,标准坦克设计!$B$14:$K$20,9)/30))</f>
        <v>3.8544361460187972</v>
      </c>
      <c r="BH112" s="172">
        <f ca="1">(VLOOKUP(BH$72,INDIRECT($C$5&amp;"生成成长"),2))/((VLOOKUP($B112,INDIRECT($B$5&amp;"生成成长"),4))/(VLOOKUP(BH$72,INDIRECT($C$5&amp;"生成成长"),5))*(VLOOKUP($B$5,标准坦克设计!$B$24:$U$30,MATCH("对"&amp;LEFT($C$5,2)&amp;"输出",标准坦克设计!$B$23:$U$23,0)))*(VLOOKUP($B112,INDIRECT($B$5&amp;"生成成长"),3))*(VLOOKUP($B$5,标准坦克设计!$B$14:$K$20,9)/30))</f>
        <v>1.863064872755934</v>
      </c>
      <c r="BI112" s="172">
        <f ca="1">(VLOOKUP(BI$72,INDIRECT($C$5&amp;"生成成长"),2))/((VLOOKUP($B112,INDIRECT($B$5&amp;"生成成长"),4))/(VLOOKUP(BI$72,INDIRECT($C$5&amp;"生成成长"),5))*(VLOOKUP($B$5,标准坦克设计!$B$24:$U$30,MATCH("对"&amp;LEFT($C$5,2)&amp;"输出",标准坦克设计!$B$23:$U$23,0)))*(VLOOKUP($B112,INDIRECT($B$5&amp;"生成成长"),3))*(VLOOKUP($B$5,标准坦克设计!$B$14:$K$20,9)/30))</f>
        <v>2.099837378868517</v>
      </c>
      <c r="BJ112" s="172">
        <f ca="1">(VLOOKUP(BJ$72,INDIRECT($C$5&amp;"生成成长"),2))/((VLOOKUP($B112,INDIRECT($B$5&amp;"生成成长"),4))/(VLOOKUP(BJ$72,INDIRECT($C$5&amp;"生成成长"),5))*(VLOOKUP($B$5,标准坦克设计!$B$24:$U$30,MATCH("对"&amp;LEFT($C$5,2)&amp;"输出",标准坦克设计!$B$23:$U$23,0)))*(VLOOKUP($B112,INDIRECT($B$5&amp;"生成成长"),3))*(VLOOKUP($B$5,标准坦克设计!$B$14:$K$20,9)/30))</f>
        <v>2.3507690381705575</v>
      </c>
      <c r="BK112" s="172">
        <f ca="1">(VLOOKUP(BK$72,INDIRECT($C$5&amp;"生成成长"),2))/((VLOOKUP($B112,INDIRECT($B$5&amp;"生成成长"),4))/(VLOOKUP(BK$72,INDIRECT($C$5&amp;"生成成长"),5))*(VLOOKUP($B$5,标准坦克设计!$B$24:$U$30,MATCH("对"&amp;LEFT($C$5,2)&amp;"输出",标准坦克设计!$B$23:$U$23,0)))*(VLOOKUP($B112,INDIRECT($B$5&amp;"生成成长"),3))*(VLOOKUP($B$5,标准坦克设计!$B$14:$K$20,9)/30))</f>
        <v>2.6158598506620545</v>
      </c>
      <c r="BL112" s="172">
        <f ca="1">(VLOOKUP(BL$72,INDIRECT($C$5&amp;"生成成长"),2))/((VLOOKUP($B112,INDIRECT($B$5&amp;"生成成长"),4))/(VLOOKUP(BL$72,INDIRECT($C$5&amp;"生成成长"),5))*(VLOOKUP($B$5,标准坦克设计!$B$24:$U$30,MATCH("对"&amp;LEFT($C$5,2)&amp;"输出",标准坦克设计!$B$23:$U$23,0)))*(VLOOKUP($B112,INDIRECT($B$5&amp;"生成成长"),3))*(VLOOKUP($B$5,标准坦克设计!$B$14:$K$20,9)/30))</f>
        <v>2.8951098163430076</v>
      </c>
      <c r="BM112" s="172">
        <f ca="1">(VLOOKUP(BM$72,INDIRECT($C$5&amp;"生成成长"),2))/((VLOOKUP($B112,INDIRECT($B$5&amp;"生成成长"),4))/(VLOOKUP(BM$72,INDIRECT($C$5&amp;"生成成长"),5))*(VLOOKUP($B$5,标准坦克设计!$B$24:$U$30,MATCH("对"&amp;LEFT($C$5,2)&amp;"输出",标准坦克设计!$B$23:$U$23,0)))*(VLOOKUP($B112,INDIRECT($B$5&amp;"生成成长"),3))*(VLOOKUP($B$5,标准坦克设计!$B$14:$K$20,9)/30))</f>
        <v>3.1885189352134184</v>
      </c>
      <c r="BN112" s="172">
        <f ca="1">(VLOOKUP(BN$72,INDIRECT($C$5&amp;"生成成长"),2))/((VLOOKUP($B112,INDIRECT($B$5&amp;"生成成长"),4))/(VLOOKUP(BN$72,INDIRECT($C$5&amp;"生成成长"),5))*(VLOOKUP($B$5,标准坦克设计!$B$24:$U$30,MATCH("对"&amp;LEFT($C$5,2)&amp;"输出",标准坦克设计!$B$23:$U$23,0)))*(VLOOKUP($B112,INDIRECT($B$5&amp;"生成成长"),3))*(VLOOKUP($B$5,标准坦克设计!$B$14:$K$20,9)/30))</f>
        <v>3.4960872072732854</v>
      </c>
      <c r="BO112" s="172">
        <f ca="1">(VLOOKUP(BO$72,INDIRECT($C$5&amp;"生成成长"),2))/((VLOOKUP($B112,INDIRECT($B$5&amp;"生成成长"),4))/(VLOOKUP(BO$72,INDIRECT($C$5&amp;"生成成长"),5))*(VLOOKUP($B$5,标准坦克设计!$B$24:$U$30,MATCH("对"&amp;LEFT($C$5,2)&amp;"输出",标准坦克设计!$B$23:$U$23,0)))*(VLOOKUP($B112,INDIRECT($B$5&amp;"生成成长"),3))*(VLOOKUP($B$5,标准坦克设计!$B$14:$K$20,9)/30))</f>
        <v>3.8178146325226101</v>
      </c>
      <c r="BP112" s="172">
        <f ca="1">(VLOOKUP(BP$72,INDIRECT($C$5&amp;"生成成长"),2))/((VLOOKUP($B112,INDIRECT($B$5&amp;"生成成长"),4))/(VLOOKUP(BP$72,INDIRECT($C$5&amp;"生成成长"),5))*(VLOOKUP($B$5,标准坦克设计!$B$24:$U$30,MATCH("对"&amp;LEFT($C$5,2)&amp;"输出",标准坦克设计!$B$23:$U$23,0)))*(VLOOKUP($B112,INDIRECT($B$5&amp;"生成成长"),3))*(VLOOKUP($B$5,标准坦克设计!$B$14:$K$20,9)/30))</f>
        <v>4.1537012109613904</v>
      </c>
      <c r="BQ112" s="172">
        <f ca="1">(VLOOKUP(BQ$72,INDIRECT($C$5&amp;"生成成长"),2))/((VLOOKUP($B112,INDIRECT($B$5&amp;"生成成长"),4))/(VLOOKUP(BQ$72,INDIRECT($C$5&amp;"生成成长"),5))*(VLOOKUP($B$5,标准坦克设计!$B$24:$U$30,MATCH("对"&amp;LEFT($C$5,2)&amp;"输出",标准坦克设计!$B$23:$U$23,0)))*(VLOOKUP($B112,INDIRECT($B$5&amp;"生成成长"),3))*(VLOOKUP($B$5,标准坦克设计!$B$14:$K$20,9)/30))</f>
        <v>4.5037469425896282</v>
      </c>
      <c r="BR112" s="172">
        <f ca="1">(VLOOKUP(BR$72,INDIRECT($C$5&amp;"生成成长"),2))/((VLOOKUP($B112,INDIRECT($B$5&amp;"生成成长"),4))/(VLOOKUP(BR$72,INDIRECT($C$5&amp;"生成成长"),5))*(VLOOKUP($B$5,标准坦克设计!$B$24:$U$30,MATCH("对"&amp;LEFT($C$5,2)&amp;"输出",标准坦克设计!$B$23:$U$23,0)))*(VLOOKUP($B112,INDIRECT($B$5&amp;"生成成长"),3))*(VLOOKUP($B$5,标准坦克设计!$B$14:$K$20,9)/30))</f>
        <v>4.9092930586333292</v>
      </c>
      <c r="BS112" s="172">
        <f ca="1">(VLOOKUP(BS$72,INDIRECT($C$5&amp;"生成成长"),2))/((VLOOKUP($B112,INDIRECT($B$5&amp;"生成成长"),4))/(VLOOKUP(BS$72,INDIRECT($C$5&amp;"生成成长"),5))*(VLOOKUP($B$5,标准坦克设计!$B$24:$U$30,MATCH("对"&amp;LEFT($C$5,2)&amp;"输出",标准坦克设计!$B$23:$U$23,0)))*(VLOOKUP($B112,INDIRECT($B$5&amp;"生成成长"),3))*(VLOOKUP($B$5,标准坦克设计!$B$14:$K$20,9)/30))</f>
        <v>5.3323196107133981</v>
      </c>
      <c r="BT112" s="172">
        <f ca="1">(VLOOKUP(BT$72,INDIRECT($C$5&amp;"生成成长"),2))/((VLOOKUP($B112,INDIRECT($B$5&amp;"生成成长"),4))/(VLOOKUP(BT$72,INDIRECT($C$5&amp;"生成成长"),5))*(VLOOKUP($B$5,标准坦克设计!$B$24:$U$30,MATCH("对"&amp;LEFT($C$5,2)&amp;"输出",标准坦克设计!$B$23:$U$23,0)))*(VLOOKUP($B112,INDIRECT($B$5&amp;"生成成长"),3))*(VLOOKUP($B$5,标准坦克设计!$B$14:$K$20,9)/30))</f>
        <v>5.7728265988298313</v>
      </c>
      <c r="BU112" s="172">
        <f ca="1">(VLOOKUP(BU$72,INDIRECT($C$5&amp;"生成成长"),2))/((VLOOKUP($B112,INDIRECT($B$5&amp;"生成成长"),4))/(VLOOKUP(BU$72,INDIRECT($C$5&amp;"生成成长"),5))*(VLOOKUP($B$5,标准坦克设计!$B$24:$U$30,MATCH("对"&amp;LEFT($C$5,2)&amp;"输出",标准坦克设计!$B$23:$U$23,0)))*(VLOOKUP($B112,INDIRECT($B$5&amp;"生成成长"),3))*(VLOOKUP($B$5,标准坦克设计!$B$14:$K$20,9)/30))</f>
        <v>6.2308140229826314</v>
      </c>
      <c r="BV112" s="172">
        <f ca="1">(VLOOKUP(BV$72,INDIRECT($C$5&amp;"生成成长"),2))/((VLOOKUP($B112,INDIRECT($B$5&amp;"生成成长"),4))/(VLOOKUP(BV$72,INDIRECT($C$5&amp;"生成成长"),5))*(VLOOKUP($B$5,标准坦克设计!$B$24:$U$30,MATCH("对"&amp;LEFT($C$5,2)&amp;"输出",标准坦克设计!$B$23:$U$23,0)))*(VLOOKUP($B112,INDIRECT($B$5&amp;"生成成长"),3))*(VLOOKUP($B$5,标准坦克设计!$B$14:$K$20,9)/30))</f>
        <v>6.7062818831717985</v>
      </c>
      <c r="BW112" s="172">
        <f ca="1">(VLOOKUP(BW$72,INDIRECT($C$5&amp;"生成成长"),2))/((VLOOKUP($B112,INDIRECT($B$5&amp;"生成成长"),4))/(VLOOKUP(BW$72,INDIRECT($C$5&amp;"生成成长"),5))*(VLOOKUP($B$5,标准坦克设计!$B$24:$U$30,MATCH("对"&amp;LEFT($C$5,2)&amp;"输出",标准坦克设计!$B$23:$U$23,0)))*(VLOOKUP($B112,INDIRECT($B$5&amp;"生成成长"),3))*(VLOOKUP($B$5,标准坦克设计!$B$14:$K$20,9)/30))</f>
        <v>3.0563668387784881</v>
      </c>
      <c r="BX112" s="172">
        <f ca="1">(VLOOKUP(BX$72,INDIRECT($C$5&amp;"生成成长"),2))/((VLOOKUP($B112,INDIRECT($B$5&amp;"生成成长"),4))/(VLOOKUP(BX$72,INDIRECT($C$5&amp;"生成成长"),5))*(VLOOKUP($B$5,标准坦克设计!$B$24:$U$30,MATCH("对"&amp;LEFT($C$5,2)&amp;"输出",标准坦克设计!$B$23:$U$23,0)))*(VLOOKUP($B112,INDIRECT($B$5&amp;"生成成长"),3))*(VLOOKUP($B$5,标准坦克设计!$B$14:$K$20,9)/30))</f>
        <v>3.3919912106767236</v>
      </c>
      <c r="BY112" s="172">
        <f ca="1">(VLOOKUP(BY$72,INDIRECT($C$5&amp;"生成成长"),2))/((VLOOKUP($B112,INDIRECT($B$5&amp;"生成成长"),4))/(VLOOKUP(BY$72,INDIRECT($C$5&amp;"生成成长"),5))*(VLOOKUP($B$5,标准坦克设计!$B$24:$U$30,MATCH("对"&amp;LEFT($C$5,2)&amp;"输出",标准坦克设计!$B$23:$U$23,0)))*(VLOOKUP($B112,INDIRECT($B$5&amp;"生成成长"),3))*(VLOOKUP($B$5,标准坦克设计!$B$14:$K$20,9)/30))</f>
        <v>3.7450960186113256</v>
      </c>
      <c r="BZ112" s="172">
        <f ca="1">(VLOOKUP(BZ$72,INDIRECT($C$5&amp;"生成成长"),2))/((VLOOKUP($B112,INDIRECT($B$5&amp;"生成成长"),4))/(VLOOKUP(BZ$72,INDIRECT($C$5&amp;"生成成长"),5))*(VLOOKUP($B$5,标准坦克设计!$B$24:$U$30,MATCH("对"&amp;LEFT($C$5,2)&amp;"输出",标准坦克设计!$B$23:$U$23,0)))*(VLOOKUP($B112,INDIRECT($B$5&amp;"生成成长"),3))*(VLOOKUP($B$5,标准坦克设计!$B$14:$K$20,9)/30))</f>
        <v>4.1156812625822932</v>
      </c>
      <c r="CA112" s="172">
        <f ca="1">(VLOOKUP(CA$72,INDIRECT($C$5&amp;"生成成长"),2))/((VLOOKUP($B112,INDIRECT($B$5&amp;"生成成长"),4))/(VLOOKUP(CA$72,INDIRECT($C$5&amp;"生成成长"),5))*(VLOOKUP($B$5,标准坦克设计!$B$24:$U$30,MATCH("对"&amp;LEFT($C$5,2)&amp;"输出",标准坦克设计!$B$23:$U$23,0)))*(VLOOKUP($B112,INDIRECT($B$5&amp;"生成成长"),3))*(VLOOKUP($B$5,标准坦克设计!$B$14:$K$20,9)/30))</f>
        <v>4.5037469425896282</v>
      </c>
      <c r="CB112" s="172">
        <f ca="1">(VLOOKUP(CB$72,INDIRECT($C$5&amp;"生成成长"),2))/((VLOOKUP($B112,INDIRECT($B$5&amp;"生成成长"),4))/(VLOOKUP(CB$72,INDIRECT($C$5&amp;"生成成长"),5))*(VLOOKUP($B$5,标准坦克设计!$B$24:$U$30,MATCH("对"&amp;LEFT($C$5,2)&amp;"输出",标准坦克设计!$B$23:$U$23,0)))*(VLOOKUP($B112,INDIRECT($B$5&amp;"生成成长"),3))*(VLOOKUP($B$5,标准坦克设计!$B$14:$K$20,9)/30))</f>
        <v>4.9092930586333292</v>
      </c>
      <c r="CC112" s="172">
        <f ca="1">(VLOOKUP(CC$72,INDIRECT($C$5&amp;"生成成长"),2))/((VLOOKUP($B112,INDIRECT($B$5&amp;"生成成长"),4))/(VLOOKUP(CC$72,INDIRECT($C$5&amp;"生成成长"),5))*(VLOOKUP($B$5,标准坦克设计!$B$24:$U$30,MATCH("对"&amp;LEFT($C$5,2)&amp;"输出",标准坦克设计!$B$23:$U$23,0)))*(VLOOKUP($B112,INDIRECT($B$5&amp;"生成成长"),3))*(VLOOKUP($B$5,标准坦克设计!$B$14:$K$20,9)/30))</f>
        <v>5.3323196107133981</v>
      </c>
      <c r="CD112" s="172">
        <f ca="1">(VLOOKUP(CD$72,INDIRECT($C$5&amp;"生成成长"),2))/((VLOOKUP($B112,INDIRECT($B$5&amp;"生成成长"),4))/(VLOOKUP(CD$72,INDIRECT($C$5&amp;"生成成长"),5))*(VLOOKUP($B$5,标准坦克设计!$B$24:$U$30,MATCH("对"&amp;LEFT($C$5,2)&amp;"输出",标准坦克设计!$B$23:$U$23,0)))*(VLOOKUP($B112,INDIRECT($B$5&amp;"生成成长"),3))*(VLOOKUP($B$5,标准坦克设计!$B$14:$K$20,9)/30))</f>
        <v>5.7728265988298313</v>
      </c>
      <c r="CE112" s="172">
        <f ca="1">(VLOOKUP(CE$72,INDIRECT($C$5&amp;"生成成长"),2))/((VLOOKUP($B112,INDIRECT($B$5&amp;"生成成长"),4))/(VLOOKUP(CE$72,INDIRECT($C$5&amp;"生成成长"),5))*(VLOOKUP($B$5,标准坦克设计!$B$24:$U$30,MATCH("对"&amp;LEFT($C$5,2)&amp;"输出",标准坦克设计!$B$23:$U$23,0)))*(VLOOKUP($B112,INDIRECT($B$5&amp;"生成成长"),3))*(VLOOKUP($B$5,标准坦克设计!$B$14:$K$20,9)/30))</f>
        <v>6.2308140229826314</v>
      </c>
      <c r="CF112" s="172">
        <f ca="1">(VLOOKUP(CF$72,INDIRECT($C$5&amp;"生成成长"),2))/((VLOOKUP($B112,INDIRECT($B$5&amp;"生成成长"),4))/(VLOOKUP(CF$72,INDIRECT($C$5&amp;"生成成长"),5))*(VLOOKUP($B$5,标准坦克设计!$B$24:$U$30,MATCH("对"&amp;LEFT($C$5,2)&amp;"输出",标准坦克设计!$B$23:$U$23,0)))*(VLOOKUP($B112,INDIRECT($B$5&amp;"生成成长"),3))*(VLOOKUP($B$5,标准坦克设计!$B$14:$K$20,9)/30))</f>
        <v>6.7062818831717985</v>
      </c>
      <c r="CG112" s="172">
        <f ca="1">(VLOOKUP(CG$72,INDIRECT($C$5&amp;"生成成长"),2))/((VLOOKUP($B112,INDIRECT($B$5&amp;"生成成长"),4))/(VLOOKUP(CG$72,INDIRECT($C$5&amp;"生成成长"),5))*(VLOOKUP($B$5,标准坦克设计!$B$24:$U$30,MATCH("对"&amp;LEFT($C$5,2)&amp;"输出",标准坦克设计!$B$23:$U$23,0)))*(VLOOKUP($B112,INDIRECT($B$5&amp;"生成成长"),3))*(VLOOKUP($B$5,标准坦克设计!$B$14:$K$20,9)/30))</f>
        <v>7.1992301793973308</v>
      </c>
      <c r="CH112" s="172">
        <f ca="1">(VLOOKUP(CH$72,INDIRECT($C$5&amp;"生成成长"),2))/((VLOOKUP($B112,INDIRECT($B$5&amp;"生成成长"),4))/(VLOOKUP(CH$72,INDIRECT($C$5&amp;"生成成长"),5))*(VLOOKUP($B$5,标准坦克设计!$B$24:$U$30,MATCH("对"&amp;LEFT($C$5,2)&amp;"输出",标准坦克设计!$B$23:$U$23,0)))*(VLOOKUP($B112,INDIRECT($B$5&amp;"生成成长"),3))*(VLOOKUP($B$5,标准坦克设计!$B$14:$K$20,9)/30))</f>
        <v>7.7096589116592318</v>
      </c>
      <c r="CI112" s="172">
        <f ca="1">(VLOOKUP(CI$72,INDIRECT($C$5&amp;"生成成长"),2))/((VLOOKUP($B112,INDIRECT($B$5&amp;"生成成长"),4))/(VLOOKUP(CI$72,INDIRECT($C$5&amp;"生成成长"),5))*(VLOOKUP($B$5,标准坦克设计!$B$24:$U$30,MATCH("对"&amp;LEFT($C$5,2)&amp;"输出",标准坦克设计!$B$23:$U$23,0)))*(VLOOKUP($B112,INDIRECT($B$5&amp;"生成成长"),3))*(VLOOKUP($B$5,标准坦克设计!$B$14:$K$20,9)/30))</f>
        <v>8.2913204207693241</v>
      </c>
      <c r="CJ112" s="172">
        <f ca="1">(VLOOKUP(CJ$72,INDIRECT($C$5&amp;"生成成长"),2))/((VLOOKUP($B112,INDIRECT($B$5&amp;"生成成长"),4))/(VLOOKUP(CJ$72,INDIRECT($C$5&amp;"生成成长"),5))*(VLOOKUP($B$5,标准坦克设计!$B$24:$U$30,MATCH("对"&amp;LEFT($C$5,2)&amp;"输出",标准坦克设计!$B$23:$U$23,0)))*(VLOOKUP($B112,INDIRECT($B$5&amp;"生成成长"),3))*(VLOOKUP($B$5,标准坦克设计!$B$14:$K$20,9)/30))</f>
        <v>8.8941332574834195</v>
      </c>
      <c r="CK112" s="172">
        <f ca="1">(VLOOKUP(CK$72,INDIRECT($C$5&amp;"生成成长"),2))/((VLOOKUP($B112,INDIRECT($B$5&amp;"生成成长"),4))/(VLOOKUP(CK$72,INDIRECT($C$5&amp;"生成成长"),5))*(VLOOKUP($B$5,标准坦克设计!$B$24:$U$30,MATCH("对"&amp;LEFT($C$5,2)&amp;"输出",标准坦克设计!$B$23:$U$23,0)))*(VLOOKUP($B112,INDIRECT($B$5&amp;"生成成长"),3))*(VLOOKUP($B$5,标准坦克设计!$B$14:$K$20,9)/30))</f>
        <v>9.5180974218015191</v>
      </c>
      <c r="CL112" s="172">
        <f ca="1">(VLOOKUP(CL$72,INDIRECT($C$5&amp;"生成成长"),2))/((VLOOKUP($B112,INDIRECT($B$5&amp;"生成成长"),4))/(VLOOKUP(CL$72,INDIRECT($C$5&amp;"生成成长"),5))*(VLOOKUP($B$5,标准坦克设计!$B$24:$U$30,MATCH("对"&amp;LEFT($C$5,2)&amp;"输出",标准坦克设计!$B$23:$U$23,0)))*(VLOOKUP($B112,INDIRECT($B$5&amp;"生成成长"),3))*(VLOOKUP($B$5,标准坦克设计!$B$14:$K$20,9)/30))</f>
        <v>10.163212913723621</v>
      </c>
      <c r="CM112" s="172">
        <f ca="1">(VLOOKUP(CM$72,INDIRECT($C$5&amp;"生成成长"),2))/((VLOOKUP($B112,INDIRECT($B$5&amp;"生成成长"),4))/(VLOOKUP(CM$72,INDIRECT($C$5&amp;"生成成长"),5))*(VLOOKUP($B$5,标准坦克设计!$B$24:$U$30,MATCH("对"&amp;LEFT($C$5,2)&amp;"输出",标准坦克设计!$B$23:$U$23,0)))*(VLOOKUP($B112,INDIRECT($B$5&amp;"生成成长"),3))*(VLOOKUP($B$5,标准坦克设计!$B$14:$K$20,9)/30))</f>
        <v>10.829479733249729</v>
      </c>
      <c r="CN112" s="172">
        <f ca="1">(VLOOKUP(CN$72,INDIRECT($C$5&amp;"生成成长"),2))/((VLOOKUP($B112,INDIRECT($B$5&amp;"生成成长"),4))/(VLOOKUP(CN$72,INDIRECT($C$5&amp;"生成成长"),5))*(VLOOKUP($B$5,标准坦克设计!$B$24:$U$30,MATCH("对"&amp;LEFT($C$5,2)&amp;"输出",标准坦克设计!$B$23:$U$23,0)))*(VLOOKUP($B112,INDIRECT($B$5&amp;"生成成长"),3))*(VLOOKUP($B$5,标准坦克设计!$B$14:$K$20,9)/30))</f>
        <v>11.516897880379839</v>
      </c>
      <c r="CO112" s="172">
        <f ca="1">(VLOOKUP(CO$72,INDIRECT($C$5&amp;"生成成长"),2))/((VLOOKUP($B112,INDIRECT($B$5&amp;"生成成长"),4))/(VLOOKUP(CO$72,INDIRECT($C$5&amp;"生成成长"),5))*(VLOOKUP($B$5,标准坦克设计!$B$24:$U$30,MATCH("对"&amp;LEFT($C$5,2)&amp;"输出",标准坦克设计!$B$23:$U$23,0)))*(VLOOKUP($B112,INDIRECT($B$5&amp;"生成成长"),3))*(VLOOKUP($B$5,标准坦克设计!$B$14:$K$20,9)/30))</f>
        <v>5.1610113375570066</v>
      </c>
      <c r="CP112" s="172">
        <f ca="1">(VLOOKUP(CP$72,INDIRECT($C$5&amp;"生成成长"),2))/((VLOOKUP($B112,INDIRECT($B$5&amp;"生成成长"),4))/(VLOOKUP(CP$72,INDIRECT($C$5&amp;"生成成长"),5))*(VLOOKUP($B$5,标准坦克设计!$B$24:$U$30,MATCH("对"&amp;LEFT($C$5,2)&amp;"输出",标准坦克设计!$B$23:$U$23,0)))*(VLOOKUP($B112,INDIRECT($B$5&amp;"生成成长"),3))*(VLOOKUP($B$5,标准坦克设计!$B$14:$K$20,9)/30))</f>
        <v>5.6388390566110829</v>
      </c>
      <c r="CQ112" s="172">
        <f ca="1">(VLOOKUP(CQ$72,INDIRECT($C$5&amp;"生成成长"),2))/((VLOOKUP($B112,INDIRECT($B$5&amp;"生成成长"),4))/(VLOOKUP(CQ$72,INDIRECT($C$5&amp;"生成成长"),5))*(VLOOKUP($B$5,标准坦克设计!$B$24:$U$30,MATCH("对"&amp;LEFT($C$5,2)&amp;"输出",标准坦克设计!$B$23:$U$23,0)))*(VLOOKUP($B112,INDIRECT($B$5&amp;"生成成长"),3))*(VLOOKUP($B$5,标准坦克设计!$B$14:$K$20,9)/30))</f>
        <v>6.1378181032691632</v>
      </c>
      <c r="CR112" s="172">
        <f ca="1">(VLOOKUP(CR$72,INDIRECT($C$5&amp;"生成成长"),2))/((VLOOKUP($B112,INDIRECT($B$5&amp;"生成成长"),4))/(VLOOKUP(CR$72,INDIRECT($C$5&amp;"生成成长"),5))*(VLOOKUP($B$5,标准坦克设计!$B$24:$U$30,MATCH("对"&amp;LEFT($C$5,2)&amp;"输出",标准坦克设计!$B$23:$U$23,0)))*(VLOOKUP($B112,INDIRECT($B$5&amp;"生成成长"),3))*(VLOOKUP($B$5,标准坦克设计!$B$14:$K$20,9)/30))</f>
        <v>6.6579484775312459</v>
      </c>
      <c r="CS112" s="172">
        <f ca="1">(VLOOKUP(CS$72,INDIRECT($C$5&amp;"生成成长"),2))/((VLOOKUP($B112,INDIRECT($B$5&amp;"生成成长"),4))/(VLOOKUP(CS$72,INDIRECT($C$5&amp;"生成成长"),5))*(VLOOKUP($B$5,标准坦克设计!$B$24:$U$30,MATCH("对"&amp;LEFT($C$5,2)&amp;"输出",标准坦克设计!$B$23:$U$23,0)))*(VLOOKUP($B112,INDIRECT($B$5&amp;"生成成长"),3))*(VLOOKUP($B$5,标准坦克设计!$B$14:$K$20,9)/30))</f>
        <v>7.1992301793973308</v>
      </c>
      <c r="CT112" s="172">
        <f ca="1">(VLOOKUP(CT$72,INDIRECT($C$5&amp;"生成成长"),2))/((VLOOKUP($B112,INDIRECT($B$5&amp;"生成成长"),4))/(VLOOKUP(CT$72,INDIRECT($C$5&amp;"生成成长"),5))*(VLOOKUP($B$5,标准坦克设计!$B$24:$U$30,MATCH("对"&amp;LEFT($C$5,2)&amp;"输出",标准坦克设计!$B$23:$U$23,0)))*(VLOOKUP($B112,INDIRECT($B$5&amp;"生成成长"),3))*(VLOOKUP($B$5,标准坦克设计!$B$14:$K$20,9)/30))</f>
        <v>7.7616632088674216</v>
      </c>
      <c r="CU112" s="172">
        <f ca="1">(VLOOKUP(CU$72,INDIRECT($C$5&amp;"生成成长"),2))/((VLOOKUP($B112,INDIRECT($B$5&amp;"生成成长"),4))/(VLOOKUP(CU$72,INDIRECT($C$5&amp;"生成成长"),5))*(VLOOKUP($B$5,标准坦克设计!$B$24:$U$30,MATCH("对"&amp;LEFT($C$5,2)&amp;"输出",标准坦克设计!$B$23:$U$23,0)))*(VLOOKUP($B112,INDIRECT($B$5&amp;"生成成长"),3))*(VLOOKUP($B$5,标准坦克设计!$B$14:$K$20,9)/30))</f>
        <v>8.3452475659415146</v>
      </c>
      <c r="CV112" s="172">
        <f ca="1">(VLOOKUP(CV$72,INDIRECT($C$5&amp;"生成成长"),2))/((VLOOKUP($B112,INDIRECT($B$5&amp;"生成成长"),4))/(VLOOKUP(CV$72,INDIRECT($C$5&amp;"生成成长"),5))*(VLOOKUP($B$5,标准坦克设计!$B$24:$U$30,MATCH("对"&amp;LEFT($C$5,2)&amp;"输出",标准坦克设计!$B$23:$U$23,0)))*(VLOOKUP($B112,INDIRECT($B$5&amp;"生成成长"),3))*(VLOOKUP($B$5,标准坦克设计!$B$14:$K$20,9)/30))</f>
        <v>8.9499832506196118</v>
      </c>
      <c r="CW112" s="172">
        <f ca="1">(VLOOKUP(CW$72,INDIRECT($C$5&amp;"生成成长"),2))/((VLOOKUP($B112,INDIRECT($B$5&amp;"生成成长"),4))/(VLOOKUP(CW$72,INDIRECT($C$5&amp;"生成成长"),5))*(VLOOKUP($B$5,标准坦克设计!$B$24:$U$30,MATCH("对"&amp;LEFT($C$5,2)&amp;"输出",标准坦克设计!$B$23:$U$23,0)))*(VLOOKUP($B112,INDIRECT($B$5&amp;"生成成长"),3))*(VLOOKUP($B$5,标准坦克设计!$B$14:$K$20,9)/30))</f>
        <v>9.5758702629017129</v>
      </c>
      <c r="CX112" s="172">
        <f ca="1">(VLOOKUP(CX$72,INDIRECT($C$5&amp;"生成成长"),2))/((VLOOKUP($B112,INDIRECT($B$5&amp;"生成成长"),4))/(VLOOKUP(CX$72,INDIRECT($C$5&amp;"生成成长"),5))*(VLOOKUP($B$5,标准坦克设计!$B$24:$U$30,MATCH("对"&amp;LEFT($C$5,2)&amp;"输出",标准坦克设计!$B$23:$U$23,0)))*(VLOOKUP($B112,INDIRECT($B$5&amp;"生成成长"),3))*(VLOOKUP($B$5,标准坦克设计!$B$14:$K$20,9)/30))</f>
        <v>10.222908602787815</v>
      </c>
      <c r="CY112" s="172">
        <f ca="1">(VLOOKUP(CY$72,INDIRECT($C$5&amp;"生成成长"),2))/((VLOOKUP($B112,INDIRECT($B$5&amp;"生成成长"),4))/(VLOOKUP(CY$72,INDIRECT($C$5&amp;"生成成长"),5))*(VLOOKUP($B$5,标准坦克设计!$B$24:$U$30,MATCH("对"&amp;LEFT($C$5,2)&amp;"输出",标准坦克设计!$B$23:$U$23,0)))*(VLOOKUP($B112,INDIRECT($B$5&amp;"生成成长"),3))*(VLOOKUP($B$5,标准坦克设计!$B$14:$K$20,9)/30))</f>
        <v>10.891098270277922</v>
      </c>
      <c r="CZ112" s="172">
        <f ca="1">(VLOOKUP(CZ$72,INDIRECT($C$5&amp;"生成成长"),2))/((VLOOKUP($B112,INDIRECT($B$5&amp;"生成成长"),4))/(VLOOKUP(CZ$72,INDIRECT($C$5&amp;"生成成长"),5))*(VLOOKUP($B$5,标准坦克设计!$B$24:$U$30,MATCH("对"&amp;LEFT($C$5,2)&amp;"输出",标准坦克设计!$B$23:$U$23,0)))*(VLOOKUP($B112,INDIRECT($B$5&amp;"生成成长"),3))*(VLOOKUP($B$5,标准坦克设计!$B$14:$K$20,9)/30))</f>
        <v>11.58043926537203</v>
      </c>
      <c r="DA112" s="172">
        <f ca="1">(VLOOKUP(DA$72,INDIRECT($C$5&amp;"生成成长"),2))/((VLOOKUP($B112,INDIRECT($B$5&amp;"生成成长"),4))/(VLOOKUP(DA$72,INDIRECT($C$5&amp;"生成成长"),5))*(VLOOKUP($B$5,标准坦克设计!$B$24:$U$30,MATCH("对"&amp;LEFT($C$5,2)&amp;"输出",标准坦克设计!$B$23:$U$23,0)))*(VLOOKUP($B112,INDIRECT($B$5&amp;"生成成长"),3))*(VLOOKUP($B$5,标准坦克设计!$B$14:$K$20,9)/30))</f>
        <v>12.290931588070144</v>
      </c>
      <c r="DB112" s="172">
        <f ca="1">(VLOOKUP(DB$72,INDIRECT($C$5&amp;"生成成长"),2))/((VLOOKUP($B112,INDIRECT($B$5&amp;"生成成长"),4))/(VLOOKUP(DB$72,INDIRECT($C$5&amp;"生成成长"),5))*(VLOOKUP($B$5,标准坦克设计!$B$24:$U$30,MATCH("对"&amp;LEFT($C$5,2)&amp;"输出",标准坦克设计!$B$23:$U$23,0)))*(VLOOKUP($B112,INDIRECT($B$5&amp;"生成成长"),3))*(VLOOKUP($B$5,标准坦克设计!$B$14:$K$20,9)/30))</f>
        <v>13.02257523837226</v>
      </c>
      <c r="DC112" s="172">
        <f ca="1">(VLOOKUP(DC$72,INDIRECT($C$5&amp;"生成成长"),2))/((VLOOKUP($B112,INDIRECT($B$5&amp;"生成成长"),4))/(VLOOKUP(DC$72,INDIRECT($C$5&amp;"生成成长"),5))*(VLOOKUP($B$5,标准坦克设计!$B$24:$U$30,MATCH("对"&amp;LEFT($C$5,2)&amp;"输出",标准坦克设计!$B$23:$U$23,0)))*(VLOOKUP($B112,INDIRECT($B$5&amp;"生成成长"),3))*(VLOOKUP($B$5,标准坦克设计!$B$14:$K$20,9)/30))</f>
        <v>13.844854949522936</v>
      </c>
      <c r="DD112" s="172">
        <f ca="1">(VLOOKUP(DD$72,INDIRECT($C$5&amp;"生成成长"),2))/((VLOOKUP($B112,INDIRECT($B$5&amp;"生成成长"),4))/(VLOOKUP(DD$72,INDIRECT($C$5&amp;"生成成长"),5))*(VLOOKUP($B$5,标准坦克设计!$B$24:$U$30,MATCH("对"&amp;LEFT($C$5,2)&amp;"输出",标准坦克设计!$B$23:$U$23,0)))*(VLOOKUP($B112,INDIRECT($B$5&amp;"生成成长"),3))*(VLOOKUP($B$5,标准坦克设计!$B$14:$K$20,9)/30))</f>
        <v>14.692306488565981</v>
      </c>
      <c r="DE112" s="172">
        <f ca="1">(VLOOKUP(DE$72,INDIRECT($C$5&amp;"生成成长"),2))/((VLOOKUP($B112,INDIRECT($B$5&amp;"生成成长"),4))/(VLOOKUP(DE$72,INDIRECT($C$5&amp;"生成成长"),5))*(VLOOKUP($B$5,标准坦克设计!$B$24:$U$30,MATCH("对"&amp;LEFT($C$5,2)&amp;"输出",标准坦克设计!$B$23:$U$23,0)))*(VLOOKUP($B112,INDIRECT($B$5&amp;"生成成长"),3))*(VLOOKUP($B$5,标准坦克设计!$B$14:$K$20,9)/30))</f>
        <v>15.564929855501394</v>
      </c>
      <c r="DF112" s="172">
        <f ca="1">(VLOOKUP(DF$72,INDIRECT($C$5&amp;"生成成长"),2))/((VLOOKUP($B112,INDIRECT($B$5&amp;"生成成长"),4))/(VLOOKUP(DF$72,INDIRECT($C$5&amp;"生成成长"),5))*(VLOOKUP($B$5,标准坦克设计!$B$24:$U$30,MATCH("对"&amp;LEFT($C$5,2)&amp;"输出",标准坦克设计!$B$23:$U$23,0)))*(VLOOKUP($B112,INDIRECT($B$5&amp;"生成成长"),3))*(VLOOKUP($B$5,标准坦克设计!$B$14:$K$20,9)/30))</f>
        <v>16.462725050329173</v>
      </c>
      <c r="DG112" s="172">
        <f ca="1">(VLOOKUP(DG$72,INDIRECT($C$5&amp;"生成成长"),2))/((VLOOKUP($B112,INDIRECT($B$5&amp;"生成成长"),4))/(VLOOKUP(DG$72,INDIRECT($C$5&amp;"生成成长"),5))*(VLOOKUP($B$5,标准坦克设计!$B$24:$U$30,MATCH("对"&amp;LEFT($C$5,2)&amp;"输出",标准坦克设计!$B$23:$U$23,0)))*(VLOOKUP($B112,INDIRECT($B$5&amp;"生成成长"),3))*(VLOOKUP($B$5,标准坦克设计!$B$14:$K$20,9)/30))</f>
        <v>17.385692073049324</v>
      </c>
      <c r="DH112" s="172">
        <f ca="1">(VLOOKUP(DH$72,INDIRECT($C$5&amp;"生成成长"),2))/((VLOOKUP($B112,INDIRECT($B$5&amp;"生成成长"),4))/(VLOOKUP(DH$72,INDIRECT($C$5&amp;"生成成长"),5))*(VLOOKUP($B$5,标准坦克设计!$B$24:$U$30,MATCH("对"&amp;LEFT($C$5,2)&amp;"输出",标准坦克设计!$B$23:$U$23,0)))*(VLOOKUP($B112,INDIRECT($B$5&amp;"生成成长"),3))*(VLOOKUP($B$5,标准坦克设计!$B$14:$K$20,9)/30))</f>
        <v>18.333830923661836</v>
      </c>
      <c r="DI112" s="172">
        <f ca="1">(VLOOKUP(DI$72,INDIRECT($C$5&amp;"生成成长"),2))/((VLOOKUP($B112,INDIRECT($B$5&amp;"生成成长"),4))/(VLOOKUP(DI$72,INDIRECT($C$5&amp;"生成成长"),5))*(VLOOKUP($B$5,标准坦克设计!$B$24:$U$30,MATCH("对"&amp;LEFT($C$5,2)&amp;"输出",标准坦克设计!$B$23:$U$23,0)))*(VLOOKUP($B112,INDIRECT($B$5&amp;"生成成长"),3))*(VLOOKUP($B$5,标准坦克设计!$B$14:$K$20,9)/30))</f>
        <v>19.30714160216672</v>
      </c>
      <c r="DJ112" s="172">
        <f ca="1">(VLOOKUP(DJ$72,INDIRECT($C$5&amp;"生成成长"),2))/((VLOOKUP($B112,INDIRECT($B$5&amp;"生成成长"),4))/(VLOOKUP(DJ$72,INDIRECT($C$5&amp;"生成成长"),5))*(VLOOKUP($B$5,标准坦克设计!$B$24:$U$30,MATCH("对"&amp;LEFT($C$5,2)&amp;"输出",标准坦克设计!$B$23:$U$23,0)))*(VLOOKUP($B112,INDIRECT($B$5&amp;"生成成长"),3))*(VLOOKUP($B$5,标准坦克设计!$B$14:$K$20,9)/30))</f>
        <v>1.9404158022168554</v>
      </c>
      <c r="DK112" s="172">
        <f ca="1">(VLOOKUP(DK$72,INDIRECT($C$5&amp;"生成成长"),2))/((VLOOKUP($B112,INDIRECT($B$5&amp;"生成成长"),4))/(VLOOKUP(DK$72,INDIRECT($C$5&amp;"生成成长"),5))*(VLOOKUP($B$5,标准坦克设计!$B$24:$U$30,MATCH("对"&amp;LEFT($C$5,2)&amp;"输出",标准坦克设计!$B$23:$U$23,0)))*(VLOOKUP($B112,INDIRECT($B$5&amp;"生成成长"),3))*(VLOOKUP($B$5,标准坦克设计!$B$14:$K$20,9)/30))</f>
        <v>2.1819080260592574</v>
      </c>
      <c r="DL112" s="172">
        <f ca="1">(VLOOKUP(DL$72,INDIRECT($C$5&amp;"生成成长"),2))/((VLOOKUP($B112,INDIRECT($B$5&amp;"生成成长"),4))/(VLOOKUP(DL$72,INDIRECT($C$5&amp;"生成成长"),5))*(VLOOKUP($B$5,标准坦克设计!$B$24:$U$30,MATCH("对"&amp;LEFT($C$5,2)&amp;"输出",标准坦克设计!$B$23:$U$23,0)))*(VLOOKUP($B112,INDIRECT($B$5&amp;"生成成长"),3))*(VLOOKUP($B$5,标准坦克设计!$B$14:$K$20,9)/30))</f>
        <v>2.4375594030911167</v>
      </c>
      <c r="DM112" s="172">
        <f ca="1">(VLOOKUP(DM$72,INDIRECT($C$5&amp;"生成成长"),2))/((VLOOKUP($B112,INDIRECT($B$5&amp;"生成成长"),4))/(VLOOKUP(DM$72,INDIRECT($C$5&amp;"生成成长"),5))*(VLOOKUP($B$5,标准坦克设计!$B$24:$U$30,MATCH("对"&amp;LEFT($C$5,2)&amp;"输出",标准坦克设计!$B$23:$U$23,0)))*(VLOOKUP($B112,INDIRECT($B$5&amp;"生成成长"),3))*(VLOOKUP($B$5,标准坦克设计!$B$14:$K$20,9)/30))</f>
        <v>2.7073699333124321</v>
      </c>
      <c r="DN112" s="172">
        <f ca="1">(VLOOKUP(DN$72,INDIRECT($C$5&amp;"生成成长"),2))/((VLOOKUP($B112,INDIRECT($B$5&amp;"生成成长"),4))/(VLOOKUP(DN$72,INDIRECT($C$5&amp;"生成成长"),5))*(VLOOKUP($B$5,标准坦克设计!$B$24:$U$30,MATCH("对"&amp;LEFT($C$5,2)&amp;"输出",标准坦克设计!$B$23:$U$23,0)))*(VLOOKUP($B112,INDIRECT($B$5&amp;"生成成长"),3))*(VLOOKUP($B$5,标准坦克设计!$B$14:$K$20,9)/30))</f>
        <v>2.9913396167232054</v>
      </c>
      <c r="DO112" s="172">
        <f ca="1">(VLOOKUP(DO$72,INDIRECT($C$5&amp;"生成成长"),2))/((VLOOKUP($B112,INDIRECT($B$5&amp;"生成成长"),4))/(VLOOKUP(DO$72,INDIRECT($C$5&amp;"生成成长"),5))*(VLOOKUP($B$5,标准坦克设计!$B$24:$U$30,MATCH("对"&amp;LEFT($C$5,2)&amp;"输出",标准坦克设计!$B$23:$U$23,0)))*(VLOOKUP($B112,INDIRECT($B$5&amp;"生成成长"),3))*(VLOOKUP($B$5,标准坦克设计!$B$14:$K$20,9)/30))</f>
        <v>3.2894684533234346</v>
      </c>
      <c r="DP112" s="172">
        <f ca="1">(VLOOKUP(DP$72,INDIRECT($C$5&amp;"生成成长"),2))/((VLOOKUP($B112,INDIRECT($B$5&amp;"生成成长"),4))/(VLOOKUP(DP$72,INDIRECT($C$5&amp;"生成成长"),5))*(VLOOKUP($B$5,标准坦克设计!$B$24:$U$30,MATCH("对"&amp;LEFT($C$5,2)&amp;"输出",标准坦克设计!$B$23:$U$23,0)))*(VLOOKUP($B112,INDIRECT($B$5&amp;"生成成长"),3))*(VLOOKUP($B$5,标准坦克设计!$B$14:$K$20,9)/30))</f>
        <v>3.6017564431131204</v>
      </c>
      <c r="DQ112" s="172">
        <f ca="1">(VLOOKUP(DQ$72,INDIRECT($C$5&amp;"生成成长"),2))/((VLOOKUP($B112,INDIRECT($B$5&amp;"生成成长"),4))/(VLOOKUP(DQ$72,INDIRECT($C$5&amp;"生成成长"),5))*(VLOOKUP($B$5,标准坦克设计!$B$24:$U$30,MATCH("对"&amp;LEFT($C$5,2)&amp;"输出",标准坦克设计!$B$23:$U$23,0)))*(VLOOKUP($B112,INDIRECT($B$5&amp;"生成成长"),3))*(VLOOKUP($B$5,标准坦克设计!$B$14:$K$20,9)/30))</f>
        <v>3.9282035860922639</v>
      </c>
      <c r="DR112" s="172">
        <f ca="1">(VLOOKUP(DR$72,INDIRECT($C$5&amp;"生成成长"),2))/((VLOOKUP($B112,INDIRECT($B$5&amp;"生成成长"),4))/(VLOOKUP(DR$72,INDIRECT($C$5&amp;"生成成长"),5))*(VLOOKUP($B$5,标准坦克设计!$B$24:$U$30,MATCH("对"&amp;LEFT($C$5,2)&amp;"输出",标准坦克设计!$B$23:$U$23,0)))*(VLOOKUP($B112,INDIRECT($B$5&amp;"生成成长"),3))*(VLOOKUP($B$5,标准坦克设计!$B$14:$K$20,9)/30))</f>
        <v>4.2688098822608636</v>
      </c>
      <c r="DS112" s="172">
        <f ca="1">(VLOOKUP(DS$72,INDIRECT($C$5&amp;"生成成长"),2))/((VLOOKUP($B112,INDIRECT($B$5&amp;"生成成长"),4))/(VLOOKUP(DS$72,INDIRECT($C$5&amp;"生成成长"),5))*(VLOOKUP($B$5,标准坦克设计!$B$24:$U$30,MATCH("对"&amp;LEFT($C$5,2)&amp;"输出",标准坦克设计!$B$23:$U$23,0)))*(VLOOKUP($B112,INDIRECT($B$5&amp;"生成成长"),3))*(VLOOKUP($B$5,标准坦克设计!$B$14:$K$20,9)/30))</f>
        <v>4.6235753316189205</v>
      </c>
      <c r="DT112" s="172">
        <f ca="1">(VLOOKUP(DT$72,INDIRECT($C$5&amp;"生成成长"),2))/((VLOOKUP($B112,INDIRECT($B$5&amp;"生成成长"),4))/(VLOOKUP(DT$72,INDIRECT($C$5&amp;"生成成长"),5))*(VLOOKUP($B$5,标准坦克设计!$B$24:$U$30,MATCH("对"&amp;LEFT($C$5,2)&amp;"输出",标准坦克设计!$B$23:$U$23,0)))*(VLOOKUP($B112,INDIRECT($B$5&amp;"生成成长"),3))*(VLOOKUP($B$5,标准坦克设计!$B$14:$K$20,9)/30))</f>
        <v>5.0764060271409921</v>
      </c>
      <c r="DU112" s="172">
        <f ca="1">(VLOOKUP(DU$72,INDIRECT($C$5&amp;"生成成长"),2))/((VLOOKUP($B112,INDIRECT($B$5&amp;"生成成长"),4))/(VLOOKUP(DU$72,INDIRECT($C$5&amp;"生成成长"),5))*(VLOOKUP($B$5,标准坦克设计!$B$24:$U$30,MATCH("对"&amp;LEFT($C$5,2)&amp;"输出",标准坦克设计!$B$23:$U$23,0)))*(VLOOKUP($B112,INDIRECT($B$5&amp;"生成成长"),3))*(VLOOKUP($B$5,标准坦克设计!$B$14:$K$20,9)/30))</f>
        <v>5.5503880502670686</v>
      </c>
      <c r="DV112" s="172">
        <f ca="1">(VLOOKUP(DV$72,INDIRECT($C$5&amp;"生成成长"),2))/((VLOOKUP($B112,INDIRECT($B$5&amp;"生成成长"),4))/(VLOOKUP(DV$72,INDIRECT($C$5&amp;"生成成长"),5))*(VLOOKUP($B$5,标准坦克设计!$B$24:$U$30,MATCH("对"&amp;LEFT($C$5,2)&amp;"输出",标准坦克设计!$B$23:$U$23,0)))*(VLOOKUP($B112,INDIRECT($B$5&amp;"生成成长"),3))*(VLOOKUP($B$5,标准坦克设计!$B$14:$K$20,9)/30))</f>
        <v>6.0455214009971474</v>
      </c>
      <c r="DW112" s="172">
        <f ca="1">(VLOOKUP(DW$72,INDIRECT($C$5&amp;"生成成长"),2))/((VLOOKUP($B112,INDIRECT($B$5&amp;"生成成长"),4))/(VLOOKUP(DW$72,INDIRECT($C$5&amp;"生成成长"),5))*(VLOOKUP($B$5,标准坦克设计!$B$24:$U$30,MATCH("对"&amp;LEFT($C$5,2)&amp;"输出",标准坦克设计!$B$23:$U$23,0)))*(VLOOKUP($B112,INDIRECT($B$5&amp;"生成成长"),3))*(VLOOKUP($B$5,标准坦克设计!$B$14:$K$20,9)/30))</f>
        <v>6.5618060793312312</v>
      </c>
      <c r="DX112" s="172">
        <f ca="1">(VLOOKUP(DX$72,INDIRECT($C$5&amp;"生成成长"),2))/((VLOOKUP($B112,INDIRECT($B$5&amp;"生成成长"),4))/(VLOOKUP(DX$72,INDIRECT($C$5&amp;"生成成长"),5))*(VLOOKUP($B$5,标准坦克设计!$B$24:$U$30,MATCH("对"&amp;LEFT($C$5,2)&amp;"输出",标准坦克设计!$B$23:$U$23,0)))*(VLOOKUP($B112,INDIRECT($B$5&amp;"生成成长"),3))*(VLOOKUP($B$5,标准坦克设计!$B$14:$K$20,9)/30))</f>
        <v>7.0992420852693154</v>
      </c>
      <c r="DY112" s="172">
        <f ca="1">(VLOOKUP(DY$72,INDIRECT($C$5&amp;"生成成长"),2))/((VLOOKUP($B112,INDIRECT($B$5&amp;"生成成长"),4))/(VLOOKUP(DY$72,INDIRECT($C$5&amp;"生成成长"),5))*(VLOOKUP($B$5,标准坦克设计!$B$24:$U$30,MATCH("对"&amp;LEFT($C$5,2)&amp;"输出",标准坦克设计!$B$23:$U$23,0)))*(VLOOKUP($B112,INDIRECT($B$5&amp;"生成成长"),3))*(VLOOKUP($B$5,标准坦克设计!$B$14:$K$20,9)/30))</f>
        <v>3.1885189352134184</v>
      </c>
      <c r="DZ112" s="172">
        <f ca="1">(VLOOKUP(DZ$72,INDIRECT($C$5&amp;"生成成长"),2))/((VLOOKUP($B112,INDIRECT($B$5&amp;"生成成长"),4))/(VLOOKUP(DZ$72,INDIRECT($C$5&amp;"生成成长"),5))*(VLOOKUP($B$5,标准坦克设计!$B$24:$U$30,MATCH("对"&amp;LEFT($C$5,2)&amp;"输出",标准坦克设计!$B$23:$U$23,0)))*(VLOOKUP($B112,INDIRECT($B$5&amp;"生成成长"),3))*(VLOOKUP($B$5,标准坦克设计!$B$14:$K$20,9)/30))</f>
        <v>3.5311354815262002</v>
      </c>
      <c r="EA112" s="172">
        <f ca="1">(VLOOKUP(EA$72,INDIRECT($C$5&amp;"生成成长"),2))/((VLOOKUP($B112,INDIRECT($B$5&amp;"生成成长"),4))/(VLOOKUP(EA$72,INDIRECT($C$5&amp;"生成成长"),5))*(VLOOKUP($B$5,标准坦克设计!$B$24:$U$30,MATCH("对"&amp;LEFT($C$5,2)&amp;"输出",标准坦克设计!$B$23:$U$23,0)))*(VLOOKUP($B112,INDIRECT($B$5&amp;"生成成长"),3))*(VLOOKUP($B$5,标准坦克设计!$B$14:$K$20,9)/30))</f>
        <v>3.8912324638753484</v>
      </c>
      <c r="EB112" s="172">
        <f ca="1">(VLOOKUP(EB$72,INDIRECT($C$5&amp;"生成成长"),2))/((VLOOKUP($B112,INDIRECT($B$5&amp;"生成成长"),4))/(VLOOKUP(EB$72,INDIRECT($C$5&amp;"生成成长"),5))*(VLOOKUP($B$5,标准坦克设计!$B$24:$U$30,MATCH("对"&amp;LEFT($C$5,2)&amp;"输出",标准坦克设计!$B$23:$U$23,0)))*(VLOOKUP($B112,INDIRECT($B$5&amp;"生成成长"),3))*(VLOOKUP($B$5,标准坦克设计!$B$14:$K$20,9)/30))</f>
        <v>4.2688098822608636</v>
      </c>
      <c r="EC112" s="172">
        <f ca="1">(VLOOKUP(EC$72,INDIRECT($C$5&amp;"生成成长"),2))/((VLOOKUP($B112,INDIRECT($B$5&amp;"生成成长"),4))/(VLOOKUP(EC$72,INDIRECT($C$5&amp;"生成成长"),5))*(VLOOKUP($B$5,标准坦克设计!$B$24:$U$30,MATCH("对"&amp;LEFT($C$5,2)&amp;"输出",标准坦克设计!$B$23:$U$23,0)))*(VLOOKUP($B112,INDIRECT($B$5&amp;"生成成长"),3))*(VLOOKUP($B$5,标准坦克设计!$B$14:$K$20,9)/30))</f>
        <v>4.6638677366827448</v>
      </c>
      <c r="ED112" s="172">
        <f ca="1">(VLOOKUP(ED$72,INDIRECT($C$5&amp;"生成成长"),2))/((VLOOKUP($B112,INDIRECT($B$5&amp;"生成成长"),4))/(VLOOKUP(ED$72,INDIRECT($C$5&amp;"生成成长"),5))*(VLOOKUP($B$5,标准坦克设计!$B$24:$U$30,MATCH("对"&amp;LEFT($C$5,2)&amp;"输出",标准坦克设计!$B$23:$U$23,0)))*(VLOOKUP($B112,INDIRECT($B$5&amp;"生成成长"),3))*(VLOOKUP($B$5,标准坦克设计!$B$14:$K$20,9)/30))</f>
        <v>5.0764060271409921</v>
      </c>
      <c r="EE112" s="172">
        <f ca="1">(VLOOKUP(EE$72,INDIRECT($C$5&amp;"生成成长"),2))/((VLOOKUP($B112,INDIRECT($B$5&amp;"生成成长"),4))/(VLOOKUP(EE$72,INDIRECT($C$5&amp;"生成成长"),5))*(VLOOKUP($B$5,标准坦克设计!$B$24:$U$30,MATCH("对"&amp;LEFT($C$5,2)&amp;"输出",标准坦克设计!$B$23:$U$23,0)))*(VLOOKUP($B112,INDIRECT($B$5&amp;"生成成长"),3))*(VLOOKUP($B$5,标准坦克设计!$B$14:$K$20,9)/30))</f>
        <v>5.5064247536356064</v>
      </c>
      <c r="EF112" s="172">
        <f ca="1">(VLOOKUP(EF$72,INDIRECT($C$5&amp;"生成成长"),2))/((VLOOKUP($B112,INDIRECT($B$5&amp;"生成成长"),4))/(VLOOKUP(EF$72,INDIRECT($C$5&amp;"生成成长"),5))*(VLOOKUP($B$5,标准坦克设计!$B$24:$U$30,MATCH("对"&amp;LEFT($C$5,2)&amp;"输出",标准坦克设计!$B$23:$U$23,0)))*(VLOOKUP($B112,INDIRECT($B$5&amp;"生成成长"),3))*(VLOOKUP($B$5,标准坦克设计!$B$14:$K$20,9)/30))</f>
        <v>5.9539239161665876</v>
      </c>
      <c r="EG112" s="172">
        <f ca="1">(VLOOKUP(EG$72,INDIRECT($C$5&amp;"生成成长"),2))/((VLOOKUP($B112,INDIRECT($B$5&amp;"生成成长"),4))/(VLOOKUP(EG$72,INDIRECT($C$5&amp;"生成成长"),5))*(VLOOKUP($B$5,标准坦克设计!$B$24:$U$30,MATCH("对"&amp;LEFT($C$5,2)&amp;"输出",标准坦克设计!$B$23:$U$23,0)))*(VLOOKUP($B112,INDIRECT($B$5&amp;"生成成长"),3))*(VLOOKUP($B$5,标准坦克设计!$B$14:$K$20,9)/30))</f>
        <v>6.4189035147339339</v>
      </c>
      <c r="EH112" s="172">
        <f ca="1">(VLOOKUP(EH$72,INDIRECT($C$5&amp;"生成成长"),2))/((VLOOKUP($B112,INDIRECT($B$5&amp;"生成成长"),4))/(VLOOKUP(EH$72,INDIRECT($C$5&amp;"生成成长"),5))*(VLOOKUP($B$5,标准坦克设计!$B$24:$U$30,MATCH("对"&amp;LEFT($C$5,2)&amp;"输出",标准坦克设计!$B$23:$U$23,0)))*(VLOOKUP($B112,INDIRECT($B$5&amp;"生成成长"),3))*(VLOOKUP($B$5,标准坦克设计!$B$14:$K$20,9)/30))</f>
        <v>6.9013635493376473</v>
      </c>
      <c r="EI112" s="172">
        <f ca="1">(VLOOKUP(EI$72,INDIRECT($C$5&amp;"生成成长"),2))/((VLOOKUP($B112,INDIRECT($B$5&amp;"生成成长"),4))/(VLOOKUP(EI$72,INDIRECT($C$5&amp;"生成成长"),5))*(VLOOKUP($B$5,标准坦克设计!$B$24:$U$30,MATCH("对"&amp;LEFT($C$5,2)&amp;"输出",标准坦克设计!$B$23:$U$23,0)))*(VLOOKUP($B112,INDIRECT($B$5&amp;"生成成长"),3))*(VLOOKUP($B$5,标准坦克设计!$B$14:$K$20,9)/30))</f>
        <v>7.4013040199777285</v>
      </c>
      <c r="EJ112" s="172">
        <f ca="1">(VLOOKUP(EJ$72,INDIRECT($C$5&amp;"生成成长"),2))/((VLOOKUP($B112,INDIRECT($B$5&amp;"生成成长"),4))/(VLOOKUP(EJ$72,INDIRECT($C$5&amp;"生成成长"),5))*(VLOOKUP($B$5,标准坦克设计!$B$24:$U$30,MATCH("对"&amp;LEFT($C$5,2)&amp;"输出",标准坦克设计!$B$23:$U$23,0)))*(VLOOKUP($B112,INDIRECT($B$5&amp;"生成成长"),3))*(VLOOKUP($B$5,标准坦克设计!$B$14:$K$20,9)/30))</f>
        <v>7.9187249266541722</v>
      </c>
      <c r="EK112" s="172">
        <f ca="1">(VLOOKUP(EK$72,INDIRECT($C$5&amp;"生成成长"),2))/((VLOOKUP($B112,INDIRECT($B$5&amp;"生成成长"),4))/(VLOOKUP(EK$72,INDIRECT($C$5&amp;"生成成长"),5))*(VLOOKUP($B$5,标准坦克设计!$B$24:$U$30,MATCH("对"&amp;LEFT($C$5,2)&amp;"输出",标准坦克设计!$B$23:$U$23,0)))*(VLOOKUP($B112,INDIRECT($B$5&amp;"生成成长"),3))*(VLOOKUP($B$5,标准坦克设计!$B$14:$K$20,9)/30))</f>
        <v>8.5627041902339105</v>
      </c>
      <c r="EL112" s="172">
        <f ca="1">(VLOOKUP(EL$72,INDIRECT($C$5&amp;"生成成长"),2))/((VLOOKUP($B112,INDIRECT($B$5&amp;"生成成长"),4))/(VLOOKUP(EL$72,INDIRECT($C$5&amp;"生成成长"),5))*(VLOOKUP($B$5,标准坦克设计!$B$24:$U$30,MATCH("对"&amp;LEFT($C$5,2)&amp;"输出",标准坦克设计!$B$23:$U$23,0)))*(VLOOKUP($B112,INDIRECT($B$5&amp;"生成成长"),3))*(VLOOKUP($B$5,标准坦克设计!$B$14:$K$20,9)/30))</f>
        <v>9.2318552817060198</v>
      </c>
      <c r="EM112" s="172">
        <f ca="1">(VLOOKUP(EM$72,INDIRECT($C$5&amp;"生成成长"),2))/((VLOOKUP($B112,INDIRECT($B$5&amp;"生成成长"),4))/(VLOOKUP(EM$72,INDIRECT($C$5&amp;"生成成长"),5))*(VLOOKUP($B$5,标准坦克设计!$B$24:$U$30,MATCH("对"&amp;LEFT($C$5,2)&amp;"输出",标准坦克设计!$B$23:$U$23,0)))*(VLOOKUP($B112,INDIRECT($B$5&amp;"生成成长"),3))*(VLOOKUP($B$5,标准坦克设计!$B$14:$K$20,9)/30))</f>
        <v>9.9261782010704955</v>
      </c>
      <c r="EN112" s="172">
        <f ca="1">(VLOOKUP(EN$72,INDIRECT($C$5&amp;"生成成长"),2))/((VLOOKUP($B112,INDIRECT($B$5&amp;"生成成长"),4))/(VLOOKUP(EN$72,INDIRECT($C$5&amp;"生成成长"),5))*(VLOOKUP($B$5,标准坦克设计!$B$24:$U$30,MATCH("对"&amp;LEFT($C$5,2)&amp;"输出",标准坦克设计!$B$23:$U$23,0)))*(VLOOKUP($B112,INDIRECT($B$5&amp;"生成成长"),3))*(VLOOKUP($B$5,标准坦克设计!$B$14:$K$20,9)/30))</f>
        <v>10.64567294832734</v>
      </c>
      <c r="EO112" s="172">
        <f ca="1">(VLOOKUP(EO$72,INDIRECT($C$5&amp;"生成成长"),2))/((VLOOKUP($B112,INDIRECT($B$5&amp;"生成成长"),4))/(VLOOKUP(EO$72,INDIRECT($C$5&amp;"生成成长"),5))*(VLOOKUP($B$5,标准坦克设计!$B$24:$U$30,MATCH("对"&amp;LEFT($C$5,2)&amp;"输出",标准坦克设计!$B$23:$U$23,0)))*(VLOOKUP($B112,INDIRECT($B$5&amp;"生成成长"),3))*(VLOOKUP($B$5,标准坦克设计!$B$14:$K$20,9)/30))</f>
        <v>11.390339523476547</v>
      </c>
      <c r="EP112" s="172">
        <f ca="1">(VLOOKUP(EP$72,INDIRECT($C$5&amp;"生成成长"),2))/((VLOOKUP($B112,INDIRECT($B$5&amp;"生成成长"),4))/(VLOOKUP(EP$72,INDIRECT($C$5&amp;"生成成长"),5))*(VLOOKUP($B$5,标准坦克设计!$B$24:$U$30,MATCH("对"&amp;LEFT($C$5,2)&amp;"输出",标准坦克设计!$B$23:$U$23,0)))*(VLOOKUP($B112,INDIRECT($B$5&amp;"生成成长"),3))*(VLOOKUP($B$5,标准坦克设计!$B$14:$K$20,9)/30))</f>
        <v>12.160177926518122</v>
      </c>
      <c r="EQ112" s="172">
        <f ca="1">(VLOOKUP(EQ$72,INDIRECT($C$5&amp;"生成成长"),2))/((VLOOKUP($B112,INDIRECT($B$5&amp;"生成成长"),4))/(VLOOKUP(EQ$72,INDIRECT($C$5&amp;"生成成长"),5))*(VLOOKUP($B$5,标准坦克设计!$B$24:$U$30,MATCH("对"&amp;LEFT($C$5,2)&amp;"输出",标准坦克设计!$B$23:$U$23,0)))*(VLOOKUP($B112,INDIRECT($B$5&amp;"生成成长"),3))*(VLOOKUP($B$5,标准坦克设计!$B$14:$K$20,9)/30))</f>
        <v>5.3755836899034044</v>
      </c>
      <c r="ER112" s="172">
        <f ca="1">(VLOOKUP(ER$72,INDIRECT($C$5&amp;"生成成长"),2))/((VLOOKUP($B112,INDIRECT($B$5&amp;"生成成长"),4))/(VLOOKUP(ER$72,INDIRECT($C$5&amp;"生成成长"),5))*(VLOOKUP($B$5,标准坦克设计!$B$24:$U$30,MATCH("对"&amp;LEFT($C$5,2)&amp;"输出",标准坦克设计!$B$23:$U$23,0)))*(VLOOKUP($B112,INDIRECT($B$5&amp;"生成成长"),3))*(VLOOKUP($B$5,标准坦克设计!$B$14:$K$20,9)/30))</f>
        <v>5.863025648777481</v>
      </c>
      <c r="ES112" s="172">
        <f ca="1">(VLOOKUP(ES$72,INDIRECT($C$5&amp;"生成成长"),2))/((VLOOKUP($B112,INDIRECT($B$5&amp;"生成成长"),4))/(VLOOKUP(ES$72,INDIRECT($C$5&amp;"生成成长"),5))*(VLOOKUP($B$5,标准坦克设计!$B$24:$U$30,MATCH("对"&amp;LEFT($C$5,2)&amp;"输出",标准坦克设计!$B$23:$U$23,0)))*(VLOOKUP($B112,INDIRECT($B$5&amp;"生成成长"),3))*(VLOOKUP($B$5,标准坦克设计!$B$14:$K$20,9)/30))</f>
        <v>6.3716189352555634</v>
      </c>
      <c r="ET112" s="172">
        <f ca="1">(VLOOKUP(ET$72,INDIRECT($C$5&amp;"生成成长"),2))/((VLOOKUP($B112,INDIRECT($B$5&amp;"生成成长"),4))/(VLOOKUP(ET$72,INDIRECT($C$5&amp;"生成成长"),5))*(VLOOKUP($B$5,标准坦克设计!$B$24:$U$30,MATCH("对"&amp;LEFT($C$5,2)&amp;"输出",标准坦克设计!$B$23:$U$23,0)))*(VLOOKUP($B112,INDIRECT($B$5&amp;"生成成长"),3))*(VLOOKUP($B$5,标准坦克设计!$B$14:$K$20,9)/30))</f>
        <v>6.9013635493376473</v>
      </c>
      <c r="EU112" s="172">
        <f ca="1">(VLOOKUP(EU$72,INDIRECT($C$5&amp;"生成成长"),2))/((VLOOKUP($B112,INDIRECT($B$5&amp;"生成成长"),4))/(VLOOKUP(EU$72,INDIRECT($C$5&amp;"生成成长"),5))*(VLOOKUP($B$5,标准坦克设计!$B$24:$U$30,MATCH("对"&amp;LEFT($C$5,2)&amp;"输出",标准坦克设计!$B$23:$U$23,0)))*(VLOOKUP($B112,INDIRECT($B$5&amp;"生成成长"),3))*(VLOOKUP($B$5,标准坦克设计!$B$14:$K$20,9)/30))</f>
        <v>7.4522594910237361</v>
      </c>
      <c r="EV112" s="172">
        <f ca="1">(VLOOKUP(EV$72,INDIRECT($C$5&amp;"生成成长"),2))/((VLOOKUP($B112,INDIRECT($B$5&amp;"生成成长"),4))/(VLOOKUP(EV$72,INDIRECT($C$5&amp;"生成成长"),5))*(VLOOKUP($B$5,标准坦克设计!$B$24:$U$30,MATCH("对"&amp;LEFT($C$5,2)&amp;"输出",标准坦克设计!$B$23:$U$23,0)))*(VLOOKUP($B112,INDIRECT($B$5&amp;"生成成长"),3))*(VLOOKUP($B$5,标准坦克设计!$B$14:$K$20,9)/30))</f>
        <v>8.0243067603138272</v>
      </c>
      <c r="EW112" s="172">
        <f ca="1">(VLOOKUP(EW$72,INDIRECT($C$5&amp;"生成成长"),2))/((VLOOKUP($B112,INDIRECT($B$5&amp;"生成成长"),4))/(VLOOKUP(EW$72,INDIRECT($C$5&amp;"生成成长"),5))*(VLOOKUP($B$5,标准坦克设计!$B$24:$U$30,MATCH("对"&amp;LEFT($C$5,2)&amp;"输出",标准坦克设计!$B$23:$U$23,0)))*(VLOOKUP($B112,INDIRECT($B$5&amp;"生成成长"),3))*(VLOOKUP($B$5,标准坦克设计!$B$14:$K$20,9)/30))</f>
        <v>8.6175053572079197</v>
      </c>
      <c r="EX112" s="172">
        <f ca="1">(VLOOKUP(EX$72,INDIRECT($C$5&amp;"生成成长"),2))/((VLOOKUP($B112,INDIRECT($B$5&amp;"生成成长"),4))/(VLOOKUP(EX$72,INDIRECT($C$5&amp;"生成成长"),5))*(VLOOKUP($B$5,标准坦克设计!$B$24:$U$30,MATCH("对"&amp;LEFT($C$5,2)&amp;"输出",标准坦克设计!$B$23:$U$23,0)))*(VLOOKUP($B112,INDIRECT($B$5&amp;"生成成长"),3))*(VLOOKUP($B$5,标准坦克设计!$B$14:$K$20,9)/30))</f>
        <v>9.2318552817060198</v>
      </c>
      <c r="EY112" s="172">
        <f ca="1">(VLOOKUP(EY$72,INDIRECT($C$5&amp;"生成成长"),2))/((VLOOKUP($B112,INDIRECT($B$5&amp;"生成成长"),4))/(VLOOKUP(EY$72,INDIRECT($C$5&amp;"生成成长"),5))*(VLOOKUP($B$5,标准坦克设计!$B$24:$U$30,MATCH("对"&amp;LEFT($C$5,2)&amp;"输出",标准坦克设计!$B$23:$U$23,0)))*(VLOOKUP($B112,INDIRECT($B$5&amp;"生成成长"),3))*(VLOOKUP($B$5,标准坦克设计!$B$14:$K$20,9)/30))</f>
        <v>9.8673565338081222</v>
      </c>
      <c r="EZ112" s="172">
        <f ca="1">(VLOOKUP(EZ$72,INDIRECT($C$5&amp;"生成成长"),2))/((VLOOKUP($B112,INDIRECT($B$5&amp;"生成成长"),4))/(VLOOKUP(EZ$72,INDIRECT($C$5&amp;"生成成长"),5))*(VLOOKUP($B$5,标准坦克设计!$B$24:$U$30,MATCH("对"&amp;LEFT($C$5,2)&amp;"输出",标准坦克设计!$B$23:$U$23,0)))*(VLOOKUP($B112,INDIRECT($B$5&amp;"生成成长"),3))*(VLOOKUP($B$5,标准坦克设计!$B$14:$K$20,9)/30))</f>
        <v>10.524009113514225</v>
      </c>
      <c r="FA112" s="172">
        <f ca="1">(VLOOKUP(FA$72,INDIRECT($C$5&amp;"生成成长"),2))/((VLOOKUP($B112,INDIRECT($B$5&amp;"生成成长"),4))/(VLOOKUP(FA$72,INDIRECT($C$5&amp;"生成成长"),5))*(VLOOKUP($B$5,标准坦克设计!$B$24:$U$30,MATCH("对"&amp;LEFT($C$5,2)&amp;"输出",标准坦克设计!$B$23:$U$23,0)))*(VLOOKUP($B112,INDIRECT($B$5&amp;"生成成长"),3))*(VLOOKUP($B$5,标准坦克设计!$B$14:$K$20,9)/30))</f>
        <v>11.201813020824336</v>
      </c>
      <c r="FB112" s="172">
        <f ca="1">(VLOOKUP(FB$72,INDIRECT($C$5&amp;"生成成长"),2))/((VLOOKUP($B112,INDIRECT($B$5&amp;"生成成长"),4))/(VLOOKUP(FB$72,INDIRECT($C$5&amp;"生成成长"),5))*(VLOOKUP($B$5,标准坦克设计!$B$24:$U$30,MATCH("对"&amp;LEFT($C$5,2)&amp;"输出",标准坦克设计!$B$23:$U$23,0)))*(VLOOKUP($B112,INDIRECT($B$5&amp;"生成成长"),3))*(VLOOKUP($B$5,标准坦克设计!$B$14:$K$20,9)/30))</f>
        <v>11.900768255738447</v>
      </c>
      <c r="FC112" s="172">
        <f ca="1">(VLOOKUP(FC$72,INDIRECT($C$5&amp;"生成成长"),2))/((VLOOKUP($B112,INDIRECT($B$5&amp;"生成成长"),4))/(VLOOKUP(FC$72,INDIRECT($C$5&amp;"生成成长"),5))*(VLOOKUP($B$5,标准坦克设计!$B$24:$U$30,MATCH("对"&amp;LEFT($C$5,2)&amp;"输出",标准坦克设计!$B$23:$U$23,0)))*(VLOOKUP($B112,INDIRECT($B$5&amp;"生成成长"),3))*(VLOOKUP($B$5,标准坦克设计!$B$14:$K$20,9)/30))</f>
        <v>12.620874818256562</v>
      </c>
      <c r="FD112" s="172">
        <f ca="1">(VLOOKUP(FD$72,INDIRECT($C$5&amp;"生成成长"),2))/((VLOOKUP($B112,INDIRECT($B$5&amp;"生成成长"),4))/(VLOOKUP(FD$72,INDIRECT($C$5&amp;"生成成长"),5))*(VLOOKUP($B$5,标准坦克设计!$B$24:$U$30,MATCH("对"&amp;LEFT($C$5,2)&amp;"输出",标准坦克设计!$B$23:$U$23,0)))*(VLOOKUP($B112,INDIRECT($B$5&amp;"生成成长"),3))*(VLOOKUP($B$5,标准坦克设计!$B$14:$K$20,9)/30))</f>
        <v>13.362132708378681</v>
      </c>
      <c r="FE112" s="172">
        <f ca="1">(VLOOKUP(FE$72,INDIRECT($C$5&amp;"生成成长"),2))/((VLOOKUP($B112,INDIRECT($B$5&amp;"生成成长"),4))/(VLOOKUP(FE$72,INDIRECT($C$5&amp;"生成成长"),5))*(VLOOKUP($B$5,标准坦克设计!$B$24:$U$30,MATCH("对"&amp;LEFT($C$5,2)&amp;"输出",标准坦克设计!$B$23:$U$23,0)))*(VLOOKUP($B112,INDIRECT($B$5&amp;"生成成长"),3))*(VLOOKUP($B$5,标准坦克设计!$B$14:$K$20,9)/30))</f>
        <v>14.265434240557914</v>
      </c>
      <c r="FF112" s="172">
        <f ca="1">(VLOOKUP(FF$72,INDIRECT($C$5&amp;"生成成长"),2))/((VLOOKUP($B112,INDIRECT($B$5&amp;"生成成长"),4))/(VLOOKUP(FF$72,INDIRECT($C$5&amp;"生成成长"),5))*(VLOOKUP($B$5,标准坦克设计!$B$24:$U$30,MATCH("对"&amp;LEFT($C$5,2)&amp;"输出",标准坦克设计!$B$23:$U$23,0)))*(VLOOKUP($B112,INDIRECT($B$5&amp;"生成成长"),3))*(VLOOKUP($B$5,标准坦克设计!$B$14:$K$20,9)/30))</f>
        <v>15.19827770963861</v>
      </c>
      <c r="FG112" s="172">
        <f ca="1">(VLOOKUP(FG$72,INDIRECT($C$5&amp;"生成成长"),2))/((VLOOKUP($B112,INDIRECT($B$5&amp;"生成成长"),4))/(VLOOKUP(FG$72,INDIRECT($C$5&amp;"生成成长"),5))*(VLOOKUP($B$5,标准坦克设计!$B$24:$U$30,MATCH("对"&amp;LEFT($C$5,2)&amp;"输出",标准坦克设计!$B$23:$U$23,0)))*(VLOOKUP($B112,INDIRECT($B$5&amp;"生成成长"),3))*(VLOOKUP($B$5,标准坦克设计!$B$14:$K$20,9)/30))</f>
        <v>16.160663115620764</v>
      </c>
      <c r="FH112" s="172">
        <f ca="1">(VLOOKUP(FH$72,INDIRECT($C$5&amp;"生成成长"),2))/((VLOOKUP($B112,INDIRECT($B$5&amp;"生成成长"),4))/(VLOOKUP(FH$72,INDIRECT($C$5&amp;"生成成长"),5))*(VLOOKUP($B$5,标准坦克设计!$B$24:$U$30,MATCH("对"&amp;LEFT($C$5,2)&amp;"输出",标准坦克设计!$B$23:$U$23,0)))*(VLOOKUP($B112,INDIRECT($B$5&amp;"生成成长"),3))*(VLOOKUP($B$5,标准坦克设计!$B$14:$K$20,9)/30))</f>
        <v>17.152590458504378</v>
      </c>
      <c r="FI112" s="172">
        <f ca="1">(VLOOKUP(FI$72,INDIRECT($C$5&amp;"生成成长"),2))/((VLOOKUP($B112,INDIRECT($B$5&amp;"生成成长"),4))/(VLOOKUP(FI$72,INDIRECT($C$5&amp;"生成成长"),5))*(VLOOKUP($B$5,标准坦克设计!$B$24:$U$30,MATCH("对"&amp;LEFT($C$5,2)&amp;"输出",标准坦克设计!$B$23:$U$23,0)))*(VLOOKUP($B112,INDIRECT($B$5&amp;"生成成长"),3))*(VLOOKUP($B$5,标准坦克设计!$B$14:$K$20,9)/30))</f>
        <v>18.174059738289447</v>
      </c>
      <c r="FJ112" s="172">
        <f ca="1">(VLOOKUP(FJ$72,INDIRECT($C$5&amp;"生成成长"),2))/((VLOOKUP($B112,INDIRECT($B$5&amp;"生成成长"),4))/(VLOOKUP(FJ$72,INDIRECT($C$5&amp;"生成成长"),5))*(VLOOKUP($B$5,标准坦克设计!$B$24:$U$30,MATCH("对"&amp;LEFT($C$5,2)&amp;"输出",标准坦克设计!$B$23:$U$23,0)))*(VLOOKUP($B112,INDIRECT($B$5&amp;"生成成长"),3))*(VLOOKUP($B$5,标准坦克设计!$B$14:$K$20,9)/30))</f>
        <v>19.225070954975976</v>
      </c>
      <c r="FK112" s="172">
        <f ca="1">(VLOOKUP(FK$72,INDIRECT($C$5&amp;"生成成长"),2))/((VLOOKUP($B112,INDIRECT($B$5&amp;"生成成长"),4))/(VLOOKUP(FK$72,INDIRECT($C$5&amp;"生成成长"),5))*(VLOOKUP($B$5,标准坦克设计!$B$24:$U$30,MATCH("对"&amp;LEFT($C$5,2)&amp;"输出",标准坦克设计!$B$23:$U$23,0)))*(VLOOKUP($B112,INDIRECT($B$5&amp;"生成成长"),3))*(VLOOKUP($B$5,标准坦克设计!$B$14:$K$20,9)/30))</f>
        <v>20.305624108563968</v>
      </c>
    </row>
    <row r="113" spans="1:167" x14ac:dyDescent="0.15">
      <c r="A113" s="170" t="str">
        <f t="shared" si="11"/>
        <v>T5低品质9级</v>
      </c>
      <c r="B113" s="171">
        <v>10509</v>
      </c>
      <c r="C113" s="172">
        <f ca="1">(VLOOKUP(C$72,INDIRECT($C$5&amp;"生成成长"),2))/((VLOOKUP($B113,INDIRECT($B$5&amp;"生成成长"),4))/(VLOOKUP(C$72,INDIRECT($C$5&amp;"生成成长"),5))*(VLOOKUP($B$5,标准坦克设计!$B$24:$U$30,MATCH("对"&amp;LEFT($C$5,2)&amp;"输出",标准坦克设计!$B$23:$U$23,0)))*(VLOOKUP($B113,INDIRECT($B$5&amp;"生成成长"),3))*(VLOOKUP($B$5,标准坦克设计!$B$14:$K$20,9)/30))</f>
        <v>0.81479328733840983</v>
      </c>
      <c r="D113" s="172">
        <f ca="1">(VLOOKUP(D$72,INDIRECT($C$5&amp;"生成成长"),2))/((VLOOKUP($B113,INDIRECT($B$5&amp;"生成成长"),4))/(VLOOKUP(D$72,INDIRECT($C$5&amp;"生成成长"),5))*(VLOOKUP($B$5,标准坦克设计!$B$24:$U$30,MATCH("对"&amp;LEFT($C$5,2)&amp;"输出",标准坦克设计!$B$23:$U$23,0)))*(VLOOKUP($B113,INDIRECT($B$5&amp;"生成成长"),3))*(VLOOKUP($B$5,标准坦克设计!$B$14:$K$20,9)/30))</f>
        <v>0.91550173765343701</v>
      </c>
      <c r="E113" s="172">
        <f ca="1">(VLOOKUP(E$72,INDIRECT($C$5&amp;"生成成长"),2))/((VLOOKUP($B113,INDIRECT($B$5&amp;"生成成长"),4))/(VLOOKUP(E$72,INDIRECT($C$5&amp;"生成成长"),5))*(VLOOKUP($B$5,标准坦克设计!$B$24:$U$30,MATCH("对"&amp;LEFT($C$5,2)&amp;"输出",标准坦克设计!$B$23:$U$23,0)))*(VLOOKUP($B113,INDIRECT($B$5&amp;"生成成长"),3))*(VLOOKUP($B$5,标准坦克设计!$B$14:$K$20,9)/30))</f>
        <v>1.022076699637301</v>
      </c>
      <c r="F113" s="172">
        <f ca="1">(VLOOKUP(F$72,INDIRECT($C$5&amp;"生成成长"),2))/((VLOOKUP($B113,INDIRECT($B$5&amp;"生成成长"),4))/(VLOOKUP(F$72,INDIRECT($C$5&amp;"生成成长"),5))*(VLOOKUP($B$5,标准坦克设计!$B$24:$U$30,MATCH("对"&amp;LEFT($C$5,2)&amp;"输出",标准坦克设计!$B$23:$U$23,0)))*(VLOOKUP($B113,INDIRECT($B$5&amp;"生成成长"),3))*(VLOOKUP($B$5,标准坦克设计!$B$14:$K$20,9)/30))</f>
        <v>1.1345181732900016</v>
      </c>
      <c r="G113" s="172">
        <f ca="1">(VLOOKUP(G$72,INDIRECT($C$5&amp;"生成成长"),2))/((VLOOKUP($B113,INDIRECT($B$5&amp;"生成成长"),4))/(VLOOKUP(G$72,INDIRECT($C$5&amp;"生成成长"),5))*(VLOOKUP($B$5,标准坦克设计!$B$24:$U$30,MATCH("对"&amp;LEFT($C$5,2)&amp;"输出",标准坦克设计!$B$23:$U$23,0)))*(VLOOKUP($B113,INDIRECT($B$5&amp;"生成成长"),3))*(VLOOKUP($B$5,标准坦克设计!$B$14:$K$20,9)/30))</f>
        <v>1.2528261586115388</v>
      </c>
      <c r="H113" s="172">
        <f ca="1">(VLOOKUP(H$72,INDIRECT($C$5&amp;"生成成长"),2))/((VLOOKUP($B113,INDIRECT($B$5&amp;"生成成长"),4))/(VLOOKUP(H$72,INDIRECT($C$5&amp;"生成成长"),5))*(VLOOKUP($B$5,标准坦克设计!$B$24:$U$30,MATCH("对"&amp;LEFT($C$5,2)&amp;"输出",标准坦克设计!$B$23:$U$23,0)))*(VLOOKUP($B113,INDIRECT($B$5&amp;"生成成长"),3))*(VLOOKUP($B$5,标准坦克设计!$B$14:$K$20,9)/30))</f>
        <v>1.0963858474425641</v>
      </c>
      <c r="I113" s="172">
        <f ca="1">(VLOOKUP(I$72,INDIRECT($C$5&amp;"生成成长"),2))/((VLOOKUP($B113,INDIRECT($B$5&amp;"生成成长"),4))/(VLOOKUP(I$72,INDIRECT($C$5&amp;"生成成长"),5))*(VLOOKUP($B$5,标准坦克设计!$B$24:$U$30,MATCH("对"&amp;LEFT($C$5,2)&amp;"输出",标准坦克设计!$B$23:$U$23,0)))*(VLOOKUP($B113,INDIRECT($B$5&amp;"生成成长"),3))*(VLOOKUP($B$5,标准坦克设计!$B$14:$K$20,9)/30))</f>
        <v>1.2528261586115388</v>
      </c>
      <c r="J113" s="172">
        <f ca="1">(VLOOKUP(J$72,INDIRECT($C$5&amp;"生成成长"),2))/((VLOOKUP($B113,INDIRECT($B$5&amp;"生成成长"),4))/(VLOOKUP(J$72,INDIRECT($C$5&amp;"生成成长"),5))*(VLOOKUP($B$5,标准坦克设计!$B$24:$U$30,MATCH("对"&amp;LEFT($C$5,2)&amp;"输出",标准坦克设计!$B$23:$U$23,0)))*(VLOOKUP($B113,INDIRECT($B$5&amp;"生成成长"),3))*(VLOOKUP($B$5,标准坦克设计!$B$14:$K$20,9)/30))</f>
        <v>1.4196958238584449</v>
      </c>
      <c r="K113" s="172">
        <f ca="1">(VLOOKUP(K$72,INDIRECT($C$5&amp;"生成成长"),2))/((VLOOKUP($B113,INDIRECT($B$5&amp;"生成成长"),4))/(VLOOKUP(K$72,INDIRECT($C$5&amp;"生成成长"),5))*(VLOOKUP($B$5,标准坦克设计!$B$24:$U$30,MATCH("对"&amp;LEFT($C$5,2)&amp;"输出",标准坦克设计!$B$23:$U$23,0)))*(VLOOKUP($B113,INDIRECT($B$5&amp;"生成成长"),3))*(VLOOKUP($B$5,标准坦克设计!$B$14:$K$20,9)/30))</f>
        <v>1.5969948431832828</v>
      </c>
      <c r="L113" s="172">
        <f ca="1">(VLOOKUP(L$72,INDIRECT($C$5&amp;"生成成长"),2))/((VLOOKUP($B113,INDIRECT($B$5&amp;"生成成长"),4))/(VLOOKUP(L$72,INDIRECT($C$5&amp;"生成成长"),5))*(VLOOKUP($B$5,标准坦克设计!$B$24:$U$30,MATCH("对"&amp;LEFT($C$5,2)&amp;"输出",标准坦克设计!$B$23:$U$23,0)))*(VLOOKUP($B113,INDIRECT($B$5&amp;"生成成长"),3))*(VLOOKUP($B$5,标准坦克设计!$B$14:$K$20,9)/30))</f>
        <v>1.7847232165860527</v>
      </c>
      <c r="M113" s="172">
        <f ca="1">(VLOOKUP(M$72,INDIRECT($C$5&amp;"生成成长"),2))/((VLOOKUP($B113,INDIRECT($B$5&amp;"生成成长"),4))/(VLOOKUP(M$72,INDIRECT($C$5&amp;"生成成长"),5))*(VLOOKUP($B$5,标准坦克设计!$B$24:$U$30,MATCH("对"&amp;LEFT($C$5,2)&amp;"输出",标准坦克设计!$B$23:$U$23,0)))*(VLOOKUP($B113,INDIRECT($B$5&amp;"生成成长"),3))*(VLOOKUP($B$5,标准坦克设计!$B$14:$K$20,9)/30))</f>
        <v>1.9828809440667534</v>
      </c>
      <c r="N113" s="172">
        <f ca="1">(VLOOKUP(N$72,INDIRECT($C$5&amp;"生成成长"),2))/((VLOOKUP($B113,INDIRECT($B$5&amp;"生成成长"),4))/(VLOOKUP(N$72,INDIRECT($C$5&amp;"生成成长"),5))*(VLOOKUP($B$5,标准坦克设计!$B$24:$U$30,MATCH("对"&amp;LEFT($C$5,2)&amp;"输出",标准坦克设计!$B$23:$U$23,0)))*(VLOOKUP($B113,INDIRECT($B$5&amp;"生成成长"),3))*(VLOOKUP($B$5,标准坦克设计!$B$14:$K$20,9)/30))</f>
        <v>2.1914680256253867</v>
      </c>
      <c r="O113" s="172">
        <f ca="1">(VLOOKUP(O$72,INDIRECT($C$5&amp;"生成成长"),2))/((VLOOKUP($B113,INDIRECT($B$5&amp;"生成成长"),4))/(VLOOKUP(O$72,INDIRECT($C$5&amp;"生成成长"),5))*(VLOOKUP($B$5,标准坦克设计!$B$24:$U$30,MATCH("对"&amp;LEFT($C$5,2)&amp;"输出",标准坦克设计!$B$23:$U$23,0)))*(VLOOKUP($B113,INDIRECT($B$5&amp;"生成成长"),3))*(VLOOKUP($B$5,标准坦克设计!$B$14:$K$20,9)/30))</f>
        <v>1.6661707932783139</v>
      </c>
      <c r="P113" s="172">
        <f ca="1">(VLOOKUP(P$72,INDIRECT($C$5&amp;"生成成长"),2))/((VLOOKUP($B113,INDIRECT($B$5&amp;"生成成长"),4))/(VLOOKUP(P$72,INDIRECT($C$5&amp;"生成成长"),5))*(VLOOKUP($B$5,标准坦克设计!$B$24:$U$30,MATCH("对"&amp;LEFT($C$5,2)&amp;"输出",标准坦克设计!$B$23:$U$23,0)))*(VLOOKUP($B113,INDIRECT($B$5&amp;"生成成长"),3))*(VLOOKUP($B$5,标准坦克设计!$B$14:$K$20,9)/30))</f>
        <v>1.8824984110666616</v>
      </c>
      <c r="Q113" s="172">
        <f ca="1">(VLOOKUP(Q$72,INDIRECT($C$5&amp;"生成成长"),2))/((VLOOKUP($B113,INDIRECT($B$5&amp;"生成成长"),4))/(VLOOKUP(Q$72,INDIRECT($C$5&amp;"生成成长"),5))*(VLOOKUP($B$5,标准坦克设计!$B$24:$U$30,MATCH("对"&amp;LEFT($C$5,2)&amp;"输出",标准坦克设计!$B$23:$U$23,0)))*(VLOOKUP($B113,INDIRECT($B$5&amp;"生成成长"),3))*(VLOOKUP($B$5,标准坦克设计!$B$14:$K$20,9)/30))</f>
        <v>2.1120256801098916</v>
      </c>
      <c r="R113" s="172">
        <f ca="1">(VLOOKUP(R$72,INDIRECT($C$5&amp;"生成成长"),2))/((VLOOKUP($B113,INDIRECT($B$5&amp;"生成成长"),4))/(VLOOKUP(R$72,INDIRECT($C$5&amp;"生成成长"),5))*(VLOOKUP($B$5,标准坦克设计!$B$24:$U$30,MATCH("对"&amp;LEFT($C$5,2)&amp;"输出",标准坦克设计!$B$23:$U$23,0)))*(VLOOKUP($B113,INDIRECT($B$5&amp;"生成成长"),3))*(VLOOKUP($B$5,标准坦克设计!$B$14:$K$20,9)/30))</f>
        <v>2.3547526004080042</v>
      </c>
      <c r="S113" s="172">
        <f ca="1">(VLOOKUP(S$72,INDIRECT($C$5&amp;"生成成长"),2))/((VLOOKUP($B113,INDIRECT($B$5&amp;"生成成长"),4))/(VLOOKUP(S$72,INDIRECT($C$5&amp;"生成成长"),5))*(VLOOKUP($B$5,标准坦克设计!$B$24:$U$30,MATCH("对"&amp;LEFT($C$5,2)&amp;"输出",标准坦克设计!$B$23:$U$23,0)))*(VLOOKUP($B113,INDIRECT($B$5&amp;"生成成长"),3))*(VLOOKUP($B$5,标准坦克设计!$B$14:$K$20,9)/30))</f>
        <v>2.6106791719609985</v>
      </c>
      <c r="T113" s="172">
        <f ca="1">(VLOOKUP(T$72,INDIRECT($C$5&amp;"生成成长"),2))/((VLOOKUP($B113,INDIRECT($B$5&amp;"生成成长"),4))/(VLOOKUP(T$72,INDIRECT($C$5&amp;"生成成长"),5))*(VLOOKUP($B$5,标准坦克设计!$B$24:$U$30,MATCH("对"&amp;LEFT($C$5,2)&amp;"输出",标准坦克设计!$B$23:$U$23,0)))*(VLOOKUP($B113,INDIRECT($B$5&amp;"生成成长"),3))*(VLOOKUP($B$5,标准坦克设计!$B$14:$K$20,9)/30))</f>
        <v>2.8798053947688751</v>
      </c>
      <c r="U113" s="172">
        <f ca="1">(VLOOKUP(U$72,INDIRECT($C$5&amp;"生成成长"),2))/((VLOOKUP($B113,INDIRECT($B$5&amp;"生成成长"),4))/(VLOOKUP(U$72,INDIRECT($C$5&amp;"生成成长"),5))*(VLOOKUP($B$5,标准坦克设计!$B$24:$U$30,MATCH("对"&amp;LEFT($C$5,2)&amp;"输出",标准坦克设计!$B$23:$U$23,0)))*(VLOOKUP($B113,INDIRECT($B$5&amp;"生成成长"),3))*(VLOOKUP($B$5,标准坦克设计!$B$14:$K$20,9)/30))</f>
        <v>3.1621312688316343</v>
      </c>
      <c r="V113" s="172">
        <f ca="1">(VLOOKUP(V$72,INDIRECT($C$5&amp;"生成成长"),2))/((VLOOKUP($B113,INDIRECT($B$5&amp;"生成成长"),4))/(VLOOKUP(V$72,INDIRECT($C$5&amp;"生成成长"),5))*(VLOOKUP($B$5,标准坦克设计!$B$24:$U$30,MATCH("对"&amp;LEFT($C$5,2)&amp;"输出",标准坦克设计!$B$23:$U$23,0)))*(VLOOKUP($B113,INDIRECT($B$5&amp;"生成成长"),3))*(VLOOKUP($B$5,标准坦克设计!$B$14:$K$20,9)/30))</f>
        <v>3.4576567941492753</v>
      </c>
      <c r="W113" s="172">
        <f ca="1">(VLOOKUP(W$72,INDIRECT($C$5&amp;"生成成长"),2))/((VLOOKUP($B113,INDIRECT($B$5&amp;"生成成长"),4))/(VLOOKUP(W$72,INDIRECT($C$5&amp;"生成成长"),5))*(VLOOKUP($B$5,标准坦克设计!$B$24:$U$30,MATCH("对"&amp;LEFT($C$5,2)&amp;"输出",标准坦克设计!$B$23:$U$23,0)))*(VLOOKUP($B113,INDIRECT($B$5&amp;"生成成长"),3))*(VLOOKUP($B$5,标准坦克设计!$B$14:$K$20,9)/30))</f>
        <v>3.7663819707217985</v>
      </c>
      <c r="X113" s="172">
        <f ca="1">(VLOOKUP(X$72,INDIRECT($C$5&amp;"生成成长"),2))/((VLOOKUP($B113,INDIRECT($B$5&amp;"生成成长"),4))/(VLOOKUP(X$72,INDIRECT($C$5&amp;"生成成长"),5))*(VLOOKUP($B$5,标准坦克设计!$B$24:$U$30,MATCH("对"&amp;LEFT($C$5,2)&amp;"输出",标准坦克设计!$B$23:$U$23,0)))*(VLOOKUP($B113,INDIRECT($B$5&amp;"生成成长"),3))*(VLOOKUP($B$5,标准坦克设计!$B$14:$K$20,9)/30))</f>
        <v>2.7286612399675998</v>
      </c>
      <c r="Y113" s="172">
        <f ca="1">(VLOOKUP(Y$72,INDIRECT($C$5&amp;"生成成长"),2))/((VLOOKUP($B113,INDIRECT($B$5&amp;"生成成长"),4))/(VLOOKUP(Y$72,INDIRECT($C$5&amp;"生成成长"),5))*(VLOOKUP($B$5,标准坦克设计!$B$24:$U$30,MATCH("对"&amp;LEFT($C$5,2)&amp;"输出",标准坦克设计!$B$23:$U$23,0)))*(VLOOKUP($B113,INDIRECT($B$5&amp;"生成成长"),3))*(VLOOKUP($B$5,标准坦克设计!$B$14:$K$20,9)/30))</f>
        <v>3.0350235160068424</v>
      </c>
      <c r="Z113" s="172">
        <f ca="1">(VLOOKUP(Z$72,INDIRECT($C$5&amp;"生成成长"),2))/((VLOOKUP($B113,INDIRECT($B$5&amp;"生成成长"),4))/(VLOOKUP(Z$72,INDIRECT($C$5&amp;"生成成长"),5))*(VLOOKUP($B$5,标准坦克设计!$B$24:$U$30,MATCH("对"&amp;LEFT($C$5,2)&amp;"输出",标准坦克设计!$B$23:$U$23,0)))*(VLOOKUP($B113,INDIRECT($B$5&amp;"生成成长"),3))*(VLOOKUP($B$5,标准坦克设计!$B$14:$K$20,9)/30))</f>
        <v>3.3576816577928525</v>
      </c>
      <c r="AA113" s="172">
        <f ca="1">(VLOOKUP(AA$72,INDIRECT($C$5&amp;"生成成长"),2))/((VLOOKUP($B113,INDIRECT($B$5&amp;"生成成长"),4))/(VLOOKUP(AA$72,INDIRECT($C$5&amp;"生成成长"),5))*(VLOOKUP($B$5,标准坦克设计!$B$24:$U$30,MATCH("对"&amp;LEFT($C$5,2)&amp;"输出",标准坦克设计!$B$23:$U$23,0)))*(VLOOKUP($B113,INDIRECT($B$5&amp;"生成成长"),3))*(VLOOKUP($B$5,标准坦克设计!$B$14:$K$20,9)/30))</f>
        <v>3.6966356653256307</v>
      </c>
      <c r="AB113" s="172">
        <f ca="1">(VLOOKUP(AB$72,INDIRECT($C$5&amp;"生成成长"),2))/((VLOOKUP($B113,INDIRECT($B$5&amp;"生成成长"),4))/(VLOOKUP(AB$72,INDIRECT($C$5&amp;"生成成长"),5))*(VLOOKUP($B$5,标准坦克设计!$B$24:$U$30,MATCH("对"&amp;LEFT($C$5,2)&amp;"输出",标准坦克设计!$B$23:$U$23,0)))*(VLOOKUP($B113,INDIRECT($B$5&amp;"生成成长"),3))*(VLOOKUP($B$5,标准坦克设计!$B$14:$K$20,9)/30))</f>
        <v>4.0518855386051778</v>
      </c>
      <c r="AC113" s="172">
        <f ca="1">(VLOOKUP(AC$72,INDIRECT($C$5&amp;"生成成长"),2))/((VLOOKUP($B113,INDIRECT($B$5&amp;"生成成长"),4))/(VLOOKUP(AC$72,INDIRECT($C$5&amp;"生成成长"),5))*(VLOOKUP($B$5,标准坦克设计!$B$24:$U$30,MATCH("对"&amp;LEFT($C$5,2)&amp;"输出",标准坦克设计!$B$23:$U$23,0)))*(VLOOKUP($B113,INDIRECT($B$5&amp;"生成成长"),3))*(VLOOKUP($B$5,标准坦克设计!$B$14:$K$20,9)/30))</f>
        <v>4.4234312776314919</v>
      </c>
      <c r="AD113" s="172">
        <f ca="1">(VLOOKUP(AD$72,INDIRECT($C$5&amp;"生成成长"),2))/((VLOOKUP($B113,INDIRECT($B$5&amp;"生成成长"),4))/(VLOOKUP(AD$72,INDIRECT($C$5&amp;"生成成长"),5))*(VLOOKUP($B$5,标准坦克设计!$B$24:$U$30,MATCH("对"&amp;LEFT($C$5,2)&amp;"输出",标准坦克设计!$B$23:$U$23,0)))*(VLOOKUP($B113,INDIRECT($B$5&amp;"生成成长"),3))*(VLOOKUP($B$5,标准坦克设计!$B$14:$K$20,9)/30))</f>
        <v>4.811272882404575</v>
      </c>
      <c r="AE113" s="172">
        <f ca="1">(VLOOKUP(AE$72,INDIRECT($C$5&amp;"生成成长"),2))/((VLOOKUP($B113,INDIRECT($B$5&amp;"生成成长"),4))/(VLOOKUP(AE$72,INDIRECT($C$5&amp;"生成成长"),5))*(VLOOKUP($B$5,标准坦克设计!$B$24:$U$30,MATCH("对"&amp;LEFT($C$5,2)&amp;"输出",标准坦克设计!$B$23:$U$23,0)))*(VLOOKUP($B113,INDIRECT($B$5&amp;"生成成长"),3))*(VLOOKUP($B$5,标准坦克设计!$B$14:$K$20,9)/30))</f>
        <v>5.215410352924426</v>
      </c>
      <c r="AF113" s="172">
        <f ca="1">(VLOOKUP(AF$72,INDIRECT($C$5&amp;"生成成长"),2))/((VLOOKUP($B113,INDIRECT($B$5&amp;"生成成长"),4))/(VLOOKUP(AF$72,INDIRECT($C$5&amp;"生成成长"),5))*(VLOOKUP($B$5,标准坦克设计!$B$24:$U$30,MATCH("对"&amp;LEFT($C$5,2)&amp;"输出",标准坦克设计!$B$23:$U$23,0)))*(VLOOKUP($B113,INDIRECT($B$5&amp;"生成成长"),3))*(VLOOKUP($B$5,标准坦克设计!$B$14:$K$20,9)/30))</f>
        <v>5.6358436891910459</v>
      </c>
      <c r="AG113" s="172">
        <f ca="1">(VLOOKUP(AG$72,INDIRECT($C$5&amp;"生成成长"),2))/((VLOOKUP($B113,INDIRECT($B$5&amp;"生成成长"),4))/(VLOOKUP(AG$72,INDIRECT($C$5&amp;"生成成长"),5))*(VLOOKUP($B$5,标准坦克设计!$B$24:$U$30,MATCH("对"&amp;LEFT($C$5,2)&amp;"输出",标准坦克设计!$B$23:$U$23,0)))*(VLOOKUP($B113,INDIRECT($B$5&amp;"生成成长"),3))*(VLOOKUP($B$5,标准坦克设计!$B$14:$K$20,9)/30))</f>
        <v>6.0725728912044339</v>
      </c>
      <c r="AH113" s="172">
        <f ca="1">(VLOOKUP(AH$72,INDIRECT($C$5&amp;"生成成长"),2))/((VLOOKUP($B113,INDIRECT($B$5&amp;"生成成长"),4))/(VLOOKUP(AH$72,INDIRECT($C$5&amp;"生成成长"),5))*(VLOOKUP($B$5,标准坦克设计!$B$24:$U$30,MATCH("对"&amp;LEFT($C$5,2)&amp;"输出",标准坦克设计!$B$23:$U$23,0)))*(VLOOKUP($B113,INDIRECT($B$5&amp;"生成成长"),3))*(VLOOKUP($B$5,标准坦克设计!$B$14:$K$20,9)/30))</f>
        <v>6.5255979589645889</v>
      </c>
      <c r="AI113" s="172">
        <f ca="1">(VLOOKUP(AI$72,INDIRECT($C$5&amp;"生成成长"),2))/((VLOOKUP($B113,INDIRECT($B$5&amp;"生成成长"),4))/(VLOOKUP(AI$72,INDIRECT($C$5&amp;"生成成长"),5))*(VLOOKUP($B$5,标准坦克设计!$B$24:$U$30,MATCH("对"&amp;LEFT($C$5,2)&amp;"输出",标准坦克设计!$B$23:$U$23,0)))*(VLOOKUP($B113,INDIRECT($B$5&amp;"生成成长"),3))*(VLOOKUP($B$5,标准坦克设计!$B$14:$K$20,9)/30))</f>
        <v>4.6153150967996881</v>
      </c>
      <c r="AJ113" s="172">
        <f ca="1">(VLOOKUP(AJ$72,INDIRECT($C$5&amp;"生成成长"),2))/((VLOOKUP($B113,INDIRECT($B$5&amp;"生成成长"),4))/(VLOOKUP(AJ$72,INDIRECT($C$5&amp;"生成成长"),5))*(VLOOKUP($B$5,标准坦克设计!$B$24:$U$30,MATCH("对"&amp;LEFT($C$5,2)&amp;"输出",标准坦克设计!$B$23:$U$23,0)))*(VLOOKUP($B113,INDIRECT($B$5&amp;"生成成长"),3))*(VLOOKUP($B$5,标准坦克设计!$B$14:$K$20,9)/30))</f>
        <v>5.0517998608268737</v>
      </c>
      <c r="AK113" s="172">
        <f ca="1">(VLOOKUP(AK$72,INDIRECT($C$5&amp;"生成成长"),2))/((VLOOKUP($B113,INDIRECT($B$5&amp;"生成成长"),4))/(VLOOKUP(AK$72,INDIRECT($C$5&amp;"生成成长"),5))*(VLOOKUP($B$5,标准坦克设计!$B$24:$U$30,MATCH("对"&amp;LEFT($C$5,2)&amp;"输出",标准坦克设计!$B$23:$U$23,0)))*(VLOOKUP($B113,INDIRECT($B$5&amp;"生成成长"),3))*(VLOOKUP($B$5,标准坦克设计!$B$14:$K$20,9)/30))</f>
        <v>5.5080026224076502</v>
      </c>
      <c r="AL113" s="172">
        <f ca="1">(VLOOKUP(AL$72,INDIRECT($C$5&amp;"生成成长"),2))/((VLOOKUP($B113,INDIRECT($B$5&amp;"生成成长"),4))/(VLOOKUP(AL$72,INDIRECT($C$5&amp;"生成成长"),5))*(VLOOKUP($B$5,标准坦克设计!$B$24:$U$30,MATCH("对"&amp;LEFT($C$5,2)&amp;"输出",标准坦克设计!$B$23:$U$23,0)))*(VLOOKUP($B113,INDIRECT($B$5&amp;"生成成长"),3))*(VLOOKUP($B$5,标准坦克设计!$B$14:$K$20,9)/30))</f>
        <v>5.9839233815420148</v>
      </c>
      <c r="AM113" s="172">
        <f ca="1">(VLOOKUP(AM$72,INDIRECT($C$5&amp;"生成成长"),2))/((VLOOKUP($B113,INDIRECT($B$5&amp;"生成成长"),4))/(VLOOKUP(AM$72,INDIRECT($C$5&amp;"生成成长"),5))*(VLOOKUP($B$5,标准坦克设计!$B$24:$U$30,MATCH("对"&amp;LEFT($C$5,2)&amp;"输出",标准坦克设计!$B$23:$U$23,0)))*(VLOOKUP($B113,INDIRECT($B$5&amp;"生成成长"),3))*(VLOOKUP($B$5,标准坦克设计!$B$14:$K$20,9)/30))</f>
        <v>6.4795621382299702</v>
      </c>
      <c r="AN113" s="172">
        <f ca="1">(VLOOKUP(AN$72,INDIRECT($C$5&amp;"生成成长"),2))/((VLOOKUP($B113,INDIRECT($B$5&amp;"生成成长"),4))/(VLOOKUP(AN$72,INDIRECT($C$5&amp;"生成成长"),5))*(VLOOKUP($B$5,标准坦克设计!$B$24:$U$30,MATCH("对"&amp;LEFT($C$5,2)&amp;"输出",标准坦克设计!$B$23:$U$23,0)))*(VLOOKUP($B113,INDIRECT($B$5&amp;"生成成长"),3))*(VLOOKUP($B$5,标准坦克设计!$B$14:$K$20,9)/30))</f>
        <v>6.9949188924715138</v>
      </c>
      <c r="AO113" s="172">
        <f ca="1">(VLOOKUP(AO$72,INDIRECT($C$5&amp;"生成成长"),2))/((VLOOKUP($B113,INDIRECT($B$5&amp;"生成成长"),4))/(VLOOKUP(AO$72,INDIRECT($C$5&amp;"生成成长"),5))*(VLOOKUP($B$5,标准坦克设计!$B$24:$U$30,MATCH("对"&amp;LEFT($C$5,2)&amp;"输出",标准坦克设计!$B$23:$U$23,0)))*(VLOOKUP($B113,INDIRECT($B$5&amp;"生成成长"),3))*(VLOOKUP($B$5,标准坦克设计!$B$14:$K$20,9)/30))</f>
        <v>7.5299936442666464</v>
      </c>
      <c r="AP113" s="172">
        <f ca="1">(VLOOKUP(AP$72,INDIRECT($C$5&amp;"生成成长"),2))/((VLOOKUP($B113,INDIRECT($B$5&amp;"生成成长"),4))/(VLOOKUP(AP$72,INDIRECT($C$5&amp;"生成成长"),5))*(VLOOKUP($B$5,标准坦克设计!$B$24:$U$30,MATCH("对"&amp;LEFT($C$5,2)&amp;"输出",标准坦克设计!$B$23:$U$23,0)))*(VLOOKUP($B113,INDIRECT($B$5&amp;"生成成长"),3))*(VLOOKUP($B$5,标准坦克设计!$B$14:$K$20,9)/30))</f>
        <v>8.084786393615369</v>
      </c>
      <c r="AQ113" s="172">
        <f ca="1">(VLOOKUP(AQ$72,INDIRECT($C$5&amp;"生成成长"),2))/((VLOOKUP($B113,INDIRECT($B$5&amp;"生成成长"),4))/(VLOOKUP(AQ$72,INDIRECT($C$5&amp;"生成成长"),5))*(VLOOKUP($B$5,标准坦克设计!$B$24:$U$30,MATCH("对"&amp;LEFT($C$5,2)&amp;"输出",标准坦克设计!$B$23:$U$23,0)))*(VLOOKUP($B113,INDIRECT($B$5&amp;"生成成长"),3))*(VLOOKUP($B$5,标准坦克设计!$B$14:$K$20,9)/30))</f>
        <v>8.6592971405176815</v>
      </c>
      <c r="AR113" s="172">
        <f ca="1">(VLOOKUP(AR$72,INDIRECT($C$5&amp;"生成成长"),2))/((VLOOKUP($B113,INDIRECT($B$5&amp;"生成成长"),4))/(VLOOKUP(AR$72,INDIRECT($C$5&amp;"生成成长"),5))*(VLOOKUP($B$5,标准坦克设计!$B$24:$U$30,MATCH("对"&amp;LEFT($C$5,2)&amp;"输出",标准坦克设计!$B$23:$U$23,0)))*(VLOOKUP($B113,INDIRECT($B$5&amp;"生成成长"),3))*(VLOOKUP($B$5,标准坦克设计!$B$14:$K$20,9)/30))</f>
        <v>9.253525884973584</v>
      </c>
      <c r="AS113" s="172">
        <f ca="1">(VLOOKUP(AS$72,INDIRECT($C$5&amp;"生成成长"),2))/((VLOOKUP($B113,INDIRECT($B$5&amp;"生成成长"),4))/(VLOOKUP(AS$72,INDIRECT($C$5&amp;"生成成长"),5))*(VLOOKUP($B$5,标准坦克设计!$B$24:$U$30,MATCH("对"&amp;LEFT($C$5,2)&amp;"输出",标准坦克设计!$B$23:$U$23,0)))*(VLOOKUP($B113,INDIRECT($B$5&amp;"生成成长"),3))*(VLOOKUP($B$5,标准坦克设计!$B$14:$K$20,9)/30))</f>
        <v>9.8674726269830764</v>
      </c>
      <c r="AT113" s="172">
        <f ca="1">(VLOOKUP(AT$72,INDIRECT($C$5&amp;"生成成长"),2))/((VLOOKUP($B113,INDIRECT($B$5&amp;"生成成长"),4))/(VLOOKUP(AT$72,INDIRECT($C$5&amp;"生成成长"),5))*(VLOOKUP($B$5,标准坦克设计!$B$24:$U$30,MATCH("对"&amp;LEFT($C$5,2)&amp;"输出",标准坦克设计!$B$23:$U$23,0)))*(VLOOKUP($B113,INDIRECT($B$5&amp;"生成成长"),3))*(VLOOKUP($B$5,标准坦克设计!$B$14:$K$20,9)/30))</f>
        <v>10.501137366546159</v>
      </c>
      <c r="AU113" s="172">
        <f ca="1">(VLOOKUP(AU$72,INDIRECT($C$5&amp;"生成成长"),2))/((VLOOKUP($B113,INDIRECT($B$5&amp;"生成成长"),4))/(VLOOKUP(AU$72,INDIRECT($C$5&amp;"生成成长"),5))*(VLOOKUP($B$5,标准坦克设计!$B$24:$U$30,MATCH("对"&amp;LEFT($C$5,2)&amp;"输出",标准坦克设计!$B$23:$U$23,0)))*(VLOOKUP($B113,INDIRECT($B$5&amp;"生成成长"),3))*(VLOOKUP($B$5,标准坦克设计!$B$14:$K$20,9)/30))</f>
        <v>11.154520103662827</v>
      </c>
      <c r="AV113" s="172">
        <f ca="1">(VLOOKUP(AV$72,INDIRECT($C$5&amp;"生成成长"),2))/((VLOOKUP($B113,INDIRECT($B$5&amp;"生成成长"),4))/(VLOOKUP(AV$72,INDIRECT($C$5&amp;"生成成长"),5))*(VLOOKUP($B$5,标准坦克设计!$B$24:$U$30,MATCH("对"&amp;LEFT($C$5,2)&amp;"输出",标准坦克设计!$B$23:$U$23,0)))*(VLOOKUP($B113,INDIRECT($B$5&amp;"生成成长"),3))*(VLOOKUP($B$5,标准坦克设计!$B$14:$K$20,9)/30))</f>
        <v>1.1345181732900016</v>
      </c>
      <c r="AW113" s="172">
        <f ca="1">(VLOOKUP(AW$72,INDIRECT($C$5&amp;"生成成长"),2))/((VLOOKUP($B113,INDIRECT($B$5&amp;"生成成长"),4))/(VLOOKUP(AW$72,INDIRECT($C$5&amp;"生成成长"),5))*(VLOOKUP($B$5,标准坦克设计!$B$24:$U$30,MATCH("对"&amp;LEFT($C$5,2)&amp;"输出",标准坦克设计!$B$23:$U$23,0)))*(VLOOKUP($B113,INDIRECT($B$5&amp;"生成成长"),3))*(VLOOKUP($B$5,标准坦克设计!$B$14:$K$20,9)/30))</f>
        <v>1.2935658229784592</v>
      </c>
      <c r="AX113" s="172">
        <f ca="1">(VLOOKUP(AX$72,INDIRECT($C$5&amp;"生成成长"),2))/((VLOOKUP($B113,INDIRECT($B$5&amp;"生成成长"),4))/(VLOOKUP(AX$72,INDIRECT($C$5&amp;"生成成长"),5))*(VLOOKUP($B$5,标准坦克设计!$B$24:$U$30,MATCH("对"&amp;LEFT($C$5,2)&amp;"输出",标准坦克设计!$B$23:$U$23,0)))*(VLOOKUP($B113,INDIRECT($B$5&amp;"生成成长"),3))*(VLOOKUP($B$5,标准坦克设计!$B$14:$K$20,9)/30))</f>
        <v>1.4630428267448483</v>
      </c>
      <c r="AY113" s="172">
        <f ca="1">(VLOOKUP(AY$72,INDIRECT($C$5&amp;"生成成长"),2))/((VLOOKUP($B113,INDIRECT($B$5&amp;"生成成长"),4))/(VLOOKUP(AY$72,INDIRECT($C$5&amp;"生成成长"),5))*(VLOOKUP($B$5,标准坦克设计!$B$24:$U$30,MATCH("对"&amp;LEFT($C$5,2)&amp;"输出",标准坦克设计!$B$23:$U$23,0)))*(VLOOKUP($B113,INDIRECT($B$5&amp;"生成成长"),3))*(VLOOKUP($B$5,标准坦克设计!$B$14:$K$20,9)/30))</f>
        <v>1.6429491845891693</v>
      </c>
      <c r="AZ113" s="172">
        <f ca="1">(VLOOKUP(AZ$72,INDIRECT($C$5&amp;"生成成长"),2))/((VLOOKUP($B113,INDIRECT($B$5&amp;"生成成长"),4))/(VLOOKUP(AZ$72,INDIRECT($C$5&amp;"生成成长"),5))*(VLOOKUP($B$5,标准坦克设计!$B$24:$U$30,MATCH("对"&amp;LEFT($C$5,2)&amp;"输出",标准坦克设计!$B$23:$U$23,0)))*(VLOOKUP($B113,INDIRECT($B$5&amp;"生成成长"),3))*(VLOOKUP($B$5,标准坦克设计!$B$14:$K$20,9)/30))</f>
        <v>1.8332848965114215</v>
      </c>
      <c r="BA113" s="172">
        <f ca="1">(VLOOKUP(BA$72,INDIRECT($C$5&amp;"生成成长"),2))/((VLOOKUP($B113,INDIRECT($B$5&amp;"生成成长"),4))/(VLOOKUP(BA$72,INDIRECT($C$5&amp;"生成成长"),5))*(VLOOKUP($B$5,标准坦克设计!$B$24:$U$30,MATCH("对"&amp;LEFT($C$5,2)&amp;"输出",标准坦克设计!$B$23:$U$23,0)))*(VLOOKUP($B113,INDIRECT($B$5&amp;"生成成长"),3))*(VLOOKUP($B$5,标准坦克设计!$B$14:$K$20,9)/30))</f>
        <v>2.0340499625116055</v>
      </c>
      <c r="BB113" s="172">
        <f ca="1">(VLOOKUP(BB$72,INDIRECT($C$5&amp;"生成成长"),2))/((VLOOKUP($B113,INDIRECT($B$5&amp;"生成成长"),4))/(VLOOKUP(BB$72,INDIRECT($C$5&amp;"生成成长"),5))*(VLOOKUP($B$5,标准坦克设计!$B$24:$U$30,MATCH("对"&amp;LEFT($C$5,2)&amp;"输出",标准坦克设计!$B$23:$U$23,0)))*(VLOOKUP($B113,INDIRECT($B$5&amp;"生成成长"),3))*(VLOOKUP($B$5,标准坦克设计!$B$14:$K$20,9)/30))</f>
        <v>2.2452443825897221</v>
      </c>
      <c r="BC113" s="172">
        <f ca="1">(VLOOKUP(BC$72,INDIRECT($C$5&amp;"生成成长"),2))/((VLOOKUP($B113,INDIRECT($B$5&amp;"生成成长"),4))/(VLOOKUP(BC$72,INDIRECT($C$5&amp;"生成成长"),5))*(VLOOKUP($B$5,标准坦克设计!$B$24:$U$30,MATCH("对"&amp;LEFT($C$5,2)&amp;"输出",标准坦克设计!$B$23:$U$23,0)))*(VLOOKUP($B113,INDIRECT($B$5&amp;"生成成长"),3))*(VLOOKUP($B$5,标准坦克设计!$B$14:$K$20,9)/30))</f>
        <v>2.4668681567457691</v>
      </c>
      <c r="BD113" s="172">
        <f ca="1">(VLOOKUP(BD$72,INDIRECT($C$5&amp;"生成成长"),2))/((VLOOKUP($B113,INDIRECT($B$5&amp;"生成成长"),4))/(VLOOKUP(BD$72,INDIRECT($C$5&amp;"生成成长"),5))*(VLOOKUP($B$5,标准坦克设计!$B$24:$U$30,MATCH("对"&amp;LEFT($C$5,2)&amp;"输出",标准坦克设计!$B$23:$U$23,0)))*(VLOOKUP($B113,INDIRECT($B$5&amp;"生成成长"),3))*(VLOOKUP($B$5,标准坦克设计!$B$14:$K$20,9)/30))</f>
        <v>2.7286612399675998</v>
      </c>
      <c r="BE113" s="172">
        <f ca="1">(VLOOKUP(BE$72,INDIRECT($C$5&amp;"生成成长"),2))/((VLOOKUP($B113,INDIRECT($B$5&amp;"生成成长"),4))/(VLOOKUP(BE$72,INDIRECT($C$5&amp;"生成成长"),5))*(VLOOKUP($B$5,标准坦克设计!$B$24:$U$30,MATCH("对"&amp;LEFT($C$5,2)&amp;"输出",标准坦克设计!$B$23:$U$23,0)))*(VLOOKUP($B113,INDIRECT($B$5&amp;"生成成长"),3))*(VLOOKUP($B$5,标准坦克设计!$B$14:$K$20,9)/30))</f>
        <v>3.0036539744443131</v>
      </c>
      <c r="BF113" s="172">
        <f ca="1">(VLOOKUP(BF$72,INDIRECT($C$5&amp;"生成成长"),2))/((VLOOKUP($B113,INDIRECT($B$5&amp;"生成成长"),4))/(VLOOKUP(BF$72,INDIRECT($C$5&amp;"生成成长"),5))*(VLOOKUP($B$5,标准坦克设计!$B$24:$U$30,MATCH("对"&amp;LEFT($C$5,2)&amp;"输出",标准坦克设计!$B$23:$U$23,0)))*(VLOOKUP($B113,INDIRECT($B$5&amp;"生成成长"),3))*(VLOOKUP($B$5,标准坦克设计!$B$14:$K$20,9)/30))</f>
        <v>3.2918463601759091</v>
      </c>
      <c r="BG113" s="172">
        <f ca="1">(VLOOKUP(BG$72,INDIRECT($C$5&amp;"生成成长"),2))/((VLOOKUP($B113,INDIRECT($B$5&amp;"生成成长"),4))/(VLOOKUP(BG$72,INDIRECT($C$5&amp;"生成成长"),5))*(VLOOKUP($B$5,标准坦克设计!$B$24:$U$30,MATCH("对"&amp;LEFT($C$5,2)&amp;"输出",标准坦克设计!$B$23:$U$23,0)))*(VLOOKUP($B113,INDIRECT($B$5&amp;"生成成长"),3))*(VLOOKUP($B$5,标准坦克设计!$B$14:$K$20,9)/30))</f>
        <v>3.5932383971623865</v>
      </c>
      <c r="BH113" s="172">
        <f ca="1">(VLOOKUP(BH$72,INDIRECT($C$5&amp;"生成成长"),2))/((VLOOKUP($B113,INDIRECT($B$5&amp;"生成成长"),4))/(VLOOKUP(BH$72,INDIRECT($C$5&amp;"生成成长"),5))*(VLOOKUP($B$5,标准坦克设计!$B$24:$U$30,MATCH("对"&amp;LEFT($C$5,2)&amp;"输出",标准坦克设计!$B$23:$U$23,0)))*(VLOOKUP($B113,INDIRECT($B$5&amp;"生成成长"),3))*(VLOOKUP($B$5,标准坦克设计!$B$14:$K$20,9)/30))</f>
        <v>1.7368133712905542</v>
      </c>
      <c r="BI113" s="172">
        <f ca="1">(VLOOKUP(BI$72,INDIRECT($C$5&amp;"生成成长"),2))/((VLOOKUP($B113,INDIRECT($B$5&amp;"生成成长"),4))/(VLOOKUP(BI$72,INDIRECT($C$5&amp;"生成成长"),5))*(VLOOKUP($B$5,标准坦克设计!$B$24:$U$30,MATCH("对"&amp;LEFT($C$5,2)&amp;"输出",标准坦克设计!$B$23:$U$23,0)))*(VLOOKUP($B113,INDIRECT($B$5&amp;"生成成长"),3))*(VLOOKUP($B$5,标准坦克设计!$B$14:$K$20,9)/30))</f>
        <v>1.9575408728305292</v>
      </c>
      <c r="BJ113" s="172">
        <f ca="1">(VLOOKUP(BJ$72,INDIRECT($C$5&amp;"生成成长"),2))/((VLOOKUP($B113,INDIRECT($B$5&amp;"生成成长"),4))/(VLOOKUP(BJ$72,INDIRECT($C$5&amp;"生成成长"),5))*(VLOOKUP($B$5,标准坦克设计!$B$24:$U$30,MATCH("对"&amp;LEFT($C$5,2)&amp;"输出",标准坦克设计!$B$23:$U$23,0)))*(VLOOKUP($B113,INDIRECT($B$5&amp;"生成成长"),3))*(VLOOKUP($B$5,标准坦克设计!$B$14:$K$20,9)/30))</f>
        <v>2.1914680256253867</v>
      </c>
      <c r="BK113" s="172">
        <f ca="1">(VLOOKUP(BK$72,INDIRECT($C$5&amp;"生成成长"),2))/((VLOOKUP($B113,INDIRECT($B$5&amp;"生成成长"),4))/(VLOOKUP(BK$72,INDIRECT($C$5&amp;"生成成长"),5))*(VLOOKUP($B$5,标准坦克设计!$B$24:$U$30,MATCH("对"&amp;LEFT($C$5,2)&amp;"输出",标准坦克设计!$B$23:$U$23,0)))*(VLOOKUP($B113,INDIRECT($B$5&amp;"生成成长"),3))*(VLOOKUP($B$5,标准坦克设计!$B$14:$K$20,9)/30))</f>
        <v>2.4385948296751265</v>
      </c>
      <c r="BL113" s="172">
        <f ca="1">(VLOOKUP(BL$72,INDIRECT($C$5&amp;"生成成长"),2))/((VLOOKUP($B113,INDIRECT($B$5&amp;"生成成长"),4))/(VLOOKUP(BL$72,INDIRECT($C$5&amp;"生成成长"),5))*(VLOOKUP($B$5,标准坦克设计!$B$24:$U$30,MATCH("对"&amp;LEFT($C$5,2)&amp;"输出",标准坦克设计!$B$23:$U$23,0)))*(VLOOKUP($B113,INDIRECT($B$5&amp;"生成成长"),3))*(VLOOKUP($B$5,标准坦克设计!$B$14:$K$20,9)/30))</f>
        <v>2.6989212849797486</v>
      </c>
      <c r="BM113" s="172">
        <f ca="1">(VLOOKUP(BM$72,INDIRECT($C$5&amp;"生成成长"),2))/((VLOOKUP($B113,INDIRECT($B$5&amp;"生成成长"),4))/(VLOOKUP(BM$72,INDIRECT($C$5&amp;"生成成长"),5))*(VLOOKUP($B$5,标准坦克设计!$B$24:$U$30,MATCH("对"&amp;LEFT($C$5,2)&amp;"输出",标准坦克设计!$B$23:$U$23,0)))*(VLOOKUP($B113,INDIRECT($B$5&amp;"生成成长"),3))*(VLOOKUP($B$5,标准坦克设计!$B$14:$K$20,9)/30))</f>
        <v>2.9724473915392524</v>
      </c>
      <c r="BN113" s="172">
        <f ca="1">(VLOOKUP(BN$72,INDIRECT($C$5&amp;"生成成长"),2))/((VLOOKUP($B113,INDIRECT($B$5&amp;"生成成长"),4))/(VLOOKUP(BN$72,INDIRECT($C$5&amp;"生成成长"),5))*(VLOOKUP($B$5,标准坦克设计!$B$24:$U$30,MATCH("对"&amp;LEFT($C$5,2)&amp;"输出",标准坦克设计!$B$23:$U$23,0)))*(VLOOKUP($B113,INDIRECT($B$5&amp;"生成成长"),3))*(VLOOKUP($B$5,标准坦克设计!$B$14:$K$20,9)/30))</f>
        <v>3.2591731493536393</v>
      </c>
      <c r="BO113" s="172">
        <f ca="1">(VLOOKUP(BO$72,INDIRECT($C$5&amp;"生成成长"),2))/((VLOOKUP($B113,INDIRECT($B$5&amp;"生成成长"),4))/(VLOOKUP(BO$72,INDIRECT($C$5&amp;"生成成长"),5))*(VLOOKUP($B$5,标准坦克设计!$B$24:$U$30,MATCH("对"&amp;LEFT($C$5,2)&amp;"输出",标准坦克设计!$B$23:$U$23,0)))*(VLOOKUP($B113,INDIRECT($B$5&amp;"生成成长"),3))*(VLOOKUP($B$5,标准坦克设计!$B$14:$K$20,9)/30))</f>
        <v>3.5590985584229067</v>
      </c>
      <c r="BP113" s="172">
        <f ca="1">(VLOOKUP(BP$72,INDIRECT($C$5&amp;"生成成长"),2))/((VLOOKUP($B113,INDIRECT($B$5&amp;"生成成长"),4))/(VLOOKUP(BP$72,INDIRECT($C$5&amp;"生成成长"),5))*(VLOOKUP($B$5,标准坦克设计!$B$24:$U$30,MATCH("对"&amp;LEFT($C$5,2)&amp;"输出",标准坦克设计!$B$23:$U$23,0)))*(VLOOKUP($B113,INDIRECT($B$5&amp;"生成成长"),3))*(VLOOKUP($B$5,标准坦克设计!$B$14:$K$20,9)/30))</f>
        <v>3.8722236187470584</v>
      </c>
      <c r="BQ113" s="172">
        <f ca="1">(VLOOKUP(BQ$72,INDIRECT($C$5&amp;"生成成长"),2))/((VLOOKUP($B113,INDIRECT($B$5&amp;"生成成长"),4))/(VLOOKUP(BQ$72,INDIRECT($C$5&amp;"生成成长"),5))*(VLOOKUP($B$5,标准坦克设计!$B$24:$U$30,MATCH("对"&amp;LEFT($C$5,2)&amp;"输出",标准坦克设计!$B$23:$U$23,0)))*(VLOOKUP($B113,INDIRECT($B$5&amp;"生成成长"),3))*(VLOOKUP($B$5,标准坦克设计!$B$14:$K$20,9)/30))</f>
        <v>4.1985483303260915</v>
      </c>
      <c r="BR113" s="172">
        <f ca="1">(VLOOKUP(BR$72,INDIRECT($C$5&amp;"生成成长"),2))/((VLOOKUP($B113,INDIRECT($B$5&amp;"生成成长"),4))/(VLOOKUP(BR$72,INDIRECT($C$5&amp;"生成成长"),5))*(VLOOKUP($B$5,标准坦克设计!$B$24:$U$30,MATCH("对"&amp;LEFT($C$5,2)&amp;"输出",标准坦克设计!$B$23:$U$23,0)))*(VLOOKUP($B113,INDIRECT($B$5&amp;"生成成长"),3))*(VLOOKUP($B$5,标准坦克设计!$B$14:$K$20,9)/30))</f>
        <v>4.5766124156511125</v>
      </c>
      <c r="BS113" s="172">
        <f ca="1">(VLOOKUP(BS$72,INDIRECT($C$5&amp;"生成成长"),2))/((VLOOKUP($B113,INDIRECT($B$5&amp;"生成成长"),4))/(VLOOKUP(BS$72,INDIRECT($C$5&amp;"生成成长"),5))*(VLOOKUP($B$5,标准坦克设计!$B$24:$U$30,MATCH("对"&amp;LEFT($C$5,2)&amp;"输出",标准坦克设计!$B$23:$U$23,0)))*(VLOOKUP($B113,INDIRECT($B$5&amp;"生成成长"),3))*(VLOOKUP($B$5,标准坦克设计!$B$14:$K$20,9)/30))</f>
        <v>4.9709723667229042</v>
      </c>
      <c r="BT113" s="172">
        <f ca="1">(VLOOKUP(BT$72,INDIRECT($C$5&amp;"生成成长"),2))/((VLOOKUP($B113,INDIRECT($B$5&amp;"生成成长"),4))/(VLOOKUP(BT$72,INDIRECT($C$5&amp;"生成成长"),5))*(VLOOKUP($B$5,标准坦克设计!$B$24:$U$30,MATCH("对"&amp;LEFT($C$5,2)&amp;"输出",标准坦克设计!$B$23:$U$23,0)))*(VLOOKUP($B113,INDIRECT($B$5&amp;"生成成长"),3))*(VLOOKUP($B$5,标准坦克设计!$B$14:$K$20,9)/30))</f>
        <v>5.3816281835414621</v>
      </c>
      <c r="BU113" s="172">
        <f ca="1">(VLOOKUP(BU$72,INDIRECT($C$5&amp;"生成成长"),2))/((VLOOKUP($B113,INDIRECT($B$5&amp;"生成成长"),4))/(VLOOKUP(BU$72,INDIRECT($C$5&amp;"生成成长"),5))*(VLOOKUP($B$5,标准坦克设计!$B$24:$U$30,MATCH("对"&amp;LEFT($C$5,2)&amp;"输出",标准坦克设计!$B$23:$U$23,0)))*(VLOOKUP($B113,INDIRECT($B$5&amp;"生成成长"),3))*(VLOOKUP($B$5,标准坦克设计!$B$14:$K$20,9)/30))</f>
        <v>5.808579866106788</v>
      </c>
      <c r="BV113" s="172">
        <f ca="1">(VLOOKUP(BV$72,INDIRECT($C$5&amp;"生成成长"),2))/((VLOOKUP($B113,INDIRECT($B$5&amp;"生成成长"),4))/(VLOOKUP(BV$72,INDIRECT($C$5&amp;"生成成长"),5))*(VLOOKUP($B$5,标准坦克设计!$B$24:$U$30,MATCH("对"&amp;LEFT($C$5,2)&amp;"输出",标准坦克设计!$B$23:$U$23,0)))*(VLOOKUP($B113,INDIRECT($B$5&amp;"生成成长"),3))*(VLOOKUP($B$5,标准坦克设计!$B$14:$K$20,9)/30))</f>
        <v>6.2518274144188828</v>
      </c>
      <c r="BW113" s="172">
        <f ca="1">(VLOOKUP(BW$72,INDIRECT($C$5&amp;"生成成长"),2))/((VLOOKUP($B113,INDIRECT($B$5&amp;"生成成长"),4))/(VLOOKUP(BW$72,INDIRECT($C$5&amp;"生成成长"),5))*(VLOOKUP($B$5,标准坦克设计!$B$24:$U$30,MATCH("对"&amp;LEFT($C$5,2)&amp;"输出",标准坦克设计!$B$23:$U$23,0)))*(VLOOKUP($B113,INDIRECT($B$5&amp;"生成成长"),3))*(VLOOKUP($B$5,标准坦克设计!$B$14:$K$20,9)/30))</f>
        <v>2.8492506464936844</v>
      </c>
      <c r="BX113" s="172">
        <f ca="1">(VLOOKUP(BX$72,INDIRECT($C$5&amp;"生成成长"),2))/((VLOOKUP($B113,INDIRECT($B$5&amp;"生成成长"),4))/(VLOOKUP(BX$72,INDIRECT($C$5&amp;"生成成长"),5))*(VLOOKUP($B$5,标准坦克设计!$B$24:$U$30,MATCH("对"&amp;LEFT($C$5,2)&amp;"输出",标准坦克设计!$B$23:$U$23,0)))*(VLOOKUP($B113,INDIRECT($B$5&amp;"生成成长"),3))*(VLOOKUP($B$5,标准坦克设计!$B$14:$K$20,9)/30))</f>
        <v>3.1621312688316343</v>
      </c>
      <c r="BY113" s="172">
        <f ca="1">(VLOOKUP(BY$72,INDIRECT($C$5&amp;"生成成长"),2))/((VLOOKUP($B113,INDIRECT($B$5&amp;"生成成长"),4))/(VLOOKUP(BY$72,INDIRECT($C$5&amp;"生成成长"),5))*(VLOOKUP($B$5,标准坦克设计!$B$24:$U$30,MATCH("对"&amp;LEFT($C$5,2)&amp;"输出",标准坦克设计!$B$23:$U$23,0)))*(VLOOKUP($B113,INDIRECT($B$5&amp;"生成成长"),3))*(VLOOKUP($B$5,标准坦克设计!$B$14:$K$20,9)/30))</f>
        <v>3.4913077569163513</v>
      </c>
      <c r="BZ113" s="172">
        <f ca="1">(VLOOKUP(BZ$72,INDIRECT($C$5&amp;"生成成长"),2))/((VLOOKUP($B113,INDIRECT($B$5&amp;"生成成长"),4))/(VLOOKUP(BZ$72,INDIRECT($C$5&amp;"生成成长"),5))*(VLOOKUP($B$5,标准坦克设计!$B$24:$U$30,MATCH("对"&amp;LEFT($C$5,2)&amp;"输出",标准坦克设计!$B$23:$U$23,0)))*(VLOOKUP($B113,INDIRECT($B$5&amp;"生成成长"),3))*(VLOOKUP($B$5,标准坦克设计!$B$14:$K$20,9)/30))</f>
        <v>3.8367801107478376</v>
      </c>
      <c r="CA113" s="172">
        <f ca="1">(VLOOKUP(CA$72,INDIRECT($C$5&amp;"生成成长"),2))/((VLOOKUP($B113,INDIRECT($B$5&amp;"生成成长"),4))/(VLOOKUP(CA$72,INDIRECT($C$5&amp;"生成成长"),5))*(VLOOKUP($B$5,标准坦克设计!$B$24:$U$30,MATCH("对"&amp;LEFT($C$5,2)&amp;"输出",标准坦克设计!$B$23:$U$23,0)))*(VLOOKUP($B113,INDIRECT($B$5&amp;"生成成长"),3))*(VLOOKUP($B$5,标准坦克设计!$B$14:$K$20,9)/30))</f>
        <v>4.1985483303260915</v>
      </c>
      <c r="CB113" s="172">
        <f ca="1">(VLOOKUP(CB$72,INDIRECT($C$5&amp;"生成成长"),2))/((VLOOKUP($B113,INDIRECT($B$5&amp;"生成成长"),4))/(VLOOKUP(CB$72,INDIRECT($C$5&amp;"生成成长"),5))*(VLOOKUP($B$5,标准坦克设计!$B$24:$U$30,MATCH("对"&amp;LEFT($C$5,2)&amp;"输出",标准坦克设计!$B$23:$U$23,0)))*(VLOOKUP($B113,INDIRECT($B$5&amp;"生成成长"),3))*(VLOOKUP($B$5,标准坦克设计!$B$14:$K$20,9)/30))</f>
        <v>4.5766124156511125</v>
      </c>
      <c r="CC113" s="172">
        <f ca="1">(VLOOKUP(CC$72,INDIRECT($C$5&amp;"生成成长"),2))/((VLOOKUP($B113,INDIRECT($B$5&amp;"生成成长"),4))/(VLOOKUP(CC$72,INDIRECT($C$5&amp;"生成成长"),5))*(VLOOKUP($B$5,标准坦克设计!$B$24:$U$30,MATCH("对"&amp;LEFT($C$5,2)&amp;"输出",标准坦克设计!$B$23:$U$23,0)))*(VLOOKUP($B113,INDIRECT($B$5&amp;"生成成长"),3))*(VLOOKUP($B$5,标准坦克设计!$B$14:$K$20,9)/30))</f>
        <v>4.9709723667229042</v>
      </c>
      <c r="CD113" s="172">
        <f ca="1">(VLOOKUP(CD$72,INDIRECT($C$5&amp;"生成成长"),2))/((VLOOKUP($B113,INDIRECT($B$5&amp;"生成成长"),4))/(VLOOKUP(CD$72,INDIRECT($C$5&amp;"生成成长"),5))*(VLOOKUP($B$5,标准坦克设计!$B$24:$U$30,MATCH("对"&amp;LEFT($C$5,2)&amp;"输出",标准坦克设计!$B$23:$U$23,0)))*(VLOOKUP($B113,INDIRECT($B$5&amp;"生成成长"),3))*(VLOOKUP($B$5,标准坦克设计!$B$14:$K$20,9)/30))</f>
        <v>5.3816281835414621</v>
      </c>
      <c r="CE113" s="172">
        <f ca="1">(VLOOKUP(CE$72,INDIRECT($C$5&amp;"生成成长"),2))/((VLOOKUP($B113,INDIRECT($B$5&amp;"生成成长"),4))/(VLOOKUP(CE$72,INDIRECT($C$5&amp;"生成成长"),5))*(VLOOKUP($B$5,标准坦克设计!$B$24:$U$30,MATCH("对"&amp;LEFT($C$5,2)&amp;"输出",标准坦克设计!$B$23:$U$23,0)))*(VLOOKUP($B113,INDIRECT($B$5&amp;"生成成长"),3))*(VLOOKUP($B$5,标准坦克设计!$B$14:$K$20,9)/30))</f>
        <v>5.808579866106788</v>
      </c>
      <c r="CF113" s="172">
        <f ca="1">(VLOOKUP(CF$72,INDIRECT($C$5&amp;"生成成长"),2))/((VLOOKUP($B113,INDIRECT($B$5&amp;"生成成长"),4))/(VLOOKUP(CF$72,INDIRECT($C$5&amp;"生成成长"),5))*(VLOOKUP($B$5,标准坦克设计!$B$24:$U$30,MATCH("对"&amp;LEFT($C$5,2)&amp;"输出",标准坦克设计!$B$23:$U$23,0)))*(VLOOKUP($B113,INDIRECT($B$5&amp;"生成成长"),3))*(VLOOKUP($B$5,标准坦克设计!$B$14:$K$20,9)/30))</f>
        <v>6.2518274144188828</v>
      </c>
      <c r="CG113" s="172">
        <f ca="1">(VLOOKUP(CG$72,INDIRECT($C$5&amp;"生成成长"),2))/((VLOOKUP($B113,INDIRECT($B$5&amp;"生成成长"),4))/(VLOOKUP(CG$72,INDIRECT($C$5&amp;"生成成长"),5))*(VLOOKUP($B$5,标准坦克设计!$B$24:$U$30,MATCH("对"&amp;LEFT($C$5,2)&amp;"输出",标准坦克设计!$B$23:$U$23,0)))*(VLOOKUP($B113,INDIRECT($B$5&amp;"生成成长"),3))*(VLOOKUP($B$5,标准坦克设计!$B$14:$K$20,9)/30))</f>
        <v>6.7113708284777465</v>
      </c>
      <c r="CH113" s="172">
        <f ca="1">(VLOOKUP(CH$72,INDIRECT($C$5&amp;"生成成长"),2))/((VLOOKUP($B113,INDIRECT($B$5&amp;"生成成长"),4))/(VLOOKUP(CH$72,INDIRECT($C$5&amp;"生成成长"),5))*(VLOOKUP($B$5,标准坦克设计!$B$24:$U$30,MATCH("对"&amp;LEFT($C$5,2)&amp;"输出",标准坦克设计!$B$23:$U$23,0)))*(VLOOKUP($B113,INDIRECT($B$5&amp;"生成成长"),3))*(VLOOKUP($B$5,标准坦克设计!$B$14:$K$20,9)/30))</f>
        <v>7.1872101082833764</v>
      </c>
      <c r="CI113" s="172">
        <f ca="1">(VLOOKUP(CI$72,INDIRECT($C$5&amp;"生成成长"),2))/((VLOOKUP($B113,INDIRECT($B$5&amp;"生成成长"),4))/(VLOOKUP(CI$72,INDIRECT($C$5&amp;"生成成长"),5))*(VLOOKUP($B$5,标准坦克设计!$B$24:$U$30,MATCH("对"&amp;LEFT($C$5,2)&amp;"输出",标准坦克设计!$B$23:$U$23,0)))*(VLOOKUP($B113,INDIRECT($B$5&amp;"生成成长"),3))*(VLOOKUP($B$5,标准坦克设计!$B$14:$K$20,9)/30))</f>
        <v>7.729455041007089</v>
      </c>
      <c r="CJ113" s="172">
        <f ca="1">(VLOOKUP(CJ$72,INDIRECT($C$5&amp;"生成成长"),2))/((VLOOKUP($B113,INDIRECT($B$5&amp;"生成成长"),4))/(VLOOKUP(CJ$72,INDIRECT($C$5&amp;"生成成长"),5))*(VLOOKUP($B$5,标准坦克设计!$B$24:$U$30,MATCH("对"&amp;LEFT($C$5,2)&amp;"输出",标准坦克设计!$B$23:$U$23,0)))*(VLOOKUP($B113,INDIRECT($B$5&amp;"生成成长"),3))*(VLOOKUP($B$5,标准坦克设计!$B$14:$K$20,9)/30))</f>
        <v>8.2914179712843907</v>
      </c>
      <c r="CK113" s="172">
        <f ca="1">(VLOOKUP(CK$72,INDIRECT($C$5&amp;"生成成长"),2))/((VLOOKUP($B113,INDIRECT($B$5&amp;"生成成长"),4))/(VLOOKUP(CK$72,INDIRECT($C$5&amp;"生成成长"),5))*(VLOOKUP($B$5,标准坦克设计!$B$24:$U$30,MATCH("对"&amp;LEFT($C$5,2)&amp;"输出",标准坦克设计!$B$23:$U$23,0)))*(VLOOKUP($B113,INDIRECT($B$5&amp;"生成成长"),3))*(VLOOKUP($B$5,标准坦克设计!$B$14:$K$20,9)/30))</f>
        <v>8.8730988991152806</v>
      </c>
      <c r="CL113" s="172">
        <f ca="1">(VLOOKUP(CL$72,INDIRECT($C$5&amp;"生成成长"),2))/((VLOOKUP($B113,INDIRECT($B$5&amp;"生成成长"),4))/(VLOOKUP(CL$72,INDIRECT($C$5&amp;"生成成长"),5))*(VLOOKUP($B$5,标准坦克设计!$B$24:$U$30,MATCH("对"&amp;LEFT($C$5,2)&amp;"输出",标准坦克设计!$B$23:$U$23,0)))*(VLOOKUP($B113,INDIRECT($B$5&amp;"生成成长"),3))*(VLOOKUP($B$5,标准坦克设计!$B$14:$K$20,9)/30))</f>
        <v>9.4744978244997622</v>
      </c>
      <c r="CM113" s="172">
        <f ca="1">(VLOOKUP(CM$72,INDIRECT($C$5&amp;"生成成长"),2))/((VLOOKUP($B113,INDIRECT($B$5&amp;"生成成长"),4))/(VLOOKUP(CM$72,INDIRECT($C$5&amp;"生成成长"),5))*(VLOOKUP($B$5,标准坦克设计!$B$24:$U$30,MATCH("对"&amp;LEFT($C$5,2)&amp;"输出",标准坦克设计!$B$23:$U$23,0)))*(VLOOKUP($B113,INDIRECT($B$5&amp;"生成成长"),3))*(VLOOKUP($B$5,标准坦克设计!$B$14:$K$20,9)/30))</f>
        <v>10.095614747437828</v>
      </c>
      <c r="CN113" s="172">
        <f ca="1">(VLOOKUP(CN$72,INDIRECT($C$5&amp;"生成成长"),2))/((VLOOKUP($B113,INDIRECT($B$5&amp;"生成成长"),4))/(VLOOKUP(CN$72,INDIRECT($C$5&amp;"生成成长"),5))*(VLOOKUP($B$5,标准坦克设计!$B$24:$U$30,MATCH("对"&amp;LEFT($C$5,2)&amp;"输出",标准坦克设计!$B$23:$U$23,0)))*(VLOOKUP($B113,INDIRECT($B$5&amp;"生成成长"),3))*(VLOOKUP($B$5,标准坦克设计!$B$14:$K$20,9)/30))</f>
        <v>10.736449667929492</v>
      </c>
      <c r="CO113" s="172">
        <f ca="1">(VLOOKUP(CO$72,INDIRECT($C$5&amp;"生成成长"),2))/((VLOOKUP($B113,INDIRECT($B$5&amp;"生成成长"),4))/(VLOOKUP(CO$72,INDIRECT($C$5&amp;"生成成长"),5))*(VLOOKUP($B$5,标准坦克设计!$B$24:$U$30,MATCH("对"&amp;LEFT($C$5,2)&amp;"输出",标准坦克设计!$B$23:$U$23,0)))*(VLOOKUP($B113,INDIRECT($B$5&amp;"生成成长"),3))*(VLOOKUP($B$5,标准坦克设计!$B$14:$K$20,9)/30))</f>
        <v>4.811272882404575</v>
      </c>
      <c r="CP113" s="172">
        <f ca="1">(VLOOKUP(CP$72,INDIRECT($C$5&amp;"生成成长"),2))/((VLOOKUP($B113,INDIRECT($B$5&amp;"生成成长"),4))/(VLOOKUP(CP$72,INDIRECT($C$5&amp;"生成成长"),5))*(VLOOKUP($B$5,标准坦克设计!$B$24:$U$30,MATCH("对"&amp;LEFT($C$5,2)&amp;"输出",标准坦克设计!$B$23:$U$23,0)))*(VLOOKUP($B113,INDIRECT($B$5&amp;"生成成长"),3))*(VLOOKUP($B$5,标准坦克设计!$B$14:$K$20,9)/30))</f>
        <v>5.2567203725924845</v>
      </c>
      <c r="CQ113" s="172">
        <f ca="1">(VLOOKUP(CQ$72,INDIRECT($C$5&amp;"生成成长"),2))/((VLOOKUP($B113,INDIRECT($B$5&amp;"生成成长"),4))/(VLOOKUP(CQ$72,INDIRECT($C$5&amp;"生成成长"),5))*(VLOOKUP($B$5,标准坦克设计!$B$24:$U$30,MATCH("对"&amp;LEFT($C$5,2)&amp;"输出",标准坦克设计!$B$23:$U$23,0)))*(VLOOKUP($B113,INDIRECT($B$5&amp;"生成成长"),3))*(VLOOKUP($B$5,标准坦克设计!$B$14:$K$20,9)/30))</f>
        <v>5.7218858603339822</v>
      </c>
      <c r="CR113" s="172">
        <f ca="1">(VLOOKUP(CR$72,INDIRECT($C$5&amp;"生成成长"),2))/((VLOOKUP($B113,INDIRECT($B$5&amp;"生成成长"),4))/(VLOOKUP(CR$72,INDIRECT($C$5&amp;"生成成长"),5))*(VLOOKUP($B$5,标准坦克设计!$B$24:$U$30,MATCH("对"&amp;LEFT($C$5,2)&amp;"输出",标准坦克设计!$B$23:$U$23,0)))*(VLOOKUP($B113,INDIRECT($B$5&amp;"生成成长"),3))*(VLOOKUP($B$5,标准坦克设计!$B$14:$K$20,9)/30))</f>
        <v>6.2067693456290707</v>
      </c>
      <c r="CS113" s="172">
        <f ca="1">(VLOOKUP(CS$72,INDIRECT($C$5&amp;"生成成长"),2))/((VLOOKUP($B113,INDIRECT($B$5&amp;"生成成长"),4))/(VLOOKUP(CS$72,INDIRECT($C$5&amp;"生成成长"),5))*(VLOOKUP($B$5,标准坦克设计!$B$24:$U$30,MATCH("对"&amp;LEFT($C$5,2)&amp;"输出",标准坦克设计!$B$23:$U$23,0)))*(VLOOKUP($B113,INDIRECT($B$5&amp;"生成成长"),3))*(VLOOKUP($B$5,标准坦克设计!$B$14:$K$20,9)/30))</f>
        <v>6.7113708284777465</v>
      </c>
      <c r="CT113" s="172">
        <f ca="1">(VLOOKUP(CT$72,INDIRECT($C$5&amp;"生成成长"),2))/((VLOOKUP($B113,INDIRECT($B$5&amp;"生成成长"),4))/(VLOOKUP(CT$72,INDIRECT($C$5&amp;"生成成长"),5))*(VLOOKUP($B$5,标准坦克设计!$B$24:$U$30,MATCH("对"&amp;LEFT($C$5,2)&amp;"输出",标准坦克设计!$B$23:$U$23,0)))*(VLOOKUP($B113,INDIRECT($B$5&amp;"生成成长"),3))*(VLOOKUP($B$5,标准坦克设计!$B$14:$K$20,9)/30))</f>
        <v>7.2356903088800131</v>
      </c>
      <c r="CU113" s="172">
        <f ca="1">(VLOOKUP(CU$72,INDIRECT($C$5&amp;"生成成长"),2))/((VLOOKUP($B113,INDIRECT($B$5&amp;"生成成长"),4))/(VLOOKUP(CU$72,INDIRECT($C$5&amp;"生成成长"),5))*(VLOOKUP($B$5,标准坦克设计!$B$24:$U$30,MATCH("对"&amp;LEFT($C$5,2)&amp;"输出",标准坦克设计!$B$23:$U$23,0)))*(VLOOKUP($B113,INDIRECT($B$5&amp;"生成成长"),3))*(VLOOKUP($B$5,标准坦克设计!$B$14:$K$20,9)/30))</f>
        <v>7.7797277868358696</v>
      </c>
      <c r="CV113" s="172">
        <f ca="1">(VLOOKUP(CV$72,INDIRECT($C$5&amp;"生成成长"),2))/((VLOOKUP($B113,INDIRECT($B$5&amp;"生成成长"),4))/(VLOOKUP(CV$72,INDIRECT($C$5&amp;"生成成长"),5))*(VLOOKUP($B$5,标准坦克设计!$B$24:$U$30,MATCH("对"&amp;LEFT($C$5,2)&amp;"输出",标准坦克设计!$B$23:$U$23,0)))*(VLOOKUP($B113,INDIRECT($B$5&amp;"生成成长"),3))*(VLOOKUP($B$5,标准坦克设计!$B$14:$K$20,9)/30))</f>
        <v>8.3434832623453143</v>
      </c>
      <c r="CW113" s="172">
        <f ca="1">(VLOOKUP(CW$72,INDIRECT($C$5&amp;"生成成长"),2))/((VLOOKUP($B113,INDIRECT($B$5&amp;"生成成长"),4))/(VLOOKUP(CW$72,INDIRECT($C$5&amp;"生成成长"),5))*(VLOOKUP($B$5,标准坦克设计!$B$24:$U$30,MATCH("对"&amp;LEFT($C$5,2)&amp;"输出",标准坦克设计!$B$23:$U$23,0)))*(VLOOKUP($B113,INDIRECT($B$5&amp;"生成成长"),3))*(VLOOKUP($B$5,标准坦克设计!$B$14:$K$20,9)/30))</f>
        <v>8.9269567354083517</v>
      </c>
      <c r="CX113" s="172">
        <f ca="1">(VLOOKUP(CX$72,INDIRECT($C$5&amp;"生成成长"),2))/((VLOOKUP($B113,INDIRECT($B$5&amp;"生成成长"),4))/(VLOOKUP(CX$72,INDIRECT($C$5&amp;"生成成长"),5))*(VLOOKUP($B$5,标准坦克设计!$B$24:$U$30,MATCH("对"&amp;LEFT($C$5,2)&amp;"输出",标准坦克设计!$B$23:$U$23,0)))*(VLOOKUP($B113,INDIRECT($B$5&amp;"生成成长"),3))*(VLOOKUP($B$5,标准坦克设计!$B$14:$K$20,9)/30))</f>
        <v>9.5301482060249754</v>
      </c>
      <c r="CY113" s="172">
        <f ca="1">(VLOOKUP(CY$72,INDIRECT($C$5&amp;"生成成长"),2))/((VLOOKUP($B113,INDIRECT($B$5&amp;"生成成长"),4))/(VLOOKUP(CY$72,INDIRECT($C$5&amp;"生成成长"),5))*(VLOOKUP($B$5,标准坦克设计!$B$24:$U$30,MATCH("对"&amp;LEFT($C$5,2)&amp;"输出",标准坦克设计!$B$23:$U$23,0)))*(VLOOKUP($B113,INDIRECT($B$5&amp;"生成成长"),3))*(VLOOKUP($B$5,标准坦克设计!$B$14:$K$20,9)/30))</f>
        <v>10.153057674195189</v>
      </c>
      <c r="CZ113" s="172">
        <f ca="1">(VLOOKUP(CZ$72,INDIRECT($C$5&amp;"生成成长"),2))/((VLOOKUP($B113,INDIRECT($B$5&amp;"生成成长"),4))/(VLOOKUP(CZ$72,INDIRECT($C$5&amp;"生成成长"),5))*(VLOOKUP($B$5,标准坦克设计!$B$24:$U$30,MATCH("对"&amp;LEFT($C$5,2)&amp;"输出",标准坦克设计!$B$23:$U$23,0)))*(VLOOKUP($B113,INDIRECT($B$5&amp;"生成成长"),3))*(VLOOKUP($B$5,标准坦克设计!$B$14:$K$20,9)/30))</f>
        <v>10.795685139918994</v>
      </c>
      <c r="DA113" s="172">
        <f ca="1">(VLOOKUP(DA$72,INDIRECT($C$5&amp;"生成成长"),2))/((VLOOKUP($B113,INDIRECT($B$5&amp;"生成成长"),4))/(VLOOKUP(DA$72,INDIRECT($C$5&amp;"生成成长"),5))*(VLOOKUP($B$5,标准坦克设计!$B$24:$U$30,MATCH("对"&amp;LEFT($C$5,2)&amp;"输出",标准坦克设计!$B$23:$U$23,0)))*(VLOOKUP($B113,INDIRECT($B$5&amp;"生成成长"),3))*(VLOOKUP($B$5,标准坦克设计!$B$14:$K$20,9)/30))</f>
        <v>11.458030603196386</v>
      </c>
      <c r="DB113" s="172">
        <f ca="1">(VLOOKUP(DB$72,INDIRECT($C$5&amp;"生成成长"),2))/((VLOOKUP($B113,INDIRECT($B$5&amp;"生成成长"),4))/(VLOOKUP(DB$72,INDIRECT($C$5&amp;"生成成长"),5))*(VLOOKUP($B$5,标准坦克设计!$B$24:$U$30,MATCH("对"&amp;LEFT($C$5,2)&amp;"输出",标准坦克设计!$B$23:$U$23,0)))*(VLOOKUP($B113,INDIRECT($B$5&amp;"生成成长"),3))*(VLOOKUP($B$5,标准坦克设计!$B$14:$K$20,9)/30))</f>
        <v>12.14009406402737</v>
      </c>
      <c r="DC113" s="172">
        <f ca="1">(VLOOKUP(DC$72,INDIRECT($C$5&amp;"生成成长"),2))/((VLOOKUP($B113,INDIRECT($B$5&amp;"生成成长"),4))/(VLOOKUP(DC$72,INDIRECT($C$5&amp;"生成成长"),5))*(VLOOKUP($B$5,标准坦克设计!$B$24:$U$30,MATCH("对"&amp;LEFT($C$5,2)&amp;"输出",标准坦克设计!$B$23:$U$23,0)))*(VLOOKUP($B113,INDIRECT($B$5&amp;"生成成长"),3))*(VLOOKUP($B$5,标准坦克设计!$B$14:$K$20,9)/30))</f>
        <v>12.906651588755345</v>
      </c>
      <c r="DD113" s="172">
        <f ca="1">(VLOOKUP(DD$72,INDIRECT($C$5&amp;"生成成长"),2))/((VLOOKUP($B113,INDIRECT($B$5&amp;"生成成长"),4))/(VLOOKUP(DD$72,INDIRECT($C$5&amp;"生成成长"),5))*(VLOOKUP($B$5,标准坦克设计!$B$24:$U$30,MATCH("对"&amp;LEFT($C$5,2)&amp;"输出",标准坦克设计!$B$23:$U$23,0)))*(VLOOKUP($B113,INDIRECT($B$5&amp;"生成成长"),3))*(VLOOKUP($B$5,标准坦克设计!$B$14:$K$20,9)/30))</f>
        <v>13.696675160158666</v>
      </c>
      <c r="DE113" s="172">
        <f ca="1">(VLOOKUP(DE$72,INDIRECT($C$5&amp;"生成成长"),2))/((VLOOKUP($B113,INDIRECT($B$5&amp;"生成成长"),4))/(VLOOKUP(DE$72,INDIRECT($C$5&amp;"生成成长"),5))*(VLOOKUP($B$5,标准坦克设计!$B$24:$U$30,MATCH("对"&amp;LEFT($C$5,2)&amp;"输出",标准坦克设计!$B$23:$U$23,0)))*(VLOOKUP($B113,INDIRECT($B$5&amp;"生成成长"),3))*(VLOOKUP($B$5,标准坦克设计!$B$14:$K$20,9)/30))</f>
        <v>14.510164778237337</v>
      </c>
      <c r="DF113" s="172">
        <f ca="1">(VLOOKUP(DF$72,INDIRECT($C$5&amp;"生成成长"),2))/((VLOOKUP($B113,INDIRECT($B$5&amp;"生成成长"),4))/(VLOOKUP(DF$72,INDIRECT($C$5&amp;"生成成长"),5))*(VLOOKUP($B$5,标准坦克设计!$B$24:$U$30,MATCH("对"&amp;LEFT($C$5,2)&amp;"输出",标准坦克设计!$B$23:$U$23,0)))*(VLOOKUP($B113,INDIRECT($B$5&amp;"生成成长"),3))*(VLOOKUP($B$5,标准坦克设计!$B$14:$K$20,9)/30))</f>
        <v>15.347120442991351</v>
      </c>
      <c r="DG113" s="172">
        <f ca="1">(VLOOKUP(DG$72,INDIRECT($C$5&amp;"生成成长"),2))/((VLOOKUP($B113,INDIRECT($B$5&amp;"生成成长"),4))/(VLOOKUP(DG$72,INDIRECT($C$5&amp;"生成成长"),5))*(VLOOKUP($B$5,标准坦克设计!$B$24:$U$30,MATCH("对"&amp;LEFT($C$5,2)&amp;"输出",标准坦克设计!$B$23:$U$23,0)))*(VLOOKUP($B113,INDIRECT($B$5&amp;"生成成长"),3))*(VLOOKUP($B$5,标准坦克设计!$B$14:$K$20,9)/30))</f>
        <v>16.207542154420711</v>
      </c>
      <c r="DH113" s="172">
        <f ca="1">(VLOOKUP(DH$72,INDIRECT($C$5&amp;"生成成长"),2))/((VLOOKUP($B113,INDIRECT($B$5&amp;"生成成长"),4))/(VLOOKUP(DH$72,INDIRECT($C$5&amp;"生成成长"),5))*(VLOOKUP($B$5,标准坦克设计!$B$24:$U$30,MATCH("对"&amp;LEFT($C$5,2)&amp;"输出",标准坦克设计!$B$23:$U$23,0)))*(VLOOKUP($B113,INDIRECT($B$5&amp;"生成成长"),3))*(VLOOKUP($B$5,标准坦克设计!$B$14:$K$20,9)/30))</f>
        <v>17.091429912525417</v>
      </c>
      <c r="DI113" s="172">
        <f ca="1">(VLOOKUP(DI$72,INDIRECT($C$5&amp;"生成成长"),2))/((VLOOKUP($B113,INDIRECT($B$5&amp;"生成成长"),4))/(VLOOKUP(DI$72,INDIRECT($C$5&amp;"生成成长"),5))*(VLOOKUP($B$5,标准坦克设计!$B$24:$U$30,MATCH("对"&amp;LEFT($C$5,2)&amp;"输出",标准坦克设计!$B$23:$U$23,0)))*(VLOOKUP($B113,INDIRECT($B$5&amp;"生成成长"),3))*(VLOOKUP($B$5,标准坦克设计!$B$14:$K$20,9)/30))</f>
        <v>17.998783717305468</v>
      </c>
      <c r="DJ113" s="172">
        <f ca="1">(VLOOKUP(DJ$72,INDIRECT($C$5&amp;"生成成长"),2))/((VLOOKUP($B113,INDIRECT($B$5&amp;"生成成长"),4))/(VLOOKUP(DJ$72,INDIRECT($C$5&amp;"生成成长"),5))*(VLOOKUP($B$5,标准坦克设计!$B$24:$U$30,MATCH("对"&amp;LEFT($C$5,2)&amp;"输出",标准坦克设计!$B$23:$U$23,0)))*(VLOOKUP($B113,INDIRECT($B$5&amp;"生成成长"),3))*(VLOOKUP($B$5,标准坦克设计!$B$14:$K$20,9)/30))</f>
        <v>1.8089225772200033</v>
      </c>
      <c r="DK113" s="172">
        <f ca="1">(VLOOKUP(DK$72,INDIRECT($C$5&amp;"生成成长"),2))/((VLOOKUP($B113,INDIRECT($B$5&amp;"生成成长"),4))/(VLOOKUP(DK$72,INDIRECT($C$5&amp;"生成成长"),5))*(VLOOKUP($B$5,标准坦克设计!$B$24:$U$30,MATCH("对"&amp;LEFT($C$5,2)&amp;"输出",标准坦克设计!$B$23:$U$23,0)))*(VLOOKUP($B113,INDIRECT($B$5&amp;"生成成长"),3))*(VLOOKUP($B$5,标准坦克设计!$B$14:$K$20,9)/30))</f>
        <v>2.0340499625116055</v>
      </c>
      <c r="DL113" s="172">
        <f ca="1">(VLOOKUP(DL$72,INDIRECT($C$5&amp;"生成成长"),2))/((VLOOKUP($B113,INDIRECT($B$5&amp;"生成成长"),4))/(VLOOKUP(DL$72,INDIRECT($C$5&amp;"生成成长"),5))*(VLOOKUP($B$5,标准坦克设计!$B$24:$U$30,MATCH("对"&amp;LEFT($C$5,2)&amp;"输出",标准坦克设计!$B$23:$U$23,0)))*(VLOOKUP($B113,INDIRECT($B$5&amp;"生成成长"),3))*(VLOOKUP($B$5,标准坦克设计!$B$14:$K$20,9)/30))</f>
        <v>2.2723769990580904</v>
      </c>
      <c r="DM113" s="172">
        <f ca="1">(VLOOKUP(DM$72,INDIRECT($C$5&amp;"生成成长"),2))/((VLOOKUP($B113,INDIRECT($B$5&amp;"生成成长"),4))/(VLOOKUP(DM$72,INDIRECT($C$5&amp;"生成成长"),5))*(VLOOKUP($B$5,标准坦克设计!$B$24:$U$30,MATCH("对"&amp;LEFT($C$5,2)&amp;"输出",标准坦克设计!$B$23:$U$23,0)))*(VLOOKUP($B113,INDIRECT($B$5&amp;"生成成长"),3))*(VLOOKUP($B$5,标准坦克设计!$B$14:$K$20,9)/30))</f>
        <v>2.5239036868594571</v>
      </c>
      <c r="DN113" s="172">
        <f ca="1">(VLOOKUP(DN$72,INDIRECT($C$5&amp;"生成成长"),2))/((VLOOKUP($B113,INDIRECT($B$5&amp;"生成成长"),4))/(VLOOKUP(DN$72,INDIRECT($C$5&amp;"生成成长"),5))*(VLOOKUP($B$5,标准坦克设计!$B$24:$U$30,MATCH("对"&amp;LEFT($C$5,2)&amp;"输出",标准坦克设计!$B$23:$U$23,0)))*(VLOOKUP($B113,INDIRECT($B$5&amp;"生成成长"),3))*(VLOOKUP($B$5,标准坦克设计!$B$14:$K$20,9)/30))</f>
        <v>2.7886300259157069</v>
      </c>
      <c r="DO113" s="172">
        <f ca="1">(VLOOKUP(DO$72,INDIRECT($C$5&amp;"生成成长"),2))/((VLOOKUP($B113,INDIRECT($B$5&amp;"生成成长"),4))/(VLOOKUP(DO$72,INDIRECT($C$5&amp;"生成成长"),5))*(VLOOKUP($B$5,标准坦克设计!$B$24:$U$30,MATCH("对"&amp;LEFT($C$5,2)&amp;"输出",标准坦克设计!$B$23:$U$23,0)))*(VLOOKUP($B113,INDIRECT($B$5&amp;"生成成长"),3))*(VLOOKUP($B$5,标准坦克设计!$B$14:$K$20,9)/30))</f>
        <v>3.0665560162268388</v>
      </c>
      <c r="DP113" s="172">
        <f ca="1">(VLOOKUP(DP$72,INDIRECT($C$5&amp;"生成成长"),2))/((VLOOKUP($B113,INDIRECT($B$5&amp;"生成成长"),4))/(VLOOKUP(DP$72,INDIRECT($C$5&amp;"生成成长"),5))*(VLOOKUP($B$5,标准坦克设计!$B$24:$U$30,MATCH("对"&amp;LEFT($C$5,2)&amp;"输出",标准坦克设计!$B$23:$U$23,0)))*(VLOOKUP($B113,INDIRECT($B$5&amp;"生成成长"),3))*(VLOOKUP($B$5,标准坦克设计!$B$14:$K$20,9)/30))</f>
        <v>3.3576816577928525</v>
      </c>
      <c r="DQ113" s="172">
        <f ca="1">(VLOOKUP(DQ$72,INDIRECT($C$5&amp;"生成成长"),2))/((VLOOKUP($B113,INDIRECT($B$5&amp;"生成成长"),4))/(VLOOKUP(DQ$72,INDIRECT($C$5&amp;"生成成长"),5))*(VLOOKUP($B$5,标准坦克设计!$B$24:$U$30,MATCH("对"&amp;LEFT($C$5,2)&amp;"输出",标准坦克设计!$B$23:$U$23,0)))*(VLOOKUP($B113,INDIRECT($B$5&amp;"生成成长"),3))*(VLOOKUP($B$5,标准坦克设计!$B$14:$K$20,9)/30))</f>
        <v>3.662006950613748</v>
      </c>
      <c r="DR113" s="172">
        <f ca="1">(VLOOKUP(DR$72,INDIRECT($C$5&amp;"生成成长"),2))/((VLOOKUP($B113,INDIRECT($B$5&amp;"生成成长"),4))/(VLOOKUP(DR$72,INDIRECT($C$5&amp;"生成成长"),5))*(VLOOKUP($B$5,标准坦克设计!$B$24:$U$30,MATCH("对"&amp;LEFT($C$5,2)&amp;"输出",标准坦克设计!$B$23:$U$23,0)))*(VLOOKUP($B113,INDIRECT($B$5&amp;"生成成长"),3))*(VLOOKUP($B$5,标准坦克设计!$B$14:$K$20,9)/30))</f>
        <v>3.9795318946895262</v>
      </c>
      <c r="DS113" s="172">
        <f ca="1">(VLOOKUP(DS$72,INDIRECT($C$5&amp;"生成成长"),2))/((VLOOKUP($B113,INDIRECT($B$5&amp;"生成成长"),4))/(VLOOKUP(DS$72,INDIRECT($C$5&amp;"生成成长"),5))*(VLOOKUP($B$5,标准坦克设计!$B$24:$U$30,MATCH("对"&amp;LEFT($C$5,2)&amp;"输出",标准坦克设计!$B$23:$U$23,0)))*(VLOOKUP($B113,INDIRECT($B$5&amp;"生成成长"),3))*(VLOOKUP($B$5,标准坦克设计!$B$14:$K$20,9)/30))</f>
        <v>4.310256490020187</v>
      </c>
      <c r="DT113" s="172">
        <f ca="1">(VLOOKUP(DT$72,INDIRECT($C$5&amp;"生成成长"),2))/((VLOOKUP($B113,INDIRECT($B$5&amp;"生成成长"),4))/(VLOOKUP(DT$72,INDIRECT($C$5&amp;"生成成长"),5))*(VLOOKUP($B$5,标准坦克设计!$B$24:$U$30,MATCH("对"&amp;LEFT($C$5,2)&amp;"输出",标准坦克设计!$B$23:$U$23,0)))*(VLOOKUP($B113,INDIRECT($B$5&amp;"生成成长"),3))*(VLOOKUP($B$5,标准坦克设计!$B$14:$K$20,9)/30))</f>
        <v>4.732400892190217</v>
      </c>
      <c r="DU113" s="172">
        <f ca="1">(VLOOKUP(DU$72,INDIRECT($C$5&amp;"生成成长"),2))/((VLOOKUP($B113,INDIRECT($B$5&amp;"生成成长"),4))/(VLOOKUP(DU$72,INDIRECT($C$5&amp;"生成成长"),5))*(VLOOKUP($B$5,标准坦克设计!$B$24:$U$30,MATCH("对"&amp;LEFT($C$5,2)&amp;"输出",标准坦克设计!$B$23:$U$23,0)))*(VLOOKUP($B113,INDIRECT($B$5&amp;"生成成长"),3))*(VLOOKUP($B$5,标准坦克设计!$B$14:$K$20,9)/30))</f>
        <v>5.1742632919138369</v>
      </c>
      <c r="DV113" s="172">
        <f ca="1">(VLOOKUP(DV$72,INDIRECT($C$5&amp;"生成成长"),2))/((VLOOKUP($B113,INDIRECT($B$5&amp;"生成成长"),4))/(VLOOKUP(DV$72,INDIRECT($C$5&amp;"生成成长"),5))*(VLOOKUP($B$5,标准坦克设计!$B$24:$U$30,MATCH("对"&amp;LEFT($C$5,2)&amp;"输出",标准坦克设计!$B$23:$U$23,0)))*(VLOOKUP($B113,INDIRECT($B$5&amp;"生成成长"),3))*(VLOOKUP($B$5,标准坦克设计!$B$14:$K$20,9)/30))</f>
        <v>5.6358436891910459</v>
      </c>
      <c r="DW113" s="172">
        <f ca="1">(VLOOKUP(DW$72,INDIRECT($C$5&amp;"生成成长"),2))/((VLOOKUP($B113,INDIRECT($B$5&amp;"生成成长"),4))/(VLOOKUP(DW$72,INDIRECT($C$5&amp;"生成成长"),5))*(VLOOKUP($B$5,标准坦克设计!$B$24:$U$30,MATCH("对"&amp;LEFT($C$5,2)&amp;"输出",标准坦克设计!$B$23:$U$23,0)))*(VLOOKUP($B113,INDIRECT($B$5&amp;"生成成长"),3))*(VLOOKUP($B$5,标准坦克设计!$B$14:$K$20,9)/30))</f>
        <v>6.1171420840218458</v>
      </c>
      <c r="DX113" s="172">
        <f ca="1">(VLOOKUP(DX$72,INDIRECT($C$5&amp;"生成成长"),2))/((VLOOKUP($B113,INDIRECT($B$5&amp;"生成成长"),4))/(VLOOKUP(DX$72,INDIRECT($C$5&amp;"生成成长"),5))*(VLOOKUP($B$5,标准坦克设计!$B$24:$U$30,MATCH("对"&amp;LEFT($C$5,2)&amp;"输出",标准坦克设计!$B$23:$U$23,0)))*(VLOOKUP($B113,INDIRECT($B$5&amp;"生成成长"),3))*(VLOOKUP($B$5,标准坦克设计!$B$14:$K$20,9)/30))</f>
        <v>6.618158476406232</v>
      </c>
      <c r="DY113" s="172">
        <f ca="1">(VLOOKUP(DY$72,INDIRECT($C$5&amp;"生成成长"),2))/((VLOOKUP($B113,INDIRECT($B$5&amp;"生成成长"),4))/(VLOOKUP(DY$72,INDIRECT($C$5&amp;"生成成长"),5))*(VLOOKUP($B$5,标准坦克设计!$B$24:$U$30,MATCH("对"&amp;LEFT($C$5,2)&amp;"输出",标准坦克设计!$B$23:$U$23,0)))*(VLOOKUP($B113,INDIRECT($B$5&amp;"生成成长"),3))*(VLOOKUP($B$5,标准坦克设计!$B$14:$K$20,9)/30))</f>
        <v>2.9724473915392524</v>
      </c>
      <c r="DZ113" s="172">
        <f ca="1">(VLOOKUP(DZ$72,INDIRECT($C$5&amp;"生成成长"),2))/((VLOOKUP($B113,INDIRECT($B$5&amp;"生成成长"),4))/(VLOOKUP(DZ$72,INDIRECT($C$5&amp;"生成成长"),5))*(VLOOKUP($B$5,标准坦克设计!$B$24:$U$30,MATCH("对"&amp;LEFT($C$5,2)&amp;"输出",标准坦克设计!$B$23:$U$23,0)))*(VLOOKUP($B113,INDIRECT($B$5&amp;"生成成长"),3))*(VLOOKUP($B$5,标准坦克设计!$B$14:$K$20,9)/30))</f>
        <v>3.2918463601759091</v>
      </c>
      <c r="EA113" s="172">
        <f ca="1">(VLOOKUP(EA$72,INDIRECT($C$5&amp;"生成成长"),2))/((VLOOKUP($B113,INDIRECT($B$5&amp;"生成成长"),4))/(VLOOKUP(EA$72,INDIRECT($C$5&amp;"生成成长"),5))*(VLOOKUP($B$5,标准坦克设计!$B$24:$U$30,MATCH("对"&amp;LEFT($C$5,2)&amp;"输出",标准坦克设计!$B$23:$U$23,0)))*(VLOOKUP($B113,INDIRECT($B$5&amp;"生成成长"),3))*(VLOOKUP($B$5,标准坦克设计!$B$14:$K$20,9)/30))</f>
        <v>3.6275411945593343</v>
      </c>
      <c r="EB113" s="172">
        <f ca="1">(VLOOKUP(EB$72,INDIRECT($C$5&amp;"生成成长"),2))/((VLOOKUP($B113,INDIRECT($B$5&amp;"生成成长"),4))/(VLOOKUP(EB$72,INDIRECT($C$5&amp;"生成成长"),5))*(VLOOKUP($B$5,标准坦克设计!$B$24:$U$30,MATCH("对"&amp;LEFT($C$5,2)&amp;"输出",标准坦克设计!$B$23:$U$23,0)))*(VLOOKUP($B113,INDIRECT($B$5&amp;"生成成长"),3))*(VLOOKUP($B$5,标准坦克设计!$B$14:$K$20,9)/30))</f>
        <v>3.9795318946895262</v>
      </c>
      <c r="EC113" s="172">
        <f ca="1">(VLOOKUP(EC$72,INDIRECT($C$5&amp;"生成成长"),2))/((VLOOKUP($B113,INDIRECT($B$5&amp;"生成成长"),4))/(VLOOKUP(EC$72,INDIRECT($C$5&amp;"生成成长"),5))*(VLOOKUP($B$5,标准坦克设计!$B$24:$U$30,MATCH("对"&amp;LEFT($C$5,2)&amp;"输出",标准坦克设计!$B$23:$U$23,0)))*(VLOOKUP($B113,INDIRECT($B$5&amp;"生成成长"),3))*(VLOOKUP($B$5,标准坦克设计!$B$14:$K$20,9)/30))</f>
        <v>4.3478184605664882</v>
      </c>
      <c r="ED113" s="172">
        <f ca="1">(VLOOKUP(ED$72,INDIRECT($C$5&amp;"生成成长"),2))/((VLOOKUP($B113,INDIRECT($B$5&amp;"生成成长"),4))/(VLOOKUP(ED$72,INDIRECT($C$5&amp;"生成成长"),5))*(VLOOKUP($B$5,标准坦克设计!$B$24:$U$30,MATCH("对"&amp;LEFT($C$5,2)&amp;"输出",标准坦克设计!$B$23:$U$23,0)))*(VLOOKUP($B113,INDIRECT($B$5&amp;"生成成长"),3))*(VLOOKUP($B$5,标准坦克设计!$B$14:$K$20,9)/30))</f>
        <v>4.732400892190217</v>
      </c>
      <c r="EE113" s="172">
        <f ca="1">(VLOOKUP(EE$72,INDIRECT($C$5&amp;"生成成长"),2))/((VLOOKUP($B113,INDIRECT($B$5&amp;"生成成长"),4))/(VLOOKUP(EE$72,INDIRECT($C$5&amp;"生成成长"),5))*(VLOOKUP($B$5,标准坦克设计!$B$24:$U$30,MATCH("对"&amp;LEFT($C$5,2)&amp;"输出",标准坦克设计!$B$23:$U$23,0)))*(VLOOKUP($B113,INDIRECT($B$5&amp;"生成成长"),3))*(VLOOKUP($B$5,标准坦克设计!$B$14:$K$20,9)/30))</f>
        <v>5.1332791895607155</v>
      </c>
      <c r="EF113" s="172">
        <f ca="1">(VLOOKUP(EF$72,INDIRECT($C$5&amp;"生成成长"),2))/((VLOOKUP($B113,INDIRECT($B$5&amp;"生成成长"),4))/(VLOOKUP(EF$72,INDIRECT($C$5&amp;"生成成长"),5))*(VLOOKUP($B$5,标准坦克设计!$B$24:$U$30,MATCH("对"&amp;LEFT($C$5,2)&amp;"输出",标准坦克设计!$B$23:$U$23,0)))*(VLOOKUP($B113,INDIRECT($B$5&amp;"生成成长"),3))*(VLOOKUP($B$5,标准坦克设计!$B$14:$K$20,9)/30))</f>
        <v>5.5504533526779802</v>
      </c>
      <c r="EG113" s="172">
        <f ca="1">(VLOOKUP(EG$72,INDIRECT($C$5&amp;"生成成长"),2))/((VLOOKUP($B113,INDIRECT($B$5&amp;"生成成长"),4))/(VLOOKUP(EG$72,INDIRECT($C$5&amp;"生成成长"),5))*(VLOOKUP($B$5,标准坦克设计!$B$24:$U$30,MATCH("对"&amp;LEFT($C$5,2)&amp;"输出",标准坦克设计!$B$23:$U$23,0)))*(VLOOKUP($B113,INDIRECT($B$5&amp;"生成成长"),3))*(VLOOKUP($B$5,标准坦克设计!$B$14:$K$20,9)/30))</f>
        <v>5.9839233815420148</v>
      </c>
      <c r="EH113" s="172">
        <f ca="1">(VLOOKUP(EH$72,INDIRECT($C$5&amp;"生成成长"),2))/((VLOOKUP($B113,INDIRECT($B$5&amp;"生成成长"),4))/(VLOOKUP(EH$72,INDIRECT($C$5&amp;"生成成长"),5))*(VLOOKUP($B$5,标准坦克设计!$B$24:$U$30,MATCH("对"&amp;LEFT($C$5,2)&amp;"输出",标准坦克设计!$B$23:$U$23,0)))*(VLOOKUP($B113,INDIRECT($B$5&amp;"生成成长"),3))*(VLOOKUP($B$5,标准坦克设计!$B$14:$K$20,9)/30))</f>
        <v>6.4336892761528164</v>
      </c>
      <c r="EI113" s="172">
        <f ca="1">(VLOOKUP(EI$72,INDIRECT($C$5&amp;"生成成长"),2))/((VLOOKUP($B113,INDIRECT($B$5&amp;"生成成长"),4))/(VLOOKUP(EI$72,INDIRECT($C$5&amp;"生成成长"),5))*(VLOOKUP($B$5,标准坦克设计!$B$24:$U$30,MATCH("对"&amp;LEFT($C$5,2)&amp;"输出",标准坦克设计!$B$23:$U$23,0)))*(VLOOKUP($B113,INDIRECT($B$5&amp;"生成成长"),3))*(VLOOKUP($B$5,标准坦克设计!$B$14:$K$20,9)/30))</f>
        <v>6.8997510365103869</v>
      </c>
      <c r="EJ113" s="172">
        <f ca="1">(VLOOKUP(EJ$72,INDIRECT($C$5&amp;"生成成长"),2))/((VLOOKUP($B113,INDIRECT($B$5&amp;"生成成长"),4))/(VLOOKUP(EJ$72,INDIRECT($C$5&amp;"生成成长"),5))*(VLOOKUP($B$5,标准坦克设计!$B$24:$U$30,MATCH("对"&amp;LEFT($C$5,2)&amp;"输出",标准坦克设计!$B$23:$U$23,0)))*(VLOOKUP($B113,INDIRECT($B$5&amp;"生成成长"),3))*(VLOOKUP($B$5,标准坦克设计!$B$14:$K$20,9)/30))</f>
        <v>7.3821086626147254</v>
      </c>
      <c r="EK113" s="172">
        <f ca="1">(VLOOKUP(EK$72,INDIRECT($C$5&amp;"生成成长"),2))/((VLOOKUP($B113,INDIRECT($B$5&amp;"生成成长"),4))/(VLOOKUP(EK$72,INDIRECT($C$5&amp;"生成成长"),5))*(VLOOKUP($B$5,标准坦克设计!$B$24:$U$30,MATCH("对"&amp;LEFT($C$5,2)&amp;"输出",标准坦克设计!$B$23:$U$23,0)))*(VLOOKUP($B113,INDIRECT($B$5&amp;"生成成长"),3))*(VLOOKUP($B$5,标准坦克设计!$B$14:$K$20,9)/30))</f>
        <v>7.9824483567256648</v>
      </c>
      <c r="EL113" s="172">
        <f ca="1">(VLOOKUP(EL$72,INDIRECT($C$5&amp;"生成成长"),2))/((VLOOKUP($B113,INDIRECT($B$5&amp;"生成成长"),4))/(VLOOKUP(EL$72,INDIRECT($C$5&amp;"生成成长"),5))*(VLOOKUP($B$5,标准坦克设计!$B$24:$U$30,MATCH("对"&amp;LEFT($C$5,2)&amp;"输出",标准坦克设计!$B$23:$U$23,0)))*(VLOOKUP($B113,INDIRECT($B$5&amp;"生成成长"),3))*(VLOOKUP($B$5,标准坦克设计!$B$14:$K$20,9)/30))</f>
        <v>8.6062540975119521</v>
      </c>
      <c r="EM113" s="172">
        <f ca="1">(VLOOKUP(EM$72,INDIRECT($C$5&amp;"生成成长"),2))/((VLOOKUP($B113,INDIRECT($B$5&amp;"生成成长"),4))/(VLOOKUP(EM$72,INDIRECT($C$5&amp;"生成成长"),5))*(VLOOKUP($B$5,标准坦克设计!$B$24:$U$30,MATCH("对"&amp;LEFT($C$5,2)&amp;"输出",标准坦克设计!$B$23:$U$23,0)))*(VLOOKUP($B113,INDIRECT($B$5&amp;"生成成长"),3))*(VLOOKUP($B$5,标准坦克设计!$B$14:$K$20,9)/30))</f>
        <v>9.253525884973584</v>
      </c>
      <c r="EN113" s="172">
        <f ca="1">(VLOOKUP(EN$72,INDIRECT($C$5&amp;"生成成长"),2))/((VLOOKUP($B113,INDIRECT($B$5&amp;"生成成长"),4))/(VLOOKUP(EN$72,INDIRECT($C$5&amp;"生成成长"),5))*(VLOOKUP($B$5,标准坦克设计!$B$24:$U$30,MATCH("对"&amp;LEFT($C$5,2)&amp;"输出",标准坦克设计!$B$23:$U$23,0)))*(VLOOKUP($B113,INDIRECT($B$5&amp;"生成成长"),3))*(VLOOKUP($B$5,标准坦克设计!$B$14:$K$20,9)/30))</f>
        <v>9.9242637191105629</v>
      </c>
      <c r="EO113" s="172">
        <f ca="1">(VLOOKUP(EO$72,INDIRECT($C$5&amp;"生成成长"),2))/((VLOOKUP($B113,INDIRECT($B$5&amp;"生成成长"),4))/(VLOOKUP(EO$72,INDIRECT($C$5&amp;"生成成长"),5))*(VLOOKUP($B$5,标准坦克设计!$B$24:$U$30,MATCH("对"&amp;LEFT($C$5,2)&amp;"输出",标准坦克设计!$B$23:$U$23,0)))*(VLOOKUP($B113,INDIRECT($B$5&amp;"生成成长"),3))*(VLOOKUP($B$5,标准坦克设计!$B$14:$K$20,9)/30))</f>
        <v>10.618467599922889</v>
      </c>
      <c r="EP113" s="172">
        <f ca="1">(VLOOKUP(EP$72,INDIRECT($C$5&amp;"生成成长"),2))/((VLOOKUP($B113,INDIRECT($B$5&amp;"生成成长"),4))/(VLOOKUP(EP$72,INDIRECT($C$5&amp;"生成成长"),5))*(VLOOKUP($B$5,标准坦克设计!$B$24:$U$30,MATCH("对"&amp;LEFT($C$5,2)&amp;"输出",标准坦克设计!$B$23:$U$23,0)))*(VLOOKUP($B113,INDIRECT($B$5&amp;"生成成长"),3))*(VLOOKUP($B$5,标准坦克设计!$B$14:$K$20,9)/30))</f>
        <v>11.33613752741056</v>
      </c>
      <c r="EQ113" s="172">
        <f ca="1">(VLOOKUP(EQ$72,INDIRECT($C$5&amp;"生成成长"),2))/((VLOOKUP($B113,INDIRECT($B$5&amp;"生成成长"),4))/(VLOOKUP(EQ$72,INDIRECT($C$5&amp;"生成成长"),5))*(VLOOKUP($B$5,标准坦克设计!$B$24:$U$30,MATCH("对"&amp;LEFT($C$5,2)&amp;"输出",标准坦克设计!$B$23:$U$23,0)))*(VLOOKUP($B113,INDIRECT($B$5&amp;"生成成长"),3))*(VLOOKUP($B$5,标准坦克设计!$B$14:$K$20,9)/30))</f>
        <v>5.0113046344461551</v>
      </c>
      <c r="ER113" s="172">
        <f ca="1">(VLOOKUP(ER$72,INDIRECT($C$5&amp;"生成成长"),2))/((VLOOKUP($B113,INDIRECT($B$5&amp;"生成成长"),4))/(VLOOKUP(ER$72,INDIRECT($C$5&amp;"生成成长"),5))*(VLOOKUP($B$5,标准坦克设计!$B$24:$U$30,MATCH("对"&amp;LEFT($C$5,2)&amp;"输出",标准坦克设计!$B$23:$U$23,0)))*(VLOOKUP($B113,INDIRECT($B$5&amp;"生成成长"),3))*(VLOOKUP($B$5,标准坦克设计!$B$14:$K$20,9)/30))</f>
        <v>5.4657148507947868</v>
      </c>
      <c r="ES113" s="172">
        <f ca="1">(VLOOKUP(ES$72,INDIRECT($C$5&amp;"生成成长"),2))/((VLOOKUP($B113,INDIRECT($B$5&amp;"生成成长"),4))/(VLOOKUP(ES$72,INDIRECT($C$5&amp;"生成成长"),5))*(VLOOKUP($B$5,标准坦克设计!$B$24:$U$30,MATCH("对"&amp;LEFT($C$5,2)&amp;"输出",标准坦克设计!$B$23:$U$23,0)))*(VLOOKUP($B113,INDIRECT($B$5&amp;"生成成长"),3))*(VLOOKUP($B$5,标准坦克设计!$B$14:$K$20,9)/30))</f>
        <v>5.9398430646970057</v>
      </c>
      <c r="ET113" s="172">
        <f ca="1">(VLOOKUP(ET$72,INDIRECT($C$5&amp;"生成成长"),2))/((VLOOKUP($B113,INDIRECT($B$5&amp;"生成成长"),4))/(VLOOKUP(ET$72,INDIRECT($C$5&amp;"生成成长"),5))*(VLOOKUP($B$5,标准坦克设计!$B$24:$U$30,MATCH("对"&amp;LEFT($C$5,2)&amp;"输出",标准坦克设计!$B$23:$U$23,0)))*(VLOOKUP($B113,INDIRECT($B$5&amp;"生成成长"),3))*(VLOOKUP($B$5,标准坦克设计!$B$14:$K$20,9)/30))</f>
        <v>6.4336892761528164</v>
      </c>
      <c r="EU113" s="172">
        <f ca="1">(VLOOKUP(EU$72,INDIRECT($C$5&amp;"生成成长"),2))/((VLOOKUP($B113,INDIRECT($B$5&amp;"生成成长"),4))/(VLOOKUP(EU$72,INDIRECT($C$5&amp;"生成成长"),5))*(VLOOKUP($B$5,标准坦克设计!$B$24:$U$30,MATCH("对"&amp;LEFT($C$5,2)&amp;"输出",标准坦克设计!$B$23:$U$23,0)))*(VLOOKUP($B113,INDIRECT($B$5&amp;"生成成长"),3))*(VLOOKUP($B$5,标准坦克设计!$B$14:$K$20,9)/30))</f>
        <v>6.947253485162217</v>
      </c>
      <c r="EV113" s="172">
        <f ca="1">(VLOOKUP(EV$72,INDIRECT($C$5&amp;"生成成长"),2))/((VLOOKUP($B113,INDIRECT($B$5&amp;"生成成长"),4))/(VLOOKUP(EV$72,INDIRECT($C$5&amp;"生成成长"),5))*(VLOOKUP($B$5,标准坦克设计!$B$24:$U$30,MATCH("对"&amp;LEFT($C$5,2)&amp;"输出",标准坦克设计!$B$23:$U$23,0)))*(VLOOKUP($B113,INDIRECT($B$5&amp;"生成成长"),3))*(VLOOKUP($B$5,标准坦克设计!$B$14:$K$20,9)/30))</f>
        <v>7.4805356917252057</v>
      </c>
      <c r="EW113" s="172">
        <f ca="1">(VLOOKUP(EW$72,INDIRECT($C$5&amp;"生成成长"),2))/((VLOOKUP($B113,INDIRECT($B$5&amp;"生成成长"),4))/(VLOOKUP(EW$72,INDIRECT($C$5&amp;"生成成长"),5))*(VLOOKUP($B$5,标准坦克设计!$B$24:$U$30,MATCH("对"&amp;LEFT($C$5,2)&amp;"输出",标准坦克设计!$B$23:$U$23,0)))*(VLOOKUP($B113,INDIRECT($B$5&amp;"生成成长"),3))*(VLOOKUP($B$5,标准坦克设计!$B$14:$K$20,9)/30))</f>
        <v>8.0335358958417835</v>
      </c>
      <c r="EX113" s="172">
        <f ca="1">(VLOOKUP(EX$72,INDIRECT($C$5&amp;"生成成长"),2))/((VLOOKUP($B113,INDIRECT($B$5&amp;"生成成长"),4))/(VLOOKUP(EX$72,INDIRECT($C$5&amp;"生成成长"),5))*(VLOOKUP($B$5,标准坦克设计!$B$24:$U$30,MATCH("对"&amp;LEFT($C$5,2)&amp;"输出",标准坦克设计!$B$23:$U$23,0)))*(VLOOKUP($B113,INDIRECT($B$5&amp;"生成成长"),3))*(VLOOKUP($B$5,标准坦克设计!$B$14:$K$20,9)/30))</f>
        <v>8.6062540975119521</v>
      </c>
      <c r="EY113" s="172">
        <f ca="1">(VLOOKUP(EY$72,INDIRECT($C$5&amp;"生成成长"),2))/((VLOOKUP($B113,INDIRECT($B$5&amp;"生成成长"),4))/(VLOOKUP(EY$72,INDIRECT($C$5&amp;"生成成长"),5))*(VLOOKUP($B$5,标准坦克设计!$B$24:$U$30,MATCH("对"&amp;LEFT($C$5,2)&amp;"输出",标准坦克设计!$B$23:$U$23,0)))*(VLOOKUP($B113,INDIRECT($B$5&amp;"生成成长"),3))*(VLOOKUP($B$5,标准坦克设计!$B$14:$K$20,9)/30))</f>
        <v>9.1986902967357089</v>
      </c>
      <c r="EZ113" s="172">
        <f ca="1">(VLOOKUP(EZ$72,INDIRECT($C$5&amp;"生成成长"),2))/((VLOOKUP($B113,INDIRECT($B$5&amp;"生成成长"),4))/(VLOOKUP(EZ$72,INDIRECT($C$5&amp;"生成成长"),5))*(VLOOKUP($B$5,标准坦克设计!$B$24:$U$30,MATCH("对"&amp;LEFT($C$5,2)&amp;"输出",标准坦克设计!$B$23:$U$23,0)))*(VLOOKUP($B113,INDIRECT($B$5&amp;"生成成长"),3))*(VLOOKUP($B$5,标准坦克设计!$B$14:$K$20,9)/30))</f>
        <v>9.8108444935130574</v>
      </c>
      <c r="FA113" s="172">
        <f ca="1">(VLOOKUP(FA$72,INDIRECT($C$5&amp;"生成成长"),2))/((VLOOKUP($B113,INDIRECT($B$5&amp;"生成成长"),4))/(VLOOKUP(FA$72,INDIRECT($C$5&amp;"生成成长"),5))*(VLOOKUP($B$5,标准坦克设计!$B$24:$U$30,MATCH("对"&amp;LEFT($C$5,2)&amp;"输出",标准坦克设计!$B$23:$U$23,0)))*(VLOOKUP($B113,INDIRECT($B$5&amp;"生成成长"),3))*(VLOOKUP($B$5,标准坦克设计!$B$14:$K$20,9)/30))</f>
        <v>10.442716687843994</v>
      </c>
      <c r="FB113" s="172">
        <f ca="1">(VLOOKUP(FB$72,INDIRECT($C$5&amp;"生成成长"),2))/((VLOOKUP($B113,INDIRECT($B$5&amp;"生成成长"),4))/(VLOOKUP(FB$72,INDIRECT($C$5&amp;"生成成长"),5))*(VLOOKUP($B$5,标准坦克设计!$B$24:$U$30,MATCH("对"&amp;LEFT($C$5,2)&amp;"输出",标准坦克设计!$B$23:$U$23,0)))*(VLOOKUP($B113,INDIRECT($B$5&amp;"生成成长"),3))*(VLOOKUP($B$5,标准坦克设计!$B$14:$K$20,9)/30))</f>
        <v>11.094306879728521</v>
      </c>
      <c r="FC113" s="172">
        <f ca="1">(VLOOKUP(FC$72,INDIRECT($C$5&amp;"生成成长"),2))/((VLOOKUP($B113,INDIRECT($B$5&amp;"生成成长"),4))/(VLOOKUP(FC$72,INDIRECT($C$5&amp;"生成成长"),5))*(VLOOKUP($B$5,标准坦克设计!$B$24:$U$30,MATCH("对"&amp;LEFT($C$5,2)&amp;"输出",标准坦克设计!$B$23:$U$23,0)))*(VLOOKUP($B113,INDIRECT($B$5&amp;"生成成长"),3))*(VLOOKUP($B$5,标准坦克设计!$B$14:$K$20,9)/30))</f>
        <v>11.765615069166635</v>
      </c>
      <c r="FD113" s="172">
        <f ca="1">(VLOOKUP(FD$72,INDIRECT($C$5&amp;"生成成长"),2))/((VLOOKUP($B113,INDIRECT($B$5&amp;"生成成长"),4))/(VLOOKUP(FD$72,INDIRECT($C$5&amp;"生成成长"),5))*(VLOOKUP($B$5,标准坦克设计!$B$24:$U$30,MATCH("对"&amp;LEFT($C$5,2)&amp;"输出",标准坦克设计!$B$23:$U$23,0)))*(VLOOKUP($B113,INDIRECT($B$5&amp;"生成成长"),3))*(VLOOKUP($B$5,标准坦克设计!$B$14:$K$20,9)/30))</f>
        <v>12.45664125615834</v>
      </c>
      <c r="FE113" s="172">
        <f ca="1">(VLOOKUP(FE$72,INDIRECT($C$5&amp;"生成成长"),2))/((VLOOKUP($B113,INDIRECT($B$5&amp;"生成成长"),4))/(VLOOKUP(FE$72,INDIRECT($C$5&amp;"生成成长"),5))*(VLOOKUP($B$5,标准坦克设计!$B$24:$U$30,MATCH("对"&amp;LEFT($C$5,2)&amp;"输出",标准坦克设计!$B$23:$U$23,0)))*(VLOOKUP($B113,INDIRECT($B$5&amp;"生成成长"),3))*(VLOOKUP($B$5,标准坦克设计!$B$14:$K$20,9)/30))</f>
        <v>13.298730118622586</v>
      </c>
      <c r="FF113" s="172">
        <f ca="1">(VLOOKUP(FF$72,INDIRECT($C$5&amp;"生成成长"),2))/((VLOOKUP($B113,INDIRECT($B$5&amp;"生成成长"),4))/(VLOOKUP(FF$72,INDIRECT($C$5&amp;"生成成长"),5))*(VLOOKUP($B$5,标准坦克设计!$B$24:$U$30,MATCH("对"&amp;LEFT($C$5,2)&amp;"输出",标准坦克设计!$B$23:$U$23,0)))*(VLOOKUP($B113,INDIRECT($B$5&amp;"生成成长"),3))*(VLOOKUP($B$5,标准坦克设计!$B$14:$K$20,9)/30))</f>
        <v>14.168358994198872</v>
      </c>
      <c r="FG113" s="172">
        <f ca="1">(VLOOKUP(FG$72,INDIRECT($C$5&amp;"生成成长"),2))/((VLOOKUP($B113,INDIRECT($B$5&amp;"生成成长"),4))/(VLOOKUP(FG$72,INDIRECT($C$5&amp;"生成成长"),5))*(VLOOKUP($B$5,标准坦克设计!$B$24:$U$30,MATCH("对"&amp;LEFT($C$5,2)&amp;"输出",标准坦克设计!$B$23:$U$23,0)))*(VLOOKUP($B113,INDIRECT($B$5&amp;"生成成长"),3))*(VLOOKUP($B$5,标准坦克设计!$B$14:$K$20,9)/30))</f>
        <v>15.065527882887194</v>
      </c>
      <c r="FH113" s="172">
        <f ca="1">(VLOOKUP(FH$72,INDIRECT($C$5&amp;"生成成长"),2))/((VLOOKUP($B113,INDIRECT($B$5&amp;"生成成长"),4))/(VLOOKUP(FH$72,INDIRECT($C$5&amp;"生成成长"),5))*(VLOOKUP($B$5,标准坦克设计!$B$24:$U$30,MATCH("对"&amp;LEFT($C$5,2)&amp;"输出",标准坦克设计!$B$23:$U$23,0)))*(VLOOKUP($B113,INDIRECT($B$5&amp;"生成成长"),3))*(VLOOKUP($B$5,标准坦克设计!$B$14:$K$20,9)/30))</f>
        <v>15.990236784687555</v>
      </c>
      <c r="FI113" s="172">
        <f ca="1">(VLOOKUP(FI$72,INDIRECT($C$5&amp;"生成成长"),2))/((VLOOKUP($B113,INDIRECT($B$5&amp;"生成成长"),4))/(VLOOKUP(FI$72,INDIRECT($C$5&amp;"生成成长"),5))*(VLOOKUP($B$5,标准坦克设计!$B$24:$U$30,MATCH("对"&amp;LEFT($C$5,2)&amp;"输出",标准坦克设计!$B$23:$U$23,0)))*(VLOOKUP($B113,INDIRECT($B$5&amp;"生成成长"),3))*(VLOOKUP($B$5,标准坦克设计!$B$14:$K$20,9)/30))</f>
        <v>16.942485699599953</v>
      </c>
      <c r="FJ113" s="172">
        <f ca="1">(VLOOKUP(FJ$72,INDIRECT($C$5&amp;"生成成长"),2))/((VLOOKUP($B113,INDIRECT($B$5&amp;"生成成长"),4))/(VLOOKUP(FJ$72,INDIRECT($C$5&amp;"生成成长"),5))*(VLOOKUP($B$5,标准坦克设计!$B$24:$U$30,MATCH("对"&amp;LEFT($C$5,2)&amp;"输出",标准坦克设计!$B$23:$U$23,0)))*(VLOOKUP($B113,INDIRECT($B$5&amp;"生成成长"),3))*(VLOOKUP($B$5,标准坦克设计!$B$14:$K$20,9)/30))</f>
        <v>17.922274627624393</v>
      </c>
      <c r="FK113" s="172">
        <f ca="1">(VLOOKUP(FK$72,INDIRECT($C$5&amp;"生成成长"),2))/((VLOOKUP($B113,INDIRECT($B$5&amp;"生成成长"),4))/(VLOOKUP(FK$72,INDIRECT($C$5&amp;"生成成长"),5))*(VLOOKUP($B$5,标准坦克设计!$B$24:$U$30,MATCH("对"&amp;LEFT($C$5,2)&amp;"输出",标准坦克设计!$B$23:$U$23,0)))*(VLOOKUP($B113,INDIRECT($B$5&amp;"生成成长"),3))*(VLOOKUP($B$5,标准坦克设计!$B$14:$K$20,9)/30))</f>
        <v>18.929603568760868</v>
      </c>
    </row>
    <row r="114" spans="1:167" x14ac:dyDescent="0.15">
      <c r="A114" s="170" t="str">
        <f t="shared" si="11"/>
        <v>T5低品质10级</v>
      </c>
      <c r="B114" s="171">
        <v>10510</v>
      </c>
      <c r="C114" s="172">
        <f ca="1">(VLOOKUP(C$72,INDIRECT($C$5&amp;"生成成长"),2))/((VLOOKUP($B114,INDIRECT($B$5&amp;"生成成长"),4))/(VLOOKUP(C$72,INDIRECT($C$5&amp;"生成成长"),5))*(VLOOKUP($B$5,标准坦克设计!$B$24:$U$30,MATCH("对"&amp;LEFT($C$5,2)&amp;"输出",标准坦克设计!$B$23:$U$23,0)))*(VLOOKUP($B114,INDIRECT($B$5&amp;"生成成长"),3))*(VLOOKUP($B$5,标准坦克设计!$B$14:$K$20,9)/30))</f>
        <v>0.76398681110115663</v>
      </c>
      <c r="D114" s="172">
        <f ca="1">(VLOOKUP(D$72,INDIRECT($C$5&amp;"生成成长"),2))/((VLOOKUP($B114,INDIRECT($B$5&amp;"生成成长"),4))/(VLOOKUP(D$72,INDIRECT($C$5&amp;"生成成长"),5))*(VLOOKUP($B$5,标准坦克设计!$B$24:$U$30,MATCH("对"&amp;LEFT($C$5,2)&amp;"输出",标准坦克设计!$B$23:$U$23,0)))*(VLOOKUP($B114,INDIRECT($B$5&amp;"生成成长"),3))*(VLOOKUP($B$5,标准坦克设计!$B$14:$K$20,9)/30))</f>
        <v>0.85841558095325987</v>
      </c>
      <c r="E114" s="172">
        <f ca="1">(VLOOKUP(E$72,INDIRECT($C$5&amp;"生成成长"),2))/((VLOOKUP($B114,INDIRECT($B$5&amp;"生成成长"),4))/(VLOOKUP(E$72,INDIRECT($C$5&amp;"生成成长"),5))*(VLOOKUP($B$5,标准坦克设计!$B$24:$U$30,MATCH("对"&amp;LEFT($C$5,2)&amp;"输出",标准坦克设计!$B$23:$U$23,0)))*(VLOOKUP($B114,INDIRECT($B$5&amp;"生成成长"),3))*(VLOOKUP($B$5,标准坦克设计!$B$14:$K$20,9)/30))</f>
        <v>0.95834505584529084</v>
      </c>
      <c r="F114" s="172">
        <f ca="1">(VLOOKUP(F$72,INDIRECT($C$5&amp;"生成成长"),2))/((VLOOKUP($B114,INDIRECT($B$5&amp;"生成成长"),4))/(VLOOKUP(F$72,INDIRECT($C$5&amp;"生成成长"),5))*(VLOOKUP($B$5,标准坦克设计!$B$24:$U$30,MATCH("对"&amp;LEFT($C$5,2)&amp;"输出",标准坦克设计!$B$23:$U$23,0)))*(VLOOKUP($B114,INDIRECT($B$5&amp;"生成成长"),3))*(VLOOKUP($B$5,标准坦克设计!$B$14:$K$20,9)/30))</f>
        <v>1.0637752357772507</v>
      </c>
      <c r="G114" s="172">
        <f ca="1">(VLOOKUP(G$72,INDIRECT($C$5&amp;"生成成长"),2))/((VLOOKUP($B114,INDIRECT($B$5&amp;"生成成长"),4))/(VLOOKUP(G$72,INDIRECT($C$5&amp;"生成成长"),5))*(VLOOKUP($B$5,标准坦克设计!$B$24:$U$30,MATCH("对"&amp;LEFT($C$5,2)&amp;"输出",标准坦克设计!$B$23:$U$23,0)))*(VLOOKUP($B114,INDIRECT($B$5&amp;"生成成长"),3))*(VLOOKUP($B$5,标准坦克设计!$B$14:$K$20,9)/30))</f>
        <v>1.1747061207491385</v>
      </c>
      <c r="H114" s="172">
        <f ca="1">(VLOOKUP(H$72,INDIRECT($C$5&amp;"生成成长"),2))/((VLOOKUP($B114,INDIRECT($B$5&amp;"生成成长"),4))/(VLOOKUP(H$72,INDIRECT($C$5&amp;"生成成长"),5))*(VLOOKUP($B$5,标准坦克设计!$B$24:$U$30,MATCH("对"&amp;LEFT($C$5,2)&amp;"输出",标准坦克设计!$B$23:$U$23,0)))*(VLOOKUP($B114,INDIRECT($B$5&amp;"生成成长"),3))*(VLOOKUP($B$5,标准坦克设计!$B$14:$K$20,9)/30))</f>
        <v>1.0280206530177165</v>
      </c>
      <c r="I114" s="172">
        <f ca="1">(VLOOKUP(I$72,INDIRECT($C$5&amp;"生成成长"),2))/((VLOOKUP($B114,INDIRECT($B$5&amp;"生成成长"),4))/(VLOOKUP(I$72,INDIRECT($C$5&amp;"生成成长"),5))*(VLOOKUP($B$5,标准坦克设计!$B$24:$U$30,MATCH("对"&amp;LEFT($C$5,2)&amp;"输出",标准坦克设计!$B$23:$U$23,0)))*(VLOOKUP($B114,INDIRECT($B$5&amp;"生成成长"),3))*(VLOOKUP($B$5,标准坦克设计!$B$14:$K$20,9)/30))</f>
        <v>1.1747061207491385</v>
      </c>
      <c r="J114" s="172">
        <f ca="1">(VLOOKUP(J$72,INDIRECT($C$5&amp;"生成成长"),2))/((VLOOKUP($B114,INDIRECT($B$5&amp;"生成成长"),4))/(VLOOKUP(J$72,INDIRECT($C$5&amp;"生成成长"),5))*(VLOOKUP($B$5,标准坦克设计!$B$24:$U$30,MATCH("对"&amp;LEFT($C$5,2)&amp;"输出",标准坦克设计!$B$23:$U$23,0)))*(VLOOKUP($B114,INDIRECT($B$5&amp;"生成成长"),3))*(VLOOKUP($B$5,标准坦克设计!$B$14:$K$20,9)/30))</f>
        <v>1.3311706196626554</v>
      </c>
      <c r="K114" s="172">
        <f ca="1">(VLOOKUP(K$72,INDIRECT($C$5&amp;"生成成长"),2))/((VLOOKUP($B114,INDIRECT($B$5&amp;"生成成长"),4))/(VLOOKUP(K$72,INDIRECT($C$5&amp;"生成成长"),5))*(VLOOKUP($B$5,标准坦克设计!$B$24:$U$30,MATCH("对"&amp;LEFT($C$5,2)&amp;"输出",标准坦克设计!$B$23:$U$23,0)))*(VLOOKUP($B114,INDIRECT($B$5&amp;"生成成长"),3))*(VLOOKUP($B$5,标准坦克设计!$B$14:$K$20,9)/30))</f>
        <v>1.4974141497582671</v>
      </c>
      <c r="L114" s="172">
        <f ca="1">(VLOOKUP(L$72,INDIRECT($C$5&amp;"生成成长"),2))/((VLOOKUP($B114,INDIRECT($B$5&amp;"生成成长"),4))/(VLOOKUP(L$72,INDIRECT($C$5&amp;"生成成长"),5))*(VLOOKUP($B$5,标准坦克设计!$B$24:$U$30,MATCH("对"&amp;LEFT($C$5,2)&amp;"输出",标准坦克设计!$B$23:$U$23,0)))*(VLOOKUP($B114,INDIRECT($B$5&amp;"生成成长"),3))*(VLOOKUP($B$5,标准坦克设计!$B$14:$K$20,9)/30))</f>
        <v>1.6734367110359738</v>
      </c>
      <c r="M114" s="172">
        <f ca="1">(VLOOKUP(M$72,INDIRECT($C$5&amp;"生成成长"),2))/((VLOOKUP($B114,INDIRECT($B$5&amp;"生成成长"),4))/(VLOOKUP(M$72,INDIRECT($C$5&amp;"生成成长"),5))*(VLOOKUP($B$5,标准坦克设计!$B$24:$U$30,MATCH("对"&amp;LEFT($C$5,2)&amp;"输出",标准坦克设计!$B$23:$U$23,0)))*(VLOOKUP($B114,INDIRECT($B$5&amp;"生成成长"),3))*(VLOOKUP($B$5,标准坦克设计!$B$14:$K$20,9)/30))</f>
        <v>1.8592383034957751</v>
      </c>
      <c r="N114" s="172">
        <f ca="1">(VLOOKUP(N$72,INDIRECT($C$5&amp;"生成成长"),2))/((VLOOKUP($B114,INDIRECT($B$5&amp;"生成成长"),4))/(VLOOKUP(N$72,INDIRECT($C$5&amp;"生成成长"),5))*(VLOOKUP($B$5,标准坦克设计!$B$24:$U$30,MATCH("对"&amp;LEFT($C$5,2)&amp;"输出",标准坦克设计!$B$23:$U$23,0)))*(VLOOKUP($B114,INDIRECT($B$5&amp;"生成成长"),3))*(VLOOKUP($B$5,标准坦克设计!$B$14:$K$20,9)/30))</f>
        <v>2.054818927137672</v>
      </c>
      <c r="O114" s="172">
        <f ca="1">(VLOOKUP(O$72,INDIRECT($C$5&amp;"生成成长"),2))/((VLOOKUP($B114,INDIRECT($B$5&amp;"生成成长"),4))/(VLOOKUP(O$72,INDIRECT($C$5&amp;"生成成长"),5))*(VLOOKUP($B$5,标准坦克设计!$B$24:$U$30,MATCH("对"&amp;LEFT($C$5,2)&amp;"输出",标准坦克设计!$B$23:$U$23,0)))*(VLOOKUP($B114,INDIRECT($B$5&amp;"生成成长"),3))*(VLOOKUP($B$5,标准坦克设计!$B$14:$K$20,9)/30))</f>
        <v>1.5622766300207556</v>
      </c>
      <c r="P114" s="172">
        <f ca="1">(VLOOKUP(P$72,INDIRECT($C$5&amp;"生成成长"),2))/((VLOOKUP($B114,INDIRECT($B$5&amp;"生成成长"),4))/(VLOOKUP(P$72,INDIRECT($C$5&amp;"生成成长"),5))*(VLOOKUP($B$5,标准坦克设计!$B$24:$U$30,MATCH("对"&amp;LEFT($C$5,2)&amp;"输出",标准坦克设计!$B$23:$U$23,0)))*(VLOOKUP($B114,INDIRECT($B$5&amp;"生成成长"),3))*(VLOOKUP($B$5,标准坦克设计!$B$14:$K$20,9)/30))</f>
        <v>1.7651151283681126</v>
      </c>
      <c r="Q114" s="172">
        <f ca="1">(VLOOKUP(Q$72,INDIRECT($C$5&amp;"生成成长"),2))/((VLOOKUP($B114,INDIRECT($B$5&amp;"生成成长"),4))/(VLOOKUP(Q$72,INDIRECT($C$5&amp;"生成成长"),5))*(VLOOKUP($B$5,标准坦克设计!$B$24:$U$30,MATCH("对"&amp;LEFT($C$5,2)&amp;"输出",标准坦克设计!$B$23:$U$23,0)))*(VLOOKUP($B114,INDIRECT($B$5&amp;"生成成长"),3))*(VLOOKUP($B$5,标准坦克设计!$B$14:$K$20,9)/30))</f>
        <v>1.9803302130553087</v>
      </c>
      <c r="R114" s="172">
        <f ca="1">(VLOOKUP(R$72,INDIRECT($C$5&amp;"生成成长"),2))/((VLOOKUP($B114,INDIRECT($B$5&amp;"生成成长"),4))/(VLOOKUP(R$72,INDIRECT($C$5&amp;"生成成长"),5))*(VLOOKUP($B$5,标准坦克设计!$B$24:$U$30,MATCH("对"&amp;LEFT($C$5,2)&amp;"输出",标准坦克设计!$B$23:$U$23,0)))*(VLOOKUP($B114,INDIRECT($B$5&amp;"生成成长"),3))*(VLOOKUP($B$5,标准坦克设计!$B$14:$K$20,9)/30))</f>
        <v>2.2079218840823431</v>
      </c>
      <c r="S114" s="172">
        <f ca="1">(VLOOKUP(S$72,INDIRECT($C$5&amp;"生成成长"),2))/((VLOOKUP($B114,INDIRECT($B$5&amp;"生成成长"),4))/(VLOOKUP(S$72,INDIRECT($C$5&amp;"生成成长"),5))*(VLOOKUP($B$5,标准坦克设计!$B$24:$U$30,MATCH("对"&amp;LEFT($C$5,2)&amp;"输出",标准坦克设计!$B$23:$U$23,0)))*(VLOOKUP($B114,INDIRECT($B$5&amp;"生成成长"),3))*(VLOOKUP($B$5,标准坦克设计!$B$14:$K$20,9)/30))</f>
        <v>2.447890141449216</v>
      </c>
      <c r="T114" s="172">
        <f ca="1">(VLOOKUP(T$72,INDIRECT($C$5&amp;"生成成长"),2))/((VLOOKUP($B114,INDIRECT($B$5&amp;"生成成长"),4))/(VLOOKUP(T$72,INDIRECT($C$5&amp;"生成成长"),5))*(VLOOKUP($B$5,标准坦克设计!$B$24:$U$30,MATCH("对"&amp;LEFT($C$5,2)&amp;"输出",标准坦克设计!$B$23:$U$23,0)))*(VLOOKUP($B114,INDIRECT($B$5&amp;"生成成长"),3))*(VLOOKUP($B$5,标准坦克设计!$B$14:$K$20,9)/30))</f>
        <v>2.7002349851559284</v>
      </c>
      <c r="U114" s="172">
        <f ca="1">(VLOOKUP(U$72,INDIRECT($C$5&amp;"生成成长"),2))/((VLOOKUP($B114,INDIRECT($B$5&amp;"生成成长"),4))/(VLOOKUP(U$72,INDIRECT($C$5&amp;"生成成长"),5))*(VLOOKUP($B$5,标准坦克设计!$B$24:$U$30,MATCH("对"&amp;LEFT($C$5,2)&amp;"输出",标准坦克设计!$B$23:$U$23,0)))*(VLOOKUP($B114,INDIRECT($B$5&amp;"生成成长"),3))*(VLOOKUP($B$5,标准坦克设计!$B$14:$K$20,9)/30))</f>
        <v>2.9649564152024794</v>
      </c>
      <c r="V114" s="172">
        <f ca="1">(VLOOKUP(V$72,INDIRECT($C$5&amp;"生成成长"),2))/((VLOOKUP($B114,INDIRECT($B$5&amp;"生成成长"),4))/(VLOOKUP(V$72,INDIRECT($C$5&amp;"生成成长"),5))*(VLOOKUP($B$5,标准坦克设计!$B$24:$U$30,MATCH("对"&amp;LEFT($C$5,2)&amp;"输出",标准坦克设计!$B$23:$U$23,0)))*(VLOOKUP($B114,INDIRECT($B$5&amp;"生成成长"),3))*(VLOOKUP($B$5,标准坦克设计!$B$14:$K$20,9)/30))</f>
        <v>3.2420544315888686</v>
      </c>
      <c r="W114" s="172">
        <f ca="1">(VLOOKUP(W$72,INDIRECT($C$5&amp;"生成成长"),2))/((VLOOKUP($B114,INDIRECT($B$5&amp;"生成成长"),4))/(VLOOKUP(W$72,INDIRECT($C$5&amp;"生成成长"),5))*(VLOOKUP($B$5,标准坦克设计!$B$24:$U$30,MATCH("对"&amp;LEFT($C$5,2)&amp;"输出",标准坦克设计!$B$23:$U$23,0)))*(VLOOKUP($B114,INDIRECT($B$5&amp;"生成成长"),3))*(VLOOKUP($B$5,标准坦克设计!$B$14:$K$20,9)/30))</f>
        <v>3.5315290343150969</v>
      </c>
      <c r="X114" s="172">
        <f ca="1">(VLOOKUP(X$72,INDIRECT($C$5&amp;"生成成长"),2))/((VLOOKUP($B114,INDIRECT($B$5&amp;"生成成长"),4))/(VLOOKUP(X$72,INDIRECT($C$5&amp;"生成成长"),5))*(VLOOKUP($B$5,标准坦克设计!$B$24:$U$30,MATCH("对"&amp;LEFT($C$5,2)&amp;"输出",标准坦克设计!$B$23:$U$23,0)))*(VLOOKUP($B114,INDIRECT($B$5&amp;"生成成长"),3))*(VLOOKUP($B$5,标准坦克设计!$B$14:$K$20,9)/30))</f>
        <v>2.5585154316966636</v>
      </c>
      <c r="Y114" s="172">
        <f ca="1">(VLOOKUP(Y$72,INDIRECT($C$5&amp;"生成成长"),2))/((VLOOKUP($B114,INDIRECT($B$5&amp;"生成成长"),4))/(VLOOKUP(Y$72,INDIRECT($C$5&amp;"生成成长"),5))*(VLOOKUP($B$5,标准坦克设计!$B$24:$U$30,MATCH("对"&amp;LEFT($C$5,2)&amp;"输出",标准坦克设计!$B$23:$U$23,0)))*(VLOOKUP($B114,INDIRECT($B$5&amp;"生成成长"),3))*(VLOOKUP($B$5,标准坦克设计!$B$14:$K$20,9)/30))</f>
        <v>2.8457744726706986</v>
      </c>
      <c r="Z114" s="172">
        <f ca="1">(VLOOKUP(Z$72,INDIRECT($C$5&amp;"生成成长"),2))/((VLOOKUP($B114,INDIRECT($B$5&amp;"生成成长"),4))/(VLOOKUP(Z$72,INDIRECT($C$5&amp;"生成成长"),5))*(VLOOKUP($B$5,标准坦克设计!$B$24:$U$30,MATCH("对"&amp;LEFT($C$5,2)&amp;"输出",标准坦克设计!$B$23:$U$23,0)))*(VLOOKUP($B114,INDIRECT($B$5&amp;"生成成长"),3))*(VLOOKUP($B$5,标准坦克设计!$B$14:$K$20,9)/30))</f>
        <v>3.1483132498667565</v>
      </c>
      <c r="AA114" s="172">
        <f ca="1">(VLOOKUP(AA$72,INDIRECT($C$5&amp;"生成成长"),2))/((VLOOKUP($B114,INDIRECT($B$5&amp;"生成成长"),4))/(VLOOKUP(AA$72,INDIRECT($C$5&amp;"生成成长"),5))*(VLOOKUP($B$5,标准坦克设计!$B$24:$U$30,MATCH("对"&amp;LEFT($C$5,2)&amp;"输出",标准坦克设计!$B$23:$U$23,0)))*(VLOOKUP($B114,INDIRECT($B$5&amp;"生成成长"),3))*(VLOOKUP($B$5,标准坦克设计!$B$14:$K$20,9)/30))</f>
        <v>3.4661317632848383</v>
      </c>
      <c r="AB114" s="172">
        <f ca="1">(VLOOKUP(AB$72,INDIRECT($C$5&amp;"生成成长"),2))/((VLOOKUP($B114,INDIRECT($B$5&amp;"生成成长"),4))/(VLOOKUP(AB$72,INDIRECT($C$5&amp;"生成成长"),5))*(VLOOKUP($B$5,标准坦克设计!$B$24:$U$30,MATCH("对"&amp;LEFT($C$5,2)&amp;"输出",标准坦克设计!$B$23:$U$23,0)))*(VLOOKUP($B114,INDIRECT($B$5&amp;"生成成长"),3))*(VLOOKUP($B$5,标准坦克设计!$B$14:$K$20,9)/30))</f>
        <v>3.799230012924943</v>
      </c>
      <c r="AC114" s="172">
        <f ca="1">(VLOOKUP(AC$72,INDIRECT($C$5&amp;"生成成长"),2))/((VLOOKUP($B114,INDIRECT($B$5&amp;"生成成长"),4))/(VLOOKUP(AC$72,INDIRECT($C$5&amp;"生成成长"),5))*(VLOOKUP($B$5,标准坦克设计!$B$24:$U$30,MATCH("对"&amp;LEFT($C$5,2)&amp;"输出",标准坦克设计!$B$23:$U$23,0)))*(VLOOKUP($B114,INDIRECT($B$5&amp;"生成成长"),3))*(VLOOKUP($B$5,标准坦克设计!$B$14:$K$20,9)/30))</f>
        <v>4.1476079987870706</v>
      </c>
      <c r="AD114" s="172">
        <f ca="1">(VLOOKUP(AD$72,INDIRECT($C$5&amp;"生成成长"),2))/((VLOOKUP($B114,INDIRECT($B$5&amp;"生成成长"),4))/(VLOOKUP(AD$72,INDIRECT($C$5&amp;"生成成长"),5))*(VLOOKUP($B$5,标准坦克设计!$B$24:$U$30,MATCH("对"&amp;LEFT($C$5,2)&amp;"输出",标准坦克设计!$B$23:$U$23,0)))*(VLOOKUP($B114,INDIRECT($B$5&amp;"生成成长"),3))*(VLOOKUP($B$5,标准坦克设计!$B$14:$K$20,9)/30))</f>
        <v>4.5112657208712204</v>
      </c>
      <c r="AE114" s="172">
        <f ca="1">(VLOOKUP(AE$72,INDIRECT($C$5&amp;"生成成长"),2))/((VLOOKUP($B114,INDIRECT($B$5&amp;"生成成长"),4))/(VLOOKUP(AE$72,INDIRECT($C$5&amp;"生成成长"),5))*(VLOOKUP($B$5,标准坦克设计!$B$24:$U$30,MATCH("对"&amp;LEFT($C$5,2)&amp;"输出",标准坦克设计!$B$23:$U$23,0)))*(VLOOKUP($B114,INDIRECT($B$5&amp;"生成成长"),3))*(VLOOKUP($B$5,标准坦克设计!$B$14:$K$20,9)/30))</f>
        <v>4.8902031791773943</v>
      </c>
      <c r="AF114" s="172">
        <f ca="1">(VLOOKUP(AF$72,INDIRECT($C$5&amp;"生成成长"),2))/((VLOOKUP($B114,INDIRECT($B$5&amp;"生成成长"),4))/(VLOOKUP(AF$72,INDIRECT($C$5&amp;"生成成长"),5))*(VLOOKUP($B$5,标准坦克设计!$B$24:$U$30,MATCH("对"&amp;LEFT($C$5,2)&amp;"输出",标准坦克设计!$B$23:$U$23,0)))*(VLOOKUP($B114,INDIRECT($B$5&amp;"生成成长"),3))*(VLOOKUP($B$5,标准坦克设计!$B$14:$K$20,9)/30))</f>
        <v>5.2844203737055917</v>
      </c>
      <c r="AG114" s="172">
        <f ca="1">(VLOOKUP(AG$72,INDIRECT($C$5&amp;"生成成长"),2))/((VLOOKUP($B114,INDIRECT($B$5&amp;"生成成长"),4))/(VLOOKUP(AG$72,INDIRECT($C$5&amp;"生成成长"),5))*(VLOOKUP($B$5,标准坦克设计!$B$24:$U$30,MATCH("对"&amp;LEFT($C$5,2)&amp;"输出",标准坦克设计!$B$23:$U$23,0)))*(VLOOKUP($B114,INDIRECT($B$5&amp;"生成成长"),3))*(VLOOKUP($B$5,标准坦克设计!$B$14:$K$20,9)/30))</f>
        <v>5.6939173044558107</v>
      </c>
      <c r="AH114" s="172">
        <f ca="1">(VLOOKUP(AH$72,INDIRECT($C$5&amp;"生成成长"),2))/((VLOOKUP($B114,INDIRECT($B$5&amp;"生成成长"),4))/(VLOOKUP(AH$72,INDIRECT($C$5&amp;"生成成长"),5))*(VLOOKUP($B$5,标准坦克设计!$B$24:$U$30,MATCH("对"&amp;LEFT($C$5,2)&amp;"输出",标准坦克设计!$B$23:$U$23,0)))*(VLOOKUP($B114,INDIRECT($B$5&amp;"生成成长"),3))*(VLOOKUP($B$5,标准坦克设计!$B$14:$K$20,9)/30))</f>
        <v>6.1186939714280548</v>
      </c>
      <c r="AI114" s="172">
        <f ca="1">(VLOOKUP(AI$72,INDIRECT($C$5&amp;"生成成长"),2))/((VLOOKUP($B114,INDIRECT($B$5&amp;"生成成长"),4))/(VLOOKUP(AI$72,INDIRECT($C$5&amp;"生成成长"),5))*(VLOOKUP($B$5,标准坦克设计!$B$24:$U$30,MATCH("对"&amp;LEFT($C$5,2)&amp;"输出",标准坦克设计!$B$23:$U$23,0)))*(VLOOKUP($B114,INDIRECT($B$5&amp;"生成成长"),3))*(VLOOKUP($B$5,标准坦克设计!$B$14:$K$20,9)/30))</f>
        <v>4.3275268928013926</v>
      </c>
      <c r="AJ114" s="172">
        <f ca="1">(VLOOKUP(AJ$72,INDIRECT($C$5&amp;"生成成长"),2))/((VLOOKUP($B114,INDIRECT($B$5&amp;"生成成长"),4))/(VLOOKUP(AJ$72,INDIRECT($C$5&amp;"生成成长"),5))*(VLOOKUP($B$5,标准坦克设计!$B$24:$U$30,MATCH("对"&amp;LEFT($C$5,2)&amp;"输出",标准坦克设计!$B$23:$U$23,0)))*(VLOOKUP($B114,INDIRECT($B$5&amp;"生成成长"),3))*(VLOOKUP($B$5,标准坦克设计!$B$14:$K$20,9)/30))</f>
        <v>4.7367946275082824</v>
      </c>
      <c r="AK114" s="172">
        <f ca="1">(VLOOKUP(AK$72,INDIRECT($C$5&amp;"生成成长"),2))/((VLOOKUP($B114,INDIRECT($B$5&amp;"生成成长"),4))/(VLOOKUP(AK$72,INDIRECT($C$5&amp;"生成成长"),5))*(VLOOKUP($B$5,标准坦克设计!$B$24:$U$30,MATCH("对"&amp;LEFT($C$5,2)&amp;"输出",标准坦克设计!$B$23:$U$23,0)))*(VLOOKUP($B114,INDIRECT($B$5&amp;"生成成长"),3))*(VLOOKUP($B$5,标准坦克设计!$B$14:$K$20,9)/30))</f>
        <v>5.1645508430438198</v>
      </c>
      <c r="AL114" s="172">
        <f ca="1">(VLOOKUP(AL$72,INDIRECT($C$5&amp;"生成成长"),2))/((VLOOKUP($B114,INDIRECT($B$5&amp;"生成成长"),4))/(VLOOKUP(AL$72,INDIRECT($C$5&amp;"生成成长"),5))*(VLOOKUP($B$5,标准坦克设计!$B$24:$U$30,MATCH("对"&amp;LEFT($C$5,2)&amp;"输出",标准坦克设计!$B$23:$U$23,0)))*(VLOOKUP($B114,INDIRECT($B$5&amp;"生成成长"),3))*(VLOOKUP($B$5,标准坦克设计!$B$14:$K$20,9)/30))</f>
        <v>5.6107955394080058</v>
      </c>
      <c r="AM114" s="172">
        <f ca="1">(VLOOKUP(AM$72,INDIRECT($C$5&amp;"生成成长"),2))/((VLOOKUP($B114,INDIRECT($B$5&amp;"生成成长"),4))/(VLOOKUP(AM$72,INDIRECT($C$5&amp;"生成成长"),5))*(VLOOKUP($B$5,标准坦克设计!$B$24:$U$30,MATCH("对"&amp;LEFT($C$5,2)&amp;"输出",标准坦克设计!$B$23:$U$23,0)))*(VLOOKUP($B114,INDIRECT($B$5&amp;"生成成长"),3))*(VLOOKUP($B$5,标准坦克设计!$B$14:$K$20,9)/30))</f>
        <v>6.0755287166008394</v>
      </c>
      <c r="AN114" s="172">
        <f ca="1">(VLOOKUP(AN$72,INDIRECT($C$5&amp;"生成成长"),2))/((VLOOKUP($B114,INDIRECT($B$5&amp;"生成成长"),4))/(VLOOKUP(AN$72,INDIRECT($C$5&amp;"生成成长"),5))*(VLOOKUP($B$5,标准坦克设计!$B$24:$U$30,MATCH("对"&amp;LEFT($C$5,2)&amp;"输出",标准坦克设计!$B$23:$U$23,0)))*(VLOOKUP($B114,INDIRECT($B$5&amp;"生成成长"),3))*(VLOOKUP($B$5,标准坦克设计!$B$14:$K$20,9)/30))</f>
        <v>6.5587503746223206</v>
      </c>
      <c r="AO114" s="172">
        <f ca="1">(VLOOKUP(AO$72,INDIRECT($C$5&amp;"生成成长"),2))/((VLOOKUP($B114,INDIRECT($B$5&amp;"生成成长"),4))/(VLOOKUP(AO$72,INDIRECT($C$5&amp;"生成成长"),5))*(VLOOKUP($B$5,标准坦克设计!$B$24:$U$30,MATCH("对"&amp;LEFT($C$5,2)&amp;"输出",标准坦克设计!$B$23:$U$23,0)))*(VLOOKUP($B114,INDIRECT($B$5&amp;"生成成长"),3))*(VLOOKUP($B$5,标准坦克设计!$B$14:$K$20,9)/30))</f>
        <v>7.0604605134724503</v>
      </c>
      <c r="AP114" s="172">
        <f ca="1">(VLOOKUP(AP$72,INDIRECT($C$5&amp;"生成成长"),2))/((VLOOKUP($B114,INDIRECT($B$5&amp;"生成成长"),4))/(VLOOKUP(AP$72,INDIRECT($C$5&amp;"生成成长"),5))*(VLOOKUP($B$5,标准坦克设计!$B$24:$U$30,MATCH("对"&amp;LEFT($C$5,2)&amp;"输出",标准坦克设计!$B$23:$U$23,0)))*(VLOOKUP($B114,INDIRECT($B$5&amp;"生成成长"),3))*(VLOOKUP($B$5,标准坦克设计!$B$14:$K$20,9)/30))</f>
        <v>7.5806591331512285</v>
      </c>
      <c r="AQ114" s="172">
        <f ca="1">(VLOOKUP(AQ$72,INDIRECT($C$5&amp;"生成成长"),2))/((VLOOKUP($B114,INDIRECT($B$5&amp;"生成成长"),4))/(VLOOKUP(AQ$72,INDIRECT($C$5&amp;"生成成长"),5))*(VLOOKUP($B$5,标准坦克设计!$B$24:$U$30,MATCH("对"&amp;LEFT($C$5,2)&amp;"输出",标准坦克设计!$B$23:$U$23,0)))*(VLOOKUP($B114,INDIRECT($B$5&amp;"生成成长"),3))*(VLOOKUP($B$5,标准坦克设计!$B$14:$K$20,9)/30))</f>
        <v>8.1193462336586535</v>
      </c>
      <c r="AR114" s="172">
        <f ca="1">(VLOOKUP(AR$72,INDIRECT($C$5&amp;"生成成长"),2))/((VLOOKUP($B114,INDIRECT($B$5&amp;"生成成长"),4))/(VLOOKUP(AR$72,INDIRECT($C$5&amp;"生成成长"),5))*(VLOOKUP($B$5,标准坦克设计!$B$24:$U$30,MATCH("对"&amp;LEFT($C$5,2)&amp;"输出",标准坦克设计!$B$23:$U$23,0)))*(VLOOKUP($B114,INDIRECT($B$5&amp;"生成成长"),3))*(VLOOKUP($B$5,标准坦克设计!$B$14:$K$20,9)/30))</f>
        <v>8.676521814994727</v>
      </c>
      <c r="AS114" s="172">
        <f ca="1">(VLOOKUP(AS$72,INDIRECT($C$5&amp;"生成成长"),2))/((VLOOKUP($B114,INDIRECT($B$5&amp;"生成成长"),4))/(VLOOKUP(AS$72,INDIRECT($C$5&amp;"生成成长"),5))*(VLOOKUP($B$5,标准坦克设计!$B$24:$U$30,MATCH("对"&amp;LEFT($C$5,2)&amp;"输出",标准坦克设计!$B$23:$U$23,0)))*(VLOOKUP($B114,INDIRECT($B$5&amp;"生成成长"),3))*(VLOOKUP($B$5,标准坦克设计!$B$14:$K$20,9)/30))</f>
        <v>9.2521858771594498</v>
      </c>
      <c r="AT114" s="172">
        <f ca="1">(VLOOKUP(AT$72,INDIRECT($C$5&amp;"生成成长"),2))/((VLOOKUP($B114,INDIRECT($B$5&amp;"生成成长"),4))/(VLOOKUP(AT$72,INDIRECT($C$5&amp;"生成成长"),5))*(VLOOKUP($B$5,标准坦克设计!$B$24:$U$30,MATCH("对"&amp;LEFT($C$5,2)&amp;"输出",标准坦克设计!$B$23:$U$23,0)))*(VLOOKUP($B114,INDIRECT($B$5&amp;"生成成长"),3))*(VLOOKUP($B$5,标准坦克设计!$B$14:$K$20,9)/30))</f>
        <v>9.8463384201528186</v>
      </c>
      <c r="AU114" s="172">
        <f ca="1">(VLOOKUP(AU$72,INDIRECT($C$5&amp;"生成成长"),2))/((VLOOKUP($B114,INDIRECT($B$5&amp;"生成成长"),4))/(VLOOKUP(AU$72,INDIRECT($C$5&amp;"生成成长"),5))*(VLOOKUP($B$5,标准坦克设计!$B$24:$U$30,MATCH("对"&amp;LEFT($C$5,2)&amp;"输出",标准坦克设计!$B$23:$U$23,0)))*(VLOOKUP($B114,INDIRECT($B$5&amp;"生成成长"),3))*(VLOOKUP($B$5,标准坦克设计!$B$14:$K$20,9)/30))</f>
        <v>10.458979443974837</v>
      </c>
      <c r="AV114" s="172">
        <f ca="1">(VLOOKUP(AV$72,INDIRECT($C$5&amp;"生成成长"),2))/((VLOOKUP($B114,INDIRECT($B$5&amp;"生成成长"),4))/(VLOOKUP(AV$72,INDIRECT($C$5&amp;"生成成长"),5))*(VLOOKUP($B$5,标准坦克设计!$B$24:$U$30,MATCH("对"&amp;LEFT($C$5,2)&amp;"输出",标准坦克设计!$B$23:$U$23,0)))*(VLOOKUP($B114,INDIRECT($B$5&amp;"生成成长"),3))*(VLOOKUP($B$5,标准坦克设计!$B$14:$K$20,9)/30))</f>
        <v>1.0637752357772507</v>
      </c>
      <c r="AW114" s="172">
        <f ca="1">(VLOOKUP(AW$72,INDIRECT($C$5&amp;"生成成长"),2))/((VLOOKUP($B114,INDIRECT($B$5&amp;"生成成长"),4))/(VLOOKUP(AW$72,INDIRECT($C$5&amp;"生成成长"),5))*(VLOOKUP($B$5,标准坦克设计!$B$24:$U$30,MATCH("对"&amp;LEFT($C$5,2)&amp;"输出",标准坦克设计!$B$23:$U$23,0)))*(VLOOKUP($B114,INDIRECT($B$5&amp;"生成成长"),3))*(VLOOKUP($B$5,标准坦克设计!$B$14:$K$20,9)/30))</f>
        <v>1.2129054613041967</v>
      </c>
      <c r="AX114" s="172">
        <f ca="1">(VLOOKUP(AX$72,INDIRECT($C$5&amp;"生成成长"),2))/((VLOOKUP($B114,INDIRECT($B$5&amp;"生成成长"),4))/(VLOOKUP(AX$72,INDIRECT($C$5&amp;"生成成长"),5))*(VLOOKUP($B$5,标准坦克设计!$B$24:$U$30,MATCH("对"&amp;LEFT($C$5,2)&amp;"输出",标准坦克设计!$B$23:$U$23,0)))*(VLOOKUP($B114,INDIRECT($B$5&amp;"生成成长"),3))*(VLOOKUP($B$5,标准坦克设计!$B$14:$K$20,9)/30))</f>
        <v>1.371814718013237</v>
      </c>
      <c r="AY114" s="172">
        <f ca="1">(VLOOKUP(AY$72,INDIRECT($C$5&amp;"生成成长"),2))/((VLOOKUP($B114,INDIRECT($B$5&amp;"生成成长"),4))/(VLOOKUP(AY$72,INDIRECT($C$5&amp;"生成成长"),5))*(VLOOKUP($B$5,标准坦克设计!$B$24:$U$30,MATCH("对"&amp;LEFT($C$5,2)&amp;"输出",标准坦克设计!$B$23:$U$23,0)))*(VLOOKUP($B114,INDIRECT($B$5&amp;"生成成长"),3))*(VLOOKUP($B$5,标准坦克设计!$B$14:$K$20,9)/30))</f>
        <v>1.5405030059043725</v>
      </c>
      <c r="AZ114" s="172">
        <f ca="1">(VLOOKUP(AZ$72,INDIRECT($C$5&amp;"生成成长"),2))/((VLOOKUP($B114,INDIRECT($B$5&amp;"生成成长"),4))/(VLOOKUP(AZ$72,INDIRECT($C$5&amp;"生成成长"),5))*(VLOOKUP($B$5,标准坦克设计!$B$24:$U$30,MATCH("对"&amp;LEFT($C$5,2)&amp;"输出",标准坦克设计!$B$23:$U$23,0)))*(VLOOKUP($B114,INDIRECT($B$5&amp;"生成成长"),3))*(VLOOKUP($B$5,标准坦克设计!$B$14:$K$20,9)/30))</f>
        <v>1.7189703249776027</v>
      </c>
      <c r="BA114" s="172">
        <f ca="1">(VLOOKUP(BA$72,INDIRECT($C$5&amp;"生成成长"),2))/((VLOOKUP($B114,INDIRECT($B$5&amp;"生成成长"),4))/(VLOOKUP(BA$72,INDIRECT($C$5&amp;"生成成长"),5))*(VLOOKUP($B$5,标准坦克设计!$B$24:$U$30,MATCH("对"&amp;LEFT($C$5,2)&amp;"输出",标准坦克设计!$B$23:$U$23,0)))*(VLOOKUP($B114,INDIRECT($B$5&amp;"生成成长"),3))*(VLOOKUP($B$5,标准坦克设计!$B$14:$K$20,9)/30))</f>
        <v>1.907216675232928</v>
      </c>
      <c r="BB114" s="172">
        <f ca="1">(VLOOKUP(BB$72,INDIRECT($C$5&amp;"生成成长"),2))/((VLOOKUP($B114,INDIRECT($B$5&amp;"生成成长"),4))/(VLOOKUP(BB$72,INDIRECT($C$5&amp;"生成成长"),5))*(VLOOKUP($B$5,标准坦克设计!$B$24:$U$30,MATCH("对"&amp;LEFT($C$5,2)&amp;"输出",标准坦克设计!$B$23:$U$23,0)))*(VLOOKUP($B114,INDIRECT($B$5&amp;"生成成长"),3))*(VLOOKUP($B$5,标准坦克设计!$B$14:$K$20,9)/30))</f>
        <v>2.1052420566703476</v>
      </c>
      <c r="BC114" s="172">
        <f ca="1">(VLOOKUP(BC$72,INDIRECT($C$5&amp;"生成成长"),2))/((VLOOKUP($B114,INDIRECT($B$5&amp;"生成成长"),4))/(VLOOKUP(BC$72,INDIRECT($C$5&amp;"生成成长"),5))*(VLOOKUP($B$5,标准坦克设计!$B$24:$U$30,MATCH("对"&amp;LEFT($C$5,2)&amp;"输出",标准坦克设计!$B$23:$U$23,0)))*(VLOOKUP($B114,INDIRECT($B$5&amp;"生成成长"),3))*(VLOOKUP($B$5,标准坦克设计!$B$14:$K$20,9)/30))</f>
        <v>2.3130464692898625</v>
      </c>
      <c r="BD114" s="172">
        <f ca="1">(VLOOKUP(BD$72,INDIRECT($C$5&amp;"生成成长"),2))/((VLOOKUP($B114,INDIRECT($B$5&amp;"生成成长"),4))/(VLOOKUP(BD$72,INDIRECT($C$5&amp;"生成成长"),5))*(VLOOKUP($B$5,标准坦克设计!$B$24:$U$30,MATCH("对"&amp;LEFT($C$5,2)&amp;"输出",标准坦克设计!$B$23:$U$23,0)))*(VLOOKUP($B114,INDIRECT($B$5&amp;"生成成长"),3))*(VLOOKUP($B$5,标准坦克设计!$B$14:$K$20,9)/30))</f>
        <v>2.5585154316966636</v>
      </c>
      <c r="BE114" s="172">
        <f ca="1">(VLOOKUP(BE$72,INDIRECT($C$5&amp;"生成成长"),2))/((VLOOKUP($B114,INDIRECT($B$5&amp;"生成成长"),4))/(VLOOKUP(BE$72,INDIRECT($C$5&amp;"生成成长"),5))*(VLOOKUP($B$5,标准坦克设计!$B$24:$U$30,MATCH("对"&amp;LEFT($C$5,2)&amp;"输出",标准坦克设计!$B$23:$U$23,0)))*(VLOOKUP($B114,INDIRECT($B$5&amp;"生成成长"),3))*(VLOOKUP($B$5,标准坦克设计!$B$14:$K$20,9)/30))</f>
        <v>2.8163609804433047</v>
      </c>
      <c r="BF114" s="172">
        <f ca="1">(VLOOKUP(BF$72,INDIRECT($C$5&amp;"生成成长"),2))/((VLOOKUP($B114,INDIRECT($B$5&amp;"生成成长"),4))/(VLOOKUP(BF$72,INDIRECT($C$5&amp;"生成成长"),5))*(VLOOKUP($B$5,标准坦克设计!$B$24:$U$30,MATCH("对"&amp;LEFT($C$5,2)&amp;"输出",标准坦克设计!$B$23:$U$23,0)))*(VLOOKUP($B114,INDIRECT($B$5&amp;"生成成长"),3))*(VLOOKUP($B$5,标准坦克设计!$B$14:$K$20,9)/30))</f>
        <v>3.0865831155297832</v>
      </c>
      <c r="BG114" s="172">
        <f ca="1">(VLOOKUP(BG$72,INDIRECT($C$5&amp;"生成成长"),2))/((VLOOKUP($B114,INDIRECT($B$5&amp;"生成成长"),4))/(VLOOKUP(BG$72,INDIRECT($C$5&amp;"生成成长"),5))*(VLOOKUP($B$5,标准坦克设计!$B$24:$U$30,MATCH("对"&amp;LEFT($C$5,2)&amp;"输出",标准坦克设计!$B$23:$U$23,0)))*(VLOOKUP($B114,INDIRECT($B$5&amp;"生成成长"),3))*(VLOOKUP($B$5,标准坦克设计!$B$14:$K$20,9)/30))</f>
        <v>3.3691818369561011</v>
      </c>
      <c r="BH114" s="172">
        <f ca="1">(VLOOKUP(BH$72,INDIRECT($C$5&amp;"生成成长"),2))/((VLOOKUP($B114,INDIRECT($B$5&amp;"生成成长"),4))/(VLOOKUP(BH$72,INDIRECT($C$5&amp;"生成成长"),5))*(VLOOKUP($B$5,标准坦克设计!$B$24:$U$30,MATCH("对"&amp;LEFT($C$5,2)&amp;"输出",标准坦克设计!$B$23:$U$23,0)))*(VLOOKUP($B114,INDIRECT($B$5&amp;"生成成长"),3))*(VLOOKUP($B$5,标准坦克设计!$B$14:$K$20,9)/30))</f>
        <v>1.6285142865432256</v>
      </c>
      <c r="BI114" s="172">
        <f ca="1">(VLOOKUP(BI$72,INDIRECT($C$5&amp;"生成成长"),2))/((VLOOKUP($B114,INDIRECT($B$5&amp;"生成成长"),4))/(VLOOKUP(BI$72,INDIRECT($C$5&amp;"生成成长"),5))*(VLOOKUP($B$5,标准坦克设计!$B$24:$U$30,MATCH("对"&amp;LEFT($C$5,2)&amp;"输出",标准坦克设计!$B$23:$U$23,0)))*(VLOOKUP($B114,INDIRECT($B$5&amp;"生成成长"),3))*(VLOOKUP($B$5,标准坦克设计!$B$14:$K$20,9)/30))</f>
        <v>1.835478313670529</v>
      </c>
      <c r="BJ114" s="172">
        <f ca="1">(VLOOKUP(BJ$72,INDIRECT($C$5&amp;"生成成长"),2))/((VLOOKUP($B114,INDIRECT($B$5&amp;"生成成长"),4))/(VLOOKUP(BJ$72,INDIRECT($C$5&amp;"生成成长"),5))*(VLOOKUP($B$5,标准坦克设计!$B$24:$U$30,MATCH("对"&amp;LEFT($C$5,2)&amp;"输出",标准坦克设计!$B$23:$U$23,0)))*(VLOOKUP($B114,INDIRECT($B$5&amp;"生成成长"),3))*(VLOOKUP($B$5,标准坦克设计!$B$14:$K$20,9)/30))</f>
        <v>2.054818927137672</v>
      </c>
      <c r="BK114" s="172">
        <f ca="1">(VLOOKUP(BK$72,INDIRECT($C$5&amp;"生成成长"),2))/((VLOOKUP($B114,INDIRECT($B$5&amp;"生成成长"),4))/(VLOOKUP(BK$72,INDIRECT($C$5&amp;"生成成长"),5))*(VLOOKUP($B$5,标准坦克设计!$B$24:$U$30,MATCH("对"&amp;LEFT($C$5,2)&amp;"输出",标准坦克设计!$B$23:$U$23,0)))*(VLOOKUP($B114,INDIRECT($B$5&amp;"生成成长"),3))*(VLOOKUP($B$5,标准坦克设计!$B$14:$K$20,9)/30))</f>
        <v>2.286536126944652</v>
      </c>
      <c r="BL114" s="172">
        <f ca="1">(VLOOKUP(BL$72,INDIRECT($C$5&amp;"生成成长"),2))/((VLOOKUP($B114,INDIRECT($B$5&amp;"生成成长"),4))/(VLOOKUP(BL$72,INDIRECT($C$5&amp;"生成成长"),5))*(VLOOKUP($B$5,标准坦克设计!$B$24:$U$30,MATCH("对"&amp;LEFT($C$5,2)&amp;"输出",标准坦克设计!$B$23:$U$23,0)))*(VLOOKUP($B114,INDIRECT($B$5&amp;"生成成长"),3))*(VLOOKUP($B$5,标准坦克设计!$B$14:$K$20,9)/30))</f>
        <v>2.5306299130914716</v>
      </c>
      <c r="BM114" s="172">
        <f ca="1">(VLOOKUP(BM$72,INDIRECT($C$5&amp;"生成成长"),2))/((VLOOKUP($B114,INDIRECT($B$5&amp;"生成成长"),4))/(VLOOKUP(BM$72,INDIRECT($C$5&amp;"生成成长"),5))*(VLOOKUP($B$5,标准坦克设计!$B$24:$U$30,MATCH("对"&amp;LEFT($C$5,2)&amp;"输出",标准坦克设计!$B$23:$U$23,0)))*(VLOOKUP($B114,INDIRECT($B$5&amp;"生成成长"),3))*(VLOOKUP($B$5,标准坦克设计!$B$14:$K$20,9)/30))</f>
        <v>2.7871002855781297</v>
      </c>
      <c r="BN114" s="172">
        <f ca="1">(VLOOKUP(BN$72,INDIRECT($C$5&amp;"生成成长"),2))/((VLOOKUP($B114,INDIRECT($B$5&amp;"生成成长"),4))/(VLOOKUP(BN$72,INDIRECT($C$5&amp;"生成成长"),5))*(VLOOKUP($B$5,标准坦克设计!$B$24:$U$30,MATCH("对"&amp;LEFT($C$5,2)&amp;"输出",标准坦克设计!$B$23:$U$23,0)))*(VLOOKUP($B114,INDIRECT($B$5&amp;"生成成长"),3))*(VLOOKUP($B$5,标准坦克设计!$B$14:$K$20,9)/30))</f>
        <v>3.0559472444046265</v>
      </c>
      <c r="BO114" s="172">
        <f ca="1">(VLOOKUP(BO$72,INDIRECT($C$5&amp;"生成成长"),2))/((VLOOKUP($B114,INDIRECT($B$5&amp;"生成成长"),4))/(VLOOKUP(BO$72,INDIRECT($C$5&amp;"生成成长"),5))*(VLOOKUP($B$5,标准坦克设计!$B$24:$U$30,MATCH("对"&amp;LEFT($C$5,2)&amp;"输出",标准坦克设计!$B$23:$U$23,0)))*(VLOOKUP($B114,INDIRECT($B$5&amp;"生成成长"),3))*(VLOOKUP($B$5,标准坦克设计!$B$14:$K$20,9)/30))</f>
        <v>3.3371707895709628</v>
      </c>
      <c r="BP114" s="172">
        <f ca="1">(VLOOKUP(BP$72,INDIRECT($C$5&amp;"生成成长"),2))/((VLOOKUP($B114,INDIRECT($B$5&amp;"生成成长"),4))/(VLOOKUP(BP$72,INDIRECT($C$5&amp;"生成成长"),5))*(VLOOKUP($B$5,标准坦克设计!$B$24:$U$30,MATCH("对"&amp;LEFT($C$5,2)&amp;"输出",标准坦克设计!$B$23:$U$23,0)))*(VLOOKUP($B114,INDIRECT($B$5&amp;"生成成长"),3))*(VLOOKUP($B$5,标准坦克设计!$B$14:$K$20,9)/30))</f>
        <v>3.6307709210771377</v>
      </c>
      <c r="BQ114" s="172">
        <f ca="1">(VLOOKUP(BQ$72,INDIRECT($C$5&amp;"生成成长"),2))/((VLOOKUP($B114,INDIRECT($B$5&amp;"生成成长"),4))/(VLOOKUP(BQ$72,INDIRECT($C$5&amp;"生成成长"),5))*(VLOOKUP($B$5,标准坦克设计!$B$24:$U$30,MATCH("对"&amp;LEFT($C$5,2)&amp;"输出",标准坦克设计!$B$23:$U$23,0)))*(VLOOKUP($B114,INDIRECT($B$5&amp;"生成成长"),3))*(VLOOKUP($B$5,标准坦克设计!$B$14:$K$20,9)/30))</f>
        <v>3.9367476389231508</v>
      </c>
      <c r="BR114" s="172">
        <f ca="1">(VLOOKUP(BR$72,INDIRECT($C$5&amp;"生成成长"),2))/((VLOOKUP($B114,INDIRECT($B$5&amp;"生成成长"),4))/(VLOOKUP(BR$72,INDIRECT($C$5&amp;"生成成长"),5))*(VLOOKUP($B$5,标准坦克设计!$B$24:$U$30,MATCH("对"&amp;LEFT($C$5,2)&amp;"输出",标准坦克设计!$B$23:$U$23,0)))*(VLOOKUP($B114,INDIRECT($B$5&amp;"生成成长"),3))*(VLOOKUP($B$5,标准坦克设计!$B$14:$K$20,9)/30))</f>
        <v>4.2912375192740875</v>
      </c>
      <c r="BS114" s="172">
        <f ca="1">(VLOOKUP(BS$72,INDIRECT($C$5&amp;"生成成长"),2))/((VLOOKUP($B114,INDIRECT($B$5&amp;"生成成长"),4))/(VLOOKUP(BS$72,INDIRECT($C$5&amp;"生成成长"),5))*(VLOOKUP($B$5,标准坦克设计!$B$24:$U$30,MATCH("对"&amp;LEFT($C$5,2)&amp;"输出",标准坦克设计!$B$23:$U$23,0)))*(VLOOKUP($B114,INDIRECT($B$5&amp;"生成成长"),3))*(VLOOKUP($B$5,标准坦克设计!$B$14:$K$20,9)/30))</f>
        <v>4.6610071358470471</v>
      </c>
      <c r="BT114" s="172">
        <f ca="1">(VLOOKUP(BT$72,INDIRECT($C$5&amp;"生成成长"),2))/((VLOOKUP($B114,INDIRECT($B$5&amp;"生成成长"),4))/(VLOOKUP(BT$72,INDIRECT($C$5&amp;"生成成长"),5))*(VLOOKUP($B$5,标准坦克设计!$B$24:$U$30,MATCH("对"&amp;LEFT($C$5,2)&amp;"输出",标准坦克设计!$B$23:$U$23,0)))*(VLOOKUP($B114,INDIRECT($B$5&amp;"生成成长"),3))*(VLOOKUP($B$5,标准坦克设计!$B$14:$K$20,9)/30))</f>
        <v>5.04605648864203</v>
      </c>
      <c r="BU114" s="172">
        <f ca="1">(VLOOKUP(BU$72,INDIRECT($C$5&amp;"生成成长"),2))/((VLOOKUP($B114,INDIRECT($B$5&amp;"生成成长"),4))/(VLOOKUP(BU$72,INDIRECT($C$5&amp;"生成成长"),5))*(VLOOKUP($B$5,标准坦克设计!$B$24:$U$30,MATCH("对"&amp;LEFT($C$5,2)&amp;"输出",标准坦克设计!$B$23:$U$23,0)))*(VLOOKUP($B114,INDIRECT($B$5&amp;"生成成长"),3))*(VLOOKUP($B$5,标准坦克设计!$B$14:$K$20,9)/30))</f>
        <v>5.4463855776590364</v>
      </c>
      <c r="BV114" s="172">
        <f ca="1">(VLOOKUP(BV$72,INDIRECT($C$5&amp;"生成成长"),2))/((VLOOKUP($B114,INDIRECT($B$5&amp;"生成成长"),4))/(VLOOKUP(BV$72,INDIRECT($C$5&amp;"生成成长"),5))*(VLOOKUP($B$5,标准坦克设计!$B$24:$U$30,MATCH("对"&amp;LEFT($C$5,2)&amp;"输出",标准坦克设计!$B$23:$U$23,0)))*(VLOOKUP($B114,INDIRECT($B$5&amp;"生成成长"),3))*(VLOOKUP($B$5,标准坦克设计!$B$14:$K$20,9)/30))</f>
        <v>5.8619944028980662</v>
      </c>
      <c r="BW114" s="172">
        <f ca="1">(VLOOKUP(BW$72,INDIRECT($C$5&amp;"生成成长"),2))/((VLOOKUP($B114,INDIRECT($B$5&amp;"生成成长"),4))/(VLOOKUP(BW$72,INDIRECT($C$5&amp;"生成成长"),5))*(VLOOKUP($B$5,标准坦克设计!$B$24:$U$30,MATCH("对"&amp;LEFT($C$5,2)&amp;"输出",标准坦克设计!$B$23:$U$23,0)))*(VLOOKUP($B114,INDIRECT($B$5&amp;"生成成长"),3))*(VLOOKUP($B$5,标准坦克设计!$B$14:$K$20,9)/30))</f>
        <v>2.671585479739635</v>
      </c>
      <c r="BX114" s="172">
        <f ca="1">(VLOOKUP(BX$72,INDIRECT($C$5&amp;"生成成长"),2))/((VLOOKUP($B114,INDIRECT($B$5&amp;"生成成长"),4))/(VLOOKUP(BX$72,INDIRECT($C$5&amp;"生成成长"),5))*(VLOOKUP($B$5,标准坦克设计!$B$24:$U$30,MATCH("对"&amp;LEFT($C$5,2)&amp;"输出",标准坦克设计!$B$23:$U$23,0)))*(VLOOKUP($B114,INDIRECT($B$5&amp;"生成成长"),3))*(VLOOKUP($B$5,标准坦克设计!$B$14:$K$20,9)/30))</f>
        <v>2.9649564152024794</v>
      </c>
      <c r="BY114" s="172">
        <f ca="1">(VLOOKUP(BY$72,INDIRECT($C$5&amp;"生成成长"),2))/((VLOOKUP($B114,INDIRECT($B$5&amp;"生成成长"),4))/(VLOOKUP(BY$72,INDIRECT($C$5&amp;"生成成长"),5))*(VLOOKUP($B$5,标准坦克设计!$B$24:$U$30,MATCH("对"&amp;LEFT($C$5,2)&amp;"输出",标准坦克设计!$B$23:$U$23,0)))*(VLOOKUP($B114,INDIRECT($B$5&amp;"生成成长"),3))*(VLOOKUP($B$5,标准坦克设计!$B$14:$K$20,9)/30))</f>
        <v>3.2736070868873464</v>
      </c>
      <c r="BZ114" s="172">
        <f ca="1">(VLOOKUP(BZ$72,INDIRECT($C$5&amp;"生成成长"),2))/((VLOOKUP($B114,INDIRECT($B$5&amp;"生成成长"),4))/(VLOOKUP(BZ$72,INDIRECT($C$5&amp;"生成成长"),5))*(VLOOKUP($B$5,标准坦克设计!$B$24:$U$30,MATCH("对"&amp;LEFT($C$5,2)&amp;"输出",标准坦克设计!$B$23:$U$23,0)))*(VLOOKUP($B114,INDIRECT($B$5&amp;"生成成长"),3))*(VLOOKUP($B$5,标准坦克设计!$B$14:$K$20,9)/30))</f>
        <v>3.5975374947942371</v>
      </c>
      <c r="CA114" s="172">
        <f ca="1">(VLOOKUP(CA$72,INDIRECT($C$5&amp;"生成成长"),2))/((VLOOKUP($B114,INDIRECT($B$5&amp;"生成成长"),4))/(VLOOKUP(CA$72,INDIRECT($C$5&amp;"生成成长"),5))*(VLOOKUP($B$5,标准坦克设计!$B$24:$U$30,MATCH("对"&amp;LEFT($C$5,2)&amp;"输出",标准坦克设计!$B$23:$U$23,0)))*(VLOOKUP($B114,INDIRECT($B$5&amp;"生成成长"),3))*(VLOOKUP($B$5,标准坦克设计!$B$14:$K$20,9)/30))</f>
        <v>3.9367476389231508</v>
      </c>
      <c r="CB114" s="172">
        <f ca="1">(VLOOKUP(CB$72,INDIRECT($C$5&amp;"生成成长"),2))/((VLOOKUP($B114,INDIRECT($B$5&amp;"生成成长"),4))/(VLOOKUP(CB$72,INDIRECT($C$5&amp;"生成成长"),5))*(VLOOKUP($B$5,标准坦克设计!$B$24:$U$30,MATCH("对"&amp;LEFT($C$5,2)&amp;"输出",标准坦克设计!$B$23:$U$23,0)))*(VLOOKUP($B114,INDIRECT($B$5&amp;"生成成长"),3))*(VLOOKUP($B$5,标准坦克设计!$B$14:$K$20,9)/30))</f>
        <v>4.2912375192740875</v>
      </c>
      <c r="CC114" s="172">
        <f ca="1">(VLOOKUP(CC$72,INDIRECT($C$5&amp;"生成成长"),2))/((VLOOKUP($B114,INDIRECT($B$5&amp;"生成成长"),4))/(VLOOKUP(CC$72,INDIRECT($C$5&amp;"生成成长"),5))*(VLOOKUP($B$5,标准坦克设计!$B$24:$U$30,MATCH("对"&amp;LEFT($C$5,2)&amp;"输出",标准坦克设计!$B$23:$U$23,0)))*(VLOOKUP($B114,INDIRECT($B$5&amp;"生成成长"),3))*(VLOOKUP($B$5,标准坦克设计!$B$14:$K$20,9)/30))</f>
        <v>4.6610071358470471</v>
      </c>
      <c r="CD114" s="172">
        <f ca="1">(VLOOKUP(CD$72,INDIRECT($C$5&amp;"生成成长"),2))/((VLOOKUP($B114,INDIRECT($B$5&amp;"生成成长"),4))/(VLOOKUP(CD$72,INDIRECT($C$5&amp;"生成成长"),5))*(VLOOKUP($B$5,标准坦克设计!$B$24:$U$30,MATCH("对"&amp;LEFT($C$5,2)&amp;"输出",标准坦克设计!$B$23:$U$23,0)))*(VLOOKUP($B114,INDIRECT($B$5&amp;"生成成长"),3))*(VLOOKUP($B$5,标准坦克设计!$B$14:$K$20,9)/30))</f>
        <v>5.04605648864203</v>
      </c>
      <c r="CE114" s="172">
        <f ca="1">(VLOOKUP(CE$72,INDIRECT($C$5&amp;"生成成长"),2))/((VLOOKUP($B114,INDIRECT($B$5&amp;"生成成长"),4))/(VLOOKUP(CE$72,INDIRECT($C$5&amp;"生成成长"),5))*(VLOOKUP($B$5,标准坦克设计!$B$24:$U$30,MATCH("对"&amp;LEFT($C$5,2)&amp;"输出",标准坦克设计!$B$23:$U$23,0)))*(VLOOKUP($B114,INDIRECT($B$5&amp;"生成成长"),3))*(VLOOKUP($B$5,标准坦克设计!$B$14:$K$20,9)/30))</f>
        <v>5.4463855776590364</v>
      </c>
      <c r="CF114" s="172">
        <f ca="1">(VLOOKUP(CF$72,INDIRECT($C$5&amp;"生成成长"),2))/((VLOOKUP($B114,INDIRECT($B$5&amp;"生成成长"),4))/(VLOOKUP(CF$72,INDIRECT($C$5&amp;"生成成长"),5))*(VLOOKUP($B$5,标准坦克设计!$B$24:$U$30,MATCH("对"&amp;LEFT($C$5,2)&amp;"输出",标准坦克设计!$B$23:$U$23,0)))*(VLOOKUP($B114,INDIRECT($B$5&amp;"生成成长"),3))*(VLOOKUP($B$5,标准坦克设计!$B$14:$K$20,9)/30))</f>
        <v>5.8619944028980662</v>
      </c>
      <c r="CG114" s="172">
        <f ca="1">(VLOOKUP(CG$72,INDIRECT($C$5&amp;"生成成长"),2))/((VLOOKUP($B114,INDIRECT($B$5&amp;"生成成长"),4))/(VLOOKUP(CG$72,INDIRECT($C$5&amp;"生成成长"),5))*(VLOOKUP($B$5,标准坦克设计!$B$24:$U$30,MATCH("对"&amp;LEFT($C$5,2)&amp;"输出",标准坦克设计!$B$23:$U$23,0)))*(VLOOKUP($B114,INDIRECT($B$5&amp;"生成成长"),3))*(VLOOKUP($B$5,标准坦克设计!$B$14:$K$20,9)/30))</f>
        <v>6.2928829643591184</v>
      </c>
      <c r="CH114" s="172">
        <f ca="1">(VLOOKUP(CH$72,INDIRECT($C$5&amp;"生成成长"),2))/((VLOOKUP($B114,INDIRECT($B$5&amp;"生成成长"),4))/(VLOOKUP(CH$72,INDIRECT($C$5&amp;"生成成长"),5))*(VLOOKUP($B$5,标准坦克设计!$B$24:$U$30,MATCH("对"&amp;LEFT($C$5,2)&amp;"输出",标准坦克设计!$B$23:$U$23,0)))*(VLOOKUP($B114,INDIRECT($B$5&amp;"生成成长"),3))*(VLOOKUP($B$5,标准坦克设计!$B$14:$K$20,9)/30))</f>
        <v>6.7390512620421932</v>
      </c>
      <c r="CI114" s="172">
        <f ca="1">(VLOOKUP(CI$72,INDIRECT($C$5&amp;"生成成长"),2))/((VLOOKUP($B114,INDIRECT($B$5&amp;"生成成长"),4))/(VLOOKUP(CI$72,INDIRECT($C$5&amp;"生成成长"),5))*(VLOOKUP($B$5,标准坦克设计!$B$24:$U$30,MATCH("对"&amp;LEFT($C$5,2)&amp;"输出",标准坦克设计!$B$23:$U$23,0)))*(VLOOKUP($B114,INDIRECT($B$5&amp;"生成成长"),3))*(VLOOKUP($B$5,标准坦克设计!$B$14:$K$20,9)/30))</f>
        <v>7.2474844848300144</v>
      </c>
      <c r="CJ114" s="172">
        <f ca="1">(VLOOKUP(CJ$72,INDIRECT($C$5&amp;"生成成长"),2))/((VLOOKUP($B114,INDIRECT($B$5&amp;"生成成长"),4))/(VLOOKUP(CJ$72,INDIRECT($C$5&amp;"生成成长"),5))*(VLOOKUP($B$5,标准坦克设计!$B$24:$U$30,MATCH("对"&amp;LEFT($C$5,2)&amp;"输出",标准坦克设计!$B$23:$U$23,0)))*(VLOOKUP($B114,INDIRECT($B$5&amp;"生成成长"),3))*(VLOOKUP($B$5,标准坦克设计!$B$14:$K$20,9)/30))</f>
        <v>7.7744061884464815</v>
      </c>
      <c r="CK114" s="172">
        <f ca="1">(VLOOKUP(CK$72,INDIRECT($C$5&amp;"生成成长"),2))/((VLOOKUP($B114,INDIRECT($B$5&amp;"生成成长"),4))/(VLOOKUP(CK$72,INDIRECT($C$5&amp;"生成成长"),5))*(VLOOKUP($B$5,标准坦克设计!$B$24:$U$30,MATCH("对"&amp;LEFT($C$5,2)&amp;"输出",标准坦克设计!$B$23:$U$23,0)))*(VLOOKUP($B114,INDIRECT($B$5&amp;"生成成长"),3))*(VLOOKUP($B$5,标准坦克设计!$B$14:$K$20,9)/30))</f>
        <v>8.3198163728915979</v>
      </c>
      <c r="CL114" s="172">
        <f ca="1">(VLOOKUP(CL$72,INDIRECT($C$5&amp;"生成成长"),2))/((VLOOKUP($B114,INDIRECT($B$5&amp;"生成成长"),4))/(VLOOKUP(CL$72,INDIRECT($C$5&amp;"生成成长"),5))*(VLOOKUP($B$5,标准坦克设计!$B$24:$U$30,MATCH("对"&amp;LEFT($C$5,2)&amp;"输出",标准坦克设计!$B$23:$U$23,0)))*(VLOOKUP($B114,INDIRECT($B$5&amp;"生成成长"),3))*(VLOOKUP($B$5,标准坦克设计!$B$14:$K$20,9)/30))</f>
        <v>8.8837150381653593</v>
      </c>
      <c r="CM114" s="172">
        <f ca="1">(VLOOKUP(CM$72,INDIRECT($C$5&amp;"生成成长"),2))/((VLOOKUP($B114,INDIRECT($B$5&amp;"生成成长"),4))/(VLOOKUP(CM$72,INDIRECT($C$5&amp;"生成成长"),5))*(VLOOKUP($B$5,标准坦克设计!$B$24:$U$30,MATCH("对"&amp;LEFT($C$5,2)&amp;"输出",标准坦克设计!$B$23:$U$23,0)))*(VLOOKUP($B114,INDIRECT($B$5&amp;"生成成长"),3))*(VLOOKUP($B$5,标准坦克设计!$B$14:$K$20,9)/30))</f>
        <v>9.4661021842677719</v>
      </c>
      <c r="CN114" s="172">
        <f ca="1">(VLOOKUP(CN$72,INDIRECT($C$5&amp;"生成成长"),2))/((VLOOKUP($B114,INDIRECT($B$5&amp;"生成成长"),4))/(VLOOKUP(CN$72,INDIRECT($C$5&amp;"生成成长"),5))*(VLOOKUP($B$5,标准坦克设计!$B$24:$U$30,MATCH("对"&amp;LEFT($C$5,2)&amp;"输出",标准坦克设计!$B$23:$U$23,0)))*(VLOOKUP($B114,INDIRECT($B$5&amp;"生成成长"),3))*(VLOOKUP($B$5,标准坦克设计!$B$14:$K$20,9)/30))</f>
        <v>10.066977811198832</v>
      </c>
      <c r="CO114" s="172">
        <f ca="1">(VLOOKUP(CO$72,INDIRECT($C$5&amp;"生成成长"),2))/((VLOOKUP($B114,INDIRECT($B$5&amp;"生成成长"),4))/(VLOOKUP(CO$72,INDIRECT($C$5&amp;"生成成长"),5))*(VLOOKUP($B$5,标准坦克设计!$B$24:$U$30,MATCH("对"&amp;LEFT($C$5,2)&amp;"输出",标准坦克设计!$B$23:$U$23,0)))*(VLOOKUP($B114,INDIRECT($B$5&amp;"生成成长"),3))*(VLOOKUP($B$5,标准坦克设计!$B$14:$K$20,9)/30))</f>
        <v>4.5112657208712204</v>
      </c>
      <c r="CP114" s="172">
        <f ca="1">(VLOOKUP(CP$72,INDIRECT($C$5&amp;"生成成长"),2))/((VLOOKUP($B114,INDIRECT($B$5&amp;"生成成长"),4))/(VLOOKUP(CP$72,INDIRECT($C$5&amp;"生成成长"),5))*(VLOOKUP($B$5,标准坦克设计!$B$24:$U$30,MATCH("对"&amp;LEFT($C$5,2)&amp;"输出",标准坦克设计!$B$23:$U$23,0)))*(VLOOKUP($B114,INDIRECT($B$5&amp;"生成成长"),3))*(VLOOKUP($B$5,标准坦克设计!$B$14:$K$20,9)/30))</f>
        <v>4.9289373105002232</v>
      </c>
      <c r="CQ114" s="172">
        <f ca="1">(VLOOKUP(CQ$72,INDIRECT($C$5&amp;"生成成长"),2))/((VLOOKUP($B114,INDIRECT($B$5&amp;"生成成长"),4))/(VLOOKUP(CQ$72,INDIRECT($C$5&amp;"生成成长"),5))*(VLOOKUP($B$5,标准坦克设计!$B$24:$U$30,MATCH("对"&amp;LEFT($C$5,2)&amp;"输出",标准坦克设计!$B$23:$U$23,0)))*(VLOOKUP($B114,INDIRECT($B$5&amp;"生成成长"),3))*(VLOOKUP($B$5,标准坦克设计!$B$14:$K$20,9)/30))</f>
        <v>5.3650973809578737</v>
      </c>
      <c r="CR114" s="172">
        <f ca="1">(VLOOKUP(CR$72,INDIRECT($C$5&amp;"生成成长"),2))/((VLOOKUP($B114,INDIRECT($B$5&amp;"生成成长"),4))/(VLOOKUP(CR$72,INDIRECT($C$5&amp;"生成成长"),5))*(VLOOKUP($B$5,标准坦克设计!$B$24:$U$30,MATCH("对"&amp;LEFT($C$5,2)&amp;"输出",标准坦克设计!$B$23:$U$23,0)))*(VLOOKUP($B114,INDIRECT($B$5&amp;"生成成长"),3))*(VLOOKUP($B$5,标准坦克设计!$B$14:$K$20,9)/30))</f>
        <v>5.8197459322441709</v>
      </c>
      <c r="CS114" s="172">
        <f ca="1">(VLOOKUP(CS$72,INDIRECT($C$5&amp;"生成成长"),2))/((VLOOKUP($B114,INDIRECT($B$5&amp;"生成成长"),4))/(VLOOKUP(CS$72,INDIRECT($C$5&amp;"生成成长"),5))*(VLOOKUP($B$5,标准坦克设计!$B$24:$U$30,MATCH("对"&amp;LEFT($C$5,2)&amp;"输出",标准坦克设计!$B$23:$U$23,0)))*(VLOOKUP($B114,INDIRECT($B$5&amp;"生成成长"),3))*(VLOOKUP($B$5,标准坦克设计!$B$14:$K$20,9)/30))</f>
        <v>6.2928829643591184</v>
      </c>
      <c r="CT114" s="172">
        <f ca="1">(VLOOKUP(CT$72,INDIRECT($C$5&amp;"生成成长"),2))/((VLOOKUP($B114,INDIRECT($B$5&amp;"生成成长"),4))/(VLOOKUP(CT$72,INDIRECT($C$5&amp;"生成成长"),5))*(VLOOKUP($B$5,标准坦克设计!$B$24:$U$30,MATCH("对"&amp;LEFT($C$5,2)&amp;"输出",标准坦克设计!$B$23:$U$23,0)))*(VLOOKUP($B114,INDIRECT($B$5&amp;"生成成长"),3))*(VLOOKUP($B$5,标准坦克设计!$B$14:$K$20,9)/30))</f>
        <v>6.7845084773027118</v>
      </c>
      <c r="CU114" s="172">
        <f ca="1">(VLOOKUP(CU$72,INDIRECT($C$5&amp;"生成成长"),2))/((VLOOKUP($B114,INDIRECT($B$5&amp;"生成成长"),4))/(VLOOKUP(CU$72,INDIRECT($C$5&amp;"生成成长"),5))*(VLOOKUP($B$5,标准坦克设计!$B$24:$U$30,MATCH("对"&amp;LEFT($C$5,2)&amp;"输出",标准坦克设计!$B$23:$U$23,0)))*(VLOOKUP($B114,INDIRECT($B$5&amp;"生成成长"),3))*(VLOOKUP($B$5,标准坦克设计!$B$14:$K$20,9)/30))</f>
        <v>7.2946224710749545</v>
      </c>
      <c r="CV114" s="172">
        <f ca="1">(VLOOKUP(CV$72,INDIRECT($C$5&amp;"生成成长"),2))/((VLOOKUP($B114,INDIRECT($B$5&amp;"生成成长"),4))/(VLOOKUP(CV$72,INDIRECT($C$5&amp;"生成成长"),5))*(VLOOKUP($B$5,标准坦克设计!$B$24:$U$30,MATCH("对"&amp;LEFT($C$5,2)&amp;"输出",标准坦克设计!$B$23:$U$23,0)))*(VLOOKUP($B114,INDIRECT($B$5&amp;"生成成长"),3))*(VLOOKUP($B$5,标准坦克设计!$B$14:$K$20,9)/30))</f>
        <v>7.8232249456758449</v>
      </c>
      <c r="CW114" s="172">
        <f ca="1">(VLOOKUP(CW$72,INDIRECT($C$5&amp;"生成成长"),2))/((VLOOKUP($B114,INDIRECT($B$5&amp;"生成成长"),4))/(VLOOKUP(CW$72,INDIRECT($C$5&amp;"生成成长"),5))*(VLOOKUP($B$5,标准坦克设计!$B$24:$U$30,MATCH("对"&amp;LEFT($C$5,2)&amp;"输出",标准坦克设计!$B$23:$U$23,0)))*(VLOOKUP($B114,INDIRECT($B$5&amp;"生成成长"),3))*(VLOOKUP($B$5,标准坦克设计!$B$14:$K$20,9)/30))</f>
        <v>8.3703159011053838</v>
      </c>
      <c r="CX114" s="172">
        <f ca="1">(VLOOKUP(CX$72,INDIRECT($C$5&amp;"生成成长"),2))/((VLOOKUP($B114,INDIRECT($B$5&amp;"生成成长"),4))/(VLOOKUP(CX$72,INDIRECT($C$5&amp;"生成成长"),5))*(VLOOKUP($B$5,标准坦克设计!$B$24:$U$30,MATCH("对"&amp;LEFT($C$5,2)&amp;"输出",标准坦克设计!$B$23:$U$23,0)))*(VLOOKUP($B114,INDIRECT($B$5&amp;"生成成长"),3))*(VLOOKUP($B$5,标准坦克设计!$B$14:$K$20,9)/30))</f>
        <v>8.9358953373635703</v>
      </c>
      <c r="CY114" s="172">
        <f ca="1">(VLOOKUP(CY$72,INDIRECT($C$5&amp;"生成成长"),2))/((VLOOKUP($B114,INDIRECT($B$5&amp;"生成成长"),4))/(VLOOKUP(CY$72,INDIRECT($C$5&amp;"生成成长"),5))*(VLOOKUP($B$5,标准坦克设计!$B$24:$U$30,MATCH("对"&amp;LEFT($C$5,2)&amp;"输出",标准坦克设计!$B$23:$U$23,0)))*(VLOOKUP($B114,INDIRECT($B$5&amp;"生成成长"),3))*(VLOOKUP($B$5,标准坦克设计!$B$14:$K$20,9)/30))</f>
        <v>9.5199632544504063</v>
      </c>
      <c r="CZ114" s="172">
        <f ca="1">(VLOOKUP(CZ$72,INDIRECT($C$5&amp;"生成成长"),2))/((VLOOKUP($B114,INDIRECT($B$5&amp;"生成成长"),4))/(VLOOKUP(CZ$72,INDIRECT($C$5&amp;"生成成长"),5))*(VLOOKUP($B$5,标准坦克设计!$B$24:$U$30,MATCH("对"&amp;LEFT($C$5,2)&amp;"输出",标准坦克设计!$B$23:$U$23,0)))*(VLOOKUP($B114,INDIRECT($B$5&amp;"生成成长"),3))*(VLOOKUP($B$5,标准坦克设计!$B$14:$K$20,9)/30))</f>
        <v>10.122519652365886</v>
      </c>
      <c r="DA114" s="172">
        <f ca="1">(VLOOKUP(DA$72,INDIRECT($C$5&amp;"生成成长"),2))/((VLOOKUP($B114,INDIRECT($B$5&amp;"生成成长"),4))/(VLOOKUP(DA$72,INDIRECT($C$5&amp;"生成成长"),5))*(VLOOKUP($B$5,标准坦克设计!$B$24:$U$30,MATCH("对"&amp;LEFT($C$5,2)&amp;"输出",标准坦克设计!$B$23:$U$23,0)))*(VLOOKUP($B114,INDIRECT($B$5&amp;"生成成长"),3))*(VLOOKUP($B$5,标准坦克设计!$B$14:$K$20,9)/30))</f>
        <v>10.743564531110017</v>
      </c>
      <c r="DB114" s="172">
        <f ca="1">(VLOOKUP(DB$72,INDIRECT($C$5&amp;"生成成长"),2))/((VLOOKUP($B114,INDIRECT($B$5&amp;"生成成长"),4))/(VLOOKUP(DB$72,INDIRECT($C$5&amp;"生成成长"),5))*(VLOOKUP($B$5,标准坦克设计!$B$24:$U$30,MATCH("对"&amp;LEFT($C$5,2)&amp;"输出",标准坦克设计!$B$23:$U$23,0)))*(VLOOKUP($B114,INDIRECT($B$5&amp;"生成成长"),3))*(VLOOKUP($B$5,标准坦克设计!$B$14:$K$20,9)/30))</f>
        <v>11.383097890682794</v>
      </c>
      <c r="DC114" s="172">
        <f ca="1">(VLOOKUP(DC$72,INDIRECT($C$5&amp;"生成成长"),2))/((VLOOKUP($B114,INDIRECT($B$5&amp;"生成成长"),4))/(VLOOKUP(DC$72,INDIRECT($C$5&amp;"生成成长"),5))*(VLOOKUP($B$5,标准坦克设计!$B$24:$U$30,MATCH("对"&amp;LEFT($C$5,2)&amp;"输出",标准坦克设计!$B$23:$U$23,0)))*(VLOOKUP($B114,INDIRECT($B$5&amp;"生成成长"),3))*(VLOOKUP($B$5,标准坦克设计!$B$14:$K$20,9)/30))</f>
        <v>12.101856682566764</v>
      </c>
      <c r="DD114" s="172">
        <f ca="1">(VLOOKUP(DD$72,INDIRECT($C$5&amp;"生成成长"),2))/((VLOOKUP($B114,INDIRECT($B$5&amp;"生成成长"),4))/(VLOOKUP(DD$72,INDIRECT($C$5&amp;"生成成长"),5))*(VLOOKUP($B$5,标准坦克设计!$B$24:$U$30,MATCH("对"&amp;LEFT($C$5,2)&amp;"输出",标准坦克设计!$B$23:$U$23,0)))*(VLOOKUP($B114,INDIRECT($B$5&amp;"生成成长"),3))*(VLOOKUP($B$5,标准坦克设计!$B$14:$K$20,9)/30))</f>
        <v>12.842618294610448</v>
      </c>
      <c r="DE114" s="172">
        <f ca="1">(VLOOKUP(DE$72,INDIRECT($C$5&amp;"生成成长"),2))/((VLOOKUP($B114,INDIRECT($B$5&amp;"生成成长"),4))/(VLOOKUP(DE$72,INDIRECT($C$5&amp;"生成成长"),5))*(VLOOKUP($B$5,标准坦克设计!$B$24:$U$30,MATCH("对"&amp;LEFT($C$5,2)&amp;"输出",标准坦克设计!$B$23:$U$23,0)))*(VLOOKUP($B114,INDIRECT($B$5&amp;"生成成长"),3))*(VLOOKUP($B$5,标准坦克设计!$B$14:$K$20,9)/30))</f>
        <v>13.605382726813842</v>
      </c>
      <c r="DF114" s="172">
        <f ca="1">(VLOOKUP(DF$72,INDIRECT($C$5&amp;"生成成长"),2))/((VLOOKUP($B114,INDIRECT($B$5&amp;"生成成长"),4))/(VLOOKUP(DF$72,INDIRECT($C$5&amp;"生成成长"),5))*(VLOOKUP($B$5,标准坦克设计!$B$24:$U$30,MATCH("对"&amp;LEFT($C$5,2)&amp;"输出",标准坦克设计!$B$23:$U$23,0)))*(VLOOKUP($B114,INDIRECT($B$5&amp;"生成成长"),3))*(VLOOKUP($B$5,标准坦克设计!$B$14:$K$20,9)/30))</f>
        <v>14.390149979176948</v>
      </c>
      <c r="DG114" s="172">
        <f ca="1">(VLOOKUP(DG$72,INDIRECT($C$5&amp;"生成成长"),2))/((VLOOKUP($B114,INDIRECT($B$5&amp;"生成成长"),4))/(VLOOKUP(DG$72,INDIRECT($C$5&amp;"生成成长"),5))*(VLOOKUP($B$5,标准坦克设计!$B$24:$U$30,MATCH("对"&amp;LEFT($C$5,2)&amp;"输出",标准坦克设计!$B$23:$U$23,0)))*(VLOOKUP($B114,INDIRECT($B$5&amp;"生成成长"),3))*(VLOOKUP($B$5,标准坦克设计!$B$14:$K$20,9)/30))</f>
        <v>15.196920051699772</v>
      </c>
      <c r="DH114" s="172">
        <f ca="1">(VLOOKUP(DH$72,INDIRECT($C$5&amp;"生成成长"),2))/((VLOOKUP($B114,INDIRECT($B$5&amp;"生成成长"),4))/(VLOOKUP(DH$72,INDIRECT($C$5&amp;"生成成长"),5))*(VLOOKUP($B$5,标准坦克设计!$B$24:$U$30,MATCH("对"&amp;LEFT($C$5,2)&amp;"输出",标准坦克设计!$B$23:$U$23,0)))*(VLOOKUP($B114,INDIRECT($B$5&amp;"生成成长"),3))*(VLOOKUP($B$5,标准坦克设计!$B$14:$K$20,9)/30))</f>
        <v>16.025692944382307</v>
      </c>
      <c r="DI114" s="172">
        <f ca="1">(VLOOKUP(DI$72,INDIRECT($C$5&amp;"生成成长"),2))/((VLOOKUP($B114,INDIRECT($B$5&amp;"生成成长"),4))/(VLOOKUP(DI$72,INDIRECT($C$5&amp;"生成成长"),5))*(VLOOKUP($B$5,标准坦克设计!$B$24:$U$30,MATCH("对"&amp;LEFT($C$5,2)&amp;"输出",标准坦克设计!$B$23:$U$23,0)))*(VLOOKUP($B114,INDIRECT($B$5&amp;"生成成长"),3))*(VLOOKUP($B$5,标准坦克设计!$B$14:$K$20,9)/30))</f>
        <v>16.876468657224553</v>
      </c>
      <c r="DJ114" s="172">
        <f ca="1">(VLOOKUP(DJ$72,INDIRECT($C$5&amp;"生成成长"),2))/((VLOOKUP($B114,INDIRECT($B$5&amp;"生成成长"),4))/(VLOOKUP(DJ$72,INDIRECT($C$5&amp;"生成成长"),5))*(VLOOKUP($B$5,标准坦克设计!$B$24:$U$30,MATCH("对"&amp;LEFT($C$5,2)&amp;"输出",标准坦克设计!$B$23:$U$23,0)))*(VLOOKUP($B114,INDIRECT($B$5&amp;"生成成长"),3))*(VLOOKUP($B$5,标准坦克设计!$B$14:$K$20,9)/30))</f>
        <v>1.6961271193256779</v>
      </c>
      <c r="DK114" s="172">
        <f ca="1">(VLOOKUP(DK$72,INDIRECT($C$5&amp;"生成成长"),2))/((VLOOKUP($B114,INDIRECT($B$5&amp;"生成成长"),4))/(VLOOKUP(DK$72,INDIRECT($C$5&amp;"生成成长"),5))*(VLOOKUP($B$5,标准坦克设计!$B$24:$U$30,MATCH("对"&amp;LEFT($C$5,2)&amp;"输出",标准坦克设计!$B$23:$U$23,0)))*(VLOOKUP($B114,INDIRECT($B$5&amp;"生成成长"),3))*(VLOOKUP($B$5,标准坦克设计!$B$14:$K$20,9)/30))</f>
        <v>1.907216675232928</v>
      </c>
      <c r="DL114" s="172">
        <f ca="1">(VLOOKUP(DL$72,INDIRECT($C$5&amp;"生成成长"),2))/((VLOOKUP($B114,INDIRECT($B$5&amp;"生成成长"),4))/(VLOOKUP(DL$72,INDIRECT($C$5&amp;"生成成长"),5))*(VLOOKUP($B$5,标准坦克设计!$B$24:$U$30,MATCH("对"&amp;LEFT($C$5,2)&amp;"输出",标准坦克设计!$B$23:$U$23,0)))*(VLOOKUP($B114,INDIRECT($B$5&amp;"生成成长"),3))*(VLOOKUP($B$5,标准坦克设计!$B$14:$K$20,9)/30))</f>
        <v>2.1306828174800163</v>
      </c>
      <c r="DM114" s="172">
        <f ca="1">(VLOOKUP(DM$72,INDIRECT($C$5&amp;"生成成长"),2))/((VLOOKUP($B114,INDIRECT($B$5&amp;"生成成长"),4))/(VLOOKUP(DM$72,INDIRECT($C$5&amp;"生成成长"),5))*(VLOOKUP($B$5,标准坦克设计!$B$24:$U$30,MATCH("对"&amp;LEFT($C$5,2)&amp;"输出",标准坦克设计!$B$23:$U$23,0)))*(VLOOKUP($B114,INDIRECT($B$5&amp;"生成成长"),3))*(VLOOKUP($B$5,标准坦克设计!$B$14:$K$20,9)/30))</f>
        <v>2.366525546066943</v>
      </c>
      <c r="DN114" s="172">
        <f ca="1">(VLOOKUP(DN$72,INDIRECT($C$5&amp;"生成成长"),2))/((VLOOKUP($B114,INDIRECT($B$5&amp;"生成成长"),4))/(VLOOKUP(DN$72,INDIRECT($C$5&amp;"生成成长"),5))*(VLOOKUP($B$5,标准坦克设计!$B$24:$U$30,MATCH("对"&amp;LEFT($C$5,2)&amp;"输出",标准坦克设计!$B$23:$U$23,0)))*(VLOOKUP($B114,INDIRECT($B$5&amp;"生成成长"),3))*(VLOOKUP($B$5,标准坦克设计!$B$14:$K$20,9)/30))</f>
        <v>2.6147448609937092</v>
      </c>
      <c r="DO114" s="172">
        <f ca="1">(VLOOKUP(DO$72,INDIRECT($C$5&amp;"生成成长"),2))/((VLOOKUP($B114,INDIRECT($B$5&amp;"生成成长"),4))/(VLOOKUP(DO$72,INDIRECT($C$5&amp;"生成成长"),5))*(VLOOKUP($B$5,标准坦克设计!$B$24:$U$30,MATCH("对"&amp;LEFT($C$5,2)&amp;"输出",标准坦克设计!$B$23:$U$23,0)))*(VLOOKUP($B114,INDIRECT($B$5&amp;"生成成长"),3))*(VLOOKUP($B$5,标准坦克设计!$B$14:$K$20,9)/30))</f>
        <v>2.8753407622603131</v>
      </c>
      <c r="DP114" s="172">
        <f ca="1">(VLOOKUP(DP$72,INDIRECT($C$5&amp;"生成成长"),2))/((VLOOKUP($B114,INDIRECT($B$5&amp;"生成成长"),4))/(VLOOKUP(DP$72,INDIRECT($C$5&amp;"生成成长"),5))*(VLOOKUP($B$5,标准坦克设计!$B$24:$U$30,MATCH("对"&amp;LEFT($C$5,2)&amp;"输出",标准坦克设计!$B$23:$U$23,0)))*(VLOOKUP($B114,INDIRECT($B$5&amp;"生成成长"),3))*(VLOOKUP($B$5,标准坦克设计!$B$14:$K$20,9)/30))</f>
        <v>3.1483132498667565</v>
      </c>
      <c r="DQ114" s="172">
        <f ca="1">(VLOOKUP(DQ$72,INDIRECT($C$5&amp;"生成成长"),2))/((VLOOKUP($B114,INDIRECT($B$5&amp;"生成成长"),4))/(VLOOKUP(DQ$72,INDIRECT($C$5&amp;"生成成长"),5))*(VLOOKUP($B$5,标准坦克设计!$B$24:$U$30,MATCH("对"&amp;LEFT($C$5,2)&amp;"输出",标准坦克设计!$B$23:$U$23,0)))*(VLOOKUP($B114,INDIRECT($B$5&amp;"生成成长"),3))*(VLOOKUP($B$5,标准坦克设计!$B$14:$K$20,9)/30))</f>
        <v>3.4336623238130395</v>
      </c>
      <c r="DR114" s="172">
        <f ca="1">(VLOOKUP(DR$72,INDIRECT($C$5&amp;"生成成长"),2))/((VLOOKUP($B114,INDIRECT($B$5&amp;"生成成长"),4))/(VLOOKUP(DR$72,INDIRECT($C$5&amp;"生成成长"),5))*(VLOOKUP($B$5,标准坦克设计!$B$24:$U$30,MATCH("对"&amp;LEFT($C$5,2)&amp;"输出",标准坦克设计!$B$23:$U$23,0)))*(VLOOKUP($B114,INDIRECT($B$5&amp;"生成成长"),3))*(VLOOKUP($B$5,标准坦克设计!$B$14:$K$20,9)/30))</f>
        <v>3.7313879840991597</v>
      </c>
      <c r="DS114" s="172">
        <f ca="1">(VLOOKUP(DS$72,INDIRECT($C$5&amp;"生成成长"),2))/((VLOOKUP($B114,INDIRECT($B$5&amp;"生成成长"),4))/(VLOOKUP(DS$72,INDIRECT($C$5&amp;"生成成长"),5))*(VLOOKUP($B$5,标准坦克设计!$B$24:$U$30,MATCH("对"&amp;LEFT($C$5,2)&amp;"输出",标准坦克设计!$B$23:$U$23,0)))*(VLOOKUP($B114,INDIRECT($B$5&amp;"生成成长"),3))*(VLOOKUP($B$5,标准坦克设计!$B$14:$K$20,9)/30))</f>
        <v>4.0414902307251186</v>
      </c>
      <c r="DT114" s="172">
        <f ca="1">(VLOOKUP(DT$72,INDIRECT($C$5&amp;"生成成长"),2))/((VLOOKUP($B114,INDIRECT($B$5&amp;"生成成长"),4))/(VLOOKUP(DT$72,INDIRECT($C$5&amp;"生成成长"),5))*(VLOOKUP($B$5,标准坦克设计!$B$24:$U$30,MATCH("对"&amp;LEFT($C$5,2)&amp;"输出",标准坦克设计!$B$23:$U$23,0)))*(VLOOKUP($B114,INDIRECT($B$5&amp;"生成成长"),3))*(VLOOKUP($B$5,标准坦克设计!$B$14:$K$20,9)/30))</f>
        <v>4.437311797556629</v>
      </c>
      <c r="DU114" s="172">
        <f ca="1">(VLOOKUP(DU$72,INDIRECT($C$5&amp;"生成成长"),2))/((VLOOKUP($B114,INDIRECT($B$5&amp;"生成成长"),4))/(VLOOKUP(DU$72,INDIRECT($C$5&amp;"生成成长"),5))*(VLOOKUP($B$5,标准坦克设计!$B$24:$U$30,MATCH("对"&amp;LEFT($C$5,2)&amp;"输出",标准坦克设计!$B$23:$U$23,0)))*(VLOOKUP($B114,INDIRECT($B$5&amp;"生成成长"),3))*(VLOOKUP($B$5,标准坦克设计!$B$14:$K$20,9)/30))</f>
        <v>4.851621845216787</v>
      </c>
      <c r="DV114" s="172">
        <f ca="1">(VLOOKUP(DV$72,INDIRECT($C$5&amp;"生成成长"),2))/((VLOOKUP($B114,INDIRECT($B$5&amp;"生成成长"),4))/(VLOOKUP(DV$72,INDIRECT($C$5&amp;"生成成长"),5))*(VLOOKUP($B$5,标准坦克设计!$B$24:$U$30,MATCH("对"&amp;LEFT($C$5,2)&amp;"输出",标准坦克设计!$B$23:$U$23,0)))*(VLOOKUP($B114,INDIRECT($B$5&amp;"生成成长"),3))*(VLOOKUP($B$5,标准坦克设计!$B$14:$K$20,9)/30))</f>
        <v>5.2844203737055917</v>
      </c>
      <c r="DW114" s="172">
        <f ca="1">(VLOOKUP(DW$72,INDIRECT($C$5&amp;"生成成长"),2))/((VLOOKUP($B114,INDIRECT($B$5&amp;"生成成长"),4))/(VLOOKUP(DW$72,INDIRECT($C$5&amp;"生成成长"),5))*(VLOOKUP($B$5,标准坦克设计!$B$24:$U$30,MATCH("对"&amp;LEFT($C$5,2)&amp;"输出",标准坦克设计!$B$23:$U$23,0)))*(VLOOKUP($B114,INDIRECT($B$5&amp;"生成成长"),3))*(VLOOKUP($B$5,标准坦克设计!$B$14:$K$20,9)/30))</f>
        <v>5.7357073830230449</v>
      </c>
      <c r="DX114" s="172">
        <f ca="1">(VLOOKUP(DX$72,INDIRECT($C$5&amp;"生成成长"),2))/((VLOOKUP($B114,INDIRECT($B$5&amp;"生成成长"),4))/(VLOOKUP(DX$72,INDIRECT($C$5&amp;"生成成长"),5))*(VLOOKUP($B$5,标准坦克设计!$B$24:$U$30,MATCH("对"&amp;LEFT($C$5,2)&amp;"输出",标准坦克设计!$B$23:$U$23,0)))*(VLOOKUP($B114,INDIRECT($B$5&amp;"生成成长"),3))*(VLOOKUP($B$5,标准坦克设计!$B$14:$K$20,9)/30))</f>
        <v>6.2054828731691467</v>
      </c>
      <c r="DY114" s="172">
        <f ca="1">(VLOOKUP(DY$72,INDIRECT($C$5&amp;"生成成长"),2))/((VLOOKUP($B114,INDIRECT($B$5&amp;"生成成长"),4))/(VLOOKUP(DY$72,INDIRECT($C$5&amp;"生成成长"),5))*(VLOOKUP($B$5,标准坦克设计!$B$24:$U$30,MATCH("对"&amp;LEFT($C$5,2)&amp;"输出",标准坦克设计!$B$23:$U$23,0)))*(VLOOKUP($B114,INDIRECT($B$5&amp;"生成成长"),3))*(VLOOKUP($B$5,标准坦克设计!$B$14:$K$20,9)/30))</f>
        <v>2.7871002855781297</v>
      </c>
      <c r="DZ114" s="172">
        <f ca="1">(VLOOKUP(DZ$72,INDIRECT($C$5&amp;"生成成长"),2))/((VLOOKUP($B114,INDIRECT($B$5&amp;"生成成长"),4))/(VLOOKUP(DZ$72,INDIRECT($C$5&amp;"生成成长"),5))*(VLOOKUP($B$5,标准坦克设计!$B$24:$U$30,MATCH("对"&amp;LEFT($C$5,2)&amp;"输出",标准坦克设计!$B$23:$U$23,0)))*(VLOOKUP($B114,INDIRECT($B$5&amp;"生成成长"),3))*(VLOOKUP($B$5,标准坦克设计!$B$14:$K$20,9)/30))</f>
        <v>3.0865831155297832</v>
      </c>
      <c r="EA114" s="172">
        <f ca="1">(VLOOKUP(EA$72,INDIRECT($C$5&amp;"生成成长"),2))/((VLOOKUP($B114,INDIRECT($B$5&amp;"生成成长"),4))/(VLOOKUP(EA$72,INDIRECT($C$5&amp;"生成成长"),5))*(VLOOKUP($B$5,标准坦克设计!$B$24:$U$30,MATCH("对"&amp;LEFT($C$5,2)&amp;"输出",标准坦克设计!$B$23:$U$23,0)))*(VLOOKUP($B114,INDIRECT($B$5&amp;"生成成长"),3))*(VLOOKUP($B$5,标准坦克设计!$B$14:$K$20,9)/30))</f>
        <v>3.4013456817034604</v>
      </c>
      <c r="EB114" s="172">
        <f ca="1">(VLOOKUP(EB$72,INDIRECT($C$5&amp;"生成成长"),2))/((VLOOKUP($B114,INDIRECT($B$5&amp;"生成成长"),4))/(VLOOKUP(EB$72,INDIRECT($C$5&amp;"生成成长"),5))*(VLOOKUP($B$5,标准坦克设计!$B$24:$U$30,MATCH("对"&amp;LEFT($C$5,2)&amp;"输出",标准坦克设计!$B$23:$U$23,0)))*(VLOOKUP($B114,INDIRECT($B$5&amp;"生成成长"),3))*(VLOOKUP($B$5,标准坦克设计!$B$14:$K$20,9)/30))</f>
        <v>3.7313879840991597</v>
      </c>
      <c r="EC114" s="172">
        <f ca="1">(VLOOKUP(EC$72,INDIRECT($C$5&amp;"生成成长"),2))/((VLOOKUP($B114,INDIRECT($B$5&amp;"生成成长"),4))/(VLOOKUP(EC$72,INDIRECT($C$5&amp;"生成成长"),5))*(VLOOKUP($B$5,标准坦克设计!$B$24:$U$30,MATCH("对"&amp;LEFT($C$5,2)&amp;"输出",标准坦克设计!$B$23:$U$23,0)))*(VLOOKUP($B114,INDIRECT($B$5&amp;"生成成长"),3))*(VLOOKUP($B$5,标准坦克设计!$B$14:$K$20,9)/30))</f>
        <v>4.076710022716882</v>
      </c>
      <c r="ED114" s="172">
        <f ca="1">(VLOOKUP(ED$72,INDIRECT($C$5&amp;"生成成长"),2))/((VLOOKUP($B114,INDIRECT($B$5&amp;"生成成长"),4))/(VLOOKUP(ED$72,INDIRECT($C$5&amp;"生成成长"),5))*(VLOOKUP($B$5,标准坦克设计!$B$24:$U$30,MATCH("对"&amp;LEFT($C$5,2)&amp;"输出",标准坦克设计!$B$23:$U$23,0)))*(VLOOKUP($B114,INDIRECT($B$5&amp;"生成成长"),3))*(VLOOKUP($B$5,标准坦克设计!$B$14:$K$20,9)/30))</f>
        <v>4.437311797556629</v>
      </c>
      <c r="EE114" s="172">
        <f ca="1">(VLOOKUP(EE$72,INDIRECT($C$5&amp;"生成成长"),2))/((VLOOKUP($B114,INDIRECT($B$5&amp;"生成成长"),4))/(VLOOKUP(EE$72,INDIRECT($C$5&amp;"生成成长"),5))*(VLOOKUP($B$5,标准坦克设计!$B$24:$U$30,MATCH("对"&amp;LEFT($C$5,2)&amp;"输出",标准坦克设计!$B$23:$U$23,0)))*(VLOOKUP($B114,INDIRECT($B$5&amp;"生成成长"),3))*(VLOOKUP($B$5,标准坦克设计!$B$14:$K$20,9)/30))</f>
        <v>4.8131933086183976</v>
      </c>
      <c r="EF114" s="172">
        <f ca="1">(VLOOKUP(EF$72,INDIRECT($C$5&amp;"生成成长"),2))/((VLOOKUP($B114,INDIRECT($B$5&amp;"生成成长"),4))/(VLOOKUP(EF$72,INDIRECT($C$5&amp;"生成成长"),5))*(VLOOKUP($B$5,标准坦克设计!$B$24:$U$30,MATCH("对"&amp;LEFT($C$5,2)&amp;"输出",标准坦克设计!$B$23:$U$23,0)))*(VLOOKUP($B114,INDIRECT($B$5&amp;"生成成长"),3))*(VLOOKUP($B$5,标准坦克设计!$B$14:$K$20,9)/30))</f>
        <v>5.2043545559021904</v>
      </c>
      <c r="EG114" s="172">
        <f ca="1">(VLOOKUP(EG$72,INDIRECT($C$5&amp;"生成成长"),2))/((VLOOKUP($B114,INDIRECT($B$5&amp;"生成成长"),4))/(VLOOKUP(EG$72,INDIRECT($C$5&amp;"生成成长"),5))*(VLOOKUP($B$5,标准坦克设计!$B$24:$U$30,MATCH("对"&amp;LEFT($C$5,2)&amp;"输出",标准坦克设计!$B$23:$U$23,0)))*(VLOOKUP($B114,INDIRECT($B$5&amp;"生成成长"),3))*(VLOOKUP($B$5,标准坦克设计!$B$14:$K$20,9)/30))</f>
        <v>5.6107955394080058</v>
      </c>
      <c r="EH114" s="172">
        <f ca="1">(VLOOKUP(EH$72,INDIRECT($C$5&amp;"生成成长"),2))/((VLOOKUP($B114,INDIRECT($B$5&amp;"生成成长"),4))/(VLOOKUP(EH$72,INDIRECT($C$5&amp;"生成成长"),5))*(VLOOKUP($B$5,标准坦克设计!$B$24:$U$30,MATCH("对"&amp;LEFT($C$5,2)&amp;"输出",标准坦克设计!$B$23:$U$23,0)))*(VLOOKUP($B114,INDIRECT($B$5&amp;"生成成长"),3))*(VLOOKUP($B$5,标准坦克设计!$B$14:$K$20,9)/30))</f>
        <v>6.0325162591358445</v>
      </c>
      <c r="EI114" s="172">
        <f ca="1">(VLOOKUP(EI$72,INDIRECT($C$5&amp;"生成成长"),2))/((VLOOKUP($B114,INDIRECT($B$5&amp;"生成成长"),4))/(VLOOKUP(EI$72,INDIRECT($C$5&amp;"生成成长"),5))*(VLOOKUP($B$5,标准坦克设计!$B$24:$U$30,MATCH("对"&amp;LEFT($C$5,2)&amp;"输出",标准坦克设计!$B$23:$U$23,0)))*(VLOOKUP($B114,INDIRECT($B$5&amp;"生成成长"),3))*(VLOOKUP($B$5,标准坦克设计!$B$14:$K$20,9)/30))</f>
        <v>6.4695167150857049</v>
      </c>
      <c r="EJ114" s="172">
        <f ca="1">(VLOOKUP(EJ$72,INDIRECT($C$5&amp;"生成成长"),2))/((VLOOKUP($B114,INDIRECT($B$5&amp;"生成成长"),4))/(VLOOKUP(EJ$72,INDIRECT($C$5&amp;"生成成长"),5))*(VLOOKUP($B$5,标准坦克设计!$B$24:$U$30,MATCH("对"&amp;LEFT($C$5,2)&amp;"输出",标准坦克设计!$B$23:$U$23,0)))*(VLOOKUP($B114,INDIRECT($B$5&amp;"生成成长"),3))*(VLOOKUP($B$5,标准坦克设计!$B$14:$K$20,9)/30))</f>
        <v>6.9217969072575913</v>
      </c>
      <c r="EK114" s="172">
        <f ca="1">(VLOOKUP(EK$72,INDIRECT($C$5&amp;"生成成长"),2))/((VLOOKUP($B114,INDIRECT($B$5&amp;"生成成长"),4))/(VLOOKUP(EK$72,INDIRECT($C$5&amp;"生成成长"),5))*(VLOOKUP($B$5,标准坦克设计!$B$24:$U$30,MATCH("对"&amp;LEFT($C$5,2)&amp;"输出",标准坦克设计!$B$23:$U$23,0)))*(VLOOKUP($B114,INDIRECT($B$5&amp;"生成成长"),3))*(VLOOKUP($B$5,标准坦克设计!$B$14:$K$20,9)/30))</f>
        <v>7.4847023896769223</v>
      </c>
      <c r="EL114" s="172">
        <f ca="1">(VLOOKUP(EL$72,INDIRECT($C$5&amp;"生成成长"),2))/((VLOOKUP($B114,INDIRECT($B$5&amp;"生成成长"),4))/(VLOOKUP(EL$72,INDIRECT($C$5&amp;"生成成长"),5))*(VLOOKUP($B$5,标准坦克设计!$B$24:$U$30,MATCH("对"&amp;LEFT($C$5,2)&amp;"输出",标准坦克设计!$B$23:$U$23,0)))*(VLOOKUP($B114,INDIRECT($B$5&amp;"生成成长"),3))*(VLOOKUP($B$5,标准坦克设计!$B$14:$K$20,9)/30))</f>
        <v>8.0696106922559689</v>
      </c>
      <c r="EM114" s="172">
        <f ca="1">(VLOOKUP(EM$72,INDIRECT($C$5&amp;"生成成长"),2))/((VLOOKUP($B114,INDIRECT($B$5&amp;"生成成长"),4))/(VLOOKUP(EM$72,INDIRECT($C$5&amp;"生成成长"),5))*(VLOOKUP($B$5,标准坦克设计!$B$24:$U$30,MATCH("对"&amp;LEFT($C$5,2)&amp;"输出",标准坦克设计!$B$23:$U$23,0)))*(VLOOKUP($B114,INDIRECT($B$5&amp;"生成成长"),3))*(VLOOKUP($B$5,标准坦克设计!$B$14:$K$20,9)/30))</f>
        <v>8.676521814994727</v>
      </c>
      <c r="EN114" s="172">
        <f ca="1">(VLOOKUP(EN$72,INDIRECT($C$5&amp;"生成成长"),2))/((VLOOKUP($B114,INDIRECT($B$5&amp;"生成成长"),4))/(VLOOKUP(EN$72,INDIRECT($C$5&amp;"生成成长"),5))*(VLOOKUP($B$5,标准坦克设计!$B$24:$U$30,MATCH("对"&amp;LEFT($C$5,2)&amp;"输出",标准坦克设计!$B$23:$U$23,0)))*(VLOOKUP($B114,INDIRECT($B$5&amp;"生成成长"),3))*(VLOOKUP($B$5,标准坦克设计!$B$14:$K$20,9)/30))</f>
        <v>9.3054357578931999</v>
      </c>
      <c r="EO114" s="172">
        <f ca="1">(VLOOKUP(EO$72,INDIRECT($C$5&amp;"生成成长"),2))/((VLOOKUP($B114,INDIRECT($B$5&amp;"生成成长"),4))/(VLOOKUP(EO$72,INDIRECT($C$5&amp;"生成成长"),5))*(VLOOKUP($B$5,标准坦克设计!$B$24:$U$30,MATCH("对"&amp;LEFT($C$5,2)&amp;"输出",标准坦克设计!$B$23:$U$23,0)))*(VLOOKUP($B114,INDIRECT($B$5&amp;"生成成长"),3))*(VLOOKUP($B$5,标准坦克设计!$B$14:$K$20,9)/30))</f>
        <v>9.9563525209513859</v>
      </c>
      <c r="EP114" s="172">
        <f ca="1">(VLOOKUP(EP$72,INDIRECT($C$5&amp;"生成成长"),2))/((VLOOKUP($B114,INDIRECT($B$5&amp;"生成成长"),4))/(VLOOKUP(EP$72,INDIRECT($C$5&amp;"生成成长"),5))*(VLOOKUP($B$5,标准坦克设计!$B$24:$U$30,MATCH("对"&amp;LEFT($C$5,2)&amp;"输出",标准坦克设计!$B$23:$U$23,0)))*(VLOOKUP($B114,INDIRECT($B$5&amp;"生成成长"),3))*(VLOOKUP($B$5,标准坦克设计!$B$14:$K$20,9)/30))</f>
        <v>10.629272104169285</v>
      </c>
      <c r="EQ114" s="172">
        <f ca="1">(VLOOKUP(EQ$72,INDIRECT($C$5&amp;"生成成长"),2))/((VLOOKUP($B114,INDIRECT($B$5&amp;"生成成长"),4))/(VLOOKUP(EQ$72,INDIRECT($C$5&amp;"生成成长"),5))*(VLOOKUP($B$5,标准坦克设计!$B$24:$U$30,MATCH("对"&amp;LEFT($C$5,2)&amp;"输出",标准坦克设计!$B$23:$U$23,0)))*(VLOOKUP($B114,INDIRECT($B$5&amp;"生成成长"),3))*(VLOOKUP($B$5,标准坦克设计!$B$14:$K$20,9)/30))</f>
        <v>4.698824482996554</v>
      </c>
      <c r="ER114" s="172">
        <f ca="1">(VLOOKUP(ER$72,INDIRECT($C$5&amp;"生成成长"),2))/((VLOOKUP($B114,INDIRECT($B$5&amp;"生成成长"),4))/(VLOOKUP(ER$72,INDIRECT($C$5&amp;"生成成长"),5))*(VLOOKUP($B$5,标准坦克设计!$B$24:$U$30,MATCH("对"&amp;LEFT($C$5,2)&amp;"输出",标准坦克设计!$B$23:$U$23,0)))*(VLOOKUP($B114,INDIRECT($B$5&amp;"生成成长"),3))*(VLOOKUP($B$5,标准坦克设计!$B$14:$K$20,9)/30))</f>
        <v>5.1248999275476699</v>
      </c>
      <c r="ES114" s="172">
        <f ca="1">(VLOOKUP(ES$72,INDIRECT($C$5&amp;"生成成长"),2))/((VLOOKUP($B114,INDIRECT($B$5&amp;"生成成长"),4))/(VLOOKUP(ES$72,INDIRECT($C$5&amp;"生成成长"),5))*(VLOOKUP($B$5,标准坦克设计!$B$24:$U$30,MATCH("对"&amp;LEFT($C$5,2)&amp;"输出",标准坦克设计!$B$23:$U$23,0)))*(VLOOKUP($B114,INDIRECT($B$5&amp;"生成成长"),3))*(VLOOKUP($B$5,标准坦克设计!$B$14:$K$20,9)/30))</f>
        <v>5.5694638529274325</v>
      </c>
      <c r="ET114" s="172">
        <f ca="1">(VLOOKUP(ET$72,INDIRECT($C$5&amp;"生成成长"),2))/((VLOOKUP($B114,INDIRECT($B$5&amp;"生成成长"),4))/(VLOOKUP(ET$72,INDIRECT($C$5&amp;"生成成长"),5))*(VLOOKUP($B$5,标准坦克设计!$B$24:$U$30,MATCH("对"&amp;LEFT($C$5,2)&amp;"输出",标准坦克设计!$B$23:$U$23,0)))*(VLOOKUP($B114,INDIRECT($B$5&amp;"生成成长"),3))*(VLOOKUP($B$5,标准坦克设计!$B$14:$K$20,9)/30))</f>
        <v>6.0325162591358445</v>
      </c>
      <c r="EU114" s="172">
        <f ca="1">(VLOOKUP(EU$72,INDIRECT($C$5&amp;"生成成长"),2))/((VLOOKUP($B114,INDIRECT($B$5&amp;"生成成长"),4))/(VLOOKUP(EU$72,INDIRECT($C$5&amp;"生成成长"),5))*(VLOOKUP($B$5,标准坦克设计!$B$24:$U$30,MATCH("对"&amp;LEFT($C$5,2)&amp;"输出",标准坦克设计!$B$23:$U$23,0)))*(VLOOKUP($B114,INDIRECT($B$5&amp;"生成成长"),3))*(VLOOKUP($B$5,标准坦克设计!$B$14:$K$20,9)/30))</f>
        <v>6.5140571461729024</v>
      </c>
      <c r="EV114" s="172">
        <f ca="1">(VLOOKUP(EV$72,INDIRECT($C$5&amp;"生成成长"),2))/((VLOOKUP($B114,INDIRECT($B$5&amp;"生成成长"),4))/(VLOOKUP(EV$72,INDIRECT($C$5&amp;"生成成长"),5))*(VLOOKUP($B$5,标准坦克设计!$B$24:$U$30,MATCH("对"&amp;LEFT($C$5,2)&amp;"输出",标准坦克设计!$B$23:$U$23,0)))*(VLOOKUP($B114,INDIRECT($B$5&amp;"生成成长"),3))*(VLOOKUP($B$5,标准坦克设计!$B$14:$K$20,9)/30))</f>
        <v>7.0140865140386097</v>
      </c>
      <c r="EW114" s="172">
        <f ca="1">(VLOOKUP(EW$72,INDIRECT($C$5&amp;"生成成长"),2))/((VLOOKUP($B114,INDIRECT($B$5&amp;"生成成长"),4))/(VLOOKUP(EW$72,INDIRECT($C$5&amp;"生成成长"),5))*(VLOOKUP($B$5,标准坦克设计!$B$24:$U$30,MATCH("对"&amp;LEFT($C$5,2)&amp;"输出",标准坦克设计!$B$23:$U$23,0)))*(VLOOKUP($B114,INDIRECT($B$5&amp;"生成成长"),3))*(VLOOKUP($B$5,标准坦克设计!$B$14:$K$20,9)/30))</f>
        <v>7.5326043627329655</v>
      </c>
      <c r="EX114" s="172">
        <f ca="1">(VLOOKUP(EX$72,INDIRECT($C$5&amp;"生成成长"),2))/((VLOOKUP($B114,INDIRECT($B$5&amp;"生成成长"),4))/(VLOOKUP(EX$72,INDIRECT($C$5&amp;"生成成长"),5))*(VLOOKUP($B$5,标准坦克设计!$B$24:$U$30,MATCH("对"&amp;LEFT($C$5,2)&amp;"输出",标准坦克设计!$B$23:$U$23,0)))*(VLOOKUP($B114,INDIRECT($B$5&amp;"生成成长"),3))*(VLOOKUP($B$5,标准坦克设计!$B$14:$K$20,9)/30))</f>
        <v>8.0696106922559689</v>
      </c>
      <c r="EY114" s="172">
        <f ca="1">(VLOOKUP(EY$72,INDIRECT($C$5&amp;"生成成长"),2))/((VLOOKUP($B114,INDIRECT($B$5&amp;"生成成长"),4))/(VLOOKUP(EY$72,INDIRECT($C$5&amp;"生成成长"),5))*(VLOOKUP($B$5,标准坦克设计!$B$24:$U$30,MATCH("对"&amp;LEFT($C$5,2)&amp;"输出",标准坦克设计!$B$23:$U$23,0)))*(VLOOKUP($B114,INDIRECT($B$5&amp;"生成成长"),3))*(VLOOKUP($B$5,标准坦克设计!$B$14:$K$20,9)/30))</f>
        <v>8.6251055026076209</v>
      </c>
      <c r="EZ114" s="172">
        <f ca="1">(VLOOKUP(EZ$72,INDIRECT($C$5&amp;"生成成长"),2))/((VLOOKUP($B114,INDIRECT($B$5&amp;"生成成长"),4))/(VLOOKUP(EZ$72,INDIRECT($C$5&amp;"生成成长"),5))*(VLOOKUP($B$5,标准坦克设计!$B$24:$U$30,MATCH("对"&amp;LEFT($C$5,2)&amp;"输出",标准坦克设计!$B$23:$U$23,0)))*(VLOOKUP($B114,INDIRECT($B$5&amp;"生成成长"),3))*(VLOOKUP($B$5,标准坦克设计!$B$14:$K$20,9)/30))</f>
        <v>9.1990887937879187</v>
      </c>
      <c r="FA114" s="172">
        <f ca="1">(VLOOKUP(FA$72,INDIRECT($C$5&amp;"生成成长"),2))/((VLOOKUP($B114,INDIRECT($B$5&amp;"生成成长"),4))/(VLOOKUP(FA$72,INDIRECT($C$5&amp;"生成成长"),5))*(VLOOKUP($B$5,标准坦克设计!$B$24:$U$30,MATCH("对"&amp;LEFT($C$5,2)&amp;"输出",标准坦克设计!$B$23:$U$23,0)))*(VLOOKUP($B114,INDIRECT($B$5&amp;"生成成长"),3))*(VLOOKUP($B$5,标准坦克设计!$B$14:$K$20,9)/30))</f>
        <v>9.7915605657968641</v>
      </c>
      <c r="FB114" s="172">
        <f ca="1">(VLOOKUP(FB$72,INDIRECT($C$5&amp;"生成成长"),2))/((VLOOKUP($B114,INDIRECT($B$5&amp;"生成成长"),4))/(VLOOKUP(FB$72,INDIRECT($C$5&amp;"生成成长"),5))*(VLOOKUP($B$5,标准坦克设计!$B$24:$U$30,MATCH("对"&amp;LEFT($C$5,2)&amp;"输出",标准坦克设计!$B$23:$U$23,0)))*(VLOOKUP($B114,INDIRECT($B$5&amp;"生成成长"),3))*(VLOOKUP($B$5,标准坦克设计!$B$14:$K$20,9)/30))</f>
        <v>10.402520818634462</v>
      </c>
      <c r="FC114" s="172">
        <f ca="1">(VLOOKUP(FC$72,INDIRECT($C$5&amp;"生成成长"),2))/((VLOOKUP($B114,INDIRECT($B$5&amp;"生成成长"),4))/(VLOOKUP(FC$72,INDIRECT($C$5&amp;"生成成长"),5))*(VLOOKUP($B$5,标准坦克设计!$B$24:$U$30,MATCH("对"&amp;LEFT($C$5,2)&amp;"输出",标准坦克设计!$B$23:$U$23,0)))*(VLOOKUP($B114,INDIRECT($B$5&amp;"生成成长"),3))*(VLOOKUP($B$5,标准坦克设计!$B$14:$K$20,9)/30))</f>
        <v>11.031969552300703</v>
      </c>
      <c r="FD114" s="172">
        <f ca="1">(VLOOKUP(FD$72,INDIRECT($C$5&amp;"生成成长"),2))/((VLOOKUP($B114,INDIRECT($B$5&amp;"生成成长"),4))/(VLOOKUP(FD$72,INDIRECT($C$5&amp;"生成成长"),5))*(VLOOKUP($B$5,标准坦克设计!$B$24:$U$30,MATCH("对"&amp;LEFT($C$5,2)&amp;"输出",标准坦克设计!$B$23:$U$23,0)))*(VLOOKUP($B114,INDIRECT($B$5&amp;"生成成长"),3))*(VLOOKUP($B$5,标准坦克设计!$B$14:$K$20,9)/30))</f>
        <v>11.679906766795598</v>
      </c>
      <c r="FE114" s="172">
        <f ca="1">(VLOOKUP(FE$72,INDIRECT($C$5&amp;"生成成长"),2))/((VLOOKUP($B114,INDIRECT($B$5&amp;"生成成长"),4))/(VLOOKUP(FE$72,INDIRECT($C$5&amp;"生成成长"),5))*(VLOOKUP($B$5,标准坦克设计!$B$24:$U$30,MATCH("对"&amp;LEFT($C$5,2)&amp;"输出",标准坦克设计!$B$23:$U$23,0)))*(VLOOKUP($B114,INDIRECT($B$5&amp;"生成成长"),3))*(VLOOKUP($B$5,标准坦克设计!$B$14:$K$20,9)/30))</f>
        <v>12.469487136068642</v>
      </c>
      <c r="FF114" s="172">
        <f ca="1">(VLOOKUP(FF$72,INDIRECT($C$5&amp;"生成成长"),2))/((VLOOKUP($B114,INDIRECT($B$5&amp;"生成成长"),4))/(VLOOKUP(FF$72,INDIRECT($C$5&amp;"生成成长"),5))*(VLOOKUP($B$5,标准坦克设计!$B$24:$U$30,MATCH("对"&amp;LEFT($C$5,2)&amp;"输出",标准坦克设计!$B$23:$U$23,0)))*(VLOOKUP($B114,INDIRECT($B$5&amp;"生成成长"),3))*(VLOOKUP($B$5,标准坦克设计!$B$14:$K$20,9)/30))</f>
        <v>13.284890259556906</v>
      </c>
      <c r="FG114" s="172">
        <f ca="1">(VLOOKUP(FG$72,INDIRECT($C$5&amp;"生成成长"),2))/((VLOOKUP($B114,INDIRECT($B$5&amp;"生成成长"),4))/(VLOOKUP(FG$72,INDIRECT($C$5&amp;"生成成长"),5))*(VLOOKUP($B$5,标准坦克设计!$B$24:$U$30,MATCH("对"&amp;LEFT($C$5,2)&amp;"输出",标准坦克设计!$B$23:$U$23,0)))*(VLOOKUP($B114,INDIRECT($B$5&amp;"生成成长"),3))*(VLOOKUP($B$5,标准坦克设计!$B$14:$K$20,9)/30))</f>
        <v>14.126116137260388</v>
      </c>
      <c r="FH114" s="172">
        <f ca="1">(VLOOKUP(FH$72,INDIRECT($C$5&amp;"生成成长"),2))/((VLOOKUP($B114,INDIRECT($B$5&amp;"生成成长"),4))/(VLOOKUP(FH$72,INDIRECT($C$5&amp;"生成成长"),5))*(VLOOKUP($B$5,标准坦克设计!$B$24:$U$30,MATCH("对"&amp;LEFT($C$5,2)&amp;"输出",标准坦克设计!$B$23:$U$23,0)))*(VLOOKUP($B114,INDIRECT($B$5&amp;"生成成长"),3))*(VLOOKUP($B$5,标准坦克设计!$B$14:$K$20,9)/30))</f>
        <v>14.993164769179092</v>
      </c>
      <c r="FI114" s="172">
        <f ca="1">(VLOOKUP(FI$72,INDIRECT($C$5&amp;"生成成长"),2))/((VLOOKUP($B114,INDIRECT($B$5&amp;"生成成长"),4))/(VLOOKUP(FI$72,INDIRECT($C$5&amp;"生成成长"),5))*(VLOOKUP($B$5,标准坦克设计!$B$24:$U$30,MATCH("对"&amp;LEFT($C$5,2)&amp;"输出",标准坦克设计!$B$23:$U$23,0)))*(VLOOKUP($B114,INDIRECT($B$5&amp;"生成成长"),3))*(VLOOKUP($B$5,标准坦克设计!$B$14:$K$20,9)/30))</f>
        <v>15.886036155313015</v>
      </c>
      <c r="FJ114" s="172">
        <f ca="1">(VLOOKUP(FJ$72,INDIRECT($C$5&amp;"生成成长"),2))/((VLOOKUP($B114,INDIRECT($B$5&amp;"生成成长"),4))/(VLOOKUP(FJ$72,INDIRECT($C$5&amp;"生成成长"),5))*(VLOOKUP($B$5,标准坦克设计!$B$24:$U$30,MATCH("对"&amp;LEFT($C$5,2)&amp;"输出",标准坦克设计!$B$23:$U$23,0)))*(VLOOKUP($B114,INDIRECT($B$5&amp;"生成成长"),3))*(VLOOKUP($B$5,标准坦克设计!$B$14:$K$20,9)/30))</f>
        <v>16.804730295662157</v>
      </c>
      <c r="FK114" s="172">
        <f ca="1">(VLOOKUP(FK$72,INDIRECT($C$5&amp;"生成成长"),2))/((VLOOKUP($B114,INDIRECT($B$5&amp;"生成成长"),4))/(VLOOKUP(FK$72,INDIRECT($C$5&amp;"生成成长"),5))*(VLOOKUP($B$5,标准坦克设计!$B$24:$U$30,MATCH("对"&amp;LEFT($C$5,2)&amp;"输出",标准坦克设计!$B$23:$U$23,0)))*(VLOOKUP($B114,INDIRECT($B$5&amp;"生成成长"),3))*(VLOOKUP($B$5,标准坦克设计!$B$14:$K$20,9)/30))</f>
        <v>17.749247190226516</v>
      </c>
    </row>
    <row r="115" spans="1:167" x14ac:dyDescent="0.15">
      <c r="A115" s="170" t="str">
        <f t="shared" si="11"/>
        <v>T5低品质11级</v>
      </c>
      <c r="B115" s="171">
        <v>10511</v>
      </c>
      <c r="C115" s="172">
        <f ca="1">(VLOOKUP(C$72,INDIRECT($C$5&amp;"生成成长"),2))/((VLOOKUP($B115,INDIRECT($B$5&amp;"生成成长"),4))/(VLOOKUP(C$72,INDIRECT($C$5&amp;"生成成长"),5))*(VLOOKUP($B$5,标准坦克设计!$B$24:$U$30,MATCH("对"&amp;LEFT($C$5,2)&amp;"输出",标准坦克设计!$B$23:$U$23,0)))*(VLOOKUP($B115,INDIRECT($B$5&amp;"生成成长"),3))*(VLOOKUP($B$5,标准坦克设计!$B$14:$K$20,9)/30))</f>
        <v>0.71542071350612002</v>
      </c>
      <c r="D115" s="172">
        <f ca="1">(VLOOKUP(D$72,INDIRECT($C$5&amp;"生成成长"),2))/((VLOOKUP($B115,INDIRECT($B$5&amp;"生成成长"),4))/(VLOOKUP(D$72,INDIRECT($C$5&amp;"生成成长"),5))*(VLOOKUP($B$5,标准坦克设计!$B$24:$U$30,MATCH("对"&amp;LEFT($C$5,2)&amp;"输出",标准坦克设计!$B$23:$U$23,0)))*(VLOOKUP($B115,INDIRECT($B$5&amp;"生成成长"),3))*(VLOOKUP($B$5,标准坦克设计!$B$14:$K$20,9)/30))</f>
        <v>0.80384671369547644</v>
      </c>
      <c r="E115" s="172">
        <f ca="1">(VLOOKUP(E$72,INDIRECT($C$5&amp;"生成成长"),2))/((VLOOKUP($B115,INDIRECT($B$5&amp;"生成成长"),4))/(VLOOKUP(E$72,INDIRECT($C$5&amp;"生成成长"),5))*(VLOOKUP($B$5,标准坦克设计!$B$24:$U$30,MATCH("对"&amp;LEFT($C$5,2)&amp;"输出",标准坦克设计!$B$23:$U$23,0)))*(VLOOKUP($B115,INDIRECT($B$5&amp;"生成成长"),3))*(VLOOKUP($B$5,标准坦克设计!$B$14:$K$20,9)/30))</f>
        <v>0.89742374302207706</v>
      </c>
      <c r="F115" s="172">
        <f ca="1">(VLOOKUP(F$72,INDIRECT($C$5&amp;"生成成长"),2))/((VLOOKUP($B115,INDIRECT($B$5&amp;"生成成长"),4))/(VLOOKUP(F$72,INDIRECT($C$5&amp;"生成成长"),5))*(VLOOKUP($B$5,标准坦克设计!$B$24:$U$30,MATCH("对"&amp;LEFT($C$5,2)&amp;"输出",标准坦克设计!$B$23:$U$23,0)))*(VLOOKUP($B115,INDIRECT($B$5&amp;"生成成长"),3))*(VLOOKUP($B$5,标准坦克设计!$B$14:$K$20,9)/30))</f>
        <v>0.99615180148592153</v>
      </c>
      <c r="G115" s="172">
        <f ca="1">(VLOOKUP(G$72,INDIRECT($C$5&amp;"生成成长"),2))/((VLOOKUP($B115,INDIRECT($B$5&amp;"生成成长"),4))/(VLOOKUP(G$72,INDIRECT($C$5&amp;"生成成长"),5))*(VLOOKUP($B$5,标准坦克设计!$B$24:$U$30,MATCH("对"&amp;LEFT($C$5,2)&amp;"输出",标准坦克设计!$B$23:$U$23,0)))*(VLOOKUP($B115,INDIRECT($B$5&amp;"生成成长"),3))*(VLOOKUP($B$5,标准坦克设计!$B$14:$K$20,9)/30))</f>
        <v>1.1000308890870101</v>
      </c>
      <c r="H115" s="172">
        <f ca="1">(VLOOKUP(H$72,INDIRECT($C$5&amp;"生成成长"),2))/((VLOOKUP($B115,INDIRECT($B$5&amp;"生成成长"),4))/(VLOOKUP(H$72,INDIRECT($C$5&amp;"生成成长"),5))*(VLOOKUP($B$5,标准坦克设计!$B$24:$U$30,MATCH("对"&amp;LEFT($C$5,2)&amp;"输出",标准坦克设计!$B$23:$U$23,0)))*(VLOOKUP($B115,INDIRECT($B$5&amp;"生成成长"),3))*(VLOOKUP($B$5,标准坦克设计!$B$14:$K$20,9)/30))</f>
        <v>0.96267011209383513</v>
      </c>
      <c r="I115" s="172">
        <f ca="1">(VLOOKUP(I$72,INDIRECT($C$5&amp;"生成成长"),2))/((VLOOKUP($B115,INDIRECT($B$5&amp;"生成成长"),4))/(VLOOKUP(I$72,INDIRECT($C$5&amp;"生成成长"),5))*(VLOOKUP($B$5,标准坦克设计!$B$24:$U$30,MATCH("对"&amp;LEFT($C$5,2)&amp;"输出",标准坦克设计!$B$23:$U$23,0)))*(VLOOKUP($B115,INDIRECT($B$5&amp;"生成成长"),3))*(VLOOKUP($B$5,标准坦克设计!$B$14:$K$20,9)/30))</f>
        <v>1.1000308890870101</v>
      </c>
      <c r="J115" s="172">
        <f ca="1">(VLOOKUP(J$72,INDIRECT($C$5&amp;"生成成长"),2))/((VLOOKUP($B115,INDIRECT($B$5&amp;"生成成长"),4))/(VLOOKUP(J$72,INDIRECT($C$5&amp;"生成成长"),5))*(VLOOKUP($B$5,标准坦克设计!$B$24:$U$30,MATCH("对"&amp;LEFT($C$5,2)&amp;"输出",标准坦克设计!$B$23:$U$23,0)))*(VLOOKUP($B115,INDIRECT($B$5&amp;"生成成长"),3))*(VLOOKUP($B$5,标准坦克设计!$B$14:$K$20,9)/30))</f>
        <v>1.2465490512130637</v>
      </c>
      <c r="K115" s="172">
        <f ca="1">(VLOOKUP(K$72,INDIRECT($C$5&amp;"生成成长"),2))/((VLOOKUP($B115,INDIRECT($B$5&amp;"生成成长"),4))/(VLOOKUP(K$72,INDIRECT($C$5&amp;"生成成长"),5))*(VLOOKUP($B$5,标准坦克设计!$B$24:$U$30,MATCH("对"&amp;LEFT($C$5,2)&amp;"输出",标准坦克设计!$B$23:$U$23,0)))*(VLOOKUP($B115,INDIRECT($B$5&amp;"生成成长"),3))*(VLOOKUP($B$5,标准坦克设计!$B$14:$K$20,9)/30))</f>
        <v>1.4022245984719952</v>
      </c>
      <c r="L115" s="172">
        <f ca="1">(VLOOKUP(L$72,INDIRECT($C$5&amp;"生成成长"),2))/((VLOOKUP($B115,INDIRECT($B$5&amp;"生成成长"),4))/(VLOOKUP(L$72,INDIRECT($C$5&amp;"生成成长"),5))*(VLOOKUP($B$5,标准坦克设计!$B$24:$U$30,MATCH("对"&amp;LEFT($C$5,2)&amp;"输出",标准坦克设计!$B$23:$U$23,0)))*(VLOOKUP($B115,INDIRECT($B$5&amp;"生成成长"),3))*(VLOOKUP($B$5,标准坦克设计!$B$14:$K$20,9)/30))</f>
        <v>1.5670575308638055</v>
      </c>
      <c r="M115" s="172">
        <f ca="1">(VLOOKUP(M$72,INDIRECT($C$5&amp;"生成成长"),2))/((VLOOKUP($B115,INDIRECT($B$5&amp;"生成成长"),4))/(VLOOKUP(M$72,INDIRECT($C$5&amp;"生成成长"),5))*(VLOOKUP($B$5,标准坦克设计!$B$24:$U$30,MATCH("对"&amp;LEFT($C$5,2)&amp;"输出",标准坦克设计!$B$23:$U$23,0)))*(VLOOKUP($B115,INDIRECT($B$5&amp;"生成成长"),3))*(VLOOKUP($B$5,标准坦克设计!$B$14:$K$20,9)/30))</f>
        <v>1.7410478483884937</v>
      </c>
      <c r="N115" s="172">
        <f ca="1">(VLOOKUP(N$72,INDIRECT($C$5&amp;"生成成长"),2))/((VLOOKUP($B115,INDIRECT($B$5&amp;"生成成长"),4))/(VLOOKUP(N$72,INDIRECT($C$5&amp;"生成成长"),5))*(VLOOKUP($B$5,标准坦克设计!$B$24:$U$30,MATCH("对"&amp;LEFT($C$5,2)&amp;"输出",标准坦克设计!$B$23:$U$23,0)))*(VLOOKUP($B115,INDIRECT($B$5&amp;"生成成长"),3))*(VLOOKUP($B$5,标准坦克设计!$B$14:$K$20,9)/30))</f>
        <v>1.9241955510460604</v>
      </c>
      <c r="O115" s="172">
        <f ca="1">(VLOOKUP(O$72,INDIRECT($C$5&amp;"生成成长"),2))/((VLOOKUP($B115,INDIRECT($B$5&amp;"生成成长"),4))/(VLOOKUP(O$72,INDIRECT($C$5&amp;"生成成长"),5))*(VLOOKUP($B$5,标准坦克设计!$B$24:$U$30,MATCH("对"&amp;LEFT($C$5,2)&amp;"输出",标准坦克设计!$B$23:$U$23,0)))*(VLOOKUP($B115,INDIRECT($B$5&amp;"生成成长"),3))*(VLOOKUP($B$5,标准坦克设计!$B$14:$K$20,9)/30))</f>
        <v>1.4629638170486647</v>
      </c>
      <c r="P115" s="172">
        <f ca="1">(VLOOKUP(P$72,INDIRECT($C$5&amp;"生成成长"),2))/((VLOOKUP($B115,INDIRECT($B$5&amp;"生成成长"),4))/(VLOOKUP(P$72,INDIRECT($C$5&amp;"生成成长"),5))*(VLOOKUP($B$5,标准坦克设计!$B$24:$U$30,MATCH("对"&amp;LEFT($C$5,2)&amp;"输出",标准坦克设计!$B$23:$U$23,0)))*(VLOOKUP($B115,INDIRECT($B$5&amp;"生成成长"),3))*(VLOOKUP($B$5,标准坦克设计!$B$14:$K$20,9)/30))</f>
        <v>1.65290801648454</v>
      </c>
      <c r="Q115" s="172">
        <f ca="1">(VLOOKUP(Q$72,INDIRECT($C$5&amp;"生成成长"),2))/((VLOOKUP($B115,INDIRECT($B$5&amp;"生成成长"),4))/(VLOOKUP(Q$72,INDIRECT($C$5&amp;"生成成长"),5))*(VLOOKUP($B$5,标准坦克设计!$B$24:$U$30,MATCH("对"&amp;LEFT($C$5,2)&amp;"输出",标准坦克设计!$B$23:$U$23,0)))*(VLOOKUP($B115,INDIRECT($B$5&amp;"生成成长"),3))*(VLOOKUP($B$5,标准坦克设计!$B$14:$K$20,9)/30))</f>
        <v>1.854442031479214</v>
      </c>
      <c r="R115" s="172">
        <f ca="1">(VLOOKUP(R$72,INDIRECT($C$5&amp;"生成成长"),2))/((VLOOKUP($B115,INDIRECT($B$5&amp;"生成成长"),4))/(VLOOKUP(R$72,INDIRECT($C$5&amp;"生成成长"),5))*(VLOOKUP($B$5,标准坦克设计!$B$24:$U$30,MATCH("对"&amp;LEFT($C$5,2)&amp;"输出",标准坦克设计!$B$23:$U$23,0)))*(VLOOKUP($B115,INDIRECT($B$5&amp;"生成成长"),3))*(VLOOKUP($B$5,标准坦克设计!$B$14:$K$20,9)/30))</f>
        <v>2.0675658620326871</v>
      </c>
      <c r="S115" s="172">
        <f ca="1">(VLOOKUP(S$72,INDIRECT($C$5&amp;"生成成长"),2))/((VLOOKUP($B115,INDIRECT($B$5&amp;"生成成长"),4))/(VLOOKUP(S$72,INDIRECT($C$5&amp;"生成成长"),5))*(VLOOKUP($B$5,标准坦克设计!$B$24:$U$30,MATCH("对"&amp;LEFT($C$5,2)&amp;"输出",标准坦克设计!$B$23:$U$23,0)))*(VLOOKUP($B115,INDIRECT($B$5&amp;"生成成长"),3))*(VLOOKUP($B$5,标准坦克设计!$B$14:$K$20,9)/30))</f>
        <v>2.2922795081449596</v>
      </c>
      <c r="T115" s="172">
        <f ca="1">(VLOOKUP(T$72,INDIRECT($C$5&amp;"生成成长"),2))/((VLOOKUP($B115,INDIRECT($B$5&amp;"生成成长"),4))/(VLOOKUP(T$72,INDIRECT($C$5&amp;"生成成长"),5))*(VLOOKUP($B$5,标准坦克设计!$B$24:$U$30,MATCH("对"&amp;LEFT($C$5,2)&amp;"输出",标准坦克设计!$B$23:$U$23,0)))*(VLOOKUP($B115,INDIRECT($B$5&amp;"生成成长"),3))*(VLOOKUP($B$5,标准坦克设计!$B$14:$K$20,9)/30))</f>
        <v>2.5285829698160307</v>
      </c>
      <c r="U115" s="172">
        <f ca="1">(VLOOKUP(U$72,INDIRECT($C$5&amp;"生成成长"),2))/((VLOOKUP($B115,INDIRECT($B$5&amp;"生成成长"),4))/(VLOOKUP(U$72,INDIRECT($C$5&amp;"生成成长"),5))*(VLOOKUP($B$5,标准坦克设计!$B$24:$U$30,MATCH("对"&amp;LEFT($C$5,2)&amp;"输出",标准坦克设计!$B$23:$U$23,0)))*(VLOOKUP($B115,INDIRECT($B$5&amp;"生成成长"),3))*(VLOOKUP($B$5,标准坦克设计!$B$14:$K$20,9)/30))</f>
        <v>2.7764762470459017</v>
      </c>
      <c r="V115" s="172">
        <f ca="1">(VLOOKUP(V$72,INDIRECT($C$5&amp;"生成成长"),2))/((VLOOKUP($B115,INDIRECT($B$5&amp;"生成成长"),4))/(VLOOKUP(V$72,INDIRECT($C$5&amp;"生成成长"),5))*(VLOOKUP($B$5,标准坦克设计!$B$24:$U$30,MATCH("对"&amp;LEFT($C$5,2)&amp;"输出",标准坦克设计!$B$23:$U$23,0)))*(VLOOKUP($B115,INDIRECT($B$5&amp;"生成成长"),3))*(VLOOKUP($B$5,标准坦克设计!$B$14:$K$20,9)/30))</f>
        <v>3.0359593398345712</v>
      </c>
      <c r="W115" s="172">
        <f ca="1">(VLOOKUP(W$72,INDIRECT($C$5&amp;"生成成长"),2))/((VLOOKUP($B115,INDIRECT($B$5&amp;"生成成长"),4))/(VLOOKUP(W$72,INDIRECT($C$5&amp;"生成成长"),5))*(VLOOKUP($B$5,标准坦克设计!$B$24:$U$30,MATCH("对"&amp;LEFT($C$5,2)&amp;"输出",标准坦克设计!$B$23:$U$23,0)))*(VLOOKUP($B115,INDIRECT($B$5&amp;"生成成长"),3))*(VLOOKUP($B$5,标准坦克设计!$B$14:$K$20,9)/30))</f>
        <v>3.3070322481820393</v>
      </c>
      <c r="X115" s="172">
        <f ca="1">(VLOOKUP(X$72,INDIRECT($C$5&amp;"生成成长"),2))/((VLOOKUP($B115,INDIRECT($B$5&amp;"生成成长"),4))/(VLOOKUP(X$72,INDIRECT($C$5&amp;"生成成长"),5))*(VLOOKUP($B$5,标准坦克设计!$B$24:$U$30,MATCH("对"&amp;LEFT($C$5,2)&amp;"输出",标准坦克设计!$B$23:$U$23,0)))*(VLOOKUP($B115,INDIRECT($B$5&amp;"生成成长"),3))*(VLOOKUP($B$5,标准坦克设计!$B$14:$K$20,9)/30))</f>
        <v>2.3958724274606458</v>
      </c>
      <c r="Y115" s="172">
        <f ca="1">(VLOOKUP(Y$72,INDIRECT($C$5&amp;"生成成长"),2))/((VLOOKUP($B115,INDIRECT($B$5&amp;"生成成长"),4))/(VLOOKUP(Y$72,INDIRECT($C$5&amp;"生成成长"),5))*(VLOOKUP($B$5,标准坦克设计!$B$24:$U$30,MATCH("对"&amp;LEFT($C$5,2)&amp;"输出",标准坦克设计!$B$23:$U$23,0)))*(VLOOKUP($B115,INDIRECT($B$5&amp;"生成成长"),3))*(VLOOKUP($B$5,标准坦克设计!$B$14:$K$20,9)/30))</f>
        <v>2.6648706157389466</v>
      </c>
      <c r="Z115" s="172">
        <f ca="1">(VLOOKUP(Z$72,INDIRECT($C$5&amp;"生成成长"),2))/((VLOOKUP($B115,INDIRECT($B$5&amp;"生成成长"),4))/(VLOOKUP(Z$72,INDIRECT($C$5&amp;"生成成长"),5))*(VLOOKUP($B$5,标准坦克设计!$B$24:$U$30,MATCH("对"&amp;LEFT($C$5,2)&amp;"输出",标准坦克设计!$B$23:$U$23,0)))*(VLOOKUP($B115,INDIRECT($B$5&amp;"生成成长"),3))*(VLOOKUP($B$5,标准坦克设计!$B$14:$K$20,9)/30))</f>
        <v>2.9481772182873702</v>
      </c>
      <c r="AA115" s="172">
        <f ca="1">(VLOOKUP(AA$72,INDIRECT($C$5&amp;"生成成长"),2))/((VLOOKUP($B115,INDIRECT($B$5&amp;"生成成长"),4))/(VLOOKUP(AA$72,INDIRECT($C$5&amp;"生成成长"),5))*(VLOOKUP($B$5,标准坦克设计!$B$24:$U$30,MATCH("对"&amp;LEFT($C$5,2)&amp;"输出",标准坦克设计!$B$23:$U$23,0)))*(VLOOKUP($B115,INDIRECT($B$5&amp;"生成成长"),3))*(VLOOKUP($B$5,标准坦克设计!$B$14:$K$20,9)/30))</f>
        <v>3.2457922351059163</v>
      </c>
      <c r="AB115" s="172">
        <f ca="1">(VLOOKUP(AB$72,INDIRECT($C$5&amp;"生成成长"),2))/((VLOOKUP($B115,INDIRECT($B$5&amp;"生成成长"),4))/(VLOOKUP(AB$72,INDIRECT($C$5&amp;"生成成长"),5))*(VLOOKUP($B$5,标准坦克设计!$B$24:$U$30,MATCH("对"&amp;LEFT($C$5,2)&amp;"输出",标准坦克设计!$B$23:$U$23,0)))*(VLOOKUP($B115,INDIRECT($B$5&amp;"生成成长"),3))*(VLOOKUP($B$5,标准坦克设计!$B$14:$K$20,9)/30))</f>
        <v>3.5577156661945843</v>
      </c>
      <c r="AC115" s="172">
        <f ca="1">(VLOOKUP(AC$72,INDIRECT($C$5&amp;"生成成长"),2))/((VLOOKUP($B115,INDIRECT($B$5&amp;"生成成长"),4))/(VLOOKUP(AC$72,INDIRECT($C$5&amp;"生成成长"),5))*(VLOOKUP($B$5,标准坦克设计!$B$24:$U$30,MATCH("对"&amp;LEFT($C$5,2)&amp;"输出",标准坦克设计!$B$23:$U$23,0)))*(VLOOKUP($B115,INDIRECT($B$5&amp;"生成成长"),3))*(VLOOKUP($B$5,标准坦克设计!$B$14:$K$20,9)/30))</f>
        <v>3.8839475115533753</v>
      </c>
      <c r="AD115" s="172">
        <f ca="1">(VLOOKUP(AD$72,INDIRECT($C$5&amp;"生成成长"),2))/((VLOOKUP($B115,INDIRECT($B$5&amp;"生成成长"),4))/(VLOOKUP(AD$72,INDIRECT($C$5&amp;"生成成长"),5))*(VLOOKUP($B$5,标准坦克设计!$B$24:$U$30,MATCH("对"&amp;LEFT($C$5,2)&amp;"输出",标准坦克设计!$B$23:$U$23,0)))*(VLOOKUP($B115,INDIRECT($B$5&amp;"生成成长"),3))*(VLOOKUP($B$5,标准坦克设计!$B$14:$K$20,9)/30))</f>
        <v>4.2244877711822886</v>
      </c>
      <c r="AE115" s="172">
        <f ca="1">(VLOOKUP(AE$72,INDIRECT($C$5&amp;"生成成长"),2))/((VLOOKUP($B115,INDIRECT($B$5&amp;"生成成长"),4))/(VLOOKUP(AE$72,INDIRECT($C$5&amp;"生成成长"),5))*(VLOOKUP($B$5,标准坦克设计!$B$24:$U$30,MATCH("对"&amp;LEFT($C$5,2)&amp;"输出",标准坦克设计!$B$23:$U$23,0)))*(VLOOKUP($B115,INDIRECT($B$5&amp;"生成成长"),3))*(VLOOKUP($B$5,标准坦克设计!$B$14:$K$20,9)/30))</f>
        <v>4.5793364450813243</v>
      </c>
      <c r="AF115" s="172">
        <f ca="1">(VLOOKUP(AF$72,INDIRECT($C$5&amp;"生成成长"),2))/((VLOOKUP($B115,INDIRECT($B$5&amp;"生成成长"),4))/(VLOOKUP(AF$72,INDIRECT($C$5&amp;"生成成长"),5))*(VLOOKUP($B$5,标准坦克设计!$B$24:$U$30,MATCH("对"&amp;LEFT($C$5,2)&amp;"输出",标准坦克设计!$B$23:$U$23,0)))*(VLOOKUP($B115,INDIRECT($B$5&amp;"生成成长"),3))*(VLOOKUP($B$5,标准坦克设计!$B$14:$K$20,9)/30))</f>
        <v>4.948493533250482</v>
      </c>
      <c r="AG115" s="172">
        <f ca="1">(VLOOKUP(AG$72,INDIRECT($C$5&amp;"生成成长"),2))/((VLOOKUP($B115,INDIRECT($B$5&amp;"生成成长"),4))/(VLOOKUP(AG$72,INDIRECT($C$5&amp;"生成成长"),5))*(VLOOKUP($B$5,标准坦克设计!$B$24:$U$30,MATCH("对"&amp;LEFT($C$5,2)&amp;"输出",标准坦克设计!$B$23:$U$23,0)))*(VLOOKUP($B115,INDIRECT($B$5&amp;"生成成长"),3))*(VLOOKUP($B$5,标准坦克设计!$B$14:$K$20,9)/30))</f>
        <v>5.3319590356897626</v>
      </c>
      <c r="AH115" s="172">
        <f ca="1">(VLOOKUP(AH$72,INDIRECT($C$5&amp;"生成成长"),2))/((VLOOKUP($B115,INDIRECT($B$5&amp;"生成成长"),4))/(VLOOKUP(AH$72,INDIRECT($C$5&amp;"生成成长"),5))*(VLOOKUP($B$5,标准坦克设计!$B$24:$U$30,MATCH("对"&amp;LEFT($C$5,2)&amp;"输出",标准坦克设计!$B$23:$U$23,0)))*(VLOOKUP($B115,INDIRECT($B$5&amp;"生成成长"),3))*(VLOOKUP($B$5,标准坦克设计!$B$14:$K$20,9)/30))</f>
        <v>5.7297329523991642</v>
      </c>
      <c r="AI115" s="172">
        <f ca="1">(VLOOKUP(AI$72,INDIRECT($C$5&amp;"生成成长"),2))/((VLOOKUP($B115,INDIRECT($B$5&amp;"生成成长"),4))/(VLOOKUP(AI$72,INDIRECT($C$5&amp;"生成成长"),5))*(VLOOKUP($B$5,标准坦克设计!$B$24:$U$30,MATCH("对"&amp;LEFT($C$5,2)&amp;"输出",标准坦克设计!$B$23:$U$23,0)))*(VLOOKUP($B115,INDIRECT($B$5&amp;"生成成长"),3))*(VLOOKUP($B$5,标准坦克设计!$B$14:$K$20,9)/30))</f>
        <v>4.0524290895840664</v>
      </c>
      <c r="AJ115" s="172">
        <f ca="1">(VLOOKUP(AJ$72,INDIRECT($C$5&amp;"生成成长"),2))/((VLOOKUP($B115,INDIRECT($B$5&amp;"生成成长"),4))/(VLOOKUP(AJ$72,INDIRECT($C$5&amp;"生成成长"),5))*(VLOOKUP($B$5,标准坦克设计!$B$24:$U$30,MATCH("对"&amp;LEFT($C$5,2)&amp;"输出",标准坦克设计!$B$23:$U$23,0)))*(VLOOKUP($B115,INDIRECT($B$5&amp;"生成成长"),3))*(VLOOKUP($B$5,标准坦克设计!$B$14:$K$20,9)/30))</f>
        <v>4.4356799658092951</v>
      </c>
      <c r="AK115" s="172">
        <f ca="1">(VLOOKUP(AK$72,INDIRECT($C$5&amp;"生成成长"),2))/((VLOOKUP($B115,INDIRECT($B$5&amp;"生成成长"),4))/(VLOOKUP(AK$72,INDIRECT($C$5&amp;"生成成长"),5))*(VLOOKUP($B$5,标准坦克设计!$B$24:$U$30,MATCH("对"&amp;LEFT($C$5,2)&amp;"输出",标准坦克设计!$B$23:$U$23,0)))*(VLOOKUP($B115,INDIRECT($B$5&amp;"生成成长"),3))*(VLOOKUP($B$5,标准坦克设计!$B$14:$K$20,9)/30))</f>
        <v>4.8362440233013722</v>
      </c>
      <c r="AL115" s="172">
        <f ca="1">(VLOOKUP(AL$72,INDIRECT($C$5&amp;"生成成长"),2))/((VLOOKUP($B115,INDIRECT($B$5&amp;"生成成长"),4))/(VLOOKUP(AL$72,INDIRECT($C$5&amp;"生成成长"),5))*(VLOOKUP($B$5,标准坦克设计!$B$24:$U$30,MATCH("对"&amp;LEFT($C$5,2)&amp;"输出",标准坦克设计!$B$23:$U$23,0)))*(VLOOKUP($B115,INDIRECT($B$5&amp;"生成成长"),3))*(VLOOKUP($B$5,标准坦克设计!$B$14:$K$20,9)/30))</f>
        <v>5.2541212620602957</v>
      </c>
      <c r="AM115" s="172">
        <f ca="1">(VLOOKUP(AM$72,INDIRECT($C$5&amp;"生成成长"),2))/((VLOOKUP($B115,INDIRECT($B$5&amp;"生成成长"),4))/(VLOOKUP(AM$72,INDIRECT($C$5&amp;"生成成长"),5))*(VLOOKUP($B$5,标准坦克设计!$B$24:$U$30,MATCH("对"&amp;LEFT($C$5,2)&amp;"输出",标准坦克设计!$B$23:$U$23,0)))*(VLOOKUP($B115,INDIRECT($B$5&amp;"生成成长"),3))*(VLOOKUP($B$5,标准坦克设计!$B$14:$K$20,9)/30))</f>
        <v>5.6893116820860694</v>
      </c>
      <c r="AN115" s="172">
        <f ca="1">(VLOOKUP(AN$72,INDIRECT($C$5&amp;"生成成长"),2))/((VLOOKUP($B115,INDIRECT($B$5&amp;"生成成长"),4))/(VLOOKUP(AN$72,INDIRECT($C$5&amp;"生成成长"),5))*(VLOOKUP($B$5,标准坦克设计!$B$24:$U$30,MATCH("对"&amp;LEFT($C$5,2)&amp;"输出",标准坦克设计!$B$23:$U$23,0)))*(VLOOKUP($B115,INDIRECT($B$5&amp;"生成成长"),3))*(VLOOKUP($B$5,标准坦克设计!$B$14:$K$20,9)/30))</f>
        <v>6.1418152833786905</v>
      </c>
      <c r="AO115" s="172">
        <f ca="1">(VLOOKUP(AO$72,INDIRECT($C$5&amp;"生成成长"),2))/((VLOOKUP($B115,INDIRECT($B$5&amp;"生成成长"),4))/(VLOOKUP(AO$72,INDIRECT($C$5&amp;"生成成长"),5))*(VLOOKUP($B$5,标准坦克设计!$B$24:$U$30,MATCH("对"&amp;LEFT($C$5,2)&amp;"输出",标准坦克设计!$B$23:$U$23,0)))*(VLOOKUP($B115,INDIRECT($B$5&amp;"生成成长"),3))*(VLOOKUP($B$5,标准坦克设计!$B$14:$K$20,9)/30))</f>
        <v>6.61163206593816</v>
      </c>
      <c r="AP115" s="172">
        <f ca="1">(VLOOKUP(AP$72,INDIRECT($C$5&amp;"生成成长"),2))/((VLOOKUP($B115,INDIRECT($B$5&amp;"生成成长"),4))/(VLOOKUP(AP$72,INDIRECT($C$5&amp;"生成成长"),5))*(VLOOKUP($B$5,标准坦克设计!$B$24:$U$30,MATCH("对"&amp;LEFT($C$5,2)&amp;"输出",标准坦克设计!$B$23:$U$23,0)))*(VLOOKUP($B115,INDIRECT($B$5&amp;"生成成长"),3))*(VLOOKUP($B$5,标准坦克设计!$B$14:$K$20,9)/30))</f>
        <v>7.0987620297644769</v>
      </c>
      <c r="AQ115" s="172">
        <f ca="1">(VLOOKUP(AQ$72,INDIRECT($C$5&amp;"生成成长"),2))/((VLOOKUP($B115,INDIRECT($B$5&amp;"生成成长"),4))/(VLOOKUP(AQ$72,INDIRECT($C$5&amp;"生成成长"),5))*(VLOOKUP($B$5,标准坦克设计!$B$24:$U$30,MATCH("对"&amp;LEFT($C$5,2)&amp;"输出",标准坦克设计!$B$23:$U$23,0)))*(VLOOKUP($B115,INDIRECT($B$5&amp;"生成成长"),3))*(VLOOKUP($B$5,标准坦克设计!$B$14:$K$20,9)/30))</f>
        <v>7.6032051748576395</v>
      </c>
      <c r="AR115" s="172">
        <f ca="1">(VLOOKUP(AR$72,INDIRECT($C$5&amp;"生成成长"),2))/((VLOOKUP($B115,INDIRECT($B$5&amp;"生成成长"),4))/(VLOOKUP(AR$72,INDIRECT($C$5&amp;"生成成长"),5))*(VLOOKUP($B$5,标准坦克设计!$B$24:$U$30,MATCH("对"&amp;LEFT($C$5,2)&amp;"输出",标准坦克设计!$B$23:$U$23,0)))*(VLOOKUP($B115,INDIRECT($B$5&amp;"生成成长"),3))*(VLOOKUP($B$5,标准坦克设计!$B$14:$K$20,9)/30))</f>
        <v>8.1249615012176548</v>
      </c>
      <c r="AS115" s="172">
        <f ca="1">(VLOOKUP(AS$72,INDIRECT($C$5&amp;"生成成长"),2))/((VLOOKUP($B115,INDIRECT($B$5&amp;"生成成长"),4))/(VLOOKUP(AS$72,INDIRECT($C$5&amp;"生成成长"),5))*(VLOOKUP($B$5,标准坦克设计!$B$24:$U$30,MATCH("对"&amp;LEFT($C$5,2)&amp;"输出",标准坦克设计!$B$23:$U$23,0)))*(VLOOKUP($B115,INDIRECT($B$5&amp;"生成成长"),3))*(VLOOKUP($B$5,标准坦克设计!$B$14:$K$20,9)/30))</f>
        <v>8.6640310088445158</v>
      </c>
      <c r="AT115" s="172">
        <f ca="1">(VLOOKUP(AT$72,INDIRECT($C$5&amp;"生成成长"),2))/((VLOOKUP($B115,INDIRECT($B$5&amp;"生成成长"),4))/(VLOOKUP(AT$72,INDIRECT($C$5&amp;"生成成长"),5))*(VLOOKUP($B$5,标准坦克设计!$B$24:$U$30,MATCH("对"&amp;LEFT($C$5,2)&amp;"输出",标准坦克设计!$B$23:$U$23,0)))*(VLOOKUP($B115,INDIRECT($B$5&amp;"生成成长"),3))*(VLOOKUP($B$5,标准坦克设计!$B$14:$K$20,9)/30))</f>
        <v>9.2204136977382269</v>
      </c>
      <c r="AU115" s="172">
        <f ca="1">(VLOOKUP(AU$72,INDIRECT($C$5&amp;"生成成长"),2))/((VLOOKUP($B115,INDIRECT($B$5&amp;"生成成长"),4))/(VLOOKUP(AU$72,INDIRECT($C$5&amp;"生成成长"),5))*(VLOOKUP($B$5,标准坦克设计!$B$24:$U$30,MATCH("对"&amp;LEFT($C$5,2)&amp;"输出",标准坦克设计!$B$23:$U$23,0)))*(VLOOKUP($B115,INDIRECT($B$5&amp;"生成成长"),3))*(VLOOKUP($B$5,标准坦克设计!$B$14:$K$20,9)/30))</f>
        <v>9.7941095678987828</v>
      </c>
      <c r="AV115" s="172">
        <f ca="1">(VLOOKUP(AV$72,INDIRECT($C$5&amp;"生成成长"),2))/((VLOOKUP($B115,INDIRECT($B$5&amp;"生成成长"),4))/(VLOOKUP(AV$72,INDIRECT($C$5&amp;"生成成长"),5))*(VLOOKUP($B$5,标准坦克设计!$B$24:$U$30,MATCH("对"&amp;LEFT($C$5,2)&amp;"输出",标准坦克设计!$B$23:$U$23,0)))*(VLOOKUP($B115,INDIRECT($B$5&amp;"生成成长"),3))*(VLOOKUP($B$5,标准坦克设计!$B$14:$K$20,9)/30))</f>
        <v>0.99615180148592153</v>
      </c>
      <c r="AW115" s="172">
        <f ca="1">(VLOOKUP(AW$72,INDIRECT($C$5&amp;"生成成长"),2))/((VLOOKUP($B115,INDIRECT($B$5&amp;"生成成长"),4))/(VLOOKUP(AW$72,INDIRECT($C$5&amp;"生成成长"),5))*(VLOOKUP($B$5,标准坦克设计!$B$24:$U$30,MATCH("对"&amp;LEFT($C$5,2)&amp;"输出",标准坦克设计!$B$23:$U$23,0)))*(VLOOKUP($B115,INDIRECT($B$5&amp;"生成成长"),3))*(VLOOKUP($B$5,标准坦克设计!$B$14:$K$20,9)/30))</f>
        <v>1.1358019247623163</v>
      </c>
      <c r="AX115" s="172">
        <f ca="1">(VLOOKUP(AX$72,INDIRECT($C$5&amp;"生成成长"),2))/((VLOOKUP($B115,INDIRECT($B$5&amp;"生成成长"),4))/(VLOOKUP(AX$72,INDIRECT($C$5&amp;"生成成长"),5))*(VLOOKUP($B$5,标准坦克设计!$B$24:$U$30,MATCH("对"&amp;LEFT($C$5,2)&amp;"输出",标准坦克设计!$B$23:$U$23,0)))*(VLOOKUP($B115,INDIRECT($B$5&amp;"生成成长"),3))*(VLOOKUP($B$5,标准坦克设计!$B$14:$K$20,9)/30))</f>
        <v>1.2846094331715892</v>
      </c>
      <c r="AY115" s="172">
        <f ca="1">(VLOOKUP(AY$72,INDIRECT($C$5&amp;"生成成长"),2))/((VLOOKUP($B115,INDIRECT($B$5&amp;"生成成长"),4))/(VLOOKUP(AY$72,INDIRECT($C$5&amp;"生成成长"),5))*(VLOOKUP($B$5,标准坦克设计!$B$24:$U$30,MATCH("对"&amp;LEFT($C$5,2)&amp;"输出",标准坦克设计!$B$23:$U$23,0)))*(VLOOKUP($B115,INDIRECT($B$5&amp;"生成成长"),3))*(VLOOKUP($B$5,标准坦克设计!$B$14:$K$20,9)/30))</f>
        <v>1.4425743267137405</v>
      </c>
      <c r="AZ115" s="172">
        <f ca="1">(VLOOKUP(AZ$72,INDIRECT($C$5&amp;"生成成长"),2))/((VLOOKUP($B115,INDIRECT($B$5&amp;"生成成长"),4))/(VLOOKUP(AZ$72,INDIRECT($C$5&amp;"生成成长"),5))*(VLOOKUP($B$5,标准坦克设计!$B$24:$U$30,MATCH("对"&amp;LEFT($C$5,2)&amp;"输出",标准坦克设计!$B$23:$U$23,0)))*(VLOOKUP($B115,INDIRECT($B$5&amp;"生成成长"),3))*(VLOOKUP($B$5,标准坦克设计!$B$14:$K$20,9)/30))</f>
        <v>1.6096966053887702</v>
      </c>
      <c r="BA115" s="172">
        <f ca="1">(VLOOKUP(BA$72,INDIRECT($C$5&amp;"生成成长"),2))/((VLOOKUP($B115,INDIRECT($B$5&amp;"生成成长"),4))/(VLOOKUP(BA$72,INDIRECT($C$5&amp;"生成成长"),5))*(VLOOKUP($B$5,标准坦克设计!$B$24:$U$30,MATCH("对"&amp;LEFT($C$5,2)&amp;"输出",标准坦克设计!$B$23:$U$23,0)))*(VLOOKUP($B115,INDIRECT($B$5&amp;"生成成长"),3))*(VLOOKUP($B$5,标准坦克设计!$B$14:$K$20,9)/30))</f>
        <v>1.7859762691966778</v>
      </c>
      <c r="BB115" s="172">
        <f ca="1">(VLOOKUP(BB$72,INDIRECT($C$5&amp;"生成成长"),2))/((VLOOKUP($B115,INDIRECT($B$5&amp;"生成成长"),4))/(VLOOKUP(BB$72,INDIRECT($C$5&amp;"生成成长"),5))*(VLOOKUP($B$5,标准坦克设计!$B$24:$U$30,MATCH("对"&amp;LEFT($C$5,2)&amp;"输出",标准坦克设计!$B$23:$U$23,0)))*(VLOOKUP($B115,INDIRECT($B$5&amp;"生成成长"),3))*(VLOOKUP($B$5,标准坦克设计!$B$14:$K$20,9)/30))</f>
        <v>1.9714133181374649</v>
      </c>
      <c r="BC115" s="172">
        <f ca="1">(VLOOKUP(BC$72,INDIRECT($C$5&amp;"生成成长"),2))/((VLOOKUP($B115,INDIRECT($B$5&amp;"生成成长"),4))/(VLOOKUP(BC$72,INDIRECT($C$5&amp;"生成成长"),5))*(VLOOKUP($B$5,标准坦克设计!$B$24:$U$30,MATCH("对"&amp;LEFT($C$5,2)&amp;"输出",标准坦克设计!$B$23:$U$23,0)))*(VLOOKUP($B115,INDIRECT($B$5&amp;"生成成长"),3))*(VLOOKUP($B$5,标准坦克设计!$B$14:$K$20,9)/30))</f>
        <v>2.166007752211129</v>
      </c>
      <c r="BD115" s="172">
        <f ca="1">(VLOOKUP(BD$72,INDIRECT($C$5&amp;"生成成长"),2))/((VLOOKUP($B115,INDIRECT($B$5&amp;"生成成长"),4))/(VLOOKUP(BD$72,INDIRECT($C$5&amp;"生成成长"),5))*(VLOOKUP($B$5,标准坦克设计!$B$24:$U$30,MATCH("对"&amp;LEFT($C$5,2)&amp;"输出",标准坦克设计!$B$23:$U$23,0)))*(VLOOKUP($B115,INDIRECT($B$5&amp;"生成成长"),3))*(VLOOKUP($B$5,标准坦克设计!$B$14:$K$20,9)/30))</f>
        <v>2.3958724274606458</v>
      </c>
      <c r="BE115" s="172">
        <f ca="1">(VLOOKUP(BE$72,INDIRECT($C$5&amp;"生成成长"),2))/((VLOOKUP($B115,INDIRECT($B$5&amp;"生成成长"),4))/(VLOOKUP(BE$72,INDIRECT($C$5&amp;"生成成长"),5))*(VLOOKUP($B$5,标准坦克设计!$B$24:$U$30,MATCH("对"&amp;LEFT($C$5,2)&amp;"输出",标准坦克设计!$B$23:$U$23,0)))*(VLOOKUP($B115,INDIRECT($B$5&amp;"生成成长"),3))*(VLOOKUP($B$5,标准坦克设计!$B$14:$K$20,9)/30))</f>
        <v>2.6373269182689607</v>
      </c>
      <c r="BF115" s="172">
        <f ca="1">(VLOOKUP(BF$72,INDIRECT($C$5&amp;"生成成长"),2))/((VLOOKUP($B115,INDIRECT($B$5&amp;"生成成长"),4))/(VLOOKUP(BF$72,INDIRECT($C$5&amp;"生成成长"),5))*(VLOOKUP($B$5,标准坦克设计!$B$24:$U$30,MATCH("对"&amp;LEFT($C$5,2)&amp;"输出",标准坦克设计!$B$23:$U$23,0)))*(VLOOKUP($B115,INDIRECT($B$5&amp;"生成成长"),3))*(VLOOKUP($B$5,标准坦克设计!$B$14:$K$20,9)/30))</f>
        <v>2.8903712246360755</v>
      </c>
      <c r="BG115" s="172">
        <f ca="1">(VLOOKUP(BG$72,INDIRECT($C$5&amp;"生成成长"),2))/((VLOOKUP($B115,INDIRECT($B$5&amp;"生成成长"),4))/(VLOOKUP(BG$72,INDIRECT($C$5&amp;"生成成长"),5))*(VLOOKUP($B$5,标准坦克设计!$B$24:$U$30,MATCH("对"&amp;LEFT($C$5,2)&amp;"输出",标准坦克设计!$B$23:$U$23,0)))*(VLOOKUP($B115,INDIRECT($B$5&amp;"生成成长"),3))*(VLOOKUP($B$5,标准坦克设计!$B$14:$K$20,9)/30))</f>
        <v>3.1550053465619894</v>
      </c>
      <c r="BH115" s="172">
        <f ca="1">(VLOOKUP(BH$72,INDIRECT($C$5&amp;"生成成长"),2))/((VLOOKUP($B115,INDIRECT($B$5&amp;"生成成长"),4))/(VLOOKUP(BH$72,INDIRECT($C$5&amp;"生成成长"),5))*(VLOOKUP($B$5,标准坦克设计!$B$24:$U$30,MATCH("对"&amp;LEFT($C$5,2)&amp;"输出",标准坦克设计!$B$23:$U$23,0)))*(VLOOKUP($B115,INDIRECT($B$5&amp;"生成成长"),3))*(VLOOKUP($B$5,标准坦克设计!$B$14:$K$20,9)/30))</f>
        <v>1.5249907929096453</v>
      </c>
      <c r="BI115" s="172">
        <f ca="1">(VLOOKUP(BI$72,INDIRECT($C$5&amp;"生成成长"),2))/((VLOOKUP($B115,INDIRECT($B$5&amp;"生成成长"),4))/(VLOOKUP(BI$72,INDIRECT($C$5&amp;"生成成长"),5))*(VLOOKUP($B$5,标准坦克设计!$B$24:$U$30,MATCH("对"&amp;LEFT($C$5,2)&amp;"输出",标准坦克设计!$B$23:$U$23,0)))*(VLOOKUP($B115,INDIRECT($B$5&amp;"生成成长"),3))*(VLOOKUP($B$5,标准坦克设计!$B$14:$K$20,9)/30))</f>
        <v>1.7187982641984534</v>
      </c>
      <c r="BJ115" s="172">
        <f ca="1">(VLOOKUP(BJ$72,INDIRECT($C$5&amp;"生成成长"),2))/((VLOOKUP($B115,INDIRECT($B$5&amp;"生成成长"),4))/(VLOOKUP(BJ$72,INDIRECT($C$5&amp;"生成成长"),5))*(VLOOKUP($B$5,标准坦克设计!$B$24:$U$30,MATCH("对"&amp;LEFT($C$5,2)&amp;"输出",标准坦克设计!$B$23:$U$23,0)))*(VLOOKUP($B115,INDIRECT($B$5&amp;"生成成长"),3))*(VLOOKUP($B$5,标准坦克设计!$B$14:$K$20,9)/30))</f>
        <v>1.9241955510460604</v>
      </c>
      <c r="BK115" s="172">
        <f ca="1">(VLOOKUP(BK$72,INDIRECT($C$5&amp;"生成成长"),2))/((VLOOKUP($B115,INDIRECT($B$5&amp;"生成成长"),4))/(VLOOKUP(BK$72,INDIRECT($C$5&amp;"生成成长"),5))*(VLOOKUP($B$5,标准坦克设计!$B$24:$U$30,MATCH("对"&amp;LEFT($C$5,2)&amp;"输出",标准坦克设计!$B$23:$U$23,0)))*(VLOOKUP($B115,INDIRECT($B$5&amp;"生成成长"),3))*(VLOOKUP($B$5,标准坦克设计!$B$14:$K$20,9)/30))</f>
        <v>2.1411826534524669</v>
      </c>
      <c r="BL115" s="172">
        <f ca="1">(VLOOKUP(BL$72,INDIRECT($C$5&amp;"生成成长"),2))/((VLOOKUP($B115,INDIRECT($B$5&amp;"生成成长"),4))/(VLOOKUP(BL$72,INDIRECT($C$5&amp;"生成成长"),5))*(VLOOKUP($B$5,标准坦克设计!$B$24:$U$30,MATCH("对"&amp;LEFT($C$5,2)&amp;"输出",标准坦克设计!$B$23:$U$23,0)))*(VLOOKUP($B115,INDIRECT($B$5&amp;"生成成长"),3))*(VLOOKUP($B$5,标准坦克设计!$B$14:$K$20,9)/30))</f>
        <v>2.369759571417672</v>
      </c>
      <c r="BM115" s="172">
        <f ca="1">(VLOOKUP(BM$72,INDIRECT($C$5&amp;"生成成长"),2))/((VLOOKUP($B115,INDIRECT($B$5&amp;"生成成长"),4))/(VLOOKUP(BM$72,INDIRECT($C$5&amp;"生成成长"),5))*(VLOOKUP($B$5,标准坦克设计!$B$24:$U$30,MATCH("对"&amp;LEFT($C$5,2)&amp;"输出",标准坦克设计!$B$23:$U$23,0)))*(VLOOKUP($B115,INDIRECT($B$5&amp;"生成成长"),3))*(VLOOKUP($B$5,标准坦克设计!$B$14:$K$20,9)/30))</f>
        <v>2.6099263049416765</v>
      </c>
      <c r="BN115" s="172">
        <f ca="1">(VLOOKUP(BN$72,INDIRECT($C$5&amp;"生成成长"),2))/((VLOOKUP($B115,INDIRECT($B$5&amp;"生成成长"),4))/(VLOOKUP(BN$72,INDIRECT($C$5&amp;"生成成长"),5))*(VLOOKUP($B$5,标准坦克设计!$B$24:$U$30,MATCH("对"&amp;LEFT($C$5,2)&amp;"输出",标准坦克设计!$B$23:$U$23,0)))*(VLOOKUP($B115,INDIRECT($B$5&amp;"生成成长"),3))*(VLOOKUP($B$5,标准坦克设计!$B$14:$K$20,9)/30))</f>
        <v>2.8616828540244801</v>
      </c>
      <c r="BO115" s="172">
        <f ca="1">(VLOOKUP(BO$72,INDIRECT($C$5&amp;"生成成长"),2))/((VLOOKUP($B115,INDIRECT($B$5&amp;"生成成长"),4))/(VLOOKUP(BO$72,INDIRECT($C$5&amp;"生成成长"),5))*(VLOOKUP($B$5,标准坦克设计!$B$24:$U$30,MATCH("对"&amp;LEFT($C$5,2)&amp;"输出",标准坦克设计!$B$23:$U$23,0)))*(VLOOKUP($B115,INDIRECT($B$5&amp;"生成成长"),3))*(VLOOKUP($B$5,标准坦克设计!$B$14:$K$20,9)/30))</f>
        <v>3.1250292186660826</v>
      </c>
      <c r="BP115" s="172">
        <f ca="1">(VLOOKUP(BP$72,INDIRECT($C$5&amp;"生成成长"),2))/((VLOOKUP($B115,INDIRECT($B$5&amp;"生成成长"),4))/(VLOOKUP(BP$72,INDIRECT($C$5&amp;"生成成长"),5))*(VLOOKUP($B$5,标准坦克设计!$B$24:$U$30,MATCH("对"&amp;LEFT($C$5,2)&amp;"输出",标准坦克设计!$B$23:$U$23,0)))*(VLOOKUP($B115,INDIRECT($B$5&amp;"生成成长"),3))*(VLOOKUP($B$5,标准坦克设计!$B$14:$K$20,9)/30))</f>
        <v>3.3999653988664846</v>
      </c>
      <c r="BQ115" s="172">
        <f ca="1">(VLOOKUP(BQ$72,INDIRECT($C$5&amp;"生成成长"),2))/((VLOOKUP($B115,INDIRECT($B$5&amp;"生成成长"),4))/(VLOOKUP(BQ$72,INDIRECT($C$5&amp;"生成成长"),5))*(VLOOKUP($B$5,标准坦克设计!$B$24:$U$30,MATCH("对"&amp;LEFT($C$5,2)&amp;"输出",标准坦克设计!$B$23:$U$23,0)))*(VLOOKUP($B115,INDIRECT($B$5&amp;"生成成长"),3))*(VLOOKUP($B$5,标准坦克设计!$B$14:$K$20,9)/30))</f>
        <v>3.6864913946256861</v>
      </c>
      <c r="BR115" s="172">
        <f ca="1">(VLOOKUP(BR$72,INDIRECT($C$5&amp;"生成成长"),2))/((VLOOKUP($B115,INDIRECT($B$5&amp;"生成成长"),4))/(VLOOKUP(BR$72,INDIRECT($C$5&amp;"生成成长"),5))*(VLOOKUP($B$5,标准坦克设计!$B$24:$U$30,MATCH("对"&amp;LEFT($C$5,2)&amp;"输出",标准坦克设计!$B$23:$U$23,0)))*(VLOOKUP($B115,INDIRECT($B$5&amp;"生成成长"),3))*(VLOOKUP($B$5,标准坦克设计!$B$14:$K$20,9)/30))</f>
        <v>4.0184466056925254</v>
      </c>
      <c r="BS115" s="172">
        <f ca="1">(VLOOKUP(BS$72,INDIRECT($C$5&amp;"生成成长"),2))/((VLOOKUP($B115,INDIRECT($B$5&amp;"生成成长"),4))/(VLOOKUP(BS$72,INDIRECT($C$5&amp;"生成成长"),5))*(VLOOKUP($B$5,标准坦克设计!$B$24:$U$30,MATCH("对"&amp;LEFT($C$5,2)&amp;"输出",标准坦克设计!$B$23:$U$23,0)))*(VLOOKUP($B115,INDIRECT($B$5&amp;"生成成长"),3))*(VLOOKUP($B$5,标准坦克设计!$B$14:$K$20,9)/30))</f>
        <v>4.3647102310294885</v>
      </c>
      <c r="BT115" s="172">
        <f ca="1">(VLOOKUP(BT$72,INDIRECT($C$5&amp;"生成成长"),2))/((VLOOKUP($B115,INDIRECT($B$5&amp;"生成成长"),4))/(VLOOKUP(BT$72,INDIRECT($C$5&amp;"生成成长"),5))*(VLOOKUP($B$5,标准坦克设计!$B$24:$U$30,MATCH("对"&amp;LEFT($C$5,2)&amp;"输出",标准坦克设计!$B$23:$U$23,0)))*(VLOOKUP($B115,INDIRECT($B$5&amp;"生成成长"),3))*(VLOOKUP($B$5,标准坦克设计!$B$14:$K$20,9)/30))</f>
        <v>4.7252822706365718</v>
      </c>
      <c r="BU115" s="172">
        <f ca="1">(VLOOKUP(BU$72,INDIRECT($C$5&amp;"生成成长"),2))/((VLOOKUP($B115,INDIRECT($B$5&amp;"生成成长"),4))/(VLOOKUP(BU$72,INDIRECT($C$5&amp;"生成成长"),5))*(VLOOKUP($B$5,标准坦克设计!$B$24:$U$30,MATCH("对"&amp;LEFT($C$5,2)&amp;"输出",标准坦克设计!$B$23:$U$23,0)))*(VLOOKUP($B115,INDIRECT($B$5&amp;"生成成长"),3))*(VLOOKUP($B$5,标准坦克设计!$B$14:$K$20,9)/30))</f>
        <v>5.1001627245137788</v>
      </c>
      <c r="BV115" s="172">
        <f ca="1">(VLOOKUP(BV$72,INDIRECT($C$5&amp;"生成成长"),2))/((VLOOKUP($B115,INDIRECT($B$5&amp;"生成成长"),4))/(VLOOKUP(BV$72,INDIRECT($C$5&amp;"生成成长"),5))*(VLOOKUP($B$5,标准坦克设计!$B$24:$U$30,MATCH("对"&amp;LEFT($C$5,2)&amp;"输出",标准坦克设计!$B$23:$U$23,0)))*(VLOOKUP($B115,INDIRECT($B$5&amp;"生成成长"),3))*(VLOOKUP($B$5,标准坦克设计!$B$14:$K$20,9)/30))</f>
        <v>5.4893515926611087</v>
      </c>
      <c r="BW115" s="172">
        <f ca="1">(VLOOKUP(BW$72,INDIRECT($C$5&amp;"生成成长"),2))/((VLOOKUP($B115,INDIRECT($B$5&amp;"生成成长"),4))/(VLOOKUP(BW$72,INDIRECT($C$5&amp;"生成成长"),5))*(VLOOKUP($B$5,标准坦克设计!$B$24:$U$30,MATCH("对"&amp;LEFT($C$5,2)&amp;"输出",标准坦克设计!$B$23:$U$23,0)))*(VLOOKUP($B115,INDIRECT($B$5&amp;"生成成长"),3))*(VLOOKUP($B$5,标准坦克设计!$B$14:$K$20,9)/30))</f>
        <v>2.5017546930595511</v>
      </c>
      <c r="BX115" s="172">
        <f ca="1">(VLOOKUP(BX$72,INDIRECT($C$5&amp;"生成成长"),2))/((VLOOKUP($B115,INDIRECT($B$5&amp;"生成成长"),4))/(VLOOKUP(BX$72,INDIRECT($C$5&amp;"生成成长"),5))*(VLOOKUP($B$5,标准坦克设计!$B$24:$U$30,MATCH("对"&amp;LEFT($C$5,2)&amp;"输出",标准坦克设计!$B$23:$U$23,0)))*(VLOOKUP($B115,INDIRECT($B$5&amp;"生成成长"),3))*(VLOOKUP($B$5,标准坦克设计!$B$14:$K$20,9)/30))</f>
        <v>2.7764762470459017</v>
      </c>
      <c r="BY115" s="172">
        <f ca="1">(VLOOKUP(BY$72,INDIRECT($C$5&amp;"生成成长"),2))/((VLOOKUP($B115,INDIRECT($B$5&amp;"生成成长"),4))/(VLOOKUP(BY$72,INDIRECT($C$5&amp;"生成成长"),5))*(VLOOKUP($B$5,标准坦克设计!$B$24:$U$30,MATCH("对"&amp;LEFT($C$5,2)&amp;"输出",标准坦克设计!$B$23:$U$23,0)))*(VLOOKUP($B115,INDIRECT($B$5&amp;"生成成长"),3))*(VLOOKUP($B$5,标准坦克设计!$B$14:$K$20,9)/30))</f>
        <v>3.0655062153023738</v>
      </c>
      <c r="BZ115" s="172">
        <f ca="1">(VLOOKUP(BZ$72,INDIRECT($C$5&amp;"生成成长"),2))/((VLOOKUP($B115,INDIRECT($B$5&amp;"生成成长"),4))/(VLOOKUP(BZ$72,INDIRECT($C$5&amp;"生成成长"),5))*(VLOOKUP($B$5,标准坦克设计!$B$24:$U$30,MATCH("对"&amp;LEFT($C$5,2)&amp;"输出",标准坦克设计!$B$23:$U$23,0)))*(VLOOKUP($B115,INDIRECT($B$5&amp;"生成成长"),3))*(VLOOKUP($B$5,标准坦克设计!$B$14:$K$20,9)/30))</f>
        <v>3.3688445978289687</v>
      </c>
      <c r="CA115" s="172">
        <f ca="1">(VLOOKUP(CA$72,INDIRECT($C$5&amp;"生成成长"),2))/((VLOOKUP($B115,INDIRECT($B$5&amp;"生成成长"),4))/(VLOOKUP(CA$72,INDIRECT($C$5&amp;"生成成长"),5))*(VLOOKUP($B$5,标准坦克设计!$B$24:$U$30,MATCH("对"&amp;LEFT($C$5,2)&amp;"输出",标准坦克设计!$B$23:$U$23,0)))*(VLOOKUP($B115,INDIRECT($B$5&amp;"生成成长"),3))*(VLOOKUP($B$5,标准坦克设计!$B$14:$K$20,9)/30))</f>
        <v>3.6864913946256861</v>
      </c>
      <c r="CB115" s="172">
        <f ca="1">(VLOOKUP(CB$72,INDIRECT($C$5&amp;"生成成长"),2))/((VLOOKUP($B115,INDIRECT($B$5&amp;"生成成长"),4))/(VLOOKUP(CB$72,INDIRECT($C$5&amp;"生成成长"),5))*(VLOOKUP($B$5,标准坦克设计!$B$24:$U$30,MATCH("对"&amp;LEFT($C$5,2)&amp;"输出",标准坦克设计!$B$23:$U$23,0)))*(VLOOKUP($B115,INDIRECT($B$5&amp;"生成成长"),3))*(VLOOKUP($B$5,标准坦克设计!$B$14:$K$20,9)/30))</f>
        <v>4.0184466056925254</v>
      </c>
      <c r="CC115" s="172">
        <f ca="1">(VLOOKUP(CC$72,INDIRECT($C$5&amp;"生成成长"),2))/((VLOOKUP($B115,INDIRECT($B$5&amp;"生成成长"),4))/(VLOOKUP(CC$72,INDIRECT($C$5&amp;"生成成长"),5))*(VLOOKUP($B$5,标准坦克设计!$B$24:$U$30,MATCH("对"&amp;LEFT($C$5,2)&amp;"输出",标准坦克设计!$B$23:$U$23,0)))*(VLOOKUP($B115,INDIRECT($B$5&amp;"生成成长"),3))*(VLOOKUP($B$5,标准坦克设计!$B$14:$K$20,9)/30))</f>
        <v>4.3647102310294885</v>
      </c>
      <c r="CD115" s="172">
        <f ca="1">(VLOOKUP(CD$72,INDIRECT($C$5&amp;"生成成长"),2))/((VLOOKUP($B115,INDIRECT($B$5&amp;"生成成长"),4))/(VLOOKUP(CD$72,INDIRECT($C$5&amp;"生成成长"),5))*(VLOOKUP($B$5,标准坦克设计!$B$24:$U$30,MATCH("对"&amp;LEFT($C$5,2)&amp;"输出",标准坦克设计!$B$23:$U$23,0)))*(VLOOKUP($B115,INDIRECT($B$5&amp;"生成成长"),3))*(VLOOKUP($B$5,标准坦克设计!$B$14:$K$20,9)/30))</f>
        <v>4.7252822706365718</v>
      </c>
      <c r="CE115" s="172">
        <f ca="1">(VLOOKUP(CE$72,INDIRECT($C$5&amp;"生成成长"),2))/((VLOOKUP($B115,INDIRECT($B$5&amp;"生成成长"),4))/(VLOOKUP(CE$72,INDIRECT($C$5&amp;"生成成长"),5))*(VLOOKUP($B$5,标准坦克设计!$B$24:$U$30,MATCH("对"&amp;LEFT($C$5,2)&amp;"输出",标准坦克设计!$B$23:$U$23,0)))*(VLOOKUP($B115,INDIRECT($B$5&amp;"生成成长"),3))*(VLOOKUP($B$5,标准坦克设计!$B$14:$K$20,9)/30))</f>
        <v>5.1001627245137788</v>
      </c>
      <c r="CF115" s="172">
        <f ca="1">(VLOOKUP(CF$72,INDIRECT($C$5&amp;"生成成长"),2))/((VLOOKUP($B115,INDIRECT($B$5&amp;"生成成长"),4))/(VLOOKUP(CF$72,INDIRECT($C$5&amp;"生成成长"),5))*(VLOOKUP($B$5,标准坦克设计!$B$24:$U$30,MATCH("对"&amp;LEFT($C$5,2)&amp;"输出",标准坦克设计!$B$23:$U$23,0)))*(VLOOKUP($B115,INDIRECT($B$5&amp;"生成成长"),3))*(VLOOKUP($B$5,标准坦克设计!$B$14:$K$20,9)/30))</f>
        <v>5.4893515926611087</v>
      </c>
      <c r="CG115" s="172">
        <f ca="1">(VLOOKUP(CG$72,INDIRECT($C$5&amp;"生成成长"),2))/((VLOOKUP($B115,INDIRECT($B$5&amp;"生成成长"),4))/(VLOOKUP(CG$72,INDIRECT($C$5&amp;"生成成长"),5))*(VLOOKUP($B$5,标准坦克设计!$B$24:$U$30,MATCH("对"&amp;LEFT($C$5,2)&amp;"输出",标准坦克设计!$B$23:$U$23,0)))*(VLOOKUP($B115,INDIRECT($B$5&amp;"生成成长"),3))*(VLOOKUP($B$5,标准坦克设计!$B$14:$K$20,9)/30))</f>
        <v>5.8928488750785597</v>
      </c>
      <c r="CH115" s="172">
        <f ca="1">(VLOOKUP(CH$72,INDIRECT($C$5&amp;"生成成长"),2))/((VLOOKUP($B115,INDIRECT($B$5&amp;"生成成长"),4))/(VLOOKUP(CH$72,INDIRECT($C$5&amp;"生成成长"),5))*(VLOOKUP($B$5,标准坦克设计!$B$24:$U$30,MATCH("对"&amp;LEFT($C$5,2)&amp;"输出",标准坦克设计!$B$23:$U$23,0)))*(VLOOKUP($B115,INDIRECT($B$5&amp;"生成成长"),3))*(VLOOKUP($B$5,标准坦克设计!$B$14:$K$20,9)/30))</f>
        <v>6.3106545717661344</v>
      </c>
      <c r="CI115" s="172">
        <f ca="1">(VLOOKUP(CI$72,INDIRECT($C$5&amp;"生成成长"),2))/((VLOOKUP($B115,INDIRECT($B$5&amp;"生成成长"),4))/(VLOOKUP(CI$72,INDIRECT($C$5&amp;"生成成长"),5))*(VLOOKUP($B$5,标准坦克设计!$B$24:$U$30,MATCH("对"&amp;LEFT($C$5,2)&amp;"输出",标准坦克设计!$B$23:$U$23,0)))*(VLOOKUP($B115,INDIRECT($B$5&amp;"生成成长"),3))*(VLOOKUP($B$5,标准坦克设计!$B$14:$K$20,9)/30))</f>
        <v>6.7867670566044564</v>
      </c>
      <c r="CJ115" s="172">
        <f ca="1">(VLOOKUP(CJ$72,INDIRECT($C$5&amp;"生成成长"),2))/((VLOOKUP($B115,INDIRECT($B$5&amp;"生成成长"),4))/(VLOOKUP(CJ$72,INDIRECT($C$5&amp;"生成成长"),5))*(VLOOKUP($B$5,标准坦克设计!$B$24:$U$30,MATCH("对"&amp;LEFT($C$5,2)&amp;"输出",标准坦克设计!$B$23:$U$23,0)))*(VLOOKUP($B115,INDIRECT($B$5&amp;"生成成长"),3))*(VLOOKUP($B$5,标准坦克设计!$B$14:$K$20,9)/30))</f>
        <v>7.2801927227096286</v>
      </c>
      <c r="CK115" s="172">
        <f ca="1">(VLOOKUP(CK$72,INDIRECT($C$5&amp;"生成成长"),2))/((VLOOKUP($B115,INDIRECT($B$5&amp;"生成成长"),4))/(VLOOKUP(CK$72,INDIRECT($C$5&amp;"生成成长"),5))*(VLOOKUP($B$5,标准坦克设计!$B$24:$U$30,MATCH("对"&amp;LEFT($C$5,2)&amp;"输出",标准坦克设计!$B$23:$U$23,0)))*(VLOOKUP($B115,INDIRECT($B$5&amp;"生成成长"),3))*(VLOOKUP($B$5,标准坦克设计!$B$14:$K$20,9)/30))</f>
        <v>7.7909315700816464</v>
      </c>
      <c r="CL115" s="172">
        <f ca="1">(VLOOKUP(CL$72,INDIRECT($C$5&amp;"生成成长"),2))/((VLOOKUP($B115,INDIRECT($B$5&amp;"生成成长"),4))/(VLOOKUP(CL$72,INDIRECT($C$5&amp;"生成成长"),5))*(VLOOKUP($B$5,标准坦克设计!$B$24:$U$30,MATCH("对"&amp;LEFT($C$5,2)&amp;"输出",标准坦克设计!$B$23:$U$23,0)))*(VLOOKUP($B115,INDIRECT($B$5&amp;"生成成长"),3))*(VLOOKUP($B$5,标准坦克设计!$B$14:$K$20,9)/30))</f>
        <v>8.3189835987205143</v>
      </c>
      <c r="CM115" s="172">
        <f ca="1">(VLOOKUP(CM$72,INDIRECT($C$5&amp;"生成成长"),2))/((VLOOKUP($B115,INDIRECT($B$5&amp;"生成成长"),4))/(VLOOKUP(CM$72,INDIRECT($C$5&amp;"生成成长"),5))*(VLOOKUP($B$5,标准坦克设计!$B$24:$U$30,MATCH("对"&amp;LEFT($C$5,2)&amp;"输出",标准坦克设计!$B$23:$U$23,0)))*(VLOOKUP($B115,INDIRECT($B$5&amp;"生成成长"),3))*(VLOOKUP($B$5,标准坦克设计!$B$14:$K$20,9)/30))</f>
        <v>8.8643488086262305</v>
      </c>
      <c r="CN115" s="172">
        <f ca="1">(VLOOKUP(CN$72,INDIRECT($C$5&amp;"生成成长"),2))/((VLOOKUP($B115,INDIRECT($B$5&amp;"生成成长"),4))/(VLOOKUP(CN$72,INDIRECT($C$5&amp;"生成成长"),5))*(VLOOKUP($B$5,标准坦克设计!$B$24:$U$30,MATCH("对"&amp;LEFT($C$5,2)&amp;"输出",标准坦克设计!$B$23:$U$23,0)))*(VLOOKUP($B115,INDIRECT($B$5&amp;"生成成长"),3))*(VLOOKUP($B$5,标准坦克设计!$B$14:$K$20,9)/30))</f>
        <v>9.4270271997987933</v>
      </c>
      <c r="CO115" s="172">
        <f ca="1">(VLOOKUP(CO$72,INDIRECT($C$5&amp;"生成成长"),2))/((VLOOKUP($B115,INDIRECT($B$5&amp;"生成成长"),4))/(VLOOKUP(CO$72,INDIRECT($C$5&amp;"生成成长"),5))*(VLOOKUP($B$5,标准坦克设计!$B$24:$U$30,MATCH("对"&amp;LEFT($C$5,2)&amp;"输出",标准坦克设计!$B$23:$U$23,0)))*(VLOOKUP($B115,INDIRECT($B$5&amp;"生成成长"),3))*(VLOOKUP($B$5,标准坦克设计!$B$14:$K$20,9)/30))</f>
        <v>4.2244877711822886</v>
      </c>
      <c r="CP115" s="172">
        <f ca="1">(VLOOKUP(CP$72,INDIRECT($C$5&amp;"生成成长"),2))/((VLOOKUP($B115,INDIRECT($B$5&amp;"生成成长"),4))/(VLOOKUP(CP$72,INDIRECT($C$5&amp;"生成成长"),5))*(VLOOKUP($B$5,标准坦克设计!$B$24:$U$30,MATCH("对"&amp;LEFT($C$5,2)&amp;"输出",标准坦克设计!$B$23:$U$23,0)))*(VLOOKUP($B115,INDIRECT($B$5&amp;"生成成长"),3))*(VLOOKUP($B$5,标准坦克设计!$B$14:$K$20,9)/30))</f>
        <v>4.6156082752560836</v>
      </c>
      <c r="CQ115" s="172">
        <f ca="1">(VLOOKUP(CQ$72,INDIRECT($C$5&amp;"生成成长"),2))/((VLOOKUP($B115,INDIRECT($B$5&amp;"生成成长"),4))/(VLOOKUP(CQ$72,INDIRECT($C$5&amp;"生成成长"),5))*(VLOOKUP($B$5,标准坦克设计!$B$24:$U$30,MATCH("对"&amp;LEFT($C$5,2)&amp;"输出",标准坦克设计!$B$23:$U$23,0)))*(VLOOKUP($B115,INDIRECT($B$5&amp;"生成成长"),3))*(VLOOKUP($B$5,标准坦克设计!$B$14:$K$20,9)/30))</f>
        <v>5.0240419605967288</v>
      </c>
      <c r="CR115" s="172">
        <f ca="1">(VLOOKUP(CR$72,INDIRECT($C$5&amp;"生成成长"),2))/((VLOOKUP($B115,INDIRECT($B$5&amp;"生成成长"),4))/(VLOOKUP(CR$72,INDIRECT($C$5&amp;"生成成长"),5))*(VLOOKUP($B$5,标准坦克设计!$B$24:$U$30,MATCH("对"&amp;LEFT($C$5,2)&amp;"输出",标准坦克设计!$B$23:$U$23,0)))*(VLOOKUP($B115,INDIRECT($B$5&amp;"生成成长"),3))*(VLOOKUP($B$5,标准坦克设计!$B$14:$K$20,9)/30))</f>
        <v>5.4497888272042196</v>
      </c>
      <c r="CS115" s="172">
        <f ca="1">(VLOOKUP(CS$72,INDIRECT($C$5&amp;"生成成长"),2))/((VLOOKUP($B115,INDIRECT($B$5&amp;"生成成长"),4))/(VLOOKUP(CS$72,INDIRECT($C$5&amp;"生成成长"),5))*(VLOOKUP($B$5,标准坦克设计!$B$24:$U$30,MATCH("对"&amp;LEFT($C$5,2)&amp;"输出",标准坦克设计!$B$23:$U$23,0)))*(VLOOKUP($B115,INDIRECT($B$5&amp;"生成成长"),3))*(VLOOKUP($B$5,标准坦克设计!$B$14:$K$20,9)/30))</f>
        <v>5.8928488750785597</v>
      </c>
      <c r="CT115" s="172">
        <f ca="1">(VLOOKUP(CT$72,INDIRECT($C$5&amp;"生成成长"),2))/((VLOOKUP($B115,INDIRECT($B$5&amp;"生成成长"),4))/(VLOOKUP(CT$72,INDIRECT($C$5&amp;"生成成长"),5))*(VLOOKUP($B$5,标准坦克设计!$B$24:$U$30,MATCH("对"&amp;LEFT($C$5,2)&amp;"输出",标准坦克设计!$B$23:$U$23,0)))*(VLOOKUP($B115,INDIRECT($B$5&amp;"生成成长"),3))*(VLOOKUP($B$5,标准坦克设计!$B$14:$K$20,9)/30))</f>
        <v>6.3532221042197481</v>
      </c>
      <c r="CU115" s="172">
        <f ca="1">(VLOOKUP(CU$72,INDIRECT($C$5&amp;"生成成长"),2))/((VLOOKUP($B115,INDIRECT($B$5&amp;"生成成长"),4))/(VLOOKUP(CU$72,INDIRECT($C$5&amp;"生成成长"),5))*(VLOOKUP($B$5,标准坦克设计!$B$24:$U$30,MATCH("对"&amp;LEFT($C$5,2)&amp;"输出",标准坦克设计!$B$23:$U$23,0)))*(VLOOKUP($B115,INDIRECT($B$5&amp;"生成成长"),3))*(VLOOKUP($B$5,标准坦克设计!$B$14:$K$20,9)/30))</f>
        <v>6.8309085146277848</v>
      </c>
      <c r="CV115" s="172">
        <f ca="1">(VLOOKUP(CV$72,INDIRECT($C$5&amp;"生成成长"),2))/((VLOOKUP($B115,INDIRECT($B$5&amp;"生成成长"),4))/(VLOOKUP(CV$72,INDIRECT($C$5&amp;"生成成长"),5))*(VLOOKUP($B$5,标准坦克设计!$B$24:$U$30,MATCH("对"&amp;LEFT($C$5,2)&amp;"输出",标准坦克设计!$B$23:$U$23,0)))*(VLOOKUP($B115,INDIRECT($B$5&amp;"生成成长"),3))*(VLOOKUP($B$5,标准坦克设计!$B$14:$K$20,9)/30))</f>
        <v>7.325908106302669</v>
      </c>
      <c r="CW115" s="172">
        <f ca="1">(VLOOKUP(CW$72,INDIRECT($C$5&amp;"生成成长"),2))/((VLOOKUP($B115,INDIRECT($B$5&amp;"生成成长"),4))/(VLOOKUP(CW$72,INDIRECT($C$5&amp;"生成成长"),5))*(VLOOKUP($B$5,标准坦克设计!$B$24:$U$30,MATCH("对"&amp;LEFT($C$5,2)&amp;"输出",标准坦克设计!$B$23:$U$23,0)))*(VLOOKUP($B115,INDIRECT($B$5&amp;"生成成长"),3))*(VLOOKUP($B$5,标准坦克设计!$B$14:$K$20,9)/30))</f>
        <v>7.8382208792444032</v>
      </c>
      <c r="CX115" s="172">
        <f ca="1">(VLOOKUP(CX$72,INDIRECT($C$5&amp;"生成成长"),2))/((VLOOKUP($B115,INDIRECT($B$5&amp;"生成成长"),4))/(VLOOKUP(CX$72,INDIRECT($C$5&amp;"生成成长"),5))*(VLOOKUP($B$5,标准坦克设计!$B$24:$U$30,MATCH("对"&amp;LEFT($C$5,2)&amp;"输出",标准坦克设计!$B$23:$U$23,0)))*(VLOOKUP($B115,INDIRECT($B$5&amp;"生成成长"),3))*(VLOOKUP($B$5,标准坦克设计!$B$14:$K$20,9)/30))</f>
        <v>8.3678468334529814</v>
      </c>
      <c r="CY115" s="172">
        <f ca="1">(VLOOKUP(CY$72,INDIRECT($C$5&amp;"生成成长"),2))/((VLOOKUP($B115,INDIRECT($B$5&amp;"生成成长"),4))/(VLOOKUP(CY$72,INDIRECT($C$5&amp;"生成成长"),5))*(VLOOKUP($B$5,标准坦克设计!$B$24:$U$30,MATCH("对"&amp;LEFT($C$5,2)&amp;"输出",标准坦克设计!$B$23:$U$23,0)))*(VLOOKUP($B115,INDIRECT($B$5&amp;"生成成长"),3))*(VLOOKUP($B$5,标准坦克设计!$B$14:$K$20,9)/30))</f>
        <v>8.9147859689284115</v>
      </c>
      <c r="CZ115" s="172">
        <f ca="1">(VLOOKUP(CZ$72,INDIRECT($C$5&amp;"生成成长"),2))/((VLOOKUP($B115,INDIRECT($B$5&amp;"生成成长"),4))/(VLOOKUP(CZ$72,INDIRECT($C$5&amp;"生成成长"),5))*(VLOOKUP($B$5,标准坦克设计!$B$24:$U$30,MATCH("对"&amp;LEFT($C$5,2)&amp;"输出",标准坦克设计!$B$23:$U$23,0)))*(VLOOKUP($B115,INDIRECT($B$5&amp;"生成成长"),3))*(VLOOKUP($B$5,标准坦克设计!$B$14:$K$20,9)/30))</f>
        <v>9.4790382856706881</v>
      </c>
      <c r="DA115" s="172">
        <f ca="1">(VLOOKUP(DA$72,INDIRECT($C$5&amp;"生成成长"),2))/((VLOOKUP($B115,INDIRECT($B$5&amp;"生成成长"),4))/(VLOOKUP(DA$72,INDIRECT($C$5&amp;"生成成长"),5))*(VLOOKUP($B$5,标准坦克设计!$B$24:$U$30,MATCH("对"&amp;LEFT($C$5,2)&amp;"输出",标准坦克设计!$B$23:$U$23,0)))*(VLOOKUP($B115,INDIRECT($B$5&amp;"生成成长"),3))*(VLOOKUP($B$5,标准坦克设计!$B$14:$K$20,9)/30))</f>
        <v>10.060603783679813</v>
      </c>
      <c r="DB115" s="172">
        <f ca="1">(VLOOKUP(DB$72,INDIRECT($C$5&amp;"生成成长"),2))/((VLOOKUP($B115,INDIRECT($B$5&amp;"生成成长"),4))/(VLOOKUP(DB$72,INDIRECT($C$5&amp;"生成成长"),5))*(VLOOKUP($B$5,标准坦克设计!$B$24:$U$30,MATCH("对"&amp;LEFT($C$5,2)&amp;"输出",标准坦克设计!$B$23:$U$23,0)))*(VLOOKUP($B115,INDIRECT($B$5&amp;"生成成长"),3))*(VLOOKUP($B$5,标准坦克设计!$B$14:$K$20,9)/30))</f>
        <v>10.659482462955786</v>
      </c>
      <c r="DC115" s="172">
        <f ca="1">(VLOOKUP(DC$72,INDIRECT($C$5&amp;"生成成长"),2))/((VLOOKUP($B115,INDIRECT($B$5&amp;"生成成长"),4))/(VLOOKUP(DC$72,INDIRECT($C$5&amp;"生成成长"),5))*(VLOOKUP($B$5,标准坦克设计!$B$24:$U$30,MATCH("对"&amp;LEFT($C$5,2)&amp;"输出",标准坦克设计!$B$23:$U$23,0)))*(VLOOKUP($B115,INDIRECT($B$5&amp;"生成成长"),3))*(VLOOKUP($B$5,标准坦克设计!$B$14:$K$20,9)/30))</f>
        <v>11.332550270222344</v>
      </c>
      <c r="DD115" s="172">
        <f ca="1">(VLOOKUP(DD$72,INDIRECT($C$5&amp;"生成成长"),2))/((VLOOKUP($B115,INDIRECT($B$5&amp;"生成成长"),4))/(VLOOKUP(DD$72,INDIRECT($C$5&amp;"生成成长"),5))*(VLOOKUP($B$5,标准坦克设计!$B$24:$U$30,MATCH("对"&amp;LEFT($C$5,2)&amp;"输出",标准坦克设计!$B$23:$U$23,0)))*(VLOOKUP($B115,INDIRECT($B$5&amp;"生成成长"),3))*(VLOOKUP($B$5,标准坦克设计!$B$14:$K$20,9)/30))</f>
        <v>12.026222194037876</v>
      </c>
      <c r="DE115" s="172">
        <f ca="1">(VLOOKUP(DE$72,INDIRECT($C$5&amp;"生成成长"),2))/((VLOOKUP($B115,INDIRECT($B$5&amp;"生成成长"),4))/(VLOOKUP(DE$72,INDIRECT($C$5&amp;"生成成长"),5))*(VLOOKUP($B$5,标准坦克设计!$B$24:$U$30,MATCH("对"&amp;LEFT($C$5,2)&amp;"输出",标准坦克设计!$B$23:$U$23,0)))*(VLOOKUP($B115,INDIRECT($B$5&amp;"生成成长"),3))*(VLOOKUP($B$5,标准坦克设计!$B$14:$K$20,9)/30))</f>
        <v>12.74049823440239</v>
      </c>
      <c r="DF115" s="172">
        <f ca="1">(VLOOKUP(DF$72,INDIRECT($C$5&amp;"生成成长"),2))/((VLOOKUP($B115,INDIRECT($B$5&amp;"生成成长"),4))/(VLOOKUP(DF$72,INDIRECT($C$5&amp;"生成成长"),5))*(VLOOKUP($B$5,标准坦克设计!$B$24:$U$30,MATCH("对"&amp;LEFT($C$5,2)&amp;"输出",标准坦克设计!$B$23:$U$23,0)))*(VLOOKUP($B115,INDIRECT($B$5&amp;"生成成长"),3))*(VLOOKUP($B$5,标准坦克设计!$B$14:$K$20,9)/30))</f>
        <v>13.475378391315875</v>
      </c>
      <c r="DG115" s="172">
        <f ca="1">(VLOOKUP(DG$72,INDIRECT($C$5&amp;"生成成长"),2))/((VLOOKUP($B115,INDIRECT($B$5&amp;"生成成长"),4))/(VLOOKUP(DG$72,INDIRECT($C$5&amp;"生成成长"),5))*(VLOOKUP($B$5,标准坦克设计!$B$24:$U$30,MATCH("对"&amp;LEFT($C$5,2)&amp;"输出",标准坦克设计!$B$23:$U$23,0)))*(VLOOKUP($B115,INDIRECT($B$5&amp;"生成成长"),3))*(VLOOKUP($B$5,标准坦克设计!$B$14:$K$20,9)/30))</f>
        <v>14.230862664778337</v>
      </c>
      <c r="DH115" s="172">
        <f ca="1">(VLOOKUP(DH$72,INDIRECT($C$5&amp;"生成成长"),2))/((VLOOKUP($B115,INDIRECT($B$5&amp;"生成成长"),4))/(VLOOKUP(DH$72,INDIRECT($C$5&amp;"生成成长"),5))*(VLOOKUP($B$5,标准坦克设计!$B$24:$U$30,MATCH("对"&amp;LEFT($C$5,2)&amp;"输出",标准坦克设计!$B$23:$U$23,0)))*(VLOOKUP($B115,INDIRECT($B$5&amp;"生成成长"),3))*(VLOOKUP($B$5,标准坦克设计!$B$14:$K$20,9)/30))</f>
        <v>15.006951054789775</v>
      </c>
      <c r="DI115" s="172">
        <f ca="1">(VLOOKUP(DI$72,INDIRECT($C$5&amp;"生成成长"),2))/((VLOOKUP($B115,INDIRECT($B$5&amp;"生成成长"),4))/(VLOOKUP(DI$72,INDIRECT($C$5&amp;"生成成长"),5))*(VLOOKUP($B$5,标准坦克设计!$B$24:$U$30,MATCH("对"&amp;LEFT($C$5,2)&amp;"输出",标准坦克设计!$B$23:$U$23,0)))*(VLOOKUP($B115,INDIRECT($B$5&amp;"生成成长"),3))*(VLOOKUP($B$5,标准坦克设计!$B$14:$K$20,9)/30))</f>
        <v>15.803643561350192</v>
      </c>
      <c r="DJ115" s="172">
        <f ca="1">(VLOOKUP(DJ$72,INDIRECT($C$5&amp;"生成成长"),2))/((VLOOKUP($B115,INDIRECT($B$5&amp;"生成成长"),4))/(VLOOKUP(DJ$72,INDIRECT($C$5&amp;"生成成长"),5))*(VLOOKUP($B$5,标准坦克设计!$B$24:$U$30,MATCH("对"&amp;LEFT($C$5,2)&amp;"输出",标准坦克设计!$B$23:$U$23,0)))*(VLOOKUP($B115,INDIRECT($B$5&amp;"生成成长"),3))*(VLOOKUP($B$5,标准坦克设计!$B$14:$K$20,9)/30))</f>
        <v>1.588305526054937</v>
      </c>
      <c r="DK115" s="172">
        <f ca="1">(VLOOKUP(DK$72,INDIRECT($C$5&amp;"生成成长"),2))/((VLOOKUP($B115,INDIRECT($B$5&amp;"生成成长"),4))/(VLOOKUP(DK$72,INDIRECT($C$5&amp;"生成成长"),5))*(VLOOKUP($B$5,标准坦克设计!$B$24:$U$30,MATCH("对"&amp;LEFT($C$5,2)&amp;"输出",标准坦克设计!$B$23:$U$23,0)))*(VLOOKUP($B115,INDIRECT($B$5&amp;"生成成长"),3))*(VLOOKUP($B$5,标准坦克设计!$B$14:$K$20,9)/30))</f>
        <v>1.7859762691966778</v>
      </c>
      <c r="DL115" s="172">
        <f ca="1">(VLOOKUP(DL$72,INDIRECT($C$5&amp;"生成成长"),2))/((VLOOKUP($B115,INDIRECT($B$5&amp;"生成成长"),4))/(VLOOKUP(DL$72,INDIRECT($C$5&amp;"生成成长"),5))*(VLOOKUP($B$5,标准坦克设计!$B$24:$U$30,MATCH("对"&amp;LEFT($C$5,2)&amp;"输出",标准坦克设计!$B$23:$U$23,0)))*(VLOOKUP($B115,INDIRECT($B$5&amp;"生成成长"),3))*(VLOOKUP($B$5,标准坦克设计!$B$14:$K$20,9)/30))</f>
        <v>1.9952368278972183</v>
      </c>
      <c r="DM115" s="172">
        <f ca="1">(VLOOKUP(DM$72,INDIRECT($C$5&amp;"生成成长"),2))/((VLOOKUP($B115,INDIRECT($B$5&amp;"生成成长"),4))/(VLOOKUP(DM$72,INDIRECT($C$5&amp;"生成成长"),5))*(VLOOKUP($B$5,标准坦克设计!$B$24:$U$30,MATCH("对"&amp;LEFT($C$5,2)&amp;"输出",标准坦克设计!$B$23:$U$23,0)))*(VLOOKUP($B115,INDIRECT($B$5&amp;"生成成长"),3))*(VLOOKUP($B$5,标准坦克设计!$B$14:$K$20,9)/30))</f>
        <v>2.2160872021565576</v>
      </c>
      <c r="DN115" s="172">
        <f ca="1">(VLOOKUP(DN$72,INDIRECT($C$5&amp;"生成成长"),2))/((VLOOKUP($B115,INDIRECT($B$5&amp;"生成成长"),4))/(VLOOKUP(DN$72,INDIRECT($C$5&amp;"生成成长"),5))*(VLOOKUP($B$5,标准坦克设计!$B$24:$U$30,MATCH("对"&amp;LEFT($C$5,2)&amp;"输出",标准坦克设计!$B$23:$U$23,0)))*(VLOOKUP($B115,INDIRECT($B$5&amp;"生成成长"),3))*(VLOOKUP($B$5,标准坦克设计!$B$14:$K$20,9)/30))</f>
        <v>2.4485273919746957</v>
      </c>
      <c r="DO115" s="172">
        <f ca="1">(VLOOKUP(DO$72,INDIRECT($C$5&amp;"生成成长"),2))/((VLOOKUP($B115,INDIRECT($B$5&amp;"生成成长"),4))/(VLOOKUP(DO$72,INDIRECT($C$5&amp;"生成成长"),5))*(VLOOKUP($B$5,标准坦克设计!$B$24:$U$30,MATCH("对"&amp;LEFT($C$5,2)&amp;"输出",标准坦克设计!$B$23:$U$23,0)))*(VLOOKUP($B115,INDIRECT($B$5&amp;"生成成长"),3))*(VLOOKUP($B$5,标准坦克设计!$B$14:$K$20,9)/30))</f>
        <v>2.6925573973516337</v>
      </c>
      <c r="DP115" s="172">
        <f ca="1">(VLOOKUP(DP$72,INDIRECT($C$5&amp;"生成成长"),2))/((VLOOKUP($B115,INDIRECT($B$5&amp;"生成成长"),4))/(VLOOKUP(DP$72,INDIRECT($C$5&amp;"生成成长"),5))*(VLOOKUP($B$5,标准坦克设计!$B$24:$U$30,MATCH("对"&amp;LEFT($C$5,2)&amp;"输出",标准坦克设计!$B$23:$U$23,0)))*(VLOOKUP($B115,INDIRECT($B$5&amp;"生成成长"),3))*(VLOOKUP($B$5,标准坦克设计!$B$14:$K$20,9)/30))</f>
        <v>2.9481772182873702</v>
      </c>
      <c r="DQ115" s="172">
        <f ca="1">(VLOOKUP(DQ$72,INDIRECT($C$5&amp;"生成成长"),2))/((VLOOKUP($B115,INDIRECT($B$5&amp;"生成成长"),4))/(VLOOKUP(DQ$72,INDIRECT($C$5&amp;"生成成长"),5))*(VLOOKUP($B$5,标准坦克设计!$B$24:$U$30,MATCH("对"&amp;LEFT($C$5,2)&amp;"输出",标准坦克设计!$B$23:$U$23,0)))*(VLOOKUP($B115,INDIRECT($B$5&amp;"生成成长"),3))*(VLOOKUP($B$5,标准坦克设计!$B$14:$K$20,9)/30))</f>
        <v>3.2153868547819058</v>
      </c>
      <c r="DR115" s="172">
        <f ca="1">(VLOOKUP(DR$72,INDIRECT($C$5&amp;"生成成长"),2))/((VLOOKUP($B115,INDIRECT($B$5&amp;"生成成长"),4))/(VLOOKUP(DR$72,INDIRECT($C$5&amp;"生成成长"),5))*(VLOOKUP($B$5,标准坦克设计!$B$24:$U$30,MATCH("对"&amp;LEFT($C$5,2)&amp;"输出",标准坦克设计!$B$23:$U$23,0)))*(VLOOKUP($B115,INDIRECT($B$5&amp;"生成成长"),3))*(VLOOKUP($B$5,标准坦克设计!$B$14:$K$20,9)/30))</f>
        <v>3.4941863068352408</v>
      </c>
      <c r="DS115" s="172">
        <f ca="1">(VLOOKUP(DS$72,INDIRECT($C$5&amp;"生成成长"),2))/((VLOOKUP($B115,INDIRECT($B$5&amp;"生成成长"),4))/(VLOOKUP(DS$72,INDIRECT($C$5&amp;"生成成长"),5))*(VLOOKUP($B$5,标准坦克设计!$B$24:$U$30,MATCH("对"&amp;LEFT($C$5,2)&amp;"输出",标准坦克设计!$B$23:$U$23,0)))*(VLOOKUP($B115,INDIRECT($B$5&amp;"生成成长"),3))*(VLOOKUP($B$5,标准坦克设计!$B$14:$K$20,9)/30))</f>
        <v>3.7845755744473752</v>
      </c>
      <c r="DT115" s="172">
        <f ca="1">(VLOOKUP(DT$72,INDIRECT($C$5&amp;"生成成长"),2))/((VLOOKUP($B115,INDIRECT($B$5&amp;"生成成长"),4))/(VLOOKUP(DT$72,INDIRECT($C$5&amp;"生成成长"),5))*(VLOOKUP($B$5,标准坦克设计!$B$24:$U$30,MATCH("对"&amp;LEFT($C$5,2)&amp;"输出",标准坦克设计!$B$23:$U$23,0)))*(VLOOKUP($B115,INDIRECT($B$5&amp;"生成成长"),3))*(VLOOKUP($B$5,标准坦克设计!$B$14:$K$20,9)/30))</f>
        <v>4.1552350461148961</v>
      </c>
      <c r="DU115" s="172">
        <f ca="1">(VLOOKUP(DU$72,INDIRECT($C$5&amp;"生成成长"),2))/((VLOOKUP($B115,INDIRECT($B$5&amp;"生成成长"),4))/(VLOOKUP(DU$72,INDIRECT($C$5&amp;"生成成长"),5))*(VLOOKUP($B$5,标准坦克设计!$B$24:$U$30,MATCH("对"&amp;LEFT($C$5,2)&amp;"输出",标准坦克设计!$B$23:$U$23,0)))*(VLOOKUP($B115,INDIRECT($B$5&amp;"生成成长"),3))*(VLOOKUP($B$5,标准坦克设计!$B$14:$K$20,9)/30))</f>
        <v>4.5432076990492654</v>
      </c>
      <c r="DV115" s="172">
        <f ca="1">(VLOOKUP(DV$72,INDIRECT($C$5&amp;"生成成长"),2))/((VLOOKUP($B115,INDIRECT($B$5&amp;"生成成长"),4))/(VLOOKUP(DV$72,INDIRECT($C$5&amp;"生成成长"),5))*(VLOOKUP($B$5,标准坦克设计!$B$24:$U$30,MATCH("对"&amp;LEFT($C$5,2)&amp;"输出",标准坦克设计!$B$23:$U$23,0)))*(VLOOKUP($B115,INDIRECT($B$5&amp;"生成成长"),3))*(VLOOKUP($B$5,标准坦克设计!$B$14:$K$20,9)/30))</f>
        <v>4.948493533250482</v>
      </c>
      <c r="DW115" s="172">
        <f ca="1">(VLOOKUP(DW$72,INDIRECT($C$5&amp;"生成成长"),2))/((VLOOKUP($B115,INDIRECT($B$5&amp;"生成成长"),4))/(VLOOKUP(DW$72,INDIRECT($C$5&amp;"生成成长"),5))*(VLOOKUP($B$5,标准坦克设计!$B$24:$U$30,MATCH("对"&amp;LEFT($C$5,2)&amp;"输出",标准坦克设计!$B$23:$U$23,0)))*(VLOOKUP($B115,INDIRECT($B$5&amp;"生成成长"),3))*(VLOOKUP($B$5,标准坦克设计!$B$14:$K$20,9)/30))</f>
        <v>5.3710925487185461</v>
      </c>
      <c r="DX115" s="172">
        <f ca="1">(VLOOKUP(DX$72,INDIRECT($C$5&amp;"生成成长"),2))/((VLOOKUP($B115,INDIRECT($B$5&amp;"生成成长"),4))/(VLOOKUP(DX$72,INDIRECT($C$5&amp;"生成成长"),5))*(VLOOKUP($B$5,标准坦克设计!$B$24:$U$30,MATCH("对"&amp;LEFT($C$5,2)&amp;"输出",标准坦克设计!$B$23:$U$23,0)))*(VLOOKUP($B115,INDIRECT($B$5&amp;"生成成长"),3))*(VLOOKUP($B$5,标准坦克设计!$B$14:$K$20,9)/30))</f>
        <v>5.8110047454534595</v>
      </c>
      <c r="DY115" s="172">
        <f ca="1">(VLOOKUP(DY$72,INDIRECT($C$5&amp;"生成成长"),2))/((VLOOKUP($B115,INDIRECT($B$5&amp;"生成成长"),4))/(VLOOKUP(DY$72,INDIRECT($C$5&amp;"生成成长"),5))*(VLOOKUP($B$5,标准坦克设计!$B$24:$U$30,MATCH("对"&amp;LEFT($C$5,2)&amp;"输出",标准坦克设计!$B$23:$U$23,0)))*(VLOOKUP($B115,INDIRECT($B$5&amp;"生成成长"),3))*(VLOOKUP($B$5,标准坦克设计!$B$14:$K$20,9)/30))</f>
        <v>2.6099263049416765</v>
      </c>
      <c r="DZ115" s="172">
        <f ca="1">(VLOOKUP(DZ$72,INDIRECT($C$5&amp;"生成成长"),2))/((VLOOKUP($B115,INDIRECT($B$5&amp;"生成成长"),4))/(VLOOKUP(DZ$72,INDIRECT($C$5&amp;"生成成长"),5))*(VLOOKUP($B$5,标准坦克设计!$B$24:$U$30,MATCH("对"&amp;LEFT($C$5,2)&amp;"输出",标准坦克设计!$B$23:$U$23,0)))*(VLOOKUP($B115,INDIRECT($B$5&amp;"生成成长"),3))*(VLOOKUP($B$5,标准坦克设计!$B$14:$K$20,9)/30))</f>
        <v>2.8903712246360755</v>
      </c>
      <c r="EA115" s="172">
        <f ca="1">(VLOOKUP(EA$72,INDIRECT($C$5&amp;"生成成长"),2))/((VLOOKUP($B115,INDIRECT($B$5&amp;"生成成长"),4))/(VLOOKUP(EA$72,INDIRECT($C$5&amp;"生成成长"),5))*(VLOOKUP($B$5,标准坦克设计!$B$24:$U$30,MATCH("对"&amp;LEFT($C$5,2)&amp;"输出",标准坦克设计!$B$23:$U$23,0)))*(VLOOKUP($B115,INDIRECT($B$5&amp;"生成成长"),3))*(VLOOKUP($B$5,标准坦克设计!$B$14:$K$20,9)/30))</f>
        <v>3.1851245586005974</v>
      </c>
      <c r="EB115" s="172">
        <f ca="1">(VLOOKUP(EB$72,INDIRECT($C$5&amp;"生成成长"),2))/((VLOOKUP($B115,INDIRECT($B$5&amp;"生成成长"),4))/(VLOOKUP(EB$72,INDIRECT($C$5&amp;"生成成长"),5))*(VLOOKUP($B$5,标准坦克设计!$B$24:$U$30,MATCH("对"&amp;LEFT($C$5,2)&amp;"输出",标准坦克设计!$B$23:$U$23,0)))*(VLOOKUP($B115,INDIRECT($B$5&amp;"生成成长"),3))*(VLOOKUP($B$5,标准坦克设计!$B$14:$K$20,9)/30))</f>
        <v>3.4941863068352408</v>
      </c>
      <c r="EC115" s="172">
        <f ca="1">(VLOOKUP(EC$72,INDIRECT($C$5&amp;"生成成长"),2))/((VLOOKUP($B115,INDIRECT($B$5&amp;"生成成长"),4))/(VLOOKUP(EC$72,INDIRECT($C$5&amp;"生成成长"),5))*(VLOOKUP($B$5,标准坦克设计!$B$24:$U$30,MATCH("对"&amp;LEFT($C$5,2)&amp;"输出",标准坦克设计!$B$23:$U$23,0)))*(VLOOKUP($B115,INDIRECT($B$5&amp;"生成成长"),3))*(VLOOKUP($B$5,标准坦克设计!$B$14:$K$20,9)/30))</f>
        <v>3.8175564693400075</v>
      </c>
      <c r="ED115" s="172">
        <f ca="1">(VLOOKUP(ED$72,INDIRECT($C$5&amp;"生成成长"),2))/((VLOOKUP($B115,INDIRECT($B$5&amp;"生成成长"),4))/(VLOOKUP(ED$72,INDIRECT($C$5&amp;"生成成长"),5))*(VLOOKUP($B$5,标准坦克设计!$B$24:$U$30,MATCH("对"&amp;LEFT($C$5,2)&amp;"输出",标准坦克设计!$B$23:$U$23,0)))*(VLOOKUP($B115,INDIRECT($B$5&amp;"生成成长"),3))*(VLOOKUP($B$5,标准坦克设计!$B$14:$K$20,9)/30))</f>
        <v>4.1552350461148961</v>
      </c>
      <c r="EE115" s="172">
        <f ca="1">(VLOOKUP(EE$72,INDIRECT($C$5&amp;"生成成长"),2))/((VLOOKUP($B115,INDIRECT($B$5&amp;"生成成长"),4))/(VLOOKUP(EE$72,INDIRECT($C$5&amp;"生成成长"),5))*(VLOOKUP($B$5,标准坦克设计!$B$24:$U$30,MATCH("对"&amp;LEFT($C$5,2)&amp;"输出",标准坦克设计!$B$23:$U$23,0)))*(VLOOKUP($B115,INDIRECT($B$5&amp;"生成成长"),3))*(VLOOKUP($B$5,标准坦克设计!$B$14:$K$20,9)/30))</f>
        <v>4.5072220371599068</v>
      </c>
      <c r="EF115" s="172">
        <f ca="1">(VLOOKUP(EF$72,INDIRECT($C$5&amp;"生成成长"),2))/((VLOOKUP($B115,INDIRECT($B$5&amp;"生成成长"),4))/(VLOOKUP(EF$72,INDIRECT($C$5&amp;"生成成长"),5))*(VLOOKUP($B$5,标准坦克设计!$B$24:$U$30,MATCH("对"&amp;LEFT($C$5,2)&amp;"输出",标准坦克设计!$B$23:$U$23,0)))*(VLOOKUP($B115,INDIRECT($B$5&amp;"生成成长"),3))*(VLOOKUP($B$5,标准坦克设计!$B$14:$K$20,9)/30))</f>
        <v>4.8735174424750403</v>
      </c>
      <c r="EG115" s="172">
        <f ca="1">(VLOOKUP(EG$72,INDIRECT($C$5&amp;"生成成长"),2))/((VLOOKUP($B115,INDIRECT($B$5&amp;"生成成长"),4))/(VLOOKUP(EG$72,INDIRECT($C$5&amp;"生成成长"),5))*(VLOOKUP($B$5,标准坦克设计!$B$24:$U$30,MATCH("对"&amp;LEFT($C$5,2)&amp;"输出",标准坦克设计!$B$23:$U$23,0)))*(VLOOKUP($B115,INDIRECT($B$5&amp;"生成成长"),3))*(VLOOKUP($B$5,标准坦克设计!$B$14:$K$20,9)/30))</f>
        <v>5.2541212620602957</v>
      </c>
      <c r="EH115" s="172">
        <f ca="1">(VLOOKUP(EH$72,INDIRECT($C$5&amp;"生成成长"),2))/((VLOOKUP($B115,INDIRECT($B$5&amp;"生成成长"),4))/(VLOOKUP(EH$72,INDIRECT($C$5&amp;"生成成长"),5))*(VLOOKUP($B$5,标准坦克设计!$B$24:$U$30,MATCH("对"&amp;LEFT($C$5,2)&amp;"输出",标准坦克设计!$B$23:$U$23,0)))*(VLOOKUP($B115,INDIRECT($B$5&amp;"生成成长"),3))*(VLOOKUP($B$5,标准坦克设计!$B$14:$K$20,9)/30))</f>
        <v>5.6490334959156749</v>
      </c>
      <c r="EI115" s="172">
        <f ca="1">(VLOOKUP(EI$72,INDIRECT($C$5&amp;"生成成长"),2))/((VLOOKUP($B115,INDIRECT($B$5&amp;"生成成长"),4))/(VLOOKUP(EI$72,INDIRECT($C$5&amp;"生成成长"),5))*(VLOOKUP($B$5,标准坦克设计!$B$24:$U$30,MATCH("对"&amp;LEFT($C$5,2)&amp;"输出",标准坦克设计!$B$23:$U$23,0)))*(VLOOKUP($B115,INDIRECT($B$5&amp;"生成成长"),3))*(VLOOKUP($B$5,标准坦克设计!$B$14:$K$20,9)/30))</f>
        <v>6.0582541440411752</v>
      </c>
      <c r="EJ115" s="172">
        <f ca="1">(VLOOKUP(EJ$72,INDIRECT($C$5&amp;"生成成长"),2))/((VLOOKUP($B115,INDIRECT($B$5&amp;"生成成长"),4))/(VLOOKUP(EJ$72,INDIRECT($C$5&amp;"生成成长"),5))*(VLOOKUP($B$5,标准坦克设计!$B$24:$U$30,MATCH("对"&amp;LEFT($C$5,2)&amp;"输出",标准坦克设计!$B$23:$U$23,0)))*(VLOOKUP($B115,INDIRECT($B$5&amp;"生成成长"),3))*(VLOOKUP($B$5,标准坦克设计!$B$14:$K$20,9)/30))</f>
        <v>6.4817832064367975</v>
      </c>
      <c r="EK115" s="172">
        <f ca="1">(VLOOKUP(EK$72,INDIRECT($C$5&amp;"生成成长"),2))/((VLOOKUP($B115,INDIRECT($B$5&amp;"生成成长"),4))/(VLOOKUP(EK$72,INDIRECT($C$5&amp;"生成成长"),5))*(VLOOKUP($B$5,标准坦克设计!$B$24:$U$30,MATCH("对"&amp;LEFT($C$5,2)&amp;"输出",标准坦克设计!$B$23:$U$23,0)))*(VLOOKUP($B115,INDIRECT($B$5&amp;"生成成长"),3))*(VLOOKUP($B$5,标准坦克设计!$B$14:$K$20,9)/30))</f>
        <v>7.0089051881481064</v>
      </c>
      <c r="EL115" s="172">
        <f ca="1">(VLOOKUP(EL$72,INDIRECT($C$5&amp;"生成成长"),2))/((VLOOKUP($B115,INDIRECT($B$5&amp;"生成成长"),4))/(VLOOKUP(EL$72,INDIRECT($C$5&amp;"生成成长"),5))*(VLOOKUP($B$5,标准坦克设计!$B$24:$U$30,MATCH("对"&amp;LEFT($C$5,2)&amp;"输出",标准坦克设计!$B$23:$U$23,0)))*(VLOOKUP($B115,INDIRECT($B$5&amp;"生成成长"),3))*(VLOOKUP($B$5,标准坦克设计!$B$14:$K$20,9)/30))</f>
        <v>7.5566312864083924</v>
      </c>
      <c r="EM115" s="172">
        <f ca="1">(VLOOKUP(EM$72,INDIRECT($C$5&amp;"生成成长"),2))/((VLOOKUP($B115,INDIRECT($B$5&amp;"生成成长"),4))/(VLOOKUP(EM$72,INDIRECT($C$5&amp;"生成成长"),5))*(VLOOKUP($B$5,标准坦克设计!$B$24:$U$30,MATCH("对"&amp;LEFT($C$5,2)&amp;"输出",标准坦克设计!$B$23:$U$23,0)))*(VLOOKUP($B115,INDIRECT($B$5&amp;"生成成长"),3))*(VLOOKUP($B$5,标准坦克设计!$B$14:$K$20,9)/30))</f>
        <v>8.1249615012176548</v>
      </c>
      <c r="EN115" s="172">
        <f ca="1">(VLOOKUP(EN$72,INDIRECT($C$5&amp;"生成成长"),2))/((VLOOKUP($B115,INDIRECT($B$5&amp;"生成成长"),4))/(VLOOKUP(EN$72,INDIRECT($C$5&amp;"生成成长"),5))*(VLOOKUP($B$5,标准坦克设计!$B$24:$U$30,MATCH("对"&amp;LEFT($C$5,2)&amp;"输出",标准坦克设计!$B$23:$U$23,0)))*(VLOOKUP($B115,INDIRECT($B$5&amp;"生成成长"),3))*(VLOOKUP($B$5,标准坦克设计!$B$14:$K$20,9)/30))</f>
        <v>8.7138958325758935</v>
      </c>
      <c r="EO115" s="172">
        <f ca="1">(VLOOKUP(EO$72,INDIRECT($C$5&amp;"生成成长"),2))/((VLOOKUP($B115,INDIRECT($B$5&amp;"生成成长"),4))/(VLOOKUP(EO$72,INDIRECT($C$5&amp;"生成成长"),5))*(VLOOKUP($B$5,标准坦克设计!$B$24:$U$30,MATCH("对"&amp;LEFT($C$5,2)&amp;"输出",标准坦克设计!$B$23:$U$23,0)))*(VLOOKUP($B115,INDIRECT($B$5&amp;"生成成长"),3))*(VLOOKUP($B$5,标准坦克设计!$B$14:$K$20,9)/30))</f>
        <v>9.3234342804831076</v>
      </c>
      <c r="EP115" s="172">
        <f ca="1">(VLOOKUP(EP$72,INDIRECT($C$5&amp;"生成成长"),2))/((VLOOKUP($B115,INDIRECT($B$5&amp;"生成成长"),4))/(VLOOKUP(EP$72,INDIRECT($C$5&amp;"生成成长"),5))*(VLOOKUP($B$5,标准坦克设计!$B$24:$U$30,MATCH("对"&amp;LEFT($C$5,2)&amp;"输出",标准坦克设计!$B$23:$U$23,0)))*(VLOOKUP($B115,INDIRECT($B$5&amp;"生成成长"),3))*(VLOOKUP($B$5,标准坦克设计!$B$14:$K$20,9)/30))</f>
        <v>9.9535768449392972</v>
      </c>
      <c r="EQ115" s="172">
        <f ca="1">(VLOOKUP(EQ$72,INDIRECT($C$5&amp;"生成成长"),2))/((VLOOKUP($B115,INDIRECT($B$5&amp;"生成成长"),4))/(VLOOKUP(EQ$72,INDIRECT($C$5&amp;"生成成长"),5))*(VLOOKUP($B$5,标准坦克设计!$B$24:$U$30,MATCH("对"&amp;LEFT($C$5,2)&amp;"输出",标准坦克设计!$B$23:$U$23,0)))*(VLOOKUP($B115,INDIRECT($B$5&amp;"生成成长"),3))*(VLOOKUP($B$5,标准坦克设计!$B$14:$K$20,9)/30))</f>
        <v>4.4001235563480403</v>
      </c>
      <c r="ER115" s="172">
        <f ca="1">(VLOOKUP(ER$72,INDIRECT($C$5&amp;"生成成长"),2))/((VLOOKUP($B115,INDIRECT($B$5&amp;"生成成长"),4))/(VLOOKUP(ER$72,INDIRECT($C$5&amp;"生成成长"),5))*(VLOOKUP($B$5,标准坦克设计!$B$24:$U$30,MATCH("对"&amp;LEFT($C$5,2)&amp;"输出",标准坦克设计!$B$23:$U$23,0)))*(VLOOKUP($B115,INDIRECT($B$5&amp;"生成成长"),3))*(VLOOKUP($B$5,标准坦克设计!$B$14:$K$20,9)/30))</f>
        <v>4.7991136882704035</v>
      </c>
      <c r="ES115" s="172">
        <f ca="1">(VLOOKUP(ES$72,INDIRECT($C$5&amp;"生成成长"),2))/((VLOOKUP($B115,INDIRECT($B$5&amp;"生成成长"),4))/(VLOOKUP(ES$72,INDIRECT($C$5&amp;"生成成长"),5))*(VLOOKUP($B$5,标准坦克设计!$B$24:$U$30,MATCH("对"&amp;LEFT($C$5,2)&amp;"输出",标准坦克设计!$B$23:$U$23,0)))*(VLOOKUP($B115,INDIRECT($B$5&amp;"生成成长"),3))*(VLOOKUP($B$5,标准坦克设计!$B$14:$K$20,9)/30))</f>
        <v>5.2154170014596151</v>
      </c>
      <c r="ET115" s="172">
        <f ca="1">(VLOOKUP(ET$72,INDIRECT($C$5&amp;"生成成长"),2))/((VLOOKUP($B115,INDIRECT($B$5&amp;"生成成长"),4))/(VLOOKUP(ET$72,INDIRECT($C$5&amp;"生成成长"),5))*(VLOOKUP($B$5,标准坦克设计!$B$24:$U$30,MATCH("对"&amp;LEFT($C$5,2)&amp;"输出",标准坦克设计!$B$23:$U$23,0)))*(VLOOKUP($B115,INDIRECT($B$5&amp;"生成成长"),3))*(VLOOKUP($B$5,标准坦克设计!$B$14:$K$20,9)/30))</f>
        <v>5.6490334959156749</v>
      </c>
      <c r="EU115" s="172">
        <f ca="1">(VLOOKUP(EU$72,INDIRECT($C$5&amp;"生成成长"),2))/((VLOOKUP($B115,INDIRECT($B$5&amp;"生成成长"),4))/(VLOOKUP(EU$72,INDIRECT($C$5&amp;"生成成长"),5))*(VLOOKUP($B$5,标准坦克设计!$B$24:$U$30,MATCH("对"&amp;LEFT($C$5,2)&amp;"输出",标准坦克设计!$B$23:$U$23,0)))*(VLOOKUP($B115,INDIRECT($B$5&amp;"生成成长"),3))*(VLOOKUP($B$5,标准坦克设计!$B$14:$K$20,9)/30))</f>
        <v>6.0999631716385814</v>
      </c>
      <c r="EV115" s="172">
        <f ca="1">(VLOOKUP(EV$72,INDIRECT($C$5&amp;"生成成长"),2))/((VLOOKUP($B115,INDIRECT($B$5&amp;"生成成长"),4))/(VLOOKUP(EV$72,INDIRECT($C$5&amp;"生成成长"),5))*(VLOOKUP($B$5,标准坦克设计!$B$24:$U$30,MATCH("对"&amp;LEFT($C$5,2)&amp;"输出",标准坦克设计!$B$23:$U$23,0)))*(VLOOKUP($B115,INDIRECT($B$5&amp;"生成成长"),3))*(VLOOKUP($B$5,标准坦克设计!$B$14:$K$20,9)/30))</f>
        <v>6.568206028628337</v>
      </c>
      <c r="EW115" s="172">
        <f ca="1">(VLOOKUP(EW$72,INDIRECT($C$5&amp;"生成成长"),2))/((VLOOKUP($B115,INDIRECT($B$5&amp;"生成成长"),4))/(VLOOKUP(EW$72,INDIRECT($C$5&amp;"生成成长"),5))*(VLOOKUP($B$5,标准坦克设计!$B$24:$U$30,MATCH("对"&amp;LEFT($C$5,2)&amp;"输出",标准坦克设计!$B$23:$U$23,0)))*(VLOOKUP($B115,INDIRECT($B$5&amp;"生成成长"),3))*(VLOOKUP($B$5,标准坦克设计!$B$14:$K$20,9)/30))</f>
        <v>7.0537620668849428</v>
      </c>
      <c r="EX115" s="172">
        <f ca="1">(VLOOKUP(EX$72,INDIRECT($C$5&amp;"生成成长"),2))/((VLOOKUP($B115,INDIRECT($B$5&amp;"生成成长"),4))/(VLOOKUP(EX$72,INDIRECT($C$5&amp;"生成成长"),5))*(VLOOKUP($B$5,标准坦克设计!$B$24:$U$30,MATCH("对"&amp;LEFT($C$5,2)&amp;"输出",标准坦克设计!$B$23:$U$23,0)))*(VLOOKUP($B115,INDIRECT($B$5&amp;"生成成长"),3))*(VLOOKUP($B$5,标准坦克设计!$B$14:$K$20,9)/30))</f>
        <v>7.5566312864083924</v>
      </c>
      <c r="EY115" s="172">
        <f ca="1">(VLOOKUP(EY$72,INDIRECT($C$5&amp;"生成成长"),2))/((VLOOKUP($B115,INDIRECT($B$5&amp;"生成成长"),4))/(VLOOKUP(EY$72,INDIRECT($C$5&amp;"生成成长"),5))*(VLOOKUP($B$5,标准坦克设计!$B$24:$U$30,MATCH("对"&amp;LEFT($C$5,2)&amp;"输出",标准坦克设计!$B$23:$U$23,0)))*(VLOOKUP($B115,INDIRECT($B$5&amp;"生成成长"),3))*(VLOOKUP($B$5,标准坦克设计!$B$14:$K$20,9)/30))</f>
        <v>8.0768136871986922</v>
      </c>
      <c r="EZ115" s="172">
        <f ca="1">(VLOOKUP(EZ$72,INDIRECT($C$5&amp;"生成成长"),2))/((VLOOKUP($B115,INDIRECT($B$5&amp;"生成成长"),4))/(VLOOKUP(EZ$72,INDIRECT($C$5&amp;"生成成长"),5))*(VLOOKUP($B$5,标准坦克设计!$B$24:$U$30,MATCH("对"&amp;LEFT($C$5,2)&amp;"输出",标准坦克设计!$B$23:$U$23,0)))*(VLOOKUP($B115,INDIRECT($B$5&amp;"生成成长"),3))*(VLOOKUP($B$5,标准坦克设计!$B$14:$K$20,9)/30))</f>
        <v>8.6143092692558394</v>
      </c>
      <c r="FA115" s="172">
        <f ca="1">(VLOOKUP(FA$72,INDIRECT($C$5&amp;"生成成长"),2))/((VLOOKUP($B115,INDIRECT($B$5&amp;"生成成长"),4))/(VLOOKUP(FA$72,INDIRECT($C$5&amp;"生成成长"),5))*(VLOOKUP($B$5,标准坦克设计!$B$24:$U$30,MATCH("对"&amp;LEFT($C$5,2)&amp;"输出",标准坦克设计!$B$23:$U$23,0)))*(VLOOKUP($B115,INDIRECT($B$5&amp;"生成成长"),3))*(VLOOKUP($B$5,标准坦克设计!$B$14:$K$20,9)/30))</f>
        <v>9.1691180325798385</v>
      </c>
      <c r="FB115" s="172">
        <f ca="1">(VLOOKUP(FB$72,INDIRECT($C$5&amp;"生成成长"),2))/((VLOOKUP($B115,INDIRECT($B$5&amp;"生成成长"),4))/(VLOOKUP(FB$72,INDIRECT($C$5&amp;"生成成长"),5))*(VLOOKUP($B$5,标准坦克设计!$B$24:$U$30,MATCH("对"&amp;LEFT($C$5,2)&amp;"输出",标准坦克设计!$B$23:$U$23,0)))*(VLOOKUP($B115,INDIRECT($B$5&amp;"生成成长"),3))*(VLOOKUP($B$5,标准坦克设计!$B$14:$K$20,9)/30))</f>
        <v>9.7412399771706806</v>
      </c>
      <c r="FC115" s="172">
        <f ca="1">(VLOOKUP(FC$72,INDIRECT($C$5&amp;"生成成长"),2))/((VLOOKUP($B115,INDIRECT($B$5&amp;"生成成长"),4))/(VLOOKUP(FC$72,INDIRECT($C$5&amp;"生成成长"),5))*(VLOOKUP($B$5,标准坦克设计!$B$24:$U$30,MATCH("对"&amp;LEFT($C$5,2)&amp;"输出",标准坦克设计!$B$23:$U$23,0)))*(VLOOKUP($B115,INDIRECT($B$5&amp;"生成成长"),3))*(VLOOKUP($B$5,标准坦克设计!$B$14:$K$20,9)/30))</f>
        <v>10.330675103028373</v>
      </c>
      <c r="FD115" s="172">
        <f ca="1">(VLOOKUP(FD$72,INDIRECT($C$5&amp;"生成成长"),2))/((VLOOKUP($B115,INDIRECT($B$5&amp;"生成成长"),4))/(VLOOKUP(FD$72,INDIRECT($C$5&amp;"生成成长"),5))*(VLOOKUP($B$5,标准坦克设计!$B$24:$U$30,MATCH("对"&amp;LEFT($C$5,2)&amp;"输出",标准坦克设计!$B$23:$U$23,0)))*(VLOOKUP($B115,INDIRECT($B$5&amp;"生成成长"),3))*(VLOOKUP($B$5,标准坦克设计!$B$14:$K$20,9)/30))</f>
        <v>10.937423410152913</v>
      </c>
      <c r="FE115" s="172">
        <f ca="1">(VLOOKUP(FE$72,INDIRECT($C$5&amp;"生成成长"),2))/((VLOOKUP($B115,INDIRECT($B$5&amp;"生成成长"),4))/(VLOOKUP(FE$72,INDIRECT($C$5&amp;"生成成长"),5))*(VLOOKUP($B$5,标准坦克设计!$B$24:$U$30,MATCH("对"&amp;LEFT($C$5,2)&amp;"输出",标准坦克设计!$B$23:$U$23,0)))*(VLOOKUP($B115,INDIRECT($B$5&amp;"生成成长"),3))*(VLOOKUP($B$5,标准坦克设计!$B$14:$K$20,9)/30))</f>
        <v>11.676810717561491</v>
      </c>
      <c r="FF115" s="172">
        <f ca="1">(VLOOKUP(FF$72,INDIRECT($C$5&amp;"生成成长"),2))/((VLOOKUP($B115,INDIRECT($B$5&amp;"生成成长"),4))/(VLOOKUP(FF$72,INDIRECT($C$5&amp;"生成成长"),5))*(VLOOKUP($B$5,标准坦克设计!$B$24:$U$30,MATCH("对"&amp;LEFT($C$5,2)&amp;"输出",标准坦克设计!$B$23:$U$23,0)))*(VLOOKUP($B115,INDIRECT($B$5&amp;"生成成长"),3))*(VLOOKUP($B$5,标准坦克设计!$B$14:$K$20,9)/30))</f>
        <v>12.440379245086568</v>
      </c>
      <c r="FG115" s="172">
        <f ca="1">(VLOOKUP(FG$72,INDIRECT($C$5&amp;"生成成长"),2))/((VLOOKUP($B115,INDIRECT($B$5&amp;"生成成长"),4))/(VLOOKUP(FG$72,INDIRECT($C$5&amp;"生成成长"),5))*(VLOOKUP($B$5,标准坦克设计!$B$24:$U$30,MATCH("对"&amp;LEFT($C$5,2)&amp;"输出",标准坦克设计!$B$23:$U$23,0)))*(VLOOKUP($B115,INDIRECT($B$5&amp;"生成成长"),3))*(VLOOKUP($B$5,标准坦克设计!$B$14:$K$20,9)/30))</f>
        <v>13.228128992728157</v>
      </c>
      <c r="FH115" s="172">
        <f ca="1">(VLOOKUP(FH$72,INDIRECT($C$5&amp;"生成成长"),2))/((VLOOKUP($B115,INDIRECT($B$5&amp;"生成成长"),4))/(VLOOKUP(FH$72,INDIRECT($C$5&amp;"生成成长"),5))*(VLOOKUP($B$5,标准坦克设计!$B$24:$U$30,MATCH("对"&amp;LEFT($C$5,2)&amp;"输出",标准坦克设计!$B$23:$U$23,0)))*(VLOOKUP($B115,INDIRECT($B$5&amp;"生成成长"),3))*(VLOOKUP($B$5,标准坦克设计!$B$14:$K$20,9)/30))</f>
        <v>14.040059960486255</v>
      </c>
      <c r="FI115" s="172">
        <f ca="1">(VLOOKUP(FI$72,INDIRECT($C$5&amp;"生成成长"),2))/((VLOOKUP($B115,INDIRECT($B$5&amp;"生成成长"),4))/(VLOOKUP(FI$72,INDIRECT($C$5&amp;"生成成长"),5))*(VLOOKUP($B$5,标准坦克设计!$B$24:$U$30,MATCH("对"&amp;LEFT($C$5,2)&amp;"输出",标准坦克设计!$B$23:$U$23,0)))*(VLOOKUP($B115,INDIRECT($B$5&amp;"生成成长"),3))*(VLOOKUP($B$5,标准坦克设计!$B$14:$K$20,9)/30))</f>
        <v>14.876172148360856</v>
      </c>
      <c r="FJ115" s="172">
        <f ca="1">(VLOOKUP(FJ$72,INDIRECT($C$5&amp;"生成成长"),2))/((VLOOKUP($B115,INDIRECT($B$5&amp;"生成成长"),4))/(VLOOKUP(FJ$72,INDIRECT($C$5&amp;"生成成长"),5))*(VLOOKUP($B$5,标准坦克设计!$B$24:$U$30,MATCH("对"&amp;LEFT($C$5,2)&amp;"输出",标准坦克设计!$B$23:$U$23,0)))*(VLOOKUP($B115,INDIRECT($B$5&amp;"生成成长"),3))*(VLOOKUP($B$5,标准坦克设计!$B$14:$K$20,9)/30))</f>
        <v>15.736465556351966</v>
      </c>
      <c r="FK115" s="172">
        <f ca="1">(VLOOKUP(FK$72,INDIRECT($C$5&amp;"生成成长"),2))/((VLOOKUP($B115,INDIRECT($B$5&amp;"生成成长"),4))/(VLOOKUP(FK$72,INDIRECT($C$5&amp;"生成成长"),5))*(VLOOKUP($B$5,标准坦克设计!$B$24:$U$30,MATCH("对"&amp;LEFT($C$5,2)&amp;"输出",标准坦克设计!$B$23:$U$23,0)))*(VLOOKUP($B115,INDIRECT($B$5&amp;"生成成长"),3))*(VLOOKUP($B$5,标准坦克设计!$B$14:$K$20,9)/30))</f>
        <v>16.620940184459585</v>
      </c>
    </row>
    <row r="116" spans="1:167" x14ac:dyDescent="0.15">
      <c r="A116" s="170" t="str">
        <f t="shared" si="11"/>
        <v>T5低品质12级</v>
      </c>
      <c r="B116" s="171">
        <v>10512</v>
      </c>
      <c r="C116" s="172">
        <f ca="1">(VLOOKUP(C$72,INDIRECT($C$5&amp;"生成成长"),2))/((VLOOKUP($B116,INDIRECT($B$5&amp;"生成成长"),4))/(VLOOKUP(C$72,INDIRECT($C$5&amp;"生成成长"),5))*(VLOOKUP($B$5,标准坦克设计!$B$24:$U$30,MATCH("对"&amp;LEFT($C$5,2)&amp;"输出",标准坦克设计!$B$23:$U$23,0)))*(VLOOKUP($B116,INDIRECT($B$5&amp;"生成成长"),3))*(VLOOKUP($B$5,标准坦克设计!$B$14:$K$20,9)/30))</f>
        <v>0.67349494424451217</v>
      </c>
      <c r="D116" s="172">
        <f ca="1">(VLOOKUP(D$72,INDIRECT($C$5&amp;"生成成长"),2))/((VLOOKUP($B116,INDIRECT($B$5&amp;"生成成长"),4))/(VLOOKUP(D$72,INDIRECT($C$5&amp;"生成成长"),5))*(VLOOKUP($B$5,标准坦克设计!$B$24:$U$30,MATCH("对"&amp;LEFT($C$5,2)&amp;"输出",标准坦克设计!$B$23:$U$23,0)))*(VLOOKUP($B116,INDIRECT($B$5&amp;"生成成长"),3))*(VLOOKUP($B$5,标准坦克设计!$B$14:$K$20,9)/30))</f>
        <v>0.75673891935313387</v>
      </c>
      <c r="E116" s="172">
        <f ca="1">(VLOOKUP(E$72,INDIRECT($C$5&amp;"生成成长"),2))/((VLOOKUP($B116,INDIRECT($B$5&amp;"生成成长"),4))/(VLOOKUP(E$72,INDIRECT($C$5&amp;"生成成长"),5))*(VLOOKUP($B$5,标准坦克设计!$B$24:$U$30,MATCH("对"&amp;LEFT($C$5,2)&amp;"输出",标准坦克设计!$B$23:$U$23,0)))*(VLOOKUP($B116,INDIRECT($B$5&amp;"生成成长"),3))*(VLOOKUP($B$5,标准坦克设计!$B$14:$K$20,9)/30))</f>
        <v>0.84483205806031614</v>
      </c>
      <c r="F116" s="172">
        <f ca="1">(VLOOKUP(F$72,INDIRECT($C$5&amp;"生成成长"),2))/((VLOOKUP($B116,INDIRECT($B$5&amp;"生成成长"),4))/(VLOOKUP(F$72,INDIRECT($C$5&amp;"生成成长"),5))*(VLOOKUP($B$5,标准坦克设计!$B$24:$U$30,MATCH("对"&amp;LEFT($C$5,2)&amp;"输出",标准坦克设计!$B$23:$U$23,0)))*(VLOOKUP($B116,INDIRECT($B$5&amp;"生成成长"),3))*(VLOOKUP($B$5,标准坦克设计!$B$14:$K$20,9)/30))</f>
        <v>0.93777436036605877</v>
      </c>
      <c r="G116" s="172">
        <f ca="1">(VLOOKUP(G$72,INDIRECT($C$5&amp;"生成成长"),2))/((VLOOKUP($B116,INDIRECT($B$5&amp;"生成成长"),4))/(VLOOKUP(G$72,INDIRECT($C$5&amp;"生成成长"),5))*(VLOOKUP($B$5,标准坦克设计!$B$24:$U$30,MATCH("对"&amp;LEFT($C$5,2)&amp;"输出",标准坦克设计!$B$23:$U$23,0)))*(VLOOKUP($B116,INDIRECT($B$5&amp;"生成成长"),3))*(VLOOKUP($B$5,标准坦克设计!$B$14:$K$20,9)/30))</f>
        <v>1.035565826270362</v>
      </c>
      <c r="H116" s="172">
        <f ca="1">(VLOOKUP(H$72,INDIRECT($C$5&amp;"生成成长"),2))/((VLOOKUP($B116,INDIRECT($B$5&amp;"生成成长"),4))/(VLOOKUP(H$72,INDIRECT($C$5&amp;"生成成长"),5))*(VLOOKUP($B$5,标准坦克设计!$B$24:$U$30,MATCH("对"&amp;LEFT($C$5,2)&amp;"输出",标准坦克设计!$B$23:$U$23,0)))*(VLOOKUP($B116,INDIRECT($B$5&amp;"生成成长"),3))*(VLOOKUP($B$5,标准坦克设计!$B$14:$K$20,9)/30))</f>
        <v>0.90625479697541578</v>
      </c>
      <c r="I116" s="172">
        <f ca="1">(VLOOKUP(I$72,INDIRECT($C$5&amp;"生成成长"),2))/((VLOOKUP($B116,INDIRECT($B$5&amp;"生成成长"),4))/(VLOOKUP(I$72,INDIRECT($C$5&amp;"生成成长"),5))*(VLOOKUP($B$5,标准坦克设计!$B$24:$U$30,MATCH("对"&amp;LEFT($C$5,2)&amp;"输出",标准坦克设计!$B$23:$U$23,0)))*(VLOOKUP($B116,INDIRECT($B$5&amp;"生成成长"),3))*(VLOOKUP($B$5,标准坦克设计!$B$14:$K$20,9)/30))</f>
        <v>1.035565826270362</v>
      </c>
      <c r="J116" s="172">
        <f ca="1">(VLOOKUP(J$72,INDIRECT($C$5&amp;"生成成长"),2))/((VLOOKUP($B116,INDIRECT($B$5&amp;"生成成长"),4))/(VLOOKUP(J$72,INDIRECT($C$5&amp;"生成成长"),5))*(VLOOKUP($B$5,标准坦克设计!$B$24:$U$30,MATCH("对"&amp;LEFT($C$5,2)&amp;"输出",标准坦克设计!$B$23:$U$23,0)))*(VLOOKUP($B116,INDIRECT($B$5&amp;"生成成长"),3))*(VLOOKUP($B$5,标准坦克设计!$B$14:$K$20,9)/30))</f>
        <v>1.1734975908516381</v>
      </c>
      <c r="K116" s="172">
        <f ca="1">(VLOOKUP(K$72,INDIRECT($C$5&amp;"生成成长"),2))/((VLOOKUP($B116,INDIRECT($B$5&amp;"生成成长"),4))/(VLOOKUP(K$72,INDIRECT($C$5&amp;"生成成长"),5))*(VLOOKUP($B$5,标准坦克设计!$B$24:$U$30,MATCH("对"&amp;LEFT($C$5,2)&amp;"输出",标准坦克设计!$B$23:$U$23,0)))*(VLOOKUP($B116,INDIRECT($B$5&amp;"生成成长"),3))*(VLOOKUP($B$5,标准坦克设计!$B$14:$K$20,9)/30))</f>
        <v>1.3200500907192436</v>
      </c>
      <c r="L116" s="172">
        <f ca="1">(VLOOKUP(L$72,INDIRECT($C$5&amp;"生成成长"),2))/((VLOOKUP($B116,INDIRECT($B$5&amp;"生成成长"),4))/(VLOOKUP(L$72,INDIRECT($C$5&amp;"生成成长"),5))*(VLOOKUP($B$5,标准坦克设计!$B$24:$U$30,MATCH("对"&amp;LEFT($C$5,2)&amp;"输出",标准坦克设计!$B$23:$U$23,0)))*(VLOOKUP($B116,INDIRECT($B$5&amp;"生成成长"),3))*(VLOOKUP($B$5,标准坦克设计!$B$14:$K$20,9)/30))</f>
        <v>1.4752233258731795</v>
      </c>
      <c r="M116" s="172">
        <f ca="1">(VLOOKUP(M$72,INDIRECT($C$5&amp;"生成成长"),2))/((VLOOKUP($B116,INDIRECT($B$5&amp;"生成成长"),4))/(VLOOKUP(M$72,INDIRECT($C$5&amp;"生成成长"),5))*(VLOOKUP($B$5,标准坦克设计!$B$24:$U$30,MATCH("对"&amp;LEFT($C$5,2)&amp;"输出",标准坦克设计!$B$23:$U$23,0)))*(VLOOKUP($B116,INDIRECT($B$5&amp;"生成成长"),3))*(VLOOKUP($B$5,标准坦克设计!$B$14:$K$20,9)/30))</f>
        <v>1.6390172963134451</v>
      </c>
      <c r="N116" s="172">
        <f ca="1">(VLOOKUP(N$72,INDIRECT($C$5&amp;"生成成长"),2))/((VLOOKUP($B116,INDIRECT($B$5&amp;"生成成长"),4))/(VLOOKUP(N$72,INDIRECT($C$5&amp;"生成成长"),5))*(VLOOKUP($B$5,标准坦克设计!$B$24:$U$30,MATCH("对"&amp;LEFT($C$5,2)&amp;"输出",标准坦克设计!$B$23:$U$23,0)))*(VLOOKUP($B116,INDIRECT($B$5&amp;"生成成长"),3))*(VLOOKUP($B$5,标准坦克设计!$B$14:$K$20,9)/30))</f>
        <v>1.8114320020400401</v>
      </c>
      <c r="O116" s="172">
        <f ca="1">(VLOOKUP(O$72,INDIRECT($C$5&amp;"生成成长"),2))/((VLOOKUP($B116,INDIRECT($B$5&amp;"生成成长"),4))/(VLOOKUP(O$72,INDIRECT($C$5&amp;"生成成长"),5))*(VLOOKUP($B$5,标准坦克设计!$B$24:$U$30,MATCH("对"&amp;LEFT($C$5,2)&amp;"输出",标准坦克设计!$B$23:$U$23,0)))*(VLOOKUP($B116,INDIRECT($B$5&amp;"生成成长"),3))*(VLOOKUP($B$5,标准坦克设计!$B$14:$K$20,9)/30))</f>
        <v>1.377229811485603</v>
      </c>
      <c r="P116" s="172">
        <f ca="1">(VLOOKUP(P$72,INDIRECT($C$5&amp;"生成成长"),2))/((VLOOKUP($B116,INDIRECT($B$5&amp;"生成成长"),4))/(VLOOKUP(P$72,INDIRECT($C$5&amp;"生成成长"),5))*(VLOOKUP($B$5,标准坦克设计!$B$24:$U$30,MATCH("对"&amp;LEFT($C$5,2)&amp;"输出",标准坦克设计!$B$23:$U$23,0)))*(VLOOKUP($B116,INDIRECT($B$5&amp;"生成成长"),3))*(VLOOKUP($B$5,标准坦克设计!$B$14:$K$20,9)/30))</f>
        <v>1.5560427191825208</v>
      </c>
      <c r="Q116" s="172">
        <f ca="1">(VLOOKUP(Q$72,INDIRECT($C$5&amp;"生成成长"),2))/((VLOOKUP($B116,INDIRECT($B$5&amp;"生成成长"),4))/(VLOOKUP(Q$72,INDIRECT($C$5&amp;"生成成长"),5))*(VLOOKUP($B$5,标准坦克设计!$B$24:$U$30,MATCH("对"&amp;LEFT($C$5,2)&amp;"输出",标准坦克设计!$B$23:$U$23,0)))*(VLOOKUP($B116,INDIRECT($B$5&amp;"生成成长"),3))*(VLOOKUP($B$5,标准坦克设计!$B$14:$K$20,9)/30))</f>
        <v>1.7457662449762001</v>
      </c>
      <c r="R116" s="172">
        <f ca="1">(VLOOKUP(R$72,INDIRECT($C$5&amp;"生成成长"),2))/((VLOOKUP($B116,INDIRECT($B$5&amp;"生成成长"),4))/(VLOOKUP(R$72,INDIRECT($C$5&amp;"生成成长"),5))*(VLOOKUP($B$5,标准坦克设计!$B$24:$U$30,MATCH("对"&amp;LEFT($C$5,2)&amp;"输出",标准坦克设计!$B$23:$U$23,0)))*(VLOOKUP($B116,INDIRECT($B$5&amp;"生成成长"),3))*(VLOOKUP($B$5,标准坦克设计!$B$14:$K$20,9)/30))</f>
        <v>1.9464003888666401</v>
      </c>
      <c r="S116" s="172">
        <f ca="1">(VLOOKUP(S$72,INDIRECT($C$5&amp;"生成成长"),2))/((VLOOKUP($B116,INDIRECT($B$5&amp;"生成成长"),4))/(VLOOKUP(S$72,INDIRECT($C$5&amp;"生成成长"),5))*(VLOOKUP($B$5,标准坦克设计!$B$24:$U$30,MATCH("对"&amp;LEFT($C$5,2)&amp;"输出",标准坦克设计!$B$23:$U$23,0)))*(VLOOKUP($B116,INDIRECT($B$5&amp;"生成成长"),3))*(VLOOKUP($B$5,标准坦克设计!$B$14:$K$20,9)/30))</f>
        <v>2.1579451508538412</v>
      </c>
      <c r="T116" s="172">
        <f ca="1">(VLOOKUP(T$72,INDIRECT($C$5&amp;"生成成长"),2))/((VLOOKUP($B116,INDIRECT($B$5&amp;"生成成长"),4))/(VLOOKUP(T$72,INDIRECT($C$5&amp;"生成成长"),5))*(VLOOKUP($B$5,标准坦克设计!$B$24:$U$30,MATCH("对"&amp;LEFT($C$5,2)&amp;"输出",标准坦克设计!$B$23:$U$23,0)))*(VLOOKUP($B116,INDIRECT($B$5&amp;"生成成长"),3))*(VLOOKUP($B$5,标准坦克设计!$B$14:$K$20,9)/30))</f>
        <v>2.3804005309378042</v>
      </c>
      <c r="U116" s="172">
        <f ca="1">(VLOOKUP(U$72,INDIRECT($C$5&amp;"生成成长"),2))/((VLOOKUP($B116,INDIRECT($B$5&amp;"生成成长"),4))/(VLOOKUP(U$72,INDIRECT($C$5&amp;"生成成长"),5))*(VLOOKUP($B$5,标准坦克设计!$B$24:$U$30,MATCH("对"&amp;LEFT($C$5,2)&amp;"输出",标准坦克设计!$B$23:$U$23,0)))*(VLOOKUP($B116,INDIRECT($B$5&amp;"生成成长"),3))*(VLOOKUP($B$5,标准坦克设计!$B$14:$K$20,9)/30))</f>
        <v>2.6137665291185277</v>
      </c>
      <c r="V116" s="172">
        <f ca="1">(VLOOKUP(V$72,INDIRECT($C$5&amp;"生成成长"),2))/((VLOOKUP($B116,INDIRECT($B$5&amp;"生成成长"),4))/(VLOOKUP(V$72,INDIRECT($C$5&amp;"生成成长"),5))*(VLOOKUP($B$5,标准坦克设计!$B$24:$U$30,MATCH("对"&amp;LEFT($C$5,2)&amp;"输出",标准坦克设计!$B$23:$U$23,0)))*(VLOOKUP($B116,INDIRECT($B$5&amp;"生成成长"),3))*(VLOOKUP($B$5,标准坦克设计!$B$14:$K$20,9)/30))</f>
        <v>2.8580431453960125</v>
      </c>
      <c r="W116" s="172">
        <f ca="1">(VLOOKUP(W$72,INDIRECT($C$5&amp;"生成成长"),2))/((VLOOKUP($B116,INDIRECT($B$5&amp;"生成成长"),4))/(VLOOKUP(W$72,INDIRECT($C$5&amp;"生成成长"),5))*(VLOOKUP($B$5,标准坦克设计!$B$24:$U$30,MATCH("对"&amp;LEFT($C$5,2)&amp;"输出",标准坦克设计!$B$23:$U$23,0)))*(VLOOKUP($B116,INDIRECT($B$5&amp;"生成成长"),3))*(VLOOKUP($B$5,标准坦克设计!$B$14:$K$20,9)/30))</f>
        <v>3.1132303797702576</v>
      </c>
      <c r="X116" s="172">
        <f ca="1">(VLOOKUP(X$72,INDIRECT($C$5&amp;"生成成长"),2))/((VLOOKUP($B116,INDIRECT($B$5&amp;"生成成长"),4))/(VLOOKUP(X$72,INDIRECT($C$5&amp;"生成成长"),5))*(VLOOKUP($B$5,标准坦克设计!$B$24:$U$30,MATCH("对"&amp;LEFT($C$5,2)&amp;"输出",标准坦克设计!$B$23:$U$23,0)))*(VLOOKUP($B116,INDIRECT($B$5&amp;"生成成长"),3))*(VLOOKUP($B$5,标准坦克设计!$B$14:$K$20,9)/30))</f>
        <v>2.2554672187804465</v>
      </c>
      <c r="Y116" s="172">
        <f ca="1">(VLOOKUP(Y$72,INDIRECT($C$5&amp;"生成成长"),2))/((VLOOKUP($B116,INDIRECT($B$5&amp;"生成成长"),4))/(VLOOKUP(Y$72,INDIRECT($C$5&amp;"生成成长"),5))*(VLOOKUP($B$5,标准坦克设计!$B$24:$U$30,MATCH("对"&amp;LEFT($C$5,2)&amp;"输出",标准坦克设计!$B$23:$U$23,0)))*(VLOOKUP($B116,INDIRECT($B$5&amp;"生成成长"),3))*(VLOOKUP($B$5,标准坦克设计!$B$14:$K$20,9)/30))</f>
        <v>2.5087013178163837</v>
      </c>
      <c r="Z116" s="172">
        <f ca="1">(VLOOKUP(Z$72,INDIRECT($C$5&amp;"生成成长"),2))/((VLOOKUP($B116,INDIRECT($B$5&amp;"生成成长"),4))/(VLOOKUP(Z$72,INDIRECT($C$5&amp;"生成成长"),5))*(VLOOKUP($B$5,标准坦克设计!$B$24:$U$30,MATCH("对"&amp;LEFT($C$5,2)&amp;"输出",标准坦克设计!$B$23:$U$23,0)))*(VLOOKUP($B116,INDIRECT($B$5&amp;"生成成长"),3))*(VLOOKUP($B$5,标准坦克设计!$B$14:$K$20,9)/30))</f>
        <v>2.7754053157372103</v>
      </c>
      <c r="AA116" s="172">
        <f ca="1">(VLOOKUP(AA$72,INDIRECT($C$5&amp;"生成成长"),2))/((VLOOKUP($B116,INDIRECT($B$5&amp;"生成成长"),4))/(VLOOKUP(AA$72,INDIRECT($C$5&amp;"生成成长"),5))*(VLOOKUP($B$5,标准坦克设计!$B$24:$U$30,MATCH("对"&amp;LEFT($C$5,2)&amp;"输出",标准坦克设计!$B$23:$U$23,0)))*(VLOOKUP($B116,INDIRECT($B$5&amp;"生成成长"),3))*(VLOOKUP($B$5,标准坦克设计!$B$14:$K$20,9)/30))</f>
        <v>3.0555792125429275</v>
      </c>
      <c r="AB116" s="172">
        <f ca="1">(VLOOKUP(AB$72,INDIRECT($C$5&amp;"生成成长"),2))/((VLOOKUP($B116,INDIRECT($B$5&amp;"生成成长"),4))/(VLOOKUP(AB$72,INDIRECT($C$5&amp;"生成成长"),5))*(VLOOKUP($B$5,标准坦克设计!$B$24:$U$30,MATCH("对"&amp;LEFT($C$5,2)&amp;"输出",标准坦克设计!$B$23:$U$23,0)))*(VLOOKUP($B116,INDIRECT($B$5&amp;"生成成长"),3))*(VLOOKUP($B$5,标准坦克设计!$B$14:$K$20,9)/30))</f>
        <v>3.349223008233535</v>
      </c>
      <c r="AC116" s="172">
        <f ca="1">(VLOOKUP(AC$72,INDIRECT($C$5&amp;"生成成长"),2))/((VLOOKUP($B116,INDIRECT($B$5&amp;"生成成长"),4))/(VLOOKUP(AC$72,INDIRECT($C$5&amp;"生成成长"),5))*(VLOOKUP($B$5,标准坦克设计!$B$24:$U$30,MATCH("对"&amp;LEFT($C$5,2)&amp;"输出",标准坦克设计!$B$23:$U$23,0)))*(VLOOKUP($B116,INDIRECT($B$5&amp;"生成成长"),3))*(VLOOKUP($B$5,标准坦克设计!$B$14:$K$20,9)/30))</f>
        <v>3.6563367028090319</v>
      </c>
      <c r="AD116" s="172">
        <f ca="1">(VLOOKUP(AD$72,INDIRECT($C$5&amp;"生成成长"),2))/((VLOOKUP($B116,INDIRECT($B$5&amp;"生成成长"),4))/(VLOOKUP(AD$72,INDIRECT($C$5&amp;"生成成长"),5))*(VLOOKUP($B$5,标准坦克设计!$B$24:$U$30,MATCH("对"&amp;LEFT($C$5,2)&amp;"输出",标准坦克设计!$B$23:$U$23,0)))*(VLOOKUP($B116,INDIRECT($B$5&amp;"生成成长"),3))*(VLOOKUP($B$5,标准坦克设计!$B$14:$K$20,9)/30))</f>
        <v>3.9769202962694203</v>
      </c>
      <c r="AE116" s="172">
        <f ca="1">(VLOOKUP(AE$72,INDIRECT($C$5&amp;"生成成长"),2))/((VLOOKUP($B116,INDIRECT($B$5&amp;"生成成长"),4))/(VLOOKUP(AE$72,INDIRECT($C$5&amp;"生成成长"),5))*(VLOOKUP($B$5,标准坦克设计!$B$24:$U$30,MATCH("对"&amp;LEFT($C$5,2)&amp;"输出",标准坦克设计!$B$23:$U$23,0)))*(VLOOKUP($B116,INDIRECT($B$5&amp;"生成成长"),3))*(VLOOKUP($B$5,标准坦克设计!$B$14:$K$20,9)/30))</f>
        <v>4.3109737886146977</v>
      </c>
      <c r="AF116" s="172">
        <f ca="1">(VLOOKUP(AF$72,INDIRECT($C$5&amp;"生成成长"),2))/((VLOOKUP($B116,INDIRECT($B$5&amp;"生成成长"),4))/(VLOOKUP(AF$72,INDIRECT($C$5&amp;"生成成长"),5))*(VLOOKUP($B$5,标准坦克设计!$B$24:$U$30,MATCH("对"&amp;LEFT($C$5,2)&amp;"输出",标准坦克设计!$B$23:$U$23,0)))*(VLOOKUP($B116,INDIRECT($B$5&amp;"生成成长"),3))*(VLOOKUP($B$5,标准坦克设计!$B$14:$K$20,9)/30))</f>
        <v>4.6584971798448667</v>
      </c>
      <c r="AG116" s="172">
        <f ca="1">(VLOOKUP(AG$72,INDIRECT($C$5&amp;"生成成长"),2))/((VLOOKUP($B116,INDIRECT($B$5&amp;"生成成长"),4))/(VLOOKUP(AG$72,INDIRECT($C$5&amp;"生成成长"),5))*(VLOOKUP($B$5,标准坦克设计!$B$24:$U$30,MATCH("对"&amp;LEFT($C$5,2)&amp;"输出",标准坦克设计!$B$23:$U$23,0)))*(VLOOKUP($B116,INDIRECT($B$5&amp;"生成成长"),3))*(VLOOKUP($B$5,标准坦克设计!$B$14:$K$20,9)/30))</f>
        <v>5.0194904699599245</v>
      </c>
      <c r="AH116" s="172">
        <f ca="1">(VLOOKUP(AH$72,INDIRECT($C$5&amp;"生成成长"),2))/((VLOOKUP($B116,INDIRECT($B$5&amp;"生成成长"),4))/(VLOOKUP(AH$72,INDIRECT($C$5&amp;"生成成长"),5))*(VLOOKUP($B$5,标准坦克设计!$B$24:$U$30,MATCH("对"&amp;LEFT($C$5,2)&amp;"输出",标准坦克设计!$B$23:$U$23,0)))*(VLOOKUP($B116,INDIRECT($B$5&amp;"生成成长"),3))*(VLOOKUP($B$5,标准坦克设计!$B$14:$K$20,9)/30))</f>
        <v>5.393953658959874</v>
      </c>
      <c r="AI116" s="172">
        <f ca="1">(VLOOKUP(AI$72,INDIRECT($C$5&amp;"生成成长"),2))/((VLOOKUP($B116,INDIRECT($B$5&amp;"生成成长"),4))/(VLOOKUP(AI$72,INDIRECT($C$5&amp;"生成成长"),5))*(VLOOKUP($B$5,标准坦克设计!$B$24:$U$30,MATCH("对"&amp;LEFT($C$5,2)&amp;"输出",标准坦克设计!$B$23:$U$23,0)))*(VLOOKUP($B116,INDIRECT($B$5&amp;"生成成长"),3))*(VLOOKUP($B$5,标准坦克设计!$B$14:$K$20,9)/30))</f>
        <v>3.8149447621786154</v>
      </c>
      <c r="AJ116" s="172">
        <f ca="1">(VLOOKUP(AJ$72,INDIRECT($C$5&amp;"生成成长"),2))/((VLOOKUP($B116,INDIRECT($B$5&amp;"生成成长"),4))/(VLOOKUP(AJ$72,INDIRECT($C$5&amp;"生成成长"),5))*(VLOOKUP($B$5,标准坦克设计!$B$24:$U$30,MATCH("对"&amp;LEFT($C$5,2)&amp;"输出",标准坦克设计!$B$23:$U$23,0)))*(VLOOKUP($B116,INDIRECT($B$5&amp;"生成成长"),3))*(VLOOKUP($B$5,标准坦克设计!$B$14:$K$20,9)/30))</f>
        <v>4.1757360038104006</v>
      </c>
      <c r="AK116" s="172">
        <f ca="1">(VLOOKUP(AK$72,INDIRECT($C$5&amp;"生成成长"),2))/((VLOOKUP($B116,INDIRECT($B$5&amp;"生成成长"),4))/(VLOOKUP(AK$72,INDIRECT($C$5&amp;"生成成长"),5))*(VLOOKUP($B$5,标准坦克设计!$B$24:$U$30,MATCH("对"&amp;LEFT($C$5,2)&amp;"输出",标准坦克设计!$B$23:$U$23,0)))*(VLOOKUP($B116,INDIRECT($B$5&amp;"生成成长"),3))*(VLOOKUP($B$5,标准坦克设计!$B$14:$K$20,9)/30))</f>
        <v>4.5528258230929035</v>
      </c>
      <c r="AL116" s="172">
        <f ca="1">(VLOOKUP(AL$72,INDIRECT($C$5&amp;"生成成长"),2))/((VLOOKUP($B116,INDIRECT($B$5&amp;"生成成长"),4))/(VLOOKUP(AL$72,INDIRECT($C$5&amp;"生成成长"),5))*(VLOOKUP($B$5,标准坦克设计!$B$24:$U$30,MATCH("对"&amp;LEFT($C$5,2)&amp;"输出",标准坦克设计!$B$23:$U$23,0)))*(VLOOKUP($B116,INDIRECT($B$5&amp;"生成成长"),3))*(VLOOKUP($B$5,标准坦克设计!$B$14:$K$20,9)/30))</f>
        <v>4.946214220026123</v>
      </c>
      <c r="AM116" s="172">
        <f ca="1">(VLOOKUP(AM$72,INDIRECT($C$5&amp;"生成成长"),2))/((VLOOKUP($B116,INDIRECT($B$5&amp;"生成成长"),4))/(VLOOKUP(AM$72,INDIRECT($C$5&amp;"生成成长"),5))*(VLOOKUP($B$5,标准坦克设计!$B$24:$U$30,MATCH("对"&amp;LEFT($C$5,2)&amp;"输出",标准坦克设计!$B$23:$U$23,0)))*(VLOOKUP($B116,INDIRECT($B$5&amp;"生成成长"),3))*(VLOOKUP($B$5,标准坦克设计!$B$14:$K$20,9)/30))</f>
        <v>5.3559011946100581</v>
      </c>
      <c r="AN116" s="172">
        <f ca="1">(VLOOKUP(AN$72,INDIRECT($C$5&amp;"生成成长"),2))/((VLOOKUP($B116,INDIRECT($B$5&amp;"生成成长"),4))/(VLOOKUP(AN$72,INDIRECT($C$5&amp;"生成成长"),5))*(VLOOKUP($B$5,标准坦克设计!$B$24:$U$30,MATCH("对"&amp;LEFT($C$5,2)&amp;"输出",标准坦克设计!$B$23:$U$23,0)))*(VLOOKUP($B116,INDIRECT($B$5&amp;"生成成长"),3))*(VLOOKUP($B$5,标准坦克设计!$B$14:$K$20,9)/30))</f>
        <v>5.7818867468447133</v>
      </c>
      <c r="AO116" s="172">
        <f ca="1">(VLOOKUP(AO$72,INDIRECT($C$5&amp;"生成成长"),2))/((VLOOKUP($B116,INDIRECT($B$5&amp;"生成成长"),4))/(VLOOKUP(AO$72,INDIRECT($C$5&amp;"生成成长"),5))*(VLOOKUP($B$5,标准坦克设计!$B$24:$U$30,MATCH("对"&amp;LEFT($C$5,2)&amp;"输出",标准坦克设计!$B$23:$U$23,0)))*(VLOOKUP($B116,INDIRECT($B$5&amp;"生成成长"),3))*(VLOOKUP($B$5,标准坦克设计!$B$14:$K$20,9)/30))</f>
        <v>6.2241708767300832</v>
      </c>
      <c r="AP116" s="172">
        <f ca="1">(VLOOKUP(AP$72,INDIRECT($C$5&amp;"生成成长"),2))/((VLOOKUP($B116,INDIRECT($B$5&amp;"生成成长"),4))/(VLOOKUP(AP$72,INDIRECT($C$5&amp;"生成成长"),5))*(VLOOKUP($B$5,标准坦克设计!$B$24:$U$30,MATCH("对"&amp;LEFT($C$5,2)&amp;"输出",标准坦克设计!$B$23:$U$23,0)))*(VLOOKUP($B116,INDIRECT($B$5&amp;"生成成长"),3))*(VLOOKUP($B$5,标准坦克设计!$B$14:$K$20,9)/30))</f>
        <v>6.6827535842661723</v>
      </c>
      <c r="AQ116" s="172">
        <f ca="1">(VLOOKUP(AQ$72,INDIRECT($C$5&amp;"生成成长"),2))/((VLOOKUP($B116,INDIRECT($B$5&amp;"生成成长"),4))/(VLOOKUP(AQ$72,INDIRECT($C$5&amp;"生成成长"),5))*(VLOOKUP($B$5,标准坦克设计!$B$24:$U$30,MATCH("对"&amp;LEFT($C$5,2)&amp;"输出",标准坦克设计!$B$23:$U$23,0)))*(VLOOKUP($B116,INDIRECT($B$5&amp;"生成成长"),3))*(VLOOKUP($B$5,标准坦克设计!$B$14:$K$20,9)/30))</f>
        <v>7.1576348694529779</v>
      </c>
      <c r="AR116" s="172">
        <f ca="1">(VLOOKUP(AR$72,INDIRECT($C$5&amp;"生成成长"),2))/((VLOOKUP($B116,INDIRECT($B$5&amp;"生成成长"),4))/(VLOOKUP(AR$72,INDIRECT($C$5&amp;"生成成长"),5))*(VLOOKUP($B$5,标准坦克设计!$B$24:$U$30,MATCH("对"&amp;LEFT($C$5,2)&amp;"输出",标准坦克设计!$B$23:$U$23,0)))*(VLOOKUP($B116,INDIRECT($B$5&amp;"生成成长"),3))*(VLOOKUP($B$5,标准坦克设计!$B$14:$K$20,9)/30))</f>
        <v>7.6488147322904991</v>
      </c>
      <c r="AS116" s="172">
        <f ca="1">(VLOOKUP(AS$72,INDIRECT($C$5&amp;"生成成长"),2))/((VLOOKUP($B116,INDIRECT($B$5&amp;"生成成长"),4))/(VLOOKUP(AS$72,INDIRECT($C$5&amp;"生成成长"),5))*(VLOOKUP($B$5,标准坦克设计!$B$24:$U$30,MATCH("对"&amp;LEFT($C$5,2)&amp;"输出",标准坦克设计!$B$23:$U$23,0)))*(VLOOKUP($B116,INDIRECT($B$5&amp;"生成成长"),3))*(VLOOKUP($B$5,标准坦克设计!$B$14:$K$20,9)/30))</f>
        <v>8.1562931727787404</v>
      </c>
      <c r="AT116" s="172">
        <f ca="1">(VLOOKUP(AT$72,INDIRECT($C$5&amp;"生成成长"),2))/((VLOOKUP($B116,INDIRECT($B$5&amp;"生成成长"),4))/(VLOOKUP(AT$72,INDIRECT($C$5&amp;"生成成长"),5))*(VLOOKUP($B$5,标准坦克设计!$B$24:$U$30,MATCH("对"&amp;LEFT($C$5,2)&amp;"输出",标准坦克设计!$B$23:$U$23,0)))*(VLOOKUP($B116,INDIRECT($B$5&amp;"生成成长"),3))*(VLOOKUP($B$5,标准坦克设计!$B$14:$K$20,9)/30))</f>
        <v>8.6800701909176983</v>
      </c>
      <c r="AU116" s="172">
        <f ca="1">(VLOOKUP(AU$72,INDIRECT($C$5&amp;"生成成长"),2))/((VLOOKUP($B116,INDIRECT($B$5&amp;"生成成长"),4))/(VLOOKUP(AU$72,INDIRECT($C$5&amp;"生成成长"),5))*(VLOOKUP($B$5,标准坦克设计!$B$24:$U$30,MATCH("对"&amp;LEFT($C$5,2)&amp;"输出",标准坦克设计!$B$23:$U$23,0)))*(VLOOKUP($B116,INDIRECT($B$5&amp;"生成成长"),3))*(VLOOKUP($B$5,标准坦克设计!$B$14:$K$20,9)/30))</f>
        <v>9.2201457867073735</v>
      </c>
      <c r="AV116" s="172">
        <f ca="1">(VLOOKUP(AV$72,INDIRECT($C$5&amp;"生成成长"),2))/((VLOOKUP($B116,INDIRECT($B$5&amp;"生成成长"),4))/(VLOOKUP(AV$72,INDIRECT($C$5&amp;"生成成长"),5))*(VLOOKUP($B$5,标准坦克设计!$B$24:$U$30,MATCH("对"&amp;LEFT($C$5,2)&amp;"输出",标准坦克设计!$B$23:$U$23,0)))*(VLOOKUP($B116,INDIRECT($B$5&amp;"生成成长"),3))*(VLOOKUP($B$5,标准坦克设计!$B$14:$K$20,9)/30))</f>
        <v>0.93777436036605877</v>
      </c>
      <c r="AW116" s="172">
        <f ca="1">(VLOOKUP(AW$72,INDIRECT($C$5&amp;"生成成长"),2))/((VLOOKUP($B116,INDIRECT($B$5&amp;"生成成长"),4))/(VLOOKUP(AW$72,INDIRECT($C$5&amp;"生成成长"),5))*(VLOOKUP($B$5,标准坦克设计!$B$24:$U$30,MATCH("对"&amp;LEFT($C$5,2)&amp;"输出",标准坦克设计!$B$23:$U$23,0)))*(VLOOKUP($B116,INDIRECT($B$5&amp;"生成成长"),3))*(VLOOKUP($B$5,标准坦克设计!$B$14:$K$20,9)/30))</f>
        <v>1.0692405734825874</v>
      </c>
      <c r="AX116" s="172">
        <f ca="1">(VLOOKUP(AX$72,INDIRECT($C$5&amp;"生成成长"),2))/((VLOOKUP($B116,INDIRECT($B$5&amp;"生成成长"),4))/(VLOOKUP(AX$72,INDIRECT($C$5&amp;"生成成长"),5))*(VLOOKUP($B$5,标准坦克设计!$B$24:$U$30,MATCH("对"&amp;LEFT($C$5,2)&amp;"输出",标准坦克设计!$B$23:$U$23,0)))*(VLOOKUP($B116,INDIRECT($B$5&amp;"生成成长"),3))*(VLOOKUP($B$5,标准坦克设计!$B$14:$K$20,9)/30))</f>
        <v>1.209327521885446</v>
      </c>
      <c r="AY116" s="172">
        <f ca="1">(VLOOKUP(AY$72,INDIRECT($C$5&amp;"生成成长"),2))/((VLOOKUP($B116,INDIRECT($B$5&amp;"生成成长"),4))/(VLOOKUP(AY$72,INDIRECT($C$5&amp;"生成成长"),5))*(VLOOKUP($B$5,标准坦克设计!$B$24:$U$30,MATCH("对"&amp;LEFT($C$5,2)&amp;"输出",标准坦克设计!$B$23:$U$23,0)))*(VLOOKUP($B116,INDIRECT($B$5&amp;"生成成长"),3))*(VLOOKUP($B$5,标准坦克设计!$B$14:$K$20,9)/30))</f>
        <v>1.3580352055746345</v>
      </c>
      <c r="AZ116" s="172">
        <f ca="1">(VLOOKUP(AZ$72,INDIRECT($C$5&amp;"生成成长"),2))/((VLOOKUP($B116,INDIRECT($B$5&amp;"生成成长"),4))/(VLOOKUP(AZ$72,INDIRECT($C$5&amp;"生成成长"),5))*(VLOOKUP($B$5,标准坦克设计!$B$24:$U$30,MATCH("对"&amp;LEFT($C$5,2)&amp;"输出",标准坦克设计!$B$23:$U$23,0)))*(VLOOKUP($B116,INDIRECT($B$5&amp;"生成成长"),3))*(VLOOKUP($B$5,标准坦克设计!$B$14:$K$20,9)/30))</f>
        <v>1.5153636245501523</v>
      </c>
      <c r="BA116" s="172">
        <f ca="1">(VLOOKUP(BA$72,INDIRECT($C$5&amp;"生成成长"),2))/((VLOOKUP($B116,INDIRECT($B$5&amp;"生成成长"),4))/(VLOOKUP(BA$72,INDIRECT($C$5&amp;"生成成长"),5))*(VLOOKUP($B$5,标准坦克设计!$B$24:$U$30,MATCH("对"&amp;LEFT($C$5,2)&amp;"输出",标准坦克设计!$B$23:$U$23,0)))*(VLOOKUP($B116,INDIRECT($B$5&amp;"生成成长"),3))*(VLOOKUP($B$5,标准坦克设计!$B$14:$K$20,9)/30))</f>
        <v>1.6813127788120004</v>
      </c>
      <c r="BB116" s="172">
        <f ca="1">(VLOOKUP(BB$72,INDIRECT($C$5&amp;"生成成长"),2))/((VLOOKUP($B116,INDIRECT($B$5&amp;"生成成长"),4))/(VLOOKUP(BB$72,INDIRECT($C$5&amp;"生成成长"),5))*(VLOOKUP($B$5,标准坦克设计!$B$24:$U$30,MATCH("对"&amp;LEFT($C$5,2)&amp;"输出",标准坦克设计!$B$23:$U$23,0)))*(VLOOKUP($B116,INDIRECT($B$5&amp;"生成成长"),3))*(VLOOKUP($B$5,标准坦克设计!$B$14:$K$20,9)/30))</f>
        <v>1.8558826683601779</v>
      </c>
      <c r="BC116" s="172">
        <f ca="1">(VLOOKUP(BC$72,INDIRECT($C$5&amp;"生成成长"),2))/((VLOOKUP($B116,INDIRECT($B$5&amp;"生成成长"),4))/(VLOOKUP(BC$72,INDIRECT($C$5&amp;"生成成长"),5))*(VLOOKUP($B$5,标准坦克设计!$B$24:$U$30,MATCH("对"&amp;LEFT($C$5,2)&amp;"输出",标准坦克设计!$B$23:$U$23,0)))*(VLOOKUP($B116,INDIRECT($B$5&amp;"生成成长"),3))*(VLOOKUP($B$5,标准坦克设计!$B$14:$K$20,9)/30))</f>
        <v>2.0390732931946851</v>
      </c>
      <c r="BD116" s="172">
        <f ca="1">(VLOOKUP(BD$72,INDIRECT($C$5&amp;"生成成长"),2))/((VLOOKUP($B116,INDIRECT($B$5&amp;"生成成长"),4))/(VLOOKUP(BD$72,INDIRECT($C$5&amp;"生成成长"),5))*(VLOOKUP($B$5,标准坦克设计!$B$24:$U$30,MATCH("对"&amp;LEFT($C$5,2)&amp;"输出",标准坦克设计!$B$23:$U$23,0)))*(VLOOKUP($B116,INDIRECT($B$5&amp;"生成成长"),3))*(VLOOKUP($B$5,标准坦克设计!$B$14:$K$20,9)/30))</f>
        <v>2.2554672187804465</v>
      </c>
      <c r="BE116" s="172">
        <f ca="1">(VLOOKUP(BE$72,INDIRECT($C$5&amp;"生成成长"),2))/((VLOOKUP($B116,INDIRECT($B$5&amp;"生成成长"),4))/(VLOOKUP(BE$72,INDIRECT($C$5&amp;"生成成长"),5))*(VLOOKUP($B$5,标准坦克设计!$B$24:$U$30,MATCH("对"&amp;LEFT($C$5,2)&amp;"输出",标准坦克设计!$B$23:$U$23,0)))*(VLOOKUP($B116,INDIRECT($B$5&amp;"生成成长"),3))*(VLOOKUP($B$5,标准坦克设计!$B$14:$K$20,9)/30))</f>
        <v>2.4827717624629697</v>
      </c>
      <c r="BF116" s="172">
        <f ca="1">(VLOOKUP(BF$72,INDIRECT($C$5&amp;"生成成长"),2))/((VLOOKUP($B116,INDIRECT($B$5&amp;"生成成长"),4))/(VLOOKUP(BF$72,INDIRECT($C$5&amp;"生成成长"),5))*(VLOOKUP($B$5,标准坦克设计!$B$24:$U$30,MATCH("对"&amp;LEFT($C$5,2)&amp;"输出",标准坦克设计!$B$23:$U$23,0)))*(VLOOKUP($B116,INDIRECT($B$5&amp;"生成成长"),3))*(VLOOKUP($B$5,标准坦克设计!$B$14:$K$20,9)/30))</f>
        <v>2.7209869242422537</v>
      </c>
      <c r="BG116" s="172">
        <f ca="1">(VLOOKUP(BG$72,INDIRECT($C$5&amp;"生成成长"),2))/((VLOOKUP($B116,INDIRECT($B$5&amp;"生成成长"),4))/(VLOOKUP(BG$72,INDIRECT($C$5&amp;"生成成长"),5))*(VLOOKUP($B$5,标准坦克设计!$B$24:$U$30,MATCH("对"&amp;LEFT($C$5,2)&amp;"输出",标准坦克设计!$B$23:$U$23,0)))*(VLOOKUP($B116,INDIRECT($B$5&amp;"生成成长"),3))*(VLOOKUP($B$5,标准坦克设计!$B$14:$K$20,9)/30))</f>
        <v>2.9701127041182986</v>
      </c>
      <c r="BH116" s="172">
        <f ca="1">(VLOOKUP(BH$72,INDIRECT($C$5&amp;"生成成长"),2))/((VLOOKUP($B116,INDIRECT($B$5&amp;"生成成长"),4))/(VLOOKUP(BH$72,INDIRECT($C$5&amp;"生成成长"),5))*(VLOOKUP($B$5,标准坦克设计!$B$24:$U$30,MATCH("对"&amp;LEFT($C$5,2)&amp;"输出",标准坦克设计!$B$23:$U$23,0)))*(VLOOKUP($B116,INDIRECT($B$5&amp;"生成成长"),3))*(VLOOKUP($B$5,标准坦克设计!$B$14:$K$20,9)/30))</f>
        <v>1.4356218231516022</v>
      </c>
      <c r="BI116" s="172">
        <f ca="1">(VLOOKUP(BI$72,INDIRECT($C$5&amp;"生成成长"),2))/((VLOOKUP($B116,INDIRECT($B$5&amp;"生成成长"),4))/(VLOOKUP(BI$72,INDIRECT($C$5&amp;"生成成长"),5))*(VLOOKUP($B$5,标准坦克设计!$B$24:$U$30,MATCH("对"&amp;LEFT($C$5,2)&amp;"输出",标准坦克设计!$B$23:$U$23,0)))*(VLOOKUP($B116,INDIRECT($B$5&amp;"生成成长"),3))*(VLOOKUP($B$5,标准坦克设计!$B$14:$K$20,9)/30))</f>
        <v>1.618071603547441</v>
      </c>
      <c r="BJ116" s="172">
        <f ca="1">(VLOOKUP(BJ$72,INDIRECT($C$5&amp;"生成成长"),2))/((VLOOKUP($B116,INDIRECT($B$5&amp;"生成成长"),4))/(VLOOKUP(BJ$72,INDIRECT($C$5&amp;"生成成长"),5))*(VLOOKUP($B$5,标准坦克设计!$B$24:$U$30,MATCH("对"&amp;LEFT($C$5,2)&amp;"输出",标准坦克设计!$B$23:$U$23,0)))*(VLOOKUP($B116,INDIRECT($B$5&amp;"生成成长"),3))*(VLOOKUP($B$5,标准坦克设计!$B$14:$K$20,9)/30))</f>
        <v>1.8114320020400401</v>
      </c>
      <c r="BK116" s="172">
        <f ca="1">(VLOOKUP(BK$72,INDIRECT($C$5&amp;"生成成长"),2))/((VLOOKUP($B116,INDIRECT($B$5&amp;"生成成长"),4))/(VLOOKUP(BK$72,INDIRECT($C$5&amp;"生成成长"),5))*(VLOOKUP($B$5,标准坦克设计!$B$24:$U$30,MATCH("对"&amp;LEFT($C$5,2)&amp;"输出",标准坦克设计!$B$23:$U$23,0)))*(VLOOKUP($B116,INDIRECT($B$5&amp;"生成成长"),3))*(VLOOKUP($B$5,标准坦克设计!$B$14:$K$20,9)/30))</f>
        <v>2.0157030186294005</v>
      </c>
      <c r="BL116" s="172">
        <f ca="1">(VLOOKUP(BL$72,INDIRECT($C$5&amp;"生成成长"),2))/((VLOOKUP($B116,INDIRECT($B$5&amp;"生成成长"),4))/(VLOOKUP(BL$72,INDIRECT($C$5&amp;"生成成长"),5))*(VLOOKUP($B$5,标准坦克设计!$B$24:$U$30,MATCH("对"&amp;LEFT($C$5,2)&amp;"输出",标准坦克设计!$B$23:$U$23,0)))*(VLOOKUP($B116,INDIRECT($B$5&amp;"生成成长"),3))*(VLOOKUP($B$5,标准坦克设计!$B$14:$K$20,9)/30))</f>
        <v>2.2308846533155222</v>
      </c>
      <c r="BM116" s="172">
        <f ca="1">(VLOOKUP(BM$72,INDIRECT($C$5&amp;"生成成长"),2))/((VLOOKUP($B116,INDIRECT($B$5&amp;"生成成长"),4))/(VLOOKUP(BM$72,INDIRECT($C$5&amp;"生成成长"),5))*(VLOOKUP($B$5,标准坦克设计!$B$24:$U$30,MATCH("对"&amp;LEFT($C$5,2)&amp;"输出",标准坦克设计!$B$23:$U$23,0)))*(VLOOKUP($B116,INDIRECT($B$5&amp;"生成成长"),3))*(VLOOKUP($B$5,标准坦克设计!$B$14:$K$20,9)/30))</f>
        <v>2.4569769060984052</v>
      </c>
      <c r="BN116" s="172">
        <f ca="1">(VLOOKUP(BN$72,INDIRECT($C$5&amp;"生成成长"),2))/((VLOOKUP($B116,INDIRECT($B$5&amp;"生成成长"),4))/(VLOOKUP(BN$72,INDIRECT($C$5&amp;"生成成长"),5))*(VLOOKUP($B$5,标准坦克设计!$B$24:$U$30,MATCH("对"&amp;LEFT($C$5,2)&amp;"输出",标准坦克设计!$B$23:$U$23,0)))*(VLOOKUP($B116,INDIRECT($B$5&amp;"生成成长"),3))*(VLOOKUP($B$5,标准坦克设计!$B$14:$K$20,9)/30))</f>
        <v>2.6939797769780487</v>
      </c>
      <c r="BO116" s="172">
        <f ca="1">(VLOOKUP(BO$72,INDIRECT($C$5&amp;"生成成长"),2))/((VLOOKUP($B116,INDIRECT($B$5&amp;"生成成长"),4))/(VLOOKUP(BO$72,INDIRECT($C$5&amp;"生成成长"),5))*(VLOOKUP($B$5,标准坦克设计!$B$24:$U$30,MATCH("对"&amp;LEFT($C$5,2)&amp;"输出",标准坦克设计!$B$23:$U$23,0)))*(VLOOKUP($B116,INDIRECT($B$5&amp;"生成成长"),3))*(VLOOKUP($B$5,标准坦克设计!$B$14:$K$20,9)/30))</f>
        <v>2.9418932659544543</v>
      </c>
      <c r="BP116" s="172">
        <f ca="1">(VLOOKUP(BP$72,INDIRECT($C$5&amp;"生成成长"),2))/((VLOOKUP($B116,INDIRECT($B$5&amp;"生成成长"),4))/(VLOOKUP(BP$72,INDIRECT($C$5&amp;"生成成长"),5))*(VLOOKUP($B$5,标准坦克设计!$B$24:$U$30,MATCH("对"&amp;LEFT($C$5,2)&amp;"输出",标准坦克设计!$B$23:$U$23,0)))*(VLOOKUP($B116,INDIRECT($B$5&amp;"生成成长"),3))*(VLOOKUP($B$5,标准坦克设计!$B$14:$K$20,9)/30))</f>
        <v>3.2007173730276199</v>
      </c>
      <c r="BQ116" s="172">
        <f ca="1">(VLOOKUP(BQ$72,INDIRECT($C$5&amp;"生成成长"),2))/((VLOOKUP($B116,INDIRECT($B$5&amp;"生成成长"),4))/(VLOOKUP(BQ$72,INDIRECT($C$5&amp;"生成成长"),5))*(VLOOKUP($B$5,标准坦克设计!$B$24:$U$30,MATCH("对"&amp;LEFT($C$5,2)&amp;"输出",标准坦克设计!$B$23:$U$23,0)))*(VLOOKUP($B116,INDIRECT($B$5&amp;"生成成长"),3))*(VLOOKUP($B$5,标准坦克设计!$B$14:$K$20,9)/30))</f>
        <v>3.4704520981975464</v>
      </c>
      <c r="BR116" s="172">
        <f ca="1">(VLOOKUP(BR$72,INDIRECT($C$5&amp;"生成成长"),2))/((VLOOKUP($B116,INDIRECT($B$5&amp;"生成成长"),4))/(VLOOKUP(BR$72,INDIRECT($C$5&amp;"生成成长"),5))*(VLOOKUP($B$5,标准坦克设计!$B$24:$U$30,MATCH("对"&amp;LEFT($C$5,2)&amp;"输出",标准坦克设计!$B$23:$U$23,0)))*(VLOOKUP($B116,INDIRECT($B$5&amp;"生成成长"),3))*(VLOOKUP($B$5,标准坦克设计!$B$14:$K$20,9)/30))</f>
        <v>3.7829537523270003</v>
      </c>
      <c r="BS116" s="172">
        <f ca="1">(VLOOKUP(BS$72,INDIRECT($C$5&amp;"生成成长"),2))/((VLOOKUP($B116,INDIRECT($B$5&amp;"生成成长"),4))/(VLOOKUP(BS$72,INDIRECT($C$5&amp;"生成成长"),5))*(VLOOKUP($B$5,标准坦克设计!$B$24:$U$30,MATCH("对"&amp;LEFT($C$5,2)&amp;"输出",标准坦克设计!$B$23:$U$23,0)))*(VLOOKUP($B116,INDIRECT($B$5&amp;"生成成长"),3))*(VLOOKUP($B$5,标准坦克设计!$B$14:$K$20,9)/30))</f>
        <v>4.1089253053413435</v>
      </c>
      <c r="BT116" s="172">
        <f ca="1">(VLOOKUP(BT$72,INDIRECT($C$5&amp;"生成成长"),2))/((VLOOKUP($B116,INDIRECT($B$5&amp;"生成成长"),4))/(VLOOKUP(BT$72,INDIRECT($C$5&amp;"生成成长"),5))*(VLOOKUP($B$5,标准坦克设计!$B$24:$U$30,MATCH("对"&amp;LEFT($C$5,2)&amp;"输出",标准坦克设计!$B$23:$U$23,0)))*(VLOOKUP($B116,INDIRECT($B$5&amp;"生成成长"),3))*(VLOOKUP($B$5,标准坦克设计!$B$14:$K$20,9)/30))</f>
        <v>4.4483667572405787</v>
      </c>
      <c r="BU116" s="172">
        <f ca="1">(VLOOKUP(BU$72,INDIRECT($C$5&amp;"生成成长"),2))/((VLOOKUP($B116,INDIRECT($B$5&amp;"生成成长"),4))/(VLOOKUP(BU$72,INDIRECT($C$5&amp;"生成成长"),5))*(VLOOKUP($B$5,标准坦克设计!$B$24:$U$30,MATCH("对"&amp;LEFT($C$5,2)&amp;"输出",标准坦克设计!$B$23:$U$23,0)))*(VLOOKUP($B116,INDIRECT($B$5&amp;"生成成长"),3))*(VLOOKUP($B$5,标准坦克设计!$B$14:$K$20,9)/30))</f>
        <v>4.8012781080247029</v>
      </c>
      <c r="BV116" s="172">
        <f ca="1">(VLOOKUP(BV$72,INDIRECT($C$5&amp;"生成成长"),2))/((VLOOKUP($B116,INDIRECT($B$5&amp;"生成成长"),4))/(VLOOKUP(BV$72,INDIRECT($C$5&amp;"生成成长"),5))*(VLOOKUP($B$5,标准坦克设计!$B$24:$U$30,MATCH("对"&amp;LEFT($C$5,2)&amp;"输出",标准坦克设计!$B$23:$U$23,0)))*(VLOOKUP($B116,INDIRECT($B$5&amp;"生成成长"),3))*(VLOOKUP($B$5,标准坦克设计!$B$14:$K$20,9)/30))</f>
        <v>5.1676593576937178</v>
      </c>
      <c r="BW116" s="172">
        <f ca="1">(VLOOKUP(BW$72,INDIRECT($C$5&amp;"生成成长"),2))/((VLOOKUP($B116,INDIRECT($B$5&amp;"生成成长"),4))/(VLOOKUP(BW$72,INDIRECT($C$5&amp;"生成成长"),5))*(VLOOKUP($B$5,标准坦克设计!$B$24:$U$30,MATCH("对"&amp;LEFT($C$5,2)&amp;"输出",标准坦克设计!$B$23:$U$23,0)))*(VLOOKUP($B116,INDIRECT($B$5&amp;"生成成长"),3))*(VLOOKUP($B$5,标准坦克设计!$B$14:$K$20,9)/30))</f>
        <v>2.3551444705286344</v>
      </c>
      <c r="BX116" s="172">
        <f ca="1">(VLOOKUP(BX$72,INDIRECT($C$5&amp;"生成成长"),2))/((VLOOKUP($B116,INDIRECT($B$5&amp;"生成成长"),4))/(VLOOKUP(BX$72,INDIRECT($C$5&amp;"生成成长"),5))*(VLOOKUP($B$5,标准坦克设计!$B$24:$U$30,MATCH("对"&amp;LEFT($C$5,2)&amp;"输出",标准坦克设计!$B$23:$U$23,0)))*(VLOOKUP($B116,INDIRECT($B$5&amp;"生成成长"),3))*(VLOOKUP($B$5,标准坦克设计!$B$14:$K$20,9)/30))</f>
        <v>2.6137665291185277</v>
      </c>
      <c r="BY116" s="172">
        <f ca="1">(VLOOKUP(BY$72,INDIRECT($C$5&amp;"生成成长"),2))/((VLOOKUP($B116,INDIRECT($B$5&amp;"生成成长"),4))/(VLOOKUP(BY$72,INDIRECT($C$5&amp;"生成成长"),5))*(VLOOKUP($B$5,标准坦克设计!$B$24:$U$30,MATCH("对"&amp;LEFT($C$5,2)&amp;"输出",标准坦克设计!$B$23:$U$23,0)))*(VLOOKUP($B116,INDIRECT($B$5&amp;"生成成长"),3))*(VLOOKUP($B$5,标准坦克设计!$B$14:$K$20,9)/30))</f>
        <v>2.8858584865933103</v>
      </c>
      <c r="BZ116" s="172">
        <f ca="1">(VLOOKUP(BZ$72,INDIRECT($C$5&amp;"生成成长"),2))/((VLOOKUP($B116,INDIRECT($B$5&amp;"生成成长"),4))/(VLOOKUP(BZ$72,INDIRECT($C$5&amp;"生成成长"),5))*(VLOOKUP($B$5,标准坦克设计!$B$24:$U$30,MATCH("对"&amp;LEFT($C$5,2)&amp;"输出",标准坦克设计!$B$23:$U$23,0)))*(VLOOKUP($B116,INDIRECT($B$5&amp;"生成成长"),3))*(VLOOKUP($B$5,标准坦克设计!$B$14:$K$20,9)/30))</f>
        <v>3.1714203429529833</v>
      </c>
      <c r="CA116" s="172">
        <f ca="1">(VLOOKUP(CA$72,INDIRECT($C$5&amp;"生成成长"),2))/((VLOOKUP($B116,INDIRECT($B$5&amp;"生成成长"),4))/(VLOOKUP(CA$72,INDIRECT($C$5&amp;"生成成长"),5))*(VLOOKUP($B$5,标准坦克设计!$B$24:$U$30,MATCH("对"&amp;LEFT($C$5,2)&amp;"输出",标准坦克设计!$B$23:$U$23,0)))*(VLOOKUP($B116,INDIRECT($B$5&amp;"生成成长"),3))*(VLOOKUP($B$5,标准坦克设计!$B$14:$K$20,9)/30))</f>
        <v>3.4704520981975464</v>
      </c>
      <c r="CB116" s="172">
        <f ca="1">(VLOOKUP(CB$72,INDIRECT($C$5&amp;"生成成长"),2))/((VLOOKUP($B116,INDIRECT($B$5&amp;"生成成长"),4))/(VLOOKUP(CB$72,INDIRECT($C$5&amp;"生成成长"),5))*(VLOOKUP($B$5,标准坦克设计!$B$24:$U$30,MATCH("对"&amp;LEFT($C$5,2)&amp;"输出",标准坦克设计!$B$23:$U$23,0)))*(VLOOKUP($B116,INDIRECT($B$5&amp;"生成成长"),3))*(VLOOKUP($B$5,标准坦克设计!$B$14:$K$20,9)/30))</f>
        <v>3.7829537523270003</v>
      </c>
      <c r="CC116" s="172">
        <f ca="1">(VLOOKUP(CC$72,INDIRECT($C$5&amp;"生成成长"),2))/((VLOOKUP($B116,INDIRECT($B$5&amp;"生成成长"),4))/(VLOOKUP(CC$72,INDIRECT($C$5&amp;"生成成长"),5))*(VLOOKUP($B$5,标准坦克设计!$B$24:$U$30,MATCH("对"&amp;LEFT($C$5,2)&amp;"输出",标准坦克设计!$B$23:$U$23,0)))*(VLOOKUP($B116,INDIRECT($B$5&amp;"生成成长"),3))*(VLOOKUP($B$5,标准坦克设计!$B$14:$K$20,9)/30))</f>
        <v>4.1089253053413435</v>
      </c>
      <c r="CD116" s="172">
        <f ca="1">(VLOOKUP(CD$72,INDIRECT($C$5&amp;"生成成长"),2))/((VLOOKUP($B116,INDIRECT($B$5&amp;"生成成长"),4))/(VLOOKUP(CD$72,INDIRECT($C$5&amp;"生成成长"),5))*(VLOOKUP($B$5,标准坦克设计!$B$24:$U$30,MATCH("对"&amp;LEFT($C$5,2)&amp;"输出",标准坦克设计!$B$23:$U$23,0)))*(VLOOKUP($B116,INDIRECT($B$5&amp;"生成成长"),3))*(VLOOKUP($B$5,标准坦克设计!$B$14:$K$20,9)/30))</f>
        <v>4.4483667572405787</v>
      </c>
      <c r="CE116" s="172">
        <f ca="1">(VLOOKUP(CE$72,INDIRECT($C$5&amp;"生成成长"),2))/((VLOOKUP($B116,INDIRECT($B$5&amp;"生成成长"),4))/(VLOOKUP(CE$72,INDIRECT($C$5&amp;"生成成长"),5))*(VLOOKUP($B$5,标准坦克设计!$B$24:$U$30,MATCH("对"&amp;LEFT($C$5,2)&amp;"输出",标准坦克设计!$B$23:$U$23,0)))*(VLOOKUP($B116,INDIRECT($B$5&amp;"生成成长"),3))*(VLOOKUP($B$5,标准坦克设计!$B$14:$K$20,9)/30))</f>
        <v>4.8012781080247029</v>
      </c>
      <c r="CF116" s="172">
        <f ca="1">(VLOOKUP(CF$72,INDIRECT($C$5&amp;"生成成长"),2))/((VLOOKUP($B116,INDIRECT($B$5&amp;"生成成长"),4))/(VLOOKUP(CF$72,INDIRECT($C$5&amp;"生成成长"),5))*(VLOOKUP($B$5,标准坦克设计!$B$24:$U$30,MATCH("对"&amp;LEFT($C$5,2)&amp;"输出",标准坦克设计!$B$23:$U$23,0)))*(VLOOKUP($B116,INDIRECT($B$5&amp;"生成成长"),3))*(VLOOKUP($B$5,标准坦克设计!$B$14:$K$20,9)/30))</f>
        <v>5.1676593576937178</v>
      </c>
      <c r="CG116" s="172">
        <f ca="1">(VLOOKUP(CG$72,INDIRECT($C$5&amp;"生成成长"),2))/((VLOOKUP($B116,INDIRECT($B$5&amp;"生成成长"),4))/(VLOOKUP(CG$72,INDIRECT($C$5&amp;"生成成长"),5))*(VLOOKUP($B$5,标准坦克设计!$B$24:$U$30,MATCH("对"&amp;LEFT($C$5,2)&amp;"输出",标准坦克设计!$B$23:$U$23,0)))*(VLOOKUP($B116,INDIRECT($B$5&amp;"生成成长"),3))*(VLOOKUP($B$5,标准坦克设计!$B$14:$K$20,9)/30))</f>
        <v>5.5475105062476233</v>
      </c>
      <c r="CH116" s="172">
        <f ca="1">(VLOOKUP(CH$72,INDIRECT($C$5&amp;"生成成长"),2))/((VLOOKUP($B116,INDIRECT($B$5&amp;"生成成长"),4))/(VLOOKUP(CH$72,INDIRECT($C$5&amp;"生成成长"),5))*(VLOOKUP($B$5,标准坦克设计!$B$24:$U$30,MATCH("对"&amp;LEFT($C$5,2)&amp;"输出",标准坦克设计!$B$23:$U$23,0)))*(VLOOKUP($B116,INDIRECT($B$5&amp;"生成成长"),3))*(VLOOKUP($B$5,标准坦克设计!$B$14:$K$20,9)/30))</f>
        <v>5.9408315536864187</v>
      </c>
      <c r="CI116" s="172">
        <f ca="1">(VLOOKUP(CI$72,INDIRECT($C$5&amp;"生成成长"),2))/((VLOOKUP($B116,INDIRECT($B$5&amp;"生成成长"),4))/(VLOOKUP(CI$72,INDIRECT($C$5&amp;"生成成长"),5))*(VLOOKUP($B$5,标准坦克设计!$B$24:$U$30,MATCH("对"&amp;LEFT($C$5,2)&amp;"输出",标准坦克设计!$B$23:$U$23,0)))*(VLOOKUP($B116,INDIRECT($B$5&amp;"生成成长"),3))*(VLOOKUP($B$5,标准坦克设计!$B$14:$K$20,9)/30))</f>
        <v>6.3890424390811402</v>
      </c>
      <c r="CJ116" s="172">
        <f ca="1">(VLOOKUP(CJ$72,INDIRECT($C$5&amp;"生成成长"),2))/((VLOOKUP($B116,INDIRECT($B$5&amp;"生成成长"),4))/(VLOOKUP(CJ$72,INDIRECT($C$5&amp;"生成成长"),5))*(VLOOKUP($B$5,标准坦克设计!$B$24:$U$30,MATCH("对"&amp;LEFT($C$5,2)&amp;"输出",标准坦克设计!$B$23:$U$23,0)))*(VLOOKUP($B116,INDIRECT($B$5&amp;"生成成长"),3))*(VLOOKUP($B$5,标准坦克设计!$B$14:$K$20,9)/30))</f>
        <v>6.8535519021265809</v>
      </c>
      <c r="CK116" s="172">
        <f ca="1">(VLOOKUP(CK$72,INDIRECT($C$5&amp;"生成成长"),2))/((VLOOKUP($B116,INDIRECT($B$5&amp;"生成成长"),4))/(VLOOKUP(CK$72,INDIRECT($C$5&amp;"生成成长"),5))*(VLOOKUP($B$5,标准坦克设计!$B$24:$U$30,MATCH("对"&amp;LEFT($C$5,2)&amp;"输出",标准坦克设计!$B$23:$U$23,0)))*(VLOOKUP($B116,INDIRECT($B$5&amp;"生成成长"),3))*(VLOOKUP($B$5,标准坦克设计!$B$14:$K$20,9)/30))</f>
        <v>7.3343599428227382</v>
      </c>
      <c r="CL116" s="172">
        <f ca="1">(VLOOKUP(CL$72,INDIRECT($C$5&amp;"生成成长"),2))/((VLOOKUP($B116,INDIRECT($B$5&amp;"生成成长"),4))/(VLOOKUP(CL$72,INDIRECT($C$5&amp;"生成成长"),5))*(VLOOKUP($B$5,标准坦克设计!$B$24:$U$30,MATCH("对"&amp;LEFT($C$5,2)&amp;"输出",标准坦克设计!$B$23:$U$23,0)))*(VLOOKUP($B116,INDIRECT($B$5&amp;"生成成长"),3))*(VLOOKUP($B$5,标准坦克设计!$B$14:$K$20,9)/30))</f>
        <v>7.8314665611696119</v>
      </c>
      <c r="CM116" s="172">
        <f ca="1">(VLOOKUP(CM$72,INDIRECT($C$5&amp;"生成成长"),2))/((VLOOKUP($B116,INDIRECT($B$5&amp;"生成成长"),4))/(VLOOKUP(CM$72,INDIRECT($C$5&amp;"生成成长"),5))*(VLOOKUP($B$5,标准坦克设计!$B$24:$U$30,MATCH("对"&amp;LEFT($C$5,2)&amp;"输出",标准坦克设计!$B$23:$U$23,0)))*(VLOOKUP($B116,INDIRECT($B$5&amp;"生成成长"),3))*(VLOOKUP($B$5,标准坦克设计!$B$14:$K$20,9)/30))</f>
        <v>8.3448717571672066</v>
      </c>
      <c r="CN116" s="172">
        <f ca="1">(VLOOKUP(CN$72,INDIRECT($C$5&amp;"生成成长"),2))/((VLOOKUP($B116,INDIRECT($B$5&amp;"生成成长"),4))/(VLOOKUP(CN$72,INDIRECT($C$5&amp;"生成成长"),5))*(VLOOKUP($B$5,标准坦克设计!$B$24:$U$30,MATCH("对"&amp;LEFT($C$5,2)&amp;"输出",标准坦克设计!$B$23:$U$23,0)))*(VLOOKUP($B116,INDIRECT($B$5&amp;"生成成长"),3))*(VLOOKUP($B$5,标准坦克设计!$B$14:$K$20,9)/30))</f>
        <v>8.8745755308155108</v>
      </c>
      <c r="CO116" s="172">
        <f ca="1">(VLOOKUP(CO$72,INDIRECT($C$5&amp;"生成成长"),2))/((VLOOKUP($B116,INDIRECT($B$5&amp;"生成成长"),4))/(VLOOKUP(CO$72,INDIRECT($C$5&amp;"生成成长"),5))*(VLOOKUP($B$5,标准坦克设计!$B$24:$U$30,MATCH("对"&amp;LEFT($C$5,2)&amp;"输出",标准坦克设计!$B$23:$U$23,0)))*(VLOOKUP($B116,INDIRECT($B$5&amp;"生成成长"),3))*(VLOOKUP($B$5,标准坦克设计!$B$14:$K$20,9)/30))</f>
        <v>3.9769202962694203</v>
      </c>
      <c r="CP116" s="172">
        <f ca="1">(VLOOKUP(CP$72,INDIRECT($C$5&amp;"生成成长"),2))/((VLOOKUP($B116,INDIRECT($B$5&amp;"生成成长"),4))/(VLOOKUP(CP$72,INDIRECT($C$5&amp;"生成成长"),5))*(VLOOKUP($B$5,标准坦克设计!$B$24:$U$30,MATCH("对"&amp;LEFT($C$5,2)&amp;"输出",标准坦克设计!$B$23:$U$23,0)))*(VLOOKUP($B116,INDIRECT($B$5&amp;"生成成长"),3))*(VLOOKUP($B$5,标准坦克设计!$B$14:$K$20,9)/30))</f>
        <v>4.3451199822878941</v>
      </c>
      <c r="CQ116" s="172">
        <f ca="1">(VLOOKUP(CQ$72,INDIRECT($C$5&amp;"生成成长"),2))/((VLOOKUP($B116,INDIRECT($B$5&amp;"生成成长"),4))/(VLOOKUP(CQ$72,INDIRECT($C$5&amp;"生成成长"),5))*(VLOOKUP($B$5,标准坦克设计!$B$24:$U$30,MATCH("对"&amp;LEFT($C$5,2)&amp;"输出",标准坦克设计!$B$23:$U$23,0)))*(VLOOKUP($B116,INDIRECT($B$5&amp;"生成成长"),3))*(VLOOKUP($B$5,标准坦克设计!$B$14:$K$20,9)/30))</f>
        <v>4.729618245957087</v>
      </c>
      <c r="CR116" s="172">
        <f ca="1">(VLOOKUP(CR$72,INDIRECT($C$5&amp;"生成成长"),2))/((VLOOKUP($B116,INDIRECT($B$5&amp;"生成成长"),4))/(VLOOKUP(CR$72,INDIRECT($C$5&amp;"生成成长"),5))*(VLOOKUP($B$5,标准坦克设计!$B$24:$U$30,MATCH("对"&amp;LEFT($C$5,2)&amp;"输出",标准坦克设计!$B$23:$U$23,0)))*(VLOOKUP($B116,INDIRECT($B$5&amp;"生成成长"),3))*(VLOOKUP($B$5,标准坦克设计!$B$14:$K$20,9)/30))</f>
        <v>5.1304150872769956</v>
      </c>
      <c r="CS116" s="172">
        <f ca="1">(VLOOKUP(CS$72,INDIRECT($C$5&amp;"生成成长"),2))/((VLOOKUP($B116,INDIRECT($B$5&amp;"生成成长"),4))/(VLOOKUP(CS$72,INDIRECT($C$5&amp;"生成成长"),5))*(VLOOKUP($B$5,标准坦克设计!$B$24:$U$30,MATCH("对"&amp;LEFT($C$5,2)&amp;"输出",标准坦克设计!$B$23:$U$23,0)))*(VLOOKUP($B116,INDIRECT($B$5&amp;"生成成长"),3))*(VLOOKUP($B$5,标准坦克设计!$B$14:$K$20,9)/30))</f>
        <v>5.5475105062476233</v>
      </c>
      <c r="CT116" s="172">
        <f ca="1">(VLOOKUP(CT$72,INDIRECT($C$5&amp;"生成成长"),2))/((VLOOKUP($B116,INDIRECT($B$5&amp;"生成成长"),4))/(VLOOKUP(CT$72,INDIRECT($C$5&amp;"生成成长"),5))*(VLOOKUP($B$5,标准坦克设计!$B$24:$U$30,MATCH("对"&amp;LEFT($C$5,2)&amp;"输出",标准坦克设计!$B$23:$U$23,0)))*(VLOOKUP($B116,INDIRECT($B$5&amp;"生成成长"),3))*(VLOOKUP($B$5,标准坦克设计!$B$14:$K$20,9)/30))</f>
        <v>5.9809045028689667</v>
      </c>
      <c r="CU116" s="172">
        <f ca="1">(VLOOKUP(CU$72,INDIRECT($C$5&amp;"生成成长"),2))/((VLOOKUP($B116,INDIRECT($B$5&amp;"生成成长"),4))/(VLOOKUP(CU$72,INDIRECT($C$5&amp;"生成成长"),5))*(VLOOKUP($B$5,标准坦克设计!$B$24:$U$30,MATCH("对"&amp;LEFT($C$5,2)&amp;"输出",标准坦克设计!$B$23:$U$23,0)))*(VLOOKUP($B116,INDIRECT($B$5&amp;"生成成长"),3))*(VLOOKUP($B$5,标准坦克设计!$B$14:$K$20,9)/30))</f>
        <v>6.4305970771410266</v>
      </c>
      <c r="CV116" s="172">
        <f ca="1">(VLOOKUP(CV$72,INDIRECT($C$5&amp;"生成成长"),2))/((VLOOKUP($B116,INDIRECT($B$5&amp;"生成成长"),4))/(VLOOKUP(CV$72,INDIRECT($C$5&amp;"生成成长"),5))*(VLOOKUP($B$5,标准坦克设计!$B$24:$U$30,MATCH("对"&amp;LEFT($C$5,2)&amp;"输出",标准坦克设计!$B$23:$U$23,0)))*(VLOOKUP($B116,INDIRECT($B$5&amp;"生成成长"),3))*(VLOOKUP($B$5,标准坦克设计!$B$14:$K$20,9)/30))</f>
        <v>6.8965882290638048</v>
      </c>
      <c r="CW116" s="172">
        <f ca="1">(VLOOKUP(CW$72,INDIRECT($C$5&amp;"生成成长"),2))/((VLOOKUP($B116,INDIRECT($B$5&amp;"生成成长"),4))/(VLOOKUP(CW$72,INDIRECT($C$5&amp;"生成成长"),5))*(VLOOKUP($B$5,标准坦克设计!$B$24:$U$30,MATCH("对"&amp;LEFT($C$5,2)&amp;"输出",标准坦克设计!$B$23:$U$23,0)))*(VLOOKUP($B116,INDIRECT($B$5&amp;"生成成长"),3))*(VLOOKUP($B$5,标准坦克设计!$B$14:$K$20,9)/30))</f>
        <v>7.3788779586373003</v>
      </c>
      <c r="CX116" s="172">
        <f ca="1">(VLOOKUP(CX$72,INDIRECT($C$5&amp;"生成成长"),2))/((VLOOKUP($B116,INDIRECT($B$5&amp;"生成成长"),4))/(VLOOKUP(CX$72,INDIRECT($C$5&amp;"生成成长"),5))*(VLOOKUP($B$5,标准坦克设计!$B$24:$U$30,MATCH("对"&amp;LEFT($C$5,2)&amp;"输出",标准坦克设计!$B$23:$U$23,0)))*(VLOOKUP($B116,INDIRECT($B$5&amp;"生成成长"),3))*(VLOOKUP($B$5,标准坦克设计!$B$14:$K$20,9)/30))</f>
        <v>7.8774662658615124</v>
      </c>
      <c r="CY116" s="172">
        <f ca="1">(VLOOKUP(CY$72,INDIRECT($C$5&amp;"生成成长"),2))/((VLOOKUP($B116,INDIRECT($B$5&amp;"生成成长"),4))/(VLOOKUP(CY$72,INDIRECT($C$5&amp;"生成成长"),5))*(VLOOKUP($B$5,标准坦克设计!$B$24:$U$30,MATCH("对"&amp;LEFT($C$5,2)&amp;"输出",标准坦克设计!$B$23:$U$23,0)))*(VLOOKUP($B116,INDIRECT($B$5&amp;"生成成长"),3))*(VLOOKUP($B$5,标准坦克设计!$B$14:$K$20,9)/30))</f>
        <v>8.3923531507364402</v>
      </c>
      <c r="CZ116" s="172">
        <f ca="1">(VLOOKUP(CZ$72,INDIRECT($C$5&amp;"生成成长"),2))/((VLOOKUP($B116,INDIRECT($B$5&amp;"生成成长"),4))/(VLOOKUP(CZ$72,INDIRECT($C$5&amp;"生成成长"),5))*(VLOOKUP($B$5,标准坦克设计!$B$24:$U$30,MATCH("对"&amp;LEFT($C$5,2)&amp;"输出",标准坦克设计!$B$23:$U$23,0)))*(VLOOKUP($B116,INDIRECT($B$5&amp;"生成成长"),3))*(VLOOKUP($B$5,标准坦克设计!$B$14:$K$20,9)/30))</f>
        <v>8.9235386132620889</v>
      </c>
      <c r="DA116" s="172">
        <f ca="1">(VLOOKUP(DA$72,INDIRECT($C$5&amp;"生成成长"),2))/((VLOOKUP($B116,INDIRECT($B$5&amp;"生成成长"),4))/(VLOOKUP(DA$72,INDIRECT($C$5&amp;"生成成长"),5))*(VLOOKUP($B$5,标准坦克设计!$B$24:$U$30,MATCH("对"&amp;LEFT($C$5,2)&amp;"输出",标准坦克设计!$B$23:$U$23,0)))*(VLOOKUP($B116,INDIRECT($B$5&amp;"生成成长"),3))*(VLOOKUP($B$5,标准坦克设计!$B$14:$K$20,9)/30))</f>
        <v>9.4710226534384532</v>
      </c>
      <c r="DB116" s="172">
        <f ca="1">(VLOOKUP(DB$72,INDIRECT($C$5&amp;"生成成长"),2))/((VLOOKUP($B116,INDIRECT($B$5&amp;"生成成长"),4))/(VLOOKUP(DB$72,INDIRECT($C$5&amp;"生成成长"),5))*(VLOOKUP($B$5,标准坦克设计!$B$24:$U$30,MATCH("对"&amp;LEFT($C$5,2)&amp;"输出",标准坦克设计!$B$23:$U$23,0)))*(VLOOKUP($B116,INDIRECT($B$5&amp;"生成成长"),3))*(VLOOKUP($B$5,标准坦克设计!$B$14:$K$20,9)/30))</f>
        <v>10.034805271265535</v>
      </c>
      <c r="DC116" s="172">
        <f ca="1">(VLOOKUP(DC$72,INDIRECT($C$5&amp;"生成成长"),2))/((VLOOKUP($B116,INDIRECT($B$5&amp;"生成成长"),4))/(VLOOKUP(DC$72,INDIRECT($C$5&amp;"生成成长"),5))*(VLOOKUP($B$5,标准坦克设计!$B$24:$U$30,MATCH("对"&amp;LEFT($C$5,2)&amp;"输出",标准坦克设计!$B$23:$U$23,0)))*(VLOOKUP($B116,INDIRECT($B$5&amp;"生成成长"),3))*(VLOOKUP($B$5,标准坦克设计!$B$14:$K$20,9)/30))</f>
        <v>10.668429314810771</v>
      </c>
      <c r="DD116" s="172">
        <f ca="1">(VLOOKUP(DD$72,INDIRECT($C$5&amp;"生成成长"),2))/((VLOOKUP($B116,INDIRECT($B$5&amp;"生成成长"),4))/(VLOOKUP(DD$72,INDIRECT($C$5&amp;"生成成长"),5))*(VLOOKUP($B$5,标准坦克设计!$B$24:$U$30,MATCH("对"&amp;LEFT($C$5,2)&amp;"输出",标准坦克设计!$B$23:$U$23,0)))*(VLOOKUP($B116,INDIRECT($B$5&amp;"生成成长"),3))*(VLOOKUP($B$5,标准坦克设计!$B$14:$K$20,9)/30))</f>
        <v>11.321450012750251</v>
      </c>
      <c r="DE116" s="172">
        <f ca="1">(VLOOKUP(DE$72,INDIRECT($C$5&amp;"生成成长"),2))/((VLOOKUP($B116,INDIRECT($B$5&amp;"生成成长"),4))/(VLOOKUP(DE$72,INDIRECT($C$5&amp;"生成成长"),5))*(VLOOKUP($B$5,标准坦克设计!$B$24:$U$30,MATCH("对"&amp;LEFT($C$5,2)&amp;"输出",标准坦克设计!$B$23:$U$23,0)))*(VLOOKUP($B116,INDIRECT($B$5&amp;"生成成长"),3))*(VLOOKUP($B$5,标准坦克设计!$B$14:$K$20,9)/30))</f>
        <v>11.99386736508397</v>
      </c>
      <c r="DF116" s="172">
        <f ca="1">(VLOOKUP(DF$72,INDIRECT($C$5&amp;"生成成长"),2))/((VLOOKUP($B116,INDIRECT($B$5&amp;"生成成长"),4))/(VLOOKUP(DF$72,INDIRECT($C$5&amp;"生成成长"),5))*(VLOOKUP($B$5,标准坦克设计!$B$24:$U$30,MATCH("对"&amp;LEFT($C$5,2)&amp;"输出",标准坦克设计!$B$23:$U$23,0)))*(VLOOKUP($B116,INDIRECT($B$5&amp;"生成成长"),3))*(VLOOKUP($B$5,标准坦克设计!$B$14:$K$20,9)/30))</f>
        <v>12.685681371811933</v>
      </c>
      <c r="DG116" s="172">
        <f ca="1">(VLOOKUP(DG$72,INDIRECT($C$5&amp;"生成成长"),2))/((VLOOKUP($B116,INDIRECT($B$5&amp;"生成成长"),4))/(VLOOKUP(DG$72,INDIRECT($C$5&amp;"生成成长"),5))*(VLOOKUP($B$5,标准坦克设计!$B$24:$U$30,MATCH("对"&amp;LEFT($C$5,2)&amp;"输出",标准坦克设计!$B$23:$U$23,0)))*(VLOOKUP($B116,INDIRECT($B$5&amp;"生成成长"),3))*(VLOOKUP($B$5,标准坦克设计!$B$14:$K$20,9)/30))</f>
        <v>13.39689203293414</v>
      </c>
      <c r="DH116" s="172">
        <f ca="1">(VLOOKUP(DH$72,INDIRECT($C$5&amp;"生成成长"),2))/((VLOOKUP($B116,INDIRECT($B$5&amp;"生成成长"),4))/(VLOOKUP(DH$72,INDIRECT($C$5&amp;"生成成长"),5))*(VLOOKUP($B$5,标准坦克设计!$B$24:$U$30,MATCH("对"&amp;LEFT($C$5,2)&amp;"输出",标准坦克设计!$B$23:$U$23,0)))*(VLOOKUP($B116,INDIRECT($B$5&amp;"生成成长"),3))*(VLOOKUP($B$5,标准坦克设计!$B$14:$K$20,9)/30))</f>
        <v>14.127499348450588</v>
      </c>
      <c r="DI116" s="172">
        <f ca="1">(VLOOKUP(DI$72,INDIRECT($C$5&amp;"生成成长"),2))/((VLOOKUP($B116,INDIRECT($B$5&amp;"生成成长"),4))/(VLOOKUP(DI$72,INDIRECT($C$5&amp;"生成成长"),5))*(VLOOKUP($B$5,标准坦克设计!$B$24:$U$30,MATCH("对"&amp;LEFT($C$5,2)&amp;"输出",标准坦克设计!$B$23:$U$23,0)))*(VLOOKUP($B116,INDIRECT($B$5&amp;"生成成长"),3))*(VLOOKUP($B$5,标准坦克设计!$B$14:$K$20,9)/30))</f>
        <v>14.877503318361274</v>
      </c>
      <c r="DJ116" s="172">
        <f ca="1">(VLOOKUP(DJ$72,INDIRECT($C$5&amp;"生成成长"),2))/((VLOOKUP($B116,INDIRECT($B$5&amp;"生成成长"),4))/(VLOOKUP(DJ$72,INDIRECT($C$5&amp;"生成成长"),5))*(VLOOKUP($B$5,标准坦克设计!$B$24:$U$30,MATCH("对"&amp;LEFT($C$5,2)&amp;"输出",标准坦克设计!$B$23:$U$23,0)))*(VLOOKUP($B116,INDIRECT($B$5&amp;"生成成长"),3))*(VLOOKUP($B$5,标准坦克设计!$B$14:$K$20,9)/30))</f>
        <v>1.4952261257172417</v>
      </c>
      <c r="DK116" s="172">
        <f ca="1">(VLOOKUP(DK$72,INDIRECT($C$5&amp;"生成成长"),2))/((VLOOKUP($B116,INDIRECT($B$5&amp;"生成成长"),4))/(VLOOKUP(DK$72,INDIRECT($C$5&amp;"生成成长"),5))*(VLOOKUP($B$5,标准坦克设计!$B$24:$U$30,MATCH("对"&amp;LEFT($C$5,2)&amp;"输出",标准坦克设计!$B$23:$U$23,0)))*(VLOOKUP($B116,INDIRECT($B$5&amp;"生成成长"),3))*(VLOOKUP($B$5,标准坦克设计!$B$14:$K$20,9)/30))</f>
        <v>1.6813127788120004</v>
      </c>
      <c r="DL116" s="172">
        <f ca="1">(VLOOKUP(DL$72,INDIRECT($C$5&amp;"生成成长"),2))/((VLOOKUP($B116,INDIRECT($B$5&amp;"生成成长"),4))/(VLOOKUP(DL$72,INDIRECT($C$5&amp;"生成成长"),5))*(VLOOKUP($B$5,标准坦克设计!$B$24:$U$30,MATCH("对"&amp;LEFT($C$5,2)&amp;"输出",标准坦克设计!$B$23:$U$23,0)))*(VLOOKUP($B116,INDIRECT($B$5&amp;"生成成长"),3))*(VLOOKUP($B$5,标准坦克设计!$B$14:$K$20,9)/30))</f>
        <v>1.8783100500035197</v>
      </c>
      <c r="DM116" s="172">
        <f ca="1">(VLOOKUP(DM$72,INDIRECT($C$5&amp;"生成成长"),2))/((VLOOKUP($B116,INDIRECT($B$5&amp;"生成成长"),4))/(VLOOKUP(DM$72,INDIRECT($C$5&amp;"生成成长"),5))*(VLOOKUP($B$5,标准坦克设计!$B$24:$U$30,MATCH("对"&amp;LEFT($C$5,2)&amp;"输出",标准坦克设计!$B$23:$U$23,0)))*(VLOOKUP($B116,INDIRECT($B$5&amp;"生成成长"),3))*(VLOOKUP($B$5,标准坦克设计!$B$14:$K$20,9)/30))</f>
        <v>2.0862179392918017</v>
      </c>
      <c r="DN116" s="172">
        <f ca="1">(VLOOKUP(DN$72,INDIRECT($C$5&amp;"生成成长"),2))/((VLOOKUP($B116,INDIRECT($B$5&amp;"生成成长"),4))/(VLOOKUP(DN$72,INDIRECT($C$5&amp;"生成成长"),5))*(VLOOKUP($B$5,标准坦克设计!$B$24:$U$30,MATCH("对"&amp;LEFT($C$5,2)&amp;"输出",标准坦克设计!$B$23:$U$23,0)))*(VLOOKUP($B116,INDIRECT($B$5&amp;"生成成长"),3))*(VLOOKUP($B$5,标准坦克设计!$B$14:$K$20,9)/30))</f>
        <v>2.3050364466768434</v>
      </c>
      <c r="DO116" s="172">
        <f ca="1">(VLOOKUP(DO$72,INDIRECT($C$5&amp;"生成成长"),2))/((VLOOKUP($B116,INDIRECT($B$5&amp;"生成成长"),4))/(VLOOKUP(DO$72,INDIRECT($C$5&amp;"生成成长"),5))*(VLOOKUP($B$5,标准坦克设计!$B$24:$U$30,MATCH("对"&amp;LEFT($C$5,2)&amp;"输出",标准坦克设计!$B$23:$U$23,0)))*(VLOOKUP($B116,INDIRECT($B$5&amp;"生成成长"),3))*(VLOOKUP($B$5,标准坦克设计!$B$14:$K$20,9)/30))</f>
        <v>2.534765572158646</v>
      </c>
      <c r="DP116" s="172">
        <f ca="1">(VLOOKUP(DP$72,INDIRECT($C$5&amp;"生成成长"),2))/((VLOOKUP($B116,INDIRECT($B$5&amp;"生成成长"),4))/(VLOOKUP(DP$72,INDIRECT($C$5&amp;"生成成长"),5))*(VLOOKUP($B$5,标准坦克设计!$B$24:$U$30,MATCH("对"&amp;LEFT($C$5,2)&amp;"输出",标准坦克设计!$B$23:$U$23,0)))*(VLOOKUP($B116,INDIRECT($B$5&amp;"生成成长"),3))*(VLOOKUP($B$5,标准坦克设计!$B$14:$K$20,9)/30))</f>
        <v>2.7754053157372103</v>
      </c>
      <c r="DQ116" s="172">
        <f ca="1">(VLOOKUP(DQ$72,INDIRECT($C$5&amp;"生成成长"),2))/((VLOOKUP($B116,INDIRECT($B$5&amp;"生成成长"),4))/(VLOOKUP(DQ$72,INDIRECT($C$5&amp;"生成成长"),5))*(VLOOKUP($B$5,标准坦克设计!$B$24:$U$30,MATCH("对"&amp;LEFT($C$5,2)&amp;"输出",标准坦克设计!$B$23:$U$23,0)))*(VLOOKUP($B116,INDIRECT($B$5&amp;"生成成长"),3))*(VLOOKUP($B$5,标准坦克设计!$B$14:$K$20,9)/30))</f>
        <v>3.0269556774125355</v>
      </c>
      <c r="DR116" s="172">
        <f ca="1">(VLOOKUP(DR$72,INDIRECT($C$5&amp;"生成成长"),2))/((VLOOKUP($B116,INDIRECT($B$5&amp;"生成成长"),4))/(VLOOKUP(DR$72,INDIRECT($C$5&amp;"生成成长"),5))*(VLOOKUP($B$5,标准坦克设计!$B$24:$U$30,MATCH("对"&amp;LEFT($C$5,2)&amp;"输出",标准坦克设计!$B$23:$U$23,0)))*(VLOOKUP($B116,INDIRECT($B$5&amp;"生成成长"),3))*(VLOOKUP($B$5,标准坦克设计!$B$14:$K$20,9)/30))</f>
        <v>3.289416657184622</v>
      </c>
      <c r="DS116" s="172">
        <f ca="1">(VLOOKUP(DS$72,INDIRECT($C$5&amp;"生成成长"),2))/((VLOOKUP($B116,INDIRECT($B$5&amp;"生成成长"),4))/(VLOOKUP(DS$72,INDIRECT($C$5&amp;"生成成长"),5))*(VLOOKUP($B$5,标准坦克设计!$B$24:$U$30,MATCH("对"&amp;LEFT($C$5,2)&amp;"输出",标准坦克设计!$B$23:$U$23,0)))*(VLOOKUP($B116,INDIRECT($B$5&amp;"生成成长"),3))*(VLOOKUP($B$5,标准坦克设计!$B$14:$K$20,9)/30))</f>
        <v>3.5627882550534697</v>
      </c>
      <c r="DT116" s="172">
        <f ca="1">(VLOOKUP(DT$72,INDIRECT($C$5&amp;"生成成长"),2))/((VLOOKUP($B116,INDIRECT($B$5&amp;"生成成长"),4))/(VLOOKUP(DT$72,INDIRECT($C$5&amp;"生成成长"),5))*(VLOOKUP($B$5,标准坦克设计!$B$24:$U$30,MATCH("对"&amp;LEFT($C$5,2)&amp;"输出",标准坦克设计!$B$23:$U$23,0)))*(VLOOKUP($B116,INDIRECT($B$5&amp;"生成成长"),3))*(VLOOKUP($B$5,标准坦克设计!$B$14:$K$20,9)/30))</f>
        <v>3.9117259856665516</v>
      </c>
      <c r="DU116" s="172">
        <f ca="1">(VLOOKUP(DU$72,INDIRECT($C$5&amp;"生成成长"),2))/((VLOOKUP($B116,INDIRECT($B$5&amp;"生成成长"),4))/(VLOOKUP(DU$72,INDIRECT($C$5&amp;"生成成长"),5))*(VLOOKUP($B$5,标准坦克设计!$B$24:$U$30,MATCH("对"&amp;LEFT($C$5,2)&amp;"输出",标准坦克设计!$B$23:$U$23,0)))*(VLOOKUP($B116,INDIRECT($B$5&amp;"生成成长"),3))*(VLOOKUP($B$5,标准坦克设计!$B$14:$K$20,9)/30))</f>
        <v>4.2769622939303495</v>
      </c>
      <c r="DV116" s="172">
        <f ca="1">(VLOOKUP(DV$72,INDIRECT($C$5&amp;"生成成长"),2))/((VLOOKUP($B116,INDIRECT($B$5&amp;"生成成长"),4))/(VLOOKUP(DV$72,INDIRECT($C$5&amp;"生成成长"),5))*(VLOOKUP($B$5,标准坦克设计!$B$24:$U$30,MATCH("对"&amp;LEFT($C$5,2)&amp;"输出",标准坦克设计!$B$23:$U$23,0)))*(VLOOKUP($B116,INDIRECT($B$5&amp;"生成成长"),3))*(VLOOKUP($B$5,标准坦克设计!$B$14:$K$20,9)/30))</f>
        <v>4.6584971798448667</v>
      </c>
      <c r="DW116" s="172">
        <f ca="1">(VLOOKUP(DW$72,INDIRECT($C$5&amp;"生成成长"),2))/((VLOOKUP($B116,INDIRECT($B$5&amp;"生成成长"),4))/(VLOOKUP(DW$72,INDIRECT($C$5&amp;"生成成长"),5))*(VLOOKUP($B$5,标准坦克设计!$B$24:$U$30,MATCH("对"&amp;LEFT($C$5,2)&amp;"输出",标准坦克设计!$B$23:$U$23,0)))*(VLOOKUP($B116,INDIRECT($B$5&amp;"生成成长"),3))*(VLOOKUP($B$5,标准坦克设计!$B$14:$K$20,9)/30))</f>
        <v>5.0563306434100994</v>
      </c>
      <c r="DX116" s="172">
        <f ca="1">(VLOOKUP(DX$72,INDIRECT($C$5&amp;"生成成长"),2))/((VLOOKUP($B116,INDIRECT($B$5&amp;"生成成长"),4))/(VLOOKUP(DX$72,INDIRECT($C$5&amp;"生成成长"),5))*(VLOOKUP($B$5,标准坦克设计!$B$24:$U$30,MATCH("对"&amp;LEFT($C$5,2)&amp;"输出",标准坦克设计!$B$23:$U$23,0)))*(VLOOKUP($B116,INDIRECT($B$5&amp;"生成成长"),3))*(VLOOKUP($B$5,标准坦克设计!$B$14:$K$20,9)/30))</f>
        <v>5.4704626846260505</v>
      </c>
      <c r="DY116" s="172">
        <f ca="1">(VLOOKUP(DY$72,INDIRECT($C$5&amp;"生成成长"),2))/((VLOOKUP($B116,INDIRECT($B$5&amp;"生成成长"),4))/(VLOOKUP(DY$72,INDIRECT($C$5&amp;"生成成长"),5))*(VLOOKUP($B$5,标准坦克设计!$B$24:$U$30,MATCH("对"&amp;LEFT($C$5,2)&amp;"输出",标准坦克设计!$B$23:$U$23,0)))*(VLOOKUP($B116,INDIRECT($B$5&amp;"生成成长"),3))*(VLOOKUP($B$5,标准坦克设计!$B$14:$K$20,9)/30))</f>
        <v>2.4569769060984052</v>
      </c>
      <c r="DZ116" s="172">
        <f ca="1">(VLOOKUP(DZ$72,INDIRECT($C$5&amp;"生成成长"),2))/((VLOOKUP($B116,INDIRECT($B$5&amp;"生成成长"),4))/(VLOOKUP(DZ$72,INDIRECT($C$5&amp;"生成成长"),5))*(VLOOKUP($B$5,标准坦克设计!$B$24:$U$30,MATCH("对"&amp;LEFT($C$5,2)&amp;"输出",标准坦克设计!$B$23:$U$23,0)))*(VLOOKUP($B116,INDIRECT($B$5&amp;"生成成长"),3))*(VLOOKUP($B$5,标准坦克设计!$B$14:$K$20,9)/30))</f>
        <v>2.7209869242422537</v>
      </c>
      <c r="EA116" s="172">
        <f ca="1">(VLOOKUP(EA$72,INDIRECT($C$5&amp;"生成成长"),2))/((VLOOKUP($B116,INDIRECT($B$5&amp;"生成成长"),4))/(VLOOKUP(EA$72,INDIRECT($C$5&amp;"生成成长"),5))*(VLOOKUP($B$5,标准坦克设计!$B$24:$U$30,MATCH("对"&amp;LEFT($C$5,2)&amp;"输出",标准坦克设计!$B$23:$U$23,0)))*(VLOOKUP($B116,INDIRECT($B$5&amp;"生成成长"),3))*(VLOOKUP($B$5,标准坦克设计!$B$14:$K$20,9)/30))</f>
        <v>2.9984668412709925</v>
      </c>
      <c r="EB116" s="172">
        <f ca="1">(VLOOKUP(EB$72,INDIRECT($C$5&amp;"生成成长"),2))/((VLOOKUP($B116,INDIRECT($B$5&amp;"生成成长"),4))/(VLOOKUP(EB$72,INDIRECT($C$5&amp;"生成成长"),5))*(VLOOKUP($B$5,标准坦克设计!$B$24:$U$30,MATCH("对"&amp;LEFT($C$5,2)&amp;"输出",标准坦克设计!$B$23:$U$23,0)))*(VLOOKUP($B116,INDIRECT($B$5&amp;"生成成长"),3))*(VLOOKUP($B$5,标准坦克设计!$B$14:$K$20,9)/30))</f>
        <v>3.289416657184622</v>
      </c>
      <c r="EC116" s="172">
        <f ca="1">(VLOOKUP(EC$72,INDIRECT($C$5&amp;"生成成长"),2))/((VLOOKUP($B116,INDIRECT($B$5&amp;"生成成长"),4))/(VLOOKUP(EC$72,INDIRECT($C$5&amp;"生成成长"),5))*(VLOOKUP($B$5,标准坦克设计!$B$24:$U$30,MATCH("对"&amp;LEFT($C$5,2)&amp;"输出",标准坦克设计!$B$23:$U$23,0)))*(VLOOKUP($B116,INDIRECT($B$5&amp;"生成成长"),3))*(VLOOKUP($B$5,标准坦克设计!$B$14:$K$20,9)/30))</f>
        <v>3.5938363719831417</v>
      </c>
      <c r="ED116" s="172">
        <f ca="1">(VLOOKUP(ED$72,INDIRECT($C$5&amp;"生成成长"),2))/((VLOOKUP($B116,INDIRECT($B$5&amp;"生成成长"),4))/(VLOOKUP(ED$72,INDIRECT($C$5&amp;"生成成长"),5))*(VLOOKUP($B$5,标准坦克设计!$B$24:$U$30,MATCH("对"&amp;LEFT($C$5,2)&amp;"输出",标准坦克设计!$B$23:$U$23,0)))*(VLOOKUP($B116,INDIRECT($B$5&amp;"生成成长"),3))*(VLOOKUP($B$5,标准坦克设计!$B$14:$K$20,9)/30))</f>
        <v>3.9117259856665516</v>
      </c>
      <c r="EE116" s="172">
        <f ca="1">(VLOOKUP(EE$72,INDIRECT($C$5&amp;"生成成长"),2))/((VLOOKUP($B116,INDIRECT($B$5&amp;"生成成长"),4))/(VLOOKUP(EE$72,INDIRECT($C$5&amp;"生成成长"),5))*(VLOOKUP($B$5,标准坦克设计!$B$24:$U$30,MATCH("对"&amp;LEFT($C$5,2)&amp;"输出",标准坦克设计!$B$23:$U$23,0)))*(VLOOKUP($B116,INDIRECT($B$5&amp;"生成成长"),3))*(VLOOKUP($B$5,标准坦克设计!$B$14:$K$20,9)/30))</f>
        <v>4.2430854982348505</v>
      </c>
      <c r="EF116" s="172">
        <f ca="1">(VLOOKUP(EF$72,INDIRECT($C$5&amp;"生成成长"),2))/((VLOOKUP($B116,INDIRECT($B$5&amp;"生成成长"),4))/(VLOOKUP(EF$72,INDIRECT($C$5&amp;"生成成长"),5))*(VLOOKUP($B$5,标准坦克设计!$B$24:$U$30,MATCH("对"&amp;LEFT($C$5,2)&amp;"输出",标准坦克设计!$B$23:$U$23,0)))*(VLOOKUP($B116,INDIRECT($B$5&amp;"生成成长"),3))*(VLOOKUP($B$5,标准坦克设计!$B$14:$K$20,9)/30))</f>
        <v>4.5879149096880409</v>
      </c>
      <c r="EG116" s="172">
        <f ca="1">(VLOOKUP(EG$72,INDIRECT($C$5&amp;"生成成长"),2))/((VLOOKUP($B116,INDIRECT($B$5&amp;"生成成长"),4))/(VLOOKUP(EG$72,INDIRECT($C$5&amp;"生成成长"),5))*(VLOOKUP($B$5,标准坦克设计!$B$24:$U$30,MATCH("对"&amp;LEFT($C$5,2)&amp;"输出",标准坦克设计!$B$23:$U$23,0)))*(VLOOKUP($B116,INDIRECT($B$5&amp;"生成成长"),3))*(VLOOKUP($B$5,标准坦克设计!$B$14:$K$20,9)/30))</f>
        <v>4.946214220026123</v>
      </c>
      <c r="EH116" s="172">
        <f ca="1">(VLOOKUP(EH$72,INDIRECT($C$5&amp;"生成成长"),2))/((VLOOKUP($B116,INDIRECT($B$5&amp;"生成成长"),4))/(VLOOKUP(EH$72,INDIRECT($C$5&amp;"生成成长"),5))*(VLOOKUP($B$5,标准坦克设计!$B$24:$U$30,MATCH("对"&amp;LEFT($C$5,2)&amp;"输出",标准坦克设计!$B$23:$U$23,0)))*(VLOOKUP($B116,INDIRECT($B$5&amp;"生成成长"),3))*(VLOOKUP($B$5,标准坦克设计!$B$14:$K$20,9)/30))</f>
        <v>5.3179834292490931</v>
      </c>
      <c r="EI116" s="172">
        <f ca="1">(VLOOKUP(EI$72,INDIRECT($C$5&amp;"生成成长"),2))/((VLOOKUP($B116,INDIRECT($B$5&amp;"生成成长"),4))/(VLOOKUP(EI$72,INDIRECT($C$5&amp;"生成成长"),5))*(VLOOKUP($B$5,标准坦克设计!$B$24:$U$30,MATCH("对"&amp;LEFT($C$5,2)&amp;"输出",标准坦克设计!$B$23:$U$23,0)))*(VLOOKUP($B116,INDIRECT($B$5&amp;"生成成长"),3))*(VLOOKUP($B$5,标准坦克设计!$B$14:$K$20,9)/30))</f>
        <v>5.7032225373569538</v>
      </c>
      <c r="EJ116" s="172">
        <f ca="1">(VLOOKUP(EJ$72,INDIRECT($C$5&amp;"生成成长"),2))/((VLOOKUP($B116,INDIRECT($B$5&amp;"生成成长"),4))/(VLOOKUP(EJ$72,INDIRECT($C$5&amp;"生成成长"),5))*(VLOOKUP($B$5,标准坦克设计!$B$24:$U$30,MATCH("对"&amp;LEFT($C$5,2)&amp;"输出",标准坦克设计!$B$23:$U$23,0)))*(VLOOKUP($B116,INDIRECT($B$5&amp;"生成成长"),3))*(VLOOKUP($B$5,标准坦克设计!$B$14:$K$20,9)/30))</f>
        <v>6.1019315443497053</v>
      </c>
      <c r="EK116" s="172">
        <f ca="1">(VLOOKUP(EK$72,INDIRECT($C$5&amp;"生成成长"),2))/((VLOOKUP($B116,INDIRECT($B$5&amp;"生成成长"),4))/(VLOOKUP(EK$72,INDIRECT($C$5&amp;"生成成长"),5))*(VLOOKUP($B$5,标准坦克设计!$B$24:$U$30,MATCH("对"&amp;LEFT($C$5,2)&amp;"输出",标准坦克设计!$B$23:$U$23,0)))*(VLOOKUP($B116,INDIRECT($B$5&amp;"生成成长"),3))*(VLOOKUP($B$5,标准坦克设计!$B$14:$K$20,9)/30))</f>
        <v>6.5981626192690621</v>
      </c>
      <c r="EL116" s="172">
        <f ca="1">(VLOOKUP(EL$72,INDIRECT($C$5&amp;"生成成长"),2))/((VLOOKUP($B116,INDIRECT($B$5&amp;"生成成长"),4))/(VLOOKUP(EL$72,INDIRECT($C$5&amp;"生成成长"),5))*(VLOOKUP($B$5,标准坦克设计!$B$24:$U$30,MATCH("对"&amp;LEFT($C$5,2)&amp;"输出",标准坦克设计!$B$23:$U$23,0)))*(VLOOKUP($B116,INDIRECT($B$5&amp;"生成成长"),3))*(VLOOKUP($B$5,标准坦克设计!$B$14:$K$20,9)/30))</f>
        <v>7.1137903485826612</v>
      </c>
      <c r="EM116" s="172">
        <f ca="1">(VLOOKUP(EM$72,INDIRECT($C$5&amp;"生成成长"),2))/((VLOOKUP($B116,INDIRECT($B$5&amp;"生成成长"),4))/(VLOOKUP(EM$72,INDIRECT($C$5&amp;"生成成长"),5))*(VLOOKUP($B$5,标准坦克设计!$B$24:$U$30,MATCH("对"&amp;LEFT($C$5,2)&amp;"输出",标准坦克设计!$B$23:$U$23,0)))*(VLOOKUP($B116,INDIRECT($B$5&amp;"生成成长"),3))*(VLOOKUP($B$5,标准坦克设计!$B$14:$K$20,9)/30))</f>
        <v>7.6488147322904991</v>
      </c>
      <c r="EN116" s="172">
        <f ca="1">(VLOOKUP(EN$72,INDIRECT($C$5&amp;"生成成长"),2))/((VLOOKUP($B116,INDIRECT($B$5&amp;"生成成长"),4))/(VLOOKUP(EN$72,INDIRECT($C$5&amp;"生成成长"),5))*(VLOOKUP($B$5,标准坦克设计!$B$24:$U$30,MATCH("对"&amp;LEFT($C$5,2)&amp;"输出",标准坦克设计!$B$23:$U$23,0)))*(VLOOKUP($B116,INDIRECT($B$5&amp;"生成成长"),3))*(VLOOKUP($B$5,标准坦克设计!$B$14:$K$20,9)/30))</f>
        <v>8.2032357703925847</v>
      </c>
      <c r="EO116" s="172">
        <f ca="1">(VLOOKUP(EO$72,INDIRECT($C$5&amp;"生成成长"),2))/((VLOOKUP($B116,INDIRECT($B$5&amp;"生成成长"),4))/(VLOOKUP(EO$72,INDIRECT($C$5&amp;"生成成长"),5))*(VLOOKUP($B$5,标准坦克设计!$B$24:$U$30,MATCH("对"&amp;LEFT($C$5,2)&amp;"输出",标准坦克设计!$B$23:$U$23,0)))*(VLOOKUP($B116,INDIRECT($B$5&amp;"生成成长"),3))*(VLOOKUP($B$5,标准坦克设计!$B$14:$K$20,9)/30))</f>
        <v>8.7770534628889063</v>
      </c>
      <c r="EP116" s="172">
        <f ca="1">(VLOOKUP(EP$72,INDIRECT($C$5&amp;"生成成长"),2))/((VLOOKUP($B116,INDIRECT($B$5&amp;"生成成长"),4))/(VLOOKUP(EP$72,INDIRECT($C$5&amp;"生成成长"),5))*(VLOOKUP($B$5,标准坦克设计!$B$24:$U$30,MATCH("对"&amp;LEFT($C$5,2)&amp;"输出",标准坦克设计!$B$23:$U$23,0)))*(VLOOKUP($B116,INDIRECT($B$5&amp;"生成成长"),3))*(VLOOKUP($B$5,标准坦克设计!$B$14:$K$20,9)/30))</f>
        <v>9.3702678097794738</v>
      </c>
      <c r="EQ116" s="172">
        <f ca="1">(VLOOKUP(EQ$72,INDIRECT($C$5&amp;"生成成长"),2))/((VLOOKUP($B116,INDIRECT($B$5&amp;"生成成长"),4))/(VLOOKUP(EQ$72,INDIRECT($C$5&amp;"生成成长"),5))*(VLOOKUP($B$5,标准坦克设计!$B$24:$U$30,MATCH("对"&amp;LEFT($C$5,2)&amp;"输出",标准坦克设计!$B$23:$U$23,0)))*(VLOOKUP($B116,INDIRECT($B$5&amp;"生成成长"),3))*(VLOOKUP($B$5,标准坦克设计!$B$14:$K$20,9)/30))</f>
        <v>4.1422633050814479</v>
      </c>
      <c r="ER116" s="172">
        <f ca="1">(VLOOKUP(ER$72,INDIRECT($C$5&amp;"生成成长"),2))/((VLOOKUP($B116,INDIRECT($B$5&amp;"生成成长"),4))/(VLOOKUP(ER$72,INDIRECT($C$5&amp;"生成成长"),5))*(VLOOKUP($B$5,标准坦克设计!$B$24:$U$30,MATCH("对"&amp;LEFT($C$5,2)&amp;"输出",标准坦克设计!$B$23:$U$23,0)))*(VLOOKUP($B116,INDIRECT($B$5&amp;"生成成长"),3))*(VLOOKUP($B$5,标准坦克设计!$B$14:$K$20,9)/30))</f>
        <v>4.5178714354866134</v>
      </c>
      <c r="ES116" s="172">
        <f ca="1">(VLOOKUP(ES$72,INDIRECT($C$5&amp;"生成成长"),2))/((VLOOKUP($B116,INDIRECT($B$5&amp;"生成成长"),4))/(VLOOKUP(ES$72,INDIRECT($C$5&amp;"生成成长"),5))*(VLOOKUP($B$5,标准坦克设计!$B$24:$U$30,MATCH("对"&amp;LEFT($C$5,2)&amp;"输出",标准坦克设计!$B$23:$U$23,0)))*(VLOOKUP($B116,INDIRECT($B$5&amp;"生成成长"),3))*(VLOOKUP($B$5,标准坦克设计!$B$14:$K$20,9)/30))</f>
        <v>4.9097781435424936</v>
      </c>
      <c r="ET116" s="172">
        <f ca="1">(VLOOKUP(ET$72,INDIRECT($C$5&amp;"生成成长"),2))/((VLOOKUP($B116,INDIRECT($B$5&amp;"生成成长"),4))/(VLOOKUP(ET$72,INDIRECT($C$5&amp;"生成成长"),5))*(VLOOKUP($B$5,标准坦克设计!$B$24:$U$30,MATCH("对"&amp;LEFT($C$5,2)&amp;"输出",标准坦克设计!$B$23:$U$23,0)))*(VLOOKUP($B116,INDIRECT($B$5&amp;"生成成长"),3))*(VLOOKUP($B$5,标准坦克设计!$B$14:$K$20,9)/30))</f>
        <v>5.3179834292490931</v>
      </c>
      <c r="EU116" s="172">
        <f ca="1">(VLOOKUP(EU$72,INDIRECT($C$5&amp;"生成成长"),2))/((VLOOKUP($B116,INDIRECT($B$5&amp;"生成成长"),4))/(VLOOKUP(EU$72,INDIRECT($C$5&amp;"生成成长"),5))*(VLOOKUP($B$5,标准坦克设计!$B$24:$U$30,MATCH("对"&amp;LEFT($C$5,2)&amp;"输出",标准坦克设计!$B$23:$U$23,0)))*(VLOOKUP($B116,INDIRECT($B$5&amp;"生成成长"),3))*(VLOOKUP($B$5,标准坦克设计!$B$14:$K$20,9)/30))</f>
        <v>5.742487292606409</v>
      </c>
      <c r="EV116" s="172">
        <f ca="1">(VLOOKUP(EV$72,INDIRECT($C$5&amp;"生成成长"),2))/((VLOOKUP($B116,INDIRECT($B$5&amp;"生成成长"),4))/(VLOOKUP(EV$72,INDIRECT($C$5&amp;"生成成长"),5))*(VLOOKUP($B$5,标准坦克设计!$B$24:$U$30,MATCH("对"&amp;LEFT($C$5,2)&amp;"输出",标准坦克设计!$B$23:$U$23,0)))*(VLOOKUP($B116,INDIRECT($B$5&amp;"生成成长"),3))*(VLOOKUP($B$5,标准坦克设计!$B$14:$K$20,9)/30))</f>
        <v>6.1832897336144415</v>
      </c>
      <c r="EW116" s="172">
        <f ca="1">(VLOOKUP(EW$72,INDIRECT($C$5&amp;"生成成长"),2))/((VLOOKUP($B116,INDIRECT($B$5&amp;"生成成长"),4))/(VLOOKUP(EW$72,INDIRECT($C$5&amp;"生成成长"),5))*(VLOOKUP($B$5,标准坦克设计!$B$24:$U$30,MATCH("对"&amp;LEFT($C$5,2)&amp;"输出",标准坦克设计!$B$23:$U$23,0)))*(VLOOKUP($B116,INDIRECT($B$5&amp;"生成成长"),3))*(VLOOKUP($B$5,标准坦克设计!$B$14:$K$20,9)/30))</f>
        <v>6.6403907522731922</v>
      </c>
      <c r="EX116" s="172">
        <f ca="1">(VLOOKUP(EX$72,INDIRECT($C$5&amp;"生成成长"),2))/((VLOOKUP($B116,INDIRECT($B$5&amp;"生成成长"),4))/(VLOOKUP(EX$72,INDIRECT($C$5&amp;"生成成长"),5))*(VLOOKUP($B$5,标准坦克设计!$B$24:$U$30,MATCH("对"&amp;LEFT($C$5,2)&amp;"输出",标准坦克设计!$B$23:$U$23,0)))*(VLOOKUP($B116,INDIRECT($B$5&amp;"生成成长"),3))*(VLOOKUP($B$5,标准坦克设计!$B$14:$K$20,9)/30))</f>
        <v>7.1137903485826612</v>
      </c>
      <c r="EY116" s="172">
        <f ca="1">(VLOOKUP(EY$72,INDIRECT($C$5&amp;"生成成长"),2))/((VLOOKUP($B116,INDIRECT($B$5&amp;"生成成长"),4))/(VLOOKUP(EY$72,INDIRECT($C$5&amp;"生成成长"),5))*(VLOOKUP($B$5,标准坦克设计!$B$24:$U$30,MATCH("对"&amp;LEFT($C$5,2)&amp;"输出",标准坦克设计!$B$23:$U$23,0)))*(VLOOKUP($B116,INDIRECT($B$5&amp;"生成成长"),3))*(VLOOKUP($B$5,标准坦克设计!$B$14:$K$20,9)/30))</f>
        <v>7.603488522542845</v>
      </c>
      <c r="EZ116" s="172">
        <f ca="1">(VLOOKUP(EZ$72,INDIRECT($C$5&amp;"生成成长"),2))/((VLOOKUP($B116,INDIRECT($B$5&amp;"生成成长"),4))/(VLOOKUP(EZ$72,INDIRECT($C$5&amp;"生成成长"),5))*(VLOOKUP($B$5,标准坦克设计!$B$24:$U$30,MATCH("对"&amp;LEFT($C$5,2)&amp;"输出",标准坦克设计!$B$23:$U$23,0)))*(VLOOKUP($B116,INDIRECT($B$5&amp;"生成成长"),3))*(VLOOKUP($B$5,标准坦克设计!$B$14:$K$20,9)/30))</f>
        <v>8.109485274153748</v>
      </c>
      <c r="FA116" s="172">
        <f ca="1">(VLOOKUP(FA$72,INDIRECT($C$5&amp;"生成成长"),2))/((VLOOKUP($B116,INDIRECT($B$5&amp;"生成成长"),4))/(VLOOKUP(FA$72,INDIRECT($C$5&amp;"生成成长"),5))*(VLOOKUP($B$5,标准坦克设计!$B$24:$U$30,MATCH("对"&amp;LEFT($C$5,2)&amp;"输出",标准坦克设计!$B$23:$U$23,0)))*(VLOOKUP($B116,INDIRECT($B$5&amp;"生成成长"),3))*(VLOOKUP($B$5,标准坦克设计!$B$14:$K$20,9)/30))</f>
        <v>8.6317806034153648</v>
      </c>
      <c r="FB116" s="172">
        <f ca="1">(VLOOKUP(FB$72,INDIRECT($C$5&amp;"生成成长"),2))/((VLOOKUP($B116,INDIRECT($B$5&amp;"生成成长"),4))/(VLOOKUP(FB$72,INDIRECT($C$5&amp;"生成成长"),5))*(VLOOKUP($B$5,标准坦克设计!$B$24:$U$30,MATCH("对"&amp;LEFT($C$5,2)&amp;"输出",标准坦克设计!$B$23:$U$23,0)))*(VLOOKUP($B116,INDIRECT($B$5&amp;"生成成长"),3))*(VLOOKUP($B$5,标准坦克设计!$B$14:$K$20,9)/30))</f>
        <v>9.1703745103277026</v>
      </c>
      <c r="FC116" s="172">
        <f ca="1">(VLOOKUP(FC$72,INDIRECT($C$5&amp;"生成成长"),2))/((VLOOKUP($B116,INDIRECT($B$5&amp;"生成成长"),4))/(VLOOKUP(FC$72,INDIRECT($C$5&amp;"生成成长"),5))*(VLOOKUP($B$5,标准坦克设计!$B$24:$U$30,MATCH("对"&amp;LEFT($C$5,2)&amp;"输出",标准坦克设计!$B$23:$U$23,0)))*(VLOOKUP($B116,INDIRECT($B$5&amp;"生成成长"),3))*(VLOOKUP($B$5,标准坦克设计!$B$14:$K$20,9)/30))</f>
        <v>9.7252669948907542</v>
      </c>
      <c r="FD116" s="172">
        <f ca="1">(VLOOKUP(FD$72,INDIRECT($C$5&amp;"生成成长"),2))/((VLOOKUP($B116,INDIRECT($B$5&amp;"生成成长"),4))/(VLOOKUP(FD$72,INDIRECT($C$5&amp;"生成成长"),5))*(VLOOKUP($B$5,标准坦克设计!$B$24:$U$30,MATCH("对"&amp;LEFT($C$5,2)&amp;"输出",标准坦克设计!$B$23:$U$23,0)))*(VLOOKUP($B116,INDIRECT($B$5&amp;"生成成长"),3))*(VLOOKUP($B$5,标准坦克设计!$B$14:$K$20,9)/30))</f>
        <v>10.296458057104525</v>
      </c>
      <c r="FE116" s="172">
        <f ca="1">(VLOOKUP(FE$72,INDIRECT($C$5&amp;"生成成长"),2))/((VLOOKUP($B116,INDIRECT($B$5&amp;"生成成长"),4))/(VLOOKUP(FE$72,INDIRECT($C$5&amp;"生成成长"),5))*(VLOOKUP($B$5,标准坦克设计!$B$24:$U$30,MATCH("对"&amp;LEFT($C$5,2)&amp;"输出",标准坦克设计!$B$23:$U$23,0)))*(VLOOKUP($B116,INDIRECT($B$5&amp;"生成成长"),3))*(VLOOKUP($B$5,标准坦克设计!$B$14:$K$20,9)/30))</f>
        <v>10.99251508198123</v>
      </c>
      <c r="FF116" s="172">
        <f ca="1">(VLOOKUP(FF$72,INDIRECT($C$5&amp;"生成成长"),2))/((VLOOKUP($B116,INDIRECT($B$5&amp;"生成成长"),4))/(VLOOKUP(FF$72,INDIRECT($C$5&amp;"生成成长"),5))*(VLOOKUP($B$5,标准坦克设计!$B$24:$U$30,MATCH("对"&amp;LEFT($C$5,2)&amp;"输出",标准坦克设计!$B$23:$U$23,0)))*(VLOOKUP($B116,INDIRECT($B$5&amp;"生成成长"),3))*(VLOOKUP($B$5,标准坦克设计!$B$14:$K$20,9)/30))</f>
        <v>11.711336235973397</v>
      </c>
      <c r="FG116" s="172">
        <f ca="1">(VLOOKUP(FG$72,INDIRECT($C$5&amp;"生成成长"),2))/((VLOOKUP($B116,INDIRECT($B$5&amp;"生成成长"),4))/(VLOOKUP(FG$72,INDIRECT($C$5&amp;"生成成长"),5))*(VLOOKUP($B$5,标准坦克设计!$B$24:$U$30,MATCH("对"&amp;LEFT($C$5,2)&amp;"输出",标准坦克设计!$B$23:$U$23,0)))*(VLOOKUP($B116,INDIRECT($B$5&amp;"生成成长"),3))*(VLOOKUP($B$5,标准坦克设计!$B$14:$K$20,9)/30))</f>
        <v>12.452921519081031</v>
      </c>
      <c r="FH116" s="172">
        <f ca="1">(VLOOKUP(FH$72,INDIRECT($C$5&amp;"生成成长"),2))/((VLOOKUP($B116,INDIRECT($B$5&amp;"生成成长"),4))/(VLOOKUP(FH$72,INDIRECT($C$5&amp;"生成成长"),5))*(VLOOKUP($B$5,标准坦克设计!$B$24:$U$30,MATCH("对"&amp;LEFT($C$5,2)&amp;"输出",标准坦克设计!$B$23:$U$23,0)))*(VLOOKUP($B116,INDIRECT($B$5&amp;"生成成长"),3))*(VLOOKUP($B$5,标准坦克设计!$B$14:$K$20,9)/30))</f>
        <v>13.217270931304126</v>
      </c>
      <c r="FI116" s="172">
        <f ca="1">(VLOOKUP(FI$72,INDIRECT($C$5&amp;"生成成长"),2))/((VLOOKUP($B116,INDIRECT($B$5&amp;"生成成长"),4))/(VLOOKUP(FI$72,INDIRECT($C$5&amp;"生成成长"),5))*(VLOOKUP($B$5,标准坦克设计!$B$24:$U$30,MATCH("对"&amp;LEFT($C$5,2)&amp;"输出",标准坦克设计!$B$23:$U$23,0)))*(VLOOKUP($B116,INDIRECT($B$5&amp;"生成成长"),3))*(VLOOKUP($B$5,标准坦克设计!$B$14:$K$20,9)/30))</f>
        <v>14.004384472642689</v>
      </c>
      <c r="FJ116" s="172">
        <f ca="1">(VLOOKUP(FJ$72,INDIRECT($C$5&amp;"生成成长"),2))/((VLOOKUP($B116,INDIRECT($B$5&amp;"生成成长"),4))/(VLOOKUP(FJ$72,INDIRECT($C$5&amp;"生成成长"),5))*(VLOOKUP($B$5,标准坦克设计!$B$24:$U$30,MATCH("对"&amp;LEFT($C$5,2)&amp;"输出",标准坦克设计!$B$23:$U$23,0)))*(VLOOKUP($B116,INDIRECT($B$5&amp;"生成成长"),3))*(VLOOKUP($B$5,标准坦克设计!$B$14:$K$20,9)/30))</f>
        <v>14.814262143096714</v>
      </c>
      <c r="FK116" s="172">
        <f ca="1">(VLOOKUP(FK$72,INDIRECT($C$5&amp;"生成成长"),2))/((VLOOKUP($B116,INDIRECT($B$5&amp;"生成成长"),4))/(VLOOKUP(FK$72,INDIRECT($C$5&amp;"生成成长"),5))*(VLOOKUP($B$5,标准坦克设计!$B$24:$U$30,MATCH("对"&amp;LEFT($C$5,2)&amp;"输出",标准坦克设计!$B$23:$U$23,0)))*(VLOOKUP($B116,INDIRECT($B$5&amp;"生成成长"),3))*(VLOOKUP($B$5,标准坦克设计!$B$14:$K$20,9)/30))</f>
        <v>15.646903942666206</v>
      </c>
    </row>
    <row r="117" spans="1:167" x14ac:dyDescent="0.15">
      <c r="A117" s="170" t="str">
        <f t="shared" si="11"/>
        <v>T5低品质13级</v>
      </c>
      <c r="B117" s="171">
        <v>10513</v>
      </c>
      <c r="C117" s="172">
        <f ca="1">(VLOOKUP(C$72,INDIRECT($C$5&amp;"生成成长"),2))/((VLOOKUP($B117,INDIRECT($B$5&amp;"生成成长"),4))/(VLOOKUP(C$72,INDIRECT($C$5&amp;"生成成长"),5))*(VLOOKUP($B$5,标准坦克设计!$B$24:$U$30,MATCH("对"&amp;LEFT($C$5,2)&amp;"输出",标准坦克设计!$B$23:$U$23,0)))*(VLOOKUP($B117,INDIRECT($B$5&amp;"生成成长"),3))*(VLOOKUP($B$5,标准坦克设计!$B$14:$K$20,9)/30))</f>
        <v>0.63317795631139262</v>
      </c>
      <c r="D117" s="172">
        <f ca="1">(VLOOKUP(D$72,INDIRECT($C$5&amp;"生成成长"),2))/((VLOOKUP($B117,INDIRECT($B$5&amp;"生成成长"),4))/(VLOOKUP(D$72,INDIRECT($C$5&amp;"生成成长"),5))*(VLOOKUP($B$5,标准坦克设计!$B$24:$U$30,MATCH("对"&amp;LEFT($C$5,2)&amp;"输出",标准坦克设计!$B$23:$U$23,0)))*(VLOOKUP($B117,INDIRECT($B$5&amp;"生成成长"),3))*(VLOOKUP($B$5,标准坦克设计!$B$14:$K$20,9)/30))</f>
        <v>0.71143875171148097</v>
      </c>
      <c r="E117" s="172">
        <f ca="1">(VLOOKUP(E$72,INDIRECT($C$5&amp;"生成成长"),2))/((VLOOKUP($B117,INDIRECT($B$5&amp;"生成成长"),4))/(VLOOKUP(E$72,INDIRECT($C$5&amp;"生成成长"),5))*(VLOOKUP($B$5,标准坦克设计!$B$24:$U$30,MATCH("对"&amp;LEFT($C$5,2)&amp;"输出",标准坦克设计!$B$23:$U$23,0)))*(VLOOKUP($B117,INDIRECT($B$5&amp;"生成成长"),3))*(VLOOKUP($B$5,标准坦克设计!$B$14:$K$20,9)/30))</f>
        <v>0.79425842839701088</v>
      </c>
      <c r="F117" s="172">
        <f ca="1">(VLOOKUP(F$72,INDIRECT($C$5&amp;"生成成长"),2))/((VLOOKUP($B117,INDIRECT($B$5&amp;"生成成长"),4))/(VLOOKUP(F$72,INDIRECT($C$5&amp;"生成成长"),5))*(VLOOKUP($B$5,标准坦克设计!$B$24:$U$30,MATCH("对"&amp;LEFT($C$5,2)&amp;"输出",标准坦克设计!$B$23:$U$23,0)))*(VLOOKUP($B117,INDIRECT($B$5&amp;"生成成长"),3))*(VLOOKUP($B$5,标准坦克设计!$B$14:$K$20,9)/30))</f>
        <v>0.88163698636798316</v>
      </c>
      <c r="G117" s="172">
        <f ca="1">(VLOOKUP(G$72,INDIRECT($C$5&amp;"生成成长"),2))/((VLOOKUP($B117,INDIRECT($B$5&amp;"生成成长"),4))/(VLOOKUP(G$72,INDIRECT($C$5&amp;"生成成长"),5))*(VLOOKUP($B$5,标准坦克设计!$B$24:$U$30,MATCH("对"&amp;LEFT($C$5,2)&amp;"输出",标准坦克设计!$B$23:$U$23,0)))*(VLOOKUP($B117,INDIRECT($B$5&amp;"生成成长"),3))*(VLOOKUP($B$5,标准坦克设计!$B$14:$K$20,9)/30))</f>
        <v>0.97357442562439733</v>
      </c>
      <c r="H117" s="172">
        <f ca="1">(VLOOKUP(H$72,INDIRECT($C$5&amp;"生成成长"),2))/((VLOOKUP($B117,INDIRECT($B$5&amp;"生成成长"),4))/(VLOOKUP(H$72,INDIRECT($C$5&amp;"生成成长"),5))*(VLOOKUP($B$5,标准坦克设计!$B$24:$U$30,MATCH("对"&amp;LEFT($C$5,2)&amp;"输出",标准坦克设计!$B$23:$U$23,0)))*(VLOOKUP($B117,INDIRECT($B$5&amp;"生成成长"),3))*(VLOOKUP($B$5,标准坦克设计!$B$14:$K$20,9)/30))</f>
        <v>0.85200425801260993</v>
      </c>
      <c r="I117" s="172">
        <f ca="1">(VLOOKUP(I$72,INDIRECT($C$5&amp;"生成成长"),2))/((VLOOKUP($B117,INDIRECT($B$5&amp;"生成成长"),4))/(VLOOKUP(I$72,INDIRECT($C$5&amp;"生成成长"),5))*(VLOOKUP($B$5,标准坦克设计!$B$24:$U$30,MATCH("对"&amp;LEFT($C$5,2)&amp;"输出",标准坦克设计!$B$23:$U$23,0)))*(VLOOKUP($B117,INDIRECT($B$5&amp;"生成成长"),3))*(VLOOKUP($B$5,标准坦克设计!$B$14:$K$20,9)/30))</f>
        <v>0.97357442562439733</v>
      </c>
      <c r="J117" s="172">
        <f ca="1">(VLOOKUP(J$72,INDIRECT($C$5&amp;"生成成长"),2))/((VLOOKUP($B117,INDIRECT($B$5&amp;"生成成长"),4))/(VLOOKUP(J$72,INDIRECT($C$5&amp;"生成成长"),5))*(VLOOKUP($B$5,标准坦克设计!$B$24:$U$30,MATCH("对"&amp;LEFT($C$5,2)&amp;"输出",标准坦克设计!$B$23:$U$23,0)))*(VLOOKUP($B117,INDIRECT($B$5&amp;"生成成长"),3))*(VLOOKUP($B$5,标准坦克设计!$B$14:$K$20,9)/30))</f>
        <v>1.1032492710769706</v>
      </c>
      <c r="K117" s="172">
        <f ca="1">(VLOOKUP(K$72,INDIRECT($C$5&amp;"生成成长"),2))/((VLOOKUP($B117,INDIRECT($B$5&amp;"生成成长"),4))/(VLOOKUP(K$72,INDIRECT($C$5&amp;"生成成长"),5))*(VLOOKUP($B$5,标准坦克设计!$B$24:$U$30,MATCH("对"&amp;LEFT($C$5,2)&amp;"输出",标准坦克设计!$B$23:$U$23,0)))*(VLOOKUP($B117,INDIRECT($B$5&amp;"生成成长"),3))*(VLOOKUP($B$5,标准坦克设计!$B$14:$K$20,9)/30))</f>
        <v>1.2410287943703295</v>
      </c>
      <c r="L117" s="172">
        <f ca="1">(VLOOKUP(L$72,INDIRECT($C$5&amp;"生成成长"),2))/((VLOOKUP($B117,INDIRECT($B$5&amp;"生成成长"),4))/(VLOOKUP(L$72,INDIRECT($C$5&amp;"生成成长"),5))*(VLOOKUP($B$5,标准坦克设计!$B$24:$U$30,MATCH("对"&amp;LEFT($C$5,2)&amp;"输出",标准坦克设计!$B$23:$U$23,0)))*(VLOOKUP($B117,INDIRECT($B$5&amp;"生成成长"),3))*(VLOOKUP($B$5,标准坦克设计!$B$14:$K$20,9)/30))</f>
        <v>1.3869129955044746</v>
      </c>
      <c r="M117" s="172">
        <f ca="1">(VLOOKUP(M$72,INDIRECT($C$5&amp;"生成成长"),2))/((VLOOKUP($B117,INDIRECT($B$5&amp;"生成成长"),4))/(VLOOKUP(M$72,INDIRECT($C$5&amp;"生成成长"),5))*(VLOOKUP($B$5,标准坦克设计!$B$24:$U$30,MATCH("对"&amp;LEFT($C$5,2)&amp;"输出",标准坦克设计!$B$23:$U$23,0)))*(VLOOKUP($B117,INDIRECT($B$5&amp;"生成成长"),3))*(VLOOKUP($B$5,标准坦克设计!$B$14:$K$20,9)/30))</f>
        <v>1.5409018744794052</v>
      </c>
      <c r="N117" s="172">
        <f ca="1">(VLOOKUP(N$72,INDIRECT($C$5&amp;"生成成长"),2))/((VLOOKUP($B117,INDIRECT($B$5&amp;"生成成长"),4))/(VLOOKUP(N$72,INDIRECT($C$5&amp;"生成成长"),5))*(VLOOKUP($B$5,标准坦克设计!$B$24:$U$30,MATCH("对"&amp;LEFT($C$5,2)&amp;"输出",标准坦克设计!$B$23:$U$23,0)))*(VLOOKUP($B117,INDIRECT($B$5&amp;"生成成长"),3))*(VLOOKUP($B$5,标准坦克设计!$B$14:$K$20,9)/30))</f>
        <v>1.7029954312951214</v>
      </c>
      <c r="O117" s="172">
        <f ca="1">(VLOOKUP(O$72,INDIRECT($C$5&amp;"生成成长"),2))/((VLOOKUP($B117,INDIRECT($B$5&amp;"生成成长"),4))/(VLOOKUP(O$72,INDIRECT($C$5&amp;"生成成长"),5))*(VLOOKUP($B$5,标准坦克设计!$B$24:$U$30,MATCH("对"&amp;LEFT($C$5,2)&amp;"输出",标准坦克设计!$B$23:$U$23,0)))*(VLOOKUP($B117,INDIRECT($B$5&amp;"生成成长"),3))*(VLOOKUP($B$5,标准坦克设计!$B$14:$K$20,9)/30))</f>
        <v>1.2947856028611668</v>
      </c>
      <c r="P117" s="172">
        <f ca="1">(VLOOKUP(P$72,INDIRECT($C$5&amp;"生成成长"),2))/((VLOOKUP($B117,INDIRECT($B$5&amp;"生成成长"),4))/(VLOOKUP(P$72,INDIRECT($C$5&amp;"生成成长"),5))*(VLOOKUP($B$5,标准坦克设计!$B$24:$U$30,MATCH("对"&amp;LEFT($C$5,2)&amp;"输出",标准坦克设计!$B$23:$U$23,0)))*(VLOOKUP($B117,INDIRECT($B$5&amp;"生成成长"),3))*(VLOOKUP($B$5,标准坦克设计!$B$14:$K$20,9)/30))</f>
        <v>1.4628943502618417</v>
      </c>
      <c r="Q117" s="172">
        <f ca="1">(VLOOKUP(Q$72,INDIRECT($C$5&amp;"生成成长"),2))/((VLOOKUP($B117,INDIRECT($B$5&amp;"生成成长"),4))/(VLOOKUP(Q$72,INDIRECT($C$5&amp;"生成成长"),5))*(VLOOKUP($B$5,标准坦克设计!$B$24:$U$30,MATCH("对"&amp;LEFT($C$5,2)&amp;"输出",标准坦克设计!$B$23:$U$23,0)))*(VLOOKUP($B117,INDIRECT($B$5&amp;"生成成长"),3))*(VLOOKUP($B$5,标准坦克设计!$B$14:$K$20,9)/30))</f>
        <v>1.6412605805547611</v>
      </c>
      <c r="R117" s="172">
        <f ca="1">(VLOOKUP(R$72,INDIRECT($C$5&amp;"生成成长"),2))/((VLOOKUP($B117,INDIRECT($B$5&amp;"生成成长"),4))/(VLOOKUP(R$72,INDIRECT($C$5&amp;"生成成长"),5))*(VLOOKUP($B$5,标准坦克设计!$B$24:$U$30,MATCH("对"&amp;LEFT($C$5,2)&amp;"输出",标准坦克设计!$B$23:$U$23,0)))*(VLOOKUP($B117,INDIRECT($B$5&amp;"生成成长"),3))*(VLOOKUP($B$5,标准坦克设计!$B$14:$K$20,9)/30))</f>
        <v>1.8298842937399249</v>
      </c>
      <c r="S117" s="172">
        <f ca="1">(VLOOKUP(S$72,INDIRECT($C$5&amp;"生成成长"),2))/((VLOOKUP($B117,INDIRECT($B$5&amp;"生成成长"),4))/(VLOOKUP(S$72,INDIRECT($C$5&amp;"生成成长"),5))*(VLOOKUP($B$5,标准坦克设计!$B$24:$U$30,MATCH("对"&amp;LEFT($C$5,2)&amp;"输出",标准坦克设计!$B$23:$U$23,0)))*(VLOOKUP($B117,INDIRECT($B$5&amp;"生成成长"),3))*(VLOOKUP($B$5,标准坦克设计!$B$14:$K$20,9)/30))</f>
        <v>2.0287654898173333</v>
      </c>
      <c r="T117" s="172">
        <f ca="1">(VLOOKUP(T$72,INDIRECT($C$5&amp;"生成成长"),2))/((VLOOKUP($B117,INDIRECT($B$5&amp;"生成成长"),4))/(VLOOKUP(T$72,INDIRECT($C$5&amp;"生成成长"),5))*(VLOOKUP($B$5,标准坦克设计!$B$24:$U$30,MATCH("对"&amp;LEFT($C$5,2)&amp;"输出",标准坦克设计!$B$23:$U$23,0)))*(VLOOKUP($B117,INDIRECT($B$5&amp;"生成成长"),3))*(VLOOKUP($B$5,标准坦克设计!$B$14:$K$20,9)/30))</f>
        <v>2.2379041687869865</v>
      </c>
      <c r="U117" s="172">
        <f ca="1">(VLOOKUP(U$72,INDIRECT($C$5&amp;"生成成长"),2))/((VLOOKUP($B117,INDIRECT($B$5&amp;"生成成长"),4))/(VLOOKUP(U$72,INDIRECT($C$5&amp;"生成成长"),5))*(VLOOKUP($B$5,标准坦克设计!$B$24:$U$30,MATCH("对"&amp;LEFT($C$5,2)&amp;"输出",标准坦克设计!$B$23:$U$23,0)))*(VLOOKUP($B117,INDIRECT($B$5&amp;"生成成长"),3))*(VLOOKUP($B$5,标准坦克设计!$B$14:$K$20,9)/30))</f>
        <v>2.4573003306488839</v>
      </c>
      <c r="V117" s="172">
        <f ca="1">(VLOOKUP(V$72,INDIRECT($C$5&amp;"生成成长"),2))/((VLOOKUP($B117,INDIRECT($B$5&amp;"生成成长"),4))/(VLOOKUP(V$72,INDIRECT($C$5&amp;"生成成长"),5))*(VLOOKUP($B$5,标准坦克设计!$B$24:$U$30,MATCH("对"&amp;LEFT($C$5,2)&amp;"输出",标准坦克设计!$B$23:$U$23,0)))*(VLOOKUP($B117,INDIRECT($B$5&amp;"生成成长"),3))*(VLOOKUP($B$5,标准坦克设计!$B$14:$K$20,9)/30))</f>
        <v>2.6869539754030258</v>
      </c>
      <c r="W117" s="172">
        <f ca="1">(VLOOKUP(W$72,INDIRECT($C$5&amp;"生成成长"),2))/((VLOOKUP($B117,INDIRECT($B$5&amp;"生成成长"),4))/(VLOOKUP(W$72,INDIRECT($C$5&amp;"生成成长"),5))*(VLOOKUP($B$5,标准坦克设计!$B$24:$U$30,MATCH("对"&amp;LEFT($C$5,2)&amp;"输出",标准坦克设计!$B$23:$U$23,0)))*(VLOOKUP($B117,INDIRECT($B$5&amp;"生成成长"),3))*(VLOOKUP($B$5,标准坦克设计!$B$14:$K$20,9)/30))</f>
        <v>2.9268651030494128</v>
      </c>
      <c r="X117" s="172">
        <f ca="1">(VLOOKUP(X$72,INDIRECT($C$5&amp;"生成成长"),2))/((VLOOKUP($B117,INDIRECT($B$5&amp;"生成成长"),4))/(VLOOKUP(X$72,INDIRECT($C$5&amp;"生成成长"),5))*(VLOOKUP($B$5,标准坦克设计!$B$24:$U$30,MATCH("对"&amp;LEFT($C$5,2)&amp;"输出",标准坦克设计!$B$23:$U$23,0)))*(VLOOKUP($B117,INDIRECT($B$5&amp;"生成成长"),3))*(VLOOKUP($B$5,标准坦克设计!$B$14:$K$20,9)/30))</f>
        <v>2.1204496578912231</v>
      </c>
      <c r="Y117" s="172">
        <f ca="1">(VLOOKUP(Y$72,INDIRECT($C$5&amp;"生成成长"),2))/((VLOOKUP($B117,INDIRECT($B$5&amp;"生成成长"),4))/(VLOOKUP(Y$72,INDIRECT($C$5&amp;"生成成长"),5))*(VLOOKUP($B$5,标准坦克设计!$B$24:$U$30,MATCH("对"&amp;LEFT($C$5,2)&amp;"输出",标准坦克设计!$B$23:$U$23,0)))*(VLOOKUP($B117,INDIRECT($B$5&amp;"生成成长"),3))*(VLOOKUP($B$5,标准坦克设计!$B$14:$K$20,9)/30))</f>
        <v>2.3585245694643064</v>
      </c>
      <c r="Z117" s="172">
        <f ca="1">(VLOOKUP(Z$72,INDIRECT($C$5&amp;"生成成长"),2))/((VLOOKUP($B117,INDIRECT($B$5&amp;"生成成长"),4))/(VLOOKUP(Z$72,INDIRECT($C$5&amp;"生成成长"),5))*(VLOOKUP($B$5,标准坦克设计!$B$24:$U$30,MATCH("对"&amp;LEFT($C$5,2)&amp;"输出",标准坦克设计!$B$23:$U$23,0)))*(VLOOKUP($B117,INDIRECT($B$5&amp;"生成成长"),3))*(VLOOKUP($B$5,标准坦克设计!$B$14:$K$20,9)/30))</f>
        <v>2.6092630401636177</v>
      </c>
      <c r="AA117" s="172">
        <f ca="1">(VLOOKUP(AA$72,INDIRECT($C$5&amp;"生成成长"),2))/((VLOOKUP($B117,INDIRECT($B$5&amp;"生成成长"),4))/(VLOOKUP(AA$72,INDIRECT($C$5&amp;"生成成长"),5))*(VLOOKUP($B$5,标准坦克设计!$B$24:$U$30,MATCH("对"&amp;LEFT($C$5,2)&amp;"输出",标准坦克设计!$B$23:$U$23,0)))*(VLOOKUP($B117,INDIRECT($B$5&amp;"生成成长"),3))*(VLOOKUP($B$5,标准坦克设计!$B$14:$K$20,9)/30))</f>
        <v>2.8726650699891576</v>
      </c>
      <c r="AB117" s="172">
        <f ca="1">(VLOOKUP(AB$72,INDIRECT($C$5&amp;"生成成长"),2))/((VLOOKUP($B117,INDIRECT($B$5&amp;"生成成长"),4))/(VLOOKUP(AB$72,INDIRECT($C$5&amp;"生成成长"),5))*(VLOOKUP($B$5,标准坦克设计!$B$24:$U$30,MATCH("对"&amp;LEFT($C$5,2)&amp;"输出",标准坦克设计!$B$23:$U$23,0)))*(VLOOKUP($B117,INDIRECT($B$5&amp;"生成成长"),3))*(VLOOKUP($B$5,标准坦克设计!$B$14:$K$20,9)/30))</f>
        <v>3.1487306589409245</v>
      </c>
      <c r="AC117" s="172">
        <f ca="1">(VLOOKUP(AC$72,INDIRECT($C$5&amp;"生成成长"),2))/((VLOOKUP($B117,INDIRECT($B$5&amp;"生成成长"),4))/(VLOOKUP(AC$72,INDIRECT($C$5&amp;"生成成长"),5))*(VLOOKUP($B$5,标准坦克设计!$B$24:$U$30,MATCH("对"&amp;LEFT($C$5,2)&amp;"输出",标准坦克设计!$B$23:$U$23,0)))*(VLOOKUP($B117,INDIRECT($B$5&amp;"生成成长"),3))*(VLOOKUP($B$5,标准坦克设计!$B$14:$K$20,9)/30))</f>
        <v>3.4374598070189197</v>
      </c>
      <c r="AD117" s="172">
        <f ca="1">(VLOOKUP(AD$72,INDIRECT($C$5&amp;"生成成长"),2))/((VLOOKUP($B117,INDIRECT($B$5&amp;"生成成长"),4))/(VLOOKUP(AD$72,INDIRECT($C$5&amp;"生成成长"),5))*(VLOOKUP($B$5,标准坦克设计!$B$24:$U$30,MATCH("对"&amp;LEFT($C$5,2)&amp;"输出",标准坦克设计!$B$23:$U$23,0)))*(VLOOKUP($B117,INDIRECT($B$5&amp;"生成成长"),3))*(VLOOKUP($B$5,标准坦克设计!$B$14:$K$20,9)/30))</f>
        <v>3.7388525142231428</v>
      </c>
      <c r="AE117" s="172">
        <f ca="1">(VLOOKUP(AE$72,INDIRECT($C$5&amp;"生成成长"),2))/((VLOOKUP($B117,INDIRECT($B$5&amp;"生成成长"),4))/(VLOOKUP(AE$72,INDIRECT($C$5&amp;"生成成长"),5))*(VLOOKUP($B$5,标准坦克设计!$B$24:$U$30,MATCH("对"&amp;LEFT($C$5,2)&amp;"输出",标准坦克设计!$B$23:$U$23,0)))*(VLOOKUP($B117,INDIRECT($B$5&amp;"生成成长"),3))*(VLOOKUP($B$5,标准坦克设计!$B$14:$K$20,9)/30))</f>
        <v>4.0529087805535928</v>
      </c>
      <c r="AF117" s="172">
        <f ca="1">(VLOOKUP(AF$72,INDIRECT($C$5&amp;"生成成长"),2))/((VLOOKUP($B117,INDIRECT($B$5&amp;"生成成长"),4))/(VLOOKUP(AF$72,INDIRECT($C$5&amp;"生成成长"),5))*(VLOOKUP($B$5,标准坦克设计!$B$24:$U$30,MATCH("对"&amp;LEFT($C$5,2)&amp;"输出",标准坦克设计!$B$23:$U$23,0)))*(VLOOKUP($B117,INDIRECT($B$5&amp;"生成成长"),3))*(VLOOKUP($B$5,标准坦克设计!$B$14:$K$20,9)/30))</f>
        <v>4.3796286060102725</v>
      </c>
      <c r="AG117" s="172">
        <f ca="1">(VLOOKUP(AG$72,INDIRECT($C$5&amp;"生成成长"),2))/((VLOOKUP($B117,INDIRECT($B$5&amp;"生成成长"),4))/(VLOOKUP(AG$72,INDIRECT($C$5&amp;"生成成长"),5))*(VLOOKUP($B$5,标准坦克设计!$B$24:$U$30,MATCH("对"&amp;LEFT($C$5,2)&amp;"输出",标准坦克设计!$B$23:$U$23,0)))*(VLOOKUP($B117,INDIRECT($B$5&amp;"生成成长"),3))*(VLOOKUP($B$5,标准坦克设计!$B$14:$K$20,9)/30))</f>
        <v>4.7190119905931782</v>
      </c>
      <c r="AH117" s="172">
        <f ca="1">(VLOOKUP(AH$72,INDIRECT($C$5&amp;"生成成长"),2))/((VLOOKUP($B117,INDIRECT($B$5&amp;"生成成长"),4))/(VLOOKUP(AH$72,INDIRECT($C$5&amp;"生成成长"),5))*(VLOOKUP($B$5,标准坦克设计!$B$24:$U$30,MATCH("对"&amp;LEFT($C$5,2)&amp;"输出",标准坦克设计!$B$23:$U$23,0)))*(VLOOKUP($B117,INDIRECT($B$5&amp;"生成成长"),3))*(VLOOKUP($B$5,标准坦克设计!$B$14:$K$20,9)/30))</f>
        <v>5.0710589343023127</v>
      </c>
      <c r="AI117" s="172">
        <f ca="1">(VLOOKUP(AI$72,INDIRECT($C$5&amp;"生成成长"),2))/((VLOOKUP($B117,INDIRECT($B$5&amp;"生成成长"),4))/(VLOOKUP(AI$72,INDIRECT($C$5&amp;"生成成长"),5))*(VLOOKUP($B$5,标准坦克设计!$B$24:$U$30,MATCH("对"&amp;LEFT($C$5,2)&amp;"输出",标准坦克设计!$B$23:$U$23,0)))*(VLOOKUP($B117,INDIRECT($B$5&amp;"生成成长"),3))*(VLOOKUP($B$5,标准坦克设计!$B$14:$K$20,9)/30))</f>
        <v>3.5865732157302519</v>
      </c>
      <c r="AJ117" s="172">
        <f ca="1">(VLOOKUP(AJ$72,INDIRECT($C$5&amp;"生成成长"),2))/((VLOOKUP($B117,INDIRECT($B$5&amp;"生成成长"),4))/(VLOOKUP(AJ$72,INDIRECT($C$5&amp;"生成成长"),5))*(VLOOKUP($B$5,标准坦克设计!$B$24:$U$30,MATCH("对"&amp;LEFT($C$5,2)&amp;"输出",标准坦克设计!$B$23:$U$23,0)))*(VLOOKUP($B117,INDIRECT($B$5&amp;"生成成长"),3))*(VLOOKUP($B$5,标准坦克设计!$B$14:$K$20,9)/30))</f>
        <v>3.9257666469262658</v>
      </c>
      <c r="AK117" s="172">
        <f ca="1">(VLOOKUP(AK$72,INDIRECT($C$5&amp;"生成成长"),2))/((VLOOKUP($B117,INDIRECT($B$5&amp;"生成成长"),4))/(VLOOKUP(AK$72,INDIRECT($C$5&amp;"生成成长"),5))*(VLOOKUP($B$5,标准坦克设计!$B$24:$U$30,MATCH("对"&amp;LEFT($C$5,2)&amp;"输出",标准坦克设计!$B$23:$U$23,0)))*(VLOOKUP($B117,INDIRECT($B$5&amp;"生成成长"),3))*(VLOOKUP($B$5,标准坦克设计!$B$14:$K$20,9)/30))</f>
        <v>4.2802829846650141</v>
      </c>
      <c r="AL117" s="172">
        <f ca="1">(VLOOKUP(AL$72,INDIRECT($C$5&amp;"生成成长"),2))/((VLOOKUP($B117,INDIRECT($B$5&amp;"生成成长"),4))/(VLOOKUP(AL$72,INDIRECT($C$5&amp;"生成成长"),5))*(VLOOKUP($B$5,标准坦克设计!$B$24:$U$30,MATCH("对"&amp;LEFT($C$5,2)&amp;"输出",标准坦克设计!$B$23:$U$23,0)))*(VLOOKUP($B117,INDIRECT($B$5&amp;"生成成长"),3))*(VLOOKUP($B$5,标准坦克设计!$B$14:$K$20,9)/30))</f>
        <v>4.6501222289464987</v>
      </c>
      <c r="AM117" s="172">
        <f ca="1">(VLOOKUP(AM$72,INDIRECT($C$5&amp;"生成成长"),2))/((VLOOKUP($B117,INDIRECT($B$5&amp;"生成成长"),4))/(VLOOKUP(AM$72,INDIRECT($C$5&amp;"生成成长"),5))*(VLOOKUP($B$5,标准坦克设计!$B$24:$U$30,MATCH("对"&amp;LEFT($C$5,2)&amp;"输出",标准坦克设计!$B$23:$U$23,0)))*(VLOOKUP($B117,INDIRECT($B$5&amp;"生成成长"),3))*(VLOOKUP($B$5,标准坦克设计!$B$14:$K$20,9)/30))</f>
        <v>5.0352843797707187</v>
      </c>
      <c r="AN117" s="172">
        <f ca="1">(VLOOKUP(AN$72,INDIRECT($C$5&amp;"生成成长"),2))/((VLOOKUP($B117,INDIRECT($B$5&amp;"生成成长"),4))/(VLOOKUP(AN$72,INDIRECT($C$5&amp;"生成成长"),5))*(VLOOKUP($B$5,标准坦克设计!$B$24:$U$30,MATCH("对"&amp;LEFT($C$5,2)&amp;"输出",标准坦克设计!$B$23:$U$23,0)))*(VLOOKUP($B117,INDIRECT($B$5&amp;"生成成长"),3))*(VLOOKUP($B$5,标准坦克设计!$B$14:$K$20,9)/30))</f>
        <v>5.435769437137675</v>
      </c>
      <c r="AO117" s="172">
        <f ca="1">(VLOOKUP(AO$72,INDIRECT($C$5&amp;"生成成长"),2))/((VLOOKUP($B117,INDIRECT($B$5&amp;"生成成长"),4))/(VLOOKUP(AO$72,INDIRECT($C$5&amp;"生成成长"),5))*(VLOOKUP($B$5,标准坦克设计!$B$24:$U$30,MATCH("对"&amp;LEFT($C$5,2)&amp;"输出",标准坦克设计!$B$23:$U$23,0)))*(VLOOKUP($B117,INDIRECT($B$5&amp;"生成成长"),3))*(VLOOKUP($B$5,标准坦克设计!$B$14:$K$20,9)/30))</f>
        <v>5.8515774010473667</v>
      </c>
      <c r="AP117" s="172">
        <f ca="1">(VLOOKUP(AP$72,INDIRECT($C$5&amp;"生成成长"),2))/((VLOOKUP($B117,INDIRECT($B$5&amp;"生成成长"),4))/(VLOOKUP(AP$72,INDIRECT($C$5&amp;"生成成长"),5))*(VLOOKUP($B$5,标准坦克设计!$B$24:$U$30,MATCH("对"&amp;LEFT($C$5,2)&amp;"输出",标准坦克设计!$B$23:$U$23,0)))*(VLOOKUP($B117,INDIRECT($B$5&amp;"生成成长"),3))*(VLOOKUP($B$5,标准坦克设计!$B$14:$K$20,9)/30))</f>
        <v>6.2827082714997937</v>
      </c>
      <c r="AQ117" s="172">
        <f ca="1">(VLOOKUP(AQ$72,INDIRECT($C$5&amp;"生成成长"),2))/((VLOOKUP($B117,INDIRECT($B$5&amp;"生成成长"),4))/(VLOOKUP(AQ$72,INDIRECT($C$5&amp;"生成成长"),5))*(VLOOKUP($B$5,标准坦克设计!$B$24:$U$30,MATCH("对"&amp;LEFT($C$5,2)&amp;"输出",标准坦克设计!$B$23:$U$23,0)))*(VLOOKUP($B117,INDIRECT($B$5&amp;"生成成长"),3))*(VLOOKUP($B$5,标准坦克设计!$B$14:$K$20,9)/30))</f>
        <v>6.7291620484949561</v>
      </c>
      <c r="AR117" s="172">
        <f ca="1">(VLOOKUP(AR$72,INDIRECT($C$5&amp;"生成成长"),2))/((VLOOKUP($B117,INDIRECT($B$5&amp;"生成成长"),4))/(VLOOKUP(AR$72,INDIRECT($C$5&amp;"生成成长"),5))*(VLOOKUP($B$5,标准坦克设计!$B$24:$U$30,MATCH("对"&amp;LEFT($C$5,2)&amp;"输出",标准坦克设计!$B$23:$U$23,0)))*(VLOOKUP($B117,INDIRECT($B$5&amp;"生成成长"),3))*(VLOOKUP($B$5,标准坦克设计!$B$14:$K$20,9)/30))</f>
        <v>7.1909387320328557</v>
      </c>
      <c r="AS117" s="172">
        <f ca="1">(VLOOKUP(AS$72,INDIRECT($C$5&amp;"生成成长"),2))/((VLOOKUP($B117,INDIRECT($B$5&amp;"生成成长"),4))/(VLOOKUP(AS$72,INDIRECT($C$5&amp;"生成成长"),5))*(VLOOKUP($B$5,标准坦克设计!$B$24:$U$30,MATCH("对"&amp;LEFT($C$5,2)&amp;"输出",标准坦克设计!$B$23:$U$23,0)))*(VLOOKUP($B117,INDIRECT($B$5&amp;"生成成长"),3))*(VLOOKUP($B$5,标准坦克设计!$B$14:$K$20,9)/30))</f>
        <v>7.6680383221134889</v>
      </c>
      <c r="AT117" s="172">
        <f ca="1">(VLOOKUP(AT$72,INDIRECT($C$5&amp;"生成成长"),2))/((VLOOKUP($B117,INDIRECT($B$5&amp;"生成成长"),4))/(VLOOKUP(AT$72,INDIRECT($C$5&amp;"生成成长"),5))*(VLOOKUP($B$5,标准坦克设计!$B$24:$U$30,MATCH("对"&amp;LEFT($C$5,2)&amp;"输出",标准坦克设计!$B$23:$U$23,0)))*(VLOOKUP($B117,INDIRECT($B$5&amp;"生成成长"),3))*(VLOOKUP($B$5,标准坦克设计!$B$14:$K$20,9)/30))</f>
        <v>8.1604608187368601</v>
      </c>
      <c r="AU117" s="172">
        <f ca="1">(VLOOKUP(AU$72,INDIRECT($C$5&amp;"生成成长"),2))/((VLOOKUP($B117,INDIRECT($B$5&amp;"生成成长"),4))/(VLOOKUP(AU$72,INDIRECT($C$5&amp;"生成成长"),5))*(VLOOKUP($B$5,标准坦克设计!$B$24:$U$30,MATCH("对"&amp;LEFT($C$5,2)&amp;"输出",标准坦克设计!$B$23:$U$23,0)))*(VLOOKUP($B117,INDIRECT($B$5&amp;"生成成长"),3))*(VLOOKUP($B$5,标准坦克设计!$B$14:$K$20,9)/30))</f>
        <v>8.6682062219029667</v>
      </c>
      <c r="AV117" s="172">
        <f ca="1">(VLOOKUP(AV$72,INDIRECT($C$5&amp;"生成成长"),2))/((VLOOKUP($B117,INDIRECT($B$5&amp;"生成成长"),4))/(VLOOKUP(AV$72,INDIRECT($C$5&amp;"生成成长"),5))*(VLOOKUP($B$5,标准坦克设计!$B$24:$U$30,MATCH("对"&amp;LEFT($C$5,2)&amp;"输出",标准坦克设计!$B$23:$U$23,0)))*(VLOOKUP($B117,INDIRECT($B$5&amp;"生成成长"),3))*(VLOOKUP($B$5,标准坦克设计!$B$14:$K$20,9)/30))</f>
        <v>0.88163698636798316</v>
      </c>
      <c r="AW117" s="172">
        <f ca="1">(VLOOKUP(AW$72,INDIRECT($C$5&amp;"生成成长"),2))/((VLOOKUP($B117,INDIRECT($B$5&amp;"生成成长"),4))/(VLOOKUP(AW$72,INDIRECT($C$5&amp;"生成成长"),5))*(VLOOKUP($B$5,标准坦克设计!$B$24:$U$30,MATCH("对"&amp;LEFT($C$5,2)&amp;"输出",标准坦克设计!$B$23:$U$23,0)))*(VLOOKUP($B117,INDIRECT($B$5&amp;"生成成长"),3))*(VLOOKUP($B$5,标准坦克设计!$B$14:$K$20,9)/30))</f>
        <v>1.0052333234399671</v>
      </c>
      <c r="AX117" s="172">
        <f ca="1">(VLOOKUP(AX$72,INDIRECT($C$5&amp;"生成成长"),2))/((VLOOKUP($B117,INDIRECT($B$5&amp;"生成成长"),4))/(VLOOKUP(AX$72,INDIRECT($C$5&amp;"生成成长"),5))*(VLOOKUP($B$5,标准坦克设计!$B$24:$U$30,MATCH("对"&amp;LEFT($C$5,2)&amp;"输出",标准坦克设计!$B$23:$U$23,0)))*(VLOOKUP($B117,INDIRECT($B$5&amp;"生成成长"),3))*(VLOOKUP($B$5,标准坦克设计!$B$14:$K$20,9)/30))</f>
        <v>1.1369343383527366</v>
      </c>
      <c r="AY117" s="172">
        <f ca="1">(VLOOKUP(AY$72,INDIRECT($C$5&amp;"生成成长"),2))/((VLOOKUP($B117,INDIRECT($B$5&amp;"生成成长"),4))/(VLOOKUP(AY$72,INDIRECT($C$5&amp;"生成成长"),5))*(VLOOKUP($B$5,标准坦克设计!$B$24:$U$30,MATCH("对"&amp;LEFT($C$5,2)&amp;"输出",标准坦克设计!$B$23:$U$23,0)))*(VLOOKUP($B117,INDIRECT($B$5&amp;"生成成长"),3))*(VLOOKUP($B$5,标准坦克设计!$B$14:$K$20,9)/30))</f>
        <v>1.2767400311062922</v>
      </c>
      <c r="AZ117" s="172">
        <f ca="1">(VLOOKUP(AZ$72,INDIRECT($C$5&amp;"生成成长"),2))/((VLOOKUP($B117,INDIRECT($B$5&amp;"生成成长"),4))/(VLOOKUP(AZ$72,INDIRECT($C$5&amp;"生成成长"),5))*(VLOOKUP($B$5,标准坦克设计!$B$24:$U$30,MATCH("对"&amp;LEFT($C$5,2)&amp;"输出",标准坦克设计!$B$23:$U$23,0)))*(VLOOKUP($B117,INDIRECT($B$5&amp;"生成成长"),3))*(VLOOKUP($B$5,标准坦克设计!$B$14:$K$20,9)/30))</f>
        <v>1.4246504017006334</v>
      </c>
      <c r="BA117" s="172">
        <f ca="1">(VLOOKUP(BA$72,INDIRECT($C$5&amp;"生成成长"),2))/((VLOOKUP($B117,INDIRECT($B$5&amp;"生成成长"),4))/(VLOOKUP(BA$72,INDIRECT($C$5&amp;"生成成长"),5))*(VLOOKUP($B$5,标准坦克设计!$B$24:$U$30,MATCH("对"&amp;LEFT($C$5,2)&amp;"输出",标准坦克设计!$B$23:$U$23,0)))*(VLOOKUP($B117,INDIRECT($B$5&amp;"生成成长"),3))*(VLOOKUP($B$5,标准坦克设计!$B$14:$K$20,9)/30))</f>
        <v>1.5806654501357609</v>
      </c>
      <c r="BB117" s="172">
        <f ca="1">(VLOOKUP(BB$72,INDIRECT($C$5&amp;"生成成长"),2))/((VLOOKUP($B117,INDIRECT($B$5&amp;"生成成长"),4))/(VLOOKUP(BB$72,INDIRECT($C$5&amp;"生成成长"),5))*(VLOOKUP($B$5,标准坦克设计!$B$24:$U$30,MATCH("对"&amp;LEFT($C$5,2)&amp;"输出",标准坦克设计!$B$23:$U$23,0)))*(VLOOKUP($B117,INDIRECT($B$5&amp;"生成成长"),3))*(VLOOKUP($B$5,标准坦克设计!$B$14:$K$20,9)/30))</f>
        <v>1.7447851764116735</v>
      </c>
      <c r="BC117" s="172">
        <f ca="1">(VLOOKUP(BC$72,INDIRECT($C$5&amp;"生成成长"),2))/((VLOOKUP($B117,INDIRECT($B$5&amp;"生成成长"),4))/(VLOOKUP(BC$72,INDIRECT($C$5&amp;"生成成长"),5))*(VLOOKUP($B$5,标准坦克设计!$B$24:$U$30,MATCH("对"&amp;LEFT($C$5,2)&amp;"输出",标准坦克设计!$B$23:$U$23,0)))*(VLOOKUP($B117,INDIRECT($B$5&amp;"生成成长"),3))*(VLOOKUP($B$5,标准坦克设计!$B$14:$K$20,9)/30))</f>
        <v>1.9170095805283722</v>
      </c>
      <c r="BD117" s="172">
        <f ca="1">(VLOOKUP(BD$72,INDIRECT($C$5&amp;"生成成长"),2))/((VLOOKUP($B117,INDIRECT($B$5&amp;"生成成长"),4))/(VLOOKUP(BD$72,INDIRECT($C$5&amp;"生成成长"),5))*(VLOOKUP($B$5,标准坦克设计!$B$24:$U$30,MATCH("对"&amp;LEFT($C$5,2)&amp;"输出",标准坦克设计!$B$23:$U$23,0)))*(VLOOKUP($B117,INDIRECT($B$5&amp;"生成成长"),3))*(VLOOKUP($B$5,标准坦克设计!$B$14:$K$20,9)/30))</f>
        <v>2.1204496578912231</v>
      </c>
      <c r="BE117" s="172">
        <f ca="1">(VLOOKUP(BE$72,INDIRECT($C$5&amp;"生成成长"),2))/((VLOOKUP($B117,INDIRECT($B$5&amp;"生成成长"),4))/(VLOOKUP(BE$72,INDIRECT($C$5&amp;"生成成长"),5))*(VLOOKUP($B$5,标准坦克设计!$B$24:$U$30,MATCH("对"&amp;LEFT($C$5,2)&amp;"输出",标准坦克设计!$B$23:$U$23,0)))*(VLOOKUP($B117,INDIRECT($B$5&amp;"生成成长"),3))*(VLOOKUP($B$5,标准坦克设计!$B$14:$K$20,9)/30))</f>
        <v>2.3341472181463181</v>
      </c>
      <c r="BF117" s="172">
        <f ca="1">(VLOOKUP(BF$72,INDIRECT($C$5&amp;"生成成长"),2))/((VLOOKUP($B117,INDIRECT($B$5&amp;"生成成长"),4))/(VLOOKUP(BF$72,INDIRECT($C$5&amp;"生成成长"),5))*(VLOOKUP($B$5,标准坦克设计!$B$24:$U$30,MATCH("对"&amp;LEFT($C$5,2)&amp;"输出",标准坦克设计!$B$23:$U$23,0)))*(VLOOKUP($B117,INDIRECT($B$5&amp;"生成成长"),3))*(VLOOKUP($B$5,标准坦克设计!$B$14:$K$20,9)/30))</f>
        <v>2.5581022612936577</v>
      </c>
      <c r="BG117" s="172">
        <f ca="1">(VLOOKUP(BG$72,INDIRECT($C$5&amp;"生成成长"),2))/((VLOOKUP($B117,INDIRECT($B$5&amp;"生成成长"),4))/(VLOOKUP(BG$72,INDIRECT($C$5&amp;"生成成长"),5))*(VLOOKUP($B$5,标准坦克设计!$B$24:$U$30,MATCH("对"&amp;LEFT($C$5,2)&amp;"输出",标准坦克设计!$B$23:$U$23,0)))*(VLOOKUP($B117,INDIRECT($B$5&amp;"生成成长"),3))*(VLOOKUP($B$5,标准坦克设计!$B$14:$K$20,9)/30))</f>
        <v>2.7923147873332419</v>
      </c>
      <c r="BH117" s="172">
        <f ca="1">(VLOOKUP(BH$72,INDIRECT($C$5&amp;"生成成长"),2))/((VLOOKUP($B117,INDIRECT($B$5&amp;"生成成长"),4))/(VLOOKUP(BH$72,INDIRECT($C$5&amp;"生成成长"),5))*(VLOOKUP($B$5,标准坦克设计!$B$24:$U$30,MATCH("对"&amp;LEFT($C$5,2)&amp;"输出",标准坦克设计!$B$23:$U$23,0)))*(VLOOKUP($B117,INDIRECT($B$5&amp;"生成成长"),3))*(VLOOKUP($B$5,标准坦克设计!$B$14:$K$20,9)/30))</f>
        <v>1.3496821316733647</v>
      </c>
      <c r="BI117" s="172">
        <f ca="1">(VLOOKUP(BI$72,INDIRECT($C$5&amp;"生成成长"),2))/((VLOOKUP($B117,INDIRECT($B$5&amp;"生成成长"),4))/(VLOOKUP(BI$72,INDIRECT($C$5&amp;"生成成长"),5))*(VLOOKUP($B$5,标准坦克设计!$B$24:$U$30,MATCH("对"&amp;LEFT($C$5,2)&amp;"输出",标准坦克设计!$B$23:$U$23,0)))*(VLOOKUP($B117,INDIRECT($B$5&amp;"生成成长"),3))*(VLOOKUP($B$5,标准坦克设计!$B$14:$K$20,9)/30))</f>
        <v>1.5212100400381208</v>
      </c>
      <c r="BJ117" s="172">
        <f ca="1">(VLOOKUP(BJ$72,INDIRECT($C$5&amp;"生成成长"),2))/((VLOOKUP($B117,INDIRECT($B$5&amp;"生成成长"),4))/(VLOOKUP(BJ$72,INDIRECT($C$5&amp;"生成成长"),5))*(VLOOKUP($B$5,标准坦克设计!$B$24:$U$30,MATCH("对"&amp;LEFT($C$5,2)&amp;"输出",标准坦克设计!$B$23:$U$23,0)))*(VLOOKUP($B117,INDIRECT($B$5&amp;"生成成长"),3))*(VLOOKUP($B$5,标准坦克设计!$B$14:$K$20,9)/30))</f>
        <v>1.7029954312951214</v>
      </c>
      <c r="BK117" s="172">
        <f ca="1">(VLOOKUP(BK$72,INDIRECT($C$5&amp;"生成成长"),2))/((VLOOKUP($B117,INDIRECT($B$5&amp;"生成成长"),4))/(VLOOKUP(BK$72,INDIRECT($C$5&amp;"生成成长"),5))*(VLOOKUP($B$5,标准坦克设计!$B$24:$U$30,MATCH("对"&amp;LEFT($C$5,2)&amp;"输出",标准坦克设计!$B$23:$U$23,0)))*(VLOOKUP($B117,INDIRECT($B$5&amp;"生成成长"),3))*(VLOOKUP($B$5,标准坦克设计!$B$14:$K$20,9)/30))</f>
        <v>1.8950383054443671</v>
      </c>
      <c r="BL117" s="172">
        <f ca="1">(VLOOKUP(BL$72,INDIRECT($C$5&amp;"生成成长"),2))/((VLOOKUP($B117,INDIRECT($B$5&amp;"生成成长"),4))/(VLOOKUP(BL$72,INDIRECT($C$5&amp;"生成成长"),5))*(VLOOKUP($B$5,标准坦克设计!$B$24:$U$30,MATCH("对"&amp;LEFT($C$5,2)&amp;"输出",标准坦克设计!$B$23:$U$23,0)))*(VLOOKUP($B117,INDIRECT($B$5&amp;"生成成长"),3))*(VLOOKUP($B$5,标准坦克设计!$B$14:$K$20,9)/30))</f>
        <v>2.0973386624858574</v>
      </c>
      <c r="BM117" s="172">
        <f ca="1">(VLOOKUP(BM$72,INDIRECT($C$5&amp;"生成成长"),2))/((VLOOKUP($B117,INDIRECT($B$5&amp;"生成成长"),4))/(VLOOKUP(BM$72,INDIRECT($C$5&amp;"生成成长"),5))*(VLOOKUP($B$5,标准坦克设计!$B$24:$U$30,MATCH("对"&amp;LEFT($C$5,2)&amp;"输出",标准坦克设计!$B$23:$U$23,0)))*(VLOOKUP($B117,INDIRECT($B$5&amp;"生成成长"),3))*(VLOOKUP($B$5,标准坦克设计!$B$14:$K$20,9)/30))</f>
        <v>2.3098965024195914</v>
      </c>
      <c r="BN117" s="172">
        <f ca="1">(VLOOKUP(BN$72,INDIRECT($C$5&amp;"生成成长"),2))/((VLOOKUP($B117,INDIRECT($B$5&amp;"生成成长"),4))/(VLOOKUP(BN$72,INDIRECT($C$5&amp;"生成成长"),5))*(VLOOKUP($B$5,标准坦克设计!$B$24:$U$30,MATCH("对"&amp;LEFT($C$5,2)&amp;"输出",标准坦克设计!$B$23:$U$23,0)))*(VLOOKUP($B117,INDIRECT($B$5&amp;"生成成长"),3))*(VLOOKUP($B$5,标准坦克设计!$B$14:$K$20,9)/30))</f>
        <v>2.5327118252455705</v>
      </c>
      <c r="BO117" s="172">
        <f ca="1">(VLOOKUP(BO$72,INDIRECT($C$5&amp;"生成成长"),2))/((VLOOKUP($B117,INDIRECT($B$5&amp;"生成成长"),4))/(VLOOKUP(BO$72,INDIRECT($C$5&amp;"生成成长"),5))*(VLOOKUP($B$5,标准坦克设计!$B$24:$U$30,MATCH("对"&amp;LEFT($C$5,2)&amp;"输出",标准坦克设计!$B$23:$U$23,0)))*(VLOOKUP($B117,INDIRECT($B$5&amp;"生成成长"),3))*(VLOOKUP($B$5,标准坦克设计!$B$14:$K$20,9)/30))</f>
        <v>2.7657846309637941</v>
      </c>
      <c r="BP117" s="172">
        <f ca="1">(VLOOKUP(BP$72,INDIRECT($C$5&amp;"生成成长"),2))/((VLOOKUP($B117,INDIRECT($B$5&amp;"生成成长"),4))/(VLOOKUP(BP$72,INDIRECT($C$5&amp;"生成成长"),5))*(VLOOKUP($B$5,标准坦克设计!$B$24:$U$30,MATCH("对"&amp;LEFT($C$5,2)&amp;"输出",标准坦克设计!$B$23:$U$23,0)))*(VLOOKUP($B117,INDIRECT($B$5&amp;"生成成长"),3))*(VLOOKUP($B$5,标准坦克设计!$B$14:$K$20,9)/30))</f>
        <v>3.0091149195742624</v>
      </c>
      <c r="BQ117" s="172">
        <f ca="1">(VLOOKUP(BQ$72,INDIRECT($C$5&amp;"生成成长"),2))/((VLOOKUP($B117,INDIRECT($B$5&amp;"生成成长"),4))/(VLOOKUP(BQ$72,INDIRECT($C$5&amp;"生成成长"),5))*(VLOOKUP($B$5,标准坦克设计!$B$24:$U$30,MATCH("对"&amp;LEFT($C$5,2)&amp;"输出",标准坦克设计!$B$23:$U$23,0)))*(VLOOKUP($B117,INDIRECT($B$5&amp;"生成成长"),3))*(VLOOKUP($B$5,标准坦克设计!$B$14:$K$20,9)/30))</f>
        <v>3.2627026910769752</v>
      </c>
      <c r="BR117" s="172">
        <f ca="1">(VLOOKUP(BR$72,INDIRECT($C$5&amp;"生成成长"),2))/((VLOOKUP($B117,INDIRECT($B$5&amp;"生成成长"),4))/(VLOOKUP(BR$72,INDIRECT($C$5&amp;"生成成长"),5))*(VLOOKUP($B$5,标准坦克设计!$B$24:$U$30,MATCH("对"&amp;LEFT($C$5,2)&amp;"输出",标准坦克设计!$B$23:$U$23,0)))*(VLOOKUP($B117,INDIRECT($B$5&amp;"生成成长"),3))*(VLOOKUP($B$5,标准坦克设计!$B$14:$K$20,9)/30))</f>
        <v>3.5564972628054607</v>
      </c>
      <c r="BS117" s="172">
        <f ca="1">(VLOOKUP(BS$72,INDIRECT($C$5&amp;"生成成长"),2))/((VLOOKUP($B117,INDIRECT($B$5&amp;"生成成长"),4))/(VLOOKUP(BS$72,INDIRECT($C$5&amp;"生成成长"),5))*(VLOOKUP($B$5,标准坦克设计!$B$24:$U$30,MATCH("对"&amp;LEFT($C$5,2)&amp;"输出",标准坦克设计!$B$23:$U$23,0)))*(VLOOKUP($B117,INDIRECT($B$5&amp;"生成成长"),3))*(VLOOKUP($B$5,标准坦克设计!$B$14:$K$20,9)/30))</f>
        <v>3.862955393660175</v>
      </c>
      <c r="BT117" s="172">
        <f ca="1">(VLOOKUP(BT$72,INDIRECT($C$5&amp;"生成成长"),2))/((VLOOKUP($B117,INDIRECT($B$5&amp;"生成成长"),4))/(VLOOKUP(BT$72,INDIRECT($C$5&amp;"生成成长"),5))*(VLOOKUP($B$5,标准坦克设计!$B$24:$U$30,MATCH("对"&amp;LEFT($C$5,2)&amp;"输出",标准坦克设计!$B$23:$U$23,0)))*(VLOOKUP($B117,INDIRECT($B$5&amp;"生成成长"),3))*(VLOOKUP($B$5,标准坦克设计!$B$14:$K$20,9)/30))</f>
        <v>4.1820770836411176</v>
      </c>
      <c r="BU117" s="172">
        <f ca="1">(VLOOKUP(BU$72,INDIRECT($C$5&amp;"生成成长"),2))/((VLOOKUP($B117,INDIRECT($B$5&amp;"生成成长"),4))/(VLOOKUP(BU$72,INDIRECT($C$5&amp;"生成成长"),5))*(VLOOKUP($B$5,标准坦克设计!$B$24:$U$30,MATCH("对"&amp;LEFT($C$5,2)&amp;"输出",标准坦克设计!$B$23:$U$23,0)))*(VLOOKUP($B117,INDIRECT($B$5&amp;"生成成长"),3))*(VLOOKUP($B$5,标准坦克设计!$B$14:$K$20,9)/30))</f>
        <v>4.5138623327482872</v>
      </c>
      <c r="BV117" s="172">
        <f ca="1">(VLOOKUP(BV$72,INDIRECT($C$5&amp;"生成成长"),2))/((VLOOKUP($B117,INDIRECT($B$5&amp;"生成成长"),4))/(VLOOKUP(BV$72,INDIRECT($C$5&amp;"生成成长"),5))*(VLOOKUP($B$5,标准坦克设计!$B$24:$U$30,MATCH("对"&amp;LEFT($C$5,2)&amp;"输出",标准坦克设计!$B$23:$U$23,0)))*(VLOOKUP($B117,INDIRECT($B$5&amp;"生成成长"),3))*(VLOOKUP($B$5,标准坦克设计!$B$14:$K$20,9)/30))</f>
        <v>4.8583111409816846</v>
      </c>
      <c r="BW117" s="172">
        <f ca="1">(VLOOKUP(BW$72,INDIRECT($C$5&amp;"生成成长"),2))/((VLOOKUP($B117,INDIRECT($B$5&amp;"生成成长"),4))/(VLOOKUP(BW$72,INDIRECT($C$5&amp;"生成成长"),5))*(VLOOKUP($B$5,标准坦克设计!$B$24:$U$30,MATCH("对"&amp;LEFT($C$5,2)&amp;"输出",标准坦克设计!$B$23:$U$23,0)))*(VLOOKUP($B117,INDIRECT($B$5&amp;"生成成长"),3))*(VLOOKUP($B$5,标准坦克设计!$B$14:$K$20,9)/30))</f>
        <v>2.2141599954253088</v>
      </c>
      <c r="BX117" s="172">
        <f ca="1">(VLOOKUP(BX$72,INDIRECT($C$5&amp;"生成成长"),2))/((VLOOKUP($B117,INDIRECT($B$5&amp;"生成成长"),4))/(VLOOKUP(BX$72,INDIRECT($C$5&amp;"生成成长"),5))*(VLOOKUP($B$5,标准坦克设计!$B$24:$U$30,MATCH("对"&amp;LEFT($C$5,2)&amp;"输出",标准坦克设计!$B$23:$U$23,0)))*(VLOOKUP($B117,INDIRECT($B$5&amp;"生成成长"),3))*(VLOOKUP($B$5,标准坦克设计!$B$14:$K$20,9)/30))</f>
        <v>2.4573003306488839</v>
      </c>
      <c r="BY117" s="172">
        <f ca="1">(VLOOKUP(BY$72,INDIRECT($C$5&amp;"生成成长"),2))/((VLOOKUP($B117,INDIRECT($B$5&amp;"生成成长"),4))/(VLOOKUP(BY$72,INDIRECT($C$5&amp;"生成成长"),5))*(VLOOKUP($B$5,标准坦克设计!$B$24:$U$30,MATCH("对"&amp;LEFT($C$5,2)&amp;"输出",标准坦克设计!$B$23:$U$23,0)))*(VLOOKUP($B117,INDIRECT($B$5&amp;"生成成长"),3))*(VLOOKUP($B$5,标准坦克设计!$B$14:$K$20,9)/30))</f>
        <v>2.7131042249986863</v>
      </c>
      <c r="BZ117" s="172">
        <f ca="1">(VLOOKUP(BZ$72,INDIRECT($C$5&amp;"生成成长"),2))/((VLOOKUP($B117,INDIRECT($B$5&amp;"生成成长"),4))/(VLOOKUP(BZ$72,INDIRECT($C$5&amp;"生成成长"),5))*(VLOOKUP($B$5,标准坦克设计!$B$24:$U$30,MATCH("对"&amp;LEFT($C$5,2)&amp;"输出",标准坦克设计!$B$23:$U$23,0)))*(VLOOKUP($B117,INDIRECT($B$5&amp;"生成成长"),3))*(VLOOKUP($B$5,标准坦克设计!$B$14:$K$20,9)/30))</f>
        <v>2.981571678474717</v>
      </c>
      <c r="CA117" s="172">
        <f ca="1">(VLOOKUP(CA$72,INDIRECT($C$5&amp;"生成成长"),2))/((VLOOKUP($B117,INDIRECT($B$5&amp;"生成成长"),4))/(VLOOKUP(CA$72,INDIRECT($C$5&amp;"生成成长"),5))*(VLOOKUP($B$5,标准坦克设计!$B$24:$U$30,MATCH("对"&amp;LEFT($C$5,2)&amp;"输出",标准坦克设计!$B$23:$U$23,0)))*(VLOOKUP($B117,INDIRECT($B$5&amp;"生成成长"),3))*(VLOOKUP($B$5,标准坦克设计!$B$14:$K$20,9)/30))</f>
        <v>3.2627026910769752</v>
      </c>
      <c r="CB117" s="172">
        <f ca="1">(VLOOKUP(CB$72,INDIRECT($C$5&amp;"生成成长"),2))/((VLOOKUP($B117,INDIRECT($B$5&amp;"生成成长"),4))/(VLOOKUP(CB$72,INDIRECT($C$5&amp;"生成成长"),5))*(VLOOKUP($B$5,标准坦克设计!$B$24:$U$30,MATCH("对"&amp;LEFT($C$5,2)&amp;"输出",标准坦克设计!$B$23:$U$23,0)))*(VLOOKUP($B117,INDIRECT($B$5&amp;"生成成长"),3))*(VLOOKUP($B$5,标准坦克设计!$B$14:$K$20,9)/30))</f>
        <v>3.5564972628054607</v>
      </c>
      <c r="CC117" s="172">
        <f ca="1">(VLOOKUP(CC$72,INDIRECT($C$5&amp;"生成成长"),2))/((VLOOKUP($B117,INDIRECT($B$5&amp;"生成成长"),4))/(VLOOKUP(CC$72,INDIRECT($C$5&amp;"生成成长"),5))*(VLOOKUP($B$5,标准坦克设计!$B$24:$U$30,MATCH("对"&amp;LEFT($C$5,2)&amp;"输出",标准坦克设计!$B$23:$U$23,0)))*(VLOOKUP($B117,INDIRECT($B$5&amp;"生成成长"),3))*(VLOOKUP($B$5,标准坦克设计!$B$14:$K$20,9)/30))</f>
        <v>3.862955393660175</v>
      </c>
      <c r="CD117" s="172">
        <f ca="1">(VLOOKUP(CD$72,INDIRECT($C$5&amp;"生成成长"),2))/((VLOOKUP($B117,INDIRECT($B$5&amp;"生成成长"),4))/(VLOOKUP(CD$72,INDIRECT($C$5&amp;"生成成长"),5))*(VLOOKUP($B$5,标准坦克设计!$B$24:$U$30,MATCH("对"&amp;LEFT($C$5,2)&amp;"输出",标准坦克设计!$B$23:$U$23,0)))*(VLOOKUP($B117,INDIRECT($B$5&amp;"生成成长"),3))*(VLOOKUP($B$5,标准坦克设计!$B$14:$K$20,9)/30))</f>
        <v>4.1820770836411176</v>
      </c>
      <c r="CE117" s="172">
        <f ca="1">(VLOOKUP(CE$72,INDIRECT($C$5&amp;"生成成长"),2))/((VLOOKUP($B117,INDIRECT($B$5&amp;"生成成长"),4))/(VLOOKUP(CE$72,INDIRECT($C$5&amp;"生成成长"),5))*(VLOOKUP($B$5,标准坦克设计!$B$24:$U$30,MATCH("对"&amp;LEFT($C$5,2)&amp;"输出",标准坦克设计!$B$23:$U$23,0)))*(VLOOKUP($B117,INDIRECT($B$5&amp;"生成成长"),3))*(VLOOKUP($B$5,标准坦克设计!$B$14:$K$20,9)/30))</f>
        <v>4.5138623327482872</v>
      </c>
      <c r="CF117" s="172">
        <f ca="1">(VLOOKUP(CF$72,INDIRECT($C$5&amp;"生成成长"),2))/((VLOOKUP($B117,INDIRECT($B$5&amp;"生成成长"),4))/(VLOOKUP(CF$72,INDIRECT($C$5&amp;"生成成长"),5))*(VLOOKUP($B$5,标准坦克设计!$B$24:$U$30,MATCH("对"&amp;LEFT($C$5,2)&amp;"输出",标准坦克设计!$B$23:$U$23,0)))*(VLOOKUP($B117,INDIRECT($B$5&amp;"生成成长"),3))*(VLOOKUP($B$5,标准坦克设计!$B$14:$K$20,9)/30))</f>
        <v>4.8583111409816846</v>
      </c>
      <c r="CG117" s="172">
        <f ca="1">(VLOOKUP(CG$72,INDIRECT($C$5&amp;"生成成长"),2))/((VLOOKUP($B117,INDIRECT($B$5&amp;"生成成长"),4))/(VLOOKUP(CG$72,INDIRECT($C$5&amp;"生成成长"),5))*(VLOOKUP($B$5,标准坦克设计!$B$24:$U$30,MATCH("对"&amp;LEFT($C$5,2)&amp;"输出",标准坦克设计!$B$23:$U$23,0)))*(VLOOKUP($B117,INDIRECT($B$5&amp;"生成成长"),3))*(VLOOKUP($B$5,标准坦克设计!$B$14:$K$20,9)/30))</f>
        <v>5.2154235083413099</v>
      </c>
      <c r="CH117" s="172">
        <f ca="1">(VLOOKUP(CH$72,INDIRECT($C$5&amp;"生成成长"),2))/((VLOOKUP($B117,INDIRECT($B$5&amp;"生成成长"),4))/(VLOOKUP(CH$72,INDIRECT($C$5&amp;"生成成长"),5))*(VLOOKUP($B$5,标准坦克设计!$B$24:$U$30,MATCH("对"&amp;LEFT($C$5,2)&amp;"输出",标准坦克设计!$B$23:$U$23,0)))*(VLOOKUP($B117,INDIRECT($B$5&amp;"生成成长"),3))*(VLOOKUP($B$5,标准坦克设计!$B$14:$K$20,9)/30))</f>
        <v>5.585199434827163</v>
      </c>
      <c r="CI117" s="172">
        <f ca="1">(VLOOKUP(CI$72,INDIRECT($C$5&amp;"生成成长"),2))/((VLOOKUP($B117,INDIRECT($B$5&amp;"生成成长"),4))/(VLOOKUP(CI$72,INDIRECT($C$5&amp;"生成成长"),5))*(VLOOKUP($B$5,标准坦克设计!$B$24:$U$30,MATCH("对"&amp;LEFT($C$5,2)&amp;"输出",标准坦克设计!$B$23:$U$23,0)))*(VLOOKUP($B117,INDIRECT($B$5&amp;"生成成长"),3))*(VLOOKUP($B$5,标准坦克设计!$B$14:$K$20,9)/30))</f>
        <v>6.0065793647523957</v>
      </c>
      <c r="CJ117" s="172">
        <f ca="1">(VLOOKUP(CJ$72,INDIRECT($C$5&amp;"生成成长"),2))/((VLOOKUP($B117,INDIRECT($B$5&amp;"生成成长"),4))/(VLOOKUP(CJ$72,INDIRECT($C$5&amp;"生成成长"),5))*(VLOOKUP($B$5,标准坦克设计!$B$24:$U$30,MATCH("对"&amp;LEFT($C$5,2)&amp;"输出",标准坦克设计!$B$23:$U$23,0)))*(VLOOKUP($B117,INDIRECT($B$5&amp;"生成成长"),3))*(VLOOKUP($B$5,标准坦克设计!$B$14:$K$20,9)/30))</f>
        <v>6.4432822012203621</v>
      </c>
      <c r="CK117" s="172">
        <f ca="1">(VLOOKUP(CK$72,INDIRECT($C$5&amp;"生成成长"),2))/((VLOOKUP($B117,INDIRECT($B$5&amp;"生成成长"),4))/(VLOOKUP(CK$72,INDIRECT($C$5&amp;"生成成长"),5))*(VLOOKUP($B$5,标准坦克设计!$B$24:$U$30,MATCH("对"&amp;LEFT($C$5,2)&amp;"输出",标准坦克设计!$B$23:$U$23,0)))*(VLOOKUP($B117,INDIRECT($B$5&amp;"生成成长"),3))*(VLOOKUP($B$5,标准坦克设计!$B$14:$K$20,9)/30))</f>
        <v>6.8953079442310665</v>
      </c>
      <c r="CL117" s="172">
        <f ca="1">(VLOOKUP(CL$72,INDIRECT($C$5&amp;"生成成长"),2))/((VLOOKUP($B117,INDIRECT($B$5&amp;"生成成长"),4))/(VLOOKUP(CL$72,INDIRECT($C$5&amp;"生成成长"),5))*(VLOOKUP($B$5,标准坦克设计!$B$24:$U$30,MATCH("对"&amp;LEFT($C$5,2)&amp;"输出",标准坦克设计!$B$23:$U$23,0)))*(VLOOKUP($B117,INDIRECT($B$5&amp;"生成成长"),3))*(VLOOKUP($B$5,标准坦克设计!$B$14:$K$20,9)/30))</f>
        <v>7.3626565937845045</v>
      </c>
      <c r="CM117" s="172">
        <f ca="1">(VLOOKUP(CM$72,INDIRECT($C$5&amp;"生成成长"),2))/((VLOOKUP($B117,INDIRECT($B$5&amp;"生成成长"),4))/(VLOOKUP(CM$72,INDIRECT($C$5&amp;"生成成长"),5))*(VLOOKUP($B$5,标准坦克设计!$B$24:$U$30,MATCH("对"&amp;LEFT($C$5,2)&amp;"输出",标准坦克设计!$B$23:$U$23,0)))*(VLOOKUP($B117,INDIRECT($B$5&amp;"生成成长"),3))*(VLOOKUP($B$5,标准坦克设计!$B$14:$K$20,9)/30))</f>
        <v>7.8453281498806806</v>
      </c>
      <c r="CN117" s="172">
        <f ca="1">(VLOOKUP(CN$72,INDIRECT($C$5&amp;"生成成长"),2))/((VLOOKUP($B117,INDIRECT($B$5&amp;"生成成长"),4))/(VLOOKUP(CN$72,INDIRECT($C$5&amp;"生成成长"),5))*(VLOOKUP($B$5,标准坦克设计!$B$24:$U$30,MATCH("对"&amp;LEFT($C$5,2)&amp;"输出",标准坦克设计!$B$23:$U$23,0)))*(VLOOKUP($B117,INDIRECT($B$5&amp;"生成成长"),3))*(VLOOKUP($B$5,标准坦克设计!$B$14:$K$20,9)/30))</f>
        <v>8.3433226125195912</v>
      </c>
      <c r="CO117" s="172">
        <f ca="1">(VLOOKUP(CO$72,INDIRECT($C$5&amp;"生成成长"),2))/((VLOOKUP($B117,INDIRECT($B$5&amp;"生成成长"),4))/(VLOOKUP(CO$72,INDIRECT($C$5&amp;"生成成长"),5))*(VLOOKUP($B$5,标准坦克设计!$B$24:$U$30,MATCH("对"&amp;LEFT($C$5,2)&amp;"输出",标准坦克设计!$B$23:$U$23,0)))*(VLOOKUP($B117,INDIRECT($B$5&amp;"生成成长"),3))*(VLOOKUP($B$5,标准坦克设计!$B$14:$K$20,9)/30))</f>
        <v>3.7388525142231428</v>
      </c>
      <c r="CP117" s="172">
        <f ca="1">(VLOOKUP(CP$72,INDIRECT($C$5&amp;"生成成长"),2))/((VLOOKUP($B117,INDIRECT($B$5&amp;"生成成长"),4))/(VLOOKUP(CP$72,INDIRECT($C$5&amp;"生成成长"),5))*(VLOOKUP($B$5,标准坦克设计!$B$24:$U$30,MATCH("对"&amp;LEFT($C$5,2)&amp;"输出",标准坦克设计!$B$23:$U$23,0)))*(VLOOKUP($B117,INDIRECT($B$5&amp;"生成成长"),3))*(VLOOKUP($B$5,标准坦克设计!$B$14:$K$20,9)/30))</f>
        <v>4.0850109029385804</v>
      </c>
      <c r="CQ117" s="172">
        <f ca="1">(VLOOKUP(CQ$72,INDIRECT($C$5&amp;"生成成长"),2))/((VLOOKUP($B117,INDIRECT($B$5&amp;"生成成长"),4))/(VLOOKUP(CQ$72,INDIRECT($C$5&amp;"生成成长"),5))*(VLOOKUP($B$5,标准坦克设计!$B$24:$U$30,MATCH("对"&amp;LEFT($C$5,2)&amp;"输出",标准坦克设计!$B$23:$U$23,0)))*(VLOOKUP($B117,INDIRECT($B$5&amp;"生成成长"),3))*(VLOOKUP($B$5,标准坦克设计!$B$14:$K$20,9)/30))</f>
        <v>4.4464921981967551</v>
      </c>
      <c r="CR117" s="172">
        <f ca="1">(VLOOKUP(CR$72,INDIRECT($C$5&amp;"生成成长"),2))/((VLOOKUP($B117,INDIRECT($B$5&amp;"生成成长"),4))/(VLOOKUP(CR$72,INDIRECT($C$5&amp;"生成成长"),5))*(VLOOKUP($B$5,标准坦克设计!$B$24:$U$30,MATCH("对"&amp;LEFT($C$5,2)&amp;"输出",标准坦克设计!$B$23:$U$23,0)))*(VLOOKUP($B117,INDIRECT($B$5&amp;"生成成长"),3))*(VLOOKUP($B$5,标准坦克设计!$B$14:$K$20,9)/30))</f>
        <v>4.8232963999976652</v>
      </c>
      <c r="CS117" s="172">
        <f ca="1">(VLOOKUP(CS$72,INDIRECT($C$5&amp;"生成成长"),2))/((VLOOKUP($B117,INDIRECT($B$5&amp;"生成成长"),4))/(VLOOKUP(CS$72,INDIRECT($C$5&amp;"生成成长"),5))*(VLOOKUP($B$5,标准坦克设计!$B$24:$U$30,MATCH("对"&amp;LEFT($C$5,2)&amp;"输出",标准坦克设计!$B$23:$U$23,0)))*(VLOOKUP($B117,INDIRECT($B$5&amp;"生成成长"),3))*(VLOOKUP($B$5,标准坦克设计!$B$14:$K$20,9)/30))</f>
        <v>5.2154235083413099</v>
      </c>
      <c r="CT117" s="172">
        <f ca="1">(VLOOKUP(CT$72,INDIRECT($C$5&amp;"生成成长"),2))/((VLOOKUP($B117,INDIRECT($B$5&amp;"生成成长"),4))/(VLOOKUP(CT$72,INDIRECT($C$5&amp;"生成成长"),5))*(VLOOKUP($B$5,标准坦克设计!$B$24:$U$30,MATCH("对"&amp;LEFT($C$5,2)&amp;"输出",标准坦克设计!$B$23:$U$23,0)))*(VLOOKUP($B117,INDIRECT($B$5&amp;"生成成长"),3))*(VLOOKUP($B$5,标准坦克设计!$B$14:$K$20,9)/30))</f>
        <v>5.6228735232276916</v>
      </c>
      <c r="CU117" s="172">
        <f ca="1">(VLOOKUP(CU$72,INDIRECT($C$5&amp;"生成成长"),2))/((VLOOKUP($B117,INDIRECT($B$5&amp;"生成成长"),4))/(VLOOKUP(CU$72,INDIRECT($C$5&amp;"生成成长"),5))*(VLOOKUP($B$5,标准坦克设计!$B$24:$U$30,MATCH("对"&amp;LEFT($C$5,2)&amp;"输出",标准坦克设计!$B$23:$U$23,0)))*(VLOOKUP($B117,INDIRECT($B$5&amp;"生成成长"),3))*(VLOOKUP($B$5,标准坦克设计!$B$14:$K$20,9)/30))</f>
        <v>6.0456464446568088</v>
      </c>
      <c r="CV117" s="172">
        <f ca="1">(VLOOKUP(CV$72,INDIRECT($C$5&amp;"生成成长"),2))/((VLOOKUP($B117,INDIRECT($B$5&amp;"生成成长"),4))/(VLOOKUP(CV$72,INDIRECT($C$5&amp;"生成成长"),5))*(VLOOKUP($B$5,标准坦克设计!$B$24:$U$30,MATCH("对"&amp;LEFT($C$5,2)&amp;"输出",标准坦克设计!$B$23:$U$23,0)))*(VLOOKUP($B117,INDIRECT($B$5&amp;"生成成长"),3))*(VLOOKUP($B$5,标准坦克设计!$B$14:$K$20,9)/30))</f>
        <v>6.4837422726286595</v>
      </c>
      <c r="CW117" s="172">
        <f ca="1">(VLOOKUP(CW$72,INDIRECT($C$5&amp;"生成成长"),2))/((VLOOKUP($B117,INDIRECT($B$5&amp;"生成成长"),4))/(VLOOKUP(CW$72,INDIRECT($C$5&amp;"生成成长"),5))*(VLOOKUP($B$5,标准坦克设计!$B$24:$U$30,MATCH("对"&amp;LEFT($C$5,2)&amp;"输出",标准坦克设计!$B$23:$U$23,0)))*(VLOOKUP($B117,INDIRECT($B$5&amp;"生成成长"),3))*(VLOOKUP($B$5,标准坦克设计!$B$14:$K$20,9)/30))</f>
        <v>6.9371610071432483</v>
      </c>
      <c r="CX117" s="172">
        <f ca="1">(VLOOKUP(CX$72,INDIRECT($C$5&amp;"生成成长"),2))/((VLOOKUP($B117,INDIRECT($B$5&amp;"生成成长"),4))/(VLOOKUP(CX$72,INDIRECT($C$5&amp;"生成成长"),5))*(VLOOKUP($B$5,标准坦克设计!$B$24:$U$30,MATCH("对"&amp;LEFT($C$5,2)&amp;"输出",标准坦克设计!$B$23:$U$23,0)))*(VLOOKUP($B117,INDIRECT($B$5&amp;"生成成长"),3))*(VLOOKUP($B$5,标准坦克设计!$B$14:$K$20,9)/30))</f>
        <v>7.4059026482005725</v>
      </c>
      <c r="CY117" s="172">
        <f ca="1">(VLOOKUP(CY$72,INDIRECT($C$5&amp;"生成成长"),2))/((VLOOKUP($B117,INDIRECT($B$5&amp;"生成成长"),4))/(VLOOKUP(CY$72,INDIRECT($C$5&amp;"生成成长"),5))*(VLOOKUP($B$5,标准坦克设计!$B$24:$U$30,MATCH("对"&amp;LEFT($C$5,2)&amp;"输出",标准坦克设计!$B$23:$U$23,0)))*(VLOOKUP($B117,INDIRECT($B$5&amp;"生成成长"),3))*(VLOOKUP($B$5,标准坦克设计!$B$14:$K$20,9)/30))</f>
        <v>7.8899671958006312</v>
      </c>
      <c r="CZ117" s="172">
        <f ca="1">(VLOOKUP(CZ$72,INDIRECT($C$5&amp;"生成成长"),2))/((VLOOKUP($B117,INDIRECT($B$5&amp;"生成成长"),4))/(VLOOKUP(CZ$72,INDIRECT($C$5&amp;"生成成长"),5))*(VLOOKUP($B$5,标准坦克设计!$B$24:$U$30,MATCH("对"&amp;LEFT($C$5,2)&amp;"输出",标准坦克设计!$B$23:$U$23,0)))*(VLOOKUP($B117,INDIRECT($B$5&amp;"生成成长"),3))*(VLOOKUP($B$5,标准坦克设计!$B$14:$K$20,9)/30))</f>
        <v>8.3893546499434297</v>
      </c>
      <c r="DA117" s="172">
        <f ca="1">(VLOOKUP(DA$72,INDIRECT($C$5&amp;"生成成长"),2))/((VLOOKUP($B117,INDIRECT($B$5&amp;"生成成长"),4))/(VLOOKUP(DA$72,INDIRECT($C$5&amp;"生成成长"),5))*(VLOOKUP($B$5,标准坦克设计!$B$24:$U$30,MATCH("对"&amp;LEFT($C$5,2)&amp;"输出",标准坦克设计!$B$23:$U$23,0)))*(VLOOKUP($B117,INDIRECT($B$5&amp;"生成成长"),3))*(VLOOKUP($B$5,标准坦克设计!$B$14:$K$20,9)/30))</f>
        <v>8.9040650106289583</v>
      </c>
      <c r="DB117" s="172">
        <f ca="1">(VLOOKUP(DB$72,INDIRECT($C$5&amp;"生成成长"),2))/((VLOOKUP($B117,INDIRECT($B$5&amp;"生成成长"),4))/(VLOOKUP(DB$72,INDIRECT($C$5&amp;"生成成长"),5))*(VLOOKUP($B$5,标准坦克设计!$B$24:$U$30,MATCH("对"&amp;LEFT($C$5,2)&amp;"输出",标准坦克设计!$B$23:$U$23,0)))*(VLOOKUP($B117,INDIRECT($B$5&amp;"生成成长"),3))*(VLOOKUP($B$5,标准坦克设计!$B$14:$K$20,9)/30))</f>
        <v>9.4340982778572258</v>
      </c>
      <c r="DC117" s="172">
        <f ca="1">(VLOOKUP(DC$72,INDIRECT($C$5&amp;"生成成长"),2))/((VLOOKUP($B117,INDIRECT($B$5&amp;"生成成长"),4))/(VLOOKUP(DC$72,INDIRECT($C$5&amp;"生成成长"),5))*(VLOOKUP($B$5,标准坦克设计!$B$24:$U$30,MATCH("对"&amp;LEFT($C$5,2)&amp;"输出",标准坦克设计!$B$23:$U$23,0)))*(VLOOKUP($B117,INDIRECT($B$5&amp;"生成成长"),3))*(VLOOKUP($B$5,标准坦克设计!$B$14:$K$20,9)/30))</f>
        <v>10.029792099154985</v>
      </c>
      <c r="DD117" s="172">
        <f ca="1">(VLOOKUP(DD$72,INDIRECT($C$5&amp;"生成成长"),2))/((VLOOKUP($B117,INDIRECT($B$5&amp;"生成成长"),4))/(VLOOKUP(DD$72,INDIRECT($C$5&amp;"生成成长"),5))*(VLOOKUP($B$5,标准坦克设计!$B$24:$U$30,MATCH("对"&amp;LEFT($C$5,2)&amp;"输出",标准坦克设计!$B$23:$U$23,0)))*(VLOOKUP($B117,INDIRECT($B$5&amp;"生成成长"),3))*(VLOOKUP($B$5,标准坦克设计!$B$14:$K$20,9)/30))</f>
        <v>10.643721445594512</v>
      </c>
      <c r="DE117" s="172">
        <f ca="1">(VLOOKUP(DE$72,INDIRECT($C$5&amp;"生成成长"),2))/((VLOOKUP($B117,INDIRECT($B$5&amp;"生成成长"),4))/(VLOOKUP(DE$72,INDIRECT($C$5&amp;"生成成长"),5))*(VLOOKUP($B$5,标准坦克设计!$B$24:$U$30,MATCH("对"&amp;LEFT($C$5,2)&amp;"输出",标准坦克设计!$B$23:$U$23,0)))*(VLOOKUP($B117,INDIRECT($B$5&amp;"生成成长"),3))*(VLOOKUP($B$5,标准坦克设计!$B$14:$K$20,9)/30))</f>
        <v>11.275886317175805</v>
      </c>
      <c r="DF117" s="172">
        <f ca="1">(VLOOKUP(DF$72,INDIRECT($C$5&amp;"生成成长"),2))/((VLOOKUP($B117,INDIRECT($B$5&amp;"生成成长"),4))/(VLOOKUP(DF$72,INDIRECT($C$5&amp;"生成成长"),5))*(VLOOKUP($B$5,标准坦克设计!$B$24:$U$30,MATCH("对"&amp;LEFT($C$5,2)&amp;"输出",标准坦克设计!$B$23:$U$23,0)))*(VLOOKUP($B117,INDIRECT($B$5&amp;"生成成长"),3))*(VLOOKUP($B$5,标准坦克设计!$B$14:$K$20,9)/30))</f>
        <v>11.926286713898868</v>
      </c>
      <c r="DG117" s="172">
        <f ca="1">(VLOOKUP(DG$72,INDIRECT($C$5&amp;"生成成长"),2))/((VLOOKUP($B117,INDIRECT($B$5&amp;"生成成长"),4))/(VLOOKUP(DG$72,INDIRECT($C$5&amp;"生成成长"),5))*(VLOOKUP($B$5,标准坦克设计!$B$24:$U$30,MATCH("对"&amp;LEFT($C$5,2)&amp;"输出",标准坦克设计!$B$23:$U$23,0)))*(VLOOKUP($B117,INDIRECT($B$5&amp;"生成成长"),3))*(VLOOKUP($B$5,标准坦克设计!$B$14:$K$20,9)/30))</f>
        <v>12.594922635763698</v>
      </c>
      <c r="DH117" s="172">
        <f ca="1">(VLOOKUP(DH$72,INDIRECT($C$5&amp;"生成成长"),2))/((VLOOKUP($B117,INDIRECT($B$5&amp;"生成成长"),4))/(VLOOKUP(DH$72,INDIRECT($C$5&amp;"生成成长"),5))*(VLOOKUP($B$5,标准坦克设计!$B$24:$U$30,MATCH("对"&amp;LEFT($C$5,2)&amp;"输出",标准坦克设计!$B$23:$U$23,0)))*(VLOOKUP($B117,INDIRECT($B$5&amp;"生成成长"),3))*(VLOOKUP($B$5,标准坦克设计!$B$14:$K$20,9)/30))</f>
        <v>13.281794082770297</v>
      </c>
      <c r="DI117" s="172">
        <f ca="1">(VLOOKUP(DI$72,INDIRECT($C$5&amp;"生成成长"),2))/((VLOOKUP($B117,INDIRECT($B$5&amp;"生成成长"),4))/(VLOOKUP(DI$72,INDIRECT($C$5&amp;"生成成长"),5))*(VLOOKUP($B$5,标准坦克设计!$B$24:$U$30,MATCH("对"&amp;LEFT($C$5,2)&amp;"输出",标准坦克设计!$B$23:$U$23,0)))*(VLOOKUP($B117,INDIRECT($B$5&amp;"生成成长"),3))*(VLOOKUP($B$5,标准坦克设计!$B$14:$K$20,9)/30))</f>
        <v>13.986901054918663</v>
      </c>
      <c r="DJ117" s="172">
        <f ca="1">(VLOOKUP(DJ$72,INDIRECT($C$5&amp;"生成成长"),2))/((VLOOKUP($B117,INDIRECT($B$5&amp;"生成成长"),4))/(VLOOKUP(DJ$72,INDIRECT($C$5&amp;"生成成长"),5))*(VLOOKUP($B$5,标准坦克设计!$B$24:$U$30,MATCH("对"&amp;LEFT($C$5,2)&amp;"输出",标准坦克设计!$B$23:$U$23,0)))*(VLOOKUP($B117,INDIRECT($B$5&amp;"生成成长"),3))*(VLOOKUP($B$5,标准坦克设计!$B$14:$K$20,9)/30))</f>
        <v>1.4057183808069229</v>
      </c>
      <c r="DK117" s="172">
        <f ca="1">(VLOOKUP(DK$72,INDIRECT($C$5&amp;"生成成长"),2))/((VLOOKUP($B117,INDIRECT($B$5&amp;"生成成长"),4))/(VLOOKUP(DK$72,INDIRECT($C$5&amp;"生成成长"),5))*(VLOOKUP($B$5,标准坦克设计!$B$24:$U$30,MATCH("对"&amp;LEFT($C$5,2)&amp;"输出",标准坦克设计!$B$23:$U$23,0)))*(VLOOKUP($B117,INDIRECT($B$5&amp;"生成成长"),3))*(VLOOKUP($B$5,标准坦克设计!$B$14:$K$20,9)/30))</f>
        <v>1.5806654501357609</v>
      </c>
      <c r="DL117" s="172">
        <f ca="1">(VLOOKUP(DL$72,INDIRECT($C$5&amp;"生成成长"),2))/((VLOOKUP($B117,INDIRECT($B$5&amp;"生成成长"),4))/(VLOOKUP(DL$72,INDIRECT($C$5&amp;"生成成长"),5))*(VLOOKUP($B$5,标准坦克设计!$B$24:$U$30,MATCH("对"&amp;LEFT($C$5,2)&amp;"输出",标准坦克设计!$B$23:$U$23,0)))*(VLOOKUP($B117,INDIRECT($B$5&amp;"生成成长"),3))*(VLOOKUP($B$5,标准坦克设计!$B$14:$K$20,9)/30))</f>
        <v>1.765870002356843</v>
      </c>
      <c r="DM117" s="172">
        <f ca="1">(VLOOKUP(DM$72,INDIRECT($C$5&amp;"生成成长"),2))/((VLOOKUP($B117,INDIRECT($B$5&amp;"生成成长"),4))/(VLOOKUP(DM$72,INDIRECT($C$5&amp;"生成成长"),5))*(VLOOKUP($B$5,标准坦克设计!$B$24:$U$30,MATCH("对"&amp;LEFT($C$5,2)&amp;"输出",标准坦克设计!$B$23:$U$23,0)))*(VLOOKUP($B117,INDIRECT($B$5&amp;"生成成长"),3))*(VLOOKUP($B$5,标准坦克设计!$B$14:$K$20,9)/30))</f>
        <v>1.9613320374701702</v>
      </c>
      <c r="DN117" s="172">
        <f ca="1">(VLOOKUP(DN$72,INDIRECT($C$5&amp;"生成成长"),2))/((VLOOKUP($B117,INDIRECT($B$5&amp;"生成成长"),4))/(VLOOKUP(DN$72,INDIRECT($C$5&amp;"生成成长"),5))*(VLOOKUP($B$5,标准坦克设计!$B$24:$U$30,MATCH("对"&amp;LEFT($C$5,2)&amp;"输出",标准坦克设计!$B$23:$U$23,0)))*(VLOOKUP($B117,INDIRECT($B$5&amp;"生成成长"),3))*(VLOOKUP($B$5,标准坦克设计!$B$14:$K$20,9)/30))</f>
        <v>2.1670515554757417</v>
      </c>
      <c r="DO117" s="172">
        <f ca="1">(VLOOKUP(DO$72,INDIRECT($C$5&amp;"生成成长"),2))/((VLOOKUP($B117,INDIRECT($B$5&amp;"生成成长"),4))/(VLOOKUP(DO$72,INDIRECT($C$5&amp;"生成成长"),5))*(VLOOKUP($B$5,标准坦克设计!$B$24:$U$30,MATCH("对"&amp;LEFT($C$5,2)&amp;"输出",标准坦克设计!$B$23:$U$23,0)))*(VLOOKUP($B117,INDIRECT($B$5&amp;"生成成长"),3))*(VLOOKUP($B$5,标准坦克设计!$B$14:$K$20,9)/30))</f>
        <v>2.3830285563735574</v>
      </c>
      <c r="DP117" s="172">
        <f ca="1">(VLOOKUP(DP$72,INDIRECT($C$5&amp;"生成成长"),2))/((VLOOKUP($B117,INDIRECT($B$5&amp;"生成成长"),4))/(VLOOKUP(DP$72,INDIRECT($C$5&amp;"生成成长"),5))*(VLOOKUP($B$5,标准坦克设计!$B$24:$U$30,MATCH("对"&amp;LEFT($C$5,2)&amp;"输出",标准坦克设计!$B$23:$U$23,0)))*(VLOOKUP($B117,INDIRECT($B$5&amp;"生成成长"),3))*(VLOOKUP($B$5,标准坦克设计!$B$14:$K$20,9)/30))</f>
        <v>2.6092630401636177</v>
      </c>
      <c r="DQ117" s="172">
        <f ca="1">(VLOOKUP(DQ$72,INDIRECT($C$5&amp;"生成成长"),2))/((VLOOKUP($B117,INDIRECT($B$5&amp;"生成成长"),4))/(VLOOKUP(DQ$72,INDIRECT($C$5&amp;"生成成长"),5))*(VLOOKUP($B$5,标准坦克设计!$B$24:$U$30,MATCH("对"&amp;LEFT($C$5,2)&amp;"输出",标准坦克设计!$B$23:$U$23,0)))*(VLOOKUP($B117,INDIRECT($B$5&amp;"生成成长"),3))*(VLOOKUP($B$5,标准坦克设计!$B$14:$K$20,9)/30))</f>
        <v>2.8457550068459239</v>
      </c>
      <c r="DR117" s="172">
        <f ca="1">(VLOOKUP(DR$72,INDIRECT($C$5&amp;"生成成长"),2))/((VLOOKUP($B117,INDIRECT($B$5&amp;"生成成长"),4))/(VLOOKUP(DR$72,INDIRECT($C$5&amp;"生成成长"),5))*(VLOOKUP($B$5,标准坦克设计!$B$24:$U$30,MATCH("对"&amp;LEFT($C$5,2)&amp;"输出",标准坦克设计!$B$23:$U$23,0)))*(VLOOKUP($B117,INDIRECT($B$5&amp;"生成成长"),3))*(VLOOKUP($B$5,标准坦克设计!$B$14:$K$20,9)/30))</f>
        <v>3.0925044564204729</v>
      </c>
      <c r="DS117" s="172">
        <f ca="1">(VLOOKUP(DS$72,INDIRECT($C$5&amp;"生成成长"),2))/((VLOOKUP($B117,INDIRECT($B$5&amp;"生成成长"),4))/(VLOOKUP(DS$72,INDIRECT($C$5&amp;"生成成长"),5))*(VLOOKUP($B$5,标准坦克设计!$B$24:$U$30,MATCH("对"&amp;LEFT($C$5,2)&amp;"输出",标准坦克设计!$B$23:$U$23,0)))*(VLOOKUP($B117,INDIRECT($B$5&amp;"生成成长"),3))*(VLOOKUP($B$5,标准坦克设计!$B$14:$K$20,9)/30))</f>
        <v>3.3495113888872674</v>
      </c>
      <c r="DT117" s="172">
        <f ca="1">(VLOOKUP(DT$72,INDIRECT($C$5&amp;"生成成长"),2))/((VLOOKUP($B117,INDIRECT($B$5&amp;"生成成长"),4))/(VLOOKUP(DT$72,INDIRECT($C$5&amp;"生成成长"),5))*(VLOOKUP($B$5,标准坦克设计!$B$24:$U$30,MATCH("对"&amp;LEFT($C$5,2)&amp;"输出",标准坦克设计!$B$23:$U$23,0)))*(VLOOKUP($B117,INDIRECT($B$5&amp;"生成成长"),3))*(VLOOKUP($B$5,标准坦克设计!$B$14:$K$20,9)/30))</f>
        <v>3.6775608880521995</v>
      </c>
      <c r="DU117" s="172">
        <f ca="1">(VLOOKUP(DU$72,INDIRECT($C$5&amp;"生成成长"),2))/((VLOOKUP($B117,INDIRECT($B$5&amp;"生成成长"),4))/(VLOOKUP(DU$72,INDIRECT($C$5&amp;"生成成长"),5))*(VLOOKUP($B$5,标准坦克设计!$B$24:$U$30,MATCH("对"&amp;LEFT($C$5,2)&amp;"输出",标准坦克设计!$B$23:$U$23,0)))*(VLOOKUP($B117,INDIRECT($B$5&amp;"生成成长"),3))*(VLOOKUP($B$5,标准坦克设计!$B$14:$K$20,9)/30))</f>
        <v>4.0209332937598683</v>
      </c>
      <c r="DV117" s="172">
        <f ca="1">(VLOOKUP(DV$72,INDIRECT($C$5&amp;"生成成长"),2))/((VLOOKUP($B117,INDIRECT($B$5&amp;"生成成长"),4))/(VLOOKUP(DV$72,INDIRECT($C$5&amp;"生成成长"),5))*(VLOOKUP($B$5,标准坦克设计!$B$24:$U$30,MATCH("对"&amp;LEFT($C$5,2)&amp;"输出",标准坦克设计!$B$23:$U$23,0)))*(VLOOKUP($B117,INDIRECT($B$5&amp;"生成成长"),3))*(VLOOKUP($B$5,标准坦克设计!$B$14:$K$20,9)/30))</f>
        <v>4.3796286060102725</v>
      </c>
      <c r="DW117" s="172">
        <f ca="1">(VLOOKUP(DW$72,INDIRECT($C$5&amp;"生成成长"),2))/((VLOOKUP($B117,INDIRECT($B$5&amp;"生成成长"),4))/(VLOOKUP(DW$72,INDIRECT($C$5&amp;"生成成长"),5))*(VLOOKUP($B$5,标准坦克设计!$B$24:$U$30,MATCH("对"&amp;LEFT($C$5,2)&amp;"输出",标准坦克设计!$B$23:$U$23,0)))*(VLOOKUP($B117,INDIRECT($B$5&amp;"生成成长"),3))*(VLOOKUP($B$5,标准坦克设计!$B$14:$K$20,9)/30))</f>
        <v>4.7536468248034112</v>
      </c>
      <c r="DX117" s="172">
        <f ca="1">(VLOOKUP(DX$72,INDIRECT($C$5&amp;"生成成长"),2))/((VLOOKUP($B117,INDIRECT($B$5&amp;"生成成长"),4))/(VLOOKUP(DX$72,INDIRECT($C$5&amp;"生成成长"),5))*(VLOOKUP($B$5,标准坦克设计!$B$24:$U$30,MATCH("对"&amp;LEFT($C$5,2)&amp;"输出",标准坦克设计!$B$23:$U$23,0)))*(VLOOKUP($B117,INDIRECT($B$5&amp;"生成成长"),3))*(VLOOKUP($B$5,标准坦克设计!$B$14:$K$20,9)/30))</f>
        <v>5.142987950139287</v>
      </c>
      <c r="DY117" s="172">
        <f ca="1">(VLOOKUP(DY$72,INDIRECT($C$5&amp;"生成成长"),2))/((VLOOKUP($B117,INDIRECT($B$5&amp;"生成成长"),4))/(VLOOKUP(DY$72,INDIRECT($C$5&amp;"生成成长"),5))*(VLOOKUP($B$5,标准坦克设计!$B$24:$U$30,MATCH("对"&amp;LEFT($C$5,2)&amp;"输出",标准坦克设计!$B$23:$U$23,0)))*(VLOOKUP($B117,INDIRECT($B$5&amp;"生成成长"),3))*(VLOOKUP($B$5,标准坦克设计!$B$14:$K$20,9)/30))</f>
        <v>2.3098965024195914</v>
      </c>
      <c r="DZ117" s="172">
        <f ca="1">(VLOOKUP(DZ$72,INDIRECT($C$5&amp;"生成成长"),2))/((VLOOKUP($B117,INDIRECT($B$5&amp;"生成成长"),4))/(VLOOKUP(DZ$72,INDIRECT($C$5&amp;"生成成长"),5))*(VLOOKUP($B$5,标准坦克设计!$B$24:$U$30,MATCH("对"&amp;LEFT($C$5,2)&amp;"输出",标准坦克设计!$B$23:$U$23,0)))*(VLOOKUP($B117,INDIRECT($B$5&amp;"生成成长"),3))*(VLOOKUP($B$5,标准坦克设计!$B$14:$K$20,9)/30))</f>
        <v>2.5581022612936577</v>
      </c>
      <c r="EA117" s="172">
        <f ca="1">(VLOOKUP(EA$72,INDIRECT($C$5&amp;"生成成长"),2))/((VLOOKUP($B117,INDIRECT($B$5&amp;"生成成长"),4))/(VLOOKUP(EA$72,INDIRECT($C$5&amp;"生成成长"),5))*(VLOOKUP($B$5,标准坦克设计!$B$24:$U$30,MATCH("对"&amp;LEFT($C$5,2)&amp;"输出",标准坦克设计!$B$23:$U$23,0)))*(VLOOKUP($B117,INDIRECT($B$5&amp;"生成成长"),3))*(VLOOKUP($B$5,标准坦克设计!$B$14:$K$20,9)/30))</f>
        <v>2.8189715792939514</v>
      </c>
      <c r="EB117" s="172">
        <f ca="1">(VLOOKUP(EB$72,INDIRECT($C$5&amp;"生成成长"),2))/((VLOOKUP($B117,INDIRECT($B$5&amp;"生成成长"),4))/(VLOOKUP(EB$72,INDIRECT($C$5&amp;"生成成长"),5))*(VLOOKUP($B$5,标准坦克设计!$B$24:$U$30,MATCH("对"&amp;LEFT($C$5,2)&amp;"输出",标准坦克设计!$B$23:$U$23,0)))*(VLOOKUP($B117,INDIRECT($B$5&amp;"生成成长"),3))*(VLOOKUP($B$5,标准坦克设计!$B$14:$K$20,9)/30))</f>
        <v>3.0925044564204729</v>
      </c>
      <c r="EC117" s="172">
        <f ca="1">(VLOOKUP(EC$72,INDIRECT($C$5&amp;"生成成长"),2))/((VLOOKUP($B117,INDIRECT($B$5&amp;"生成成长"),4))/(VLOOKUP(EC$72,INDIRECT($C$5&amp;"生成成长"),5))*(VLOOKUP($B$5,标准坦克设计!$B$24:$U$30,MATCH("对"&amp;LEFT($C$5,2)&amp;"输出",标准坦克设计!$B$23:$U$23,0)))*(VLOOKUP($B117,INDIRECT($B$5&amp;"生成成长"),3))*(VLOOKUP($B$5,标准坦克设计!$B$14:$K$20,9)/30))</f>
        <v>3.3787008926732227</v>
      </c>
      <c r="ED117" s="172">
        <f ca="1">(VLOOKUP(ED$72,INDIRECT($C$5&amp;"生成成长"),2))/((VLOOKUP($B117,INDIRECT($B$5&amp;"生成成长"),4))/(VLOOKUP(ED$72,INDIRECT($C$5&amp;"生成成长"),5))*(VLOOKUP($B$5,标准坦克设计!$B$24:$U$30,MATCH("对"&amp;LEFT($C$5,2)&amp;"输出",标准坦克设计!$B$23:$U$23,0)))*(VLOOKUP($B117,INDIRECT($B$5&amp;"生成成长"),3))*(VLOOKUP($B$5,标准坦克设计!$B$14:$K$20,9)/30))</f>
        <v>3.6775608880521995</v>
      </c>
      <c r="EE117" s="172">
        <f ca="1">(VLOOKUP(EE$72,INDIRECT($C$5&amp;"生成成长"),2))/((VLOOKUP($B117,INDIRECT($B$5&amp;"生成成长"),4))/(VLOOKUP(EE$72,INDIRECT($C$5&amp;"生成成长"),5))*(VLOOKUP($B$5,标准坦克设计!$B$24:$U$30,MATCH("对"&amp;LEFT($C$5,2)&amp;"输出",标准坦克设计!$B$23:$U$23,0)))*(VLOOKUP($B117,INDIRECT($B$5&amp;"生成成长"),3))*(VLOOKUP($B$5,标准坦克设计!$B$14:$K$20,9)/30))</f>
        <v>3.9890844425574055</v>
      </c>
      <c r="EF117" s="172">
        <f ca="1">(VLOOKUP(EF$72,INDIRECT($C$5&amp;"生成成长"),2))/((VLOOKUP($B117,INDIRECT($B$5&amp;"生成成长"),4))/(VLOOKUP(EF$72,INDIRECT($C$5&amp;"生成成长"),5))*(VLOOKUP($B$5,标准坦克设计!$B$24:$U$30,MATCH("对"&amp;LEFT($C$5,2)&amp;"输出",标准坦克设计!$B$23:$U$23,0)))*(VLOOKUP($B117,INDIRECT($B$5&amp;"生成成长"),3))*(VLOOKUP($B$5,标准坦克设计!$B$14:$K$20,9)/30))</f>
        <v>4.3132715561888375</v>
      </c>
      <c r="EG117" s="172">
        <f ca="1">(VLOOKUP(EG$72,INDIRECT($C$5&amp;"生成成长"),2))/((VLOOKUP($B117,INDIRECT($B$5&amp;"生成成长"),4))/(VLOOKUP(EG$72,INDIRECT($C$5&amp;"生成成长"),5))*(VLOOKUP($B$5,标准坦克设计!$B$24:$U$30,MATCH("对"&amp;LEFT($C$5,2)&amp;"输出",标准坦克设计!$B$23:$U$23,0)))*(VLOOKUP($B117,INDIRECT($B$5&amp;"生成成长"),3))*(VLOOKUP($B$5,标准坦克设计!$B$14:$K$20,9)/30))</f>
        <v>4.6501222289464987</v>
      </c>
      <c r="EH117" s="172">
        <f ca="1">(VLOOKUP(EH$72,INDIRECT($C$5&amp;"生成成长"),2))/((VLOOKUP($B117,INDIRECT($B$5&amp;"生成成长"),4))/(VLOOKUP(EH$72,INDIRECT($C$5&amp;"生成成长"),5))*(VLOOKUP($B$5,标准坦克设计!$B$24:$U$30,MATCH("对"&amp;LEFT($C$5,2)&amp;"输出",标准坦克设计!$B$23:$U$23,0)))*(VLOOKUP($B117,INDIRECT($B$5&amp;"生成成长"),3))*(VLOOKUP($B$5,标准坦克设计!$B$14:$K$20,9)/30))</f>
        <v>4.9996364608303878</v>
      </c>
      <c r="EI117" s="172">
        <f ca="1">(VLOOKUP(EI$72,INDIRECT($C$5&amp;"生成成长"),2))/((VLOOKUP($B117,INDIRECT($B$5&amp;"生成成长"),4))/(VLOOKUP(EI$72,INDIRECT($C$5&amp;"生成成长"),5))*(VLOOKUP($B$5,标准坦克设计!$B$24:$U$30,MATCH("对"&amp;LEFT($C$5,2)&amp;"输出",标准坦克设计!$B$23:$U$23,0)))*(VLOOKUP($B117,INDIRECT($B$5&amp;"生成成长"),3))*(VLOOKUP($B$5,标准坦克设计!$B$14:$K$20,9)/30))</f>
        <v>5.3618142518405039</v>
      </c>
      <c r="EJ117" s="172">
        <f ca="1">(VLOOKUP(EJ$72,INDIRECT($C$5&amp;"生成成长"),2))/((VLOOKUP($B117,INDIRECT($B$5&amp;"生成成长"),4))/(VLOOKUP(EJ$72,INDIRECT($C$5&amp;"生成成长"),5))*(VLOOKUP($B$5,标准坦克设计!$B$24:$U$30,MATCH("对"&amp;LEFT($C$5,2)&amp;"输出",标准坦克设计!$B$23:$U$23,0)))*(VLOOKUP($B117,INDIRECT($B$5&amp;"生成成长"),3))*(VLOOKUP($B$5,标准坦克设计!$B$14:$K$20,9)/30))</f>
        <v>5.7366556019768495</v>
      </c>
      <c r="EK117" s="172">
        <f ca="1">(VLOOKUP(EK$72,INDIRECT($C$5&amp;"生成成长"),2))/((VLOOKUP($B117,INDIRECT($B$5&amp;"生成成长"),4))/(VLOOKUP(EK$72,INDIRECT($C$5&amp;"生成成长"),5))*(VLOOKUP($B$5,标准坦克设计!$B$24:$U$30,MATCH("对"&amp;LEFT($C$5,2)&amp;"输出",标准坦克设计!$B$23:$U$23,0)))*(VLOOKUP($B117,INDIRECT($B$5&amp;"生成成长"),3))*(VLOOKUP($B$5,标准坦克设计!$B$14:$K$20,9)/30))</f>
        <v>6.2031811201870823</v>
      </c>
      <c r="EL117" s="172">
        <f ca="1">(VLOOKUP(EL$72,INDIRECT($C$5&amp;"生成成长"),2))/((VLOOKUP($B117,INDIRECT($B$5&amp;"生成成长"),4))/(VLOOKUP(EL$72,INDIRECT($C$5&amp;"生成成长"),5))*(VLOOKUP($B$5,标准坦克设计!$B$24:$U$30,MATCH("对"&amp;LEFT($C$5,2)&amp;"输出",标准坦克设计!$B$23:$U$23,0)))*(VLOOKUP($B117,INDIRECT($B$5&amp;"生成成长"),3))*(VLOOKUP($B$5,标准坦克设计!$B$14:$K$20,9)/30))</f>
        <v>6.6879421635390859</v>
      </c>
      <c r="EM117" s="172">
        <f ca="1">(VLOOKUP(EM$72,INDIRECT($C$5&amp;"生成成长"),2))/((VLOOKUP($B117,INDIRECT($B$5&amp;"生成成长"),4))/(VLOOKUP(EM$72,INDIRECT($C$5&amp;"生成成长"),5))*(VLOOKUP($B$5,标准坦克设计!$B$24:$U$30,MATCH("对"&amp;LEFT($C$5,2)&amp;"输出",标准坦克设计!$B$23:$U$23,0)))*(VLOOKUP($B117,INDIRECT($B$5&amp;"生成成长"),3))*(VLOOKUP($B$5,标准坦克设计!$B$14:$K$20,9)/30))</f>
        <v>7.1909387320328557</v>
      </c>
      <c r="EN117" s="172">
        <f ca="1">(VLOOKUP(EN$72,INDIRECT($C$5&amp;"生成成长"),2))/((VLOOKUP($B117,INDIRECT($B$5&amp;"生成成长"),4))/(VLOOKUP(EN$72,INDIRECT($C$5&amp;"生成成长"),5))*(VLOOKUP($B$5,标准坦克设计!$B$24:$U$30,MATCH("对"&amp;LEFT($C$5,2)&amp;"输出",标准坦克设计!$B$23:$U$23,0)))*(VLOOKUP($B117,INDIRECT($B$5&amp;"生成成长"),3))*(VLOOKUP($B$5,标准坦克设计!$B$14:$K$20,9)/30))</f>
        <v>7.7121708256683936</v>
      </c>
      <c r="EO117" s="172">
        <f ca="1">(VLOOKUP(EO$72,INDIRECT($C$5&amp;"生成成长"),2))/((VLOOKUP($B117,INDIRECT($B$5&amp;"生成成长"),4))/(VLOOKUP(EO$72,INDIRECT($C$5&amp;"生成成长"),5))*(VLOOKUP($B$5,标准坦克设计!$B$24:$U$30,MATCH("对"&amp;LEFT($C$5,2)&amp;"输出",标准坦克设计!$B$23:$U$23,0)))*(VLOOKUP($B117,INDIRECT($B$5&amp;"生成成长"),3))*(VLOOKUP($B$5,标准坦克设计!$B$14:$K$20,9)/30))</f>
        <v>8.2516384444456996</v>
      </c>
      <c r="EP117" s="172">
        <f ca="1">(VLOOKUP(EP$72,INDIRECT($C$5&amp;"生成成长"),2))/((VLOOKUP($B117,INDIRECT($B$5&amp;"生成成长"),4))/(VLOOKUP(EP$72,INDIRECT($C$5&amp;"生成成长"),5))*(VLOOKUP($B$5,标准坦克设计!$B$24:$U$30,MATCH("对"&amp;LEFT($C$5,2)&amp;"输出",标准坦克设计!$B$23:$U$23,0)))*(VLOOKUP($B117,INDIRECT($B$5&amp;"生成成长"),3))*(VLOOKUP($B$5,标准坦克设计!$B$14:$K$20,9)/30))</f>
        <v>8.8093415883647754</v>
      </c>
      <c r="EQ117" s="172">
        <f ca="1">(VLOOKUP(EQ$72,INDIRECT($C$5&amp;"生成成长"),2))/((VLOOKUP($B117,INDIRECT($B$5&amp;"生成成长"),4))/(VLOOKUP(EQ$72,INDIRECT($C$5&amp;"生成成长"),5))*(VLOOKUP($B$5,标准坦克设计!$B$24:$U$30,MATCH("对"&amp;LEFT($C$5,2)&amp;"输出",标准坦克设计!$B$23:$U$23,0)))*(VLOOKUP($B117,INDIRECT($B$5&amp;"生成成长"),3))*(VLOOKUP($B$5,标准坦克设计!$B$14:$K$20,9)/30))</f>
        <v>3.8942977024975893</v>
      </c>
      <c r="ER117" s="172">
        <f ca="1">(VLOOKUP(ER$72,INDIRECT($C$5&amp;"生成成长"),2))/((VLOOKUP($B117,INDIRECT($B$5&amp;"生成成长"),4))/(VLOOKUP(ER$72,INDIRECT($C$5&amp;"生成成长"),5))*(VLOOKUP($B$5,标准坦克设计!$B$24:$U$30,MATCH("对"&amp;LEFT($C$5,2)&amp;"输出",标准坦克设计!$B$23:$U$23,0)))*(VLOOKUP($B117,INDIRECT($B$5&amp;"生成成长"),3))*(VLOOKUP($B$5,标准坦克设计!$B$14:$K$20,9)/30))</f>
        <v>4.2474210487324537</v>
      </c>
      <c r="ES117" s="172">
        <f ca="1">(VLOOKUP(ES$72,INDIRECT($C$5&amp;"生成成长"),2))/((VLOOKUP($B117,INDIRECT($B$5&amp;"生成成长"),4))/(VLOOKUP(ES$72,INDIRECT($C$5&amp;"生成成长"),5))*(VLOOKUP($B$5,标准坦克设计!$B$24:$U$30,MATCH("对"&amp;LEFT($C$5,2)&amp;"输出",标准坦克设计!$B$23:$U$23,0)))*(VLOOKUP($B117,INDIRECT($B$5&amp;"生成成长"),3))*(VLOOKUP($B$5,标准坦克设计!$B$14:$K$20,9)/30))</f>
        <v>4.6158673015100522</v>
      </c>
      <c r="ET117" s="172">
        <f ca="1">(VLOOKUP(ET$72,INDIRECT($C$5&amp;"生成成长"),2))/((VLOOKUP($B117,INDIRECT($B$5&amp;"生成成长"),4))/(VLOOKUP(ET$72,INDIRECT($C$5&amp;"生成成长"),5))*(VLOOKUP($B$5,标准坦克设计!$B$24:$U$30,MATCH("对"&amp;LEFT($C$5,2)&amp;"输出",标准坦克设计!$B$23:$U$23,0)))*(VLOOKUP($B117,INDIRECT($B$5&amp;"生成成长"),3))*(VLOOKUP($B$5,标准坦克设计!$B$14:$K$20,9)/30))</f>
        <v>4.9996364608303878</v>
      </c>
      <c r="EU117" s="172">
        <f ca="1">(VLOOKUP(EU$72,INDIRECT($C$5&amp;"生成成长"),2))/((VLOOKUP($B117,INDIRECT($B$5&amp;"生成成长"),4))/(VLOOKUP(EU$72,INDIRECT($C$5&amp;"生成成长"),5))*(VLOOKUP($B$5,标准坦克设计!$B$24:$U$30,MATCH("对"&amp;LEFT($C$5,2)&amp;"输出",标准坦克设计!$B$23:$U$23,0)))*(VLOOKUP($B117,INDIRECT($B$5&amp;"生成成长"),3))*(VLOOKUP($B$5,标准坦克设计!$B$14:$K$20,9)/30))</f>
        <v>5.3987285266934588</v>
      </c>
      <c r="EV117" s="172">
        <f ca="1">(VLOOKUP(EV$72,INDIRECT($C$5&amp;"生成成长"),2))/((VLOOKUP($B117,INDIRECT($B$5&amp;"生成成长"),4))/(VLOOKUP(EV$72,INDIRECT($C$5&amp;"生成成长"),5))*(VLOOKUP($B$5,标准坦克设计!$B$24:$U$30,MATCH("对"&amp;LEFT($C$5,2)&amp;"输出",标准坦克设计!$B$23:$U$23,0)))*(VLOOKUP($B117,INDIRECT($B$5&amp;"生成成长"),3))*(VLOOKUP($B$5,标准坦克设计!$B$14:$K$20,9)/30))</f>
        <v>5.8131434990992652</v>
      </c>
      <c r="EW117" s="172">
        <f ca="1">(VLOOKUP(EW$72,INDIRECT($C$5&amp;"生成成长"),2))/((VLOOKUP($B117,INDIRECT($B$5&amp;"生成成长"),4))/(VLOOKUP(EW$72,INDIRECT($C$5&amp;"生成成长"),5))*(VLOOKUP($B$5,标准坦克设计!$B$24:$U$30,MATCH("对"&amp;LEFT($C$5,2)&amp;"输出",标准坦克设计!$B$23:$U$23,0)))*(VLOOKUP($B117,INDIRECT($B$5&amp;"生成成长"),3))*(VLOOKUP($B$5,标准坦克设计!$B$14:$K$20,9)/30))</f>
        <v>6.2428813780478087</v>
      </c>
      <c r="EX117" s="172">
        <f ca="1">(VLOOKUP(EX$72,INDIRECT($C$5&amp;"生成成长"),2))/((VLOOKUP($B117,INDIRECT($B$5&amp;"生成成长"),4))/(VLOOKUP(EX$72,INDIRECT($C$5&amp;"生成成长"),5))*(VLOOKUP($B$5,标准坦克设计!$B$24:$U$30,MATCH("对"&amp;LEFT($C$5,2)&amp;"输出",标准坦克设计!$B$23:$U$23,0)))*(VLOOKUP($B117,INDIRECT($B$5&amp;"生成成长"),3))*(VLOOKUP($B$5,标准坦克设计!$B$14:$K$20,9)/30))</f>
        <v>6.6879421635390859</v>
      </c>
      <c r="EY117" s="172">
        <f ca="1">(VLOOKUP(EY$72,INDIRECT($C$5&amp;"生成成长"),2))/((VLOOKUP($B117,INDIRECT($B$5&amp;"生成成长"),4))/(VLOOKUP(EY$72,INDIRECT($C$5&amp;"生成成长"),5))*(VLOOKUP($B$5,标准坦克设计!$B$24:$U$30,MATCH("对"&amp;LEFT($C$5,2)&amp;"输出",标准坦克设计!$B$23:$U$23,0)))*(VLOOKUP($B117,INDIRECT($B$5&amp;"生成成长"),3))*(VLOOKUP($B$5,标准坦克设计!$B$14:$K$20,9)/30))</f>
        <v>7.1483258555730975</v>
      </c>
      <c r="EZ117" s="172">
        <f ca="1">(VLOOKUP(EZ$72,INDIRECT($C$5&amp;"生成成长"),2))/((VLOOKUP($B117,INDIRECT($B$5&amp;"生成成长"),4))/(VLOOKUP(EZ$72,INDIRECT($C$5&amp;"生成成长"),5))*(VLOOKUP($B$5,标准坦克设计!$B$24:$U$30,MATCH("对"&amp;LEFT($C$5,2)&amp;"输出",标准坦克设计!$B$23:$U$23,0)))*(VLOOKUP($B117,INDIRECT($B$5&amp;"生成成长"),3))*(VLOOKUP($B$5,标准坦克设计!$B$14:$K$20,9)/30))</f>
        <v>7.6240324541498481</v>
      </c>
      <c r="FA117" s="172">
        <f ca="1">(VLOOKUP(FA$72,INDIRECT($C$5&amp;"生成成长"),2))/((VLOOKUP($B117,INDIRECT($B$5&amp;"生成成长"),4))/(VLOOKUP(FA$72,INDIRECT($C$5&amp;"生成成长"),5))*(VLOOKUP($B$5,标准坦克设计!$B$24:$U$30,MATCH("对"&amp;LEFT($C$5,2)&amp;"输出",标准坦克设计!$B$23:$U$23,0)))*(VLOOKUP($B117,INDIRECT($B$5&amp;"生成成长"),3))*(VLOOKUP($B$5,标准坦克设计!$B$14:$K$20,9)/30))</f>
        <v>8.1150619592693332</v>
      </c>
      <c r="FB117" s="172">
        <f ca="1">(VLOOKUP(FB$72,INDIRECT($C$5&amp;"生成成长"),2))/((VLOOKUP($B117,INDIRECT($B$5&amp;"生成成长"),4))/(VLOOKUP(FB$72,INDIRECT($C$5&amp;"生成成长"),5))*(VLOOKUP($B$5,标准坦克设计!$B$24:$U$30,MATCH("对"&amp;LEFT($C$5,2)&amp;"输出",标准坦克设计!$B$23:$U$23,0)))*(VLOOKUP($B117,INDIRECT($B$5&amp;"生成成长"),3))*(VLOOKUP($B$5,标准坦克设计!$B$14:$K$20,9)/30))</f>
        <v>8.6214143709315536</v>
      </c>
      <c r="FC117" s="172">
        <f ca="1">(VLOOKUP(FC$72,INDIRECT($C$5&amp;"生成成长"),2))/((VLOOKUP($B117,INDIRECT($B$5&amp;"生成成长"),4))/(VLOOKUP(FC$72,INDIRECT($C$5&amp;"生成成长"),5))*(VLOOKUP($B$5,标准坦克设计!$B$24:$U$30,MATCH("对"&amp;LEFT($C$5,2)&amp;"输出",标准坦克设计!$B$23:$U$23,0)))*(VLOOKUP($B117,INDIRECT($B$5&amp;"生成成长"),3))*(VLOOKUP($B$5,标准坦克设计!$B$14:$K$20,9)/30))</f>
        <v>9.1430896891365094</v>
      </c>
      <c r="FD117" s="172">
        <f ca="1">(VLOOKUP(FD$72,INDIRECT($C$5&amp;"生成成长"),2))/((VLOOKUP($B117,INDIRECT($B$5&amp;"生成成长"),4))/(VLOOKUP(FD$72,INDIRECT($C$5&amp;"生成成长"),5))*(VLOOKUP($B$5,标准坦克设计!$B$24:$U$30,MATCH("对"&amp;LEFT($C$5,2)&amp;"输出",标准坦克设计!$B$23:$U$23,0)))*(VLOOKUP($B117,INDIRECT($B$5&amp;"生成成长"),3))*(VLOOKUP($B$5,标准坦克设计!$B$14:$K$20,9)/30))</f>
        <v>9.6800879138842024</v>
      </c>
      <c r="FE117" s="172">
        <f ca="1">(VLOOKUP(FE$72,INDIRECT($C$5&amp;"生成成长"),2))/((VLOOKUP($B117,INDIRECT($B$5&amp;"生成成长"),4))/(VLOOKUP(FE$72,INDIRECT($C$5&amp;"生成成长"),5))*(VLOOKUP($B$5,标准坦克设计!$B$24:$U$30,MATCH("对"&amp;LEFT($C$5,2)&amp;"输出",标准坦克设计!$B$23:$U$23,0)))*(VLOOKUP($B117,INDIRECT($B$5&amp;"生成成长"),3))*(VLOOKUP($B$5,标准坦克设计!$B$14:$K$20,9)/30))</f>
        <v>10.334477331732026</v>
      </c>
      <c r="FF117" s="172">
        <f ca="1">(VLOOKUP(FF$72,INDIRECT($C$5&amp;"生成成长"),2))/((VLOOKUP($B117,INDIRECT($B$5&amp;"生成成长"),4))/(VLOOKUP(FF$72,INDIRECT($C$5&amp;"生成成长"),5))*(VLOOKUP($B$5,标准坦克设计!$B$24:$U$30,MATCH("对"&amp;LEFT($C$5,2)&amp;"输出",标准坦克设计!$B$23:$U$23,0)))*(VLOOKUP($B117,INDIRECT($B$5&amp;"生成成长"),3))*(VLOOKUP($B$5,标准坦克设计!$B$14:$K$20,9)/30))</f>
        <v>11.010268164503174</v>
      </c>
      <c r="FG117" s="172">
        <f ca="1">(VLOOKUP(FG$72,INDIRECT($C$5&amp;"生成成长"),2))/((VLOOKUP($B117,INDIRECT($B$5&amp;"生成成长"),4))/(VLOOKUP(FG$72,INDIRECT($C$5&amp;"生成成长"),5))*(VLOOKUP($B$5,标准坦克设计!$B$24:$U$30,MATCH("对"&amp;LEFT($C$5,2)&amp;"输出",标准坦克设计!$B$23:$U$23,0)))*(VLOOKUP($B117,INDIRECT($B$5&amp;"生成成长"),3))*(VLOOKUP($B$5,标准坦克设计!$B$14:$K$20,9)/30))</f>
        <v>11.707460412197651</v>
      </c>
      <c r="FH117" s="172">
        <f ca="1">(VLOOKUP(FH$72,INDIRECT($C$5&amp;"生成成长"),2))/((VLOOKUP($B117,INDIRECT($B$5&amp;"生成成长"),4))/(VLOOKUP(FH$72,INDIRECT($C$5&amp;"生成成长"),5))*(VLOOKUP($B$5,标准坦克设计!$B$24:$U$30,MATCH("对"&amp;LEFT($C$5,2)&amp;"输出",标准坦克设计!$B$23:$U$23,0)))*(VLOOKUP($B117,INDIRECT($B$5&amp;"生成成长"),3))*(VLOOKUP($B$5,标准坦克设计!$B$14:$K$20,9)/30))</f>
        <v>12.42605407481545</v>
      </c>
      <c r="FI117" s="172">
        <f ca="1">(VLOOKUP(FI$72,INDIRECT($C$5&amp;"生成成长"),2))/((VLOOKUP($B117,INDIRECT($B$5&amp;"生成成长"),4))/(VLOOKUP(FI$72,INDIRECT($C$5&amp;"生成成长"),5))*(VLOOKUP($B$5,标准坦克设计!$B$24:$U$30,MATCH("对"&amp;LEFT($C$5,2)&amp;"输出",标准坦克设计!$B$23:$U$23,0)))*(VLOOKUP($B117,INDIRECT($B$5&amp;"生成成长"),3))*(VLOOKUP($B$5,标准坦克设计!$B$14:$K$20,9)/30))</f>
        <v>13.166049152356575</v>
      </c>
      <c r="FJ117" s="172">
        <f ca="1">(VLOOKUP(FJ$72,INDIRECT($C$5&amp;"生成成长"),2))/((VLOOKUP($B117,INDIRECT($B$5&amp;"生成成长"),4))/(VLOOKUP(FJ$72,INDIRECT($C$5&amp;"生成成长"),5))*(VLOOKUP($B$5,标准坦克设计!$B$24:$U$30,MATCH("对"&amp;LEFT($C$5,2)&amp;"输出",标准坦克设计!$B$23:$U$23,0)))*(VLOOKUP($B117,INDIRECT($B$5&amp;"生成成长"),3))*(VLOOKUP($B$5,标准坦克设计!$B$14:$K$20,9)/30))</f>
        <v>13.927445644821024</v>
      </c>
      <c r="FK117" s="172">
        <f ca="1">(VLOOKUP(FK$72,INDIRECT($C$5&amp;"生成成长"),2))/((VLOOKUP($B117,INDIRECT($B$5&amp;"生成成长"),4))/(VLOOKUP(FK$72,INDIRECT($C$5&amp;"生成成长"),5))*(VLOOKUP($B$5,标准坦克设计!$B$24:$U$30,MATCH("对"&amp;LEFT($C$5,2)&amp;"输出",标准坦克设计!$B$23:$U$23,0)))*(VLOOKUP($B117,INDIRECT($B$5&amp;"生成成长"),3))*(VLOOKUP($B$5,标准坦克设计!$B$14:$K$20,9)/30))</f>
        <v>14.710243552208798</v>
      </c>
    </row>
    <row r="118" spans="1:167" x14ac:dyDescent="0.15">
      <c r="A118" s="170" t="str">
        <f t="shared" si="11"/>
        <v>T2中品质1级</v>
      </c>
      <c r="B118" s="171">
        <v>20201</v>
      </c>
      <c r="C118" s="172">
        <f ca="1">(VLOOKUP(C$72,INDIRECT($C$5&amp;"生成成长"),2))/((VLOOKUP($B118,INDIRECT($B$5&amp;"生成成长"),4))/(VLOOKUP(C$72,INDIRECT($C$5&amp;"生成成长"),5))*(VLOOKUP($B$5,标准坦克设计!$B$24:$U$30,MATCH("对"&amp;LEFT($C$5,2)&amp;"输出",标准坦克设计!$B$23:$U$23,0)))*(VLOOKUP($B118,INDIRECT($B$5&amp;"生成成长"),3))*(VLOOKUP($B$5,标准坦克设计!$B$14:$K$20,9)/30))</f>
        <v>6.2067485366907471</v>
      </c>
      <c r="D118" s="172">
        <f ca="1">(VLOOKUP(D$72,INDIRECT($C$5&amp;"生成成长"),2))/((VLOOKUP($B118,INDIRECT($B$5&amp;"生成成长"),4))/(VLOOKUP(D$72,INDIRECT($C$5&amp;"生成成长"),5))*(VLOOKUP($B$5,标准坦克设计!$B$24:$U$30,MATCH("对"&amp;LEFT($C$5,2)&amp;"输出",标准坦克设计!$B$23:$U$23,0)))*(VLOOKUP($B118,INDIRECT($B$5&amp;"生成成长"),3))*(VLOOKUP($B$5,标准坦克设计!$B$14:$K$20,9)/30))</f>
        <v>6.9739026558257216</v>
      </c>
      <c r="E118" s="172">
        <f ca="1">(VLOOKUP(E$72,INDIRECT($C$5&amp;"生成成长"),2))/((VLOOKUP($B118,INDIRECT($B$5&amp;"生成成长"),4))/(VLOOKUP(E$72,INDIRECT($C$5&amp;"生成成长"),5))*(VLOOKUP($B$5,标准坦克设计!$B$24:$U$30,MATCH("对"&amp;LEFT($C$5,2)&amp;"输出",标准坦克设计!$B$23:$U$23,0)))*(VLOOKUP($B118,INDIRECT($B$5&amp;"生成成长"),3))*(VLOOKUP($B$5,标准坦克设计!$B$14:$K$20,9)/30))</f>
        <v>7.785745364424872</v>
      </c>
      <c r="F118" s="172">
        <f ca="1">(VLOOKUP(F$72,INDIRECT($C$5&amp;"生成成长"),2))/((VLOOKUP($B118,INDIRECT($B$5&amp;"生成成长"),4))/(VLOOKUP(F$72,INDIRECT($C$5&amp;"生成成长"),5))*(VLOOKUP($B$5,标准坦克设计!$B$24:$U$30,MATCH("对"&amp;LEFT($C$5,2)&amp;"输出",标准坦克设计!$B$23:$U$23,0)))*(VLOOKUP($B118,INDIRECT($B$5&amp;"生成成长"),3))*(VLOOKUP($B$5,标准坦克设计!$B$14:$K$20,9)/30))</f>
        <v>8.642276662488193</v>
      </c>
      <c r="G118" s="172">
        <f ca="1">(VLOOKUP(G$72,INDIRECT($C$5&amp;"生成成长"),2))/((VLOOKUP($B118,INDIRECT($B$5&amp;"生成成长"),4))/(VLOOKUP(G$72,INDIRECT($C$5&amp;"生成成长"),5))*(VLOOKUP($B$5,标准坦克设计!$B$24:$U$30,MATCH("对"&amp;LEFT($C$5,2)&amp;"输出",标准坦克设计!$B$23:$U$23,0)))*(VLOOKUP($B118,INDIRECT($B$5&amp;"生成成长"),3))*(VLOOKUP($B$5,标准坦克设计!$B$14:$K$20,9)/30))</f>
        <v>9.543496550015691</v>
      </c>
      <c r="H118" s="172">
        <f ca="1">(VLOOKUP(H$72,INDIRECT($C$5&amp;"生成成长"),2))/((VLOOKUP($B118,INDIRECT($B$5&amp;"生成成长"),4))/(VLOOKUP(H$72,INDIRECT($C$5&amp;"生成成长"),5))*(VLOOKUP($B$5,标准坦克设计!$B$24:$U$30,MATCH("对"&amp;LEFT($C$5,2)&amp;"输出",标准坦克设计!$B$23:$U$23,0)))*(VLOOKUP($B118,INDIRECT($B$5&amp;"生成成长"),3))*(VLOOKUP($B$5,标准坦克设计!$B$14:$K$20,9)/30))</f>
        <v>8.3518008309710687</v>
      </c>
      <c r="I118" s="172">
        <f ca="1">(VLOOKUP(I$72,INDIRECT($C$5&amp;"生成成长"),2))/((VLOOKUP($B118,INDIRECT($B$5&amp;"生成成长"),4))/(VLOOKUP(I$72,INDIRECT($C$5&amp;"生成成长"),5))*(VLOOKUP($B$5,标准坦克设计!$B$24:$U$30,MATCH("对"&amp;LEFT($C$5,2)&amp;"输出",标准坦克设计!$B$23:$U$23,0)))*(VLOOKUP($B118,INDIRECT($B$5&amp;"生成成长"),3))*(VLOOKUP($B$5,标准坦克设计!$B$14:$K$20,9)/30))</f>
        <v>9.543496550015691</v>
      </c>
      <c r="J118" s="172">
        <f ca="1">(VLOOKUP(J$72,INDIRECT($C$5&amp;"生成成长"),2))/((VLOOKUP($B118,INDIRECT($B$5&amp;"生成成长"),4))/(VLOOKUP(J$72,INDIRECT($C$5&amp;"生成成长"),5))*(VLOOKUP($B$5,标准坦克设计!$B$24:$U$30,MATCH("对"&amp;LEFT($C$5,2)&amp;"输出",标准坦克设计!$B$23:$U$23,0)))*(VLOOKUP($B118,INDIRECT($B$5&amp;"生成成长"),3))*(VLOOKUP($B$5,标准坦克设计!$B$14:$K$20,9)/30))</f>
        <v>10.814638650329954</v>
      </c>
      <c r="K118" s="172">
        <f ca="1">(VLOOKUP(K$72,INDIRECT($C$5&amp;"生成成长"),2))/((VLOOKUP($B118,INDIRECT($B$5&amp;"生成成长"),4))/(VLOOKUP(K$72,INDIRECT($C$5&amp;"生成成长"),5))*(VLOOKUP($B$5,标准坦克设计!$B$24:$U$30,MATCH("对"&amp;LEFT($C$5,2)&amp;"输出",标准坦克设计!$B$23:$U$23,0)))*(VLOOKUP($B118,INDIRECT($B$5&amp;"生成成长"),3))*(VLOOKUP($B$5,标准坦克设计!$B$14:$K$20,9)/30))</f>
        <v>12.165227131913861</v>
      </c>
      <c r="L118" s="172">
        <f ca="1">(VLOOKUP(L$72,INDIRECT($C$5&amp;"生成成长"),2))/((VLOOKUP($B118,INDIRECT($B$5&amp;"生成成长"),4))/(VLOOKUP(L$72,INDIRECT($C$5&amp;"生成成长"),5))*(VLOOKUP($B$5,标准坦克设计!$B$24:$U$30,MATCH("对"&amp;LEFT($C$5,2)&amp;"输出",标准坦克设计!$B$23:$U$23,0)))*(VLOOKUP($B118,INDIRECT($B$5&amp;"生成成长"),3))*(VLOOKUP($B$5,标准坦克设计!$B$14:$K$20,9)/30))</f>
        <v>13.595261994767412</v>
      </c>
      <c r="M118" s="172">
        <f ca="1">(VLOOKUP(M$72,INDIRECT($C$5&amp;"生成成长"),2))/((VLOOKUP($B118,INDIRECT($B$5&amp;"生成成长"),4))/(VLOOKUP(M$72,INDIRECT($C$5&amp;"生成成长"),5))*(VLOOKUP($B$5,标准坦克设计!$B$24:$U$30,MATCH("对"&amp;LEFT($C$5,2)&amp;"输出",标准坦克设计!$B$23:$U$23,0)))*(VLOOKUP($B118,INDIRECT($B$5&amp;"生成成长"),3))*(VLOOKUP($B$5,标准坦克设计!$B$14:$K$20,9)/30))</f>
        <v>15.104743238890599</v>
      </c>
      <c r="N118" s="172">
        <f ca="1">(VLOOKUP(N$72,INDIRECT($C$5&amp;"生成成长"),2))/((VLOOKUP($B118,INDIRECT($B$5&amp;"生成成长"),4))/(VLOOKUP(N$72,INDIRECT($C$5&amp;"生成成长"),5))*(VLOOKUP($B$5,标准坦克设计!$B$24:$U$30,MATCH("对"&amp;LEFT($C$5,2)&amp;"输出",标准坦克设计!$B$23:$U$23,0)))*(VLOOKUP($B118,INDIRECT($B$5&amp;"生成成长"),3))*(VLOOKUP($B$5,标准坦克设计!$B$14:$K$20,9)/30))</f>
        <v>16.69367086428343</v>
      </c>
      <c r="O118" s="172">
        <f ca="1">(VLOOKUP(O$72,INDIRECT($C$5&amp;"生成成长"),2))/((VLOOKUP($B118,INDIRECT($B$5&amp;"生成成长"),4))/(VLOOKUP(O$72,INDIRECT($C$5&amp;"生成成长"),5))*(VLOOKUP($B$5,标准坦克设计!$B$24:$U$30,MATCH("对"&amp;LEFT($C$5,2)&amp;"输出",标准坦克设计!$B$23:$U$23,0)))*(VLOOKUP($B118,INDIRECT($B$5&amp;"生成成长"),3))*(VLOOKUP($B$5,标准坦克设计!$B$14:$K$20,9)/30))</f>
        <v>12.692180082678906</v>
      </c>
      <c r="P118" s="172">
        <f ca="1">(VLOOKUP(P$72,INDIRECT($C$5&amp;"生成成长"),2))/((VLOOKUP($B118,INDIRECT($B$5&amp;"生成成长"),4))/(VLOOKUP(P$72,INDIRECT($C$5&amp;"生成成长"),5))*(VLOOKUP($B$5,标准坦克设计!$B$24:$U$30,MATCH("对"&amp;LEFT($C$5,2)&amp;"输出",标准坦克设计!$B$23:$U$23,0)))*(VLOOKUP($B118,INDIRECT($B$5&amp;"生成成长"),3))*(VLOOKUP($B$5,标准坦克设计!$B$14:$K$20,9)/30))</f>
        <v>14.3400718191703</v>
      </c>
      <c r="Q118" s="172">
        <f ca="1">(VLOOKUP(Q$72,INDIRECT($C$5&amp;"生成成长"),2))/((VLOOKUP($B118,INDIRECT($B$5&amp;"生成成长"),4))/(VLOOKUP(Q$72,INDIRECT($C$5&amp;"生成成长"),5))*(VLOOKUP($B$5,标准坦克设计!$B$24:$U$30,MATCH("对"&amp;LEFT($C$5,2)&amp;"输出",标准坦克设计!$B$23:$U$23,0)))*(VLOOKUP($B118,INDIRECT($B$5&amp;"生成成长"),3))*(VLOOKUP($B$5,标准坦克设计!$B$14:$K$20,9)/30))</f>
        <v>16.088512881956081</v>
      </c>
      <c r="R118" s="172">
        <f ca="1">(VLOOKUP(R$72,INDIRECT($C$5&amp;"生成成长"),2))/((VLOOKUP($B118,INDIRECT($B$5&amp;"生成成长"),4))/(VLOOKUP(R$72,INDIRECT($C$5&amp;"生成成长"),5))*(VLOOKUP($B$5,标准坦克设计!$B$24:$U$30,MATCH("对"&amp;LEFT($C$5,2)&amp;"输出",标准坦克设计!$B$23:$U$23,0)))*(VLOOKUP($B118,INDIRECT($B$5&amp;"生成成长"),3))*(VLOOKUP($B$5,标准坦克设计!$B$14:$K$20,9)/30))</f>
        <v>17.937503271036256</v>
      </c>
      <c r="S118" s="172">
        <f ca="1">(VLOOKUP(S$72,INDIRECT($C$5&amp;"生成成长"),2))/((VLOOKUP($B118,INDIRECT($B$5&amp;"生成成长"),4))/(VLOOKUP(S$72,INDIRECT($C$5&amp;"生成成长"),5))*(VLOOKUP($B$5,标准坦克设计!$B$24:$U$30,MATCH("对"&amp;LEFT($C$5,2)&amp;"输出",标准坦克设计!$B$23:$U$23,0)))*(VLOOKUP($B118,INDIRECT($B$5&amp;"生成成长"),3))*(VLOOKUP($B$5,标准坦克设计!$B$14:$K$20,9)/30))</f>
        <v>19.887042986410815</v>
      </c>
      <c r="T118" s="172">
        <f ca="1">(VLOOKUP(T$72,INDIRECT($C$5&amp;"生成成长"),2))/((VLOOKUP($B118,INDIRECT($B$5&amp;"生成成长"),4))/(VLOOKUP(T$72,INDIRECT($C$5&amp;"生成成长"),5))*(VLOOKUP($B$5,标准坦克设计!$B$24:$U$30,MATCH("对"&amp;LEFT($C$5,2)&amp;"输出",标准坦克设计!$B$23:$U$23,0)))*(VLOOKUP($B118,INDIRECT($B$5&amp;"生成成长"),3))*(VLOOKUP($B$5,标准坦克设计!$B$14:$K$20,9)/30))</f>
        <v>21.93713202807977</v>
      </c>
      <c r="U118" s="172">
        <f ca="1">(VLOOKUP(U$72,INDIRECT($C$5&amp;"生成成长"),2))/((VLOOKUP($B118,INDIRECT($B$5&amp;"生成成长"),4))/(VLOOKUP(U$72,INDIRECT($C$5&amp;"生成成长"),5))*(VLOOKUP($B$5,标准坦克设计!$B$24:$U$30,MATCH("对"&amp;LEFT($C$5,2)&amp;"输出",标准坦克设计!$B$23:$U$23,0)))*(VLOOKUP($B118,INDIRECT($B$5&amp;"生成成长"),3))*(VLOOKUP($B$5,标准坦克设计!$B$14:$K$20,9)/30))</f>
        <v>24.087770396043112</v>
      </c>
      <c r="V118" s="172">
        <f ca="1">(VLOOKUP(V$72,INDIRECT($C$5&amp;"生成成长"),2))/((VLOOKUP($B118,INDIRECT($B$5&amp;"生成成长"),4))/(VLOOKUP(V$72,INDIRECT($C$5&amp;"生成成长"),5))*(VLOOKUP($B$5,标准坦克设计!$B$24:$U$30,MATCH("对"&amp;LEFT($C$5,2)&amp;"输出",标准坦克设计!$B$23:$U$23,0)))*(VLOOKUP($B118,INDIRECT($B$5&amp;"生成成长"),3))*(VLOOKUP($B$5,标准坦克设计!$B$14:$K$20,9)/30))</f>
        <v>26.338958090300846</v>
      </c>
      <c r="W118" s="172">
        <f ca="1">(VLOOKUP(W$72,INDIRECT($C$5&amp;"生成成长"),2))/((VLOOKUP($B118,INDIRECT($B$5&amp;"生成成长"),4))/(VLOOKUP(W$72,INDIRECT($C$5&amp;"生成成长"),5))*(VLOOKUP($B$5,标准坦克设计!$B$24:$U$30,MATCH("对"&amp;LEFT($C$5,2)&amp;"输出",标准坦克设计!$B$23:$U$23,0)))*(VLOOKUP($B118,INDIRECT($B$5&amp;"生成成长"),3))*(VLOOKUP($B$5,标准坦克设计!$B$14:$K$20,9)/30))</f>
        <v>28.690695110852971</v>
      </c>
      <c r="X118" s="172">
        <f ca="1">(VLOOKUP(X$72,INDIRECT($C$5&amp;"生成成长"),2))/((VLOOKUP($B118,INDIRECT($B$5&amp;"生成成长"),4))/(VLOOKUP(X$72,INDIRECT($C$5&amp;"生成成长"),5))*(VLOOKUP($B$5,标准坦克设计!$B$24:$U$30,MATCH("对"&amp;LEFT($C$5,2)&amp;"输出",标准坦克设计!$B$23:$U$23,0)))*(VLOOKUP($B118,INDIRECT($B$5&amp;"生成成长"),3))*(VLOOKUP($B$5,标准坦克设计!$B$14:$K$20,9)/30))</f>
        <v>20.785780174523634</v>
      </c>
      <c r="Y118" s="172">
        <f ca="1">(VLOOKUP(Y$72,INDIRECT($C$5&amp;"生成成长"),2))/((VLOOKUP($B118,INDIRECT($B$5&amp;"生成成长"),4))/(VLOOKUP(Y$72,INDIRECT($C$5&amp;"生成成长"),5))*(VLOOKUP($B$5,标准坦克设计!$B$24:$U$30,MATCH("对"&amp;LEFT($C$5,2)&amp;"输出",标准坦克设计!$B$23:$U$23,0)))*(VLOOKUP($B118,INDIRECT($B$5&amp;"生成成长"),3))*(VLOOKUP($B$5,标准坦克设计!$B$14:$K$20,9)/30))</f>
        <v>23.119517624319361</v>
      </c>
      <c r="Z118" s="172">
        <f ca="1">(VLOOKUP(Z$72,INDIRECT($C$5&amp;"生成成长"),2))/((VLOOKUP($B118,INDIRECT($B$5&amp;"生成成长"),4))/(VLOOKUP(Z$72,INDIRECT($C$5&amp;"生成成长"),5))*(VLOOKUP($B$5,标准坦克设计!$B$24:$U$30,MATCH("对"&amp;LEFT($C$5,2)&amp;"输出",标准坦克设计!$B$23:$U$23,0)))*(VLOOKUP($B118,INDIRECT($B$5&amp;"生成成长"),3))*(VLOOKUP($B$5,标准坦克设计!$B$14:$K$20,9)/30))</f>
        <v>25.577390044848894</v>
      </c>
      <c r="AA118" s="172">
        <f ca="1">(VLOOKUP(AA$72,INDIRECT($C$5&amp;"生成成长"),2))/((VLOOKUP($B118,INDIRECT($B$5&amp;"生成成长"),4))/(VLOOKUP(AA$72,INDIRECT($C$5&amp;"生成成长"),5))*(VLOOKUP($B$5,标准坦克设计!$B$24:$U$30,MATCH("对"&amp;LEFT($C$5,2)&amp;"输出",标准坦克设计!$B$23:$U$23,0)))*(VLOOKUP($B118,INDIRECT($B$5&amp;"生成成长"),3))*(VLOOKUP($B$5,标准坦克设计!$B$14:$K$20,9)/30))</f>
        <v>28.159397436112243</v>
      </c>
      <c r="AB118" s="172">
        <f ca="1">(VLOOKUP(AB$72,INDIRECT($C$5&amp;"生成成长"),2))/((VLOOKUP($B118,INDIRECT($B$5&amp;"生成成长"),4))/(VLOOKUP(AB$72,INDIRECT($C$5&amp;"生成成长"),5))*(VLOOKUP($B$5,标准坦克设计!$B$24:$U$30,MATCH("对"&amp;LEFT($C$5,2)&amp;"输出",标准坦克设计!$B$23:$U$23,0)))*(VLOOKUP($B118,INDIRECT($B$5&amp;"生成成长"),3))*(VLOOKUP($B$5,标准坦克设计!$B$14:$K$20,9)/30))</f>
        <v>30.865539798109406</v>
      </c>
      <c r="AC118" s="172">
        <f ca="1">(VLOOKUP(AC$72,INDIRECT($C$5&amp;"生成成长"),2))/((VLOOKUP($B118,INDIRECT($B$5&amp;"生成成长"),4))/(VLOOKUP(AC$72,INDIRECT($C$5&amp;"生成成长"),5))*(VLOOKUP($B$5,标准坦克设计!$B$24:$U$30,MATCH("对"&amp;LEFT($C$5,2)&amp;"输出",标准坦克设计!$B$23:$U$23,0)))*(VLOOKUP($B118,INDIRECT($B$5&amp;"生成成长"),3))*(VLOOKUP($B$5,标准坦克设计!$B$14:$K$20,9)/30))</f>
        <v>33.695817130840389</v>
      </c>
      <c r="AD118" s="172">
        <f ca="1">(VLOOKUP(AD$72,INDIRECT($C$5&amp;"生成成长"),2))/((VLOOKUP($B118,INDIRECT($B$5&amp;"生成成长"),4))/(VLOOKUP(AD$72,INDIRECT($C$5&amp;"生成成长"),5))*(VLOOKUP($B$5,标准坦克设计!$B$24:$U$30,MATCH("对"&amp;LEFT($C$5,2)&amp;"输出",标准坦克设计!$B$23:$U$23,0)))*(VLOOKUP($B118,INDIRECT($B$5&amp;"生成成长"),3))*(VLOOKUP($B$5,标准坦克设计!$B$14:$K$20,9)/30))</f>
        <v>36.650229434305182</v>
      </c>
      <c r="AE118" s="172">
        <f ca="1">(VLOOKUP(AE$72,INDIRECT($C$5&amp;"生成成长"),2))/((VLOOKUP($B118,INDIRECT($B$5&amp;"生成成长"),4))/(VLOOKUP(AE$72,INDIRECT($C$5&amp;"生成成长"),5))*(VLOOKUP($B$5,标准坦克设计!$B$24:$U$30,MATCH("对"&amp;LEFT($C$5,2)&amp;"输出",标准坦克设计!$B$23:$U$23,0)))*(VLOOKUP($B118,INDIRECT($B$5&amp;"生成成长"),3))*(VLOOKUP($B$5,标准坦克设计!$B$14:$K$20,9)/30))</f>
        <v>39.728776708503794</v>
      </c>
      <c r="AF118" s="172">
        <f ca="1">(VLOOKUP(AF$72,INDIRECT($C$5&amp;"生成成长"),2))/((VLOOKUP($B118,INDIRECT($B$5&amp;"生成成长"),4))/(VLOOKUP(AF$72,INDIRECT($C$5&amp;"生成成长"),5))*(VLOOKUP($B$5,标准坦克设计!$B$24:$U$30,MATCH("对"&amp;LEFT($C$5,2)&amp;"输出",标准坦克设计!$B$23:$U$23,0)))*(VLOOKUP($B118,INDIRECT($B$5&amp;"生成成长"),3))*(VLOOKUP($B$5,标准坦克设计!$B$14:$K$20,9)/30))</f>
        <v>42.931458953436213</v>
      </c>
      <c r="AG118" s="172">
        <f ca="1">(VLOOKUP(AG$72,INDIRECT($C$5&amp;"生成成长"),2))/((VLOOKUP($B118,INDIRECT($B$5&amp;"生成成长"),4))/(VLOOKUP(AG$72,INDIRECT($C$5&amp;"生成成长"),5))*(VLOOKUP($B$5,标准坦克设计!$B$24:$U$30,MATCH("对"&amp;LEFT($C$5,2)&amp;"输出",标准坦克设计!$B$23:$U$23,0)))*(VLOOKUP($B118,INDIRECT($B$5&amp;"生成成长"),3))*(VLOOKUP($B$5,标准坦克设计!$B$14:$K$20,9)/30))</f>
        <v>46.258276169102459</v>
      </c>
      <c r="AH118" s="172">
        <f ca="1">(VLOOKUP(AH$72,INDIRECT($C$5&amp;"生成成长"),2))/((VLOOKUP($B118,INDIRECT($B$5&amp;"生成成长"),4))/(VLOOKUP(AH$72,INDIRECT($C$5&amp;"生成成长"),5))*(VLOOKUP($B$5,标准坦克设计!$B$24:$U$30,MATCH("对"&amp;LEFT($C$5,2)&amp;"输出",标准坦克设计!$B$23:$U$23,0)))*(VLOOKUP($B118,INDIRECT($B$5&amp;"生成成长"),3))*(VLOOKUP($B$5,标准坦克设计!$B$14:$K$20,9)/30))</f>
        <v>49.709228355502511</v>
      </c>
      <c r="AI118" s="172">
        <f ca="1">(VLOOKUP(AI$72,INDIRECT($C$5&amp;"生成成长"),2))/((VLOOKUP($B118,INDIRECT($B$5&amp;"生成成长"),4))/(VLOOKUP(AI$72,INDIRECT($C$5&amp;"生成成长"),5))*(VLOOKUP($B$5,标准坦克设计!$B$24:$U$30,MATCH("对"&amp;LEFT($C$5,2)&amp;"输出",标准坦克设计!$B$23:$U$23,0)))*(VLOOKUP($B118,INDIRECT($B$5&amp;"生成成长"),3))*(VLOOKUP($B$5,标准坦克设计!$B$14:$K$20,9)/30))</f>
        <v>35.157506411231061</v>
      </c>
      <c r="AJ118" s="172">
        <f ca="1">(VLOOKUP(AJ$72,INDIRECT($C$5&amp;"生成成长"),2))/((VLOOKUP($B118,INDIRECT($B$5&amp;"生成成长"),4))/(VLOOKUP(AJ$72,INDIRECT($C$5&amp;"生成成长"),5))*(VLOOKUP($B$5,标准坦克设计!$B$24:$U$30,MATCH("对"&amp;LEFT($C$5,2)&amp;"输出",标准坦克设计!$B$23:$U$23,0)))*(VLOOKUP($B118,INDIRECT($B$5&amp;"生成成长"),3))*(VLOOKUP($B$5,标准坦克设计!$B$14:$K$20,9)/30))</f>
        <v>38.482461602336294</v>
      </c>
      <c r="AK118" s="172">
        <f ca="1">(VLOOKUP(AK$72,INDIRECT($C$5&amp;"生成成长"),2))/((VLOOKUP($B118,INDIRECT($B$5&amp;"生成成长"),4))/(VLOOKUP(AK$72,INDIRECT($C$5&amp;"生成成长"),5))*(VLOOKUP($B$5,标准坦克设计!$B$24:$U$30,MATCH("对"&amp;LEFT($C$5,2)&amp;"输出",标准坦克设计!$B$23:$U$23,0)))*(VLOOKUP($B118,INDIRECT($B$5&amp;"生成成长"),3))*(VLOOKUP($B$5,标准坦克设计!$B$14:$K$20,9)/30))</f>
        <v>41.957620108029445</v>
      </c>
      <c r="AL118" s="172">
        <f ca="1">(VLOOKUP(AL$72,INDIRECT($C$5&amp;"生成成长"),2))/((VLOOKUP($B118,INDIRECT($B$5&amp;"生成成长"),4))/(VLOOKUP(AL$72,INDIRECT($C$5&amp;"生成成长"),5))*(VLOOKUP($B$5,标准坦克设计!$B$24:$U$30,MATCH("对"&amp;LEFT($C$5,2)&amp;"输出",标准坦克设计!$B$23:$U$23,0)))*(VLOOKUP($B118,INDIRECT($B$5&amp;"生成成长"),3))*(VLOOKUP($B$5,标准坦克设计!$B$14:$K$20,9)/30))</f>
        <v>45.582981928310502</v>
      </c>
      <c r="AM118" s="172">
        <f ca="1">(VLOOKUP(AM$72,INDIRECT($C$5&amp;"生成成长"),2))/((VLOOKUP($B118,INDIRECT($B$5&amp;"生成成长"),4))/(VLOOKUP(AM$72,INDIRECT($C$5&amp;"生成成长"),5))*(VLOOKUP($B$5,标准坦克设计!$B$24:$U$30,MATCH("对"&amp;LEFT($C$5,2)&amp;"输出",标准坦克设计!$B$23:$U$23,0)))*(VLOOKUP($B118,INDIRECT($B$5&amp;"生成成长"),3))*(VLOOKUP($B$5,标准坦克设计!$B$14:$K$20,9)/30))</f>
        <v>49.358547063179479</v>
      </c>
      <c r="AN118" s="172">
        <f ca="1">(VLOOKUP(AN$72,INDIRECT($C$5&amp;"生成成长"),2))/((VLOOKUP($B118,INDIRECT($B$5&amp;"生成成长"),4))/(VLOOKUP(AN$72,INDIRECT($C$5&amp;"生成成长"),5))*(VLOOKUP($B$5,标准坦克设计!$B$24:$U$30,MATCH("对"&amp;LEFT($C$5,2)&amp;"输出",标准坦克设计!$B$23:$U$23,0)))*(VLOOKUP($B118,INDIRECT($B$5&amp;"生成成长"),3))*(VLOOKUP($B$5,标准坦克设计!$B$14:$K$20,9)/30))</f>
        <v>53.284315512636383</v>
      </c>
      <c r="AO118" s="172">
        <f ca="1">(VLOOKUP(AO$72,INDIRECT($C$5&amp;"生成成长"),2))/((VLOOKUP($B118,INDIRECT($B$5&amp;"生成成长"),4))/(VLOOKUP(AO$72,INDIRECT($C$5&amp;"生成成长"),5))*(VLOOKUP($B$5,标准坦克设计!$B$24:$U$30,MATCH("对"&amp;LEFT($C$5,2)&amp;"输出",标准坦克设计!$B$23:$U$23,0)))*(VLOOKUP($B118,INDIRECT($B$5&amp;"生成成长"),3))*(VLOOKUP($B$5,标准坦克设计!$B$14:$K$20,9)/30))</f>
        <v>57.360287276681198</v>
      </c>
      <c r="AP118" s="172">
        <f ca="1">(VLOOKUP(AP$72,INDIRECT($C$5&amp;"生成成长"),2))/((VLOOKUP($B118,INDIRECT($B$5&amp;"生成成长"),4))/(VLOOKUP(AP$72,INDIRECT($C$5&amp;"生成成长"),5))*(VLOOKUP($B$5,标准坦克设计!$B$24:$U$30,MATCH("对"&amp;LEFT($C$5,2)&amp;"输出",标准坦克设计!$B$23:$U$23,0)))*(VLOOKUP($B118,INDIRECT($B$5&amp;"生成成长"),3))*(VLOOKUP($B$5,标准坦克设计!$B$14:$K$20,9)/30))</f>
        <v>61.58646235531392</v>
      </c>
      <c r="AQ118" s="172">
        <f ca="1">(VLOOKUP(AQ$72,INDIRECT($C$5&amp;"生成成长"),2))/((VLOOKUP($B118,INDIRECT($B$5&amp;"生成成长"),4))/(VLOOKUP(AQ$72,INDIRECT($C$5&amp;"生成成长"),5))*(VLOOKUP($B$5,标准坦克设计!$B$24:$U$30,MATCH("对"&amp;LEFT($C$5,2)&amp;"输出",标准坦克设计!$B$23:$U$23,0)))*(VLOOKUP($B118,INDIRECT($B$5&amp;"生成成长"),3))*(VLOOKUP($B$5,标准坦克设计!$B$14:$K$20,9)/30))</f>
        <v>65.96284074853456</v>
      </c>
      <c r="AR118" s="172">
        <f ca="1">(VLOOKUP(AR$72,INDIRECT($C$5&amp;"生成成长"),2))/((VLOOKUP($B118,INDIRECT($B$5&amp;"生成成长"),4))/(VLOOKUP(AR$72,INDIRECT($C$5&amp;"生成成长"),5))*(VLOOKUP($B$5,标准坦克设计!$B$24:$U$30,MATCH("对"&amp;LEFT($C$5,2)&amp;"输出",标准坦克设计!$B$23:$U$23,0)))*(VLOOKUP($B118,INDIRECT($B$5&amp;"生成成长"),3))*(VLOOKUP($B$5,标准坦克设计!$B$14:$K$20,9)/30))</f>
        <v>70.489422456343135</v>
      </c>
      <c r="AS118" s="172">
        <f ca="1">(VLOOKUP(AS$72,INDIRECT($C$5&amp;"生成成长"),2))/((VLOOKUP($B118,INDIRECT($B$5&amp;"生成成长"),4))/(VLOOKUP(AS$72,INDIRECT($C$5&amp;"生成成长"),5))*(VLOOKUP($B$5,标准坦克设计!$B$24:$U$30,MATCH("对"&amp;LEFT($C$5,2)&amp;"输出",标准坦克设计!$B$23:$U$23,0)))*(VLOOKUP($B118,INDIRECT($B$5&amp;"生成成长"),3))*(VLOOKUP($B$5,标准坦克设计!$B$14:$K$20,9)/30))</f>
        <v>75.166207478739608</v>
      </c>
      <c r="AT118" s="172">
        <f ca="1">(VLOOKUP(AT$72,INDIRECT($C$5&amp;"生成成长"),2))/((VLOOKUP($B118,INDIRECT($B$5&amp;"生成成长"),4))/(VLOOKUP(AT$72,INDIRECT($C$5&amp;"生成成长"),5))*(VLOOKUP($B$5,标准坦克设计!$B$24:$U$30,MATCH("对"&amp;LEFT($C$5,2)&amp;"输出",标准坦克设计!$B$23:$U$23,0)))*(VLOOKUP($B118,INDIRECT($B$5&amp;"生成成长"),3))*(VLOOKUP($B$5,标准坦克设计!$B$14:$K$20,9)/30))</f>
        <v>79.993195815723993</v>
      </c>
      <c r="AU118" s="172">
        <f ca="1">(VLOOKUP(AU$72,INDIRECT($C$5&amp;"生成成长"),2))/((VLOOKUP($B118,INDIRECT($B$5&amp;"生成成长"),4))/(VLOOKUP(AU$72,INDIRECT($C$5&amp;"生成成长"),5))*(VLOOKUP($B$5,标准坦克设计!$B$24:$U$30,MATCH("对"&amp;LEFT($C$5,2)&amp;"输出",标准坦克设计!$B$23:$U$23,0)))*(VLOOKUP($B118,INDIRECT($B$5&amp;"生成成长"),3))*(VLOOKUP($B$5,标准坦克设计!$B$14:$K$20,9)/30))</f>
        <v>84.97038746729632</v>
      </c>
      <c r="AV118" s="172">
        <f ca="1">(VLOOKUP(AV$72,INDIRECT($C$5&amp;"生成成长"),2))/((VLOOKUP($B118,INDIRECT($B$5&amp;"生成成长"),4))/(VLOOKUP(AV$72,INDIRECT($C$5&amp;"生成成长"),5))*(VLOOKUP($B$5,标准坦克设计!$B$24:$U$30,MATCH("对"&amp;LEFT($C$5,2)&amp;"输出",标准坦克设计!$B$23:$U$23,0)))*(VLOOKUP($B118,INDIRECT($B$5&amp;"生成成长"),3))*(VLOOKUP($B$5,标准坦克设计!$B$14:$K$20,9)/30))</f>
        <v>8.642276662488193</v>
      </c>
      <c r="AW118" s="172">
        <f ca="1">(VLOOKUP(AW$72,INDIRECT($C$5&amp;"生成成长"),2))/((VLOOKUP($B118,INDIRECT($B$5&amp;"生成成长"),4))/(VLOOKUP(AW$72,INDIRECT($C$5&amp;"生成成长"),5))*(VLOOKUP($B$5,标准坦克设计!$B$24:$U$30,MATCH("对"&amp;LEFT($C$5,2)&amp;"输出",标准坦克设计!$B$23:$U$23,0)))*(VLOOKUP($B118,INDIRECT($B$5&amp;"生成成长"),3))*(VLOOKUP($B$5,标准坦克设计!$B$14:$K$20,9)/30))</f>
        <v>9.8538339768502272</v>
      </c>
      <c r="AX118" s="172">
        <f ca="1">(VLOOKUP(AX$72,INDIRECT($C$5&amp;"生成成长"),2))/((VLOOKUP($B118,INDIRECT($B$5&amp;"生成成长"),4))/(VLOOKUP(AX$72,INDIRECT($C$5&amp;"生成成长"),5))*(VLOOKUP($B$5,标准坦克设计!$B$24:$U$30,MATCH("对"&amp;LEFT($C$5,2)&amp;"输出",标准坦克设计!$B$23:$U$23,0)))*(VLOOKUP($B118,INDIRECT($B$5&amp;"生成成长"),3))*(VLOOKUP($B$5,标准坦克设计!$B$14:$K$20,9)/30))</f>
        <v>11.144837672481902</v>
      </c>
      <c r="AY118" s="172">
        <f ca="1">(VLOOKUP(AY$72,INDIRECT($C$5&amp;"生成成长"),2))/((VLOOKUP($B118,INDIRECT($B$5&amp;"生成成长"),4))/(VLOOKUP(AY$72,INDIRECT($C$5&amp;"生成成长"),5))*(VLOOKUP($B$5,标准坦克设计!$B$24:$U$30,MATCH("对"&amp;LEFT($C$5,2)&amp;"输出",标准坦克设计!$B$23:$U$23,0)))*(VLOOKUP($B118,INDIRECT($B$5&amp;"生成成长"),3))*(VLOOKUP($B$5,标准坦克设计!$B$14:$K$20,9)/30))</f>
        <v>12.515287749383218</v>
      </c>
      <c r="AZ118" s="172">
        <f ca="1">(VLOOKUP(AZ$72,INDIRECT($C$5&amp;"生成成长"),2))/((VLOOKUP($B118,INDIRECT($B$5&amp;"生成成长"),4))/(VLOOKUP(AZ$72,INDIRECT($C$5&amp;"生成成长"),5))*(VLOOKUP($B$5,标准坦克设计!$B$24:$U$30,MATCH("对"&amp;LEFT($C$5,2)&amp;"输出",标准坦克设计!$B$23:$U$23,0)))*(VLOOKUP($B118,INDIRECT($B$5&amp;"生成成长"),3))*(VLOOKUP($B$5,标准坦克设计!$B$14:$K$20,9)/30))</f>
        <v>13.965184207554177</v>
      </c>
      <c r="BA118" s="172">
        <f ca="1">(VLOOKUP(BA$72,INDIRECT($C$5&amp;"生成成长"),2))/((VLOOKUP($B118,INDIRECT($B$5&amp;"生成成长"),4))/(VLOOKUP(BA$72,INDIRECT($C$5&amp;"生成成长"),5))*(VLOOKUP($B$5,标准坦克设计!$B$24:$U$30,MATCH("对"&amp;LEFT($C$5,2)&amp;"输出",标准坦克设计!$B$23:$U$23,0)))*(VLOOKUP($B118,INDIRECT($B$5&amp;"生成成长"),3))*(VLOOKUP($B$5,标准坦克设计!$B$14:$K$20,9)/30))</f>
        <v>15.494527046994779</v>
      </c>
      <c r="BB118" s="172">
        <f ca="1">(VLOOKUP(BB$72,INDIRECT($C$5&amp;"生成成长"),2))/((VLOOKUP($B118,INDIRECT($B$5&amp;"生成成长"),4))/(VLOOKUP(BB$72,INDIRECT($C$5&amp;"生成成长"),5))*(VLOOKUP($B$5,标准坦克设计!$B$24:$U$30,MATCH("对"&amp;LEFT($C$5,2)&amp;"输出",标准坦克设计!$B$23:$U$23,0)))*(VLOOKUP($B118,INDIRECT($B$5&amp;"生成成长"),3))*(VLOOKUP($B$5,标准坦克设计!$B$14:$K$20,9)/30))</f>
        <v>17.103316267705022</v>
      </c>
      <c r="BC118" s="172">
        <f ca="1">(VLOOKUP(BC$72,INDIRECT($C$5&amp;"生成成长"),2))/((VLOOKUP($B118,INDIRECT($B$5&amp;"生成成长"),4))/(VLOOKUP(BC$72,INDIRECT($C$5&amp;"生成成长"),5))*(VLOOKUP($B$5,标准坦克设计!$B$24:$U$30,MATCH("对"&amp;LEFT($C$5,2)&amp;"输出",标准坦克设计!$B$23:$U$23,0)))*(VLOOKUP($B118,INDIRECT($B$5&amp;"生成成长"),3))*(VLOOKUP($B$5,标准坦克设计!$B$14:$K$20,9)/30))</f>
        <v>18.791551869684902</v>
      </c>
      <c r="BD118" s="172">
        <f ca="1">(VLOOKUP(BD$72,INDIRECT($C$5&amp;"生成成长"),2))/((VLOOKUP($B118,INDIRECT($B$5&amp;"生成成长"),4))/(VLOOKUP(BD$72,INDIRECT($C$5&amp;"生成成长"),5))*(VLOOKUP($B$5,标准坦克设计!$B$24:$U$30,MATCH("对"&amp;LEFT($C$5,2)&amp;"输出",标准坦克设计!$B$23:$U$23,0)))*(VLOOKUP($B118,INDIRECT($B$5&amp;"生成成长"),3))*(VLOOKUP($B$5,标准坦克设计!$B$14:$K$20,9)/30))</f>
        <v>20.785780174523634</v>
      </c>
      <c r="BE118" s="172">
        <f ca="1">(VLOOKUP(BE$72,INDIRECT($C$5&amp;"生成成长"),2))/((VLOOKUP($B118,INDIRECT($B$5&amp;"生成成长"),4))/(VLOOKUP(BE$72,INDIRECT($C$5&amp;"生成成长"),5))*(VLOOKUP($B$5,标准坦克设计!$B$24:$U$30,MATCH("对"&amp;LEFT($C$5,2)&amp;"输出",标准坦克设计!$B$23:$U$23,0)))*(VLOOKUP($B118,INDIRECT($B$5&amp;"生成成长"),3))*(VLOOKUP($B$5,标准坦克设计!$B$14:$K$20,9)/30))</f>
        <v>22.88055780565676</v>
      </c>
      <c r="BF118" s="172">
        <f ca="1">(VLOOKUP(BF$72,INDIRECT($C$5&amp;"生成成长"),2))/((VLOOKUP($B118,INDIRECT($B$5&amp;"生成成长"),4))/(VLOOKUP(BF$72,INDIRECT($C$5&amp;"生成成长"),5))*(VLOOKUP($B$5,标准坦克设计!$B$24:$U$30,MATCH("对"&amp;LEFT($C$5,2)&amp;"输出",标准坦克设计!$B$23:$U$23,0)))*(VLOOKUP($B118,INDIRECT($B$5&amp;"生成成长"),3))*(VLOOKUP($B$5,标准坦克设计!$B$14:$K$20,9)/30))</f>
        <v>25.075884763084282</v>
      </c>
      <c r="BG118" s="172">
        <f ca="1">(VLOOKUP(BG$72,INDIRECT($C$5&amp;"生成成长"),2))/((VLOOKUP($B118,INDIRECT($B$5&amp;"生成成长"),4))/(VLOOKUP(BG$72,INDIRECT($C$5&amp;"生成成长"),5))*(VLOOKUP($B$5,标准坦克设计!$B$24:$U$30,MATCH("对"&amp;LEFT($C$5,2)&amp;"输出",标准坦克设计!$B$23:$U$23,0)))*(VLOOKUP($B118,INDIRECT($B$5&amp;"生成成长"),3))*(VLOOKUP($B$5,标准坦克设计!$B$14:$K$20,9)/30))</f>
        <v>27.371761046806188</v>
      </c>
      <c r="BH118" s="172">
        <f ca="1">(VLOOKUP(BH$72,INDIRECT($C$5&amp;"生成成长"),2))/((VLOOKUP($B118,INDIRECT($B$5&amp;"生成成长"),4))/(VLOOKUP(BH$72,INDIRECT($C$5&amp;"生成成长"),5))*(VLOOKUP($B$5,标准坦克设计!$B$24:$U$30,MATCH("对"&amp;LEFT($C$5,2)&amp;"输出",标准坦克设计!$B$23:$U$23,0)))*(VLOOKUP($B118,INDIRECT($B$5&amp;"生成成长"),3))*(VLOOKUP($B$5,标准坦克设计!$B$14:$K$20,9)/30))</f>
        <v>13.230305180809994</v>
      </c>
      <c r="BI118" s="172">
        <f ca="1">(VLOOKUP(BI$72,INDIRECT($C$5&amp;"生成成长"),2))/((VLOOKUP($B118,INDIRECT($B$5&amp;"生成成长"),4))/(VLOOKUP(BI$72,INDIRECT($C$5&amp;"生成成长"),5))*(VLOOKUP($B$5,标准坦克设计!$B$24:$U$30,MATCH("对"&amp;LEFT($C$5,2)&amp;"输出",标准坦克设计!$B$23:$U$23,0)))*(VLOOKUP($B118,INDIRECT($B$5&amp;"生成成长"),3))*(VLOOKUP($B$5,标准坦克设计!$B$14:$K$20,9)/30))</f>
        <v>14.911713359399517</v>
      </c>
      <c r="BJ118" s="172">
        <f ca="1">(VLOOKUP(BJ$72,INDIRECT($C$5&amp;"生成成长"),2))/((VLOOKUP($B118,INDIRECT($B$5&amp;"生成成长"),4))/(VLOOKUP(BJ$72,INDIRECT($C$5&amp;"生成成长"),5))*(VLOOKUP($B$5,标准坦克设计!$B$24:$U$30,MATCH("对"&amp;LEFT($C$5,2)&amp;"输出",标准坦克设计!$B$23:$U$23,0)))*(VLOOKUP($B118,INDIRECT($B$5&amp;"生成成长"),3))*(VLOOKUP($B$5,标准坦克设计!$B$14:$K$20,9)/30))</f>
        <v>16.69367086428343</v>
      </c>
      <c r="BK118" s="172">
        <f ca="1">(VLOOKUP(BK$72,INDIRECT($C$5&amp;"生成成长"),2))/((VLOOKUP($B118,INDIRECT($B$5&amp;"生成成长"),4))/(VLOOKUP(BK$72,INDIRECT($C$5&amp;"生成成长"),5))*(VLOOKUP($B$5,标准坦克设计!$B$24:$U$30,MATCH("对"&amp;LEFT($C$5,2)&amp;"输出",标准坦克设计!$B$23:$U$23,0)))*(VLOOKUP($B118,INDIRECT($B$5&amp;"生成成长"),3))*(VLOOKUP($B$5,标准坦克设计!$B$14:$K$20,9)/30))</f>
        <v>18.576177695461734</v>
      </c>
      <c r="BL118" s="172">
        <f ca="1">(VLOOKUP(BL$72,INDIRECT($C$5&amp;"生成成长"),2))/((VLOOKUP($B118,INDIRECT($B$5&amp;"生成成长"),4))/(VLOOKUP(BL$72,INDIRECT($C$5&amp;"生成成长"),5))*(VLOOKUP($B$5,标准坦克设计!$B$24:$U$30,MATCH("对"&amp;LEFT($C$5,2)&amp;"输出",标准坦克设计!$B$23:$U$23,0)))*(VLOOKUP($B118,INDIRECT($B$5&amp;"生成成长"),3))*(VLOOKUP($B$5,标准坦克设计!$B$14:$K$20,9)/30))</f>
        <v>20.559233852934423</v>
      </c>
      <c r="BM118" s="172">
        <f ca="1">(VLOOKUP(BM$72,INDIRECT($C$5&amp;"生成成长"),2))/((VLOOKUP($B118,INDIRECT($B$5&amp;"生成成长"),4))/(VLOOKUP(BM$72,INDIRECT($C$5&amp;"生成成长"),5))*(VLOOKUP($B$5,标准坦克设计!$B$24:$U$30,MATCH("对"&amp;LEFT($C$5,2)&amp;"输出",标准坦克设计!$B$23:$U$23,0)))*(VLOOKUP($B118,INDIRECT($B$5&amp;"生成成长"),3))*(VLOOKUP($B$5,标准坦克设计!$B$14:$K$20,9)/30))</f>
        <v>22.64283933670151</v>
      </c>
      <c r="BN118" s="172">
        <f ca="1">(VLOOKUP(BN$72,INDIRECT($C$5&amp;"生成成长"),2))/((VLOOKUP($B118,INDIRECT($B$5&amp;"生成成长"),4))/(VLOOKUP(BN$72,INDIRECT($C$5&amp;"生成成长"),5))*(VLOOKUP($B$5,标准坦克设计!$B$24:$U$30,MATCH("对"&amp;LEFT($C$5,2)&amp;"输出",标准坦克设计!$B$23:$U$23,0)))*(VLOOKUP($B118,INDIRECT($B$5&amp;"生成成长"),3))*(VLOOKUP($B$5,标准坦克设计!$B$14:$K$20,9)/30))</f>
        <v>24.826994146762988</v>
      </c>
      <c r="BO118" s="172">
        <f ca="1">(VLOOKUP(BO$72,INDIRECT($C$5&amp;"生成成长"),2))/((VLOOKUP($B118,INDIRECT($B$5&amp;"生成成长"),4))/(VLOOKUP(BO$72,INDIRECT($C$5&amp;"生成成长"),5))*(VLOOKUP($B$5,标准坦克设计!$B$24:$U$30,MATCH("对"&amp;LEFT($C$5,2)&amp;"输出",标准坦克设计!$B$23:$U$23,0)))*(VLOOKUP($B118,INDIRECT($B$5&amp;"生成成长"),3))*(VLOOKUP($B$5,标准坦克设计!$B$14:$K$20,9)/30))</f>
        <v>27.111698283118848</v>
      </c>
      <c r="BP118" s="172">
        <f ca="1">(VLOOKUP(BP$72,INDIRECT($C$5&amp;"生成成长"),2))/((VLOOKUP($B118,INDIRECT($B$5&amp;"生成成长"),4))/(VLOOKUP(BP$72,INDIRECT($C$5&amp;"生成成长"),5))*(VLOOKUP($B$5,标准坦克设计!$B$24:$U$30,MATCH("对"&amp;LEFT($C$5,2)&amp;"输出",标准坦克设计!$B$23:$U$23,0)))*(VLOOKUP($B118,INDIRECT($B$5&amp;"生成成长"),3))*(VLOOKUP($B$5,标准坦克设计!$B$14:$K$20,9)/30))</f>
        <v>29.496951745769103</v>
      </c>
      <c r="BQ118" s="172">
        <f ca="1">(VLOOKUP(BQ$72,INDIRECT($C$5&amp;"生成成长"),2))/((VLOOKUP($B118,INDIRECT($B$5&amp;"生成成长"),4))/(VLOOKUP(BQ$72,INDIRECT($C$5&amp;"生成成长"),5))*(VLOOKUP($B$5,标准坦克设计!$B$24:$U$30,MATCH("对"&amp;LEFT($C$5,2)&amp;"输出",标准坦克设计!$B$23:$U$23,0)))*(VLOOKUP($B118,INDIRECT($B$5&amp;"生成成长"),3))*(VLOOKUP($B$5,标准坦克设计!$B$14:$K$20,9)/30))</f>
        <v>31.982754534713745</v>
      </c>
      <c r="BR118" s="172">
        <f ca="1">(VLOOKUP(BR$72,INDIRECT($C$5&amp;"生成成长"),2))/((VLOOKUP($B118,INDIRECT($B$5&amp;"生成成长"),4))/(VLOOKUP(BR$72,INDIRECT($C$5&amp;"生成成长"),5))*(VLOOKUP($B$5,标准坦克设计!$B$24:$U$30,MATCH("对"&amp;LEFT($C$5,2)&amp;"输出",标准坦克设计!$B$23:$U$23,0)))*(VLOOKUP($B118,INDIRECT($B$5&amp;"生成成长"),3))*(VLOOKUP($B$5,标准坦克设计!$B$14:$K$20,9)/30))</f>
        <v>34.862685855738249</v>
      </c>
      <c r="BS118" s="172">
        <f ca="1">(VLOOKUP(BS$72,INDIRECT($C$5&amp;"生成成长"),2))/((VLOOKUP($B118,INDIRECT($B$5&amp;"生成成长"),4))/(VLOOKUP(BS$72,INDIRECT($C$5&amp;"生成成长"),5))*(VLOOKUP($B$5,标准坦克设计!$B$24:$U$30,MATCH("对"&amp;LEFT($C$5,2)&amp;"输出",标准坦克设计!$B$23:$U$23,0)))*(VLOOKUP($B118,INDIRECT($B$5&amp;"生成成长"),3))*(VLOOKUP($B$5,标准坦克设计!$B$14:$K$20,9)/30))</f>
        <v>37.86675214749657</v>
      </c>
      <c r="BT118" s="172">
        <f ca="1">(VLOOKUP(BT$72,INDIRECT($C$5&amp;"生成成长"),2))/((VLOOKUP($B118,INDIRECT($B$5&amp;"生成成长"),4))/(VLOOKUP(BT$72,INDIRECT($C$5&amp;"生成成长"),5))*(VLOOKUP($B$5,标准坦克设计!$B$24:$U$30,MATCH("对"&amp;LEFT($C$5,2)&amp;"输出",标准坦克设计!$B$23:$U$23,0)))*(VLOOKUP($B118,INDIRECT($B$5&amp;"生成成长"),3))*(VLOOKUP($B$5,标准坦克设计!$B$14:$K$20,9)/30))</f>
        <v>40.99495340998871</v>
      </c>
      <c r="BU118" s="172">
        <f ca="1">(VLOOKUP(BU$72,INDIRECT($C$5&amp;"生成成长"),2))/((VLOOKUP($B118,INDIRECT($B$5&amp;"生成成长"),4))/(VLOOKUP(BU$72,INDIRECT($C$5&amp;"生成成长"),5))*(VLOOKUP($B$5,标准坦克设计!$B$24:$U$30,MATCH("对"&amp;LEFT($C$5,2)&amp;"输出",标准坦克设计!$B$23:$U$23,0)))*(VLOOKUP($B118,INDIRECT($B$5&amp;"生成成长"),3))*(VLOOKUP($B$5,标准坦克设计!$B$14:$K$20,9)/30))</f>
        <v>44.247289643214657</v>
      </c>
      <c r="BV118" s="172">
        <f ca="1">(VLOOKUP(BV$72,INDIRECT($C$5&amp;"生成成长"),2))/((VLOOKUP($B118,INDIRECT($B$5&amp;"生成成长"),4))/(VLOOKUP(BV$72,INDIRECT($C$5&amp;"生成成长"),5))*(VLOOKUP($B$5,标准坦克设计!$B$24:$U$30,MATCH("对"&amp;LEFT($C$5,2)&amp;"输出",标准坦克设计!$B$23:$U$23,0)))*(VLOOKUP($B118,INDIRECT($B$5&amp;"生成成长"),3))*(VLOOKUP($B$5,标准坦克设计!$B$14:$K$20,9)/30))</f>
        <v>47.623760847174424</v>
      </c>
      <c r="BW118" s="172">
        <f ca="1">(VLOOKUP(BW$72,INDIRECT($C$5&amp;"生成成长"),2))/((VLOOKUP($B118,INDIRECT($B$5&amp;"生成成长"),4))/(VLOOKUP(BW$72,INDIRECT($C$5&amp;"生成成长"),5))*(VLOOKUP($B$5,标准坦克设计!$B$24:$U$30,MATCH("对"&amp;LEFT($C$5,2)&amp;"输出",标准坦克设计!$B$23:$U$23,0)))*(VLOOKUP($B118,INDIRECT($B$5&amp;"生成成长"),3))*(VLOOKUP($B$5,标准坦克设计!$B$14:$K$20,9)/30))</f>
        <v>21.704378957953868</v>
      </c>
      <c r="BX118" s="172">
        <f ca="1">(VLOOKUP(BX$72,INDIRECT($C$5&amp;"生成成长"),2))/((VLOOKUP($B118,INDIRECT($B$5&amp;"生成成长"),4))/(VLOOKUP(BX$72,INDIRECT($C$5&amp;"生成成长"),5))*(VLOOKUP($B$5,标准坦克设计!$B$24:$U$30,MATCH("对"&amp;LEFT($C$5,2)&amp;"输出",标准坦克设计!$B$23:$U$23,0)))*(VLOOKUP($B118,INDIRECT($B$5&amp;"生成成长"),3))*(VLOOKUP($B$5,标准坦克设计!$B$14:$K$20,9)/30))</f>
        <v>24.087770396043112</v>
      </c>
      <c r="BY118" s="172">
        <f ca="1">(VLOOKUP(BY$72,INDIRECT($C$5&amp;"生成成长"),2))/((VLOOKUP($B118,INDIRECT($B$5&amp;"生成成长"),4))/(VLOOKUP(BY$72,INDIRECT($C$5&amp;"生成成长"),5))*(VLOOKUP($B$5,标准坦克设计!$B$24:$U$30,MATCH("对"&amp;LEFT($C$5,2)&amp;"输出",标准坦克设计!$B$23:$U$23,0)))*(VLOOKUP($B118,INDIRECT($B$5&amp;"生成成长"),3))*(VLOOKUP($B$5,标准坦克设计!$B$14:$K$20,9)/30))</f>
        <v>26.595296804866173</v>
      </c>
      <c r="BZ118" s="172">
        <f ca="1">(VLOOKUP(BZ$72,INDIRECT($C$5&amp;"生成成长"),2))/((VLOOKUP($B118,INDIRECT($B$5&amp;"生成成长"),4))/(VLOOKUP(BZ$72,INDIRECT($C$5&amp;"生成成长"),5))*(VLOOKUP($B$5,标准坦克设计!$B$24:$U$30,MATCH("对"&amp;LEFT($C$5,2)&amp;"输出",标准坦克设计!$B$23:$U$23,0)))*(VLOOKUP($B118,INDIRECT($B$5&amp;"生成成长"),3))*(VLOOKUP($B$5,标准坦克设计!$B$14:$K$20,9)/30))</f>
        <v>29.226958184423054</v>
      </c>
      <c r="CA118" s="172">
        <f ca="1">(VLOOKUP(CA$72,INDIRECT($C$5&amp;"生成成长"),2))/((VLOOKUP($B118,INDIRECT($B$5&amp;"生成成长"),4))/(VLOOKUP(CA$72,INDIRECT($C$5&amp;"生成成长"),5))*(VLOOKUP($B$5,标准坦克设计!$B$24:$U$30,MATCH("对"&amp;LEFT($C$5,2)&amp;"输出",标准坦克设计!$B$23:$U$23,0)))*(VLOOKUP($B118,INDIRECT($B$5&amp;"生成成长"),3))*(VLOOKUP($B$5,标准坦克设计!$B$14:$K$20,9)/30))</f>
        <v>31.982754534713745</v>
      </c>
      <c r="CB118" s="172">
        <f ca="1">(VLOOKUP(CB$72,INDIRECT($C$5&amp;"生成成长"),2))/((VLOOKUP($B118,INDIRECT($B$5&amp;"生成成长"),4))/(VLOOKUP(CB$72,INDIRECT($C$5&amp;"生成成长"),5))*(VLOOKUP($B$5,标准坦克设计!$B$24:$U$30,MATCH("对"&amp;LEFT($C$5,2)&amp;"输出",标准坦克设计!$B$23:$U$23,0)))*(VLOOKUP($B118,INDIRECT($B$5&amp;"生成成长"),3))*(VLOOKUP($B$5,标准坦克设计!$B$14:$K$20,9)/30))</f>
        <v>34.862685855738249</v>
      </c>
      <c r="CC118" s="172">
        <f ca="1">(VLOOKUP(CC$72,INDIRECT($C$5&amp;"生成成长"),2))/((VLOOKUP($B118,INDIRECT($B$5&amp;"生成成长"),4))/(VLOOKUP(CC$72,INDIRECT($C$5&amp;"生成成长"),5))*(VLOOKUP($B$5,标准坦克设计!$B$24:$U$30,MATCH("对"&amp;LEFT($C$5,2)&amp;"输出",标准坦克设计!$B$23:$U$23,0)))*(VLOOKUP($B118,INDIRECT($B$5&amp;"生成成长"),3))*(VLOOKUP($B$5,标准坦克设计!$B$14:$K$20,9)/30))</f>
        <v>37.86675214749657</v>
      </c>
      <c r="CD118" s="172">
        <f ca="1">(VLOOKUP(CD$72,INDIRECT($C$5&amp;"生成成长"),2))/((VLOOKUP($B118,INDIRECT($B$5&amp;"生成成长"),4))/(VLOOKUP(CD$72,INDIRECT($C$5&amp;"生成成长"),5))*(VLOOKUP($B$5,标准坦克设计!$B$24:$U$30,MATCH("对"&amp;LEFT($C$5,2)&amp;"输出",标准坦克设计!$B$23:$U$23,0)))*(VLOOKUP($B118,INDIRECT($B$5&amp;"生成成长"),3))*(VLOOKUP($B$5,标准坦克设计!$B$14:$K$20,9)/30))</f>
        <v>40.99495340998871</v>
      </c>
      <c r="CE118" s="172">
        <f ca="1">(VLOOKUP(CE$72,INDIRECT($C$5&amp;"生成成长"),2))/((VLOOKUP($B118,INDIRECT($B$5&amp;"生成成长"),4))/(VLOOKUP(CE$72,INDIRECT($C$5&amp;"生成成长"),5))*(VLOOKUP($B$5,标准坦克设计!$B$24:$U$30,MATCH("对"&amp;LEFT($C$5,2)&amp;"输出",标准坦克设计!$B$23:$U$23,0)))*(VLOOKUP($B118,INDIRECT($B$5&amp;"生成成长"),3))*(VLOOKUP($B$5,标准坦克设计!$B$14:$K$20,9)/30))</f>
        <v>44.247289643214657</v>
      </c>
      <c r="CF118" s="172">
        <f ca="1">(VLOOKUP(CF$72,INDIRECT($C$5&amp;"生成成长"),2))/((VLOOKUP($B118,INDIRECT($B$5&amp;"生成成长"),4))/(VLOOKUP(CF$72,INDIRECT($C$5&amp;"生成成长"),5))*(VLOOKUP($B$5,标准坦克设计!$B$24:$U$30,MATCH("对"&amp;LEFT($C$5,2)&amp;"输出",标准坦克设计!$B$23:$U$23,0)))*(VLOOKUP($B118,INDIRECT($B$5&amp;"生成成长"),3))*(VLOOKUP($B$5,标准坦克设计!$B$14:$K$20,9)/30))</f>
        <v>47.623760847174424</v>
      </c>
      <c r="CG118" s="172">
        <f ca="1">(VLOOKUP(CG$72,INDIRECT($C$5&amp;"生成成长"),2))/((VLOOKUP($B118,INDIRECT($B$5&amp;"生成成长"),4))/(VLOOKUP(CG$72,INDIRECT($C$5&amp;"生成成长"),5))*(VLOOKUP($B$5,标准坦克设计!$B$24:$U$30,MATCH("对"&amp;LEFT($C$5,2)&amp;"输出",标准坦克设计!$B$23:$U$23,0)))*(VLOOKUP($B118,INDIRECT($B$5&amp;"生成成长"),3))*(VLOOKUP($B$5,标准坦克设计!$B$14:$K$20,9)/30))</f>
        <v>51.124367021867997</v>
      </c>
      <c r="CH118" s="172">
        <f ca="1">(VLOOKUP(CH$72,INDIRECT($C$5&amp;"生成成长"),2))/((VLOOKUP($B118,INDIRECT($B$5&amp;"生成成长"),4))/(VLOOKUP(CH$72,INDIRECT($C$5&amp;"生成成长"),5))*(VLOOKUP($B$5,标准坦克设计!$B$24:$U$30,MATCH("对"&amp;LEFT($C$5,2)&amp;"输出",标准坦克设计!$B$23:$U$23,0)))*(VLOOKUP($B118,INDIRECT($B$5&amp;"生成成长"),3))*(VLOOKUP($B$5,标准坦克设计!$B$14:$K$20,9)/30))</f>
        <v>54.749108167295397</v>
      </c>
      <c r="CI118" s="172">
        <f ca="1">(VLOOKUP(CI$72,INDIRECT($C$5&amp;"生成成长"),2))/((VLOOKUP($B118,INDIRECT($B$5&amp;"生成成长"),4))/(VLOOKUP(CI$72,INDIRECT($C$5&amp;"生成成长"),5))*(VLOOKUP($B$5,标准坦克设计!$B$24:$U$30,MATCH("对"&amp;LEFT($C$5,2)&amp;"输出",标准坦克设计!$B$23:$U$23,0)))*(VLOOKUP($B118,INDIRECT($B$5&amp;"生成成长"),3))*(VLOOKUP($B$5,标准坦克设计!$B$14:$K$20,9)/30))</f>
        <v>58.879699318463082</v>
      </c>
      <c r="CJ118" s="172">
        <f ca="1">(VLOOKUP(CJ$72,INDIRECT($C$5&amp;"生成成长"),2))/((VLOOKUP($B118,INDIRECT($B$5&amp;"生成成长"),4))/(VLOOKUP(CJ$72,INDIRECT($C$5&amp;"生成成长"),5))*(VLOOKUP($B$5,标准坦克设计!$B$24:$U$30,MATCH("对"&amp;LEFT($C$5,2)&amp;"输出",标准坦克设计!$B$23:$U$23,0)))*(VLOOKUP($B118,INDIRECT($B$5&amp;"生成成长"),3))*(VLOOKUP($B$5,标准坦克设计!$B$14:$K$20,9)/30))</f>
        <v>63.160493784218701</v>
      </c>
      <c r="CK118" s="172">
        <f ca="1">(VLOOKUP(CK$72,INDIRECT($C$5&amp;"生成成长"),2))/((VLOOKUP($B118,INDIRECT($B$5&amp;"生成成长"),4))/(VLOOKUP(CK$72,INDIRECT($C$5&amp;"生成成长"),5))*(VLOOKUP($B$5,标准坦克设计!$B$24:$U$30,MATCH("对"&amp;LEFT($C$5,2)&amp;"输出",标准坦克设计!$B$23:$U$23,0)))*(VLOOKUP($B118,INDIRECT($B$5&amp;"生成成长"),3))*(VLOOKUP($B$5,标准坦克设计!$B$14:$K$20,9)/30))</f>
        <v>67.591491564562219</v>
      </c>
      <c r="CL118" s="172">
        <f ca="1">(VLOOKUP(CL$72,INDIRECT($C$5&amp;"生成成长"),2))/((VLOOKUP($B118,INDIRECT($B$5&amp;"生成成长"),4))/(VLOOKUP(CL$72,INDIRECT($C$5&amp;"生成成长"),5))*(VLOOKUP($B$5,标准坦克设计!$B$24:$U$30,MATCH("对"&amp;LEFT($C$5,2)&amp;"输出",标准坦克设计!$B$23:$U$23,0)))*(VLOOKUP($B118,INDIRECT($B$5&amp;"生成成长"),3))*(VLOOKUP($B$5,标准坦克设计!$B$14:$K$20,9)/30))</f>
        <v>72.172692659493663</v>
      </c>
      <c r="CM118" s="172">
        <f ca="1">(VLOOKUP(CM$72,INDIRECT($C$5&amp;"生成成长"),2))/((VLOOKUP($B118,INDIRECT($B$5&amp;"生成成长"),4))/(VLOOKUP(CM$72,INDIRECT($C$5&amp;"生成成长"),5))*(VLOOKUP($B$5,标准坦克设计!$B$24:$U$30,MATCH("对"&amp;LEFT($C$5,2)&amp;"输出",标准坦克设计!$B$23:$U$23,0)))*(VLOOKUP($B118,INDIRECT($B$5&amp;"生成成长"),3))*(VLOOKUP($B$5,标准坦克设计!$B$14:$K$20,9)/30))</f>
        <v>76.904097069013019</v>
      </c>
      <c r="CN118" s="172">
        <f ca="1">(VLOOKUP(CN$72,INDIRECT($C$5&amp;"生成成长"),2))/((VLOOKUP($B118,INDIRECT($B$5&amp;"生成成长"),4))/(VLOOKUP(CN$72,INDIRECT($C$5&amp;"生成成长"),5))*(VLOOKUP($B$5,标准坦克设计!$B$24:$U$30,MATCH("对"&amp;LEFT($C$5,2)&amp;"输出",标准坦克设计!$B$23:$U$23,0)))*(VLOOKUP($B118,INDIRECT($B$5&amp;"生成成长"),3))*(VLOOKUP($B$5,标准坦克设计!$B$14:$K$20,9)/30))</f>
        <v>81.785704793120289</v>
      </c>
      <c r="CO118" s="172">
        <f ca="1">(VLOOKUP(CO$72,INDIRECT($C$5&amp;"生成成长"),2))/((VLOOKUP($B118,INDIRECT($B$5&amp;"生成成长"),4))/(VLOOKUP(CO$72,INDIRECT($C$5&amp;"生成成长"),5))*(VLOOKUP($B$5,标准坦克设计!$B$24:$U$30,MATCH("对"&amp;LEFT($C$5,2)&amp;"输出",标准坦克设计!$B$23:$U$23,0)))*(VLOOKUP($B118,INDIRECT($B$5&amp;"生成成长"),3))*(VLOOKUP($B$5,标准坦克设计!$B$14:$K$20,9)/30))</f>
        <v>36.650229434305182</v>
      </c>
      <c r="CP118" s="172">
        <f ca="1">(VLOOKUP(CP$72,INDIRECT($C$5&amp;"生成成长"),2))/((VLOOKUP($B118,INDIRECT($B$5&amp;"生成成长"),4))/(VLOOKUP(CP$72,INDIRECT($C$5&amp;"生成成长"),5))*(VLOOKUP($B$5,标准坦克设计!$B$24:$U$30,MATCH("对"&amp;LEFT($C$5,2)&amp;"输出",标准坦克设计!$B$23:$U$23,0)))*(VLOOKUP($B118,INDIRECT($B$5&amp;"生成成长"),3))*(VLOOKUP($B$5,标准坦克设计!$B$14:$K$20,9)/30))</f>
        <v>40.043458859314015</v>
      </c>
      <c r="CQ118" s="172">
        <f ca="1">(VLOOKUP(CQ$72,INDIRECT($C$5&amp;"生成成长"),2))/((VLOOKUP($B118,INDIRECT($B$5&amp;"生成成长"),4))/(VLOOKUP(CQ$72,INDIRECT($C$5&amp;"生成成长"),5))*(VLOOKUP($B$5,标准坦克设计!$B$24:$U$30,MATCH("对"&amp;LEFT($C$5,2)&amp;"输出",标准坦克设计!$B$23:$U$23,0)))*(VLOOKUP($B118,INDIRECT($B$5&amp;"生成成长"),3))*(VLOOKUP($B$5,标准坦克设计!$B$14:$K$20,9)/30))</f>
        <v>43.586891598910761</v>
      </c>
      <c r="CR118" s="172">
        <f ca="1">(VLOOKUP(CR$72,INDIRECT($C$5&amp;"生成成长"),2))/((VLOOKUP($B118,INDIRECT($B$5&amp;"生成成长"),4))/(VLOOKUP(CR$72,INDIRECT($C$5&amp;"生成成长"),5))*(VLOOKUP($B$5,标准坦克设计!$B$24:$U$30,MATCH("对"&amp;LEFT($C$5,2)&amp;"输出",标准坦克设计!$B$23:$U$23,0)))*(VLOOKUP($B118,INDIRECT($B$5&amp;"生成成长"),3))*(VLOOKUP($B$5,标准坦克设计!$B$14:$K$20,9)/30))</f>
        <v>47.280527653095426</v>
      </c>
      <c r="CS118" s="172">
        <f ca="1">(VLOOKUP(CS$72,INDIRECT($C$5&amp;"生成成长"),2))/((VLOOKUP($B118,INDIRECT($B$5&amp;"生成成长"),4))/(VLOOKUP(CS$72,INDIRECT($C$5&amp;"生成成长"),5))*(VLOOKUP($B$5,标准坦克设计!$B$24:$U$30,MATCH("对"&amp;LEFT($C$5,2)&amp;"输出",标准坦克设计!$B$23:$U$23,0)))*(VLOOKUP($B118,INDIRECT($B$5&amp;"生成成长"),3))*(VLOOKUP($B$5,标准坦克设计!$B$14:$K$20,9)/30))</f>
        <v>51.124367021867997</v>
      </c>
      <c r="CT118" s="172">
        <f ca="1">(VLOOKUP(CT$72,INDIRECT($C$5&amp;"生成成长"),2))/((VLOOKUP($B118,INDIRECT($B$5&amp;"生成成长"),4))/(VLOOKUP(CT$72,INDIRECT($C$5&amp;"生成成长"),5))*(VLOOKUP($B$5,标准坦克设计!$B$24:$U$30,MATCH("对"&amp;LEFT($C$5,2)&amp;"输出",标准坦克设计!$B$23:$U$23,0)))*(VLOOKUP($B118,INDIRECT($B$5&amp;"生成成长"),3))*(VLOOKUP($B$5,标准坦克设计!$B$14:$K$20,9)/30))</f>
        <v>55.118409705228501</v>
      </c>
      <c r="CU118" s="172">
        <f ca="1">(VLOOKUP(CU$72,INDIRECT($C$5&amp;"生成成长"),2))/((VLOOKUP($B118,INDIRECT($B$5&amp;"生成成长"),4))/(VLOOKUP(CU$72,INDIRECT($C$5&amp;"生成成长"),5))*(VLOOKUP($B$5,标准坦克设计!$B$24:$U$30,MATCH("对"&amp;LEFT($C$5,2)&amp;"输出",标准坦克设计!$B$23:$U$23,0)))*(VLOOKUP($B118,INDIRECT($B$5&amp;"生成成长"),3))*(VLOOKUP($B$5,标准坦克设计!$B$14:$K$20,9)/30))</f>
        <v>59.262655703176904</v>
      </c>
      <c r="CV118" s="172">
        <f ca="1">(VLOOKUP(CV$72,INDIRECT($C$5&amp;"生成成长"),2))/((VLOOKUP($B118,INDIRECT($B$5&amp;"生成成长"),4))/(VLOOKUP(CV$72,INDIRECT($C$5&amp;"生成成长"),5))*(VLOOKUP($B$5,标准坦克设计!$B$24:$U$30,MATCH("对"&amp;LEFT($C$5,2)&amp;"输出",标准坦克设计!$B$23:$U$23,0)))*(VLOOKUP($B118,INDIRECT($B$5&amp;"生成成长"),3))*(VLOOKUP($B$5,标准坦克设计!$B$14:$K$20,9)/30))</f>
        <v>63.557105015713226</v>
      </c>
      <c r="CW118" s="172">
        <f ca="1">(VLOOKUP(CW$72,INDIRECT($C$5&amp;"生成成长"),2))/((VLOOKUP($B118,INDIRECT($B$5&amp;"生成成长"),4))/(VLOOKUP(CW$72,INDIRECT($C$5&amp;"生成成长"),5))*(VLOOKUP($B$5,标准坦克设计!$B$24:$U$30,MATCH("对"&amp;LEFT($C$5,2)&amp;"输出",标准坦克设计!$B$23:$U$23,0)))*(VLOOKUP($B118,INDIRECT($B$5&amp;"生成成长"),3))*(VLOOKUP($B$5,标准坦克设计!$B$14:$K$20,9)/30))</f>
        <v>68.001757642837489</v>
      </c>
      <c r="CX118" s="172">
        <f ca="1">(VLOOKUP(CX$72,INDIRECT($C$5&amp;"生成成长"),2))/((VLOOKUP($B118,INDIRECT($B$5&amp;"生成成长"),4))/(VLOOKUP(CX$72,INDIRECT($C$5&amp;"生成成长"),5))*(VLOOKUP($B$5,标准坦克设计!$B$24:$U$30,MATCH("对"&amp;LEFT($C$5,2)&amp;"输出",标准坦克设计!$B$23:$U$23,0)))*(VLOOKUP($B118,INDIRECT($B$5&amp;"生成成长"),3))*(VLOOKUP($B$5,标准坦克设计!$B$14:$K$20,9)/30))</f>
        <v>72.596613584549644</v>
      </c>
      <c r="CY118" s="172">
        <f ca="1">(VLOOKUP(CY$72,INDIRECT($C$5&amp;"生成成长"),2))/((VLOOKUP($B118,INDIRECT($B$5&amp;"生成成长"),4))/(VLOOKUP(CY$72,INDIRECT($C$5&amp;"生成成长"),5))*(VLOOKUP($B$5,标准坦克设计!$B$24:$U$30,MATCH("对"&amp;LEFT($C$5,2)&amp;"输出",标准坦克设计!$B$23:$U$23,0)))*(VLOOKUP($B118,INDIRECT($B$5&amp;"生成成长"),3))*(VLOOKUP($B$5,标准坦克设计!$B$14:$K$20,9)/30))</f>
        <v>77.341672840849725</v>
      </c>
      <c r="CZ118" s="172">
        <f ca="1">(VLOOKUP(CZ$72,INDIRECT($C$5&amp;"生成成长"),2))/((VLOOKUP($B118,INDIRECT($B$5&amp;"生成成长"),4))/(VLOOKUP(CZ$72,INDIRECT($C$5&amp;"生成成长"),5))*(VLOOKUP($B$5,标准坦克设计!$B$24:$U$30,MATCH("对"&amp;LEFT($C$5,2)&amp;"输出",标准坦克设计!$B$23:$U$23,0)))*(VLOOKUP($B118,INDIRECT($B$5&amp;"生成成长"),3))*(VLOOKUP($B$5,标准坦克设计!$B$14:$K$20,9)/30))</f>
        <v>82.23693541173769</v>
      </c>
      <c r="DA118" s="172">
        <f ca="1">(VLOOKUP(DA$72,INDIRECT($C$5&amp;"生成成长"),2))/((VLOOKUP($B118,INDIRECT($B$5&amp;"生成成长"),4))/(VLOOKUP(DA$72,INDIRECT($C$5&amp;"生成成长"),5))*(VLOOKUP($B$5,标准坦克设计!$B$24:$U$30,MATCH("对"&amp;LEFT($C$5,2)&amp;"输出",标准坦克设计!$B$23:$U$23,0)))*(VLOOKUP($B118,INDIRECT($B$5&amp;"生成成长"),3))*(VLOOKUP($B$5,标准坦克设计!$B$14:$K$20,9)/30))</f>
        <v>87.28240129721361</v>
      </c>
      <c r="DB118" s="172">
        <f ca="1">(VLOOKUP(DB$72,INDIRECT($C$5&amp;"生成成长"),2))/((VLOOKUP($B118,INDIRECT($B$5&amp;"生成成长"),4))/(VLOOKUP(DB$72,INDIRECT($C$5&amp;"生成成长"),5))*(VLOOKUP($B$5,标准坦克设计!$B$24:$U$30,MATCH("对"&amp;LEFT($C$5,2)&amp;"输出",标准坦克设计!$B$23:$U$23,0)))*(VLOOKUP($B118,INDIRECT($B$5&amp;"生成成长"),3))*(VLOOKUP($B$5,标准坦克设计!$B$14:$K$20,9)/30))</f>
        <v>92.478070497277443</v>
      </c>
      <c r="DC118" s="172">
        <f ca="1">(VLOOKUP(DC$72,INDIRECT($C$5&amp;"生成成长"),2))/((VLOOKUP($B118,INDIRECT($B$5&amp;"生成成长"),4))/(VLOOKUP(DC$72,INDIRECT($C$5&amp;"生成成长"),5))*(VLOOKUP($B$5,标准坦克设计!$B$24:$U$30,MATCH("对"&amp;LEFT($C$5,2)&amp;"输出",标准坦克设计!$B$23:$U$23,0)))*(VLOOKUP($B118,INDIRECT($B$5&amp;"生成成长"),3))*(VLOOKUP($B$5,标准坦克设计!$B$14:$K$20,9)/30))</f>
        <v>98.317379520596077</v>
      </c>
      <c r="DD118" s="172">
        <f ca="1">(VLOOKUP(DD$72,INDIRECT($C$5&amp;"生成成长"),2))/((VLOOKUP($B118,INDIRECT($B$5&amp;"生成成长"),4))/(VLOOKUP(DD$72,INDIRECT($C$5&amp;"生成成长"),5))*(VLOOKUP($B$5,标准坦克设计!$B$24:$U$30,MATCH("对"&amp;LEFT($C$5,2)&amp;"输出",标准坦克设计!$B$23:$U$23,0)))*(VLOOKUP($B118,INDIRECT($B$5&amp;"生成成长"),3))*(VLOOKUP($B$5,标准坦克设计!$B$14:$K$20,9)/30))</f>
        <v>104.33544290177144</v>
      </c>
      <c r="DE118" s="172">
        <f ca="1">(VLOOKUP(DE$72,INDIRECT($C$5&amp;"生成成长"),2))/((VLOOKUP($B118,INDIRECT($B$5&amp;"生成成长"),4))/(VLOOKUP(DE$72,INDIRECT($C$5&amp;"生成成长"),5))*(VLOOKUP($B$5,标准坦克设计!$B$24:$U$30,MATCH("对"&amp;LEFT($C$5,2)&amp;"输出",标准坦克设计!$B$23:$U$23,0)))*(VLOOKUP($B118,INDIRECT($B$5&amp;"生成成长"),3))*(VLOOKUP($B$5,标准坦克设计!$B$14:$K$20,9)/30))</f>
        <v>110.53226064080349</v>
      </c>
      <c r="DF118" s="172">
        <f ca="1">(VLOOKUP(DF$72,INDIRECT($C$5&amp;"生成成长"),2))/((VLOOKUP($B118,INDIRECT($B$5&amp;"生成成长"),4))/(VLOOKUP(DF$72,INDIRECT($C$5&amp;"生成成长"),5))*(VLOOKUP($B$5,标准坦克设计!$B$24:$U$30,MATCH("对"&amp;LEFT($C$5,2)&amp;"输出",标准坦克设计!$B$23:$U$23,0)))*(VLOOKUP($B118,INDIRECT($B$5&amp;"生成成长"),3))*(VLOOKUP($B$5,标准坦克设计!$B$14:$K$20,9)/30))</f>
        <v>116.90783273769222</v>
      </c>
      <c r="DG118" s="172">
        <f ca="1">(VLOOKUP(DG$72,INDIRECT($C$5&amp;"生成成长"),2))/((VLOOKUP($B118,INDIRECT($B$5&amp;"生成成长"),4))/(VLOOKUP(DG$72,INDIRECT($C$5&amp;"生成成长"),5))*(VLOOKUP($B$5,标准坦克设计!$B$24:$U$30,MATCH("对"&amp;LEFT($C$5,2)&amp;"输出",标准坦克设计!$B$23:$U$23,0)))*(VLOOKUP($B118,INDIRECT($B$5&amp;"生成成长"),3))*(VLOOKUP($B$5,标准坦克设计!$B$14:$K$20,9)/30))</f>
        <v>123.46215919243762</v>
      </c>
      <c r="DH118" s="172">
        <f ca="1">(VLOOKUP(DH$72,INDIRECT($C$5&amp;"生成成长"),2))/((VLOOKUP($B118,INDIRECT($B$5&amp;"生成成长"),4))/(VLOOKUP(DH$72,INDIRECT($C$5&amp;"生成成长"),5))*(VLOOKUP($B$5,标准坦克设计!$B$24:$U$30,MATCH("对"&amp;LEFT($C$5,2)&amp;"输出",标准坦克设计!$B$23:$U$23,0)))*(VLOOKUP($B118,INDIRECT($B$5&amp;"生成成长"),3))*(VLOOKUP($B$5,标准坦克设计!$B$14:$K$20,9)/30))</f>
        <v>130.19524000503978</v>
      </c>
      <c r="DI118" s="172">
        <f ca="1">(VLOOKUP(DI$72,INDIRECT($C$5&amp;"生成成长"),2))/((VLOOKUP($B118,INDIRECT($B$5&amp;"生成成长"),4))/(VLOOKUP(DI$72,INDIRECT($C$5&amp;"生成成长"),5))*(VLOOKUP($B$5,标准坦克设计!$B$24:$U$30,MATCH("对"&amp;LEFT($C$5,2)&amp;"输出",标准坦克设计!$B$23:$U$23,0)))*(VLOOKUP($B118,INDIRECT($B$5&amp;"生成成长"),3))*(VLOOKUP($B$5,标准坦克设计!$B$14:$K$20,9)/30))</f>
        <v>137.10707517549858</v>
      </c>
      <c r="DJ118" s="172">
        <f ca="1">(VLOOKUP(DJ$72,INDIRECT($C$5&amp;"生成成长"),2))/((VLOOKUP($B118,INDIRECT($B$5&amp;"生成成长"),4))/(VLOOKUP(DJ$72,INDIRECT($C$5&amp;"生成成长"),5))*(VLOOKUP($B$5,标准坦克设计!$B$24:$U$30,MATCH("对"&amp;LEFT($C$5,2)&amp;"输出",标准坦克设计!$B$23:$U$23,0)))*(VLOOKUP($B118,INDIRECT($B$5&amp;"生成成长"),3))*(VLOOKUP($B$5,标准坦克设计!$B$14:$K$20,9)/30))</f>
        <v>13.779602426307125</v>
      </c>
      <c r="DK118" s="172">
        <f ca="1">(VLOOKUP(DK$72,INDIRECT($C$5&amp;"生成成长"),2))/((VLOOKUP($B118,INDIRECT($B$5&amp;"生成成长"),4))/(VLOOKUP(DK$72,INDIRECT($C$5&amp;"生成成长"),5))*(VLOOKUP($B$5,标准坦克设计!$B$24:$U$30,MATCH("对"&amp;LEFT($C$5,2)&amp;"输出",标准坦克设计!$B$23:$U$23,0)))*(VLOOKUP($B118,INDIRECT($B$5&amp;"生成成长"),3))*(VLOOKUP($B$5,标准坦克设计!$B$14:$K$20,9)/30))</f>
        <v>15.494527046994779</v>
      </c>
      <c r="DL118" s="172">
        <f ca="1">(VLOOKUP(DL$72,INDIRECT($C$5&amp;"生成成长"),2))/((VLOOKUP($B118,INDIRECT($B$5&amp;"生成成长"),4))/(VLOOKUP(DL$72,INDIRECT($C$5&amp;"生成成长"),5))*(VLOOKUP($B$5,标准坦克设计!$B$24:$U$30,MATCH("对"&amp;LEFT($C$5,2)&amp;"输出",标准坦克设计!$B$23:$U$23,0)))*(VLOOKUP($B118,INDIRECT($B$5&amp;"生成成长"),3))*(VLOOKUP($B$5,标准坦克设计!$B$14:$K$20,9)/30))</f>
        <v>17.310000993976821</v>
      </c>
      <c r="DM118" s="172">
        <f ca="1">(VLOOKUP(DM$72,INDIRECT($C$5&amp;"生成成长"),2))/((VLOOKUP($B118,INDIRECT($B$5&amp;"生成成长"),4))/(VLOOKUP(DM$72,INDIRECT($C$5&amp;"生成成长"),5))*(VLOOKUP($B$5,标准坦克设计!$B$24:$U$30,MATCH("对"&amp;LEFT($C$5,2)&amp;"输出",标准坦克设计!$B$23:$U$23,0)))*(VLOOKUP($B118,INDIRECT($B$5&amp;"生成成长"),3))*(VLOOKUP($B$5,标准坦克设计!$B$14:$K$20,9)/30))</f>
        <v>19.226024267253255</v>
      </c>
      <c r="DN118" s="172">
        <f ca="1">(VLOOKUP(DN$72,INDIRECT($C$5&amp;"生成成长"),2))/((VLOOKUP($B118,INDIRECT($B$5&amp;"生成成长"),4))/(VLOOKUP(DN$72,INDIRECT($C$5&amp;"生成成长"),5))*(VLOOKUP($B$5,标准坦克设计!$B$24:$U$30,MATCH("对"&amp;LEFT($C$5,2)&amp;"输出",标准坦克设计!$B$23:$U$23,0)))*(VLOOKUP($B118,INDIRECT($B$5&amp;"生成成长"),3))*(VLOOKUP($B$5,标准坦克设计!$B$14:$K$20,9)/30))</f>
        <v>21.24259686682408</v>
      </c>
      <c r="DO118" s="172">
        <f ca="1">(VLOOKUP(DO$72,INDIRECT($C$5&amp;"生成成长"),2))/((VLOOKUP($B118,INDIRECT($B$5&amp;"生成成长"),4))/(VLOOKUP(DO$72,INDIRECT($C$5&amp;"生成成长"),5))*(VLOOKUP($B$5,标准坦克设计!$B$24:$U$30,MATCH("对"&amp;LEFT($C$5,2)&amp;"输出",标准坦克设计!$B$23:$U$23,0)))*(VLOOKUP($B118,INDIRECT($B$5&amp;"生成成长"),3))*(VLOOKUP($B$5,标准坦克设计!$B$14:$K$20,9)/30))</f>
        <v>23.359718792689293</v>
      </c>
      <c r="DP118" s="172">
        <f ca="1">(VLOOKUP(DP$72,INDIRECT($C$5&amp;"生成成长"),2))/((VLOOKUP($B118,INDIRECT($B$5&amp;"生成成长"),4))/(VLOOKUP(DP$72,INDIRECT($C$5&amp;"生成成长"),5))*(VLOOKUP($B$5,标准坦克设计!$B$24:$U$30,MATCH("对"&amp;LEFT($C$5,2)&amp;"输出",标准坦克设计!$B$23:$U$23,0)))*(VLOOKUP($B118,INDIRECT($B$5&amp;"生成成长"),3))*(VLOOKUP($B$5,标准坦克设计!$B$14:$K$20,9)/30))</f>
        <v>25.577390044848894</v>
      </c>
      <c r="DQ118" s="172">
        <f ca="1">(VLOOKUP(DQ$72,INDIRECT($C$5&amp;"生成成长"),2))/((VLOOKUP($B118,INDIRECT($B$5&amp;"生成成长"),4))/(VLOOKUP(DQ$72,INDIRECT($C$5&amp;"生成成长"),5))*(VLOOKUP($B$5,标准坦克设计!$B$24:$U$30,MATCH("对"&amp;LEFT($C$5,2)&amp;"输出",标准坦克设计!$B$23:$U$23,0)))*(VLOOKUP($B118,INDIRECT($B$5&amp;"生成成长"),3))*(VLOOKUP($B$5,标准坦克设计!$B$14:$K$20,9)/30))</f>
        <v>27.895610623302886</v>
      </c>
      <c r="DR118" s="172">
        <f ca="1">(VLOOKUP(DR$72,INDIRECT($C$5&amp;"生成成长"),2))/((VLOOKUP($B118,INDIRECT($B$5&amp;"生成成长"),4))/(VLOOKUP(DR$72,INDIRECT($C$5&amp;"生成成长"),5))*(VLOOKUP($B$5,标准坦克设计!$B$24:$U$30,MATCH("对"&amp;LEFT($C$5,2)&amp;"输出",标准坦克设计!$B$23:$U$23,0)))*(VLOOKUP($B118,INDIRECT($B$5&amp;"生成成长"),3))*(VLOOKUP($B$5,标准坦克设计!$B$14:$K$20,9)/30))</f>
        <v>30.31438052805127</v>
      </c>
      <c r="DS118" s="172">
        <f ca="1">(VLOOKUP(DS$72,INDIRECT($C$5&amp;"生成成长"),2))/((VLOOKUP($B118,INDIRECT($B$5&amp;"生成成长"),4))/(VLOOKUP(DS$72,INDIRECT($C$5&amp;"生成成长"),5))*(VLOOKUP($B$5,标准坦克设计!$B$24:$U$30,MATCH("对"&amp;LEFT($C$5,2)&amp;"输出",标准坦克设计!$B$23:$U$23,0)))*(VLOOKUP($B118,INDIRECT($B$5&amp;"生成成长"),3))*(VLOOKUP($B$5,标准坦克设计!$B$14:$K$20,9)/30))</f>
        <v>32.833699759094038</v>
      </c>
      <c r="DT118" s="172">
        <f ca="1">(VLOOKUP(DT$72,INDIRECT($C$5&amp;"生成成长"),2))/((VLOOKUP($B118,INDIRECT($B$5&amp;"生成成长"),4))/(VLOOKUP(DT$72,INDIRECT($C$5&amp;"生成成长"),5))*(VLOOKUP($B$5,标准坦克设计!$B$24:$U$30,MATCH("对"&amp;LEFT($C$5,2)&amp;"输出",标准坦克设计!$B$23:$U$23,0)))*(VLOOKUP($B118,INDIRECT($B$5&amp;"生成成长"),3))*(VLOOKUP($B$5,标准坦克设计!$B$14:$K$20,9)/30))</f>
        <v>36.049416175953517</v>
      </c>
      <c r="DU118" s="172">
        <f ca="1">(VLOOKUP(DU$72,INDIRECT($C$5&amp;"生成成长"),2))/((VLOOKUP($B118,INDIRECT($B$5&amp;"生成成长"),4))/(VLOOKUP(DU$72,INDIRECT($C$5&amp;"生成成长"),5))*(VLOOKUP($B$5,标准坦克设计!$B$24:$U$30,MATCH("对"&amp;LEFT($C$5,2)&amp;"输出",标准坦克设计!$B$23:$U$23,0)))*(VLOOKUP($B118,INDIRECT($B$5&amp;"生成成长"),3))*(VLOOKUP($B$5,标准坦克设计!$B$14:$K$20,9)/30))</f>
        <v>39.415335907400909</v>
      </c>
      <c r="DV118" s="172">
        <f ca="1">(VLOOKUP(DV$72,INDIRECT($C$5&amp;"生成成长"),2))/((VLOOKUP($B118,INDIRECT($B$5&amp;"生成成长"),4))/(VLOOKUP(DV$72,INDIRECT($C$5&amp;"生成成长"),5))*(VLOOKUP($B$5,标准坦克设计!$B$24:$U$30,MATCH("对"&amp;LEFT($C$5,2)&amp;"输出",标准坦克设计!$B$23:$U$23,0)))*(VLOOKUP($B118,INDIRECT($B$5&amp;"生成成长"),3))*(VLOOKUP($B$5,标准坦克设计!$B$14:$K$20,9)/30))</f>
        <v>42.931458953436213</v>
      </c>
      <c r="DW118" s="172">
        <f ca="1">(VLOOKUP(DW$72,INDIRECT($C$5&amp;"生成成长"),2))/((VLOOKUP($B118,INDIRECT($B$5&amp;"生成成长"),4))/(VLOOKUP(DW$72,INDIRECT($C$5&amp;"生成成长"),5))*(VLOOKUP($B$5,标准坦克设计!$B$24:$U$30,MATCH("对"&amp;LEFT($C$5,2)&amp;"输出",标准坦克设计!$B$23:$U$23,0)))*(VLOOKUP($B118,INDIRECT($B$5&amp;"生成成长"),3))*(VLOOKUP($B$5,标准坦克设计!$B$14:$K$20,9)/30))</f>
        <v>46.59778531405945</v>
      </c>
      <c r="DX118" s="172">
        <f ca="1">(VLOOKUP(DX$72,INDIRECT($C$5&amp;"生成成长"),2))/((VLOOKUP($B118,INDIRECT($B$5&amp;"生成成长"),4))/(VLOOKUP(DX$72,INDIRECT($C$5&amp;"生成成长"),5))*(VLOOKUP($B$5,标准坦克设计!$B$24:$U$30,MATCH("对"&amp;LEFT($C$5,2)&amp;"输出",标准坦克设计!$B$23:$U$23,0)))*(VLOOKUP($B118,INDIRECT($B$5&amp;"生成成长"),3))*(VLOOKUP($B$5,标准坦克设计!$B$14:$K$20,9)/30))</f>
        <v>50.414314989270579</v>
      </c>
      <c r="DY118" s="172">
        <f ca="1">(VLOOKUP(DY$72,INDIRECT($C$5&amp;"生成成长"),2))/((VLOOKUP($B118,INDIRECT($B$5&amp;"生成成长"),4))/(VLOOKUP(DY$72,INDIRECT($C$5&amp;"生成成长"),5))*(VLOOKUP($B$5,标准坦克设计!$B$24:$U$30,MATCH("对"&amp;LEFT($C$5,2)&amp;"输出",标准坦克设计!$B$23:$U$23,0)))*(VLOOKUP($B118,INDIRECT($B$5&amp;"生成成长"),3))*(VLOOKUP($B$5,标准坦克设计!$B$14:$K$20,9)/30))</f>
        <v>22.64283933670151</v>
      </c>
      <c r="DZ118" s="172">
        <f ca="1">(VLOOKUP(DZ$72,INDIRECT($C$5&amp;"生成成长"),2))/((VLOOKUP($B118,INDIRECT($B$5&amp;"生成成长"),4))/(VLOOKUP(DZ$72,INDIRECT($C$5&amp;"生成成长"),5))*(VLOOKUP($B$5,标准坦克设计!$B$24:$U$30,MATCH("对"&amp;LEFT($C$5,2)&amp;"输出",标准坦克设计!$B$23:$U$23,0)))*(VLOOKUP($B118,INDIRECT($B$5&amp;"生成成长"),3))*(VLOOKUP($B$5,标准坦克设计!$B$14:$K$20,9)/30))</f>
        <v>25.075884763084282</v>
      </c>
      <c r="EA118" s="172">
        <f ca="1">(VLOOKUP(EA$72,INDIRECT($C$5&amp;"生成成长"),2))/((VLOOKUP($B118,INDIRECT($B$5&amp;"生成成长"),4))/(VLOOKUP(EA$72,INDIRECT($C$5&amp;"生成成长"),5))*(VLOOKUP($B$5,标准坦克设计!$B$24:$U$30,MATCH("对"&amp;LEFT($C$5,2)&amp;"输出",标准坦克设计!$B$23:$U$23,0)))*(VLOOKUP($B118,INDIRECT($B$5&amp;"生成成长"),3))*(VLOOKUP($B$5,标准坦克设计!$B$14:$K$20,9)/30))</f>
        <v>27.633065160200871</v>
      </c>
      <c r="EB118" s="172">
        <f ca="1">(VLOOKUP(EB$72,INDIRECT($C$5&amp;"生成成长"),2))/((VLOOKUP($B118,INDIRECT($B$5&amp;"生成成长"),4))/(VLOOKUP(EB$72,INDIRECT($C$5&amp;"生成成长"),5))*(VLOOKUP($B$5,标准坦克设计!$B$24:$U$30,MATCH("对"&amp;LEFT($C$5,2)&amp;"输出",标准坦克设计!$B$23:$U$23,0)))*(VLOOKUP($B118,INDIRECT($B$5&amp;"生成成长"),3))*(VLOOKUP($B$5,标准坦克设计!$B$14:$K$20,9)/30))</f>
        <v>30.31438052805127</v>
      </c>
      <c r="EC118" s="172">
        <f ca="1">(VLOOKUP(EC$72,INDIRECT($C$5&amp;"生成成长"),2))/((VLOOKUP($B118,INDIRECT($B$5&amp;"生成成长"),4))/(VLOOKUP(EC$72,INDIRECT($C$5&amp;"生成成长"),5))*(VLOOKUP($B$5,标准坦克设计!$B$24:$U$30,MATCH("对"&amp;LEFT($C$5,2)&amp;"输出",标准坦克设计!$B$23:$U$23,0)))*(VLOOKUP($B118,INDIRECT($B$5&amp;"生成成长"),3))*(VLOOKUP($B$5,标准坦克设计!$B$14:$K$20,9)/30))</f>
        <v>33.119830866635482</v>
      </c>
      <c r="ED118" s="172">
        <f ca="1">(VLOOKUP(ED$72,INDIRECT($C$5&amp;"生成成长"),2))/((VLOOKUP($B118,INDIRECT($B$5&amp;"生成成长"),4))/(VLOOKUP(ED$72,INDIRECT($C$5&amp;"生成成长"),5))*(VLOOKUP($B$5,标准坦克设计!$B$24:$U$30,MATCH("对"&amp;LEFT($C$5,2)&amp;"输出",标准坦克设计!$B$23:$U$23,0)))*(VLOOKUP($B118,INDIRECT($B$5&amp;"生成成长"),3))*(VLOOKUP($B$5,标准坦克设计!$B$14:$K$20,9)/30))</f>
        <v>36.049416175953517</v>
      </c>
      <c r="EE118" s="172">
        <f ca="1">(VLOOKUP(EE$72,INDIRECT($C$5&amp;"生成成长"),2))/((VLOOKUP($B118,INDIRECT($B$5&amp;"生成成长"),4))/(VLOOKUP(EE$72,INDIRECT($C$5&amp;"生成成长"),5))*(VLOOKUP($B$5,标准坦克设计!$B$24:$U$30,MATCH("对"&amp;LEFT($C$5,2)&amp;"输出",标准坦克设计!$B$23:$U$23,0)))*(VLOOKUP($B118,INDIRECT($B$5&amp;"生成成长"),3))*(VLOOKUP($B$5,标准坦克设计!$B$14:$K$20,9)/30))</f>
        <v>39.103136456005366</v>
      </c>
      <c r="EF118" s="172">
        <f ca="1">(VLOOKUP(EF$72,INDIRECT($C$5&amp;"生成成长"),2))/((VLOOKUP($B118,INDIRECT($B$5&amp;"生成成长"),4))/(VLOOKUP(EF$72,INDIRECT($C$5&amp;"生成成长"),5))*(VLOOKUP($B$5,标准坦克设计!$B$24:$U$30,MATCH("对"&amp;LEFT($C$5,2)&amp;"输出",标准坦克设计!$B$23:$U$23,0)))*(VLOOKUP($B118,INDIRECT($B$5&amp;"生成成长"),3))*(VLOOKUP($B$5,标准坦克设计!$B$14:$K$20,9)/30))</f>
        <v>42.280991706791035</v>
      </c>
      <c r="EG118" s="172">
        <f ca="1">(VLOOKUP(EG$72,INDIRECT($C$5&amp;"生成成长"),2))/((VLOOKUP($B118,INDIRECT($B$5&amp;"生成成长"),4))/(VLOOKUP(EG$72,INDIRECT($C$5&amp;"生成成长"),5))*(VLOOKUP($B$5,标准坦克设计!$B$24:$U$30,MATCH("对"&amp;LEFT($C$5,2)&amp;"输出",标准坦克设计!$B$23:$U$23,0)))*(VLOOKUP($B118,INDIRECT($B$5&amp;"生成成长"),3))*(VLOOKUP($B$5,标准坦克设计!$B$14:$K$20,9)/30))</f>
        <v>45.582981928310502</v>
      </c>
      <c r="EH118" s="172">
        <f ca="1">(VLOOKUP(EH$72,INDIRECT($C$5&amp;"生成成长"),2))/((VLOOKUP($B118,INDIRECT($B$5&amp;"生成成长"),4))/(VLOOKUP(EH$72,INDIRECT($C$5&amp;"生成成长"),5))*(VLOOKUP($B$5,标准坦克设计!$B$24:$U$30,MATCH("对"&amp;LEFT($C$5,2)&amp;"输出",标准坦克设计!$B$23:$U$23,0)))*(VLOOKUP($B118,INDIRECT($B$5&amp;"生成成长"),3))*(VLOOKUP($B$5,标准坦克设计!$B$14:$K$20,9)/30))</f>
        <v>49.009107120563804</v>
      </c>
      <c r="EI118" s="172">
        <f ca="1">(VLOOKUP(EI$72,INDIRECT($C$5&amp;"生成成长"),2))/((VLOOKUP($B118,INDIRECT($B$5&amp;"生成成长"),4))/(VLOOKUP(EI$72,INDIRECT($C$5&amp;"生成成长"),5))*(VLOOKUP($B$5,标准坦克设计!$B$24:$U$30,MATCH("对"&amp;LEFT($C$5,2)&amp;"输出",标准坦克设计!$B$23:$U$23,0)))*(VLOOKUP($B118,INDIRECT($B$5&amp;"生成成长"),3))*(VLOOKUP($B$5,标准坦克设计!$B$14:$K$20,9)/30))</f>
        <v>52.559367283550905</v>
      </c>
      <c r="EJ118" s="172">
        <f ca="1">(VLOOKUP(EJ$72,INDIRECT($C$5&amp;"生成成长"),2))/((VLOOKUP($B118,INDIRECT($B$5&amp;"生成成长"),4))/(VLOOKUP(EJ$72,INDIRECT($C$5&amp;"生成成长"),5))*(VLOOKUP($B$5,标准坦克设计!$B$24:$U$30,MATCH("对"&amp;LEFT($C$5,2)&amp;"输出",标准坦克设计!$B$23:$U$23,0)))*(VLOOKUP($B118,INDIRECT($B$5&amp;"生成成长"),3))*(VLOOKUP($B$5,标准坦克设计!$B$14:$K$20,9)/30))</f>
        <v>56.233762417271812</v>
      </c>
      <c r="EK118" s="172">
        <f ca="1">(VLOOKUP(EK$72,INDIRECT($C$5&amp;"生成成长"),2))/((VLOOKUP($B118,INDIRECT($B$5&amp;"生成成长"),4))/(VLOOKUP(EK$72,INDIRECT($C$5&amp;"生成成长"),5))*(VLOOKUP($B$5,标准坦克设计!$B$24:$U$30,MATCH("对"&amp;LEFT($C$5,2)&amp;"输出",标准坦克设计!$B$23:$U$23,0)))*(VLOOKUP($B118,INDIRECT($B$5&amp;"生成成长"),3))*(VLOOKUP($B$5,标准坦克设计!$B$14:$K$20,9)/30))</f>
        <v>60.806894739105566</v>
      </c>
      <c r="EL118" s="172">
        <f ca="1">(VLOOKUP(EL$72,INDIRECT($C$5&amp;"生成成长"),2))/((VLOOKUP($B118,INDIRECT($B$5&amp;"生成成长"),4))/(VLOOKUP(EL$72,INDIRECT($C$5&amp;"生成成长"),5))*(VLOOKUP($B$5,标准坦克设计!$B$24:$U$30,MATCH("对"&amp;LEFT($C$5,2)&amp;"输出",标准坦克设计!$B$23:$U$23,0)))*(VLOOKUP($B118,INDIRECT($B$5&amp;"生成成长"),3))*(VLOOKUP($B$5,标准坦克设计!$B$14:$K$20,9)/30))</f>
        <v>65.558781418796002</v>
      </c>
      <c r="EM118" s="172">
        <f ca="1">(VLOOKUP(EM$72,INDIRECT($C$5&amp;"生成成长"),2))/((VLOOKUP($B118,INDIRECT($B$5&amp;"生成成长"),4))/(VLOOKUP(EM$72,INDIRECT($C$5&amp;"生成成长"),5))*(VLOOKUP($B$5,标准坦克设计!$B$24:$U$30,MATCH("对"&amp;LEFT($C$5,2)&amp;"输出",标准坦克设计!$B$23:$U$23,0)))*(VLOOKUP($B118,INDIRECT($B$5&amp;"生成成长"),3))*(VLOOKUP($B$5,标准坦克设计!$B$14:$K$20,9)/30))</f>
        <v>70.489422456343135</v>
      </c>
      <c r="EN118" s="172">
        <f ca="1">(VLOOKUP(EN$72,INDIRECT($C$5&amp;"生成成长"),2))/((VLOOKUP($B118,INDIRECT($B$5&amp;"生成成长"),4))/(VLOOKUP(EN$72,INDIRECT($C$5&amp;"生成成长"),5))*(VLOOKUP($B$5,标准坦克设计!$B$24:$U$30,MATCH("对"&amp;LEFT($C$5,2)&amp;"输出",标准坦克设计!$B$23:$U$23,0)))*(VLOOKUP($B118,INDIRECT($B$5&amp;"生成成长"),3))*(VLOOKUP($B$5,标准坦克设计!$B$14:$K$20,9)/30))</f>
        <v>75.598817851746958</v>
      </c>
      <c r="EO118" s="172">
        <f ca="1">(VLOOKUP(EO$72,INDIRECT($C$5&amp;"生成成长"),2))/((VLOOKUP($B118,INDIRECT($B$5&amp;"生成成长"),4))/(VLOOKUP(EO$72,INDIRECT($C$5&amp;"生成成长"),5))*(VLOOKUP($B$5,标准坦克设计!$B$24:$U$30,MATCH("对"&amp;LEFT($C$5,2)&amp;"输出",标准坦克设计!$B$23:$U$23,0)))*(VLOOKUP($B118,INDIRECT($B$5&amp;"生成成长"),3))*(VLOOKUP($B$5,标准坦克设计!$B$14:$K$20,9)/30))</f>
        <v>80.886967605007456</v>
      </c>
      <c r="EP118" s="172">
        <f ca="1">(VLOOKUP(EP$72,INDIRECT($C$5&amp;"生成成长"),2))/((VLOOKUP($B118,INDIRECT($B$5&amp;"生成成长"),4))/(VLOOKUP(EP$72,INDIRECT($C$5&amp;"生成成长"),5))*(VLOOKUP($B$5,标准坦克设计!$B$24:$U$30,MATCH("对"&amp;LEFT($C$5,2)&amp;"输出",标准坦克设计!$B$23:$U$23,0)))*(VLOOKUP($B118,INDIRECT($B$5&amp;"生成成长"),3))*(VLOOKUP($B$5,标准坦克设计!$B$14:$K$20,9)/30))</f>
        <v>86.353871716124686</v>
      </c>
      <c r="EQ118" s="172">
        <f ca="1">(VLOOKUP(EQ$72,INDIRECT($C$5&amp;"生成成长"),2))/((VLOOKUP($B118,INDIRECT($B$5&amp;"生成成长"),4))/(VLOOKUP(EQ$72,INDIRECT($C$5&amp;"生成成长"),5))*(VLOOKUP($B$5,标准坦克设计!$B$24:$U$30,MATCH("对"&amp;LEFT($C$5,2)&amp;"输出",标准坦克设计!$B$23:$U$23,0)))*(VLOOKUP($B118,INDIRECT($B$5&amp;"生成成长"),3))*(VLOOKUP($B$5,标准坦克设计!$B$14:$K$20,9)/30))</f>
        <v>38.173986200062764</v>
      </c>
      <c r="ER118" s="172">
        <f ca="1">(VLOOKUP(ER$72,INDIRECT($C$5&amp;"生成成长"),2))/((VLOOKUP($B118,INDIRECT($B$5&amp;"生成成长"),4))/(VLOOKUP(ER$72,INDIRECT($C$5&amp;"生成成长"),5))*(VLOOKUP($B$5,标准坦克设计!$B$24:$U$30,MATCH("对"&amp;LEFT($C$5,2)&amp;"输出",标准坦克设计!$B$23:$U$23,0)))*(VLOOKUP($B118,INDIRECT($B$5&amp;"生成成长"),3))*(VLOOKUP($B$5,标准坦克设计!$B$14:$K$20,9)/30))</f>
        <v>41.635489858975191</v>
      </c>
      <c r="ES118" s="172">
        <f ca="1">(VLOOKUP(ES$72,INDIRECT($C$5&amp;"生成成长"),2))/((VLOOKUP($B118,INDIRECT($B$5&amp;"生成成长"),4))/(VLOOKUP(ES$72,INDIRECT($C$5&amp;"生成成长"),5))*(VLOOKUP($B$5,标准坦克设计!$B$24:$U$30,MATCH("对"&amp;LEFT($C$5,2)&amp;"输出",标准坦克设计!$B$23:$U$23,0)))*(VLOOKUP($B118,INDIRECT($B$5&amp;"生成成长"),3))*(VLOOKUP($B$5,标准坦克设计!$B$14:$K$20,9)/30))</f>
        <v>45.247196832475538</v>
      </c>
      <c r="ET118" s="172">
        <f ca="1">(VLOOKUP(ET$72,INDIRECT($C$5&amp;"生成成长"),2))/((VLOOKUP($B118,INDIRECT($B$5&amp;"生成成长"),4))/(VLOOKUP(ET$72,INDIRECT($C$5&amp;"生成成长"),5))*(VLOOKUP($B$5,标准坦克设计!$B$24:$U$30,MATCH("对"&amp;LEFT($C$5,2)&amp;"输出",标准坦克设计!$B$23:$U$23,0)))*(VLOOKUP($B118,INDIRECT($B$5&amp;"生成成长"),3))*(VLOOKUP($B$5,标准坦克设计!$B$14:$K$20,9)/30))</f>
        <v>49.009107120563804</v>
      </c>
      <c r="EU118" s="172">
        <f ca="1">(VLOOKUP(EU$72,INDIRECT($C$5&amp;"生成成长"),2))/((VLOOKUP($B118,INDIRECT($B$5&amp;"生成成长"),4))/(VLOOKUP(EU$72,INDIRECT($C$5&amp;"生成成长"),5))*(VLOOKUP($B$5,标准坦克设计!$B$24:$U$30,MATCH("对"&amp;LEFT($C$5,2)&amp;"输出",标准坦克设计!$B$23:$U$23,0)))*(VLOOKUP($B118,INDIRECT($B$5&amp;"生成成长"),3))*(VLOOKUP($B$5,标准坦克设计!$B$14:$K$20,9)/30))</f>
        <v>52.921220723239976</v>
      </c>
      <c r="EV118" s="172">
        <f ca="1">(VLOOKUP(EV$72,INDIRECT($C$5&amp;"生成成长"),2))/((VLOOKUP($B118,INDIRECT($B$5&amp;"生成成长"),4))/(VLOOKUP(EV$72,INDIRECT($C$5&amp;"生成成长"),5))*(VLOOKUP($B$5,标准坦克设计!$B$24:$U$30,MATCH("对"&amp;LEFT($C$5,2)&amp;"输出",标准坦克设计!$B$23:$U$23,0)))*(VLOOKUP($B118,INDIRECT($B$5&amp;"生成成长"),3))*(VLOOKUP($B$5,标准坦克设计!$B$14:$K$20,9)/30))</f>
        <v>56.983537640504068</v>
      </c>
      <c r="EW118" s="172">
        <f ca="1">(VLOOKUP(EW$72,INDIRECT($C$5&amp;"生成成长"),2))/((VLOOKUP($B118,INDIRECT($B$5&amp;"生成成长"),4))/(VLOOKUP(EW$72,INDIRECT($C$5&amp;"生成成长"),5))*(VLOOKUP($B$5,标准坦克设计!$B$24:$U$30,MATCH("对"&amp;LEFT($C$5,2)&amp;"输出",标准坦克设计!$B$23:$U$23,0)))*(VLOOKUP($B118,INDIRECT($B$5&amp;"生成成长"),3))*(VLOOKUP($B$5,标准坦克设计!$B$14:$K$20,9)/30))</f>
        <v>61.196057872356072</v>
      </c>
      <c r="EX118" s="172">
        <f ca="1">(VLOOKUP(EX$72,INDIRECT($C$5&amp;"生成成长"),2))/((VLOOKUP($B118,INDIRECT($B$5&amp;"生成成长"),4))/(VLOOKUP(EX$72,INDIRECT($C$5&amp;"生成成长"),5))*(VLOOKUP($B$5,标准坦克设计!$B$24:$U$30,MATCH("对"&amp;LEFT($C$5,2)&amp;"输出",标准坦克设计!$B$23:$U$23,0)))*(VLOOKUP($B118,INDIRECT($B$5&amp;"生成成长"),3))*(VLOOKUP($B$5,标准坦克设计!$B$14:$K$20,9)/30))</f>
        <v>65.558781418796002</v>
      </c>
      <c r="EY118" s="172">
        <f ca="1">(VLOOKUP(EY$72,INDIRECT($C$5&amp;"生成成长"),2))/((VLOOKUP($B118,INDIRECT($B$5&amp;"生成成长"),4))/(VLOOKUP(EY$72,INDIRECT($C$5&amp;"生成成长"),5))*(VLOOKUP($B$5,标准坦克设计!$B$24:$U$30,MATCH("对"&amp;LEFT($C$5,2)&amp;"输出",标准坦克设计!$B$23:$U$23,0)))*(VLOOKUP($B118,INDIRECT($B$5&amp;"生成成长"),3))*(VLOOKUP($B$5,标准坦克设计!$B$14:$K$20,9)/30))</f>
        <v>70.071708279823852</v>
      </c>
      <c r="EZ118" s="172">
        <f ca="1">(VLOOKUP(EZ$72,INDIRECT($C$5&amp;"生成成长"),2))/((VLOOKUP($B118,INDIRECT($B$5&amp;"生成成长"),4))/(VLOOKUP(EZ$72,INDIRECT($C$5&amp;"生成成长"),5))*(VLOOKUP($B$5,标准坦克设计!$B$24:$U$30,MATCH("对"&amp;LEFT($C$5,2)&amp;"输出",标准坦克设计!$B$23:$U$23,0)))*(VLOOKUP($B118,INDIRECT($B$5&amp;"生成成长"),3))*(VLOOKUP($B$5,标准坦克设计!$B$14:$K$20,9)/30))</f>
        <v>74.734838455439586</v>
      </c>
      <c r="FA118" s="172">
        <f ca="1">(VLOOKUP(FA$72,INDIRECT($C$5&amp;"生成成长"),2))/((VLOOKUP($B118,INDIRECT($B$5&amp;"生成成长"),4))/(VLOOKUP(FA$72,INDIRECT($C$5&amp;"生成成长"),5))*(VLOOKUP($B$5,标准坦克设计!$B$24:$U$30,MATCH("对"&amp;LEFT($C$5,2)&amp;"输出",标准坦克设计!$B$23:$U$23,0)))*(VLOOKUP($B118,INDIRECT($B$5&amp;"生成成长"),3))*(VLOOKUP($B$5,标准坦克设计!$B$14:$K$20,9)/30))</f>
        <v>79.548171945643261</v>
      </c>
      <c r="FB118" s="172">
        <f ca="1">(VLOOKUP(FB$72,INDIRECT($C$5&amp;"生成成长"),2))/((VLOOKUP($B118,INDIRECT($B$5&amp;"生成成长"),4))/(VLOOKUP(FB$72,INDIRECT($C$5&amp;"生成成长"),5))*(VLOOKUP($B$5,标准坦克设计!$B$24:$U$30,MATCH("对"&amp;LEFT($C$5,2)&amp;"输出",标准坦克设计!$B$23:$U$23,0)))*(VLOOKUP($B118,INDIRECT($B$5&amp;"生成成长"),3))*(VLOOKUP($B$5,标准坦克设计!$B$14:$K$20,9)/30))</f>
        <v>84.511708750434849</v>
      </c>
      <c r="FC118" s="172">
        <f ca="1">(VLOOKUP(FC$72,INDIRECT($C$5&amp;"生成成长"),2))/((VLOOKUP($B118,INDIRECT($B$5&amp;"生成成长"),4))/(VLOOKUP(FC$72,INDIRECT($C$5&amp;"生成成长"),5))*(VLOOKUP($B$5,标准坦克设计!$B$24:$U$30,MATCH("对"&amp;LEFT($C$5,2)&amp;"输出",标准坦克设计!$B$23:$U$23,0)))*(VLOOKUP($B118,INDIRECT($B$5&amp;"生成成长"),3))*(VLOOKUP($B$5,标准坦克设计!$B$14:$K$20,9)/30))</f>
        <v>89.625448869814363</v>
      </c>
      <c r="FD118" s="172">
        <f ca="1">(VLOOKUP(FD$72,INDIRECT($C$5&amp;"生成成长"),2))/((VLOOKUP($B118,INDIRECT($B$5&amp;"生成成长"),4))/(VLOOKUP(FD$72,INDIRECT($C$5&amp;"生成成长"),5))*(VLOOKUP($B$5,标准坦克设计!$B$24:$U$30,MATCH("对"&amp;LEFT($C$5,2)&amp;"输出",标准坦克设计!$B$23:$U$23,0)))*(VLOOKUP($B118,INDIRECT($B$5&amp;"生成成长"),3))*(VLOOKUP($B$5,标准坦克设计!$B$14:$K$20,9)/30))</f>
        <v>94.889392303781818</v>
      </c>
      <c r="FE118" s="172">
        <f ca="1">(VLOOKUP(FE$72,INDIRECT($C$5&amp;"生成成长"),2))/((VLOOKUP($B118,INDIRECT($B$5&amp;"生成成长"),4))/(VLOOKUP(FE$72,INDIRECT($C$5&amp;"生成成长"),5))*(VLOOKUP($B$5,标准坦克设计!$B$24:$U$30,MATCH("对"&amp;LEFT($C$5,2)&amp;"输出",标准坦克设计!$B$23:$U$23,0)))*(VLOOKUP($B118,INDIRECT($B$5&amp;"生成成长"),3))*(VLOOKUP($B$5,标准坦克设计!$B$14:$K$20,9)/30))</f>
        <v>101.30406691645167</v>
      </c>
      <c r="FF118" s="172">
        <f ca="1">(VLOOKUP(FF$72,INDIRECT($C$5&amp;"生成成长"),2))/((VLOOKUP($B118,INDIRECT($B$5&amp;"生成成长"),4))/(VLOOKUP(FF$72,INDIRECT($C$5&amp;"生成成长"),5))*(VLOOKUP($B$5,标准坦克设计!$B$24:$U$30,MATCH("对"&amp;LEFT($C$5,2)&amp;"输出",标准坦克设计!$B$23:$U$23,0)))*(VLOOKUP($B118,INDIRECT($B$5&amp;"生成成长"),3))*(VLOOKUP($B$5,标准坦克设计!$B$14:$K$20,9)/30))</f>
        <v>107.92852962966168</v>
      </c>
      <c r="FG118" s="172">
        <f ca="1">(VLOOKUP(FG$72,INDIRECT($C$5&amp;"生成成长"),2))/((VLOOKUP($B118,INDIRECT($B$5&amp;"生成成长"),4))/(VLOOKUP(FG$72,INDIRECT($C$5&amp;"生成成长"),5))*(VLOOKUP($B$5,标准坦克设计!$B$24:$U$30,MATCH("对"&amp;LEFT($C$5,2)&amp;"输出",标准坦克设计!$B$23:$U$23,0)))*(VLOOKUP($B118,INDIRECT($B$5&amp;"生成成长"),3))*(VLOOKUP($B$5,标准坦克设计!$B$14:$K$20,9)/30))</f>
        <v>114.76278044341188</v>
      </c>
      <c r="FH118" s="172">
        <f ca="1">(VLOOKUP(FH$72,INDIRECT($C$5&amp;"生成成长"),2))/((VLOOKUP($B118,INDIRECT($B$5&amp;"生成成长"),4))/(VLOOKUP(FH$72,INDIRECT($C$5&amp;"生成成长"),5))*(VLOOKUP($B$5,标准坦克设计!$B$24:$U$30,MATCH("对"&amp;LEFT($C$5,2)&amp;"输出",标准坦克设计!$B$23:$U$23,0)))*(VLOOKUP($B118,INDIRECT($B$5&amp;"生成成长"),3))*(VLOOKUP($B$5,标准坦克设计!$B$14:$K$20,9)/30))</f>
        <v>121.80681935770222</v>
      </c>
      <c r="FI118" s="172">
        <f ca="1">(VLOOKUP(FI$72,INDIRECT($C$5&amp;"生成成长"),2))/((VLOOKUP($B118,INDIRECT($B$5&amp;"生成成长"),4))/(VLOOKUP(FI$72,INDIRECT($C$5&amp;"生成成长"),5))*(VLOOKUP($B$5,标准坦克设计!$B$24:$U$30,MATCH("对"&amp;LEFT($C$5,2)&amp;"输出",标准坦克设计!$B$23:$U$23,0)))*(VLOOKUP($B118,INDIRECT($B$5&amp;"生成成长"),3))*(VLOOKUP($B$5,标准坦克设计!$B$14:$K$20,9)/30))</f>
        <v>129.06064637253269</v>
      </c>
      <c r="FJ118" s="172">
        <f ca="1">(VLOOKUP(FJ$72,INDIRECT($C$5&amp;"生成成长"),2))/((VLOOKUP($B118,INDIRECT($B$5&amp;"生成成长"),4))/(VLOOKUP(FJ$72,INDIRECT($C$5&amp;"生成成长"),5))*(VLOOKUP($B$5,标准坦克设计!$B$24:$U$30,MATCH("对"&amp;LEFT($C$5,2)&amp;"输出",标准坦克设计!$B$23:$U$23,0)))*(VLOOKUP($B118,INDIRECT($B$5&amp;"生成成长"),3))*(VLOOKUP($B$5,标准坦克设计!$B$14:$K$20,9)/30))</f>
        <v>136.52426148790332</v>
      </c>
      <c r="FK118" s="172">
        <f ca="1">(VLOOKUP(FK$72,INDIRECT($C$5&amp;"生成成长"),2))/((VLOOKUP($B118,INDIRECT($B$5&amp;"生成成长"),4))/(VLOOKUP(FK$72,INDIRECT($C$5&amp;"生成成长"),5))*(VLOOKUP($B$5,标准坦克设计!$B$24:$U$30,MATCH("对"&amp;LEFT($C$5,2)&amp;"输出",标准坦克设计!$B$23:$U$23,0)))*(VLOOKUP($B118,INDIRECT($B$5&amp;"生成成长"),3))*(VLOOKUP($B$5,标准坦克设计!$B$14:$K$20,9)/30))</f>
        <v>144.19766470381407</v>
      </c>
    </row>
    <row r="119" spans="1:167" x14ac:dyDescent="0.15">
      <c r="A119" s="170" t="str">
        <f t="shared" si="11"/>
        <v>T2中品质2级</v>
      </c>
      <c r="B119" s="171">
        <v>20202</v>
      </c>
      <c r="C119" s="172">
        <f ca="1">(VLOOKUP(C$72,INDIRECT($C$5&amp;"生成成长"),2))/((VLOOKUP($B119,INDIRECT($B$5&amp;"生成成长"),4))/(VLOOKUP(C$72,INDIRECT($C$5&amp;"生成成长"),5))*(VLOOKUP($B$5,标准坦克设计!$B$24:$U$30,MATCH("对"&amp;LEFT($C$5,2)&amp;"输出",标准坦克设计!$B$23:$U$23,0)))*(VLOOKUP($B119,INDIRECT($B$5&amp;"生成成长"),3))*(VLOOKUP($B$5,标准坦克设计!$B$14:$K$20,9)/30))</f>
        <v>5.4427721295050011</v>
      </c>
      <c r="D119" s="172">
        <f ca="1">(VLOOKUP(D$72,INDIRECT($C$5&amp;"生成成长"),2))/((VLOOKUP($B119,INDIRECT($B$5&amp;"生成成长"),4))/(VLOOKUP(D$72,INDIRECT($C$5&amp;"生成成长"),5))*(VLOOKUP($B$5,标准坦克设计!$B$24:$U$30,MATCH("对"&amp;LEFT($C$5,2)&amp;"输出",标准坦克设计!$B$23:$U$23,0)))*(VLOOKUP($B119,INDIRECT($B$5&amp;"生成成长"),3))*(VLOOKUP($B$5,标准坦克设计!$B$14:$K$20,9)/30))</f>
        <v>6.1154987647118206</v>
      </c>
      <c r="E119" s="172">
        <f ca="1">(VLOOKUP(E$72,INDIRECT($C$5&amp;"生成成长"),2))/((VLOOKUP($B119,INDIRECT($B$5&amp;"生成成长"),4))/(VLOOKUP(E$72,INDIRECT($C$5&amp;"生成成长"),5))*(VLOOKUP($B$5,标准坦克设计!$B$24:$U$30,MATCH("对"&amp;LEFT($C$5,2)&amp;"输出",标准坦克设计!$B$23:$U$23,0)))*(VLOOKUP($B119,INDIRECT($B$5&amp;"生成成长"),3))*(VLOOKUP($B$5,标准坦克设计!$B$14:$K$20,9)/30))</f>
        <v>6.8274133592510742</v>
      </c>
      <c r="F119" s="172">
        <f ca="1">(VLOOKUP(F$72,INDIRECT($C$5&amp;"生成成长"),2))/((VLOOKUP($B119,INDIRECT($B$5&amp;"生成成长"),4))/(VLOOKUP(F$72,INDIRECT($C$5&amp;"生成成长"),5))*(VLOOKUP($B$5,标准坦克设计!$B$24:$U$30,MATCH("对"&amp;LEFT($C$5,2)&amp;"输出",标准坦克设计!$B$23:$U$23,0)))*(VLOOKUP($B119,INDIRECT($B$5&amp;"生成成长"),3))*(VLOOKUP($B$5,标准坦克设计!$B$14:$K$20,9)/30))</f>
        <v>7.5785159131227644</v>
      </c>
      <c r="G119" s="172">
        <f ca="1">(VLOOKUP(G$72,INDIRECT($C$5&amp;"生成成长"),2))/((VLOOKUP($B119,INDIRECT($B$5&amp;"生成成长"),4))/(VLOOKUP(G$72,INDIRECT($C$5&amp;"生成成长"),5))*(VLOOKUP($B$5,标准坦克设计!$B$24:$U$30,MATCH("对"&amp;LEFT($C$5,2)&amp;"输出",标准坦克设计!$B$23:$U$23,0)))*(VLOOKUP($B119,INDIRECT($B$5&amp;"生成成长"),3))*(VLOOKUP($B$5,标准坦克设计!$B$14:$K$20,9)/30))</f>
        <v>8.3688064263268913</v>
      </c>
      <c r="H119" s="172">
        <f ca="1">(VLOOKUP(H$72,INDIRECT($C$5&amp;"生成成长"),2))/((VLOOKUP($B119,INDIRECT($B$5&amp;"生成成长"),4))/(VLOOKUP(H$72,INDIRECT($C$5&amp;"生成成长"),5))*(VLOOKUP($B$5,标准坦克设计!$B$24:$U$30,MATCH("对"&amp;LEFT($C$5,2)&amp;"输出",标准坦克设计!$B$23:$U$23,0)))*(VLOOKUP($B119,INDIRECT($B$5&amp;"生成成长"),3))*(VLOOKUP($B$5,标准坦克设计!$B$14:$K$20,9)/30))</f>
        <v>7.3237941774619291</v>
      </c>
      <c r="I119" s="172">
        <f ca="1">(VLOOKUP(I$72,INDIRECT($C$5&amp;"生成成长"),2))/((VLOOKUP($B119,INDIRECT($B$5&amp;"生成成长"),4))/(VLOOKUP(I$72,INDIRECT($C$5&amp;"生成成长"),5))*(VLOOKUP($B$5,标准坦克设计!$B$24:$U$30,MATCH("对"&amp;LEFT($C$5,2)&amp;"输出",标准坦克设计!$B$23:$U$23,0)))*(VLOOKUP($B119,INDIRECT($B$5&amp;"生成成长"),3))*(VLOOKUP($B$5,标准坦克设计!$B$14:$K$20,9)/30))</f>
        <v>8.3688064263268913</v>
      </c>
      <c r="J119" s="172">
        <f ca="1">(VLOOKUP(J$72,INDIRECT($C$5&amp;"生成成长"),2))/((VLOOKUP($B119,INDIRECT($B$5&amp;"生成成长"),4))/(VLOOKUP(J$72,INDIRECT($C$5&amp;"生成成长"),5))*(VLOOKUP($B$5,标准坦克设计!$B$24:$U$30,MATCH("对"&amp;LEFT($C$5,2)&amp;"输出",标准坦克设计!$B$23:$U$23,0)))*(VLOOKUP($B119,INDIRECT($B$5&amp;"生成成长"),3))*(VLOOKUP($B$5,标准坦克设计!$B$14:$K$20,9)/30))</f>
        <v>9.483486158449514</v>
      </c>
      <c r="K119" s="172">
        <f ca="1">(VLOOKUP(K$72,INDIRECT($C$5&amp;"生成成长"),2))/((VLOOKUP($B119,INDIRECT($B$5&amp;"生成成长"),4))/(VLOOKUP(K$72,INDIRECT($C$5&amp;"生成成长"),5))*(VLOOKUP($B$5,标准坦克设计!$B$24:$U$30,MATCH("对"&amp;LEFT($C$5,2)&amp;"输出",标准坦克设计!$B$23:$U$23,0)))*(VLOOKUP($B119,INDIRECT($B$5&amp;"生成成长"),3))*(VLOOKUP($B$5,标准坦克设计!$B$14:$K$20,9)/30))</f>
        <v>10.667833373829801</v>
      </c>
      <c r="L119" s="172">
        <f ca="1">(VLOOKUP(L$72,INDIRECT($C$5&amp;"生成成长"),2))/((VLOOKUP($B119,INDIRECT($B$5&amp;"生成成长"),4))/(VLOOKUP(L$72,INDIRECT($C$5&amp;"生成成长"),5))*(VLOOKUP($B$5,标准坦克设计!$B$24:$U$30,MATCH("对"&amp;LEFT($C$5,2)&amp;"输出",标准坦克设计!$B$23:$U$23,0)))*(VLOOKUP($B119,INDIRECT($B$5&amp;"生成成长"),3))*(VLOOKUP($B$5,标准坦克设计!$B$14:$K$20,9)/30))</f>
        <v>11.921848072467757</v>
      </c>
      <c r="M119" s="172">
        <f ca="1">(VLOOKUP(M$72,INDIRECT($C$5&amp;"生成成长"),2))/((VLOOKUP($B119,INDIRECT($B$5&amp;"生成成长"),4))/(VLOOKUP(M$72,INDIRECT($C$5&amp;"生成成长"),5))*(VLOOKUP($B$5,标准坦克设计!$B$24:$U$30,MATCH("对"&amp;LEFT($C$5,2)&amp;"输出",标准坦克设计!$B$23:$U$23,0)))*(VLOOKUP($B119,INDIRECT($B$5&amp;"生成成长"),3))*(VLOOKUP($B$5,标准坦克设计!$B$14:$K$20,9)/30))</f>
        <v>13.245530254363374</v>
      </c>
      <c r="N119" s="172">
        <f ca="1">(VLOOKUP(N$72,INDIRECT($C$5&amp;"生成成长"),2))/((VLOOKUP($B119,INDIRECT($B$5&amp;"生成成长"),4))/(VLOOKUP(N$72,INDIRECT($C$5&amp;"生成成长"),5))*(VLOOKUP($B$5,标准坦克设计!$B$24:$U$30,MATCH("对"&amp;LEFT($C$5,2)&amp;"输出",标准坦克设计!$B$23:$U$23,0)))*(VLOOKUP($B119,INDIRECT($B$5&amp;"生成成长"),3))*(VLOOKUP($B$5,标准坦克设计!$B$14:$K$20,9)/30))</f>
        <v>14.638879919516654</v>
      </c>
      <c r="O119" s="172">
        <f ca="1">(VLOOKUP(O$72,INDIRECT($C$5&amp;"生成成长"),2))/((VLOOKUP($B119,INDIRECT($B$5&amp;"生成成长"),4))/(VLOOKUP(O$72,INDIRECT($C$5&amp;"生成成长"),5))*(VLOOKUP($B$5,标准坦克设计!$B$24:$U$30,MATCH("对"&amp;LEFT($C$5,2)&amp;"输出",标准坦克设计!$B$23:$U$23,0)))*(VLOOKUP($B119,INDIRECT($B$5&amp;"生成成长"),3))*(VLOOKUP($B$5,标准坦克设计!$B$14:$K$20,9)/30))</f>
        <v>11.129924727624777</v>
      </c>
      <c r="P119" s="172">
        <f ca="1">(VLOOKUP(P$72,INDIRECT($C$5&amp;"生成成长"),2))/((VLOOKUP($B119,INDIRECT($B$5&amp;"生成成长"),4))/(VLOOKUP(P$72,INDIRECT($C$5&amp;"生成成长"),5))*(VLOOKUP($B$5,标准坦克设计!$B$24:$U$30,MATCH("对"&amp;LEFT($C$5,2)&amp;"输出",标准坦克设计!$B$23:$U$23,0)))*(VLOOKUP($B119,INDIRECT($B$5&amp;"生成成长"),3))*(VLOOKUP($B$5,标准坦克设计!$B$14:$K$20,9)/30))</f>
        <v>12.574980728008354</v>
      </c>
      <c r="Q119" s="172">
        <f ca="1">(VLOOKUP(Q$72,INDIRECT($C$5&amp;"生成成长"),2))/((VLOOKUP($B119,INDIRECT($B$5&amp;"生成成长"),4))/(VLOOKUP(Q$72,INDIRECT($C$5&amp;"生成成长"),5))*(VLOOKUP($B$5,标准坦克设计!$B$24:$U$30,MATCH("对"&amp;LEFT($C$5,2)&amp;"输出",标准坦克设计!$B$23:$U$23,0)))*(VLOOKUP($B119,INDIRECT($B$5&amp;"生成成长"),3))*(VLOOKUP($B$5,标准坦克设计!$B$14:$K$20,9)/30))</f>
        <v>14.108209636889915</v>
      </c>
      <c r="R119" s="172">
        <f ca="1">(VLOOKUP(R$72,INDIRECT($C$5&amp;"生成成长"),2))/((VLOOKUP($B119,INDIRECT($B$5&amp;"生成成长"),4))/(VLOOKUP(R$72,INDIRECT($C$5&amp;"生成成长"),5))*(VLOOKUP($B$5,标准坦克设计!$B$24:$U$30,MATCH("对"&amp;LEFT($C$5,2)&amp;"输出",标准坦克设计!$B$23:$U$23,0)))*(VLOOKUP($B119,INDIRECT($B$5&amp;"生成成长"),3))*(VLOOKUP($B$5,标准坦克设计!$B$14:$K$20,9)/30))</f>
        <v>15.729611454269456</v>
      </c>
      <c r="S119" s="172">
        <f ca="1">(VLOOKUP(S$72,INDIRECT($C$5&amp;"生成成长"),2))/((VLOOKUP($B119,INDIRECT($B$5&amp;"生成成长"),4))/(VLOOKUP(S$72,INDIRECT($C$5&amp;"生成成长"),5))*(VLOOKUP($B$5,标准坦克设计!$B$24:$U$30,MATCH("对"&amp;LEFT($C$5,2)&amp;"输出",标准坦克设计!$B$23:$U$23,0)))*(VLOOKUP($B119,INDIRECT($B$5&amp;"生成成长"),3))*(VLOOKUP($B$5,标准坦克设计!$B$14:$K$20,9)/30))</f>
        <v>17.439186180146972</v>
      </c>
      <c r="T119" s="172">
        <f ca="1">(VLOOKUP(T$72,INDIRECT($C$5&amp;"生成成长"),2))/((VLOOKUP($B119,INDIRECT($B$5&amp;"生成成长"),4))/(VLOOKUP(T$72,INDIRECT($C$5&amp;"生成成长"),5))*(VLOOKUP($B$5,标准坦克设计!$B$24:$U$30,MATCH("对"&amp;LEFT($C$5,2)&amp;"输出",标准坦克设计!$B$23:$U$23,0)))*(VLOOKUP($B119,INDIRECT($B$5&amp;"生成成长"),3))*(VLOOKUP($B$5,标准坦克设计!$B$14:$K$20,9)/30))</f>
        <v>19.236933814522477</v>
      </c>
      <c r="U119" s="172">
        <f ca="1">(VLOOKUP(U$72,INDIRECT($C$5&amp;"生成成长"),2))/((VLOOKUP($B119,INDIRECT($B$5&amp;"生成成长"),4))/(VLOOKUP(U$72,INDIRECT($C$5&amp;"生成成长"),5))*(VLOOKUP($B$5,标准坦克设计!$B$24:$U$30,MATCH("对"&amp;LEFT($C$5,2)&amp;"输出",标准坦克设计!$B$23:$U$23,0)))*(VLOOKUP($B119,INDIRECT($B$5&amp;"生成成长"),3))*(VLOOKUP($B$5,标准坦克设计!$B$14:$K$20,9)/30))</f>
        <v>21.122854357395958</v>
      </c>
      <c r="V119" s="172">
        <f ca="1">(VLOOKUP(V$72,INDIRECT($C$5&amp;"生成成长"),2))/((VLOOKUP($B119,INDIRECT($B$5&amp;"生成成长"),4))/(VLOOKUP(V$72,INDIRECT($C$5&amp;"生成成长"),5))*(VLOOKUP($B$5,标准坦克设计!$B$24:$U$30,MATCH("对"&amp;LEFT($C$5,2)&amp;"输出",标准坦克设计!$B$23:$U$23,0)))*(VLOOKUP($B119,INDIRECT($B$5&amp;"生成成长"),3))*(VLOOKUP($B$5,标准坦克设计!$B$14:$K$20,9)/30))</f>
        <v>23.096947808767425</v>
      </c>
      <c r="W119" s="172">
        <f ca="1">(VLOOKUP(W$72,INDIRECT($C$5&amp;"生成成长"),2))/((VLOOKUP($B119,INDIRECT($B$5&amp;"生成成长"),4))/(VLOOKUP(W$72,INDIRECT($C$5&amp;"生成成长"),5))*(VLOOKUP($B$5,标准坦克设计!$B$24:$U$30,MATCH("对"&amp;LEFT($C$5,2)&amp;"输出",标准坦克设计!$B$23:$U$23,0)))*(VLOOKUP($B119,INDIRECT($B$5&amp;"生成成长"),3))*(VLOOKUP($B$5,标准坦克设计!$B$14:$K$20,9)/30))</f>
        <v>25.159214168636872</v>
      </c>
      <c r="X119" s="172">
        <f ca="1">(VLOOKUP(X$72,INDIRECT($C$5&amp;"生成成长"),2))/((VLOOKUP($B119,INDIRECT($B$5&amp;"生成成长"),4))/(VLOOKUP(X$72,INDIRECT($C$5&amp;"生成成长"),5))*(VLOOKUP($B$5,标准坦克设计!$B$24:$U$30,MATCH("对"&amp;LEFT($C$5,2)&amp;"输出",标准坦克设计!$B$23:$U$23,0)))*(VLOOKUP($B119,INDIRECT($B$5&amp;"生成成长"),3))*(VLOOKUP($B$5,标准坦克设计!$B$14:$K$20,9)/30))</f>
        <v>18.227299584499299</v>
      </c>
      <c r="Y119" s="172">
        <f ca="1">(VLOOKUP(Y$72,INDIRECT($C$5&amp;"生成成长"),2))/((VLOOKUP($B119,INDIRECT($B$5&amp;"生成成长"),4))/(VLOOKUP(Y$72,INDIRECT($C$5&amp;"生成成长"),5))*(VLOOKUP($B$5,标准坦克设计!$B$24:$U$30,MATCH("对"&amp;LEFT($C$5,2)&amp;"输出",标准坦克设计!$B$23:$U$23,0)))*(VLOOKUP($B119,INDIRECT($B$5&amp;"生成成长"),3))*(VLOOKUP($B$5,标准坦克设计!$B$14:$K$20,9)/30))</f>
        <v>20.273781905193182</v>
      </c>
      <c r="Z119" s="172">
        <f ca="1">(VLOOKUP(Z$72,INDIRECT($C$5&amp;"生成成长"),2))/((VLOOKUP($B119,INDIRECT($B$5&amp;"生成成长"),4))/(VLOOKUP(Z$72,INDIRECT($C$5&amp;"生成成长"),5))*(VLOOKUP($B$5,标准坦克设计!$B$24:$U$30,MATCH("对"&amp;LEFT($C$5,2)&amp;"输出",标准坦克设计!$B$23:$U$23,0)))*(VLOOKUP($B119,INDIRECT($B$5&amp;"生成成长"),3))*(VLOOKUP($B$5,标准坦克设计!$B$14:$K$20,9)/30))</f>
        <v>22.429119668477156</v>
      </c>
      <c r="AA119" s="172">
        <f ca="1">(VLOOKUP(AA$72,INDIRECT($C$5&amp;"生成成长"),2))/((VLOOKUP($B119,INDIRECT($B$5&amp;"生成成长"),4))/(VLOOKUP(AA$72,INDIRECT($C$5&amp;"生成成长"),5))*(VLOOKUP($B$5,标准坦克设计!$B$24:$U$30,MATCH("对"&amp;LEFT($C$5,2)&amp;"输出",标准坦克设计!$B$23:$U$23,0)))*(VLOOKUP($B119,INDIRECT($B$5&amp;"生成成长"),3))*(VLOOKUP($B$5,标准坦克设计!$B$14:$K$20,9)/30))</f>
        <v>24.693312874351243</v>
      </c>
      <c r="AB119" s="172">
        <f ca="1">(VLOOKUP(AB$72,INDIRECT($C$5&amp;"生成成长"),2))/((VLOOKUP($B119,INDIRECT($B$5&amp;"生成成长"),4))/(VLOOKUP(AB$72,INDIRECT($C$5&amp;"生成成长"),5))*(VLOOKUP($B$5,标准坦克设计!$B$24:$U$30,MATCH("对"&amp;LEFT($C$5,2)&amp;"输出",标准坦克设计!$B$23:$U$23,0)))*(VLOOKUP($B119,INDIRECT($B$5&amp;"生成成长"),3))*(VLOOKUP($B$5,标准坦克设计!$B$14:$K$20,9)/30))</f>
        <v>27.066361522815424</v>
      </c>
      <c r="AC119" s="172">
        <f ca="1">(VLOOKUP(AC$72,INDIRECT($C$5&amp;"生成成长"),2))/((VLOOKUP($B119,INDIRECT($B$5&amp;"生成成长"),4))/(VLOOKUP(AC$72,INDIRECT($C$5&amp;"生成成长"),5))*(VLOOKUP($B$5,标准坦克设计!$B$24:$U$30,MATCH("对"&amp;LEFT($C$5,2)&amp;"输出",标准坦克设计!$B$23:$U$23,0)))*(VLOOKUP($B119,INDIRECT($B$5&amp;"生成成长"),3))*(VLOOKUP($B$5,标准坦克设计!$B$14:$K$20,9)/30))</f>
        <v>29.548265613869699</v>
      </c>
      <c r="AD119" s="172">
        <f ca="1">(VLOOKUP(AD$72,INDIRECT($C$5&amp;"生成成长"),2))/((VLOOKUP($B119,INDIRECT($B$5&amp;"生成成长"),4))/(VLOOKUP(AD$72,INDIRECT($C$5&amp;"生成成长"),5))*(VLOOKUP($B$5,标准坦克设计!$B$24:$U$30,MATCH("对"&amp;LEFT($C$5,2)&amp;"输出",标准坦克设计!$B$23:$U$23,0)))*(VLOOKUP($B119,INDIRECT($B$5&amp;"生成成长"),3))*(VLOOKUP($B$5,标准坦克设计!$B$14:$K$20,9)/30))</f>
        <v>32.139025147514083</v>
      </c>
      <c r="AE119" s="172">
        <f ca="1">(VLOOKUP(AE$72,INDIRECT($C$5&amp;"生成成长"),2))/((VLOOKUP($B119,INDIRECT($B$5&amp;"生成成长"),4))/(VLOOKUP(AE$72,INDIRECT($C$5&amp;"生成成长"),5))*(VLOOKUP($B$5,标准坦克设计!$B$24:$U$30,MATCH("对"&amp;LEFT($C$5,2)&amp;"输出",标准坦克设计!$B$23:$U$23,0)))*(VLOOKUP($B119,INDIRECT($B$5&amp;"生成成长"),3))*(VLOOKUP($B$5,标准坦克设计!$B$14:$K$20,9)/30))</f>
        <v>34.838640123748554</v>
      </c>
      <c r="AF119" s="172">
        <f ca="1">(VLOOKUP(AF$72,INDIRECT($C$5&amp;"生成成长"),2))/((VLOOKUP($B119,INDIRECT($B$5&amp;"生成成长"),4))/(VLOOKUP(AF$72,INDIRECT($C$5&amp;"生成成长"),5))*(VLOOKUP($B$5,标准坦克设计!$B$24:$U$30,MATCH("对"&amp;LEFT($C$5,2)&amp;"输出",标准坦克设计!$B$23:$U$23,0)))*(VLOOKUP($B119,INDIRECT($B$5&amp;"生成成长"),3))*(VLOOKUP($B$5,标准坦克设计!$B$14:$K$20,9)/30))</f>
        <v>37.647110542573152</v>
      </c>
      <c r="AG119" s="172">
        <f ca="1">(VLOOKUP(AG$72,INDIRECT($C$5&amp;"生成成长"),2))/((VLOOKUP($B119,INDIRECT($B$5&amp;"生成成长"),4))/(VLOOKUP(AG$72,INDIRECT($C$5&amp;"生成成长"),5))*(VLOOKUP($B$5,标准坦克设计!$B$24:$U$30,MATCH("对"&amp;LEFT($C$5,2)&amp;"输出",标准坦克设计!$B$23:$U$23,0)))*(VLOOKUP($B119,INDIRECT($B$5&amp;"生成成长"),3))*(VLOOKUP($B$5,标准坦克设计!$B$14:$K$20,9)/30))</f>
        <v>40.564436403987827</v>
      </c>
      <c r="AH119" s="172">
        <f ca="1">(VLOOKUP(AH$72,INDIRECT($C$5&amp;"生成成长"),2))/((VLOOKUP($B119,INDIRECT($B$5&amp;"生成成长"),4))/(VLOOKUP(AH$72,INDIRECT($C$5&amp;"生成成长"),5))*(VLOOKUP($B$5,标准坦克设计!$B$24:$U$30,MATCH("对"&amp;LEFT($C$5,2)&amp;"输出",标准坦克设计!$B$23:$U$23,0)))*(VLOOKUP($B119,INDIRECT($B$5&amp;"生成成长"),3))*(VLOOKUP($B$5,标准坦克设计!$B$14:$K$20,9)/30))</f>
        <v>43.5906177079926</v>
      </c>
      <c r="AI119" s="172">
        <f ca="1">(VLOOKUP(AI$72,INDIRECT($C$5&amp;"生成成长"),2))/((VLOOKUP($B119,INDIRECT($B$5&amp;"生成成长"),4))/(VLOOKUP(AI$72,INDIRECT($C$5&amp;"生成成长"),5))*(VLOOKUP($B$5,标准坦克设计!$B$24:$U$30,MATCH("对"&amp;LEFT($C$5,2)&amp;"输出",标准坦克设计!$B$23:$U$23,0)))*(VLOOKUP($B119,INDIRECT($B$5&amp;"生成成长"),3))*(VLOOKUP($B$5,标准坦克设计!$B$14:$K$20,9)/30))</f>
        <v>30.830038450368136</v>
      </c>
      <c r="AJ119" s="172">
        <f ca="1">(VLOOKUP(AJ$72,INDIRECT($C$5&amp;"生成成长"),2))/((VLOOKUP($B119,INDIRECT($B$5&amp;"生成成长"),4))/(VLOOKUP(AJ$72,INDIRECT($C$5&amp;"生成成长"),5))*(VLOOKUP($B$5,标准坦克设计!$B$24:$U$30,MATCH("对"&amp;LEFT($C$5,2)&amp;"输出",标准坦克设计!$B$23:$U$23,0)))*(VLOOKUP($B119,INDIRECT($B$5&amp;"生成成长"),3))*(VLOOKUP($B$5,标准坦克设计!$B$14:$K$20,9)/30))</f>
        <v>33.745731480143967</v>
      </c>
      <c r="AK119" s="172">
        <f ca="1">(VLOOKUP(AK$72,INDIRECT($C$5&amp;"生成成长"),2))/((VLOOKUP($B119,INDIRECT($B$5&amp;"生成成长"),4))/(VLOOKUP(AK$72,INDIRECT($C$5&amp;"生成成长"),5))*(VLOOKUP($B$5,标准坦克设计!$B$24:$U$30,MATCH("对"&amp;LEFT($C$5,2)&amp;"输出",标准坦克设计!$B$23:$U$23,0)))*(VLOOKUP($B119,INDIRECT($B$5&amp;"生成成长"),3))*(VLOOKUP($B$5,标准坦克设计!$B$14:$K$20,9)/30))</f>
        <v>36.793139595453816</v>
      </c>
      <c r="AL119" s="172">
        <f ca="1">(VLOOKUP(AL$72,INDIRECT($C$5&amp;"生成成长"),2))/((VLOOKUP($B119,INDIRECT($B$5&amp;"生成成长"),4))/(VLOOKUP(AL$72,INDIRECT($C$5&amp;"生成成长"),5))*(VLOOKUP($B$5,标准坦克设计!$B$24:$U$30,MATCH("对"&amp;LEFT($C$5,2)&amp;"输出",标准坦克设计!$B$23:$U$23,0)))*(VLOOKUP($B119,INDIRECT($B$5&amp;"生成成长"),3))*(VLOOKUP($B$5,标准坦克设计!$B$14:$K$20,9)/30))</f>
        <v>39.972262796297692</v>
      </c>
      <c r="AM119" s="172">
        <f ca="1">(VLOOKUP(AM$72,INDIRECT($C$5&amp;"生成成长"),2))/((VLOOKUP($B119,INDIRECT($B$5&amp;"生成成长"),4))/(VLOOKUP(AM$72,INDIRECT($C$5&amp;"生成成长"),5))*(VLOOKUP($B$5,标准坦克设计!$B$24:$U$30,MATCH("对"&amp;LEFT($C$5,2)&amp;"输出",标准坦克设计!$B$23:$U$23,0)))*(VLOOKUP($B119,INDIRECT($B$5&amp;"生成成长"),3))*(VLOOKUP($B$5,标准坦克设计!$B$14:$K$20,9)/30))</f>
        <v>43.283101082675572</v>
      </c>
      <c r="AN119" s="172">
        <f ca="1">(VLOOKUP(AN$72,INDIRECT($C$5&amp;"生成成长"),2))/((VLOOKUP($B119,INDIRECT($B$5&amp;"生成成长"),4))/(VLOOKUP(AN$72,INDIRECT($C$5&amp;"生成成长"),5))*(VLOOKUP($B$5,标准坦克设计!$B$24:$U$30,MATCH("对"&amp;LEFT($C$5,2)&amp;"输出",标准坦克设计!$B$23:$U$23,0)))*(VLOOKUP($B119,INDIRECT($B$5&amp;"生成成长"),3))*(VLOOKUP($B$5,标准坦克设计!$B$14:$K$20,9)/30))</f>
        <v>46.725654454587485</v>
      </c>
      <c r="AO119" s="172">
        <f ca="1">(VLOOKUP(AO$72,INDIRECT($C$5&amp;"生成成长"),2))/((VLOOKUP($B119,INDIRECT($B$5&amp;"生成成长"),4))/(VLOOKUP(AO$72,INDIRECT($C$5&amp;"生成成长"),5))*(VLOOKUP($B$5,标准坦克设计!$B$24:$U$30,MATCH("对"&amp;LEFT($C$5,2)&amp;"输出",标准坦克设计!$B$23:$U$23,0)))*(VLOOKUP($B119,INDIRECT($B$5&amp;"生成成长"),3))*(VLOOKUP($B$5,标准坦克设计!$B$14:$K$20,9)/30))</f>
        <v>50.299922912033416</v>
      </c>
      <c r="AP119" s="172">
        <f ca="1">(VLOOKUP(AP$72,INDIRECT($C$5&amp;"生成成长"),2))/((VLOOKUP($B119,INDIRECT($B$5&amp;"生成成长"),4))/(VLOOKUP(AP$72,INDIRECT($C$5&amp;"生成成长"),5))*(VLOOKUP($B$5,标准坦克设计!$B$24:$U$30,MATCH("对"&amp;LEFT($C$5,2)&amp;"输出",标准坦克设计!$B$23:$U$23,0)))*(VLOOKUP($B119,INDIRECT($B$5&amp;"生成成长"),3))*(VLOOKUP($B$5,标准坦克设计!$B$14:$K$20,9)/30))</f>
        <v>54.005906455013374</v>
      </c>
      <c r="AQ119" s="172">
        <f ca="1">(VLOOKUP(AQ$72,INDIRECT($C$5&amp;"生成成长"),2))/((VLOOKUP($B119,INDIRECT($B$5&amp;"生成成长"),4))/(VLOOKUP(AQ$72,INDIRECT($C$5&amp;"生成成长"),5))*(VLOOKUP($B$5,标准坦克设计!$B$24:$U$30,MATCH("对"&amp;LEFT($C$5,2)&amp;"输出",标准坦克设计!$B$23:$U$23,0)))*(VLOOKUP($B119,INDIRECT($B$5&amp;"生成成长"),3))*(VLOOKUP($B$5,标准坦克设计!$B$14:$K$20,9)/30))</f>
        <v>57.843605083527351</v>
      </c>
      <c r="AR119" s="172">
        <f ca="1">(VLOOKUP(AR$72,INDIRECT($C$5&amp;"生成成长"),2))/((VLOOKUP($B119,INDIRECT($B$5&amp;"生成成长"),4))/(VLOOKUP(AR$72,INDIRECT($C$5&amp;"生成成长"),5))*(VLOOKUP($B$5,标准坦克设计!$B$24:$U$30,MATCH("对"&amp;LEFT($C$5,2)&amp;"输出",标准坦克设计!$B$23:$U$23,0)))*(VLOOKUP($B119,INDIRECT($B$5&amp;"生成成长"),3))*(VLOOKUP($B$5,标准坦克设计!$B$14:$K$20,9)/30))</f>
        <v>61.813018797575353</v>
      </c>
      <c r="AS119" s="172">
        <f ca="1">(VLOOKUP(AS$72,INDIRECT($C$5&amp;"生成成长"),2))/((VLOOKUP($B119,INDIRECT($B$5&amp;"生成成长"),4))/(VLOOKUP(AS$72,INDIRECT($C$5&amp;"生成成长"),5))*(VLOOKUP($B$5,标准坦克设计!$B$24:$U$30,MATCH("对"&amp;LEFT($C$5,2)&amp;"输出",标准坦克设计!$B$23:$U$23,0)))*(VLOOKUP($B119,INDIRECT($B$5&amp;"生成成长"),3))*(VLOOKUP($B$5,标准坦克设计!$B$14:$K$20,9)/30))</f>
        <v>65.914147597157367</v>
      </c>
      <c r="AT119" s="172">
        <f ca="1">(VLOOKUP(AT$72,INDIRECT($C$5&amp;"生成成长"),2))/((VLOOKUP($B119,INDIRECT($B$5&amp;"生成成长"),4))/(VLOOKUP(AT$72,INDIRECT($C$5&amp;"生成成长"),5))*(VLOOKUP($B$5,标准坦克设计!$B$24:$U$30,MATCH("对"&amp;LEFT($C$5,2)&amp;"输出",标准坦克设计!$B$23:$U$23,0)))*(VLOOKUP($B119,INDIRECT($B$5&amp;"生成成长"),3))*(VLOOKUP($B$5,标准坦克设计!$B$14:$K$20,9)/30))</f>
        <v>70.146991482273407</v>
      </c>
      <c r="AU119" s="172">
        <f ca="1">(VLOOKUP(AU$72,INDIRECT($C$5&amp;"生成成长"),2))/((VLOOKUP($B119,INDIRECT($B$5&amp;"生成成长"),4))/(VLOOKUP(AU$72,INDIRECT($C$5&amp;"生成成长"),5))*(VLOOKUP($B$5,标准坦克设计!$B$24:$U$30,MATCH("对"&amp;LEFT($C$5,2)&amp;"输出",标准坦克设计!$B$23:$U$23,0)))*(VLOOKUP($B119,INDIRECT($B$5&amp;"生成成长"),3))*(VLOOKUP($B$5,标准坦克设计!$B$14:$K$20,9)/30))</f>
        <v>74.511550452923473</v>
      </c>
      <c r="AV119" s="172">
        <f ca="1">(VLOOKUP(AV$72,INDIRECT($C$5&amp;"生成成长"),2))/((VLOOKUP($B119,INDIRECT($B$5&amp;"生成成长"),4))/(VLOOKUP(AV$72,INDIRECT($C$5&amp;"生成成长"),5))*(VLOOKUP($B$5,标准坦克设计!$B$24:$U$30,MATCH("对"&amp;LEFT($C$5,2)&amp;"输出",标准坦克设计!$B$23:$U$23,0)))*(VLOOKUP($B119,INDIRECT($B$5&amp;"生成成长"),3))*(VLOOKUP($B$5,标准坦克设计!$B$14:$K$20,9)/30))</f>
        <v>7.5785159131227644</v>
      </c>
      <c r="AW119" s="172">
        <f ca="1">(VLOOKUP(AW$72,INDIRECT($C$5&amp;"生成成长"),2))/((VLOOKUP($B119,INDIRECT($B$5&amp;"生成成长"),4))/(VLOOKUP(AW$72,INDIRECT($C$5&amp;"生成成长"),5))*(VLOOKUP($B$5,标准坦克设计!$B$24:$U$30,MATCH("对"&amp;LEFT($C$5,2)&amp;"输出",标准坦克设计!$B$23:$U$23,0)))*(VLOOKUP($B119,INDIRECT($B$5&amp;"生成成长"),3))*(VLOOKUP($B$5,标准坦克设计!$B$14:$K$20,9)/30))</f>
        <v>8.64094503280214</v>
      </c>
      <c r="AX119" s="172">
        <f ca="1">(VLOOKUP(AX$72,INDIRECT($C$5&amp;"生成成长"),2))/((VLOOKUP($B119,INDIRECT($B$5&amp;"生成成长"),4))/(VLOOKUP(AX$72,INDIRECT($C$5&amp;"生成成长"),5))*(VLOOKUP($B$5,标准坦克设计!$B$24:$U$30,MATCH("对"&amp;LEFT($C$5,2)&amp;"输出",标准坦克设计!$B$23:$U$23,0)))*(VLOOKUP($B119,INDIRECT($B$5&amp;"生成成长"),3))*(VLOOKUP($B$5,标准坦克设计!$B$14:$K$20,9)/30))</f>
        <v>9.7730416357391796</v>
      </c>
      <c r="AY119" s="172">
        <f ca="1">(VLOOKUP(AY$72,INDIRECT($C$5&amp;"生成成长"),2))/((VLOOKUP($B119,INDIRECT($B$5&amp;"生成成长"),4))/(VLOOKUP(AY$72,INDIRECT($C$5&amp;"生成成长"),5))*(VLOOKUP($B$5,标准坦克设计!$B$24:$U$30,MATCH("对"&amp;LEFT($C$5,2)&amp;"输出",标准坦克设计!$B$23:$U$23,0)))*(VLOOKUP($B119,INDIRECT($B$5&amp;"生成成长"),3))*(VLOOKUP($B$5,标准坦克设计!$B$14:$K$20,9)/30))</f>
        <v>10.974805721933883</v>
      </c>
      <c r="AZ119" s="172">
        <f ca="1">(VLOOKUP(AZ$72,INDIRECT($C$5&amp;"生成成长"),2))/((VLOOKUP($B119,INDIRECT($B$5&amp;"生成成长"),4))/(VLOOKUP(AZ$72,INDIRECT($C$5&amp;"生成成长"),5))*(VLOOKUP($B$5,标准坦克设计!$B$24:$U$30,MATCH("对"&amp;LEFT($C$5,2)&amp;"输出",标准坦克设计!$B$23:$U$23,0)))*(VLOOKUP($B119,INDIRECT($B$5&amp;"生成成长"),3))*(VLOOKUP($B$5,标准坦克设计!$B$14:$K$20,9)/30))</f>
        <v>12.246237291386254</v>
      </c>
      <c r="BA119" s="172">
        <f ca="1">(VLOOKUP(BA$72,INDIRECT($C$5&amp;"生成成长"),2))/((VLOOKUP($B119,INDIRECT($B$5&amp;"生成成长"),4))/(VLOOKUP(BA$72,INDIRECT($C$5&amp;"生成成长"),5))*(VLOOKUP($B$5,标准坦克设计!$B$24:$U$30,MATCH("对"&amp;LEFT($C$5,2)&amp;"输出",标准坦克设计!$B$23:$U$23,0)))*(VLOOKUP($B119,INDIRECT($B$5&amp;"生成成长"),3))*(VLOOKUP($B$5,标准坦克设计!$B$14:$K$20,9)/30))</f>
        <v>13.587336344096286</v>
      </c>
      <c r="BB119" s="172">
        <f ca="1">(VLOOKUP(BB$72,INDIRECT($C$5&amp;"生成成长"),2))/((VLOOKUP($B119,INDIRECT($B$5&amp;"生成成长"),4))/(VLOOKUP(BB$72,INDIRECT($C$5&amp;"生成成长"),5))*(VLOOKUP($B$5,标准坦克设计!$B$24:$U$30,MATCH("对"&amp;LEFT($C$5,2)&amp;"输出",标准坦克设计!$B$23:$U$23,0)))*(VLOOKUP($B119,INDIRECT($B$5&amp;"生成成长"),3))*(VLOOKUP($B$5,标准坦克设计!$B$14:$K$20,9)/30))</f>
        <v>14.99810288006398</v>
      </c>
      <c r="BC119" s="172">
        <f ca="1">(VLOOKUP(BC$72,INDIRECT($C$5&amp;"生成成长"),2))/((VLOOKUP($B119,INDIRECT($B$5&amp;"生成成长"),4))/(VLOOKUP(BC$72,INDIRECT($C$5&amp;"生成成长"),5))*(VLOOKUP($B$5,标准坦克设计!$B$24:$U$30,MATCH("对"&amp;LEFT($C$5,2)&amp;"输出",标准坦克设计!$B$23:$U$23,0)))*(VLOOKUP($B119,INDIRECT($B$5&amp;"生成成长"),3))*(VLOOKUP($B$5,标准坦克设计!$B$14:$K$20,9)/30))</f>
        <v>16.478536899289342</v>
      </c>
      <c r="BD119" s="172">
        <f ca="1">(VLOOKUP(BD$72,INDIRECT($C$5&amp;"生成成长"),2))/((VLOOKUP($B119,INDIRECT($B$5&amp;"生成成长"),4))/(VLOOKUP(BD$72,INDIRECT($C$5&amp;"生成成长"),5))*(VLOOKUP($B$5,标准坦克设计!$B$24:$U$30,MATCH("对"&amp;LEFT($C$5,2)&amp;"输出",标准坦克设计!$B$23:$U$23,0)))*(VLOOKUP($B119,INDIRECT($B$5&amp;"生成成长"),3))*(VLOOKUP($B$5,标准坦克设计!$B$14:$K$20,9)/30))</f>
        <v>18.227299584499299</v>
      </c>
      <c r="BE119" s="172">
        <f ca="1">(VLOOKUP(BE$72,INDIRECT($C$5&amp;"生成成长"),2))/((VLOOKUP($B119,INDIRECT($B$5&amp;"生成成长"),4))/(VLOOKUP(BE$72,INDIRECT($C$5&amp;"生成成长"),5))*(VLOOKUP($B$5,标准坦克设计!$B$24:$U$30,MATCH("对"&amp;LEFT($C$5,2)&amp;"输出",标准坦克设计!$B$23:$U$23,0)))*(VLOOKUP($B119,INDIRECT($B$5&amp;"生成成长"),3))*(VLOOKUP($B$5,标准坦克设计!$B$14:$K$20,9)/30))</f>
        <v>20.064235178207237</v>
      </c>
      <c r="BF119" s="172">
        <f ca="1">(VLOOKUP(BF$72,INDIRECT($C$5&amp;"生成成长"),2))/((VLOOKUP($B119,INDIRECT($B$5&amp;"生成成长"),4))/(VLOOKUP(BF$72,INDIRECT($C$5&amp;"生成成长"),5))*(VLOOKUP($B$5,标准坦克设计!$B$24:$U$30,MATCH("对"&amp;LEFT($C$5,2)&amp;"输出",标准坦克设计!$B$23:$U$23,0)))*(VLOOKUP($B119,INDIRECT($B$5&amp;"生成成长"),3))*(VLOOKUP($B$5,标准坦克设计!$B$14:$K$20,9)/30))</f>
        <v>21.989343680413157</v>
      </c>
      <c r="BG119" s="172">
        <f ca="1">(VLOOKUP(BG$72,INDIRECT($C$5&amp;"生成成长"),2))/((VLOOKUP($B119,INDIRECT($B$5&amp;"生成成长"),4))/(VLOOKUP(BG$72,INDIRECT($C$5&amp;"生成成长"),5))*(VLOOKUP($B$5,标准坦克设计!$B$24:$U$30,MATCH("对"&amp;LEFT($C$5,2)&amp;"输出",标准坦克设计!$B$23:$U$23,0)))*(VLOOKUP($B119,INDIRECT($B$5&amp;"生成成长"),3))*(VLOOKUP($B$5,标准坦克设计!$B$14:$K$20,9)/30))</f>
        <v>24.002625091117057</v>
      </c>
      <c r="BH119" s="172">
        <f ca="1">(VLOOKUP(BH$72,INDIRECT($C$5&amp;"生成成长"),2))/((VLOOKUP($B119,INDIRECT($B$5&amp;"生成成长"),4))/(VLOOKUP(BH$72,INDIRECT($C$5&amp;"生成成长"),5))*(VLOOKUP($B$5,标准坦克设计!$B$24:$U$30,MATCH("对"&amp;LEFT($C$5,2)&amp;"输出",标准坦克设计!$B$23:$U$23,0)))*(VLOOKUP($B119,INDIRECT($B$5&amp;"生成成长"),3))*(VLOOKUP($B$5,标准坦克设计!$B$14:$K$20,9)/30))</f>
        <v>11.601813071252861</v>
      </c>
      <c r="BI119" s="172">
        <f ca="1">(VLOOKUP(BI$72,INDIRECT($C$5&amp;"生成成长"),2))/((VLOOKUP($B119,INDIRECT($B$5&amp;"生成成长"),4))/(VLOOKUP(BI$72,INDIRECT($C$5&amp;"生成成长"),5))*(VLOOKUP($B$5,标准坦克设计!$B$24:$U$30,MATCH("对"&amp;LEFT($C$5,2)&amp;"输出",标准坦克设计!$B$23:$U$23,0)))*(VLOOKUP($B119,INDIRECT($B$5&amp;"生成成长"),3))*(VLOOKUP($B$5,标准坦克设计!$B$14:$K$20,9)/30))</f>
        <v>13.076260041135766</v>
      </c>
      <c r="BJ119" s="172">
        <f ca="1">(VLOOKUP(BJ$72,INDIRECT($C$5&amp;"生成成长"),2))/((VLOOKUP($B119,INDIRECT($B$5&amp;"生成成长"),4))/(VLOOKUP(BJ$72,INDIRECT($C$5&amp;"生成成长"),5))*(VLOOKUP($B$5,标准坦克设计!$B$24:$U$30,MATCH("对"&amp;LEFT($C$5,2)&amp;"输出",标准坦克设计!$B$23:$U$23,0)))*(VLOOKUP($B119,INDIRECT($B$5&amp;"生成成长"),3))*(VLOOKUP($B$5,标准坦克设计!$B$14:$K$20,9)/30))</f>
        <v>14.638879919516654</v>
      </c>
      <c r="BK119" s="172">
        <f ca="1">(VLOOKUP(BK$72,INDIRECT($C$5&amp;"生成成长"),2))/((VLOOKUP($B119,INDIRECT($B$5&amp;"生成成长"),4))/(VLOOKUP(BK$72,INDIRECT($C$5&amp;"生成成长"),5))*(VLOOKUP($B$5,标准坦克设计!$B$24:$U$30,MATCH("对"&amp;LEFT($C$5,2)&amp;"输出",标准坦克设计!$B$23:$U$23,0)))*(VLOOKUP($B119,INDIRECT($B$5&amp;"生成成长"),3))*(VLOOKUP($B$5,标准坦克设计!$B$14:$K$20,9)/30))</f>
        <v>16.289672706395521</v>
      </c>
      <c r="BL119" s="172">
        <f ca="1">(VLOOKUP(BL$72,INDIRECT($C$5&amp;"生成成长"),2))/((VLOOKUP($B119,INDIRECT($B$5&amp;"生成成长"),4))/(VLOOKUP(BL$72,INDIRECT($C$5&amp;"生成成长"),5))*(VLOOKUP($B$5,标准坦克设计!$B$24:$U$30,MATCH("对"&amp;LEFT($C$5,2)&amp;"输出",标准坦克设计!$B$23:$U$23,0)))*(VLOOKUP($B119,INDIRECT($B$5&amp;"生成成长"),3))*(VLOOKUP($B$5,标准坦克设计!$B$14:$K$20,9)/30))</f>
        <v>18.028638401772366</v>
      </c>
      <c r="BM119" s="172">
        <f ca="1">(VLOOKUP(BM$72,INDIRECT($C$5&amp;"生成成长"),2))/((VLOOKUP($B119,INDIRECT($B$5&amp;"生成成长"),4))/(VLOOKUP(BM$72,INDIRECT($C$5&amp;"生成成长"),5))*(VLOOKUP($B$5,标准坦克设计!$B$24:$U$30,MATCH("对"&amp;LEFT($C$5,2)&amp;"输出",标准坦克设计!$B$23:$U$23,0)))*(VLOOKUP($B119,INDIRECT($B$5&amp;"生成成长"),3))*(VLOOKUP($B$5,标准坦克设计!$B$14:$K$20,9)/30))</f>
        <v>19.855777005647194</v>
      </c>
      <c r="BN119" s="172">
        <f ca="1">(VLOOKUP(BN$72,INDIRECT($C$5&amp;"生成成长"),2))/((VLOOKUP($B119,INDIRECT($B$5&amp;"生成成长"),4))/(VLOOKUP(BN$72,INDIRECT($C$5&amp;"生成成长"),5))*(VLOOKUP($B$5,标准坦克设计!$B$24:$U$30,MATCH("对"&amp;LEFT($C$5,2)&amp;"输出",标准坦克设计!$B$23:$U$23,0)))*(VLOOKUP($B119,INDIRECT($B$5&amp;"生成成长"),3))*(VLOOKUP($B$5,标准坦克设计!$B$14:$K$20,9)/30))</f>
        <v>21.771088518020004</v>
      </c>
      <c r="BO119" s="172">
        <f ca="1">(VLOOKUP(BO$72,INDIRECT($C$5&amp;"生成成长"),2))/((VLOOKUP($B119,INDIRECT($B$5&amp;"生成成长"),4))/(VLOOKUP(BO$72,INDIRECT($C$5&amp;"生成成长"),5))*(VLOOKUP($B$5,标准坦克设计!$B$24:$U$30,MATCH("对"&amp;LEFT($C$5,2)&amp;"输出",标准坦克设计!$B$23:$U$23,0)))*(VLOOKUP($B119,INDIRECT($B$5&amp;"生成成长"),3))*(VLOOKUP($B$5,标准坦克设计!$B$14:$K$20,9)/30))</f>
        <v>23.774572938890792</v>
      </c>
      <c r="BP119" s="172">
        <f ca="1">(VLOOKUP(BP$72,INDIRECT($C$5&amp;"生成成长"),2))/((VLOOKUP($B119,INDIRECT($B$5&amp;"生成成长"),4))/(VLOOKUP(BP$72,INDIRECT($C$5&amp;"生成成长"),5))*(VLOOKUP($B$5,标准坦克设计!$B$24:$U$30,MATCH("对"&amp;LEFT($C$5,2)&amp;"输出",标准坦克设计!$B$23:$U$23,0)))*(VLOOKUP($B119,INDIRECT($B$5&amp;"生成成长"),3))*(VLOOKUP($B$5,标准坦克设计!$B$14:$K$20,9)/30))</f>
        <v>25.866230268259571</v>
      </c>
      <c r="BQ119" s="172">
        <f ca="1">(VLOOKUP(BQ$72,INDIRECT($C$5&amp;"生成成长"),2))/((VLOOKUP($B119,INDIRECT($B$5&amp;"生成成长"),4))/(VLOOKUP(BQ$72,INDIRECT($C$5&amp;"生成成长"),5))*(VLOOKUP($B$5,标准坦克设计!$B$24:$U$30,MATCH("对"&amp;LEFT($C$5,2)&amp;"输出",标准坦克设计!$B$23:$U$23,0)))*(VLOOKUP($B119,INDIRECT($B$5&amp;"生成成长"),3))*(VLOOKUP($B$5,标准坦克设计!$B$14:$K$20,9)/30))</f>
        <v>28.04606050612632</v>
      </c>
      <c r="BR119" s="172">
        <f ca="1">(VLOOKUP(BR$72,INDIRECT($C$5&amp;"生成成长"),2))/((VLOOKUP($B119,INDIRECT($B$5&amp;"生成成长"),4))/(VLOOKUP(BR$72,INDIRECT($C$5&amp;"生成成长"),5))*(VLOOKUP($B$5,标准坦克设计!$B$24:$U$30,MATCH("对"&amp;LEFT($C$5,2)&amp;"输出",标准坦克设计!$B$23:$U$23,0)))*(VLOOKUP($B119,INDIRECT($B$5&amp;"生成成长"),3))*(VLOOKUP($B$5,标准坦克设计!$B$14:$K$20,9)/30))</f>
        <v>30.571506774216644</v>
      </c>
      <c r="BS119" s="172">
        <f ca="1">(VLOOKUP(BS$72,INDIRECT($C$5&amp;"生成成长"),2))/((VLOOKUP($B119,INDIRECT($B$5&amp;"生成成长"),4))/(VLOOKUP(BS$72,INDIRECT($C$5&amp;"生成成长"),5))*(VLOOKUP($B$5,标准坦克设计!$B$24:$U$30,MATCH("对"&amp;LEFT($C$5,2)&amp;"输出",标准坦克设计!$B$23:$U$23,0)))*(VLOOKUP($B119,INDIRECT($B$5&amp;"生成成长"),3))*(VLOOKUP($B$5,标准坦克设计!$B$14:$K$20,9)/30))</f>
        <v>33.205808484897055</v>
      </c>
      <c r="BT119" s="172">
        <f ca="1">(VLOOKUP(BT$72,INDIRECT($C$5&amp;"生成成长"),2))/((VLOOKUP($B119,INDIRECT($B$5&amp;"生成成长"),4))/(VLOOKUP(BT$72,INDIRECT($C$5&amp;"生成成长"),5))*(VLOOKUP($B$5,标准坦克设计!$B$24:$U$30,MATCH("对"&amp;LEFT($C$5,2)&amp;"输出",标准坦克设计!$B$23:$U$23,0)))*(VLOOKUP($B119,INDIRECT($B$5&amp;"生成成长"),3))*(VLOOKUP($B$5,标准坦克设计!$B$14:$K$20,9)/30))</f>
        <v>35.948965638167586</v>
      </c>
      <c r="BU119" s="172">
        <f ca="1">(VLOOKUP(BU$72,INDIRECT($C$5&amp;"生成成长"),2))/((VLOOKUP($B119,INDIRECT($B$5&amp;"生成成长"),4))/(VLOOKUP(BU$72,INDIRECT($C$5&amp;"生成成长"),5))*(VLOOKUP($B$5,标准坦克设计!$B$24:$U$30,MATCH("对"&amp;LEFT($C$5,2)&amp;"输出",标准坦克设计!$B$23:$U$23,0)))*(VLOOKUP($B119,INDIRECT($B$5&amp;"生成成长"),3))*(VLOOKUP($B$5,标准坦克设计!$B$14:$K$20,9)/30))</f>
        <v>38.8009782340282</v>
      </c>
      <c r="BV119" s="172">
        <f ca="1">(VLOOKUP(BV$72,INDIRECT($C$5&amp;"生成成长"),2))/((VLOOKUP($B119,INDIRECT($B$5&amp;"生成成长"),4))/(VLOOKUP(BV$72,INDIRECT($C$5&amp;"生成成长"),5))*(VLOOKUP($B$5,标准坦克设计!$B$24:$U$30,MATCH("对"&amp;LEFT($C$5,2)&amp;"输出",标准坦克设计!$B$23:$U$23,0)))*(VLOOKUP($B119,INDIRECT($B$5&amp;"生成成长"),3))*(VLOOKUP($B$5,标准坦克设计!$B$14:$K$20,9)/30))</f>
        <v>41.76184627247892</v>
      </c>
      <c r="BW119" s="172">
        <f ca="1">(VLOOKUP(BW$72,INDIRECT($C$5&amp;"生成成长"),2))/((VLOOKUP($B119,INDIRECT($B$5&amp;"生成成长"),4))/(VLOOKUP(BW$72,INDIRECT($C$5&amp;"生成成长"),5))*(VLOOKUP($B$5,标准坦克设计!$B$24:$U$30,MATCH("对"&amp;LEFT($C$5,2)&amp;"输出",标准坦克设计!$B$23:$U$23,0)))*(VLOOKUP($B119,INDIRECT($B$5&amp;"生成成长"),3))*(VLOOKUP($B$5,标准坦克设计!$B$14:$K$20,9)/30))</f>
        <v>19.032829859666037</v>
      </c>
      <c r="BX119" s="172">
        <f ca="1">(VLOOKUP(BX$72,INDIRECT($C$5&amp;"生成成长"),2))/((VLOOKUP($B119,INDIRECT($B$5&amp;"生成成长"),4))/(VLOOKUP(BX$72,INDIRECT($C$5&amp;"生成成长"),5))*(VLOOKUP($B$5,标准坦克设计!$B$24:$U$30,MATCH("对"&amp;LEFT($C$5,2)&amp;"输出",标准坦克设计!$B$23:$U$23,0)))*(VLOOKUP($B119,INDIRECT($B$5&amp;"生成成长"),3))*(VLOOKUP($B$5,标准坦克设计!$B$14:$K$20,9)/30))</f>
        <v>21.122854357395958</v>
      </c>
      <c r="BY119" s="172">
        <f ca="1">(VLOOKUP(BY$72,INDIRECT($C$5&amp;"生成成长"),2))/((VLOOKUP($B119,INDIRECT($B$5&amp;"生成成长"),4))/(VLOOKUP(BY$72,INDIRECT($C$5&amp;"生成成长"),5))*(VLOOKUP($B$5,标准坦克设计!$B$24:$U$30,MATCH("对"&amp;LEFT($C$5,2)&amp;"输出",标准坦克设计!$B$23:$U$23,0)))*(VLOOKUP($B119,INDIRECT($B$5&amp;"生成成长"),3))*(VLOOKUP($B$5,标准坦克设计!$B$14:$K$20,9)/30))</f>
        <v>23.321734297715981</v>
      </c>
      <c r="BZ119" s="172">
        <f ca="1">(VLOOKUP(BZ$72,INDIRECT($C$5&amp;"生成成长"),2))/((VLOOKUP($B119,INDIRECT($B$5&amp;"生成成长"),4))/(VLOOKUP(BZ$72,INDIRECT($C$5&amp;"生成成长"),5))*(VLOOKUP($B$5,标准坦克设计!$B$24:$U$30,MATCH("对"&amp;LEFT($C$5,2)&amp;"输出",标准坦克设计!$B$23:$U$23,0)))*(VLOOKUP($B119,INDIRECT($B$5&amp;"生成成长"),3))*(VLOOKUP($B$5,标准坦克设计!$B$14:$K$20,9)/30))</f>
        <v>25.629469680626102</v>
      </c>
      <c r="CA119" s="172">
        <f ca="1">(VLOOKUP(CA$72,INDIRECT($C$5&amp;"生成成长"),2))/((VLOOKUP($B119,INDIRECT($B$5&amp;"生成成长"),4))/(VLOOKUP(CA$72,INDIRECT($C$5&amp;"生成成长"),5))*(VLOOKUP($B$5,标准坦克设计!$B$24:$U$30,MATCH("对"&amp;LEFT($C$5,2)&amp;"输出",标准坦克设计!$B$23:$U$23,0)))*(VLOOKUP($B119,INDIRECT($B$5&amp;"生成成长"),3))*(VLOOKUP($B$5,标准坦克设计!$B$14:$K$20,9)/30))</f>
        <v>28.04606050612632</v>
      </c>
      <c r="CB119" s="172">
        <f ca="1">(VLOOKUP(CB$72,INDIRECT($C$5&amp;"生成成长"),2))/((VLOOKUP($B119,INDIRECT($B$5&amp;"生成成长"),4))/(VLOOKUP(CB$72,INDIRECT($C$5&amp;"生成成长"),5))*(VLOOKUP($B$5,标准坦克设计!$B$24:$U$30,MATCH("对"&amp;LEFT($C$5,2)&amp;"输出",标准坦克设计!$B$23:$U$23,0)))*(VLOOKUP($B119,INDIRECT($B$5&amp;"生成成长"),3))*(VLOOKUP($B$5,标准坦克设计!$B$14:$K$20,9)/30))</f>
        <v>30.571506774216644</v>
      </c>
      <c r="CC119" s="172">
        <f ca="1">(VLOOKUP(CC$72,INDIRECT($C$5&amp;"生成成长"),2))/((VLOOKUP($B119,INDIRECT($B$5&amp;"生成成长"),4))/(VLOOKUP(CC$72,INDIRECT($C$5&amp;"生成成长"),5))*(VLOOKUP($B$5,标准坦克设计!$B$24:$U$30,MATCH("对"&amp;LEFT($C$5,2)&amp;"输出",标准坦克设计!$B$23:$U$23,0)))*(VLOOKUP($B119,INDIRECT($B$5&amp;"生成成长"),3))*(VLOOKUP($B$5,标准坦克设计!$B$14:$K$20,9)/30))</f>
        <v>33.205808484897055</v>
      </c>
      <c r="CD119" s="172">
        <f ca="1">(VLOOKUP(CD$72,INDIRECT($C$5&amp;"生成成长"),2))/((VLOOKUP($B119,INDIRECT($B$5&amp;"生成成长"),4))/(VLOOKUP(CD$72,INDIRECT($C$5&amp;"生成成长"),5))*(VLOOKUP($B$5,标准坦克设计!$B$24:$U$30,MATCH("对"&amp;LEFT($C$5,2)&amp;"输出",标准坦克设计!$B$23:$U$23,0)))*(VLOOKUP($B119,INDIRECT($B$5&amp;"生成成长"),3))*(VLOOKUP($B$5,标准坦克设计!$B$14:$K$20,9)/30))</f>
        <v>35.948965638167586</v>
      </c>
      <c r="CE119" s="172">
        <f ca="1">(VLOOKUP(CE$72,INDIRECT($C$5&amp;"生成成长"),2))/((VLOOKUP($B119,INDIRECT($B$5&amp;"生成成长"),4))/(VLOOKUP(CE$72,INDIRECT($C$5&amp;"生成成长"),5))*(VLOOKUP($B$5,标准坦克设计!$B$24:$U$30,MATCH("对"&amp;LEFT($C$5,2)&amp;"输出",标准坦克设计!$B$23:$U$23,0)))*(VLOOKUP($B119,INDIRECT($B$5&amp;"生成成长"),3))*(VLOOKUP($B$5,标准坦克设计!$B$14:$K$20,9)/30))</f>
        <v>38.8009782340282</v>
      </c>
      <c r="CF119" s="172">
        <f ca="1">(VLOOKUP(CF$72,INDIRECT($C$5&amp;"生成成长"),2))/((VLOOKUP($B119,INDIRECT($B$5&amp;"生成成长"),4))/(VLOOKUP(CF$72,INDIRECT($C$5&amp;"生成成长"),5))*(VLOOKUP($B$5,标准坦克设计!$B$24:$U$30,MATCH("对"&amp;LEFT($C$5,2)&amp;"输出",标准坦克设计!$B$23:$U$23,0)))*(VLOOKUP($B119,INDIRECT($B$5&amp;"生成成长"),3))*(VLOOKUP($B$5,标准坦克设计!$B$14:$K$20,9)/30))</f>
        <v>41.76184627247892</v>
      </c>
      <c r="CG119" s="172">
        <f ca="1">(VLOOKUP(CG$72,INDIRECT($C$5&amp;"生成成长"),2))/((VLOOKUP($B119,INDIRECT($B$5&amp;"生成成长"),4))/(VLOOKUP(CG$72,INDIRECT($C$5&amp;"生成成长"),5))*(VLOOKUP($B$5,标准坦克设计!$B$24:$U$30,MATCH("对"&amp;LEFT($C$5,2)&amp;"输出",标准坦克设计!$B$23:$U$23,0)))*(VLOOKUP($B119,INDIRECT($B$5&amp;"生成成长"),3))*(VLOOKUP($B$5,标准坦克设计!$B$14:$K$20,9)/30))</f>
        <v>44.831569753519744</v>
      </c>
      <c r="CH119" s="172">
        <f ca="1">(VLOOKUP(CH$72,INDIRECT($C$5&amp;"生成成长"),2))/((VLOOKUP($B119,INDIRECT($B$5&amp;"生成成长"),4))/(VLOOKUP(CH$72,INDIRECT($C$5&amp;"生成成长"),5))*(VLOOKUP($B$5,标准坦克设计!$B$24:$U$30,MATCH("对"&amp;LEFT($C$5,2)&amp;"输出",标准坦克设计!$B$23:$U$23,0)))*(VLOOKUP($B119,INDIRECT($B$5&amp;"生成成长"),3))*(VLOOKUP($B$5,标准坦克设计!$B$14:$K$20,9)/30))</f>
        <v>48.010148677150674</v>
      </c>
      <c r="CI119" s="172">
        <f ca="1">(VLOOKUP(CI$72,INDIRECT($C$5&amp;"生成成长"),2))/((VLOOKUP($B119,INDIRECT($B$5&amp;"生成成长"),4))/(VLOOKUP(CI$72,INDIRECT($C$5&amp;"生成成长"),5))*(VLOOKUP($B$5,标准坦克设计!$B$24:$U$30,MATCH("对"&amp;LEFT($C$5,2)&amp;"输出",标准坦克设计!$B$23:$U$23,0)))*(VLOOKUP($B119,INDIRECT($B$5&amp;"生成成长"),3))*(VLOOKUP($B$5,标准坦克设计!$B$14:$K$20,9)/30))</f>
        <v>51.632313529336251</v>
      </c>
      <c r="CJ119" s="172">
        <f ca="1">(VLOOKUP(CJ$72,INDIRECT($C$5&amp;"生成成长"),2))/((VLOOKUP($B119,INDIRECT($B$5&amp;"生成成长"),4))/(VLOOKUP(CJ$72,INDIRECT($C$5&amp;"生成成长"),5))*(VLOOKUP($B$5,标准坦克设计!$B$24:$U$30,MATCH("对"&amp;LEFT($C$5,2)&amp;"输出",标准坦克设计!$B$23:$U$23,0)))*(VLOOKUP($B119,INDIRECT($B$5&amp;"生成成长"),3))*(VLOOKUP($B$5,标准坦克设计!$B$14:$K$20,9)/30))</f>
        <v>55.386193467055847</v>
      </c>
      <c r="CK119" s="172">
        <f ca="1">(VLOOKUP(CK$72,INDIRECT($C$5&amp;"生成成长"),2))/((VLOOKUP($B119,INDIRECT($B$5&amp;"生成成长"),4))/(VLOOKUP(CK$72,INDIRECT($C$5&amp;"生成成长"),5))*(VLOOKUP($B$5,标准坦克设计!$B$24:$U$30,MATCH("对"&amp;LEFT($C$5,2)&amp;"输出",标准坦克设计!$B$23:$U$23,0)))*(VLOOKUP($B119,INDIRECT($B$5&amp;"生成成长"),3))*(VLOOKUP($B$5,标准坦克设计!$B$14:$K$20,9)/30))</f>
        <v>59.271788490309461</v>
      </c>
      <c r="CL119" s="172">
        <f ca="1">(VLOOKUP(CL$72,INDIRECT($C$5&amp;"生成成长"),2))/((VLOOKUP($B119,INDIRECT($B$5&amp;"生成成长"),4))/(VLOOKUP(CL$72,INDIRECT($C$5&amp;"生成成长"),5))*(VLOOKUP($B$5,标准坦克设计!$B$24:$U$30,MATCH("对"&amp;LEFT($C$5,2)&amp;"输出",标准坦克设计!$B$23:$U$23,0)))*(VLOOKUP($B119,INDIRECT($B$5&amp;"生成成长"),3))*(VLOOKUP($B$5,标准坦克设计!$B$14:$K$20,9)/30))</f>
        <v>63.289098599097102</v>
      </c>
      <c r="CM119" s="172">
        <f ca="1">(VLOOKUP(CM$72,INDIRECT($C$5&amp;"生成成长"),2))/((VLOOKUP($B119,INDIRECT($B$5&amp;"生成成长"),4))/(VLOOKUP(CM$72,INDIRECT($C$5&amp;"生成成长"),5))*(VLOOKUP($B$5,标准坦克设计!$B$24:$U$30,MATCH("对"&amp;LEFT($C$5,2)&amp;"输出",标准坦克设计!$B$23:$U$23,0)))*(VLOOKUP($B119,INDIRECT($B$5&amp;"生成成长"),3))*(VLOOKUP($B$5,标准坦克设计!$B$14:$K$20,9)/30))</f>
        <v>67.438123793418768</v>
      </c>
      <c r="CN119" s="172">
        <f ca="1">(VLOOKUP(CN$72,INDIRECT($C$5&amp;"生成成长"),2))/((VLOOKUP($B119,INDIRECT($B$5&amp;"生成成长"),4))/(VLOOKUP(CN$72,INDIRECT($C$5&amp;"生成成长"),5))*(VLOOKUP($B$5,标准坦克设计!$B$24:$U$30,MATCH("对"&amp;LEFT($C$5,2)&amp;"输出",标准坦克设计!$B$23:$U$23,0)))*(VLOOKUP($B119,INDIRECT($B$5&amp;"生成成长"),3))*(VLOOKUP($B$5,标准坦克设计!$B$14:$K$20,9)/30))</f>
        <v>71.71886407327446</v>
      </c>
      <c r="CO119" s="172">
        <f ca="1">(VLOOKUP(CO$72,INDIRECT($C$5&amp;"生成成长"),2))/((VLOOKUP($B119,INDIRECT($B$5&amp;"生成成长"),4))/(VLOOKUP(CO$72,INDIRECT($C$5&amp;"生成成长"),5))*(VLOOKUP($B$5,标准坦克设计!$B$24:$U$30,MATCH("对"&amp;LEFT($C$5,2)&amp;"输出",标准坦克设计!$B$23:$U$23,0)))*(VLOOKUP($B119,INDIRECT($B$5&amp;"生成成长"),3))*(VLOOKUP($B$5,标准坦克设计!$B$14:$K$20,9)/30))</f>
        <v>32.139025147514083</v>
      </c>
      <c r="CP119" s="172">
        <f ca="1">(VLOOKUP(CP$72,INDIRECT($C$5&amp;"生成成长"),2))/((VLOOKUP($B119,INDIRECT($B$5&amp;"生成成长"),4))/(VLOOKUP(CP$72,INDIRECT($C$5&amp;"生成成长"),5))*(VLOOKUP($B$5,标准坦克设计!$B$24:$U$30,MATCH("对"&amp;LEFT($C$5,2)&amp;"输出",标准坦克设计!$B$23:$U$23,0)))*(VLOOKUP($B119,INDIRECT($B$5&amp;"生成成长"),3))*(VLOOKUP($B$5,标准坦克设计!$B$14:$K$20,9)/30))</f>
        <v>35.114588670714468</v>
      </c>
      <c r="CQ119" s="172">
        <f ca="1">(VLOOKUP(CQ$72,INDIRECT($C$5&amp;"生成成长"),2))/((VLOOKUP($B119,INDIRECT($B$5&amp;"生成成长"),4))/(VLOOKUP(CQ$72,INDIRECT($C$5&amp;"生成成长"),5))*(VLOOKUP($B$5,标准坦克设计!$B$24:$U$30,MATCH("对"&amp;LEFT($C$5,2)&amp;"输出",标准坦克设计!$B$23:$U$23,0)))*(VLOOKUP($B119,INDIRECT($B$5&amp;"生成成长"),3))*(VLOOKUP($B$5,标准坦克设计!$B$14:$K$20,9)/30))</f>
        <v>38.221867279448873</v>
      </c>
      <c r="CR119" s="172">
        <f ca="1">(VLOOKUP(CR$72,INDIRECT($C$5&amp;"生成成长"),2))/((VLOOKUP($B119,INDIRECT($B$5&amp;"生成成长"),4))/(VLOOKUP(CR$72,INDIRECT($C$5&amp;"生成成长"),5))*(VLOOKUP($B$5,标准坦克设计!$B$24:$U$30,MATCH("对"&amp;LEFT($C$5,2)&amp;"输出",标准坦克设计!$B$23:$U$23,0)))*(VLOOKUP($B119,INDIRECT($B$5&amp;"生成成长"),3))*(VLOOKUP($B$5,标准坦克设计!$B$14:$K$20,9)/30))</f>
        <v>41.460860973717303</v>
      </c>
      <c r="CS119" s="172">
        <f ca="1">(VLOOKUP(CS$72,INDIRECT($C$5&amp;"生成成长"),2))/((VLOOKUP($B119,INDIRECT($B$5&amp;"生成成长"),4))/(VLOOKUP(CS$72,INDIRECT($C$5&amp;"生成成长"),5))*(VLOOKUP($B$5,标准坦克设计!$B$24:$U$30,MATCH("对"&amp;LEFT($C$5,2)&amp;"输出",标准坦克设计!$B$23:$U$23,0)))*(VLOOKUP($B119,INDIRECT($B$5&amp;"生成成长"),3))*(VLOOKUP($B$5,标准坦克设计!$B$14:$K$20,9)/30))</f>
        <v>44.831569753519744</v>
      </c>
      <c r="CT119" s="172">
        <f ca="1">(VLOOKUP(CT$72,INDIRECT($C$5&amp;"生成成长"),2))/((VLOOKUP($B119,INDIRECT($B$5&amp;"生成成长"),4))/(VLOOKUP(CT$72,INDIRECT($C$5&amp;"生成成长"),5))*(VLOOKUP($B$5,标准坦克设计!$B$24:$U$30,MATCH("对"&amp;LEFT($C$5,2)&amp;"输出",标准坦克设计!$B$23:$U$23,0)))*(VLOOKUP($B119,INDIRECT($B$5&amp;"生成成长"),3))*(VLOOKUP($B$5,标准坦克设计!$B$14:$K$20,9)/30))</f>
        <v>48.333993618856212</v>
      </c>
      <c r="CU119" s="172">
        <f ca="1">(VLOOKUP(CU$72,INDIRECT($C$5&amp;"生成成长"),2))/((VLOOKUP($B119,INDIRECT($B$5&amp;"生成成长"),4))/(VLOOKUP(CU$72,INDIRECT($C$5&amp;"生成成长"),5))*(VLOOKUP($B$5,标准坦克设计!$B$24:$U$30,MATCH("对"&amp;LEFT($C$5,2)&amp;"输出",标准坦克设计!$B$23:$U$23,0)))*(VLOOKUP($B119,INDIRECT($B$5&amp;"生成成长"),3))*(VLOOKUP($B$5,标准坦克设计!$B$14:$K$20,9)/30))</f>
        <v>51.968132569726698</v>
      </c>
      <c r="CV119" s="172">
        <f ca="1">(VLOOKUP(CV$72,INDIRECT($C$5&amp;"生成成长"),2))/((VLOOKUP($B119,INDIRECT($B$5&amp;"生成成长"),4))/(VLOOKUP(CV$72,INDIRECT($C$5&amp;"生成成长"),5))*(VLOOKUP($B$5,标准坦克设计!$B$24:$U$30,MATCH("对"&amp;LEFT($C$5,2)&amp;"输出",标准坦克设计!$B$23:$U$23,0)))*(VLOOKUP($B119,INDIRECT($B$5&amp;"生成成长"),3))*(VLOOKUP($B$5,标准坦克设计!$B$14:$K$20,9)/30))</f>
        <v>55.733986606131225</v>
      </c>
      <c r="CW119" s="172">
        <f ca="1">(VLOOKUP(CW$72,INDIRECT($C$5&amp;"生成成长"),2))/((VLOOKUP($B119,INDIRECT($B$5&amp;"生成成长"),4))/(VLOOKUP(CW$72,INDIRECT($C$5&amp;"生成成长"),5))*(VLOOKUP($B$5,标准坦克设计!$B$24:$U$30,MATCH("对"&amp;LEFT($C$5,2)&amp;"输出",标准坦克设计!$B$23:$U$23,0)))*(VLOOKUP($B119,INDIRECT($B$5&amp;"生成成长"),3))*(VLOOKUP($B$5,标准坦克设计!$B$14:$K$20,9)/30))</f>
        <v>59.631555728069749</v>
      </c>
      <c r="CX119" s="172">
        <f ca="1">(VLOOKUP(CX$72,INDIRECT($C$5&amp;"生成成长"),2))/((VLOOKUP($B119,INDIRECT($B$5&amp;"生成成长"),4))/(VLOOKUP(CX$72,INDIRECT($C$5&amp;"生成成长"),5))*(VLOOKUP($B$5,标准坦克设计!$B$24:$U$30,MATCH("对"&amp;LEFT($C$5,2)&amp;"输出",标准坦克设计!$B$23:$U$23,0)))*(VLOOKUP($B119,INDIRECT($B$5&amp;"生成成长"),3))*(VLOOKUP($B$5,标准坦克设计!$B$14:$K$20,9)/30))</f>
        <v>63.660839935542306</v>
      </c>
      <c r="CY119" s="172">
        <f ca="1">(VLOOKUP(CY$72,INDIRECT($C$5&amp;"生成成长"),2))/((VLOOKUP($B119,INDIRECT($B$5&amp;"生成成长"),4))/(VLOOKUP(CY$72,INDIRECT($C$5&amp;"生成成长"),5))*(VLOOKUP($B$5,标准坦克设计!$B$24:$U$30,MATCH("对"&amp;LEFT($C$5,2)&amp;"输出",标准坦克设计!$B$23:$U$23,0)))*(VLOOKUP($B119,INDIRECT($B$5&amp;"生成成长"),3))*(VLOOKUP($B$5,标准坦克设计!$B$14:$K$20,9)/30))</f>
        <v>67.821839228548896</v>
      </c>
      <c r="CZ119" s="172">
        <f ca="1">(VLOOKUP(CZ$72,INDIRECT($C$5&amp;"生成成长"),2))/((VLOOKUP($B119,INDIRECT($B$5&amp;"生成成长"),4))/(VLOOKUP(CZ$72,INDIRECT($C$5&amp;"生成成长"),5))*(VLOOKUP($B$5,标准坦克设计!$B$24:$U$30,MATCH("对"&amp;LEFT($C$5,2)&amp;"输出",标准坦克设计!$B$23:$U$23,0)))*(VLOOKUP($B119,INDIRECT($B$5&amp;"生成成长"),3))*(VLOOKUP($B$5,标准坦克设计!$B$14:$K$20,9)/30))</f>
        <v>72.114553607089462</v>
      </c>
      <c r="DA119" s="172">
        <f ca="1">(VLOOKUP(DA$72,INDIRECT($C$5&amp;"生成成长"),2))/((VLOOKUP($B119,INDIRECT($B$5&amp;"生成成长"),4))/(VLOOKUP(DA$72,INDIRECT($C$5&amp;"生成成长"),5))*(VLOOKUP($B$5,标准坦克设计!$B$24:$U$30,MATCH("对"&amp;LEFT($C$5,2)&amp;"输出",标准坦克设计!$B$23:$U$23,0)))*(VLOOKUP($B119,INDIRECT($B$5&amp;"生成成长"),3))*(VLOOKUP($B$5,标准坦克设计!$B$14:$K$20,9)/30))</f>
        <v>76.538983071164083</v>
      </c>
      <c r="DB119" s="172">
        <f ca="1">(VLOOKUP(DB$72,INDIRECT($C$5&amp;"生成成长"),2))/((VLOOKUP($B119,INDIRECT($B$5&amp;"生成成长"),4))/(VLOOKUP(DB$72,INDIRECT($C$5&amp;"生成成长"),5))*(VLOOKUP($B$5,标准坦克设计!$B$24:$U$30,MATCH("对"&amp;LEFT($C$5,2)&amp;"输出",标准坦克设计!$B$23:$U$23,0)))*(VLOOKUP($B119,INDIRECT($B$5&amp;"生成成长"),3))*(VLOOKUP($B$5,标准坦克设计!$B$14:$K$20,9)/30))</f>
        <v>81.095127620772729</v>
      </c>
      <c r="DC119" s="172">
        <f ca="1">(VLOOKUP(DC$72,INDIRECT($C$5&amp;"生成成长"),2))/((VLOOKUP($B119,INDIRECT($B$5&amp;"生成成长"),4))/(VLOOKUP(DC$72,INDIRECT($C$5&amp;"生成成长"),5))*(VLOOKUP($B$5,标准坦克设计!$B$24:$U$30,MATCH("对"&amp;LEFT($C$5,2)&amp;"输出",标准坦克设计!$B$23:$U$23,0)))*(VLOOKUP($B119,INDIRECT($B$5&amp;"生成成长"),3))*(VLOOKUP($B$5,标准坦克设计!$B$14:$K$20,9)/30))</f>
        <v>86.215687640211044</v>
      </c>
      <c r="DD119" s="172">
        <f ca="1">(VLOOKUP(DD$72,INDIRECT($C$5&amp;"生成成长"),2))/((VLOOKUP($B119,INDIRECT($B$5&amp;"生成成长"),4))/(VLOOKUP(DD$72,INDIRECT($C$5&amp;"生成成长"),5))*(VLOOKUP($B$5,标准坦克设计!$B$24:$U$30,MATCH("对"&amp;LEFT($C$5,2)&amp;"输出",标准坦克设计!$B$23:$U$23,0)))*(VLOOKUP($B119,INDIRECT($B$5&amp;"生成成长"),3))*(VLOOKUP($B$5,标准坦克设计!$B$14:$K$20,9)/30))</f>
        <v>91.492999496979067</v>
      </c>
      <c r="DE119" s="172">
        <f ca="1">(VLOOKUP(DE$72,INDIRECT($C$5&amp;"生成成长"),2))/((VLOOKUP($B119,INDIRECT($B$5&amp;"生成成长"),4))/(VLOOKUP(DE$72,INDIRECT($C$5&amp;"生成成长"),5))*(VLOOKUP($B$5,标准坦克设计!$B$24:$U$30,MATCH("对"&amp;LEFT($C$5,2)&amp;"输出",标准坦克设计!$B$23:$U$23,0)))*(VLOOKUP($B119,INDIRECT($B$5&amp;"生成成长"),3))*(VLOOKUP($B$5,标准坦克设计!$B$14:$K$20,9)/30))</f>
        <v>96.927063191076883</v>
      </c>
      <c r="DF119" s="172">
        <f ca="1">(VLOOKUP(DF$72,INDIRECT($C$5&amp;"生成成长"),2))/((VLOOKUP($B119,INDIRECT($B$5&amp;"生成成长"),4))/(VLOOKUP(DF$72,INDIRECT($C$5&amp;"生成成长"),5))*(VLOOKUP($B$5,标准坦克设计!$B$24:$U$30,MATCH("对"&amp;LEFT($C$5,2)&amp;"输出",标准坦克设计!$B$23:$U$23,0)))*(VLOOKUP($B119,INDIRECT($B$5&amp;"生成成长"),3))*(VLOOKUP($B$5,标准坦克设计!$B$14:$K$20,9)/30))</f>
        <v>102.51787872250441</v>
      </c>
      <c r="DG119" s="172">
        <f ca="1">(VLOOKUP(DG$72,INDIRECT($C$5&amp;"生成成长"),2))/((VLOOKUP($B119,INDIRECT($B$5&amp;"生成成长"),4))/(VLOOKUP(DG$72,INDIRECT($C$5&amp;"生成成长"),5))*(VLOOKUP($B$5,标准坦克设计!$B$24:$U$30,MATCH("对"&amp;LEFT($C$5,2)&amp;"输出",标准坦克设计!$B$23:$U$23,0)))*(VLOOKUP($B119,INDIRECT($B$5&amp;"生成成长"),3))*(VLOOKUP($B$5,标准坦克设计!$B$14:$K$20,9)/30))</f>
        <v>108.26544609126169</v>
      </c>
      <c r="DH119" s="172">
        <f ca="1">(VLOOKUP(DH$72,INDIRECT($C$5&amp;"生成成长"),2))/((VLOOKUP($B119,INDIRECT($B$5&amp;"生成成长"),4))/(VLOOKUP(DH$72,INDIRECT($C$5&amp;"生成成长"),5))*(VLOOKUP($B$5,标准坦克设计!$B$24:$U$30,MATCH("对"&amp;LEFT($C$5,2)&amp;"输出",标准坦克设计!$B$23:$U$23,0)))*(VLOOKUP($B119,INDIRECT($B$5&amp;"生成成长"),3))*(VLOOKUP($B$5,标准坦克设计!$B$14:$K$20,9)/30))</f>
        <v>114.16976529734875</v>
      </c>
      <c r="DI119" s="172">
        <f ca="1">(VLOOKUP(DI$72,INDIRECT($C$5&amp;"生成成长"),2))/((VLOOKUP($B119,INDIRECT($B$5&amp;"生成成长"),4))/(VLOOKUP(DI$72,INDIRECT($C$5&amp;"生成成长"),5))*(VLOOKUP($B$5,标准坦克设计!$B$24:$U$30,MATCH("对"&amp;LEFT($C$5,2)&amp;"输出",标准坦克设计!$B$23:$U$23,0)))*(VLOOKUP($B119,INDIRECT($B$5&amp;"生成成长"),3))*(VLOOKUP($B$5,标准坦克设计!$B$14:$K$20,9)/30))</f>
        <v>120.23083634076549</v>
      </c>
      <c r="DJ119" s="172">
        <f ca="1">(VLOOKUP(DJ$72,INDIRECT($C$5&amp;"生成成长"),2))/((VLOOKUP($B119,INDIRECT($B$5&amp;"生成成长"),4))/(VLOOKUP(DJ$72,INDIRECT($C$5&amp;"生成成长"),5))*(VLOOKUP($B$5,标准坦克设计!$B$24:$U$30,MATCH("对"&amp;LEFT($C$5,2)&amp;"输出",标准坦克设计!$B$23:$U$23,0)))*(VLOOKUP($B119,INDIRECT($B$5&amp;"生成成长"),3))*(VLOOKUP($B$5,标准坦克设计!$B$14:$K$20,9)/30))</f>
        <v>12.083498404714053</v>
      </c>
      <c r="DK119" s="172">
        <f ca="1">(VLOOKUP(DK$72,INDIRECT($C$5&amp;"生成成长"),2))/((VLOOKUP($B119,INDIRECT($B$5&amp;"生成成长"),4))/(VLOOKUP(DK$72,INDIRECT($C$5&amp;"生成成长"),5))*(VLOOKUP($B$5,标准坦克设计!$B$24:$U$30,MATCH("对"&amp;LEFT($C$5,2)&amp;"输出",标准坦克设计!$B$23:$U$23,0)))*(VLOOKUP($B119,INDIRECT($B$5&amp;"生成成长"),3))*(VLOOKUP($B$5,标准坦克设计!$B$14:$K$20,9)/30))</f>
        <v>13.587336344096286</v>
      </c>
      <c r="DL119" s="172">
        <f ca="1">(VLOOKUP(DL$72,INDIRECT($C$5&amp;"生成成长"),2))/((VLOOKUP($B119,INDIRECT($B$5&amp;"生成成长"),4))/(VLOOKUP(DL$72,INDIRECT($C$5&amp;"生成成长"),5))*(VLOOKUP($B$5,标准坦克设计!$B$24:$U$30,MATCH("对"&amp;LEFT($C$5,2)&amp;"输出",标准坦克设计!$B$23:$U$23,0)))*(VLOOKUP($B119,INDIRECT($B$5&amp;"生成成长"),3))*(VLOOKUP($B$5,标准坦克设计!$B$14:$K$20,9)/30))</f>
        <v>15.1793471919765</v>
      </c>
      <c r="DM119" s="172">
        <f ca="1">(VLOOKUP(DM$72,INDIRECT($C$5&amp;"生成成长"),2))/((VLOOKUP($B119,INDIRECT($B$5&amp;"生成成长"),4))/(VLOOKUP(DM$72,INDIRECT($C$5&amp;"生成成长"),5))*(VLOOKUP($B$5,标准坦克设计!$B$24:$U$30,MATCH("对"&amp;LEFT($C$5,2)&amp;"输出",标准坦克设计!$B$23:$U$23,0)))*(VLOOKUP($B119,INDIRECT($B$5&amp;"生成成长"),3))*(VLOOKUP($B$5,标准坦克设计!$B$14:$K$20,9)/30))</f>
        <v>16.859530948354692</v>
      </c>
      <c r="DN119" s="172">
        <f ca="1">(VLOOKUP(DN$72,INDIRECT($C$5&amp;"生成成长"),2))/((VLOOKUP($B119,INDIRECT($B$5&amp;"生成成长"),4))/(VLOOKUP(DN$72,INDIRECT($C$5&amp;"生成成长"),5))*(VLOOKUP($B$5,标准坦克设计!$B$24:$U$30,MATCH("对"&amp;LEFT($C$5,2)&amp;"输出",标准坦克设计!$B$23:$U$23,0)))*(VLOOKUP($B119,INDIRECT($B$5&amp;"生成成长"),3))*(VLOOKUP($B$5,标准坦克设计!$B$14:$K$20,9)/30))</f>
        <v>18.627887613230868</v>
      </c>
      <c r="DO119" s="172">
        <f ca="1">(VLOOKUP(DO$72,INDIRECT($C$5&amp;"生成成长"),2))/((VLOOKUP($B119,INDIRECT($B$5&amp;"生成成长"),4))/(VLOOKUP(DO$72,INDIRECT($C$5&amp;"生成成长"),5))*(VLOOKUP($B$5,标准坦克设计!$B$24:$U$30,MATCH("对"&amp;LEFT($C$5,2)&amp;"输出",标准坦克设计!$B$23:$U$23,0)))*(VLOOKUP($B119,INDIRECT($B$5&amp;"生成成长"),3))*(VLOOKUP($B$5,标准坦克设计!$B$14:$K$20,9)/30))</f>
        <v>20.484417186605022</v>
      </c>
      <c r="DP119" s="172">
        <f ca="1">(VLOOKUP(DP$72,INDIRECT($C$5&amp;"生成成长"),2))/((VLOOKUP($B119,INDIRECT($B$5&amp;"生成成长"),4))/(VLOOKUP(DP$72,INDIRECT($C$5&amp;"生成成长"),5))*(VLOOKUP($B$5,标准坦克设计!$B$24:$U$30,MATCH("对"&amp;LEFT($C$5,2)&amp;"输出",标准坦克设计!$B$23:$U$23,0)))*(VLOOKUP($B119,INDIRECT($B$5&amp;"生成成长"),3))*(VLOOKUP($B$5,标准坦克设计!$B$14:$K$20,9)/30))</f>
        <v>22.429119668477156</v>
      </c>
      <c r="DQ119" s="172">
        <f ca="1">(VLOOKUP(DQ$72,INDIRECT($C$5&amp;"生成成长"),2))/((VLOOKUP($B119,INDIRECT($B$5&amp;"生成成长"),4))/(VLOOKUP(DQ$72,INDIRECT($C$5&amp;"生成成长"),5))*(VLOOKUP($B$5,标准坦克设计!$B$24:$U$30,MATCH("对"&amp;LEFT($C$5,2)&amp;"输出",标准坦克设计!$B$23:$U$23,0)))*(VLOOKUP($B119,INDIRECT($B$5&amp;"生成成长"),3))*(VLOOKUP($B$5,标准坦克设计!$B$14:$K$20,9)/30))</f>
        <v>24.461995058847283</v>
      </c>
      <c r="DR119" s="172">
        <f ca="1">(VLOOKUP(DR$72,INDIRECT($C$5&amp;"生成成长"),2))/((VLOOKUP($B119,INDIRECT($B$5&amp;"生成成长"),4))/(VLOOKUP(DR$72,INDIRECT($C$5&amp;"生成成长"),5))*(VLOOKUP($B$5,标准坦克设计!$B$24:$U$30,MATCH("对"&amp;LEFT($C$5,2)&amp;"输出",标准坦克设计!$B$23:$U$23,0)))*(VLOOKUP($B119,INDIRECT($B$5&amp;"生成成长"),3))*(VLOOKUP($B$5,标准坦克设计!$B$14:$K$20,9)/30))</f>
        <v>26.583043357715383</v>
      </c>
      <c r="DS119" s="172">
        <f ca="1">(VLOOKUP(DS$72,INDIRECT($C$5&amp;"生成成长"),2))/((VLOOKUP($B119,INDIRECT($B$5&amp;"生成成长"),4))/(VLOOKUP(DS$72,INDIRECT($C$5&amp;"生成成长"),5))*(VLOOKUP($B$5,标准坦克设计!$B$24:$U$30,MATCH("对"&amp;LEFT($C$5,2)&amp;"输出",标准坦克设计!$B$23:$U$23,0)))*(VLOOKUP($B119,INDIRECT($B$5&amp;"生成成长"),3))*(VLOOKUP($B$5,标准坦克设计!$B$14:$K$20,9)/30))</f>
        <v>28.79226456508146</v>
      </c>
      <c r="DT119" s="172">
        <f ca="1">(VLOOKUP(DT$72,INDIRECT($C$5&amp;"生成成长"),2))/((VLOOKUP($B119,INDIRECT($B$5&amp;"生成成长"),4))/(VLOOKUP(DT$72,INDIRECT($C$5&amp;"生成成长"),5))*(VLOOKUP($B$5,标准坦克设计!$B$24:$U$30,MATCH("对"&amp;LEFT($C$5,2)&amp;"输出",标准坦克设计!$B$23:$U$23,0)))*(VLOOKUP($B119,INDIRECT($B$5&amp;"生成成长"),3))*(VLOOKUP($B$5,标准坦克设计!$B$14:$K$20,9)/30))</f>
        <v>31.612164805377997</v>
      </c>
      <c r="DU119" s="172">
        <f ca="1">(VLOOKUP(DU$72,INDIRECT($C$5&amp;"生成成长"),2))/((VLOOKUP($B119,INDIRECT($B$5&amp;"生成成长"),4))/(VLOOKUP(DU$72,INDIRECT($C$5&amp;"生成成长"),5))*(VLOOKUP($B$5,标准坦克设计!$B$24:$U$30,MATCH("对"&amp;LEFT($C$5,2)&amp;"输出",标准坦克设计!$B$23:$U$23,0)))*(VLOOKUP($B119,INDIRECT($B$5&amp;"生成成长"),3))*(VLOOKUP($B$5,标准坦克设计!$B$14:$K$20,9)/30))</f>
        <v>34.56378013120856</v>
      </c>
      <c r="DV119" s="172">
        <f ca="1">(VLOOKUP(DV$72,INDIRECT($C$5&amp;"生成成长"),2))/((VLOOKUP($B119,INDIRECT($B$5&amp;"生成成长"),4))/(VLOOKUP(DV$72,INDIRECT($C$5&amp;"生成成长"),5))*(VLOOKUP($B$5,标准坦克设计!$B$24:$U$30,MATCH("对"&amp;LEFT($C$5,2)&amp;"输出",标准坦克设计!$B$23:$U$23,0)))*(VLOOKUP($B119,INDIRECT($B$5&amp;"生成成长"),3))*(VLOOKUP($B$5,标准坦克设计!$B$14:$K$20,9)/30))</f>
        <v>37.647110542573152</v>
      </c>
      <c r="DW119" s="172">
        <f ca="1">(VLOOKUP(DW$72,INDIRECT($C$5&amp;"生成成长"),2))/((VLOOKUP($B119,INDIRECT($B$5&amp;"生成成长"),4))/(VLOOKUP(DW$72,INDIRECT($C$5&amp;"生成成长"),5))*(VLOOKUP($B$5,标准坦克设计!$B$24:$U$30,MATCH("对"&amp;LEFT($C$5,2)&amp;"输出",标准坦克设计!$B$23:$U$23,0)))*(VLOOKUP($B119,INDIRECT($B$5&amp;"生成成长"),3))*(VLOOKUP($B$5,标准坦克设计!$B$14:$K$20,9)/30))</f>
        <v>40.862156039471742</v>
      </c>
      <c r="DX119" s="172">
        <f ca="1">(VLOOKUP(DX$72,INDIRECT($C$5&amp;"生成成长"),2))/((VLOOKUP($B119,INDIRECT($B$5&amp;"生成成长"),4))/(VLOOKUP(DX$72,INDIRECT($C$5&amp;"生成成长"),5))*(VLOOKUP($B$5,标准坦克设计!$B$24:$U$30,MATCH("对"&amp;LEFT($C$5,2)&amp;"输出",标准坦克设计!$B$23:$U$23,0)))*(VLOOKUP($B119,INDIRECT($B$5&amp;"生成成长"),3))*(VLOOKUP($B$5,标准坦克设计!$B$14:$K$20,9)/30))</f>
        <v>44.208916621904379</v>
      </c>
      <c r="DY119" s="172">
        <f ca="1">(VLOOKUP(DY$72,INDIRECT($C$5&amp;"生成成长"),2))/((VLOOKUP($B119,INDIRECT($B$5&amp;"生成成长"),4))/(VLOOKUP(DY$72,INDIRECT($C$5&amp;"生成成长"),5))*(VLOOKUP($B$5,标准坦克设计!$B$24:$U$30,MATCH("对"&amp;LEFT($C$5,2)&amp;"输出",标准坦克设计!$B$23:$U$23,0)))*(VLOOKUP($B119,INDIRECT($B$5&amp;"生成成长"),3))*(VLOOKUP($B$5,标准坦克设计!$B$14:$K$20,9)/30))</f>
        <v>19.855777005647194</v>
      </c>
      <c r="DZ119" s="172">
        <f ca="1">(VLOOKUP(DZ$72,INDIRECT($C$5&amp;"生成成长"),2))/((VLOOKUP($B119,INDIRECT($B$5&amp;"生成成长"),4))/(VLOOKUP(DZ$72,INDIRECT($C$5&amp;"生成成长"),5))*(VLOOKUP($B$5,标准坦克设计!$B$24:$U$30,MATCH("对"&amp;LEFT($C$5,2)&amp;"输出",标准坦克设计!$B$23:$U$23,0)))*(VLOOKUP($B119,INDIRECT($B$5&amp;"生成成长"),3))*(VLOOKUP($B$5,标准坦克设计!$B$14:$K$20,9)/30))</f>
        <v>21.989343680413157</v>
      </c>
      <c r="EA119" s="172">
        <f ca="1">(VLOOKUP(EA$72,INDIRECT($C$5&amp;"生成成长"),2))/((VLOOKUP($B119,INDIRECT($B$5&amp;"生成成长"),4))/(VLOOKUP(EA$72,INDIRECT($C$5&amp;"生成成长"),5))*(VLOOKUP($B$5,标准坦克设计!$B$24:$U$30,MATCH("对"&amp;LEFT($C$5,2)&amp;"输出",标准坦克设计!$B$23:$U$23,0)))*(VLOOKUP($B119,INDIRECT($B$5&amp;"生成成长"),3))*(VLOOKUP($B$5,标准坦克设计!$B$14:$K$20,9)/30))</f>
        <v>24.231765797769221</v>
      </c>
      <c r="EB119" s="172">
        <f ca="1">(VLOOKUP(EB$72,INDIRECT($C$5&amp;"生成成长"),2))/((VLOOKUP($B119,INDIRECT($B$5&amp;"生成成长"),4))/(VLOOKUP(EB$72,INDIRECT($C$5&amp;"生成成长"),5))*(VLOOKUP($B$5,标准坦克设计!$B$24:$U$30,MATCH("对"&amp;LEFT($C$5,2)&amp;"输出",标准坦克设计!$B$23:$U$23,0)))*(VLOOKUP($B119,INDIRECT($B$5&amp;"生成成长"),3))*(VLOOKUP($B$5,标准坦克设计!$B$14:$K$20,9)/30))</f>
        <v>26.583043357715383</v>
      </c>
      <c r="EC119" s="172">
        <f ca="1">(VLOOKUP(EC$72,INDIRECT($C$5&amp;"生成成长"),2))/((VLOOKUP($B119,INDIRECT($B$5&amp;"生成成长"),4))/(VLOOKUP(EC$72,INDIRECT($C$5&amp;"生成成长"),5))*(VLOOKUP($B$5,标准坦克设计!$B$24:$U$30,MATCH("对"&amp;LEFT($C$5,2)&amp;"输出",标准坦克设计!$B$23:$U$23,0)))*(VLOOKUP($B119,INDIRECT($B$5&amp;"生成成长"),3))*(VLOOKUP($B$5,标准坦克设计!$B$14:$K$20,9)/30))</f>
        <v>29.043176360251639</v>
      </c>
      <c r="ED119" s="172">
        <f ca="1">(VLOOKUP(ED$72,INDIRECT($C$5&amp;"生成成长"),2))/((VLOOKUP($B119,INDIRECT($B$5&amp;"生成成长"),4))/(VLOOKUP(ED$72,INDIRECT($C$5&amp;"生成成长"),5))*(VLOOKUP($B$5,标准坦克设计!$B$24:$U$30,MATCH("对"&amp;LEFT($C$5,2)&amp;"输出",标准坦克设计!$B$23:$U$23,0)))*(VLOOKUP($B119,INDIRECT($B$5&amp;"生成成长"),3))*(VLOOKUP($B$5,标准坦克设计!$B$14:$K$20,9)/30))</f>
        <v>31.612164805377997</v>
      </c>
      <c r="EE119" s="172">
        <f ca="1">(VLOOKUP(EE$72,INDIRECT($C$5&amp;"生成成长"),2))/((VLOOKUP($B119,INDIRECT($B$5&amp;"生成成长"),4))/(VLOOKUP(EE$72,INDIRECT($C$5&amp;"生成成长"),5))*(VLOOKUP($B$5,标准坦克设计!$B$24:$U$30,MATCH("对"&amp;LEFT($C$5,2)&amp;"输出",标准坦克设计!$B$23:$U$23,0)))*(VLOOKUP($B119,INDIRECT($B$5&amp;"生成成长"),3))*(VLOOKUP($B$5,标准坦克设计!$B$14:$K$20,9)/30))</f>
        <v>34.290008693094457</v>
      </c>
      <c r="EF119" s="172">
        <f ca="1">(VLOOKUP(EF$72,INDIRECT($C$5&amp;"生成成长"),2))/((VLOOKUP($B119,INDIRECT($B$5&amp;"生成成长"),4))/(VLOOKUP(EF$72,INDIRECT($C$5&amp;"生成成长"),5))*(VLOOKUP($B$5,标准坦克设计!$B$24:$U$30,MATCH("对"&amp;LEFT($C$5,2)&amp;"输出",标准坦克设计!$B$23:$U$23,0)))*(VLOOKUP($B119,INDIRECT($B$5&amp;"生成成长"),3))*(VLOOKUP($B$5,标准坦克设计!$B$14:$K$20,9)/30))</f>
        <v>37.076708023401025</v>
      </c>
      <c r="EG119" s="172">
        <f ca="1">(VLOOKUP(EG$72,INDIRECT($C$5&amp;"生成成长"),2))/((VLOOKUP($B119,INDIRECT($B$5&amp;"生成成长"),4))/(VLOOKUP(EG$72,INDIRECT($C$5&amp;"生成成长"),5))*(VLOOKUP($B$5,标准坦克设计!$B$24:$U$30,MATCH("对"&amp;LEFT($C$5,2)&amp;"输出",标准坦克设计!$B$23:$U$23,0)))*(VLOOKUP($B119,INDIRECT($B$5&amp;"生成成长"),3))*(VLOOKUP($B$5,标准坦克设计!$B$14:$K$20,9)/30))</f>
        <v>39.972262796297692</v>
      </c>
      <c r="EH119" s="172">
        <f ca="1">(VLOOKUP(EH$72,INDIRECT($C$5&amp;"生成成长"),2))/((VLOOKUP($B119,INDIRECT($B$5&amp;"生成成长"),4))/(VLOOKUP(EH$72,INDIRECT($C$5&amp;"生成成长"),5))*(VLOOKUP($B$5,标准坦克设计!$B$24:$U$30,MATCH("对"&amp;LEFT($C$5,2)&amp;"输出",标准坦克设计!$B$23:$U$23,0)))*(VLOOKUP($B119,INDIRECT($B$5&amp;"生成成长"),3))*(VLOOKUP($B$5,标准坦克设计!$B$14:$K$20,9)/30))</f>
        <v>42.976673011784449</v>
      </c>
      <c r="EI119" s="172">
        <f ca="1">(VLOOKUP(EI$72,INDIRECT($C$5&amp;"生成成长"),2))/((VLOOKUP($B119,INDIRECT($B$5&amp;"生成成长"),4))/(VLOOKUP(EI$72,INDIRECT($C$5&amp;"生成成长"),5))*(VLOOKUP($B$5,标准坦克设计!$B$24:$U$30,MATCH("对"&amp;LEFT($C$5,2)&amp;"输出",标准坦克设计!$B$23:$U$23,0)))*(VLOOKUP($B119,INDIRECT($B$5&amp;"生成成长"),3))*(VLOOKUP($B$5,标准坦克设计!$B$14:$K$20,9)/30))</f>
        <v>46.089938669861304</v>
      </c>
      <c r="EJ119" s="172">
        <f ca="1">(VLOOKUP(EJ$72,INDIRECT($C$5&amp;"生成成长"),2))/((VLOOKUP($B119,INDIRECT($B$5&amp;"生成成长"),4))/(VLOOKUP(EJ$72,INDIRECT($C$5&amp;"生成成长"),5))*(VLOOKUP($B$5,标准坦克设计!$B$24:$U$30,MATCH("对"&amp;LEFT($C$5,2)&amp;"输出",标准坦克设计!$B$23:$U$23,0)))*(VLOOKUP($B119,INDIRECT($B$5&amp;"生成成长"),3))*(VLOOKUP($B$5,标准坦克设计!$B$14:$K$20,9)/30))</f>
        <v>49.312059770528258</v>
      </c>
      <c r="EK119" s="172">
        <f ca="1">(VLOOKUP(EK$72,INDIRECT($C$5&amp;"生成成长"),2))/((VLOOKUP($B119,INDIRECT($B$5&amp;"生成成长"),4))/(VLOOKUP(EK$72,INDIRECT($C$5&amp;"生成成长"),5))*(VLOOKUP($B$5,标准坦克设计!$B$24:$U$30,MATCH("对"&amp;LEFT($C$5,2)&amp;"输出",标准坦克设计!$B$23:$U$23,0)))*(VLOOKUP($B119,INDIRECT($B$5&amp;"生成成长"),3))*(VLOOKUP($B$5,标准坦克设计!$B$14:$K$20,9)/30))</f>
        <v>53.322294275547549</v>
      </c>
      <c r="EL119" s="172">
        <f ca="1">(VLOOKUP(EL$72,INDIRECT($C$5&amp;"生成成长"),2))/((VLOOKUP($B119,INDIRECT($B$5&amp;"生成成长"),4))/(VLOOKUP(EL$72,INDIRECT($C$5&amp;"生成成长"),5))*(VLOOKUP($B$5,标准坦克设计!$B$24:$U$30,MATCH("对"&amp;LEFT($C$5,2)&amp;"输出",标准坦克设计!$B$23:$U$23,0)))*(VLOOKUP($B119,INDIRECT($B$5&amp;"生成成长"),3))*(VLOOKUP($B$5,标准坦克设计!$B$14:$K$20,9)/30))</f>
        <v>57.489280617896583</v>
      </c>
      <c r="EM119" s="172">
        <f ca="1">(VLOOKUP(EM$72,INDIRECT($C$5&amp;"生成成长"),2))/((VLOOKUP($B119,INDIRECT($B$5&amp;"生成成长"),4))/(VLOOKUP(EM$72,INDIRECT($C$5&amp;"生成成长"),5))*(VLOOKUP($B$5,标准坦克设计!$B$24:$U$30,MATCH("对"&amp;LEFT($C$5,2)&amp;"输出",标准坦克设计!$B$23:$U$23,0)))*(VLOOKUP($B119,INDIRECT($B$5&amp;"生成成长"),3))*(VLOOKUP($B$5,标准坦克设计!$B$14:$K$20,9)/30))</f>
        <v>61.813018797575353</v>
      </c>
      <c r="EN119" s="172">
        <f ca="1">(VLOOKUP(EN$72,INDIRECT($C$5&amp;"生成成长"),2))/((VLOOKUP($B119,INDIRECT($B$5&amp;"生成成长"),4))/(VLOOKUP(EN$72,INDIRECT($C$5&amp;"生成成长"),5))*(VLOOKUP($B$5,标准坦克设计!$B$24:$U$30,MATCH("对"&amp;LEFT($C$5,2)&amp;"输出",标准坦克设计!$B$23:$U$23,0)))*(VLOOKUP($B119,INDIRECT($B$5&amp;"生成成长"),3))*(VLOOKUP($B$5,标准坦克设计!$B$14:$K$20,9)/30))</f>
        <v>66.293508814583873</v>
      </c>
      <c r="EO119" s="172">
        <f ca="1">(VLOOKUP(EO$72,INDIRECT($C$5&amp;"生成成长"),2))/((VLOOKUP($B119,INDIRECT($B$5&amp;"生成成长"),4))/(VLOOKUP(EO$72,INDIRECT($C$5&amp;"生成成长"),5))*(VLOOKUP($B$5,标准坦克设计!$B$24:$U$30,MATCH("对"&amp;LEFT($C$5,2)&amp;"输出",标准坦克设计!$B$23:$U$23,0)))*(VLOOKUP($B119,INDIRECT($B$5&amp;"生成成长"),3))*(VLOOKUP($B$5,标准坦克设计!$B$14:$K$20,9)/30))</f>
        <v>70.93075066892213</v>
      </c>
      <c r="EP119" s="172">
        <f ca="1">(VLOOKUP(EP$72,INDIRECT($C$5&amp;"生成成长"),2))/((VLOOKUP($B119,INDIRECT($B$5&amp;"生成成长"),4))/(VLOOKUP(EP$72,INDIRECT($C$5&amp;"生成成长"),5))*(VLOOKUP($B$5,标准坦克设计!$B$24:$U$30,MATCH("对"&amp;LEFT($C$5,2)&amp;"输出",标准坦克设计!$B$23:$U$23,0)))*(VLOOKUP($B119,INDIRECT($B$5&amp;"生成成长"),3))*(VLOOKUP($B$5,标准坦克设计!$B$14:$K$20,9)/30))</f>
        <v>75.724744360590122</v>
      </c>
      <c r="EQ119" s="172">
        <f ca="1">(VLOOKUP(EQ$72,INDIRECT($C$5&amp;"生成成长"),2))/((VLOOKUP($B119,INDIRECT($B$5&amp;"生成成长"),4))/(VLOOKUP(EQ$72,INDIRECT($C$5&amp;"生成成长"),5))*(VLOOKUP($B$5,标准坦克设计!$B$24:$U$30,MATCH("对"&amp;LEFT($C$5,2)&amp;"输出",标准坦克设计!$B$23:$U$23,0)))*(VLOOKUP($B119,INDIRECT($B$5&amp;"生成成长"),3))*(VLOOKUP($B$5,标准坦克设计!$B$14:$K$20,9)/30))</f>
        <v>33.475225705307565</v>
      </c>
      <c r="ER119" s="172">
        <f ca="1">(VLOOKUP(ER$72,INDIRECT($C$5&amp;"生成成长"),2))/((VLOOKUP($B119,INDIRECT($B$5&amp;"生成成长"),4))/(VLOOKUP(ER$72,INDIRECT($C$5&amp;"生成成长"),5))*(VLOOKUP($B$5,标准坦克设计!$B$24:$U$30,MATCH("对"&amp;LEFT($C$5,2)&amp;"输出",标准坦克设计!$B$23:$U$23,0)))*(VLOOKUP($B119,INDIRECT($B$5&amp;"生成成长"),3))*(VLOOKUP($B$5,标准坦克设计!$B$14:$K$20,9)/30))</f>
        <v>36.510659721932505</v>
      </c>
      <c r="ES119" s="172">
        <f ca="1">(VLOOKUP(ES$72,INDIRECT($C$5&amp;"生成成长"),2))/((VLOOKUP($B119,INDIRECT($B$5&amp;"生成成长"),4))/(VLOOKUP(ES$72,INDIRECT($C$5&amp;"生成成长"),5))*(VLOOKUP($B$5,标准坦克设计!$B$24:$U$30,MATCH("对"&amp;LEFT($C$5,2)&amp;"输出",标准坦克设计!$B$23:$U$23,0)))*(VLOOKUP($B119,INDIRECT($B$5&amp;"生成成长"),3))*(VLOOKUP($B$5,标准坦克设计!$B$14:$K$20,9)/30))</f>
        <v>39.677808824091457</v>
      </c>
      <c r="ET119" s="172">
        <f ca="1">(VLOOKUP(ET$72,INDIRECT($C$5&amp;"生成成长"),2))/((VLOOKUP($B119,INDIRECT($B$5&amp;"生成成长"),4))/(VLOOKUP(ET$72,INDIRECT($C$5&amp;"生成成长"),5))*(VLOOKUP($B$5,标准坦克设计!$B$24:$U$30,MATCH("对"&amp;LEFT($C$5,2)&amp;"输出",标准坦克设计!$B$23:$U$23,0)))*(VLOOKUP($B119,INDIRECT($B$5&amp;"生成成长"),3))*(VLOOKUP($B$5,标准坦克设计!$B$14:$K$20,9)/30))</f>
        <v>42.976673011784449</v>
      </c>
      <c r="EU119" s="172">
        <f ca="1">(VLOOKUP(EU$72,INDIRECT($C$5&amp;"生成成长"),2))/((VLOOKUP($B119,INDIRECT($B$5&amp;"生成成长"),4))/(VLOOKUP(EU$72,INDIRECT($C$5&amp;"生成成长"),5))*(VLOOKUP($B$5,标准坦克设计!$B$24:$U$30,MATCH("对"&amp;LEFT($C$5,2)&amp;"输出",标准坦克设计!$B$23:$U$23,0)))*(VLOOKUP($B119,INDIRECT($B$5&amp;"生成成长"),3))*(VLOOKUP($B$5,标准坦克设计!$B$14:$K$20,9)/30))</f>
        <v>46.407252285011445</v>
      </c>
      <c r="EV119" s="172">
        <f ca="1">(VLOOKUP(EV$72,INDIRECT($C$5&amp;"生成成长"),2))/((VLOOKUP($B119,INDIRECT($B$5&amp;"生成成长"),4))/(VLOOKUP(EV$72,INDIRECT($C$5&amp;"生成成长"),5))*(VLOOKUP($B$5,标准坦克设计!$B$24:$U$30,MATCH("对"&amp;LEFT($C$5,2)&amp;"输出",标准坦克设计!$B$23:$U$23,0)))*(VLOOKUP($B119,INDIRECT($B$5&amp;"生成成长"),3))*(VLOOKUP($B$5,标准坦克设计!$B$14:$K$20,9)/30))</f>
        <v>49.969546643772475</v>
      </c>
      <c r="EW119" s="172">
        <f ca="1">(VLOOKUP(EW$72,INDIRECT($C$5&amp;"生成成长"),2))/((VLOOKUP($B119,INDIRECT($B$5&amp;"生成成长"),4))/(VLOOKUP(EW$72,INDIRECT($C$5&amp;"生成成长"),5))*(VLOOKUP($B$5,标准坦克设计!$B$24:$U$30,MATCH("对"&amp;LEFT($C$5,2)&amp;"输出",标准坦克设计!$B$23:$U$23,0)))*(VLOOKUP($B119,INDIRECT($B$5&amp;"生成成长"),3))*(VLOOKUP($B$5,标准坦克设计!$B$14:$K$20,9)/30))</f>
        <v>53.663556088067509</v>
      </c>
      <c r="EX119" s="172">
        <f ca="1">(VLOOKUP(EX$72,INDIRECT($C$5&amp;"生成成长"),2))/((VLOOKUP($B119,INDIRECT($B$5&amp;"生成成长"),4))/(VLOOKUP(EX$72,INDIRECT($C$5&amp;"生成成长"),5))*(VLOOKUP($B$5,标准坦克设计!$B$24:$U$30,MATCH("对"&amp;LEFT($C$5,2)&amp;"输出",标准坦克设计!$B$23:$U$23,0)))*(VLOOKUP($B119,INDIRECT($B$5&amp;"生成成长"),3))*(VLOOKUP($B$5,标准坦克设计!$B$14:$K$20,9)/30))</f>
        <v>57.489280617896583</v>
      </c>
      <c r="EY119" s="172">
        <f ca="1">(VLOOKUP(EY$72,INDIRECT($C$5&amp;"生成成长"),2))/((VLOOKUP($B119,INDIRECT($B$5&amp;"生成成长"),4))/(VLOOKUP(EY$72,INDIRECT($C$5&amp;"生成成长"),5))*(VLOOKUP($B$5,标准坦克设计!$B$24:$U$30,MATCH("对"&amp;LEFT($C$5,2)&amp;"输出",标准坦克设计!$B$23:$U$23,0)))*(VLOOKUP($B119,INDIRECT($B$5&amp;"生成成长"),3))*(VLOOKUP($B$5,标准坦克设计!$B$14:$K$20,9)/30))</f>
        <v>61.446720233259668</v>
      </c>
      <c r="EZ119" s="172">
        <f ca="1">(VLOOKUP(EZ$72,INDIRECT($C$5&amp;"生成成长"),2))/((VLOOKUP($B119,INDIRECT($B$5&amp;"生成成长"),4))/(VLOOKUP(EZ$72,INDIRECT($C$5&amp;"生成成长"),5))*(VLOOKUP($B$5,标准坦克设计!$B$24:$U$30,MATCH("对"&amp;LEFT($C$5,2)&amp;"输出",标准坦克设计!$B$23:$U$23,0)))*(VLOOKUP($B119,INDIRECT($B$5&amp;"生成成长"),3))*(VLOOKUP($B$5,标准坦克设计!$B$14:$K$20,9)/30))</f>
        <v>65.535874934156766</v>
      </c>
      <c r="FA119" s="172">
        <f ca="1">(VLOOKUP(FA$72,INDIRECT($C$5&amp;"生成成长"),2))/((VLOOKUP($B119,INDIRECT($B$5&amp;"生成成长"),4))/(VLOOKUP(FA$72,INDIRECT($C$5&amp;"生成成长"),5))*(VLOOKUP($B$5,标准坦克设计!$B$24:$U$30,MATCH("对"&amp;LEFT($C$5,2)&amp;"输出",标准坦克设计!$B$23:$U$23,0)))*(VLOOKUP($B119,INDIRECT($B$5&amp;"生成成长"),3))*(VLOOKUP($B$5,标准坦克设计!$B$14:$K$20,9)/30))</f>
        <v>69.756744720587889</v>
      </c>
      <c r="FB119" s="172">
        <f ca="1">(VLOOKUP(FB$72,INDIRECT($C$5&amp;"生成成长"),2))/((VLOOKUP($B119,INDIRECT($B$5&amp;"生成成长"),4))/(VLOOKUP(FB$72,INDIRECT($C$5&amp;"生成成长"),5))*(VLOOKUP($B$5,标准坦克设计!$B$24:$U$30,MATCH("对"&amp;LEFT($C$5,2)&amp;"输出",标准坦克设计!$B$23:$U$23,0)))*(VLOOKUP($B119,INDIRECT($B$5&amp;"生成成长"),3))*(VLOOKUP($B$5,标准坦克设计!$B$14:$K$20,9)/30))</f>
        <v>74.109329592553053</v>
      </c>
      <c r="FC119" s="172">
        <f ca="1">(VLOOKUP(FC$72,INDIRECT($C$5&amp;"生成成长"),2))/((VLOOKUP($B119,INDIRECT($B$5&amp;"生成成长"),4))/(VLOOKUP(FC$72,INDIRECT($C$5&amp;"生成成长"),5))*(VLOOKUP($B$5,标准坦克设计!$B$24:$U$30,MATCH("对"&amp;LEFT($C$5,2)&amp;"输出",标准坦克设计!$B$23:$U$23,0)))*(VLOOKUP($B119,INDIRECT($B$5&amp;"生成成长"),3))*(VLOOKUP($B$5,标准坦克设计!$B$14:$K$20,9)/30))</f>
        <v>78.593629550052228</v>
      </c>
      <c r="FD119" s="172">
        <f ca="1">(VLOOKUP(FD$72,INDIRECT($C$5&amp;"生成成长"),2))/((VLOOKUP($B119,INDIRECT($B$5&amp;"生成成长"),4))/(VLOOKUP(FD$72,INDIRECT($C$5&amp;"生成成长"),5))*(VLOOKUP($B$5,标准坦克设计!$B$24:$U$30,MATCH("对"&amp;LEFT($C$5,2)&amp;"输出",标准坦克设计!$B$23:$U$23,0)))*(VLOOKUP($B119,INDIRECT($B$5&amp;"生成成长"),3))*(VLOOKUP($B$5,标准坦克设计!$B$14:$K$20,9)/30))</f>
        <v>83.209644593085414</v>
      </c>
      <c r="FE119" s="172">
        <f ca="1">(VLOOKUP(FE$72,INDIRECT($C$5&amp;"生成成长"),2))/((VLOOKUP($B119,INDIRECT($B$5&amp;"生成成长"),4))/(VLOOKUP(FE$72,INDIRECT($C$5&amp;"生成成长"),5))*(VLOOKUP($B$5,标准坦克设计!$B$24:$U$30,MATCH("对"&amp;LEFT($C$5,2)&amp;"输出",标准坦克设计!$B$23:$U$23,0)))*(VLOOKUP($B119,INDIRECT($B$5&amp;"生成成长"),3))*(VLOOKUP($B$5,标准坦克设计!$B$14:$K$20,9)/30))</f>
        <v>88.83474958892883</v>
      </c>
      <c r="FF119" s="172">
        <f ca="1">(VLOOKUP(FF$72,INDIRECT($C$5&amp;"生成成长"),2))/((VLOOKUP($B119,INDIRECT($B$5&amp;"生成成长"),4))/(VLOOKUP(FF$72,INDIRECT($C$5&amp;"生成成长"),5))*(VLOOKUP($B$5,标准坦克设计!$B$24:$U$30,MATCH("对"&amp;LEFT($C$5,2)&amp;"输出",标准坦克设计!$B$23:$U$23,0)))*(VLOOKUP($B119,INDIRECT($B$5&amp;"生成成长"),3))*(VLOOKUP($B$5,标准坦克设计!$B$14:$K$20,9)/30))</f>
        <v>94.643820282749516</v>
      </c>
      <c r="FG119" s="172">
        <f ca="1">(VLOOKUP(FG$72,INDIRECT($C$5&amp;"生成成长"),2))/((VLOOKUP($B119,INDIRECT($B$5&amp;"生成成长"),4))/(VLOOKUP(FG$72,INDIRECT($C$5&amp;"生成成长"),5))*(VLOOKUP($B$5,标准坦克设计!$B$24:$U$30,MATCH("对"&amp;LEFT($C$5,2)&amp;"输出",标准坦克设计!$B$23:$U$23,0)))*(VLOOKUP($B119,INDIRECT($B$5&amp;"生成成长"),3))*(VLOOKUP($B$5,标准坦克设计!$B$14:$K$20,9)/30))</f>
        <v>100.63685667454749</v>
      </c>
      <c r="FH119" s="172">
        <f ca="1">(VLOOKUP(FH$72,INDIRECT($C$5&amp;"生成成长"),2))/((VLOOKUP($B119,INDIRECT($B$5&amp;"生成成长"),4))/(VLOOKUP(FH$72,INDIRECT($C$5&amp;"生成成长"),5))*(VLOOKUP($B$5,标准坦克设计!$B$24:$U$30,MATCH("对"&amp;LEFT($C$5,2)&amp;"输出",标准坦克设计!$B$23:$U$23,0)))*(VLOOKUP($B119,INDIRECT($B$5&amp;"生成成长"),3))*(VLOOKUP($B$5,标准坦克设计!$B$14:$K$20,9)/30))</f>
        <v>106.81385876432272</v>
      </c>
      <c r="FI119" s="172">
        <f ca="1">(VLOOKUP(FI$72,INDIRECT($C$5&amp;"生成成长"),2))/((VLOOKUP($B119,INDIRECT($B$5&amp;"生成成长"),4))/(VLOOKUP(FI$72,INDIRECT($C$5&amp;"生成成长"),5))*(VLOOKUP($B$5,标准坦克设计!$B$24:$U$30,MATCH("对"&amp;LEFT($C$5,2)&amp;"输出",标准坦克设计!$B$23:$U$23,0)))*(VLOOKUP($B119,INDIRECT($B$5&amp;"生成成长"),3))*(VLOOKUP($B$5,标准坦克设计!$B$14:$K$20,9)/30))</f>
        <v>113.17482655207517</v>
      </c>
      <c r="FJ119" s="172">
        <f ca="1">(VLOOKUP(FJ$72,INDIRECT($C$5&amp;"生成成长"),2))/((VLOOKUP($B119,INDIRECT($B$5&amp;"生成成长"),4))/(VLOOKUP(FJ$72,INDIRECT($C$5&amp;"生成成长"),5))*(VLOOKUP($B$5,标准坦克设计!$B$24:$U$30,MATCH("对"&amp;LEFT($C$5,2)&amp;"输出",标准坦克设计!$B$23:$U$23,0)))*(VLOOKUP($B119,INDIRECT($B$5&amp;"生成成长"),3))*(VLOOKUP($B$5,标准坦克设计!$B$14:$K$20,9)/30))</f>
        <v>119.71976003780497</v>
      </c>
      <c r="FK119" s="172">
        <f ca="1">(VLOOKUP(FK$72,INDIRECT($C$5&amp;"生成成长"),2))/((VLOOKUP($B119,INDIRECT($B$5&amp;"生成成长"),4))/(VLOOKUP(FK$72,INDIRECT($C$5&amp;"生成成长"),5))*(VLOOKUP($B$5,标准坦克设计!$B$24:$U$30,MATCH("对"&amp;LEFT($C$5,2)&amp;"输出",标准坦克设计!$B$23:$U$23,0)))*(VLOOKUP($B119,INDIRECT($B$5&amp;"生成成长"),3))*(VLOOKUP($B$5,标准坦克设计!$B$14:$K$20,9)/30))</f>
        <v>126.44865922151199</v>
      </c>
    </row>
    <row r="120" spans="1:167" x14ac:dyDescent="0.15">
      <c r="A120" s="170" t="str">
        <f t="shared" si="11"/>
        <v>T2中品质3级</v>
      </c>
      <c r="B120" s="171">
        <v>20203</v>
      </c>
      <c r="C120" s="172">
        <f ca="1">(VLOOKUP(C$72,INDIRECT($C$5&amp;"生成成长"),2))/((VLOOKUP($B120,INDIRECT($B$5&amp;"生成成长"),4))/(VLOOKUP(C$72,INDIRECT($C$5&amp;"生成成长"),5))*(VLOOKUP($B$5,标准坦克设计!$B$24:$U$30,MATCH("对"&amp;LEFT($C$5,2)&amp;"输出",标准坦克设计!$B$23:$U$23,0)))*(VLOOKUP($B120,INDIRECT($B$5&amp;"生成成长"),3))*(VLOOKUP($B$5,标准坦克设计!$B$14:$K$20,9)/30))</f>
        <v>4.8116355220652709</v>
      </c>
      <c r="D120" s="172">
        <f ca="1">(VLOOKUP(D$72,INDIRECT($C$5&amp;"生成成长"),2))/((VLOOKUP($B120,INDIRECT($B$5&amp;"生成成长"),4))/(VLOOKUP(D$72,INDIRECT($C$5&amp;"生成成长"),5))*(VLOOKUP($B$5,标准坦克设计!$B$24:$U$30,MATCH("对"&amp;LEFT($C$5,2)&amp;"输出",标准坦克设计!$B$23:$U$23,0)))*(VLOOKUP($B120,INDIRECT($B$5&amp;"生成成长"),3))*(VLOOKUP($B$5,标准坦克设计!$B$14:$K$20,9)/30))</f>
        <v>5.4063536725925392</v>
      </c>
      <c r="E120" s="172">
        <f ca="1">(VLOOKUP(E$72,INDIRECT($C$5&amp;"生成成长"),2))/((VLOOKUP($B120,INDIRECT($B$5&amp;"生成成长"),4))/(VLOOKUP(E$72,INDIRECT($C$5&amp;"生成成长"),5))*(VLOOKUP($B$5,标准坦克设计!$B$24:$U$30,MATCH("对"&amp;LEFT($C$5,2)&amp;"输出",标准坦克设计!$B$23:$U$23,0)))*(VLOOKUP($B120,INDIRECT($B$5&amp;"生成成长"),3))*(VLOOKUP($B$5,标准坦克设计!$B$14:$K$20,9)/30))</f>
        <v>6.035715598878677</v>
      </c>
      <c r="F120" s="172">
        <f ca="1">(VLOOKUP(F$72,INDIRECT($C$5&amp;"生成成长"),2))/((VLOOKUP($B120,INDIRECT($B$5&amp;"生成成长"),4))/(VLOOKUP(F$72,INDIRECT($C$5&amp;"生成成长"),5))*(VLOOKUP($B$5,标准坦克设计!$B$24:$U$30,MATCH("对"&amp;LEFT($C$5,2)&amp;"输出",标准坦克设计!$B$23:$U$23,0)))*(VLOOKUP($B120,INDIRECT($B$5&amp;"生成成长"),3))*(VLOOKUP($B$5,标准坦克设计!$B$14:$K$20,9)/30))</f>
        <v>6.6997213009236827</v>
      </c>
      <c r="G120" s="172">
        <f ca="1">(VLOOKUP(G$72,INDIRECT($C$5&amp;"生成成长"),2))/((VLOOKUP($B120,INDIRECT($B$5&amp;"生成成长"),4))/(VLOOKUP(G$72,INDIRECT($C$5&amp;"生成成长"),5))*(VLOOKUP($B$5,标准坦克设计!$B$24:$U$30,MATCH("对"&amp;LEFT($C$5,2)&amp;"输出",标准坦克设计!$B$23:$U$23,0)))*(VLOOKUP($B120,INDIRECT($B$5&amp;"生成成长"),3))*(VLOOKUP($B$5,标准坦克设计!$B$14:$K$20,9)/30))</f>
        <v>7.3983707787275623</v>
      </c>
      <c r="H120" s="172">
        <f ca="1">(VLOOKUP(H$72,INDIRECT($C$5&amp;"生成成长"),2))/((VLOOKUP($B120,INDIRECT($B$5&amp;"生成成长"),4))/(VLOOKUP(H$72,INDIRECT($C$5&amp;"生成成长"),5))*(VLOOKUP($B$5,标准坦克设计!$B$24:$U$30,MATCH("对"&amp;LEFT($C$5,2)&amp;"输出",标准坦克设计!$B$23:$U$23,0)))*(VLOOKUP($B120,INDIRECT($B$5&amp;"生成成长"),3))*(VLOOKUP($B$5,标准坦克设计!$B$14:$K$20,9)/30))</f>
        <v>6.4745367584910287</v>
      </c>
      <c r="I120" s="172">
        <f ca="1">(VLOOKUP(I$72,INDIRECT($C$5&amp;"生成成长"),2))/((VLOOKUP($B120,INDIRECT($B$5&amp;"生成成长"),4))/(VLOOKUP(I$72,INDIRECT($C$5&amp;"生成成长"),5))*(VLOOKUP($B$5,标准坦克设计!$B$24:$U$30,MATCH("对"&amp;LEFT($C$5,2)&amp;"输出",标准坦克设计!$B$23:$U$23,0)))*(VLOOKUP($B120,INDIRECT($B$5&amp;"生成成长"),3))*(VLOOKUP($B$5,标准坦克设计!$B$14:$K$20,9)/30))</f>
        <v>7.3983707787275623</v>
      </c>
      <c r="J120" s="172">
        <f ca="1">(VLOOKUP(J$72,INDIRECT($C$5&amp;"生成成长"),2))/((VLOOKUP($B120,INDIRECT($B$5&amp;"生成成长"),4))/(VLOOKUP(J$72,INDIRECT($C$5&amp;"生成成长"),5))*(VLOOKUP($B$5,标准坦克设计!$B$24:$U$30,MATCH("对"&amp;LEFT($C$5,2)&amp;"输出",标准坦克设计!$B$23:$U$23,0)))*(VLOOKUP($B120,INDIRECT($B$5&amp;"生成成长"),3))*(VLOOKUP($B$5,标准坦克设计!$B$14:$K$20,9)/30))</f>
        <v>8.3837937336465291</v>
      </c>
      <c r="K120" s="172">
        <f ca="1">(VLOOKUP(K$72,INDIRECT($C$5&amp;"生成成长"),2))/((VLOOKUP($B120,INDIRECT($B$5&amp;"生成成长"),4))/(VLOOKUP(K$72,INDIRECT($C$5&amp;"生成成长"),5))*(VLOOKUP($B$5,标准坦克设计!$B$24:$U$30,MATCH("对"&amp;LEFT($C$5,2)&amp;"输出",标准坦克设计!$B$23:$U$23,0)))*(VLOOKUP($B120,INDIRECT($B$5&amp;"生成成长"),3))*(VLOOKUP($B$5,标准坦克设计!$B$14:$K$20,9)/30))</f>
        <v>9.4308056232479309</v>
      </c>
      <c r="L120" s="172">
        <f ca="1">(VLOOKUP(L$72,INDIRECT($C$5&amp;"生成成长"),2))/((VLOOKUP($B120,INDIRECT($B$5&amp;"生成成长"),4))/(VLOOKUP(L$72,INDIRECT($C$5&amp;"生成成长"),5))*(VLOOKUP($B$5,标准坦克设计!$B$24:$U$30,MATCH("对"&amp;LEFT($C$5,2)&amp;"输出",标准坦克设计!$B$23:$U$23,0)))*(VLOOKUP($B120,INDIRECT($B$5&amp;"生成成长"),3))*(VLOOKUP($B$5,标准坦克设计!$B$14:$K$20,9)/30))</f>
        <v>10.539406447531769</v>
      </c>
      <c r="M120" s="172">
        <f ca="1">(VLOOKUP(M$72,INDIRECT($C$5&amp;"生成成长"),2))/((VLOOKUP($B120,INDIRECT($B$5&amp;"生成成长"),4))/(VLOOKUP(M$72,INDIRECT($C$5&amp;"生成成长"),5))*(VLOOKUP($B$5,标准坦克设计!$B$24:$U$30,MATCH("对"&amp;LEFT($C$5,2)&amp;"输出",标准坦克设计!$B$23:$U$23,0)))*(VLOOKUP($B120,INDIRECT($B$5&amp;"生成成长"),3))*(VLOOKUP($B$5,标准坦克设计!$B$14:$K$20,9)/30))</f>
        <v>11.709596206498045</v>
      </c>
      <c r="N120" s="172">
        <f ca="1">(VLOOKUP(N$72,INDIRECT($C$5&amp;"生成成长"),2))/((VLOOKUP($B120,INDIRECT($B$5&amp;"生成成长"),4))/(VLOOKUP(N$72,INDIRECT($C$5&amp;"生成成长"),5))*(VLOOKUP($B$5,标准坦克设计!$B$24:$U$30,MATCH("对"&amp;LEFT($C$5,2)&amp;"输出",标准坦克设计!$B$23:$U$23,0)))*(VLOOKUP($B120,INDIRECT($B$5&amp;"生成成长"),3))*(VLOOKUP($B$5,标准坦克设计!$B$14:$K$20,9)/30))</f>
        <v>12.941374900146753</v>
      </c>
      <c r="O120" s="172">
        <f ca="1">(VLOOKUP(O$72,INDIRECT($C$5&amp;"生成成长"),2))/((VLOOKUP($B120,INDIRECT($B$5&amp;"生成成长"),4))/(VLOOKUP(O$72,INDIRECT($C$5&amp;"生成成长"),5))*(VLOOKUP($B$5,标准坦克设计!$B$24:$U$30,MATCH("对"&amp;LEFT($C$5,2)&amp;"输出",标准坦克设计!$B$23:$U$23,0)))*(VLOOKUP($B120,INDIRECT($B$5&amp;"生成成长"),3))*(VLOOKUP($B$5,标准坦克设计!$B$14:$K$20,9)/30))</f>
        <v>9.8393134790712757</v>
      </c>
      <c r="P120" s="172">
        <f ca="1">(VLOOKUP(P$72,INDIRECT($C$5&amp;"生成成长"),2))/((VLOOKUP($B120,INDIRECT($B$5&amp;"生成成长"),4))/(VLOOKUP(P$72,INDIRECT($C$5&amp;"生成成长"),5))*(VLOOKUP($B$5,标准坦克设计!$B$24:$U$30,MATCH("对"&amp;LEFT($C$5,2)&amp;"输出",标准坦克设计!$B$23:$U$23,0)))*(VLOOKUP($B120,INDIRECT($B$5&amp;"生成成长"),3))*(VLOOKUP($B$5,标准坦克设计!$B$14:$K$20,9)/30))</f>
        <v>11.116802710179602</v>
      </c>
      <c r="Q120" s="172">
        <f ca="1">(VLOOKUP(Q$72,INDIRECT($C$5&amp;"生成成长"),2))/((VLOOKUP($B120,INDIRECT($B$5&amp;"生成成长"),4))/(VLOOKUP(Q$72,INDIRECT($C$5&amp;"生成成长"),5))*(VLOOKUP($B$5,标准坦克设计!$B$24:$U$30,MATCH("对"&amp;LEFT($C$5,2)&amp;"输出",标准坦克设计!$B$23:$U$23,0)))*(VLOOKUP($B120,INDIRECT($B$5&amp;"生成成长"),3))*(VLOOKUP($B$5,标准坦克设计!$B$14:$K$20,9)/30))</f>
        <v>12.472240436745391</v>
      </c>
      <c r="R120" s="172">
        <f ca="1">(VLOOKUP(R$72,INDIRECT($C$5&amp;"生成成长"),2))/((VLOOKUP($B120,INDIRECT($B$5&amp;"生成成长"),4))/(VLOOKUP(R$72,INDIRECT($C$5&amp;"生成成长"),5))*(VLOOKUP($B$5,标准坦克设计!$B$24:$U$30,MATCH("对"&amp;LEFT($C$5,2)&amp;"输出",标准坦克设计!$B$23:$U$23,0)))*(VLOOKUP($B120,INDIRECT($B$5&amp;"生成成长"),3))*(VLOOKUP($B$5,标准坦克设计!$B$14:$K$20,9)/30))</f>
        <v>13.905626658768634</v>
      </c>
      <c r="S120" s="172">
        <f ca="1">(VLOOKUP(S$72,INDIRECT($C$5&amp;"生成成长"),2))/((VLOOKUP($B120,INDIRECT($B$5&amp;"生成成长"),4))/(VLOOKUP(S$72,INDIRECT($C$5&amp;"生成成长"),5))*(VLOOKUP($B$5,标准坦克设计!$B$24:$U$30,MATCH("对"&amp;LEFT($C$5,2)&amp;"输出",标准坦克设计!$B$23:$U$23,0)))*(VLOOKUP($B120,INDIRECT($B$5&amp;"生成成长"),3))*(VLOOKUP($B$5,标准坦克设计!$B$14:$K$20,9)/30))</f>
        <v>15.416961376249336</v>
      </c>
      <c r="T120" s="172">
        <f ca="1">(VLOOKUP(T$72,INDIRECT($C$5&amp;"生成成长"),2))/((VLOOKUP($B120,INDIRECT($B$5&amp;"生成成长"),4))/(VLOOKUP(T$72,INDIRECT($C$5&amp;"生成成长"),5))*(VLOOKUP($B$5,标准坦克设计!$B$24:$U$30,MATCH("对"&amp;LEFT($C$5,2)&amp;"输出",标准坦克设计!$B$23:$U$23,0)))*(VLOOKUP($B120,INDIRECT($B$5&amp;"生成成长"),3))*(VLOOKUP($B$5,标准坦克设计!$B$14:$K$20,9)/30))</f>
        <v>17.006244589187496</v>
      </c>
      <c r="U120" s="172">
        <f ca="1">(VLOOKUP(U$72,INDIRECT($C$5&amp;"生成成长"),2))/((VLOOKUP($B120,INDIRECT($B$5&amp;"生成成长"),4))/(VLOOKUP(U$72,INDIRECT($C$5&amp;"生成成长"),5))*(VLOOKUP($B$5,标准坦克设计!$B$24:$U$30,MATCH("对"&amp;LEFT($C$5,2)&amp;"输出",标准坦克设计!$B$23:$U$23,0)))*(VLOOKUP($B120,INDIRECT($B$5&amp;"生成成长"),3))*(VLOOKUP($B$5,标准坦克设计!$B$14:$K$20,9)/30))</f>
        <v>18.673476297583107</v>
      </c>
      <c r="V120" s="172">
        <f ca="1">(VLOOKUP(V$72,INDIRECT($C$5&amp;"生成成长"),2))/((VLOOKUP($B120,INDIRECT($B$5&amp;"生成成长"),4))/(VLOOKUP(V$72,INDIRECT($C$5&amp;"生成成长"),5))*(VLOOKUP($B$5,标准坦克设计!$B$24:$U$30,MATCH("对"&amp;LEFT($C$5,2)&amp;"输出",标准坦克设计!$B$23:$U$23,0)))*(VLOOKUP($B120,INDIRECT($B$5&amp;"生成成长"),3))*(VLOOKUP($B$5,标准坦克设计!$B$14:$K$20,9)/30))</f>
        <v>20.418656501436182</v>
      </c>
      <c r="W120" s="172">
        <f ca="1">(VLOOKUP(W$72,INDIRECT($C$5&amp;"生成成长"),2))/((VLOOKUP($B120,INDIRECT($B$5&amp;"生成成长"),4))/(VLOOKUP(W$72,INDIRECT($C$5&amp;"生成成长"),5))*(VLOOKUP($B$5,标准坦克设计!$B$24:$U$30,MATCH("对"&amp;LEFT($C$5,2)&amp;"输出",标准坦克设计!$B$23:$U$23,0)))*(VLOOKUP($B120,INDIRECT($B$5&amp;"生成成长"),3))*(VLOOKUP($B$5,标准坦克设计!$B$14:$K$20,9)/30))</f>
        <v>22.241785200746712</v>
      </c>
      <c r="X120" s="172">
        <f ca="1">(VLOOKUP(X$72,INDIRECT($C$5&amp;"生成成长"),2))/((VLOOKUP($B120,INDIRECT($B$5&amp;"生成成长"),4))/(VLOOKUP(X$72,INDIRECT($C$5&amp;"生成成长"),5))*(VLOOKUP($B$5,标准坦克设计!$B$24:$U$30,MATCH("对"&amp;LEFT($C$5,2)&amp;"输出",标准坦克设计!$B$23:$U$23,0)))*(VLOOKUP($B120,INDIRECT($B$5&amp;"生成成长"),3))*(VLOOKUP($B$5,标准坦克设计!$B$14:$K$20,9)/30))</f>
        <v>16.113686199844388</v>
      </c>
      <c r="Y120" s="172">
        <f ca="1">(VLOOKUP(Y$72,INDIRECT($C$5&amp;"生成成长"),2))/((VLOOKUP($B120,INDIRECT($B$5&amp;"生成成长"),4))/(VLOOKUP(Y$72,INDIRECT($C$5&amp;"生成成长"),5))*(VLOOKUP($B$5,标准坦克设计!$B$24:$U$30,MATCH("对"&amp;LEFT($C$5,2)&amp;"输出",标准坦克设计!$B$23:$U$23,0)))*(VLOOKUP($B120,INDIRECT($B$5&amp;"生成成长"),3))*(VLOOKUP($B$5,标准坦克设计!$B$14:$K$20,9)/30))</f>
        <v>17.922861156140929</v>
      </c>
      <c r="Z120" s="172">
        <f ca="1">(VLOOKUP(Z$72,INDIRECT($C$5&amp;"生成成长"),2))/((VLOOKUP($B120,INDIRECT($B$5&amp;"生成成长"),4))/(VLOOKUP(Z$72,INDIRECT($C$5&amp;"生成成长"),5))*(VLOOKUP($B$5,标准坦克设计!$B$24:$U$30,MATCH("对"&amp;LEFT($C$5,2)&amp;"输出",标准坦克设计!$B$23:$U$23,0)))*(VLOOKUP($B120,INDIRECT($B$5&amp;"生成成长"),3))*(VLOOKUP($B$5,标准坦克设计!$B$14:$K$20,9)/30))</f>
        <v>19.82826882287878</v>
      </c>
      <c r="AA120" s="172">
        <f ca="1">(VLOOKUP(AA$72,INDIRECT($C$5&amp;"生成成长"),2))/((VLOOKUP($B120,INDIRECT($B$5&amp;"生成成长"),4))/(VLOOKUP(AA$72,INDIRECT($C$5&amp;"生成成长"),5))*(VLOOKUP($B$5,标准坦克设计!$B$24:$U$30,MATCH("对"&amp;LEFT($C$5,2)&amp;"输出",标准坦克设计!$B$23:$U$23,0)))*(VLOOKUP($B120,INDIRECT($B$5&amp;"生成成长"),3))*(VLOOKUP($B$5,标准坦克设计!$B$14:$K$20,9)/30))</f>
        <v>21.82990920005793</v>
      </c>
      <c r="AB120" s="172">
        <f ca="1">(VLOOKUP(AB$72,INDIRECT($C$5&amp;"生成成长"),2))/((VLOOKUP($B120,INDIRECT($B$5&amp;"生成成长"),4))/(VLOOKUP(AB$72,INDIRECT($C$5&amp;"生成成长"),5))*(VLOOKUP($B$5,标准坦克设计!$B$24:$U$30,MATCH("对"&amp;LEFT($C$5,2)&amp;"输出",标准坦克设计!$B$23:$U$23,0)))*(VLOOKUP($B120,INDIRECT($B$5&amp;"生成成长"),3))*(VLOOKUP($B$5,标准坦克设计!$B$14:$K$20,9)/30))</f>
        <v>23.92778228767839</v>
      </c>
      <c r="AC120" s="172">
        <f ca="1">(VLOOKUP(AC$72,INDIRECT($C$5&amp;"生成成长"),2))/((VLOOKUP($B120,INDIRECT($B$5&amp;"生成成长"),4))/(VLOOKUP(AC$72,INDIRECT($C$5&amp;"生成成长"),5))*(VLOOKUP($B$5,标准坦克设计!$B$24:$U$30,MATCH("对"&amp;LEFT($C$5,2)&amp;"输出",标准坦克设计!$B$23:$U$23,0)))*(VLOOKUP($B120,INDIRECT($B$5&amp;"生成成长"),3))*(VLOOKUP($B$5,标准坦克设计!$B$14:$K$20,9)/30))</f>
        <v>26.121888085740149</v>
      </c>
      <c r="AD120" s="172">
        <f ca="1">(VLOOKUP(AD$72,INDIRECT($C$5&amp;"生成成长"),2))/((VLOOKUP($B120,INDIRECT($B$5&amp;"生成成长"),4))/(VLOOKUP(AD$72,INDIRECT($C$5&amp;"生成成长"),5))*(VLOOKUP($B$5,标准坦克设计!$B$24:$U$30,MATCH("对"&amp;LEFT($C$5,2)&amp;"输出",标准坦克设计!$B$23:$U$23,0)))*(VLOOKUP($B120,INDIRECT($B$5&amp;"生成成长"),3))*(VLOOKUP($B$5,标准坦克设计!$B$14:$K$20,9)/30))</f>
        <v>28.412226594243219</v>
      </c>
      <c r="AE120" s="172">
        <f ca="1">(VLOOKUP(AE$72,INDIRECT($C$5&amp;"生成成长"),2))/((VLOOKUP($B120,INDIRECT($B$5&amp;"生成成长"),4))/(VLOOKUP(AE$72,INDIRECT($C$5&amp;"生成成长"),5))*(VLOOKUP($B$5,标准坦克设计!$B$24:$U$30,MATCH("对"&amp;LEFT($C$5,2)&amp;"输出",标准坦克设计!$B$23:$U$23,0)))*(VLOOKUP($B120,INDIRECT($B$5&amp;"生成成长"),3))*(VLOOKUP($B$5,标准坦克设计!$B$14:$K$20,9)/30))</f>
        <v>30.798797813187591</v>
      </c>
      <c r="AF120" s="172">
        <f ca="1">(VLOOKUP(AF$72,INDIRECT($C$5&amp;"生成成长"),2))/((VLOOKUP($B120,INDIRECT($B$5&amp;"生成成长"),4))/(VLOOKUP(AF$72,INDIRECT($C$5&amp;"生成成长"),5))*(VLOOKUP($B$5,标准坦克设计!$B$24:$U$30,MATCH("对"&amp;LEFT($C$5,2)&amp;"输出",标准坦克设计!$B$23:$U$23,0)))*(VLOOKUP($B120,INDIRECT($B$5&amp;"生成成长"),3))*(VLOOKUP($B$5,标准坦克设计!$B$14:$K$20,9)/30))</f>
        <v>33.281601742573272</v>
      </c>
      <c r="AG120" s="172">
        <f ca="1">(VLOOKUP(AG$72,INDIRECT($C$5&amp;"生成成长"),2))/((VLOOKUP($B120,INDIRECT($B$5&amp;"生成成长"),4))/(VLOOKUP(AG$72,INDIRECT($C$5&amp;"生成成长"),5))*(VLOOKUP($B$5,标准坦克设计!$B$24:$U$30,MATCH("对"&amp;LEFT($C$5,2)&amp;"输出",标准坦克设计!$B$23:$U$23,0)))*(VLOOKUP($B120,INDIRECT($B$5&amp;"生成成长"),3))*(VLOOKUP($B$5,标准坦克设计!$B$14:$K$20,9)/30))</f>
        <v>35.860638382400261</v>
      </c>
      <c r="AH120" s="172">
        <f ca="1">(VLOOKUP(AH$72,INDIRECT($C$5&amp;"生成成长"),2))/((VLOOKUP($B120,INDIRECT($B$5&amp;"生成成长"),4))/(VLOOKUP(AH$72,INDIRECT($C$5&amp;"生成成长"),5))*(VLOOKUP($B$5,标准坦克设计!$B$24:$U$30,MATCH("对"&amp;LEFT($C$5,2)&amp;"输出",标准坦克设计!$B$23:$U$23,0)))*(VLOOKUP($B120,INDIRECT($B$5&amp;"生成成长"),3))*(VLOOKUP($B$5,标准坦克设计!$B$14:$K$20,9)/30))</f>
        <v>38.535907732668555</v>
      </c>
      <c r="AI120" s="172">
        <f ca="1">(VLOOKUP(AI$72,INDIRECT($C$5&amp;"生成成长"),2))/((VLOOKUP($B120,INDIRECT($B$5&amp;"生成成长"),4))/(VLOOKUP(AI$72,INDIRECT($C$5&amp;"生成成长"),5))*(VLOOKUP($B$5,标准坦克设计!$B$24:$U$30,MATCH("对"&amp;LEFT($C$5,2)&amp;"输出",标准坦克设计!$B$23:$U$23,0)))*(VLOOKUP($B120,INDIRECT($B$5&amp;"生成成长"),3))*(VLOOKUP($B$5,标准坦克设计!$B$14:$K$20,9)/30))</f>
        <v>27.25502825118652</v>
      </c>
      <c r="AJ120" s="172">
        <f ca="1">(VLOOKUP(AJ$72,INDIRECT($C$5&amp;"生成成长"),2))/((VLOOKUP($B120,INDIRECT($B$5&amp;"生成成长"),4))/(VLOOKUP(AJ$72,INDIRECT($C$5&amp;"生成成长"),5))*(VLOOKUP($B$5,标准坦克设计!$B$24:$U$30,MATCH("对"&amp;LEFT($C$5,2)&amp;"输出",标准坦克设计!$B$23:$U$23,0)))*(VLOOKUP($B120,INDIRECT($B$5&amp;"生成成长"),3))*(VLOOKUP($B$5,标准坦克设计!$B$14:$K$20,9)/30))</f>
        <v>29.832621400356889</v>
      </c>
      <c r="AK120" s="172">
        <f ca="1">(VLOOKUP(AK$72,INDIRECT($C$5&amp;"生成成长"),2))/((VLOOKUP($B120,INDIRECT($B$5&amp;"生成成长"),4))/(VLOOKUP(AK$72,INDIRECT($C$5&amp;"生成成长"),5))*(VLOOKUP($B$5,标准坦克设计!$B$24:$U$30,MATCH("对"&amp;LEFT($C$5,2)&amp;"输出",标准坦克设计!$B$23:$U$23,0)))*(VLOOKUP($B120,INDIRECT($B$5&amp;"生成成长"),3))*(VLOOKUP($B$5,标准坦克设计!$B$14:$K$20,9)/30))</f>
        <v>32.526656129161239</v>
      </c>
      <c r="AL120" s="172">
        <f ca="1">(VLOOKUP(AL$72,INDIRECT($C$5&amp;"生成成长"),2))/((VLOOKUP($B120,INDIRECT($B$5&amp;"生成成长"),4))/(VLOOKUP(AL$72,INDIRECT($C$5&amp;"生成成长"),5))*(VLOOKUP($B$5,标准坦克设计!$B$24:$U$30,MATCH("对"&amp;LEFT($C$5,2)&amp;"输出",标准坦克设计!$B$23:$U$23,0)))*(VLOOKUP($B120,INDIRECT($B$5&amp;"生成成长"),3))*(VLOOKUP($B$5,标准坦克设计!$B$14:$K$20,9)/30))</f>
        <v>35.337132437599564</v>
      </c>
      <c r="AM120" s="172">
        <f ca="1">(VLOOKUP(AM$72,INDIRECT($C$5&amp;"生成成长"),2))/((VLOOKUP($B120,INDIRECT($B$5&amp;"生成成长"),4))/(VLOOKUP(AM$72,INDIRECT($C$5&amp;"生成成长"),5))*(VLOOKUP($B$5,标准坦克设计!$B$24:$U$30,MATCH("对"&amp;LEFT($C$5,2)&amp;"输出",标准坦克设计!$B$23:$U$23,0)))*(VLOOKUP($B120,INDIRECT($B$5&amp;"生成成长"),3))*(VLOOKUP($B$5,标准坦克设计!$B$14:$K$20,9)/30))</f>
        <v>38.264050325671867</v>
      </c>
      <c r="AN120" s="172">
        <f ca="1">(VLOOKUP(AN$72,INDIRECT($C$5&amp;"生成成长"),2))/((VLOOKUP($B120,INDIRECT($B$5&amp;"生成成长"),4))/(VLOOKUP(AN$72,INDIRECT($C$5&amp;"生成成长"),5))*(VLOOKUP($B$5,标准坦克设计!$B$24:$U$30,MATCH("对"&amp;LEFT($C$5,2)&amp;"输出",标准坦克设计!$B$23:$U$23,0)))*(VLOOKUP($B120,INDIRECT($B$5&amp;"生成成长"),3))*(VLOOKUP($B$5,标准坦克设计!$B$14:$K$20,9)/30))</f>
        <v>41.307409793378149</v>
      </c>
      <c r="AO120" s="172">
        <f ca="1">(VLOOKUP(AO$72,INDIRECT($C$5&amp;"生成成长"),2))/((VLOOKUP($B120,INDIRECT($B$5&amp;"生成成长"),4))/(VLOOKUP(AO$72,INDIRECT($C$5&amp;"生成成长"),5))*(VLOOKUP($B$5,标准坦克设计!$B$24:$U$30,MATCH("对"&amp;LEFT($C$5,2)&amp;"输出",标准坦克设计!$B$23:$U$23,0)))*(VLOOKUP($B120,INDIRECT($B$5&amp;"生成成长"),3))*(VLOOKUP($B$5,标准坦克设计!$B$14:$K$20,9)/30))</f>
        <v>44.467210840718408</v>
      </c>
      <c r="AP120" s="172">
        <f ca="1">(VLOOKUP(AP$72,INDIRECT($C$5&amp;"生成成长"),2))/((VLOOKUP($B120,INDIRECT($B$5&amp;"生成成长"),4))/(VLOOKUP(AP$72,INDIRECT($C$5&amp;"生成成长"),5))*(VLOOKUP($B$5,标准坦克设计!$B$24:$U$30,MATCH("对"&amp;LEFT($C$5,2)&amp;"输出",标准坦克设计!$B$23:$U$23,0)))*(VLOOKUP($B120,INDIRECT($B$5&amp;"生成成长"),3))*(VLOOKUP($B$5,标准坦克设计!$B$14:$K$20,9)/30))</f>
        <v>47.743453467692653</v>
      </c>
      <c r="AQ120" s="172">
        <f ca="1">(VLOOKUP(AQ$72,INDIRECT($C$5&amp;"生成成长"),2))/((VLOOKUP($B120,INDIRECT($B$5&amp;"生成成长"),4))/(VLOOKUP(AQ$72,INDIRECT($C$5&amp;"生成成长"),5))*(VLOOKUP($B$5,标准坦克设计!$B$24:$U$30,MATCH("对"&amp;LEFT($C$5,2)&amp;"输出",标准坦克设计!$B$23:$U$23,0)))*(VLOOKUP($B120,INDIRECT($B$5&amp;"生成成长"),3))*(VLOOKUP($B$5,标准坦克设计!$B$14:$K$20,9)/30))</f>
        <v>51.136137674300883</v>
      </c>
      <c r="AR120" s="172">
        <f ca="1">(VLOOKUP(AR$72,INDIRECT($C$5&amp;"生成成长"),2))/((VLOOKUP($B120,INDIRECT($B$5&amp;"生成成长"),4))/(VLOOKUP(AR$72,INDIRECT($C$5&amp;"生成成长"),5))*(VLOOKUP($B$5,标准坦克设计!$B$24:$U$30,MATCH("对"&amp;LEFT($C$5,2)&amp;"输出",标准坦克设计!$B$23:$U$23,0)))*(VLOOKUP($B120,INDIRECT($B$5&amp;"生成成长"),3))*(VLOOKUP($B$5,标准坦克设计!$B$14:$K$20,9)/30))</f>
        <v>54.645263460543077</v>
      </c>
      <c r="AS120" s="172">
        <f ca="1">(VLOOKUP(AS$72,INDIRECT($C$5&amp;"生成成长"),2))/((VLOOKUP($B120,INDIRECT($B$5&amp;"生成成长"),4))/(VLOOKUP(AS$72,INDIRECT($C$5&amp;"生成成长"),5))*(VLOOKUP($B$5,标准坦克设计!$B$24:$U$30,MATCH("对"&amp;LEFT($C$5,2)&amp;"输出",标准坦克设计!$B$23:$U$23,0)))*(VLOOKUP($B120,INDIRECT($B$5&amp;"生成成长"),3))*(VLOOKUP($B$5,标准坦克设计!$B$14:$K$20,9)/30))</f>
        <v>58.270830826419257</v>
      </c>
      <c r="AT120" s="172">
        <f ca="1">(VLOOKUP(AT$72,INDIRECT($C$5&amp;"生成成长"),2))/((VLOOKUP($B120,INDIRECT($B$5&amp;"生成成长"),4))/(VLOOKUP(AT$72,INDIRECT($C$5&amp;"生成成长"),5))*(VLOOKUP($B$5,标准坦克设计!$B$24:$U$30,MATCH("对"&amp;LEFT($C$5,2)&amp;"输出",标准坦克设计!$B$23:$U$23,0)))*(VLOOKUP($B120,INDIRECT($B$5&amp;"生成成长"),3))*(VLOOKUP($B$5,标准坦克设计!$B$14:$K$20,9)/30))</f>
        <v>62.012839771929414</v>
      </c>
      <c r="AU120" s="172">
        <f ca="1">(VLOOKUP(AU$72,INDIRECT($C$5&amp;"生成成长"),2))/((VLOOKUP($B120,INDIRECT($B$5&amp;"生成成长"),4))/(VLOOKUP(AU$72,INDIRECT($C$5&amp;"生成成长"),5))*(VLOOKUP($B$5,标准坦克设计!$B$24:$U$30,MATCH("对"&amp;LEFT($C$5,2)&amp;"输出",标准坦克设计!$B$23:$U$23,0)))*(VLOOKUP($B120,INDIRECT($B$5&amp;"生成成长"),3))*(VLOOKUP($B$5,标准坦克设计!$B$14:$K$20,9)/30))</f>
        <v>65.871290297073557</v>
      </c>
      <c r="AV120" s="172">
        <f ca="1">(VLOOKUP(AV$72,INDIRECT($C$5&amp;"生成成长"),2))/((VLOOKUP($B120,INDIRECT($B$5&amp;"生成成长"),4))/(VLOOKUP(AV$72,INDIRECT($C$5&amp;"生成成长"),5))*(VLOOKUP($B$5,标准坦克设计!$B$24:$U$30,MATCH("对"&amp;LEFT($C$5,2)&amp;"输出",标准坦克设计!$B$23:$U$23,0)))*(VLOOKUP($B120,INDIRECT($B$5&amp;"生成成长"),3))*(VLOOKUP($B$5,标准坦克设计!$B$14:$K$20,9)/30))</f>
        <v>6.6997213009236827</v>
      </c>
      <c r="AW120" s="172">
        <f ca="1">(VLOOKUP(AW$72,INDIRECT($C$5&amp;"生成成长"),2))/((VLOOKUP($B120,INDIRECT($B$5&amp;"生成成长"),4))/(VLOOKUP(AW$72,INDIRECT($C$5&amp;"生成成长"),5))*(VLOOKUP($B$5,标准坦克设计!$B$24:$U$30,MATCH("对"&amp;LEFT($C$5,2)&amp;"输出",标准坦克设计!$B$23:$U$23,0)))*(VLOOKUP($B120,INDIRECT($B$5&amp;"生成成长"),3))*(VLOOKUP($B$5,标准坦克设计!$B$14:$K$20,9)/30))</f>
        <v>7.6389525548308255</v>
      </c>
      <c r="AX120" s="172">
        <f ca="1">(VLOOKUP(AX$72,INDIRECT($C$5&amp;"生成成长"),2))/((VLOOKUP($B120,INDIRECT($B$5&amp;"生成成长"),4))/(VLOOKUP(AX$72,INDIRECT($C$5&amp;"生成成长"),5))*(VLOOKUP($B$5,标准坦克设计!$B$24:$U$30,MATCH("对"&amp;LEFT($C$5,2)&amp;"输出",标准坦克设计!$B$23:$U$23,0)))*(VLOOKUP($B120,INDIRECT($B$5&amp;"生成成长"),3))*(VLOOKUP($B$5,标准坦克设计!$B$14:$K$20,9)/30))</f>
        <v>8.6397727434204015</v>
      </c>
      <c r="AY120" s="172">
        <f ca="1">(VLOOKUP(AY$72,INDIRECT($C$5&amp;"生成成长"),2))/((VLOOKUP($B120,INDIRECT($B$5&amp;"生成成长"),4))/(VLOOKUP(AY$72,INDIRECT($C$5&amp;"生成成长"),5))*(VLOOKUP($B$5,标准坦克设计!$B$24:$U$30,MATCH("对"&amp;LEFT($C$5,2)&amp;"输出",标准坦克设计!$B$23:$U$23,0)))*(VLOOKUP($B120,INDIRECT($B$5&amp;"生成成长"),3))*(VLOOKUP($B$5,标准坦克设计!$B$14:$K$20,9)/30))</f>
        <v>9.7021818666924116</v>
      </c>
      <c r="AZ120" s="172">
        <f ca="1">(VLOOKUP(AZ$72,INDIRECT($C$5&amp;"生成成长"),2))/((VLOOKUP($B120,INDIRECT($B$5&amp;"生成成长"),4))/(VLOOKUP(AZ$72,INDIRECT($C$5&amp;"生成成长"),5))*(VLOOKUP($B$5,标准坦克设计!$B$24:$U$30,MATCH("对"&amp;LEFT($C$5,2)&amp;"输出",标准坦克设计!$B$23:$U$23,0)))*(VLOOKUP($B120,INDIRECT($B$5&amp;"生成成长"),3))*(VLOOKUP($B$5,标准坦克设计!$B$14:$K$20,9)/30))</f>
        <v>10.826179924646862</v>
      </c>
      <c r="BA120" s="172">
        <f ca="1">(VLOOKUP(BA$72,INDIRECT($C$5&amp;"生成成长"),2))/((VLOOKUP($B120,INDIRECT($B$5&amp;"生成成长"),4))/(VLOOKUP(BA$72,INDIRECT($C$5&amp;"生成成长"),5))*(VLOOKUP($B$5,标准坦克设计!$B$24:$U$30,MATCH("对"&amp;LEFT($C$5,2)&amp;"输出",标准坦克设计!$B$23:$U$23,0)))*(VLOOKUP($B120,INDIRECT($B$5&amp;"生成成长"),3))*(VLOOKUP($B$5,标准坦克设计!$B$14:$K$20,9)/30))</f>
        <v>12.011766917283742</v>
      </c>
      <c r="BB120" s="172">
        <f ca="1">(VLOOKUP(BB$72,INDIRECT($C$5&amp;"生成成长"),2))/((VLOOKUP($B120,INDIRECT($B$5&amp;"生成成长"),4))/(VLOOKUP(BB$72,INDIRECT($C$5&amp;"生成成长"),5))*(VLOOKUP($B$5,标准坦克设计!$B$24:$U$30,MATCH("对"&amp;LEFT($C$5,2)&amp;"输出",标准坦克设计!$B$23:$U$23,0)))*(VLOOKUP($B120,INDIRECT($B$5&amp;"生成成长"),3))*(VLOOKUP($B$5,标准坦克设计!$B$14:$K$20,9)/30))</f>
        <v>13.258942844603061</v>
      </c>
      <c r="BC120" s="172">
        <f ca="1">(VLOOKUP(BC$72,INDIRECT($C$5&amp;"生成成长"),2))/((VLOOKUP($B120,INDIRECT($B$5&amp;"生成成长"),4))/(VLOOKUP(BC$72,INDIRECT($C$5&amp;"生成成长"),5))*(VLOOKUP($B$5,标准坦克设计!$B$24:$U$30,MATCH("对"&amp;LEFT($C$5,2)&amp;"输出",标准坦克设计!$B$23:$U$23,0)))*(VLOOKUP($B120,INDIRECT($B$5&amp;"生成成长"),3))*(VLOOKUP($B$5,标准坦克设计!$B$14:$K$20,9)/30))</f>
        <v>14.567707706604814</v>
      </c>
      <c r="BD120" s="172">
        <f ca="1">(VLOOKUP(BD$72,INDIRECT($C$5&amp;"生成成长"),2))/((VLOOKUP($B120,INDIRECT($B$5&amp;"生成成长"),4))/(VLOOKUP(BD$72,INDIRECT($C$5&amp;"生成成长"),5))*(VLOOKUP($B$5,标准坦克设计!$B$24:$U$30,MATCH("对"&amp;LEFT($C$5,2)&amp;"输出",标准坦克设计!$B$23:$U$23,0)))*(VLOOKUP($B120,INDIRECT($B$5&amp;"生成成长"),3))*(VLOOKUP($B$5,标准坦克设计!$B$14:$K$20,9)/30))</f>
        <v>16.113686199844388</v>
      </c>
      <c r="BE120" s="172">
        <f ca="1">(VLOOKUP(BE$72,INDIRECT($C$5&amp;"生成成长"),2))/((VLOOKUP($B120,INDIRECT($B$5&amp;"生成成长"),4))/(VLOOKUP(BE$72,INDIRECT($C$5&amp;"生成成长"),5))*(VLOOKUP($B$5,标准坦克设计!$B$24:$U$30,MATCH("对"&amp;LEFT($C$5,2)&amp;"输出",标准坦克设计!$B$23:$U$23,0)))*(VLOOKUP($B120,INDIRECT($B$5&amp;"生成成长"),3))*(VLOOKUP($B$5,标准坦克设计!$B$14:$K$20,9)/30))</f>
        <v>17.737613188541417</v>
      </c>
      <c r="BF120" s="172">
        <f ca="1">(VLOOKUP(BF$72,INDIRECT($C$5&amp;"生成成长"),2))/((VLOOKUP($B120,INDIRECT($B$5&amp;"生成成长"),4))/(VLOOKUP(BF$72,INDIRECT($C$5&amp;"生成成长"),5))*(VLOOKUP($B$5,标准坦克设计!$B$24:$U$30,MATCH("对"&amp;LEFT($C$5,2)&amp;"输出",标准坦克设计!$B$23:$U$23,0)))*(VLOOKUP($B120,INDIRECT($B$5&amp;"生成成长"),3))*(VLOOKUP($B$5,标准坦克设计!$B$14:$K$20,9)/30))</f>
        <v>19.439488672695902</v>
      </c>
      <c r="BG120" s="172">
        <f ca="1">(VLOOKUP(BG$72,INDIRECT($C$5&amp;"生成成长"),2))/((VLOOKUP($B120,INDIRECT($B$5&amp;"生成成长"),4))/(VLOOKUP(BG$72,INDIRECT($C$5&amp;"生成成长"),5))*(VLOOKUP($B$5,标准坦克设计!$B$24:$U$30,MATCH("对"&amp;LEFT($C$5,2)&amp;"输出",标准坦克设计!$B$23:$U$23,0)))*(VLOOKUP($B120,INDIRECT($B$5&amp;"生成成长"),3))*(VLOOKUP($B$5,标准坦克设计!$B$14:$K$20,9)/30))</f>
        <v>21.219312652307849</v>
      </c>
      <c r="BH120" s="172">
        <f ca="1">(VLOOKUP(BH$72,INDIRECT($C$5&amp;"生成成长"),2))/((VLOOKUP($B120,INDIRECT($B$5&amp;"生成成长"),4))/(VLOOKUP(BH$72,INDIRECT($C$5&amp;"生成成长"),5))*(VLOOKUP($B$5,标准坦克设计!$B$24:$U$30,MATCH("对"&amp;LEFT($C$5,2)&amp;"输出",标准坦克设计!$B$23:$U$23,0)))*(VLOOKUP($B120,INDIRECT($B$5&amp;"生成成长"),3))*(VLOOKUP($B$5,标准坦克设计!$B$14:$K$20,9)/30))</f>
        <v>10.256482278834332</v>
      </c>
      <c r="BI120" s="172">
        <f ca="1">(VLOOKUP(BI$72,INDIRECT($C$5&amp;"生成成长"),2))/((VLOOKUP($B120,INDIRECT($B$5&amp;"生成成长"),4))/(VLOOKUP(BI$72,INDIRECT($C$5&amp;"生成成长"),5))*(VLOOKUP($B$5,标准坦克设计!$B$24:$U$30,MATCH("对"&amp;LEFT($C$5,2)&amp;"输出",标准坦克设计!$B$23:$U$23,0)))*(VLOOKUP($B120,INDIRECT($B$5&amp;"生成成长"),3))*(VLOOKUP($B$5,标准坦克设计!$B$14:$K$20,9)/30))</f>
        <v>11.559954341761813</v>
      </c>
      <c r="BJ120" s="172">
        <f ca="1">(VLOOKUP(BJ$72,INDIRECT($C$5&amp;"生成成长"),2))/((VLOOKUP($B120,INDIRECT($B$5&amp;"生成成长"),4))/(VLOOKUP(BJ$72,INDIRECT($C$5&amp;"生成成长"),5))*(VLOOKUP($B$5,标准坦克设计!$B$24:$U$30,MATCH("对"&amp;LEFT($C$5,2)&amp;"输出",标准坦克设计!$B$23:$U$23,0)))*(VLOOKUP($B120,INDIRECT($B$5&amp;"生成成长"),3))*(VLOOKUP($B$5,标准坦克设计!$B$14:$K$20,9)/30))</f>
        <v>12.941374900146753</v>
      </c>
      <c r="BK120" s="172">
        <f ca="1">(VLOOKUP(BK$72,INDIRECT($C$5&amp;"生成成长"),2))/((VLOOKUP($B120,INDIRECT($B$5&amp;"生成成长"),4))/(VLOOKUP(BK$72,INDIRECT($C$5&amp;"生成成长"),5))*(VLOOKUP($B$5,标准坦克设计!$B$24:$U$30,MATCH("对"&amp;LEFT($C$5,2)&amp;"输出",标准坦克设计!$B$23:$U$23,0)))*(VLOOKUP($B120,INDIRECT($B$5&amp;"生成成长"),3))*(VLOOKUP($B$5,标准坦克设计!$B$14:$K$20,9)/30))</f>
        <v>14.400743953989151</v>
      </c>
      <c r="BL120" s="172">
        <f ca="1">(VLOOKUP(BL$72,INDIRECT($C$5&amp;"生成成长"),2))/((VLOOKUP($B120,INDIRECT($B$5&amp;"生成成长"),4))/(VLOOKUP(BL$72,INDIRECT($C$5&amp;"生成成长"),5))*(VLOOKUP($B$5,标准坦克设计!$B$24:$U$30,MATCH("对"&amp;LEFT($C$5,2)&amp;"输出",标准坦克设计!$B$23:$U$23,0)))*(VLOOKUP($B120,INDIRECT($B$5&amp;"生成成长"),3))*(VLOOKUP($B$5,标准坦克设计!$B$14:$K$20,9)/30))</f>
        <v>15.938061503289003</v>
      </c>
      <c r="BM120" s="172">
        <f ca="1">(VLOOKUP(BM$72,INDIRECT($C$5&amp;"生成成长"),2))/((VLOOKUP($B120,INDIRECT($B$5&amp;"生成成长"),4))/(VLOOKUP(BM$72,INDIRECT($C$5&amp;"生成成长"),5))*(VLOOKUP($B$5,标准坦克设计!$B$24:$U$30,MATCH("对"&amp;LEFT($C$5,2)&amp;"输出",标准坦克设计!$B$23:$U$23,0)))*(VLOOKUP($B120,INDIRECT($B$5&amp;"生成成长"),3))*(VLOOKUP($B$5,标准坦克设计!$B$14:$K$20,9)/30))</f>
        <v>17.553327548046319</v>
      </c>
      <c r="BN120" s="172">
        <f ca="1">(VLOOKUP(BN$72,INDIRECT($C$5&amp;"生成成长"),2))/((VLOOKUP($B120,INDIRECT($B$5&amp;"生成成长"),4))/(VLOOKUP(BN$72,INDIRECT($C$5&amp;"生成成长"),5))*(VLOOKUP($B$5,标准坦克设计!$B$24:$U$30,MATCH("对"&amp;LEFT($C$5,2)&amp;"输出",标准坦克设计!$B$23:$U$23,0)))*(VLOOKUP($B120,INDIRECT($B$5&amp;"生成成长"),3))*(VLOOKUP($B$5,标准坦克设计!$B$14:$K$20,9)/30))</f>
        <v>19.246542088261084</v>
      </c>
      <c r="BO120" s="172">
        <f ca="1">(VLOOKUP(BO$72,INDIRECT($C$5&amp;"生成成长"),2))/((VLOOKUP($B120,INDIRECT($B$5&amp;"生成成长"),4))/(VLOOKUP(BO$72,INDIRECT($C$5&amp;"生成成长"),5))*(VLOOKUP($B$5,标准坦克设计!$B$24:$U$30,MATCH("对"&amp;LEFT($C$5,2)&amp;"输出",标准坦克设计!$B$23:$U$23,0)))*(VLOOKUP($B120,INDIRECT($B$5&amp;"生成成长"),3))*(VLOOKUP($B$5,标准坦克设计!$B$14:$K$20,9)/30))</f>
        <v>21.017705123933311</v>
      </c>
      <c r="BP120" s="172">
        <f ca="1">(VLOOKUP(BP$72,INDIRECT($C$5&amp;"生成成长"),2))/((VLOOKUP($B120,INDIRECT($B$5&amp;"生成成长"),4))/(VLOOKUP(BP$72,INDIRECT($C$5&amp;"生成成长"),5))*(VLOOKUP($B$5,标准坦克设计!$B$24:$U$30,MATCH("对"&amp;LEFT($C$5,2)&amp;"输出",标准坦克设计!$B$23:$U$23,0)))*(VLOOKUP($B120,INDIRECT($B$5&amp;"生成成长"),3))*(VLOOKUP($B$5,标准坦克设计!$B$14:$K$20,9)/30))</f>
        <v>22.866816655062994</v>
      </c>
      <c r="BQ120" s="172">
        <f ca="1">(VLOOKUP(BQ$72,INDIRECT($C$5&amp;"生成成长"),2))/((VLOOKUP($B120,INDIRECT($B$5&amp;"生成成长"),4))/(VLOOKUP(BQ$72,INDIRECT($C$5&amp;"生成成长"),5))*(VLOOKUP($B$5,标准坦克设计!$B$24:$U$30,MATCH("对"&amp;LEFT($C$5,2)&amp;"输出",标准坦克设计!$B$23:$U$23,0)))*(VLOOKUP($B120,INDIRECT($B$5&amp;"生成成长"),3))*(VLOOKUP($B$5,标准坦克设计!$B$14:$K$20,9)/30))</f>
        <v>24.793876681650136</v>
      </c>
      <c r="BR120" s="172">
        <f ca="1">(VLOOKUP(BR$72,INDIRECT($C$5&amp;"生成成长"),2))/((VLOOKUP($B120,INDIRECT($B$5&amp;"生成成长"),4))/(VLOOKUP(BR$72,INDIRECT($C$5&amp;"生成成长"),5))*(VLOOKUP($B$5,标准坦克设计!$B$24:$U$30,MATCH("对"&amp;LEFT($C$5,2)&amp;"输出",标准坦克设计!$B$23:$U$23,0)))*(VLOOKUP($B120,INDIRECT($B$5&amp;"生成成长"),3))*(VLOOKUP($B$5,标准坦克设计!$B$14:$K$20,9)/30))</f>
        <v>27.026475563888418</v>
      </c>
      <c r="BS120" s="172">
        <f ca="1">(VLOOKUP(BS$72,INDIRECT($C$5&amp;"生成成长"),2))/((VLOOKUP($B120,INDIRECT($B$5&amp;"生成成长"),4))/(VLOOKUP(BS$72,INDIRECT($C$5&amp;"生成成长"),5))*(VLOOKUP($B$5,标准坦克设计!$B$24:$U$30,MATCH("对"&amp;LEFT($C$5,2)&amp;"输出",标准坦克设计!$B$23:$U$23,0)))*(VLOOKUP($B120,INDIRECT($B$5&amp;"生成成长"),3))*(VLOOKUP($B$5,标准坦克设计!$B$14:$K$20,9)/30))</f>
        <v>29.355307156568013</v>
      </c>
      <c r="BT120" s="172">
        <f ca="1">(VLOOKUP(BT$72,INDIRECT($C$5&amp;"生成成长"),2))/((VLOOKUP($B120,INDIRECT($B$5&amp;"生成成长"),4))/(VLOOKUP(BT$72,INDIRECT($C$5&amp;"生成成长"),5))*(VLOOKUP($B$5,标准坦克设计!$B$24:$U$30,MATCH("对"&amp;LEFT($C$5,2)&amp;"输出",标准坦克设计!$B$23:$U$23,0)))*(VLOOKUP($B120,INDIRECT($B$5&amp;"生成成长"),3))*(VLOOKUP($B$5,标准坦克设计!$B$14:$K$20,9)/30))</f>
        <v>31.780371459688908</v>
      </c>
      <c r="BU120" s="172">
        <f ca="1">(VLOOKUP(BU$72,INDIRECT($C$5&amp;"生成成长"),2))/((VLOOKUP($B120,INDIRECT($B$5&amp;"生成成长"),4))/(VLOOKUP(BU$72,INDIRECT($C$5&amp;"生成成长"),5))*(VLOOKUP($B$5,标准坦克设计!$B$24:$U$30,MATCH("对"&amp;LEFT($C$5,2)&amp;"输出",标准坦克设计!$B$23:$U$23,0)))*(VLOOKUP($B120,INDIRECT($B$5&amp;"生成成长"),3))*(VLOOKUP($B$5,标准坦克设计!$B$14:$K$20,9)/30))</f>
        <v>34.301668473251112</v>
      </c>
      <c r="BV120" s="172">
        <f ca="1">(VLOOKUP(BV$72,INDIRECT($C$5&amp;"生成成长"),2))/((VLOOKUP($B120,INDIRECT($B$5&amp;"生成成长"),4))/(VLOOKUP(BV$72,INDIRECT($C$5&amp;"生成成长"),5))*(VLOOKUP($B$5,标准坦克设计!$B$24:$U$30,MATCH("对"&amp;LEFT($C$5,2)&amp;"输出",标准坦克设计!$B$23:$U$23,0)))*(VLOOKUP($B120,INDIRECT($B$5&amp;"生成成长"),3))*(VLOOKUP($B$5,标准坦克设计!$B$14:$K$20,9)/30))</f>
        <v>36.919198197254616</v>
      </c>
      <c r="BW120" s="172">
        <f ca="1">(VLOOKUP(BW$72,INDIRECT($C$5&amp;"生成成长"),2))/((VLOOKUP($B120,INDIRECT($B$5&amp;"生成成长"),4))/(VLOOKUP(BW$72,INDIRECT($C$5&amp;"生成成长"),5))*(VLOOKUP($B$5,标准坦克设计!$B$24:$U$30,MATCH("对"&amp;LEFT($C$5,2)&amp;"输出",标准坦克设计!$B$23:$U$23,0)))*(VLOOKUP($B120,INDIRECT($B$5&amp;"生成成长"),3))*(VLOOKUP($B$5,标准坦克设计!$B$14:$K$20,9)/30))</f>
        <v>16.825808257110047</v>
      </c>
      <c r="BX120" s="172">
        <f ca="1">(VLOOKUP(BX$72,INDIRECT($C$5&amp;"生成成长"),2))/((VLOOKUP($B120,INDIRECT($B$5&amp;"生成成长"),4))/(VLOOKUP(BX$72,INDIRECT($C$5&amp;"生成成长"),5))*(VLOOKUP($B$5,标准坦克设计!$B$24:$U$30,MATCH("对"&amp;LEFT($C$5,2)&amp;"输出",标准坦克设计!$B$23:$U$23,0)))*(VLOOKUP($B120,INDIRECT($B$5&amp;"生成成长"),3))*(VLOOKUP($B$5,标准坦克设计!$B$14:$K$20,9)/30))</f>
        <v>18.673476297583107</v>
      </c>
      <c r="BY120" s="172">
        <f ca="1">(VLOOKUP(BY$72,INDIRECT($C$5&amp;"生成成长"),2))/((VLOOKUP($B120,INDIRECT($B$5&amp;"生成成长"),4))/(VLOOKUP(BY$72,INDIRECT($C$5&amp;"生成成长"),5))*(VLOOKUP($B$5,标准坦克设计!$B$24:$U$30,MATCH("对"&amp;LEFT($C$5,2)&amp;"输出",标准坦克设计!$B$23:$U$23,0)))*(VLOOKUP($B120,INDIRECT($B$5&amp;"生成成长"),3))*(VLOOKUP($B$5,标准坦克设计!$B$14:$K$20,9)/30))</f>
        <v>20.617377048497481</v>
      </c>
      <c r="BZ120" s="172">
        <f ca="1">(VLOOKUP(BZ$72,INDIRECT($C$5&amp;"生成成长"),2))/((VLOOKUP($B120,INDIRECT($B$5&amp;"生成成长"),4))/(VLOOKUP(BZ$72,INDIRECT($C$5&amp;"生成成长"),5))*(VLOOKUP($B$5,标准坦克设计!$B$24:$U$30,MATCH("对"&amp;LEFT($C$5,2)&amp;"输出",标准坦克设计!$B$23:$U$23,0)))*(VLOOKUP($B120,INDIRECT($B$5&amp;"生成成长"),3))*(VLOOKUP($B$5,标准坦克设计!$B$14:$K$20,9)/30))</f>
        <v>22.657510509853154</v>
      </c>
      <c r="CA120" s="172">
        <f ca="1">(VLOOKUP(CA$72,INDIRECT($C$5&amp;"生成成长"),2))/((VLOOKUP($B120,INDIRECT($B$5&amp;"生成成长"),4))/(VLOOKUP(CA$72,INDIRECT($C$5&amp;"生成成长"),5))*(VLOOKUP($B$5,标准坦克设计!$B$24:$U$30,MATCH("对"&amp;LEFT($C$5,2)&amp;"输出",标准坦克设计!$B$23:$U$23,0)))*(VLOOKUP($B120,INDIRECT($B$5&amp;"生成成长"),3))*(VLOOKUP($B$5,标准坦克设计!$B$14:$K$20,9)/30))</f>
        <v>24.793876681650136</v>
      </c>
      <c r="CB120" s="172">
        <f ca="1">(VLOOKUP(CB$72,INDIRECT($C$5&amp;"生成成长"),2))/((VLOOKUP($B120,INDIRECT($B$5&amp;"生成成长"),4))/(VLOOKUP(CB$72,INDIRECT($C$5&amp;"生成成长"),5))*(VLOOKUP($B$5,标准坦克设计!$B$24:$U$30,MATCH("对"&amp;LEFT($C$5,2)&amp;"输出",标准坦克设计!$B$23:$U$23,0)))*(VLOOKUP($B120,INDIRECT($B$5&amp;"生成成长"),3))*(VLOOKUP($B$5,标准坦克设计!$B$14:$K$20,9)/30))</f>
        <v>27.026475563888418</v>
      </c>
      <c r="CC120" s="172">
        <f ca="1">(VLOOKUP(CC$72,INDIRECT($C$5&amp;"生成成长"),2))/((VLOOKUP($B120,INDIRECT($B$5&amp;"生成成长"),4))/(VLOOKUP(CC$72,INDIRECT($C$5&amp;"生成成长"),5))*(VLOOKUP($B$5,标准坦克设计!$B$24:$U$30,MATCH("对"&amp;LEFT($C$5,2)&amp;"输出",标准坦克设计!$B$23:$U$23,0)))*(VLOOKUP($B120,INDIRECT($B$5&amp;"生成成长"),3))*(VLOOKUP($B$5,标准坦克设计!$B$14:$K$20,9)/30))</f>
        <v>29.355307156568013</v>
      </c>
      <c r="CD120" s="172">
        <f ca="1">(VLOOKUP(CD$72,INDIRECT($C$5&amp;"生成成长"),2))/((VLOOKUP($B120,INDIRECT($B$5&amp;"生成成长"),4))/(VLOOKUP(CD$72,INDIRECT($C$5&amp;"生成成长"),5))*(VLOOKUP($B$5,标准坦克设计!$B$24:$U$30,MATCH("对"&amp;LEFT($C$5,2)&amp;"输出",标准坦克设计!$B$23:$U$23,0)))*(VLOOKUP($B120,INDIRECT($B$5&amp;"生成成长"),3))*(VLOOKUP($B$5,标准坦克设计!$B$14:$K$20,9)/30))</f>
        <v>31.780371459688908</v>
      </c>
      <c r="CE120" s="172">
        <f ca="1">(VLOOKUP(CE$72,INDIRECT($C$5&amp;"生成成长"),2))/((VLOOKUP($B120,INDIRECT($B$5&amp;"生成成长"),4))/(VLOOKUP(CE$72,INDIRECT($C$5&amp;"生成成长"),5))*(VLOOKUP($B$5,标准坦克设计!$B$24:$U$30,MATCH("对"&amp;LEFT($C$5,2)&amp;"输出",标准坦克设计!$B$23:$U$23,0)))*(VLOOKUP($B120,INDIRECT($B$5&amp;"生成成长"),3))*(VLOOKUP($B$5,标准坦克设计!$B$14:$K$20,9)/30))</f>
        <v>34.301668473251112</v>
      </c>
      <c r="CF120" s="172">
        <f ca="1">(VLOOKUP(CF$72,INDIRECT($C$5&amp;"生成成长"),2))/((VLOOKUP($B120,INDIRECT($B$5&amp;"生成成长"),4))/(VLOOKUP(CF$72,INDIRECT($C$5&amp;"生成成长"),5))*(VLOOKUP($B$5,标准坦克设计!$B$24:$U$30,MATCH("对"&amp;LEFT($C$5,2)&amp;"输出",标准坦克设计!$B$23:$U$23,0)))*(VLOOKUP($B120,INDIRECT($B$5&amp;"生成成长"),3))*(VLOOKUP($B$5,标准坦克设计!$B$14:$K$20,9)/30))</f>
        <v>36.919198197254616</v>
      </c>
      <c r="CG120" s="172">
        <f ca="1">(VLOOKUP(CG$72,INDIRECT($C$5&amp;"生成成长"),2))/((VLOOKUP($B120,INDIRECT($B$5&amp;"生成成长"),4))/(VLOOKUP(CG$72,INDIRECT($C$5&amp;"生成成长"),5))*(VLOOKUP($B$5,标准坦克设计!$B$24:$U$30,MATCH("对"&amp;LEFT($C$5,2)&amp;"输出",标准坦克设计!$B$23:$U$23,0)))*(VLOOKUP($B120,INDIRECT($B$5&amp;"生成成长"),3))*(VLOOKUP($B$5,标准坦克设计!$B$14:$K$20,9)/30))</f>
        <v>39.632960631699433</v>
      </c>
      <c r="CH120" s="172">
        <f ca="1">(VLOOKUP(CH$72,INDIRECT($C$5&amp;"生成成长"),2))/((VLOOKUP($B120,INDIRECT($B$5&amp;"生成成长"),4))/(VLOOKUP(CH$72,INDIRECT($C$5&amp;"生成成长"),5))*(VLOOKUP($B$5,标准坦克设计!$B$24:$U$30,MATCH("对"&amp;LEFT($C$5,2)&amp;"输出",标准坦克设计!$B$23:$U$23,0)))*(VLOOKUP($B120,INDIRECT($B$5&amp;"生成成长"),3))*(VLOOKUP($B$5,标准坦克设计!$B$14:$K$20,9)/30))</f>
        <v>42.442955776585542</v>
      </c>
      <c r="CI120" s="172">
        <f ca="1">(VLOOKUP(CI$72,INDIRECT($C$5&amp;"生成成长"),2))/((VLOOKUP($B120,INDIRECT($B$5&amp;"生成成长"),4))/(VLOOKUP(CI$72,INDIRECT($C$5&amp;"生成成长"),5))*(VLOOKUP($B$5,标准坦克设计!$B$24:$U$30,MATCH("对"&amp;LEFT($C$5,2)&amp;"输出",标准坦克设计!$B$23:$U$23,0)))*(VLOOKUP($B120,INDIRECT($B$5&amp;"生成成长"),3))*(VLOOKUP($B$5,标准坦克设计!$B$14:$K$20,9)/30))</f>
        <v>45.645099216519995</v>
      </c>
      <c r="CJ120" s="172">
        <f ca="1">(VLOOKUP(CJ$72,INDIRECT($C$5&amp;"生成成长"),2))/((VLOOKUP($B120,INDIRECT($B$5&amp;"生成成长"),4))/(VLOOKUP(CJ$72,INDIRECT($C$5&amp;"生成成长"),5))*(VLOOKUP($B$5,标准坦克设计!$B$24:$U$30,MATCH("对"&amp;LEFT($C$5,2)&amp;"输出",标准坦克设计!$B$23:$U$23,0)))*(VLOOKUP($B120,INDIRECT($B$5&amp;"生成成长"),3))*(VLOOKUP($B$5,标准坦克设计!$B$14:$K$20,9)/30))</f>
        <v>48.963684236088397</v>
      </c>
      <c r="CK120" s="172">
        <f ca="1">(VLOOKUP(CK$72,INDIRECT($C$5&amp;"生成成长"),2))/((VLOOKUP($B120,INDIRECT($B$5&amp;"生成成长"),4))/(VLOOKUP(CK$72,INDIRECT($C$5&amp;"生成成长"),5))*(VLOOKUP($B$5,标准坦克设计!$B$24:$U$30,MATCH("对"&amp;LEFT($C$5,2)&amp;"输出",标准坦克设计!$B$23:$U$23,0)))*(VLOOKUP($B120,INDIRECT($B$5&amp;"生成成长"),3))*(VLOOKUP($B$5,标准坦克设计!$B$14:$K$20,9)/30))</f>
        <v>52.3987108352908</v>
      </c>
      <c r="CL120" s="172">
        <f ca="1">(VLOOKUP(CL$72,INDIRECT($C$5&amp;"生成成长"),2))/((VLOOKUP($B120,INDIRECT($B$5&amp;"生成成长"),4))/(VLOOKUP(CL$72,INDIRECT($C$5&amp;"生成成长"),5))*(VLOOKUP($B$5,标准坦克设计!$B$24:$U$30,MATCH("对"&amp;LEFT($C$5,2)&amp;"输出",标准坦克设计!$B$23:$U$23,0)))*(VLOOKUP($B120,INDIRECT($B$5&amp;"生成成长"),3))*(VLOOKUP($B$5,标准坦克设计!$B$14:$K$20,9)/30))</f>
        <v>55.95017901412718</v>
      </c>
      <c r="CM120" s="172">
        <f ca="1">(VLOOKUP(CM$72,INDIRECT($C$5&amp;"生成成长"),2))/((VLOOKUP($B120,INDIRECT($B$5&amp;"生成成长"),4))/(VLOOKUP(CM$72,INDIRECT($C$5&amp;"生成成长"),5))*(VLOOKUP($B$5,标准坦克设计!$B$24:$U$30,MATCH("对"&amp;LEFT($C$5,2)&amp;"输出",标准坦克设计!$B$23:$U$23,0)))*(VLOOKUP($B120,INDIRECT($B$5&amp;"生成成长"),3))*(VLOOKUP($B$5,标准坦克设计!$B$14:$K$20,9)/30))</f>
        <v>59.618088772597545</v>
      </c>
      <c r="CN120" s="172">
        <f ca="1">(VLOOKUP(CN$72,INDIRECT($C$5&amp;"生成成长"),2))/((VLOOKUP($B120,INDIRECT($B$5&amp;"生成成长"),4))/(VLOOKUP(CN$72,INDIRECT($C$5&amp;"生成成长"),5))*(VLOOKUP($B$5,标准坦克设计!$B$24:$U$30,MATCH("对"&amp;LEFT($C$5,2)&amp;"输出",标准坦克设计!$B$23:$U$23,0)))*(VLOOKUP($B120,INDIRECT($B$5&amp;"生成成长"),3))*(VLOOKUP($B$5,标准坦克设计!$B$14:$K$20,9)/30))</f>
        <v>63.402440110701875</v>
      </c>
      <c r="CO120" s="172">
        <f ca="1">(VLOOKUP(CO$72,INDIRECT($C$5&amp;"生成成长"),2))/((VLOOKUP($B120,INDIRECT($B$5&amp;"生成成长"),4))/(VLOOKUP(CO$72,INDIRECT($C$5&amp;"生成成长"),5))*(VLOOKUP($B$5,标准坦克设计!$B$24:$U$30,MATCH("对"&amp;LEFT($C$5,2)&amp;"输出",标准坦克设计!$B$23:$U$23,0)))*(VLOOKUP($B120,INDIRECT($B$5&amp;"生成成长"),3))*(VLOOKUP($B$5,标准坦克设计!$B$14:$K$20,9)/30))</f>
        <v>28.412226594243219</v>
      </c>
      <c r="CP120" s="172">
        <f ca="1">(VLOOKUP(CP$72,INDIRECT($C$5&amp;"生成成长"),2))/((VLOOKUP($B120,INDIRECT($B$5&amp;"生成成长"),4))/(VLOOKUP(CP$72,INDIRECT($C$5&amp;"生成成长"),5))*(VLOOKUP($B$5,标准坦克设计!$B$24:$U$30,MATCH("对"&amp;LEFT($C$5,2)&amp;"输出",标准坦克设计!$B$23:$U$23,0)))*(VLOOKUP($B120,INDIRECT($B$5&amp;"生成成长"),3))*(VLOOKUP($B$5,标准坦克设计!$B$14:$K$20,9)/30))</f>
        <v>31.042747734156301</v>
      </c>
      <c r="CQ120" s="172">
        <f ca="1">(VLOOKUP(CQ$72,INDIRECT($C$5&amp;"生成成长"),2))/((VLOOKUP($B120,INDIRECT($B$5&amp;"生成成长"),4))/(VLOOKUP(CQ$72,INDIRECT($C$5&amp;"生成成长"),5))*(VLOOKUP($B$5,标准坦克设计!$B$24:$U$30,MATCH("对"&amp;LEFT($C$5,2)&amp;"输出",标准坦克设计!$B$23:$U$23,0)))*(VLOOKUP($B120,INDIRECT($B$5&amp;"生成成长"),3))*(VLOOKUP($B$5,标准坦克设计!$B$14:$K$20,9)/30))</f>
        <v>33.789710453703364</v>
      </c>
      <c r="CR120" s="172">
        <f ca="1">(VLOOKUP(CR$72,INDIRECT($C$5&amp;"生成成长"),2))/((VLOOKUP($B120,INDIRECT($B$5&amp;"生成成长"),4))/(VLOOKUP(CR$72,INDIRECT($C$5&amp;"生成成长"),5))*(VLOOKUP($B$5,标准坦克设计!$B$24:$U$30,MATCH("对"&amp;LEFT($C$5,2)&amp;"输出",标准坦克设计!$B$23:$U$23,0)))*(VLOOKUP($B120,INDIRECT($B$5&amp;"生成成长"),3))*(VLOOKUP($B$5,标准坦克设计!$B$14:$K$20,9)/30))</f>
        <v>36.653114752884413</v>
      </c>
      <c r="CS120" s="172">
        <f ca="1">(VLOOKUP(CS$72,INDIRECT($C$5&amp;"生成成长"),2))/((VLOOKUP($B120,INDIRECT($B$5&amp;"生成成长"),4))/(VLOOKUP(CS$72,INDIRECT($C$5&amp;"生成成长"),5))*(VLOOKUP($B$5,标准坦克设计!$B$24:$U$30,MATCH("对"&amp;LEFT($C$5,2)&amp;"输出",标准坦克设计!$B$23:$U$23,0)))*(VLOOKUP($B120,INDIRECT($B$5&amp;"生成成长"),3))*(VLOOKUP($B$5,标准坦克设计!$B$14:$K$20,9)/30))</f>
        <v>39.632960631699433</v>
      </c>
      <c r="CT120" s="172">
        <f ca="1">(VLOOKUP(CT$72,INDIRECT($C$5&amp;"生成成长"),2))/((VLOOKUP($B120,INDIRECT($B$5&amp;"生成成长"),4))/(VLOOKUP(CT$72,INDIRECT($C$5&amp;"生成成长"),5))*(VLOOKUP($B$5,标准坦克设计!$B$24:$U$30,MATCH("对"&amp;LEFT($C$5,2)&amp;"输出",标准坦克设计!$B$23:$U$23,0)))*(VLOOKUP($B120,INDIRECT($B$5&amp;"生成成长"),3))*(VLOOKUP($B$5,标准坦克设计!$B$14:$K$20,9)/30))</f>
        <v>42.729248090148431</v>
      </c>
      <c r="CU120" s="172">
        <f ca="1">(VLOOKUP(CU$72,INDIRECT($C$5&amp;"生成成长"),2))/((VLOOKUP($B120,INDIRECT($B$5&amp;"生成成长"),4))/(VLOOKUP(CU$72,INDIRECT($C$5&amp;"生成成长"),5))*(VLOOKUP($B$5,标准坦克设计!$B$24:$U$30,MATCH("对"&amp;LEFT($C$5,2)&amp;"输出",标准坦克设计!$B$23:$U$23,0)))*(VLOOKUP($B120,INDIRECT($B$5&amp;"生成成长"),3))*(VLOOKUP($B$5,标准坦克设计!$B$14:$K$20,9)/30))</f>
        <v>45.941977128231422</v>
      </c>
      <c r="CV120" s="172">
        <f ca="1">(VLOOKUP(CV$72,INDIRECT($C$5&amp;"生成成长"),2))/((VLOOKUP($B120,INDIRECT($B$5&amp;"生成成长"),4))/(VLOOKUP(CV$72,INDIRECT($C$5&amp;"生成成长"),5))*(VLOOKUP($B$5,标准坦克设计!$B$24:$U$30,MATCH("对"&amp;LEFT($C$5,2)&amp;"输出",标准坦克设计!$B$23:$U$23,0)))*(VLOOKUP($B120,INDIRECT($B$5&amp;"生成成长"),3))*(VLOOKUP($B$5,标准坦克设计!$B$14:$K$20,9)/30))</f>
        <v>49.271147745948376</v>
      </c>
      <c r="CW120" s="172">
        <f ca="1">(VLOOKUP(CW$72,INDIRECT($C$5&amp;"生成成长"),2))/((VLOOKUP($B120,INDIRECT($B$5&amp;"生成成长"),4))/(VLOOKUP(CW$72,INDIRECT($C$5&amp;"生成成长"),5))*(VLOOKUP($B$5,标准坦克设计!$B$24:$U$30,MATCH("对"&amp;LEFT($C$5,2)&amp;"输出",标准坦克设计!$B$23:$U$23,0)))*(VLOOKUP($B120,INDIRECT($B$5&amp;"生成成长"),3))*(VLOOKUP($B$5,标准坦克设计!$B$14:$K$20,9)/30))</f>
        <v>52.716759943299316</v>
      </c>
      <c r="CX120" s="172">
        <f ca="1">(VLOOKUP(CX$72,INDIRECT($C$5&amp;"生成成长"),2))/((VLOOKUP($B120,INDIRECT($B$5&amp;"生成成长"),4))/(VLOOKUP(CX$72,INDIRECT($C$5&amp;"生成成长"),5))*(VLOOKUP($B$5,标准坦克设计!$B$24:$U$30,MATCH("对"&amp;LEFT($C$5,2)&amp;"输出",标准坦克设计!$B$23:$U$23,0)))*(VLOOKUP($B120,INDIRECT($B$5&amp;"生成成长"),3))*(VLOOKUP($B$5,标准坦克设计!$B$14:$K$20,9)/30))</f>
        <v>56.278813720284234</v>
      </c>
      <c r="CY120" s="172">
        <f ca="1">(VLOOKUP(CY$72,INDIRECT($C$5&amp;"生成成长"),2))/((VLOOKUP($B120,INDIRECT($B$5&amp;"生成成长"),4))/(VLOOKUP(CY$72,INDIRECT($C$5&amp;"生成成长"),5))*(VLOOKUP($B$5,标准坦克设计!$B$24:$U$30,MATCH("对"&amp;LEFT($C$5,2)&amp;"输出",标准坦克设计!$B$23:$U$23,0)))*(VLOOKUP($B120,INDIRECT($B$5&amp;"生成成长"),3))*(VLOOKUP($B$5,标准坦克设计!$B$14:$K$20,9)/30))</f>
        <v>59.957309076903144</v>
      </c>
      <c r="CZ120" s="172">
        <f ca="1">(VLOOKUP(CZ$72,INDIRECT($C$5&amp;"生成成长"),2))/((VLOOKUP($B120,INDIRECT($B$5&amp;"生成成长"),4))/(VLOOKUP(CZ$72,INDIRECT($C$5&amp;"生成成长"),5))*(VLOOKUP($B$5,标准坦克设计!$B$24:$U$30,MATCH("对"&amp;LEFT($C$5,2)&amp;"输出",标准坦克设计!$B$23:$U$23,0)))*(VLOOKUP($B120,INDIRECT($B$5&amp;"生成成长"),3))*(VLOOKUP($B$5,标准坦克设计!$B$14:$K$20,9)/30))</f>
        <v>63.752246013156011</v>
      </c>
      <c r="DA120" s="172">
        <f ca="1">(VLOOKUP(DA$72,INDIRECT($C$5&amp;"生成成长"),2))/((VLOOKUP($B120,INDIRECT($B$5&amp;"生成成长"),4))/(VLOOKUP(DA$72,INDIRECT($C$5&amp;"生成成长"),5))*(VLOOKUP($B$5,标准坦克设计!$B$24:$U$30,MATCH("对"&amp;LEFT($C$5,2)&amp;"输出",标准坦克设计!$B$23:$U$23,0)))*(VLOOKUP($B120,INDIRECT($B$5&amp;"生成成长"),3))*(VLOOKUP($B$5,标准坦克设计!$B$14:$K$20,9)/30))</f>
        <v>67.663624529042877</v>
      </c>
      <c r="DB120" s="172">
        <f ca="1">(VLOOKUP(DB$72,INDIRECT($C$5&amp;"生成成长"),2))/((VLOOKUP($B120,INDIRECT($B$5&amp;"生成成长"),4))/(VLOOKUP(DB$72,INDIRECT($C$5&amp;"生成成长"),5))*(VLOOKUP($B$5,标准坦克设计!$B$24:$U$30,MATCH("对"&amp;LEFT($C$5,2)&amp;"输出",标准坦克设计!$B$23:$U$23,0)))*(VLOOKUP($B120,INDIRECT($B$5&amp;"生成成长"),3))*(VLOOKUP($B$5,标准坦克设计!$B$14:$K$20,9)/30))</f>
        <v>71.691444624563715</v>
      </c>
      <c r="DC120" s="172">
        <f ca="1">(VLOOKUP(DC$72,INDIRECT($C$5&amp;"生成成长"),2))/((VLOOKUP($B120,INDIRECT($B$5&amp;"生成成长"),4))/(VLOOKUP(DC$72,INDIRECT($C$5&amp;"生成成长"),5))*(VLOOKUP($B$5,标准坦克设计!$B$24:$U$30,MATCH("对"&amp;LEFT($C$5,2)&amp;"输出",标准坦克设计!$B$23:$U$23,0)))*(VLOOKUP($B120,INDIRECT($B$5&amp;"生成成长"),3))*(VLOOKUP($B$5,标准坦克设计!$B$14:$K$20,9)/30))</f>
        <v>76.218231323722719</v>
      </c>
      <c r="DD120" s="172">
        <f ca="1">(VLOOKUP(DD$72,INDIRECT($C$5&amp;"生成成长"),2))/((VLOOKUP($B120,INDIRECT($B$5&amp;"生成成长"),4))/(VLOOKUP(DD$72,INDIRECT($C$5&amp;"生成成长"),5))*(VLOOKUP($B$5,标准坦克设计!$B$24:$U$30,MATCH("对"&amp;LEFT($C$5,2)&amp;"输出",标准坦克设计!$B$23:$U$23,0)))*(VLOOKUP($B120,INDIRECT($B$5&amp;"生成成长"),3))*(VLOOKUP($B$5,标准坦克设计!$B$14:$K$20,9)/30))</f>
        <v>80.883593125917201</v>
      </c>
      <c r="DE120" s="172">
        <f ca="1">(VLOOKUP(DE$72,INDIRECT($C$5&amp;"生成成长"),2))/((VLOOKUP($B120,INDIRECT($B$5&amp;"生成成长"),4))/(VLOOKUP(DE$72,INDIRECT($C$5&amp;"生成成长"),5))*(VLOOKUP($B$5,标准坦克设计!$B$24:$U$30,MATCH("对"&amp;LEFT($C$5,2)&amp;"输出",标准坦克设计!$B$23:$U$23,0)))*(VLOOKUP($B120,INDIRECT($B$5&amp;"生成成长"),3))*(VLOOKUP($B$5,标准坦克设计!$B$14:$K$20,9)/30))</f>
        <v>85.687530031147176</v>
      </c>
      <c r="DF120" s="172">
        <f ca="1">(VLOOKUP(DF$72,INDIRECT($C$5&amp;"生成成长"),2))/((VLOOKUP($B120,INDIRECT($B$5&amp;"生成成长"),4))/(VLOOKUP(DF$72,INDIRECT($C$5&amp;"生成成长"),5))*(VLOOKUP($B$5,标准坦克设计!$B$24:$U$30,MATCH("对"&amp;LEFT($C$5,2)&amp;"输出",标准坦克设计!$B$23:$U$23,0)))*(VLOOKUP($B120,INDIRECT($B$5&amp;"生成成长"),3))*(VLOOKUP($B$5,标准坦克设计!$B$14:$K$20,9)/30))</f>
        <v>90.630042039412615</v>
      </c>
      <c r="DG120" s="172">
        <f ca="1">(VLOOKUP(DG$72,INDIRECT($C$5&amp;"生成成长"),2))/((VLOOKUP($B120,INDIRECT($B$5&amp;"生成成长"),4))/(VLOOKUP(DG$72,INDIRECT($C$5&amp;"生成成长"),5))*(VLOOKUP($B$5,标准坦克设计!$B$24:$U$30,MATCH("对"&amp;LEFT($C$5,2)&amp;"输出",标准坦克设计!$B$23:$U$23,0)))*(VLOOKUP($B120,INDIRECT($B$5&amp;"生成成长"),3))*(VLOOKUP($B$5,标准坦克设计!$B$14:$K$20,9)/30))</f>
        <v>95.71112915071356</v>
      </c>
      <c r="DH120" s="172">
        <f ca="1">(VLOOKUP(DH$72,INDIRECT($C$5&amp;"生成成长"),2))/((VLOOKUP($B120,INDIRECT($B$5&amp;"生成成长"),4))/(VLOOKUP(DH$72,INDIRECT($C$5&amp;"生成成长"),5))*(VLOOKUP($B$5,标准坦克设计!$B$24:$U$30,MATCH("对"&amp;LEFT($C$5,2)&amp;"输出",标准坦克设计!$B$23:$U$23,0)))*(VLOOKUP($B120,INDIRECT($B$5&amp;"生成成长"),3))*(VLOOKUP($B$5,标准坦克设计!$B$14:$K$20,9)/30))</f>
        <v>100.93079136504994</v>
      </c>
      <c r="DI120" s="172">
        <f ca="1">(VLOOKUP(DI$72,INDIRECT($C$5&amp;"生成成长"),2))/((VLOOKUP($B120,INDIRECT($B$5&amp;"生成成长"),4))/(VLOOKUP(DI$72,INDIRECT($C$5&amp;"生成成长"),5))*(VLOOKUP($B$5,标准坦克设计!$B$24:$U$30,MATCH("对"&amp;LEFT($C$5,2)&amp;"输出",标准坦克设计!$B$23:$U$23,0)))*(VLOOKUP($B120,INDIRECT($B$5&amp;"生成成长"),3))*(VLOOKUP($B$5,标准坦克设计!$B$14:$K$20,9)/30))</f>
        <v>106.28902868242184</v>
      </c>
      <c r="DJ120" s="172">
        <f ca="1">(VLOOKUP(DJ$72,INDIRECT($C$5&amp;"生成成长"),2))/((VLOOKUP($B120,INDIRECT($B$5&amp;"生成成长"),4))/(VLOOKUP(DJ$72,INDIRECT($C$5&amp;"生成成长"),5))*(VLOOKUP($B$5,标准坦克设计!$B$24:$U$30,MATCH("对"&amp;LEFT($C$5,2)&amp;"输出",标准坦克设计!$B$23:$U$23,0)))*(VLOOKUP($B120,INDIRECT($B$5&amp;"生成成长"),3))*(VLOOKUP($B$5,标准坦克设计!$B$14:$K$20,9)/30))</f>
        <v>10.682312022537108</v>
      </c>
      <c r="DK120" s="172">
        <f ca="1">(VLOOKUP(DK$72,INDIRECT($C$5&amp;"生成成长"),2))/((VLOOKUP($B120,INDIRECT($B$5&amp;"生成成长"),4))/(VLOOKUP(DK$72,INDIRECT($C$5&amp;"生成成长"),5))*(VLOOKUP($B$5,标准坦克设计!$B$24:$U$30,MATCH("对"&amp;LEFT($C$5,2)&amp;"输出",标准坦克设计!$B$23:$U$23,0)))*(VLOOKUP($B120,INDIRECT($B$5&amp;"生成成长"),3))*(VLOOKUP($B$5,标准坦克设计!$B$14:$K$20,9)/30))</f>
        <v>12.011766917283742</v>
      </c>
      <c r="DL120" s="172">
        <f ca="1">(VLOOKUP(DL$72,INDIRECT($C$5&amp;"生成成长"),2))/((VLOOKUP($B120,INDIRECT($B$5&amp;"生成成长"),4))/(VLOOKUP(DL$72,INDIRECT($C$5&amp;"生成成长"),5))*(VLOOKUP($B$5,标准坦克设计!$B$24:$U$30,MATCH("对"&amp;LEFT($C$5,2)&amp;"输出",标准坦克设计!$B$23:$U$23,0)))*(VLOOKUP($B120,INDIRECT($B$5&amp;"生成成长"),3))*(VLOOKUP($B$5,标准坦克设计!$B$14:$K$20,9)/30))</f>
        <v>13.419170307487834</v>
      </c>
      <c r="DM120" s="172">
        <f ca="1">(VLOOKUP(DM$72,INDIRECT($C$5&amp;"生成成长"),2))/((VLOOKUP($B120,INDIRECT($B$5&amp;"生成成长"),4))/(VLOOKUP(DM$72,INDIRECT($C$5&amp;"生成成长"),5))*(VLOOKUP($B$5,标准坦克设计!$B$24:$U$30,MATCH("对"&amp;LEFT($C$5,2)&amp;"输出",标准坦克设计!$B$23:$U$23,0)))*(VLOOKUP($B120,INDIRECT($B$5&amp;"生成成长"),3))*(VLOOKUP($B$5,标准坦克设计!$B$14:$K$20,9)/30))</f>
        <v>14.904522193149386</v>
      </c>
      <c r="DN120" s="172">
        <f ca="1">(VLOOKUP(DN$72,INDIRECT($C$5&amp;"生成成长"),2))/((VLOOKUP($B120,INDIRECT($B$5&amp;"生成成长"),4))/(VLOOKUP(DN$72,INDIRECT($C$5&amp;"生成成长"),5))*(VLOOKUP($B$5,标准坦克设计!$B$24:$U$30,MATCH("对"&amp;LEFT($C$5,2)&amp;"输出",标准坦克设计!$B$23:$U$23,0)))*(VLOOKUP($B120,INDIRECT($B$5&amp;"生成成长"),3))*(VLOOKUP($B$5,标准坦克设计!$B$14:$K$20,9)/30))</f>
        <v>16.467822574268389</v>
      </c>
      <c r="DO120" s="172">
        <f ca="1">(VLOOKUP(DO$72,INDIRECT($C$5&amp;"生成成长"),2))/((VLOOKUP($B120,INDIRECT($B$5&amp;"生成成长"),4))/(VLOOKUP(DO$72,INDIRECT($C$5&amp;"生成成长"),5))*(VLOOKUP($B$5,标准坦克设计!$B$24:$U$30,MATCH("对"&amp;LEFT($C$5,2)&amp;"输出",标准坦克设计!$B$23:$U$23,0)))*(VLOOKUP($B120,INDIRECT($B$5&amp;"生成成长"),3))*(VLOOKUP($B$5,标准坦克设计!$B$14:$K$20,9)/30))</f>
        <v>18.109071450844855</v>
      </c>
      <c r="DP120" s="172">
        <f ca="1">(VLOOKUP(DP$72,INDIRECT($C$5&amp;"生成成长"),2))/((VLOOKUP($B120,INDIRECT($B$5&amp;"生成成长"),4))/(VLOOKUP(DP$72,INDIRECT($C$5&amp;"生成成长"),5))*(VLOOKUP($B$5,标准坦克设计!$B$24:$U$30,MATCH("对"&amp;LEFT($C$5,2)&amp;"输出",标准坦克设计!$B$23:$U$23,0)))*(VLOOKUP($B120,INDIRECT($B$5&amp;"生成成长"),3))*(VLOOKUP($B$5,标准坦克设计!$B$14:$K$20,9)/30))</f>
        <v>19.82826882287878</v>
      </c>
      <c r="DQ120" s="172">
        <f ca="1">(VLOOKUP(DQ$72,INDIRECT($C$5&amp;"生成成长"),2))/((VLOOKUP($B120,INDIRECT($B$5&amp;"生成成长"),4))/(VLOOKUP(DQ$72,INDIRECT($C$5&amp;"生成成长"),5))*(VLOOKUP($B$5,标准坦克设计!$B$24:$U$30,MATCH("对"&amp;LEFT($C$5,2)&amp;"输出",标准坦克设计!$B$23:$U$23,0)))*(VLOOKUP($B120,INDIRECT($B$5&amp;"生成成长"),3))*(VLOOKUP($B$5,标准坦克设计!$B$14:$K$20,9)/30))</f>
        <v>21.625414690370157</v>
      </c>
      <c r="DR120" s="172">
        <f ca="1">(VLOOKUP(DR$72,INDIRECT($C$5&amp;"生成成长"),2))/((VLOOKUP($B120,INDIRECT($B$5&amp;"生成成长"),4))/(VLOOKUP(DR$72,INDIRECT($C$5&amp;"生成成长"),5))*(VLOOKUP($B$5,标准坦克设计!$B$24:$U$30,MATCH("对"&amp;LEFT($C$5,2)&amp;"输出",标准坦克设计!$B$23:$U$23,0)))*(VLOOKUP($B120,INDIRECT($B$5&amp;"生成成长"),3))*(VLOOKUP($B$5,标准坦克设计!$B$14:$K$20,9)/30))</f>
        <v>23.500509053318996</v>
      </c>
      <c r="DS120" s="172">
        <f ca="1">(VLOOKUP(DS$72,INDIRECT($C$5&amp;"生成成长"),2))/((VLOOKUP($B120,INDIRECT($B$5&amp;"生成成长"),4))/(VLOOKUP(DS$72,INDIRECT($C$5&amp;"生成成长"),5))*(VLOOKUP($B$5,标准坦克设计!$B$24:$U$30,MATCH("对"&amp;LEFT($C$5,2)&amp;"输出",标准坦克设计!$B$23:$U$23,0)))*(VLOOKUP($B120,INDIRECT($B$5&amp;"生成成长"),3))*(VLOOKUP($B$5,标准坦克设计!$B$14:$K$20,9)/30))</f>
        <v>25.453551911725288</v>
      </c>
      <c r="DT120" s="172">
        <f ca="1">(VLOOKUP(DT$72,INDIRECT($C$5&amp;"生成成长"),2))/((VLOOKUP($B120,INDIRECT($B$5&amp;"生成成长"),4))/(VLOOKUP(DT$72,INDIRECT($C$5&amp;"生成成长"),5))*(VLOOKUP($B$5,标准坦克设计!$B$24:$U$30,MATCH("对"&amp;LEFT($C$5,2)&amp;"输出",标准坦克设计!$B$23:$U$23,0)))*(VLOOKUP($B120,INDIRECT($B$5&amp;"生成成长"),3))*(VLOOKUP($B$5,标准坦克设计!$B$14:$K$20,9)/30))</f>
        <v>27.946460275707299</v>
      </c>
      <c r="DU120" s="172">
        <f ca="1">(VLOOKUP(DU$72,INDIRECT($C$5&amp;"生成成长"),2))/((VLOOKUP($B120,INDIRECT($B$5&amp;"生成成长"),4))/(VLOOKUP(DU$72,INDIRECT($C$5&amp;"生成成长"),5))*(VLOOKUP($B$5,标准坦克设计!$B$24:$U$30,MATCH("对"&amp;LEFT($C$5,2)&amp;"输出",标准坦克设计!$B$23:$U$23,0)))*(VLOOKUP($B120,INDIRECT($B$5&amp;"生成成长"),3))*(VLOOKUP($B$5,标准坦克设计!$B$14:$K$20,9)/30))</f>
        <v>30.555810219323302</v>
      </c>
      <c r="DV120" s="172">
        <f ca="1">(VLOOKUP(DV$72,INDIRECT($C$5&amp;"生成成长"),2))/((VLOOKUP($B120,INDIRECT($B$5&amp;"生成成长"),4))/(VLOOKUP(DV$72,INDIRECT($C$5&amp;"生成成长"),5))*(VLOOKUP($B$5,标准坦克设计!$B$24:$U$30,MATCH("对"&amp;LEFT($C$5,2)&amp;"输出",标准坦克设计!$B$23:$U$23,0)))*(VLOOKUP($B120,INDIRECT($B$5&amp;"生成成长"),3))*(VLOOKUP($B$5,标准坦克设计!$B$14:$K$20,9)/30))</f>
        <v>33.281601742573272</v>
      </c>
      <c r="DW120" s="172">
        <f ca="1">(VLOOKUP(DW$72,INDIRECT($C$5&amp;"生成成长"),2))/((VLOOKUP($B120,INDIRECT($B$5&amp;"生成成长"),4))/(VLOOKUP(DW$72,INDIRECT($C$5&amp;"生成成长"),5))*(VLOOKUP($B$5,标准坦克设计!$B$24:$U$30,MATCH("对"&amp;LEFT($C$5,2)&amp;"输出",标准坦克设计!$B$23:$U$23,0)))*(VLOOKUP($B120,INDIRECT($B$5&amp;"生成成长"),3))*(VLOOKUP($B$5,标准坦克设计!$B$14:$K$20,9)/30))</f>
        <v>36.123834845457232</v>
      </c>
      <c r="DX120" s="172">
        <f ca="1">(VLOOKUP(DX$72,INDIRECT($C$5&amp;"生成成长"),2))/((VLOOKUP($B120,INDIRECT($B$5&amp;"生成成长"),4))/(VLOOKUP(DX$72,INDIRECT($C$5&amp;"生成成长"),5))*(VLOOKUP($B$5,标准坦克设计!$B$24:$U$30,MATCH("对"&amp;LEFT($C$5,2)&amp;"输出",标准坦克设计!$B$23:$U$23,0)))*(VLOOKUP($B120,INDIRECT($B$5&amp;"生成成长"),3))*(VLOOKUP($B$5,标准坦克设计!$B$14:$K$20,9)/30))</f>
        <v>39.082509527975155</v>
      </c>
      <c r="DY120" s="172">
        <f ca="1">(VLOOKUP(DY$72,INDIRECT($C$5&amp;"生成成长"),2))/((VLOOKUP($B120,INDIRECT($B$5&amp;"生成成长"),4))/(VLOOKUP(DY$72,INDIRECT($C$5&amp;"生成成长"),5))*(VLOOKUP($B$5,标准坦克设计!$B$24:$U$30,MATCH("对"&amp;LEFT($C$5,2)&amp;"输出",标准坦克设计!$B$23:$U$23,0)))*(VLOOKUP($B120,INDIRECT($B$5&amp;"生成成长"),3))*(VLOOKUP($B$5,标准坦克设计!$B$14:$K$20,9)/30))</f>
        <v>17.553327548046319</v>
      </c>
      <c r="DZ120" s="172">
        <f ca="1">(VLOOKUP(DZ$72,INDIRECT($C$5&amp;"生成成长"),2))/((VLOOKUP($B120,INDIRECT($B$5&amp;"生成成长"),4))/(VLOOKUP(DZ$72,INDIRECT($C$5&amp;"生成成长"),5))*(VLOOKUP($B$5,标准坦克设计!$B$24:$U$30,MATCH("对"&amp;LEFT($C$5,2)&amp;"输出",标准坦克设计!$B$23:$U$23,0)))*(VLOOKUP($B120,INDIRECT($B$5&amp;"生成成长"),3))*(VLOOKUP($B$5,标准坦克设计!$B$14:$K$20,9)/30))</f>
        <v>19.439488672695902</v>
      </c>
      <c r="EA120" s="172">
        <f ca="1">(VLOOKUP(EA$72,INDIRECT($C$5&amp;"生成成长"),2))/((VLOOKUP($B120,INDIRECT($B$5&amp;"生成成长"),4))/(VLOOKUP(EA$72,INDIRECT($C$5&amp;"生成成长"),5))*(VLOOKUP($B$5,标准坦克设计!$B$24:$U$30,MATCH("对"&amp;LEFT($C$5,2)&amp;"输出",标准坦克设计!$B$23:$U$23,0)))*(VLOOKUP($B120,INDIRECT($B$5&amp;"生成成长"),3))*(VLOOKUP($B$5,标准坦克设计!$B$14:$K$20,9)/30))</f>
        <v>21.421882507786794</v>
      </c>
      <c r="EB120" s="172">
        <f ca="1">(VLOOKUP(EB$72,INDIRECT($C$5&amp;"生成成长"),2))/((VLOOKUP($B120,INDIRECT($B$5&amp;"生成成长"),4))/(VLOOKUP(EB$72,INDIRECT($C$5&amp;"生成成长"),5))*(VLOOKUP($B$5,标准坦克设计!$B$24:$U$30,MATCH("对"&amp;LEFT($C$5,2)&amp;"输出",标准坦克设计!$B$23:$U$23,0)))*(VLOOKUP($B120,INDIRECT($B$5&amp;"生成成长"),3))*(VLOOKUP($B$5,标准坦克设计!$B$14:$K$20,9)/30))</f>
        <v>23.500509053318996</v>
      </c>
      <c r="EC120" s="172">
        <f ca="1">(VLOOKUP(EC$72,INDIRECT($C$5&amp;"生成成长"),2))/((VLOOKUP($B120,INDIRECT($B$5&amp;"生成成长"),4))/(VLOOKUP(EC$72,INDIRECT($C$5&amp;"生成成长"),5))*(VLOOKUP($B$5,标准坦克设计!$B$24:$U$30,MATCH("对"&amp;LEFT($C$5,2)&amp;"输出",标准坦克设计!$B$23:$U$23,0)))*(VLOOKUP($B120,INDIRECT($B$5&amp;"生成成长"),3))*(VLOOKUP($B$5,标准坦克设计!$B$14:$K$20,9)/30))</f>
        <v>25.675368309292487</v>
      </c>
      <c r="ED120" s="172">
        <f ca="1">(VLOOKUP(ED$72,INDIRECT($C$5&amp;"生成成长"),2))/((VLOOKUP($B120,INDIRECT($B$5&amp;"生成成长"),4))/(VLOOKUP(ED$72,INDIRECT($C$5&amp;"生成成长"),5))*(VLOOKUP($B$5,标准坦克设计!$B$24:$U$30,MATCH("对"&amp;LEFT($C$5,2)&amp;"输出",标准坦克设计!$B$23:$U$23,0)))*(VLOOKUP($B120,INDIRECT($B$5&amp;"生成成长"),3))*(VLOOKUP($B$5,标准坦克设计!$B$14:$K$20,9)/30))</f>
        <v>27.946460275707299</v>
      </c>
      <c r="EE120" s="172">
        <f ca="1">(VLOOKUP(EE$72,INDIRECT($C$5&amp;"生成成长"),2))/((VLOOKUP($B120,INDIRECT($B$5&amp;"生成成长"),4))/(VLOOKUP(EE$72,INDIRECT($C$5&amp;"生成成长"),5))*(VLOOKUP($B$5,标准坦克设计!$B$24:$U$30,MATCH("对"&amp;LEFT($C$5,2)&amp;"输出",标准坦克设计!$B$23:$U$23,0)))*(VLOOKUP($B120,INDIRECT($B$5&amp;"生成成长"),3))*(VLOOKUP($B$5,标准坦克设计!$B$14:$K$20,9)/30))</f>
        <v>30.313784952563417</v>
      </c>
      <c r="EF120" s="172">
        <f ca="1">(VLOOKUP(EF$72,INDIRECT($C$5&amp;"生成成长"),2))/((VLOOKUP($B120,INDIRECT($B$5&amp;"生成成长"),4))/(VLOOKUP(EF$72,INDIRECT($C$5&amp;"生成成长"),5))*(VLOOKUP($B$5,标准坦克设计!$B$24:$U$30,MATCH("对"&amp;LEFT($C$5,2)&amp;"输出",标准坦克设计!$B$23:$U$23,0)))*(VLOOKUP($B120,INDIRECT($B$5&amp;"生成成长"),3))*(VLOOKUP($B$5,标准坦克设计!$B$14:$K$20,9)/30))</f>
        <v>32.777342339860837</v>
      </c>
      <c r="EG120" s="172">
        <f ca="1">(VLOOKUP(EG$72,INDIRECT($C$5&amp;"生成成长"),2))/((VLOOKUP($B120,INDIRECT($B$5&amp;"生成成长"),4))/(VLOOKUP(EG$72,INDIRECT($C$5&amp;"生成成长"),5))*(VLOOKUP($B$5,标准坦克设计!$B$24:$U$30,MATCH("对"&amp;LEFT($C$5,2)&amp;"输出",标准坦克设计!$B$23:$U$23,0)))*(VLOOKUP($B120,INDIRECT($B$5&amp;"生成成长"),3))*(VLOOKUP($B$5,标准坦克设计!$B$14:$K$20,9)/30))</f>
        <v>35.337132437599564</v>
      </c>
      <c r="EH120" s="172">
        <f ca="1">(VLOOKUP(EH$72,INDIRECT($C$5&amp;"生成成长"),2))/((VLOOKUP($B120,INDIRECT($B$5&amp;"生成成长"),4))/(VLOOKUP(EH$72,INDIRECT($C$5&amp;"生成成长"),5))*(VLOOKUP($B$5,标准坦克设计!$B$24:$U$30,MATCH("对"&amp;LEFT($C$5,2)&amp;"输出",标准坦克设计!$B$23:$U$23,0)))*(VLOOKUP($B120,INDIRECT($B$5&amp;"生成成长"),3))*(VLOOKUP($B$5,标准坦克设计!$B$14:$K$20,9)/30))</f>
        <v>37.99315524577959</v>
      </c>
      <c r="EI120" s="172">
        <f ca="1">(VLOOKUP(EI$72,INDIRECT($C$5&amp;"生成成长"),2))/((VLOOKUP($B120,INDIRECT($B$5&amp;"生成成长"),4))/(VLOOKUP(EI$72,INDIRECT($C$5&amp;"生成成长"),5))*(VLOOKUP($B$5,标准坦克设计!$B$24:$U$30,MATCH("对"&amp;LEFT($C$5,2)&amp;"输出",标准坦克设计!$B$23:$U$23,0)))*(VLOOKUP($B120,INDIRECT($B$5&amp;"生成成长"),3))*(VLOOKUP($B$5,标准坦克设计!$B$14:$K$20,9)/30))</f>
        <v>40.745410764400923</v>
      </c>
      <c r="EJ120" s="172">
        <f ca="1">(VLOOKUP(EJ$72,INDIRECT($C$5&amp;"生成成长"),2))/((VLOOKUP($B120,INDIRECT($B$5&amp;"生成成长"),4))/(VLOOKUP(EJ$72,INDIRECT($C$5&amp;"生成成长"),5))*(VLOOKUP($B$5,标准坦克设计!$B$24:$U$30,MATCH("对"&amp;LEFT($C$5,2)&amp;"输出",标准坦克设计!$B$23:$U$23,0)))*(VLOOKUP($B120,INDIRECT($B$5&amp;"生成成长"),3))*(VLOOKUP($B$5,标准坦克设计!$B$14:$K$20,9)/30))</f>
        <v>43.593898993463569</v>
      </c>
      <c r="EK120" s="172">
        <f ca="1">(VLOOKUP(EK$72,INDIRECT($C$5&amp;"生成成长"),2))/((VLOOKUP($B120,INDIRECT($B$5&amp;"生成成长"),4))/(VLOOKUP(EK$72,INDIRECT($C$5&amp;"生成成长"),5))*(VLOOKUP($B$5,标准坦克设计!$B$24:$U$30,MATCH("对"&amp;LEFT($C$5,2)&amp;"输出",标准坦克设计!$B$23:$U$23,0)))*(VLOOKUP($B120,INDIRECT($B$5&amp;"生成成长"),3))*(VLOOKUP($B$5,标准坦克设计!$B$14:$K$20,9)/30))</f>
        <v>47.139112046121248</v>
      </c>
      <c r="EL120" s="172">
        <f ca="1">(VLOOKUP(EL$72,INDIRECT($C$5&amp;"生成成长"),2))/((VLOOKUP($B120,INDIRECT($B$5&amp;"生成成长"),4))/(VLOOKUP(EL$72,INDIRECT($C$5&amp;"生成成长"),5))*(VLOOKUP($B$5,标准坦克设计!$B$24:$U$30,MATCH("对"&amp;LEFT($C$5,2)&amp;"输出",标准坦克设计!$B$23:$U$23,0)))*(VLOOKUP($B120,INDIRECT($B$5&amp;"生成成长"),3))*(VLOOKUP($B$5,标准坦克设计!$B$14:$K$20,9)/30))</f>
        <v>50.822900201814427</v>
      </c>
      <c r="EM120" s="172">
        <f ca="1">(VLOOKUP(EM$72,INDIRECT($C$5&amp;"生成成长"),2))/((VLOOKUP($B120,INDIRECT($B$5&amp;"生成成长"),4))/(VLOOKUP(EM$72,INDIRECT($C$5&amp;"生成成长"),5))*(VLOOKUP($B$5,标准坦克设计!$B$24:$U$30,MATCH("对"&amp;LEFT($C$5,2)&amp;"输出",标准坦克设计!$B$23:$U$23,0)))*(VLOOKUP($B120,INDIRECT($B$5&amp;"生成成长"),3))*(VLOOKUP($B$5,标准坦克设计!$B$14:$K$20,9)/30))</f>
        <v>54.645263460543077</v>
      </c>
      <c r="EN120" s="172">
        <f ca="1">(VLOOKUP(EN$72,INDIRECT($C$5&amp;"生成成长"),2))/((VLOOKUP($B120,INDIRECT($B$5&amp;"生成成长"),4))/(VLOOKUP(EN$72,INDIRECT($C$5&amp;"生成成长"),5))*(VLOOKUP($B$5,标准坦克设计!$B$24:$U$30,MATCH("对"&amp;LEFT($C$5,2)&amp;"输出",标准坦克设计!$B$23:$U$23,0)))*(VLOOKUP($B120,INDIRECT($B$5&amp;"生成成长"),3))*(VLOOKUP($B$5,标准坦克设计!$B$14:$K$20,9)/30))</f>
        <v>58.606201822307206</v>
      </c>
      <c r="EO120" s="172">
        <f ca="1">(VLOOKUP(EO$72,INDIRECT($C$5&amp;"生成成长"),2))/((VLOOKUP($B120,INDIRECT($B$5&amp;"生成成长"),4))/(VLOOKUP(EO$72,INDIRECT($C$5&amp;"生成成长"),5))*(VLOOKUP($B$5,标准坦克设计!$B$24:$U$30,MATCH("对"&amp;LEFT($C$5,2)&amp;"输出",标准坦克设计!$B$23:$U$23,0)))*(VLOOKUP($B120,INDIRECT($B$5&amp;"生成成长"),3))*(VLOOKUP($B$5,标准坦克设计!$B$14:$K$20,9)/30))</f>
        <v>62.705715287106813</v>
      </c>
      <c r="EP120" s="172">
        <f ca="1">(VLOOKUP(EP$72,INDIRECT($C$5&amp;"生成成长"),2))/((VLOOKUP($B120,INDIRECT($B$5&amp;"生成成长"),4))/(VLOOKUP(EP$72,INDIRECT($C$5&amp;"生成成长"),5))*(VLOOKUP($B$5,标准坦克设计!$B$24:$U$30,MATCH("对"&amp;LEFT($C$5,2)&amp;"输出",标准坦克设计!$B$23:$U$23,0)))*(VLOOKUP($B120,INDIRECT($B$5&amp;"生成成长"),3))*(VLOOKUP($B$5,标准坦克设计!$B$14:$K$20,9)/30))</f>
        <v>66.943803854941919</v>
      </c>
      <c r="EQ120" s="172">
        <f ca="1">(VLOOKUP(EQ$72,INDIRECT($C$5&amp;"生成成长"),2))/((VLOOKUP($B120,INDIRECT($B$5&amp;"生成成长"),4))/(VLOOKUP(EQ$72,INDIRECT($C$5&amp;"生成成长"),5))*(VLOOKUP($B$5,标准坦克设计!$B$24:$U$30,MATCH("对"&amp;LEFT($C$5,2)&amp;"输出",标准坦克设计!$B$23:$U$23,0)))*(VLOOKUP($B120,INDIRECT($B$5&amp;"生成成长"),3))*(VLOOKUP($B$5,标准坦克设计!$B$14:$K$20,9)/30))</f>
        <v>29.593483114910249</v>
      </c>
      <c r="ER120" s="172">
        <f ca="1">(VLOOKUP(ER$72,INDIRECT($C$5&amp;"生成成长"),2))/((VLOOKUP($B120,INDIRECT($B$5&amp;"生成成长"),4))/(VLOOKUP(ER$72,INDIRECT($C$5&amp;"生成成长"),5))*(VLOOKUP($B$5,标准坦克设计!$B$24:$U$30,MATCH("对"&amp;LEFT($C$5,2)&amp;"输出",标准坦克设计!$B$23:$U$23,0)))*(VLOOKUP($B120,INDIRECT($B$5&amp;"生成成长"),3))*(VLOOKUP($B$5,标准坦克设计!$B$14:$K$20,9)/30))</f>
        <v>32.276932245566051</v>
      </c>
      <c r="ES120" s="172">
        <f ca="1">(VLOOKUP(ES$72,INDIRECT($C$5&amp;"生成成长"),2))/((VLOOKUP($B120,INDIRECT($B$5&amp;"生成成长"),4))/(VLOOKUP(ES$72,INDIRECT($C$5&amp;"生成成长"),5))*(VLOOKUP($B$5,标准坦克设计!$B$24:$U$30,MATCH("对"&amp;LEFT($C$5,2)&amp;"输出",标准坦克设计!$B$23:$U$23,0)))*(VLOOKUP($B120,INDIRECT($B$5&amp;"生成成长"),3))*(VLOOKUP($B$5,标准坦克设计!$B$14:$K$20,9)/30))</f>
        <v>35.076822955855825</v>
      </c>
      <c r="ET120" s="172">
        <f ca="1">(VLOOKUP(ET$72,INDIRECT($C$5&amp;"生成成长"),2))/((VLOOKUP($B120,INDIRECT($B$5&amp;"生成成长"),4))/(VLOOKUP(ET$72,INDIRECT($C$5&amp;"生成成长"),5))*(VLOOKUP($B$5,标准坦克设计!$B$24:$U$30,MATCH("对"&amp;LEFT($C$5,2)&amp;"输出",标准坦克设计!$B$23:$U$23,0)))*(VLOOKUP($B120,INDIRECT($B$5&amp;"生成成长"),3))*(VLOOKUP($B$5,标准坦克设计!$B$14:$K$20,9)/30))</f>
        <v>37.99315524577959</v>
      </c>
      <c r="EU120" s="172">
        <f ca="1">(VLOOKUP(EU$72,INDIRECT($C$5&amp;"生成成长"),2))/((VLOOKUP($B120,INDIRECT($B$5&amp;"生成成长"),4))/(VLOOKUP(EU$72,INDIRECT($C$5&amp;"生成成长"),5))*(VLOOKUP($B$5,标准坦克设计!$B$24:$U$30,MATCH("对"&amp;LEFT($C$5,2)&amp;"输出",标准坦克设计!$B$23:$U$23,0)))*(VLOOKUP($B120,INDIRECT($B$5&amp;"生成成长"),3))*(VLOOKUP($B$5,标准坦克设计!$B$14:$K$20,9)/30))</f>
        <v>41.025929115337327</v>
      </c>
      <c r="EV120" s="172">
        <f ca="1">(VLOOKUP(EV$72,INDIRECT($C$5&amp;"生成成长"),2))/((VLOOKUP($B120,INDIRECT($B$5&amp;"生成成长"),4))/(VLOOKUP(EV$72,INDIRECT($C$5&amp;"生成成长"),5))*(VLOOKUP($B$5,标准坦克设计!$B$24:$U$30,MATCH("对"&amp;LEFT($C$5,2)&amp;"输出",标准坦克设计!$B$23:$U$23,0)))*(VLOOKUP($B120,INDIRECT($B$5&amp;"生成成长"),3))*(VLOOKUP($B$5,标准坦克设计!$B$14:$K$20,9)/30))</f>
        <v>44.175144564529042</v>
      </c>
      <c r="EW120" s="172">
        <f ca="1">(VLOOKUP(EW$72,INDIRECT($C$5&amp;"生成成长"),2))/((VLOOKUP($B120,INDIRECT($B$5&amp;"生成成长"),4))/(VLOOKUP(EW$72,INDIRECT($C$5&amp;"生成成长"),5))*(VLOOKUP($B$5,标准坦克设计!$B$24:$U$30,MATCH("对"&amp;LEFT($C$5,2)&amp;"输出",标准坦克设计!$B$23:$U$23,0)))*(VLOOKUP($B120,INDIRECT($B$5&amp;"生成成长"),3))*(VLOOKUP($B$5,标准坦克设计!$B$14:$K$20,9)/30))</f>
        <v>47.440801593354742</v>
      </c>
      <c r="EX120" s="172">
        <f ca="1">(VLOOKUP(EX$72,INDIRECT($C$5&amp;"生成成长"),2))/((VLOOKUP($B120,INDIRECT($B$5&amp;"生成成长"),4))/(VLOOKUP(EX$72,INDIRECT($C$5&amp;"生成成长"),5))*(VLOOKUP($B$5,标准坦克设计!$B$24:$U$30,MATCH("对"&amp;LEFT($C$5,2)&amp;"输出",标准坦克设计!$B$23:$U$23,0)))*(VLOOKUP($B120,INDIRECT($B$5&amp;"生成成长"),3))*(VLOOKUP($B$5,标准坦克设计!$B$14:$K$20,9)/30))</f>
        <v>50.822900201814427</v>
      </c>
      <c r="EY120" s="172">
        <f ca="1">(VLOOKUP(EY$72,INDIRECT($C$5&amp;"生成成长"),2))/((VLOOKUP($B120,INDIRECT($B$5&amp;"生成成长"),4))/(VLOOKUP(EY$72,INDIRECT($C$5&amp;"生成成长"),5))*(VLOOKUP($B$5,标准坦克设计!$B$24:$U$30,MATCH("对"&amp;LEFT($C$5,2)&amp;"输出",标准坦克设计!$B$23:$U$23,0)))*(VLOOKUP($B120,INDIRECT($B$5&amp;"生成成长"),3))*(VLOOKUP($B$5,标准坦克设计!$B$14:$K$20,9)/30))</f>
        <v>54.321440389908076</v>
      </c>
      <c r="EZ120" s="172">
        <f ca="1">(VLOOKUP(EZ$72,INDIRECT($C$5&amp;"生成成长"),2))/((VLOOKUP($B120,INDIRECT($B$5&amp;"生成成长"),4))/(VLOOKUP(EZ$72,INDIRECT($C$5&amp;"生成成长"),5))*(VLOOKUP($B$5,标准坦克设计!$B$24:$U$30,MATCH("对"&amp;LEFT($C$5,2)&amp;"输出",标准坦克设计!$B$23:$U$23,0)))*(VLOOKUP($B120,INDIRECT($B$5&amp;"生成成长"),3))*(VLOOKUP($B$5,标准坦克设计!$B$14:$K$20,9)/30))</f>
        <v>57.936422157635718</v>
      </c>
      <c r="FA120" s="172">
        <f ca="1">(VLOOKUP(FA$72,INDIRECT($C$5&amp;"生成成长"),2))/((VLOOKUP($B120,INDIRECT($B$5&amp;"生成成长"),4))/(VLOOKUP(FA$72,INDIRECT($C$5&amp;"生成成长"),5))*(VLOOKUP($B$5,标准坦克设计!$B$24:$U$30,MATCH("对"&amp;LEFT($C$5,2)&amp;"输出",标准坦克设计!$B$23:$U$23,0)))*(VLOOKUP($B120,INDIRECT($B$5&amp;"生成成长"),3))*(VLOOKUP($B$5,标准坦克设计!$B$14:$K$20,9)/30))</f>
        <v>61.667845504997345</v>
      </c>
      <c r="FB120" s="172">
        <f ca="1">(VLOOKUP(FB$72,INDIRECT($C$5&amp;"生成成长"),2))/((VLOOKUP($B120,INDIRECT($B$5&amp;"生成成长"),4))/(VLOOKUP(FB$72,INDIRECT($C$5&amp;"生成成长"),5))*(VLOOKUP($B$5,标准坦克设计!$B$24:$U$30,MATCH("对"&amp;LEFT($C$5,2)&amp;"输出",标准坦克设计!$B$23:$U$23,0)))*(VLOOKUP($B120,INDIRECT($B$5&amp;"生成成长"),3))*(VLOOKUP($B$5,标准坦克设计!$B$14:$K$20,9)/30))</f>
        <v>65.515710431992943</v>
      </c>
      <c r="FC120" s="172">
        <f ca="1">(VLOOKUP(FC$72,INDIRECT($C$5&amp;"生成成长"),2))/((VLOOKUP($B120,INDIRECT($B$5&amp;"生成成长"),4))/(VLOOKUP(FC$72,INDIRECT($C$5&amp;"生成成长"),5))*(VLOOKUP($B$5,标准坦克设计!$B$24:$U$30,MATCH("对"&amp;LEFT($C$5,2)&amp;"输出",标准坦克设计!$B$23:$U$23,0)))*(VLOOKUP($B120,INDIRECT($B$5&amp;"生成成长"),3))*(VLOOKUP($B$5,标准坦克设计!$B$14:$K$20,9)/30))</f>
        <v>69.480016938622512</v>
      </c>
      <c r="FD120" s="172">
        <f ca="1">(VLOOKUP(FD$72,INDIRECT($C$5&amp;"生成成长"),2))/((VLOOKUP($B120,INDIRECT($B$5&amp;"生成成长"),4))/(VLOOKUP(FD$72,INDIRECT($C$5&amp;"生成成长"),5))*(VLOOKUP($B$5,标准坦克设计!$B$24:$U$30,MATCH("对"&amp;LEFT($C$5,2)&amp;"输出",标准坦克设计!$B$23:$U$23,0)))*(VLOOKUP($B120,INDIRECT($B$5&amp;"生成成长"),3))*(VLOOKUP($B$5,标准坦克设计!$B$14:$K$20,9)/30))</f>
        <v>73.560765024886081</v>
      </c>
      <c r="FE120" s="172">
        <f ca="1">(VLOOKUP(FE$72,INDIRECT($C$5&amp;"生成成长"),2))/((VLOOKUP($B120,INDIRECT($B$5&amp;"生成成长"),4))/(VLOOKUP(FE$72,INDIRECT($C$5&amp;"生成成长"),5))*(VLOOKUP($B$5,标准坦克设计!$B$24:$U$30,MATCH("对"&amp;LEFT($C$5,2)&amp;"输出",标准坦克设计!$B$23:$U$23,0)))*(VLOOKUP($B120,INDIRECT($B$5&amp;"生成成长"),3))*(VLOOKUP($B$5,标准坦克设计!$B$14:$K$20,9)/30))</f>
        <v>78.53359033694052</v>
      </c>
      <c r="FF120" s="172">
        <f ca="1">(VLOOKUP(FF$72,INDIRECT($C$5&amp;"生成成长"),2))/((VLOOKUP($B120,INDIRECT($B$5&amp;"生成成长"),4))/(VLOOKUP(FF$72,INDIRECT($C$5&amp;"生成成长"),5))*(VLOOKUP($B$5,标准坦克设计!$B$24:$U$30,MATCH("对"&amp;LEFT($C$5,2)&amp;"输出",标准坦克设计!$B$23:$U$23,0)))*(VLOOKUP($B120,INDIRECT($B$5&amp;"生成成长"),3))*(VLOOKUP($B$5,标准坦克设计!$B$14:$K$20,9)/30))</f>
        <v>83.669048929640795</v>
      </c>
      <c r="FG120" s="172">
        <f ca="1">(VLOOKUP(FG$72,INDIRECT($C$5&amp;"生成成长"),2))/((VLOOKUP($B120,INDIRECT($B$5&amp;"生成成长"),4))/(VLOOKUP(FG$72,INDIRECT($C$5&amp;"生成成长"),5))*(VLOOKUP($B$5,标准坦克设计!$B$24:$U$30,MATCH("对"&amp;LEFT($C$5,2)&amp;"输出",标准坦克设计!$B$23:$U$23,0)))*(VLOOKUP($B120,INDIRECT($B$5&amp;"生成成长"),3))*(VLOOKUP($B$5,标准坦克设计!$B$14:$K$20,9)/30))</f>
        <v>88.967140802986847</v>
      </c>
      <c r="FH120" s="172">
        <f ca="1">(VLOOKUP(FH$72,INDIRECT($C$5&amp;"生成成长"),2))/((VLOOKUP($B120,INDIRECT($B$5&amp;"生成成长"),4))/(VLOOKUP(FH$72,INDIRECT($C$5&amp;"生成成长"),5))*(VLOOKUP($B$5,标准坦克设计!$B$24:$U$30,MATCH("对"&amp;LEFT($C$5,2)&amp;"输出",标准坦克设计!$B$23:$U$23,0)))*(VLOOKUP($B120,INDIRECT($B$5&amp;"生成成长"),3))*(VLOOKUP($B$5,标准坦克设计!$B$14:$K$20,9)/30))</f>
        <v>94.427865956978735</v>
      </c>
      <c r="FI120" s="172">
        <f ca="1">(VLOOKUP(FI$72,INDIRECT($C$5&amp;"生成成长"),2))/((VLOOKUP($B120,INDIRECT($B$5&amp;"生成成长"),4))/(VLOOKUP(FI$72,INDIRECT($C$5&amp;"生成成长"),5))*(VLOOKUP($B$5,标准坦克设计!$B$24:$U$30,MATCH("对"&amp;LEFT($C$5,2)&amp;"输出",标准坦克设计!$B$23:$U$23,0)))*(VLOOKUP($B120,INDIRECT($B$5&amp;"生成成长"),3))*(VLOOKUP($B$5,标准坦克设计!$B$14:$K$20,9)/30))</f>
        <v>100.05122439161643</v>
      </c>
      <c r="FJ120" s="172">
        <f ca="1">(VLOOKUP(FJ$72,INDIRECT($C$5&amp;"生成成长"),2))/((VLOOKUP($B120,INDIRECT($B$5&amp;"生成成长"),4))/(VLOOKUP(FJ$72,INDIRECT($C$5&amp;"生成成长"),5))*(VLOOKUP($B$5,标准坦克设计!$B$24:$U$30,MATCH("对"&amp;LEFT($C$5,2)&amp;"输出",标准坦克设计!$B$23:$U$23,0)))*(VLOOKUP($B120,INDIRECT($B$5&amp;"生成成长"),3))*(VLOOKUP($B$5,标准坦克设计!$B$14:$K$20,9)/30))</f>
        <v>105.83721610689994</v>
      </c>
      <c r="FK120" s="172">
        <f ca="1">(VLOOKUP(FK$72,INDIRECT($C$5&amp;"生成成长"),2))/((VLOOKUP($B120,INDIRECT($B$5&amp;"生成成长"),4))/(VLOOKUP(FK$72,INDIRECT($C$5&amp;"生成成长"),5))*(VLOOKUP($B$5,标准坦克设计!$B$24:$U$30,MATCH("对"&amp;LEFT($C$5,2)&amp;"输出",标准坦克设计!$B$23:$U$23,0)))*(VLOOKUP($B120,INDIRECT($B$5&amp;"生成成长"),3))*(VLOOKUP($B$5,标准坦克设计!$B$14:$K$20,9)/30))</f>
        <v>111.7858411028292</v>
      </c>
    </row>
    <row r="121" spans="1:167" x14ac:dyDescent="0.15">
      <c r="A121" s="170" t="str">
        <f t="shared" si="11"/>
        <v>T2中品质4级</v>
      </c>
      <c r="B121" s="171">
        <v>20204</v>
      </c>
      <c r="C121" s="172">
        <f ca="1">(VLOOKUP(C$72,INDIRECT($C$5&amp;"生成成长"),2))/((VLOOKUP($B121,INDIRECT($B$5&amp;"生成成长"),4))/(VLOOKUP(C$72,INDIRECT($C$5&amp;"生成成长"),5))*(VLOOKUP($B$5,标准坦克设计!$B$24:$U$30,MATCH("对"&amp;LEFT($C$5,2)&amp;"输出",标准坦克设计!$B$23:$U$23,0)))*(VLOOKUP($B121,INDIRECT($B$5&amp;"生成成长"),3))*(VLOOKUP($B$5,标准坦克设计!$B$14:$K$20,9)/30))</f>
        <v>4.2842356721342183</v>
      </c>
      <c r="D121" s="172">
        <f ca="1">(VLOOKUP(D$72,INDIRECT($C$5&amp;"生成成长"),2))/((VLOOKUP($B121,INDIRECT($B$5&amp;"生成成长"),4))/(VLOOKUP(D$72,INDIRECT($C$5&amp;"生成成长"),5))*(VLOOKUP($B$5,标准坦克设计!$B$24:$U$30,MATCH("对"&amp;LEFT($C$5,2)&amp;"输出",标准坦克设计!$B$23:$U$23,0)))*(VLOOKUP($B121,INDIRECT($B$5&amp;"生成成长"),3))*(VLOOKUP($B$5,标准坦克设计!$B$14:$K$20,9)/30))</f>
        <v>4.8137672012100081</v>
      </c>
      <c r="E121" s="172">
        <f ca="1">(VLOOKUP(E$72,INDIRECT($C$5&amp;"生成成长"),2))/((VLOOKUP($B121,INDIRECT($B$5&amp;"生成成长"),4))/(VLOOKUP(E$72,INDIRECT($C$5&amp;"生成成长"),5))*(VLOOKUP($B$5,标准坦克设计!$B$24:$U$30,MATCH("对"&amp;LEFT($C$5,2)&amp;"输出",标准坦克设计!$B$23:$U$23,0)))*(VLOOKUP($B121,INDIRECT($B$5&amp;"生成成长"),3))*(VLOOKUP($B$5,标准坦克设计!$B$14:$K$20,9)/30))</f>
        <v>5.3741452271251644</v>
      </c>
      <c r="F121" s="172">
        <f ca="1">(VLOOKUP(F$72,INDIRECT($C$5&amp;"生成成长"),2))/((VLOOKUP($B121,INDIRECT($B$5&amp;"生成成长"),4))/(VLOOKUP(F$72,INDIRECT($C$5&amp;"生成成长"),5))*(VLOOKUP($B$5,标准坦克设计!$B$24:$U$30,MATCH("对"&amp;LEFT($C$5,2)&amp;"输出",标准坦克设计!$B$23:$U$23,0)))*(VLOOKUP($B121,INDIRECT($B$5&amp;"生成成长"),3))*(VLOOKUP($B$5,标准坦克设计!$B$14:$K$20,9)/30))</f>
        <v>5.9653697498796863</v>
      </c>
      <c r="G121" s="172">
        <f ca="1">(VLOOKUP(G$72,INDIRECT($C$5&amp;"生成成长"),2))/((VLOOKUP($B121,INDIRECT($B$5&amp;"生成成长"),4))/(VLOOKUP(G$72,INDIRECT($C$5&amp;"生成成长"),5))*(VLOOKUP($B$5,标准坦克设计!$B$24:$U$30,MATCH("对"&amp;LEFT($C$5,2)&amp;"输出",标准坦克设计!$B$23:$U$23,0)))*(VLOOKUP($B121,INDIRECT($B$5&amp;"生成成长"),3))*(VLOOKUP($B$5,标准坦克设计!$B$14:$K$20,9)/30))</f>
        <v>6.5874407694735728</v>
      </c>
      <c r="H121" s="172">
        <f ca="1">(VLOOKUP(H$72,INDIRECT($C$5&amp;"生成成长"),2))/((VLOOKUP($B121,INDIRECT($B$5&amp;"生成成长"),4))/(VLOOKUP(H$72,INDIRECT($C$5&amp;"生成成长"),5))*(VLOOKUP($B$5,标准坦克设计!$B$24:$U$30,MATCH("对"&amp;LEFT($C$5,2)&amp;"输出",标准坦克设计!$B$23:$U$23,0)))*(VLOOKUP($B121,INDIRECT($B$5&amp;"生成成长"),3))*(VLOOKUP($B$5,标准坦克设计!$B$14:$K$20,9)/30))</f>
        <v>5.7648675204238051</v>
      </c>
      <c r="I121" s="172">
        <f ca="1">(VLOOKUP(I$72,INDIRECT($C$5&amp;"生成成长"),2))/((VLOOKUP($B121,INDIRECT($B$5&amp;"生成成长"),4))/(VLOOKUP(I$72,INDIRECT($C$5&amp;"生成成长"),5))*(VLOOKUP($B$5,标准坦克设计!$B$24:$U$30,MATCH("对"&amp;LEFT($C$5,2)&amp;"输出",标准坦克设计!$B$23:$U$23,0)))*(VLOOKUP($B121,INDIRECT($B$5&amp;"生成成长"),3))*(VLOOKUP($B$5,标准坦克设计!$B$14:$K$20,9)/30))</f>
        <v>6.5874407694735728</v>
      </c>
      <c r="J121" s="172">
        <f ca="1">(VLOOKUP(J$72,INDIRECT($C$5&amp;"生成成长"),2))/((VLOOKUP($B121,INDIRECT($B$5&amp;"生成成长"),4))/(VLOOKUP(J$72,INDIRECT($C$5&amp;"生成成长"),5))*(VLOOKUP($B$5,标准坦克设计!$B$24:$U$30,MATCH("对"&amp;LEFT($C$5,2)&amp;"输出",标准坦克设计!$B$23:$U$23,0)))*(VLOOKUP($B121,INDIRECT($B$5&amp;"生成成长"),3))*(VLOOKUP($B$5,标准坦克设计!$B$14:$K$20,9)/30))</f>
        <v>7.4648522351266626</v>
      </c>
      <c r="K121" s="172">
        <f ca="1">(VLOOKUP(K$72,INDIRECT($C$5&amp;"生成成长"),2))/((VLOOKUP($B121,INDIRECT($B$5&amp;"生成成长"),4))/(VLOOKUP(K$72,INDIRECT($C$5&amp;"生成成长"),5))*(VLOOKUP($B$5,标准坦克设计!$B$24:$U$30,MATCH("对"&amp;LEFT($C$5,2)&amp;"输出",标准坦克设计!$B$23:$U$23,0)))*(VLOOKUP($B121,INDIRECT($B$5&amp;"生成成长"),3))*(VLOOKUP($B$5,标准坦克设计!$B$14:$K$20,9)/30))</f>
        <v>8.3971019173830701</v>
      </c>
      <c r="L121" s="172">
        <f ca="1">(VLOOKUP(L$72,INDIRECT($C$5&amp;"生成成长"),2))/((VLOOKUP($B121,INDIRECT($B$5&amp;"生成成长"),4))/(VLOOKUP(L$72,INDIRECT($C$5&amp;"生成成长"),5))*(VLOOKUP($B$5,标准坦克设计!$B$24:$U$30,MATCH("对"&amp;LEFT($C$5,2)&amp;"输出",标准坦克设计!$B$23:$U$23,0)))*(VLOOKUP($B121,INDIRECT($B$5&amp;"生成成长"),3))*(VLOOKUP($B$5,标准坦克设计!$B$14:$K$20,9)/30))</f>
        <v>9.3841898162427917</v>
      </c>
      <c r="M121" s="172">
        <f ca="1">(VLOOKUP(M$72,INDIRECT($C$5&amp;"生成成长"),2))/((VLOOKUP($B121,INDIRECT($B$5&amp;"生成成长"),4))/(VLOOKUP(M$72,INDIRECT($C$5&amp;"生成成长"),5))*(VLOOKUP($B$5,标准坦克设计!$B$24:$U$30,MATCH("对"&amp;LEFT($C$5,2)&amp;"输出",标准坦克设计!$B$23:$U$23,0)))*(VLOOKUP($B121,INDIRECT($B$5&amp;"生成成长"),3))*(VLOOKUP($B$5,标准坦克设计!$B$14:$K$20,9)/30))</f>
        <v>10.426115931705835</v>
      </c>
      <c r="N121" s="172">
        <f ca="1">(VLOOKUP(N$72,INDIRECT($C$5&amp;"生成成长"),2))/((VLOOKUP($B121,INDIRECT($B$5&amp;"生成成长"),4))/(VLOOKUP(N$72,INDIRECT($C$5&amp;"生成成长"),5))*(VLOOKUP($B$5,标准坦克设计!$B$24:$U$30,MATCH("对"&amp;LEFT($C$5,2)&amp;"输出",标准坦克设计!$B$23:$U$23,0)))*(VLOOKUP($B121,INDIRECT($B$5&amp;"生成成长"),3))*(VLOOKUP($B$5,标准坦克设计!$B$14:$K$20,9)/30))</f>
        <v>11.522880263772192</v>
      </c>
      <c r="O121" s="172">
        <f ca="1">(VLOOKUP(O$72,INDIRECT($C$5&amp;"生成成长"),2))/((VLOOKUP($B121,INDIRECT($B$5&amp;"生成成长"),4))/(VLOOKUP(O$72,INDIRECT($C$5&amp;"生成成长"),5))*(VLOOKUP($B$5,标准坦克设计!$B$24:$U$30,MATCH("对"&amp;LEFT($C$5,2)&amp;"输出",标准坦克设计!$B$23:$U$23,0)))*(VLOOKUP($B121,INDIRECT($B$5&amp;"生成成长"),3))*(VLOOKUP($B$5,标准坦克设计!$B$14:$K$20,9)/30))</f>
        <v>8.7608335259472643</v>
      </c>
      <c r="P121" s="172">
        <f ca="1">(VLOOKUP(P$72,INDIRECT($C$5&amp;"生成成长"),2))/((VLOOKUP($B121,INDIRECT($B$5&amp;"生成成长"),4))/(VLOOKUP(P$72,INDIRECT($C$5&amp;"生成成长"),5))*(VLOOKUP($B$5,标准坦克设计!$B$24:$U$30,MATCH("对"&amp;LEFT($C$5,2)&amp;"输出",标准坦克设计!$B$23:$U$23,0)))*(VLOOKUP($B121,INDIRECT($B$5&amp;"生成成长"),3))*(VLOOKUP($B$5,标准坦克设计!$B$14:$K$20,9)/30))</f>
        <v>9.8982980968988983</v>
      </c>
      <c r="Q121" s="172">
        <f ca="1">(VLOOKUP(Q$72,INDIRECT($C$5&amp;"生成成长"),2))/((VLOOKUP($B121,INDIRECT($B$5&amp;"生成成长"),4))/(VLOOKUP(Q$72,INDIRECT($C$5&amp;"生成成长"),5))*(VLOOKUP($B$5,标准坦克设计!$B$24:$U$30,MATCH("对"&amp;LEFT($C$5,2)&amp;"输出",标准坦克设计!$B$23:$U$23,0)))*(VLOOKUP($B121,INDIRECT($B$5&amp;"生成成长"),3))*(VLOOKUP($B$5,标准坦克设计!$B$14:$K$20,9)/30))</f>
        <v>11.105167285739109</v>
      </c>
      <c r="R121" s="172">
        <f ca="1">(VLOOKUP(R$72,INDIRECT($C$5&amp;"生成成长"),2))/((VLOOKUP($B121,INDIRECT($B$5&amp;"生成成长"),4))/(VLOOKUP(R$72,INDIRECT($C$5&amp;"生成成长"),5))*(VLOOKUP($B$5,标准坦克设计!$B$24:$U$30,MATCH("对"&amp;LEFT($C$5,2)&amp;"输出",标准坦克设计!$B$23:$U$23,0)))*(VLOOKUP($B121,INDIRECT($B$5&amp;"生成成长"),3))*(VLOOKUP($B$5,标准坦克设计!$B$14:$K$20,9)/30))</f>
        <v>12.38144109246789</v>
      </c>
      <c r="S121" s="172">
        <f ca="1">(VLOOKUP(S$72,INDIRECT($C$5&amp;"生成成长"),2))/((VLOOKUP($B121,INDIRECT($B$5&amp;"生成成长"),4))/(VLOOKUP(S$72,INDIRECT($C$5&amp;"生成成长"),5))*(VLOOKUP($B$5,标准坦克设计!$B$24:$U$30,MATCH("对"&amp;LEFT($C$5,2)&amp;"输出",标准坦克设计!$B$23:$U$23,0)))*(VLOOKUP($B121,INDIRECT($B$5&amp;"生成成长"),3))*(VLOOKUP($B$5,标准坦克设计!$B$14:$K$20,9)/30))</f>
        <v>13.727119517085248</v>
      </c>
      <c r="T121" s="172">
        <f ca="1">(VLOOKUP(T$72,INDIRECT($C$5&amp;"生成成长"),2))/((VLOOKUP($B121,INDIRECT($B$5&amp;"生成成长"),4))/(VLOOKUP(T$72,INDIRECT($C$5&amp;"生成成长"),5))*(VLOOKUP($B$5,标准坦克设计!$B$24:$U$30,MATCH("对"&amp;LEFT($C$5,2)&amp;"输出",标准坦克设计!$B$23:$U$23,0)))*(VLOOKUP($B121,INDIRECT($B$5&amp;"生成成长"),3))*(VLOOKUP($B$5,标准坦克设计!$B$14:$K$20,9)/30))</f>
        <v>15.14220255959118</v>
      </c>
      <c r="U121" s="172">
        <f ca="1">(VLOOKUP(U$72,INDIRECT($C$5&amp;"生成成长"),2))/((VLOOKUP($B121,INDIRECT($B$5&amp;"生成成长"),4))/(VLOOKUP(U$72,INDIRECT($C$5&amp;"生成成长"),5))*(VLOOKUP($B$5,标准坦克设计!$B$24:$U$30,MATCH("对"&amp;LEFT($C$5,2)&amp;"输出",标准坦克设计!$B$23:$U$23,0)))*(VLOOKUP($B121,INDIRECT($B$5&amp;"生成成长"),3))*(VLOOKUP($B$5,标准坦克设计!$B$14:$K$20,9)/30))</f>
        <v>16.62669021998569</v>
      </c>
      <c r="V121" s="172">
        <f ca="1">(VLOOKUP(V$72,INDIRECT($C$5&amp;"生成成长"),2))/((VLOOKUP($B121,INDIRECT($B$5&amp;"生成成长"),4))/(VLOOKUP(V$72,INDIRECT($C$5&amp;"生成成长"),5))*(VLOOKUP($B$5,标准坦克设计!$B$24:$U$30,MATCH("对"&amp;LEFT($C$5,2)&amp;"输出",标准坦克设计!$B$23:$U$23,0)))*(VLOOKUP($B121,INDIRECT($B$5&amp;"生成成长"),3))*(VLOOKUP($B$5,标准坦克设计!$B$14:$K$20,9)/30))</f>
        <v>18.18058249826877</v>
      </c>
      <c r="W121" s="172">
        <f ca="1">(VLOOKUP(W$72,INDIRECT($C$5&amp;"生成成长"),2))/((VLOOKUP($B121,INDIRECT($B$5&amp;"生成成长"),4))/(VLOOKUP(W$72,INDIRECT($C$5&amp;"生成成长"),5))*(VLOOKUP($B$5,标准坦克设计!$B$24:$U$30,MATCH("对"&amp;LEFT($C$5,2)&amp;"输出",标准坦克设计!$B$23:$U$23,0)))*(VLOOKUP($B121,INDIRECT($B$5&amp;"生成成长"),3))*(VLOOKUP($B$5,标准坦克设计!$B$14:$K$20,9)/30))</f>
        <v>19.803879394440429</v>
      </c>
      <c r="X121" s="172">
        <f ca="1">(VLOOKUP(X$72,INDIRECT($C$5&amp;"生成成长"),2))/((VLOOKUP($B121,INDIRECT($B$5&amp;"生成成长"),4))/(VLOOKUP(X$72,INDIRECT($C$5&amp;"生成成长"),5))*(VLOOKUP($B$5,标准坦克设计!$B$24:$U$30,MATCH("对"&amp;LEFT($C$5,2)&amp;"输出",标准坦克设计!$B$23:$U$23,0)))*(VLOOKUP($B121,INDIRECT($B$5&amp;"生成成长"),3))*(VLOOKUP($B$5,标准坦克设计!$B$14:$K$20,9)/30))</f>
        <v>14.347476842410286</v>
      </c>
      <c r="Y121" s="172">
        <f ca="1">(VLOOKUP(Y$72,INDIRECT($C$5&amp;"生成成长"),2))/((VLOOKUP($B121,INDIRECT($B$5&amp;"生成成长"),4))/(VLOOKUP(Y$72,INDIRECT($C$5&amp;"生成成长"),5))*(VLOOKUP($B$5,标准坦克设计!$B$24:$U$30,MATCH("对"&amp;LEFT($C$5,2)&amp;"输出",标准坦克设计!$B$23:$U$23,0)))*(VLOOKUP($B121,INDIRECT($B$5&amp;"生成成长"),3))*(VLOOKUP($B$5,标准坦克设计!$B$14:$K$20,9)/30))</f>
        <v>15.958349455132753</v>
      </c>
      <c r="Z121" s="172">
        <f ca="1">(VLOOKUP(Z$72,INDIRECT($C$5&amp;"生成成长"),2))/((VLOOKUP($B121,INDIRECT($B$5&amp;"生成成长"),4))/(VLOOKUP(Z$72,INDIRECT($C$5&amp;"生成成长"),5))*(VLOOKUP($B$5,标准坦克设计!$B$24:$U$30,MATCH("对"&amp;LEFT($C$5,2)&amp;"输出",标准坦克设计!$B$23:$U$23,0)))*(VLOOKUP($B121,INDIRECT($B$5&amp;"生成成长"),3))*(VLOOKUP($B$5,标准坦克设计!$B$14:$K$20,9)/30))</f>
        <v>17.654906781297903</v>
      </c>
      <c r="AA121" s="172">
        <f ca="1">(VLOOKUP(AA$72,INDIRECT($C$5&amp;"生成成长"),2))/((VLOOKUP($B121,INDIRECT($B$5&amp;"生成成长"),4))/(VLOOKUP(AA$72,INDIRECT($C$5&amp;"生成成长"),5))*(VLOOKUP($B$5,标准坦克设计!$B$24:$U$30,MATCH("对"&amp;LEFT($C$5,2)&amp;"输出",标准坦克设计!$B$23:$U$23,0)))*(VLOOKUP($B121,INDIRECT($B$5&amp;"生成成长"),3))*(VLOOKUP($B$5,标准坦克设计!$B$14:$K$20,9)/30))</f>
        <v>19.437148820905737</v>
      </c>
      <c r="AB121" s="172">
        <f ca="1">(VLOOKUP(AB$72,INDIRECT($C$5&amp;"生成成长"),2))/((VLOOKUP($B121,INDIRECT($B$5&amp;"生成成长"),4))/(VLOOKUP(AB$72,INDIRECT($C$5&amp;"生成成长"),5))*(VLOOKUP($B$5,标准坦克设计!$B$24:$U$30,MATCH("对"&amp;LEFT($C$5,2)&amp;"输出",标准坦克设计!$B$23:$U$23,0)))*(VLOOKUP($B121,INDIRECT($B$5&amp;"生成成长"),3))*(VLOOKUP($B$5,标准坦克设计!$B$14:$K$20,9)/30))</f>
        <v>21.305075573956255</v>
      </c>
      <c r="AC121" s="172">
        <f ca="1">(VLOOKUP(AC$72,INDIRECT($C$5&amp;"生成成长"),2))/((VLOOKUP($B121,INDIRECT($B$5&amp;"生成成长"),4))/(VLOOKUP(AC$72,INDIRECT($C$5&amp;"生成成长"),5))*(VLOOKUP($B$5,标准坦克设计!$B$24:$U$30,MATCH("对"&amp;LEFT($C$5,2)&amp;"输出",标准坦克设计!$B$23:$U$23,0)))*(VLOOKUP($B121,INDIRECT($B$5&amp;"生成成长"),3))*(VLOOKUP($B$5,标准坦克设计!$B$14:$K$20,9)/30))</f>
        <v>23.258687040449459</v>
      </c>
      <c r="AD121" s="172">
        <f ca="1">(VLOOKUP(AD$72,INDIRECT($C$5&amp;"生成成长"),2))/((VLOOKUP($B121,INDIRECT($B$5&amp;"生成成长"),4))/(VLOOKUP(AD$72,INDIRECT($C$5&amp;"生成成长"),5))*(VLOOKUP($B$5,标准坦克设计!$B$24:$U$30,MATCH("对"&amp;LEFT($C$5,2)&amp;"输出",标准坦克设计!$B$23:$U$23,0)))*(VLOOKUP($B121,INDIRECT($B$5&amp;"生成成长"),3))*(VLOOKUP($B$5,标准坦克设计!$B$14:$K$20,9)/30))</f>
        <v>25.297983220385351</v>
      </c>
      <c r="AE121" s="172">
        <f ca="1">(VLOOKUP(AE$72,INDIRECT($C$5&amp;"生成成长"),2))/((VLOOKUP($B121,INDIRECT($B$5&amp;"生成成长"),4))/(VLOOKUP(AE$72,INDIRECT($C$5&amp;"生成成长"),5))*(VLOOKUP($B$5,标准坦克设计!$B$24:$U$30,MATCH("对"&amp;LEFT($C$5,2)&amp;"输出",标准坦克设计!$B$23:$U$23,0)))*(VLOOKUP($B121,INDIRECT($B$5&amp;"生成成长"),3))*(VLOOKUP($B$5,标准坦克设计!$B$14:$K$20,9)/30))</f>
        <v>27.422964113763925</v>
      </c>
      <c r="AF121" s="172">
        <f ca="1">(VLOOKUP(AF$72,INDIRECT($C$5&amp;"生成成长"),2))/((VLOOKUP($B121,INDIRECT($B$5&amp;"生成成长"),4))/(VLOOKUP(AF$72,INDIRECT($C$5&amp;"生成成长"),5))*(VLOOKUP($B$5,标准坦克设计!$B$24:$U$30,MATCH("对"&amp;LEFT($C$5,2)&amp;"输出",标准坦克设计!$B$23:$U$23,0)))*(VLOOKUP($B121,INDIRECT($B$5&amp;"生成成长"),3))*(VLOOKUP($B$5,标准坦克设计!$B$14:$K$20,9)/30))</f>
        <v>29.633629720585184</v>
      </c>
      <c r="AG121" s="172">
        <f ca="1">(VLOOKUP(AG$72,INDIRECT($C$5&amp;"生成成长"),2))/((VLOOKUP($B121,INDIRECT($B$5&amp;"生成成长"),4))/(VLOOKUP(AG$72,INDIRECT($C$5&amp;"生成成长"),5))*(VLOOKUP($B$5,标准坦克设计!$B$24:$U$30,MATCH("对"&amp;LEFT($C$5,2)&amp;"输出",标准坦克设计!$B$23:$U$23,0)))*(VLOOKUP($B121,INDIRECT($B$5&amp;"生成成长"),3))*(VLOOKUP($B$5,标准坦克设计!$B$14:$K$20,9)/30))</f>
        <v>31.92998004084912</v>
      </c>
      <c r="AH121" s="172">
        <f ca="1">(VLOOKUP(AH$72,INDIRECT($C$5&amp;"生成成长"),2))/((VLOOKUP($B121,INDIRECT($B$5&amp;"生成成长"),4))/(VLOOKUP(AH$72,INDIRECT($C$5&amp;"生成成长"),5))*(VLOOKUP($B$5,标准坦克设计!$B$24:$U$30,MATCH("对"&amp;LEFT($C$5,2)&amp;"输出",标准坦克设计!$B$23:$U$23,0)))*(VLOOKUP($B121,INDIRECT($B$5&amp;"生成成长"),3))*(VLOOKUP($B$5,标准坦克设计!$B$14:$K$20,9)/30))</f>
        <v>34.312015074555745</v>
      </c>
      <c r="AI121" s="172">
        <f ca="1">(VLOOKUP(AI$72,INDIRECT($C$5&amp;"生成成长"),2))/((VLOOKUP($B121,INDIRECT($B$5&amp;"生成成长"),4))/(VLOOKUP(AI$72,INDIRECT($C$5&amp;"生成成长"),5))*(VLOOKUP($B$5,标准坦克设计!$B$24:$U$30,MATCH("对"&amp;LEFT($C$5,2)&amp;"输出",标准坦克设计!$B$23:$U$23,0)))*(VLOOKUP($B121,INDIRECT($B$5&amp;"生成成长"),3))*(VLOOKUP($B$5,标准坦克设计!$B$14:$K$20,9)/30))</f>
        <v>24.267624541237069</v>
      </c>
      <c r="AJ121" s="172">
        <f ca="1">(VLOOKUP(AJ$72,INDIRECT($C$5&amp;"生成成长"),2))/((VLOOKUP($B121,INDIRECT($B$5&amp;"生成成长"),4))/(VLOOKUP(AJ$72,INDIRECT($C$5&amp;"生成成长"),5))*(VLOOKUP($B$5,标准坦克设计!$B$24:$U$30,MATCH("对"&amp;LEFT($C$5,2)&amp;"输出",标准坦克设计!$B$23:$U$23,0)))*(VLOOKUP($B121,INDIRECT($B$5&amp;"生成成长"),3))*(VLOOKUP($B$5,标准坦克设计!$B$14:$K$20,9)/30))</f>
        <v>26.562689590799369</v>
      </c>
      <c r="AK121" s="172">
        <f ca="1">(VLOOKUP(AK$72,INDIRECT($C$5&amp;"生成成长"),2))/((VLOOKUP($B121,INDIRECT($B$5&amp;"生成成长"),4))/(VLOOKUP(AK$72,INDIRECT($C$5&amp;"生成成长"),5))*(VLOOKUP($B$5,标准坦克设计!$B$24:$U$30,MATCH("对"&amp;LEFT($C$5,2)&amp;"输出",标准坦克设计!$B$23:$U$23,0)))*(VLOOKUP($B121,INDIRECT($B$5&amp;"生成成长"),3))*(VLOOKUP($B$5,标准坦克设计!$B$14:$K$20,9)/30))</f>
        <v>28.961433143627321</v>
      </c>
      <c r="AL121" s="172">
        <f ca="1">(VLOOKUP(AL$72,INDIRECT($C$5&amp;"生成成长"),2))/((VLOOKUP($B121,INDIRECT($B$5&amp;"生成成长"),4))/(VLOOKUP(AL$72,INDIRECT($C$5&amp;"生成成长"),5))*(VLOOKUP($B$5,标准坦克设计!$B$24:$U$30,MATCH("对"&amp;LEFT($C$5,2)&amp;"输出",标准坦克设计!$B$23:$U$23,0)))*(VLOOKUP($B121,INDIRECT($B$5&amp;"生成成长"),3))*(VLOOKUP($B$5,标准坦克设计!$B$14:$K$20,9)/30))</f>
        <v>31.463855199720914</v>
      </c>
      <c r="AM121" s="172">
        <f ca="1">(VLOOKUP(AM$72,INDIRECT($C$5&amp;"生成成长"),2))/((VLOOKUP($B121,INDIRECT($B$5&amp;"生成成长"),4))/(VLOOKUP(AM$72,INDIRECT($C$5&amp;"生成成长"),5))*(VLOOKUP($B$5,标准坦克设计!$B$24:$U$30,MATCH("对"&amp;LEFT($C$5,2)&amp;"输出",标准坦克设计!$B$23:$U$23,0)))*(VLOOKUP($B121,INDIRECT($B$5&amp;"生成成长"),3))*(VLOOKUP($B$5,标准坦克设计!$B$14:$K$20,9)/30))</f>
        <v>34.069955759080173</v>
      </c>
      <c r="AN121" s="172">
        <f ca="1">(VLOOKUP(AN$72,INDIRECT($C$5&amp;"生成成长"),2))/((VLOOKUP($B121,INDIRECT($B$5&amp;"生成成长"),4))/(VLOOKUP(AN$72,INDIRECT($C$5&amp;"生成成长"),5))*(VLOOKUP($B$5,标准坦克设计!$B$24:$U$30,MATCH("对"&amp;LEFT($C$5,2)&amp;"输出",标准坦克设计!$B$23:$U$23,0)))*(VLOOKUP($B121,INDIRECT($B$5&amp;"生成成长"),3))*(VLOOKUP($B$5,标准坦克设计!$B$14:$K$20,9)/30))</f>
        <v>36.779734821705048</v>
      </c>
      <c r="AO121" s="172">
        <f ca="1">(VLOOKUP(AO$72,INDIRECT($C$5&amp;"生成成长"),2))/((VLOOKUP($B121,INDIRECT($B$5&amp;"生成成长"),4))/(VLOOKUP(AO$72,INDIRECT($C$5&amp;"生成成长"),5))*(VLOOKUP($B$5,标准坦克设计!$B$24:$U$30,MATCH("对"&amp;LEFT($C$5,2)&amp;"输出",标准坦克设计!$B$23:$U$23,0)))*(VLOOKUP($B121,INDIRECT($B$5&amp;"生成成长"),3))*(VLOOKUP($B$5,标准坦克设计!$B$14:$K$20,9)/30))</f>
        <v>39.593192387595593</v>
      </c>
      <c r="AP121" s="172">
        <f ca="1">(VLOOKUP(AP$72,INDIRECT($C$5&amp;"生成成长"),2))/((VLOOKUP($B121,INDIRECT($B$5&amp;"生成成长"),4))/(VLOOKUP(AP$72,INDIRECT($C$5&amp;"生成成长"),5))*(VLOOKUP($B$5,标准坦克设计!$B$24:$U$30,MATCH("对"&amp;LEFT($C$5,2)&amp;"输出",标准坦克设计!$B$23:$U$23,0)))*(VLOOKUP($B121,INDIRECT($B$5&amp;"生成成长"),3))*(VLOOKUP($B$5,标准坦克设计!$B$14:$K$20,9)/30))</f>
        <v>42.510328456751786</v>
      </c>
      <c r="AQ121" s="172">
        <f ca="1">(VLOOKUP(AQ$72,INDIRECT($C$5&amp;"生成成长"),2))/((VLOOKUP($B121,INDIRECT($B$5&amp;"生成成长"),4))/(VLOOKUP(AQ$72,INDIRECT($C$5&amp;"生成成长"),5))*(VLOOKUP($B$5,标准坦克设计!$B$24:$U$30,MATCH("对"&amp;LEFT($C$5,2)&amp;"输出",标准坦克设计!$B$23:$U$23,0)))*(VLOOKUP($B121,INDIRECT($B$5&amp;"生成成长"),3))*(VLOOKUP($B$5,标准坦克设计!$B$14:$K$20,9)/30))</f>
        <v>45.53114302917362</v>
      </c>
      <c r="AR121" s="172">
        <f ca="1">(VLOOKUP(AR$72,INDIRECT($C$5&amp;"生成成长"),2))/((VLOOKUP($B121,INDIRECT($B$5&amp;"生成成长"),4))/(VLOOKUP(AR$72,INDIRECT($C$5&amp;"生成成长"),5))*(VLOOKUP($B$5,标准坦克设计!$B$24:$U$30,MATCH("对"&amp;LEFT($C$5,2)&amp;"输出",标准坦克设计!$B$23:$U$23,0)))*(VLOOKUP($B121,INDIRECT($B$5&amp;"生成成长"),3))*(VLOOKUP($B$5,标准坦克设计!$B$14:$K$20,9)/30))</f>
        <v>48.655636104861109</v>
      </c>
      <c r="AS121" s="172">
        <f ca="1">(VLOOKUP(AS$72,INDIRECT($C$5&amp;"生成成长"),2))/((VLOOKUP($B121,INDIRECT($B$5&amp;"生成成长"),4))/(VLOOKUP(AS$72,INDIRECT($C$5&amp;"生成成长"),5))*(VLOOKUP($B$5,标准坦克设计!$B$24:$U$30,MATCH("对"&amp;LEFT($C$5,2)&amp;"输出",标准坦克设计!$B$23:$U$23,0)))*(VLOOKUP($B121,INDIRECT($B$5&amp;"生成成长"),3))*(VLOOKUP($B$5,标准坦克设计!$B$14:$K$20,9)/30))</f>
        <v>51.88380768381424</v>
      </c>
      <c r="AT121" s="172">
        <f ca="1">(VLOOKUP(AT$72,INDIRECT($C$5&amp;"生成成长"),2))/((VLOOKUP($B121,INDIRECT($B$5&amp;"生成成长"),4))/(VLOOKUP(AT$72,INDIRECT($C$5&amp;"生成成长"),5))*(VLOOKUP($B$5,标准坦克设计!$B$24:$U$30,MATCH("对"&amp;LEFT($C$5,2)&amp;"输出",标准坦克设计!$B$23:$U$23,0)))*(VLOOKUP($B121,INDIRECT($B$5&amp;"生成成长"),3))*(VLOOKUP($B$5,标准坦克设计!$B$14:$K$20,9)/30))</f>
        <v>55.215657766033019</v>
      </c>
      <c r="AU121" s="172">
        <f ca="1">(VLOOKUP(AU$72,INDIRECT($C$5&amp;"生成成长"),2))/((VLOOKUP($B121,INDIRECT($B$5&amp;"生成成长"),4))/(VLOOKUP(AU$72,INDIRECT($C$5&amp;"生成成长"),5))*(VLOOKUP($B$5,标准坦克设计!$B$24:$U$30,MATCH("对"&amp;LEFT($C$5,2)&amp;"输出",标准坦克设计!$B$23:$U$23,0)))*(VLOOKUP($B121,INDIRECT($B$5&amp;"生成成长"),3))*(VLOOKUP($B$5,标准坦克设计!$B$14:$K$20,9)/30))</f>
        <v>58.651186351517453</v>
      </c>
      <c r="AV121" s="172">
        <f ca="1">(VLOOKUP(AV$72,INDIRECT($C$5&amp;"生成成长"),2))/((VLOOKUP($B121,INDIRECT($B$5&amp;"生成成长"),4))/(VLOOKUP(AV$72,INDIRECT($C$5&amp;"生成成长"),5))*(VLOOKUP($B$5,标准坦克设计!$B$24:$U$30,MATCH("对"&amp;LEFT($C$5,2)&amp;"输出",标准坦克设计!$B$23:$U$23,0)))*(VLOOKUP($B121,INDIRECT($B$5&amp;"生成成长"),3))*(VLOOKUP($B$5,标准坦克设计!$B$14:$K$20,9)/30))</f>
        <v>5.9653697498796863</v>
      </c>
      <c r="AW121" s="172">
        <f ca="1">(VLOOKUP(AW$72,INDIRECT($C$5&amp;"生成成长"),2))/((VLOOKUP($B121,INDIRECT($B$5&amp;"生成成长"),4))/(VLOOKUP(AW$72,INDIRECT($C$5&amp;"生成成长"),5))*(VLOOKUP($B$5,标准坦克设计!$B$24:$U$30,MATCH("对"&amp;LEFT($C$5,2)&amp;"输出",标准坦克设计!$B$23:$U$23,0)))*(VLOOKUP($B121,INDIRECT($B$5&amp;"生成成长"),3))*(VLOOKUP($B$5,标准坦克设计!$B$14:$K$20,9)/30))</f>
        <v>6.8016525530802854</v>
      </c>
      <c r="AX121" s="172">
        <f ca="1">(VLOOKUP(AX$72,INDIRECT($C$5&amp;"生成成长"),2))/((VLOOKUP($B121,INDIRECT($B$5&amp;"生成成长"),4))/(VLOOKUP(AX$72,INDIRECT($C$5&amp;"生成成长"),5))*(VLOOKUP($B$5,标准坦克设计!$B$24:$U$30,MATCH("对"&amp;LEFT($C$5,2)&amp;"输出",标准坦克设计!$B$23:$U$23,0)))*(VLOOKUP($B121,INDIRECT($B$5&amp;"生成成长"),3))*(VLOOKUP($B$5,标准坦克设计!$B$14:$K$20,9)/30))</f>
        <v>7.6927735728842039</v>
      </c>
      <c r="AY121" s="172">
        <f ca="1">(VLOOKUP(AY$72,INDIRECT($C$5&amp;"生成成长"),2))/((VLOOKUP($B121,INDIRECT($B$5&amp;"生成成长"),4))/(VLOOKUP(AY$72,INDIRECT($C$5&amp;"生成成长"),5))*(VLOOKUP($B$5,标准坦克设计!$B$24:$U$30,MATCH("对"&amp;LEFT($C$5,2)&amp;"输出",标准坦克设计!$B$23:$U$23,0)))*(VLOOKUP($B121,INDIRECT($B$5&amp;"生成成长"),3))*(VLOOKUP($B$5,标准坦克设计!$B$14:$K$20,9)/30))</f>
        <v>8.6387328092914384</v>
      </c>
      <c r="AZ121" s="172">
        <f ca="1">(VLOOKUP(AZ$72,INDIRECT($C$5&amp;"生成成长"),2))/((VLOOKUP($B121,INDIRECT($B$5&amp;"生成成长"),4))/(VLOOKUP(AZ$72,INDIRECT($C$5&amp;"生成成长"),5))*(VLOOKUP($B$5,标准坦克设计!$B$24:$U$30,MATCH("对"&amp;LEFT($C$5,2)&amp;"输出",标准坦克设计!$B$23:$U$23,0)))*(VLOOKUP($B121,INDIRECT($B$5&amp;"生成成长"),3))*(VLOOKUP($B$5,标准坦克设计!$B$14:$K$20,9)/30))</f>
        <v>9.6395302623019923</v>
      </c>
      <c r="BA121" s="172">
        <f ca="1">(VLOOKUP(BA$72,INDIRECT($C$5&amp;"生成成长"),2))/((VLOOKUP($B121,INDIRECT($B$5&amp;"生成成长"),4))/(VLOOKUP(BA$72,INDIRECT($C$5&amp;"生成成长"),5))*(VLOOKUP($B$5,标准坦克设计!$B$24:$U$30,MATCH("对"&amp;LEFT($C$5,2)&amp;"输出",标准坦克设计!$B$23:$U$23,0)))*(VLOOKUP($B121,INDIRECT($B$5&amp;"生成成长"),3))*(VLOOKUP($B$5,标准坦克设计!$B$14:$K$20,9)/30))</f>
        <v>10.695165931915863</v>
      </c>
      <c r="BB121" s="172">
        <f ca="1">(VLOOKUP(BB$72,INDIRECT($C$5&amp;"生成成长"),2))/((VLOOKUP($B121,INDIRECT($B$5&amp;"生成成长"),4))/(VLOOKUP(BB$72,INDIRECT($C$5&amp;"生成成长"),5))*(VLOOKUP($B$5,标准坦克设计!$B$24:$U$30,MATCH("对"&amp;LEFT($C$5,2)&amp;"输出",标准坦克设计!$B$23:$U$23,0)))*(VLOOKUP($B121,INDIRECT($B$5&amp;"生成成长"),3))*(VLOOKUP($B$5,标准坦克设计!$B$14:$K$20,9)/30))</f>
        <v>11.805639818133056</v>
      </c>
      <c r="BC121" s="172">
        <f ca="1">(VLOOKUP(BC$72,INDIRECT($C$5&amp;"生成成长"),2))/((VLOOKUP($B121,INDIRECT($B$5&amp;"生成成长"),4))/(VLOOKUP(BC$72,INDIRECT($C$5&amp;"生成成长"),5))*(VLOOKUP($B$5,标准坦克设计!$B$24:$U$30,MATCH("对"&amp;LEFT($C$5,2)&amp;"输出",标准坦克设计!$B$23:$U$23,0)))*(VLOOKUP($B121,INDIRECT($B$5&amp;"生成成长"),3))*(VLOOKUP($B$5,标准坦克设计!$B$14:$K$20,9)/30))</f>
        <v>12.97095192095356</v>
      </c>
      <c r="BD121" s="172">
        <f ca="1">(VLOOKUP(BD$72,INDIRECT($C$5&amp;"生成成长"),2))/((VLOOKUP($B121,INDIRECT($B$5&amp;"生成成长"),4))/(VLOOKUP(BD$72,INDIRECT($C$5&amp;"生成成长"),5))*(VLOOKUP($B$5,标准坦克设计!$B$24:$U$30,MATCH("对"&amp;LEFT($C$5,2)&amp;"输出",标准坦克设计!$B$23:$U$23,0)))*(VLOOKUP($B121,INDIRECT($B$5&amp;"生成成长"),3))*(VLOOKUP($B$5,标准坦克设计!$B$14:$K$20,9)/30))</f>
        <v>14.347476842410286</v>
      </c>
      <c r="BE121" s="172">
        <f ca="1">(VLOOKUP(BE$72,INDIRECT($C$5&amp;"生成成长"),2))/((VLOOKUP($B121,INDIRECT($B$5&amp;"生成成长"),4))/(VLOOKUP(BE$72,INDIRECT($C$5&amp;"生成成长"),5))*(VLOOKUP($B$5,标准坦克设计!$B$24:$U$30,MATCH("对"&amp;LEFT($C$5,2)&amp;"输出",标准坦克设计!$B$23:$U$23,0)))*(VLOOKUP($B121,INDIRECT($B$5&amp;"生成成长"),3))*(VLOOKUP($B$5,标准坦克设计!$B$14:$K$20,9)/30))</f>
        <v>15.793406381755581</v>
      </c>
      <c r="BF121" s="172">
        <f ca="1">(VLOOKUP(BF$72,INDIRECT($C$5&amp;"生成成长"),2))/((VLOOKUP($B121,INDIRECT($B$5&amp;"生成成长"),4))/(VLOOKUP(BF$72,INDIRECT($C$5&amp;"生成成长"),5))*(VLOOKUP($B$5,标准坦克设计!$B$24:$U$30,MATCH("对"&amp;LEFT($C$5,2)&amp;"输出",标准坦克设计!$B$23:$U$23,0)))*(VLOOKUP($B121,INDIRECT($B$5&amp;"生成成长"),3))*(VLOOKUP($B$5,标准坦克设计!$B$14:$K$20,9)/30))</f>
        <v>17.308740538989458</v>
      </c>
      <c r="BG121" s="172">
        <f ca="1">(VLOOKUP(BG$72,INDIRECT($C$5&amp;"生成成长"),2))/((VLOOKUP($B121,INDIRECT($B$5&amp;"生成成长"),4))/(VLOOKUP(BG$72,INDIRECT($C$5&amp;"生成成长"),5))*(VLOOKUP($B$5,标准坦克设计!$B$24:$U$30,MATCH("对"&amp;LEFT($C$5,2)&amp;"输出",标准坦克设计!$B$23:$U$23,0)))*(VLOOKUP($B121,INDIRECT($B$5&amp;"生成成长"),3))*(VLOOKUP($B$5,标准坦克设计!$B$14:$K$20,9)/30))</f>
        <v>18.893479314111904</v>
      </c>
      <c r="BH121" s="172">
        <f ca="1">(VLOOKUP(BH$72,INDIRECT($C$5&amp;"生成成长"),2))/((VLOOKUP($B121,INDIRECT($B$5&amp;"生成成长"),4))/(VLOOKUP(BH$72,INDIRECT($C$5&amp;"生成成长"),5))*(VLOOKUP($B$5,标准坦克设计!$B$24:$U$30,MATCH("对"&amp;LEFT($C$5,2)&amp;"输出",标准坦克设计!$B$23:$U$23,0)))*(VLOOKUP($B121,INDIRECT($B$5&amp;"生成成长"),3))*(VLOOKUP($B$5,标准坦克设计!$B$14:$K$20,9)/30))</f>
        <v>9.1322767587212983</v>
      </c>
      <c r="BI121" s="172">
        <f ca="1">(VLOOKUP(BI$72,INDIRECT($C$5&amp;"生成成长"),2))/((VLOOKUP($B121,INDIRECT($B$5&amp;"生成成长"),4))/(VLOOKUP(BI$72,INDIRECT($C$5&amp;"生成成长"),5))*(VLOOKUP($B$5,标准坦克设计!$B$24:$U$30,MATCH("对"&amp;LEFT($C$5,2)&amp;"输出",标准坦克设计!$B$23:$U$23,0)))*(VLOOKUP($B121,INDIRECT($B$5&amp;"生成成长"),3))*(VLOOKUP($B$5,标准坦克设计!$B$14:$K$20,9)/30))</f>
        <v>10.292876202302461</v>
      </c>
      <c r="BJ121" s="172">
        <f ca="1">(VLOOKUP(BJ$72,INDIRECT($C$5&amp;"生成成长"),2))/((VLOOKUP($B121,INDIRECT($B$5&amp;"生成成长"),4))/(VLOOKUP(BJ$72,INDIRECT($C$5&amp;"生成成长"),5))*(VLOOKUP($B$5,标准坦克设计!$B$24:$U$30,MATCH("对"&amp;LEFT($C$5,2)&amp;"输出",标准坦克设计!$B$23:$U$23,0)))*(VLOOKUP($B121,INDIRECT($B$5&amp;"生成成长"),3))*(VLOOKUP($B$5,标准坦克设计!$B$14:$K$20,9)/30))</f>
        <v>11.522880263772192</v>
      </c>
      <c r="BK121" s="172">
        <f ca="1">(VLOOKUP(BK$72,INDIRECT($C$5&amp;"生成成长"),2))/((VLOOKUP($B121,INDIRECT($B$5&amp;"生成成长"),4))/(VLOOKUP(BK$72,INDIRECT($C$5&amp;"生成成长"),5))*(VLOOKUP($B$5,标准坦克设计!$B$24:$U$30,MATCH("对"&amp;LEFT($C$5,2)&amp;"输出",标准坦克设计!$B$23:$U$23,0)))*(VLOOKUP($B121,INDIRECT($B$5&amp;"生成成长"),3))*(VLOOKUP($B$5,标准坦克设计!$B$14:$K$20,9)/30))</f>
        <v>12.822288943130504</v>
      </c>
      <c r="BL121" s="172">
        <f ca="1">(VLOOKUP(BL$72,INDIRECT($C$5&amp;"生成成长"),2))/((VLOOKUP($B121,INDIRECT($B$5&amp;"生成成长"),4))/(VLOOKUP(BL$72,INDIRECT($C$5&amp;"生成成长"),5))*(VLOOKUP($B$5,标准坦克设计!$B$24:$U$30,MATCH("对"&amp;LEFT($C$5,2)&amp;"输出",标准坦克设计!$B$23:$U$23,0)))*(VLOOKUP($B121,INDIRECT($B$5&amp;"生成成长"),3))*(VLOOKUP($B$5,标准坦克设计!$B$14:$K$20,9)/30))</f>
        <v>14.191102240377386</v>
      </c>
      <c r="BM121" s="172">
        <f ca="1">(VLOOKUP(BM$72,INDIRECT($C$5&amp;"生成成长"),2))/((VLOOKUP($B121,INDIRECT($B$5&amp;"生成成长"),4))/(VLOOKUP(BM$72,INDIRECT($C$5&amp;"生成成长"),5))*(VLOOKUP($B$5,标准坦克设计!$B$24:$U$30,MATCH("对"&amp;LEFT($C$5,2)&amp;"输出",标准坦克设计!$B$23:$U$23,0)))*(VLOOKUP($B121,INDIRECT($B$5&amp;"生成成长"),3))*(VLOOKUP($B$5,标准坦克设计!$B$14:$K$20,9)/30))</f>
        <v>15.629320155512843</v>
      </c>
      <c r="BN121" s="172">
        <f ca="1">(VLOOKUP(BN$72,INDIRECT($C$5&amp;"生成成长"),2))/((VLOOKUP($B121,INDIRECT($B$5&amp;"生成成长"),4))/(VLOOKUP(BN$72,INDIRECT($C$5&amp;"生成成长"),5))*(VLOOKUP($B$5,标准坦克设计!$B$24:$U$30,MATCH("对"&amp;LEFT($C$5,2)&amp;"输出",标准坦克设计!$B$23:$U$23,0)))*(VLOOKUP($B121,INDIRECT($B$5&amp;"生成成长"),3))*(VLOOKUP($B$5,标准坦克设计!$B$14:$K$20,9)/30))</f>
        <v>17.136942688536873</v>
      </c>
      <c r="BO121" s="172">
        <f ca="1">(VLOOKUP(BO$72,INDIRECT($C$5&amp;"生成成长"),2))/((VLOOKUP($B121,INDIRECT($B$5&amp;"生成成长"),4))/(VLOOKUP(BO$72,INDIRECT($C$5&amp;"生成成长"),5))*(VLOOKUP($B$5,标准坦克设计!$B$24:$U$30,MATCH("对"&amp;LEFT($C$5,2)&amp;"输出",标准坦克设计!$B$23:$U$23,0)))*(VLOOKUP($B121,INDIRECT($B$5&amp;"生成成长"),3))*(VLOOKUP($B$5,标准坦克设计!$B$14:$K$20,9)/30))</f>
        <v>18.713969839449483</v>
      </c>
      <c r="BP121" s="172">
        <f ca="1">(VLOOKUP(BP$72,INDIRECT($C$5&amp;"生成成长"),2))/((VLOOKUP($B121,INDIRECT($B$5&amp;"生成成长"),4))/(VLOOKUP(BP$72,INDIRECT($C$5&amp;"生成成长"),5))*(VLOOKUP($B$5,标准坦克设计!$B$24:$U$30,MATCH("对"&amp;LEFT($C$5,2)&amp;"输出",标准坦克设计!$B$23:$U$23,0)))*(VLOOKUP($B121,INDIRECT($B$5&amp;"生成成长"),3))*(VLOOKUP($B$5,标准坦克设计!$B$14:$K$20,9)/30))</f>
        <v>20.360401608250662</v>
      </c>
      <c r="BQ121" s="172">
        <f ca="1">(VLOOKUP(BQ$72,INDIRECT($C$5&amp;"生成成长"),2))/((VLOOKUP($B121,INDIRECT($B$5&amp;"生成成长"),4))/(VLOOKUP(BQ$72,INDIRECT($C$5&amp;"生成成长"),5))*(VLOOKUP($B$5,标准坦克设计!$B$24:$U$30,MATCH("对"&amp;LEFT($C$5,2)&amp;"输出",标准坦克设计!$B$23:$U$23,0)))*(VLOOKUP($B121,INDIRECT($B$5&amp;"生成成长"),3))*(VLOOKUP($B$5,标准坦克设计!$B$14:$K$20,9)/30))</f>
        <v>22.076237994940414</v>
      </c>
      <c r="BR121" s="172">
        <f ca="1">(VLOOKUP(BR$72,INDIRECT($C$5&amp;"生成成长"),2))/((VLOOKUP($B121,INDIRECT($B$5&amp;"生成成长"),4))/(VLOOKUP(BR$72,INDIRECT($C$5&amp;"生成成长"),5))*(VLOOKUP($B$5,标准坦克设计!$B$24:$U$30,MATCH("对"&amp;LEFT($C$5,2)&amp;"输出",标准坦克设计!$B$23:$U$23,0)))*(VLOOKUP($B121,INDIRECT($B$5&amp;"生成成长"),3))*(VLOOKUP($B$5,标准坦克设计!$B$14:$K$20,9)/30))</f>
        <v>24.064123346810689</v>
      </c>
      <c r="BS121" s="172">
        <f ca="1">(VLOOKUP(BS$72,INDIRECT($C$5&amp;"生成成长"),2))/((VLOOKUP($B121,INDIRECT($B$5&amp;"生成成长"),4))/(VLOOKUP(BS$72,INDIRECT($C$5&amp;"生成成长"),5))*(VLOOKUP($B$5,标准坦克设计!$B$24:$U$30,MATCH("对"&amp;LEFT($C$5,2)&amp;"输出",标准坦克设计!$B$23:$U$23,0)))*(VLOOKUP($B121,INDIRECT($B$5&amp;"生成成长"),3))*(VLOOKUP($B$5,标准坦克设计!$B$14:$K$20,9)/30))</f>
        <v>26.137693412123657</v>
      </c>
      <c r="BT121" s="172">
        <f ca="1">(VLOOKUP(BT$72,INDIRECT($C$5&amp;"生成成长"),2))/((VLOOKUP($B121,INDIRECT($B$5&amp;"生成成长"),4))/(VLOOKUP(BT$72,INDIRECT($C$5&amp;"生成成长"),5))*(VLOOKUP($B$5,标准坦克设计!$B$24:$U$30,MATCH("对"&amp;LEFT($C$5,2)&amp;"输出",标准坦克设计!$B$23:$U$23,0)))*(VLOOKUP($B121,INDIRECT($B$5&amp;"生成成长"),3))*(VLOOKUP($B$5,标准坦克设计!$B$14:$K$20,9)/30))</f>
        <v>28.296948190879302</v>
      </c>
      <c r="BU121" s="172">
        <f ca="1">(VLOOKUP(BU$72,INDIRECT($C$5&amp;"生成成长"),2))/((VLOOKUP($B121,INDIRECT($B$5&amp;"生成成长"),4))/(VLOOKUP(BU$72,INDIRECT($C$5&amp;"生成成长"),5))*(VLOOKUP($B$5,标准坦克设计!$B$24:$U$30,MATCH("对"&amp;LEFT($C$5,2)&amp;"输出",标准坦克设计!$B$23:$U$23,0)))*(VLOOKUP($B121,INDIRECT($B$5&amp;"生成成长"),3))*(VLOOKUP($B$5,标准坦克设计!$B$14:$K$20,9)/30))</f>
        <v>30.541887683077633</v>
      </c>
      <c r="BV121" s="172">
        <f ca="1">(VLOOKUP(BV$72,INDIRECT($C$5&amp;"生成成长"),2))/((VLOOKUP($B121,INDIRECT($B$5&amp;"生成成长"),4))/(VLOOKUP(BV$72,INDIRECT($C$5&amp;"生成成长"),5))*(VLOOKUP($B$5,标准坦克设计!$B$24:$U$30,MATCH("对"&amp;LEFT($C$5,2)&amp;"输出",标准坦克设计!$B$23:$U$23,0)))*(VLOOKUP($B121,INDIRECT($B$5&amp;"生成成长"),3))*(VLOOKUP($B$5,标准坦克设计!$B$14:$K$20,9)/30))</f>
        <v>32.872511888718648</v>
      </c>
      <c r="BW121" s="172">
        <f ca="1">(VLOOKUP(BW$72,INDIRECT($C$5&amp;"生成成长"),2))/((VLOOKUP($B121,INDIRECT($B$5&amp;"生成成长"),4))/(VLOOKUP(BW$72,INDIRECT($C$5&amp;"生成成长"),5))*(VLOOKUP($B$5,标准坦克设计!$B$24:$U$30,MATCH("对"&amp;LEFT($C$5,2)&amp;"输出",标准坦克设计!$B$23:$U$23,0)))*(VLOOKUP($B121,INDIRECT($B$5&amp;"生成成长"),3))*(VLOOKUP($B$5,标准坦克设计!$B$14:$K$20,9)/30))</f>
        <v>14.981543721886148</v>
      </c>
      <c r="BX121" s="172">
        <f ca="1">(VLOOKUP(BX$72,INDIRECT($C$5&amp;"生成成长"),2))/((VLOOKUP($B121,INDIRECT($B$5&amp;"生成成长"),4))/(VLOOKUP(BX$72,INDIRECT($C$5&amp;"生成成长"),5))*(VLOOKUP($B$5,标准坦克设计!$B$24:$U$30,MATCH("对"&amp;LEFT($C$5,2)&amp;"输出",标准坦克设计!$B$23:$U$23,0)))*(VLOOKUP($B121,INDIRECT($B$5&amp;"生成成长"),3))*(VLOOKUP($B$5,标准坦克设计!$B$14:$K$20,9)/30))</f>
        <v>16.62669021998569</v>
      </c>
      <c r="BY121" s="172">
        <f ca="1">(VLOOKUP(BY$72,INDIRECT($C$5&amp;"生成成长"),2))/((VLOOKUP($B121,INDIRECT($B$5&amp;"生成成长"),4))/(VLOOKUP(BY$72,INDIRECT($C$5&amp;"生成成长"),5))*(VLOOKUP($B$5,标准坦克设计!$B$24:$U$30,MATCH("对"&amp;LEFT($C$5,2)&amp;"输出",标准坦克设计!$B$23:$U$23,0)))*(VLOOKUP($B121,INDIRECT($B$5&amp;"生成成长"),3))*(VLOOKUP($B$5,标准坦克设计!$B$14:$K$20,9)/30))</f>
        <v>18.35752143152791</v>
      </c>
      <c r="BZ121" s="172">
        <f ca="1">(VLOOKUP(BZ$72,INDIRECT($C$5&amp;"生成成长"),2))/((VLOOKUP($B121,INDIRECT($B$5&amp;"生成成长"),4))/(VLOOKUP(BZ$72,INDIRECT($C$5&amp;"生成成长"),5))*(VLOOKUP($B$5,标准坦克设计!$B$24:$U$30,MATCH("对"&amp;LEFT($C$5,2)&amp;"输出",标准坦克设计!$B$23:$U$23,0)))*(VLOOKUP($B121,INDIRECT($B$5&amp;"生成成长"),3))*(VLOOKUP($B$5,标准坦克设计!$B$14:$K$20,9)/30))</f>
        <v>20.174037356512819</v>
      </c>
      <c r="CA121" s="172">
        <f ca="1">(VLOOKUP(CA$72,INDIRECT($C$5&amp;"生成成长"),2))/((VLOOKUP($B121,INDIRECT($B$5&amp;"生成成长"),4))/(VLOOKUP(CA$72,INDIRECT($C$5&amp;"生成成长"),5))*(VLOOKUP($B$5,标准坦克设计!$B$24:$U$30,MATCH("对"&amp;LEFT($C$5,2)&amp;"输出",标准坦克设计!$B$23:$U$23,0)))*(VLOOKUP($B121,INDIRECT($B$5&amp;"生成成长"),3))*(VLOOKUP($B$5,标准坦克设计!$B$14:$K$20,9)/30))</f>
        <v>22.076237994940414</v>
      </c>
      <c r="CB121" s="172">
        <f ca="1">(VLOOKUP(CB$72,INDIRECT($C$5&amp;"生成成长"),2))/((VLOOKUP($B121,INDIRECT($B$5&amp;"生成成长"),4))/(VLOOKUP(CB$72,INDIRECT($C$5&amp;"生成成长"),5))*(VLOOKUP($B$5,标准坦克设计!$B$24:$U$30,MATCH("对"&amp;LEFT($C$5,2)&amp;"输出",标准坦克设计!$B$23:$U$23,0)))*(VLOOKUP($B121,INDIRECT($B$5&amp;"生成成长"),3))*(VLOOKUP($B$5,标准坦克设计!$B$14:$K$20,9)/30))</f>
        <v>24.064123346810689</v>
      </c>
      <c r="CC121" s="172">
        <f ca="1">(VLOOKUP(CC$72,INDIRECT($C$5&amp;"生成成长"),2))/((VLOOKUP($B121,INDIRECT($B$5&amp;"生成成长"),4))/(VLOOKUP(CC$72,INDIRECT($C$5&amp;"生成成长"),5))*(VLOOKUP($B$5,标准坦克设计!$B$24:$U$30,MATCH("对"&amp;LEFT($C$5,2)&amp;"输出",标准坦克设计!$B$23:$U$23,0)))*(VLOOKUP($B121,INDIRECT($B$5&amp;"生成成长"),3))*(VLOOKUP($B$5,标准坦克设计!$B$14:$K$20,9)/30))</f>
        <v>26.137693412123657</v>
      </c>
      <c r="CD121" s="172">
        <f ca="1">(VLOOKUP(CD$72,INDIRECT($C$5&amp;"生成成长"),2))/((VLOOKUP($B121,INDIRECT($B$5&amp;"生成成长"),4))/(VLOOKUP(CD$72,INDIRECT($C$5&amp;"生成成长"),5))*(VLOOKUP($B$5,标准坦克设计!$B$24:$U$30,MATCH("对"&amp;LEFT($C$5,2)&amp;"输出",标准坦克设计!$B$23:$U$23,0)))*(VLOOKUP($B121,INDIRECT($B$5&amp;"生成成长"),3))*(VLOOKUP($B$5,标准坦克设计!$B$14:$K$20,9)/30))</f>
        <v>28.296948190879302</v>
      </c>
      <c r="CE121" s="172">
        <f ca="1">(VLOOKUP(CE$72,INDIRECT($C$5&amp;"生成成长"),2))/((VLOOKUP($B121,INDIRECT($B$5&amp;"生成成长"),4))/(VLOOKUP(CE$72,INDIRECT($C$5&amp;"生成成长"),5))*(VLOOKUP($B$5,标准坦克设计!$B$24:$U$30,MATCH("对"&amp;LEFT($C$5,2)&amp;"输出",标准坦克设计!$B$23:$U$23,0)))*(VLOOKUP($B121,INDIRECT($B$5&amp;"生成成长"),3))*(VLOOKUP($B$5,标准坦克设计!$B$14:$K$20,9)/30))</f>
        <v>30.541887683077633</v>
      </c>
      <c r="CF121" s="172">
        <f ca="1">(VLOOKUP(CF$72,INDIRECT($C$5&amp;"生成成长"),2))/((VLOOKUP($B121,INDIRECT($B$5&amp;"生成成长"),4))/(VLOOKUP(CF$72,INDIRECT($C$5&amp;"生成成长"),5))*(VLOOKUP($B$5,标准坦克设计!$B$24:$U$30,MATCH("对"&amp;LEFT($C$5,2)&amp;"输出",标准坦克设计!$B$23:$U$23,0)))*(VLOOKUP($B121,INDIRECT($B$5&amp;"生成成长"),3))*(VLOOKUP($B$5,标准坦克设计!$B$14:$K$20,9)/30))</f>
        <v>32.872511888718648</v>
      </c>
      <c r="CG121" s="172">
        <f ca="1">(VLOOKUP(CG$72,INDIRECT($C$5&amp;"生成成长"),2))/((VLOOKUP($B121,INDIRECT($B$5&amp;"生成成长"),4))/(VLOOKUP(CG$72,INDIRECT($C$5&amp;"生成成长"),5))*(VLOOKUP($B$5,标准坦克设计!$B$24:$U$30,MATCH("对"&amp;LEFT($C$5,2)&amp;"输出",标准坦克设计!$B$23:$U$23,0)))*(VLOOKUP($B121,INDIRECT($B$5&amp;"生成成长"),3))*(VLOOKUP($B$5,标准坦克设计!$B$14:$K$20,9)/30))</f>
        <v>35.288820807802345</v>
      </c>
      <c r="CH121" s="172">
        <f ca="1">(VLOOKUP(CH$72,INDIRECT($C$5&amp;"生成成长"),2))/((VLOOKUP($B121,INDIRECT($B$5&amp;"生成成长"),4))/(VLOOKUP(CH$72,INDIRECT($C$5&amp;"生成成长"),5))*(VLOOKUP($B$5,标准坦克设计!$B$24:$U$30,MATCH("对"&amp;LEFT($C$5,2)&amp;"输出",标准坦克设计!$B$23:$U$23,0)))*(VLOOKUP($B121,INDIRECT($B$5&amp;"生成成长"),3))*(VLOOKUP($B$5,标准坦克设计!$B$14:$K$20,9)/30))</f>
        <v>37.790814440328724</v>
      </c>
      <c r="CI121" s="172">
        <f ca="1">(VLOOKUP(CI$72,INDIRECT($C$5&amp;"生成成长"),2))/((VLOOKUP($B121,INDIRECT($B$5&amp;"生成成长"),4))/(VLOOKUP(CI$72,INDIRECT($C$5&amp;"生成成长"),5))*(VLOOKUP($B$5,标准坦克设计!$B$24:$U$30,MATCH("对"&amp;LEFT($C$5,2)&amp;"输出",标准坦克设计!$B$23:$U$23,0)))*(VLOOKUP($B121,INDIRECT($B$5&amp;"生成成长"),3))*(VLOOKUP($B$5,标准坦克设计!$B$14:$K$20,9)/30))</f>
        <v>40.641973280134053</v>
      </c>
      <c r="CJ121" s="172">
        <f ca="1">(VLOOKUP(CJ$72,INDIRECT($C$5&amp;"生成成长"),2))/((VLOOKUP($B121,INDIRECT($B$5&amp;"生成成长"),4))/(VLOOKUP(CJ$72,INDIRECT($C$5&amp;"生成成长"),5))*(VLOOKUP($B$5,标准坦克设计!$B$24:$U$30,MATCH("对"&amp;LEFT($C$5,2)&amp;"输出",标准坦克设计!$B$23:$U$23,0)))*(VLOOKUP($B121,INDIRECT($B$5&amp;"生成成长"),3))*(VLOOKUP($B$5,标准坦克设计!$B$14:$K$20,9)/30))</f>
        <v>43.596810623205023</v>
      </c>
      <c r="CK121" s="172">
        <f ca="1">(VLOOKUP(CK$72,INDIRECT($C$5&amp;"生成成长"),2))/((VLOOKUP($B121,INDIRECT($B$5&amp;"生成成长"),4))/(VLOOKUP(CK$72,INDIRECT($C$5&amp;"生成成长"),5))*(VLOOKUP($B$5,标准坦克设计!$B$24:$U$30,MATCH("对"&amp;LEFT($C$5,2)&amp;"输出",标准坦克设计!$B$23:$U$23,0)))*(VLOOKUP($B121,INDIRECT($B$5&amp;"生成成长"),3))*(VLOOKUP($B$5,标准坦克设计!$B$14:$K$20,9)/30))</f>
        <v>46.655326469541642</v>
      </c>
      <c r="CL121" s="172">
        <f ca="1">(VLOOKUP(CL$72,INDIRECT($C$5&amp;"生成成长"),2))/((VLOOKUP($B121,INDIRECT($B$5&amp;"生成成长"),4))/(VLOOKUP(CL$72,INDIRECT($C$5&amp;"生成成长"),5))*(VLOOKUP($B$5,标准坦克设计!$B$24:$U$30,MATCH("对"&amp;LEFT($C$5,2)&amp;"输出",标准坦克设计!$B$23:$U$23,0)))*(VLOOKUP($B121,INDIRECT($B$5&amp;"生成成长"),3))*(VLOOKUP($B$5,标准坦克设计!$B$14:$K$20,9)/30))</f>
        <v>49.817520819143901</v>
      </c>
      <c r="CM121" s="172">
        <f ca="1">(VLOOKUP(CM$72,INDIRECT($C$5&amp;"生成成长"),2))/((VLOOKUP($B121,INDIRECT($B$5&amp;"生成成长"),4))/(VLOOKUP(CM$72,INDIRECT($C$5&amp;"生成成长"),5))*(VLOOKUP($B$5,标准坦克设计!$B$24:$U$30,MATCH("对"&amp;LEFT($C$5,2)&amp;"输出",标准坦克设计!$B$23:$U$23,0)))*(VLOOKUP($B121,INDIRECT($B$5&amp;"生成成长"),3))*(VLOOKUP($B$5,标准坦克设计!$B$14:$K$20,9)/30))</f>
        <v>53.083393672011823</v>
      </c>
      <c r="CN121" s="172">
        <f ca="1">(VLOOKUP(CN$72,INDIRECT($C$5&amp;"生成成长"),2))/((VLOOKUP($B121,INDIRECT($B$5&amp;"生成成长"),4))/(VLOOKUP(CN$72,INDIRECT($C$5&amp;"生成成长"),5))*(VLOOKUP($B$5,标准坦克设计!$B$24:$U$30,MATCH("对"&amp;LEFT($C$5,2)&amp;"输出",标准坦克设计!$B$23:$U$23,0)))*(VLOOKUP($B121,INDIRECT($B$5&amp;"生成成长"),3))*(VLOOKUP($B$5,标准坦克设计!$B$14:$K$20,9)/30))</f>
        <v>56.452945028145386</v>
      </c>
      <c r="CO121" s="172">
        <f ca="1">(VLOOKUP(CO$72,INDIRECT($C$5&amp;"生成成长"),2))/((VLOOKUP($B121,INDIRECT($B$5&amp;"生成成长"),4))/(VLOOKUP(CO$72,INDIRECT($C$5&amp;"生成成长"),5))*(VLOOKUP($B$5,标准坦克设计!$B$24:$U$30,MATCH("对"&amp;LEFT($C$5,2)&amp;"输出",标准坦克设计!$B$23:$U$23,0)))*(VLOOKUP($B121,INDIRECT($B$5&amp;"生成成长"),3))*(VLOOKUP($B$5,标准坦克设计!$B$14:$K$20,9)/30))</f>
        <v>25.297983220385351</v>
      </c>
      <c r="CP121" s="172">
        <f ca="1">(VLOOKUP(CP$72,INDIRECT($C$5&amp;"生成成长"),2))/((VLOOKUP($B121,INDIRECT($B$5&amp;"生成成长"),4))/(VLOOKUP(CP$72,INDIRECT($C$5&amp;"生成成长"),5))*(VLOOKUP($B$5,标准坦克设计!$B$24:$U$30,MATCH("对"&amp;LEFT($C$5,2)&amp;"输出",标准坦克设计!$B$23:$U$23,0)))*(VLOOKUP($B121,INDIRECT($B$5&amp;"生成成长"),3))*(VLOOKUP($B$5,标准坦克设计!$B$14:$K$20,9)/30))</f>
        <v>27.64017486234113</v>
      </c>
      <c r="CQ121" s="172">
        <f ca="1">(VLOOKUP(CQ$72,INDIRECT($C$5&amp;"生成成长"),2))/((VLOOKUP($B121,INDIRECT($B$5&amp;"生成成长"),4))/(VLOOKUP(CQ$72,INDIRECT($C$5&amp;"生成成长"),5))*(VLOOKUP($B$5,标准坦克设计!$B$24:$U$30,MATCH("对"&amp;LEFT($C$5,2)&amp;"输出",标准坦克设计!$B$23:$U$23,0)))*(VLOOKUP($B121,INDIRECT($B$5&amp;"生成成长"),3))*(VLOOKUP($B$5,标准坦克设计!$B$14:$K$20,9)/30))</f>
        <v>30.08604500756255</v>
      </c>
      <c r="CR121" s="172">
        <f ca="1">(VLOOKUP(CR$72,INDIRECT($C$5&amp;"生成成长"),2))/((VLOOKUP($B121,INDIRECT($B$5&amp;"生成成长"),4))/(VLOOKUP(CR$72,INDIRECT($C$5&amp;"生成成长"),5))*(VLOOKUP($B$5,标准坦克设计!$B$24:$U$30,MATCH("对"&amp;LEFT($C$5,2)&amp;"输出",标准坦克设计!$B$23:$U$23,0)))*(VLOOKUP($B121,INDIRECT($B$5&amp;"生成成长"),3))*(VLOOKUP($B$5,标准坦克设计!$B$14:$K$20,9)/30))</f>
        <v>32.635593656049622</v>
      </c>
      <c r="CS121" s="172">
        <f ca="1">(VLOOKUP(CS$72,INDIRECT($C$5&amp;"生成成长"),2))/((VLOOKUP($B121,INDIRECT($B$5&amp;"生成成长"),4))/(VLOOKUP(CS$72,INDIRECT($C$5&amp;"生成成长"),5))*(VLOOKUP($B$5,标准坦克设计!$B$24:$U$30,MATCH("对"&amp;LEFT($C$5,2)&amp;"输出",标准坦克设计!$B$23:$U$23,0)))*(VLOOKUP($B121,INDIRECT($B$5&amp;"生成成长"),3))*(VLOOKUP($B$5,标准坦克设计!$B$14:$K$20,9)/30))</f>
        <v>35.288820807802345</v>
      </c>
      <c r="CT121" s="172">
        <f ca="1">(VLOOKUP(CT$72,INDIRECT($C$5&amp;"生成成长"),2))/((VLOOKUP($B121,INDIRECT($B$5&amp;"生成成长"),4))/(VLOOKUP(CT$72,INDIRECT($C$5&amp;"生成成长"),5))*(VLOOKUP($B$5,标准坦克设计!$B$24:$U$30,MATCH("对"&amp;LEFT($C$5,2)&amp;"输出",标准坦克设计!$B$23:$U$23,0)))*(VLOOKUP($B121,INDIRECT($B$5&amp;"生成成长"),3))*(VLOOKUP($B$5,标准坦克设计!$B$14:$K$20,9)/30))</f>
        <v>38.045726462820724</v>
      </c>
      <c r="CU121" s="172">
        <f ca="1">(VLOOKUP(CU$72,INDIRECT($C$5&amp;"生成成长"),2))/((VLOOKUP($B121,INDIRECT($B$5&amp;"生成成长"),4))/(VLOOKUP(CU$72,INDIRECT($C$5&amp;"生成成长"),5))*(VLOOKUP($B$5,标准坦克设计!$B$24:$U$30,MATCH("对"&amp;LEFT($C$5,2)&amp;"输出",标准坦克设计!$B$23:$U$23,0)))*(VLOOKUP($B121,INDIRECT($B$5&amp;"生成成长"),3))*(VLOOKUP($B$5,标准坦克设计!$B$14:$K$20,9)/30))</f>
        <v>40.906310621104744</v>
      </c>
      <c r="CV121" s="172">
        <f ca="1">(VLOOKUP(CV$72,INDIRECT($C$5&amp;"生成成长"),2))/((VLOOKUP($B121,INDIRECT($B$5&amp;"生成成长"),4))/(VLOOKUP(CV$72,INDIRECT($C$5&amp;"生成成长"),5))*(VLOOKUP($B$5,标准坦克设计!$B$24:$U$30,MATCH("对"&amp;LEFT($C$5,2)&amp;"输出",标准坦克设计!$B$23:$U$23,0)))*(VLOOKUP($B121,INDIRECT($B$5&amp;"生成成长"),3))*(VLOOKUP($B$5,标准坦克设计!$B$14:$K$20,9)/30))</f>
        <v>43.870573282654391</v>
      </c>
      <c r="CW121" s="172">
        <f ca="1">(VLOOKUP(CW$72,INDIRECT($C$5&amp;"生成成长"),2))/((VLOOKUP($B121,INDIRECT($B$5&amp;"生成成长"),4))/(VLOOKUP(CW$72,INDIRECT($C$5&amp;"生成成长"),5))*(VLOOKUP($B$5,标准坦克设计!$B$24:$U$30,MATCH("对"&amp;LEFT($C$5,2)&amp;"输出",标准坦克设计!$B$23:$U$23,0)))*(VLOOKUP($B121,INDIRECT($B$5&amp;"生成成长"),3))*(VLOOKUP($B$5,标准坦克设计!$B$14:$K$20,9)/30))</f>
        <v>46.938514447469714</v>
      </c>
      <c r="CX121" s="172">
        <f ca="1">(VLOOKUP(CX$72,INDIRECT($C$5&amp;"生成成长"),2))/((VLOOKUP($B121,INDIRECT($B$5&amp;"生成成长"),4))/(VLOOKUP(CX$72,INDIRECT($C$5&amp;"生成成长"),5))*(VLOOKUP($B$5,标准坦克设计!$B$24:$U$30,MATCH("对"&amp;LEFT($C$5,2)&amp;"输出",标准坦克设计!$B$23:$U$23,0)))*(VLOOKUP($B121,INDIRECT($B$5&amp;"生成成长"),3))*(VLOOKUP($B$5,标准坦克设计!$B$14:$K$20,9)/30))</f>
        <v>50.110134115550679</v>
      </c>
      <c r="CY121" s="172">
        <f ca="1">(VLOOKUP(CY$72,INDIRECT($C$5&amp;"生成成长"),2))/((VLOOKUP($B121,INDIRECT($B$5&amp;"生成成长"),4))/(VLOOKUP(CY$72,INDIRECT($C$5&amp;"生成成长"),5))*(VLOOKUP($B$5,标准坦克设计!$B$24:$U$30,MATCH("对"&amp;LEFT($C$5,2)&amp;"输出",标准坦克设计!$B$23:$U$23,0)))*(VLOOKUP($B121,INDIRECT($B$5&amp;"生成成长"),3))*(VLOOKUP($B$5,标准坦克设计!$B$14:$K$20,9)/30))</f>
        <v>53.385432286897284</v>
      </c>
      <c r="CZ121" s="172">
        <f ca="1">(VLOOKUP(CZ$72,INDIRECT($C$5&amp;"生成成长"),2))/((VLOOKUP($B121,INDIRECT($B$5&amp;"生成成长"),4))/(VLOOKUP(CZ$72,INDIRECT($C$5&amp;"生成成长"),5))*(VLOOKUP($B$5,标准坦克设计!$B$24:$U$30,MATCH("对"&amp;LEFT($C$5,2)&amp;"输出",标准坦克设计!$B$23:$U$23,0)))*(VLOOKUP($B121,INDIRECT($B$5&amp;"生成成长"),3))*(VLOOKUP($B$5,标准坦克设计!$B$14:$K$20,9)/30))</f>
        <v>56.764408961509545</v>
      </c>
      <c r="DA121" s="172">
        <f ca="1">(VLOOKUP(DA$72,INDIRECT($C$5&amp;"生成成长"),2))/((VLOOKUP($B121,INDIRECT($B$5&amp;"生成成长"),4))/(VLOOKUP(DA$72,INDIRECT($C$5&amp;"生成成长"),5))*(VLOOKUP($B$5,标准坦克设计!$B$24:$U$30,MATCH("对"&amp;LEFT($C$5,2)&amp;"输出",标准坦克设计!$B$23:$U$23,0)))*(VLOOKUP($B121,INDIRECT($B$5&amp;"生成成长"),3))*(VLOOKUP($B$5,标准坦克设计!$B$14:$K$20,9)/30))</f>
        <v>60.247064139387454</v>
      </c>
      <c r="DB121" s="172">
        <f ca="1">(VLOOKUP(DB$72,INDIRECT($C$5&amp;"生成成长"),2))/((VLOOKUP($B121,INDIRECT($B$5&amp;"生成成长"),4))/(VLOOKUP(DB$72,INDIRECT($C$5&amp;"生成成长"),5))*(VLOOKUP($B$5,标准坦克设计!$B$24:$U$30,MATCH("对"&amp;LEFT($C$5,2)&amp;"输出",标准坦克设计!$B$23:$U$23,0)))*(VLOOKUP($B121,INDIRECT($B$5&amp;"生成成长"),3))*(VLOOKUP($B$5,标准坦克设计!$B$14:$K$20,9)/30))</f>
        <v>63.833397820531012</v>
      </c>
      <c r="DC121" s="172">
        <f ca="1">(VLOOKUP(DC$72,INDIRECT($C$5&amp;"生成成长"),2))/((VLOOKUP($B121,INDIRECT($B$5&amp;"生成成长"),4))/(VLOOKUP(DC$72,INDIRECT($C$5&amp;"生成成长"),5))*(VLOOKUP($B$5,标准坦克设计!$B$24:$U$30,MATCH("对"&amp;LEFT($C$5,2)&amp;"输出",标准坦克设计!$B$23:$U$23,0)))*(VLOOKUP($B121,INDIRECT($B$5&amp;"生成成长"),3))*(VLOOKUP($B$5,标准坦克设计!$B$14:$K$20,9)/30))</f>
        <v>67.864006740874885</v>
      </c>
      <c r="DD121" s="172">
        <f ca="1">(VLOOKUP(DD$72,INDIRECT($C$5&amp;"生成成长"),2))/((VLOOKUP($B121,INDIRECT($B$5&amp;"生成成长"),4))/(VLOOKUP(DD$72,INDIRECT($C$5&amp;"生成成长"),5))*(VLOOKUP($B$5,标准坦克设计!$B$24:$U$30,MATCH("对"&amp;LEFT($C$5,2)&amp;"输出",标准坦克设计!$B$23:$U$23,0)))*(VLOOKUP($B121,INDIRECT($B$5&amp;"生成成长"),3))*(VLOOKUP($B$5,标准坦克设计!$B$14:$K$20,9)/30))</f>
        <v>72.018001648576231</v>
      </c>
      <c r="DE121" s="172">
        <f ca="1">(VLOOKUP(DE$72,INDIRECT($C$5&amp;"生成成长"),2))/((VLOOKUP($B121,INDIRECT($B$5&amp;"生成成长"),4))/(VLOOKUP(DE$72,INDIRECT($C$5&amp;"生成成长"),5))*(VLOOKUP($B$5,标准坦克设计!$B$24:$U$30,MATCH("对"&amp;LEFT($C$5,2)&amp;"输出",标准坦克设计!$B$23:$U$23,0)))*(VLOOKUP($B121,INDIRECT($B$5&amp;"生成成长"),3))*(VLOOKUP($B$5,标准坦克设计!$B$14:$K$20,9)/30))</f>
        <v>76.295382543635029</v>
      </c>
      <c r="DF121" s="172">
        <f ca="1">(VLOOKUP(DF$72,INDIRECT($C$5&amp;"生成成长"),2))/((VLOOKUP($B121,INDIRECT($B$5&amp;"生成成长"),4))/(VLOOKUP(DF$72,INDIRECT($C$5&amp;"生成成长"),5))*(VLOOKUP($B$5,标准坦克设计!$B$24:$U$30,MATCH("对"&amp;LEFT($C$5,2)&amp;"输出",标准坦克设计!$B$23:$U$23,0)))*(VLOOKUP($B121,INDIRECT($B$5&amp;"生成成长"),3))*(VLOOKUP($B$5,标准坦克设计!$B$14:$K$20,9)/30))</f>
        <v>80.696149426051278</v>
      </c>
      <c r="DG121" s="172">
        <f ca="1">(VLOOKUP(DG$72,INDIRECT($C$5&amp;"生成成长"),2))/((VLOOKUP($B121,INDIRECT($B$5&amp;"生成成长"),4))/(VLOOKUP(DG$72,INDIRECT($C$5&amp;"生成成长"),5))*(VLOOKUP($B$5,标准坦克设计!$B$24:$U$30,MATCH("对"&amp;LEFT($C$5,2)&amp;"输出",标准坦克设计!$B$23:$U$23,0)))*(VLOOKUP($B121,INDIRECT($B$5&amp;"生成成长"),3))*(VLOOKUP($B$5,标准坦克设计!$B$14:$K$20,9)/30))</f>
        <v>85.220302295825022</v>
      </c>
      <c r="DH121" s="172">
        <f ca="1">(VLOOKUP(DH$72,INDIRECT($C$5&amp;"生成成长"),2))/((VLOOKUP($B121,INDIRECT($B$5&amp;"生成成长"),4))/(VLOOKUP(DH$72,INDIRECT($C$5&amp;"生成成长"),5))*(VLOOKUP($B$5,标准坦克设计!$B$24:$U$30,MATCH("对"&amp;LEFT($C$5,2)&amp;"输出",标准坦克设计!$B$23:$U$23,0)))*(VLOOKUP($B121,INDIRECT($B$5&amp;"生成成长"),3))*(VLOOKUP($B$5,标准坦克设计!$B$14:$K$20,9)/30))</f>
        <v>89.867841152956231</v>
      </c>
      <c r="DI121" s="172">
        <f ca="1">(VLOOKUP(DI$72,INDIRECT($C$5&amp;"生成成长"),2))/((VLOOKUP($B121,INDIRECT($B$5&amp;"生成成长"),4))/(VLOOKUP(DI$72,INDIRECT($C$5&amp;"生成成长"),5))*(VLOOKUP($B$5,标准坦克设计!$B$24:$U$30,MATCH("对"&amp;LEFT($C$5,2)&amp;"输出",标准坦克设计!$B$23:$U$23,0)))*(VLOOKUP($B121,INDIRECT($B$5&amp;"生成成长"),3))*(VLOOKUP($B$5,标准坦克设计!$B$14:$K$20,9)/30))</f>
        <v>94.638765997444878</v>
      </c>
      <c r="DJ121" s="172">
        <f ca="1">(VLOOKUP(DJ$72,INDIRECT($C$5&amp;"生成成长"),2))/((VLOOKUP($B121,INDIRECT($B$5&amp;"生成成长"),4))/(VLOOKUP(DJ$72,INDIRECT($C$5&amp;"生成成长"),5))*(VLOOKUP($B$5,标准坦克设计!$B$24:$U$30,MATCH("对"&amp;LEFT($C$5,2)&amp;"输出",标准坦克设计!$B$23:$U$23,0)))*(VLOOKUP($B121,INDIRECT($B$5&amp;"生成成长"),3))*(VLOOKUP($B$5,标准坦克设计!$B$14:$K$20,9)/30))</f>
        <v>9.511431615705181</v>
      </c>
      <c r="DK121" s="172">
        <f ca="1">(VLOOKUP(DK$72,INDIRECT($C$5&amp;"生成成长"),2))/((VLOOKUP($B121,INDIRECT($B$5&amp;"生成成长"),4))/(VLOOKUP(DK$72,INDIRECT($C$5&amp;"生成成长"),5))*(VLOOKUP($B$5,标准坦克设计!$B$24:$U$30,MATCH("对"&amp;LEFT($C$5,2)&amp;"输出",标准坦克设计!$B$23:$U$23,0)))*(VLOOKUP($B121,INDIRECT($B$5&amp;"生成成长"),3))*(VLOOKUP($B$5,标准坦克设计!$B$14:$K$20,9)/30))</f>
        <v>10.695165931915863</v>
      </c>
      <c r="DL121" s="172">
        <f ca="1">(VLOOKUP(DL$72,INDIRECT($C$5&amp;"生成成长"),2))/((VLOOKUP($B121,INDIRECT($B$5&amp;"生成成长"),4))/(VLOOKUP(DL$72,INDIRECT($C$5&amp;"生成成长"),5))*(VLOOKUP($B$5,标准坦克设计!$B$24:$U$30,MATCH("对"&amp;LEFT($C$5,2)&amp;"输出",标准坦克设计!$B$23:$U$23,0)))*(VLOOKUP($B121,INDIRECT($B$5&amp;"生成成长"),3))*(VLOOKUP($B$5,标准坦克设计!$B$14:$K$20,9)/30))</f>
        <v>11.948304866015123</v>
      </c>
      <c r="DM121" s="172">
        <f ca="1">(VLOOKUP(DM$72,INDIRECT($C$5&amp;"生成成长"),2))/((VLOOKUP($B121,INDIRECT($B$5&amp;"生成成长"),4))/(VLOOKUP(DM$72,INDIRECT($C$5&amp;"生成成长"),5))*(VLOOKUP($B$5,标准坦克设计!$B$24:$U$30,MATCH("对"&amp;LEFT($C$5,2)&amp;"输出",标准坦克设计!$B$23:$U$23,0)))*(VLOOKUP($B121,INDIRECT($B$5&amp;"生成成长"),3))*(VLOOKUP($B$5,标准坦克设计!$B$14:$K$20,9)/30))</f>
        <v>13.270848418002956</v>
      </c>
      <c r="DN121" s="172">
        <f ca="1">(VLOOKUP(DN$72,INDIRECT($C$5&amp;"生成成长"),2))/((VLOOKUP($B121,INDIRECT($B$5&amp;"生成成长"),4))/(VLOOKUP(DN$72,INDIRECT($C$5&amp;"生成成长"),5))*(VLOOKUP($B$5,标准坦克设计!$B$24:$U$30,MATCH("对"&amp;LEFT($C$5,2)&amp;"输出",标准坦克设计!$B$23:$U$23,0)))*(VLOOKUP($B121,INDIRECT($B$5&amp;"生成成长"),3))*(VLOOKUP($B$5,标准坦克设计!$B$14:$K$20,9)/30))</f>
        <v>14.662796587879363</v>
      </c>
      <c r="DO121" s="172">
        <f ca="1">(VLOOKUP(DO$72,INDIRECT($C$5&amp;"生成成长"),2))/((VLOOKUP($B121,INDIRECT($B$5&amp;"生成成长"),4))/(VLOOKUP(DO$72,INDIRECT($C$5&amp;"生成成长"),5))*(VLOOKUP($B$5,标准坦克设计!$B$24:$U$30,MATCH("对"&amp;LEFT($C$5,2)&amp;"输出",标准坦克设计!$B$23:$U$23,0)))*(VLOOKUP($B121,INDIRECT($B$5&amp;"生成成长"),3))*(VLOOKUP($B$5,标准坦克设计!$B$14:$K$20,9)/30))</f>
        <v>16.124149375644347</v>
      </c>
      <c r="DP121" s="172">
        <f ca="1">(VLOOKUP(DP$72,INDIRECT($C$5&amp;"生成成长"),2))/((VLOOKUP($B121,INDIRECT($B$5&amp;"生成成长"),4))/(VLOOKUP(DP$72,INDIRECT($C$5&amp;"生成成长"),5))*(VLOOKUP($B$5,标准坦克设计!$B$24:$U$30,MATCH("对"&amp;LEFT($C$5,2)&amp;"输出",标准坦克设计!$B$23:$U$23,0)))*(VLOOKUP($B121,INDIRECT($B$5&amp;"生成成长"),3))*(VLOOKUP($B$5,标准坦克设计!$B$14:$K$20,9)/30))</f>
        <v>17.654906781297903</v>
      </c>
      <c r="DQ121" s="172">
        <f ca="1">(VLOOKUP(DQ$72,INDIRECT($C$5&amp;"生成成长"),2))/((VLOOKUP($B121,INDIRECT($B$5&amp;"生成成长"),4))/(VLOOKUP(DQ$72,INDIRECT($C$5&amp;"生成成长"),5))*(VLOOKUP($B$5,标准坦克设计!$B$24:$U$30,MATCH("对"&amp;LEFT($C$5,2)&amp;"输出",标准坦克设计!$B$23:$U$23,0)))*(VLOOKUP($B121,INDIRECT($B$5&amp;"生成成长"),3))*(VLOOKUP($B$5,标准坦克设计!$B$14:$K$20,9)/30))</f>
        <v>19.255068804840032</v>
      </c>
      <c r="DR121" s="172">
        <f ca="1">(VLOOKUP(DR$72,INDIRECT($C$5&amp;"生成成长"),2))/((VLOOKUP($B121,INDIRECT($B$5&amp;"生成成长"),4))/(VLOOKUP(DR$72,INDIRECT($C$5&amp;"生成成长"),5))*(VLOOKUP($B$5,标准坦克设计!$B$24:$U$30,MATCH("对"&amp;LEFT($C$5,2)&amp;"输出",标准坦克设计!$B$23:$U$23,0)))*(VLOOKUP($B121,INDIRECT($B$5&amp;"生成成长"),3))*(VLOOKUP($B$5,标准坦克设计!$B$14:$K$20,9)/30))</f>
        <v>20.924635446270734</v>
      </c>
      <c r="DS121" s="172">
        <f ca="1">(VLOOKUP(DS$72,INDIRECT($C$5&amp;"生成成长"),2))/((VLOOKUP($B121,INDIRECT($B$5&amp;"生成成长"),4))/(VLOOKUP(DS$72,INDIRECT($C$5&amp;"生成成长"),5))*(VLOOKUP($B$5,标准坦克设计!$B$24:$U$30,MATCH("对"&amp;LEFT($C$5,2)&amp;"输出",标准坦克设计!$B$23:$U$23,0)))*(VLOOKUP($B121,INDIRECT($B$5&amp;"生成成长"),3))*(VLOOKUP($B$5,标准坦克设计!$B$14:$K$20,9)/30))</f>
        <v>22.66360670559002</v>
      </c>
      <c r="DT121" s="172">
        <f ca="1">(VLOOKUP(DT$72,INDIRECT($C$5&amp;"生成成长"),2))/((VLOOKUP($B121,INDIRECT($B$5&amp;"生成成长"),4))/(VLOOKUP(DT$72,INDIRECT($C$5&amp;"生成成长"),5))*(VLOOKUP($B$5,标准坦克设计!$B$24:$U$30,MATCH("对"&amp;LEFT($C$5,2)&amp;"输出",标准坦克设计!$B$23:$U$23,0)))*(VLOOKUP($B121,INDIRECT($B$5&amp;"生成成长"),3))*(VLOOKUP($B$5,标准坦克设计!$B$14:$K$20,9)/30))</f>
        <v>24.883269207322751</v>
      </c>
      <c r="DU121" s="172">
        <f ca="1">(VLOOKUP(DU$72,INDIRECT($C$5&amp;"生成成长"),2))/((VLOOKUP($B121,INDIRECT($B$5&amp;"生成成长"),4))/(VLOOKUP(DU$72,INDIRECT($C$5&amp;"生成成长"),5))*(VLOOKUP($B$5,标准坦克设计!$B$24:$U$30,MATCH("对"&amp;LEFT($C$5,2)&amp;"输出",标准坦克设计!$B$23:$U$23,0)))*(VLOOKUP($B121,INDIRECT($B$5&amp;"生成成长"),3))*(VLOOKUP($B$5,标准坦克设计!$B$14:$K$20,9)/30))</f>
        <v>27.206610212321142</v>
      </c>
      <c r="DV121" s="172">
        <f ca="1">(VLOOKUP(DV$72,INDIRECT($C$5&amp;"生成成长"),2))/((VLOOKUP($B121,INDIRECT($B$5&amp;"生成成长"),4))/(VLOOKUP(DV$72,INDIRECT($C$5&amp;"生成成长"),5))*(VLOOKUP($B$5,标准坦克设计!$B$24:$U$30,MATCH("对"&amp;LEFT($C$5,2)&amp;"输出",标准坦克设计!$B$23:$U$23,0)))*(VLOOKUP($B121,INDIRECT($B$5&amp;"生成成长"),3))*(VLOOKUP($B$5,标准坦克设计!$B$14:$K$20,9)/30))</f>
        <v>29.633629720585184</v>
      </c>
      <c r="DW121" s="172">
        <f ca="1">(VLOOKUP(DW$72,INDIRECT($C$5&amp;"生成成长"),2))/((VLOOKUP($B121,INDIRECT($B$5&amp;"生成成长"),4))/(VLOOKUP(DW$72,INDIRECT($C$5&amp;"生成成长"),5))*(VLOOKUP($B$5,标准坦克设计!$B$24:$U$30,MATCH("对"&amp;LEFT($C$5,2)&amp;"输出",标准坦克设计!$B$23:$U$23,0)))*(VLOOKUP($B121,INDIRECT($B$5&amp;"生成成长"),3))*(VLOOKUP($B$5,标准坦克设计!$B$14:$K$20,9)/30))</f>
        <v>32.164327732114849</v>
      </c>
      <c r="DX121" s="172">
        <f ca="1">(VLOOKUP(DX$72,INDIRECT($C$5&amp;"生成成长"),2))/((VLOOKUP($B121,INDIRECT($B$5&amp;"生成成长"),4))/(VLOOKUP(DX$72,INDIRECT($C$5&amp;"生成成长"),5))*(VLOOKUP($B$5,标准坦克设计!$B$24:$U$30,MATCH("对"&amp;LEFT($C$5,2)&amp;"输出",标准坦克设计!$B$23:$U$23,0)))*(VLOOKUP($B121,INDIRECT($B$5&amp;"生成成长"),3))*(VLOOKUP($B$5,标准坦克设计!$B$14:$K$20,9)/30))</f>
        <v>34.798704246910191</v>
      </c>
      <c r="DY121" s="172">
        <f ca="1">(VLOOKUP(DY$72,INDIRECT($C$5&amp;"生成成长"),2))/((VLOOKUP($B121,INDIRECT($B$5&amp;"生成成长"),4))/(VLOOKUP(DY$72,INDIRECT($C$5&amp;"生成成长"),5))*(VLOOKUP($B$5,标准坦克设计!$B$24:$U$30,MATCH("对"&amp;LEFT($C$5,2)&amp;"输出",标准坦克设计!$B$23:$U$23,0)))*(VLOOKUP($B121,INDIRECT($B$5&amp;"生成成长"),3))*(VLOOKUP($B$5,标准坦克设计!$B$14:$K$20,9)/30))</f>
        <v>15.629320155512843</v>
      </c>
      <c r="DZ121" s="172">
        <f ca="1">(VLOOKUP(DZ$72,INDIRECT($C$5&amp;"生成成长"),2))/((VLOOKUP($B121,INDIRECT($B$5&amp;"生成成长"),4))/(VLOOKUP(DZ$72,INDIRECT($C$5&amp;"生成成长"),5))*(VLOOKUP($B$5,标准坦克设计!$B$24:$U$30,MATCH("对"&amp;LEFT($C$5,2)&amp;"输出",标准坦克设计!$B$23:$U$23,0)))*(VLOOKUP($B121,INDIRECT($B$5&amp;"生成成长"),3))*(VLOOKUP($B$5,标准坦克设计!$B$14:$K$20,9)/30))</f>
        <v>17.308740538989458</v>
      </c>
      <c r="EA121" s="172">
        <f ca="1">(VLOOKUP(EA$72,INDIRECT($C$5&amp;"生成成长"),2))/((VLOOKUP($B121,INDIRECT($B$5&amp;"生成成长"),4))/(VLOOKUP(EA$72,INDIRECT($C$5&amp;"生成成长"),5))*(VLOOKUP($B$5,标准坦克设计!$B$24:$U$30,MATCH("对"&amp;LEFT($C$5,2)&amp;"输出",标准坦克设计!$B$23:$U$23,0)))*(VLOOKUP($B121,INDIRECT($B$5&amp;"生成成长"),3))*(VLOOKUP($B$5,标准坦克设计!$B$14:$K$20,9)/30))</f>
        <v>19.073845635908757</v>
      </c>
      <c r="EB121" s="172">
        <f ca="1">(VLOOKUP(EB$72,INDIRECT($C$5&amp;"生成成长"),2))/((VLOOKUP($B121,INDIRECT($B$5&amp;"生成成长"),4))/(VLOOKUP(EB$72,INDIRECT($C$5&amp;"生成成长"),5))*(VLOOKUP($B$5,标准坦克设计!$B$24:$U$30,MATCH("对"&amp;LEFT($C$5,2)&amp;"输出",标准坦克设计!$B$23:$U$23,0)))*(VLOOKUP($B121,INDIRECT($B$5&amp;"生成成长"),3))*(VLOOKUP($B$5,标准坦克设计!$B$14:$K$20,9)/30))</f>
        <v>20.924635446270734</v>
      </c>
      <c r="EC121" s="172">
        <f ca="1">(VLOOKUP(EC$72,INDIRECT($C$5&amp;"生成成长"),2))/((VLOOKUP($B121,INDIRECT($B$5&amp;"生成成长"),4))/(VLOOKUP(EC$72,INDIRECT($C$5&amp;"生成成长"),5))*(VLOOKUP($B$5,标准坦克设计!$B$24:$U$30,MATCH("对"&amp;LEFT($C$5,2)&amp;"输出",标准坦克设计!$B$23:$U$23,0)))*(VLOOKUP($B121,INDIRECT($B$5&amp;"生成成长"),3))*(VLOOKUP($B$5,标准坦克设计!$B$14:$K$20,9)/30))</f>
        <v>22.861109970075404</v>
      </c>
      <c r="ED121" s="172">
        <f ca="1">(VLOOKUP(ED$72,INDIRECT($C$5&amp;"生成成长"),2))/((VLOOKUP($B121,INDIRECT($B$5&amp;"生成成长"),4))/(VLOOKUP(ED$72,INDIRECT($C$5&amp;"生成成长"),5))*(VLOOKUP($B$5,标准坦克设计!$B$24:$U$30,MATCH("对"&amp;LEFT($C$5,2)&amp;"输出",标准坦克设计!$B$23:$U$23,0)))*(VLOOKUP($B121,INDIRECT($B$5&amp;"生成成长"),3))*(VLOOKUP($B$5,标准坦克设计!$B$14:$K$20,9)/30))</f>
        <v>24.883269207322751</v>
      </c>
      <c r="EE121" s="172">
        <f ca="1">(VLOOKUP(EE$72,INDIRECT($C$5&amp;"生成成长"),2))/((VLOOKUP($B121,INDIRECT($B$5&amp;"生成成长"),4))/(VLOOKUP(EE$72,INDIRECT($C$5&amp;"生成成长"),5))*(VLOOKUP($B$5,标准坦克设计!$B$24:$U$30,MATCH("对"&amp;LEFT($C$5,2)&amp;"输出",标准坦克设计!$B$23:$U$23,0)))*(VLOOKUP($B121,INDIRECT($B$5&amp;"生成成长"),3))*(VLOOKUP($B$5,标准坦克设计!$B$14:$K$20,9)/30))</f>
        <v>26.991113158012791</v>
      </c>
      <c r="EF121" s="172">
        <f ca="1">(VLOOKUP(EF$72,INDIRECT($C$5&amp;"生成成长"),2))/((VLOOKUP($B121,INDIRECT($B$5&amp;"生成成长"),4))/(VLOOKUP(EF$72,INDIRECT($C$5&amp;"生成成长"),5))*(VLOOKUP($B$5,标准坦克设计!$B$24:$U$30,MATCH("对"&amp;LEFT($C$5,2)&amp;"输出",标准坦克设计!$B$23:$U$23,0)))*(VLOOKUP($B121,INDIRECT($B$5&amp;"生成成长"),3))*(VLOOKUP($B$5,标准坦克设计!$B$14:$K$20,9)/30))</f>
        <v>29.184641822145508</v>
      </c>
      <c r="EG121" s="172">
        <f ca="1">(VLOOKUP(EG$72,INDIRECT($C$5&amp;"生成成长"),2))/((VLOOKUP($B121,INDIRECT($B$5&amp;"生成成长"),4))/(VLOOKUP(EG$72,INDIRECT($C$5&amp;"生成成长"),5))*(VLOOKUP($B$5,标准坦克设计!$B$24:$U$30,MATCH("对"&amp;LEFT($C$5,2)&amp;"输出",标准坦克设计!$B$23:$U$23,0)))*(VLOOKUP($B121,INDIRECT($B$5&amp;"生成成长"),3))*(VLOOKUP($B$5,标准坦克设计!$B$14:$K$20,9)/30))</f>
        <v>31.463855199720914</v>
      </c>
      <c r="EH121" s="172">
        <f ca="1">(VLOOKUP(EH$72,INDIRECT($C$5&amp;"生成成长"),2))/((VLOOKUP($B121,INDIRECT($B$5&amp;"生成成长"),4))/(VLOOKUP(EH$72,INDIRECT($C$5&amp;"生成成长"),5))*(VLOOKUP($B$5,标准坦克设计!$B$24:$U$30,MATCH("对"&amp;LEFT($C$5,2)&amp;"输出",标准坦克设计!$B$23:$U$23,0)))*(VLOOKUP($B121,INDIRECT($B$5&amp;"生成成长"),3))*(VLOOKUP($B$5,标准坦克设计!$B$14:$K$20,9)/30))</f>
        <v>33.828753290739002</v>
      </c>
      <c r="EI121" s="172">
        <f ca="1">(VLOOKUP(EI$72,INDIRECT($C$5&amp;"生成成长"),2))/((VLOOKUP($B121,INDIRECT($B$5&amp;"生成成长"),4))/(VLOOKUP(EI$72,INDIRECT($C$5&amp;"生成成长"),5))*(VLOOKUP($B$5,标准坦克设计!$B$24:$U$30,MATCH("对"&amp;LEFT($C$5,2)&amp;"输出",标准坦克设计!$B$23:$U$23,0)))*(VLOOKUP($B121,INDIRECT($B$5&amp;"生成成长"),3))*(VLOOKUP($B$5,标准坦克设计!$B$14:$K$20,9)/30))</f>
        <v>36.279336095199774</v>
      </c>
      <c r="EJ121" s="172">
        <f ca="1">(VLOOKUP(EJ$72,INDIRECT($C$5&amp;"生成成长"),2))/((VLOOKUP($B121,INDIRECT($B$5&amp;"生成成长"),4))/(VLOOKUP(EJ$72,INDIRECT($C$5&amp;"生成成长"),5))*(VLOOKUP($B$5,标准坦克设计!$B$24:$U$30,MATCH("对"&amp;LEFT($C$5,2)&amp;"输出",标准坦克设计!$B$23:$U$23,0)))*(VLOOKUP($B121,INDIRECT($B$5&amp;"生成成长"),3))*(VLOOKUP($B$5,标准坦克设计!$B$14:$K$20,9)/30))</f>
        <v>38.815603613103235</v>
      </c>
      <c r="EK121" s="172">
        <f ca="1">(VLOOKUP(EK$72,INDIRECT($C$5&amp;"生成成长"),2))/((VLOOKUP($B121,INDIRECT($B$5&amp;"生成成长"),4))/(VLOOKUP(EK$72,INDIRECT($C$5&amp;"生成成长"),5))*(VLOOKUP($B$5,标准坦克设计!$B$24:$U$30,MATCH("对"&amp;LEFT($C$5,2)&amp;"输出",标准坦克设计!$B$23:$U$23,0)))*(VLOOKUP($B121,INDIRECT($B$5&amp;"生成成长"),3))*(VLOOKUP($B$5,标准坦克设计!$B$14:$K$20,9)/30))</f>
        <v>41.972228456331727</v>
      </c>
      <c r="EL121" s="172">
        <f ca="1">(VLOOKUP(EL$72,INDIRECT($C$5&amp;"生成成长"),2))/((VLOOKUP($B121,INDIRECT($B$5&amp;"生成成长"),4))/(VLOOKUP(EL$72,INDIRECT($C$5&amp;"生成成长"),5))*(VLOOKUP($B$5,标准坦克设计!$B$24:$U$30,MATCH("对"&amp;LEFT($C$5,2)&amp;"输出",标准坦克设计!$B$23:$U$23,0)))*(VLOOKUP($B121,INDIRECT($B$5&amp;"生成成长"),3))*(VLOOKUP($B$5,标准坦克设计!$B$14:$K$20,9)/30))</f>
        <v>45.252239286917693</v>
      </c>
      <c r="EM121" s="172">
        <f ca="1">(VLOOKUP(EM$72,INDIRECT($C$5&amp;"生成成长"),2))/((VLOOKUP($B121,INDIRECT($B$5&amp;"生成成长"),4))/(VLOOKUP(EM$72,INDIRECT($C$5&amp;"生成成长"),5))*(VLOOKUP($B$5,标准坦克设计!$B$24:$U$30,MATCH("对"&amp;LEFT($C$5,2)&amp;"输出",标准坦克设计!$B$23:$U$23,0)))*(VLOOKUP($B121,INDIRECT($B$5&amp;"生成成长"),3))*(VLOOKUP($B$5,标准坦克设计!$B$14:$K$20,9)/30))</f>
        <v>48.655636104861109</v>
      </c>
      <c r="EN121" s="172">
        <f ca="1">(VLOOKUP(EN$72,INDIRECT($C$5&amp;"生成成长"),2))/((VLOOKUP($B121,INDIRECT($B$5&amp;"生成成长"),4))/(VLOOKUP(EN$72,INDIRECT($C$5&amp;"生成成长"),5))*(VLOOKUP($B$5,标准坦克设计!$B$24:$U$30,MATCH("对"&amp;LEFT($C$5,2)&amp;"输出",标准坦克设计!$B$23:$U$23,0)))*(VLOOKUP($B121,INDIRECT($B$5&amp;"生成成长"),3))*(VLOOKUP($B$5,标准坦克设计!$B$14:$K$20,9)/30))</f>
        <v>52.182418910161999</v>
      </c>
      <c r="EO121" s="172">
        <f ca="1">(VLOOKUP(EO$72,INDIRECT($C$5&amp;"生成成长"),2))/((VLOOKUP($B121,INDIRECT($B$5&amp;"生成成长"),4))/(VLOOKUP(EO$72,INDIRECT($C$5&amp;"生成成长"),5))*(VLOOKUP($B$5,标准坦克设计!$B$24:$U$30,MATCH("对"&amp;LEFT($C$5,2)&amp;"输出",标准坦克设计!$B$23:$U$23,0)))*(VLOOKUP($B121,INDIRECT($B$5&amp;"生成成长"),3))*(VLOOKUP($B$5,标准坦克设计!$B$14:$K$20,9)/30))</f>
        <v>55.832587702820341</v>
      </c>
      <c r="EP121" s="172">
        <f ca="1">(VLOOKUP(EP$72,INDIRECT($C$5&amp;"生成成长"),2))/((VLOOKUP($B121,INDIRECT($B$5&amp;"生成成长"),4))/(VLOOKUP(EP$72,INDIRECT($C$5&amp;"生成成长"),5))*(VLOOKUP($B$5,标准坦克设计!$B$24:$U$30,MATCH("对"&amp;LEFT($C$5,2)&amp;"输出",标准坦克设计!$B$23:$U$23,0)))*(VLOOKUP($B121,INDIRECT($B$5&amp;"生成成长"),3))*(VLOOKUP($B$5,标准坦克设计!$B$14:$K$20,9)/30))</f>
        <v>59.606142482836169</v>
      </c>
      <c r="EQ121" s="172">
        <f ca="1">(VLOOKUP(EQ$72,INDIRECT($C$5&amp;"生成成长"),2))/((VLOOKUP($B121,INDIRECT($B$5&amp;"生成成长"),4))/(VLOOKUP(EQ$72,INDIRECT($C$5&amp;"生成成长"),5))*(VLOOKUP($B$5,标准坦克设计!$B$24:$U$30,MATCH("对"&amp;LEFT($C$5,2)&amp;"输出",标准坦克设计!$B$23:$U$23,0)))*(VLOOKUP($B121,INDIRECT($B$5&amp;"生成成长"),3))*(VLOOKUP($B$5,标准坦克设计!$B$14:$K$20,9)/30))</f>
        <v>26.349763077894291</v>
      </c>
      <c r="ER121" s="172">
        <f ca="1">(VLOOKUP(ER$72,INDIRECT($C$5&amp;"生成成长"),2))/((VLOOKUP($B121,INDIRECT($B$5&amp;"生成成长"),4))/(VLOOKUP(ER$72,INDIRECT($C$5&amp;"生成成长"),5))*(VLOOKUP($B$5,标准坦克设计!$B$24:$U$30,MATCH("对"&amp;LEFT($C$5,2)&amp;"输出",标准坦克设计!$B$23:$U$23,0)))*(VLOOKUP($B121,INDIRECT($B$5&amp;"生成成长"),3))*(VLOOKUP($B$5,标准坦克设计!$B$14:$K$20,9)/30))</f>
        <v>28.739081312243545</v>
      </c>
      <c r="ES121" s="172">
        <f ca="1">(VLOOKUP(ES$72,INDIRECT($C$5&amp;"生成成长"),2))/((VLOOKUP($B121,INDIRECT($B$5&amp;"生成成长"),4))/(VLOOKUP(ES$72,INDIRECT($C$5&amp;"生成成长"),5))*(VLOOKUP($B$5,标准坦克设计!$B$24:$U$30,MATCH("对"&amp;LEFT($C$5,2)&amp;"输出",标准坦克设计!$B$23:$U$23,0)))*(VLOOKUP($B121,INDIRECT($B$5&amp;"生成成长"),3))*(VLOOKUP($B$5,标准坦克设计!$B$14:$K$20,9)/30))</f>
        <v>31.232078049858451</v>
      </c>
      <c r="ET121" s="172">
        <f ca="1">(VLOOKUP(ET$72,INDIRECT($C$5&amp;"生成成长"),2))/((VLOOKUP($B121,INDIRECT($B$5&amp;"生成成长"),4))/(VLOOKUP(ET$72,INDIRECT($C$5&amp;"生成成长"),5))*(VLOOKUP($B$5,标准坦克设计!$B$24:$U$30,MATCH("对"&amp;LEFT($C$5,2)&amp;"输出",标准坦克设计!$B$23:$U$23,0)))*(VLOOKUP($B121,INDIRECT($B$5&amp;"生成成长"),3))*(VLOOKUP($B$5,标准坦克设计!$B$14:$K$20,9)/30))</f>
        <v>33.828753290739002</v>
      </c>
      <c r="EU121" s="172">
        <f ca="1">(VLOOKUP(EU$72,INDIRECT($C$5&amp;"生成成长"),2))/((VLOOKUP($B121,INDIRECT($B$5&amp;"生成成长"),4))/(VLOOKUP(EU$72,INDIRECT($C$5&amp;"生成成长"),5))*(VLOOKUP($B$5,标准坦克设计!$B$24:$U$30,MATCH("对"&amp;LEFT($C$5,2)&amp;"输出",标准坦克设计!$B$23:$U$23,0)))*(VLOOKUP($B121,INDIRECT($B$5&amp;"生成成长"),3))*(VLOOKUP($B$5,标准坦克设计!$B$14:$K$20,9)/30))</f>
        <v>36.529107034885193</v>
      </c>
      <c r="EV121" s="172">
        <f ca="1">(VLOOKUP(EV$72,INDIRECT($C$5&amp;"生成成长"),2))/((VLOOKUP($B121,INDIRECT($B$5&amp;"生成成长"),4))/(VLOOKUP(EV$72,INDIRECT($C$5&amp;"生成成长"),5))*(VLOOKUP($B$5,标准坦克设计!$B$24:$U$30,MATCH("对"&amp;LEFT($C$5,2)&amp;"输出",标准坦克设计!$B$23:$U$23,0)))*(VLOOKUP($B121,INDIRECT($B$5&amp;"生成成长"),3))*(VLOOKUP($B$5,标准坦克设计!$B$14:$K$20,9)/30))</f>
        <v>39.333139282297047</v>
      </c>
      <c r="EW121" s="172">
        <f ca="1">(VLOOKUP(EW$72,INDIRECT($C$5&amp;"生成成长"),2))/((VLOOKUP($B121,INDIRECT($B$5&amp;"生成成长"),4))/(VLOOKUP(EW$72,INDIRECT($C$5&amp;"生成成长"),5))*(VLOOKUP($B$5,标准坦克设计!$B$24:$U$30,MATCH("对"&amp;LEFT($C$5,2)&amp;"输出",标准坦克设计!$B$23:$U$23,0)))*(VLOOKUP($B121,INDIRECT($B$5&amp;"生成成长"),3))*(VLOOKUP($B$5,标准坦克设计!$B$14:$K$20,9)/30))</f>
        <v>42.240850032974535</v>
      </c>
      <c r="EX121" s="172">
        <f ca="1">(VLOOKUP(EX$72,INDIRECT($C$5&amp;"生成成长"),2))/((VLOOKUP($B121,INDIRECT($B$5&amp;"生成成长"),4))/(VLOOKUP(EX$72,INDIRECT($C$5&amp;"生成成长"),5))*(VLOOKUP($B$5,标准坦克设计!$B$24:$U$30,MATCH("对"&amp;LEFT($C$5,2)&amp;"输出",标准坦克设计!$B$23:$U$23,0)))*(VLOOKUP($B121,INDIRECT($B$5&amp;"生成成长"),3))*(VLOOKUP($B$5,标准坦克设计!$B$14:$K$20,9)/30))</f>
        <v>45.252239286917693</v>
      </c>
      <c r="EY121" s="172">
        <f ca="1">(VLOOKUP(EY$72,INDIRECT($C$5&amp;"生成成长"),2))/((VLOOKUP($B121,INDIRECT($B$5&amp;"生成成长"),4))/(VLOOKUP(EY$72,INDIRECT($C$5&amp;"生成成长"),5))*(VLOOKUP($B$5,标准坦克设计!$B$24:$U$30,MATCH("对"&amp;LEFT($C$5,2)&amp;"输出",标准坦克设计!$B$23:$U$23,0)))*(VLOOKUP($B121,INDIRECT($B$5&amp;"生成成长"),3))*(VLOOKUP($B$5,标准坦克设计!$B$14:$K$20,9)/30))</f>
        <v>48.367307044126477</v>
      </c>
      <c r="EZ121" s="172">
        <f ca="1">(VLOOKUP(EZ$72,INDIRECT($C$5&amp;"生成成长"),2))/((VLOOKUP($B121,INDIRECT($B$5&amp;"生成成长"),4))/(VLOOKUP(EZ$72,INDIRECT($C$5&amp;"生成成长"),5))*(VLOOKUP($B$5,标准坦克设计!$B$24:$U$30,MATCH("对"&amp;LEFT($C$5,2)&amp;"输出",标准坦克设计!$B$23:$U$23,0)))*(VLOOKUP($B121,INDIRECT($B$5&amp;"生成成长"),3))*(VLOOKUP($B$5,标准坦克设计!$B$14:$K$20,9)/30))</f>
        <v>51.586053304600902</v>
      </c>
      <c r="FA121" s="172">
        <f ca="1">(VLOOKUP(FA$72,INDIRECT($C$5&amp;"生成成长"),2))/((VLOOKUP($B121,INDIRECT($B$5&amp;"生成成长"),4))/(VLOOKUP(FA$72,INDIRECT($C$5&amp;"生成成长"),5))*(VLOOKUP($B$5,标准坦克设计!$B$24:$U$30,MATCH("对"&amp;LEFT($C$5,2)&amp;"输出",标准坦克设计!$B$23:$U$23,0)))*(VLOOKUP($B121,INDIRECT($B$5&amp;"生成成长"),3))*(VLOOKUP($B$5,标准坦克设计!$B$14:$K$20,9)/30))</f>
        <v>54.90847806834099</v>
      </c>
      <c r="FB121" s="172">
        <f ca="1">(VLOOKUP(FB$72,INDIRECT($C$5&amp;"生成成长"),2))/((VLOOKUP($B121,INDIRECT($B$5&amp;"生成成长"),4))/(VLOOKUP(FB$72,INDIRECT($C$5&amp;"生成成长"),5))*(VLOOKUP($B$5,标准坦克设计!$B$24:$U$30,MATCH("对"&amp;LEFT($C$5,2)&amp;"输出",标准坦克设计!$B$23:$U$23,0)))*(VLOOKUP($B121,INDIRECT($B$5&amp;"生成成长"),3))*(VLOOKUP($B$5,标准坦克设计!$B$14:$K$20,9)/30))</f>
        <v>58.334581335346741</v>
      </c>
      <c r="FC121" s="172">
        <f ca="1">(VLOOKUP(FC$72,INDIRECT($C$5&amp;"生成成长"),2))/((VLOOKUP($B121,INDIRECT($B$5&amp;"生成成长"),4))/(VLOOKUP(FC$72,INDIRECT($C$5&amp;"生成成长"),5))*(VLOOKUP($B$5,标准坦克设计!$B$24:$U$30,MATCH("对"&amp;LEFT($C$5,2)&amp;"输出",标准坦克设计!$B$23:$U$23,0)))*(VLOOKUP($B121,INDIRECT($B$5&amp;"生成成长"),3))*(VLOOKUP($B$5,标准坦克设计!$B$14:$K$20,9)/30))</f>
        <v>61.864363105618125</v>
      </c>
      <c r="FD121" s="172">
        <f ca="1">(VLOOKUP(FD$72,INDIRECT($C$5&amp;"生成成长"),2))/((VLOOKUP($B121,INDIRECT($B$5&amp;"生成成长"),4))/(VLOOKUP(FD$72,INDIRECT($C$5&amp;"生成成长"),5))*(VLOOKUP($B$5,标准坦克设计!$B$24:$U$30,MATCH("对"&amp;LEFT($C$5,2)&amp;"输出",标准坦克设计!$B$23:$U$23,0)))*(VLOOKUP($B121,INDIRECT($B$5&amp;"生成成长"),3))*(VLOOKUP($B$5,标准坦克设计!$B$14:$K$20,9)/30))</f>
        <v>65.49782337915515</v>
      </c>
      <c r="FE121" s="172">
        <f ca="1">(VLOOKUP(FE$72,INDIRECT($C$5&amp;"生成成长"),2))/((VLOOKUP($B121,INDIRECT($B$5&amp;"生成成长"),4))/(VLOOKUP(FE$72,INDIRECT($C$5&amp;"生成成长"),5))*(VLOOKUP($B$5,标准坦克设计!$B$24:$U$30,MATCH("对"&amp;LEFT($C$5,2)&amp;"输出",标准坦克设计!$B$23:$U$23,0)))*(VLOOKUP($B121,INDIRECT($B$5&amp;"生成成长"),3))*(VLOOKUP($B$5,标准坦克设计!$B$14:$K$20,9)/30))</f>
        <v>69.925580946305871</v>
      </c>
      <c r="FF121" s="172">
        <f ca="1">(VLOOKUP(FF$72,INDIRECT($C$5&amp;"生成成长"),2))/((VLOOKUP($B121,INDIRECT($B$5&amp;"生成成长"),4))/(VLOOKUP(FF$72,INDIRECT($C$5&amp;"生成成长"),5))*(VLOOKUP($B$5,标准坦克设计!$B$24:$U$30,MATCH("对"&amp;LEFT($C$5,2)&amp;"输出",标准坦克设计!$B$23:$U$23,0)))*(VLOOKUP($B121,INDIRECT($B$5&amp;"生成成长"),3))*(VLOOKUP($B$5,标准坦克设计!$B$14:$K$20,9)/30))</f>
        <v>74.498145679174712</v>
      </c>
      <c r="FG121" s="172">
        <f ca="1">(VLOOKUP(FG$72,INDIRECT($C$5&amp;"生成成长"),2))/((VLOOKUP($B121,INDIRECT($B$5&amp;"生成成长"),4))/(VLOOKUP(FG$72,INDIRECT($C$5&amp;"生成成长"),5))*(VLOOKUP($B$5,标准坦克设计!$B$24:$U$30,MATCH("对"&amp;LEFT($C$5,2)&amp;"输出",标准坦克设计!$B$23:$U$23,0)))*(VLOOKUP($B121,INDIRECT($B$5&amp;"生成成长"),3))*(VLOOKUP($B$5,标准坦克设计!$B$14:$K$20,9)/30))</f>
        <v>79.215517577761716</v>
      </c>
      <c r="FH121" s="172">
        <f ca="1">(VLOOKUP(FH$72,INDIRECT($C$5&amp;"生成成长"),2))/((VLOOKUP($B121,INDIRECT($B$5&amp;"生成成长"),4))/(VLOOKUP(FH$72,INDIRECT($C$5&amp;"生成成长"),5))*(VLOOKUP($B$5,标准坦克设计!$B$24:$U$30,MATCH("对"&amp;LEFT($C$5,2)&amp;"输出",标准坦克设计!$B$23:$U$23,0)))*(VLOOKUP($B121,INDIRECT($B$5&amp;"生成成长"),3))*(VLOOKUP($B$5,标准坦克设计!$B$14:$K$20,9)/30))</f>
        <v>84.077696642066826</v>
      </c>
      <c r="FI121" s="172">
        <f ca="1">(VLOOKUP(FI$72,INDIRECT($C$5&amp;"生成成长"),2))/((VLOOKUP($B121,INDIRECT($B$5&amp;"生成成长"),4))/(VLOOKUP(FI$72,INDIRECT($C$5&amp;"生成成长"),5))*(VLOOKUP($B$5,标准坦克设计!$B$24:$U$30,MATCH("对"&amp;LEFT($C$5,2)&amp;"输出",标准坦克设计!$B$23:$U$23,0)))*(VLOOKUP($B121,INDIRECT($B$5&amp;"生成成长"),3))*(VLOOKUP($B$5,标准坦克设计!$B$14:$K$20,9)/30))</f>
        <v>89.08468287209007</v>
      </c>
      <c r="FJ121" s="172">
        <f ca="1">(VLOOKUP(FJ$72,INDIRECT($C$5&amp;"生成成长"),2))/((VLOOKUP($B121,INDIRECT($B$5&amp;"生成成长"),4))/(VLOOKUP(FJ$72,INDIRECT($C$5&amp;"生成成长"),5))*(VLOOKUP($B$5,标准坦克设计!$B$24:$U$30,MATCH("对"&amp;LEFT($C$5,2)&amp;"输出",标准坦克设计!$B$23:$U$23,0)))*(VLOOKUP($B121,INDIRECT($B$5&amp;"生成成长"),3))*(VLOOKUP($B$5,标准坦克设计!$B$14:$K$20,9)/30))</f>
        <v>94.236476267831478</v>
      </c>
      <c r="FK121" s="172">
        <f ca="1">(VLOOKUP(FK$72,INDIRECT($C$5&amp;"生成成长"),2))/((VLOOKUP($B121,INDIRECT($B$5&amp;"生成成长"),4))/(VLOOKUP(FK$72,INDIRECT($C$5&amp;"生成成长"),5))*(VLOOKUP($B$5,标准坦克设计!$B$24:$U$30,MATCH("对"&amp;LEFT($C$5,2)&amp;"输出",标准坦克设计!$B$23:$U$23,0)))*(VLOOKUP($B121,INDIRECT($B$5&amp;"生成成长"),3))*(VLOOKUP($B$5,标准坦克设计!$B$14:$K$20,9)/30))</f>
        <v>99.533076829291005</v>
      </c>
    </row>
    <row r="122" spans="1:167" x14ac:dyDescent="0.15">
      <c r="A122" s="170" t="str">
        <f t="shared" si="11"/>
        <v>T2中品质5级</v>
      </c>
      <c r="B122" s="171">
        <v>20205</v>
      </c>
      <c r="C122" s="172">
        <f ca="1">(VLOOKUP(C$72,INDIRECT($C$5&amp;"生成成长"),2))/((VLOOKUP($B122,INDIRECT($B$5&amp;"生成成长"),4))/(VLOOKUP(C$72,INDIRECT($C$5&amp;"生成成长"),5))*(VLOOKUP($B$5,标准坦克设计!$B$24:$U$30,MATCH("对"&amp;LEFT($C$5,2)&amp;"输出",标准坦克设计!$B$23:$U$23,0)))*(VLOOKUP($B122,INDIRECT($B$5&amp;"生成成长"),3))*(VLOOKUP($B$5,标准坦克设计!$B$14:$K$20,9)/30))</f>
        <v>3.8390240058493292</v>
      </c>
      <c r="D122" s="172">
        <f ca="1">(VLOOKUP(D$72,INDIRECT($C$5&amp;"生成成长"),2))/((VLOOKUP($B122,INDIRECT($B$5&amp;"生成成长"),4))/(VLOOKUP(D$72,INDIRECT($C$5&amp;"生成成长"),5))*(VLOOKUP($B$5,标准坦克设计!$B$24:$U$30,MATCH("对"&amp;LEFT($C$5,2)&amp;"输出",标准坦克设计!$B$23:$U$23,0)))*(VLOOKUP($B122,INDIRECT($B$5&amp;"生成成长"),3))*(VLOOKUP($B$5,标准坦克设计!$B$14:$K$20,9)/30))</f>
        <v>4.3135273729723069</v>
      </c>
      <c r="E122" s="172">
        <f ca="1">(VLOOKUP(E$72,INDIRECT($C$5&amp;"生成成长"),2))/((VLOOKUP($B122,INDIRECT($B$5&amp;"生成成长"),4))/(VLOOKUP(E$72,INDIRECT($C$5&amp;"生成成长"),5))*(VLOOKUP($B$5,标准坦克设计!$B$24:$U$30,MATCH("对"&amp;LEFT($C$5,2)&amp;"输出",标准坦克设计!$B$23:$U$23,0)))*(VLOOKUP($B122,INDIRECT($B$5&amp;"生成成长"),3))*(VLOOKUP($B$5,标准坦克设计!$B$14:$K$20,9)/30))</f>
        <v>4.8156717129373989</v>
      </c>
      <c r="F122" s="172">
        <f ca="1">(VLOOKUP(F$72,INDIRECT($C$5&amp;"生成成长"),2))/((VLOOKUP($B122,INDIRECT($B$5&amp;"生成成长"),4))/(VLOOKUP(F$72,INDIRECT($C$5&amp;"生成成长"),5))*(VLOOKUP($B$5,标准坦克设计!$B$24:$U$30,MATCH("对"&amp;LEFT($C$5,2)&amp;"输出",标准坦克设计!$B$23:$U$23,0)))*(VLOOKUP($B122,INDIRECT($B$5&amp;"生成成长"),3))*(VLOOKUP($B$5,标准坦克设计!$B$14:$K$20,9)/30))</f>
        <v>5.345457025744607</v>
      </c>
      <c r="G122" s="172">
        <f ca="1">(VLOOKUP(G$72,INDIRECT($C$5&amp;"生成成长"),2))/((VLOOKUP($B122,INDIRECT($B$5&amp;"生成成长"),4))/(VLOOKUP(G$72,INDIRECT($C$5&amp;"生成成长"),5))*(VLOOKUP($B$5,标准坦克设计!$B$24:$U$30,MATCH("对"&amp;LEFT($C$5,2)&amp;"输出",标准坦克设计!$B$23:$U$23,0)))*(VLOOKUP($B122,INDIRECT($B$5&amp;"生成成长"),3))*(VLOOKUP($B$5,标准坦克设计!$B$14:$K$20,9)/30))</f>
        <v>5.9028833113939285</v>
      </c>
      <c r="H122" s="172">
        <f ca="1">(VLOOKUP(H$72,INDIRECT($C$5&amp;"生成成长"),2))/((VLOOKUP($B122,INDIRECT($B$5&amp;"生成成长"),4))/(VLOOKUP(H$72,INDIRECT($C$5&amp;"生成成长"),5))*(VLOOKUP($B$5,标准坦克设计!$B$24:$U$30,MATCH("对"&amp;LEFT($C$5,2)&amp;"输出",标准坦克设计!$B$23:$U$23,0)))*(VLOOKUP($B122,INDIRECT($B$5&amp;"生成成长"),3))*(VLOOKUP($B$5,标准坦克设计!$B$14:$K$20,9)/30))</f>
        <v>5.1657907022708569</v>
      </c>
      <c r="I122" s="172">
        <f ca="1">(VLOOKUP(I$72,INDIRECT($C$5&amp;"生成成长"),2))/((VLOOKUP($B122,INDIRECT($B$5&amp;"生成成长"),4))/(VLOOKUP(I$72,INDIRECT($C$5&amp;"生成成长"),5))*(VLOOKUP($B$5,标准坦克设计!$B$24:$U$30,MATCH("对"&amp;LEFT($C$5,2)&amp;"输出",标准坦克设计!$B$23:$U$23,0)))*(VLOOKUP($B122,INDIRECT($B$5&amp;"生成成长"),3))*(VLOOKUP($B$5,标准坦克设计!$B$14:$K$20,9)/30))</f>
        <v>5.9028833113939285</v>
      </c>
      <c r="J122" s="172">
        <f ca="1">(VLOOKUP(J$72,INDIRECT($C$5&amp;"生成成长"),2))/((VLOOKUP($B122,INDIRECT($B$5&amp;"生成成长"),4))/(VLOOKUP(J$72,INDIRECT($C$5&amp;"生成成长"),5))*(VLOOKUP($B$5,标准坦克设计!$B$24:$U$30,MATCH("对"&amp;LEFT($C$5,2)&amp;"输出",标准坦克设计!$B$23:$U$23,0)))*(VLOOKUP($B122,INDIRECT($B$5&amp;"生成成长"),3))*(VLOOKUP($B$5,标准坦克设计!$B$14:$K$20,9)/30))</f>
        <v>6.6891154277918714</v>
      </c>
      <c r="K122" s="172">
        <f ca="1">(VLOOKUP(K$72,INDIRECT($C$5&amp;"生成成长"),2))/((VLOOKUP($B122,INDIRECT($B$5&amp;"生成成长"),4))/(VLOOKUP(K$72,INDIRECT($C$5&amp;"生成成长"),5))*(VLOOKUP($B$5,标准坦克设计!$B$24:$U$30,MATCH("对"&amp;LEFT($C$5,2)&amp;"输出",标准坦克设计!$B$23:$U$23,0)))*(VLOOKUP($B122,INDIRECT($B$5&amp;"生成成长"),3))*(VLOOKUP($B$5,标准坦克设计!$B$14:$K$20,9)/30))</f>
        <v>7.5244870514646855</v>
      </c>
      <c r="L122" s="172">
        <f ca="1">(VLOOKUP(L$72,INDIRECT($C$5&amp;"生成成长"),2))/((VLOOKUP($B122,INDIRECT($B$5&amp;"生成成长"),4))/(VLOOKUP(L$72,INDIRECT($C$5&amp;"生成成长"),5))*(VLOOKUP($B$5,标准坦克设计!$B$24:$U$30,MATCH("对"&amp;LEFT($C$5,2)&amp;"输出",标准坦克设计!$B$23:$U$23,0)))*(VLOOKUP($B122,INDIRECT($B$5&amp;"生成成长"),3))*(VLOOKUP($B$5,标准坦克设计!$B$14:$K$20,9)/30))</f>
        <v>8.4089981824123701</v>
      </c>
      <c r="M122" s="172">
        <f ca="1">(VLOOKUP(M$72,INDIRECT($C$5&amp;"生成成长"),2))/((VLOOKUP($B122,INDIRECT($B$5&amp;"生成成长"),4))/(VLOOKUP(M$72,INDIRECT($C$5&amp;"生成成长"),5))*(VLOOKUP($B$5,标准坦克设计!$B$24:$U$30,MATCH("对"&amp;LEFT($C$5,2)&amp;"输出",标准坦克设计!$B$23:$U$23,0)))*(VLOOKUP($B122,INDIRECT($B$5&amp;"生成成长"),3))*(VLOOKUP($B$5,标准坦克设计!$B$14:$K$20,9)/30))</f>
        <v>9.3426488206349294</v>
      </c>
      <c r="N122" s="172">
        <f ca="1">(VLOOKUP(N$72,INDIRECT($C$5&amp;"生成成长"),2))/((VLOOKUP($B122,INDIRECT($B$5&amp;"生成成长"),4))/(VLOOKUP(N$72,INDIRECT($C$5&amp;"生成成长"),5))*(VLOOKUP($B$5,标准坦克设计!$B$24:$U$30,MATCH("对"&amp;LEFT($C$5,2)&amp;"输出",标准坦克设计!$B$23:$U$23,0)))*(VLOOKUP($B122,INDIRECT($B$5&amp;"生成成长"),3))*(VLOOKUP($B$5,标准坦克设计!$B$14:$K$20,9)/30))</f>
        <v>10.325438966132355</v>
      </c>
      <c r="O122" s="172">
        <f ca="1">(VLOOKUP(O$72,INDIRECT($C$5&amp;"生成成长"),2))/((VLOOKUP($B122,INDIRECT($B$5&amp;"生成成长"),4))/(VLOOKUP(O$72,INDIRECT($C$5&amp;"生成成长"),5))*(VLOOKUP($B$5,标准坦克设计!$B$24:$U$30,MATCH("对"&amp;LEFT($C$5,2)&amp;"输出",标准坦克设计!$B$23:$U$23,0)))*(VLOOKUP($B122,INDIRECT($B$5&amp;"生成成长"),3))*(VLOOKUP($B$5,标准坦克设计!$B$14:$K$20,9)/30))</f>
        <v>7.8504201895612935</v>
      </c>
      <c r="P122" s="172">
        <f ca="1">(VLOOKUP(P$72,INDIRECT($C$5&amp;"生成成长"),2))/((VLOOKUP($B122,INDIRECT($B$5&amp;"生成成长"),4))/(VLOOKUP(P$72,INDIRECT($C$5&amp;"生成成长"),5))*(VLOOKUP($B$5,标准坦克设计!$B$24:$U$30,MATCH("对"&amp;LEFT($C$5,2)&amp;"输出",标准坦克设计!$B$23:$U$23,0)))*(VLOOKUP($B122,INDIRECT($B$5&amp;"生成成长"),3))*(VLOOKUP($B$5,标准坦克设计!$B$14:$K$20,9)/30))</f>
        <v>8.8696810631142906</v>
      </c>
      <c r="Q122" s="172">
        <f ca="1">(VLOOKUP(Q$72,INDIRECT($C$5&amp;"生成成长"),2))/((VLOOKUP($B122,INDIRECT($B$5&amp;"生成成长"),4))/(VLOOKUP(Q$72,INDIRECT($C$5&amp;"生成成长"),5))*(VLOOKUP($B$5,标准坦克设计!$B$24:$U$30,MATCH("对"&amp;LEFT($C$5,2)&amp;"输出",标准坦克设计!$B$23:$U$23,0)))*(VLOOKUP($B122,INDIRECT($B$5&amp;"生成成长"),3))*(VLOOKUP($B$5,标准坦克设计!$B$14:$K$20,9)/30))</f>
        <v>9.9511341255620476</v>
      </c>
      <c r="R122" s="172">
        <f ca="1">(VLOOKUP(R$72,INDIRECT($C$5&amp;"生成成长"),2))/((VLOOKUP($B122,INDIRECT($B$5&amp;"生成成长"),4))/(VLOOKUP(R$72,INDIRECT($C$5&amp;"生成成长"),5))*(VLOOKUP($B$5,标准坦克设计!$B$24:$U$30,MATCH("对"&amp;LEFT($C$5,2)&amp;"输出",标准坦克设计!$B$23:$U$23,0)))*(VLOOKUP($B122,INDIRECT($B$5&amp;"生成成长"),3))*(VLOOKUP($B$5,标准坦克设计!$B$14:$K$20,9)/30))</f>
        <v>11.094779376904564</v>
      </c>
      <c r="S122" s="172">
        <f ca="1">(VLOOKUP(S$72,INDIRECT($C$5&amp;"生成成长"),2))/((VLOOKUP($B122,INDIRECT($B$5&amp;"生成成长"),4))/(VLOOKUP(S$72,INDIRECT($C$5&amp;"生成成长"),5))*(VLOOKUP($B$5,标准坦克设计!$B$24:$U$30,MATCH("对"&amp;LEFT($C$5,2)&amp;"输出",标准坦克设计!$B$23:$U$23,0)))*(VLOOKUP($B122,INDIRECT($B$5&amp;"生成成长"),3))*(VLOOKUP($B$5,标准坦克设计!$B$14:$K$20,9)/30))</f>
        <v>12.300616817141838</v>
      </c>
      <c r="T122" s="172">
        <f ca="1">(VLOOKUP(T$72,INDIRECT($C$5&amp;"生成成长"),2))/((VLOOKUP($B122,INDIRECT($B$5&amp;"生成成长"),4))/(VLOOKUP(T$72,INDIRECT($C$5&amp;"生成成长"),5))*(VLOOKUP($B$5,标准坦克设计!$B$24:$U$30,MATCH("对"&amp;LEFT($C$5,2)&amp;"输出",标准坦克设计!$B$23:$U$23,0)))*(VLOOKUP($B122,INDIRECT($B$5&amp;"生成成长"),3))*(VLOOKUP($B$5,标准坦克设计!$B$14:$K$20,9)/30))</f>
        <v>13.568646446273871</v>
      </c>
      <c r="U122" s="172">
        <f ca="1">(VLOOKUP(U$72,INDIRECT($C$5&amp;"生成成长"),2))/((VLOOKUP($B122,INDIRECT($B$5&amp;"生成成长"),4))/(VLOOKUP(U$72,INDIRECT($C$5&amp;"生成成长"),5))*(VLOOKUP($B$5,标准坦克设计!$B$24:$U$30,MATCH("对"&amp;LEFT($C$5,2)&amp;"输出",标准坦克设计!$B$23:$U$23,0)))*(VLOOKUP($B122,INDIRECT($B$5&amp;"生成成长"),3))*(VLOOKUP($B$5,标准坦克设计!$B$14:$K$20,9)/30))</f>
        <v>14.898868264300665</v>
      </c>
      <c r="V122" s="172">
        <f ca="1">(VLOOKUP(V$72,INDIRECT($C$5&amp;"生成成长"),2))/((VLOOKUP($B122,INDIRECT($B$5&amp;"生成成长"),4))/(VLOOKUP(V$72,INDIRECT($C$5&amp;"生成成长"),5))*(VLOOKUP($B$5,标准坦克设计!$B$24:$U$30,MATCH("对"&amp;LEFT($C$5,2)&amp;"输出",标准坦克设计!$B$23:$U$23,0)))*(VLOOKUP($B122,INDIRECT($B$5&amp;"生成成长"),3))*(VLOOKUP($B$5,标准坦克设计!$B$14:$K$20,9)/30))</f>
        <v>16.291282271222215</v>
      </c>
      <c r="W122" s="172">
        <f ca="1">(VLOOKUP(W$72,INDIRECT($C$5&amp;"生成成长"),2))/((VLOOKUP($B122,INDIRECT($B$5&amp;"生成成长"),4))/(VLOOKUP(W$72,INDIRECT($C$5&amp;"生成成长"),5))*(VLOOKUP($B$5,标准坦克设计!$B$24:$U$30,MATCH("对"&amp;LEFT($C$5,2)&amp;"输出",标准坦克设计!$B$23:$U$23,0)))*(VLOOKUP($B122,INDIRECT($B$5&amp;"生成成长"),3))*(VLOOKUP($B$5,标准坦克设计!$B$14:$K$20,9)/30))</f>
        <v>17.745888467038522</v>
      </c>
      <c r="X122" s="172">
        <f ca="1">(VLOOKUP(X$72,INDIRECT($C$5&amp;"生成成长"),2))/((VLOOKUP($B122,INDIRECT($B$5&amp;"生成成长"),4))/(VLOOKUP(X$72,INDIRECT($C$5&amp;"生成成长"),5))*(VLOOKUP($B$5,标准坦克设计!$B$24:$U$30,MATCH("对"&amp;LEFT($C$5,2)&amp;"输出",标准坦克设计!$B$23:$U$23,0)))*(VLOOKUP($B122,INDIRECT($B$5&amp;"生成成长"),3))*(VLOOKUP($B$5,标准坦克设计!$B$14:$K$20,9)/30))</f>
        <v>12.85650749318882</v>
      </c>
      <c r="Y122" s="172">
        <f ca="1">(VLOOKUP(Y$72,INDIRECT($C$5&amp;"生成成长"),2))/((VLOOKUP($B122,INDIRECT($B$5&amp;"生成成长"),4))/(VLOOKUP(Y$72,INDIRECT($C$5&amp;"生成成长"),5))*(VLOOKUP($B$5,标准坦克设计!$B$24:$U$30,MATCH("对"&amp;LEFT($C$5,2)&amp;"输出",标准坦克设计!$B$23:$U$23,0)))*(VLOOKUP($B122,INDIRECT($B$5&amp;"生成成长"),3))*(VLOOKUP($B$5,标准坦克设计!$B$14:$K$20,9)/30))</f>
        <v>14.299980519388168</v>
      </c>
      <c r="Z122" s="172">
        <f ca="1">(VLOOKUP(Z$72,INDIRECT($C$5&amp;"生成成长"),2))/((VLOOKUP($B122,INDIRECT($B$5&amp;"生成成长"),4))/(VLOOKUP(Z$72,INDIRECT($C$5&amp;"生成成长"),5))*(VLOOKUP($B$5,标准坦克设计!$B$24:$U$30,MATCH("对"&amp;LEFT($C$5,2)&amp;"输出",标准坦克设计!$B$23:$U$23,0)))*(VLOOKUP($B122,INDIRECT($B$5&amp;"生成成长"),3))*(VLOOKUP($B$5,标准坦克设计!$B$14:$K$20,9)/30))</f>
        <v>15.820234025704504</v>
      </c>
      <c r="AA122" s="172">
        <f ca="1">(VLOOKUP(AA$72,INDIRECT($C$5&amp;"生成成长"),2))/((VLOOKUP($B122,INDIRECT($B$5&amp;"生成成长"),4))/(VLOOKUP(AA$72,INDIRECT($C$5&amp;"生成成长"),5))*(VLOOKUP($B$5,标准坦克设计!$B$24:$U$30,MATCH("对"&amp;LEFT($C$5,2)&amp;"输出",标准坦克设计!$B$23:$U$23,0)))*(VLOOKUP($B122,INDIRECT($B$5&amp;"生成成长"),3))*(VLOOKUP($B$5,标准坦克设计!$B$14:$K$20,9)/30))</f>
        <v>17.417268012137821</v>
      </c>
      <c r="AB122" s="172">
        <f ca="1">(VLOOKUP(AB$72,INDIRECT($C$5&amp;"生成成长"),2))/((VLOOKUP($B122,INDIRECT($B$5&amp;"生成成长"),4))/(VLOOKUP(AB$72,INDIRECT($C$5&amp;"生成成长"),5))*(VLOOKUP($B$5,标准坦克设计!$B$24:$U$30,MATCH("对"&amp;LEFT($C$5,2)&amp;"输出",标准坦克设计!$B$23:$U$23,0)))*(VLOOKUP($B122,INDIRECT($B$5&amp;"生成成长"),3))*(VLOOKUP($B$5,标准坦克设计!$B$14:$K$20,9)/30))</f>
        <v>19.091082478688133</v>
      </c>
      <c r="AC122" s="172">
        <f ca="1">(VLOOKUP(AC$72,INDIRECT($C$5&amp;"生成成长"),2))/((VLOOKUP($B122,INDIRECT($B$5&amp;"生成成长"),4))/(VLOOKUP(AC$72,INDIRECT($C$5&amp;"生成成长"),5))*(VLOOKUP($B$5,标准坦克设计!$B$24:$U$30,MATCH("对"&amp;LEFT($C$5,2)&amp;"输出",标准坦克设计!$B$23:$U$23,0)))*(VLOOKUP($B122,INDIRECT($B$5&amp;"生成成长"),3))*(VLOOKUP($B$5,标准坦克设计!$B$14:$K$20,9)/30))</f>
        <v>20.841677425355421</v>
      </c>
      <c r="AD122" s="172">
        <f ca="1">(VLOOKUP(AD$72,INDIRECT($C$5&amp;"生成成长"),2))/((VLOOKUP($B122,INDIRECT($B$5&amp;"生成成长"),4))/(VLOOKUP(AD$72,INDIRECT($C$5&amp;"生成成长"),5))*(VLOOKUP($B$5,标准坦克设计!$B$24:$U$30,MATCH("对"&amp;LEFT($C$5,2)&amp;"输出",标准坦克设计!$B$23:$U$23,0)))*(VLOOKUP($B122,INDIRECT($B$5&amp;"生成成长"),3))*(VLOOKUP($B$5,标准坦克设计!$B$14:$K$20,9)/30))</f>
        <v>22.669052852139703</v>
      </c>
      <c r="AE122" s="172">
        <f ca="1">(VLOOKUP(AE$72,INDIRECT($C$5&amp;"生成成长"),2))/((VLOOKUP($B122,INDIRECT($B$5&amp;"生成成长"),4))/(VLOOKUP(AE$72,INDIRECT($C$5&amp;"生成成长"),5))*(VLOOKUP($B$5,标准坦克设计!$B$24:$U$30,MATCH("对"&amp;LEFT($C$5,2)&amp;"输出",标准坦克设计!$B$23:$U$23,0)))*(VLOOKUP($B122,INDIRECT($B$5&amp;"生成成长"),3))*(VLOOKUP($B$5,标准坦克设计!$B$14:$K$20,9)/30))</f>
        <v>24.573208759040973</v>
      </c>
      <c r="AF122" s="172">
        <f ca="1">(VLOOKUP(AF$72,INDIRECT($C$5&amp;"生成成长"),2))/((VLOOKUP($B122,INDIRECT($B$5&amp;"生成成长"),4))/(VLOOKUP(AF$72,INDIRECT($C$5&amp;"生成成长"),5))*(VLOOKUP($B$5,标准坦克设计!$B$24:$U$30,MATCH("对"&amp;LEFT($C$5,2)&amp;"输出",标准坦克设计!$B$23:$U$23,0)))*(VLOOKUP($B122,INDIRECT($B$5&amp;"生成成长"),3))*(VLOOKUP($B$5,标准坦克设计!$B$14:$K$20,9)/30))</f>
        <v>26.554145146059227</v>
      </c>
      <c r="AG122" s="172">
        <f ca="1">(VLOOKUP(AG$72,INDIRECT($C$5&amp;"生成成长"),2))/((VLOOKUP($B122,INDIRECT($B$5&amp;"生成成长"),4))/(VLOOKUP(AG$72,INDIRECT($C$5&amp;"生成成长"),5))*(VLOOKUP($B$5,标准坦克设计!$B$24:$U$30,MATCH("对"&amp;LEFT($C$5,2)&amp;"输出",标准坦克设计!$B$23:$U$23,0)))*(VLOOKUP($B122,INDIRECT($B$5&amp;"生成成长"),3))*(VLOOKUP($B$5,标准坦克设计!$B$14:$K$20,9)/30))</f>
        <v>28.611862013194461</v>
      </c>
      <c r="AH122" s="172">
        <f ca="1">(VLOOKUP(AH$72,INDIRECT($C$5&amp;"生成成长"),2))/((VLOOKUP($B122,INDIRECT($B$5&amp;"生成成长"),4))/(VLOOKUP(AH$72,INDIRECT($C$5&amp;"生成成长"),5))*(VLOOKUP($B$5,标准坦克设计!$B$24:$U$30,MATCH("对"&amp;LEFT($C$5,2)&amp;"输出",标准坦克设计!$B$23:$U$23,0)))*(VLOOKUP($B122,INDIRECT($B$5&amp;"生成成长"),3))*(VLOOKUP($B$5,标准坦克设计!$B$14:$K$20,9)/30))</f>
        <v>30.746359360446696</v>
      </c>
      <c r="AI122" s="172">
        <f ca="1">(VLOOKUP(AI$72,INDIRECT($C$5&amp;"生成成长"),2))/((VLOOKUP($B122,INDIRECT($B$5&amp;"生成成长"),4))/(VLOOKUP(AI$72,INDIRECT($C$5&amp;"生成成长"),5))*(VLOOKUP($B$5,标准坦克设计!$B$24:$U$30,MATCH("对"&amp;LEFT($C$5,2)&amp;"输出",标准坦克设计!$B$23:$U$23,0)))*(VLOOKUP($B122,INDIRECT($B$5&amp;"生成成长"),3))*(VLOOKUP($B$5,标准坦克设计!$B$14:$K$20,9)/30))</f>
        <v>21.745767578732941</v>
      </c>
      <c r="AJ122" s="172">
        <f ca="1">(VLOOKUP(AJ$72,INDIRECT($C$5&amp;"生成成长"),2))/((VLOOKUP($B122,INDIRECT($B$5&amp;"生成成长"),4))/(VLOOKUP(AJ$72,INDIRECT($C$5&amp;"生成成长"),5))*(VLOOKUP($B$5,标准坦克设计!$B$24:$U$30,MATCH("对"&amp;LEFT($C$5,2)&amp;"输出",标准坦克设计!$B$23:$U$23,0)))*(VLOOKUP($B122,INDIRECT($B$5&amp;"生成成长"),3))*(VLOOKUP($B$5,标准坦克设计!$B$14:$K$20,9)/30))</f>
        <v>23.802332738666422</v>
      </c>
      <c r="AK122" s="172">
        <f ca="1">(VLOOKUP(AK$72,INDIRECT($C$5&amp;"生成成长"),2))/((VLOOKUP($B122,INDIRECT($B$5&amp;"生成成长"),4))/(VLOOKUP(AK$72,INDIRECT($C$5&amp;"生成成长"),5))*(VLOOKUP($B$5,标准坦克设计!$B$24:$U$30,MATCH("对"&amp;LEFT($C$5,2)&amp;"输出",标准坦克设计!$B$23:$U$23,0)))*(VLOOKUP($B122,INDIRECT($B$5&amp;"生成成长"),3))*(VLOOKUP($B$5,标准坦克设计!$B$14:$K$20,9)/30))</f>
        <v>25.951802279541472</v>
      </c>
      <c r="AL122" s="172">
        <f ca="1">(VLOOKUP(AL$72,INDIRECT($C$5&amp;"生成成长"),2))/((VLOOKUP($B122,INDIRECT($B$5&amp;"生成成长"),4))/(VLOOKUP(AL$72,INDIRECT($C$5&amp;"生成成长"),5))*(VLOOKUP($B$5,标准坦克设计!$B$24:$U$30,MATCH("对"&amp;LEFT($C$5,2)&amp;"输出",标准坦克设计!$B$23:$U$23,0)))*(VLOOKUP($B122,INDIRECT($B$5&amp;"生成成长"),3))*(VLOOKUP($B$5,标准坦克设计!$B$14:$K$20,9)/30))</f>
        <v>28.194176201358061</v>
      </c>
      <c r="AM122" s="172">
        <f ca="1">(VLOOKUP(AM$72,INDIRECT($C$5&amp;"生成成长"),2))/((VLOOKUP($B122,INDIRECT($B$5&amp;"生成成长"),4))/(VLOOKUP(AM$72,INDIRECT($C$5&amp;"生成成长"),5))*(VLOOKUP($B$5,标准坦克设计!$B$24:$U$30,MATCH("对"&amp;LEFT($C$5,2)&amp;"输出",标准坦克设计!$B$23:$U$23,0)))*(VLOOKUP($B122,INDIRECT($B$5&amp;"生成成长"),3))*(VLOOKUP($B$5,标准坦克设计!$B$14:$K$20,9)/30))</f>
        <v>30.529454504116206</v>
      </c>
      <c r="AN122" s="172">
        <f ca="1">(VLOOKUP(AN$72,INDIRECT($C$5&amp;"生成成长"),2))/((VLOOKUP($B122,INDIRECT($B$5&amp;"生成成长"),4))/(VLOOKUP(AN$72,INDIRECT($C$5&amp;"生成成长"),5))*(VLOOKUP($B$5,标准坦克设计!$B$24:$U$30,MATCH("对"&amp;LEFT($C$5,2)&amp;"输出",标准坦克设计!$B$23:$U$23,0)))*(VLOOKUP($B122,INDIRECT($B$5&amp;"生成成长"),3))*(VLOOKUP($B$5,标准坦克设计!$B$14:$K$20,9)/30))</f>
        <v>32.957637187815912</v>
      </c>
      <c r="AO122" s="172">
        <f ca="1">(VLOOKUP(AO$72,INDIRECT($C$5&amp;"生成成长"),2))/((VLOOKUP($B122,INDIRECT($B$5&amp;"生成成长"),4))/(VLOOKUP(AO$72,INDIRECT($C$5&amp;"生成成长"),5))*(VLOOKUP($B$5,标准坦克设计!$B$24:$U$30,MATCH("对"&amp;LEFT($C$5,2)&amp;"输出",标准坦克设计!$B$23:$U$23,0)))*(VLOOKUP($B122,INDIRECT($B$5&amp;"生成成长"),3))*(VLOOKUP($B$5,标准坦克设计!$B$14:$K$20,9)/30))</f>
        <v>35.478724252457162</v>
      </c>
      <c r="AP122" s="172">
        <f ca="1">(VLOOKUP(AP$72,INDIRECT($C$5&amp;"生成成长"),2))/((VLOOKUP($B122,INDIRECT($B$5&amp;"生成成长"),4))/(VLOOKUP(AP$72,INDIRECT($C$5&amp;"生成成长"),5))*(VLOOKUP($B$5,标准坦克设计!$B$24:$U$30,MATCH("对"&amp;LEFT($C$5,2)&amp;"输出",标准坦克设计!$B$23:$U$23,0)))*(VLOOKUP($B122,INDIRECT($B$5&amp;"生成成长"),3))*(VLOOKUP($B$5,标准坦克设计!$B$14:$K$20,9)/30))</f>
        <v>38.092715698039967</v>
      </c>
      <c r="AQ122" s="172">
        <f ca="1">(VLOOKUP(AQ$72,INDIRECT($C$5&amp;"生成成长"),2))/((VLOOKUP($B122,INDIRECT($B$5&amp;"生成成长"),4))/(VLOOKUP(AQ$72,INDIRECT($C$5&amp;"生成成长"),5))*(VLOOKUP($B$5,标准坦克设计!$B$24:$U$30,MATCH("对"&amp;LEFT($C$5,2)&amp;"输出",标准坦克设计!$B$23:$U$23,0)))*(VLOOKUP($B122,INDIRECT($B$5&amp;"生成成长"),3))*(VLOOKUP($B$5,标准坦克设计!$B$14:$K$20,9)/30))</f>
        <v>40.799611524564334</v>
      </c>
      <c r="AR122" s="172">
        <f ca="1">(VLOOKUP(AR$72,INDIRECT($C$5&amp;"生成成长"),2))/((VLOOKUP($B122,INDIRECT($B$5&amp;"生成成长"),4))/(VLOOKUP(AR$72,INDIRECT($C$5&amp;"生成成长"),5))*(VLOOKUP($B$5,标准坦克设计!$B$24:$U$30,MATCH("对"&amp;LEFT($C$5,2)&amp;"输出",标准坦克设计!$B$23:$U$23,0)))*(VLOOKUP($B122,INDIRECT($B$5&amp;"生成成长"),3))*(VLOOKUP($B$5,标准坦克设计!$B$14:$K$20,9)/30))</f>
        <v>43.599411732030248</v>
      </c>
      <c r="AS122" s="172">
        <f ca="1">(VLOOKUP(AS$72,INDIRECT($C$5&amp;"生成成长"),2))/((VLOOKUP($B122,INDIRECT($B$5&amp;"生成成长"),4))/(VLOOKUP(AS$72,INDIRECT($C$5&amp;"生成成长"),5))*(VLOOKUP($B$5,标准坦克设计!$B$24:$U$30,MATCH("对"&amp;LEFT($C$5,2)&amp;"输出",标准坦克设计!$B$23:$U$23,0)))*(VLOOKUP($B122,INDIRECT($B$5&amp;"生成成长"),3))*(VLOOKUP($B$5,标准坦克设计!$B$14:$K$20,9)/30))</f>
        <v>46.492116320437724</v>
      </c>
      <c r="AT122" s="172">
        <f ca="1">(VLOOKUP(AT$72,INDIRECT($C$5&amp;"生成成长"),2))/((VLOOKUP($B122,INDIRECT($B$5&amp;"生成成长"),4))/(VLOOKUP(AT$72,INDIRECT($C$5&amp;"生成成长"),5))*(VLOOKUP($B$5,标准坦克设计!$B$24:$U$30,MATCH("对"&amp;LEFT($C$5,2)&amp;"输出",标准坦克设计!$B$23:$U$23,0)))*(VLOOKUP($B122,INDIRECT($B$5&amp;"生成成长"),3))*(VLOOKUP($B$5,标准坦克设计!$B$14:$K$20,9)/30))</f>
        <v>49.47772528978674</v>
      </c>
      <c r="AU122" s="172">
        <f ca="1">(VLOOKUP(AU$72,INDIRECT($C$5&amp;"生成成长"),2))/((VLOOKUP($B122,INDIRECT($B$5&amp;"生成成长"),4))/(VLOOKUP(AU$72,INDIRECT($C$5&amp;"生成成长"),5))*(VLOOKUP($B$5,标准坦克设计!$B$24:$U$30,MATCH("对"&amp;LEFT($C$5,2)&amp;"输出",标准坦克设计!$B$23:$U$23,0)))*(VLOOKUP($B122,INDIRECT($B$5&amp;"生成成长"),3))*(VLOOKUP($B$5,标准坦克设计!$B$14:$K$20,9)/30))</f>
        <v>52.556238640077318</v>
      </c>
      <c r="AV122" s="172">
        <f ca="1">(VLOOKUP(AV$72,INDIRECT($C$5&amp;"生成成长"),2))/((VLOOKUP($B122,INDIRECT($B$5&amp;"生成成长"),4))/(VLOOKUP(AV$72,INDIRECT($C$5&amp;"生成成长"),5))*(VLOOKUP($B$5,标准坦克设计!$B$24:$U$30,MATCH("对"&amp;LEFT($C$5,2)&amp;"输出",标准坦克设计!$B$23:$U$23,0)))*(VLOOKUP($B122,INDIRECT($B$5&amp;"生成成长"),3))*(VLOOKUP($B$5,标准坦克设计!$B$14:$K$20,9)/30))</f>
        <v>5.345457025744607</v>
      </c>
      <c r="AW122" s="172">
        <f ca="1">(VLOOKUP(AW$72,INDIRECT($C$5&amp;"生成成长"),2))/((VLOOKUP($B122,INDIRECT($B$5&amp;"生成成长"),4))/(VLOOKUP(AW$72,INDIRECT($C$5&amp;"生成成长"),5))*(VLOOKUP($B$5,标准坦克设计!$B$24:$U$30,MATCH("对"&amp;LEFT($C$5,2)&amp;"输出",标准坦克设计!$B$23:$U$23,0)))*(VLOOKUP($B122,INDIRECT($B$5&amp;"生成成长"),3))*(VLOOKUP($B$5,标准坦克设计!$B$14:$K$20,9)/30))</f>
        <v>6.094834511686396</v>
      </c>
      <c r="AX122" s="172">
        <f ca="1">(VLOOKUP(AX$72,INDIRECT($C$5&amp;"生成成长"),2))/((VLOOKUP($B122,INDIRECT($B$5&amp;"生成成长"),4))/(VLOOKUP(AX$72,INDIRECT($C$5&amp;"生成成长"),5))*(VLOOKUP($B$5,标准坦克设计!$B$24:$U$30,MATCH("对"&amp;LEFT($C$5,2)&amp;"输出",标准坦克设计!$B$23:$U$23,0)))*(VLOOKUP($B122,INDIRECT($B$5&amp;"生成成长"),3))*(VLOOKUP($B$5,标准坦克设计!$B$14:$K$20,9)/30))</f>
        <v>6.8933515049030563</v>
      </c>
      <c r="AY122" s="172">
        <f ca="1">(VLOOKUP(AY$72,INDIRECT($C$5&amp;"生成成长"),2))/((VLOOKUP($B122,INDIRECT($B$5&amp;"生成成长"),4))/(VLOOKUP(AY$72,INDIRECT($C$5&amp;"生成成长"),5))*(VLOOKUP($B$5,标准坦克设计!$B$24:$U$30,MATCH("对"&amp;LEFT($C$5,2)&amp;"输出",标准坦克设计!$B$23:$U$23,0)))*(VLOOKUP($B122,INDIRECT($B$5&amp;"生成成长"),3))*(VLOOKUP($B$5,标准坦克设计!$B$14:$K$20,9)/30))</f>
        <v>7.7410080053945896</v>
      </c>
      <c r="AZ122" s="172">
        <f ca="1">(VLOOKUP(AZ$72,INDIRECT($C$5&amp;"生成成长"),2))/((VLOOKUP($B122,INDIRECT($B$5&amp;"生成成长"),4))/(VLOOKUP(AZ$72,INDIRECT($C$5&amp;"生成成长"),5))*(VLOOKUP($B$5,标准坦克设计!$B$24:$U$30,MATCH("对"&amp;LEFT($C$5,2)&amp;"输出",标准坦克设计!$B$23:$U$23,0)))*(VLOOKUP($B122,INDIRECT($B$5&amp;"生成成长"),3))*(VLOOKUP($B$5,标准坦克设计!$B$14:$K$20,9)/30))</f>
        <v>8.6378040131609914</v>
      </c>
      <c r="BA122" s="172">
        <f ca="1">(VLOOKUP(BA$72,INDIRECT($C$5&amp;"生成成长"),2))/((VLOOKUP($B122,INDIRECT($B$5&amp;"生成成长"),4))/(VLOOKUP(BA$72,INDIRECT($C$5&amp;"生成成长"),5))*(VLOOKUP($B$5,标准坦克设计!$B$24:$U$30,MATCH("对"&amp;LEFT($C$5,2)&amp;"输出",标准坦克设计!$B$23:$U$23,0)))*(VLOOKUP($B122,INDIRECT($B$5&amp;"生成成长"),3))*(VLOOKUP($B$5,标准坦克设计!$B$14:$K$20,9)/30))</f>
        <v>9.5837395282022637</v>
      </c>
      <c r="BB122" s="172">
        <f ca="1">(VLOOKUP(BB$72,INDIRECT($C$5&amp;"生成成长"),2))/((VLOOKUP($B122,INDIRECT($B$5&amp;"生成成长"),4))/(VLOOKUP(BB$72,INDIRECT($C$5&amp;"生成成长"),5))*(VLOOKUP($B$5,标准坦克设计!$B$24:$U$30,MATCH("对"&amp;LEFT($C$5,2)&amp;"输出",标准坦克设计!$B$23:$U$23,0)))*(VLOOKUP($B122,INDIRECT($B$5&amp;"生成成长"),3))*(VLOOKUP($B$5,标准坦克设计!$B$14:$K$20,9)/30))</f>
        <v>10.578814550518413</v>
      </c>
      <c r="BC122" s="172">
        <f ca="1">(VLOOKUP(BC$72,INDIRECT($C$5&amp;"生成成长"),2))/((VLOOKUP($B122,INDIRECT($B$5&amp;"生成成长"),4))/(VLOOKUP(BC$72,INDIRECT($C$5&amp;"生成成长"),5))*(VLOOKUP($B$5,标准坦克设计!$B$24:$U$30,MATCH("对"&amp;LEFT($C$5,2)&amp;"输出",标准坦克设计!$B$23:$U$23,0)))*(VLOOKUP($B122,INDIRECT($B$5&amp;"生成成长"),3))*(VLOOKUP($B$5,标准坦克设计!$B$14:$K$20,9)/30))</f>
        <v>11.623029080109431</v>
      </c>
      <c r="BD122" s="172">
        <f ca="1">(VLOOKUP(BD$72,INDIRECT($C$5&amp;"生成成长"),2))/((VLOOKUP($B122,INDIRECT($B$5&amp;"生成成长"),4))/(VLOOKUP(BD$72,INDIRECT($C$5&amp;"生成成长"),5))*(VLOOKUP($B$5,标准坦克设计!$B$24:$U$30,MATCH("对"&amp;LEFT($C$5,2)&amp;"输出",标准坦克设计!$B$23:$U$23,0)))*(VLOOKUP($B122,INDIRECT($B$5&amp;"生成成长"),3))*(VLOOKUP($B$5,标准坦克设计!$B$14:$K$20,9)/30))</f>
        <v>12.85650749318882</v>
      </c>
      <c r="BE122" s="172">
        <f ca="1">(VLOOKUP(BE$72,INDIRECT($C$5&amp;"生成成长"),2))/((VLOOKUP($B122,INDIRECT($B$5&amp;"生成成长"),4))/(VLOOKUP(BE$72,INDIRECT($C$5&amp;"生成成长"),5))*(VLOOKUP($B$5,标准坦克设计!$B$24:$U$30,MATCH("对"&amp;LEFT($C$5,2)&amp;"输出",标准坦克设计!$B$23:$U$23,0)))*(VLOOKUP($B122,INDIRECT($B$5&amp;"生成成长"),3))*(VLOOKUP($B$5,标准坦克设计!$B$14:$K$20,9)/30))</f>
        <v>14.152178095162968</v>
      </c>
      <c r="BF122" s="172">
        <f ca="1">(VLOOKUP(BF$72,INDIRECT($C$5&amp;"生成成长"),2))/((VLOOKUP($B122,INDIRECT($B$5&amp;"生成成长"),4))/(VLOOKUP(BF$72,INDIRECT($C$5&amp;"生成成长"),5))*(VLOOKUP($B$5,标准坦克设计!$B$24:$U$30,MATCH("对"&amp;LEFT($C$5,2)&amp;"输出",标准坦克设计!$B$23:$U$23,0)))*(VLOOKUP($B122,INDIRECT($B$5&amp;"生成成长"),3))*(VLOOKUP($B$5,标准坦克设计!$B$14:$K$20,9)/30))</f>
        <v>15.510040886031877</v>
      </c>
      <c r="BG122" s="172">
        <f ca="1">(VLOOKUP(BG$72,INDIRECT($C$5&amp;"生成成长"),2))/((VLOOKUP($B122,INDIRECT($B$5&amp;"生成成长"),4))/(VLOOKUP(BG$72,INDIRECT($C$5&amp;"生成成长"),5))*(VLOOKUP($B$5,标准坦克设计!$B$24:$U$30,MATCH("对"&amp;LEFT($C$5,2)&amp;"输出",标准坦克设计!$B$23:$U$23,0)))*(VLOOKUP($B122,INDIRECT($B$5&amp;"生成成长"),3))*(VLOOKUP($B$5,标准坦克设计!$B$14:$K$20,9)/30))</f>
        <v>16.93009586579554</v>
      </c>
      <c r="BH122" s="172">
        <f ca="1">(VLOOKUP(BH$72,INDIRECT($C$5&amp;"生成成长"),2))/((VLOOKUP($B122,INDIRECT($B$5&amp;"生成成长"),4))/(VLOOKUP(BH$72,INDIRECT($C$5&amp;"生成成长"),5))*(VLOOKUP($B$5,标准坦克设计!$B$24:$U$30,MATCH("对"&amp;LEFT($C$5,2)&amp;"输出",标准坦克设计!$B$23:$U$23,0)))*(VLOOKUP($B122,INDIRECT($B$5&amp;"生成成长"),3))*(VLOOKUP($B$5,标准坦克设计!$B$14:$K$20,9)/30))</f>
        <v>8.18326357086843</v>
      </c>
      <c r="BI122" s="172">
        <f ca="1">(VLOOKUP(BI$72,INDIRECT($C$5&amp;"生成成长"),2))/((VLOOKUP($B122,INDIRECT($B$5&amp;"生成成长"),4))/(VLOOKUP(BI$72,INDIRECT($C$5&amp;"生成成长"),5))*(VLOOKUP($B$5,标准坦克设计!$B$24:$U$30,MATCH("对"&amp;LEFT($C$5,2)&amp;"输出",标准坦克设计!$B$23:$U$23,0)))*(VLOOKUP($B122,INDIRECT($B$5&amp;"生成成长"),3))*(VLOOKUP($B$5,标准坦克设计!$B$14:$K$20,9)/30))</f>
        <v>9.2232551740530138</v>
      </c>
      <c r="BJ122" s="172">
        <f ca="1">(VLOOKUP(BJ$72,INDIRECT($C$5&amp;"生成成长"),2))/((VLOOKUP($B122,INDIRECT($B$5&amp;"生成成长"),4))/(VLOOKUP(BJ$72,INDIRECT($C$5&amp;"生成成长"),5))*(VLOOKUP($B$5,标准坦克设计!$B$24:$U$30,MATCH("对"&amp;LEFT($C$5,2)&amp;"输出",标准坦克设计!$B$23:$U$23,0)))*(VLOOKUP($B122,INDIRECT($B$5&amp;"生成成长"),3))*(VLOOKUP($B$5,标准坦克设计!$B$14:$K$20,9)/30))</f>
        <v>10.325438966132355</v>
      </c>
      <c r="BK122" s="172">
        <f ca="1">(VLOOKUP(BK$72,INDIRECT($C$5&amp;"生成成长"),2))/((VLOOKUP($B122,INDIRECT($B$5&amp;"生成成长"),4))/(VLOOKUP(BK$72,INDIRECT($C$5&amp;"生成成长"),5))*(VLOOKUP($B$5,标准坦克设计!$B$24:$U$30,MATCH("对"&amp;LEFT($C$5,2)&amp;"输出",标准坦克设计!$B$23:$U$23,0)))*(VLOOKUP($B122,INDIRECT($B$5&amp;"生成成长"),3))*(VLOOKUP($B$5,标准坦克设计!$B$14:$K$20,9)/30))</f>
        <v>11.489814947106456</v>
      </c>
      <c r="BL122" s="172">
        <f ca="1">(VLOOKUP(BL$72,INDIRECT($C$5&amp;"生成成长"),2))/((VLOOKUP($B122,INDIRECT($B$5&amp;"生成成长"),4))/(VLOOKUP(BL$72,INDIRECT($C$5&amp;"生成成长"),5))*(VLOOKUP($B$5,标准坦克设计!$B$24:$U$30,MATCH("对"&amp;LEFT($C$5,2)&amp;"输出",标准坦克设计!$B$23:$U$23,0)))*(VLOOKUP($B122,INDIRECT($B$5&amp;"生成成长"),3))*(VLOOKUP($B$5,标准坦克设计!$B$14:$K$20,9)/30))</f>
        <v>12.716383116975319</v>
      </c>
      <c r="BM122" s="172">
        <f ca="1">(VLOOKUP(BM$72,INDIRECT($C$5&amp;"生成成长"),2))/((VLOOKUP($B122,INDIRECT($B$5&amp;"生成成长"),4))/(VLOOKUP(BM$72,INDIRECT($C$5&amp;"生成成长"),5))*(VLOOKUP($B$5,标准坦克设计!$B$24:$U$30,MATCH("对"&amp;LEFT($C$5,2)&amp;"输出",标准坦克设计!$B$23:$U$23,0)))*(VLOOKUP($B122,INDIRECT($B$5&amp;"生成成长"),3))*(VLOOKUP($B$5,标准坦克设计!$B$14:$K$20,9)/30))</f>
        <v>14.005143475738937</v>
      </c>
      <c r="BN122" s="172">
        <f ca="1">(VLOOKUP(BN$72,INDIRECT($C$5&amp;"生成成长"),2))/((VLOOKUP($B122,INDIRECT($B$5&amp;"生成成长"),4))/(VLOOKUP(BN$72,INDIRECT($C$5&amp;"生成成长"),5))*(VLOOKUP($B$5,标准坦克设计!$B$24:$U$30,MATCH("对"&amp;LEFT($C$5,2)&amp;"输出",标准坦克设计!$B$23:$U$23,0)))*(VLOOKUP($B122,INDIRECT($B$5&amp;"生成成长"),3))*(VLOOKUP($B$5,标准坦克设计!$B$14:$K$20,9)/30))</f>
        <v>15.356096023397317</v>
      </c>
      <c r="BO122" s="172">
        <f ca="1">(VLOOKUP(BO$72,INDIRECT($C$5&amp;"生成成长"),2))/((VLOOKUP($B122,INDIRECT($B$5&amp;"生成成长"),4))/(VLOOKUP(BO$72,INDIRECT($C$5&amp;"生成成长"),5))*(VLOOKUP($B$5,标准坦克设计!$B$24:$U$30,MATCH("对"&amp;LEFT($C$5,2)&amp;"输出",标准坦克设计!$B$23:$U$23,0)))*(VLOOKUP($B122,INDIRECT($B$5&amp;"生成成长"),3))*(VLOOKUP($B$5,标准坦克设计!$B$14:$K$20,9)/30))</f>
        <v>16.769240759950453</v>
      </c>
      <c r="BP122" s="172">
        <f ca="1">(VLOOKUP(BP$72,INDIRECT($C$5&amp;"生成成长"),2))/((VLOOKUP($B122,INDIRECT($B$5&amp;"生成成长"),4))/(VLOOKUP(BP$72,INDIRECT($C$5&amp;"生成成长"),5))*(VLOOKUP($B$5,标准坦克设计!$B$24:$U$30,MATCH("对"&amp;LEFT($C$5,2)&amp;"输出",标准坦克设计!$B$23:$U$23,0)))*(VLOOKUP($B122,INDIRECT($B$5&amp;"生成成长"),3))*(VLOOKUP($B$5,标准坦克设计!$B$14:$K$20,9)/30))</f>
        <v>18.244577685398355</v>
      </c>
      <c r="BQ122" s="172">
        <f ca="1">(VLOOKUP(BQ$72,INDIRECT($C$5&amp;"生成成长"),2))/((VLOOKUP($B122,INDIRECT($B$5&amp;"生成成长"),4))/(VLOOKUP(BQ$72,INDIRECT($C$5&amp;"生成成长"),5))*(VLOOKUP($B$5,标准坦克设计!$B$24:$U$30,MATCH("对"&amp;LEFT($C$5,2)&amp;"输出",标准坦克设计!$B$23:$U$23,0)))*(VLOOKUP($B122,INDIRECT($B$5&amp;"生成成长"),3))*(VLOOKUP($B$5,标准坦克设计!$B$14:$K$20,9)/30))</f>
        <v>19.782106799741008</v>
      </c>
      <c r="BR122" s="172">
        <f ca="1">(VLOOKUP(BR$72,INDIRECT($C$5&amp;"生成成长"),2))/((VLOOKUP($B122,INDIRECT($B$5&amp;"生成成长"),4))/(VLOOKUP(BR$72,INDIRECT($C$5&amp;"生成成长"),5))*(VLOOKUP($B$5,标准坦克设计!$B$24:$U$30,MATCH("对"&amp;LEFT($C$5,2)&amp;"输出",标准坦克设计!$B$23:$U$23,0)))*(VLOOKUP($B122,INDIRECT($B$5&amp;"生成成长"),3))*(VLOOKUP($B$5,标准坦克设计!$B$14:$K$20,9)/30))</f>
        <v>21.563413938455099</v>
      </c>
      <c r="BS122" s="172">
        <f ca="1">(VLOOKUP(BS$72,INDIRECT($C$5&amp;"生成成长"),2))/((VLOOKUP($B122,INDIRECT($B$5&amp;"生成成长"),4))/(VLOOKUP(BS$72,INDIRECT($C$5&amp;"生成成长"),5))*(VLOOKUP($B$5,标准坦克设计!$B$24:$U$30,MATCH("对"&amp;LEFT($C$5,2)&amp;"输出",标准坦克设计!$B$23:$U$23,0)))*(VLOOKUP($B122,INDIRECT($B$5&amp;"生成成长"),3))*(VLOOKUP($B$5,标准坦克设计!$B$14:$K$20,9)/30))</f>
        <v>23.421501557286177</v>
      </c>
      <c r="BT122" s="172">
        <f ca="1">(VLOOKUP(BT$72,INDIRECT($C$5&amp;"生成成长"),2))/((VLOOKUP($B122,INDIRECT($B$5&amp;"生成成长"),4))/(VLOOKUP(BT$72,INDIRECT($C$5&amp;"生成成长"),5))*(VLOOKUP($B$5,标准坦克设计!$B$24:$U$30,MATCH("对"&amp;LEFT($C$5,2)&amp;"输出",标准坦克设计!$B$23:$U$23,0)))*(VLOOKUP($B122,INDIRECT($B$5&amp;"生成成长"),3))*(VLOOKUP($B$5,标准坦克设计!$B$14:$K$20,9)/30))</f>
        <v>25.356369656234236</v>
      </c>
      <c r="BU122" s="172">
        <f ca="1">(VLOOKUP(BU$72,INDIRECT($C$5&amp;"生成成长"),2))/((VLOOKUP($B122,INDIRECT($B$5&amp;"生成成长"),4))/(VLOOKUP(BU$72,INDIRECT($C$5&amp;"生成成长"),5))*(VLOOKUP($B$5,标准坦克设计!$B$24:$U$30,MATCH("对"&amp;LEFT($C$5,2)&amp;"输出",标准坦克设计!$B$23:$U$23,0)))*(VLOOKUP($B122,INDIRECT($B$5&amp;"生成成长"),3))*(VLOOKUP($B$5,标准坦克设计!$B$14:$K$20,9)/30))</f>
        <v>27.368018235299282</v>
      </c>
      <c r="BV122" s="172">
        <f ca="1">(VLOOKUP(BV$72,INDIRECT($C$5&amp;"生成成长"),2))/((VLOOKUP($B122,INDIRECT($B$5&amp;"生成成长"),4))/(VLOOKUP(BV$72,INDIRECT($C$5&amp;"生成成长"),5))*(VLOOKUP($B$5,标准坦克设计!$B$24:$U$30,MATCH("对"&amp;LEFT($C$5,2)&amp;"输出",标准坦克设计!$B$23:$U$23,0)))*(VLOOKUP($B122,INDIRECT($B$5&amp;"生成成长"),3))*(VLOOKUP($B$5,标准坦克设计!$B$14:$K$20,9)/30))</f>
        <v>29.456447294481318</v>
      </c>
      <c r="BW122" s="172">
        <f ca="1">(VLOOKUP(BW$72,INDIRECT($C$5&amp;"生成成长"),2))/((VLOOKUP($B122,INDIRECT($B$5&amp;"生成成长"),4))/(VLOOKUP(BW$72,INDIRECT($C$5&amp;"生成成长"),5))*(VLOOKUP($B$5,标准坦克设计!$B$24:$U$30,MATCH("对"&amp;LEFT($C$5,2)&amp;"输出",标准坦克设计!$B$23:$U$23,0)))*(VLOOKUP($B122,INDIRECT($B$5&amp;"生成成长"),3))*(VLOOKUP($B$5,标准坦克设计!$B$14:$K$20,9)/30))</f>
        <v>13.42468304605452</v>
      </c>
      <c r="BX122" s="172">
        <f ca="1">(VLOOKUP(BX$72,INDIRECT($C$5&amp;"生成成长"),2))/((VLOOKUP($B122,INDIRECT($B$5&amp;"生成成长"),4))/(VLOOKUP(BX$72,INDIRECT($C$5&amp;"生成成长"),5))*(VLOOKUP($B$5,标准坦克设计!$B$24:$U$30,MATCH("对"&amp;LEFT($C$5,2)&amp;"输出",标准坦克设计!$B$23:$U$23,0)))*(VLOOKUP($B122,INDIRECT($B$5&amp;"生成成长"),3))*(VLOOKUP($B$5,标准坦克设计!$B$14:$K$20,9)/30))</f>
        <v>14.898868264300665</v>
      </c>
      <c r="BY122" s="172">
        <f ca="1">(VLOOKUP(BY$72,INDIRECT($C$5&amp;"生成成长"),2))/((VLOOKUP($B122,INDIRECT($B$5&amp;"生成成长"),4))/(VLOOKUP(BY$72,INDIRECT($C$5&amp;"生成成长"),5))*(VLOOKUP($B$5,标准坦克设计!$B$24:$U$30,MATCH("对"&amp;LEFT($C$5,2)&amp;"输出",标准坦克设计!$B$23:$U$23,0)))*(VLOOKUP($B122,INDIRECT($B$5&amp;"生成成长"),3))*(VLOOKUP($B$5,标准坦克设计!$B$14:$K$20,9)/30))</f>
        <v>16.449833962663792</v>
      </c>
      <c r="BZ122" s="172">
        <f ca="1">(VLOOKUP(BZ$72,INDIRECT($C$5&amp;"生成成长"),2))/((VLOOKUP($B122,INDIRECT($B$5&amp;"生成成长"),4))/(VLOOKUP(BZ$72,INDIRECT($C$5&amp;"生成成长"),5))*(VLOOKUP($B$5,标准坦克设计!$B$24:$U$30,MATCH("对"&amp;LEFT($C$5,2)&amp;"输出",标准坦克设计!$B$23:$U$23,0)))*(VLOOKUP($B122,INDIRECT($B$5&amp;"生成成长"),3))*(VLOOKUP($B$5,标准坦克设计!$B$14:$K$20,9)/30))</f>
        <v>18.077580141143908</v>
      </c>
      <c r="CA122" s="172">
        <f ca="1">(VLOOKUP(CA$72,INDIRECT($C$5&amp;"生成成长"),2))/((VLOOKUP($B122,INDIRECT($B$5&amp;"生成成长"),4))/(VLOOKUP(CA$72,INDIRECT($C$5&amp;"生成成长"),5))*(VLOOKUP($B$5,标准坦克设计!$B$24:$U$30,MATCH("对"&amp;LEFT($C$5,2)&amp;"输出",标准坦克设计!$B$23:$U$23,0)))*(VLOOKUP($B122,INDIRECT($B$5&amp;"生成成长"),3))*(VLOOKUP($B$5,标准坦克设计!$B$14:$K$20,9)/30))</f>
        <v>19.782106799741008</v>
      </c>
      <c r="CB122" s="172">
        <f ca="1">(VLOOKUP(CB$72,INDIRECT($C$5&amp;"生成成长"),2))/((VLOOKUP($B122,INDIRECT($B$5&amp;"生成成长"),4))/(VLOOKUP(CB$72,INDIRECT($C$5&amp;"生成成长"),5))*(VLOOKUP($B$5,标准坦克设计!$B$24:$U$30,MATCH("对"&amp;LEFT($C$5,2)&amp;"输出",标准坦克设计!$B$23:$U$23,0)))*(VLOOKUP($B122,INDIRECT($B$5&amp;"生成成长"),3))*(VLOOKUP($B$5,标准坦克设计!$B$14:$K$20,9)/30))</f>
        <v>21.563413938455099</v>
      </c>
      <c r="CC122" s="172">
        <f ca="1">(VLOOKUP(CC$72,INDIRECT($C$5&amp;"生成成长"),2))/((VLOOKUP($B122,INDIRECT($B$5&amp;"生成成长"),4))/(VLOOKUP(CC$72,INDIRECT($C$5&amp;"生成成长"),5))*(VLOOKUP($B$5,标准坦克设计!$B$24:$U$30,MATCH("对"&amp;LEFT($C$5,2)&amp;"输出",标准坦克设计!$B$23:$U$23,0)))*(VLOOKUP($B122,INDIRECT($B$5&amp;"生成成长"),3))*(VLOOKUP($B$5,标准坦克设计!$B$14:$K$20,9)/30))</f>
        <v>23.421501557286177</v>
      </c>
      <c r="CD122" s="172">
        <f ca="1">(VLOOKUP(CD$72,INDIRECT($C$5&amp;"生成成长"),2))/((VLOOKUP($B122,INDIRECT($B$5&amp;"生成成长"),4))/(VLOOKUP(CD$72,INDIRECT($C$5&amp;"生成成长"),5))*(VLOOKUP($B$5,标准坦克设计!$B$24:$U$30,MATCH("对"&amp;LEFT($C$5,2)&amp;"输出",标准坦克设计!$B$23:$U$23,0)))*(VLOOKUP($B122,INDIRECT($B$5&amp;"生成成长"),3))*(VLOOKUP($B$5,标准坦克设计!$B$14:$K$20,9)/30))</f>
        <v>25.356369656234236</v>
      </c>
      <c r="CE122" s="172">
        <f ca="1">(VLOOKUP(CE$72,INDIRECT($C$5&amp;"生成成长"),2))/((VLOOKUP($B122,INDIRECT($B$5&amp;"生成成长"),4))/(VLOOKUP(CE$72,INDIRECT($C$5&amp;"生成成长"),5))*(VLOOKUP($B$5,标准坦克设计!$B$24:$U$30,MATCH("对"&amp;LEFT($C$5,2)&amp;"输出",标准坦克设计!$B$23:$U$23,0)))*(VLOOKUP($B122,INDIRECT($B$5&amp;"生成成长"),3))*(VLOOKUP($B$5,标准坦克设计!$B$14:$K$20,9)/30))</f>
        <v>27.368018235299282</v>
      </c>
      <c r="CF122" s="172">
        <f ca="1">(VLOOKUP(CF$72,INDIRECT($C$5&amp;"生成成长"),2))/((VLOOKUP($B122,INDIRECT($B$5&amp;"生成成长"),4))/(VLOOKUP(CF$72,INDIRECT($C$5&amp;"生成成长"),5))*(VLOOKUP($B$5,标准坦克设计!$B$24:$U$30,MATCH("对"&amp;LEFT($C$5,2)&amp;"输出",标准坦克设计!$B$23:$U$23,0)))*(VLOOKUP($B122,INDIRECT($B$5&amp;"生成成长"),3))*(VLOOKUP($B$5,标准坦克设计!$B$14:$K$20,9)/30))</f>
        <v>29.456447294481318</v>
      </c>
      <c r="CG122" s="172">
        <f ca="1">(VLOOKUP(CG$72,INDIRECT($C$5&amp;"生成成长"),2))/((VLOOKUP($B122,INDIRECT($B$5&amp;"生成成长"),4))/(VLOOKUP(CG$72,INDIRECT($C$5&amp;"生成成长"),5))*(VLOOKUP($B$5,标准坦克设计!$B$24:$U$30,MATCH("对"&amp;LEFT($C$5,2)&amp;"输出",标准坦克设计!$B$23:$U$23,0)))*(VLOOKUP($B122,INDIRECT($B$5&amp;"生成成长"),3))*(VLOOKUP($B$5,标准坦克设计!$B$14:$K$20,9)/30))</f>
        <v>31.621656833780339</v>
      </c>
      <c r="CH122" s="172">
        <f ca="1">(VLOOKUP(CH$72,INDIRECT($C$5&amp;"生成成长"),2))/((VLOOKUP($B122,INDIRECT($B$5&amp;"生成成长"),4))/(VLOOKUP(CH$72,INDIRECT($C$5&amp;"生成成长"),5))*(VLOOKUP($B$5,标准坦克设计!$B$24:$U$30,MATCH("对"&amp;LEFT($C$5,2)&amp;"输出",标准坦克设计!$B$23:$U$23,0)))*(VLOOKUP($B122,INDIRECT($B$5&amp;"生成成长"),3))*(VLOOKUP($B$5,标准坦克设计!$B$14:$K$20,9)/30))</f>
        <v>33.863646853196343</v>
      </c>
      <c r="CI122" s="172">
        <f ca="1">(VLOOKUP(CI$72,INDIRECT($C$5&amp;"生成成长"),2))/((VLOOKUP($B122,INDIRECT($B$5&amp;"生成成长"),4))/(VLOOKUP(CI$72,INDIRECT($C$5&amp;"生成成长"),5))*(VLOOKUP($B$5,标准坦克设计!$B$24:$U$30,MATCH("对"&amp;LEFT($C$5,2)&amp;"输出",标准坦克设计!$B$23:$U$23,0)))*(VLOOKUP($B122,INDIRECT($B$5&amp;"生成成长"),3))*(VLOOKUP($B$5,标准坦克设计!$B$14:$K$20,9)/30))</f>
        <v>36.418517329089077</v>
      </c>
      <c r="CJ122" s="172">
        <f ca="1">(VLOOKUP(CJ$72,INDIRECT($C$5&amp;"生成成长"),2))/((VLOOKUP($B122,INDIRECT($B$5&amp;"生成成长"),4))/(VLOOKUP(CJ$72,INDIRECT($C$5&amp;"生成成长"),5))*(VLOOKUP($B$5,标准坦克设计!$B$24:$U$30,MATCH("对"&amp;LEFT($C$5,2)&amp;"输出",标准坦克设计!$B$23:$U$23,0)))*(VLOOKUP($B122,INDIRECT($B$5&amp;"生成成长"),3))*(VLOOKUP($B$5,标准坦克设计!$B$14:$K$20,9)/30))</f>
        <v>39.066292185923352</v>
      </c>
      <c r="CK122" s="172">
        <f ca="1">(VLOOKUP(CK$72,INDIRECT($C$5&amp;"生成成长"),2))/((VLOOKUP($B122,INDIRECT($B$5&amp;"生成成长"),4))/(VLOOKUP(CK$72,INDIRECT($C$5&amp;"生成成长"),5))*(VLOOKUP($B$5,标准坦克设计!$B$24:$U$30,MATCH("对"&amp;LEFT($C$5,2)&amp;"输出",标准坦克设计!$B$23:$U$23,0)))*(VLOOKUP($B122,INDIRECT($B$5&amp;"生成成长"),3))*(VLOOKUP($B$5,标准坦克设计!$B$14:$K$20,9)/30))</f>
        <v>41.806971423699196</v>
      </c>
      <c r="CL122" s="172">
        <f ca="1">(VLOOKUP(CL$72,INDIRECT($C$5&amp;"生成成长"),2))/((VLOOKUP($B122,INDIRECT($B$5&amp;"生成成长"),4))/(VLOOKUP(CL$72,INDIRECT($C$5&amp;"生成成长"),5))*(VLOOKUP($B$5,标准坦克设计!$B$24:$U$30,MATCH("对"&amp;LEFT($C$5,2)&amp;"输出",标准坦克设计!$B$23:$U$23,0)))*(VLOOKUP($B122,INDIRECT($B$5&amp;"生成成长"),3))*(VLOOKUP($B$5,标准坦克设计!$B$14:$K$20,9)/30))</f>
        <v>44.640555042416587</v>
      </c>
      <c r="CM122" s="172">
        <f ca="1">(VLOOKUP(CM$72,INDIRECT($C$5&amp;"生成成长"),2))/((VLOOKUP($B122,INDIRECT($B$5&amp;"生成成长"),4))/(VLOOKUP(CM$72,INDIRECT($C$5&amp;"生成成长"),5))*(VLOOKUP($B$5,标准坦克设计!$B$24:$U$30,MATCH("对"&amp;LEFT($C$5,2)&amp;"输出",标准坦克设计!$B$23:$U$23,0)))*(VLOOKUP($B122,INDIRECT($B$5&amp;"生成成长"),3))*(VLOOKUP($B$5,标准坦克设计!$B$14:$K$20,9)/30))</f>
        <v>47.567043042075532</v>
      </c>
      <c r="CN122" s="172">
        <f ca="1">(VLOOKUP(CN$72,INDIRECT($C$5&amp;"生成成长"),2))/((VLOOKUP($B122,INDIRECT($B$5&amp;"生成成长"),4))/(VLOOKUP(CN$72,INDIRECT($C$5&amp;"生成成长"),5))*(VLOOKUP($B$5,标准坦克设计!$B$24:$U$30,MATCH("对"&amp;LEFT($C$5,2)&amp;"输出",标准坦克设计!$B$23:$U$23,0)))*(VLOOKUP($B122,INDIRECT($B$5&amp;"生成成长"),3))*(VLOOKUP($B$5,标准坦克设计!$B$14:$K$20,9)/30))</f>
        <v>50.58643542267604</v>
      </c>
      <c r="CO122" s="172">
        <f ca="1">(VLOOKUP(CO$72,INDIRECT($C$5&amp;"生成成长"),2))/((VLOOKUP($B122,INDIRECT($B$5&amp;"生成成长"),4))/(VLOOKUP(CO$72,INDIRECT($C$5&amp;"生成成长"),5))*(VLOOKUP($B$5,标准坦克设计!$B$24:$U$30,MATCH("对"&amp;LEFT($C$5,2)&amp;"输出",标准坦克设计!$B$23:$U$23,0)))*(VLOOKUP($B122,INDIRECT($B$5&amp;"生成成长"),3))*(VLOOKUP($B$5,标准坦克设计!$B$14:$K$20,9)/30))</f>
        <v>22.669052852139703</v>
      </c>
      <c r="CP122" s="172">
        <f ca="1">(VLOOKUP(CP$72,INDIRECT($C$5&amp;"生成成长"),2))/((VLOOKUP($B122,INDIRECT($B$5&amp;"生成成长"),4))/(VLOOKUP(CP$72,INDIRECT($C$5&amp;"生成成长"),5))*(VLOOKUP($B$5,标准坦克设计!$B$24:$U$30,MATCH("对"&amp;LEFT($C$5,2)&amp;"输出",标准坦克设计!$B$23:$U$23,0)))*(VLOOKUP($B122,INDIRECT($B$5&amp;"生成成长"),3))*(VLOOKUP($B$5,标准坦克设计!$B$14:$K$20,9)/30))</f>
        <v>24.767847276137537</v>
      </c>
      <c r="CQ122" s="172">
        <f ca="1">(VLOOKUP(CQ$72,INDIRECT($C$5&amp;"生成成长"),2))/((VLOOKUP($B122,INDIRECT($B$5&amp;"生成成长"),4))/(VLOOKUP(CQ$72,INDIRECT($C$5&amp;"生成成长"),5))*(VLOOKUP($B$5,标准坦克设计!$B$24:$U$30,MATCH("对"&amp;LEFT($C$5,2)&amp;"输出",标准坦克设计!$B$23:$U$23,0)))*(VLOOKUP($B122,INDIRECT($B$5&amp;"生成成长"),3))*(VLOOKUP($B$5,标准坦克设计!$B$14:$K$20,9)/30))</f>
        <v>26.959546081076915</v>
      </c>
      <c r="CR122" s="172">
        <f ca="1">(VLOOKUP(CR$72,INDIRECT($C$5&amp;"生成成长"),2))/((VLOOKUP($B122,INDIRECT($B$5&amp;"生成成长"),4))/(VLOOKUP(CR$72,INDIRECT($C$5&amp;"生成成长"),5))*(VLOOKUP($B$5,标准坦克设计!$B$24:$U$30,MATCH("对"&amp;LEFT($C$5,2)&amp;"输出",标准坦克设计!$B$23:$U$23,0)))*(VLOOKUP($B122,INDIRECT($B$5&amp;"生成成长"),3))*(VLOOKUP($B$5,标准坦克设计!$B$14:$K$20,9)/30))</f>
        <v>29.244149266957852</v>
      </c>
      <c r="CS122" s="172">
        <f ca="1">(VLOOKUP(CS$72,INDIRECT($C$5&amp;"生成成长"),2))/((VLOOKUP($B122,INDIRECT($B$5&amp;"生成成长"),4))/(VLOOKUP(CS$72,INDIRECT($C$5&amp;"生成成长"),5))*(VLOOKUP($B$5,标准坦克设计!$B$24:$U$30,MATCH("对"&amp;LEFT($C$5,2)&amp;"输出",标准坦克设计!$B$23:$U$23,0)))*(VLOOKUP($B122,INDIRECT($B$5&amp;"生成成长"),3))*(VLOOKUP($B$5,标准坦克设计!$B$14:$K$20,9)/30))</f>
        <v>31.621656833780339</v>
      </c>
      <c r="CT122" s="172">
        <f ca="1">(VLOOKUP(CT$72,INDIRECT($C$5&amp;"生成成长"),2))/((VLOOKUP($B122,INDIRECT($B$5&amp;"生成成长"),4))/(VLOOKUP(CT$72,INDIRECT($C$5&amp;"生成成长"),5))*(VLOOKUP($B$5,标准坦克设计!$B$24:$U$30,MATCH("对"&amp;LEFT($C$5,2)&amp;"输出",标准坦克设计!$B$23:$U$23,0)))*(VLOOKUP($B122,INDIRECT($B$5&amp;"生成成长"),3))*(VLOOKUP($B$5,标准坦克设计!$B$14:$K$20,9)/30))</f>
        <v>34.092068781544377</v>
      </c>
      <c r="CU122" s="172">
        <f ca="1">(VLOOKUP(CU$72,INDIRECT($C$5&amp;"生成成长"),2))/((VLOOKUP($B122,INDIRECT($B$5&amp;"生成成长"),4))/(VLOOKUP(CU$72,INDIRECT($C$5&amp;"生成成长"),5))*(VLOOKUP($B$5,标准坦克设计!$B$24:$U$30,MATCH("对"&amp;LEFT($C$5,2)&amp;"输出",标准坦克设计!$B$23:$U$23,0)))*(VLOOKUP($B122,INDIRECT($B$5&amp;"生成成长"),3))*(VLOOKUP($B$5,标准坦克设计!$B$14:$K$20,9)/30))</f>
        <v>36.655385110249973</v>
      </c>
      <c r="CV122" s="172">
        <f ca="1">(VLOOKUP(CV$72,INDIRECT($C$5&amp;"生成成长"),2))/((VLOOKUP($B122,INDIRECT($B$5&amp;"生成成长"),4))/(VLOOKUP(CV$72,INDIRECT($C$5&amp;"生成成长"),5))*(VLOOKUP($B$5,标准坦克设计!$B$24:$U$30,MATCH("对"&amp;LEFT($C$5,2)&amp;"输出",标准坦克设计!$B$23:$U$23,0)))*(VLOOKUP($B122,INDIRECT($B$5&amp;"生成成长"),3))*(VLOOKUP($B$5,标准坦克设计!$B$14:$K$20,9)/30))</f>
        <v>39.311605819897132</v>
      </c>
      <c r="CW122" s="172">
        <f ca="1">(VLOOKUP(CW$72,INDIRECT($C$5&amp;"生成成长"),2))/((VLOOKUP($B122,INDIRECT($B$5&amp;"生成成长"),4))/(VLOOKUP(CW$72,INDIRECT($C$5&amp;"生成成长"),5))*(VLOOKUP($B$5,标准坦克设计!$B$24:$U$30,MATCH("对"&amp;LEFT($C$5,2)&amp;"输出",标准坦克设计!$B$23:$U$23,0)))*(VLOOKUP($B122,INDIRECT($B$5&amp;"生成成长"),3))*(VLOOKUP($B$5,标准坦克设计!$B$14:$K$20,9)/30))</f>
        <v>42.060730910485837</v>
      </c>
      <c r="CX122" s="172">
        <f ca="1">(VLOOKUP(CX$72,INDIRECT($C$5&amp;"生成成长"),2))/((VLOOKUP($B122,INDIRECT($B$5&amp;"生成成长"),4))/(VLOOKUP(CX$72,INDIRECT($C$5&amp;"生成成长"),5))*(VLOOKUP($B$5,标准坦克设计!$B$24:$U$30,MATCH("对"&amp;LEFT($C$5,2)&amp;"输出",标准坦克设计!$B$23:$U$23,0)))*(VLOOKUP($B122,INDIRECT($B$5&amp;"生成成长"),3))*(VLOOKUP($B$5,标准坦克设计!$B$14:$K$20,9)/30))</f>
        <v>44.902760382016098</v>
      </c>
      <c r="CY122" s="172">
        <f ca="1">(VLOOKUP(CY$72,INDIRECT($C$5&amp;"生成成长"),2))/((VLOOKUP($B122,INDIRECT($B$5&amp;"生成成长"),4))/(VLOOKUP(CY$72,INDIRECT($C$5&amp;"生成成长"),5))*(VLOOKUP($B$5,标准坦克设计!$B$24:$U$30,MATCH("对"&amp;LEFT($C$5,2)&amp;"输出",标准坦克设计!$B$23:$U$23,0)))*(VLOOKUP($B122,INDIRECT($B$5&amp;"生成成长"),3))*(VLOOKUP($B$5,标准坦克设计!$B$14:$K$20,9)/30))</f>
        <v>47.837694234487913</v>
      </c>
      <c r="CZ122" s="172">
        <f ca="1">(VLOOKUP(CZ$72,INDIRECT($C$5&amp;"生成成长"),2))/((VLOOKUP($B122,INDIRECT($B$5&amp;"生成成长"),4))/(VLOOKUP(CZ$72,INDIRECT($C$5&amp;"生成成长"),5))*(VLOOKUP($B$5,标准坦克设计!$B$24:$U$30,MATCH("对"&amp;LEFT($C$5,2)&amp;"输出",标准坦克设计!$B$23:$U$23,0)))*(VLOOKUP($B122,INDIRECT($B$5&amp;"生成成长"),3))*(VLOOKUP($B$5,标准坦克设计!$B$14:$K$20,9)/30))</f>
        <v>50.865532467901275</v>
      </c>
      <c r="DA122" s="172">
        <f ca="1">(VLOOKUP(DA$72,INDIRECT($C$5&amp;"生成成长"),2))/((VLOOKUP($B122,INDIRECT($B$5&amp;"生成成长"),4))/(VLOOKUP(DA$72,INDIRECT($C$5&amp;"生成成长"),5))*(VLOOKUP($B$5,标准坦克设计!$B$24:$U$30,MATCH("对"&amp;LEFT($C$5,2)&amp;"输出",标准坦克设计!$B$23:$U$23,0)))*(VLOOKUP($B122,INDIRECT($B$5&amp;"生成成长"),3))*(VLOOKUP($B$5,标准坦克设计!$B$14:$K$20,9)/30))</f>
        <v>53.986275082256185</v>
      </c>
      <c r="DB122" s="172">
        <f ca="1">(VLOOKUP(DB$72,INDIRECT($C$5&amp;"生成成长"),2))/((VLOOKUP($B122,INDIRECT($B$5&amp;"生成成长"),4))/(VLOOKUP(DB$72,INDIRECT($C$5&amp;"生成成长"),5))*(VLOOKUP($B$5,标准坦克设计!$B$24:$U$30,MATCH("对"&amp;LEFT($C$5,2)&amp;"输出",标准坦克设计!$B$23:$U$23,0)))*(VLOOKUP($B122,INDIRECT($B$5&amp;"生成成长"),3))*(VLOOKUP($B$5,标准坦克设计!$B$14:$K$20,9)/30))</f>
        <v>57.199922077552671</v>
      </c>
      <c r="DC122" s="172">
        <f ca="1">(VLOOKUP(DC$72,INDIRECT($C$5&amp;"生成成长"),2))/((VLOOKUP($B122,INDIRECT($B$5&amp;"生成成长"),4))/(VLOOKUP(DC$72,INDIRECT($C$5&amp;"生成成长"),5))*(VLOOKUP($B$5,标准坦克设计!$B$24:$U$30,MATCH("对"&amp;LEFT($C$5,2)&amp;"输出",标准坦克设计!$B$23:$U$23,0)))*(VLOOKUP($B122,INDIRECT($B$5&amp;"生成成长"),3))*(VLOOKUP($B$5,标准坦克设计!$B$14:$K$20,9)/30))</f>
        <v>60.811675862255719</v>
      </c>
      <c r="DD122" s="172">
        <f ca="1">(VLOOKUP(DD$72,INDIRECT($C$5&amp;"生成成长"),2))/((VLOOKUP($B122,INDIRECT($B$5&amp;"生成成长"),4))/(VLOOKUP(DD$72,INDIRECT($C$5&amp;"生成成长"),5))*(VLOOKUP($B$5,标准坦克设计!$B$24:$U$30,MATCH("对"&amp;LEFT($C$5,2)&amp;"输出",标准坦克设计!$B$23:$U$23,0)))*(VLOOKUP($B122,INDIRECT($B$5&amp;"生成成长"),3))*(VLOOKUP($B$5,标准坦克设计!$B$14:$K$20,9)/30))</f>
        <v>64.533993538327223</v>
      </c>
      <c r="DE122" s="172">
        <f ca="1">(VLOOKUP(DE$72,INDIRECT($C$5&amp;"生成成长"),2))/((VLOOKUP($B122,INDIRECT($B$5&amp;"生成成长"),4))/(VLOOKUP(DE$72,INDIRECT($C$5&amp;"生成成长"),5))*(VLOOKUP($B$5,标准坦克设计!$B$24:$U$30,MATCH("对"&amp;LEFT($C$5,2)&amp;"输出",标准坦克设计!$B$23:$U$23,0)))*(VLOOKUP($B122,INDIRECT($B$5&amp;"生成成长"),3))*(VLOOKUP($B$5,标准坦克设计!$B$14:$K$20,9)/30))</f>
        <v>68.366875105767193</v>
      </c>
      <c r="DF122" s="172">
        <f ca="1">(VLOOKUP(DF$72,INDIRECT($C$5&amp;"生成成长"),2))/((VLOOKUP($B122,INDIRECT($B$5&amp;"生成成长"),4))/(VLOOKUP(DF$72,INDIRECT($C$5&amp;"生成成长"),5))*(VLOOKUP($B$5,标准坦克设计!$B$24:$U$30,MATCH("对"&amp;LEFT($C$5,2)&amp;"输出",标准坦克设计!$B$23:$U$23,0)))*(VLOOKUP($B122,INDIRECT($B$5&amp;"生成成长"),3))*(VLOOKUP($B$5,标准坦克设计!$B$14:$K$20,9)/30))</f>
        <v>72.310320564575633</v>
      </c>
      <c r="DG122" s="172">
        <f ca="1">(VLOOKUP(DG$72,INDIRECT($C$5&amp;"生成成长"),2))/((VLOOKUP($B122,INDIRECT($B$5&amp;"生成成长"),4))/(VLOOKUP(DG$72,INDIRECT($C$5&amp;"生成成长"),5))*(VLOOKUP($B$5,标准坦克设计!$B$24:$U$30,MATCH("对"&amp;LEFT($C$5,2)&amp;"输出",标准坦克设计!$B$23:$U$23,0)))*(VLOOKUP($B122,INDIRECT($B$5&amp;"生成成长"),3))*(VLOOKUP($B$5,标准坦克设计!$B$14:$K$20,9)/30))</f>
        <v>76.364329914752531</v>
      </c>
      <c r="DH122" s="172">
        <f ca="1">(VLOOKUP(DH$72,INDIRECT($C$5&amp;"生成成长"),2))/((VLOOKUP($B122,INDIRECT($B$5&amp;"生成成长"),4))/(VLOOKUP(DH$72,INDIRECT($C$5&amp;"生成成长"),5))*(VLOOKUP($B$5,标准坦克设计!$B$24:$U$30,MATCH("对"&amp;LEFT($C$5,2)&amp;"输出",标准坦克设计!$B$23:$U$23,0)))*(VLOOKUP($B122,INDIRECT($B$5&amp;"生成成长"),3))*(VLOOKUP($B$5,标准坦克设计!$B$14:$K$20,9)/30))</f>
        <v>80.528903156297872</v>
      </c>
      <c r="DI122" s="172">
        <f ca="1">(VLOOKUP(DI$72,INDIRECT($C$5&amp;"生成成长"),2))/((VLOOKUP($B122,INDIRECT($B$5&amp;"生成成长"),4))/(VLOOKUP(DI$72,INDIRECT($C$5&amp;"生成成长"),5))*(VLOOKUP($B$5,标准坦克设计!$B$24:$U$30,MATCH("对"&amp;LEFT($C$5,2)&amp;"输出",标准坦克设计!$B$23:$U$23,0)))*(VLOOKUP($B122,INDIRECT($B$5&amp;"生成成长"),3))*(VLOOKUP($B$5,标准坦克设计!$B$14:$K$20,9)/30))</f>
        <v>84.804040289211684</v>
      </c>
      <c r="DJ122" s="172">
        <f ca="1">(VLOOKUP(DJ$72,INDIRECT($C$5&amp;"生成成长"),2))/((VLOOKUP($B122,INDIRECT($B$5&amp;"生成成长"),4))/(VLOOKUP(DJ$72,INDIRECT($C$5&amp;"生成成长"),5))*(VLOOKUP($B$5,标准坦克设计!$B$24:$U$30,MATCH("对"&amp;LEFT($C$5,2)&amp;"输出",标准坦克设计!$B$23:$U$23,0)))*(VLOOKUP($B122,INDIRECT($B$5&amp;"生成成长"),3))*(VLOOKUP($B$5,标准坦克设计!$B$14:$K$20,9)/30))</f>
        <v>8.5230171953860943</v>
      </c>
      <c r="DK122" s="172">
        <f ca="1">(VLOOKUP(DK$72,INDIRECT($C$5&amp;"生成成长"),2))/((VLOOKUP($B122,INDIRECT($B$5&amp;"生成成长"),4))/(VLOOKUP(DK$72,INDIRECT($C$5&amp;"生成成长"),5))*(VLOOKUP($B$5,标准坦克设计!$B$24:$U$30,MATCH("对"&amp;LEFT($C$5,2)&amp;"输出",标准坦克设计!$B$23:$U$23,0)))*(VLOOKUP($B122,INDIRECT($B$5&amp;"生成成长"),3))*(VLOOKUP($B$5,标准坦克设计!$B$14:$K$20,9)/30))</f>
        <v>9.5837395282022637</v>
      </c>
      <c r="DL122" s="172">
        <f ca="1">(VLOOKUP(DL$72,INDIRECT($C$5&amp;"生成成长"),2))/((VLOOKUP($B122,INDIRECT($B$5&amp;"生成成长"),4))/(VLOOKUP(DL$72,INDIRECT($C$5&amp;"生成成长"),5))*(VLOOKUP($B$5,标准坦克设计!$B$24:$U$30,MATCH("对"&amp;LEFT($C$5,2)&amp;"输出",标准坦克设计!$B$23:$U$23,0)))*(VLOOKUP($B122,INDIRECT($B$5&amp;"生成成长"),3))*(VLOOKUP($B$5,标准坦克设计!$B$14:$K$20,9)/30))</f>
        <v>10.706654049913194</v>
      </c>
      <c r="DM122" s="172">
        <f ca="1">(VLOOKUP(DM$72,INDIRECT($C$5&amp;"生成成长"),2))/((VLOOKUP($B122,INDIRECT($B$5&amp;"生成成长"),4))/(VLOOKUP(DM$72,INDIRECT($C$5&amp;"生成成长"),5))*(VLOOKUP($B$5,标准坦克设计!$B$24:$U$30,MATCH("对"&amp;LEFT($C$5,2)&amp;"输出",标准坦克设计!$B$23:$U$23,0)))*(VLOOKUP($B122,INDIRECT($B$5&amp;"生成成长"),3))*(VLOOKUP($B$5,标准坦克设计!$B$14:$K$20,9)/30))</f>
        <v>11.891760760518883</v>
      </c>
      <c r="DN122" s="172">
        <f ca="1">(VLOOKUP(DN$72,INDIRECT($C$5&amp;"生成成长"),2))/((VLOOKUP($B122,INDIRECT($B$5&amp;"生成成长"),4))/(VLOOKUP(DN$72,INDIRECT($C$5&amp;"生成成长"),5))*(VLOOKUP($B$5,标准坦克设计!$B$24:$U$30,MATCH("对"&amp;LEFT($C$5,2)&amp;"输出",标准坦克设计!$B$23:$U$23,0)))*(VLOOKUP($B122,INDIRECT($B$5&amp;"生成成长"),3))*(VLOOKUP($B$5,标准坦克设计!$B$14:$K$20,9)/30))</f>
        <v>13.139059660019329</v>
      </c>
      <c r="DO122" s="172">
        <f ca="1">(VLOOKUP(DO$72,INDIRECT($C$5&amp;"生成成长"),2))/((VLOOKUP($B122,INDIRECT($B$5&amp;"生成成长"),4))/(VLOOKUP(DO$72,INDIRECT($C$5&amp;"生成成长"),5))*(VLOOKUP($B$5,标准坦克设计!$B$24:$U$30,MATCH("对"&amp;LEFT($C$5,2)&amp;"输出",标准坦克设计!$B$23:$U$23,0)))*(VLOOKUP($B122,INDIRECT($B$5&amp;"生成成长"),3))*(VLOOKUP($B$5,标准坦克设计!$B$14:$K$20,9)/30))</f>
        <v>14.448550748414535</v>
      </c>
      <c r="DP122" s="172">
        <f ca="1">(VLOOKUP(DP$72,INDIRECT($C$5&amp;"生成成长"),2))/((VLOOKUP($B122,INDIRECT($B$5&amp;"生成成长"),4))/(VLOOKUP(DP$72,INDIRECT($C$5&amp;"生成成长"),5))*(VLOOKUP($B$5,标准坦克设计!$B$24:$U$30,MATCH("对"&amp;LEFT($C$5,2)&amp;"输出",标准坦克设计!$B$23:$U$23,0)))*(VLOOKUP($B122,INDIRECT($B$5&amp;"生成成长"),3))*(VLOOKUP($B$5,标准坦克设计!$B$14:$K$20,9)/30))</f>
        <v>15.820234025704504</v>
      </c>
      <c r="DQ122" s="172">
        <f ca="1">(VLOOKUP(DQ$72,INDIRECT($C$5&amp;"生成成长"),2))/((VLOOKUP($B122,INDIRECT($B$5&amp;"生成成长"),4))/(VLOOKUP(DQ$72,INDIRECT($C$5&amp;"生成成长"),5))*(VLOOKUP($B$5,标准坦克设计!$B$24:$U$30,MATCH("对"&amp;LEFT($C$5,2)&amp;"输出",标准坦克设计!$B$23:$U$23,0)))*(VLOOKUP($B122,INDIRECT($B$5&amp;"生成成长"),3))*(VLOOKUP($B$5,标准坦克设计!$B$14:$K$20,9)/30))</f>
        <v>17.254109491889228</v>
      </c>
      <c r="DR122" s="172">
        <f ca="1">(VLOOKUP(DR$72,INDIRECT($C$5&amp;"生成成长"),2))/((VLOOKUP($B122,INDIRECT($B$5&amp;"生成成长"),4))/(VLOOKUP(DR$72,INDIRECT($C$5&amp;"生成成长"),5))*(VLOOKUP($B$5,标准坦克设计!$B$24:$U$30,MATCH("对"&amp;LEFT($C$5,2)&amp;"输出",标准坦克设计!$B$23:$U$23,0)))*(VLOOKUP($B122,INDIRECT($B$5&amp;"生成成长"),3))*(VLOOKUP($B$5,标准坦克设计!$B$14:$K$20,9)/30))</f>
        <v>18.750177146968706</v>
      </c>
      <c r="DS122" s="172">
        <f ca="1">(VLOOKUP(DS$72,INDIRECT($C$5&amp;"生成成长"),2))/((VLOOKUP($B122,INDIRECT($B$5&amp;"生成成长"),4))/(VLOOKUP(DS$72,INDIRECT($C$5&amp;"生成成长"),5))*(VLOOKUP($B$5,标准坦克设计!$B$24:$U$30,MATCH("对"&amp;LEFT($C$5,2)&amp;"输出",标准坦克设计!$B$23:$U$23,0)))*(VLOOKUP($B122,INDIRECT($B$5&amp;"生成成长"),3))*(VLOOKUP($B$5,标准坦克设计!$B$14:$K$20,9)/30))</f>
        <v>20.308436990942951</v>
      </c>
      <c r="DT122" s="172">
        <f ca="1">(VLOOKUP(DT$72,INDIRECT($C$5&amp;"生成成长"),2))/((VLOOKUP($B122,INDIRECT($B$5&amp;"生成成长"),4))/(VLOOKUP(DT$72,INDIRECT($C$5&amp;"生成成长"),5))*(VLOOKUP($B$5,标准坦克设计!$B$24:$U$30,MATCH("对"&amp;LEFT($C$5,2)&amp;"输出",标准坦克设计!$B$23:$U$23,0)))*(VLOOKUP($B122,INDIRECT($B$5&amp;"生成成长"),3))*(VLOOKUP($B$5,标准坦克设计!$B$14:$K$20,9)/30))</f>
        <v>22.297435328373489</v>
      </c>
      <c r="DU122" s="172">
        <f ca="1">(VLOOKUP(DU$72,INDIRECT($C$5&amp;"生成成长"),2))/((VLOOKUP($B122,INDIRECT($B$5&amp;"生成成长"),4))/(VLOOKUP(DU$72,INDIRECT($C$5&amp;"生成成长"),5))*(VLOOKUP($B$5,标准坦克设计!$B$24:$U$30,MATCH("对"&amp;LEFT($C$5,2)&amp;"输出",标准坦克设计!$B$23:$U$23,0)))*(VLOOKUP($B122,INDIRECT($B$5&amp;"生成成长"),3))*(VLOOKUP($B$5,标准坦克设计!$B$14:$K$20,9)/30))</f>
        <v>24.379338046745584</v>
      </c>
      <c r="DV122" s="172">
        <f ca="1">(VLOOKUP(DV$72,INDIRECT($C$5&amp;"生成成长"),2))/((VLOOKUP($B122,INDIRECT($B$5&amp;"生成成长"),4))/(VLOOKUP(DV$72,INDIRECT($C$5&amp;"生成成长"),5))*(VLOOKUP($B$5,标准坦克设计!$B$24:$U$30,MATCH("对"&amp;LEFT($C$5,2)&amp;"输出",标准坦克设计!$B$23:$U$23,0)))*(VLOOKUP($B122,INDIRECT($B$5&amp;"生成成长"),3))*(VLOOKUP($B$5,标准坦克设计!$B$14:$K$20,9)/30))</f>
        <v>26.554145146059227</v>
      </c>
      <c r="DW122" s="172">
        <f ca="1">(VLOOKUP(DW$72,INDIRECT($C$5&amp;"生成成长"),2))/((VLOOKUP($B122,INDIRECT($B$5&amp;"生成成长"),4))/(VLOOKUP(DW$72,INDIRECT($C$5&amp;"生成成长"),5))*(VLOOKUP($B$5,标准坦克设计!$B$24:$U$30,MATCH("对"&amp;LEFT($C$5,2)&amp;"输出",标准坦克设计!$B$23:$U$23,0)))*(VLOOKUP($B122,INDIRECT($B$5&amp;"生成成长"),3))*(VLOOKUP($B$5,标准坦克设计!$B$14:$K$20,9)/30))</f>
        <v>28.821856626314425</v>
      </c>
      <c r="DX122" s="172">
        <f ca="1">(VLOOKUP(DX$72,INDIRECT($C$5&amp;"生成成长"),2))/((VLOOKUP($B122,INDIRECT($B$5&amp;"生成成长"),4))/(VLOOKUP(DX$72,INDIRECT($C$5&amp;"生成成长"),5))*(VLOOKUP($B$5,标准坦克设计!$B$24:$U$30,MATCH("对"&amp;LEFT($C$5,2)&amp;"输出",标准坦克设计!$B$23:$U$23,0)))*(VLOOKUP($B122,INDIRECT($B$5&amp;"生成成长"),3))*(VLOOKUP($B$5,标准坦克设计!$B$14:$K$20,9)/30))</f>
        <v>31.182472487511184</v>
      </c>
      <c r="DY122" s="172">
        <f ca="1">(VLOOKUP(DY$72,INDIRECT($C$5&amp;"生成成长"),2))/((VLOOKUP($B122,INDIRECT($B$5&amp;"生成成长"),4))/(VLOOKUP(DY$72,INDIRECT($C$5&amp;"生成成长"),5))*(VLOOKUP($B$5,标准坦克设计!$B$24:$U$30,MATCH("对"&amp;LEFT($C$5,2)&amp;"输出",标准坦克设计!$B$23:$U$23,0)))*(VLOOKUP($B122,INDIRECT($B$5&amp;"生成成长"),3))*(VLOOKUP($B$5,标准坦克设计!$B$14:$K$20,9)/30))</f>
        <v>14.005143475738937</v>
      </c>
      <c r="DZ122" s="172">
        <f ca="1">(VLOOKUP(DZ$72,INDIRECT($C$5&amp;"生成成长"),2))/((VLOOKUP($B122,INDIRECT($B$5&amp;"生成成长"),4))/(VLOOKUP(DZ$72,INDIRECT($C$5&amp;"生成成长"),5))*(VLOOKUP($B$5,标准坦克设计!$B$24:$U$30,MATCH("对"&amp;LEFT($C$5,2)&amp;"输出",标准坦克设计!$B$23:$U$23,0)))*(VLOOKUP($B122,INDIRECT($B$5&amp;"生成成长"),3))*(VLOOKUP($B$5,标准坦克设计!$B$14:$K$20,9)/30))</f>
        <v>15.510040886031877</v>
      </c>
      <c r="EA122" s="172">
        <f ca="1">(VLOOKUP(EA$72,INDIRECT($C$5&amp;"生成成长"),2))/((VLOOKUP($B122,INDIRECT($B$5&amp;"生成成长"),4))/(VLOOKUP(EA$72,INDIRECT($C$5&amp;"生成成长"),5))*(VLOOKUP($B$5,标准坦克设计!$B$24:$U$30,MATCH("对"&amp;LEFT($C$5,2)&amp;"输出",标准坦克设计!$B$23:$U$23,0)))*(VLOOKUP($B122,INDIRECT($B$5&amp;"生成成长"),3))*(VLOOKUP($B$5,标准坦克设计!$B$14:$K$20,9)/30))</f>
        <v>17.091718776441798</v>
      </c>
      <c r="EB122" s="172">
        <f ca="1">(VLOOKUP(EB$72,INDIRECT($C$5&amp;"生成成长"),2))/((VLOOKUP($B122,INDIRECT($B$5&amp;"生成成长"),4))/(VLOOKUP(EB$72,INDIRECT($C$5&amp;"生成成长"),5))*(VLOOKUP($B$5,标准坦克设计!$B$24:$U$30,MATCH("对"&amp;LEFT($C$5,2)&amp;"输出",标准坦克设计!$B$23:$U$23,0)))*(VLOOKUP($B122,INDIRECT($B$5&amp;"生成成长"),3))*(VLOOKUP($B$5,标准坦克设计!$B$14:$K$20,9)/30))</f>
        <v>18.750177146968706</v>
      </c>
      <c r="EC122" s="172">
        <f ca="1">(VLOOKUP(EC$72,INDIRECT($C$5&amp;"生成成长"),2))/((VLOOKUP($B122,INDIRECT($B$5&amp;"生成成长"),4))/(VLOOKUP(EC$72,INDIRECT($C$5&amp;"生成成长"),5))*(VLOOKUP($B$5,标准坦克设计!$B$24:$U$30,MATCH("对"&amp;LEFT($C$5,2)&amp;"输出",标准坦克设计!$B$23:$U$23,0)))*(VLOOKUP($B122,INDIRECT($B$5&amp;"生成成长"),3))*(VLOOKUP($B$5,标准坦克设计!$B$14:$K$20,9)/30))</f>
        <v>20.485415997612606</v>
      </c>
      <c r="ED122" s="172">
        <f ca="1">(VLOOKUP(ED$72,INDIRECT($C$5&amp;"生成成长"),2))/((VLOOKUP($B122,INDIRECT($B$5&amp;"生成成长"),4))/(VLOOKUP(ED$72,INDIRECT($C$5&amp;"生成成长"),5))*(VLOOKUP($B$5,标准坦克设计!$B$24:$U$30,MATCH("对"&amp;LEFT($C$5,2)&amp;"输出",标准坦克设计!$B$23:$U$23,0)))*(VLOOKUP($B122,INDIRECT($B$5&amp;"生成成长"),3))*(VLOOKUP($B$5,标准坦克设计!$B$14:$K$20,9)/30))</f>
        <v>22.297435328373489</v>
      </c>
      <c r="EE122" s="172">
        <f ca="1">(VLOOKUP(EE$72,INDIRECT($C$5&amp;"生成成长"),2))/((VLOOKUP($B122,INDIRECT($B$5&amp;"生成成长"),4))/(VLOOKUP(EE$72,INDIRECT($C$5&amp;"生成成长"),5))*(VLOOKUP($B$5,标准坦克设计!$B$24:$U$30,MATCH("对"&amp;LEFT($C$5,2)&amp;"输出",标准坦克设计!$B$23:$U$23,0)))*(VLOOKUP($B122,INDIRECT($B$5&amp;"生成成长"),3))*(VLOOKUP($B$5,标准坦克设计!$B$14:$K$20,9)/30))</f>
        <v>24.186235139251359</v>
      </c>
      <c r="EF122" s="172">
        <f ca="1">(VLOOKUP(EF$72,INDIRECT($C$5&amp;"生成成长"),2))/((VLOOKUP($B122,INDIRECT($B$5&amp;"生成成长"),4))/(VLOOKUP(EF$72,INDIRECT($C$5&amp;"生成成长"),5))*(VLOOKUP($B$5,标准坦克设计!$B$24:$U$30,MATCH("对"&amp;LEFT($C$5,2)&amp;"输出",标准坦克设计!$B$23:$U$23,0)))*(VLOOKUP($B122,INDIRECT($B$5&amp;"生成成长"),3))*(VLOOKUP($B$5,标准坦克设计!$B$14:$K$20,9)/30))</f>
        <v>26.151815430246213</v>
      </c>
      <c r="EG122" s="172">
        <f ca="1">(VLOOKUP(EG$72,INDIRECT($C$5&amp;"生成成长"),2))/((VLOOKUP($B122,INDIRECT($B$5&amp;"生成成长"),4))/(VLOOKUP(EG$72,INDIRECT($C$5&amp;"生成成长"),5))*(VLOOKUP($B$5,标准坦克设计!$B$24:$U$30,MATCH("对"&amp;LEFT($C$5,2)&amp;"输出",标准坦克设计!$B$23:$U$23,0)))*(VLOOKUP($B122,INDIRECT($B$5&amp;"生成成长"),3))*(VLOOKUP($B$5,标准坦克设计!$B$14:$K$20,9)/30))</f>
        <v>28.194176201358061</v>
      </c>
      <c r="EH122" s="172">
        <f ca="1">(VLOOKUP(EH$72,INDIRECT($C$5&amp;"生成成长"),2))/((VLOOKUP($B122,INDIRECT($B$5&amp;"生成成长"),4))/(VLOOKUP(EH$72,INDIRECT($C$5&amp;"生成成长"),5))*(VLOOKUP($B$5,标准坦克设计!$B$24:$U$30,MATCH("对"&amp;LEFT($C$5,2)&amp;"输出",标准坦克设计!$B$23:$U$23,0)))*(VLOOKUP($B122,INDIRECT($B$5&amp;"生成成长"),3))*(VLOOKUP($B$5,标准坦克设计!$B$14:$K$20,9)/30))</f>
        <v>30.31331745258689</v>
      </c>
      <c r="EI122" s="172">
        <f ca="1">(VLOOKUP(EI$72,INDIRECT($C$5&amp;"生成成长"),2))/((VLOOKUP($B122,INDIRECT($B$5&amp;"生成成长"),4))/(VLOOKUP(EI$72,INDIRECT($C$5&amp;"生成成长"),5))*(VLOOKUP($B$5,标准坦克设计!$B$24:$U$30,MATCH("对"&amp;LEFT($C$5,2)&amp;"输出",标准坦克设计!$B$23:$U$23,0)))*(VLOOKUP($B122,INDIRECT($B$5&amp;"生成成长"),3))*(VLOOKUP($B$5,标准坦克设计!$B$14:$K$20,9)/30))</f>
        <v>32.509239183932714</v>
      </c>
      <c r="EJ122" s="172">
        <f ca="1">(VLOOKUP(EJ$72,INDIRECT($C$5&amp;"生成成长"),2))/((VLOOKUP($B122,INDIRECT($B$5&amp;"生成成长"),4))/(VLOOKUP(EJ$72,INDIRECT($C$5&amp;"生成成长"),5))*(VLOOKUP($B$5,标准坦克设计!$B$24:$U$30,MATCH("对"&amp;LEFT($C$5,2)&amp;"输出",标准坦克设计!$B$23:$U$23,0)))*(VLOOKUP($B122,INDIRECT($B$5&amp;"生成成长"),3))*(VLOOKUP($B$5,标准坦克设计!$B$14:$K$20,9)/30))</f>
        <v>34.781941395395513</v>
      </c>
      <c r="EK122" s="172">
        <f ca="1">(VLOOKUP(EK$72,INDIRECT($C$5&amp;"生成成长"),2))/((VLOOKUP($B122,INDIRECT($B$5&amp;"生成成长"),4))/(VLOOKUP(EK$72,INDIRECT($C$5&amp;"生成成长"),5))*(VLOOKUP($B$5,标准坦克设计!$B$24:$U$30,MATCH("对"&amp;LEFT($C$5,2)&amp;"输出",标准坦克设计!$B$23:$U$23,0)))*(VLOOKUP($B122,INDIRECT($B$5&amp;"生成成长"),3))*(VLOOKUP($B$5,标准坦克设计!$B$14:$K$20,9)/30))</f>
        <v>37.610534282905292</v>
      </c>
      <c r="EL122" s="172">
        <f ca="1">(VLOOKUP(EL$72,INDIRECT($C$5&amp;"生成成长"),2))/((VLOOKUP($B122,INDIRECT($B$5&amp;"生成成长"),4))/(VLOOKUP(EL$72,INDIRECT($C$5&amp;"生成成长"),5))*(VLOOKUP($B$5,标准坦克设计!$B$24:$U$30,MATCH("对"&amp;LEFT($C$5,2)&amp;"输出",标准坦克设计!$B$23:$U$23,0)))*(VLOOKUP($B122,INDIRECT($B$5&amp;"生成成长"),3))*(VLOOKUP($B$5,标准坦克设计!$B$14:$K$20,9)/30))</f>
        <v>40.549691061783541</v>
      </c>
      <c r="EM122" s="172">
        <f ca="1">(VLOOKUP(EM$72,INDIRECT($C$5&amp;"生成成长"),2))/((VLOOKUP($B122,INDIRECT($B$5&amp;"生成成长"),4))/(VLOOKUP(EM$72,INDIRECT($C$5&amp;"生成成长"),5))*(VLOOKUP($B$5,标准坦克设计!$B$24:$U$30,MATCH("对"&amp;LEFT($C$5,2)&amp;"输出",标准坦克设计!$B$23:$U$23,0)))*(VLOOKUP($B122,INDIRECT($B$5&amp;"生成成长"),3))*(VLOOKUP($B$5,标准坦克设计!$B$14:$K$20,9)/30))</f>
        <v>43.599411732030248</v>
      </c>
      <c r="EN122" s="172">
        <f ca="1">(VLOOKUP(EN$72,INDIRECT($C$5&amp;"生成成长"),2))/((VLOOKUP($B122,INDIRECT($B$5&amp;"生成成长"),4))/(VLOOKUP(EN$72,INDIRECT($C$5&amp;"生成成长"),5))*(VLOOKUP($B$5,标准坦克设计!$B$24:$U$30,MATCH("对"&amp;LEFT($C$5,2)&amp;"输出",标准坦克设计!$B$23:$U$23,0)))*(VLOOKUP($B122,INDIRECT($B$5&amp;"生成成长"),3))*(VLOOKUP($B$5,标准坦克设计!$B$14:$K$20,9)/30))</f>
        <v>46.759696293645426</v>
      </c>
      <c r="EO122" s="172">
        <f ca="1">(VLOOKUP(EO$72,INDIRECT($C$5&amp;"生成成长"),2))/((VLOOKUP($B122,INDIRECT($B$5&amp;"生成成长"),4))/(VLOOKUP(EO$72,INDIRECT($C$5&amp;"生成成长"),5))*(VLOOKUP($B$5,标准坦克设计!$B$24:$U$30,MATCH("对"&amp;LEFT($C$5,2)&amp;"输出",标准坦克设计!$B$23:$U$23,0)))*(VLOOKUP($B122,INDIRECT($B$5&amp;"生成成长"),3))*(VLOOKUP($B$5,标准坦克设计!$B$14:$K$20,9)/30))</f>
        <v>50.030544746629047</v>
      </c>
      <c r="EP122" s="172">
        <f ca="1">(VLOOKUP(EP$72,INDIRECT($C$5&amp;"生成成长"),2))/((VLOOKUP($B122,INDIRECT($B$5&amp;"生成成长"),4))/(VLOOKUP(EP$72,INDIRECT($C$5&amp;"生成成长"),5))*(VLOOKUP($B$5,标准坦克设计!$B$24:$U$30,MATCH("对"&amp;LEFT($C$5,2)&amp;"输出",标准坦克设计!$B$23:$U$23,0)))*(VLOOKUP($B122,INDIRECT($B$5&amp;"生成成长"),3))*(VLOOKUP($B$5,标准坦克设计!$B$14:$K$20,9)/30))</f>
        <v>53.41195709098114</v>
      </c>
      <c r="EQ122" s="172">
        <f ca="1">(VLOOKUP(EQ$72,INDIRECT($C$5&amp;"生成成长"),2))/((VLOOKUP($B122,INDIRECT($B$5&amp;"生成成长"),4))/(VLOOKUP(EQ$72,INDIRECT($C$5&amp;"生成成长"),5))*(VLOOKUP($B$5,标准坦克设计!$B$24:$U$30,MATCH("对"&amp;LEFT($C$5,2)&amp;"输出",标准坦克设计!$B$23:$U$23,0)))*(VLOOKUP($B122,INDIRECT($B$5&amp;"生成成长"),3))*(VLOOKUP($B$5,标准坦克设计!$B$14:$K$20,9)/30))</f>
        <v>23.611533245575714</v>
      </c>
      <c r="ER122" s="172">
        <f ca="1">(VLOOKUP(ER$72,INDIRECT($C$5&amp;"生成成长"),2))/((VLOOKUP($B122,INDIRECT($B$5&amp;"生成成长"),4))/(VLOOKUP(ER$72,INDIRECT($C$5&amp;"生成成长"),5))*(VLOOKUP($B$5,标准坦克设计!$B$24:$U$30,MATCH("对"&amp;LEFT($C$5,2)&amp;"输出",标准坦克设计!$B$23:$U$23,0)))*(VLOOKUP($B122,INDIRECT($B$5&amp;"生成成长"),3))*(VLOOKUP($B$5,标准坦克设计!$B$14:$K$20,9)/30))</f>
        <v>25.752556933637887</v>
      </c>
      <c r="ES122" s="172">
        <f ca="1">(VLOOKUP(ES$72,INDIRECT($C$5&amp;"生成成长"),2))/((VLOOKUP($B122,INDIRECT($B$5&amp;"生成成长"),4))/(VLOOKUP(ES$72,INDIRECT($C$5&amp;"生成成长"),5))*(VLOOKUP($B$5,标准坦克设计!$B$24:$U$30,MATCH("对"&amp;LEFT($C$5,2)&amp;"输出",标准坦克设计!$B$23:$U$23,0)))*(VLOOKUP($B122,INDIRECT($B$5&amp;"生成成长"),3))*(VLOOKUP($B$5,标准坦克设计!$B$14:$K$20,9)/30))</f>
        <v>27.986485002641611</v>
      </c>
      <c r="ET122" s="172">
        <f ca="1">(VLOOKUP(ET$72,INDIRECT($C$5&amp;"生成成长"),2))/((VLOOKUP($B122,INDIRECT($B$5&amp;"生成成长"),4))/(VLOOKUP(ET$72,INDIRECT($C$5&amp;"生成成长"),5))*(VLOOKUP($B$5,标准坦克设计!$B$24:$U$30,MATCH("对"&amp;LEFT($C$5,2)&amp;"输出",标准坦克设计!$B$23:$U$23,0)))*(VLOOKUP($B122,INDIRECT($B$5&amp;"生成成长"),3))*(VLOOKUP($B$5,标准坦克设计!$B$14:$K$20,9)/30))</f>
        <v>30.31331745258689</v>
      </c>
      <c r="EU122" s="172">
        <f ca="1">(VLOOKUP(EU$72,INDIRECT($C$5&amp;"生成成长"),2))/((VLOOKUP($B122,INDIRECT($B$5&amp;"生成成长"),4))/(VLOOKUP(EU$72,INDIRECT($C$5&amp;"生成成长"),5))*(VLOOKUP($B$5,标准坦克设计!$B$24:$U$30,MATCH("对"&amp;LEFT($C$5,2)&amp;"输出",标准坦克设计!$B$23:$U$23,0)))*(VLOOKUP($B122,INDIRECT($B$5&amp;"生成成长"),3))*(VLOOKUP($B$5,标准坦克设计!$B$14:$K$20,9)/30))</f>
        <v>32.73305428347372</v>
      </c>
      <c r="EV122" s="172">
        <f ca="1">(VLOOKUP(EV$72,INDIRECT($C$5&amp;"生成成长"),2))/((VLOOKUP($B122,INDIRECT($B$5&amp;"生成成长"),4))/(VLOOKUP(EV$72,INDIRECT($C$5&amp;"生成成长"),5))*(VLOOKUP($B$5,标准坦克设计!$B$24:$U$30,MATCH("对"&amp;LEFT($C$5,2)&amp;"输出",标准坦克设计!$B$23:$U$23,0)))*(VLOOKUP($B122,INDIRECT($B$5&amp;"生成成长"),3))*(VLOOKUP($B$5,标准坦克设计!$B$14:$K$20,9)/30))</f>
        <v>35.245695495302108</v>
      </c>
      <c r="EW122" s="172">
        <f ca="1">(VLOOKUP(EW$72,INDIRECT($C$5&amp;"生成成长"),2))/((VLOOKUP($B122,INDIRECT($B$5&amp;"生成成长"),4))/(VLOOKUP(EW$72,INDIRECT($C$5&amp;"生成成长"),5))*(VLOOKUP($B$5,标准坦克设计!$B$24:$U$30,MATCH("对"&amp;LEFT($C$5,2)&amp;"输出",标准坦克设计!$B$23:$U$23,0)))*(VLOOKUP($B122,INDIRECT($B$5&amp;"生成成长"),3))*(VLOOKUP($B$5,标准坦克设计!$B$14:$K$20,9)/30))</f>
        <v>37.851241088072051</v>
      </c>
      <c r="EX122" s="172">
        <f ca="1">(VLOOKUP(EX$72,INDIRECT($C$5&amp;"生成成长"),2))/((VLOOKUP($B122,INDIRECT($B$5&amp;"生成成长"),4))/(VLOOKUP(EX$72,INDIRECT($C$5&amp;"生成成长"),5))*(VLOOKUP($B$5,标准坦克设计!$B$24:$U$30,MATCH("对"&amp;LEFT($C$5,2)&amp;"输出",标准坦克设计!$B$23:$U$23,0)))*(VLOOKUP($B122,INDIRECT($B$5&amp;"生成成长"),3))*(VLOOKUP($B$5,标准坦克设计!$B$14:$K$20,9)/30))</f>
        <v>40.549691061783541</v>
      </c>
      <c r="EY122" s="172">
        <f ca="1">(VLOOKUP(EY$72,INDIRECT($C$5&amp;"生成成长"),2))/((VLOOKUP($B122,INDIRECT($B$5&amp;"生成成长"),4))/(VLOOKUP(EY$72,INDIRECT($C$5&amp;"生成成长"),5))*(VLOOKUP($B$5,标准坦克设计!$B$24:$U$30,MATCH("对"&amp;LEFT($C$5,2)&amp;"输出",标准坦克设计!$B$23:$U$23,0)))*(VLOOKUP($B122,INDIRECT($B$5&amp;"生成成长"),3))*(VLOOKUP($B$5,标准坦克设计!$B$14:$K$20,9)/30))</f>
        <v>43.341045416436586</v>
      </c>
      <c r="EZ122" s="172">
        <f ca="1">(VLOOKUP(EZ$72,INDIRECT($C$5&amp;"生成成长"),2))/((VLOOKUP($B122,INDIRECT($B$5&amp;"生成成长"),4))/(VLOOKUP(EZ$72,INDIRECT($C$5&amp;"生成成长"),5))*(VLOOKUP($B$5,标准坦克设计!$B$24:$U$30,MATCH("对"&amp;LEFT($C$5,2)&amp;"输出",标准坦克设计!$B$23:$U$23,0)))*(VLOOKUP($B122,INDIRECT($B$5&amp;"生成成长"),3))*(VLOOKUP($B$5,标准坦克设计!$B$14:$K$20,9)/30))</f>
        <v>46.225304152031192</v>
      </c>
      <c r="FA122" s="172">
        <f ca="1">(VLOOKUP(FA$72,INDIRECT($C$5&amp;"生成成长"),2))/((VLOOKUP($B122,INDIRECT($B$5&amp;"生成成长"),4))/(VLOOKUP(FA$72,INDIRECT($C$5&amp;"生成成长"),5))*(VLOOKUP($B$5,标准坦克设计!$B$24:$U$30,MATCH("对"&amp;LEFT($C$5,2)&amp;"输出",标准坦克设计!$B$23:$U$23,0)))*(VLOOKUP($B122,INDIRECT($B$5&amp;"生成成长"),3))*(VLOOKUP($B$5,标准坦克设计!$B$14:$K$20,9)/30))</f>
        <v>49.202467268567354</v>
      </c>
      <c r="FB122" s="172">
        <f ca="1">(VLOOKUP(FB$72,INDIRECT($C$5&amp;"生成成长"),2))/((VLOOKUP($B122,INDIRECT($B$5&amp;"生成成长"),4))/(VLOOKUP(FB$72,INDIRECT($C$5&amp;"生成成长"),5))*(VLOOKUP($B$5,标准坦克设计!$B$24:$U$30,MATCH("对"&amp;LEFT($C$5,2)&amp;"输出",标准坦克设计!$B$23:$U$23,0)))*(VLOOKUP($B122,INDIRECT($B$5&amp;"生成成长"),3))*(VLOOKUP($B$5,标准坦克设计!$B$14:$K$20,9)/30))</f>
        <v>52.272534766045048</v>
      </c>
      <c r="FC122" s="172">
        <f ca="1">(VLOOKUP(FC$72,INDIRECT($C$5&amp;"生成成长"),2))/((VLOOKUP($B122,INDIRECT($B$5&amp;"生成成长"),4))/(VLOOKUP(FC$72,INDIRECT($C$5&amp;"生成成长"),5))*(VLOOKUP($B$5,标准坦克设计!$B$24:$U$30,MATCH("对"&amp;LEFT($C$5,2)&amp;"输出",标准坦克设计!$B$23:$U$23,0)))*(VLOOKUP($B122,INDIRECT($B$5&amp;"生成成长"),3))*(VLOOKUP($B$5,标准坦克设计!$B$14:$K$20,9)/30))</f>
        <v>55.435506644464311</v>
      </c>
      <c r="FD122" s="172">
        <f ca="1">(VLOOKUP(FD$72,INDIRECT($C$5&amp;"生成成长"),2))/((VLOOKUP($B122,INDIRECT($B$5&amp;"生成成长"),4))/(VLOOKUP(FD$72,INDIRECT($C$5&amp;"生成成长"),5))*(VLOOKUP($B$5,标准坦克设计!$B$24:$U$30,MATCH("对"&amp;LEFT($C$5,2)&amp;"输出",标准坦克设计!$B$23:$U$23,0)))*(VLOOKUP($B122,INDIRECT($B$5&amp;"生成成长"),3))*(VLOOKUP($B$5,标准坦克设计!$B$14:$K$20,9)/30))</f>
        <v>58.691382903825129</v>
      </c>
      <c r="FE122" s="172">
        <f ca="1">(VLOOKUP(FE$72,INDIRECT($C$5&amp;"生成成长"),2))/((VLOOKUP($B122,INDIRECT($B$5&amp;"生成成长"),4))/(VLOOKUP(FE$72,INDIRECT($C$5&amp;"生成成长"),5))*(VLOOKUP($B$5,标准坦克设计!$B$24:$U$30,MATCH("对"&amp;LEFT($C$5,2)&amp;"输出",标准坦克设计!$B$23:$U$23,0)))*(VLOOKUP($B122,INDIRECT($B$5&amp;"生成成长"),3))*(VLOOKUP($B$5,标准坦克设计!$B$14:$K$20,9)/30))</f>
        <v>62.659014213870414</v>
      </c>
      <c r="FF122" s="172">
        <f ca="1">(VLOOKUP(FF$72,INDIRECT($C$5&amp;"生成成长"),2))/((VLOOKUP($B122,INDIRECT($B$5&amp;"生成成长"),4))/(VLOOKUP(FF$72,INDIRECT($C$5&amp;"生成成长"),5))*(VLOOKUP($B$5,标准坦克设计!$B$24:$U$30,MATCH("对"&amp;LEFT($C$5,2)&amp;"输出",标准坦克设计!$B$23:$U$23,0)))*(VLOOKUP($B122,INDIRECT($B$5&amp;"生成成长"),3))*(VLOOKUP($B$5,标准坦克设计!$B$14:$K$20,9)/30))</f>
        <v>66.756404535313408</v>
      </c>
      <c r="FG122" s="172">
        <f ca="1">(VLOOKUP(FG$72,INDIRECT($C$5&amp;"生成成长"),2))/((VLOOKUP($B122,INDIRECT($B$5&amp;"生成成长"),4))/(VLOOKUP(FG$72,INDIRECT($C$5&amp;"生成成长"),5))*(VLOOKUP($B$5,标准坦克设计!$B$24:$U$30,MATCH("对"&amp;LEFT($C$5,2)&amp;"输出",标准坦克设计!$B$23:$U$23,0)))*(VLOOKUP($B122,INDIRECT($B$5&amp;"生成成长"),3))*(VLOOKUP($B$5,标准坦克设计!$B$14:$K$20,9)/30))</f>
        <v>70.98355386815409</v>
      </c>
      <c r="FH122" s="172">
        <f ca="1">(VLOOKUP(FH$72,INDIRECT($C$5&amp;"生成成长"),2))/((VLOOKUP($B122,INDIRECT($B$5&amp;"生成成长"),4))/(VLOOKUP(FH$72,INDIRECT($C$5&amp;"生成成长"),5))*(VLOOKUP($B$5,标准坦克设计!$B$24:$U$30,MATCH("对"&amp;LEFT($C$5,2)&amp;"输出",标准坦克设计!$B$23:$U$23,0)))*(VLOOKUP($B122,INDIRECT($B$5&amp;"生成成长"),3))*(VLOOKUP($B$5,标准坦克设计!$B$14:$K$20,9)/30))</f>
        <v>75.340462212392509</v>
      </c>
      <c r="FI122" s="172">
        <f ca="1">(VLOOKUP(FI$72,INDIRECT($C$5&amp;"生成成长"),2))/((VLOOKUP($B122,INDIRECT($B$5&amp;"生成成长"),4))/(VLOOKUP(FI$72,INDIRECT($C$5&amp;"生成成长"),5))*(VLOOKUP($B$5,标准坦克设计!$B$24:$U$30,MATCH("对"&amp;LEFT($C$5,2)&amp;"输出",标准坦克设计!$B$23:$U$23,0)))*(VLOOKUP($B122,INDIRECT($B$5&amp;"生成成长"),3))*(VLOOKUP($B$5,标准坦克设计!$B$14:$K$20,9)/30))</f>
        <v>79.82712956802861</v>
      </c>
      <c r="FJ122" s="172">
        <f ca="1">(VLOOKUP(FJ$72,INDIRECT($C$5&amp;"生成成长"),2))/((VLOOKUP($B122,INDIRECT($B$5&amp;"生成成长"),4))/(VLOOKUP(FJ$72,INDIRECT($C$5&amp;"生成成长"),5))*(VLOOKUP($B$5,标准坦克设计!$B$24:$U$30,MATCH("对"&amp;LEFT($C$5,2)&amp;"输出",标准坦克设计!$B$23:$U$23,0)))*(VLOOKUP($B122,INDIRECT($B$5&amp;"生成成长"),3))*(VLOOKUP($B$5,标准坦克设计!$B$14:$K$20,9)/30))</f>
        <v>84.44355593506242</v>
      </c>
      <c r="FK122" s="172">
        <f ca="1">(VLOOKUP(FK$72,INDIRECT($C$5&amp;"生成成长"),2))/((VLOOKUP($B122,INDIRECT($B$5&amp;"生成成长"),4))/(VLOOKUP(FK$72,INDIRECT($C$5&amp;"生成成长"),5))*(VLOOKUP($B$5,标准坦克设计!$B$24:$U$30,MATCH("对"&amp;LEFT($C$5,2)&amp;"输出",标准坦克设计!$B$23:$U$23,0)))*(VLOOKUP($B122,INDIRECT($B$5&amp;"生成成长"),3))*(VLOOKUP($B$5,标准坦克设计!$B$14:$K$20,9)/30))</f>
        <v>89.189741313493954</v>
      </c>
    </row>
    <row r="123" spans="1:167" x14ac:dyDescent="0.15">
      <c r="A123" s="170" t="str">
        <f t="shared" si="11"/>
        <v>T2中品质6级</v>
      </c>
      <c r="B123" s="171">
        <v>20206</v>
      </c>
      <c r="C123" s="172">
        <f ca="1">(VLOOKUP(C$72,INDIRECT($C$5&amp;"生成成长"),2))/((VLOOKUP($B123,INDIRECT($B$5&amp;"生成成长"),4))/(VLOOKUP(C$72,INDIRECT($C$5&amp;"生成成长"),5))*(VLOOKUP($B$5,标准坦克设计!$B$24:$U$30,MATCH("对"&amp;LEFT($C$5,2)&amp;"输出",标准坦克设计!$B$23:$U$23,0)))*(VLOOKUP($B123,INDIRECT($B$5&amp;"生成成长"),3))*(VLOOKUP($B$5,标准坦克设计!$B$14:$K$20,9)/30))</f>
        <v>3.4850236401616614</v>
      </c>
      <c r="D123" s="172">
        <f ca="1">(VLOOKUP(D$72,INDIRECT($C$5&amp;"生成成长"),2))/((VLOOKUP($B123,INDIRECT($B$5&amp;"生成成长"),4))/(VLOOKUP(D$72,INDIRECT($C$5&amp;"生成成长"),5))*(VLOOKUP($B$5,标准坦克设计!$B$24:$U$30,MATCH("对"&amp;LEFT($C$5,2)&amp;"输出",标准坦克设计!$B$23:$U$23,0)))*(VLOOKUP($B123,INDIRECT($B$5&amp;"生成成长"),3))*(VLOOKUP($B$5,标准坦克设计!$B$14:$K$20,9)/30))</f>
        <v>3.9157725620856429</v>
      </c>
      <c r="E123" s="172">
        <f ca="1">(VLOOKUP(E$72,INDIRECT($C$5&amp;"生成成长"),2))/((VLOOKUP($B123,INDIRECT($B$5&amp;"生成成长"),4))/(VLOOKUP(E$72,INDIRECT($C$5&amp;"生成成长"),5))*(VLOOKUP($B$5,标准坦克设计!$B$24:$U$30,MATCH("对"&amp;LEFT($C$5,2)&amp;"输出",标准坦克设计!$B$23:$U$23,0)))*(VLOOKUP($B123,INDIRECT($B$5&amp;"生成成长"),3))*(VLOOKUP($B$5,标准坦克设计!$B$14:$K$20,9)/30))</f>
        <v>4.3716136542187884</v>
      </c>
      <c r="F123" s="172">
        <f ca="1">(VLOOKUP(F$72,INDIRECT($C$5&amp;"生成成长"),2))/((VLOOKUP($B123,INDIRECT($B$5&amp;"生成成长"),4))/(VLOOKUP(F$72,INDIRECT($C$5&amp;"生成成长"),5))*(VLOOKUP($B$5,标准坦克设计!$B$24:$U$30,MATCH("对"&amp;LEFT($C$5,2)&amp;"输出",标准坦克设计!$B$23:$U$23,0)))*(VLOOKUP($B123,INDIRECT($B$5&amp;"生成成长"),3))*(VLOOKUP($B$5,标准坦克设计!$B$14:$K$20,9)/30))</f>
        <v>4.8525469165610966</v>
      </c>
      <c r="G123" s="172">
        <f ca="1">(VLOOKUP(G$72,INDIRECT($C$5&amp;"生成成长"),2))/((VLOOKUP($B123,INDIRECT($B$5&amp;"生成成长"),4))/(VLOOKUP(G$72,INDIRECT($C$5&amp;"生成成长"),5))*(VLOOKUP($B$5,标准坦克设计!$B$24:$U$30,MATCH("对"&amp;LEFT($C$5,2)&amp;"输出",标准坦克设计!$B$23:$U$23,0)))*(VLOOKUP($B123,INDIRECT($B$5&amp;"生成成长"),3))*(VLOOKUP($B$5,标准坦克设计!$B$14:$K$20,9)/30))</f>
        <v>5.3585723491125705</v>
      </c>
      <c r="H123" s="172">
        <f ca="1">(VLOOKUP(H$72,INDIRECT($C$5&amp;"生成成长"),2))/((VLOOKUP($B123,INDIRECT($B$5&amp;"生成成长"),4))/(VLOOKUP(H$72,INDIRECT($C$5&amp;"生成成长"),5))*(VLOOKUP($B$5,标准坦克设计!$B$24:$U$30,MATCH("对"&amp;LEFT($C$5,2)&amp;"输出",标准坦克设计!$B$23:$U$23,0)))*(VLOOKUP($B123,INDIRECT($B$5&amp;"生成成长"),3))*(VLOOKUP($B$5,标准坦克设计!$B$14:$K$20,9)/30))</f>
        <v>4.689447810201532</v>
      </c>
      <c r="I123" s="172">
        <f ca="1">(VLOOKUP(I$72,INDIRECT($C$5&amp;"生成成长"),2))/((VLOOKUP($B123,INDIRECT($B$5&amp;"生成成长"),4))/(VLOOKUP(I$72,INDIRECT($C$5&amp;"生成成长"),5))*(VLOOKUP($B$5,标准坦克设计!$B$24:$U$30,MATCH("对"&amp;LEFT($C$5,2)&amp;"输出",标准坦克设计!$B$23:$U$23,0)))*(VLOOKUP($B123,INDIRECT($B$5&amp;"生成成长"),3))*(VLOOKUP($B$5,标准坦克设计!$B$14:$K$20,9)/30))</f>
        <v>5.3585723491125705</v>
      </c>
      <c r="J123" s="172">
        <f ca="1">(VLOOKUP(J$72,INDIRECT($C$5&amp;"生成成长"),2))/((VLOOKUP($B123,INDIRECT($B$5&amp;"生成成长"),4))/(VLOOKUP(J$72,INDIRECT($C$5&amp;"生成成长"),5))*(VLOOKUP($B$5,标准坦克设计!$B$24:$U$30,MATCH("对"&amp;LEFT($C$5,2)&amp;"输出",标准坦克设计!$B$23:$U$23,0)))*(VLOOKUP($B123,INDIRECT($B$5&amp;"生成成长"),3))*(VLOOKUP($B$5,标准坦克设计!$B$14:$K$20,9)/30))</f>
        <v>6.0723051906176782</v>
      </c>
      <c r="K123" s="172">
        <f ca="1">(VLOOKUP(K$72,INDIRECT($C$5&amp;"生成成长"),2))/((VLOOKUP($B123,INDIRECT($B$5&amp;"生成成长"),4))/(VLOOKUP(K$72,INDIRECT($C$5&amp;"生成成长"),5))*(VLOOKUP($B$5,标准坦克设计!$B$24:$U$30,MATCH("对"&amp;LEFT($C$5,2)&amp;"输出",标准坦克设计!$B$23:$U$23,0)))*(VLOOKUP($B123,INDIRECT($B$5&amp;"生成成长"),3))*(VLOOKUP($B$5,标准坦克设计!$B$14:$K$20,9)/30))</f>
        <v>6.8306463347168567</v>
      </c>
      <c r="L123" s="172">
        <f ca="1">(VLOOKUP(L$72,INDIRECT($C$5&amp;"生成成长"),2))/((VLOOKUP($B123,INDIRECT($B$5&amp;"生成成长"),4))/(VLOOKUP(L$72,INDIRECT($C$5&amp;"生成成长"),5))*(VLOOKUP($B$5,标准坦克设计!$B$24:$U$30,MATCH("对"&amp;LEFT($C$5,2)&amp;"输出",标准坦克设计!$B$23:$U$23,0)))*(VLOOKUP($B123,INDIRECT($B$5&amp;"生成成长"),3))*(VLOOKUP($B$5,标准坦克设计!$B$14:$K$20,9)/30))</f>
        <v>7.6335957814101034</v>
      </c>
      <c r="M123" s="172">
        <f ca="1">(VLOOKUP(M$72,INDIRECT($C$5&amp;"生成成长"),2))/((VLOOKUP($B123,INDIRECT($B$5&amp;"生成成长"),4))/(VLOOKUP(M$72,INDIRECT($C$5&amp;"生成成长"),5))*(VLOOKUP($B$5,标准坦克设计!$B$24:$U$30,MATCH("对"&amp;LEFT($C$5,2)&amp;"输出",标准坦克设计!$B$23:$U$23,0)))*(VLOOKUP($B123,INDIRECT($B$5&amp;"生成成长"),3))*(VLOOKUP($B$5,标准坦克设计!$B$14:$K$20,9)/30))</f>
        <v>8.4811535306974175</v>
      </c>
      <c r="N123" s="172">
        <f ca="1">(VLOOKUP(N$72,INDIRECT($C$5&amp;"生成成长"),2))/((VLOOKUP($B123,INDIRECT($B$5&amp;"生成成长"),4))/(VLOOKUP(N$72,INDIRECT($C$5&amp;"生成成长"),5))*(VLOOKUP($B$5,标准坦克设计!$B$24:$U$30,MATCH("对"&amp;LEFT($C$5,2)&amp;"输出",标准坦克设计!$B$23:$U$23,0)))*(VLOOKUP($B123,INDIRECT($B$5&amp;"生成成长"),3))*(VLOOKUP($B$5,标准坦克设计!$B$14:$K$20,9)/30))</f>
        <v>9.3733195825788052</v>
      </c>
      <c r="O123" s="172">
        <f ca="1">(VLOOKUP(O$72,INDIRECT($C$5&amp;"生成成长"),2))/((VLOOKUP($B123,INDIRECT($B$5&amp;"生成成长"),4))/(VLOOKUP(O$72,INDIRECT($C$5&amp;"生成成长"),5))*(VLOOKUP($B$5,标准坦克设计!$B$24:$U$30,MATCH("对"&amp;LEFT($C$5,2)&amp;"输出",标准坦克设计!$B$23:$U$23,0)))*(VLOOKUP($B123,INDIRECT($B$5&amp;"生成成长"),3))*(VLOOKUP($B$5,标准坦克设计!$B$14:$K$20,9)/30))</f>
        <v>7.1265248417665825</v>
      </c>
      <c r="P123" s="172">
        <f ca="1">(VLOOKUP(P$72,INDIRECT($C$5&amp;"生成成长"),2))/((VLOOKUP($B123,INDIRECT($B$5&amp;"生成成长"),4))/(VLOOKUP(P$72,INDIRECT($C$5&amp;"生成成长"),5))*(VLOOKUP($B$5,标准坦克设计!$B$24:$U$30,MATCH("对"&amp;LEFT($C$5,2)&amp;"输出",标准坦克设计!$B$23:$U$23,0)))*(VLOOKUP($B123,INDIRECT($B$5&amp;"生成成长"),3))*(VLOOKUP($B$5,标准坦克设计!$B$14:$K$20,9)/30))</f>
        <v>8.0517986182295029</v>
      </c>
      <c r="Q123" s="172">
        <f ca="1">(VLOOKUP(Q$72,INDIRECT($C$5&amp;"生成成长"),2))/((VLOOKUP($B123,INDIRECT($B$5&amp;"生成成长"),4))/(VLOOKUP(Q$72,INDIRECT($C$5&amp;"生成成长"),5))*(VLOOKUP($B$5,标准坦克设计!$B$24:$U$30,MATCH("对"&amp;LEFT($C$5,2)&amp;"输出",标准坦克设计!$B$23:$U$23,0)))*(VLOOKUP($B123,INDIRECT($B$5&amp;"生成成长"),3))*(VLOOKUP($B$5,标准坦克设计!$B$14:$K$20,9)/30))</f>
        <v>9.033529777663043</v>
      </c>
      <c r="R123" s="172">
        <f ca="1">(VLOOKUP(R$72,INDIRECT($C$5&amp;"生成成长"),2))/((VLOOKUP($B123,INDIRECT($B$5&amp;"生成成长"),4))/(VLOOKUP(R$72,INDIRECT($C$5&amp;"生成成长"),5))*(VLOOKUP($B$5,标准坦克设计!$B$24:$U$30,MATCH("对"&amp;LEFT($C$5,2)&amp;"输出",标准坦克设计!$B$23:$U$23,0)))*(VLOOKUP($B123,INDIRECT($B$5&amp;"生成成长"),3))*(VLOOKUP($B$5,标准坦克设计!$B$14:$K$20,9)/30))</f>
        <v>10.071718320067202</v>
      </c>
      <c r="S123" s="172">
        <f ca="1">(VLOOKUP(S$72,INDIRECT($C$5&amp;"生成成长"),2))/((VLOOKUP($B123,INDIRECT($B$5&amp;"生成成长"),4))/(VLOOKUP(S$72,INDIRECT($C$5&amp;"生成成长"),5))*(VLOOKUP($B$5,标准坦克设计!$B$24:$U$30,MATCH("对"&amp;LEFT($C$5,2)&amp;"输出",标准坦克设计!$B$23:$U$23,0)))*(VLOOKUP($B123,INDIRECT($B$5&amp;"生成成长"),3))*(VLOOKUP($B$5,标准坦克设计!$B$14:$K$20,9)/30))</f>
        <v>11.166364245441981</v>
      </c>
      <c r="T123" s="172">
        <f ca="1">(VLOOKUP(T$72,INDIRECT($C$5&amp;"生成成长"),2))/((VLOOKUP($B123,INDIRECT($B$5&amp;"生成成长"),4))/(VLOOKUP(T$72,INDIRECT($C$5&amp;"生成成长"),5))*(VLOOKUP($B$5,标准坦克设计!$B$24:$U$30,MATCH("对"&amp;LEFT($C$5,2)&amp;"输出",标准坦克设计!$B$23:$U$23,0)))*(VLOOKUP($B123,INDIRECT($B$5&amp;"生成成长"),3))*(VLOOKUP($B$5,标准坦克设计!$B$14:$K$20,9)/30))</f>
        <v>12.317467553787374</v>
      </c>
      <c r="U123" s="172">
        <f ca="1">(VLOOKUP(U$72,INDIRECT($C$5&amp;"生成成长"),2))/((VLOOKUP($B123,INDIRECT($B$5&amp;"生成成长"),4))/(VLOOKUP(U$72,INDIRECT($C$5&amp;"生成成长"),5))*(VLOOKUP($B$5,标准坦克设计!$B$24:$U$30,MATCH("对"&amp;LEFT($C$5,2)&amp;"输出",标准坦克设计!$B$23:$U$23,0)))*(VLOOKUP($B123,INDIRECT($B$5&amp;"生成成长"),3))*(VLOOKUP($B$5,标准坦克设计!$B$14:$K$20,9)/30))</f>
        <v>13.525028245103391</v>
      </c>
      <c r="V123" s="172">
        <f ca="1">(VLOOKUP(V$72,INDIRECT($C$5&amp;"生成成长"),2))/((VLOOKUP($B123,INDIRECT($B$5&amp;"生成成长"),4))/(VLOOKUP(V$72,INDIRECT($C$5&amp;"生成成长"),5))*(VLOOKUP($B$5,标准坦克设计!$B$24:$U$30,MATCH("对"&amp;LEFT($C$5,2)&amp;"输出",标准坦克设计!$B$23:$U$23,0)))*(VLOOKUP($B123,INDIRECT($B$5&amp;"生成成长"),3))*(VLOOKUP($B$5,标准坦克设计!$B$14:$K$20,9)/30))</f>
        <v>14.789046319390028</v>
      </c>
      <c r="W123" s="172">
        <f ca="1">(VLOOKUP(W$72,INDIRECT($C$5&amp;"生成成长"),2))/((VLOOKUP($B123,INDIRECT($B$5&amp;"生成成长"),4))/(VLOOKUP(W$72,INDIRECT($C$5&amp;"生成成长"),5))*(VLOOKUP($B$5,标准坦克设计!$B$24:$U$30,MATCH("对"&amp;LEFT($C$5,2)&amp;"输出",标准坦克设计!$B$23:$U$23,0)))*(VLOOKUP($B123,INDIRECT($B$5&amp;"生成成长"),3))*(VLOOKUP($B$5,标准坦克设计!$B$14:$K$20,9)/30))</f>
        <v>16.109521776647277</v>
      </c>
      <c r="X123" s="172">
        <f ca="1">(VLOOKUP(X$72,INDIRECT($C$5&amp;"生成成长"),2))/((VLOOKUP($B123,INDIRECT($B$5&amp;"生成成长"),4))/(VLOOKUP(X$72,INDIRECT($C$5&amp;"生成成长"),5))*(VLOOKUP($B$5,标准坦克设计!$B$24:$U$30,MATCH("对"&amp;LEFT($C$5,2)&amp;"输出",标准坦克设计!$B$23:$U$23,0)))*(VLOOKUP($B123,INDIRECT($B$5&amp;"生成成长"),3))*(VLOOKUP($B$5,标准坦克设计!$B$14:$K$20,9)/30))</f>
        <v>11.670995668537389</v>
      </c>
      <c r="Y123" s="172">
        <f ca="1">(VLOOKUP(Y$72,INDIRECT($C$5&amp;"生成成长"),2))/((VLOOKUP($B123,INDIRECT($B$5&amp;"生成成长"),4))/(VLOOKUP(Y$72,INDIRECT($C$5&amp;"生成成长"),5))*(VLOOKUP($B$5,标准坦克设计!$B$24:$U$30,MATCH("对"&amp;LEFT($C$5,2)&amp;"输出",标准坦克设计!$B$23:$U$23,0)))*(VLOOKUP($B123,INDIRECT($B$5&amp;"生成成长"),3))*(VLOOKUP($B$5,标准坦克设计!$B$14:$K$20,9)/30))</f>
        <v>12.981364557238173</v>
      </c>
      <c r="Z123" s="172">
        <f ca="1">(VLOOKUP(Z$72,INDIRECT($C$5&amp;"生成成长"),2))/((VLOOKUP($B123,INDIRECT($B$5&amp;"生成成长"),4))/(VLOOKUP(Z$72,INDIRECT($C$5&amp;"生成成长"),5))*(VLOOKUP($B$5,标准坦克设计!$B$24:$U$30,MATCH("对"&amp;LEFT($C$5,2)&amp;"输出",标准坦克设计!$B$23:$U$23,0)))*(VLOOKUP($B123,INDIRECT($B$5&amp;"生成成长"),3))*(VLOOKUP($B$5,标准坦克设计!$B$14:$K$20,9)/30))</f>
        <v>14.36143391874219</v>
      </c>
      <c r="AA123" s="172">
        <f ca="1">(VLOOKUP(AA$72,INDIRECT($C$5&amp;"生成成长"),2))/((VLOOKUP($B123,INDIRECT($B$5&amp;"生成成长"),4))/(VLOOKUP(AA$72,INDIRECT($C$5&amp;"生成成长"),5))*(VLOOKUP($B$5,标准坦克设计!$B$24:$U$30,MATCH("对"&amp;LEFT($C$5,2)&amp;"输出",标准坦克设计!$B$23:$U$23,0)))*(VLOOKUP($B123,INDIRECT($B$5&amp;"生成成长"),3))*(VLOOKUP($B$5,标准坦克设计!$B$14:$K$20,9)/30))</f>
        <v>15.81120375304944</v>
      </c>
      <c r="AB123" s="172">
        <f ca="1">(VLOOKUP(AB$72,INDIRECT($C$5&amp;"生成成长"),2))/((VLOOKUP($B123,INDIRECT($B$5&amp;"生成成长"),4))/(VLOOKUP(AB$72,INDIRECT($C$5&amp;"生成成长"),5))*(VLOOKUP($B$5,标准坦克设计!$B$24:$U$30,MATCH("对"&amp;LEFT($C$5,2)&amp;"输出",标准坦克设计!$B$23:$U$23,0)))*(VLOOKUP($B123,INDIRECT($B$5&amp;"生成成长"),3))*(VLOOKUP($B$5,标准坦克设计!$B$14:$K$20,9)/30))</f>
        <v>17.330674060159925</v>
      </c>
      <c r="AC123" s="172">
        <f ca="1">(VLOOKUP(AC$72,INDIRECT($C$5&amp;"生成成长"),2))/((VLOOKUP($B123,INDIRECT($B$5&amp;"生成成长"),4))/(VLOOKUP(AC$72,INDIRECT($C$5&amp;"生成成长"),5))*(VLOOKUP($B$5,标准坦克设计!$B$24:$U$30,MATCH("对"&amp;LEFT($C$5,2)&amp;"输出",标准坦克设计!$B$23:$U$23,0)))*(VLOOKUP($B123,INDIRECT($B$5&amp;"生成成长"),3))*(VLOOKUP($B$5,标准坦克设计!$B$14:$K$20,9)/30))</f>
        <v>18.919844840073644</v>
      </c>
      <c r="AD123" s="172">
        <f ca="1">(VLOOKUP(AD$72,INDIRECT($C$5&amp;"生成成长"),2))/((VLOOKUP($B123,INDIRECT($B$5&amp;"生成成长"),4))/(VLOOKUP(AD$72,INDIRECT($C$5&amp;"生成成长"),5))*(VLOOKUP($B$5,标准坦克设计!$B$24:$U$30,MATCH("对"&amp;LEFT($C$5,2)&amp;"输出",标准坦克设计!$B$23:$U$23,0)))*(VLOOKUP($B123,INDIRECT($B$5&amp;"生成成长"),3))*(VLOOKUP($B$5,标准坦克设计!$B$14:$K$20,9)/30))</f>
        <v>20.578716092790593</v>
      </c>
      <c r="AE123" s="172">
        <f ca="1">(VLOOKUP(AE$72,INDIRECT($C$5&amp;"生成成长"),2))/((VLOOKUP($B123,INDIRECT($B$5&amp;"生成成长"),4))/(VLOOKUP(AE$72,INDIRECT($C$5&amp;"生成成长"),5))*(VLOOKUP($B$5,标准坦克设计!$B$24:$U$30,MATCH("对"&amp;LEFT($C$5,2)&amp;"输出",标准坦克设计!$B$23:$U$23,0)))*(VLOOKUP($B123,INDIRECT($B$5&amp;"生成成长"),3))*(VLOOKUP($B$5,标准坦克设计!$B$14:$K$20,9)/30))</f>
        <v>22.30728781831078</v>
      </c>
      <c r="AF123" s="172">
        <f ca="1">(VLOOKUP(AF$72,INDIRECT($C$5&amp;"生成成长"),2))/((VLOOKUP($B123,INDIRECT($B$5&amp;"生成成长"),4))/(VLOOKUP(AF$72,INDIRECT($C$5&amp;"生成成长"),5))*(VLOOKUP($B$5,标准坦克设计!$B$24:$U$30,MATCH("对"&amp;LEFT($C$5,2)&amp;"输出",标准坦克设计!$B$23:$U$23,0)))*(VLOOKUP($B123,INDIRECT($B$5&amp;"生成成长"),3))*(VLOOKUP($B$5,标准坦克设计!$B$14:$K$20,9)/30))</f>
        <v>24.105560016634193</v>
      </c>
      <c r="AG123" s="172">
        <f ca="1">(VLOOKUP(AG$72,INDIRECT($C$5&amp;"生成成长"),2))/((VLOOKUP($B123,INDIRECT($B$5&amp;"生成成长"),4))/(VLOOKUP(AG$72,INDIRECT($C$5&amp;"生成成长"),5))*(VLOOKUP($B$5,标准坦克设计!$B$24:$U$30,MATCH("对"&amp;LEFT($C$5,2)&amp;"输出",标准坦克设计!$B$23:$U$23,0)))*(VLOOKUP($B123,INDIRECT($B$5&amp;"生成成长"),3))*(VLOOKUP($B$5,标准坦克设计!$B$14:$K$20,9)/30))</f>
        <v>25.973532687760841</v>
      </c>
      <c r="AH123" s="172">
        <f ca="1">(VLOOKUP(AH$72,INDIRECT($C$5&amp;"生成成长"),2))/((VLOOKUP($B123,INDIRECT($B$5&amp;"生成成长"),4))/(VLOOKUP(AH$72,INDIRECT($C$5&amp;"生成成长"),5))*(VLOOKUP($B$5,标准坦克设计!$B$24:$U$30,MATCH("对"&amp;LEFT($C$5,2)&amp;"输出",标准坦克设计!$B$23:$U$23,0)))*(VLOOKUP($B123,INDIRECT($B$5&amp;"生成成长"),3))*(VLOOKUP($B$5,标准坦克设计!$B$14:$K$20,9)/30))</f>
        <v>27.911205831690729</v>
      </c>
      <c r="AI123" s="172">
        <f ca="1">(VLOOKUP(AI$72,INDIRECT($C$5&amp;"生成成长"),2))/((VLOOKUP($B123,INDIRECT($B$5&amp;"生成成长"),4))/(VLOOKUP(AI$72,INDIRECT($C$5&amp;"生成成长"),5))*(VLOOKUP($B$5,标准坦克设计!$B$24:$U$30,MATCH("对"&amp;LEFT($C$5,2)&amp;"输出",标准坦克设计!$B$23:$U$23,0)))*(VLOOKUP($B123,INDIRECT($B$5&amp;"生成成长"),3))*(VLOOKUP($B$5,标准坦克设计!$B$14:$K$20,9)/30))</f>
        <v>19.740567907331712</v>
      </c>
      <c r="AJ123" s="172">
        <f ca="1">(VLOOKUP(AJ$72,INDIRECT($C$5&amp;"生成成长"),2))/((VLOOKUP($B123,INDIRECT($B$5&amp;"生成成长"),4))/(VLOOKUP(AJ$72,INDIRECT($C$5&amp;"生成成长"),5))*(VLOOKUP($B$5,标准坦克设计!$B$24:$U$30,MATCH("对"&amp;LEFT($C$5,2)&amp;"输出",标准坦克设计!$B$23:$U$23,0)))*(VLOOKUP($B123,INDIRECT($B$5&amp;"生成成长"),3))*(VLOOKUP($B$5,标准坦克设计!$B$14:$K$20,9)/30))</f>
        <v>21.607495071366316</v>
      </c>
      <c r="AK123" s="172">
        <f ca="1">(VLOOKUP(AK$72,INDIRECT($C$5&amp;"生成成长"),2))/((VLOOKUP($B123,INDIRECT($B$5&amp;"生成成长"),4))/(VLOOKUP(AK$72,INDIRECT($C$5&amp;"生成成长"),5))*(VLOOKUP($B$5,标准坦克设计!$B$24:$U$30,MATCH("对"&amp;LEFT($C$5,2)&amp;"输出",标准坦克设计!$B$23:$U$23,0)))*(VLOOKUP($B123,INDIRECT($B$5&amp;"生成成长"),3))*(VLOOKUP($B$5,标准坦克设计!$B$14:$K$20,9)/30))</f>
        <v>23.558759807492834</v>
      </c>
      <c r="AL123" s="172">
        <f ca="1">(VLOOKUP(AL$72,INDIRECT($C$5&amp;"生成成长"),2))/((VLOOKUP($B123,INDIRECT($B$5&amp;"生成成长"),4))/(VLOOKUP(AL$72,INDIRECT($C$5&amp;"生成成长"),5))*(VLOOKUP($B$5,标准坦克设计!$B$24:$U$30,MATCH("对"&amp;LEFT($C$5,2)&amp;"输出",标准坦克设计!$B$23:$U$23,0)))*(VLOOKUP($B123,INDIRECT($B$5&amp;"生成成长"),3))*(VLOOKUP($B$5,标准坦克设计!$B$14:$K$20,9)/30))</f>
        <v>25.59436211571126</v>
      </c>
      <c r="AM123" s="172">
        <f ca="1">(VLOOKUP(AM$72,INDIRECT($C$5&amp;"生成成长"),2))/((VLOOKUP($B123,INDIRECT($B$5&amp;"生成成长"),4))/(VLOOKUP(AM$72,INDIRECT($C$5&amp;"生成成长"),5))*(VLOOKUP($B$5,标准坦克设计!$B$24:$U$30,MATCH("对"&amp;LEFT($C$5,2)&amp;"输出",标准坦克设计!$B$23:$U$23,0)))*(VLOOKUP($B123,INDIRECT($B$5&amp;"生成成长"),3))*(VLOOKUP($B$5,标准坦克设计!$B$14:$K$20,9)/30))</f>
        <v>27.714301996021593</v>
      </c>
      <c r="AN123" s="172">
        <f ca="1">(VLOOKUP(AN$72,INDIRECT($C$5&amp;"生成成长"),2))/((VLOOKUP($B123,INDIRECT($B$5&amp;"生成成长"),4))/(VLOOKUP(AN$72,INDIRECT($C$5&amp;"生成成长"),5))*(VLOOKUP($B$5,标准坦克设计!$B$24:$U$30,MATCH("对"&amp;LEFT($C$5,2)&amp;"输出",标准坦克设计!$B$23:$U$23,0)))*(VLOOKUP($B123,INDIRECT($B$5&amp;"生成成长"),3))*(VLOOKUP($B$5,标准坦克设计!$B$14:$K$20,9)/30))</f>
        <v>29.918579448423845</v>
      </c>
      <c r="AO123" s="172">
        <f ca="1">(VLOOKUP(AO$72,INDIRECT($C$5&amp;"生成成长"),2))/((VLOOKUP($B123,INDIRECT($B$5&amp;"生成成长"),4))/(VLOOKUP(AO$72,INDIRECT($C$5&amp;"生成成长"),5))*(VLOOKUP($B$5,标准坦克设计!$B$24:$U$30,MATCH("对"&amp;LEFT($C$5,2)&amp;"输出",标准坦克设计!$B$23:$U$23,0)))*(VLOOKUP($B123,INDIRECT($B$5&amp;"生成成长"),3))*(VLOOKUP($B$5,标准坦克设计!$B$14:$K$20,9)/30))</f>
        <v>32.207194472918012</v>
      </c>
      <c r="AP123" s="172">
        <f ca="1">(VLOOKUP(AP$72,INDIRECT($C$5&amp;"生成成长"),2))/((VLOOKUP($B123,INDIRECT($B$5&amp;"生成成长"),4))/(VLOOKUP(AP$72,INDIRECT($C$5&amp;"生成成长"),5))*(VLOOKUP($B$5,标准坦克设计!$B$24:$U$30,MATCH("对"&amp;LEFT($C$5,2)&amp;"输出",标准坦克设计!$B$23:$U$23,0)))*(VLOOKUP($B123,INDIRECT($B$5&amp;"生成成长"),3))*(VLOOKUP($B$5,标准坦克设计!$B$14:$K$20,9)/30))</f>
        <v>34.580147069504086</v>
      </c>
      <c r="AQ123" s="172">
        <f ca="1">(VLOOKUP(AQ$72,INDIRECT($C$5&amp;"生成成长"),2))/((VLOOKUP($B123,INDIRECT($B$5&amp;"生成成长"),4))/(VLOOKUP(AQ$72,INDIRECT($C$5&amp;"生成成长"),5))*(VLOOKUP($B$5,标准坦克设计!$B$24:$U$30,MATCH("对"&amp;LEFT($C$5,2)&amp;"输出",标准坦克设计!$B$23:$U$23,0)))*(VLOOKUP($B123,INDIRECT($B$5&amp;"生成成长"),3))*(VLOOKUP($B$5,标准坦克设计!$B$14:$K$20,9)/30))</f>
        <v>37.037437238182072</v>
      </c>
      <c r="AR123" s="172">
        <f ca="1">(VLOOKUP(AR$72,INDIRECT($C$5&amp;"生成成长"),2))/((VLOOKUP($B123,INDIRECT($B$5&amp;"生成成长"),4))/(VLOOKUP(AR$72,INDIRECT($C$5&amp;"生成成长"),5))*(VLOOKUP($B$5,标准坦克设计!$B$24:$U$30,MATCH("对"&amp;LEFT($C$5,2)&amp;"输出",标准坦克设计!$B$23:$U$23,0)))*(VLOOKUP($B123,INDIRECT($B$5&amp;"生成成长"),3))*(VLOOKUP($B$5,标准坦克设计!$B$14:$K$20,9)/30))</f>
        <v>39.579064978951969</v>
      </c>
      <c r="AS123" s="172">
        <f ca="1">(VLOOKUP(AS$72,INDIRECT($C$5&amp;"生成成长"),2))/((VLOOKUP($B123,INDIRECT($B$5&amp;"生成成长"),4))/(VLOOKUP(AS$72,INDIRECT($C$5&amp;"生成成长"),5))*(VLOOKUP($B$5,标准坦克设计!$B$24:$U$30,MATCH("对"&amp;LEFT($C$5,2)&amp;"输出",标准坦克设计!$B$23:$U$23,0)))*(VLOOKUP($B123,INDIRECT($B$5&amp;"生成成长"),3))*(VLOOKUP($B$5,标准坦克设计!$B$14:$K$20,9)/30))</f>
        <v>42.205030291813785</v>
      </c>
      <c r="AT123" s="172">
        <f ca="1">(VLOOKUP(AT$72,INDIRECT($C$5&amp;"生成成长"),2))/((VLOOKUP($B123,INDIRECT($B$5&amp;"生成成长"),4))/(VLOOKUP(AT$72,INDIRECT($C$5&amp;"生成成长"),5))*(VLOOKUP($B$5,标准坦克设计!$B$24:$U$30,MATCH("对"&amp;LEFT($C$5,2)&amp;"输出",标准坦克设计!$B$23:$U$23,0)))*(VLOOKUP($B123,INDIRECT($B$5&amp;"生成成长"),3))*(VLOOKUP($B$5,标准坦克设计!$B$14:$K$20,9)/30))</f>
        <v>44.915333176767504</v>
      </c>
      <c r="AU123" s="172">
        <f ca="1">(VLOOKUP(AU$72,INDIRECT($C$5&amp;"生成成长"),2))/((VLOOKUP($B123,INDIRECT($B$5&amp;"生成成长"),4))/(VLOOKUP(AU$72,INDIRECT($C$5&amp;"生成成长"),5))*(VLOOKUP($B$5,标准坦克设计!$B$24:$U$30,MATCH("对"&amp;LEFT($C$5,2)&amp;"输出",标准坦克设计!$B$23:$U$23,0)))*(VLOOKUP($B123,INDIRECT($B$5&amp;"生成成长"),3))*(VLOOKUP($B$5,标准坦克设计!$B$14:$K$20,9)/30))</f>
        <v>47.709973633813142</v>
      </c>
      <c r="AV123" s="172">
        <f ca="1">(VLOOKUP(AV$72,INDIRECT($C$5&amp;"生成成长"),2))/((VLOOKUP($B123,INDIRECT($B$5&amp;"生成成长"),4))/(VLOOKUP(AV$72,INDIRECT($C$5&amp;"生成成长"),5))*(VLOOKUP($B$5,标准坦克设计!$B$24:$U$30,MATCH("对"&amp;LEFT($C$5,2)&amp;"输出",标准坦克设计!$B$23:$U$23,0)))*(VLOOKUP($B123,INDIRECT($B$5&amp;"生成成长"),3))*(VLOOKUP($B$5,标准坦克设计!$B$14:$K$20,9)/30))</f>
        <v>4.8525469165610966</v>
      </c>
      <c r="AW123" s="172">
        <f ca="1">(VLOOKUP(AW$72,INDIRECT($C$5&amp;"生成成长"),2))/((VLOOKUP($B123,INDIRECT($B$5&amp;"生成成长"),4))/(VLOOKUP(AW$72,INDIRECT($C$5&amp;"生成成长"),5))*(VLOOKUP($B$5,标准坦克设计!$B$24:$U$30,MATCH("对"&amp;LEFT($C$5,2)&amp;"输出",标准坦克设计!$B$23:$U$23,0)))*(VLOOKUP($B123,INDIRECT($B$5&amp;"生成成长"),3))*(VLOOKUP($B$5,标准坦克设计!$B$14:$K$20,9)/30))</f>
        <v>5.5328235311206528</v>
      </c>
      <c r="AX123" s="172">
        <f ca="1">(VLOOKUP(AX$72,INDIRECT($C$5&amp;"生成成长"),2))/((VLOOKUP($B123,INDIRECT($B$5&amp;"生成成长"),4))/(VLOOKUP(AX$72,INDIRECT($C$5&amp;"生成成长"),5))*(VLOOKUP($B$5,标准坦克设计!$B$24:$U$30,MATCH("对"&amp;LEFT($C$5,2)&amp;"输出",标准坦克设计!$B$23:$U$23,0)))*(VLOOKUP($B123,INDIRECT($B$5&amp;"生成成长"),3))*(VLOOKUP($B$5,标准坦克设计!$B$14:$K$20,9)/30))</f>
        <v>6.2577084482742791</v>
      </c>
      <c r="AY123" s="172">
        <f ca="1">(VLOOKUP(AY$72,INDIRECT($C$5&amp;"生成成长"),2))/((VLOOKUP($B123,INDIRECT($B$5&amp;"生成成长"),4))/(VLOOKUP(AY$72,INDIRECT($C$5&amp;"生成成长"),5))*(VLOOKUP($B$5,标准坦克设计!$B$24:$U$30,MATCH("对"&amp;LEFT($C$5,2)&amp;"输出",标准坦克设计!$B$23:$U$23,0)))*(VLOOKUP($B123,INDIRECT($B$5&amp;"生成成长"),3))*(VLOOKUP($B$5,标准坦克设计!$B$14:$K$20,9)/30))</f>
        <v>7.0272016680219735</v>
      </c>
      <c r="AZ123" s="172">
        <f ca="1">(VLOOKUP(AZ$72,INDIRECT($C$5&amp;"生成成长"),2))/((VLOOKUP($B123,INDIRECT($B$5&amp;"生成成长"),4))/(VLOOKUP(AZ$72,INDIRECT($C$5&amp;"生成成长"),5))*(VLOOKUP($B$5,标准坦克设计!$B$24:$U$30,MATCH("对"&amp;LEFT($C$5,2)&amp;"输出",标准坦克设计!$B$23:$U$23,0)))*(VLOOKUP($B123,INDIRECT($B$5&amp;"生成成长"),3))*(VLOOKUP($B$5,标准坦克设计!$B$14:$K$20,9)/30))</f>
        <v>7.8413031903637389</v>
      </c>
      <c r="BA123" s="172">
        <f ca="1">(VLOOKUP(BA$72,INDIRECT($C$5&amp;"生成成长"),2))/((VLOOKUP($B123,INDIRECT($B$5&amp;"生成成长"),4))/(VLOOKUP(BA$72,INDIRECT($C$5&amp;"生成成长"),5))*(VLOOKUP($B$5,标准坦克设计!$B$24:$U$30,MATCH("对"&amp;LEFT($C$5,2)&amp;"输出",标准坦克设计!$B$23:$U$23,0)))*(VLOOKUP($B123,INDIRECT($B$5&amp;"生成成长"),3))*(VLOOKUP($B$5,标准坦克设计!$B$14:$K$20,9)/30))</f>
        <v>8.7000130152995698</v>
      </c>
      <c r="BB123" s="172">
        <f ca="1">(VLOOKUP(BB$72,INDIRECT($C$5&amp;"生成成长"),2))/((VLOOKUP($B123,INDIRECT($B$5&amp;"生成成长"),4))/(VLOOKUP(BB$72,INDIRECT($C$5&amp;"生成成长"),5))*(VLOOKUP($B$5,标准坦克设计!$B$24:$U$30,MATCH("对"&amp;LEFT($C$5,2)&amp;"输出",标准坦克设计!$B$23:$U$23,0)))*(VLOOKUP($B123,INDIRECT($B$5&amp;"生成成长"),3))*(VLOOKUP($B$5,标准坦克设计!$B$14:$K$20,9)/30))</f>
        <v>9.6033311428294734</v>
      </c>
      <c r="BC123" s="172">
        <f ca="1">(VLOOKUP(BC$72,INDIRECT($C$5&amp;"生成成长"),2))/((VLOOKUP($B123,INDIRECT($B$5&amp;"生成成长"),4))/(VLOOKUP(BC$72,INDIRECT($C$5&amp;"生成成长"),5))*(VLOOKUP($B$5,标准坦克设计!$B$24:$U$30,MATCH("对"&amp;LEFT($C$5,2)&amp;"输出",标准坦克设计!$B$23:$U$23,0)))*(VLOOKUP($B123,INDIRECT($B$5&amp;"生成成长"),3))*(VLOOKUP($B$5,标准坦克设计!$B$14:$K$20,9)/30))</f>
        <v>10.551257572953446</v>
      </c>
      <c r="BD123" s="172">
        <f ca="1">(VLOOKUP(BD$72,INDIRECT($C$5&amp;"生成成长"),2))/((VLOOKUP($B123,INDIRECT($B$5&amp;"生成成长"),4))/(VLOOKUP(BD$72,INDIRECT($C$5&amp;"生成成长"),5))*(VLOOKUP($B$5,标准坦克设计!$B$24:$U$30,MATCH("对"&amp;LEFT($C$5,2)&amp;"输出",标准坦克设计!$B$23:$U$23,0)))*(VLOOKUP($B123,INDIRECT($B$5&amp;"生成成长"),3))*(VLOOKUP($B$5,标准坦克设计!$B$14:$K$20,9)/30))</f>
        <v>11.670995668537389</v>
      </c>
      <c r="BE123" s="172">
        <f ca="1">(VLOOKUP(BE$72,INDIRECT($C$5&amp;"生成成长"),2))/((VLOOKUP($B123,INDIRECT($B$5&amp;"生成成长"),4))/(VLOOKUP(BE$72,INDIRECT($C$5&amp;"生成成长"),5))*(VLOOKUP($B$5,标准坦克设计!$B$24:$U$30,MATCH("对"&amp;LEFT($C$5,2)&amp;"输出",标准坦克设计!$B$23:$U$23,0)))*(VLOOKUP($B123,INDIRECT($B$5&amp;"生成成长"),3))*(VLOOKUP($B$5,标准坦克设计!$B$14:$K$20,9)/30))</f>
        <v>12.847191147091948</v>
      </c>
      <c r="BF123" s="172">
        <f ca="1">(VLOOKUP(BF$72,INDIRECT($C$5&amp;"生成成长"),2))/((VLOOKUP($B123,INDIRECT($B$5&amp;"生成成长"),4))/(VLOOKUP(BF$72,INDIRECT($C$5&amp;"生成成长"),5))*(VLOOKUP($B$5,标准坦克设计!$B$24:$U$30,MATCH("对"&amp;LEFT($C$5,2)&amp;"输出",标准坦克设计!$B$23:$U$23,0)))*(VLOOKUP($B123,INDIRECT($B$5&amp;"生成成长"),3))*(VLOOKUP($B$5,标准坦克设计!$B$14:$K$20,9)/30))</f>
        <v>14.079844008617126</v>
      </c>
      <c r="BG123" s="172">
        <f ca="1">(VLOOKUP(BG$72,INDIRECT($C$5&amp;"生成成长"),2))/((VLOOKUP($B123,INDIRECT($B$5&amp;"生成成长"),4))/(VLOOKUP(BG$72,INDIRECT($C$5&amp;"生成成长"),5))*(VLOOKUP($B$5,标准坦克设计!$B$24:$U$30,MATCH("对"&amp;LEFT($C$5,2)&amp;"输出",标准坦克设计!$B$23:$U$23,0)))*(VLOOKUP($B123,INDIRECT($B$5&amp;"生成成长"),3))*(VLOOKUP($B$5,标准坦克设计!$B$14:$K$20,9)/30))</f>
        <v>15.368954253112927</v>
      </c>
      <c r="BH123" s="172">
        <f ca="1">(VLOOKUP(BH$72,INDIRECT($C$5&amp;"生成成长"),2))/((VLOOKUP($B123,INDIRECT($B$5&amp;"生成成长"),4))/(VLOOKUP(BH$72,INDIRECT($C$5&amp;"生成成长"),5))*(VLOOKUP($B$5,标准坦克设计!$B$24:$U$30,MATCH("对"&amp;LEFT($C$5,2)&amp;"输出",标准坦克设计!$B$23:$U$23,0)))*(VLOOKUP($B123,INDIRECT($B$5&amp;"生成成长"),3))*(VLOOKUP($B$5,标准坦克设计!$B$14:$K$20,9)/30))</f>
        <v>7.4286763913685965</v>
      </c>
      <c r="BI123" s="172">
        <f ca="1">(VLOOKUP(BI$72,INDIRECT($C$5&amp;"生成成长"),2))/((VLOOKUP($B123,INDIRECT($B$5&amp;"生成成长"),4))/(VLOOKUP(BI$72,INDIRECT($C$5&amp;"生成成长"),5))*(VLOOKUP($B$5,标准坦克设计!$B$24:$U$30,MATCH("对"&amp;LEFT($C$5,2)&amp;"输出",标准坦克设计!$B$23:$U$23,0)))*(VLOOKUP($B123,INDIRECT($B$5&amp;"生成成长"),3))*(VLOOKUP($B$5,标准坦克设计!$B$14:$K$20,9)/30))</f>
        <v>8.372769295488391</v>
      </c>
      <c r="BJ123" s="172">
        <f ca="1">(VLOOKUP(BJ$72,INDIRECT($C$5&amp;"生成成长"),2))/((VLOOKUP($B123,INDIRECT($B$5&amp;"生成成长"),4))/(VLOOKUP(BJ$72,INDIRECT($C$5&amp;"生成成长"),5))*(VLOOKUP($B$5,标准坦克设计!$B$24:$U$30,MATCH("对"&amp;LEFT($C$5,2)&amp;"输出",标准坦克设计!$B$23:$U$23,0)))*(VLOOKUP($B123,INDIRECT($B$5&amp;"生成成长"),3))*(VLOOKUP($B$5,标准坦克设计!$B$14:$K$20,9)/30))</f>
        <v>9.3733195825788052</v>
      </c>
      <c r="BK123" s="172">
        <f ca="1">(VLOOKUP(BK$72,INDIRECT($C$5&amp;"生成成长"),2))/((VLOOKUP($B123,INDIRECT($B$5&amp;"生成成长"),4))/(VLOOKUP(BK$72,INDIRECT($C$5&amp;"生成成长"),5))*(VLOOKUP($B$5,标准坦克设计!$B$24:$U$30,MATCH("对"&amp;LEFT($C$5,2)&amp;"输出",标准坦克设计!$B$23:$U$23,0)))*(VLOOKUP($B123,INDIRECT($B$5&amp;"生成成长"),3))*(VLOOKUP($B$5,标准坦克设计!$B$14:$K$20,9)/30))</f>
        <v>10.430327252639836</v>
      </c>
      <c r="BL123" s="172">
        <f ca="1">(VLOOKUP(BL$72,INDIRECT($C$5&amp;"生成成长"),2))/((VLOOKUP($B123,INDIRECT($B$5&amp;"生成成长"),4))/(VLOOKUP(BL$72,INDIRECT($C$5&amp;"生成成长"),5))*(VLOOKUP($B$5,标准坦克设计!$B$24:$U$30,MATCH("对"&amp;LEFT($C$5,2)&amp;"输出",标准坦克设计!$B$23:$U$23,0)))*(VLOOKUP($B123,INDIRECT($B$5&amp;"生成成长"),3))*(VLOOKUP($B$5,标准坦克设计!$B$14:$K$20,9)/30))</f>
        <v>11.54379230567149</v>
      </c>
      <c r="BM123" s="172">
        <f ca="1">(VLOOKUP(BM$72,INDIRECT($C$5&amp;"生成成长"),2))/((VLOOKUP($B123,INDIRECT($B$5&amp;"生成成长"),4))/(VLOOKUP(BM$72,INDIRECT($C$5&amp;"生成成长"),5))*(VLOOKUP($B$5,标准坦克设计!$B$24:$U$30,MATCH("对"&amp;LEFT($C$5,2)&amp;"输出",标准坦克设计!$B$23:$U$23,0)))*(VLOOKUP($B123,INDIRECT($B$5&amp;"生成成长"),3))*(VLOOKUP($B$5,标准坦克设计!$B$14:$K$20,9)/30))</f>
        <v>12.713714741673755</v>
      </c>
      <c r="BN123" s="172">
        <f ca="1">(VLOOKUP(BN$72,INDIRECT($C$5&amp;"生成成长"),2))/((VLOOKUP($B123,INDIRECT($B$5&amp;"生成成长"),4))/(VLOOKUP(BN$72,INDIRECT($C$5&amp;"生成成长"),5))*(VLOOKUP($B$5,标准坦克设计!$B$24:$U$30,MATCH("对"&amp;LEFT($C$5,2)&amp;"输出",标准坦克设计!$B$23:$U$23,0)))*(VLOOKUP($B123,INDIRECT($B$5&amp;"生成成长"),3))*(VLOOKUP($B$5,标准坦克设计!$B$14:$K$20,9)/30))</f>
        <v>13.940094560646646</v>
      </c>
      <c r="BO123" s="172">
        <f ca="1">(VLOOKUP(BO$72,INDIRECT($C$5&amp;"生成成长"),2))/((VLOOKUP($B123,INDIRECT($B$5&amp;"生成成长"),4))/(VLOOKUP(BO$72,INDIRECT($C$5&amp;"生成成长"),5))*(VLOOKUP($B$5,标准坦克设计!$B$24:$U$30,MATCH("对"&amp;LEFT($C$5,2)&amp;"输出",标准坦克设计!$B$23:$U$23,0)))*(VLOOKUP($B123,INDIRECT($B$5&amp;"生成成长"),3))*(VLOOKUP($B$5,标准坦克设计!$B$14:$K$20,9)/30))</f>
        <v>15.222931762590155</v>
      </c>
      <c r="BP123" s="172">
        <f ca="1">(VLOOKUP(BP$72,INDIRECT($C$5&amp;"生成成长"),2))/((VLOOKUP($B123,INDIRECT($B$5&amp;"生成成长"),4))/(VLOOKUP(BP$72,INDIRECT($C$5&amp;"生成成长"),5))*(VLOOKUP($B$5,标准坦克设计!$B$24:$U$30,MATCH("对"&amp;LEFT($C$5,2)&amp;"输出",标准坦克设计!$B$23:$U$23,0)))*(VLOOKUP($B123,INDIRECT($B$5&amp;"生成成长"),3))*(VLOOKUP($B$5,标准坦克设计!$B$14:$K$20,9)/30))</f>
        <v>16.562226347504279</v>
      </c>
      <c r="BQ123" s="172">
        <f ca="1">(VLOOKUP(BQ$72,INDIRECT($C$5&amp;"生成成长"),2))/((VLOOKUP($B123,INDIRECT($B$5&amp;"生成成长"),4))/(VLOOKUP(BQ$72,INDIRECT($C$5&amp;"生成成长"),5))*(VLOOKUP($B$5,标准坦克设计!$B$24:$U$30,MATCH("对"&amp;LEFT($C$5,2)&amp;"输出",标准坦克设计!$B$23:$U$23,0)))*(VLOOKUP($B123,INDIRECT($B$5&amp;"生成成长"),3))*(VLOOKUP($B$5,标准坦克设计!$B$14:$K$20,9)/30))</f>
        <v>17.957978315389024</v>
      </c>
      <c r="BR123" s="172">
        <f ca="1">(VLOOKUP(BR$72,INDIRECT($C$5&amp;"生成成长"),2))/((VLOOKUP($B123,INDIRECT($B$5&amp;"生成成长"),4))/(VLOOKUP(BR$72,INDIRECT($C$5&amp;"生成成长"),5))*(VLOOKUP($B$5,标准坦克设计!$B$24:$U$30,MATCH("对"&amp;LEFT($C$5,2)&amp;"输出",标准坦克设计!$B$23:$U$23,0)))*(VLOOKUP($B123,INDIRECT($B$5&amp;"生成成长"),3))*(VLOOKUP($B$5,标准坦克设计!$B$14:$K$20,9)/30))</f>
        <v>19.575029284424037</v>
      </c>
      <c r="BS123" s="172">
        <f ca="1">(VLOOKUP(BS$72,INDIRECT($C$5&amp;"生成成长"),2))/((VLOOKUP($B123,INDIRECT($B$5&amp;"生成成长"),4))/(VLOOKUP(BS$72,INDIRECT($C$5&amp;"生成成长"),5))*(VLOOKUP($B$5,标准坦克设计!$B$24:$U$30,MATCH("对"&amp;LEFT($C$5,2)&amp;"输出",标准坦克设计!$B$23:$U$23,0)))*(VLOOKUP($B123,INDIRECT($B$5&amp;"生成成长"),3))*(VLOOKUP($B$5,标准坦克设计!$B$14:$K$20,9)/30))</f>
        <v>21.261780726262277</v>
      </c>
      <c r="BT123" s="172">
        <f ca="1">(VLOOKUP(BT$72,INDIRECT($C$5&amp;"生成成长"),2))/((VLOOKUP($B123,INDIRECT($B$5&amp;"生成成长"),4))/(VLOOKUP(BT$72,INDIRECT($C$5&amp;"生成成长"),5))*(VLOOKUP($B$5,标准坦克设计!$B$24:$U$30,MATCH("对"&amp;LEFT($C$5,2)&amp;"输出",标准坦克设计!$B$23:$U$23,0)))*(VLOOKUP($B123,INDIRECT($B$5&amp;"生成成长"),3))*(VLOOKUP($B$5,标准坦克设计!$B$14:$K$20,9)/30))</f>
        <v>23.018232640903754</v>
      </c>
      <c r="BU123" s="172">
        <f ca="1">(VLOOKUP(BU$72,INDIRECT($C$5&amp;"生成成长"),2))/((VLOOKUP($B123,INDIRECT($B$5&amp;"生成成长"),4))/(VLOOKUP(BU$72,INDIRECT($C$5&amp;"生成成长"),5))*(VLOOKUP($B$5,标准坦克设计!$B$24:$U$30,MATCH("对"&amp;LEFT($C$5,2)&amp;"输出",标准坦克设计!$B$23:$U$23,0)))*(VLOOKUP($B123,INDIRECT($B$5&amp;"生成成长"),3))*(VLOOKUP($B$5,标准坦克设计!$B$14:$K$20,9)/30))</f>
        <v>24.844385028348462</v>
      </c>
      <c r="BV123" s="172">
        <f ca="1">(VLOOKUP(BV$72,INDIRECT($C$5&amp;"生成成长"),2))/((VLOOKUP($B123,INDIRECT($B$5&amp;"生成成长"),4))/(VLOOKUP(BV$72,INDIRECT($C$5&amp;"生成成长"),5))*(VLOOKUP($B$5,标准坦克设计!$B$24:$U$30,MATCH("对"&amp;LEFT($C$5,2)&amp;"输出",标准坦克设计!$B$23:$U$23,0)))*(VLOOKUP($B123,INDIRECT($B$5&amp;"生成成长"),3))*(VLOOKUP($B$5,标准坦克设计!$B$14:$K$20,9)/30))</f>
        <v>26.740237888596411</v>
      </c>
      <c r="BW123" s="172">
        <f ca="1">(VLOOKUP(BW$72,INDIRECT($C$5&amp;"生成成长"),2))/((VLOOKUP($B123,INDIRECT($B$5&amp;"生成成长"),4))/(VLOOKUP(BW$72,INDIRECT($C$5&amp;"生成成长"),5))*(VLOOKUP($B$5,标准坦克设计!$B$24:$U$30,MATCH("对"&amp;LEFT($C$5,2)&amp;"输出",标准坦克设计!$B$23:$U$23,0)))*(VLOOKUP($B123,INDIRECT($B$5&amp;"生成成长"),3))*(VLOOKUP($B$5,标准坦克设计!$B$14:$K$20,9)/30))</f>
        <v>12.186779167281312</v>
      </c>
      <c r="BX123" s="172">
        <f ca="1">(VLOOKUP(BX$72,INDIRECT($C$5&amp;"生成成长"),2))/((VLOOKUP($B123,INDIRECT($B$5&amp;"生成成长"),4))/(VLOOKUP(BX$72,INDIRECT($C$5&amp;"生成成长"),5))*(VLOOKUP($B$5,标准坦克设计!$B$24:$U$30,MATCH("对"&amp;LEFT($C$5,2)&amp;"输出",标准坦克设计!$B$23:$U$23,0)))*(VLOOKUP($B123,INDIRECT($B$5&amp;"生成成长"),3))*(VLOOKUP($B$5,标准坦克设计!$B$14:$K$20,9)/30))</f>
        <v>13.525028245103391</v>
      </c>
      <c r="BY123" s="172">
        <f ca="1">(VLOOKUP(BY$72,INDIRECT($C$5&amp;"生成成长"),2))/((VLOOKUP($B123,INDIRECT($B$5&amp;"生成成长"),4))/(VLOOKUP(BY$72,INDIRECT($C$5&amp;"生成成长"),5))*(VLOOKUP($B$5,标准坦克设计!$B$24:$U$30,MATCH("对"&amp;LEFT($C$5,2)&amp;"输出",标准坦克设计!$B$23:$U$23,0)))*(VLOOKUP($B123,INDIRECT($B$5&amp;"生成成长"),3))*(VLOOKUP($B$5,标准坦克设计!$B$14:$K$20,9)/30))</f>
        <v>14.932977795728704</v>
      </c>
      <c r="BZ123" s="172">
        <f ca="1">(VLOOKUP(BZ$72,INDIRECT($C$5&amp;"生成成长"),2))/((VLOOKUP($B123,INDIRECT($B$5&amp;"生成成长"),4))/(VLOOKUP(BZ$72,INDIRECT($C$5&amp;"生成成长"),5))*(VLOOKUP($B$5,标准坦克设计!$B$24:$U$30,MATCH("对"&amp;LEFT($C$5,2)&amp;"输出",标准坦克设计!$B$23:$U$23,0)))*(VLOOKUP($B123,INDIRECT($B$5&amp;"生成成长"),3))*(VLOOKUP($B$5,标准坦克设计!$B$14:$K$20,9)/30))</f>
        <v>16.410627819157245</v>
      </c>
      <c r="CA123" s="172">
        <f ca="1">(VLOOKUP(CA$72,INDIRECT($C$5&amp;"生成成长"),2))/((VLOOKUP($B123,INDIRECT($B$5&amp;"生成成长"),4))/(VLOOKUP(CA$72,INDIRECT($C$5&amp;"生成成长"),5))*(VLOOKUP($B$5,标准坦克设计!$B$24:$U$30,MATCH("对"&amp;LEFT($C$5,2)&amp;"输出",标准坦克设计!$B$23:$U$23,0)))*(VLOOKUP($B123,INDIRECT($B$5&amp;"生成成长"),3))*(VLOOKUP($B$5,标准坦克设计!$B$14:$K$20,9)/30))</f>
        <v>17.957978315389024</v>
      </c>
      <c r="CB123" s="172">
        <f ca="1">(VLOOKUP(CB$72,INDIRECT($C$5&amp;"生成成长"),2))/((VLOOKUP($B123,INDIRECT($B$5&amp;"生成成长"),4))/(VLOOKUP(CB$72,INDIRECT($C$5&amp;"生成成长"),5))*(VLOOKUP($B$5,标准坦克设计!$B$24:$U$30,MATCH("对"&amp;LEFT($C$5,2)&amp;"输出",标准坦克设计!$B$23:$U$23,0)))*(VLOOKUP($B123,INDIRECT($B$5&amp;"生成成长"),3))*(VLOOKUP($B$5,标准坦克设计!$B$14:$K$20,9)/30))</f>
        <v>19.575029284424037</v>
      </c>
      <c r="CC123" s="172">
        <f ca="1">(VLOOKUP(CC$72,INDIRECT($C$5&amp;"生成成长"),2))/((VLOOKUP($B123,INDIRECT($B$5&amp;"生成成长"),4))/(VLOOKUP(CC$72,INDIRECT($C$5&amp;"生成成长"),5))*(VLOOKUP($B$5,标准坦克设计!$B$24:$U$30,MATCH("对"&amp;LEFT($C$5,2)&amp;"输出",标准坦克设计!$B$23:$U$23,0)))*(VLOOKUP($B123,INDIRECT($B$5&amp;"生成成长"),3))*(VLOOKUP($B$5,标准坦克设计!$B$14:$K$20,9)/30))</f>
        <v>21.261780726262277</v>
      </c>
      <c r="CD123" s="172">
        <f ca="1">(VLOOKUP(CD$72,INDIRECT($C$5&amp;"生成成长"),2))/((VLOOKUP($B123,INDIRECT($B$5&amp;"生成成长"),4))/(VLOOKUP(CD$72,INDIRECT($C$5&amp;"生成成长"),5))*(VLOOKUP($B$5,标准坦克设计!$B$24:$U$30,MATCH("对"&amp;LEFT($C$5,2)&amp;"输出",标准坦克设计!$B$23:$U$23,0)))*(VLOOKUP($B123,INDIRECT($B$5&amp;"生成成长"),3))*(VLOOKUP($B$5,标准坦克设计!$B$14:$K$20,9)/30))</f>
        <v>23.018232640903754</v>
      </c>
      <c r="CE123" s="172">
        <f ca="1">(VLOOKUP(CE$72,INDIRECT($C$5&amp;"生成成长"),2))/((VLOOKUP($B123,INDIRECT($B$5&amp;"生成成长"),4))/(VLOOKUP(CE$72,INDIRECT($C$5&amp;"生成成长"),5))*(VLOOKUP($B$5,标准坦克设计!$B$24:$U$30,MATCH("对"&amp;LEFT($C$5,2)&amp;"输出",标准坦克设计!$B$23:$U$23,0)))*(VLOOKUP($B123,INDIRECT($B$5&amp;"生成成长"),3))*(VLOOKUP($B$5,标准坦克设计!$B$14:$K$20,9)/30))</f>
        <v>24.844385028348462</v>
      </c>
      <c r="CF123" s="172">
        <f ca="1">(VLOOKUP(CF$72,INDIRECT($C$5&amp;"生成成长"),2))/((VLOOKUP($B123,INDIRECT($B$5&amp;"生成成长"),4))/(VLOOKUP(CF$72,INDIRECT($C$5&amp;"生成成长"),5))*(VLOOKUP($B$5,标准坦克设计!$B$24:$U$30,MATCH("对"&amp;LEFT($C$5,2)&amp;"输出",标准坦克设计!$B$23:$U$23,0)))*(VLOOKUP($B123,INDIRECT($B$5&amp;"生成成长"),3))*(VLOOKUP($B$5,标准坦克设计!$B$14:$K$20,9)/30))</f>
        <v>26.740237888596411</v>
      </c>
      <c r="CG123" s="172">
        <f ca="1">(VLOOKUP(CG$72,INDIRECT($C$5&amp;"生成成长"),2))/((VLOOKUP($B123,INDIRECT($B$5&amp;"生成成长"),4))/(VLOOKUP(CG$72,INDIRECT($C$5&amp;"生成成长"),5))*(VLOOKUP($B$5,标准坦克设计!$B$24:$U$30,MATCH("对"&amp;LEFT($C$5,2)&amp;"输出",标准坦克设计!$B$23:$U$23,0)))*(VLOOKUP($B123,INDIRECT($B$5&amp;"生成成长"),3))*(VLOOKUP($B$5,标准坦克设计!$B$14:$K$20,9)/30))</f>
        <v>28.705791221647587</v>
      </c>
      <c r="CH123" s="172">
        <f ca="1">(VLOOKUP(CH$72,INDIRECT($C$5&amp;"生成成长"),2))/((VLOOKUP($B123,INDIRECT($B$5&amp;"生成成长"),4))/(VLOOKUP(CH$72,INDIRECT($C$5&amp;"生成成长"),5))*(VLOOKUP($B$5,标准坦克设计!$B$24:$U$30,MATCH("对"&amp;LEFT($C$5,2)&amp;"输出",标准坦克设计!$B$23:$U$23,0)))*(VLOOKUP($B123,INDIRECT($B$5&amp;"生成成长"),3))*(VLOOKUP($B$5,标准坦克设计!$B$14:$K$20,9)/30))</f>
        <v>30.741045027502</v>
      </c>
      <c r="CI123" s="172">
        <f ca="1">(VLOOKUP(CI$72,INDIRECT($C$5&amp;"生成成长"),2))/((VLOOKUP($B123,INDIRECT($B$5&amp;"生成成长"),4))/(VLOOKUP(CI$72,INDIRECT($C$5&amp;"生成成长"),5))*(VLOOKUP($B$5,标准坦克设计!$B$24:$U$30,MATCH("对"&amp;LEFT($C$5,2)&amp;"输出",标准坦克设计!$B$23:$U$23,0)))*(VLOOKUP($B123,INDIRECT($B$5&amp;"生成成长"),3))*(VLOOKUP($B$5,标准坦克设计!$B$14:$K$20,9)/30))</f>
        <v>33.060328260029586</v>
      </c>
      <c r="CJ123" s="172">
        <f ca="1">(VLOOKUP(CJ$72,INDIRECT($C$5&amp;"生成成长"),2))/((VLOOKUP($B123,INDIRECT($B$5&amp;"生成成长"),4))/(VLOOKUP(CJ$72,INDIRECT($C$5&amp;"生成成长"),5))*(VLOOKUP($B$5,标准坦克设计!$B$24:$U$30,MATCH("对"&amp;LEFT($C$5,2)&amp;"输出",标准坦克设计!$B$23:$U$23,0)))*(VLOOKUP($B123,INDIRECT($B$5&amp;"生成成长"),3))*(VLOOKUP($B$5,标准坦克设计!$B$14:$K$20,9)/30))</f>
        <v>35.463949064649078</v>
      </c>
      <c r="CK123" s="172">
        <f ca="1">(VLOOKUP(CK$72,INDIRECT($C$5&amp;"生成成长"),2))/((VLOOKUP($B123,INDIRECT($B$5&amp;"生成成长"),4))/(VLOOKUP(CK$72,INDIRECT($C$5&amp;"生成成长"),5))*(VLOOKUP($B$5,标准坦克设计!$B$24:$U$30,MATCH("对"&amp;LEFT($C$5,2)&amp;"输出",标准坦克设计!$B$23:$U$23,0)))*(VLOOKUP($B123,INDIRECT($B$5&amp;"生成成长"),3))*(VLOOKUP($B$5,标准坦克设计!$B$14:$K$20,9)/30))</f>
        <v>37.951907441360497</v>
      </c>
      <c r="CL123" s="172">
        <f ca="1">(VLOOKUP(CL$72,INDIRECT($C$5&amp;"生成成长"),2))/((VLOOKUP($B123,INDIRECT($B$5&amp;"生成成长"),4))/(VLOOKUP(CL$72,INDIRECT($C$5&amp;"生成成长"),5))*(VLOOKUP($B$5,标准坦克设计!$B$24:$U$30,MATCH("对"&amp;LEFT($C$5,2)&amp;"输出",标准坦克设计!$B$23:$U$23,0)))*(VLOOKUP($B123,INDIRECT($B$5&amp;"生成成长"),3))*(VLOOKUP($B$5,标准坦克设计!$B$14:$K$20,9)/30))</f>
        <v>40.524203390163819</v>
      </c>
      <c r="CM123" s="172">
        <f ca="1">(VLOOKUP(CM$72,INDIRECT($C$5&amp;"生成成长"),2))/((VLOOKUP($B123,INDIRECT($B$5&amp;"生成成长"),4))/(VLOOKUP(CM$72,INDIRECT($C$5&amp;"生成成长"),5))*(VLOOKUP($B$5,标准坦克设计!$B$24:$U$30,MATCH("对"&amp;LEFT($C$5,2)&amp;"输出",标准坦克设计!$B$23:$U$23,0)))*(VLOOKUP($B123,INDIRECT($B$5&amp;"生成成长"),3))*(VLOOKUP($B$5,标准坦克设计!$B$14:$K$20,9)/30))</f>
        <v>43.180836911059046</v>
      </c>
      <c r="CN123" s="172">
        <f ca="1">(VLOOKUP(CN$72,INDIRECT($C$5&amp;"生成成长"),2))/((VLOOKUP($B123,INDIRECT($B$5&amp;"生成成长"),4))/(VLOOKUP(CN$72,INDIRECT($C$5&amp;"生成成长"),5))*(VLOOKUP($B$5,标准坦克设计!$B$24:$U$30,MATCH("对"&amp;LEFT($C$5,2)&amp;"输出",标准坦克设计!$B$23:$U$23,0)))*(VLOOKUP($B123,INDIRECT($B$5&amp;"生成成长"),3))*(VLOOKUP($B$5,标准坦克设计!$B$14:$K$20,9)/30))</f>
        <v>45.921808004046191</v>
      </c>
      <c r="CO123" s="172">
        <f ca="1">(VLOOKUP(CO$72,INDIRECT($C$5&amp;"生成成长"),2))/((VLOOKUP($B123,INDIRECT($B$5&amp;"生成成长"),4))/(VLOOKUP(CO$72,INDIRECT($C$5&amp;"生成成长"),5))*(VLOOKUP($B$5,标准坦克设计!$B$24:$U$30,MATCH("对"&amp;LEFT($C$5,2)&amp;"输出",标准坦克设计!$B$23:$U$23,0)))*(VLOOKUP($B123,INDIRECT($B$5&amp;"生成成长"),3))*(VLOOKUP($B$5,标准坦克设计!$B$14:$K$20,9)/30))</f>
        <v>20.578716092790593</v>
      </c>
      <c r="CP123" s="172">
        <f ca="1">(VLOOKUP(CP$72,INDIRECT($C$5&amp;"生成成长"),2))/((VLOOKUP($B123,INDIRECT($B$5&amp;"生成成长"),4))/(VLOOKUP(CP$72,INDIRECT($C$5&amp;"生成成长"),5))*(VLOOKUP($B$5,标准坦克设计!$B$24:$U$30,MATCH("对"&amp;LEFT($C$5,2)&amp;"输出",标准坦克设计!$B$23:$U$23,0)))*(VLOOKUP($B123,INDIRECT($B$5&amp;"生成成长"),3))*(VLOOKUP($B$5,标准坦克设计!$B$14:$K$20,9)/30))</f>
        <v>22.483978516866969</v>
      </c>
      <c r="CQ123" s="172">
        <f ca="1">(VLOOKUP(CQ$72,INDIRECT($C$5&amp;"生成成长"),2))/((VLOOKUP($B123,INDIRECT($B$5&amp;"生成成长"),4))/(VLOOKUP(CQ$72,INDIRECT($C$5&amp;"生成成长"),5))*(VLOOKUP($B$5,标准坦克设计!$B$24:$U$30,MATCH("对"&amp;LEFT($C$5,2)&amp;"输出",标准坦克设计!$B$23:$U$23,0)))*(VLOOKUP($B123,INDIRECT($B$5&amp;"生成成长"),3))*(VLOOKUP($B$5,标准坦克设计!$B$14:$K$20,9)/30))</f>
        <v>24.473578513035267</v>
      </c>
      <c r="CR123" s="172">
        <f ca="1">(VLOOKUP(CR$72,INDIRECT($C$5&amp;"生成成长"),2))/((VLOOKUP($B123,INDIRECT($B$5&amp;"生成成长"),4))/(VLOOKUP(CR$72,INDIRECT($C$5&amp;"生成成长"),5))*(VLOOKUP($B$5,标准坦克设计!$B$24:$U$30,MATCH("对"&amp;LEFT($C$5,2)&amp;"输出",标准坦克设计!$B$23:$U$23,0)))*(VLOOKUP($B123,INDIRECT($B$5&amp;"生成成长"),3))*(VLOOKUP($B$5,标准坦克设计!$B$14:$K$20,9)/30))</f>
        <v>26.547516081295473</v>
      </c>
      <c r="CS123" s="172">
        <f ca="1">(VLOOKUP(CS$72,INDIRECT($C$5&amp;"生成成长"),2))/((VLOOKUP($B123,INDIRECT($B$5&amp;"生成成长"),4))/(VLOOKUP(CS$72,INDIRECT($C$5&amp;"生成成长"),5))*(VLOOKUP($B$5,标准坦克设计!$B$24:$U$30,MATCH("对"&amp;LEFT($C$5,2)&amp;"输出",标准坦克设计!$B$23:$U$23,0)))*(VLOOKUP($B123,INDIRECT($B$5&amp;"生成成长"),3))*(VLOOKUP($B$5,标准坦克设计!$B$14:$K$20,9)/30))</f>
        <v>28.705791221647587</v>
      </c>
      <c r="CT123" s="172">
        <f ca="1">(VLOOKUP(CT$72,INDIRECT($C$5&amp;"生成成长"),2))/((VLOOKUP($B123,INDIRECT($B$5&amp;"生成成长"),4))/(VLOOKUP(CT$72,INDIRECT($C$5&amp;"生成成长"),5))*(VLOOKUP($B$5,标准坦克设计!$B$24:$U$30,MATCH("对"&amp;LEFT($C$5,2)&amp;"输出",标准坦克设计!$B$23:$U$23,0)))*(VLOOKUP($B123,INDIRECT($B$5&amp;"生成成长"),3))*(VLOOKUP($B$5,标准坦克设计!$B$14:$K$20,9)/30))</f>
        <v>30.948403934091612</v>
      </c>
      <c r="CU123" s="172">
        <f ca="1">(VLOOKUP(CU$72,INDIRECT($C$5&amp;"生成成长"),2))/((VLOOKUP($B123,INDIRECT($B$5&amp;"生成成长"),4))/(VLOOKUP(CU$72,INDIRECT($C$5&amp;"生成成长"),5))*(VLOOKUP($B$5,标准坦克设计!$B$24:$U$30,MATCH("对"&amp;LEFT($C$5,2)&amp;"输出",标准坦克设计!$B$23:$U$23,0)))*(VLOOKUP($B123,INDIRECT($B$5&amp;"生成成长"),3))*(VLOOKUP($B$5,标准坦克设计!$B$14:$K$20,9)/30))</f>
        <v>33.275354218627555</v>
      </c>
      <c r="CV123" s="172">
        <f ca="1">(VLOOKUP(CV$72,INDIRECT($C$5&amp;"生成成长"),2))/((VLOOKUP($B123,INDIRECT($B$5&amp;"生成成长"),4))/(VLOOKUP(CV$72,INDIRECT($C$5&amp;"生成成长"),5))*(VLOOKUP($B$5,标准坦克设计!$B$24:$U$30,MATCH("对"&amp;LEFT($C$5,2)&amp;"输出",标准坦克设计!$B$23:$U$23,0)))*(VLOOKUP($B123,INDIRECT($B$5&amp;"生成成长"),3))*(VLOOKUP($B$5,标准坦克设计!$B$14:$K$20,9)/30))</f>
        <v>35.686642075255406</v>
      </c>
      <c r="CW123" s="172">
        <f ca="1">(VLOOKUP(CW$72,INDIRECT($C$5&amp;"生成成长"),2))/((VLOOKUP($B123,INDIRECT($B$5&amp;"生成成长"),4))/(VLOOKUP(CW$72,INDIRECT($C$5&amp;"生成成长"),5))*(VLOOKUP($B$5,标准坦克设计!$B$24:$U$30,MATCH("对"&amp;LEFT($C$5,2)&amp;"输出",标准坦克设计!$B$23:$U$23,0)))*(VLOOKUP($B123,INDIRECT($B$5&amp;"生成成长"),3))*(VLOOKUP($B$5,标准坦克设计!$B$14:$K$20,9)/30))</f>
        <v>38.182267503975176</v>
      </c>
      <c r="CX123" s="172">
        <f ca="1">(VLOOKUP(CX$72,INDIRECT($C$5&amp;"生成成长"),2))/((VLOOKUP($B123,INDIRECT($B$5&amp;"生成成长"),4))/(VLOOKUP(CX$72,INDIRECT($C$5&amp;"生成成长"),5))*(VLOOKUP($B$5,标准坦克设计!$B$24:$U$30,MATCH("对"&amp;LEFT($C$5,2)&amp;"输出",标准坦克设计!$B$23:$U$23,0)))*(VLOOKUP($B123,INDIRECT($B$5&amp;"生成成长"),3))*(VLOOKUP($B$5,标准坦克设计!$B$14:$K$20,9)/30))</f>
        <v>40.762230504786856</v>
      </c>
      <c r="CY123" s="172">
        <f ca="1">(VLOOKUP(CY$72,INDIRECT($C$5&amp;"生成成长"),2))/((VLOOKUP($B123,INDIRECT($B$5&amp;"生成成长"),4))/(VLOOKUP(CY$72,INDIRECT($C$5&amp;"生成成长"),5))*(VLOOKUP($B$5,标准坦克设计!$B$24:$U$30,MATCH("对"&amp;LEFT($C$5,2)&amp;"输出",标准坦克设计!$B$23:$U$23,0)))*(VLOOKUP($B123,INDIRECT($B$5&amp;"生成成长"),3))*(VLOOKUP($B$5,标准坦克设计!$B$14:$K$20,9)/30))</f>
        <v>43.426531077690449</v>
      </c>
      <c r="CZ123" s="172">
        <f ca="1">(VLOOKUP(CZ$72,INDIRECT($C$5&amp;"生成成长"),2))/((VLOOKUP($B123,INDIRECT($B$5&amp;"生成成长"),4))/(VLOOKUP(CZ$72,INDIRECT($C$5&amp;"生成成长"),5))*(VLOOKUP($B$5,标准坦克设计!$B$24:$U$30,MATCH("对"&amp;LEFT($C$5,2)&amp;"输出",标准坦克设计!$B$23:$U$23,0)))*(VLOOKUP($B123,INDIRECT($B$5&amp;"生成成长"),3))*(VLOOKUP($B$5,标准坦克设计!$B$14:$K$20,9)/30))</f>
        <v>46.175169222685959</v>
      </c>
      <c r="DA123" s="172">
        <f ca="1">(VLOOKUP(DA$72,INDIRECT($C$5&amp;"生成成长"),2))/((VLOOKUP($B123,INDIRECT($B$5&amp;"生成成长"),4))/(VLOOKUP(DA$72,INDIRECT($C$5&amp;"生成成长"),5))*(VLOOKUP($B$5,标准坦克设计!$B$24:$U$30,MATCH("对"&amp;LEFT($C$5,2)&amp;"输出",标准坦克设计!$B$23:$U$23,0)))*(VLOOKUP($B123,INDIRECT($B$5&amp;"生成成长"),3))*(VLOOKUP($B$5,标准坦克设计!$B$14:$K$20,9)/30))</f>
        <v>49.008144939773366</v>
      </c>
      <c r="DB123" s="172">
        <f ca="1">(VLOOKUP(DB$72,INDIRECT($C$5&amp;"生成成长"),2))/((VLOOKUP($B123,INDIRECT($B$5&amp;"生成成长"),4))/(VLOOKUP(DB$72,INDIRECT($C$5&amp;"生成成长"),5))*(VLOOKUP($B$5,标准坦克设计!$B$24:$U$30,MATCH("对"&amp;LEFT($C$5,2)&amp;"输出",标准坦克设计!$B$23:$U$23,0)))*(VLOOKUP($B123,INDIRECT($B$5&amp;"生成成长"),3))*(VLOOKUP($B$5,标准坦克设计!$B$14:$K$20,9)/30))</f>
        <v>51.925458228952692</v>
      </c>
      <c r="DC123" s="172">
        <f ca="1">(VLOOKUP(DC$72,INDIRECT($C$5&amp;"生成成长"),2))/((VLOOKUP($B123,INDIRECT($B$5&amp;"生成成长"),4))/(VLOOKUP(DC$72,INDIRECT($C$5&amp;"生成成长"),5))*(VLOOKUP($B$5,标准坦克设计!$B$24:$U$30,MATCH("对"&amp;LEFT($C$5,2)&amp;"输出",标准坦克设计!$B$23:$U$23,0)))*(VLOOKUP($B123,INDIRECT($B$5&amp;"生成成长"),3))*(VLOOKUP($B$5,标准坦克设计!$B$14:$K$20,9)/30))</f>
        <v>55.204168469616789</v>
      </c>
      <c r="DD123" s="172">
        <f ca="1">(VLOOKUP(DD$72,INDIRECT($C$5&amp;"生成成长"),2))/((VLOOKUP($B123,INDIRECT($B$5&amp;"生成成长"),4))/(VLOOKUP(DD$72,INDIRECT($C$5&amp;"生成成长"),5))*(VLOOKUP($B$5,标准坦克设计!$B$24:$U$30,MATCH("对"&amp;LEFT($C$5,2)&amp;"输出",标准坦克设计!$B$23:$U$23,0)))*(VLOOKUP($B123,INDIRECT($B$5&amp;"生成成长"),3))*(VLOOKUP($B$5,标准坦克设计!$B$14:$K$20,9)/30))</f>
        <v>58.583247391117531</v>
      </c>
      <c r="DE123" s="172">
        <f ca="1">(VLOOKUP(DE$72,INDIRECT($C$5&amp;"生成成长"),2))/((VLOOKUP($B123,INDIRECT($B$5&amp;"生成成长"),4))/(VLOOKUP(DE$72,INDIRECT($C$5&amp;"生成成长"),5))*(VLOOKUP($B$5,标准坦克设计!$B$24:$U$30,MATCH("对"&amp;LEFT($C$5,2)&amp;"输出",标准坦克设计!$B$23:$U$23,0)))*(VLOOKUP($B123,INDIRECT($B$5&amp;"生成成长"),3))*(VLOOKUP($B$5,标准坦克设计!$B$14:$K$20,9)/30))</f>
        <v>62.062694993454933</v>
      </c>
      <c r="DF123" s="172">
        <f ca="1">(VLOOKUP(DF$72,INDIRECT($C$5&amp;"生成成长"),2))/((VLOOKUP($B123,INDIRECT($B$5&amp;"生成成长"),4))/(VLOOKUP(DF$72,INDIRECT($C$5&amp;"生成成长"),5))*(VLOOKUP($B$5,标准坦克设计!$B$24:$U$30,MATCH("对"&amp;LEFT($C$5,2)&amp;"输出",标准坦克设计!$B$23:$U$23,0)))*(VLOOKUP($B123,INDIRECT($B$5&amp;"生成成长"),3))*(VLOOKUP($B$5,标准坦克设计!$B$14:$K$20,9)/30))</f>
        <v>65.64251127662898</v>
      </c>
      <c r="DG123" s="172">
        <f ca="1">(VLOOKUP(DG$72,INDIRECT($C$5&amp;"生成成长"),2))/((VLOOKUP($B123,INDIRECT($B$5&amp;"生成成长"),4))/(VLOOKUP(DG$72,INDIRECT($C$5&amp;"生成成长"),5))*(VLOOKUP($B$5,标准坦克设计!$B$24:$U$30,MATCH("对"&amp;LEFT($C$5,2)&amp;"输出",标准坦克设计!$B$23:$U$23,0)))*(VLOOKUP($B123,INDIRECT($B$5&amp;"生成成长"),3))*(VLOOKUP($B$5,标准坦克设计!$B$14:$K$20,9)/30))</f>
        <v>69.322696240639701</v>
      </c>
      <c r="DH123" s="172">
        <f ca="1">(VLOOKUP(DH$72,INDIRECT($C$5&amp;"生成成长"),2))/((VLOOKUP($B123,INDIRECT($B$5&amp;"生成成长"),4))/(VLOOKUP(DH$72,INDIRECT($C$5&amp;"生成成长"),5))*(VLOOKUP($B$5,标准坦克设计!$B$24:$U$30,MATCH("对"&amp;LEFT($C$5,2)&amp;"输出",标准坦克设计!$B$23:$U$23,0)))*(VLOOKUP($B123,INDIRECT($B$5&amp;"生成成长"),3))*(VLOOKUP($B$5,标准坦克设计!$B$14:$K$20,9)/30))</f>
        <v>73.103249885487074</v>
      </c>
      <c r="DI123" s="172">
        <f ca="1">(VLOOKUP(DI$72,INDIRECT($C$5&amp;"生成成长"),2))/((VLOOKUP($B123,INDIRECT($B$5&amp;"生成成长"),4))/(VLOOKUP(DI$72,INDIRECT($C$5&amp;"生成成长"),5))*(VLOOKUP($B$5,标准坦克设计!$B$24:$U$30,MATCH("对"&amp;LEFT($C$5,2)&amp;"输出",标准坦克设计!$B$23:$U$23,0)))*(VLOOKUP($B123,INDIRECT($B$5&amp;"生成成长"),3))*(VLOOKUP($B$5,标准坦克设计!$B$14:$K$20,9)/30))</f>
        <v>76.984172211171099</v>
      </c>
      <c r="DJ123" s="172">
        <f ca="1">(VLOOKUP(DJ$72,INDIRECT($C$5&amp;"生成成长"),2))/((VLOOKUP($B123,INDIRECT($B$5&amp;"生成成长"),4))/(VLOOKUP(DJ$72,INDIRECT($C$5&amp;"生成成长"),5))*(VLOOKUP($B$5,标准坦克设计!$B$24:$U$30,MATCH("对"&amp;LEFT($C$5,2)&amp;"输出",标准坦克设计!$B$23:$U$23,0)))*(VLOOKUP($B123,INDIRECT($B$5&amp;"生成成长"),3))*(VLOOKUP($B$5,标准坦克设计!$B$14:$K$20,9)/30))</f>
        <v>7.737100983522903</v>
      </c>
      <c r="DK123" s="172">
        <f ca="1">(VLOOKUP(DK$72,INDIRECT($C$5&amp;"生成成长"),2))/((VLOOKUP($B123,INDIRECT($B$5&amp;"生成成长"),4))/(VLOOKUP(DK$72,INDIRECT($C$5&amp;"生成成长"),5))*(VLOOKUP($B$5,标准坦克设计!$B$24:$U$30,MATCH("对"&amp;LEFT($C$5,2)&amp;"输出",标准坦克设计!$B$23:$U$23,0)))*(VLOOKUP($B123,INDIRECT($B$5&amp;"生成成长"),3))*(VLOOKUP($B$5,标准坦克设计!$B$14:$K$20,9)/30))</f>
        <v>8.7000130152995698</v>
      </c>
      <c r="DL123" s="172">
        <f ca="1">(VLOOKUP(DL$72,INDIRECT($C$5&amp;"生成成长"),2))/((VLOOKUP($B123,INDIRECT($B$5&amp;"生成成长"),4))/(VLOOKUP(DL$72,INDIRECT($C$5&amp;"生成成长"),5))*(VLOOKUP($B$5,标准坦克设计!$B$24:$U$30,MATCH("对"&amp;LEFT($C$5,2)&amp;"输出",标准坦克设计!$B$23:$U$23,0)))*(VLOOKUP($B123,INDIRECT($B$5&amp;"生成成长"),3))*(VLOOKUP($B$5,标准坦克设计!$B$14:$K$20,9)/30))</f>
        <v>9.7193824300468581</v>
      </c>
      <c r="DM123" s="172">
        <f ca="1">(VLOOKUP(DM$72,INDIRECT($C$5&amp;"生成成长"),2))/((VLOOKUP($B123,INDIRECT($B$5&amp;"生成成长"),4))/(VLOOKUP(DM$72,INDIRECT($C$5&amp;"生成成长"),5))*(VLOOKUP($B$5,标准坦克设计!$B$24:$U$30,MATCH("对"&amp;LEFT($C$5,2)&amp;"输出",标准坦克设计!$B$23:$U$23,0)))*(VLOOKUP($B123,INDIRECT($B$5&amp;"生成成长"),3))*(VLOOKUP($B$5,标准坦克设计!$B$14:$K$20,9)/30))</f>
        <v>10.795209227764762</v>
      </c>
      <c r="DN123" s="172">
        <f ca="1">(VLOOKUP(DN$72,INDIRECT($C$5&amp;"生成成长"),2))/((VLOOKUP($B123,INDIRECT($B$5&amp;"生成成长"),4))/(VLOOKUP(DN$72,INDIRECT($C$5&amp;"生成成长"),5))*(VLOOKUP($B$5,标准坦克设计!$B$24:$U$30,MATCH("对"&amp;LEFT($C$5,2)&amp;"输出",标准坦克设计!$B$23:$U$23,0)))*(VLOOKUP($B123,INDIRECT($B$5&amp;"生成成长"),3))*(VLOOKUP($B$5,标准坦克设计!$B$14:$K$20,9)/30))</f>
        <v>11.927493408453286</v>
      </c>
      <c r="DO123" s="172">
        <f ca="1">(VLOOKUP(DO$72,INDIRECT($C$5&amp;"生成成长"),2))/((VLOOKUP($B123,INDIRECT($B$5&amp;"生成成长"),4))/(VLOOKUP(DO$72,INDIRECT($C$5&amp;"生成成长"),5))*(VLOOKUP($B$5,标准坦克设计!$B$24:$U$30,MATCH("对"&amp;LEFT($C$5,2)&amp;"输出",标准坦克设计!$B$23:$U$23,0)))*(VLOOKUP($B123,INDIRECT($B$5&amp;"生成成长"),3))*(VLOOKUP($B$5,标准坦克设计!$B$14:$K$20,9)/30))</f>
        <v>13.116234972112428</v>
      </c>
      <c r="DP123" s="172">
        <f ca="1">(VLOOKUP(DP$72,INDIRECT($C$5&amp;"生成成长"),2))/((VLOOKUP($B123,INDIRECT($B$5&amp;"生成成长"),4))/(VLOOKUP(DP$72,INDIRECT($C$5&amp;"生成成长"),5))*(VLOOKUP($B$5,标准坦克设计!$B$24:$U$30,MATCH("对"&amp;LEFT($C$5,2)&amp;"输出",标准坦克设计!$B$23:$U$23,0)))*(VLOOKUP($B123,INDIRECT($B$5&amp;"生成成长"),3))*(VLOOKUP($B$5,标准坦克设计!$B$14:$K$20,9)/30))</f>
        <v>14.36143391874219</v>
      </c>
      <c r="DQ123" s="172">
        <f ca="1">(VLOOKUP(DQ$72,INDIRECT($C$5&amp;"生成成长"),2))/((VLOOKUP($B123,INDIRECT($B$5&amp;"生成成长"),4))/(VLOOKUP(DQ$72,INDIRECT($C$5&amp;"生成成长"),5))*(VLOOKUP($B$5,标准坦克设计!$B$24:$U$30,MATCH("对"&amp;LEFT($C$5,2)&amp;"输出",标准坦克设计!$B$23:$U$23,0)))*(VLOOKUP($B123,INDIRECT($B$5&amp;"生成成长"),3))*(VLOOKUP($B$5,标准坦克设计!$B$14:$K$20,9)/30))</f>
        <v>15.663090248342572</v>
      </c>
      <c r="DR123" s="172">
        <f ca="1">(VLOOKUP(DR$72,INDIRECT($C$5&amp;"生成成长"),2))/((VLOOKUP($B123,INDIRECT($B$5&amp;"生成成长"),4))/(VLOOKUP(DR$72,INDIRECT($C$5&amp;"生成成长"),5))*(VLOOKUP($B$5,标准坦克设计!$B$24:$U$30,MATCH("对"&amp;LEFT($C$5,2)&amp;"输出",标准坦克设计!$B$23:$U$23,0)))*(VLOOKUP($B123,INDIRECT($B$5&amp;"生成成长"),3))*(VLOOKUP($B$5,标准坦克设计!$B$14:$K$20,9)/30))</f>
        <v>17.021203960913571</v>
      </c>
      <c r="DS123" s="172">
        <f ca="1">(VLOOKUP(DS$72,INDIRECT($C$5&amp;"生成成长"),2))/((VLOOKUP($B123,INDIRECT($B$5&amp;"生成成长"),4))/(VLOOKUP(DS$72,INDIRECT($C$5&amp;"生成成长"),5))*(VLOOKUP($B$5,标准坦克设计!$B$24:$U$30,MATCH("对"&amp;LEFT($C$5,2)&amp;"输出",标准坦克设计!$B$23:$U$23,0)))*(VLOOKUP($B123,INDIRECT($B$5&amp;"生成成长"),3))*(VLOOKUP($B$5,标准坦克设计!$B$14:$K$20,9)/30))</f>
        <v>18.435775056455189</v>
      </c>
      <c r="DT123" s="172">
        <f ca="1">(VLOOKUP(DT$72,INDIRECT($C$5&amp;"生成成长"),2))/((VLOOKUP($B123,INDIRECT($B$5&amp;"生成成长"),4))/(VLOOKUP(DT$72,INDIRECT($C$5&amp;"生成成长"),5))*(VLOOKUP($B$5,标准坦克设计!$B$24:$U$30,MATCH("对"&amp;LEFT($C$5,2)&amp;"输出",标准坦克设计!$B$23:$U$23,0)))*(VLOOKUP($B123,INDIRECT($B$5&amp;"生成成长"),3))*(VLOOKUP($B$5,标准坦克设计!$B$14:$K$20,9)/30))</f>
        <v>20.241365804422944</v>
      </c>
      <c r="DU123" s="172">
        <f ca="1">(VLOOKUP(DU$72,INDIRECT($C$5&amp;"生成成长"),2))/((VLOOKUP($B123,INDIRECT($B$5&amp;"生成成长"),4))/(VLOOKUP(DU$72,INDIRECT($C$5&amp;"生成成长"),5))*(VLOOKUP($B$5,标准坦克设计!$B$24:$U$30,MATCH("对"&amp;LEFT($C$5,2)&amp;"输出",标准坦克设计!$B$23:$U$23,0)))*(VLOOKUP($B123,INDIRECT($B$5&amp;"生成成长"),3))*(VLOOKUP($B$5,标准坦克设计!$B$14:$K$20,9)/30))</f>
        <v>22.131294124482611</v>
      </c>
      <c r="DV123" s="172">
        <f ca="1">(VLOOKUP(DV$72,INDIRECT($C$5&amp;"生成成长"),2))/((VLOOKUP($B123,INDIRECT($B$5&amp;"生成成长"),4))/(VLOOKUP(DV$72,INDIRECT($C$5&amp;"生成成长"),5))*(VLOOKUP($B$5,标准坦克设计!$B$24:$U$30,MATCH("对"&amp;LEFT($C$5,2)&amp;"输出",标准坦克设计!$B$23:$U$23,0)))*(VLOOKUP($B123,INDIRECT($B$5&amp;"生成成长"),3))*(VLOOKUP($B$5,标准坦克设计!$B$14:$K$20,9)/30))</f>
        <v>24.105560016634193</v>
      </c>
      <c r="DW123" s="172">
        <f ca="1">(VLOOKUP(DW$72,INDIRECT($C$5&amp;"生成成长"),2))/((VLOOKUP($B123,INDIRECT($B$5&amp;"生成成长"),4))/(VLOOKUP(DW$72,INDIRECT($C$5&amp;"生成成长"),5))*(VLOOKUP($B$5,标准坦克设计!$B$24:$U$30,MATCH("对"&amp;LEFT($C$5,2)&amp;"输出",标准坦克设计!$B$23:$U$23,0)))*(VLOOKUP($B123,INDIRECT($B$5&amp;"生成成长"),3))*(VLOOKUP($B$5,标准坦克设计!$B$14:$K$20,9)/30))</f>
        <v>26.164163480877694</v>
      </c>
      <c r="DX123" s="172">
        <f ca="1">(VLOOKUP(DX$72,INDIRECT($C$5&amp;"生成成长"),2))/((VLOOKUP($B123,INDIRECT($B$5&amp;"生成成长"),4))/(VLOOKUP(DX$72,INDIRECT($C$5&amp;"生成成长"),5))*(VLOOKUP($B$5,标准坦克设计!$B$24:$U$30,MATCH("对"&amp;LEFT($C$5,2)&amp;"输出",标准坦克设计!$B$23:$U$23,0)))*(VLOOKUP($B123,INDIRECT($B$5&amp;"生成成长"),3))*(VLOOKUP($B$5,标准坦克设计!$B$14:$K$20,9)/30))</f>
        <v>28.307104517213094</v>
      </c>
      <c r="DY123" s="172">
        <f ca="1">(VLOOKUP(DY$72,INDIRECT($C$5&amp;"生成成长"),2))/((VLOOKUP($B123,INDIRECT($B$5&amp;"生成成长"),4))/(VLOOKUP(DY$72,INDIRECT($C$5&amp;"生成成长"),5))*(VLOOKUP($B$5,标准坦克设计!$B$24:$U$30,MATCH("对"&amp;LEFT($C$5,2)&amp;"输出",标准坦克设计!$B$23:$U$23,0)))*(VLOOKUP($B123,INDIRECT($B$5&amp;"生成成长"),3))*(VLOOKUP($B$5,标准坦克设计!$B$14:$K$20,9)/30))</f>
        <v>12.713714741673755</v>
      </c>
      <c r="DZ123" s="172">
        <f ca="1">(VLOOKUP(DZ$72,INDIRECT($C$5&amp;"生成成长"),2))/((VLOOKUP($B123,INDIRECT($B$5&amp;"生成成长"),4))/(VLOOKUP(DZ$72,INDIRECT($C$5&amp;"生成成长"),5))*(VLOOKUP($B$5,标准坦克设计!$B$24:$U$30,MATCH("对"&amp;LEFT($C$5,2)&amp;"输出",标准坦克设计!$B$23:$U$23,0)))*(VLOOKUP($B123,INDIRECT($B$5&amp;"生成成长"),3))*(VLOOKUP($B$5,标准坦克设计!$B$14:$K$20,9)/30))</f>
        <v>14.079844008617126</v>
      </c>
      <c r="EA123" s="172">
        <f ca="1">(VLOOKUP(EA$72,INDIRECT($C$5&amp;"生成成长"),2))/((VLOOKUP($B123,INDIRECT($B$5&amp;"生成成长"),4))/(VLOOKUP(EA$72,INDIRECT($C$5&amp;"生成成长"),5))*(VLOOKUP($B$5,标准坦克设计!$B$24:$U$30,MATCH("对"&amp;LEFT($C$5,2)&amp;"输出",标准坦克设计!$B$23:$U$23,0)))*(VLOOKUP($B123,INDIRECT($B$5&amp;"生成成长"),3))*(VLOOKUP($B$5,标准坦克设计!$B$14:$K$20,9)/30))</f>
        <v>15.515673748363733</v>
      </c>
      <c r="EB123" s="172">
        <f ca="1">(VLOOKUP(EB$72,INDIRECT($C$5&amp;"生成成长"),2))/((VLOOKUP($B123,INDIRECT($B$5&amp;"生成成长"),4))/(VLOOKUP(EB$72,INDIRECT($C$5&amp;"生成成长"),5))*(VLOOKUP($B$5,标准坦克设计!$B$24:$U$30,MATCH("对"&amp;LEFT($C$5,2)&amp;"输出",标准坦克设计!$B$23:$U$23,0)))*(VLOOKUP($B123,INDIRECT($B$5&amp;"生成成长"),3))*(VLOOKUP($B$5,标准坦克设计!$B$14:$K$20,9)/30))</f>
        <v>17.021203960913571</v>
      </c>
      <c r="EC123" s="172">
        <f ca="1">(VLOOKUP(EC$72,INDIRECT($C$5&amp;"生成成长"),2))/((VLOOKUP($B123,INDIRECT($B$5&amp;"生成成长"),4))/(VLOOKUP(EC$72,INDIRECT($C$5&amp;"生成成长"),5))*(VLOOKUP($B$5,标准坦克设计!$B$24:$U$30,MATCH("对"&amp;LEFT($C$5,2)&amp;"输出",标准坦克设计!$B$23:$U$23,0)))*(VLOOKUP($B123,INDIRECT($B$5&amp;"生成成长"),3))*(VLOOKUP($B$5,标准坦克设计!$B$14:$K$20,9)/30))</f>
        <v>18.596434646266641</v>
      </c>
      <c r="ED123" s="172">
        <f ca="1">(VLOOKUP(ED$72,INDIRECT($C$5&amp;"生成成长"),2))/((VLOOKUP($B123,INDIRECT($B$5&amp;"生成成长"),4))/(VLOOKUP(ED$72,INDIRECT($C$5&amp;"生成成长"),5))*(VLOOKUP($B$5,标准坦克设计!$B$24:$U$30,MATCH("对"&amp;LEFT($C$5,2)&amp;"输出",标准坦克设计!$B$23:$U$23,0)))*(VLOOKUP($B123,INDIRECT($B$5&amp;"生成成长"),3))*(VLOOKUP($B$5,标准坦克设计!$B$14:$K$20,9)/30))</f>
        <v>20.241365804422944</v>
      </c>
      <c r="EE123" s="172">
        <f ca="1">(VLOOKUP(EE$72,INDIRECT($C$5&amp;"生成成长"),2))/((VLOOKUP($B123,INDIRECT($B$5&amp;"生成成长"),4))/(VLOOKUP(EE$72,INDIRECT($C$5&amp;"生成成长"),5))*(VLOOKUP($B$5,标准坦克设计!$B$24:$U$30,MATCH("对"&amp;LEFT($C$5,2)&amp;"输出",标准坦克设计!$B$23:$U$23,0)))*(VLOOKUP($B123,INDIRECT($B$5&amp;"生成成长"),3))*(VLOOKUP($B$5,标准坦克设计!$B$14:$K$20,9)/30))</f>
        <v>21.955997435382482</v>
      </c>
      <c r="EF123" s="172">
        <f ca="1">(VLOOKUP(EF$72,INDIRECT($C$5&amp;"生成成长"),2))/((VLOOKUP($B123,INDIRECT($B$5&amp;"生成成长"),4))/(VLOOKUP(EF$72,INDIRECT($C$5&amp;"生成成长"),5))*(VLOOKUP($B$5,标准坦克设计!$B$24:$U$30,MATCH("对"&amp;LEFT($C$5,2)&amp;"输出",标准坦克设计!$B$23:$U$23,0)))*(VLOOKUP($B123,INDIRECT($B$5&amp;"生成成长"),3))*(VLOOKUP($B$5,标准坦克设计!$B$14:$K$20,9)/30))</f>
        <v>23.740329539145254</v>
      </c>
      <c r="EG123" s="172">
        <f ca="1">(VLOOKUP(EG$72,INDIRECT($C$5&amp;"生成成长"),2))/((VLOOKUP($B123,INDIRECT($B$5&amp;"生成成长"),4))/(VLOOKUP(EG$72,INDIRECT($C$5&amp;"生成成长"),5))*(VLOOKUP($B$5,标准坦克设计!$B$24:$U$30,MATCH("对"&amp;LEFT($C$5,2)&amp;"输出",标准坦克设计!$B$23:$U$23,0)))*(VLOOKUP($B123,INDIRECT($B$5&amp;"生成成长"),3))*(VLOOKUP($B$5,标准坦克设计!$B$14:$K$20,9)/30))</f>
        <v>25.59436211571126</v>
      </c>
      <c r="EH123" s="172">
        <f ca="1">(VLOOKUP(EH$72,INDIRECT($C$5&amp;"生成成长"),2))/((VLOOKUP($B123,INDIRECT($B$5&amp;"生成成长"),4))/(VLOOKUP(EH$72,INDIRECT($C$5&amp;"生成成长"),5))*(VLOOKUP($B$5,标准坦克设计!$B$24:$U$30,MATCH("对"&amp;LEFT($C$5,2)&amp;"输出",标准坦克设计!$B$23:$U$23,0)))*(VLOOKUP($B123,INDIRECT($B$5&amp;"生成成长"),3))*(VLOOKUP($B$5,标准坦克设计!$B$14:$K$20,9)/30))</f>
        <v>27.518095165080489</v>
      </c>
      <c r="EI123" s="172">
        <f ca="1">(VLOOKUP(EI$72,INDIRECT($C$5&amp;"生成成长"),2))/((VLOOKUP($B123,INDIRECT($B$5&amp;"生成成长"),4))/(VLOOKUP(EI$72,INDIRECT($C$5&amp;"生成成长"),5))*(VLOOKUP($B$5,标准坦克设计!$B$24:$U$30,MATCH("对"&amp;LEFT($C$5,2)&amp;"输出",标准坦克设计!$B$23:$U$23,0)))*(VLOOKUP($B123,INDIRECT($B$5&amp;"生成成长"),3))*(VLOOKUP($B$5,标准坦克设计!$B$14:$K$20,9)/30))</f>
        <v>29.511528687252969</v>
      </c>
      <c r="EJ123" s="172">
        <f ca="1">(VLOOKUP(EJ$72,INDIRECT($C$5&amp;"生成成长"),2))/((VLOOKUP($B123,INDIRECT($B$5&amp;"生成成长"),4))/(VLOOKUP(EJ$72,INDIRECT($C$5&amp;"生成成长"),5))*(VLOOKUP($B$5,标准坦克设计!$B$24:$U$30,MATCH("对"&amp;LEFT($C$5,2)&amp;"输出",标准坦克设计!$B$23:$U$23,0)))*(VLOOKUP($B123,INDIRECT($B$5&amp;"生成成长"),3))*(VLOOKUP($B$5,标准坦克设计!$B$14:$K$20,9)/30))</f>
        <v>31.574662682228674</v>
      </c>
      <c r="EK123" s="172">
        <f ca="1">(VLOOKUP(EK$72,INDIRECT($C$5&amp;"生成成长"),2))/((VLOOKUP($B123,INDIRECT($B$5&amp;"生成成长"),4))/(VLOOKUP(EK$72,INDIRECT($C$5&amp;"生成成长"),5))*(VLOOKUP($B$5,标准坦克设计!$B$24:$U$30,MATCH("对"&amp;LEFT($C$5,2)&amp;"输出",标准坦克设计!$B$23:$U$23,0)))*(VLOOKUP($B123,INDIRECT($B$5&amp;"生成成长"),3))*(VLOOKUP($B$5,标准坦克设计!$B$14:$K$20,9)/30))</f>
        <v>34.142428100299774</v>
      </c>
      <c r="EL123" s="172">
        <f ca="1">(VLOOKUP(EL$72,INDIRECT($C$5&amp;"生成成长"),2))/((VLOOKUP($B123,INDIRECT($B$5&amp;"生成成长"),4))/(VLOOKUP(EL$72,INDIRECT($C$5&amp;"生成成长"),5))*(VLOOKUP($B$5,标准坦克设计!$B$24:$U$30,MATCH("对"&amp;LEFT($C$5,2)&amp;"输出",标准坦克设计!$B$23:$U$23,0)))*(VLOOKUP($B123,INDIRECT($B$5&amp;"生成成长"),3))*(VLOOKUP($B$5,标准坦克设计!$B$14:$K$20,9)/30))</f>
        <v>36.810562199207553</v>
      </c>
      <c r="EM123" s="172">
        <f ca="1">(VLOOKUP(EM$72,INDIRECT($C$5&amp;"生成成长"),2))/((VLOOKUP($B123,INDIRECT($B$5&amp;"生成成长"),4))/(VLOOKUP(EM$72,INDIRECT($C$5&amp;"生成成长"),5))*(VLOOKUP($B$5,标准坦克设计!$B$24:$U$30,MATCH("对"&amp;LEFT($C$5,2)&amp;"输出",标准坦克设计!$B$23:$U$23,0)))*(VLOOKUP($B123,INDIRECT($B$5&amp;"生成成长"),3))*(VLOOKUP($B$5,标准坦克设计!$B$14:$K$20,9)/30))</f>
        <v>39.579064978951969</v>
      </c>
      <c r="EN123" s="172">
        <f ca="1">(VLOOKUP(EN$72,INDIRECT($C$5&amp;"生成成长"),2))/((VLOOKUP($B123,INDIRECT($B$5&amp;"生成成长"),4))/(VLOOKUP(EN$72,INDIRECT($C$5&amp;"生成成长"),5))*(VLOOKUP($B$5,标准坦克设计!$B$24:$U$30,MATCH("对"&amp;LEFT($C$5,2)&amp;"输出",标准坦克设计!$B$23:$U$23,0)))*(VLOOKUP($B123,INDIRECT($B$5&amp;"生成成长"),3))*(VLOOKUP($B$5,标准坦克设计!$B$14:$K$20,9)/30))</f>
        <v>42.447936439533059</v>
      </c>
      <c r="EO123" s="172">
        <f ca="1">(VLOOKUP(EO$72,INDIRECT($C$5&amp;"生成成长"),2))/((VLOOKUP($B123,INDIRECT($B$5&amp;"生成成长"),4))/(VLOOKUP(EO$72,INDIRECT($C$5&amp;"生成成长"),5))*(VLOOKUP($B$5,标准坦克设计!$B$24:$U$30,MATCH("对"&amp;LEFT($C$5,2)&amp;"输出",标准坦克设计!$B$23:$U$23,0)))*(VLOOKUP($B123,INDIRECT($B$5&amp;"生成成长"),3))*(VLOOKUP($B$5,标准坦克设计!$B$14:$K$20,9)/30))</f>
        <v>45.417176580950787</v>
      </c>
      <c r="EP123" s="172">
        <f ca="1">(VLOOKUP(EP$72,INDIRECT($C$5&amp;"生成成长"),2))/((VLOOKUP($B123,INDIRECT($B$5&amp;"生成成长"),4))/(VLOOKUP(EP$72,INDIRECT($C$5&amp;"生成成长"),5))*(VLOOKUP($B$5,标准坦克设计!$B$24:$U$30,MATCH("对"&amp;LEFT($C$5,2)&amp;"输出",标准坦克设计!$B$23:$U$23,0)))*(VLOOKUP($B123,INDIRECT($B$5&amp;"生成成长"),3))*(VLOOKUP($B$5,标准坦克设计!$B$14:$K$20,9)/30))</f>
        <v>48.486785403205175</v>
      </c>
      <c r="EQ123" s="172">
        <f ca="1">(VLOOKUP(EQ$72,INDIRECT($C$5&amp;"生成成长"),2))/((VLOOKUP($B123,INDIRECT($B$5&amp;"生成成长"),4))/(VLOOKUP(EQ$72,INDIRECT($C$5&amp;"生成成长"),5))*(VLOOKUP($B$5,标准坦克设计!$B$24:$U$30,MATCH("对"&amp;LEFT($C$5,2)&amp;"输出",标准坦克设计!$B$23:$U$23,0)))*(VLOOKUP($B123,INDIRECT($B$5&amp;"生成成长"),3))*(VLOOKUP($B$5,标准坦克设计!$B$14:$K$20,9)/30))</f>
        <v>21.434289396450282</v>
      </c>
      <c r="ER123" s="172">
        <f ca="1">(VLOOKUP(ER$72,INDIRECT($C$5&amp;"生成成长"),2))/((VLOOKUP($B123,INDIRECT($B$5&amp;"生成成长"),4))/(VLOOKUP(ER$72,INDIRECT($C$5&amp;"生成成长"),5))*(VLOOKUP($B$5,标准坦克设计!$B$24:$U$30,MATCH("对"&amp;LEFT($C$5,2)&amp;"输出",标准坦克设计!$B$23:$U$23,0)))*(VLOOKUP($B123,INDIRECT($B$5&amp;"生成成长"),3))*(VLOOKUP($B$5,标准坦克设计!$B$14:$K$20,9)/30))</f>
        <v>23.377887080568442</v>
      </c>
      <c r="ES123" s="172">
        <f ca="1">(VLOOKUP(ES$72,INDIRECT($C$5&amp;"生成成长"),2))/((VLOOKUP($B123,INDIRECT($B$5&amp;"生成成长"),4))/(VLOOKUP(ES$72,INDIRECT($C$5&amp;"生成成长"),5))*(VLOOKUP($B$5,标准坦克设计!$B$24:$U$30,MATCH("对"&amp;LEFT($C$5,2)&amp;"输出",标准坦克设计!$B$23:$U$23,0)))*(VLOOKUP($B123,INDIRECT($B$5&amp;"生成成长"),3))*(VLOOKUP($B$5,标准坦克设计!$B$14:$K$20,9)/30))</f>
        <v>25.405822336778513</v>
      </c>
      <c r="ET123" s="172">
        <f ca="1">(VLOOKUP(ET$72,INDIRECT($C$5&amp;"生成成长"),2))/((VLOOKUP($B123,INDIRECT($B$5&amp;"生成成长"),4))/(VLOOKUP(ET$72,INDIRECT($C$5&amp;"生成成长"),5))*(VLOOKUP($B$5,标准坦克设计!$B$24:$U$30,MATCH("对"&amp;LEFT($C$5,2)&amp;"输出",标准坦克设计!$B$23:$U$23,0)))*(VLOOKUP($B123,INDIRECT($B$5&amp;"生成成长"),3))*(VLOOKUP($B$5,标准坦克设计!$B$14:$K$20,9)/30))</f>
        <v>27.518095165080489</v>
      </c>
      <c r="EU123" s="172">
        <f ca="1">(VLOOKUP(EU$72,INDIRECT($C$5&amp;"生成成长"),2))/((VLOOKUP($B123,INDIRECT($B$5&amp;"生成成长"),4))/(VLOOKUP(EU$72,INDIRECT($C$5&amp;"生成成长"),5))*(VLOOKUP($B$5,标准坦克设计!$B$24:$U$30,MATCH("对"&amp;LEFT($C$5,2)&amp;"输出",标准坦克设计!$B$23:$U$23,0)))*(VLOOKUP($B123,INDIRECT($B$5&amp;"生成成长"),3))*(VLOOKUP($B$5,标准坦克设计!$B$14:$K$20,9)/30))</f>
        <v>29.714705565474386</v>
      </c>
      <c r="EV123" s="172">
        <f ca="1">(VLOOKUP(EV$72,INDIRECT($C$5&amp;"生成成长"),2))/((VLOOKUP($B123,INDIRECT($B$5&amp;"生成成长"),4))/(VLOOKUP(EV$72,INDIRECT($C$5&amp;"生成成长"),5))*(VLOOKUP($B$5,标准坦克设计!$B$24:$U$30,MATCH("对"&amp;LEFT($C$5,2)&amp;"输出",标准坦克设计!$B$23:$U$23,0)))*(VLOOKUP($B123,INDIRECT($B$5&amp;"生成成长"),3))*(VLOOKUP($B$5,标准坦克设计!$B$14:$K$20,9)/30))</f>
        <v>31.995653537960202</v>
      </c>
      <c r="EW123" s="172">
        <f ca="1">(VLOOKUP(EW$72,INDIRECT($C$5&amp;"生成成长"),2))/((VLOOKUP($B123,INDIRECT($B$5&amp;"生成成长"),4))/(VLOOKUP(EW$72,INDIRECT($C$5&amp;"生成成长"),5))*(VLOOKUP($B$5,标准坦克设计!$B$24:$U$30,MATCH("对"&amp;LEFT($C$5,2)&amp;"输出",标准坦克设计!$B$23:$U$23,0)))*(VLOOKUP($B123,INDIRECT($B$5&amp;"生成成长"),3))*(VLOOKUP($B$5,标准坦克设计!$B$14:$K$20,9)/30))</f>
        <v>34.360939082537918</v>
      </c>
      <c r="EX123" s="172">
        <f ca="1">(VLOOKUP(EX$72,INDIRECT($C$5&amp;"生成成长"),2))/((VLOOKUP($B123,INDIRECT($B$5&amp;"生成成长"),4))/(VLOOKUP(EX$72,INDIRECT($C$5&amp;"生成成长"),5))*(VLOOKUP($B$5,标准坦克设计!$B$24:$U$30,MATCH("对"&amp;LEFT($C$5,2)&amp;"输出",标准坦克设计!$B$23:$U$23,0)))*(VLOOKUP($B123,INDIRECT($B$5&amp;"生成成长"),3))*(VLOOKUP($B$5,标准坦克设计!$B$14:$K$20,9)/30))</f>
        <v>36.810562199207553</v>
      </c>
      <c r="EY123" s="172">
        <f ca="1">(VLOOKUP(EY$72,INDIRECT($C$5&amp;"生成成长"),2))/((VLOOKUP($B123,INDIRECT($B$5&amp;"生成成长"),4))/(VLOOKUP(EY$72,INDIRECT($C$5&amp;"生成成长"),5))*(VLOOKUP($B$5,标准坦克设计!$B$24:$U$30,MATCH("对"&amp;LEFT($C$5,2)&amp;"输出",标准坦克设计!$B$23:$U$23,0)))*(VLOOKUP($B123,INDIRECT($B$5&amp;"生成成长"),3))*(VLOOKUP($B$5,标准坦克设计!$B$14:$K$20,9)/30))</f>
        <v>39.344522887969099</v>
      </c>
      <c r="EZ123" s="172">
        <f ca="1">(VLOOKUP(EZ$72,INDIRECT($C$5&amp;"生成成长"),2))/((VLOOKUP($B123,INDIRECT($B$5&amp;"生成成长"),4))/(VLOOKUP(EZ$72,INDIRECT($C$5&amp;"生成成长"),5))*(VLOOKUP($B$5,标准坦克设计!$B$24:$U$30,MATCH("对"&amp;LEFT($C$5,2)&amp;"输出",标准坦克设计!$B$23:$U$23,0)))*(VLOOKUP($B123,INDIRECT($B$5&amp;"生成成长"),3))*(VLOOKUP($B$5,标准坦克设计!$B$14:$K$20,9)/30))</f>
        <v>41.962821148822549</v>
      </c>
      <c r="FA123" s="172">
        <f ca="1">(VLOOKUP(FA$72,INDIRECT($C$5&amp;"生成成长"),2))/((VLOOKUP($B123,INDIRECT($B$5&amp;"生成成长"),4))/(VLOOKUP(FA$72,INDIRECT($C$5&amp;"生成成长"),5))*(VLOOKUP($B$5,标准坦克设计!$B$24:$U$30,MATCH("对"&amp;LEFT($C$5,2)&amp;"输出",标准坦克设计!$B$23:$U$23,0)))*(VLOOKUP($B123,INDIRECT($B$5&amp;"生成成长"),3))*(VLOOKUP($B$5,标准坦克设计!$B$14:$K$20,9)/30))</f>
        <v>44.665456981767925</v>
      </c>
      <c r="FB123" s="172">
        <f ca="1">(VLOOKUP(FB$72,INDIRECT($C$5&amp;"生成成长"),2))/((VLOOKUP($B123,INDIRECT($B$5&amp;"生成成长"),4))/(VLOOKUP(FB$72,INDIRECT($C$5&amp;"生成成长"),5))*(VLOOKUP($B$5,标准坦克设计!$B$24:$U$30,MATCH("对"&amp;LEFT($C$5,2)&amp;"输出",标准坦克设计!$B$23:$U$23,0)))*(VLOOKUP($B123,INDIRECT($B$5&amp;"生成成长"),3))*(VLOOKUP($B$5,标准坦克设计!$B$14:$K$20,9)/30))</f>
        <v>47.452430386805204</v>
      </c>
      <c r="FC123" s="172">
        <f ca="1">(VLOOKUP(FC$72,INDIRECT($C$5&amp;"生成成长"),2))/((VLOOKUP($B123,INDIRECT($B$5&amp;"生成成长"),4))/(VLOOKUP(FC$72,INDIRECT($C$5&amp;"生成成长"),5))*(VLOOKUP($B$5,标准坦克设计!$B$24:$U$30,MATCH("对"&amp;LEFT($C$5,2)&amp;"输出",标准坦克设计!$B$23:$U$23,0)))*(VLOOKUP($B123,INDIRECT($B$5&amp;"生成成长"),3))*(VLOOKUP($B$5,标准坦克设计!$B$14:$K$20,9)/30))</f>
        <v>50.323741363934396</v>
      </c>
      <c r="FD123" s="172">
        <f ca="1">(VLOOKUP(FD$72,INDIRECT($C$5&amp;"生成成长"),2))/((VLOOKUP($B123,INDIRECT($B$5&amp;"生成成长"),4))/(VLOOKUP(FD$72,INDIRECT($C$5&amp;"生成成长"),5))*(VLOOKUP($B$5,标准坦克设计!$B$24:$U$30,MATCH("对"&amp;LEFT($C$5,2)&amp;"输出",标准坦克设计!$B$23:$U$23,0)))*(VLOOKUP($B123,INDIRECT($B$5&amp;"生成成长"),3))*(VLOOKUP($B$5,标准坦克设计!$B$14:$K$20,9)/30))</f>
        <v>53.279389913155484</v>
      </c>
      <c r="FE123" s="172">
        <f ca="1">(VLOOKUP(FE$72,INDIRECT($C$5&amp;"生成成长"),2))/((VLOOKUP($B123,INDIRECT($B$5&amp;"生成成长"),4))/(VLOOKUP(FE$72,INDIRECT($C$5&amp;"生成成长"),5))*(VLOOKUP($B$5,标准坦克设计!$B$24:$U$30,MATCH("对"&amp;LEFT($C$5,2)&amp;"输出",标准坦克设计!$B$23:$U$23,0)))*(VLOOKUP($B123,INDIRECT($B$5&amp;"生成成长"),3))*(VLOOKUP($B$5,标准坦克设计!$B$14:$K$20,9)/30))</f>
        <v>56.881161845262568</v>
      </c>
      <c r="FF123" s="172">
        <f ca="1">(VLOOKUP(FF$72,INDIRECT($C$5&amp;"生成成长"),2))/((VLOOKUP($B123,INDIRECT($B$5&amp;"生成成长"),4))/(VLOOKUP(FF$72,INDIRECT($C$5&amp;"生成成长"),5))*(VLOOKUP($B$5,标准坦克设计!$B$24:$U$30,MATCH("对"&amp;LEFT($C$5,2)&amp;"输出",标准坦克设计!$B$23:$U$23,0)))*(VLOOKUP($B123,INDIRECT($B$5&amp;"生成成长"),3))*(VLOOKUP($B$5,标准坦克设计!$B$14:$K$20,9)/30))</f>
        <v>60.600727576407124</v>
      </c>
      <c r="FG123" s="172">
        <f ca="1">(VLOOKUP(FG$72,INDIRECT($C$5&amp;"生成成长"),2))/((VLOOKUP($B123,INDIRECT($B$5&amp;"生成成长"),4))/(VLOOKUP(FG$72,INDIRECT($C$5&amp;"生成成长"),5))*(VLOOKUP($B$5,标准坦克设计!$B$24:$U$30,MATCH("对"&amp;LEFT($C$5,2)&amp;"输出",标准坦克设计!$B$23:$U$23,0)))*(VLOOKUP($B123,INDIRECT($B$5&amp;"生成成长"),3))*(VLOOKUP($B$5,标准坦克设计!$B$14:$K$20,9)/30))</f>
        <v>64.438087106589109</v>
      </c>
      <c r="FH123" s="172">
        <f ca="1">(VLOOKUP(FH$72,INDIRECT($C$5&amp;"生成成长"),2))/((VLOOKUP($B123,INDIRECT($B$5&amp;"生成成长"),4))/(VLOOKUP(FH$72,INDIRECT($C$5&amp;"生成成长"),5))*(VLOOKUP($B$5,标准坦克设计!$B$24:$U$30,MATCH("对"&amp;LEFT($C$5,2)&amp;"输出",标准坦克设计!$B$23:$U$23,0)))*(VLOOKUP($B123,INDIRECT($B$5&amp;"生成成长"),3))*(VLOOKUP($B$5,标准坦克设计!$B$14:$K$20,9)/30))</f>
        <v>68.393240435808579</v>
      </c>
      <c r="FI123" s="172">
        <f ca="1">(VLOOKUP(FI$72,INDIRECT($C$5&amp;"生成成长"),2))/((VLOOKUP($B123,INDIRECT($B$5&amp;"生成成长"),4))/(VLOOKUP(FI$72,INDIRECT($C$5&amp;"生成成长"),5))*(VLOOKUP($B$5,标准坦克设计!$B$24:$U$30,MATCH("对"&amp;LEFT($C$5,2)&amp;"输出",标准坦克设计!$B$23:$U$23,0)))*(VLOOKUP($B123,INDIRECT($B$5&amp;"生成成长"),3))*(VLOOKUP($B$5,标准坦克设计!$B$14:$K$20,9)/30))</f>
        <v>72.466187564065521</v>
      </c>
      <c r="FJ123" s="172">
        <f ca="1">(VLOOKUP(FJ$72,INDIRECT($C$5&amp;"生成成长"),2))/((VLOOKUP($B123,INDIRECT($B$5&amp;"生成成长"),4))/(VLOOKUP(FJ$72,INDIRECT($C$5&amp;"生成成长"),5))*(VLOOKUP($B$5,标准坦克设计!$B$24:$U$30,MATCH("对"&amp;LEFT($C$5,2)&amp;"输出",标准坦克设计!$B$23:$U$23,0)))*(VLOOKUP($B123,INDIRECT($B$5&amp;"生成成长"),3))*(VLOOKUP($B$5,标准坦克设计!$B$14:$K$20,9)/30))</f>
        <v>76.656928491359906</v>
      </c>
      <c r="FK123" s="172">
        <f ca="1">(VLOOKUP(FK$72,INDIRECT($C$5&amp;"生成成长"),2))/((VLOOKUP($B123,INDIRECT($B$5&amp;"生成成长"),4))/(VLOOKUP(FK$72,INDIRECT($C$5&amp;"生成成长"),5))*(VLOOKUP($B$5,标准坦克设计!$B$24:$U$30,MATCH("对"&amp;LEFT($C$5,2)&amp;"输出",标准坦克设计!$B$23:$U$23,0)))*(VLOOKUP($B123,INDIRECT($B$5&amp;"生成成长"),3))*(VLOOKUP($B$5,标准坦克设计!$B$14:$K$20,9)/30))</f>
        <v>80.965463217691777</v>
      </c>
    </row>
    <row r="124" spans="1:167" x14ac:dyDescent="0.15">
      <c r="A124" s="170" t="str">
        <f t="shared" si="11"/>
        <v>T2中品质7级</v>
      </c>
      <c r="B124" s="171">
        <v>20207</v>
      </c>
      <c r="C124" s="172">
        <f ca="1">(VLOOKUP(C$72,INDIRECT($C$5&amp;"生成成长"),2))/((VLOOKUP($B124,INDIRECT($B$5&amp;"生成成长"),4))/(VLOOKUP(C$72,INDIRECT($C$5&amp;"生成成长"),5))*(VLOOKUP($B$5,标准坦克设计!$B$24:$U$30,MATCH("对"&amp;LEFT($C$5,2)&amp;"输出",标准坦克设计!$B$23:$U$23,0)))*(VLOOKUP($B124,INDIRECT($B$5&amp;"生成成长"),3))*(VLOOKUP($B$5,标准坦克设计!$B$14:$K$20,9)/30))</f>
        <v>3.1558242015955207</v>
      </c>
      <c r="D124" s="172">
        <f ca="1">(VLOOKUP(D$72,INDIRECT($C$5&amp;"生成成长"),2))/((VLOOKUP($B124,INDIRECT($B$5&amp;"生成成长"),4))/(VLOOKUP(D$72,INDIRECT($C$5&amp;"生成成长"),5))*(VLOOKUP($B$5,标准坦克设计!$B$24:$U$30,MATCH("对"&amp;LEFT($C$5,2)&amp;"输出",标准坦克设计!$B$23:$U$23,0)))*(VLOOKUP($B124,INDIRECT($B$5&amp;"生成成长"),3))*(VLOOKUP($B$5,标准坦克设计!$B$14:$K$20,9)/30))</f>
        <v>3.5458840729127261</v>
      </c>
      <c r="E124" s="172">
        <f ca="1">(VLOOKUP(E$72,INDIRECT($C$5&amp;"生成成长"),2))/((VLOOKUP($B124,INDIRECT($B$5&amp;"生成成长"),4))/(VLOOKUP(E$72,INDIRECT($C$5&amp;"生成成长"),5))*(VLOOKUP($B$5,标准坦克设计!$B$24:$U$30,MATCH("对"&amp;LEFT($C$5,2)&amp;"输出",标准坦克设计!$B$23:$U$23,0)))*(VLOOKUP($B124,INDIRECT($B$5&amp;"生成成长"),3))*(VLOOKUP($B$5,标准坦克设计!$B$14:$K$20,9)/30))</f>
        <v>3.9586658784814208</v>
      </c>
      <c r="F124" s="172">
        <f ca="1">(VLOOKUP(F$72,INDIRECT($C$5&amp;"生成成长"),2))/((VLOOKUP($B124,INDIRECT($B$5&amp;"生成成长"),4))/(VLOOKUP(F$72,INDIRECT($C$5&amp;"生成成长"),5))*(VLOOKUP($B$5,标准坦克设计!$B$24:$U$30,MATCH("对"&amp;LEFT($C$5,2)&amp;"输出",标准坦克设计!$B$23:$U$23,0)))*(VLOOKUP($B124,INDIRECT($B$5&amp;"生成成长"),3))*(VLOOKUP($B$5,标准坦克设计!$B$14:$K$20,9)/30))</f>
        <v>4.3941696183016026</v>
      </c>
      <c r="G124" s="172">
        <f ca="1">(VLOOKUP(G$72,INDIRECT($C$5&amp;"生成成长"),2))/((VLOOKUP($B124,INDIRECT($B$5&amp;"生成成长"),4))/(VLOOKUP(G$72,INDIRECT($C$5&amp;"生成成长"),5))*(VLOOKUP($B$5,标准坦克设计!$B$24:$U$30,MATCH("对"&amp;LEFT($C$5,2)&amp;"输出",标准坦克设计!$B$23:$U$23,0)))*(VLOOKUP($B124,INDIRECT($B$5&amp;"生成成长"),3))*(VLOOKUP($B$5,标准坦克设计!$B$14:$K$20,9)/30))</f>
        <v>4.8523952923732727</v>
      </c>
      <c r="H124" s="172">
        <f ca="1">(VLOOKUP(H$72,INDIRECT($C$5&amp;"生成成长"),2))/((VLOOKUP($B124,INDIRECT($B$5&amp;"生成成长"),4))/(VLOOKUP(H$72,INDIRECT($C$5&amp;"生成成长"),5))*(VLOOKUP($B$5,标准坦克设计!$B$24:$U$30,MATCH("对"&amp;LEFT($C$5,2)&amp;"输出",标准坦克设计!$B$23:$U$23,0)))*(VLOOKUP($B124,INDIRECT($B$5&amp;"生成成长"),3))*(VLOOKUP($B$5,标准坦克设计!$B$14:$K$20,9)/30))</f>
        <v>4.2464770456669321</v>
      </c>
      <c r="I124" s="172">
        <f ca="1">(VLOOKUP(I$72,INDIRECT($C$5&amp;"生成成长"),2))/((VLOOKUP($B124,INDIRECT($B$5&amp;"生成成长"),4))/(VLOOKUP(I$72,INDIRECT($C$5&amp;"生成成长"),5))*(VLOOKUP($B$5,标准坦克设计!$B$24:$U$30,MATCH("对"&amp;LEFT($C$5,2)&amp;"输出",标准坦克设计!$B$23:$U$23,0)))*(VLOOKUP($B124,INDIRECT($B$5&amp;"生成成长"),3))*(VLOOKUP($B$5,标准坦克设计!$B$14:$K$20,9)/30))</f>
        <v>4.8523952923732727</v>
      </c>
      <c r="J124" s="172">
        <f ca="1">(VLOOKUP(J$72,INDIRECT($C$5&amp;"生成成长"),2))/((VLOOKUP($B124,INDIRECT($B$5&amp;"生成成长"),4))/(VLOOKUP(J$72,INDIRECT($C$5&amp;"生成成长"),5))*(VLOOKUP($B$5,标准坦克设计!$B$24:$U$30,MATCH("对"&amp;LEFT($C$5,2)&amp;"输出",标准坦克设计!$B$23:$U$23,0)))*(VLOOKUP($B124,INDIRECT($B$5&amp;"生成成长"),3))*(VLOOKUP($B$5,标准坦克设计!$B$14:$K$20,9)/30))</f>
        <v>5.4987080888600355</v>
      </c>
      <c r="K124" s="172">
        <f ca="1">(VLOOKUP(K$72,INDIRECT($C$5&amp;"生成成长"),2))/((VLOOKUP($B124,INDIRECT($B$5&amp;"生成成长"),4))/(VLOOKUP(K$72,INDIRECT($C$5&amp;"生成成长"),5))*(VLOOKUP($B$5,标准坦克设计!$B$24:$U$30,MATCH("对"&amp;LEFT($C$5,2)&amp;"输出",标准坦克设计!$B$23:$U$23,0)))*(VLOOKUP($B124,INDIRECT($B$5&amp;"生成成长"),3))*(VLOOKUP($B$5,标准坦克设计!$B$14:$K$20,9)/30))</f>
        <v>6.1854154351272204</v>
      </c>
      <c r="L124" s="172">
        <f ca="1">(VLOOKUP(L$72,INDIRECT($C$5&amp;"生成成长"),2))/((VLOOKUP($B124,INDIRECT($B$5&amp;"生成成长"),4))/(VLOOKUP(L$72,INDIRECT($C$5&amp;"生成成长"),5))*(VLOOKUP($B$5,标准坦克设计!$B$24:$U$30,MATCH("对"&amp;LEFT($C$5,2)&amp;"输出",标准坦克设计!$B$23:$U$23,0)))*(VLOOKUP($B124,INDIRECT($B$5&amp;"生成成长"),3))*(VLOOKUP($B$5,标准坦克设计!$B$14:$K$20,9)/30))</f>
        <v>6.9125173311748274</v>
      </c>
      <c r="M124" s="172">
        <f ca="1">(VLOOKUP(M$72,INDIRECT($C$5&amp;"生成成长"),2))/((VLOOKUP($B124,INDIRECT($B$5&amp;"生成成长"),4))/(VLOOKUP(M$72,INDIRECT($C$5&amp;"生成成长"),5))*(VLOOKUP($B$5,标准坦克设计!$B$24:$U$30,MATCH("对"&amp;LEFT($C$5,2)&amp;"输出",标准坦克设计!$B$23:$U$23,0)))*(VLOOKUP($B124,INDIRECT($B$5&amp;"生成成长"),3))*(VLOOKUP($B$5,标准坦克设计!$B$14:$K$20,9)/30))</f>
        <v>7.6800137770028591</v>
      </c>
      <c r="N124" s="172">
        <f ca="1">(VLOOKUP(N$72,INDIRECT($C$5&amp;"生成成长"),2))/((VLOOKUP($B124,INDIRECT($B$5&amp;"生成成长"),4))/(VLOOKUP(N$72,INDIRECT($C$5&amp;"生成成长"),5))*(VLOOKUP($B$5,标准坦克设计!$B$24:$U$30,MATCH("对"&amp;LEFT($C$5,2)&amp;"输出",标准坦克设计!$B$23:$U$23,0)))*(VLOOKUP($B124,INDIRECT($B$5&amp;"生成成长"),3))*(VLOOKUP($B$5,标准坦克设计!$B$14:$K$20,9)/30))</f>
        <v>8.4879047726113104</v>
      </c>
      <c r="O124" s="172">
        <f ca="1">(VLOOKUP(O$72,INDIRECT($C$5&amp;"生成成长"),2))/((VLOOKUP($B124,INDIRECT($B$5&amp;"生成成长"),4))/(VLOOKUP(O$72,INDIRECT($C$5&amp;"生成成长"),5))*(VLOOKUP($B$5,标准坦克设计!$B$24:$U$30,MATCH("对"&amp;LEFT($C$5,2)&amp;"输出",标准坦克设计!$B$23:$U$23,0)))*(VLOOKUP($B124,INDIRECT($B$5&amp;"生成成长"),3))*(VLOOKUP($B$5,标准坦克设计!$B$14:$K$20,9)/30))</f>
        <v>6.4533449098426798</v>
      </c>
      <c r="P124" s="172">
        <f ca="1">(VLOOKUP(P$72,INDIRECT($C$5&amp;"生成成长"),2))/((VLOOKUP($B124,INDIRECT($B$5&amp;"生成成长"),4))/(VLOOKUP(P$72,INDIRECT($C$5&amp;"生成成长"),5))*(VLOOKUP($B$5,标准坦克设计!$B$24:$U$30,MATCH("对"&amp;LEFT($C$5,2)&amp;"输出",标准坦克设计!$B$23:$U$23,0)))*(VLOOKUP($B124,INDIRECT($B$5&amp;"生成成长"),3))*(VLOOKUP($B$5,标准坦克设计!$B$14:$K$20,9)/30))</f>
        <v>7.2912162353662895</v>
      </c>
      <c r="Q124" s="172">
        <f ca="1">(VLOOKUP(Q$72,INDIRECT($C$5&amp;"生成成长"),2))/((VLOOKUP($B124,INDIRECT($B$5&amp;"生成成长"),4))/(VLOOKUP(Q$72,INDIRECT($C$5&amp;"生成成长"),5))*(VLOOKUP($B$5,标准坦克设计!$B$24:$U$30,MATCH("对"&amp;LEFT($C$5,2)&amp;"输出",标准坦克设计!$B$23:$U$23,0)))*(VLOOKUP($B124,INDIRECT($B$5&amp;"生成成长"),3))*(VLOOKUP($B$5,标准坦克设计!$B$14:$K$20,9)/30))</f>
        <v>8.1802119129557482</v>
      </c>
      <c r="R124" s="172">
        <f ca="1">(VLOOKUP(R$72,INDIRECT($C$5&amp;"生成成长"),2))/((VLOOKUP($B124,INDIRECT($B$5&amp;"生成成长"),4))/(VLOOKUP(R$72,INDIRECT($C$5&amp;"生成成长"),5))*(VLOOKUP($B$5,标准坦克设计!$B$24:$U$30,MATCH("对"&amp;LEFT($C$5,2)&amp;"输出",标准坦克设计!$B$23:$U$23,0)))*(VLOOKUP($B124,INDIRECT($B$5&amp;"生成成长"),3))*(VLOOKUP($B$5,标准坦克设计!$B$14:$K$20,9)/30))</f>
        <v>9.1203319426110543</v>
      </c>
      <c r="S124" s="172">
        <f ca="1">(VLOOKUP(S$72,INDIRECT($C$5&amp;"生成成长"),2))/((VLOOKUP($B124,INDIRECT($B$5&amp;"生成成长"),4))/(VLOOKUP(S$72,INDIRECT($C$5&amp;"生成成长"),5))*(VLOOKUP($B$5,标准坦克设计!$B$24:$U$30,MATCH("对"&amp;LEFT($C$5,2)&amp;"输出",标准坦克设计!$B$23:$U$23,0)))*(VLOOKUP($B124,INDIRECT($B$5&amp;"生成成长"),3))*(VLOOKUP($B$5,标准坦克设计!$B$14:$K$20,9)/30))</f>
        <v>10.111576324332207</v>
      </c>
      <c r="T124" s="172">
        <f ca="1">(VLOOKUP(T$72,INDIRECT($C$5&amp;"生成成长"),2))/((VLOOKUP($B124,INDIRECT($B$5&amp;"生成成长"),4))/(VLOOKUP(T$72,INDIRECT($C$5&amp;"生成成长"),5))*(VLOOKUP($B$5,标准坦克设计!$B$24:$U$30,MATCH("对"&amp;LEFT($C$5,2)&amp;"输出",标准坦克设计!$B$23:$U$23,0)))*(VLOOKUP($B124,INDIRECT($B$5&amp;"生成成长"),3))*(VLOOKUP($B$5,标准坦克设计!$B$14:$K$20,9)/30))</f>
        <v>11.153945058119207</v>
      </c>
      <c r="U124" s="172">
        <f ca="1">(VLOOKUP(U$72,INDIRECT($C$5&amp;"生成成长"),2))/((VLOOKUP($B124,INDIRECT($B$5&amp;"生成成长"),4))/(VLOOKUP(U$72,INDIRECT($C$5&amp;"生成成长"),5))*(VLOOKUP($B$5,标准坦克设计!$B$24:$U$30,MATCH("对"&amp;LEFT($C$5,2)&amp;"输出",标准坦克设计!$B$23:$U$23,0)))*(VLOOKUP($B124,INDIRECT($B$5&amp;"生成成长"),3))*(VLOOKUP($B$5,标准坦克设计!$B$14:$K$20,9)/30))</f>
        <v>12.247438143972056</v>
      </c>
      <c r="V124" s="172">
        <f ca="1">(VLOOKUP(V$72,INDIRECT($C$5&amp;"生成成长"),2))/((VLOOKUP($B124,INDIRECT($B$5&amp;"生成成长"),4))/(VLOOKUP(V$72,INDIRECT($C$5&amp;"生成成长"),5))*(VLOOKUP($B$5,标准坦克设计!$B$24:$U$30,MATCH("对"&amp;LEFT($C$5,2)&amp;"输出",标准坦克设计!$B$23:$U$23,0)))*(VLOOKUP($B124,INDIRECT($B$5&amp;"生成成长"),3))*(VLOOKUP($B$5,标准坦克设计!$B$14:$K$20,9)/30))</f>
        <v>13.392055581890752</v>
      </c>
      <c r="W124" s="172">
        <f ca="1">(VLOOKUP(W$72,INDIRECT($C$5&amp;"生成成长"),2))/((VLOOKUP($B124,INDIRECT($B$5&amp;"生成成长"),4))/(VLOOKUP(W$72,INDIRECT($C$5&amp;"生成成长"),5))*(VLOOKUP($B$5,标准坦克设计!$B$24:$U$30,MATCH("对"&amp;LEFT($C$5,2)&amp;"输出",标准坦克设计!$B$23:$U$23,0)))*(VLOOKUP($B124,INDIRECT($B$5&amp;"生成成长"),3))*(VLOOKUP($B$5,标准坦克设计!$B$14:$K$20,9)/30))</f>
        <v>14.587797371875293</v>
      </c>
      <c r="X124" s="172">
        <f ca="1">(VLOOKUP(X$72,INDIRECT($C$5&amp;"生成成长"),2))/((VLOOKUP($B124,INDIRECT($B$5&amp;"生成成长"),4))/(VLOOKUP(X$72,INDIRECT($C$5&amp;"生成成长"),5))*(VLOOKUP($B$5,标准坦克设计!$B$24:$U$30,MATCH("对"&amp;LEFT($C$5,2)&amp;"输出",标准坦克设计!$B$23:$U$23,0)))*(VLOOKUP($B124,INDIRECT($B$5&amp;"生成成长"),3))*(VLOOKUP($B$5,标准坦克设计!$B$14:$K$20,9)/30))</f>
        <v>10.568539668723238</v>
      </c>
      <c r="Y124" s="172">
        <f ca="1">(VLOOKUP(Y$72,INDIRECT($C$5&amp;"生成成长"),2))/((VLOOKUP($B124,INDIRECT($B$5&amp;"生成成长"),4))/(VLOOKUP(Y$72,INDIRECT($C$5&amp;"生成成长"),5))*(VLOOKUP($B$5,标准坦克设计!$B$24:$U$30,MATCH("对"&amp;LEFT($C$5,2)&amp;"输出",标准坦克设计!$B$23:$U$23,0)))*(VLOOKUP($B124,INDIRECT($B$5&amp;"生成成长"),3))*(VLOOKUP($B$5,标准坦克设计!$B$14:$K$20,9)/30))</f>
        <v>11.755129568523152</v>
      </c>
      <c r="Z124" s="172">
        <f ca="1">(VLOOKUP(Z$72,INDIRECT($C$5&amp;"生成成长"),2))/((VLOOKUP($B124,INDIRECT($B$5&amp;"生成成长"),4))/(VLOOKUP(Z$72,INDIRECT($C$5&amp;"生成成长"),5))*(VLOOKUP($B$5,标准坦克设计!$B$24:$U$30,MATCH("对"&amp;LEFT($C$5,2)&amp;"输出",标准坦克设计!$B$23:$U$23,0)))*(VLOOKUP($B124,INDIRECT($B$5&amp;"生成成长"),3))*(VLOOKUP($B$5,标准坦克设计!$B$14:$K$20,9)/30))</f>
        <v>13.004835952354981</v>
      </c>
      <c r="AA124" s="172">
        <f ca="1">(VLOOKUP(AA$72,INDIRECT($C$5&amp;"生成成长"),2))/((VLOOKUP($B124,INDIRECT($B$5&amp;"生成成长"),4))/(VLOOKUP(AA$72,INDIRECT($C$5&amp;"生成成长"),5))*(VLOOKUP($B$5,标准坦克设计!$B$24:$U$30,MATCH("对"&amp;LEFT($C$5,2)&amp;"输出",标准坦克设计!$B$23:$U$23,0)))*(VLOOKUP($B124,INDIRECT($B$5&amp;"生成成长"),3))*(VLOOKUP($B$5,标准坦克设计!$B$14:$K$20,9)/30))</f>
        <v>14.317658820218714</v>
      </c>
      <c r="AB124" s="172">
        <f ca="1">(VLOOKUP(AB$72,INDIRECT($C$5&amp;"生成成长"),2))/((VLOOKUP($B124,INDIRECT($B$5&amp;"生成成长"),4))/(VLOOKUP(AB$72,INDIRECT($C$5&amp;"生成成长"),5))*(VLOOKUP($B$5,标准坦克设计!$B$24:$U$30,MATCH("对"&amp;LEFT($C$5,2)&amp;"输出",标准坦克设计!$B$23:$U$23,0)))*(VLOOKUP($B124,INDIRECT($B$5&amp;"生成成长"),3))*(VLOOKUP($B$5,标准坦克设计!$B$14:$K$20,9)/30))</f>
        <v>15.693598172114362</v>
      </c>
      <c r="AC124" s="172">
        <f ca="1">(VLOOKUP(AC$72,INDIRECT($C$5&amp;"生成成长"),2))/((VLOOKUP($B124,INDIRECT($B$5&amp;"生成成长"),4))/(VLOOKUP(AC$72,INDIRECT($C$5&amp;"生成成长"),5))*(VLOOKUP($B$5,标准坦克设计!$B$24:$U$30,MATCH("对"&amp;LEFT($C$5,2)&amp;"输出",标准坦克设计!$B$23:$U$23,0)))*(VLOOKUP($B124,INDIRECT($B$5&amp;"生成成长"),3))*(VLOOKUP($B$5,标准坦克设计!$B$14:$K$20,9)/30))</f>
        <v>17.132654008041921</v>
      </c>
      <c r="AD124" s="172">
        <f ca="1">(VLOOKUP(AD$72,INDIRECT($C$5&amp;"生成成长"),2))/((VLOOKUP($B124,INDIRECT($B$5&amp;"生成成长"),4))/(VLOOKUP(AD$72,INDIRECT($C$5&amp;"生成成长"),5))*(VLOOKUP($B$5,标准坦克设计!$B$24:$U$30,MATCH("对"&amp;LEFT($C$5,2)&amp;"输出",标准坦克设计!$B$23:$U$23,0)))*(VLOOKUP($B124,INDIRECT($B$5&amp;"生成成长"),3))*(VLOOKUP($B$5,标准坦克设计!$B$14:$K$20,9)/30))</f>
        <v>18.634826328001388</v>
      </c>
      <c r="AE124" s="172">
        <f ca="1">(VLOOKUP(AE$72,INDIRECT($C$5&amp;"生成成长"),2))/((VLOOKUP($B124,INDIRECT($B$5&amp;"生成成长"),4))/(VLOOKUP(AE$72,INDIRECT($C$5&amp;"生成成长"),5))*(VLOOKUP($B$5,标准坦克设计!$B$24:$U$30,MATCH("对"&amp;LEFT($C$5,2)&amp;"输出",标准坦克设计!$B$23:$U$23,0)))*(VLOOKUP($B124,INDIRECT($B$5&amp;"生成成长"),3))*(VLOOKUP($B$5,标准坦克设计!$B$14:$K$20,9)/30))</f>
        <v>20.200115131992767</v>
      </c>
      <c r="AF124" s="172">
        <f ca="1">(VLOOKUP(AF$72,INDIRECT($C$5&amp;"生成成长"),2))/((VLOOKUP($B124,INDIRECT($B$5&amp;"生成成长"),4))/(VLOOKUP(AF$72,INDIRECT($C$5&amp;"生成成长"),5))*(VLOOKUP($B$5,标准坦克设计!$B$24:$U$30,MATCH("对"&amp;LEFT($C$5,2)&amp;"输出",标准坦克设计!$B$23:$U$23,0)))*(VLOOKUP($B124,INDIRECT($B$5&amp;"生成成长"),3))*(VLOOKUP($B$5,标准坦克设计!$B$14:$K$20,9)/30))</f>
        <v>21.828520420016055</v>
      </c>
      <c r="AG124" s="172">
        <f ca="1">(VLOOKUP(AG$72,INDIRECT($C$5&amp;"生成成长"),2))/((VLOOKUP($B124,INDIRECT($B$5&amp;"生成成长"),4))/(VLOOKUP(AG$72,INDIRECT($C$5&amp;"生成成长"),5))*(VLOOKUP($B$5,标准坦克设计!$B$24:$U$30,MATCH("对"&amp;LEFT($C$5,2)&amp;"输出",标准坦克设计!$B$23:$U$23,0)))*(VLOOKUP($B124,INDIRECT($B$5&amp;"生成成长"),3))*(VLOOKUP($B$5,标准坦克设计!$B$14:$K$20,9)/30))</f>
        <v>23.520042192071259</v>
      </c>
      <c r="AH124" s="172">
        <f ca="1">(VLOOKUP(AH$72,INDIRECT($C$5&amp;"生成成长"),2))/((VLOOKUP($B124,INDIRECT($B$5&amp;"生成成长"),4))/(VLOOKUP(AH$72,INDIRECT($C$5&amp;"生成成长"),5))*(VLOOKUP($B$5,标准坦克设计!$B$24:$U$30,MATCH("对"&amp;LEFT($C$5,2)&amp;"输出",标准坦克设计!$B$23:$U$23,0)))*(VLOOKUP($B124,INDIRECT($B$5&amp;"生成成长"),3))*(VLOOKUP($B$5,标准坦克设计!$B$14:$K$20,9)/30))</f>
        <v>25.274680448158367</v>
      </c>
      <c r="AI124" s="172">
        <f ca="1">(VLOOKUP(AI$72,INDIRECT($C$5&amp;"生成成长"),2))/((VLOOKUP($B124,INDIRECT($B$5&amp;"生成成长"),4))/(VLOOKUP(AI$72,INDIRECT($C$5&amp;"生成成长"),5))*(VLOOKUP($B$5,标准坦克设计!$B$24:$U$30,MATCH("对"&amp;LEFT($C$5,2)&amp;"输出",标准坦克设计!$B$23:$U$23,0)))*(VLOOKUP($B124,INDIRECT($B$5&amp;"生成成长"),3))*(VLOOKUP($B$5,标准坦克设计!$B$14:$K$20,9)/30))</f>
        <v>17.875850607517666</v>
      </c>
      <c r="AJ124" s="172">
        <f ca="1">(VLOOKUP(AJ$72,INDIRECT($C$5&amp;"生成成长"),2))/((VLOOKUP($B124,INDIRECT($B$5&amp;"生成成长"),4))/(VLOOKUP(AJ$72,INDIRECT($C$5&amp;"生成成长"),5))*(VLOOKUP($B$5,标准坦克设计!$B$24:$U$30,MATCH("对"&amp;LEFT($C$5,2)&amp;"输出",标准坦克设计!$B$23:$U$23,0)))*(VLOOKUP($B124,INDIRECT($B$5&amp;"生成成长"),3))*(VLOOKUP($B$5,标准坦克设计!$B$14:$K$20,9)/30))</f>
        <v>19.566425632312388</v>
      </c>
      <c r="AK124" s="172">
        <f ca="1">(VLOOKUP(AK$72,INDIRECT($C$5&amp;"生成成长"),2))/((VLOOKUP($B124,INDIRECT($B$5&amp;"生成成长"),4))/(VLOOKUP(AK$72,INDIRECT($C$5&amp;"生成成长"),5))*(VLOOKUP($B$5,标准坦克设计!$B$24:$U$30,MATCH("对"&amp;LEFT($C$5,2)&amp;"输出",标准坦克设计!$B$23:$U$23,0)))*(VLOOKUP($B124,INDIRECT($B$5&amp;"生成成长"),3))*(VLOOKUP($B$5,标准坦克设计!$B$14:$K$20,9)/30))</f>
        <v>21.333371602785718</v>
      </c>
      <c r="AL124" s="172">
        <f ca="1">(VLOOKUP(AL$72,INDIRECT($C$5&amp;"生成成长"),2))/((VLOOKUP($B124,INDIRECT($B$5&amp;"生成成长"),4))/(VLOOKUP(AL$72,INDIRECT($C$5&amp;"生成成长"),5))*(VLOOKUP($B$5,标准坦克设计!$B$24:$U$30,MATCH("对"&amp;LEFT($C$5,2)&amp;"输出",标准坦克设计!$B$23:$U$23,0)))*(VLOOKUP($B124,INDIRECT($B$5&amp;"生成成长"),3))*(VLOOKUP($B$5,标准坦克设计!$B$14:$K$20,9)/30))</f>
        <v>23.176688518937663</v>
      </c>
      <c r="AM124" s="172">
        <f ca="1">(VLOOKUP(AM$72,INDIRECT($C$5&amp;"生成成长"),2))/((VLOOKUP($B124,INDIRECT($B$5&amp;"生成成长"),4))/(VLOOKUP(AM$72,INDIRECT($C$5&amp;"生成成长"),5))*(VLOOKUP($B$5,标准坦克设计!$B$24:$U$30,MATCH("对"&amp;LEFT($C$5,2)&amp;"输出",标准坦克设计!$B$23:$U$23,0)))*(VLOOKUP($B124,INDIRECT($B$5&amp;"生成成长"),3))*(VLOOKUP($B$5,标准坦克设计!$B$14:$K$20,9)/30))</f>
        <v>25.09637638076822</v>
      </c>
      <c r="AN124" s="172">
        <f ca="1">(VLOOKUP(AN$72,INDIRECT($C$5&amp;"生成成长"),2))/((VLOOKUP($B124,INDIRECT($B$5&amp;"生成成长"),4))/(VLOOKUP(AN$72,INDIRECT($C$5&amp;"生成成长"),5))*(VLOOKUP($B$5,标准坦克设计!$B$24:$U$30,MATCH("对"&amp;LEFT($C$5,2)&amp;"输出",标准坦克设计!$B$23:$U$23,0)))*(VLOOKUP($B124,INDIRECT($B$5&amp;"生成成长"),3))*(VLOOKUP($B$5,标准坦克设计!$B$14:$K$20,9)/30))</f>
        <v>27.092435188277381</v>
      </c>
      <c r="AO124" s="172">
        <f ca="1">(VLOOKUP(AO$72,INDIRECT($C$5&amp;"生成成长"),2))/((VLOOKUP($B124,INDIRECT($B$5&amp;"生成成长"),4))/(VLOOKUP(AO$72,INDIRECT($C$5&amp;"生成成长"),5))*(VLOOKUP($B$5,标准坦克设计!$B$24:$U$30,MATCH("对"&amp;LEFT($C$5,2)&amp;"输出",标准坦克设计!$B$23:$U$23,0)))*(VLOOKUP($B124,INDIRECT($B$5&amp;"生成成长"),3))*(VLOOKUP($B$5,标准坦克设计!$B$14:$K$20,9)/30))</f>
        <v>29.164864941465158</v>
      </c>
      <c r="AP124" s="172">
        <f ca="1">(VLOOKUP(AP$72,INDIRECT($C$5&amp;"生成成长"),2))/((VLOOKUP($B124,INDIRECT($B$5&amp;"生成成长"),4))/(VLOOKUP(AP$72,INDIRECT($C$5&amp;"生成成长"),5))*(VLOOKUP($B$5,标准坦克设计!$B$24:$U$30,MATCH("对"&amp;LEFT($C$5,2)&amp;"输出",标准坦克设计!$B$23:$U$23,0)))*(VLOOKUP($B124,INDIRECT($B$5&amp;"生成成长"),3))*(VLOOKUP($B$5,标准坦克设计!$B$14:$K$20,9)/30))</f>
        <v>31.313665640331553</v>
      </c>
      <c r="AQ124" s="172">
        <f ca="1">(VLOOKUP(AQ$72,INDIRECT($C$5&amp;"生成成长"),2))/((VLOOKUP($B124,INDIRECT($B$5&amp;"生成成长"),4))/(VLOOKUP(AQ$72,INDIRECT($C$5&amp;"生成成长"),5))*(VLOOKUP($B$5,标准坦克设计!$B$24:$U$30,MATCH("对"&amp;LEFT($C$5,2)&amp;"输出",标准坦克设计!$B$23:$U$23,0)))*(VLOOKUP($B124,INDIRECT($B$5&amp;"生成成长"),3))*(VLOOKUP($B$5,标准坦克设计!$B$14:$K$20,9)/30))</f>
        <v>33.538837284876557</v>
      </c>
      <c r="AR124" s="172">
        <f ca="1">(VLOOKUP(AR$72,INDIRECT($C$5&amp;"生成成长"),2))/((VLOOKUP($B124,INDIRECT($B$5&amp;"生成成长"),4))/(VLOOKUP(AR$72,INDIRECT($C$5&amp;"生成成长"),5))*(VLOOKUP($B$5,标准坦克设计!$B$24:$U$30,MATCH("对"&amp;LEFT($C$5,2)&amp;"输出",标准坦克设计!$B$23:$U$23,0)))*(VLOOKUP($B124,INDIRECT($B$5&amp;"生成成长"),3))*(VLOOKUP($B$5,标准坦克设计!$B$14:$K$20,9)/30))</f>
        <v>35.840379875100169</v>
      </c>
      <c r="AS124" s="172">
        <f ca="1">(VLOOKUP(AS$72,INDIRECT($C$5&amp;"生成成长"),2))/((VLOOKUP($B124,INDIRECT($B$5&amp;"生成成长"),4))/(VLOOKUP(AS$72,INDIRECT($C$5&amp;"生成成长"),5))*(VLOOKUP($B$5,标准坦克设计!$B$24:$U$30,MATCH("对"&amp;LEFT($C$5,2)&amp;"输出",标准坦克设计!$B$23:$U$23,0)))*(VLOOKUP($B124,INDIRECT($B$5&amp;"生成成长"),3))*(VLOOKUP($B$5,标准坦克设计!$B$14:$K$20,9)/30))</f>
        <v>38.218293411002392</v>
      </c>
      <c r="AT124" s="172">
        <f ca="1">(VLOOKUP(AT$72,INDIRECT($C$5&amp;"生成成长"),2))/((VLOOKUP($B124,INDIRECT($B$5&amp;"生成成长"),4))/(VLOOKUP(AT$72,INDIRECT($C$5&amp;"生成成长"),5))*(VLOOKUP($B$5,标准坦克设计!$B$24:$U$30,MATCH("对"&amp;LEFT($C$5,2)&amp;"输出",标准坦克设计!$B$23:$U$23,0)))*(VLOOKUP($B124,INDIRECT($B$5&amp;"生成成长"),3))*(VLOOKUP($B$5,标准坦克设计!$B$14:$K$20,9)/30))</f>
        <v>40.672577892583227</v>
      </c>
      <c r="AU124" s="172">
        <f ca="1">(VLOOKUP(AU$72,INDIRECT($C$5&amp;"生成成长"),2))/((VLOOKUP($B124,INDIRECT($B$5&amp;"生成成长"),4))/(VLOOKUP(AU$72,INDIRECT($C$5&amp;"生成成长"),5))*(VLOOKUP($B$5,标准坦克设计!$B$24:$U$30,MATCH("对"&amp;LEFT($C$5,2)&amp;"输出",标准坦克设计!$B$23:$U$23,0)))*(VLOOKUP($B124,INDIRECT($B$5&amp;"生成成长"),3))*(VLOOKUP($B$5,标准坦克设计!$B$14:$K$20,9)/30))</f>
        <v>43.203233319842674</v>
      </c>
      <c r="AV124" s="172">
        <f ca="1">(VLOOKUP(AV$72,INDIRECT($C$5&amp;"生成成长"),2))/((VLOOKUP($B124,INDIRECT($B$5&amp;"生成成长"),4))/(VLOOKUP(AV$72,INDIRECT($C$5&amp;"生成成长"),5))*(VLOOKUP($B$5,标准坦克设计!$B$24:$U$30,MATCH("对"&amp;LEFT($C$5,2)&amp;"输出",标准坦克设计!$B$23:$U$23,0)))*(VLOOKUP($B124,INDIRECT($B$5&amp;"生成成长"),3))*(VLOOKUP($B$5,标准坦克设计!$B$14:$K$20,9)/30))</f>
        <v>4.3941696183016026</v>
      </c>
      <c r="AW124" s="172">
        <f ca="1">(VLOOKUP(AW$72,INDIRECT($C$5&amp;"生成成长"),2))/((VLOOKUP($B124,INDIRECT($B$5&amp;"生成成长"),4))/(VLOOKUP(AW$72,INDIRECT($C$5&amp;"生成成长"),5))*(VLOOKUP($B$5,标准坦克设计!$B$24:$U$30,MATCH("对"&amp;LEFT($C$5,2)&amp;"输出",标准坦克设计!$B$23:$U$23,0)))*(VLOOKUP($B124,INDIRECT($B$5&amp;"生成成长"),3))*(VLOOKUP($B$5,标准坦克设计!$B$14:$K$20,9)/30))</f>
        <v>5.0101865024530481</v>
      </c>
      <c r="AX124" s="172">
        <f ca="1">(VLOOKUP(AX$72,INDIRECT($C$5&amp;"生成成长"),2))/((VLOOKUP($B124,INDIRECT($B$5&amp;"生成成长"),4))/(VLOOKUP(AX$72,INDIRECT($C$5&amp;"生成成长"),5))*(VLOOKUP($B$5,标准坦克设计!$B$24:$U$30,MATCH("对"&amp;LEFT($C$5,2)&amp;"输出",标准坦克设计!$B$23:$U$23,0)))*(VLOOKUP($B124,INDIRECT($B$5&amp;"生成成长"),3))*(VLOOKUP($B$5,标准坦克设计!$B$14:$K$20,9)/30))</f>
        <v>5.6665979363849157</v>
      </c>
      <c r="AY124" s="172">
        <f ca="1">(VLOOKUP(AY$72,INDIRECT($C$5&amp;"生成成长"),2))/((VLOOKUP($B124,INDIRECT($B$5&amp;"生成成长"),4))/(VLOOKUP(AY$72,INDIRECT($C$5&amp;"生成成长"),5))*(VLOOKUP($B$5,标准坦克设计!$B$24:$U$30,MATCH("对"&amp;LEFT($C$5,2)&amp;"输出",标准坦克设计!$B$23:$U$23,0)))*(VLOOKUP($B124,INDIRECT($B$5&amp;"生成成长"),3))*(VLOOKUP($B$5,标准坦克设计!$B$14:$K$20,9)/30))</f>
        <v>6.3634039200972081</v>
      </c>
      <c r="AZ124" s="172">
        <f ca="1">(VLOOKUP(AZ$72,INDIRECT($C$5&amp;"生成成长"),2))/((VLOOKUP($B124,INDIRECT($B$5&amp;"生成成长"),4))/(VLOOKUP(AZ$72,INDIRECT($C$5&amp;"生成成长"),5))*(VLOOKUP($B$5,标准坦克设计!$B$24:$U$30,MATCH("对"&amp;LEFT($C$5,2)&amp;"输出",标准坦克设计!$B$23:$U$23,0)))*(VLOOKUP($B124,INDIRECT($B$5&amp;"生成成长"),3))*(VLOOKUP($B$5,标准坦克设计!$B$14:$K$20,9)/30))</f>
        <v>7.1006044535899209</v>
      </c>
      <c r="BA124" s="172">
        <f ca="1">(VLOOKUP(BA$72,INDIRECT($C$5&amp;"生成成长"),2))/((VLOOKUP($B124,INDIRECT($B$5&amp;"生成成长"),4))/(VLOOKUP(BA$72,INDIRECT($C$5&amp;"生成成长"),5))*(VLOOKUP($B$5,标准坦克设计!$B$24:$U$30,MATCH("对"&amp;LEFT($C$5,2)&amp;"输出",标准坦克设计!$B$23:$U$23,0)))*(VLOOKUP($B124,INDIRECT($B$5&amp;"生成成长"),3))*(VLOOKUP($B$5,标准坦克设计!$B$14:$K$20,9)/30))</f>
        <v>7.8781995368630575</v>
      </c>
      <c r="BB124" s="172">
        <f ca="1">(VLOOKUP(BB$72,INDIRECT($C$5&amp;"生成成长"),2))/((VLOOKUP($B124,INDIRECT($B$5&amp;"生成成长"),4))/(VLOOKUP(BB$72,INDIRECT($C$5&amp;"生成成长"),5))*(VLOOKUP($B$5,标准坦克设计!$B$24:$U$30,MATCH("对"&amp;LEFT($C$5,2)&amp;"输出",标准坦克设计!$B$23:$U$23,0)))*(VLOOKUP($B124,INDIRECT($B$5&amp;"生成成长"),3))*(VLOOKUP($B$5,标准坦克设计!$B$14:$K$20,9)/30))</f>
        <v>8.6961891699166163</v>
      </c>
      <c r="BC124" s="172">
        <f ca="1">(VLOOKUP(BC$72,INDIRECT($C$5&amp;"生成成长"),2))/((VLOOKUP($B124,INDIRECT($B$5&amp;"生成成长"),4))/(VLOOKUP(BC$72,INDIRECT($C$5&amp;"生成成长"),5))*(VLOOKUP($B$5,标准坦克设计!$B$24:$U$30,MATCH("对"&amp;LEFT($C$5,2)&amp;"输出",标准坦克设计!$B$23:$U$23,0)))*(VLOOKUP($B124,INDIRECT($B$5&amp;"生成成长"),3))*(VLOOKUP($B$5,标准坦克设计!$B$14:$K$20,9)/30))</f>
        <v>9.554573352750598</v>
      </c>
      <c r="BD124" s="172">
        <f ca="1">(VLOOKUP(BD$72,INDIRECT($C$5&amp;"生成成长"),2))/((VLOOKUP($B124,INDIRECT($B$5&amp;"生成成长"),4))/(VLOOKUP(BD$72,INDIRECT($C$5&amp;"生成成长"),5))*(VLOOKUP($B$5,标准坦克设计!$B$24:$U$30,MATCH("对"&amp;LEFT($C$5,2)&amp;"输出",标准坦克设计!$B$23:$U$23,0)))*(VLOOKUP($B124,INDIRECT($B$5&amp;"生成成长"),3))*(VLOOKUP($B$5,标准坦克设计!$B$14:$K$20,9)/30))</f>
        <v>10.568539668723238</v>
      </c>
      <c r="BE124" s="172">
        <f ca="1">(VLOOKUP(BE$72,INDIRECT($C$5&amp;"生成成长"),2))/((VLOOKUP($B124,INDIRECT($B$5&amp;"生成成长"),4))/(VLOOKUP(BE$72,INDIRECT($C$5&amp;"生成成长"),5))*(VLOOKUP($B$5,标准坦克设计!$B$24:$U$30,MATCH("对"&amp;LEFT($C$5,2)&amp;"输出",标准坦克设计!$B$23:$U$23,0)))*(VLOOKUP($B124,INDIRECT($B$5&amp;"生成成长"),3))*(VLOOKUP($B$5,标准坦克设计!$B$14:$K$20,9)/30))</f>
        <v>11.633630336761726</v>
      </c>
      <c r="BF124" s="172">
        <f ca="1">(VLOOKUP(BF$72,INDIRECT($C$5&amp;"生成成长"),2))/((VLOOKUP($B124,INDIRECT($B$5&amp;"生成成长"),4))/(VLOOKUP(BF$72,INDIRECT($C$5&amp;"生成成长"),5))*(VLOOKUP($B$5,标准坦克设计!$B$24:$U$30,MATCH("对"&amp;LEFT($C$5,2)&amp;"输出",标准坦克设计!$B$23:$U$23,0)))*(VLOOKUP($B124,INDIRECT($B$5&amp;"生成成长"),3))*(VLOOKUP($B$5,标准坦克设计!$B$14:$K$20,9)/30))</f>
        <v>12.749845356866063</v>
      </c>
      <c r="BG124" s="172">
        <f ca="1">(VLOOKUP(BG$72,INDIRECT($C$5&amp;"生成成长"),2))/((VLOOKUP($B124,INDIRECT($B$5&amp;"生成成长"),4))/(VLOOKUP(BG$72,INDIRECT($C$5&amp;"生成成长"),5))*(VLOOKUP($B$5,标准坦克设计!$B$24:$U$30,MATCH("对"&amp;LEFT($C$5,2)&amp;"输出",标准坦克设计!$B$23:$U$23,0)))*(VLOOKUP($B124,INDIRECT($B$5&amp;"生成成长"),3))*(VLOOKUP($B$5,标准坦克设计!$B$14:$K$20,9)/30))</f>
        <v>13.917184729036249</v>
      </c>
      <c r="BH124" s="172">
        <f ca="1">(VLOOKUP(BH$72,INDIRECT($C$5&amp;"生成成长"),2))/((VLOOKUP($B124,INDIRECT($B$5&amp;"生成成长"),4))/(VLOOKUP(BH$72,INDIRECT($C$5&amp;"生成成长"),5))*(VLOOKUP($B$5,标准坦克设计!$B$24:$U$30,MATCH("对"&amp;LEFT($C$5,2)&amp;"输出",标准坦克设计!$B$23:$U$23,0)))*(VLOOKUP($B124,INDIRECT($B$5&amp;"生成成长"),3))*(VLOOKUP($B$5,标准坦克设计!$B$14:$K$20,9)/30))</f>
        <v>6.7269548681210116</v>
      </c>
      <c r="BI124" s="172">
        <f ca="1">(VLOOKUP(BI$72,INDIRECT($C$5&amp;"生成成长"),2))/((VLOOKUP($B124,INDIRECT($B$5&amp;"生成成长"),4))/(VLOOKUP(BI$72,INDIRECT($C$5&amp;"生成成长"),5))*(VLOOKUP($B$5,标准坦克设计!$B$24:$U$30,MATCH("对"&amp;LEFT($C$5,2)&amp;"输出",标准坦克设计!$B$23:$U$23,0)))*(VLOOKUP($B124,INDIRECT($B$5&amp;"生成成长"),3))*(VLOOKUP($B$5,标准坦克设计!$B$14:$K$20,9)/30))</f>
        <v>7.5818676443332373</v>
      </c>
      <c r="BJ124" s="172">
        <f ca="1">(VLOOKUP(BJ$72,INDIRECT($C$5&amp;"生成成长"),2))/((VLOOKUP($B124,INDIRECT($B$5&amp;"生成成长"),4))/(VLOOKUP(BJ$72,INDIRECT($C$5&amp;"生成成长"),5))*(VLOOKUP($B$5,标准坦克设计!$B$24:$U$30,MATCH("对"&amp;LEFT($C$5,2)&amp;"输出",标准坦克设计!$B$23:$U$23,0)))*(VLOOKUP($B124,INDIRECT($B$5&amp;"生成成长"),3))*(VLOOKUP($B$5,标准坦克设计!$B$14:$K$20,9)/30))</f>
        <v>8.4879047726113104</v>
      </c>
      <c r="BK124" s="172">
        <f ca="1">(VLOOKUP(BK$72,INDIRECT($C$5&amp;"生成成长"),2))/((VLOOKUP($B124,INDIRECT($B$5&amp;"生成成长"),4))/(VLOOKUP(BK$72,INDIRECT($C$5&amp;"生成成长"),5))*(VLOOKUP($B$5,标准坦克设计!$B$24:$U$30,MATCH("对"&amp;LEFT($C$5,2)&amp;"输出",标准坦克设计!$B$23:$U$23,0)))*(VLOOKUP($B124,INDIRECT($B$5&amp;"生成成长"),3))*(VLOOKUP($B$5,标准坦克设计!$B$14:$K$20,9)/30))</f>
        <v>9.4450662529552343</v>
      </c>
      <c r="BL124" s="172">
        <f ca="1">(VLOOKUP(BL$72,INDIRECT($C$5&amp;"生成成长"),2))/((VLOOKUP($B124,INDIRECT($B$5&amp;"生成成长"),4))/(VLOOKUP(BL$72,INDIRECT($C$5&amp;"生成成长"),5))*(VLOOKUP($B$5,标准坦克设计!$B$24:$U$30,MATCH("对"&amp;LEFT($C$5,2)&amp;"输出",标准坦克设计!$B$23:$U$23,0)))*(VLOOKUP($B124,INDIRECT($B$5&amp;"生成成长"),3))*(VLOOKUP($B$5,标准坦克设计!$B$14:$K$20,9)/30))</f>
        <v>10.453352085365005</v>
      </c>
      <c r="BM124" s="172">
        <f ca="1">(VLOOKUP(BM$72,INDIRECT($C$5&amp;"生成成长"),2))/((VLOOKUP($B124,INDIRECT($B$5&amp;"生成成长"),4))/(VLOOKUP(BM$72,INDIRECT($C$5&amp;"生成成长"),5))*(VLOOKUP($B$5,标准坦克设计!$B$24:$U$30,MATCH("对"&amp;LEFT($C$5,2)&amp;"输出",标准坦克设计!$B$23:$U$23,0)))*(VLOOKUP($B124,INDIRECT($B$5&amp;"生成成长"),3))*(VLOOKUP($B$5,标准坦克设计!$B$14:$K$20,9)/30))</f>
        <v>11.51276226984062</v>
      </c>
      <c r="BN124" s="172">
        <f ca="1">(VLOOKUP(BN$72,INDIRECT($C$5&amp;"生成成长"),2))/((VLOOKUP($B124,INDIRECT($B$5&amp;"生成成长"),4))/(VLOOKUP(BN$72,INDIRECT($C$5&amp;"生成成长"),5))*(VLOOKUP($B$5,标准坦克设计!$B$24:$U$30,MATCH("对"&amp;LEFT($C$5,2)&amp;"输出",标准坦克设计!$B$23:$U$23,0)))*(VLOOKUP($B124,INDIRECT($B$5&amp;"生成成长"),3))*(VLOOKUP($B$5,标准坦克设计!$B$14:$K$20,9)/30))</f>
        <v>12.623296806382083</v>
      </c>
      <c r="BO124" s="172">
        <f ca="1">(VLOOKUP(BO$72,INDIRECT($C$5&amp;"生成成长"),2))/((VLOOKUP($B124,INDIRECT($B$5&amp;"生成成长"),4))/(VLOOKUP(BO$72,INDIRECT($C$5&amp;"生成成长"),5))*(VLOOKUP($B$5,标准坦克设计!$B$24:$U$30,MATCH("对"&amp;LEFT($C$5,2)&amp;"输出",标准坦克设计!$B$23:$U$23,0)))*(VLOOKUP($B124,INDIRECT($B$5&amp;"生成成长"),3))*(VLOOKUP($B$5,标准坦克设计!$B$14:$K$20,9)/30))</f>
        <v>13.784955694989392</v>
      </c>
      <c r="BP124" s="172">
        <f ca="1">(VLOOKUP(BP$72,INDIRECT($C$5&amp;"生成成长"),2))/((VLOOKUP($B124,INDIRECT($B$5&amp;"生成成长"),4))/(VLOOKUP(BP$72,INDIRECT($C$5&amp;"生成成长"),5))*(VLOOKUP($B$5,标准坦克设计!$B$24:$U$30,MATCH("对"&amp;LEFT($C$5,2)&amp;"输出",标准坦克设计!$B$23:$U$23,0)))*(VLOOKUP($B124,INDIRECT($B$5&amp;"生成成长"),3))*(VLOOKUP($B$5,标准坦克设计!$B$14:$K$20,9)/30))</f>
        <v>14.997738935662552</v>
      </c>
      <c r="BQ124" s="172">
        <f ca="1">(VLOOKUP(BQ$72,INDIRECT($C$5&amp;"生成成长"),2))/((VLOOKUP($B124,INDIRECT($B$5&amp;"生成成长"),4))/(VLOOKUP(BQ$72,INDIRECT($C$5&amp;"生成成长"),5))*(VLOOKUP($B$5,标准坦克设计!$B$24:$U$30,MATCH("对"&amp;LEFT($C$5,2)&amp;"输出",标准坦克设计!$B$23:$U$23,0)))*(VLOOKUP($B124,INDIRECT($B$5&amp;"生成成长"),3))*(VLOOKUP($B$5,标准坦克设计!$B$14:$K$20,9)/30))</f>
        <v>16.261646528401556</v>
      </c>
      <c r="BR124" s="172">
        <f ca="1">(VLOOKUP(BR$72,INDIRECT($C$5&amp;"生成成长"),2))/((VLOOKUP($B124,INDIRECT($B$5&amp;"生成成长"),4))/(VLOOKUP(BR$72,INDIRECT($C$5&amp;"生成成长"),5))*(VLOOKUP($B$5,标准坦克设计!$B$24:$U$30,MATCH("对"&amp;LEFT($C$5,2)&amp;"输出",标准坦克设计!$B$23:$U$23,0)))*(VLOOKUP($B124,INDIRECT($B$5&amp;"生成成长"),3))*(VLOOKUP($B$5,标准坦克设计!$B$14:$K$20,9)/30))</f>
        <v>17.725948957941881</v>
      </c>
      <c r="BS124" s="172">
        <f ca="1">(VLOOKUP(BS$72,INDIRECT($C$5&amp;"生成成长"),2))/((VLOOKUP($B124,INDIRECT($B$5&amp;"生成成长"),4))/(VLOOKUP(BS$72,INDIRECT($C$5&amp;"生成成长"),5))*(VLOOKUP($B$5,标准坦克设计!$B$24:$U$30,MATCH("对"&amp;LEFT($C$5,2)&amp;"输出",标准坦克设计!$B$23:$U$23,0)))*(VLOOKUP($B124,INDIRECT($B$5&amp;"生成成长"),3))*(VLOOKUP($B$5,标准坦克设计!$B$14:$K$20,9)/30))</f>
        <v>19.253367871514111</v>
      </c>
      <c r="BT124" s="172">
        <f ca="1">(VLOOKUP(BT$72,INDIRECT($C$5&amp;"生成成长"),2))/((VLOOKUP($B124,INDIRECT($B$5&amp;"生成成长"),4))/(VLOOKUP(BT$72,INDIRECT($C$5&amp;"生成成长"),5))*(VLOOKUP($B$5,标准坦克设计!$B$24:$U$30,MATCH("对"&amp;LEFT($C$5,2)&amp;"输出",标准坦克设计!$B$23:$U$23,0)))*(VLOOKUP($B124,INDIRECT($B$5&amp;"生成成长"),3))*(VLOOKUP($B$5,标准坦克设计!$B$14:$K$20,9)/30))</f>
        <v>20.843903269118254</v>
      </c>
      <c r="BU124" s="172">
        <f ca="1">(VLOOKUP(BU$72,INDIRECT($C$5&amp;"生成成长"),2))/((VLOOKUP($B124,INDIRECT($B$5&amp;"生成成长"),4))/(VLOOKUP(BU$72,INDIRECT($C$5&amp;"生成成长"),5))*(VLOOKUP($B$5,标准坦克设计!$B$24:$U$30,MATCH("对"&amp;LEFT($C$5,2)&amp;"输出",标准坦克设计!$B$23:$U$23,0)))*(VLOOKUP($B124,INDIRECT($B$5&amp;"生成成长"),3))*(VLOOKUP($B$5,标准坦克设计!$B$14:$K$20,9)/30))</f>
        <v>22.497555150754309</v>
      </c>
      <c r="BV124" s="172">
        <f ca="1">(VLOOKUP(BV$72,INDIRECT($C$5&amp;"生成成长"),2))/((VLOOKUP($B124,INDIRECT($B$5&amp;"生成成长"),4))/(VLOOKUP(BV$72,INDIRECT($C$5&amp;"生成成长"),5))*(VLOOKUP($B$5,标准坦克设计!$B$24:$U$30,MATCH("对"&amp;LEFT($C$5,2)&amp;"输出",标准坦克设计!$B$23:$U$23,0)))*(VLOOKUP($B124,INDIRECT($B$5&amp;"生成成长"),3))*(VLOOKUP($B$5,标准坦克设计!$B$14:$K$20,9)/30))</f>
        <v>24.214323516422269</v>
      </c>
      <c r="BW124" s="172">
        <f ca="1">(VLOOKUP(BW$72,INDIRECT($C$5&amp;"生成成长"),2))/((VLOOKUP($B124,INDIRECT($B$5&amp;"生成成长"),4))/(VLOOKUP(BW$72,INDIRECT($C$5&amp;"生成成长"),5))*(VLOOKUP($B$5,标准坦克设计!$B$24:$U$30,MATCH("对"&amp;LEFT($C$5,2)&amp;"输出",标准坦克设计!$B$23:$U$23,0)))*(VLOOKUP($B124,INDIRECT($B$5&amp;"生成成长"),3))*(VLOOKUP($B$5,标准坦克设计!$B$14:$K$20,9)/30))</f>
        <v>11.035601650559375</v>
      </c>
      <c r="BX124" s="172">
        <f ca="1">(VLOOKUP(BX$72,INDIRECT($C$5&amp;"生成成长"),2))/((VLOOKUP($B124,INDIRECT($B$5&amp;"生成成长"),4))/(VLOOKUP(BX$72,INDIRECT($C$5&amp;"生成成长"),5))*(VLOOKUP($B$5,标准坦克设计!$B$24:$U$30,MATCH("对"&amp;LEFT($C$5,2)&amp;"输出",标准坦克设计!$B$23:$U$23,0)))*(VLOOKUP($B124,INDIRECT($B$5&amp;"生成成长"),3))*(VLOOKUP($B$5,标准坦克设计!$B$14:$K$20,9)/30))</f>
        <v>12.247438143972056</v>
      </c>
      <c r="BY124" s="172">
        <f ca="1">(VLOOKUP(BY$72,INDIRECT($C$5&amp;"生成成长"),2))/((VLOOKUP($B124,INDIRECT($B$5&amp;"生成成长"),4))/(VLOOKUP(BY$72,INDIRECT($C$5&amp;"生成成长"),5))*(VLOOKUP($B$5,标准坦克设计!$B$24:$U$30,MATCH("对"&amp;LEFT($C$5,2)&amp;"输出",标准坦克设计!$B$23:$U$23,0)))*(VLOOKUP($B124,INDIRECT($B$5&amp;"生成成长"),3))*(VLOOKUP($B$5,标准坦克设计!$B$14:$K$20,9)/30))</f>
        <v>13.522391121416646</v>
      </c>
      <c r="BZ124" s="172">
        <f ca="1">(VLOOKUP(BZ$72,INDIRECT($C$5&amp;"生成成长"),2))/((VLOOKUP($B124,INDIRECT($B$5&amp;"生成成长"),4))/(VLOOKUP(BZ$72,INDIRECT($C$5&amp;"生成成长"),5))*(VLOOKUP($B$5,标准坦克设计!$B$24:$U$30,MATCH("对"&amp;LEFT($C$5,2)&amp;"输出",标准坦克设计!$B$23:$U$23,0)))*(VLOOKUP($B124,INDIRECT($B$5&amp;"生成成长"),3))*(VLOOKUP($B$5,标准坦克设计!$B$14:$K$20,9)/30))</f>
        <v>14.860460582893147</v>
      </c>
      <c r="CA124" s="172">
        <f ca="1">(VLOOKUP(CA$72,INDIRECT($C$5&amp;"生成成长"),2))/((VLOOKUP($B124,INDIRECT($B$5&amp;"生成成长"),4))/(VLOOKUP(CA$72,INDIRECT($C$5&amp;"生成成长"),5))*(VLOOKUP($B$5,标准坦克设计!$B$24:$U$30,MATCH("对"&amp;LEFT($C$5,2)&amp;"输出",标准坦克设计!$B$23:$U$23,0)))*(VLOOKUP($B124,INDIRECT($B$5&amp;"生成成长"),3))*(VLOOKUP($B$5,标准坦克设计!$B$14:$K$20,9)/30))</f>
        <v>16.261646528401556</v>
      </c>
      <c r="CB124" s="172">
        <f ca="1">(VLOOKUP(CB$72,INDIRECT($C$5&amp;"生成成长"),2))/((VLOOKUP($B124,INDIRECT($B$5&amp;"生成成长"),4))/(VLOOKUP(CB$72,INDIRECT($C$5&amp;"生成成长"),5))*(VLOOKUP($B$5,标准坦克设计!$B$24:$U$30,MATCH("对"&amp;LEFT($C$5,2)&amp;"输出",标准坦克设计!$B$23:$U$23,0)))*(VLOOKUP($B124,INDIRECT($B$5&amp;"生成成长"),3))*(VLOOKUP($B$5,标准坦克设计!$B$14:$K$20,9)/30))</f>
        <v>17.725948957941881</v>
      </c>
      <c r="CC124" s="172">
        <f ca="1">(VLOOKUP(CC$72,INDIRECT($C$5&amp;"生成成长"),2))/((VLOOKUP($B124,INDIRECT($B$5&amp;"生成成长"),4))/(VLOOKUP(CC$72,INDIRECT($C$5&amp;"生成成长"),5))*(VLOOKUP($B$5,标准坦克设计!$B$24:$U$30,MATCH("对"&amp;LEFT($C$5,2)&amp;"输出",标准坦克设计!$B$23:$U$23,0)))*(VLOOKUP($B124,INDIRECT($B$5&amp;"生成成长"),3))*(VLOOKUP($B$5,标准坦克设计!$B$14:$K$20,9)/30))</f>
        <v>19.253367871514111</v>
      </c>
      <c r="CD124" s="172">
        <f ca="1">(VLOOKUP(CD$72,INDIRECT($C$5&amp;"生成成长"),2))/((VLOOKUP($B124,INDIRECT($B$5&amp;"生成成长"),4))/(VLOOKUP(CD$72,INDIRECT($C$5&amp;"生成成长"),5))*(VLOOKUP($B$5,标准坦克设计!$B$24:$U$30,MATCH("对"&amp;LEFT($C$5,2)&amp;"输出",标准坦克设计!$B$23:$U$23,0)))*(VLOOKUP($B124,INDIRECT($B$5&amp;"生成成长"),3))*(VLOOKUP($B$5,标准坦克设计!$B$14:$K$20,9)/30))</f>
        <v>20.843903269118254</v>
      </c>
      <c r="CE124" s="172">
        <f ca="1">(VLOOKUP(CE$72,INDIRECT($C$5&amp;"生成成长"),2))/((VLOOKUP($B124,INDIRECT($B$5&amp;"生成成长"),4))/(VLOOKUP(CE$72,INDIRECT($C$5&amp;"生成成长"),5))*(VLOOKUP($B$5,标准坦克设计!$B$24:$U$30,MATCH("对"&amp;LEFT($C$5,2)&amp;"输出",标准坦克设计!$B$23:$U$23,0)))*(VLOOKUP($B124,INDIRECT($B$5&amp;"生成成长"),3))*(VLOOKUP($B$5,标准坦克设计!$B$14:$K$20,9)/30))</f>
        <v>22.497555150754309</v>
      </c>
      <c r="CF124" s="172">
        <f ca="1">(VLOOKUP(CF$72,INDIRECT($C$5&amp;"生成成长"),2))/((VLOOKUP($B124,INDIRECT($B$5&amp;"生成成长"),4))/(VLOOKUP(CF$72,INDIRECT($C$5&amp;"生成成长"),5))*(VLOOKUP($B$5,标准坦克设计!$B$24:$U$30,MATCH("对"&amp;LEFT($C$5,2)&amp;"输出",标准坦克设计!$B$23:$U$23,0)))*(VLOOKUP($B124,INDIRECT($B$5&amp;"生成成长"),3))*(VLOOKUP($B$5,标准坦克设计!$B$14:$K$20,9)/30))</f>
        <v>24.214323516422269</v>
      </c>
      <c r="CG124" s="172">
        <f ca="1">(VLOOKUP(CG$72,INDIRECT($C$5&amp;"生成成长"),2))/((VLOOKUP($B124,INDIRECT($B$5&amp;"生成成长"),4))/(VLOOKUP(CG$72,INDIRECT($C$5&amp;"生成成长"),5))*(VLOOKUP($B$5,标准坦克设计!$B$24:$U$30,MATCH("对"&amp;LEFT($C$5,2)&amp;"输出",标准坦克设计!$B$23:$U$23,0)))*(VLOOKUP($B124,INDIRECT($B$5&amp;"生成成长"),3))*(VLOOKUP($B$5,标准坦克设计!$B$14:$K$20,9)/30))</f>
        <v>25.994208366122145</v>
      </c>
      <c r="CH124" s="172">
        <f ca="1">(VLOOKUP(CH$72,INDIRECT($C$5&amp;"生成成长"),2))/((VLOOKUP($B124,INDIRECT($B$5&amp;"生成成长"),4))/(VLOOKUP(CH$72,INDIRECT($C$5&amp;"生成成长"),5))*(VLOOKUP($B$5,标准坦克设计!$B$24:$U$30,MATCH("对"&amp;LEFT($C$5,2)&amp;"输出",标准坦克设计!$B$23:$U$23,0)))*(VLOOKUP($B124,INDIRECT($B$5&amp;"生成成长"),3))*(VLOOKUP($B$5,标准坦克设计!$B$14:$K$20,9)/30))</f>
        <v>27.837209699853929</v>
      </c>
      <c r="CI124" s="172">
        <f ca="1">(VLOOKUP(CI$72,INDIRECT($C$5&amp;"生成成长"),2))/((VLOOKUP($B124,INDIRECT($B$5&amp;"生成成长"),4))/(VLOOKUP(CI$72,INDIRECT($C$5&amp;"生成成长"),5))*(VLOOKUP($B$5,标准坦克设计!$B$24:$U$30,MATCH("对"&amp;LEFT($C$5,2)&amp;"输出",标准坦克设计!$B$23:$U$23,0)))*(VLOOKUP($B124,INDIRECT($B$5&amp;"生成成长"),3))*(VLOOKUP($B$5,标准坦克设计!$B$14:$K$20,9)/30))</f>
        <v>29.937410706015744</v>
      </c>
      <c r="CJ124" s="172">
        <f ca="1">(VLOOKUP(CJ$72,INDIRECT($C$5&amp;"生成成长"),2))/((VLOOKUP($B124,INDIRECT($B$5&amp;"生成成长"),4))/(VLOOKUP(CJ$72,INDIRECT($C$5&amp;"生成成长"),5))*(VLOOKUP($B$5,标准坦克设计!$B$24:$U$30,MATCH("对"&amp;LEFT($C$5,2)&amp;"输出",标准坦克设计!$B$23:$U$23,0)))*(VLOOKUP($B124,INDIRECT($B$5&amp;"生成成长"),3))*(VLOOKUP($B$5,标准坦克设计!$B$14:$K$20,9)/30))</f>
        <v>32.113982657856177</v>
      </c>
      <c r="CK124" s="172">
        <f ca="1">(VLOOKUP(CK$72,INDIRECT($C$5&amp;"生成成长"),2))/((VLOOKUP($B124,INDIRECT($B$5&amp;"生成成长"),4))/(VLOOKUP(CK$72,INDIRECT($C$5&amp;"生成成长"),5))*(VLOOKUP($B$5,标准坦克设计!$B$24:$U$30,MATCH("对"&amp;LEFT($C$5,2)&amp;"输出",标准坦克设计!$B$23:$U$23,0)))*(VLOOKUP($B124,INDIRECT($B$5&amp;"生成成长"),3))*(VLOOKUP($B$5,标准坦克设计!$B$14:$K$20,9)/30))</f>
        <v>34.366925555375218</v>
      </c>
      <c r="CL124" s="172">
        <f ca="1">(VLOOKUP(CL$72,INDIRECT($C$5&amp;"生成成长"),2))/((VLOOKUP($B124,INDIRECT($B$5&amp;"生成成长"),4))/(VLOOKUP(CL$72,INDIRECT($C$5&amp;"生成成长"),5))*(VLOOKUP($B$5,标准坦克设计!$B$24:$U$30,MATCH("对"&amp;LEFT($C$5,2)&amp;"输出",标准坦克设计!$B$23:$U$23,0)))*(VLOOKUP($B124,INDIRECT($B$5&amp;"生成成长"),3))*(VLOOKUP($B$5,标准坦克设计!$B$14:$K$20,9)/30))</f>
        <v>36.696239398572871</v>
      </c>
      <c r="CM124" s="172">
        <f ca="1">(VLOOKUP(CM$72,INDIRECT($C$5&amp;"生成成长"),2))/((VLOOKUP($B124,INDIRECT($B$5&amp;"生成成长"),4))/(VLOOKUP(CM$72,INDIRECT($C$5&amp;"生成成长"),5))*(VLOOKUP($B$5,标准坦克设计!$B$24:$U$30,MATCH("对"&amp;LEFT($C$5,2)&amp;"输出",标准坦克设计!$B$23:$U$23,0)))*(VLOOKUP($B124,INDIRECT($B$5&amp;"生成成长"),3))*(VLOOKUP($B$5,标准坦克设计!$B$14:$K$20,9)/30))</f>
        <v>39.101924187449129</v>
      </c>
      <c r="CN124" s="172">
        <f ca="1">(VLOOKUP(CN$72,INDIRECT($C$5&amp;"生成成长"),2))/((VLOOKUP($B124,INDIRECT($B$5&amp;"生成成长"),4))/(VLOOKUP(CN$72,INDIRECT($C$5&amp;"生成成长"),5))*(VLOOKUP($B$5,标准坦克设计!$B$24:$U$30,MATCH("对"&amp;LEFT($C$5,2)&amp;"输出",标准坦克设计!$B$23:$U$23,0)))*(VLOOKUP($B124,INDIRECT($B$5&amp;"生成成长"),3))*(VLOOKUP($B$5,标准坦克设计!$B$14:$K$20,9)/30))</f>
        <v>41.583979922004005</v>
      </c>
      <c r="CO124" s="172">
        <f ca="1">(VLOOKUP(CO$72,INDIRECT($C$5&amp;"生成成长"),2))/((VLOOKUP($B124,INDIRECT($B$5&amp;"生成成长"),4))/(VLOOKUP(CO$72,INDIRECT($C$5&amp;"生成成长"),5))*(VLOOKUP($B$5,标准坦克设计!$B$24:$U$30,MATCH("对"&amp;LEFT($C$5,2)&amp;"输出",标准坦克设计!$B$23:$U$23,0)))*(VLOOKUP($B124,INDIRECT($B$5&amp;"生成成长"),3))*(VLOOKUP($B$5,标准坦克设计!$B$14:$K$20,9)/30))</f>
        <v>18.634826328001388</v>
      </c>
      <c r="CP124" s="172">
        <f ca="1">(VLOOKUP(CP$72,INDIRECT($C$5&amp;"生成成长"),2))/((VLOOKUP($B124,INDIRECT($B$5&amp;"生成成长"),4))/(VLOOKUP(CP$72,INDIRECT($C$5&amp;"生成成长"),5))*(VLOOKUP($B$5,标准坦克设计!$B$24:$U$30,MATCH("对"&amp;LEFT($C$5,2)&amp;"输出",标准坦克设计!$B$23:$U$23,0)))*(VLOOKUP($B124,INDIRECT($B$5&amp;"生成成长"),3))*(VLOOKUP($B$5,标准坦克设计!$B$14:$K$20,9)/30))</f>
        <v>20.36011541901366</v>
      </c>
      <c r="CQ124" s="172">
        <f ca="1">(VLOOKUP(CQ$72,INDIRECT($C$5&amp;"生成成长"),2))/((VLOOKUP($B124,INDIRECT($B$5&amp;"生成成长"),4))/(VLOOKUP(CQ$72,INDIRECT($C$5&amp;"生成成长"),5))*(VLOOKUP($B$5,标准坦克设计!$B$24:$U$30,MATCH("对"&amp;LEFT($C$5,2)&amp;"输出",标准坦克设计!$B$23:$U$23,0)))*(VLOOKUP($B124,INDIRECT($B$5&amp;"生成成长"),3))*(VLOOKUP($B$5,标准坦克设计!$B$14:$K$20,9)/30))</f>
        <v>22.161775455704547</v>
      </c>
      <c r="CR124" s="172">
        <f ca="1">(VLOOKUP(CR$72,INDIRECT($C$5&amp;"生成成长"),2))/((VLOOKUP($B124,INDIRECT($B$5&amp;"生成成长"),4))/(VLOOKUP(CR$72,INDIRECT($C$5&amp;"生成成长"),5))*(VLOOKUP($B$5,标准坦克设计!$B$24:$U$30,MATCH("对"&amp;LEFT($C$5,2)&amp;"输出",标准坦克设计!$B$23:$U$23,0)))*(VLOOKUP($B124,INDIRECT($B$5&amp;"生成成长"),3))*(VLOOKUP($B$5,标准坦克设计!$B$14:$K$20,9)/30))</f>
        <v>24.039806438074038</v>
      </c>
      <c r="CS124" s="172">
        <f ca="1">(VLOOKUP(CS$72,INDIRECT($C$5&amp;"生成成长"),2))/((VLOOKUP($B124,INDIRECT($B$5&amp;"生成成长"),4))/(VLOOKUP(CS$72,INDIRECT($C$5&amp;"生成成长"),5))*(VLOOKUP($B$5,标准坦克设计!$B$24:$U$30,MATCH("对"&amp;LEFT($C$5,2)&amp;"输出",标准坦克设计!$B$23:$U$23,0)))*(VLOOKUP($B124,INDIRECT($B$5&amp;"生成成长"),3))*(VLOOKUP($B$5,标准坦克设计!$B$14:$K$20,9)/30))</f>
        <v>25.994208366122145</v>
      </c>
      <c r="CT124" s="172">
        <f ca="1">(VLOOKUP(CT$72,INDIRECT($C$5&amp;"生成成长"),2))/((VLOOKUP($B124,INDIRECT($B$5&amp;"生成成长"),4))/(VLOOKUP(CT$72,INDIRECT($C$5&amp;"生成成长"),5))*(VLOOKUP($B$5,标准坦克设计!$B$24:$U$30,MATCH("对"&amp;LEFT($C$5,2)&amp;"输出",标准坦克设计!$B$23:$U$23,0)))*(VLOOKUP($B124,INDIRECT($B$5&amp;"生成成长"),3))*(VLOOKUP($B$5,标准坦克设计!$B$14:$K$20,9)/30))</f>
        <v>28.024981239848863</v>
      </c>
      <c r="CU124" s="172">
        <f ca="1">(VLOOKUP(CU$72,INDIRECT($C$5&amp;"生成成长"),2))/((VLOOKUP($B124,INDIRECT($B$5&amp;"生成成长"),4))/(VLOOKUP(CU$72,INDIRECT($C$5&amp;"生成成长"),5))*(VLOOKUP($B$5,标准坦克设计!$B$24:$U$30,MATCH("对"&amp;LEFT($C$5,2)&amp;"输出",标准坦克设计!$B$23:$U$23,0)))*(VLOOKUP($B124,INDIRECT($B$5&amp;"生成成长"),3))*(VLOOKUP($B$5,标准坦克设计!$B$14:$K$20,9)/30))</f>
        <v>30.132125059254189</v>
      </c>
      <c r="CV124" s="172">
        <f ca="1">(VLOOKUP(CV$72,INDIRECT($C$5&amp;"生成成长"),2))/((VLOOKUP($B124,INDIRECT($B$5&amp;"生成成长"),4))/(VLOOKUP(CV$72,INDIRECT($C$5&amp;"生成成长"),5))*(VLOOKUP($B$5,标准坦克设计!$B$24:$U$30,MATCH("对"&amp;LEFT($C$5,2)&amp;"输出",标准坦克设计!$B$23:$U$23,0)))*(VLOOKUP($B124,INDIRECT($B$5&amp;"生成成长"),3))*(VLOOKUP($B$5,标准坦克设计!$B$14:$K$20,9)/30))</f>
        <v>32.315639824338128</v>
      </c>
      <c r="CW124" s="172">
        <f ca="1">(VLOOKUP(CW$72,INDIRECT($C$5&amp;"生成成长"),2))/((VLOOKUP($B124,INDIRECT($B$5&amp;"生成成长"),4))/(VLOOKUP(CW$72,INDIRECT($C$5&amp;"生成成长"),5))*(VLOOKUP($B$5,标准坦克设计!$B$24:$U$30,MATCH("对"&amp;LEFT($C$5,2)&amp;"输出",标准坦克设计!$B$23:$U$23,0)))*(VLOOKUP($B124,INDIRECT($B$5&amp;"生成成长"),3))*(VLOOKUP($B$5,标准坦克设计!$B$14:$K$20,9)/30))</f>
        <v>34.575525535100681</v>
      </c>
      <c r="CX124" s="172">
        <f ca="1">(VLOOKUP(CX$72,INDIRECT($C$5&amp;"生成成长"),2))/((VLOOKUP($B124,INDIRECT($B$5&amp;"生成成长"),4))/(VLOOKUP(CX$72,INDIRECT($C$5&amp;"生成成长"),5))*(VLOOKUP($B$5,标准坦克设计!$B$24:$U$30,MATCH("对"&amp;LEFT($C$5,2)&amp;"输出",标准坦克设计!$B$23:$U$23,0)))*(VLOOKUP($B124,INDIRECT($B$5&amp;"生成成长"),3))*(VLOOKUP($B$5,标准坦克设计!$B$14:$K$20,9)/30))</f>
        <v>36.911782191541846</v>
      </c>
      <c r="CY124" s="172">
        <f ca="1">(VLOOKUP(CY$72,INDIRECT($C$5&amp;"生成成长"),2))/((VLOOKUP($B124,INDIRECT($B$5&amp;"生成成长"),4))/(VLOOKUP(CY$72,INDIRECT($C$5&amp;"生成成长"),5))*(VLOOKUP($B$5,标准坦克设计!$B$24:$U$30,MATCH("对"&amp;LEFT($C$5,2)&amp;"输出",标准坦克设计!$B$23:$U$23,0)))*(VLOOKUP($B124,INDIRECT($B$5&amp;"生成成长"),3))*(VLOOKUP($B$5,标准坦克设计!$B$14:$K$20,9)/30))</f>
        <v>39.32440979366163</v>
      </c>
      <c r="CZ124" s="172">
        <f ca="1">(VLOOKUP(CZ$72,INDIRECT($C$5&amp;"生成成长"),2))/((VLOOKUP($B124,INDIRECT($B$5&amp;"生成成长"),4))/(VLOOKUP(CZ$72,INDIRECT($C$5&amp;"生成成长"),5))*(VLOOKUP($B$5,标准坦克设计!$B$24:$U$30,MATCH("对"&amp;LEFT($C$5,2)&amp;"输出",标准坦克设计!$B$23:$U$23,0)))*(VLOOKUP($B124,INDIRECT($B$5&amp;"生成成长"),3))*(VLOOKUP($B$5,标准坦克设计!$B$14:$K$20,9)/30))</f>
        <v>41.813408341460018</v>
      </c>
      <c r="DA124" s="172">
        <f ca="1">(VLOOKUP(DA$72,INDIRECT($C$5&amp;"生成成长"),2))/((VLOOKUP($B124,INDIRECT($B$5&amp;"生成成长"),4))/(VLOOKUP(DA$72,INDIRECT($C$5&amp;"生成成长"),5))*(VLOOKUP($B$5,标准坦克设计!$B$24:$U$30,MATCH("对"&amp;LEFT($C$5,2)&amp;"输出",标准坦克设计!$B$23:$U$23,0)))*(VLOOKUP($B124,INDIRECT($B$5&amp;"生成成长"),3))*(VLOOKUP($B$5,标准坦克设计!$B$14:$K$20,9)/30))</f>
        <v>44.378777834937004</v>
      </c>
      <c r="DB124" s="172">
        <f ca="1">(VLOOKUP(DB$72,INDIRECT($C$5&amp;"生成成长"),2))/((VLOOKUP($B124,INDIRECT($B$5&amp;"生成成长"),4))/(VLOOKUP(DB$72,INDIRECT($C$5&amp;"生成成长"),5))*(VLOOKUP($B$5,标准坦克设计!$B$24:$U$30,MATCH("对"&amp;LEFT($C$5,2)&amp;"输出",标准坦克设计!$B$23:$U$23,0)))*(VLOOKUP($B124,INDIRECT($B$5&amp;"生成成长"),3))*(VLOOKUP($B$5,标准坦克设计!$B$14:$K$20,9)/30))</f>
        <v>47.020518274092609</v>
      </c>
      <c r="DC124" s="172">
        <f ca="1">(VLOOKUP(DC$72,INDIRECT($C$5&amp;"生成成长"),2))/((VLOOKUP($B124,INDIRECT($B$5&amp;"生成成长"),4))/(VLOOKUP(DC$72,INDIRECT($C$5&amp;"生成成长"),5))*(VLOOKUP($B$5,标准坦克设计!$B$24:$U$30,MATCH("对"&amp;LEFT($C$5,2)&amp;"输出",标准坦克设计!$B$23:$U$23,0)))*(VLOOKUP($B124,INDIRECT($B$5&amp;"生成成长"),3))*(VLOOKUP($B$5,标准坦克设计!$B$14:$K$20,9)/30))</f>
        <v>49.989517682953682</v>
      </c>
      <c r="DD124" s="172">
        <f ca="1">(VLOOKUP(DD$72,INDIRECT($C$5&amp;"生成成长"),2))/((VLOOKUP($B124,INDIRECT($B$5&amp;"生成成长"),4))/(VLOOKUP(DD$72,INDIRECT($C$5&amp;"生成成长"),5))*(VLOOKUP($B$5,标准坦克设计!$B$24:$U$30,MATCH("对"&amp;LEFT($C$5,2)&amp;"输出",标准坦克设计!$B$23:$U$23,0)))*(VLOOKUP($B124,INDIRECT($B$5&amp;"生成成长"),3))*(VLOOKUP($B$5,标准坦克设计!$B$14:$K$20,9)/30))</f>
        <v>53.049404828820691</v>
      </c>
      <c r="DE124" s="172">
        <f ca="1">(VLOOKUP(DE$72,INDIRECT($C$5&amp;"生成成长"),2))/((VLOOKUP($B124,INDIRECT($B$5&amp;"生成成长"),4))/(VLOOKUP(DE$72,INDIRECT($C$5&amp;"生成成长"),5))*(VLOOKUP($B$5,标准坦克设计!$B$24:$U$30,MATCH("对"&amp;LEFT($C$5,2)&amp;"输出",标准坦克设计!$B$23:$U$23,0)))*(VLOOKUP($B124,INDIRECT($B$5&amp;"生成成长"),3))*(VLOOKUP($B$5,标准坦克设计!$B$14:$K$20,9)/30))</f>
        <v>56.200179711693664</v>
      </c>
      <c r="DF124" s="172">
        <f ca="1">(VLOOKUP(DF$72,INDIRECT($C$5&amp;"生成成长"),2))/((VLOOKUP($B124,INDIRECT($B$5&amp;"生成成长"),4))/(VLOOKUP(DF$72,INDIRECT($C$5&amp;"生成成长"),5))*(VLOOKUP($B$5,标准坦克设计!$B$24:$U$30,MATCH("对"&amp;LEFT($C$5,2)&amp;"输出",标准坦克设计!$B$23:$U$23,0)))*(VLOOKUP($B124,INDIRECT($B$5&amp;"生成成长"),3))*(VLOOKUP($B$5,标准坦克设计!$B$14:$K$20,9)/30))</f>
        <v>59.441842331572587</v>
      </c>
      <c r="DG124" s="172">
        <f ca="1">(VLOOKUP(DG$72,INDIRECT($C$5&amp;"生成成长"),2))/((VLOOKUP($B124,INDIRECT($B$5&amp;"生成成长"),4))/(VLOOKUP(DG$72,INDIRECT($C$5&amp;"生成成长"),5))*(VLOOKUP($B$5,标准坦克设计!$B$24:$U$30,MATCH("对"&amp;LEFT($C$5,2)&amp;"输出",标准坦克设计!$B$23:$U$23,0)))*(VLOOKUP($B124,INDIRECT($B$5&amp;"生成成长"),3))*(VLOOKUP($B$5,标准坦克设计!$B$14:$K$20,9)/30))</f>
        <v>62.774392688457446</v>
      </c>
      <c r="DH124" s="172">
        <f ca="1">(VLOOKUP(DH$72,INDIRECT($C$5&amp;"生成成长"),2))/((VLOOKUP($B124,INDIRECT($B$5&amp;"生成成长"),4))/(VLOOKUP(DH$72,INDIRECT($C$5&amp;"生成成长"),5))*(VLOOKUP($B$5,标准坦克设计!$B$24:$U$30,MATCH("对"&amp;LEFT($C$5,2)&amp;"输出",标准坦克设计!$B$23:$U$23,0)))*(VLOOKUP($B124,INDIRECT($B$5&amp;"生成成长"),3))*(VLOOKUP($B$5,标准坦克设计!$B$14:$K$20,9)/30))</f>
        <v>66.197830782348277</v>
      </c>
      <c r="DI124" s="172">
        <f ca="1">(VLOOKUP(DI$72,INDIRECT($C$5&amp;"生成成长"),2))/((VLOOKUP($B124,INDIRECT($B$5&amp;"生成成长"),4))/(VLOOKUP(DI$72,INDIRECT($C$5&amp;"生成成长"),5))*(VLOOKUP($B$5,标准坦克设计!$B$24:$U$30,MATCH("对"&amp;LEFT($C$5,2)&amp;"输出",标准坦克设计!$B$23:$U$23,0)))*(VLOOKUP($B124,INDIRECT($B$5&amp;"生成成长"),3))*(VLOOKUP($B$5,标准坦克设计!$B$14:$K$20,9)/30))</f>
        <v>69.712156613245043</v>
      </c>
      <c r="DJ124" s="172">
        <f ca="1">(VLOOKUP(DJ$72,INDIRECT($C$5&amp;"生成成长"),2))/((VLOOKUP($B124,INDIRECT($B$5&amp;"生成成长"),4))/(VLOOKUP(DJ$72,INDIRECT($C$5&amp;"生成成长"),5))*(VLOOKUP($B$5,标准坦克设计!$B$24:$U$30,MATCH("对"&amp;LEFT($C$5,2)&amp;"输出",标准坦克设计!$B$23:$U$23,0)))*(VLOOKUP($B124,INDIRECT($B$5&amp;"生成成长"),3))*(VLOOKUP($B$5,标准坦克设计!$B$14:$K$20,9)/30))</f>
        <v>7.0062453099622157</v>
      </c>
      <c r="DK124" s="172">
        <f ca="1">(VLOOKUP(DK$72,INDIRECT($C$5&amp;"生成成长"),2))/((VLOOKUP($B124,INDIRECT($B$5&amp;"生成成长"),4))/(VLOOKUP(DK$72,INDIRECT($C$5&amp;"生成成长"),5))*(VLOOKUP($B$5,标准坦克设计!$B$24:$U$30,MATCH("对"&amp;LEFT($C$5,2)&amp;"输出",标准坦克设计!$B$23:$U$23,0)))*(VLOOKUP($B124,INDIRECT($B$5&amp;"生成成长"),3))*(VLOOKUP($B$5,标准坦克设计!$B$14:$K$20,9)/30))</f>
        <v>7.8781995368630575</v>
      </c>
      <c r="DL124" s="172">
        <f ca="1">(VLOOKUP(DL$72,INDIRECT($C$5&amp;"生成成长"),2))/((VLOOKUP($B124,INDIRECT($B$5&amp;"生成成长"),4))/(VLOOKUP(DL$72,INDIRECT($C$5&amp;"生成成长"),5))*(VLOOKUP($B$5,标准坦克设计!$B$24:$U$30,MATCH("对"&amp;LEFT($C$5,2)&amp;"输出",标准坦克设计!$B$23:$U$23,0)))*(VLOOKUP($B124,INDIRECT($B$5&amp;"生成成长"),3))*(VLOOKUP($B$5,标准坦克设计!$B$14:$K$20,9)/30))</f>
        <v>8.8012781158297475</v>
      </c>
      <c r="DM124" s="172">
        <f ca="1">(VLOOKUP(DM$72,INDIRECT($C$5&amp;"生成成长"),2))/((VLOOKUP($B124,INDIRECT($B$5&amp;"生成成长"),4))/(VLOOKUP(DM$72,INDIRECT($C$5&amp;"生成成长"),5))*(VLOOKUP($B$5,标准坦克设计!$B$24:$U$30,MATCH("对"&amp;LEFT($C$5,2)&amp;"输出",标准坦克设计!$B$23:$U$23,0)))*(VLOOKUP($B124,INDIRECT($B$5&amp;"生成成长"),3))*(VLOOKUP($B$5,标准坦克设计!$B$14:$K$20,9)/30))</f>
        <v>9.7754810468622821</v>
      </c>
      <c r="DN124" s="172">
        <f ca="1">(VLOOKUP(DN$72,INDIRECT($C$5&amp;"生成成长"),2))/((VLOOKUP($B124,INDIRECT($B$5&amp;"生成成长"),4))/(VLOOKUP(DN$72,INDIRECT($C$5&amp;"生成成长"),5))*(VLOOKUP($B$5,标准坦克设计!$B$24:$U$30,MATCH("对"&amp;LEFT($C$5,2)&amp;"输出",标准坦克设计!$B$23:$U$23,0)))*(VLOOKUP($B124,INDIRECT($B$5&amp;"生成成长"),3))*(VLOOKUP($B$5,标准坦克设计!$B$14:$K$20,9)/30))</f>
        <v>10.800808329960669</v>
      </c>
      <c r="DO124" s="172">
        <f ca="1">(VLOOKUP(DO$72,INDIRECT($C$5&amp;"生成成长"),2))/((VLOOKUP($B124,INDIRECT($B$5&amp;"生成成长"),4))/(VLOOKUP(DO$72,INDIRECT($C$5&amp;"生成成长"),5))*(VLOOKUP($B$5,标准坦克设计!$B$24:$U$30,MATCH("对"&amp;LEFT($C$5,2)&amp;"输出",标准坦克设计!$B$23:$U$23,0)))*(VLOOKUP($B124,INDIRECT($B$5&amp;"生成成长"),3))*(VLOOKUP($B$5,标准坦克设计!$B$14:$K$20,9)/30))</f>
        <v>11.8772599651249</v>
      </c>
      <c r="DP124" s="172">
        <f ca="1">(VLOOKUP(DP$72,INDIRECT($C$5&amp;"生成成长"),2))/((VLOOKUP($B124,INDIRECT($B$5&amp;"生成成长"),4))/(VLOOKUP(DP$72,INDIRECT($C$5&amp;"生成成长"),5))*(VLOOKUP($B$5,标准坦克设计!$B$24:$U$30,MATCH("对"&amp;LEFT($C$5,2)&amp;"输出",标准坦克设计!$B$23:$U$23,0)))*(VLOOKUP($B124,INDIRECT($B$5&amp;"生成成长"),3))*(VLOOKUP($B$5,标准坦克设计!$B$14:$K$20,9)/30))</f>
        <v>13.004835952354981</v>
      </c>
      <c r="DQ124" s="172">
        <f ca="1">(VLOOKUP(DQ$72,INDIRECT($C$5&amp;"生成成长"),2))/((VLOOKUP($B124,INDIRECT($B$5&amp;"生成成长"),4))/(VLOOKUP(DQ$72,INDIRECT($C$5&amp;"生成成长"),5))*(VLOOKUP($B$5,标准坦克设计!$B$24:$U$30,MATCH("对"&amp;LEFT($C$5,2)&amp;"输出",标准坦克设计!$B$23:$U$23,0)))*(VLOOKUP($B124,INDIRECT($B$5&amp;"生成成长"),3))*(VLOOKUP($B$5,标准坦克设计!$B$14:$K$20,9)/30))</f>
        <v>14.183536291650904</v>
      </c>
      <c r="DR124" s="172">
        <f ca="1">(VLOOKUP(DR$72,INDIRECT($C$5&amp;"生成成长"),2))/((VLOOKUP($B124,INDIRECT($B$5&amp;"生成成长"),4))/(VLOOKUP(DR$72,INDIRECT($C$5&amp;"生成成长"),5))*(VLOOKUP($B$5,标准坦克设计!$B$24:$U$30,MATCH("对"&amp;LEFT($C$5,2)&amp;"输出",标准坦克设计!$B$23:$U$23,0)))*(VLOOKUP($B124,INDIRECT($B$5&amp;"生成成长"),3))*(VLOOKUP($B$5,标准坦克设计!$B$14:$K$20,9)/30))</f>
        <v>15.413360983012682</v>
      </c>
      <c r="DS124" s="172">
        <f ca="1">(VLOOKUP(DS$72,INDIRECT($C$5&amp;"生成成长"),2))/((VLOOKUP($B124,INDIRECT($B$5&amp;"生成成长"),4))/(VLOOKUP(DS$72,INDIRECT($C$5&amp;"生成成长"),5))*(VLOOKUP($B$5,标准坦克设计!$B$24:$U$30,MATCH("对"&amp;LEFT($C$5,2)&amp;"输出",标准坦克设计!$B$23:$U$23,0)))*(VLOOKUP($B124,INDIRECT($B$5&amp;"生成成长"),3))*(VLOOKUP($B$5,标准坦克设计!$B$14:$K$20,9)/30))</f>
        <v>16.694310026440302</v>
      </c>
      <c r="DT124" s="172">
        <f ca="1">(VLOOKUP(DT$72,INDIRECT($C$5&amp;"生成成长"),2))/((VLOOKUP($B124,INDIRECT($B$5&amp;"生成成长"),4))/(VLOOKUP(DT$72,INDIRECT($C$5&amp;"生成成长"),5))*(VLOOKUP($B$5,标准坦克设计!$B$24:$U$30,MATCH("对"&amp;LEFT($C$5,2)&amp;"输出",标准坦克设计!$B$23:$U$23,0)))*(VLOOKUP($B124,INDIRECT($B$5&amp;"生成成长"),3))*(VLOOKUP($B$5,标准坦克设计!$B$14:$K$20,9)/30))</f>
        <v>18.329342545286941</v>
      </c>
      <c r="DU124" s="172">
        <f ca="1">(VLOOKUP(DU$72,INDIRECT($C$5&amp;"生成成长"),2))/((VLOOKUP($B124,INDIRECT($B$5&amp;"生成成长"),4))/(VLOOKUP(DU$72,INDIRECT($C$5&amp;"生成成长"),5))*(VLOOKUP($B$5,标准坦克设计!$B$24:$U$30,MATCH("对"&amp;LEFT($C$5,2)&amp;"输出",标准坦克设计!$B$23:$U$23,0)))*(VLOOKUP($B124,INDIRECT($B$5&amp;"生成成长"),3))*(VLOOKUP($B$5,标准坦克设计!$B$14:$K$20,9)/30))</f>
        <v>20.040746009812192</v>
      </c>
      <c r="DV124" s="172">
        <f ca="1">(VLOOKUP(DV$72,INDIRECT($C$5&amp;"生成成长"),2))/((VLOOKUP($B124,INDIRECT($B$5&amp;"生成成长"),4))/(VLOOKUP(DV$72,INDIRECT($C$5&amp;"生成成长"),5))*(VLOOKUP($B$5,标准坦克设计!$B$24:$U$30,MATCH("对"&amp;LEFT($C$5,2)&amp;"输出",标准坦克设计!$B$23:$U$23,0)))*(VLOOKUP($B124,INDIRECT($B$5&amp;"生成成长"),3))*(VLOOKUP($B$5,标准坦克设计!$B$14:$K$20,9)/30))</f>
        <v>21.828520420016055</v>
      </c>
      <c r="DW124" s="172">
        <f ca="1">(VLOOKUP(DW$72,INDIRECT($C$5&amp;"生成成长"),2))/((VLOOKUP($B124,INDIRECT($B$5&amp;"生成成长"),4))/(VLOOKUP(DW$72,INDIRECT($C$5&amp;"生成成长"),5))*(VLOOKUP($B$5,标准坦克设计!$B$24:$U$30,MATCH("对"&amp;LEFT($C$5,2)&amp;"输出",标准坦克设计!$B$23:$U$23,0)))*(VLOOKUP($B124,INDIRECT($B$5&amp;"生成成长"),3))*(VLOOKUP($B$5,标准坦克设计!$B$14:$K$20,9)/30))</f>
        <v>23.692665775898526</v>
      </c>
      <c r="DX124" s="172">
        <f ca="1">(VLOOKUP(DX$72,INDIRECT($C$5&amp;"生成成长"),2))/((VLOOKUP($B124,INDIRECT($B$5&amp;"生成成长"),4))/(VLOOKUP(DX$72,INDIRECT($C$5&amp;"生成成长"),5))*(VLOOKUP($B$5,标准坦克设计!$B$24:$U$30,MATCH("对"&amp;LEFT($C$5,2)&amp;"输出",标准坦克设计!$B$23:$U$23,0)))*(VLOOKUP($B124,INDIRECT($B$5&amp;"生成成长"),3))*(VLOOKUP($B$5,标准坦克设计!$B$14:$K$20,9)/30))</f>
        <v>25.633182077459619</v>
      </c>
      <c r="DY124" s="172">
        <f ca="1">(VLOOKUP(DY$72,INDIRECT($C$5&amp;"生成成长"),2))/((VLOOKUP($B124,INDIRECT($B$5&amp;"生成成长"),4))/(VLOOKUP(DY$72,INDIRECT($C$5&amp;"生成成长"),5))*(VLOOKUP($B$5,标准坦克设计!$B$24:$U$30,MATCH("对"&amp;LEFT($C$5,2)&amp;"输出",标准坦克设计!$B$23:$U$23,0)))*(VLOOKUP($B124,INDIRECT($B$5&amp;"生成成长"),3))*(VLOOKUP($B$5,标准坦克设计!$B$14:$K$20,9)/30))</f>
        <v>11.51276226984062</v>
      </c>
      <c r="DZ124" s="172">
        <f ca="1">(VLOOKUP(DZ$72,INDIRECT($C$5&amp;"生成成长"),2))/((VLOOKUP($B124,INDIRECT($B$5&amp;"生成成长"),4))/(VLOOKUP(DZ$72,INDIRECT($C$5&amp;"生成成长"),5))*(VLOOKUP($B$5,标准坦克设计!$B$24:$U$30,MATCH("对"&amp;LEFT($C$5,2)&amp;"输出",标准坦克设计!$B$23:$U$23,0)))*(VLOOKUP($B124,INDIRECT($B$5&amp;"生成成长"),3))*(VLOOKUP($B$5,标准坦克设计!$B$14:$K$20,9)/30))</f>
        <v>12.749845356866063</v>
      </c>
      <c r="EA124" s="172">
        <f ca="1">(VLOOKUP(EA$72,INDIRECT($C$5&amp;"生成成长"),2))/((VLOOKUP($B124,INDIRECT($B$5&amp;"生成成长"),4))/(VLOOKUP(EA$72,INDIRECT($C$5&amp;"生成成长"),5))*(VLOOKUP($B$5,标准坦克设计!$B$24:$U$30,MATCH("对"&amp;LEFT($C$5,2)&amp;"输出",标准坦克设计!$B$23:$U$23,0)))*(VLOOKUP($B124,INDIRECT($B$5&amp;"生成成长"),3))*(VLOOKUP($B$5,标准坦克设计!$B$14:$K$20,9)/30))</f>
        <v>14.050044927923416</v>
      </c>
      <c r="EB124" s="172">
        <f ca="1">(VLOOKUP(EB$72,INDIRECT($C$5&amp;"生成成长"),2))/((VLOOKUP($B124,INDIRECT($B$5&amp;"生成成长"),4))/(VLOOKUP(EB$72,INDIRECT($C$5&amp;"生成成长"),5))*(VLOOKUP($B$5,标准坦克设计!$B$24:$U$30,MATCH("对"&amp;LEFT($C$5,2)&amp;"输出",标准坦克设计!$B$23:$U$23,0)))*(VLOOKUP($B124,INDIRECT($B$5&amp;"生成成长"),3))*(VLOOKUP($B$5,标准坦克设计!$B$14:$K$20,9)/30))</f>
        <v>15.413360983012682</v>
      </c>
      <c r="EC124" s="172">
        <f ca="1">(VLOOKUP(EC$72,INDIRECT($C$5&amp;"生成成长"),2))/((VLOOKUP($B124,INDIRECT($B$5&amp;"生成成长"),4))/(VLOOKUP(EC$72,INDIRECT($C$5&amp;"生成成长"),5))*(VLOOKUP($B$5,标准坦克设计!$B$24:$U$30,MATCH("对"&amp;LEFT($C$5,2)&amp;"输出",标准坦克设计!$B$23:$U$23,0)))*(VLOOKUP($B124,INDIRECT($B$5&amp;"生成成长"),3))*(VLOOKUP($B$5,标准坦克设计!$B$14:$K$20,9)/30))</f>
        <v>16.839793522133856</v>
      </c>
      <c r="ED124" s="172">
        <f ca="1">(VLOOKUP(ED$72,INDIRECT($C$5&amp;"生成成长"),2))/((VLOOKUP($B124,INDIRECT($B$5&amp;"生成成长"),4))/(VLOOKUP(ED$72,INDIRECT($C$5&amp;"生成成长"),5))*(VLOOKUP($B$5,标准坦克设计!$B$24:$U$30,MATCH("对"&amp;LEFT($C$5,2)&amp;"输出",标准坦克设计!$B$23:$U$23,0)))*(VLOOKUP($B124,INDIRECT($B$5&amp;"生成成长"),3))*(VLOOKUP($B$5,标准坦克设计!$B$14:$K$20,9)/30))</f>
        <v>18.329342545286941</v>
      </c>
      <c r="EE124" s="172">
        <f ca="1">(VLOOKUP(EE$72,INDIRECT($C$5&amp;"生成成长"),2))/((VLOOKUP($B124,INDIRECT($B$5&amp;"生成成长"),4))/(VLOOKUP(EE$72,INDIRECT($C$5&amp;"生成成长"),5))*(VLOOKUP($B$5,标准坦克设计!$B$24:$U$30,MATCH("对"&amp;LEFT($C$5,2)&amp;"输出",标准坦克设计!$B$23:$U$23,0)))*(VLOOKUP($B124,INDIRECT($B$5&amp;"生成成长"),3))*(VLOOKUP($B$5,标准坦克设计!$B$14:$K$20,9)/30))</f>
        <v>19.882008052471942</v>
      </c>
      <c r="EF124" s="172">
        <f ca="1">(VLOOKUP(EF$72,INDIRECT($C$5&amp;"生成成长"),2))/((VLOOKUP($B124,INDIRECT($B$5&amp;"生成成长"),4))/(VLOOKUP(EF$72,INDIRECT($C$5&amp;"生成成长"),5))*(VLOOKUP($B$5,标准坦克设计!$B$24:$U$30,MATCH("对"&amp;LEFT($C$5,2)&amp;"输出",标准坦克设计!$B$23:$U$23,0)))*(VLOOKUP($B124,INDIRECT($B$5&amp;"生成成长"),3))*(VLOOKUP($B$5,标准坦克设计!$B$14:$K$20,9)/30))</f>
        <v>21.497790043688845</v>
      </c>
      <c r="EG124" s="172">
        <f ca="1">(VLOOKUP(EG$72,INDIRECT($C$5&amp;"生成成长"),2))/((VLOOKUP($B124,INDIRECT($B$5&amp;"生成成长"),4))/(VLOOKUP(EG$72,INDIRECT($C$5&amp;"生成成长"),5))*(VLOOKUP($B$5,标准坦克设计!$B$24:$U$30,MATCH("对"&amp;LEFT($C$5,2)&amp;"输出",标准坦克设计!$B$23:$U$23,0)))*(VLOOKUP($B124,INDIRECT($B$5&amp;"生成成长"),3))*(VLOOKUP($B$5,标准坦克设计!$B$14:$K$20,9)/30))</f>
        <v>23.176688518937663</v>
      </c>
      <c r="EH124" s="172">
        <f ca="1">(VLOOKUP(EH$72,INDIRECT($C$5&amp;"生成成长"),2))/((VLOOKUP($B124,INDIRECT($B$5&amp;"生成成长"),4))/(VLOOKUP(EH$72,INDIRECT($C$5&amp;"生成成长"),5))*(VLOOKUP($B$5,标准坦克设计!$B$24:$U$30,MATCH("对"&amp;LEFT($C$5,2)&amp;"输出",标准坦克设计!$B$23:$U$23,0)))*(VLOOKUP($B124,INDIRECT($B$5&amp;"生成成长"),3))*(VLOOKUP($B$5,标准坦克设计!$B$14:$K$20,9)/30))</f>
        <v>24.918703478218394</v>
      </c>
      <c r="EI124" s="172">
        <f ca="1">(VLOOKUP(EI$72,INDIRECT($C$5&amp;"生成成长"),2))/((VLOOKUP($B124,INDIRECT($B$5&amp;"生成成长"),4))/(VLOOKUP(EI$72,INDIRECT($C$5&amp;"生成成长"),5))*(VLOOKUP($B$5,标准坦克设计!$B$24:$U$30,MATCH("对"&amp;LEFT($C$5,2)&amp;"输出",标准坦克设计!$B$23:$U$23,0)))*(VLOOKUP($B124,INDIRECT($B$5&amp;"生成成长"),3))*(VLOOKUP($B$5,标准坦克设计!$B$14:$K$20,9)/30))</f>
        <v>26.723834921531026</v>
      </c>
      <c r="EJ124" s="172">
        <f ca="1">(VLOOKUP(EJ$72,INDIRECT($C$5&amp;"生成成长"),2))/((VLOOKUP($B124,INDIRECT($B$5&amp;"生成成长"),4))/(VLOOKUP(EJ$72,INDIRECT($C$5&amp;"生成成长"),5))*(VLOOKUP($B$5,标准坦克设计!$B$24:$U$30,MATCH("对"&amp;LEFT($C$5,2)&amp;"输出",标准坦克设计!$B$23:$U$23,0)))*(VLOOKUP($B124,INDIRECT($B$5&amp;"生成成长"),3))*(VLOOKUP($B$5,标准坦克设计!$B$14:$K$20,9)/30))</f>
        <v>28.592082848875574</v>
      </c>
      <c r="EK124" s="172">
        <f ca="1">(VLOOKUP(EK$72,INDIRECT($C$5&amp;"生成成长"),2))/((VLOOKUP($B124,INDIRECT($B$5&amp;"生成成长"),4))/(VLOOKUP(EK$72,INDIRECT($C$5&amp;"生成成长"),5))*(VLOOKUP($B$5,标准坦克设计!$B$24:$U$30,MATCH("对"&amp;LEFT($C$5,2)&amp;"输出",标准坦克设计!$B$23:$U$23,0)))*(VLOOKUP($B124,INDIRECT($B$5&amp;"生成成长"),3))*(VLOOKUP($B$5,标准坦克设计!$B$14:$K$20,9)/30))</f>
        <v>30.917294120611157</v>
      </c>
      <c r="EL124" s="172">
        <f ca="1">(VLOOKUP(EL$72,INDIRECT($C$5&amp;"生成成长"),2))/((VLOOKUP($B124,INDIRECT($B$5&amp;"生成成长"),4))/(VLOOKUP(EL$72,INDIRECT($C$5&amp;"生成成长"),5))*(VLOOKUP($B$5,标准坦克设计!$B$24:$U$30,MATCH("对"&amp;LEFT($C$5,2)&amp;"输出",标准坦克设计!$B$23:$U$23,0)))*(VLOOKUP($B124,INDIRECT($B$5&amp;"生成成长"),3))*(VLOOKUP($B$5,标准坦克设计!$B$14:$K$20,9)/30))</f>
        <v>33.333393129352679</v>
      </c>
      <c r="EM124" s="172">
        <f ca="1">(VLOOKUP(EM$72,INDIRECT($C$5&amp;"生成成长"),2))/((VLOOKUP($B124,INDIRECT($B$5&amp;"生成成长"),4))/(VLOOKUP(EM$72,INDIRECT($C$5&amp;"生成成长"),5))*(VLOOKUP($B$5,标准坦克设计!$B$24:$U$30,MATCH("对"&amp;LEFT($C$5,2)&amp;"输出",标准坦克设计!$B$23:$U$23,0)))*(VLOOKUP($B124,INDIRECT($B$5&amp;"生成成长"),3))*(VLOOKUP($B$5,标准坦克设计!$B$14:$K$20,9)/30))</f>
        <v>35.840379875100169</v>
      </c>
      <c r="EN124" s="172">
        <f ca="1">(VLOOKUP(EN$72,INDIRECT($C$5&amp;"生成成长"),2))/((VLOOKUP($B124,INDIRECT($B$5&amp;"生成成长"),4))/(VLOOKUP(EN$72,INDIRECT($C$5&amp;"生成成长"),5))*(VLOOKUP($B$5,标准坦克设计!$B$24:$U$30,MATCH("对"&amp;LEFT($C$5,2)&amp;"输出",标准坦克设计!$B$23:$U$23,0)))*(VLOOKUP($B124,INDIRECT($B$5&amp;"生成成长"),3))*(VLOOKUP($B$5,标准坦克设计!$B$14:$K$20,9)/30))</f>
        <v>38.438254357853594</v>
      </c>
      <c r="EO124" s="172">
        <f ca="1">(VLOOKUP(EO$72,INDIRECT($C$5&amp;"生成成长"),2))/((VLOOKUP($B124,INDIRECT($B$5&amp;"生成成长"),4))/(VLOOKUP(EO$72,INDIRECT($C$5&amp;"生成成长"),5))*(VLOOKUP($B$5,标准坦克设计!$B$24:$U$30,MATCH("对"&amp;LEFT($C$5,2)&amp;"输出",标准坦克设计!$B$23:$U$23,0)))*(VLOOKUP($B124,INDIRECT($B$5&amp;"生成成长"),3))*(VLOOKUP($B$5,标准坦克设计!$B$14:$K$20,9)/30))</f>
        <v>41.127016577612984</v>
      </c>
      <c r="EP124" s="172">
        <f ca="1">(VLOOKUP(EP$72,INDIRECT($C$5&amp;"生成成长"),2))/((VLOOKUP($B124,INDIRECT($B$5&amp;"生成成长"),4))/(VLOOKUP(EP$72,INDIRECT($C$5&amp;"生成成长"),5))*(VLOOKUP($B$5,标准坦克设计!$B$24:$U$30,MATCH("对"&amp;LEFT($C$5,2)&amp;"输出",标准坦克设计!$B$23:$U$23,0)))*(VLOOKUP($B124,INDIRECT($B$5&amp;"生成成长"),3))*(VLOOKUP($B$5,标准坦克设计!$B$14:$K$20,9)/30))</f>
        <v>43.906666534378324</v>
      </c>
      <c r="EQ124" s="172">
        <f ca="1">(VLOOKUP(EQ$72,INDIRECT($C$5&amp;"生成成长"),2))/((VLOOKUP($B124,INDIRECT($B$5&amp;"生成成长"),4))/(VLOOKUP(EQ$72,INDIRECT($C$5&amp;"生成成长"),5))*(VLOOKUP($B$5,标准坦克设计!$B$24:$U$30,MATCH("对"&amp;LEFT($C$5,2)&amp;"输出",标准坦克设计!$B$23:$U$23,0)))*(VLOOKUP($B124,INDIRECT($B$5&amp;"生成成长"),3))*(VLOOKUP($B$5,标准坦克设计!$B$14:$K$20,9)/30))</f>
        <v>19.409581169493091</v>
      </c>
      <c r="ER124" s="172">
        <f ca="1">(VLOOKUP(ER$72,INDIRECT($C$5&amp;"生成成长"),2))/((VLOOKUP($B124,INDIRECT($B$5&amp;"生成成长"),4))/(VLOOKUP(ER$72,INDIRECT($C$5&amp;"生成成长"),5))*(VLOOKUP($B$5,标准坦克设计!$B$24:$U$30,MATCH("对"&amp;LEFT($C$5,2)&amp;"输出",标准坦克设计!$B$23:$U$23,0)))*(VLOOKUP($B124,INDIRECT($B$5&amp;"生成成长"),3))*(VLOOKUP($B$5,标准坦克设计!$B$14:$K$20,9)/30))</f>
        <v>21.169584326722909</v>
      </c>
      <c r="ES124" s="172">
        <f ca="1">(VLOOKUP(ES$72,INDIRECT($C$5&amp;"生成成长"),2))/((VLOOKUP($B124,INDIRECT($B$5&amp;"生成成长"),4))/(VLOOKUP(ES$72,INDIRECT($C$5&amp;"生成成长"),5))*(VLOOKUP($B$5,标准坦克设计!$B$24:$U$30,MATCH("对"&amp;LEFT($C$5,2)&amp;"输出",标准坦克设计!$B$23:$U$23,0)))*(VLOOKUP($B124,INDIRECT($B$5&amp;"生成成长"),3))*(VLOOKUP($B$5,标准坦克设计!$B$14:$K$20,9)/30))</f>
        <v>23.005958429631345</v>
      </c>
      <c r="ET124" s="172">
        <f ca="1">(VLOOKUP(ET$72,INDIRECT($C$5&amp;"生成成长"),2))/((VLOOKUP($B124,INDIRECT($B$5&amp;"生成成长"),4))/(VLOOKUP(ET$72,INDIRECT($C$5&amp;"生成成长"),5))*(VLOOKUP($B$5,标准坦克设计!$B$24:$U$30,MATCH("对"&amp;LEFT($C$5,2)&amp;"输出",标准坦克设计!$B$23:$U$23,0)))*(VLOOKUP($B124,INDIRECT($B$5&amp;"生成成长"),3))*(VLOOKUP($B$5,标准坦克设计!$B$14:$K$20,9)/30))</f>
        <v>24.918703478218394</v>
      </c>
      <c r="EU124" s="172">
        <f ca="1">(VLOOKUP(EU$72,INDIRECT($C$5&amp;"生成成长"),2))/((VLOOKUP($B124,INDIRECT($B$5&amp;"生成成长"),4))/(VLOOKUP(EU$72,INDIRECT($C$5&amp;"生成成长"),5))*(VLOOKUP($B$5,标准坦克设计!$B$24:$U$30,MATCH("对"&amp;LEFT($C$5,2)&amp;"输出",标准坦克设计!$B$23:$U$23,0)))*(VLOOKUP($B124,INDIRECT($B$5&amp;"生成成长"),3))*(VLOOKUP($B$5,标准坦克设计!$B$14:$K$20,9)/30))</f>
        <v>26.907819472484046</v>
      </c>
      <c r="EV124" s="172">
        <f ca="1">(VLOOKUP(EV$72,INDIRECT($C$5&amp;"生成成长"),2))/((VLOOKUP($B124,INDIRECT($B$5&amp;"生成成长"),4))/(VLOOKUP(EV$72,INDIRECT($C$5&amp;"生成成长"),5))*(VLOOKUP($B$5,标准坦克设计!$B$24:$U$30,MATCH("对"&amp;LEFT($C$5,2)&amp;"输出",标准坦克设计!$B$23:$U$23,0)))*(VLOOKUP($B124,INDIRECT($B$5&amp;"生成成长"),3))*(VLOOKUP($B$5,标准坦克设计!$B$14:$K$20,9)/30))</f>
        <v>28.973306412428322</v>
      </c>
      <c r="EW124" s="172">
        <f ca="1">(VLOOKUP(EW$72,INDIRECT($C$5&amp;"生成成长"),2))/((VLOOKUP($B124,INDIRECT($B$5&amp;"生成成长"),4))/(VLOOKUP(EW$72,INDIRECT($C$5&amp;"生成成长"),5))*(VLOOKUP($B$5,标准坦克设计!$B$24:$U$30,MATCH("对"&amp;LEFT($C$5,2)&amp;"输出",标准坦克设计!$B$23:$U$23,0)))*(VLOOKUP($B124,INDIRECT($B$5&amp;"生成成长"),3))*(VLOOKUP($B$5,标准坦克设计!$B$14:$K$20,9)/30))</f>
        <v>31.115164298051191</v>
      </c>
      <c r="EX124" s="172">
        <f ca="1">(VLOOKUP(EX$72,INDIRECT($C$5&amp;"生成成长"),2))/((VLOOKUP($B124,INDIRECT($B$5&amp;"生成成长"),4))/(VLOOKUP(EX$72,INDIRECT($C$5&amp;"生成成长"),5))*(VLOOKUP($B$5,标准坦克设计!$B$24:$U$30,MATCH("对"&amp;LEFT($C$5,2)&amp;"输出",标准坦克设计!$B$23:$U$23,0)))*(VLOOKUP($B124,INDIRECT($B$5&amp;"生成成长"),3))*(VLOOKUP($B$5,标准坦克设计!$B$14:$K$20,9)/30))</f>
        <v>33.333393129352679</v>
      </c>
      <c r="EY124" s="172">
        <f ca="1">(VLOOKUP(EY$72,INDIRECT($C$5&amp;"生成成长"),2))/((VLOOKUP($B124,INDIRECT($B$5&amp;"生成成长"),4))/(VLOOKUP(EY$72,INDIRECT($C$5&amp;"生成成长"),5))*(VLOOKUP($B$5,标准坦克设计!$B$24:$U$30,MATCH("对"&amp;LEFT($C$5,2)&amp;"输出",标准坦克设计!$B$23:$U$23,0)))*(VLOOKUP($B124,INDIRECT($B$5&amp;"生成成长"),3))*(VLOOKUP($B$5,标准坦克设计!$B$14:$K$20,9)/30))</f>
        <v>35.627992906332786</v>
      </c>
      <c r="EZ124" s="172">
        <f ca="1">(VLOOKUP(EZ$72,INDIRECT($C$5&amp;"生成成长"),2))/((VLOOKUP($B124,INDIRECT($B$5&amp;"生成成长"),4))/(VLOOKUP(EZ$72,INDIRECT($C$5&amp;"生成成长"),5))*(VLOOKUP($B$5,标准坦克设计!$B$24:$U$30,MATCH("对"&amp;LEFT($C$5,2)&amp;"输出",标准坦克设计!$B$23:$U$23,0)))*(VLOOKUP($B124,INDIRECT($B$5&amp;"生成成长"),3))*(VLOOKUP($B$5,标准坦克设计!$B$14:$K$20,9)/30))</f>
        <v>37.998963628991504</v>
      </c>
      <c r="FA124" s="172">
        <f ca="1">(VLOOKUP(FA$72,INDIRECT($C$5&amp;"生成成长"),2))/((VLOOKUP($B124,INDIRECT($B$5&amp;"生成成长"),4))/(VLOOKUP(FA$72,INDIRECT($C$5&amp;"生成成长"),5))*(VLOOKUP($B$5,标准坦克设计!$B$24:$U$30,MATCH("对"&amp;LEFT($C$5,2)&amp;"输出",标准坦克设计!$B$23:$U$23,0)))*(VLOOKUP($B124,INDIRECT($B$5&amp;"生成成长"),3))*(VLOOKUP($B$5,标准坦克设计!$B$14:$K$20,9)/30))</f>
        <v>40.446305297328827</v>
      </c>
      <c r="FB124" s="172">
        <f ca="1">(VLOOKUP(FB$72,INDIRECT($C$5&amp;"生成成长"),2))/((VLOOKUP($B124,INDIRECT($B$5&amp;"生成成长"),4))/(VLOOKUP(FB$72,INDIRECT($C$5&amp;"生成成长"),5))*(VLOOKUP($B$5,标准坦克设计!$B$24:$U$30,MATCH("对"&amp;LEFT($C$5,2)&amp;"输出",标准坦克设计!$B$23:$U$23,0)))*(VLOOKUP($B124,INDIRECT($B$5&amp;"生成成长"),3))*(VLOOKUP($B$5,标准坦克设计!$B$14:$K$20,9)/30))</f>
        <v>42.970017911344762</v>
      </c>
      <c r="FC124" s="172">
        <f ca="1">(VLOOKUP(FC$72,INDIRECT($C$5&amp;"生成成长"),2))/((VLOOKUP($B124,INDIRECT($B$5&amp;"生成成长"),4))/(VLOOKUP(FC$72,INDIRECT($C$5&amp;"生成成长"),5))*(VLOOKUP($B$5,标准坦克设计!$B$24:$U$30,MATCH("对"&amp;LEFT($C$5,2)&amp;"输出",标准坦克设计!$B$23:$U$23,0)))*(VLOOKUP($B124,INDIRECT($B$5&amp;"生成成长"),3))*(VLOOKUP($B$5,标准坦克设计!$B$14:$K$20,9)/30))</f>
        <v>45.570101471039315</v>
      </c>
      <c r="FD124" s="172">
        <f ca="1">(VLOOKUP(FD$72,INDIRECT($C$5&amp;"生成成长"),2))/((VLOOKUP($B124,INDIRECT($B$5&amp;"生成成长"),4))/(VLOOKUP(FD$72,INDIRECT($C$5&amp;"生成成长"),5))*(VLOOKUP($B$5,标准坦克设计!$B$24:$U$30,MATCH("对"&amp;LEFT($C$5,2)&amp;"输出",标准坦克设计!$B$23:$U$23,0)))*(VLOOKUP($B124,INDIRECT($B$5&amp;"生成成长"),3))*(VLOOKUP($B$5,标准坦克设计!$B$14:$K$20,9)/30))</f>
        <v>48.246555976412473</v>
      </c>
      <c r="FE124" s="172">
        <f ca="1">(VLOOKUP(FE$72,INDIRECT($C$5&amp;"生成成长"),2))/((VLOOKUP($B124,INDIRECT($B$5&amp;"生成成长"),4))/(VLOOKUP(FE$72,INDIRECT($C$5&amp;"生成成长"),5))*(VLOOKUP($B$5,标准坦克设计!$B$24:$U$30,MATCH("对"&amp;LEFT($C$5,2)&amp;"输出",标准坦克设计!$B$23:$U$23,0)))*(VLOOKUP($B124,INDIRECT($B$5&amp;"生成成长"),3))*(VLOOKUP($B$5,标准坦克设计!$B$14:$K$20,9)/30))</f>
        <v>51.508100288761455</v>
      </c>
      <c r="FF124" s="172">
        <f ca="1">(VLOOKUP(FF$72,INDIRECT($C$5&amp;"生成成长"),2))/((VLOOKUP($B124,INDIRECT($B$5&amp;"生成成长"),4))/(VLOOKUP(FF$72,INDIRECT($C$5&amp;"生成成长"),5))*(VLOOKUP($B$5,标准坦克设计!$B$24:$U$30,MATCH("对"&amp;LEFT($C$5,2)&amp;"输出",标准坦克设计!$B$23:$U$23,0)))*(VLOOKUP($B124,INDIRECT($B$5&amp;"生成成长"),3))*(VLOOKUP($B$5,标准坦克设计!$B$14:$K$20,9)/30))</f>
        <v>54.876311459124345</v>
      </c>
      <c r="FG124" s="172">
        <f ca="1">(VLOOKUP(FG$72,INDIRECT($C$5&amp;"生成成长"),2))/((VLOOKUP($B124,INDIRECT($B$5&amp;"生成成长"),4))/(VLOOKUP(FG$72,INDIRECT($C$5&amp;"生成成长"),5))*(VLOOKUP($B$5,标准坦克设计!$B$24:$U$30,MATCH("对"&amp;LEFT($C$5,2)&amp;"输出",标准坦克设计!$B$23:$U$23,0)))*(VLOOKUP($B124,INDIRECT($B$5&amp;"生成成长"),3))*(VLOOKUP($B$5,标准坦克设计!$B$14:$K$20,9)/30))</f>
        <v>58.351189487501173</v>
      </c>
      <c r="FH124" s="172">
        <f ca="1">(VLOOKUP(FH$72,INDIRECT($C$5&amp;"生成成长"),2))/((VLOOKUP($B124,INDIRECT($B$5&amp;"生成成长"),4))/(VLOOKUP(FH$72,INDIRECT($C$5&amp;"生成成长"),5))*(VLOOKUP($B$5,标准坦克设计!$B$24:$U$30,MATCH("对"&amp;LEFT($C$5,2)&amp;"输出",标准坦克设计!$B$23:$U$23,0)))*(VLOOKUP($B124,INDIRECT($B$5&amp;"生成成长"),3))*(VLOOKUP($B$5,标准坦克设计!$B$14:$K$20,9)/30))</f>
        <v>61.932734373891932</v>
      </c>
      <c r="FI124" s="172">
        <f ca="1">(VLOOKUP(FI$72,INDIRECT($C$5&amp;"生成成长"),2))/((VLOOKUP($B124,INDIRECT($B$5&amp;"生成成长"),4))/(VLOOKUP(FI$72,INDIRECT($C$5&amp;"生成成长"),5))*(VLOOKUP($B$5,标准坦克设计!$B$24:$U$30,MATCH("对"&amp;LEFT($C$5,2)&amp;"输出",标准坦克设计!$B$23:$U$23,0)))*(VLOOKUP($B124,INDIRECT($B$5&amp;"生成成长"),3))*(VLOOKUP($B$5,标准坦克设计!$B$14:$K$20,9)/30))</f>
        <v>65.620946118296615</v>
      </c>
      <c r="FJ124" s="172">
        <f ca="1">(VLOOKUP(FJ$72,INDIRECT($C$5&amp;"生成成长"),2))/((VLOOKUP($B124,INDIRECT($B$5&amp;"生成成长"),4))/(VLOOKUP(FJ$72,INDIRECT($C$5&amp;"生成成长"),5))*(VLOOKUP($B$5,标准坦克设计!$B$24:$U$30,MATCH("对"&amp;LEFT($C$5,2)&amp;"输出",标准坦克设计!$B$23:$U$23,0)))*(VLOOKUP($B124,INDIRECT($B$5&amp;"生成成长"),3))*(VLOOKUP($B$5,标准坦克设计!$B$14:$K$20,9)/30))</f>
        <v>69.415824720715236</v>
      </c>
      <c r="FK124" s="172">
        <f ca="1">(VLOOKUP(FK$72,INDIRECT($C$5&amp;"生成成长"),2))/((VLOOKUP($B124,INDIRECT($B$5&amp;"生成成长"),4))/(VLOOKUP(FK$72,INDIRECT($C$5&amp;"生成成长"),5))*(VLOOKUP($B$5,标准坦克设计!$B$24:$U$30,MATCH("对"&amp;LEFT($C$5,2)&amp;"输出",标准坦克设计!$B$23:$U$23,0)))*(VLOOKUP($B124,INDIRECT($B$5&amp;"生成成长"),3))*(VLOOKUP($B$5,标准坦克设计!$B$14:$K$20,9)/30))</f>
        <v>73.317370181147766</v>
      </c>
    </row>
    <row r="125" spans="1:167" x14ac:dyDescent="0.15">
      <c r="A125" s="170" t="str">
        <f t="shared" si="11"/>
        <v>T2中品质8级</v>
      </c>
      <c r="B125" s="171">
        <v>20208</v>
      </c>
      <c r="C125" s="172">
        <f ca="1">(VLOOKUP(C$72,INDIRECT($C$5&amp;"生成成长"),2))/((VLOOKUP($B125,INDIRECT($B$5&amp;"生成成长"),4))/(VLOOKUP(C$72,INDIRECT($C$5&amp;"生成成长"),5))*(VLOOKUP($B$5,标准坦克设计!$B$24:$U$30,MATCH("对"&amp;LEFT($C$5,2)&amp;"输出",标准坦克设计!$B$23:$U$23,0)))*(VLOOKUP($B125,INDIRECT($B$5&amp;"生成成长"),3))*(VLOOKUP($B$5,标准坦克设计!$B$14:$K$20,9)/30))</f>
        <v>2.8711586250642962</v>
      </c>
      <c r="D125" s="172">
        <f ca="1">(VLOOKUP(D$72,INDIRECT($C$5&amp;"生成成长"),2))/((VLOOKUP($B125,INDIRECT($B$5&amp;"生成成长"),4))/(VLOOKUP(D$72,INDIRECT($C$5&amp;"生成成长"),5))*(VLOOKUP($B$5,标准坦克设计!$B$24:$U$30,MATCH("对"&amp;LEFT($C$5,2)&amp;"输出",标准坦克设计!$B$23:$U$23,0)))*(VLOOKUP($B125,INDIRECT($B$5&amp;"生成成长"),3))*(VLOOKUP($B$5,标准坦克设计!$B$14:$K$20,9)/30))</f>
        <v>3.2260338311222432</v>
      </c>
      <c r="E125" s="172">
        <f ca="1">(VLOOKUP(E$72,INDIRECT($C$5&amp;"生成成长"),2))/((VLOOKUP($B125,INDIRECT($B$5&amp;"生成成长"),4))/(VLOOKUP(E$72,INDIRECT($C$5&amp;"生成成长"),5))*(VLOOKUP($B$5,标准坦克设计!$B$24:$U$30,MATCH("对"&amp;LEFT($C$5,2)&amp;"输出",标准坦克设计!$B$23:$U$23,0)))*(VLOOKUP($B125,INDIRECT($B$5&amp;"生成成长"),3))*(VLOOKUP($B$5,标准坦克设计!$B$14:$K$20,9)/30))</f>
        <v>3.601581379280653</v>
      </c>
      <c r="F125" s="172">
        <f ca="1">(VLOOKUP(F$72,INDIRECT($C$5&amp;"生成成长"),2))/((VLOOKUP($B125,INDIRECT($B$5&amp;"生成成长"),4))/(VLOOKUP(F$72,INDIRECT($C$5&amp;"生成成长"),5))*(VLOOKUP($B$5,标准坦克设计!$B$24:$U$30,MATCH("对"&amp;LEFT($C$5,2)&amp;"输出",标准坦克设计!$B$23:$U$23,0)))*(VLOOKUP($B125,INDIRECT($B$5&amp;"生成成长"),3))*(VLOOKUP($B$5,标准坦克设计!$B$14:$K$20,9)/30))</f>
        <v>3.9978012695395262</v>
      </c>
      <c r="G125" s="172">
        <f ca="1">(VLOOKUP(G$72,INDIRECT($C$5&amp;"生成成长"),2))/((VLOOKUP($B125,INDIRECT($B$5&amp;"生成成长"),4))/(VLOOKUP(G$72,INDIRECT($C$5&amp;"生成成长"),5))*(VLOOKUP($B$5,标准坦克设计!$B$24:$U$30,MATCH("对"&amp;LEFT($C$5,2)&amp;"输出",标准坦克设计!$B$23:$U$23,0)))*(VLOOKUP($B125,INDIRECT($B$5&amp;"生成成长"),3))*(VLOOKUP($B$5,标准坦克设计!$B$14:$K$20,9)/30))</f>
        <v>4.4146935018988618</v>
      </c>
      <c r="H125" s="172">
        <f ca="1">(VLOOKUP(H$72,INDIRECT($C$5&amp;"生成成长"),2))/((VLOOKUP($B125,INDIRECT($B$5&amp;"生成成长"),4))/(VLOOKUP(H$72,INDIRECT($C$5&amp;"生成成长"),5))*(VLOOKUP($B$5,标准坦克设计!$B$24:$U$30,MATCH("对"&amp;LEFT($C$5,2)&amp;"输出",标准坦克设计!$B$23:$U$23,0)))*(VLOOKUP($B125,INDIRECT($B$5&amp;"生成成长"),3))*(VLOOKUP($B$5,标准坦克设计!$B$14:$K$20,9)/30))</f>
        <v>3.8634310458865166</v>
      </c>
      <c r="I125" s="172">
        <f ca="1">(VLOOKUP(I$72,INDIRECT($C$5&amp;"生成成长"),2))/((VLOOKUP($B125,INDIRECT($B$5&amp;"生成成长"),4))/(VLOOKUP(I$72,INDIRECT($C$5&amp;"生成成长"),5))*(VLOOKUP($B$5,标准坦克设计!$B$24:$U$30,MATCH("对"&amp;LEFT($C$5,2)&amp;"输出",标准坦克设计!$B$23:$U$23,0)))*(VLOOKUP($B125,INDIRECT($B$5&amp;"生成成长"),3))*(VLOOKUP($B$5,标准坦克设计!$B$14:$K$20,9)/30))</f>
        <v>4.4146935018988618</v>
      </c>
      <c r="J125" s="172">
        <f ca="1">(VLOOKUP(J$72,INDIRECT($C$5&amp;"生成成长"),2))/((VLOOKUP($B125,INDIRECT($B$5&amp;"生成成长"),4))/(VLOOKUP(J$72,INDIRECT($C$5&amp;"生成成长"),5))*(VLOOKUP($B$5,标准坦克设计!$B$24:$U$30,MATCH("对"&amp;LEFT($C$5,2)&amp;"输出",标准坦克设计!$B$23:$U$23,0)))*(VLOOKUP($B125,INDIRECT($B$5&amp;"生成成长"),3))*(VLOOKUP($B$5,标准坦克设计!$B$14:$K$20,9)/30))</f>
        <v>5.0027067883120306</v>
      </c>
      <c r="K125" s="172">
        <f ca="1">(VLOOKUP(K$72,INDIRECT($C$5&amp;"生成成长"),2))/((VLOOKUP($B125,INDIRECT($B$5&amp;"生成成长"),4))/(VLOOKUP(K$72,INDIRECT($C$5&amp;"生成成长"),5))*(VLOOKUP($B$5,标准坦克设计!$B$24:$U$30,MATCH("对"&amp;LEFT($C$5,2)&amp;"输出",标准坦克设计!$B$23:$U$23,0)))*(VLOOKUP($B125,INDIRECT($B$5&amp;"生成成长"),3))*(VLOOKUP($B$5,标准坦克设计!$B$14:$K$20,9)/30))</f>
        <v>5.627470905126021</v>
      </c>
      <c r="L125" s="172">
        <f ca="1">(VLOOKUP(L$72,INDIRECT($C$5&amp;"生成成长"),2))/((VLOOKUP($B125,INDIRECT($B$5&amp;"生成成长"),4))/(VLOOKUP(L$72,INDIRECT($C$5&amp;"生成成长"),5))*(VLOOKUP($B$5,标准坦克设计!$B$24:$U$30,MATCH("对"&amp;LEFT($C$5,2)&amp;"输出",标准坦克设计!$B$23:$U$23,0)))*(VLOOKUP($B125,INDIRECT($B$5&amp;"生成成长"),3))*(VLOOKUP($B$5,标准坦克设计!$B$14:$K$20,9)/30))</f>
        <v>6.2889858523408346</v>
      </c>
      <c r="M125" s="172">
        <f ca="1">(VLOOKUP(M$72,INDIRECT($C$5&amp;"生成成长"),2))/((VLOOKUP($B125,INDIRECT($B$5&amp;"生成成长"),4))/(VLOOKUP(M$72,INDIRECT($C$5&amp;"生成成长"),5))*(VLOOKUP($B$5,标准坦克设计!$B$24:$U$30,MATCH("对"&amp;LEFT($C$5,2)&amp;"输出",标准坦克设计!$B$23:$U$23,0)))*(VLOOKUP($B125,INDIRECT($B$5&amp;"生成成长"),3))*(VLOOKUP($B$5,标准坦克设计!$B$14:$K$20,9)/30))</f>
        <v>6.9872516299564715</v>
      </c>
      <c r="N125" s="172">
        <f ca="1">(VLOOKUP(N$72,INDIRECT($C$5&amp;"生成成长"),2))/((VLOOKUP($B125,INDIRECT($B$5&amp;"生成成长"),4))/(VLOOKUP(N$72,INDIRECT($C$5&amp;"生成成长"),5))*(VLOOKUP($B$5,标准坦克设计!$B$24:$U$30,MATCH("对"&amp;LEFT($C$5,2)&amp;"输出",标准坦克设计!$B$23:$U$23,0)))*(VLOOKUP($B125,INDIRECT($B$5&amp;"生成成长"),3))*(VLOOKUP($B$5,标准坦克设计!$B$14:$K$20,9)/30))</f>
        <v>7.7222682379729308</v>
      </c>
      <c r="O125" s="172">
        <f ca="1">(VLOOKUP(O$72,INDIRECT($C$5&amp;"生成成长"),2))/((VLOOKUP($B125,INDIRECT($B$5&amp;"生成成长"),4))/(VLOOKUP(O$72,INDIRECT($C$5&amp;"生成成长"),5))*(VLOOKUP($B$5,标准坦克设计!$B$24:$U$30,MATCH("对"&amp;LEFT($C$5,2)&amp;"输出",标准坦克设计!$B$23:$U$23,0)))*(VLOOKUP($B125,INDIRECT($B$5&amp;"生成成长"),3))*(VLOOKUP($B$5,标准坦克设计!$B$14:$K$20,9)/30))</f>
        <v>5.8712322723939794</v>
      </c>
      <c r="P125" s="172">
        <f ca="1">(VLOOKUP(P$72,INDIRECT($C$5&amp;"生成成长"),2))/((VLOOKUP($B125,INDIRECT($B$5&amp;"生成成长"),4))/(VLOOKUP(P$72,INDIRECT($C$5&amp;"生成成长"),5))*(VLOOKUP($B$5,标准坦克设计!$B$24:$U$30,MATCH("对"&amp;LEFT($C$5,2)&amp;"输出",标准坦克设计!$B$23:$U$23,0)))*(VLOOKUP($B125,INDIRECT($B$5&amp;"生成成长"),3))*(VLOOKUP($B$5,标准坦克设计!$B$14:$K$20,9)/30))</f>
        <v>6.6335248873485506</v>
      </c>
      <c r="Q125" s="172">
        <f ca="1">(VLOOKUP(Q$72,INDIRECT($C$5&amp;"生成成长"),2))/((VLOOKUP($B125,INDIRECT($B$5&amp;"生成成长"),4))/(VLOOKUP(Q$72,INDIRECT($C$5&amp;"生成成长"),5))*(VLOOKUP($B$5,标准坦克设计!$B$24:$U$30,MATCH("对"&amp;LEFT($C$5,2)&amp;"输出",标准坦克设计!$B$23:$U$23,0)))*(VLOOKUP($B125,INDIRECT($B$5&amp;"生成成长"),3))*(VLOOKUP($B$5,标准坦克设计!$B$14:$K$20,9)/30))</f>
        <v>7.442330272029162</v>
      </c>
      <c r="R125" s="172">
        <f ca="1">(VLOOKUP(R$72,INDIRECT($C$5&amp;"生成成长"),2))/((VLOOKUP($B125,INDIRECT($B$5&amp;"生成成长"),4))/(VLOOKUP(R$72,INDIRECT($C$5&amp;"生成成长"),5))*(VLOOKUP($B$5,标准坦克设计!$B$24:$U$30,MATCH("对"&amp;LEFT($C$5,2)&amp;"输出",标准坦克设计!$B$23:$U$23,0)))*(VLOOKUP($B125,INDIRECT($B$5&amp;"生成成长"),3))*(VLOOKUP($B$5,标准坦克设计!$B$14:$K$20,9)/30))</f>
        <v>8.297648426435817</v>
      </c>
      <c r="S125" s="172">
        <f ca="1">(VLOOKUP(S$72,INDIRECT($C$5&amp;"生成成长"),2))/((VLOOKUP($B125,INDIRECT($B$5&amp;"生成成长"),4))/(VLOOKUP(S$72,INDIRECT($C$5&amp;"生成成长"),5))*(VLOOKUP($B$5,标准坦克设计!$B$24:$U$30,MATCH("对"&amp;LEFT($C$5,2)&amp;"输出",标准坦克设计!$B$23:$U$23,0)))*(VLOOKUP($B125,INDIRECT($B$5&amp;"生成成长"),3))*(VLOOKUP($B$5,标准坦克设计!$B$14:$K$20,9)/30))</f>
        <v>9.1994793505685131</v>
      </c>
      <c r="T125" s="172">
        <f ca="1">(VLOOKUP(T$72,INDIRECT($C$5&amp;"生成成长"),2))/((VLOOKUP($B125,INDIRECT($B$5&amp;"生成成长"),4))/(VLOOKUP(T$72,INDIRECT($C$5&amp;"生成成长"),5))*(VLOOKUP($B$5,标准坦克设计!$B$24:$U$30,MATCH("对"&amp;LEFT($C$5,2)&amp;"输出",标准坦克设计!$B$23:$U$23,0)))*(VLOOKUP($B125,INDIRECT($B$5&amp;"生成成长"),3))*(VLOOKUP($B$5,标准坦克设计!$B$14:$K$20,9)/30))</f>
        <v>10.147823044427248</v>
      </c>
      <c r="U125" s="172">
        <f ca="1">(VLOOKUP(U$72,INDIRECT($C$5&amp;"生成成长"),2))/((VLOOKUP($B125,INDIRECT($B$5&amp;"生成成长"),4))/(VLOOKUP(U$72,INDIRECT($C$5&amp;"生成成长"),5))*(VLOOKUP($B$5,标准坦克设计!$B$24:$U$30,MATCH("对"&amp;LEFT($C$5,2)&amp;"输出",标准坦克设计!$B$23:$U$23,0)))*(VLOOKUP($B125,INDIRECT($B$5&amp;"生成成长"),3))*(VLOOKUP($B$5,标准坦克设计!$B$14:$K$20,9)/30))</f>
        <v>11.142679508012028</v>
      </c>
      <c r="V125" s="172">
        <f ca="1">(VLOOKUP(V$72,INDIRECT($C$5&amp;"生成成长"),2))/((VLOOKUP($B125,INDIRECT($B$5&amp;"生成成长"),4))/(VLOOKUP(V$72,INDIRECT($C$5&amp;"生成成长"),5))*(VLOOKUP($B$5,标准坦克设计!$B$24:$U$30,MATCH("对"&amp;LEFT($C$5,2)&amp;"输出",标准坦克设计!$B$23:$U$23,0)))*(VLOOKUP($B125,INDIRECT($B$5&amp;"生成成长"),3))*(VLOOKUP($B$5,标准坦克设计!$B$14:$K$20,9)/30))</f>
        <v>12.184048741322849</v>
      </c>
      <c r="W125" s="172">
        <f ca="1">(VLOOKUP(W$72,INDIRECT($C$5&amp;"生成成长"),2))/((VLOOKUP($B125,INDIRECT($B$5&amp;"生成成长"),4))/(VLOOKUP(W$72,INDIRECT($C$5&amp;"生成成长"),5))*(VLOOKUP($B$5,标准坦克设计!$B$24:$U$30,MATCH("对"&amp;LEFT($C$5,2)&amp;"输出",标准坦克设计!$B$23:$U$23,0)))*(VLOOKUP($B125,INDIRECT($B$5&amp;"生成成长"),3))*(VLOOKUP($B$5,标准坦克设计!$B$14:$K$20,9)/30))</f>
        <v>13.271930744359711</v>
      </c>
      <c r="X125" s="172">
        <f ca="1">(VLOOKUP(X$72,INDIRECT($C$5&amp;"生成成长"),2))/((VLOOKUP($B125,INDIRECT($B$5&amp;"生成成长"),4))/(VLOOKUP(X$72,INDIRECT($C$5&amp;"生成成长"),5))*(VLOOKUP($B$5,标准坦克设计!$B$24:$U$30,MATCH("对"&amp;LEFT($C$5,2)&amp;"输出",标准坦克设计!$B$23:$U$23,0)))*(VLOOKUP($B125,INDIRECT($B$5&amp;"生成成长"),3))*(VLOOKUP($B$5,标准坦克设计!$B$14:$K$20,9)/30))</f>
        <v>9.6152231194778235</v>
      </c>
      <c r="Y125" s="172">
        <f ca="1">(VLOOKUP(Y$72,INDIRECT($C$5&amp;"生成成长"),2))/((VLOOKUP($B125,INDIRECT($B$5&amp;"生成成长"),4))/(VLOOKUP(Y$72,INDIRECT($C$5&amp;"生成成长"),5))*(VLOOKUP($B$5,标准坦克设计!$B$24:$U$30,MATCH("对"&amp;LEFT($C$5,2)&amp;"输出",标准坦克设计!$B$23:$U$23,0)))*(VLOOKUP($B125,INDIRECT($B$5&amp;"生成成长"),3))*(VLOOKUP($B$5,标准坦克设计!$B$14:$K$20,9)/30))</f>
        <v>10.694778762501995</v>
      </c>
      <c r="Z125" s="172">
        <f ca="1">(VLOOKUP(Z$72,INDIRECT($C$5&amp;"生成成长"),2))/((VLOOKUP($B125,INDIRECT($B$5&amp;"生成成长"),4))/(VLOOKUP(Z$72,INDIRECT($C$5&amp;"生成成长"),5))*(VLOOKUP($B$5,标准坦克设计!$B$24:$U$30,MATCH("对"&amp;LEFT($C$5,2)&amp;"输出",标准坦克设计!$B$23:$U$23,0)))*(VLOOKUP($B125,INDIRECT($B$5&amp;"生成成长"),3))*(VLOOKUP($B$5,标准坦克设计!$B$14:$K$20,9)/30))</f>
        <v>11.831757578027458</v>
      </c>
      <c r="AA125" s="172">
        <f ca="1">(VLOOKUP(AA$72,INDIRECT($C$5&amp;"生成成长"),2))/((VLOOKUP($B125,INDIRECT($B$5&amp;"生成成长"),4))/(VLOOKUP(AA$72,INDIRECT($C$5&amp;"生成成长"),5))*(VLOOKUP($B$5,标准坦克设计!$B$24:$U$30,MATCH("对"&amp;LEFT($C$5,2)&amp;"输出",标准坦克设计!$B$23:$U$23,0)))*(VLOOKUP($B125,INDIRECT($B$5&amp;"生成成长"),3))*(VLOOKUP($B$5,标准坦克设计!$B$14:$K$20,9)/30))</f>
        <v>13.026159566054206</v>
      </c>
      <c r="AB125" s="172">
        <f ca="1">(VLOOKUP(AB$72,INDIRECT($C$5&amp;"生成成长"),2))/((VLOOKUP($B125,INDIRECT($B$5&amp;"生成成长"),4))/(VLOOKUP(AB$72,INDIRECT($C$5&amp;"生成成长"),5))*(VLOOKUP($B$5,标准坦克设计!$B$24:$U$30,MATCH("对"&amp;LEFT($C$5,2)&amp;"输出",标准坦克设计!$B$23:$U$23,0)))*(VLOOKUP($B125,INDIRECT($B$5&amp;"生成成长"),3))*(VLOOKUP($B$5,标准坦克设计!$B$14:$K$20,9)/30))</f>
        <v>14.277984726582238</v>
      </c>
      <c r="AC125" s="172">
        <f ca="1">(VLOOKUP(AC$72,INDIRECT($C$5&amp;"生成成长"),2))/((VLOOKUP($B125,INDIRECT($B$5&amp;"生成成长"),4))/(VLOOKUP(AC$72,INDIRECT($C$5&amp;"生成成长"),5))*(VLOOKUP($B$5,标准坦克设计!$B$24:$U$30,MATCH("对"&amp;LEFT($C$5,2)&amp;"输出",标准坦克设计!$B$23:$U$23,0)))*(VLOOKUP($B125,INDIRECT($B$5&amp;"生成成长"),3))*(VLOOKUP($B$5,标准坦克设计!$B$14:$K$20,9)/30))</f>
        <v>15.587233059611561</v>
      </c>
      <c r="AD125" s="172">
        <f ca="1">(VLOOKUP(AD$72,INDIRECT($C$5&amp;"生成成长"),2))/((VLOOKUP($B125,INDIRECT($B$5&amp;"生成成长"),4))/(VLOOKUP(AD$72,INDIRECT($C$5&amp;"生成成长"),5))*(VLOOKUP($B$5,标准坦克设计!$B$24:$U$30,MATCH("对"&amp;LEFT($C$5,2)&amp;"输出",标准坦克设计!$B$23:$U$23,0)))*(VLOOKUP($B125,INDIRECT($B$5&amp;"生成成长"),3))*(VLOOKUP($B$5,标准坦克设计!$B$14:$K$20,9)/30))</f>
        <v>16.953904565142164</v>
      </c>
      <c r="AE125" s="172">
        <f ca="1">(VLOOKUP(AE$72,INDIRECT($C$5&amp;"生成成长"),2))/((VLOOKUP($B125,INDIRECT($B$5&amp;"生成成长"),4))/(VLOOKUP(AE$72,INDIRECT($C$5&amp;"生成成长"),5))*(VLOOKUP($B$5,标准坦克设计!$B$24:$U$30,MATCH("对"&amp;LEFT($C$5,2)&amp;"输出",标准坦克设计!$B$23:$U$23,0)))*(VLOOKUP($B125,INDIRECT($B$5&amp;"生成成长"),3))*(VLOOKUP($B$5,标准坦克设计!$B$14:$K$20,9)/30))</f>
        <v>18.377999243174052</v>
      </c>
      <c r="AF125" s="172">
        <f ca="1">(VLOOKUP(AF$72,INDIRECT($C$5&amp;"生成成长"),2))/((VLOOKUP($B125,INDIRECT($B$5&amp;"生成成长"),4))/(VLOOKUP(AF$72,INDIRECT($C$5&amp;"生成成长"),5))*(VLOOKUP($B$5,标准坦克设计!$B$24:$U$30,MATCH("对"&amp;LEFT($C$5,2)&amp;"输出",标准坦克设计!$B$23:$U$23,0)))*(VLOOKUP($B125,INDIRECT($B$5&amp;"生成成长"),3))*(VLOOKUP($B$5,标准坦克设计!$B$14:$K$20,9)/30))</f>
        <v>19.859517093707233</v>
      </c>
      <c r="AG125" s="172">
        <f ca="1">(VLOOKUP(AG$72,INDIRECT($C$5&amp;"生成成长"),2))/((VLOOKUP($B125,INDIRECT($B$5&amp;"生成成长"),4))/(VLOOKUP(AG$72,INDIRECT($C$5&amp;"生成成长"),5))*(VLOOKUP($B$5,标准坦克设计!$B$24:$U$30,MATCH("对"&amp;LEFT($C$5,2)&amp;"输出",标准坦克设计!$B$23:$U$23,0)))*(VLOOKUP($B125,INDIRECT($B$5&amp;"生成成长"),3))*(VLOOKUP($B$5,标准坦克设计!$B$14:$K$20,9)/30))</f>
        <v>21.398458116741697</v>
      </c>
      <c r="AH125" s="172">
        <f ca="1">(VLOOKUP(AH$72,INDIRECT($C$5&amp;"生成成长"),2))/((VLOOKUP($B125,INDIRECT($B$5&amp;"生成成长"),4))/(VLOOKUP(AH$72,INDIRECT($C$5&amp;"生成成长"),5))*(VLOOKUP($B$5,标准坦克设计!$B$24:$U$30,MATCH("对"&amp;LEFT($C$5,2)&amp;"输出",标准坦克设计!$B$23:$U$23,0)))*(VLOOKUP($B125,INDIRECT($B$5&amp;"生成成长"),3))*(VLOOKUP($B$5,标准坦克设计!$B$14:$K$20,9)/30))</f>
        <v>22.994822312277442</v>
      </c>
      <c r="AI125" s="172">
        <f ca="1">(VLOOKUP(AI$72,INDIRECT($C$5&amp;"生成成长"),2))/((VLOOKUP($B125,INDIRECT($B$5&amp;"生成成长"),4))/(VLOOKUP(AI$72,INDIRECT($C$5&amp;"生成成长"),5))*(VLOOKUP($B$5,标准坦克设计!$B$24:$U$30,MATCH("对"&amp;LEFT($C$5,2)&amp;"输出",标准坦克设计!$B$23:$U$23,0)))*(VLOOKUP($B125,INDIRECT($B$5&amp;"生成成长"),3))*(VLOOKUP($B$5,标准坦克设计!$B$14:$K$20,9)/30))</f>
        <v>16.263390915814202</v>
      </c>
      <c r="AJ125" s="172">
        <f ca="1">(VLOOKUP(AJ$72,INDIRECT($C$5&amp;"生成成长"),2))/((VLOOKUP($B125,INDIRECT($B$5&amp;"生成成长"),4))/(VLOOKUP(AJ$72,INDIRECT($C$5&amp;"生成成长"),5))*(VLOOKUP($B$5,标准坦克设计!$B$24:$U$30,MATCH("对"&amp;LEFT($C$5,2)&amp;"输出",标准坦克设计!$B$23:$U$23,0)))*(VLOOKUP($B125,INDIRECT($B$5&amp;"生成成长"),3))*(VLOOKUP($B$5,标准坦克设计!$B$14:$K$20,9)/30))</f>
        <v>17.801470591261143</v>
      </c>
      <c r="AK125" s="172">
        <f ca="1">(VLOOKUP(AK$72,INDIRECT($C$5&amp;"生成成长"),2))/((VLOOKUP($B125,INDIRECT($B$5&amp;"生成成长"),4))/(VLOOKUP(AK$72,INDIRECT($C$5&amp;"生成成长"),5))*(VLOOKUP($B$5,标准坦克设计!$B$24:$U$30,MATCH("对"&amp;LEFT($C$5,2)&amp;"输出",标准坦克设计!$B$23:$U$23,0)))*(VLOOKUP($B125,INDIRECT($B$5&amp;"生成成长"),3))*(VLOOKUP($B$5,标准坦克设计!$B$14:$K$20,9)/30))</f>
        <v>19.409032305434643</v>
      </c>
      <c r="AL125" s="172">
        <f ca="1">(VLOOKUP(AL$72,INDIRECT($C$5&amp;"生成成长"),2))/((VLOOKUP($B125,INDIRECT($B$5&amp;"生成成长"),4))/(VLOOKUP(AL$72,INDIRECT($C$5&amp;"生成成长"),5))*(VLOOKUP($B$5,标准坦克设计!$B$24:$U$30,MATCH("对"&amp;LEFT($C$5,2)&amp;"输出",标准坦克设计!$B$23:$U$23,0)))*(VLOOKUP($B125,INDIRECT($B$5&amp;"生成成长"),3))*(VLOOKUP($B$5,标准坦克设计!$B$14:$K$20,9)/30))</f>
        <v>21.086076058334697</v>
      </c>
      <c r="AM125" s="172">
        <f ca="1">(VLOOKUP(AM$72,INDIRECT($C$5&amp;"生成成长"),2))/((VLOOKUP($B125,INDIRECT($B$5&amp;"生成成长"),4))/(VLOOKUP(AM$72,INDIRECT($C$5&amp;"生成成长"),5))*(VLOOKUP($B$5,标准坦克设计!$B$24:$U$30,MATCH("对"&amp;LEFT($C$5,2)&amp;"输出",标准坦克设计!$B$23:$U$23,0)))*(VLOOKUP($B125,INDIRECT($B$5&amp;"生成成长"),3))*(VLOOKUP($B$5,标准坦克设计!$B$14:$K$20,9)/30))</f>
        <v>22.832601849961307</v>
      </c>
      <c r="AN125" s="172">
        <f ca="1">(VLOOKUP(AN$72,INDIRECT($C$5&amp;"生成成长"),2))/((VLOOKUP($B125,INDIRECT($B$5&amp;"生成成长"),4))/(VLOOKUP(AN$72,INDIRECT($C$5&amp;"生成成长"),5))*(VLOOKUP($B$5,标准坦克设计!$B$24:$U$30,MATCH("对"&amp;LEFT($C$5,2)&amp;"输出",标准坦克设计!$B$23:$U$23,0)))*(VLOOKUP($B125,INDIRECT($B$5&amp;"生成成长"),3))*(VLOOKUP($B$5,标准坦克设计!$B$14:$K$20,9)/30))</f>
        <v>24.648609680314483</v>
      </c>
      <c r="AO125" s="172">
        <f ca="1">(VLOOKUP(AO$72,INDIRECT($C$5&amp;"生成成长"),2))/((VLOOKUP($B125,INDIRECT($B$5&amp;"生成成长"),4))/(VLOOKUP(AO$72,INDIRECT($C$5&amp;"生成成长"),5))*(VLOOKUP($B$5,标准坦克设计!$B$24:$U$30,MATCH("对"&amp;LEFT($C$5,2)&amp;"输出",标准坦克设计!$B$23:$U$23,0)))*(VLOOKUP($B125,INDIRECT($B$5&amp;"生成成长"),3))*(VLOOKUP($B$5,标准坦克设计!$B$14:$K$20,9)/30))</f>
        <v>26.534099549394202</v>
      </c>
      <c r="AP125" s="172">
        <f ca="1">(VLOOKUP(AP$72,INDIRECT($C$5&amp;"生成成长"),2))/((VLOOKUP($B125,INDIRECT($B$5&amp;"生成成长"),4))/(VLOOKUP(AP$72,INDIRECT($C$5&amp;"生成成长"),5))*(VLOOKUP($B$5,标准坦克设计!$B$24:$U$30,MATCH("对"&amp;LEFT($C$5,2)&amp;"输出",标准坦克设计!$B$23:$U$23,0)))*(VLOOKUP($B125,INDIRECT($B$5&amp;"生成成长"),3))*(VLOOKUP($B$5,标准坦克设计!$B$14:$K$20,9)/30))</f>
        <v>28.489071457200481</v>
      </c>
      <c r="AQ125" s="172">
        <f ca="1">(VLOOKUP(AQ$72,INDIRECT($C$5&amp;"生成成长"),2))/((VLOOKUP($B125,INDIRECT($B$5&amp;"生成成长"),4))/(VLOOKUP(AQ$72,INDIRECT($C$5&amp;"生成成长"),5))*(VLOOKUP($B$5,标准坦克设计!$B$24:$U$30,MATCH("对"&amp;LEFT($C$5,2)&amp;"输出",标准坦克设计!$B$23:$U$23,0)))*(VLOOKUP($B125,INDIRECT($B$5&amp;"生成成长"),3))*(VLOOKUP($B$5,标准坦克设计!$B$14:$K$20,9)/30))</f>
        <v>30.513525403733315</v>
      </c>
      <c r="AR125" s="172">
        <f ca="1">(VLOOKUP(AR$72,INDIRECT($C$5&amp;"生成成长"),2))/((VLOOKUP($B125,INDIRECT($B$5&amp;"生成成长"),4))/(VLOOKUP(AR$72,INDIRECT($C$5&amp;"生成成长"),5))*(VLOOKUP($B$5,标准坦克设计!$B$24:$U$30,MATCH("对"&amp;LEFT($C$5,2)&amp;"输出",标准坦克设计!$B$23:$U$23,0)))*(VLOOKUP($B125,INDIRECT($B$5&amp;"生成成长"),3))*(VLOOKUP($B$5,标准坦克设计!$B$14:$K$20,9)/30))</f>
        <v>32.607461388992711</v>
      </c>
      <c r="AS125" s="172">
        <f ca="1">(VLOOKUP(AS$72,INDIRECT($C$5&amp;"生成成长"),2))/((VLOOKUP($B125,INDIRECT($B$5&amp;"生成成长"),4))/(VLOOKUP(AS$72,INDIRECT($C$5&amp;"生成成长"),5))*(VLOOKUP($B$5,标准坦克设计!$B$24:$U$30,MATCH("对"&amp;LEFT($C$5,2)&amp;"输出",标准坦克设计!$B$23:$U$23,0)))*(VLOOKUP($B125,INDIRECT($B$5&amp;"生成成长"),3))*(VLOOKUP($B$5,标准坦克设计!$B$14:$K$20,9)/30))</f>
        <v>34.770879412978651</v>
      </c>
      <c r="AT125" s="172">
        <f ca="1">(VLOOKUP(AT$72,INDIRECT($C$5&amp;"生成成长"),2))/((VLOOKUP($B125,INDIRECT($B$5&amp;"生成成长"),4))/(VLOOKUP(AT$72,INDIRECT($C$5&amp;"生成成长"),5))*(VLOOKUP($B$5,标准坦克设计!$B$24:$U$30,MATCH("对"&amp;LEFT($C$5,2)&amp;"输出",标准坦克设计!$B$23:$U$23,0)))*(VLOOKUP($B125,INDIRECT($B$5&amp;"生成成长"),3))*(VLOOKUP($B$5,标准坦克设计!$B$14:$K$20,9)/30))</f>
        <v>37.003779475691161</v>
      </c>
      <c r="AU125" s="172">
        <f ca="1">(VLOOKUP(AU$72,INDIRECT($C$5&amp;"生成成长"),2))/((VLOOKUP($B125,INDIRECT($B$5&amp;"生成成长"),4))/(VLOOKUP(AU$72,INDIRECT($C$5&amp;"生成成长"),5))*(VLOOKUP($B$5,标准坦克设计!$B$24:$U$30,MATCH("对"&amp;LEFT($C$5,2)&amp;"输出",标准坦克设计!$B$23:$U$23,0)))*(VLOOKUP($B125,INDIRECT($B$5&amp;"生成成长"),3))*(VLOOKUP($B$5,标准坦克设计!$B$14:$K$20,9)/30))</f>
        <v>39.306161577130219</v>
      </c>
      <c r="AV125" s="172">
        <f ca="1">(VLOOKUP(AV$72,INDIRECT($C$5&amp;"生成成长"),2))/((VLOOKUP($B125,INDIRECT($B$5&amp;"生成成长"),4))/(VLOOKUP(AV$72,INDIRECT($C$5&amp;"生成成长"),5))*(VLOOKUP($B$5,标准坦克设计!$B$24:$U$30,MATCH("对"&amp;LEFT($C$5,2)&amp;"输出",标准坦克设计!$B$23:$U$23,0)))*(VLOOKUP($B125,INDIRECT($B$5&amp;"生成成长"),3))*(VLOOKUP($B$5,标准坦克设计!$B$14:$K$20,9)/30))</f>
        <v>3.9978012695395262</v>
      </c>
      <c r="AW125" s="172">
        <f ca="1">(VLOOKUP(AW$72,INDIRECT($C$5&amp;"生成成长"),2))/((VLOOKUP($B125,INDIRECT($B$5&amp;"生成成长"),4))/(VLOOKUP(AW$72,INDIRECT($C$5&amp;"生成成长"),5))*(VLOOKUP($B$5,标准坦克设计!$B$24:$U$30,MATCH("对"&amp;LEFT($C$5,2)&amp;"输出",标准坦克设计!$B$23:$U$23,0)))*(VLOOKUP($B125,INDIRECT($B$5&amp;"生成成长"),3))*(VLOOKUP($B$5,标准坦克设计!$B$14:$K$20,9)/30))</f>
        <v>4.5582514331520771</v>
      </c>
      <c r="AX125" s="172">
        <f ca="1">(VLOOKUP(AX$72,INDIRECT($C$5&amp;"生成成长"),2))/((VLOOKUP($B125,INDIRECT($B$5&amp;"生成成长"),4))/(VLOOKUP(AX$72,INDIRECT($C$5&amp;"生成成长"),5))*(VLOOKUP($B$5,标准坦克设计!$B$24:$U$30,MATCH("对"&amp;LEFT($C$5,2)&amp;"输出",标准坦克设计!$B$23:$U$23,0)))*(VLOOKUP($B125,INDIRECT($B$5&amp;"生成成长"),3))*(VLOOKUP($B$5,标准坦克设计!$B$14:$K$20,9)/30))</f>
        <v>5.15545242716545</v>
      </c>
      <c r="AY125" s="172">
        <f ca="1">(VLOOKUP(AY$72,INDIRECT($C$5&amp;"生成成长"),2))/((VLOOKUP($B125,INDIRECT($B$5&amp;"生成成长"),4))/(VLOOKUP(AY$72,INDIRECT($C$5&amp;"生成成长"),5))*(VLOOKUP($B$5,标准坦克设计!$B$24:$U$30,MATCH("对"&amp;LEFT($C$5,2)&amp;"输出",标准坦克设计!$B$23:$U$23,0)))*(VLOOKUP($B125,INDIRECT($B$5&amp;"生成成长"),3))*(VLOOKUP($B$5,标准坦克设计!$B$14:$K$20,9)/30))</f>
        <v>5.7894042515796471</v>
      </c>
      <c r="AZ125" s="172">
        <f ca="1">(VLOOKUP(AZ$72,INDIRECT($C$5&amp;"生成成长"),2))/((VLOOKUP($B125,INDIRECT($B$5&amp;"生成成长"),4))/(VLOOKUP(AZ$72,INDIRECT($C$5&amp;"生成成长"),5))*(VLOOKUP($B$5,标准坦克设计!$B$24:$U$30,MATCH("对"&amp;LEFT($C$5,2)&amp;"输出",标准坦克设计!$B$23:$U$23,0)))*(VLOOKUP($B125,INDIRECT($B$5&amp;"生成成长"),3))*(VLOOKUP($B$5,标准坦克设计!$B$14:$K$20,9)/30))</f>
        <v>6.4601069063946674</v>
      </c>
      <c r="BA125" s="172">
        <f ca="1">(VLOOKUP(BA$72,INDIRECT($C$5&amp;"生成成长"),2))/((VLOOKUP($B125,INDIRECT($B$5&amp;"生成成长"),4))/(VLOOKUP(BA$72,INDIRECT($C$5&amp;"生成成长"),5))*(VLOOKUP($B$5,标准坦克设计!$B$24:$U$30,MATCH("对"&amp;LEFT($C$5,2)&amp;"输出",标准坦克设计!$B$23:$U$23,0)))*(VLOOKUP($B125,INDIRECT($B$5&amp;"生成成长"),3))*(VLOOKUP($B$5,标准坦克设计!$B$14:$K$20,9)/30))</f>
        <v>7.1675603916105084</v>
      </c>
      <c r="BB125" s="172">
        <f ca="1">(VLOOKUP(BB$72,INDIRECT($C$5&amp;"生成成长"),2))/((VLOOKUP($B125,INDIRECT($B$5&amp;"生成成长"),4))/(VLOOKUP(BB$72,INDIRECT($C$5&amp;"生成成长"),5))*(VLOOKUP($B$5,标准坦克设计!$B$24:$U$30,MATCH("对"&amp;LEFT($C$5,2)&amp;"输出",标准坦克设计!$B$23:$U$23,0)))*(VLOOKUP($B125,INDIRECT($B$5&amp;"生成成长"),3))*(VLOOKUP($B$5,标准坦克设计!$B$14:$K$20,9)/30))</f>
        <v>7.9117647072271762</v>
      </c>
      <c r="BC125" s="172">
        <f ca="1">(VLOOKUP(BC$72,INDIRECT($C$5&amp;"生成成长"),2))/((VLOOKUP($B125,INDIRECT($B$5&amp;"生成成长"),4))/(VLOOKUP(BC$72,INDIRECT($C$5&amp;"生成成长"),5))*(VLOOKUP($B$5,标准坦克设计!$B$24:$U$30,MATCH("对"&amp;LEFT($C$5,2)&amp;"输出",标准坦克设计!$B$23:$U$23,0)))*(VLOOKUP($B125,INDIRECT($B$5&amp;"生成成长"),3))*(VLOOKUP($B$5,标准坦克设计!$B$14:$K$20,9)/30))</f>
        <v>8.6927198532446628</v>
      </c>
      <c r="BD125" s="172">
        <f ca="1">(VLOOKUP(BD$72,INDIRECT($C$5&amp;"生成成长"),2))/((VLOOKUP($B125,INDIRECT($B$5&amp;"生成成长"),4))/(VLOOKUP(BD$72,INDIRECT($C$5&amp;"生成成长"),5))*(VLOOKUP($B$5,标准坦克设计!$B$24:$U$30,MATCH("对"&amp;LEFT($C$5,2)&amp;"输出",标准坦克设计!$B$23:$U$23,0)))*(VLOOKUP($B125,INDIRECT($B$5&amp;"生成成长"),3))*(VLOOKUP($B$5,标准坦克设计!$B$14:$K$20,9)/30))</f>
        <v>9.6152231194778235</v>
      </c>
      <c r="BE125" s="172">
        <f ca="1">(VLOOKUP(BE$72,INDIRECT($C$5&amp;"生成成长"),2))/((VLOOKUP($B125,INDIRECT($B$5&amp;"生成成长"),4))/(VLOOKUP(BE$72,INDIRECT($C$5&amp;"生成成长"),5))*(VLOOKUP($B$5,标准坦克设计!$B$24:$U$30,MATCH("对"&amp;LEFT($C$5,2)&amp;"输出",标准坦克设计!$B$23:$U$23,0)))*(VLOOKUP($B125,INDIRECT($B$5&amp;"生成成长"),3))*(VLOOKUP($B$5,标准坦克设计!$B$14:$K$20,9)/30))</f>
        <v>10.58423915543702</v>
      </c>
      <c r="BF125" s="172">
        <f ca="1">(VLOOKUP(BF$72,INDIRECT($C$5&amp;"生成成长"),2))/((VLOOKUP($B125,INDIRECT($B$5&amp;"生成成长"),4))/(VLOOKUP(BF$72,INDIRECT($C$5&amp;"生成成长"),5))*(VLOOKUP($B$5,标准坦克设计!$B$24:$U$30,MATCH("对"&amp;LEFT($C$5,2)&amp;"输出",标准坦克设计!$B$23:$U$23,0)))*(VLOOKUP($B125,INDIRECT($B$5&amp;"生成成长"),3))*(VLOOKUP($B$5,标准坦克设计!$B$14:$K$20,9)/30))</f>
        <v>11.599767961122264</v>
      </c>
      <c r="BG125" s="172">
        <f ca="1">(VLOOKUP(BG$72,INDIRECT($C$5&amp;"生成成长"),2))/((VLOOKUP($B125,INDIRECT($B$5&amp;"生成成长"),4))/(VLOOKUP(BG$72,INDIRECT($C$5&amp;"生成成长"),5))*(VLOOKUP($B$5,标准坦克设计!$B$24:$U$30,MATCH("对"&amp;LEFT($C$5,2)&amp;"输出",标准坦克设计!$B$23:$U$23,0)))*(VLOOKUP($B125,INDIRECT($B$5&amp;"生成成长"),3))*(VLOOKUP($B$5,标准坦克设计!$B$14:$K$20,9)/30))</f>
        <v>12.661809536533546</v>
      </c>
      <c r="BH125" s="172">
        <f ca="1">(VLOOKUP(BH$72,INDIRECT($C$5&amp;"生成成长"),2))/((VLOOKUP($B125,INDIRECT($B$5&amp;"生成成长"),4))/(VLOOKUP(BH$72,INDIRECT($C$5&amp;"生成成长"),5))*(VLOOKUP($B$5,标准坦克设计!$B$24:$U$30,MATCH("对"&amp;LEFT($C$5,2)&amp;"输出",标准坦克设计!$B$23:$U$23,0)))*(VLOOKUP($B125,INDIRECT($B$5&amp;"生成成长"),3))*(VLOOKUP($B$5,标准坦克设计!$B$14:$K$20,9)/30))</f>
        <v>6.1201617251870539</v>
      </c>
      <c r="BI125" s="172">
        <f ca="1">(VLOOKUP(BI$72,INDIRECT($C$5&amp;"生成成长"),2))/((VLOOKUP($B125,INDIRECT($B$5&amp;"生成成长"),4))/(VLOOKUP(BI$72,INDIRECT($C$5&amp;"生成成长"),5))*(VLOOKUP($B$5,标准坦克设计!$B$24:$U$30,MATCH("对"&amp;LEFT($C$5,2)&amp;"输出",标准坦克设计!$B$23:$U$23,0)))*(VLOOKUP($B125,INDIRECT($B$5&amp;"生成成长"),3))*(VLOOKUP($B$5,标准坦克设计!$B$14:$K$20,9)/30))</f>
        <v>6.8979585967169728</v>
      </c>
      <c r="BJ125" s="172">
        <f ca="1">(VLOOKUP(BJ$72,INDIRECT($C$5&amp;"生成成长"),2))/((VLOOKUP($B125,INDIRECT($B$5&amp;"生成成长"),4))/(VLOOKUP(BJ$72,INDIRECT($C$5&amp;"生成成长"),5))*(VLOOKUP($B$5,标准坦克设计!$B$24:$U$30,MATCH("对"&amp;LEFT($C$5,2)&amp;"输出",标准坦克设计!$B$23:$U$23,0)))*(VLOOKUP($B125,INDIRECT($B$5&amp;"生成成长"),3))*(VLOOKUP($B$5,标准坦克设计!$B$14:$K$20,9)/30))</f>
        <v>7.7222682379729308</v>
      </c>
      <c r="BK125" s="172">
        <f ca="1">(VLOOKUP(BK$72,INDIRECT($C$5&amp;"生成成长"),2))/((VLOOKUP($B125,INDIRECT($B$5&amp;"生成成长"),4))/(VLOOKUP(BK$72,INDIRECT($C$5&amp;"生成成长"),5))*(VLOOKUP($B$5,标准坦克设计!$B$24:$U$30,MATCH("对"&amp;LEFT($C$5,2)&amp;"输出",标准坦克设计!$B$23:$U$23,0)))*(VLOOKUP($B125,INDIRECT($B$5&amp;"生成成长"),3))*(VLOOKUP($B$5,标准坦克设计!$B$14:$K$20,9)/30))</f>
        <v>8.5930906489549326</v>
      </c>
      <c r="BL125" s="172">
        <f ca="1">(VLOOKUP(BL$72,INDIRECT($C$5&amp;"生成成长"),2))/((VLOOKUP($B125,INDIRECT($B$5&amp;"生成成长"),4))/(VLOOKUP(BL$72,INDIRECT($C$5&amp;"生成成长"),5))*(VLOOKUP($B$5,标准坦克设计!$B$24:$U$30,MATCH("对"&amp;LEFT($C$5,2)&amp;"输出",标准坦克设计!$B$23:$U$23,0)))*(VLOOKUP($B125,INDIRECT($B$5&amp;"生成成长"),3))*(VLOOKUP($B$5,标准坦克设计!$B$14:$K$20,9)/30))</f>
        <v>9.5104258296629745</v>
      </c>
      <c r="BM125" s="172">
        <f ca="1">(VLOOKUP(BM$72,INDIRECT($C$5&amp;"生成成长"),2))/((VLOOKUP($B125,INDIRECT($B$5&amp;"生成成长"),4))/(VLOOKUP(BM$72,INDIRECT($C$5&amp;"生成成长"),5))*(VLOOKUP($B$5,标准坦克设计!$B$24:$U$30,MATCH("对"&amp;LEFT($C$5,2)&amp;"输出",标准坦克设计!$B$23:$U$23,0)))*(VLOOKUP($B125,INDIRECT($B$5&amp;"生成成长"),3))*(VLOOKUP($B$5,标准坦克设计!$B$14:$K$20,9)/30))</f>
        <v>10.474273780097059</v>
      </c>
      <c r="BN125" s="172">
        <f ca="1">(VLOOKUP(BN$72,INDIRECT($C$5&amp;"生成成长"),2))/((VLOOKUP($B125,INDIRECT($B$5&amp;"生成成长"),4))/(VLOOKUP(BN$72,INDIRECT($C$5&amp;"生成成长"),5))*(VLOOKUP($B$5,标准坦克设计!$B$24:$U$30,MATCH("对"&amp;LEFT($C$5,2)&amp;"输出",标准坦克设计!$B$23:$U$23,0)))*(VLOOKUP($B125,INDIRECT($B$5&amp;"生成成长"),3))*(VLOOKUP($B$5,标准坦克设计!$B$14:$K$20,9)/30))</f>
        <v>11.484634500257185</v>
      </c>
      <c r="BO125" s="172">
        <f ca="1">(VLOOKUP(BO$72,INDIRECT($C$5&amp;"生成成长"),2))/((VLOOKUP($B125,INDIRECT($B$5&amp;"生成成长"),4))/(VLOOKUP(BO$72,INDIRECT($C$5&amp;"生成成长"),5))*(VLOOKUP($B$5,标准坦克设计!$B$24:$U$30,MATCH("对"&amp;LEFT($C$5,2)&amp;"输出",标准坦克设计!$B$23:$U$23,0)))*(VLOOKUP($B125,INDIRECT($B$5&amp;"生成成长"),3))*(VLOOKUP($B$5,标准坦克设计!$B$14:$K$20,9)/30))</f>
        <v>12.541507990143353</v>
      </c>
      <c r="BP125" s="172">
        <f ca="1">(VLOOKUP(BP$72,INDIRECT($C$5&amp;"生成成长"),2))/((VLOOKUP($B125,INDIRECT($B$5&amp;"生成成长"),4))/(VLOOKUP(BP$72,INDIRECT($C$5&amp;"生成成长"),5))*(VLOOKUP($B$5,标准坦克设计!$B$24:$U$30,MATCH("对"&amp;LEFT($C$5,2)&amp;"输出",标准坦克设计!$B$23:$U$23,0)))*(VLOOKUP($B125,INDIRECT($B$5&amp;"生成成长"),3))*(VLOOKUP($B$5,标准坦克设计!$B$14:$K$20,9)/30))</f>
        <v>13.644894249755561</v>
      </c>
      <c r="BQ125" s="172">
        <f ca="1">(VLOOKUP(BQ$72,INDIRECT($C$5&amp;"生成成长"),2))/((VLOOKUP($B125,INDIRECT($B$5&amp;"生成成长"),4))/(VLOOKUP(BQ$72,INDIRECT($C$5&amp;"生成成长"),5))*(VLOOKUP($B$5,标准坦克设计!$B$24:$U$30,MATCH("对"&amp;LEFT($C$5,2)&amp;"输出",标准坦克设计!$B$23:$U$23,0)))*(VLOOKUP($B125,INDIRECT($B$5&amp;"生成成长"),3))*(VLOOKUP($B$5,标准坦克设计!$B$14:$K$20,9)/30))</f>
        <v>14.794793279093813</v>
      </c>
      <c r="BR125" s="172">
        <f ca="1">(VLOOKUP(BR$72,INDIRECT($C$5&amp;"生成成长"),2))/((VLOOKUP($B125,INDIRECT($B$5&amp;"生成成长"),4))/(VLOOKUP(BR$72,INDIRECT($C$5&amp;"生成成长"),5))*(VLOOKUP($B$5,标准坦克设计!$B$24:$U$30,MATCH("对"&amp;LEFT($C$5,2)&amp;"输出",标准坦克设计!$B$23:$U$23,0)))*(VLOOKUP($B125,INDIRECT($B$5&amp;"生成成长"),3))*(VLOOKUP($B$5,标准坦克设计!$B$14:$K$20,9)/30))</f>
        <v>16.127010881123645</v>
      </c>
      <c r="BS125" s="172">
        <f ca="1">(VLOOKUP(BS$72,INDIRECT($C$5&amp;"生成成长"),2))/((VLOOKUP($B125,INDIRECT($B$5&amp;"生成成长"),4))/(VLOOKUP(BS$72,INDIRECT($C$5&amp;"生成成长"),5))*(VLOOKUP($B$5,标准坦克设计!$B$24:$U$30,MATCH("对"&amp;LEFT($C$5,2)&amp;"输出",标准坦克设计!$B$23:$U$23,0)))*(VLOOKUP($B125,INDIRECT($B$5&amp;"生成成长"),3))*(VLOOKUP($B$5,标准坦克设计!$B$14:$K$20,9)/30))</f>
        <v>17.516651655654766</v>
      </c>
      <c r="BT125" s="172">
        <f ca="1">(VLOOKUP(BT$72,INDIRECT($C$5&amp;"生成成长"),2))/((VLOOKUP($B125,INDIRECT($B$5&amp;"生成成长"),4))/(VLOOKUP(BT$72,INDIRECT($C$5&amp;"生成成长"),5))*(VLOOKUP($B$5,标准坦克设计!$B$24:$U$30,MATCH("对"&amp;LEFT($C$5,2)&amp;"输出",标准坦克设计!$B$23:$U$23,0)))*(VLOOKUP($B125,INDIRECT($B$5&amp;"生成成长"),3))*(VLOOKUP($B$5,标准坦克设计!$B$14:$K$20,9)/30))</f>
        <v>18.963715602687166</v>
      </c>
      <c r="BU125" s="172">
        <f ca="1">(VLOOKUP(BU$72,INDIRECT($C$5&amp;"生成成长"),2))/((VLOOKUP($B125,INDIRECT($B$5&amp;"生成成长"),4))/(VLOOKUP(BU$72,INDIRECT($C$5&amp;"生成成长"),5))*(VLOOKUP($B$5,标准坦克设计!$B$24:$U$30,MATCH("对"&amp;LEFT($C$5,2)&amp;"输出",标准坦克设计!$B$23:$U$23,0)))*(VLOOKUP($B125,INDIRECT($B$5&amp;"生成成长"),3))*(VLOOKUP($B$5,标准坦克设计!$B$14:$K$20,9)/30))</f>
        <v>20.468202722220862</v>
      </c>
      <c r="BV125" s="172">
        <f ca="1">(VLOOKUP(BV$72,INDIRECT($C$5&amp;"生成成长"),2))/((VLOOKUP($B125,INDIRECT($B$5&amp;"生成成长"),4))/(VLOOKUP(BV$72,INDIRECT($C$5&amp;"生成成长"),5))*(VLOOKUP($B$5,标准坦克设计!$B$24:$U$30,MATCH("对"&amp;LEFT($C$5,2)&amp;"输出",标准坦克设计!$B$23:$U$23,0)))*(VLOOKUP($B125,INDIRECT($B$5&amp;"生成成长"),3))*(VLOOKUP($B$5,标准坦克设计!$B$14:$K$20,9)/30))</f>
        <v>22.030113014255836</v>
      </c>
      <c r="BW125" s="172">
        <f ca="1">(VLOOKUP(BW$72,INDIRECT($C$5&amp;"生成成长"),2))/((VLOOKUP($B125,INDIRECT($B$5&amp;"生成成长"),4))/(VLOOKUP(BW$72,INDIRECT($C$5&amp;"生成成长"),5))*(VLOOKUP($B$5,标准坦克设计!$B$24:$U$30,MATCH("对"&amp;LEFT($C$5,2)&amp;"输出",标准坦克设计!$B$23:$U$23,0)))*(VLOOKUP($B125,INDIRECT($B$5&amp;"生成成长"),3))*(VLOOKUP($B$5,标准坦克设计!$B$14:$K$20,9)/30))</f>
        <v>10.040154595987337</v>
      </c>
      <c r="BX125" s="172">
        <f ca="1">(VLOOKUP(BX$72,INDIRECT($C$5&amp;"生成成长"),2))/((VLOOKUP($B125,INDIRECT($B$5&amp;"生成成长"),4))/(VLOOKUP(BX$72,INDIRECT($C$5&amp;"生成成长"),5))*(VLOOKUP($B$5,标准坦克设计!$B$24:$U$30,MATCH("对"&amp;LEFT($C$5,2)&amp;"输出",标准坦克设计!$B$23:$U$23,0)))*(VLOOKUP($B125,INDIRECT($B$5&amp;"生成成长"),3))*(VLOOKUP($B$5,标准坦克设计!$B$14:$K$20,9)/30))</f>
        <v>11.142679508012028</v>
      </c>
      <c r="BY125" s="172">
        <f ca="1">(VLOOKUP(BY$72,INDIRECT($C$5&amp;"生成成长"),2))/((VLOOKUP($B125,INDIRECT($B$5&amp;"生成成长"),4))/(VLOOKUP(BY$72,INDIRECT($C$5&amp;"生成成长"),5))*(VLOOKUP($B$5,标准坦克设计!$B$24:$U$30,MATCH("对"&amp;LEFT($C$5,2)&amp;"输出",标准坦克设计!$B$23:$U$23,0)))*(VLOOKUP($B125,INDIRECT($B$5&amp;"生成成长"),3))*(VLOOKUP($B$5,标准坦克设计!$B$14:$K$20,9)/30))</f>
        <v>12.302627592538004</v>
      </c>
      <c r="BZ125" s="172">
        <f ca="1">(VLOOKUP(BZ$72,INDIRECT($C$5&amp;"生成成长"),2))/((VLOOKUP($B125,INDIRECT($B$5&amp;"生成成长"),4))/(VLOOKUP(BZ$72,INDIRECT($C$5&amp;"生成成长"),5))*(VLOOKUP($B$5,标准坦克设计!$B$24:$U$30,MATCH("对"&amp;LEFT($C$5,2)&amp;"输出",标准坦克设计!$B$23:$U$23,0)))*(VLOOKUP($B125,INDIRECT($B$5&amp;"生成成长"),3))*(VLOOKUP($B$5,标准坦克设计!$B$14:$K$20,9)/30))</f>
        <v>13.519998849565264</v>
      </c>
      <c r="CA125" s="172">
        <f ca="1">(VLOOKUP(CA$72,INDIRECT($C$5&amp;"生成成长"),2))/((VLOOKUP($B125,INDIRECT($B$5&amp;"生成成长"),4))/(VLOOKUP(CA$72,INDIRECT($C$5&amp;"生成成长"),5))*(VLOOKUP($B$5,标准坦克设计!$B$24:$U$30,MATCH("对"&amp;LEFT($C$5,2)&amp;"输出",标准坦克设计!$B$23:$U$23,0)))*(VLOOKUP($B125,INDIRECT($B$5&amp;"生成成长"),3))*(VLOOKUP($B$5,标准坦克设计!$B$14:$K$20,9)/30))</f>
        <v>14.794793279093813</v>
      </c>
      <c r="CB125" s="172">
        <f ca="1">(VLOOKUP(CB$72,INDIRECT($C$5&amp;"生成成长"),2))/((VLOOKUP($B125,INDIRECT($B$5&amp;"生成成长"),4))/(VLOOKUP(CB$72,INDIRECT($C$5&amp;"生成成长"),5))*(VLOOKUP($B$5,标准坦克设计!$B$24:$U$30,MATCH("对"&amp;LEFT($C$5,2)&amp;"输出",标准坦克设计!$B$23:$U$23,0)))*(VLOOKUP($B125,INDIRECT($B$5&amp;"生成成长"),3))*(VLOOKUP($B$5,标准坦克设计!$B$14:$K$20,9)/30))</f>
        <v>16.127010881123645</v>
      </c>
      <c r="CC125" s="172">
        <f ca="1">(VLOOKUP(CC$72,INDIRECT($C$5&amp;"生成成长"),2))/((VLOOKUP($B125,INDIRECT($B$5&amp;"生成成长"),4))/(VLOOKUP(CC$72,INDIRECT($C$5&amp;"生成成长"),5))*(VLOOKUP($B$5,标准坦克设计!$B$24:$U$30,MATCH("对"&amp;LEFT($C$5,2)&amp;"输出",标准坦克设计!$B$23:$U$23,0)))*(VLOOKUP($B125,INDIRECT($B$5&amp;"生成成长"),3))*(VLOOKUP($B$5,标准坦克设计!$B$14:$K$20,9)/30))</f>
        <v>17.516651655654766</v>
      </c>
      <c r="CD125" s="172">
        <f ca="1">(VLOOKUP(CD$72,INDIRECT($C$5&amp;"生成成长"),2))/((VLOOKUP($B125,INDIRECT($B$5&amp;"生成成长"),4))/(VLOOKUP(CD$72,INDIRECT($C$5&amp;"生成成长"),5))*(VLOOKUP($B$5,标准坦克设计!$B$24:$U$30,MATCH("对"&amp;LEFT($C$5,2)&amp;"输出",标准坦克设计!$B$23:$U$23,0)))*(VLOOKUP($B125,INDIRECT($B$5&amp;"生成成长"),3))*(VLOOKUP($B$5,标准坦克设计!$B$14:$K$20,9)/30))</f>
        <v>18.963715602687166</v>
      </c>
      <c r="CE125" s="172">
        <f ca="1">(VLOOKUP(CE$72,INDIRECT($C$5&amp;"生成成长"),2))/((VLOOKUP($B125,INDIRECT($B$5&amp;"生成成长"),4))/(VLOOKUP(CE$72,INDIRECT($C$5&amp;"生成成长"),5))*(VLOOKUP($B$5,标准坦克设计!$B$24:$U$30,MATCH("对"&amp;LEFT($C$5,2)&amp;"输出",标准坦克设计!$B$23:$U$23,0)))*(VLOOKUP($B125,INDIRECT($B$5&amp;"生成成长"),3))*(VLOOKUP($B$5,标准坦克设计!$B$14:$K$20,9)/30))</f>
        <v>20.468202722220862</v>
      </c>
      <c r="CF125" s="172">
        <f ca="1">(VLOOKUP(CF$72,INDIRECT($C$5&amp;"生成成长"),2))/((VLOOKUP($B125,INDIRECT($B$5&amp;"生成成长"),4))/(VLOOKUP(CF$72,INDIRECT($C$5&amp;"生成成长"),5))*(VLOOKUP($B$5,标准坦克设计!$B$24:$U$30,MATCH("对"&amp;LEFT($C$5,2)&amp;"输出",标准坦克设计!$B$23:$U$23,0)))*(VLOOKUP($B125,INDIRECT($B$5&amp;"生成成长"),3))*(VLOOKUP($B$5,标准坦克设计!$B$14:$K$20,9)/30))</f>
        <v>22.030113014255836</v>
      </c>
      <c r="CG125" s="172">
        <f ca="1">(VLOOKUP(CG$72,INDIRECT($C$5&amp;"生成成长"),2))/((VLOOKUP($B125,INDIRECT($B$5&amp;"生成成长"),4))/(VLOOKUP(CG$72,INDIRECT($C$5&amp;"生成成长"),5))*(VLOOKUP($B$5,标准坦克设计!$B$24:$U$30,MATCH("对"&amp;LEFT($C$5,2)&amp;"输出",标准坦克设计!$B$23:$U$23,0)))*(VLOOKUP($B125,INDIRECT($B$5&amp;"生成成长"),3))*(VLOOKUP($B$5,标准坦克设计!$B$14:$K$20,9)/30))</f>
        <v>23.6494464787921</v>
      </c>
      <c r="CH125" s="172">
        <f ca="1">(VLOOKUP(CH$72,INDIRECT($C$5&amp;"生成成长"),2))/((VLOOKUP($B125,INDIRECT($B$5&amp;"生成成长"),4))/(VLOOKUP(CH$72,INDIRECT($C$5&amp;"生成成长"),5))*(VLOOKUP($B$5,标准坦克设计!$B$24:$U$30,MATCH("对"&amp;LEFT($C$5,2)&amp;"输出",标准坦克设计!$B$23:$U$23,0)))*(VLOOKUP($B125,INDIRECT($B$5&amp;"生成成长"),3))*(VLOOKUP($B$5,标准坦克设计!$B$14:$K$20,9)/30))</f>
        <v>25.326203115829653</v>
      </c>
      <c r="CI125" s="172">
        <f ca="1">(VLOOKUP(CI$72,INDIRECT($C$5&amp;"生成成长"),2))/((VLOOKUP($B125,INDIRECT($B$5&amp;"生成成长"),4))/(VLOOKUP(CI$72,INDIRECT($C$5&amp;"生成成长"),5))*(VLOOKUP($B$5,标准坦克设计!$B$24:$U$30,MATCH("对"&amp;LEFT($C$5,2)&amp;"输出",标准坦克设计!$B$23:$U$23,0)))*(VLOOKUP($B125,INDIRECT($B$5&amp;"生成成长"),3))*(VLOOKUP($B$5,标准坦克设计!$B$14:$K$20,9)/30))</f>
        <v>27.23695918080994</v>
      </c>
      <c r="CJ125" s="172">
        <f ca="1">(VLOOKUP(CJ$72,INDIRECT($C$5&amp;"生成成长"),2))/((VLOOKUP($B125,INDIRECT($B$5&amp;"生成成长"),4))/(VLOOKUP(CJ$72,INDIRECT($C$5&amp;"生成成长"),5))*(VLOOKUP($B$5,标准坦克设计!$B$24:$U$30,MATCH("对"&amp;LEFT($C$5,2)&amp;"输出",标准坦克设计!$B$23:$U$23,0)))*(VLOOKUP($B125,INDIRECT($B$5&amp;"生成成长"),3))*(VLOOKUP($B$5,标准坦克设计!$B$14:$K$20,9)/30))</f>
        <v>29.217197284516782</v>
      </c>
      <c r="CK125" s="172">
        <f ca="1">(VLOOKUP(CK$72,INDIRECT($C$5&amp;"生成成长"),2))/((VLOOKUP($B125,INDIRECT($B$5&amp;"生成成长"),4))/(VLOOKUP(CK$72,INDIRECT($C$5&amp;"生成成长"),5))*(VLOOKUP($B$5,标准坦克设计!$B$24:$U$30,MATCH("对"&amp;LEFT($C$5,2)&amp;"输出",标准坦克设计!$B$23:$U$23,0)))*(VLOOKUP($B125,INDIRECT($B$5&amp;"生成成长"),3))*(VLOOKUP($B$5,标准坦克设计!$B$14:$K$20,9)/30))</f>
        <v>31.266917426950183</v>
      </c>
      <c r="CL125" s="172">
        <f ca="1">(VLOOKUP(CL$72,INDIRECT($C$5&amp;"生成成长"),2))/((VLOOKUP($B125,INDIRECT($B$5&amp;"生成成长"),4))/(VLOOKUP(CL$72,INDIRECT($C$5&amp;"生成成长"),5))*(VLOOKUP($B$5,标准坦克设计!$B$24:$U$30,MATCH("对"&amp;LEFT($C$5,2)&amp;"输出",标准坦克设计!$B$23:$U$23,0)))*(VLOOKUP($B125,INDIRECT($B$5&amp;"生成成长"),3))*(VLOOKUP($B$5,标准坦克设计!$B$14:$K$20,9)/30))</f>
        <v>33.38611960811015</v>
      </c>
      <c r="CM125" s="172">
        <f ca="1">(VLOOKUP(CM$72,INDIRECT($C$5&amp;"生成成长"),2))/((VLOOKUP($B125,INDIRECT($B$5&amp;"生成成长"),4))/(VLOOKUP(CM$72,INDIRECT($C$5&amp;"生成成长"),5))*(VLOOKUP($B$5,标准坦克设计!$B$24:$U$30,MATCH("对"&amp;LEFT($C$5,2)&amp;"输出",标准坦克设计!$B$23:$U$23,0)))*(VLOOKUP($B125,INDIRECT($B$5&amp;"生成成长"),3))*(VLOOKUP($B$5,标准坦克设计!$B$14:$K$20,9)/30))</f>
        <v>35.574803827996654</v>
      </c>
      <c r="CN125" s="172">
        <f ca="1">(VLOOKUP(CN$72,INDIRECT($C$5&amp;"生成成长"),2))/((VLOOKUP($B125,INDIRECT($B$5&amp;"生成成长"),4))/(VLOOKUP(CN$72,INDIRECT($C$5&amp;"生成成长"),5))*(VLOOKUP($B$5,标准坦克设计!$B$24:$U$30,MATCH("对"&amp;LEFT($C$5,2)&amp;"输出",标准坦克设计!$B$23:$U$23,0)))*(VLOOKUP($B125,INDIRECT($B$5&amp;"生成成长"),3))*(VLOOKUP($B$5,标准坦克设计!$B$14:$K$20,9)/30))</f>
        <v>37.832970086609727</v>
      </c>
      <c r="CO125" s="172">
        <f ca="1">(VLOOKUP(CO$72,INDIRECT($C$5&amp;"生成成长"),2))/((VLOOKUP($B125,INDIRECT($B$5&amp;"生成成长"),4))/(VLOOKUP(CO$72,INDIRECT($C$5&amp;"生成成长"),5))*(VLOOKUP($B$5,标准坦克设计!$B$24:$U$30,MATCH("对"&amp;LEFT($C$5,2)&amp;"输出",标准坦克设计!$B$23:$U$23,0)))*(VLOOKUP($B125,INDIRECT($B$5&amp;"生成成长"),3))*(VLOOKUP($B$5,标准坦克设计!$B$14:$K$20,9)/30))</f>
        <v>16.953904565142164</v>
      </c>
      <c r="CP125" s="172">
        <f ca="1">(VLOOKUP(CP$72,INDIRECT($C$5&amp;"生成成长"),2))/((VLOOKUP($B125,INDIRECT($B$5&amp;"生成成长"),4))/(VLOOKUP(CP$72,INDIRECT($C$5&amp;"生成成长"),5))*(VLOOKUP($B$5,标准坦克设计!$B$24:$U$30,MATCH("对"&amp;LEFT($C$5,2)&amp;"输出",标准坦克设计!$B$23:$U$23,0)))*(VLOOKUP($B125,INDIRECT($B$5&amp;"生成成长"),3))*(VLOOKUP($B$5,标准坦克设计!$B$14:$K$20,9)/30))</f>
        <v>18.523566985464814</v>
      </c>
      <c r="CQ125" s="172">
        <f ca="1">(VLOOKUP(CQ$72,INDIRECT($C$5&amp;"生成成长"),2))/((VLOOKUP($B125,INDIRECT($B$5&amp;"生成成长"),4))/(VLOOKUP(CQ$72,INDIRECT($C$5&amp;"生成成长"),5))*(VLOOKUP($B$5,标准坦克设计!$B$24:$U$30,MATCH("对"&amp;LEFT($C$5,2)&amp;"输出",标准坦克设计!$B$23:$U$23,0)))*(VLOOKUP($B125,INDIRECT($B$5&amp;"生成成长"),3))*(VLOOKUP($B$5,标准坦克设计!$B$14:$K$20,9)/30))</f>
        <v>20.16271144451402</v>
      </c>
      <c r="CR125" s="172">
        <f ca="1">(VLOOKUP(CR$72,INDIRECT($C$5&amp;"生成成长"),2))/((VLOOKUP($B125,INDIRECT($B$5&amp;"生成成长"),4))/(VLOOKUP(CR$72,INDIRECT($C$5&amp;"生成成长"),5))*(VLOOKUP($B$5,标准坦克设计!$B$24:$U$30,MATCH("对"&amp;LEFT($C$5,2)&amp;"输出",标准坦克设计!$B$23:$U$23,0)))*(VLOOKUP($B125,INDIRECT($B$5&amp;"生成成长"),3))*(VLOOKUP($B$5,标准坦克设计!$B$14:$K$20,9)/30))</f>
        <v>21.871337942289784</v>
      </c>
      <c r="CS125" s="172">
        <f ca="1">(VLOOKUP(CS$72,INDIRECT($C$5&amp;"生成成长"),2))/((VLOOKUP($B125,INDIRECT($B$5&amp;"生成成长"),4))/(VLOOKUP(CS$72,INDIRECT($C$5&amp;"生成成长"),5))*(VLOOKUP($B$5,标准坦克设计!$B$24:$U$30,MATCH("对"&amp;LEFT($C$5,2)&amp;"输出",标准坦克设计!$B$23:$U$23,0)))*(VLOOKUP($B125,INDIRECT($B$5&amp;"生成成长"),3))*(VLOOKUP($B$5,标准坦克设计!$B$14:$K$20,9)/30))</f>
        <v>23.6494464787921</v>
      </c>
      <c r="CT125" s="172">
        <f ca="1">(VLOOKUP(CT$72,INDIRECT($C$5&amp;"生成成长"),2))/((VLOOKUP($B125,INDIRECT($B$5&amp;"生成成长"),4))/(VLOOKUP(CT$72,INDIRECT($C$5&amp;"生成成长"),5))*(VLOOKUP($B$5,标准坦克设计!$B$24:$U$30,MATCH("对"&amp;LEFT($C$5,2)&amp;"输出",标准坦克设计!$B$23:$U$23,0)))*(VLOOKUP($B125,INDIRECT($B$5&amp;"生成成长"),3))*(VLOOKUP($B$5,标准坦克设计!$B$14:$K$20,9)/30))</f>
        <v>25.497037054020975</v>
      </c>
      <c r="CU125" s="172">
        <f ca="1">(VLOOKUP(CU$72,INDIRECT($C$5&amp;"生成成长"),2))/((VLOOKUP($B125,INDIRECT($B$5&amp;"生成成长"),4))/(VLOOKUP(CU$72,INDIRECT($C$5&amp;"生成成长"),5))*(VLOOKUP($B$5,标准坦克设计!$B$24:$U$30,MATCH("对"&amp;LEFT($C$5,2)&amp;"输出",标准坦克设计!$B$23:$U$23,0)))*(VLOOKUP($B125,INDIRECT($B$5&amp;"生成成长"),3))*(VLOOKUP($B$5,标准坦克设计!$B$14:$K$20,9)/30))</f>
        <v>27.414109667976412</v>
      </c>
      <c r="CV125" s="172">
        <f ca="1">(VLOOKUP(CV$72,INDIRECT($C$5&amp;"生成成长"),2))/((VLOOKUP($B125,INDIRECT($B$5&amp;"生成成长"),4))/(VLOOKUP(CV$72,INDIRECT($C$5&amp;"生成成长"),5))*(VLOOKUP($B$5,标准坦克设计!$B$24:$U$30,MATCH("对"&amp;LEFT($C$5,2)&amp;"输出",标准坦克设计!$B$23:$U$23,0)))*(VLOOKUP($B125,INDIRECT($B$5&amp;"生成成长"),3))*(VLOOKUP($B$5,标准坦克设计!$B$14:$K$20,9)/30))</f>
        <v>29.400664320658397</v>
      </c>
      <c r="CW125" s="172">
        <f ca="1">(VLOOKUP(CW$72,INDIRECT($C$5&amp;"生成成长"),2))/((VLOOKUP($B125,INDIRECT($B$5&amp;"生成成长"),4))/(VLOOKUP(CW$72,INDIRECT($C$5&amp;"生成成长"),5))*(VLOOKUP($B$5,标准坦克设计!$B$24:$U$30,MATCH("对"&amp;LEFT($C$5,2)&amp;"输出",标准坦克设计!$B$23:$U$23,0)))*(VLOOKUP($B125,INDIRECT($B$5&amp;"生成成长"),3))*(VLOOKUP($B$5,标准坦克设计!$B$14:$K$20,9)/30))</f>
        <v>31.456701012066944</v>
      </c>
      <c r="CX125" s="172">
        <f ca="1">(VLOOKUP(CX$72,INDIRECT($C$5&amp;"生成成长"),2))/((VLOOKUP($B125,INDIRECT($B$5&amp;"生成成长"),4))/(VLOOKUP(CX$72,INDIRECT($C$5&amp;"生成成长"),5))*(VLOOKUP($B$5,标准坦克设计!$B$24:$U$30,MATCH("对"&amp;LEFT($C$5,2)&amp;"输出",标准坦克设计!$B$23:$U$23,0)))*(VLOOKUP($B125,INDIRECT($B$5&amp;"生成成长"),3))*(VLOOKUP($B$5,标准坦克设计!$B$14:$K$20,9)/30))</f>
        <v>33.582219742202035</v>
      </c>
      <c r="CY125" s="172">
        <f ca="1">(VLOOKUP(CY$72,INDIRECT($C$5&amp;"生成成长"),2))/((VLOOKUP($B125,INDIRECT($B$5&amp;"生成成长"),4))/(VLOOKUP(CY$72,INDIRECT($C$5&amp;"生成成长"),5))*(VLOOKUP($B$5,标准坦克设计!$B$24:$U$30,MATCH("对"&amp;LEFT($C$5,2)&amp;"输出",标准坦克设计!$B$23:$U$23,0)))*(VLOOKUP($B125,INDIRECT($B$5&amp;"生成成长"),3))*(VLOOKUP($B$5,标准坦克设计!$B$14:$K$20,9)/30))</f>
        <v>35.777220511063689</v>
      </c>
      <c r="CZ125" s="172">
        <f ca="1">(VLOOKUP(CZ$72,INDIRECT($C$5&amp;"生成成长"),2))/((VLOOKUP($B125,INDIRECT($B$5&amp;"生成成长"),4))/(VLOOKUP(CZ$72,INDIRECT($C$5&amp;"生成成长"),5))*(VLOOKUP($B$5,标准坦克设计!$B$24:$U$30,MATCH("对"&amp;LEFT($C$5,2)&amp;"输出",标准坦克设计!$B$23:$U$23,0)))*(VLOOKUP($B125,INDIRECT($B$5&amp;"生成成长"),3))*(VLOOKUP($B$5,标准坦克设计!$B$14:$K$20,9)/30))</f>
        <v>38.041703318651898</v>
      </c>
      <c r="DA125" s="172">
        <f ca="1">(VLOOKUP(DA$72,INDIRECT($C$5&amp;"生成成长"),2))/((VLOOKUP($B125,INDIRECT($B$5&amp;"生成成长"),4))/(VLOOKUP(DA$72,INDIRECT($C$5&amp;"生成成长"),5))*(VLOOKUP($B$5,标准坦克设计!$B$24:$U$30,MATCH("对"&amp;LEFT($C$5,2)&amp;"输出",标准坦克设计!$B$23:$U$23,0)))*(VLOOKUP($B125,INDIRECT($B$5&amp;"生成成长"),3))*(VLOOKUP($B$5,标准坦克设计!$B$14:$K$20,9)/30))</f>
        <v>40.375668164966662</v>
      </c>
      <c r="DB125" s="172">
        <f ca="1">(VLOOKUP(DB$72,INDIRECT($C$5&amp;"生成成长"),2))/((VLOOKUP($B125,INDIRECT($B$5&amp;"生成成长"),4))/(VLOOKUP(DB$72,INDIRECT($C$5&amp;"生成成长"),5))*(VLOOKUP($B$5,标准坦克设计!$B$24:$U$30,MATCH("对"&amp;LEFT($C$5,2)&amp;"输出",标准坦克设计!$B$23:$U$23,0)))*(VLOOKUP($B125,INDIRECT($B$5&amp;"生成成长"),3))*(VLOOKUP($B$5,标准坦克设计!$B$14:$K$20,9)/30))</f>
        <v>42.779115050007981</v>
      </c>
      <c r="DC125" s="172">
        <f ca="1">(VLOOKUP(DC$72,INDIRECT($C$5&amp;"生成成长"),2))/((VLOOKUP($B125,INDIRECT($B$5&amp;"生成成长"),4))/(VLOOKUP(DC$72,INDIRECT($C$5&amp;"生成成长"),5))*(VLOOKUP($B$5,标准坦克设计!$B$24:$U$30,MATCH("对"&amp;LEFT($C$5,2)&amp;"输出",标准坦克设计!$B$23:$U$23,0)))*(VLOOKUP($B125,INDIRECT($B$5&amp;"生成成长"),3))*(VLOOKUP($B$5,标准坦克设计!$B$14:$K$20,9)/30))</f>
        <v>45.480301084468472</v>
      </c>
      <c r="DD125" s="172">
        <f ca="1">(VLOOKUP(DD$72,INDIRECT($C$5&amp;"生成成长"),2))/((VLOOKUP($B125,INDIRECT($B$5&amp;"生成成长"),4))/(VLOOKUP(DD$72,INDIRECT($C$5&amp;"生成成长"),5))*(VLOOKUP($B$5,标准坦克设计!$B$24:$U$30,MATCH("对"&amp;LEFT($C$5,2)&amp;"输出",标准坦克设计!$B$23:$U$23,0)))*(VLOOKUP($B125,INDIRECT($B$5&amp;"生成成长"),3))*(VLOOKUP($B$5,标准坦克设计!$B$14:$K$20,9)/30))</f>
        <v>48.264176487330822</v>
      </c>
      <c r="DE125" s="172">
        <f ca="1">(VLOOKUP(DE$72,INDIRECT($C$5&amp;"生成成长"),2))/((VLOOKUP($B125,INDIRECT($B$5&amp;"生成成长"),4))/(VLOOKUP(DE$72,INDIRECT($C$5&amp;"生成成长"),5))*(VLOOKUP($B$5,标准坦克设计!$B$24:$U$30,MATCH("对"&amp;LEFT($C$5,2)&amp;"输出",标准坦克设计!$B$23:$U$23,0)))*(VLOOKUP($B125,INDIRECT($B$5&amp;"生成成长"),3))*(VLOOKUP($B$5,标准坦克设计!$B$14:$K$20,9)/30))</f>
        <v>51.130741258595023</v>
      </c>
      <c r="DF125" s="172">
        <f ca="1">(VLOOKUP(DF$72,INDIRECT($C$5&amp;"生成成长"),2))/((VLOOKUP($B125,INDIRECT($B$5&amp;"生成成长"),4))/(VLOOKUP(DF$72,INDIRECT($C$5&amp;"生成成长"),5))*(VLOOKUP($B$5,标准坦克设计!$B$24:$U$30,MATCH("对"&amp;LEFT($C$5,2)&amp;"输出",标准坦克设计!$B$23:$U$23,0)))*(VLOOKUP($B125,INDIRECT($B$5&amp;"生成成长"),3))*(VLOOKUP($B$5,标准坦克设计!$B$14:$K$20,9)/30))</f>
        <v>54.079995398261055</v>
      </c>
      <c r="DG125" s="172">
        <f ca="1">(VLOOKUP(DG$72,INDIRECT($C$5&amp;"生成成长"),2))/((VLOOKUP($B125,INDIRECT($B$5&amp;"生成成长"),4))/(VLOOKUP(DG$72,INDIRECT($C$5&amp;"生成成长"),5))*(VLOOKUP($B$5,标准坦克设计!$B$24:$U$30,MATCH("对"&amp;LEFT($C$5,2)&amp;"输出",标准坦克设计!$B$23:$U$23,0)))*(VLOOKUP($B125,INDIRECT($B$5&amp;"生成成长"),3))*(VLOOKUP($B$5,标准坦克设计!$B$14:$K$20,9)/30))</f>
        <v>57.111938906328952</v>
      </c>
      <c r="DH125" s="172">
        <f ca="1">(VLOOKUP(DH$72,INDIRECT($C$5&amp;"生成成长"),2))/((VLOOKUP($B125,INDIRECT($B$5&amp;"生成成长"),4))/(VLOOKUP(DH$72,INDIRECT($C$5&amp;"生成成长"),5))*(VLOOKUP($B$5,标准坦克设计!$B$24:$U$30,MATCH("对"&amp;LEFT($C$5,2)&amp;"输出",标准坦克设计!$B$23:$U$23,0)))*(VLOOKUP($B125,INDIRECT($B$5&amp;"生成成长"),3))*(VLOOKUP($B$5,标准坦克设计!$B$14:$K$20,9)/30))</f>
        <v>60.226571782798715</v>
      </c>
      <c r="DI125" s="172">
        <f ca="1">(VLOOKUP(DI$72,INDIRECT($C$5&amp;"生成成长"),2))/((VLOOKUP($B125,INDIRECT($B$5&amp;"生成成长"),4))/(VLOOKUP(DI$72,INDIRECT($C$5&amp;"生成成长"),5))*(VLOOKUP($B$5,标准坦克设计!$B$24:$U$30,MATCH("对"&amp;LEFT($C$5,2)&amp;"输出",标准坦克设计!$B$23:$U$23,0)))*(VLOOKUP($B125,INDIRECT($B$5&amp;"生成成长"),3))*(VLOOKUP($B$5,标准坦克设计!$B$14:$K$20,9)/30))</f>
        <v>63.423894027670315</v>
      </c>
      <c r="DJ125" s="172">
        <f ca="1">(VLOOKUP(DJ$72,INDIRECT($C$5&amp;"生成成长"),2))/((VLOOKUP($B125,INDIRECT($B$5&amp;"生成成长"),4))/(VLOOKUP(DJ$72,INDIRECT($C$5&amp;"生成成长"),5))*(VLOOKUP($B$5,标准坦克设计!$B$24:$U$30,MATCH("对"&amp;LEFT($C$5,2)&amp;"输出",标准坦克设计!$B$23:$U$23,0)))*(VLOOKUP($B125,INDIRECT($B$5&amp;"生成成长"),3))*(VLOOKUP($B$5,标准坦克设计!$B$14:$K$20,9)/30))</f>
        <v>6.3742592635052437</v>
      </c>
      <c r="DK125" s="172">
        <f ca="1">(VLOOKUP(DK$72,INDIRECT($C$5&amp;"生成成长"),2))/((VLOOKUP($B125,INDIRECT($B$5&amp;"生成成长"),4))/(VLOOKUP(DK$72,INDIRECT($C$5&amp;"生成成长"),5))*(VLOOKUP($B$5,标准坦克设计!$B$24:$U$30,MATCH("对"&amp;LEFT($C$5,2)&amp;"输出",标准坦克设计!$B$23:$U$23,0)))*(VLOOKUP($B125,INDIRECT($B$5&amp;"生成成长"),3))*(VLOOKUP($B$5,标准坦克设计!$B$14:$K$20,9)/30))</f>
        <v>7.1675603916105084</v>
      </c>
      <c r="DL125" s="172">
        <f ca="1">(VLOOKUP(DL$72,INDIRECT($C$5&amp;"生成成长"),2))/((VLOOKUP($B125,INDIRECT($B$5&amp;"生成成长"),4))/(VLOOKUP(DL$72,INDIRECT($C$5&amp;"生成成长"),5))*(VLOOKUP($B$5,标准坦克设计!$B$24:$U$30,MATCH("对"&amp;LEFT($C$5,2)&amp;"输出",标准坦克设计!$B$23:$U$23,0)))*(VLOOKUP($B125,INDIRECT($B$5&amp;"生成成长"),3))*(VLOOKUP($B$5,标准坦克设计!$B$14:$K$20,9)/30))</f>
        <v>8.0073742894418167</v>
      </c>
      <c r="DM125" s="172">
        <f ca="1">(VLOOKUP(DM$72,INDIRECT($C$5&amp;"生成成长"),2))/((VLOOKUP($B125,INDIRECT($B$5&amp;"生成成长"),4))/(VLOOKUP(DM$72,INDIRECT($C$5&amp;"生成成长"),5))*(VLOOKUP($B$5,标准坦克设计!$B$24:$U$30,MATCH("对"&amp;LEFT($C$5,2)&amp;"输出",标准坦克设计!$B$23:$U$23,0)))*(VLOOKUP($B125,INDIRECT($B$5&amp;"生成成长"),3))*(VLOOKUP($B$5,标准坦克设计!$B$14:$K$20,9)/30))</f>
        <v>8.8937009569991634</v>
      </c>
      <c r="DN125" s="172">
        <f ca="1">(VLOOKUP(DN$72,INDIRECT($C$5&amp;"生成成长"),2))/((VLOOKUP($B125,INDIRECT($B$5&amp;"生成成长"),4))/(VLOOKUP(DN$72,INDIRECT($C$5&amp;"生成成长"),5))*(VLOOKUP($B$5,标准坦克设计!$B$24:$U$30,MATCH("对"&amp;LEFT($C$5,2)&amp;"输出",标准坦克设计!$B$23:$U$23,0)))*(VLOOKUP($B125,INDIRECT($B$5&amp;"生成成长"),3))*(VLOOKUP($B$5,标准坦克设计!$B$14:$K$20,9)/30))</f>
        <v>9.8265403942825547</v>
      </c>
      <c r="DO125" s="172">
        <f ca="1">(VLOOKUP(DO$72,INDIRECT($C$5&amp;"生成成长"),2))/((VLOOKUP($B125,INDIRECT($B$5&amp;"生成成长"),4))/(VLOOKUP(DO$72,INDIRECT($C$5&amp;"生成成长"),5))*(VLOOKUP($B$5,标准坦克设计!$B$24:$U$30,MATCH("对"&amp;LEFT($C$5,2)&amp;"输出",标准坦克设计!$B$23:$U$23,0)))*(VLOOKUP($B125,INDIRECT($B$5&amp;"生成成长"),3))*(VLOOKUP($B$5,标准坦克设计!$B$14:$K$20,9)/30))</f>
        <v>10.805892601291987</v>
      </c>
      <c r="DP125" s="172">
        <f ca="1">(VLOOKUP(DP$72,INDIRECT($C$5&amp;"生成成长"),2))/((VLOOKUP($B125,INDIRECT($B$5&amp;"生成成长"),4))/(VLOOKUP(DP$72,INDIRECT($C$5&amp;"生成成长"),5))*(VLOOKUP($B$5,标准坦克设计!$B$24:$U$30,MATCH("对"&amp;LEFT($C$5,2)&amp;"输出",标准坦克设计!$B$23:$U$23,0)))*(VLOOKUP($B125,INDIRECT($B$5&amp;"生成成长"),3))*(VLOOKUP($B$5,标准坦克设计!$B$14:$K$20,9)/30))</f>
        <v>11.831757578027458</v>
      </c>
      <c r="DQ125" s="172">
        <f ca="1">(VLOOKUP(DQ$72,INDIRECT($C$5&amp;"生成成长"),2))/((VLOOKUP($B125,INDIRECT($B$5&amp;"生成成长"),4))/(VLOOKUP(DQ$72,INDIRECT($C$5&amp;"生成成长"),5))*(VLOOKUP($B$5,标准坦克设计!$B$24:$U$30,MATCH("对"&amp;LEFT($C$5,2)&amp;"输出",标准坦克设计!$B$23:$U$23,0)))*(VLOOKUP($B125,INDIRECT($B$5&amp;"生成成长"),3))*(VLOOKUP($B$5,标准坦克设计!$B$14:$K$20,9)/30))</f>
        <v>12.904135324488973</v>
      </c>
      <c r="DR125" s="172">
        <f ca="1">(VLOOKUP(DR$72,INDIRECT($C$5&amp;"生成成长"),2))/((VLOOKUP($B125,INDIRECT($B$5&amp;"生成成长"),4))/(VLOOKUP(DR$72,INDIRECT($C$5&amp;"生成成长"),5))*(VLOOKUP($B$5,标准坦克设计!$B$24:$U$30,MATCH("对"&amp;LEFT($C$5,2)&amp;"输出",标准坦克设计!$B$23:$U$23,0)))*(VLOOKUP($B125,INDIRECT($B$5&amp;"生成成长"),3))*(VLOOKUP($B$5,标准坦克设计!$B$14:$K$20,9)/30))</f>
        <v>14.02302584067653</v>
      </c>
      <c r="DS125" s="172">
        <f ca="1">(VLOOKUP(DS$72,INDIRECT($C$5&amp;"生成成长"),2))/((VLOOKUP($B125,INDIRECT($B$5&amp;"生成成长"),4))/(VLOOKUP(DS$72,INDIRECT($C$5&amp;"生成成长"),5))*(VLOOKUP($B$5,标准坦克设计!$B$24:$U$30,MATCH("对"&amp;LEFT($C$5,2)&amp;"输出",标准坦克设计!$B$23:$U$23,0)))*(VLOOKUP($B125,INDIRECT($B$5&amp;"生成成长"),3))*(VLOOKUP($B$5,标准坦克设计!$B$14:$K$20,9)/30))</f>
        <v>15.188429126590128</v>
      </c>
      <c r="DT125" s="172">
        <f ca="1">(VLOOKUP(DT$72,INDIRECT($C$5&amp;"生成成长"),2))/((VLOOKUP($B125,INDIRECT($B$5&amp;"生成成长"),4))/(VLOOKUP(DT$72,INDIRECT($C$5&amp;"生成成长"),5))*(VLOOKUP($B$5,标准坦克设计!$B$24:$U$30,MATCH("对"&amp;LEFT($C$5,2)&amp;"输出",标准坦克设计!$B$23:$U$23,0)))*(VLOOKUP($B125,INDIRECT($B$5&amp;"生成成长"),3))*(VLOOKUP($B$5,标准坦克设计!$B$14:$K$20,9)/30))</f>
        <v>16.675976410235943</v>
      </c>
      <c r="DU125" s="172">
        <f ca="1">(VLOOKUP(DU$72,INDIRECT($C$5&amp;"生成成长"),2))/((VLOOKUP($B125,INDIRECT($B$5&amp;"生成成长"),4))/(VLOOKUP(DU$72,INDIRECT($C$5&amp;"生成成长"),5))*(VLOOKUP($B$5,标准坦克设计!$B$24:$U$30,MATCH("对"&amp;LEFT($C$5,2)&amp;"输出",标准坦克设计!$B$23:$U$23,0)))*(VLOOKUP($B125,INDIRECT($B$5&amp;"生成成长"),3))*(VLOOKUP($B$5,标准坦克设计!$B$14:$K$20,9)/30))</f>
        <v>18.233005732608309</v>
      </c>
      <c r="DV125" s="172">
        <f ca="1">(VLOOKUP(DV$72,INDIRECT($C$5&amp;"生成成长"),2))/((VLOOKUP($B125,INDIRECT($B$5&amp;"生成成长"),4))/(VLOOKUP(DV$72,INDIRECT($C$5&amp;"生成成长"),5))*(VLOOKUP($B$5,标准坦克设计!$B$24:$U$30,MATCH("对"&amp;LEFT($C$5,2)&amp;"输出",标准坦克设计!$B$23:$U$23,0)))*(VLOOKUP($B125,INDIRECT($B$5&amp;"生成成长"),3))*(VLOOKUP($B$5,标准坦克设计!$B$14:$K$20,9)/30))</f>
        <v>19.859517093707233</v>
      </c>
      <c r="DW125" s="172">
        <f ca="1">(VLOOKUP(DW$72,INDIRECT($C$5&amp;"生成成长"),2))/((VLOOKUP($B125,INDIRECT($B$5&amp;"生成成长"),4))/(VLOOKUP(DW$72,INDIRECT($C$5&amp;"生成成长"),5))*(VLOOKUP($B$5,标准坦克设计!$B$24:$U$30,MATCH("对"&amp;LEFT($C$5,2)&amp;"输出",标准坦克设计!$B$23:$U$23,0)))*(VLOOKUP($B125,INDIRECT($B$5&amp;"生成成长"),3))*(VLOOKUP($B$5,标准坦克设计!$B$14:$K$20,9)/30))</f>
        <v>21.555510493532708</v>
      </c>
      <c r="DX125" s="172">
        <f ca="1">(VLOOKUP(DX$72,INDIRECT($C$5&amp;"生成成长"),2))/((VLOOKUP($B125,INDIRECT($B$5&amp;"生成成长"),4))/(VLOOKUP(DX$72,INDIRECT($C$5&amp;"生成成长"),5))*(VLOOKUP($B$5,标准坦克设计!$B$24:$U$30,MATCH("对"&amp;LEFT($C$5,2)&amp;"输出",标准坦克设计!$B$23:$U$23,0)))*(VLOOKUP($B125,INDIRECT($B$5&amp;"生成成长"),3))*(VLOOKUP($B$5,标准坦克设计!$B$14:$K$20,9)/30))</f>
        <v>23.320985932084746</v>
      </c>
      <c r="DY125" s="172">
        <f ca="1">(VLOOKUP(DY$72,INDIRECT($C$5&amp;"生成成长"),2))/((VLOOKUP($B125,INDIRECT($B$5&amp;"生成成长"),4))/(VLOOKUP(DY$72,INDIRECT($C$5&amp;"生成成长"),5))*(VLOOKUP($B$5,标准坦克设计!$B$24:$U$30,MATCH("对"&amp;LEFT($C$5,2)&amp;"输出",标准坦克设计!$B$23:$U$23,0)))*(VLOOKUP($B125,INDIRECT($B$5&amp;"生成成长"),3))*(VLOOKUP($B$5,标准坦克设计!$B$14:$K$20,9)/30))</f>
        <v>10.474273780097059</v>
      </c>
      <c r="DZ125" s="172">
        <f ca="1">(VLOOKUP(DZ$72,INDIRECT($C$5&amp;"生成成长"),2))/((VLOOKUP($B125,INDIRECT($B$5&amp;"生成成长"),4))/(VLOOKUP(DZ$72,INDIRECT($C$5&amp;"生成成长"),5))*(VLOOKUP($B$5,标准坦克设计!$B$24:$U$30,MATCH("对"&amp;LEFT($C$5,2)&amp;"输出",标准坦克设计!$B$23:$U$23,0)))*(VLOOKUP($B125,INDIRECT($B$5&amp;"生成成长"),3))*(VLOOKUP($B$5,标准坦克设计!$B$14:$K$20,9)/30))</f>
        <v>11.599767961122264</v>
      </c>
      <c r="EA125" s="172">
        <f ca="1">(VLOOKUP(EA$72,INDIRECT($C$5&amp;"生成成长"),2))/((VLOOKUP($B125,INDIRECT($B$5&amp;"生成成长"),4))/(VLOOKUP(EA$72,INDIRECT($C$5&amp;"生成成长"),5))*(VLOOKUP($B$5,标准坦克设计!$B$24:$U$30,MATCH("对"&amp;LEFT($C$5,2)&amp;"输出",标准坦克设计!$B$23:$U$23,0)))*(VLOOKUP($B125,INDIRECT($B$5&amp;"生成成长"),3))*(VLOOKUP($B$5,标准坦克设计!$B$14:$K$20,9)/30))</f>
        <v>12.782685314648756</v>
      </c>
      <c r="EB125" s="172">
        <f ca="1">(VLOOKUP(EB$72,INDIRECT($C$5&amp;"生成成长"),2))/((VLOOKUP($B125,INDIRECT($B$5&amp;"生成成长"),4))/(VLOOKUP(EB$72,INDIRECT($C$5&amp;"生成成长"),5))*(VLOOKUP($B$5,标准坦克设计!$B$24:$U$30,MATCH("对"&amp;LEFT($C$5,2)&amp;"输出",标准坦克设计!$B$23:$U$23,0)))*(VLOOKUP($B125,INDIRECT($B$5&amp;"生成成长"),3))*(VLOOKUP($B$5,标准坦克设计!$B$14:$K$20,9)/30))</f>
        <v>14.02302584067653</v>
      </c>
      <c r="EC125" s="172">
        <f ca="1">(VLOOKUP(EC$72,INDIRECT($C$5&amp;"生成成长"),2))/((VLOOKUP($B125,INDIRECT($B$5&amp;"生成成长"),4))/(VLOOKUP(EC$72,INDIRECT($C$5&amp;"生成成长"),5))*(VLOOKUP($B$5,标准坦克设计!$B$24:$U$30,MATCH("对"&amp;LEFT($C$5,2)&amp;"输出",标准坦克设计!$B$23:$U$23,0)))*(VLOOKUP($B125,INDIRECT($B$5&amp;"生成成长"),3))*(VLOOKUP($B$5,标准坦克设计!$B$14:$K$20,9)/30))</f>
        <v>15.320789539205592</v>
      </c>
      <c r="ED125" s="172">
        <f ca="1">(VLOOKUP(ED$72,INDIRECT($C$5&amp;"生成成长"),2))/((VLOOKUP($B125,INDIRECT($B$5&amp;"生成成长"),4))/(VLOOKUP(ED$72,INDIRECT($C$5&amp;"生成成长"),5))*(VLOOKUP($B$5,标准坦克设计!$B$24:$U$30,MATCH("对"&amp;LEFT($C$5,2)&amp;"输出",标准坦克设计!$B$23:$U$23,0)))*(VLOOKUP($B125,INDIRECT($B$5&amp;"生成成长"),3))*(VLOOKUP($B$5,标准坦克设计!$B$14:$K$20,9)/30))</f>
        <v>16.675976410235943</v>
      </c>
      <c r="EE125" s="172">
        <f ca="1">(VLOOKUP(EE$72,INDIRECT($C$5&amp;"生成成长"),2))/((VLOOKUP($B125,INDIRECT($B$5&amp;"生成成长"),4))/(VLOOKUP(EE$72,INDIRECT($C$5&amp;"生成成长"),5))*(VLOOKUP($B$5,标准坦克设计!$B$24:$U$30,MATCH("对"&amp;LEFT($C$5,2)&amp;"输出",标准坦克设计!$B$23:$U$23,0)))*(VLOOKUP($B125,INDIRECT($B$5&amp;"生成成长"),3))*(VLOOKUP($B$5,标准坦克设计!$B$14:$K$20,9)/30))</f>
        <v>18.088586453767572</v>
      </c>
      <c r="EF125" s="172">
        <f ca="1">(VLOOKUP(EF$72,INDIRECT($C$5&amp;"生成成长"),2))/((VLOOKUP($B125,INDIRECT($B$5&amp;"生成成长"),4))/(VLOOKUP(EF$72,INDIRECT($C$5&amp;"生成成长"),5))*(VLOOKUP($B$5,标准坦克设计!$B$24:$U$30,MATCH("对"&amp;LEFT($C$5,2)&amp;"输出",标准坦克设计!$B$23:$U$23,0)))*(VLOOKUP($B125,INDIRECT($B$5&amp;"生成成长"),3))*(VLOOKUP($B$5,标准坦克设计!$B$14:$K$20,9)/30))</f>
        <v>19.558619669800493</v>
      </c>
      <c r="EG125" s="172">
        <f ca="1">(VLOOKUP(EG$72,INDIRECT($C$5&amp;"生成成长"),2))/((VLOOKUP($B125,INDIRECT($B$5&amp;"生成成长"),4))/(VLOOKUP(EG$72,INDIRECT($C$5&amp;"生成成长"),5))*(VLOOKUP($B$5,标准坦克设计!$B$24:$U$30,MATCH("对"&amp;LEFT($C$5,2)&amp;"输出",标准坦克设计!$B$23:$U$23,0)))*(VLOOKUP($B125,INDIRECT($B$5&amp;"生成成长"),3))*(VLOOKUP($B$5,标准坦克设计!$B$14:$K$20,9)/30))</f>
        <v>21.086076058334697</v>
      </c>
      <c r="EH125" s="172">
        <f ca="1">(VLOOKUP(EH$72,INDIRECT($C$5&amp;"生成成长"),2))/((VLOOKUP($B125,INDIRECT($B$5&amp;"生成成长"),4))/(VLOOKUP(EH$72,INDIRECT($C$5&amp;"生成成长"),5))*(VLOOKUP($B$5,标准坦克设计!$B$24:$U$30,MATCH("对"&amp;LEFT($C$5,2)&amp;"输出",标准坦克设计!$B$23:$U$23,0)))*(VLOOKUP($B125,INDIRECT($B$5&amp;"生成成长"),3))*(VLOOKUP($B$5,标准坦克设计!$B$14:$K$20,9)/30))</f>
        <v>22.670955619370194</v>
      </c>
      <c r="EI125" s="172">
        <f ca="1">(VLOOKUP(EI$72,INDIRECT($C$5&amp;"生成成长"),2))/((VLOOKUP($B125,INDIRECT($B$5&amp;"生成成长"),4))/(VLOOKUP(EI$72,INDIRECT($C$5&amp;"生成成长"),5))*(VLOOKUP($B$5,标准坦克设计!$B$24:$U$30,MATCH("对"&amp;LEFT($C$5,2)&amp;"输出",标准坦克设计!$B$23:$U$23,0)))*(VLOOKUP($B125,INDIRECT($B$5&amp;"生成成长"),3))*(VLOOKUP($B$5,标准坦克设计!$B$14:$K$20,9)/30))</f>
        <v>24.313258352906971</v>
      </c>
      <c r="EJ125" s="172">
        <f ca="1">(VLOOKUP(EJ$72,INDIRECT($C$5&amp;"生成成长"),2))/((VLOOKUP($B125,INDIRECT($B$5&amp;"生成成长"),4))/(VLOOKUP(EJ$72,INDIRECT($C$5&amp;"生成成长"),5))*(VLOOKUP($B$5,标准坦克设计!$B$24:$U$30,MATCH("对"&amp;LEFT($C$5,2)&amp;"输出",标准坦克设计!$B$23:$U$23,0)))*(VLOOKUP($B125,INDIRECT($B$5&amp;"生成成长"),3))*(VLOOKUP($B$5,标准坦克设计!$B$14:$K$20,9)/30))</f>
        <v>26.012984258945028</v>
      </c>
      <c r="EK125" s="172">
        <f ca="1">(VLOOKUP(EK$72,INDIRECT($C$5&amp;"生成成长"),2))/((VLOOKUP($B125,INDIRECT($B$5&amp;"生成成长"),4))/(VLOOKUP(EK$72,INDIRECT($C$5&amp;"生成成长"),5))*(VLOOKUP($B$5,标准坦克设计!$B$24:$U$30,MATCH("对"&amp;LEFT($C$5,2)&amp;"输出",标准坦克设计!$B$23:$U$23,0)))*(VLOOKUP($B125,INDIRECT($B$5&amp;"生成成长"),3))*(VLOOKUP($B$5,标准坦克设计!$B$14:$K$20,9)/30))</f>
        <v>28.128453933892398</v>
      </c>
      <c r="EL125" s="172">
        <f ca="1">(VLOOKUP(EL$72,INDIRECT($C$5&amp;"生成成长"),2))/((VLOOKUP($B125,INDIRECT($B$5&amp;"生成成长"),4))/(VLOOKUP(EL$72,INDIRECT($C$5&amp;"生成成长"),5))*(VLOOKUP($B$5,标准坦克设计!$B$24:$U$30,MATCH("对"&amp;LEFT($C$5,2)&amp;"输出",标准坦克设计!$B$23:$U$23,0)))*(VLOOKUP($B125,INDIRECT($B$5&amp;"生成成长"),3))*(VLOOKUP($B$5,标准坦克设计!$B$14:$K$20,9)/30))</f>
        <v>30.326612977241631</v>
      </c>
      <c r="EM125" s="172">
        <f ca="1">(VLOOKUP(EM$72,INDIRECT($C$5&amp;"生成成长"),2))/((VLOOKUP($B125,INDIRECT($B$5&amp;"生成成长"),4))/(VLOOKUP(EM$72,INDIRECT($C$5&amp;"生成成长"),5))*(VLOOKUP($B$5,标准坦克设计!$B$24:$U$30,MATCH("对"&amp;LEFT($C$5,2)&amp;"输出",标准坦克设计!$B$23:$U$23,0)))*(VLOOKUP($B125,INDIRECT($B$5&amp;"生成成长"),3))*(VLOOKUP($B$5,标准坦克设计!$B$14:$K$20,9)/30))</f>
        <v>32.607461388992711</v>
      </c>
      <c r="EN125" s="172">
        <f ca="1">(VLOOKUP(EN$72,INDIRECT($C$5&amp;"生成成长"),2))/((VLOOKUP($B125,INDIRECT($B$5&amp;"生成成长"),4))/(VLOOKUP(EN$72,INDIRECT($C$5&amp;"生成成长"),5))*(VLOOKUP($B$5,标准坦克设计!$B$24:$U$30,MATCH("对"&amp;LEFT($C$5,2)&amp;"输出",标准坦克设计!$B$23:$U$23,0)))*(VLOOKUP($B125,INDIRECT($B$5&amp;"生成成长"),3))*(VLOOKUP($B$5,标准坦克设计!$B$14:$K$20,9)/30))</f>
        <v>34.970999169145635</v>
      </c>
      <c r="EO125" s="172">
        <f ca="1">(VLOOKUP(EO$72,INDIRECT($C$5&amp;"生成成长"),2))/((VLOOKUP($B125,INDIRECT($B$5&amp;"生成成长"),4))/(VLOOKUP(EO$72,INDIRECT($C$5&amp;"生成成长"),5))*(VLOOKUP($B$5,标准坦克设计!$B$24:$U$30,MATCH("对"&amp;LEFT($C$5,2)&amp;"输出",标准坦克设计!$B$23:$U$23,0)))*(VLOOKUP($B125,INDIRECT($B$5&amp;"生成成长"),3))*(VLOOKUP($B$5,标准坦克设计!$B$14:$K$20,9)/30))</f>
        <v>37.417226317700404</v>
      </c>
      <c r="EP125" s="172">
        <f ca="1">(VLOOKUP(EP$72,INDIRECT($C$5&amp;"生成成长"),2))/((VLOOKUP($B125,INDIRECT($B$5&amp;"生成成长"),4))/(VLOOKUP(EP$72,INDIRECT($C$5&amp;"生成成长"),5))*(VLOOKUP($B$5,标准坦克设计!$B$24:$U$30,MATCH("对"&amp;LEFT($C$5,2)&amp;"输出",标准坦克设计!$B$23:$U$23,0)))*(VLOOKUP($B125,INDIRECT($B$5&amp;"生成成长"),3))*(VLOOKUP($B$5,标准坦克设计!$B$14:$K$20,9)/30))</f>
        <v>39.946142834657053</v>
      </c>
      <c r="EQ125" s="172">
        <f ca="1">(VLOOKUP(EQ$72,INDIRECT($C$5&amp;"生成成长"),2))/((VLOOKUP($B125,INDIRECT($B$5&amp;"生成成长"),4))/(VLOOKUP(EQ$72,INDIRECT($C$5&amp;"生成成长"),5))*(VLOOKUP($B$5,标准坦克设计!$B$24:$U$30,MATCH("对"&amp;LEFT($C$5,2)&amp;"输出",标准坦克设计!$B$23:$U$23,0)))*(VLOOKUP($B125,INDIRECT($B$5&amp;"生成成长"),3))*(VLOOKUP($B$5,标准坦克设计!$B$14:$K$20,9)/30))</f>
        <v>17.658774007595447</v>
      </c>
      <c r="ER125" s="172">
        <f ca="1">(VLOOKUP(ER$72,INDIRECT($C$5&amp;"生成成长"),2))/((VLOOKUP($B125,INDIRECT($B$5&amp;"生成成长"),4))/(VLOOKUP(ER$72,INDIRECT($C$5&amp;"生成成长"),5))*(VLOOKUP($B$5,标准坦克设计!$B$24:$U$30,MATCH("对"&amp;LEFT($C$5,2)&amp;"输出",标准坦克设计!$B$23:$U$23,0)))*(VLOOKUP($B125,INDIRECT($B$5&amp;"生成成长"),3))*(VLOOKUP($B$5,标准坦克设计!$B$14:$K$20,9)/30))</f>
        <v>19.260019172793804</v>
      </c>
      <c r="ES125" s="172">
        <f ca="1">(VLOOKUP(ES$72,INDIRECT($C$5&amp;"生成成长"),2))/((VLOOKUP($B125,INDIRECT($B$5&amp;"生成成长"),4))/(VLOOKUP(ES$72,INDIRECT($C$5&amp;"生成成长"),5))*(VLOOKUP($B$5,标准坦克设计!$B$24:$U$30,MATCH("对"&amp;LEFT($C$5,2)&amp;"输出",标准坦克设计!$B$23:$U$23,0)))*(VLOOKUP($B125,INDIRECT($B$5&amp;"生成成长"),3))*(VLOOKUP($B$5,标准坦克设计!$B$14:$K$20,9)/30))</f>
        <v>20.930746376718719</v>
      </c>
      <c r="ET125" s="172">
        <f ca="1">(VLOOKUP(ET$72,INDIRECT($C$5&amp;"生成成长"),2))/((VLOOKUP($B125,INDIRECT($B$5&amp;"生成成长"),4))/(VLOOKUP(ET$72,INDIRECT($C$5&amp;"生成成长"),5))*(VLOOKUP($B$5,标准坦克设计!$B$24:$U$30,MATCH("对"&amp;LEFT($C$5,2)&amp;"输出",标准坦克设计!$B$23:$U$23,0)))*(VLOOKUP($B125,INDIRECT($B$5&amp;"生成成长"),3))*(VLOOKUP($B$5,标准坦克设计!$B$14:$K$20,9)/30))</f>
        <v>22.670955619370194</v>
      </c>
      <c r="EU125" s="172">
        <f ca="1">(VLOOKUP(EU$72,INDIRECT($C$5&amp;"生成成长"),2))/((VLOOKUP($B125,INDIRECT($B$5&amp;"生成成长"),4))/(VLOOKUP(EU$72,INDIRECT($C$5&amp;"生成成长"),5))*(VLOOKUP($B$5,标准坦克设计!$B$24:$U$30,MATCH("对"&amp;LEFT($C$5,2)&amp;"输出",标准坦克设计!$B$23:$U$23,0)))*(VLOOKUP($B125,INDIRECT($B$5&amp;"生成成长"),3))*(VLOOKUP($B$5,标准坦克设计!$B$14:$K$20,9)/30))</f>
        <v>24.480646900748216</v>
      </c>
      <c r="EV125" s="172">
        <f ca="1">(VLOOKUP(EV$72,INDIRECT($C$5&amp;"生成成长"),2))/((VLOOKUP($B125,INDIRECT($B$5&amp;"生成成长"),4))/(VLOOKUP(EV$72,INDIRECT($C$5&amp;"生成成长"),5))*(VLOOKUP($B$5,标准坦克设计!$B$24:$U$30,MATCH("对"&amp;LEFT($C$5,2)&amp;"输出",标准坦克设计!$B$23:$U$23,0)))*(VLOOKUP($B125,INDIRECT($B$5&amp;"生成成长"),3))*(VLOOKUP($B$5,标准坦克设计!$B$14:$K$20,9)/30))</f>
        <v>26.3598202208528</v>
      </c>
      <c r="EW125" s="172">
        <f ca="1">(VLOOKUP(EW$72,INDIRECT($C$5&amp;"生成成长"),2))/((VLOOKUP($B125,INDIRECT($B$5&amp;"生成成长"),4))/(VLOOKUP(EW$72,INDIRECT($C$5&amp;"生成成长"),5))*(VLOOKUP($B$5,标准坦克设计!$B$24:$U$30,MATCH("对"&amp;LEFT($C$5,2)&amp;"输出",标准坦克设计!$B$23:$U$23,0)))*(VLOOKUP($B125,INDIRECT($B$5&amp;"生成成长"),3))*(VLOOKUP($B$5,标准坦克设计!$B$14:$K$20,9)/30))</f>
        <v>28.30847557968394</v>
      </c>
      <c r="EX125" s="172">
        <f ca="1">(VLOOKUP(EX$72,INDIRECT($C$5&amp;"生成成长"),2))/((VLOOKUP($B125,INDIRECT($B$5&amp;"生成成长"),4))/(VLOOKUP(EX$72,INDIRECT($C$5&amp;"生成成长"),5))*(VLOOKUP($B$5,标准坦克设计!$B$24:$U$30,MATCH("对"&amp;LEFT($C$5,2)&amp;"输出",标准坦克设计!$B$23:$U$23,0)))*(VLOOKUP($B125,INDIRECT($B$5&amp;"生成成长"),3))*(VLOOKUP($B$5,标准坦克设计!$B$14:$K$20,9)/30))</f>
        <v>30.326612977241631</v>
      </c>
      <c r="EY125" s="172">
        <f ca="1">(VLOOKUP(EY$72,INDIRECT($C$5&amp;"生成成长"),2))/((VLOOKUP($B125,INDIRECT($B$5&amp;"生成成长"),4))/(VLOOKUP(EY$72,INDIRECT($C$5&amp;"生成成长"),5))*(VLOOKUP($B$5,标准坦克设计!$B$24:$U$30,MATCH("对"&amp;LEFT($C$5,2)&amp;"输出",标准坦克设计!$B$23:$U$23,0)))*(VLOOKUP($B125,INDIRECT($B$5&amp;"生成成长"),3))*(VLOOKUP($B$5,标准坦克设计!$B$14:$K$20,9)/30))</f>
        <v>32.414232413525873</v>
      </c>
      <c r="EZ125" s="172">
        <f ca="1">(VLOOKUP(EZ$72,INDIRECT($C$5&amp;"生成成长"),2))/((VLOOKUP($B125,INDIRECT($B$5&amp;"生成成长"),4))/(VLOOKUP(EZ$72,INDIRECT($C$5&amp;"生成成长"),5))*(VLOOKUP($B$5,标准坦克设计!$B$24:$U$30,MATCH("对"&amp;LEFT($C$5,2)&amp;"输出",标准坦克设计!$B$23:$U$23,0)))*(VLOOKUP($B125,INDIRECT($B$5&amp;"生成成长"),3))*(VLOOKUP($B$5,标准坦克设计!$B$14:$K$20,9)/30))</f>
        <v>34.571333888536685</v>
      </c>
      <c r="FA125" s="172">
        <f ca="1">(VLOOKUP(FA$72,INDIRECT($C$5&amp;"生成成长"),2))/((VLOOKUP($B125,INDIRECT($B$5&amp;"生成成长"),4))/(VLOOKUP(FA$72,INDIRECT($C$5&amp;"生成成长"),5))*(VLOOKUP($B$5,标准坦克设计!$B$24:$U$30,MATCH("对"&amp;LEFT($C$5,2)&amp;"输出",标准坦克设计!$B$23:$U$23,0)))*(VLOOKUP($B125,INDIRECT($B$5&amp;"生成成长"),3))*(VLOOKUP($B$5,标准坦克设计!$B$14:$K$20,9)/30))</f>
        <v>36.797917402274052</v>
      </c>
      <c r="FB125" s="172">
        <f ca="1">(VLOOKUP(FB$72,INDIRECT($C$5&amp;"生成成长"),2))/((VLOOKUP($B125,INDIRECT($B$5&amp;"生成成长"),4))/(VLOOKUP(FB$72,INDIRECT($C$5&amp;"生成成长"),5))*(VLOOKUP($B$5,标准坦克设计!$B$24:$U$30,MATCH("对"&amp;LEFT($C$5,2)&amp;"输出",标准坦克设计!$B$23:$U$23,0)))*(VLOOKUP($B125,INDIRECT($B$5&amp;"生成成长"),3))*(VLOOKUP($B$5,标准坦克设计!$B$14:$K$20,9)/30))</f>
        <v>39.093982954737967</v>
      </c>
      <c r="FC125" s="172">
        <f ca="1">(VLOOKUP(FC$72,INDIRECT($C$5&amp;"生成成长"),2))/((VLOOKUP($B125,INDIRECT($B$5&amp;"生成成长"),4))/(VLOOKUP(FC$72,INDIRECT($C$5&amp;"生成成长"),5))*(VLOOKUP($B$5,标准坦克设计!$B$24:$U$30,MATCH("对"&amp;LEFT($C$5,2)&amp;"输出",标准坦克设计!$B$23:$U$23,0)))*(VLOOKUP($B125,INDIRECT($B$5&amp;"生成成长"),3))*(VLOOKUP($B$5,标准坦克设计!$B$14:$K$20,9)/30))</f>
        <v>41.459530545928438</v>
      </c>
      <c r="FD125" s="172">
        <f ca="1">(VLOOKUP(FD$72,INDIRECT($C$5&amp;"生成成长"),2))/((VLOOKUP($B125,INDIRECT($B$5&amp;"生成成长"),4))/(VLOOKUP(FD$72,INDIRECT($C$5&amp;"生成成长"),5))*(VLOOKUP($B$5,标准坦克设计!$B$24:$U$30,MATCH("对"&amp;LEFT($C$5,2)&amp;"输出",标准坦克设计!$B$23:$U$23,0)))*(VLOOKUP($B125,INDIRECT($B$5&amp;"生成成长"),3))*(VLOOKUP($B$5,标准坦克设计!$B$14:$K$20,9)/30))</f>
        <v>43.89456017584547</v>
      </c>
      <c r="FE125" s="172">
        <f ca="1">(VLOOKUP(FE$72,INDIRECT($C$5&amp;"生成成长"),2))/((VLOOKUP($B125,INDIRECT($B$5&amp;"生成成长"),4))/(VLOOKUP(FE$72,INDIRECT($C$5&amp;"生成成长"),5))*(VLOOKUP($B$5,标准坦克设计!$B$24:$U$30,MATCH("对"&amp;LEFT($C$5,2)&amp;"输出",标准坦克设计!$B$23:$U$23,0)))*(VLOOKUP($B125,INDIRECT($B$5&amp;"生成成长"),3))*(VLOOKUP($B$5,标准坦克设计!$B$14:$K$20,9)/30))</f>
        <v>46.861902614849413</v>
      </c>
      <c r="FF125" s="172">
        <f ca="1">(VLOOKUP(FF$72,INDIRECT($C$5&amp;"生成成长"),2))/((VLOOKUP($B125,INDIRECT($B$5&amp;"生成成长"),4))/(VLOOKUP(FF$72,INDIRECT($C$5&amp;"生成成长"),5))*(VLOOKUP($B$5,标准坦克设计!$B$24:$U$30,MATCH("对"&amp;LEFT($C$5,2)&amp;"输出",标准坦克设计!$B$23:$U$23,0)))*(VLOOKUP($B125,INDIRECT($B$5&amp;"生成成长"),3))*(VLOOKUP($B$5,标准坦克设计!$B$14:$K$20,9)/30))</f>
        <v>49.926290215380547</v>
      </c>
      <c r="FG125" s="172">
        <f ca="1">(VLOOKUP(FG$72,INDIRECT($C$5&amp;"生成成长"),2))/((VLOOKUP($B125,INDIRECT($B$5&amp;"生成成长"),4))/(VLOOKUP(FG$72,INDIRECT($C$5&amp;"生成成长"),5))*(VLOOKUP($B$5,标准坦克设计!$B$24:$U$30,MATCH("对"&amp;LEFT($C$5,2)&amp;"输出",标准坦克设计!$B$23:$U$23,0)))*(VLOOKUP($B125,INDIRECT($B$5&amp;"生成成长"),3))*(VLOOKUP($B$5,标准坦克设计!$B$14:$K$20,9)/30))</f>
        <v>53.087722977438844</v>
      </c>
      <c r="FH125" s="172">
        <f ca="1">(VLOOKUP(FH$72,INDIRECT($C$5&amp;"生成成长"),2))/((VLOOKUP($B125,INDIRECT($B$5&amp;"生成成长"),4))/(VLOOKUP(FH$72,INDIRECT($C$5&amp;"生成成长"),5))*(VLOOKUP($B$5,标准坦克设计!$B$24:$U$30,MATCH("对"&amp;LEFT($C$5,2)&amp;"输出",标准坦克设计!$B$23:$U$23,0)))*(VLOOKUP($B125,INDIRECT($B$5&amp;"生成成长"),3))*(VLOOKUP($B$5,标准坦克设计!$B$14:$K$20,9)/30))</f>
        <v>56.346200901024311</v>
      </c>
      <c r="FI125" s="172">
        <f ca="1">(VLOOKUP(FI$72,INDIRECT($C$5&amp;"生成成长"),2))/((VLOOKUP($B125,INDIRECT($B$5&amp;"生成成长"),4))/(VLOOKUP(FI$72,INDIRECT($C$5&amp;"生成成长"),5))*(VLOOKUP($B$5,标准坦克设计!$B$24:$U$30,MATCH("对"&amp;LEFT($C$5,2)&amp;"输出",标准坦克设计!$B$23:$U$23,0)))*(VLOOKUP($B125,INDIRECT($B$5&amp;"生成成长"),3))*(VLOOKUP($B$5,标准坦克设计!$B$14:$K$20,9)/30))</f>
        <v>59.701723986136955</v>
      </c>
      <c r="FJ125" s="172">
        <f ca="1">(VLOOKUP(FJ$72,INDIRECT($C$5&amp;"生成成长"),2))/((VLOOKUP($B125,INDIRECT($B$5&amp;"生成成长"),4))/(VLOOKUP(FJ$72,INDIRECT($C$5&amp;"生成成长"),5))*(VLOOKUP($B$5,标准坦克设计!$B$24:$U$30,MATCH("对"&amp;LEFT($C$5,2)&amp;"输出",标准坦克设计!$B$23:$U$23,0)))*(VLOOKUP($B125,INDIRECT($B$5&amp;"生成成长"),3))*(VLOOKUP($B$5,标准坦克设计!$B$14:$K$20,9)/30))</f>
        <v>63.154292232776768</v>
      </c>
      <c r="FK125" s="172">
        <f ca="1">(VLOOKUP(FK$72,INDIRECT($C$5&amp;"生成成长"),2))/((VLOOKUP($B125,INDIRECT($B$5&amp;"生成成长"),4))/(VLOOKUP(FK$72,INDIRECT($C$5&amp;"生成成长"),5))*(VLOOKUP($B$5,标准坦克设计!$B$24:$U$30,MATCH("对"&amp;LEFT($C$5,2)&amp;"输出",标准坦克设计!$B$23:$U$23,0)))*(VLOOKUP($B125,INDIRECT($B$5&amp;"生成成长"),3))*(VLOOKUP($B$5,标准坦克设计!$B$14:$K$20,9)/30))</f>
        <v>66.703905640943773</v>
      </c>
    </row>
    <row r="126" spans="1:167" x14ac:dyDescent="0.15">
      <c r="A126" s="170" t="str">
        <f t="shared" si="11"/>
        <v>T2中品质9级</v>
      </c>
      <c r="B126" s="171">
        <v>20209</v>
      </c>
      <c r="C126" s="172">
        <f ca="1">(VLOOKUP(C$72,INDIRECT($C$5&amp;"生成成长"),2))/((VLOOKUP($B126,INDIRECT($B$5&amp;"生成成长"),4))/(VLOOKUP(C$72,INDIRECT($C$5&amp;"生成成长"),5))*(VLOOKUP($B$5,标准坦克设计!$B$24:$U$30,MATCH("对"&amp;LEFT($C$5,2)&amp;"输出",标准坦克设计!$B$23:$U$23,0)))*(VLOOKUP($B126,INDIRECT($B$5&amp;"生成成长"),3))*(VLOOKUP($B$5,标准坦克设计!$B$14:$K$20,9)/30))</f>
        <v>2.5925979212612749</v>
      </c>
      <c r="D126" s="172">
        <f ca="1">(VLOOKUP(D$72,INDIRECT($C$5&amp;"生成成长"),2))/((VLOOKUP($B126,INDIRECT($B$5&amp;"生成成长"),4))/(VLOOKUP(D$72,INDIRECT($C$5&amp;"生成成长"),5))*(VLOOKUP($B$5,标准坦克设计!$B$24:$U$30,MATCH("对"&amp;LEFT($C$5,2)&amp;"输出",标准坦克设计!$B$23:$U$23,0)))*(VLOOKUP($B126,INDIRECT($B$5&amp;"生成成长"),3))*(VLOOKUP($B$5,标准坦克设计!$B$14:$K$20,9)/30))</f>
        <v>2.9130430243291685</v>
      </c>
      <c r="E126" s="172">
        <f ca="1">(VLOOKUP(E$72,INDIRECT($C$5&amp;"生成成长"),2))/((VLOOKUP($B126,INDIRECT($B$5&amp;"生成成长"),4))/(VLOOKUP(E$72,INDIRECT($C$5&amp;"生成成长"),5))*(VLOOKUP($B$5,标准坦克设计!$B$24:$U$30,MATCH("对"&amp;LEFT($C$5,2)&amp;"输出",标准坦克设计!$B$23:$U$23,0)))*(VLOOKUP($B126,INDIRECT($B$5&amp;"生成成长"),3))*(VLOOKUP($B$5,标准坦克设计!$B$14:$K$20,9)/30))</f>
        <v>3.2521548324301439</v>
      </c>
      <c r="F126" s="172">
        <f ca="1">(VLOOKUP(F$72,INDIRECT($C$5&amp;"生成成长"),2))/((VLOOKUP($B126,INDIRECT($B$5&amp;"生成成长"),4))/(VLOOKUP(F$72,INDIRECT($C$5&amp;"生成成长"),5))*(VLOOKUP($B$5,标准坦克设计!$B$24:$U$30,MATCH("对"&amp;LEFT($C$5,2)&amp;"输出",标准坦克设计!$B$23:$U$23,0)))*(VLOOKUP($B126,INDIRECT($B$5&amp;"生成成长"),3))*(VLOOKUP($B$5,标准坦克设计!$B$14:$K$20,9)/30))</f>
        <v>3.6099333455641993</v>
      </c>
      <c r="G126" s="172">
        <f ca="1">(VLOOKUP(G$72,INDIRECT($C$5&amp;"生成成长"),2))/((VLOOKUP($B126,INDIRECT($B$5&amp;"生成成长"),4))/(VLOOKUP(G$72,INDIRECT($C$5&amp;"生成成长"),5))*(VLOOKUP($B$5,标准坦克设计!$B$24:$U$30,MATCH("对"&amp;LEFT($C$5,2)&amp;"输出",标准坦克设计!$B$23:$U$23,0)))*(VLOOKUP($B126,INDIRECT($B$5&amp;"生成成长"),3))*(VLOOKUP($B$5,标准坦克设计!$B$14:$K$20,9)/30))</f>
        <v>3.9863785637313365</v>
      </c>
      <c r="H126" s="172">
        <f ca="1">(VLOOKUP(H$72,INDIRECT($C$5&amp;"生成成长"),2))/((VLOOKUP($B126,INDIRECT($B$5&amp;"生成成长"),4))/(VLOOKUP(H$72,INDIRECT($C$5&amp;"生成成长"),5))*(VLOOKUP($B$5,标准坦克设计!$B$24:$U$30,MATCH("对"&amp;LEFT($C$5,2)&amp;"输出",标准坦克设计!$B$23:$U$23,0)))*(VLOOKUP($B126,INDIRECT($B$5&amp;"生成成长"),3))*(VLOOKUP($B$5,标准坦克设计!$B$14:$K$20,9)/30))</f>
        <v>3.4885997628491716</v>
      </c>
      <c r="I126" s="172">
        <f ca="1">(VLOOKUP(I$72,INDIRECT($C$5&amp;"生成成长"),2))/((VLOOKUP($B126,INDIRECT($B$5&amp;"生成成长"),4))/(VLOOKUP(I$72,INDIRECT($C$5&amp;"生成成长"),5))*(VLOOKUP($B$5,标准坦克设计!$B$24:$U$30,MATCH("对"&amp;LEFT($C$5,2)&amp;"输出",标准坦克设计!$B$23:$U$23,0)))*(VLOOKUP($B126,INDIRECT($B$5&amp;"生成成长"),3))*(VLOOKUP($B$5,标准坦克设计!$B$14:$K$20,9)/30))</f>
        <v>3.9863785637313365</v>
      </c>
      <c r="J126" s="172">
        <f ca="1">(VLOOKUP(J$72,INDIRECT($C$5&amp;"生成成长"),2))/((VLOOKUP($B126,INDIRECT($B$5&amp;"生成成长"),4))/(VLOOKUP(J$72,INDIRECT($C$5&amp;"生成成长"),5))*(VLOOKUP($B$5,标准坦克设计!$B$24:$U$30,MATCH("对"&amp;LEFT($C$5,2)&amp;"输出",标准坦克设计!$B$23:$U$23,0)))*(VLOOKUP($B126,INDIRECT($B$5&amp;"生成成长"),3))*(VLOOKUP($B$5,标准坦克设计!$B$14:$K$20,9)/30))</f>
        <v>4.517342618005646</v>
      </c>
      <c r="K126" s="172">
        <f ca="1">(VLOOKUP(K$72,INDIRECT($C$5&amp;"生成成长"),2))/((VLOOKUP($B126,INDIRECT($B$5&amp;"生成成长"),4))/(VLOOKUP(K$72,INDIRECT($C$5&amp;"生成成长"),5))*(VLOOKUP($B$5,标准坦克设计!$B$24:$U$30,MATCH("对"&amp;LEFT($C$5,2)&amp;"输出",标准坦克设计!$B$23:$U$23,0)))*(VLOOKUP($B126,INDIRECT($B$5&amp;"生成成长"),3))*(VLOOKUP($B$5,标准坦克设计!$B$14:$K$20,9)/30))</f>
        <v>5.0814919256720987</v>
      </c>
      <c r="L126" s="172">
        <f ca="1">(VLOOKUP(L$72,INDIRECT($C$5&amp;"生成成长"),2))/((VLOOKUP($B126,INDIRECT($B$5&amp;"生成成长"),4))/(VLOOKUP(L$72,INDIRECT($C$5&amp;"生成成长"),5))*(VLOOKUP($B$5,标准坦克设计!$B$24:$U$30,MATCH("对"&amp;LEFT($C$5,2)&amp;"输出",标准坦克设计!$B$23:$U$23,0)))*(VLOOKUP($B126,INDIRECT($B$5&amp;"生成成长"),3))*(VLOOKUP($B$5,标准坦克设计!$B$14:$K$20,9)/30))</f>
        <v>5.6788264867306975</v>
      </c>
      <c r="M126" s="172">
        <f ca="1">(VLOOKUP(M$72,INDIRECT($C$5&amp;"生成成长"),2))/((VLOOKUP($B126,INDIRECT($B$5&amp;"生成成长"),4))/(VLOOKUP(M$72,INDIRECT($C$5&amp;"生成成长"),5))*(VLOOKUP($B$5,标准坦克设计!$B$24:$U$30,MATCH("对"&amp;LEFT($C$5,2)&amp;"输出",标准坦克设计!$B$23:$U$23,0)))*(VLOOKUP($B126,INDIRECT($B$5&amp;"生成成长"),3))*(VLOOKUP($B$5,标准坦克设计!$B$14:$K$20,9)/30))</f>
        <v>6.3093463011814386</v>
      </c>
      <c r="N126" s="172">
        <f ca="1">(VLOOKUP(N$72,INDIRECT($C$5&amp;"生成成长"),2))/((VLOOKUP($B126,INDIRECT($B$5&amp;"生成成长"),4))/(VLOOKUP(N$72,INDIRECT($C$5&amp;"生成成长"),5))*(VLOOKUP($B$5,标准坦克设计!$B$24:$U$30,MATCH("对"&amp;LEFT($C$5,2)&amp;"输出",标准坦克设计!$B$23:$U$23,0)))*(VLOOKUP($B126,INDIRECT($B$5&amp;"生成成长"),3))*(VLOOKUP($B$5,标准坦克设计!$B$14:$K$20,9)/30))</f>
        <v>6.9730513690243248</v>
      </c>
      <c r="O126" s="172">
        <f ca="1">(VLOOKUP(O$72,INDIRECT($C$5&amp;"生成成长"),2))/((VLOOKUP($B126,INDIRECT($B$5&amp;"生成成长"),4))/(VLOOKUP(O$72,INDIRECT($C$5&amp;"生成成长"),5))*(VLOOKUP($B$5,标准坦克设计!$B$24:$U$30,MATCH("对"&amp;LEFT($C$5,2)&amp;"输出",标准坦克设计!$B$23:$U$23,0)))*(VLOOKUP($B126,INDIRECT($B$5&amp;"生成成长"),3))*(VLOOKUP($B$5,标准坦克设计!$B$14:$K$20,9)/30))</f>
        <v>5.3016034891871806</v>
      </c>
      <c r="P126" s="172">
        <f ca="1">(VLOOKUP(P$72,INDIRECT($C$5&amp;"生成成长"),2))/((VLOOKUP($B126,INDIRECT($B$5&amp;"生成成长"),4))/(VLOOKUP(P$72,INDIRECT($C$5&amp;"生成成长"),5))*(VLOOKUP($B$5,标准坦克设计!$B$24:$U$30,MATCH("对"&amp;LEFT($C$5,2)&amp;"输出",标准坦克设计!$B$23:$U$23,0)))*(VLOOKUP($B126,INDIRECT($B$5&amp;"生成成长"),3))*(VLOOKUP($B$5,标准坦克设计!$B$14:$K$20,9)/30))</f>
        <v>5.9899382372820495</v>
      </c>
      <c r="Q126" s="172">
        <f ca="1">(VLOOKUP(Q$72,INDIRECT($C$5&amp;"生成成长"),2))/((VLOOKUP($B126,INDIRECT($B$5&amp;"生成成长"),4))/(VLOOKUP(Q$72,INDIRECT($C$5&amp;"生成成长"),5))*(VLOOKUP($B$5,标准坦克设计!$B$24:$U$30,MATCH("对"&amp;LEFT($C$5,2)&amp;"输出",标准坦克设计!$B$23:$U$23,0)))*(VLOOKUP($B126,INDIRECT($B$5&amp;"生成成长"),3))*(VLOOKUP($B$5,标准坦克设计!$B$14:$K$20,9)/30))</f>
        <v>6.7202730717013504</v>
      </c>
      <c r="R126" s="172">
        <f ca="1">(VLOOKUP(R$72,INDIRECT($C$5&amp;"生成成长"),2))/((VLOOKUP($B126,INDIRECT($B$5&amp;"生成成长"),4))/(VLOOKUP(R$72,INDIRECT($C$5&amp;"生成成长"),5))*(VLOOKUP($B$5,标准坦克设计!$B$24:$U$30,MATCH("对"&amp;LEFT($C$5,2)&amp;"输出",标准坦克设计!$B$23:$U$23,0)))*(VLOOKUP($B126,INDIRECT($B$5&amp;"生成成长"),3))*(VLOOKUP($B$5,标准坦克设计!$B$14:$K$20,9)/30))</f>
        <v>7.4926079924450848</v>
      </c>
      <c r="S126" s="172">
        <f ca="1">(VLOOKUP(S$72,INDIRECT($C$5&amp;"生成成长"),2))/((VLOOKUP($B126,INDIRECT($B$5&amp;"生成成长"),4))/(VLOOKUP(S$72,INDIRECT($C$5&amp;"生成成长"),5))*(VLOOKUP($B$5,标准坦克设计!$B$24:$U$30,MATCH("对"&amp;LEFT($C$5,2)&amp;"输出",标准坦克设计!$B$23:$U$23,0)))*(VLOOKUP($B126,INDIRECT($B$5&amp;"生成成长"),3))*(VLOOKUP($B$5,标准坦克设计!$B$14:$K$20,9)/30))</f>
        <v>8.306942999513252</v>
      </c>
      <c r="T126" s="172">
        <f ca="1">(VLOOKUP(T$72,INDIRECT($C$5&amp;"生成成长"),2))/((VLOOKUP($B126,INDIRECT($B$5&amp;"生成成长"),4))/(VLOOKUP(T$72,INDIRECT($C$5&amp;"生成成长"),5))*(VLOOKUP($B$5,标准坦克设计!$B$24:$U$30,MATCH("对"&amp;LEFT($C$5,2)&amp;"输出",标准坦克设计!$B$23:$U$23,0)))*(VLOOKUP($B126,INDIRECT($B$5&amp;"生成成长"),3))*(VLOOKUP($B$5,标准坦克设计!$B$14:$K$20,9)/30))</f>
        <v>9.1632780929058502</v>
      </c>
      <c r="U126" s="172">
        <f ca="1">(VLOOKUP(U$72,INDIRECT($C$5&amp;"生成成长"),2))/((VLOOKUP($B126,INDIRECT($B$5&amp;"生成成长"),4))/(VLOOKUP(U$72,INDIRECT($C$5&amp;"生成成长"),5))*(VLOOKUP($B$5,标准坦克设计!$B$24:$U$30,MATCH("对"&amp;LEFT($C$5,2)&amp;"输出",标准坦克设计!$B$23:$U$23,0)))*(VLOOKUP($B126,INDIRECT($B$5&amp;"生成成长"),3))*(VLOOKUP($B$5,标准坦克设计!$B$14:$K$20,9)/30))</f>
        <v>10.061613272622884</v>
      </c>
      <c r="V126" s="172">
        <f ca="1">(VLOOKUP(V$72,INDIRECT($C$5&amp;"生成成长"),2))/((VLOOKUP($B126,INDIRECT($B$5&amp;"生成成长"),4))/(VLOOKUP(V$72,INDIRECT($C$5&amp;"生成成长"),5))*(VLOOKUP($B$5,标准坦克设计!$B$24:$U$30,MATCH("对"&amp;LEFT($C$5,2)&amp;"输出",标准坦克设计!$B$23:$U$23,0)))*(VLOOKUP($B126,INDIRECT($B$5&amp;"生成成长"),3))*(VLOOKUP($B$5,标准坦克设计!$B$14:$K$20,9)/30))</f>
        <v>11.001948538664347</v>
      </c>
      <c r="W126" s="172">
        <f ca="1">(VLOOKUP(W$72,INDIRECT($C$5&amp;"生成成长"),2))/((VLOOKUP($B126,INDIRECT($B$5&amp;"生成成长"),4))/(VLOOKUP(W$72,INDIRECT($C$5&amp;"生成成长"),5))*(VLOOKUP($B$5,标准坦克设计!$B$24:$U$30,MATCH("对"&amp;LEFT($C$5,2)&amp;"输出",标准坦克设计!$B$23:$U$23,0)))*(VLOOKUP($B126,INDIRECT($B$5&amp;"生成成长"),3))*(VLOOKUP($B$5,标准坦克设计!$B$14:$K$20,9)/30))</f>
        <v>11.984283891030243</v>
      </c>
      <c r="X126" s="172">
        <f ca="1">(VLOOKUP(X$72,INDIRECT($C$5&amp;"生成成长"),2))/((VLOOKUP($B126,INDIRECT($B$5&amp;"生成成长"),4))/(VLOOKUP(X$72,INDIRECT($C$5&amp;"生成成长"),5))*(VLOOKUP($B$5,标准坦克设计!$B$24:$U$30,MATCH("对"&amp;LEFT($C$5,2)&amp;"输出",标准坦克设计!$B$23:$U$23,0)))*(VLOOKUP($B126,INDIRECT($B$5&amp;"生成成长"),3))*(VLOOKUP($B$5,标准坦克设计!$B$14:$K$20,9)/30))</f>
        <v>8.682351178511885</v>
      </c>
      <c r="Y126" s="172">
        <f ca="1">(VLOOKUP(Y$72,INDIRECT($C$5&amp;"生成成长"),2))/((VLOOKUP($B126,INDIRECT($B$5&amp;"生成成长"),4))/(VLOOKUP(Y$72,INDIRECT($C$5&amp;"生成成长"),5))*(VLOOKUP($B$5,标准坦克设计!$B$24:$U$30,MATCH("对"&amp;LEFT($C$5,2)&amp;"输出",标准坦克设计!$B$23:$U$23,0)))*(VLOOKUP($B126,INDIRECT($B$5&amp;"生成成长"),3))*(VLOOKUP($B$5,标准坦克设计!$B$14:$K$20,9)/30))</f>
        <v>9.6571679969061233</v>
      </c>
      <c r="Z126" s="172">
        <f ca="1">(VLOOKUP(Z$72,INDIRECT($C$5&amp;"生成成长"),2))/((VLOOKUP($B126,INDIRECT($B$5&amp;"生成成长"),4))/(VLOOKUP(Z$72,INDIRECT($C$5&amp;"生成成长"),5))*(VLOOKUP($B$5,标准坦克设计!$B$24:$U$30,MATCH("对"&amp;LEFT($C$5,2)&amp;"输出",标准坦克设计!$B$23:$U$23,0)))*(VLOOKUP($B126,INDIRECT($B$5&amp;"生成成长"),3))*(VLOOKUP($B$5,标准坦克设计!$B$14:$K$20,9)/30))</f>
        <v>10.683836773725588</v>
      </c>
      <c r="AA126" s="172">
        <f ca="1">(VLOOKUP(AA$72,INDIRECT($C$5&amp;"生成成长"),2))/((VLOOKUP($B126,INDIRECT($B$5&amp;"生成成长"),4))/(VLOOKUP(AA$72,INDIRECT($C$5&amp;"生成成长"),5))*(VLOOKUP($B$5,标准坦克设计!$B$24:$U$30,MATCH("对"&amp;LEFT($C$5,2)&amp;"输出",标准坦克设计!$B$23:$U$23,0)))*(VLOOKUP($B126,INDIRECT($B$5&amp;"生成成长"),3))*(VLOOKUP($B$5,标准坦克设计!$B$14:$K$20,9)/30))</f>
        <v>11.762357508970281</v>
      </c>
      <c r="AB126" s="172">
        <f ca="1">(VLOOKUP(AB$72,INDIRECT($C$5&amp;"生成成长"),2))/((VLOOKUP($B126,INDIRECT($B$5&amp;"生成成长"),4))/(VLOOKUP(AB$72,INDIRECT($C$5&amp;"生成成长"),5))*(VLOOKUP($B$5,标准坦克设计!$B$24:$U$30,MATCH("对"&amp;LEFT($C$5,2)&amp;"输出",标准坦克设计!$B$23:$U$23,0)))*(VLOOKUP($B126,INDIRECT($B$5&amp;"生成成长"),3))*(VLOOKUP($B$5,标准坦克设计!$B$14:$K$20,9)/30))</f>
        <v>12.892730202640193</v>
      </c>
      <c r="AC126" s="172">
        <f ca="1">(VLOOKUP(AC$72,INDIRECT($C$5&amp;"生成成长"),2))/((VLOOKUP($B126,INDIRECT($B$5&amp;"生成成长"),4))/(VLOOKUP(AC$72,INDIRECT($C$5&amp;"生成成长"),5))*(VLOOKUP($B$5,标准坦克设计!$B$24:$U$30,MATCH("对"&amp;LEFT($C$5,2)&amp;"输出",标准坦克设计!$B$23:$U$23,0)))*(VLOOKUP($B126,INDIRECT($B$5&amp;"生成成长"),3))*(VLOOKUP($B$5,标准坦克设计!$B$14:$K$20,9)/30))</f>
        <v>14.074954854735335</v>
      </c>
      <c r="AD126" s="172">
        <f ca="1">(VLOOKUP(AD$72,INDIRECT($C$5&amp;"生成成长"),2))/((VLOOKUP($B126,INDIRECT($B$5&amp;"生成成长"),4))/(VLOOKUP(AD$72,INDIRECT($C$5&amp;"生成成长"),5))*(VLOOKUP($B$5,标准坦克设计!$B$24:$U$30,MATCH("对"&amp;LEFT($C$5,2)&amp;"输出",标准坦克设计!$B$23:$U$23,0)))*(VLOOKUP($B126,INDIRECT($B$5&amp;"生成成长"),3))*(VLOOKUP($B$5,标准坦克设计!$B$14:$K$20,9)/30))</f>
        <v>15.309031465255703</v>
      </c>
      <c r="AE126" s="172">
        <f ca="1">(VLOOKUP(AE$72,INDIRECT($C$5&amp;"生成成长"),2))/((VLOOKUP($B126,INDIRECT($B$5&amp;"生成成长"),4))/(VLOOKUP(AE$72,INDIRECT($C$5&amp;"生成成长"),5))*(VLOOKUP($B$5,标准坦克设计!$B$24:$U$30,MATCH("对"&amp;LEFT($C$5,2)&amp;"输出",标准坦克设计!$B$23:$U$23,0)))*(VLOOKUP($B126,INDIRECT($B$5&amp;"生成成长"),3))*(VLOOKUP($B$5,标准坦克设计!$B$14:$K$20,9)/30))</f>
        <v>16.594960034201293</v>
      </c>
      <c r="AF126" s="172">
        <f ca="1">(VLOOKUP(AF$72,INDIRECT($C$5&amp;"生成成长"),2))/((VLOOKUP($B126,INDIRECT($B$5&amp;"生成成长"),4))/(VLOOKUP(AF$72,INDIRECT($C$5&amp;"生成成长"),5))*(VLOOKUP($B$5,标准坦克设计!$B$24:$U$30,MATCH("对"&amp;LEFT($C$5,2)&amp;"输出",标准坦克设计!$B$23:$U$23,0)))*(VLOOKUP($B126,INDIRECT($B$5&amp;"生成成长"),3))*(VLOOKUP($B$5,标准坦克设计!$B$14:$K$20,9)/30))</f>
        <v>17.932740561572114</v>
      </c>
      <c r="AG126" s="172">
        <f ca="1">(VLOOKUP(AG$72,INDIRECT($C$5&amp;"生成成长"),2))/((VLOOKUP($B126,INDIRECT($B$5&amp;"生成成长"),4))/(VLOOKUP(AG$72,INDIRECT($C$5&amp;"生成成长"),5))*(VLOOKUP($B$5,标准坦克设计!$B$24:$U$30,MATCH("对"&amp;LEFT($C$5,2)&amp;"输出",标准坦克设计!$B$23:$U$23,0)))*(VLOOKUP($B126,INDIRECT($B$5&amp;"生成成长"),3))*(VLOOKUP($B$5,标准坦克设计!$B$14:$K$20,9)/30))</f>
        <v>19.32237304736816</v>
      </c>
      <c r="AH126" s="172">
        <f ca="1">(VLOOKUP(AH$72,INDIRECT($C$5&amp;"生成成长"),2))/((VLOOKUP($B126,INDIRECT($B$5&amp;"生成成长"),4))/(VLOOKUP(AH$72,INDIRECT($C$5&amp;"生成成长"),5))*(VLOOKUP($B$5,标准坦克设计!$B$24:$U$30,MATCH("对"&amp;LEFT($C$5,2)&amp;"输出",标准坦克设计!$B$23:$U$23,0)))*(VLOOKUP($B126,INDIRECT($B$5&amp;"生成成长"),3))*(VLOOKUP($B$5,标准坦克设计!$B$14:$K$20,9)/30))</f>
        <v>20.763857491589427</v>
      </c>
      <c r="AI126" s="172">
        <f ca="1">(VLOOKUP(AI$72,INDIRECT($C$5&amp;"生成成长"),2))/((VLOOKUP($B126,INDIRECT($B$5&amp;"生成成长"),4))/(VLOOKUP(AI$72,INDIRECT($C$5&amp;"生成成长"),5))*(VLOOKUP($B$5,标准坦克设计!$B$24:$U$30,MATCH("对"&amp;LEFT($C$5,2)&amp;"输出",标准坦克设计!$B$23:$U$23,0)))*(VLOOKUP($B126,INDIRECT($B$5&amp;"生成成长"),3))*(VLOOKUP($B$5,标准坦克设计!$B$14:$K$20,9)/30))</f>
        <v>14.685511665192369</v>
      </c>
      <c r="AJ126" s="172">
        <f ca="1">(VLOOKUP(AJ$72,INDIRECT($C$5&amp;"生成成长"),2))/((VLOOKUP($B126,INDIRECT($B$5&amp;"生成成长"),4))/(VLOOKUP(AJ$72,INDIRECT($C$5&amp;"生成成长"),5))*(VLOOKUP($B$5,标准坦克设计!$B$24:$U$30,MATCH("对"&amp;LEFT($C$5,2)&amp;"输出",标准坦克设计!$B$23:$U$23,0)))*(VLOOKUP($B126,INDIRECT($B$5&amp;"生成成长"),3))*(VLOOKUP($B$5,标准坦克设计!$B$14:$K$20,9)/30))</f>
        <v>16.074366371612033</v>
      </c>
      <c r="AK126" s="172">
        <f ca="1">(VLOOKUP(AK$72,INDIRECT($C$5&amp;"生成成长"),2))/((VLOOKUP($B126,INDIRECT($B$5&amp;"生成成长"),4))/(VLOOKUP(AK$72,INDIRECT($C$5&amp;"生成成长"),5))*(VLOOKUP($B$5,标准坦克设计!$B$24:$U$30,MATCH("对"&amp;LEFT($C$5,2)&amp;"输出",标准坦克设计!$B$23:$U$23,0)))*(VLOOKUP($B126,INDIRECT($B$5&amp;"生成成长"),3))*(VLOOKUP($B$5,标准坦克设计!$B$14:$K$20,9)/30))</f>
        <v>17.525961947726216</v>
      </c>
      <c r="AL126" s="172">
        <f ca="1">(VLOOKUP(AL$72,INDIRECT($C$5&amp;"生成成长"),2))/((VLOOKUP($B126,INDIRECT($B$5&amp;"生成成长"),4))/(VLOOKUP(AL$72,INDIRECT($C$5&amp;"生成成长"),5))*(VLOOKUP($B$5,标准坦克设计!$B$24:$U$30,MATCH("对"&amp;LEFT($C$5,2)&amp;"输出",标准坦克设计!$B$23:$U$23,0)))*(VLOOKUP($B126,INDIRECT($B$5&amp;"生成成长"),3))*(VLOOKUP($B$5,标准坦克设计!$B$14:$K$20,9)/30))</f>
        <v>19.040298393534933</v>
      </c>
      <c r="AM126" s="172">
        <f ca="1">(VLOOKUP(AM$72,INDIRECT($C$5&amp;"生成成长"),2))/((VLOOKUP($B126,INDIRECT($B$5&amp;"生成成长"),4))/(VLOOKUP(AM$72,INDIRECT($C$5&amp;"生成成长"),5))*(VLOOKUP($B$5,标准坦克设计!$B$24:$U$30,MATCH("对"&amp;LEFT($C$5,2)&amp;"输出",标准坦克设计!$B$23:$U$23,0)))*(VLOOKUP($B126,INDIRECT($B$5&amp;"生成成长"),3))*(VLOOKUP($B$5,标准坦克设计!$B$14:$K$20,9)/30))</f>
        <v>20.617375709038161</v>
      </c>
      <c r="AN126" s="172">
        <f ca="1">(VLOOKUP(AN$72,INDIRECT($C$5&amp;"生成成长"),2))/((VLOOKUP($B126,INDIRECT($B$5&amp;"生成成长"),4))/(VLOOKUP(AN$72,INDIRECT($C$5&amp;"生成成长"),5))*(VLOOKUP($B$5,标准坦克设计!$B$24:$U$30,MATCH("对"&amp;LEFT($C$5,2)&amp;"输出",标准坦克设计!$B$23:$U$23,0)))*(VLOOKUP($B126,INDIRECT($B$5&amp;"生成成长"),3))*(VLOOKUP($B$5,标准坦克设计!$B$14:$K$20,9)/30))</f>
        <v>22.257193894235922</v>
      </c>
      <c r="AO126" s="172">
        <f ca="1">(VLOOKUP(AO$72,INDIRECT($C$5&amp;"生成成长"),2))/((VLOOKUP($B126,INDIRECT($B$5&amp;"生成成长"),4))/(VLOOKUP(AO$72,INDIRECT($C$5&amp;"生成成长"),5))*(VLOOKUP($B$5,标准坦克设计!$B$24:$U$30,MATCH("对"&amp;LEFT($C$5,2)&amp;"输出",标准坦克设计!$B$23:$U$23,0)))*(VLOOKUP($B126,INDIRECT($B$5&amp;"生成成长"),3))*(VLOOKUP($B$5,标准坦克设计!$B$14:$K$20,9)/30))</f>
        <v>23.959752949128198</v>
      </c>
      <c r="AP126" s="172">
        <f ca="1">(VLOOKUP(AP$72,INDIRECT($C$5&amp;"生成成长"),2))/((VLOOKUP($B126,INDIRECT($B$5&amp;"生成成长"),4))/(VLOOKUP(AP$72,INDIRECT($C$5&amp;"生成成长"),5))*(VLOOKUP($B$5,标准坦克设计!$B$24:$U$30,MATCH("对"&amp;LEFT($C$5,2)&amp;"输出",标准坦克设计!$B$23:$U$23,0)))*(VLOOKUP($B126,INDIRECT($B$5&amp;"生成成长"),3))*(VLOOKUP($B$5,标准坦克设计!$B$14:$K$20,9)/30))</f>
        <v>25.725052873715001</v>
      </c>
      <c r="AQ126" s="172">
        <f ca="1">(VLOOKUP(AQ$72,INDIRECT($C$5&amp;"生成成长"),2))/((VLOOKUP($B126,INDIRECT($B$5&amp;"生成成长"),4))/(VLOOKUP(AQ$72,INDIRECT($C$5&amp;"生成成长"),5))*(VLOOKUP($B$5,标准坦克设计!$B$24:$U$30,MATCH("对"&amp;LEFT($C$5,2)&amp;"输出",标准坦克设计!$B$23:$U$23,0)))*(VLOOKUP($B126,INDIRECT($B$5&amp;"生成成长"),3))*(VLOOKUP($B$5,标准坦克设计!$B$14:$K$20,9)/30))</f>
        <v>27.553093667996325</v>
      </c>
      <c r="AR126" s="172">
        <f ca="1">(VLOOKUP(AR$72,INDIRECT($C$5&amp;"生成成长"),2))/((VLOOKUP($B126,INDIRECT($B$5&amp;"生成成长"),4))/(VLOOKUP(AR$72,INDIRECT($C$5&amp;"生成成长"),5))*(VLOOKUP($B$5,标准坦克设计!$B$24:$U$30,MATCH("对"&amp;LEFT($C$5,2)&amp;"输出",标准坦克设计!$B$23:$U$23,0)))*(VLOOKUP($B126,INDIRECT($B$5&amp;"生成成长"),3))*(VLOOKUP($B$5,标准坦克设计!$B$14:$K$20,9)/30))</f>
        <v>29.443875331972173</v>
      </c>
      <c r="AS126" s="172">
        <f ca="1">(VLOOKUP(AS$72,INDIRECT($C$5&amp;"生成成长"),2))/((VLOOKUP($B126,INDIRECT($B$5&amp;"生成成长"),4))/(VLOOKUP(AS$72,INDIRECT($C$5&amp;"生成成长"),5))*(VLOOKUP($B$5,标准坦克设计!$B$24:$U$30,MATCH("对"&amp;LEFT($C$5,2)&amp;"输出",标准坦克设计!$B$23:$U$23,0)))*(VLOOKUP($B126,INDIRECT($B$5&amp;"生成成长"),3))*(VLOOKUP($B$5,标准坦克设计!$B$14:$K$20,9)/30))</f>
        <v>31.397397865642546</v>
      </c>
      <c r="AT126" s="172">
        <f ca="1">(VLOOKUP(AT$72,INDIRECT($C$5&amp;"生成成长"),2))/((VLOOKUP($B126,INDIRECT($B$5&amp;"生成成长"),4))/(VLOOKUP(AT$72,INDIRECT($C$5&amp;"生成成长"),5))*(VLOOKUP($B$5,标准坦克设计!$B$24:$U$30,MATCH("对"&amp;LEFT($C$5,2)&amp;"输出",标准坦克设计!$B$23:$U$23,0)))*(VLOOKUP($B126,INDIRECT($B$5&amp;"生成成长"),3))*(VLOOKUP($B$5,标准坦克设计!$B$14:$K$20,9)/30))</f>
        <v>33.413661269007441</v>
      </c>
      <c r="AU126" s="172">
        <f ca="1">(VLOOKUP(AU$72,INDIRECT($C$5&amp;"生成成长"),2))/((VLOOKUP($B126,INDIRECT($B$5&amp;"生成成长"),4))/(VLOOKUP(AU$72,INDIRECT($C$5&amp;"生成成长"),5))*(VLOOKUP($B$5,标准坦克设计!$B$24:$U$30,MATCH("对"&amp;LEFT($C$5,2)&amp;"输出",标准坦克设计!$B$23:$U$23,0)))*(VLOOKUP($B126,INDIRECT($B$5&amp;"生成成长"),3))*(VLOOKUP($B$5,标准坦克设计!$B$14:$K$20,9)/30))</f>
        <v>35.49266554206686</v>
      </c>
      <c r="AV126" s="172">
        <f ca="1">(VLOOKUP(AV$72,INDIRECT($C$5&amp;"生成成长"),2))/((VLOOKUP($B126,INDIRECT($B$5&amp;"生成成长"),4))/(VLOOKUP(AV$72,INDIRECT($C$5&amp;"生成成长"),5))*(VLOOKUP($B$5,标准坦克设计!$B$24:$U$30,MATCH("对"&amp;LEFT($C$5,2)&amp;"输出",标准坦克设计!$B$23:$U$23,0)))*(VLOOKUP($B126,INDIRECT($B$5&amp;"生成成长"),3))*(VLOOKUP($B$5,标准坦克设计!$B$14:$K$20,9)/30))</f>
        <v>3.6099333455641993</v>
      </c>
      <c r="AW126" s="172">
        <f ca="1">(VLOOKUP(AW$72,INDIRECT($C$5&amp;"生成成长"),2))/((VLOOKUP($B126,INDIRECT($B$5&amp;"生成成长"),4))/(VLOOKUP(AW$72,INDIRECT($C$5&amp;"生成成长"),5))*(VLOOKUP($B$5,标准坦克设计!$B$24:$U$30,MATCH("对"&amp;LEFT($C$5,2)&amp;"输出",标准坦克设计!$B$23:$U$23,0)))*(VLOOKUP($B126,INDIRECT($B$5&amp;"生成成长"),3))*(VLOOKUP($B$5,标准坦克设计!$B$14:$K$20,9)/30))</f>
        <v>4.1160084597944007</v>
      </c>
      <c r="AX126" s="172">
        <f ca="1">(VLOOKUP(AX$72,INDIRECT($C$5&amp;"生成成长"),2))/((VLOOKUP($B126,INDIRECT($B$5&amp;"生成成长"),4))/(VLOOKUP(AX$72,INDIRECT($C$5&amp;"生成成长"),5))*(VLOOKUP($B$5,标准坦克设计!$B$24:$U$30,MATCH("对"&amp;LEFT($C$5,2)&amp;"输出",标准坦克设计!$B$23:$U$23,0)))*(VLOOKUP($B126,INDIRECT($B$5&amp;"生成成长"),3))*(VLOOKUP($B$5,标准坦克设计!$B$14:$K$20,9)/30))</f>
        <v>4.6552688274167453</v>
      </c>
      <c r="AY126" s="172">
        <f ca="1">(VLOOKUP(AY$72,INDIRECT($C$5&amp;"生成成长"),2))/((VLOOKUP($B126,INDIRECT($B$5&amp;"生成成长"),4))/(VLOOKUP(AY$72,INDIRECT($C$5&amp;"生成成长"),5))*(VLOOKUP($B$5,标准坦克设计!$B$24:$U$30,MATCH("对"&amp;LEFT($C$5,2)&amp;"输出",标准坦克设计!$B$23:$U$23,0)))*(VLOOKUP($B126,INDIRECT($B$5&amp;"生成成长"),3))*(VLOOKUP($B$5,标准坦克设计!$B$14:$K$20,9)/30))</f>
        <v>5.2277144484312341</v>
      </c>
      <c r="AZ126" s="172">
        <f ca="1">(VLOOKUP(AZ$72,INDIRECT($C$5&amp;"生成成长"),2))/((VLOOKUP($B126,INDIRECT($B$5&amp;"生成成长"),4))/(VLOOKUP(AZ$72,INDIRECT($C$5&amp;"生成成长"),5))*(VLOOKUP($B$5,标准坦克设计!$B$24:$U$30,MATCH("对"&amp;LEFT($C$5,2)&amp;"输出",标准坦克设计!$B$23:$U$23,0)))*(VLOOKUP($B126,INDIRECT($B$5&amp;"生成成长"),3))*(VLOOKUP($B$5,标准坦克设计!$B$14:$K$20,9)/30))</f>
        <v>5.833345322837868</v>
      </c>
      <c r="BA126" s="172">
        <f ca="1">(VLOOKUP(BA$72,INDIRECT($C$5&amp;"生成成长"),2))/((VLOOKUP($B126,INDIRECT($B$5&amp;"生成成长"),4))/(VLOOKUP(BA$72,INDIRECT($C$5&amp;"生成成长"),5))*(VLOOKUP($B$5,标准坦克设计!$B$24:$U$30,MATCH("对"&amp;LEFT($C$5,2)&amp;"输出",标准坦克设计!$B$23:$U$23,0)))*(VLOOKUP($B126,INDIRECT($B$5&amp;"生成成长"),3))*(VLOOKUP($B$5,标准坦克设计!$B$14:$K$20,9)/30))</f>
        <v>6.4721614506366469</v>
      </c>
      <c r="BB126" s="172">
        <f ca="1">(VLOOKUP(BB$72,INDIRECT($C$5&amp;"生成成长"),2))/((VLOOKUP($B126,INDIRECT($B$5&amp;"生成成长"),4))/(VLOOKUP(BB$72,INDIRECT($C$5&amp;"生成成长"),5))*(VLOOKUP($B$5,标准坦克设计!$B$24:$U$30,MATCH("对"&amp;LEFT($C$5,2)&amp;"输出",标准坦克设计!$B$23:$U$23,0)))*(VLOOKUP($B126,INDIRECT($B$5&amp;"生成成长"),3))*(VLOOKUP($B$5,标准坦克设计!$B$14:$K$20,9)/30))</f>
        <v>7.1441628318275709</v>
      </c>
      <c r="BC126" s="172">
        <f ca="1">(VLOOKUP(BC$72,INDIRECT($C$5&amp;"生成成长"),2))/((VLOOKUP($B126,INDIRECT($B$5&amp;"生成成长"),4))/(VLOOKUP(BC$72,INDIRECT($C$5&amp;"生成成长"),5))*(VLOOKUP($B$5,标准坦克设计!$B$24:$U$30,MATCH("对"&amp;LEFT($C$5,2)&amp;"输出",标准坦克设计!$B$23:$U$23,0)))*(VLOOKUP($B126,INDIRECT($B$5&amp;"生成成长"),3))*(VLOOKUP($B$5,标准坦克设计!$B$14:$K$20,9)/30))</f>
        <v>7.8493494664106365</v>
      </c>
      <c r="BD126" s="172">
        <f ca="1">(VLOOKUP(BD$72,INDIRECT($C$5&amp;"生成成长"),2))/((VLOOKUP($B126,INDIRECT($B$5&amp;"生成成长"),4))/(VLOOKUP(BD$72,INDIRECT($C$5&amp;"生成成长"),5))*(VLOOKUP($B$5,标准坦克设计!$B$24:$U$30,MATCH("对"&amp;LEFT($C$5,2)&amp;"输出",标准坦克设计!$B$23:$U$23,0)))*(VLOOKUP($B126,INDIRECT($B$5&amp;"生成成长"),3))*(VLOOKUP($B$5,标准坦克设计!$B$14:$K$20,9)/30))</f>
        <v>8.682351178511885</v>
      </c>
      <c r="BE126" s="172">
        <f ca="1">(VLOOKUP(BE$72,INDIRECT($C$5&amp;"生成成长"),2))/((VLOOKUP($B126,INDIRECT($B$5&amp;"生成成长"),4))/(VLOOKUP(BE$72,INDIRECT($C$5&amp;"生成成长"),5))*(VLOOKUP($B$5,标准坦克设计!$B$24:$U$30,MATCH("对"&amp;LEFT($C$5,2)&amp;"输出",标准坦克设计!$B$23:$U$23,0)))*(VLOOKUP($B126,INDIRECT($B$5&amp;"生成成长"),3))*(VLOOKUP($B$5,标准坦克设计!$B$14:$K$20,9)/30))</f>
        <v>9.5573529769375654</v>
      </c>
      <c r="BF126" s="172">
        <f ca="1">(VLOOKUP(BF$72,INDIRECT($C$5&amp;"生成成长"),2))/((VLOOKUP($B126,INDIRECT($B$5&amp;"生成成长"),4))/(VLOOKUP(BF$72,INDIRECT($C$5&amp;"生成成长"),5))*(VLOOKUP($B$5,标准坦克设计!$B$24:$U$30,MATCH("对"&amp;LEFT($C$5,2)&amp;"输出",标准坦克设计!$B$23:$U$23,0)))*(VLOOKUP($B126,INDIRECT($B$5&amp;"生成成长"),3))*(VLOOKUP($B$5,标准坦克设计!$B$14:$K$20,9)/30))</f>
        <v>10.474354861687678</v>
      </c>
      <c r="BG126" s="172">
        <f ca="1">(VLOOKUP(BG$72,INDIRECT($C$5&amp;"生成成长"),2))/((VLOOKUP($B126,INDIRECT($B$5&amp;"生成成长"),4))/(VLOOKUP(BG$72,INDIRECT($C$5&amp;"生成成长"),5))*(VLOOKUP($B$5,标准坦克设计!$B$24:$U$30,MATCH("对"&amp;LEFT($C$5,2)&amp;"输出",标准坦克设计!$B$23:$U$23,0)))*(VLOOKUP($B126,INDIRECT($B$5&amp;"生成成长"),3))*(VLOOKUP($B$5,标准坦克设计!$B$14:$K$20,9)/30))</f>
        <v>11.433356832762222</v>
      </c>
      <c r="BH126" s="172">
        <f ca="1">(VLOOKUP(BH$72,INDIRECT($C$5&amp;"生成成长"),2))/((VLOOKUP($B126,INDIRECT($B$5&amp;"生成成长"),4))/(VLOOKUP(BH$72,INDIRECT($C$5&amp;"生成成长"),5))*(VLOOKUP($B$5,标准坦克设计!$B$24:$U$30,MATCH("对"&amp;LEFT($C$5,2)&amp;"输出",标准坦克设计!$B$23:$U$23,0)))*(VLOOKUP($B126,INDIRECT($B$5&amp;"生成成长"),3))*(VLOOKUP($B$5,标准坦克设计!$B$14:$K$20,9)/30))</f>
        <v>5.5263817289605353</v>
      </c>
      <c r="BI126" s="172">
        <f ca="1">(VLOOKUP(BI$72,INDIRECT($C$5&amp;"生成成长"),2))/((VLOOKUP($B126,INDIRECT($B$5&amp;"生成成长"),4))/(VLOOKUP(BI$72,INDIRECT($C$5&amp;"生成成长"),5))*(VLOOKUP($B$5,标准坦克设计!$B$24:$U$30,MATCH("对"&amp;LEFT($C$5,2)&amp;"输出",标准坦克设计!$B$23:$U$23,0)))*(VLOOKUP($B126,INDIRECT($B$5&amp;"生成成长"),3))*(VLOOKUP($B$5,标准坦克设计!$B$14:$K$20,9)/30))</f>
        <v>6.2287165058302136</v>
      </c>
      <c r="BJ126" s="172">
        <f ca="1">(VLOOKUP(BJ$72,INDIRECT($C$5&amp;"生成成长"),2))/((VLOOKUP($B126,INDIRECT($B$5&amp;"生成成长"),4))/(VLOOKUP(BJ$72,INDIRECT($C$5&amp;"生成成长"),5))*(VLOOKUP($B$5,标准坦克设计!$B$24:$U$30,MATCH("对"&amp;LEFT($C$5,2)&amp;"输出",标准坦克设计!$B$23:$U$23,0)))*(VLOOKUP($B126,INDIRECT($B$5&amp;"生成成长"),3))*(VLOOKUP($B$5,标准坦克设计!$B$14:$K$20,9)/30))</f>
        <v>6.9730513690243248</v>
      </c>
      <c r="BK126" s="172">
        <f ca="1">(VLOOKUP(BK$72,INDIRECT($C$5&amp;"生成成长"),2))/((VLOOKUP($B126,INDIRECT($B$5&amp;"生成成长"),4))/(VLOOKUP(BK$72,INDIRECT($C$5&amp;"生成成长"),5))*(VLOOKUP($B$5,标准坦克设计!$B$24:$U$30,MATCH("对"&amp;LEFT($C$5,2)&amp;"输出",标准坦克设计!$B$23:$U$23,0)))*(VLOOKUP($B126,INDIRECT($B$5&amp;"生成成长"),3))*(VLOOKUP($B$5,标准坦克设计!$B$14:$K$20,9)/30))</f>
        <v>7.7593863185428704</v>
      </c>
      <c r="BL126" s="172">
        <f ca="1">(VLOOKUP(BL$72,INDIRECT($C$5&amp;"生成成长"),2))/((VLOOKUP($B126,INDIRECT($B$5&amp;"生成成长"),4))/(VLOOKUP(BL$72,INDIRECT($C$5&amp;"生成成长"),5))*(VLOOKUP($B$5,标准坦克设计!$B$24:$U$30,MATCH("对"&amp;LEFT($C$5,2)&amp;"输出",标准坦克设计!$B$23:$U$23,0)))*(VLOOKUP($B126,INDIRECT($B$5&amp;"生成成长"),3))*(VLOOKUP($B$5,标准坦克设计!$B$14:$K$20,9)/30))</f>
        <v>8.5877213543858488</v>
      </c>
      <c r="BM126" s="172">
        <f ca="1">(VLOOKUP(BM$72,INDIRECT($C$5&amp;"生成成长"),2))/((VLOOKUP($B126,INDIRECT($B$5&amp;"生成成长"),4))/(VLOOKUP(BM$72,INDIRECT($C$5&amp;"生成成长"),5))*(VLOOKUP($B$5,标准坦克设计!$B$24:$U$30,MATCH("对"&amp;LEFT($C$5,2)&amp;"输出",标准坦克设计!$B$23:$U$23,0)))*(VLOOKUP($B126,INDIRECT($B$5&amp;"生成成长"),3))*(VLOOKUP($B$5,标准坦克设计!$B$14:$K$20,9)/30))</f>
        <v>9.4580564765532582</v>
      </c>
      <c r="BN126" s="172">
        <f ca="1">(VLOOKUP(BN$72,INDIRECT($C$5&amp;"生成成长"),2))/((VLOOKUP($B126,INDIRECT($B$5&amp;"生成成长"),4))/(VLOOKUP(BN$72,INDIRECT($C$5&amp;"生成成长"),5))*(VLOOKUP($B$5,标准坦克设计!$B$24:$U$30,MATCH("对"&amp;LEFT($C$5,2)&amp;"输出",标准坦克设计!$B$23:$U$23,0)))*(VLOOKUP($B126,INDIRECT($B$5&amp;"生成成长"),3))*(VLOOKUP($B$5,标准坦克设计!$B$14:$K$20,9)/30))</f>
        <v>10.370391685045099</v>
      </c>
      <c r="BO126" s="172">
        <f ca="1">(VLOOKUP(BO$72,INDIRECT($C$5&amp;"生成成长"),2))/((VLOOKUP($B126,INDIRECT($B$5&amp;"生成成长"),4))/(VLOOKUP(BO$72,INDIRECT($C$5&amp;"生成成长"),5))*(VLOOKUP($B$5,标准坦克设计!$B$24:$U$30,MATCH("对"&amp;LEFT($C$5,2)&amp;"输出",标准坦克设计!$B$23:$U$23,0)))*(VLOOKUP($B126,INDIRECT($B$5&amp;"生成成长"),3))*(VLOOKUP($B$5,标准坦克设计!$B$14:$K$20,9)/30))</f>
        <v>11.324726979861376</v>
      </c>
      <c r="BP126" s="172">
        <f ca="1">(VLOOKUP(BP$72,INDIRECT($C$5&amp;"生成成长"),2))/((VLOOKUP($B126,INDIRECT($B$5&amp;"生成成长"),4))/(VLOOKUP(BP$72,INDIRECT($C$5&amp;"生成成长"),5))*(VLOOKUP($B$5,标准坦克设计!$B$24:$U$30,MATCH("对"&amp;LEFT($C$5,2)&amp;"输出",标准坦克设计!$B$23:$U$23,0)))*(VLOOKUP($B126,INDIRECT($B$5&amp;"生成成长"),3))*(VLOOKUP($B$5,标准坦克设计!$B$14:$K$20,9)/30))</f>
        <v>12.321062361002083</v>
      </c>
      <c r="BQ126" s="172">
        <f ca="1">(VLOOKUP(BQ$72,INDIRECT($C$5&amp;"生成成长"),2))/((VLOOKUP($B126,INDIRECT($B$5&amp;"生成成长"),4))/(VLOOKUP(BQ$72,INDIRECT($C$5&amp;"生成成长"),5))*(VLOOKUP($B$5,标准坦克设计!$B$24:$U$30,MATCH("对"&amp;LEFT($C$5,2)&amp;"输出",标准坦克设计!$B$23:$U$23,0)))*(VLOOKUP($B126,INDIRECT($B$5&amp;"生成成长"),3))*(VLOOKUP($B$5,标准坦克设计!$B$14:$K$20,9)/30))</f>
        <v>13.359397828467223</v>
      </c>
      <c r="BR126" s="172">
        <f ca="1">(VLOOKUP(BR$72,INDIRECT($C$5&amp;"生成成长"),2))/((VLOOKUP($B126,INDIRECT($B$5&amp;"生成成长"),4))/(VLOOKUP(BR$72,INDIRECT($C$5&amp;"生成成长"),5))*(VLOOKUP($B$5,标准坦克设计!$B$24:$U$30,MATCH("对"&amp;LEFT($C$5,2)&amp;"输出",标准坦克设计!$B$23:$U$23,0)))*(VLOOKUP($B126,INDIRECT($B$5&amp;"生成成长"),3))*(VLOOKUP($B$5,标准坦克设计!$B$14:$K$20,9)/30))</f>
        <v>14.562363263932456</v>
      </c>
      <c r="BS126" s="172">
        <f ca="1">(VLOOKUP(BS$72,INDIRECT($C$5&amp;"生成成长"),2))/((VLOOKUP($B126,INDIRECT($B$5&amp;"生成成长"),4))/(VLOOKUP(BS$72,INDIRECT($C$5&amp;"生成成长"),5))*(VLOOKUP($B$5,标准坦克设计!$B$24:$U$30,MATCH("对"&amp;LEFT($C$5,2)&amp;"输出",标准坦克设计!$B$23:$U$23,0)))*(VLOOKUP($B126,INDIRECT($B$5&amp;"生成成长"),3))*(VLOOKUP($B$5,标准坦克设计!$B$14:$K$20,9)/30))</f>
        <v>15.817180657822913</v>
      </c>
      <c r="BT126" s="172">
        <f ca="1">(VLOOKUP(BT$72,INDIRECT($C$5&amp;"生成成长"),2))/((VLOOKUP($B126,INDIRECT($B$5&amp;"生成成长"),4))/(VLOOKUP(BT$72,INDIRECT($C$5&amp;"生成成长"),5))*(VLOOKUP($B$5,标准坦克设计!$B$24:$U$30,MATCH("对"&amp;LEFT($C$5,2)&amp;"输出",标准坦克设计!$B$23:$U$23,0)))*(VLOOKUP($B126,INDIRECT($B$5&amp;"生成成长"),3))*(VLOOKUP($B$5,标准坦克设计!$B$14:$K$20,9)/30))</f>
        <v>17.123850010138597</v>
      </c>
      <c r="BU126" s="172">
        <f ca="1">(VLOOKUP(BU$72,INDIRECT($C$5&amp;"生成成长"),2))/((VLOOKUP($B126,INDIRECT($B$5&amp;"生成成长"),4))/(VLOOKUP(BU$72,INDIRECT($C$5&amp;"生成成长"),5))*(VLOOKUP($B$5,标准坦克设计!$B$24:$U$30,MATCH("对"&amp;LEFT($C$5,2)&amp;"输出",标准坦克设计!$B$23:$U$23,0)))*(VLOOKUP($B126,INDIRECT($B$5&amp;"生成成长"),3))*(VLOOKUP($B$5,标准坦克设计!$B$14:$K$20,9)/30))</f>
        <v>18.482371320879505</v>
      </c>
      <c r="BV126" s="172">
        <f ca="1">(VLOOKUP(BV$72,INDIRECT($C$5&amp;"生成成长"),2))/((VLOOKUP($B126,INDIRECT($B$5&amp;"生成成长"),4))/(VLOOKUP(BV$72,INDIRECT($C$5&amp;"生成成长"),5))*(VLOOKUP($B$5,标准坦克设计!$B$24:$U$30,MATCH("对"&amp;LEFT($C$5,2)&amp;"输出",标准坦克设计!$B$23:$U$23,0)))*(VLOOKUP($B126,INDIRECT($B$5&amp;"生成成长"),3))*(VLOOKUP($B$5,标准坦克设计!$B$14:$K$20,9)/30))</f>
        <v>19.892744590045638</v>
      </c>
      <c r="BW126" s="172">
        <f ca="1">(VLOOKUP(BW$72,INDIRECT($C$5&amp;"生成成长"),2))/((VLOOKUP($B126,INDIRECT($B$5&amp;"生成成长"),4))/(VLOOKUP(BW$72,INDIRECT($C$5&amp;"生成成长"),5))*(VLOOKUP($B$5,标准坦克设计!$B$24:$U$30,MATCH("对"&amp;LEFT($C$5,2)&amp;"输出",标准坦克设计!$B$23:$U$23,0)))*(VLOOKUP($B126,INDIRECT($B$5&amp;"生成成长"),3))*(VLOOKUP($B$5,标准坦克设计!$B$14:$K$20,9)/30))</f>
        <v>9.0660556708585531</v>
      </c>
      <c r="BX126" s="172">
        <f ca="1">(VLOOKUP(BX$72,INDIRECT($C$5&amp;"生成成长"),2))/((VLOOKUP($B126,INDIRECT($B$5&amp;"生成成长"),4))/(VLOOKUP(BX$72,INDIRECT($C$5&amp;"生成成长"),5))*(VLOOKUP($B$5,标准坦克设计!$B$24:$U$30,MATCH("对"&amp;LEFT($C$5,2)&amp;"输出",标准坦克设计!$B$23:$U$23,0)))*(VLOOKUP($B126,INDIRECT($B$5&amp;"生成成长"),3))*(VLOOKUP($B$5,标准坦克设计!$B$14:$K$20,9)/30))</f>
        <v>10.061613272622884</v>
      </c>
      <c r="BY126" s="172">
        <f ca="1">(VLOOKUP(BY$72,INDIRECT($C$5&amp;"生成成长"),2))/((VLOOKUP($B126,INDIRECT($B$5&amp;"生成成长"),4))/(VLOOKUP(BY$72,INDIRECT($C$5&amp;"生成成长"),5))*(VLOOKUP($B$5,标准坦克设计!$B$24:$U$30,MATCH("对"&amp;LEFT($C$5,2)&amp;"输出",标准坦克设计!$B$23:$U$23,0)))*(VLOOKUP($B126,INDIRECT($B$5&amp;"生成成长"),3))*(VLOOKUP($B$5,标准坦克设计!$B$14:$K$20,9)/30))</f>
        <v>11.109022832812437</v>
      </c>
      <c r="BZ126" s="172">
        <f ca="1">(VLOOKUP(BZ$72,INDIRECT($C$5&amp;"生成成长"),2))/((VLOOKUP($B126,INDIRECT($B$5&amp;"生成成长"),4))/(VLOOKUP(BZ$72,INDIRECT($C$5&amp;"生成成长"),5))*(VLOOKUP($B$5,标准坦克设计!$B$24:$U$30,MATCH("对"&amp;LEFT($C$5,2)&amp;"输出",标准坦克设计!$B$23:$U$23,0)))*(VLOOKUP($B126,INDIRECT($B$5&amp;"生成成长"),3))*(VLOOKUP($B$5,标准坦克设计!$B$14:$K$20,9)/30))</f>
        <v>12.208284351427219</v>
      </c>
      <c r="CA126" s="172">
        <f ca="1">(VLOOKUP(CA$72,INDIRECT($C$5&amp;"生成成长"),2))/((VLOOKUP($B126,INDIRECT($B$5&amp;"生成成长"),4))/(VLOOKUP(CA$72,INDIRECT($C$5&amp;"生成成长"),5))*(VLOOKUP($B$5,标准坦克设计!$B$24:$U$30,MATCH("对"&amp;LEFT($C$5,2)&amp;"输出",标准坦克设计!$B$23:$U$23,0)))*(VLOOKUP($B126,INDIRECT($B$5&amp;"生成成长"),3))*(VLOOKUP($B$5,标准坦克设计!$B$14:$K$20,9)/30))</f>
        <v>13.359397828467223</v>
      </c>
      <c r="CB126" s="172">
        <f ca="1">(VLOOKUP(CB$72,INDIRECT($C$5&amp;"生成成长"),2))/((VLOOKUP($B126,INDIRECT($B$5&amp;"生成成长"),4))/(VLOOKUP(CB$72,INDIRECT($C$5&amp;"生成成长"),5))*(VLOOKUP($B$5,标准坦克设计!$B$24:$U$30,MATCH("对"&amp;LEFT($C$5,2)&amp;"输出",标准坦克设计!$B$23:$U$23,0)))*(VLOOKUP($B126,INDIRECT($B$5&amp;"生成成长"),3))*(VLOOKUP($B$5,标准坦克设计!$B$14:$K$20,9)/30))</f>
        <v>14.562363263932456</v>
      </c>
      <c r="CC126" s="172">
        <f ca="1">(VLOOKUP(CC$72,INDIRECT($C$5&amp;"生成成长"),2))/((VLOOKUP($B126,INDIRECT($B$5&amp;"生成成长"),4))/(VLOOKUP(CC$72,INDIRECT($C$5&amp;"生成成长"),5))*(VLOOKUP($B$5,标准坦克设计!$B$24:$U$30,MATCH("对"&amp;LEFT($C$5,2)&amp;"输出",标准坦克设计!$B$23:$U$23,0)))*(VLOOKUP($B126,INDIRECT($B$5&amp;"生成成长"),3))*(VLOOKUP($B$5,标准坦克设计!$B$14:$K$20,9)/30))</f>
        <v>15.817180657822913</v>
      </c>
      <c r="CD126" s="172">
        <f ca="1">(VLOOKUP(CD$72,INDIRECT($C$5&amp;"生成成长"),2))/((VLOOKUP($B126,INDIRECT($B$5&amp;"生成成长"),4))/(VLOOKUP(CD$72,INDIRECT($C$5&amp;"生成成长"),5))*(VLOOKUP($B$5,标准坦克设计!$B$24:$U$30,MATCH("对"&amp;LEFT($C$5,2)&amp;"输出",标准坦克设计!$B$23:$U$23,0)))*(VLOOKUP($B126,INDIRECT($B$5&amp;"生成成长"),3))*(VLOOKUP($B$5,标准坦克设计!$B$14:$K$20,9)/30))</f>
        <v>17.123850010138597</v>
      </c>
      <c r="CE126" s="172">
        <f ca="1">(VLOOKUP(CE$72,INDIRECT($C$5&amp;"生成成长"),2))/((VLOOKUP($B126,INDIRECT($B$5&amp;"生成成长"),4))/(VLOOKUP(CE$72,INDIRECT($C$5&amp;"生成成长"),5))*(VLOOKUP($B$5,标准坦克设计!$B$24:$U$30,MATCH("对"&amp;LEFT($C$5,2)&amp;"输出",标准坦克设计!$B$23:$U$23,0)))*(VLOOKUP($B126,INDIRECT($B$5&amp;"生成成长"),3))*(VLOOKUP($B$5,标准坦克设计!$B$14:$K$20,9)/30))</f>
        <v>18.482371320879505</v>
      </c>
      <c r="CF126" s="172">
        <f ca="1">(VLOOKUP(CF$72,INDIRECT($C$5&amp;"生成成长"),2))/((VLOOKUP($B126,INDIRECT($B$5&amp;"生成成长"),4))/(VLOOKUP(CF$72,INDIRECT($C$5&amp;"生成成长"),5))*(VLOOKUP($B$5,标准坦克设计!$B$24:$U$30,MATCH("对"&amp;LEFT($C$5,2)&amp;"输出",标准坦克设计!$B$23:$U$23,0)))*(VLOOKUP($B126,INDIRECT($B$5&amp;"生成成长"),3))*(VLOOKUP($B$5,标准坦克设计!$B$14:$K$20,9)/30))</f>
        <v>19.892744590045638</v>
      </c>
      <c r="CG126" s="172">
        <f ca="1">(VLOOKUP(CG$72,INDIRECT($C$5&amp;"生成成长"),2))/((VLOOKUP($B126,INDIRECT($B$5&amp;"生成成长"),4))/(VLOOKUP(CG$72,INDIRECT($C$5&amp;"生成成长"),5))*(VLOOKUP($B$5,标准坦克设计!$B$24:$U$30,MATCH("对"&amp;LEFT($C$5,2)&amp;"输出",标准坦克设计!$B$23:$U$23,0)))*(VLOOKUP($B126,INDIRECT($B$5&amp;"生成成长"),3))*(VLOOKUP($B$5,标准坦克设计!$B$14:$K$20,9)/30))</f>
        <v>21.354969817636995</v>
      </c>
      <c r="CH126" s="172">
        <f ca="1">(VLOOKUP(CH$72,INDIRECT($C$5&amp;"生成成长"),2))/((VLOOKUP($B126,INDIRECT($B$5&amp;"生成成长"),4))/(VLOOKUP(CH$72,INDIRECT($C$5&amp;"生成成长"),5))*(VLOOKUP($B$5,标准坦克设计!$B$24:$U$30,MATCH("对"&amp;LEFT($C$5,2)&amp;"输出",标准坦克设计!$B$23:$U$23,0)))*(VLOOKUP($B126,INDIRECT($B$5&amp;"生成成长"),3))*(VLOOKUP($B$5,标准坦克设计!$B$14:$K$20,9)/30))</f>
        <v>22.869047003653584</v>
      </c>
      <c r="CI126" s="172">
        <f ca="1">(VLOOKUP(CI$72,INDIRECT($C$5&amp;"生成成长"),2))/((VLOOKUP($B126,INDIRECT($B$5&amp;"生成成长"),4))/(VLOOKUP(CI$72,INDIRECT($C$5&amp;"生成成长"),5))*(VLOOKUP($B$5,标准坦克设计!$B$24:$U$30,MATCH("对"&amp;LEFT($C$5,2)&amp;"输出",标准坦克设计!$B$23:$U$23,0)))*(VLOOKUP($B126,INDIRECT($B$5&amp;"生成成长"),3))*(VLOOKUP($B$5,标准坦克设计!$B$14:$K$20,9)/30))</f>
        <v>24.594420920252961</v>
      </c>
      <c r="CJ126" s="172">
        <f ca="1">(VLOOKUP(CJ$72,INDIRECT($C$5&amp;"生成成长"),2))/((VLOOKUP($B126,INDIRECT($B$5&amp;"生成成长"),4))/(VLOOKUP(CJ$72,INDIRECT($C$5&amp;"生成成长"),5))*(VLOOKUP($B$5,标准坦克设计!$B$24:$U$30,MATCH("对"&amp;LEFT($C$5,2)&amp;"输出",标准坦克设计!$B$23:$U$23,0)))*(VLOOKUP($B126,INDIRECT($B$5&amp;"生成成长"),3))*(VLOOKUP($B$5,标准坦克设计!$B$14:$K$20,9)/30))</f>
        <v>26.382535706546864</v>
      </c>
      <c r="CK126" s="172">
        <f ca="1">(VLOOKUP(CK$72,INDIRECT($C$5&amp;"生成成长"),2))/((VLOOKUP($B126,INDIRECT($B$5&amp;"生成成长"),4))/(VLOOKUP(CK$72,INDIRECT($C$5&amp;"生成成长"),5))*(VLOOKUP($B$5,标准坦克设计!$B$24:$U$30,MATCH("对"&amp;LEFT($C$5,2)&amp;"输出",标准坦克设计!$B$23:$U$23,0)))*(VLOOKUP($B126,INDIRECT($B$5&amp;"生成成长"),3))*(VLOOKUP($B$5,标准坦克设计!$B$14:$K$20,9)/30))</f>
        <v>28.233391362535283</v>
      </c>
      <c r="CL126" s="172">
        <f ca="1">(VLOOKUP(CL$72,INDIRECT($C$5&amp;"生成成长"),2))/((VLOOKUP($B126,INDIRECT($B$5&amp;"生成成长"),4))/(VLOOKUP(CL$72,INDIRECT($C$5&amp;"生成成长"),5))*(VLOOKUP($B$5,标准坦克设计!$B$24:$U$30,MATCH("对"&amp;LEFT($C$5,2)&amp;"输出",标准坦克设计!$B$23:$U$23,0)))*(VLOOKUP($B126,INDIRECT($B$5&amp;"生成成长"),3))*(VLOOKUP($B$5,标准坦克设计!$B$14:$K$20,9)/30))</f>
        <v>30.146987888218238</v>
      </c>
      <c r="CM126" s="172">
        <f ca="1">(VLOOKUP(CM$72,INDIRECT($C$5&amp;"生成成长"),2))/((VLOOKUP($B126,INDIRECT($B$5&amp;"生成成长"),4))/(VLOOKUP(CM$72,INDIRECT($C$5&amp;"生成成长"),5))*(VLOOKUP($B$5,标准坦克设计!$B$24:$U$30,MATCH("对"&amp;LEFT($C$5,2)&amp;"输出",标准坦克设计!$B$23:$U$23,0)))*(VLOOKUP($B126,INDIRECT($B$5&amp;"生成成长"),3))*(VLOOKUP($B$5,标准坦克设计!$B$14:$K$20,9)/30))</f>
        <v>32.123325283595705</v>
      </c>
      <c r="CN126" s="172">
        <f ca="1">(VLOOKUP(CN$72,INDIRECT($C$5&amp;"生成成长"),2))/((VLOOKUP($B126,INDIRECT($B$5&amp;"生成成长"),4))/(VLOOKUP(CN$72,INDIRECT($C$5&amp;"生成成长"),5))*(VLOOKUP($B$5,标准坦克设计!$B$24:$U$30,MATCH("对"&amp;LEFT($C$5,2)&amp;"输出",标准坦克设计!$B$23:$U$23,0)))*(VLOOKUP($B126,INDIRECT($B$5&amp;"生成成长"),3))*(VLOOKUP($B$5,标准坦克设计!$B$14:$K$20,9)/30))</f>
        <v>34.162403548667697</v>
      </c>
      <c r="CO126" s="172">
        <f ca="1">(VLOOKUP(CO$72,INDIRECT($C$5&amp;"生成成长"),2))/((VLOOKUP($B126,INDIRECT($B$5&amp;"生成成长"),4))/(VLOOKUP(CO$72,INDIRECT($C$5&amp;"生成成长"),5))*(VLOOKUP($B$5,标准坦克设计!$B$24:$U$30,MATCH("对"&amp;LEFT($C$5,2)&amp;"输出",标准坦克设计!$B$23:$U$23,0)))*(VLOOKUP($B126,INDIRECT($B$5&amp;"生成成长"),3))*(VLOOKUP($B$5,标准坦克设计!$B$14:$K$20,9)/30))</f>
        <v>15.309031465255703</v>
      </c>
      <c r="CP126" s="172">
        <f ca="1">(VLOOKUP(CP$72,INDIRECT($C$5&amp;"生成成长"),2))/((VLOOKUP($B126,INDIRECT($B$5&amp;"生成成长"),4))/(VLOOKUP(CP$72,INDIRECT($C$5&amp;"生成成长"),5))*(VLOOKUP($B$5,标准坦克设计!$B$24:$U$30,MATCH("对"&amp;LEFT($C$5,2)&amp;"输出",标准坦克设计!$B$23:$U$23,0)))*(VLOOKUP($B126,INDIRECT($B$5&amp;"生成成长"),3))*(VLOOKUP($B$5,标准坦克设计!$B$14:$K$20,9)/30))</f>
        <v>16.726404748809241</v>
      </c>
      <c r="CQ126" s="172">
        <f ca="1">(VLOOKUP(CQ$72,INDIRECT($C$5&amp;"生成成长"),2))/((VLOOKUP($B126,INDIRECT($B$5&amp;"生成成长"),4))/(VLOOKUP(CQ$72,INDIRECT($C$5&amp;"生成成长"),5))*(VLOOKUP($B$5,标准坦克设计!$B$24:$U$30,MATCH("对"&amp;LEFT($C$5,2)&amp;"输出",标准坦克设计!$B$23:$U$23,0)))*(VLOOKUP($B126,INDIRECT($B$5&amp;"生成成长"),3))*(VLOOKUP($B$5,标准坦克设计!$B$14:$K$20,9)/30))</f>
        <v>18.206518902057304</v>
      </c>
      <c r="CR126" s="172">
        <f ca="1">(VLOOKUP(CR$72,INDIRECT($C$5&amp;"生成成长"),2))/((VLOOKUP($B126,INDIRECT($B$5&amp;"生成成长"),4))/(VLOOKUP(CR$72,INDIRECT($C$5&amp;"生成成长"),5))*(VLOOKUP($B$5,标准坦克设计!$B$24:$U$30,MATCH("对"&amp;LEFT($C$5,2)&amp;"输出",标准坦克设计!$B$23:$U$23,0)))*(VLOOKUP($B126,INDIRECT($B$5&amp;"生成成长"),3))*(VLOOKUP($B$5,标准坦克设计!$B$14:$K$20,9)/30))</f>
        <v>19.74937392499989</v>
      </c>
      <c r="CS126" s="172">
        <f ca="1">(VLOOKUP(CS$72,INDIRECT($C$5&amp;"生成成长"),2))/((VLOOKUP($B126,INDIRECT($B$5&amp;"生成成长"),4))/(VLOOKUP(CS$72,INDIRECT($C$5&amp;"生成成长"),5))*(VLOOKUP($B$5,标准坦克设计!$B$24:$U$30,MATCH("对"&amp;LEFT($C$5,2)&amp;"输出",标准坦克设计!$B$23:$U$23,0)))*(VLOOKUP($B126,INDIRECT($B$5&amp;"生成成长"),3))*(VLOOKUP($B$5,标准坦克设计!$B$14:$K$20,9)/30))</f>
        <v>21.354969817636995</v>
      </c>
      <c r="CT126" s="172">
        <f ca="1">(VLOOKUP(CT$72,INDIRECT($C$5&amp;"生成成长"),2))/((VLOOKUP($B126,INDIRECT($B$5&amp;"生成成长"),4))/(VLOOKUP(CT$72,INDIRECT($C$5&amp;"生成成长"),5))*(VLOOKUP($B$5,标准坦克设计!$B$24:$U$30,MATCH("对"&amp;LEFT($C$5,2)&amp;"输出",标准坦克设计!$B$23:$U$23,0)))*(VLOOKUP($B126,INDIRECT($B$5&amp;"生成成长"),3))*(VLOOKUP($B$5,标准坦克设计!$B$14:$K$20,9)/30))</f>
        <v>23.023306579968629</v>
      </c>
      <c r="CU126" s="172">
        <f ca="1">(VLOOKUP(CU$72,INDIRECT($C$5&amp;"生成成长"),2))/((VLOOKUP($B126,INDIRECT($B$5&amp;"生成成长"),4))/(VLOOKUP(CU$72,INDIRECT($C$5&amp;"生成成长"),5))*(VLOOKUP($B$5,标准坦克设计!$B$24:$U$30,MATCH("对"&amp;LEFT($C$5,2)&amp;"输出",标准坦克设计!$B$23:$U$23,0)))*(VLOOKUP($B126,INDIRECT($B$5&amp;"生成成长"),3))*(VLOOKUP($B$5,标准坦克设计!$B$14:$K$20,9)/30))</f>
        <v>24.754384211994783</v>
      </c>
      <c r="CV126" s="172">
        <f ca="1">(VLOOKUP(CV$72,INDIRECT($C$5&amp;"生成成长"),2))/((VLOOKUP($B126,INDIRECT($B$5&amp;"生成成长"),4))/(VLOOKUP(CV$72,INDIRECT($C$5&amp;"生成成长"),5))*(VLOOKUP($B$5,标准坦克设计!$B$24:$U$30,MATCH("对"&amp;LEFT($C$5,2)&amp;"输出",标准坦克设计!$B$23:$U$23,0)))*(VLOOKUP($B126,INDIRECT($B$5&amp;"生成成长"),3))*(VLOOKUP($B$5,标准坦克设计!$B$14:$K$20,9)/30))</f>
        <v>26.548202713715458</v>
      </c>
      <c r="CW126" s="172">
        <f ca="1">(VLOOKUP(CW$72,INDIRECT($C$5&amp;"生成成长"),2))/((VLOOKUP($B126,INDIRECT($B$5&amp;"生成成长"),4))/(VLOOKUP(CW$72,INDIRECT($C$5&amp;"生成成长"),5))*(VLOOKUP($B$5,标准坦克设计!$B$24:$U$30,MATCH("对"&amp;LEFT($C$5,2)&amp;"输出",标准坦克设计!$B$23:$U$23,0)))*(VLOOKUP($B126,INDIRECT($B$5&amp;"生成成长"),3))*(VLOOKUP($B$5,标准坦克设计!$B$14:$K$20,9)/30))</f>
        <v>28.40476208513066</v>
      </c>
      <c r="CX126" s="172">
        <f ca="1">(VLOOKUP(CX$72,INDIRECT($C$5&amp;"生成成长"),2))/((VLOOKUP($B126,INDIRECT($B$5&amp;"生成成长"),4))/(VLOOKUP(CX$72,INDIRECT($C$5&amp;"生成成长"),5))*(VLOOKUP($B$5,标准坦克设计!$B$24:$U$30,MATCH("对"&amp;LEFT($C$5,2)&amp;"输出",标准坦克设计!$B$23:$U$23,0)))*(VLOOKUP($B126,INDIRECT($B$5&amp;"生成成长"),3))*(VLOOKUP($B$5,标准坦克设计!$B$14:$K$20,9)/30))</f>
        <v>30.32406232624038</v>
      </c>
      <c r="CY126" s="172">
        <f ca="1">(VLOOKUP(CY$72,INDIRECT($C$5&amp;"生成成长"),2))/((VLOOKUP($B126,INDIRECT($B$5&amp;"生成成长"),4))/(VLOOKUP(CY$72,INDIRECT($C$5&amp;"生成成长"),5))*(VLOOKUP($B$5,标准坦克设计!$B$24:$U$30,MATCH("对"&amp;LEFT($C$5,2)&amp;"输出",标准坦克设计!$B$23:$U$23,0)))*(VLOOKUP($B126,INDIRECT($B$5&amp;"生成成长"),3))*(VLOOKUP($B$5,标准坦克设计!$B$14:$K$20,9)/30))</f>
        <v>32.306103437044619</v>
      </c>
      <c r="CZ126" s="172">
        <f ca="1">(VLOOKUP(CZ$72,INDIRECT($C$5&amp;"生成成长"),2))/((VLOOKUP($B126,INDIRECT($B$5&amp;"生成成长"),4))/(VLOOKUP(CZ$72,INDIRECT($C$5&amp;"生成成长"),5))*(VLOOKUP($B$5,标准坦克设计!$B$24:$U$30,MATCH("对"&amp;LEFT($C$5,2)&amp;"输出",标准坦克设计!$B$23:$U$23,0)))*(VLOOKUP($B126,INDIRECT($B$5&amp;"生成成长"),3))*(VLOOKUP($B$5,标准坦克设计!$B$14:$K$20,9)/30))</f>
        <v>34.350885417543395</v>
      </c>
      <c r="DA126" s="172">
        <f ca="1">(VLOOKUP(DA$72,INDIRECT($C$5&amp;"生成成长"),2))/((VLOOKUP($B126,INDIRECT($B$5&amp;"生成成长"),4))/(VLOOKUP(DA$72,INDIRECT($C$5&amp;"生成成长"),5))*(VLOOKUP($B$5,标准坦克设计!$B$24:$U$30,MATCH("对"&amp;LEFT($C$5,2)&amp;"输出",标准坦克设计!$B$23:$U$23,0)))*(VLOOKUP($B126,INDIRECT($B$5&amp;"生成成长"),3))*(VLOOKUP($B$5,标准坦克设计!$B$14:$K$20,9)/30))</f>
        <v>36.458408267736679</v>
      </c>
      <c r="DB126" s="172">
        <f ca="1">(VLOOKUP(DB$72,INDIRECT($C$5&amp;"生成成长"),2))/((VLOOKUP($B126,INDIRECT($B$5&amp;"生成成长"),4))/(VLOOKUP(DB$72,INDIRECT($C$5&amp;"生成成长"),5))*(VLOOKUP($B$5,标准坦克设计!$B$24:$U$30,MATCH("对"&amp;LEFT($C$5,2)&amp;"输出",标准坦克设计!$B$23:$U$23,0)))*(VLOOKUP($B126,INDIRECT($B$5&amp;"生成成长"),3))*(VLOOKUP($B$5,标准坦克设计!$B$14:$K$20,9)/30))</f>
        <v>38.628671987624493</v>
      </c>
      <c r="DC126" s="172">
        <f ca="1">(VLOOKUP(DC$72,INDIRECT($C$5&amp;"生成成长"),2))/((VLOOKUP($B126,INDIRECT($B$5&amp;"生成成长"),4))/(VLOOKUP(DC$72,INDIRECT($C$5&amp;"生成成长"),5))*(VLOOKUP($B$5,标准坦克设计!$B$24:$U$30,MATCH("对"&amp;LEFT($C$5,2)&amp;"输出",标准坦克设计!$B$23:$U$23,0)))*(VLOOKUP($B126,INDIRECT($B$5&amp;"生成成长"),3))*(VLOOKUP($B$5,标准坦克设计!$B$14:$K$20,9)/30))</f>
        <v>41.067788111947102</v>
      </c>
      <c r="DD126" s="172">
        <f ca="1">(VLOOKUP(DD$72,INDIRECT($C$5&amp;"生成成长"),2))/((VLOOKUP($B126,INDIRECT($B$5&amp;"生成成长"),4))/(VLOOKUP(DD$72,INDIRECT($C$5&amp;"生成成长"),5))*(VLOOKUP($B$5,标准坦克设计!$B$24:$U$30,MATCH("对"&amp;LEFT($C$5,2)&amp;"输出",标准坦克设计!$B$23:$U$23,0)))*(VLOOKUP($B126,INDIRECT($B$5&amp;"生成成长"),3))*(VLOOKUP($B$5,标准坦克设计!$B$14:$K$20,9)/30))</f>
        <v>43.581571056402034</v>
      </c>
      <c r="DE126" s="172">
        <f ca="1">(VLOOKUP(DE$72,INDIRECT($C$5&amp;"生成成长"),2))/((VLOOKUP($B126,INDIRECT($B$5&amp;"生成成长"),4))/(VLOOKUP(DE$72,INDIRECT($C$5&amp;"生成成长"),5))*(VLOOKUP($B$5,标准坦克设计!$B$24:$U$30,MATCH("对"&amp;LEFT($C$5,2)&amp;"输出",标准坦克设计!$B$23:$U$23,0)))*(VLOOKUP($B126,INDIRECT($B$5&amp;"生成成长"),3))*(VLOOKUP($B$5,标准坦克设计!$B$14:$K$20,9)/30))</f>
        <v>46.170020820989301</v>
      </c>
      <c r="DF126" s="172">
        <f ca="1">(VLOOKUP(DF$72,INDIRECT($C$5&amp;"生成成长"),2))/((VLOOKUP($B126,INDIRECT($B$5&amp;"生成成长"),4))/(VLOOKUP(DF$72,INDIRECT($C$5&amp;"生成成长"),5))*(VLOOKUP($B$5,标准坦克设计!$B$24:$U$30,MATCH("对"&amp;LEFT($C$5,2)&amp;"输出",标准坦克设计!$B$23:$U$23,0)))*(VLOOKUP($B126,INDIRECT($B$5&amp;"生成成长"),3))*(VLOOKUP($B$5,标准坦克设计!$B$14:$K$20,9)/30))</f>
        <v>48.833137405708875</v>
      </c>
      <c r="DG126" s="172">
        <f ca="1">(VLOOKUP(DG$72,INDIRECT($C$5&amp;"生成成长"),2))/((VLOOKUP($B126,INDIRECT($B$5&amp;"生成成长"),4))/(VLOOKUP(DG$72,INDIRECT($C$5&amp;"生成成长"),5))*(VLOOKUP($B$5,标准坦克设计!$B$24:$U$30,MATCH("对"&amp;LEFT($C$5,2)&amp;"输出",标准坦克设计!$B$23:$U$23,0)))*(VLOOKUP($B126,INDIRECT($B$5&amp;"生成成长"),3))*(VLOOKUP($B$5,标准坦克设计!$B$14:$K$20,9)/30))</f>
        <v>51.570920810560771</v>
      </c>
      <c r="DH126" s="172">
        <f ca="1">(VLOOKUP(DH$72,INDIRECT($C$5&amp;"生成成长"),2))/((VLOOKUP($B126,INDIRECT($B$5&amp;"生成成长"),4))/(VLOOKUP(DH$72,INDIRECT($C$5&amp;"生成成长"),5))*(VLOOKUP($B$5,标准坦克设计!$B$24:$U$30,MATCH("对"&amp;LEFT($C$5,2)&amp;"输出",标准坦克设计!$B$23:$U$23,0)))*(VLOOKUP($B126,INDIRECT($B$5&amp;"生成成长"),3))*(VLOOKUP($B$5,标准坦克设计!$B$14:$K$20,9)/30))</f>
        <v>54.383371035545004</v>
      </c>
      <c r="DI126" s="172">
        <f ca="1">(VLOOKUP(DI$72,INDIRECT($C$5&amp;"生成成长"),2))/((VLOOKUP($B126,INDIRECT($B$5&amp;"生成成长"),4))/(VLOOKUP(DI$72,INDIRECT($C$5&amp;"生成成长"),5))*(VLOOKUP($B$5,标准坦克设计!$B$24:$U$30,MATCH("对"&amp;LEFT($C$5,2)&amp;"输出",标准坦克设计!$B$23:$U$23,0)))*(VLOOKUP($B126,INDIRECT($B$5&amp;"生成成长"),3))*(VLOOKUP($B$5,标准坦克设计!$B$14:$K$20,9)/30))</f>
        <v>57.270488080661572</v>
      </c>
      <c r="DJ126" s="172">
        <f ca="1">(VLOOKUP(DJ$72,INDIRECT($C$5&amp;"生成成长"),2))/((VLOOKUP($B126,INDIRECT($B$5&amp;"生成成长"),4))/(VLOOKUP(DJ$72,INDIRECT($C$5&amp;"生成成长"),5))*(VLOOKUP($B$5,标准坦克设计!$B$24:$U$30,MATCH("对"&amp;LEFT($C$5,2)&amp;"输出",标准坦克设计!$B$23:$U$23,0)))*(VLOOKUP($B126,INDIRECT($B$5&amp;"生成成长"),3))*(VLOOKUP($B$5,标准坦克设计!$B$14:$K$20,9)/30))</f>
        <v>5.7558266449921573</v>
      </c>
      <c r="DK126" s="172">
        <f ca="1">(VLOOKUP(DK$72,INDIRECT($C$5&amp;"生成成长"),2))/((VLOOKUP($B126,INDIRECT($B$5&amp;"生成成长"),4))/(VLOOKUP(DK$72,INDIRECT($C$5&amp;"生成成长"),5))*(VLOOKUP($B$5,标准坦克设计!$B$24:$U$30,MATCH("对"&amp;LEFT($C$5,2)&amp;"输出",标准坦克设计!$B$23:$U$23,0)))*(VLOOKUP($B126,INDIRECT($B$5&amp;"生成成长"),3))*(VLOOKUP($B$5,标准坦克设计!$B$14:$K$20,9)/30))</f>
        <v>6.4721614506366469</v>
      </c>
      <c r="DL126" s="172">
        <f ca="1">(VLOOKUP(DL$72,INDIRECT($C$5&amp;"生成成长"),2))/((VLOOKUP($B126,INDIRECT($B$5&amp;"生成成长"),4))/(VLOOKUP(DL$72,INDIRECT($C$5&amp;"生成成长"),5))*(VLOOKUP($B$5,标准坦克设计!$B$24:$U$30,MATCH("对"&amp;LEFT($C$5,2)&amp;"输出",标准坦克设计!$B$23:$U$23,0)))*(VLOOKUP($B126,INDIRECT($B$5&amp;"生成成长"),3))*(VLOOKUP($B$5,标准坦克设计!$B$14:$K$20,9)/30))</f>
        <v>7.2304963426055693</v>
      </c>
      <c r="DM126" s="172">
        <f ca="1">(VLOOKUP(DM$72,INDIRECT($C$5&amp;"生成成长"),2))/((VLOOKUP($B126,INDIRECT($B$5&amp;"生成成长"),4))/(VLOOKUP(DM$72,INDIRECT($C$5&amp;"生成成长"),5))*(VLOOKUP($B$5,标准坦克设计!$B$24:$U$30,MATCH("对"&amp;LEFT($C$5,2)&amp;"输出",标准坦克设计!$B$23:$U$23,0)))*(VLOOKUP($B126,INDIRECT($B$5&amp;"生成成长"),3))*(VLOOKUP($B$5,标准坦克设计!$B$14:$K$20,9)/30))</f>
        <v>8.0308313208989262</v>
      </c>
      <c r="DN126" s="172">
        <f ca="1">(VLOOKUP(DN$72,INDIRECT($C$5&amp;"生成成长"),2))/((VLOOKUP($B126,INDIRECT($B$5&amp;"生成成长"),4))/(VLOOKUP(DN$72,INDIRECT($C$5&amp;"生成成长"),5))*(VLOOKUP($B$5,标准坦克设计!$B$24:$U$30,MATCH("对"&amp;LEFT($C$5,2)&amp;"输出",标准坦克设计!$B$23:$U$23,0)))*(VLOOKUP($B126,INDIRECT($B$5&amp;"生成成长"),3))*(VLOOKUP($B$5,标准坦克设计!$B$14:$K$20,9)/30))</f>
        <v>8.8731663855167149</v>
      </c>
      <c r="DO126" s="172">
        <f ca="1">(VLOOKUP(DO$72,INDIRECT($C$5&amp;"生成成长"),2))/((VLOOKUP($B126,INDIRECT($B$5&amp;"生成成长"),4))/(VLOOKUP(DO$72,INDIRECT($C$5&amp;"生成成长"),5))*(VLOOKUP($B$5,标准坦克设计!$B$24:$U$30,MATCH("对"&amp;LEFT($C$5,2)&amp;"输出",标准坦克设计!$B$23:$U$23,0)))*(VLOOKUP($B126,INDIRECT($B$5&amp;"生成成长"),3))*(VLOOKUP($B$5,标准坦克设计!$B$14:$K$20,9)/30))</f>
        <v>9.7575015364589337</v>
      </c>
      <c r="DP126" s="172">
        <f ca="1">(VLOOKUP(DP$72,INDIRECT($C$5&amp;"生成成长"),2))/((VLOOKUP($B126,INDIRECT($B$5&amp;"生成成长"),4))/(VLOOKUP(DP$72,INDIRECT($C$5&amp;"生成成长"),5))*(VLOOKUP($B$5,标准坦克设计!$B$24:$U$30,MATCH("对"&amp;LEFT($C$5,2)&amp;"输出",标准坦克设计!$B$23:$U$23,0)))*(VLOOKUP($B126,INDIRECT($B$5&amp;"生成成长"),3))*(VLOOKUP($B$5,标准坦克设计!$B$14:$K$20,9)/30))</f>
        <v>10.683836773725588</v>
      </c>
      <c r="DQ126" s="172">
        <f ca="1">(VLOOKUP(DQ$72,INDIRECT($C$5&amp;"生成成长"),2))/((VLOOKUP($B126,INDIRECT($B$5&amp;"生成成长"),4))/(VLOOKUP(DQ$72,INDIRECT($C$5&amp;"生成成长"),5))*(VLOOKUP($B$5,标准坦克设计!$B$24:$U$30,MATCH("对"&amp;LEFT($C$5,2)&amp;"输出",标准坦克设计!$B$23:$U$23,0)))*(VLOOKUP($B126,INDIRECT($B$5&amp;"生成成长"),3))*(VLOOKUP($B$5,标准坦克设计!$B$14:$K$20,9)/30))</f>
        <v>11.652172097316674</v>
      </c>
      <c r="DR126" s="172">
        <f ca="1">(VLOOKUP(DR$72,INDIRECT($C$5&amp;"生成成长"),2))/((VLOOKUP($B126,INDIRECT($B$5&amp;"生成成长"),4))/(VLOOKUP(DR$72,INDIRECT($C$5&amp;"生成成长"),5))*(VLOOKUP($B$5,标准坦克设计!$B$24:$U$30,MATCH("对"&amp;LEFT($C$5,2)&amp;"输出",标准坦克设计!$B$23:$U$23,0)))*(VLOOKUP($B126,INDIRECT($B$5&amp;"生成成长"),3))*(VLOOKUP($B$5,标准坦克设计!$B$14:$K$20,9)/30))</f>
        <v>12.662507507232194</v>
      </c>
      <c r="DS126" s="172">
        <f ca="1">(VLOOKUP(DS$72,INDIRECT($C$5&amp;"生成成长"),2))/((VLOOKUP($B126,INDIRECT($B$5&amp;"生成成长"),4))/(VLOOKUP(DS$72,INDIRECT($C$5&amp;"生成成长"),5))*(VLOOKUP($B$5,标准坦克设计!$B$24:$U$30,MATCH("对"&amp;LEFT($C$5,2)&amp;"输出",标准坦克设计!$B$23:$U$23,0)))*(VLOOKUP($B126,INDIRECT($B$5&amp;"生成成长"),3))*(VLOOKUP($B$5,标准坦克设计!$B$14:$K$20,9)/30))</f>
        <v>13.714843003472144</v>
      </c>
      <c r="DT126" s="172">
        <f ca="1">(VLOOKUP(DT$72,INDIRECT($C$5&amp;"生成成长"),2))/((VLOOKUP($B126,INDIRECT($B$5&amp;"生成成长"),4))/(VLOOKUP(DT$72,INDIRECT($C$5&amp;"生成成长"),5))*(VLOOKUP($B$5,标准坦克设计!$B$24:$U$30,MATCH("对"&amp;LEFT($C$5,2)&amp;"输出",标准坦克设计!$B$23:$U$23,0)))*(VLOOKUP($B126,INDIRECT($B$5&amp;"生成成长"),3))*(VLOOKUP($B$5,标准坦克设计!$B$14:$K$20,9)/30))</f>
        <v>15.058067986477614</v>
      </c>
      <c r="DU126" s="172">
        <f ca="1">(VLOOKUP(DU$72,INDIRECT($C$5&amp;"生成成长"),2))/((VLOOKUP($B126,INDIRECT($B$5&amp;"生成成长"),4))/(VLOOKUP(DU$72,INDIRECT($C$5&amp;"生成成长"),5))*(VLOOKUP($B$5,标准坦克设计!$B$24:$U$30,MATCH("对"&amp;LEFT($C$5,2)&amp;"输出",标准坦克设计!$B$23:$U$23,0)))*(VLOOKUP($B126,INDIRECT($B$5&amp;"生成成长"),3))*(VLOOKUP($B$5,标准坦克设计!$B$14:$K$20,9)/30))</f>
        <v>16.464033839177603</v>
      </c>
      <c r="DV126" s="172">
        <f ca="1">(VLOOKUP(DV$72,INDIRECT($C$5&amp;"生成成长"),2))/((VLOOKUP($B126,INDIRECT($B$5&amp;"生成成长"),4))/(VLOOKUP(DV$72,INDIRECT($C$5&amp;"生成成长"),5))*(VLOOKUP($B$5,标准坦克设计!$B$24:$U$30,MATCH("对"&amp;LEFT($C$5,2)&amp;"输出",标准坦克设计!$B$23:$U$23,0)))*(VLOOKUP($B126,INDIRECT($B$5&amp;"生成成长"),3))*(VLOOKUP($B$5,标准坦克设计!$B$14:$K$20,9)/30))</f>
        <v>17.932740561572114</v>
      </c>
      <c r="DW126" s="172">
        <f ca="1">(VLOOKUP(DW$72,INDIRECT($C$5&amp;"生成成长"),2))/((VLOOKUP($B126,INDIRECT($B$5&amp;"生成成长"),4))/(VLOOKUP(DW$72,INDIRECT($C$5&amp;"生成成长"),5))*(VLOOKUP($B$5,标准坦克设计!$B$24:$U$30,MATCH("对"&amp;LEFT($C$5,2)&amp;"输出",标准坦克设计!$B$23:$U$23,0)))*(VLOOKUP($B126,INDIRECT($B$5&amp;"生成成长"),3))*(VLOOKUP($B$5,标准坦克设计!$B$14:$K$20,9)/30))</f>
        <v>19.464188153661151</v>
      </c>
      <c r="DX126" s="172">
        <f ca="1">(VLOOKUP(DX$72,INDIRECT($C$5&amp;"生成成长"),2))/((VLOOKUP($B126,INDIRECT($B$5&amp;"生成成长"),4))/(VLOOKUP(DX$72,INDIRECT($C$5&amp;"生成成长"),5))*(VLOOKUP($B$5,标准坦克设计!$B$24:$U$30,MATCH("对"&amp;LEFT($C$5,2)&amp;"输出",标准坦克设计!$B$23:$U$23,0)))*(VLOOKUP($B126,INDIRECT($B$5&amp;"生成成长"),3))*(VLOOKUP($B$5,标准坦克设计!$B$14:$K$20,9)/30))</f>
        <v>21.058376615444708</v>
      </c>
      <c r="DY126" s="172">
        <f ca="1">(VLOOKUP(DY$72,INDIRECT($C$5&amp;"生成成长"),2))/((VLOOKUP($B126,INDIRECT($B$5&amp;"生成成长"),4))/(VLOOKUP(DY$72,INDIRECT($C$5&amp;"生成成长"),5))*(VLOOKUP($B$5,标准坦克设计!$B$24:$U$30,MATCH("对"&amp;LEFT($C$5,2)&amp;"输出",标准坦克设计!$B$23:$U$23,0)))*(VLOOKUP($B126,INDIRECT($B$5&amp;"生成成长"),3))*(VLOOKUP($B$5,标准坦克设计!$B$14:$K$20,9)/30))</f>
        <v>9.4580564765532582</v>
      </c>
      <c r="DZ126" s="172">
        <f ca="1">(VLOOKUP(DZ$72,INDIRECT($C$5&amp;"生成成长"),2))/((VLOOKUP($B126,INDIRECT($B$5&amp;"生成成长"),4))/(VLOOKUP(DZ$72,INDIRECT($C$5&amp;"生成成长"),5))*(VLOOKUP($B$5,标准坦克设计!$B$24:$U$30,MATCH("对"&amp;LEFT($C$5,2)&amp;"输出",标准坦克设计!$B$23:$U$23,0)))*(VLOOKUP($B126,INDIRECT($B$5&amp;"生成成长"),3))*(VLOOKUP($B$5,标准坦克设计!$B$14:$K$20,9)/30))</f>
        <v>10.474354861687678</v>
      </c>
      <c r="EA126" s="172">
        <f ca="1">(VLOOKUP(EA$72,INDIRECT($C$5&amp;"生成成长"),2))/((VLOOKUP($B126,INDIRECT($B$5&amp;"生成成长"),4))/(VLOOKUP(EA$72,INDIRECT($C$5&amp;"生成成长"),5))*(VLOOKUP($B$5,标准坦克设计!$B$24:$U$30,MATCH("对"&amp;LEFT($C$5,2)&amp;"输出",标准坦克设计!$B$23:$U$23,0)))*(VLOOKUP($B126,INDIRECT($B$5&amp;"生成成长"),3))*(VLOOKUP($B$5,标准坦克设计!$B$14:$K$20,9)/30))</f>
        <v>11.542505205247325</v>
      </c>
      <c r="EB126" s="172">
        <f ca="1">(VLOOKUP(EB$72,INDIRECT($C$5&amp;"生成成长"),2))/((VLOOKUP($B126,INDIRECT($B$5&amp;"生成成长"),4))/(VLOOKUP(EB$72,INDIRECT($C$5&amp;"生成成长"),5))*(VLOOKUP($B$5,标准坦克设计!$B$24:$U$30,MATCH("对"&amp;LEFT($C$5,2)&amp;"输出",标准坦克设计!$B$23:$U$23,0)))*(VLOOKUP($B126,INDIRECT($B$5&amp;"生成成长"),3))*(VLOOKUP($B$5,标准坦克设计!$B$14:$K$20,9)/30))</f>
        <v>12.662507507232194</v>
      </c>
      <c r="EC126" s="172">
        <f ca="1">(VLOOKUP(EC$72,INDIRECT($C$5&amp;"生成成长"),2))/((VLOOKUP($B126,INDIRECT($B$5&amp;"生成成长"),4))/(VLOOKUP(EC$72,INDIRECT($C$5&amp;"生成成长"),5))*(VLOOKUP($B$5,标准坦克设计!$B$24:$U$30,MATCH("对"&amp;LEFT($C$5,2)&amp;"输出",标准坦克设计!$B$23:$U$23,0)))*(VLOOKUP($B126,INDIRECT($B$5&amp;"生成成长"),3))*(VLOOKUP($B$5,标准坦克设计!$B$14:$K$20,9)/30))</f>
        <v>13.834361767642291</v>
      </c>
      <c r="ED126" s="172">
        <f ca="1">(VLOOKUP(ED$72,INDIRECT($C$5&amp;"生成成长"),2))/((VLOOKUP($B126,INDIRECT($B$5&amp;"生成成长"),4))/(VLOOKUP(ED$72,INDIRECT($C$5&amp;"生成成长"),5))*(VLOOKUP($B$5,标准坦克设计!$B$24:$U$30,MATCH("对"&amp;LEFT($C$5,2)&amp;"输出",标准坦克设计!$B$23:$U$23,0)))*(VLOOKUP($B126,INDIRECT($B$5&amp;"生成成长"),3))*(VLOOKUP($B$5,标准坦克设计!$B$14:$K$20,9)/30))</f>
        <v>15.058067986477614</v>
      </c>
      <c r="EE126" s="172">
        <f ca="1">(VLOOKUP(EE$72,INDIRECT($C$5&amp;"生成成长"),2))/((VLOOKUP($B126,INDIRECT($B$5&amp;"生成成长"),4))/(VLOOKUP(EE$72,INDIRECT($C$5&amp;"生成成长"),5))*(VLOOKUP($B$5,标准坦克设计!$B$24:$U$30,MATCH("对"&amp;LEFT($C$5,2)&amp;"输出",标准坦克设计!$B$23:$U$23,0)))*(VLOOKUP($B126,INDIRECT($B$5&amp;"生成成长"),3))*(VLOOKUP($B$5,标准坦克设计!$B$14:$K$20,9)/30))</f>
        <v>16.333626163738156</v>
      </c>
      <c r="EF126" s="172">
        <f ca="1">(VLOOKUP(EF$72,INDIRECT($C$5&amp;"生成成长"),2))/((VLOOKUP($B126,INDIRECT($B$5&amp;"生成成长"),4))/(VLOOKUP(EF$72,INDIRECT($C$5&amp;"生成成长"),5))*(VLOOKUP($B$5,标准坦克设计!$B$24:$U$30,MATCH("对"&amp;LEFT($C$5,2)&amp;"输出",标准坦克设计!$B$23:$U$23,0)))*(VLOOKUP($B126,INDIRECT($B$5&amp;"生成成长"),3))*(VLOOKUP($B$5,标准坦克设计!$B$14:$K$20,9)/30))</f>
        <v>17.661036299423934</v>
      </c>
      <c r="EG126" s="172">
        <f ca="1">(VLOOKUP(EG$72,INDIRECT($C$5&amp;"生成成长"),2))/((VLOOKUP($B126,INDIRECT($B$5&amp;"生成成长"),4))/(VLOOKUP(EG$72,INDIRECT($C$5&amp;"生成成长"),5))*(VLOOKUP($B$5,标准坦克设计!$B$24:$U$30,MATCH("对"&amp;LEFT($C$5,2)&amp;"输出",标准坦克设计!$B$23:$U$23,0)))*(VLOOKUP($B126,INDIRECT($B$5&amp;"生成成长"),3))*(VLOOKUP($B$5,标准坦克设计!$B$14:$K$20,9)/30))</f>
        <v>19.040298393534933</v>
      </c>
      <c r="EH126" s="172">
        <f ca="1">(VLOOKUP(EH$72,INDIRECT($C$5&amp;"生成成长"),2))/((VLOOKUP($B126,INDIRECT($B$5&amp;"生成成长"),4))/(VLOOKUP(EH$72,INDIRECT($C$5&amp;"生成成长"),5))*(VLOOKUP($B$5,标准坦克设计!$B$24:$U$30,MATCH("对"&amp;LEFT($C$5,2)&amp;"输出",标准坦克设计!$B$23:$U$23,0)))*(VLOOKUP($B126,INDIRECT($B$5&amp;"生成成长"),3))*(VLOOKUP($B$5,标准坦克设计!$B$14:$K$20,9)/30))</f>
        <v>20.471412446071156</v>
      </c>
      <c r="EI126" s="172">
        <f ca="1">(VLOOKUP(EI$72,INDIRECT($C$5&amp;"生成成长"),2))/((VLOOKUP($B126,INDIRECT($B$5&amp;"生成成长"),4))/(VLOOKUP(EI$72,INDIRECT($C$5&amp;"生成成长"),5))*(VLOOKUP($B$5,标准坦克设计!$B$24:$U$30,MATCH("对"&amp;LEFT($C$5,2)&amp;"输出",标准坦克设计!$B$23:$U$23,0)))*(VLOOKUP($B126,INDIRECT($B$5&amp;"生成成长"),3))*(VLOOKUP($B$5,标准坦克设计!$B$14:$K$20,9)/30))</f>
        <v>21.954378457032604</v>
      </c>
      <c r="EJ126" s="172">
        <f ca="1">(VLOOKUP(EJ$72,INDIRECT($C$5&amp;"生成成长"),2))/((VLOOKUP($B126,INDIRECT($B$5&amp;"生成成长"),4))/(VLOOKUP(EJ$72,INDIRECT($C$5&amp;"生成成长"),5))*(VLOOKUP($B$5,标准坦克设计!$B$24:$U$30,MATCH("对"&amp;LEFT($C$5,2)&amp;"输出",标准坦克设计!$B$23:$U$23,0)))*(VLOOKUP($B126,INDIRECT($B$5&amp;"生成成长"),3))*(VLOOKUP($B$5,标准坦克设计!$B$14:$K$20,9)/30))</f>
        <v>23.489196426419277</v>
      </c>
      <c r="EK126" s="172">
        <f ca="1">(VLOOKUP(EK$72,INDIRECT($C$5&amp;"生成成长"),2))/((VLOOKUP($B126,INDIRECT($B$5&amp;"生成成长"),4))/(VLOOKUP(EK$72,INDIRECT($C$5&amp;"生成成长"),5))*(VLOOKUP($B$5,标准坦克设计!$B$24:$U$30,MATCH("对"&amp;LEFT($C$5,2)&amp;"输出",标准坦克设计!$B$23:$U$23,0)))*(VLOOKUP($B126,INDIRECT($B$5&amp;"生成成长"),3))*(VLOOKUP($B$5,标准坦克设计!$B$14:$K$20,9)/30))</f>
        <v>25.399422574804586</v>
      </c>
      <c r="EL126" s="172">
        <f ca="1">(VLOOKUP(EL$72,INDIRECT($C$5&amp;"生成成长"),2))/((VLOOKUP($B126,INDIRECT($B$5&amp;"生成成长"),4))/(VLOOKUP(EL$72,INDIRECT($C$5&amp;"生成成长"),5))*(VLOOKUP($B$5,标准坦克设计!$B$24:$U$30,MATCH("对"&amp;LEFT($C$5,2)&amp;"输出",标准坦克设计!$B$23:$U$23,0)))*(VLOOKUP($B126,INDIRECT($B$5&amp;"生成成长"),3))*(VLOOKUP($B$5,标准坦克设计!$B$14:$K$20,9)/30))</f>
        <v>27.38431554332222</v>
      </c>
      <c r="EM126" s="172">
        <f ca="1">(VLOOKUP(EM$72,INDIRECT($C$5&amp;"生成成长"),2))/((VLOOKUP($B126,INDIRECT($B$5&amp;"生成成长"),4))/(VLOOKUP(EM$72,INDIRECT($C$5&amp;"生成成长"),5))*(VLOOKUP($B$5,标准坦克设计!$B$24:$U$30,MATCH("对"&amp;LEFT($C$5,2)&amp;"输出",标准坦克设计!$B$23:$U$23,0)))*(VLOOKUP($B126,INDIRECT($B$5&amp;"生成成长"),3))*(VLOOKUP($B$5,标准坦克设计!$B$14:$K$20,9)/30))</f>
        <v>29.443875331972173</v>
      </c>
      <c r="EN126" s="172">
        <f ca="1">(VLOOKUP(EN$72,INDIRECT($C$5&amp;"生成成长"),2))/((VLOOKUP($B126,INDIRECT($B$5&amp;"生成成长"),4))/(VLOOKUP(EN$72,INDIRECT($C$5&amp;"生成成长"),5))*(VLOOKUP($B$5,标准坦克设计!$B$24:$U$30,MATCH("对"&amp;LEFT($C$5,2)&amp;"输出",标准坦克设计!$B$23:$U$23,0)))*(VLOOKUP($B126,INDIRECT($B$5&amp;"生成成长"),3))*(VLOOKUP($B$5,标准坦克设计!$B$14:$K$20,9)/30))</f>
        <v>31.578101940754461</v>
      </c>
      <c r="EO126" s="172">
        <f ca="1">(VLOOKUP(EO$72,INDIRECT($C$5&amp;"生成成长"),2))/((VLOOKUP($B126,INDIRECT($B$5&amp;"生成成长"),4))/(VLOOKUP(EO$72,INDIRECT($C$5&amp;"生成成长"),5))*(VLOOKUP($B$5,标准坦克设计!$B$24:$U$30,MATCH("对"&amp;LEFT($C$5,2)&amp;"输出",标准坦克设计!$B$23:$U$23,0)))*(VLOOKUP($B126,INDIRECT($B$5&amp;"生成成长"),3))*(VLOOKUP($B$5,标准坦克设计!$B$14:$K$20,9)/30))</f>
        <v>33.786995369669064</v>
      </c>
      <c r="EP126" s="172">
        <f ca="1">(VLOOKUP(EP$72,INDIRECT($C$5&amp;"生成成长"),2))/((VLOOKUP($B126,INDIRECT($B$5&amp;"生成成长"),4))/(VLOOKUP(EP$72,INDIRECT($C$5&amp;"生成成长"),5))*(VLOOKUP($B$5,标准坦克设计!$B$24:$U$30,MATCH("对"&amp;LEFT($C$5,2)&amp;"输出",标准坦克设计!$B$23:$U$23,0)))*(VLOOKUP($B126,INDIRECT($B$5&amp;"生成成长"),3))*(VLOOKUP($B$5,标准坦克设计!$B$14:$K$20,9)/30))</f>
        <v>36.070555618715993</v>
      </c>
      <c r="EQ126" s="172">
        <f ca="1">(VLOOKUP(EQ$72,INDIRECT($C$5&amp;"生成成长"),2))/((VLOOKUP($B126,INDIRECT($B$5&amp;"生成成长"),4))/(VLOOKUP(EQ$72,INDIRECT($C$5&amp;"生成成长"),5))*(VLOOKUP($B$5,标准坦克设计!$B$24:$U$30,MATCH("对"&amp;LEFT($C$5,2)&amp;"输出",标准坦克设计!$B$23:$U$23,0)))*(VLOOKUP($B126,INDIRECT($B$5&amp;"生成成长"),3))*(VLOOKUP($B$5,标准坦克设计!$B$14:$K$20,9)/30))</f>
        <v>15.945514254925346</v>
      </c>
      <c r="ER126" s="172">
        <f ca="1">(VLOOKUP(ER$72,INDIRECT($C$5&amp;"生成成长"),2))/((VLOOKUP($B126,INDIRECT($B$5&amp;"生成成长"),4))/(VLOOKUP(ER$72,INDIRECT($C$5&amp;"生成成长"),5))*(VLOOKUP($B$5,标准坦克设计!$B$24:$U$30,MATCH("对"&amp;LEFT($C$5,2)&amp;"输出",标准坦克设计!$B$23:$U$23,0)))*(VLOOKUP($B126,INDIRECT($B$5&amp;"生成成长"),3))*(VLOOKUP($B$5,标准坦克设计!$B$14:$K$20,9)/30))</f>
        <v>17.39140611561276</v>
      </c>
      <c r="ES126" s="172">
        <f ca="1">(VLOOKUP(ES$72,INDIRECT($C$5&amp;"生成成长"),2))/((VLOOKUP($B126,INDIRECT($B$5&amp;"生成成长"),4))/(VLOOKUP(ES$72,INDIRECT($C$5&amp;"生成成长"),5))*(VLOOKUP($B$5,标准坦克设计!$B$24:$U$30,MATCH("对"&amp;LEFT($C$5,2)&amp;"输出",标准坦克设计!$B$23:$U$23,0)))*(VLOOKUP($B126,INDIRECT($B$5&amp;"生成成长"),3))*(VLOOKUP($B$5,标准坦克设计!$B$14:$K$20,9)/30))</f>
        <v>18.900038845994697</v>
      </c>
      <c r="ET126" s="172">
        <f ca="1">(VLOOKUP(ET$72,INDIRECT($C$5&amp;"生成成长"),2))/((VLOOKUP($B126,INDIRECT($B$5&amp;"生成成长"),4))/(VLOOKUP(ET$72,INDIRECT($C$5&amp;"生成成长"),5))*(VLOOKUP($B$5,标准坦克设计!$B$24:$U$30,MATCH("对"&amp;LEFT($C$5,2)&amp;"输出",标准坦克设计!$B$23:$U$23,0)))*(VLOOKUP($B126,INDIRECT($B$5&amp;"生成成长"),3))*(VLOOKUP($B$5,标准坦克设计!$B$14:$K$20,9)/30))</f>
        <v>20.471412446071156</v>
      </c>
      <c r="EU126" s="172">
        <f ca="1">(VLOOKUP(EU$72,INDIRECT($C$5&amp;"生成成长"),2))/((VLOOKUP($B126,INDIRECT($B$5&amp;"生成成长"),4))/(VLOOKUP(EU$72,INDIRECT($C$5&amp;"生成成长"),5))*(VLOOKUP($B$5,标准坦克设计!$B$24:$U$30,MATCH("对"&amp;LEFT($C$5,2)&amp;"输出",标准坦克设计!$B$23:$U$23,0)))*(VLOOKUP($B126,INDIRECT($B$5&amp;"生成成长"),3))*(VLOOKUP($B$5,标准坦克设计!$B$14:$K$20,9)/30))</f>
        <v>22.105526915842141</v>
      </c>
      <c r="EV126" s="172">
        <f ca="1">(VLOOKUP(EV$72,INDIRECT($C$5&amp;"生成成长"),2))/((VLOOKUP($B126,INDIRECT($B$5&amp;"生成成长"),4))/(VLOOKUP(EV$72,INDIRECT($C$5&amp;"生成成长"),5))*(VLOOKUP($B$5,标准坦克设计!$B$24:$U$30,MATCH("对"&amp;LEFT($C$5,2)&amp;"输出",标准坦克设计!$B$23:$U$23,0)))*(VLOOKUP($B126,INDIRECT($B$5&amp;"生成成长"),3))*(VLOOKUP($B$5,标准坦克设计!$B$14:$K$20,9)/30))</f>
        <v>23.802382255307641</v>
      </c>
      <c r="EW126" s="172">
        <f ca="1">(VLOOKUP(EW$72,INDIRECT($C$5&amp;"生成成长"),2))/((VLOOKUP($B126,INDIRECT($B$5&amp;"生成成长"),4))/(VLOOKUP(EW$72,INDIRECT($C$5&amp;"生成成长"),5))*(VLOOKUP($B$5,标准坦克设计!$B$24:$U$30,MATCH("对"&amp;LEFT($C$5,2)&amp;"输出",标准坦克设计!$B$23:$U$23,0)))*(VLOOKUP($B126,INDIRECT($B$5&amp;"生成成长"),3))*(VLOOKUP($B$5,标准坦克设计!$B$14:$K$20,9)/30))</f>
        <v>25.561978464467668</v>
      </c>
      <c r="EX126" s="172">
        <f ca="1">(VLOOKUP(EX$72,INDIRECT($C$5&amp;"生成成长"),2))/((VLOOKUP($B126,INDIRECT($B$5&amp;"生成成长"),4))/(VLOOKUP(EX$72,INDIRECT($C$5&amp;"生成成长"),5))*(VLOOKUP($B$5,标准坦克设计!$B$24:$U$30,MATCH("对"&amp;LEFT($C$5,2)&amp;"输出",标准坦克设计!$B$23:$U$23,0)))*(VLOOKUP($B126,INDIRECT($B$5&amp;"生成成长"),3))*(VLOOKUP($B$5,标准坦克设计!$B$14:$K$20,9)/30))</f>
        <v>27.38431554332222</v>
      </c>
      <c r="EY126" s="172">
        <f ca="1">(VLOOKUP(EY$72,INDIRECT($C$5&amp;"生成成长"),2))/((VLOOKUP($B126,INDIRECT($B$5&amp;"生成成长"),4))/(VLOOKUP(EY$72,INDIRECT($C$5&amp;"生成成长"),5))*(VLOOKUP($B$5,标准坦克设计!$B$24:$U$30,MATCH("对"&amp;LEFT($C$5,2)&amp;"输出",标准坦克设计!$B$23:$U$23,0)))*(VLOOKUP($B126,INDIRECT($B$5&amp;"生成成长"),3))*(VLOOKUP($B$5,标准坦克设计!$B$14:$K$20,9)/30))</f>
        <v>29.269393491871291</v>
      </c>
      <c r="EZ126" s="172">
        <f ca="1">(VLOOKUP(EZ$72,INDIRECT($C$5&amp;"生成成长"),2))/((VLOOKUP($B126,INDIRECT($B$5&amp;"生成成长"),4))/(VLOOKUP(EZ$72,INDIRECT($C$5&amp;"生成成长"),5))*(VLOOKUP($B$5,标准坦克设计!$B$24:$U$30,MATCH("对"&amp;LEFT($C$5,2)&amp;"输出",标准坦克设计!$B$23:$U$23,0)))*(VLOOKUP($B126,INDIRECT($B$5&amp;"生成成长"),3))*(VLOOKUP($B$5,标准坦克设计!$B$14:$K$20,9)/30))</f>
        <v>31.217212310114885</v>
      </c>
      <c r="FA126" s="172">
        <f ca="1">(VLOOKUP(FA$72,INDIRECT($C$5&amp;"生成成长"),2))/((VLOOKUP($B126,INDIRECT($B$5&amp;"生成成长"),4))/(VLOOKUP(FA$72,INDIRECT($C$5&amp;"生成成长"),5))*(VLOOKUP($B$5,标准坦克设计!$B$24:$U$30,MATCH("对"&amp;LEFT($C$5,2)&amp;"输出",标准坦克设计!$B$23:$U$23,0)))*(VLOOKUP($B126,INDIRECT($B$5&amp;"生成成长"),3))*(VLOOKUP($B$5,标准坦克设计!$B$14:$K$20,9)/30))</f>
        <v>33.227771998053008</v>
      </c>
      <c r="FB126" s="172">
        <f ca="1">(VLOOKUP(FB$72,INDIRECT($C$5&amp;"生成成长"),2))/((VLOOKUP($B126,INDIRECT($B$5&amp;"生成成长"),4))/(VLOOKUP(FB$72,INDIRECT($C$5&amp;"生成成长"),5))*(VLOOKUP($B$5,标准坦克设计!$B$24:$U$30,MATCH("对"&amp;LEFT($C$5,2)&amp;"输出",标准坦克设计!$B$23:$U$23,0)))*(VLOOKUP($B126,INDIRECT($B$5&amp;"生成成长"),3))*(VLOOKUP($B$5,标准坦克设计!$B$14:$K$20,9)/30))</f>
        <v>35.30107255568565</v>
      </c>
      <c r="FC126" s="172">
        <f ca="1">(VLOOKUP(FC$72,INDIRECT($C$5&amp;"生成成长"),2))/((VLOOKUP($B126,INDIRECT($B$5&amp;"生成成长"),4))/(VLOOKUP(FC$72,INDIRECT($C$5&amp;"生成成长"),5))*(VLOOKUP($B$5,标准坦克设计!$B$24:$U$30,MATCH("对"&amp;LEFT($C$5,2)&amp;"输出",标准坦克设计!$B$23:$U$23,0)))*(VLOOKUP($B126,INDIRECT($B$5&amp;"生成成长"),3))*(VLOOKUP($B$5,标准坦克设计!$B$14:$K$20,9)/30))</f>
        <v>37.437113983012814</v>
      </c>
      <c r="FD126" s="172">
        <f ca="1">(VLOOKUP(FD$72,INDIRECT($C$5&amp;"生成成长"),2))/((VLOOKUP($B126,INDIRECT($B$5&amp;"生成成长"),4))/(VLOOKUP(FD$72,INDIRECT($C$5&amp;"生成成长"),5))*(VLOOKUP($B$5,标准坦克设计!$B$24:$U$30,MATCH("对"&amp;LEFT($C$5,2)&amp;"输出",标准坦克设计!$B$23:$U$23,0)))*(VLOOKUP($B126,INDIRECT($B$5&amp;"生成成长"),3))*(VLOOKUP($B$5,标准坦克设计!$B$14:$K$20,9)/30))</f>
        <v>39.635896280034501</v>
      </c>
      <c r="FE126" s="172">
        <f ca="1">(VLOOKUP(FE$72,INDIRECT($C$5&amp;"生成成长"),2))/((VLOOKUP($B126,INDIRECT($B$5&amp;"生成成长"),4))/(VLOOKUP(FE$72,INDIRECT($C$5&amp;"生成成长"),5))*(VLOOKUP($B$5,标准坦克设计!$B$24:$U$30,MATCH("对"&amp;LEFT($C$5,2)&amp;"输出",标准坦克设计!$B$23:$U$23,0)))*(VLOOKUP($B126,INDIRECT($B$5&amp;"生成成长"),3))*(VLOOKUP($B$5,标准坦克设计!$B$14:$K$20,9)/30))</f>
        <v>42.315346231658026</v>
      </c>
      <c r="FF126" s="172">
        <f ca="1">(VLOOKUP(FF$72,INDIRECT($C$5&amp;"生成成长"),2))/((VLOOKUP($B126,INDIRECT($B$5&amp;"生成成长"),4))/(VLOOKUP(FF$72,INDIRECT($C$5&amp;"生成成长"),5))*(VLOOKUP($B$5,标准坦克设计!$B$24:$U$30,MATCH("对"&amp;LEFT($C$5,2)&amp;"输出",标准坦克设计!$B$23:$U$23,0)))*(VLOOKUP($B126,INDIRECT($B$5&amp;"生成成长"),3))*(VLOOKUP($B$5,标准坦克设计!$B$14:$K$20,9)/30))</f>
        <v>45.082425993020188</v>
      </c>
      <c r="FG126" s="172">
        <f ca="1">(VLOOKUP(FG$72,INDIRECT($C$5&amp;"生成成长"),2))/((VLOOKUP($B126,INDIRECT($B$5&amp;"生成成长"),4))/(VLOOKUP(FG$72,INDIRECT($C$5&amp;"生成成长"),5))*(VLOOKUP($B$5,标准坦克设计!$B$24:$U$30,MATCH("对"&amp;LEFT($C$5,2)&amp;"输出",标准坦克设计!$B$23:$U$23,0)))*(VLOOKUP($B126,INDIRECT($B$5&amp;"生成成长"),3))*(VLOOKUP($B$5,标准坦克设计!$B$14:$K$20,9)/30))</f>
        <v>47.937135564120972</v>
      </c>
      <c r="FH126" s="172">
        <f ca="1">(VLOOKUP(FH$72,INDIRECT($C$5&amp;"生成成长"),2))/((VLOOKUP($B126,INDIRECT($B$5&amp;"生成成长"),4))/(VLOOKUP(FH$72,INDIRECT($C$5&amp;"生成成长"),5))*(VLOOKUP($B$5,标准坦克设计!$B$24:$U$30,MATCH("对"&amp;LEFT($C$5,2)&amp;"输出",标准坦克设计!$B$23:$U$23,0)))*(VLOOKUP($B126,INDIRECT($B$5&amp;"生成成长"),3))*(VLOOKUP($B$5,标准坦克设计!$B$14:$K$20,9)/30))</f>
        <v>50.8794749449604</v>
      </c>
      <c r="FI126" s="172">
        <f ca="1">(VLOOKUP(FI$72,INDIRECT($C$5&amp;"生成成长"),2))/((VLOOKUP($B126,INDIRECT($B$5&amp;"生成成长"),4))/(VLOOKUP(FI$72,INDIRECT($C$5&amp;"生成成长"),5))*(VLOOKUP($B$5,标准坦克设计!$B$24:$U$30,MATCH("对"&amp;LEFT($C$5,2)&amp;"输出",标准坦克设计!$B$23:$U$23,0)))*(VLOOKUP($B126,INDIRECT($B$5&amp;"生成成长"),3))*(VLOOKUP($B$5,标准坦克设计!$B$14:$K$20,9)/30))</f>
        <v>53.90944413553845</v>
      </c>
      <c r="FJ126" s="172">
        <f ca="1">(VLOOKUP(FJ$72,INDIRECT($C$5&amp;"生成成长"),2))/((VLOOKUP($B126,INDIRECT($B$5&amp;"生成成长"),4))/(VLOOKUP(FJ$72,INDIRECT($C$5&amp;"生成成长"),5))*(VLOOKUP($B$5,标准坦克设计!$B$24:$U$30,MATCH("对"&amp;LEFT($C$5,2)&amp;"输出",标准坦克设计!$B$23:$U$23,0)))*(VLOOKUP($B126,INDIRECT($B$5&amp;"生成成长"),3))*(VLOOKUP($B$5,标准坦克设计!$B$14:$K$20,9)/30))</f>
        <v>57.027043135855124</v>
      </c>
      <c r="FK126" s="172">
        <f ca="1">(VLOOKUP(FK$72,INDIRECT($C$5&amp;"生成成长"),2))/((VLOOKUP($B126,INDIRECT($B$5&amp;"生成成长"),4))/(VLOOKUP(FK$72,INDIRECT($C$5&amp;"生成成长"),5))*(VLOOKUP($B$5,标准坦克设计!$B$24:$U$30,MATCH("对"&amp;LEFT($C$5,2)&amp;"输出",标准坦克设计!$B$23:$U$23,0)))*(VLOOKUP($B126,INDIRECT($B$5&amp;"生成成长"),3))*(VLOOKUP($B$5,标准坦克设计!$B$14:$K$20,9)/30))</f>
        <v>60.232271945910455</v>
      </c>
    </row>
    <row r="127" spans="1:167" x14ac:dyDescent="0.15">
      <c r="A127" s="170" t="str">
        <f t="shared" si="11"/>
        <v>T2中品质10级</v>
      </c>
      <c r="B127" s="171">
        <v>20210</v>
      </c>
      <c r="C127" s="172">
        <f ca="1">(VLOOKUP(C$72,INDIRECT($C$5&amp;"生成成长"),2))/((VLOOKUP($B127,INDIRECT($B$5&amp;"生成成长"),4))/(VLOOKUP(C$72,INDIRECT($C$5&amp;"生成成长"),5))*(VLOOKUP($B$5,标准坦克设计!$B$24:$U$30,MATCH("对"&amp;LEFT($C$5,2)&amp;"输出",标准坦克设计!$B$23:$U$23,0)))*(VLOOKUP($B127,INDIRECT($B$5&amp;"生成成长"),3))*(VLOOKUP($B$5,标准坦克设计!$B$14:$K$20,9)/30))</f>
        <v>2.3526952880158221</v>
      </c>
      <c r="D127" s="172">
        <f ca="1">(VLOOKUP(D$72,INDIRECT($C$5&amp;"生成成长"),2))/((VLOOKUP($B127,INDIRECT($B$5&amp;"生成成长"),4))/(VLOOKUP(D$72,INDIRECT($C$5&amp;"生成成长"),5))*(VLOOKUP($B$5,标准坦克设计!$B$24:$U$30,MATCH("对"&amp;LEFT($C$5,2)&amp;"输出",标准坦克设计!$B$23:$U$23,0)))*(VLOOKUP($B127,INDIRECT($B$5&amp;"生成成长"),3))*(VLOOKUP($B$5,标准坦克设计!$B$14:$K$20,9)/30))</f>
        <v>2.6434884256145774</v>
      </c>
      <c r="E127" s="172">
        <f ca="1">(VLOOKUP(E$72,INDIRECT($C$5&amp;"生成成长"),2))/((VLOOKUP($B127,INDIRECT($B$5&amp;"生成成长"),4))/(VLOOKUP(E$72,INDIRECT($C$5&amp;"生成成长"),5))*(VLOOKUP($B$5,标准坦克设计!$B$24:$U$30,MATCH("对"&amp;LEFT($C$5,2)&amp;"输出",标准坦克设计!$B$23:$U$23,0)))*(VLOOKUP($B127,INDIRECT($B$5&amp;"生成成长"),3))*(VLOOKUP($B$5,标准坦克设计!$B$14:$K$20,9)/30))</f>
        <v>2.9512209692870477</v>
      </c>
      <c r="F127" s="172">
        <f ca="1">(VLOOKUP(F$72,INDIRECT($C$5&amp;"生成成长"),2))/((VLOOKUP($B127,INDIRECT($B$5&amp;"生成成长"),4))/(VLOOKUP(F$72,INDIRECT($C$5&amp;"生成成长"),5))*(VLOOKUP($B$5,标准坦克设计!$B$24:$U$30,MATCH("对"&amp;LEFT($C$5,2)&amp;"输出",标准坦克设计!$B$23:$U$23,0)))*(VLOOKUP($B127,INDIRECT($B$5&amp;"生成成长"),3))*(VLOOKUP($B$5,标准坦克设计!$B$14:$K$20,9)/30))</f>
        <v>3.2758929190332307</v>
      </c>
      <c r="G127" s="172">
        <f ca="1">(VLOOKUP(G$72,INDIRECT($C$5&amp;"生成成长"),2))/((VLOOKUP($B127,INDIRECT($B$5&amp;"生成成长"),4))/(VLOOKUP(G$72,INDIRECT($C$5&amp;"生成成长"),5))*(VLOOKUP($B$5,标准坦克设计!$B$24:$U$30,MATCH("对"&amp;LEFT($C$5,2)&amp;"输出",标准坦克设计!$B$23:$U$23,0)))*(VLOOKUP($B127,INDIRECT($B$5&amp;"生成成长"),3))*(VLOOKUP($B$5,标准坦克设计!$B$14:$K$20,9)/30))</f>
        <v>3.6175042748531276</v>
      </c>
      <c r="H127" s="172">
        <f ca="1">(VLOOKUP(H$72,INDIRECT($C$5&amp;"生成成长"),2))/((VLOOKUP($B127,INDIRECT($B$5&amp;"生成成长"),4))/(VLOOKUP(H$72,INDIRECT($C$5&amp;"生成成长"),5))*(VLOOKUP($B$5,标准坦克设计!$B$24:$U$30,MATCH("对"&amp;LEFT($C$5,2)&amp;"输出",标准坦克设计!$B$23:$U$23,0)))*(VLOOKUP($B127,INDIRECT($B$5&amp;"生成成长"),3))*(VLOOKUP($B$5,标准坦克设计!$B$14:$K$20,9)/30))</f>
        <v>3.1657867795540899</v>
      </c>
      <c r="I127" s="172">
        <f ca="1">(VLOOKUP(I$72,INDIRECT($C$5&amp;"生成成长"),2))/((VLOOKUP($B127,INDIRECT($B$5&amp;"生成成长"),4))/(VLOOKUP(I$72,INDIRECT($C$5&amp;"生成成长"),5))*(VLOOKUP($B$5,标准坦克设计!$B$24:$U$30,MATCH("对"&amp;LEFT($C$5,2)&amp;"输出",标准坦克设计!$B$23:$U$23,0)))*(VLOOKUP($B127,INDIRECT($B$5&amp;"生成成长"),3))*(VLOOKUP($B$5,标准坦克设计!$B$14:$K$20,9)/30))</f>
        <v>3.6175042748531276</v>
      </c>
      <c r="J127" s="172">
        <f ca="1">(VLOOKUP(J$72,INDIRECT($C$5&amp;"生成成长"),2))/((VLOOKUP($B127,INDIRECT($B$5&amp;"生成成长"),4))/(VLOOKUP(J$72,INDIRECT($C$5&amp;"生成成长"),5))*(VLOOKUP($B$5,标准坦克设计!$B$24:$U$30,MATCH("对"&amp;LEFT($C$5,2)&amp;"输出",标准坦克设计!$B$23:$U$23,0)))*(VLOOKUP($B127,INDIRECT($B$5&amp;"生成成长"),3))*(VLOOKUP($B$5,标准坦克设计!$B$14:$K$20,9)/30))</f>
        <v>4.0993362698387683</v>
      </c>
      <c r="K127" s="172">
        <f ca="1">(VLOOKUP(K$72,INDIRECT($C$5&amp;"生成成长"),2))/((VLOOKUP($B127,INDIRECT($B$5&amp;"生成成长"),4))/(VLOOKUP(K$72,INDIRECT($C$5&amp;"生成成长"),5))*(VLOOKUP($B$5,标准坦克设计!$B$24:$U$30,MATCH("对"&amp;LEFT($C$5,2)&amp;"输出",标准坦克设计!$B$23:$U$23,0)))*(VLOOKUP($B127,INDIRECT($B$5&amp;"生成成长"),3))*(VLOOKUP($B$5,标准坦克设计!$B$14:$K$20,9)/30))</f>
        <v>4.611282764511011</v>
      </c>
      <c r="L127" s="172">
        <f ca="1">(VLOOKUP(L$72,INDIRECT($C$5&amp;"生成成长"),2))/((VLOOKUP($B127,INDIRECT($B$5&amp;"生成成长"),4))/(VLOOKUP(L$72,INDIRECT($C$5&amp;"生成成长"),5))*(VLOOKUP($B$5,标准坦克设计!$B$24:$U$30,MATCH("对"&amp;LEFT($C$5,2)&amp;"输出",标准坦克设计!$B$23:$U$23,0)))*(VLOOKUP($B127,INDIRECT($B$5&amp;"生成成长"),3))*(VLOOKUP($B$5,标准坦克设计!$B$14:$K$20,9)/30))</f>
        <v>5.1533437588698563</v>
      </c>
      <c r="M127" s="172">
        <f ca="1">(VLOOKUP(M$72,INDIRECT($C$5&amp;"生成成长"),2))/((VLOOKUP($B127,INDIRECT($B$5&amp;"生成成长"),4))/(VLOOKUP(M$72,INDIRECT($C$5&amp;"生成成长"),5))*(VLOOKUP($B$5,标准坦克设计!$B$24:$U$30,MATCH("对"&amp;LEFT($C$5,2)&amp;"输出",标准坦克设计!$B$23:$U$23,0)))*(VLOOKUP($B127,INDIRECT($B$5&amp;"生成成长"),3))*(VLOOKUP($B$5,标准坦克设计!$B$14:$K$20,9)/30))</f>
        <v>5.7255192529153032</v>
      </c>
      <c r="N127" s="172">
        <f ca="1">(VLOOKUP(N$72,INDIRECT($C$5&amp;"生成成长"),2))/((VLOOKUP($B127,INDIRECT($B$5&amp;"生成成长"),4))/(VLOOKUP(N$72,INDIRECT($C$5&amp;"生成成长"),5))*(VLOOKUP($B$5,标准坦克设计!$B$24:$U$30,MATCH("对"&amp;LEFT($C$5,2)&amp;"输出",标准坦克设计!$B$23:$U$23,0)))*(VLOOKUP($B127,INDIRECT($B$5&amp;"生成成长"),3))*(VLOOKUP($B$5,标准坦克设计!$B$14:$K$20,9)/30))</f>
        <v>6.3278092466473552</v>
      </c>
      <c r="O127" s="172">
        <f ca="1">(VLOOKUP(O$72,INDIRECT($C$5&amp;"生成成长"),2))/((VLOOKUP($B127,INDIRECT($B$5&amp;"生成成长"),4))/(VLOOKUP(O$72,INDIRECT($C$5&amp;"生成成长"),5))*(VLOOKUP($B$5,标准坦克设计!$B$24:$U$30,MATCH("对"&amp;LEFT($C$5,2)&amp;"输出",标准坦克设计!$B$23:$U$23,0)))*(VLOOKUP($B127,INDIRECT($B$5&amp;"生成成长"),3))*(VLOOKUP($B$5,标准坦克设计!$B$14:$K$20,9)/30))</f>
        <v>4.8110265944635549</v>
      </c>
      <c r="P127" s="172">
        <f ca="1">(VLOOKUP(P$72,INDIRECT($C$5&amp;"生成成长"),2))/((VLOOKUP($B127,INDIRECT($B$5&amp;"生成成长"),4))/(VLOOKUP(P$72,INDIRECT($C$5&amp;"生成成长"),5))*(VLOOKUP($B$5,标准坦克设计!$B$24:$U$30,MATCH("对"&amp;LEFT($C$5,2)&amp;"输出",标准坦克设计!$B$23:$U$23,0)))*(VLOOKUP($B127,INDIRECT($B$5&amp;"生成成长"),3))*(VLOOKUP($B$5,标准坦克设计!$B$14:$K$20,9)/30))</f>
        <v>5.4356671934317564</v>
      </c>
      <c r="Q127" s="172">
        <f ca="1">(VLOOKUP(Q$72,INDIRECT($C$5&amp;"生成成长"),2))/((VLOOKUP($B127,INDIRECT($B$5&amp;"生成成长"),4))/(VLOOKUP(Q$72,INDIRECT($C$5&amp;"生成成长"),5))*(VLOOKUP($B$5,标准坦克设计!$B$24:$U$30,MATCH("对"&amp;LEFT($C$5,2)&amp;"输出",标准坦克设计!$B$23:$U$23,0)))*(VLOOKUP($B127,INDIRECT($B$5&amp;"生成成长"),3))*(VLOOKUP($B$5,标准坦克设计!$B$14:$K$20,9)/30))</f>
        <v>6.0984214560658128</v>
      </c>
      <c r="R127" s="172">
        <f ca="1">(VLOOKUP(R$72,INDIRECT($C$5&amp;"生成成长"),2))/((VLOOKUP($B127,INDIRECT($B$5&amp;"生成成长"),4))/(VLOOKUP(R$72,INDIRECT($C$5&amp;"生成成长"),5))*(VLOOKUP($B$5,标准坦克设计!$B$24:$U$30,MATCH("对"&amp;LEFT($C$5,2)&amp;"输出",标准坦克设计!$B$23:$U$23,0)))*(VLOOKUP($B127,INDIRECT($B$5&amp;"生成成长"),3))*(VLOOKUP($B$5,标准坦克设计!$B$14:$K$20,9)/30))</f>
        <v>6.7992893823657257</v>
      </c>
      <c r="S127" s="172">
        <f ca="1">(VLOOKUP(S$72,INDIRECT($C$5&amp;"生成成长"),2))/((VLOOKUP($B127,INDIRECT($B$5&amp;"生成成长"),4))/(VLOOKUP(S$72,INDIRECT($C$5&amp;"生成成长"),5))*(VLOOKUP($B$5,标准坦克设计!$B$24:$U$30,MATCH("对"&amp;LEFT($C$5,2)&amp;"输出",标准坦克设计!$B$23:$U$23,0)))*(VLOOKUP($B127,INDIRECT($B$5&amp;"生成成长"),3))*(VLOOKUP($B$5,标准坦克设计!$B$14:$K$20,9)/30))</f>
        <v>7.538270972331496</v>
      </c>
      <c r="T127" s="172">
        <f ca="1">(VLOOKUP(T$72,INDIRECT($C$5&amp;"生成成长"),2))/((VLOOKUP($B127,INDIRECT($B$5&amp;"生成成长"),4))/(VLOOKUP(T$72,INDIRECT($C$5&amp;"生成成长"),5))*(VLOOKUP($B$5,标准坦克设计!$B$24:$U$30,MATCH("对"&amp;LEFT($C$5,2)&amp;"输出",标准坦克设计!$B$23:$U$23,0)))*(VLOOKUP($B127,INDIRECT($B$5&amp;"生成成长"),3))*(VLOOKUP($B$5,标准坦克设计!$B$14:$K$20,9)/30))</f>
        <v>8.3153662259631229</v>
      </c>
      <c r="U127" s="172">
        <f ca="1">(VLOOKUP(U$72,INDIRECT($C$5&amp;"生成成长"),2))/((VLOOKUP($B127,INDIRECT($B$5&amp;"生成成长"),4))/(VLOOKUP(U$72,INDIRECT($C$5&amp;"生成成长"),5))*(VLOOKUP($B$5,标准坦克设计!$B$24:$U$30,MATCH("对"&amp;LEFT($C$5,2)&amp;"输出",标准坦克设计!$B$23:$U$23,0)))*(VLOOKUP($B127,INDIRECT($B$5&amp;"生成成长"),3))*(VLOOKUP($B$5,标准坦克设计!$B$14:$K$20,9)/30))</f>
        <v>9.1305751432606037</v>
      </c>
      <c r="V127" s="172">
        <f ca="1">(VLOOKUP(V$72,INDIRECT($C$5&amp;"生成成长"),2))/((VLOOKUP($B127,INDIRECT($B$5&amp;"生成成长"),4))/(VLOOKUP(V$72,INDIRECT($C$5&amp;"生成成长"),5))*(VLOOKUP($B$5,标准坦克设计!$B$24:$U$30,MATCH("对"&amp;LEFT($C$5,2)&amp;"输出",标准坦克设计!$B$23:$U$23,0)))*(VLOOKUP($B127,INDIRECT($B$5&amp;"生成成长"),3))*(VLOOKUP($B$5,标准坦克设计!$B$14:$K$20,9)/30))</f>
        <v>9.9838977242239437</v>
      </c>
      <c r="W127" s="172">
        <f ca="1">(VLOOKUP(W$72,INDIRECT($C$5&amp;"生成成长"),2))/((VLOOKUP($B127,INDIRECT($B$5&amp;"生成成长"),4))/(VLOOKUP(W$72,INDIRECT($C$5&amp;"生成成长"),5))*(VLOOKUP($B$5,标准坦克设计!$B$24:$U$30,MATCH("对"&amp;LEFT($C$5,2)&amp;"输出",标准坦克设计!$B$23:$U$23,0)))*(VLOOKUP($B127,INDIRECT($B$5&amp;"生成成长"),3))*(VLOOKUP($B$5,标准坦克设计!$B$14:$K$20,9)/30))</f>
        <v>10.875333968853138</v>
      </c>
      <c r="X127" s="172">
        <f ca="1">(VLOOKUP(X$72,INDIRECT($C$5&amp;"生成成长"),2))/((VLOOKUP($B127,INDIRECT($B$5&amp;"生成成长"),4))/(VLOOKUP(X$72,INDIRECT($C$5&amp;"生成成长"),5))*(VLOOKUP($B$5,标准坦克设计!$B$24:$U$30,MATCH("对"&amp;LEFT($C$5,2)&amp;"输出",标准坦克设计!$B$23:$U$23,0)))*(VLOOKUP($B127,INDIRECT($B$5&amp;"生成成长"),3))*(VLOOKUP($B$5,标准坦克设计!$B$14:$K$20,9)/30))</f>
        <v>7.8789412500361866</v>
      </c>
      <c r="Y127" s="172">
        <f ca="1">(VLOOKUP(Y$72,INDIRECT($C$5&amp;"生成成长"),2))/((VLOOKUP($B127,INDIRECT($B$5&amp;"生成成长"),4))/(VLOOKUP(Y$72,INDIRECT($C$5&amp;"生成成长"),5))*(VLOOKUP($B$5,标准坦克设计!$B$24:$U$30,MATCH("对"&amp;LEFT($C$5,2)&amp;"输出",标准坦克设计!$B$23:$U$23,0)))*(VLOOKUP($B127,INDIRECT($B$5&amp;"生成成长"),3))*(VLOOKUP($B$5,标准坦克设计!$B$14:$K$20,9)/30))</f>
        <v>8.7635546783301361</v>
      </c>
      <c r="Z127" s="172">
        <f ca="1">(VLOOKUP(Z$72,INDIRECT($C$5&amp;"生成成长"),2))/((VLOOKUP($B127,INDIRECT($B$5&amp;"生成成长"),4))/(VLOOKUP(Z$72,INDIRECT($C$5&amp;"生成成长"),5))*(VLOOKUP($B$5,标准坦克设计!$B$24:$U$30,MATCH("对"&amp;LEFT($C$5,2)&amp;"输出",标准坦克设计!$B$23:$U$23,0)))*(VLOOKUP($B127,INDIRECT($B$5&amp;"生成成长"),3))*(VLOOKUP($B$5,标准坦克设计!$B$14:$K$20,9)/30))</f>
        <v>9.6952220123844022</v>
      </c>
      <c r="AA127" s="172">
        <f ca="1">(VLOOKUP(AA$72,INDIRECT($C$5&amp;"生成成长"),2))/((VLOOKUP($B127,INDIRECT($B$5&amp;"生成成长"),4))/(VLOOKUP(AA$72,INDIRECT($C$5&amp;"生成成长"),5))*(VLOOKUP($B$5,标准坦克设计!$B$24:$U$30,MATCH("对"&amp;LEFT($C$5,2)&amp;"输出",标准坦克设计!$B$23:$U$23,0)))*(VLOOKUP($B127,INDIRECT($B$5&amp;"生成成长"),3))*(VLOOKUP($B$5,标准坦克设计!$B$14:$K$20,9)/30))</f>
        <v>10.673943252198983</v>
      </c>
      <c r="AB127" s="172">
        <f ca="1">(VLOOKUP(AB$72,INDIRECT($C$5&amp;"生成成长"),2))/((VLOOKUP($B127,INDIRECT($B$5&amp;"生成成长"),4))/(VLOOKUP(AB$72,INDIRECT($C$5&amp;"生成成长"),5))*(VLOOKUP($B$5,标准坦克设计!$B$24:$U$30,MATCH("对"&amp;LEFT($C$5,2)&amp;"输出",标准坦克设计!$B$23:$U$23,0)))*(VLOOKUP($B127,INDIRECT($B$5&amp;"生成成长"),3))*(VLOOKUP($B$5,标准坦克设计!$B$14:$K$20,9)/30))</f>
        <v>11.699718397773884</v>
      </c>
      <c r="AC127" s="172">
        <f ca="1">(VLOOKUP(AC$72,INDIRECT($C$5&amp;"生成成长"),2))/((VLOOKUP($B127,INDIRECT($B$5&amp;"生成成长"),4))/(VLOOKUP(AC$72,INDIRECT($C$5&amp;"生成成长"),5))*(VLOOKUP($B$5,标准坦克设计!$B$24:$U$30,MATCH("对"&amp;LEFT($C$5,2)&amp;"输出",标准坦克设计!$B$23:$U$23,0)))*(VLOOKUP($B127,INDIRECT($B$5&amp;"生成成长"),3))*(VLOOKUP($B$5,标准坦克设计!$B$14:$K$20,9)/30))</f>
        <v>12.772547449109096</v>
      </c>
      <c r="AD127" s="172">
        <f ca="1">(VLOOKUP(AD$72,INDIRECT($C$5&amp;"生成成长"),2))/((VLOOKUP($B127,INDIRECT($B$5&amp;"生成成长"),4))/(VLOOKUP(AD$72,INDIRECT($C$5&amp;"生成成长"),5))*(VLOOKUP($B$5,标准坦克设计!$B$24:$U$30,MATCH("对"&amp;LEFT($C$5,2)&amp;"输出",标准坦克设计!$B$23:$U$23,0)))*(VLOOKUP($B127,INDIRECT($B$5&amp;"生成成长"),3))*(VLOOKUP($B$5,标准坦克设计!$B$14:$K$20,9)/30))</f>
        <v>13.892430406204628</v>
      </c>
      <c r="AE127" s="172">
        <f ca="1">(VLOOKUP(AE$72,INDIRECT($C$5&amp;"生成成长"),2))/((VLOOKUP($B127,INDIRECT($B$5&amp;"生成成长"),4))/(VLOOKUP(AE$72,INDIRECT($C$5&amp;"生成成长"),5))*(VLOOKUP($B$5,标准坦克设计!$B$24:$U$30,MATCH("对"&amp;LEFT($C$5,2)&amp;"输出",标准坦克设计!$B$23:$U$23,0)))*(VLOOKUP($B127,INDIRECT($B$5&amp;"生成成长"),3))*(VLOOKUP($B$5,标准坦克设计!$B$14:$K$20,9)/30))</f>
        <v>15.059367269060475</v>
      </c>
      <c r="AF127" s="172">
        <f ca="1">(VLOOKUP(AF$72,INDIRECT($C$5&amp;"生成成长"),2))/((VLOOKUP($B127,INDIRECT($B$5&amp;"生成成长"),4))/(VLOOKUP(AF$72,INDIRECT($C$5&amp;"生成成长"),5))*(VLOOKUP($B$5,标准坦克设计!$B$24:$U$30,MATCH("对"&amp;LEFT($C$5,2)&amp;"输出",标准坦克设计!$B$23:$U$23,0)))*(VLOOKUP($B127,INDIRECT($B$5&amp;"生成成长"),3))*(VLOOKUP($B$5,标准坦克设计!$B$14:$K$20,9)/30))</f>
        <v>16.273358037676637</v>
      </c>
      <c r="AG127" s="172">
        <f ca="1">(VLOOKUP(AG$72,INDIRECT($C$5&amp;"生成成长"),2))/((VLOOKUP($B127,INDIRECT($B$5&amp;"生成成长"),4))/(VLOOKUP(AG$72,INDIRECT($C$5&amp;"生成成长"),5))*(VLOOKUP($B$5,标准坦克设计!$B$24:$U$30,MATCH("对"&amp;LEFT($C$5,2)&amp;"输出",标准坦克设计!$B$23:$U$23,0)))*(VLOOKUP($B127,INDIRECT($B$5&amp;"生成成长"),3))*(VLOOKUP($B$5,标准坦克设计!$B$14:$K$20,9)/30))</f>
        <v>17.534402712053119</v>
      </c>
      <c r="AH127" s="172">
        <f ca="1">(VLOOKUP(AH$72,INDIRECT($C$5&amp;"生成成长"),2))/((VLOOKUP($B127,INDIRECT($B$5&amp;"生成成长"),4))/(VLOOKUP(AH$72,INDIRECT($C$5&amp;"生成成长"),5))*(VLOOKUP($B$5,标准坦克设计!$B$24:$U$30,MATCH("对"&amp;LEFT($C$5,2)&amp;"输出",标准坦克设计!$B$23:$U$23,0)))*(VLOOKUP($B127,INDIRECT($B$5&amp;"生成成长"),3))*(VLOOKUP($B$5,标准坦克设计!$B$14:$K$20,9)/30))</f>
        <v>18.842501292189915</v>
      </c>
      <c r="AI127" s="172">
        <f ca="1">(VLOOKUP(AI$72,INDIRECT($C$5&amp;"生成成长"),2))/((VLOOKUP($B127,INDIRECT($B$5&amp;"生成成长"),4))/(VLOOKUP(AI$72,INDIRECT($C$5&amp;"生成成长"),5))*(VLOOKUP($B$5,标准坦克设计!$B$24:$U$30,MATCH("对"&amp;LEFT($C$5,2)&amp;"输出",标准坦克设计!$B$23:$U$23,0)))*(VLOOKUP($B127,INDIRECT($B$5&amp;"生成成长"),3))*(VLOOKUP($B$5,标准坦克设计!$B$14:$K$20,9)/30))</f>
        <v>13.326607189436821</v>
      </c>
      <c r="AJ127" s="172">
        <f ca="1">(VLOOKUP(AJ$72,INDIRECT($C$5&amp;"生成成长"),2))/((VLOOKUP($B127,INDIRECT($B$5&amp;"生成成长"),4))/(VLOOKUP(AJ$72,INDIRECT($C$5&amp;"生成成长"),5))*(VLOOKUP($B$5,标准坦克设计!$B$24:$U$30,MATCH("对"&amp;LEFT($C$5,2)&amp;"输出",标准坦克设计!$B$23:$U$23,0)))*(VLOOKUP($B127,INDIRECT($B$5&amp;"生成成长"),3))*(VLOOKUP($B$5,标准坦克设计!$B$14:$K$20,9)/30))</f>
        <v>14.5869460552269</v>
      </c>
      <c r="AK127" s="172">
        <f ca="1">(VLOOKUP(AK$72,INDIRECT($C$5&amp;"生成成长"),2))/((VLOOKUP($B127,INDIRECT($B$5&amp;"生成成长"),4))/(VLOOKUP(AK$72,INDIRECT($C$5&amp;"生成成长"),5))*(VLOOKUP($B$5,标准坦克设计!$B$24:$U$30,MATCH("对"&amp;LEFT($C$5,2)&amp;"输出",标准坦克设计!$B$23:$U$23,0)))*(VLOOKUP($B127,INDIRECT($B$5&amp;"生成成长"),3))*(VLOOKUP($B$5,标准坦克设计!$B$14:$K$20,9)/30))</f>
        <v>15.904220146986956</v>
      </c>
      <c r="AL127" s="172">
        <f ca="1">(VLOOKUP(AL$72,INDIRECT($C$5&amp;"生成成长"),2))/((VLOOKUP($B127,INDIRECT($B$5&amp;"生成成长"),4))/(VLOOKUP(AL$72,INDIRECT($C$5&amp;"生成成长"),5))*(VLOOKUP($B$5,标准坦克设计!$B$24:$U$30,MATCH("对"&amp;LEFT($C$5,2)&amp;"输出",标准坦克设计!$B$23:$U$23,0)))*(VLOOKUP($B127,INDIRECT($B$5&amp;"生成成长"),3))*(VLOOKUP($B$5,标准坦克设计!$B$14:$K$20,9)/30))</f>
        <v>17.278429464717004</v>
      </c>
      <c r="AM127" s="172">
        <f ca="1">(VLOOKUP(AM$72,INDIRECT($C$5&amp;"生成成长"),2))/((VLOOKUP($B127,INDIRECT($B$5&amp;"生成成长"),4))/(VLOOKUP(AM$72,INDIRECT($C$5&amp;"生成成长"),5))*(VLOOKUP($B$5,标准坦克设计!$B$24:$U$30,MATCH("对"&amp;LEFT($C$5,2)&amp;"输出",标准坦克设计!$B$23:$U$23,0)))*(VLOOKUP($B127,INDIRECT($B$5&amp;"生成成长"),3))*(VLOOKUP($B$5,标准坦克设计!$B$14:$K$20,9)/30))</f>
        <v>18.709574008417025</v>
      </c>
      <c r="AN127" s="172">
        <f ca="1">(VLOOKUP(AN$72,INDIRECT($C$5&amp;"生成成长"),2))/((VLOOKUP($B127,INDIRECT($B$5&amp;"生成成长"),4))/(VLOOKUP(AN$72,INDIRECT($C$5&amp;"生成成长"),5))*(VLOOKUP($B$5,标准坦克设计!$B$24:$U$30,MATCH("对"&amp;LEFT($C$5,2)&amp;"输出",标准坦克设计!$B$23:$U$23,0)))*(VLOOKUP($B127,INDIRECT($B$5&amp;"生成成长"),3))*(VLOOKUP($B$5,标准坦克设计!$B$14:$K$20,9)/30))</f>
        <v>20.197653778087034</v>
      </c>
      <c r="AO127" s="172">
        <f ca="1">(VLOOKUP(AO$72,INDIRECT($C$5&amp;"生成成长"),2))/((VLOOKUP($B127,INDIRECT($B$5&amp;"生成成长"),4))/(VLOOKUP(AO$72,INDIRECT($C$5&amp;"生成成长"),5))*(VLOOKUP($B$5,标准坦克设计!$B$24:$U$30,MATCH("对"&amp;LEFT($C$5,2)&amp;"输出",标准坦克设计!$B$23:$U$23,0)))*(VLOOKUP($B127,INDIRECT($B$5&amp;"生成成长"),3))*(VLOOKUP($B$5,标准坦克设计!$B$14:$K$20,9)/30))</f>
        <v>21.742668773727026</v>
      </c>
      <c r="AP127" s="172">
        <f ca="1">(VLOOKUP(AP$72,INDIRECT($C$5&amp;"生成成长"),2))/((VLOOKUP($B127,INDIRECT($B$5&amp;"生成成长"),4))/(VLOOKUP(AP$72,INDIRECT($C$5&amp;"生成成长"),5))*(VLOOKUP($B$5,标准坦克设计!$B$24:$U$30,MATCH("对"&amp;LEFT($C$5,2)&amp;"输出",标准坦克设计!$B$23:$U$23,0)))*(VLOOKUP($B127,INDIRECT($B$5&amp;"生成成长"),3))*(VLOOKUP($B$5,标准坦克设计!$B$14:$K$20,9)/30))</f>
        <v>23.34461899533699</v>
      </c>
      <c r="AQ127" s="172">
        <f ca="1">(VLOOKUP(AQ$72,INDIRECT($C$5&amp;"生成成长"),2))/((VLOOKUP($B127,INDIRECT($B$5&amp;"生成成长"),4))/(VLOOKUP(AQ$72,INDIRECT($C$5&amp;"生成成长"),5))*(VLOOKUP($B$5,标准坦克设计!$B$24:$U$30,MATCH("对"&amp;LEFT($C$5,2)&amp;"输出",标准坦克设计!$B$23:$U$23,0)))*(VLOOKUP($B127,INDIRECT($B$5&amp;"生成成长"),3))*(VLOOKUP($B$5,标准坦克设计!$B$14:$K$20,9)/30))</f>
        <v>25.003504442916952</v>
      </c>
      <c r="AR127" s="172">
        <f ca="1">(VLOOKUP(AR$72,INDIRECT($C$5&amp;"生成成长"),2))/((VLOOKUP($B127,INDIRECT($B$5&amp;"生成成长"),4))/(VLOOKUP(AR$72,INDIRECT($C$5&amp;"生成成长"),5))*(VLOOKUP($B$5,标准坦克设计!$B$24:$U$30,MATCH("对"&amp;LEFT($C$5,2)&amp;"输出",标准坦克设计!$B$23:$U$23,0)))*(VLOOKUP($B127,INDIRECT($B$5&amp;"生成成长"),3))*(VLOOKUP($B$5,标准坦克设计!$B$14:$K$20,9)/30))</f>
        <v>26.719325116466891</v>
      </c>
      <c r="AS127" s="172">
        <f ca="1">(VLOOKUP(AS$72,INDIRECT($C$5&amp;"生成成长"),2))/((VLOOKUP($B127,INDIRECT($B$5&amp;"生成成长"),4))/(VLOOKUP(AS$72,INDIRECT($C$5&amp;"生成成长"),5))*(VLOOKUP($B$5,标准坦克设计!$B$24:$U$30,MATCH("对"&amp;LEFT($C$5,2)&amp;"输出",标准坦克设计!$B$23:$U$23,0)))*(VLOOKUP($B127,INDIRECT($B$5&amp;"生成成长"),3))*(VLOOKUP($B$5,标准坦克设计!$B$14:$K$20,9)/30))</f>
        <v>28.492081015986816</v>
      </c>
      <c r="AT127" s="172">
        <f ca="1">(VLOOKUP(AT$72,INDIRECT($C$5&amp;"生成成长"),2))/((VLOOKUP($B127,INDIRECT($B$5&amp;"生成成长"),4))/(VLOOKUP(AT$72,INDIRECT($C$5&amp;"生成成长"),5))*(VLOOKUP($B$5,标准坦克设计!$B$24:$U$30,MATCH("对"&amp;LEFT($C$5,2)&amp;"输出",标准坦克设计!$B$23:$U$23,0)))*(VLOOKUP($B127,INDIRECT($B$5&amp;"生成成长"),3))*(VLOOKUP($B$5,标准坦克设计!$B$14:$K$20,9)/30))</f>
        <v>30.321772141476714</v>
      </c>
      <c r="AU127" s="172">
        <f ca="1">(VLOOKUP(AU$72,INDIRECT($C$5&amp;"生成成长"),2))/((VLOOKUP($B127,INDIRECT($B$5&amp;"生成成长"),4))/(VLOOKUP(AU$72,INDIRECT($C$5&amp;"生成成长"),5))*(VLOOKUP($B$5,标准坦克设计!$B$24:$U$30,MATCH("对"&amp;LEFT($C$5,2)&amp;"输出",标准坦克设计!$B$23:$U$23,0)))*(VLOOKUP($B127,INDIRECT($B$5&amp;"生成成长"),3))*(VLOOKUP($B$5,标准坦克设计!$B$14:$K$20,9)/30))</f>
        <v>32.208398492936603</v>
      </c>
      <c r="AV127" s="172">
        <f ca="1">(VLOOKUP(AV$72,INDIRECT($C$5&amp;"生成成长"),2))/((VLOOKUP($B127,INDIRECT($B$5&amp;"生成成长"),4))/(VLOOKUP(AV$72,INDIRECT($C$5&amp;"生成成长"),5))*(VLOOKUP($B$5,标准坦克设计!$B$24:$U$30,MATCH("对"&amp;LEFT($C$5,2)&amp;"输出",标准坦克设计!$B$23:$U$23,0)))*(VLOOKUP($B127,INDIRECT($B$5&amp;"生成成长"),3))*(VLOOKUP($B$5,标准坦克设计!$B$14:$K$20,9)/30))</f>
        <v>3.2758929190332307</v>
      </c>
      <c r="AW127" s="172">
        <f ca="1">(VLOOKUP(AW$72,INDIRECT($C$5&amp;"生成成长"),2))/((VLOOKUP($B127,INDIRECT($B$5&amp;"生成成长"),4))/(VLOOKUP(AW$72,INDIRECT($C$5&amp;"生成成长"),5))*(VLOOKUP($B$5,标准坦克设计!$B$24:$U$30,MATCH("对"&amp;LEFT($C$5,2)&amp;"输出",标准坦克设计!$B$23:$U$23,0)))*(VLOOKUP($B127,INDIRECT($B$5&amp;"生成成长"),3))*(VLOOKUP($B$5,标准坦克设计!$B$14:$K$20,9)/30))</f>
        <v>3.7351390392539194</v>
      </c>
      <c r="AX127" s="172">
        <f ca="1">(VLOOKUP(AX$72,INDIRECT($C$5&amp;"生成成长"),2))/((VLOOKUP($B127,INDIRECT($B$5&amp;"生成成长"),4))/(VLOOKUP(AX$72,INDIRECT($C$5&amp;"生成成长"),5))*(VLOOKUP($B$5,标准坦克设计!$B$24:$U$30,MATCH("对"&amp;LEFT($C$5,2)&amp;"输出",标准坦克设计!$B$23:$U$23,0)))*(VLOOKUP($B127,INDIRECT($B$5&amp;"生成成长"),3))*(VLOOKUP($B$5,标准坦克设计!$B$14:$K$20,9)/30))</f>
        <v>4.2244996591612107</v>
      </c>
      <c r="AY127" s="172">
        <f ca="1">(VLOOKUP(AY$72,INDIRECT($C$5&amp;"生成成长"),2))/((VLOOKUP($B127,INDIRECT($B$5&amp;"生成成长"),4))/(VLOOKUP(AY$72,INDIRECT($C$5&amp;"生成成长"),5))*(VLOOKUP($B$5,标准坦克设计!$B$24:$U$30,MATCH("对"&amp;LEFT($C$5,2)&amp;"输出",标准坦克设计!$B$23:$U$23,0)))*(VLOOKUP($B127,INDIRECT($B$5&amp;"生成成长"),3))*(VLOOKUP($B$5,标准坦克设计!$B$14:$K$20,9)/30))</f>
        <v>4.7439747787551036</v>
      </c>
      <c r="AZ127" s="172">
        <f ca="1">(VLOOKUP(AZ$72,INDIRECT($C$5&amp;"生成成长"),2))/((VLOOKUP($B127,INDIRECT($B$5&amp;"生成成长"),4))/(VLOOKUP(AZ$72,INDIRECT($C$5&amp;"生成成长"),5))*(VLOOKUP($B$5,标准坦克设计!$B$24:$U$30,MATCH("对"&amp;LEFT($C$5,2)&amp;"输出",标准坦克设计!$B$23:$U$23,0)))*(VLOOKUP($B127,INDIRECT($B$5&amp;"生成成长"),3))*(VLOOKUP($B$5,标准坦克设计!$B$14:$K$20,9)/30))</f>
        <v>5.2935643980356</v>
      </c>
      <c r="BA127" s="172">
        <f ca="1">(VLOOKUP(BA$72,INDIRECT($C$5&amp;"生成成长"),2))/((VLOOKUP($B127,INDIRECT($B$5&amp;"生成成长"),4))/(VLOOKUP(BA$72,INDIRECT($C$5&amp;"生成成长"),5))*(VLOOKUP($B$5,标准坦克设计!$B$24:$U$30,MATCH("对"&amp;LEFT($C$5,2)&amp;"输出",标准坦克设计!$B$23:$U$23,0)))*(VLOOKUP($B127,INDIRECT($B$5&amp;"生成成长"),3))*(VLOOKUP($B$5,标准坦克设计!$B$14:$K$20,9)/30))</f>
        <v>5.8732685170026988</v>
      </c>
      <c r="BB127" s="172">
        <f ca="1">(VLOOKUP(BB$72,INDIRECT($C$5&amp;"生成成长"),2))/((VLOOKUP($B127,INDIRECT($B$5&amp;"生成成长"),4))/(VLOOKUP(BB$72,INDIRECT($C$5&amp;"生成成长"),5))*(VLOOKUP($B$5,标准坦克设计!$B$24:$U$30,MATCH("对"&amp;LEFT($C$5,2)&amp;"输出",标准坦克设计!$B$23:$U$23,0)))*(VLOOKUP($B127,INDIRECT($B$5&amp;"生成成长"),3))*(VLOOKUP($B$5,标准坦克设计!$B$14:$K$20,9)/30))</f>
        <v>6.4830871356564002</v>
      </c>
      <c r="BC127" s="172">
        <f ca="1">(VLOOKUP(BC$72,INDIRECT($C$5&amp;"生成成长"),2))/((VLOOKUP($B127,INDIRECT($B$5&amp;"生成成长"),4))/(VLOOKUP(BC$72,INDIRECT($C$5&amp;"生成成长"),5))*(VLOOKUP($B$5,标准坦克设计!$B$24:$U$30,MATCH("对"&amp;LEFT($C$5,2)&amp;"输出",标准坦克设计!$B$23:$U$23,0)))*(VLOOKUP($B127,INDIRECT($B$5&amp;"生成成长"),3))*(VLOOKUP($B$5,标准坦克设计!$B$14:$K$20,9)/30))</f>
        <v>7.123020253996704</v>
      </c>
      <c r="BD127" s="172">
        <f ca="1">(VLOOKUP(BD$72,INDIRECT($C$5&amp;"生成成长"),2))/((VLOOKUP($B127,INDIRECT($B$5&amp;"生成成长"),4))/(VLOOKUP(BD$72,INDIRECT($C$5&amp;"生成成长"),5))*(VLOOKUP($B$5,标准坦克设计!$B$24:$U$30,MATCH("对"&amp;LEFT($C$5,2)&amp;"输出",标准坦克设计!$B$23:$U$23,0)))*(VLOOKUP($B127,INDIRECT($B$5&amp;"生成成长"),3))*(VLOOKUP($B$5,标准坦克设计!$B$14:$K$20,9)/30))</f>
        <v>7.8789412500361866</v>
      </c>
      <c r="BE127" s="172">
        <f ca="1">(VLOOKUP(BE$72,INDIRECT($C$5&amp;"生成成长"),2))/((VLOOKUP($B127,INDIRECT($B$5&amp;"生成成长"),4))/(VLOOKUP(BE$72,INDIRECT($C$5&amp;"生成成长"),5))*(VLOOKUP($B$5,标准坦克设计!$B$24:$U$30,MATCH("对"&amp;LEFT($C$5,2)&amp;"输出",标准坦克设计!$B$23:$U$23,0)))*(VLOOKUP($B127,INDIRECT($B$5&amp;"生成成长"),3))*(VLOOKUP($B$5,标准坦克设计!$B$14:$K$20,9)/30))</f>
        <v>8.6729759097415275</v>
      </c>
      <c r="BF127" s="172">
        <f ca="1">(VLOOKUP(BF$72,INDIRECT($C$5&amp;"生成成长"),2))/((VLOOKUP($B127,INDIRECT($B$5&amp;"生成成长"),4))/(VLOOKUP(BF$72,INDIRECT($C$5&amp;"生成成长"),5))*(VLOOKUP($B$5,标准坦克设计!$B$24:$U$30,MATCH("对"&amp;LEFT($C$5,2)&amp;"输出",标准坦克设计!$B$23:$U$23,0)))*(VLOOKUP($B127,INDIRECT($B$5&amp;"生成成长"),3))*(VLOOKUP($B$5,标准坦克设计!$B$14:$K$20,9)/30))</f>
        <v>9.5051242331127241</v>
      </c>
      <c r="BG127" s="172">
        <f ca="1">(VLOOKUP(BG$72,INDIRECT($C$5&amp;"生成成长"),2))/((VLOOKUP($B127,INDIRECT($B$5&amp;"生成成长"),4))/(VLOOKUP(BG$72,INDIRECT($C$5&amp;"生成成长"),5))*(VLOOKUP($B$5,标准坦克设计!$B$24:$U$30,MATCH("对"&amp;LEFT($C$5,2)&amp;"输出",标准坦克设计!$B$23:$U$23,0)))*(VLOOKUP($B127,INDIRECT($B$5&amp;"生成成长"),3))*(VLOOKUP($B$5,标准坦克设计!$B$14:$K$20,9)/30))</f>
        <v>10.375386220149775</v>
      </c>
      <c r="BH127" s="172">
        <f ca="1">(VLOOKUP(BH$72,INDIRECT($C$5&amp;"生成成长"),2))/((VLOOKUP($B127,INDIRECT($B$5&amp;"生成成长"),4))/(VLOOKUP(BH$72,INDIRECT($C$5&amp;"生成成长"),5))*(VLOOKUP($B$5,标准坦克设计!$B$24:$U$30,MATCH("对"&amp;LEFT($C$5,2)&amp;"输出",标准坦克设计!$B$23:$U$23,0)))*(VLOOKUP($B127,INDIRECT($B$5&amp;"生成成长"),3))*(VLOOKUP($B$5,标准坦克设计!$B$14:$K$20,9)/30))</f>
        <v>5.0150052759345263</v>
      </c>
      <c r="BI127" s="172">
        <f ca="1">(VLOOKUP(BI$72,INDIRECT($C$5&amp;"生成成长"),2))/((VLOOKUP($B127,INDIRECT($B$5&amp;"生成成长"),4))/(VLOOKUP(BI$72,INDIRECT($C$5&amp;"生成成长"),5))*(VLOOKUP($B$5,标准坦克设计!$B$24:$U$30,MATCH("对"&amp;LEFT($C$5,2)&amp;"输出",标准坦克设计!$B$23:$U$23,0)))*(VLOOKUP($B127,INDIRECT($B$5&amp;"生成成长"),3))*(VLOOKUP($B$5,标准坦克设计!$B$14:$K$20,9)/30))</f>
        <v>5.6523504294580125</v>
      </c>
      <c r="BJ127" s="172">
        <f ca="1">(VLOOKUP(BJ$72,INDIRECT($C$5&amp;"生成成长"),2))/((VLOOKUP($B127,INDIRECT($B$5&amp;"生成成长"),4))/(VLOOKUP(BJ$72,INDIRECT($C$5&amp;"生成成长"),5))*(VLOOKUP($B$5,标准坦克设计!$B$24:$U$30,MATCH("对"&amp;LEFT($C$5,2)&amp;"输出",标准坦克设计!$B$23:$U$23,0)))*(VLOOKUP($B127,INDIRECT($B$5&amp;"生成成长"),3))*(VLOOKUP($B$5,标准坦克设计!$B$14:$K$20,9)/30))</f>
        <v>6.3278092466473552</v>
      </c>
      <c r="BK127" s="172">
        <f ca="1">(VLOOKUP(BK$72,INDIRECT($C$5&amp;"生成成长"),2))/((VLOOKUP($B127,INDIRECT($B$5&amp;"生成成长"),4))/(VLOOKUP(BK$72,INDIRECT($C$5&amp;"生成成长"),5))*(VLOOKUP($B$5,标准坦克设计!$B$24:$U$30,MATCH("对"&amp;LEFT($C$5,2)&amp;"输出",标准坦克设计!$B$23:$U$23,0)))*(VLOOKUP($B127,INDIRECT($B$5&amp;"生成成长"),3))*(VLOOKUP($B$5,标准坦克设计!$B$14:$K$20,9)/30))</f>
        <v>7.0413817275025545</v>
      </c>
      <c r="BL127" s="172">
        <f ca="1">(VLOOKUP(BL$72,INDIRECT($C$5&amp;"生成成长"),2))/((VLOOKUP($B127,INDIRECT($B$5&amp;"生成成长"),4))/(VLOOKUP(BL$72,INDIRECT($C$5&amp;"生成成长"),5))*(VLOOKUP($B$5,标准坦克设计!$B$24:$U$30,MATCH("对"&amp;LEFT($C$5,2)&amp;"输出",标准坦克设计!$B$23:$U$23,0)))*(VLOOKUP($B127,INDIRECT($B$5&amp;"生成成长"),3))*(VLOOKUP($B$5,标准坦克设计!$B$14:$K$20,9)/30))</f>
        <v>7.7930678720236086</v>
      </c>
      <c r="BM127" s="172">
        <f ca="1">(VLOOKUP(BM$72,INDIRECT($C$5&amp;"生成成长"),2))/((VLOOKUP($B127,INDIRECT($B$5&amp;"生成成长"),4))/(VLOOKUP(BM$72,INDIRECT($C$5&amp;"生成成长"),5))*(VLOOKUP($B$5,标准坦克设计!$B$24:$U$30,MATCH("对"&amp;LEFT($C$5,2)&amp;"输出",标准坦克设计!$B$23:$U$23,0)))*(VLOOKUP($B127,INDIRECT($B$5&amp;"生成成长"),3))*(VLOOKUP($B$5,标准坦克设计!$B$14:$K$20,9)/30))</f>
        <v>8.5828676802105228</v>
      </c>
      <c r="BN127" s="172">
        <f ca="1">(VLOOKUP(BN$72,INDIRECT($C$5&amp;"生成成长"),2))/((VLOOKUP($B127,INDIRECT($B$5&amp;"生成成长"),4))/(VLOOKUP(BN$72,INDIRECT($C$5&amp;"生成成长"),5))*(VLOOKUP($B$5,标准坦克设计!$B$24:$U$30,MATCH("对"&amp;LEFT($C$5,2)&amp;"输出",标准坦克设计!$B$23:$U$23,0)))*(VLOOKUP($B127,INDIRECT($B$5&amp;"生成成长"),3))*(VLOOKUP($B$5,标准坦克设计!$B$14:$K$20,9)/30))</f>
        <v>9.4107811520632882</v>
      </c>
      <c r="BO127" s="172">
        <f ca="1">(VLOOKUP(BO$72,INDIRECT($C$5&amp;"生成成长"),2))/((VLOOKUP($B127,INDIRECT($B$5&amp;"生成成长"),4))/(VLOOKUP(BO$72,INDIRECT($C$5&amp;"生成成长"),5))*(VLOOKUP($B$5,标准坦克设计!$B$24:$U$30,MATCH("对"&amp;LEFT($C$5,2)&amp;"输出",标准坦克设计!$B$23:$U$23,0)))*(VLOOKUP($B127,INDIRECT($B$5&amp;"生成成长"),3))*(VLOOKUP($B$5,标准坦克设计!$B$14:$K$20,9)/30))</f>
        <v>10.276808287581911</v>
      </c>
      <c r="BP127" s="172">
        <f ca="1">(VLOOKUP(BP$72,INDIRECT($C$5&amp;"生成成长"),2))/((VLOOKUP($B127,INDIRECT($B$5&amp;"生成成长"),4))/(VLOOKUP(BP$72,INDIRECT($C$5&amp;"生成成长"),5))*(VLOOKUP($B$5,标准坦克设计!$B$24:$U$30,MATCH("对"&amp;LEFT($C$5,2)&amp;"输出",标准坦克设计!$B$23:$U$23,0)))*(VLOOKUP($B127,INDIRECT($B$5&amp;"生成成长"),3))*(VLOOKUP($B$5,标准坦克设计!$B$14:$K$20,9)/30))</f>
        <v>11.180949086766395</v>
      </c>
      <c r="BQ127" s="172">
        <f ca="1">(VLOOKUP(BQ$72,INDIRECT($C$5&amp;"生成成长"),2))/((VLOOKUP($B127,INDIRECT($B$5&amp;"生成成长"),4))/(VLOOKUP(BQ$72,INDIRECT($C$5&amp;"生成成长"),5))*(VLOOKUP($B$5,标准坦克设计!$B$24:$U$30,MATCH("对"&amp;LEFT($C$5,2)&amp;"输出",标准坦克设计!$B$23:$U$23,0)))*(VLOOKUP($B127,INDIRECT($B$5&amp;"生成成长"),3))*(VLOOKUP($B$5,标准坦克设计!$B$14:$K$20,9)/30))</f>
        <v>12.123203549616727</v>
      </c>
      <c r="BR127" s="172">
        <f ca="1">(VLOOKUP(BR$72,INDIRECT($C$5&amp;"生成成长"),2))/((VLOOKUP($B127,INDIRECT($B$5&amp;"生成成长"),4))/(VLOOKUP(BR$72,INDIRECT($C$5&amp;"生成成长"),5))*(VLOOKUP($B$5,标准坦克设计!$B$24:$U$30,MATCH("对"&amp;LEFT($C$5,2)&amp;"输出",标准坦克设计!$B$23:$U$23,0)))*(VLOOKUP($B127,INDIRECT($B$5&amp;"生成成长"),3))*(VLOOKUP($B$5,标准坦克设计!$B$14:$K$20,9)/30))</f>
        <v>13.214854163256071</v>
      </c>
      <c r="BS127" s="172">
        <f ca="1">(VLOOKUP(BS$72,INDIRECT($C$5&amp;"生成成长"),2))/((VLOOKUP($B127,INDIRECT($B$5&amp;"生成成长"),4))/(VLOOKUP(BS$72,INDIRECT($C$5&amp;"生成成长"),5))*(VLOOKUP($B$5,标准坦克设计!$B$24:$U$30,MATCH("对"&amp;LEFT($C$5,2)&amp;"输出",标准坦克设计!$B$23:$U$23,0)))*(VLOOKUP($B127,INDIRECT($B$5&amp;"生成成长"),3))*(VLOOKUP($B$5,标准坦克设计!$B$14:$K$20,9)/30))</f>
        <v>14.353558682655729</v>
      </c>
      <c r="BT127" s="172">
        <f ca="1">(VLOOKUP(BT$72,INDIRECT($C$5&amp;"生成成长"),2))/((VLOOKUP($B127,INDIRECT($B$5&amp;"生成成长"),4))/(VLOOKUP(BT$72,INDIRECT($C$5&amp;"生成成长"),5))*(VLOOKUP($B$5,标准坦克设计!$B$24:$U$30,MATCH("对"&amp;LEFT($C$5,2)&amp;"输出",标准坦克设计!$B$23:$U$23,0)))*(VLOOKUP($B127,INDIRECT($B$5&amp;"生成成长"),3))*(VLOOKUP($B$5,标准坦克设计!$B$14:$K$20,9)/30))</f>
        <v>15.539317107815704</v>
      </c>
      <c r="BU127" s="172">
        <f ca="1">(VLOOKUP(BU$72,INDIRECT($C$5&amp;"生成成长"),2))/((VLOOKUP($B127,INDIRECT($B$5&amp;"生成成长"),4))/(VLOOKUP(BU$72,INDIRECT($C$5&amp;"生成成长"),5))*(VLOOKUP($B$5,标准坦克设计!$B$24:$U$30,MATCH("对"&amp;LEFT($C$5,2)&amp;"输出",标准坦克设计!$B$23:$U$23,0)))*(VLOOKUP($B127,INDIRECT($B$5&amp;"生成成长"),3))*(VLOOKUP($B$5,标准坦克设计!$B$14:$K$20,9)/30))</f>
        <v>16.772129438735995</v>
      </c>
      <c r="BV127" s="172">
        <f ca="1">(VLOOKUP(BV$72,INDIRECT($C$5&amp;"生成成长"),2))/((VLOOKUP($B127,INDIRECT($B$5&amp;"生成成长"),4))/(VLOOKUP(BV$72,INDIRECT($C$5&amp;"生成成长"),5))*(VLOOKUP($B$5,标准坦克设计!$B$24:$U$30,MATCH("对"&amp;LEFT($C$5,2)&amp;"输出",标准坦克设计!$B$23:$U$23,0)))*(VLOOKUP($B127,INDIRECT($B$5&amp;"生成成长"),3))*(VLOOKUP($B$5,标准坦克设计!$B$14:$K$20,9)/30))</f>
        <v>18.051995675416602</v>
      </c>
      <c r="BW127" s="172">
        <f ca="1">(VLOOKUP(BW$72,INDIRECT($C$5&amp;"生成成长"),2))/((VLOOKUP($B127,INDIRECT($B$5&amp;"生成成长"),4))/(VLOOKUP(BW$72,INDIRECT($C$5&amp;"生成成长"),5))*(VLOOKUP($B$5,标准坦克设计!$B$24:$U$30,MATCH("对"&amp;LEFT($C$5,2)&amp;"输出",标准坦克设计!$B$23:$U$23,0)))*(VLOOKUP($B127,INDIRECT($B$5&amp;"生成成长"),3))*(VLOOKUP($B$5,标准坦克设计!$B$14:$K$20,9)/30))</f>
        <v>8.2271401526625265</v>
      </c>
      <c r="BX127" s="172">
        <f ca="1">(VLOOKUP(BX$72,INDIRECT($C$5&amp;"生成成长"),2))/((VLOOKUP($B127,INDIRECT($B$5&amp;"生成成长"),4))/(VLOOKUP(BX$72,INDIRECT($C$5&amp;"生成成长"),5))*(VLOOKUP($B$5,标准坦克设计!$B$24:$U$30,MATCH("对"&amp;LEFT($C$5,2)&amp;"输出",标准坦克设计!$B$23:$U$23,0)))*(VLOOKUP($B127,INDIRECT($B$5&amp;"生成成长"),3))*(VLOOKUP($B$5,标准坦克设计!$B$14:$K$20,9)/30))</f>
        <v>9.1305751432606037</v>
      </c>
      <c r="BY127" s="172">
        <f ca="1">(VLOOKUP(BY$72,INDIRECT($C$5&amp;"生成成长"),2))/((VLOOKUP($B127,INDIRECT($B$5&amp;"生成成长"),4))/(VLOOKUP(BY$72,INDIRECT($C$5&amp;"生成成长"),5))*(VLOOKUP($B$5,标准坦克设计!$B$24:$U$30,MATCH("对"&amp;LEFT($C$5,2)&amp;"输出",标准坦克设计!$B$23:$U$23,0)))*(VLOOKUP($B127,INDIRECT($B$5&amp;"生成成长"),3))*(VLOOKUP($B$5,标准坦克设计!$B$14:$K$20,9)/30))</f>
        <v>10.081064039618997</v>
      </c>
      <c r="BZ127" s="172">
        <f ca="1">(VLOOKUP(BZ$72,INDIRECT($C$5&amp;"生成成长"),2))/((VLOOKUP($B127,INDIRECT($B$5&amp;"生成成长"),4))/(VLOOKUP(BZ$72,INDIRECT($C$5&amp;"生成成长"),5))*(VLOOKUP($B$5,标准坦克设计!$B$24:$U$30,MATCH("对"&amp;LEFT($C$5,2)&amp;"输出",标准坦克设计!$B$23:$U$23,0)))*(VLOOKUP($B127,INDIRECT($B$5&amp;"生成成长"),3))*(VLOOKUP($B$5,标准坦克设计!$B$14:$K$20,9)/30))</f>
        <v>11.078606841737704</v>
      </c>
      <c r="CA127" s="172">
        <f ca="1">(VLOOKUP(CA$72,INDIRECT($C$5&amp;"生成成长"),2))/((VLOOKUP($B127,INDIRECT($B$5&amp;"生成成长"),4))/(VLOOKUP(CA$72,INDIRECT($C$5&amp;"生成成长"),5))*(VLOOKUP($B$5,标准坦克设计!$B$24:$U$30,MATCH("对"&amp;LEFT($C$5,2)&amp;"输出",标准坦克设计!$B$23:$U$23,0)))*(VLOOKUP($B127,INDIRECT($B$5&amp;"生成成长"),3))*(VLOOKUP($B$5,标准坦克设计!$B$14:$K$20,9)/30))</f>
        <v>12.123203549616727</v>
      </c>
      <c r="CB127" s="172">
        <f ca="1">(VLOOKUP(CB$72,INDIRECT($C$5&amp;"生成成长"),2))/((VLOOKUP($B127,INDIRECT($B$5&amp;"生成成长"),4))/(VLOOKUP(CB$72,INDIRECT($C$5&amp;"生成成长"),5))*(VLOOKUP($B$5,标准坦克设计!$B$24:$U$30,MATCH("对"&amp;LEFT($C$5,2)&amp;"输出",标准坦克设计!$B$23:$U$23,0)))*(VLOOKUP($B127,INDIRECT($B$5&amp;"生成成长"),3))*(VLOOKUP($B$5,标准坦克设计!$B$14:$K$20,9)/30))</f>
        <v>13.214854163256071</v>
      </c>
      <c r="CC127" s="172">
        <f ca="1">(VLOOKUP(CC$72,INDIRECT($C$5&amp;"生成成长"),2))/((VLOOKUP($B127,INDIRECT($B$5&amp;"生成成长"),4))/(VLOOKUP(CC$72,INDIRECT($C$5&amp;"生成成长"),5))*(VLOOKUP($B$5,标准坦克设计!$B$24:$U$30,MATCH("对"&amp;LEFT($C$5,2)&amp;"输出",标准坦克设计!$B$23:$U$23,0)))*(VLOOKUP($B127,INDIRECT($B$5&amp;"生成成长"),3))*(VLOOKUP($B$5,标准坦克设计!$B$14:$K$20,9)/30))</f>
        <v>14.353558682655729</v>
      </c>
      <c r="CD127" s="172">
        <f ca="1">(VLOOKUP(CD$72,INDIRECT($C$5&amp;"生成成长"),2))/((VLOOKUP($B127,INDIRECT($B$5&amp;"生成成长"),4))/(VLOOKUP(CD$72,INDIRECT($C$5&amp;"生成成长"),5))*(VLOOKUP($B$5,标准坦克设计!$B$24:$U$30,MATCH("对"&amp;LEFT($C$5,2)&amp;"输出",标准坦克设计!$B$23:$U$23,0)))*(VLOOKUP($B127,INDIRECT($B$5&amp;"生成成长"),3))*(VLOOKUP($B$5,标准坦克设计!$B$14:$K$20,9)/30))</f>
        <v>15.539317107815704</v>
      </c>
      <c r="CE127" s="172">
        <f ca="1">(VLOOKUP(CE$72,INDIRECT($C$5&amp;"生成成长"),2))/((VLOOKUP($B127,INDIRECT($B$5&amp;"生成成长"),4))/(VLOOKUP(CE$72,INDIRECT($C$5&amp;"生成成长"),5))*(VLOOKUP($B$5,标准坦克设计!$B$24:$U$30,MATCH("对"&amp;LEFT($C$5,2)&amp;"输出",标准坦克设计!$B$23:$U$23,0)))*(VLOOKUP($B127,INDIRECT($B$5&amp;"生成成长"),3))*(VLOOKUP($B$5,标准坦克设计!$B$14:$K$20,9)/30))</f>
        <v>16.772129438735995</v>
      </c>
      <c r="CF127" s="172">
        <f ca="1">(VLOOKUP(CF$72,INDIRECT($C$5&amp;"生成成长"),2))/((VLOOKUP($B127,INDIRECT($B$5&amp;"生成成长"),4))/(VLOOKUP(CF$72,INDIRECT($C$5&amp;"生成成长"),5))*(VLOOKUP($B$5,标准坦克设计!$B$24:$U$30,MATCH("对"&amp;LEFT($C$5,2)&amp;"输出",标准坦克设计!$B$23:$U$23,0)))*(VLOOKUP($B127,INDIRECT($B$5&amp;"生成成长"),3))*(VLOOKUP($B$5,标准坦克设计!$B$14:$K$20,9)/30))</f>
        <v>18.051995675416602</v>
      </c>
      <c r="CG127" s="172">
        <f ca="1">(VLOOKUP(CG$72,INDIRECT($C$5&amp;"生成成长"),2))/((VLOOKUP($B127,INDIRECT($B$5&amp;"生成成长"),4))/(VLOOKUP(CG$72,INDIRECT($C$5&amp;"生成成长"),5))*(VLOOKUP($B$5,标准坦克设计!$B$24:$U$30,MATCH("对"&amp;LEFT($C$5,2)&amp;"输出",标准坦克设计!$B$23:$U$23,0)))*(VLOOKUP($B127,INDIRECT($B$5&amp;"生成成长"),3))*(VLOOKUP($B$5,标准坦克设计!$B$14:$K$20,9)/30))</f>
        <v>19.378915817857521</v>
      </c>
      <c r="CH127" s="172">
        <f ca="1">(VLOOKUP(CH$72,INDIRECT($C$5&amp;"生成成长"),2))/((VLOOKUP($B127,INDIRECT($B$5&amp;"生成成长"),4))/(VLOOKUP(CH$72,INDIRECT($C$5&amp;"生成成长"),5))*(VLOOKUP($B$5,标准坦克设计!$B$24:$U$30,MATCH("对"&amp;LEFT($C$5,2)&amp;"输出",标准坦克设计!$B$23:$U$23,0)))*(VLOOKUP($B127,INDIRECT($B$5&amp;"生成成长"),3))*(VLOOKUP($B$5,标准坦克设计!$B$14:$K$20,9)/30))</f>
        <v>20.752889866058762</v>
      </c>
      <c r="CI127" s="172">
        <f ca="1">(VLOOKUP(CI$72,INDIRECT($C$5&amp;"生成成长"),2))/((VLOOKUP($B127,INDIRECT($B$5&amp;"生成成长"),4))/(VLOOKUP(CI$72,INDIRECT($C$5&amp;"生成成长"),5))*(VLOOKUP($B$5,标准坦克设计!$B$24:$U$30,MATCH("对"&amp;LEFT($C$5,2)&amp;"输出",标准坦克设计!$B$23:$U$23,0)))*(VLOOKUP($B127,INDIRECT($B$5&amp;"生成成长"),3))*(VLOOKUP($B$5,标准坦克设计!$B$14:$K$20,9)/30))</f>
        <v>22.318608580233295</v>
      </c>
      <c r="CJ127" s="172">
        <f ca="1">(VLOOKUP(CJ$72,INDIRECT($C$5&amp;"生成成长"),2))/((VLOOKUP($B127,INDIRECT($B$5&amp;"生成成长"),4))/(VLOOKUP(CJ$72,INDIRECT($C$5&amp;"生成成长"),5))*(VLOOKUP($B$5,标准坦克设计!$B$24:$U$30,MATCH("对"&amp;LEFT($C$5,2)&amp;"输出",标准坦克设计!$B$23:$U$23,0)))*(VLOOKUP($B127,INDIRECT($B$5&amp;"生成成长"),3))*(VLOOKUP($B$5,标准坦克设计!$B$14:$K$20,9)/30))</f>
        <v>23.941262520377808</v>
      </c>
      <c r="CK127" s="172">
        <f ca="1">(VLOOKUP(CK$72,INDIRECT($C$5&amp;"生成成长"),2))/((VLOOKUP($B127,INDIRECT($B$5&amp;"生成成长"),4))/(VLOOKUP(CK$72,INDIRECT($C$5&amp;"生成成长"),5))*(VLOOKUP($B$5,标准坦克设计!$B$24:$U$30,MATCH("对"&amp;LEFT($C$5,2)&amp;"输出",标准坦克设计!$B$23:$U$23,0)))*(VLOOKUP($B127,INDIRECT($B$5&amp;"生成成长"),3))*(VLOOKUP($B$5,标准坦克设计!$B$14:$K$20,9)/30))</f>
        <v>25.620851686492305</v>
      </c>
      <c r="CL127" s="172">
        <f ca="1">(VLOOKUP(CL$72,INDIRECT($C$5&amp;"生成成长"),2))/((VLOOKUP($B127,INDIRECT($B$5&amp;"生成成长"),4))/(VLOOKUP(CL$72,INDIRECT($C$5&amp;"生成成长"),5))*(VLOOKUP($B$5,标准坦克设计!$B$24:$U$30,MATCH("对"&amp;LEFT($C$5,2)&amp;"输出",标准坦克设计!$B$23:$U$23,0)))*(VLOOKUP($B127,INDIRECT($B$5&amp;"生成成长"),3))*(VLOOKUP($B$5,标准坦克设计!$B$14:$K$20,9)/30))</f>
        <v>27.357376078576777</v>
      </c>
      <c r="CM127" s="172">
        <f ca="1">(VLOOKUP(CM$72,INDIRECT($C$5&amp;"生成成长"),2))/((VLOOKUP($B127,INDIRECT($B$5&amp;"生成成长"),4))/(VLOOKUP(CM$72,INDIRECT($C$5&amp;"生成成长"),5))*(VLOOKUP($B$5,标准坦克设计!$B$24:$U$30,MATCH("对"&amp;LEFT($C$5,2)&amp;"输出",标准坦克设计!$B$23:$U$23,0)))*(VLOOKUP($B127,INDIRECT($B$5&amp;"生成成长"),3))*(VLOOKUP($B$5,标准坦克设计!$B$14:$K$20,9)/30))</f>
        <v>29.150835696631244</v>
      </c>
      <c r="CN127" s="172">
        <f ca="1">(VLOOKUP(CN$72,INDIRECT($C$5&amp;"生成成长"),2))/((VLOOKUP($B127,INDIRECT($B$5&amp;"生成成长"),4))/(VLOOKUP(CN$72,INDIRECT($C$5&amp;"生成成长"),5))*(VLOOKUP($B$5,标准坦克设计!$B$24:$U$30,MATCH("对"&amp;LEFT($C$5,2)&amp;"输出",标准坦克设计!$B$23:$U$23,0)))*(VLOOKUP($B127,INDIRECT($B$5&amp;"生成成长"),3))*(VLOOKUP($B$5,标准坦克设计!$B$14:$K$20,9)/30))</f>
        <v>31.001230540655687</v>
      </c>
      <c r="CO127" s="172">
        <f ca="1">(VLOOKUP(CO$72,INDIRECT($C$5&amp;"生成成长"),2))/((VLOOKUP($B127,INDIRECT($B$5&amp;"生成成长"),4))/(VLOOKUP(CO$72,INDIRECT($C$5&amp;"生成成长"),5))*(VLOOKUP($B$5,标准坦克设计!$B$24:$U$30,MATCH("对"&amp;LEFT($C$5,2)&amp;"输出",标准坦克设计!$B$23:$U$23,0)))*(VLOOKUP($B127,INDIRECT($B$5&amp;"生成成长"),3))*(VLOOKUP($B$5,标准坦克设计!$B$14:$K$20,9)/30))</f>
        <v>13.892430406204628</v>
      </c>
      <c r="CP127" s="172">
        <f ca="1">(VLOOKUP(CP$72,INDIRECT($C$5&amp;"生成成长"),2))/((VLOOKUP($B127,INDIRECT($B$5&amp;"生成成长"),4))/(VLOOKUP(CP$72,INDIRECT($C$5&amp;"生成成长"),5))*(VLOOKUP($B$5,标准坦克设计!$B$24:$U$30,MATCH("对"&amp;LEFT($C$5,2)&amp;"输出",标准坦克设计!$B$23:$U$23,0)))*(VLOOKUP($B127,INDIRECT($B$5&amp;"生成成长"),3))*(VLOOKUP($B$5,标准坦克设计!$B$14:$K$20,9)/30))</f>
        <v>15.17864892016288</v>
      </c>
      <c r="CQ127" s="172">
        <f ca="1">(VLOOKUP(CQ$72,INDIRECT($C$5&amp;"生成成长"),2))/((VLOOKUP($B127,INDIRECT($B$5&amp;"生成成长"),4))/(VLOOKUP(CQ$72,INDIRECT($C$5&amp;"生成成长"),5))*(VLOOKUP($B$5,标准坦克设计!$B$24:$U$30,MATCH("对"&amp;LEFT($C$5,2)&amp;"输出",标准坦克设计!$B$23:$U$23,0)))*(VLOOKUP($B127,INDIRECT($B$5&amp;"生成成长"),3))*(VLOOKUP($B$5,标准坦克设计!$B$14:$K$20,9)/30))</f>
        <v>16.521802660091112</v>
      </c>
      <c r="CR127" s="172">
        <f ca="1">(VLOOKUP(CR$72,INDIRECT($C$5&amp;"生成成长"),2))/((VLOOKUP($B127,INDIRECT($B$5&amp;"生成成长"),4))/(VLOOKUP(CR$72,INDIRECT($C$5&amp;"生成成长"),5))*(VLOOKUP($B$5,标准坦克设计!$B$24:$U$30,MATCH("对"&amp;LEFT($C$5,2)&amp;"输出",标准坦克设计!$B$23:$U$23,0)))*(VLOOKUP($B127,INDIRECT($B$5&amp;"生成成长"),3))*(VLOOKUP($B$5,标准坦克设计!$B$14:$K$20,9)/30))</f>
        <v>17.921891625989332</v>
      </c>
      <c r="CS127" s="172">
        <f ca="1">(VLOOKUP(CS$72,INDIRECT($C$5&amp;"生成成长"),2))/((VLOOKUP($B127,INDIRECT($B$5&amp;"生成成长"),4))/(VLOOKUP(CS$72,INDIRECT($C$5&amp;"生成成长"),5))*(VLOOKUP($B$5,标准坦克设计!$B$24:$U$30,MATCH("对"&amp;LEFT($C$5,2)&amp;"输出",标准坦克设计!$B$23:$U$23,0)))*(VLOOKUP($B127,INDIRECT($B$5&amp;"生成成长"),3))*(VLOOKUP($B$5,标准坦克设计!$B$14:$K$20,9)/30))</f>
        <v>19.378915817857521</v>
      </c>
      <c r="CT127" s="172">
        <f ca="1">(VLOOKUP(CT$72,INDIRECT($C$5&amp;"生成成长"),2))/((VLOOKUP($B127,INDIRECT($B$5&amp;"生成成长"),4))/(VLOOKUP(CT$72,INDIRECT($C$5&amp;"生成成长"),5))*(VLOOKUP($B$5,标准坦克设计!$B$24:$U$30,MATCH("对"&amp;LEFT($C$5,2)&amp;"输出",标准坦克设计!$B$23:$U$23,0)))*(VLOOKUP($B127,INDIRECT($B$5&amp;"生成成长"),3))*(VLOOKUP($B$5,标准坦克设计!$B$14:$K$20,9)/30))</f>
        <v>20.892875235695708</v>
      </c>
      <c r="CU127" s="172">
        <f ca="1">(VLOOKUP(CU$72,INDIRECT($C$5&amp;"生成成长"),2))/((VLOOKUP($B127,INDIRECT($B$5&amp;"生成成长"),4))/(VLOOKUP(CU$72,INDIRECT($C$5&amp;"生成成长"),5))*(VLOOKUP($B$5,标准坦克设计!$B$24:$U$30,MATCH("对"&amp;LEFT($C$5,2)&amp;"输出",标准坦克设计!$B$23:$U$23,0)))*(VLOOKUP($B127,INDIRECT($B$5&amp;"生成成长"),3))*(VLOOKUP($B$5,标准坦克设计!$B$14:$K$20,9)/30))</f>
        <v>22.463769879503875</v>
      </c>
      <c r="CV127" s="172">
        <f ca="1">(VLOOKUP(CV$72,INDIRECT($C$5&amp;"生成成长"),2))/((VLOOKUP($B127,INDIRECT($B$5&amp;"生成成长"),4))/(VLOOKUP(CV$72,INDIRECT($C$5&amp;"生成成长"),5))*(VLOOKUP($B$5,标准坦克设计!$B$24:$U$30,MATCH("对"&amp;LEFT($C$5,2)&amp;"输出",标准坦克设计!$B$23:$U$23,0)))*(VLOOKUP($B127,INDIRECT($B$5&amp;"生成成长"),3))*(VLOOKUP($B$5,标准坦克设计!$B$14:$K$20,9)/30))</f>
        <v>24.091599749282022</v>
      </c>
      <c r="CW127" s="172">
        <f ca="1">(VLOOKUP(CW$72,INDIRECT($C$5&amp;"生成成长"),2))/((VLOOKUP($B127,INDIRECT($B$5&amp;"生成成长"),4))/(VLOOKUP(CW$72,INDIRECT($C$5&amp;"生成成长"),5))*(VLOOKUP($B$5,标准坦克设计!$B$24:$U$30,MATCH("对"&amp;LEFT($C$5,2)&amp;"输出",标准坦克设计!$B$23:$U$23,0)))*(VLOOKUP($B127,INDIRECT($B$5&amp;"生成成长"),3))*(VLOOKUP($B$5,标准坦克设计!$B$14:$K$20,9)/30))</f>
        <v>25.776364845030148</v>
      </c>
      <c r="CX127" s="172">
        <f ca="1">(VLOOKUP(CX$72,INDIRECT($C$5&amp;"生成成长"),2))/((VLOOKUP($B127,INDIRECT($B$5&amp;"生成成长"),4))/(VLOOKUP(CX$72,INDIRECT($C$5&amp;"生成成长"),5))*(VLOOKUP($B$5,标准坦克设计!$B$24:$U$30,MATCH("对"&amp;LEFT($C$5,2)&amp;"输出",标准坦克设计!$B$23:$U$23,0)))*(VLOOKUP($B127,INDIRECT($B$5&amp;"生成成长"),3))*(VLOOKUP($B$5,标准坦克设计!$B$14:$K$20,9)/30))</f>
        <v>27.518065166748261</v>
      </c>
      <c r="CY127" s="172">
        <f ca="1">(VLOOKUP(CY$72,INDIRECT($C$5&amp;"生成成长"),2))/((VLOOKUP($B127,INDIRECT($B$5&amp;"生成成长"),4))/(VLOOKUP(CY$72,INDIRECT($C$5&amp;"生成成长"),5))*(VLOOKUP($B$5,标准坦克设计!$B$24:$U$30,MATCH("对"&amp;LEFT($C$5,2)&amp;"输出",标准坦克设计!$B$23:$U$23,0)))*(VLOOKUP($B127,INDIRECT($B$5&amp;"生成成长"),3))*(VLOOKUP($B$5,标准坦克设计!$B$14:$K$20,9)/30))</f>
        <v>29.316700714436358</v>
      </c>
      <c r="CZ127" s="172">
        <f ca="1">(VLOOKUP(CZ$72,INDIRECT($C$5&amp;"生成成长"),2))/((VLOOKUP($B127,INDIRECT($B$5&amp;"生成成长"),4))/(VLOOKUP(CZ$72,INDIRECT($C$5&amp;"生成成长"),5))*(VLOOKUP($B$5,标准坦克设计!$B$24:$U$30,MATCH("对"&amp;LEFT($C$5,2)&amp;"输出",标准坦克设计!$B$23:$U$23,0)))*(VLOOKUP($B127,INDIRECT($B$5&amp;"生成成长"),3))*(VLOOKUP($B$5,标准坦克设计!$B$14:$K$20,9)/30))</f>
        <v>31.172271488094434</v>
      </c>
      <c r="DA127" s="172">
        <f ca="1">(VLOOKUP(DA$72,INDIRECT($C$5&amp;"生成成长"),2))/((VLOOKUP($B127,INDIRECT($B$5&amp;"生成成长"),4))/(VLOOKUP(DA$72,INDIRECT($C$5&amp;"生成成长"),5))*(VLOOKUP($B$5,标准坦克设计!$B$24:$U$30,MATCH("对"&amp;LEFT($C$5,2)&amp;"输出",标准坦克设计!$B$23:$U$23,0)))*(VLOOKUP($B127,INDIRECT($B$5&amp;"生成成长"),3))*(VLOOKUP($B$5,标准坦克设计!$B$14:$K$20,9)/30))</f>
        <v>33.084777487722505</v>
      </c>
      <c r="DB127" s="172">
        <f ca="1">(VLOOKUP(DB$72,INDIRECT($C$5&amp;"生成成长"),2))/((VLOOKUP($B127,INDIRECT($B$5&amp;"生成成长"),4))/(VLOOKUP(DB$72,INDIRECT($C$5&amp;"生成成长"),5))*(VLOOKUP($B$5,标准坦克设计!$B$24:$U$30,MATCH("对"&amp;LEFT($C$5,2)&amp;"输出",标准坦克设计!$B$23:$U$23,0)))*(VLOOKUP($B127,INDIRECT($B$5&amp;"生成成长"),3))*(VLOOKUP($B$5,标准坦克设计!$B$14:$K$20,9)/30))</f>
        <v>35.054218713320545</v>
      </c>
      <c r="DC127" s="172">
        <f ca="1">(VLOOKUP(DC$72,INDIRECT($C$5&amp;"生成成长"),2))/((VLOOKUP($B127,INDIRECT($B$5&amp;"生成成长"),4))/(VLOOKUP(DC$72,INDIRECT($C$5&amp;"生成成长"),5))*(VLOOKUP($B$5,标准坦克设计!$B$24:$U$30,MATCH("对"&amp;LEFT($C$5,2)&amp;"输出",标准坦克设计!$B$23:$U$23,0)))*(VLOOKUP($B127,INDIRECT($B$5&amp;"生成成长"),3))*(VLOOKUP($B$5,标准坦克设计!$B$14:$K$20,9)/30))</f>
        <v>37.267634440285832</v>
      </c>
      <c r="DD127" s="172">
        <f ca="1">(VLOOKUP(DD$72,INDIRECT($C$5&amp;"生成成长"),2))/((VLOOKUP($B127,INDIRECT($B$5&amp;"生成成长"),4))/(VLOOKUP(DD$72,INDIRECT($C$5&amp;"生成成长"),5))*(VLOOKUP($B$5,标准坦克设计!$B$24:$U$30,MATCH("对"&amp;LEFT($C$5,2)&amp;"输出",标准坦克设计!$B$23:$U$23,0)))*(VLOOKUP($B127,INDIRECT($B$5&amp;"生成成长"),3))*(VLOOKUP($B$5,标准坦克设计!$B$14:$K$20,9)/30))</f>
        <v>39.548807791545975</v>
      </c>
      <c r="DE127" s="172">
        <f ca="1">(VLOOKUP(DE$72,INDIRECT($C$5&amp;"生成成长"),2))/((VLOOKUP($B127,INDIRECT($B$5&amp;"生成成长"),4))/(VLOOKUP(DE$72,INDIRECT($C$5&amp;"生成成长"),5))*(VLOOKUP($B$5,标准坦克设计!$B$24:$U$30,MATCH("对"&amp;LEFT($C$5,2)&amp;"输出",标准坦克设计!$B$23:$U$23,0)))*(VLOOKUP($B127,INDIRECT($B$5&amp;"生成成长"),3))*(VLOOKUP($B$5,标准坦克设计!$B$14:$K$20,9)/30))</f>
        <v>41.897738767100975</v>
      </c>
      <c r="DF127" s="172">
        <f ca="1">(VLOOKUP(DF$72,INDIRECT($C$5&amp;"生成成长"),2))/((VLOOKUP($B127,INDIRECT($B$5&amp;"生成成长"),4))/(VLOOKUP(DF$72,INDIRECT($C$5&amp;"生成成长"),5))*(VLOOKUP($B$5,标准坦克设计!$B$24:$U$30,MATCH("对"&amp;LEFT($C$5,2)&amp;"输出",标准坦克设计!$B$23:$U$23,0)))*(VLOOKUP($B127,INDIRECT($B$5&amp;"生成成长"),3))*(VLOOKUP($B$5,标准坦克设计!$B$14:$K$20,9)/30))</f>
        <v>44.314427366950817</v>
      </c>
      <c r="DG127" s="172">
        <f ca="1">(VLOOKUP(DG$72,INDIRECT($C$5&amp;"生成成长"),2))/((VLOOKUP($B127,INDIRECT($B$5&amp;"生成成长"),4))/(VLOOKUP(DG$72,INDIRECT($C$5&amp;"生成成长"),5))*(VLOOKUP($B$5,标准坦克设计!$B$24:$U$30,MATCH("对"&amp;LEFT($C$5,2)&amp;"输出",标准坦克设计!$B$23:$U$23,0)))*(VLOOKUP($B127,INDIRECT($B$5&amp;"生成成长"),3))*(VLOOKUP($B$5,标准坦克设计!$B$14:$K$20,9)/30))</f>
        <v>46.798873591095536</v>
      </c>
      <c r="DH127" s="172">
        <f ca="1">(VLOOKUP(DH$72,INDIRECT($C$5&amp;"生成成长"),2))/((VLOOKUP($B127,INDIRECT($B$5&amp;"生成成长"),4))/(VLOOKUP(DH$72,INDIRECT($C$5&amp;"生成成长"),5))*(VLOOKUP($B$5,标准坦克设计!$B$24:$U$30,MATCH("对"&amp;LEFT($C$5,2)&amp;"输出",标准坦克设计!$B$23:$U$23,0)))*(VLOOKUP($B127,INDIRECT($B$5&amp;"生成成长"),3))*(VLOOKUP($B$5,标准坦克设计!$B$14:$K$20,9)/30))</f>
        <v>49.351077439535104</v>
      </c>
      <c r="DI127" s="172">
        <f ca="1">(VLOOKUP(DI$72,INDIRECT($C$5&amp;"生成成长"),2))/((VLOOKUP($B127,INDIRECT($B$5&amp;"生成成长"),4))/(VLOOKUP(DI$72,INDIRECT($C$5&amp;"生成成长"),5))*(VLOOKUP($B$5,标准坦克设计!$B$24:$U$30,MATCH("对"&amp;LEFT($C$5,2)&amp;"输出",标准坦克设计!$B$23:$U$23,0)))*(VLOOKUP($B127,INDIRECT($B$5&amp;"生成成长"),3))*(VLOOKUP($B$5,标准坦克设计!$B$14:$K$20,9)/30))</f>
        <v>51.971038912269513</v>
      </c>
      <c r="DJ127" s="172">
        <f ca="1">(VLOOKUP(DJ$72,INDIRECT($C$5&amp;"生成成长"),2))/((VLOOKUP($B127,INDIRECT($B$5&amp;"生成成长"),4))/(VLOOKUP(DJ$72,INDIRECT($C$5&amp;"生成成长"),5))*(VLOOKUP($B$5,标准坦克设计!$B$24:$U$30,MATCH("对"&amp;LEFT($C$5,2)&amp;"输出",标准坦克设计!$B$23:$U$23,0)))*(VLOOKUP($B127,INDIRECT($B$5&amp;"生成成长"),3))*(VLOOKUP($B$5,标准坦克设计!$B$14:$K$20,9)/30))</f>
        <v>5.2232188089239271</v>
      </c>
      <c r="DK127" s="172">
        <f ca="1">(VLOOKUP(DK$72,INDIRECT($C$5&amp;"生成成长"),2))/((VLOOKUP($B127,INDIRECT($B$5&amp;"生成成长"),4))/(VLOOKUP(DK$72,INDIRECT($C$5&amp;"生成成长"),5))*(VLOOKUP($B$5,标准坦克设计!$B$24:$U$30,MATCH("对"&amp;LEFT($C$5,2)&amp;"输出",标准坦克设计!$B$23:$U$23,0)))*(VLOOKUP($B127,INDIRECT($B$5&amp;"生成成长"),3))*(VLOOKUP($B$5,标准坦克设计!$B$14:$K$20,9)/30))</f>
        <v>5.8732685170026988</v>
      </c>
      <c r="DL127" s="172">
        <f ca="1">(VLOOKUP(DL$72,INDIRECT($C$5&amp;"生成成长"),2))/((VLOOKUP($B127,INDIRECT($B$5&amp;"生成成长"),4))/(VLOOKUP(DL$72,INDIRECT($C$5&amp;"生成成长"),5))*(VLOOKUP($B$5,标准坦克设计!$B$24:$U$30,MATCH("对"&amp;LEFT($C$5,2)&amp;"输出",标准坦克设计!$B$23:$U$23,0)))*(VLOOKUP($B127,INDIRECT($B$5&amp;"生成成长"),3))*(VLOOKUP($B$5,标准坦克设计!$B$14:$K$20,9)/30))</f>
        <v>6.5614318887473262</v>
      </c>
      <c r="DM127" s="172">
        <f ca="1">(VLOOKUP(DM$72,INDIRECT($C$5&amp;"生成成长"),2))/((VLOOKUP($B127,INDIRECT($B$5&amp;"生成成长"),4))/(VLOOKUP(DM$72,INDIRECT($C$5&amp;"生成成长"),5))*(VLOOKUP($B$5,标准坦克设计!$B$24:$U$30,MATCH("对"&amp;LEFT($C$5,2)&amp;"输出",标准坦克设计!$B$23:$U$23,0)))*(VLOOKUP($B127,INDIRECT($B$5&amp;"生成成长"),3))*(VLOOKUP($B$5,标准坦克设计!$B$14:$K$20,9)/30))</f>
        <v>7.287708924157811</v>
      </c>
      <c r="DN127" s="172">
        <f ca="1">(VLOOKUP(DN$72,INDIRECT($C$5&amp;"生成成长"),2))/((VLOOKUP($B127,INDIRECT($B$5&amp;"生成成长"),4))/(VLOOKUP(DN$72,INDIRECT($C$5&amp;"生成成长"),5))*(VLOOKUP($B$5,标准坦克设计!$B$24:$U$30,MATCH("对"&amp;LEFT($C$5,2)&amp;"输出",标准坦克设计!$B$23:$U$23,0)))*(VLOOKUP($B127,INDIRECT($B$5&amp;"生成成长"),3))*(VLOOKUP($B$5,标准坦克设计!$B$14:$K$20,9)/30))</f>
        <v>8.0520996232341506</v>
      </c>
      <c r="DO127" s="172">
        <f ca="1">(VLOOKUP(DO$72,INDIRECT($C$5&amp;"生成成长"),2))/((VLOOKUP($B127,INDIRECT($B$5&amp;"生成成长"),4))/(VLOOKUP(DO$72,INDIRECT($C$5&amp;"生成成长"),5))*(VLOOKUP($B$5,标准坦克设计!$B$24:$U$30,MATCH("对"&amp;LEFT($C$5,2)&amp;"输出",标准坦克设计!$B$23:$U$23,0)))*(VLOOKUP($B127,INDIRECT($B$5&amp;"生成成长"),3))*(VLOOKUP($B$5,标准坦克设计!$B$14:$K$20,9)/30))</f>
        <v>8.8546039859763468</v>
      </c>
      <c r="DP127" s="172">
        <f ca="1">(VLOOKUP(DP$72,INDIRECT($C$5&amp;"生成成长"),2))/((VLOOKUP($B127,INDIRECT($B$5&amp;"生成成长"),4))/(VLOOKUP(DP$72,INDIRECT($C$5&amp;"生成成长"),5))*(VLOOKUP($B$5,标准坦克设计!$B$24:$U$30,MATCH("对"&amp;LEFT($C$5,2)&amp;"输出",标准坦克设计!$B$23:$U$23,0)))*(VLOOKUP($B127,INDIRECT($B$5&amp;"生成成长"),3))*(VLOOKUP($B$5,标准坦克设计!$B$14:$K$20,9)/30))</f>
        <v>9.6952220123844022</v>
      </c>
      <c r="DQ127" s="172">
        <f ca="1">(VLOOKUP(DQ$72,INDIRECT($C$5&amp;"生成成长"),2))/((VLOOKUP($B127,INDIRECT($B$5&amp;"生成成长"),4))/(VLOOKUP(DQ$72,INDIRECT($C$5&amp;"生成成长"),5))*(VLOOKUP($B$5,标准坦克设计!$B$24:$U$30,MATCH("对"&amp;LEFT($C$5,2)&amp;"输出",标准坦克设计!$B$23:$U$23,0)))*(VLOOKUP($B127,INDIRECT($B$5&amp;"生成成长"),3))*(VLOOKUP($B$5,标准坦克设计!$B$14:$K$20,9)/30))</f>
        <v>10.57395370245831</v>
      </c>
      <c r="DR127" s="172">
        <f ca="1">(VLOOKUP(DR$72,INDIRECT($C$5&amp;"生成成长"),2))/((VLOOKUP($B127,INDIRECT($B$5&amp;"生成成长"),4))/(VLOOKUP(DR$72,INDIRECT($C$5&amp;"生成成长"),5))*(VLOOKUP($B$5,标准坦克设计!$B$24:$U$30,MATCH("对"&amp;LEFT($C$5,2)&amp;"输出",标准坦克设计!$B$23:$U$23,0)))*(VLOOKUP($B127,INDIRECT($B$5&amp;"生成成长"),3))*(VLOOKUP($B$5,标准坦克设计!$B$14:$K$20,9)/30))</f>
        <v>11.490799056198078</v>
      </c>
      <c r="DS127" s="172">
        <f ca="1">(VLOOKUP(DS$72,INDIRECT($C$5&amp;"生成成长"),2))/((VLOOKUP($B127,INDIRECT($B$5&amp;"生成成长"),4))/(VLOOKUP(DS$72,INDIRECT($C$5&amp;"生成成长"),5))*(VLOOKUP($B$5,标准坦克设计!$B$24:$U$30,MATCH("对"&amp;LEFT($C$5,2)&amp;"输出",标准坦克设计!$B$23:$U$23,0)))*(VLOOKUP($B127,INDIRECT($B$5&amp;"生成成长"),3))*(VLOOKUP($B$5,标准坦克设计!$B$14:$K$20,9)/30))</f>
        <v>12.445758073603699</v>
      </c>
      <c r="DT127" s="172">
        <f ca="1">(VLOOKUP(DT$72,INDIRECT($C$5&amp;"生成成长"),2))/((VLOOKUP($B127,INDIRECT($B$5&amp;"生成成长"),4))/(VLOOKUP(DT$72,INDIRECT($C$5&amp;"生成成长"),5))*(VLOOKUP($B$5,标准坦克设计!$B$24:$U$30,MATCH("对"&amp;LEFT($C$5,2)&amp;"输出",标准坦克设计!$B$23:$U$23,0)))*(VLOOKUP($B127,INDIRECT($B$5&amp;"生成成长"),3))*(VLOOKUP($B$5,标准坦克设计!$B$14:$K$20,9)/30))</f>
        <v>13.664689502324697</v>
      </c>
      <c r="DU127" s="172">
        <f ca="1">(VLOOKUP(DU$72,INDIRECT($C$5&amp;"生成成长"),2))/((VLOOKUP($B127,INDIRECT($B$5&amp;"生成成长"),4))/(VLOOKUP(DU$72,INDIRECT($C$5&amp;"生成成长"),5))*(VLOOKUP($B$5,标准坦克设计!$B$24:$U$30,MATCH("对"&amp;LEFT($C$5,2)&amp;"输出",标准坦克设计!$B$23:$U$23,0)))*(VLOOKUP($B127,INDIRECT($B$5&amp;"生成成长"),3))*(VLOOKUP($B$5,标准坦克设计!$B$14:$K$20,9)/30))</f>
        <v>14.940556157015678</v>
      </c>
      <c r="DV127" s="172">
        <f ca="1">(VLOOKUP(DV$72,INDIRECT($C$5&amp;"生成成长"),2))/((VLOOKUP($B127,INDIRECT($B$5&amp;"生成成长"),4))/(VLOOKUP(DV$72,INDIRECT($C$5&amp;"生成成长"),5))*(VLOOKUP($B$5,标准坦克设计!$B$24:$U$30,MATCH("对"&amp;LEFT($C$5,2)&amp;"输出",标准坦克设计!$B$23:$U$23,0)))*(VLOOKUP($B127,INDIRECT($B$5&amp;"生成成长"),3))*(VLOOKUP($B$5,标准坦克设计!$B$14:$K$20,9)/30))</f>
        <v>16.273358037676637</v>
      </c>
      <c r="DW127" s="172">
        <f ca="1">(VLOOKUP(DW$72,INDIRECT($C$5&amp;"生成成长"),2))/((VLOOKUP($B127,INDIRECT($B$5&amp;"生成成长"),4))/(VLOOKUP(DW$72,INDIRECT($C$5&amp;"生成成长"),5))*(VLOOKUP($B$5,标准坦克设计!$B$24:$U$30,MATCH("对"&amp;LEFT($C$5,2)&amp;"输出",标准坦克设计!$B$23:$U$23,0)))*(VLOOKUP($B127,INDIRECT($B$5&amp;"生成成长"),3))*(VLOOKUP($B$5,标准坦克设计!$B$14:$K$20,9)/30))</f>
        <v>17.663095144307587</v>
      </c>
      <c r="DX127" s="172">
        <f ca="1">(VLOOKUP(DX$72,INDIRECT($C$5&amp;"生成成长"),2))/((VLOOKUP($B127,INDIRECT($B$5&amp;"生成成长"),4))/(VLOOKUP(DX$72,INDIRECT($C$5&amp;"生成成长"),5))*(VLOOKUP($B$5,标准坦克设计!$B$24:$U$30,MATCH("对"&amp;LEFT($C$5,2)&amp;"输出",标准坦克设计!$B$23:$U$23,0)))*(VLOOKUP($B127,INDIRECT($B$5&amp;"生成成长"),3))*(VLOOKUP($B$5,标准坦克设计!$B$14:$K$20,9)/30))</f>
        <v>19.10976747690852</v>
      </c>
      <c r="DY127" s="172">
        <f ca="1">(VLOOKUP(DY$72,INDIRECT($C$5&amp;"生成成长"),2))/((VLOOKUP($B127,INDIRECT($B$5&amp;"生成成长"),4))/(VLOOKUP(DY$72,INDIRECT($C$5&amp;"生成成长"),5))*(VLOOKUP($B$5,标准坦克设计!$B$24:$U$30,MATCH("对"&amp;LEFT($C$5,2)&amp;"输出",标准坦克设计!$B$23:$U$23,0)))*(VLOOKUP($B127,INDIRECT($B$5&amp;"生成成长"),3))*(VLOOKUP($B$5,标准坦克设计!$B$14:$K$20,9)/30))</f>
        <v>8.5828676802105228</v>
      </c>
      <c r="DZ127" s="172">
        <f ca="1">(VLOOKUP(DZ$72,INDIRECT($C$5&amp;"生成成长"),2))/((VLOOKUP($B127,INDIRECT($B$5&amp;"生成成长"),4))/(VLOOKUP(DZ$72,INDIRECT($C$5&amp;"生成成长"),5))*(VLOOKUP($B$5,标准坦克设计!$B$24:$U$30,MATCH("对"&amp;LEFT($C$5,2)&amp;"输出",标准坦克设计!$B$23:$U$23,0)))*(VLOOKUP($B127,INDIRECT($B$5&amp;"生成成长"),3))*(VLOOKUP($B$5,标准坦克设计!$B$14:$K$20,9)/30))</f>
        <v>9.5051242331127241</v>
      </c>
      <c r="EA127" s="172">
        <f ca="1">(VLOOKUP(EA$72,INDIRECT($C$5&amp;"生成成长"),2))/((VLOOKUP($B127,INDIRECT($B$5&amp;"生成成长"),4))/(VLOOKUP(EA$72,INDIRECT($C$5&amp;"生成成长"),5))*(VLOOKUP($B$5,标准坦克设计!$B$24:$U$30,MATCH("对"&amp;LEFT($C$5,2)&amp;"输出",标准坦克设计!$B$23:$U$23,0)))*(VLOOKUP($B127,INDIRECT($B$5&amp;"生成成长"),3))*(VLOOKUP($B$5,标准坦克设计!$B$14:$K$20,9)/30))</f>
        <v>10.474434691775244</v>
      </c>
      <c r="EB127" s="172">
        <f ca="1">(VLOOKUP(EB$72,INDIRECT($C$5&amp;"生成成长"),2))/((VLOOKUP($B127,INDIRECT($B$5&amp;"生成成长"),4))/(VLOOKUP(EB$72,INDIRECT($C$5&amp;"生成成长"),5))*(VLOOKUP($B$5,标准坦克设计!$B$24:$U$30,MATCH("对"&amp;LEFT($C$5,2)&amp;"输出",标准坦克设计!$B$23:$U$23,0)))*(VLOOKUP($B127,INDIRECT($B$5&amp;"生成成长"),3))*(VLOOKUP($B$5,标准坦克设计!$B$14:$K$20,9)/30))</f>
        <v>11.490799056198078</v>
      </c>
      <c r="EC127" s="172">
        <f ca="1">(VLOOKUP(EC$72,INDIRECT($C$5&amp;"生成成长"),2))/((VLOOKUP($B127,INDIRECT($B$5&amp;"生成成长"),4))/(VLOOKUP(EC$72,INDIRECT($C$5&amp;"生成成长"),5))*(VLOOKUP($B$5,标准坦克设计!$B$24:$U$30,MATCH("对"&amp;LEFT($C$5,2)&amp;"输出",标准坦克设计!$B$23:$U$23,0)))*(VLOOKUP($B127,INDIRECT($B$5&amp;"生成成长"),3))*(VLOOKUP($B$5,标准坦克设计!$B$14:$K$20,9)/30))</f>
        <v>12.554217326381229</v>
      </c>
      <c r="ED127" s="172">
        <f ca="1">(VLOOKUP(ED$72,INDIRECT($C$5&amp;"生成成长"),2))/((VLOOKUP($B127,INDIRECT($B$5&amp;"生成成长"),4))/(VLOOKUP(ED$72,INDIRECT($C$5&amp;"生成成长"),5))*(VLOOKUP($B$5,标准坦克设计!$B$24:$U$30,MATCH("对"&amp;LEFT($C$5,2)&amp;"输出",标准坦克设计!$B$23:$U$23,0)))*(VLOOKUP($B127,INDIRECT($B$5&amp;"生成成长"),3))*(VLOOKUP($B$5,标准坦克设计!$B$14:$K$20,9)/30))</f>
        <v>13.664689502324697</v>
      </c>
      <c r="EE127" s="172">
        <f ca="1">(VLOOKUP(EE$72,INDIRECT($C$5&amp;"生成成长"),2))/((VLOOKUP($B127,INDIRECT($B$5&amp;"生成成长"),4))/(VLOOKUP(EE$72,INDIRECT($C$5&amp;"生成成长"),5))*(VLOOKUP($B$5,标准坦克设计!$B$24:$U$30,MATCH("对"&amp;LEFT($C$5,2)&amp;"输出",标准坦克设计!$B$23:$U$23,0)))*(VLOOKUP($B127,INDIRECT($B$5&amp;"生成成长"),3))*(VLOOKUP($B$5,标准坦克设计!$B$14:$K$20,9)/30))</f>
        <v>14.822215584028484</v>
      </c>
      <c r="EF127" s="172">
        <f ca="1">(VLOOKUP(EF$72,INDIRECT($C$5&amp;"生成成长"),2))/((VLOOKUP($B127,INDIRECT($B$5&amp;"生成成长"),4))/(VLOOKUP(EF$72,INDIRECT($C$5&amp;"生成成长"),5))*(VLOOKUP($B$5,标准坦克设计!$B$24:$U$30,MATCH("对"&amp;LEFT($C$5,2)&amp;"输出",标准坦克设计!$B$23:$U$23,0)))*(VLOOKUP($B127,INDIRECT($B$5&amp;"生成成长"),3))*(VLOOKUP($B$5,标准坦克设计!$B$14:$K$20,9)/30))</f>
        <v>16.026795571492585</v>
      </c>
      <c r="EG127" s="172">
        <f ca="1">(VLOOKUP(EG$72,INDIRECT($C$5&amp;"生成成长"),2))/((VLOOKUP($B127,INDIRECT($B$5&amp;"生成成长"),4))/(VLOOKUP(EG$72,INDIRECT($C$5&amp;"生成成长"),5))*(VLOOKUP($B$5,标准坦克设计!$B$24:$U$30,MATCH("对"&amp;LEFT($C$5,2)&amp;"输出",标准坦克设计!$B$23:$U$23,0)))*(VLOOKUP($B127,INDIRECT($B$5&amp;"生成成长"),3))*(VLOOKUP($B$5,标准坦克设计!$B$14:$K$20,9)/30))</f>
        <v>17.278429464717004</v>
      </c>
      <c r="EH127" s="172">
        <f ca="1">(VLOOKUP(EH$72,INDIRECT($C$5&amp;"生成成长"),2))/((VLOOKUP($B127,INDIRECT($B$5&amp;"生成成长"),4))/(VLOOKUP(EH$72,INDIRECT($C$5&amp;"生成成长"),5))*(VLOOKUP($B$5,标准坦克设计!$B$24:$U$30,MATCH("对"&amp;LEFT($C$5,2)&amp;"输出",标准坦克设计!$B$23:$U$23,0)))*(VLOOKUP($B127,INDIRECT($B$5&amp;"生成成长"),3))*(VLOOKUP($B$5,标准坦克设计!$B$14:$K$20,9)/30))</f>
        <v>18.57711726370173</v>
      </c>
      <c r="EI127" s="172">
        <f ca="1">(VLOOKUP(EI$72,INDIRECT($C$5&amp;"生成成长"),2))/((VLOOKUP($B127,INDIRECT($B$5&amp;"生成成长"),4))/(VLOOKUP(EI$72,INDIRECT($C$5&amp;"生成成长"),5))*(VLOOKUP($B$5,标准坦克设计!$B$24:$U$30,MATCH("对"&amp;LEFT($C$5,2)&amp;"输出",标准坦克设计!$B$23:$U$23,0)))*(VLOOKUP($B127,INDIRECT($B$5&amp;"生成成长"),3))*(VLOOKUP($B$5,标准坦克设计!$B$14:$K$20,9)/30))</f>
        <v>19.922858968446786</v>
      </c>
      <c r="EJ127" s="172">
        <f ca="1">(VLOOKUP(EJ$72,INDIRECT($C$5&amp;"生成成长"),2))/((VLOOKUP($B127,INDIRECT($B$5&amp;"生成成长"),4))/(VLOOKUP(EJ$72,INDIRECT($C$5&amp;"生成成长"),5))*(VLOOKUP($B$5,标准坦克设计!$B$24:$U$30,MATCH("对"&amp;LEFT($C$5,2)&amp;"输出",标准坦克设计!$B$23:$U$23,0)))*(VLOOKUP($B127,INDIRECT($B$5&amp;"生成成长"),3))*(VLOOKUP($B$5,标准坦克设计!$B$14:$K$20,9)/30))</f>
        <v>21.315654578952152</v>
      </c>
      <c r="EK127" s="172">
        <f ca="1">(VLOOKUP(EK$72,INDIRECT($C$5&amp;"生成成长"),2))/((VLOOKUP($B127,INDIRECT($B$5&amp;"生成成长"),4))/(VLOOKUP(EK$72,INDIRECT($C$5&amp;"生成成长"),5))*(VLOOKUP($B$5,标准坦克设计!$B$24:$U$30,MATCH("对"&amp;LEFT($C$5,2)&amp;"输出",标准坦克设计!$B$23:$U$23,0)))*(VLOOKUP($B127,INDIRECT($B$5&amp;"生成成长"),3))*(VLOOKUP($B$5,标准坦克设计!$B$14:$K$20,9)/30))</f>
        <v>23.049120467162208</v>
      </c>
      <c r="EL127" s="172">
        <f ca="1">(VLOOKUP(EL$72,INDIRECT($C$5&amp;"生成成长"),2))/((VLOOKUP($B127,INDIRECT($B$5&amp;"生成成长"),4))/(VLOOKUP(EL$72,INDIRECT($C$5&amp;"生成成长"),5))*(VLOOKUP($B$5,标准坦克设计!$B$24:$U$30,MATCH("对"&amp;LEFT($C$5,2)&amp;"输出",标准坦克设计!$B$23:$U$23,0)))*(VLOOKUP($B127,INDIRECT($B$5&amp;"生成成长"),3))*(VLOOKUP($B$5,标准坦克设计!$B$14:$K$20,9)/30))</f>
        <v>24.850343979667116</v>
      </c>
      <c r="EM127" s="172">
        <f ca="1">(VLOOKUP(EM$72,INDIRECT($C$5&amp;"生成成长"),2))/((VLOOKUP($B127,INDIRECT($B$5&amp;"生成成长"),4))/(VLOOKUP(EM$72,INDIRECT($C$5&amp;"生成成长"),5))*(VLOOKUP($B$5,标准坦克设计!$B$24:$U$30,MATCH("对"&amp;LEFT($C$5,2)&amp;"输出",标准坦克设计!$B$23:$U$23,0)))*(VLOOKUP($B127,INDIRECT($B$5&amp;"生成成长"),3))*(VLOOKUP($B$5,标准坦克设计!$B$14:$K$20,9)/30))</f>
        <v>26.719325116466891</v>
      </c>
      <c r="EN127" s="172">
        <f ca="1">(VLOOKUP(EN$72,INDIRECT($C$5&amp;"生成成长"),2))/((VLOOKUP($B127,INDIRECT($B$5&amp;"生成成长"),4))/(VLOOKUP(EN$72,INDIRECT($C$5&amp;"生成成长"),5))*(VLOOKUP($B$5,标准坦克设计!$B$24:$U$30,MATCH("对"&amp;LEFT($C$5,2)&amp;"输出",标准坦克设计!$B$23:$U$23,0)))*(VLOOKUP($B127,INDIRECT($B$5&amp;"生成成长"),3))*(VLOOKUP($B$5,标准坦克设计!$B$14:$K$20,9)/30))</f>
        <v>28.656063877561511</v>
      </c>
      <c r="EO127" s="172">
        <f ca="1">(VLOOKUP(EO$72,INDIRECT($C$5&amp;"生成成长"),2))/((VLOOKUP($B127,INDIRECT($B$5&amp;"生成成长"),4))/(VLOOKUP(EO$72,INDIRECT($C$5&amp;"生成成长"),5))*(VLOOKUP($B$5,标准坦克设计!$B$24:$U$30,MATCH("对"&amp;LEFT($C$5,2)&amp;"输出",标准坦克设计!$B$23:$U$23,0)))*(VLOOKUP($B127,INDIRECT($B$5&amp;"生成成长"),3))*(VLOOKUP($B$5,标准坦克设计!$B$14:$K$20,9)/30))</f>
        <v>30.660560262950995</v>
      </c>
      <c r="EP127" s="172">
        <f ca="1">(VLOOKUP(EP$72,INDIRECT($C$5&amp;"生成成长"),2))/((VLOOKUP($B127,INDIRECT($B$5&amp;"生成成长"),4))/(VLOOKUP(EP$72,INDIRECT($C$5&amp;"生成成长"),5))*(VLOOKUP($B$5,标准坦克设计!$B$24:$U$30,MATCH("对"&amp;LEFT($C$5,2)&amp;"输出",标准坦克设计!$B$23:$U$23,0)))*(VLOOKUP($B127,INDIRECT($B$5&amp;"生成成长"),3))*(VLOOKUP($B$5,标准坦克设计!$B$14:$K$20,9)/30))</f>
        <v>32.732814272635331</v>
      </c>
      <c r="EQ127" s="172">
        <f ca="1">(VLOOKUP(EQ$72,INDIRECT($C$5&amp;"生成成长"),2))/((VLOOKUP($B127,INDIRECT($B$5&amp;"生成成长"),4))/(VLOOKUP(EQ$72,INDIRECT($C$5&amp;"生成成长"),5))*(VLOOKUP($B$5,标准坦克设计!$B$24:$U$30,MATCH("对"&amp;LEFT($C$5,2)&amp;"输出",标准坦克设计!$B$23:$U$23,0)))*(VLOOKUP($B127,INDIRECT($B$5&amp;"生成成长"),3))*(VLOOKUP($B$5,标准坦克设计!$B$14:$K$20,9)/30))</f>
        <v>14.470017099412511</v>
      </c>
      <c r="ER127" s="172">
        <f ca="1">(VLOOKUP(ER$72,INDIRECT($C$5&amp;"生成成长"),2))/((VLOOKUP($B127,INDIRECT($B$5&amp;"生成成长"),4))/(VLOOKUP(ER$72,INDIRECT($C$5&amp;"生成成长"),5))*(VLOOKUP($B$5,标准坦克设计!$B$24:$U$30,MATCH("对"&amp;LEFT($C$5,2)&amp;"输出",标准坦克设计!$B$23:$U$23,0)))*(VLOOKUP($B127,INDIRECT($B$5&amp;"生成成长"),3))*(VLOOKUP($B$5,标准坦克设计!$B$14:$K$20,9)/30))</f>
        <v>15.782115261538937</v>
      </c>
      <c r="ES127" s="172">
        <f ca="1">(VLOOKUP(ES$72,INDIRECT($C$5&amp;"生成成长"),2))/((VLOOKUP($B127,INDIRECT($B$5&amp;"生成成长"),4))/(VLOOKUP(ES$72,INDIRECT($C$5&amp;"生成成长"),5))*(VLOOKUP($B$5,标准坦克设计!$B$24:$U$30,MATCH("对"&amp;LEFT($C$5,2)&amp;"输出",标准坦克设计!$B$23:$U$23,0)))*(VLOOKUP($B127,INDIRECT($B$5&amp;"生成成长"),3))*(VLOOKUP($B$5,标准坦克设计!$B$14:$K$20,9)/30))</f>
        <v>17.151148649635346</v>
      </c>
      <c r="ET127" s="172">
        <f ca="1">(VLOOKUP(ET$72,INDIRECT($C$5&amp;"生成成长"),2))/((VLOOKUP($B127,INDIRECT($B$5&amp;"生成成长"),4))/(VLOOKUP(ET$72,INDIRECT($C$5&amp;"生成成长"),5))*(VLOOKUP($B$5,标准坦克设计!$B$24:$U$30,MATCH("对"&amp;LEFT($C$5,2)&amp;"输出",标准坦克设计!$B$23:$U$23,0)))*(VLOOKUP($B127,INDIRECT($B$5&amp;"生成成长"),3))*(VLOOKUP($B$5,标准坦克设计!$B$14:$K$20,9)/30))</f>
        <v>18.57711726370173</v>
      </c>
      <c r="EU127" s="172">
        <f ca="1">(VLOOKUP(EU$72,INDIRECT($C$5&amp;"生成成长"),2))/((VLOOKUP($B127,INDIRECT($B$5&amp;"生成成长"),4))/(VLOOKUP(EU$72,INDIRECT($C$5&amp;"生成成长"),5))*(VLOOKUP($B$5,标准坦克设计!$B$24:$U$30,MATCH("对"&amp;LEFT($C$5,2)&amp;"输出",标准坦克设计!$B$23:$U$23,0)))*(VLOOKUP($B127,INDIRECT($B$5&amp;"生成成长"),3))*(VLOOKUP($B$5,标准坦克设计!$B$14:$K$20,9)/30))</f>
        <v>20.060021103738105</v>
      </c>
      <c r="EV127" s="172">
        <f ca="1">(VLOOKUP(EV$72,INDIRECT($C$5&amp;"生成成长"),2))/((VLOOKUP($B127,INDIRECT($B$5&amp;"生成成长"),4))/(VLOOKUP(EV$72,INDIRECT($C$5&amp;"生成成长"),5))*(VLOOKUP($B$5,标准坦克设计!$B$24:$U$30,MATCH("对"&amp;LEFT($C$5,2)&amp;"输出",标准坦克设计!$B$23:$U$23,0)))*(VLOOKUP($B127,INDIRECT($B$5&amp;"生成成长"),3))*(VLOOKUP($B$5,标准坦克设计!$B$14:$K$20,9)/30))</f>
        <v>21.59986016974446</v>
      </c>
      <c r="EW127" s="172">
        <f ca="1">(VLOOKUP(EW$72,INDIRECT($C$5&amp;"生成成长"),2))/((VLOOKUP($B127,INDIRECT($B$5&amp;"生成成长"),4))/(VLOOKUP(EW$72,INDIRECT($C$5&amp;"生成成长"),5))*(VLOOKUP($B$5,标准坦克设计!$B$24:$U$30,MATCH("对"&amp;LEFT($C$5,2)&amp;"输出",标准坦克设计!$B$23:$U$23,0)))*(VLOOKUP($B127,INDIRECT($B$5&amp;"生成成长"),3))*(VLOOKUP($B$5,标准坦克设计!$B$14:$K$20,9)/30))</f>
        <v>23.196634461720802</v>
      </c>
      <c r="EX127" s="172">
        <f ca="1">(VLOOKUP(EX$72,INDIRECT($C$5&amp;"生成成长"),2))/((VLOOKUP($B127,INDIRECT($B$5&amp;"生成成长"),4))/(VLOOKUP(EX$72,INDIRECT($C$5&amp;"生成成长"),5))*(VLOOKUP($B$5,标准坦克设计!$B$24:$U$30,MATCH("对"&amp;LEFT($C$5,2)&amp;"输出",标准坦克设计!$B$23:$U$23,0)))*(VLOOKUP($B127,INDIRECT($B$5&amp;"生成成长"),3))*(VLOOKUP($B$5,标准坦克设计!$B$14:$K$20,9)/30))</f>
        <v>24.850343979667116</v>
      </c>
      <c r="EY127" s="172">
        <f ca="1">(VLOOKUP(EY$72,INDIRECT($C$5&amp;"生成成长"),2))/((VLOOKUP($B127,INDIRECT($B$5&amp;"生成成长"),4))/(VLOOKUP(EY$72,INDIRECT($C$5&amp;"生成成长"),5))*(VLOOKUP($B$5,标准坦克设计!$B$24:$U$30,MATCH("对"&amp;LEFT($C$5,2)&amp;"输出",标准坦克设计!$B$23:$U$23,0)))*(VLOOKUP($B127,INDIRECT($B$5&amp;"生成成长"),3))*(VLOOKUP($B$5,标准坦克设计!$B$14:$K$20,9)/30))</f>
        <v>26.560988723583431</v>
      </c>
      <c r="EZ127" s="172">
        <f ca="1">(VLOOKUP(EZ$72,INDIRECT($C$5&amp;"生成成长"),2))/((VLOOKUP($B127,INDIRECT($B$5&amp;"生成成长"),4))/(VLOOKUP(EZ$72,INDIRECT($C$5&amp;"生成成长"),5))*(VLOOKUP($B$5,标准坦克设计!$B$24:$U$30,MATCH("对"&amp;LEFT($C$5,2)&amp;"输出",标准坦克设计!$B$23:$U$23,0)))*(VLOOKUP($B127,INDIRECT($B$5&amp;"生成成长"),3))*(VLOOKUP($B$5,标准坦克设计!$B$14:$K$20,9)/30))</f>
        <v>28.328568693469709</v>
      </c>
      <c r="FA127" s="172">
        <f ca="1">(VLOOKUP(FA$72,INDIRECT($C$5&amp;"生成成长"),2))/((VLOOKUP($B127,INDIRECT($B$5&amp;"生成成长"),4))/(VLOOKUP(FA$72,INDIRECT($C$5&amp;"生成成长"),5))*(VLOOKUP($B$5,标准坦克设计!$B$24:$U$30,MATCH("对"&amp;LEFT($C$5,2)&amp;"输出",标准坦克设计!$B$23:$U$23,0)))*(VLOOKUP($B127,INDIRECT($B$5&amp;"生成成长"),3))*(VLOOKUP($B$5,标准坦克设计!$B$14:$K$20,9)/30))</f>
        <v>30.153083889325984</v>
      </c>
      <c r="FB127" s="172">
        <f ca="1">(VLOOKUP(FB$72,INDIRECT($C$5&amp;"生成成长"),2))/((VLOOKUP($B127,INDIRECT($B$5&amp;"生成成长"),4))/(VLOOKUP(FB$72,INDIRECT($C$5&amp;"生成成长"),5))*(VLOOKUP($B$5,标准坦克设计!$B$24:$U$30,MATCH("对"&amp;LEFT($C$5,2)&amp;"输出",标准坦克设计!$B$23:$U$23,0)))*(VLOOKUP($B127,INDIRECT($B$5&amp;"生成成长"),3))*(VLOOKUP($B$5,标准坦克设计!$B$14:$K$20,9)/30))</f>
        <v>32.034534311152228</v>
      </c>
      <c r="FC127" s="172">
        <f ca="1">(VLOOKUP(FC$72,INDIRECT($C$5&amp;"生成成长"),2))/((VLOOKUP($B127,INDIRECT($B$5&amp;"生成成长"),4))/(VLOOKUP(FC$72,INDIRECT($C$5&amp;"生成成长"),5))*(VLOOKUP($B$5,标准坦克设计!$B$24:$U$30,MATCH("对"&amp;LEFT($C$5,2)&amp;"输出",标准坦克设计!$B$23:$U$23,0)))*(VLOOKUP($B127,INDIRECT($B$5&amp;"生成成长"),3))*(VLOOKUP($B$5,标准坦克设计!$B$14:$K$20,9)/30))</f>
        <v>33.972919958948474</v>
      </c>
      <c r="FD127" s="172">
        <f ca="1">(VLOOKUP(FD$72,INDIRECT($C$5&amp;"生成成长"),2))/((VLOOKUP($B127,INDIRECT($B$5&amp;"生成成长"),4))/(VLOOKUP(FD$72,INDIRECT($C$5&amp;"生成成长"),5))*(VLOOKUP($B$5,标准坦克设计!$B$24:$U$30,MATCH("对"&amp;LEFT($C$5,2)&amp;"输出",标准坦克设计!$B$23:$U$23,0)))*(VLOOKUP($B127,INDIRECT($B$5&amp;"生成成长"),3))*(VLOOKUP($B$5,标准坦克设计!$B$14:$K$20,9)/30))</f>
        <v>35.968240832714685</v>
      </c>
      <c r="FE127" s="172">
        <f ca="1">(VLOOKUP(FE$72,INDIRECT($C$5&amp;"生成成长"),2))/((VLOOKUP($B127,INDIRECT($B$5&amp;"生成成长"),4))/(VLOOKUP(FE$72,INDIRECT($C$5&amp;"生成成长"),5))*(VLOOKUP($B$5,标准坦克设计!$B$24:$U$30,MATCH("对"&amp;LEFT($C$5,2)&amp;"输出",标准坦克设计!$B$23:$U$23,0)))*(VLOOKUP($B127,INDIRECT($B$5&amp;"生成成长"),3))*(VLOOKUP($B$5,标准坦克设计!$B$14:$K$20,9)/30))</f>
        <v>38.399751412879048</v>
      </c>
      <c r="FF127" s="172">
        <f ca="1">(VLOOKUP(FF$72,INDIRECT($C$5&amp;"生成成长"),2))/((VLOOKUP($B127,INDIRECT($B$5&amp;"生成成长"),4))/(VLOOKUP(FF$72,INDIRECT($C$5&amp;"生成成长"),5))*(VLOOKUP($B$5,标准坦克设计!$B$24:$U$30,MATCH("对"&amp;LEFT($C$5,2)&amp;"输出",标准坦克设计!$B$23:$U$23,0)))*(VLOOKUP($B127,INDIRECT($B$5&amp;"生成成长"),3))*(VLOOKUP($B$5,标准坦克设计!$B$14:$K$20,9)/30))</f>
        <v>40.910783093778328</v>
      </c>
      <c r="FG127" s="172">
        <f ca="1">(VLOOKUP(FG$72,INDIRECT($C$5&amp;"生成成长"),2))/((VLOOKUP($B127,INDIRECT($B$5&amp;"生成成长"),4))/(VLOOKUP(FG$72,INDIRECT($C$5&amp;"生成成长"),5))*(VLOOKUP($B$5,标准坦克设计!$B$24:$U$30,MATCH("对"&amp;LEFT($C$5,2)&amp;"输出",标准坦克设计!$B$23:$U$23,0)))*(VLOOKUP($B127,INDIRECT($B$5&amp;"生成成长"),3))*(VLOOKUP($B$5,标准坦克设计!$B$14:$K$20,9)/30))</f>
        <v>43.501335875412551</v>
      </c>
      <c r="FH127" s="172">
        <f ca="1">(VLOOKUP(FH$72,INDIRECT($C$5&amp;"生成成长"),2))/((VLOOKUP($B127,INDIRECT($B$5&amp;"生成成长"),4))/(VLOOKUP(FH$72,INDIRECT($C$5&amp;"生成成长"),5))*(VLOOKUP($B$5,标准坦克设计!$B$24:$U$30,MATCH("对"&amp;LEFT($C$5,2)&amp;"输出",标准坦克设计!$B$23:$U$23,0)))*(VLOOKUP($B127,INDIRECT($B$5&amp;"生成成长"),3))*(VLOOKUP($B$5,标准坦克设计!$B$14:$K$20,9)/30))</f>
        <v>46.17140975778171</v>
      </c>
      <c r="FI127" s="172">
        <f ca="1">(VLOOKUP(FI$72,INDIRECT($C$5&amp;"生成成长"),2))/((VLOOKUP($B127,INDIRECT($B$5&amp;"生成成长"),4))/(VLOOKUP(FI$72,INDIRECT($C$5&amp;"生成成长"),5))*(VLOOKUP($B$5,标准坦克设计!$B$24:$U$30,MATCH("对"&amp;LEFT($C$5,2)&amp;"输出",标准坦克设计!$B$23:$U$23,0)))*(VLOOKUP($B127,INDIRECT($B$5&amp;"生成成长"),3))*(VLOOKUP($B$5,标准坦克设计!$B$14:$K$20,9)/30))</f>
        <v>48.921004740885799</v>
      </c>
      <c r="FJ127" s="172">
        <f ca="1">(VLOOKUP(FJ$72,INDIRECT($C$5&amp;"生成成长"),2))/((VLOOKUP($B127,INDIRECT($B$5&amp;"生成成长"),4))/(VLOOKUP(FJ$72,INDIRECT($C$5&amp;"生成成长"),5))*(VLOOKUP($B$5,标准坦克设计!$B$24:$U$30,MATCH("对"&amp;LEFT($C$5,2)&amp;"输出",标准坦克设计!$B$23:$U$23,0)))*(VLOOKUP($B127,INDIRECT($B$5&amp;"生成成长"),3))*(VLOOKUP($B$5,标准坦克设计!$B$14:$K$20,9)/30))</f>
        <v>51.750120824724817</v>
      </c>
      <c r="FK127" s="172">
        <f ca="1">(VLOOKUP(FK$72,INDIRECT($C$5&amp;"生成成长"),2))/((VLOOKUP($B127,INDIRECT($B$5&amp;"生成成长"),4))/(VLOOKUP(FK$72,INDIRECT($C$5&amp;"生成成长"),5))*(VLOOKUP($B$5,标准坦克设计!$B$24:$U$30,MATCH("对"&amp;LEFT($C$5,2)&amp;"输出",标准坦克设计!$B$23:$U$23,0)))*(VLOOKUP($B127,INDIRECT($B$5&amp;"生成成长"),3))*(VLOOKUP($B$5,标准坦克设计!$B$14:$K$20,9)/30))</f>
        <v>54.658758009298786</v>
      </c>
    </row>
    <row r="128" spans="1:167" x14ac:dyDescent="0.15">
      <c r="A128" s="170" t="str">
        <f t="shared" si="11"/>
        <v>T2中品质11级</v>
      </c>
      <c r="B128" s="171">
        <v>20211</v>
      </c>
      <c r="C128" s="172">
        <f ca="1">(VLOOKUP(C$72,INDIRECT($C$5&amp;"生成成长"),2))/((VLOOKUP($B128,INDIRECT($B$5&amp;"生成成长"),4))/(VLOOKUP(C$72,INDIRECT($C$5&amp;"生成成长"),5))*(VLOOKUP($B$5,标准坦克设计!$B$24:$U$30,MATCH("对"&amp;LEFT($C$5,2)&amp;"输出",标准坦克设计!$B$23:$U$23,0)))*(VLOOKUP($B128,INDIRECT($B$5&amp;"生成成长"),3))*(VLOOKUP($B$5,标准坦克设计!$B$14:$K$20,9)/30))</f>
        <v>2.1446146898348064</v>
      </c>
      <c r="D128" s="172">
        <f ca="1">(VLOOKUP(D$72,INDIRECT($C$5&amp;"生成成长"),2))/((VLOOKUP($B128,INDIRECT($B$5&amp;"生成成长"),4))/(VLOOKUP(D$72,INDIRECT($C$5&amp;"生成成长"),5))*(VLOOKUP($B$5,标准坦克设计!$B$24:$U$30,MATCH("对"&amp;LEFT($C$5,2)&amp;"输出",标准坦克设计!$B$23:$U$23,0)))*(VLOOKUP($B128,INDIRECT($B$5&amp;"生成成长"),3))*(VLOOKUP($B$5,标准坦克设计!$B$14:$K$20,9)/30))</f>
        <v>2.4096890654983891</v>
      </c>
      <c r="E128" s="172">
        <f ca="1">(VLOOKUP(E$72,INDIRECT($C$5&amp;"生成成长"),2))/((VLOOKUP($B128,INDIRECT($B$5&amp;"生成成长"),4))/(VLOOKUP(E$72,INDIRECT($C$5&amp;"生成成长"),5))*(VLOOKUP($B$5,标准坦克设计!$B$24:$U$30,MATCH("对"&amp;LEFT($C$5,2)&amp;"输出",标准坦克设计!$B$23:$U$23,0)))*(VLOOKUP($B128,INDIRECT($B$5&amp;"生成成长"),3))*(VLOOKUP($B$5,标准坦克设计!$B$14:$K$20,9)/30))</f>
        <v>2.6902046669287816</v>
      </c>
      <c r="F128" s="172">
        <f ca="1">(VLOOKUP(F$72,INDIRECT($C$5&amp;"生成成长"),2))/((VLOOKUP($B128,INDIRECT($B$5&amp;"生成成长"),4))/(VLOOKUP(F$72,INDIRECT($C$5&amp;"生成成长"),5))*(VLOOKUP($B$5,标准坦克设计!$B$24:$U$30,MATCH("对"&amp;LEFT($C$5,2)&amp;"输出",标准坦克设计!$B$23:$U$23,0)))*(VLOOKUP($B128,INDIRECT($B$5&amp;"生成成长"),3))*(VLOOKUP($B$5,标准坦克设计!$B$14:$K$20,9)/30))</f>
        <v>2.9861614941259846</v>
      </c>
      <c r="G128" s="172">
        <f ca="1">(VLOOKUP(G$72,INDIRECT($C$5&amp;"生成成长"),2))/((VLOOKUP($B128,INDIRECT($B$5&amp;"生成成长"),4))/(VLOOKUP(G$72,INDIRECT($C$5&amp;"生成成长"),5))*(VLOOKUP($B$5,标准坦克设计!$B$24:$U$30,MATCH("对"&amp;LEFT($C$5,2)&amp;"输出",标准坦克设计!$B$23:$U$23,0)))*(VLOOKUP($B128,INDIRECT($B$5&amp;"生成成长"),3))*(VLOOKUP($B$5,标准坦克设计!$B$14:$K$20,9)/30))</f>
        <v>3.2975595470899992</v>
      </c>
      <c r="H128" s="172">
        <f ca="1">(VLOOKUP(H$72,INDIRECT($C$5&amp;"生成成长"),2))/((VLOOKUP($B128,INDIRECT($B$5&amp;"生成成长"),4))/(VLOOKUP(H$72,INDIRECT($C$5&amp;"生成成长"),5))*(VLOOKUP($B$5,标准坦克设计!$B$24:$U$30,MATCH("对"&amp;LEFT($C$5,2)&amp;"输出",标准坦克设计!$B$23:$U$23,0)))*(VLOOKUP($B128,INDIRECT($B$5&amp;"生成成长"),3))*(VLOOKUP($B$5,标准坦克设计!$B$14:$K$20,9)/30))</f>
        <v>2.8857935266417156</v>
      </c>
      <c r="I128" s="172">
        <f ca="1">(VLOOKUP(I$72,INDIRECT($C$5&amp;"生成成长"),2))/((VLOOKUP($B128,INDIRECT($B$5&amp;"生成成长"),4))/(VLOOKUP(I$72,INDIRECT($C$5&amp;"生成成长"),5))*(VLOOKUP($B$5,标准坦克设计!$B$24:$U$30,MATCH("对"&amp;LEFT($C$5,2)&amp;"输出",标准坦克设计!$B$23:$U$23,0)))*(VLOOKUP($B128,INDIRECT($B$5&amp;"生成成长"),3))*(VLOOKUP($B$5,标准坦克设计!$B$14:$K$20,9)/30))</f>
        <v>3.2975595470899992</v>
      </c>
      <c r="J128" s="172">
        <f ca="1">(VLOOKUP(J$72,INDIRECT($C$5&amp;"生成成长"),2))/((VLOOKUP($B128,INDIRECT($B$5&amp;"生成成长"),4))/(VLOOKUP(J$72,INDIRECT($C$5&amp;"生成成长"),5))*(VLOOKUP($B$5,标准坦克设计!$B$24:$U$30,MATCH("对"&amp;LEFT($C$5,2)&amp;"输出",标准坦克设计!$B$23:$U$23,0)))*(VLOOKUP($B128,INDIRECT($B$5&amp;"生成成长"),3))*(VLOOKUP($B$5,标准坦克设计!$B$14:$K$20,9)/30))</f>
        <v>3.7367766355681673</v>
      </c>
      <c r="K128" s="172">
        <f ca="1">(VLOOKUP(K$72,INDIRECT($C$5&amp;"生成成长"),2))/((VLOOKUP($B128,INDIRECT($B$5&amp;"生成成长"),4))/(VLOOKUP(K$72,INDIRECT($C$5&amp;"生成成长"),5))*(VLOOKUP($B$5,标准坦克设计!$B$24:$U$30,MATCH("对"&amp;LEFT($C$5,2)&amp;"输出",标准坦克设计!$B$23:$U$23,0)))*(VLOOKUP($B128,INDIRECT($B$5&amp;"生成成长"),3))*(VLOOKUP($B$5,标准坦克设计!$B$14:$K$20,9)/30))</f>
        <v>4.2034447920762217</v>
      </c>
      <c r="L128" s="172">
        <f ca="1">(VLOOKUP(L$72,INDIRECT($C$5&amp;"生成成长"),2))/((VLOOKUP($B128,INDIRECT($B$5&amp;"生成成长"),4))/(VLOOKUP(L$72,INDIRECT($C$5&amp;"生成成长"),5))*(VLOOKUP($B$5,标准坦克设计!$B$24:$U$30,MATCH("对"&amp;LEFT($C$5,2)&amp;"输出",标准坦克设计!$B$23:$U$23,0)))*(VLOOKUP($B128,INDIRECT($B$5&amp;"生成成长"),3))*(VLOOKUP($B$5,标准坦克设计!$B$14:$K$20,9)/30))</f>
        <v>4.6975640166141606</v>
      </c>
      <c r="M128" s="172">
        <f ca="1">(VLOOKUP(M$72,INDIRECT($C$5&amp;"生成成长"),2))/((VLOOKUP($B128,INDIRECT($B$5&amp;"生成成长"),4))/(VLOOKUP(M$72,INDIRECT($C$5&amp;"生成成长"),5))*(VLOOKUP($B$5,标准坦克设计!$B$24:$U$30,MATCH("对"&amp;LEFT($C$5,2)&amp;"输出",标准坦克设计!$B$23:$U$23,0)))*(VLOOKUP($B128,INDIRECT($B$5&amp;"生成成长"),3))*(VLOOKUP($B$5,标准坦克设计!$B$14:$K$20,9)/30))</f>
        <v>5.2191343091819853</v>
      </c>
      <c r="N128" s="172">
        <f ca="1">(VLOOKUP(N$72,INDIRECT($C$5&amp;"生成成长"),2))/((VLOOKUP($B128,INDIRECT($B$5&amp;"生成成长"),4))/(VLOOKUP(N$72,INDIRECT($C$5&amp;"生成成长"),5))*(VLOOKUP($B$5,标准坦克设计!$B$24:$U$30,MATCH("对"&amp;LEFT($C$5,2)&amp;"输出",标准坦克设计!$B$23:$U$23,0)))*(VLOOKUP($B128,INDIRECT($B$5&amp;"生成成长"),3))*(VLOOKUP($B$5,标准坦克设计!$B$14:$K$20,9)/30))</f>
        <v>5.768155669779695</v>
      </c>
      <c r="O128" s="172">
        <f ca="1">(VLOOKUP(O$72,INDIRECT($C$5&amp;"生成成长"),2))/((VLOOKUP($B128,INDIRECT($B$5&amp;"生成成长"),4))/(VLOOKUP(O$72,INDIRECT($C$5&amp;"生成成长"),5))*(VLOOKUP($B$5,标准坦克设计!$B$24:$U$30,MATCH("对"&amp;LEFT($C$5,2)&amp;"输出",标准坦克设计!$B$23:$U$23,0)))*(VLOOKUP($B128,INDIRECT($B$5&amp;"生成成长"),3))*(VLOOKUP($B$5,标准坦克设计!$B$14:$K$20,9)/30))</f>
        <v>4.3855225792431964</v>
      </c>
      <c r="P128" s="172">
        <f ca="1">(VLOOKUP(P$72,INDIRECT($C$5&amp;"生成成长"),2))/((VLOOKUP($B128,INDIRECT($B$5&amp;"生成成长"),4))/(VLOOKUP(P$72,INDIRECT($C$5&amp;"生成成长"),5))*(VLOOKUP($B$5,标准坦克设计!$B$24:$U$30,MATCH("对"&amp;LEFT($C$5,2)&amp;"输出",标准坦克设计!$B$23:$U$23,0)))*(VLOOKUP($B128,INDIRECT($B$5&amp;"生成成长"),3))*(VLOOKUP($B$5,标准坦克设计!$B$14:$K$20,9)/30))</f>
        <v>4.9549177793943375</v>
      </c>
      <c r="Q128" s="172">
        <f ca="1">(VLOOKUP(Q$72,INDIRECT($C$5&amp;"生成成长"),2))/((VLOOKUP($B128,INDIRECT($B$5&amp;"生成成长"),4))/(VLOOKUP(Q$72,INDIRECT($C$5&amp;"生成成长"),5))*(VLOOKUP($B$5,标准坦克设计!$B$24:$U$30,MATCH("对"&amp;LEFT($C$5,2)&amp;"输出",标准坦克设计!$B$23:$U$23,0)))*(VLOOKUP($B128,INDIRECT($B$5&amp;"生成成长"),3))*(VLOOKUP($B$5,标准坦克设计!$B$14:$K$20,9)/30))</f>
        <v>5.5590557375208016</v>
      </c>
      <c r="R128" s="172">
        <f ca="1">(VLOOKUP(R$72,INDIRECT($C$5&amp;"生成成长"),2))/((VLOOKUP($B128,INDIRECT($B$5&amp;"生成成长"),4))/(VLOOKUP(R$72,INDIRECT($C$5&amp;"生成成长"),5))*(VLOOKUP($B$5,标准坦克设计!$B$24:$U$30,MATCH("对"&amp;LEFT($C$5,2)&amp;"输出",标准坦克设计!$B$23:$U$23,0)))*(VLOOKUP($B128,INDIRECT($B$5&amp;"生成成长"),3))*(VLOOKUP($B$5,标准坦克设计!$B$14:$K$20,9)/30))</f>
        <v>6.1979364536225914</v>
      </c>
      <c r="S128" s="172">
        <f ca="1">(VLOOKUP(S$72,INDIRECT($C$5&amp;"生成成长"),2))/((VLOOKUP($B128,INDIRECT($B$5&amp;"生成成长"),4))/(VLOOKUP(S$72,INDIRECT($C$5&amp;"生成成长"),5))*(VLOOKUP($B$5,标准坦克设计!$B$24:$U$30,MATCH("对"&amp;LEFT($C$5,2)&amp;"输出",标准坦克设计!$B$23:$U$23,0)))*(VLOOKUP($B128,INDIRECT($B$5&amp;"生成成长"),3))*(VLOOKUP($B$5,标准坦克设计!$B$14:$K$20,9)/30))</f>
        <v>6.871559927699705</v>
      </c>
      <c r="T128" s="172">
        <f ca="1">(VLOOKUP(T$72,INDIRECT($C$5&amp;"生成成长"),2))/((VLOOKUP($B128,INDIRECT($B$5&amp;"生成成长"),4))/(VLOOKUP(T$72,INDIRECT($C$5&amp;"生成成长"),5))*(VLOOKUP($B$5,标准坦克设计!$B$24:$U$30,MATCH("对"&amp;LEFT($C$5,2)&amp;"输出",标准坦克设计!$B$23:$U$23,0)))*(VLOOKUP($B128,INDIRECT($B$5&amp;"生成成长"),3))*(VLOOKUP($B$5,标准坦克设计!$B$14:$K$20,9)/30))</f>
        <v>7.5799261597521408</v>
      </c>
      <c r="U128" s="172">
        <f ca="1">(VLOOKUP(U$72,INDIRECT($C$5&amp;"生成成长"),2))/((VLOOKUP($B128,INDIRECT($B$5&amp;"生成成长"),4))/(VLOOKUP(U$72,INDIRECT($C$5&amp;"生成成长"),5))*(VLOOKUP($B$5,标准坦克设计!$B$24:$U$30,MATCH("对"&amp;LEFT($C$5,2)&amp;"输出",标准坦克设计!$B$23:$U$23,0)))*(VLOOKUP($B128,INDIRECT($B$5&amp;"生成成长"),3))*(VLOOKUP($B$5,标准坦克设计!$B$14:$K$20,9)/30))</f>
        <v>8.3230351497798996</v>
      </c>
      <c r="V128" s="172">
        <f ca="1">(VLOOKUP(V$72,INDIRECT($C$5&amp;"生成成长"),2))/((VLOOKUP($B128,INDIRECT($B$5&amp;"生成成长"),4))/(VLOOKUP(V$72,INDIRECT($C$5&amp;"生成成长"),5))*(VLOOKUP($B$5,标准坦克设计!$B$24:$U$30,MATCH("对"&amp;LEFT($C$5,2)&amp;"输出",标准坦克设计!$B$23:$U$23,0)))*(VLOOKUP($B128,INDIRECT($B$5&amp;"生成成长"),3))*(VLOOKUP($B$5,标准坦克设计!$B$14:$K$20,9)/30))</f>
        <v>9.1008868977829867</v>
      </c>
      <c r="W128" s="172">
        <f ca="1">(VLOOKUP(W$72,INDIRECT($C$5&amp;"生成成长"),2))/((VLOOKUP($B128,INDIRECT($B$5&amp;"生成成长"),4))/(VLOOKUP(W$72,INDIRECT($C$5&amp;"生成成长"),5))*(VLOOKUP($B$5,标准坦克设计!$B$24:$U$30,MATCH("对"&amp;LEFT($C$5,2)&amp;"输出",标准坦克设计!$B$23:$U$23,0)))*(VLOOKUP($B128,INDIRECT($B$5&amp;"生成成长"),3))*(VLOOKUP($B$5,标准坦克设计!$B$14:$K$20,9)/30))</f>
        <v>9.913481403761395</v>
      </c>
      <c r="X128" s="172">
        <f ca="1">(VLOOKUP(X$72,INDIRECT($C$5&amp;"生成成长"),2))/((VLOOKUP($B128,INDIRECT($B$5&amp;"生成成长"),4))/(VLOOKUP(X$72,INDIRECT($C$5&amp;"生成成长"),5))*(VLOOKUP($B$5,标准坦克设计!$B$24:$U$30,MATCH("对"&amp;LEFT($C$5,2)&amp;"输出",标准坦克设计!$B$23:$U$23,0)))*(VLOOKUP($B128,INDIRECT($B$5&amp;"生成成长"),3))*(VLOOKUP($B$5,标准坦克设计!$B$14:$K$20,9)/30))</f>
        <v>7.1821001347877838</v>
      </c>
      <c r="Y128" s="172">
        <f ca="1">(VLOOKUP(Y$72,INDIRECT($C$5&amp;"生成成长"),2))/((VLOOKUP($B128,INDIRECT($B$5&amp;"生成成长"),4))/(VLOOKUP(Y$72,INDIRECT($C$5&amp;"生成成长"),5))*(VLOOKUP($B$5,标准坦克设计!$B$24:$U$30,MATCH("对"&amp;LEFT($C$5,2)&amp;"输出",标准坦克设计!$B$23:$U$23,0)))*(VLOOKUP($B128,INDIRECT($B$5&amp;"生成成长"),3))*(VLOOKUP($B$5,标准坦克设计!$B$14:$K$20,9)/30))</f>
        <v>7.9884752581656722</v>
      </c>
      <c r="Z128" s="172">
        <f ca="1">(VLOOKUP(Z$72,INDIRECT($C$5&amp;"生成成长"),2))/((VLOOKUP($B128,INDIRECT($B$5&amp;"生成成长"),4))/(VLOOKUP(Z$72,INDIRECT($C$5&amp;"生成成长"),5))*(VLOOKUP($B$5,标准坦克设计!$B$24:$U$30,MATCH("对"&amp;LEFT($C$5,2)&amp;"输出",标准坦克设计!$B$23:$U$23,0)))*(VLOOKUP($B128,INDIRECT($B$5&amp;"生成成长"),3))*(VLOOKUP($B$5,标准坦克设计!$B$14:$K$20,9)/30))</f>
        <v>8.8377426753402535</v>
      </c>
      <c r="AA128" s="172">
        <f ca="1">(VLOOKUP(AA$72,INDIRECT($C$5&amp;"生成成长"),2))/((VLOOKUP($B128,INDIRECT($B$5&amp;"生成成长"),4))/(VLOOKUP(AA$72,INDIRECT($C$5&amp;"生成成长"),5))*(VLOOKUP($B$5,标准坦克设计!$B$24:$U$30,MATCH("对"&amp;LEFT($C$5,2)&amp;"输出",标准坦克设计!$B$23:$U$23,0)))*(VLOOKUP($B128,INDIRECT($B$5&amp;"生成成长"),3))*(VLOOKUP($B$5,标准坦克设计!$B$14:$K$20,9)/30))</f>
        <v>9.7299023863115348</v>
      </c>
      <c r="AB128" s="172">
        <f ca="1">(VLOOKUP(AB$72,INDIRECT($C$5&amp;"生成成长"),2))/((VLOOKUP($B128,INDIRECT($B$5&amp;"生成成长"),4))/(VLOOKUP(AB$72,INDIRECT($C$5&amp;"生成成长"),5))*(VLOOKUP($B$5,标准坦克设计!$B$24:$U$30,MATCH("对"&amp;LEFT($C$5,2)&amp;"输出",标准坦克设计!$B$23:$U$23,0)))*(VLOOKUP($B128,INDIRECT($B$5&amp;"生成成长"),3))*(VLOOKUP($B$5,标准坦克设计!$B$14:$K$20,9)/30))</f>
        <v>10.66495439107951</v>
      </c>
      <c r="AC128" s="172">
        <f ca="1">(VLOOKUP(AC$72,INDIRECT($C$5&amp;"生成成长"),2))/((VLOOKUP($B128,INDIRECT($B$5&amp;"生成成长"),4))/(VLOOKUP(AC$72,INDIRECT($C$5&amp;"生成成长"),5))*(VLOOKUP($B$5,标准坦克设计!$B$24:$U$30,MATCH("对"&amp;LEFT($C$5,2)&amp;"输出",标准坦克设计!$B$23:$U$23,0)))*(VLOOKUP($B128,INDIRECT($B$5&amp;"生成成长"),3))*(VLOOKUP($B$5,标准坦克设计!$B$14:$K$20,9)/30))</f>
        <v>11.642898689644181</v>
      </c>
      <c r="AD128" s="172">
        <f ca="1">(VLOOKUP(AD$72,INDIRECT($C$5&amp;"生成成长"),2))/((VLOOKUP($B128,INDIRECT($B$5&amp;"生成成长"),4))/(VLOOKUP(AD$72,INDIRECT($C$5&amp;"生成成长"),5))*(VLOOKUP($B$5,标准坦克设计!$B$24:$U$30,MATCH("对"&amp;LEFT($C$5,2)&amp;"输出",标准坦克设计!$B$23:$U$23,0)))*(VLOOKUP($B128,INDIRECT($B$5&amp;"生成成长"),3))*(VLOOKUP($B$5,标准坦克设计!$B$14:$K$20,9)/30))</f>
        <v>12.663735282005549</v>
      </c>
      <c r="AE128" s="172">
        <f ca="1">(VLOOKUP(AE$72,INDIRECT($C$5&amp;"生成成长"),2))/((VLOOKUP($B128,INDIRECT($B$5&amp;"生成成长"),4))/(VLOOKUP(AE$72,INDIRECT($C$5&amp;"生成成长"),5))*(VLOOKUP($B$5,标准坦克设计!$B$24:$U$30,MATCH("对"&amp;LEFT($C$5,2)&amp;"输出",标准坦克设计!$B$23:$U$23,0)))*(VLOOKUP($B128,INDIRECT($B$5&amp;"生成成长"),3))*(VLOOKUP($B$5,标准坦克设计!$B$14:$K$20,9)/30))</f>
        <v>13.727464168163612</v>
      </c>
      <c r="AF128" s="172">
        <f ca="1">(VLOOKUP(AF$72,INDIRECT($C$5&amp;"生成成长"),2))/((VLOOKUP($B128,INDIRECT($B$5&amp;"生成成长"),4))/(VLOOKUP(AF$72,INDIRECT($C$5&amp;"生成成长"),5))*(VLOOKUP($B$5,标准坦克设计!$B$24:$U$30,MATCH("对"&amp;LEFT($C$5,2)&amp;"输出",标准坦克设计!$B$23:$U$23,0)))*(VLOOKUP($B128,INDIRECT($B$5&amp;"生成成长"),3))*(VLOOKUP($B$5,标准坦克设计!$B$14:$K$20,9)/30))</f>
        <v>14.834085348118375</v>
      </c>
      <c r="AG128" s="172">
        <f ca="1">(VLOOKUP(AG$72,INDIRECT($C$5&amp;"生成成长"),2))/((VLOOKUP($B128,INDIRECT($B$5&amp;"生成成长"),4))/(VLOOKUP(AG$72,INDIRECT($C$5&amp;"生成成长"),5))*(VLOOKUP($B$5,标准坦克设计!$B$24:$U$30,MATCH("对"&amp;LEFT($C$5,2)&amp;"输出",标准坦克设计!$B$23:$U$23,0)))*(VLOOKUP($B128,INDIRECT($B$5&amp;"生成成长"),3))*(VLOOKUP($B$5,标准坦克设计!$B$14:$K$20,9)/30))</f>
        <v>15.983598821869828</v>
      </c>
      <c r="AH128" s="172">
        <f ca="1">(VLOOKUP(AH$72,INDIRECT($C$5&amp;"生成成长"),2))/((VLOOKUP($B128,INDIRECT($B$5&amp;"生成成长"),4))/(VLOOKUP(AH$72,INDIRECT($C$5&amp;"生成成长"),5))*(VLOOKUP($B$5,标准坦克设计!$B$24:$U$30,MATCH("对"&amp;LEFT($C$5,2)&amp;"输出",标准坦克设计!$B$23:$U$23,0)))*(VLOOKUP($B128,INDIRECT($B$5&amp;"生成成长"),3))*(VLOOKUP($B$5,标准坦克设计!$B$14:$K$20,9)/30))</f>
        <v>17.176004589417982</v>
      </c>
      <c r="AI128" s="172">
        <f ca="1">(VLOOKUP(AI$72,INDIRECT($C$5&amp;"生成成长"),2))/((VLOOKUP($B128,INDIRECT($B$5&amp;"生成成长"),4))/(VLOOKUP(AI$72,INDIRECT($C$5&amp;"生成成长"),5))*(VLOOKUP($B$5,标准坦克设计!$B$24:$U$30,MATCH("对"&amp;LEFT($C$5,2)&amp;"输出",标准坦克设计!$B$23:$U$23,0)))*(VLOOKUP($B128,INDIRECT($B$5&amp;"生成成长"),3))*(VLOOKUP($B$5,标准坦克设计!$B$14:$K$20,9)/30))</f>
        <v>12.147955449100277</v>
      </c>
      <c r="AJ128" s="172">
        <f ca="1">(VLOOKUP(AJ$72,INDIRECT($C$5&amp;"生成成长"),2))/((VLOOKUP($B128,INDIRECT($B$5&amp;"生成成长"),4))/(VLOOKUP(AJ$72,INDIRECT($C$5&amp;"生成成长"),5))*(VLOOKUP($B$5,标准坦克设计!$B$24:$U$30,MATCH("对"&amp;LEFT($C$5,2)&amp;"输出",标准坦克设计!$B$23:$U$23,0)))*(VLOOKUP($B128,INDIRECT($B$5&amp;"生成成长"),3))*(VLOOKUP($B$5,标准坦克设计!$B$14:$K$20,9)/30))</f>
        <v>13.296825538444782</v>
      </c>
      <c r="AK128" s="172">
        <f ca="1">(VLOOKUP(AK$72,INDIRECT($C$5&amp;"生成成长"),2))/((VLOOKUP($B128,INDIRECT($B$5&amp;"生成成长"),4))/(VLOOKUP(AK$72,INDIRECT($C$5&amp;"生成成长"),5))*(VLOOKUP($B$5,标准坦克设计!$B$24:$U$30,MATCH("对"&amp;LEFT($C$5,2)&amp;"输出",标准坦克设计!$B$23:$U$23,0)))*(VLOOKUP($B128,INDIRECT($B$5&amp;"生成成长"),3))*(VLOOKUP($B$5,标准坦克设计!$B$14:$K$20,9)/30))</f>
        <v>14.497595303283289</v>
      </c>
      <c r="AL128" s="172">
        <f ca="1">(VLOOKUP(AL$72,INDIRECT($C$5&amp;"生成成长"),2))/((VLOOKUP($B128,INDIRECT($B$5&amp;"生成成长"),4))/(VLOOKUP(AL$72,INDIRECT($C$5&amp;"生成成长"),5))*(VLOOKUP($B$5,标准坦克设计!$B$24:$U$30,MATCH("对"&amp;LEFT($C$5,2)&amp;"输出",标准坦克设计!$B$23:$U$23,0)))*(VLOOKUP($B128,INDIRECT($B$5&amp;"生成成长"),3))*(VLOOKUP($B$5,标准坦克设计!$B$14:$K$20,9)/30))</f>
        <v>15.750264743615803</v>
      </c>
      <c r="AM128" s="172">
        <f ca="1">(VLOOKUP(AM$72,INDIRECT($C$5&amp;"生成成长"),2))/((VLOOKUP($B128,INDIRECT($B$5&amp;"生成成长"),4))/(VLOOKUP(AM$72,INDIRECT($C$5&amp;"生成成长"),5))*(VLOOKUP($B$5,标准坦克设计!$B$24:$U$30,MATCH("对"&amp;LEFT($C$5,2)&amp;"输出",标准坦克设计!$B$23:$U$23,0)))*(VLOOKUP($B128,INDIRECT($B$5&amp;"生成成长"),3))*(VLOOKUP($B$5,标准坦克设计!$B$14:$K$20,9)/30))</f>
        <v>17.054833859442315</v>
      </c>
      <c r="AN128" s="172">
        <f ca="1">(VLOOKUP(AN$72,INDIRECT($C$5&amp;"生成成长"),2))/((VLOOKUP($B128,INDIRECT($B$5&amp;"生成成长"),4))/(VLOOKUP(AN$72,INDIRECT($C$5&amp;"生成成长"),5))*(VLOOKUP($B$5,标准坦克设计!$B$24:$U$30,MATCH("对"&amp;LEFT($C$5,2)&amp;"输出",标准坦克设计!$B$23:$U$23,0)))*(VLOOKUP($B128,INDIRECT($B$5&amp;"生成成长"),3))*(VLOOKUP($B$5,标准坦克设计!$B$14:$K$20,9)/30))</f>
        <v>18.411302650762831</v>
      </c>
      <c r="AO128" s="172">
        <f ca="1">(VLOOKUP(AO$72,INDIRECT($C$5&amp;"生成成长"),2))/((VLOOKUP($B128,INDIRECT($B$5&amp;"生成成长"),4))/(VLOOKUP(AO$72,INDIRECT($C$5&amp;"生成成长"),5))*(VLOOKUP($B$5,标准坦克设计!$B$24:$U$30,MATCH("对"&amp;LEFT($C$5,2)&amp;"输出",标准坦克设计!$B$23:$U$23,0)))*(VLOOKUP($B128,INDIRECT($B$5&amp;"生成成长"),3))*(VLOOKUP($B$5,标准坦克设计!$B$14:$K$20,9)/30))</f>
        <v>19.81967111757735</v>
      </c>
      <c r="AP128" s="172">
        <f ca="1">(VLOOKUP(AP$72,INDIRECT($C$5&amp;"生成成长"),2))/((VLOOKUP($B128,INDIRECT($B$5&amp;"生成成长"),4))/(VLOOKUP(AP$72,INDIRECT($C$5&amp;"生成成长"),5))*(VLOOKUP($B$5,标准坦克设计!$B$24:$U$30,MATCH("对"&amp;LEFT($C$5,2)&amp;"输出",标准坦克设计!$B$23:$U$23,0)))*(VLOOKUP($B128,INDIRECT($B$5&amp;"生成成长"),3))*(VLOOKUP($B$5,标准坦克设计!$B$14:$K$20,9)/30))</f>
        <v>21.279939259885872</v>
      </c>
      <c r="AQ128" s="172">
        <f ca="1">(VLOOKUP(AQ$72,INDIRECT($C$5&amp;"生成成长"),2))/((VLOOKUP($B128,INDIRECT($B$5&amp;"生成成长"),4))/(VLOOKUP(AQ$72,INDIRECT($C$5&amp;"生成成长"),5))*(VLOOKUP($B$5,标准坦克设计!$B$24:$U$30,MATCH("对"&amp;LEFT($C$5,2)&amp;"输出",标准坦克设计!$B$23:$U$23,0)))*(VLOOKUP($B128,INDIRECT($B$5&amp;"生成成长"),3))*(VLOOKUP($B$5,标准坦克设计!$B$14:$K$20,9)/30))</f>
        <v>22.792107077688389</v>
      </c>
      <c r="AR128" s="172">
        <f ca="1">(VLOOKUP(AR$72,INDIRECT($C$5&amp;"生成成长"),2))/((VLOOKUP($B128,INDIRECT($B$5&amp;"生成成长"),4))/(VLOOKUP(AR$72,INDIRECT($C$5&amp;"生成成长"),5))*(VLOOKUP($B$5,标准坦克设计!$B$24:$U$30,MATCH("对"&amp;LEFT($C$5,2)&amp;"输出",标准坦克设计!$B$23:$U$23,0)))*(VLOOKUP($B128,INDIRECT($B$5&amp;"生成成长"),3))*(VLOOKUP($B$5,标准坦克设计!$B$14:$K$20,9)/30))</f>
        <v>24.356174570984916</v>
      </c>
      <c r="AS128" s="172">
        <f ca="1">(VLOOKUP(AS$72,INDIRECT($C$5&amp;"生成成长"),2))/((VLOOKUP($B128,INDIRECT($B$5&amp;"生成成长"),4))/(VLOOKUP(AS$72,INDIRECT($C$5&amp;"生成成长"),5))*(VLOOKUP($B$5,标准坦克设计!$B$24:$U$30,MATCH("对"&amp;LEFT($C$5,2)&amp;"输出",标准坦克设计!$B$23:$U$23,0)))*(VLOOKUP($B128,INDIRECT($B$5&amp;"生成成长"),3))*(VLOOKUP($B$5,标准坦克设计!$B$14:$K$20,9)/30))</f>
        <v>25.972141739775441</v>
      </c>
      <c r="AT128" s="172">
        <f ca="1">(VLOOKUP(AT$72,INDIRECT($C$5&amp;"生成成长"),2))/((VLOOKUP($B128,INDIRECT($B$5&amp;"生成成长"),4))/(VLOOKUP(AT$72,INDIRECT($C$5&amp;"生成成长"),5))*(VLOOKUP($B$5,标准坦克设计!$B$24:$U$30,MATCH("对"&amp;LEFT($C$5,2)&amp;"输出",标准坦克设计!$B$23:$U$23,0)))*(VLOOKUP($B128,INDIRECT($B$5&amp;"生成成长"),3))*(VLOOKUP($B$5,标准坦克设计!$B$14:$K$20,9)/30))</f>
        <v>27.64000858405997</v>
      </c>
      <c r="AU128" s="172">
        <f ca="1">(VLOOKUP(AU$72,INDIRECT($C$5&amp;"生成成长"),2))/((VLOOKUP($B128,INDIRECT($B$5&amp;"生成成长"),4))/(VLOOKUP(AU$72,INDIRECT($C$5&amp;"生成成长"),5))*(VLOOKUP($B$5,标准坦克设计!$B$24:$U$30,MATCH("对"&amp;LEFT($C$5,2)&amp;"输出",标准坦克设计!$B$23:$U$23,0)))*(VLOOKUP($B128,INDIRECT($B$5&amp;"生成成长"),3))*(VLOOKUP($B$5,标准坦克设计!$B$14:$K$20,9)/30))</f>
        <v>29.359775103838501</v>
      </c>
      <c r="AV128" s="172">
        <f ca="1">(VLOOKUP(AV$72,INDIRECT($C$5&amp;"生成成长"),2))/((VLOOKUP($B128,INDIRECT($B$5&amp;"生成成长"),4))/(VLOOKUP(AV$72,INDIRECT($C$5&amp;"生成成长"),5))*(VLOOKUP($B$5,标准坦克设计!$B$24:$U$30,MATCH("对"&amp;LEFT($C$5,2)&amp;"输出",标准坦克设计!$B$23:$U$23,0)))*(VLOOKUP($B128,INDIRECT($B$5&amp;"生成成长"),3))*(VLOOKUP($B$5,标准坦克设计!$B$14:$K$20,9)/30))</f>
        <v>2.9861614941259846</v>
      </c>
      <c r="AW128" s="172">
        <f ca="1">(VLOOKUP(AW$72,INDIRECT($C$5&amp;"生成成长"),2))/((VLOOKUP($B128,INDIRECT($B$5&amp;"生成成长"),4))/(VLOOKUP(AW$72,INDIRECT($C$5&amp;"生成成长"),5))*(VLOOKUP($B$5,标准坦克设计!$B$24:$U$30,MATCH("对"&amp;LEFT($C$5,2)&amp;"输出",标准坦克设计!$B$23:$U$23,0)))*(VLOOKUP($B128,INDIRECT($B$5&amp;"生成成长"),3))*(VLOOKUP($B$5,标准坦克设计!$B$14:$K$20,9)/30))</f>
        <v>3.4047902815817386</v>
      </c>
      <c r="AX128" s="172">
        <f ca="1">(VLOOKUP(AX$72,INDIRECT($C$5&amp;"生成成长"),2))/((VLOOKUP($B128,INDIRECT($B$5&amp;"生成成长"),4))/(VLOOKUP(AX$72,INDIRECT($C$5&amp;"生成成长"),5))*(VLOOKUP($B$5,标准坦克设计!$B$24:$U$30,MATCH("对"&amp;LEFT($C$5,2)&amp;"输出",标准坦克设计!$B$23:$U$23,0)))*(VLOOKUP($B128,INDIRECT($B$5&amp;"生成成长"),3))*(VLOOKUP($B$5,标准坦克设计!$B$14:$K$20,9)/30))</f>
        <v>3.8508701370673784</v>
      </c>
      <c r="AY128" s="172">
        <f ca="1">(VLOOKUP(AY$72,INDIRECT($C$5&amp;"生成成长"),2))/((VLOOKUP($B128,INDIRECT($B$5&amp;"生成成长"),4))/(VLOOKUP(AY$72,INDIRECT($C$5&amp;"生成成长"),5))*(VLOOKUP($B$5,标准坦克设计!$B$24:$U$30,MATCH("对"&amp;LEFT($C$5,2)&amp;"输出",标准坦克设计!$B$23:$U$23,0)))*(VLOOKUP($B128,INDIRECT($B$5&amp;"生成成长"),3))*(VLOOKUP($B$5,标准坦克设计!$B$14:$K$20,9)/30))</f>
        <v>4.3244010605829049</v>
      </c>
      <c r="AZ128" s="172">
        <f ca="1">(VLOOKUP(AZ$72,INDIRECT($C$5&amp;"生成成长"),2))/((VLOOKUP($B128,INDIRECT($B$5&amp;"生成成长"),4))/(VLOOKUP(AZ$72,INDIRECT($C$5&amp;"生成成长"),5))*(VLOOKUP($B$5,标准坦克设计!$B$24:$U$30,MATCH("对"&amp;LEFT($C$5,2)&amp;"输出",标准坦克设计!$B$23:$U$23,0)))*(VLOOKUP($B128,INDIRECT($B$5&amp;"生成成长"),3))*(VLOOKUP($B$5,标准坦克设计!$B$14:$K$20,9)/30))</f>
        <v>4.8253830521283145</v>
      </c>
      <c r="BA128" s="172">
        <f ca="1">(VLOOKUP(BA$72,INDIRECT($C$5&amp;"生成成长"),2))/((VLOOKUP($B128,INDIRECT($B$5&amp;"生成成长"),4))/(VLOOKUP(BA$72,INDIRECT($C$5&amp;"生成成长"),5))*(VLOOKUP($B$5,标准坦克设计!$B$24:$U$30,MATCH("对"&amp;LEFT($C$5,2)&amp;"输出",标准坦克设计!$B$23:$U$23,0)))*(VLOOKUP($B128,INDIRECT($B$5&amp;"生成成长"),3))*(VLOOKUP($B$5,标准坦克设计!$B$14:$K$20,9)/30))</f>
        <v>5.3538161117036109</v>
      </c>
      <c r="BB128" s="172">
        <f ca="1">(VLOOKUP(BB$72,INDIRECT($C$5&amp;"生成成长"),2))/((VLOOKUP($B128,INDIRECT($B$5&amp;"生成成长"),4))/(VLOOKUP(BB$72,INDIRECT($C$5&amp;"生成成长"),5))*(VLOOKUP($B$5,标准坦克设计!$B$24:$U$30,MATCH("对"&amp;LEFT($C$5,2)&amp;"输出",标准坦克设计!$B$23:$U$23,0)))*(VLOOKUP($B128,INDIRECT($B$5&amp;"生成成长"),3))*(VLOOKUP($B$5,标准坦克设计!$B$14:$K$20,9)/30))</f>
        <v>5.9097002393087932</v>
      </c>
      <c r="BC128" s="172">
        <f ca="1">(VLOOKUP(BC$72,INDIRECT($C$5&amp;"生成成长"),2))/((VLOOKUP($B128,INDIRECT($B$5&amp;"生成成长"),4))/(VLOOKUP(BC$72,INDIRECT($C$5&amp;"生成成长"),5))*(VLOOKUP($B$5,标准坦克设计!$B$24:$U$30,MATCH("对"&amp;LEFT($C$5,2)&amp;"输出",标准坦克设计!$B$23:$U$23,0)))*(VLOOKUP($B128,INDIRECT($B$5&amp;"生成成长"),3))*(VLOOKUP($B$5,标准坦克设计!$B$14:$K$20,9)/30))</f>
        <v>6.4930354349438604</v>
      </c>
      <c r="BD128" s="172">
        <f ca="1">(VLOOKUP(BD$72,INDIRECT($C$5&amp;"生成成长"),2))/((VLOOKUP($B128,INDIRECT($B$5&amp;"生成成长"),4))/(VLOOKUP(BD$72,INDIRECT($C$5&amp;"生成成长"),5))*(VLOOKUP($B$5,标准坦克设计!$B$24:$U$30,MATCH("对"&amp;LEFT($C$5,2)&amp;"输出",标准坦克设计!$B$23:$U$23,0)))*(VLOOKUP($B128,INDIRECT($B$5&amp;"生成成长"),3))*(VLOOKUP($B$5,标准坦克设计!$B$14:$K$20,9)/30))</f>
        <v>7.1821001347877838</v>
      </c>
      <c r="BE128" s="172">
        <f ca="1">(VLOOKUP(BE$72,INDIRECT($C$5&amp;"生成成长"),2))/((VLOOKUP($B128,INDIRECT($B$5&amp;"生成成长"),4))/(VLOOKUP(BE$72,INDIRECT($C$5&amp;"生成成长"),5))*(VLOOKUP($B$5,标准坦克设计!$B$24:$U$30,MATCH("对"&amp;LEFT($C$5,2)&amp;"输出",标准坦克设计!$B$23:$U$23,0)))*(VLOOKUP($B128,INDIRECT($B$5&amp;"生成成长"),3))*(VLOOKUP($B$5,标准坦克设计!$B$14:$K$20,9)/30))</f>
        <v>7.9059075926070301</v>
      </c>
      <c r="BF128" s="172">
        <f ca="1">(VLOOKUP(BF$72,INDIRECT($C$5&amp;"生成成长"),2))/((VLOOKUP($B128,INDIRECT($B$5&amp;"生成成长"),4))/(VLOOKUP(BF$72,INDIRECT($C$5&amp;"生成成长"),5))*(VLOOKUP($B$5,标准坦克设计!$B$24:$U$30,MATCH("对"&amp;LEFT($C$5,2)&amp;"输出",标准坦克设计!$B$23:$U$23,0)))*(VLOOKUP($B128,INDIRECT($B$5&amp;"生成成长"),3))*(VLOOKUP($B$5,标准坦克设计!$B$14:$K$20,9)/30))</f>
        <v>8.6644578084016022</v>
      </c>
      <c r="BG128" s="172">
        <f ca="1">(VLOOKUP(BG$72,INDIRECT($C$5&amp;"生成成长"),2))/((VLOOKUP($B128,INDIRECT($B$5&amp;"生成成长"),4))/(VLOOKUP(BG$72,INDIRECT($C$5&amp;"生成成长"),5))*(VLOOKUP($B$5,标准坦克设计!$B$24:$U$30,MATCH("对"&amp;LEFT($C$5,2)&amp;"输出",标准坦克设计!$B$23:$U$23,0)))*(VLOOKUP($B128,INDIRECT($B$5&amp;"生成成长"),3))*(VLOOKUP($B$5,标准坦克设计!$B$14:$K$20,9)/30))</f>
        <v>9.4577507821714963</v>
      </c>
      <c r="BH128" s="172">
        <f ca="1">(VLOOKUP(BH$72,INDIRECT($C$5&amp;"生成成长"),2))/((VLOOKUP($B128,INDIRECT($B$5&amp;"生成成长"),4))/(VLOOKUP(BH$72,INDIRECT($C$5&amp;"生成成长"),5))*(VLOOKUP($B$5,标准坦克设计!$B$24:$U$30,MATCH("对"&amp;LEFT($C$5,2)&amp;"输出",标准坦克设计!$B$23:$U$23,0)))*(VLOOKUP($B128,INDIRECT($B$5&amp;"生成成长"),3))*(VLOOKUP($B$5,标准坦克设计!$B$14:$K$20,9)/30))</f>
        <v>4.5714606728518739</v>
      </c>
      <c r="BI128" s="172">
        <f ca="1">(VLOOKUP(BI$72,INDIRECT($C$5&amp;"生成成长"),2))/((VLOOKUP($B128,INDIRECT($B$5&amp;"生成成长"),4))/(VLOOKUP(BI$72,INDIRECT($C$5&amp;"生成成长"),5))*(VLOOKUP($B$5,标准坦克设计!$B$24:$U$30,MATCH("对"&amp;LEFT($C$5,2)&amp;"输出",标准坦克设计!$B$23:$U$23,0)))*(VLOOKUP($B128,INDIRECT($B$5&amp;"生成成长"),3))*(VLOOKUP($B$5,标准坦克设计!$B$14:$K$20,9)/30))</f>
        <v>5.152436792328122</v>
      </c>
      <c r="BJ128" s="172">
        <f ca="1">(VLOOKUP(BJ$72,INDIRECT($C$5&amp;"生成成长"),2))/((VLOOKUP($B128,INDIRECT($B$5&amp;"生成成长"),4))/(VLOOKUP(BJ$72,INDIRECT($C$5&amp;"生成成长"),5))*(VLOOKUP($B$5,标准坦克设计!$B$24:$U$30,MATCH("对"&amp;LEFT($C$5,2)&amp;"输出",标准坦克设计!$B$23:$U$23,0)))*(VLOOKUP($B128,INDIRECT($B$5&amp;"生成成长"),3))*(VLOOKUP($B$5,标准坦克设计!$B$14:$K$20,9)/30))</f>
        <v>5.768155669779695</v>
      </c>
      <c r="BK128" s="172">
        <f ca="1">(VLOOKUP(BK$72,INDIRECT($C$5&amp;"生成成长"),2))/((VLOOKUP($B128,INDIRECT($B$5&amp;"生成成长"),4))/(VLOOKUP(BK$72,INDIRECT($C$5&amp;"生成成长"),5))*(VLOOKUP($B$5,标准坦克设计!$B$24:$U$30,MATCH("对"&amp;LEFT($C$5,2)&amp;"输出",标准坦克设计!$B$23:$U$23,0)))*(VLOOKUP($B128,INDIRECT($B$5&amp;"生成成长"),3))*(VLOOKUP($B$5,标准坦克设计!$B$14:$K$20,9)/30))</f>
        <v>6.4186173052065936</v>
      </c>
      <c r="BL128" s="172">
        <f ca="1">(VLOOKUP(BL$72,INDIRECT($C$5&amp;"生成成长"),2))/((VLOOKUP($B128,INDIRECT($B$5&amp;"生成成长"),4))/(VLOOKUP(BL$72,INDIRECT($C$5&amp;"生成成长"),5))*(VLOOKUP($B$5,标准坦克设计!$B$24:$U$30,MATCH("对"&amp;LEFT($C$5,2)&amp;"输出",标准坦克设计!$B$23:$U$23,0)))*(VLOOKUP($B128,INDIRECT($B$5&amp;"生成成长"),3))*(VLOOKUP($B$5,标准坦克设计!$B$14:$K$20,9)/30))</f>
        <v>7.1038216986088134</v>
      </c>
      <c r="BM128" s="172">
        <f ca="1">(VLOOKUP(BM$72,INDIRECT($C$5&amp;"生成成长"),2))/((VLOOKUP($B128,INDIRECT($B$5&amp;"生成成长"),4))/(VLOOKUP(BM$72,INDIRECT($C$5&amp;"生成成长"),5))*(VLOOKUP($B$5,标准坦克设计!$B$24:$U$30,MATCH("对"&amp;LEFT($C$5,2)&amp;"输出",标准坦克设计!$B$23:$U$23,0)))*(VLOOKUP($B128,INDIRECT($B$5&amp;"生成成长"),3))*(VLOOKUP($B$5,标准坦克设计!$B$14:$K$20,9)/30))</f>
        <v>7.823768849986358</v>
      </c>
      <c r="BN128" s="172">
        <f ca="1">(VLOOKUP(BN$72,INDIRECT($C$5&amp;"生成成长"),2))/((VLOOKUP($B128,INDIRECT($B$5&amp;"生成成长"),4))/(VLOOKUP(BN$72,INDIRECT($C$5&amp;"生成成长"),5))*(VLOOKUP($B$5,标准坦克设计!$B$24:$U$30,MATCH("对"&amp;LEFT($C$5,2)&amp;"输出",标准坦克设计!$B$23:$U$23,0)))*(VLOOKUP($B128,INDIRECT($B$5&amp;"生成成长"),3))*(VLOOKUP($B$5,标准坦克设计!$B$14:$K$20,9)/30))</f>
        <v>8.5784587593392256</v>
      </c>
      <c r="BO128" s="172">
        <f ca="1">(VLOOKUP(BO$72,INDIRECT($C$5&amp;"生成成长"),2))/((VLOOKUP($B128,INDIRECT($B$5&amp;"生成成长"),4))/(VLOOKUP(BO$72,INDIRECT($C$5&amp;"生成成长"),5))*(VLOOKUP($B$5,标准坦克设计!$B$24:$U$30,MATCH("对"&amp;LEFT($C$5,2)&amp;"输出",标准坦克设计!$B$23:$U$23,0)))*(VLOOKUP($B128,INDIRECT($B$5&amp;"生成成长"),3))*(VLOOKUP($B$5,标准坦克设计!$B$14:$K$20,9)/30))</f>
        <v>9.367891426667418</v>
      </c>
      <c r="BP128" s="172">
        <f ca="1">(VLOOKUP(BP$72,INDIRECT($C$5&amp;"生成成长"),2))/((VLOOKUP($B128,INDIRECT($B$5&amp;"生成成长"),4))/(VLOOKUP(BP$72,INDIRECT($C$5&amp;"生成成长"),5))*(VLOOKUP($B$5,标准坦克设计!$B$24:$U$30,MATCH("对"&amp;LEFT($C$5,2)&amp;"输出",标准坦克设计!$B$23:$U$23,0)))*(VLOOKUP($B128,INDIRECT($B$5&amp;"生成成长"),3))*(VLOOKUP($B$5,标准坦克设计!$B$14:$K$20,9)/30))</f>
        <v>10.192066851970935</v>
      </c>
      <c r="BQ128" s="172">
        <f ca="1">(VLOOKUP(BQ$72,INDIRECT($C$5&amp;"生成成长"),2))/((VLOOKUP($B128,INDIRECT($B$5&amp;"生成成长"),4))/(VLOOKUP(BQ$72,INDIRECT($C$5&amp;"生成成长"),5))*(VLOOKUP($B$5,标准坦克设计!$B$24:$U$30,MATCH("对"&amp;LEFT($C$5,2)&amp;"输出",标准坦克设计!$B$23:$U$23,0)))*(VLOOKUP($B128,INDIRECT($B$5&amp;"生成成长"),3))*(VLOOKUP($B$5,标准坦克设计!$B$14:$K$20,9)/30))</f>
        <v>11.050985035249775</v>
      </c>
      <c r="BR128" s="172">
        <f ca="1">(VLOOKUP(BR$72,INDIRECT($C$5&amp;"生成成长"),2))/((VLOOKUP($B128,INDIRECT($B$5&amp;"生成成长"),4))/(VLOOKUP(BR$72,INDIRECT($C$5&amp;"生成成长"),5))*(VLOOKUP($B$5,标准坦克设计!$B$24:$U$30,MATCH("对"&amp;LEFT($C$5,2)&amp;"输出",标准坦克设计!$B$23:$U$23,0)))*(VLOOKUP($B128,INDIRECT($B$5&amp;"生成成长"),3))*(VLOOKUP($B$5,标准坦克设计!$B$14:$K$20,9)/30))</f>
        <v>12.046086251333124</v>
      </c>
      <c r="BS128" s="172">
        <f ca="1">(VLOOKUP(BS$72,INDIRECT($C$5&amp;"生成成长"),2))/((VLOOKUP($B128,INDIRECT($B$5&amp;"生成成长"),4))/(VLOOKUP(BS$72,INDIRECT($C$5&amp;"生成成长"),5))*(VLOOKUP($B$5,标准坦克设计!$B$24:$U$30,MATCH("对"&amp;LEFT($C$5,2)&amp;"输出",标准坦克设计!$B$23:$U$23,0)))*(VLOOKUP($B128,INDIRECT($B$5&amp;"生成成长"),3))*(VLOOKUP($B$5,标准坦克设计!$B$14:$K$20,9)/30))</f>
        <v>13.084079761213172</v>
      </c>
      <c r="BT128" s="172">
        <f ca="1">(VLOOKUP(BT$72,INDIRECT($C$5&amp;"生成成长"),2))/((VLOOKUP($B128,INDIRECT($B$5&amp;"生成成长"),4))/(VLOOKUP(BT$72,INDIRECT($C$5&amp;"生成成长"),5))*(VLOOKUP($B$5,标准坦克设计!$B$24:$U$30,MATCH("对"&amp;LEFT($C$5,2)&amp;"输出",标准坦克设计!$B$23:$U$23,0)))*(VLOOKUP($B128,INDIRECT($B$5&amp;"生成成长"),3))*(VLOOKUP($B$5,标准坦克设计!$B$14:$K$20,9)/30))</f>
        <v>14.164965564889915</v>
      </c>
      <c r="BU128" s="172">
        <f ca="1">(VLOOKUP(BU$72,INDIRECT($C$5&amp;"生成成长"),2))/((VLOOKUP($B128,INDIRECT($B$5&amp;"生成成长"),4))/(VLOOKUP(BU$72,INDIRECT($C$5&amp;"生成成长"),5))*(VLOOKUP($B$5,标准坦克设计!$B$24:$U$30,MATCH("对"&amp;LEFT($C$5,2)&amp;"输出",标准坦克设计!$B$23:$U$23,0)))*(VLOOKUP($B128,INDIRECT($B$5&amp;"生成成长"),3))*(VLOOKUP($B$5,标准坦克设计!$B$14:$K$20,9)/30))</f>
        <v>15.288743662363354</v>
      </c>
      <c r="BV128" s="172">
        <f ca="1">(VLOOKUP(BV$72,INDIRECT($C$5&amp;"生成成长"),2))/((VLOOKUP($B128,INDIRECT($B$5&amp;"生成成长"),4))/(VLOOKUP(BV$72,INDIRECT($C$5&amp;"生成成长"),5))*(VLOOKUP($B$5,标准坦克设计!$B$24:$U$30,MATCH("对"&amp;LEFT($C$5,2)&amp;"输出",标准坦克设计!$B$23:$U$23,0)))*(VLOOKUP($B128,INDIRECT($B$5&amp;"生成成长"),3))*(VLOOKUP($B$5,标准坦克设计!$B$14:$K$20,9)/30))</f>
        <v>16.45541405363349</v>
      </c>
      <c r="BW128" s="172">
        <f ca="1">(VLOOKUP(BW$72,INDIRECT($C$5&amp;"生成成长"),2))/((VLOOKUP($B128,INDIRECT($B$5&amp;"生成成长"),4))/(VLOOKUP(BW$72,INDIRECT($C$5&amp;"生成成长"),5))*(VLOOKUP($B$5,标准坦克设计!$B$24:$U$30,MATCH("对"&amp;LEFT($C$5,2)&amp;"输出",标准坦克设计!$B$23:$U$23,0)))*(VLOOKUP($B128,INDIRECT($B$5&amp;"生成成长"),3))*(VLOOKUP($B$5,标准坦克设计!$B$14:$K$20,9)/30))</f>
        <v>7.499503108883335</v>
      </c>
      <c r="BX128" s="172">
        <f ca="1">(VLOOKUP(BX$72,INDIRECT($C$5&amp;"生成成长"),2))/((VLOOKUP($B128,INDIRECT($B$5&amp;"生成成长"),4))/(VLOOKUP(BX$72,INDIRECT($C$5&amp;"生成成长"),5))*(VLOOKUP($B$5,标准坦克设计!$B$24:$U$30,MATCH("对"&amp;LEFT($C$5,2)&amp;"输出",标准坦克设计!$B$23:$U$23,0)))*(VLOOKUP($B128,INDIRECT($B$5&amp;"生成成长"),3))*(VLOOKUP($B$5,标准坦克设计!$B$14:$K$20,9)/30))</f>
        <v>8.3230351497798996</v>
      </c>
      <c r="BY128" s="172">
        <f ca="1">(VLOOKUP(BY$72,INDIRECT($C$5&amp;"生成成长"),2))/((VLOOKUP($B128,INDIRECT($B$5&amp;"生成成长"),4))/(VLOOKUP(BY$72,INDIRECT($C$5&amp;"生成成长"),5))*(VLOOKUP($B$5,标准坦克设计!$B$24:$U$30,MATCH("对"&amp;LEFT($C$5,2)&amp;"输出",标准坦克设计!$B$23:$U$23,0)))*(VLOOKUP($B128,INDIRECT($B$5&amp;"生成成长"),3))*(VLOOKUP($B$5,标准坦克设计!$B$14:$K$20,9)/30))</f>
        <v>9.1894594844731632</v>
      </c>
      <c r="BZ128" s="172">
        <f ca="1">(VLOOKUP(BZ$72,INDIRECT($C$5&amp;"生成成长"),2))/((VLOOKUP($B128,INDIRECT($B$5&amp;"生成成长"),4))/(VLOOKUP(BZ$72,INDIRECT($C$5&amp;"生成成长"),5))*(VLOOKUP($B$5,标准坦克设计!$B$24:$U$30,MATCH("对"&amp;LEFT($C$5,2)&amp;"输出",标准坦克设计!$B$23:$U$23,0)))*(VLOOKUP($B128,INDIRECT($B$5&amp;"生成成长"),3))*(VLOOKUP($B$5,标准坦克设计!$B$14:$K$20,9)/30))</f>
        <v>10.098776112963122</v>
      </c>
      <c r="CA128" s="172">
        <f ca="1">(VLOOKUP(CA$72,INDIRECT($C$5&amp;"生成成长"),2))/((VLOOKUP($B128,INDIRECT($B$5&amp;"生成成长"),4))/(VLOOKUP(CA$72,INDIRECT($C$5&amp;"生成成长"),5))*(VLOOKUP($B$5,标准坦克设计!$B$24:$U$30,MATCH("对"&amp;LEFT($C$5,2)&amp;"输出",标准坦克设计!$B$23:$U$23,0)))*(VLOOKUP($B128,INDIRECT($B$5&amp;"生成成长"),3))*(VLOOKUP($B$5,标准坦克设计!$B$14:$K$20,9)/30))</f>
        <v>11.050985035249775</v>
      </c>
      <c r="CB128" s="172">
        <f ca="1">(VLOOKUP(CB$72,INDIRECT($C$5&amp;"生成成长"),2))/((VLOOKUP($B128,INDIRECT($B$5&amp;"生成成长"),4))/(VLOOKUP(CB$72,INDIRECT($C$5&amp;"生成成长"),5))*(VLOOKUP($B$5,标准坦克设计!$B$24:$U$30,MATCH("对"&amp;LEFT($C$5,2)&amp;"输出",标准坦克设计!$B$23:$U$23,0)))*(VLOOKUP($B128,INDIRECT($B$5&amp;"生成成长"),3))*(VLOOKUP($B$5,标准坦克设计!$B$14:$K$20,9)/30))</f>
        <v>12.046086251333124</v>
      </c>
      <c r="CC128" s="172">
        <f ca="1">(VLOOKUP(CC$72,INDIRECT($C$5&amp;"生成成长"),2))/((VLOOKUP($B128,INDIRECT($B$5&amp;"生成成长"),4))/(VLOOKUP(CC$72,INDIRECT($C$5&amp;"生成成长"),5))*(VLOOKUP($B$5,标准坦克设计!$B$24:$U$30,MATCH("对"&amp;LEFT($C$5,2)&amp;"输出",标准坦克设计!$B$23:$U$23,0)))*(VLOOKUP($B128,INDIRECT($B$5&amp;"生成成长"),3))*(VLOOKUP($B$5,标准坦克设计!$B$14:$K$20,9)/30))</f>
        <v>13.084079761213172</v>
      </c>
      <c r="CD128" s="172">
        <f ca="1">(VLOOKUP(CD$72,INDIRECT($C$5&amp;"生成成长"),2))/((VLOOKUP($B128,INDIRECT($B$5&amp;"生成成长"),4))/(VLOOKUP(CD$72,INDIRECT($C$5&amp;"生成成长"),5))*(VLOOKUP($B$5,标准坦克设计!$B$24:$U$30,MATCH("对"&amp;LEFT($C$5,2)&amp;"输出",标准坦克设计!$B$23:$U$23,0)))*(VLOOKUP($B128,INDIRECT($B$5&amp;"生成成长"),3))*(VLOOKUP($B$5,标准坦克设计!$B$14:$K$20,9)/30))</f>
        <v>14.164965564889915</v>
      </c>
      <c r="CE128" s="172">
        <f ca="1">(VLOOKUP(CE$72,INDIRECT($C$5&amp;"生成成长"),2))/((VLOOKUP($B128,INDIRECT($B$5&amp;"生成成长"),4))/(VLOOKUP(CE$72,INDIRECT($C$5&amp;"生成成长"),5))*(VLOOKUP($B$5,标准坦克设计!$B$24:$U$30,MATCH("对"&amp;LEFT($C$5,2)&amp;"输出",标准坦克设计!$B$23:$U$23,0)))*(VLOOKUP($B128,INDIRECT($B$5&amp;"生成成长"),3))*(VLOOKUP($B$5,标准坦克设计!$B$14:$K$20,9)/30))</f>
        <v>15.288743662363354</v>
      </c>
      <c r="CF128" s="172">
        <f ca="1">(VLOOKUP(CF$72,INDIRECT($C$5&amp;"生成成长"),2))/((VLOOKUP($B128,INDIRECT($B$5&amp;"生成成长"),4))/(VLOOKUP(CF$72,INDIRECT($C$5&amp;"生成成长"),5))*(VLOOKUP($B$5,标准坦克设计!$B$24:$U$30,MATCH("对"&amp;LEFT($C$5,2)&amp;"输出",标准坦克设计!$B$23:$U$23,0)))*(VLOOKUP($B128,INDIRECT($B$5&amp;"生成成长"),3))*(VLOOKUP($B$5,标准坦克设计!$B$14:$K$20,9)/30))</f>
        <v>16.45541405363349</v>
      </c>
      <c r="CG128" s="172">
        <f ca="1">(VLOOKUP(CG$72,INDIRECT($C$5&amp;"生成成长"),2))/((VLOOKUP($B128,INDIRECT($B$5&amp;"生成成长"),4))/(VLOOKUP(CG$72,INDIRECT($C$5&amp;"生成成长"),5))*(VLOOKUP($B$5,标准坦克设计!$B$24:$U$30,MATCH("对"&amp;LEFT($C$5,2)&amp;"输出",标准坦克设计!$B$23:$U$23,0)))*(VLOOKUP($B128,INDIRECT($B$5&amp;"生成成长"),3))*(VLOOKUP($B$5,标准坦克设计!$B$14:$K$20,9)/30))</f>
        <v>17.664976738700318</v>
      </c>
      <c r="CH128" s="172">
        <f ca="1">(VLOOKUP(CH$72,INDIRECT($C$5&amp;"生成成长"),2))/((VLOOKUP($B128,INDIRECT($B$5&amp;"生成成长"),4))/(VLOOKUP(CH$72,INDIRECT($C$5&amp;"生成成长"),5))*(VLOOKUP($B$5,标准坦克设计!$B$24:$U$30,MATCH("对"&amp;LEFT($C$5,2)&amp;"输出",标准坦克设计!$B$23:$U$23,0)))*(VLOOKUP($B128,INDIRECT($B$5&amp;"生成成长"),3))*(VLOOKUP($B$5,标准坦克设计!$B$14:$K$20,9)/30))</f>
        <v>18.917431717563844</v>
      </c>
      <c r="CI128" s="172">
        <f ca="1">(VLOOKUP(CI$72,INDIRECT($C$5&amp;"生成成长"),2))/((VLOOKUP($B128,INDIRECT($B$5&amp;"生成成长"),4))/(VLOOKUP(CI$72,INDIRECT($C$5&amp;"生成成长"),5))*(VLOOKUP($B$5,标准坦克设计!$B$24:$U$30,MATCH("对"&amp;LEFT($C$5,2)&amp;"输出",标准坦克设计!$B$23:$U$23,0)))*(VLOOKUP($B128,INDIRECT($B$5&amp;"生成成长"),3))*(VLOOKUP($B$5,标准坦克设计!$B$14:$K$20,9)/30))</f>
        <v>20.344672793648911</v>
      </c>
      <c r="CJ128" s="172">
        <f ca="1">(VLOOKUP(CJ$72,INDIRECT($C$5&amp;"生成成长"),2))/((VLOOKUP($B128,INDIRECT($B$5&amp;"生成成长"),4))/(VLOOKUP(CJ$72,INDIRECT($C$5&amp;"生成成长"),5))*(VLOOKUP($B$5,标准坦克设计!$B$24:$U$30,MATCH("对"&amp;LEFT($C$5,2)&amp;"输出",标准坦克设计!$B$23:$U$23,0)))*(VLOOKUP($B128,INDIRECT($B$5&amp;"生成成长"),3))*(VLOOKUP($B$5,标准坦克设计!$B$14:$K$20,9)/30))</f>
        <v>21.823813545227974</v>
      </c>
      <c r="CK128" s="172">
        <f ca="1">(VLOOKUP(CK$72,INDIRECT($C$5&amp;"生成成长"),2))/((VLOOKUP($B128,INDIRECT($B$5&amp;"生成成长"),4))/(VLOOKUP(CK$72,INDIRECT($C$5&amp;"生成成长"),5))*(VLOOKUP($B$5,标准坦克设计!$B$24:$U$30,MATCH("对"&amp;LEFT($C$5,2)&amp;"输出",标准坦克设计!$B$23:$U$23,0)))*(VLOOKUP($B128,INDIRECT($B$5&amp;"生成成长"),3))*(VLOOKUP($B$5,标准坦克设计!$B$14:$K$20,9)/30))</f>
        <v>23.35485397230104</v>
      </c>
      <c r="CL128" s="172">
        <f ca="1">(VLOOKUP(CL$72,INDIRECT($C$5&amp;"生成成长"),2))/((VLOOKUP($B128,INDIRECT($B$5&amp;"生成成长"),4))/(VLOOKUP(CL$72,INDIRECT($C$5&amp;"生成成长"),5))*(VLOOKUP($B$5,标准坦克设计!$B$24:$U$30,MATCH("对"&amp;LEFT($C$5,2)&amp;"输出",标准坦克设计!$B$23:$U$23,0)))*(VLOOKUP($B128,INDIRECT($B$5&amp;"生成成长"),3))*(VLOOKUP($B$5,标准坦克设计!$B$14:$K$20,9)/30))</f>
        <v>24.937794074868112</v>
      </c>
      <c r="CM128" s="172">
        <f ca="1">(VLOOKUP(CM$72,INDIRECT($C$5&amp;"生成成长"),2))/((VLOOKUP($B128,INDIRECT($B$5&amp;"生成成长"),4))/(VLOOKUP(CM$72,INDIRECT($C$5&amp;"生成成长"),5))*(VLOOKUP($B$5,标准坦克设计!$B$24:$U$30,MATCH("对"&amp;LEFT($C$5,2)&amp;"输出",标准坦克设计!$B$23:$U$23,0)))*(VLOOKUP($B128,INDIRECT($B$5&amp;"生成成长"),3))*(VLOOKUP($B$5,标准坦克设计!$B$14:$K$20,9)/30))</f>
        <v>26.572633852929187</v>
      </c>
      <c r="CN128" s="172">
        <f ca="1">(VLOOKUP(CN$72,INDIRECT($C$5&amp;"生成成长"),2))/((VLOOKUP($B128,INDIRECT($B$5&amp;"生成成长"),4))/(VLOOKUP(CN$72,INDIRECT($C$5&amp;"生成成长"),5))*(VLOOKUP($B$5,标准坦克设计!$B$24:$U$30,MATCH("对"&amp;LEFT($C$5,2)&amp;"输出",标准坦克设计!$B$23:$U$23,0)))*(VLOOKUP($B128,INDIRECT($B$5&amp;"生成成长"),3))*(VLOOKUP($B$5,标准坦克设计!$B$14:$K$20,9)/30))</f>
        <v>28.25937330648426</v>
      </c>
      <c r="CO128" s="172">
        <f ca="1">(VLOOKUP(CO$72,INDIRECT($C$5&amp;"生成成长"),2))/((VLOOKUP($B128,INDIRECT($B$5&amp;"生成成长"),4))/(VLOOKUP(CO$72,INDIRECT($C$5&amp;"生成成长"),5))*(VLOOKUP($B$5,标准坦克设计!$B$24:$U$30,MATCH("对"&amp;LEFT($C$5,2)&amp;"输出",标准坦克设计!$B$23:$U$23,0)))*(VLOOKUP($B128,INDIRECT($B$5&amp;"生成成长"),3))*(VLOOKUP($B$5,标准坦克设计!$B$14:$K$20,9)/30))</f>
        <v>12.663735282005549</v>
      </c>
      <c r="CP128" s="172">
        <f ca="1">(VLOOKUP(CP$72,INDIRECT($C$5&amp;"生成成长"),2))/((VLOOKUP($B128,INDIRECT($B$5&amp;"生成成长"),4))/(VLOOKUP(CP$72,INDIRECT($C$5&amp;"生成成长"),5))*(VLOOKUP($B$5,标准坦克设计!$B$24:$U$30,MATCH("对"&amp;LEFT($C$5,2)&amp;"输出",标准坦克设计!$B$23:$U$23,0)))*(VLOOKUP($B128,INDIRECT($B$5&amp;"生成成长"),3))*(VLOOKUP($B$5,标准坦克设计!$B$14:$K$20,9)/30))</f>
        <v>13.836196132938239</v>
      </c>
      <c r="CQ128" s="172">
        <f ca="1">(VLOOKUP(CQ$72,INDIRECT($C$5&amp;"生成成长"),2))/((VLOOKUP($B128,INDIRECT($B$5&amp;"生成成长"),4))/(VLOOKUP(CQ$72,INDIRECT($C$5&amp;"生成成长"),5))*(VLOOKUP($B$5,标准坦克设计!$B$24:$U$30,MATCH("对"&amp;LEFT($C$5,2)&amp;"输出",标准坦克设计!$B$23:$U$23,0)))*(VLOOKUP($B128,INDIRECT($B$5&amp;"生成成长"),3))*(VLOOKUP($B$5,标准坦克设计!$B$14:$K$20,9)/30))</f>
        <v>15.060556659364929</v>
      </c>
      <c r="CR128" s="172">
        <f ca="1">(VLOOKUP(CR$72,INDIRECT($C$5&amp;"生成成长"),2))/((VLOOKUP($B128,INDIRECT($B$5&amp;"生成成长"),4))/(VLOOKUP(CR$72,INDIRECT($C$5&amp;"生成成长"),5))*(VLOOKUP($B$5,标准坦克设计!$B$24:$U$30,MATCH("对"&amp;LEFT($C$5,2)&amp;"输出",标准坦克设计!$B$23:$U$23,0)))*(VLOOKUP($B128,INDIRECT($B$5&amp;"生成成长"),3))*(VLOOKUP($B$5,标准坦克设计!$B$14:$K$20,9)/30))</f>
        <v>16.336816861285627</v>
      </c>
      <c r="CS128" s="172">
        <f ca="1">(VLOOKUP(CS$72,INDIRECT($C$5&amp;"生成成长"),2))/((VLOOKUP($B128,INDIRECT($B$5&amp;"生成成长"),4))/(VLOOKUP(CS$72,INDIRECT($C$5&amp;"生成成长"),5))*(VLOOKUP($B$5,标准坦克设计!$B$24:$U$30,MATCH("对"&amp;LEFT($C$5,2)&amp;"输出",标准坦克设计!$B$23:$U$23,0)))*(VLOOKUP($B128,INDIRECT($B$5&amp;"生成成长"),3))*(VLOOKUP($B$5,标准坦克设计!$B$14:$K$20,9)/30))</f>
        <v>17.664976738700318</v>
      </c>
      <c r="CT128" s="172">
        <f ca="1">(VLOOKUP(CT$72,INDIRECT($C$5&amp;"生成成长"),2))/((VLOOKUP($B128,INDIRECT($B$5&amp;"生成成长"),4))/(VLOOKUP(CT$72,INDIRECT($C$5&amp;"生成成长"),5))*(VLOOKUP($B$5,标准坦克设计!$B$24:$U$30,MATCH("对"&amp;LEFT($C$5,2)&amp;"输出",标准坦克设计!$B$23:$U$23,0)))*(VLOOKUP($B128,INDIRECT($B$5&amp;"生成成长"),3))*(VLOOKUP($B$5,标准坦克设计!$B$14:$K$20,9)/30))</f>
        <v>19.045036291609016</v>
      </c>
      <c r="CU128" s="172">
        <f ca="1">(VLOOKUP(CU$72,INDIRECT($C$5&amp;"生成成长"),2))/((VLOOKUP($B128,INDIRECT($B$5&amp;"生成成长"),4))/(VLOOKUP(CU$72,INDIRECT($C$5&amp;"生成成长"),5))*(VLOOKUP($B$5,标准坦克设计!$B$24:$U$30,MATCH("对"&amp;LEFT($C$5,2)&amp;"输出",标准坦克设计!$B$23:$U$23,0)))*(VLOOKUP($B128,INDIRECT($B$5&amp;"生成成长"),3))*(VLOOKUP($B$5,标准坦克设计!$B$14:$K$20,9)/30))</f>
        <v>20.476995520011716</v>
      </c>
      <c r="CV128" s="172">
        <f ca="1">(VLOOKUP(CV$72,INDIRECT($C$5&amp;"生成成长"),2))/((VLOOKUP($B128,INDIRECT($B$5&amp;"生成成长"),4))/(VLOOKUP(CV$72,INDIRECT($C$5&amp;"生成成长"),5))*(VLOOKUP($B$5,标准坦克设计!$B$24:$U$30,MATCH("对"&amp;LEFT($C$5,2)&amp;"输出",标准坦克设计!$B$23:$U$23,0)))*(VLOOKUP($B128,INDIRECT($B$5&amp;"生成成长"),3))*(VLOOKUP($B$5,标准坦克设计!$B$14:$K$20,9)/30))</f>
        <v>21.960854423908419</v>
      </c>
      <c r="CW128" s="172">
        <f ca="1">(VLOOKUP(CW$72,INDIRECT($C$5&amp;"生成成长"),2))/((VLOOKUP($B128,INDIRECT($B$5&amp;"生成成长"),4))/(VLOOKUP(CW$72,INDIRECT($C$5&amp;"生成成长"),5))*(VLOOKUP($B$5,标准坦克设计!$B$24:$U$30,MATCH("对"&amp;LEFT($C$5,2)&amp;"输出",标准坦克设计!$B$23:$U$23,0)))*(VLOOKUP($B128,INDIRECT($B$5&amp;"生成成长"),3))*(VLOOKUP($B$5,标准坦克设计!$B$14:$K$20,9)/30))</f>
        <v>23.496613003299125</v>
      </c>
      <c r="CX128" s="172">
        <f ca="1">(VLOOKUP(CX$72,INDIRECT($C$5&amp;"生成成长"),2))/((VLOOKUP($B128,INDIRECT($B$5&amp;"生成成长"),4))/(VLOOKUP(CX$72,INDIRECT($C$5&amp;"生成成长"),5))*(VLOOKUP($B$5,标准坦克设计!$B$24:$U$30,MATCH("对"&amp;LEFT($C$5,2)&amp;"输出",标准坦克设计!$B$23:$U$23,0)))*(VLOOKUP($B128,INDIRECT($B$5&amp;"生成成长"),3))*(VLOOKUP($B$5,标准坦克设计!$B$14:$K$20,9)/30))</f>
        <v>25.084271258183829</v>
      </c>
      <c r="CY128" s="172">
        <f ca="1">(VLOOKUP(CY$72,INDIRECT($C$5&amp;"生成成长"),2))/((VLOOKUP($B128,INDIRECT($B$5&amp;"生成成长"),4))/(VLOOKUP(CY$72,INDIRECT($C$5&amp;"生成成长"),5))*(VLOOKUP($B$5,标准坦克设计!$B$24:$U$30,MATCH("对"&amp;LEFT($C$5,2)&amp;"输出",标准坦克设计!$B$23:$U$23,0)))*(VLOOKUP($B128,INDIRECT($B$5&amp;"生成成长"),3))*(VLOOKUP($B$5,标准坦克设计!$B$14:$K$20,9)/30))</f>
        <v>26.723829188562544</v>
      </c>
      <c r="CZ128" s="172">
        <f ca="1">(VLOOKUP(CZ$72,INDIRECT($C$5&amp;"生成成长"),2))/((VLOOKUP($B128,INDIRECT($B$5&amp;"生成成长"),4))/(VLOOKUP(CZ$72,INDIRECT($C$5&amp;"生成成长"),5))*(VLOOKUP($B$5,标准坦克设计!$B$24:$U$30,MATCH("对"&amp;LEFT($C$5,2)&amp;"输出",标准坦克设计!$B$23:$U$23,0)))*(VLOOKUP($B128,INDIRECT($B$5&amp;"生成成长"),3))*(VLOOKUP($B$5,标准坦克设计!$B$14:$K$20,9)/30))</f>
        <v>28.415286794435254</v>
      </c>
      <c r="DA128" s="172">
        <f ca="1">(VLOOKUP(DA$72,INDIRECT($C$5&amp;"生成成长"),2))/((VLOOKUP($B128,INDIRECT($B$5&amp;"生成成长"),4))/(VLOOKUP(DA$72,INDIRECT($C$5&amp;"生成成长"),5))*(VLOOKUP($B$5,标准坦克设计!$B$24:$U$30,MATCH("对"&amp;LEFT($C$5,2)&amp;"输出",标准坦克设计!$B$23:$U$23,0)))*(VLOOKUP($B128,INDIRECT($B$5&amp;"生成成长"),3))*(VLOOKUP($B$5,标准坦克设计!$B$14:$K$20,9)/30))</f>
        <v>30.158644075801966</v>
      </c>
      <c r="DB128" s="172">
        <f ca="1">(VLOOKUP(DB$72,INDIRECT($C$5&amp;"生成成长"),2))/((VLOOKUP($B128,INDIRECT($B$5&amp;"生成成长"),4))/(VLOOKUP(DB$72,INDIRECT($C$5&amp;"生成成长"),5))*(VLOOKUP($B$5,标准坦克设计!$B$24:$U$30,MATCH("对"&amp;LEFT($C$5,2)&amp;"输出",标准坦克设计!$B$23:$U$23,0)))*(VLOOKUP($B128,INDIRECT($B$5&amp;"生成成长"),3))*(VLOOKUP($B$5,标准坦克设计!$B$14:$K$20,9)/30))</f>
        <v>31.953901032662689</v>
      </c>
      <c r="DC128" s="172">
        <f ca="1">(VLOOKUP(DC$72,INDIRECT($C$5&amp;"生成成长"),2))/((VLOOKUP($B128,INDIRECT($B$5&amp;"生成成长"),4))/(VLOOKUP(DC$72,INDIRECT($C$5&amp;"生成成长"),5))*(VLOOKUP($B$5,标准坦克设计!$B$24:$U$30,MATCH("对"&amp;LEFT($C$5,2)&amp;"输出",标准坦克设计!$B$23:$U$23,0)))*(VLOOKUP($B128,INDIRECT($B$5&amp;"生成成长"),3))*(VLOOKUP($B$5,标准坦克设计!$B$14:$K$20,9)/30))</f>
        <v>33.971554532859273</v>
      </c>
      <c r="DD128" s="172">
        <f ca="1">(VLOOKUP(DD$72,INDIRECT($C$5&amp;"生成成长"),2))/((VLOOKUP($B128,INDIRECT($B$5&amp;"生成成长"),4))/(VLOOKUP(DD$72,INDIRECT($C$5&amp;"生成成长"),5))*(VLOOKUP($B$5,标准坦克设计!$B$24:$U$30,MATCH("对"&amp;LEFT($C$5,2)&amp;"输出",标准坦克设计!$B$23:$U$23,0)))*(VLOOKUP($B128,INDIRECT($B$5&amp;"生成成长"),3))*(VLOOKUP($B$5,标准坦克设计!$B$14:$K$20,9)/30))</f>
        <v>36.050972936123095</v>
      </c>
      <c r="DE128" s="172">
        <f ca="1">(VLOOKUP(DE$72,INDIRECT($C$5&amp;"生成成长"),2))/((VLOOKUP($B128,INDIRECT($B$5&amp;"生成成长"),4))/(VLOOKUP(DE$72,INDIRECT($C$5&amp;"生成成长"),5))*(VLOOKUP($B$5,标准坦克设计!$B$24:$U$30,MATCH("对"&amp;LEFT($C$5,2)&amp;"输出",标准坦克设计!$B$23:$U$23,0)))*(VLOOKUP($B128,INDIRECT($B$5&amp;"生成成长"),3))*(VLOOKUP($B$5,标准坦克设计!$B$14:$K$20,9)/30))</f>
        <v>38.192156242454175</v>
      </c>
      <c r="DF128" s="172">
        <f ca="1">(VLOOKUP(DF$72,INDIRECT($C$5&amp;"生成成长"),2))/((VLOOKUP($B128,INDIRECT($B$5&amp;"生成成长"),4))/(VLOOKUP(DF$72,INDIRECT($C$5&amp;"生成成长"),5))*(VLOOKUP($B$5,标准坦克设计!$B$24:$U$30,MATCH("对"&amp;LEFT($C$5,2)&amp;"输出",标准坦克设计!$B$23:$U$23,0)))*(VLOOKUP($B128,INDIRECT($B$5&amp;"生成成长"),3))*(VLOOKUP($B$5,标准坦克设计!$B$14:$K$20,9)/30))</f>
        <v>40.39510445185249</v>
      </c>
      <c r="DG128" s="172">
        <f ca="1">(VLOOKUP(DG$72,INDIRECT($C$5&amp;"生成成长"),2))/((VLOOKUP($B128,INDIRECT($B$5&amp;"生成成长"),4))/(VLOOKUP(DG$72,INDIRECT($C$5&amp;"生成成长"),5))*(VLOOKUP($B$5,标准坦克设计!$B$24:$U$30,MATCH("对"&amp;LEFT($C$5,2)&amp;"输出",标准坦克设计!$B$23:$U$23,0)))*(VLOOKUP($B128,INDIRECT($B$5&amp;"生成成长"),3))*(VLOOKUP($B$5,标准坦克设计!$B$14:$K$20,9)/30))</f>
        <v>42.65981756431804</v>
      </c>
      <c r="DH128" s="172">
        <f ca="1">(VLOOKUP(DH$72,INDIRECT($C$5&amp;"生成成长"),2))/((VLOOKUP($B128,INDIRECT($B$5&amp;"生成成长"),4))/(VLOOKUP(DH$72,INDIRECT($C$5&amp;"生成成长"),5))*(VLOOKUP($B$5,标准坦克设计!$B$24:$U$30,MATCH("对"&amp;LEFT($C$5,2)&amp;"输出",标准坦克设计!$B$23:$U$23,0)))*(VLOOKUP($B128,INDIRECT($B$5&amp;"生成成长"),3))*(VLOOKUP($B$5,标准坦克设计!$B$14:$K$20,9)/30))</f>
        <v>44.986295579850825</v>
      </c>
      <c r="DI128" s="172">
        <f ca="1">(VLOOKUP(DI$72,INDIRECT($C$5&amp;"生成成长"),2))/((VLOOKUP($B128,INDIRECT($B$5&amp;"生成成长"),4))/(VLOOKUP(DI$72,INDIRECT($C$5&amp;"生成成长"),5))*(VLOOKUP($B$5,标准坦克设计!$B$24:$U$30,MATCH("对"&amp;LEFT($C$5,2)&amp;"输出",标准坦克设计!$B$23:$U$23,0)))*(VLOOKUP($B128,INDIRECT($B$5&amp;"生成成长"),3))*(VLOOKUP($B$5,标准坦克设计!$B$14:$K$20,9)/30))</f>
        <v>47.374538498450882</v>
      </c>
      <c r="DJ128" s="172">
        <f ca="1">(VLOOKUP(DJ$72,INDIRECT($C$5&amp;"生成成长"),2))/((VLOOKUP($B128,INDIRECT($B$5&amp;"生成成长"),4))/(VLOOKUP(DJ$72,INDIRECT($C$5&amp;"生成成长"),5))*(VLOOKUP($B$5,标准坦克设计!$B$24:$U$30,MATCH("对"&amp;LEFT($C$5,2)&amp;"输出",标准坦克设计!$B$23:$U$23,0)))*(VLOOKUP($B128,INDIRECT($B$5&amp;"生成成长"),3))*(VLOOKUP($B$5,标准坦克设计!$B$14:$K$20,9)/30))</f>
        <v>4.7612590729022539</v>
      </c>
      <c r="DK128" s="172">
        <f ca="1">(VLOOKUP(DK$72,INDIRECT($C$5&amp;"生成成长"),2))/((VLOOKUP($B128,INDIRECT($B$5&amp;"生成成长"),4))/(VLOOKUP(DK$72,INDIRECT($C$5&amp;"生成成长"),5))*(VLOOKUP($B$5,标准坦克设计!$B$24:$U$30,MATCH("对"&amp;LEFT($C$5,2)&amp;"输出",标准坦克设计!$B$23:$U$23,0)))*(VLOOKUP($B128,INDIRECT($B$5&amp;"生成成长"),3))*(VLOOKUP($B$5,标准坦克设计!$B$14:$K$20,9)/30))</f>
        <v>5.3538161117036109</v>
      </c>
      <c r="DL128" s="172">
        <f ca="1">(VLOOKUP(DL$72,INDIRECT($C$5&amp;"生成成长"),2))/((VLOOKUP($B128,INDIRECT($B$5&amp;"生成成长"),4))/(VLOOKUP(DL$72,INDIRECT($C$5&amp;"生成成长"),5))*(VLOOKUP($B$5,标准坦克设计!$B$24:$U$30,MATCH("对"&amp;LEFT($C$5,2)&amp;"输出",标准坦克设计!$B$23:$U$23,0)))*(VLOOKUP($B128,INDIRECT($B$5&amp;"生成成长"),3))*(VLOOKUP($B$5,标准坦克设计!$B$14:$K$20,9)/30))</f>
        <v>5.9811159084802927</v>
      </c>
      <c r="DM128" s="172">
        <f ca="1">(VLOOKUP(DM$72,INDIRECT($C$5&amp;"生成成长"),2))/((VLOOKUP($B128,INDIRECT($B$5&amp;"生成成长"),4))/(VLOOKUP(DM$72,INDIRECT($C$5&amp;"生成成长"),5))*(VLOOKUP($B$5,标准坦克设计!$B$24:$U$30,MATCH("对"&amp;LEFT($C$5,2)&amp;"输出",标准坦克设计!$B$23:$U$23,0)))*(VLOOKUP($B128,INDIRECT($B$5&amp;"生成成长"),3))*(VLOOKUP($B$5,标准坦克设计!$B$14:$K$20,9)/30))</f>
        <v>6.6431584632322966</v>
      </c>
      <c r="DN128" s="172">
        <f ca="1">(VLOOKUP(DN$72,INDIRECT($C$5&amp;"生成成长"),2))/((VLOOKUP($B128,INDIRECT($B$5&amp;"生成成长"),4))/(VLOOKUP(DN$72,INDIRECT($C$5&amp;"生成成长"),5))*(VLOOKUP($B$5,标准坦克设计!$B$24:$U$30,MATCH("对"&amp;LEFT($C$5,2)&amp;"输出",标准坦克设计!$B$23:$U$23,0)))*(VLOOKUP($B128,INDIRECT($B$5&amp;"生成成长"),3))*(VLOOKUP($B$5,标准坦克设计!$B$14:$K$20,9)/30))</f>
        <v>7.3399437759596253</v>
      </c>
      <c r="DO128" s="172">
        <f ca="1">(VLOOKUP(DO$72,INDIRECT($C$5&amp;"生成成长"),2))/((VLOOKUP($B128,INDIRECT($B$5&amp;"生成成长"),4))/(VLOOKUP(DO$72,INDIRECT($C$5&amp;"生成成长"),5))*(VLOOKUP($B$5,标准坦克设计!$B$24:$U$30,MATCH("对"&amp;LEFT($C$5,2)&amp;"输出",标准坦克设计!$B$23:$U$23,0)))*(VLOOKUP($B128,INDIRECT($B$5&amp;"生成成长"),3))*(VLOOKUP($B$5,标准坦克设计!$B$14:$K$20,9)/30))</f>
        <v>8.0714718466622788</v>
      </c>
      <c r="DP128" s="172">
        <f ca="1">(VLOOKUP(DP$72,INDIRECT($C$5&amp;"生成成长"),2))/((VLOOKUP($B128,INDIRECT($B$5&amp;"生成成长"),4))/(VLOOKUP(DP$72,INDIRECT($C$5&amp;"生成成长"),5))*(VLOOKUP($B$5,标准坦克设计!$B$24:$U$30,MATCH("对"&amp;LEFT($C$5,2)&amp;"输出",标准坦克设计!$B$23:$U$23,0)))*(VLOOKUP($B128,INDIRECT($B$5&amp;"生成成长"),3))*(VLOOKUP($B$5,标准坦克设计!$B$14:$K$20,9)/30))</f>
        <v>8.8377426753402535</v>
      </c>
      <c r="DQ128" s="172">
        <f ca="1">(VLOOKUP(DQ$72,INDIRECT($C$5&amp;"生成成长"),2))/((VLOOKUP($B128,INDIRECT($B$5&amp;"生成成长"),4))/(VLOOKUP(DQ$72,INDIRECT($C$5&amp;"生成成长"),5))*(VLOOKUP($B$5,标准坦克设计!$B$24:$U$30,MATCH("对"&amp;LEFT($C$5,2)&amp;"输出",标准坦克设计!$B$23:$U$23,0)))*(VLOOKUP($B128,INDIRECT($B$5&amp;"生成成长"),3))*(VLOOKUP($B$5,标准坦克设计!$B$14:$K$20,9)/30))</f>
        <v>9.6387562619935565</v>
      </c>
      <c r="DR128" s="172">
        <f ca="1">(VLOOKUP(DR$72,INDIRECT($C$5&amp;"生成成长"),2))/((VLOOKUP($B128,INDIRECT($B$5&amp;"生成成长"),4))/(VLOOKUP(DR$72,INDIRECT($C$5&amp;"生成成长"),5))*(VLOOKUP($B$5,标准坦克设计!$B$24:$U$30,MATCH("对"&amp;LEFT($C$5,2)&amp;"输出",标准坦克设计!$B$23:$U$23,0)))*(VLOOKUP($B128,INDIRECT($B$5&amp;"生成成长"),3))*(VLOOKUP($B$5,标准坦克设计!$B$14:$K$20,9)/30))</f>
        <v>10.474512606622179</v>
      </c>
      <c r="DS128" s="172">
        <f ca="1">(VLOOKUP(DS$72,INDIRECT($C$5&amp;"生成成长"),2))/((VLOOKUP($B128,INDIRECT($B$5&amp;"生成成长"),4))/(VLOOKUP(DS$72,INDIRECT($C$5&amp;"生成成长"),5))*(VLOOKUP($B$5,标准坦克设计!$B$24:$U$30,MATCH("对"&amp;LEFT($C$5,2)&amp;"输出",标准坦克设计!$B$23:$U$23,0)))*(VLOOKUP($B128,INDIRECT($B$5&amp;"生成成长"),3))*(VLOOKUP($B$5,标准坦克设计!$B$14:$K$20,9)/30))</f>
        <v>11.345011709226128</v>
      </c>
      <c r="DT128" s="172">
        <f ca="1">(VLOOKUP(DT$72,INDIRECT($C$5&amp;"生成成长"),2))/((VLOOKUP($B128,INDIRECT($B$5&amp;"生成成长"),4))/(VLOOKUP(DT$72,INDIRECT($C$5&amp;"生成成长"),5))*(VLOOKUP($B$5,标准坦克设计!$B$24:$U$30,MATCH("对"&amp;LEFT($C$5,2)&amp;"输出",标准坦克设计!$B$23:$U$23,0)))*(VLOOKUP($B128,INDIRECT($B$5&amp;"生成成长"),3))*(VLOOKUP($B$5,标准坦克设计!$B$14:$K$20,9)/30))</f>
        <v>12.456136580029542</v>
      </c>
      <c r="DU128" s="172">
        <f ca="1">(VLOOKUP(DU$72,INDIRECT($C$5&amp;"生成成长"),2))/((VLOOKUP($B128,INDIRECT($B$5&amp;"生成成长"),4))/(VLOOKUP(DU$72,INDIRECT($C$5&amp;"生成成长"),5))*(VLOOKUP($B$5,标准坦克设计!$B$24:$U$30,MATCH("对"&amp;LEFT($C$5,2)&amp;"输出",标准坦克设计!$B$23:$U$23,0)))*(VLOOKUP($B128,INDIRECT($B$5&amp;"生成成长"),3))*(VLOOKUP($B$5,标准坦克设计!$B$14:$K$20,9)/30))</f>
        <v>13.619161126326954</v>
      </c>
      <c r="DV128" s="172">
        <f ca="1">(VLOOKUP(DV$72,INDIRECT($C$5&amp;"生成成长"),2))/((VLOOKUP($B128,INDIRECT($B$5&amp;"生成成长"),4))/(VLOOKUP(DV$72,INDIRECT($C$5&amp;"生成成长"),5))*(VLOOKUP($B$5,标准坦克设计!$B$24:$U$30,MATCH("对"&amp;LEFT($C$5,2)&amp;"输出",标准坦克设计!$B$23:$U$23,0)))*(VLOOKUP($B128,INDIRECT($B$5&amp;"生成成长"),3))*(VLOOKUP($B$5,标准坦克设计!$B$14:$K$20,9)/30))</f>
        <v>14.834085348118375</v>
      </c>
      <c r="DW128" s="172">
        <f ca="1">(VLOOKUP(DW$72,INDIRECT($C$5&amp;"生成成长"),2))/((VLOOKUP($B128,INDIRECT($B$5&amp;"生成成长"),4))/(VLOOKUP(DW$72,INDIRECT($C$5&amp;"生成成长"),5))*(VLOOKUP($B$5,标准坦克设计!$B$24:$U$30,MATCH("对"&amp;LEFT($C$5,2)&amp;"输出",标准坦克设计!$B$23:$U$23,0)))*(VLOOKUP($B128,INDIRECT($B$5&amp;"生成成长"),3))*(VLOOKUP($B$5,标准坦克设计!$B$14:$K$20,9)/30))</f>
        <v>16.100909245403791</v>
      </c>
      <c r="DX128" s="172">
        <f ca="1">(VLOOKUP(DX$72,INDIRECT($C$5&amp;"生成成长"),2))/((VLOOKUP($B128,INDIRECT($B$5&amp;"生成成长"),4))/(VLOOKUP(DX$72,INDIRECT($C$5&amp;"生成成长"),5))*(VLOOKUP($B$5,标准坦克设计!$B$24:$U$30,MATCH("对"&amp;LEFT($C$5,2)&amp;"输出",标准坦克设计!$B$23:$U$23,0)))*(VLOOKUP($B128,INDIRECT($B$5&amp;"生成成长"),3))*(VLOOKUP($B$5,标准坦克设计!$B$14:$K$20,9)/30))</f>
        <v>17.419632818183217</v>
      </c>
      <c r="DY128" s="172">
        <f ca="1">(VLOOKUP(DY$72,INDIRECT($C$5&amp;"生成成长"),2))/((VLOOKUP($B128,INDIRECT($B$5&amp;"生成成长"),4))/(VLOOKUP(DY$72,INDIRECT($C$5&amp;"生成成长"),5))*(VLOOKUP($B$5,标准坦克设计!$B$24:$U$30,MATCH("对"&amp;LEFT($C$5,2)&amp;"输出",标准坦克设计!$B$23:$U$23,0)))*(VLOOKUP($B128,INDIRECT($B$5&amp;"生成成长"),3))*(VLOOKUP($B$5,标准坦克设计!$B$14:$K$20,9)/30))</f>
        <v>7.823768849986358</v>
      </c>
      <c r="DZ128" s="172">
        <f ca="1">(VLOOKUP(DZ$72,INDIRECT($C$5&amp;"生成成长"),2))/((VLOOKUP($B128,INDIRECT($B$5&amp;"生成成长"),4))/(VLOOKUP(DZ$72,INDIRECT($C$5&amp;"生成成长"),5))*(VLOOKUP($B$5,标准坦克设计!$B$24:$U$30,MATCH("对"&amp;LEFT($C$5,2)&amp;"输出",标准坦克设计!$B$23:$U$23,0)))*(VLOOKUP($B128,INDIRECT($B$5&amp;"生成成长"),3))*(VLOOKUP($B$5,标准坦克设计!$B$14:$K$20,9)/30))</f>
        <v>8.6644578084016022</v>
      </c>
      <c r="EA128" s="172">
        <f ca="1">(VLOOKUP(EA$72,INDIRECT($C$5&amp;"生成成长"),2))/((VLOOKUP($B128,INDIRECT($B$5&amp;"生成成长"),4))/(VLOOKUP(EA$72,INDIRECT($C$5&amp;"生成成长"),5))*(VLOOKUP($B$5,标准坦克设计!$B$24:$U$30,MATCH("对"&amp;LEFT($C$5,2)&amp;"输出",标准坦克设计!$B$23:$U$23,0)))*(VLOOKUP($B128,INDIRECT($B$5&amp;"生成成长"),3))*(VLOOKUP($B$5,标准坦克设计!$B$14:$K$20,9)/30))</f>
        <v>9.5480390606135437</v>
      </c>
      <c r="EB128" s="172">
        <f ca="1">(VLOOKUP(EB$72,INDIRECT($C$5&amp;"生成成长"),2))/((VLOOKUP($B128,INDIRECT($B$5&amp;"生成成长"),4))/(VLOOKUP(EB$72,INDIRECT($C$5&amp;"生成成长"),5))*(VLOOKUP($B$5,标准坦克设计!$B$24:$U$30,MATCH("对"&amp;LEFT($C$5,2)&amp;"输出",标准坦克设计!$B$23:$U$23,0)))*(VLOOKUP($B128,INDIRECT($B$5&amp;"生成成长"),3))*(VLOOKUP($B$5,标准坦克设计!$B$14:$K$20,9)/30))</f>
        <v>10.474512606622179</v>
      </c>
      <c r="EC128" s="172">
        <f ca="1">(VLOOKUP(EC$72,INDIRECT($C$5&amp;"生成成长"),2))/((VLOOKUP($B128,INDIRECT($B$5&amp;"生成成长"),4))/(VLOOKUP(EC$72,INDIRECT($C$5&amp;"生成成长"),5))*(VLOOKUP($B$5,标准坦克设计!$B$24:$U$30,MATCH("对"&amp;LEFT($C$5,2)&amp;"输出",标准坦克设计!$B$23:$U$23,0)))*(VLOOKUP($B128,INDIRECT($B$5&amp;"生成成长"),3))*(VLOOKUP($B$5,标准坦克设计!$B$14:$K$20,9)/30))</f>
        <v>11.443878446427512</v>
      </c>
      <c r="ED128" s="172">
        <f ca="1">(VLOOKUP(ED$72,INDIRECT($C$5&amp;"生成成长"),2))/((VLOOKUP($B128,INDIRECT($B$5&amp;"生成成长"),4))/(VLOOKUP(ED$72,INDIRECT($C$5&amp;"生成成长"),5))*(VLOOKUP($B$5,标准坦克设计!$B$24:$U$30,MATCH("对"&amp;LEFT($C$5,2)&amp;"输出",标准坦克设计!$B$23:$U$23,0)))*(VLOOKUP($B128,INDIRECT($B$5&amp;"生成成长"),3))*(VLOOKUP($B$5,标准坦克设计!$B$14:$K$20,9)/30))</f>
        <v>12.456136580029542</v>
      </c>
      <c r="EE128" s="172">
        <f ca="1">(VLOOKUP(EE$72,INDIRECT($C$5&amp;"生成成长"),2))/((VLOOKUP($B128,INDIRECT($B$5&amp;"生成成长"),4))/(VLOOKUP(EE$72,INDIRECT($C$5&amp;"生成成长"),5))*(VLOOKUP($B$5,标准坦克设计!$B$24:$U$30,MATCH("对"&amp;LEFT($C$5,2)&amp;"输出",标准坦克设计!$B$23:$U$23,0)))*(VLOOKUP($B128,INDIRECT($B$5&amp;"生成成长"),3))*(VLOOKUP($B$5,标准坦克设计!$B$14:$K$20,9)/30))</f>
        <v>13.511287007428264</v>
      </c>
      <c r="EF128" s="172">
        <f ca="1">(VLOOKUP(EF$72,INDIRECT($C$5&amp;"生成成长"),2))/((VLOOKUP($B128,INDIRECT($B$5&amp;"生成成长"),4))/(VLOOKUP(EF$72,INDIRECT($C$5&amp;"生成成长"),5))*(VLOOKUP($B$5,标准坦克设计!$B$24:$U$30,MATCH("对"&amp;LEFT($C$5,2)&amp;"输出",标准坦克设计!$B$23:$U$23,0)))*(VLOOKUP($B128,INDIRECT($B$5&amp;"生成成长"),3))*(VLOOKUP($B$5,标准坦克设计!$B$14:$K$20,9)/30))</f>
        <v>14.609329728623687</v>
      </c>
      <c r="EG128" s="172">
        <f ca="1">(VLOOKUP(EG$72,INDIRECT($C$5&amp;"生成成长"),2))/((VLOOKUP($B128,INDIRECT($B$5&amp;"生成成长"),4))/(VLOOKUP(EG$72,INDIRECT($C$5&amp;"生成成长"),5))*(VLOOKUP($B$5,标准坦克设计!$B$24:$U$30,MATCH("对"&amp;LEFT($C$5,2)&amp;"输出",标准坦克设计!$B$23:$U$23,0)))*(VLOOKUP($B128,INDIRECT($B$5&amp;"生成成长"),3))*(VLOOKUP($B$5,标准坦克设计!$B$14:$K$20,9)/30))</f>
        <v>15.750264743615803</v>
      </c>
      <c r="EH128" s="172">
        <f ca="1">(VLOOKUP(EH$72,INDIRECT($C$5&amp;"生成成长"),2))/((VLOOKUP($B128,INDIRECT($B$5&amp;"生成成长"),4))/(VLOOKUP(EH$72,INDIRECT($C$5&amp;"生成成长"),5))*(VLOOKUP($B$5,标准坦克设计!$B$24:$U$30,MATCH("对"&amp;LEFT($C$5,2)&amp;"输出",标准坦克设计!$B$23:$U$23,0)))*(VLOOKUP($B128,INDIRECT($B$5&amp;"生成成长"),3))*(VLOOKUP($B$5,标准坦克设计!$B$14:$K$20,9)/30))</f>
        <v>16.934092052404615</v>
      </c>
      <c r="EI128" s="172">
        <f ca="1">(VLOOKUP(EI$72,INDIRECT($C$5&amp;"生成成长"),2))/((VLOOKUP($B128,INDIRECT($B$5&amp;"生成成长"),4))/(VLOOKUP(EI$72,INDIRECT($C$5&amp;"生成成长"),5))*(VLOOKUP($B$5,标准坦克设计!$B$24:$U$30,MATCH("对"&amp;LEFT($C$5,2)&amp;"输出",标准坦克设计!$B$23:$U$23,0)))*(VLOOKUP($B128,INDIRECT($B$5&amp;"生成成长"),3))*(VLOOKUP($B$5,标准坦克设计!$B$14:$K$20,9)/30))</f>
        <v>18.160811654990127</v>
      </c>
      <c r="EJ128" s="172">
        <f ca="1">(VLOOKUP(EJ$72,INDIRECT($C$5&amp;"生成成长"),2))/((VLOOKUP($B128,INDIRECT($B$5&amp;"生成成长"),4))/(VLOOKUP(EJ$72,INDIRECT($C$5&amp;"生成成长"),5))*(VLOOKUP($B$5,标准坦克设计!$B$24:$U$30,MATCH("对"&amp;LEFT($C$5,2)&amp;"输出",标准坦克设计!$B$23:$U$23,0)))*(VLOOKUP($B128,INDIRECT($B$5&amp;"生成成长"),3))*(VLOOKUP($B$5,标准坦克设计!$B$14:$K$20,9)/30))</f>
        <v>19.430423551372332</v>
      </c>
      <c r="EK128" s="172">
        <f ca="1">(VLOOKUP(EK$72,INDIRECT($C$5&amp;"生成成长"),2))/((VLOOKUP($B128,INDIRECT($B$5&amp;"生成成长"),4))/(VLOOKUP(EK$72,INDIRECT($C$5&amp;"生成成长"),5))*(VLOOKUP($B$5,标准坦克设计!$B$24:$U$30,MATCH("对"&amp;LEFT($C$5,2)&amp;"输出",标准坦克设计!$B$23:$U$23,0)))*(VLOOKUP($B128,INDIRECT($B$5&amp;"生成成长"),3))*(VLOOKUP($B$5,标准坦克设计!$B$14:$K$20,9)/30))</f>
        <v>21.010575654842615</v>
      </c>
      <c r="EL128" s="172">
        <f ca="1">(VLOOKUP(EL$72,INDIRECT($C$5&amp;"生成成长"),2))/((VLOOKUP($B128,INDIRECT($B$5&amp;"生成成长"),4))/(VLOOKUP(EL$72,INDIRECT($C$5&amp;"生成成长"),5))*(VLOOKUP($B$5,标准坦克设计!$B$24:$U$30,MATCH("对"&amp;LEFT($C$5,2)&amp;"输出",标准坦克设计!$B$23:$U$23,0)))*(VLOOKUP($B128,INDIRECT($B$5&amp;"生成成长"),3))*(VLOOKUP($B$5,标准坦克设计!$B$14:$K$20,9)/30))</f>
        <v>22.652492661380141</v>
      </c>
      <c r="EM128" s="172">
        <f ca="1">(VLOOKUP(EM$72,INDIRECT($C$5&amp;"生成成长"),2))/((VLOOKUP($B128,INDIRECT($B$5&amp;"生成成长"),4))/(VLOOKUP(EM$72,INDIRECT($C$5&amp;"生成成长"),5))*(VLOOKUP($B$5,标准坦克设计!$B$24:$U$30,MATCH("对"&amp;LEFT($C$5,2)&amp;"输出",标准坦克设计!$B$23:$U$23,0)))*(VLOOKUP($B128,INDIRECT($B$5&amp;"生成成长"),3))*(VLOOKUP($B$5,标准坦克设计!$B$14:$K$20,9)/30))</f>
        <v>24.356174570984916</v>
      </c>
      <c r="EN128" s="172">
        <f ca="1">(VLOOKUP(EN$72,INDIRECT($C$5&amp;"生成成长"),2))/((VLOOKUP($B128,INDIRECT($B$5&amp;"生成成长"),4))/(VLOOKUP(EN$72,INDIRECT($C$5&amp;"生成成长"),5))*(VLOOKUP($B$5,标准坦克设计!$B$24:$U$30,MATCH("对"&amp;LEFT($C$5,2)&amp;"输出",标准坦克设计!$B$23:$U$23,0)))*(VLOOKUP($B128,INDIRECT($B$5&amp;"生成成长"),3))*(VLOOKUP($B$5,标准坦克设计!$B$14:$K$20,9)/30))</f>
        <v>26.12162138365693</v>
      </c>
      <c r="EO128" s="172">
        <f ca="1">(VLOOKUP(EO$72,INDIRECT($C$5&amp;"生成成长"),2))/((VLOOKUP($B128,INDIRECT($B$5&amp;"生成成长"),4))/(VLOOKUP(EO$72,INDIRECT($C$5&amp;"生成成长"),5))*(VLOOKUP($B$5,标准坦克设计!$B$24:$U$30,MATCH("对"&amp;LEFT($C$5,2)&amp;"输出",标准坦克设计!$B$23:$U$23,0)))*(VLOOKUP($B128,INDIRECT($B$5&amp;"生成成长"),3))*(VLOOKUP($B$5,标准坦克设计!$B$14:$K$20,9)/30))</f>
        <v>27.948833099396182</v>
      </c>
      <c r="EP128" s="172">
        <f ca="1">(VLOOKUP(EP$72,INDIRECT($C$5&amp;"生成成长"),2))/((VLOOKUP($B128,INDIRECT($B$5&amp;"生成成长"),4))/(VLOOKUP(EP$72,INDIRECT($C$5&amp;"生成成长"),5))*(VLOOKUP($B$5,标准坦克设计!$B$24:$U$30,MATCH("对"&amp;LEFT($C$5,2)&amp;"输出",标准坦克设计!$B$23:$U$23,0)))*(VLOOKUP($B128,INDIRECT($B$5&amp;"生成成长"),3))*(VLOOKUP($B$5,标准坦克设计!$B$14:$K$20,9)/30))</f>
        <v>29.837809718202678</v>
      </c>
      <c r="EQ128" s="172">
        <f ca="1">(VLOOKUP(EQ$72,INDIRECT($C$5&amp;"生成成长"),2))/((VLOOKUP($B128,INDIRECT($B$5&amp;"生成成长"),4))/(VLOOKUP(EQ$72,INDIRECT($C$5&amp;"生成成长"),5))*(VLOOKUP($B$5,标准坦克设计!$B$24:$U$30,MATCH("对"&amp;LEFT($C$5,2)&amp;"输出",标准坦克设计!$B$23:$U$23,0)))*(VLOOKUP($B128,INDIRECT($B$5&amp;"生成成长"),3))*(VLOOKUP($B$5,标准坦克设计!$B$14:$K$20,9)/30))</f>
        <v>13.190238188359997</v>
      </c>
      <c r="ER128" s="172">
        <f ca="1">(VLOOKUP(ER$72,INDIRECT($C$5&amp;"生成成长"),2))/((VLOOKUP($B128,INDIRECT($B$5&amp;"生成成长"),4))/(VLOOKUP(ER$72,INDIRECT($C$5&amp;"生成成长"),5))*(VLOOKUP($B$5,标准坦克设计!$B$24:$U$30,MATCH("对"&amp;LEFT($C$5,2)&amp;"输出",标准坦克设计!$B$23:$U$23,0)))*(VLOOKUP($B128,INDIRECT($B$5&amp;"生成成长"),3))*(VLOOKUP($B$5,标准坦克设计!$B$14:$K$20,9)/30))</f>
        <v>14.386289800880864</v>
      </c>
      <c r="ES128" s="172">
        <f ca="1">(VLOOKUP(ES$72,INDIRECT($C$5&amp;"生成成长"),2))/((VLOOKUP($B128,INDIRECT($B$5&amp;"生成成长"),4))/(VLOOKUP(ES$72,INDIRECT($C$5&amp;"生成成长"),5))*(VLOOKUP($B$5,标准坦克设计!$B$24:$U$30,MATCH("对"&amp;LEFT($C$5,2)&amp;"输出",标准坦克设计!$B$23:$U$23,0)))*(VLOOKUP($B128,INDIRECT($B$5&amp;"生成成长"),3))*(VLOOKUP($B$5,标准坦克设计!$B$14:$K$20,9)/30))</f>
        <v>15.63424108889574</v>
      </c>
      <c r="ET128" s="172">
        <f ca="1">(VLOOKUP(ET$72,INDIRECT($C$5&amp;"生成成长"),2))/((VLOOKUP($B128,INDIRECT($B$5&amp;"生成成长"),4))/(VLOOKUP(ET$72,INDIRECT($C$5&amp;"生成成长"),5))*(VLOOKUP($B$5,标准坦克设计!$B$24:$U$30,MATCH("对"&amp;LEFT($C$5,2)&amp;"输出",标准坦克设计!$B$23:$U$23,0)))*(VLOOKUP($B128,INDIRECT($B$5&amp;"生成成长"),3))*(VLOOKUP($B$5,标准坦克设计!$B$14:$K$20,9)/30))</f>
        <v>16.934092052404615</v>
      </c>
      <c r="EU128" s="172">
        <f ca="1">(VLOOKUP(EU$72,INDIRECT($C$5&amp;"生成成长"),2))/((VLOOKUP($B128,INDIRECT($B$5&amp;"生成成长"),4))/(VLOOKUP(EU$72,INDIRECT($C$5&amp;"生成成长"),5))*(VLOOKUP($B$5,标准坦克设计!$B$24:$U$30,MATCH("对"&amp;LEFT($C$5,2)&amp;"输出",标准坦克设计!$B$23:$U$23,0)))*(VLOOKUP($B128,INDIRECT($B$5&amp;"生成成长"),3))*(VLOOKUP($B$5,标准坦克设计!$B$14:$K$20,9)/30))</f>
        <v>18.285842691407495</v>
      </c>
      <c r="EV128" s="172">
        <f ca="1">(VLOOKUP(EV$72,INDIRECT($C$5&amp;"生成成长"),2))/((VLOOKUP($B128,INDIRECT($B$5&amp;"生成成长"),4))/(VLOOKUP(EV$72,INDIRECT($C$5&amp;"生成成长"),5))*(VLOOKUP($B$5,标准坦克设计!$B$24:$U$30,MATCH("对"&amp;LEFT($C$5,2)&amp;"输出",标准坦克设计!$B$23:$U$23,0)))*(VLOOKUP($B128,INDIRECT($B$5&amp;"生成成长"),3))*(VLOOKUP($B$5,标准坦克设计!$B$14:$K$20,9)/30))</f>
        <v>19.689493005904374</v>
      </c>
      <c r="EW128" s="172">
        <f ca="1">(VLOOKUP(EW$72,INDIRECT($C$5&amp;"生成成长"),2))/((VLOOKUP($B128,INDIRECT($B$5&amp;"生成成长"),4))/(VLOOKUP(EW$72,INDIRECT($C$5&amp;"生成成长"),5))*(VLOOKUP($B$5,标准坦克设计!$B$24:$U$30,MATCH("对"&amp;LEFT($C$5,2)&amp;"输出",标准坦克设计!$B$23:$U$23,0)))*(VLOOKUP($B128,INDIRECT($B$5&amp;"生成成长"),3))*(VLOOKUP($B$5,标准坦克设计!$B$14:$K$20,9)/30))</f>
        <v>21.14504299589526</v>
      </c>
      <c r="EX128" s="172">
        <f ca="1">(VLOOKUP(EX$72,INDIRECT($C$5&amp;"生成成长"),2))/((VLOOKUP($B128,INDIRECT($B$5&amp;"生成成长"),4))/(VLOOKUP(EX$72,INDIRECT($C$5&amp;"生成成长"),5))*(VLOOKUP($B$5,标准坦克设计!$B$24:$U$30,MATCH("对"&amp;LEFT($C$5,2)&amp;"输出",标准坦克设计!$B$23:$U$23,0)))*(VLOOKUP($B128,INDIRECT($B$5&amp;"生成成长"),3))*(VLOOKUP($B$5,标准坦克设计!$B$14:$K$20,9)/30))</f>
        <v>22.652492661380141</v>
      </c>
      <c r="EY128" s="172">
        <f ca="1">(VLOOKUP(EY$72,INDIRECT($C$5&amp;"生成成长"),2))/((VLOOKUP($B128,INDIRECT($B$5&amp;"生成成长"),4))/(VLOOKUP(EY$72,INDIRECT($C$5&amp;"生成成长"),5))*(VLOOKUP($B$5,标准坦克设计!$B$24:$U$30,MATCH("对"&amp;LEFT($C$5,2)&amp;"输出",标准坦克设计!$B$23:$U$23,0)))*(VLOOKUP($B128,INDIRECT($B$5&amp;"生成成长"),3))*(VLOOKUP($B$5,标准坦克设计!$B$14:$K$20,9)/30))</f>
        <v>24.211842002359031</v>
      </c>
      <c r="EZ128" s="172">
        <f ca="1">(VLOOKUP(EZ$72,INDIRECT($C$5&amp;"生成成长"),2))/((VLOOKUP($B128,INDIRECT($B$5&amp;"生成成长"),4))/(VLOOKUP(EZ$72,INDIRECT($C$5&amp;"生成成长"),5))*(VLOOKUP($B$5,标准坦克设计!$B$24:$U$30,MATCH("对"&amp;LEFT($C$5,2)&amp;"输出",标准坦克设计!$B$23:$U$23,0)))*(VLOOKUP($B128,INDIRECT($B$5&amp;"生成成长"),3))*(VLOOKUP($B$5,标准坦克设计!$B$14:$K$20,9)/30))</f>
        <v>25.823091018831928</v>
      </c>
      <c r="FA128" s="172">
        <f ca="1">(VLOOKUP(FA$72,INDIRECT($C$5&amp;"生成成长"),2))/((VLOOKUP($B128,INDIRECT($B$5&amp;"生成成长"),4))/(VLOOKUP(FA$72,INDIRECT($C$5&amp;"生成成长"),5))*(VLOOKUP($B$5,标准坦克设计!$B$24:$U$30,MATCH("对"&amp;LEFT($C$5,2)&amp;"输出",标准坦克设计!$B$23:$U$23,0)))*(VLOOKUP($B128,INDIRECT($B$5&amp;"生成成长"),3))*(VLOOKUP($B$5,标准坦克设计!$B$14:$K$20,9)/30))</f>
        <v>27.48623971079882</v>
      </c>
      <c r="FB128" s="172">
        <f ca="1">(VLOOKUP(FB$72,INDIRECT($C$5&amp;"生成成长"),2))/((VLOOKUP($B128,INDIRECT($B$5&amp;"生成成长"),4))/(VLOOKUP(FB$72,INDIRECT($C$5&amp;"生成成长"),5))*(VLOOKUP($B$5,标准坦克设计!$B$24:$U$30,MATCH("对"&amp;LEFT($C$5,2)&amp;"输出",标准坦克设计!$B$23:$U$23,0)))*(VLOOKUP($B128,INDIRECT($B$5&amp;"生成成长"),3))*(VLOOKUP($B$5,标准坦克设计!$B$14:$K$20,9)/30))</f>
        <v>29.201288078259712</v>
      </c>
      <c r="FC128" s="172">
        <f ca="1">(VLOOKUP(FC$72,INDIRECT($C$5&amp;"生成成长"),2))/((VLOOKUP($B128,INDIRECT($B$5&amp;"生成成长"),4))/(VLOOKUP(FC$72,INDIRECT($C$5&amp;"生成成长"),5))*(VLOOKUP($B$5,标准坦克设计!$B$24:$U$30,MATCH("对"&amp;LEFT($C$5,2)&amp;"输出",标准坦克设计!$B$23:$U$23,0)))*(VLOOKUP($B128,INDIRECT($B$5&amp;"生成成长"),3))*(VLOOKUP($B$5,标准坦克设计!$B$14:$K$20,9)/30))</f>
        <v>30.968236121214613</v>
      </c>
      <c r="FD128" s="172">
        <f ca="1">(VLOOKUP(FD$72,INDIRECT($C$5&amp;"生成成长"),2))/((VLOOKUP($B128,INDIRECT($B$5&amp;"生成成长"),4))/(VLOOKUP(FD$72,INDIRECT($C$5&amp;"生成成长"),5))*(VLOOKUP($B$5,标准坦克设计!$B$24:$U$30,MATCH("对"&amp;LEFT($C$5,2)&amp;"输出",标准坦克设计!$B$23:$U$23,0)))*(VLOOKUP($B128,INDIRECT($B$5&amp;"生成成长"),3))*(VLOOKUP($B$5,标准坦克设计!$B$14:$K$20,9)/30))</f>
        <v>32.787083839663509</v>
      </c>
      <c r="FE128" s="172">
        <f ca="1">(VLOOKUP(FE$72,INDIRECT($C$5&amp;"生成成长"),2))/((VLOOKUP($B128,INDIRECT($B$5&amp;"生成成长"),4))/(VLOOKUP(FE$72,INDIRECT($C$5&amp;"生成成长"),5))*(VLOOKUP($B$5,标准坦克设计!$B$24:$U$30,MATCH("对"&amp;LEFT($C$5,2)&amp;"输出",标准坦克设计!$B$23:$U$23,0)))*(VLOOKUP($B128,INDIRECT($B$5&amp;"生成成长"),3))*(VLOOKUP($B$5,标准坦克设计!$B$14:$K$20,9)/30))</f>
        <v>35.003543121607777</v>
      </c>
      <c r="FF128" s="172">
        <f ca="1">(VLOOKUP(FF$72,INDIRECT($C$5&amp;"生成成长"),2))/((VLOOKUP($B128,INDIRECT($B$5&amp;"生成成长"),4))/(VLOOKUP(FF$72,INDIRECT($C$5&amp;"生成成长"),5))*(VLOOKUP($B$5,标准坦克设计!$B$24:$U$30,MATCH("对"&amp;LEFT($C$5,2)&amp;"输出",标准坦克设计!$B$23:$U$23,0)))*(VLOOKUP($B128,INDIRECT($B$5&amp;"生成成长"),3))*(VLOOKUP($B$5,标准坦克设计!$B$14:$K$20,9)/30))</f>
        <v>37.292490380068465</v>
      </c>
      <c r="FG128" s="172">
        <f ca="1">(VLOOKUP(FG$72,INDIRECT($C$5&amp;"生成成长"),2))/((VLOOKUP($B128,INDIRECT($B$5&amp;"生成成长"),4))/(VLOOKUP(FG$72,INDIRECT($C$5&amp;"生成成长"),5))*(VLOOKUP($B$5,标准坦克设计!$B$24:$U$30,MATCH("对"&amp;LEFT($C$5,2)&amp;"输出",标准坦克设计!$B$23:$U$23,0)))*(VLOOKUP($B128,INDIRECT($B$5&amp;"生成成长"),3))*(VLOOKUP($B$5,标准坦克设计!$B$14:$K$20,9)/30))</f>
        <v>39.65392561504558</v>
      </c>
      <c r="FH128" s="172">
        <f ca="1">(VLOOKUP(FH$72,INDIRECT($C$5&amp;"生成成长"),2))/((VLOOKUP($B128,INDIRECT($B$5&amp;"生成成长"),4))/(VLOOKUP(FH$72,INDIRECT($C$5&amp;"生成成长"),5))*(VLOOKUP($B$5,标准坦克设计!$B$24:$U$30,MATCH("对"&amp;LEFT($C$5,2)&amp;"输出",标准坦克设计!$B$23:$U$23,0)))*(VLOOKUP($B128,INDIRECT($B$5&amp;"生成成长"),3))*(VLOOKUP($B$5,标准坦克设计!$B$14:$K$20,9)/30))</f>
        <v>42.087848826539094</v>
      </c>
      <c r="FI128" s="172">
        <f ca="1">(VLOOKUP(FI$72,INDIRECT($C$5&amp;"生成成长"),2))/((VLOOKUP($B128,INDIRECT($B$5&amp;"生成成长"),4))/(VLOOKUP(FI$72,INDIRECT($C$5&amp;"生成成长"),5))*(VLOOKUP($B$5,标准坦克设计!$B$24:$U$30,MATCH("对"&amp;LEFT($C$5,2)&amp;"输出",标准坦克设计!$B$23:$U$23,0)))*(VLOOKUP($B128,INDIRECT($B$5&amp;"生成成长"),3))*(VLOOKUP($B$5,标准坦克设计!$B$14:$K$20,9)/30))</f>
        <v>44.594260014549036</v>
      </c>
      <c r="FJ128" s="172">
        <f ca="1">(VLOOKUP(FJ$72,INDIRECT($C$5&amp;"生成成长"),2))/((VLOOKUP($B128,INDIRECT($B$5&amp;"生成成长"),4))/(VLOOKUP(FJ$72,INDIRECT($C$5&amp;"生成成长"),5))*(VLOOKUP($B$5,标准坦克设计!$B$24:$U$30,MATCH("对"&amp;LEFT($C$5,2)&amp;"输出",标准坦克设计!$B$23:$U$23,0)))*(VLOOKUP($B128,INDIRECT($B$5&amp;"生成成长"),3))*(VLOOKUP($B$5,标准坦克设计!$B$14:$K$20,9)/30))</f>
        <v>47.173159179075384</v>
      </c>
      <c r="FK128" s="172">
        <f ca="1">(VLOOKUP(FK$72,INDIRECT($C$5&amp;"生成成长"),2))/((VLOOKUP($B128,INDIRECT($B$5&amp;"生成成长"),4))/(VLOOKUP(FK$72,INDIRECT($C$5&amp;"生成成长"),5))*(VLOOKUP($B$5,标准坦克设计!$B$24:$U$30,MATCH("对"&amp;LEFT($C$5,2)&amp;"输出",标准坦克设计!$B$23:$U$23,0)))*(VLOOKUP($B128,INDIRECT($B$5&amp;"生成成长"),3))*(VLOOKUP($B$5,标准坦克设计!$B$14:$K$20,9)/30))</f>
        <v>49.824546320118166</v>
      </c>
    </row>
    <row r="129" spans="1:167" x14ac:dyDescent="0.15">
      <c r="A129" s="170" t="str">
        <f t="shared" si="11"/>
        <v>T2中品质12级</v>
      </c>
      <c r="B129" s="171">
        <v>20212</v>
      </c>
      <c r="C129" s="172">
        <f ca="1">(VLOOKUP(C$72,INDIRECT($C$5&amp;"生成成长"),2))/((VLOOKUP($B129,INDIRECT($B$5&amp;"生成成长"),4))/(VLOOKUP(C$72,INDIRECT($C$5&amp;"生成成长"),5))*(VLOOKUP($B$5,标准坦克设计!$B$24:$U$30,MATCH("对"&amp;LEFT($C$5,2)&amp;"输出",标准坦克设计!$B$23:$U$23,0)))*(VLOOKUP($B129,INDIRECT($B$5&amp;"生成成长"),3))*(VLOOKUP($B$5,标准坦克设计!$B$14:$K$20,9)/30))</f>
        <v>1.9629669975263937</v>
      </c>
      <c r="D129" s="172">
        <f ca="1">(VLOOKUP(D$72,INDIRECT($C$5&amp;"生成成长"),2))/((VLOOKUP($B129,INDIRECT($B$5&amp;"生成成长"),4))/(VLOOKUP(D$72,INDIRECT($C$5&amp;"生成成长"),5))*(VLOOKUP($B$5,标准坦克设计!$B$24:$U$30,MATCH("对"&amp;LEFT($C$5,2)&amp;"输出",标准坦克设计!$B$23:$U$23,0)))*(VLOOKUP($B129,INDIRECT($B$5&amp;"生成成长"),3))*(VLOOKUP($B$5,标准坦克设计!$B$14:$K$20,9)/30))</f>
        <v>2.2055897184206561</v>
      </c>
      <c r="E129" s="172">
        <f ca="1">(VLOOKUP(E$72,INDIRECT($C$5&amp;"生成成长"),2))/((VLOOKUP($B129,INDIRECT($B$5&amp;"生成成长"),4))/(VLOOKUP(E$72,INDIRECT($C$5&amp;"生成成长"),5))*(VLOOKUP($B$5,标准坦克设计!$B$24:$U$30,MATCH("对"&amp;LEFT($C$5,2)&amp;"输出",标准坦克设计!$B$23:$U$23,0)))*(VLOOKUP($B129,INDIRECT($B$5&amp;"生成成长"),3))*(VLOOKUP($B$5,标准坦克设计!$B$14:$K$20,9)/30))</f>
        <v>2.4623458016971087</v>
      </c>
      <c r="F129" s="172">
        <f ca="1">(VLOOKUP(F$72,INDIRECT($C$5&amp;"生成成长"),2))/((VLOOKUP($B129,INDIRECT($B$5&amp;"生成成长"),4))/(VLOOKUP(F$72,INDIRECT($C$5&amp;"生成成长"),5))*(VLOOKUP($B$5,标准坦克设计!$B$24:$U$30,MATCH("对"&amp;LEFT($C$5,2)&amp;"输出",标准坦克设计!$B$23:$U$23,0)))*(VLOOKUP($B129,INDIRECT($B$5&amp;"生成成长"),3))*(VLOOKUP($B$5,标准坦克设计!$B$14:$K$20,9)/30))</f>
        <v>2.7332352473557511</v>
      </c>
      <c r="G129" s="172">
        <f ca="1">(VLOOKUP(G$72,INDIRECT($C$5&amp;"生成成长"),2))/((VLOOKUP($B129,INDIRECT($B$5&amp;"生成成长"),4))/(VLOOKUP(G$72,INDIRECT($C$5&amp;"生成成长"),5))*(VLOOKUP($B$5,标准坦克设计!$B$24:$U$30,MATCH("对"&amp;LEFT($C$5,2)&amp;"输出",标准坦克设计!$B$23:$U$23,0)))*(VLOOKUP($B129,INDIRECT($B$5&amp;"生成成长"),3))*(VLOOKUP($B$5,标准坦克设计!$B$14:$K$20,9)/30))</f>
        <v>3.0182580553965837</v>
      </c>
      <c r="H129" s="172">
        <f ca="1">(VLOOKUP(H$72,INDIRECT($C$5&amp;"生成成长"),2))/((VLOOKUP($B129,INDIRECT($B$5&amp;"生成成长"),4))/(VLOOKUP(H$72,INDIRECT($C$5&amp;"生成成长"),5))*(VLOOKUP($B$5,标准坦克设计!$B$24:$U$30,MATCH("对"&amp;LEFT($C$5,2)&amp;"输出",标准坦克设计!$B$23:$U$23,0)))*(VLOOKUP($B129,INDIRECT($B$5&amp;"生成成长"),3))*(VLOOKUP($B$5,标准坦克设计!$B$14:$K$20,9)/30))</f>
        <v>2.6413683918715161</v>
      </c>
      <c r="I129" s="172">
        <f ca="1">(VLOOKUP(I$72,INDIRECT($C$5&amp;"生成成长"),2))/((VLOOKUP($B129,INDIRECT($B$5&amp;"生成成长"),4))/(VLOOKUP(I$72,INDIRECT($C$5&amp;"生成成长"),5))*(VLOOKUP($B$5,标准坦克设计!$B$24:$U$30,MATCH("对"&amp;LEFT($C$5,2)&amp;"输出",标准坦克设计!$B$23:$U$23,0)))*(VLOOKUP($B129,INDIRECT($B$5&amp;"生成成长"),3))*(VLOOKUP($B$5,标准坦克设计!$B$14:$K$20,9)/30))</f>
        <v>3.0182580553965837</v>
      </c>
      <c r="J129" s="172">
        <f ca="1">(VLOOKUP(J$72,INDIRECT($C$5&amp;"生成成长"),2))/((VLOOKUP($B129,INDIRECT($B$5&amp;"生成成长"),4))/(VLOOKUP(J$72,INDIRECT($C$5&amp;"生成成长"),5))*(VLOOKUP($B$5,标准坦克设计!$B$24:$U$30,MATCH("对"&amp;LEFT($C$5,2)&amp;"输出",标准坦克设计!$B$23:$U$23,0)))*(VLOOKUP($B129,INDIRECT($B$5&amp;"生成成长"),3))*(VLOOKUP($B$5,标准坦克设计!$B$14:$K$20,9)/30))</f>
        <v>3.4202736964899887</v>
      </c>
      <c r="K129" s="172">
        <f ca="1">(VLOOKUP(K$72,INDIRECT($C$5&amp;"生成成长"),2))/((VLOOKUP($B129,INDIRECT($B$5&amp;"生成成长"),4))/(VLOOKUP(K$72,INDIRECT($C$5&amp;"生成成长"),5))*(VLOOKUP($B$5,标准坦克设计!$B$24:$U$30,MATCH("对"&amp;LEFT($C$5,2)&amp;"输出",标准坦克设计!$B$23:$U$23,0)))*(VLOOKUP($B129,INDIRECT($B$5&amp;"生成成长"),3))*(VLOOKUP($B$5,标准坦克设计!$B$14:$K$20,9)/30))</f>
        <v>3.8474153151517321</v>
      </c>
      <c r="L129" s="172">
        <f ca="1">(VLOOKUP(L$72,INDIRECT($C$5&amp;"生成成长"),2))/((VLOOKUP($B129,INDIRECT($B$5&amp;"生成成长"),4))/(VLOOKUP(L$72,INDIRECT($C$5&amp;"生成成长"),5))*(VLOOKUP($B$5,标准坦克设计!$B$24:$U$30,MATCH("对"&amp;LEFT($C$5,2)&amp;"输出",标准坦克设计!$B$23:$U$23,0)))*(VLOOKUP($B129,INDIRECT($B$5&amp;"生成成长"),3))*(VLOOKUP($B$5,标准坦克设计!$B$14:$K$20,9)/30))</f>
        <v>4.2996829113818134</v>
      </c>
      <c r="M129" s="172">
        <f ca="1">(VLOOKUP(M$72,INDIRECT($C$5&amp;"生成成长"),2))/((VLOOKUP($B129,INDIRECT($B$5&amp;"生成成长"),4))/(VLOOKUP(M$72,INDIRECT($C$5&amp;"生成成长"),5))*(VLOOKUP($B$5,标准坦克设计!$B$24:$U$30,MATCH("对"&amp;LEFT($C$5,2)&amp;"输出",标准坦克设计!$B$23:$U$23,0)))*(VLOOKUP($B129,INDIRECT($B$5&amp;"生成成长"),3))*(VLOOKUP($B$5,标准坦克设计!$B$14:$K$20,9)/30))</f>
        <v>4.7770764851802321</v>
      </c>
      <c r="N129" s="172">
        <f ca="1">(VLOOKUP(N$72,INDIRECT($C$5&amp;"生成成长"),2))/((VLOOKUP($B129,INDIRECT($B$5&amp;"生成成长"),4))/(VLOOKUP(N$72,INDIRECT($C$5&amp;"生成成长"),5))*(VLOOKUP($B$5,标准坦克设计!$B$24:$U$30,MATCH("对"&amp;LEFT($C$5,2)&amp;"输出",标准坦克设计!$B$23:$U$23,0)))*(VLOOKUP($B129,INDIRECT($B$5&amp;"生成成长"),3))*(VLOOKUP($B$5,标准坦克设计!$B$14:$K$20,9)/30))</f>
        <v>5.2795960365469883</v>
      </c>
      <c r="O129" s="172">
        <f ca="1">(VLOOKUP(O$72,INDIRECT($C$5&amp;"生成成长"),2))/((VLOOKUP($B129,INDIRECT($B$5&amp;"生成成长"),4))/(VLOOKUP(O$72,INDIRECT($C$5&amp;"生成成长"),5))*(VLOOKUP($B$5,标准坦克设计!$B$24:$U$30,MATCH("对"&amp;LEFT($C$5,2)&amp;"输出",标准坦克设计!$B$23:$U$23,0)))*(VLOOKUP($B129,INDIRECT($B$5&amp;"生成成长"),3))*(VLOOKUP($B$5,标准坦克设计!$B$14:$K$20,9)/30))</f>
        <v>4.0140712132417233</v>
      </c>
      <c r="P129" s="172">
        <f ca="1">(VLOOKUP(P$72,INDIRECT($C$5&amp;"生成成长"),2))/((VLOOKUP($B129,INDIRECT($B$5&amp;"生成成长"),4))/(VLOOKUP(P$72,INDIRECT($C$5&amp;"生成成长"),5))*(VLOOKUP($B$5,标准坦克设计!$B$24:$U$30,MATCH("对"&amp;LEFT($C$5,2)&amp;"输出",标准坦克设计!$B$23:$U$23,0)))*(VLOOKUP($B129,INDIRECT($B$5&amp;"生成成长"),3))*(VLOOKUP($B$5,标准坦克设计!$B$14:$K$20,9)/30))</f>
        <v>4.5352389510849802</v>
      </c>
      <c r="Q129" s="172">
        <f ca="1">(VLOOKUP(Q$72,INDIRECT($C$5&amp;"生成成长"),2))/((VLOOKUP($B129,INDIRECT($B$5&amp;"生成成长"),4))/(VLOOKUP(Q$72,INDIRECT($C$5&amp;"生成成长"),5))*(VLOOKUP($B$5,标准坦克设计!$B$24:$U$30,MATCH("对"&amp;LEFT($C$5,2)&amp;"输出",标准坦克设计!$B$23:$U$23,0)))*(VLOOKUP($B129,INDIRECT($B$5&amp;"生成成长"),3))*(VLOOKUP($B$5,标准坦克设计!$B$14:$K$20,9)/30))</f>
        <v>5.0882067542881657</v>
      </c>
      <c r="R129" s="172">
        <f ca="1">(VLOOKUP(R$72,INDIRECT($C$5&amp;"生成成长"),2))/((VLOOKUP($B129,INDIRECT($B$5&amp;"生成成长"),4))/(VLOOKUP(R$72,INDIRECT($C$5&amp;"生成成长"),5))*(VLOOKUP($B$5,标准坦克设计!$B$24:$U$30,MATCH("对"&amp;LEFT($C$5,2)&amp;"输出",标准坦克设计!$B$23:$U$23,0)))*(VLOOKUP($B129,INDIRECT($B$5&amp;"生成成长"),3))*(VLOOKUP($B$5,标准坦克设计!$B$14:$K$20,9)/30))</f>
        <v>5.672974622851279</v>
      </c>
      <c r="S129" s="172">
        <f ca="1">(VLOOKUP(S$72,INDIRECT($C$5&amp;"生成成长"),2))/((VLOOKUP($B129,INDIRECT($B$5&amp;"生成成长"),4))/(VLOOKUP(S$72,INDIRECT($C$5&amp;"生成成长"),5))*(VLOOKUP($B$5,标准坦克设计!$B$24:$U$30,MATCH("对"&amp;LEFT($C$5,2)&amp;"输出",标准坦克设计!$B$23:$U$23,0)))*(VLOOKUP($B129,INDIRECT($B$5&amp;"生成成长"),3))*(VLOOKUP($B$5,标准坦克设计!$B$14:$K$20,9)/30))</f>
        <v>6.2895425567743191</v>
      </c>
      <c r="T129" s="172">
        <f ca="1">(VLOOKUP(T$72,INDIRECT($C$5&amp;"生成成长"),2))/((VLOOKUP($B129,INDIRECT($B$5&amp;"生成成长"),4))/(VLOOKUP(T$72,INDIRECT($C$5&amp;"生成成长"),5))*(VLOOKUP($B$5,标准坦克设计!$B$24:$U$30,MATCH("对"&amp;LEFT($C$5,2)&amp;"输出",标准坦克设计!$B$23:$U$23,0)))*(VLOOKUP($B129,INDIRECT($B$5&amp;"生成成长"),3))*(VLOOKUP($B$5,标准坦克设计!$B$14:$K$20,9)/30))</f>
        <v>6.9379105560572887</v>
      </c>
      <c r="U129" s="172">
        <f ca="1">(VLOOKUP(U$72,INDIRECT($C$5&amp;"生成成长"),2))/((VLOOKUP($B129,INDIRECT($B$5&amp;"生成成长"),4))/(VLOOKUP(U$72,INDIRECT($C$5&amp;"生成成长"),5))*(VLOOKUP($B$5,标准坦克设计!$B$24:$U$30,MATCH("对"&amp;LEFT($C$5,2)&amp;"输出",标准坦克设计!$B$23:$U$23,0)))*(VLOOKUP($B129,INDIRECT($B$5&amp;"生成成长"),3))*(VLOOKUP($B$5,标准坦克设计!$B$14:$K$20,9)/30))</f>
        <v>7.6180786207001816</v>
      </c>
      <c r="V129" s="172">
        <f ca="1">(VLOOKUP(V$72,INDIRECT($C$5&amp;"生成成长"),2))/((VLOOKUP($B129,INDIRECT($B$5&amp;"生成成长"),4))/(VLOOKUP(V$72,INDIRECT($C$5&amp;"生成成长"),5))*(VLOOKUP($B$5,标准坦克设计!$B$24:$U$30,MATCH("对"&amp;LEFT($C$5,2)&amp;"输出",标准坦克设计!$B$23:$U$23,0)))*(VLOOKUP($B129,INDIRECT($B$5&amp;"生成成长"),3))*(VLOOKUP($B$5,标准坦克设计!$B$14:$K$20,9)/30))</f>
        <v>8.3300467507030067</v>
      </c>
      <c r="W129" s="172">
        <f ca="1">(VLOOKUP(W$72,INDIRECT($C$5&amp;"生成成长"),2))/((VLOOKUP($B129,INDIRECT($B$5&amp;"生成成长"),4))/(VLOOKUP(W$72,INDIRECT($C$5&amp;"生成成长"),5))*(VLOOKUP($B$5,标准坦克设计!$B$24:$U$30,MATCH("对"&amp;LEFT($C$5,2)&amp;"输出",标准坦克设计!$B$23:$U$23,0)))*(VLOOKUP($B129,INDIRECT($B$5&amp;"生成成长"),3))*(VLOOKUP($B$5,标准坦克设计!$B$14:$K$20,9)/30))</f>
        <v>9.073814946065756</v>
      </c>
      <c r="X129" s="172">
        <f ca="1">(VLOOKUP(X$72,INDIRECT($C$5&amp;"生成成长"),2))/((VLOOKUP($B129,INDIRECT($B$5&amp;"生成成长"),4))/(VLOOKUP(X$72,INDIRECT($C$5&amp;"生成成长"),5))*(VLOOKUP($B$5,标准坦克设计!$B$24:$U$30,MATCH("对"&amp;LEFT($C$5,2)&amp;"输出",标准坦克设计!$B$23:$U$23,0)))*(VLOOKUP($B129,INDIRECT($B$5&amp;"生成成长"),3))*(VLOOKUP($B$5,标准坦克设计!$B$14:$K$20,9)/30))</f>
        <v>6.5737801780161416</v>
      </c>
      <c r="Y129" s="172">
        <f ca="1">(VLOOKUP(Y$72,INDIRECT($C$5&amp;"生成成长"),2))/((VLOOKUP($B129,INDIRECT($B$5&amp;"生成成长"),4))/(VLOOKUP(Y$72,INDIRECT($C$5&amp;"生成成长"),5))*(VLOOKUP($B$5,标准坦克设计!$B$24:$U$30,MATCH("对"&amp;LEFT($C$5,2)&amp;"输出",标准坦克设计!$B$23:$U$23,0)))*(VLOOKUP($B129,INDIRECT($B$5&amp;"生成成长"),3))*(VLOOKUP($B$5,标准坦克设计!$B$14:$K$20,9)/30))</f>
        <v>7.3118557690860646</v>
      </c>
      <c r="Z129" s="172">
        <f ca="1">(VLOOKUP(Z$72,INDIRECT($C$5&amp;"生成成长"),2))/((VLOOKUP($B129,INDIRECT($B$5&amp;"生成成长"),4))/(VLOOKUP(Z$72,INDIRECT($C$5&amp;"生成成长"),5))*(VLOOKUP($B$5,标准坦克设计!$B$24:$U$30,MATCH("对"&amp;LEFT($C$5,2)&amp;"输出",标准坦克设计!$B$23:$U$23,0)))*(VLOOKUP($B129,INDIRECT($B$5&amp;"生成成长"),3))*(VLOOKUP($B$5,标准坦克设计!$B$14:$K$20,9)/30))</f>
        <v>8.0891907001065171</v>
      </c>
      <c r="AA129" s="172">
        <f ca="1">(VLOOKUP(AA$72,INDIRECT($C$5&amp;"生成成长"),2))/((VLOOKUP($B129,INDIRECT($B$5&amp;"生成成长"),4))/(VLOOKUP(AA$72,INDIRECT($C$5&amp;"生成成长"),5))*(VLOOKUP($B$5,标准坦克设计!$B$24:$U$30,MATCH("对"&amp;LEFT($C$5,2)&amp;"输出",标准坦克设计!$B$23:$U$23,0)))*(VLOOKUP($B129,INDIRECT($B$5&amp;"生成成长"),3))*(VLOOKUP($B$5,标准坦克设计!$B$14:$K$20,9)/30))</f>
        <v>8.9057849710774963</v>
      </c>
      <c r="AB129" s="172">
        <f ca="1">(VLOOKUP(AB$72,INDIRECT($C$5&amp;"生成成长"),2))/((VLOOKUP($B129,INDIRECT($B$5&amp;"生成成长"),4))/(VLOOKUP(AB$72,INDIRECT($C$5&amp;"生成成长"),5))*(VLOOKUP($B$5,标准坦克设计!$B$24:$U$30,MATCH("对"&amp;LEFT($C$5,2)&amp;"输出",标准坦克设计!$B$23:$U$23,0)))*(VLOOKUP($B129,INDIRECT($B$5&amp;"生成成长"),3))*(VLOOKUP($B$5,标准坦克设计!$B$14:$K$20,9)/30))</f>
        <v>9.761638581999005</v>
      </c>
      <c r="AC129" s="172">
        <f ca="1">(VLOOKUP(AC$72,INDIRECT($C$5&amp;"生成成长"),2))/((VLOOKUP($B129,INDIRECT($B$5&amp;"生成成长"),4))/(VLOOKUP(AC$72,INDIRECT($C$5&amp;"生成成长"),5))*(VLOOKUP($B$5,标准坦克设计!$B$24:$U$30,MATCH("对"&amp;LEFT($C$5,2)&amp;"输出",标准坦克设计!$B$23:$U$23,0)))*(VLOOKUP($B129,INDIRECT($B$5&amp;"生成成长"),3))*(VLOOKUP($B$5,标准坦克设计!$B$14:$K$20,9)/30))</f>
        <v>10.656751532871041</v>
      </c>
      <c r="AD129" s="172">
        <f ca="1">(VLOOKUP(AD$72,INDIRECT($C$5&amp;"生成成长"),2))/((VLOOKUP($B129,INDIRECT($B$5&amp;"生成成长"),4))/(VLOOKUP(AD$72,INDIRECT($C$5&amp;"生成成长"),5))*(VLOOKUP($B$5,标准坦克设计!$B$24:$U$30,MATCH("对"&amp;LEFT($C$5,2)&amp;"输出",标准坦克设计!$B$23:$U$23,0)))*(VLOOKUP($B129,INDIRECT($B$5&amp;"生成成长"),3))*(VLOOKUP($B$5,标准坦克设计!$B$14:$K$20,9)/30))</f>
        <v>11.591123823693607</v>
      </c>
      <c r="AE129" s="172">
        <f ca="1">(VLOOKUP(AE$72,INDIRECT($C$5&amp;"生成成长"),2))/((VLOOKUP($B129,INDIRECT($B$5&amp;"生成成长"),4))/(VLOOKUP(AE$72,INDIRECT($C$5&amp;"生成成长"),5))*(VLOOKUP($B$5,标准坦克设计!$B$24:$U$30,MATCH("对"&amp;LEFT($C$5,2)&amp;"输出",标准坦克设计!$B$23:$U$23,0)))*(VLOOKUP($B129,INDIRECT($B$5&amp;"生成成长"),3))*(VLOOKUP($B$5,标准坦克设计!$B$14:$K$20,9)/30))</f>
        <v>12.564755454466694</v>
      </c>
      <c r="AF129" s="172">
        <f ca="1">(VLOOKUP(AF$72,INDIRECT($C$5&amp;"生成成长"),2))/((VLOOKUP($B129,INDIRECT($B$5&amp;"生成成长"),4))/(VLOOKUP(AF$72,INDIRECT($C$5&amp;"生成成长"),5))*(VLOOKUP($B$5,标准坦克设计!$B$24:$U$30,MATCH("对"&amp;LEFT($C$5,2)&amp;"输出",标准坦克设计!$B$23:$U$23,0)))*(VLOOKUP($B129,INDIRECT($B$5&amp;"生成成长"),3))*(VLOOKUP($B$5,标准坦克设计!$B$14:$K$20,9)/30))</f>
        <v>13.577646425190313</v>
      </c>
      <c r="AG129" s="172">
        <f ca="1">(VLOOKUP(AG$72,INDIRECT($C$5&amp;"生成成长"),2))/((VLOOKUP($B129,INDIRECT($B$5&amp;"生成成长"),4))/(VLOOKUP(AG$72,INDIRECT($C$5&amp;"生成成长"),5))*(VLOOKUP($B$5,标准坦克设计!$B$24:$U$30,MATCH("对"&amp;LEFT($C$5,2)&amp;"输出",标准坦克设计!$B$23:$U$23,0)))*(VLOOKUP($B129,INDIRECT($B$5&amp;"生成成长"),3))*(VLOOKUP($B$5,标准坦克设计!$B$14:$K$20,9)/30))</f>
        <v>14.62979673586446</v>
      </c>
      <c r="AH129" s="172">
        <f ca="1">(VLOOKUP(AH$72,INDIRECT($C$5&amp;"生成成长"),2))/((VLOOKUP($B129,INDIRECT($B$5&amp;"生成成长"),4))/(VLOOKUP(AH$72,INDIRECT($C$5&amp;"生成成长"),5))*(VLOOKUP($B$5,标准坦克设计!$B$24:$U$30,MATCH("对"&amp;LEFT($C$5,2)&amp;"输出",标准坦克设计!$B$23:$U$23,0)))*(VLOOKUP($B129,INDIRECT($B$5&amp;"生成成长"),3))*(VLOOKUP($B$5,标准坦克设计!$B$14:$K$20,9)/30))</f>
        <v>15.721206386489136</v>
      </c>
      <c r="AI129" s="172">
        <f ca="1">(VLOOKUP(AI$72,INDIRECT($C$5&amp;"生成成长"),2))/((VLOOKUP($B129,INDIRECT($B$5&amp;"生成成长"),4))/(VLOOKUP(AI$72,INDIRECT($C$5&amp;"生成成长"),5))*(VLOOKUP($B$5,标准坦克设计!$B$24:$U$30,MATCH("对"&amp;LEFT($C$5,2)&amp;"输出",标准坦克设计!$B$23:$U$23,0)))*(VLOOKUP($B129,INDIRECT($B$5&amp;"生成成长"),3))*(VLOOKUP($B$5,标准坦克设计!$B$14:$K$20,9)/30))</f>
        <v>11.119030260788508</v>
      </c>
      <c r="AJ129" s="172">
        <f ca="1">(VLOOKUP(AJ$72,INDIRECT($C$5&amp;"生成成长"),2))/((VLOOKUP($B129,INDIRECT($B$5&amp;"生成成长"),4))/(VLOOKUP(AJ$72,INDIRECT($C$5&amp;"生成成长"),5))*(VLOOKUP($B$5,标准坦克设计!$B$24:$U$30,MATCH("对"&amp;LEFT($C$5,2)&amp;"输出",标准坦克设计!$B$23:$U$23,0)))*(VLOOKUP($B129,INDIRECT($B$5&amp;"生成成长"),3))*(VLOOKUP($B$5,标准坦克设计!$B$14:$K$20,9)/30))</f>
        <v>12.170591681363396</v>
      </c>
      <c r="AK129" s="172">
        <f ca="1">(VLOOKUP(AK$72,INDIRECT($C$5&amp;"生成成长"),2))/((VLOOKUP($B129,INDIRECT($B$5&amp;"生成成长"),4))/(VLOOKUP(AK$72,INDIRECT($C$5&amp;"生成成长"),5))*(VLOOKUP($B$5,标准坦克设计!$B$24:$U$30,MATCH("对"&amp;LEFT($C$5,2)&amp;"输出",标准坦克设计!$B$23:$U$23,0)))*(VLOOKUP($B129,INDIRECT($B$5&amp;"生成成长"),3))*(VLOOKUP($B$5,标准坦克设计!$B$14:$K$20,9)/30))</f>
        <v>13.269656903278422</v>
      </c>
      <c r="AL129" s="172">
        <f ca="1">(VLOOKUP(AL$72,INDIRECT($C$5&amp;"生成成长"),2))/((VLOOKUP($B129,INDIRECT($B$5&amp;"生成成长"),4))/(VLOOKUP(AL$72,INDIRECT($C$5&amp;"生成成长"),5))*(VLOOKUP($B$5,标准坦克设计!$B$24:$U$30,MATCH("对"&amp;LEFT($C$5,2)&amp;"输出",标准坦克设计!$B$23:$U$23,0)))*(VLOOKUP($B129,INDIRECT($B$5&amp;"生成成长"),3))*(VLOOKUP($B$5,标准坦克设计!$B$14:$K$20,9)/30))</f>
        <v>14.41622592653359</v>
      </c>
      <c r="AM129" s="172">
        <f ca="1">(VLOOKUP(AM$72,INDIRECT($C$5&amp;"生成成长"),2))/((VLOOKUP($B129,INDIRECT($B$5&amp;"生成成长"),4))/(VLOOKUP(AM$72,INDIRECT($C$5&amp;"生成成长"),5))*(VLOOKUP($B$5,标准坦克设计!$B$24:$U$30,MATCH("对"&amp;LEFT($C$5,2)&amp;"输出",标准坦克设计!$B$23:$U$23,0)))*(VLOOKUP($B129,INDIRECT($B$5&amp;"生成成长"),3))*(VLOOKUP($B$5,标准坦克设计!$B$14:$K$20,9)/30))</f>
        <v>15.610298751128896</v>
      </c>
      <c r="AN129" s="172">
        <f ca="1">(VLOOKUP(AN$72,INDIRECT($C$5&amp;"生成成长"),2))/((VLOOKUP($B129,INDIRECT($B$5&amp;"生成成长"),4))/(VLOOKUP(AN$72,INDIRECT($C$5&amp;"生成成长"),5))*(VLOOKUP($B$5,标准坦克设计!$B$24:$U$30,MATCH("对"&amp;LEFT($C$5,2)&amp;"输出",标准坦克设计!$B$23:$U$23,0)))*(VLOOKUP($B129,INDIRECT($B$5&amp;"生成成长"),3))*(VLOOKUP($B$5,标准坦克设计!$B$14:$K$20,9)/30))</f>
        <v>16.851875377064339</v>
      </c>
      <c r="AO129" s="172">
        <f ca="1">(VLOOKUP(AO$72,INDIRECT($C$5&amp;"生成成长"),2))/((VLOOKUP($B129,INDIRECT($B$5&amp;"生成成长"),4))/(VLOOKUP(AO$72,INDIRECT($C$5&amp;"生成成长"),5))*(VLOOKUP($B$5,标准坦克设计!$B$24:$U$30,MATCH("对"&amp;LEFT($C$5,2)&amp;"输出",标准坦克设计!$B$23:$U$23,0)))*(VLOOKUP($B129,INDIRECT($B$5&amp;"生成成长"),3))*(VLOOKUP($B$5,标准坦克设计!$B$14:$K$20,9)/30))</f>
        <v>18.140955804339921</v>
      </c>
      <c r="AP129" s="172">
        <f ca="1">(VLOOKUP(AP$72,INDIRECT($C$5&amp;"生成成长"),2))/((VLOOKUP($B129,INDIRECT($B$5&amp;"生成成长"),4))/(VLOOKUP(AP$72,INDIRECT($C$5&amp;"生成成长"),5))*(VLOOKUP($B$5,标准坦克设计!$B$24:$U$30,MATCH("对"&amp;LEFT($C$5,2)&amp;"输出",标准坦克设计!$B$23:$U$23,0)))*(VLOOKUP($B129,INDIRECT($B$5&amp;"生成成长"),3))*(VLOOKUP($B$5,标准坦克设计!$B$14:$K$20,9)/30))</f>
        <v>19.477540032955645</v>
      </c>
      <c r="AQ129" s="172">
        <f ca="1">(VLOOKUP(AQ$72,INDIRECT($C$5&amp;"生成成长"),2))/((VLOOKUP($B129,INDIRECT($B$5&amp;"生成成长"),4))/(VLOOKUP(AQ$72,INDIRECT($C$5&amp;"生成成长"),5))*(VLOOKUP($B$5,标准坦克设计!$B$24:$U$30,MATCH("对"&amp;LEFT($C$5,2)&amp;"输出",标准坦克设计!$B$23:$U$23,0)))*(VLOOKUP($B129,INDIRECT($B$5&amp;"生成成长"),3))*(VLOOKUP($B$5,标准坦克设计!$B$14:$K$20,9)/30))</f>
        <v>20.861628062911507</v>
      </c>
      <c r="AR129" s="172">
        <f ca="1">(VLOOKUP(AR$72,INDIRECT($C$5&amp;"生成成长"),2))/((VLOOKUP($B129,INDIRECT($B$5&amp;"生成成长"),4))/(VLOOKUP(AR$72,INDIRECT($C$5&amp;"生成成长"),5))*(VLOOKUP($B$5,标准坦克设计!$B$24:$U$30,MATCH("对"&amp;LEFT($C$5,2)&amp;"输出",标准坦克设计!$B$23:$U$23,0)))*(VLOOKUP($B129,INDIRECT($B$5&amp;"生成成长"),3))*(VLOOKUP($B$5,标准坦克设计!$B$14:$K$20,9)/30))</f>
        <v>22.293219894207507</v>
      </c>
      <c r="AS129" s="172">
        <f ca="1">(VLOOKUP(AS$72,INDIRECT($C$5&amp;"生成成长"),2))/((VLOOKUP($B129,INDIRECT($B$5&amp;"生成成长"),4))/(VLOOKUP(AS$72,INDIRECT($C$5&amp;"生成成长"),5))*(VLOOKUP($B$5,标准坦克设计!$B$24:$U$30,MATCH("对"&amp;LEFT($C$5,2)&amp;"输出",标准坦克设计!$B$23:$U$23,0)))*(VLOOKUP($B129,INDIRECT($B$5&amp;"生成成长"),3))*(VLOOKUP($B$5,标准坦克设计!$B$14:$K$20,9)/30))</f>
        <v>23.772315526843645</v>
      </c>
      <c r="AT129" s="172">
        <f ca="1">(VLOOKUP(AT$72,INDIRECT($C$5&amp;"生成成长"),2))/((VLOOKUP($B129,INDIRECT($B$5&amp;"生成成长"),4))/(VLOOKUP(AT$72,INDIRECT($C$5&amp;"生成成长"),5))*(VLOOKUP($B$5,标准坦克设计!$B$24:$U$30,MATCH("对"&amp;LEFT($C$5,2)&amp;"输出",标准坦克设计!$B$23:$U$23,0)))*(VLOOKUP($B129,INDIRECT($B$5&amp;"生成成长"),3))*(VLOOKUP($B$5,标准坦克设计!$B$14:$K$20,9)/30))</f>
        <v>25.298914960819914</v>
      </c>
      <c r="AU129" s="172">
        <f ca="1">(VLOOKUP(AU$72,INDIRECT($C$5&amp;"生成成长"),2))/((VLOOKUP($B129,INDIRECT($B$5&amp;"生成成长"),4))/(VLOOKUP(AU$72,INDIRECT($C$5&amp;"生成成长"),5))*(VLOOKUP($B$5,标准坦克设计!$B$24:$U$30,MATCH("对"&amp;LEFT($C$5,2)&amp;"输出",标准坦克设计!$B$23:$U$23,0)))*(VLOOKUP($B129,INDIRECT($B$5&amp;"生成成长"),3))*(VLOOKUP($B$5,标准坦克设计!$B$14:$K$20,9)/30))</f>
        <v>26.873018196136336</v>
      </c>
      <c r="AV129" s="172">
        <f ca="1">(VLOOKUP(AV$72,INDIRECT($C$5&amp;"生成成长"),2))/((VLOOKUP($B129,INDIRECT($B$5&amp;"生成成长"),4))/(VLOOKUP(AV$72,INDIRECT($C$5&amp;"生成成长"),5))*(VLOOKUP($B$5,标准坦克设计!$B$24:$U$30,MATCH("对"&amp;LEFT($C$5,2)&amp;"输出",标准坦克设计!$B$23:$U$23,0)))*(VLOOKUP($B129,INDIRECT($B$5&amp;"生成成长"),3))*(VLOOKUP($B$5,标准坦克设计!$B$14:$K$20,9)/30))</f>
        <v>2.7332352473557511</v>
      </c>
      <c r="AW129" s="172">
        <f ca="1">(VLOOKUP(AW$72,INDIRECT($C$5&amp;"生成成长"),2))/((VLOOKUP($B129,INDIRECT($B$5&amp;"生成成长"),4))/(VLOOKUP(AW$72,INDIRECT($C$5&amp;"生成成长"),5))*(VLOOKUP($B$5,标准坦克设计!$B$24:$U$30,MATCH("对"&amp;LEFT($C$5,2)&amp;"输出",标准坦克设计!$B$23:$U$23,0)))*(VLOOKUP($B129,INDIRECT($B$5&amp;"生成成长"),3))*(VLOOKUP($B$5,标准坦克设计!$B$14:$K$20,9)/30))</f>
        <v>3.1164064052729032</v>
      </c>
      <c r="AX129" s="172">
        <f ca="1">(VLOOKUP(AX$72,INDIRECT($C$5&amp;"生成成长"),2))/((VLOOKUP($B129,INDIRECT($B$5&amp;"生成成长"),4))/(VLOOKUP(AX$72,INDIRECT($C$5&amp;"生成成长"),5))*(VLOOKUP($B$5,标准坦克设计!$B$24:$U$30,MATCH("对"&amp;LEFT($C$5,2)&amp;"输出",标准坦克设计!$B$23:$U$23,0)))*(VLOOKUP($B129,INDIRECT($B$5&amp;"生成成长"),3))*(VLOOKUP($B$5,标准坦克设计!$B$14:$K$20,9)/30))</f>
        <v>3.5247035407583929</v>
      </c>
      <c r="AY129" s="172">
        <f ca="1">(VLOOKUP(AY$72,INDIRECT($C$5&amp;"生成成长"),2))/((VLOOKUP($B129,INDIRECT($B$5&amp;"生成成长"),4))/(VLOOKUP(AY$72,INDIRECT($C$5&amp;"生成成长"),5))*(VLOOKUP($B$5,标准坦克设计!$B$24:$U$30,MATCH("对"&amp;LEFT($C$5,2)&amp;"输出",标准坦克设计!$B$23:$U$23,0)))*(VLOOKUP($B129,INDIRECT($B$5&amp;"生成成长"),3))*(VLOOKUP($B$5,标准坦克设计!$B$14:$K$20,9)/30))</f>
        <v>3.9581266538122208</v>
      </c>
      <c r="AZ129" s="172">
        <f ca="1">(VLOOKUP(AZ$72,INDIRECT($C$5&amp;"生成成长"),2))/((VLOOKUP($B129,INDIRECT($B$5&amp;"生成成长"),4))/(VLOOKUP(AZ$72,INDIRECT($C$5&amp;"生成成长"),5))*(VLOOKUP($B$5,标准坦克设计!$B$24:$U$30,MATCH("对"&amp;LEFT($C$5,2)&amp;"输出",标准坦克设计!$B$23:$U$23,0)))*(VLOOKUP($B129,INDIRECT($B$5&amp;"生成成长"),3))*(VLOOKUP($B$5,标准坦克设计!$B$14:$K$20,9)/30))</f>
        <v>4.4166757444343867</v>
      </c>
      <c r="BA129" s="172">
        <f ca="1">(VLOOKUP(BA$72,INDIRECT($C$5&amp;"生成成长"),2))/((VLOOKUP($B129,INDIRECT($B$5&amp;"生成成长"),4))/(VLOOKUP(BA$72,INDIRECT($C$5&amp;"生成成长"),5))*(VLOOKUP($B$5,标准坦克设计!$B$24:$U$30,MATCH("对"&amp;LEFT($C$5,2)&amp;"输出",标准坦克设计!$B$23:$U$23,0)))*(VLOOKUP($B129,INDIRECT($B$5&amp;"生成成长"),3))*(VLOOKUP($B$5,标准坦克设计!$B$14:$K$20,9)/30))</f>
        <v>4.9003508126248896</v>
      </c>
      <c r="BB129" s="172">
        <f ca="1">(VLOOKUP(BB$72,INDIRECT($C$5&amp;"生成成长"),2))/((VLOOKUP($B129,INDIRECT($B$5&amp;"生成成长"),4))/(VLOOKUP(BB$72,INDIRECT($C$5&amp;"生成成长"),5))*(VLOOKUP($B$5,标准坦克设计!$B$24:$U$30,MATCH("对"&amp;LEFT($C$5,2)&amp;"输出",标准坦克设计!$B$23:$U$23,0)))*(VLOOKUP($B129,INDIRECT($B$5&amp;"生成成长"),3))*(VLOOKUP($B$5,标准坦克设计!$B$14:$K$20,9)/30))</f>
        <v>5.4091518583837317</v>
      </c>
      <c r="BC129" s="172">
        <f ca="1">(VLOOKUP(BC$72,INDIRECT($C$5&amp;"生成成长"),2))/((VLOOKUP($B129,INDIRECT($B$5&amp;"生成成长"),4))/(VLOOKUP(BC$72,INDIRECT($C$5&amp;"生成成长"),5))*(VLOOKUP($B$5,标准坦克设计!$B$24:$U$30,MATCH("对"&amp;LEFT($C$5,2)&amp;"输出",标准坦克设计!$B$23:$U$23,0)))*(VLOOKUP($B129,INDIRECT($B$5&amp;"生成成长"),3))*(VLOOKUP($B$5,标准坦克设计!$B$14:$K$20,9)/30))</f>
        <v>5.9430788817109113</v>
      </c>
      <c r="BD129" s="172">
        <f ca="1">(VLOOKUP(BD$72,INDIRECT($C$5&amp;"生成成长"),2))/((VLOOKUP($B129,INDIRECT($B$5&amp;"生成成长"),4))/(VLOOKUP(BD$72,INDIRECT($C$5&amp;"生成成长"),5))*(VLOOKUP($B$5,标准坦克设计!$B$24:$U$30,MATCH("对"&amp;LEFT($C$5,2)&amp;"输出",标准坦克设计!$B$23:$U$23,0)))*(VLOOKUP($B129,INDIRECT($B$5&amp;"生成成长"),3))*(VLOOKUP($B$5,标准坦克设计!$B$14:$K$20,9)/30))</f>
        <v>6.5737801780161416</v>
      </c>
      <c r="BE129" s="172">
        <f ca="1">(VLOOKUP(BE$72,INDIRECT($C$5&amp;"生成成长"),2))/((VLOOKUP($B129,INDIRECT($B$5&amp;"生成成长"),4))/(VLOOKUP(BE$72,INDIRECT($C$5&amp;"生成成长"),5))*(VLOOKUP($B$5,标准坦克设计!$B$24:$U$30,MATCH("对"&amp;LEFT($C$5,2)&amp;"输出",标准坦克设计!$B$23:$U$23,0)))*(VLOOKUP($B129,INDIRECT($B$5&amp;"生成成长"),3))*(VLOOKUP($B$5,标准坦克设计!$B$14:$K$20,9)/30))</f>
        <v>7.2362815396812996</v>
      </c>
      <c r="BF129" s="172">
        <f ca="1">(VLOOKUP(BF$72,INDIRECT($C$5&amp;"生成成长"),2))/((VLOOKUP($B129,INDIRECT($B$5&amp;"生成成长"),4))/(VLOOKUP(BF$72,INDIRECT($C$5&amp;"生成成长"),5))*(VLOOKUP($B$5,标准坦克设计!$B$24:$U$30,MATCH("对"&amp;LEFT($C$5,2)&amp;"输出",标准坦克设计!$B$23:$U$23,0)))*(VLOOKUP($B129,INDIRECT($B$5&amp;"生成成长"),3))*(VLOOKUP($B$5,标准坦克设计!$B$14:$K$20,9)/30))</f>
        <v>7.9305829667063854</v>
      </c>
      <c r="BG129" s="172">
        <f ca="1">(VLOOKUP(BG$72,INDIRECT($C$5&amp;"生成成长"),2))/((VLOOKUP($B129,INDIRECT($B$5&amp;"生成成长"),4))/(VLOOKUP(BG$72,INDIRECT($C$5&amp;"生成成长"),5))*(VLOOKUP($B$5,标准坦克设计!$B$24:$U$30,MATCH("对"&amp;LEFT($C$5,2)&amp;"输出",标准坦克设计!$B$23:$U$23,0)))*(VLOOKUP($B129,INDIRECT($B$5&amp;"生成成长"),3))*(VLOOKUP($B$5,标准坦克设计!$B$14:$K$20,9)/30))</f>
        <v>8.6566844590913981</v>
      </c>
      <c r="BH129" s="172">
        <f ca="1">(VLOOKUP(BH$72,INDIRECT($C$5&amp;"生成成长"),2))/((VLOOKUP($B129,INDIRECT($B$5&amp;"生成成长"),4))/(VLOOKUP(BH$72,INDIRECT($C$5&amp;"生成成长"),5))*(VLOOKUP($B$5,标准坦克设计!$B$24:$U$30,MATCH("对"&amp;LEFT($C$5,2)&amp;"输出",标准坦克设计!$B$23:$U$23,0)))*(VLOOKUP($B129,INDIRECT($B$5&amp;"生成成长"),3))*(VLOOKUP($B$5,标准坦克设计!$B$14:$K$20,9)/30))</f>
        <v>4.184260451927261</v>
      </c>
      <c r="BI129" s="172">
        <f ca="1">(VLOOKUP(BI$72,INDIRECT($C$5&amp;"生成成长"),2))/((VLOOKUP($B129,INDIRECT($B$5&amp;"生成成长"),4))/(VLOOKUP(BI$72,INDIRECT($C$5&amp;"生成成长"),5))*(VLOOKUP($B$5,标准坦克设计!$B$24:$U$30,MATCH("对"&amp;LEFT($C$5,2)&amp;"输出",标准坦克设计!$B$23:$U$23,0)))*(VLOOKUP($B129,INDIRECT($B$5&amp;"生成成长"),3))*(VLOOKUP($B$5,标准坦克设计!$B$14:$K$20,9)/30))</f>
        <v>4.7160282115571626</v>
      </c>
      <c r="BJ129" s="172">
        <f ca="1">(VLOOKUP(BJ$72,INDIRECT($C$5&amp;"生成成长"),2))/((VLOOKUP($B129,INDIRECT($B$5&amp;"生成成长"),4))/(VLOOKUP(BJ$72,INDIRECT($C$5&amp;"生成成长"),5))*(VLOOKUP($B$5,标准坦克设计!$B$24:$U$30,MATCH("对"&amp;LEFT($C$5,2)&amp;"输出",标准坦克设计!$B$23:$U$23,0)))*(VLOOKUP($B129,INDIRECT($B$5&amp;"生成成长"),3))*(VLOOKUP($B$5,标准坦克设计!$B$14:$K$20,9)/30))</f>
        <v>5.2795960365469883</v>
      </c>
      <c r="BK129" s="172">
        <f ca="1">(VLOOKUP(BK$72,INDIRECT($C$5&amp;"生成成长"),2))/((VLOOKUP($B129,INDIRECT($B$5&amp;"生成成长"),4))/(VLOOKUP(BK$72,INDIRECT($C$5&amp;"生成成长"),5))*(VLOOKUP($B$5,标准坦克设计!$B$24:$U$30,MATCH("对"&amp;LEFT($C$5,2)&amp;"输出",标准坦克设计!$B$23:$U$23,0)))*(VLOOKUP($B129,INDIRECT($B$5&amp;"生成成长"),3))*(VLOOKUP($B$5,标准坦克设计!$B$14:$K$20,9)/30))</f>
        <v>5.8749639268967444</v>
      </c>
      <c r="BL129" s="172">
        <f ca="1">(VLOOKUP(BL$72,INDIRECT($C$5&amp;"生成成长"),2))/((VLOOKUP($B129,INDIRECT($B$5&amp;"生成成长"),4))/(VLOOKUP(BL$72,INDIRECT($C$5&amp;"生成成长"),5))*(VLOOKUP($B$5,标准坦克设计!$B$24:$U$30,MATCH("对"&amp;LEFT($C$5,2)&amp;"输出",标准坦克设计!$B$23:$U$23,0)))*(VLOOKUP($B129,INDIRECT($B$5&amp;"生成成长"),3))*(VLOOKUP($B$5,标准坦克设计!$B$14:$K$20,9)/30))</f>
        <v>6.5021318826064292</v>
      </c>
      <c r="BM129" s="172">
        <f ca="1">(VLOOKUP(BM$72,INDIRECT($C$5&amp;"生成成长"),2))/((VLOOKUP($B129,INDIRECT($B$5&amp;"生成成长"),4))/(VLOOKUP(BM$72,INDIRECT($C$5&amp;"生成成长"),5))*(VLOOKUP($B$5,标准坦克设计!$B$24:$U$30,MATCH("对"&amp;LEFT($C$5,2)&amp;"输出",标准坦克设计!$B$23:$U$23,0)))*(VLOOKUP($B129,INDIRECT($B$5&amp;"生成成长"),3))*(VLOOKUP($B$5,标准坦克设计!$B$14:$K$20,9)/30))</f>
        <v>7.1610999036760381</v>
      </c>
      <c r="BN129" s="172">
        <f ca="1">(VLOOKUP(BN$72,INDIRECT($C$5&amp;"生成成长"),2))/((VLOOKUP($B129,INDIRECT($B$5&amp;"生成成长"),4))/(VLOOKUP(BN$72,INDIRECT($C$5&amp;"生成成长"),5))*(VLOOKUP($B$5,标准坦克设计!$B$24:$U$30,MATCH("对"&amp;LEFT($C$5,2)&amp;"输出",标准坦克设计!$B$23:$U$23,0)))*(VLOOKUP($B129,INDIRECT($B$5&amp;"生成成长"),3))*(VLOOKUP($B$5,标准坦克设计!$B$14:$K$20,9)/30))</f>
        <v>7.8518679901055748</v>
      </c>
      <c r="BO129" s="172">
        <f ca="1">(VLOOKUP(BO$72,INDIRECT($C$5&amp;"生成成长"),2))/((VLOOKUP($B129,INDIRECT($B$5&amp;"生成成长"),4))/(VLOOKUP(BO$72,INDIRECT($C$5&amp;"生成成长"),5))*(VLOOKUP($B$5,标准坦克设计!$B$24:$U$30,MATCH("对"&amp;LEFT($C$5,2)&amp;"输出",标准坦克设计!$B$23:$U$23,0)))*(VLOOKUP($B129,INDIRECT($B$5&amp;"生成成长"),3))*(VLOOKUP($B$5,标准坦克设计!$B$14:$K$20,9)/30))</f>
        <v>8.5744361418950437</v>
      </c>
      <c r="BP129" s="172">
        <f ca="1">(VLOOKUP(BP$72,INDIRECT($C$5&amp;"生成成长"),2))/((VLOOKUP($B129,INDIRECT($B$5&amp;"生成成长"),4))/(VLOOKUP(BP$72,INDIRECT($C$5&amp;"生成成长"),5))*(VLOOKUP($B$5,标准坦克设计!$B$24:$U$30,MATCH("对"&amp;LEFT($C$5,2)&amp;"输出",标准坦克设计!$B$23:$U$23,0)))*(VLOOKUP($B129,INDIRECT($B$5&amp;"生成成长"),3))*(VLOOKUP($B$5,标准坦克设计!$B$14:$K$20,9)/30))</f>
        <v>9.3288043590444349</v>
      </c>
      <c r="BQ129" s="172">
        <f ca="1">(VLOOKUP(BQ$72,INDIRECT($C$5&amp;"生成成长"),2))/((VLOOKUP($B129,INDIRECT($B$5&amp;"生成成长"),4))/(VLOOKUP(BQ$72,INDIRECT($C$5&amp;"生成成长"),5))*(VLOOKUP($B$5,标准坦克设计!$B$24:$U$30,MATCH("对"&amp;LEFT($C$5,2)&amp;"输出",标准坦克设计!$B$23:$U$23,0)))*(VLOOKUP($B129,INDIRECT($B$5&amp;"生成成长"),3))*(VLOOKUP($B$5,标准坦克设计!$B$14:$K$20,9)/30))</f>
        <v>10.114972641553758</v>
      </c>
      <c r="BR129" s="172">
        <f ca="1">(VLOOKUP(BR$72,INDIRECT($C$5&amp;"生成成长"),2))/((VLOOKUP($B129,INDIRECT($B$5&amp;"生成成长"),4))/(VLOOKUP(BR$72,INDIRECT($C$5&amp;"生成成长"),5))*(VLOOKUP($B$5,标准坦克设计!$B$24:$U$30,MATCH("对"&amp;LEFT($C$5,2)&amp;"输出",标准坦克设计!$B$23:$U$23,0)))*(VLOOKUP($B129,INDIRECT($B$5&amp;"生成成长"),3))*(VLOOKUP($B$5,标准坦克设计!$B$14:$K$20,9)/30))</f>
        <v>11.025789328406002</v>
      </c>
      <c r="BS129" s="172">
        <f ca="1">(VLOOKUP(BS$72,INDIRECT($C$5&amp;"生成成长"),2))/((VLOOKUP($B129,INDIRECT($B$5&amp;"生成成长"),4))/(VLOOKUP(BS$72,INDIRECT($C$5&amp;"生成成长"),5))*(VLOOKUP($B$5,标准坦克设计!$B$24:$U$30,MATCH("对"&amp;LEFT($C$5,2)&amp;"输出",标准坦克设计!$B$23:$U$23,0)))*(VLOOKUP($B129,INDIRECT($B$5&amp;"生成成长"),3))*(VLOOKUP($B$5,标准坦克设计!$B$14:$K$20,9)/30))</f>
        <v>11.975865355208777</v>
      </c>
      <c r="BT129" s="172">
        <f ca="1">(VLOOKUP(BT$72,INDIRECT($C$5&amp;"生成成长"),2))/((VLOOKUP($B129,INDIRECT($B$5&amp;"生成成长"),4))/(VLOOKUP(BT$72,INDIRECT($C$5&amp;"生成成长"),5))*(VLOOKUP($B$5,标准坦克设计!$B$24:$U$30,MATCH("对"&amp;LEFT($C$5,2)&amp;"输出",标准坦克设计!$B$23:$U$23,0)))*(VLOOKUP($B129,INDIRECT($B$5&amp;"生成成长"),3))*(VLOOKUP($B$5,标准坦克设计!$B$14:$K$20,9)/30))</f>
        <v>12.965200721962082</v>
      </c>
      <c r="BU129" s="172">
        <f ca="1">(VLOOKUP(BU$72,INDIRECT($C$5&amp;"生成成长"),2))/((VLOOKUP($B129,INDIRECT($B$5&amp;"生成成长"),4))/(VLOOKUP(BU$72,INDIRECT($C$5&amp;"生成成长"),5))*(VLOOKUP($B$5,标准坦克设计!$B$24:$U$30,MATCH("对"&amp;LEFT($C$5,2)&amp;"输出",标准坦克设计!$B$23:$U$23,0)))*(VLOOKUP($B129,INDIRECT($B$5&amp;"生成成长"),3))*(VLOOKUP($B$5,标准坦克设计!$B$14:$K$20,9)/30))</f>
        <v>13.99379542866591</v>
      </c>
      <c r="BV129" s="172">
        <f ca="1">(VLOOKUP(BV$72,INDIRECT($C$5&amp;"生成成长"),2))/((VLOOKUP($B129,INDIRECT($B$5&amp;"生成成长"),4))/(VLOOKUP(BV$72,INDIRECT($C$5&amp;"生成成长"),5))*(VLOOKUP($B$5,标准坦克设计!$B$24:$U$30,MATCH("对"&amp;LEFT($C$5,2)&amp;"输出",标准坦克设计!$B$23:$U$23,0)))*(VLOOKUP($B129,INDIRECT($B$5&amp;"生成成长"),3))*(VLOOKUP($B$5,标准坦克设计!$B$14:$K$20,9)/30))</f>
        <v>15.061649475320269</v>
      </c>
      <c r="BW129" s="172">
        <f ca="1">(VLOOKUP(BW$72,INDIRECT($C$5&amp;"生成成长"),2))/((VLOOKUP($B129,INDIRECT($B$5&amp;"生成成长"),4))/(VLOOKUP(BW$72,INDIRECT($C$5&amp;"生成成长"),5))*(VLOOKUP($B$5,标准坦克设计!$B$24:$U$30,MATCH("对"&amp;LEFT($C$5,2)&amp;"输出",标准坦克设计!$B$23:$U$23,0)))*(VLOOKUP($B129,INDIRECT($B$5&amp;"生成成长"),3))*(VLOOKUP($B$5,标准坦克设计!$B$14:$K$20,9)/30))</f>
        <v>6.8642992936500473</v>
      </c>
      <c r="BX129" s="172">
        <f ca="1">(VLOOKUP(BX$72,INDIRECT($C$5&amp;"生成成长"),2))/((VLOOKUP($B129,INDIRECT($B$5&amp;"生成成长"),4))/(VLOOKUP(BX$72,INDIRECT($C$5&amp;"生成成长"),5))*(VLOOKUP($B$5,标准坦克设计!$B$24:$U$30,MATCH("对"&amp;LEFT($C$5,2)&amp;"输出",标准坦克设计!$B$23:$U$23,0)))*(VLOOKUP($B129,INDIRECT($B$5&amp;"生成成长"),3))*(VLOOKUP($B$5,标准坦克设计!$B$14:$K$20,9)/30))</f>
        <v>7.6180786207001816</v>
      </c>
      <c r="BY129" s="172">
        <f ca="1">(VLOOKUP(BY$72,INDIRECT($C$5&amp;"生成成长"),2))/((VLOOKUP($B129,INDIRECT($B$5&amp;"生成成长"),4))/(VLOOKUP(BY$72,INDIRECT($C$5&amp;"生成成长"),5))*(VLOOKUP($B$5,标准坦克设计!$B$24:$U$30,MATCH("对"&amp;LEFT($C$5,2)&amp;"输出",标准坦克设计!$B$23:$U$23,0)))*(VLOOKUP($B129,INDIRECT($B$5&amp;"生成成长"),3))*(VLOOKUP($B$5,标准坦克设计!$B$14:$K$20,9)/30))</f>
        <v>8.4111172877008453</v>
      </c>
      <c r="BZ129" s="172">
        <f ca="1">(VLOOKUP(BZ$72,INDIRECT($C$5&amp;"生成成长"),2))/((VLOOKUP($B129,INDIRECT($B$5&amp;"生成成长"),4))/(VLOOKUP(BZ$72,INDIRECT($C$5&amp;"生成成长"),5))*(VLOOKUP($B$5,标准坦克设计!$B$24:$U$30,MATCH("对"&amp;LEFT($C$5,2)&amp;"输出",标准坦克设计!$B$23:$U$23,0)))*(VLOOKUP($B129,INDIRECT($B$5&amp;"生成成长"),3))*(VLOOKUP($B$5,标准坦克设计!$B$14:$K$20,9)/30))</f>
        <v>9.2434152946520367</v>
      </c>
      <c r="CA129" s="172">
        <f ca="1">(VLOOKUP(CA$72,INDIRECT($C$5&amp;"生成成长"),2))/((VLOOKUP($B129,INDIRECT($B$5&amp;"生成成长"),4))/(VLOOKUP(CA$72,INDIRECT($C$5&amp;"生成成长"),5))*(VLOOKUP($B$5,标准坦克设计!$B$24:$U$30,MATCH("对"&amp;LEFT($C$5,2)&amp;"输出",标准坦克设计!$B$23:$U$23,0)))*(VLOOKUP($B129,INDIRECT($B$5&amp;"生成成长"),3))*(VLOOKUP($B$5,标准坦克设计!$B$14:$K$20,9)/30))</f>
        <v>10.114972641553758</v>
      </c>
      <c r="CB129" s="172">
        <f ca="1">(VLOOKUP(CB$72,INDIRECT($C$5&amp;"生成成长"),2))/((VLOOKUP($B129,INDIRECT($B$5&amp;"生成成长"),4))/(VLOOKUP(CB$72,INDIRECT($C$5&amp;"生成成长"),5))*(VLOOKUP($B$5,标准坦克设计!$B$24:$U$30,MATCH("对"&amp;LEFT($C$5,2)&amp;"输出",标准坦克设计!$B$23:$U$23,0)))*(VLOOKUP($B129,INDIRECT($B$5&amp;"生成成长"),3))*(VLOOKUP($B$5,标准坦克设计!$B$14:$K$20,9)/30))</f>
        <v>11.025789328406002</v>
      </c>
      <c r="CC129" s="172">
        <f ca="1">(VLOOKUP(CC$72,INDIRECT($C$5&amp;"生成成长"),2))/((VLOOKUP($B129,INDIRECT($B$5&amp;"生成成长"),4))/(VLOOKUP(CC$72,INDIRECT($C$5&amp;"生成成长"),5))*(VLOOKUP($B$5,标准坦克设计!$B$24:$U$30,MATCH("对"&amp;LEFT($C$5,2)&amp;"输出",标准坦克设计!$B$23:$U$23,0)))*(VLOOKUP($B129,INDIRECT($B$5&amp;"生成成长"),3))*(VLOOKUP($B$5,标准坦克设计!$B$14:$K$20,9)/30))</f>
        <v>11.975865355208777</v>
      </c>
      <c r="CD129" s="172">
        <f ca="1">(VLOOKUP(CD$72,INDIRECT($C$5&amp;"生成成长"),2))/((VLOOKUP($B129,INDIRECT($B$5&amp;"生成成长"),4))/(VLOOKUP(CD$72,INDIRECT($C$5&amp;"生成成长"),5))*(VLOOKUP($B$5,标准坦克设计!$B$24:$U$30,MATCH("对"&amp;LEFT($C$5,2)&amp;"输出",标准坦克设计!$B$23:$U$23,0)))*(VLOOKUP($B129,INDIRECT($B$5&amp;"生成成长"),3))*(VLOOKUP($B$5,标准坦克设计!$B$14:$K$20,9)/30))</f>
        <v>12.965200721962082</v>
      </c>
      <c r="CE129" s="172">
        <f ca="1">(VLOOKUP(CE$72,INDIRECT($C$5&amp;"生成成长"),2))/((VLOOKUP($B129,INDIRECT($B$5&amp;"生成成长"),4))/(VLOOKUP(CE$72,INDIRECT($C$5&amp;"生成成长"),5))*(VLOOKUP($B$5,标准坦克设计!$B$24:$U$30,MATCH("对"&amp;LEFT($C$5,2)&amp;"输出",标准坦克设计!$B$23:$U$23,0)))*(VLOOKUP($B129,INDIRECT($B$5&amp;"生成成长"),3))*(VLOOKUP($B$5,标准坦克设计!$B$14:$K$20,9)/30))</f>
        <v>13.99379542866591</v>
      </c>
      <c r="CF129" s="172">
        <f ca="1">(VLOOKUP(CF$72,INDIRECT($C$5&amp;"生成成长"),2))/((VLOOKUP($B129,INDIRECT($B$5&amp;"生成成长"),4))/(VLOOKUP(CF$72,INDIRECT($C$5&amp;"生成成长"),5))*(VLOOKUP($B$5,标准坦克设计!$B$24:$U$30,MATCH("对"&amp;LEFT($C$5,2)&amp;"输出",标准坦克设计!$B$23:$U$23,0)))*(VLOOKUP($B129,INDIRECT($B$5&amp;"生成成长"),3))*(VLOOKUP($B$5,标准坦克设计!$B$14:$K$20,9)/30))</f>
        <v>15.061649475320269</v>
      </c>
      <c r="CG129" s="172">
        <f ca="1">(VLOOKUP(CG$72,INDIRECT($C$5&amp;"生成成长"),2))/((VLOOKUP($B129,INDIRECT($B$5&amp;"生成成长"),4))/(VLOOKUP(CG$72,INDIRECT($C$5&amp;"生成成长"),5))*(VLOOKUP($B$5,标准坦克设计!$B$24:$U$30,MATCH("对"&amp;LEFT($C$5,2)&amp;"输出",标准坦克设计!$B$23:$U$23,0)))*(VLOOKUP($B129,INDIRECT($B$5&amp;"生成成长"),3))*(VLOOKUP($B$5,标准坦克设计!$B$14:$K$20,9)/30))</f>
        <v>16.168762861925156</v>
      </c>
      <c r="CH129" s="172">
        <f ca="1">(VLOOKUP(CH$72,INDIRECT($C$5&amp;"生成成长"),2))/((VLOOKUP($B129,INDIRECT($B$5&amp;"生成成长"),4))/(VLOOKUP(CH$72,INDIRECT($C$5&amp;"生成成长"),5))*(VLOOKUP($B$5,标准坦克设计!$B$24:$U$30,MATCH("对"&amp;LEFT($C$5,2)&amp;"输出",标准坦克设计!$B$23:$U$23,0)))*(VLOOKUP($B129,INDIRECT($B$5&amp;"生成成长"),3))*(VLOOKUP($B$5,标准坦克设计!$B$14:$K$20,9)/30))</f>
        <v>17.315135588480569</v>
      </c>
      <c r="CI129" s="172">
        <f ca="1">(VLOOKUP(CI$72,INDIRECT($C$5&amp;"生成成长"),2))/((VLOOKUP($B129,INDIRECT($B$5&amp;"生成成长"),4))/(VLOOKUP(CI$72,INDIRECT($C$5&amp;"生成成长"),5))*(VLOOKUP($B$5,标准坦克设计!$B$24:$U$30,MATCH("对"&amp;LEFT($C$5,2)&amp;"输出",标准坦克设计!$B$23:$U$23,0)))*(VLOOKUP($B129,INDIRECT($B$5&amp;"生成成长"),3))*(VLOOKUP($B$5,标准坦克设计!$B$14:$K$20,9)/30))</f>
        <v>18.621490125334383</v>
      </c>
      <c r="CJ129" s="172">
        <f ca="1">(VLOOKUP(CJ$72,INDIRECT($C$5&amp;"生成成长"),2))/((VLOOKUP($B129,INDIRECT($B$5&amp;"生成成长"),4))/(VLOOKUP(CJ$72,INDIRECT($C$5&amp;"生成成长"),5))*(VLOOKUP($B$5,标准坦克设计!$B$24:$U$30,MATCH("对"&amp;LEFT($C$5,2)&amp;"输出",标准坦克设计!$B$23:$U$23,0)))*(VLOOKUP($B129,INDIRECT($B$5&amp;"生成成长"),3))*(VLOOKUP($B$5,标准坦克设计!$B$14:$K$20,9)/30))</f>
        <v>19.975348463528338</v>
      </c>
      <c r="CK129" s="172">
        <f ca="1">(VLOOKUP(CK$72,INDIRECT($C$5&amp;"生成成长"),2))/((VLOOKUP($B129,INDIRECT($B$5&amp;"生成成长"),4))/(VLOOKUP(CK$72,INDIRECT($C$5&amp;"生成成长"),5))*(VLOOKUP($B$5,标准坦克设计!$B$24:$U$30,MATCH("对"&amp;LEFT($C$5,2)&amp;"输出",标准坦克设计!$B$23:$U$23,0)))*(VLOOKUP($B129,INDIRECT($B$5&amp;"生成成长"),3))*(VLOOKUP($B$5,标准坦克设计!$B$14:$K$20,9)/30))</f>
        <v>21.376710603062431</v>
      </c>
      <c r="CL129" s="172">
        <f ca="1">(VLOOKUP(CL$72,INDIRECT($C$5&amp;"生成成长"),2))/((VLOOKUP($B129,INDIRECT($B$5&amp;"生成成长"),4))/(VLOOKUP(CL$72,INDIRECT($C$5&amp;"生成成长"),5))*(VLOOKUP($B$5,标准坦克设计!$B$24:$U$30,MATCH("对"&amp;LEFT($C$5,2)&amp;"输出",标准坦克设计!$B$23:$U$23,0)))*(VLOOKUP($B129,INDIRECT($B$5&amp;"生成成长"),3))*(VLOOKUP($B$5,标准坦克设计!$B$14:$K$20,9)/30))</f>
        <v>22.825576543936663</v>
      </c>
      <c r="CM129" s="172">
        <f ca="1">(VLOOKUP(CM$72,INDIRECT($C$5&amp;"生成成长"),2))/((VLOOKUP($B129,INDIRECT($B$5&amp;"生成成长"),4))/(VLOOKUP(CM$72,INDIRECT($C$5&amp;"生成成长"),5))*(VLOOKUP($B$5,标准坦克设计!$B$24:$U$30,MATCH("对"&amp;LEFT($C$5,2)&amp;"输出",标准坦克设计!$B$23:$U$23,0)))*(VLOOKUP($B129,INDIRECT($B$5&amp;"生成成长"),3))*(VLOOKUP($B$5,标准坦克设计!$B$14:$K$20,9)/30))</f>
        <v>24.321946286151029</v>
      </c>
      <c r="CN129" s="172">
        <f ca="1">(VLOOKUP(CN$72,INDIRECT($C$5&amp;"生成成长"),2))/((VLOOKUP($B129,INDIRECT($B$5&amp;"生成成长"),4))/(VLOOKUP(CN$72,INDIRECT($C$5&amp;"生成成长"),5))*(VLOOKUP($B$5,标准坦克设计!$B$24:$U$30,MATCH("对"&amp;LEFT($C$5,2)&amp;"输出",标准坦克设计!$B$23:$U$23,0)))*(VLOOKUP($B129,INDIRECT($B$5&amp;"生成成长"),3))*(VLOOKUP($B$5,标准坦克设计!$B$14:$K$20,9)/30))</f>
        <v>25.865819829705547</v>
      </c>
      <c r="CO129" s="172">
        <f ca="1">(VLOOKUP(CO$72,INDIRECT($C$5&amp;"生成成长"),2))/((VLOOKUP($B129,INDIRECT($B$5&amp;"生成成长"),4))/(VLOOKUP(CO$72,INDIRECT($C$5&amp;"生成成长"),5))*(VLOOKUP($B$5,标准坦克设计!$B$24:$U$30,MATCH("对"&amp;LEFT($C$5,2)&amp;"输出",标准坦克设计!$B$23:$U$23,0)))*(VLOOKUP($B129,INDIRECT($B$5&amp;"生成成长"),3))*(VLOOKUP($B$5,标准坦克设计!$B$14:$K$20,9)/30))</f>
        <v>11.591123823693607</v>
      </c>
      <c r="CP129" s="172">
        <f ca="1">(VLOOKUP(CP$72,INDIRECT($C$5&amp;"生成成长"),2))/((VLOOKUP($B129,INDIRECT($B$5&amp;"生成成长"),4))/(VLOOKUP(CP$72,INDIRECT($C$5&amp;"生成成长"),5))*(VLOOKUP($B$5,标准坦克设计!$B$24:$U$30,MATCH("对"&amp;LEFT($C$5,2)&amp;"输出",标准坦克设计!$B$23:$U$23,0)))*(VLOOKUP($B129,INDIRECT($B$5&amp;"生成成长"),3))*(VLOOKUP($B$5,标准坦克设计!$B$14:$K$20,9)/30))</f>
        <v>12.664277881241286</v>
      </c>
      <c r="CQ129" s="172">
        <f ca="1">(VLOOKUP(CQ$72,INDIRECT($C$5&amp;"生成成长"),2))/((VLOOKUP($B129,INDIRECT($B$5&amp;"生成成长"),4))/(VLOOKUP(CQ$72,INDIRECT($C$5&amp;"生成成长"),5))*(VLOOKUP($B$5,标准坦克设计!$B$24:$U$30,MATCH("对"&amp;LEFT($C$5,2)&amp;"输出",标准坦克设计!$B$23:$U$23,0)))*(VLOOKUP($B129,INDIRECT($B$5&amp;"生成成长"),3))*(VLOOKUP($B$5,标准坦克设计!$B$14:$K$20,9)/30))</f>
        <v>13.7849357401291</v>
      </c>
      <c r="CR129" s="172">
        <f ca="1">(VLOOKUP(CR$72,INDIRECT($C$5&amp;"生成成长"),2))/((VLOOKUP($B129,INDIRECT($B$5&amp;"生成成长"),4))/(VLOOKUP(CR$72,INDIRECT($C$5&amp;"生成成长"),5))*(VLOOKUP($B$5,标准坦克设计!$B$24:$U$30,MATCH("对"&amp;LEFT($C$5,2)&amp;"输出",标准坦克设计!$B$23:$U$23,0)))*(VLOOKUP($B129,INDIRECT($B$5&amp;"生成成长"),3))*(VLOOKUP($B$5,标准坦克设计!$B$14:$K$20,9)/30))</f>
        <v>14.953097400357059</v>
      </c>
      <c r="CS129" s="172">
        <f ca="1">(VLOOKUP(CS$72,INDIRECT($C$5&amp;"生成成长"),2))/((VLOOKUP($B129,INDIRECT($B$5&amp;"生成成长"),4))/(VLOOKUP(CS$72,INDIRECT($C$5&amp;"生成成长"),5))*(VLOOKUP($B$5,标准坦克设计!$B$24:$U$30,MATCH("对"&amp;LEFT($C$5,2)&amp;"输出",标准坦克设计!$B$23:$U$23,0)))*(VLOOKUP($B129,INDIRECT($B$5&amp;"生成成长"),3))*(VLOOKUP($B$5,标准坦克设计!$B$14:$K$20,9)/30))</f>
        <v>16.168762861925156</v>
      </c>
      <c r="CT129" s="172">
        <f ca="1">(VLOOKUP(CT$72,INDIRECT($C$5&amp;"生成成长"),2))/((VLOOKUP($B129,INDIRECT($B$5&amp;"生成成长"),4))/(VLOOKUP(CT$72,INDIRECT($C$5&amp;"生成成长"),5))*(VLOOKUP($B$5,标准坦克设计!$B$24:$U$30,MATCH("对"&amp;LEFT($C$5,2)&amp;"输出",标准坦克设计!$B$23:$U$23,0)))*(VLOOKUP($B129,INDIRECT($B$5&amp;"生成成长"),3))*(VLOOKUP($B$5,标准坦克设计!$B$14:$K$20,9)/30))</f>
        <v>17.431932124833391</v>
      </c>
      <c r="CU129" s="172">
        <f ca="1">(VLOOKUP(CU$72,INDIRECT($C$5&amp;"生成成长"),2))/((VLOOKUP($B129,INDIRECT($B$5&amp;"生成成长"),4))/(VLOOKUP(CU$72,INDIRECT($C$5&amp;"生成成长"),5))*(VLOOKUP($B$5,标准坦克设计!$B$24:$U$30,MATCH("对"&amp;LEFT($C$5,2)&amp;"输出",标准坦克设计!$B$23:$U$23,0)))*(VLOOKUP($B129,INDIRECT($B$5&amp;"生成成长"),3))*(VLOOKUP($B$5,标准坦克设计!$B$14:$K$20,9)/30))</f>
        <v>18.742605189081761</v>
      </c>
      <c r="CV129" s="172">
        <f ca="1">(VLOOKUP(CV$72,INDIRECT($C$5&amp;"生成成长"),2))/((VLOOKUP($B129,INDIRECT($B$5&amp;"生成成长"),4))/(VLOOKUP(CV$72,INDIRECT($C$5&amp;"生成成长"),5))*(VLOOKUP($B$5,标准坦克设计!$B$24:$U$30,MATCH("对"&amp;LEFT($C$5,2)&amp;"输出",标准坦克设计!$B$23:$U$23,0)))*(VLOOKUP($B129,INDIRECT($B$5&amp;"生成成长"),3))*(VLOOKUP($B$5,标准坦克设计!$B$14:$K$20,9)/30))</f>
        <v>20.100782054670276</v>
      </c>
      <c r="CW129" s="172">
        <f ca="1">(VLOOKUP(CW$72,INDIRECT($C$5&amp;"生成成长"),2))/((VLOOKUP($B129,INDIRECT($B$5&amp;"生成成长"),4))/(VLOOKUP(CW$72,INDIRECT($C$5&amp;"生成成长"),5))*(VLOOKUP($B$5,标准坦克设计!$B$24:$U$30,MATCH("对"&amp;LEFT($C$5,2)&amp;"输出",标准坦克设计!$B$23:$U$23,0)))*(VLOOKUP($B129,INDIRECT($B$5&amp;"生成成长"),3))*(VLOOKUP($B$5,标准坦克设计!$B$14:$K$20,9)/30))</f>
        <v>21.506462721598922</v>
      </c>
      <c r="CX129" s="172">
        <f ca="1">(VLOOKUP(CX$72,INDIRECT($C$5&amp;"生成成长"),2))/((VLOOKUP($B129,INDIRECT($B$5&amp;"生成成长"),4))/(VLOOKUP(CX$72,INDIRECT($C$5&amp;"生成成长"),5))*(VLOOKUP($B$5,标准坦克设计!$B$24:$U$30,MATCH("对"&amp;LEFT($C$5,2)&amp;"输出",标准坦克设计!$B$23:$U$23,0)))*(VLOOKUP($B129,INDIRECT($B$5&amp;"生成成长"),3))*(VLOOKUP($B$5,标准坦克设计!$B$14:$K$20,9)/30))</f>
        <v>22.959647189867717</v>
      </c>
      <c r="CY129" s="172">
        <f ca="1">(VLOOKUP(CY$72,INDIRECT($C$5&amp;"生成成长"),2))/((VLOOKUP($B129,INDIRECT($B$5&amp;"生成成长"),4))/(VLOOKUP(CY$72,INDIRECT($C$5&amp;"生成成长"),5))*(VLOOKUP($B$5,标准坦克设计!$B$24:$U$30,MATCH("对"&amp;LEFT($C$5,2)&amp;"输出",标准坦克设计!$B$23:$U$23,0)))*(VLOOKUP($B129,INDIRECT($B$5&amp;"生成成长"),3))*(VLOOKUP($B$5,标准坦克设计!$B$14:$K$20,9)/30))</f>
        <v>24.460335459476646</v>
      </c>
      <c r="CZ129" s="172">
        <f ca="1">(VLOOKUP(CZ$72,INDIRECT($C$5&amp;"生成成长"),2))/((VLOOKUP($B129,INDIRECT($B$5&amp;"生成成长"),4))/(VLOOKUP(CZ$72,INDIRECT($C$5&amp;"生成成长"),5))*(VLOOKUP($B$5,标准坦克设计!$B$24:$U$30,MATCH("对"&amp;LEFT($C$5,2)&amp;"输出",标准坦克设计!$B$23:$U$23,0)))*(VLOOKUP($B129,INDIRECT($B$5&amp;"生成成长"),3))*(VLOOKUP($B$5,标准坦克设计!$B$14:$K$20,9)/30))</f>
        <v>26.008527530425717</v>
      </c>
      <c r="DA129" s="172">
        <f ca="1">(VLOOKUP(DA$72,INDIRECT($C$5&amp;"生成成长"),2))/((VLOOKUP($B129,INDIRECT($B$5&amp;"生成成长"),4))/(VLOOKUP(DA$72,INDIRECT($C$5&amp;"生成成长"),5))*(VLOOKUP($B$5,标准坦克设计!$B$24:$U$30,MATCH("对"&amp;LEFT($C$5,2)&amp;"输出",标准坦克设计!$B$23:$U$23,0)))*(VLOOKUP($B129,INDIRECT($B$5&amp;"生成成长"),3))*(VLOOKUP($B$5,标准坦克设计!$B$14:$K$20,9)/30))</f>
        <v>27.604223402714911</v>
      </c>
      <c r="DB129" s="172">
        <f ca="1">(VLOOKUP(DB$72,INDIRECT($C$5&amp;"生成成长"),2))/((VLOOKUP($B129,INDIRECT($B$5&amp;"生成成长"),4))/(VLOOKUP(DB$72,INDIRECT($C$5&amp;"生成成长"),5))*(VLOOKUP($B$5,标准坦克设计!$B$24:$U$30,MATCH("对"&amp;LEFT($C$5,2)&amp;"输出",标准坦克设计!$B$23:$U$23,0)))*(VLOOKUP($B129,INDIRECT($B$5&amp;"生成成长"),3))*(VLOOKUP($B$5,标准坦克设计!$B$14:$K$20,9)/30))</f>
        <v>29.247423076344258</v>
      </c>
      <c r="DC129" s="172">
        <f ca="1">(VLOOKUP(DC$72,INDIRECT($C$5&amp;"生成成长"),2))/((VLOOKUP($B129,INDIRECT($B$5&amp;"生成成长"),4))/(VLOOKUP(DC$72,INDIRECT($C$5&amp;"生成成长"),5))*(VLOOKUP($B$5,标准坦克设计!$B$24:$U$30,MATCH("对"&amp;LEFT($C$5,2)&amp;"输出",标准坦克设计!$B$23:$U$23,0)))*(VLOOKUP($B129,INDIRECT($B$5&amp;"生成成长"),3))*(VLOOKUP($B$5,标准坦克设计!$B$14:$K$20,9)/30))</f>
        <v>31.094182427617099</v>
      </c>
      <c r="DD129" s="172">
        <f ca="1">(VLOOKUP(DD$72,INDIRECT($C$5&amp;"生成成长"),2))/((VLOOKUP($B129,INDIRECT($B$5&amp;"生成成长"),4))/(VLOOKUP(DD$72,INDIRECT($C$5&amp;"生成成长"),5))*(VLOOKUP($B$5,标准坦克设计!$B$24:$U$30,MATCH("对"&amp;LEFT($C$5,2)&amp;"输出",标准坦克设计!$B$23:$U$23,0)))*(VLOOKUP($B129,INDIRECT($B$5&amp;"生成成长"),3))*(VLOOKUP($B$5,标准坦克设计!$B$14:$K$20,9)/30))</f>
        <v>32.997475228418686</v>
      </c>
      <c r="DE129" s="172">
        <f ca="1">(VLOOKUP(DE$72,INDIRECT($C$5&amp;"生成成长"),2))/((VLOOKUP($B129,INDIRECT($B$5&amp;"生成成长"),4))/(VLOOKUP(DE$72,INDIRECT($C$5&amp;"生成成长"),5))*(VLOOKUP($B$5,标准坦克设计!$B$24:$U$30,MATCH("对"&amp;LEFT($C$5,2)&amp;"输出",标准坦克设计!$B$23:$U$23,0)))*(VLOOKUP($B129,INDIRECT($B$5&amp;"生成成长"),3))*(VLOOKUP($B$5,标准坦克设计!$B$14:$K$20,9)/30))</f>
        <v>34.957301478749038</v>
      </c>
      <c r="DF129" s="172">
        <f ca="1">(VLOOKUP(DF$72,INDIRECT($C$5&amp;"生成成长"),2))/((VLOOKUP($B129,INDIRECT($B$5&amp;"生成成长"),4))/(VLOOKUP(DF$72,INDIRECT($C$5&amp;"生成成长"),5))*(VLOOKUP($B$5,标准坦克设计!$B$24:$U$30,MATCH("对"&amp;LEFT($C$5,2)&amp;"输出",标准坦克设计!$B$23:$U$23,0)))*(VLOOKUP($B129,INDIRECT($B$5&amp;"生成成长"),3))*(VLOOKUP($B$5,标准坦克设计!$B$14:$K$20,9)/30))</f>
        <v>36.973661178608147</v>
      </c>
      <c r="DG129" s="172">
        <f ca="1">(VLOOKUP(DG$72,INDIRECT($C$5&amp;"生成成长"),2))/((VLOOKUP($B129,INDIRECT($B$5&amp;"生成成长"),4))/(VLOOKUP(DG$72,INDIRECT($C$5&amp;"生成成长"),5))*(VLOOKUP($B$5,标准坦克设计!$B$24:$U$30,MATCH("对"&amp;LEFT($C$5,2)&amp;"输出",标准坦克设计!$B$23:$U$23,0)))*(VLOOKUP($B129,INDIRECT($B$5&amp;"生成成长"),3))*(VLOOKUP($B$5,标准坦克设计!$B$14:$K$20,9)/30))</f>
        <v>39.04655432799602</v>
      </c>
      <c r="DH129" s="172">
        <f ca="1">(VLOOKUP(DH$72,INDIRECT($C$5&amp;"生成成长"),2))/((VLOOKUP($B129,INDIRECT($B$5&amp;"生成成长"),4))/(VLOOKUP(DH$72,INDIRECT($C$5&amp;"生成成长"),5))*(VLOOKUP($B$5,标准坦克设计!$B$24:$U$30,MATCH("对"&amp;LEFT($C$5,2)&amp;"输出",标准坦克设计!$B$23:$U$23,0)))*(VLOOKUP($B129,INDIRECT($B$5&amp;"生成成长"),3))*(VLOOKUP($B$5,标准坦克设计!$B$14:$K$20,9)/30))</f>
        <v>41.175980926912651</v>
      </c>
      <c r="DI129" s="172">
        <f ca="1">(VLOOKUP(DI$72,INDIRECT($C$5&amp;"生成成长"),2))/((VLOOKUP($B129,INDIRECT($B$5&amp;"生成成长"),4))/(VLOOKUP(DI$72,INDIRECT($C$5&amp;"生成成长"),5))*(VLOOKUP($B$5,标准坦克设计!$B$24:$U$30,MATCH("对"&amp;LEFT($C$5,2)&amp;"输出",标准坦克设计!$B$23:$U$23,0)))*(VLOOKUP($B129,INDIRECT($B$5&amp;"生成成长"),3))*(VLOOKUP($B$5,标准坦克设计!$B$14:$K$20,9)/30))</f>
        <v>43.361940975358046</v>
      </c>
      <c r="DJ129" s="172">
        <f ca="1">(VLOOKUP(DJ$72,INDIRECT($C$5&amp;"生成成长"),2))/((VLOOKUP($B129,INDIRECT($B$5&amp;"生成成长"),4))/(VLOOKUP(DJ$72,INDIRECT($C$5&amp;"生成成长"),5))*(VLOOKUP($B$5,标准坦克设计!$B$24:$U$30,MATCH("对"&amp;LEFT($C$5,2)&amp;"输出",标准坦克设计!$B$23:$U$23,0)))*(VLOOKUP($B129,INDIRECT($B$5&amp;"生成成长"),3))*(VLOOKUP($B$5,标准坦克设计!$B$14:$K$20,9)/30))</f>
        <v>4.3579830312083478</v>
      </c>
      <c r="DK129" s="172">
        <f ca="1">(VLOOKUP(DK$72,INDIRECT($C$5&amp;"生成成长"),2))/((VLOOKUP($B129,INDIRECT($B$5&amp;"生成成长"),4))/(VLOOKUP(DK$72,INDIRECT($C$5&amp;"生成成长"),5))*(VLOOKUP($B$5,标准坦克设计!$B$24:$U$30,MATCH("对"&amp;LEFT($C$5,2)&amp;"输出",标准坦克设计!$B$23:$U$23,0)))*(VLOOKUP($B129,INDIRECT($B$5&amp;"生成成长"),3))*(VLOOKUP($B$5,标准坦克设计!$B$14:$K$20,9)/30))</f>
        <v>4.9003508126248896</v>
      </c>
      <c r="DL129" s="172">
        <f ca="1">(VLOOKUP(DL$72,INDIRECT($C$5&amp;"生成成长"),2))/((VLOOKUP($B129,INDIRECT($B$5&amp;"生成成长"),4))/(VLOOKUP(DL$72,INDIRECT($C$5&amp;"生成成长"),5))*(VLOOKUP($B$5,标准坦克设计!$B$24:$U$30,MATCH("对"&amp;LEFT($C$5,2)&amp;"输出",标准坦克设计!$B$23:$U$23,0)))*(VLOOKUP($B129,INDIRECT($B$5&amp;"生成成长"),3))*(VLOOKUP($B$5,标准坦克设计!$B$14:$K$20,9)/30))</f>
        <v>5.47451865940136</v>
      </c>
      <c r="DM129" s="172">
        <f ca="1">(VLOOKUP(DM$72,INDIRECT($C$5&amp;"生成成长"),2))/((VLOOKUP($B129,INDIRECT($B$5&amp;"生成成长"),4))/(VLOOKUP(DM$72,INDIRECT($C$5&amp;"生成成长"),5))*(VLOOKUP($B$5,标准坦克设计!$B$24:$U$30,MATCH("对"&amp;LEFT($C$5,2)&amp;"输出",标准坦克设计!$B$23:$U$23,0)))*(VLOOKUP($B129,INDIRECT($B$5&amp;"生成成长"),3))*(VLOOKUP($B$5,标准坦克设计!$B$14:$K$20,9)/30))</f>
        <v>6.0804865715377572</v>
      </c>
      <c r="DN129" s="172">
        <f ca="1">(VLOOKUP(DN$72,INDIRECT($C$5&amp;"生成成长"),2))/((VLOOKUP($B129,INDIRECT($B$5&amp;"生成成长"),4))/(VLOOKUP(DN$72,INDIRECT($C$5&amp;"生成成长"),5))*(VLOOKUP($B$5,标准坦克设计!$B$24:$U$30,MATCH("对"&amp;LEFT($C$5,2)&amp;"输出",标准坦克设计!$B$23:$U$23,0)))*(VLOOKUP($B129,INDIRECT($B$5&amp;"生成成长"),3))*(VLOOKUP($B$5,标准坦克设计!$B$14:$K$20,9)/30))</f>
        <v>6.7182545490340839</v>
      </c>
      <c r="DO129" s="172">
        <f ca="1">(VLOOKUP(DO$72,INDIRECT($C$5&amp;"生成成长"),2))/((VLOOKUP($B129,INDIRECT($B$5&amp;"生成成长"),4))/(VLOOKUP(DO$72,INDIRECT($C$5&amp;"生成成长"),5))*(VLOOKUP($B$5,标准坦克设计!$B$24:$U$30,MATCH("对"&amp;LEFT($C$5,2)&amp;"输出",标准坦克设计!$B$23:$U$23,0)))*(VLOOKUP($B129,INDIRECT($B$5&amp;"生成成长"),3))*(VLOOKUP($B$5,标准坦克设计!$B$14:$K$20,9)/30))</f>
        <v>7.3878225918903366</v>
      </c>
      <c r="DP129" s="172">
        <f ca="1">(VLOOKUP(DP$72,INDIRECT($C$5&amp;"生成成长"),2))/((VLOOKUP($B129,INDIRECT($B$5&amp;"生成成长"),4))/(VLOOKUP(DP$72,INDIRECT($C$5&amp;"生成成长"),5))*(VLOOKUP($B$5,标准坦克设计!$B$24:$U$30,MATCH("对"&amp;LEFT($C$5,2)&amp;"输出",标准坦克设计!$B$23:$U$23,0)))*(VLOOKUP($B129,INDIRECT($B$5&amp;"生成成长"),3))*(VLOOKUP($B$5,标准坦克设计!$B$14:$K$20,9)/30))</f>
        <v>8.0891907001065171</v>
      </c>
      <c r="DQ129" s="172">
        <f ca="1">(VLOOKUP(DQ$72,INDIRECT($C$5&amp;"生成成长"),2))/((VLOOKUP($B129,INDIRECT($B$5&amp;"生成成长"),4))/(VLOOKUP(DQ$72,INDIRECT($C$5&amp;"生成成长"),5))*(VLOOKUP($B$5,标准坦克设计!$B$24:$U$30,MATCH("对"&amp;LEFT($C$5,2)&amp;"输出",标准坦克设计!$B$23:$U$23,0)))*(VLOOKUP($B129,INDIRECT($B$5&amp;"生成成长"),3))*(VLOOKUP($B$5,标准坦克设计!$B$14:$K$20,9)/30))</f>
        <v>8.8223588736826244</v>
      </c>
      <c r="DR129" s="172">
        <f ca="1">(VLOOKUP(DR$72,INDIRECT($C$5&amp;"生成成长"),2))/((VLOOKUP($B129,INDIRECT($B$5&amp;"生成成长"),4))/(VLOOKUP(DR$72,INDIRECT($C$5&amp;"生成成长"),5))*(VLOOKUP($B$5,标准坦克设计!$B$24:$U$30,MATCH("对"&amp;LEFT($C$5,2)&amp;"输出",标准坦克设计!$B$23:$U$23,0)))*(VLOOKUP($B129,INDIRECT($B$5&amp;"生成成长"),3))*(VLOOKUP($B$5,标准坦克设计!$B$14:$K$20,9)/30))</f>
        <v>9.5873271126186612</v>
      </c>
      <c r="DS129" s="172">
        <f ca="1">(VLOOKUP(DS$72,INDIRECT($C$5&amp;"生成成长"),2))/((VLOOKUP($B129,INDIRECT($B$5&amp;"生成成长"),4))/(VLOOKUP(DS$72,INDIRECT($C$5&amp;"生成成长"),5))*(VLOOKUP($B$5,标准坦克设计!$B$24:$U$30,MATCH("对"&amp;LEFT($C$5,2)&amp;"输出",标准坦克设计!$B$23:$U$23,0)))*(VLOOKUP($B129,INDIRECT($B$5&amp;"生成成长"),3))*(VLOOKUP($B$5,标准坦克设计!$B$14:$K$20,9)/30))</f>
        <v>10.384095416914626</v>
      </c>
      <c r="DT129" s="172">
        <f ca="1">(VLOOKUP(DT$72,INDIRECT($C$5&amp;"生成成长"),2))/((VLOOKUP($B129,INDIRECT($B$5&amp;"生成成长"),4))/(VLOOKUP(DT$72,INDIRECT($C$5&amp;"生成成长"),5))*(VLOOKUP($B$5,标准坦克设计!$B$24:$U$30,MATCH("对"&amp;LEFT($C$5,2)&amp;"输出",标准坦克设计!$B$23:$U$23,0)))*(VLOOKUP($B129,INDIRECT($B$5&amp;"生成成长"),3))*(VLOOKUP($B$5,标准坦克设计!$B$14:$K$20,9)/30))</f>
        <v>11.401108618333051</v>
      </c>
      <c r="DU129" s="172">
        <f ca="1">(VLOOKUP(DU$72,INDIRECT($C$5&amp;"生成成长"),2))/((VLOOKUP($B129,INDIRECT($B$5&amp;"生成成长"),4))/(VLOOKUP(DU$72,INDIRECT($C$5&amp;"生成成长"),5))*(VLOOKUP($B$5,标准坦克设计!$B$24:$U$30,MATCH("对"&amp;LEFT($C$5,2)&amp;"输出",标准坦克设计!$B$23:$U$23,0)))*(VLOOKUP($B129,INDIRECT($B$5&amp;"生成成长"),3))*(VLOOKUP($B$5,标准坦克设计!$B$14:$K$20,9)/30))</f>
        <v>12.465625621091613</v>
      </c>
      <c r="DV129" s="172">
        <f ca="1">(VLOOKUP(DV$72,INDIRECT($C$5&amp;"生成成长"),2))/((VLOOKUP($B129,INDIRECT($B$5&amp;"生成成长"),4))/(VLOOKUP(DV$72,INDIRECT($C$5&amp;"生成成长"),5))*(VLOOKUP($B$5,标准坦克设计!$B$24:$U$30,MATCH("对"&amp;LEFT($C$5,2)&amp;"输出",标准坦克设计!$B$23:$U$23,0)))*(VLOOKUP($B129,INDIRECT($B$5&amp;"生成成长"),3))*(VLOOKUP($B$5,标准坦克设计!$B$14:$K$20,9)/30))</f>
        <v>13.577646425190313</v>
      </c>
      <c r="DW129" s="172">
        <f ca="1">(VLOOKUP(DW$72,INDIRECT($C$5&amp;"生成成长"),2))/((VLOOKUP($B129,INDIRECT($B$5&amp;"生成成长"),4))/(VLOOKUP(DW$72,INDIRECT($C$5&amp;"生成成长"),5))*(VLOOKUP($B$5,标准坦克设计!$B$24:$U$30,MATCH("对"&amp;LEFT($C$5,2)&amp;"输出",标准坦克设计!$B$23:$U$23,0)))*(VLOOKUP($B129,INDIRECT($B$5&amp;"生成成长"),3))*(VLOOKUP($B$5,标准坦克设计!$B$14:$K$20,9)/30))</f>
        <v>14.737171030629158</v>
      </c>
      <c r="DX129" s="172">
        <f ca="1">(VLOOKUP(DX$72,INDIRECT($C$5&amp;"生成成长"),2))/((VLOOKUP($B129,INDIRECT($B$5&amp;"生成成长"),4))/(VLOOKUP(DX$72,INDIRECT($C$5&amp;"生成成长"),5))*(VLOOKUP($B$5,标准坦克设计!$B$24:$U$30,MATCH("对"&amp;LEFT($C$5,2)&amp;"输出",标准坦克设计!$B$23:$U$23,0)))*(VLOOKUP($B129,INDIRECT($B$5&amp;"生成成长"),3))*(VLOOKUP($B$5,标准坦克设计!$B$14:$K$20,9)/30))</f>
        <v>15.944199437408136</v>
      </c>
      <c r="DY129" s="172">
        <f ca="1">(VLOOKUP(DY$72,INDIRECT($C$5&amp;"生成成长"),2))/((VLOOKUP($B129,INDIRECT($B$5&amp;"生成成长"),4))/(VLOOKUP(DY$72,INDIRECT($C$5&amp;"生成成长"),5))*(VLOOKUP($B$5,标准坦克设计!$B$24:$U$30,MATCH("对"&amp;LEFT($C$5,2)&amp;"输出",标准坦克设计!$B$23:$U$23,0)))*(VLOOKUP($B129,INDIRECT($B$5&amp;"生成成长"),3))*(VLOOKUP($B$5,标准坦克设计!$B$14:$K$20,9)/30))</f>
        <v>7.1610999036760381</v>
      </c>
      <c r="DZ129" s="172">
        <f ca="1">(VLOOKUP(DZ$72,INDIRECT($C$5&amp;"生成成长"),2))/((VLOOKUP($B129,INDIRECT($B$5&amp;"生成成长"),4))/(VLOOKUP(DZ$72,INDIRECT($C$5&amp;"生成成长"),5))*(VLOOKUP($B$5,标准坦克设计!$B$24:$U$30,MATCH("对"&amp;LEFT($C$5,2)&amp;"输出",标准坦克设计!$B$23:$U$23,0)))*(VLOOKUP($B129,INDIRECT($B$5&amp;"生成成长"),3))*(VLOOKUP($B$5,标准坦克设计!$B$14:$K$20,9)/30))</f>
        <v>7.9305829667063854</v>
      </c>
      <c r="EA129" s="172">
        <f ca="1">(VLOOKUP(EA$72,INDIRECT($C$5&amp;"生成成长"),2))/((VLOOKUP($B129,INDIRECT($B$5&amp;"生成成长"),4))/(VLOOKUP(EA$72,INDIRECT($C$5&amp;"生成成长"),5))*(VLOOKUP($B$5,标准坦克设计!$B$24:$U$30,MATCH("对"&amp;LEFT($C$5,2)&amp;"输出",标准坦克设计!$B$23:$U$23,0)))*(VLOOKUP($B129,INDIRECT($B$5&amp;"生成成长"),3))*(VLOOKUP($B$5,标准坦克设计!$B$14:$K$20,9)/30))</f>
        <v>8.7393253696872595</v>
      </c>
      <c r="EB129" s="172">
        <f ca="1">(VLOOKUP(EB$72,INDIRECT($C$5&amp;"生成成长"),2))/((VLOOKUP($B129,INDIRECT($B$5&amp;"生成成长"),4))/(VLOOKUP(EB$72,INDIRECT($C$5&amp;"生成成长"),5))*(VLOOKUP($B$5,标准坦克设计!$B$24:$U$30,MATCH("对"&amp;LEFT($C$5,2)&amp;"输出",标准坦克设计!$B$23:$U$23,0)))*(VLOOKUP($B129,INDIRECT($B$5&amp;"生成成长"),3))*(VLOOKUP($B$5,标准坦克设计!$B$14:$K$20,9)/30))</f>
        <v>9.5873271126186612</v>
      </c>
      <c r="EC129" s="172">
        <f ca="1">(VLOOKUP(EC$72,INDIRECT($C$5&amp;"生成成长"),2))/((VLOOKUP($B129,INDIRECT($B$5&amp;"生成成长"),4))/(VLOOKUP(EC$72,INDIRECT($C$5&amp;"生成成长"),5))*(VLOOKUP($B$5,标准坦克设计!$B$24:$U$30,MATCH("对"&amp;LEFT($C$5,2)&amp;"输出",标准坦克设计!$B$23:$U$23,0)))*(VLOOKUP($B129,INDIRECT($B$5&amp;"生成成长"),3))*(VLOOKUP($B$5,标准坦克设计!$B$14:$K$20,9)/30))</f>
        <v>10.474588195500591</v>
      </c>
      <c r="ED129" s="172">
        <f ca="1">(VLOOKUP(ED$72,INDIRECT($C$5&amp;"生成成长"),2))/((VLOOKUP($B129,INDIRECT($B$5&amp;"生成成长"),4))/(VLOOKUP(ED$72,INDIRECT($C$5&amp;"生成成长"),5))*(VLOOKUP($B$5,标准坦克设计!$B$24:$U$30,MATCH("对"&amp;LEFT($C$5,2)&amp;"输出",标准坦克设计!$B$23:$U$23,0)))*(VLOOKUP($B129,INDIRECT($B$5&amp;"生成成长"),3))*(VLOOKUP($B$5,标准坦克设计!$B$14:$K$20,9)/30))</f>
        <v>11.401108618333051</v>
      </c>
      <c r="EE129" s="172">
        <f ca="1">(VLOOKUP(EE$72,INDIRECT($C$5&amp;"生成成长"),2))/((VLOOKUP($B129,INDIRECT($B$5&amp;"生成成长"),4))/(VLOOKUP(EE$72,INDIRECT($C$5&amp;"生成成长"),5))*(VLOOKUP($B$5,标准坦克设计!$B$24:$U$30,MATCH("对"&amp;LEFT($C$5,2)&amp;"输出",标准坦克设计!$B$23:$U$23,0)))*(VLOOKUP($B129,INDIRECT($B$5&amp;"生成成长"),3))*(VLOOKUP($B$5,标准坦克设计!$B$14:$K$20,9)/30))</f>
        <v>12.366888381116034</v>
      </c>
      <c r="EF129" s="172">
        <f ca="1">(VLOOKUP(EF$72,INDIRECT($C$5&amp;"生成成长"),2))/((VLOOKUP($B129,INDIRECT($B$5&amp;"生成成长"),4))/(VLOOKUP(EF$72,INDIRECT($C$5&amp;"生成成长"),5))*(VLOOKUP($B$5,标准坦克设计!$B$24:$U$30,MATCH("对"&amp;LEFT($C$5,2)&amp;"输出",标准坦克设计!$B$23:$U$23,0)))*(VLOOKUP($B129,INDIRECT($B$5&amp;"生成成长"),3))*(VLOOKUP($B$5,标准坦克设计!$B$14:$K$20,9)/30))</f>
        <v>13.371927483849548</v>
      </c>
      <c r="EG129" s="172">
        <f ca="1">(VLOOKUP(EG$72,INDIRECT($C$5&amp;"生成成长"),2))/((VLOOKUP($B129,INDIRECT($B$5&amp;"生成成长"),4))/(VLOOKUP(EG$72,INDIRECT($C$5&amp;"生成成长"),5))*(VLOOKUP($B$5,标准坦克设计!$B$24:$U$30,MATCH("对"&amp;LEFT($C$5,2)&amp;"输出",标准坦克设计!$B$23:$U$23,0)))*(VLOOKUP($B129,INDIRECT($B$5&amp;"生成成长"),3))*(VLOOKUP($B$5,标准坦克设计!$B$14:$K$20,9)/30))</f>
        <v>14.41622592653359</v>
      </c>
      <c r="EH129" s="172">
        <f ca="1">(VLOOKUP(EH$72,INDIRECT($C$5&amp;"生成成长"),2))/((VLOOKUP($B129,INDIRECT($B$5&amp;"生成成长"),4))/(VLOOKUP(EH$72,INDIRECT($C$5&amp;"生成成长"),5))*(VLOOKUP($B$5,标准坦克设计!$B$24:$U$30,MATCH("对"&amp;LEFT($C$5,2)&amp;"输出",标准坦克设计!$B$23:$U$23,0)))*(VLOOKUP($B129,INDIRECT($B$5&amp;"生成成长"),3))*(VLOOKUP($B$5,标准坦克设计!$B$14:$K$20,9)/30))</f>
        <v>15.49978370916816</v>
      </c>
      <c r="EI129" s="172">
        <f ca="1">(VLOOKUP(EI$72,INDIRECT($C$5&amp;"生成成长"),2))/((VLOOKUP($B129,INDIRECT($B$5&amp;"生成成长"),4))/(VLOOKUP(EI$72,INDIRECT($C$5&amp;"生成成长"),5))*(VLOOKUP($B$5,标准坦克设计!$B$24:$U$30,MATCH("对"&amp;LEFT($C$5,2)&amp;"输出",标准坦克设计!$B$23:$U$23,0)))*(VLOOKUP($B129,INDIRECT($B$5&amp;"生成成长"),3))*(VLOOKUP($B$5,标准坦克设计!$B$14:$K$20,9)/30))</f>
        <v>16.622600831753257</v>
      </c>
      <c r="EJ129" s="172">
        <f ca="1">(VLOOKUP(EJ$72,INDIRECT($C$5&amp;"生成成长"),2))/((VLOOKUP($B129,INDIRECT($B$5&amp;"生成成长"),4))/(VLOOKUP(EJ$72,INDIRECT($C$5&amp;"生成成长"),5))*(VLOOKUP($B$5,标准坦克设计!$B$24:$U$30,MATCH("对"&amp;LEFT($C$5,2)&amp;"输出",标准坦克设计!$B$23:$U$23,0)))*(VLOOKUP($B129,INDIRECT($B$5&amp;"生成成长"),3))*(VLOOKUP($B$5,标准坦克设计!$B$14:$K$20,9)/30))</f>
        <v>17.78467729428888</v>
      </c>
      <c r="EK129" s="172">
        <f ca="1">(VLOOKUP(EK$72,INDIRECT($C$5&amp;"生成成长"),2))/((VLOOKUP($B129,INDIRECT($B$5&amp;"生成成长"),4))/(VLOOKUP(EK$72,INDIRECT($C$5&amp;"生成成长"),5))*(VLOOKUP($B$5,标准坦克设计!$B$24:$U$30,MATCH("对"&amp;LEFT($C$5,2)&amp;"输出",标准坦克设计!$B$23:$U$23,0)))*(VLOOKUP($B129,INDIRECT($B$5&amp;"生成成长"),3))*(VLOOKUP($B$5,标准坦克设计!$B$14:$K$20,9)/30))</f>
        <v>19.230991378066328</v>
      </c>
      <c r="EL129" s="172">
        <f ca="1">(VLOOKUP(EL$72,INDIRECT($C$5&amp;"生成成长"),2))/((VLOOKUP($B129,INDIRECT($B$5&amp;"生成成长"),4))/(VLOOKUP(EL$72,INDIRECT($C$5&amp;"生成成长"),5))*(VLOOKUP($B$5,标准坦克设计!$B$24:$U$30,MATCH("对"&amp;LEFT($C$5,2)&amp;"输出",标准坦克设计!$B$23:$U$23,0)))*(VLOOKUP($B129,INDIRECT($B$5&amp;"生成成长"),3))*(VLOOKUP($B$5,标准坦克设计!$B$14:$K$20,9)/30))</f>
        <v>20.733838911372537</v>
      </c>
      <c r="EM129" s="172">
        <f ca="1">(VLOOKUP(EM$72,INDIRECT($C$5&amp;"生成成长"),2))/((VLOOKUP($B129,INDIRECT($B$5&amp;"生成成长"),4))/(VLOOKUP(EM$72,INDIRECT($C$5&amp;"生成成长"),5))*(VLOOKUP($B$5,标准坦克设计!$B$24:$U$30,MATCH("对"&amp;LEFT($C$5,2)&amp;"输出",标准坦克设计!$B$23:$U$23,0)))*(VLOOKUP($B129,INDIRECT($B$5&amp;"生成成长"),3))*(VLOOKUP($B$5,标准坦克设计!$B$14:$K$20,9)/30))</f>
        <v>22.293219894207507</v>
      </c>
      <c r="EN129" s="172">
        <f ca="1">(VLOOKUP(EN$72,INDIRECT($C$5&amp;"生成成长"),2))/((VLOOKUP($B129,INDIRECT($B$5&amp;"生成成长"),4))/(VLOOKUP(EN$72,INDIRECT($C$5&amp;"生成成长"),5))*(VLOOKUP($B$5,标准坦克设计!$B$24:$U$30,MATCH("对"&amp;LEFT($C$5,2)&amp;"输出",标准坦克设计!$B$23:$U$23,0)))*(VLOOKUP($B129,INDIRECT($B$5&amp;"生成成长"),3))*(VLOOKUP($B$5,标准坦克设计!$B$14:$K$20,9)/30))</f>
        <v>23.909134326571234</v>
      </c>
      <c r="EO129" s="172">
        <f ca="1">(VLOOKUP(EO$72,INDIRECT($C$5&amp;"生成成长"),2))/((VLOOKUP($B129,INDIRECT($B$5&amp;"生成成长"),4))/(VLOOKUP(EO$72,INDIRECT($C$5&amp;"生成成长"),5))*(VLOOKUP($B$5,标准坦克设计!$B$24:$U$30,MATCH("对"&amp;LEFT($C$5,2)&amp;"输出",标准坦克设计!$B$23:$U$23,0)))*(VLOOKUP($B129,INDIRECT($B$5&amp;"生成成长"),3))*(VLOOKUP($B$5,标准坦克设计!$B$14:$K$20,9)/30))</f>
        <v>25.581582208463718</v>
      </c>
      <c r="EP129" s="172">
        <f ca="1">(VLOOKUP(EP$72,INDIRECT($C$5&amp;"生成成长"),2))/((VLOOKUP($B129,INDIRECT($B$5&amp;"生成成长"),4))/(VLOOKUP(EP$72,INDIRECT($C$5&amp;"生成成长"),5))*(VLOOKUP($B$5,标准坦克设计!$B$24:$U$30,MATCH("对"&amp;LEFT($C$5,2)&amp;"输出",标准坦克设计!$B$23:$U$23,0)))*(VLOOKUP($B129,INDIRECT($B$5&amp;"生成成长"),3))*(VLOOKUP($B$5,标准坦克设计!$B$14:$K$20,9)/30))</f>
        <v>27.310563539884964</v>
      </c>
      <c r="EQ129" s="172">
        <f ca="1">(VLOOKUP(EQ$72,INDIRECT($C$5&amp;"生成成长"),2))/((VLOOKUP($B129,INDIRECT($B$5&amp;"生成成长"),4))/(VLOOKUP(EQ$72,INDIRECT($C$5&amp;"生成成长"),5))*(VLOOKUP($B$5,标准坦克设计!$B$24:$U$30,MATCH("对"&amp;LEFT($C$5,2)&amp;"输出",标准坦克设计!$B$23:$U$23,0)))*(VLOOKUP($B129,INDIRECT($B$5&amp;"生成成长"),3))*(VLOOKUP($B$5,标准坦克设计!$B$14:$K$20,9)/30))</f>
        <v>12.073032221586335</v>
      </c>
      <c r="ER129" s="172">
        <f ca="1">(VLOOKUP(ER$72,INDIRECT($C$5&amp;"生成成长"),2))/((VLOOKUP($B129,INDIRECT($B$5&amp;"生成成长"),4))/(VLOOKUP(ER$72,INDIRECT($C$5&amp;"生成成长"),5))*(VLOOKUP($B$5,标准坦克设计!$B$24:$U$30,MATCH("对"&amp;LEFT($C$5,2)&amp;"输出",标准坦克设计!$B$23:$U$23,0)))*(VLOOKUP($B129,INDIRECT($B$5&amp;"生成成长"),3))*(VLOOKUP($B$5,标准坦克设计!$B$14:$K$20,9)/30))</f>
        <v>13.167778916106803</v>
      </c>
      <c r="ES129" s="172">
        <f ca="1">(VLOOKUP(ES$72,INDIRECT($C$5&amp;"生成成长"),2))/((VLOOKUP($B129,INDIRECT($B$5&amp;"生成成长"),4))/(VLOOKUP(ES$72,INDIRECT($C$5&amp;"生成成长"),5))*(VLOOKUP($B$5,标准坦克设计!$B$24:$U$30,MATCH("对"&amp;LEFT($C$5,2)&amp;"输出",标准坦克设计!$B$23:$U$23,0)))*(VLOOKUP($B129,INDIRECT($B$5&amp;"生成成长"),3))*(VLOOKUP($B$5,标准坦克设计!$B$14:$K$20,9)/30))</f>
        <v>14.310029411967411</v>
      </c>
      <c r="ET129" s="172">
        <f ca="1">(VLOOKUP(ET$72,INDIRECT($C$5&amp;"生成成长"),2))/((VLOOKUP($B129,INDIRECT($B$5&amp;"生成成长"),4))/(VLOOKUP(ET$72,INDIRECT($C$5&amp;"生成成长"),5))*(VLOOKUP($B$5,标准坦克设计!$B$24:$U$30,MATCH("对"&amp;LEFT($C$5,2)&amp;"输出",标准坦克设计!$B$23:$U$23,0)))*(VLOOKUP($B129,INDIRECT($B$5&amp;"生成成长"),3))*(VLOOKUP($B$5,标准坦克设计!$B$14:$K$20,9)/30))</f>
        <v>15.49978370916816</v>
      </c>
      <c r="EU129" s="172">
        <f ca="1">(VLOOKUP(EU$72,INDIRECT($C$5&amp;"生成成长"),2))/((VLOOKUP($B129,INDIRECT($B$5&amp;"生成成长"),4))/(VLOOKUP(EU$72,INDIRECT($C$5&amp;"生成成长"),5))*(VLOOKUP($B$5,标准坦克设计!$B$24:$U$30,MATCH("对"&amp;LEFT($C$5,2)&amp;"输出",标准坦克设计!$B$23:$U$23,0)))*(VLOOKUP($B129,INDIRECT($B$5&amp;"生成成长"),3))*(VLOOKUP($B$5,标准坦克设计!$B$14:$K$20,9)/30))</f>
        <v>16.737041807709044</v>
      </c>
      <c r="EV129" s="172">
        <f ca="1">(VLOOKUP(EV$72,INDIRECT($C$5&amp;"生成成长"),2))/((VLOOKUP($B129,INDIRECT($B$5&amp;"生成成长"),4))/(VLOOKUP(EV$72,INDIRECT($C$5&amp;"生成成长"),5))*(VLOOKUP($B$5,标准坦克设计!$B$24:$U$30,MATCH("对"&amp;LEFT($C$5,2)&amp;"输出",标准坦克设计!$B$23:$U$23,0)))*(VLOOKUP($B129,INDIRECT($B$5&amp;"生成成长"),3))*(VLOOKUP($B$5,标准坦克设计!$B$14:$K$20,9)/30))</f>
        <v>18.02180370759007</v>
      </c>
      <c r="EW129" s="172">
        <f ca="1">(VLOOKUP(EW$72,INDIRECT($C$5&amp;"生成成长"),2))/((VLOOKUP($B129,INDIRECT($B$5&amp;"生成成长"),4))/(VLOOKUP(EW$72,INDIRECT($C$5&amp;"生成成长"),5))*(VLOOKUP($B$5,标准坦克设计!$B$24:$U$30,MATCH("对"&amp;LEFT($C$5,2)&amp;"输出",标准坦克设计!$B$23:$U$23,0)))*(VLOOKUP($B129,INDIRECT($B$5&amp;"生成成长"),3))*(VLOOKUP($B$5,标准坦克设计!$B$14:$K$20,9)/30))</f>
        <v>19.354069408811231</v>
      </c>
      <c r="EX129" s="172">
        <f ca="1">(VLOOKUP(EX$72,INDIRECT($C$5&amp;"生成成长"),2))/((VLOOKUP($B129,INDIRECT($B$5&amp;"生成成长"),4))/(VLOOKUP(EX$72,INDIRECT($C$5&amp;"生成成长"),5))*(VLOOKUP($B$5,标准坦克设计!$B$24:$U$30,MATCH("对"&amp;LEFT($C$5,2)&amp;"输出",标准坦克设计!$B$23:$U$23,0)))*(VLOOKUP($B129,INDIRECT($B$5&amp;"生成成长"),3))*(VLOOKUP($B$5,标准坦克设计!$B$14:$K$20,9)/30))</f>
        <v>20.733838911372537</v>
      </c>
      <c r="EY129" s="172">
        <f ca="1">(VLOOKUP(EY$72,INDIRECT($C$5&amp;"生成成长"),2))/((VLOOKUP($B129,INDIRECT($B$5&amp;"生成成长"),4))/(VLOOKUP(EY$72,INDIRECT($C$5&amp;"生成成长"),5))*(VLOOKUP($B$5,标准坦克设计!$B$24:$U$30,MATCH("对"&amp;LEFT($C$5,2)&amp;"输出",标准坦克设计!$B$23:$U$23,0)))*(VLOOKUP($B129,INDIRECT($B$5&amp;"生成成长"),3))*(VLOOKUP($B$5,标准坦克设计!$B$14:$K$20,9)/30))</f>
        <v>22.161112215273981</v>
      </c>
      <c r="EZ129" s="172">
        <f ca="1">(VLOOKUP(EZ$72,INDIRECT($C$5&amp;"生成成长"),2))/((VLOOKUP($B129,INDIRECT($B$5&amp;"生成成长"),4))/(VLOOKUP(EZ$72,INDIRECT($C$5&amp;"生成成长"),5))*(VLOOKUP($B$5,标准坦克设计!$B$24:$U$30,MATCH("对"&amp;LEFT($C$5,2)&amp;"输出",标准坦克设计!$B$23:$U$23,0)))*(VLOOKUP($B129,INDIRECT($B$5&amp;"生成成长"),3))*(VLOOKUP($B$5,标准坦克设计!$B$14:$K$20,9)/30))</f>
        <v>23.63588932051556</v>
      </c>
      <c r="FA129" s="172">
        <f ca="1">(VLOOKUP(FA$72,INDIRECT($C$5&amp;"生成成长"),2))/((VLOOKUP($B129,INDIRECT($B$5&amp;"生成成长"),4))/(VLOOKUP(FA$72,INDIRECT($C$5&amp;"生成成长"),5))*(VLOOKUP($B$5,标准坦克设计!$B$24:$U$30,MATCH("对"&amp;LEFT($C$5,2)&amp;"输出",标准坦克设计!$B$23:$U$23,0)))*(VLOOKUP($B129,INDIRECT($B$5&amp;"生成成长"),3))*(VLOOKUP($B$5,标准坦克设计!$B$14:$K$20,9)/30))</f>
        <v>25.158170227097276</v>
      </c>
      <c r="FB129" s="172">
        <f ca="1">(VLOOKUP(FB$72,INDIRECT($C$5&amp;"生成成长"),2))/((VLOOKUP($B129,INDIRECT($B$5&amp;"生成成长"),4))/(VLOOKUP(FB$72,INDIRECT($C$5&amp;"生成成长"),5))*(VLOOKUP($B$5,标准坦克设计!$B$24:$U$30,MATCH("对"&amp;LEFT($C$5,2)&amp;"输出",标准坦克设计!$B$23:$U$23,0)))*(VLOOKUP($B129,INDIRECT($B$5&amp;"生成成长"),3))*(VLOOKUP($B$5,标准坦克设计!$B$14:$K$20,9)/30))</f>
        <v>26.727954935019135</v>
      </c>
      <c r="FC129" s="172">
        <f ca="1">(VLOOKUP(FC$72,INDIRECT($C$5&amp;"生成成长"),2))/((VLOOKUP($B129,INDIRECT($B$5&amp;"生成成长"),4))/(VLOOKUP(FC$72,INDIRECT($C$5&amp;"生成成长"),5))*(VLOOKUP($B$5,标准坦克设计!$B$24:$U$30,MATCH("对"&amp;LEFT($C$5,2)&amp;"输出",标准坦克设计!$B$23:$U$23,0)))*(VLOOKUP($B129,INDIRECT($B$5&amp;"生成成长"),3))*(VLOOKUP($B$5,标准坦克设计!$B$14:$K$20,9)/30))</f>
        <v>28.345243444281127</v>
      </c>
      <c r="FD129" s="172">
        <f ca="1">(VLOOKUP(FD$72,INDIRECT($C$5&amp;"生成成长"),2))/((VLOOKUP($B129,INDIRECT($B$5&amp;"生成成长"),4))/(VLOOKUP(FD$72,INDIRECT($C$5&amp;"生成成长"),5))*(VLOOKUP($B$5,标准坦克设计!$B$24:$U$30,MATCH("对"&amp;LEFT($C$5,2)&amp;"输出",标准坦克设计!$B$23:$U$23,0)))*(VLOOKUP($B129,INDIRECT($B$5&amp;"生成成长"),3))*(VLOOKUP($B$5,标准坦克设计!$B$14:$K$20,9)/30))</f>
        <v>30.010035754883258</v>
      </c>
      <c r="FE129" s="172">
        <f ca="1">(VLOOKUP(FE$72,INDIRECT($C$5&amp;"生成成长"),2))/((VLOOKUP($B129,INDIRECT($B$5&amp;"生成成长"),4))/(VLOOKUP(FE$72,INDIRECT($C$5&amp;"生成成长"),5))*(VLOOKUP($B$5,标准坦克设计!$B$24:$U$30,MATCH("对"&amp;LEFT($C$5,2)&amp;"输出",标准坦克设计!$B$23:$U$23,0)))*(VLOOKUP($B129,INDIRECT($B$5&amp;"生成成长"),3))*(VLOOKUP($B$5,标准坦克设计!$B$14:$K$20,9)/30))</f>
        <v>32.038762146826791</v>
      </c>
      <c r="FF129" s="172">
        <f ca="1">(VLOOKUP(FF$72,INDIRECT($C$5&amp;"生成成长"),2))/((VLOOKUP($B129,INDIRECT($B$5&amp;"生成成长"),4))/(VLOOKUP(FF$72,INDIRECT($C$5&amp;"生成成长"),5))*(VLOOKUP($B$5,标准坦克设计!$B$24:$U$30,MATCH("对"&amp;LEFT($C$5,2)&amp;"输出",标准坦克设计!$B$23:$U$23,0)))*(VLOOKUP($B129,INDIRECT($B$5&amp;"生成成长"),3))*(VLOOKUP($B$5,标准坦克设计!$B$14:$K$20,9)/30))</f>
        <v>34.133836823286714</v>
      </c>
      <c r="FG129" s="172">
        <f ca="1">(VLOOKUP(FG$72,INDIRECT($C$5&amp;"生成成长"),2))/((VLOOKUP($B129,INDIRECT($B$5&amp;"生成成长"),4))/(VLOOKUP(FG$72,INDIRECT($C$5&amp;"生成成长"),5))*(VLOOKUP($B$5,标准坦克设计!$B$24:$U$30,MATCH("对"&amp;LEFT($C$5,2)&amp;"输出",标准坦克设计!$B$23:$U$23,0)))*(VLOOKUP($B129,INDIRECT($B$5&amp;"生成成长"),3))*(VLOOKUP($B$5,标准坦克设计!$B$14:$K$20,9)/30))</f>
        <v>36.295259784263024</v>
      </c>
      <c r="FH129" s="172">
        <f ca="1">(VLOOKUP(FH$72,INDIRECT($C$5&amp;"生成成长"),2))/((VLOOKUP($B129,INDIRECT($B$5&amp;"生成成长"),4))/(VLOOKUP(FH$72,INDIRECT($C$5&amp;"生成成长"),5))*(VLOOKUP($B$5,标准坦克设计!$B$24:$U$30,MATCH("对"&amp;LEFT($C$5,2)&amp;"输出",标准坦克设计!$B$23:$U$23,0)))*(VLOOKUP($B129,INDIRECT($B$5&amp;"生成成长"),3))*(VLOOKUP($B$5,标准坦克设计!$B$14:$K$20,9)/30))</f>
        <v>38.523031029755728</v>
      </c>
      <c r="FI129" s="172">
        <f ca="1">(VLOOKUP(FI$72,INDIRECT($C$5&amp;"生成成长"),2))/((VLOOKUP($B129,INDIRECT($B$5&amp;"生成成长"),4))/(VLOOKUP(FI$72,INDIRECT($C$5&amp;"生成成长"),5))*(VLOOKUP($B$5,标准坦克设计!$B$24:$U$30,MATCH("对"&amp;LEFT($C$5,2)&amp;"输出",标准坦克设计!$B$23:$U$23,0)))*(VLOOKUP($B129,INDIRECT($B$5&amp;"生成成长"),3))*(VLOOKUP($B$5,标准坦克设计!$B$14:$K$20,9)/30))</f>
        <v>40.817150559764826</v>
      </c>
      <c r="FJ129" s="172">
        <f ca="1">(VLOOKUP(FJ$72,INDIRECT($C$5&amp;"生成成长"),2))/((VLOOKUP($B129,INDIRECT($B$5&amp;"生成成长"),4))/(VLOOKUP(FJ$72,INDIRECT($C$5&amp;"生成成长"),5))*(VLOOKUP($B$5,标准坦克设计!$B$24:$U$30,MATCH("对"&amp;LEFT($C$5,2)&amp;"输出",标准坦克设计!$B$23:$U$23,0)))*(VLOOKUP($B129,INDIRECT($B$5&amp;"生成成长"),3))*(VLOOKUP($B$5,标准坦克设计!$B$14:$K$20,9)/30))</f>
        <v>43.177618374290311</v>
      </c>
      <c r="FK129" s="172">
        <f ca="1">(VLOOKUP(FK$72,INDIRECT($C$5&amp;"生成成长"),2))/((VLOOKUP($B129,INDIRECT($B$5&amp;"生成成长"),4))/(VLOOKUP(FK$72,INDIRECT($C$5&amp;"生成成长"),5))*(VLOOKUP($B$5,标准坦克设计!$B$24:$U$30,MATCH("对"&amp;LEFT($C$5,2)&amp;"输出",标准坦克设计!$B$23:$U$23,0)))*(VLOOKUP($B129,INDIRECT($B$5&amp;"生成成长"),3))*(VLOOKUP($B$5,标准坦克设计!$B$14:$K$20,9)/30))</f>
        <v>45.604434473332205</v>
      </c>
    </row>
    <row r="130" spans="1:167" x14ac:dyDescent="0.15">
      <c r="A130" s="170" t="str">
        <f t="shared" si="11"/>
        <v>T3中品质1级</v>
      </c>
      <c r="B130" s="171">
        <v>20301</v>
      </c>
      <c r="C130" s="172">
        <f ca="1">(VLOOKUP(C$72,INDIRECT($C$5&amp;"生成成长"),2))/((VLOOKUP($B130,INDIRECT($B$5&amp;"生成成长"),4))/(VLOOKUP(C$72,INDIRECT($C$5&amp;"生成成长"),5))*(VLOOKUP($B$5,标准坦克设计!$B$24:$U$30,MATCH("对"&amp;LEFT($C$5,2)&amp;"输出",标准坦克设计!$B$23:$U$23,0)))*(VLOOKUP($B130,INDIRECT($B$5&amp;"生成成长"),3))*(VLOOKUP($B$5,标准坦克设计!$B$14:$K$20,9)/30))</f>
        <v>4.068429603869018</v>
      </c>
      <c r="D130" s="172">
        <f ca="1">(VLOOKUP(D$72,INDIRECT($C$5&amp;"生成成长"),2))/((VLOOKUP($B130,INDIRECT($B$5&amp;"生成成长"),4))/(VLOOKUP(D$72,INDIRECT($C$5&amp;"生成成长"),5))*(VLOOKUP($B$5,标准坦克设计!$B$24:$U$30,MATCH("对"&amp;LEFT($C$5,2)&amp;"输出",标准坦克设计!$B$23:$U$23,0)))*(VLOOKUP($B130,INDIRECT($B$5&amp;"生成成长"),3))*(VLOOKUP($B$5,标准坦克设计!$B$14:$K$20,9)/30))</f>
        <v>4.5712875029072286</v>
      </c>
      <c r="E130" s="172">
        <f ca="1">(VLOOKUP(E$72,INDIRECT($C$5&amp;"生成成长"),2))/((VLOOKUP($B130,INDIRECT($B$5&amp;"生成成长"),4))/(VLOOKUP(E$72,INDIRECT($C$5&amp;"生成成长"),5))*(VLOOKUP($B$5,标准坦克设计!$B$24:$U$30,MATCH("对"&amp;LEFT($C$5,2)&amp;"输出",标准坦克设计!$B$23:$U$23,0)))*(VLOOKUP($B130,INDIRECT($B$5&amp;"生成成长"),3))*(VLOOKUP($B$5,标准坦克设计!$B$14:$K$20,9)/30))</f>
        <v>5.1034380950932956</v>
      </c>
      <c r="F130" s="172">
        <f ca="1">(VLOOKUP(F$72,INDIRECT($C$5&amp;"生成成长"),2))/((VLOOKUP($B130,INDIRECT($B$5&amp;"生成成长"),4))/(VLOOKUP(F$72,INDIRECT($C$5&amp;"生成成长"),5))*(VLOOKUP($B$5,标准坦克设计!$B$24:$U$30,MATCH("对"&amp;LEFT($C$5,2)&amp;"输出",标准坦克设计!$B$23:$U$23,0)))*(VLOOKUP($B130,INDIRECT($B$5&amp;"生成成长"),3))*(VLOOKUP($B$5,标准坦克设计!$B$14:$K$20,9)/30))</f>
        <v>5.6648813804272198</v>
      </c>
      <c r="G130" s="172">
        <f ca="1">(VLOOKUP(G$72,INDIRECT($C$5&amp;"生成成长"),2))/((VLOOKUP($B130,INDIRECT($B$5&amp;"生成成长"),4))/(VLOOKUP(G$72,INDIRECT($C$5&amp;"生成成长"),5))*(VLOOKUP($B$5,标准坦克设计!$B$24:$U$30,MATCH("对"&amp;LEFT($C$5,2)&amp;"输出",标准坦克设计!$B$23:$U$23,0)))*(VLOOKUP($B130,INDIRECT($B$5&amp;"生成成长"),3))*(VLOOKUP($B$5,标准坦克设计!$B$14:$K$20,9)/30))</f>
        <v>6.2556173589090003</v>
      </c>
      <c r="H130" s="172">
        <f ca="1">(VLOOKUP(H$72,INDIRECT($C$5&amp;"生成成长"),2))/((VLOOKUP($B130,INDIRECT($B$5&amp;"生成成长"),4))/(VLOOKUP(H$72,INDIRECT($C$5&amp;"生成成长"),5))*(VLOOKUP($B$5,标准坦克设计!$B$24:$U$30,MATCH("对"&amp;LEFT($C$5,2)&amp;"输出",标准坦克设计!$B$23:$U$23,0)))*(VLOOKUP($B130,INDIRECT($B$5&amp;"生成成长"),3))*(VLOOKUP($B$5,标准坦克设计!$B$14:$K$20,9)/30))</f>
        <v>5.4744788749661506</v>
      </c>
      <c r="I130" s="172">
        <f ca="1">(VLOOKUP(I$72,INDIRECT($C$5&amp;"生成成长"),2))/((VLOOKUP($B130,INDIRECT($B$5&amp;"生成成长"),4))/(VLOOKUP(I$72,INDIRECT($C$5&amp;"生成成长"),5))*(VLOOKUP($B$5,标准坦克设计!$B$24:$U$30,MATCH("对"&amp;LEFT($C$5,2)&amp;"输出",标准坦克设计!$B$23:$U$23,0)))*(VLOOKUP($B130,INDIRECT($B$5&amp;"生成成长"),3))*(VLOOKUP($B$5,标准坦克设计!$B$14:$K$20,9)/30))</f>
        <v>6.2556173589090003</v>
      </c>
      <c r="J130" s="172">
        <f ca="1">(VLOOKUP(J$72,INDIRECT($C$5&amp;"生成成长"),2))/((VLOOKUP($B130,INDIRECT($B$5&amp;"生成成长"),4))/(VLOOKUP(J$72,INDIRECT($C$5&amp;"生成成长"),5))*(VLOOKUP($B$5,标准坦克设计!$B$24:$U$30,MATCH("对"&amp;LEFT($C$5,2)&amp;"输出",标准坦克设计!$B$23:$U$23,0)))*(VLOOKUP($B130,INDIRECT($B$5&amp;"生成成长"),3))*(VLOOKUP($B$5,标准坦克设计!$B$14:$K$20,9)/30))</f>
        <v>7.0888317417813758</v>
      </c>
      <c r="K130" s="172">
        <f ca="1">(VLOOKUP(K$72,INDIRECT($C$5&amp;"生成成长"),2))/((VLOOKUP($B130,INDIRECT($B$5&amp;"生成成长"),4))/(VLOOKUP(K$72,INDIRECT($C$5&amp;"生成成长"),5))*(VLOOKUP($B$5,标准坦克设计!$B$24:$U$30,MATCH("对"&amp;LEFT($C$5,2)&amp;"输出",标准坦克设计!$B$23:$U$23,0)))*(VLOOKUP($B130,INDIRECT($B$5&amp;"生成成长"),3))*(VLOOKUP($B$5,标准坦克设计!$B$14:$K$20,9)/30))</f>
        <v>7.9741220235832753</v>
      </c>
      <c r="L130" s="172">
        <f ca="1">(VLOOKUP(L$72,INDIRECT($C$5&amp;"生成成长"),2))/((VLOOKUP($B130,INDIRECT($B$5&amp;"生成成长"),4))/(VLOOKUP(L$72,INDIRECT($C$5&amp;"生成成长"),5))*(VLOOKUP($B$5,标准坦克设计!$B$24:$U$30,MATCH("对"&amp;LEFT($C$5,2)&amp;"输出",标准坦克设计!$B$23:$U$23,0)))*(VLOOKUP($B130,INDIRECT($B$5&amp;"生成成长"),3))*(VLOOKUP($B$5,标准坦克设计!$B$14:$K$20,9)/30))</f>
        <v>8.9114882043146952</v>
      </c>
      <c r="M130" s="172">
        <f ca="1">(VLOOKUP(M$72,INDIRECT($C$5&amp;"生成成长"),2))/((VLOOKUP($B130,INDIRECT($B$5&amp;"生成成长"),4))/(VLOOKUP(M$72,INDIRECT($C$5&amp;"生成成长"),5))*(VLOOKUP($B$5,标准坦克设计!$B$24:$U$30,MATCH("对"&amp;LEFT($C$5,2)&amp;"输出",标准坦克设计!$B$23:$U$23,0)))*(VLOOKUP($B130,INDIRECT($B$5&amp;"生成成长"),3))*(VLOOKUP($B$5,标准坦克设计!$B$14:$K$20,9)/30))</f>
        <v>9.9009302839756419</v>
      </c>
      <c r="N130" s="172">
        <f ca="1">(VLOOKUP(N$72,INDIRECT($C$5&amp;"生成成长"),2))/((VLOOKUP($B130,INDIRECT($B$5&amp;"生成成长"),4))/(VLOOKUP(N$72,INDIRECT($C$5&amp;"生成成长"),5))*(VLOOKUP($B$5,标准坦克设计!$B$24:$U$30,MATCH("对"&amp;LEFT($C$5,2)&amp;"输出",标准坦克设计!$B$23:$U$23,0)))*(VLOOKUP($B130,INDIRECT($B$5&amp;"生成成长"),3))*(VLOOKUP($B$5,标准坦克设计!$B$14:$K$20,9)/30))</f>
        <v>10.942448262566108</v>
      </c>
      <c r="O130" s="172">
        <f ca="1">(VLOOKUP(O$72,INDIRECT($C$5&amp;"生成成长"),2))/((VLOOKUP($B130,INDIRECT($B$5&amp;"生成成长"),4))/(VLOOKUP(O$72,INDIRECT($C$5&amp;"生成成长"),5))*(VLOOKUP($B$5,标准坦克设计!$B$24:$U$30,MATCH("对"&amp;LEFT($C$5,2)&amp;"输出",标准坦克设计!$B$23:$U$23,0)))*(VLOOKUP($B130,INDIRECT($B$5&amp;"生成成长"),3))*(VLOOKUP($B$5,标准坦克设计!$B$14:$K$20,9)/30))</f>
        <v>8.3195316969517545</v>
      </c>
      <c r="P130" s="172">
        <f ca="1">(VLOOKUP(P$72,INDIRECT($C$5&amp;"生成成长"),2))/((VLOOKUP($B130,INDIRECT($B$5&amp;"生成成长"),4))/(VLOOKUP(P$72,INDIRECT($C$5&amp;"生成成长"),5))*(VLOOKUP($B$5,标准坦克设计!$B$24:$U$30,MATCH("对"&amp;LEFT($C$5,2)&amp;"输出",标准坦克设计!$B$23:$U$23,0)))*(VLOOKUP($B130,INDIRECT($B$5&amp;"生成成长"),3))*(VLOOKUP($B$5,标准坦克设计!$B$14:$K$20,9)/30))</f>
        <v>9.3996997567789791</v>
      </c>
      <c r="Q130" s="172">
        <f ca="1">(VLOOKUP(Q$72,INDIRECT($C$5&amp;"生成成长"),2))/((VLOOKUP($B130,INDIRECT($B$5&amp;"生成成长"),4))/(VLOOKUP(Q$72,INDIRECT($C$5&amp;"生成成长"),5))*(VLOOKUP($B$5,标准坦克设计!$B$24:$U$30,MATCH("对"&amp;LEFT($C$5,2)&amp;"输出",标准坦克设计!$B$23:$U$23,0)))*(VLOOKUP($B130,INDIRECT($B$5&amp;"生成成长"),3))*(VLOOKUP($B$5,标准坦克设计!$B$14:$K$20,9)/30))</f>
        <v>10.545776376188879</v>
      </c>
      <c r="R130" s="172">
        <f ca="1">(VLOOKUP(R$72,INDIRECT($C$5&amp;"生成成长"),2))/((VLOOKUP($B130,INDIRECT($B$5&amp;"生成成长"),4))/(VLOOKUP(R$72,INDIRECT($C$5&amp;"生成成长"),5))*(VLOOKUP($B$5,标准坦克设计!$B$24:$U$30,MATCH("对"&amp;LEFT($C$5,2)&amp;"输出",标准坦克设计!$B$23:$U$23,0)))*(VLOOKUP($B130,INDIRECT($B$5&amp;"生成成长"),3))*(VLOOKUP($B$5,标准坦克设计!$B$14:$K$20,9)/30))</f>
        <v>11.757761555181458</v>
      </c>
      <c r="S130" s="172">
        <f ca="1">(VLOOKUP(S$72,INDIRECT($C$5&amp;"生成成长"),2))/((VLOOKUP($B130,INDIRECT($B$5&amp;"生成成长"),4))/(VLOOKUP(S$72,INDIRECT($C$5&amp;"生成成长"),5))*(VLOOKUP($B$5,标准坦克设计!$B$24:$U$30,MATCH("对"&amp;LEFT($C$5,2)&amp;"输出",标准坦克设计!$B$23:$U$23,0)))*(VLOOKUP($B130,INDIRECT($B$5&amp;"生成成长"),3))*(VLOOKUP($B$5,标准坦克设计!$B$14:$K$20,9)/30))</f>
        <v>13.035655293756719</v>
      </c>
      <c r="T130" s="172">
        <f ca="1">(VLOOKUP(T$72,INDIRECT($C$5&amp;"生成成长"),2))/((VLOOKUP($B130,INDIRECT($B$5&amp;"生成成长"),4))/(VLOOKUP(T$72,INDIRECT($C$5&amp;"生成成长"),5))*(VLOOKUP($B$5,标准坦克设计!$B$24:$U$30,MATCH("对"&amp;LEFT($C$5,2)&amp;"输出",标准坦克设计!$B$23:$U$23,0)))*(VLOOKUP($B130,INDIRECT($B$5&amp;"生成成长"),3))*(VLOOKUP($B$5,标准坦克设计!$B$14:$K$20,9)/30))</f>
        <v>14.379457591914656</v>
      </c>
      <c r="U130" s="172">
        <f ca="1">(VLOOKUP(U$72,INDIRECT($C$5&amp;"生成成长"),2))/((VLOOKUP($B130,INDIRECT($B$5&amp;"生成成长"),4))/(VLOOKUP(U$72,INDIRECT($C$5&amp;"生成成长"),5))*(VLOOKUP($B$5,标准坦克设计!$B$24:$U$30,MATCH("对"&amp;LEFT($C$5,2)&amp;"输出",标准坦克设计!$B$23:$U$23,0)))*(VLOOKUP($B130,INDIRECT($B$5&amp;"生成成长"),3))*(VLOOKUP($B$5,标准坦克设计!$B$14:$K$20,9)/30))</f>
        <v>15.78916844965527</v>
      </c>
      <c r="V130" s="172">
        <f ca="1">(VLOOKUP(V$72,INDIRECT($C$5&amp;"生成成长"),2))/((VLOOKUP($B130,INDIRECT($B$5&amp;"生成成长"),4))/(VLOOKUP(V$72,INDIRECT($C$5&amp;"生成成长"),5))*(VLOOKUP($B$5,标准坦克设计!$B$24:$U$30,MATCH("对"&amp;LEFT($C$5,2)&amp;"输出",标准坦克设计!$B$23:$U$23,0)))*(VLOOKUP($B130,INDIRECT($B$5&amp;"生成成长"),3))*(VLOOKUP($B$5,标准坦克设计!$B$14:$K$20,9)/30))</f>
        <v>17.264787866978562</v>
      </c>
      <c r="W130" s="172">
        <f ca="1">(VLOOKUP(W$72,INDIRECT($C$5&amp;"生成成长"),2))/((VLOOKUP($B130,INDIRECT($B$5&amp;"生成成长"),4))/(VLOOKUP(W$72,INDIRECT($C$5&amp;"生成成长"),5))*(VLOOKUP($B$5,标准坦克设计!$B$24:$U$30,MATCH("对"&amp;LEFT($C$5,2)&amp;"输出",标准坦克设计!$B$23:$U$23,0)))*(VLOOKUP($B130,INDIRECT($B$5&amp;"生成成长"),3))*(VLOOKUP($B$5,标准坦克设计!$B$14:$K$20,9)/30))</f>
        <v>18.806315843884533</v>
      </c>
      <c r="X130" s="172">
        <f ca="1">(VLOOKUP(X$72,INDIRECT($C$5&amp;"生成成长"),2))/((VLOOKUP($B130,INDIRECT($B$5&amp;"生成成长"),4))/(VLOOKUP(X$72,INDIRECT($C$5&amp;"生成成长"),5))*(VLOOKUP($B$5,标准坦克设计!$B$24:$U$30,MATCH("对"&amp;LEFT($C$5,2)&amp;"输出",标准坦克设计!$B$23:$U$23,0)))*(VLOOKUP($B130,INDIRECT($B$5&amp;"生成成长"),3))*(VLOOKUP($B$5,标准坦克设计!$B$14:$K$20,9)/30))</f>
        <v>13.624763900396953</v>
      </c>
      <c r="Y130" s="172">
        <f ca="1">(VLOOKUP(Y$72,INDIRECT($C$5&amp;"生成成长"),2))/((VLOOKUP($B130,INDIRECT($B$5&amp;"生成成长"),4))/(VLOOKUP(Y$72,INDIRECT($C$5&amp;"生成成长"),5))*(VLOOKUP($B$5,标准坦克设计!$B$24:$U$30,MATCH("对"&amp;LEFT($C$5,2)&amp;"输出",标准坦克设计!$B$23:$U$23,0)))*(VLOOKUP($B130,INDIRECT($B$5&amp;"生成成长"),3))*(VLOOKUP($B$5,标准坦克设计!$B$14:$K$20,9)/30))</f>
        <v>15.154493431451703</v>
      </c>
      <c r="Z130" s="172">
        <f ca="1">(VLOOKUP(Z$72,INDIRECT($C$5&amp;"生成成长"),2))/((VLOOKUP($B130,INDIRECT($B$5&amp;"生成成长"),4))/(VLOOKUP(Z$72,INDIRECT($C$5&amp;"生成成长"),5))*(VLOOKUP($B$5,标准坦克设计!$B$24:$U$30,MATCH("对"&amp;LEFT($C$5,2)&amp;"输出",标准坦克设计!$B$23:$U$23,0)))*(VLOOKUP($B130,INDIRECT($B$5&amp;"生成成长"),3))*(VLOOKUP($B$5,标准坦克设计!$B$14:$K$20,9)/30))</f>
        <v>16.765591554583832</v>
      </c>
      <c r="AA130" s="172">
        <f ca="1">(VLOOKUP(AA$72,INDIRECT($C$5&amp;"生成成长"),2))/((VLOOKUP($B130,INDIRECT($B$5&amp;"生成成长"),4))/(VLOOKUP(AA$72,INDIRECT($C$5&amp;"生成成长"),5))*(VLOOKUP($B$5,标准坦克设计!$B$24:$U$30,MATCH("对"&amp;LEFT($C$5,2)&amp;"输出",标准坦克设计!$B$23:$U$23,0)))*(VLOOKUP($B130,INDIRECT($B$5&amp;"生成成长"),3))*(VLOOKUP($B$5,标准坦克设计!$B$14:$K$20,9)/30))</f>
        <v>18.458058269793344</v>
      </c>
      <c r="AB130" s="172">
        <f ca="1">(VLOOKUP(AB$72,INDIRECT($C$5&amp;"生成成长"),2))/((VLOOKUP($B130,INDIRECT($B$5&amp;"生成成长"),4))/(VLOOKUP(AB$72,INDIRECT($C$5&amp;"生成成长"),5))*(VLOOKUP($B$5,标准坦克设计!$B$24:$U$30,MATCH("对"&amp;LEFT($C$5,2)&amp;"输出",标准坦克设计!$B$23:$U$23,0)))*(VLOOKUP($B130,INDIRECT($B$5&amp;"生成成长"),3))*(VLOOKUP($B$5,标准坦克设计!$B$14:$K$20,9)/30))</f>
        <v>20.231893577080239</v>
      </c>
      <c r="AC130" s="172">
        <f ca="1">(VLOOKUP(AC$72,INDIRECT($C$5&amp;"生成成长"),2))/((VLOOKUP($B130,INDIRECT($B$5&amp;"生成成长"),4))/(VLOOKUP(AC$72,INDIRECT($C$5&amp;"生成成长"),5))*(VLOOKUP($B$5,标准坦克设计!$B$24:$U$30,MATCH("对"&amp;LEFT($C$5,2)&amp;"输出",标准坦克设计!$B$23:$U$23,0)))*(VLOOKUP($B130,INDIRECT($B$5&amp;"生成成长"),3))*(VLOOKUP($B$5,标准坦克设计!$B$14:$K$20,9)/30))</f>
        <v>22.087097476444505</v>
      </c>
      <c r="AD130" s="172">
        <f ca="1">(VLOOKUP(AD$72,INDIRECT($C$5&amp;"生成成长"),2))/((VLOOKUP($B130,INDIRECT($B$5&amp;"生成成长"),4))/(VLOOKUP(AD$72,INDIRECT($C$5&amp;"生成成长"),5))*(VLOOKUP($B$5,标准坦克设计!$B$24:$U$30,MATCH("对"&amp;LEFT($C$5,2)&amp;"输出",标准坦克设计!$B$23:$U$23,0)))*(VLOOKUP($B130,INDIRECT($B$5&amp;"生成成长"),3))*(VLOOKUP($B$5,标准坦克设计!$B$14:$K$20,9)/30))</f>
        <v>24.02366996788616</v>
      </c>
      <c r="AE130" s="172">
        <f ca="1">(VLOOKUP(AE$72,INDIRECT($C$5&amp;"生成成长"),2))/((VLOOKUP($B130,INDIRECT($B$5&amp;"生成成长"),4))/(VLOOKUP(AE$72,INDIRECT($C$5&amp;"生成成长"),5))*(VLOOKUP($B$5,标准坦克设计!$B$24:$U$30,MATCH("对"&amp;LEFT($C$5,2)&amp;"输出",标准坦克设计!$B$23:$U$23,0)))*(VLOOKUP($B130,INDIRECT($B$5&amp;"生成成长"),3))*(VLOOKUP($B$5,标准坦克设计!$B$14:$K$20,9)/30))</f>
        <v>26.041611051405194</v>
      </c>
      <c r="AF130" s="172">
        <f ca="1">(VLOOKUP(AF$72,INDIRECT($C$5&amp;"生成成长"),2))/((VLOOKUP($B130,INDIRECT($B$5&amp;"生成成长"),4))/(VLOOKUP(AF$72,INDIRECT($C$5&amp;"生成成长"),5))*(VLOOKUP($B$5,标准坦克设计!$B$24:$U$30,MATCH("对"&amp;LEFT($C$5,2)&amp;"输出",标准坦克设计!$B$23:$U$23,0)))*(VLOOKUP($B130,INDIRECT($B$5&amp;"生成成长"),3))*(VLOOKUP($B$5,标准坦克设计!$B$14:$K$20,9)/30))</f>
        <v>28.140920727001607</v>
      </c>
      <c r="AG130" s="172">
        <f ca="1">(VLOOKUP(AG$72,INDIRECT($C$5&amp;"生成成长"),2))/((VLOOKUP($B130,INDIRECT($B$5&amp;"生成成长"),4))/(VLOOKUP(AG$72,INDIRECT($C$5&amp;"生成成长"),5))*(VLOOKUP($B$5,标准坦克设计!$B$24:$U$30,MATCH("对"&amp;LEFT($C$5,2)&amp;"输出",标准坦克设计!$B$23:$U$23,0)))*(VLOOKUP($B130,INDIRECT($B$5&amp;"生成成长"),3))*(VLOOKUP($B$5,标准坦克设计!$B$14:$K$20,9)/30))</f>
        <v>30.321598994675398</v>
      </c>
      <c r="AH130" s="172">
        <f ca="1">(VLOOKUP(AH$72,INDIRECT($C$5&amp;"生成成长"),2))/((VLOOKUP($B130,INDIRECT($B$5&amp;"生成成长"),4))/(VLOOKUP(AH$72,INDIRECT($C$5&amp;"生成成长"),5))*(VLOOKUP($B$5,标准坦克设计!$B$24:$U$30,MATCH("对"&amp;LEFT($C$5,2)&amp;"输出",标准坦克设计!$B$23:$U$23,0)))*(VLOOKUP($B130,INDIRECT($B$5&amp;"生成成长"),3))*(VLOOKUP($B$5,标准坦克设计!$B$14:$K$20,9)/30))</f>
        <v>32.583645854426571</v>
      </c>
      <c r="AI130" s="172">
        <f ca="1">(VLOOKUP(AI$72,INDIRECT($C$5&amp;"生成成长"),2))/((VLOOKUP($B130,INDIRECT($B$5&amp;"生成成长"),4))/(VLOOKUP(AI$72,INDIRECT($C$5&amp;"生成成长"),5))*(VLOOKUP($B$5,标准坦克设计!$B$24:$U$30,MATCH("对"&amp;LEFT($C$5,2)&amp;"输出",标准坦克设计!$B$23:$U$23,0)))*(VLOOKUP($B130,INDIRECT($B$5&amp;"生成成长"),3))*(VLOOKUP($B$5,标准坦克设计!$B$14:$K$20,9)/30))</f>
        <v>23.045212648155662</v>
      </c>
      <c r="AJ130" s="172">
        <f ca="1">(VLOOKUP(AJ$72,INDIRECT($C$5&amp;"生成成长"),2))/((VLOOKUP($B130,INDIRECT($B$5&amp;"生成成长"),4))/(VLOOKUP(AJ$72,INDIRECT($C$5&amp;"生成成长"),5))*(VLOOKUP($B$5,标准坦克设计!$B$24:$U$30,MATCH("对"&amp;LEFT($C$5,2)&amp;"输出",标准坦克设计!$B$23:$U$23,0)))*(VLOOKUP($B130,INDIRECT($B$5&amp;"生成成长"),3))*(VLOOKUP($B$5,标准坦克设计!$B$14:$K$20,9)/30))</f>
        <v>25.224670386948297</v>
      </c>
      <c r="AK130" s="172">
        <f ca="1">(VLOOKUP(AK$72,INDIRECT($C$5&amp;"生成成长"),2))/((VLOOKUP($B130,INDIRECT($B$5&amp;"生成成长"),4))/(VLOOKUP(AK$72,INDIRECT($C$5&amp;"生成成长"),5))*(VLOOKUP($B$5,标准坦克设计!$B$24:$U$30,MATCH("对"&amp;LEFT($C$5,2)&amp;"输出",标准坦克设计!$B$23:$U$23,0)))*(VLOOKUP($B130,INDIRECT($B$5&amp;"生成成长"),3))*(VLOOKUP($B$5,标准坦克设计!$B$14:$K$20,9)/30))</f>
        <v>27.502584122154559</v>
      </c>
      <c r="AL130" s="172">
        <f ca="1">(VLOOKUP(AL$72,INDIRECT($C$5&amp;"生成成长"),2))/((VLOOKUP($B130,INDIRECT($B$5&amp;"生成成长"),4))/(VLOOKUP(AL$72,INDIRECT($C$5&amp;"生成成长"),5))*(VLOOKUP($B$5,标准坦克设计!$B$24:$U$30,MATCH("对"&amp;LEFT($C$5,2)&amp;"输出",标准坦克设计!$B$23:$U$23,0)))*(VLOOKUP($B130,INDIRECT($B$5&amp;"生成成长"),3))*(VLOOKUP($B$5,标准坦克设计!$B$14:$K$20,9)/30))</f>
        <v>29.878953853774448</v>
      </c>
      <c r="AM130" s="172">
        <f ca="1">(VLOOKUP(AM$72,INDIRECT($C$5&amp;"生成成长"),2))/((VLOOKUP($B130,INDIRECT($B$5&amp;"生成成长"),4))/(VLOOKUP(AM$72,INDIRECT($C$5&amp;"生成成长"),5))*(VLOOKUP($B$5,标准坦克设计!$B$24:$U$30,MATCH("对"&amp;LEFT($C$5,2)&amp;"输出",标准坦克设计!$B$23:$U$23,0)))*(VLOOKUP($B130,INDIRECT($B$5&amp;"生成成长"),3))*(VLOOKUP($B$5,标准坦克设计!$B$14:$K$20,9)/30))</f>
        <v>32.353779581807977</v>
      </c>
      <c r="AN130" s="172">
        <f ca="1">(VLOOKUP(AN$72,INDIRECT($C$5&amp;"生成成长"),2))/((VLOOKUP($B130,INDIRECT($B$5&amp;"生成成长"),4))/(VLOOKUP(AN$72,INDIRECT($C$5&amp;"生成成长"),5))*(VLOOKUP($B$5,标准坦克设计!$B$24:$U$30,MATCH("对"&amp;LEFT($C$5,2)&amp;"输出",标准坦克设计!$B$23:$U$23,0)))*(VLOOKUP($B130,INDIRECT($B$5&amp;"生成成长"),3))*(VLOOKUP($B$5,标准坦克设计!$B$14:$K$20,9)/30))</f>
        <v>34.92706130625514</v>
      </c>
      <c r="AO130" s="172">
        <f ca="1">(VLOOKUP(AO$72,INDIRECT($C$5&amp;"生成成长"),2))/((VLOOKUP($B130,INDIRECT($B$5&amp;"生成成长"),4))/(VLOOKUP(AO$72,INDIRECT($C$5&amp;"生成成长"),5))*(VLOOKUP($B$5,标准坦克设计!$B$24:$U$30,MATCH("对"&amp;LEFT($C$5,2)&amp;"输出",标准坦克设计!$B$23:$U$23,0)))*(VLOOKUP($B130,INDIRECT($B$5&amp;"生成成长"),3))*(VLOOKUP($B$5,标准坦克设计!$B$14:$K$20,9)/30))</f>
        <v>37.598799027115916</v>
      </c>
      <c r="AP130" s="172">
        <f ca="1">(VLOOKUP(AP$72,INDIRECT($C$5&amp;"生成成长"),2))/((VLOOKUP($B130,INDIRECT($B$5&amp;"生成成长"),4))/(VLOOKUP(AP$72,INDIRECT($C$5&amp;"生成成长"),5))*(VLOOKUP($B$5,标准坦克设计!$B$24:$U$30,MATCH("对"&amp;LEFT($C$5,2)&amp;"输出",标准坦克设计!$B$23:$U$23,0)))*(VLOOKUP($B130,INDIRECT($B$5&amp;"生成成长"),3))*(VLOOKUP($B$5,标准坦克设计!$B$14:$K$20,9)/30))</f>
        <v>40.368992744390319</v>
      </c>
      <c r="AQ130" s="172">
        <f ca="1">(VLOOKUP(AQ$72,INDIRECT($C$5&amp;"生成成长"),2))/((VLOOKUP($B130,INDIRECT($B$5&amp;"生成成长"),4))/(VLOOKUP(AQ$72,INDIRECT($C$5&amp;"生成成长"),5))*(VLOOKUP($B$5,标准坦克设计!$B$24:$U$30,MATCH("对"&amp;LEFT($C$5,2)&amp;"输出",标准坦克设计!$B$23:$U$23,0)))*(VLOOKUP($B130,INDIRECT($B$5&amp;"生成成长"),3))*(VLOOKUP($B$5,标准坦克设计!$B$14:$K$20,9)/30))</f>
        <v>43.237642458078369</v>
      </c>
      <c r="AR130" s="172">
        <f ca="1">(VLOOKUP(AR$72,INDIRECT($C$5&amp;"生成成长"),2))/((VLOOKUP($B130,INDIRECT($B$5&amp;"生成成长"),4))/(VLOOKUP(AR$72,INDIRECT($C$5&amp;"生成成长"),5))*(VLOOKUP($B$5,标准坦克设计!$B$24:$U$30,MATCH("对"&amp;LEFT($C$5,2)&amp;"输出",标准坦克设计!$B$23:$U$23,0)))*(VLOOKUP($B130,INDIRECT($B$5&amp;"生成成长"),3))*(VLOOKUP($B$5,标准坦克设计!$B$14:$K$20,9)/30))</f>
        <v>46.204748168180046</v>
      </c>
      <c r="AS130" s="172">
        <f ca="1">(VLOOKUP(AS$72,INDIRECT($C$5&amp;"生成成长"),2))/((VLOOKUP($B130,INDIRECT($B$5&amp;"生成成长"),4))/(VLOOKUP(AS$72,INDIRECT($C$5&amp;"生成成长"),5))*(VLOOKUP($B$5,标准坦克设计!$B$24:$U$30,MATCH("对"&amp;LEFT($C$5,2)&amp;"输出",标准坦克设计!$B$23:$U$23,0)))*(VLOOKUP($B130,INDIRECT($B$5&amp;"生成成长"),3))*(VLOOKUP($B$5,标准坦克设计!$B$14:$K$20,9)/30))</f>
        <v>49.270309874695357</v>
      </c>
      <c r="AT130" s="172">
        <f ca="1">(VLOOKUP(AT$72,INDIRECT($C$5&amp;"生成成长"),2))/((VLOOKUP($B130,INDIRECT($B$5&amp;"生成成长"),4))/(VLOOKUP(AT$72,INDIRECT($C$5&amp;"生成成长"),5))*(VLOOKUP($B$5,标准坦克设计!$B$24:$U$30,MATCH("对"&amp;LEFT($C$5,2)&amp;"输出",标准坦克设计!$B$23:$U$23,0)))*(VLOOKUP($B130,INDIRECT($B$5&amp;"生成成长"),3))*(VLOOKUP($B$5,标准坦克设计!$B$14:$K$20,9)/30))</f>
        <v>52.434327577624281</v>
      </c>
      <c r="AU130" s="172">
        <f ca="1">(VLOOKUP(AU$72,INDIRECT($C$5&amp;"生成成长"),2))/((VLOOKUP($B130,INDIRECT($B$5&amp;"生成成长"),4))/(VLOOKUP(AU$72,INDIRECT($C$5&amp;"生成成长"),5))*(VLOOKUP($B$5,标准坦克设计!$B$24:$U$30,MATCH("对"&amp;LEFT($C$5,2)&amp;"输出",标准坦克设计!$B$23:$U$23,0)))*(VLOOKUP($B130,INDIRECT($B$5&amp;"生成成长"),3))*(VLOOKUP($B$5,标准坦克设计!$B$14:$K$20,9)/30))</f>
        <v>55.696801276966845</v>
      </c>
      <c r="AV130" s="172">
        <f ca="1">(VLOOKUP(AV$72,INDIRECT($C$5&amp;"生成成长"),2))/((VLOOKUP($B130,INDIRECT($B$5&amp;"生成成长"),4))/(VLOOKUP(AV$72,INDIRECT($C$5&amp;"生成成长"),5))*(VLOOKUP($B$5,标准坦克设计!$B$24:$U$30,MATCH("对"&amp;LEFT($C$5,2)&amp;"输出",标准坦克设计!$B$23:$U$23,0)))*(VLOOKUP($B130,INDIRECT($B$5&amp;"生成成长"),3))*(VLOOKUP($B$5,标准坦克设计!$B$14:$K$20,9)/30))</f>
        <v>5.6648813804272198</v>
      </c>
      <c r="AW130" s="172">
        <f ca="1">(VLOOKUP(AW$72,INDIRECT($C$5&amp;"生成成长"),2))/((VLOOKUP($B130,INDIRECT($B$5&amp;"生成成长"),4))/(VLOOKUP(AW$72,INDIRECT($C$5&amp;"生成成长"),5))*(VLOOKUP($B$5,标准坦克设计!$B$24:$U$30,MATCH("对"&amp;LEFT($C$5,2)&amp;"输出",标准坦克设计!$B$23:$U$23,0)))*(VLOOKUP($B130,INDIRECT($B$5&amp;"生成成长"),3))*(VLOOKUP($B$5,标准坦克设计!$B$14:$K$20,9)/30))</f>
        <v>6.459038839102452</v>
      </c>
      <c r="AX130" s="172">
        <f ca="1">(VLOOKUP(AX$72,INDIRECT($C$5&amp;"生成成长"),2))/((VLOOKUP($B130,INDIRECT($B$5&amp;"生成成长"),4))/(VLOOKUP(AX$72,INDIRECT($C$5&amp;"生成成长"),5))*(VLOOKUP($B$5,标准坦克设计!$B$24:$U$30,MATCH("对"&amp;LEFT($C$5,2)&amp;"输出",标准坦克设计!$B$23:$U$23,0)))*(VLOOKUP($B130,INDIRECT($B$5&amp;"生成成长"),3))*(VLOOKUP($B$5,标准坦克设计!$B$14:$K$20,9)/30))</f>
        <v>7.3052721967072083</v>
      </c>
      <c r="AY130" s="172">
        <f ca="1">(VLOOKUP(AY$72,INDIRECT($C$5&amp;"生成成长"),2))/((VLOOKUP($B130,INDIRECT($B$5&amp;"生成成长"),4))/(VLOOKUP(AY$72,INDIRECT($C$5&amp;"生成成长"),5))*(VLOOKUP($B$5,标准坦克设计!$B$24:$U$30,MATCH("对"&amp;LEFT($C$5,2)&amp;"输出",标准坦克设计!$B$23:$U$23,0)))*(VLOOKUP($B130,INDIRECT($B$5&amp;"生成成长"),3))*(VLOOKUP($B$5,标准坦克设计!$B$14:$K$20,9)/30))</f>
        <v>8.2035814532414868</v>
      </c>
      <c r="AZ130" s="172">
        <f ca="1">(VLOOKUP(AZ$72,INDIRECT($C$5&amp;"生成成长"),2))/((VLOOKUP($B130,INDIRECT($B$5&amp;"生成成长"),4))/(VLOOKUP(AZ$72,INDIRECT($C$5&amp;"生成成长"),5))*(VLOOKUP($B$5,标准坦克设计!$B$24:$U$30,MATCH("对"&amp;LEFT($C$5,2)&amp;"输出",标准坦克设计!$B$23:$U$23,0)))*(VLOOKUP($B130,INDIRECT($B$5&amp;"生成成长"),3))*(VLOOKUP($B$5,标准坦克设计!$B$14:$K$20,9)/30))</f>
        <v>9.1539666087052876</v>
      </c>
      <c r="BA130" s="172">
        <f ca="1">(VLOOKUP(BA$72,INDIRECT($C$5&amp;"生成成长"),2))/((VLOOKUP($B130,INDIRECT($B$5&amp;"生成成长"),4))/(VLOOKUP(BA$72,INDIRECT($C$5&amp;"生成成长"),5))*(VLOOKUP($B$5,标准坦克设计!$B$24:$U$30,MATCH("对"&amp;LEFT($C$5,2)&amp;"输出",标准坦克设计!$B$23:$U$23,0)))*(VLOOKUP($B130,INDIRECT($B$5&amp;"生成成长"),3))*(VLOOKUP($B$5,标准坦克设计!$B$14:$K$20,9)/30))</f>
        <v>10.156427663098613</v>
      </c>
      <c r="BB130" s="172">
        <f ca="1">(VLOOKUP(BB$72,INDIRECT($C$5&amp;"生成成长"),2))/((VLOOKUP($B130,INDIRECT($B$5&amp;"生成成长"),4))/(VLOOKUP(BB$72,INDIRECT($C$5&amp;"生成成长"),5))*(VLOOKUP($B$5,标准坦克设计!$B$24:$U$30,MATCH("对"&amp;LEFT($C$5,2)&amp;"输出",标准坦克设计!$B$23:$U$23,0)))*(VLOOKUP($B130,INDIRECT($B$5&amp;"生成成长"),3))*(VLOOKUP($B$5,标准坦克设计!$B$14:$K$20,9)/30))</f>
        <v>11.210964616421466</v>
      </c>
      <c r="BC130" s="172">
        <f ca="1">(VLOOKUP(BC$72,INDIRECT($C$5&amp;"生成成长"),2))/((VLOOKUP($B130,INDIRECT($B$5&amp;"生成成长"),4))/(VLOOKUP(BC$72,INDIRECT($C$5&amp;"生成成长"),5))*(VLOOKUP($B$5,标准坦克设计!$B$24:$U$30,MATCH("对"&amp;LEFT($C$5,2)&amp;"输出",标准坦克设计!$B$23:$U$23,0)))*(VLOOKUP($B130,INDIRECT($B$5&amp;"生成成长"),3))*(VLOOKUP($B$5,标准坦克设计!$B$14:$K$20,9)/30))</f>
        <v>12.317577468673839</v>
      </c>
      <c r="BD130" s="172">
        <f ca="1">(VLOOKUP(BD$72,INDIRECT($C$5&amp;"生成成长"),2))/((VLOOKUP($B130,INDIRECT($B$5&amp;"生成成长"),4))/(VLOOKUP(BD$72,INDIRECT($C$5&amp;"生成成长"),5))*(VLOOKUP($B$5,标准坦克设计!$B$24:$U$30,MATCH("对"&amp;LEFT($C$5,2)&amp;"输出",标准坦克设计!$B$23:$U$23,0)))*(VLOOKUP($B130,INDIRECT($B$5&amp;"生成成长"),3))*(VLOOKUP($B$5,标准坦克设计!$B$14:$K$20,9)/30))</f>
        <v>13.624763900396953</v>
      </c>
      <c r="BE130" s="172">
        <f ca="1">(VLOOKUP(BE$72,INDIRECT($C$5&amp;"生成成长"),2))/((VLOOKUP($B130,INDIRECT($B$5&amp;"生成成长"),4))/(VLOOKUP(BE$72,INDIRECT($C$5&amp;"生成成长"),5))*(VLOOKUP($B$5,标准坦克设计!$B$24:$U$30,MATCH("对"&amp;LEFT($C$5,2)&amp;"输出",标准坦克设计!$B$23:$U$23,0)))*(VLOOKUP($B130,INDIRECT($B$5&amp;"生成成长"),3))*(VLOOKUP($B$5,标准坦克设计!$B$14:$K$20,9)/30))</f>
        <v>14.997858891702746</v>
      </c>
      <c r="BF130" s="172">
        <f ca="1">(VLOOKUP(BF$72,INDIRECT($C$5&amp;"生成成长"),2))/((VLOOKUP($B130,INDIRECT($B$5&amp;"生成成长"),4))/(VLOOKUP(BF$72,INDIRECT($C$5&amp;"生成成长"),5))*(VLOOKUP($B$5,标准坦克设计!$B$24:$U$30,MATCH("对"&amp;LEFT($C$5,2)&amp;"输出",标准坦克设计!$B$23:$U$23,0)))*(VLOOKUP($B130,INDIRECT($B$5&amp;"生成成长"),3))*(VLOOKUP($B$5,标准坦克设计!$B$14:$K$20,9)/30))</f>
        <v>16.436862442591217</v>
      </c>
      <c r="BG130" s="172">
        <f ca="1">(VLOOKUP(BG$72,INDIRECT($C$5&amp;"生成成长"),2))/((VLOOKUP($B130,INDIRECT($B$5&amp;"生成成长"),4))/(VLOOKUP(BG$72,INDIRECT($C$5&amp;"生成成长"),5))*(VLOOKUP($B$5,标准坦克设计!$B$24:$U$30,MATCH("对"&amp;LEFT($C$5,2)&amp;"输出",标准坦克设计!$B$23:$U$23,0)))*(VLOOKUP($B130,INDIRECT($B$5&amp;"生成成长"),3))*(VLOOKUP($B$5,标准坦克设计!$B$14:$K$20,9)/30))</f>
        <v>17.941774553062366</v>
      </c>
      <c r="BH130" s="172">
        <f ca="1">(VLOOKUP(BH$72,INDIRECT($C$5&amp;"生成成长"),2))/((VLOOKUP($B130,INDIRECT($B$5&amp;"生成成长"),4))/(VLOOKUP(BH$72,INDIRECT($C$5&amp;"生成成长"),5))*(VLOOKUP($B$5,标准坦克设计!$B$24:$U$30,MATCH("对"&amp;LEFT($C$5,2)&amp;"输出",标准坦克设计!$B$23:$U$23,0)))*(VLOOKUP($B130,INDIRECT($B$5&amp;"生成成长"),3))*(VLOOKUP($B$5,标准坦克设计!$B$14:$K$20,9)/30))</f>
        <v>8.6722645436071986</v>
      </c>
      <c r="BI130" s="172">
        <f ca="1">(VLOOKUP(BI$72,INDIRECT($C$5&amp;"生成成长"),2))/((VLOOKUP($B130,INDIRECT($B$5&amp;"生成成长"),4))/(VLOOKUP(BI$72,INDIRECT($C$5&amp;"生成成长"),5))*(VLOOKUP($B$5,标准坦克设计!$B$24:$U$30,MATCH("对"&amp;LEFT($C$5,2)&amp;"输出",标准坦克设计!$B$23:$U$23,0)))*(VLOOKUP($B130,INDIRECT($B$5&amp;"生成成长"),3))*(VLOOKUP($B$5,标准坦克设计!$B$14:$K$20,9)/30))</f>
        <v>9.7744021232953138</v>
      </c>
      <c r="BJ130" s="172">
        <f ca="1">(VLOOKUP(BJ$72,INDIRECT($C$5&amp;"生成成长"),2))/((VLOOKUP($B130,INDIRECT($B$5&amp;"生成成长"),4))/(VLOOKUP(BJ$72,INDIRECT($C$5&amp;"生成成长"),5))*(VLOOKUP($B$5,标准坦克设计!$B$24:$U$30,MATCH("对"&amp;LEFT($C$5,2)&amp;"输出",标准坦克设计!$B$23:$U$23,0)))*(VLOOKUP($B130,INDIRECT($B$5&amp;"生成成长"),3))*(VLOOKUP($B$5,标准坦克设计!$B$14:$K$20,9)/30))</f>
        <v>10.942448262566108</v>
      </c>
      <c r="BK130" s="172">
        <f ca="1">(VLOOKUP(BK$72,INDIRECT($C$5&amp;"生成成长"),2))/((VLOOKUP($B130,INDIRECT($B$5&amp;"生成成长"),4))/(VLOOKUP(BK$72,INDIRECT($C$5&amp;"生成成长"),5))*(VLOOKUP($B$5,标准坦克设计!$B$24:$U$30,MATCH("对"&amp;LEFT($C$5,2)&amp;"输出",标准坦克设计!$B$23:$U$23,0)))*(VLOOKUP($B130,INDIRECT($B$5&amp;"生成成长"),3))*(VLOOKUP($B$5,标准坦克设计!$B$14:$K$20,9)/30))</f>
        <v>12.176402961419583</v>
      </c>
      <c r="BL130" s="172">
        <f ca="1">(VLOOKUP(BL$72,INDIRECT($C$5&amp;"生成成长"),2))/((VLOOKUP($B130,INDIRECT($B$5&amp;"生成成长"),4))/(VLOOKUP(BL$72,INDIRECT($C$5&amp;"生成成长"),5))*(VLOOKUP($B$5,标准坦克设计!$B$24:$U$30,MATCH("对"&amp;LEFT($C$5,2)&amp;"输出",标准坦克设计!$B$23:$U$23,0)))*(VLOOKUP($B130,INDIRECT($B$5&amp;"生成成长"),3))*(VLOOKUP($B$5,标准坦克设计!$B$14:$K$20,9)/30))</f>
        <v>13.476266219855733</v>
      </c>
      <c r="BM130" s="172">
        <f ca="1">(VLOOKUP(BM$72,INDIRECT($C$5&amp;"生成成长"),2))/((VLOOKUP($B130,INDIRECT($B$5&amp;"生成成长"),4))/(VLOOKUP(BM$72,INDIRECT($C$5&amp;"生成成长"),5))*(VLOOKUP($B$5,标准坦克设计!$B$24:$U$30,MATCH("对"&amp;LEFT($C$5,2)&amp;"输出",标准坦克设计!$B$23:$U$23,0)))*(VLOOKUP($B130,INDIRECT($B$5&amp;"生成成长"),3))*(VLOOKUP($B$5,标准坦克设计!$B$14:$K$20,9)/30))</f>
        <v>14.842038037874563</v>
      </c>
      <c r="BN130" s="172">
        <f ca="1">(VLOOKUP(BN$72,INDIRECT($C$5&amp;"生成成长"),2))/((VLOOKUP($B130,INDIRECT($B$5&amp;"生成成长"),4))/(VLOOKUP(BN$72,INDIRECT($C$5&amp;"生成成长"),5))*(VLOOKUP($B$5,标准坦克设计!$B$24:$U$30,MATCH("对"&amp;LEFT($C$5,2)&amp;"输出",标准坦克设计!$B$23:$U$23,0)))*(VLOOKUP($B130,INDIRECT($B$5&amp;"生成成长"),3))*(VLOOKUP($B$5,标准坦克设计!$B$14:$K$20,9)/30))</f>
        <v>16.273718415476072</v>
      </c>
      <c r="BO130" s="172">
        <f ca="1">(VLOOKUP(BO$72,INDIRECT($C$5&amp;"生成成长"),2))/((VLOOKUP($B130,INDIRECT($B$5&amp;"生成成长"),4))/(VLOOKUP(BO$72,INDIRECT($C$5&amp;"生成成长"),5))*(VLOOKUP($B$5,标准坦克设计!$B$24:$U$30,MATCH("对"&amp;LEFT($C$5,2)&amp;"输出",标准坦克设计!$B$23:$U$23,0)))*(VLOOKUP($B130,INDIRECT($B$5&amp;"生成成长"),3))*(VLOOKUP($B$5,标准坦克设计!$B$14:$K$20,9)/30))</f>
        <v>17.771307352660255</v>
      </c>
      <c r="BP130" s="172">
        <f ca="1">(VLOOKUP(BP$72,INDIRECT($C$5&amp;"生成成长"),2))/((VLOOKUP($B130,INDIRECT($B$5&amp;"生成成长"),4))/(VLOOKUP(BP$72,INDIRECT($C$5&amp;"生成成长"),5))*(VLOOKUP($B$5,标准坦克设计!$B$24:$U$30,MATCH("对"&amp;LEFT($C$5,2)&amp;"输出",标准坦克设计!$B$23:$U$23,0)))*(VLOOKUP($B130,INDIRECT($B$5&amp;"生成成长"),3))*(VLOOKUP($B$5,标准坦克设计!$B$14:$K$20,9)/30))</f>
        <v>19.334804849427119</v>
      </c>
      <c r="BQ130" s="172">
        <f ca="1">(VLOOKUP(BQ$72,INDIRECT($C$5&amp;"生成成长"),2))/((VLOOKUP($B130,INDIRECT($B$5&amp;"生成成长"),4))/(VLOOKUP(BQ$72,INDIRECT($C$5&amp;"生成成长"),5))*(VLOOKUP($B$5,标准坦克设计!$B$24:$U$30,MATCH("对"&amp;LEFT($C$5,2)&amp;"输出",标准坦克设计!$B$23:$U$23,0)))*(VLOOKUP($B130,INDIRECT($B$5&amp;"生成成长"),3))*(VLOOKUP($B$5,标准坦克设计!$B$14:$K$20,9)/30))</f>
        <v>20.96421090577666</v>
      </c>
      <c r="BR130" s="172">
        <f ca="1">(VLOOKUP(BR$72,INDIRECT($C$5&amp;"生成成长"),2))/((VLOOKUP($B130,INDIRECT($B$5&amp;"生成成长"),4))/(VLOOKUP(BR$72,INDIRECT($C$5&amp;"生成成长"),5))*(VLOOKUP($B$5,标准坦克设计!$B$24:$U$30,MATCH("对"&amp;LEFT($C$5,2)&amp;"输出",标准坦克设计!$B$23:$U$23,0)))*(VLOOKUP($B130,INDIRECT($B$5&amp;"生成成长"),3))*(VLOOKUP($B$5,标准坦克设计!$B$14:$K$20,9)/30))</f>
        <v>22.851962241971886</v>
      </c>
      <c r="BS130" s="172">
        <f ca="1">(VLOOKUP(BS$72,INDIRECT($C$5&amp;"生成成长"),2))/((VLOOKUP($B130,INDIRECT($B$5&amp;"生成成长"),4))/(VLOOKUP(BS$72,INDIRECT($C$5&amp;"生成成长"),5))*(VLOOKUP($B$5,标准坦克设计!$B$24:$U$30,MATCH("对"&amp;LEFT($C$5,2)&amp;"输出",标准坦克设计!$B$23:$U$23,0)))*(VLOOKUP($B130,INDIRECT($B$5&amp;"生成成长"),3))*(VLOOKUP($B$5,标准坦克设计!$B$14:$K$20,9)/30))</f>
        <v>24.821082170244487</v>
      </c>
      <c r="BT130" s="172">
        <f ca="1">(VLOOKUP(BT$72,INDIRECT($C$5&amp;"生成成长"),2))/((VLOOKUP($B130,INDIRECT($B$5&amp;"生成成长"),4))/(VLOOKUP(BT$72,INDIRECT($C$5&amp;"生成成长"),5))*(VLOOKUP($B$5,标准坦克设计!$B$24:$U$30,MATCH("对"&amp;LEFT($C$5,2)&amp;"输出",标准坦克设计!$B$23:$U$23,0)))*(VLOOKUP($B130,INDIRECT($B$5&amp;"生成成长"),3))*(VLOOKUP($B$5,标准坦克设计!$B$14:$K$20,9)/30))</f>
        <v>26.871570690594474</v>
      </c>
      <c r="BU130" s="172">
        <f ca="1">(VLOOKUP(BU$72,INDIRECT($C$5&amp;"生成成长"),2))/((VLOOKUP($B130,INDIRECT($B$5&amp;"生成成长"),4))/(VLOOKUP(BU$72,INDIRECT($C$5&amp;"生成成长"),5))*(VLOOKUP($B$5,标准坦克设计!$B$24:$U$30,MATCH("对"&amp;LEFT($C$5,2)&amp;"输出",标准坦克设计!$B$23:$U$23,0)))*(VLOOKUP($B130,INDIRECT($B$5&amp;"生成成长"),3))*(VLOOKUP($B$5,标准坦克设计!$B$14:$K$20,9)/30))</f>
        <v>29.003427803021836</v>
      </c>
      <c r="BV130" s="172">
        <f ca="1">(VLOOKUP(BV$72,INDIRECT($C$5&amp;"生成成长"),2))/((VLOOKUP($B130,INDIRECT($B$5&amp;"生成成长"),4))/(VLOOKUP(BV$72,INDIRECT($C$5&amp;"生成成长"),5))*(VLOOKUP($B$5,标准坦克设计!$B$24:$U$30,MATCH("对"&amp;LEFT($C$5,2)&amp;"输出",标准坦克设计!$B$23:$U$23,0)))*(VLOOKUP($B130,INDIRECT($B$5&amp;"生成成长"),3))*(VLOOKUP($B$5,标准坦克设计!$B$14:$K$20,9)/30))</f>
        <v>31.216653507526583</v>
      </c>
      <c r="BW130" s="172">
        <f ca="1">(VLOOKUP(BW$72,INDIRECT($C$5&amp;"生成成长"),2))/((VLOOKUP($B130,INDIRECT($B$5&amp;"生成成长"),4))/(VLOOKUP(BW$72,INDIRECT($C$5&amp;"生成成长"),5))*(VLOOKUP($B$5,标准坦克设计!$B$24:$U$30,MATCH("对"&amp;LEFT($C$5,2)&amp;"输出",标准坦克设计!$B$23:$U$23,0)))*(VLOOKUP($B130,INDIRECT($B$5&amp;"生成成长"),3))*(VLOOKUP($B$5,标准坦克设计!$B$14:$K$20,9)/30))</f>
        <v>14.226891481769568</v>
      </c>
      <c r="BX130" s="172">
        <f ca="1">(VLOOKUP(BX$72,INDIRECT($C$5&amp;"生成成长"),2))/((VLOOKUP($B130,INDIRECT($B$5&amp;"生成成长"),4))/(VLOOKUP(BX$72,INDIRECT($C$5&amp;"生成成长"),5))*(VLOOKUP($B$5,标准坦克设计!$B$24:$U$30,MATCH("对"&amp;LEFT($C$5,2)&amp;"输出",标准坦克设计!$B$23:$U$23,0)))*(VLOOKUP($B130,INDIRECT($B$5&amp;"生成成长"),3))*(VLOOKUP($B$5,标准坦克设计!$B$14:$K$20,9)/30))</f>
        <v>15.78916844965527</v>
      </c>
      <c r="BY130" s="172">
        <f ca="1">(VLOOKUP(BY$72,INDIRECT($C$5&amp;"生成成长"),2))/((VLOOKUP($B130,INDIRECT($B$5&amp;"生成成长"),4))/(VLOOKUP(BY$72,INDIRECT($C$5&amp;"生成成长"),5))*(VLOOKUP($B$5,标准坦克设计!$B$24:$U$30,MATCH("对"&amp;LEFT($C$5,2)&amp;"输出",标准坦克设计!$B$23:$U$23,0)))*(VLOOKUP($B130,INDIRECT($B$5&amp;"生成成长"),3))*(VLOOKUP($B$5,标准坦克设计!$B$14:$K$20,9)/30))</f>
        <v>17.432814009618355</v>
      </c>
      <c r="BZ130" s="172">
        <f ca="1">(VLOOKUP(BZ$72,INDIRECT($C$5&amp;"生成成长"),2))/((VLOOKUP($B130,INDIRECT($B$5&amp;"生成成长"),4))/(VLOOKUP(BZ$72,INDIRECT($C$5&amp;"生成成长"),5))*(VLOOKUP($B$5,标准坦克设计!$B$24:$U$30,MATCH("对"&amp;LEFT($C$5,2)&amp;"输出",标准坦克设计!$B$23:$U$23,0)))*(VLOOKUP($B130,INDIRECT($B$5&amp;"生成成长"),3))*(VLOOKUP($B$5,标准坦克设计!$B$14:$K$20,9)/30))</f>
        <v>19.157828161658816</v>
      </c>
      <c r="CA130" s="172">
        <f ca="1">(VLOOKUP(CA$72,INDIRECT($C$5&amp;"生成成长"),2))/((VLOOKUP($B130,INDIRECT($B$5&amp;"生成成长"),4))/(VLOOKUP(CA$72,INDIRECT($C$5&amp;"生成成长"),5))*(VLOOKUP($B$5,标准坦克设计!$B$24:$U$30,MATCH("对"&amp;LEFT($C$5,2)&amp;"输出",标准坦克设计!$B$23:$U$23,0)))*(VLOOKUP($B130,INDIRECT($B$5&amp;"生成成长"),3))*(VLOOKUP($B$5,标准坦克设计!$B$14:$K$20,9)/30))</f>
        <v>20.96421090577666</v>
      </c>
      <c r="CB130" s="172">
        <f ca="1">(VLOOKUP(CB$72,INDIRECT($C$5&amp;"生成成长"),2))/((VLOOKUP($B130,INDIRECT($B$5&amp;"生成成长"),4))/(VLOOKUP(CB$72,INDIRECT($C$5&amp;"生成成长"),5))*(VLOOKUP($B$5,标准坦克设计!$B$24:$U$30,MATCH("对"&amp;LEFT($C$5,2)&amp;"输出",标准坦克设计!$B$23:$U$23,0)))*(VLOOKUP($B130,INDIRECT($B$5&amp;"生成成长"),3))*(VLOOKUP($B$5,标准坦克设计!$B$14:$K$20,9)/30))</f>
        <v>22.851962241971886</v>
      </c>
      <c r="CC130" s="172">
        <f ca="1">(VLOOKUP(CC$72,INDIRECT($C$5&amp;"生成成长"),2))/((VLOOKUP($B130,INDIRECT($B$5&amp;"生成成长"),4))/(VLOOKUP(CC$72,INDIRECT($C$5&amp;"生成成长"),5))*(VLOOKUP($B$5,标准坦克设计!$B$24:$U$30,MATCH("对"&amp;LEFT($C$5,2)&amp;"输出",标准坦克设计!$B$23:$U$23,0)))*(VLOOKUP($B130,INDIRECT($B$5&amp;"生成成长"),3))*(VLOOKUP($B$5,标准坦克设计!$B$14:$K$20,9)/30))</f>
        <v>24.821082170244487</v>
      </c>
      <c r="CD130" s="172">
        <f ca="1">(VLOOKUP(CD$72,INDIRECT($C$5&amp;"生成成长"),2))/((VLOOKUP($B130,INDIRECT($B$5&amp;"生成成长"),4))/(VLOOKUP(CD$72,INDIRECT($C$5&amp;"生成成长"),5))*(VLOOKUP($B$5,标准坦克设计!$B$24:$U$30,MATCH("对"&amp;LEFT($C$5,2)&amp;"输出",标准坦克设计!$B$23:$U$23,0)))*(VLOOKUP($B130,INDIRECT($B$5&amp;"生成成长"),3))*(VLOOKUP($B$5,标准坦克设计!$B$14:$K$20,9)/30))</f>
        <v>26.871570690594474</v>
      </c>
      <c r="CE130" s="172">
        <f ca="1">(VLOOKUP(CE$72,INDIRECT($C$5&amp;"生成成长"),2))/((VLOOKUP($B130,INDIRECT($B$5&amp;"生成成长"),4))/(VLOOKUP(CE$72,INDIRECT($C$5&amp;"生成成长"),5))*(VLOOKUP($B$5,标准坦克设计!$B$24:$U$30,MATCH("对"&amp;LEFT($C$5,2)&amp;"输出",标准坦克设计!$B$23:$U$23,0)))*(VLOOKUP($B130,INDIRECT($B$5&amp;"生成成长"),3))*(VLOOKUP($B$5,标准坦克设计!$B$14:$K$20,9)/30))</f>
        <v>29.003427803021836</v>
      </c>
      <c r="CF130" s="172">
        <f ca="1">(VLOOKUP(CF$72,INDIRECT($C$5&amp;"生成成长"),2))/((VLOOKUP($B130,INDIRECT($B$5&amp;"生成成长"),4))/(VLOOKUP(CF$72,INDIRECT($C$5&amp;"生成成长"),5))*(VLOOKUP($B$5,标准坦克设计!$B$24:$U$30,MATCH("对"&amp;LEFT($C$5,2)&amp;"输出",标准坦克设计!$B$23:$U$23,0)))*(VLOOKUP($B130,INDIRECT($B$5&amp;"生成成长"),3))*(VLOOKUP($B$5,标准坦克设计!$B$14:$K$20,9)/30))</f>
        <v>31.216653507526583</v>
      </c>
      <c r="CG130" s="172">
        <f ca="1">(VLOOKUP(CG$72,INDIRECT($C$5&amp;"生成成长"),2))/((VLOOKUP($B130,INDIRECT($B$5&amp;"生成成长"),4))/(VLOOKUP(CG$72,INDIRECT($C$5&amp;"生成成长"),5))*(VLOOKUP($B$5,标准坦克设计!$B$24:$U$30,MATCH("对"&amp;LEFT($C$5,2)&amp;"输出",标准坦克设计!$B$23:$U$23,0)))*(VLOOKUP($B130,INDIRECT($B$5&amp;"生成成长"),3))*(VLOOKUP($B$5,标准坦克设计!$B$14:$K$20,9)/30))</f>
        <v>33.511247804108706</v>
      </c>
      <c r="CH130" s="172">
        <f ca="1">(VLOOKUP(CH$72,INDIRECT($C$5&amp;"生成成长"),2))/((VLOOKUP($B130,INDIRECT($B$5&amp;"生成成长"),4))/(VLOOKUP(CH$72,INDIRECT($C$5&amp;"生成成长"),5))*(VLOOKUP($B$5,标准坦克设计!$B$24:$U$30,MATCH("对"&amp;LEFT($C$5,2)&amp;"输出",标准坦克设计!$B$23:$U$23,0)))*(VLOOKUP($B130,INDIRECT($B$5&amp;"生成成长"),3))*(VLOOKUP($B$5,标准坦克设计!$B$14:$K$20,9)/30))</f>
        <v>35.887210692768221</v>
      </c>
      <c r="CI130" s="172">
        <f ca="1">(VLOOKUP(CI$72,INDIRECT($C$5&amp;"生成成长"),2))/((VLOOKUP($B130,INDIRECT($B$5&amp;"生成成长"),4))/(VLOOKUP(CI$72,INDIRECT($C$5&amp;"生成成长"),5))*(VLOOKUP($B$5,标准坦克设计!$B$24:$U$30,MATCH("对"&amp;LEFT($C$5,2)&amp;"输出",标准坦克设计!$B$23:$U$23,0)))*(VLOOKUP($B130,INDIRECT($B$5&amp;"生成成长"),3))*(VLOOKUP($B$5,标准坦克设计!$B$14:$K$20,9)/30))</f>
        <v>38.594750594143058</v>
      </c>
      <c r="CJ130" s="172">
        <f ca="1">(VLOOKUP(CJ$72,INDIRECT($C$5&amp;"生成成长"),2))/((VLOOKUP($B130,INDIRECT($B$5&amp;"生成成长"),4))/(VLOOKUP(CJ$72,INDIRECT($C$5&amp;"生成成长"),5))*(VLOOKUP($B$5,标准坦克设计!$B$24:$U$30,MATCH("对"&amp;LEFT($C$5,2)&amp;"输出",标准坦克设计!$B$23:$U$23,0)))*(VLOOKUP($B130,INDIRECT($B$5&amp;"生成成长"),3))*(VLOOKUP($B$5,标准坦克设计!$B$14:$K$20,9)/30))</f>
        <v>41.400746491931514</v>
      </c>
      <c r="CK130" s="172">
        <f ca="1">(VLOOKUP(CK$72,INDIRECT($C$5&amp;"生成成长"),2))/((VLOOKUP($B130,INDIRECT($B$5&amp;"生成成长"),4))/(VLOOKUP(CK$72,INDIRECT($C$5&amp;"生成成长"),5))*(VLOOKUP($B$5,标准坦克设计!$B$24:$U$30,MATCH("对"&amp;LEFT($C$5,2)&amp;"输出",标准坦克设计!$B$23:$U$23,0)))*(VLOOKUP($B130,INDIRECT($B$5&amp;"生成成长"),3))*(VLOOKUP($B$5,标准坦克设计!$B$14:$K$20,9)/30))</f>
        <v>44.305198386133604</v>
      </c>
      <c r="CL130" s="172">
        <f ca="1">(VLOOKUP(CL$72,INDIRECT($C$5&amp;"生成成长"),2))/((VLOOKUP($B130,INDIRECT($B$5&amp;"生成成长"),4))/(VLOOKUP(CL$72,INDIRECT($C$5&amp;"生成成长"),5))*(VLOOKUP($B$5,标准坦克设计!$B$24:$U$30,MATCH("对"&amp;LEFT($C$5,2)&amp;"输出",标准坦克设计!$B$23:$U$23,0)))*(VLOOKUP($B130,INDIRECT($B$5&amp;"生成成长"),3))*(VLOOKUP($B$5,标准坦克设计!$B$14:$K$20,9)/30))</f>
        <v>47.308106276749328</v>
      </c>
      <c r="CM130" s="172">
        <f ca="1">(VLOOKUP(CM$72,INDIRECT($C$5&amp;"生成成长"),2))/((VLOOKUP($B130,INDIRECT($B$5&amp;"生成成长"),4))/(VLOOKUP(CM$72,INDIRECT($C$5&amp;"生成成长"),5))*(VLOOKUP($B$5,标准坦克设计!$B$24:$U$30,MATCH("对"&amp;LEFT($C$5,2)&amp;"输出",标准坦克设计!$B$23:$U$23,0)))*(VLOOKUP($B130,INDIRECT($B$5&amp;"生成成长"),3))*(VLOOKUP($B$5,标准坦克设计!$B$14:$K$20,9)/30))</f>
        <v>50.409470163778678</v>
      </c>
      <c r="CN130" s="172">
        <f ca="1">(VLOOKUP(CN$72,INDIRECT($C$5&amp;"生成成长"),2))/((VLOOKUP($B130,INDIRECT($B$5&amp;"生成成长"),4))/(VLOOKUP(CN$72,INDIRECT($C$5&amp;"生成成长"),5))*(VLOOKUP($B$5,标准坦克设计!$B$24:$U$30,MATCH("对"&amp;LEFT($C$5,2)&amp;"输出",标准坦克设计!$B$23:$U$23,0)))*(VLOOKUP($B130,INDIRECT($B$5&amp;"生成成长"),3))*(VLOOKUP($B$5,标准坦克设计!$B$14:$K$20,9)/30))</f>
        <v>53.609290047221656</v>
      </c>
      <c r="CO130" s="172">
        <f ca="1">(VLOOKUP(CO$72,INDIRECT($C$5&amp;"生成成长"),2))/((VLOOKUP($B130,INDIRECT($B$5&amp;"生成成长"),4))/(VLOOKUP(CO$72,INDIRECT($C$5&amp;"生成成长"),5))*(VLOOKUP($B$5,标准坦克设计!$B$24:$U$30,MATCH("对"&amp;LEFT($C$5,2)&amp;"输出",标准坦克设计!$B$23:$U$23,0)))*(VLOOKUP($B130,INDIRECT($B$5&amp;"生成成长"),3))*(VLOOKUP($B$5,标准坦克设计!$B$14:$K$20,9)/30))</f>
        <v>24.02366996788616</v>
      </c>
      <c r="CP130" s="172">
        <f ca="1">(VLOOKUP(CP$72,INDIRECT($C$5&amp;"生成成长"),2))/((VLOOKUP($B130,INDIRECT($B$5&amp;"生成成长"),4))/(VLOOKUP(CP$72,INDIRECT($C$5&amp;"生成成长"),5))*(VLOOKUP($B$5,标准坦克设计!$B$24:$U$30,MATCH("对"&amp;LEFT($C$5,2)&amp;"输出",标准坦克设计!$B$23:$U$23,0)))*(VLOOKUP($B130,INDIRECT($B$5&amp;"生成成长"),3))*(VLOOKUP($B$5,标准坦克设计!$B$14:$K$20,9)/30))</f>
        <v>26.247880432321352</v>
      </c>
      <c r="CQ130" s="172">
        <f ca="1">(VLOOKUP(CQ$72,INDIRECT($C$5&amp;"生成成长"),2))/((VLOOKUP($B130,INDIRECT($B$5&amp;"生成成长"),4))/(VLOOKUP(CQ$72,INDIRECT($C$5&amp;"生成成长"),5))*(VLOOKUP($B$5,标准坦克设计!$B$24:$U$30,MATCH("对"&amp;LEFT($C$5,2)&amp;"输出",标准坦克设计!$B$23:$U$23,0)))*(VLOOKUP($B130,INDIRECT($B$5&amp;"生成成长"),3))*(VLOOKUP($B$5,标准坦克设计!$B$14:$K$20,9)/30))</f>
        <v>28.570546893170174</v>
      </c>
      <c r="CR130" s="172">
        <f ca="1">(VLOOKUP(CR$72,INDIRECT($C$5&amp;"生成成长"),2))/((VLOOKUP($B130,INDIRECT($B$5&amp;"生成成长"),4))/(VLOOKUP(CR$72,INDIRECT($C$5&amp;"生成成长"),5))*(VLOOKUP($B$5,标准坦克设计!$B$24:$U$30,MATCH("对"&amp;LEFT($C$5,2)&amp;"输出",标准坦克设计!$B$23:$U$23,0)))*(VLOOKUP($B130,INDIRECT($B$5&amp;"生成成长"),3))*(VLOOKUP($B$5,标准坦克设计!$B$14:$K$20,9)/30))</f>
        <v>30.991669350432623</v>
      </c>
      <c r="CS130" s="172">
        <f ca="1">(VLOOKUP(CS$72,INDIRECT($C$5&amp;"生成成长"),2))/((VLOOKUP($B130,INDIRECT($B$5&amp;"生成成长"),4))/(VLOOKUP(CS$72,INDIRECT($C$5&amp;"生成成长"),5))*(VLOOKUP($B$5,标准坦克设计!$B$24:$U$30,MATCH("对"&amp;LEFT($C$5,2)&amp;"输出",标准坦克设计!$B$23:$U$23,0)))*(VLOOKUP($B130,INDIRECT($B$5&amp;"生成成长"),3))*(VLOOKUP($B$5,标准坦克设计!$B$14:$K$20,9)/30))</f>
        <v>33.511247804108706</v>
      </c>
      <c r="CT130" s="172">
        <f ca="1">(VLOOKUP(CT$72,INDIRECT($C$5&amp;"生成成长"),2))/((VLOOKUP($B130,INDIRECT($B$5&amp;"生成成长"),4))/(VLOOKUP(CT$72,INDIRECT($C$5&amp;"生成成长"),5))*(VLOOKUP($B$5,标准坦克设计!$B$24:$U$30,MATCH("对"&amp;LEFT($C$5,2)&amp;"输出",标准坦克设计!$B$23:$U$23,0)))*(VLOOKUP($B130,INDIRECT($B$5&amp;"生成成长"),3))*(VLOOKUP($B$5,标准坦克设计!$B$14:$K$20,9)/30))</f>
        <v>36.129282254198422</v>
      </c>
      <c r="CU130" s="172">
        <f ca="1">(VLOOKUP(CU$72,INDIRECT($C$5&amp;"生成成长"),2))/((VLOOKUP($B130,INDIRECT($B$5&amp;"生成成长"),4))/(VLOOKUP(CU$72,INDIRECT($C$5&amp;"生成成长"),5))*(VLOOKUP($B$5,标准坦克设计!$B$24:$U$30,MATCH("对"&amp;LEFT($C$5,2)&amp;"输出",标准坦克设计!$B$23:$U$23,0)))*(VLOOKUP($B130,INDIRECT($B$5&amp;"生成成长"),3))*(VLOOKUP($B$5,标准坦克设计!$B$14:$K$20,9)/30))</f>
        <v>38.845772700701765</v>
      </c>
      <c r="CV130" s="172">
        <f ca="1">(VLOOKUP(CV$72,INDIRECT($C$5&amp;"生成成长"),2))/((VLOOKUP($B130,INDIRECT($B$5&amp;"生成成长"),4))/(VLOOKUP(CV$72,INDIRECT($C$5&amp;"生成成长"),5))*(VLOOKUP($B$5,标准坦克设计!$B$24:$U$30,MATCH("对"&amp;LEFT($C$5,2)&amp;"输出",标准坦克设计!$B$23:$U$23,0)))*(VLOOKUP($B130,INDIRECT($B$5&amp;"生成成长"),3))*(VLOOKUP($B$5,标准坦克设计!$B$14:$K$20,9)/30))</f>
        <v>41.660719143618742</v>
      </c>
      <c r="CW130" s="172">
        <f ca="1">(VLOOKUP(CW$72,INDIRECT($C$5&amp;"生成成长"),2))/((VLOOKUP($B130,INDIRECT($B$5&amp;"生成成长"),4))/(VLOOKUP(CW$72,INDIRECT($C$5&amp;"生成成长"),5))*(VLOOKUP($B$5,标准坦克设计!$B$24:$U$30,MATCH("对"&amp;LEFT($C$5,2)&amp;"输出",标准坦克设计!$B$23:$U$23,0)))*(VLOOKUP($B130,INDIRECT($B$5&amp;"生成成长"),3))*(VLOOKUP($B$5,标准坦克设计!$B$14:$K$20,9)/30))</f>
        <v>44.574121582949346</v>
      </c>
      <c r="CX130" s="172">
        <f ca="1">(VLOOKUP(CX$72,INDIRECT($C$5&amp;"生成成长"),2))/((VLOOKUP($B130,INDIRECT($B$5&amp;"生成成长"),4))/(VLOOKUP(CX$72,INDIRECT($C$5&amp;"生成成长"),5))*(VLOOKUP($B$5,标准坦克设计!$B$24:$U$30,MATCH("对"&amp;LEFT($C$5,2)&amp;"输出",标准坦克设计!$B$23:$U$23,0)))*(VLOOKUP($B130,INDIRECT($B$5&amp;"生成成长"),3))*(VLOOKUP($B$5,标准坦克设计!$B$14:$K$20,9)/30))</f>
        <v>47.585980018693576</v>
      </c>
      <c r="CY130" s="172">
        <f ca="1">(VLOOKUP(CY$72,INDIRECT($C$5&amp;"生成成长"),2))/((VLOOKUP($B130,INDIRECT($B$5&amp;"生成成长"),4))/(VLOOKUP(CY$72,INDIRECT($C$5&amp;"生成成长"),5))*(VLOOKUP($B$5,标准坦克设计!$B$24:$U$30,MATCH("对"&amp;LEFT($C$5,2)&amp;"输出",标准坦克设计!$B$23:$U$23,0)))*(VLOOKUP($B130,INDIRECT($B$5&amp;"生成成长"),3))*(VLOOKUP($B$5,标准坦克设计!$B$14:$K$20,9)/30))</f>
        <v>50.69629445085144</v>
      </c>
      <c r="CZ130" s="172">
        <f ca="1">(VLOOKUP(CZ$72,INDIRECT($C$5&amp;"生成成长"),2))/((VLOOKUP($B130,INDIRECT($B$5&amp;"生成成长"),4))/(VLOOKUP(CZ$72,INDIRECT($C$5&amp;"生成成长"),5))*(VLOOKUP($B$5,标准坦克设计!$B$24:$U$30,MATCH("对"&amp;LEFT($C$5,2)&amp;"输出",标准坦克设计!$B$23:$U$23,0)))*(VLOOKUP($B130,INDIRECT($B$5&amp;"生成成长"),3))*(VLOOKUP($B$5,标准坦克设计!$B$14:$K$20,9)/30))</f>
        <v>53.90506487942293</v>
      </c>
      <c r="DA130" s="172">
        <f ca="1">(VLOOKUP(DA$72,INDIRECT($C$5&amp;"生成成长"),2))/((VLOOKUP($B130,INDIRECT($B$5&amp;"生成成长"),4))/(VLOOKUP(DA$72,INDIRECT($C$5&amp;"生成成长"),5))*(VLOOKUP($B$5,标准坦克设计!$B$24:$U$30,MATCH("对"&amp;LEFT($C$5,2)&amp;"输出",标准坦克设计!$B$23:$U$23,0)))*(VLOOKUP($B130,INDIRECT($B$5&amp;"生成成长"),3))*(VLOOKUP($B$5,标准坦克设计!$B$14:$K$20,9)/30))</f>
        <v>57.212291304408062</v>
      </c>
      <c r="DB130" s="172">
        <f ca="1">(VLOOKUP(DB$72,INDIRECT($C$5&amp;"生成成长"),2))/((VLOOKUP($B130,INDIRECT($B$5&amp;"生成成长"),4))/(VLOOKUP(DB$72,INDIRECT($C$5&amp;"生成成长"),5))*(VLOOKUP($B$5,标准坦克设计!$B$24:$U$30,MATCH("对"&amp;LEFT($C$5,2)&amp;"输出",标准坦克设计!$B$23:$U$23,0)))*(VLOOKUP($B130,INDIRECT($B$5&amp;"生成成长"),3))*(VLOOKUP($B$5,标准坦克设计!$B$14:$K$20,9)/30))</f>
        <v>60.617973725806813</v>
      </c>
      <c r="DC130" s="172">
        <f ca="1">(VLOOKUP(DC$72,INDIRECT($C$5&amp;"生成成长"),2))/((VLOOKUP($B130,INDIRECT($B$5&amp;"生成成长"),4))/(VLOOKUP(DC$72,INDIRECT($C$5&amp;"生成成长"),5))*(VLOOKUP($B$5,标准坦克设计!$B$24:$U$30,MATCH("对"&amp;LEFT($C$5,2)&amp;"输出",标准坦克设计!$B$23:$U$23,0)))*(VLOOKUP($B130,INDIRECT($B$5&amp;"生成成长"),3))*(VLOOKUP($B$5,标准坦克设计!$B$14:$K$20,9)/30))</f>
        <v>64.445552297126781</v>
      </c>
      <c r="DD130" s="172">
        <f ca="1">(VLOOKUP(DD$72,INDIRECT($C$5&amp;"生成成长"),2))/((VLOOKUP($B130,INDIRECT($B$5&amp;"生成成长"),4))/(VLOOKUP(DD$72,INDIRECT($C$5&amp;"生成成长"),5))*(VLOOKUP($B$5,标准坦克设计!$B$24:$U$30,MATCH("对"&amp;LEFT($C$5,2)&amp;"输出",标准坦克设计!$B$23:$U$23,0)))*(VLOOKUP($B130,INDIRECT($B$5&amp;"生成成长"),3))*(VLOOKUP($B$5,标准坦克设计!$B$14:$K$20,9)/30))</f>
        <v>68.390301641038192</v>
      </c>
      <c r="DE130" s="172">
        <f ca="1">(VLOOKUP(DE$72,INDIRECT($C$5&amp;"生成成长"),2))/((VLOOKUP($B130,INDIRECT($B$5&amp;"生成成长"),4))/(VLOOKUP(DE$72,INDIRECT($C$5&amp;"生成成长"),5))*(VLOOKUP($B$5,标准坦克设计!$B$24:$U$30,MATCH("对"&amp;LEFT($C$5,2)&amp;"输出",标准坦克设计!$B$23:$U$23,0)))*(VLOOKUP($B130,INDIRECT($B$5&amp;"生成成长"),3))*(VLOOKUP($B$5,标准坦克设计!$B$14:$K$20,9)/30))</f>
        <v>72.452221757541011</v>
      </c>
      <c r="DF130" s="172">
        <f ca="1">(VLOOKUP(DF$72,INDIRECT($C$5&amp;"生成成长"),2))/((VLOOKUP($B130,INDIRECT($B$5&amp;"生成成长"),4))/(VLOOKUP(DF$72,INDIRECT($C$5&amp;"生成成长"),5))*(VLOOKUP($B$5,标准坦克设计!$B$24:$U$30,MATCH("对"&amp;LEFT($C$5,2)&amp;"输出",标准坦克设计!$B$23:$U$23,0)))*(VLOOKUP($B130,INDIRECT($B$5&amp;"生成成长"),3))*(VLOOKUP($B$5,标准坦克设计!$B$14:$K$20,9)/30))</f>
        <v>76.631312646635266</v>
      </c>
      <c r="DG130" s="172">
        <f ca="1">(VLOOKUP(DG$72,INDIRECT($C$5&amp;"生成成长"),2))/((VLOOKUP($B130,INDIRECT($B$5&amp;"生成成长"),4))/(VLOOKUP(DG$72,INDIRECT($C$5&amp;"生成成长"),5))*(VLOOKUP($B$5,标准坦克设计!$B$24:$U$30,MATCH("对"&amp;LEFT($C$5,2)&amp;"输出",标准坦克设计!$B$23:$U$23,0)))*(VLOOKUP($B130,INDIRECT($B$5&amp;"生成成长"),3))*(VLOOKUP($B$5,标准坦克设计!$B$14:$K$20,9)/30))</f>
        <v>80.927574308320956</v>
      </c>
      <c r="DH130" s="172">
        <f ca="1">(VLOOKUP(DH$72,INDIRECT($C$5&amp;"生成成长"),2))/((VLOOKUP($B130,INDIRECT($B$5&amp;"生成成长"),4))/(VLOOKUP(DH$72,INDIRECT($C$5&amp;"生成成长"),5))*(VLOOKUP($B$5,标准坦克设计!$B$24:$U$30,MATCH("对"&amp;LEFT($C$5,2)&amp;"输出",标准坦克设计!$B$23:$U$23,0)))*(VLOOKUP($B130,INDIRECT($B$5&amp;"生成成长"),3))*(VLOOKUP($B$5,标准坦克设计!$B$14:$K$20,9)/30))</f>
        <v>85.341006742598054</v>
      </c>
      <c r="DI130" s="172">
        <f ca="1">(VLOOKUP(DI$72,INDIRECT($C$5&amp;"生成成长"),2))/((VLOOKUP($B130,INDIRECT($B$5&amp;"生成成长"),4))/(VLOOKUP(DI$72,INDIRECT($C$5&amp;"生成成长"),5))*(VLOOKUP($B$5,标准坦克设计!$B$24:$U$30,MATCH("对"&amp;LEFT($C$5,2)&amp;"输出",标准坦克设计!$B$23:$U$23,0)))*(VLOOKUP($B130,INDIRECT($B$5&amp;"生成成长"),3))*(VLOOKUP($B$5,标准坦克设计!$B$14:$K$20,9)/30))</f>
        <v>89.871609949466588</v>
      </c>
      <c r="DJ130" s="172">
        <f ca="1">(VLOOKUP(DJ$72,INDIRECT($C$5&amp;"生成成长"),2))/((VLOOKUP($B130,INDIRECT($B$5&amp;"生成成长"),4))/(VLOOKUP(DJ$72,INDIRECT($C$5&amp;"生成成长"),5))*(VLOOKUP($B$5,标准坦克设计!$B$24:$U$30,MATCH("对"&amp;LEFT($C$5,2)&amp;"输出",标准坦克设计!$B$23:$U$23,0)))*(VLOOKUP($B130,INDIRECT($B$5&amp;"生成成长"),3))*(VLOOKUP($B$5,标准坦克设计!$B$14:$K$20,9)/30))</f>
        <v>9.0323205635496056</v>
      </c>
      <c r="DK130" s="172">
        <f ca="1">(VLOOKUP(DK$72,INDIRECT($C$5&amp;"生成成长"),2))/((VLOOKUP($B130,INDIRECT($B$5&amp;"生成成长"),4))/(VLOOKUP(DK$72,INDIRECT($C$5&amp;"生成成长"),5))*(VLOOKUP($B$5,标准坦克设计!$B$24:$U$30,MATCH("对"&amp;LEFT($C$5,2)&amp;"输出",标准坦克设计!$B$23:$U$23,0)))*(VLOOKUP($B130,INDIRECT($B$5&amp;"生成成长"),3))*(VLOOKUP($B$5,标准坦克设计!$B$14:$K$20,9)/30))</f>
        <v>10.156427663098613</v>
      </c>
      <c r="DL130" s="172">
        <f ca="1">(VLOOKUP(DL$72,INDIRECT($C$5&amp;"生成成长"),2))/((VLOOKUP($B130,INDIRECT($B$5&amp;"生成成长"),4))/(VLOOKUP(DL$72,INDIRECT($C$5&amp;"生成成长"),5))*(VLOOKUP($B$5,标准坦克设计!$B$24:$U$30,MATCH("对"&amp;LEFT($C$5,2)&amp;"输出",标准坦克设计!$B$23:$U$23,0)))*(VLOOKUP($B130,INDIRECT($B$5&amp;"生成成长"),3))*(VLOOKUP($B$5,标准坦克设计!$B$14:$K$20,9)/30))</f>
        <v>11.346443322230304</v>
      </c>
      <c r="DM130" s="172">
        <f ca="1">(VLOOKUP(DM$72,INDIRECT($C$5&amp;"生成成长"),2))/((VLOOKUP($B130,INDIRECT($B$5&amp;"生成成长"),4))/(VLOOKUP(DM$72,INDIRECT($C$5&amp;"生成成长"),5))*(VLOOKUP($B$5,标准坦克设计!$B$24:$U$30,MATCH("对"&amp;LEFT($C$5,2)&amp;"输出",标准坦克设计!$B$23:$U$23,0)))*(VLOOKUP($B130,INDIRECT($B$5&amp;"生成成长"),3))*(VLOOKUP($B$5,标准坦克设计!$B$14:$K$20,9)/30))</f>
        <v>12.60236754094467</v>
      </c>
      <c r="DN130" s="172">
        <f ca="1">(VLOOKUP(DN$72,INDIRECT($C$5&amp;"生成成长"),2))/((VLOOKUP($B130,INDIRECT($B$5&amp;"生成成长"),4))/(VLOOKUP(DN$72,INDIRECT($C$5&amp;"生成成长"),5))*(VLOOKUP($B$5,标准坦克设计!$B$24:$U$30,MATCH("对"&amp;LEFT($C$5,2)&amp;"输出",标准坦克设计!$B$23:$U$23,0)))*(VLOOKUP($B130,INDIRECT($B$5&amp;"生成成长"),3))*(VLOOKUP($B$5,标准坦克设计!$B$14:$K$20,9)/30))</f>
        <v>13.924200319241711</v>
      </c>
      <c r="DO130" s="172">
        <f ca="1">(VLOOKUP(DO$72,INDIRECT($C$5&amp;"生成成长"),2))/((VLOOKUP($B130,INDIRECT($B$5&amp;"生成成长"),4))/(VLOOKUP(DO$72,INDIRECT($C$5&amp;"生成成长"),5))*(VLOOKUP($B$5,标准坦克设计!$B$24:$U$30,MATCH("对"&amp;LEFT($C$5,2)&amp;"输出",标准坦克设计!$B$23:$U$23,0)))*(VLOOKUP($B130,INDIRECT($B$5&amp;"生成成长"),3))*(VLOOKUP($B$5,标准坦克设计!$B$14:$K$20,9)/30))</f>
        <v>15.311941657121434</v>
      </c>
      <c r="DP130" s="172">
        <f ca="1">(VLOOKUP(DP$72,INDIRECT($C$5&amp;"生成成长"),2))/((VLOOKUP($B130,INDIRECT($B$5&amp;"生成成长"),4))/(VLOOKUP(DP$72,INDIRECT($C$5&amp;"生成成长"),5))*(VLOOKUP($B$5,标准坦克设计!$B$24:$U$30,MATCH("对"&amp;LEFT($C$5,2)&amp;"输出",标准坦克设计!$B$23:$U$23,0)))*(VLOOKUP($B130,INDIRECT($B$5&amp;"生成成长"),3))*(VLOOKUP($B$5,标准坦克设计!$B$14:$K$20,9)/30))</f>
        <v>16.765591554583832</v>
      </c>
      <c r="DQ130" s="172">
        <f ca="1">(VLOOKUP(DQ$72,INDIRECT($C$5&amp;"生成成长"),2))/((VLOOKUP($B130,INDIRECT($B$5&amp;"生成成长"),4))/(VLOOKUP(DQ$72,INDIRECT($C$5&amp;"生成成长"),5))*(VLOOKUP($B$5,标准坦克设计!$B$24:$U$30,MATCH("对"&amp;LEFT($C$5,2)&amp;"输出",标准坦克设计!$B$23:$U$23,0)))*(VLOOKUP($B130,INDIRECT($B$5&amp;"生成成长"),3))*(VLOOKUP($B$5,标准坦克设计!$B$14:$K$20,9)/30))</f>
        <v>18.285150011628915</v>
      </c>
      <c r="DR130" s="172">
        <f ca="1">(VLOOKUP(DR$72,INDIRECT($C$5&amp;"生成成长"),2))/((VLOOKUP($B130,INDIRECT($B$5&amp;"生成成长"),4))/(VLOOKUP(DR$72,INDIRECT($C$5&amp;"生成成长"),5))*(VLOOKUP($B$5,标准坦克设计!$B$24:$U$30,MATCH("对"&amp;LEFT($C$5,2)&amp;"输出",标准坦克设计!$B$23:$U$23,0)))*(VLOOKUP($B130,INDIRECT($B$5&amp;"生成成长"),3))*(VLOOKUP($B$5,标准坦克设计!$B$14:$K$20,9)/30))</f>
        <v>19.870617028256667</v>
      </c>
      <c r="DS130" s="172">
        <f ca="1">(VLOOKUP(DS$72,INDIRECT($C$5&amp;"生成成长"),2))/((VLOOKUP($B130,INDIRECT($B$5&amp;"生成成长"),4))/(VLOOKUP(DS$72,INDIRECT($C$5&amp;"生成成长"),5))*(VLOOKUP($B$5,标准坦克设计!$B$24:$U$30,MATCH("对"&amp;LEFT($C$5,2)&amp;"输出",标准坦克设计!$B$23:$U$23,0)))*(VLOOKUP($B130,INDIRECT($B$5&amp;"生成成长"),3))*(VLOOKUP($B$5,标准坦克设计!$B$14:$K$20,9)/30))</f>
        <v>21.521992604467101</v>
      </c>
      <c r="DT130" s="172">
        <f ca="1">(VLOOKUP(DT$72,INDIRECT($C$5&amp;"生成成长"),2))/((VLOOKUP($B130,INDIRECT($B$5&amp;"生成成长"),4))/(VLOOKUP(DT$72,INDIRECT($C$5&amp;"生成成长"),5))*(VLOOKUP($B$5,标准坦克设计!$B$24:$U$30,MATCH("对"&amp;LEFT($C$5,2)&amp;"输出",标准坦克设计!$B$23:$U$23,0)))*(VLOOKUP($B130,INDIRECT($B$5&amp;"生成成长"),3))*(VLOOKUP($B$5,标准坦克设计!$B$14:$K$20,9)/30))</f>
        <v>23.629845982231643</v>
      </c>
      <c r="DU130" s="172">
        <f ca="1">(VLOOKUP(DU$72,INDIRECT($C$5&amp;"生成成长"),2))/((VLOOKUP($B130,INDIRECT($B$5&amp;"生成成长"),4))/(VLOOKUP(DU$72,INDIRECT($C$5&amp;"生成成长"),5))*(VLOOKUP($B$5,标准坦克设计!$B$24:$U$30,MATCH("对"&amp;LEFT($C$5,2)&amp;"输出",标准坦克设计!$B$23:$U$23,0)))*(VLOOKUP($B130,INDIRECT($B$5&amp;"生成成长"),3))*(VLOOKUP($B$5,标准坦克设计!$B$14:$K$20,9)/30))</f>
        <v>25.836155356409808</v>
      </c>
      <c r="DV130" s="172">
        <f ca="1">(VLOOKUP(DV$72,INDIRECT($C$5&amp;"生成成长"),2))/((VLOOKUP($B130,INDIRECT($B$5&amp;"生成成长"),4))/(VLOOKUP(DV$72,INDIRECT($C$5&amp;"生成成长"),5))*(VLOOKUP($B$5,标准坦克设计!$B$24:$U$30,MATCH("对"&amp;LEFT($C$5,2)&amp;"输出",标准坦克设计!$B$23:$U$23,0)))*(VLOOKUP($B130,INDIRECT($B$5&amp;"生成成长"),3))*(VLOOKUP($B$5,标准坦克设计!$B$14:$K$20,9)/30))</f>
        <v>28.140920727001607</v>
      </c>
      <c r="DW130" s="172">
        <f ca="1">(VLOOKUP(DW$72,INDIRECT($C$5&amp;"生成成长"),2))/((VLOOKUP($B130,INDIRECT($B$5&amp;"生成成长"),4))/(VLOOKUP(DW$72,INDIRECT($C$5&amp;"生成成长"),5))*(VLOOKUP($B$5,标准坦克设计!$B$24:$U$30,MATCH("对"&amp;LEFT($C$5,2)&amp;"输出",标准坦克设计!$B$23:$U$23,0)))*(VLOOKUP($B130,INDIRECT($B$5&amp;"生成成长"),3))*(VLOOKUP($B$5,标准坦克设计!$B$14:$K$20,9)/30))</f>
        <v>30.544142094007032</v>
      </c>
      <c r="DX130" s="172">
        <f ca="1">(VLOOKUP(DX$72,INDIRECT($C$5&amp;"生成成长"),2))/((VLOOKUP($B130,INDIRECT($B$5&amp;"生成成长"),4))/(VLOOKUP(DX$72,INDIRECT($C$5&amp;"生成成长"),5))*(VLOOKUP($B$5,标准坦克设计!$B$24:$U$30,MATCH("对"&amp;LEFT($C$5,2)&amp;"输出",标准坦克设计!$B$23:$U$23,0)))*(VLOOKUP($B130,INDIRECT($B$5&amp;"生成成长"),3))*(VLOOKUP($B$5,标准坦克设计!$B$14:$K$20,9)/30))</f>
        <v>33.045819457426092</v>
      </c>
      <c r="DY130" s="172">
        <f ca="1">(VLOOKUP(DY$72,INDIRECT($C$5&amp;"生成成长"),2))/((VLOOKUP($B130,INDIRECT($B$5&amp;"生成成长"),4))/(VLOOKUP(DY$72,INDIRECT($C$5&amp;"生成成长"),5))*(VLOOKUP($B$5,标准坦克设计!$B$24:$U$30,MATCH("对"&amp;LEFT($C$5,2)&amp;"输出",标准坦克设计!$B$23:$U$23,0)))*(VLOOKUP($B130,INDIRECT($B$5&amp;"生成成长"),3))*(VLOOKUP($B$5,标准坦克设计!$B$14:$K$20,9)/30))</f>
        <v>14.842038037874563</v>
      </c>
      <c r="DZ130" s="172">
        <f ca="1">(VLOOKUP(DZ$72,INDIRECT($C$5&amp;"生成成长"),2))/((VLOOKUP($B130,INDIRECT($B$5&amp;"生成成长"),4))/(VLOOKUP(DZ$72,INDIRECT($C$5&amp;"生成成长"),5))*(VLOOKUP($B$5,标准坦克设计!$B$24:$U$30,MATCH("对"&amp;LEFT($C$5,2)&amp;"输出",标准坦克设计!$B$23:$U$23,0)))*(VLOOKUP($B130,INDIRECT($B$5&amp;"生成成长"),3))*(VLOOKUP($B$5,标准坦克设计!$B$14:$K$20,9)/30))</f>
        <v>16.436862442591217</v>
      </c>
      <c r="EA130" s="172">
        <f ca="1">(VLOOKUP(EA$72,INDIRECT($C$5&amp;"生成成长"),2))/((VLOOKUP($B130,INDIRECT($B$5&amp;"生成成长"),4))/(VLOOKUP(EA$72,INDIRECT($C$5&amp;"生成成长"),5))*(VLOOKUP($B$5,标准坦克设计!$B$24:$U$30,MATCH("对"&amp;LEFT($C$5,2)&amp;"输出",标准坦克设计!$B$23:$U$23,0)))*(VLOOKUP($B130,INDIRECT($B$5&amp;"生成成长"),3))*(VLOOKUP($B$5,标准坦克设计!$B$14:$K$20,9)/30))</f>
        <v>18.113055439385253</v>
      </c>
      <c r="EB130" s="172">
        <f ca="1">(VLOOKUP(EB$72,INDIRECT($C$5&amp;"生成成长"),2))/((VLOOKUP($B130,INDIRECT($B$5&amp;"生成成长"),4))/(VLOOKUP(EB$72,INDIRECT($C$5&amp;"生成成长"),5))*(VLOOKUP($B$5,标准坦克设计!$B$24:$U$30,MATCH("对"&amp;LEFT($C$5,2)&amp;"输出",标准坦克设计!$B$23:$U$23,0)))*(VLOOKUP($B130,INDIRECT($B$5&amp;"生成成长"),3))*(VLOOKUP($B$5,标准坦克设计!$B$14:$K$20,9)/30))</f>
        <v>19.870617028256667</v>
      </c>
      <c r="EC130" s="172">
        <f ca="1">(VLOOKUP(EC$72,INDIRECT($C$5&amp;"生成成长"),2))/((VLOOKUP($B130,INDIRECT($B$5&amp;"生成成长"),4))/(VLOOKUP(EC$72,INDIRECT($C$5&amp;"生成成长"),5))*(VLOOKUP($B$5,标准坦克设计!$B$24:$U$30,MATCH("对"&amp;LEFT($C$5,2)&amp;"输出",标准坦克设计!$B$23:$U$23,0)))*(VLOOKUP($B130,INDIRECT($B$5&amp;"生成成长"),3))*(VLOOKUP($B$5,标准坦克设计!$B$14:$K$20,9)/30))</f>
        <v>21.709547209205464</v>
      </c>
      <c r="ED130" s="172">
        <f ca="1">(VLOOKUP(ED$72,INDIRECT($C$5&amp;"生成成长"),2))/((VLOOKUP($B130,INDIRECT($B$5&amp;"生成成长"),4))/(VLOOKUP(ED$72,INDIRECT($C$5&amp;"生成成长"),5))*(VLOOKUP($B$5,标准坦克设计!$B$24:$U$30,MATCH("对"&amp;LEFT($C$5,2)&amp;"输出",标准坦克设计!$B$23:$U$23,0)))*(VLOOKUP($B130,INDIRECT($B$5&amp;"生成成长"),3))*(VLOOKUP($B$5,标准坦克设计!$B$14:$K$20,9)/30))</f>
        <v>23.629845982231643</v>
      </c>
      <c r="EE130" s="172">
        <f ca="1">(VLOOKUP(EE$72,INDIRECT($C$5&amp;"生成成长"),2))/((VLOOKUP($B130,INDIRECT($B$5&amp;"生成成长"),4))/(VLOOKUP(EE$72,INDIRECT($C$5&amp;"生成成长"),5))*(VLOOKUP($B$5,标准坦克设计!$B$24:$U$30,MATCH("对"&amp;LEFT($C$5,2)&amp;"输出",标准坦克设计!$B$23:$U$23,0)))*(VLOOKUP($B130,INDIRECT($B$5&amp;"生成成长"),3))*(VLOOKUP($B$5,标准坦克设计!$B$14:$K$20,9)/30))</f>
        <v>25.631513347335197</v>
      </c>
      <c r="EF130" s="172">
        <f ca="1">(VLOOKUP(EF$72,INDIRECT($C$5&amp;"生成成长"),2))/((VLOOKUP($B130,INDIRECT($B$5&amp;"生成成长"),4))/(VLOOKUP(EF$72,INDIRECT($C$5&amp;"生成成长"),5))*(VLOOKUP($B$5,标准坦克设计!$B$24:$U$30,MATCH("对"&amp;LEFT($C$5,2)&amp;"输出",标准坦克设计!$B$23:$U$23,0)))*(VLOOKUP($B130,INDIRECT($B$5&amp;"生成成长"),3))*(VLOOKUP($B$5,标准坦克设计!$B$14:$K$20,9)/30))</f>
        <v>27.714549304516137</v>
      </c>
      <c r="EG130" s="172">
        <f ca="1">(VLOOKUP(EG$72,INDIRECT($C$5&amp;"生成成长"),2))/((VLOOKUP($B130,INDIRECT($B$5&amp;"生成成长"),4))/(VLOOKUP(EG$72,INDIRECT($C$5&amp;"生成成长"),5))*(VLOOKUP($B$5,标准坦克设计!$B$24:$U$30,MATCH("对"&amp;LEFT($C$5,2)&amp;"输出",标准坦克设计!$B$23:$U$23,0)))*(VLOOKUP($B130,INDIRECT($B$5&amp;"生成成长"),3))*(VLOOKUP($B$5,标准坦克设计!$B$14:$K$20,9)/30))</f>
        <v>29.878953853774448</v>
      </c>
      <c r="EH130" s="172">
        <f ca="1">(VLOOKUP(EH$72,INDIRECT($C$5&amp;"生成成长"),2))/((VLOOKUP($B130,INDIRECT($B$5&amp;"生成成长"),4))/(VLOOKUP(EH$72,INDIRECT($C$5&amp;"生成成长"),5))*(VLOOKUP($B$5,标准坦克设计!$B$24:$U$30,MATCH("对"&amp;LEFT($C$5,2)&amp;"输出",标准坦克设计!$B$23:$U$23,0)))*(VLOOKUP($B130,INDIRECT($B$5&amp;"生成成长"),3))*(VLOOKUP($B$5,标准坦克设计!$B$14:$K$20,9)/30))</f>
        <v>32.124726995110152</v>
      </c>
      <c r="EI130" s="172">
        <f ca="1">(VLOOKUP(EI$72,INDIRECT($C$5&amp;"生成成长"),2))/((VLOOKUP($B130,INDIRECT($B$5&amp;"生成成长"),4))/(VLOOKUP(EI$72,INDIRECT($C$5&amp;"生成成长"),5))*(VLOOKUP($B$5,标准坦克设计!$B$24:$U$30,MATCH("对"&amp;LEFT($C$5,2)&amp;"输出",标准坦克设计!$B$23:$U$23,0)))*(VLOOKUP($B130,INDIRECT($B$5&amp;"生成成长"),3))*(VLOOKUP($B$5,标准坦克设计!$B$14:$K$20,9)/30))</f>
        <v>34.451868728523223</v>
      </c>
      <c r="EJ130" s="172">
        <f ca="1">(VLOOKUP(EJ$72,INDIRECT($C$5&amp;"生成成长"),2))/((VLOOKUP($B130,INDIRECT($B$5&amp;"生成成长"),4))/(VLOOKUP(EJ$72,INDIRECT($C$5&amp;"生成成长"),5))*(VLOOKUP($B$5,标准坦克设计!$B$24:$U$30,MATCH("对"&amp;LEFT($C$5,2)&amp;"输出",标准坦克设计!$B$23:$U$23,0)))*(VLOOKUP($B130,INDIRECT($B$5&amp;"生成成长"),3))*(VLOOKUP($B$5,标准坦克设计!$B$14:$K$20,9)/30))</f>
        <v>36.860379054013684</v>
      </c>
      <c r="EK130" s="172">
        <f ca="1">(VLOOKUP(EK$72,INDIRECT($C$5&amp;"生成成长"),2))/((VLOOKUP($B130,INDIRECT($B$5&amp;"生成成长"),4))/(VLOOKUP(EK$72,INDIRECT($C$5&amp;"生成成长"),5))*(VLOOKUP($B$5,标准坦克设计!$B$24:$U$30,MATCH("对"&amp;LEFT($C$5,2)&amp;"输出",标准坦克设计!$B$23:$U$23,0)))*(VLOOKUP($B130,INDIRECT($B$5&amp;"生成成长"),3))*(VLOOKUP($B$5,标准坦克设计!$B$14:$K$20,9)/30))</f>
        <v>39.857997986144369</v>
      </c>
      <c r="EL130" s="172">
        <f ca="1">(VLOOKUP(EL$72,INDIRECT($C$5&amp;"生成成长"),2))/((VLOOKUP($B130,INDIRECT($B$5&amp;"生成成长"),4))/(VLOOKUP(EL$72,INDIRECT($C$5&amp;"生成成长"),5))*(VLOOKUP($B$5,标准坦克设计!$B$24:$U$30,MATCH("对"&amp;LEFT($C$5,2)&amp;"输出",标准坦克设计!$B$23:$U$23,0)))*(VLOOKUP($B130,INDIRECT($B$5&amp;"生成成长"),3))*(VLOOKUP($B$5,标准坦克设计!$B$14:$K$20,9)/30))</f>
        <v>42.972787690866497</v>
      </c>
      <c r="EM130" s="172">
        <f ca="1">(VLOOKUP(EM$72,INDIRECT($C$5&amp;"生成成长"),2))/((VLOOKUP($B130,INDIRECT($B$5&amp;"生成成长"),4))/(VLOOKUP(EM$72,INDIRECT($C$5&amp;"生成成长"),5))*(VLOOKUP($B$5,标准坦克设计!$B$24:$U$30,MATCH("对"&amp;LEFT($C$5,2)&amp;"输出",标准坦克设计!$B$23:$U$23,0)))*(VLOOKUP($B130,INDIRECT($B$5&amp;"生成成长"),3))*(VLOOKUP($B$5,标准坦克设计!$B$14:$K$20,9)/30))</f>
        <v>46.204748168180046</v>
      </c>
      <c r="EN130" s="172">
        <f ca="1">(VLOOKUP(EN$72,INDIRECT($C$5&amp;"生成成长"),2))/((VLOOKUP($B130,INDIRECT($B$5&amp;"生成成长"),4))/(VLOOKUP(EN$72,INDIRECT($C$5&amp;"生成成长"),5))*(VLOOKUP($B$5,标准坦克设计!$B$24:$U$30,MATCH("对"&amp;LEFT($C$5,2)&amp;"输出",标准坦克设计!$B$23:$U$23,0)))*(VLOOKUP($B130,INDIRECT($B$5&amp;"生成成长"),3))*(VLOOKUP($B$5,标准坦克设计!$B$14:$K$20,9)/30))</f>
        <v>49.55387941808501</v>
      </c>
      <c r="EO130" s="172">
        <f ca="1">(VLOOKUP(EO$72,INDIRECT($C$5&amp;"生成成长"),2))/((VLOOKUP($B130,INDIRECT($B$5&amp;"生成成长"),4))/(VLOOKUP(EO$72,INDIRECT($C$5&amp;"生成成长"),5))*(VLOOKUP($B$5,标准坦克设计!$B$24:$U$30,MATCH("对"&amp;LEFT($C$5,2)&amp;"输出",标准坦克设计!$B$23:$U$23,0)))*(VLOOKUP($B130,INDIRECT($B$5&amp;"生成成长"),3))*(VLOOKUP($B$5,标准坦克设计!$B$14:$K$20,9)/30))</f>
        <v>53.020181440581425</v>
      </c>
      <c r="EP130" s="172">
        <f ca="1">(VLOOKUP(EP$72,INDIRECT($C$5&amp;"生成成长"),2))/((VLOOKUP($B130,INDIRECT($B$5&amp;"生成成长"),4))/(VLOOKUP(EP$72,INDIRECT($C$5&amp;"生成成长"),5))*(VLOOKUP($B$5,标准坦克设计!$B$24:$U$30,MATCH("对"&amp;LEFT($C$5,2)&amp;"输出",标准坦克设计!$B$23:$U$23,0)))*(VLOOKUP($B130,INDIRECT($B$5&amp;"生成成长"),3))*(VLOOKUP($B$5,标准坦克设计!$B$14:$K$20,9)/30))</f>
        <v>56.603654235669261</v>
      </c>
      <c r="EQ130" s="172">
        <f ca="1">(VLOOKUP(EQ$72,INDIRECT($C$5&amp;"生成成长"),2))/((VLOOKUP($B130,INDIRECT($B$5&amp;"生成成长"),4))/(VLOOKUP(EQ$72,INDIRECT($C$5&amp;"生成成长"),5))*(VLOOKUP($B$5,标准坦克设计!$B$24:$U$30,MATCH("对"&amp;LEFT($C$5,2)&amp;"输出",标准坦克设计!$B$23:$U$23,0)))*(VLOOKUP($B130,INDIRECT($B$5&amp;"生成成长"),3))*(VLOOKUP($B$5,标准坦克设计!$B$14:$K$20,9)/30))</f>
        <v>25.022469435636001</v>
      </c>
      <c r="ER130" s="172">
        <f ca="1">(VLOOKUP(ER$72,INDIRECT($C$5&amp;"生成成长"),2))/((VLOOKUP($B130,INDIRECT($B$5&amp;"生成成长"),4))/(VLOOKUP(ER$72,INDIRECT($C$5&amp;"生成成长"),5))*(VLOOKUP($B$5,标准坦克设计!$B$24:$U$30,MATCH("对"&amp;LEFT($C$5,2)&amp;"输出",标准坦克设计!$B$23:$U$23,0)))*(VLOOKUP($B130,INDIRECT($B$5&amp;"生成成长"),3))*(VLOOKUP($B$5,标准坦克设计!$B$14:$K$20,9)/30))</f>
        <v>27.29143262571376</v>
      </c>
      <c r="ES130" s="172">
        <f ca="1">(VLOOKUP(ES$72,INDIRECT($C$5&amp;"生成成长"),2))/((VLOOKUP($B130,INDIRECT($B$5&amp;"生成成长"),4))/(VLOOKUP(ES$72,INDIRECT($C$5&amp;"生成成长"),5))*(VLOOKUP($B$5,标准坦克设计!$B$24:$U$30,MATCH("对"&amp;LEFT($C$5,2)&amp;"输出",标准坦克设计!$B$23:$U$23,0)))*(VLOOKUP($B130,INDIRECT($B$5&amp;"生成成长"),3))*(VLOOKUP($B$5,标准坦克设计!$B$14:$K$20,9)/30))</f>
        <v>29.658851812205139</v>
      </c>
      <c r="ET130" s="172">
        <f ca="1">(VLOOKUP(ET$72,INDIRECT($C$5&amp;"生成成长"),2))/((VLOOKUP($B130,INDIRECT($B$5&amp;"生成成长"),4))/(VLOOKUP(ET$72,INDIRECT($C$5&amp;"生成成长"),5))*(VLOOKUP($B$5,标准坦克设计!$B$24:$U$30,MATCH("对"&amp;LEFT($C$5,2)&amp;"输出",标准坦克设计!$B$23:$U$23,0)))*(VLOOKUP($B130,INDIRECT($B$5&amp;"生成成长"),3))*(VLOOKUP($B$5,标准坦克设计!$B$14:$K$20,9)/30))</f>
        <v>32.124726995110152</v>
      </c>
      <c r="EU130" s="172">
        <f ca="1">(VLOOKUP(EU$72,INDIRECT($C$5&amp;"生成成长"),2))/((VLOOKUP($B130,INDIRECT($B$5&amp;"生成成长"),4))/(VLOOKUP(EU$72,INDIRECT($C$5&amp;"生成成长"),5))*(VLOOKUP($B$5,标准坦克设计!$B$24:$U$30,MATCH("对"&amp;LEFT($C$5,2)&amp;"输出",标准坦克设计!$B$23:$U$23,0)))*(VLOOKUP($B130,INDIRECT($B$5&amp;"生成成长"),3))*(VLOOKUP($B$5,标准坦克设计!$B$14:$K$20,9)/30))</f>
        <v>34.689058174428794</v>
      </c>
      <c r="EV130" s="172">
        <f ca="1">(VLOOKUP(EV$72,INDIRECT($C$5&amp;"生成成长"),2))/((VLOOKUP($B130,INDIRECT($B$5&amp;"生成成长"),4))/(VLOOKUP(EV$72,INDIRECT($C$5&amp;"生成成长"),5))*(VLOOKUP($B$5,标准坦克设计!$B$24:$U$30,MATCH("对"&amp;LEFT($C$5,2)&amp;"输出",标准坦克设计!$B$23:$U$23,0)))*(VLOOKUP($B130,INDIRECT($B$5&amp;"生成成长"),3))*(VLOOKUP($B$5,标准坦克设计!$B$14:$K$20,9)/30))</f>
        <v>37.351845350161064</v>
      </c>
      <c r="EW130" s="172">
        <f ca="1">(VLOOKUP(EW$72,INDIRECT($C$5&amp;"生成成长"),2))/((VLOOKUP($B130,INDIRECT($B$5&amp;"生成成长"),4))/(VLOOKUP(EW$72,INDIRECT($C$5&amp;"生成成长"),5))*(VLOOKUP($B$5,标准坦克设计!$B$24:$U$30,MATCH("对"&amp;LEFT($C$5,2)&amp;"输出",标准坦克设计!$B$23:$U$23,0)))*(VLOOKUP($B130,INDIRECT($B$5&amp;"生成成长"),3))*(VLOOKUP($B$5,标准坦克设计!$B$14:$K$20,9)/30))</f>
        <v>40.113088522306967</v>
      </c>
      <c r="EX130" s="172">
        <f ca="1">(VLOOKUP(EX$72,INDIRECT($C$5&amp;"生成成长"),2))/((VLOOKUP($B130,INDIRECT($B$5&amp;"生成成长"),4))/(VLOOKUP(EX$72,INDIRECT($C$5&amp;"生成成长"),5))*(VLOOKUP($B$5,标准坦克设计!$B$24:$U$30,MATCH("对"&amp;LEFT($C$5,2)&amp;"输出",标准坦克设计!$B$23:$U$23,0)))*(VLOOKUP($B130,INDIRECT($B$5&amp;"生成成长"),3))*(VLOOKUP($B$5,标准坦克设计!$B$14:$K$20,9)/30))</f>
        <v>42.972787690866497</v>
      </c>
      <c r="EY130" s="172">
        <f ca="1">(VLOOKUP(EY$72,INDIRECT($C$5&amp;"生成成长"),2))/((VLOOKUP($B130,INDIRECT($B$5&amp;"生成成长"),4))/(VLOOKUP(EY$72,INDIRECT($C$5&amp;"生成成长"),5))*(VLOOKUP($B$5,标准坦克设计!$B$24:$U$30,MATCH("对"&amp;LEFT($C$5,2)&amp;"输出",标准坦克设计!$B$23:$U$23,0)))*(VLOOKUP($B130,INDIRECT($B$5&amp;"生成成长"),3))*(VLOOKUP($B$5,标准坦克设计!$B$14:$K$20,9)/30))</f>
        <v>45.930942855839653</v>
      </c>
      <c r="EZ130" s="172">
        <f ca="1">(VLOOKUP(EZ$72,INDIRECT($C$5&amp;"生成成长"),2))/((VLOOKUP($B130,INDIRECT($B$5&amp;"生成成长"),4))/(VLOOKUP(EZ$72,INDIRECT($C$5&amp;"生成成长"),5))*(VLOOKUP($B$5,标准坦克设计!$B$24:$U$30,MATCH("对"&amp;LEFT($C$5,2)&amp;"输出",标准坦克设计!$B$23:$U$23,0)))*(VLOOKUP($B130,INDIRECT($B$5&amp;"生成成长"),3))*(VLOOKUP($B$5,标准坦克设计!$B$14:$K$20,9)/30))</f>
        <v>48.987554017226458</v>
      </c>
      <c r="FA130" s="172">
        <f ca="1">(VLOOKUP(FA$72,INDIRECT($C$5&amp;"生成成长"),2))/((VLOOKUP($B130,INDIRECT($B$5&amp;"生成成长"),4))/(VLOOKUP(FA$72,INDIRECT($C$5&amp;"生成成长"),5))*(VLOOKUP($B$5,标准坦克设计!$B$24:$U$30,MATCH("对"&amp;LEFT($C$5,2)&amp;"输出",标准坦克设计!$B$23:$U$23,0)))*(VLOOKUP($B130,INDIRECT($B$5&amp;"生成成长"),3))*(VLOOKUP($B$5,标准坦克设计!$B$14:$K$20,9)/30))</f>
        <v>52.142621175026875</v>
      </c>
      <c r="FB130" s="172">
        <f ca="1">(VLOOKUP(FB$72,INDIRECT($C$5&amp;"生成成长"),2))/((VLOOKUP($B130,INDIRECT($B$5&amp;"生成成长"),4))/(VLOOKUP(FB$72,INDIRECT($C$5&amp;"生成成长"),5))*(VLOOKUP($B$5,标准坦克设计!$B$24:$U$30,MATCH("对"&amp;LEFT($C$5,2)&amp;"输出",标准坦克设计!$B$23:$U$23,0)))*(VLOOKUP($B130,INDIRECT($B$5&amp;"生成成长"),3))*(VLOOKUP($B$5,标准坦克设计!$B$14:$K$20,9)/30))</f>
        <v>55.396144329240933</v>
      </c>
      <c r="FC130" s="172">
        <f ca="1">(VLOOKUP(FC$72,INDIRECT($C$5&amp;"生成成长"),2))/((VLOOKUP($B130,INDIRECT($B$5&amp;"生成成长"),4))/(VLOOKUP(FC$72,INDIRECT($C$5&amp;"生成成长"),5))*(VLOOKUP($B$5,标准坦克设计!$B$24:$U$30,MATCH("对"&amp;LEFT($C$5,2)&amp;"输出",标准坦克设计!$B$23:$U$23,0)))*(VLOOKUP($B130,INDIRECT($B$5&amp;"生成成长"),3))*(VLOOKUP($B$5,标准坦克设计!$B$14:$K$20,9)/30))</f>
        <v>58.74812347986861</v>
      </c>
      <c r="FD130" s="172">
        <f ca="1">(VLOOKUP(FD$72,INDIRECT($C$5&amp;"生成成长"),2))/((VLOOKUP($B130,INDIRECT($B$5&amp;"生成成长"),4))/(VLOOKUP(FD$72,INDIRECT($C$5&amp;"生成成长"),5))*(VLOOKUP($B$5,标准坦克设计!$B$24:$U$30,MATCH("对"&amp;LEFT($C$5,2)&amp;"输出",标准坦克设计!$B$23:$U$23,0)))*(VLOOKUP($B130,INDIRECT($B$5&amp;"生成成长"),3))*(VLOOKUP($B$5,标准坦克设计!$B$14:$K$20,9)/30))</f>
        <v>62.198558626909922</v>
      </c>
      <c r="FE130" s="172">
        <f ca="1">(VLOOKUP(FE$72,INDIRECT($C$5&amp;"生成成长"),2))/((VLOOKUP($B130,INDIRECT($B$5&amp;"生成成长"),4))/(VLOOKUP(FE$72,INDIRECT($C$5&amp;"生成成长"),5))*(VLOOKUP($B$5,标准坦克设计!$B$24:$U$30,MATCH("对"&amp;LEFT($C$5,2)&amp;"输出",标准坦克设计!$B$23:$U$23,0)))*(VLOOKUP($B130,INDIRECT($B$5&amp;"生成成长"),3))*(VLOOKUP($B$5,标准坦克设计!$B$14:$K$20,9)/30))</f>
        <v>66.403280622508547</v>
      </c>
      <c r="FF130" s="172">
        <f ca="1">(VLOOKUP(FF$72,INDIRECT($C$5&amp;"生成成长"),2))/((VLOOKUP($B130,INDIRECT($B$5&amp;"生成成长"),4))/(VLOOKUP(FF$72,INDIRECT($C$5&amp;"生成成长"),5))*(VLOOKUP($B$5,标准坦克设计!$B$24:$U$30,MATCH("对"&amp;LEFT($C$5,2)&amp;"输出",标准坦克设计!$B$23:$U$23,0)))*(VLOOKUP($B130,INDIRECT($B$5&amp;"生成成长"),3))*(VLOOKUP($B$5,标准坦克设计!$B$14:$K$20,9)/30))</f>
        <v>70.745515538717953</v>
      </c>
      <c r="FG130" s="172">
        <f ca="1">(VLOOKUP(FG$72,INDIRECT($C$5&amp;"生成成长"),2))/((VLOOKUP($B130,INDIRECT($B$5&amp;"生成成长"),4))/(VLOOKUP(FG$72,INDIRECT($C$5&amp;"生成成长"),5))*(VLOOKUP($B$5,标准坦克设计!$B$24:$U$30,MATCH("对"&amp;LEFT($C$5,2)&amp;"输出",标准坦克设计!$B$23:$U$23,0)))*(VLOOKUP($B130,INDIRECT($B$5&amp;"生成成长"),3))*(VLOOKUP($B$5,标准坦克设计!$B$14:$K$20,9)/30))</f>
        <v>75.225263375538134</v>
      </c>
      <c r="FH130" s="172">
        <f ca="1">(VLOOKUP(FH$72,INDIRECT($C$5&amp;"生成成长"),2))/((VLOOKUP($B130,INDIRECT($B$5&amp;"生成成长"),4))/(VLOOKUP(FH$72,INDIRECT($C$5&amp;"生成成长"),5))*(VLOOKUP($B$5,标准坦克设计!$B$24:$U$30,MATCH("对"&amp;LEFT($C$5,2)&amp;"输出",标准坦克设计!$B$23:$U$23,0)))*(VLOOKUP($B130,INDIRECT($B$5&amp;"生成成长"),3))*(VLOOKUP($B$5,标准坦克设计!$B$14:$K$20,9)/30))</f>
        <v>79.842524132969089</v>
      </c>
      <c r="FI130" s="172">
        <f ca="1">(VLOOKUP(FI$72,INDIRECT($C$5&amp;"生成成长"),2))/((VLOOKUP($B130,INDIRECT($B$5&amp;"生成成长"),4))/(VLOOKUP(FI$72,INDIRECT($C$5&amp;"生成成长"),5))*(VLOOKUP($B$5,标准坦克设计!$B$24:$U$30,MATCH("对"&amp;LEFT($C$5,2)&amp;"输出",标准坦克设计!$B$23:$U$23,0)))*(VLOOKUP($B130,INDIRECT($B$5&amp;"生成成长"),3))*(VLOOKUP($B$5,标准坦克设计!$B$14:$K$20,9)/30))</f>
        <v>84.597297811010804</v>
      </c>
      <c r="FJ130" s="172">
        <f ca="1">(VLOOKUP(FJ$72,INDIRECT($C$5&amp;"生成成长"),2))/((VLOOKUP($B130,INDIRECT($B$5&amp;"生成成长"),4))/(VLOOKUP(FJ$72,INDIRECT($C$5&amp;"生成成长"),5))*(VLOOKUP($B$5,标准坦克设计!$B$24:$U$30,MATCH("对"&amp;LEFT($C$5,2)&amp;"输出",标准坦克设计!$B$23:$U$23,0)))*(VLOOKUP($B130,INDIRECT($B$5&amp;"生成成长"),3))*(VLOOKUP($B$5,标准坦克设计!$B$14:$K$20,9)/30))</f>
        <v>89.489584409663308</v>
      </c>
      <c r="FK130" s="172">
        <f ca="1">(VLOOKUP(FK$72,INDIRECT($C$5&amp;"生成成长"),2))/((VLOOKUP($B130,INDIRECT($B$5&amp;"生成成长"),4))/(VLOOKUP(FK$72,INDIRECT($C$5&amp;"生成成长"),5))*(VLOOKUP($B$5,标准坦克设计!$B$24:$U$30,MATCH("对"&amp;LEFT($C$5,2)&amp;"输出",标准坦克设计!$B$23:$U$23,0)))*(VLOOKUP($B130,INDIRECT($B$5&amp;"生成成长"),3))*(VLOOKUP($B$5,标准坦克设计!$B$14:$K$20,9)/30))</f>
        <v>94.519383928926572</v>
      </c>
    </row>
    <row r="131" spans="1:167" x14ac:dyDescent="0.15">
      <c r="A131" s="170" t="str">
        <f t="shared" si="11"/>
        <v>T3中品质2级</v>
      </c>
      <c r="B131" s="171">
        <v>20302</v>
      </c>
      <c r="C131" s="172">
        <f ca="1">(VLOOKUP(C$72,INDIRECT($C$5&amp;"生成成长"),2))/((VLOOKUP($B131,INDIRECT($B$5&amp;"生成成长"),4))/(VLOOKUP(C$72,INDIRECT($C$5&amp;"生成成长"),5))*(VLOOKUP($B$5,标准坦克设计!$B$24:$U$30,MATCH("对"&amp;LEFT($C$5,2)&amp;"输出",标准坦克设计!$B$23:$U$23,0)))*(VLOOKUP($B131,INDIRECT($B$5&amp;"生成成长"),3))*(VLOOKUP($B$5,标准坦克设计!$B$14:$K$20,9)/30))</f>
        <v>3.6051049804033131</v>
      </c>
      <c r="D131" s="172">
        <f ca="1">(VLOOKUP(D$72,INDIRECT($C$5&amp;"生成成长"),2))/((VLOOKUP($B131,INDIRECT($B$5&amp;"生成成长"),4))/(VLOOKUP(D$72,INDIRECT($C$5&amp;"生成成长"),5))*(VLOOKUP($B$5,标准坦克设计!$B$24:$U$30,MATCH("对"&amp;LEFT($C$5,2)&amp;"输出",标准坦克设计!$B$23:$U$23,0)))*(VLOOKUP($B131,INDIRECT($B$5&amp;"生成成长"),3))*(VLOOKUP($B$5,标准坦克设计!$B$14:$K$20,9)/30))</f>
        <v>4.0506959559811628</v>
      </c>
      <c r="E131" s="172">
        <f ca="1">(VLOOKUP(E$72,INDIRECT($C$5&amp;"生成成长"),2))/((VLOOKUP($B131,INDIRECT($B$5&amp;"生成成长"),4))/(VLOOKUP(E$72,INDIRECT($C$5&amp;"生成成长"),5))*(VLOOKUP($B$5,标准坦克设计!$B$24:$U$30,MATCH("对"&amp;LEFT($C$5,2)&amp;"输出",标准坦克设计!$B$23:$U$23,0)))*(VLOOKUP($B131,INDIRECT($B$5&amp;"生成成长"),3))*(VLOOKUP($B$5,标准坦克设计!$B$14:$K$20,9)/30))</f>
        <v>4.5222436874179159</v>
      </c>
      <c r="F131" s="172">
        <f ca="1">(VLOOKUP(F$72,INDIRECT($C$5&amp;"生成成长"),2))/((VLOOKUP($B131,INDIRECT($B$5&amp;"生成成长"),4))/(VLOOKUP(F$72,INDIRECT($C$5&amp;"生成成长"),5))*(VLOOKUP($B$5,标准坦克设计!$B$24:$U$30,MATCH("对"&amp;LEFT($C$5,2)&amp;"输出",标准坦克设计!$B$23:$U$23,0)))*(VLOOKUP($B131,INDIRECT($B$5&amp;"生成成长"),3))*(VLOOKUP($B$5,标准坦克设计!$B$14:$K$20,9)/30))</f>
        <v>5.0197481747135733</v>
      </c>
      <c r="G131" s="172">
        <f ca="1">(VLOOKUP(G$72,INDIRECT($C$5&amp;"生成成长"),2))/((VLOOKUP($B131,INDIRECT($B$5&amp;"生成成长"),4))/(VLOOKUP(G$72,INDIRECT($C$5&amp;"生成成长"),5))*(VLOOKUP($B$5,标准坦克设计!$B$24:$U$30,MATCH("对"&amp;LEFT($C$5,2)&amp;"输出",标准坦克设计!$B$23:$U$23,0)))*(VLOOKUP($B131,INDIRECT($B$5&amp;"生成成长"),3))*(VLOOKUP($B$5,标准坦克设计!$B$14:$K$20,9)/30))</f>
        <v>5.5432094178681339</v>
      </c>
      <c r="H131" s="172">
        <f ca="1">(VLOOKUP(H$72,INDIRECT($C$5&amp;"生成成长"),2))/((VLOOKUP($B131,INDIRECT($B$5&amp;"生成成长"),4))/(VLOOKUP(H$72,INDIRECT($C$5&amp;"生成成长"),5))*(VLOOKUP($B$5,标准坦克设计!$B$24:$U$30,MATCH("对"&amp;LEFT($C$5,2)&amp;"输出",标准坦克设计!$B$23:$U$23,0)))*(VLOOKUP($B131,INDIRECT($B$5&amp;"生成成长"),3))*(VLOOKUP($B$5,标准坦克设计!$B$14:$K$20,9)/30))</f>
        <v>4.8510292616306971</v>
      </c>
      <c r="I131" s="172">
        <f ca="1">(VLOOKUP(I$72,INDIRECT($C$5&amp;"生成成长"),2))/((VLOOKUP($B131,INDIRECT($B$5&amp;"生成成长"),4))/(VLOOKUP(I$72,INDIRECT($C$5&amp;"生成成长"),5))*(VLOOKUP($B$5,标准坦克设计!$B$24:$U$30,MATCH("对"&amp;LEFT($C$5,2)&amp;"输出",标准坦克设计!$B$23:$U$23,0)))*(VLOOKUP($B131,INDIRECT($B$5&amp;"生成成长"),3))*(VLOOKUP($B$5,标准坦克设计!$B$14:$K$20,9)/30))</f>
        <v>5.5432094178681339</v>
      </c>
      <c r="J131" s="172">
        <f ca="1">(VLOOKUP(J$72,INDIRECT($C$5&amp;"生成成长"),2))/((VLOOKUP($B131,INDIRECT($B$5&amp;"生成成长"),4))/(VLOOKUP(J$72,INDIRECT($C$5&amp;"生成成长"),5))*(VLOOKUP($B$5,标准坦克设计!$B$24:$U$30,MATCH("对"&amp;LEFT($C$5,2)&amp;"输出",标准坦克设计!$B$23:$U$23,0)))*(VLOOKUP($B131,INDIRECT($B$5&amp;"生成成长"),3))*(VLOOKUP($B$5,标准坦克设计!$B$14:$K$20,9)/30))</f>
        <v>6.2815349178547324</v>
      </c>
      <c r="K131" s="172">
        <f ca="1">(VLOOKUP(K$72,INDIRECT($C$5&amp;"生成成长"),2))/((VLOOKUP($B131,INDIRECT($B$5&amp;"生成成长"),4))/(VLOOKUP(K$72,INDIRECT($C$5&amp;"生成成长"),5))*(VLOOKUP($B$5,标准坦克设计!$B$24:$U$30,MATCH("对"&amp;LEFT($C$5,2)&amp;"输出",标准坦克设计!$B$23:$U$23,0)))*(VLOOKUP($B131,INDIRECT($B$5&amp;"生成成长"),3))*(VLOOKUP($B$5,标准坦克设计!$B$14:$K$20,9)/30))</f>
        <v>7.0660057615904934</v>
      </c>
      <c r="L131" s="172">
        <f ca="1">(VLOOKUP(L$72,INDIRECT($C$5&amp;"生成成长"),2))/((VLOOKUP($B131,INDIRECT($B$5&amp;"生成成长"),4))/(VLOOKUP(L$72,INDIRECT($C$5&amp;"生成成长"),5))*(VLOOKUP($B$5,标准坦克设计!$B$24:$U$30,MATCH("对"&amp;LEFT($C$5,2)&amp;"输出",标准坦克设计!$B$23:$U$23,0)))*(VLOOKUP($B131,INDIRECT($B$5&amp;"生成成长"),3))*(VLOOKUP($B$5,标准坦克设计!$B$14:$K$20,9)/30))</f>
        <v>7.8966219490754161</v>
      </c>
      <c r="M131" s="172">
        <f ca="1">(VLOOKUP(M$72,INDIRECT($C$5&amp;"生成成长"),2))/((VLOOKUP($B131,INDIRECT($B$5&amp;"生成成长"),4))/(VLOOKUP(M$72,INDIRECT($C$5&amp;"生成成长"),5))*(VLOOKUP($B$5,标准坦克设计!$B$24:$U$30,MATCH("对"&amp;LEFT($C$5,2)&amp;"输出",标准坦克设计!$B$23:$U$23,0)))*(VLOOKUP($B131,INDIRECT($B$5&amp;"生成成长"),3))*(VLOOKUP($B$5,标准坦克设计!$B$14:$K$20,9)/30))</f>
        <v>8.7733834803095014</v>
      </c>
      <c r="N131" s="172">
        <f ca="1">(VLOOKUP(N$72,INDIRECT($C$5&amp;"生成成长"),2))/((VLOOKUP($B131,INDIRECT($B$5&amp;"生成成长"),4))/(VLOOKUP(N$72,INDIRECT($C$5&amp;"生成成长"),5))*(VLOOKUP($B$5,标准坦克设计!$B$24:$U$30,MATCH("对"&amp;LEFT($C$5,2)&amp;"输出",标准坦克设计!$B$23:$U$23,0)))*(VLOOKUP($B131,INDIRECT($B$5&amp;"生成成长"),3))*(VLOOKUP($B$5,标准坦克设计!$B$14:$K$20,9)/30))</f>
        <v>9.6962903552927528</v>
      </c>
      <c r="O131" s="172">
        <f ca="1">(VLOOKUP(O$72,INDIRECT($C$5&amp;"生成成长"),2))/((VLOOKUP($B131,INDIRECT($B$5&amp;"生成成长"),4))/(VLOOKUP(O$72,INDIRECT($C$5&amp;"生成成长"),5))*(VLOOKUP($B$5,标准坦克设计!$B$24:$U$30,MATCH("对"&amp;LEFT($C$5,2)&amp;"输出",标准坦克设计!$B$23:$U$23,0)))*(VLOOKUP($B131,INDIRECT($B$5&amp;"生成成长"),3))*(VLOOKUP($B$5,标准坦克设计!$B$14:$K$20,9)/30))</f>
        <v>7.3720791744267338</v>
      </c>
      <c r="P131" s="172">
        <f ca="1">(VLOOKUP(P$72,INDIRECT($C$5&amp;"生成成长"),2))/((VLOOKUP($B131,INDIRECT($B$5&amp;"生成成长"),4))/(VLOOKUP(P$72,INDIRECT($C$5&amp;"生成成长"),5))*(VLOOKUP($B$5,标准坦克设计!$B$24:$U$30,MATCH("对"&amp;LEFT($C$5,2)&amp;"输出",标准坦克设计!$B$23:$U$23,0)))*(VLOOKUP($B131,INDIRECT($B$5&amp;"生成成长"),3))*(VLOOKUP($B$5,标准坦克设计!$B$14:$K$20,9)/30))</f>
        <v>8.329234546723816</v>
      </c>
      <c r="Q131" s="172">
        <f ca="1">(VLOOKUP(Q$72,INDIRECT($C$5&amp;"生成成长"),2))/((VLOOKUP($B131,INDIRECT($B$5&amp;"生成成长"),4))/(VLOOKUP(Q$72,INDIRECT($C$5&amp;"生成成长"),5))*(VLOOKUP($B$5,标准坦克设计!$B$24:$U$30,MATCH("对"&amp;LEFT($C$5,2)&amp;"输出",标准坦克设计!$B$23:$U$23,0)))*(VLOOKUP($B131,INDIRECT($B$5&amp;"生成成长"),3))*(VLOOKUP($B$5,标准坦克设计!$B$14:$K$20,9)/30))</f>
        <v>9.3447926197034263</v>
      </c>
      <c r="R131" s="172">
        <f ca="1">(VLOOKUP(R$72,INDIRECT($C$5&amp;"生成成长"),2))/((VLOOKUP($B131,INDIRECT($B$5&amp;"生成成长"),4))/(VLOOKUP(R$72,INDIRECT($C$5&amp;"生成成长"),5))*(VLOOKUP($B$5,标准坦克设计!$B$24:$U$30,MATCH("对"&amp;LEFT($C$5,2)&amp;"输出",标准坦克设计!$B$23:$U$23,0)))*(VLOOKUP($B131,INDIRECT($B$5&amp;"生成成长"),3))*(VLOOKUP($B$5,标准坦克设计!$B$14:$K$20,9)/30))</f>
        <v>10.418753393365574</v>
      </c>
      <c r="S131" s="172">
        <f ca="1">(VLOOKUP(S$72,INDIRECT($C$5&amp;"生成成长"),2))/((VLOOKUP($B131,INDIRECT($B$5&amp;"生成成长"),4))/(VLOOKUP(S$72,INDIRECT($C$5&amp;"生成成长"),5))*(VLOOKUP($B$5,标准坦克设计!$B$24:$U$30,MATCH("对"&amp;LEFT($C$5,2)&amp;"输出",标准坦克设计!$B$23:$U$23,0)))*(VLOOKUP($B131,INDIRECT($B$5&amp;"生成成长"),3))*(VLOOKUP($B$5,标准坦克设计!$B$14:$K$20,9)/30))</f>
        <v>11.551116867710256</v>
      </c>
      <c r="T131" s="172">
        <f ca="1">(VLOOKUP(T$72,INDIRECT($C$5&amp;"生成成长"),2))/((VLOOKUP($B131,INDIRECT($B$5&amp;"生成成长"),4))/(VLOOKUP(T$72,INDIRECT($C$5&amp;"生成成长"),5))*(VLOOKUP($B$5,标准坦克设计!$B$24:$U$30,MATCH("对"&amp;LEFT($C$5,2)&amp;"输出",标准坦克设计!$B$23:$U$23,0)))*(VLOOKUP($B131,INDIRECT($B$5&amp;"生成成长"),3))*(VLOOKUP($B$5,标准坦克设计!$B$14:$K$20,9)/30))</f>
        <v>12.741883042737468</v>
      </c>
      <c r="U131" s="172">
        <f ca="1">(VLOOKUP(U$72,INDIRECT($C$5&amp;"生成成长"),2))/((VLOOKUP($B131,INDIRECT($B$5&amp;"生成成长"),4))/(VLOOKUP(U$72,INDIRECT($C$5&amp;"生成成长"),5))*(VLOOKUP($B$5,标准坦克设计!$B$24:$U$30,MATCH("对"&amp;LEFT($C$5,2)&amp;"输出",标准坦克设计!$B$23:$U$23,0)))*(VLOOKUP($B131,INDIRECT($B$5&amp;"生成成长"),3))*(VLOOKUP($B$5,标准坦克设计!$B$14:$K$20,9)/30))</f>
        <v>13.991051918447216</v>
      </c>
      <c r="V131" s="172">
        <f ca="1">(VLOOKUP(V$72,INDIRECT($C$5&amp;"生成成长"),2))/((VLOOKUP($B131,INDIRECT($B$5&amp;"生成成长"),4))/(VLOOKUP(V$72,INDIRECT($C$5&amp;"生成成长"),5))*(VLOOKUP($B$5,标准坦克设计!$B$24:$U$30,MATCH("对"&amp;LEFT($C$5,2)&amp;"输出",标准坦克设计!$B$23:$U$23,0)))*(VLOOKUP($B131,INDIRECT($B$5&amp;"生成成长"),3))*(VLOOKUP($B$5,标准坦克设计!$B$14:$K$20,9)/30))</f>
        <v>15.298623494839498</v>
      </c>
      <c r="W131" s="172">
        <f ca="1">(VLOOKUP(W$72,INDIRECT($C$5&amp;"生成成长"),2))/((VLOOKUP($B131,INDIRECT($B$5&amp;"生成成长"),4))/(VLOOKUP(W$72,INDIRECT($C$5&amp;"生成成长"),5))*(VLOOKUP($B$5,标准坦克设计!$B$24:$U$30,MATCH("对"&amp;LEFT($C$5,2)&amp;"输出",标准坦克设计!$B$23:$U$23,0)))*(VLOOKUP($B131,INDIRECT($B$5&amp;"生成成长"),3))*(VLOOKUP($B$5,标准坦克设计!$B$14:$K$20,9)/30))</f>
        <v>16.664597771914316</v>
      </c>
      <c r="X131" s="172">
        <f ca="1">(VLOOKUP(X$72,INDIRECT($C$5&amp;"生成成长"),2))/((VLOOKUP($B131,INDIRECT($B$5&amp;"生成成长"),4))/(VLOOKUP(X$72,INDIRECT($C$5&amp;"生成成长"),5))*(VLOOKUP($B$5,标准坦克设计!$B$24:$U$30,MATCH("对"&amp;LEFT($C$5,2)&amp;"输出",标准坦克设计!$B$23:$U$23,0)))*(VLOOKUP($B131,INDIRECT($B$5&amp;"生成成长"),3))*(VLOOKUP($B$5,标准坦克设计!$B$14:$K$20,9)/30))</f>
        <v>12.073136068872655</v>
      </c>
      <c r="Y131" s="172">
        <f ca="1">(VLOOKUP(Y$72,INDIRECT($C$5&amp;"生成成长"),2))/((VLOOKUP($B131,INDIRECT($B$5&amp;"生成成长"),4))/(VLOOKUP(Y$72,INDIRECT($C$5&amp;"生成成长"),5))*(VLOOKUP($B$5,标准坦克设计!$B$24:$U$30,MATCH("对"&amp;LEFT($C$5,2)&amp;"输出",标准坦克设计!$B$23:$U$23,0)))*(VLOOKUP($B131,INDIRECT($B$5&amp;"生成成长"),3))*(VLOOKUP($B$5,标准坦克设计!$B$14:$K$20,9)/30))</f>
        <v>13.428655541504298</v>
      </c>
      <c r="Z131" s="172">
        <f ca="1">(VLOOKUP(Z$72,INDIRECT($C$5&amp;"生成成长"),2))/((VLOOKUP($B131,INDIRECT($B$5&amp;"生成成长"),4))/(VLOOKUP(Z$72,INDIRECT($C$5&amp;"生成成长"),5))*(VLOOKUP($B$5,标准坦克设计!$B$24:$U$30,MATCH("对"&amp;LEFT($C$5,2)&amp;"输出",标准坦克设计!$B$23:$U$23,0)))*(VLOOKUP($B131,INDIRECT($B$5&amp;"生成成长"),3))*(VLOOKUP($B$5,标准坦克设计!$B$14:$K$20,9)/30))</f>
        <v>14.856277113744014</v>
      </c>
      <c r="AA131" s="172">
        <f ca="1">(VLOOKUP(AA$72,INDIRECT($C$5&amp;"生成成长"),2))/((VLOOKUP($B131,INDIRECT($B$5&amp;"生成成长"),4))/(VLOOKUP(AA$72,INDIRECT($C$5&amp;"生成成长"),5))*(VLOOKUP($B$5,标准坦克设计!$B$24:$U$30,MATCH("对"&amp;LEFT($C$5,2)&amp;"输出",标准坦克设计!$B$23:$U$23,0)))*(VLOOKUP($B131,INDIRECT($B$5&amp;"生成成长"),3))*(VLOOKUP($B$5,标准坦克设计!$B$14:$K$20,9)/30))</f>
        <v>16.356000785591792</v>
      </c>
      <c r="AB131" s="172">
        <f ca="1">(VLOOKUP(AB$72,INDIRECT($C$5&amp;"生成成长"),2))/((VLOOKUP($B131,INDIRECT($B$5&amp;"生成成长"),4))/(VLOOKUP(AB$72,INDIRECT($C$5&amp;"生成成长"),5))*(VLOOKUP($B$5,标准坦克设计!$B$24:$U$30,MATCH("对"&amp;LEFT($C$5,2)&amp;"输出",标准坦克设计!$B$23:$U$23,0)))*(VLOOKUP($B131,INDIRECT($B$5&amp;"生成成长"),3))*(VLOOKUP($B$5,标准坦克设计!$B$14:$K$20,9)/30))</f>
        <v>17.927826557047634</v>
      </c>
      <c r="AC131" s="172">
        <f ca="1">(VLOOKUP(AC$72,INDIRECT($C$5&amp;"生成成长"),2))/((VLOOKUP($B131,INDIRECT($B$5&amp;"生成成长"),4))/(VLOOKUP(AC$72,INDIRECT($C$5&amp;"生成成长"),5))*(VLOOKUP($B$5,标准坦克设计!$B$24:$U$30,MATCH("对"&amp;LEFT($C$5,2)&amp;"输出",标准坦克设计!$B$23:$U$23,0)))*(VLOOKUP($B131,INDIRECT($B$5&amp;"生成成长"),3))*(VLOOKUP($B$5,标准坦克设计!$B$14:$K$20,9)/30))</f>
        <v>19.571754428111543</v>
      </c>
      <c r="AD131" s="172">
        <f ca="1">(VLOOKUP(AD$72,INDIRECT($C$5&amp;"生成成长"),2))/((VLOOKUP($B131,INDIRECT($B$5&amp;"生成成长"),4))/(VLOOKUP(AD$72,INDIRECT($C$5&amp;"生成成长"),5))*(VLOOKUP($B$5,标准坦克设计!$B$24:$U$30,MATCH("对"&amp;LEFT($C$5,2)&amp;"输出",标准坦克设计!$B$23:$U$23,0)))*(VLOOKUP($B131,INDIRECT($B$5&amp;"生成成长"),3))*(VLOOKUP($B$5,标准坦克设计!$B$14:$K$20,9)/30))</f>
        <v>21.287784398783526</v>
      </c>
      <c r="AE131" s="172">
        <f ca="1">(VLOOKUP(AE$72,INDIRECT($C$5&amp;"生成成长"),2))/((VLOOKUP($B131,INDIRECT($B$5&amp;"生成成长"),4))/(VLOOKUP(AE$72,INDIRECT($C$5&amp;"生成成长"),5))*(VLOOKUP($B$5,标准坦克设计!$B$24:$U$30,MATCH("对"&amp;LEFT($C$5,2)&amp;"输出",标准坦克设计!$B$23:$U$23,0)))*(VLOOKUP($B131,INDIRECT($B$5&amp;"生成成长"),3))*(VLOOKUP($B$5,标准坦克设计!$B$14:$K$20,9)/30))</f>
        <v>23.075916469063564</v>
      </c>
      <c r="AF131" s="172">
        <f ca="1">(VLOOKUP(AF$72,INDIRECT($C$5&amp;"生成成长"),2))/((VLOOKUP($B131,INDIRECT($B$5&amp;"生成成长"),4))/(VLOOKUP(AF$72,INDIRECT($C$5&amp;"生成成长"),5))*(VLOOKUP($B$5,标准坦克设计!$B$24:$U$30,MATCH("对"&amp;LEFT($C$5,2)&amp;"输出",标准坦克设计!$B$23:$U$23,0)))*(VLOOKUP($B131,INDIRECT($B$5&amp;"生成成长"),3))*(VLOOKUP($B$5,标准坦克设计!$B$14:$K$20,9)/30))</f>
        <v>24.93615063895167</v>
      </c>
      <c r="AG131" s="172">
        <f ca="1">(VLOOKUP(AG$72,INDIRECT($C$5&amp;"生成成长"),2))/((VLOOKUP($B131,INDIRECT($B$5&amp;"生成成长"),4))/(VLOOKUP(AG$72,INDIRECT($C$5&amp;"生成成长"),5))*(VLOOKUP($B$5,标准坦克设计!$B$24:$U$30,MATCH("对"&amp;LEFT($C$5,2)&amp;"输出",标准坦克设计!$B$23:$U$23,0)))*(VLOOKUP($B131,INDIRECT($B$5&amp;"生成成长"),3))*(VLOOKUP($B$5,标准坦克设计!$B$14:$K$20,9)/30))</f>
        <v>26.868486908447853</v>
      </c>
      <c r="AH131" s="172">
        <f ca="1">(VLOOKUP(AH$72,INDIRECT($C$5&amp;"生成成长"),2))/((VLOOKUP($B131,INDIRECT($B$5&amp;"生成成长"),4))/(VLOOKUP(AH$72,INDIRECT($C$5&amp;"生成成长"),5))*(VLOOKUP($B$5,标准坦克设计!$B$24:$U$30,MATCH("对"&amp;LEFT($C$5,2)&amp;"输出",标准坦克设计!$B$23:$U$23,0)))*(VLOOKUP($B131,INDIRECT($B$5&amp;"生成成长"),3))*(VLOOKUP($B$5,标准坦克设计!$B$14:$K$20,9)/30))</f>
        <v>28.872925277552088</v>
      </c>
      <c r="AI131" s="172">
        <f ca="1">(VLOOKUP(AI$72,INDIRECT($C$5&amp;"生成成长"),2))/((VLOOKUP($B131,INDIRECT($B$5&amp;"生成成长"),4))/(VLOOKUP(AI$72,INDIRECT($C$5&amp;"生成成长"),5))*(VLOOKUP($B$5,标准坦克设计!$B$24:$U$30,MATCH("对"&amp;LEFT($C$5,2)&amp;"输出",标准坦克设计!$B$23:$U$23,0)))*(VLOOKUP($B131,INDIRECT($B$5&amp;"生成成长"),3))*(VLOOKUP($B$5,标准坦克设计!$B$14:$K$20,9)/30))</f>
        <v>20.420756650996523</v>
      </c>
      <c r="AJ131" s="172">
        <f ca="1">(VLOOKUP(AJ$72,INDIRECT($C$5&amp;"生成成长"),2))/((VLOOKUP($B131,INDIRECT($B$5&amp;"生成成长"),4))/(VLOOKUP(AJ$72,INDIRECT($C$5&amp;"生成成长"),5))*(VLOOKUP($B$5,标准坦克设计!$B$24:$U$30,MATCH("对"&amp;LEFT($C$5,2)&amp;"输出",标准坦克设计!$B$23:$U$23,0)))*(VLOOKUP($B131,INDIRECT($B$5&amp;"生成成长"),3))*(VLOOKUP($B$5,标准坦克设计!$B$14:$K$20,9)/30))</f>
        <v>22.35201138899858</v>
      </c>
      <c r="AK131" s="172">
        <f ca="1">(VLOOKUP(AK$72,INDIRECT($C$5&amp;"生成成长"),2))/((VLOOKUP($B131,INDIRECT($B$5&amp;"生成成长"),4))/(VLOOKUP(AK$72,INDIRECT($C$5&amp;"生成成长"),5))*(VLOOKUP($B$5,标准坦克设计!$B$24:$U$30,MATCH("对"&amp;LEFT($C$5,2)&amp;"输出",标准坦克设计!$B$23:$U$23,0)))*(VLOOKUP($B131,INDIRECT($B$5&amp;"生成成长"),3))*(VLOOKUP($B$5,标准坦克设计!$B$14:$K$20,9)/30))</f>
        <v>24.370509667526399</v>
      </c>
      <c r="AL131" s="172">
        <f ca="1">(VLOOKUP(AL$72,INDIRECT($C$5&amp;"生成成长"),2))/((VLOOKUP($B131,INDIRECT($B$5&amp;"生成成长"),4))/(VLOOKUP(AL$72,INDIRECT($C$5&amp;"生成成长"),5))*(VLOOKUP($B$5,标准坦克设计!$B$24:$U$30,MATCH("对"&amp;LEFT($C$5,2)&amp;"输出",标准坦克设计!$B$23:$U$23,0)))*(VLOOKUP($B131,INDIRECT($B$5&amp;"生成成长"),3))*(VLOOKUP($B$5,标准坦克设计!$B$14:$K$20,9)/30))</f>
        <v>26.476251486579969</v>
      </c>
      <c r="AM131" s="172">
        <f ca="1">(VLOOKUP(AM$72,INDIRECT($C$5&amp;"生成成长"),2))/((VLOOKUP($B131,INDIRECT($B$5&amp;"生成成长"),4))/(VLOOKUP(AM$72,INDIRECT($C$5&amp;"生成成长"),5))*(VLOOKUP($B$5,标准坦克设计!$B$24:$U$30,MATCH("对"&amp;LEFT($C$5,2)&amp;"输出",标准坦克设计!$B$23:$U$23,0)))*(VLOOKUP($B131,INDIRECT($B$5&amp;"生成成长"),3))*(VLOOKUP($B$5,标准坦克设计!$B$14:$K$20,9)/30))</f>
        <v>28.669236846159304</v>
      </c>
      <c r="AN131" s="172">
        <f ca="1">(VLOOKUP(AN$72,INDIRECT($C$5&amp;"生成成长"),2))/((VLOOKUP($B131,INDIRECT($B$5&amp;"生成成长"),4))/(VLOOKUP(AN$72,INDIRECT($C$5&amp;"生成成长"),5))*(VLOOKUP($B$5,标准坦克设计!$B$24:$U$30,MATCH("对"&amp;LEFT($C$5,2)&amp;"输出",标准坦克设计!$B$23:$U$23,0)))*(VLOOKUP($B131,INDIRECT($B$5&amp;"生成成长"),3))*(VLOOKUP($B$5,标准坦克设计!$B$14:$K$20,9)/30))</f>
        <v>30.949465746264401</v>
      </c>
      <c r="AO131" s="172">
        <f ca="1">(VLOOKUP(AO$72,INDIRECT($C$5&amp;"生成成长"),2))/((VLOOKUP($B131,INDIRECT($B$5&amp;"生成成长"),4))/(VLOOKUP(AO$72,INDIRECT($C$5&amp;"生成成长"),5))*(VLOOKUP($B$5,标准坦克设计!$B$24:$U$30,MATCH("对"&amp;LEFT($C$5,2)&amp;"输出",标准坦克设计!$B$23:$U$23,0)))*(VLOOKUP($B131,INDIRECT($B$5&amp;"生成成长"),3))*(VLOOKUP($B$5,标准坦克设计!$B$14:$K$20,9)/30))</f>
        <v>33.316938186895264</v>
      </c>
      <c r="AP131" s="172">
        <f ca="1">(VLOOKUP(AP$72,INDIRECT($C$5&amp;"生成成长"),2))/((VLOOKUP($B131,INDIRECT($B$5&amp;"生成成长"),4))/(VLOOKUP(AP$72,INDIRECT($C$5&amp;"生成成长"),5))*(VLOOKUP($B$5,标准坦克设计!$B$24:$U$30,MATCH("对"&amp;LEFT($C$5,2)&amp;"输出",标准坦克设计!$B$23:$U$23,0)))*(VLOOKUP($B131,INDIRECT($B$5&amp;"生成成长"),3))*(VLOOKUP($B$5,标准坦克设计!$B$14:$K$20,9)/30))</f>
        <v>35.771654168051867</v>
      </c>
      <c r="AQ131" s="172">
        <f ca="1">(VLOOKUP(AQ$72,INDIRECT($C$5&amp;"生成成长"),2))/((VLOOKUP($B131,INDIRECT($B$5&amp;"生成成长"),4))/(VLOOKUP(AQ$72,INDIRECT($C$5&amp;"生成成长"),5))*(VLOOKUP($B$5,标准坦克设计!$B$24:$U$30,MATCH("对"&amp;LEFT($C$5,2)&amp;"输出",标准坦克设计!$B$23:$U$23,0)))*(VLOOKUP($B131,INDIRECT($B$5&amp;"生成成长"),3))*(VLOOKUP($B$5,标准坦克设计!$B$14:$K$20,9)/30))</f>
        <v>38.313613689734247</v>
      </c>
      <c r="AR131" s="172">
        <f ca="1">(VLOOKUP(AR$72,INDIRECT($C$5&amp;"生成成长"),2))/((VLOOKUP($B131,INDIRECT($B$5&amp;"生成成长"),4))/(VLOOKUP(AR$72,INDIRECT($C$5&amp;"生成成长"),5))*(VLOOKUP($B$5,标准坦克设计!$B$24:$U$30,MATCH("对"&amp;LEFT($C$5,2)&amp;"输出",标准坦克设计!$B$23:$U$23,0)))*(VLOOKUP($B131,INDIRECT($B$5&amp;"生成成长"),3))*(VLOOKUP($B$5,标准坦克设计!$B$14:$K$20,9)/30))</f>
        <v>40.942816751942381</v>
      </c>
      <c r="AS131" s="172">
        <f ca="1">(VLOOKUP(AS$72,INDIRECT($C$5&amp;"生成成长"),2))/((VLOOKUP($B131,INDIRECT($B$5&amp;"生成成长"),4))/(VLOOKUP(AS$72,INDIRECT($C$5&amp;"生成成长"),5))*(VLOOKUP($B$5,标准坦克设计!$B$24:$U$30,MATCH("对"&amp;LEFT($C$5,2)&amp;"输出",标准坦克设计!$B$23:$U$23,0)))*(VLOOKUP($B131,INDIRECT($B$5&amp;"生成成长"),3))*(VLOOKUP($B$5,标准坦克设计!$B$14:$K$20,9)/30))</f>
        <v>43.659263354676291</v>
      </c>
      <c r="AT131" s="172">
        <f ca="1">(VLOOKUP(AT$72,INDIRECT($C$5&amp;"生成成长"),2))/((VLOOKUP($B131,INDIRECT($B$5&amp;"生成成长"),4))/(VLOOKUP(AT$72,INDIRECT($C$5&amp;"生成成长"),5))*(VLOOKUP($B$5,标准坦克设计!$B$24:$U$30,MATCH("对"&amp;LEFT($C$5,2)&amp;"输出",标准坦克设计!$B$23:$U$23,0)))*(VLOOKUP($B131,INDIRECT($B$5&amp;"生成成长"),3))*(VLOOKUP($B$5,标准坦克设计!$B$14:$K$20,9)/30))</f>
        <v>46.462953497935942</v>
      </c>
      <c r="AU131" s="172">
        <f ca="1">(VLOOKUP(AU$72,INDIRECT($C$5&amp;"生成成长"),2))/((VLOOKUP($B131,INDIRECT($B$5&amp;"生成成长"),4))/(VLOOKUP(AU$72,INDIRECT($C$5&amp;"生成成长"),5))*(VLOOKUP($B$5,标准坦克设计!$B$24:$U$30,MATCH("对"&amp;LEFT($C$5,2)&amp;"输出",标准坦克设计!$B$23:$U$23,0)))*(VLOOKUP($B131,INDIRECT($B$5&amp;"生成成长"),3))*(VLOOKUP($B$5,标准坦克设计!$B$14:$K$20,9)/30))</f>
        <v>49.353887181721355</v>
      </c>
      <c r="AV131" s="172">
        <f ca="1">(VLOOKUP(AV$72,INDIRECT($C$5&amp;"生成成长"),2))/((VLOOKUP($B131,INDIRECT($B$5&amp;"生成成长"),4))/(VLOOKUP(AV$72,INDIRECT($C$5&amp;"生成成长"),5))*(VLOOKUP($B$5,标准坦克设计!$B$24:$U$30,MATCH("对"&amp;LEFT($C$5,2)&amp;"输出",标准坦克设计!$B$23:$U$23,0)))*(VLOOKUP($B131,INDIRECT($B$5&amp;"生成成长"),3))*(VLOOKUP($B$5,标准坦克设计!$B$14:$K$20,9)/30))</f>
        <v>5.0197481747135733</v>
      </c>
      <c r="AW131" s="172">
        <f ca="1">(VLOOKUP(AW$72,INDIRECT($C$5&amp;"生成成长"),2))/((VLOOKUP($B131,INDIRECT($B$5&amp;"生成成长"),4))/(VLOOKUP(AW$72,INDIRECT($C$5&amp;"生成成长"),5))*(VLOOKUP($B$5,标准坦克设计!$B$24:$U$30,MATCH("对"&amp;LEFT($C$5,2)&amp;"输出",标准坦克设计!$B$23:$U$23,0)))*(VLOOKUP($B131,INDIRECT($B$5&amp;"生成成长"),3))*(VLOOKUP($B$5,标准坦克设计!$B$14:$K$20,9)/30))</f>
        <v>5.7234646668882982</v>
      </c>
      <c r="AX131" s="172">
        <f ca="1">(VLOOKUP(AX$72,INDIRECT($C$5&amp;"生成成长"),2))/((VLOOKUP($B131,INDIRECT($B$5&amp;"生成成长"),4))/(VLOOKUP(AX$72,INDIRECT($C$5&amp;"生成成长"),5))*(VLOOKUP($B$5,标准坦克设计!$B$24:$U$30,MATCH("对"&amp;LEFT($C$5,2)&amp;"输出",标准坦克设计!$B$23:$U$23,0)))*(VLOOKUP($B131,INDIRECT($B$5&amp;"生成成长"),3))*(VLOOKUP($B$5,标准坦克设计!$B$14:$K$20,9)/30))</f>
        <v>6.4733265028121902</v>
      </c>
      <c r="AY131" s="172">
        <f ca="1">(VLOOKUP(AY$72,INDIRECT($C$5&amp;"生成成长"),2))/((VLOOKUP($B131,INDIRECT($B$5&amp;"生成成长"),4))/(VLOOKUP(AY$72,INDIRECT($C$5&amp;"生成成长"),5))*(VLOOKUP($B$5,标准坦克设计!$B$24:$U$30,MATCH("对"&amp;LEFT($C$5,2)&amp;"输出",标准坦克设计!$B$23:$U$23,0)))*(VLOOKUP($B131,INDIRECT($B$5&amp;"生成成长"),3))*(VLOOKUP($B$5,标准坦克设计!$B$14:$K$20,9)/30))</f>
        <v>7.2693336824852395</v>
      </c>
      <c r="AZ131" s="172">
        <f ca="1">(VLOOKUP(AZ$72,INDIRECT($C$5&amp;"生成成长"),2))/((VLOOKUP($B131,INDIRECT($B$5&amp;"生成成长"),4))/(VLOOKUP(AZ$72,INDIRECT($C$5&amp;"生成成长"),5))*(VLOOKUP($B$5,标准坦克设计!$B$24:$U$30,MATCH("对"&amp;LEFT($C$5,2)&amp;"输出",标准坦克设计!$B$23:$U$23,0)))*(VLOOKUP($B131,INDIRECT($B$5&amp;"生成成长"),3))*(VLOOKUP($B$5,标准坦克设计!$B$14:$K$20,9)/30))</f>
        <v>8.1114862059074522</v>
      </c>
      <c r="BA131" s="172">
        <f ca="1">(VLOOKUP(BA$72,INDIRECT($C$5&amp;"生成成长"),2))/((VLOOKUP($B131,INDIRECT($B$5&amp;"生成成长"),4))/(VLOOKUP(BA$72,INDIRECT($C$5&amp;"生成成长"),5))*(VLOOKUP($B$5,标准坦克设计!$B$24:$U$30,MATCH("对"&amp;LEFT($C$5,2)&amp;"输出",标准坦克设计!$B$23:$U$23,0)))*(VLOOKUP($B131,INDIRECT($B$5&amp;"生成成长"),3))*(VLOOKUP($B$5,标准坦克设计!$B$14:$K$20,9)/30))</f>
        <v>8.9997840730788301</v>
      </c>
      <c r="BB131" s="172">
        <f ca="1">(VLOOKUP(BB$72,INDIRECT($C$5&amp;"生成成长"),2))/((VLOOKUP($B131,INDIRECT($B$5&amp;"生成成长"),4))/(VLOOKUP(BB$72,INDIRECT($C$5&amp;"生成成长"),5))*(VLOOKUP($B$5,标准坦克设计!$B$24:$U$30,MATCH("对"&amp;LEFT($C$5,2)&amp;"输出",标准坦克设计!$B$23:$U$23,0)))*(VLOOKUP($B131,INDIRECT($B$5&amp;"生成成长"),3))*(VLOOKUP($B$5,标准坦克设计!$B$14:$K$20,9)/30))</f>
        <v>9.9342272839993697</v>
      </c>
      <c r="BC131" s="172">
        <f ca="1">(VLOOKUP(BC$72,INDIRECT($C$5&amp;"生成成长"),2))/((VLOOKUP($B131,INDIRECT($B$5&amp;"生成成长"),4))/(VLOOKUP(BC$72,INDIRECT($C$5&amp;"生成成长"),5))*(VLOOKUP($B$5,标准坦克设计!$B$24:$U$30,MATCH("对"&amp;LEFT($C$5,2)&amp;"输出",标准坦克设计!$B$23:$U$23,0)))*(VLOOKUP($B131,INDIRECT($B$5&amp;"生成成长"),3))*(VLOOKUP($B$5,标准坦克设计!$B$14:$K$20,9)/30))</f>
        <v>10.914815838669073</v>
      </c>
      <c r="BD131" s="172">
        <f ca="1">(VLOOKUP(BD$72,INDIRECT($C$5&amp;"生成成长"),2))/((VLOOKUP($B131,INDIRECT($B$5&amp;"生成成长"),4))/(VLOOKUP(BD$72,INDIRECT($C$5&amp;"生成成长"),5))*(VLOOKUP($B$5,标准坦克设计!$B$24:$U$30,MATCH("对"&amp;LEFT($C$5,2)&amp;"输出",标准坦克设计!$B$23:$U$23,0)))*(VLOOKUP($B131,INDIRECT($B$5&amp;"生成成长"),3))*(VLOOKUP($B$5,标准坦克设计!$B$14:$K$20,9)/30))</f>
        <v>12.073136068872655</v>
      </c>
      <c r="BE131" s="172">
        <f ca="1">(VLOOKUP(BE$72,INDIRECT($C$5&amp;"生成成长"),2))/((VLOOKUP($B131,INDIRECT($B$5&amp;"生成成长"),4))/(VLOOKUP(BE$72,INDIRECT($C$5&amp;"生成成长"),5))*(VLOOKUP($B$5,标准坦克设计!$B$24:$U$30,MATCH("对"&amp;LEFT($C$5,2)&amp;"输出",标准坦克设计!$B$23:$U$23,0)))*(VLOOKUP($B131,INDIRECT($B$5&amp;"生成成长"),3))*(VLOOKUP($B$5,标准坦克设计!$B$14:$K$20,9)/30))</f>
        <v>13.289858999758772</v>
      </c>
      <c r="BF131" s="172">
        <f ca="1">(VLOOKUP(BF$72,INDIRECT($C$5&amp;"生成成长"),2))/((VLOOKUP($B131,INDIRECT($B$5&amp;"生成成长"),4))/(VLOOKUP(BF$72,INDIRECT($C$5&amp;"生成成长"),5))*(VLOOKUP($B$5,标准坦克设计!$B$24:$U$30,MATCH("对"&amp;LEFT($C$5,2)&amp;"输出",标准坦克设计!$B$23:$U$23,0)))*(VLOOKUP($B131,INDIRECT($B$5&amp;"生成成长"),3))*(VLOOKUP($B$5,标准坦克设计!$B$14:$K$20,9)/30))</f>
        <v>14.564984631327423</v>
      </c>
      <c r="BG131" s="172">
        <f ca="1">(VLOOKUP(BG$72,INDIRECT($C$5&amp;"生成成长"),2))/((VLOOKUP($B131,INDIRECT($B$5&amp;"生成成长"),4))/(VLOOKUP(BG$72,INDIRECT($C$5&amp;"生成成长"),5))*(VLOOKUP($B$5,标准坦克设计!$B$24:$U$30,MATCH("对"&amp;LEFT($C$5,2)&amp;"输出",标准坦克设计!$B$23:$U$23,0)))*(VLOOKUP($B131,INDIRECT($B$5&amp;"生成成长"),3))*(VLOOKUP($B$5,标准坦克设计!$B$14:$K$20,9)/30))</f>
        <v>15.898512963578607</v>
      </c>
      <c r="BH131" s="172">
        <f ca="1">(VLOOKUP(BH$72,INDIRECT($C$5&amp;"生成成长"),2))/((VLOOKUP($B131,INDIRECT($B$5&amp;"生成成长"),4))/(VLOOKUP(BH$72,INDIRECT($C$5&amp;"生成成长"),5))*(VLOOKUP($B$5,标准坦克设计!$B$24:$U$30,MATCH("对"&amp;LEFT($C$5,2)&amp;"输出",标准坦克设计!$B$23:$U$23,0)))*(VLOOKUP($B131,INDIRECT($B$5&amp;"生成成长"),3))*(VLOOKUP($B$5,标准坦克设计!$B$14:$K$20,9)/30))</f>
        <v>7.6846417762277008</v>
      </c>
      <c r="BI131" s="172">
        <f ca="1">(VLOOKUP(BI$72,INDIRECT($C$5&amp;"生成成长"),2))/((VLOOKUP($B131,INDIRECT($B$5&amp;"生成成长"),4))/(VLOOKUP(BI$72,INDIRECT($C$5&amp;"生成成长"),5))*(VLOOKUP($B$5,标准坦克设计!$B$24:$U$30,MATCH("对"&amp;LEFT($C$5,2)&amp;"输出",标准坦克设计!$B$23:$U$23,0)))*(VLOOKUP($B131,INDIRECT($B$5&amp;"生成成长"),3))*(VLOOKUP($B$5,标准坦克设计!$B$14:$K$20,9)/30))</f>
        <v>8.6612647154189588</v>
      </c>
      <c r="BJ131" s="172">
        <f ca="1">(VLOOKUP(BJ$72,INDIRECT($C$5&amp;"生成成长"),2))/((VLOOKUP($B131,INDIRECT($B$5&amp;"生成成长"),4))/(VLOOKUP(BJ$72,INDIRECT($C$5&amp;"生成成长"),5))*(VLOOKUP($B$5,标准坦克设计!$B$24:$U$30,MATCH("对"&amp;LEFT($C$5,2)&amp;"输出",标准坦克设计!$B$23:$U$23,0)))*(VLOOKUP($B131,INDIRECT($B$5&amp;"生成成长"),3))*(VLOOKUP($B$5,标准坦克设计!$B$14:$K$20,9)/30))</f>
        <v>9.6962903552927528</v>
      </c>
      <c r="BK131" s="172">
        <f ca="1">(VLOOKUP(BK$72,INDIRECT($C$5&amp;"生成成长"),2))/((VLOOKUP($B131,INDIRECT($B$5&amp;"生成成长"),4))/(VLOOKUP(BK$72,INDIRECT($C$5&amp;"生成成长"),5))*(VLOOKUP($B$5,标准坦克设计!$B$24:$U$30,MATCH("对"&amp;LEFT($C$5,2)&amp;"输出",标准坦克设计!$B$23:$U$23,0)))*(VLOOKUP($B131,INDIRECT($B$5&amp;"生成成长"),3))*(VLOOKUP($B$5,标准坦克设计!$B$14:$K$20,9)/30))</f>
        <v>10.789718695849077</v>
      </c>
      <c r="BL131" s="172">
        <f ca="1">(VLOOKUP(BL$72,INDIRECT($C$5&amp;"生成成长"),2))/((VLOOKUP($B131,INDIRECT($B$5&amp;"生成成长"),4))/(VLOOKUP(BL$72,INDIRECT($C$5&amp;"生成成长"),5))*(VLOOKUP($B$5,标准坦克设计!$B$24:$U$30,MATCH("对"&amp;LEFT($C$5,2)&amp;"输出",标准坦克设计!$B$23:$U$23,0)))*(VLOOKUP($B131,INDIRECT($B$5&amp;"生成成长"),3))*(VLOOKUP($B$5,标准坦克设计!$B$14:$K$20,9)/30))</f>
        <v>11.941549737087934</v>
      </c>
      <c r="BM131" s="172">
        <f ca="1">(VLOOKUP(BM$72,INDIRECT($C$5&amp;"生成成长"),2))/((VLOOKUP($B131,INDIRECT($B$5&amp;"生成成长"),4))/(VLOOKUP(BM$72,INDIRECT($C$5&amp;"生成成长"),5))*(VLOOKUP($B$5,标准坦克设计!$B$24:$U$30,MATCH("对"&amp;LEFT($C$5,2)&amp;"输出",标准坦克设计!$B$23:$U$23,0)))*(VLOOKUP($B131,INDIRECT($B$5&amp;"生成成长"),3))*(VLOOKUP($B$5,标准坦克设计!$B$14:$K$20,9)/30))</f>
        <v>13.151783479009326</v>
      </c>
      <c r="BN131" s="172">
        <f ca="1">(VLOOKUP(BN$72,INDIRECT($C$5&amp;"生成成长"),2))/((VLOOKUP($B131,INDIRECT($B$5&amp;"生成成长"),4))/(VLOOKUP(BN$72,INDIRECT($C$5&amp;"生成成长"),5))*(VLOOKUP($B$5,标准坦克设计!$B$24:$U$30,MATCH("对"&amp;LEFT($C$5,2)&amp;"输出",标准坦克设计!$B$23:$U$23,0)))*(VLOOKUP($B131,INDIRECT($B$5&amp;"生成成长"),3))*(VLOOKUP($B$5,标准坦克设计!$B$14:$K$20,9)/30))</f>
        <v>14.420419921613252</v>
      </c>
      <c r="BO131" s="172">
        <f ca="1">(VLOOKUP(BO$72,INDIRECT($C$5&amp;"生成成长"),2))/((VLOOKUP($B131,INDIRECT($B$5&amp;"生成成长"),4))/(VLOOKUP(BO$72,INDIRECT($C$5&amp;"生成成长"),5))*(VLOOKUP($B$5,标准坦克设计!$B$24:$U$30,MATCH("对"&amp;LEFT($C$5,2)&amp;"输出",标准坦克设计!$B$23:$U$23,0)))*(VLOOKUP($B131,INDIRECT($B$5&amp;"生成成长"),3))*(VLOOKUP($B$5,标准坦克设计!$B$14:$K$20,9)/30))</f>
        <v>15.747459064899711</v>
      </c>
      <c r="BP131" s="172">
        <f ca="1">(VLOOKUP(BP$72,INDIRECT($C$5&amp;"生成成长"),2))/((VLOOKUP($B131,INDIRECT($B$5&amp;"生成成长"),4))/(VLOOKUP(BP$72,INDIRECT($C$5&amp;"生成成长"),5))*(VLOOKUP($B$5,标准坦克设计!$B$24:$U$30,MATCH("对"&amp;LEFT($C$5,2)&amp;"输出",标准坦克设计!$B$23:$U$23,0)))*(VLOOKUP($B131,INDIRECT($B$5&amp;"生成成长"),3))*(VLOOKUP($B$5,标准坦克设计!$B$14:$K$20,9)/30))</f>
        <v>17.132900908868702</v>
      </c>
      <c r="BQ131" s="172">
        <f ca="1">(VLOOKUP(BQ$72,INDIRECT($C$5&amp;"生成成长"),2))/((VLOOKUP($B131,INDIRECT($B$5&amp;"生成成长"),4))/(VLOOKUP(BQ$72,INDIRECT($C$5&amp;"生成成长"),5))*(VLOOKUP($B$5,标准坦克设计!$B$24:$U$30,MATCH("对"&amp;LEFT($C$5,2)&amp;"输出",标准坦克设计!$B$23:$U$23,0)))*(VLOOKUP($B131,INDIRECT($B$5&amp;"生成成长"),3))*(VLOOKUP($B$5,标准坦克设计!$B$14:$K$20,9)/30))</f>
        <v>18.576745453520235</v>
      </c>
      <c r="BR131" s="172">
        <f ca="1">(VLOOKUP(BR$72,INDIRECT($C$5&amp;"生成成长"),2))/((VLOOKUP($B131,INDIRECT($B$5&amp;"生成成长"),4))/(VLOOKUP(BR$72,INDIRECT($C$5&amp;"生成成长"),5))*(VLOOKUP($B$5,标准坦克设计!$B$24:$U$30,MATCH("对"&amp;LEFT($C$5,2)&amp;"输出",标准坦克设计!$B$23:$U$23,0)))*(VLOOKUP($B131,INDIRECT($B$5&amp;"生成成长"),3))*(VLOOKUP($B$5,标准坦克设计!$B$14:$K$20,9)/30))</f>
        <v>20.249514164427367</v>
      </c>
      <c r="BS131" s="172">
        <f ca="1">(VLOOKUP(BS$72,INDIRECT($C$5&amp;"生成成长"),2))/((VLOOKUP($B131,INDIRECT($B$5&amp;"生成成长"),4))/(VLOOKUP(BS$72,INDIRECT($C$5&amp;"生成成长"),5))*(VLOOKUP($B$5,标准坦克设计!$B$24:$U$30,MATCH("对"&amp;LEFT($C$5,2)&amp;"输出",标准坦克设计!$B$23:$U$23,0)))*(VLOOKUP($B131,INDIRECT($B$5&amp;"生成成长"),3))*(VLOOKUP($B$5,标准坦克设计!$B$14:$K$20,9)/30))</f>
        <v>21.994384974942573</v>
      </c>
      <c r="BT131" s="172">
        <f ca="1">(VLOOKUP(BT$72,INDIRECT($C$5&amp;"生成成长"),2))/((VLOOKUP($B131,INDIRECT($B$5&amp;"生成成长"),4))/(VLOOKUP(BT$72,INDIRECT($C$5&amp;"生成成长"),5))*(VLOOKUP($B$5,标准坦克设计!$B$24:$U$30,MATCH("对"&amp;LEFT($C$5,2)&amp;"输出",标准坦克设计!$B$23:$U$23,0)))*(VLOOKUP($B131,INDIRECT($B$5&amp;"生成成长"),3))*(VLOOKUP($B$5,标准坦克设计!$B$14:$K$20,9)/30))</f>
        <v>23.811357885065842</v>
      </c>
      <c r="BU131" s="172">
        <f ca="1">(VLOOKUP(BU$72,INDIRECT($C$5&amp;"生成成长"),2))/((VLOOKUP($B131,INDIRECT($B$5&amp;"生成成长"),4))/(VLOOKUP(BU$72,INDIRECT($C$5&amp;"生成成长"),5))*(VLOOKUP($B$5,标准坦克设计!$B$24:$U$30,MATCH("对"&amp;LEFT($C$5,2)&amp;"输出",标准坦克设计!$B$23:$U$23,0)))*(VLOOKUP($B131,INDIRECT($B$5&amp;"生成成长"),3))*(VLOOKUP($B$5,标准坦克设计!$B$14:$K$20,9)/30))</f>
        <v>25.700432894797174</v>
      </c>
      <c r="BV131" s="172">
        <f ca="1">(VLOOKUP(BV$72,INDIRECT($C$5&amp;"生成成长"),2))/((VLOOKUP($B131,INDIRECT($B$5&amp;"生成成长"),4))/(VLOOKUP(BV$72,INDIRECT($C$5&amp;"生成成长"),5))*(VLOOKUP($B$5,标准坦克设计!$B$24:$U$30,MATCH("对"&amp;LEFT($C$5,2)&amp;"输出",标准坦克设计!$B$23:$U$23,0)))*(VLOOKUP($B131,INDIRECT($B$5&amp;"生成成长"),3))*(VLOOKUP($B$5,标准坦克设计!$B$14:$K$20,9)/30))</f>
        <v>27.66161000413658</v>
      </c>
      <c r="BW131" s="172">
        <f ca="1">(VLOOKUP(BW$72,INDIRECT($C$5&amp;"生成成长"),2))/((VLOOKUP($B131,INDIRECT($B$5&amp;"生成成长"),4))/(VLOOKUP(BW$72,INDIRECT($C$5&amp;"生成成长"),5))*(VLOOKUP($B$5,标准坦克设计!$B$24:$U$30,MATCH("对"&amp;LEFT($C$5,2)&amp;"输出",标准坦克设计!$B$23:$U$23,0)))*(VLOOKUP($B131,INDIRECT($B$5&amp;"生成成长"),3))*(VLOOKUP($B$5,标准坦克设计!$B$14:$K$20,9)/30))</f>
        <v>12.606691605972346</v>
      </c>
      <c r="BX131" s="172">
        <f ca="1">(VLOOKUP(BX$72,INDIRECT($C$5&amp;"生成成长"),2))/((VLOOKUP($B131,INDIRECT($B$5&amp;"生成成长"),4))/(VLOOKUP(BX$72,INDIRECT($C$5&amp;"生成成长"),5))*(VLOOKUP($B$5,标准坦克设计!$B$24:$U$30,MATCH("对"&amp;LEFT($C$5,2)&amp;"输出",标准坦克设计!$B$23:$U$23,0)))*(VLOOKUP($B131,INDIRECT($B$5&amp;"生成成长"),3))*(VLOOKUP($B$5,标准坦克设计!$B$14:$K$20,9)/30))</f>
        <v>13.991051918447216</v>
      </c>
      <c r="BY131" s="172">
        <f ca="1">(VLOOKUP(BY$72,INDIRECT($C$5&amp;"生成成长"),2))/((VLOOKUP($B131,INDIRECT($B$5&amp;"生成成长"),4))/(VLOOKUP(BY$72,INDIRECT($C$5&amp;"生成成长"),5))*(VLOOKUP($B$5,标准坦克设计!$B$24:$U$30,MATCH("对"&amp;LEFT($C$5,2)&amp;"输出",标准坦克设计!$B$23:$U$23,0)))*(VLOOKUP($B131,INDIRECT($B$5&amp;"生成成长"),3))*(VLOOKUP($B$5,标准坦克设计!$B$14:$K$20,9)/30))</f>
        <v>15.447514330530156</v>
      </c>
      <c r="BZ131" s="172">
        <f ca="1">(VLOOKUP(BZ$72,INDIRECT($C$5&amp;"生成成长"),2))/((VLOOKUP($B131,INDIRECT($B$5&amp;"生成成长"),4))/(VLOOKUP(BZ$72,INDIRECT($C$5&amp;"生成成长"),5))*(VLOOKUP($B$5,标准坦克设计!$B$24:$U$30,MATCH("对"&amp;LEFT($C$5,2)&amp;"输出",标准坦克设计!$B$23:$U$23,0)))*(VLOOKUP($B131,INDIRECT($B$5&amp;"生成成长"),3))*(VLOOKUP($B$5,标准坦克设计!$B$14:$K$20,9)/30))</f>
        <v>16.97607884222116</v>
      </c>
      <c r="CA131" s="172">
        <f ca="1">(VLOOKUP(CA$72,INDIRECT($C$5&amp;"生成成长"),2))/((VLOOKUP($B131,INDIRECT($B$5&amp;"生成成长"),4))/(VLOOKUP(CA$72,INDIRECT($C$5&amp;"生成成长"),5))*(VLOOKUP($B$5,标准坦克设计!$B$24:$U$30,MATCH("对"&amp;LEFT($C$5,2)&amp;"输出",标准坦克设计!$B$23:$U$23,0)))*(VLOOKUP($B131,INDIRECT($B$5&amp;"生成成长"),3))*(VLOOKUP($B$5,标准坦克设计!$B$14:$K$20,9)/30))</f>
        <v>18.576745453520235</v>
      </c>
      <c r="CB131" s="172">
        <f ca="1">(VLOOKUP(CB$72,INDIRECT($C$5&amp;"生成成长"),2))/((VLOOKUP($B131,INDIRECT($B$5&amp;"生成成长"),4))/(VLOOKUP(CB$72,INDIRECT($C$5&amp;"生成成长"),5))*(VLOOKUP($B$5,标准坦克设计!$B$24:$U$30,MATCH("对"&amp;LEFT($C$5,2)&amp;"输出",标准坦克设计!$B$23:$U$23,0)))*(VLOOKUP($B131,INDIRECT($B$5&amp;"生成成长"),3))*(VLOOKUP($B$5,标准坦克设计!$B$14:$K$20,9)/30))</f>
        <v>20.249514164427367</v>
      </c>
      <c r="CC131" s="172">
        <f ca="1">(VLOOKUP(CC$72,INDIRECT($C$5&amp;"生成成长"),2))/((VLOOKUP($B131,INDIRECT($B$5&amp;"生成成长"),4))/(VLOOKUP(CC$72,INDIRECT($C$5&amp;"生成成长"),5))*(VLOOKUP($B$5,标准坦克设计!$B$24:$U$30,MATCH("对"&amp;LEFT($C$5,2)&amp;"输出",标准坦克设计!$B$23:$U$23,0)))*(VLOOKUP($B131,INDIRECT($B$5&amp;"生成成长"),3))*(VLOOKUP($B$5,标准坦克设计!$B$14:$K$20,9)/30))</f>
        <v>21.994384974942573</v>
      </c>
      <c r="CD131" s="172">
        <f ca="1">(VLOOKUP(CD$72,INDIRECT($C$5&amp;"生成成长"),2))/((VLOOKUP($B131,INDIRECT($B$5&amp;"生成成长"),4))/(VLOOKUP(CD$72,INDIRECT($C$5&amp;"生成成长"),5))*(VLOOKUP($B$5,标准坦克设计!$B$24:$U$30,MATCH("对"&amp;LEFT($C$5,2)&amp;"输出",标准坦克设计!$B$23:$U$23,0)))*(VLOOKUP($B131,INDIRECT($B$5&amp;"生成成长"),3))*(VLOOKUP($B$5,标准坦克设计!$B$14:$K$20,9)/30))</f>
        <v>23.811357885065842</v>
      </c>
      <c r="CE131" s="172">
        <f ca="1">(VLOOKUP(CE$72,INDIRECT($C$5&amp;"生成成长"),2))/((VLOOKUP($B131,INDIRECT($B$5&amp;"生成成长"),4))/(VLOOKUP(CE$72,INDIRECT($C$5&amp;"生成成长"),5))*(VLOOKUP($B$5,标准坦克设计!$B$24:$U$30,MATCH("对"&amp;LEFT($C$5,2)&amp;"输出",标准坦克设计!$B$23:$U$23,0)))*(VLOOKUP($B131,INDIRECT($B$5&amp;"生成成长"),3))*(VLOOKUP($B$5,标准坦克设计!$B$14:$K$20,9)/30))</f>
        <v>25.700432894797174</v>
      </c>
      <c r="CF131" s="172">
        <f ca="1">(VLOOKUP(CF$72,INDIRECT($C$5&amp;"生成成长"),2))/((VLOOKUP($B131,INDIRECT($B$5&amp;"生成成长"),4))/(VLOOKUP(CF$72,INDIRECT($C$5&amp;"生成成长"),5))*(VLOOKUP($B$5,标准坦克设计!$B$24:$U$30,MATCH("对"&amp;LEFT($C$5,2)&amp;"输出",标准坦克设计!$B$23:$U$23,0)))*(VLOOKUP($B131,INDIRECT($B$5&amp;"生成成长"),3))*(VLOOKUP($B$5,标准坦克设计!$B$14:$K$20,9)/30))</f>
        <v>27.66161000413658</v>
      </c>
      <c r="CG131" s="172">
        <f ca="1">(VLOOKUP(CG$72,INDIRECT($C$5&amp;"生成成长"),2))/((VLOOKUP($B131,INDIRECT($B$5&amp;"生成成长"),4))/(VLOOKUP(CG$72,INDIRECT($C$5&amp;"生成成长"),5))*(VLOOKUP($B$5,标准坦克设计!$B$24:$U$30,MATCH("对"&amp;LEFT($C$5,2)&amp;"输出",标准坦克设计!$B$23:$U$23,0)))*(VLOOKUP($B131,INDIRECT($B$5&amp;"生成成长"),3))*(VLOOKUP($B$5,标准坦克设计!$B$14:$K$20,9)/30))</f>
        <v>29.69488921308405</v>
      </c>
      <c r="CH131" s="172">
        <f ca="1">(VLOOKUP(CH$72,INDIRECT($C$5&amp;"生成成长"),2))/((VLOOKUP($B131,INDIRECT($B$5&amp;"生成成长"),4))/(VLOOKUP(CH$72,INDIRECT($C$5&amp;"生成成长"),5))*(VLOOKUP($B$5,标准坦克设计!$B$24:$U$30,MATCH("对"&amp;LEFT($C$5,2)&amp;"输出",标准坦克设计!$B$23:$U$23,0)))*(VLOOKUP($B131,INDIRECT($B$5&amp;"生成成长"),3))*(VLOOKUP($B$5,标准坦克设计!$B$14:$K$20,9)/30))</f>
        <v>31.80027052163959</v>
      </c>
      <c r="CI131" s="172">
        <f ca="1">(VLOOKUP(CI$72,INDIRECT($C$5&amp;"生成成长"),2))/((VLOOKUP($B131,INDIRECT($B$5&amp;"生成成长"),4))/(VLOOKUP(CI$72,INDIRECT($C$5&amp;"生成成长"),5))*(VLOOKUP($B$5,标准坦克设计!$B$24:$U$30,MATCH("对"&amp;LEFT($C$5,2)&amp;"输出",标准坦克设计!$B$23:$U$23,0)))*(VLOOKUP($B131,INDIRECT($B$5&amp;"生成成长"),3))*(VLOOKUP($B$5,标准坦克设计!$B$14:$K$20,9)/30))</f>
        <v>34.199467886097985</v>
      </c>
      <c r="CJ131" s="172">
        <f ca="1">(VLOOKUP(CJ$72,INDIRECT($C$5&amp;"生成成长"),2))/((VLOOKUP($B131,INDIRECT($B$5&amp;"生成成长"),4))/(VLOOKUP(CJ$72,INDIRECT($C$5&amp;"生成成长"),5))*(VLOOKUP($B$5,标准坦克设计!$B$24:$U$30,MATCH("对"&amp;LEFT($C$5,2)&amp;"输出",标准坦克设计!$B$23:$U$23,0)))*(VLOOKUP($B131,INDIRECT($B$5&amp;"生成成长"),3))*(VLOOKUP($B$5,标准坦克设计!$B$14:$K$20,9)/30))</f>
        <v>36.685908791082156</v>
      </c>
      <c r="CK131" s="172">
        <f ca="1">(VLOOKUP(CK$72,INDIRECT($C$5&amp;"生成成长"),2))/((VLOOKUP($B131,INDIRECT($B$5&amp;"生成成长"),4))/(VLOOKUP(CK$72,INDIRECT($C$5&amp;"生成成长"),5))*(VLOOKUP($B$5,标准坦克设计!$B$24:$U$30,MATCH("对"&amp;LEFT($C$5,2)&amp;"输出",标准坦克设计!$B$23:$U$23,0)))*(VLOOKUP($B131,INDIRECT($B$5&amp;"生成成长"),3))*(VLOOKUP($B$5,标准坦克设计!$B$14:$K$20,9)/30))</f>
        <v>39.259593236592075</v>
      </c>
      <c r="CL131" s="172">
        <f ca="1">(VLOOKUP(CL$72,INDIRECT($C$5&amp;"生成成长"),2))/((VLOOKUP($B131,INDIRECT($B$5&amp;"生成成长"),4))/(VLOOKUP(CL$72,INDIRECT($C$5&amp;"生成成长"),5))*(VLOOKUP($B$5,标准坦克设计!$B$24:$U$30,MATCH("对"&amp;LEFT($C$5,2)&amp;"输出",标准坦克设计!$B$23:$U$23,0)))*(VLOOKUP($B131,INDIRECT($B$5&amp;"生成成长"),3))*(VLOOKUP($B$5,标准坦克设计!$B$14:$K$20,9)/30))</f>
        <v>41.920521222627762</v>
      </c>
      <c r="CM131" s="172">
        <f ca="1">(VLOOKUP(CM$72,INDIRECT($C$5&amp;"生成成长"),2))/((VLOOKUP($B131,INDIRECT($B$5&amp;"生成成长"),4))/(VLOOKUP(CM$72,INDIRECT($C$5&amp;"生成成长"),5))*(VLOOKUP($B$5,标准坦克设计!$B$24:$U$30,MATCH("对"&amp;LEFT($C$5,2)&amp;"输出",标准坦克设计!$B$23:$U$23,0)))*(VLOOKUP($B131,INDIRECT($B$5&amp;"生成成长"),3))*(VLOOKUP($B$5,标准坦克设计!$B$14:$K$20,9)/30))</f>
        <v>44.668692749189205</v>
      </c>
      <c r="CN131" s="172">
        <f ca="1">(VLOOKUP(CN$72,INDIRECT($C$5&amp;"生成成长"),2))/((VLOOKUP($B131,INDIRECT($B$5&amp;"生成成长"),4))/(VLOOKUP(CN$72,INDIRECT($C$5&amp;"生成成长"),5))*(VLOOKUP($B$5,标准坦克设计!$B$24:$U$30,MATCH("对"&amp;LEFT($C$5,2)&amp;"输出",标准坦克设计!$B$23:$U$23,0)))*(VLOOKUP($B131,INDIRECT($B$5&amp;"生成成长"),3))*(VLOOKUP($B$5,标准坦克设计!$B$14:$K$20,9)/30))</f>
        <v>47.504107816276409</v>
      </c>
      <c r="CO131" s="172">
        <f ca="1">(VLOOKUP(CO$72,INDIRECT($C$5&amp;"生成成长"),2))/((VLOOKUP($B131,INDIRECT($B$5&amp;"生成成长"),4))/(VLOOKUP(CO$72,INDIRECT($C$5&amp;"生成成长"),5))*(VLOOKUP($B$5,标准坦克设计!$B$24:$U$30,MATCH("对"&amp;LEFT($C$5,2)&amp;"输出",标准坦克设计!$B$23:$U$23,0)))*(VLOOKUP($B131,INDIRECT($B$5&amp;"生成成长"),3))*(VLOOKUP($B$5,标准坦克设计!$B$14:$K$20,9)/30))</f>
        <v>21.287784398783526</v>
      </c>
      <c r="CP131" s="172">
        <f ca="1">(VLOOKUP(CP$72,INDIRECT($C$5&amp;"生成成长"),2))/((VLOOKUP($B131,INDIRECT($B$5&amp;"生成成长"),4))/(VLOOKUP(CP$72,INDIRECT($C$5&amp;"生成成长"),5))*(VLOOKUP($B$5,标准坦克设计!$B$24:$U$30,MATCH("对"&amp;LEFT($C$5,2)&amp;"输出",标准坦克设计!$B$23:$U$23,0)))*(VLOOKUP($B131,INDIRECT($B$5&amp;"生成成长"),3))*(VLOOKUP($B$5,标准坦克设计!$B$14:$K$20,9)/30))</f>
        <v>23.258695291570014</v>
      </c>
      <c r="CQ131" s="172">
        <f ca="1">(VLOOKUP(CQ$72,INDIRECT($C$5&amp;"生成成长"),2))/((VLOOKUP($B131,INDIRECT($B$5&amp;"生成成长"),4))/(VLOOKUP(CQ$72,INDIRECT($C$5&amp;"生成成长"),5))*(VLOOKUP($B$5,标准坦克设计!$B$24:$U$30,MATCH("对"&amp;LEFT($C$5,2)&amp;"输出",标准坦克设计!$B$23:$U$23,0)))*(VLOOKUP($B131,INDIRECT($B$5&amp;"生成成长"),3))*(VLOOKUP($B$5,标准坦克设计!$B$14:$K$20,9)/30))</f>
        <v>25.316849724882264</v>
      </c>
      <c r="CR131" s="172">
        <f ca="1">(VLOOKUP(CR$72,INDIRECT($C$5&amp;"生成成长"),2))/((VLOOKUP($B131,INDIRECT($B$5&amp;"生成成长"),4))/(VLOOKUP(CR$72,INDIRECT($C$5&amp;"生成成长"),5))*(VLOOKUP($B$5,标准坦克设计!$B$24:$U$30,MATCH("对"&amp;LEFT($C$5,2)&amp;"输出",标准坦克设计!$B$23:$U$23,0)))*(VLOOKUP($B131,INDIRECT($B$5&amp;"生成成长"),3))*(VLOOKUP($B$5,标准坦克设计!$B$14:$K$20,9)/30))</f>
        <v>27.462247698720272</v>
      </c>
      <c r="CS131" s="172">
        <f ca="1">(VLOOKUP(CS$72,INDIRECT($C$5&amp;"生成成长"),2))/((VLOOKUP($B131,INDIRECT($B$5&amp;"生成成长"),4))/(VLOOKUP(CS$72,INDIRECT($C$5&amp;"生成成长"),5))*(VLOOKUP($B$5,标准坦克设计!$B$24:$U$30,MATCH("对"&amp;LEFT($C$5,2)&amp;"输出",标准坦克设计!$B$23:$U$23,0)))*(VLOOKUP($B131,INDIRECT($B$5&amp;"生成成长"),3))*(VLOOKUP($B$5,标准坦克设计!$B$14:$K$20,9)/30))</f>
        <v>29.69488921308405</v>
      </c>
      <c r="CT131" s="172">
        <f ca="1">(VLOOKUP(CT$72,INDIRECT($C$5&amp;"生成成长"),2))/((VLOOKUP($B131,INDIRECT($B$5&amp;"生成成长"),4))/(VLOOKUP(CT$72,INDIRECT($C$5&amp;"生成成长"),5))*(VLOOKUP($B$5,标准坦克设计!$B$24:$U$30,MATCH("对"&amp;LEFT($C$5,2)&amp;"输出",标准坦克设计!$B$23:$U$23,0)))*(VLOOKUP($B131,INDIRECT($B$5&amp;"生成成长"),3))*(VLOOKUP($B$5,标准坦克设计!$B$14:$K$20,9)/30))</f>
        <v>32.014774267973579</v>
      </c>
      <c r="CU131" s="172">
        <f ca="1">(VLOOKUP(CU$72,INDIRECT($C$5&amp;"生成成长"),2))/((VLOOKUP($B131,INDIRECT($B$5&amp;"生成成长"),4))/(VLOOKUP(CU$72,INDIRECT($C$5&amp;"生成成长"),5))*(VLOOKUP($B$5,标准坦克设计!$B$24:$U$30,MATCH("对"&amp;LEFT($C$5,2)&amp;"输出",标准坦克设计!$B$23:$U$23,0)))*(VLOOKUP($B131,INDIRECT($B$5&amp;"生成成长"),3))*(VLOOKUP($B$5,标准坦克设计!$B$14:$K$20,9)/30))</f>
        <v>34.421902863388873</v>
      </c>
      <c r="CV131" s="172">
        <f ca="1">(VLOOKUP(CV$72,INDIRECT($C$5&amp;"生成成长"),2))/((VLOOKUP($B131,INDIRECT($B$5&amp;"生成成长"),4))/(VLOOKUP(CV$72,INDIRECT($C$5&amp;"生成成长"),5))*(VLOOKUP($B$5,标准坦克设计!$B$24:$U$30,MATCH("对"&amp;LEFT($C$5,2)&amp;"输出",标准坦克设计!$B$23:$U$23,0)))*(VLOOKUP($B131,INDIRECT($B$5&amp;"生成成长"),3))*(VLOOKUP($B$5,标准坦克设计!$B$14:$K$20,9)/30))</f>
        <v>36.916274999329922</v>
      </c>
      <c r="CW131" s="172">
        <f ca="1">(VLOOKUP(CW$72,INDIRECT($C$5&amp;"生成成长"),2))/((VLOOKUP($B131,INDIRECT($B$5&amp;"生成成长"),4))/(VLOOKUP(CW$72,INDIRECT($C$5&amp;"生成成长"),5))*(VLOOKUP($B$5,标准坦克设计!$B$24:$U$30,MATCH("对"&amp;LEFT($C$5,2)&amp;"输出",标准坦克设计!$B$23:$U$23,0)))*(VLOOKUP($B131,INDIRECT($B$5&amp;"生成成长"),3))*(VLOOKUP($B$5,标准坦克设计!$B$14:$K$20,9)/30))</f>
        <v>39.497890675796739</v>
      </c>
      <c r="CX131" s="172">
        <f ca="1">(VLOOKUP(CX$72,INDIRECT($C$5&amp;"生成成长"),2))/((VLOOKUP($B131,INDIRECT($B$5&amp;"生成成长"),4))/(VLOOKUP(CX$72,INDIRECT($C$5&amp;"生成成长"),5))*(VLOOKUP($B$5,标准坦克设计!$B$24:$U$30,MATCH("对"&amp;LEFT($C$5,2)&amp;"输出",标准坦克设计!$B$23:$U$23,0)))*(VLOOKUP($B131,INDIRECT($B$5&amp;"生成成长"),3))*(VLOOKUP($B$5,标准坦克设计!$B$14:$K$20,9)/30))</f>
        <v>42.166749892789305</v>
      </c>
      <c r="CY131" s="172">
        <f ca="1">(VLOOKUP(CY$72,INDIRECT($C$5&amp;"生成成长"),2))/((VLOOKUP($B131,INDIRECT($B$5&amp;"生成成长"),4))/(VLOOKUP(CY$72,INDIRECT($C$5&amp;"生成成长"),5))*(VLOOKUP($B$5,标准坦克设计!$B$24:$U$30,MATCH("对"&amp;LEFT($C$5,2)&amp;"输出",标准坦克设计!$B$23:$U$23,0)))*(VLOOKUP($B131,INDIRECT($B$5&amp;"生成成长"),3))*(VLOOKUP($B$5,标准坦克设计!$B$14:$K$20,9)/30))</f>
        <v>44.92285265030764</v>
      </c>
      <c r="CZ131" s="172">
        <f ca="1">(VLOOKUP(CZ$72,INDIRECT($C$5&amp;"生成成长"),2))/((VLOOKUP($B131,INDIRECT($B$5&amp;"生成成长"),4))/(VLOOKUP(CZ$72,INDIRECT($C$5&amp;"生成成长"),5))*(VLOOKUP($B$5,标准坦克设计!$B$24:$U$30,MATCH("对"&amp;LEFT($C$5,2)&amp;"输出",标准坦克设计!$B$23:$U$23,0)))*(VLOOKUP($B131,INDIRECT($B$5&amp;"生成成长"),3))*(VLOOKUP($B$5,标准坦克设计!$B$14:$K$20,9)/30))</f>
        <v>47.766198948351736</v>
      </c>
      <c r="DA131" s="172">
        <f ca="1">(VLOOKUP(DA$72,INDIRECT($C$5&amp;"生成成长"),2))/((VLOOKUP($B131,INDIRECT($B$5&amp;"生成成长"),4))/(VLOOKUP(DA$72,INDIRECT($C$5&amp;"生成成长"),5))*(VLOOKUP($B$5,标准坦克设计!$B$24:$U$30,MATCH("对"&amp;LEFT($C$5,2)&amp;"输出",标准坦克设计!$B$23:$U$23,0)))*(VLOOKUP($B131,INDIRECT($B$5&amp;"生成成长"),3))*(VLOOKUP($B$5,标准坦克设计!$B$14:$K$20,9)/30))</f>
        <v>50.696788786921594</v>
      </c>
      <c r="DB131" s="172">
        <f ca="1">(VLOOKUP(DB$72,INDIRECT($C$5&amp;"生成成长"),2))/((VLOOKUP($B131,INDIRECT($B$5&amp;"生成成长"),4))/(VLOOKUP(DB$72,INDIRECT($C$5&amp;"生成成长"),5))*(VLOOKUP($B$5,标准坦克设计!$B$24:$U$30,MATCH("对"&amp;LEFT($C$5,2)&amp;"输出",标准坦克设计!$B$23:$U$23,0)))*(VLOOKUP($B131,INDIRECT($B$5&amp;"生成成长"),3))*(VLOOKUP($B$5,标准坦克设计!$B$14:$K$20,9)/30))</f>
        <v>53.714622166017193</v>
      </c>
      <c r="DC131" s="172">
        <f ca="1">(VLOOKUP(DC$72,INDIRECT($C$5&amp;"生成成长"),2))/((VLOOKUP($B131,INDIRECT($B$5&amp;"生成成长"),4))/(VLOOKUP(DC$72,INDIRECT($C$5&amp;"生成成长"),5))*(VLOOKUP($B$5,标准坦克设计!$B$24:$U$30,MATCH("对"&amp;LEFT($C$5,2)&amp;"输出",标准坦克设计!$B$23:$U$23,0)))*(VLOOKUP($B131,INDIRECT($B$5&amp;"生成成长"),3))*(VLOOKUP($B$5,标准坦克设计!$B$14:$K$20,9)/30))</f>
        <v>57.106304931580638</v>
      </c>
      <c r="DD131" s="172">
        <f ca="1">(VLOOKUP(DD$72,INDIRECT($C$5&amp;"生成成长"),2))/((VLOOKUP($B131,INDIRECT($B$5&amp;"生成成长"),4))/(VLOOKUP(DD$72,INDIRECT($C$5&amp;"生成成长"),5))*(VLOOKUP($B$5,标准坦克设计!$B$24:$U$30,MATCH("对"&amp;LEFT($C$5,2)&amp;"输出",标准坦克设计!$B$23:$U$23,0)))*(VLOOKUP($B131,INDIRECT($B$5&amp;"生成成长"),3))*(VLOOKUP($B$5,标准坦克设计!$B$14:$K$20,9)/30))</f>
        <v>60.601814720579682</v>
      </c>
      <c r="DE131" s="172">
        <f ca="1">(VLOOKUP(DE$72,INDIRECT($C$5&amp;"生成成长"),2))/((VLOOKUP($B131,INDIRECT($B$5&amp;"生成成长"),4))/(VLOOKUP(DE$72,INDIRECT($C$5&amp;"生成成长"),5))*(VLOOKUP($B$5,标准坦克设计!$B$24:$U$30,MATCH("对"&amp;LEFT($C$5,2)&amp;"输出",标准坦克设计!$B$23:$U$23,0)))*(VLOOKUP($B131,INDIRECT($B$5&amp;"生成成长"),3))*(VLOOKUP($B$5,标准坦克设计!$B$14:$K$20,9)/30))</f>
        <v>64.201151533014354</v>
      </c>
      <c r="DF131" s="172">
        <f ca="1">(VLOOKUP(DF$72,INDIRECT($C$5&amp;"生成成长"),2))/((VLOOKUP($B131,INDIRECT($B$5&amp;"生成成长"),4))/(VLOOKUP(DF$72,INDIRECT($C$5&amp;"生成成长"),5))*(VLOOKUP($B$5,标准坦克设计!$B$24:$U$30,MATCH("对"&amp;LEFT($C$5,2)&amp;"输出",标准坦克设计!$B$23:$U$23,0)))*(VLOOKUP($B131,INDIRECT($B$5&amp;"生成成长"),3))*(VLOOKUP($B$5,标准坦克设计!$B$14:$K$20,9)/30))</f>
        <v>67.904315368884639</v>
      </c>
      <c r="DG131" s="172">
        <f ca="1">(VLOOKUP(DG$72,INDIRECT($C$5&amp;"生成成长"),2))/((VLOOKUP($B131,INDIRECT($B$5&amp;"生成成长"),4))/(VLOOKUP(DG$72,INDIRECT($C$5&amp;"生成成长"),5))*(VLOOKUP($B$5,标准坦克设计!$B$24:$U$30,MATCH("对"&amp;LEFT($C$5,2)&amp;"输出",标准坦克设计!$B$23:$U$23,0)))*(VLOOKUP($B131,INDIRECT($B$5&amp;"生成成长"),3))*(VLOOKUP($B$5,标准坦克设计!$B$14:$K$20,9)/30))</f>
        <v>71.711306228190537</v>
      </c>
      <c r="DH131" s="172">
        <f ca="1">(VLOOKUP(DH$72,INDIRECT($C$5&amp;"生成成长"),2))/((VLOOKUP($B131,INDIRECT($B$5&amp;"生成成长"),4))/(VLOOKUP(DH$72,INDIRECT($C$5&amp;"生成成长"),5))*(VLOOKUP($B$5,标准坦克设计!$B$24:$U$30,MATCH("对"&amp;LEFT($C$5,2)&amp;"输出",标准坦克设计!$B$23:$U$23,0)))*(VLOOKUP($B131,INDIRECT($B$5&amp;"生成成长"),3))*(VLOOKUP($B$5,标准坦克设计!$B$14:$K$20,9)/30))</f>
        <v>75.622124110932049</v>
      </c>
      <c r="DI131" s="172">
        <f ca="1">(VLOOKUP(DI$72,INDIRECT($C$5&amp;"生成成长"),2))/((VLOOKUP($B131,INDIRECT($B$5&amp;"生成成长"),4))/(VLOOKUP(DI$72,INDIRECT($C$5&amp;"生成成长"),5))*(VLOOKUP($B$5,标准坦克设计!$B$24:$U$30,MATCH("对"&amp;LEFT($C$5,2)&amp;"输出",标准坦克设计!$B$23:$U$23,0)))*(VLOOKUP($B131,INDIRECT($B$5&amp;"生成成长"),3))*(VLOOKUP($B$5,标准坦克设计!$B$14:$K$20,9)/30))</f>
        <v>79.636769017109188</v>
      </c>
      <c r="DJ131" s="172">
        <f ca="1">(VLOOKUP(DJ$72,INDIRECT($C$5&amp;"生成成长"),2))/((VLOOKUP($B131,INDIRECT($B$5&amp;"生成成长"),4))/(VLOOKUP(DJ$72,INDIRECT($C$5&amp;"生成成长"),5))*(VLOOKUP($B$5,标准坦克设计!$B$24:$U$30,MATCH("对"&amp;LEFT($C$5,2)&amp;"输出",标准坦克设计!$B$23:$U$23,0)))*(VLOOKUP($B131,INDIRECT($B$5&amp;"生成成长"),3))*(VLOOKUP($B$5,标准坦克设计!$B$14:$K$20,9)/30))</f>
        <v>8.0036935669933946</v>
      </c>
      <c r="DK131" s="172">
        <f ca="1">(VLOOKUP(DK$72,INDIRECT($C$5&amp;"生成成长"),2))/((VLOOKUP($B131,INDIRECT($B$5&amp;"生成成长"),4))/(VLOOKUP(DK$72,INDIRECT($C$5&amp;"生成成长"),5))*(VLOOKUP($B$5,标准坦克设计!$B$24:$U$30,MATCH("对"&amp;LEFT($C$5,2)&amp;"输出",标准坦克设计!$B$23:$U$23,0)))*(VLOOKUP($B131,INDIRECT($B$5&amp;"生成成长"),3))*(VLOOKUP($B$5,标准坦克设计!$B$14:$K$20,9)/30))</f>
        <v>8.9997840730788301</v>
      </c>
      <c r="DL131" s="172">
        <f ca="1">(VLOOKUP(DL$72,INDIRECT($C$5&amp;"生成成长"),2))/((VLOOKUP($B131,INDIRECT($B$5&amp;"生成成长"),4))/(VLOOKUP(DL$72,INDIRECT($C$5&amp;"生成成长"),5))*(VLOOKUP($B$5,标准坦克设计!$B$24:$U$30,MATCH("对"&amp;LEFT($C$5,2)&amp;"输出",标准坦克设计!$B$23:$U$23,0)))*(VLOOKUP($B131,INDIRECT($B$5&amp;"生成成长"),3))*(VLOOKUP($B$5,标准坦克设计!$B$14:$K$20,9)/30))</f>
        <v>10.054277279846799</v>
      </c>
      <c r="DM131" s="172">
        <f ca="1">(VLOOKUP(DM$72,INDIRECT($C$5&amp;"生成成长"),2))/((VLOOKUP($B131,INDIRECT($B$5&amp;"生成成长"),4))/(VLOOKUP(DM$72,INDIRECT($C$5&amp;"生成成长"),5))*(VLOOKUP($B$5,标准坦克设计!$B$24:$U$30,MATCH("对"&amp;LEFT($C$5,2)&amp;"输出",标准坦克设计!$B$23:$U$23,0)))*(VLOOKUP($B131,INDIRECT($B$5&amp;"生成成长"),3))*(VLOOKUP($B$5,标准坦克设计!$B$14:$K$20,9)/30))</f>
        <v>11.167173187297301</v>
      </c>
      <c r="DN131" s="172">
        <f ca="1">(VLOOKUP(DN$72,INDIRECT($C$5&amp;"生成成长"),2))/((VLOOKUP($B131,INDIRECT($B$5&amp;"生成成长"),4))/(VLOOKUP(DN$72,INDIRECT($C$5&amp;"生成成长"),5))*(VLOOKUP($B$5,标准坦克设计!$B$24:$U$30,MATCH("对"&amp;LEFT($C$5,2)&amp;"输出",标准坦克设计!$B$23:$U$23,0)))*(VLOOKUP($B131,INDIRECT($B$5&amp;"生成成长"),3))*(VLOOKUP($B$5,标准坦克设计!$B$14:$K$20,9)/30))</f>
        <v>12.338471795430339</v>
      </c>
      <c r="DO131" s="172">
        <f ca="1">(VLOOKUP(DO$72,INDIRECT($C$5&amp;"生成成长"),2))/((VLOOKUP($B131,INDIRECT($B$5&amp;"生成成长"),4))/(VLOOKUP(DO$72,INDIRECT($C$5&amp;"生成成长"),5))*(VLOOKUP($B$5,标准坦克设计!$B$24:$U$30,MATCH("对"&amp;LEFT($C$5,2)&amp;"输出",标准坦克设计!$B$23:$U$23,0)))*(VLOOKUP($B131,INDIRECT($B$5&amp;"生成成长"),3))*(VLOOKUP($B$5,标准坦克设计!$B$14:$K$20,9)/30))</f>
        <v>13.568173104245906</v>
      </c>
      <c r="DP131" s="172">
        <f ca="1">(VLOOKUP(DP$72,INDIRECT($C$5&amp;"生成成长"),2))/((VLOOKUP($B131,INDIRECT($B$5&amp;"生成成长"),4))/(VLOOKUP(DP$72,INDIRECT($C$5&amp;"生成成长"),5))*(VLOOKUP($B$5,标准坦克设计!$B$24:$U$30,MATCH("对"&amp;LEFT($C$5,2)&amp;"输出",标准坦克设计!$B$23:$U$23,0)))*(VLOOKUP($B131,INDIRECT($B$5&amp;"生成成长"),3))*(VLOOKUP($B$5,标准坦克设计!$B$14:$K$20,9)/30))</f>
        <v>14.856277113744014</v>
      </c>
      <c r="DQ131" s="172">
        <f ca="1">(VLOOKUP(DQ$72,INDIRECT($C$5&amp;"生成成长"),2))/((VLOOKUP($B131,INDIRECT($B$5&amp;"生成成长"),4))/(VLOOKUP(DQ$72,INDIRECT($C$5&amp;"生成成长"),5))*(VLOOKUP($B$5,标准坦克设计!$B$24:$U$30,MATCH("对"&amp;LEFT($C$5,2)&amp;"输出",标准坦克设计!$B$23:$U$23,0)))*(VLOOKUP($B131,INDIRECT($B$5&amp;"生成成长"),3))*(VLOOKUP($B$5,标准坦克设计!$B$14:$K$20,9)/30))</f>
        <v>16.202783823924651</v>
      </c>
      <c r="DR131" s="172">
        <f ca="1">(VLOOKUP(DR$72,INDIRECT($C$5&amp;"生成成长"),2))/((VLOOKUP($B131,INDIRECT($B$5&amp;"生成成长"),4))/(VLOOKUP(DR$72,INDIRECT($C$5&amp;"生成成长"),5))*(VLOOKUP($B$5,标准坦克设计!$B$24:$U$30,MATCH("对"&amp;LEFT($C$5,2)&amp;"输出",标准坦克设计!$B$23:$U$23,0)))*(VLOOKUP($B131,INDIRECT($B$5&amp;"生成成长"),3))*(VLOOKUP($B$5,标准坦克设计!$B$14:$K$20,9)/30))</f>
        <v>17.607693234787821</v>
      </c>
      <c r="DS131" s="172">
        <f ca="1">(VLOOKUP(DS$72,INDIRECT($C$5&amp;"生成成长"),2))/((VLOOKUP($B131,INDIRECT($B$5&amp;"生成成长"),4))/(VLOOKUP(DS$72,INDIRECT($C$5&amp;"生成成长"),5))*(VLOOKUP($B$5,标准坦克设计!$B$24:$U$30,MATCH("对"&amp;LEFT($C$5,2)&amp;"输出",标准坦克设计!$B$23:$U$23,0)))*(VLOOKUP($B131,INDIRECT($B$5&amp;"生成成长"),3))*(VLOOKUP($B$5,标准坦克设计!$B$14:$K$20,9)/30))</f>
        <v>19.071005346333525</v>
      </c>
      <c r="DT131" s="172">
        <f ca="1">(VLOOKUP(DT$72,INDIRECT($C$5&amp;"生成成长"),2))/((VLOOKUP($B131,INDIRECT($B$5&amp;"生成成长"),4))/(VLOOKUP(DT$72,INDIRECT($C$5&amp;"生成成长"),5))*(VLOOKUP($B$5,标准坦克设计!$B$24:$U$30,MATCH("对"&amp;LEFT($C$5,2)&amp;"输出",标准坦克设计!$B$23:$U$23,0)))*(VLOOKUP($B131,INDIRECT($B$5&amp;"生成成长"),3))*(VLOOKUP($B$5,标准坦克设计!$B$14:$K$20,9)/30))</f>
        <v>20.938810236680478</v>
      </c>
      <c r="DU131" s="172">
        <f ca="1">(VLOOKUP(DU$72,INDIRECT($C$5&amp;"生成成长"),2))/((VLOOKUP($B131,INDIRECT($B$5&amp;"生成成长"),4))/(VLOOKUP(DU$72,INDIRECT($C$5&amp;"生成成长"),5))*(VLOOKUP($B$5,标准坦克设计!$B$24:$U$30,MATCH("对"&amp;LEFT($C$5,2)&amp;"输出",标准坦克设计!$B$23:$U$23,0)))*(VLOOKUP($B131,INDIRECT($B$5&amp;"生成成长"),3))*(VLOOKUP($B$5,标准坦克设计!$B$14:$K$20,9)/30))</f>
        <v>22.893858667553193</v>
      </c>
      <c r="DV131" s="172">
        <f ca="1">(VLOOKUP(DV$72,INDIRECT($C$5&amp;"生成成长"),2))/((VLOOKUP($B131,INDIRECT($B$5&amp;"生成成长"),4))/(VLOOKUP(DV$72,INDIRECT($C$5&amp;"生成成长"),5))*(VLOOKUP($B$5,标准坦克设计!$B$24:$U$30,MATCH("对"&amp;LEFT($C$5,2)&amp;"输出",标准坦克设计!$B$23:$U$23,0)))*(VLOOKUP($B131,INDIRECT($B$5&amp;"生成成长"),3))*(VLOOKUP($B$5,标准坦克设计!$B$14:$K$20,9)/30))</f>
        <v>24.93615063895167</v>
      </c>
      <c r="DW131" s="172">
        <f ca="1">(VLOOKUP(DW$72,INDIRECT($C$5&amp;"生成成长"),2))/((VLOOKUP($B131,INDIRECT($B$5&amp;"生成成长"),4))/(VLOOKUP(DW$72,INDIRECT($C$5&amp;"生成成长"),5))*(VLOOKUP($B$5,标准坦克设计!$B$24:$U$30,MATCH("对"&amp;LEFT($C$5,2)&amp;"输出",标准坦克设计!$B$23:$U$23,0)))*(VLOOKUP($B131,INDIRECT($B$5&amp;"生成成长"),3))*(VLOOKUP($B$5,标准坦克设计!$B$14:$K$20,9)/30))</f>
        <v>27.065686150875912</v>
      </c>
      <c r="DX131" s="172">
        <f ca="1">(VLOOKUP(DX$72,INDIRECT($C$5&amp;"生成成长"),2))/((VLOOKUP($B131,INDIRECT($B$5&amp;"生成成长"),4))/(VLOOKUP(DX$72,INDIRECT($C$5&amp;"生成成长"),5))*(VLOOKUP($B$5,标准坦克设计!$B$24:$U$30,MATCH("对"&amp;LEFT($C$5,2)&amp;"输出",标准坦克设计!$B$23:$U$23,0)))*(VLOOKUP($B131,INDIRECT($B$5&amp;"生成成长"),3))*(VLOOKUP($B$5,标准坦克设计!$B$14:$K$20,9)/30))</f>
        <v>29.282465203325906</v>
      </c>
      <c r="DY131" s="172">
        <f ca="1">(VLOOKUP(DY$72,INDIRECT($C$5&amp;"生成成长"),2))/((VLOOKUP($B131,INDIRECT($B$5&amp;"生成成长"),4))/(VLOOKUP(DY$72,INDIRECT($C$5&amp;"生成成长"),5))*(VLOOKUP($B$5,标准坦克设计!$B$24:$U$30,MATCH("对"&amp;LEFT($C$5,2)&amp;"输出",标准坦克设计!$B$23:$U$23,0)))*(VLOOKUP($B131,INDIRECT($B$5&amp;"生成成长"),3))*(VLOOKUP($B$5,标准坦克设计!$B$14:$K$20,9)/30))</f>
        <v>13.151783479009326</v>
      </c>
      <c r="DZ131" s="172">
        <f ca="1">(VLOOKUP(DZ$72,INDIRECT($C$5&amp;"生成成长"),2))/((VLOOKUP($B131,INDIRECT($B$5&amp;"生成成长"),4))/(VLOOKUP(DZ$72,INDIRECT($C$5&amp;"生成成长"),5))*(VLOOKUP($B$5,标准坦克设计!$B$24:$U$30,MATCH("对"&amp;LEFT($C$5,2)&amp;"输出",标准坦克设计!$B$23:$U$23,0)))*(VLOOKUP($B131,INDIRECT($B$5&amp;"生成成长"),3))*(VLOOKUP($B$5,标准坦克设计!$B$14:$K$20,9)/30))</f>
        <v>14.564984631327423</v>
      </c>
      <c r="EA131" s="172">
        <f ca="1">(VLOOKUP(EA$72,INDIRECT($C$5&amp;"生成成长"),2))/((VLOOKUP($B131,INDIRECT($B$5&amp;"生成成长"),4))/(VLOOKUP(EA$72,INDIRECT($C$5&amp;"生成成长"),5))*(VLOOKUP($B$5,标准坦克设计!$B$24:$U$30,MATCH("对"&amp;LEFT($C$5,2)&amp;"输出",标准坦克设计!$B$23:$U$23,0)))*(VLOOKUP($B131,INDIRECT($B$5&amp;"生成成长"),3))*(VLOOKUP($B$5,标准坦克设计!$B$14:$K$20,9)/30))</f>
        <v>16.050287883253588</v>
      </c>
      <c r="EB131" s="172">
        <f ca="1">(VLOOKUP(EB$72,INDIRECT($C$5&amp;"生成成长"),2))/((VLOOKUP($B131,INDIRECT($B$5&amp;"生成成长"),4))/(VLOOKUP(EB$72,INDIRECT($C$5&amp;"生成成长"),5))*(VLOOKUP($B$5,标准坦克设计!$B$24:$U$30,MATCH("对"&amp;LEFT($C$5,2)&amp;"输出",标准坦克设计!$B$23:$U$23,0)))*(VLOOKUP($B131,INDIRECT($B$5&amp;"生成成长"),3))*(VLOOKUP($B$5,标准坦克设计!$B$14:$K$20,9)/30))</f>
        <v>17.607693234787821</v>
      </c>
      <c r="EC131" s="172">
        <f ca="1">(VLOOKUP(EC$72,INDIRECT($C$5&amp;"生成成长"),2))/((VLOOKUP($B131,INDIRECT($B$5&amp;"生成成长"),4))/(VLOOKUP(EC$72,INDIRECT($C$5&amp;"生成成长"),5))*(VLOOKUP($B$5,标准坦克设计!$B$24:$U$30,MATCH("对"&amp;LEFT($C$5,2)&amp;"输出",标准坦克设计!$B$23:$U$23,0)))*(VLOOKUP($B131,INDIRECT($B$5&amp;"生成成长"),3))*(VLOOKUP($B$5,标准坦克设计!$B$14:$K$20,9)/30))</f>
        <v>19.237200685930116</v>
      </c>
      <c r="ED131" s="172">
        <f ca="1">(VLOOKUP(ED$72,INDIRECT($C$5&amp;"生成成长"),2))/((VLOOKUP($B131,INDIRECT($B$5&amp;"生成成长"),4))/(VLOOKUP(ED$72,INDIRECT($C$5&amp;"生成成长"),5))*(VLOOKUP($B$5,标准坦克设计!$B$24:$U$30,MATCH("对"&amp;LEFT($C$5,2)&amp;"输出",标准坦克设计!$B$23:$U$23,0)))*(VLOOKUP($B131,INDIRECT($B$5&amp;"生成成长"),3))*(VLOOKUP($B$5,标准坦克设计!$B$14:$K$20,9)/30))</f>
        <v>20.938810236680478</v>
      </c>
      <c r="EE131" s="172">
        <f ca="1">(VLOOKUP(EE$72,INDIRECT($C$5&amp;"生成成长"),2))/((VLOOKUP($B131,INDIRECT($B$5&amp;"生成成长"),4))/(VLOOKUP(EE$72,INDIRECT($C$5&amp;"生成成长"),5))*(VLOOKUP($B$5,标准坦克设计!$B$24:$U$30,MATCH("对"&amp;LEFT($C$5,2)&amp;"输出",标准坦克设计!$B$23:$U$23,0)))*(VLOOKUP($B131,INDIRECT($B$5&amp;"生成成长"),3))*(VLOOKUP($B$5,标准坦克设计!$B$14:$K$20,9)/30))</f>
        <v>22.712521887038911</v>
      </c>
      <c r="EF131" s="172">
        <f ca="1">(VLOOKUP(EF$72,INDIRECT($C$5&amp;"生成成长"),2))/((VLOOKUP($B131,INDIRECT($B$5&amp;"生成成长"),4))/(VLOOKUP(EF$72,INDIRECT($C$5&amp;"生成成长"),5))*(VLOOKUP($B$5,标准坦克设计!$B$24:$U$30,MATCH("对"&amp;LEFT($C$5,2)&amp;"输出",标准坦克设计!$B$23:$U$23,0)))*(VLOOKUP($B131,INDIRECT($B$5&amp;"生成成长"),3))*(VLOOKUP($B$5,标准坦克设计!$B$14:$K$20,9)/30))</f>
        <v>24.55833563700541</v>
      </c>
      <c r="EG131" s="172">
        <f ca="1">(VLOOKUP(EG$72,INDIRECT($C$5&amp;"生成成长"),2))/((VLOOKUP($B131,INDIRECT($B$5&amp;"生成成长"),4))/(VLOOKUP(EG$72,INDIRECT($C$5&amp;"生成成长"),5))*(VLOOKUP($B$5,标准坦克设计!$B$24:$U$30,MATCH("对"&amp;LEFT($C$5,2)&amp;"输出",标准坦克设计!$B$23:$U$23,0)))*(VLOOKUP($B131,INDIRECT($B$5&amp;"生成成长"),3))*(VLOOKUP($B$5,标准坦克设计!$B$14:$K$20,9)/30))</f>
        <v>26.476251486579969</v>
      </c>
      <c r="EH131" s="172">
        <f ca="1">(VLOOKUP(EH$72,INDIRECT($C$5&amp;"生成成长"),2))/((VLOOKUP($B131,INDIRECT($B$5&amp;"生成成长"),4))/(VLOOKUP(EH$72,INDIRECT($C$5&amp;"生成成长"),5))*(VLOOKUP($B$5,标准坦克设计!$B$24:$U$30,MATCH("对"&amp;LEFT($C$5,2)&amp;"输出",标准坦克设计!$B$23:$U$23,0)))*(VLOOKUP($B131,INDIRECT($B$5&amp;"生成成长"),3))*(VLOOKUP($B$5,标准坦克设计!$B$14:$K$20,9)/30))</f>
        <v>28.466269435762602</v>
      </c>
      <c r="EI131" s="172">
        <f ca="1">(VLOOKUP(EI$72,INDIRECT($C$5&amp;"生成成长"),2))/((VLOOKUP($B131,INDIRECT($B$5&amp;"生成成长"),4))/(VLOOKUP(EI$72,INDIRECT($C$5&amp;"生成成长"),5))*(VLOOKUP($B$5,标准坦克设计!$B$24:$U$30,MATCH("对"&amp;LEFT($C$5,2)&amp;"输出",标准坦克设计!$B$23:$U$23,0)))*(VLOOKUP($B131,INDIRECT($B$5&amp;"生成成长"),3))*(VLOOKUP($B$5,标准坦克设计!$B$14:$K$20,9)/30))</f>
        <v>30.528389484553294</v>
      </c>
      <c r="EJ131" s="172">
        <f ca="1">(VLOOKUP(EJ$72,INDIRECT($C$5&amp;"生成成长"),2))/((VLOOKUP($B131,INDIRECT($B$5&amp;"生成成长"),4))/(VLOOKUP(EJ$72,INDIRECT($C$5&amp;"生成成长"),5))*(VLOOKUP($B$5,标准坦克设计!$B$24:$U$30,MATCH("对"&amp;LEFT($C$5,2)&amp;"输出",标准坦克设计!$B$23:$U$23,0)))*(VLOOKUP($B131,INDIRECT($B$5&amp;"生成成长"),3))*(VLOOKUP($B$5,标准坦克设计!$B$14:$K$20,9)/30))</f>
        <v>32.662611632952057</v>
      </c>
      <c r="EK131" s="172">
        <f ca="1">(VLOOKUP(EK$72,INDIRECT($C$5&amp;"生成成长"),2))/((VLOOKUP($B131,INDIRECT($B$5&amp;"生成成长"),4))/(VLOOKUP(EK$72,INDIRECT($C$5&amp;"生成成长"),5))*(VLOOKUP($B$5,标准坦克设计!$B$24:$U$30,MATCH("对"&amp;LEFT($C$5,2)&amp;"输出",标准坦克设计!$B$23:$U$23,0)))*(VLOOKUP($B131,INDIRECT($B$5&amp;"生成成长"),3))*(VLOOKUP($B$5,标准坦克设计!$B$14:$K$20,9)/30))</f>
        <v>35.318852982513221</v>
      </c>
      <c r="EL131" s="172">
        <f ca="1">(VLOOKUP(EL$72,INDIRECT($C$5&amp;"生成成长"),2))/((VLOOKUP($B131,INDIRECT($B$5&amp;"生成成长"),4))/(VLOOKUP(EL$72,INDIRECT($C$5&amp;"生成成长"),5))*(VLOOKUP($B$5,标准坦克设计!$B$24:$U$30,MATCH("对"&amp;LEFT($C$5,2)&amp;"输出",标准坦克设计!$B$23:$U$23,0)))*(VLOOKUP($B131,INDIRECT($B$5&amp;"生成成长"),3))*(VLOOKUP($B$5,标准坦克设计!$B$14:$K$20,9)/30))</f>
        <v>38.078921355509991</v>
      </c>
      <c r="EM131" s="172">
        <f ca="1">(VLOOKUP(EM$72,INDIRECT($C$5&amp;"生成成长"),2))/((VLOOKUP($B131,INDIRECT($B$5&amp;"生成成长"),4))/(VLOOKUP(EM$72,INDIRECT($C$5&amp;"生成成长"),5))*(VLOOKUP($B$5,标准坦克设计!$B$24:$U$30,MATCH("对"&amp;LEFT($C$5,2)&amp;"输出",标准坦克设计!$B$23:$U$23,0)))*(VLOOKUP($B131,INDIRECT($B$5&amp;"生成成长"),3))*(VLOOKUP($B$5,标准坦克设计!$B$14:$K$20,9)/30))</f>
        <v>40.942816751942381</v>
      </c>
      <c r="EN131" s="172">
        <f ca="1">(VLOOKUP(EN$72,INDIRECT($C$5&amp;"生成成长"),2))/((VLOOKUP($B131,INDIRECT($B$5&amp;"生成成长"),4))/(VLOOKUP(EN$72,INDIRECT($C$5&amp;"生成成长"),5))*(VLOOKUP($B$5,标准坦克设计!$B$24:$U$30,MATCH("对"&amp;LEFT($C$5,2)&amp;"输出",标准坦克设计!$B$23:$U$23,0)))*(VLOOKUP($B131,INDIRECT($B$5&amp;"生成成长"),3))*(VLOOKUP($B$5,标准坦克设计!$B$14:$K$20,9)/30))</f>
        <v>43.910539171810399</v>
      </c>
      <c r="EO131" s="172">
        <f ca="1">(VLOOKUP(EO$72,INDIRECT($C$5&amp;"生成成长"),2))/((VLOOKUP($B131,INDIRECT($B$5&amp;"生成成长"),4))/(VLOOKUP(EO$72,INDIRECT($C$5&amp;"生成成长"),5))*(VLOOKUP($B$5,标准坦克设计!$B$24:$U$30,MATCH("对"&amp;LEFT($C$5,2)&amp;"输出",标准坦克设计!$B$23:$U$23,0)))*(VLOOKUP($B131,INDIRECT($B$5&amp;"生成成长"),3))*(VLOOKUP($B$5,标准坦克设计!$B$14:$K$20,9)/30))</f>
        <v>46.982088615114016</v>
      </c>
      <c r="EP131" s="172">
        <f ca="1">(VLOOKUP(EP$72,INDIRECT($C$5&amp;"生成成长"),2))/((VLOOKUP($B131,INDIRECT($B$5&amp;"生成成长"),4))/(VLOOKUP(EP$72,INDIRECT($C$5&amp;"生成成长"),5))*(VLOOKUP($B$5,标准坦克设计!$B$24:$U$30,MATCH("对"&amp;LEFT($C$5,2)&amp;"输出",标准坦克设计!$B$23:$U$23,0)))*(VLOOKUP($B131,INDIRECT($B$5&amp;"生成成长"),3))*(VLOOKUP($B$5,标准坦克设计!$B$14:$K$20,9)/30))</f>
        <v>50.157465081853246</v>
      </c>
      <c r="EQ131" s="172">
        <f ca="1">(VLOOKUP(EQ$72,INDIRECT($C$5&amp;"生成成长"),2))/((VLOOKUP($B131,INDIRECT($B$5&amp;"生成成长"),4))/(VLOOKUP(EQ$72,INDIRECT($C$5&amp;"生成成长"),5))*(VLOOKUP($B$5,标准坦克设计!$B$24:$U$30,MATCH("对"&amp;LEFT($C$5,2)&amp;"输出",标准坦克设计!$B$23:$U$23,0)))*(VLOOKUP($B131,INDIRECT($B$5&amp;"生成成长"),3))*(VLOOKUP($B$5,标准坦克设计!$B$14:$K$20,9)/30))</f>
        <v>22.172837671472536</v>
      </c>
      <c r="ER131" s="172">
        <f ca="1">(VLOOKUP(ER$72,INDIRECT($C$5&amp;"生成成长"),2))/((VLOOKUP($B131,INDIRECT($B$5&amp;"生成成长"),4))/(VLOOKUP(ER$72,INDIRECT($C$5&amp;"生成成长"),5))*(VLOOKUP($B$5,标准坦克设计!$B$24:$U$30,MATCH("对"&amp;LEFT($C$5,2)&amp;"输出",标准坦克设计!$B$23:$U$23,0)))*(VLOOKUP($B131,INDIRECT($B$5&amp;"生成成长"),3))*(VLOOKUP($B$5,标准坦克设计!$B$14:$K$20,9)/30))</f>
        <v>24.183404719043459</v>
      </c>
      <c r="ES131" s="172">
        <f ca="1">(VLOOKUP(ES$72,INDIRECT($C$5&amp;"生成成长"),2))/((VLOOKUP($B131,INDIRECT($B$5&amp;"生成成长"),4))/(VLOOKUP(ES$72,INDIRECT($C$5&amp;"生成成长"),5))*(VLOOKUP($B$5,标准坦克设计!$B$24:$U$30,MATCH("对"&amp;LEFT($C$5,2)&amp;"输出",标准坦克设计!$B$23:$U$23,0)))*(VLOOKUP($B131,INDIRECT($B$5&amp;"生成成长"),3))*(VLOOKUP($B$5,标准坦克设计!$B$14:$K$20,9)/30))</f>
        <v>26.281215307140151</v>
      </c>
      <c r="ET131" s="172">
        <f ca="1">(VLOOKUP(ET$72,INDIRECT($C$5&amp;"生成成长"),2))/((VLOOKUP($B131,INDIRECT($B$5&amp;"生成成长"),4))/(VLOOKUP(ET$72,INDIRECT($C$5&amp;"生成成长"),5))*(VLOOKUP($B$5,标准坦克设计!$B$24:$U$30,MATCH("对"&amp;LEFT($C$5,2)&amp;"输出",标准坦克设计!$B$23:$U$23,0)))*(VLOOKUP($B131,INDIRECT($B$5&amp;"生成成长"),3))*(VLOOKUP($B$5,标准坦克设计!$B$14:$K$20,9)/30))</f>
        <v>28.466269435762602</v>
      </c>
      <c r="EU131" s="172">
        <f ca="1">(VLOOKUP(EU$72,INDIRECT($C$5&amp;"生成成长"),2))/((VLOOKUP($B131,INDIRECT($B$5&amp;"生成成长"),4))/(VLOOKUP(EU$72,INDIRECT($C$5&amp;"生成成长"),5))*(VLOOKUP($B$5,标准坦克设计!$B$24:$U$30,MATCH("对"&amp;LEFT($C$5,2)&amp;"输出",标准坦克设计!$B$23:$U$23,0)))*(VLOOKUP($B131,INDIRECT($B$5&amp;"生成成长"),3))*(VLOOKUP($B$5,标准坦克设计!$B$14:$K$20,9)/30))</f>
        <v>30.738567104910803</v>
      </c>
      <c r="EV131" s="172">
        <f ca="1">(VLOOKUP(EV$72,INDIRECT($C$5&amp;"生成成长"),2))/((VLOOKUP($B131,INDIRECT($B$5&amp;"生成成长"),4))/(VLOOKUP(EV$72,INDIRECT($C$5&amp;"生成成长"),5))*(VLOOKUP($B$5,标准坦克设计!$B$24:$U$30,MATCH("对"&amp;LEFT($C$5,2)&amp;"输出",标准坦克设计!$B$23:$U$23,0)))*(VLOOKUP($B131,INDIRECT($B$5&amp;"生成成长"),3))*(VLOOKUP($B$5,标准坦克设计!$B$14:$K$20,9)/30))</f>
        <v>33.098108314584778</v>
      </c>
      <c r="EW131" s="172">
        <f ca="1">(VLOOKUP(EW$72,INDIRECT($C$5&amp;"生成成长"),2))/((VLOOKUP($B131,INDIRECT($B$5&amp;"生成成长"),4))/(VLOOKUP(EW$72,INDIRECT($C$5&amp;"生成成长"),5))*(VLOOKUP($B$5,标准坦克设计!$B$24:$U$30,MATCH("对"&amp;LEFT($C$5,2)&amp;"输出",标准坦克设计!$B$23:$U$23,0)))*(VLOOKUP($B131,INDIRECT($B$5&amp;"生成成长"),3))*(VLOOKUP($B$5,标准坦克设计!$B$14:$K$20,9)/30))</f>
        <v>35.544893064784503</v>
      </c>
      <c r="EX131" s="172">
        <f ca="1">(VLOOKUP(EX$72,INDIRECT($C$5&amp;"生成成长"),2))/((VLOOKUP($B131,INDIRECT($B$5&amp;"生成成长"),4))/(VLOOKUP(EX$72,INDIRECT($C$5&amp;"生成成长"),5))*(VLOOKUP($B$5,标准坦克设计!$B$24:$U$30,MATCH("对"&amp;LEFT($C$5,2)&amp;"输出",标准坦克设计!$B$23:$U$23,0)))*(VLOOKUP($B131,INDIRECT($B$5&amp;"生成成长"),3))*(VLOOKUP($B$5,标准坦克设计!$B$14:$K$20,9)/30))</f>
        <v>38.078921355509991</v>
      </c>
      <c r="EY131" s="172">
        <f ca="1">(VLOOKUP(EY$72,INDIRECT($C$5&amp;"生成成长"),2))/((VLOOKUP($B131,INDIRECT($B$5&amp;"生成成长"),4))/(VLOOKUP(EY$72,INDIRECT($C$5&amp;"生成成长"),5))*(VLOOKUP($B$5,标准坦克设计!$B$24:$U$30,MATCH("对"&amp;LEFT($C$5,2)&amp;"输出",标准坦克设计!$B$23:$U$23,0)))*(VLOOKUP($B131,INDIRECT($B$5&amp;"生成成长"),3))*(VLOOKUP($B$5,标准坦克设计!$B$14:$K$20,9)/30))</f>
        <v>40.70019318676124</v>
      </c>
      <c r="EZ131" s="172">
        <f ca="1">(VLOOKUP(EZ$72,INDIRECT($C$5&amp;"生成成长"),2))/((VLOOKUP($B131,INDIRECT($B$5&amp;"生成成长"),4))/(VLOOKUP(EZ$72,INDIRECT($C$5&amp;"生成成长"),5))*(VLOOKUP($B$5,标准坦克设计!$B$24:$U$30,MATCH("对"&amp;LEFT($C$5,2)&amp;"输出",标准坦克设计!$B$23:$U$23,0)))*(VLOOKUP($B131,INDIRECT($B$5&amp;"生成成长"),3))*(VLOOKUP($B$5,标准坦克设计!$B$14:$K$20,9)/30))</f>
        <v>43.408708558538258</v>
      </c>
      <c r="FA131" s="172">
        <f ca="1">(VLOOKUP(FA$72,INDIRECT($C$5&amp;"生成成长"),2))/((VLOOKUP($B131,INDIRECT($B$5&amp;"生成成长"),4))/(VLOOKUP(FA$72,INDIRECT($C$5&amp;"生成成长"),5))*(VLOOKUP($B$5,标准坦克设计!$B$24:$U$30,MATCH("对"&amp;LEFT($C$5,2)&amp;"输出",标准坦克设计!$B$23:$U$23,0)))*(VLOOKUP($B131,INDIRECT($B$5&amp;"生成成长"),3))*(VLOOKUP($B$5,标准坦克设计!$B$14:$K$20,9)/30))</f>
        <v>46.204467470841024</v>
      </c>
      <c r="FB131" s="172">
        <f ca="1">(VLOOKUP(FB$72,INDIRECT($C$5&amp;"生成成长"),2))/((VLOOKUP($B131,INDIRECT($B$5&amp;"生成成长"),4))/(VLOOKUP(FB$72,INDIRECT($C$5&amp;"生成成长"),5))*(VLOOKUP($B$5,标准坦克设计!$B$24:$U$30,MATCH("对"&amp;LEFT($C$5,2)&amp;"输出",标准坦克设计!$B$23:$U$23,0)))*(VLOOKUP($B131,INDIRECT($B$5&amp;"生成成长"),3))*(VLOOKUP($B$5,标准坦克设计!$B$14:$K$20,9)/30))</f>
        <v>49.087469923669552</v>
      </c>
      <c r="FC131" s="172">
        <f ca="1">(VLOOKUP(FC$72,INDIRECT($C$5&amp;"生成成长"),2))/((VLOOKUP($B131,INDIRECT($B$5&amp;"生成成长"),4))/(VLOOKUP(FC$72,INDIRECT($C$5&amp;"生成成长"),5))*(VLOOKUP($B$5,标准坦克设计!$B$24:$U$30,MATCH("对"&amp;LEFT($C$5,2)&amp;"输出",标准坦克设计!$B$23:$U$23,0)))*(VLOOKUP($B131,INDIRECT($B$5&amp;"生成成长"),3))*(VLOOKUP($B$5,标准坦克设计!$B$14:$K$20,9)/30))</f>
        <v>52.057715917023835</v>
      </c>
      <c r="FD131" s="172">
        <f ca="1">(VLOOKUP(FD$72,INDIRECT($C$5&amp;"生成成长"),2))/((VLOOKUP($B131,INDIRECT($B$5&amp;"生成成长"),4))/(VLOOKUP(FD$72,INDIRECT($C$5&amp;"生成成长"),5))*(VLOOKUP($B$5,标准坦克设计!$B$24:$U$30,MATCH("对"&amp;LEFT($C$5,2)&amp;"输出",标准坦克设计!$B$23:$U$23,0)))*(VLOOKUP($B131,INDIRECT($B$5&amp;"生成成长"),3))*(VLOOKUP($B$5,标准坦克设计!$B$14:$K$20,9)/30))</f>
        <v>55.1152054509039</v>
      </c>
      <c r="FE131" s="172">
        <f ca="1">(VLOOKUP(FE$72,INDIRECT($C$5&amp;"生成成长"),2))/((VLOOKUP($B131,INDIRECT($B$5&amp;"生成成长"),4))/(VLOOKUP(FE$72,INDIRECT($C$5&amp;"生成成长"),5))*(VLOOKUP($B$5,标准坦克设计!$B$24:$U$30,MATCH("对"&amp;LEFT($C$5,2)&amp;"输出",标准坦克设计!$B$23:$U$23,0)))*(VLOOKUP($B131,INDIRECT($B$5&amp;"生成成长"),3))*(VLOOKUP($B$5,标准坦克设计!$B$14:$K$20,9)/30))</f>
        <v>58.84108144815071</v>
      </c>
      <c r="FF131" s="172">
        <f ca="1">(VLOOKUP(FF$72,INDIRECT($C$5&amp;"生成成长"),2))/((VLOOKUP($B131,INDIRECT($B$5&amp;"生成成长"),4))/(VLOOKUP(FF$72,INDIRECT($C$5&amp;"生成成长"),5))*(VLOOKUP($B$5,标准坦克设计!$B$24:$U$30,MATCH("对"&amp;LEFT($C$5,2)&amp;"输出",标准坦克设计!$B$23:$U$23,0)))*(VLOOKUP($B131,INDIRECT($B$5&amp;"生成成长"),3))*(VLOOKUP($B$5,标准坦克设计!$B$14:$K$20,9)/30))</f>
        <v>62.688809993735163</v>
      </c>
      <c r="FG131" s="172">
        <f ca="1">(VLOOKUP(FG$72,INDIRECT($C$5&amp;"生成成长"),2))/((VLOOKUP($B131,INDIRECT($B$5&amp;"生成成长"),4))/(VLOOKUP(FG$72,INDIRECT($C$5&amp;"生成成长"),5))*(VLOOKUP($B$5,标准坦克设计!$B$24:$U$30,MATCH("对"&amp;LEFT($C$5,2)&amp;"输出",标准坦克设计!$B$23:$U$23,0)))*(VLOOKUP($B131,INDIRECT($B$5&amp;"生成成长"),3))*(VLOOKUP($B$5,标准坦克设计!$B$14:$K$20,9)/30))</f>
        <v>66.658391087657265</v>
      </c>
      <c r="FH131" s="172">
        <f ca="1">(VLOOKUP(FH$72,INDIRECT($C$5&amp;"生成成长"),2))/((VLOOKUP($B131,INDIRECT($B$5&amp;"生成成长"),4))/(VLOOKUP(FH$72,INDIRECT($C$5&amp;"生成成长"),5))*(VLOOKUP($B$5,标准坦克设计!$B$24:$U$30,MATCH("对"&amp;LEFT($C$5,2)&amp;"输出",标准坦克设计!$B$23:$U$23,0)))*(VLOOKUP($B131,INDIRECT($B$5&amp;"生成成长"),3))*(VLOOKUP($B$5,标准坦克设计!$B$14:$K$20,9)/30))</f>
        <v>70.749824729916966</v>
      </c>
      <c r="FI131" s="172">
        <f ca="1">(VLOOKUP(FI$72,INDIRECT($C$5&amp;"生成成长"),2))/((VLOOKUP($B131,INDIRECT($B$5&amp;"生成成长"),4))/(VLOOKUP(FI$72,INDIRECT($C$5&amp;"生成成长"),5))*(VLOOKUP($B$5,标准坦克设计!$B$24:$U$30,MATCH("对"&amp;LEFT($C$5,2)&amp;"输出",标准坦克设计!$B$23:$U$23,0)))*(VLOOKUP($B131,INDIRECT($B$5&amp;"生成成长"),3))*(VLOOKUP($B$5,标准坦克设计!$B$14:$K$20,9)/30))</f>
        <v>74.963110920514325</v>
      </c>
      <c r="FJ131" s="172">
        <f ca="1">(VLOOKUP(FJ$72,INDIRECT($C$5&amp;"生成成长"),2))/((VLOOKUP($B131,INDIRECT($B$5&amp;"生成成长"),4))/(VLOOKUP(FJ$72,INDIRECT($C$5&amp;"生成成长"),5))*(VLOOKUP($B$5,标准坦克设计!$B$24:$U$30,MATCH("对"&amp;LEFT($C$5,2)&amp;"输出",标准坦克设计!$B$23:$U$23,0)))*(VLOOKUP($B131,INDIRECT($B$5&amp;"生成成长"),3))*(VLOOKUP($B$5,标准坦克设计!$B$14:$K$20,9)/30))</f>
        <v>79.298249659449311</v>
      </c>
      <c r="FK131" s="172">
        <f ca="1">(VLOOKUP(FK$72,INDIRECT($C$5&amp;"生成成长"),2))/((VLOOKUP($B131,INDIRECT($B$5&amp;"生成成长"),4))/(VLOOKUP(FK$72,INDIRECT($C$5&amp;"生成成长"),5))*(VLOOKUP($B$5,标准坦克设计!$B$24:$U$30,MATCH("对"&amp;LEFT($C$5,2)&amp;"输出",标准坦克设计!$B$23:$U$23,0)))*(VLOOKUP($B131,INDIRECT($B$5&amp;"生成成长"),3))*(VLOOKUP($B$5,标准坦克设计!$B$14:$K$20,9)/30))</f>
        <v>83.755240946721912</v>
      </c>
    </row>
    <row r="132" spans="1:167" x14ac:dyDescent="0.15">
      <c r="A132" s="170" t="str">
        <f t="shared" si="11"/>
        <v>T3中品质3级</v>
      </c>
      <c r="B132" s="171">
        <v>20303</v>
      </c>
      <c r="C132" s="172">
        <f ca="1">(VLOOKUP(C$72,INDIRECT($C$5&amp;"生成成长"),2))/((VLOOKUP($B132,INDIRECT($B$5&amp;"生成成长"),4))/(VLOOKUP(C$72,INDIRECT($C$5&amp;"生成成长"),5))*(VLOOKUP($B$5,标准坦克设计!$B$24:$U$30,MATCH("对"&amp;LEFT($C$5,2)&amp;"输出",标准坦克设计!$B$23:$U$23,0)))*(VLOOKUP($B132,INDIRECT($B$5&amp;"生成成长"),3))*(VLOOKUP($B$5,标准坦克设计!$B$14:$K$20,9)/30))</f>
        <v>3.216647693797515</v>
      </c>
      <c r="D132" s="172">
        <f ca="1">(VLOOKUP(D$72,INDIRECT($C$5&amp;"生成成长"),2))/((VLOOKUP($B132,INDIRECT($B$5&amp;"生成成长"),4))/(VLOOKUP(D$72,INDIRECT($C$5&amp;"生成成长"),5))*(VLOOKUP($B$5,标准坦克设计!$B$24:$U$30,MATCH("对"&amp;LEFT($C$5,2)&amp;"输出",标准坦克设计!$B$23:$U$23,0)))*(VLOOKUP($B132,INDIRECT($B$5&amp;"生成成长"),3))*(VLOOKUP($B$5,标准坦克设计!$B$14:$K$20,9)/30))</f>
        <v>3.6142253487508871</v>
      </c>
      <c r="E132" s="172">
        <f ca="1">(VLOOKUP(E$72,INDIRECT($C$5&amp;"生成成长"),2))/((VLOOKUP($B132,INDIRECT($B$5&amp;"生成成长"),4))/(VLOOKUP(E$72,INDIRECT($C$5&amp;"生成成长"),5))*(VLOOKUP($B$5,标准坦克设计!$B$24:$U$30,MATCH("对"&amp;LEFT($C$5,2)&amp;"输出",标准坦克设计!$B$23:$U$23,0)))*(VLOOKUP($B132,INDIRECT($B$5&amp;"生成成长"),3))*(VLOOKUP($B$5,标准坦克设计!$B$14:$K$20,9)/30))</f>
        <v>4.0349628670996029</v>
      </c>
      <c r="F132" s="172">
        <f ca="1">(VLOOKUP(F$72,INDIRECT($C$5&amp;"生成成长"),2))/((VLOOKUP($B132,INDIRECT($B$5&amp;"生成成长"),4))/(VLOOKUP(F$72,INDIRECT($C$5&amp;"生成成长"),5))*(VLOOKUP($B$5,标准坦克设计!$B$24:$U$30,MATCH("对"&amp;LEFT($C$5,2)&amp;"输出",标准坦克设计!$B$23:$U$23,0)))*(VLOOKUP($B132,INDIRECT($B$5&amp;"生成成长"),3))*(VLOOKUP($B$5,标准坦克设计!$B$14:$K$20,9)/30))</f>
        <v>4.4788602488436586</v>
      </c>
      <c r="G132" s="172">
        <f ca="1">(VLOOKUP(G$72,INDIRECT($C$5&amp;"生成成长"),2))/((VLOOKUP($B132,INDIRECT($B$5&amp;"生成成长"),4))/(VLOOKUP(G$72,INDIRECT($C$5&amp;"生成成长"),5))*(VLOOKUP($B$5,标准坦克设计!$B$24:$U$30,MATCH("对"&amp;LEFT($C$5,2)&amp;"输出",标准坦克设计!$B$23:$U$23,0)))*(VLOOKUP($B132,INDIRECT($B$5&amp;"生成成长"),3))*(VLOOKUP($B$5,标准坦克设计!$B$14:$K$20,9)/30))</f>
        <v>4.9459174939830595</v>
      </c>
      <c r="H132" s="172">
        <f ca="1">(VLOOKUP(H$72,INDIRECT($C$5&amp;"生成成长"),2))/((VLOOKUP($B132,INDIRECT($B$5&amp;"生成成长"),4))/(VLOOKUP(H$72,INDIRECT($C$5&amp;"生成成长"),5))*(VLOOKUP($B$5,标准坦克设计!$B$24:$U$30,MATCH("对"&amp;LEFT($C$5,2)&amp;"输出",标准坦克设计!$B$23:$U$23,0)))*(VLOOKUP($B132,INDIRECT($B$5&amp;"生成成长"),3))*(VLOOKUP($B$5,标准坦克设计!$B$14:$K$20,9)/30))</f>
        <v>4.3283211367739369</v>
      </c>
      <c r="I132" s="172">
        <f ca="1">(VLOOKUP(I$72,INDIRECT($C$5&amp;"生成成长"),2))/((VLOOKUP($B132,INDIRECT($B$5&amp;"生成成长"),4))/(VLOOKUP(I$72,INDIRECT($C$5&amp;"生成成长"),5))*(VLOOKUP($B$5,标准坦克设计!$B$24:$U$30,MATCH("对"&amp;LEFT($C$5,2)&amp;"输出",标准坦克设计!$B$23:$U$23,0)))*(VLOOKUP($B132,INDIRECT($B$5&amp;"生成成长"),3))*(VLOOKUP($B$5,标准坦克设计!$B$14:$K$20,9)/30))</f>
        <v>4.9459174939830595</v>
      </c>
      <c r="J132" s="172">
        <f ca="1">(VLOOKUP(J$72,INDIRECT($C$5&amp;"生成成长"),2))/((VLOOKUP($B132,INDIRECT($B$5&amp;"生成成长"),4))/(VLOOKUP(J$72,INDIRECT($C$5&amp;"生成成长"),5))*(VLOOKUP($B$5,标准坦克设计!$B$24:$U$30,MATCH("对"&amp;LEFT($C$5,2)&amp;"输出",标准坦克设计!$B$23:$U$23,0)))*(VLOOKUP($B132,INDIRECT($B$5&amp;"生成成长"),3))*(VLOOKUP($B$5,标准坦克设计!$B$14:$K$20,9)/30))</f>
        <v>5.6046869416727896</v>
      </c>
      <c r="K132" s="172">
        <f ca="1">(VLOOKUP(K$72,INDIRECT($C$5&amp;"生成成长"),2))/((VLOOKUP($B132,INDIRECT($B$5&amp;"生成成长"),4))/(VLOOKUP(K$72,INDIRECT($C$5&amp;"生成成长"),5))*(VLOOKUP($B$5,标准坦克设计!$B$24:$U$30,MATCH("对"&amp;LEFT($C$5,2)&amp;"输出",标准坦克设计!$B$23:$U$23,0)))*(VLOOKUP($B132,INDIRECT($B$5&amp;"生成成长"),3))*(VLOOKUP($B$5,标准坦克设计!$B$14:$K$20,9)/30))</f>
        <v>6.304629479843129</v>
      </c>
      <c r="L132" s="172">
        <f ca="1">(VLOOKUP(L$72,INDIRECT($C$5&amp;"生成成长"),2))/((VLOOKUP($B132,INDIRECT($B$5&amp;"生成成长"),4))/(VLOOKUP(L$72,INDIRECT($C$5&amp;"生成成长"),5))*(VLOOKUP($B$5,标准坦克设计!$B$24:$U$30,MATCH("对"&amp;LEFT($C$5,2)&amp;"输出",标准坦克设计!$B$23:$U$23,0)))*(VLOOKUP($B132,INDIRECT($B$5&amp;"生成成长"),3))*(VLOOKUP($B$5,标准坦克设计!$B$14:$K$20,9)/30))</f>
        <v>7.045745108494077</v>
      </c>
      <c r="M132" s="172">
        <f ca="1">(VLOOKUP(M$72,INDIRECT($C$5&amp;"生成成长"),2))/((VLOOKUP($B132,INDIRECT($B$5&amp;"生成成长"),4))/(VLOOKUP(M$72,INDIRECT($C$5&amp;"生成成长"),5))*(VLOOKUP($B$5,标准坦克设计!$B$24:$U$30,MATCH("对"&amp;LEFT($C$5,2)&amp;"输出",标准坦克设计!$B$23:$U$23,0)))*(VLOOKUP($B132,INDIRECT($B$5&amp;"生成成长"),3))*(VLOOKUP($B$5,标准坦克设计!$B$14:$K$20,9)/30))</f>
        <v>7.8280338276256325</v>
      </c>
      <c r="N132" s="172">
        <f ca="1">(VLOOKUP(N$72,INDIRECT($C$5&amp;"生成成长"),2))/((VLOOKUP($B132,INDIRECT($B$5&amp;"生成成长"),4))/(VLOOKUP(N$72,INDIRECT($C$5&amp;"生成成长"),5))*(VLOOKUP($B$5,标准坦克设计!$B$24:$U$30,MATCH("对"&amp;LEFT($C$5,2)&amp;"输出",标准坦克设计!$B$23:$U$23,0)))*(VLOOKUP($B132,INDIRECT($B$5&amp;"生成成长"),3))*(VLOOKUP($B$5,标准坦克设计!$B$14:$K$20,9)/30))</f>
        <v>8.6514956372377956</v>
      </c>
      <c r="O132" s="172">
        <f ca="1">(VLOOKUP(O$72,INDIRECT($C$5&amp;"生成成长"),2))/((VLOOKUP($B132,INDIRECT($B$5&amp;"生成成长"),4))/(VLOOKUP(O$72,INDIRECT($C$5&amp;"生成成长"),5))*(VLOOKUP($B$5,标准坦克设计!$B$24:$U$30,MATCH("对"&amp;LEFT($C$5,2)&amp;"输出",标准坦克设计!$B$23:$U$23,0)))*(VLOOKUP($B132,INDIRECT($B$5&amp;"生成成长"),3))*(VLOOKUP($B$5,标准坦克设计!$B$14:$K$20,9)/30))</f>
        <v>6.5777228690465384</v>
      </c>
      <c r="P132" s="172">
        <f ca="1">(VLOOKUP(P$72,INDIRECT($C$5&amp;"生成成长"),2))/((VLOOKUP($B132,INDIRECT($B$5&amp;"生成成长"),4))/(VLOOKUP(P$72,INDIRECT($C$5&amp;"生成成长"),5))*(VLOOKUP($B$5,标准坦克设计!$B$24:$U$30,MATCH("对"&amp;LEFT($C$5,2)&amp;"输出",标准坦克设计!$B$23:$U$23,0)))*(VLOOKUP($B132,INDIRECT($B$5&amp;"生成成长"),3))*(VLOOKUP($B$5,标准坦克设计!$B$14:$K$20,9)/30))</f>
        <v>7.4317428317497791</v>
      </c>
      <c r="Q132" s="172">
        <f ca="1">(VLOOKUP(Q$72,INDIRECT($C$5&amp;"生成成长"),2))/((VLOOKUP($B132,INDIRECT($B$5&amp;"生成成长"),4))/(VLOOKUP(Q$72,INDIRECT($C$5&amp;"生成成长"),5))*(VLOOKUP($B$5,标准坦克设计!$B$24:$U$30,MATCH("对"&amp;LEFT($C$5,2)&amp;"输出",标准坦克设计!$B$23:$U$23,0)))*(VLOOKUP($B132,INDIRECT($B$5&amp;"生成成长"),3))*(VLOOKUP($B$5,标准坦克设计!$B$14:$K$20,9)/30))</f>
        <v>8.3378724870925396</v>
      </c>
      <c r="R132" s="172">
        <f ca="1">(VLOOKUP(R$72,INDIRECT($C$5&amp;"生成成长"),2))/((VLOOKUP($B132,INDIRECT($B$5&amp;"生成成长"),4))/(VLOOKUP(R$72,INDIRECT($C$5&amp;"生成成长"),5))*(VLOOKUP($B$5,标准坦克设计!$B$24:$U$30,MATCH("对"&amp;LEFT($C$5,2)&amp;"输出",标准坦克设计!$B$23:$U$23,0)))*(VLOOKUP($B132,INDIRECT($B$5&amp;"生成成长"),3))*(VLOOKUP($B$5,标准坦克设计!$B$14:$K$20,9)/30))</f>
        <v>9.296111835074818</v>
      </c>
      <c r="S132" s="172">
        <f ca="1">(VLOOKUP(S$72,INDIRECT($C$5&amp;"生成成长"),2))/((VLOOKUP($B132,INDIRECT($B$5&amp;"生成成长"),4))/(VLOOKUP(S$72,INDIRECT($C$5&amp;"生成成长"),5))*(VLOOKUP($B$5,标准坦克设计!$B$24:$U$30,MATCH("对"&amp;LEFT($C$5,2)&amp;"输出",标准坦克设计!$B$23:$U$23,0)))*(VLOOKUP($B132,INDIRECT($B$5&amp;"生成成长"),3))*(VLOOKUP($B$5,标准坦克设计!$B$14:$K$20,9)/30))</f>
        <v>10.306460875696617</v>
      </c>
      <c r="T132" s="172">
        <f ca="1">(VLOOKUP(T$72,INDIRECT($C$5&amp;"生成成长"),2))/((VLOOKUP($B132,INDIRECT($B$5&amp;"生成成长"),4))/(VLOOKUP(T$72,INDIRECT($C$5&amp;"生成成长"),5))*(VLOOKUP($B$5,标准坦克设计!$B$24:$U$30,MATCH("对"&amp;LEFT($C$5,2)&amp;"输出",标准坦克设计!$B$23:$U$23,0)))*(VLOOKUP($B132,INDIRECT($B$5&amp;"生成成长"),3))*(VLOOKUP($B$5,标准坦克设计!$B$14:$K$20,9)/30))</f>
        <v>11.368919608957935</v>
      </c>
      <c r="U132" s="172">
        <f ca="1">(VLOOKUP(U$72,INDIRECT($C$5&amp;"生成成长"),2))/((VLOOKUP($B132,INDIRECT($B$5&amp;"生成成长"),4))/(VLOOKUP(U$72,INDIRECT($C$5&amp;"生成成长"),5))*(VLOOKUP($B$5,标准坦克设计!$B$24:$U$30,MATCH("对"&amp;LEFT($C$5,2)&amp;"输出",标准坦克设计!$B$23:$U$23,0)))*(VLOOKUP($B132,INDIRECT($B$5&amp;"生成成长"),3))*(VLOOKUP($B$5,标准坦克设计!$B$14:$K$20,9)/30))</f>
        <v>12.483488034858775</v>
      </c>
      <c r="V132" s="172">
        <f ca="1">(VLOOKUP(V$72,INDIRECT($C$5&amp;"生成成长"),2))/((VLOOKUP($B132,INDIRECT($B$5&amp;"生成成长"),4))/(VLOOKUP(V$72,INDIRECT($C$5&amp;"生成成长"),5))*(VLOOKUP($B$5,标准坦克设计!$B$24:$U$30,MATCH("对"&amp;LEFT($C$5,2)&amp;"输出",标准坦克设计!$B$23:$U$23,0)))*(VLOOKUP($B132,INDIRECT($B$5&amp;"生成成长"),3))*(VLOOKUP($B$5,标准坦克设计!$B$14:$K$20,9)/30))</f>
        <v>13.650166153399137</v>
      </c>
      <c r="W132" s="172">
        <f ca="1">(VLOOKUP(W$72,INDIRECT($C$5&amp;"生成成长"),2))/((VLOOKUP($B132,INDIRECT($B$5&amp;"生成成长"),4))/(VLOOKUP(W$72,INDIRECT($C$5&amp;"生成成长"),5))*(VLOOKUP($B$5,标准坦克设计!$B$24:$U$30,MATCH("对"&amp;LEFT($C$5,2)&amp;"输出",标准坦克设计!$B$23:$U$23,0)))*(VLOOKUP($B132,INDIRECT($B$5&amp;"生成成长"),3))*(VLOOKUP($B$5,标准坦克设计!$B$14:$K$20,9)/30))</f>
        <v>14.868953964579013</v>
      </c>
      <c r="X132" s="172">
        <f ca="1">(VLOOKUP(X$72,INDIRECT($C$5&amp;"生成成长"),2))/((VLOOKUP($B132,INDIRECT($B$5&amp;"生成成长"),4))/(VLOOKUP(X$72,INDIRECT($C$5&amp;"生成成长"),5))*(VLOOKUP($B$5,标准坦克设计!$B$24:$U$30,MATCH("对"&amp;LEFT($C$5,2)&amp;"输出",标准坦克设计!$B$23:$U$23,0)))*(VLOOKUP($B132,INDIRECT($B$5&amp;"生成成长"),3))*(VLOOKUP($B$5,标准坦克设计!$B$14:$K$20,9)/30))</f>
        <v>10.772231461758498</v>
      </c>
      <c r="Y132" s="172">
        <f ca="1">(VLOOKUP(Y$72,INDIRECT($C$5&amp;"生成成长"),2))/((VLOOKUP($B132,INDIRECT($B$5&amp;"生成成长"),4))/(VLOOKUP(Y$72,INDIRECT($C$5&amp;"生成成长"),5))*(VLOOKUP($B$5,标准坦克设计!$B$24:$U$30,MATCH("对"&amp;LEFT($C$5,2)&amp;"输出",标准坦克设计!$B$23:$U$23,0)))*(VLOOKUP($B132,INDIRECT($B$5&amp;"生成成长"),3))*(VLOOKUP($B$5,标准坦克设计!$B$14:$K$20,9)/30))</f>
        <v>11.981690994626366</v>
      </c>
      <c r="Z132" s="172">
        <f ca="1">(VLOOKUP(Z$72,INDIRECT($C$5&amp;"生成成长"),2))/((VLOOKUP($B132,INDIRECT($B$5&amp;"生成成长"),4))/(VLOOKUP(Z$72,INDIRECT($C$5&amp;"生成成长"),5))*(VLOOKUP($B$5,标准坦克设计!$B$24:$U$30,MATCH("对"&amp;LEFT($C$5,2)&amp;"输出",标准坦克设计!$B$23:$U$23,0)))*(VLOOKUP($B132,INDIRECT($B$5&amp;"生成成长"),3))*(VLOOKUP($B$5,标准坦克设计!$B$14:$K$20,9)/30))</f>
        <v>13.255483481370179</v>
      </c>
      <c r="AA132" s="172">
        <f ca="1">(VLOOKUP(AA$72,INDIRECT($C$5&amp;"生成成长"),2))/((VLOOKUP($B132,INDIRECT($B$5&amp;"生成成长"),4))/(VLOOKUP(AA$72,INDIRECT($C$5&amp;"生成成长"),5))*(VLOOKUP($B$5,标准坦克设计!$B$24:$U$30,MATCH("对"&amp;LEFT($C$5,2)&amp;"输出",标准坦克设计!$B$23:$U$23,0)))*(VLOOKUP($B132,INDIRECT($B$5&amp;"生成成长"),3))*(VLOOKUP($B$5,标准坦克设计!$B$14:$K$20,9)/30))</f>
        <v>14.593608921989945</v>
      </c>
      <c r="AB132" s="172">
        <f ca="1">(VLOOKUP(AB$72,INDIRECT($C$5&amp;"生成成长"),2))/((VLOOKUP($B132,INDIRECT($B$5&amp;"生成成长"),4))/(VLOOKUP(AB$72,INDIRECT($C$5&amp;"生成成长"),5))*(VLOOKUP($B$5,标准坦克设计!$B$24:$U$30,MATCH("对"&amp;LEFT($C$5,2)&amp;"输出",标准坦克设计!$B$23:$U$23,0)))*(VLOOKUP($B132,INDIRECT($B$5&amp;"生成成长"),3))*(VLOOKUP($B$5,标准坦克设计!$B$14:$K$20,9)/30))</f>
        <v>15.996067316485663</v>
      </c>
      <c r="AC132" s="172">
        <f ca="1">(VLOOKUP(AC$72,INDIRECT($C$5&amp;"生成成长"),2))/((VLOOKUP($B132,INDIRECT($B$5&amp;"生成成长"),4))/(VLOOKUP(AC$72,INDIRECT($C$5&amp;"生成成长"),5))*(VLOOKUP($B$5,标准坦克设计!$B$24:$U$30,MATCH("对"&amp;LEFT($C$5,2)&amp;"输出",标准坦克设计!$B$23:$U$23,0)))*(VLOOKUP($B132,INDIRECT($B$5&amp;"生成成长"),3))*(VLOOKUP($B$5,标准坦克设计!$B$14:$K$20,9)/30))</f>
        <v>17.462858664857329</v>
      </c>
      <c r="AD132" s="172">
        <f ca="1">(VLOOKUP(AD$72,INDIRECT($C$5&amp;"生成成长"),2))/((VLOOKUP($B132,INDIRECT($B$5&amp;"生成成长"),4))/(VLOOKUP(AD$72,INDIRECT($C$5&amp;"生成成长"),5))*(VLOOKUP($B$5,标准坦克设计!$B$24:$U$30,MATCH("对"&amp;LEFT($C$5,2)&amp;"输出",标准坦克设计!$B$23:$U$23,0)))*(VLOOKUP($B132,INDIRECT($B$5&amp;"生成成长"),3))*(VLOOKUP($B$5,标准坦克设计!$B$14:$K$20,9)/30))</f>
        <v>18.993982967104948</v>
      </c>
      <c r="AE132" s="172">
        <f ca="1">(VLOOKUP(AE$72,INDIRECT($C$5&amp;"生成成长"),2))/((VLOOKUP($B132,INDIRECT($B$5&amp;"生成成长"),4))/(VLOOKUP(AE$72,INDIRECT($C$5&amp;"生成成长"),5))*(VLOOKUP($B$5,标准坦克设计!$B$24:$U$30,MATCH("对"&amp;LEFT($C$5,2)&amp;"输出",标准坦克设计!$B$23:$U$23,0)))*(VLOOKUP($B132,INDIRECT($B$5&amp;"生成成长"),3))*(VLOOKUP($B$5,标准坦克设计!$B$14:$K$20,9)/30))</f>
        <v>20.589440223228515</v>
      </c>
      <c r="AF132" s="172">
        <f ca="1">(VLOOKUP(AF$72,INDIRECT($C$5&amp;"生成成长"),2))/((VLOOKUP($B132,INDIRECT($B$5&amp;"生成成长"),4))/(VLOOKUP(AF$72,INDIRECT($C$5&amp;"生成成长"),5))*(VLOOKUP($B$5,标准坦克设计!$B$24:$U$30,MATCH("对"&amp;LEFT($C$5,2)&amp;"输出",标准坦克设计!$B$23:$U$23,0)))*(VLOOKUP($B132,INDIRECT($B$5&amp;"生成成长"),3))*(VLOOKUP($B$5,标准坦克设计!$B$14:$K$20,9)/30))</f>
        <v>22.249230433228032</v>
      </c>
      <c r="AG132" s="172">
        <f ca="1">(VLOOKUP(AG$72,INDIRECT($C$5&amp;"生成成长"),2))/((VLOOKUP($B132,INDIRECT($B$5&amp;"生成成长"),4))/(VLOOKUP(AG$72,INDIRECT($C$5&amp;"生成成长"),5))*(VLOOKUP($B$5,标准坦克设计!$B$24:$U$30,MATCH("对"&amp;LEFT($C$5,2)&amp;"输出",标准坦克设计!$B$23:$U$23,0)))*(VLOOKUP($B132,INDIRECT($B$5&amp;"生成成长"),3))*(VLOOKUP($B$5,标准坦克设计!$B$14:$K$20,9)/30))</f>
        <v>23.973353597103504</v>
      </c>
      <c r="AH132" s="172">
        <f ca="1">(VLOOKUP(AH$72,INDIRECT($C$5&amp;"生成成长"),2))/((VLOOKUP($B132,INDIRECT($B$5&amp;"生成成长"),4))/(VLOOKUP(AH$72,INDIRECT($C$5&amp;"生成成长"),5))*(VLOOKUP($B$5,标准坦克设计!$B$24:$U$30,MATCH("对"&amp;LEFT($C$5,2)&amp;"输出",标准坦克设计!$B$23:$U$23,0)))*(VLOOKUP($B132,INDIRECT($B$5&amp;"生成成长"),3))*(VLOOKUP($B$5,标准坦克设计!$B$14:$K$20,9)/30))</f>
        <v>25.76180971485492</v>
      </c>
      <c r="AI132" s="172">
        <f ca="1">(VLOOKUP(AI$72,INDIRECT($C$5&amp;"生成成长"),2))/((VLOOKUP($B132,INDIRECT($B$5&amp;"生成成长"),4))/(VLOOKUP(AI$72,INDIRECT($C$5&amp;"生成成长"),5))*(VLOOKUP($B$5,标准坦克设计!$B$24:$U$30,MATCH("对"&amp;LEFT($C$5,2)&amp;"输出",标准坦克设计!$B$23:$U$23,0)))*(VLOOKUP($B132,INDIRECT($B$5&amp;"生成成长"),3))*(VLOOKUP($B$5,标准坦克设计!$B$14:$K$20,9)/30))</f>
        <v>18.220379196746642</v>
      </c>
      <c r="AJ132" s="172">
        <f ca="1">(VLOOKUP(AJ$72,INDIRECT($C$5&amp;"生成成长"),2))/((VLOOKUP($B132,INDIRECT($B$5&amp;"生成成长"),4))/(VLOOKUP(AJ$72,INDIRECT($C$5&amp;"生成成长"),5))*(VLOOKUP($B$5,标准坦克设计!$B$24:$U$30,MATCH("对"&amp;LEFT($C$5,2)&amp;"输出",标准坦克设计!$B$23:$U$23,0)))*(VLOOKUP($B132,INDIRECT($B$5&amp;"生成成长"),3))*(VLOOKUP($B$5,标准坦克设计!$B$14:$K$20,9)/30))</f>
        <v>19.943537366313976</v>
      </c>
      <c r="AK132" s="172">
        <f ca="1">(VLOOKUP(AK$72,INDIRECT($C$5&amp;"生成成长"),2))/((VLOOKUP($B132,INDIRECT($B$5&amp;"生成成长"),4))/(VLOOKUP(AK$72,INDIRECT($C$5&amp;"生成成长"),5))*(VLOOKUP($B$5,标准坦克设计!$B$24:$U$30,MATCH("对"&amp;LEFT($C$5,2)&amp;"输出",标准坦克设计!$B$23:$U$23,0)))*(VLOOKUP($B132,INDIRECT($B$5&amp;"生成成长"),3))*(VLOOKUP($B$5,标准坦克设计!$B$14:$K$20,9)/30))</f>
        <v>21.7445384100712</v>
      </c>
      <c r="AL132" s="172">
        <f ca="1">(VLOOKUP(AL$72,INDIRECT($C$5&amp;"生成成长"),2))/((VLOOKUP($B132,INDIRECT($B$5&amp;"生成成长"),4))/(VLOOKUP(AL$72,INDIRECT($C$5&amp;"生成成长"),5))*(VLOOKUP($B$5,标准坦克设计!$B$24:$U$30,MATCH("对"&amp;LEFT($C$5,2)&amp;"输出",标准坦克设计!$B$23:$U$23,0)))*(VLOOKUP($B132,INDIRECT($B$5&amp;"生成成长"),3))*(VLOOKUP($B$5,标准坦克设计!$B$14:$K$20,9)/30))</f>
        <v>23.62338232801833</v>
      </c>
      <c r="AM132" s="172">
        <f ca="1">(VLOOKUP(AM$72,INDIRECT($C$5&amp;"生成成长"),2))/((VLOOKUP($B132,INDIRECT($B$5&amp;"生成成长"),4))/(VLOOKUP(AM$72,INDIRECT($C$5&amp;"生成成长"),5))*(VLOOKUP($B$5,标准坦克设计!$B$24:$U$30,MATCH("对"&amp;LEFT($C$5,2)&amp;"输出",标准坦克设计!$B$23:$U$23,0)))*(VLOOKUP($B132,INDIRECT($B$5&amp;"生成成长"),3))*(VLOOKUP($B$5,标准坦克设计!$B$14:$K$20,9)/30))</f>
        <v>25.580069120155354</v>
      </c>
      <c r="AN132" s="172">
        <f ca="1">(VLOOKUP(AN$72,INDIRECT($C$5&amp;"生成成长"),2))/((VLOOKUP($B132,INDIRECT($B$5&amp;"生成成长"),4))/(VLOOKUP(AN$72,INDIRECT($C$5&amp;"生成成长"),5))*(VLOOKUP($B$5,标准坦克设计!$B$24:$U$30,MATCH("对"&amp;LEFT($C$5,2)&amp;"输出",标准坦克设计!$B$23:$U$23,0)))*(VLOOKUP($B132,INDIRECT($B$5&amp;"生成成长"),3))*(VLOOKUP($B$5,标准坦克设计!$B$14:$K$20,9)/30))</f>
        <v>27.614598786482286</v>
      </c>
      <c r="AO132" s="172">
        <f ca="1">(VLOOKUP(AO$72,INDIRECT($C$5&amp;"生成成长"),2))/((VLOOKUP($B132,INDIRECT($B$5&amp;"生成成长"),4))/(VLOOKUP(AO$72,INDIRECT($C$5&amp;"生成成长"),5))*(VLOOKUP($B$5,标准坦克设计!$B$24:$U$30,MATCH("对"&amp;LEFT($C$5,2)&amp;"输出",标准坦克设计!$B$23:$U$23,0)))*(VLOOKUP($B132,INDIRECT($B$5&amp;"生成成长"),3))*(VLOOKUP($B$5,标准坦克设计!$B$14:$K$20,9)/30))</f>
        <v>29.726971326999116</v>
      </c>
      <c r="AP132" s="172">
        <f ca="1">(VLOOKUP(AP$72,INDIRECT($C$5&amp;"生成成长"),2))/((VLOOKUP($B132,INDIRECT($B$5&amp;"生成成长"),4))/(VLOOKUP(AP$72,INDIRECT($C$5&amp;"生成成长"),5))*(VLOOKUP($B$5,标准坦克设计!$B$24:$U$30,MATCH("对"&amp;LEFT($C$5,2)&amp;"输出",标准坦克设计!$B$23:$U$23,0)))*(VLOOKUP($B132,INDIRECT($B$5&amp;"生成成长"),3))*(VLOOKUP($B$5,标准坦克设计!$B$14:$K$20,9)/30))</f>
        <v>31.917186741705841</v>
      </c>
      <c r="AQ132" s="172">
        <f ca="1">(VLOOKUP(AQ$72,INDIRECT($C$5&amp;"生成成长"),2))/((VLOOKUP($B132,INDIRECT($B$5&amp;"生成成长"),4))/(VLOOKUP(AQ$72,INDIRECT($C$5&amp;"生成成长"),5))*(VLOOKUP($B$5,标准坦克设计!$B$24:$U$30,MATCH("对"&amp;LEFT($C$5,2)&amp;"输出",标准坦克设计!$B$23:$U$23,0)))*(VLOOKUP($B132,INDIRECT($B$5&amp;"生成成长"),3))*(VLOOKUP($B$5,标准坦克设计!$B$14:$K$20,9)/30))</f>
        <v>34.185245030602466</v>
      </c>
      <c r="AR132" s="172">
        <f ca="1">(VLOOKUP(AR$72,INDIRECT($C$5&amp;"生成成长"),2))/((VLOOKUP($B132,INDIRECT($B$5&amp;"生成成长"),4))/(VLOOKUP(AR$72,INDIRECT($C$5&amp;"生成成长"),5))*(VLOOKUP($B$5,标准坦克设计!$B$24:$U$30,MATCH("对"&amp;LEFT($C$5,2)&amp;"输出",标准坦克设计!$B$23:$U$23,0)))*(VLOOKUP($B132,INDIRECT($B$5&amp;"生成成长"),3))*(VLOOKUP($B$5,标准坦克设计!$B$14:$K$20,9)/30))</f>
        <v>36.531146193689004</v>
      </c>
      <c r="AS132" s="172">
        <f ca="1">(VLOOKUP(AS$72,INDIRECT($C$5&amp;"生成成长"),2))/((VLOOKUP($B132,INDIRECT($B$5&amp;"生成成长"),4))/(VLOOKUP(AS$72,INDIRECT($C$5&amp;"生成成长"),5))*(VLOOKUP($B$5,标准坦克设计!$B$24:$U$30,MATCH("对"&amp;LEFT($C$5,2)&amp;"输出",标准坦克设计!$B$23:$U$23,0)))*(VLOOKUP($B132,INDIRECT($B$5&amp;"生成成长"),3))*(VLOOKUP($B$5,标准坦克设计!$B$14:$K$20,9)/30))</f>
        <v>38.954890230965425</v>
      </c>
      <c r="AT132" s="172">
        <f ca="1">(VLOOKUP(AT$72,INDIRECT($C$5&amp;"生成成长"),2))/((VLOOKUP($B132,INDIRECT($B$5&amp;"生成成长"),4))/(VLOOKUP(AT$72,INDIRECT($C$5&amp;"生成成长"),5))*(VLOOKUP($B$5,标准坦克设计!$B$24:$U$30,MATCH("对"&amp;LEFT($C$5,2)&amp;"输出",标准坦克设计!$B$23:$U$23,0)))*(VLOOKUP($B132,INDIRECT($B$5&amp;"生成成长"),3))*(VLOOKUP($B$5,标准坦克设计!$B$14:$K$20,9)/30))</f>
        <v>41.456477142431751</v>
      </c>
      <c r="AU132" s="172">
        <f ca="1">(VLOOKUP(AU$72,INDIRECT($C$5&amp;"生成成长"),2))/((VLOOKUP($B132,INDIRECT($B$5&amp;"生成成长"),4))/(VLOOKUP(AU$72,INDIRECT($C$5&amp;"生成成长"),5))*(VLOOKUP($B$5,标准坦克设计!$B$24:$U$30,MATCH("对"&amp;LEFT($C$5,2)&amp;"输出",标准坦克设计!$B$23:$U$23,0)))*(VLOOKUP($B132,INDIRECT($B$5&amp;"生成成长"),3))*(VLOOKUP($B$5,标准坦克设计!$B$14:$K$20,9)/30))</f>
        <v>44.035906928087982</v>
      </c>
      <c r="AV132" s="172">
        <f ca="1">(VLOOKUP(AV$72,INDIRECT($C$5&amp;"生成成长"),2))/((VLOOKUP($B132,INDIRECT($B$5&amp;"生成成长"),4))/(VLOOKUP(AV$72,INDIRECT($C$5&amp;"生成成长"),5))*(VLOOKUP($B$5,标准坦克设计!$B$24:$U$30,MATCH("对"&amp;LEFT($C$5,2)&amp;"输出",标准坦克设计!$B$23:$U$23,0)))*(VLOOKUP($B132,INDIRECT($B$5&amp;"生成成长"),3))*(VLOOKUP($B$5,标准坦克设计!$B$14:$K$20,9)/30))</f>
        <v>4.4788602488436586</v>
      </c>
      <c r="AW132" s="172">
        <f ca="1">(VLOOKUP(AW$72,INDIRECT($C$5&amp;"生成成长"),2))/((VLOOKUP($B132,INDIRECT($B$5&amp;"生成成长"),4))/(VLOOKUP(AW$72,INDIRECT($C$5&amp;"生成成长"),5))*(VLOOKUP($B$5,标准坦克设计!$B$24:$U$30,MATCH("对"&amp;LEFT($C$5,2)&amp;"输出",标准坦克设计!$B$23:$U$23,0)))*(VLOOKUP($B132,INDIRECT($B$5&amp;"生成成长"),3))*(VLOOKUP($B$5,标准坦克设计!$B$14:$K$20,9)/30))</f>
        <v>5.1067498786729351</v>
      </c>
      <c r="AX132" s="172">
        <f ca="1">(VLOOKUP(AX$72,INDIRECT($C$5&amp;"生成成长"),2))/((VLOOKUP($B132,INDIRECT($B$5&amp;"生成成长"),4))/(VLOOKUP(AX$72,INDIRECT($C$5&amp;"生成成长"),5))*(VLOOKUP($B$5,标准坦克设计!$B$24:$U$30,MATCH("对"&amp;LEFT($C$5,2)&amp;"输出",标准坦克设计!$B$23:$U$23,0)))*(VLOOKUP($B132,INDIRECT($B$5&amp;"生成成长"),3))*(VLOOKUP($B$5,标准坦克设计!$B$14:$K$20,9)/30))</f>
        <v>5.7758125989828182</v>
      </c>
      <c r="AY132" s="172">
        <f ca="1">(VLOOKUP(AY$72,INDIRECT($C$5&amp;"生成成长"),2))/((VLOOKUP($B132,INDIRECT($B$5&amp;"生成成长"),4))/(VLOOKUP(AY$72,INDIRECT($C$5&amp;"生成成长"),5))*(VLOOKUP($B$5,标准坦克设计!$B$24:$U$30,MATCH("对"&amp;LEFT($C$5,2)&amp;"输出",标准坦克设计!$B$23:$U$23,0)))*(VLOOKUP($B132,INDIRECT($B$5&amp;"生成成长"),3))*(VLOOKUP($B$5,标准坦克设计!$B$14:$K$20,9)/30))</f>
        <v>6.4860484097733098</v>
      </c>
      <c r="AZ132" s="172">
        <f ca="1">(VLOOKUP(AZ$72,INDIRECT($C$5&amp;"生成成长"),2))/((VLOOKUP($B132,INDIRECT($B$5&amp;"生成成长"),4))/(VLOOKUP(AZ$72,INDIRECT($C$5&amp;"生成成长"),5))*(VLOOKUP($B$5,标准坦克设计!$B$24:$U$30,MATCH("对"&amp;LEFT($C$5,2)&amp;"输出",标准坦克设计!$B$23:$U$23,0)))*(VLOOKUP($B132,INDIRECT($B$5&amp;"生成成长"),3))*(VLOOKUP($B$5,标准坦克设计!$B$14:$K$20,9)/30))</f>
        <v>7.2374573110444098</v>
      </c>
      <c r="BA132" s="172">
        <f ca="1">(VLOOKUP(BA$72,INDIRECT($C$5&amp;"生成成长"),2))/((VLOOKUP($B132,INDIRECT($B$5&amp;"生成成长"),4))/(VLOOKUP(BA$72,INDIRECT($C$5&amp;"生成成长"),5))*(VLOOKUP($B$5,标准坦克设计!$B$24:$U$30,MATCH("对"&amp;LEFT($C$5,2)&amp;"输出",标准坦克设计!$B$23:$U$23,0)))*(VLOOKUP($B132,INDIRECT($B$5&amp;"生成成长"),3))*(VLOOKUP($B$5,标准坦克设计!$B$14:$K$20,9)/30))</f>
        <v>8.0300393027961157</v>
      </c>
      <c r="BB132" s="172">
        <f ca="1">(VLOOKUP(BB$72,INDIRECT($C$5&amp;"生成成长"),2))/((VLOOKUP($B132,INDIRECT($B$5&amp;"生成成长"),4))/(VLOOKUP(BB$72,INDIRECT($C$5&amp;"生成成长"),5))*(VLOOKUP($B$5,标准坦克设计!$B$24:$U$30,MATCH("对"&amp;LEFT($C$5,2)&amp;"输出",标准坦克设计!$B$23:$U$23,0)))*(VLOOKUP($B132,INDIRECT($B$5&amp;"生成成长"),3))*(VLOOKUP($B$5,标准坦克设计!$B$14:$K$20,9)/30))</f>
        <v>8.8637943850284344</v>
      </c>
      <c r="BC132" s="172">
        <f ca="1">(VLOOKUP(BC$72,INDIRECT($C$5&amp;"生成成长"),2))/((VLOOKUP($B132,INDIRECT($B$5&amp;"生成成长"),4))/(VLOOKUP(BC$72,INDIRECT($C$5&amp;"生成成长"),5))*(VLOOKUP($B$5,标准坦克设计!$B$24:$U$30,MATCH("对"&amp;LEFT($C$5,2)&amp;"输出",标准坦克设计!$B$23:$U$23,0)))*(VLOOKUP($B132,INDIRECT($B$5&amp;"生成成长"),3))*(VLOOKUP($B$5,标准坦克设计!$B$14:$K$20,9)/30))</f>
        <v>9.7387225577413563</v>
      </c>
      <c r="BD132" s="172">
        <f ca="1">(VLOOKUP(BD$72,INDIRECT($C$5&amp;"生成成长"),2))/((VLOOKUP($B132,INDIRECT($B$5&amp;"生成成长"),4))/(VLOOKUP(BD$72,INDIRECT($C$5&amp;"生成成长"),5))*(VLOOKUP($B$5,标准坦克设计!$B$24:$U$30,MATCH("对"&amp;LEFT($C$5,2)&amp;"输出",标准坦克设计!$B$23:$U$23,0)))*(VLOOKUP($B132,INDIRECT($B$5&amp;"生成成长"),3))*(VLOOKUP($B$5,标准坦克设计!$B$14:$K$20,9)/30))</f>
        <v>10.772231461758498</v>
      </c>
      <c r="BE132" s="172">
        <f ca="1">(VLOOKUP(BE$72,INDIRECT($C$5&amp;"生成成长"),2))/((VLOOKUP($B132,INDIRECT($B$5&amp;"生成成长"),4))/(VLOOKUP(BE$72,INDIRECT($C$5&amp;"生成成长"),5))*(VLOOKUP($B$5,标准坦克设计!$B$24:$U$30,MATCH("对"&amp;LEFT($C$5,2)&amp;"输出",标准坦克设计!$B$23:$U$23,0)))*(VLOOKUP($B132,INDIRECT($B$5&amp;"生成成长"),3))*(VLOOKUP($B$5,标准坦克设计!$B$14:$K$20,9)/30))</f>
        <v>11.857850058415158</v>
      </c>
      <c r="BF132" s="172">
        <f ca="1">(VLOOKUP(BF$72,INDIRECT($C$5&amp;"生成成长"),2))/((VLOOKUP($B132,INDIRECT($B$5&amp;"生成成长"),4))/(VLOOKUP(BF$72,INDIRECT($C$5&amp;"生成成长"),5))*(VLOOKUP($B$5,标准坦克设计!$B$24:$U$30,MATCH("对"&amp;LEFT($C$5,2)&amp;"输出",标准坦克设计!$B$23:$U$23,0)))*(VLOOKUP($B132,INDIRECT($B$5&amp;"生成成长"),3))*(VLOOKUP($B$5,标准坦克设计!$B$14:$K$20,9)/30))</f>
        <v>12.995578347711341</v>
      </c>
      <c r="BG132" s="172">
        <f ca="1">(VLOOKUP(BG$72,INDIRECT($C$5&amp;"生成成长"),2))/((VLOOKUP($B132,INDIRECT($B$5&amp;"生成成长"),4))/(VLOOKUP(BG$72,INDIRECT($C$5&amp;"生成成长"),5))*(VLOOKUP($B$5,标准坦克设计!$B$24:$U$30,MATCH("对"&amp;LEFT($C$5,2)&amp;"输出",标准坦克设计!$B$23:$U$23,0)))*(VLOOKUP($B132,INDIRECT($B$5&amp;"生成成长"),3))*(VLOOKUP($B$5,标准坦克设计!$B$14:$K$20,9)/30))</f>
        <v>14.18541632964704</v>
      </c>
      <c r="BH132" s="172">
        <f ca="1">(VLOOKUP(BH$72,INDIRECT($C$5&amp;"生成成长"),2))/((VLOOKUP($B132,INDIRECT($B$5&amp;"生成成长"),4))/(VLOOKUP(BH$72,INDIRECT($C$5&amp;"生成成长"),5))*(VLOOKUP($B$5,标准坦克设计!$B$24:$U$30,MATCH("对"&amp;LEFT($C$5,2)&amp;"输出",标准坦克设计!$B$23:$U$23,0)))*(VLOOKUP($B132,INDIRECT($B$5&amp;"生成成长"),3))*(VLOOKUP($B$5,标准坦克设计!$B$14:$K$20,9)/30))</f>
        <v>6.8566062240987833</v>
      </c>
      <c r="BI132" s="172">
        <f ca="1">(VLOOKUP(BI$72,INDIRECT($C$5&amp;"生成成长"),2))/((VLOOKUP($B132,INDIRECT($B$5&amp;"生成成长"),4))/(VLOOKUP(BI$72,INDIRECT($C$5&amp;"生成成长"),5))*(VLOOKUP($B$5,标准坦克设计!$B$24:$U$30,MATCH("对"&amp;LEFT($C$5,2)&amp;"输出",标准坦克设计!$B$23:$U$23,0)))*(VLOOKUP($B132,INDIRECT($B$5&amp;"生成成长"),3))*(VLOOKUP($B$5,标准坦克设计!$B$14:$K$20,9)/30))</f>
        <v>7.7279960843485309</v>
      </c>
      <c r="BJ132" s="172">
        <f ca="1">(VLOOKUP(BJ$72,INDIRECT($C$5&amp;"生成成长"),2))/((VLOOKUP($B132,INDIRECT($B$5&amp;"生成成长"),4))/(VLOOKUP(BJ$72,INDIRECT($C$5&amp;"生成成长"),5))*(VLOOKUP($B$5,标准坦克设计!$B$24:$U$30,MATCH("对"&amp;LEFT($C$5,2)&amp;"输出",标准坦克设计!$B$23:$U$23,0)))*(VLOOKUP($B132,INDIRECT($B$5&amp;"生成成长"),3))*(VLOOKUP($B$5,标准坦克设计!$B$14:$K$20,9)/30))</f>
        <v>8.6514956372377956</v>
      </c>
      <c r="BK132" s="172">
        <f ca="1">(VLOOKUP(BK$72,INDIRECT($C$5&amp;"生成成长"),2))/((VLOOKUP($B132,INDIRECT($B$5&amp;"生成成长"),4))/(VLOOKUP(BK$72,INDIRECT($C$5&amp;"生成成长"),5))*(VLOOKUP($B$5,标准坦克设计!$B$24:$U$30,MATCH("对"&amp;LEFT($C$5,2)&amp;"输出",标准坦克设计!$B$23:$U$23,0)))*(VLOOKUP($B132,INDIRECT($B$5&amp;"生成成长"),3))*(VLOOKUP($B$5,标准坦克设计!$B$14:$K$20,9)/30))</f>
        <v>9.6271048827665826</v>
      </c>
      <c r="BL132" s="172">
        <f ca="1">(VLOOKUP(BL$72,INDIRECT($C$5&amp;"生成成长"),2))/((VLOOKUP($B132,INDIRECT($B$5&amp;"生成成长"),4))/(VLOOKUP(BL$72,INDIRECT($C$5&amp;"生成成长"),5))*(VLOOKUP($B$5,标准坦克设计!$B$24:$U$30,MATCH("对"&amp;LEFT($C$5,2)&amp;"输出",标准坦克设计!$B$23:$U$23,0)))*(VLOOKUP($B132,INDIRECT($B$5&amp;"生成成长"),3))*(VLOOKUP($B$5,标准坦克设计!$B$14:$K$20,9)/30))</f>
        <v>10.654823820934887</v>
      </c>
      <c r="BM132" s="172">
        <f ca="1">(VLOOKUP(BM$72,INDIRECT($C$5&amp;"生成成长"),2))/((VLOOKUP($B132,INDIRECT($B$5&amp;"生成成长"),4))/(VLOOKUP(BM$72,INDIRECT($C$5&amp;"生成成长"),5))*(VLOOKUP($B$5,标准坦克设计!$B$24:$U$30,MATCH("对"&amp;LEFT($C$5,2)&amp;"输出",标准坦克设计!$B$23:$U$23,0)))*(VLOOKUP($B132,INDIRECT($B$5&amp;"生成成长"),3))*(VLOOKUP($B$5,标准坦克设计!$B$14:$K$20,9)/30))</f>
        <v>11.734652451742715</v>
      </c>
      <c r="BN132" s="172">
        <f ca="1">(VLOOKUP(BN$72,INDIRECT($C$5&amp;"生成成长"),2))/((VLOOKUP($B132,INDIRECT($B$5&amp;"生成成长"),4))/(VLOOKUP(BN$72,INDIRECT($C$5&amp;"生成成长"),5))*(VLOOKUP($B$5,标准坦克设计!$B$24:$U$30,MATCH("对"&amp;LEFT($C$5,2)&amp;"输出",标准坦克设计!$B$23:$U$23,0)))*(VLOOKUP($B132,INDIRECT($B$5&amp;"生成成长"),3))*(VLOOKUP($B$5,标准坦克设计!$B$14:$K$20,9)/30))</f>
        <v>12.86659077519006</v>
      </c>
      <c r="BO132" s="172">
        <f ca="1">(VLOOKUP(BO$72,INDIRECT($C$5&amp;"生成成长"),2))/((VLOOKUP($B132,INDIRECT($B$5&amp;"生成成长"),4))/(VLOOKUP(BO$72,INDIRECT($C$5&amp;"生成成长"),5))*(VLOOKUP($B$5,标准坦克设计!$B$24:$U$30,MATCH("对"&amp;LEFT($C$5,2)&amp;"输出",标准坦克设计!$B$23:$U$23,0)))*(VLOOKUP($B132,INDIRECT($B$5&amp;"生成成长"),3))*(VLOOKUP($B$5,标准坦克设计!$B$14:$K$20,9)/30))</f>
        <v>14.050638791276926</v>
      </c>
      <c r="BP132" s="172">
        <f ca="1">(VLOOKUP(BP$72,INDIRECT($C$5&amp;"生成成长"),2))/((VLOOKUP($B132,INDIRECT($B$5&amp;"生成成长"),4))/(VLOOKUP(BP$72,INDIRECT($C$5&amp;"生成成长"),5))*(VLOOKUP($B$5,标准坦克设计!$B$24:$U$30,MATCH("对"&amp;LEFT($C$5,2)&amp;"输出",标准坦克设计!$B$23:$U$23,0)))*(VLOOKUP($B132,INDIRECT($B$5&amp;"生成成长"),3))*(VLOOKUP($B$5,标准坦克设计!$B$14:$K$20,9)/30))</f>
        <v>15.286796500003309</v>
      </c>
      <c r="BQ132" s="172">
        <f ca="1">(VLOOKUP(BQ$72,INDIRECT($C$5&amp;"生成成长"),2))/((VLOOKUP($B132,INDIRECT($B$5&amp;"生成成长"),4))/(VLOOKUP(BQ$72,INDIRECT($C$5&amp;"生成成长"),5))*(VLOOKUP($B$5,标准坦克设计!$B$24:$U$30,MATCH("对"&amp;LEFT($C$5,2)&amp;"输出",标准坦克设计!$B$23:$U$23,0)))*(VLOOKUP($B132,INDIRECT($B$5&amp;"生成成长"),3))*(VLOOKUP($B$5,标准坦克设计!$B$14:$K$20,9)/30))</f>
        <v>16.575063901369216</v>
      </c>
      <c r="BR132" s="172">
        <f ca="1">(VLOOKUP(BR$72,INDIRECT($C$5&amp;"生成成长"),2))/((VLOOKUP($B132,INDIRECT($B$5&amp;"生成成长"),4))/(VLOOKUP(BR$72,INDIRECT($C$5&amp;"生成成长"),5))*(VLOOKUP($B$5,标准坦克设计!$B$24:$U$30,MATCH("对"&amp;LEFT($C$5,2)&amp;"输出",标准坦克设计!$B$23:$U$23,0)))*(VLOOKUP($B132,INDIRECT($B$5&amp;"生成成长"),3))*(VLOOKUP($B$5,标准坦克设计!$B$14:$K$20,9)/30))</f>
        <v>18.067588431291263</v>
      </c>
      <c r="BS132" s="172">
        <f ca="1">(VLOOKUP(BS$72,INDIRECT($C$5&amp;"生成成长"),2))/((VLOOKUP($B132,INDIRECT($B$5&amp;"生成成长"),4))/(VLOOKUP(BS$72,INDIRECT($C$5&amp;"生成成长"),5))*(VLOOKUP($B$5,标准坦克设计!$B$24:$U$30,MATCH("对"&amp;LEFT($C$5,2)&amp;"输出",标准坦克设计!$B$23:$U$23,0)))*(VLOOKUP($B132,INDIRECT($B$5&amp;"生成成长"),3))*(VLOOKUP($B$5,标准坦克设计!$B$14:$K$20,9)/30))</f>
        <v>19.624445915089257</v>
      </c>
      <c r="BT132" s="172">
        <f ca="1">(VLOOKUP(BT$72,INDIRECT($C$5&amp;"生成成长"),2))/((VLOOKUP($B132,INDIRECT($B$5&amp;"生成成长"),4))/(VLOOKUP(BT$72,INDIRECT($C$5&amp;"生成成长"),5))*(VLOOKUP($B$5,标准坦克设计!$B$24:$U$30,MATCH("对"&amp;LEFT($C$5,2)&amp;"输出",标准坦克设计!$B$23:$U$23,0)))*(VLOOKUP($B132,INDIRECT($B$5&amp;"生成成长"),3))*(VLOOKUP($B$5,标准坦克设计!$B$14:$K$20,9)/30))</f>
        <v>21.245636352763206</v>
      </c>
      <c r="BU132" s="172">
        <f ca="1">(VLOOKUP(BU$72,INDIRECT($C$5&amp;"生成成长"),2))/((VLOOKUP($B132,INDIRECT($B$5&amp;"生成成长"),4))/(VLOOKUP(BU$72,INDIRECT($C$5&amp;"生成成长"),5))*(VLOOKUP($B$5,标准坦克设计!$B$24:$U$30,MATCH("对"&amp;LEFT($C$5,2)&amp;"输出",标准坦克设计!$B$23:$U$23,0)))*(VLOOKUP($B132,INDIRECT($B$5&amp;"生成成长"),3))*(VLOOKUP($B$5,标准坦克设计!$B$14:$K$20,9)/30))</f>
        <v>22.931159744313106</v>
      </c>
      <c r="BV132" s="172">
        <f ca="1">(VLOOKUP(BV$72,INDIRECT($C$5&amp;"生成成长"),2))/((VLOOKUP($B132,INDIRECT($B$5&amp;"生成成长"),4))/(VLOOKUP(BV$72,INDIRECT($C$5&amp;"生成成长"),5))*(VLOOKUP($B$5,标准坦克设计!$B$24:$U$30,MATCH("对"&amp;LEFT($C$5,2)&amp;"输出",标准坦克设计!$B$23:$U$23,0)))*(VLOOKUP($B132,INDIRECT($B$5&amp;"生成成长"),3))*(VLOOKUP($B$5,标准坦克设计!$B$14:$K$20,9)/30))</f>
        <v>24.681016089738954</v>
      </c>
      <c r="BW132" s="172">
        <f ca="1">(VLOOKUP(BW$72,INDIRECT($C$5&amp;"生成成长"),2))/((VLOOKUP($B132,INDIRECT($B$5&amp;"生成成长"),4))/(VLOOKUP(BW$72,INDIRECT($C$5&amp;"生成成长"),5))*(VLOOKUP($B$5,标准坦克设计!$B$24:$U$30,MATCH("对"&amp;LEFT($C$5,2)&amp;"输出",标准坦克设计!$B$23:$U$23,0)))*(VLOOKUP($B132,INDIRECT($B$5&amp;"生成成长"),3))*(VLOOKUP($B$5,标准坦克设计!$B$14:$K$20,9)/30))</f>
        <v>11.24829532044053</v>
      </c>
      <c r="BX132" s="172">
        <f ca="1">(VLOOKUP(BX$72,INDIRECT($C$5&amp;"生成成长"),2))/((VLOOKUP($B132,INDIRECT($B$5&amp;"生成成长"),4))/(VLOOKUP(BX$72,INDIRECT($C$5&amp;"生成成长"),5))*(VLOOKUP($B$5,标准坦克设计!$B$24:$U$30,MATCH("对"&amp;LEFT($C$5,2)&amp;"输出",标准坦克设计!$B$23:$U$23,0)))*(VLOOKUP($B132,INDIRECT($B$5&amp;"生成成长"),3))*(VLOOKUP($B$5,标准坦克设计!$B$14:$K$20,9)/30))</f>
        <v>12.483488034858775</v>
      </c>
      <c r="BY132" s="172">
        <f ca="1">(VLOOKUP(BY$72,INDIRECT($C$5&amp;"生成成长"),2))/((VLOOKUP($B132,INDIRECT($B$5&amp;"生成成长"),4))/(VLOOKUP(BY$72,INDIRECT($C$5&amp;"生成成长"),5))*(VLOOKUP($B$5,标准坦克设计!$B$24:$U$30,MATCH("对"&amp;LEFT($C$5,2)&amp;"输出",标准坦克设计!$B$23:$U$23,0)))*(VLOOKUP($B132,INDIRECT($B$5&amp;"生成成长"),3))*(VLOOKUP($B$5,标准坦克设计!$B$14:$K$20,9)/30))</f>
        <v>13.783013703152973</v>
      </c>
      <c r="BZ132" s="172">
        <f ca="1">(VLOOKUP(BZ$72,INDIRECT($C$5&amp;"生成成长"),2))/((VLOOKUP($B132,INDIRECT($B$5&amp;"生成成长"),4))/(VLOOKUP(BZ$72,INDIRECT($C$5&amp;"生成成长"),5))*(VLOOKUP($B$5,标准坦克设计!$B$24:$U$30,MATCH("对"&amp;LEFT($C$5,2)&amp;"输出",标准坦克设计!$B$23:$U$23,0)))*(VLOOKUP($B132,INDIRECT($B$5&amp;"生成成长"),3))*(VLOOKUP($B$5,标准坦克设计!$B$14:$K$20,9)/30))</f>
        <v>15.146872325323121</v>
      </c>
      <c r="CA132" s="172">
        <f ca="1">(VLOOKUP(CA$72,INDIRECT($C$5&amp;"生成成长"),2))/((VLOOKUP($B132,INDIRECT($B$5&amp;"生成成长"),4))/(VLOOKUP(CA$72,INDIRECT($C$5&amp;"生成成长"),5))*(VLOOKUP($B$5,标准坦克设计!$B$24:$U$30,MATCH("对"&amp;LEFT($C$5,2)&amp;"输出",标准坦克设计!$B$23:$U$23,0)))*(VLOOKUP($B132,INDIRECT($B$5&amp;"生成成长"),3))*(VLOOKUP($B$5,标准坦克设计!$B$14:$K$20,9)/30))</f>
        <v>16.575063901369216</v>
      </c>
      <c r="CB132" s="172">
        <f ca="1">(VLOOKUP(CB$72,INDIRECT($C$5&amp;"生成成长"),2))/((VLOOKUP($B132,INDIRECT($B$5&amp;"生成成长"),4))/(VLOOKUP(CB$72,INDIRECT($C$5&amp;"生成成长"),5))*(VLOOKUP($B$5,标准坦克设计!$B$24:$U$30,MATCH("对"&amp;LEFT($C$5,2)&amp;"输出",标准坦克设计!$B$23:$U$23,0)))*(VLOOKUP($B132,INDIRECT($B$5&amp;"生成成长"),3))*(VLOOKUP($B$5,标准坦克设计!$B$14:$K$20,9)/30))</f>
        <v>18.067588431291263</v>
      </c>
      <c r="CC132" s="172">
        <f ca="1">(VLOOKUP(CC$72,INDIRECT($C$5&amp;"生成成长"),2))/((VLOOKUP($B132,INDIRECT($B$5&amp;"生成成长"),4))/(VLOOKUP(CC$72,INDIRECT($C$5&amp;"生成成长"),5))*(VLOOKUP($B$5,标准坦克设计!$B$24:$U$30,MATCH("对"&amp;LEFT($C$5,2)&amp;"输出",标准坦克设计!$B$23:$U$23,0)))*(VLOOKUP($B132,INDIRECT($B$5&amp;"生成成长"),3))*(VLOOKUP($B$5,标准坦克设计!$B$14:$K$20,9)/30))</f>
        <v>19.624445915089257</v>
      </c>
      <c r="CD132" s="172">
        <f ca="1">(VLOOKUP(CD$72,INDIRECT($C$5&amp;"生成成长"),2))/((VLOOKUP($B132,INDIRECT($B$5&amp;"生成成长"),4))/(VLOOKUP(CD$72,INDIRECT($C$5&amp;"生成成长"),5))*(VLOOKUP($B$5,标准坦克设计!$B$24:$U$30,MATCH("对"&amp;LEFT($C$5,2)&amp;"输出",标准坦克设计!$B$23:$U$23,0)))*(VLOOKUP($B132,INDIRECT($B$5&amp;"生成成长"),3))*(VLOOKUP($B$5,标准坦克设计!$B$14:$K$20,9)/30))</f>
        <v>21.245636352763206</v>
      </c>
      <c r="CE132" s="172">
        <f ca="1">(VLOOKUP(CE$72,INDIRECT($C$5&amp;"生成成长"),2))/((VLOOKUP($B132,INDIRECT($B$5&amp;"生成成长"),4))/(VLOOKUP(CE$72,INDIRECT($C$5&amp;"生成成长"),5))*(VLOOKUP($B$5,标准坦克设计!$B$24:$U$30,MATCH("对"&amp;LEFT($C$5,2)&amp;"输出",标准坦克设计!$B$23:$U$23,0)))*(VLOOKUP($B132,INDIRECT($B$5&amp;"生成成长"),3))*(VLOOKUP($B$5,标准坦克设计!$B$14:$K$20,9)/30))</f>
        <v>22.931159744313106</v>
      </c>
      <c r="CF132" s="172">
        <f ca="1">(VLOOKUP(CF$72,INDIRECT($C$5&amp;"生成成长"),2))/((VLOOKUP($B132,INDIRECT($B$5&amp;"生成成长"),4))/(VLOOKUP(CF$72,INDIRECT($C$5&amp;"生成成长"),5))*(VLOOKUP($B$5,标准坦克设计!$B$24:$U$30,MATCH("对"&amp;LEFT($C$5,2)&amp;"输出",标准坦克设计!$B$23:$U$23,0)))*(VLOOKUP($B132,INDIRECT($B$5&amp;"生成成长"),3))*(VLOOKUP($B$5,标准坦克设计!$B$14:$K$20,9)/30))</f>
        <v>24.681016089738954</v>
      </c>
      <c r="CG132" s="172">
        <f ca="1">(VLOOKUP(CG$72,INDIRECT($C$5&amp;"生成成长"),2))/((VLOOKUP($B132,INDIRECT($B$5&amp;"生成成长"),4))/(VLOOKUP(CG$72,INDIRECT($C$5&amp;"生成成长"),5))*(VLOOKUP($B$5,标准坦克设计!$B$24:$U$30,MATCH("对"&amp;LEFT($C$5,2)&amp;"输出",标准坦克设计!$B$23:$U$23,0)))*(VLOOKUP($B132,INDIRECT($B$5&amp;"生成成长"),3))*(VLOOKUP($B$5,标准坦克设计!$B$14:$K$20,9)/30))</f>
        <v>26.495205389040756</v>
      </c>
      <c r="CH132" s="172">
        <f ca="1">(VLOOKUP(CH$72,INDIRECT($C$5&amp;"生成成长"),2))/((VLOOKUP($B132,INDIRECT($B$5&amp;"生成成长"),4))/(VLOOKUP(CH$72,INDIRECT($C$5&amp;"生成成长"),5))*(VLOOKUP($B$5,标准坦克设计!$B$24:$U$30,MATCH("对"&amp;LEFT($C$5,2)&amp;"输出",标准坦克设计!$B$23:$U$23,0)))*(VLOOKUP($B132,INDIRECT($B$5&amp;"生成成长"),3))*(VLOOKUP($B$5,标准坦克设计!$B$14:$K$20,9)/30))</f>
        <v>28.373727642218501</v>
      </c>
      <c r="CI132" s="172">
        <f ca="1">(VLOOKUP(CI$72,INDIRECT($C$5&amp;"生成成长"),2))/((VLOOKUP($B132,INDIRECT($B$5&amp;"生成成长"),4))/(VLOOKUP(CI$72,INDIRECT($C$5&amp;"生成成长"),5))*(VLOOKUP($B$5,标准坦克设计!$B$24:$U$30,MATCH("对"&amp;LEFT($C$5,2)&amp;"输出",标准坦克设计!$B$23:$U$23,0)))*(VLOOKUP($B132,INDIRECT($B$5&amp;"生成成长"),3))*(VLOOKUP($B$5,标准坦克设计!$B$14:$K$20,9)/30))</f>
        <v>30.51440668244075</v>
      </c>
      <c r="CJ132" s="172">
        <f ca="1">(VLOOKUP(CJ$72,INDIRECT($C$5&amp;"生成成长"),2))/((VLOOKUP($B132,INDIRECT($B$5&amp;"生成成长"),4))/(VLOOKUP(CJ$72,INDIRECT($C$5&amp;"生成成长"),5))*(VLOOKUP($B$5,标准坦克设计!$B$24:$U$30,MATCH("对"&amp;LEFT($C$5,2)&amp;"输出",标准坦克设计!$B$23:$U$23,0)))*(VLOOKUP($B132,INDIRECT($B$5&amp;"生成成长"),3))*(VLOOKUP($B$5,标准坦克设计!$B$14:$K$20,9)/30))</f>
        <v>32.732928596852894</v>
      </c>
      <c r="CK132" s="172">
        <f ca="1">(VLOOKUP(CK$72,INDIRECT($C$5&amp;"生成成长"),2))/((VLOOKUP($B132,INDIRECT($B$5&amp;"生成成长"),4))/(VLOOKUP(CK$72,INDIRECT($C$5&amp;"生成成长"),5))*(VLOOKUP($B$5,标准坦克设计!$B$24:$U$30,MATCH("对"&amp;LEFT($C$5,2)&amp;"输出",标准坦克设计!$B$23:$U$23,0)))*(VLOOKUP($B132,INDIRECT($B$5&amp;"生成成长"),3))*(VLOOKUP($B$5,标准坦克设计!$B$14:$K$20,9)/30))</f>
        <v>35.029293385454935</v>
      </c>
      <c r="CL132" s="172">
        <f ca="1">(VLOOKUP(CL$72,INDIRECT($C$5&amp;"生成成长"),2))/((VLOOKUP($B132,INDIRECT($B$5&amp;"生成成长"),4))/(VLOOKUP(CL$72,INDIRECT($C$5&amp;"生成成长"),5))*(VLOOKUP($B$5,标准坦克设计!$B$24:$U$30,MATCH("对"&amp;LEFT($C$5,2)&amp;"输出",标准坦克设计!$B$23:$U$23,0)))*(VLOOKUP($B132,INDIRECT($B$5&amp;"生成成长"),3))*(VLOOKUP($B$5,标准坦克设计!$B$14:$K$20,9)/30))</f>
        <v>37.403501048246888</v>
      </c>
      <c r="CM132" s="172">
        <f ca="1">(VLOOKUP(CM$72,INDIRECT($C$5&amp;"生成成长"),2))/((VLOOKUP($B132,INDIRECT($B$5&amp;"生成成长"),4))/(VLOOKUP(CM$72,INDIRECT($C$5&amp;"生成成长"),5))*(VLOOKUP($B$5,标准坦克设计!$B$24:$U$30,MATCH("对"&amp;LEFT($C$5,2)&amp;"输出",标准坦克设计!$B$23:$U$23,0)))*(VLOOKUP($B132,INDIRECT($B$5&amp;"生成成长"),3))*(VLOOKUP($B$5,标准坦克设计!$B$14:$K$20,9)/30))</f>
        <v>39.855551585228731</v>
      </c>
      <c r="CN132" s="172">
        <f ca="1">(VLOOKUP(CN$72,INDIRECT($C$5&amp;"生成成长"),2))/((VLOOKUP($B132,INDIRECT($B$5&amp;"生成成长"),4))/(VLOOKUP(CN$72,INDIRECT($C$5&amp;"生成成长"),5))*(VLOOKUP($B$5,标准坦克设计!$B$24:$U$30,MATCH("对"&amp;LEFT($C$5,2)&amp;"输出",标准坦克设计!$B$23:$U$23,0)))*(VLOOKUP($B132,INDIRECT($B$5&amp;"生成成长"),3))*(VLOOKUP($B$5,标准坦克设计!$B$14:$K$20,9)/30))</f>
        <v>42.38544499640048</v>
      </c>
      <c r="CO132" s="172">
        <f ca="1">(VLOOKUP(CO$72,INDIRECT($C$5&amp;"生成成长"),2))/((VLOOKUP($B132,INDIRECT($B$5&amp;"生成成长"),4))/(VLOOKUP(CO$72,INDIRECT($C$5&amp;"生成成长"),5))*(VLOOKUP($B$5,标准坦克设计!$B$24:$U$30,MATCH("对"&amp;LEFT($C$5,2)&amp;"输出",标准坦克设计!$B$23:$U$23,0)))*(VLOOKUP($B132,INDIRECT($B$5&amp;"生成成长"),3))*(VLOOKUP($B$5,标准坦克设计!$B$14:$K$20,9)/30))</f>
        <v>18.993982967104948</v>
      </c>
      <c r="CP132" s="172">
        <f ca="1">(VLOOKUP(CP$72,INDIRECT($C$5&amp;"生成成长"),2))/((VLOOKUP($B132,INDIRECT($B$5&amp;"生成成长"),4))/(VLOOKUP(CP$72,INDIRECT($C$5&amp;"生成成长"),5))*(VLOOKUP($B$5,标准坦克设计!$B$24:$U$30,MATCH("对"&amp;LEFT($C$5,2)&amp;"输出",标准坦克设计!$B$23:$U$23,0)))*(VLOOKUP($B132,INDIRECT($B$5&amp;"生成成长"),3))*(VLOOKUP($B$5,标准坦克设计!$B$14:$K$20,9)/30))</f>
        <v>20.75252426130405</v>
      </c>
      <c r="CQ132" s="172">
        <f ca="1">(VLOOKUP(CQ$72,INDIRECT($C$5&amp;"生成成长"),2))/((VLOOKUP($B132,INDIRECT($B$5&amp;"生成成长"),4))/(VLOOKUP(CQ$72,INDIRECT($C$5&amp;"生成成长"),5))*(VLOOKUP($B$5,标准坦克设计!$B$24:$U$30,MATCH("对"&amp;LEFT($C$5,2)&amp;"输出",标准坦克设计!$B$23:$U$23,0)))*(VLOOKUP($B132,INDIRECT($B$5&amp;"生成成长"),3))*(VLOOKUP($B$5,标准坦克设计!$B$14:$K$20,9)/30))</f>
        <v>22.588908429693049</v>
      </c>
      <c r="CR132" s="172">
        <f ca="1">(VLOOKUP(CR$72,INDIRECT($C$5&amp;"生成成长"),2))/((VLOOKUP($B132,INDIRECT($B$5&amp;"生成成长"),4))/(VLOOKUP(CR$72,INDIRECT($C$5&amp;"生成成长"),5))*(VLOOKUP($B$5,标准坦克设计!$B$24:$U$30,MATCH("对"&amp;LEFT($C$5,2)&amp;"输出",标准坦克设计!$B$23:$U$23,0)))*(VLOOKUP($B132,INDIRECT($B$5&amp;"生成成长"),3))*(VLOOKUP($B$5,标准坦克设计!$B$14:$K$20,9)/30))</f>
        <v>24.503135472271946</v>
      </c>
      <c r="CS132" s="172">
        <f ca="1">(VLOOKUP(CS$72,INDIRECT($C$5&amp;"生成成长"),2))/((VLOOKUP($B132,INDIRECT($B$5&amp;"生成成长"),4))/(VLOOKUP(CS$72,INDIRECT($C$5&amp;"生成成长"),5))*(VLOOKUP($B$5,标准坦克设计!$B$24:$U$30,MATCH("对"&amp;LEFT($C$5,2)&amp;"输出",标准坦克设计!$B$23:$U$23,0)))*(VLOOKUP($B132,INDIRECT($B$5&amp;"生成成长"),3))*(VLOOKUP($B$5,标准坦克设计!$B$14:$K$20,9)/30))</f>
        <v>26.495205389040756</v>
      </c>
      <c r="CT132" s="172">
        <f ca="1">(VLOOKUP(CT$72,INDIRECT($C$5&amp;"生成成长"),2))/((VLOOKUP($B132,INDIRECT($B$5&amp;"生成成长"),4))/(VLOOKUP(CT$72,INDIRECT($C$5&amp;"生成成长"),5))*(VLOOKUP($B$5,标准坦克设计!$B$24:$U$30,MATCH("对"&amp;LEFT($C$5,2)&amp;"输出",标准坦克设计!$B$23:$U$23,0)))*(VLOOKUP($B132,INDIRECT($B$5&amp;"生成成长"),3))*(VLOOKUP($B$5,标准坦克设计!$B$14:$K$20,9)/30))</f>
        <v>28.565118179999452</v>
      </c>
      <c r="CU132" s="172">
        <f ca="1">(VLOOKUP(CU$72,INDIRECT($C$5&amp;"生成成长"),2))/((VLOOKUP($B132,INDIRECT($B$5&amp;"生成成长"),4))/(VLOOKUP(CU$72,INDIRECT($C$5&amp;"生成成长"),5))*(VLOOKUP($B$5,标准坦克设计!$B$24:$U$30,MATCH("对"&amp;LEFT($C$5,2)&amp;"输出",标准坦克设计!$B$23:$U$23,0)))*(VLOOKUP($B132,INDIRECT($B$5&amp;"生成成长"),3))*(VLOOKUP($B$5,标准坦克设计!$B$14:$K$20,9)/30))</f>
        <v>30.712873845148057</v>
      </c>
      <c r="CV132" s="172">
        <f ca="1">(VLOOKUP(CV$72,INDIRECT($C$5&amp;"生成成长"),2))/((VLOOKUP($B132,INDIRECT($B$5&amp;"生成成长"),4))/(VLOOKUP(CV$72,INDIRECT($C$5&amp;"生成成长"),5))*(VLOOKUP($B$5,标准坦克设计!$B$24:$U$30,MATCH("对"&amp;LEFT($C$5,2)&amp;"输出",标准坦克设计!$B$23:$U$23,0)))*(VLOOKUP($B132,INDIRECT($B$5&amp;"生成成长"),3))*(VLOOKUP($B$5,标准坦克设计!$B$14:$K$20,9)/30))</f>
        <v>32.938472384486566</v>
      </c>
      <c r="CW132" s="172">
        <f ca="1">(VLOOKUP(CW$72,INDIRECT($C$5&amp;"生成成长"),2))/((VLOOKUP($B132,INDIRECT($B$5&amp;"生成成长"),4))/(VLOOKUP(CW$72,INDIRECT($C$5&amp;"生成成长"),5))*(VLOOKUP($B$5,标准坦克设计!$B$24:$U$30,MATCH("对"&amp;LEFT($C$5,2)&amp;"输出",标准坦克设计!$B$23:$U$23,0)))*(VLOOKUP($B132,INDIRECT($B$5&amp;"生成成长"),3))*(VLOOKUP($B$5,标准坦克设计!$B$14:$K$20,9)/30))</f>
        <v>35.241913798014956</v>
      </c>
      <c r="CX132" s="172">
        <f ca="1">(VLOOKUP(CX$72,INDIRECT($C$5&amp;"生成成长"),2))/((VLOOKUP($B132,INDIRECT($B$5&amp;"生成成长"),4))/(VLOOKUP(CX$72,INDIRECT($C$5&amp;"生成成长"),5))*(VLOOKUP($B$5,标准坦克设计!$B$24:$U$30,MATCH("对"&amp;LEFT($C$5,2)&amp;"输出",标准坦克设计!$B$23:$U$23,0)))*(VLOOKUP($B132,INDIRECT($B$5&amp;"生成成长"),3))*(VLOOKUP($B$5,标准坦克设计!$B$14:$K$20,9)/30))</f>
        <v>37.62319808573325</v>
      </c>
      <c r="CY132" s="172">
        <f ca="1">(VLOOKUP(CY$72,INDIRECT($C$5&amp;"生成成长"),2))/((VLOOKUP($B132,INDIRECT($B$5&amp;"生成成长"),4))/(VLOOKUP(CY$72,INDIRECT($C$5&amp;"生成成长"),5))*(VLOOKUP($B$5,标准坦克设计!$B$24:$U$30,MATCH("对"&amp;LEFT($C$5,2)&amp;"输出",标准坦克设计!$B$23:$U$23,0)))*(VLOOKUP($B132,INDIRECT($B$5&amp;"生成成长"),3))*(VLOOKUP($B$5,标准坦克设计!$B$14:$K$20,9)/30))</f>
        <v>40.082325247641464</v>
      </c>
      <c r="CZ132" s="172">
        <f ca="1">(VLOOKUP(CZ$72,INDIRECT($C$5&amp;"生成成长"),2))/((VLOOKUP($B132,INDIRECT($B$5&amp;"生成成长"),4))/(VLOOKUP(CZ$72,INDIRECT($C$5&amp;"生成成长"),5))*(VLOOKUP($B$5,标准坦克设计!$B$24:$U$30,MATCH("对"&amp;LEFT($C$5,2)&amp;"输出",标准坦克设计!$B$23:$U$23,0)))*(VLOOKUP($B132,INDIRECT($B$5&amp;"生成成长"),3))*(VLOOKUP($B$5,标准坦克设计!$B$14:$K$20,9)/30))</f>
        <v>42.619295283739547</v>
      </c>
      <c r="DA132" s="172">
        <f ca="1">(VLOOKUP(DA$72,INDIRECT($C$5&amp;"生成成长"),2))/((VLOOKUP($B132,INDIRECT($B$5&amp;"生成成长"),4))/(VLOOKUP(DA$72,INDIRECT($C$5&amp;"生成成长"),5))*(VLOOKUP($B$5,标准坦克设计!$B$24:$U$30,MATCH("对"&amp;LEFT($C$5,2)&amp;"输出",标准坦克设计!$B$23:$U$23,0)))*(VLOOKUP($B132,INDIRECT($B$5&amp;"生成成长"),3))*(VLOOKUP($B$5,标准坦克设计!$B$14:$K$20,9)/30))</f>
        <v>45.234108194027549</v>
      </c>
      <c r="DB132" s="172">
        <f ca="1">(VLOOKUP(DB$72,INDIRECT($C$5&amp;"生成成长"),2))/((VLOOKUP($B132,INDIRECT($B$5&amp;"生成成长"),4))/(VLOOKUP(DB$72,INDIRECT($C$5&amp;"生成成长"),5))*(VLOOKUP($B$5,标准坦克设计!$B$24:$U$30,MATCH("对"&amp;LEFT($C$5,2)&amp;"输出",标准坦克设计!$B$23:$U$23,0)))*(VLOOKUP($B132,INDIRECT($B$5&amp;"生成成长"),3))*(VLOOKUP($B$5,标准坦克设计!$B$14:$K$20,9)/30))</f>
        <v>47.926763978505463</v>
      </c>
      <c r="DC132" s="172">
        <f ca="1">(VLOOKUP(DC$72,INDIRECT($C$5&amp;"生成成长"),2))/((VLOOKUP($B132,INDIRECT($B$5&amp;"生成成长"),4))/(VLOOKUP(DC$72,INDIRECT($C$5&amp;"生成成长"),5))*(VLOOKUP($B$5,标准坦克设计!$B$24:$U$30,MATCH("对"&amp;LEFT($C$5,2)&amp;"输出",标准坦克设计!$B$23:$U$23,0)))*(VLOOKUP($B132,INDIRECT($B$5&amp;"生成成长"),3))*(VLOOKUP($B$5,标准坦克设计!$B$14:$K$20,9)/30))</f>
        <v>50.952986128830162</v>
      </c>
      <c r="DD132" s="172">
        <f ca="1">(VLOOKUP(DD$72,INDIRECT($C$5&amp;"生成成长"),2))/((VLOOKUP($B132,INDIRECT($B$5&amp;"生成成长"),4))/(VLOOKUP(DD$72,INDIRECT($C$5&amp;"生成成长"),5))*(VLOOKUP($B$5,标准坦克设计!$B$24:$U$30,MATCH("对"&amp;LEFT($C$5,2)&amp;"输出",标准坦克设计!$B$23:$U$23,0)))*(VLOOKUP($B132,INDIRECT($B$5&amp;"生成成长"),3))*(VLOOKUP($B$5,标准坦克设计!$B$14:$K$20,9)/30))</f>
        <v>54.071847732736224</v>
      </c>
      <c r="DE132" s="172">
        <f ca="1">(VLOOKUP(DE$72,INDIRECT($C$5&amp;"生成成长"),2))/((VLOOKUP($B132,INDIRECT($B$5&amp;"生成成长"),4))/(VLOOKUP(DE$72,INDIRECT($C$5&amp;"生成成长"),5))*(VLOOKUP($B$5,标准坦克设计!$B$24:$U$30,MATCH("对"&amp;LEFT($C$5,2)&amp;"输出",标准坦克设计!$B$23:$U$23,0)))*(VLOOKUP($B132,INDIRECT($B$5&amp;"生成成长"),3))*(VLOOKUP($B$5,标准坦克设计!$B$14:$K$20,9)/30))</f>
        <v>57.283348790223663</v>
      </c>
      <c r="DF132" s="172">
        <f ca="1">(VLOOKUP(DF$72,INDIRECT($C$5&amp;"生成成长"),2))/((VLOOKUP($B132,INDIRECT($B$5&amp;"生成成长"),4))/(VLOOKUP(DF$72,INDIRECT($C$5&amp;"生成成长"),5))*(VLOOKUP($B$5,标准坦克设计!$B$24:$U$30,MATCH("对"&amp;LEFT($C$5,2)&amp;"输出",标准坦克设计!$B$23:$U$23,0)))*(VLOOKUP($B132,INDIRECT($B$5&amp;"生成成长"),3))*(VLOOKUP($B$5,标准坦克设计!$B$14:$K$20,9)/30))</f>
        <v>60.587489301292486</v>
      </c>
      <c r="DG132" s="172">
        <f ca="1">(VLOOKUP(DG$72,INDIRECT($C$5&amp;"生成成长"),2))/((VLOOKUP($B132,INDIRECT($B$5&amp;"生成成长"),4))/(VLOOKUP(DG$72,INDIRECT($C$5&amp;"生成成长"),5))*(VLOOKUP($B$5,标准坦克设计!$B$24:$U$30,MATCH("对"&amp;LEFT($C$5,2)&amp;"输出",标准坦克设计!$B$23:$U$23,0)))*(VLOOKUP($B132,INDIRECT($B$5&amp;"生成成长"),3))*(VLOOKUP($B$5,标准坦克设计!$B$14:$K$20,9)/30))</f>
        <v>63.98426926594265</v>
      </c>
      <c r="DH132" s="172">
        <f ca="1">(VLOOKUP(DH$72,INDIRECT($C$5&amp;"生成成长"),2))/((VLOOKUP($B132,INDIRECT($B$5&amp;"生成成长"),4))/(VLOOKUP(DH$72,INDIRECT($C$5&amp;"生成成长"),5))*(VLOOKUP($B$5,标准坦克设计!$B$24:$U$30,MATCH("对"&amp;LEFT($C$5,2)&amp;"输出",标准坦克设计!$B$23:$U$23,0)))*(VLOOKUP($B132,INDIRECT($B$5&amp;"生成成长"),3))*(VLOOKUP($B$5,标准坦克设计!$B$14:$K$20,9)/30))</f>
        <v>67.473688684174206</v>
      </c>
      <c r="DI132" s="172">
        <f ca="1">(VLOOKUP(DI$72,INDIRECT($C$5&amp;"生成成长"),2))/((VLOOKUP($B132,INDIRECT($B$5&amp;"生成成长"),4))/(VLOOKUP(DI$72,INDIRECT($C$5&amp;"生成成长"),5))*(VLOOKUP($B$5,标准坦克设计!$B$24:$U$30,MATCH("对"&amp;LEFT($C$5,2)&amp;"输出",标准坦克设计!$B$23:$U$23,0)))*(VLOOKUP($B132,INDIRECT($B$5&amp;"生成成长"),3))*(VLOOKUP($B$5,标准坦克设计!$B$14:$K$20,9)/30))</f>
        <v>71.055747555987111</v>
      </c>
      <c r="DJ132" s="172">
        <f ca="1">(VLOOKUP(DJ$72,INDIRECT($C$5&amp;"生成成长"),2))/((VLOOKUP($B132,INDIRECT($B$5&amp;"生成成长"),4))/(VLOOKUP(DJ$72,INDIRECT($C$5&amp;"生成成长"),5))*(VLOOKUP($B$5,标准坦克设计!$B$24:$U$30,MATCH("对"&amp;LEFT($C$5,2)&amp;"输出",标准坦克设计!$B$23:$U$23,0)))*(VLOOKUP($B132,INDIRECT($B$5&amp;"生成成长"),3))*(VLOOKUP($B$5,标准坦克设计!$B$14:$K$20,9)/30))</f>
        <v>7.1412795449998629</v>
      </c>
      <c r="DK132" s="172">
        <f ca="1">(VLOOKUP(DK$72,INDIRECT($C$5&amp;"生成成长"),2))/((VLOOKUP($B132,INDIRECT($B$5&amp;"生成成长"),4))/(VLOOKUP(DK$72,INDIRECT($C$5&amp;"生成成长"),5))*(VLOOKUP($B$5,标准坦克设计!$B$24:$U$30,MATCH("对"&amp;LEFT($C$5,2)&amp;"输出",标准坦克设计!$B$23:$U$23,0)))*(VLOOKUP($B132,INDIRECT($B$5&amp;"生成成长"),3))*(VLOOKUP($B$5,标准坦克设计!$B$14:$K$20,9)/30))</f>
        <v>8.0300393027961157</v>
      </c>
      <c r="DL132" s="172">
        <f ca="1">(VLOOKUP(DL$72,INDIRECT($C$5&amp;"生成成长"),2))/((VLOOKUP($B132,INDIRECT($B$5&amp;"生成成长"),4))/(VLOOKUP(DL$72,INDIRECT($C$5&amp;"生成成长"),5))*(VLOOKUP($B$5,标准坦克设计!$B$24:$U$30,MATCH("对"&amp;LEFT($C$5,2)&amp;"输出",标准坦克设计!$B$23:$U$23,0)))*(VLOOKUP($B132,INDIRECT($B$5&amp;"生成成长"),3))*(VLOOKUP($B$5,标准坦克设计!$B$14:$K$20,9)/30))</f>
        <v>8.970908753231889</v>
      </c>
      <c r="DM132" s="172">
        <f ca="1">(VLOOKUP(DM$72,INDIRECT($C$5&amp;"生成成长"),2))/((VLOOKUP($B132,INDIRECT($B$5&amp;"生成成长"),4))/(VLOOKUP(DM$72,INDIRECT($C$5&amp;"生成成长"),5))*(VLOOKUP($B$5,标准坦克设计!$B$24:$U$30,MATCH("对"&amp;LEFT($C$5,2)&amp;"输出",标准坦克设计!$B$23:$U$23,0)))*(VLOOKUP($B132,INDIRECT($B$5&amp;"生成成长"),3))*(VLOOKUP($B$5,标准坦克设计!$B$14:$K$20,9)/30))</f>
        <v>9.9638878963071829</v>
      </c>
      <c r="DN132" s="172">
        <f ca="1">(VLOOKUP(DN$72,INDIRECT($C$5&amp;"生成成长"),2))/((VLOOKUP($B132,INDIRECT($B$5&amp;"生成成长"),4))/(VLOOKUP(DN$72,INDIRECT($C$5&amp;"生成成长"),5))*(VLOOKUP($B$5,标准坦克设计!$B$24:$U$30,MATCH("对"&amp;LEFT($C$5,2)&amp;"输出",标准坦克设计!$B$23:$U$23,0)))*(VLOOKUP($B132,INDIRECT($B$5&amp;"生成成长"),3))*(VLOOKUP($B$5,标准坦克设计!$B$14:$K$20,9)/30))</f>
        <v>11.008976732021996</v>
      </c>
      <c r="DO132" s="172">
        <f ca="1">(VLOOKUP(DO$72,INDIRECT($C$5&amp;"生成成长"),2))/((VLOOKUP($B132,INDIRECT($B$5&amp;"生成成长"),4))/(VLOOKUP(DO$72,INDIRECT($C$5&amp;"生成成长"),5))*(VLOOKUP($B$5,标准坦克设计!$B$24:$U$30,MATCH("对"&amp;LEFT($C$5,2)&amp;"输出",标准坦克设计!$B$23:$U$23,0)))*(VLOOKUP($B132,INDIRECT($B$5&amp;"生成成长"),3))*(VLOOKUP($B$5,标准坦克设计!$B$14:$K$20,9)/30))</f>
        <v>12.106175260376325</v>
      </c>
      <c r="DP132" s="172">
        <f ca="1">(VLOOKUP(DP$72,INDIRECT($C$5&amp;"生成成长"),2))/((VLOOKUP($B132,INDIRECT($B$5&amp;"生成成长"),4))/(VLOOKUP(DP$72,INDIRECT($C$5&amp;"生成成长"),5))*(VLOOKUP($B$5,标准坦克设计!$B$24:$U$30,MATCH("对"&amp;LEFT($C$5,2)&amp;"输出",标准坦克设计!$B$23:$U$23,0)))*(VLOOKUP($B132,INDIRECT($B$5&amp;"生成成长"),3))*(VLOOKUP($B$5,标准坦克设计!$B$14:$K$20,9)/30))</f>
        <v>13.255483481370179</v>
      </c>
      <c r="DQ132" s="172">
        <f ca="1">(VLOOKUP(DQ$72,INDIRECT($C$5&amp;"生成成长"),2))/((VLOOKUP($B132,INDIRECT($B$5&amp;"生成成长"),4))/(VLOOKUP(DQ$72,INDIRECT($C$5&amp;"生成成长"),5))*(VLOOKUP($B$5,标准坦克设计!$B$24:$U$30,MATCH("对"&amp;LEFT($C$5,2)&amp;"输出",标准坦克设计!$B$23:$U$23,0)))*(VLOOKUP($B132,INDIRECT($B$5&amp;"生成成长"),3))*(VLOOKUP($B$5,标准坦克设计!$B$14:$K$20,9)/30))</f>
        <v>14.456901395003548</v>
      </c>
      <c r="DR132" s="172">
        <f ca="1">(VLOOKUP(DR$72,INDIRECT($C$5&amp;"生成成长"),2))/((VLOOKUP($B132,INDIRECT($B$5&amp;"生成成长"),4))/(VLOOKUP(DR$72,INDIRECT($C$5&amp;"生成成长"),5))*(VLOOKUP($B$5,标准坦克设计!$B$24:$U$30,MATCH("对"&amp;LEFT($C$5,2)&amp;"输出",标准坦克设计!$B$23:$U$23,0)))*(VLOOKUP($B132,INDIRECT($B$5&amp;"生成成长"),3))*(VLOOKUP($B$5,标准坦克设计!$B$14:$K$20,9)/30))</f>
        <v>15.710429001276442</v>
      </c>
      <c r="DS132" s="172">
        <f ca="1">(VLOOKUP(DS$72,INDIRECT($C$5&amp;"生成成长"),2))/((VLOOKUP($B132,INDIRECT($B$5&amp;"生成成长"),4))/(VLOOKUP(DS$72,INDIRECT($C$5&amp;"生成成长"),5))*(VLOOKUP($B$5,标准坦克设计!$B$24:$U$30,MATCH("对"&amp;LEFT($C$5,2)&amp;"输出",标准坦克设计!$B$23:$U$23,0)))*(VLOOKUP($B132,INDIRECT($B$5&amp;"生成成长"),3))*(VLOOKUP($B$5,标准坦克设计!$B$14:$K$20,9)/30))</f>
        <v>17.016066300188854</v>
      </c>
      <c r="DT132" s="172">
        <f ca="1">(VLOOKUP(DT$72,INDIRECT($C$5&amp;"生成成长"),2))/((VLOOKUP($B132,INDIRECT($B$5&amp;"生成成长"),4))/(VLOOKUP(DT$72,INDIRECT($C$5&amp;"生成成长"),5))*(VLOOKUP($B$5,标准坦克设计!$B$24:$U$30,MATCH("对"&amp;LEFT($C$5,2)&amp;"输出",标准坦克设计!$B$23:$U$23,0)))*(VLOOKUP($B132,INDIRECT($B$5&amp;"生成成长"),3))*(VLOOKUP($B$5,标准坦克设计!$B$14:$K$20,9)/30))</f>
        <v>18.682611470345346</v>
      </c>
      <c r="DU132" s="172">
        <f ca="1">(VLOOKUP(DU$72,INDIRECT($C$5&amp;"生成成长"),2))/((VLOOKUP($B132,INDIRECT($B$5&amp;"生成成长"),4))/(VLOOKUP(DU$72,INDIRECT($C$5&amp;"生成成长"),5))*(VLOOKUP($B$5,标准坦克设计!$B$24:$U$30,MATCH("对"&amp;LEFT($C$5,2)&amp;"输出",标准坦克设计!$B$23:$U$23,0)))*(VLOOKUP($B132,INDIRECT($B$5&amp;"生成成长"),3))*(VLOOKUP($B$5,标准坦克设计!$B$14:$K$20,9)/30))</f>
        <v>20.42699951469174</v>
      </c>
      <c r="DV132" s="172">
        <f ca="1">(VLOOKUP(DV$72,INDIRECT($C$5&amp;"生成成长"),2))/((VLOOKUP($B132,INDIRECT($B$5&amp;"生成成长"),4))/(VLOOKUP(DV$72,INDIRECT($C$5&amp;"生成成长"),5))*(VLOOKUP($B$5,标准坦克设计!$B$24:$U$30,MATCH("对"&amp;LEFT($C$5,2)&amp;"输出",标准坦克设计!$B$23:$U$23,0)))*(VLOOKUP($B132,INDIRECT($B$5&amp;"生成成长"),3))*(VLOOKUP($B$5,标准坦克设计!$B$14:$K$20,9)/30))</f>
        <v>22.249230433228032</v>
      </c>
      <c r="DW132" s="172">
        <f ca="1">(VLOOKUP(DW$72,INDIRECT($C$5&amp;"生成成长"),2))/((VLOOKUP($B132,INDIRECT($B$5&amp;"生成成长"),4))/(VLOOKUP(DW$72,INDIRECT($C$5&amp;"生成成长"),5))*(VLOOKUP($B$5,标准坦克设计!$B$24:$U$30,MATCH("对"&amp;LEFT($C$5,2)&amp;"输出",标准坦克设计!$B$23:$U$23,0)))*(VLOOKUP($B132,INDIRECT($B$5&amp;"生成成长"),3))*(VLOOKUP($B$5,标准坦克设计!$B$14:$K$20,9)/30))</f>
        <v>24.149304225954225</v>
      </c>
      <c r="DX132" s="172">
        <f ca="1">(VLOOKUP(DX$72,INDIRECT($C$5&amp;"生成成长"),2))/((VLOOKUP($B132,INDIRECT($B$5&amp;"生成成长"),4))/(VLOOKUP(DX$72,INDIRECT($C$5&amp;"生成成长"),5))*(VLOOKUP($B$5,标准坦克设计!$B$24:$U$30,MATCH("对"&amp;LEFT($C$5,2)&amp;"输出",标准坦克设计!$B$23:$U$23,0)))*(VLOOKUP($B132,INDIRECT($B$5&amp;"生成成长"),3))*(VLOOKUP($B$5,标准坦克设计!$B$14:$K$20,9)/30))</f>
        <v>26.127220892870316</v>
      </c>
      <c r="DY132" s="172">
        <f ca="1">(VLOOKUP(DY$72,INDIRECT($C$5&amp;"生成成长"),2))/((VLOOKUP($B132,INDIRECT($B$5&amp;"生成成长"),4))/(VLOOKUP(DY$72,INDIRECT($C$5&amp;"生成成长"),5))*(VLOOKUP($B$5,标准坦克设计!$B$24:$U$30,MATCH("对"&amp;LEFT($C$5,2)&amp;"输出",标准坦克设计!$B$23:$U$23,0)))*(VLOOKUP($B132,INDIRECT($B$5&amp;"生成成长"),3))*(VLOOKUP($B$5,标准坦克设计!$B$14:$K$20,9)/30))</f>
        <v>11.734652451742715</v>
      </c>
      <c r="DZ132" s="172">
        <f ca="1">(VLOOKUP(DZ$72,INDIRECT($C$5&amp;"生成成长"),2))/((VLOOKUP($B132,INDIRECT($B$5&amp;"生成成长"),4))/(VLOOKUP(DZ$72,INDIRECT($C$5&amp;"生成成长"),5))*(VLOOKUP($B$5,标准坦克设计!$B$24:$U$30,MATCH("对"&amp;LEFT($C$5,2)&amp;"输出",标准坦克设计!$B$23:$U$23,0)))*(VLOOKUP($B132,INDIRECT($B$5&amp;"生成成长"),3))*(VLOOKUP($B$5,标准坦克设计!$B$14:$K$20,9)/30))</f>
        <v>12.995578347711341</v>
      </c>
      <c r="EA132" s="172">
        <f ca="1">(VLOOKUP(EA$72,INDIRECT($C$5&amp;"生成成长"),2))/((VLOOKUP($B132,INDIRECT($B$5&amp;"生成成长"),4))/(VLOOKUP(EA$72,INDIRECT($C$5&amp;"生成成长"),5))*(VLOOKUP($B$5,标准坦克设计!$B$24:$U$30,MATCH("对"&amp;LEFT($C$5,2)&amp;"输出",标准坦克设计!$B$23:$U$23,0)))*(VLOOKUP($B132,INDIRECT($B$5&amp;"生成成长"),3))*(VLOOKUP($B$5,标准坦克设计!$B$14:$K$20,9)/30))</f>
        <v>14.320837197555916</v>
      </c>
      <c r="EB132" s="172">
        <f ca="1">(VLOOKUP(EB$72,INDIRECT($C$5&amp;"生成成长"),2))/((VLOOKUP($B132,INDIRECT($B$5&amp;"生成成长"),4))/(VLOOKUP(EB$72,INDIRECT($C$5&amp;"生成成长"),5))*(VLOOKUP($B$5,标准坦克设计!$B$24:$U$30,MATCH("对"&amp;LEFT($C$5,2)&amp;"输出",标准坦克设计!$B$23:$U$23,0)))*(VLOOKUP($B132,INDIRECT($B$5&amp;"生成成长"),3))*(VLOOKUP($B$5,标准坦克设计!$B$14:$K$20,9)/30))</f>
        <v>15.710429001276442</v>
      </c>
      <c r="EC132" s="172">
        <f ca="1">(VLOOKUP(EC$72,INDIRECT($C$5&amp;"生成成长"),2))/((VLOOKUP($B132,INDIRECT($B$5&amp;"生成成长"),4))/(VLOOKUP(EC$72,INDIRECT($C$5&amp;"生成成长"),5))*(VLOOKUP($B$5,标准坦克设计!$B$24:$U$30,MATCH("对"&amp;LEFT($C$5,2)&amp;"输出",标准坦克设计!$B$23:$U$23,0)))*(VLOOKUP($B132,INDIRECT($B$5&amp;"生成成长"),3))*(VLOOKUP($B$5,标准坦克设计!$B$14:$K$20,9)/30))</f>
        <v>17.164353758872917</v>
      </c>
      <c r="ED132" s="172">
        <f ca="1">(VLOOKUP(ED$72,INDIRECT($C$5&amp;"生成成长"),2))/((VLOOKUP($B132,INDIRECT($B$5&amp;"生成成长"),4))/(VLOOKUP(ED$72,INDIRECT($C$5&amp;"生成成长"),5))*(VLOOKUP($B$5,标准坦克设计!$B$24:$U$30,MATCH("对"&amp;LEFT($C$5,2)&amp;"输出",标准坦克设计!$B$23:$U$23,0)))*(VLOOKUP($B132,INDIRECT($B$5&amp;"生成成长"),3))*(VLOOKUP($B$5,标准坦克设计!$B$14:$K$20,9)/30))</f>
        <v>18.682611470345346</v>
      </c>
      <c r="EE132" s="172">
        <f ca="1">(VLOOKUP(EE$72,INDIRECT($C$5&amp;"生成成长"),2))/((VLOOKUP($B132,INDIRECT($B$5&amp;"生成成长"),4))/(VLOOKUP(EE$72,INDIRECT($C$5&amp;"生成成长"),5))*(VLOOKUP($B$5,标准坦克设计!$B$24:$U$30,MATCH("对"&amp;LEFT($C$5,2)&amp;"输出",标准坦克设计!$B$23:$U$23,0)))*(VLOOKUP($B132,INDIRECT($B$5&amp;"生成成长"),3))*(VLOOKUP($B$5,标准坦克设计!$B$14:$K$20,9)/30))</f>
        <v>20.265202135693723</v>
      </c>
      <c r="EF132" s="172">
        <f ca="1">(VLOOKUP(EF$72,INDIRECT($C$5&amp;"生成成长"),2))/((VLOOKUP($B132,INDIRECT($B$5&amp;"生成成长"),4))/(VLOOKUP(EF$72,INDIRECT($C$5&amp;"生成成长"),5))*(VLOOKUP($B$5,标准坦克设计!$B$24:$U$30,MATCH("对"&amp;LEFT($C$5,2)&amp;"输出",标准坦克设计!$B$23:$U$23,0)))*(VLOOKUP($B132,INDIRECT($B$5&amp;"生成成长"),3))*(VLOOKUP($B$5,标准坦克设计!$B$14:$K$20,9)/30))</f>
        <v>21.912125754918055</v>
      </c>
      <c r="EG132" s="172">
        <f ca="1">(VLOOKUP(EG$72,INDIRECT($C$5&amp;"生成成长"),2))/((VLOOKUP($B132,INDIRECT($B$5&amp;"生成成长"),4))/(VLOOKUP(EG$72,INDIRECT($C$5&amp;"生成成长"),5))*(VLOOKUP($B$5,标准坦克设计!$B$24:$U$30,MATCH("对"&amp;LEFT($C$5,2)&amp;"输出",标准坦克设计!$B$23:$U$23,0)))*(VLOOKUP($B132,INDIRECT($B$5&amp;"生成成长"),3))*(VLOOKUP($B$5,标准坦克设计!$B$14:$K$20,9)/30))</f>
        <v>23.62338232801833</v>
      </c>
      <c r="EH132" s="172">
        <f ca="1">(VLOOKUP(EH$72,INDIRECT($C$5&amp;"生成成长"),2))/((VLOOKUP($B132,INDIRECT($B$5&amp;"生成成长"),4))/(VLOOKUP(EH$72,INDIRECT($C$5&amp;"生成成长"),5))*(VLOOKUP($B$5,标准坦克设计!$B$24:$U$30,MATCH("对"&amp;LEFT($C$5,2)&amp;"输出",标准坦克设计!$B$23:$U$23,0)))*(VLOOKUP($B132,INDIRECT($B$5&amp;"生成成长"),3))*(VLOOKUP($B$5,标准坦克设计!$B$14:$K$20,9)/30))</f>
        <v>25.398971854994556</v>
      </c>
      <c r="EI132" s="172">
        <f ca="1">(VLOOKUP(EI$72,INDIRECT($C$5&amp;"生成成长"),2))/((VLOOKUP($B132,INDIRECT($B$5&amp;"生成成长"),4))/(VLOOKUP(EI$72,INDIRECT($C$5&amp;"生成成长"),5))*(VLOOKUP($B$5,标准坦克设计!$B$24:$U$30,MATCH("对"&amp;LEFT($C$5,2)&amp;"输出",标准坦克设计!$B$23:$U$23,0)))*(VLOOKUP($B132,INDIRECT($B$5&amp;"生成成长"),3))*(VLOOKUP($B$5,标准坦克设计!$B$14:$K$20,9)/30))</f>
        <v>27.238894335846734</v>
      </c>
      <c r="EJ132" s="172">
        <f ca="1">(VLOOKUP(EJ$72,INDIRECT($C$5&amp;"生成成长"),2))/((VLOOKUP($B132,INDIRECT($B$5&amp;"生成成长"),4))/(VLOOKUP(EJ$72,INDIRECT($C$5&amp;"生成成长"),5))*(VLOOKUP($B$5,标准坦克设计!$B$24:$U$30,MATCH("对"&amp;LEFT($C$5,2)&amp;"输出",标准坦克设计!$B$23:$U$23,0)))*(VLOOKUP($B132,INDIRECT($B$5&amp;"生成成长"),3))*(VLOOKUP($B$5,标准坦克设计!$B$14:$K$20,9)/30))</f>
        <v>29.143149770574865</v>
      </c>
      <c r="EK132" s="172">
        <f ca="1">(VLOOKUP(EK$72,INDIRECT($C$5&amp;"生成成长"),2))/((VLOOKUP($B132,INDIRECT($B$5&amp;"生成成长"),4))/(VLOOKUP(EK$72,INDIRECT($C$5&amp;"生成成长"),5))*(VLOOKUP($B$5,标准坦克设计!$B$24:$U$30,MATCH("对"&amp;LEFT($C$5,2)&amp;"输出",标准坦克设计!$B$23:$U$23,0)))*(VLOOKUP($B132,INDIRECT($B$5&amp;"生成成长"),3))*(VLOOKUP($B$5,标准坦克设计!$B$14:$K$20,9)/30))</f>
        <v>31.513175791364869</v>
      </c>
      <c r="EL132" s="172">
        <f ca="1">(VLOOKUP(EL$72,INDIRECT($C$5&amp;"生成成长"),2))/((VLOOKUP($B132,INDIRECT($B$5&amp;"生成成长"),4))/(VLOOKUP(EL$72,INDIRECT($C$5&amp;"生成成长"),5))*(VLOOKUP($B$5,标准坦克设计!$B$24:$U$30,MATCH("对"&amp;LEFT($C$5,2)&amp;"输出",标准坦克设计!$B$23:$U$23,0)))*(VLOOKUP($B132,INDIRECT($B$5&amp;"生成成长"),3))*(VLOOKUP($B$5,标准坦克设计!$B$14:$K$20,9)/30))</f>
        <v>33.97584126573625</v>
      </c>
      <c r="EM132" s="172">
        <f ca="1">(VLOOKUP(EM$72,INDIRECT($C$5&amp;"生成成长"),2))/((VLOOKUP($B132,INDIRECT($B$5&amp;"生成成长"),4))/(VLOOKUP(EM$72,INDIRECT($C$5&amp;"生成成长"),5))*(VLOOKUP($B$5,标准坦克设计!$B$24:$U$30,MATCH("对"&amp;LEFT($C$5,2)&amp;"输出",标准坦克设计!$B$23:$U$23,0)))*(VLOOKUP($B132,INDIRECT($B$5&amp;"生成成长"),3))*(VLOOKUP($B$5,标准坦克设计!$B$14:$K$20,9)/30))</f>
        <v>36.531146193689004</v>
      </c>
      <c r="EN132" s="172">
        <f ca="1">(VLOOKUP(EN$72,INDIRECT($C$5&amp;"生成成长"),2))/((VLOOKUP($B132,INDIRECT($B$5&amp;"生成成长"),4))/(VLOOKUP(EN$72,INDIRECT($C$5&amp;"生成成长"),5))*(VLOOKUP($B$5,标准坦克设计!$B$24:$U$30,MATCH("对"&amp;LEFT($C$5,2)&amp;"输出",标准坦克设计!$B$23:$U$23,0)))*(VLOOKUP($B132,INDIRECT($B$5&amp;"生成成长"),3))*(VLOOKUP($B$5,标准坦克设计!$B$14:$K$20,9)/30))</f>
        <v>39.179090575223121</v>
      </c>
      <c r="EO132" s="172">
        <f ca="1">(VLOOKUP(EO$72,INDIRECT($C$5&amp;"生成成长"),2))/((VLOOKUP($B132,INDIRECT($B$5&amp;"生成成长"),4))/(VLOOKUP(EO$72,INDIRECT($C$5&amp;"生成成长"),5))*(VLOOKUP($B$5,标准坦克设计!$B$24:$U$30,MATCH("对"&amp;LEFT($C$5,2)&amp;"输出",标准坦克设计!$B$23:$U$23,0)))*(VLOOKUP($B132,INDIRECT($B$5&amp;"生成成长"),3))*(VLOOKUP($B$5,标准坦克设计!$B$14:$K$20,9)/30))</f>
        <v>41.919674410338594</v>
      </c>
      <c r="EP132" s="172">
        <f ca="1">(VLOOKUP(EP$72,INDIRECT($C$5&amp;"生成成长"),2))/((VLOOKUP($B132,INDIRECT($B$5&amp;"生成成长"),4))/(VLOOKUP(EP$72,INDIRECT($C$5&amp;"生成成长"),5))*(VLOOKUP($B$5,标准坦克设计!$B$24:$U$30,MATCH("对"&amp;LEFT($C$5,2)&amp;"输出",标准坦克设计!$B$23:$U$23,0)))*(VLOOKUP($B132,INDIRECT($B$5&amp;"生成成长"),3))*(VLOOKUP($B$5,标准坦克设计!$B$14:$K$20,9)/30))</f>
        <v>44.752897699035444</v>
      </c>
      <c r="EQ132" s="172">
        <f ca="1">(VLOOKUP(EQ$72,INDIRECT($C$5&amp;"生成成长"),2))/((VLOOKUP($B132,INDIRECT($B$5&amp;"生成成长"),4))/(VLOOKUP(EQ$72,INDIRECT($C$5&amp;"生成成长"),5))*(VLOOKUP($B$5,标准坦克设计!$B$24:$U$30,MATCH("对"&amp;LEFT($C$5,2)&amp;"输出",标准坦克设计!$B$23:$U$23,0)))*(VLOOKUP($B132,INDIRECT($B$5&amp;"生成成长"),3))*(VLOOKUP($B$5,标准坦克设计!$B$14:$K$20,9)/30))</f>
        <v>19.783669975932238</v>
      </c>
      <c r="ER132" s="172">
        <f ca="1">(VLOOKUP(ER$72,INDIRECT($C$5&amp;"生成成长"),2))/((VLOOKUP($B132,INDIRECT($B$5&amp;"生成成长"),4))/(VLOOKUP(ER$72,INDIRECT($C$5&amp;"生成成长"),5))*(VLOOKUP($B$5,标准坦克设计!$B$24:$U$30,MATCH("对"&amp;LEFT($C$5,2)&amp;"输出",标准坦克设计!$B$23:$U$23,0)))*(VLOOKUP($B132,INDIRECT($B$5&amp;"生成成长"),3))*(VLOOKUP($B$5,标准坦克设计!$B$14:$K$20,9)/30))</f>
        <v>21.577594394763114</v>
      </c>
      <c r="ES132" s="172">
        <f ca="1">(VLOOKUP(ES$72,INDIRECT($C$5&amp;"生成成长"),2))/((VLOOKUP($B132,INDIRECT($B$5&amp;"生成成长"),4))/(VLOOKUP(ES$72,INDIRECT($C$5&amp;"生成成长"),5))*(VLOOKUP($B$5,标准坦克设计!$B$24:$U$30,MATCH("对"&amp;LEFT($C$5,2)&amp;"输出",标准坦克设计!$B$23:$U$23,0)))*(VLOOKUP($B132,INDIRECT($B$5&amp;"生成成长"),3))*(VLOOKUP($B$5,标准坦克设计!$B$14:$K$20,9)/30))</f>
        <v>23.449361687783885</v>
      </c>
      <c r="ET132" s="172">
        <f ca="1">(VLOOKUP(ET$72,INDIRECT($C$5&amp;"生成成长"),2))/((VLOOKUP($B132,INDIRECT($B$5&amp;"生成成长"),4))/(VLOOKUP(ET$72,INDIRECT($C$5&amp;"生成成长"),5))*(VLOOKUP($B$5,标准坦克设计!$B$24:$U$30,MATCH("对"&amp;LEFT($C$5,2)&amp;"输出",标准坦克设计!$B$23:$U$23,0)))*(VLOOKUP($B132,INDIRECT($B$5&amp;"生成成长"),3))*(VLOOKUP($B$5,标准坦克设计!$B$14:$K$20,9)/30))</f>
        <v>25.398971854994556</v>
      </c>
      <c r="EU132" s="172">
        <f ca="1">(VLOOKUP(EU$72,INDIRECT($C$5&amp;"生成成长"),2))/((VLOOKUP($B132,INDIRECT($B$5&amp;"生成成长"),4))/(VLOOKUP(EU$72,INDIRECT($C$5&amp;"生成成长"),5))*(VLOOKUP($B$5,标准坦克设计!$B$24:$U$30,MATCH("对"&amp;LEFT($C$5,2)&amp;"输出",标准坦克设计!$B$23:$U$23,0)))*(VLOOKUP($B132,INDIRECT($B$5&amp;"生成成长"),3))*(VLOOKUP($B$5,标准坦克设计!$B$14:$K$20,9)/30))</f>
        <v>27.426424896395133</v>
      </c>
      <c r="EV132" s="172">
        <f ca="1">(VLOOKUP(EV$72,INDIRECT($C$5&amp;"生成成长"),2))/((VLOOKUP($B132,INDIRECT($B$5&amp;"生成成长"),4))/(VLOOKUP(EV$72,INDIRECT($C$5&amp;"生成成长"),5))*(VLOOKUP($B$5,标准坦克设计!$B$24:$U$30,MATCH("对"&amp;LEFT($C$5,2)&amp;"输出",标准坦克设计!$B$23:$U$23,0)))*(VLOOKUP($B132,INDIRECT($B$5&amp;"生成成长"),3))*(VLOOKUP($B$5,标准坦克设计!$B$14:$K$20,9)/30))</f>
        <v>29.531720811985608</v>
      </c>
      <c r="EW132" s="172">
        <f ca="1">(VLOOKUP(EW$72,INDIRECT($C$5&amp;"生成成长"),2))/((VLOOKUP($B132,INDIRECT($B$5&amp;"生成成长"),4))/(VLOOKUP(EW$72,INDIRECT($C$5&amp;"生成成长"),5))*(VLOOKUP($B$5,标准坦克设计!$B$24:$U$30,MATCH("对"&amp;LEFT($C$5,2)&amp;"输出",标准坦克设计!$B$23:$U$23,0)))*(VLOOKUP($B132,INDIRECT($B$5&amp;"生成成长"),3))*(VLOOKUP($B$5,标准坦克设计!$B$14:$K$20,9)/30))</f>
        <v>31.71485960176598</v>
      </c>
      <c r="EX132" s="172">
        <f ca="1">(VLOOKUP(EX$72,INDIRECT($C$5&amp;"生成成长"),2))/((VLOOKUP($B132,INDIRECT($B$5&amp;"生成成长"),4))/(VLOOKUP(EX$72,INDIRECT($C$5&amp;"生成成长"),5))*(VLOOKUP($B$5,标准坦克设计!$B$24:$U$30,MATCH("对"&amp;LEFT($C$5,2)&amp;"输出",标准坦克设计!$B$23:$U$23,0)))*(VLOOKUP($B132,INDIRECT($B$5&amp;"生成成长"),3))*(VLOOKUP($B$5,标准坦克设计!$B$14:$K$20,9)/30))</f>
        <v>33.97584126573625</v>
      </c>
      <c r="EY132" s="172">
        <f ca="1">(VLOOKUP(EY$72,INDIRECT($C$5&amp;"生成成长"),2))/((VLOOKUP($B132,INDIRECT($B$5&amp;"生成成长"),4))/(VLOOKUP(EY$72,INDIRECT($C$5&amp;"生成成长"),5))*(VLOOKUP($B$5,标准坦克设计!$B$24:$U$30,MATCH("对"&amp;LEFT($C$5,2)&amp;"输出",标准坦克设计!$B$23:$U$23,0)))*(VLOOKUP($B132,INDIRECT($B$5&amp;"生成成长"),3))*(VLOOKUP($B$5,标准坦克设计!$B$14:$K$20,9)/30))</f>
        <v>36.314665803896425</v>
      </c>
      <c r="EZ132" s="172">
        <f ca="1">(VLOOKUP(EZ$72,INDIRECT($C$5&amp;"生成成长"),2))/((VLOOKUP($B132,INDIRECT($B$5&amp;"生成成长"),4))/(VLOOKUP(EZ$72,INDIRECT($C$5&amp;"生成成长"),5))*(VLOOKUP($B$5,标准坦克设计!$B$24:$U$30,MATCH("对"&amp;LEFT($C$5,2)&amp;"输出",标准坦克设计!$B$23:$U$23,0)))*(VLOOKUP($B132,INDIRECT($B$5&amp;"生成成长"),3))*(VLOOKUP($B$5,标准坦克设计!$B$14:$K$20,9)/30))</f>
        <v>38.73133321624649</v>
      </c>
      <c r="FA132" s="172">
        <f ca="1">(VLOOKUP(FA$72,INDIRECT($C$5&amp;"生成成长"),2))/((VLOOKUP($B132,INDIRECT($B$5&amp;"生成成长"),4))/(VLOOKUP(FA$72,INDIRECT($C$5&amp;"生成成长"),5))*(VLOOKUP($B$5,标准坦克设计!$B$24:$U$30,MATCH("对"&amp;LEFT($C$5,2)&amp;"输出",标准坦克设计!$B$23:$U$23,0)))*(VLOOKUP($B132,INDIRECT($B$5&amp;"生成成长"),3))*(VLOOKUP($B$5,标准坦克设计!$B$14:$K$20,9)/30))</f>
        <v>41.225843502786468</v>
      </c>
      <c r="FB132" s="172">
        <f ca="1">(VLOOKUP(FB$72,INDIRECT($C$5&amp;"生成成长"),2))/((VLOOKUP($B132,INDIRECT($B$5&amp;"生成成长"),4))/(VLOOKUP(FB$72,INDIRECT($C$5&amp;"生成成长"),5))*(VLOOKUP($B$5,标准坦克设计!$B$24:$U$30,MATCH("对"&amp;LEFT($C$5,2)&amp;"输出",标准坦克设计!$B$23:$U$23,0)))*(VLOOKUP($B132,INDIRECT($B$5&amp;"生成成长"),3))*(VLOOKUP($B$5,标准坦克设计!$B$14:$K$20,9)/30))</f>
        <v>43.798196663516336</v>
      </c>
      <c r="FC132" s="172">
        <f ca="1">(VLOOKUP(FC$72,INDIRECT($C$5&amp;"生成成长"),2))/((VLOOKUP($B132,INDIRECT($B$5&amp;"生成成长"),4))/(VLOOKUP(FC$72,INDIRECT($C$5&amp;"生成成长"),5))*(VLOOKUP($B$5,标准坦克设计!$B$24:$U$30,MATCH("对"&amp;LEFT($C$5,2)&amp;"输出",标准坦克设计!$B$23:$U$23,0)))*(VLOOKUP($B132,INDIRECT($B$5&amp;"生成成长"),3))*(VLOOKUP($B$5,标准坦克设计!$B$14:$K$20,9)/30))</f>
        <v>46.448392698436123</v>
      </c>
      <c r="FD132" s="172">
        <f ca="1">(VLOOKUP(FD$72,INDIRECT($C$5&amp;"生成成长"),2))/((VLOOKUP($B132,INDIRECT($B$5&amp;"生成成长"),4))/(VLOOKUP(FD$72,INDIRECT($C$5&amp;"生成成长"),5))*(VLOOKUP($B$5,标准坦克设计!$B$24:$U$30,MATCH("对"&amp;LEFT($C$5,2)&amp;"输出",标准坦克设计!$B$23:$U$23,0)))*(VLOOKUP($B132,INDIRECT($B$5&amp;"生成成长"),3))*(VLOOKUP($B$5,标准坦克设计!$B$14:$K$20,9)/30))</f>
        <v>49.17643160754578</v>
      </c>
      <c r="FE132" s="172">
        <f ca="1">(VLOOKUP(FE$72,INDIRECT($C$5&amp;"生成成长"),2))/((VLOOKUP($B132,INDIRECT($B$5&amp;"生成成长"),4))/(VLOOKUP(FE$72,INDIRECT($C$5&amp;"生成成长"),5))*(VLOOKUP($B$5,标准坦克设计!$B$24:$U$30,MATCH("对"&amp;LEFT($C$5,2)&amp;"输出",标准坦克设计!$B$23:$U$23,0)))*(VLOOKUP($B132,INDIRECT($B$5&amp;"生成成长"),3))*(VLOOKUP($B$5,标准坦克设计!$B$14:$K$20,9)/30))</f>
        <v>52.500836999085514</v>
      </c>
      <c r="FF132" s="172">
        <f ca="1">(VLOOKUP(FF$72,INDIRECT($C$5&amp;"生成成长"),2))/((VLOOKUP($B132,INDIRECT($B$5&amp;"生成成长"),4))/(VLOOKUP(FF$72,INDIRECT($C$5&amp;"生成成长"),5))*(VLOOKUP($B$5,标准坦克设计!$B$24:$U$30,MATCH("对"&amp;LEFT($C$5,2)&amp;"输出",标准坦克设计!$B$23:$U$23,0)))*(VLOOKUP($B132,INDIRECT($B$5&amp;"生成成长"),3))*(VLOOKUP($B$5,标准坦克设计!$B$14:$K$20,9)/30))</f>
        <v>55.933965082675613</v>
      </c>
      <c r="FG132" s="172">
        <f ca="1">(VLOOKUP(FG$72,INDIRECT($C$5&amp;"生成成长"),2))/((VLOOKUP($B132,INDIRECT($B$5&amp;"生成成长"),4))/(VLOOKUP(FG$72,INDIRECT($C$5&amp;"生成成长"),5))*(VLOOKUP($B$5,标准坦克设计!$B$24:$U$30,MATCH("对"&amp;LEFT($C$5,2)&amp;"输出",标准坦克设计!$B$23:$U$23,0)))*(VLOOKUP($B132,INDIRECT($B$5&amp;"生成成长"),3))*(VLOOKUP($B$5,标准坦克设计!$B$14:$K$20,9)/30))</f>
        <v>59.475815858316054</v>
      </c>
      <c r="FH132" s="172">
        <f ca="1">(VLOOKUP(FH$72,INDIRECT($C$5&amp;"生成成长"),2))/((VLOOKUP($B132,INDIRECT($B$5&amp;"生成成长"),4))/(VLOOKUP(FH$72,INDIRECT($C$5&amp;"生成成长"),5))*(VLOOKUP($B$5,标准坦克设计!$B$24:$U$30,MATCH("对"&amp;LEFT($C$5,2)&amp;"输出",标准坦克设计!$B$23:$U$23,0)))*(VLOOKUP($B132,INDIRECT($B$5&amp;"生成成长"),3))*(VLOOKUP($B$5,标准坦克设计!$B$14:$K$20,9)/30))</f>
        <v>63.126389326006858</v>
      </c>
      <c r="FI132" s="172">
        <f ca="1">(VLOOKUP(FI$72,INDIRECT($C$5&amp;"生成成长"),2))/((VLOOKUP($B132,INDIRECT($B$5&amp;"生成成长"),4))/(VLOOKUP(FI$72,INDIRECT($C$5&amp;"生成成长"),5))*(VLOOKUP($B$5,标准坦克设计!$B$24:$U$30,MATCH("对"&amp;LEFT($C$5,2)&amp;"输出",标准坦克设计!$B$23:$U$23,0)))*(VLOOKUP($B132,INDIRECT($B$5&amp;"生成成长"),3))*(VLOOKUP($B$5,标准坦克设计!$B$14:$K$20,9)/30))</f>
        <v>66.885685485747999</v>
      </c>
      <c r="FJ132" s="172">
        <f ca="1">(VLOOKUP(FJ$72,INDIRECT($C$5&amp;"生成成长"),2))/((VLOOKUP($B132,INDIRECT($B$5&amp;"生成成长"),4))/(VLOOKUP(FJ$72,INDIRECT($C$5&amp;"生成成长"),5))*(VLOOKUP($B$5,标准坦克设计!$B$24:$U$30,MATCH("对"&amp;LEFT($C$5,2)&amp;"输出",标准坦克设计!$B$23:$U$23,0)))*(VLOOKUP($B132,INDIRECT($B$5&amp;"生成成长"),3))*(VLOOKUP($B$5,标准坦克设计!$B$14:$K$20,9)/30))</f>
        <v>70.753704337539531</v>
      </c>
      <c r="FK132" s="172">
        <f ca="1">(VLOOKUP(FK$72,INDIRECT($C$5&amp;"生成成长"),2))/((VLOOKUP($B132,INDIRECT($B$5&amp;"生成成长"),4))/(VLOOKUP(FK$72,INDIRECT($C$5&amp;"生成成长"),5))*(VLOOKUP($B$5,标准坦克设计!$B$24:$U$30,MATCH("对"&amp;LEFT($C$5,2)&amp;"输出",标准坦克设计!$B$23:$U$23,0)))*(VLOOKUP($B132,INDIRECT($B$5&amp;"生成成长"),3))*(VLOOKUP($B$5,标准坦克设计!$B$14:$K$20,9)/30))</f>
        <v>74.730445881381385</v>
      </c>
    </row>
    <row r="133" spans="1:167" x14ac:dyDescent="0.15">
      <c r="A133" s="170" t="str">
        <f t="shared" si="11"/>
        <v>T3中品质4级</v>
      </c>
      <c r="B133" s="171">
        <v>20304</v>
      </c>
      <c r="C133" s="172">
        <f ca="1">(VLOOKUP(C$72,INDIRECT($C$5&amp;"生成成长"),2))/((VLOOKUP($B133,INDIRECT($B$5&amp;"生成成长"),4))/(VLOOKUP(C$72,INDIRECT($C$5&amp;"生成成长"),5))*(VLOOKUP($B$5,标准坦克设计!$B$24:$U$30,MATCH("对"&amp;LEFT($C$5,2)&amp;"输出",标准坦克设计!$B$23:$U$23,0)))*(VLOOKUP($B133,INDIRECT($B$5&amp;"生成成长"),3))*(VLOOKUP($B$5,标准坦克设计!$B$14:$K$20,9)/30))</f>
        <v>2.8877549176947261</v>
      </c>
      <c r="D133" s="172">
        <f ca="1">(VLOOKUP(D$72,INDIRECT($C$5&amp;"生成成长"),2))/((VLOOKUP($B133,INDIRECT($B$5&amp;"生成成长"),4))/(VLOOKUP(D$72,INDIRECT($C$5&amp;"生成成长"),5))*(VLOOKUP($B$5,标准坦克设计!$B$24:$U$30,MATCH("对"&amp;LEFT($C$5,2)&amp;"输出",标准坦克设计!$B$23:$U$23,0)))*(VLOOKUP($B133,INDIRECT($B$5&amp;"生成成长"),3))*(VLOOKUP($B$5,标准坦克设计!$B$14:$K$20,9)/30))</f>
        <v>3.2446814255217937</v>
      </c>
      <c r="E133" s="172">
        <f ca="1">(VLOOKUP(E$72,INDIRECT($C$5&amp;"生成成长"),2))/((VLOOKUP($B133,INDIRECT($B$5&amp;"生成成长"),4))/(VLOOKUP(E$72,INDIRECT($C$5&amp;"生成成长"),5))*(VLOOKUP($B$5,标准坦克设计!$B$24:$U$30,MATCH("对"&amp;LEFT($C$5,2)&amp;"输出",标准坦克设计!$B$23:$U$23,0)))*(VLOOKUP($B133,INDIRECT($B$5&amp;"生成成长"),3))*(VLOOKUP($B$5,标准坦克设计!$B$14:$K$20,9)/30))</f>
        <v>3.6223997687562641</v>
      </c>
      <c r="F133" s="172">
        <f ca="1">(VLOOKUP(F$72,INDIRECT($C$5&amp;"生成成长"),2))/((VLOOKUP($B133,INDIRECT($B$5&amp;"生成成长"),4))/(VLOOKUP(F$72,INDIRECT($C$5&amp;"生成成长"),5))*(VLOOKUP($B$5,标准坦克设计!$B$24:$U$30,MATCH("对"&amp;LEFT($C$5,2)&amp;"输出",标准坦克设计!$B$23:$U$23,0)))*(VLOOKUP($B133,INDIRECT($B$5&amp;"生成成长"),3))*(VLOOKUP($B$5,标准坦克设计!$B$14:$K$20,9)/30))</f>
        <v>4.0209099473981356</v>
      </c>
      <c r="G133" s="172">
        <f ca="1">(VLOOKUP(G$72,INDIRECT($C$5&amp;"生成成长"),2))/((VLOOKUP($B133,INDIRECT($B$5&amp;"生成成长"),4))/(VLOOKUP(G$72,INDIRECT($C$5&amp;"生成成长"),5))*(VLOOKUP($B$5,标准坦克设计!$B$24:$U$30,MATCH("对"&amp;LEFT($C$5,2)&amp;"输出",标准坦克设计!$B$23:$U$23,0)))*(VLOOKUP($B133,INDIRECT($B$5&amp;"生成成长"),3))*(VLOOKUP($B$5,标准坦克设计!$B$14:$K$20,9)/30))</f>
        <v>4.4402119614474103</v>
      </c>
      <c r="H133" s="172">
        <f ca="1">(VLOOKUP(H$72,INDIRECT($C$5&amp;"生成成长"),2))/((VLOOKUP($B133,INDIRECT($B$5&amp;"生成成长"),4))/(VLOOKUP(H$72,INDIRECT($C$5&amp;"生成成长"),5))*(VLOOKUP($B$5,标准坦克设计!$B$24:$U$30,MATCH("对"&amp;LEFT($C$5,2)&amp;"输出",标准坦克设计!$B$23:$U$23,0)))*(VLOOKUP($B133,INDIRECT($B$5&amp;"生成成长"),3))*(VLOOKUP($B$5,标准坦克设计!$B$14:$K$20,9)/30))</f>
        <v>3.8857630172500226</v>
      </c>
      <c r="I133" s="172">
        <f ca="1">(VLOOKUP(I$72,INDIRECT($C$5&amp;"生成成长"),2))/((VLOOKUP($B133,INDIRECT($B$5&amp;"生成成长"),4))/(VLOOKUP(I$72,INDIRECT($C$5&amp;"生成成长"),5))*(VLOOKUP($B$5,标准坦克设计!$B$24:$U$30,MATCH("对"&amp;LEFT($C$5,2)&amp;"输出",标准坦克设计!$B$23:$U$23,0)))*(VLOOKUP($B133,INDIRECT($B$5&amp;"生成成长"),3))*(VLOOKUP($B$5,标准坦克设计!$B$14:$K$20,9)/30))</f>
        <v>4.4402119614474103</v>
      </c>
      <c r="J133" s="172">
        <f ca="1">(VLOOKUP(J$72,INDIRECT($C$5&amp;"生成成长"),2))/((VLOOKUP($B133,INDIRECT($B$5&amp;"生成成长"),4))/(VLOOKUP(J$72,INDIRECT($C$5&amp;"生成成长"),5))*(VLOOKUP($B$5,标准坦克设计!$B$24:$U$30,MATCH("对"&amp;LEFT($C$5,2)&amp;"输出",标准坦克设计!$B$23:$U$23,0)))*(VLOOKUP($B133,INDIRECT($B$5&amp;"生成成长"),3))*(VLOOKUP($B$5,标准坦克设计!$B$14:$K$20,9)/30))</f>
        <v>5.031624168591291</v>
      </c>
      <c r="K133" s="172">
        <f ca="1">(VLOOKUP(K$72,INDIRECT($C$5&amp;"生成成长"),2))/((VLOOKUP($B133,INDIRECT($B$5&amp;"生成成长"),4))/(VLOOKUP(K$72,INDIRECT($C$5&amp;"生成成长"),5))*(VLOOKUP($B$5,标准坦克设计!$B$24:$U$30,MATCH("对"&amp;LEFT($C$5,2)&amp;"输出",标准坦克设计!$B$23:$U$23,0)))*(VLOOKUP($B133,INDIRECT($B$5&amp;"生成成长"),3))*(VLOOKUP($B$5,标准坦克设计!$B$14:$K$20,9)/30))</f>
        <v>5.6599996386816622</v>
      </c>
      <c r="L133" s="172">
        <f ca="1">(VLOOKUP(L$72,INDIRECT($C$5&amp;"生成成长"),2))/((VLOOKUP($B133,INDIRECT($B$5&amp;"生成成长"),4))/(VLOOKUP(L$72,INDIRECT($C$5&amp;"生成成长"),5))*(VLOOKUP($B$5,标准坦克设计!$B$24:$U$30,MATCH("对"&amp;LEFT($C$5,2)&amp;"输出",标准坦克设计!$B$23:$U$23,0)))*(VLOOKUP($B133,INDIRECT($B$5&amp;"生成成长"),3))*(VLOOKUP($B$5,标准坦克设计!$B$14:$K$20,9)/30))</f>
        <v>6.3253383717185283</v>
      </c>
      <c r="M133" s="172">
        <f ca="1">(VLOOKUP(M$72,INDIRECT($C$5&amp;"生成成长"),2))/((VLOOKUP($B133,INDIRECT($B$5&amp;"生成成长"),4))/(VLOOKUP(M$72,INDIRECT($C$5&amp;"生成成长"),5))*(VLOOKUP($B$5,标准坦克设计!$B$24:$U$30,MATCH("对"&amp;LEFT($C$5,2)&amp;"输出",标准坦克设计!$B$23:$U$23,0)))*(VLOOKUP($B133,INDIRECT($B$5&amp;"生成成长"),3))*(VLOOKUP($B$5,标准坦克设计!$B$14:$K$20,9)/30))</f>
        <v>7.0276403677018839</v>
      </c>
      <c r="N133" s="172">
        <f ca="1">(VLOOKUP(N$72,INDIRECT($C$5&amp;"生成成长"),2))/((VLOOKUP($B133,INDIRECT($B$5&amp;"生成成长"),4))/(VLOOKUP(N$72,INDIRECT($C$5&amp;"生成成长"),5))*(VLOOKUP($B$5,标准坦克设计!$B$24:$U$30,MATCH("对"&amp;LEFT($C$5,2)&amp;"输出",标准坦克设计!$B$23:$U$23,0)))*(VLOOKUP($B133,INDIRECT($B$5&amp;"生成成长"),3))*(VLOOKUP($B$5,标准坦克设计!$B$14:$K$20,9)/30))</f>
        <v>7.7669056266317336</v>
      </c>
      <c r="O133" s="172">
        <f ca="1">(VLOOKUP(O$72,INDIRECT($C$5&amp;"生成成长"),2))/((VLOOKUP($B133,INDIRECT($B$5&amp;"生成成长"),4))/(VLOOKUP(O$72,INDIRECT($C$5&amp;"生成成长"),5))*(VLOOKUP($B$5,标准坦克设计!$B$24:$U$30,MATCH("对"&amp;LEFT($C$5,2)&amp;"输出",标准坦克设计!$B$23:$U$23,0)))*(VLOOKUP($B133,INDIRECT($B$5&amp;"生成成长"),3))*(VLOOKUP($B$5,标准坦克设计!$B$14:$K$20,9)/30))</f>
        <v>5.9051700311939443</v>
      </c>
      <c r="P133" s="172">
        <f ca="1">(VLOOKUP(P$72,INDIRECT($C$5&amp;"生成成长"),2))/((VLOOKUP($B133,INDIRECT($B$5&amp;"生成成长"),4))/(VLOOKUP(P$72,INDIRECT($C$5&amp;"生成成长"),5))*(VLOOKUP($B$5,标准坦克设计!$B$24:$U$30,MATCH("对"&amp;LEFT($C$5,2)&amp;"输出",标准坦克设计!$B$23:$U$23,0)))*(VLOOKUP($B133,INDIRECT($B$5&amp;"生成成长"),3))*(VLOOKUP($B$5,标准坦克设计!$B$14:$K$20,9)/30))</f>
        <v>6.6718689618418949</v>
      </c>
      <c r="Q133" s="172">
        <f ca="1">(VLOOKUP(Q$72,INDIRECT($C$5&amp;"生成成长"),2))/((VLOOKUP($B133,INDIRECT($B$5&amp;"生成成长"),4))/(VLOOKUP(Q$72,INDIRECT($C$5&amp;"生成成长"),5))*(VLOOKUP($B$5,标准坦克设计!$B$24:$U$30,MATCH("对"&amp;LEFT($C$5,2)&amp;"输出",标准坦克设计!$B$23:$U$23,0)))*(VLOOKUP($B133,INDIRECT($B$5&amp;"生成成长"),3))*(VLOOKUP($B$5,标准坦克设计!$B$14:$K$20,9)/30))</f>
        <v>7.4853495221564987</v>
      </c>
      <c r="R133" s="172">
        <f ca="1">(VLOOKUP(R$72,INDIRECT($C$5&amp;"生成成长"),2))/((VLOOKUP($B133,INDIRECT($B$5&amp;"生成成长"),4))/(VLOOKUP(R$72,INDIRECT($C$5&amp;"生成成长"),5))*(VLOOKUP($B$5,标准坦克设计!$B$24:$U$30,MATCH("对"&amp;LEFT($C$5,2)&amp;"输出",标准坦克设计!$B$23:$U$23,0)))*(VLOOKUP($B133,INDIRECT($B$5&amp;"生成成长"),3))*(VLOOKUP($B$5,标准坦克设计!$B$14:$K$20,9)/30))</f>
        <v>8.3456117121377567</v>
      </c>
      <c r="S133" s="172">
        <f ca="1">(VLOOKUP(S$72,INDIRECT($C$5&amp;"生成成长"),2))/((VLOOKUP($B133,INDIRECT($B$5&amp;"生成成长"),4))/(VLOOKUP(S$72,INDIRECT($C$5&amp;"生成成长"),5))*(VLOOKUP($B$5,标准坦克设计!$B$24:$U$30,MATCH("对"&amp;LEFT($C$5,2)&amp;"输出",标准坦克设计!$B$23:$U$23,0)))*(VLOOKUP($B133,INDIRECT($B$5&amp;"生成成长"),3))*(VLOOKUP($B$5,标准坦克设计!$B$14:$K$20,9)/30))</f>
        <v>9.2526555317856722</v>
      </c>
      <c r="T133" s="172">
        <f ca="1">(VLOOKUP(T$72,INDIRECT($C$5&amp;"生成成长"),2))/((VLOOKUP($B133,INDIRECT($B$5&amp;"生成成长"),4))/(VLOOKUP(T$72,INDIRECT($C$5&amp;"生成成长"),5))*(VLOOKUP($B$5,标准坦克设计!$B$24:$U$30,MATCH("对"&amp;LEFT($C$5,2)&amp;"输出",标准坦克设计!$B$23:$U$23,0)))*(VLOOKUP($B133,INDIRECT($B$5&amp;"生成成长"),3))*(VLOOKUP($B$5,标准坦克设计!$B$14:$K$20,9)/30))</f>
        <v>10.20648098110024</v>
      </c>
      <c r="U133" s="172">
        <f ca="1">(VLOOKUP(U$72,INDIRECT($C$5&amp;"生成成长"),2))/((VLOOKUP($B133,INDIRECT($B$5&amp;"生成成长"),4))/(VLOOKUP(U$72,INDIRECT($C$5&amp;"生成成长"),5))*(VLOOKUP($B$5,标准坦克设计!$B$24:$U$30,MATCH("对"&amp;LEFT($C$5,2)&amp;"输出",标准坦克设计!$B$23:$U$23,0)))*(VLOOKUP($B133,INDIRECT($B$5&amp;"生成成长"),3))*(VLOOKUP($B$5,标准坦克设计!$B$14:$K$20,9)/30))</f>
        <v>11.207088060081462</v>
      </c>
      <c r="V133" s="172">
        <f ca="1">(VLOOKUP(V$72,INDIRECT($C$5&amp;"生成成长"),2))/((VLOOKUP($B133,INDIRECT($B$5&amp;"生成成长"),4))/(VLOOKUP(V$72,INDIRECT($C$5&amp;"生成成长"),5))*(VLOOKUP($B$5,标准坦克设计!$B$24:$U$30,MATCH("对"&amp;LEFT($C$5,2)&amp;"输出",标准坦克设计!$B$23:$U$23,0)))*(VLOOKUP($B133,INDIRECT($B$5&amp;"生成成长"),3))*(VLOOKUP($B$5,标准坦克设计!$B$14:$K$20,9)/30))</f>
        <v>12.254476768729338</v>
      </c>
      <c r="W133" s="172">
        <f ca="1">(VLOOKUP(W$72,INDIRECT($C$5&amp;"生成成长"),2))/((VLOOKUP($B133,INDIRECT($B$5&amp;"生成成长"),4))/(VLOOKUP(W$72,INDIRECT($C$5&amp;"生成成长"),5))*(VLOOKUP($B$5,标准坦克设计!$B$24:$U$30,MATCH("对"&amp;LEFT($C$5,2)&amp;"输出",标准坦克设计!$B$23:$U$23,0)))*(VLOOKUP($B133,INDIRECT($B$5&amp;"生成成长"),3))*(VLOOKUP($B$5,标准坦克设计!$B$14:$K$20,9)/30))</f>
        <v>13.348647107043869</v>
      </c>
      <c r="X133" s="172">
        <f ca="1">(VLOOKUP(X$72,INDIRECT($C$5&amp;"生成成长"),2))/((VLOOKUP($B133,INDIRECT($B$5&amp;"生成成长"),4))/(VLOOKUP(X$72,INDIRECT($C$5&amp;"生成成长"),5))*(VLOOKUP($B$5,标准坦克设计!$B$24:$U$30,MATCH("对"&amp;LEFT($C$5,2)&amp;"输出",标准坦克设计!$B$23:$U$23,0)))*(VLOOKUP($B133,INDIRECT($B$5&amp;"生成成长"),3))*(VLOOKUP($B$5,标准坦克设计!$B$14:$K$20,9)/30))</f>
        <v>9.6708024438678653</v>
      </c>
      <c r="Y133" s="172">
        <f ca="1">(VLOOKUP(Y$72,INDIRECT($C$5&amp;"生成成长"),2))/((VLOOKUP($B133,INDIRECT($B$5&amp;"生成成长"),4))/(VLOOKUP(Y$72,INDIRECT($C$5&amp;"生成成长"),5))*(VLOOKUP($B$5,标准坦克设计!$B$24:$U$30,MATCH("对"&amp;LEFT($C$5,2)&amp;"输出",标准坦克设计!$B$23:$U$23,0)))*(VLOOKUP($B133,INDIRECT($B$5&amp;"生成成长"),3))*(VLOOKUP($B$5,标准坦克设计!$B$14:$K$20,9)/30))</f>
        <v>10.756598292921085</v>
      </c>
      <c r="Z133" s="172">
        <f ca="1">(VLOOKUP(Z$72,INDIRECT($C$5&amp;"生成成长"),2))/((VLOOKUP($B133,INDIRECT($B$5&amp;"生成成长"),4))/(VLOOKUP(Z$72,INDIRECT($C$5&amp;"生成成长"),5))*(VLOOKUP($B$5,标准坦克设计!$B$24:$U$30,MATCH("对"&amp;LEFT($C$5,2)&amp;"输出",标准坦克设计!$B$23:$U$23,0)))*(VLOOKUP($B133,INDIRECT($B$5&amp;"生成成长"),3))*(VLOOKUP($B$5,标准坦克设计!$B$14:$K$20,9)/30))</f>
        <v>11.900149240328195</v>
      </c>
      <c r="AA133" s="172">
        <f ca="1">(VLOOKUP(AA$72,INDIRECT($C$5&amp;"生成成长"),2))/((VLOOKUP($B133,INDIRECT($B$5&amp;"生成成长"),4))/(VLOOKUP(AA$72,INDIRECT($C$5&amp;"生成成长"),5))*(VLOOKUP($B$5,标准坦克设计!$B$24:$U$30,MATCH("对"&amp;LEFT($C$5,2)&amp;"输出",标准坦克设计!$B$23:$U$23,0)))*(VLOOKUP($B133,INDIRECT($B$5&amp;"生成成长"),3))*(VLOOKUP($B$5,标准坦克设计!$B$14:$K$20,9)/30))</f>
        <v>13.101455286089202</v>
      </c>
      <c r="AB133" s="172">
        <f ca="1">(VLOOKUP(AB$72,INDIRECT($C$5&amp;"生成成长"),2))/((VLOOKUP($B133,INDIRECT($B$5&amp;"生成成长"),4))/(VLOOKUP(AB$72,INDIRECT($C$5&amp;"生成成长"),5))*(VLOOKUP($B$5,标准坦克设计!$B$24:$U$30,MATCH("对"&amp;LEFT($C$5,2)&amp;"输出",标准坦克设计!$B$23:$U$23,0)))*(VLOOKUP($B133,INDIRECT($B$5&amp;"生成成长"),3))*(VLOOKUP($B$5,标准坦克设计!$B$14:$K$20,9)/30))</f>
        <v>14.360516430204104</v>
      </c>
      <c r="AC133" s="172">
        <f ca="1">(VLOOKUP(AC$72,INDIRECT($C$5&amp;"生成成长"),2))/((VLOOKUP($B133,INDIRECT($B$5&amp;"生成成长"),4))/(VLOOKUP(AC$72,INDIRECT($C$5&amp;"生成成长"),5))*(VLOOKUP($B$5,标准坦克设计!$B$24:$U$30,MATCH("对"&amp;LEFT($C$5,2)&amp;"输出",标准坦克设计!$B$23:$U$23,0)))*(VLOOKUP($B133,INDIRECT($B$5&amp;"生成成长"),3))*(VLOOKUP($B$5,标准坦克设计!$B$14:$K$20,9)/30))</f>
        <v>15.677332672672897</v>
      </c>
      <c r="AD133" s="172">
        <f ca="1">(VLOOKUP(AD$72,INDIRECT($C$5&amp;"生成成长"),2))/((VLOOKUP($B133,INDIRECT($B$5&amp;"生成成长"),4))/(VLOOKUP(AD$72,INDIRECT($C$5&amp;"生成成长"),5))*(VLOOKUP($B$5,标准坦克设计!$B$24:$U$30,MATCH("对"&amp;LEFT($C$5,2)&amp;"输出",标准坦克设计!$B$23:$U$23,0)))*(VLOOKUP($B133,INDIRECT($B$5&amp;"生成成长"),3))*(VLOOKUP($B$5,标准坦克设计!$B$14:$K$20,9)/30))</f>
        <v>17.051904013495587</v>
      </c>
      <c r="AE133" s="172">
        <f ca="1">(VLOOKUP(AE$72,INDIRECT($C$5&amp;"生成成长"),2))/((VLOOKUP($B133,INDIRECT($B$5&amp;"生成成长"),4))/(VLOOKUP(AE$72,INDIRECT($C$5&amp;"生成成长"),5))*(VLOOKUP($B$5,标准坦克设计!$B$24:$U$30,MATCH("对"&amp;LEFT($C$5,2)&amp;"输出",标准坦克设计!$B$23:$U$23,0)))*(VLOOKUP($B133,INDIRECT($B$5&amp;"生成成长"),3))*(VLOOKUP($B$5,标准坦克设计!$B$14:$K$20,9)/30))</f>
        <v>18.484230452672168</v>
      </c>
      <c r="AF133" s="172">
        <f ca="1">(VLOOKUP(AF$72,INDIRECT($C$5&amp;"生成成长"),2))/((VLOOKUP($B133,INDIRECT($B$5&amp;"生成成长"),4))/(VLOOKUP(AF$72,INDIRECT($C$5&amp;"生成成长"),5))*(VLOOKUP($B$5,标准坦克设计!$B$24:$U$30,MATCH("对"&amp;LEFT($C$5,2)&amp;"输出",标准坦克设计!$B$23:$U$23,0)))*(VLOOKUP($B133,INDIRECT($B$5&amp;"生成成长"),3))*(VLOOKUP($B$5,标准坦克设计!$B$14:$K$20,9)/30))</f>
        <v>19.974311990202651</v>
      </c>
      <c r="AG133" s="172">
        <f ca="1">(VLOOKUP(AG$72,INDIRECT($C$5&amp;"生成成长"),2))/((VLOOKUP($B133,INDIRECT($B$5&amp;"生成成长"),4))/(VLOOKUP(AG$72,INDIRECT($C$5&amp;"生成成长"),5))*(VLOOKUP($B$5,标准坦克设计!$B$24:$U$30,MATCH("对"&amp;LEFT($C$5,2)&amp;"输出",标准坦克设计!$B$23:$U$23,0)))*(VLOOKUP($B133,INDIRECT($B$5&amp;"生成成长"),3))*(VLOOKUP($B$5,标准坦克设计!$B$14:$K$20,9)/30))</f>
        <v>21.522148626087024</v>
      </c>
      <c r="AH133" s="172">
        <f ca="1">(VLOOKUP(AH$72,INDIRECT($C$5&amp;"生成成长"),2))/((VLOOKUP($B133,INDIRECT($B$5&amp;"生成成长"),4))/(VLOOKUP(AH$72,INDIRECT($C$5&amp;"生成成长"),5))*(VLOOKUP($B$5,标准坦克设计!$B$24:$U$30,MATCH("对"&amp;LEFT($C$5,2)&amp;"输出",标准坦克设计!$B$23:$U$23,0)))*(VLOOKUP($B133,INDIRECT($B$5&amp;"生成成长"),3))*(VLOOKUP($B$5,标准坦克设计!$B$14:$K$20,9)/30))</f>
        <v>23.127740360325287</v>
      </c>
      <c r="AI133" s="172">
        <f ca="1">(VLOOKUP(AI$72,INDIRECT($C$5&amp;"生成成长"),2))/((VLOOKUP($B133,INDIRECT($B$5&amp;"生成成长"),4))/(VLOOKUP(AI$72,INDIRECT($C$5&amp;"生成成长"),5))*(VLOOKUP($B$5,标准坦克设计!$B$24:$U$30,MATCH("对"&amp;LEFT($C$5,2)&amp;"输出",标准坦克设计!$B$23:$U$23,0)))*(VLOOKUP($B133,INDIRECT($B$5&amp;"生成成长"),3))*(VLOOKUP($B$5,标准坦克设计!$B$14:$K$20,9)/30))</f>
        <v>16.357398955790003</v>
      </c>
      <c r="AJ133" s="172">
        <f ca="1">(VLOOKUP(AJ$72,INDIRECT($C$5&amp;"生成成长"),2))/((VLOOKUP($B133,INDIRECT($B$5&amp;"生成成长"),4))/(VLOOKUP(AJ$72,INDIRECT($C$5&amp;"生成成长"),5))*(VLOOKUP($B$5,标准坦克设计!$B$24:$U$30,MATCH("对"&amp;LEFT($C$5,2)&amp;"输出",标准坦克设计!$B$23:$U$23,0)))*(VLOOKUP($B133,INDIRECT($B$5&amp;"生成成长"),3))*(VLOOKUP($B$5,标准坦克设计!$B$14:$K$20,9)/30))</f>
        <v>17.904369265199072</v>
      </c>
      <c r="AK133" s="172">
        <f ca="1">(VLOOKUP(AK$72,INDIRECT($C$5&amp;"生成成长"),2))/((VLOOKUP($B133,INDIRECT($B$5&amp;"生成成长"),4))/(VLOOKUP(AK$72,INDIRECT($C$5&amp;"生成成长"),5))*(VLOOKUP($B$5,标准坦克设计!$B$24:$U$30,MATCH("对"&amp;LEFT($C$5,2)&amp;"输出",标准坦克设计!$B$23:$U$23,0)))*(VLOOKUP($B133,INDIRECT($B$5&amp;"生成成长"),3))*(VLOOKUP($B$5,标准坦克设计!$B$14:$K$20,9)/30))</f>
        <v>19.521223243616348</v>
      </c>
      <c r="AL133" s="172">
        <f ca="1">(VLOOKUP(AL$72,INDIRECT($C$5&amp;"生成成长"),2))/((VLOOKUP($B133,INDIRECT($B$5&amp;"生成成长"),4))/(VLOOKUP(AL$72,INDIRECT($C$5&amp;"生成成长"),5))*(VLOOKUP($B$5,标准坦克设计!$B$24:$U$30,MATCH("对"&amp;LEFT($C$5,2)&amp;"输出",标准坦克设计!$B$23:$U$23,0)))*(VLOOKUP($B133,INDIRECT($B$5&amp;"生成成长"),3))*(VLOOKUP($B$5,标准坦克设计!$B$14:$K$20,9)/30))</f>
        <v>21.207960891041836</v>
      </c>
      <c r="AM133" s="172">
        <f ca="1">(VLOOKUP(AM$72,INDIRECT($C$5&amp;"生成成长"),2))/((VLOOKUP($B133,INDIRECT($B$5&amp;"生成成长"),4))/(VLOOKUP(AM$72,INDIRECT($C$5&amp;"生成成长"),5))*(VLOOKUP($B$5,标准坦克设计!$B$24:$U$30,MATCH("对"&amp;LEFT($C$5,2)&amp;"输出",标准坦克设计!$B$23:$U$23,0)))*(VLOOKUP($B133,INDIRECT($B$5&amp;"生成成长"),3))*(VLOOKUP($B$5,标准坦克设计!$B$14:$K$20,9)/30))</f>
        <v>22.964582207475541</v>
      </c>
      <c r="AN133" s="172">
        <f ca="1">(VLOOKUP(AN$72,INDIRECT($C$5&amp;"生成成长"),2))/((VLOOKUP($B133,INDIRECT($B$5&amp;"生成成长"),4))/(VLOOKUP(AN$72,INDIRECT($C$5&amp;"生成成长"),5))*(VLOOKUP($B$5,标准坦克设计!$B$24:$U$30,MATCH("对"&amp;LEFT($C$5,2)&amp;"输出",标准坦克设计!$B$23:$U$23,0)))*(VLOOKUP($B133,INDIRECT($B$5&amp;"生成成长"),3))*(VLOOKUP($B$5,标准坦克设计!$B$14:$K$20,9)/30))</f>
        <v>24.791087192917448</v>
      </c>
      <c r="AO133" s="172">
        <f ca="1">(VLOOKUP(AO$72,INDIRECT($C$5&amp;"生成成长"),2))/((VLOOKUP($B133,INDIRECT($B$5&amp;"生成成长"),4))/(VLOOKUP(AO$72,INDIRECT($C$5&amp;"生成成长"),5))*(VLOOKUP($B$5,标准坦克设计!$B$24:$U$30,MATCH("对"&amp;LEFT($C$5,2)&amp;"输出",标准坦克设计!$B$23:$U$23,0)))*(VLOOKUP($B133,INDIRECT($B$5&amp;"生成成长"),3))*(VLOOKUP($B$5,标准坦克设计!$B$14:$K$20,9)/30))</f>
        <v>26.68747584736758</v>
      </c>
      <c r="AP133" s="172">
        <f ca="1">(VLOOKUP(AP$72,INDIRECT($C$5&amp;"生成成长"),2))/((VLOOKUP($B133,INDIRECT($B$5&amp;"生成成长"),4))/(VLOOKUP(AP$72,INDIRECT($C$5&amp;"生成成长"),5))*(VLOOKUP($B$5,标准坦克设计!$B$24:$U$30,MATCH("对"&amp;LEFT($C$5,2)&amp;"输出",标准坦克设计!$B$23:$U$23,0)))*(VLOOKUP($B133,INDIRECT($B$5&amp;"生成成长"),3))*(VLOOKUP($B$5,标准坦克设计!$B$14:$K$20,9)/30))</f>
        <v>28.65374817082591</v>
      </c>
      <c r="AQ133" s="172">
        <f ca="1">(VLOOKUP(AQ$72,INDIRECT($C$5&amp;"生成成长"),2))/((VLOOKUP($B133,INDIRECT($B$5&amp;"生成成长"),4))/(VLOOKUP(AQ$72,INDIRECT($C$5&amp;"生成成长"),5))*(VLOOKUP($B$5,标准坦克设计!$B$24:$U$30,MATCH("对"&amp;LEFT($C$5,2)&amp;"输出",标准坦克设计!$B$23:$U$23,0)))*(VLOOKUP($B133,INDIRECT($B$5&amp;"生成成长"),3))*(VLOOKUP($B$5,标准坦克设计!$B$14:$K$20,9)/30))</f>
        <v>30.689904163292464</v>
      </c>
      <c r="AR133" s="172">
        <f ca="1">(VLOOKUP(AR$72,INDIRECT($C$5&amp;"生成成长"),2))/((VLOOKUP($B133,INDIRECT($B$5&amp;"生成成长"),4))/(VLOOKUP(AR$72,INDIRECT($C$5&amp;"生成成长"),5))*(VLOOKUP($B$5,标准坦克设计!$B$24:$U$30,MATCH("对"&amp;LEFT($C$5,2)&amp;"输出",标准坦克设计!$B$23:$U$23,0)))*(VLOOKUP($B133,INDIRECT($B$5&amp;"生成成长"),3))*(VLOOKUP($B$5,标准坦克设计!$B$14:$K$20,9)/30))</f>
        <v>32.795943824767228</v>
      </c>
      <c r="AS133" s="172">
        <f ca="1">(VLOOKUP(AS$72,INDIRECT($C$5&amp;"生成成长"),2))/((VLOOKUP($B133,INDIRECT($B$5&amp;"生成成长"),4))/(VLOOKUP(AS$72,INDIRECT($C$5&amp;"生成成长"),5))*(VLOOKUP($B$5,标准坦克设计!$B$24:$U$30,MATCH("对"&amp;LEFT($C$5,2)&amp;"输出",标准坦克设计!$B$23:$U$23,0)))*(VLOOKUP($B133,INDIRECT($B$5&amp;"生成成长"),3))*(VLOOKUP($B$5,标准坦克设计!$B$14:$K$20,9)/30))</f>
        <v>34.971867155250209</v>
      </c>
      <c r="AT133" s="172">
        <f ca="1">(VLOOKUP(AT$72,INDIRECT($C$5&amp;"生成成长"),2))/((VLOOKUP($B133,INDIRECT($B$5&amp;"生成成长"),4))/(VLOOKUP(AT$72,INDIRECT($C$5&amp;"生成成长"),5))*(VLOOKUP($B$5,标准坦克设计!$B$24:$U$30,MATCH("对"&amp;LEFT($C$5,2)&amp;"输出",标准坦克设计!$B$23:$U$23,0)))*(VLOOKUP($B133,INDIRECT($B$5&amp;"生成成长"),3))*(VLOOKUP($B$5,标准坦克设计!$B$14:$K$20,9)/30))</f>
        <v>37.217674154741395</v>
      </c>
      <c r="AU133" s="172">
        <f ca="1">(VLOOKUP(AU$72,INDIRECT($C$5&amp;"生成成长"),2))/((VLOOKUP($B133,INDIRECT($B$5&amp;"生成成长"),4))/(VLOOKUP(AU$72,INDIRECT($C$5&amp;"生成成长"),5))*(VLOOKUP($B$5,标准坦克设计!$B$24:$U$30,MATCH("对"&amp;LEFT($C$5,2)&amp;"输出",标准坦克设计!$B$23:$U$23,0)))*(VLOOKUP($B133,INDIRECT($B$5&amp;"生成成长"),3))*(VLOOKUP($B$5,标准坦克设计!$B$14:$K$20,9)/30))</f>
        <v>39.533364823240795</v>
      </c>
      <c r="AV133" s="172">
        <f ca="1">(VLOOKUP(AV$72,INDIRECT($C$5&amp;"生成成长"),2))/((VLOOKUP($B133,INDIRECT($B$5&amp;"生成成长"),4))/(VLOOKUP(AV$72,INDIRECT($C$5&amp;"生成成长"),5))*(VLOOKUP($B$5,标准坦克设计!$B$24:$U$30,MATCH("对"&amp;LEFT($C$5,2)&amp;"输出",标准坦克设计!$B$23:$U$23,0)))*(VLOOKUP($B133,INDIRECT($B$5&amp;"生成成长"),3))*(VLOOKUP($B$5,标准坦克设计!$B$14:$K$20,9)/30))</f>
        <v>4.0209099473981356</v>
      </c>
      <c r="AW133" s="172">
        <f ca="1">(VLOOKUP(AW$72,INDIRECT($C$5&amp;"生成成长"),2))/((VLOOKUP($B133,INDIRECT($B$5&amp;"生成成长"),4))/(VLOOKUP(AW$72,INDIRECT($C$5&amp;"生成成长"),5))*(VLOOKUP($B$5,标准坦克设计!$B$24:$U$30,MATCH("对"&amp;LEFT($C$5,2)&amp;"输出",标准坦克设计!$B$23:$U$23,0)))*(VLOOKUP($B133,INDIRECT($B$5&amp;"生成成长"),3))*(VLOOKUP($B$5,标准坦克设计!$B$14:$K$20,9)/30))</f>
        <v>4.5845997073321465</v>
      </c>
      <c r="AX133" s="172">
        <f ca="1">(VLOOKUP(AX$72,INDIRECT($C$5&amp;"生成成长"),2))/((VLOOKUP($B133,INDIRECT($B$5&amp;"生成成长"),4))/(VLOOKUP(AX$72,INDIRECT($C$5&amp;"生成成长"),5))*(VLOOKUP($B$5,标准坦克设计!$B$24:$U$30,MATCH("对"&amp;LEFT($C$5,2)&amp;"输出",标准坦克设计!$B$23:$U$23,0)))*(VLOOKUP($B133,INDIRECT($B$5&amp;"生成成长"),3))*(VLOOKUP($B$5,标准坦克设计!$B$14:$K$20,9)/30))</f>
        <v>5.1852527302126488</v>
      </c>
      <c r="AY133" s="172">
        <f ca="1">(VLOOKUP(AY$72,INDIRECT($C$5&amp;"生成成长"),2))/((VLOOKUP($B133,INDIRECT($B$5&amp;"生成成长"),4))/(VLOOKUP(AY$72,INDIRECT($C$5&amp;"生成成长"),5))*(VLOOKUP($B$5,标准坦克设计!$B$24:$U$30,MATCH("对"&amp;LEFT($C$5,2)&amp;"输出",标准坦克设计!$B$23:$U$23,0)))*(VLOOKUP($B133,INDIRECT($B$5&amp;"生成成长"),3))*(VLOOKUP($B$5,标准坦克设计!$B$14:$K$20,9)/30))</f>
        <v>5.822869016039645</v>
      </c>
      <c r="AZ133" s="172">
        <f ca="1">(VLOOKUP(AZ$72,INDIRECT($C$5&amp;"生成成长"),2))/((VLOOKUP($B133,INDIRECT($B$5&amp;"生成成长"),4))/(VLOOKUP(AZ$72,INDIRECT($C$5&amp;"生成成长"),5))*(VLOOKUP($B$5,标准坦克设计!$B$24:$U$30,MATCH("对"&amp;LEFT($C$5,2)&amp;"输出",标准坦克设计!$B$23:$U$23,0)))*(VLOOKUP($B133,INDIRECT($B$5&amp;"生成成长"),3))*(VLOOKUP($B$5,标准坦克设计!$B$14:$K$20,9)/30))</f>
        <v>6.4974485648131326</v>
      </c>
      <c r="BA133" s="172">
        <f ca="1">(VLOOKUP(BA$72,INDIRECT($C$5&amp;"生成成长"),2))/((VLOOKUP($B133,INDIRECT($B$5&amp;"生成成长"),4))/(VLOOKUP(BA$72,INDIRECT($C$5&amp;"生成成长"),5))*(VLOOKUP($B$5,标准坦克设计!$B$24:$U$30,MATCH("对"&amp;LEFT($C$5,2)&amp;"输出",标准坦克设计!$B$23:$U$23,0)))*(VLOOKUP($B133,INDIRECT($B$5&amp;"生成成长"),3))*(VLOOKUP($B$5,标准坦克设计!$B$14:$K$20,9)/30))</f>
        <v>7.2089913765331133</v>
      </c>
      <c r="BB133" s="172">
        <f ca="1">(VLOOKUP(BB$72,INDIRECT($C$5&amp;"生成成长"),2))/((VLOOKUP($B133,INDIRECT($B$5&amp;"生成成长"),4))/(VLOOKUP(BB$72,INDIRECT($C$5&amp;"生成成长"),5))*(VLOOKUP($B$5,标准坦克设计!$B$24:$U$30,MATCH("对"&amp;LEFT($C$5,2)&amp;"输出",标准坦克设计!$B$23:$U$23,0)))*(VLOOKUP($B133,INDIRECT($B$5&amp;"生成成长"),3))*(VLOOKUP($B$5,标准坦克设计!$B$14:$K$20,9)/30))</f>
        <v>7.9574974511995853</v>
      </c>
      <c r="BC133" s="172">
        <f ca="1">(VLOOKUP(BC$72,INDIRECT($C$5&amp;"生成成长"),2))/((VLOOKUP($B133,INDIRECT($B$5&amp;"生成成长"),4))/(VLOOKUP(BC$72,INDIRECT($C$5&amp;"生成成长"),5))*(VLOOKUP($B$5,标准坦克设计!$B$24:$U$30,MATCH("对"&amp;LEFT($C$5,2)&amp;"输出",标准坦克设计!$B$23:$U$23,0)))*(VLOOKUP($B133,INDIRECT($B$5&amp;"生成成长"),3))*(VLOOKUP($B$5,标准坦克设计!$B$14:$K$20,9)/30))</f>
        <v>8.7429667888125522</v>
      </c>
      <c r="BD133" s="172">
        <f ca="1">(VLOOKUP(BD$72,INDIRECT($C$5&amp;"生成成长"),2))/((VLOOKUP($B133,INDIRECT($B$5&amp;"生成成长"),4))/(VLOOKUP(BD$72,INDIRECT($C$5&amp;"生成成长"),5))*(VLOOKUP($B$5,标准坦克设计!$B$24:$U$30,MATCH("对"&amp;LEFT($C$5,2)&amp;"输出",标准坦克设计!$B$23:$U$23,0)))*(VLOOKUP($B133,INDIRECT($B$5&amp;"生成成长"),3))*(VLOOKUP($B$5,标准坦克设计!$B$14:$K$20,9)/30))</f>
        <v>9.6708024438678653</v>
      </c>
      <c r="BE133" s="172">
        <f ca="1">(VLOOKUP(BE$72,INDIRECT($C$5&amp;"生成成长"),2))/((VLOOKUP($B133,INDIRECT($B$5&amp;"生成成长"),4))/(VLOOKUP(BE$72,INDIRECT($C$5&amp;"生成成长"),5))*(VLOOKUP($B$5,标准坦克设计!$B$24:$U$30,MATCH("对"&amp;LEFT($C$5,2)&amp;"输出",标准坦克设计!$B$23:$U$23,0)))*(VLOOKUP($B133,INDIRECT($B$5&amp;"生成成长"),3))*(VLOOKUP($B$5,标准坦克设计!$B$14:$K$20,9)/30))</f>
        <v>10.645419728589838</v>
      </c>
      <c r="BF133" s="172">
        <f ca="1">(VLOOKUP(BF$72,INDIRECT($C$5&amp;"生成成长"),2))/((VLOOKUP($B133,INDIRECT($B$5&amp;"生成成长"),4))/(VLOOKUP(BF$72,INDIRECT($C$5&amp;"生成成长"),5))*(VLOOKUP($B$5,标准坦克设计!$B$24:$U$30,MATCH("对"&amp;LEFT($C$5,2)&amp;"输出",标准坦克设计!$B$23:$U$23,0)))*(VLOOKUP($B133,INDIRECT($B$5&amp;"生成成长"),3))*(VLOOKUP($B$5,标准坦克设计!$B$14:$K$20,9)/30))</f>
        <v>11.666818642978463</v>
      </c>
      <c r="BG133" s="172">
        <f ca="1">(VLOOKUP(BG$72,INDIRECT($C$5&amp;"生成成长"),2))/((VLOOKUP($B133,INDIRECT($B$5&amp;"生成成长"),4))/(VLOOKUP(BG$72,INDIRECT($C$5&amp;"生成成长"),5))*(VLOOKUP($B$5,标准坦克设计!$B$24:$U$30,MATCH("对"&amp;LEFT($C$5,2)&amp;"输出",标准坦克设计!$B$23:$U$23,0)))*(VLOOKUP($B133,INDIRECT($B$5&amp;"生成成长"),3))*(VLOOKUP($B$5,标准坦克设计!$B$14:$K$20,9)/30))</f>
        <v>12.73499918703374</v>
      </c>
      <c r="BH133" s="172">
        <f ca="1">(VLOOKUP(BH$72,INDIRECT($C$5&amp;"生成成长"),2))/((VLOOKUP($B133,INDIRECT($B$5&amp;"生成成长"),4))/(VLOOKUP(BH$72,INDIRECT($C$5&amp;"生成成长"),5))*(VLOOKUP($B$5,标准坦克设计!$B$24:$U$30,MATCH("对"&amp;LEFT($C$5,2)&amp;"输出",标准坦克设计!$B$23:$U$23,0)))*(VLOOKUP($B133,INDIRECT($B$5&amp;"生成成长"),3))*(VLOOKUP($B$5,标准坦克设计!$B$14:$K$20,9)/30))</f>
        <v>6.1555383825580776</v>
      </c>
      <c r="BI133" s="172">
        <f ca="1">(VLOOKUP(BI$72,INDIRECT($C$5&amp;"生成成长"),2))/((VLOOKUP($B133,INDIRECT($B$5&amp;"生成成长"),4))/(VLOOKUP(BI$72,INDIRECT($C$5&amp;"生成成长"),5))*(VLOOKUP($B$5,标准坦克设计!$B$24:$U$30,MATCH("对"&amp;LEFT($C$5,2)&amp;"输出",标准坦克设计!$B$23:$U$23,0)))*(VLOOKUP($B133,INDIRECT($B$5&amp;"生成成长"),3))*(VLOOKUP($B$5,标准坦克设计!$B$14:$K$20,9)/30))</f>
        <v>6.9378311897615781</v>
      </c>
      <c r="BJ133" s="172">
        <f ca="1">(VLOOKUP(BJ$72,INDIRECT($C$5&amp;"生成成长"),2))/((VLOOKUP($B133,INDIRECT($B$5&amp;"生成成长"),4))/(VLOOKUP(BJ$72,INDIRECT($C$5&amp;"生成成长"),5))*(VLOOKUP($B$5,标准坦克设计!$B$24:$U$30,MATCH("对"&amp;LEFT($C$5,2)&amp;"输出",标准坦克设计!$B$23:$U$23,0)))*(VLOOKUP($B133,INDIRECT($B$5&amp;"生成成长"),3))*(VLOOKUP($B$5,标准坦克设计!$B$14:$K$20,9)/30))</f>
        <v>7.7669056266317336</v>
      </c>
      <c r="BK133" s="172">
        <f ca="1">(VLOOKUP(BK$72,INDIRECT($C$5&amp;"生成成长"),2))/((VLOOKUP($B133,INDIRECT($B$5&amp;"生成成长"),4))/(VLOOKUP(BK$72,INDIRECT($C$5&amp;"生成成长"),5))*(VLOOKUP($B$5,标准坦克设计!$B$24:$U$30,MATCH("对"&amp;LEFT($C$5,2)&amp;"输出",标准坦克设计!$B$23:$U$23,0)))*(VLOOKUP($B133,INDIRECT($B$5&amp;"生成成长"),3))*(VLOOKUP($B$5,标准坦克设计!$B$14:$K$20,9)/30))</f>
        <v>8.6427616931685449</v>
      </c>
      <c r="BL133" s="172">
        <f ca="1">(VLOOKUP(BL$72,INDIRECT($C$5&amp;"生成成长"),2))/((VLOOKUP($B133,INDIRECT($B$5&amp;"生成成长"),4))/(VLOOKUP(BL$72,INDIRECT($C$5&amp;"生成成长"),5))*(VLOOKUP($B$5,标准坦克设计!$B$24:$U$30,MATCH("对"&amp;LEFT($C$5,2)&amp;"输出",标准坦克设计!$B$23:$U$23,0)))*(VLOOKUP($B133,INDIRECT($B$5&amp;"生成成长"),3))*(VLOOKUP($B$5,标准坦克设计!$B$14:$K$20,9)/30))</f>
        <v>9.5653993893720113</v>
      </c>
      <c r="BM133" s="172">
        <f ca="1">(VLOOKUP(BM$72,INDIRECT($C$5&amp;"生成成长"),2))/((VLOOKUP($B133,INDIRECT($B$5&amp;"生成成长"),4))/(VLOOKUP(BM$72,INDIRECT($C$5&amp;"生成成长"),5))*(VLOOKUP($B$5,标准坦克设计!$B$24:$U$30,MATCH("对"&amp;LEFT($C$5,2)&amp;"输出",标准坦克设计!$B$23:$U$23,0)))*(VLOOKUP($B133,INDIRECT($B$5&amp;"生成成长"),3))*(VLOOKUP($B$5,标准坦克设计!$B$14:$K$20,9)/30))</f>
        <v>10.53481871524213</v>
      </c>
      <c r="BN133" s="172">
        <f ca="1">(VLOOKUP(BN$72,INDIRECT($C$5&amp;"生成成长"),2))/((VLOOKUP($B133,INDIRECT($B$5&amp;"生成成长"),4))/(VLOOKUP(BN$72,INDIRECT($C$5&amp;"生成成长"),5))*(VLOOKUP($B$5,标准坦克设计!$B$24:$U$30,MATCH("对"&amp;LEFT($C$5,2)&amp;"输出",标准坦克设计!$B$23:$U$23,0)))*(VLOOKUP($B133,INDIRECT($B$5&amp;"生成成长"),3))*(VLOOKUP($B$5,标准坦克设计!$B$14:$K$20,9)/30))</f>
        <v>11.551019670778905</v>
      </c>
      <c r="BO133" s="172">
        <f ca="1">(VLOOKUP(BO$72,INDIRECT($C$5&amp;"生成成长"),2))/((VLOOKUP($B133,INDIRECT($B$5&amp;"生成成长"),4))/(VLOOKUP(BO$72,INDIRECT($C$5&amp;"生成成长"),5))*(VLOOKUP($B$5,标准坦克设计!$B$24:$U$30,MATCH("对"&amp;LEFT($C$5,2)&amp;"输出",标准坦克设计!$B$23:$U$23,0)))*(VLOOKUP($B133,INDIRECT($B$5&amp;"生成成长"),3))*(VLOOKUP($B$5,标准坦克设计!$B$14:$K$20,9)/30))</f>
        <v>12.614002255982333</v>
      </c>
      <c r="BP133" s="172">
        <f ca="1">(VLOOKUP(BP$72,INDIRECT($C$5&amp;"生成成长"),2))/((VLOOKUP($B133,INDIRECT($B$5&amp;"生成成长"),4))/(VLOOKUP(BP$72,INDIRECT($C$5&amp;"生成成长"),5))*(VLOOKUP($B$5,标准坦克设计!$B$24:$U$30,MATCH("对"&amp;LEFT($C$5,2)&amp;"输出",标准坦克设计!$B$23:$U$23,0)))*(VLOOKUP($B133,INDIRECT($B$5&amp;"生成成长"),3))*(VLOOKUP($B$5,标准坦克设计!$B$14:$K$20,9)/30))</f>
        <v>13.723766470852414</v>
      </c>
      <c r="BQ133" s="172">
        <f ca="1">(VLOOKUP(BQ$72,INDIRECT($C$5&amp;"生成成长"),2))/((VLOOKUP($B133,INDIRECT($B$5&amp;"生成成长"),4))/(VLOOKUP(BQ$72,INDIRECT($C$5&amp;"生成成长"),5))*(VLOOKUP($B$5,标准坦克设计!$B$24:$U$30,MATCH("对"&amp;LEFT($C$5,2)&amp;"输出",标准坦克设计!$B$23:$U$23,0)))*(VLOOKUP($B133,INDIRECT($B$5&amp;"生成成长"),3))*(VLOOKUP($B$5,标准坦克设计!$B$14:$K$20,9)/30))</f>
        <v>14.880312315389151</v>
      </c>
      <c r="BR133" s="172">
        <f ca="1">(VLOOKUP(BR$72,INDIRECT($C$5&amp;"生成成长"),2))/((VLOOKUP($B133,INDIRECT($B$5&amp;"生成成长"),4))/(VLOOKUP(BR$72,INDIRECT($C$5&amp;"生成成长"),5))*(VLOOKUP($B$5,标准坦克设计!$B$24:$U$30,MATCH("对"&amp;LEFT($C$5,2)&amp;"输出",标准坦克设计!$B$23:$U$23,0)))*(VLOOKUP($B133,INDIRECT($B$5&amp;"生成成长"),3))*(VLOOKUP($B$5,标准坦克设计!$B$14:$K$20,9)/30))</f>
        <v>16.220230597199507</v>
      </c>
      <c r="BS133" s="172">
        <f ca="1">(VLOOKUP(BS$72,INDIRECT($C$5&amp;"生成成长"),2))/((VLOOKUP($B133,INDIRECT($B$5&amp;"生成成长"),4))/(VLOOKUP(BS$72,INDIRECT($C$5&amp;"生成成长"),5))*(VLOOKUP($B$5,标准坦克设计!$B$24:$U$30,MATCH("对"&amp;LEFT($C$5,2)&amp;"输出",标准坦克设计!$B$23:$U$23,0)))*(VLOOKUP($B133,INDIRECT($B$5&amp;"生成成长"),3))*(VLOOKUP($B$5,标准坦克设计!$B$14:$K$20,9)/30))</f>
        <v>17.617903977363756</v>
      </c>
      <c r="BT133" s="172">
        <f ca="1">(VLOOKUP(BT$72,INDIRECT($C$5&amp;"生成成长"),2))/((VLOOKUP($B133,INDIRECT($B$5&amp;"生成成长"),4))/(VLOOKUP(BT$72,INDIRECT($C$5&amp;"生成成长"),5))*(VLOOKUP($B$5,标准坦克设计!$B$24:$U$30,MATCH("对"&amp;LEFT($C$5,2)&amp;"输出",标准坦克设计!$B$23:$U$23,0)))*(VLOOKUP($B133,INDIRECT($B$5&amp;"生成成长"),3))*(VLOOKUP($B$5,标准坦克设计!$B$14:$K$20,9)/30))</f>
        <v>19.073332455881893</v>
      </c>
      <c r="BU133" s="172">
        <f ca="1">(VLOOKUP(BU$72,INDIRECT($C$5&amp;"生成成长"),2))/((VLOOKUP($B133,INDIRECT($B$5&amp;"生成成长"),4))/(VLOOKUP(BU$72,INDIRECT($C$5&amp;"生成成长"),5))*(VLOOKUP($B$5,标准坦克设计!$B$24:$U$30,MATCH("对"&amp;LEFT($C$5,2)&amp;"输出",标准坦克设计!$B$23:$U$23,0)))*(VLOOKUP($B133,INDIRECT($B$5&amp;"生成成长"),3))*(VLOOKUP($B$5,标准坦克设计!$B$14:$K$20,9)/30))</f>
        <v>20.586516032753931</v>
      </c>
      <c r="BV133" s="172">
        <f ca="1">(VLOOKUP(BV$72,INDIRECT($C$5&amp;"生成成长"),2))/((VLOOKUP($B133,INDIRECT($B$5&amp;"生成成长"),4))/(VLOOKUP(BV$72,INDIRECT($C$5&amp;"生成成长"),5))*(VLOOKUP($B$5,标准坦克设计!$B$24:$U$30,MATCH("对"&amp;LEFT($C$5,2)&amp;"输出",标准坦克设计!$B$23:$U$23,0)))*(VLOOKUP($B133,INDIRECT($B$5&amp;"生成成长"),3))*(VLOOKUP($B$5,标准坦克设计!$B$14:$K$20,9)/30))</f>
        <v>22.157454707979863</v>
      </c>
      <c r="BW133" s="172">
        <f ca="1">(VLOOKUP(BW$72,INDIRECT($C$5&amp;"生成成长"),2))/((VLOOKUP($B133,INDIRECT($B$5&amp;"生成成长"),4))/(VLOOKUP(BW$72,INDIRECT($C$5&amp;"生成成长"),5))*(VLOOKUP($B$5,标准坦克设计!$B$24:$U$30,MATCH("对"&amp;LEFT($C$5,2)&amp;"输出",标准坦克设计!$B$23:$U$23,0)))*(VLOOKUP($B133,INDIRECT($B$5&amp;"生成成长"),3))*(VLOOKUP($B$5,标准坦克设计!$B$14:$K$20,9)/30))</f>
        <v>10.098190171686685</v>
      </c>
      <c r="BX133" s="172">
        <f ca="1">(VLOOKUP(BX$72,INDIRECT($C$5&amp;"生成成长"),2))/((VLOOKUP($B133,INDIRECT($B$5&amp;"生成成长"),4))/(VLOOKUP(BX$72,INDIRECT($C$5&amp;"生成成长"),5))*(VLOOKUP($B$5,标准坦克设计!$B$24:$U$30,MATCH("对"&amp;LEFT($C$5,2)&amp;"输出",标准坦克设计!$B$23:$U$23,0)))*(VLOOKUP($B133,INDIRECT($B$5&amp;"生成成长"),3))*(VLOOKUP($B$5,标准坦克设计!$B$14:$K$20,9)/30))</f>
        <v>11.207088060081462</v>
      </c>
      <c r="BY133" s="172">
        <f ca="1">(VLOOKUP(BY$72,INDIRECT($C$5&amp;"生成成长"),2))/((VLOOKUP($B133,INDIRECT($B$5&amp;"生成成长"),4))/(VLOOKUP(BY$72,INDIRECT($C$5&amp;"生成成长"),5))*(VLOOKUP($B$5,标准坦克设计!$B$24:$U$30,MATCH("对"&amp;LEFT($C$5,2)&amp;"输出",标准坦克设计!$B$23:$U$23,0)))*(VLOOKUP($B133,INDIRECT($B$5&amp;"生成成长"),3))*(VLOOKUP($B$5,标准坦克设计!$B$14:$K$20,9)/30))</f>
        <v>12.373741046830132</v>
      </c>
      <c r="BZ133" s="172">
        <f ca="1">(VLOOKUP(BZ$72,INDIRECT($C$5&amp;"生成成长"),2))/((VLOOKUP($B133,INDIRECT($B$5&amp;"生成成长"),4))/(VLOOKUP(BZ$72,INDIRECT($C$5&amp;"生成成长"),5))*(VLOOKUP($B$5,标准坦克设计!$B$24:$U$30,MATCH("对"&amp;LEFT($C$5,2)&amp;"输出",标准坦克设计!$B$23:$U$23,0)))*(VLOOKUP($B133,INDIRECT($B$5&amp;"生成成长"),3))*(VLOOKUP($B$5,标准坦克设计!$B$14:$K$20,9)/30))</f>
        <v>13.598149131932695</v>
      </c>
      <c r="CA133" s="172">
        <f ca="1">(VLOOKUP(CA$72,INDIRECT($C$5&amp;"生成成长"),2))/((VLOOKUP($B133,INDIRECT($B$5&amp;"生成成长"),4))/(VLOOKUP(CA$72,INDIRECT($C$5&amp;"生成成长"),5))*(VLOOKUP($B$5,标准坦克设计!$B$24:$U$30,MATCH("对"&amp;LEFT($C$5,2)&amp;"输出",标准坦克设计!$B$23:$U$23,0)))*(VLOOKUP($B133,INDIRECT($B$5&amp;"生成成长"),3))*(VLOOKUP($B$5,标准坦克设计!$B$14:$K$20,9)/30))</f>
        <v>14.880312315389151</v>
      </c>
      <c r="CB133" s="172">
        <f ca="1">(VLOOKUP(CB$72,INDIRECT($C$5&amp;"生成成长"),2))/((VLOOKUP($B133,INDIRECT($B$5&amp;"生成成长"),4))/(VLOOKUP(CB$72,INDIRECT($C$5&amp;"生成成长"),5))*(VLOOKUP($B$5,标准坦克设计!$B$24:$U$30,MATCH("对"&amp;LEFT($C$5,2)&amp;"输出",标准坦克设计!$B$23:$U$23,0)))*(VLOOKUP($B133,INDIRECT($B$5&amp;"生成成长"),3))*(VLOOKUP($B$5,标准坦克设计!$B$14:$K$20,9)/30))</f>
        <v>16.220230597199507</v>
      </c>
      <c r="CC133" s="172">
        <f ca="1">(VLOOKUP(CC$72,INDIRECT($C$5&amp;"生成成长"),2))/((VLOOKUP($B133,INDIRECT($B$5&amp;"生成成长"),4))/(VLOOKUP(CC$72,INDIRECT($C$5&amp;"生成成长"),5))*(VLOOKUP($B$5,标准坦克设计!$B$24:$U$30,MATCH("对"&amp;LEFT($C$5,2)&amp;"输出",标准坦克设计!$B$23:$U$23,0)))*(VLOOKUP($B133,INDIRECT($B$5&amp;"生成成长"),3))*(VLOOKUP($B$5,标准坦克设计!$B$14:$K$20,9)/30))</f>
        <v>17.617903977363756</v>
      </c>
      <c r="CD133" s="172">
        <f ca="1">(VLOOKUP(CD$72,INDIRECT($C$5&amp;"生成成长"),2))/((VLOOKUP($B133,INDIRECT($B$5&amp;"生成成长"),4))/(VLOOKUP(CD$72,INDIRECT($C$5&amp;"生成成长"),5))*(VLOOKUP($B$5,标准坦克设计!$B$24:$U$30,MATCH("对"&amp;LEFT($C$5,2)&amp;"输出",标准坦克设计!$B$23:$U$23,0)))*(VLOOKUP($B133,INDIRECT($B$5&amp;"生成成长"),3))*(VLOOKUP($B$5,标准坦克设计!$B$14:$K$20,9)/30))</f>
        <v>19.073332455881893</v>
      </c>
      <c r="CE133" s="172">
        <f ca="1">(VLOOKUP(CE$72,INDIRECT($C$5&amp;"生成成长"),2))/((VLOOKUP($B133,INDIRECT($B$5&amp;"生成成长"),4))/(VLOOKUP(CE$72,INDIRECT($C$5&amp;"生成成长"),5))*(VLOOKUP($B$5,标准坦克设计!$B$24:$U$30,MATCH("对"&amp;LEFT($C$5,2)&amp;"输出",标准坦克设计!$B$23:$U$23,0)))*(VLOOKUP($B133,INDIRECT($B$5&amp;"生成成长"),3))*(VLOOKUP($B$5,标准坦克设计!$B$14:$K$20,9)/30))</f>
        <v>20.586516032753931</v>
      </c>
      <c r="CF133" s="172">
        <f ca="1">(VLOOKUP(CF$72,INDIRECT($C$5&amp;"生成成长"),2))/((VLOOKUP($B133,INDIRECT($B$5&amp;"生成成长"),4))/(VLOOKUP(CF$72,INDIRECT($C$5&amp;"生成成长"),5))*(VLOOKUP($B$5,标准坦克设计!$B$24:$U$30,MATCH("对"&amp;LEFT($C$5,2)&amp;"输出",标准坦克设计!$B$23:$U$23,0)))*(VLOOKUP($B133,INDIRECT($B$5&amp;"生成成长"),3))*(VLOOKUP($B$5,标准坦克设计!$B$14:$K$20,9)/30))</f>
        <v>22.157454707979863</v>
      </c>
      <c r="CG133" s="172">
        <f ca="1">(VLOOKUP(CG$72,INDIRECT($C$5&amp;"生成成长"),2))/((VLOOKUP($B133,INDIRECT($B$5&amp;"生成成长"),4))/(VLOOKUP(CG$72,INDIRECT($C$5&amp;"生成成长"),5))*(VLOOKUP($B$5,标准坦克设计!$B$24:$U$30,MATCH("对"&amp;LEFT($C$5,2)&amp;"输出",标准坦克设计!$B$23:$U$23,0)))*(VLOOKUP($B133,INDIRECT($B$5&amp;"生成成长"),3))*(VLOOKUP($B$5,标准坦克设计!$B$14:$K$20,9)/30))</f>
        <v>23.786148481559685</v>
      </c>
      <c r="CH133" s="172">
        <f ca="1">(VLOOKUP(CH$72,INDIRECT($C$5&amp;"生成成长"),2))/((VLOOKUP($B133,INDIRECT($B$5&amp;"生成成长"),4))/(VLOOKUP(CH$72,INDIRECT($C$5&amp;"生成成长"),5))*(VLOOKUP($B$5,标准坦克设计!$B$24:$U$30,MATCH("对"&amp;LEFT($C$5,2)&amp;"输出",标准坦克设计!$B$23:$U$23,0)))*(VLOOKUP($B133,INDIRECT($B$5&amp;"生成成长"),3))*(VLOOKUP($B$5,标准坦克设计!$B$14:$K$20,9)/30))</f>
        <v>25.472597353493402</v>
      </c>
      <c r="CI133" s="172">
        <f ca="1">(VLOOKUP(CI$72,INDIRECT($C$5&amp;"生成成长"),2))/((VLOOKUP($B133,INDIRECT($B$5&amp;"生成成长"),4))/(VLOOKUP(CI$72,INDIRECT($C$5&amp;"生成成长"),5))*(VLOOKUP($B$5,标准坦克设计!$B$24:$U$30,MATCH("对"&amp;LEFT($C$5,2)&amp;"输出",标准坦克设计!$B$23:$U$23,0)))*(VLOOKUP($B133,INDIRECT($B$5&amp;"生成成长"),3))*(VLOOKUP($B$5,标准坦克设计!$B$14:$K$20,9)/30))</f>
        <v>27.394398251219247</v>
      </c>
      <c r="CJ133" s="172">
        <f ca="1">(VLOOKUP(CJ$72,INDIRECT($C$5&amp;"生成成长"),2))/((VLOOKUP($B133,INDIRECT($B$5&amp;"生成成长"),4))/(VLOOKUP(CJ$72,INDIRECT($C$5&amp;"生成成长"),5))*(VLOOKUP($B$5,标准坦克设计!$B$24:$U$30,MATCH("对"&amp;LEFT($C$5,2)&amp;"输出",标准坦克设计!$B$23:$U$23,0)))*(VLOOKUP($B133,INDIRECT($B$5&amp;"生成成长"),3))*(VLOOKUP($B$5,标准坦克设计!$B$14:$K$20,9)/30))</f>
        <v>29.386082817953294</v>
      </c>
      <c r="CK133" s="172">
        <f ca="1">(VLOOKUP(CK$72,INDIRECT($C$5&amp;"生成成长"),2))/((VLOOKUP($B133,INDIRECT($B$5&amp;"生成成长"),4))/(VLOOKUP(CK$72,INDIRECT($C$5&amp;"生成成长"),5))*(VLOOKUP($B$5,标准坦克设计!$B$24:$U$30,MATCH("对"&amp;LEFT($C$5,2)&amp;"输出",标准坦克设计!$B$23:$U$23,0)))*(VLOOKUP($B133,INDIRECT($B$5&amp;"生成成长"),3))*(VLOOKUP($B$5,标准坦克设计!$B$14:$K$20,9)/30))</f>
        <v>31.447651053695562</v>
      </c>
      <c r="CL133" s="172">
        <f ca="1">(VLOOKUP(CL$72,INDIRECT($C$5&amp;"生成成长"),2))/((VLOOKUP($B133,INDIRECT($B$5&amp;"生成成长"),4))/(VLOOKUP(CL$72,INDIRECT($C$5&amp;"生成成长"),5))*(VLOOKUP($B$5,标准坦克设计!$B$24:$U$30,MATCH("对"&amp;LEFT($C$5,2)&amp;"输出",标准坦克设计!$B$23:$U$23,0)))*(VLOOKUP($B133,INDIRECT($B$5&amp;"生成成长"),3))*(VLOOKUP($B$5,标准坦克设计!$B$14:$K$20,9)/30))</f>
        <v>33.579102958446043</v>
      </c>
      <c r="CM133" s="172">
        <f ca="1">(VLOOKUP(CM$72,INDIRECT($C$5&amp;"生成成长"),2))/((VLOOKUP($B133,INDIRECT($B$5&amp;"生成成长"),4))/(VLOOKUP(CM$72,INDIRECT($C$5&amp;"生成成长"),5))*(VLOOKUP($B$5,标准坦克设计!$B$24:$U$30,MATCH("对"&amp;LEFT($C$5,2)&amp;"输出",标准坦克设计!$B$23:$U$23,0)))*(VLOOKUP($B133,INDIRECT($B$5&amp;"生成成长"),3))*(VLOOKUP($B$5,标准坦克设计!$B$14:$K$20,9)/30))</f>
        <v>35.780438532204734</v>
      </c>
      <c r="CN133" s="172">
        <f ca="1">(VLOOKUP(CN$72,INDIRECT($C$5&amp;"生成成长"),2))/((VLOOKUP($B133,INDIRECT($B$5&amp;"生成成长"),4))/(VLOOKUP(CN$72,INDIRECT($C$5&amp;"生成成长"),5))*(VLOOKUP($B$5,标准坦克设计!$B$24:$U$30,MATCH("对"&amp;LEFT($C$5,2)&amp;"输出",标准坦克设计!$B$23:$U$23,0)))*(VLOOKUP($B133,INDIRECT($B$5&amp;"生成成长"),3))*(VLOOKUP($B$5,标准坦克设计!$B$14:$K$20,9)/30))</f>
        <v>38.051657774971638</v>
      </c>
      <c r="CO133" s="172">
        <f ca="1">(VLOOKUP(CO$72,INDIRECT($C$5&amp;"生成成长"),2))/((VLOOKUP($B133,INDIRECT($B$5&amp;"生成成长"),4))/(VLOOKUP(CO$72,INDIRECT($C$5&amp;"生成成长"),5))*(VLOOKUP($B$5,标准坦克设计!$B$24:$U$30,MATCH("对"&amp;LEFT($C$5,2)&amp;"输出",标准坦克设计!$B$23:$U$23,0)))*(VLOOKUP($B133,INDIRECT($B$5&amp;"生成成长"),3))*(VLOOKUP($B$5,标准坦克设计!$B$14:$K$20,9)/30))</f>
        <v>17.051904013495587</v>
      </c>
      <c r="CP133" s="172">
        <f ca="1">(VLOOKUP(CP$72,INDIRECT($C$5&amp;"生成成长"),2))/((VLOOKUP($B133,INDIRECT($B$5&amp;"生成成长"),4))/(VLOOKUP(CP$72,INDIRECT($C$5&amp;"生成成长"),5))*(VLOOKUP($B$5,标准坦克设计!$B$24:$U$30,MATCH("对"&amp;LEFT($C$5,2)&amp;"输出",标准坦克设计!$B$23:$U$23,0)))*(VLOOKUP($B133,INDIRECT($B$5&amp;"生成成长"),3))*(VLOOKUP($B$5,标准坦克设计!$B$14:$K$20,9)/30))</f>
        <v>18.63063962699929</v>
      </c>
      <c r="CQ133" s="172">
        <f ca="1">(VLOOKUP(CQ$72,INDIRECT($C$5&amp;"生成成长"),2))/((VLOOKUP($B133,INDIRECT($B$5&amp;"生成成长"),4))/(VLOOKUP(CQ$72,INDIRECT($C$5&amp;"生成成长"),5))*(VLOOKUP($B$5,标准坦克设计!$B$24:$U$30,MATCH("对"&amp;LEFT($C$5,2)&amp;"输出",标准坦克设计!$B$23:$U$23,0)))*(VLOOKUP($B133,INDIRECT($B$5&amp;"生成成长"),3))*(VLOOKUP($B$5,标准坦克设计!$B$14:$K$20,9)/30))</f>
        <v>20.279258909511213</v>
      </c>
      <c r="CR133" s="172">
        <f ca="1">(VLOOKUP(CR$72,INDIRECT($C$5&amp;"生成成长"),2))/((VLOOKUP($B133,INDIRECT($B$5&amp;"生成成长"),4))/(VLOOKUP(CR$72,INDIRECT($C$5&amp;"生成成长"),5))*(VLOOKUP($B$5,标准坦克设计!$B$24:$U$30,MATCH("对"&amp;LEFT($C$5,2)&amp;"输出",标准坦克设计!$B$23:$U$23,0)))*(VLOOKUP($B133,INDIRECT($B$5&amp;"生成成长"),3))*(VLOOKUP($B$5,标准坦克设计!$B$14:$K$20,9)/30))</f>
        <v>21.997761861031343</v>
      </c>
      <c r="CS133" s="172">
        <f ca="1">(VLOOKUP(CS$72,INDIRECT($C$5&amp;"生成成长"),2))/((VLOOKUP($B133,INDIRECT($B$5&amp;"生成成长"),4))/(VLOOKUP(CS$72,INDIRECT($C$5&amp;"生成成长"),5))*(VLOOKUP($B$5,标准坦克设计!$B$24:$U$30,MATCH("对"&amp;LEFT($C$5,2)&amp;"输出",标准坦克设计!$B$23:$U$23,0)))*(VLOOKUP($B133,INDIRECT($B$5&amp;"生成成长"),3))*(VLOOKUP($B$5,标准坦克设计!$B$14:$K$20,9)/30))</f>
        <v>23.786148481559685</v>
      </c>
      <c r="CT133" s="172">
        <f ca="1">(VLOOKUP(CT$72,INDIRECT($C$5&amp;"生成成长"),2))/((VLOOKUP($B133,INDIRECT($B$5&amp;"生成成长"),4))/(VLOOKUP(CT$72,INDIRECT($C$5&amp;"生成成长"),5))*(VLOOKUP($B$5,标准坦克设计!$B$24:$U$30,MATCH("对"&amp;LEFT($C$5,2)&amp;"输出",标准坦克设计!$B$23:$U$23,0)))*(VLOOKUP($B133,INDIRECT($B$5&amp;"生成成长"),3))*(VLOOKUP($B$5,标准坦克设计!$B$14:$K$20,9)/30))</f>
        <v>25.644418771096245</v>
      </c>
      <c r="CU133" s="172">
        <f ca="1">(VLOOKUP(CU$72,INDIRECT($C$5&amp;"生成成长"),2))/((VLOOKUP($B133,INDIRECT($B$5&amp;"生成成长"),4))/(VLOOKUP(CU$72,INDIRECT($C$5&amp;"生成成长"),5))*(VLOOKUP($B$5,标准坦克设计!$B$24:$U$30,MATCH("对"&amp;LEFT($C$5,2)&amp;"输出",标准坦克设计!$B$23:$U$23,0)))*(VLOOKUP($B133,INDIRECT($B$5&amp;"生成成长"),3))*(VLOOKUP($B$5,标准坦克设计!$B$14:$K$20,9)/30))</f>
        <v>27.572572729641013</v>
      </c>
      <c r="CV133" s="172">
        <f ca="1">(VLOOKUP(CV$72,INDIRECT($C$5&amp;"生成成长"),2))/((VLOOKUP($B133,INDIRECT($B$5&amp;"生成成长"),4))/(VLOOKUP(CV$72,INDIRECT($C$5&amp;"生成成长"),5))*(VLOOKUP($B$5,标准坦克设计!$B$24:$U$30,MATCH("对"&amp;LEFT($C$5,2)&amp;"输出",标准坦克设计!$B$23:$U$23,0)))*(VLOOKUP($B133,INDIRECT($B$5&amp;"生成成长"),3))*(VLOOKUP($B$5,标准坦克设计!$B$14:$K$20,9)/30))</f>
        <v>29.570610357193992</v>
      </c>
      <c r="CW133" s="172">
        <f ca="1">(VLOOKUP(CW$72,INDIRECT($C$5&amp;"生成成长"),2))/((VLOOKUP($B133,INDIRECT($B$5&amp;"生成成长"),4))/(VLOOKUP(CW$72,INDIRECT($C$5&amp;"生成成长"),5))*(VLOOKUP($B$5,标准坦克设计!$B$24:$U$30,MATCH("对"&amp;LEFT($C$5,2)&amp;"输出",标准坦克设计!$B$23:$U$23,0)))*(VLOOKUP($B133,INDIRECT($B$5&amp;"生成成长"),3))*(VLOOKUP($B$5,标准坦克设计!$B$14:$K$20,9)/30))</f>
        <v>31.63853165375518</v>
      </c>
      <c r="CX133" s="172">
        <f ca="1">(VLOOKUP(CX$72,INDIRECT($C$5&amp;"生成成长"),2))/((VLOOKUP($B133,INDIRECT($B$5&amp;"生成成长"),4))/(VLOOKUP(CX$72,INDIRECT($C$5&amp;"生成成长"),5))*(VLOOKUP($B$5,标准坦克设计!$B$24:$U$30,MATCH("对"&amp;LEFT($C$5,2)&amp;"输出",标准坦克设计!$B$23:$U$23,0)))*(VLOOKUP($B133,INDIRECT($B$5&amp;"生成成长"),3))*(VLOOKUP($B$5,标准坦克设计!$B$14:$K$20,9)/30))</f>
        <v>33.776336619324582</v>
      </c>
      <c r="CY133" s="172">
        <f ca="1">(VLOOKUP(CY$72,INDIRECT($C$5&amp;"生成成长"),2))/((VLOOKUP($B133,INDIRECT($B$5&amp;"生成成长"),4))/(VLOOKUP(CY$72,INDIRECT($C$5&amp;"生成成长"),5))*(VLOOKUP($B$5,标准坦克设计!$B$24:$U$30,MATCH("对"&amp;LEFT($C$5,2)&amp;"输出",标准坦克设计!$B$23:$U$23,0)))*(VLOOKUP($B133,INDIRECT($B$5&amp;"生成成长"),3))*(VLOOKUP($B$5,标准坦克设计!$B$14:$K$20,9)/30))</f>
        <v>35.98402525390221</v>
      </c>
      <c r="CZ133" s="172">
        <f ca="1">(VLOOKUP(CZ$72,INDIRECT($C$5&amp;"生成成长"),2))/((VLOOKUP($B133,INDIRECT($B$5&amp;"生成成长"),4))/(VLOOKUP(CZ$72,INDIRECT($C$5&amp;"生成成长"),5))*(VLOOKUP($B$5,标准坦克设计!$B$24:$U$30,MATCH("对"&amp;LEFT($C$5,2)&amp;"输出",标准坦克设计!$B$23:$U$23,0)))*(VLOOKUP($B133,INDIRECT($B$5&amp;"生成成长"),3))*(VLOOKUP($B$5,标准坦克设计!$B$14:$K$20,9)/30))</f>
        <v>38.261597557488045</v>
      </c>
      <c r="DA133" s="172">
        <f ca="1">(VLOOKUP(DA$72,INDIRECT($C$5&amp;"生成成长"),2))/((VLOOKUP($B133,INDIRECT($B$5&amp;"生成成长"),4))/(VLOOKUP(DA$72,INDIRECT($C$5&amp;"生成成长"),5))*(VLOOKUP($B$5,标准坦克设计!$B$24:$U$30,MATCH("对"&amp;LEFT($C$5,2)&amp;"输出",标准坦克设计!$B$23:$U$23,0)))*(VLOOKUP($B133,INDIRECT($B$5&amp;"生成成长"),3))*(VLOOKUP($B$5,标准坦克设计!$B$14:$K$20,9)/30))</f>
        <v>40.609053530082086</v>
      </c>
      <c r="DB133" s="172">
        <f ca="1">(VLOOKUP(DB$72,INDIRECT($C$5&amp;"生成成长"),2))/((VLOOKUP($B133,INDIRECT($B$5&amp;"生成成长"),4))/(VLOOKUP(DB$72,INDIRECT($C$5&amp;"生成成长"),5))*(VLOOKUP($B$5,标准坦克设计!$B$24:$U$30,MATCH("对"&amp;LEFT($C$5,2)&amp;"输出",标准坦克设计!$B$23:$U$23,0)))*(VLOOKUP($B133,INDIRECT($B$5&amp;"生成成长"),3))*(VLOOKUP($B$5,标准坦克设计!$B$14:$K$20,9)/30))</f>
        <v>43.02639317168434</v>
      </c>
      <c r="DC133" s="172">
        <f ca="1">(VLOOKUP(DC$72,INDIRECT($C$5&amp;"生成成长"),2))/((VLOOKUP($B133,INDIRECT($B$5&amp;"生成成长"),4))/(VLOOKUP(DC$72,INDIRECT($C$5&amp;"生成成长"),5))*(VLOOKUP($B$5,标准坦克设计!$B$24:$U$30,MATCH("对"&amp;LEFT($C$5,2)&amp;"输出",标准坦克设计!$B$23:$U$23,0)))*(VLOOKUP($B133,INDIRECT($B$5&amp;"生成成长"),3))*(VLOOKUP($B$5,标准坦克设计!$B$14:$K$20,9)/30))</f>
        <v>45.743192998251537</v>
      </c>
      <c r="DD133" s="172">
        <f ca="1">(VLOOKUP(DD$72,INDIRECT($C$5&amp;"生成成长"),2))/((VLOOKUP($B133,INDIRECT($B$5&amp;"生成成长"),4))/(VLOOKUP(DD$72,INDIRECT($C$5&amp;"生成成长"),5))*(VLOOKUP($B$5,标准坦克设计!$B$24:$U$30,MATCH("对"&amp;LEFT($C$5,2)&amp;"输出",标准坦克设计!$B$23:$U$23,0)))*(VLOOKUP($B133,INDIRECT($B$5&amp;"生成成长"),3))*(VLOOKUP($B$5,标准坦克设计!$B$14:$K$20,9)/30))</f>
        <v>48.543160166448345</v>
      </c>
      <c r="DE133" s="172">
        <f ca="1">(VLOOKUP(DE$72,INDIRECT($C$5&amp;"生成成长"),2))/((VLOOKUP($B133,INDIRECT($B$5&amp;"生成成长"),4))/(VLOOKUP(DE$72,INDIRECT($C$5&amp;"生成成长"),5))*(VLOOKUP($B$5,标准坦克设计!$B$24:$U$30,MATCH("对"&amp;LEFT($C$5,2)&amp;"输出",标准坦克设计!$B$23:$U$23,0)))*(VLOOKUP($B133,INDIRECT($B$5&amp;"生成成长"),3))*(VLOOKUP($B$5,标准坦克设计!$B$14:$K$20,9)/30))</f>
        <v>51.426294676274757</v>
      </c>
      <c r="DF133" s="172">
        <f ca="1">(VLOOKUP(DF$72,INDIRECT($C$5&amp;"生成成长"),2))/((VLOOKUP($B133,INDIRECT($B$5&amp;"生成成长"),4))/(VLOOKUP(DF$72,INDIRECT($C$5&amp;"生成成长"),5))*(VLOOKUP($B$5,标准坦克设计!$B$24:$U$30,MATCH("对"&amp;LEFT($C$5,2)&amp;"输出",标准坦克设计!$B$23:$U$23,0)))*(VLOOKUP($B133,INDIRECT($B$5&amp;"生成成长"),3))*(VLOOKUP($B$5,标准坦克设计!$B$14:$K$20,9)/30))</f>
        <v>54.392596527730781</v>
      </c>
      <c r="DG133" s="172">
        <f ca="1">(VLOOKUP(DG$72,INDIRECT($C$5&amp;"生成成长"),2))/((VLOOKUP($B133,INDIRECT($B$5&amp;"生成成长"),4))/(VLOOKUP(DG$72,INDIRECT($C$5&amp;"生成成长"),5))*(VLOOKUP($B$5,标准坦克设计!$B$24:$U$30,MATCH("对"&amp;LEFT($C$5,2)&amp;"输出",标准坦克设计!$B$23:$U$23,0)))*(VLOOKUP($B133,INDIRECT($B$5&amp;"生成成长"),3))*(VLOOKUP($B$5,标准坦克设计!$B$14:$K$20,9)/30))</f>
        <v>57.442065720816416</v>
      </c>
      <c r="DH133" s="172">
        <f ca="1">(VLOOKUP(DH$72,INDIRECT($C$5&amp;"生成成长"),2))/((VLOOKUP($B133,INDIRECT($B$5&amp;"生成成长"),4))/(VLOOKUP(DH$72,INDIRECT($C$5&amp;"生成成长"),5))*(VLOOKUP($B$5,标准坦克设计!$B$24:$U$30,MATCH("对"&amp;LEFT($C$5,2)&amp;"输出",标准坦克设计!$B$23:$U$23,0)))*(VLOOKUP($B133,INDIRECT($B$5&amp;"生成成长"),3))*(VLOOKUP($B$5,标准坦克设计!$B$14:$K$20,9)/30))</f>
        <v>60.574702255531648</v>
      </c>
      <c r="DI133" s="172">
        <f ca="1">(VLOOKUP(DI$72,INDIRECT($C$5&amp;"生成成长"),2))/((VLOOKUP($B133,INDIRECT($B$5&amp;"生成成长"),4))/(VLOOKUP(DI$72,INDIRECT($C$5&amp;"生成成长"),5))*(VLOOKUP($B$5,标准坦克设计!$B$24:$U$30,MATCH("对"&amp;LEFT($C$5,2)&amp;"输出",标准坦克设计!$B$23:$U$23,0)))*(VLOOKUP($B133,INDIRECT($B$5&amp;"生成成长"),3))*(VLOOKUP($B$5,标准坦克设计!$B$14:$K$20,9)/30))</f>
        <v>63.790506131876505</v>
      </c>
      <c r="DJ133" s="172">
        <f ca="1">(VLOOKUP(DJ$72,INDIRECT($C$5&amp;"生成成长"),2))/((VLOOKUP($B133,INDIRECT($B$5&amp;"生成成长"),4))/(VLOOKUP(DJ$72,INDIRECT($C$5&amp;"生成成长"),5))*(VLOOKUP($B$5,标准坦克设计!$B$24:$U$30,MATCH("对"&amp;LEFT($C$5,2)&amp;"输出",标准坦克设计!$B$23:$U$23,0)))*(VLOOKUP($B133,INDIRECT($B$5&amp;"生成成长"),3))*(VLOOKUP($B$5,标准坦克设计!$B$14:$K$20,9)/30))</f>
        <v>6.4111046927740611</v>
      </c>
      <c r="DK133" s="172">
        <f ca="1">(VLOOKUP(DK$72,INDIRECT($C$5&amp;"生成成长"),2))/((VLOOKUP($B133,INDIRECT($B$5&amp;"生成成长"),4))/(VLOOKUP(DK$72,INDIRECT($C$5&amp;"生成成长"),5))*(VLOOKUP($B$5,标准坦克设计!$B$24:$U$30,MATCH("对"&amp;LEFT($C$5,2)&amp;"输出",标准坦克设计!$B$23:$U$23,0)))*(VLOOKUP($B133,INDIRECT($B$5&amp;"生成成长"),3))*(VLOOKUP($B$5,标准坦克设计!$B$14:$K$20,9)/30))</f>
        <v>7.2089913765331133</v>
      </c>
      <c r="DL133" s="172">
        <f ca="1">(VLOOKUP(DL$72,INDIRECT($C$5&amp;"生成成长"),2))/((VLOOKUP($B133,INDIRECT($B$5&amp;"生成成长"),4))/(VLOOKUP(DL$72,INDIRECT($C$5&amp;"生成成长"),5))*(VLOOKUP($B$5,标准坦克设计!$B$24:$U$30,MATCH("对"&amp;LEFT($C$5,2)&amp;"输出",标准坦克设计!$B$23:$U$23,0)))*(VLOOKUP($B133,INDIRECT($B$5&amp;"生成成长"),3))*(VLOOKUP($B$5,标准坦克设计!$B$14:$K$20,9)/30))</f>
        <v>8.0536596899588186</v>
      </c>
      <c r="DM133" s="172">
        <f ca="1">(VLOOKUP(DM$72,INDIRECT($C$5&amp;"生成成长"),2))/((VLOOKUP($B133,INDIRECT($B$5&amp;"生成成长"),4))/(VLOOKUP(DM$72,INDIRECT($C$5&amp;"生成成长"),5))*(VLOOKUP($B$5,标准坦克设计!$B$24:$U$30,MATCH("对"&amp;LEFT($C$5,2)&amp;"输出",标准坦克设计!$B$23:$U$23,0)))*(VLOOKUP($B133,INDIRECT($B$5&amp;"生成成长"),3))*(VLOOKUP($B$5,标准坦克设计!$B$14:$K$20,9)/30))</f>
        <v>8.9451096330511835</v>
      </c>
      <c r="DN133" s="172">
        <f ca="1">(VLOOKUP(DN$72,INDIRECT($C$5&amp;"生成成长"),2))/((VLOOKUP($B133,INDIRECT($B$5&amp;"生成成长"),4))/(VLOOKUP(DN$72,INDIRECT($C$5&amp;"生成成长"),5))*(VLOOKUP($B$5,标准坦克设计!$B$24:$U$30,MATCH("对"&amp;LEFT($C$5,2)&amp;"输出",标准坦克设计!$B$23:$U$23,0)))*(VLOOKUP($B133,INDIRECT($B$5&amp;"生成成长"),3))*(VLOOKUP($B$5,标准坦克设计!$B$14:$K$20,9)/30))</f>
        <v>9.8833412058101988</v>
      </c>
      <c r="DO133" s="172">
        <f ca="1">(VLOOKUP(DO$72,INDIRECT($C$5&amp;"生成成长"),2))/((VLOOKUP($B133,INDIRECT($B$5&amp;"生成成长"),4))/(VLOOKUP(DO$72,INDIRECT($C$5&amp;"生成成长"),5))*(VLOOKUP($B$5,标准坦克设计!$B$24:$U$30,MATCH("对"&amp;LEFT($C$5,2)&amp;"输出",标准坦克设计!$B$23:$U$23,0)))*(VLOOKUP($B133,INDIRECT($B$5&amp;"生成成长"),3))*(VLOOKUP($B$5,标准坦克设计!$B$14:$K$20,9)/30))</f>
        <v>10.86835440823587</v>
      </c>
      <c r="DP133" s="172">
        <f ca="1">(VLOOKUP(DP$72,INDIRECT($C$5&amp;"生成成长"),2))/((VLOOKUP($B133,INDIRECT($B$5&amp;"生成成长"),4))/(VLOOKUP(DP$72,INDIRECT($C$5&amp;"生成成长"),5))*(VLOOKUP($B$5,标准坦克设计!$B$24:$U$30,MATCH("对"&amp;LEFT($C$5,2)&amp;"输出",标准坦克设计!$B$23:$U$23,0)))*(VLOOKUP($B133,INDIRECT($B$5&amp;"生成成长"),3))*(VLOOKUP($B$5,标准坦克设计!$B$14:$K$20,9)/30))</f>
        <v>11.900149240328195</v>
      </c>
      <c r="DQ133" s="172">
        <f ca="1">(VLOOKUP(DQ$72,INDIRECT($C$5&amp;"生成成长"),2))/((VLOOKUP($B133,INDIRECT($B$5&amp;"生成成长"),4))/(VLOOKUP(DQ$72,INDIRECT($C$5&amp;"生成成长"),5))*(VLOOKUP($B$5,标准坦克设计!$B$24:$U$30,MATCH("对"&amp;LEFT($C$5,2)&amp;"输出",标准坦克设计!$B$23:$U$23,0)))*(VLOOKUP($B133,INDIRECT($B$5&amp;"生成成长"),3))*(VLOOKUP($B$5,标准坦克设计!$B$14:$K$20,9)/30))</f>
        <v>12.978725702087175</v>
      </c>
      <c r="DR133" s="172">
        <f ca="1">(VLOOKUP(DR$72,INDIRECT($C$5&amp;"生成成长"),2))/((VLOOKUP($B133,INDIRECT($B$5&amp;"生成成长"),4))/(VLOOKUP(DR$72,INDIRECT($C$5&amp;"生成成长"),5))*(VLOOKUP($B$5,标准坦克设计!$B$24:$U$30,MATCH("对"&amp;LEFT($C$5,2)&amp;"输出",标准坦克设计!$B$23:$U$23,0)))*(VLOOKUP($B133,INDIRECT($B$5&amp;"生成成长"),3))*(VLOOKUP($B$5,标准坦克设计!$B$14:$K$20,9)/30))</f>
        <v>14.10408379351281</v>
      </c>
      <c r="DS133" s="172">
        <f ca="1">(VLOOKUP(DS$72,INDIRECT($C$5&amp;"生成成长"),2))/((VLOOKUP($B133,INDIRECT($B$5&amp;"生成成长"),4))/(VLOOKUP(DS$72,INDIRECT($C$5&amp;"生成成长"),5))*(VLOOKUP($B$5,标准坦克设计!$B$24:$U$30,MATCH("对"&amp;LEFT($C$5,2)&amp;"输出",标准坦克设计!$B$23:$U$23,0)))*(VLOOKUP($B133,INDIRECT($B$5&amp;"生成成长"),3))*(VLOOKUP($B$5,标准坦克设计!$B$14:$K$20,9)/30))</f>
        <v>15.2762235146051</v>
      </c>
      <c r="DT133" s="172">
        <f ca="1">(VLOOKUP(DT$72,INDIRECT($C$5&amp;"生成成长"),2))/((VLOOKUP($B133,INDIRECT($B$5&amp;"生成成长"),4))/(VLOOKUP(DT$72,INDIRECT($C$5&amp;"生成成长"),5))*(VLOOKUP($B$5,标准坦克设计!$B$24:$U$30,MATCH("对"&amp;LEFT($C$5,2)&amp;"输出",标准坦克设计!$B$23:$U$23,0)))*(VLOOKUP($B133,INDIRECT($B$5&amp;"生成成长"),3))*(VLOOKUP($B$5,标准坦克设计!$B$14:$K$20,9)/30))</f>
        <v>16.772369337462735</v>
      </c>
      <c r="DU133" s="172">
        <f ca="1">(VLOOKUP(DU$72,INDIRECT($C$5&amp;"生成成长"),2))/((VLOOKUP($B133,INDIRECT($B$5&amp;"生成成长"),4))/(VLOOKUP(DU$72,INDIRECT($C$5&amp;"生成成长"),5))*(VLOOKUP($B$5,标准坦克设计!$B$24:$U$30,MATCH("对"&amp;LEFT($C$5,2)&amp;"输出",标准坦克设计!$B$23:$U$23,0)))*(VLOOKUP($B133,INDIRECT($B$5&amp;"生成成长"),3))*(VLOOKUP($B$5,标准坦克设计!$B$14:$K$20,9)/30))</f>
        <v>18.338398829328586</v>
      </c>
      <c r="DV133" s="172">
        <f ca="1">(VLOOKUP(DV$72,INDIRECT($C$5&amp;"生成成长"),2))/((VLOOKUP($B133,INDIRECT($B$5&amp;"生成成长"),4))/(VLOOKUP(DV$72,INDIRECT($C$5&amp;"生成成长"),5))*(VLOOKUP($B$5,标准坦克设计!$B$24:$U$30,MATCH("对"&amp;LEFT($C$5,2)&amp;"输出",标准坦克设计!$B$23:$U$23,0)))*(VLOOKUP($B133,INDIRECT($B$5&amp;"生成成长"),3))*(VLOOKUP($B$5,标准坦克设计!$B$14:$K$20,9)/30))</f>
        <v>19.974311990202651</v>
      </c>
      <c r="DW133" s="172">
        <f ca="1">(VLOOKUP(DW$72,INDIRECT($C$5&amp;"生成成长"),2))/((VLOOKUP($B133,INDIRECT($B$5&amp;"生成成长"),4))/(VLOOKUP(DW$72,INDIRECT($C$5&amp;"生成成长"),5))*(VLOOKUP($B$5,标准坦克设计!$B$24:$U$30,MATCH("对"&amp;LEFT($C$5,2)&amp;"输出",标准坦克设计!$B$23:$U$23,0)))*(VLOOKUP($B133,INDIRECT($B$5&amp;"生成成长"),3))*(VLOOKUP($B$5,标准坦克设计!$B$14:$K$20,9)/30))</f>
        <v>21.680108820084925</v>
      </c>
      <c r="DX133" s="172">
        <f ca="1">(VLOOKUP(DX$72,INDIRECT($C$5&amp;"生成成长"),2))/((VLOOKUP($B133,INDIRECT($B$5&amp;"生成成长"),4))/(VLOOKUP(DX$72,INDIRECT($C$5&amp;"生成成长"),5))*(VLOOKUP($B$5,标准坦克设计!$B$24:$U$30,MATCH("对"&amp;LEFT($C$5,2)&amp;"输出",标准坦克设计!$B$23:$U$23,0)))*(VLOOKUP($B133,INDIRECT($B$5&amp;"生成成长"),3))*(VLOOKUP($B$5,标准坦克设计!$B$14:$K$20,9)/30))</f>
        <v>23.455789318975413</v>
      </c>
      <c r="DY133" s="172">
        <f ca="1">(VLOOKUP(DY$72,INDIRECT($C$5&amp;"生成成长"),2))/((VLOOKUP($B133,INDIRECT($B$5&amp;"生成成长"),4))/(VLOOKUP(DY$72,INDIRECT($C$5&amp;"生成成长"),5))*(VLOOKUP($B$5,标准坦克设计!$B$24:$U$30,MATCH("对"&amp;LEFT($C$5,2)&amp;"输出",标准坦克设计!$B$23:$U$23,0)))*(VLOOKUP($B133,INDIRECT($B$5&amp;"生成成长"),3))*(VLOOKUP($B$5,标准坦克设计!$B$14:$K$20,9)/30))</f>
        <v>10.53481871524213</v>
      </c>
      <c r="DZ133" s="172">
        <f ca="1">(VLOOKUP(DZ$72,INDIRECT($C$5&amp;"生成成长"),2))/((VLOOKUP($B133,INDIRECT($B$5&amp;"生成成长"),4))/(VLOOKUP(DZ$72,INDIRECT($C$5&amp;"生成成长"),5))*(VLOOKUP($B$5,标准坦克设计!$B$24:$U$30,MATCH("对"&amp;LEFT($C$5,2)&amp;"输出",标准坦克设计!$B$23:$U$23,0)))*(VLOOKUP($B133,INDIRECT($B$5&amp;"生成成长"),3))*(VLOOKUP($B$5,标准坦克设计!$B$14:$K$20,9)/30))</f>
        <v>11.666818642978463</v>
      </c>
      <c r="EA133" s="172">
        <f ca="1">(VLOOKUP(EA$72,INDIRECT($C$5&amp;"生成成长"),2))/((VLOOKUP($B133,INDIRECT($B$5&amp;"生成成长"),4))/(VLOOKUP(EA$72,INDIRECT($C$5&amp;"生成成长"),5))*(VLOOKUP($B$5,标准坦克设计!$B$24:$U$30,MATCH("对"&amp;LEFT($C$5,2)&amp;"输出",标准坦克设计!$B$23:$U$23,0)))*(VLOOKUP($B133,INDIRECT($B$5&amp;"生成成长"),3))*(VLOOKUP($B$5,标准坦克设计!$B$14:$K$20,9)/30))</f>
        <v>12.856573669068689</v>
      </c>
      <c r="EB133" s="172">
        <f ca="1">(VLOOKUP(EB$72,INDIRECT($C$5&amp;"生成成长"),2))/((VLOOKUP($B133,INDIRECT($B$5&amp;"生成成长"),4))/(VLOOKUP(EB$72,INDIRECT($C$5&amp;"生成成长"),5))*(VLOOKUP($B$5,标准坦克设计!$B$24:$U$30,MATCH("对"&amp;LEFT($C$5,2)&amp;"输出",标准坦克设计!$B$23:$U$23,0)))*(VLOOKUP($B133,INDIRECT($B$5&amp;"生成成长"),3))*(VLOOKUP($B$5,标准坦克设计!$B$14:$K$20,9)/30))</f>
        <v>14.10408379351281</v>
      </c>
      <c r="EC133" s="172">
        <f ca="1">(VLOOKUP(EC$72,INDIRECT($C$5&amp;"生成成长"),2))/((VLOOKUP($B133,INDIRECT($B$5&amp;"生成成长"),4))/(VLOOKUP(EC$72,INDIRECT($C$5&amp;"生成成长"),5))*(VLOOKUP($B$5,标准坦克设计!$B$24:$U$30,MATCH("对"&amp;LEFT($C$5,2)&amp;"输出",标准坦克设计!$B$23:$U$23,0)))*(VLOOKUP($B133,INDIRECT($B$5&amp;"生成成长"),3))*(VLOOKUP($B$5,标准坦克设计!$B$14:$K$20,9)/30))</f>
        <v>15.409349016310831</v>
      </c>
      <c r="ED133" s="172">
        <f ca="1">(VLOOKUP(ED$72,INDIRECT($C$5&amp;"生成成长"),2))/((VLOOKUP($B133,INDIRECT($B$5&amp;"生成成长"),4))/(VLOOKUP(ED$72,INDIRECT($C$5&amp;"生成成长"),5))*(VLOOKUP($B$5,标准坦克设计!$B$24:$U$30,MATCH("对"&amp;LEFT($C$5,2)&amp;"输出",标准坦克设计!$B$23:$U$23,0)))*(VLOOKUP($B133,INDIRECT($B$5&amp;"生成成长"),3))*(VLOOKUP($B$5,标准坦克设计!$B$14:$K$20,9)/30))</f>
        <v>16.772369337462735</v>
      </c>
      <c r="EE133" s="172">
        <f ca="1">(VLOOKUP(EE$72,INDIRECT($C$5&amp;"生成成长"),2))/((VLOOKUP($B133,INDIRECT($B$5&amp;"生成成长"),4))/(VLOOKUP(EE$72,INDIRECT($C$5&amp;"生成成长"),5))*(VLOOKUP($B$5,标准坦克设计!$B$24:$U$30,MATCH("对"&amp;LEFT($C$5,2)&amp;"输出",标准坦克设计!$B$23:$U$23,0)))*(VLOOKUP($B133,INDIRECT($B$5&amp;"生成成长"),3))*(VLOOKUP($B$5,标准坦克设计!$B$14:$K$20,9)/30))</f>
        <v>18.19314475696854</v>
      </c>
      <c r="EF133" s="172">
        <f ca="1">(VLOOKUP(EF$72,INDIRECT($C$5&amp;"生成成长"),2))/((VLOOKUP($B133,INDIRECT($B$5&amp;"生成成长"),4))/(VLOOKUP(EF$72,INDIRECT($C$5&amp;"生成成长"),5))*(VLOOKUP($B$5,标准坦克设计!$B$24:$U$30,MATCH("对"&amp;LEFT($C$5,2)&amp;"输出",标准坦克设计!$B$23:$U$23,0)))*(VLOOKUP($B133,INDIRECT($B$5&amp;"生成成长"),3))*(VLOOKUP($B$5,标准坦克设计!$B$14:$K$20,9)/30))</f>
        <v>19.671675274828242</v>
      </c>
      <c r="EG133" s="172">
        <f ca="1">(VLOOKUP(EG$72,INDIRECT($C$5&amp;"生成成长"),2))/((VLOOKUP($B133,INDIRECT($B$5&amp;"生成成长"),4))/(VLOOKUP(EG$72,INDIRECT($C$5&amp;"生成成长"),5))*(VLOOKUP($B$5,标准坦克设计!$B$24:$U$30,MATCH("对"&amp;LEFT($C$5,2)&amp;"输出",标准坦克设计!$B$23:$U$23,0)))*(VLOOKUP($B133,INDIRECT($B$5&amp;"生成成长"),3))*(VLOOKUP($B$5,标准坦克设计!$B$14:$K$20,9)/30))</f>
        <v>21.207960891041836</v>
      </c>
      <c r="EH133" s="172">
        <f ca="1">(VLOOKUP(EH$72,INDIRECT($C$5&amp;"生成成长"),2))/((VLOOKUP($B133,INDIRECT($B$5&amp;"生成成长"),4))/(VLOOKUP(EH$72,INDIRECT($C$5&amp;"生成成长"),5))*(VLOOKUP($B$5,标准坦克设计!$B$24:$U$30,MATCH("对"&amp;LEFT($C$5,2)&amp;"输出",标准坦克设计!$B$23:$U$23,0)))*(VLOOKUP($B133,INDIRECT($B$5&amp;"生成成长"),3))*(VLOOKUP($B$5,标准坦克设计!$B$14:$K$20,9)/30))</f>
        <v>22.802001605609327</v>
      </c>
      <c r="EI133" s="172">
        <f ca="1">(VLOOKUP(EI$72,INDIRECT($C$5&amp;"生成成长"),2))/((VLOOKUP($B133,INDIRECT($B$5&amp;"生成成长"),4))/(VLOOKUP(EI$72,INDIRECT($C$5&amp;"生成成长"),5))*(VLOOKUP($B$5,标准坦克设计!$B$24:$U$30,MATCH("对"&amp;LEFT($C$5,2)&amp;"输出",标准坦克设计!$B$23:$U$23,0)))*(VLOOKUP($B133,INDIRECT($B$5&amp;"生成成长"),3))*(VLOOKUP($B$5,标准坦克设计!$B$14:$K$20,9)/30))</f>
        <v>24.453797418530712</v>
      </c>
      <c r="EJ133" s="172">
        <f ca="1">(VLOOKUP(EJ$72,INDIRECT($C$5&amp;"生成成长"),2))/((VLOOKUP($B133,INDIRECT($B$5&amp;"生成成长"),4))/(VLOOKUP(EJ$72,INDIRECT($C$5&amp;"生成成长"),5))*(VLOOKUP($B$5,标准坦克设计!$B$24:$U$30,MATCH("对"&amp;LEFT($C$5,2)&amp;"输出",标准坦克设计!$B$23:$U$23,0)))*(VLOOKUP($B133,INDIRECT($B$5&amp;"生成成长"),3))*(VLOOKUP($B$5,标准坦克设计!$B$14:$K$20,9)/30))</f>
        <v>26.163348329805988</v>
      </c>
      <c r="EK133" s="172">
        <f ca="1">(VLOOKUP(EK$72,INDIRECT($C$5&amp;"生成成长"),2))/((VLOOKUP($B133,INDIRECT($B$5&amp;"生成成长"),4))/(VLOOKUP(EK$72,INDIRECT($C$5&amp;"生成成长"),5))*(VLOOKUP($B$5,标准坦克设计!$B$24:$U$30,MATCH("对"&amp;LEFT($C$5,2)&amp;"输出",标准坦克设计!$B$23:$U$23,0)))*(VLOOKUP($B133,INDIRECT($B$5&amp;"生成成长"),3))*(VLOOKUP($B$5,标准坦克设计!$B$14:$K$20,9)/30))</f>
        <v>28.291046153163457</v>
      </c>
      <c r="EL133" s="172">
        <f ca="1">(VLOOKUP(EL$72,INDIRECT($C$5&amp;"生成成长"),2))/((VLOOKUP($B133,INDIRECT($B$5&amp;"生成成长"),4))/(VLOOKUP(EL$72,INDIRECT($C$5&amp;"生成成长"),5))*(VLOOKUP($B$5,标准坦克设计!$B$24:$U$30,MATCH("对"&amp;LEFT($C$5,2)&amp;"输出",标准坦克设计!$B$23:$U$23,0)))*(VLOOKUP($B133,INDIRECT($B$5&amp;"生成成长"),3))*(VLOOKUP($B$5,标准坦克设计!$B$14:$K$20,9)/30))</f>
        <v>30.501911318150544</v>
      </c>
      <c r="EM133" s="172">
        <f ca="1">(VLOOKUP(EM$72,INDIRECT($C$5&amp;"生成成长"),2))/((VLOOKUP($B133,INDIRECT($B$5&amp;"生成成长"),4))/(VLOOKUP(EM$72,INDIRECT($C$5&amp;"生成成长"),5))*(VLOOKUP($B$5,标准坦克设计!$B$24:$U$30,MATCH("对"&amp;LEFT($C$5,2)&amp;"输出",标准坦克设计!$B$23:$U$23,0)))*(VLOOKUP($B133,INDIRECT($B$5&amp;"生成成长"),3))*(VLOOKUP($B$5,标准坦克设计!$B$14:$K$20,9)/30))</f>
        <v>32.795943824767228</v>
      </c>
      <c r="EN133" s="172">
        <f ca="1">(VLOOKUP(EN$72,INDIRECT($C$5&amp;"生成成长"),2))/((VLOOKUP($B133,INDIRECT($B$5&amp;"生成成长"),4))/(VLOOKUP(EN$72,INDIRECT($C$5&amp;"生成成长"),5))*(VLOOKUP($B$5,标准坦克设计!$B$24:$U$30,MATCH("对"&amp;LEFT($C$5,2)&amp;"输出",标准坦克设计!$B$23:$U$23,0)))*(VLOOKUP($B133,INDIRECT($B$5&amp;"生成成长"),3))*(VLOOKUP($B$5,标准坦克设计!$B$14:$K$20,9)/30))</f>
        <v>35.173143673013527</v>
      </c>
      <c r="EO133" s="172">
        <f ca="1">(VLOOKUP(EO$72,INDIRECT($C$5&amp;"生成成长"),2))/((VLOOKUP($B133,INDIRECT($B$5&amp;"生成成长"),4))/(VLOOKUP(EO$72,INDIRECT($C$5&amp;"生成成长"),5))*(VLOOKUP($B$5,标准坦克设计!$B$24:$U$30,MATCH("对"&amp;LEFT($C$5,2)&amp;"输出",标准坦克设计!$B$23:$U$23,0)))*(VLOOKUP($B133,INDIRECT($B$5&amp;"生成成长"),3))*(VLOOKUP($B$5,标准坦克设计!$B$14:$K$20,9)/30))</f>
        <v>37.63351086288943</v>
      </c>
      <c r="EP133" s="172">
        <f ca="1">(VLOOKUP(EP$72,INDIRECT($C$5&amp;"生成成长"),2))/((VLOOKUP($B133,INDIRECT($B$5&amp;"生成成长"),4))/(VLOOKUP(EP$72,INDIRECT($C$5&amp;"生成成长"),5))*(VLOOKUP($B$5,标准坦克设计!$B$24:$U$30,MATCH("对"&amp;LEFT($C$5,2)&amp;"输出",标准坦克设计!$B$23:$U$23,0)))*(VLOOKUP($B133,INDIRECT($B$5&amp;"生成成长"),3))*(VLOOKUP($B$5,标准坦克设计!$B$14:$K$20,9)/30))</f>
        <v>40.177045394394952</v>
      </c>
      <c r="EQ133" s="172">
        <f ca="1">(VLOOKUP(EQ$72,INDIRECT($C$5&amp;"生成成长"),2))/((VLOOKUP($B133,INDIRECT($B$5&amp;"生成成长"),4))/(VLOOKUP(EQ$72,INDIRECT($C$5&amp;"生成成长"),5))*(VLOOKUP($B$5,标准坦克设计!$B$24:$U$30,MATCH("对"&amp;LEFT($C$5,2)&amp;"输出",标准坦克设计!$B$23:$U$23,0)))*(VLOOKUP($B133,INDIRECT($B$5&amp;"生成成长"),3))*(VLOOKUP($B$5,标准坦克设计!$B$14:$K$20,9)/30))</f>
        <v>17.760847845789641</v>
      </c>
      <c r="ER133" s="172">
        <f ca="1">(VLOOKUP(ER$72,INDIRECT($C$5&amp;"生成成长"),2))/((VLOOKUP($B133,INDIRECT($B$5&amp;"生成成长"),4))/(VLOOKUP(ER$72,INDIRECT($C$5&amp;"生成成长"),5))*(VLOOKUP($B$5,标准坦克设计!$B$24:$U$30,MATCH("对"&amp;LEFT($C$5,2)&amp;"输出",标准坦克设计!$B$23:$U$23,0)))*(VLOOKUP($B133,INDIRECT($B$5&amp;"生成成长"),3))*(VLOOKUP($B$5,标准坦克设计!$B$14:$K$20,9)/30))</f>
        <v>19.371348763387989</v>
      </c>
      <c r="ES133" s="172">
        <f ca="1">(VLOOKUP(ES$72,INDIRECT($C$5&amp;"生成成长"),2))/((VLOOKUP($B133,INDIRECT($B$5&amp;"生成成长"),4))/(VLOOKUP(ES$72,INDIRECT($C$5&amp;"生成成长"),5))*(VLOOKUP($B$5,标准坦克设计!$B$24:$U$30,MATCH("对"&amp;LEFT($C$5,2)&amp;"输出",标准坦克设计!$B$23:$U$23,0)))*(VLOOKUP($B133,INDIRECT($B$5&amp;"生成成长"),3))*(VLOOKUP($B$5,标准坦克设计!$B$14:$K$20,9)/30))</f>
        <v>21.051733349994553</v>
      </c>
      <c r="ET133" s="172">
        <f ca="1">(VLOOKUP(ET$72,INDIRECT($C$5&amp;"生成成长"),2))/((VLOOKUP($B133,INDIRECT($B$5&amp;"生成成长"),4))/(VLOOKUP(ET$72,INDIRECT($C$5&amp;"生成成长"),5))*(VLOOKUP($B$5,标准坦克设计!$B$24:$U$30,MATCH("对"&amp;LEFT($C$5,2)&amp;"输出",标准坦克设计!$B$23:$U$23,0)))*(VLOOKUP($B133,INDIRECT($B$5&amp;"生成成长"),3))*(VLOOKUP($B$5,标准坦克设计!$B$14:$K$20,9)/30))</f>
        <v>22.802001605609327</v>
      </c>
      <c r="EU133" s="172">
        <f ca="1">(VLOOKUP(EU$72,INDIRECT($C$5&amp;"生成成长"),2))/((VLOOKUP($B133,INDIRECT($B$5&amp;"生成成长"),4))/(VLOOKUP(EU$72,INDIRECT($C$5&amp;"生成成长"),5))*(VLOOKUP($B$5,标准坦克设计!$B$24:$U$30,MATCH("对"&amp;LEFT($C$5,2)&amp;"输出",标准坦克设计!$B$23:$U$23,0)))*(VLOOKUP($B133,INDIRECT($B$5&amp;"生成成长"),3))*(VLOOKUP($B$5,标准坦克设计!$B$14:$K$20,9)/30))</f>
        <v>24.62215353023231</v>
      </c>
      <c r="EV133" s="172">
        <f ca="1">(VLOOKUP(EV$72,INDIRECT($C$5&amp;"生成成长"),2))/((VLOOKUP($B133,INDIRECT($B$5&amp;"生成成长"),4))/(VLOOKUP(EV$72,INDIRECT($C$5&amp;"生成成长"),5))*(VLOOKUP($B$5,标准坦克设计!$B$24:$U$30,MATCH("对"&amp;LEFT($C$5,2)&amp;"输出",标准坦克设计!$B$23:$U$23,0)))*(VLOOKUP($B133,INDIRECT($B$5&amp;"生成成长"),3))*(VLOOKUP($B$5,标准坦克设计!$B$14:$K$20,9)/30))</f>
        <v>26.512189123863504</v>
      </c>
      <c r="EW133" s="172">
        <f ca="1">(VLOOKUP(EW$72,INDIRECT($C$5&amp;"生成成长"),2))/((VLOOKUP($B133,INDIRECT($B$5&amp;"生成成长"),4))/(VLOOKUP(EW$72,INDIRECT($C$5&amp;"生成成长"),5))*(VLOOKUP($B$5,标准坦克设计!$B$24:$U$30,MATCH("对"&amp;LEFT($C$5,2)&amp;"输出",标准坦克设计!$B$23:$U$23,0)))*(VLOOKUP($B133,INDIRECT($B$5&amp;"生成成长"),3))*(VLOOKUP($B$5,标准坦克设计!$B$14:$K$20,9)/30))</f>
        <v>28.472108386502921</v>
      </c>
      <c r="EX133" s="172">
        <f ca="1">(VLOOKUP(EX$72,INDIRECT($C$5&amp;"生成成长"),2))/((VLOOKUP($B133,INDIRECT($B$5&amp;"生成成长"),4))/(VLOOKUP(EX$72,INDIRECT($C$5&amp;"生成成长"),5))*(VLOOKUP($B$5,标准坦克设计!$B$24:$U$30,MATCH("对"&amp;LEFT($C$5,2)&amp;"输出",标准坦克设计!$B$23:$U$23,0)))*(VLOOKUP($B133,INDIRECT($B$5&amp;"生成成长"),3))*(VLOOKUP($B$5,标准坦克设计!$B$14:$K$20,9)/30))</f>
        <v>30.501911318150544</v>
      </c>
      <c r="EY133" s="172">
        <f ca="1">(VLOOKUP(EY$72,INDIRECT($C$5&amp;"生成成长"),2))/((VLOOKUP($B133,INDIRECT($B$5&amp;"生成成长"),4))/(VLOOKUP(EY$72,INDIRECT($C$5&amp;"生成成长"),5))*(VLOOKUP($B$5,标准坦克设计!$B$24:$U$30,MATCH("对"&amp;LEFT($C$5,2)&amp;"输出",标准坦克设计!$B$23:$U$23,0)))*(VLOOKUP($B133,INDIRECT($B$5&amp;"生成成长"),3))*(VLOOKUP($B$5,标准坦克设计!$B$14:$K$20,9)/30))</f>
        <v>32.601597918806377</v>
      </c>
      <c r="EZ133" s="172">
        <f ca="1">(VLOOKUP(EZ$72,INDIRECT($C$5&amp;"生成成长"),2))/((VLOOKUP($B133,INDIRECT($B$5&amp;"生成成长"),4))/(VLOOKUP(EZ$72,INDIRECT($C$5&amp;"生成成长"),5))*(VLOOKUP($B$5,标准坦克设计!$B$24:$U$30,MATCH("对"&amp;LEFT($C$5,2)&amp;"输出",标准坦克设计!$B$23:$U$23,0)))*(VLOOKUP($B133,INDIRECT($B$5&amp;"生成成长"),3))*(VLOOKUP($B$5,标准坦克设计!$B$14:$K$20,9)/30))</f>
        <v>34.771168188470426</v>
      </c>
      <c r="FA133" s="172">
        <f ca="1">(VLOOKUP(FA$72,INDIRECT($C$5&amp;"生成成长"),2))/((VLOOKUP($B133,INDIRECT($B$5&amp;"生成成长"),4))/(VLOOKUP(FA$72,INDIRECT($C$5&amp;"生成成长"),5))*(VLOOKUP($B$5,标准坦克设计!$B$24:$U$30,MATCH("对"&amp;LEFT($C$5,2)&amp;"输出",标准坦克设计!$B$23:$U$23,0)))*(VLOOKUP($B133,INDIRECT($B$5&amp;"生成成长"),3))*(VLOOKUP($B$5,标准坦克设计!$B$14:$K$20,9)/30))</f>
        <v>37.010622127142689</v>
      </c>
      <c r="FB133" s="172">
        <f ca="1">(VLOOKUP(FB$72,INDIRECT($C$5&amp;"生成成长"),2))/((VLOOKUP($B133,INDIRECT($B$5&amp;"生成成长"),4))/(VLOOKUP(FB$72,INDIRECT($C$5&amp;"生成成长"),5))*(VLOOKUP($B$5,标准坦克设计!$B$24:$U$30,MATCH("对"&amp;LEFT($C$5,2)&amp;"输出",标准坦克设计!$B$23:$U$23,0)))*(VLOOKUP($B133,INDIRECT($B$5&amp;"生成成长"),3))*(VLOOKUP($B$5,标准坦克设计!$B$14:$K$20,9)/30))</f>
        <v>39.319959734823165</v>
      </c>
      <c r="FC133" s="172">
        <f ca="1">(VLOOKUP(FC$72,INDIRECT($C$5&amp;"生成成长"),2))/((VLOOKUP($B133,INDIRECT($B$5&amp;"生成成长"),4))/(VLOOKUP(FC$72,INDIRECT($C$5&amp;"生成成长"),5))*(VLOOKUP($B$5,标准坦克设计!$B$24:$U$30,MATCH("对"&amp;LEFT($C$5,2)&amp;"输出",标准坦克设计!$B$23:$U$23,0)))*(VLOOKUP($B133,INDIRECT($B$5&amp;"生成成长"),3))*(VLOOKUP($B$5,标准坦克设计!$B$14:$K$20,9)/30))</f>
        <v>41.699181011511847</v>
      </c>
      <c r="FD133" s="172">
        <f ca="1">(VLOOKUP(FD$72,INDIRECT($C$5&amp;"生成成长"),2))/((VLOOKUP($B133,INDIRECT($B$5&amp;"生成成长"),4))/(VLOOKUP(FD$72,INDIRECT($C$5&amp;"生成成长"),5))*(VLOOKUP($B$5,标准坦克设计!$B$24:$U$30,MATCH("对"&amp;LEFT($C$5,2)&amp;"输出",标准坦克设计!$B$23:$U$23,0)))*(VLOOKUP($B133,INDIRECT($B$5&amp;"生成成长"),3))*(VLOOKUP($B$5,标准坦克设计!$B$14:$K$20,9)/30))</f>
        <v>44.148285957208735</v>
      </c>
      <c r="FE133" s="172">
        <f ca="1">(VLOOKUP(FE$72,INDIRECT($C$5&amp;"生成成长"),2))/((VLOOKUP($B133,INDIRECT($B$5&amp;"生成成长"),4))/(VLOOKUP(FE$72,INDIRECT($C$5&amp;"生成成长"),5))*(VLOOKUP($B$5,标准坦克设计!$B$24:$U$30,MATCH("对"&amp;LEFT($C$5,2)&amp;"输出",标准坦克设计!$B$23:$U$23,0)))*(VLOOKUP($B133,INDIRECT($B$5&amp;"生成成长"),3))*(VLOOKUP($B$5,标准坦克设计!$B$14:$K$20,9)/30))</f>
        <v>47.132780664646234</v>
      </c>
      <c r="FF133" s="172">
        <f ca="1">(VLOOKUP(FF$72,INDIRECT($C$5&amp;"生成成长"),2))/((VLOOKUP($B133,INDIRECT($B$5&amp;"生成成长"),4))/(VLOOKUP(FF$72,INDIRECT($C$5&amp;"生成成长"),5))*(VLOOKUP($B$5,标准坦克设计!$B$24:$U$30,MATCH("对"&amp;LEFT($C$5,2)&amp;"输出",标准坦克设计!$B$23:$U$23,0)))*(VLOOKUP($B133,INDIRECT($B$5&amp;"生成成长"),3))*(VLOOKUP($B$5,标准坦克设计!$B$14:$K$20,9)/30))</f>
        <v>50.214881488301828</v>
      </c>
      <c r="FG133" s="172">
        <f ca="1">(VLOOKUP(FG$72,INDIRECT($C$5&amp;"生成成长"),2))/((VLOOKUP($B133,INDIRECT($B$5&amp;"生成成长"),4))/(VLOOKUP(FG$72,INDIRECT($C$5&amp;"生成成长"),5))*(VLOOKUP($B$5,标准坦克设计!$B$24:$U$30,MATCH("对"&amp;LEFT($C$5,2)&amp;"输出",标准坦克设计!$B$23:$U$23,0)))*(VLOOKUP($B133,INDIRECT($B$5&amp;"生成成长"),3))*(VLOOKUP($B$5,标准坦克设计!$B$14:$K$20,9)/30))</f>
        <v>53.394588428175474</v>
      </c>
      <c r="FH133" s="172">
        <f ca="1">(VLOOKUP(FH$72,INDIRECT($C$5&amp;"生成成长"),2))/((VLOOKUP($B133,INDIRECT($B$5&amp;"生成成长"),4))/(VLOOKUP(FH$72,INDIRECT($C$5&amp;"生成成长"),5))*(VLOOKUP($B$5,标准坦克设计!$B$24:$U$30,MATCH("对"&amp;LEFT($C$5,2)&amp;"输出",标准坦克设计!$B$23:$U$23,0)))*(VLOOKUP($B133,INDIRECT($B$5&amp;"生成成长"),3))*(VLOOKUP($B$5,标准坦克设计!$B$14:$K$20,9)/30))</f>
        <v>56.671901484267224</v>
      </c>
      <c r="FI133" s="172">
        <f ca="1">(VLOOKUP(FI$72,INDIRECT($C$5&amp;"生成成长"),2))/((VLOOKUP($B133,INDIRECT($B$5&amp;"生成成长"),4))/(VLOOKUP(FI$72,INDIRECT($C$5&amp;"生成成长"),5))*(VLOOKUP($B$5,标准坦克设计!$B$24:$U$30,MATCH("对"&amp;LEFT($C$5,2)&amp;"输出",标准坦克设计!$B$23:$U$23,0)))*(VLOOKUP($B133,INDIRECT($B$5&amp;"生成成长"),3))*(VLOOKUP($B$5,标准坦克设计!$B$14:$K$20,9)/30))</f>
        <v>60.046820656577047</v>
      </c>
      <c r="FJ133" s="172">
        <f ca="1">(VLOOKUP(FJ$72,INDIRECT($C$5&amp;"生成成长"),2))/((VLOOKUP($B133,INDIRECT($B$5&amp;"生成成长"),4))/(VLOOKUP(FJ$72,INDIRECT($C$5&amp;"生成成长"),5))*(VLOOKUP($B$5,标准坦克设计!$B$24:$U$30,MATCH("对"&amp;LEFT($C$5,2)&amp;"输出",标准坦克设计!$B$23:$U$23,0)))*(VLOOKUP($B133,INDIRECT($B$5&amp;"生成成长"),3))*(VLOOKUP($B$5,标准坦克设计!$B$14:$K$20,9)/30))</f>
        <v>63.519345945104959</v>
      </c>
      <c r="FK133" s="172">
        <f ca="1">(VLOOKUP(FK$72,INDIRECT($C$5&amp;"生成成长"),2))/((VLOOKUP($B133,INDIRECT($B$5&amp;"生成成长"),4))/(VLOOKUP(FK$72,INDIRECT($C$5&amp;"生成成长"),5))*(VLOOKUP($B$5,标准坦克设计!$B$24:$U$30,MATCH("对"&amp;LEFT($C$5,2)&amp;"输出",标准坦克设计!$B$23:$U$23,0)))*(VLOOKUP($B133,INDIRECT($B$5&amp;"生成成长"),3))*(VLOOKUP($B$5,标准坦克设计!$B$14:$K$20,9)/30))</f>
        <v>67.089477349850938</v>
      </c>
    </row>
    <row r="134" spans="1:167" x14ac:dyDescent="0.15">
      <c r="A134" s="170" t="str">
        <f t="shared" si="11"/>
        <v>T3中品质5级</v>
      </c>
      <c r="B134" s="171">
        <v>20305</v>
      </c>
      <c r="C134" s="172">
        <f ca="1">(VLOOKUP(C$72,INDIRECT($C$5&amp;"生成成长"),2))/((VLOOKUP($B134,INDIRECT($B$5&amp;"生成成长"),4))/(VLOOKUP(C$72,INDIRECT($C$5&amp;"生成成长"),5))*(VLOOKUP($B$5,标准坦克设计!$B$24:$U$30,MATCH("对"&amp;LEFT($C$5,2)&amp;"输出",标准坦克设计!$B$23:$U$23,0)))*(VLOOKUP($B134,INDIRECT($B$5&amp;"生成成长"),3))*(VLOOKUP($B$5,标准坦克设计!$B$14:$K$20,9)/30))</f>
        <v>2.6233419708909214</v>
      </c>
      <c r="D134" s="172">
        <f ca="1">(VLOOKUP(D$72,INDIRECT($C$5&amp;"生成成长"),2))/((VLOOKUP($B134,INDIRECT($B$5&amp;"生成成长"),4))/(VLOOKUP(D$72,INDIRECT($C$5&amp;"生成成长"),5))*(VLOOKUP($B$5,标准坦克设计!$B$24:$U$30,MATCH("对"&amp;LEFT($C$5,2)&amp;"输出",标准坦克设计!$B$23:$U$23,0)))*(VLOOKUP($B134,INDIRECT($B$5&amp;"生成成长"),3))*(VLOOKUP($B$5,标准坦克设计!$B$14:$K$20,9)/30))</f>
        <v>2.9475870384930385</v>
      </c>
      <c r="E134" s="172">
        <f ca="1">(VLOOKUP(E$72,INDIRECT($C$5&amp;"生成成长"),2))/((VLOOKUP($B134,INDIRECT($B$5&amp;"生成成长"),4))/(VLOOKUP(E$72,INDIRECT($C$5&amp;"生成成长"),5))*(VLOOKUP($B$5,标准坦克设计!$B$24:$U$30,MATCH("对"&amp;LEFT($C$5,2)&amp;"输出",标准坦克设计!$B$23:$U$23,0)))*(VLOOKUP($B134,INDIRECT($B$5&amp;"生成成长"),3))*(VLOOKUP($B$5,标准坦克设计!$B$14:$K$20,9)/30))</f>
        <v>3.2907201682855711</v>
      </c>
      <c r="F134" s="172">
        <f ca="1">(VLOOKUP(F$72,INDIRECT($C$5&amp;"生成成长"),2))/((VLOOKUP($B134,INDIRECT($B$5&amp;"生成成长"),4))/(VLOOKUP(F$72,INDIRECT($C$5&amp;"生成成长"),5))*(VLOOKUP($B$5,标准坦克设计!$B$24:$U$30,MATCH("对"&amp;LEFT($C$5,2)&amp;"输出",标准坦克设计!$B$23:$U$23,0)))*(VLOOKUP($B134,INDIRECT($B$5&amp;"生成成长"),3))*(VLOOKUP($B$5,标准坦克设计!$B$14:$K$20,9)/30))</f>
        <v>3.6527413602685179</v>
      </c>
      <c r="G134" s="172">
        <f ca="1">(VLOOKUP(G$72,INDIRECT($C$5&amp;"生成成长"),2))/((VLOOKUP($B134,INDIRECT($B$5&amp;"生成成长"),4))/(VLOOKUP(G$72,INDIRECT($C$5&amp;"生成成长"),5))*(VLOOKUP($B$5,标准坦克设计!$B$24:$U$30,MATCH("对"&amp;LEFT($C$5,2)&amp;"输出",标准坦克设计!$B$23:$U$23,0)))*(VLOOKUP($B134,INDIRECT($B$5&amp;"生成成长"),3))*(VLOOKUP($B$5,标准坦克设计!$B$14:$K$20,9)/30))</f>
        <v>4.0336506144418802</v>
      </c>
      <c r="H134" s="172">
        <f ca="1">(VLOOKUP(H$72,INDIRECT($C$5&amp;"生成成长"),2))/((VLOOKUP($B134,INDIRECT($B$5&amp;"生成成长"),4))/(VLOOKUP(H$72,INDIRECT($C$5&amp;"生成成长"),5))*(VLOOKUP($B$5,标准坦克设计!$B$24:$U$30,MATCH("对"&amp;LEFT($C$5,2)&amp;"输出",标准坦克设计!$B$23:$U$23,0)))*(VLOOKUP($B134,INDIRECT($B$5&amp;"生成成长"),3))*(VLOOKUP($B$5,标准坦克设计!$B$14:$K$20,9)/30))</f>
        <v>3.5299689560308232</v>
      </c>
      <c r="I134" s="172">
        <f ca="1">(VLOOKUP(I$72,INDIRECT($C$5&amp;"生成成长"),2))/((VLOOKUP($B134,INDIRECT($B$5&amp;"生成成长"),4))/(VLOOKUP(I$72,INDIRECT($C$5&amp;"生成成长"),5))*(VLOOKUP($B$5,标准坦克设计!$B$24:$U$30,MATCH("对"&amp;LEFT($C$5,2)&amp;"输出",标准坦克设计!$B$23:$U$23,0)))*(VLOOKUP($B134,INDIRECT($B$5&amp;"生成成长"),3))*(VLOOKUP($B$5,标准坦克设计!$B$14:$K$20,9)/30))</f>
        <v>4.0336506144418802</v>
      </c>
      <c r="J134" s="172">
        <f ca="1">(VLOOKUP(J$72,INDIRECT($C$5&amp;"生成成长"),2))/((VLOOKUP($B134,INDIRECT($B$5&amp;"生成成长"),4))/(VLOOKUP(J$72,INDIRECT($C$5&amp;"生成成长"),5))*(VLOOKUP($B$5,标准坦克设计!$B$24:$U$30,MATCH("对"&amp;LEFT($C$5,2)&amp;"输出",标准坦克设计!$B$23:$U$23,0)))*(VLOOKUP($B134,INDIRECT($B$5&amp;"生成成长"),3))*(VLOOKUP($B$5,标准坦克设计!$B$14:$K$20,9)/30))</f>
        <v>4.5709110500803405</v>
      </c>
      <c r="K134" s="172">
        <f ca="1">(VLOOKUP(K$72,INDIRECT($C$5&amp;"生成成长"),2))/((VLOOKUP($B134,INDIRECT($B$5&amp;"生成成长"),4))/(VLOOKUP(K$72,INDIRECT($C$5&amp;"生成成长"),5))*(VLOOKUP($B$5,标准坦克设计!$B$24:$U$30,MATCH("对"&amp;LEFT($C$5,2)&amp;"输出",标准坦克设计!$B$23:$U$23,0)))*(VLOOKUP($B134,INDIRECT($B$5&amp;"生成成长"),3))*(VLOOKUP($B$5,标准坦克设计!$B$14:$K$20,9)/30))</f>
        <v>5.1417502629462044</v>
      </c>
      <c r="L134" s="172">
        <f ca="1">(VLOOKUP(L$72,INDIRECT($C$5&amp;"生成成长"),2))/((VLOOKUP($B134,INDIRECT($B$5&amp;"生成成长"),4))/(VLOOKUP(L$72,INDIRECT($C$5&amp;"生成成长"),5))*(VLOOKUP($B$5,标准坦克设计!$B$24:$U$30,MATCH("对"&amp;LEFT($C$5,2)&amp;"输出",标准坦克设计!$B$23:$U$23,0)))*(VLOOKUP($B134,INDIRECT($B$5&amp;"生成成长"),3))*(VLOOKUP($B$5,标准坦克设计!$B$14:$K$20,9)/30))</f>
        <v>5.7461682530394729</v>
      </c>
      <c r="M134" s="172">
        <f ca="1">(VLOOKUP(M$72,INDIRECT($C$5&amp;"生成成长"),2))/((VLOOKUP($B134,INDIRECT($B$5&amp;"生成成长"),4))/(VLOOKUP(M$72,INDIRECT($C$5&amp;"生成成长"),5))*(VLOOKUP($B$5,标准坦克设计!$B$24:$U$30,MATCH("对"&amp;LEFT($C$5,2)&amp;"输出",标准坦克设计!$B$23:$U$23,0)))*(VLOOKUP($B134,INDIRECT($B$5&amp;"生成成长"),3))*(VLOOKUP($B$5,标准坦克设计!$B$14:$K$20,9)/30))</f>
        <v>6.384165020360145</v>
      </c>
      <c r="N134" s="172">
        <f ca="1">(VLOOKUP(N$72,INDIRECT($C$5&amp;"生成成长"),2))/((VLOOKUP($B134,INDIRECT($B$5&amp;"生成成长"),4))/(VLOOKUP(N$72,INDIRECT($C$5&amp;"生成成长"),5))*(VLOOKUP($B$5,标准坦克设计!$B$24:$U$30,MATCH("对"&amp;LEFT($C$5,2)&amp;"输出",标准坦克设计!$B$23:$U$23,0)))*(VLOOKUP($B134,INDIRECT($B$5&amp;"生成成长"),3))*(VLOOKUP($B$5,标准坦克设计!$B$14:$K$20,9)/30))</f>
        <v>7.0557405649082199</v>
      </c>
      <c r="O134" s="172">
        <f ca="1">(VLOOKUP(O$72,INDIRECT($C$5&amp;"生成成长"),2))/((VLOOKUP($B134,INDIRECT($B$5&amp;"生成成长"),4))/(VLOOKUP(O$72,INDIRECT($C$5&amp;"生成成长"),5))*(VLOOKUP($B$5,标准坦克设计!$B$24:$U$30,MATCH("对"&amp;LEFT($C$5,2)&amp;"输出",标准坦克设计!$B$23:$U$23,0)))*(VLOOKUP($B134,INDIRECT($B$5&amp;"生成成长"),3))*(VLOOKUP($B$5,标准坦克设计!$B$14:$K$20,9)/30))</f>
        <v>5.3644719962748448</v>
      </c>
      <c r="P134" s="172">
        <f ca="1">(VLOOKUP(P$72,INDIRECT($C$5&amp;"生成成长"),2))/((VLOOKUP($B134,INDIRECT($B$5&amp;"生成成长"),4))/(VLOOKUP(P$72,INDIRECT($C$5&amp;"生成成长"),5))*(VLOOKUP($B$5,标准坦克设计!$B$24:$U$30,MATCH("对"&amp;LEFT($C$5,2)&amp;"输出",标准坦克设计!$B$23:$U$23,0)))*(VLOOKUP($B134,INDIRECT($B$5&amp;"生成成长"),3))*(VLOOKUP($B$5,标准坦克设计!$B$14:$K$20,9)/30))</f>
        <v>6.0609692895463834</v>
      </c>
      <c r="Q134" s="172">
        <f ca="1">(VLOOKUP(Q$72,INDIRECT($C$5&amp;"生成成长"),2))/((VLOOKUP($B134,INDIRECT($B$5&amp;"生成成长"),4))/(VLOOKUP(Q$72,INDIRECT($C$5&amp;"生成成长"),5))*(VLOOKUP($B$5,标准坦克设计!$B$24:$U$30,MATCH("对"&amp;LEFT($C$5,2)&amp;"输出",标准坦克设计!$B$23:$U$23,0)))*(VLOOKUP($B134,INDIRECT($B$5&amp;"生成成长"),3))*(VLOOKUP($B$5,标准坦克设计!$B$14:$K$20,9)/30))</f>
        <v>6.7999647227463562</v>
      </c>
      <c r="R134" s="172">
        <f ca="1">(VLOOKUP(R$72,INDIRECT($C$5&amp;"生成成长"),2))/((VLOOKUP($B134,INDIRECT($B$5&amp;"生成成长"),4))/(VLOOKUP(R$72,INDIRECT($C$5&amp;"生成成长"),5))*(VLOOKUP($B$5,标准坦克设计!$B$24:$U$30,MATCH("对"&amp;LEFT($C$5,2)&amp;"输出",标准坦克设计!$B$23:$U$23,0)))*(VLOOKUP($B134,INDIRECT($B$5&amp;"生成成长"),3))*(VLOOKUP($B$5,标准坦克设计!$B$14:$K$20,9)/30))</f>
        <v>7.5814582958747625</v>
      </c>
      <c r="S134" s="172">
        <f ca="1">(VLOOKUP(S$72,INDIRECT($C$5&amp;"生成成长"),2))/((VLOOKUP($B134,INDIRECT($B$5&amp;"生成成长"),4))/(VLOOKUP(S$72,INDIRECT($C$5&amp;"生成成长"),5))*(VLOOKUP($B$5,标准坦克设计!$B$24:$U$30,MATCH("对"&amp;LEFT($C$5,2)&amp;"输出",标准坦克设计!$B$23:$U$23,0)))*(VLOOKUP($B134,INDIRECT($B$5&amp;"生成成长"),3))*(VLOOKUP($B$5,标准坦克设计!$B$14:$K$20,9)/30))</f>
        <v>8.4054500089316004</v>
      </c>
      <c r="T134" s="172">
        <f ca="1">(VLOOKUP(T$72,INDIRECT($C$5&amp;"生成成长"),2))/((VLOOKUP($B134,INDIRECT($B$5&amp;"生成成长"),4))/(VLOOKUP(T$72,INDIRECT($C$5&amp;"生成成长"),5))*(VLOOKUP($B$5,标准坦克设计!$B$24:$U$30,MATCH("对"&amp;LEFT($C$5,2)&amp;"输出",标准坦克设计!$B$23:$U$23,0)))*(VLOOKUP($B134,INDIRECT($B$5&amp;"生成成长"),3))*(VLOOKUP($B$5,标准坦克设计!$B$14:$K$20,9)/30))</f>
        <v>9.27193986191687</v>
      </c>
      <c r="U134" s="172">
        <f ca="1">(VLOOKUP(U$72,INDIRECT($C$5&amp;"生成成长"),2))/((VLOOKUP($B134,INDIRECT($B$5&amp;"生成成长"),4))/(VLOOKUP(U$72,INDIRECT($C$5&amp;"生成成长"),5))*(VLOOKUP($B$5,标准坦克设计!$B$24:$U$30,MATCH("对"&amp;LEFT($C$5,2)&amp;"输出",标准坦克设计!$B$23:$U$23,0)))*(VLOOKUP($B134,INDIRECT($B$5&amp;"生成成长"),3))*(VLOOKUP($B$5,标准坦克设计!$B$14:$K$20,9)/30))</f>
        <v>10.180927854830577</v>
      </c>
      <c r="V134" s="172">
        <f ca="1">(VLOOKUP(V$72,INDIRECT($C$5&amp;"生成成长"),2))/((VLOOKUP($B134,INDIRECT($B$5&amp;"生成成长"),4))/(VLOOKUP(V$72,INDIRECT($C$5&amp;"生成成长"),5))*(VLOOKUP($B$5,标准坦克设计!$B$24:$U$30,MATCH("对"&amp;LEFT($C$5,2)&amp;"输出",标准坦克设计!$B$23:$U$23,0)))*(VLOOKUP($B134,INDIRECT($B$5&amp;"生成成长"),3))*(VLOOKUP($B$5,标准坦克设计!$B$14:$K$20,9)/30))</f>
        <v>11.132413987672711</v>
      </c>
      <c r="W134" s="172">
        <f ca="1">(VLOOKUP(W$72,INDIRECT($C$5&amp;"生成成长"),2))/((VLOOKUP($B134,INDIRECT($B$5&amp;"生成成长"),4))/(VLOOKUP(W$72,INDIRECT($C$5&amp;"生成成长"),5))*(VLOOKUP($B$5,标准坦克设计!$B$24:$U$30,MATCH("对"&amp;LEFT($C$5,2)&amp;"输出",标准坦克设计!$B$23:$U$23,0)))*(VLOOKUP($B134,INDIRECT($B$5&amp;"生成成长"),3))*(VLOOKUP($B$5,标准坦克设计!$B$14:$K$20,9)/30))</f>
        <v>12.126398260443281</v>
      </c>
      <c r="X134" s="172">
        <f ca="1">(VLOOKUP(X$72,INDIRECT($C$5&amp;"生成成长"),2))/((VLOOKUP($B134,INDIRECT($B$5&amp;"生成成长"),4))/(VLOOKUP(X$72,INDIRECT($C$5&amp;"生成成长"),5))*(VLOOKUP($B$5,标准坦克设计!$B$24:$U$30,MATCH("对"&amp;LEFT($C$5,2)&amp;"输出",标准坦克设计!$B$23:$U$23,0)))*(VLOOKUP($B134,INDIRECT($B$5&amp;"生成成长"),3))*(VLOOKUP($B$5,标准坦克设计!$B$14:$K$20,9)/30))</f>
        <v>8.7853099263166055</v>
      </c>
      <c r="Y134" s="172">
        <f ca="1">(VLOOKUP(Y$72,INDIRECT($C$5&amp;"生成成长"),2))/((VLOOKUP($B134,INDIRECT($B$5&amp;"生成成长"),4))/(VLOOKUP(Y$72,INDIRECT($C$5&amp;"生成成长"),5))*(VLOOKUP($B$5,标准坦克设计!$B$24:$U$30,MATCH("对"&amp;LEFT($C$5,2)&amp;"输出",标准坦克设计!$B$23:$U$23,0)))*(VLOOKUP($B134,INDIRECT($B$5&amp;"生成成长"),3))*(VLOOKUP($B$5,标准坦克设计!$B$14:$K$20,9)/30))</f>
        <v>9.7716865073715908</v>
      </c>
      <c r="Z134" s="172">
        <f ca="1">(VLOOKUP(Z$72,INDIRECT($C$5&amp;"生成成长"),2))/((VLOOKUP($B134,INDIRECT($B$5&amp;"生成成长"),4))/(VLOOKUP(Z$72,INDIRECT($C$5&amp;"生成成长"),5))*(VLOOKUP($B$5,标准坦克设计!$B$24:$U$30,MATCH("对"&amp;LEFT($C$5,2)&amp;"输出",标准坦克设计!$B$23:$U$23,0)))*(VLOOKUP($B134,INDIRECT($B$5&amp;"生成成长"),3))*(VLOOKUP($B$5,标准坦克设计!$B$14:$K$20,9)/30))</f>
        <v>10.810529927844396</v>
      </c>
      <c r="AA134" s="172">
        <f ca="1">(VLOOKUP(AA$72,INDIRECT($C$5&amp;"生成成长"),2))/((VLOOKUP($B134,INDIRECT($B$5&amp;"生成成长"),4))/(VLOOKUP(AA$72,INDIRECT($C$5&amp;"生成成长"),5))*(VLOOKUP($B$5,标准坦克设计!$B$24:$U$30,MATCH("对"&amp;LEFT($C$5,2)&amp;"输出",标准坦克设计!$B$23:$U$23,0)))*(VLOOKUP($B134,INDIRECT($B$5&amp;"生成成长"),3))*(VLOOKUP($B$5,标准坦克设计!$B$14:$K$20,9)/30))</f>
        <v>11.901840187735017</v>
      </c>
      <c r="AB134" s="172">
        <f ca="1">(VLOOKUP(AB$72,INDIRECT($C$5&amp;"生成成长"),2))/((VLOOKUP($B134,INDIRECT($B$5&amp;"生成成长"),4))/(VLOOKUP(AB$72,INDIRECT($C$5&amp;"生成成长"),5))*(VLOOKUP($B$5,标准坦克设计!$B$24:$U$30,MATCH("对"&amp;LEFT($C$5,2)&amp;"输出",标准坦克设计!$B$23:$U$23,0)))*(VLOOKUP($B134,INDIRECT($B$5&amp;"生成成长"),3))*(VLOOKUP($B$5,标准坦克设计!$B$14:$K$20,9)/30))</f>
        <v>13.045617287043461</v>
      </c>
      <c r="AC134" s="172">
        <f ca="1">(VLOOKUP(AC$72,INDIRECT($C$5&amp;"生成成长"),2))/((VLOOKUP($B134,INDIRECT($B$5&amp;"生成成长"),4))/(VLOOKUP(AC$72,INDIRECT($C$5&amp;"生成成长"),5))*(VLOOKUP($B$5,标准坦克设计!$B$24:$U$30,MATCH("对"&amp;LEFT($C$5,2)&amp;"输出",标准坦克设计!$B$23:$U$23,0)))*(VLOOKUP($B134,INDIRECT($B$5&amp;"生成成长"),3))*(VLOOKUP($B$5,标准坦克设计!$B$14:$K$20,9)/30))</f>
        <v>14.241861225769721</v>
      </c>
      <c r="AD134" s="172">
        <f ca="1">(VLOOKUP(AD$72,INDIRECT($C$5&amp;"生成成长"),2))/((VLOOKUP($B134,INDIRECT($B$5&amp;"生成成长"),4))/(VLOOKUP(AD$72,INDIRECT($C$5&amp;"生成成长"),5))*(VLOOKUP($B$5,标准坦克设计!$B$24:$U$30,MATCH("对"&amp;LEFT($C$5,2)&amp;"输出",标准坦克设计!$B$23:$U$23,0)))*(VLOOKUP($B134,INDIRECT($B$5&amp;"生成成长"),3))*(VLOOKUP($B$5,标准坦克设计!$B$14:$K$20,9)/30))</f>
        <v>15.490572003913798</v>
      </c>
      <c r="AE134" s="172">
        <f ca="1">(VLOOKUP(AE$72,INDIRECT($C$5&amp;"生成成长"),2))/((VLOOKUP($B134,INDIRECT($B$5&amp;"生成成长"),4))/(VLOOKUP(AE$72,INDIRECT($C$5&amp;"生成成长"),5))*(VLOOKUP($B$5,标准坦克设计!$B$24:$U$30,MATCH("对"&amp;LEFT($C$5,2)&amp;"输出",标准坦克设计!$B$23:$U$23,0)))*(VLOOKUP($B134,INDIRECT($B$5&amp;"生成成长"),3))*(VLOOKUP($B$5,标准坦克设计!$B$14:$K$20,9)/30))</f>
        <v>16.791749621475695</v>
      </c>
      <c r="AF134" s="172">
        <f ca="1">(VLOOKUP(AF$72,INDIRECT($C$5&amp;"生成成长"),2))/((VLOOKUP($B134,INDIRECT($B$5&amp;"生成成长"),4))/(VLOOKUP(AF$72,INDIRECT($C$5&amp;"生成成长"),5))*(VLOOKUP($B$5,标准坦克设计!$B$24:$U$30,MATCH("对"&amp;LEFT($C$5,2)&amp;"输出",标准坦克设计!$B$23:$U$23,0)))*(VLOOKUP($B134,INDIRECT($B$5&amp;"生成成长"),3))*(VLOOKUP($B$5,标准坦克设计!$B$14:$K$20,9)/30))</f>
        <v>18.145394078455407</v>
      </c>
      <c r="AG134" s="172">
        <f ca="1">(VLOOKUP(AG$72,INDIRECT($C$5&amp;"生成成长"),2))/((VLOOKUP($B134,INDIRECT($B$5&amp;"生成成长"),4))/(VLOOKUP(AG$72,INDIRECT($C$5&amp;"生成成长"),5))*(VLOOKUP($B$5,标准坦克设计!$B$24:$U$30,MATCH("对"&amp;LEFT($C$5,2)&amp;"输出",标准坦克设计!$B$23:$U$23,0)))*(VLOOKUP($B134,INDIRECT($B$5&amp;"生成成长"),3))*(VLOOKUP($B$5,标准坦克设计!$B$14:$K$20,9)/30))</f>
        <v>19.551505374852944</v>
      </c>
      <c r="AH134" s="172">
        <f ca="1">(VLOOKUP(AH$72,INDIRECT($C$5&amp;"生成成长"),2))/((VLOOKUP($B134,INDIRECT($B$5&amp;"生成成长"),4))/(VLOOKUP(AH$72,INDIRECT($C$5&amp;"生成成长"),5))*(VLOOKUP($B$5,标准坦克设计!$B$24:$U$30,MATCH("对"&amp;LEFT($C$5,2)&amp;"输出",标准坦克设计!$B$23:$U$23,0)))*(VLOOKUP($B134,INDIRECT($B$5&amp;"生成成长"),3))*(VLOOKUP($B$5,标准坦克设计!$B$14:$K$20,9)/30))</f>
        <v>21.010083510668295</v>
      </c>
      <c r="AI134" s="172">
        <f ca="1">(VLOOKUP(AI$72,INDIRECT($C$5&amp;"生成成长"),2))/((VLOOKUP($B134,INDIRECT($B$5&amp;"生成成长"),4))/(VLOOKUP(AI$72,INDIRECT($C$5&amp;"生成成长"),5))*(VLOOKUP($B$5,标准坦克设计!$B$24:$U$30,MATCH("对"&amp;LEFT($C$5,2)&amp;"输出",标准坦克设计!$B$23:$U$23,0)))*(VLOOKUP($B134,INDIRECT($B$5&amp;"生成成长"),3))*(VLOOKUP($B$5,标准坦克设计!$B$14:$K$20,9)/30))</f>
        <v>14.859658259914534</v>
      </c>
      <c r="AJ134" s="172">
        <f ca="1">(VLOOKUP(AJ$72,INDIRECT($C$5&amp;"生成成长"),2))/((VLOOKUP($B134,INDIRECT($B$5&amp;"生成成长"),4))/(VLOOKUP(AJ$72,INDIRECT($C$5&amp;"生成成长"),5))*(VLOOKUP($B$5,标准坦克设计!$B$24:$U$30,MATCH("对"&amp;LEFT($C$5,2)&amp;"输出",标准坦克设计!$B$23:$U$23,0)))*(VLOOKUP($B134,INDIRECT($B$5&amp;"生成成长"),3))*(VLOOKUP($B$5,标准坦克设计!$B$14:$K$20,9)/30))</f>
        <v>16.264982553720799</v>
      </c>
      <c r="AK134" s="172">
        <f ca="1">(VLOOKUP(AK$72,INDIRECT($C$5&amp;"生成成长"),2))/((VLOOKUP($B134,INDIRECT($B$5&amp;"生成成长"),4))/(VLOOKUP(AK$72,INDIRECT($C$5&amp;"生成成长"),5))*(VLOOKUP($B$5,标准坦克设计!$B$24:$U$30,MATCH("对"&amp;LEFT($C$5,2)&amp;"输出",标准坦克设计!$B$23:$U$23,0)))*(VLOOKUP($B134,INDIRECT($B$5&amp;"生成成长"),3))*(VLOOKUP($B$5,标准坦克设计!$B$14:$K$20,9)/30))</f>
        <v>17.733791723222627</v>
      </c>
      <c r="AL134" s="172">
        <f ca="1">(VLOOKUP(AL$72,INDIRECT($C$5&amp;"生成成长"),2))/((VLOOKUP($B134,INDIRECT($B$5&amp;"生成成长"),4))/(VLOOKUP(AL$72,INDIRECT($C$5&amp;"生成成长"),5))*(VLOOKUP($B$5,标准坦克设计!$B$24:$U$30,MATCH("对"&amp;LEFT($C$5,2)&amp;"输出",标准坦克设计!$B$23:$U$23,0)))*(VLOOKUP($B134,INDIRECT($B$5&amp;"生成成长"),3))*(VLOOKUP($B$5,标准坦克设计!$B$14:$K$20,9)/30))</f>
        <v>19.266085768420012</v>
      </c>
      <c r="AM134" s="172">
        <f ca="1">(VLOOKUP(AM$72,INDIRECT($C$5&amp;"生成成长"),2))/((VLOOKUP($B134,INDIRECT($B$5&amp;"生成成长"),4))/(VLOOKUP(AM$72,INDIRECT($C$5&amp;"生成成长"),5))*(VLOOKUP($B$5,标准坦克设计!$B$24:$U$30,MATCH("对"&amp;LEFT($C$5,2)&amp;"输出",标准坦克设计!$B$23:$U$23,0)))*(VLOOKUP($B134,INDIRECT($B$5&amp;"生成成长"),3))*(VLOOKUP($B$5,标准坦克设计!$B$14:$K$20,9)/30))</f>
        <v>20.861864689312959</v>
      </c>
      <c r="AN134" s="172">
        <f ca="1">(VLOOKUP(AN$72,INDIRECT($C$5&amp;"生成成长"),2))/((VLOOKUP($B134,INDIRECT($B$5&amp;"生成成长"),4))/(VLOOKUP(AN$72,INDIRECT($C$5&amp;"生成成长"),5))*(VLOOKUP($B$5,标准坦克设计!$B$24:$U$30,MATCH("对"&amp;LEFT($C$5,2)&amp;"输出",标准坦克设计!$B$23:$U$23,0)))*(VLOOKUP($B134,INDIRECT($B$5&amp;"生成成长"),3))*(VLOOKUP($B$5,标准坦克设计!$B$14:$K$20,9)/30))</f>
        <v>22.521128485901468</v>
      </c>
      <c r="AO134" s="172">
        <f ca="1">(VLOOKUP(AO$72,INDIRECT($C$5&amp;"生成成长"),2))/((VLOOKUP($B134,INDIRECT($B$5&amp;"生成成长"),4))/(VLOOKUP(AO$72,INDIRECT($C$5&amp;"生成成长"),5))*(VLOOKUP($B$5,标准坦克设计!$B$24:$U$30,MATCH("对"&amp;LEFT($C$5,2)&amp;"输出",标准坦克设计!$B$23:$U$23,0)))*(VLOOKUP($B134,INDIRECT($B$5&amp;"生成成长"),3))*(VLOOKUP($B$5,标准坦克设计!$B$14:$K$20,9)/30))</f>
        <v>24.243877158185533</v>
      </c>
      <c r="AP134" s="172">
        <f ca="1">(VLOOKUP(AP$72,INDIRECT($C$5&amp;"生成成长"),2))/((VLOOKUP($B134,INDIRECT($B$5&amp;"生成成长"),4))/(VLOOKUP(AP$72,INDIRECT($C$5&amp;"生成成长"),5))*(VLOOKUP($B$5,标准坦克设计!$B$24:$U$30,MATCH("对"&amp;LEFT($C$5,2)&amp;"输出",标准坦克设计!$B$23:$U$23,0)))*(VLOOKUP($B134,INDIRECT($B$5&amp;"生成成长"),3))*(VLOOKUP($B$5,标准坦克设计!$B$14:$K$20,9)/30))</f>
        <v>26.030110706165161</v>
      </c>
      <c r="AQ134" s="172">
        <f ca="1">(VLOOKUP(AQ$72,INDIRECT($C$5&amp;"生成成长"),2))/((VLOOKUP($B134,INDIRECT($B$5&amp;"生成成长"),4))/(VLOOKUP(AQ$72,INDIRECT($C$5&amp;"生成成长"),5))*(VLOOKUP($B$5,标准坦克设计!$B$24:$U$30,MATCH("对"&amp;LEFT($C$5,2)&amp;"输出",标准坦克设计!$B$23:$U$23,0)))*(VLOOKUP($B134,INDIRECT($B$5&amp;"生成成长"),3))*(VLOOKUP($B$5,标准坦克设计!$B$14:$K$20,9)/30))</f>
        <v>27.879829129840353</v>
      </c>
      <c r="AR134" s="172">
        <f ca="1">(VLOOKUP(AR$72,INDIRECT($C$5&amp;"生成成长"),2))/((VLOOKUP($B134,INDIRECT($B$5&amp;"生成成长"),4))/(VLOOKUP(AR$72,INDIRECT($C$5&amp;"生成成长"),5))*(VLOOKUP($B$5,标准坦克设计!$B$24:$U$30,MATCH("对"&amp;LEFT($C$5,2)&amp;"输出",标准坦克设计!$B$23:$U$23,0)))*(VLOOKUP($B134,INDIRECT($B$5&amp;"生成成长"),3))*(VLOOKUP($B$5,标准坦克设计!$B$14:$K$20,9)/30))</f>
        <v>29.793032429211099</v>
      </c>
      <c r="AS134" s="172">
        <f ca="1">(VLOOKUP(AS$72,INDIRECT($C$5&amp;"生成成长"),2))/((VLOOKUP($B134,INDIRECT($B$5&amp;"生成成长"),4))/(VLOOKUP(AS$72,INDIRECT($C$5&amp;"生成成长"),5))*(VLOOKUP($B$5,标准坦克设计!$B$24:$U$30,MATCH("对"&amp;LEFT($C$5,2)&amp;"输出",标准坦克设计!$B$23:$U$23,0)))*(VLOOKUP($B134,INDIRECT($B$5&amp;"生成成长"),3))*(VLOOKUP($B$5,标准坦克设计!$B$14:$K$20,9)/30))</f>
        <v>31.769720604277413</v>
      </c>
      <c r="AT134" s="172">
        <f ca="1">(VLOOKUP(AT$72,INDIRECT($C$5&amp;"生成成长"),2))/((VLOOKUP($B134,INDIRECT($B$5&amp;"生成成长"),4))/(VLOOKUP(AT$72,INDIRECT($C$5&amp;"生成成长"),5))*(VLOOKUP($B$5,标准坦克设计!$B$24:$U$30,MATCH("对"&amp;LEFT($C$5,2)&amp;"输出",标准坦克设计!$B$23:$U$23,0)))*(VLOOKUP($B134,INDIRECT($B$5&amp;"生成成长"),3))*(VLOOKUP($B$5,标准坦克设计!$B$14:$K$20,9)/30))</f>
        <v>33.809893655039275</v>
      </c>
      <c r="AU134" s="172">
        <f ca="1">(VLOOKUP(AU$72,INDIRECT($C$5&amp;"生成成长"),2))/((VLOOKUP($B134,INDIRECT($B$5&amp;"生成成长"),4))/(VLOOKUP(AU$72,INDIRECT($C$5&amp;"生成成长"),5))*(VLOOKUP($B$5,标准坦克设计!$B$24:$U$30,MATCH("对"&amp;LEFT($C$5,2)&amp;"输出",标准坦克设计!$B$23:$U$23,0)))*(VLOOKUP($B134,INDIRECT($B$5&amp;"生成成长"),3))*(VLOOKUP($B$5,标准坦克设计!$B$14:$K$20,9)/30))</f>
        <v>35.913551581496712</v>
      </c>
      <c r="AV134" s="172">
        <f ca="1">(VLOOKUP(AV$72,INDIRECT($C$5&amp;"生成成长"),2))/((VLOOKUP($B134,INDIRECT($B$5&amp;"生成成长"),4))/(VLOOKUP(AV$72,INDIRECT($C$5&amp;"生成成长"),5))*(VLOOKUP($B$5,标准坦克设计!$B$24:$U$30,MATCH("对"&amp;LEFT($C$5,2)&amp;"输出",标准坦克设计!$B$23:$U$23,0)))*(VLOOKUP($B134,INDIRECT($B$5&amp;"生成成长"),3))*(VLOOKUP($B$5,标准坦克设计!$B$14:$K$20,9)/30))</f>
        <v>3.6527413602685179</v>
      </c>
      <c r="AW134" s="172">
        <f ca="1">(VLOOKUP(AW$72,INDIRECT($C$5&amp;"生成成长"),2))/((VLOOKUP($B134,INDIRECT($B$5&amp;"生成成长"),4))/(VLOOKUP(AW$72,INDIRECT($C$5&amp;"生成成长"),5))*(VLOOKUP($B$5,标准坦克设计!$B$24:$U$30,MATCH("对"&amp;LEFT($C$5,2)&amp;"输出",标准坦克设计!$B$23:$U$23,0)))*(VLOOKUP($B134,INDIRECT($B$5&amp;"生成成长"),3))*(VLOOKUP($B$5,标准坦克设计!$B$14:$K$20,9)/30))</f>
        <v>4.1648177129864266</v>
      </c>
      <c r="AX134" s="172">
        <f ca="1">(VLOOKUP(AX$72,INDIRECT($C$5&amp;"生成成长"),2))/((VLOOKUP($B134,INDIRECT($B$5&amp;"生成成长"),4))/(VLOOKUP(AX$72,INDIRECT($C$5&amp;"生成成长"),5))*(VLOOKUP($B$5,标准坦克设计!$B$24:$U$30,MATCH("对"&amp;LEFT($C$5,2)&amp;"输出",标准坦克设计!$B$23:$U$23,0)))*(VLOOKUP($B134,INDIRECT($B$5&amp;"生成成长"),3))*(VLOOKUP($B$5,标准坦克设计!$B$14:$K$20,9)/30))</f>
        <v>4.710472842931738</v>
      </c>
      <c r="AY134" s="172">
        <f ca="1">(VLOOKUP(AY$72,INDIRECT($C$5&amp;"生成成长"),2))/((VLOOKUP($B134,INDIRECT($B$5&amp;"生成成长"),4))/(VLOOKUP(AY$72,INDIRECT($C$5&amp;"生成成长"),5))*(VLOOKUP($B$5,标准坦克设计!$B$24:$U$30,MATCH("对"&amp;LEFT($C$5,2)&amp;"输出",标准坦克设计!$B$23:$U$23,0)))*(VLOOKUP($B134,INDIRECT($B$5&amp;"生成成长"),3))*(VLOOKUP($B$5,标准坦克设计!$B$14:$K$20,9)/30))</f>
        <v>5.289706750104453</v>
      </c>
      <c r="AZ134" s="172">
        <f ca="1">(VLOOKUP(AZ$72,INDIRECT($C$5&amp;"生成成长"),2))/((VLOOKUP($B134,INDIRECT($B$5&amp;"生成成长"),4))/(VLOOKUP(AZ$72,INDIRECT($C$5&amp;"生成成长"),5))*(VLOOKUP($B$5,标准坦克设计!$B$24:$U$30,MATCH("对"&amp;LEFT($C$5,2)&amp;"输出",标准坦克设计!$B$23:$U$23,0)))*(VLOOKUP($B134,INDIRECT($B$5&amp;"生成成长"),3))*(VLOOKUP($B$5,标准坦克设计!$B$14:$K$20,9)/30))</f>
        <v>5.9025194345045717</v>
      </c>
      <c r="BA134" s="172">
        <f ca="1">(VLOOKUP(BA$72,INDIRECT($C$5&amp;"生成成长"),2))/((VLOOKUP($B134,INDIRECT($B$5&amp;"生成成长"),4))/(VLOOKUP(BA$72,INDIRECT($C$5&amp;"生成成长"),5))*(VLOOKUP($B$5,标准坦克设计!$B$24:$U$30,MATCH("对"&amp;LEFT($C$5,2)&amp;"输出",标准坦克设计!$B$23:$U$23,0)))*(VLOOKUP($B134,INDIRECT($B$5&amp;"生成成长"),3))*(VLOOKUP($B$5,标准坦克设计!$B$14:$K$20,9)/30))</f>
        <v>6.5489108961320959</v>
      </c>
      <c r="BB134" s="172">
        <f ca="1">(VLOOKUP(BB$72,INDIRECT($C$5&amp;"生成成长"),2))/((VLOOKUP($B134,INDIRECT($B$5&amp;"生成成长"),4))/(VLOOKUP(BB$72,INDIRECT($C$5&amp;"生成成长"),5))*(VLOOKUP($B$5,标准坦克设计!$B$24:$U$30,MATCH("对"&amp;LEFT($C$5,2)&amp;"输出",标准坦克设计!$B$23:$U$23,0)))*(VLOOKUP($B134,INDIRECT($B$5&amp;"生成成长"),3))*(VLOOKUP($B$5,标准坦克设计!$B$14:$K$20,9)/30))</f>
        <v>7.228881134987021</v>
      </c>
      <c r="BC134" s="172">
        <f ca="1">(VLOOKUP(BC$72,INDIRECT($C$5&amp;"生成成长"),2))/((VLOOKUP($B134,INDIRECT($B$5&amp;"生成成长"),4))/(VLOOKUP(BC$72,INDIRECT($C$5&amp;"生成成长"),5))*(VLOOKUP($B$5,标准坦克设计!$B$24:$U$30,MATCH("对"&amp;LEFT($C$5,2)&amp;"输出",标准坦克设计!$B$23:$U$23,0)))*(VLOOKUP($B134,INDIRECT($B$5&amp;"生成成长"),3))*(VLOOKUP($B$5,标准坦克设计!$B$14:$K$20,9)/30))</f>
        <v>7.9424301510693534</v>
      </c>
      <c r="BD134" s="172">
        <f ca="1">(VLOOKUP(BD$72,INDIRECT($C$5&amp;"生成成长"),2))/((VLOOKUP($B134,INDIRECT($B$5&amp;"生成成长"),4))/(VLOOKUP(BD$72,INDIRECT($C$5&amp;"生成成长"),5))*(VLOOKUP($B$5,标准坦克设计!$B$24:$U$30,MATCH("对"&amp;LEFT($C$5,2)&amp;"输出",标准坦克设计!$B$23:$U$23,0)))*(VLOOKUP($B134,INDIRECT($B$5&amp;"生成成长"),3))*(VLOOKUP($B$5,标准坦克设计!$B$14:$K$20,9)/30))</f>
        <v>8.7853099263166055</v>
      </c>
      <c r="BE134" s="172">
        <f ca="1">(VLOOKUP(BE$72,INDIRECT($C$5&amp;"生成成长"),2))/((VLOOKUP($B134,INDIRECT($B$5&amp;"生成成长"),4))/(VLOOKUP(BE$72,INDIRECT($C$5&amp;"生成成长"),5))*(VLOOKUP($B$5,标准坦克设计!$B$24:$U$30,MATCH("对"&amp;LEFT($C$5,2)&amp;"输出",标准坦克设计!$B$23:$U$23,0)))*(VLOOKUP($B134,INDIRECT($B$5&amp;"生成成长"),3))*(VLOOKUP($B$5,标准坦克设计!$B$14:$K$20,9)/30))</f>
        <v>9.6706878414922919</v>
      </c>
      <c r="BF134" s="172">
        <f ca="1">(VLOOKUP(BF$72,INDIRECT($C$5&amp;"生成成长"),2))/((VLOOKUP($B134,INDIRECT($B$5&amp;"生成成长"),4))/(VLOOKUP(BF$72,INDIRECT($C$5&amp;"生成成长"),5))*(VLOOKUP($B$5,标准坦克设计!$B$24:$U$30,MATCH("对"&amp;LEFT($C$5,2)&amp;"输出",标准坦克设计!$B$23:$U$23,0)))*(VLOOKUP($B134,INDIRECT($B$5&amp;"生成成长"),3))*(VLOOKUP($B$5,标准坦克设计!$B$14:$K$20,9)/30))</f>
        <v>10.59856389659641</v>
      </c>
      <c r="BG134" s="172">
        <f ca="1">(VLOOKUP(BG$72,INDIRECT($C$5&amp;"生成成长"),2))/((VLOOKUP($B134,INDIRECT($B$5&amp;"生成成长"),4))/(VLOOKUP(BG$72,INDIRECT($C$5&amp;"生成成长"),5))*(VLOOKUP($B$5,标准坦克设计!$B$24:$U$30,MATCH("对"&amp;LEFT($C$5,2)&amp;"输出",标准坦克设计!$B$23:$U$23,0)))*(VLOOKUP($B134,INDIRECT($B$5&amp;"生成成长"),3))*(VLOOKUP($B$5,标准坦克设计!$B$14:$K$20,9)/30))</f>
        <v>11.568938091628961</v>
      </c>
      <c r="BH134" s="172">
        <f ca="1">(VLOOKUP(BH$72,INDIRECT($C$5&amp;"生成成长"),2))/((VLOOKUP($B134,INDIRECT($B$5&amp;"生成成长"),4))/(VLOOKUP(BH$72,INDIRECT($C$5&amp;"生成成长"),5))*(VLOOKUP($B$5,标准坦克设计!$B$24:$U$30,MATCH("对"&amp;LEFT($C$5,2)&amp;"输出",标准坦克设计!$B$23:$U$23,0)))*(VLOOKUP($B134,INDIRECT($B$5&amp;"生成成长"),3))*(VLOOKUP($B$5,标准坦克设计!$B$14:$K$20,9)/30))</f>
        <v>5.5919157451510868</v>
      </c>
      <c r="BI134" s="172">
        <f ca="1">(VLOOKUP(BI$72,INDIRECT($C$5&amp;"生成成长"),2))/((VLOOKUP($B134,INDIRECT($B$5&amp;"生成成长"),4))/(VLOOKUP(BI$72,INDIRECT($C$5&amp;"生成成长"),5))*(VLOOKUP($B$5,标准坦克设计!$B$24:$U$30,MATCH("对"&amp;LEFT($C$5,2)&amp;"输出",标准坦克设计!$B$23:$U$23,0)))*(VLOOKUP($B134,INDIRECT($B$5&amp;"生成成长"),3))*(VLOOKUP($B$5,标准坦克设计!$B$14:$K$20,9)/30))</f>
        <v>6.302579085065438</v>
      </c>
      <c r="BJ134" s="172">
        <f ca="1">(VLOOKUP(BJ$72,INDIRECT($C$5&amp;"生成成长"),2))/((VLOOKUP($B134,INDIRECT($B$5&amp;"生成成长"),4))/(VLOOKUP(BJ$72,INDIRECT($C$5&amp;"生成成长"),5))*(VLOOKUP($B$5,标准坦克设计!$B$24:$U$30,MATCH("对"&amp;LEFT($C$5,2)&amp;"输出",标准坦克设计!$B$23:$U$23,0)))*(VLOOKUP($B134,INDIRECT($B$5&amp;"生成成长"),3))*(VLOOKUP($B$5,标准坦克设计!$B$14:$K$20,9)/30))</f>
        <v>7.0557405649082199</v>
      </c>
      <c r="BK134" s="172">
        <f ca="1">(VLOOKUP(BK$72,INDIRECT($C$5&amp;"生成成长"),2))/((VLOOKUP($B134,INDIRECT($B$5&amp;"生成成长"),4))/(VLOOKUP(BK$72,INDIRECT($C$5&amp;"生成成长"),5))*(VLOOKUP($B$5,标准坦克设计!$B$24:$U$30,MATCH("对"&amp;LEFT($C$5,2)&amp;"输出",标准坦克设计!$B$23:$U$23,0)))*(VLOOKUP($B134,INDIRECT($B$5&amp;"生成成长"),3))*(VLOOKUP($B$5,标准坦克设计!$B$14:$K$20,9)/30))</f>
        <v>7.8514001846794361</v>
      </c>
      <c r="BL134" s="172">
        <f ca="1">(VLOOKUP(BL$72,INDIRECT($C$5&amp;"生成成长"),2))/((VLOOKUP($B134,INDIRECT($B$5&amp;"生成成长"),4))/(VLOOKUP(BL$72,INDIRECT($C$5&amp;"生成成长"),5))*(VLOOKUP($B$5,标准坦克设计!$B$24:$U$30,MATCH("对"&amp;LEFT($C$5,2)&amp;"输出",标准坦克设计!$B$23:$U$23,0)))*(VLOOKUP($B134,INDIRECT($B$5&amp;"生成成长"),3))*(VLOOKUP($B$5,标准坦克设计!$B$14:$K$20,9)/30))</f>
        <v>8.6895579443790876</v>
      </c>
      <c r="BM134" s="172">
        <f ca="1">(VLOOKUP(BM$72,INDIRECT($C$5&amp;"生成成长"),2))/((VLOOKUP($B134,INDIRECT($B$5&amp;"生成成长"),4))/(VLOOKUP(BM$72,INDIRECT($C$5&amp;"生成成长"),5))*(VLOOKUP($B$5,标准坦克设计!$B$24:$U$30,MATCH("对"&amp;LEFT($C$5,2)&amp;"输出",标准坦克设计!$B$23:$U$23,0)))*(VLOOKUP($B134,INDIRECT($B$5&amp;"生成成长"),3))*(VLOOKUP($B$5,标准坦克设计!$B$14:$K$20,9)/30))</f>
        <v>9.5702138440071689</v>
      </c>
      <c r="BN134" s="172">
        <f ca="1">(VLOOKUP(BN$72,INDIRECT($C$5&amp;"生成成长"),2))/((VLOOKUP($B134,INDIRECT($B$5&amp;"生成成长"),4))/(VLOOKUP(BN$72,INDIRECT($C$5&amp;"生成成长"),5))*(VLOOKUP($B$5,标准坦克设计!$B$24:$U$30,MATCH("对"&amp;LEFT($C$5,2)&amp;"输出",标准坦克设计!$B$23:$U$23,0)))*(VLOOKUP($B134,INDIRECT($B$5&amp;"生成成长"),3))*(VLOOKUP($B$5,标准坦克设计!$B$14:$K$20,9)/30))</f>
        <v>10.493367883563685</v>
      </c>
      <c r="BO134" s="172">
        <f ca="1">(VLOOKUP(BO$72,INDIRECT($C$5&amp;"生成成长"),2))/((VLOOKUP($B134,INDIRECT($B$5&amp;"生成成长"),4))/(VLOOKUP(BO$72,INDIRECT($C$5&amp;"生成成长"),5))*(VLOOKUP($B$5,标准坦克设计!$B$24:$U$30,MATCH("对"&amp;LEFT($C$5,2)&amp;"输出",标准坦克设计!$B$23:$U$23,0)))*(VLOOKUP($B134,INDIRECT($B$5&amp;"生成成长"),3))*(VLOOKUP($B$5,标准坦克设计!$B$14:$K$20,9)/30))</f>
        <v>11.45902006304863</v>
      </c>
      <c r="BP134" s="172">
        <f ca="1">(VLOOKUP(BP$72,INDIRECT($C$5&amp;"生成成长"),2))/((VLOOKUP($B134,INDIRECT($B$5&amp;"生成成长"),4))/(VLOOKUP(BP$72,INDIRECT($C$5&amp;"生成成长"),5))*(VLOOKUP($B$5,标准坦克设计!$B$24:$U$30,MATCH("对"&amp;LEFT($C$5,2)&amp;"输出",标准坦克设计!$B$23:$U$23,0)))*(VLOOKUP($B134,INDIRECT($B$5&amp;"生成成长"),3))*(VLOOKUP($B$5,标准坦克设计!$B$14:$K$20,9)/30))</f>
        <v>12.467170382462012</v>
      </c>
      <c r="BQ134" s="172">
        <f ca="1">(VLOOKUP(BQ$72,INDIRECT($C$5&amp;"生成成长"),2))/((VLOOKUP($B134,INDIRECT($B$5&amp;"生成成长"),4))/(VLOOKUP(BQ$72,INDIRECT($C$5&amp;"生成成长"),5))*(VLOOKUP($B$5,标准坦克设计!$B$24:$U$30,MATCH("对"&amp;LEFT($C$5,2)&amp;"输出",标准坦克设计!$B$23:$U$23,0)))*(VLOOKUP($B134,INDIRECT($B$5&amp;"生成成长"),3))*(VLOOKUP($B$5,标准坦克设计!$B$14:$K$20,9)/30))</f>
        <v>13.517818841803827</v>
      </c>
      <c r="BR134" s="172">
        <f ca="1">(VLOOKUP(BR$72,INDIRECT($C$5&amp;"生成成长"),2))/((VLOOKUP($B134,INDIRECT($B$5&amp;"生成成长"),4))/(VLOOKUP(BR$72,INDIRECT($C$5&amp;"生成成长"),5))*(VLOOKUP($B$5,标准坦克设计!$B$24:$U$30,MATCH("对"&amp;LEFT($C$5,2)&amp;"输出",标准坦克设计!$B$23:$U$23,0)))*(VLOOKUP($B134,INDIRECT($B$5&amp;"生成成长"),3))*(VLOOKUP($B$5,标准坦克设计!$B$14:$K$20,9)/30))</f>
        <v>14.735049516297213</v>
      </c>
      <c r="BS134" s="172">
        <f ca="1">(VLOOKUP(BS$72,INDIRECT($C$5&amp;"生成成长"),2))/((VLOOKUP($B134,INDIRECT($B$5&amp;"生成成长"),4))/(VLOOKUP(BS$72,INDIRECT($C$5&amp;"生成成长"),5))*(VLOOKUP($B$5,标准坦克设计!$B$24:$U$30,MATCH("对"&amp;LEFT($C$5,2)&amp;"输出",标准坦克设计!$B$23:$U$23,0)))*(VLOOKUP($B134,INDIRECT($B$5&amp;"生成成长"),3))*(VLOOKUP($B$5,标准坦克设计!$B$14:$K$20,9)/30))</f>
        <v>16.004747030208421</v>
      </c>
      <c r="BT134" s="172">
        <f ca="1">(VLOOKUP(BT$72,INDIRECT($C$5&amp;"生成成长"),2))/((VLOOKUP($B134,INDIRECT($B$5&amp;"生成成长"),4))/(VLOOKUP(BT$72,INDIRECT($C$5&amp;"生成成长"),5))*(VLOOKUP($B$5,标准坦克设计!$B$24:$U$30,MATCH("对"&amp;LEFT($C$5,2)&amp;"输出",标准坦克设计!$B$23:$U$23,0)))*(VLOOKUP($B134,INDIRECT($B$5&amp;"生成成长"),3))*(VLOOKUP($B$5,标准坦克设计!$B$14:$K$20,9)/30))</f>
        <v>17.326911383537443</v>
      </c>
      <c r="BU134" s="172">
        <f ca="1">(VLOOKUP(BU$72,INDIRECT($C$5&amp;"生成成长"),2))/((VLOOKUP($B134,INDIRECT($B$5&amp;"生成成长"),4))/(VLOOKUP(BU$72,INDIRECT($C$5&amp;"生成成长"),5))*(VLOOKUP($B$5,标准坦克设计!$B$24:$U$30,MATCH("对"&amp;LEFT($C$5,2)&amp;"输出",标准坦克设计!$B$23:$U$23,0)))*(VLOOKUP($B134,INDIRECT($B$5&amp;"生成成长"),3))*(VLOOKUP($B$5,标准坦克设计!$B$14:$K$20,9)/30))</f>
        <v>18.701542576284286</v>
      </c>
      <c r="BV134" s="172">
        <f ca="1">(VLOOKUP(BV$72,INDIRECT($C$5&amp;"生成成长"),2))/((VLOOKUP($B134,INDIRECT($B$5&amp;"生成成长"),4))/(VLOOKUP(BV$72,INDIRECT($C$5&amp;"生成成长"),5))*(VLOOKUP($B$5,标准坦克设计!$B$24:$U$30,MATCH("对"&amp;LEFT($C$5,2)&amp;"输出",标准坦克设计!$B$23:$U$23,0)))*(VLOOKUP($B134,INDIRECT($B$5&amp;"生成成长"),3))*(VLOOKUP($B$5,标准坦克设计!$B$14:$K$20,9)/30))</f>
        <v>20.128640608448947</v>
      </c>
      <c r="BW134" s="172">
        <f ca="1">(VLOOKUP(BW$72,INDIRECT($C$5&amp;"生成成长"),2))/((VLOOKUP($B134,INDIRECT($B$5&amp;"生成成长"),4))/(VLOOKUP(BW$72,INDIRECT($C$5&amp;"生成成长"),5))*(VLOOKUP($B$5,标准坦克设计!$B$24:$U$30,MATCH("对"&amp;LEFT($C$5,2)&amp;"输出",标准坦克设计!$B$23:$U$23,0)))*(VLOOKUP($B134,INDIRECT($B$5&amp;"生成成长"),3))*(VLOOKUP($B$5,标准坦克设计!$B$14:$K$20,9)/30))</f>
        <v>9.1735645380084598</v>
      </c>
      <c r="BX134" s="172">
        <f ca="1">(VLOOKUP(BX$72,INDIRECT($C$5&amp;"生成成长"),2))/((VLOOKUP($B134,INDIRECT($B$5&amp;"生成成长"),4))/(VLOOKUP(BX$72,INDIRECT($C$5&amp;"生成成长"),5))*(VLOOKUP($B$5,标准坦克设计!$B$24:$U$30,MATCH("对"&amp;LEFT($C$5,2)&amp;"输出",标准坦克设计!$B$23:$U$23,0)))*(VLOOKUP($B134,INDIRECT($B$5&amp;"生成成长"),3))*(VLOOKUP($B$5,标准坦克设计!$B$14:$K$20,9)/30))</f>
        <v>10.180927854830577</v>
      </c>
      <c r="BY134" s="172">
        <f ca="1">(VLOOKUP(BY$72,INDIRECT($C$5&amp;"生成成长"),2))/((VLOOKUP($B134,INDIRECT($B$5&amp;"生成成长"),4))/(VLOOKUP(BY$72,INDIRECT($C$5&amp;"生成成长"),5))*(VLOOKUP($B$5,标准坦克设计!$B$24:$U$30,MATCH("对"&amp;LEFT($C$5,2)&amp;"输出",标准坦克设计!$B$23:$U$23,0)))*(VLOOKUP($B134,INDIRECT($B$5&amp;"生成成长"),3))*(VLOOKUP($B$5,标准坦克设计!$B$14:$K$20,9)/30))</f>
        <v>11.240758011070508</v>
      </c>
      <c r="BZ134" s="172">
        <f ca="1">(VLOOKUP(BZ$72,INDIRECT($C$5&amp;"生成成长"),2))/((VLOOKUP($B134,INDIRECT($B$5&amp;"生成成长"),4))/(VLOOKUP(BZ$72,INDIRECT($C$5&amp;"生成成长"),5))*(VLOOKUP($B$5,标准坦克设计!$B$24:$U$30,MATCH("对"&amp;LEFT($C$5,2)&amp;"输出",标准坦克设计!$B$23:$U$23,0)))*(VLOOKUP($B134,INDIRECT($B$5&amp;"生成成长"),3))*(VLOOKUP($B$5,标准坦克设计!$B$14:$K$20,9)/30))</f>
        <v>12.353055006728258</v>
      </c>
      <c r="CA134" s="172">
        <f ca="1">(VLOOKUP(CA$72,INDIRECT($C$5&amp;"生成成长"),2))/((VLOOKUP($B134,INDIRECT($B$5&amp;"生成成长"),4))/(VLOOKUP(CA$72,INDIRECT($C$5&amp;"生成成长"),5))*(VLOOKUP($B$5,标准坦克设计!$B$24:$U$30,MATCH("对"&amp;LEFT($C$5,2)&amp;"输出",标准坦克设计!$B$23:$U$23,0)))*(VLOOKUP($B134,INDIRECT($B$5&amp;"生成成长"),3))*(VLOOKUP($B$5,标准坦克设计!$B$14:$K$20,9)/30))</f>
        <v>13.517818841803827</v>
      </c>
      <c r="CB134" s="172">
        <f ca="1">(VLOOKUP(CB$72,INDIRECT($C$5&amp;"生成成长"),2))/((VLOOKUP($B134,INDIRECT($B$5&amp;"生成成长"),4))/(VLOOKUP(CB$72,INDIRECT($C$5&amp;"生成成长"),5))*(VLOOKUP($B$5,标准坦克设计!$B$24:$U$30,MATCH("对"&amp;LEFT($C$5,2)&amp;"输出",标准坦克设计!$B$23:$U$23,0)))*(VLOOKUP($B134,INDIRECT($B$5&amp;"生成成长"),3))*(VLOOKUP($B$5,标准坦克设计!$B$14:$K$20,9)/30))</f>
        <v>14.735049516297213</v>
      </c>
      <c r="CC134" s="172">
        <f ca="1">(VLOOKUP(CC$72,INDIRECT($C$5&amp;"生成成长"),2))/((VLOOKUP($B134,INDIRECT($B$5&amp;"生成成长"),4))/(VLOOKUP(CC$72,INDIRECT($C$5&amp;"生成成长"),5))*(VLOOKUP($B$5,标准坦克设计!$B$24:$U$30,MATCH("对"&amp;LEFT($C$5,2)&amp;"输出",标准坦克设计!$B$23:$U$23,0)))*(VLOOKUP($B134,INDIRECT($B$5&amp;"生成成长"),3))*(VLOOKUP($B$5,标准坦克设计!$B$14:$K$20,9)/30))</f>
        <v>16.004747030208421</v>
      </c>
      <c r="CD134" s="172">
        <f ca="1">(VLOOKUP(CD$72,INDIRECT($C$5&amp;"生成成长"),2))/((VLOOKUP($B134,INDIRECT($B$5&amp;"生成成长"),4))/(VLOOKUP(CD$72,INDIRECT($C$5&amp;"生成成长"),5))*(VLOOKUP($B$5,标准坦克设计!$B$24:$U$30,MATCH("对"&amp;LEFT($C$5,2)&amp;"输出",标准坦克设计!$B$23:$U$23,0)))*(VLOOKUP($B134,INDIRECT($B$5&amp;"生成成长"),3))*(VLOOKUP($B$5,标准坦克设计!$B$14:$K$20,9)/30))</f>
        <v>17.326911383537443</v>
      </c>
      <c r="CE134" s="172">
        <f ca="1">(VLOOKUP(CE$72,INDIRECT($C$5&amp;"生成成长"),2))/((VLOOKUP($B134,INDIRECT($B$5&amp;"生成成长"),4))/(VLOOKUP(CE$72,INDIRECT($C$5&amp;"生成成长"),5))*(VLOOKUP($B$5,标准坦克设计!$B$24:$U$30,MATCH("对"&amp;LEFT($C$5,2)&amp;"输出",标准坦克设计!$B$23:$U$23,0)))*(VLOOKUP($B134,INDIRECT($B$5&amp;"生成成长"),3))*(VLOOKUP($B$5,标准坦克设计!$B$14:$K$20,9)/30))</f>
        <v>18.701542576284286</v>
      </c>
      <c r="CF134" s="172">
        <f ca="1">(VLOOKUP(CF$72,INDIRECT($C$5&amp;"生成成长"),2))/((VLOOKUP($B134,INDIRECT($B$5&amp;"生成成长"),4))/(VLOOKUP(CF$72,INDIRECT($C$5&amp;"生成成长"),5))*(VLOOKUP($B$5,标准坦克设计!$B$24:$U$30,MATCH("对"&amp;LEFT($C$5,2)&amp;"输出",标准坦克设计!$B$23:$U$23,0)))*(VLOOKUP($B134,INDIRECT($B$5&amp;"生成成长"),3))*(VLOOKUP($B$5,标准坦克设计!$B$14:$K$20,9)/30))</f>
        <v>20.128640608448947</v>
      </c>
      <c r="CG134" s="172">
        <f ca="1">(VLOOKUP(CG$72,INDIRECT($C$5&amp;"生成成长"),2))/((VLOOKUP($B134,INDIRECT($B$5&amp;"生成成长"),4))/(VLOOKUP(CG$72,INDIRECT($C$5&amp;"生成成长"),5))*(VLOOKUP($B$5,标准坦克设计!$B$24:$U$30,MATCH("对"&amp;LEFT($C$5,2)&amp;"输出",标准坦克设计!$B$23:$U$23,0)))*(VLOOKUP($B134,INDIRECT($B$5&amp;"生成成长"),3))*(VLOOKUP($B$5,标准坦克设计!$B$14:$K$20,9)/30))</f>
        <v>21.608205480031426</v>
      </c>
      <c r="CH134" s="172">
        <f ca="1">(VLOOKUP(CH$72,INDIRECT($C$5&amp;"生成成长"),2))/((VLOOKUP($B134,INDIRECT($B$5&amp;"生成成长"),4))/(VLOOKUP(CH$72,INDIRECT($C$5&amp;"生成成长"),5))*(VLOOKUP($B$5,标准坦克设计!$B$24:$U$30,MATCH("对"&amp;LEFT($C$5,2)&amp;"输出",标准坦克设计!$B$23:$U$23,0)))*(VLOOKUP($B134,INDIRECT($B$5&amp;"生成成长"),3))*(VLOOKUP($B$5,标准坦克设计!$B$14:$K$20,9)/30))</f>
        <v>23.140237191031723</v>
      </c>
      <c r="CI134" s="172">
        <f ca="1">(VLOOKUP(CI$72,INDIRECT($C$5&amp;"生成成长"),2))/((VLOOKUP($B134,INDIRECT($B$5&amp;"生成成长"),4))/(VLOOKUP(CI$72,INDIRECT($C$5&amp;"生成成长"),5))*(VLOOKUP($B$5,标准坦克设计!$B$24:$U$30,MATCH("对"&amp;LEFT($C$5,2)&amp;"输出",标准坦克设计!$B$23:$U$23,0)))*(VLOOKUP($B134,INDIRECT($B$5&amp;"生成成长"),3))*(VLOOKUP($B$5,标准坦克设计!$B$14:$K$20,9)/30))</f>
        <v>24.886071272659628</v>
      </c>
      <c r="CJ134" s="172">
        <f ca="1">(VLOOKUP(CJ$72,INDIRECT($C$5&amp;"生成成长"),2))/((VLOOKUP($B134,INDIRECT($B$5&amp;"生成成长"),4))/(VLOOKUP(CJ$72,INDIRECT($C$5&amp;"生成成长"),5))*(VLOOKUP($B$5,标准坦克设计!$B$24:$U$30,MATCH("对"&amp;LEFT($C$5,2)&amp;"输出",标准坦克设计!$B$23:$U$23,0)))*(VLOOKUP($B134,INDIRECT($B$5&amp;"生成成长"),3))*(VLOOKUP($B$5,标准坦克设计!$B$14:$K$20,9)/30))</f>
        <v>26.695390229983104</v>
      </c>
      <c r="CK134" s="172">
        <f ca="1">(VLOOKUP(CK$72,INDIRECT($C$5&amp;"生成成长"),2))/((VLOOKUP($B134,INDIRECT($B$5&amp;"生成成长"),4))/(VLOOKUP(CK$72,INDIRECT($C$5&amp;"生成成长"),5))*(VLOOKUP($B$5,标准坦克设计!$B$24:$U$30,MATCH("对"&amp;LEFT($C$5,2)&amp;"输出",标准坦克设计!$B$23:$U$23,0)))*(VLOOKUP($B134,INDIRECT($B$5&amp;"生成成长"),3))*(VLOOKUP($B$5,标准坦克设计!$B$14:$K$20,9)/30))</f>
        <v>28.568194063002132</v>
      </c>
      <c r="CL134" s="172">
        <f ca="1">(VLOOKUP(CL$72,INDIRECT($C$5&amp;"生成成长"),2))/((VLOOKUP($B134,INDIRECT($B$5&amp;"生成成长"),4))/(VLOOKUP(CL$72,INDIRECT($C$5&amp;"生成成长"),5))*(VLOOKUP($B$5,标准坦克设计!$B$24:$U$30,MATCH("对"&amp;LEFT($C$5,2)&amp;"输出",标准坦克设计!$B$23:$U$23,0)))*(VLOOKUP($B134,INDIRECT($B$5&amp;"生成成长"),3))*(VLOOKUP($B$5,标准坦克设计!$B$14:$K$20,9)/30))</f>
        <v>30.504482771716717</v>
      </c>
      <c r="CM134" s="172">
        <f ca="1">(VLOOKUP(CM$72,INDIRECT($C$5&amp;"生成成长"),2))/((VLOOKUP($B134,INDIRECT($B$5&amp;"生成成长"),4))/(VLOOKUP(CM$72,INDIRECT($C$5&amp;"生成成长"),5))*(VLOOKUP($B$5,标准坦克设计!$B$24:$U$30,MATCH("对"&amp;LEFT($C$5,2)&amp;"输出",标准坦克设计!$B$23:$U$23,0)))*(VLOOKUP($B134,INDIRECT($B$5&amp;"生成成长"),3))*(VLOOKUP($B$5,标准坦克设计!$B$14:$K$20,9)/30))</f>
        <v>32.504256356126859</v>
      </c>
      <c r="CN134" s="172">
        <f ca="1">(VLOOKUP(CN$72,INDIRECT($C$5&amp;"生成成长"),2))/((VLOOKUP($B134,INDIRECT($B$5&amp;"生成成长"),4))/(VLOOKUP(CN$72,INDIRECT($C$5&amp;"生成成长"),5))*(VLOOKUP($B$5,标准坦克设计!$B$24:$U$30,MATCH("对"&amp;LEFT($C$5,2)&amp;"输出",标准坦克设计!$B$23:$U$23,0)))*(VLOOKUP($B134,INDIRECT($B$5&amp;"生成成长"),3))*(VLOOKUP($B$5,标准坦克设计!$B$14:$K$20,9)/30))</f>
        <v>34.567514816232581</v>
      </c>
      <c r="CO134" s="172">
        <f ca="1">(VLOOKUP(CO$72,INDIRECT($C$5&amp;"生成成长"),2))/((VLOOKUP($B134,INDIRECT($B$5&amp;"生成成长"),4))/(VLOOKUP(CO$72,INDIRECT($C$5&amp;"生成成长"),5))*(VLOOKUP($B$5,标准坦克设计!$B$24:$U$30,MATCH("对"&amp;LEFT($C$5,2)&amp;"输出",标准坦克设计!$B$23:$U$23,0)))*(VLOOKUP($B134,INDIRECT($B$5&amp;"生成成长"),3))*(VLOOKUP($B$5,标准坦克设计!$B$14:$K$20,9)/30))</f>
        <v>15.490572003913798</v>
      </c>
      <c r="CP134" s="172">
        <f ca="1">(VLOOKUP(CP$72,INDIRECT($C$5&amp;"生成成长"),2))/((VLOOKUP($B134,INDIRECT($B$5&amp;"生成成长"),4))/(VLOOKUP(CP$72,INDIRECT($C$5&amp;"生成成长"),5))*(VLOOKUP($B$5,标准坦克设计!$B$24:$U$30,MATCH("对"&amp;LEFT($C$5,2)&amp;"输出",标准坦克设计!$B$23:$U$23,0)))*(VLOOKUP($B134,INDIRECT($B$5&amp;"生成成长"),3))*(VLOOKUP($B$5,标准坦克设计!$B$14:$K$20,9)/30))</f>
        <v>16.924753059399865</v>
      </c>
      <c r="CQ134" s="172">
        <f ca="1">(VLOOKUP(CQ$72,INDIRECT($C$5&amp;"生成成长"),2))/((VLOOKUP($B134,INDIRECT($B$5&amp;"生成成长"),4))/(VLOOKUP(CQ$72,INDIRECT($C$5&amp;"生成成长"),5))*(VLOOKUP($B$5,标准坦克设计!$B$24:$U$30,MATCH("对"&amp;LEFT($C$5,2)&amp;"输出",标准坦克设计!$B$23:$U$23,0)))*(VLOOKUP($B134,INDIRECT($B$5&amp;"生成成长"),3))*(VLOOKUP($B$5,标准坦克设计!$B$14:$K$20,9)/30))</f>
        <v>18.422418990581491</v>
      </c>
      <c r="CR134" s="172">
        <f ca="1">(VLOOKUP(CR$72,INDIRECT($C$5&amp;"生成成长"),2))/((VLOOKUP($B134,INDIRECT($B$5&amp;"生成成长"),4))/(VLOOKUP(CR$72,INDIRECT($C$5&amp;"生成成长"),5))*(VLOOKUP($B$5,标准坦克设计!$B$24:$U$30,MATCH("对"&amp;LEFT($C$5,2)&amp;"输出",标准坦克设计!$B$23:$U$23,0)))*(VLOOKUP($B134,INDIRECT($B$5&amp;"生成成长"),3))*(VLOOKUP($B$5,标准坦克设计!$B$14:$K$20,9)/30))</f>
        <v>19.983569797458674</v>
      </c>
      <c r="CS134" s="172">
        <f ca="1">(VLOOKUP(CS$72,INDIRECT($C$5&amp;"生成成长"),2))/((VLOOKUP($B134,INDIRECT($B$5&amp;"生成成长"),4))/(VLOOKUP(CS$72,INDIRECT($C$5&amp;"生成成长"),5))*(VLOOKUP($B$5,标准坦克设计!$B$24:$U$30,MATCH("对"&amp;LEFT($C$5,2)&amp;"输出",标准坦克设计!$B$23:$U$23,0)))*(VLOOKUP($B134,INDIRECT($B$5&amp;"生成成长"),3))*(VLOOKUP($B$5,标准坦克设计!$B$14:$K$20,9)/30))</f>
        <v>21.608205480031426</v>
      </c>
      <c r="CT134" s="172">
        <f ca="1">(VLOOKUP(CT$72,INDIRECT($C$5&amp;"生成成长"),2))/((VLOOKUP($B134,INDIRECT($B$5&amp;"生成成长"),4))/(VLOOKUP(CT$72,INDIRECT($C$5&amp;"生成成长"),5))*(VLOOKUP($B$5,标准坦克设计!$B$24:$U$30,MATCH("对"&amp;LEFT($C$5,2)&amp;"输出",标准坦克设计!$B$23:$U$23,0)))*(VLOOKUP($B134,INDIRECT($B$5&amp;"生成成长"),3))*(VLOOKUP($B$5,标准坦克设计!$B$14:$K$20,9)/30))</f>
        <v>23.296326038299735</v>
      </c>
      <c r="CU134" s="172">
        <f ca="1">(VLOOKUP(CU$72,INDIRECT($C$5&amp;"生成成长"),2))/((VLOOKUP($B134,INDIRECT($B$5&amp;"生成成长"),4))/(VLOOKUP(CU$72,INDIRECT($C$5&amp;"生成成长"),5))*(VLOOKUP($B$5,标准坦克设计!$B$24:$U$30,MATCH("对"&amp;LEFT($C$5,2)&amp;"输出",标准坦克设计!$B$23:$U$23,0)))*(VLOOKUP($B134,INDIRECT($B$5&amp;"生成成长"),3))*(VLOOKUP($B$5,标准坦克设计!$B$14:$K$20,9)/30))</f>
        <v>25.047931472263606</v>
      </c>
      <c r="CV134" s="172">
        <f ca="1">(VLOOKUP(CV$72,INDIRECT($C$5&amp;"生成成长"),2))/((VLOOKUP($B134,INDIRECT($B$5&amp;"生成成长"),4))/(VLOOKUP(CV$72,INDIRECT($C$5&amp;"生成成长"),5))*(VLOOKUP($B$5,标准坦克设计!$B$24:$U$30,MATCH("对"&amp;LEFT($C$5,2)&amp;"输出",标准坦克设计!$B$23:$U$23,0)))*(VLOOKUP($B134,INDIRECT($B$5&amp;"生成成长"),3))*(VLOOKUP($B$5,标准坦克设计!$B$14:$K$20,9)/30))</f>
        <v>26.863021781923027</v>
      </c>
      <c r="CW134" s="172">
        <f ca="1">(VLOOKUP(CW$72,INDIRECT($C$5&amp;"生成成长"),2))/((VLOOKUP($B134,INDIRECT($B$5&amp;"生成成长"),4))/(VLOOKUP(CW$72,INDIRECT($C$5&amp;"生成成长"),5))*(VLOOKUP($B$5,标准坦克设计!$B$24:$U$30,MATCH("对"&amp;LEFT($C$5,2)&amp;"输出",标准坦克设计!$B$23:$U$23,0)))*(VLOOKUP($B134,INDIRECT($B$5&amp;"生成成长"),3))*(VLOOKUP($B$5,标准坦克设计!$B$14:$K$20,9)/30))</f>
        <v>28.741596967278021</v>
      </c>
      <c r="CX134" s="172">
        <f ca="1">(VLOOKUP(CX$72,INDIRECT($C$5&amp;"生成成长"),2))/((VLOOKUP($B134,INDIRECT($B$5&amp;"生成成长"),4))/(VLOOKUP(CX$72,INDIRECT($C$5&amp;"生成成长"),5))*(VLOOKUP($B$5,标准坦克设计!$B$24:$U$30,MATCH("对"&amp;LEFT($C$5,2)&amp;"输出",标准坦克设计!$B$23:$U$23,0)))*(VLOOKUP($B134,INDIRECT($B$5&amp;"生成成长"),3))*(VLOOKUP($B$5,标准坦克设计!$B$14:$K$20,9)/30))</f>
        <v>30.683657028328565</v>
      </c>
      <c r="CY134" s="172">
        <f ca="1">(VLOOKUP(CY$72,INDIRECT($C$5&amp;"生成成长"),2))/((VLOOKUP($B134,INDIRECT($B$5&amp;"生成成长"),4))/(VLOOKUP(CY$72,INDIRECT($C$5&amp;"生成成长"),5))*(VLOOKUP($B$5,标准坦克设计!$B$24:$U$30,MATCH("对"&amp;LEFT($C$5,2)&amp;"输出",标准坦克设计!$B$23:$U$23,0)))*(VLOOKUP($B134,INDIRECT($B$5&amp;"生成成长"),3))*(VLOOKUP($B$5,标准坦克设计!$B$14:$K$20,9)/30))</f>
        <v>32.689201965074673</v>
      </c>
      <c r="CZ134" s="172">
        <f ca="1">(VLOOKUP(CZ$72,INDIRECT($C$5&amp;"生成成长"),2))/((VLOOKUP($B134,INDIRECT($B$5&amp;"生成成长"),4))/(VLOOKUP(CZ$72,INDIRECT($C$5&amp;"生成成长"),5))*(VLOOKUP($B$5,标准坦克设计!$B$24:$U$30,MATCH("对"&amp;LEFT($C$5,2)&amp;"输出",标准坦克设计!$B$23:$U$23,0)))*(VLOOKUP($B134,INDIRECT($B$5&amp;"生成成长"),3))*(VLOOKUP($B$5,标准坦克设计!$B$14:$K$20,9)/30))</f>
        <v>34.75823177751635</v>
      </c>
      <c r="DA134" s="172">
        <f ca="1">(VLOOKUP(DA$72,INDIRECT($C$5&amp;"生成成长"),2))/((VLOOKUP($B134,INDIRECT($B$5&amp;"生成成长"),4))/(VLOOKUP(DA$72,INDIRECT($C$5&amp;"生成成长"),5))*(VLOOKUP($B$5,标准坦克设计!$B$24:$U$30,MATCH("对"&amp;LEFT($C$5,2)&amp;"输出",标准坦克设计!$B$23:$U$23,0)))*(VLOOKUP($B134,INDIRECT($B$5&amp;"生成成长"),3))*(VLOOKUP($B$5,标准坦克设计!$B$14:$K$20,9)/30))</f>
        <v>36.890746465653578</v>
      </c>
      <c r="DB134" s="172">
        <f ca="1">(VLOOKUP(DB$72,INDIRECT($C$5&amp;"生成成长"),2))/((VLOOKUP($B134,INDIRECT($B$5&amp;"生成成长"),4))/(VLOOKUP(DB$72,INDIRECT($C$5&amp;"生成成长"),5))*(VLOOKUP($B$5,标准坦克设计!$B$24:$U$30,MATCH("对"&amp;LEFT($C$5,2)&amp;"输出",标准坦克设计!$B$23:$U$23,0)))*(VLOOKUP($B134,INDIRECT($B$5&amp;"生成成长"),3))*(VLOOKUP($B$5,标准坦克设计!$B$14:$K$20,9)/30))</f>
        <v>39.086746029486363</v>
      </c>
      <c r="DC134" s="172">
        <f ca="1">(VLOOKUP(DC$72,INDIRECT($C$5&amp;"生成成长"),2))/((VLOOKUP($B134,INDIRECT($B$5&amp;"生成成长"),4))/(VLOOKUP(DC$72,INDIRECT($C$5&amp;"生成成长"),5))*(VLOOKUP($B$5,标准坦克设计!$B$24:$U$30,MATCH("对"&amp;LEFT($C$5,2)&amp;"输出",标准坦克设计!$B$23:$U$23,0)))*(VLOOKUP($B134,INDIRECT($B$5&amp;"生成成长"),3))*(VLOOKUP($B$5,标准坦克设计!$B$14:$K$20,9)/30))</f>
        <v>41.554786155700555</v>
      </c>
      <c r="DD134" s="172">
        <f ca="1">(VLOOKUP(DD$72,INDIRECT($C$5&amp;"生成成长"),2))/((VLOOKUP($B134,INDIRECT($B$5&amp;"生成成长"),4))/(VLOOKUP(DD$72,INDIRECT($C$5&amp;"生成成长"),5))*(VLOOKUP($B$5,标准坦克设计!$B$24:$U$30,MATCH("对"&amp;LEFT($C$5,2)&amp;"输出",标准坦克设计!$B$23:$U$23,0)))*(VLOOKUP($B134,INDIRECT($B$5&amp;"生成成长"),3))*(VLOOKUP($B$5,标准坦克设计!$B$14:$K$20,9)/30))</f>
        <v>44.098378530676371</v>
      </c>
      <c r="DE134" s="172">
        <f ca="1">(VLOOKUP(DE$72,INDIRECT($C$5&amp;"生成成长"),2))/((VLOOKUP($B134,INDIRECT($B$5&amp;"生成成长"),4))/(VLOOKUP(DE$72,INDIRECT($C$5&amp;"生成成长"),5))*(VLOOKUP($B$5,标准坦克设计!$B$24:$U$30,MATCH("对"&amp;LEFT($C$5,2)&amp;"输出",标准坦克设计!$B$23:$U$23,0)))*(VLOOKUP($B134,INDIRECT($B$5&amp;"生成成长"),3))*(VLOOKUP($B$5,标准坦克设计!$B$14:$K$20,9)/30))</f>
        <v>46.717523154413882</v>
      </c>
      <c r="DF134" s="172">
        <f ca="1">(VLOOKUP(DF$72,INDIRECT($C$5&amp;"生成成长"),2))/((VLOOKUP($B134,INDIRECT($B$5&amp;"生成成长"),4))/(VLOOKUP(DF$72,INDIRECT($C$5&amp;"生成成长"),5))*(VLOOKUP($B$5,标准坦克设计!$B$24:$U$30,MATCH("对"&amp;LEFT($C$5,2)&amp;"输出",标准坦克设计!$B$23:$U$23,0)))*(VLOOKUP($B134,INDIRECT($B$5&amp;"生成成长"),3))*(VLOOKUP($B$5,标准坦克设计!$B$14:$K$20,9)/30))</f>
        <v>49.412220026913033</v>
      </c>
      <c r="DG134" s="172">
        <f ca="1">(VLOOKUP(DG$72,INDIRECT($C$5&amp;"生成成长"),2))/((VLOOKUP($B134,INDIRECT($B$5&amp;"生成成长"),4))/(VLOOKUP(DG$72,INDIRECT($C$5&amp;"生成成长"),5))*(VLOOKUP($B$5,标准坦克设计!$B$24:$U$30,MATCH("对"&amp;LEFT($C$5,2)&amp;"输出",标准坦克设计!$B$23:$U$23,0)))*(VLOOKUP($B134,INDIRECT($B$5&amp;"生成成长"),3))*(VLOOKUP($B$5,标准坦克设计!$B$14:$K$20,9)/30))</f>
        <v>52.182469148173844</v>
      </c>
      <c r="DH134" s="172">
        <f ca="1">(VLOOKUP(DH$72,INDIRECT($C$5&amp;"生成成长"),2))/((VLOOKUP($B134,INDIRECT($B$5&amp;"生成成长"),4))/(VLOOKUP(DH$72,INDIRECT($C$5&amp;"生成成长"),5))*(VLOOKUP($B$5,标准坦克设计!$B$24:$U$30,MATCH("对"&amp;LEFT($C$5,2)&amp;"输出",标准坦克设计!$B$23:$U$23,0)))*(VLOOKUP($B134,INDIRECT($B$5&amp;"生成成长"),3))*(VLOOKUP($B$5,标准坦克设计!$B$14:$K$20,9)/30))</f>
        <v>55.028270518196315</v>
      </c>
      <c r="DI134" s="172">
        <f ca="1">(VLOOKUP(DI$72,INDIRECT($C$5&amp;"生成成长"),2))/((VLOOKUP($B134,INDIRECT($B$5&amp;"生成成长"),4))/(VLOOKUP(DI$72,INDIRECT($C$5&amp;"生成成长"),5))*(VLOOKUP($B$5,标准坦克设计!$B$24:$U$30,MATCH("对"&amp;LEFT($C$5,2)&amp;"输出",标准坦克设计!$B$23:$U$23,0)))*(VLOOKUP($B134,INDIRECT($B$5&amp;"生成成长"),3))*(VLOOKUP($B$5,标准坦克设计!$B$14:$K$20,9)/30))</f>
        <v>57.949624136980439</v>
      </c>
      <c r="DJ134" s="172">
        <f ca="1">(VLOOKUP(DJ$72,INDIRECT($C$5&amp;"生成成长"),2))/((VLOOKUP($B134,INDIRECT($B$5&amp;"生成成长"),4))/(VLOOKUP(DJ$72,INDIRECT($C$5&amp;"生成成长"),5))*(VLOOKUP($B$5,标准坦克设计!$B$24:$U$30,MATCH("对"&amp;LEFT($C$5,2)&amp;"输出",标准坦克设计!$B$23:$U$23,0)))*(VLOOKUP($B134,INDIRECT($B$5&amp;"生成成长"),3))*(VLOOKUP($B$5,标准坦克设计!$B$14:$K$20,9)/30))</f>
        <v>5.8240815095749339</v>
      </c>
      <c r="DK134" s="172">
        <f ca="1">(VLOOKUP(DK$72,INDIRECT($C$5&amp;"生成成长"),2))/((VLOOKUP($B134,INDIRECT($B$5&amp;"生成成长"),4))/(VLOOKUP(DK$72,INDIRECT($C$5&amp;"生成成长"),5))*(VLOOKUP($B$5,标准坦克设计!$B$24:$U$30,MATCH("对"&amp;LEFT($C$5,2)&amp;"输出",标准坦克设计!$B$23:$U$23,0)))*(VLOOKUP($B134,INDIRECT($B$5&amp;"生成成长"),3))*(VLOOKUP($B$5,标准坦克设计!$B$14:$K$20,9)/30))</f>
        <v>6.5489108961320959</v>
      </c>
      <c r="DL134" s="172">
        <f ca="1">(VLOOKUP(DL$72,INDIRECT($C$5&amp;"生成成长"),2))/((VLOOKUP($B134,INDIRECT($B$5&amp;"生成成长"),4))/(VLOOKUP(DL$72,INDIRECT($C$5&amp;"生成成长"),5))*(VLOOKUP($B$5,标准坦克设计!$B$24:$U$30,MATCH("对"&amp;LEFT($C$5,2)&amp;"输出",标准坦克设计!$B$23:$U$23,0)))*(VLOOKUP($B134,INDIRECT($B$5&amp;"生成成长"),3))*(VLOOKUP($B$5,标准坦克设计!$B$14:$K$20,9)/30))</f>
        <v>7.3162384226176904</v>
      </c>
      <c r="DM134" s="172">
        <f ca="1">(VLOOKUP(DM$72,INDIRECT($C$5&amp;"生成成长"),2))/((VLOOKUP($B134,INDIRECT($B$5&amp;"生成成长"),4))/(VLOOKUP(DM$72,INDIRECT($C$5&amp;"生成成长"),5))*(VLOOKUP($B$5,标准坦克设计!$B$24:$U$30,MATCH("对"&amp;LEFT($C$5,2)&amp;"输出",标准坦克设计!$B$23:$U$23,0)))*(VLOOKUP($B134,INDIRECT($B$5&amp;"生成成长"),3))*(VLOOKUP($B$5,标准坦克设计!$B$14:$K$20,9)/30))</f>
        <v>8.1260640890317148</v>
      </c>
      <c r="DN134" s="172">
        <f ca="1">(VLOOKUP(DN$72,INDIRECT($C$5&amp;"生成成长"),2))/((VLOOKUP($B134,INDIRECT($B$5&amp;"生成成长"),4))/(VLOOKUP(DN$72,INDIRECT($C$5&amp;"生成成长"),5))*(VLOOKUP($B$5,标准坦克设计!$B$24:$U$30,MATCH("对"&amp;LEFT($C$5,2)&amp;"输出",标准坦克设计!$B$23:$U$23,0)))*(VLOOKUP($B134,INDIRECT($B$5&amp;"生成成长"),3))*(VLOOKUP($B$5,标准坦克设计!$B$14:$K$20,9)/30))</f>
        <v>8.978387895374178</v>
      </c>
      <c r="DO134" s="172">
        <f ca="1">(VLOOKUP(DO$72,INDIRECT($C$5&amp;"生成成长"),2))/((VLOOKUP($B134,INDIRECT($B$5&amp;"生成成长"),4))/(VLOOKUP(DO$72,INDIRECT($C$5&amp;"生成成长"),5))*(VLOOKUP($B$5,标准坦克设计!$B$24:$U$30,MATCH("对"&amp;LEFT($C$5,2)&amp;"输出",标准坦克设计!$B$23:$U$23,0)))*(VLOOKUP($B134,INDIRECT($B$5&amp;"生成成长"),3))*(VLOOKUP($B$5,标准坦克设计!$B$14:$K$20,9)/30))</f>
        <v>9.8732098416450693</v>
      </c>
      <c r="DP134" s="172">
        <f ca="1">(VLOOKUP(DP$72,INDIRECT($C$5&amp;"生成成长"),2))/((VLOOKUP($B134,INDIRECT($B$5&amp;"生成成长"),4))/(VLOOKUP(DP$72,INDIRECT($C$5&amp;"生成成长"),5))*(VLOOKUP($B$5,标准坦克设计!$B$24:$U$30,MATCH("对"&amp;LEFT($C$5,2)&amp;"输出",标准坦克设计!$B$23:$U$23,0)))*(VLOOKUP($B134,INDIRECT($B$5&amp;"生成成长"),3))*(VLOOKUP($B$5,标准坦克设计!$B$14:$K$20,9)/30))</f>
        <v>10.810529927844396</v>
      </c>
      <c r="DQ134" s="172">
        <f ca="1">(VLOOKUP(DQ$72,INDIRECT($C$5&amp;"生成成长"),2))/((VLOOKUP($B134,INDIRECT($B$5&amp;"生成成长"),4))/(VLOOKUP(DQ$72,INDIRECT($C$5&amp;"生成成长"),5))*(VLOOKUP($B$5,标准坦克设计!$B$24:$U$30,MATCH("对"&amp;LEFT($C$5,2)&amp;"输出",标准坦克设计!$B$23:$U$23,0)))*(VLOOKUP($B134,INDIRECT($B$5&amp;"生成成长"),3))*(VLOOKUP($B$5,标准坦克设计!$B$14:$K$20,9)/30))</f>
        <v>11.790348153972154</v>
      </c>
      <c r="DR134" s="172">
        <f ca="1">(VLOOKUP(DR$72,INDIRECT($C$5&amp;"生成成长"),2))/((VLOOKUP($B134,INDIRECT($B$5&amp;"生成成长"),4))/(VLOOKUP(DR$72,INDIRECT($C$5&amp;"生成成长"),5))*(VLOOKUP($B$5,标准坦克设计!$B$24:$U$30,MATCH("对"&amp;LEFT($C$5,2)&amp;"输出",标准坦克设计!$B$23:$U$23,0)))*(VLOOKUP($B134,INDIRECT($B$5&amp;"生成成长"),3))*(VLOOKUP($B$5,标准坦克设计!$B$14:$K$20,9)/30))</f>
        <v>12.812664520028346</v>
      </c>
      <c r="DS134" s="172">
        <f ca="1">(VLOOKUP(DS$72,INDIRECT($C$5&amp;"生成成长"),2))/((VLOOKUP($B134,INDIRECT($B$5&amp;"生成成长"),4))/(VLOOKUP(DS$72,INDIRECT($C$5&amp;"生成成长"),5))*(VLOOKUP($B$5,标准坦克设计!$B$24:$U$30,MATCH("对"&amp;LEFT($C$5,2)&amp;"输出",标准坦克设计!$B$23:$U$23,0)))*(VLOOKUP($B134,INDIRECT($B$5&amp;"生成成长"),3))*(VLOOKUP($B$5,标准坦克设计!$B$14:$K$20,9)/30))</f>
        <v>13.877479026012971</v>
      </c>
      <c r="DT134" s="172">
        <f ca="1">(VLOOKUP(DT$72,INDIRECT($C$5&amp;"生成成长"),2))/((VLOOKUP($B134,INDIRECT($B$5&amp;"生成成长"),4))/(VLOOKUP(DT$72,INDIRECT($C$5&amp;"生成成长"),5))*(VLOOKUP($B$5,标准坦克设计!$B$24:$U$30,MATCH("对"&amp;LEFT($C$5,2)&amp;"输出",标准坦克设计!$B$23:$U$23,0)))*(VLOOKUP($B134,INDIRECT($B$5&amp;"生成成长"),3))*(VLOOKUP($B$5,标准坦克设计!$B$14:$K$20,9)/30))</f>
        <v>15.23663250113156</v>
      </c>
      <c r="DU134" s="172">
        <f ca="1">(VLOOKUP(DU$72,INDIRECT($C$5&amp;"生成成长"),2))/((VLOOKUP($B134,INDIRECT($B$5&amp;"生成成长"),4))/(VLOOKUP(DU$72,INDIRECT($C$5&amp;"生成成长"),5))*(VLOOKUP($B$5,标准坦克设计!$B$24:$U$30,MATCH("对"&amp;LEFT($C$5,2)&amp;"输出",标准坦克设计!$B$23:$U$23,0)))*(VLOOKUP($B134,INDIRECT($B$5&amp;"生成成长"),3))*(VLOOKUP($B$5,标准坦克设计!$B$14:$K$20,9)/30))</f>
        <v>16.659270851945706</v>
      </c>
      <c r="DV134" s="172">
        <f ca="1">(VLOOKUP(DV$72,INDIRECT($C$5&amp;"生成成长"),2))/((VLOOKUP($B134,INDIRECT($B$5&amp;"生成成长"),4))/(VLOOKUP(DV$72,INDIRECT($C$5&amp;"生成成长"),5))*(VLOOKUP($B$5,标准坦克设计!$B$24:$U$30,MATCH("对"&amp;LEFT($C$5,2)&amp;"输出",标准坦克设计!$B$23:$U$23,0)))*(VLOOKUP($B134,INDIRECT($B$5&amp;"生成成长"),3))*(VLOOKUP($B$5,标准坦克设计!$B$14:$K$20,9)/30))</f>
        <v>18.145394078455407</v>
      </c>
      <c r="DW134" s="172">
        <f ca="1">(VLOOKUP(DW$72,INDIRECT($C$5&amp;"生成成长"),2))/((VLOOKUP($B134,INDIRECT($B$5&amp;"生成成长"),4))/(VLOOKUP(DW$72,INDIRECT($C$5&amp;"生成成长"),5))*(VLOOKUP($B$5,标准坦克设计!$B$24:$U$30,MATCH("对"&amp;LEFT($C$5,2)&amp;"输出",标准坦克设计!$B$23:$U$23,0)))*(VLOOKUP($B134,INDIRECT($B$5&amp;"生成成长"),3))*(VLOOKUP($B$5,标准坦克设计!$B$14:$K$20,9)/30))</f>
        <v>19.69500218066068</v>
      </c>
      <c r="DX134" s="172">
        <f ca="1">(VLOOKUP(DX$72,INDIRECT($C$5&amp;"生成成长"),2))/((VLOOKUP($B134,INDIRECT($B$5&amp;"生成成长"),4))/(VLOOKUP(DX$72,INDIRECT($C$5&amp;"生成成长"),5))*(VLOOKUP($B$5,标准坦克设计!$B$24:$U$30,MATCH("对"&amp;LEFT($C$5,2)&amp;"输出",标准坦克设计!$B$23:$U$23,0)))*(VLOOKUP($B134,INDIRECT($B$5&amp;"生成成长"),3))*(VLOOKUP($B$5,标准坦克设计!$B$14:$K$20,9)/30))</f>
        <v>21.308095158561507</v>
      </c>
      <c r="DY134" s="172">
        <f ca="1">(VLOOKUP(DY$72,INDIRECT($C$5&amp;"生成成长"),2))/((VLOOKUP($B134,INDIRECT($B$5&amp;"生成成长"),4))/(VLOOKUP(DY$72,INDIRECT($C$5&amp;"生成成长"),5))*(VLOOKUP($B$5,标准坦克设计!$B$24:$U$30,MATCH("对"&amp;LEFT($C$5,2)&amp;"输出",标准坦克设计!$B$23:$U$23,0)))*(VLOOKUP($B134,INDIRECT($B$5&amp;"生成成长"),3))*(VLOOKUP($B$5,标准坦克设计!$B$14:$K$20,9)/30))</f>
        <v>9.5702138440071689</v>
      </c>
      <c r="DZ134" s="172">
        <f ca="1">(VLOOKUP(DZ$72,INDIRECT($C$5&amp;"生成成长"),2))/((VLOOKUP($B134,INDIRECT($B$5&amp;"生成成长"),4))/(VLOOKUP(DZ$72,INDIRECT($C$5&amp;"生成成长"),5))*(VLOOKUP($B$5,标准坦克设计!$B$24:$U$30,MATCH("对"&amp;LEFT($C$5,2)&amp;"输出",标准坦克设计!$B$23:$U$23,0)))*(VLOOKUP($B134,INDIRECT($B$5&amp;"生成成长"),3))*(VLOOKUP($B$5,标准坦克设计!$B$14:$K$20,9)/30))</f>
        <v>10.59856389659641</v>
      </c>
      <c r="EA134" s="172">
        <f ca="1">(VLOOKUP(EA$72,INDIRECT($C$5&amp;"生成成长"),2))/((VLOOKUP($B134,INDIRECT($B$5&amp;"生成成长"),4))/(VLOOKUP(EA$72,INDIRECT($C$5&amp;"生成成长"),5))*(VLOOKUP($B$5,标准坦克设计!$B$24:$U$30,MATCH("对"&amp;LEFT($C$5,2)&amp;"输出",标准坦克设计!$B$23:$U$23,0)))*(VLOOKUP($B134,INDIRECT($B$5&amp;"生成成长"),3))*(VLOOKUP($B$5,标准坦克设计!$B$14:$K$20,9)/30))</f>
        <v>11.679380788603471</v>
      </c>
      <c r="EB134" s="172">
        <f ca="1">(VLOOKUP(EB$72,INDIRECT($C$5&amp;"生成成长"),2))/((VLOOKUP($B134,INDIRECT($B$5&amp;"生成成长"),4))/(VLOOKUP(EB$72,INDIRECT($C$5&amp;"生成成长"),5))*(VLOOKUP($B$5,标准坦克设计!$B$24:$U$30,MATCH("对"&amp;LEFT($C$5,2)&amp;"输出",标准坦克设计!$B$23:$U$23,0)))*(VLOOKUP($B134,INDIRECT($B$5&amp;"生成成长"),3))*(VLOOKUP($B$5,标准坦克设计!$B$14:$K$20,9)/30))</f>
        <v>12.812664520028346</v>
      </c>
      <c r="EC134" s="172">
        <f ca="1">(VLOOKUP(EC$72,INDIRECT($C$5&amp;"生成成长"),2))/((VLOOKUP($B134,INDIRECT($B$5&amp;"生成成长"),4))/(VLOOKUP(EC$72,INDIRECT($C$5&amp;"生成成长"),5))*(VLOOKUP($B$5,标准坦克设计!$B$24:$U$30,MATCH("对"&amp;LEFT($C$5,2)&amp;"输出",标准坦克设计!$B$23:$U$23,0)))*(VLOOKUP($B134,INDIRECT($B$5&amp;"生成成长"),3))*(VLOOKUP($B$5,标准坦克设计!$B$14:$K$20,9)/30))</f>
        <v>13.998415090871044</v>
      </c>
      <c r="ED134" s="172">
        <f ca="1">(VLOOKUP(ED$72,INDIRECT($C$5&amp;"生成成长"),2))/((VLOOKUP($B134,INDIRECT($B$5&amp;"生成成长"),4))/(VLOOKUP(ED$72,INDIRECT($C$5&amp;"生成成长"),5))*(VLOOKUP($B$5,标准坦克设计!$B$24:$U$30,MATCH("对"&amp;LEFT($C$5,2)&amp;"输出",标准坦克设计!$B$23:$U$23,0)))*(VLOOKUP($B134,INDIRECT($B$5&amp;"生成成长"),3))*(VLOOKUP($B$5,标准坦克设计!$B$14:$K$20,9)/30))</f>
        <v>15.23663250113156</v>
      </c>
      <c r="EE134" s="172">
        <f ca="1">(VLOOKUP(EE$72,INDIRECT($C$5&amp;"生成成长"),2))/((VLOOKUP($B134,INDIRECT($B$5&amp;"生成成长"),4))/(VLOOKUP(EE$72,INDIRECT($C$5&amp;"生成成长"),5))*(VLOOKUP($B$5,标准坦克设计!$B$24:$U$30,MATCH("对"&amp;LEFT($C$5,2)&amp;"输出",标准坦克设计!$B$23:$U$23,0)))*(VLOOKUP($B134,INDIRECT($B$5&amp;"生成成长"),3))*(VLOOKUP($B$5,标准坦克设计!$B$14:$K$20,9)/30))</f>
        <v>16.527316750809891</v>
      </c>
      <c r="EF134" s="172">
        <f ca="1">(VLOOKUP(EF$72,INDIRECT($C$5&amp;"生成成长"),2))/((VLOOKUP($B134,INDIRECT($B$5&amp;"生成成长"),4))/(VLOOKUP(EF$72,INDIRECT($C$5&amp;"生成成长"),5))*(VLOOKUP($B$5,标准坦克设计!$B$24:$U$30,MATCH("对"&amp;LEFT($C$5,2)&amp;"输出",标准坦克设计!$B$23:$U$23,0)))*(VLOOKUP($B134,INDIRECT($B$5&amp;"生成成长"),3))*(VLOOKUP($B$5,标准坦克设计!$B$14:$K$20,9)/30))</f>
        <v>17.870467839906045</v>
      </c>
      <c r="EG134" s="172">
        <f ca="1">(VLOOKUP(EG$72,INDIRECT($C$5&amp;"生成成长"),2))/((VLOOKUP($B134,INDIRECT($B$5&amp;"生成成长"),4))/(VLOOKUP(EG$72,INDIRECT($C$5&amp;"生成成长"),5))*(VLOOKUP($B$5,标准坦克设计!$B$24:$U$30,MATCH("对"&amp;LEFT($C$5,2)&amp;"输出",标准坦克设计!$B$23:$U$23,0)))*(VLOOKUP($B134,INDIRECT($B$5&amp;"生成成长"),3))*(VLOOKUP($B$5,标准坦克设计!$B$14:$K$20,9)/30))</f>
        <v>19.266085768420012</v>
      </c>
      <c r="EH134" s="172">
        <f ca="1">(VLOOKUP(EH$72,INDIRECT($C$5&amp;"生成成长"),2))/((VLOOKUP($B134,INDIRECT($B$5&amp;"生成成长"),4))/(VLOOKUP(EH$72,INDIRECT($C$5&amp;"生成成长"),5))*(VLOOKUP($B$5,标准坦克设计!$B$24:$U$30,MATCH("对"&amp;LEFT($C$5,2)&amp;"输出",标准坦克设计!$B$23:$U$23,0)))*(VLOOKUP($B134,INDIRECT($B$5&amp;"生成成长"),3))*(VLOOKUP($B$5,标准坦克设计!$B$14:$K$20,9)/30))</f>
        <v>20.714170536351801</v>
      </c>
      <c r="EI134" s="172">
        <f ca="1">(VLOOKUP(EI$72,INDIRECT($C$5&amp;"生成成长"),2))/((VLOOKUP($B134,INDIRECT($B$5&amp;"生成成长"),4))/(VLOOKUP(EI$72,INDIRECT($C$5&amp;"生成成长"),5))*(VLOOKUP($B$5,标准坦克设计!$B$24:$U$30,MATCH("对"&amp;LEFT($C$5,2)&amp;"输出",标准坦克设计!$B$23:$U$23,0)))*(VLOOKUP($B134,INDIRECT($B$5&amp;"生成成长"),3))*(VLOOKUP($B$5,标准坦克设计!$B$14:$K$20,9)/30))</f>
        <v>22.214722143701408</v>
      </c>
      <c r="EJ134" s="172">
        <f ca="1">(VLOOKUP(EJ$72,INDIRECT($C$5&amp;"生成成长"),2))/((VLOOKUP($B134,INDIRECT($B$5&amp;"生成成长"),4))/(VLOOKUP(EJ$72,INDIRECT($C$5&amp;"生成成长"),5))*(VLOOKUP($B$5,标准坦克设计!$B$24:$U$30,MATCH("对"&amp;LEFT($C$5,2)&amp;"输出",标准坦克设计!$B$23:$U$23,0)))*(VLOOKUP($B134,INDIRECT($B$5&amp;"生成成长"),3))*(VLOOKUP($B$5,标准坦克设计!$B$14:$K$20,9)/30))</f>
        <v>23.767740590468833</v>
      </c>
      <c r="EK134" s="172">
        <f ca="1">(VLOOKUP(EK$72,INDIRECT($C$5&amp;"生成成长"),2))/((VLOOKUP($B134,INDIRECT($B$5&amp;"生成成长"),4))/(VLOOKUP(EK$72,INDIRECT($C$5&amp;"生成成长"),5))*(VLOOKUP($B$5,标准坦克设计!$B$24:$U$30,MATCH("对"&amp;LEFT($C$5,2)&amp;"输出",标准坦克设计!$B$23:$U$23,0)))*(VLOOKUP($B134,INDIRECT($B$5&amp;"生成成长"),3))*(VLOOKUP($B$5,标准坦克设计!$B$14:$K$20,9)/30))</f>
        <v>25.700618954621266</v>
      </c>
      <c r="EL134" s="172">
        <f ca="1">(VLOOKUP(EL$72,INDIRECT($C$5&amp;"生成成长"),2))/((VLOOKUP($B134,INDIRECT($B$5&amp;"生成成长"),4))/(VLOOKUP(EL$72,INDIRECT($C$5&amp;"生成成长"),5))*(VLOOKUP($B$5,标准坦克设计!$B$24:$U$30,MATCH("对"&amp;LEFT($C$5,2)&amp;"输出",标准坦克设计!$B$23:$U$23,0)))*(VLOOKUP($B134,INDIRECT($B$5&amp;"生成成长"),3))*(VLOOKUP($B$5,标准坦克设计!$B$14:$K$20,9)/30))</f>
        <v>27.709049567535345</v>
      </c>
      <c r="EM134" s="172">
        <f ca="1">(VLOOKUP(EM$72,INDIRECT($C$5&amp;"生成成长"),2))/((VLOOKUP($B134,INDIRECT($B$5&amp;"生成成长"),4))/(VLOOKUP(EM$72,INDIRECT($C$5&amp;"生成成长"),5))*(VLOOKUP($B$5,标准坦克设计!$B$24:$U$30,MATCH("对"&amp;LEFT($C$5,2)&amp;"输出",标准坦克设计!$B$23:$U$23,0)))*(VLOOKUP($B134,INDIRECT($B$5&amp;"生成成长"),3))*(VLOOKUP($B$5,标准坦克设计!$B$14:$K$20,9)/30))</f>
        <v>29.793032429211099</v>
      </c>
      <c r="EN134" s="172">
        <f ca="1">(VLOOKUP(EN$72,INDIRECT($C$5&amp;"生成成长"),2))/((VLOOKUP($B134,INDIRECT($B$5&amp;"生成成长"),4))/(VLOOKUP(EN$72,INDIRECT($C$5&amp;"生成成长"),5))*(VLOOKUP($B$5,标准坦克设计!$B$24:$U$30,MATCH("对"&amp;LEFT($C$5,2)&amp;"输出",标准坦克设计!$B$23:$U$23,0)))*(VLOOKUP($B134,INDIRECT($B$5&amp;"生成成长"),3))*(VLOOKUP($B$5,标准坦克设计!$B$14:$K$20,9)/30))</f>
        <v>31.952567539648509</v>
      </c>
      <c r="EO134" s="172">
        <f ca="1">(VLOOKUP(EO$72,INDIRECT($C$5&amp;"生成成长"),2))/((VLOOKUP($B134,INDIRECT($B$5&amp;"生成成长"),4))/(VLOOKUP(EO$72,INDIRECT($C$5&amp;"生成成长"),5))*(VLOOKUP($B$5,标准坦克设计!$B$24:$U$30,MATCH("对"&amp;LEFT($C$5,2)&amp;"输出",标准坦克设计!$B$23:$U$23,0)))*(VLOOKUP($B134,INDIRECT($B$5&amp;"生成成长"),3))*(VLOOKUP($B$5,标准坦克设计!$B$14:$K$20,9)/30))</f>
        <v>34.187654898847576</v>
      </c>
      <c r="EP134" s="172">
        <f ca="1">(VLOOKUP(EP$72,INDIRECT($C$5&amp;"生成成长"),2))/((VLOOKUP($B134,INDIRECT($B$5&amp;"生成成长"),4))/(VLOOKUP(EP$72,INDIRECT($C$5&amp;"生成成长"),5))*(VLOOKUP($B$5,标准坦克设计!$B$24:$U$30,MATCH("对"&amp;LEFT($C$5,2)&amp;"输出",标准坦克设计!$B$23:$U$23,0)))*(VLOOKUP($B134,INDIRECT($B$5&amp;"生成成长"),3))*(VLOOKUP($B$5,标准坦克设计!$B$14:$K$20,9)/30))</f>
        <v>36.498294506808293</v>
      </c>
      <c r="EQ134" s="172">
        <f ca="1">(VLOOKUP(EQ$72,INDIRECT($C$5&amp;"生成成长"),2))/((VLOOKUP($B134,INDIRECT($B$5&amp;"生成成长"),4))/(VLOOKUP(EQ$72,INDIRECT($C$5&amp;"生成成长"),5))*(VLOOKUP($B$5,标准坦克设计!$B$24:$U$30,MATCH("对"&amp;LEFT($C$5,2)&amp;"输出",标准坦克设计!$B$23:$U$23,0)))*(VLOOKUP($B134,INDIRECT($B$5&amp;"生成成长"),3))*(VLOOKUP($B$5,标准坦克设计!$B$14:$K$20,9)/30))</f>
        <v>16.134602457767521</v>
      </c>
      <c r="ER134" s="172">
        <f ca="1">(VLOOKUP(ER$72,INDIRECT($C$5&amp;"生成成长"),2))/((VLOOKUP($B134,INDIRECT($B$5&amp;"生成成长"),4))/(VLOOKUP(ER$72,INDIRECT($C$5&amp;"生成成长"),5))*(VLOOKUP($B$5,标准坦克设计!$B$24:$U$30,MATCH("对"&amp;LEFT($C$5,2)&amp;"输出",标准坦克设计!$B$23:$U$23,0)))*(VLOOKUP($B134,INDIRECT($B$5&amp;"生成成长"),3))*(VLOOKUP($B$5,标准坦克设计!$B$14:$K$20,9)/30))</f>
        <v>17.597640274933383</v>
      </c>
      <c r="ES134" s="172">
        <f ca="1">(VLOOKUP(ES$72,INDIRECT($C$5&amp;"生成成长"),2))/((VLOOKUP($B134,INDIRECT($B$5&amp;"生成成长"),4))/(VLOOKUP(ES$72,INDIRECT($C$5&amp;"生成成长"),5))*(VLOOKUP($B$5,标准坦克设计!$B$24:$U$30,MATCH("对"&amp;LEFT($C$5,2)&amp;"输出",标准坦克设计!$B$23:$U$23,0)))*(VLOOKUP($B134,INDIRECT($B$5&amp;"生成成长"),3))*(VLOOKUP($B$5,标准坦克设计!$B$14:$K$20,9)/30))</f>
        <v>19.12416296779481</v>
      </c>
      <c r="ET134" s="172">
        <f ca="1">(VLOOKUP(ET$72,INDIRECT($C$5&amp;"生成成长"),2))/((VLOOKUP($B134,INDIRECT($B$5&amp;"生成成长"),4))/(VLOOKUP(ET$72,INDIRECT($C$5&amp;"生成成长"),5))*(VLOOKUP($B$5,标准坦克设计!$B$24:$U$30,MATCH("对"&amp;LEFT($C$5,2)&amp;"输出",标准坦克设计!$B$23:$U$23,0)))*(VLOOKUP($B134,INDIRECT($B$5&amp;"生成成长"),3))*(VLOOKUP($B$5,标准坦克设计!$B$14:$K$20,9)/30))</f>
        <v>20.714170536351801</v>
      </c>
      <c r="EU134" s="172">
        <f ca="1">(VLOOKUP(EU$72,INDIRECT($C$5&amp;"生成成长"),2))/((VLOOKUP($B134,INDIRECT($B$5&amp;"生成成长"),4))/(VLOOKUP(EU$72,INDIRECT($C$5&amp;"生成成长"),5))*(VLOOKUP($B$5,标准坦克设计!$B$24:$U$30,MATCH("对"&amp;LEFT($C$5,2)&amp;"输出",标准坦克设计!$B$23:$U$23,0)))*(VLOOKUP($B134,INDIRECT($B$5&amp;"生成成长"),3))*(VLOOKUP($B$5,标准坦克设计!$B$14:$K$20,9)/30))</f>
        <v>22.367662980604347</v>
      </c>
      <c r="EV134" s="172">
        <f ca="1">(VLOOKUP(EV$72,INDIRECT($C$5&amp;"生成成长"),2))/((VLOOKUP($B134,INDIRECT($B$5&amp;"生成成长"),4))/(VLOOKUP(EV$72,INDIRECT($C$5&amp;"生成成长"),5))*(VLOOKUP($B$5,标准坦克设计!$B$24:$U$30,MATCH("对"&amp;LEFT($C$5,2)&amp;"输出",标准坦克设计!$B$23:$U$23,0)))*(VLOOKUP($B134,INDIRECT($B$5&amp;"生成成长"),3))*(VLOOKUP($B$5,标准坦克设计!$B$14:$K$20,9)/30))</f>
        <v>24.084640300552454</v>
      </c>
      <c r="EW134" s="172">
        <f ca="1">(VLOOKUP(EW$72,INDIRECT($C$5&amp;"生成成长"),2))/((VLOOKUP($B134,INDIRECT($B$5&amp;"生成成长"),4))/(VLOOKUP(EW$72,INDIRECT($C$5&amp;"生成成长"),5))*(VLOOKUP($B$5,标准坦克设计!$B$24:$U$30,MATCH("对"&amp;LEFT($C$5,2)&amp;"输出",标准坦克设计!$B$23:$U$23,0)))*(VLOOKUP($B134,INDIRECT($B$5&amp;"生成成长"),3))*(VLOOKUP($B$5,标准坦克设计!$B$14:$K$20,9)/30))</f>
        <v>25.865102496196126</v>
      </c>
      <c r="EX134" s="172">
        <f ca="1">(VLOOKUP(EX$72,INDIRECT($C$5&amp;"生成成长"),2))/((VLOOKUP($B134,INDIRECT($B$5&amp;"生成成长"),4))/(VLOOKUP(EX$72,INDIRECT($C$5&amp;"生成成长"),5))*(VLOOKUP($B$5,标准坦克设计!$B$24:$U$30,MATCH("对"&amp;LEFT($C$5,2)&amp;"输出",标准坦克设计!$B$23:$U$23,0)))*(VLOOKUP($B134,INDIRECT($B$5&amp;"生成成长"),3))*(VLOOKUP($B$5,标准坦克设计!$B$14:$K$20,9)/30))</f>
        <v>27.709049567535345</v>
      </c>
      <c r="EY134" s="172">
        <f ca="1">(VLOOKUP(EY$72,INDIRECT($C$5&amp;"生成成长"),2))/((VLOOKUP($B134,INDIRECT($B$5&amp;"生成成长"),4))/(VLOOKUP(EY$72,INDIRECT($C$5&amp;"生成成长"),5))*(VLOOKUP($B$5,标准坦克设计!$B$24:$U$30,MATCH("对"&amp;LEFT($C$5,2)&amp;"输出",标准坦克设计!$B$23:$U$23,0)))*(VLOOKUP($B134,INDIRECT($B$5&amp;"生成成长"),3))*(VLOOKUP($B$5,标准坦克设计!$B$14:$K$20,9)/30))</f>
        <v>29.61648151457014</v>
      </c>
      <c r="EZ134" s="172">
        <f ca="1">(VLOOKUP(EZ$72,INDIRECT($C$5&amp;"生成成长"),2))/((VLOOKUP($B134,INDIRECT($B$5&amp;"生成成长"),4))/(VLOOKUP(EZ$72,INDIRECT($C$5&amp;"生成成长"),5))*(VLOOKUP($B$5,标准坦克设计!$B$24:$U$30,MATCH("对"&amp;LEFT($C$5,2)&amp;"输出",标准坦克设计!$B$23:$U$23,0)))*(VLOOKUP($B134,INDIRECT($B$5&amp;"生成成长"),3))*(VLOOKUP($B$5,标准坦克设计!$B$14:$K$20,9)/30))</f>
        <v>31.587398337300488</v>
      </c>
      <c r="FA134" s="172">
        <f ca="1">(VLOOKUP(FA$72,INDIRECT($C$5&amp;"生成成长"),2))/((VLOOKUP($B134,INDIRECT($B$5&amp;"生成成长"),4))/(VLOOKUP(FA$72,INDIRECT($C$5&amp;"生成成长"),5))*(VLOOKUP($B$5,标准坦克设计!$B$24:$U$30,MATCH("对"&amp;LEFT($C$5,2)&amp;"输出",标准坦克设计!$B$23:$U$23,0)))*(VLOOKUP($B134,INDIRECT($B$5&amp;"生成成长"),3))*(VLOOKUP($B$5,标准坦克设计!$B$14:$K$20,9)/30))</f>
        <v>33.621800035726402</v>
      </c>
      <c r="FB134" s="172">
        <f ca="1">(VLOOKUP(FB$72,INDIRECT($C$5&amp;"生成成长"),2))/((VLOOKUP($B134,INDIRECT($B$5&amp;"生成成长"),4))/(VLOOKUP(FB$72,INDIRECT($C$5&amp;"生成成长"),5))*(VLOOKUP($B$5,标准坦克设计!$B$24:$U$30,MATCH("对"&amp;LEFT($C$5,2)&amp;"输出",标准坦克设计!$B$23:$U$23,0)))*(VLOOKUP($B134,INDIRECT($B$5&amp;"生成成长"),3))*(VLOOKUP($B$5,标准坦克设计!$B$14:$K$20,9)/30))</f>
        <v>35.719686609847869</v>
      </c>
      <c r="FC134" s="172">
        <f ca="1">(VLOOKUP(FC$72,INDIRECT($C$5&amp;"生成成长"),2))/((VLOOKUP($B134,INDIRECT($B$5&amp;"生成成长"),4))/(VLOOKUP(FC$72,INDIRECT($C$5&amp;"生成成长"),5))*(VLOOKUP($B$5,标准坦克设计!$B$24:$U$30,MATCH("对"&amp;LEFT($C$5,2)&amp;"输出",标准坦克设计!$B$23:$U$23,0)))*(VLOOKUP($B134,INDIRECT($B$5&amp;"生成成长"),3))*(VLOOKUP($B$5,标准坦克设计!$B$14:$K$20,9)/30))</f>
        <v>37.881058059664895</v>
      </c>
      <c r="FD134" s="172">
        <f ca="1">(VLOOKUP(FD$72,INDIRECT($C$5&amp;"生成成长"),2))/((VLOOKUP($B134,INDIRECT($B$5&amp;"生成成长"),4))/(VLOOKUP(FD$72,INDIRECT($C$5&amp;"生成成长"),5))*(VLOOKUP($B$5,标准坦克设计!$B$24:$U$30,MATCH("对"&amp;LEFT($C$5,2)&amp;"输出",标准坦克设计!$B$23:$U$23,0)))*(VLOOKUP($B134,INDIRECT($B$5&amp;"生成成长"),3))*(VLOOKUP($B$5,标准坦克设计!$B$14:$K$20,9)/30))</f>
        <v>40.105914385177485</v>
      </c>
      <c r="FE134" s="172">
        <f ca="1">(VLOOKUP(FE$72,INDIRECT($C$5&amp;"生成成长"),2))/((VLOOKUP($B134,INDIRECT($B$5&amp;"生成成长"),4))/(VLOOKUP(FE$72,INDIRECT($C$5&amp;"生成成长"),5))*(VLOOKUP($B$5,标准坦克设计!$B$24:$U$30,MATCH("对"&amp;LEFT($C$5,2)&amp;"输出",标准坦克设计!$B$23:$U$23,0)))*(VLOOKUP($B134,INDIRECT($B$5&amp;"生成成长"),3))*(VLOOKUP($B$5,标准坦克设计!$B$14:$K$20,9)/30))</f>
        <v>42.817138312093249</v>
      </c>
      <c r="FF134" s="172">
        <f ca="1">(VLOOKUP(FF$72,INDIRECT($C$5&amp;"生成成长"),2))/((VLOOKUP($B134,INDIRECT($B$5&amp;"生成成长"),4))/(VLOOKUP(FF$72,INDIRECT($C$5&amp;"生成成长"),5))*(VLOOKUP($B$5,标准坦克设计!$B$24:$U$30,MATCH("对"&amp;LEFT($C$5,2)&amp;"输出",标准坦克设计!$B$23:$U$23,0)))*(VLOOKUP($B134,INDIRECT($B$5&amp;"生成成长"),3))*(VLOOKUP($B$5,标准坦克设计!$B$14:$K$20,9)/30))</f>
        <v>45.617031197625138</v>
      </c>
      <c r="FG134" s="172">
        <f ca="1">(VLOOKUP(FG$72,INDIRECT($C$5&amp;"生成成长"),2))/((VLOOKUP($B134,INDIRECT($B$5&amp;"生成成长"),4))/(VLOOKUP(FG$72,INDIRECT($C$5&amp;"生成成长"),5))*(VLOOKUP($B$5,标准坦克设计!$B$24:$U$30,MATCH("对"&amp;LEFT($C$5,2)&amp;"输出",标准坦克设计!$B$23:$U$23,0)))*(VLOOKUP($B134,INDIRECT($B$5&amp;"生成成长"),3))*(VLOOKUP($B$5,标准坦克设计!$B$14:$K$20,9)/30))</f>
        <v>48.505593041773125</v>
      </c>
      <c r="FH134" s="172">
        <f ca="1">(VLOOKUP(FH$72,INDIRECT($C$5&amp;"生成成长"),2))/((VLOOKUP($B134,INDIRECT($B$5&amp;"生成成长"),4))/(VLOOKUP(FH$72,INDIRECT($C$5&amp;"生成成长"),5))*(VLOOKUP($B$5,标准坦克设计!$B$24:$U$30,MATCH("对"&amp;LEFT($C$5,2)&amp;"输出",标准坦克设计!$B$23:$U$23,0)))*(VLOOKUP($B134,INDIRECT($B$5&amp;"生成成长"),3))*(VLOOKUP($B$5,标准坦克设计!$B$14:$K$20,9)/30))</f>
        <v>51.482823844537243</v>
      </c>
      <c r="FI134" s="172">
        <f ca="1">(VLOOKUP(FI$72,INDIRECT($C$5&amp;"生成成长"),2))/((VLOOKUP($B134,INDIRECT($B$5&amp;"生成成长"),4))/(VLOOKUP(FI$72,INDIRECT($C$5&amp;"生成成长"),5))*(VLOOKUP($B$5,标准坦克设计!$B$24:$U$30,MATCH("对"&amp;LEFT($C$5,2)&amp;"输出",标准坦克设计!$B$23:$U$23,0)))*(VLOOKUP($B134,INDIRECT($B$5&amp;"生成成长"),3))*(VLOOKUP($B$5,标准坦克设计!$B$14:$K$20,9)/30))</f>
        <v>54.548723605917452</v>
      </c>
      <c r="FJ134" s="172">
        <f ca="1">(VLOOKUP(FJ$72,INDIRECT($C$5&amp;"生成成长"),2))/((VLOOKUP($B134,INDIRECT($B$5&amp;"生成成长"),4))/(VLOOKUP(FJ$72,INDIRECT($C$5&amp;"生成成长"),5))*(VLOOKUP($B$5,标准坦克设计!$B$24:$U$30,MATCH("对"&amp;LEFT($C$5,2)&amp;"输出",标准坦克设计!$B$23:$U$23,0)))*(VLOOKUP($B134,INDIRECT($B$5&amp;"生成成长"),3))*(VLOOKUP($B$5,标准坦克设计!$B$14:$K$20,9)/30))</f>
        <v>57.703292325913793</v>
      </c>
      <c r="FK134" s="172">
        <f ca="1">(VLOOKUP(FK$72,INDIRECT($C$5&amp;"生成成长"),2))/((VLOOKUP($B134,INDIRECT($B$5&amp;"生成成长"),4))/(VLOOKUP(FK$72,INDIRECT($C$5&amp;"生成成长"),5))*(VLOOKUP($B$5,标准坦克设计!$B$24:$U$30,MATCH("对"&amp;LEFT($C$5,2)&amp;"输出",标准坦克设计!$B$23:$U$23,0)))*(VLOOKUP($B134,INDIRECT($B$5&amp;"生成成长"),3))*(VLOOKUP($B$5,标准坦克设计!$B$14:$K$20,9)/30))</f>
        <v>60.946530004526238</v>
      </c>
    </row>
    <row r="135" spans="1:167" x14ac:dyDescent="0.15">
      <c r="A135" s="170" t="str">
        <f t="shared" si="11"/>
        <v>T3中品质6级</v>
      </c>
      <c r="B135" s="171">
        <v>20306</v>
      </c>
      <c r="C135" s="172">
        <f ca="1">(VLOOKUP(C$72,INDIRECT($C$5&amp;"生成成长"),2))/((VLOOKUP($B135,INDIRECT($B$5&amp;"生成成长"),4))/(VLOOKUP(C$72,INDIRECT($C$5&amp;"生成成长"),5))*(VLOOKUP($B$5,标准坦克设计!$B$24:$U$30,MATCH("对"&amp;LEFT($C$5,2)&amp;"输出",标准坦克设计!$B$23:$U$23,0)))*(VLOOKUP($B135,INDIRECT($B$5&amp;"生成成长"),3))*(VLOOKUP($B$5,标准坦克设计!$B$14:$K$20,9)/30))</f>
        <v>2.3792601310458377</v>
      </c>
      <c r="D135" s="172">
        <f ca="1">(VLOOKUP(D$72,INDIRECT($C$5&amp;"生成成长"),2))/((VLOOKUP($B135,INDIRECT($B$5&amp;"生成成长"),4))/(VLOOKUP(D$72,INDIRECT($C$5&amp;"生成成长"),5))*(VLOOKUP($B$5,标准坦克设计!$B$24:$U$30,MATCH("对"&amp;LEFT($C$5,2)&amp;"输出",标准坦克设计!$B$23:$U$23,0)))*(VLOOKUP($B135,INDIRECT($B$5&amp;"生成成长"),3))*(VLOOKUP($B$5,标准坦克设计!$B$14:$K$20,9)/30))</f>
        <v>2.6733366832431029</v>
      </c>
      <c r="E135" s="172">
        <f ca="1">(VLOOKUP(E$72,INDIRECT($C$5&amp;"生成成长"),2))/((VLOOKUP($B135,INDIRECT($B$5&amp;"生成成长"),4))/(VLOOKUP(E$72,INDIRECT($C$5&amp;"生成成长"),5))*(VLOOKUP($B$5,标准坦克设计!$B$24:$U$30,MATCH("对"&amp;LEFT($C$5,2)&amp;"输出",标准坦克设计!$B$23:$U$23,0)))*(VLOOKUP($B135,INDIRECT($B$5&amp;"生成成长"),3))*(VLOOKUP($B$5,标准坦克设计!$B$14:$K$20,9)/30))</f>
        <v>2.9845439083838983</v>
      </c>
      <c r="F135" s="172">
        <f ca="1">(VLOOKUP(F$72,INDIRECT($C$5&amp;"生成成长"),2))/((VLOOKUP($B135,INDIRECT($B$5&amp;"生成成长"),4))/(VLOOKUP(F$72,INDIRECT($C$5&amp;"生成成长"),5))*(VLOOKUP($B$5,标准坦克设计!$B$24:$U$30,MATCH("对"&amp;LEFT($C$5,2)&amp;"输出",标准坦克设计!$B$23:$U$23,0)))*(VLOOKUP($B135,INDIRECT($B$5&amp;"生成成长"),3))*(VLOOKUP($B$5,标准坦克设计!$B$14:$K$20,9)/30))</f>
        <v>3.3128818064682242</v>
      </c>
      <c r="G135" s="172">
        <f ca="1">(VLOOKUP(G$72,INDIRECT($C$5&amp;"生成成长"),2))/((VLOOKUP($B135,INDIRECT($B$5&amp;"生成成长"),4))/(VLOOKUP(G$72,INDIRECT($C$5&amp;"生成成长"),5))*(VLOOKUP($B$5,标准坦克设计!$B$24:$U$30,MATCH("对"&amp;LEFT($C$5,2)&amp;"输出",标准坦克设计!$B$23:$U$23,0)))*(VLOOKUP($B135,INDIRECT($B$5&amp;"生成成长"),3))*(VLOOKUP($B$5,标准坦克设计!$B$14:$K$20,9)/30))</f>
        <v>3.6583503774960788</v>
      </c>
      <c r="H135" s="172">
        <f ca="1">(VLOOKUP(H$72,INDIRECT($C$5&amp;"生成成长"),2))/((VLOOKUP($B135,INDIRECT($B$5&amp;"生成成长"),4))/(VLOOKUP(H$72,INDIRECT($C$5&amp;"生成成长"),5))*(VLOOKUP($B$5,标准坦克设计!$B$24:$U$30,MATCH("对"&amp;LEFT($C$5,2)&amp;"输出",标准坦克设计!$B$23:$U$23,0)))*(VLOOKUP($B135,INDIRECT($B$5&amp;"生成成长"),3))*(VLOOKUP($B$5,标准坦克设计!$B$14:$K$20,9)/30))</f>
        <v>3.201532432335279</v>
      </c>
      <c r="I135" s="172">
        <f ca="1">(VLOOKUP(I$72,INDIRECT($C$5&amp;"生成成长"),2))/((VLOOKUP($B135,INDIRECT($B$5&amp;"生成成长"),4))/(VLOOKUP(I$72,INDIRECT($C$5&amp;"生成成长"),5))*(VLOOKUP($B$5,标准坦克设计!$B$24:$U$30,MATCH("对"&amp;LEFT($C$5,2)&amp;"输出",标准坦克设计!$B$23:$U$23,0)))*(VLOOKUP($B135,INDIRECT($B$5&amp;"生成成长"),3))*(VLOOKUP($B$5,标准坦克设计!$B$14:$K$20,9)/30))</f>
        <v>3.6583503774960788</v>
      </c>
      <c r="J135" s="172">
        <f ca="1">(VLOOKUP(J$72,INDIRECT($C$5&amp;"生成成长"),2))/((VLOOKUP($B135,INDIRECT($B$5&amp;"生成成长"),4))/(VLOOKUP(J$72,INDIRECT($C$5&amp;"生成成长"),5))*(VLOOKUP($B$5,标准坦克设计!$B$24:$U$30,MATCH("对"&amp;LEFT($C$5,2)&amp;"输出",标准坦克设计!$B$23:$U$23,0)))*(VLOOKUP($B135,INDIRECT($B$5&amp;"生成成长"),3))*(VLOOKUP($B$5,标准坦克设计!$B$14:$K$20,9)/30))</f>
        <v>4.1456228523342666</v>
      </c>
      <c r="K135" s="172">
        <f ca="1">(VLOOKUP(K$72,INDIRECT($C$5&amp;"生成成长"),2))/((VLOOKUP($B135,INDIRECT($B$5&amp;"生成成长"),4))/(VLOOKUP(K$72,INDIRECT($C$5&amp;"生成成长"),5))*(VLOOKUP($B$5,标准坦克设计!$B$24:$U$30,MATCH("对"&amp;LEFT($C$5,2)&amp;"输出",标准坦克设计!$B$23:$U$23,0)))*(VLOOKUP($B135,INDIRECT($B$5&amp;"生成成长"),3))*(VLOOKUP($B$5,标准坦克设计!$B$14:$K$20,9)/30))</f>
        <v>4.663349856849841</v>
      </c>
      <c r="L135" s="172">
        <f ca="1">(VLOOKUP(L$72,INDIRECT($C$5&amp;"生成成长"),2))/((VLOOKUP($B135,INDIRECT($B$5&amp;"生成成长"),4))/(VLOOKUP(L$72,INDIRECT($C$5&amp;"生成成长"),5))*(VLOOKUP($B$5,标准坦克设计!$B$24:$U$30,MATCH("对"&amp;LEFT($C$5,2)&amp;"输出",标准坦克设计!$B$23:$U$23,0)))*(VLOOKUP($B135,INDIRECT($B$5&amp;"生成成长"),3))*(VLOOKUP($B$5,标准坦克设计!$B$14:$K$20,9)/30))</f>
        <v>5.2115313910428025</v>
      </c>
      <c r="M135" s="172">
        <f ca="1">(VLOOKUP(M$72,INDIRECT($C$5&amp;"生成成长"),2))/((VLOOKUP($B135,INDIRECT($B$5&amp;"生成成长"),4))/(VLOOKUP(M$72,INDIRECT($C$5&amp;"生成成长"),5))*(VLOOKUP($B$5,标准坦克设计!$B$24:$U$30,MATCH("对"&amp;LEFT($C$5,2)&amp;"输出",标准坦克设计!$B$23:$U$23,0)))*(VLOOKUP($B135,INDIRECT($B$5&amp;"生成成长"),3))*(VLOOKUP($B$5,标准坦克设计!$B$14:$K$20,9)/30))</f>
        <v>5.7901674549131492</v>
      </c>
      <c r="N135" s="172">
        <f ca="1">(VLOOKUP(N$72,INDIRECT($C$5&amp;"生成成长"),2))/((VLOOKUP($B135,INDIRECT($B$5&amp;"生成成长"),4))/(VLOOKUP(N$72,INDIRECT($C$5&amp;"生成成长"),5))*(VLOOKUP($B$5,标准坦克设计!$B$24:$U$30,MATCH("对"&amp;LEFT($C$5,2)&amp;"输出",标准坦克设计!$B$23:$U$23,0)))*(VLOOKUP($B135,INDIRECT($B$5&amp;"生成成长"),3))*(VLOOKUP($B$5,标准坦克设计!$B$14:$K$20,9)/30))</f>
        <v>6.3992580484608848</v>
      </c>
      <c r="O135" s="172">
        <f ca="1">(VLOOKUP(O$72,INDIRECT($C$5&amp;"生成成长"),2))/((VLOOKUP($B135,INDIRECT($B$5&amp;"生成成长"),4))/(VLOOKUP(O$72,INDIRECT($C$5&amp;"生成成长"),5))*(VLOOKUP($B$5,标准坦克设计!$B$24:$U$30,MATCH("对"&amp;LEFT($C$5,2)&amp;"输出",标准坦克设计!$B$23:$U$23,0)))*(VLOOKUP($B135,INDIRECT($B$5&amp;"生成成长"),3))*(VLOOKUP($B$5,标准坦克设计!$B$14:$K$20,9)/30))</f>
        <v>4.8653490419756329</v>
      </c>
      <c r="P135" s="172">
        <f ca="1">(VLOOKUP(P$72,INDIRECT($C$5&amp;"生成成长"),2))/((VLOOKUP($B135,INDIRECT($B$5&amp;"生成成长"),4))/(VLOOKUP(P$72,INDIRECT($C$5&amp;"生成成长"),5))*(VLOOKUP($B$5,标准坦克设计!$B$24:$U$30,MATCH("对"&amp;LEFT($C$5,2)&amp;"输出",标准坦克设计!$B$23:$U$23,0)))*(VLOOKUP($B135,INDIRECT($B$5&amp;"生成成长"),3))*(VLOOKUP($B$5,标准坦克设计!$B$14:$K$20,9)/30))</f>
        <v>5.4970426067683027</v>
      </c>
      <c r="Q135" s="172">
        <f ca="1">(VLOOKUP(Q$72,INDIRECT($C$5&amp;"生成成长"),2))/((VLOOKUP($B135,INDIRECT($B$5&amp;"生成成长"),4))/(VLOOKUP(Q$72,INDIRECT($C$5&amp;"生成成长"),5))*(VLOOKUP($B$5,标准坦克设计!$B$24:$U$30,MATCH("对"&amp;LEFT($C$5,2)&amp;"输出",标准坦克设计!$B$23:$U$23,0)))*(VLOOKUP($B135,INDIRECT($B$5&amp;"生成成长"),3))*(VLOOKUP($B$5,标准坦克设计!$B$14:$K$20,9)/30))</f>
        <v>6.1672801856839152</v>
      </c>
      <c r="R135" s="172">
        <f ca="1">(VLOOKUP(R$72,INDIRECT($C$5&amp;"生成成长"),2))/((VLOOKUP($B135,INDIRECT($B$5&amp;"生成成长"),4))/(VLOOKUP(R$72,INDIRECT($C$5&amp;"生成成长"),5))*(VLOOKUP($B$5,标准坦克设计!$B$24:$U$30,MATCH("对"&amp;LEFT($C$5,2)&amp;"输出",标准坦克设计!$B$23:$U$23,0)))*(VLOOKUP($B135,INDIRECT($B$5&amp;"生成成长"),3))*(VLOOKUP($B$5,标准坦克设计!$B$14:$K$20,9)/30))</f>
        <v>6.8760617787224705</v>
      </c>
      <c r="S135" s="172">
        <f ca="1">(VLOOKUP(S$72,INDIRECT($C$5&amp;"生成成长"),2))/((VLOOKUP($B135,INDIRECT($B$5&amp;"生成成长"),4))/(VLOOKUP(S$72,INDIRECT($C$5&amp;"生成成长"),5))*(VLOOKUP($B$5,标准坦克设计!$B$24:$U$30,MATCH("对"&amp;LEFT($C$5,2)&amp;"输出",标准坦克设计!$B$23:$U$23,0)))*(VLOOKUP($B135,INDIRECT($B$5&amp;"生成成长"),3))*(VLOOKUP($B$5,标准坦克设计!$B$14:$K$20,9)/30))</f>
        <v>7.6233873858839702</v>
      </c>
      <c r="T135" s="172">
        <f ca="1">(VLOOKUP(T$72,INDIRECT($C$5&amp;"生成成长"),2))/((VLOOKUP($B135,INDIRECT($B$5&amp;"生成成长"),4))/(VLOOKUP(T$72,INDIRECT($C$5&amp;"生成成长"),5))*(VLOOKUP($B$5,标准坦克设计!$B$24:$U$30,MATCH("对"&amp;LEFT($C$5,2)&amp;"输出",标准坦克设计!$B$23:$U$23,0)))*(VLOOKUP($B135,INDIRECT($B$5&amp;"生成成长"),3))*(VLOOKUP($B$5,标准坦克设计!$B$14:$K$20,9)/30))</f>
        <v>8.4092570071684083</v>
      </c>
      <c r="U135" s="172">
        <f ca="1">(VLOOKUP(U$72,INDIRECT($C$5&amp;"生成成长"),2))/((VLOOKUP($B135,INDIRECT($B$5&amp;"生成成长"),4))/(VLOOKUP(U$72,INDIRECT($C$5&amp;"生成成长"),5))*(VLOOKUP($B$5,标准坦克设计!$B$24:$U$30,MATCH("对"&amp;LEFT($C$5,2)&amp;"输出",标准坦克设计!$B$23:$U$23,0)))*(VLOOKUP($B135,INDIRECT($B$5&amp;"生成成长"),3))*(VLOOKUP($B$5,标准坦克设计!$B$14:$K$20,9)/30))</f>
        <v>9.23367064257579</v>
      </c>
      <c r="V135" s="172">
        <f ca="1">(VLOOKUP(V$72,INDIRECT($C$5&amp;"生成成长"),2))/((VLOOKUP($B135,INDIRECT($B$5&amp;"生成成长"),4))/(VLOOKUP(V$72,INDIRECT($C$5&amp;"生成成长"),5))*(VLOOKUP($B$5,标准坦克设计!$B$24:$U$30,MATCH("对"&amp;LEFT($C$5,2)&amp;"输出",标准坦克设计!$B$23:$U$23,0)))*(VLOOKUP($B135,INDIRECT($B$5&amp;"生成成长"),3))*(VLOOKUP($B$5,标准坦克设计!$B$14:$K$20,9)/30))</f>
        <v>10.096628292106116</v>
      </c>
      <c r="W135" s="172">
        <f ca="1">(VLOOKUP(W$72,INDIRECT($C$5&amp;"生成成长"),2))/((VLOOKUP($B135,INDIRECT($B$5&amp;"生成成长"),4))/(VLOOKUP(W$72,INDIRECT($C$5&amp;"生成成长"),5))*(VLOOKUP($B$5,标准坦克设计!$B$24:$U$30,MATCH("对"&amp;LEFT($C$5,2)&amp;"输出",标准坦克设计!$B$23:$U$23,0)))*(VLOOKUP($B135,INDIRECT($B$5&amp;"生成成长"),3))*(VLOOKUP($B$5,标准坦克设计!$B$14:$K$20,9)/30))</f>
        <v>10.998129955759385</v>
      </c>
      <c r="X135" s="172">
        <f ca="1">(VLOOKUP(X$72,INDIRECT($C$5&amp;"生成成长"),2))/((VLOOKUP($B135,INDIRECT($B$5&amp;"生成成长"),4))/(VLOOKUP(X$72,INDIRECT($C$5&amp;"生成成长"),5))*(VLOOKUP($B$5,标准坦克设计!$B$24:$U$30,MATCH("对"&amp;LEFT($C$5,2)&amp;"输出",标准坦克设计!$B$23:$U$23,0)))*(VLOOKUP($B135,INDIRECT($B$5&amp;"生成成长"),3))*(VLOOKUP($B$5,标准坦克设计!$B$14:$K$20,9)/30))</f>
        <v>7.9679042528594035</v>
      </c>
      <c r="Y135" s="172">
        <f ca="1">(VLOOKUP(Y$72,INDIRECT($C$5&amp;"生成成长"),2))/((VLOOKUP($B135,INDIRECT($B$5&amp;"生成成长"),4))/(VLOOKUP(Y$72,INDIRECT($C$5&amp;"生成成长"),5))*(VLOOKUP($B$5,标准坦克设计!$B$24:$U$30,MATCH("对"&amp;LEFT($C$5,2)&amp;"输出",标准坦克设计!$B$23:$U$23,0)))*(VLOOKUP($B135,INDIRECT($B$5&amp;"生成成长"),3))*(VLOOKUP($B$5,标准坦克设计!$B$14:$K$20,9)/30))</f>
        <v>8.8625060621326401</v>
      </c>
      <c r="Z135" s="172">
        <f ca="1">(VLOOKUP(Z$72,INDIRECT($C$5&amp;"生成成长"),2))/((VLOOKUP($B135,INDIRECT($B$5&amp;"生成成长"),4))/(VLOOKUP(Z$72,INDIRECT($C$5&amp;"生成成长"),5))*(VLOOKUP($B$5,标准坦克设计!$B$24:$U$30,MATCH("对"&amp;LEFT($C$5,2)&amp;"输出",标准坦克设计!$B$23:$U$23,0)))*(VLOOKUP($B135,INDIRECT($B$5&amp;"生成成长"),3))*(VLOOKUP($B$5,标准坦克设计!$B$14:$K$20,9)/30))</f>
        <v>9.8046930740267921</v>
      </c>
      <c r="AA135" s="172">
        <f ca="1">(VLOOKUP(AA$72,INDIRECT($C$5&amp;"生成成长"),2))/((VLOOKUP($B135,INDIRECT($B$5&amp;"生成成长"),4))/(VLOOKUP(AA$72,INDIRECT($C$5&amp;"生成成长"),5))*(VLOOKUP($B$5,标准坦克设计!$B$24:$U$30,MATCH("对"&amp;LEFT($C$5,2)&amp;"输出",标准坦克设计!$B$23:$U$23,0)))*(VLOOKUP($B135,INDIRECT($B$5&amp;"生成成长"),3))*(VLOOKUP($B$5,标准坦克设计!$B$14:$K$20,9)/30))</f>
        <v>10.794465288541859</v>
      </c>
      <c r="AB135" s="172">
        <f ca="1">(VLOOKUP(AB$72,INDIRECT($C$5&amp;"生成成长"),2))/((VLOOKUP($B135,INDIRECT($B$5&amp;"生成成长"),4))/(VLOOKUP(AB$72,INDIRECT($C$5&amp;"生成成长"),5))*(VLOOKUP($B$5,标准坦克设计!$B$24:$U$30,MATCH("对"&amp;LEFT($C$5,2)&amp;"输出",标准坦克设计!$B$23:$U$23,0)))*(VLOOKUP($B135,INDIRECT($B$5&amp;"生成成长"),3))*(VLOOKUP($B$5,标准坦克设计!$B$14:$K$20,9)/30))</f>
        <v>11.831822705677844</v>
      </c>
      <c r="AC135" s="172">
        <f ca="1">(VLOOKUP(AC$72,INDIRECT($C$5&amp;"生成成长"),2))/((VLOOKUP($B135,INDIRECT($B$5&amp;"生成成长"),4))/(VLOOKUP(AC$72,INDIRECT($C$5&amp;"生成成长"),5))*(VLOOKUP($B$5,标准坦克设计!$B$24:$U$30,MATCH("对"&amp;LEFT($C$5,2)&amp;"输出",标准坦克设计!$B$23:$U$23,0)))*(VLOOKUP($B135,INDIRECT($B$5&amp;"生成成长"),3))*(VLOOKUP($B$5,标准坦克设计!$B$14:$K$20,9)/30))</f>
        <v>12.916765325434749</v>
      </c>
      <c r="AD135" s="172">
        <f ca="1">(VLOOKUP(AD$72,INDIRECT($C$5&amp;"生成成长"),2))/((VLOOKUP($B135,INDIRECT($B$5&amp;"生成成长"),4))/(VLOOKUP(AD$72,INDIRECT($C$5&amp;"生成成长"),5))*(VLOOKUP($B$5,标准坦克设计!$B$24:$U$30,MATCH("对"&amp;LEFT($C$5,2)&amp;"输出",标准坦克设计!$B$23:$U$23,0)))*(VLOOKUP($B135,INDIRECT($B$5&amp;"生成成长"),3))*(VLOOKUP($B$5,标准坦克设计!$B$14:$K$20,9)/30))</f>
        <v>14.049293147812566</v>
      </c>
      <c r="AE135" s="172">
        <f ca="1">(VLOOKUP(AE$72,INDIRECT($C$5&amp;"生成成长"),2))/((VLOOKUP($B135,INDIRECT($B$5&amp;"生成成长"),4))/(VLOOKUP(AE$72,INDIRECT($C$5&amp;"生成成长"),5))*(VLOOKUP($B$5,标准坦克设计!$B$24:$U$30,MATCH("对"&amp;LEFT($C$5,2)&amp;"输出",标准坦克设计!$B$23:$U$23,0)))*(VLOOKUP($B135,INDIRECT($B$5&amp;"生成成长"),3))*(VLOOKUP($B$5,标准坦克设计!$B$14:$K$20,9)/30))</f>
        <v>15.229406172811299</v>
      </c>
      <c r="AF135" s="172">
        <f ca="1">(VLOOKUP(AF$72,INDIRECT($C$5&amp;"生成成长"),2))/((VLOOKUP($B135,INDIRECT($B$5&amp;"生成成长"),4))/(VLOOKUP(AF$72,INDIRECT($C$5&amp;"生成成长"),5))*(VLOOKUP($B$5,标准坦克设计!$B$24:$U$30,MATCH("对"&amp;LEFT($C$5,2)&amp;"输出",标准坦克设计!$B$23:$U$23,0)))*(VLOOKUP($B135,INDIRECT($B$5&amp;"生成成长"),3))*(VLOOKUP($B$5,标准坦克设计!$B$14:$K$20,9)/30))</f>
        <v>16.457104400430953</v>
      </c>
      <c r="AG135" s="172">
        <f ca="1">(VLOOKUP(AG$72,INDIRECT($C$5&amp;"生成成长"),2))/((VLOOKUP($B135,INDIRECT($B$5&amp;"生成成长"),4))/(VLOOKUP(AG$72,INDIRECT($C$5&amp;"生成成长"),5))*(VLOOKUP($B$5,标准坦克设计!$B$24:$U$30,MATCH("对"&amp;LEFT($C$5,2)&amp;"输出",标准坦克设计!$B$23:$U$23,0)))*(VLOOKUP($B135,INDIRECT($B$5&amp;"生成成长"),3))*(VLOOKUP($B$5,标准坦克设计!$B$14:$K$20,9)/30))</f>
        <v>17.73238783067152</v>
      </c>
      <c r="AH135" s="172">
        <f ca="1">(VLOOKUP(AH$72,INDIRECT($C$5&amp;"生成成长"),2))/((VLOOKUP($B135,INDIRECT($B$5&amp;"生成成长"),4))/(VLOOKUP(AH$72,INDIRECT($C$5&amp;"生成成长"),5))*(VLOOKUP($B$5,标准坦克设计!$B$24:$U$30,MATCH("对"&amp;LEFT($C$5,2)&amp;"输出",标准坦克设计!$B$23:$U$23,0)))*(VLOOKUP($B135,INDIRECT($B$5&amp;"生成成长"),3))*(VLOOKUP($B$5,标准坦克设计!$B$14:$K$20,9)/30))</f>
        <v>19.055256463533006</v>
      </c>
      <c r="AI135" s="172">
        <f ca="1">(VLOOKUP(AI$72,INDIRECT($C$5&amp;"生成成长"),2))/((VLOOKUP($B135,INDIRECT($B$5&amp;"生成成长"),4))/(VLOOKUP(AI$72,INDIRECT($C$5&amp;"生成成长"),5))*(VLOOKUP($B$5,标准坦克设计!$B$24:$U$30,MATCH("对"&amp;LEFT($C$5,2)&amp;"输出",标准坦克设计!$B$23:$U$23,0)))*(VLOOKUP($B135,INDIRECT($B$5&amp;"生成成长"),3))*(VLOOKUP($B$5,标准坦克设计!$B$14:$K$20,9)/30))</f>
        <v>13.477081086296041</v>
      </c>
      <c r="AJ135" s="172">
        <f ca="1">(VLOOKUP(AJ$72,INDIRECT($C$5&amp;"生成成长"),2))/((VLOOKUP($B135,INDIRECT($B$5&amp;"生成成长"),4))/(VLOOKUP(AJ$72,INDIRECT($C$5&amp;"生成成长"),5))*(VLOOKUP($B$5,标准坦克设计!$B$24:$U$30,MATCH("对"&amp;LEFT($C$5,2)&amp;"输出",标准坦克设计!$B$23:$U$23,0)))*(VLOOKUP($B135,INDIRECT($B$5&amp;"生成成长"),3))*(VLOOKUP($B$5,标准坦克设计!$B$14:$K$20,9)/30))</f>
        <v>14.751650738497297</v>
      </c>
      <c r="AK135" s="172">
        <f ca="1">(VLOOKUP(AK$72,INDIRECT($C$5&amp;"生成成长"),2))/((VLOOKUP($B135,INDIRECT($B$5&amp;"生成成长"),4))/(VLOOKUP(AK$72,INDIRECT($C$5&amp;"生成成长"),5))*(VLOOKUP($B$5,标准坦克设计!$B$24:$U$30,MATCH("对"&amp;LEFT($C$5,2)&amp;"输出",标准坦克设计!$B$23:$U$23,0)))*(VLOOKUP($B135,INDIRECT($B$5&amp;"生成成长"),3))*(VLOOKUP($B$5,标准坦克设计!$B$14:$K$20,9)/30))</f>
        <v>16.08379848586986</v>
      </c>
      <c r="AL135" s="172">
        <f ca="1">(VLOOKUP(AL$72,INDIRECT($C$5&amp;"生成成长"),2))/((VLOOKUP($B135,INDIRECT($B$5&amp;"生成成长"),4))/(VLOOKUP(AL$72,INDIRECT($C$5&amp;"生成成长"),5))*(VLOOKUP($B$5,标准坦克设计!$B$24:$U$30,MATCH("对"&amp;LEFT($C$5,2)&amp;"输出",标准坦克设计!$B$23:$U$23,0)))*(VLOOKUP($B135,INDIRECT($B$5&amp;"生成成长"),3))*(VLOOKUP($B$5,标准坦克设计!$B$14:$K$20,9)/30))</f>
        <v>17.473524328413735</v>
      </c>
      <c r="AM135" s="172">
        <f ca="1">(VLOOKUP(AM$72,INDIRECT($C$5&amp;"生成成长"),2))/((VLOOKUP($B135,INDIRECT($B$5&amp;"生成成长"),4))/(VLOOKUP(AM$72,INDIRECT($C$5&amp;"生成成长"),5))*(VLOOKUP($B$5,标准坦克设计!$B$24:$U$30,MATCH("对"&amp;LEFT($C$5,2)&amp;"输出",标准坦克设计!$B$23:$U$23,0)))*(VLOOKUP($B135,INDIRECT($B$5&amp;"生成成长"),3))*(VLOOKUP($B$5,标准坦克设计!$B$14:$K$20,9)/30))</f>
        <v>18.920828266128918</v>
      </c>
      <c r="AN135" s="172">
        <f ca="1">(VLOOKUP(AN$72,INDIRECT($C$5&amp;"生成成长"),2))/((VLOOKUP($B135,INDIRECT($B$5&amp;"生成成长"),4))/(VLOOKUP(AN$72,INDIRECT($C$5&amp;"生成成长"),5))*(VLOOKUP($B$5,标准坦克设计!$B$24:$U$30,MATCH("对"&amp;LEFT($C$5,2)&amp;"输出",标准坦克设计!$B$23:$U$23,0)))*(VLOOKUP($B135,INDIRECT($B$5&amp;"生成成长"),3))*(VLOOKUP($B$5,标准坦克设计!$B$14:$K$20,9)/30))</f>
        <v>20.425710299015407</v>
      </c>
      <c r="AO135" s="172">
        <f ca="1">(VLOOKUP(AO$72,INDIRECT($C$5&amp;"生成成长"),2))/((VLOOKUP($B135,INDIRECT($B$5&amp;"生成成长"),4))/(VLOOKUP(AO$72,INDIRECT($C$5&amp;"生成成长"),5))*(VLOOKUP($B$5,标准坦克设计!$B$24:$U$30,MATCH("对"&amp;LEFT($C$5,2)&amp;"输出",标准坦克设计!$B$23:$U$23,0)))*(VLOOKUP($B135,INDIRECT($B$5&amp;"生成成长"),3))*(VLOOKUP($B$5,标准坦克设计!$B$14:$K$20,9)/30))</f>
        <v>21.988170427073211</v>
      </c>
      <c r="AP135" s="172">
        <f ca="1">(VLOOKUP(AP$72,INDIRECT($C$5&amp;"生成成长"),2))/((VLOOKUP($B135,INDIRECT($B$5&amp;"生成成长"),4))/(VLOOKUP(AP$72,INDIRECT($C$5&amp;"生成成长"),5))*(VLOOKUP($B$5,标准坦克设计!$B$24:$U$30,MATCH("对"&amp;LEFT($C$5,2)&amp;"输出",标准坦克设计!$B$23:$U$23,0)))*(VLOOKUP($B135,INDIRECT($B$5&amp;"生成成长"),3))*(VLOOKUP($B$5,标准坦克设计!$B$14:$K$20,9)/30))</f>
        <v>23.608208650302323</v>
      </c>
      <c r="AQ135" s="172">
        <f ca="1">(VLOOKUP(AQ$72,INDIRECT($C$5&amp;"生成成长"),2))/((VLOOKUP($B135,INDIRECT($B$5&amp;"生成成长"),4))/(VLOOKUP(AQ$72,INDIRECT($C$5&amp;"生成成长"),5))*(VLOOKUP($B$5,标准坦克设计!$B$24:$U$30,MATCH("对"&amp;LEFT($C$5,2)&amp;"输出",标准坦克设计!$B$23:$U$23,0)))*(VLOOKUP($B135,INDIRECT($B$5&amp;"生成成长"),3))*(VLOOKUP($B$5,标准坦克设计!$B$14:$K$20,9)/30))</f>
        <v>25.285824968702745</v>
      </c>
      <c r="AR135" s="172">
        <f ca="1">(VLOOKUP(AR$72,INDIRECT($C$5&amp;"生成成长"),2))/((VLOOKUP($B135,INDIRECT($B$5&amp;"生成成长"),4))/(VLOOKUP(AR$72,INDIRECT($C$5&amp;"生成成长"),5))*(VLOOKUP($B$5,标准坦克设计!$B$24:$U$30,MATCH("对"&amp;LEFT($C$5,2)&amp;"输出",标准坦克设计!$B$23:$U$23,0)))*(VLOOKUP($B135,INDIRECT($B$5&amp;"生成成长"),3))*(VLOOKUP($B$5,标准坦克设计!$B$14:$K$20,9)/30))</f>
        <v>27.021019382274471</v>
      </c>
      <c r="AS135" s="172">
        <f ca="1">(VLOOKUP(AS$72,INDIRECT($C$5&amp;"生成成长"),2))/((VLOOKUP($B135,INDIRECT($B$5&amp;"生成成长"),4))/(VLOOKUP(AS$72,INDIRECT($C$5&amp;"生成成长"),5))*(VLOOKUP($B$5,标准坦克设计!$B$24:$U$30,MATCH("对"&amp;LEFT($C$5,2)&amp;"输出",标准坦克设计!$B$23:$U$23,0)))*(VLOOKUP($B135,INDIRECT($B$5&amp;"生成成长"),3))*(VLOOKUP($B$5,标准坦克设计!$B$14:$K$20,9)/30))</f>
        <v>28.813791891017505</v>
      </c>
      <c r="AT135" s="172">
        <f ca="1">(VLOOKUP(AT$72,INDIRECT($C$5&amp;"生成成长"),2))/((VLOOKUP($B135,INDIRECT($B$5&amp;"生成成长"),4))/(VLOOKUP(AT$72,INDIRECT($C$5&amp;"生成成长"),5))*(VLOOKUP($B$5,标准坦克设计!$B$24:$U$30,MATCH("对"&amp;LEFT($C$5,2)&amp;"输出",标准坦克设计!$B$23:$U$23,0)))*(VLOOKUP($B135,INDIRECT($B$5&amp;"生成成长"),3))*(VLOOKUP($B$5,标准坦克设计!$B$14:$K$20,9)/30))</f>
        <v>30.664142494931863</v>
      </c>
      <c r="AU135" s="172">
        <f ca="1">(VLOOKUP(AU$72,INDIRECT($C$5&amp;"生成成长"),2))/((VLOOKUP($B135,INDIRECT($B$5&amp;"生成成长"),4))/(VLOOKUP(AU$72,INDIRECT($C$5&amp;"生成成长"),5))*(VLOOKUP($B$5,标准坦克设计!$B$24:$U$30,MATCH("对"&amp;LEFT($C$5,2)&amp;"输出",标准坦克设计!$B$23:$U$23,0)))*(VLOOKUP($B135,INDIRECT($B$5&amp;"生成成长"),3))*(VLOOKUP($B$5,标准坦克设计!$B$14:$K$20,9)/30))</f>
        <v>32.572071194017518</v>
      </c>
      <c r="AV135" s="172">
        <f ca="1">(VLOOKUP(AV$72,INDIRECT($C$5&amp;"生成成长"),2))/((VLOOKUP($B135,INDIRECT($B$5&amp;"生成成长"),4))/(VLOOKUP(AV$72,INDIRECT($C$5&amp;"生成成长"),5))*(VLOOKUP($B$5,标准坦克设计!$B$24:$U$30,MATCH("对"&amp;LEFT($C$5,2)&amp;"输出",标准坦克设计!$B$23:$U$23,0)))*(VLOOKUP($B135,INDIRECT($B$5&amp;"生成成长"),3))*(VLOOKUP($B$5,标准坦克设计!$B$14:$K$20,9)/30))</f>
        <v>3.3128818064682242</v>
      </c>
      <c r="AW135" s="172">
        <f ca="1">(VLOOKUP(AW$72,INDIRECT($C$5&amp;"生成成长"),2))/((VLOOKUP($B135,INDIRECT($B$5&amp;"生成成长"),4))/(VLOOKUP(AW$72,INDIRECT($C$5&amp;"生成成长"),5))*(VLOOKUP($B$5,标准坦克设计!$B$24:$U$30,MATCH("对"&amp;LEFT($C$5,2)&amp;"输出",标准坦克设计!$B$23:$U$23,0)))*(VLOOKUP($B135,INDIRECT($B$5&amp;"生成成长"),3))*(VLOOKUP($B$5,标准坦克设计!$B$14:$K$20,9)/30))</f>
        <v>3.7773133840483717</v>
      </c>
      <c r="AX135" s="172">
        <f ca="1">(VLOOKUP(AX$72,INDIRECT($C$5&amp;"生成成长"),2))/((VLOOKUP($B135,INDIRECT($B$5&amp;"生成成长"),4))/(VLOOKUP(AX$72,INDIRECT($C$5&amp;"生成成长"),5))*(VLOOKUP($B$5,标准坦克设计!$B$24:$U$30,MATCH("对"&amp;LEFT($C$5,2)&amp;"输出",标准坦克设计!$B$23:$U$23,0)))*(VLOOKUP($B135,INDIRECT($B$5&amp;"生成成长"),3))*(VLOOKUP($B$5,标准坦克设计!$B$14:$K$20,9)/30))</f>
        <v>4.2721994913059058</v>
      </c>
      <c r="AY135" s="172">
        <f ca="1">(VLOOKUP(AY$72,INDIRECT($C$5&amp;"生成成长"),2))/((VLOOKUP($B135,INDIRECT($B$5&amp;"生成成长"),4))/(VLOOKUP(AY$72,INDIRECT($C$5&amp;"生成成长"),5))*(VLOOKUP($B$5,标准坦克设计!$B$24:$U$30,MATCH("对"&amp;LEFT($C$5,2)&amp;"输出",标准坦克设计!$B$23:$U$23,0)))*(VLOOKUP($B135,INDIRECT($B$5&amp;"生成成长"),3))*(VLOOKUP($B$5,标准坦克设计!$B$14:$K$20,9)/30))</f>
        <v>4.7975401282408265</v>
      </c>
      <c r="AZ135" s="172">
        <f ca="1">(VLOOKUP(AZ$72,INDIRECT($C$5&amp;"生成成长"),2))/((VLOOKUP($B135,INDIRECT($B$5&amp;"生成成长"),4))/(VLOOKUP(AZ$72,INDIRECT($C$5&amp;"生成成长"),5))*(VLOOKUP($B$5,标准坦克设计!$B$24:$U$30,MATCH("对"&amp;LEFT($C$5,2)&amp;"输出",标准坦克设计!$B$23:$U$23,0)))*(VLOOKUP($B135,INDIRECT($B$5&amp;"生成成长"),3))*(VLOOKUP($B$5,标准坦克设计!$B$14:$K$20,9)/30))</f>
        <v>5.3533352948531343</v>
      </c>
      <c r="BA135" s="172">
        <f ca="1">(VLOOKUP(BA$72,INDIRECT($C$5&amp;"生成成长"),2))/((VLOOKUP($B135,INDIRECT($B$5&amp;"生成成长"),4))/(VLOOKUP(BA$72,INDIRECT($C$5&amp;"生成成长"),5))*(VLOOKUP($B$5,标准坦克设计!$B$24:$U$30,MATCH("对"&amp;LEFT($C$5,2)&amp;"输出",标准坦克设计!$B$23:$U$23,0)))*(VLOOKUP($B135,INDIRECT($B$5&amp;"生成成长"),3))*(VLOOKUP($B$5,标准坦克设计!$B$14:$K$20,9)/30))</f>
        <v>5.9395849911428282</v>
      </c>
      <c r="BB135" s="172">
        <f ca="1">(VLOOKUP(BB$72,INDIRECT($C$5&amp;"生成成长"),2))/((VLOOKUP($B135,INDIRECT($B$5&amp;"生成成长"),4))/(VLOOKUP(BB$72,INDIRECT($C$5&amp;"生成成长"),5))*(VLOOKUP($B$5,标准坦克设计!$B$24:$U$30,MATCH("对"&amp;LEFT($C$5,2)&amp;"输出",标准坦克设计!$B$23:$U$23,0)))*(VLOOKUP($B135,INDIRECT($B$5&amp;"生成成长"),3))*(VLOOKUP($B$5,标准坦克设计!$B$14:$K$20,9)/30))</f>
        <v>6.5562892171099083</v>
      </c>
      <c r="BC135" s="172">
        <f ca="1">(VLOOKUP(BC$72,INDIRECT($C$5&amp;"生成成长"),2))/((VLOOKUP($B135,INDIRECT($B$5&amp;"生成成长"),4))/(VLOOKUP(BC$72,INDIRECT($C$5&amp;"生成成长"),5))*(VLOOKUP($B$5,标准坦克设计!$B$24:$U$30,MATCH("对"&amp;LEFT($C$5,2)&amp;"输出",标准坦克设计!$B$23:$U$23,0)))*(VLOOKUP($B135,INDIRECT($B$5&amp;"生成成长"),3))*(VLOOKUP($B$5,标准坦克设计!$B$14:$K$20,9)/30))</f>
        <v>7.2034479727543763</v>
      </c>
      <c r="BD135" s="172">
        <f ca="1">(VLOOKUP(BD$72,INDIRECT($C$5&amp;"生成成长"),2))/((VLOOKUP($B135,INDIRECT($B$5&amp;"生成成长"),4))/(VLOOKUP(BD$72,INDIRECT($C$5&amp;"生成成长"),5))*(VLOOKUP($B$5,标准坦克设计!$B$24:$U$30,MATCH("对"&amp;LEFT($C$5,2)&amp;"输出",标准坦克设计!$B$23:$U$23,0)))*(VLOOKUP($B135,INDIRECT($B$5&amp;"生成成长"),3))*(VLOOKUP($B$5,标准坦克设计!$B$14:$K$20,9)/30))</f>
        <v>7.9679042528594035</v>
      </c>
      <c r="BE135" s="172">
        <f ca="1">(VLOOKUP(BE$72,INDIRECT($C$5&amp;"生成成长"),2))/((VLOOKUP($B135,INDIRECT($B$5&amp;"生成成长"),4))/(VLOOKUP(BE$72,INDIRECT($C$5&amp;"生成成长"),5))*(VLOOKUP($B$5,标准坦克设计!$B$24:$U$30,MATCH("对"&amp;LEFT($C$5,2)&amp;"输出",标准坦克设计!$B$23:$U$23,0)))*(VLOOKUP($B135,INDIRECT($B$5&amp;"生成成长"),3))*(VLOOKUP($B$5,标准坦克设计!$B$14:$K$20,9)/30))</f>
        <v>8.7709045470873743</v>
      </c>
      <c r="BF135" s="172">
        <f ca="1">(VLOOKUP(BF$72,INDIRECT($C$5&amp;"生成成长"),2))/((VLOOKUP($B135,INDIRECT($B$5&amp;"生成成长"),4))/(VLOOKUP(BF$72,INDIRECT($C$5&amp;"生成成长"),5))*(VLOOKUP($B$5,标准坦克设计!$B$24:$U$30,MATCH("对"&amp;LEFT($C$5,2)&amp;"输出",标准坦克设计!$B$23:$U$23,0)))*(VLOOKUP($B135,INDIRECT($B$5&amp;"生成成长"),3))*(VLOOKUP($B$5,标准坦克设计!$B$14:$K$20,9)/30))</f>
        <v>9.6124488554382896</v>
      </c>
      <c r="BG135" s="172">
        <f ca="1">(VLOOKUP(BG$72,INDIRECT($C$5&amp;"生成成长"),2))/((VLOOKUP($B135,INDIRECT($B$5&amp;"生成成长"),4))/(VLOOKUP(BG$72,INDIRECT($C$5&amp;"生成成长"),5))*(VLOOKUP($B$5,标准坦克设计!$B$24:$U$30,MATCH("对"&amp;LEFT($C$5,2)&amp;"输出",标准坦克设计!$B$23:$U$23,0)))*(VLOOKUP($B135,INDIRECT($B$5&amp;"生成成长"),3))*(VLOOKUP($B$5,标准坦克设计!$B$14:$K$20,9)/30))</f>
        <v>10.492537177912146</v>
      </c>
      <c r="BH135" s="172">
        <f ca="1">(VLOOKUP(BH$72,INDIRECT($C$5&amp;"生成成长"),2))/((VLOOKUP($B135,INDIRECT($B$5&amp;"生成成长"),4))/(VLOOKUP(BH$72,INDIRECT($C$5&amp;"生成成长"),5))*(VLOOKUP($B$5,标准坦克设计!$B$24:$U$30,MATCH("对"&amp;LEFT($C$5,2)&amp;"输出",标准坦克设计!$B$23:$U$23,0)))*(VLOOKUP($B135,INDIRECT($B$5&amp;"生成成长"),3))*(VLOOKUP($B$5,标准坦克设计!$B$14:$K$20,9)/30))</f>
        <v>5.0716308953373082</v>
      </c>
      <c r="BI135" s="172">
        <f ca="1">(VLOOKUP(BI$72,INDIRECT($C$5&amp;"生成成长"),2))/((VLOOKUP($B135,INDIRECT($B$5&amp;"生成成长"),4))/(VLOOKUP(BI$72,INDIRECT($C$5&amp;"生成成长"),5))*(VLOOKUP($B$5,标准坦克设计!$B$24:$U$30,MATCH("对"&amp;LEFT($C$5,2)&amp;"输出",标准坦克设计!$B$23:$U$23,0)))*(VLOOKUP($B135,INDIRECT($B$5&amp;"生成成长"),3))*(VLOOKUP($B$5,标准坦克设计!$B$14:$K$20,9)/30))</f>
        <v>5.7161724648376255</v>
      </c>
      <c r="BJ135" s="172">
        <f ca="1">(VLOOKUP(BJ$72,INDIRECT($C$5&amp;"生成成长"),2))/((VLOOKUP($B135,INDIRECT($B$5&amp;"生成成长"),4))/(VLOOKUP(BJ$72,INDIRECT($C$5&amp;"生成成长"),5))*(VLOOKUP($B$5,标准坦克设计!$B$24:$U$30,MATCH("对"&amp;LEFT($C$5,2)&amp;"输出",标准坦克设计!$B$23:$U$23,0)))*(VLOOKUP($B135,INDIRECT($B$5&amp;"生成成长"),3))*(VLOOKUP($B$5,标准坦克设计!$B$14:$K$20,9)/30))</f>
        <v>6.3992580484608848</v>
      </c>
      <c r="BK135" s="172">
        <f ca="1">(VLOOKUP(BK$72,INDIRECT($C$5&amp;"生成成长"),2))/((VLOOKUP($B135,INDIRECT($B$5&amp;"生成成长"),4))/(VLOOKUP(BK$72,INDIRECT($C$5&amp;"生成成长"),5))*(VLOOKUP($B$5,标准坦克设计!$B$24:$U$30,MATCH("对"&amp;LEFT($C$5,2)&amp;"输出",标准坦克设计!$B$23:$U$23,0)))*(VLOOKUP($B135,INDIRECT($B$5&amp;"生成成长"),3))*(VLOOKUP($B$5,标准坦克设计!$B$14:$K$20,9)/30))</f>
        <v>7.1208876462070867</v>
      </c>
      <c r="BL135" s="172">
        <f ca="1">(VLOOKUP(BL$72,INDIRECT($C$5&amp;"生成成长"),2))/((VLOOKUP($B135,INDIRECT($B$5&amp;"生成成长"),4))/(VLOOKUP(BL$72,INDIRECT($C$5&amp;"生成成长"),5))*(VLOOKUP($B$5,标准坦克设计!$B$24:$U$30,MATCH("对"&amp;LEFT($C$5,2)&amp;"输出",标准坦克设计!$B$23:$U$23,0)))*(VLOOKUP($B135,INDIRECT($B$5&amp;"生成成长"),3))*(VLOOKUP($B$5,标准坦克设计!$B$14:$K$20,9)/30))</f>
        <v>7.8810612580762323</v>
      </c>
      <c r="BM135" s="172">
        <f ca="1">(VLOOKUP(BM$72,INDIRECT($C$5&amp;"生成成长"),2))/((VLOOKUP($B135,INDIRECT($B$5&amp;"生成成长"),4))/(VLOOKUP(BM$72,INDIRECT($C$5&amp;"生成成长"),5))*(VLOOKUP($B$5,标准坦克设计!$B$24:$U$30,MATCH("对"&amp;LEFT($C$5,2)&amp;"输出",标准坦克设计!$B$23:$U$23,0)))*(VLOOKUP($B135,INDIRECT($B$5&amp;"生成成长"),3))*(VLOOKUP($B$5,标准坦克设计!$B$14:$K$20,9)/30))</f>
        <v>8.6797788840683197</v>
      </c>
      <c r="BN135" s="172">
        <f ca="1">(VLOOKUP(BN$72,INDIRECT($C$5&amp;"生成成长"),2))/((VLOOKUP($B135,INDIRECT($B$5&amp;"生成成长"),4))/(VLOOKUP(BN$72,INDIRECT($C$5&amp;"生成成长"),5))*(VLOOKUP($B$5,标准坦克设计!$B$24:$U$30,MATCH("对"&amp;LEFT($C$5,2)&amp;"输出",标准坦克设计!$B$23:$U$23,0)))*(VLOOKUP($B135,INDIRECT($B$5&amp;"生成成长"),3))*(VLOOKUP($B$5,标准坦克设计!$B$14:$K$20,9)/30))</f>
        <v>9.5170405241833507</v>
      </c>
      <c r="BO135" s="172">
        <f ca="1">(VLOOKUP(BO$72,INDIRECT($C$5&amp;"生成成长"),2))/((VLOOKUP($B135,INDIRECT($B$5&amp;"生成成长"),4))/(VLOOKUP(BO$72,INDIRECT($C$5&amp;"生成成长"),5))*(VLOOKUP($B$5,标准坦克设计!$B$24:$U$30,MATCH("对"&amp;LEFT($C$5,2)&amp;"输出",标准坦克设计!$B$23:$U$23,0)))*(VLOOKUP($B135,INDIRECT($B$5&amp;"生成成长"),3))*(VLOOKUP($B$5,标准坦克设计!$B$14:$K$20,9)/30))</f>
        <v>10.392846178421323</v>
      </c>
      <c r="BP135" s="172">
        <f ca="1">(VLOOKUP(BP$72,INDIRECT($C$5&amp;"生成成长"),2))/((VLOOKUP($B135,INDIRECT($B$5&amp;"生成成长"),4))/(VLOOKUP(BP$72,INDIRECT($C$5&amp;"生成成长"),5))*(VLOOKUP($B$5,标准坦克设计!$B$24:$U$30,MATCH("对"&amp;LEFT($C$5,2)&amp;"输出",标准坦克设计!$B$23:$U$23,0)))*(VLOOKUP($B135,INDIRECT($B$5&amp;"生成成长"),3))*(VLOOKUP($B$5,标准坦克设计!$B$14:$K$20,9)/30))</f>
        <v>11.307195846782237</v>
      </c>
      <c r="BQ135" s="172">
        <f ca="1">(VLOOKUP(BQ$72,INDIRECT($C$5&amp;"生成成长"),2))/((VLOOKUP($B135,INDIRECT($B$5&amp;"生成成长"),4))/(VLOOKUP(BQ$72,INDIRECT($C$5&amp;"生成成长"),5))*(VLOOKUP($B$5,标准坦克设计!$B$24:$U$30,MATCH("对"&amp;LEFT($C$5,2)&amp;"输出",标准坦克设计!$B$23:$U$23,0)))*(VLOOKUP($B135,INDIRECT($B$5&amp;"生成成长"),3))*(VLOOKUP($B$5,标准坦克设计!$B$14:$K$20,9)/30))</f>
        <v>12.260089529266097</v>
      </c>
      <c r="BR135" s="172">
        <f ca="1">(VLOOKUP(BR$72,INDIRECT($C$5&amp;"生成成长"),2))/((VLOOKUP($B135,INDIRECT($B$5&amp;"生成成长"),4))/(VLOOKUP(BR$72,INDIRECT($C$5&amp;"生成成长"),5))*(VLOOKUP($B$5,标准坦克设计!$B$24:$U$30,MATCH("对"&amp;LEFT($C$5,2)&amp;"输出",标准坦克设计!$B$23:$U$23,0)))*(VLOOKUP($B135,INDIRECT($B$5&amp;"生成成长"),3))*(VLOOKUP($B$5,标准坦克设计!$B$14:$K$20,9)/30))</f>
        <v>13.364066230071362</v>
      </c>
      <c r="BS135" s="172">
        <f ca="1">(VLOOKUP(BS$72,INDIRECT($C$5&amp;"生成成长"),2))/((VLOOKUP($B135,INDIRECT($B$5&amp;"生成成长"),4))/(VLOOKUP(BS$72,INDIRECT($C$5&amp;"生成成长"),5))*(VLOOKUP($B$5,标准坦克设计!$B$24:$U$30,MATCH("对"&amp;LEFT($C$5,2)&amp;"输出",标准坦克设计!$B$23:$U$23,0)))*(VLOOKUP($B135,INDIRECT($B$5&amp;"生成成长"),3))*(VLOOKUP($B$5,标准坦克设计!$B$14:$K$20,9)/30))</f>
        <v>14.51562813349755</v>
      </c>
      <c r="BT135" s="172">
        <f ca="1">(VLOOKUP(BT$72,INDIRECT($C$5&amp;"生成成长"),2))/((VLOOKUP($B135,INDIRECT($B$5&amp;"生成成长"),4))/(VLOOKUP(BT$72,INDIRECT($C$5&amp;"生成成长"),5))*(VLOOKUP($B$5,标准坦克设计!$B$24:$U$30,MATCH("对"&amp;LEFT($C$5,2)&amp;"输出",标准坦克设计!$B$23:$U$23,0)))*(VLOOKUP($B135,INDIRECT($B$5&amp;"生成成长"),3))*(VLOOKUP($B$5,标准坦克设计!$B$14:$K$20,9)/30))</f>
        <v>15.714775239544652</v>
      </c>
      <c r="BU135" s="172">
        <f ca="1">(VLOOKUP(BU$72,INDIRECT($C$5&amp;"生成成长"),2))/((VLOOKUP($B135,INDIRECT($B$5&amp;"生成成长"),4))/(VLOOKUP(BU$72,INDIRECT($C$5&amp;"生成成长"),5))*(VLOOKUP($B$5,标准坦克设计!$B$24:$U$30,MATCH("对"&amp;LEFT($C$5,2)&amp;"输出",标准坦克设计!$B$23:$U$23,0)))*(VLOOKUP($B135,INDIRECT($B$5&amp;"生成成长"),3))*(VLOOKUP($B$5,标准坦克设计!$B$14:$K$20,9)/30))</f>
        <v>16.961507548212673</v>
      </c>
      <c r="BV135" s="172">
        <f ca="1">(VLOOKUP(BV$72,INDIRECT($C$5&amp;"生成成长"),2))/((VLOOKUP($B135,INDIRECT($B$5&amp;"生成成长"),4))/(VLOOKUP(BV$72,INDIRECT($C$5&amp;"生成成长"),5))*(VLOOKUP($B$5,标准坦克设计!$B$24:$U$30,MATCH("对"&amp;LEFT($C$5,2)&amp;"输出",标准坦克设计!$B$23:$U$23,0)))*(VLOOKUP($B135,INDIRECT($B$5&amp;"生成成长"),3))*(VLOOKUP($B$5,标准坦克设计!$B$14:$K$20,9)/30))</f>
        <v>18.255825059501603</v>
      </c>
      <c r="BW135" s="172">
        <f ca="1">(VLOOKUP(BW$72,INDIRECT($C$5&amp;"生成成长"),2))/((VLOOKUP($B135,INDIRECT($B$5&amp;"生成成长"),4))/(VLOOKUP(BW$72,INDIRECT($C$5&amp;"生成成长"),5))*(VLOOKUP($B$5,标准坦克设计!$B$24:$U$30,MATCH("对"&amp;LEFT($C$5,2)&amp;"输出",标准坦克设计!$B$23:$U$23,0)))*(VLOOKUP($B135,INDIRECT($B$5&amp;"生成成长"),3))*(VLOOKUP($B$5,标准坦克设计!$B$14:$K$20,9)/30))</f>
        <v>8.3200347522541893</v>
      </c>
      <c r="BX135" s="172">
        <f ca="1">(VLOOKUP(BX$72,INDIRECT($C$5&amp;"生成成长"),2))/((VLOOKUP($B135,INDIRECT($B$5&amp;"生成成长"),4))/(VLOOKUP(BX$72,INDIRECT($C$5&amp;"生成成长"),5))*(VLOOKUP($B$5,标准坦克设计!$B$24:$U$30,MATCH("对"&amp;LEFT($C$5,2)&amp;"输出",标准坦克设计!$B$23:$U$23,0)))*(VLOOKUP($B135,INDIRECT($B$5&amp;"生成成长"),3))*(VLOOKUP($B$5,标准坦克设计!$B$14:$K$20,9)/30))</f>
        <v>9.23367064257579</v>
      </c>
      <c r="BY135" s="172">
        <f ca="1">(VLOOKUP(BY$72,INDIRECT($C$5&amp;"生成成长"),2))/((VLOOKUP($B135,INDIRECT($B$5&amp;"生成成长"),4))/(VLOOKUP(BY$72,INDIRECT($C$5&amp;"生成成长"),5))*(VLOOKUP($B$5,标准坦克设计!$B$24:$U$30,MATCH("对"&amp;LEFT($C$5,2)&amp;"输出",标准坦克设计!$B$23:$U$23,0)))*(VLOOKUP($B135,INDIRECT($B$5&amp;"生成成长"),3))*(VLOOKUP($B$5,标准坦克设计!$B$14:$K$20,9)/30))</f>
        <v>10.19489173551831</v>
      </c>
      <c r="BZ135" s="172">
        <f ca="1">(VLOOKUP(BZ$72,INDIRECT($C$5&amp;"生成成长"),2))/((VLOOKUP($B135,INDIRECT($B$5&amp;"生成成长"),4))/(VLOOKUP(BZ$72,INDIRECT($C$5&amp;"生成成长"),5))*(VLOOKUP($B$5,标准坦克设计!$B$24:$U$30,MATCH("对"&amp;LEFT($C$5,2)&amp;"输出",标准坦克设计!$B$23:$U$23,0)))*(VLOOKUP($B135,INDIRECT($B$5&amp;"生成成长"),3))*(VLOOKUP($B$5,标准坦克设计!$B$14:$K$20,9)/30))</f>
        <v>11.203698031081744</v>
      </c>
      <c r="CA135" s="172">
        <f ca="1">(VLOOKUP(CA$72,INDIRECT($C$5&amp;"生成成长"),2))/((VLOOKUP($B135,INDIRECT($B$5&amp;"生成成长"),4))/(VLOOKUP(CA$72,INDIRECT($C$5&amp;"生成成长"),5))*(VLOOKUP($B$5,标准坦克设计!$B$24:$U$30,MATCH("对"&amp;LEFT($C$5,2)&amp;"输出",标准坦克设计!$B$23:$U$23,0)))*(VLOOKUP($B135,INDIRECT($B$5&amp;"生成成长"),3))*(VLOOKUP($B$5,标准坦克设计!$B$14:$K$20,9)/30))</f>
        <v>12.260089529266097</v>
      </c>
      <c r="CB135" s="172">
        <f ca="1">(VLOOKUP(CB$72,INDIRECT($C$5&amp;"生成成长"),2))/((VLOOKUP($B135,INDIRECT($B$5&amp;"生成成长"),4))/(VLOOKUP(CB$72,INDIRECT($C$5&amp;"生成成长"),5))*(VLOOKUP($B$5,标准坦克设计!$B$24:$U$30,MATCH("对"&amp;LEFT($C$5,2)&amp;"输出",标准坦克设计!$B$23:$U$23,0)))*(VLOOKUP($B135,INDIRECT($B$5&amp;"生成成长"),3))*(VLOOKUP($B$5,标准坦克设计!$B$14:$K$20,9)/30))</f>
        <v>13.364066230071362</v>
      </c>
      <c r="CC135" s="172">
        <f ca="1">(VLOOKUP(CC$72,INDIRECT($C$5&amp;"生成成长"),2))/((VLOOKUP($B135,INDIRECT($B$5&amp;"生成成长"),4))/(VLOOKUP(CC$72,INDIRECT($C$5&amp;"生成成长"),5))*(VLOOKUP($B$5,标准坦克设计!$B$24:$U$30,MATCH("对"&amp;LEFT($C$5,2)&amp;"输出",标准坦克设计!$B$23:$U$23,0)))*(VLOOKUP($B135,INDIRECT($B$5&amp;"生成成长"),3))*(VLOOKUP($B$5,标准坦克设计!$B$14:$K$20,9)/30))</f>
        <v>14.51562813349755</v>
      </c>
      <c r="CD135" s="172">
        <f ca="1">(VLOOKUP(CD$72,INDIRECT($C$5&amp;"生成成长"),2))/((VLOOKUP($B135,INDIRECT($B$5&amp;"生成成长"),4))/(VLOOKUP(CD$72,INDIRECT($C$5&amp;"生成成长"),5))*(VLOOKUP($B$5,标准坦克设计!$B$24:$U$30,MATCH("对"&amp;LEFT($C$5,2)&amp;"输出",标准坦克设计!$B$23:$U$23,0)))*(VLOOKUP($B135,INDIRECT($B$5&amp;"生成成长"),3))*(VLOOKUP($B$5,标准坦克设计!$B$14:$K$20,9)/30))</f>
        <v>15.714775239544652</v>
      </c>
      <c r="CE135" s="172">
        <f ca="1">(VLOOKUP(CE$72,INDIRECT($C$5&amp;"生成成长"),2))/((VLOOKUP($B135,INDIRECT($B$5&amp;"生成成长"),4))/(VLOOKUP(CE$72,INDIRECT($C$5&amp;"生成成长"),5))*(VLOOKUP($B$5,标准坦克设计!$B$24:$U$30,MATCH("对"&amp;LEFT($C$5,2)&amp;"输出",标准坦克设计!$B$23:$U$23,0)))*(VLOOKUP($B135,INDIRECT($B$5&amp;"生成成长"),3))*(VLOOKUP($B$5,标准坦克设计!$B$14:$K$20,9)/30))</f>
        <v>16.961507548212673</v>
      </c>
      <c r="CF135" s="172">
        <f ca="1">(VLOOKUP(CF$72,INDIRECT($C$5&amp;"生成成长"),2))/((VLOOKUP($B135,INDIRECT($B$5&amp;"生成成长"),4))/(VLOOKUP(CF$72,INDIRECT($C$5&amp;"生成成长"),5))*(VLOOKUP($B$5,标准坦克设计!$B$24:$U$30,MATCH("对"&amp;LEFT($C$5,2)&amp;"输出",标准坦克设计!$B$23:$U$23,0)))*(VLOOKUP($B135,INDIRECT($B$5&amp;"生成成长"),3))*(VLOOKUP($B$5,标准坦克设计!$B$14:$K$20,9)/30))</f>
        <v>18.255825059501603</v>
      </c>
      <c r="CG135" s="172">
        <f ca="1">(VLOOKUP(CG$72,INDIRECT($C$5&amp;"生成成长"),2))/((VLOOKUP($B135,INDIRECT($B$5&amp;"生成成长"),4))/(VLOOKUP(CG$72,INDIRECT($C$5&amp;"生成成长"),5))*(VLOOKUP($B$5,标准坦克设计!$B$24:$U$30,MATCH("对"&amp;LEFT($C$5,2)&amp;"输出",标准坦克设计!$B$23:$U$23,0)))*(VLOOKUP($B135,INDIRECT($B$5&amp;"生成成长"),3))*(VLOOKUP($B$5,标准坦克设计!$B$14:$K$20,9)/30))</f>
        <v>19.597727773411464</v>
      </c>
      <c r="CH135" s="172">
        <f ca="1">(VLOOKUP(CH$72,INDIRECT($C$5&amp;"生成成长"),2))/((VLOOKUP($B135,INDIRECT($B$5&amp;"生成成长"),4))/(VLOOKUP(CH$72,INDIRECT($C$5&amp;"生成成长"),5))*(VLOOKUP($B$5,标准坦克设计!$B$24:$U$30,MATCH("对"&amp;LEFT($C$5,2)&amp;"输出",标准坦克设计!$B$23:$U$23,0)))*(VLOOKUP($B135,INDIRECT($B$5&amp;"生成成长"),3))*(VLOOKUP($B$5,标准坦克设计!$B$14:$K$20,9)/30))</f>
        <v>20.987215689942229</v>
      </c>
      <c r="CI135" s="172">
        <f ca="1">(VLOOKUP(CI$72,INDIRECT($C$5&amp;"生成成长"),2))/((VLOOKUP($B135,INDIRECT($B$5&amp;"生成成长"),4))/(VLOOKUP(CI$72,INDIRECT($C$5&amp;"生成成长"),5))*(VLOOKUP($B$5,标准坦克设计!$B$24:$U$30,MATCH("对"&amp;LEFT($C$5,2)&amp;"输出",标准坦克设计!$B$23:$U$23,0)))*(VLOOKUP($B135,INDIRECT($B$5&amp;"生成成长"),3))*(VLOOKUP($B$5,标准坦克设计!$B$14:$K$20,9)/30))</f>
        <v>22.570613307153234</v>
      </c>
      <c r="CJ135" s="172">
        <f ca="1">(VLOOKUP(CJ$72,INDIRECT($C$5&amp;"生成成长"),2))/((VLOOKUP($B135,INDIRECT($B$5&amp;"生成成长"),4))/(VLOOKUP(CJ$72,INDIRECT($C$5&amp;"生成成长"),5))*(VLOOKUP($B$5,标准坦克设计!$B$24:$U$30,MATCH("对"&amp;LEFT($C$5,2)&amp;"输出",标准坦克设计!$B$23:$U$23,0)))*(VLOOKUP($B135,INDIRECT($B$5&amp;"生成成长"),3))*(VLOOKUP($B$5,标准坦克设计!$B$14:$K$20,9)/30))</f>
        <v>24.211589019535545</v>
      </c>
      <c r="CK135" s="172">
        <f ca="1">(VLOOKUP(CK$72,INDIRECT($C$5&amp;"生成成长"),2))/((VLOOKUP($B135,INDIRECT($B$5&amp;"生成成长"),4))/(VLOOKUP(CK$72,INDIRECT($C$5&amp;"生成成长"),5))*(VLOOKUP($B$5,标准坦克设计!$B$24:$U$30,MATCH("对"&amp;LEFT($C$5,2)&amp;"输出",标准坦克设计!$B$23:$U$23,0)))*(VLOOKUP($B135,INDIRECT($B$5&amp;"生成成长"),3))*(VLOOKUP($B$5,标准坦克设计!$B$14:$K$20,9)/30))</f>
        <v>25.910142827089171</v>
      </c>
      <c r="CL135" s="172">
        <f ca="1">(VLOOKUP(CL$72,INDIRECT($C$5&amp;"生成成长"),2))/((VLOOKUP($B135,INDIRECT($B$5&amp;"生成成长"),4))/(VLOOKUP(CL$72,INDIRECT($C$5&amp;"生成成长"),5))*(VLOOKUP($B$5,标准坦克设计!$B$24:$U$30,MATCH("对"&amp;LEFT($C$5,2)&amp;"输出",标准坦克设计!$B$23:$U$23,0)))*(VLOOKUP($B135,INDIRECT($B$5&amp;"生成成长"),3))*(VLOOKUP($B$5,标准坦克设计!$B$14:$K$20,9)/30))</f>
        <v>27.666274729814106</v>
      </c>
      <c r="CM135" s="172">
        <f ca="1">(VLOOKUP(CM$72,INDIRECT($C$5&amp;"生成成长"),2))/((VLOOKUP($B135,INDIRECT($B$5&amp;"生成成长"),4))/(VLOOKUP(CM$72,INDIRECT($C$5&amp;"生成成长"),5))*(VLOOKUP($B$5,标准坦克设计!$B$24:$U$30,MATCH("对"&amp;LEFT($C$5,2)&amp;"输出",标准坦克设计!$B$23:$U$23,0)))*(VLOOKUP($B135,INDIRECT($B$5&amp;"生成成长"),3))*(VLOOKUP($B$5,标准坦克设计!$B$14:$K$20,9)/30))</f>
        <v>29.479984727710349</v>
      </c>
      <c r="CN135" s="172">
        <f ca="1">(VLOOKUP(CN$72,INDIRECT($C$5&amp;"生成成长"),2))/((VLOOKUP($B135,INDIRECT($B$5&amp;"生成成长"),4))/(VLOOKUP(CN$72,INDIRECT($C$5&amp;"生成成长"),5))*(VLOOKUP($B$5,标准坦克设计!$B$24:$U$30,MATCH("对"&amp;LEFT($C$5,2)&amp;"输出",标准坦克设计!$B$23:$U$23,0)))*(VLOOKUP($B135,INDIRECT($B$5&amp;"生成成长"),3))*(VLOOKUP($B$5,标准坦克设计!$B$14:$K$20,9)/30))</f>
        <v>31.351272820777897</v>
      </c>
      <c r="CO135" s="172">
        <f ca="1">(VLOOKUP(CO$72,INDIRECT($C$5&amp;"生成成长"),2))/((VLOOKUP($B135,INDIRECT($B$5&amp;"生成成长"),4))/(VLOOKUP(CO$72,INDIRECT($C$5&amp;"生成成长"),5))*(VLOOKUP($B$5,标准坦克设计!$B$24:$U$30,MATCH("对"&amp;LEFT($C$5,2)&amp;"输出",标准坦克设计!$B$23:$U$23,0)))*(VLOOKUP($B135,INDIRECT($B$5&amp;"生成成长"),3))*(VLOOKUP($B$5,标准坦克设计!$B$14:$K$20,9)/30))</f>
        <v>14.049293147812566</v>
      </c>
      <c r="CP135" s="172">
        <f ca="1">(VLOOKUP(CP$72,INDIRECT($C$5&amp;"生成成长"),2))/((VLOOKUP($B135,INDIRECT($B$5&amp;"生成成长"),4))/(VLOOKUP(CP$72,INDIRECT($C$5&amp;"生成成长"),5))*(VLOOKUP($B$5,标准坦克设计!$B$24:$U$30,MATCH("对"&amp;LEFT($C$5,2)&amp;"输出",标准坦克设计!$B$23:$U$23,0)))*(VLOOKUP($B135,INDIRECT($B$5&amp;"生成成长"),3))*(VLOOKUP($B$5,标准坦克设计!$B$14:$K$20,9)/30))</f>
        <v>15.350034661455323</v>
      </c>
      <c r="CQ135" s="172">
        <f ca="1">(VLOOKUP(CQ$72,INDIRECT($C$5&amp;"生成成长"),2))/((VLOOKUP($B135,INDIRECT($B$5&amp;"生成成长"),4))/(VLOOKUP(CQ$72,INDIRECT($C$5&amp;"生成成长"),5))*(VLOOKUP($B$5,标准坦克设计!$B$24:$U$30,MATCH("对"&amp;LEFT($C$5,2)&amp;"输出",标准坦克设计!$B$23:$U$23,0)))*(VLOOKUP($B135,INDIRECT($B$5&amp;"生成成长"),3))*(VLOOKUP($B$5,标准坦克设计!$B$14:$K$20,9)/30))</f>
        <v>16.708354270269393</v>
      </c>
      <c r="CR135" s="172">
        <f ca="1">(VLOOKUP(CR$72,INDIRECT($C$5&amp;"生成成长"),2))/((VLOOKUP($B135,INDIRECT($B$5&amp;"生成成长"),4))/(VLOOKUP(CR$72,INDIRECT($C$5&amp;"生成成长"),5))*(VLOOKUP($B$5,标准坦克设计!$B$24:$U$30,MATCH("对"&amp;LEFT($C$5,2)&amp;"输出",标准坦克设计!$B$23:$U$23,0)))*(VLOOKUP($B135,INDIRECT($B$5&amp;"生成成长"),3))*(VLOOKUP($B$5,标准坦克设计!$B$14:$K$20,9)/30))</f>
        <v>18.124251974254776</v>
      </c>
      <c r="CS135" s="172">
        <f ca="1">(VLOOKUP(CS$72,INDIRECT($C$5&amp;"生成成长"),2))/((VLOOKUP($B135,INDIRECT($B$5&amp;"生成成长"),4))/(VLOOKUP(CS$72,INDIRECT($C$5&amp;"生成成长"),5))*(VLOOKUP($B$5,标准坦克设计!$B$24:$U$30,MATCH("对"&amp;LEFT($C$5,2)&amp;"输出",标准坦克设计!$B$23:$U$23,0)))*(VLOOKUP($B135,INDIRECT($B$5&amp;"生成成长"),3))*(VLOOKUP($B$5,标准坦克设计!$B$14:$K$20,9)/30))</f>
        <v>19.597727773411464</v>
      </c>
      <c r="CT135" s="172">
        <f ca="1">(VLOOKUP(CT$72,INDIRECT($C$5&amp;"生成成长"),2))/((VLOOKUP($B135,INDIRECT($B$5&amp;"生成成长"),4))/(VLOOKUP(CT$72,INDIRECT($C$5&amp;"生成成长"),5))*(VLOOKUP($B$5,标准坦克设计!$B$24:$U$30,MATCH("对"&amp;LEFT($C$5,2)&amp;"输出",标准坦克设计!$B$23:$U$23,0)))*(VLOOKUP($B135,INDIRECT($B$5&amp;"生成成长"),3))*(VLOOKUP($B$5,标准坦克设计!$B$14:$K$20,9)/30))</f>
        <v>21.128781667739457</v>
      </c>
      <c r="CU135" s="172">
        <f ca="1">(VLOOKUP(CU$72,INDIRECT($C$5&amp;"生成成长"),2))/((VLOOKUP($B135,INDIRECT($B$5&amp;"生成成长"),4))/(VLOOKUP(CU$72,INDIRECT($C$5&amp;"生成成长"),5))*(VLOOKUP($B$5,标准坦克设计!$B$24:$U$30,MATCH("对"&amp;LEFT($C$5,2)&amp;"输出",标准坦克设计!$B$23:$U$23,0)))*(VLOOKUP($B135,INDIRECT($B$5&amp;"生成成长"),3))*(VLOOKUP($B$5,标准坦克设计!$B$14:$K$20,9)/30))</f>
        <v>22.717413657238758</v>
      </c>
      <c r="CV135" s="172">
        <f ca="1">(VLOOKUP(CV$72,INDIRECT($C$5&amp;"生成成长"),2))/((VLOOKUP($B135,INDIRECT($B$5&amp;"生成成长"),4))/(VLOOKUP(CV$72,INDIRECT($C$5&amp;"生成成长"),5))*(VLOOKUP($B$5,标准坦克设计!$B$24:$U$30,MATCH("对"&amp;LEFT($C$5,2)&amp;"输出",标准坦克设计!$B$23:$U$23,0)))*(VLOOKUP($B135,INDIRECT($B$5&amp;"生成成长"),3))*(VLOOKUP($B$5,标准坦克设计!$B$14:$K$20,9)/30))</f>
        <v>24.363623741909375</v>
      </c>
      <c r="CW135" s="172">
        <f ca="1">(VLOOKUP(CW$72,INDIRECT($C$5&amp;"生成成长"),2))/((VLOOKUP($B135,INDIRECT($B$5&amp;"生成成长"),4))/(VLOOKUP(CW$72,INDIRECT($C$5&amp;"生成成长"),5))*(VLOOKUP($B$5,标准坦克设计!$B$24:$U$30,MATCH("对"&amp;LEFT($C$5,2)&amp;"输出",标准坦克设计!$B$23:$U$23,0)))*(VLOOKUP($B135,INDIRECT($B$5&amp;"生成成长"),3))*(VLOOKUP($B$5,标准坦克设计!$B$14:$K$20,9)/30))</f>
        <v>26.067411921751297</v>
      </c>
      <c r="CX135" s="172">
        <f ca="1">(VLOOKUP(CX$72,INDIRECT($C$5&amp;"生成成长"),2))/((VLOOKUP($B135,INDIRECT($B$5&amp;"生成成长"),4))/(VLOOKUP(CX$72,INDIRECT($C$5&amp;"生成成长"),5))*(VLOOKUP($B$5,标准坦克设计!$B$24:$U$30,MATCH("对"&amp;LEFT($C$5,2)&amp;"输出",标准坦克设计!$B$23:$U$23,0)))*(VLOOKUP($B135,INDIRECT($B$5&amp;"生成成长"),3))*(VLOOKUP($B$5,标准坦克设计!$B$14:$K$20,9)/30))</f>
        <v>27.828778196764535</v>
      </c>
      <c r="CY135" s="172">
        <f ca="1">(VLOOKUP(CY$72,INDIRECT($C$5&amp;"生成成长"),2))/((VLOOKUP($B135,INDIRECT($B$5&amp;"生成成长"),4))/(VLOOKUP(CY$72,INDIRECT($C$5&amp;"生成成长"),5))*(VLOOKUP($B$5,标准坦克设计!$B$24:$U$30,MATCH("对"&amp;LEFT($C$5,2)&amp;"输出",标准坦克设计!$B$23:$U$23,0)))*(VLOOKUP($B135,INDIRECT($B$5&amp;"生成成长"),3))*(VLOOKUP($B$5,标准坦克设计!$B$14:$K$20,9)/30))</f>
        <v>29.647722566949078</v>
      </c>
      <c r="CZ135" s="172">
        <f ca="1">(VLOOKUP(CZ$72,INDIRECT($C$5&amp;"生成成长"),2))/((VLOOKUP($B135,INDIRECT($B$5&amp;"生成成长"),4))/(VLOOKUP(CZ$72,INDIRECT($C$5&amp;"生成成长"),5))*(VLOOKUP($B$5,标准坦克设计!$B$24:$U$30,MATCH("对"&amp;LEFT($C$5,2)&amp;"输出",标准坦克设计!$B$23:$U$23,0)))*(VLOOKUP($B135,INDIRECT($B$5&amp;"生成成长"),3))*(VLOOKUP($B$5,标准坦克设计!$B$14:$K$20,9)/30))</f>
        <v>31.524245032304929</v>
      </c>
      <c r="DA135" s="172">
        <f ca="1">(VLOOKUP(DA$72,INDIRECT($C$5&amp;"生成成长"),2))/((VLOOKUP($B135,INDIRECT($B$5&amp;"生成成长"),4))/(VLOOKUP(DA$72,INDIRECT($C$5&amp;"生成成长"),5))*(VLOOKUP($B$5,标准坦克设计!$B$24:$U$30,MATCH("对"&amp;LEFT($C$5,2)&amp;"输出",标准坦克设计!$B$23:$U$23,0)))*(VLOOKUP($B135,INDIRECT($B$5&amp;"生成成长"),3))*(VLOOKUP($B$5,标准坦克设计!$B$14:$K$20,9)/30))</f>
        <v>33.458345592832089</v>
      </c>
      <c r="DB135" s="172">
        <f ca="1">(VLOOKUP(DB$72,INDIRECT($C$5&amp;"生成成长"),2))/((VLOOKUP($B135,INDIRECT($B$5&amp;"生成成长"),4))/(VLOOKUP(DB$72,INDIRECT($C$5&amp;"生成成长"),5))*(VLOOKUP($B$5,标准坦克设计!$B$24:$U$30,MATCH("对"&amp;LEFT($C$5,2)&amp;"输出",标准坦克设计!$B$23:$U$23,0)))*(VLOOKUP($B135,INDIRECT($B$5&amp;"生成成长"),3))*(VLOOKUP($B$5,标准坦克设计!$B$14:$K$20,9)/30))</f>
        <v>35.450024248530561</v>
      </c>
      <c r="DC135" s="172">
        <f ca="1">(VLOOKUP(DC$72,INDIRECT($C$5&amp;"生成成长"),2))/((VLOOKUP($B135,INDIRECT($B$5&amp;"生成成长"),4))/(VLOOKUP(DC$72,INDIRECT($C$5&amp;"生成成长"),5))*(VLOOKUP($B$5,标准坦克设计!$B$24:$U$30,MATCH("对"&amp;LEFT($C$5,2)&amp;"输出",标准坦克设计!$B$23:$U$23,0)))*(VLOOKUP($B135,INDIRECT($B$5&amp;"生成成长"),3))*(VLOOKUP($B$5,标准坦克设计!$B$14:$K$20,9)/30))</f>
        <v>37.688432179818477</v>
      </c>
      <c r="DD135" s="172">
        <f ca="1">(VLOOKUP(DD$72,INDIRECT($C$5&amp;"生成成长"),2))/((VLOOKUP($B135,INDIRECT($B$5&amp;"生成成长"),4))/(VLOOKUP(DD$72,INDIRECT($C$5&amp;"生成成长"),5))*(VLOOKUP($B$5,标准坦克设计!$B$24:$U$30,MATCH("对"&amp;LEFT($C$5,2)&amp;"输出",标准坦克设计!$B$23:$U$23,0)))*(VLOOKUP($B135,INDIRECT($B$5&amp;"生成成长"),3))*(VLOOKUP($B$5,标准坦克设计!$B$14:$K$20,9)/30))</f>
        <v>39.995362802880521</v>
      </c>
      <c r="DE135" s="172">
        <f ca="1">(VLOOKUP(DE$72,INDIRECT($C$5&amp;"生成成长"),2))/((VLOOKUP($B135,INDIRECT($B$5&amp;"生成成长"),4))/(VLOOKUP(DE$72,INDIRECT($C$5&amp;"生成成长"),5))*(VLOOKUP($B$5,标准坦克设计!$B$24:$U$30,MATCH("对"&amp;LEFT($C$5,2)&amp;"输出",标准坦克设计!$B$23:$U$23,0)))*(VLOOKUP($B135,INDIRECT($B$5&amp;"生成成长"),3))*(VLOOKUP($B$5,标准坦克设计!$B$14:$K$20,9)/30))</f>
        <v>42.370816117716693</v>
      </c>
      <c r="DF135" s="172">
        <f ca="1">(VLOOKUP(DF$72,INDIRECT($C$5&amp;"生成成长"),2))/((VLOOKUP($B135,INDIRECT($B$5&amp;"生成成长"),4))/(VLOOKUP(DF$72,INDIRECT($C$5&amp;"生成成长"),5))*(VLOOKUP($B$5,标准坦克设计!$B$24:$U$30,MATCH("对"&amp;LEFT($C$5,2)&amp;"输出",标准坦克设计!$B$23:$U$23,0)))*(VLOOKUP($B135,INDIRECT($B$5&amp;"生成成长"),3))*(VLOOKUP($B$5,标准坦克设计!$B$14:$K$20,9)/30))</f>
        <v>44.814792124326978</v>
      </c>
      <c r="DG135" s="172">
        <f ca="1">(VLOOKUP(DG$72,INDIRECT($C$5&amp;"生成成长"),2))/((VLOOKUP($B135,INDIRECT($B$5&amp;"生成成长"),4))/(VLOOKUP(DG$72,INDIRECT($C$5&amp;"生成成长"),5))*(VLOOKUP($B$5,标准坦克设计!$B$24:$U$30,MATCH("对"&amp;LEFT($C$5,2)&amp;"输出",标准坦克设计!$B$23:$U$23,0)))*(VLOOKUP($B135,INDIRECT($B$5&amp;"生成成长"),3))*(VLOOKUP($B$5,标准坦克设计!$B$14:$K$20,9)/30))</f>
        <v>47.327290822711376</v>
      </c>
      <c r="DH135" s="172">
        <f ca="1">(VLOOKUP(DH$72,INDIRECT($C$5&amp;"生成成长"),2))/((VLOOKUP($B135,INDIRECT($B$5&amp;"生成成长"),4))/(VLOOKUP(DH$72,INDIRECT($C$5&amp;"生成成长"),5))*(VLOOKUP($B$5,标准坦克设计!$B$24:$U$30,MATCH("对"&amp;LEFT($C$5,2)&amp;"输出",标准坦克设计!$B$23:$U$23,0)))*(VLOOKUP($B135,INDIRECT($B$5&amp;"生成成长"),3))*(VLOOKUP($B$5,标准坦克设计!$B$14:$K$20,9)/30))</f>
        <v>49.908312212869902</v>
      </c>
      <c r="DI135" s="172">
        <f ca="1">(VLOOKUP(DI$72,INDIRECT($C$5&amp;"生成成长"),2))/((VLOOKUP($B135,INDIRECT($B$5&amp;"生成成长"),4))/(VLOOKUP(DI$72,INDIRECT($C$5&amp;"生成成长"),5))*(VLOOKUP($B$5,标准坦克设计!$B$24:$U$30,MATCH("对"&amp;LEFT($C$5,2)&amp;"输出",标准坦克设计!$B$23:$U$23,0)))*(VLOOKUP($B135,INDIRECT($B$5&amp;"生成成长"),3))*(VLOOKUP($B$5,标准坦克设计!$B$14:$K$20,9)/30))</f>
        <v>52.557856294802555</v>
      </c>
      <c r="DJ135" s="172">
        <f ca="1">(VLOOKUP(DJ$72,INDIRECT($C$5&amp;"生成成长"),2))/((VLOOKUP($B135,INDIRECT($B$5&amp;"生成成长"),4))/(VLOOKUP(DJ$72,INDIRECT($C$5&amp;"生成成长"),5))*(VLOOKUP($B$5,标准坦克设计!$B$24:$U$30,MATCH("对"&amp;LEFT($C$5,2)&amp;"输出",标准坦克设计!$B$23:$U$23,0)))*(VLOOKUP($B135,INDIRECT($B$5&amp;"生成成长"),3))*(VLOOKUP($B$5,标准坦克设计!$B$14:$K$20,9)/30))</f>
        <v>5.2821954169348642</v>
      </c>
      <c r="DK135" s="172">
        <f ca="1">(VLOOKUP(DK$72,INDIRECT($C$5&amp;"生成成长"),2))/((VLOOKUP($B135,INDIRECT($B$5&amp;"生成成长"),4))/(VLOOKUP(DK$72,INDIRECT($C$5&amp;"生成成长"),5))*(VLOOKUP($B$5,标准坦克设计!$B$24:$U$30,MATCH("对"&amp;LEFT($C$5,2)&amp;"输出",标准坦克设计!$B$23:$U$23,0)))*(VLOOKUP($B135,INDIRECT($B$5&amp;"生成成长"),3))*(VLOOKUP($B$5,标准坦克设计!$B$14:$K$20,9)/30))</f>
        <v>5.9395849911428282</v>
      </c>
      <c r="DL135" s="172">
        <f ca="1">(VLOOKUP(DL$72,INDIRECT($C$5&amp;"生成成长"),2))/((VLOOKUP($B135,INDIRECT($B$5&amp;"生成成长"),4))/(VLOOKUP(DL$72,INDIRECT($C$5&amp;"生成成长"),5))*(VLOOKUP($B$5,标准坦克设计!$B$24:$U$30,MATCH("对"&amp;LEFT($C$5,2)&amp;"输出",标准坦克设计!$B$23:$U$23,0)))*(VLOOKUP($B135,INDIRECT($B$5&amp;"生成成长"),3))*(VLOOKUP($B$5,标准坦克设计!$B$14:$K$20,9)/30))</f>
        <v>6.635518579473735</v>
      </c>
      <c r="DM135" s="172">
        <f ca="1">(VLOOKUP(DM$72,INDIRECT($C$5&amp;"生成成长"),2))/((VLOOKUP($B135,INDIRECT($B$5&amp;"生成成长"),4))/(VLOOKUP(DM$72,INDIRECT($C$5&amp;"生成成长"),5))*(VLOOKUP($B$5,标准坦克设计!$B$24:$U$30,MATCH("对"&amp;LEFT($C$5,2)&amp;"输出",标准坦克设计!$B$23:$U$23,0)))*(VLOOKUP($B135,INDIRECT($B$5&amp;"生成成长"),3))*(VLOOKUP($B$5,标准坦克设计!$B$14:$K$20,9)/30))</f>
        <v>7.3699961819275872</v>
      </c>
      <c r="DN135" s="172">
        <f ca="1">(VLOOKUP(DN$72,INDIRECT($C$5&amp;"生成成长"),2))/((VLOOKUP($B135,INDIRECT($B$5&amp;"生成成长"),4))/(VLOOKUP(DN$72,INDIRECT($C$5&amp;"生成成长"),5))*(VLOOKUP($B$5,标准坦克设计!$B$24:$U$30,MATCH("对"&amp;LEFT($C$5,2)&amp;"输出",标准坦克设计!$B$23:$U$23,0)))*(VLOOKUP($B135,INDIRECT($B$5&amp;"生成成长"),3))*(VLOOKUP($B$5,标准坦克设计!$B$14:$K$20,9)/30))</f>
        <v>8.1430177985043795</v>
      </c>
      <c r="DO135" s="172">
        <f ca="1">(VLOOKUP(DO$72,INDIRECT($C$5&amp;"生成成长"),2))/((VLOOKUP($B135,INDIRECT($B$5&amp;"生成成长"),4))/(VLOOKUP(DO$72,INDIRECT($C$5&amp;"生成成长"),5))*(VLOOKUP($B$5,标准坦克设计!$B$24:$U$30,MATCH("对"&amp;LEFT($C$5,2)&amp;"输出",标准坦克设计!$B$23:$U$23,0)))*(VLOOKUP($B135,INDIRECT($B$5&amp;"生成成长"),3))*(VLOOKUP($B$5,标准坦克设计!$B$14:$K$20,9)/30))</f>
        <v>8.9545834292041118</v>
      </c>
      <c r="DP135" s="172">
        <f ca="1">(VLOOKUP(DP$72,INDIRECT($C$5&amp;"生成成长"),2))/((VLOOKUP($B135,INDIRECT($B$5&amp;"生成成长"),4))/(VLOOKUP(DP$72,INDIRECT($C$5&amp;"生成成长"),5))*(VLOOKUP($B$5,标准坦克设计!$B$24:$U$30,MATCH("对"&amp;LEFT($C$5,2)&amp;"输出",标准坦克设计!$B$23:$U$23,0)))*(VLOOKUP($B135,INDIRECT($B$5&amp;"生成成长"),3))*(VLOOKUP($B$5,标准坦克设计!$B$14:$K$20,9)/30))</f>
        <v>9.8046930740267921</v>
      </c>
      <c r="DQ135" s="172">
        <f ca="1">(VLOOKUP(DQ$72,INDIRECT($C$5&amp;"生成成长"),2))/((VLOOKUP($B135,INDIRECT($B$5&amp;"生成成长"),4))/(VLOOKUP(DQ$72,INDIRECT($C$5&amp;"生成成长"),5))*(VLOOKUP($B$5,标准坦克设计!$B$24:$U$30,MATCH("对"&amp;LEFT($C$5,2)&amp;"输出",标准坦克设计!$B$23:$U$23,0)))*(VLOOKUP($B135,INDIRECT($B$5&amp;"生成成长"),3))*(VLOOKUP($B$5,标准坦克设计!$B$14:$K$20,9)/30))</f>
        <v>10.693346732972412</v>
      </c>
      <c r="DR135" s="172">
        <f ca="1">(VLOOKUP(DR$72,INDIRECT($C$5&amp;"生成成长"),2))/((VLOOKUP($B135,INDIRECT($B$5&amp;"生成成长"),4))/(VLOOKUP(DR$72,INDIRECT($C$5&amp;"生成成长"),5))*(VLOOKUP($B$5,标准坦克设计!$B$24:$U$30,MATCH("对"&amp;LEFT($C$5,2)&amp;"输出",标准坦克设计!$B$23:$U$23,0)))*(VLOOKUP($B135,INDIRECT($B$5&amp;"生成成长"),3))*(VLOOKUP($B$5,标准坦克设计!$B$14:$K$20,9)/30))</f>
        <v>11.620544406040972</v>
      </c>
      <c r="DS135" s="172">
        <f ca="1">(VLOOKUP(DS$72,INDIRECT($C$5&amp;"生成成长"),2))/((VLOOKUP($B135,INDIRECT($B$5&amp;"生成成长"),4))/(VLOOKUP(DS$72,INDIRECT($C$5&amp;"生成成长"),5))*(VLOOKUP($B$5,标准坦克设计!$B$24:$U$30,MATCH("对"&amp;LEFT($C$5,2)&amp;"输出",标准坦克设计!$B$23:$U$23,0)))*(VLOOKUP($B135,INDIRECT($B$5&amp;"生成成长"),3))*(VLOOKUP($B$5,标准坦克设计!$B$14:$K$20,9)/30))</f>
        <v>12.586286093232481</v>
      </c>
      <c r="DT135" s="172">
        <f ca="1">(VLOOKUP(DT$72,INDIRECT($C$5&amp;"生成成长"),2))/((VLOOKUP($B135,INDIRECT($B$5&amp;"生成成长"),4))/(VLOOKUP(DT$72,INDIRECT($C$5&amp;"生成成长"),5))*(VLOOKUP($B$5,标准坦克设计!$B$24:$U$30,MATCH("对"&amp;LEFT($C$5,2)&amp;"输出",标准坦克设计!$B$23:$U$23,0)))*(VLOOKUP($B135,INDIRECT($B$5&amp;"生成成长"),3))*(VLOOKUP($B$5,标准坦克设计!$B$14:$K$20,9)/30))</f>
        <v>13.81898076712733</v>
      </c>
      <c r="DU135" s="172">
        <f ca="1">(VLOOKUP(DU$72,INDIRECT($C$5&amp;"生成成长"),2))/((VLOOKUP($B135,INDIRECT($B$5&amp;"生成成长"),4))/(VLOOKUP(DU$72,INDIRECT($C$5&amp;"生成成长"),5))*(VLOOKUP($B$5,标准坦克设计!$B$24:$U$30,MATCH("对"&amp;LEFT($C$5,2)&amp;"输出",标准坦克设计!$B$23:$U$23,0)))*(VLOOKUP($B135,INDIRECT($B$5&amp;"生成成长"),3))*(VLOOKUP($B$5,标准坦克设计!$B$14:$K$20,9)/30))</f>
        <v>15.109253536193487</v>
      </c>
      <c r="DV135" s="172">
        <f ca="1">(VLOOKUP(DV$72,INDIRECT($C$5&amp;"生成成长"),2))/((VLOOKUP($B135,INDIRECT($B$5&amp;"生成成长"),4))/(VLOOKUP(DV$72,INDIRECT($C$5&amp;"生成成长"),5))*(VLOOKUP($B$5,标准坦克设计!$B$24:$U$30,MATCH("对"&amp;LEFT($C$5,2)&amp;"输出",标准坦克设计!$B$23:$U$23,0)))*(VLOOKUP($B135,INDIRECT($B$5&amp;"生成成长"),3))*(VLOOKUP($B$5,标准坦克设计!$B$14:$K$20,9)/30))</f>
        <v>16.457104400430953</v>
      </c>
      <c r="DW135" s="172">
        <f ca="1">(VLOOKUP(DW$72,INDIRECT($C$5&amp;"生成成长"),2))/((VLOOKUP($B135,INDIRECT($B$5&amp;"生成成长"),4))/(VLOOKUP(DW$72,INDIRECT($C$5&amp;"生成成长"),5))*(VLOOKUP($B$5,标准坦克设计!$B$24:$U$30,MATCH("对"&amp;LEFT($C$5,2)&amp;"输出",标准坦克设计!$B$23:$U$23,0)))*(VLOOKUP($B135,INDIRECT($B$5&amp;"生成成长"),3))*(VLOOKUP($B$5,标准坦克设计!$B$14:$K$20,9)/30))</f>
        <v>17.862533359839734</v>
      </c>
      <c r="DX135" s="172">
        <f ca="1">(VLOOKUP(DX$72,INDIRECT($C$5&amp;"生成成长"),2))/((VLOOKUP($B135,INDIRECT($B$5&amp;"生成成长"),4))/(VLOOKUP(DX$72,INDIRECT($C$5&amp;"生成成长"),5))*(VLOOKUP($B$5,标准坦克设计!$B$24:$U$30,MATCH("对"&amp;LEFT($C$5,2)&amp;"输出",标准坦克设计!$B$23:$U$23,0)))*(VLOOKUP($B135,INDIRECT($B$5&amp;"生成成长"),3))*(VLOOKUP($B$5,标准坦克设计!$B$14:$K$20,9)/30))</f>
        <v>19.325540414419816</v>
      </c>
      <c r="DY135" s="172">
        <f ca="1">(VLOOKUP(DY$72,INDIRECT($C$5&amp;"生成成长"),2))/((VLOOKUP($B135,INDIRECT($B$5&amp;"生成成长"),4))/(VLOOKUP(DY$72,INDIRECT($C$5&amp;"生成成长"),5))*(VLOOKUP($B$5,标准坦克设计!$B$24:$U$30,MATCH("对"&amp;LEFT($C$5,2)&amp;"输出",标准坦克设计!$B$23:$U$23,0)))*(VLOOKUP($B135,INDIRECT($B$5&amp;"生成成长"),3))*(VLOOKUP($B$5,标准坦克设计!$B$14:$K$20,9)/30))</f>
        <v>8.6797788840683197</v>
      </c>
      <c r="DZ135" s="172">
        <f ca="1">(VLOOKUP(DZ$72,INDIRECT($C$5&amp;"生成成长"),2))/((VLOOKUP($B135,INDIRECT($B$5&amp;"生成成长"),4))/(VLOOKUP(DZ$72,INDIRECT($C$5&amp;"生成成长"),5))*(VLOOKUP($B$5,标准坦克设计!$B$24:$U$30,MATCH("对"&amp;LEFT($C$5,2)&amp;"输出",标准坦克设计!$B$23:$U$23,0)))*(VLOOKUP($B135,INDIRECT($B$5&amp;"生成成长"),3))*(VLOOKUP($B$5,标准坦克设计!$B$14:$K$20,9)/30))</f>
        <v>9.6124488554382896</v>
      </c>
      <c r="EA135" s="172">
        <f ca="1">(VLOOKUP(EA$72,INDIRECT($C$5&amp;"生成成长"),2))/((VLOOKUP($B135,INDIRECT($B$5&amp;"生成成长"),4))/(VLOOKUP(EA$72,INDIRECT($C$5&amp;"生成成长"),5))*(VLOOKUP($B$5,标准坦克设计!$B$24:$U$30,MATCH("对"&amp;LEFT($C$5,2)&amp;"输出",标准坦克设计!$B$23:$U$23,0)))*(VLOOKUP($B135,INDIRECT($B$5&amp;"生成成长"),3))*(VLOOKUP($B$5,标准坦克设计!$B$14:$K$20,9)/30))</f>
        <v>10.592704029429173</v>
      </c>
      <c r="EB135" s="172">
        <f ca="1">(VLOOKUP(EB$72,INDIRECT($C$5&amp;"生成成长"),2))/((VLOOKUP($B135,INDIRECT($B$5&amp;"生成成长"),4))/(VLOOKUP(EB$72,INDIRECT($C$5&amp;"生成成长"),5))*(VLOOKUP($B$5,标准坦克设计!$B$24:$U$30,MATCH("对"&amp;LEFT($C$5,2)&amp;"输出",标准坦克设计!$B$23:$U$23,0)))*(VLOOKUP($B135,INDIRECT($B$5&amp;"生成成长"),3))*(VLOOKUP($B$5,标准坦克设计!$B$14:$K$20,9)/30))</f>
        <v>11.620544406040972</v>
      </c>
      <c r="EC135" s="172">
        <f ca="1">(VLOOKUP(EC$72,INDIRECT($C$5&amp;"生成成长"),2))/((VLOOKUP($B135,INDIRECT($B$5&amp;"生成成长"),4))/(VLOOKUP(EC$72,INDIRECT($C$5&amp;"生成成长"),5))*(VLOOKUP($B$5,标准坦克设计!$B$24:$U$30,MATCH("对"&amp;LEFT($C$5,2)&amp;"输出",标准坦克设计!$B$23:$U$23,0)))*(VLOOKUP($B135,INDIRECT($B$5&amp;"生成成长"),3))*(VLOOKUP($B$5,标准坦克设计!$B$14:$K$20,9)/30))</f>
        <v>12.695969985273694</v>
      </c>
      <c r="ED135" s="172">
        <f ca="1">(VLOOKUP(ED$72,INDIRECT($C$5&amp;"生成成长"),2))/((VLOOKUP($B135,INDIRECT($B$5&amp;"生成成长"),4))/(VLOOKUP(ED$72,INDIRECT($C$5&amp;"生成成长"),5))*(VLOOKUP($B$5,标准坦克设计!$B$24:$U$30,MATCH("对"&amp;LEFT($C$5,2)&amp;"输出",标准坦克设计!$B$23:$U$23,0)))*(VLOOKUP($B135,INDIRECT($B$5&amp;"生成成长"),3))*(VLOOKUP($B$5,标准坦克设计!$B$14:$K$20,9)/30))</f>
        <v>13.81898076712733</v>
      </c>
      <c r="EE135" s="172">
        <f ca="1">(VLOOKUP(EE$72,INDIRECT($C$5&amp;"生成成长"),2))/((VLOOKUP($B135,INDIRECT($B$5&amp;"生成成长"),4))/(VLOOKUP(EE$72,INDIRECT($C$5&amp;"生成成长"),5))*(VLOOKUP($B$5,标准坦克设计!$B$24:$U$30,MATCH("对"&amp;LEFT($C$5,2)&amp;"输出",标准坦克设计!$B$23:$U$23,0)))*(VLOOKUP($B135,INDIRECT($B$5&amp;"生成成长"),3))*(VLOOKUP($B$5,标准坦克设计!$B$14:$K$20,9)/30))</f>
        <v>14.989576751601881</v>
      </c>
      <c r="EF135" s="172">
        <f ca="1">(VLOOKUP(EF$72,INDIRECT($C$5&amp;"生成成长"),2))/((VLOOKUP($B135,INDIRECT($B$5&amp;"生成成长"),4))/(VLOOKUP(EF$72,INDIRECT($C$5&amp;"生成成长"),5))*(VLOOKUP($B$5,标准坦克设计!$B$24:$U$30,MATCH("对"&amp;LEFT($C$5,2)&amp;"输出",标准坦克设计!$B$23:$U$23,0)))*(VLOOKUP($B135,INDIRECT($B$5&amp;"生成成长"),3))*(VLOOKUP($B$5,标准坦克设计!$B$14:$K$20,9)/30))</f>
        <v>16.207757938697348</v>
      </c>
      <c r="EG135" s="172">
        <f ca="1">(VLOOKUP(EG$72,INDIRECT($C$5&amp;"生成成长"),2))/((VLOOKUP($B135,INDIRECT($B$5&amp;"生成成长"),4))/(VLOOKUP(EG$72,INDIRECT($C$5&amp;"生成成长"),5))*(VLOOKUP($B$5,标准坦克设计!$B$24:$U$30,MATCH("对"&amp;LEFT($C$5,2)&amp;"输出",标准坦克设计!$B$23:$U$23,0)))*(VLOOKUP($B135,INDIRECT($B$5&amp;"生成成长"),3))*(VLOOKUP($B$5,标准坦克设计!$B$14:$K$20,9)/30))</f>
        <v>17.473524328413735</v>
      </c>
      <c r="EH135" s="172">
        <f ca="1">(VLOOKUP(EH$72,INDIRECT($C$5&amp;"生成成长"),2))/((VLOOKUP($B135,INDIRECT($B$5&amp;"生成成长"),4))/(VLOOKUP(EH$72,INDIRECT($C$5&amp;"生成成长"),5))*(VLOOKUP($B$5,标准坦克设计!$B$24:$U$30,MATCH("对"&amp;LEFT($C$5,2)&amp;"输出",标准坦克设计!$B$23:$U$23,0)))*(VLOOKUP($B135,INDIRECT($B$5&amp;"生成成长"),3))*(VLOOKUP($B$5,标准坦克设计!$B$14:$K$20,9)/30))</f>
        <v>18.786875920751037</v>
      </c>
      <c r="EI135" s="172">
        <f ca="1">(VLOOKUP(EI$72,INDIRECT($C$5&amp;"生成成长"),2))/((VLOOKUP($B135,INDIRECT($B$5&amp;"生成成长"),4))/(VLOOKUP(EI$72,INDIRECT($C$5&amp;"生成成长"),5))*(VLOOKUP($B$5,标准坦克设计!$B$24:$U$30,MATCH("对"&amp;LEFT($C$5,2)&amp;"输出",标准坦克设计!$B$23:$U$23,0)))*(VLOOKUP($B135,INDIRECT($B$5&amp;"生成成长"),3))*(VLOOKUP($B$5,标准坦克设计!$B$14:$K$20,9)/30))</f>
        <v>20.147812715709257</v>
      </c>
      <c r="EJ135" s="172">
        <f ca="1">(VLOOKUP(EJ$72,INDIRECT($C$5&amp;"生成成长"),2))/((VLOOKUP($B135,INDIRECT($B$5&amp;"生成成长"),4))/(VLOOKUP(EJ$72,INDIRECT($C$5&amp;"生成成长"),5))*(VLOOKUP($B$5,标准坦克设计!$B$24:$U$30,MATCH("对"&amp;LEFT($C$5,2)&amp;"输出",标准坦克设计!$B$23:$U$23,0)))*(VLOOKUP($B135,INDIRECT($B$5&amp;"生成成长"),3))*(VLOOKUP($B$5,标准坦克设计!$B$14:$K$20,9)/30))</f>
        <v>21.556334713288386</v>
      </c>
      <c r="EK135" s="172">
        <f ca="1">(VLOOKUP(EK$72,INDIRECT($C$5&amp;"生成成长"),2))/((VLOOKUP($B135,INDIRECT($B$5&amp;"生成成长"),4))/(VLOOKUP(EK$72,INDIRECT($C$5&amp;"生成成长"),5))*(VLOOKUP($B$5,标准坦克设计!$B$24:$U$30,MATCH("对"&amp;LEFT($C$5,2)&amp;"输出",标准坦克设计!$B$23:$U$23,0)))*(VLOOKUP($B135,INDIRECT($B$5&amp;"生成成长"),3))*(VLOOKUP($B$5,标准坦克设计!$B$14:$K$20,9)/30))</f>
        <v>23.309373577842965</v>
      </c>
      <c r="EL135" s="172">
        <f ca="1">(VLOOKUP(EL$72,INDIRECT($C$5&amp;"生成成长"),2))/((VLOOKUP($B135,INDIRECT($B$5&amp;"生成成长"),4))/(VLOOKUP(EL$72,INDIRECT($C$5&amp;"生成成长"),5))*(VLOOKUP($B$5,标准坦克设计!$B$24:$U$30,MATCH("对"&amp;LEFT($C$5,2)&amp;"输出",标准坦克设计!$B$23:$U$23,0)))*(VLOOKUP($B135,INDIRECT($B$5&amp;"生成成长"),3))*(VLOOKUP($B$5,标准坦克设计!$B$14:$K$20,9)/30))</f>
        <v>25.130935134171654</v>
      </c>
      <c r="EM135" s="172">
        <f ca="1">(VLOOKUP(EM$72,INDIRECT($C$5&amp;"生成成长"),2))/((VLOOKUP($B135,INDIRECT($B$5&amp;"生成成长"),4))/(VLOOKUP(EM$72,INDIRECT($C$5&amp;"生成成长"),5))*(VLOOKUP($B$5,标准坦克设计!$B$24:$U$30,MATCH("对"&amp;LEFT($C$5,2)&amp;"输出",标准坦克设计!$B$23:$U$23,0)))*(VLOOKUP($B135,INDIRECT($B$5&amp;"生成成长"),3))*(VLOOKUP($B$5,标准坦克设计!$B$14:$K$20,9)/30))</f>
        <v>27.021019382274471</v>
      </c>
      <c r="EN135" s="172">
        <f ca="1">(VLOOKUP(EN$72,INDIRECT($C$5&amp;"生成成长"),2))/((VLOOKUP($B135,INDIRECT($B$5&amp;"生成成长"),4))/(VLOOKUP(EN$72,INDIRECT($C$5&amp;"生成成长"),5))*(VLOOKUP($B$5,标准坦克设计!$B$24:$U$30,MATCH("对"&amp;LEFT($C$5,2)&amp;"输出",标准坦克设计!$B$23:$U$23,0)))*(VLOOKUP($B135,INDIRECT($B$5&amp;"生成成长"),3))*(VLOOKUP($B$5,标准坦克设计!$B$14:$K$20,9)/30))</f>
        <v>28.9796263221514</v>
      </c>
      <c r="EO135" s="172">
        <f ca="1">(VLOOKUP(EO$72,INDIRECT($C$5&amp;"生成成长"),2))/((VLOOKUP($B135,INDIRECT($B$5&amp;"生成成长"),4))/(VLOOKUP(EO$72,INDIRECT($C$5&amp;"生成成长"),5))*(VLOOKUP($B$5,标准坦克设计!$B$24:$U$30,MATCH("对"&amp;LEFT($C$5,2)&amp;"输出",标准坦克设计!$B$23:$U$23,0)))*(VLOOKUP($B135,INDIRECT($B$5&amp;"生成成长"),3))*(VLOOKUP($B$5,标准坦克设计!$B$14:$K$20,9)/30))</f>
        <v>31.006755953802458</v>
      </c>
      <c r="EP135" s="172">
        <f ca="1">(VLOOKUP(EP$72,INDIRECT($C$5&amp;"生成成长"),2))/((VLOOKUP($B135,INDIRECT($B$5&amp;"生成成长"),4))/(VLOOKUP(EP$72,INDIRECT($C$5&amp;"生成成长"),5))*(VLOOKUP($B$5,标准坦克设计!$B$24:$U$30,MATCH("对"&amp;LEFT($C$5,2)&amp;"输出",标准坦克设计!$B$23:$U$23,0)))*(VLOOKUP($B135,INDIRECT($B$5&amp;"生成成长"),3))*(VLOOKUP($B$5,标准坦克设计!$B$14:$K$20,9)/30))</f>
        <v>33.102408277227632</v>
      </c>
      <c r="EQ135" s="172">
        <f ca="1">(VLOOKUP(EQ$72,INDIRECT($C$5&amp;"生成成长"),2))/((VLOOKUP($B135,INDIRECT($B$5&amp;"生成成长"),4))/(VLOOKUP(EQ$72,INDIRECT($C$5&amp;"生成成长"),5))*(VLOOKUP($B$5,标准坦克设计!$B$24:$U$30,MATCH("对"&amp;LEFT($C$5,2)&amp;"输出",标准坦克设计!$B$23:$U$23,0)))*(VLOOKUP($B135,INDIRECT($B$5&amp;"生成成长"),3))*(VLOOKUP($B$5,标准坦克设计!$B$14:$K$20,9)/30))</f>
        <v>14.633401509984315</v>
      </c>
      <c r="ER135" s="172">
        <f ca="1">(VLOOKUP(ER$72,INDIRECT($C$5&amp;"生成成长"),2))/((VLOOKUP($B135,INDIRECT($B$5&amp;"生成成长"),4))/(VLOOKUP(ER$72,INDIRECT($C$5&amp;"生成成长"),5))*(VLOOKUP($B$5,标准坦克设计!$B$24:$U$30,MATCH("对"&amp;LEFT($C$5,2)&amp;"输出",标准坦克设计!$B$23:$U$23,0)))*(VLOOKUP($B135,INDIRECT($B$5&amp;"生成成长"),3))*(VLOOKUP($B$5,标准坦克设计!$B$14:$K$20,9)/30))</f>
        <v>15.960314885068579</v>
      </c>
      <c r="ES135" s="172">
        <f ca="1">(VLOOKUP(ES$72,INDIRECT($C$5&amp;"生成成长"),2))/((VLOOKUP($B135,INDIRECT($B$5&amp;"生成成长"),4))/(VLOOKUP(ES$72,INDIRECT($C$5&amp;"生成成长"),5))*(VLOOKUP($B$5,标准坦克设计!$B$24:$U$30,MATCH("对"&amp;LEFT($C$5,2)&amp;"输出",标准坦克设计!$B$23:$U$23,0)))*(VLOOKUP($B135,INDIRECT($B$5&amp;"生成成长"),3))*(VLOOKUP($B$5,标准坦克设计!$B$14:$K$20,9)/30))</f>
        <v>17.344806355324156</v>
      </c>
      <c r="ET135" s="172">
        <f ca="1">(VLOOKUP(ET$72,INDIRECT($C$5&amp;"生成成长"),2))/((VLOOKUP($B135,INDIRECT($B$5&amp;"生成成长"),4))/(VLOOKUP(ET$72,INDIRECT($C$5&amp;"生成成长"),5))*(VLOOKUP($B$5,标准坦克设计!$B$24:$U$30,MATCH("对"&amp;LEFT($C$5,2)&amp;"输出",标准坦克设计!$B$23:$U$23,0)))*(VLOOKUP($B135,INDIRECT($B$5&amp;"生成成长"),3))*(VLOOKUP($B$5,标准坦克设计!$B$14:$K$20,9)/30))</f>
        <v>18.786875920751037</v>
      </c>
      <c r="EU135" s="172">
        <f ca="1">(VLOOKUP(EU$72,INDIRECT($C$5&amp;"生成成长"),2))/((VLOOKUP($B135,INDIRECT($B$5&amp;"生成成长"),4))/(VLOOKUP(EU$72,INDIRECT($C$5&amp;"生成成长"),5))*(VLOOKUP($B$5,标准坦克设计!$B$24:$U$30,MATCH("对"&amp;LEFT($C$5,2)&amp;"输出",标准坦克设计!$B$23:$U$23,0)))*(VLOOKUP($B135,INDIRECT($B$5&amp;"生成成长"),3))*(VLOOKUP($B$5,标准坦克设计!$B$14:$K$20,9)/30))</f>
        <v>20.286523581349233</v>
      </c>
      <c r="EV135" s="172">
        <f ca="1">(VLOOKUP(EV$72,INDIRECT($C$5&amp;"生成成长"),2))/((VLOOKUP($B135,INDIRECT($B$5&amp;"生成成长"),4))/(VLOOKUP(EV$72,INDIRECT($C$5&amp;"生成成长"),5))*(VLOOKUP($B$5,标准坦克设计!$B$24:$U$30,MATCH("对"&amp;LEFT($C$5,2)&amp;"输出",标准坦克设计!$B$23:$U$23,0)))*(VLOOKUP($B135,INDIRECT($B$5&amp;"生成成长"),3))*(VLOOKUP($B$5,标准坦克设计!$B$14:$K$20,9)/30))</f>
        <v>21.843749337118727</v>
      </c>
      <c r="EW135" s="172">
        <f ca="1">(VLOOKUP(EW$72,INDIRECT($C$5&amp;"生成成长"),2))/((VLOOKUP($B135,INDIRECT($B$5&amp;"生成成长"),4))/(VLOOKUP(EW$72,INDIRECT($C$5&amp;"生成成长"),5))*(VLOOKUP($B$5,标准坦克设计!$B$24:$U$30,MATCH("对"&amp;LEFT($C$5,2)&amp;"输出",标准坦克设计!$B$23:$U$23,0)))*(VLOOKUP($B135,INDIRECT($B$5&amp;"生成成长"),3))*(VLOOKUP($B$5,标准坦克设计!$B$14:$K$20,9)/30))</f>
        <v>23.45855318805954</v>
      </c>
      <c r="EX135" s="172">
        <f ca="1">(VLOOKUP(EX$72,INDIRECT($C$5&amp;"生成成长"),2))/((VLOOKUP($B135,INDIRECT($B$5&amp;"生成成长"),4))/(VLOOKUP(EX$72,INDIRECT($C$5&amp;"生成成长"),5))*(VLOOKUP($B$5,标准坦克设计!$B$24:$U$30,MATCH("对"&amp;LEFT($C$5,2)&amp;"输出",标准坦克设计!$B$23:$U$23,0)))*(VLOOKUP($B135,INDIRECT($B$5&amp;"生成成长"),3))*(VLOOKUP($B$5,标准坦克设计!$B$14:$K$20,9)/30))</f>
        <v>25.130935134171654</v>
      </c>
      <c r="EY135" s="172">
        <f ca="1">(VLOOKUP(EY$72,INDIRECT($C$5&amp;"生成成长"),2))/((VLOOKUP($B135,INDIRECT($B$5&amp;"生成成长"),4))/(VLOOKUP(EY$72,INDIRECT($C$5&amp;"生成成长"),5))*(VLOOKUP($B$5,标准坦克设计!$B$24:$U$30,MATCH("对"&amp;LEFT($C$5,2)&amp;"输出",标准坦克设计!$B$23:$U$23,0)))*(VLOOKUP($B135,INDIRECT($B$5&amp;"生成成长"),3))*(VLOOKUP($B$5,标准坦克设计!$B$14:$K$20,9)/30))</f>
        <v>26.860895175455092</v>
      </c>
      <c r="EZ135" s="172">
        <f ca="1">(VLOOKUP(EZ$72,INDIRECT($C$5&amp;"生成成长"),2))/((VLOOKUP($B135,INDIRECT($B$5&amp;"生成成长"),4))/(VLOOKUP(EZ$72,INDIRECT($C$5&amp;"生成成长"),5))*(VLOOKUP($B$5,标准坦克设计!$B$24:$U$30,MATCH("对"&amp;LEFT($C$5,2)&amp;"输出",标准坦克设计!$B$23:$U$23,0)))*(VLOOKUP($B135,INDIRECT($B$5&amp;"生成成长"),3))*(VLOOKUP($B$5,标准坦克设计!$B$14:$K$20,9)/30))</f>
        <v>28.648433311909827</v>
      </c>
      <c r="FA135" s="172">
        <f ca="1">(VLOOKUP(FA$72,INDIRECT($C$5&amp;"生成成长"),2))/((VLOOKUP($B135,INDIRECT($B$5&amp;"生成成长"),4))/(VLOOKUP(FA$72,INDIRECT($C$5&amp;"生成成长"),5))*(VLOOKUP($B$5,标准坦克设计!$B$24:$U$30,MATCH("对"&amp;LEFT($C$5,2)&amp;"输出",标准坦克设计!$B$23:$U$23,0)))*(VLOOKUP($B135,INDIRECT($B$5&amp;"生成成长"),3))*(VLOOKUP($B$5,标准坦克设计!$B$14:$K$20,9)/30))</f>
        <v>30.493549543535881</v>
      </c>
      <c r="FB135" s="172">
        <f ca="1">(VLOOKUP(FB$72,INDIRECT($C$5&amp;"生成成长"),2))/((VLOOKUP($B135,INDIRECT($B$5&amp;"生成成长"),4))/(VLOOKUP(FB$72,INDIRECT($C$5&amp;"生成成长"),5))*(VLOOKUP($B$5,标准坦克设计!$B$24:$U$30,MATCH("对"&amp;LEFT($C$5,2)&amp;"输出",标准坦克设计!$B$23:$U$23,0)))*(VLOOKUP($B135,INDIRECT($B$5&amp;"生成成长"),3))*(VLOOKUP($B$5,标准坦克设计!$B$14:$K$20,9)/30))</f>
        <v>32.39624387033323</v>
      </c>
      <c r="FC135" s="172">
        <f ca="1">(VLOOKUP(FC$72,INDIRECT($C$5&amp;"生成成长"),2))/((VLOOKUP($B135,INDIRECT($B$5&amp;"生成成长"),4))/(VLOOKUP(FC$72,INDIRECT($C$5&amp;"生成成长"),5))*(VLOOKUP($B$5,标准坦克设计!$B$24:$U$30,MATCH("对"&amp;LEFT($C$5,2)&amp;"输出",标准坦克设计!$B$23:$U$23,0)))*(VLOOKUP($B135,INDIRECT($B$5&amp;"生成成长"),3))*(VLOOKUP($B$5,标准坦克设计!$B$14:$K$20,9)/30))</f>
        <v>34.35651629230189</v>
      </c>
      <c r="FD135" s="172">
        <f ca="1">(VLOOKUP(FD$72,INDIRECT($C$5&amp;"生成成长"),2))/((VLOOKUP($B135,INDIRECT($B$5&amp;"生成成长"),4))/(VLOOKUP(FD$72,INDIRECT($C$5&amp;"生成成长"),5))*(VLOOKUP($B$5,标准坦克设计!$B$24:$U$30,MATCH("对"&amp;LEFT($C$5,2)&amp;"输出",标准坦克设计!$B$23:$U$23,0)))*(VLOOKUP($B135,INDIRECT($B$5&amp;"生成成长"),3))*(VLOOKUP($B$5,标准坦克设计!$B$14:$K$20,9)/30))</f>
        <v>36.37436680944186</v>
      </c>
      <c r="FE135" s="172">
        <f ca="1">(VLOOKUP(FE$72,INDIRECT($C$5&amp;"生成成长"),2))/((VLOOKUP($B135,INDIRECT($B$5&amp;"生成成长"),4))/(VLOOKUP(FE$72,INDIRECT($C$5&amp;"生成成长"),5))*(VLOOKUP($B$5,标准坦克设计!$B$24:$U$30,MATCH("对"&amp;LEFT($C$5,2)&amp;"输出",标准坦克设计!$B$23:$U$23,0)))*(VLOOKUP($B135,INDIRECT($B$5&amp;"生成成长"),3))*(VLOOKUP($B$5,标准坦克设计!$B$14:$K$20,9)/30))</f>
        <v>38.833332154877745</v>
      </c>
      <c r="FF135" s="172">
        <f ca="1">(VLOOKUP(FF$72,INDIRECT($C$5&amp;"生成成长"),2))/((VLOOKUP($B135,INDIRECT($B$5&amp;"生成成长"),4))/(VLOOKUP(FF$72,INDIRECT($C$5&amp;"生成成长"),5))*(VLOOKUP($B$5,标准坦克设计!$B$24:$U$30,MATCH("对"&amp;LEFT($C$5,2)&amp;"输出",标准坦克设计!$B$23:$U$23,0)))*(VLOOKUP($B135,INDIRECT($B$5&amp;"生成成长"),3))*(VLOOKUP($B$5,标准坦克设计!$B$14:$K$20,9)/30))</f>
        <v>41.372716492742967</v>
      </c>
      <c r="FG135" s="172">
        <f ca="1">(VLOOKUP(FG$72,INDIRECT($C$5&amp;"生成成长"),2))/((VLOOKUP($B135,INDIRECT($B$5&amp;"生成成长"),4))/(VLOOKUP(FG$72,INDIRECT($C$5&amp;"生成成长"),5))*(VLOOKUP($B$5,标准坦克设计!$B$24:$U$30,MATCH("对"&amp;LEFT($C$5,2)&amp;"输出",标准坦克设计!$B$23:$U$23,0)))*(VLOOKUP($B135,INDIRECT($B$5&amp;"生成成长"),3))*(VLOOKUP($B$5,标准坦克设计!$B$14:$K$20,9)/30))</f>
        <v>43.99251982303754</v>
      </c>
      <c r="FH135" s="172">
        <f ca="1">(VLOOKUP(FH$72,INDIRECT($C$5&amp;"生成成长"),2))/((VLOOKUP($B135,INDIRECT($B$5&amp;"生成成长"),4))/(VLOOKUP(FH$72,INDIRECT($C$5&amp;"生成成长"),5))*(VLOOKUP($B$5,标准坦克设计!$B$24:$U$30,MATCH("对"&amp;LEFT($C$5,2)&amp;"输出",标准坦克设计!$B$23:$U$23,0)))*(VLOOKUP($B135,INDIRECT($B$5&amp;"生成成长"),3))*(VLOOKUP($B$5,标准坦克设计!$B$14:$K$20,9)/30))</f>
        <v>46.69274214576145</v>
      </c>
      <c r="FI135" s="172">
        <f ca="1">(VLOOKUP(FI$72,INDIRECT($C$5&amp;"生成成长"),2))/((VLOOKUP($B135,INDIRECT($B$5&amp;"生成成长"),4))/(VLOOKUP(FI$72,INDIRECT($C$5&amp;"生成成长"),5))*(VLOOKUP($B$5,标准坦克设计!$B$24:$U$30,MATCH("对"&amp;LEFT($C$5,2)&amp;"输出",标准坦克设计!$B$23:$U$23,0)))*(VLOOKUP($B135,INDIRECT($B$5&amp;"生成成长"),3))*(VLOOKUP($B$5,标准坦克设计!$B$14:$K$20,9)/30))</f>
        <v>49.473383460914732</v>
      </c>
      <c r="FJ135" s="172">
        <f ca="1">(VLOOKUP(FJ$72,INDIRECT($C$5&amp;"生成成长"),2))/((VLOOKUP($B135,INDIRECT($B$5&amp;"生成成长"),4))/(VLOOKUP(FJ$72,INDIRECT($C$5&amp;"生成成长"),5))*(VLOOKUP($B$5,标准坦克设计!$B$24:$U$30,MATCH("对"&amp;LEFT($C$5,2)&amp;"输出",标准坦克设计!$B$23:$U$23,0)))*(VLOOKUP($B135,INDIRECT($B$5&amp;"生成成长"),3))*(VLOOKUP($B$5,标准坦克设计!$B$14:$K$20,9)/30))</f>
        <v>52.334443768497344</v>
      </c>
      <c r="FK135" s="172">
        <f ca="1">(VLOOKUP(FK$72,INDIRECT($C$5&amp;"生成成长"),2))/((VLOOKUP($B135,INDIRECT($B$5&amp;"生成成长"),4))/(VLOOKUP(FK$72,INDIRECT($C$5&amp;"生成成长"),5))*(VLOOKUP($B$5,标准坦克设计!$B$24:$U$30,MATCH("对"&amp;LEFT($C$5,2)&amp;"输出",标准坦克设计!$B$23:$U$23,0)))*(VLOOKUP($B135,INDIRECT($B$5&amp;"生成成长"),3))*(VLOOKUP($B$5,标准坦克设计!$B$14:$K$20,9)/30))</f>
        <v>55.275923068509321</v>
      </c>
    </row>
    <row r="136" spans="1:167" x14ac:dyDescent="0.15">
      <c r="A136" s="170" t="str">
        <f t="shared" si="11"/>
        <v>T3中品质7级</v>
      </c>
      <c r="B136" s="171">
        <v>20307</v>
      </c>
      <c r="C136" s="172">
        <f ca="1">(VLOOKUP(C$72,INDIRECT($C$5&amp;"生成成长"),2))/((VLOOKUP($B136,INDIRECT($B$5&amp;"生成成长"),4))/(VLOOKUP(C$72,INDIRECT($C$5&amp;"生成成长"),5))*(VLOOKUP($B$5,标准坦克设计!$B$24:$U$30,MATCH("对"&amp;LEFT($C$5,2)&amp;"输出",标准坦克设计!$B$23:$U$23,0)))*(VLOOKUP($B136,INDIRECT($B$5&amp;"生成成长"),3))*(VLOOKUP($B$5,标准坦克设计!$B$14:$K$20,9)/30))</f>
        <v>2.1677247619235436</v>
      </c>
      <c r="D136" s="172">
        <f ca="1">(VLOOKUP(D$72,INDIRECT($C$5&amp;"生成成长"),2))/((VLOOKUP($B136,INDIRECT($B$5&amp;"生成成长"),4))/(VLOOKUP(D$72,INDIRECT($C$5&amp;"生成成长"),5))*(VLOOKUP($B$5,标准坦克设计!$B$24:$U$30,MATCH("对"&amp;LEFT($C$5,2)&amp;"输出",标准坦克设计!$B$23:$U$23,0)))*(VLOOKUP($B136,INDIRECT($B$5&amp;"生成成长"),3))*(VLOOKUP($B$5,标准坦克设计!$B$14:$K$20,9)/30))</f>
        <v>2.4356555424972939</v>
      </c>
      <c r="E136" s="172">
        <f ca="1">(VLOOKUP(E$72,INDIRECT($C$5&amp;"生成成长"),2))/((VLOOKUP($B136,INDIRECT($B$5&amp;"生成成长"),4))/(VLOOKUP(E$72,INDIRECT($C$5&amp;"生成成长"),5))*(VLOOKUP($B$5,标准坦克设计!$B$24:$U$30,MATCH("对"&amp;LEFT($C$5,2)&amp;"输出",标准坦克设计!$B$23:$U$23,0)))*(VLOOKUP($B136,INDIRECT($B$5&amp;"生成成长"),3))*(VLOOKUP($B$5,标准坦克设计!$B$14:$K$20,9)/30))</f>
        <v>2.7191939413568931</v>
      </c>
      <c r="F136" s="172">
        <f ca="1">(VLOOKUP(F$72,INDIRECT($C$5&amp;"生成成长"),2))/((VLOOKUP($B136,INDIRECT($B$5&amp;"生成成长"),4))/(VLOOKUP(F$72,INDIRECT($C$5&amp;"生成成长"),5))*(VLOOKUP($B$5,标准坦克设计!$B$24:$U$30,MATCH("对"&amp;LEFT($C$5,2)&amp;"输出",标准坦克设计!$B$23:$U$23,0)))*(VLOOKUP($B136,INDIRECT($B$5&amp;"生成成长"),3))*(VLOOKUP($B$5,标准坦克设计!$B$14:$K$20,9)/30))</f>
        <v>3.018339958502342</v>
      </c>
      <c r="G136" s="172">
        <f ca="1">(VLOOKUP(G$72,INDIRECT($C$5&amp;"生成成长"),2))/((VLOOKUP($B136,INDIRECT($B$5&amp;"生成成长"),4))/(VLOOKUP(G$72,INDIRECT($C$5&amp;"生成成长"),5))*(VLOOKUP($B$5,标准坦克设计!$B$24:$U$30,MATCH("对"&amp;LEFT($C$5,2)&amp;"输出",标准坦克设计!$B$23:$U$23,0)))*(VLOOKUP($B136,INDIRECT($B$5&amp;"生成成长"),3))*(VLOOKUP($B$5,标准坦克设计!$B$14:$K$20,9)/30))</f>
        <v>3.3330935939336412</v>
      </c>
      <c r="H136" s="172">
        <f ca="1">(VLOOKUP(H$72,INDIRECT($C$5&amp;"生成成长"),2))/((VLOOKUP($B136,INDIRECT($B$5&amp;"生成成长"),4))/(VLOOKUP(H$72,INDIRECT($C$5&amp;"生成成长"),5))*(VLOOKUP($B$5,标准坦克设计!$B$24:$U$30,MATCH("对"&amp;LEFT($C$5,2)&amp;"输出",标准坦克设计!$B$23:$U$23,0)))*(VLOOKUP($B136,INDIRECT($B$5&amp;"生成成长"),3))*(VLOOKUP($B$5,标准坦克设计!$B$14:$K$20,9)/30))</f>
        <v>2.9168904396443209</v>
      </c>
      <c r="I136" s="172">
        <f ca="1">(VLOOKUP(I$72,INDIRECT($C$5&amp;"生成成长"),2))/((VLOOKUP($B136,INDIRECT($B$5&amp;"生成成长"),4))/(VLOOKUP(I$72,INDIRECT($C$5&amp;"生成成长"),5))*(VLOOKUP($B$5,标准坦克设计!$B$24:$U$30,MATCH("对"&amp;LEFT($C$5,2)&amp;"输出",标准坦克设计!$B$23:$U$23,0)))*(VLOOKUP($B136,INDIRECT($B$5&amp;"生成成长"),3))*(VLOOKUP($B$5,标准坦克设计!$B$14:$K$20,9)/30))</f>
        <v>3.3330935939336412</v>
      </c>
      <c r="J136" s="172">
        <f ca="1">(VLOOKUP(J$72,INDIRECT($C$5&amp;"生成成长"),2))/((VLOOKUP($B136,INDIRECT($B$5&amp;"生成成长"),4))/(VLOOKUP(J$72,INDIRECT($C$5&amp;"生成成长"),5))*(VLOOKUP($B$5,标准坦克设计!$B$24:$U$30,MATCH("对"&amp;LEFT($C$5,2)&amp;"输出",标准坦克设计!$B$23:$U$23,0)))*(VLOOKUP($B136,INDIRECT($B$5&amp;"生成成长"),3))*(VLOOKUP($B$5,标准坦克设计!$B$14:$K$20,9)/30))</f>
        <v>3.7770436251755823</v>
      </c>
      <c r="K136" s="172">
        <f ca="1">(VLOOKUP(K$72,INDIRECT($C$5&amp;"生成成长"),2))/((VLOOKUP($B136,INDIRECT($B$5&amp;"生成成长"),4))/(VLOOKUP(K$72,INDIRECT($C$5&amp;"生成成长"),5))*(VLOOKUP($B$5,标准坦克设计!$B$24:$U$30,MATCH("对"&amp;LEFT($C$5,2)&amp;"输出",标准坦克设计!$B$23:$U$23,0)))*(VLOOKUP($B136,INDIRECT($B$5&amp;"生成成长"),3))*(VLOOKUP($B$5,标准坦克设计!$B$14:$K$20,9)/30))</f>
        <v>4.2487405333701469</v>
      </c>
      <c r="L136" s="172">
        <f ca="1">(VLOOKUP(L$72,INDIRECT($C$5&amp;"生成成长"),2))/((VLOOKUP($B136,INDIRECT($B$5&amp;"生成成长"),4))/(VLOOKUP(L$72,INDIRECT($C$5&amp;"生成成长"),5))*(VLOOKUP($B$5,标准坦克设计!$B$24:$U$30,MATCH("对"&amp;LEFT($C$5,2)&amp;"输出",标准坦克设计!$B$23:$U$23,0)))*(VLOOKUP($B136,INDIRECT($B$5&amp;"生成成长"),3))*(VLOOKUP($B$5,标准坦克设计!$B$14:$K$20,9)/30))</f>
        <v>4.7481843185173309</v>
      </c>
      <c r="M136" s="172">
        <f ca="1">(VLOOKUP(M$72,INDIRECT($C$5&amp;"生成成长"),2))/((VLOOKUP($B136,INDIRECT($B$5&amp;"生成成长"),4))/(VLOOKUP(M$72,INDIRECT($C$5&amp;"生成成长"),5))*(VLOOKUP($B$5,标准坦克设计!$B$24:$U$30,MATCH("对"&amp;LEFT($C$5,2)&amp;"输出",标准坦克设计!$B$23:$U$23,0)))*(VLOOKUP($B136,INDIRECT($B$5&amp;"生成成长"),3))*(VLOOKUP($B$5,标准坦克设计!$B$14:$K$20,9)/30))</f>
        <v>5.2753749806171353</v>
      </c>
      <c r="N136" s="172">
        <f ca="1">(VLOOKUP(N$72,INDIRECT($C$5&amp;"生成成长"),2))/((VLOOKUP($B136,INDIRECT($B$5&amp;"生成成长"),4))/(VLOOKUP(N$72,INDIRECT($C$5&amp;"生成成长"),5))*(VLOOKUP($B$5,标准坦克设计!$B$24:$U$30,MATCH("对"&amp;LEFT($C$5,2)&amp;"输出",标准坦克设计!$B$23:$U$23,0)))*(VLOOKUP($B136,INDIRECT($B$5&amp;"生成成长"),3))*(VLOOKUP($B$5,标准坦克设计!$B$14:$K$20,9)/30))</f>
        <v>5.8303125196695635</v>
      </c>
      <c r="O136" s="172">
        <f ca="1">(VLOOKUP(O$72,INDIRECT($C$5&amp;"生成成长"),2))/((VLOOKUP($B136,INDIRECT($B$5&amp;"生成成长"),4))/(VLOOKUP(O$72,INDIRECT($C$5&amp;"生成成长"),5))*(VLOOKUP($B$5,标准坦克设计!$B$24:$U$30,MATCH("对"&amp;LEFT($C$5,2)&amp;"输出",标准坦克设计!$B$23:$U$23,0)))*(VLOOKUP($B136,INDIRECT($B$5&amp;"生成成长"),3))*(VLOOKUP($B$5,标准坦克设计!$B$14:$K$20,9)/30))</f>
        <v>4.4327803656574547</v>
      </c>
      <c r="P136" s="172">
        <f ca="1">(VLOOKUP(P$72,INDIRECT($C$5&amp;"生成成长"),2))/((VLOOKUP($B136,INDIRECT($B$5&amp;"生成成长"),4))/(VLOOKUP(P$72,INDIRECT($C$5&amp;"生成成长"),5))*(VLOOKUP($B$5,标准坦克设计!$B$24:$U$30,MATCH("对"&amp;LEFT($C$5,2)&amp;"输出",标准坦克设计!$B$23:$U$23,0)))*(VLOOKUP($B136,INDIRECT($B$5&amp;"生成成长"),3))*(VLOOKUP($B$5,标准坦克设计!$B$14:$K$20,9)/30))</f>
        <v>5.0083112899481552</v>
      </c>
      <c r="Q136" s="172">
        <f ca="1">(VLOOKUP(Q$72,INDIRECT($C$5&amp;"生成成长"),2))/((VLOOKUP($B136,INDIRECT($B$5&amp;"生成成长"),4))/(VLOOKUP(Q$72,INDIRECT($C$5&amp;"生成成长"),5))*(VLOOKUP($B$5,标准坦克设计!$B$24:$U$30,MATCH("对"&amp;LEFT($C$5,2)&amp;"输出",标准坦克设计!$B$23:$U$23,0)))*(VLOOKUP($B136,INDIRECT($B$5&amp;"生成成长"),3))*(VLOOKUP($B$5,标准坦克设计!$B$14:$K$20,9)/30))</f>
        <v>5.6189593553820183</v>
      </c>
      <c r="R136" s="172">
        <f ca="1">(VLOOKUP(R$72,INDIRECT($C$5&amp;"生成成长"),2))/((VLOOKUP($B136,INDIRECT($B$5&amp;"生成成长"),4))/(VLOOKUP(R$72,INDIRECT($C$5&amp;"生成成长"),5))*(VLOOKUP($B$5,标准坦克设计!$B$24:$U$30,MATCH("对"&amp;LEFT($C$5,2)&amp;"输出",标准坦克设计!$B$23:$U$23,0)))*(VLOOKUP($B136,INDIRECT($B$5&amp;"生成成长"),3))*(VLOOKUP($B$5,标准坦克设计!$B$14:$K$20,9)/30))</f>
        <v>6.2647245619590413</v>
      </c>
      <c r="S136" s="172">
        <f ca="1">(VLOOKUP(S$72,INDIRECT($C$5&amp;"生成成长"),2))/((VLOOKUP($B136,INDIRECT($B$5&amp;"生成成长"),4))/(VLOOKUP(S$72,INDIRECT($C$5&amp;"生成成长"),5))*(VLOOKUP($B$5,标准坦克设计!$B$24:$U$30,MATCH("对"&amp;LEFT($C$5,2)&amp;"输出",标准坦克设计!$B$23:$U$23,0)))*(VLOOKUP($B136,INDIRECT($B$5&amp;"生成成长"),3))*(VLOOKUP($B$5,标准坦克设计!$B$14:$K$20,9)/30))</f>
        <v>6.9456069096792268</v>
      </c>
      <c r="T136" s="172">
        <f ca="1">(VLOOKUP(T$72,INDIRECT($C$5&amp;"生成成长"),2))/((VLOOKUP($B136,INDIRECT($B$5&amp;"生成成长"),4))/(VLOOKUP(T$72,INDIRECT($C$5&amp;"生成成长"),5))*(VLOOKUP($B$5,标准坦克设计!$B$24:$U$30,MATCH("对"&amp;LEFT($C$5,2)&amp;"输出",标准坦克设计!$B$23:$U$23,0)))*(VLOOKUP($B136,INDIRECT($B$5&amp;"生成成长"),3))*(VLOOKUP($B$5,标准坦克设计!$B$14:$K$20,9)/30))</f>
        <v>7.6616063985425731</v>
      </c>
      <c r="U136" s="172">
        <f ca="1">(VLOOKUP(U$72,INDIRECT($C$5&amp;"生成成长"),2))/((VLOOKUP($B136,INDIRECT($B$5&amp;"生成成长"),4))/(VLOOKUP(U$72,INDIRECT($C$5&amp;"生成成长"),5))*(VLOOKUP($B$5,标准坦克设计!$B$24:$U$30,MATCH("对"&amp;LEFT($C$5,2)&amp;"输出",标准坦克设计!$B$23:$U$23,0)))*(VLOOKUP($B136,INDIRECT($B$5&amp;"生成成长"),3))*(VLOOKUP($B$5,标准坦克设计!$B$14:$K$20,9)/30))</f>
        <v>8.4127230285490811</v>
      </c>
      <c r="V136" s="172">
        <f ca="1">(VLOOKUP(V$72,INDIRECT($C$5&amp;"生成成长"),2))/((VLOOKUP($B136,INDIRECT($B$5&amp;"生成成长"),4))/(VLOOKUP(V$72,INDIRECT($C$5&amp;"生成成长"),5))*(VLOOKUP($B$5,标准坦克设计!$B$24:$U$30,MATCH("对"&amp;LEFT($C$5,2)&amp;"输出",标准坦克设计!$B$23:$U$23,0)))*(VLOOKUP($B136,INDIRECT($B$5&amp;"生成成长"),3))*(VLOOKUP($B$5,标准坦克设计!$B$14:$K$20,9)/30))</f>
        <v>9.1989567996987507</v>
      </c>
      <c r="W136" s="172">
        <f ca="1">(VLOOKUP(W$72,INDIRECT($C$5&amp;"生成成长"),2))/((VLOOKUP($B136,INDIRECT($B$5&amp;"生成成长"),4))/(VLOOKUP(W$72,INDIRECT($C$5&amp;"生成成长"),5))*(VLOOKUP($B$5,标准坦克设计!$B$24:$U$30,MATCH("对"&amp;LEFT($C$5,2)&amp;"输出",标准坦克设计!$B$23:$U$23,0)))*(VLOOKUP($B136,INDIRECT($B$5&amp;"生成成长"),3))*(VLOOKUP($B$5,标准坦克设计!$B$14:$K$20,9)/30))</f>
        <v>10.020307711991581</v>
      </c>
      <c r="X136" s="172">
        <f ca="1">(VLOOKUP(X$72,INDIRECT($C$5&amp;"生成成长"),2))/((VLOOKUP($B136,INDIRECT($B$5&amp;"生成成长"),4))/(VLOOKUP(X$72,INDIRECT($C$5&amp;"生成成长"),5))*(VLOOKUP($B$5,标准坦克设计!$B$24:$U$30,MATCH("对"&amp;LEFT($C$5,2)&amp;"输出",标准坦克设计!$B$23:$U$23,0)))*(VLOOKUP($B136,INDIRECT($B$5&amp;"生成成长"),3))*(VLOOKUP($B$5,标准坦克设计!$B$14:$K$20,9)/30))</f>
        <v>7.2594934552057548</v>
      </c>
      <c r="Y136" s="172">
        <f ca="1">(VLOOKUP(Y$72,INDIRECT($C$5&amp;"生成成长"),2))/((VLOOKUP($B136,INDIRECT($B$5&amp;"生成成长"),4))/(VLOOKUP(Y$72,INDIRECT($C$5&amp;"生成成长"),5))*(VLOOKUP($B$5,标准坦克设计!$B$24:$U$30,MATCH("对"&amp;LEFT($C$5,2)&amp;"输出",标准坦克设计!$B$23:$U$23,0)))*(VLOOKUP($B136,INDIRECT($B$5&amp;"生成成长"),3))*(VLOOKUP($B$5,标准坦克设计!$B$14:$K$20,9)/30))</f>
        <v>8.0745579656890101</v>
      </c>
      <c r="Z136" s="172">
        <f ca="1">(VLOOKUP(Z$72,INDIRECT($C$5&amp;"生成成长"),2))/((VLOOKUP($B136,INDIRECT($B$5&amp;"生成成长"),4))/(VLOOKUP(Z$72,INDIRECT($C$5&amp;"生成成长"),5))*(VLOOKUP($B$5,标准坦克设计!$B$24:$U$30,MATCH("对"&amp;LEFT($C$5,2)&amp;"输出",标准坦克设计!$B$23:$U$23,0)))*(VLOOKUP($B136,INDIRECT($B$5&amp;"生成成长"),3))*(VLOOKUP($B$5,标准坦克设计!$B$14:$K$20,9)/30))</f>
        <v>8.9329769714107297</v>
      </c>
      <c r="AA136" s="172">
        <f ca="1">(VLOOKUP(AA$72,INDIRECT($C$5&amp;"生成成长"),2))/((VLOOKUP($B136,INDIRECT($B$5&amp;"生成成长"),4))/(VLOOKUP(AA$72,INDIRECT($C$5&amp;"生成成长"),5))*(VLOOKUP($B$5,标准坦克设计!$B$24:$U$30,MATCH("对"&amp;LEFT($C$5,2)&amp;"输出",标准坦克设计!$B$23:$U$23,0)))*(VLOOKUP($B136,INDIRECT($B$5&amp;"生成成长"),3))*(VLOOKUP($B$5,标准坦克设计!$B$14:$K$20,9)/30))</f>
        <v>9.834750472370926</v>
      </c>
      <c r="AB136" s="172">
        <f ca="1">(VLOOKUP(AB$72,INDIRECT($C$5&amp;"生成成长"),2))/((VLOOKUP($B136,INDIRECT($B$5&amp;"生成成长"),4))/(VLOOKUP(AB$72,INDIRECT($C$5&amp;"生成成长"),5))*(VLOOKUP($B$5,标准坦克设计!$B$24:$U$30,MATCH("对"&amp;LEFT($C$5,2)&amp;"输出",标准坦克设计!$B$23:$U$23,0)))*(VLOOKUP($B136,INDIRECT($B$5&amp;"生成成长"),3))*(VLOOKUP($B$5,标准坦克设计!$B$14:$K$20,9)/30))</f>
        <v>10.779878468569589</v>
      </c>
      <c r="AC136" s="172">
        <f ca="1">(VLOOKUP(AC$72,INDIRECT($C$5&amp;"生成成长"),2))/((VLOOKUP($B136,INDIRECT($B$5&amp;"生成成长"),4))/(VLOOKUP(AC$72,INDIRECT($C$5&amp;"生成成长"),5))*(VLOOKUP($B$5,标准坦克设计!$B$24:$U$30,MATCH("对"&amp;LEFT($C$5,2)&amp;"输出",标准坦克设计!$B$23:$U$23,0)))*(VLOOKUP($B136,INDIRECT($B$5&amp;"生成成长"),3))*(VLOOKUP($B$5,标准坦克设计!$B$14:$K$20,9)/30))</f>
        <v>11.768360960006726</v>
      </c>
      <c r="AD136" s="172">
        <f ca="1">(VLOOKUP(AD$72,INDIRECT($C$5&amp;"生成成长"),2))/((VLOOKUP($B136,INDIRECT($B$5&amp;"生成成长"),4))/(VLOOKUP(AD$72,INDIRECT($C$5&amp;"生成成长"),5))*(VLOOKUP($B$5,标准坦克设计!$B$24:$U$30,MATCH("对"&amp;LEFT($C$5,2)&amp;"输出",标准坦克设计!$B$23:$U$23,0)))*(VLOOKUP($B136,INDIRECT($B$5&amp;"生成成长"),3))*(VLOOKUP($B$5,标准坦克设计!$B$14:$K$20,9)/30))</f>
        <v>12.800197946682335</v>
      </c>
      <c r="AE136" s="172">
        <f ca="1">(VLOOKUP(AE$72,INDIRECT($C$5&amp;"生成成长"),2))/((VLOOKUP($B136,INDIRECT($B$5&amp;"生成成长"),4))/(VLOOKUP(AE$72,INDIRECT($C$5&amp;"生成成长"),5))*(VLOOKUP($B$5,标准坦克设计!$B$24:$U$30,MATCH("对"&amp;LEFT($C$5,2)&amp;"输出",标准坦克设计!$B$23:$U$23,0)))*(VLOOKUP($B136,INDIRECT($B$5&amp;"生成成长"),3))*(VLOOKUP($B$5,标准坦克设计!$B$14:$K$20,9)/30))</f>
        <v>13.87538942859641</v>
      </c>
      <c r="AF136" s="172">
        <f ca="1">(VLOOKUP(AF$72,INDIRECT($C$5&amp;"生成成长"),2))/((VLOOKUP($B136,INDIRECT($B$5&amp;"生成成长"),4))/(VLOOKUP(AF$72,INDIRECT($C$5&amp;"生成成长"),5))*(VLOOKUP($B$5,标准坦克设计!$B$24:$U$30,MATCH("对"&amp;LEFT($C$5,2)&amp;"输出",标准坦克设计!$B$23:$U$23,0)))*(VLOOKUP($B136,INDIRECT($B$5&amp;"生成成长"),3))*(VLOOKUP($B$5,标准坦克设计!$B$14:$K$20,9)/30))</f>
        <v>14.99393540574896</v>
      </c>
      <c r="AG136" s="172">
        <f ca="1">(VLOOKUP(AG$72,INDIRECT($C$5&amp;"生成成长"),2))/((VLOOKUP($B136,INDIRECT($B$5&amp;"生成成长"),4))/(VLOOKUP(AG$72,INDIRECT($C$5&amp;"生成成长"),5))*(VLOOKUP($B$5,标准坦克设计!$B$24:$U$30,MATCH("对"&amp;LEFT($C$5,2)&amp;"输出",标准坦克设计!$B$23:$U$23,0)))*(VLOOKUP($B136,INDIRECT($B$5&amp;"生成成长"),3))*(VLOOKUP($B$5,标准坦克设计!$B$14:$K$20,9)/30))</f>
        <v>16.155835878139982</v>
      </c>
      <c r="AH136" s="172">
        <f ca="1">(VLOOKUP(AH$72,INDIRECT($C$5&amp;"生成成长"),2))/((VLOOKUP($B136,INDIRECT($B$5&amp;"生成成长"),4))/(VLOOKUP(AH$72,INDIRECT($C$5&amp;"生成成长"),5))*(VLOOKUP($B$5,标准坦克设计!$B$24:$U$30,MATCH("对"&amp;LEFT($C$5,2)&amp;"输出",标准坦克设计!$B$23:$U$23,0)))*(VLOOKUP($B136,INDIRECT($B$5&amp;"生成成长"),3))*(VLOOKUP($B$5,标准坦克设计!$B$14:$K$20,9)/30))</f>
        <v>17.361090845769468</v>
      </c>
      <c r="AI136" s="172">
        <f ca="1">(VLOOKUP(AI$72,INDIRECT($C$5&amp;"生成成长"),2))/((VLOOKUP($B136,INDIRECT($B$5&amp;"生成成长"),4))/(VLOOKUP(AI$72,INDIRECT($C$5&amp;"生成成长"),5))*(VLOOKUP($B$5,标准坦克设计!$B$24:$U$30,MATCH("对"&amp;LEFT($C$5,2)&amp;"输出",标准坦克设计!$B$23:$U$23,0)))*(VLOOKUP($B136,INDIRECT($B$5&amp;"生成成长"),3))*(VLOOKUP($B$5,标准坦克设计!$B$14:$K$20,9)/30))</f>
        <v>12.27886014143972</v>
      </c>
      <c r="AJ136" s="172">
        <f ca="1">(VLOOKUP(AJ$72,INDIRECT($C$5&amp;"生成成长"),2))/((VLOOKUP($B136,INDIRECT($B$5&amp;"生成成长"),4))/(VLOOKUP(AJ$72,INDIRECT($C$5&amp;"生成成长"),5))*(VLOOKUP($B$5,标准坦克设计!$B$24:$U$30,MATCH("对"&amp;LEFT($C$5,2)&amp;"输出",标准坦克设计!$B$23:$U$23,0)))*(VLOOKUP($B136,INDIRECT($B$5&amp;"生成成长"),3))*(VLOOKUP($B$5,标准坦克设计!$B$14:$K$20,9)/30))</f>
        <v>13.440110296402164</v>
      </c>
      <c r="AK136" s="172">
        <f ca="1">(VLOOKUP(AK$72,INDIRECT($C$5&amp;"生成成长"),2))/((VLOOKUP($B136,INDIRECT($B$5&amp;"生成成长"),4))/(VLOOKUP(AK$72,INDIRECT($C$5&amp;"生成成长"),5))*(VLOOKUP($B$5,标准坦克设计!$B$24:$U$30,MATCH("对"&amp;LEFT($C$5,2)&amp;"输出",标准坦克设计!$B$23:$U$23,0)))*(VLOOKUP($B136,INDIRECT($B$5&amp;"生成成长"),3))*(VLOOKUP($B$5,标准坦克设计!$B$14:$K$20,9)/30))</f>
        <v>14.653819390603156</v>
      </c>
      <c r="AL136" s="172">
        <f ca="1">(VLOOKUP(AL$72,INDIRECT($C$5&amp;"生成成长"),2))/((VLOOKUP($B136,INDIRECT($B$5&amp;"生成成长"),4))/(VLOOKUP(AL$72,INDIRECT($C$5&amp;"生成成长"),5))*(VLOOKUP($B$5,标准坦克设计!$B$24:$U$30,MATCH("对"&amp;LEFT($C$5,2)&amp;"输出",标准坦克设计!$B$23:$U$23,0)))*(VLOOKUP($B136,INDIRECT($B$5&amp;"生成成长"),3))*(VLOOKUP($B$5,标准坦克设计!$B$14:$K$20,9)/30))</f>
        <v>15.9199874240427</v>
      </c>
      <c r="AM136" s="172">
        <f ca="1">(VLOOKUP(AM$72,INDIRECT($C$5&amp;"生成成长"),2))/((VLOOKUP($B136,INDIRECT($B$5&amp;"生成成长"),4))/(VLOOKUP(AM$72,INDIRECT($C$5&amp;"生成成长"),5))*(VLOOKUP($B$5,标准坦克设计!$B$24:$U$30,MATCH("对"&amp;LEFT($C$5,2)&amp;"输出",标准坦克设计!$B$23:$U$23,0)))*(VLOOKUP($B136,INDIRECT($B$5&amp;"生成成长"),3))*(VLOOKUP($B$5,标准坦克设计!$B$14:$K$20,9)/30))</f>
        <v>17.238614396720788</v>
      </c>
      <c r="AN136" s="172">
        <f ca="1">(VLOOKUP(AN$72,INDIRECT($C$5&amp;"生成成长"),2))/((VLOOKUP($B136,INDIRECT($B$5&amp;"生成成长"),4))/(VLOOKUP(AN$72,INDIRECT($C$5&amp;"生成成长"),5))*(VLOOKUP($B$5,标准坦克设计!$B$24:$U$30,MATCH("对"&amp;LEFT($C$5,2)&amp;"输出",标准坦克设计!$B$23:$U$23,0)))*(VLOOKUP($B136,INDIRECT($B$5&amp;"生成成长"),3))*(VLOOKUP($B$5,标准坦克设计!$B$14:$K$20,9)/30))</f>
        <v>18.609700308637429</v>
      </c>
      <c r="AO136" s="172">
        <f ca="1">(VLOOKUP(AO$72,INDIRECT($C$5&amp;"生成成长"),2))/((VLOOKUP($B136,INDIRECT($B$5&amp;"生成成长"),4))/(VLOOKUP(AO$72,INDIRECT($C$5&amp;"生成成长"),5))*(VLOOKUP($B$5,标准坦克设计!$B$24:$U$30,MATCH("对"&amp;LEFT($C$5,2)&amp;"输出",标准坦克设计!$B$23:$U$23,0)))*(VLOOKUP($B136,INDIRECT($B$5&amp;"生成成长"),3))*(VLOOKUP($B$5,标准坦克设计!$B$14:$K$20,9)/30))</f>
        <v>20.033245159792621</v>
      </c>
      <c r="AP136" s="172">
        <f ca="1">(VLOOKUP(AP$72,INDIRECT($C$5&amp;"生成成长"),2))/((VLOOKUP($B136,INDIRECT($B$5&amp;"生成成长"),4))/(VLOOKUP(AP$72,INDIRECT($C$5&amp;"生成成长"),5))*(VLOOKUP($B$5,标准坦克设计!$B$24:$U$30,MATCH("对"&amp;LEFT($C$5,2)&amp;"输出",标准坦克设计!$B$23:$U$23,0)))*(VLOOKUP($B136,INDIRECT($B$5&amp;"生成成长"),3))*(VLOOKUP($B$5,标准坦克设计!$B$14:$K$20,9)/30))</f>
        <v>21.509248950186365</v>
      </c>
      <c r="AQ136" s="172">
        <f ca="1">(VLOOKUP(AQ$72,INDIRECT($C$5&amp;"生成成长"),2))/((VLOOKUP($B136,INDIRECT($B$5&amp;"生成成长"),4))/(VLOOKUP(AQ$72,INDIRECT($C$5&amp;"生成成长"),5))*(VLOOKUP($B$5,标准坦克设计!$B$24:$U$30,MATCH("对"&amp;LEFT($C$5,2)&amp;"输出",标准坦克设计!$B$23:$U$23,0)))*(VLOOKUP($B136,INDIRECT($B$5&amp;"生成成长"),3))*(VLOOKUP($B$5,标准坦克设计!$B$14:$K$20,9)/30))</f>
        <v>23.037711679818649</v>
      </c>
      <c r="AR136" s="172">
        <f ca="1">(VLOOKUP(AR$72,INDIRECT($C$5&amp;"生成成长"),2))/((VLOOKUP($B136,INDIRECT($B$5&amp;"生成成长"),4))/(VLOOKUP(AR$72,INDIRECT($C$5&amp;"生成成长"),5))*(VLOOKUP($B$5,标准坦克设计!$B$24:$U$30,MATCH("对"&amp;LEFT($C$5,2)&amp;"输出",标准坦克设计!$B$23:$U$23,0)))*(VLOOKUP($B136,INDIRECT($B$5&amp;"生成成长"),3))*(VLOOKUP($B$5,标准坦克设计!$B$14:$K$20,9)/30))</f>
        <v>24.618633348689499</v>
      </c>
      <c r="AS136" s="172">
        <f ca="1">(VLOOKUP(AS$72,INDIRECT($C$5&amp;"生成成长"),2))/((VLOOKUP($B136,INDIRECT($B$5&amp;"生成成长"),4))/(VLOOKUP(AS$72,INDIRECT($C$5&amp;"生成成长"),5))*(VLOOKUP($B$5,标准坦克设计!$B$24:$U$30,MATCH("对"&amp;LEFT($C$5,2)&amp;"输出",标准坦克设计!$B$23:$U$23,0)))*(VLOOKUP($B136,INDIRECT($B$5&amp;"生成成长"),3))*(VLOOKUP($B$5,标准坦克设计!$B$14:$K$20,9)/30))</f>
        <v>26.252013956798883</v>
      </c>
      <c r="AT136" s="172">
        <f ca="1">(VLOOKUP(AT$72,INDIRECT($C$5&amp;"生成成长"),2))/((VLOOKUP($B136,INDIRECT($B$5&amp;"生成成长"),4))/(VLOOKUP(AT$72,INDIRECT($C$5&amp;"生成成长"),5))*(VLOOKUP($B$5,标准坦克设计!$B$24:$U$30,MATCH("对"&amp;LEFT($C$5,2)&amp;"输出",标准坦克设计!$B$23:$U$23,0)))*(VLOOKUP($B136,INDIRECT($B$5&amp;"生成成长"),3))*(VLOOKUP($B$5,标准坦克设计!$B$14:$K$20,9)/30))</f>
        <v>27.937853504146823</v>
      </c>
      <c r="AU136" s="172">
        <f ca="1">(VLOOKUP(AU$72,INDIRECT($C$5&amp;"生成成长"),2))/((VLOOKUP($B136,INDIRECT($B$5&amp;"生成成长"),4))/(VLOOKUP(AU$72,INDIRECT($C$5&amp;"生成成长"),5))*(VLOOKUP($B$5,标准坦克设计!$B$24:$U$30,MATCH("对"&amp;LEFT($C$5,2)&amp;"输出",标准坦克设计!$B$23:$U$23,0)))*(VLOOKUP($B136,INDIRECT($B$5&amp;"生成成长"),3))*(VLOOKUP($B$5,标准坦克设计!$B$14:$K$20,9)/30))</f>
        <v>29.67615199073331</v>
      </c>
      <c r="AV136" s="172">
        <f ca="1">(VLOOKUP(AV$72,INDIRECT($C$5&amp;"生成成长"),2))/((VLOOKUP($B136,INDIRECT($B$5&amp;"生成成长"),4))/(VLOOKUP(AV$72,INDIRECT($C$5&amp;"生成成长"),5))*(VLOOKUP($B$5,标准坦克设计!$B$24:$U$30,MATCH("对"&amp;LEFT($C$5,2)&amp;"输出",标准坦克设计!$B$23:$U$23,0)))*(VLOOKUP($B136,INDIRECT($B$5&amp;"生成成长"),3))*(VLOOKUP($B$5,标准坦克设计!$B$14:$K$20,9)/30))</f>
        <v>3.018339958502342</v>
      </c>
      <c r="AW136" s="172">
        <f ca="1">(VLOOKUP(AW$72,INDIRECT($C$5&amp;"生成成长"),2))/((VLOOKUP($B136,INDIRECT($B$5&amp;"生成成长"),4))/(VLOOKUP(AW$72,INDIRECT($C$5&amp;"生成成长"),5))*(VLOOKUP($B$5,标准坦克设计!$B$24:$U$30,MATCH("对"&amp;LEFT($C$5,2)&amp;"输出",标准坦克设计!$B$23:$U$23,0)))*(VLOOKUP($B136,INDIRECT($B$5&amp;"生成成长"),3))*(VLOOKUP($B$5,标准坦克设计!$B$14:$K$20,9)/30))</f>
        <v>3.4414798320298186</v>
      </c>
      <c r="AX136" s="172">
        <f ca="1">(VLOOKUP(AX$72,INDIRECT($C$5&amp;"生成成长"),2))/((VLOOKUP($B136,INDIRECT($B$5&amp;"生成成长"),4))/(VLOOKUP(AX$72,INDIRECT($C$5&amp;"生成成长"),5))*(VLOOKUP($B$5,标准坦克设计!$B$24:$U$30,MATCH("对"&amp;LEFT($C$5,2)&amp;"输出",标准坦克设计!$B$23:$U$23,0)))*(VLOOKUP($B136,INDIRECT($B$5&amp;"生成成长"),3))*(VLOOKUP($B$5,标准坦克设计!$B$14:$K$20,9)/30))</f>
        <v>3.892366582509915</v>
      </c>
      <c r="AY136" s="172">
        <f ca="1">(VLOOKUP(AY$72,INDIRECT($C$5&amp;"生成成长"),2))/((VLOOKUP($B136,INDIRECT($B$5&amp;"生成成长"),4))/(VLOOKUP(AY$72,INDIRECT($C$5&amp;"生成成长"),5))*(VLOOKUP($B$5,标准坦克设计!$B$24:$U$30,MATCH("对"&amp;LEFT($C$5,2)&amp;"输出",标准坦克设计!$B$23:$U$23,0)))*(VLOOKUP($B136,INDIRECT($B$5&amp;"生成成长"),3))*(VLOOKUP($B$5,标准坦克设计!$B$14:$K$20,9)/30))</f>
        <v>4.3710002099426335</v>
      </c>
      <c r="AZ136" s="172">
        <f ca="1">(VLOOKUP(AZ$72,INDIRECT($C$5&amp;"生成成长"),2))/((VLOOKUP($B136,INDIRECT($B$5&amp;"生成成长"),4))/(VLOOKUP(AZ$72,INDIRECT($C$5&amp;"生成成长"),5))*(VLOOKUP($B$5,标准坦克设计!$B$24:$U$30,MATCH("对"&amp;LEFT($C$5,2)&amp;"输出",标准坦克设计!$B$23:$U$23,0)))*(VLOOKUP($B136,INDIRECT($B$5&amp;"生成成长"),3))*(VLOOKUP($B$5,标准坦克设计!$B$14:$K$20,9)/30))</f>
        <v>4.8773807143279733</v>
      </c>
      <c r="BA136" s="172">
        <f ca="1">(VLOOKUP(BA$72,INDIRECT($C$5&amp;"生成成长"),2))/((VLOOKUP($B136,INDIRECT($B$5&amp;"生成成长"),4))/(VLOOKUP(BA$72,INDIRECT($C$5&amp;"生成成长"),5))*(VLOOKUP($B$5,标准坦克设计!$B$24:$U$30,MATCH("对"&amp;LEFT($C$5,2)&amp;"输出",标准坦克设计!$B$23:$U$23,0)))*(VLOOKUP($B136,INDIRECT($B$5&amp;"生成成长"),3))*(VLOOKUP($B$5,标准坦克设计!$B$14:$K$20,9)/30))</f>
        <v>5.4115080956659352</v>
      </c>
      <c r="BB136" s="172">
        <f ca="1">(VLOOKUP(BB$72,INDIRECT($C$5&amp;"生成成长"),2))/((VLOOKUP($B136,INDIRECT($B$5&amp;"生成成长"),4))/(VLOOKUP(BB$72,INDIRECT($C$5&amp;"生成成长"),5))*(VLOOKUP($B$5,标准坦克设计!$B$24:$U$30,MATCH("对"&amp;LEFT($C$5,2)&amp;"输出",标准坦克设计!$B$23:$U$23,0)))*(VLOOKUP($B136,INDIRECT($B$5&amp;"生成成长"),3))*(VLOOKUP($B$5,标准坦克设计!$B$14:$K$20,9)/30))</f>
        <v>5.9733823539565165</v>
      </c>
      <c r="BC136" s="172">
        <f ca="1">(VLOOKUP(BC$72,INDIRECT($C$5&amp;"生成成长"),2))/((VLOOKUP($B136,INDIRECT($B$5&amp;"生成成长"),4))/(VLOOKUP(BC$72,INDIRECT($C$5&amp;"生成成长"),5))*(VLOOKUP($B$5,标准坦克设计!$B$24:$U$30,MATCH("对"&amp;LEFT($C$5,2)&amp;"输出",标准坦克设计!$B$23:$U$23,0)))*(VLOOKUP($B136,INDIRECT($B$5&amp;"生成成长"),3))*(VLOOKUP($B$5,标准坦克设计!$B$14:$K$20,9)/30))</f>
        <v>6.5630034891997209</v>
      </c>
      <c r="BD136" s="172">
        <f ca="1">(VLOOKUP(BD$72,INDIRECT($C$5&amp;"生成成长"),2))/((VLOOKUP($B136,INDIRECT($B$5&amp;"生成成长"),4))/(VLOOKUP(BD$72,INDIRECT($C$5&amp;"生成成长"),5))*(VLOOKUP($B$5,标准坦克设计!$B$24:$U$30,MATCH("对"&amp;LEFT($C$5,2)&amp;"输出",标准坦克设计!$B$23:$U$23,0)))*(VLOOKUP($B136,INDIRECT($B$5&amp;"生成成长"),3))*(VLOOKUP($B$5,标准坦克设计!$B$14:$K$20,9)/30))</f>
        <v>7.2594934552057548</v>
      </c>
      <c r="BE136" s="172">
        <f ca="1">(VLOOKUP(BE$72,INDIRECT($C$5&amp;"生成成长"),2))/((VLOOKUP($B136,INDIRECT($B$5&amp;"生成成长"),4))/(VLOOKUP(BE$72,INDIRECT($C$5&amp;"生成成长"),5))*(VLOOKUP($B$5,标准坦克设计!$B$24:$U$30,MATCH("对"&amp;LEFT($C$5,2)&amp;"输出",标准坦克设计!$B$23:$U$23,0)))*(VLOOKUP($B136,INDIRECT($B$5&amp;"生成成长"),3))*(VLOOKUP($B$5,标准坦克设计!$B$14:$K$20,9)/30))</f>
        <v>7.9911005623549514</v>
      </c>
      <c r="BF136" s="172">
        <f ca="1">(VLOOKUP(BF$72,INDIRECT($C$5&amp;"生成成长"),2))/((VLOOKUP($B136,INDIRECT($B$5&amp;"生成成长"),4))/(VLOOKUP(BF$72,INDIRECT($C$5&amp;"生成成长"),5))*(VLOOKUP($B$5,标准坦克设计!$B$24:$U$30,MATCH("对"&amp;LEFT($C$5,2)&amp;"输出",标准坦克设计!$B$23:$U$23,0)))*(VLOOKUP($B136,INDIRECT($B$5&amp;"生成成长"),3))*(VLOOKUP($B$5,标准坦克设计!$B$14:$K$20,9)/30))</f>
        <v>8.7578248106473087</v>
      </c>
      <c r="BG136" s="172">
        <f ca="1">(VLOOKUP(BG$72,INDIRECT($C$5&amp;"生成成长"),2))/((VLOOKUP($B136,INDIRECT($B$5&amp;"生成成长"),4))/(VLOOKUP(BG$72,INDIRECT($C$5&amp;"生成成长"),5))*(VLOOKUP($B$5,标准坦克设计!$B$24:$U$30,MATCH("对"&amp;LEFT($C$5,2)&amp;"输出",标准坦克设计!$B$23:$U$23,0)))*(VLOOKUP($B136,INDIRECT($B$5&amp;"生成成长"),3))*(VLOOKUP($B$5,标准坦克设计!$B$14:$K$20,9)/30))</f>
        <v>9.5596662000828303</v>
      </c>
      <c r="BH136" s="172">
        <f ca="1">(VLOOKUP(BH$72,INDIRECT($C$5&amp;"生成成长"),2))/((VLOOKUP($B136,INDIRECT($B$5&amp;"生成成长"),4))/(VLOOKUP(BH$72,INDIRECT($C$5&amp;"生成成长"),5))*(VLOOKUP($B$5,标准坦克设计!$B$24:$U$30,MATCH("对"&amp;LEFT($C$5,2)&amp;"输出",标准坦克设计!$B$23:$U$23,0)))*(VLOOKUP($B136,INDIRECT($B$5&amp;"生成成长"),3))*(VLOOKUP($B$5,标准坦克设计!$B$14:$K$20,9)/30))</f>
        <v>4.6207221025162255</v>
      </c>
      <c r="BI136" s="172">
        <f ca="1">(VLOOKUP(BI$72,INDIRECT($C$5&amp;"生成成长"),2))/((VLOOKUP($B136,INDIRECT($B$5&amp;"生成成长"),4))/(VLOOKUP(BI$72,INDIRECT($C$5&amp;"生成成长"),5))*(VLOOKUP($B$5,标准坦克设计!$B$24:$U$30,MATCH("对"&amp;LEFT($C$5,2)&amp;"输出",标准坦克设计!$B$23:$U$23,0)))*(VLOOKUP($B136,INDIRECT($B$5&amp;"生成成长"),3))*(VLOOKUP($B$5,标准坦克设计!$B$14:$K$20,9)/30))</f>
        <v>5.2079587405213141</v>
      </c>
      <c r="BJ136" s="172">
        <f ca="1">(VLOOKUP(BJ$72,INDIRECT($C$5&amp;"生成成长"),2))/((VLOOKUP($B136,INDIRECT($B$5&amp;"生成成长"),4))/(VLOOKUP(BJ$72,INDIRECT($C$5&amp;"生成成长"),5))*(VLOOKUP($B$5,标准坦克设计!$B$24:$U$30,MATCH("对"&amp;LEFT($C$5,2)&amp;"输出",标准坦克设计!$B$23:$U$23,0)))*(VLOOKUP($B136,INDIRECT($B$5&amp;"生成成长"),3))*(VLOOKUP($B$5,标准坦克设计!$B$14:$K$20,9)/30))</f>
        <v>5.8303125196695635</v>
      </c>
      <c r="BK136" s="172">
        <f ca="1">(VLOOKUP(BK$72,INDIRECT($C$5&amp;"生成成长"),2))/((VLOOKUP($B136,INDIRECT($B$5&amp;"生成成长"),4))/(VLOOKUP(BK$72,INDIRECT($C$5&amp;"生成成长"),5))*(VLOOKUP($B$5,标准坦克设计!$B$24:$U$30,MATCH("对"&amp;LEFT($C$5,2)&amp;"输出",标准坦克设计!$B$23:$U$23,0)))*(VLOOKUP($B136,INDIRECT($B$5&amp;"生成成长"),3))*(VLOOKUP($B$5,标准坦克设计!$B$14:$K$20,9)/30))</f>
        <v>6.4877834399609737</v>
      </c>
      <c r="BL136" s="172">
        <f ca="1">(VLOOKUP(BL$72,INDIRECT($C$5&amp;"生成成长"),2))/((VLOOKUP($B136,INDIRECT($B$5&amp;"生成成长"),4))/(VLOOKUP(BL$72,INDIRECT($C$5&amp;"生成成长"),5))*(VLOOKUP($B$5,标准坦克设计!$B$24:$U$30,MATCH("对"&amp;LEFT($C$5,2)&amp;"输出",标准坦克设计!$B$23:$U$23,0)))*(VLOOKUP($B136,INDIRECT($B$5&amp;"生成成长"),3))*(VLOOKUP($B$5,标准坦克设计!$B$14:$K$20,9)/30))</f>
        <v>7.1803715013955456</v>
      </c>
      <c r="BM136" s="172">
        <f ca="1">(VLOOKUP(BM$72,INDIRECT($C$5&amp;"生成成长"),2))/((VLOOKUP($B136,INDIRECT($B$5&amp;"生成成长"),4))/(VLOOKUP(BM$72,INDIRECT($C$5&amp;"生成成长"),5))*(VLOOKUP($B$5,标准坦克设计!$B$24:$U$30,MATCH("对"&amp;LEFT($C$5,2)&amp;"输出",标准坦克设计!$B$23:$U$23,0)))*(VLOOKUP($B136,INDIRECT($B$5&amp;"生成成长"),3))*(VLOOKUP($B$5,标准坦克设计!$B$14:$K$20,9)/30))</f>
        <v>7.90807670397328</v>
      </c>
      <c r="BN136" s="172">
        <f ca="1">(VLOOKUP(BN$72,INDIRECT($C$5&amp;"生成成长"),2))/((VLOOKUP($B136,INDIRECT($B$5&amp;"生成成长"),4))/(VLOOKUP(BN$72,INDIRECT($C$5&amp;"生成成长"),5))*(VLOOKUP($B$5,标准坦克设计!$B$24:$U$30,MATCH("对"&amp;LEFT($C$5,2)&amp;"输出",标准坦克设计!$B$23:$U$23,0)))*(VLOOKUP($B136,INDIRECT($B$5&amp;"生成成长"),3))*(VLOOKUP($B$5,标准坦克设计!$B$14:$K$20,9)/30))</f>
        <v>8.6708990476941743</v>
      </c>
      <c r="BO136" s="172">
        <f ca="1">(VLOOKUP(BO$72,INDIRECT($C$5&amp;"生成成长"),2))/((VLOOKUP($B136,INDIRECT($B$5&amp;"生成成长"),4))/(VLOOKUP(BO$72,INDIRECT($C$5&amp;"生成成长"),5))*(VLOOKUP($B$5,标准坦克设计!$B$24:$U$30,MATCH("对"&amp;LEFT($C$5,2)&amp;"输出",标准坦克设计!$B$23:$U$23,0)))*(VLOOKUP($B136,INDIRECT($B$5&amp;"生成成长"),3))*(VLOOKUP($B$5,标准坦克设计!$B$14:$K$20,9)/30))</f>
        <v>9.468838532558232</v>
      </c>
      <c r="BP136" s="172">
        <f ca="1">(VLOOKUP(BP$72,INDIRECT($C$5&amp;"生成成长"),2))/((VLOOKUP($B136,INDIRECT($B$5&amp;"生成成长"),4))/(VLOOKUP(BP$72,INDIRECT($C$5&amp;"生成成长"),5))*(VLOOKUP($B$5,标准坦克设计!$B$24:$U$30,MATCH("对"&amp;LEFT($C$5,2)&amp;"输出",标准坦克设计!$B$23:$U$23,0)))*(VLOOKUP($B136,INDIRECT($B$5&amp;"生成成长"),3))*(VLOOKUP($B$5,标准坦克设计!$B$14:$K$20,9)/30))</f>
        <v>10.301895158565449</v>
      </c>
      <c r="BQ136" s="172">
        <f ca="1">(VLOOKUP(BQ$72,INDIRECT($C$5&amp;"生成成长"),2))/((VLOOKUP($B136,INDIRECT($B$5&amp;"生成成长"),4))/(VLOOKUP(BQ$72,INDIRECT($C$5&amp;"生成成长"),5))*(VLOOKUP($B$5,标准坦克设计!$B$24:$U$30,MATCH("对"&amp;LEFT($C$5,2)&amp;"输出",标准坦克设计!$B$23:$U$23,0)))*(VLOOKUP($B136,INDIRECT($B$5&amp;"生成成长"),3))*(VLOOKUP($B$5,标准坦克设计!$B$14:$K$20,9)/30))</f>
        <v>11.17006892571583</v>
      </c>
      <c r="BR136" s="172">
        <f ca="1">(VLOOKUP(BR$72,INDIRECT($C$5&amp;"生成成长"),2))/((VLOOKUP($B136,INDIRECT($B$5&amp;"生成成长"),4))/(VLOOKUP(BR$72,INDIRECT($C$5&amp;"生成成长"),5))*(VLOOKUP($B$5,标准坦克设计!$B$24:$U$30,MATCH("对"&amp;LEFT($C$5,2)&amp;"输出",标准坦克设计!$B$23:$U$23,0)))*(VLOOKUP($B136,INDIRECT($B$5&amp;"生成成长"),3))*(VLOOKUP($B$5,标准坦克设计!$B$14:$K$20,9)/30))</f>
        <v>12.175893215248353</v>
      </c>
      <c r="BS136" s="172">
        <f ca="1">(VLOOKUP(BS$72,INDIRECT($C$5&amp;"生成成长"),2))/((VLOOKUP($B136,INDIRECT($B$5&amp;"生成成长"),4))/(VLOOKUP(BS$72,INDIRECT($C$5&amp;"生成成长"),5))*(VLOOKUP($B$5,标准坦克设计!$B$24:$U$30,MATCH("对"&amp;LEFT($C$5,2)&amp;"输出",标准坦克设计!$B$23:$U$23,0)))*(VLOOKUP($B136,INDIRECT($B$5&amp;"生成成长"),3))*(VLOOKUP($B$5,标准坦克设计!$B$14:$K$20,9)/30))</f>
        <v>13.225072000019347</v>
      </c>
      <c r="BT136" s="172">
        <f ca="1">(VLOOKUP(BT$72,INDIRECT($C$5&amp;"生成成长"),2))/((VLOOKUP($B136,INDIRECT($B$5&amp;"生成成长"),4))/(VLOOKUP(BT$72,INDIRECT($C$5&amp;"生成成长"),5))*(VLOOKUP($B$5,标准坦克设计!$B$24:$U$30,MATCH("对"&amp;LEFT($C$5,2)&amp;"输出",标准坦克设计!$B$23:$U$23,0)))*(VLOOKUP($B136,INDIRECT($B$5&amp;"生成成长"),3))*(VLOOKUP($B$5,标准坦克设计!$B$14:$K$20,9)/30))</f>
        <v>14.317605280028815</v>
      </c>
      <c r="BU136" s="172">
        <f ca="1">(VLOOKUP(BU$72,INDIRECT($C$5&amp;"生成成长"),2))/((VLOOKUP($B136,INDIRECT($B$5&amp;"生成成长"),4))/(VLOOKUP(BU$72,INDIRECT($C$5&amp;"生成成长"),5))*(VLOOKUP($B$5,标准坦克设计!$B$24:$U$30,MATCH("对"&amp;LEFT($C$5,2)&amp;"输出",标准坦克设计!$B$23:$U$23,0)))*(VLOOKUP($B136,INDIRECT($B$5&amp;"生成成长"),3))*(VLOOKUP($B$5,标准坦克设计!$B$14:$K$20,9)/30))</f>
        <v>15.453493055276748</v>
      </c>
      <c r="BV136" s="172">
        <f ca="1">(VLOOKUP(BV$72,INDIRECT($C$5&amp;"生成成长"),2))/((VLOOKUP($B136,INDIRECT($B$5&amp;"生成成长"),4))/(VLOOKUP(BV$72,INDIRECT($C$5&amp;"生成成长"),5))*(VLOOKUP($B$5,标准坦克设计!$B$24:$U$30,MATCH("对"&amp;LEFT($C$5,2)&amp;"输出",标准坦克设计!$B$23:$U$23,0)))*(VLOOKUP($B136,INDIRECT($B$5&amp;"生成成长"),3))*(VLOOKUP($B$5,标准坦克设计!$B$14:$K$20,9)/30))</f>
        <v>16.632735325763157</v>
      </c>
      <c r="BW136" s="172">
        <f ca="1">(VLOOKUP(BW$72,INDIRECT($C$5&amp;"生成成长"),2))/((VLOOKUP($B136,INDIRECT($B$5&amp;"生成成长"),4))/(VLOOKUP(BW$72,INDIRECT($C$5&amp;"生成成长"),5))*(VLOOKUP($B$5,标准坦克设计!$B$24:$U$30,MATCH("对"&amp;LEFT($C$5,2)&amp;"输出",标准坦克设计!$B$23:$U$23,0)))*(VLOOKUP($B136,INDIRECT($B$5&amp;"生成成长"),3))*(VLOOKUP($B$5,标准坦克设计!$B$14:$K$20,9)/30))</f>
        <v>7.5803167199704404</v>
      </c>
      <c r="BX136" s="172">
        <f ca="1">(VLOOKUP(BX$72,INDIRECT($C$5&amp;"生成成长"),2))/((VLOOKUP($B136,INDIRECT($B$5&amp;"生成成长"),4))/(VLOOKUP(BX$72,INDIRECT($C$5&amp;"生成成长"),5))*(VLOOKUP($B$5,标准坦克设计!$B$24:$U$30,MATCH("对"&amp;LEFT($C$5,2)&amp;"输出",标准坦克设计!$B$23:$U$23,0)))*(VLOOKUP($B136,INDIRECT($B$5&amp;"生成成长"),3))*(VLOOKUP($B$5,标准坦克设计!$B$14:$K$20,9)/30))</f>
        <v>8.4127230285490811</v>
      </c>
      <c r="BY136" s="172">
        <f ca="1">(VLOOKUP(BY$72,INDIRECT($C$5&amp;"生成成长"),2))/((VLOOKUP($B136,INDIRECT($B$5&amp;"生成成长"),4))/(VLOOKUP(BY$72,INDIRECT($C$5&amp;"生成成长"),5))*(VLOOKUP($B$5,标准坦克设计!$B$24:$U$30,MATCH("对"&amp;LEFT($C$5,2)&amp;"输出",标准坦克设计!$B$23:$U$23,0)))*(VLOOKUP($B136,INDIRECT($B$5&amp;"生成成长"),3))*(VLOOKUP($B$5,标准坦克设计!$B$14:$K$20,9)/30))</f>
        <v>9.2884838323661931</v>
      </c>
      <c r="BZ136" s="172">
        <f ca="1">(VLOOKUP(BZ$72,INDIRECT($C$5&amp;"生成成长"),2))/((VLOOKUP($B136,INDIRECT($B$5&amp;"生成成长"),4))/(VLOOKUP(BZ$72,INDIRECT($C$5&amp;"生成成长"),5))*(VLOOKUP($B$5,标准坦克设计!$B$24:$U$30,MATCH("对"&amp;LEFT($C$5,2)&amp;"输出",标准坦克设计!$B$23:$U$23,0)))*(VLOOKUP($B136,INDIRECT($B$5&amp;"生成成长"),3))*(VLOOKUP($B$5,标准坦克设计!$B$14:$K$20,9)/30))</f>
        <v>10.207599131421775</v>
      </c>
      <c r="CA136" s="172">
        <f ca="1">(VLOOKUP(CA$72,INDIRECT($C$5&amp;"生成成长"),2))/((VLOOKUP($B136,INDIRECT($B$5&amp;"生成成长"),4))/(VLOOKUP(CA$72,INDIRECT($C$5&amp;"生成成长"),5))*(VLOOKUP($B$5,标准坦克设计!$B$24:$U$30,MATCH("对"&amp;LEFT($C$5,2)&amp;"输出",标准坦克设计!$B$23:$U$23,0)))*(VLOOKUP($B136,INDIRECT($B$5&amp;"生成成长"),3))*(VLOOKUP($B$5,标准坦克设计!$B$14:$K$20,9)/30))</f>
        <v>11.17006892571583</v>
      </c>
      <c r="CB136" s="172">
        <f ca="1">(VLOOKUP(CB$72,INDIRECT($C$5&amp;"生成成长"),2))/((VLOOKUP($B136,INDIRECT($B$5&amp;"生成成长"),4))/(VLOOKUP(CB$72,INDIRECT($C$5&amp;"生成成长"),5))*(VLOOKUP($B$5,标准坦克设计!$B$24:$U$30,MATCH("对"&amp;LEFT($C$5,2)&amp;"输出",标准坦克设计!$B$23:$U$23,0)))*(VLOOKUP($B136,INDIRECT($B$5&amp;"生成成长"),3))*(VLOOKUP($B$5,标准坦克设计!$B$14:$K$20,9)/30))</f>
        <v>12.175893215248353</v>
      </c>
      <c r="CC136" s="172">
        <f ca="1">(VLOOKUP(CC$72,INDIRECT($C$5&amp;"生成成长"),2))/((VLOOKUP($B136,INDIRECT($B$5&amp;"生成成长"),4))/(VLOOKUP(CC$72,INDIRECT($C$5&amp;"生成成长"),5))*(VLOOKUP($B$5,标准坦克设计!$B$24:$U$30,MATCH("对"&amp;LEFT($C$5,2)&amp;"输出",标准坦克设计!$B$23:$U$23,0)))*(VLOOKUP($B136,INDIRECT($B$5&amp;"生成成长"),3))*(VLOOKUP($B$5,标准坦克设计!$B$14:$K$20,9)/30))</f>
        <v>13.225072000019347</v>
      </c>
      <c r="CD136" s="172">
        <f ca="1">(VLOOKUP(CD$72,INDIRECT($C$5&amp;"生成成长"),2))/((VLOOKUP($B136,INDIRECT($B$5&amp;"生成成长"),4))/(VLOOKUP(CD$72,INDIRECT($C$5&amp;"生成成长"),5))*(VLOOKUP($B$5,标准坦克设计!$B$24:$U$30,MATCH("对"&amp;LEFT($C$5,2)&amp;"输出",标准坦克设计!$B$23:$U$23,0)))*(VLOOKUP($B136,INDIRECT($B$5&amp;"生成成长"),3))*(VLOOKUP($B$5,标准坦克设计!$B$14:$K$20,9)/30))</f>
        <v>14.317605280028815</v>
      </c>
      <c r="CE136" s="172">
        <f ca="1">(VLOOKUP(CE$72,INDIRECT($C$5&amp;"生成成长"),2))/((VLOOKUP($B136,INDIRECT($B$5&amp;"生成成长"),4))/(VLOOKUP(CE$72,INDIRECT($C$5&amp;"生成成长"),5))*(VLOOKUP($B$5,标准坦克设计!$B$24:$U$30,MATCH("对"&amp;LEFT($C$5,2)&amp;"输出",标准坦克设计!$B$23:$U$23,0)))*(VLOOKUP($B136,INDIRECT($B$5&amp;"生成成长"),3))*(VLOOKUP($B$5,标准坦克设计!$B$14:$K$20,9)/30))</f>
        <v>15.453493055276748</v>
      </c>
      <c r="CF136" s="172">
        <f ca="1">(VLOOKUP(CF$72,INDIRECT($C$5&amp;"生成成长"),2))/((VLOOKUP($B136,INDIRECT($B$5&amp;"生成成长"),4))/(VLOOKUP(CF$72,INDIRECT($C$5&amp;"生成成长"),5))*(VLOOKUP($B$5,标准坦克设计!$B$24:$U$30,MATCH("对"&amp;LEFT($C$5,2)&amp;"输出",标准坦克设计!$B$23:$U$23,0)))*(VLOOKUP($B136,INDIRECT($B$5&amp;"生成成长"),3))*(VLOOKUP($B$5,标准坦克设计!$B$14:$K$20,9)/30))</f>
        <v>16.632735325763157</v>
      </c>
      <c r="CG136" s="172">
        <f ca="1">(VLOOKUP(CG$72,INDIRECT($C$5&amp;"生成成长"),2))/((VLOOKUP($B136,INDIRECT($B$5&amp;"生成成长"),4))/(VLOOKUP(CG$72,INDIRECT($C$5&amp;"生成成长"),5))*(VLOOKUP($B$5,标准坦克设计!$B$24:$U$30,MATCH("对"&amp;LEFT($C$5,2)&amp;"输出",标准坦克设计!$B$23:$U$23,0)))*(VLOOKUP($B136,INDIRECT($B$5&amp;"生成成长"),3))*(VLOOKUP($B$5,标准坦克设计!$B$14:$K$20,9)/30))</f>
        <v>17.855332091488034</v>
      </c>
      <c r="CH136" s="172">
        <f ca="1">(VLOOKUP(CH$72,INDIRECT($C$5&amp;"生成成长"),2))/((VLOOKUP($B136,INDIRECT($B$5&amp;"生成成长"),4))/(VLOOKUP(CH$72,INDIRECT($C$5&amp;"生成成长"),5))*(VLOOKUP($B$5,标准坦克设计!$B$24:$U$30,MATCH("对"&amp;LEFT($C$5,2)&amp;"输出",标准坦克设计!$B$23:$U$23,0)))*(VLOOKUP($B136,INDIRECT($B$5&amp;"生成成长"),3))*(VLOOKUP($B$5,标准坦克设计!$B$14:$K$20,9)/30))</f>
        <v>19.121283352451382</v>
      </c>
      <c r="CI136" s="172">
        <f ca="1">(VLOOKUP(CI$72,INDIRECT($C$5&amp;"生成成长"),2))/((VLOOKUP($B136,INDIRECT($B$5&amp;"生成成长"),4))/(VLOOKUP(CI$72,INDIRECT($C$5&amp;"生成成长"),5))*(VLOOKUP($B$5,标准坦克设计!$B$24:$U$30,MATCH("对"&amp;LEFT($C$5,2)&amp;"输出",标准坦克设计!$B$23:$U$23,0)))*(VLOOKUP($B136,INDIRECT($B$5&amp;"生成成长"),3))*(VLOOKUP($B$5,标准坦克设计!$B$14:$K$20,9)/30))</f>
        <v>20.563904181511507</v>
      </c>
      <c r="CJ136" s="172">
        <f ca="1">(VLOOKUP(CJ$72,INDIRECT($C$5&amp;"生成成长"),2))/((VLOOKUP($B136,INDIRECT($B$5&amp;"生成成长"),4))/(VLOOKUP(CJ$72,INDIRECT($C$5&amp;"生成成长"),5))*(VLOOKUP($B$5,标准坦克设计!$B$24:$U$30,MATCH("对"&amp;LEFT($C$5,2)&amp;"输出",标准坦克设计!$B$23:$U$23,0)))*(VLOOKUP($B136,INDIRECT($B$5&amp;"生成成长"),3))*(VLOOKUP($B$5,标准坦克设计!$B$14:$K$20,9)/30))</f>
        <v>22.05898394981017</v>
      </c>
      <c r="CK136" s="172">
        <f ca="1">(VLOOKUP(CK$72,INDIRECT($C$5&amp;"生成成长"),2))/((VLOOKUP($B136,INDIRECT($B$5&amp;"生成成长"),4))/(VLOOKUP(CK$72,INDIRECT($C$5&amp;"生成成长"),5))*(VLOOKUP($B$5,标准坦克设计!$B$24:$U$30,MATCH("对"&amp;LEFT($C$5,2)&amp;"输出",标准坦克设计!$B$23:$U$23,0)))*(VLOOKUP($B136,INDIRECT($B$5&amp;"生成成长"),3))*(VLOOKUP($B$5,标准坦克设计!$B$14:$K$20,9)/30))</f>
        <v>23.606522657347391</v>
      </c>
      <c r="CL136" s="172">
        <f ca="1">(VLOOKUP(CL$72,INDIRECT($C$5&amp;"生成成长"),2))/((VLOOKUP($B136,INDIRECT($B$5&amp;"生成成长"),4))/(VLOOKUP(CL$72,INDIRECT($C$5&amp;"生成成长"),5))*(VLOOKUP($B$5,标准坦克设计!$B$24:$U$30,MATCH("对"&amp;LEFT($C$5,2)&amp;"输出",标准坦克设计!$B$23:$U$23,0)))*(VLOOKUP($B136,INDIRECT($B$5&amp;"生成成长"),3))*(VLOOKUP($B$5,标准坦克设计!$B$14:$K$20,9)/30))</f>
        <v>25.206520304123156</v>
      </c>
      <c r="CM136" s="172">
        <f ca="1">(VLOOKUP(CM$72,INDIRECT($C$5&amp;"生成成长"),2))/((VLOOKUP($B136,INDIRECT($B$5&amp;"生成成长"),4))/(VLOOKUP(CM$72,INDIRECT($C$5&amp;"生成成长"),5))*(VLOOKUP($B$5,标准坦克设计!$B$24:$U$30,MATCH("对"&amp;LEFT($C$5,2)&amp;"输出",标准坦克设计!$B$23:$U$23,0)))*(VLOOKUP($B136,INDIRECT($B$5&amp;"生成成长"),3))*(VLOOKUP($B$5,标准坦克设计!$B$14:$K$20,9)/30))</f>
        <v>26.858976890137473</v>
      </c>
      <c r="CN136" s="172">
        <f ca="1">(VLOOKUP(CN$72,INDIRECT($C$5&amp;"生成成长"),2))/((VLOOKUP($B136,INDIRECT($B$5&amp;"生成成长"),4))/(VLOOKUP(CN$72,INDIRECT($C$5&amp;"生成成长"),5))*(VLOOKUP($B$5,标准坦克设计!$B$24:$U$30,MATCH("对"&amp;LEFT($C$5,2)&amp;"输出",标准坦克设计!$B$23:$U$23,0)))*(VLOOKUP($B136,INDIRECT($B$5&amp;"生成成长"),3))*(VLOOKUP($B$5,标准坦克设计!$B$14:$K$20,9)/30))</f>
        <v>28.563892415390342</v>
      </c>
      <c r="CO136" s="172">
        <f ca="1">(VLOOKUP(CO$72,INDIRECT($C$5&amp;"生成成长"),2))/((VLOOKUP($B136,INDIRECT($B$5&amp;"生成成长"),4))/(VLOOKUP(CO$72,INDIRECT($C$5&amp;"生成成长"),5))*(VLOOKUP($B$5,标准坦克设计!$B$24:$U$30,MATCH("对"&amp;LEFT($C$5,2)&amp;"输出",标准坦克设计!$B$23:$U$23,0)))*(VLOOKUP($B136,INDIRECT($B$5&amp;"生成成长"),3))*(VLOOKUP($B$5,标准坦克设计!$B$14:$K$20,9)/30))</f>
        <v>12.800197946682335</v>
      </c>
      <c r="CP136" s="172">
        <f ca="1">(VLOOKUP(CP$72,INDIRECT($C$5&amp;"生成成长"),2))/((VLOOKUP($B136,INDIRECT($B$5&amp;"生成成长"),4))/(VLOOKUP(CP$72,INDIRECT($C$5&amp;"生成成长"),5))*(VLOOKUP($B$5,标准坦克设计!$B$24:$U$30,MATCH("对"&amp;LEFT($C$5,2)&amp;"输出",标准坦克设计!$B$23:$U$23,0)))*(VLOOKUP($B136,INDIRECT($B$5&amp;"生成成长"),3))*(VLOOKUP($B$5,标准坦克设计!$B$14:$K$20,9)/30))</f>
        <v>13.985293074025934</v>
      </c>
      <c r="CQ136" s="172">
        <f ca="1">(VLOOKUP(CQ$72,INDIRECT($C$5&amp;"生成成长"),2))/((VLOOKUP($B136,INDIRECT($B$5&amp;"生成成长"),4))/(VLOOKUP(CQ$72,INDIRECT($C$5&amp;"生成成长"),5))*(VLOOKUP($B$5,标准坦克设计!$B$24:$U$30,MATCH("对"&amp;LEFT($C$5,2)&amp;"输出",标准坦克设计!$B$23:$U$23,0)))*(VLOOKUP($B136,INDIRECT($B$5&amp;"生成成长"),3))*(VLOOKUP($B$5,标准坦克设计!$B$14:$K$20,9)/30))</f>
        <v>15.222847140608085</v>
      </c>
      <c r="CR136" s="172">
        <f ca="1">(VLOOKUP(CR$72,INDIRECT($C$5&amp;"生成成长"),2))/((VLOOKUP($B136,INDIRECT($B$5&amp;"生成成长"),4))/(VLOOKUP(CR$72,INDIRECT($C$5&amp;"生成成长"),5))*(VLOOKUP($B$5,标准坦克设计!$B$24:$U$30,MATCH("对"&amp;LEFT($C$5,2)&amp;"输出",标准坦克设计!$B$23:$U$23,0)))*(VLOOKUP($B136,INDIRECT($B$5&amp;"生成成长"),3))*(VLOOKUP($B$5,标准坦克设计!$B$14:$K$20,9)/30))</f>
        <v>16.512860146428785</v>
      </c>
      <c r="CS136" s="172">
        <f ca="1">(VLOOKUP(CS$72,INDIRECT($C$5&amp;"生成成长"),2))/((VLOOKUP($B136,INDIRECT($B$5&amp;"生成成长"),4))/(VLOOKUP(CS$72,INDIRECT($C$5&amp;"生成成长"),5))*(VLOOKUP($B$5,标准坦克设计!$B$24:$U$30,MATCH("对"&amp;LEFT($C$5,2)&amp;"输出",标准坦克设计!$B$23:$U$23,0)))*(VLOOKUP($B136,INDIRECT($B$5&amp;"生成成长"),3))*(VLOOKUP($B$5,标准坦克设计!$B$14:$K$20,9)/30))</f>
        <v>17.855332091488034</v>
      </c>
      <c r="CT136" s="172">
        <f ca="1">(VLOOKUP(CT$72,INDIRECT($C$5&amp;"生成成长"),2))/((VLOOKUP($B136,INDIRECT($B$5&amp;"生成成长"),4))/(VLOOKUP(CT$72,INDIRECT($C$5&amp;"生成成长"),5))*(VLOOKUP($B$5,标准坦克设计!$B$24:$U$30,MATCH("对"&amp;LEFT($C$5,2)&amp;"输出",标准坦克设计!$B$23:$U$23,0)))*(VLOOKUP($B136,INDIRECT($B$5&amp;"生成成长"),3))*(VLOOKUP($B$5,标准坦克设计!$B$14:$K$20,9)/30))</f>
        <v>19.250262975785841</v>
      </c>
      <c r="CU136" s="172">
        <f ca="1">(VLOOKUP(CU$72,INDIRECT($C$5&amp;"生成成长"),2))/((VLOOKUP($B136,INDIRECT($B$5&amp;"生成成长"),4))/(VLOOKUP(CU$72,INDIRECT($C$5&amp;"生成成长"),5))*(VLOOKUP($B$5,标准坦克设计!$B$24:$U$30,MATCH("对"&amp;LEFT($C$5,2)&amp;"输出",标准坦克设计!$B$23:$U$23,0)))*(VLOOKUP($B136,INDIRECT($B$5&amp;"生成成长"),3))*(VLOOKUP($B$5,标准坦克设计!$B$14:$K$20,9)/30))</f>
        <v>20.697652799322189</v>
      </c>
      <c r="CV136" s="172">
        <f ca="1">(VLOOKUP(CV$72,INDIRECT($C$5&amp;"生成成长"),2))/((VLOOKUP($B136,INDIRECT($B$5&amp;"生成成长"),4))/(VLOOKUP(CV$72,INDIRECT($C$5&amp;"生成成长"),5))*(VLOOKUP($B$5,标准坦克设计!$B$24:$U$30,MATCH("对"&amp;LEFT($C$5,2)&amp;"输出",标准坦克设计!$B$23:$U$23,0)))*(VLOOKUP($B136,INDIRECT($B$5&amp;"生成成长"),3))*(VLOOKUP($B$5,标准坦克设计!$B$14:$K$20,9)/30))</f>
        <v>22.197501562097088</v>
      </c>
      <c r="CW136" s="172">
        <f ca="1">(VLOOKUP(CW$72,INDIRECT($C$5&amp;"生成成长"),2))/((VLOOKUP($B136,INDIRECT($B$5&amp;"生成成长"),4))/(VLOOKUP(CW$72,INDIRECT($C$5&amp;"生成成长"),5))*(VLOOKUP($B$5,标准坦克设计!$B$24:$U$30,MATCH("对"&amp;LEFT($C$5,2)&amp;"输出",标准坦克设计!$B$23:$U$23,0)))*(VLOOKUP($B136,INDIRECT($B$5&amp;"生成成长"),3))*(VLOOKUP($B$5,标准坦克设计!$B$14:$K$20,9)/30))</f>
        <v>23.749809264110539</v>
      </c>
      <c r="CX136" s="172">
        <f ca="1">(VLOOKUP(CX$72,INDIRECT($C$5&amp;"生成成长"),2))/((VLOOKUP($B136,INDIRECT($B$5&amp;"生成成长"),4))/(VLOOKUP(CX$72,INDIRECT($C$5&amp;"生成成长"),5))*(VLOOKUP($B$5,标准坦克设计!$B$24:$U$30,MATCH("对"&amp;LEFT($C$5,2)&amp;"输出",标准坦克设计!$B$23:$U$23,0)))*(VLOOKUP($B136,INDIRECT($B$5&amp;"生成成长"),3))*(VLOOKUP($B$5,标准坦克设计!$B$14:$K$20,9)/30))</f>
        <v>25.354575905362537</v>
      </c>
      <c r="CY136" s="172">
        <f ca="1">(VLOOKUP(CY$72,INDIRECT($C$5&amp;"生成成长"),2))/((VLOOKUP($B136,INDIRECT($B$5&amp;"生成成长"),4))/(VLOOKUP(CY$72,INDIRECT($C$5&amp;"生成成长"),5))*(VLOOKUP($B$5,标准坦克设计!$B$24:$U$30,MATCH("对"&amp;LEFT($C$5,2)&amp;"输出",标准坦克设计!$B$23:$U$23,0)))*(VLOOKUP($B136,INDIRECT($B$5&amp;"生成成长"),3))*(VLOOKUP($B$5,标准坦克设计!$B$14:$K$20,9)/30))</f>
        <v>27.011801485853084</v>
      </c>
      <c r="CZ136" s="172">
        <f ca="1">(VLOOKUP(CZ$72,INDIRECT($C$5&amp;"生成成长"),2))/((VLOOKUP($B136,INDIRECT($B$5&amp;"生成成长"),4))/(VLOOKUP(CZ$72,INDIRECT($C$5&amp;"生成成长"),5))*(VLOOKUP($B$5,标准坦克设计!$B$24:$U$30,MATCH("对"&amp;LEFT($C$5,2)&amp;"输出",标准坦克设计!$B$23:$U$23,0)))*(VLOOKUP($B136,INDIRECT($B$5&amp;"生成成长"),3))*(VLOOKUP($B$5,标准坦克设计!$B$14:$K$20,9)/30))</f>
        <v>28.721486005582182</v>
      </c>
      <c r="DA136" s="172">
        <f ca="1">(VLOOKUP(DA$72,INDIRECT($C$5&amp;"生成成长"),2))/((VLOOKUP($B136,INDIRECT($B$5&amp;"生成成长"),4))/(VLOOKUP(DA$72,INDIRECT($C$5&amp;"生成成长"),5))*(VLOOKUP($B$5,标准坦克设计!$B$24:$U$30,MATCH("对"&amp;LEFT($C$5,2)&amp;"输出",标准坦克设计!$B$23:$U$23,0)))*(VLOOKUP($B136,INDIRECT($B$5&amp;"生成成长"),3))*(VLOOKUP($B$5,标准坦克设计!$B$14:$K$20,9)/30))</f>
        <v>30.483629464549836</v>
      </c>
      <c r="DB136" s="172">
        <f ca="1">(VLOOKUP(DB$72,INDIRECT($C$5&amp;"生成成长"),2))/((VLOOKUP($B136,INDIRECT($B$5&amp;"生成成长"),4))/(VLOOKUP(DB$72,INDIRECT($C$5&amp;"生成成长"),5))*(VLOOKUP($B$5,标准坦克设计!$B$24:$U$30,MATCH("对"&amp;LEFT($C$5,2)&amp;"输出",标准坦克设计!$B$23:$U$23,0)))*(VLOOKUP($B136,INDIRECT($B$5&amp;"生成成长"),3))*(VLOOKUP($B$5,标准坦克设计!$B$14:$K$20,9)/30))</f>
        <v>32.29823186275604</v>
      </c>
      <c r="DC136" s="172">
        <f ca="1">(VLOOKUP(DC$72,INDIRECT($C$5&amp;"生成成长"),2))/((VLOOKUP($B136,INDIRECT($B$5&amp;"生成成长"),4))/(VLOOKUP(DC$72,INDIRECT($C$5&amp;"生成成长"),5))*(VLOOKUP($B$5,标准坦克设计!$B$24:$U$30,MATCH("对"&amp;LEFT($C$5,2)&amp;"输出",标准坦克设计!$B$23:$U$23,0)))*(VLOOKUP($B136,INDIRECT($B$5&amp;"生成成长"),3))*(VLOOKUP($B$5,标准坦克设计!$B$14:$K$20,9)/30))</f>
        <v>34.337627318773706</v>
      </c>
      <c r="DD136" s="172">
        <f ca="1">(VLOOKUP(DD$72,INDIRECT($C$5&amp;"生成成长"),2))/((VLOOKUP($B136,INDIRECT($B$5&amp;"生成成长"),4))/(VLOOKUP(DD$72,INDIRECT($C$5&amp;"生成成长"),5))*(VLOOKUP($B$5,标准坦克设计!$B$24:$U$30,MATCH("对"&amp;LEFT($C$5,2)&amp;"输出",标准坦克设计!$B$23:$U$23,0)))*(VLOOKUP($B136,INDIRECT($B$5&amp;"生成成长"),3))*(VLOOKUP($B$5,标准坦克设计!$B$14:$K$20,9)/30))</f>
        <v>36.439453247934772</v>
      </c>
      <c r="DE136" s="172">
        <f ca="1">(VLOOKUP(DE$72,INDIRECT($C$5&amp;"生成成长"),2))/((VLOOKUP($B136,INDIRECT($B$5&amp;"生成成长"),4))/(VLOOKUP(DE$72,INDIRECT($C$5&amp;"生成成长"),5))*(VLOOKUP($B$5,标准坦克设计!$B$24:$U$30,MATCH("对"&amp;LEFT($C$5,2)&amp;"输出",标准坦克设计!$B$23:$U$23,0)))*(VLOOKUP($B136,INDIRECT($B$5&amp;"生成成长"),3))*(VLOOKUP($B$5,标准坦克设计!$B$14:$K$20,9)/30))</f>
        <v>38.603709650239239</v>
      </c>
      <c r="DF136" s="172">
        <f ca="1">(VLOOKUP(DF$72,INDIRECT($C$5&amp;"生成成长"),2))/((VLOOKUP($B136,INDIRECT($B$5&amp;"生成成长"),4))/(VLOOKUP(DF$72,INDIRECT($C$5&amp;"生成成长"),5))*(VLOOKUP($B$5,标准坦克设计!$B$24:$U$30,MATCH("对"&amp;LEFT($C$5,2)&amp;"输出",标准坦克设计!$B$23:$U$23,0)))*(VLOOKUP($B136,INDIRECT($B$5&amp;"生成成长"),3))*(VLOOKUP($B$5,标准坦克设计!$B$14:$K$20,9)/30))</f>
        <v>40.8303965256871</v>
      </c>
      <c r="DG136" s="172">
        <f ca="1">(VLOOKUP(DG$72,INDIRECT($C$5&amp;"生成成长"),2))/((VLOOKUP($B136,INDIRECT($B$5&amp;"生成成长"),4))/(VLOOKUP(DG$72,INDIRECT($C$5&amp;"生成成长"),5))*(VLOOKUP($B$5,标准坦克设计!$B$24:$U$30,MATCH("对"&amp;LEFT($C$5,2)&amp;"输出",标准坦克设计!$B$23:$U$23,0)))*(VLOOKUP($B136,INDIRECT($B$5&amp;"生成成长"),3))*(VLOOKUP($B$5,标准坦克设计!$B$14:$K$20,9)/30))</f>
        <v>43.119513874278354</v>
      </c>
      <c r="DH136" s="172">
        <f ca="1">(VLOOKUP(DH$72,INDIRECT($C$5&amp;"生成成长"),2))/((VLOOKUP($B136,INDIRECT($B$5&amp;"生成成长"),4))/(VLOOKUP(DH$72,INDIRECT($C$5&amp;"生成成长"),5))*(VLOOKUP($B$5,标准坦克设计!$B$24:$U$30,MATCH("对"&amp;LEFT($C$5,2)&amp;"输出",标准坦克设计!$B$23:$U$23,0)))*(VLOOKUP($B136,INDIRECT($B$5&amp;"生成成长"),3))*(VLOOKUP($B$5,标准坦克设计!$B$14:$K$20,9)/30))</f>
        <v>45.471061696013024</v>
      </c>
      <c r="DI136" s="172">
        <f ca="1">(VLOOKUP(DI$72,INDIRECT($C$5&amp;"生成成长"),2))/((VLOOKUP($B136,INDIRECT($B$5&amp;"生成成长"),4))/(VLOOKUP(DI$72,INDIRECT($C$5&amp;"生成成长"),5))*(VLOOKUP($B$5,标准坦克设计!$B$24:$U$30,MATCH("对"&amp;LEFT($C$5,2)&amp;"输出",标准坦克设计!$B$23:$U$23,0)))*(VLOOKUP($B136,INDIRECT($B$5&amp;"生成成长"),3))*(VLOOKUP($B$5,标准坦克设计!$B$14:$K$20,9)/30))</f>
        <v>47.885039990891087</v>
      </c>
      <c r="DJ136" s="172">
        <f ca="1">(VLOOKUP(DJ$72,INDIRECT($C$5&amp;"生成成长"),2))/((VLOOKUP($B136,INDIRECT($B$5&amp;"生成成长"),4))/(VLOOKUP(DJ$72,INDIRECT($C$5&amp;"生成成长"),5))*(VLOOKUP($B$5,标准坦克设计!$B$24:$U$30,MATCH("对"&amp;LEFT($C$5,2)&amp;"输出",标准坦克设计!$B$23:$U$23,0)))*(VLOOKUP($B136,INDIRECT($B$5&amp;"生成成长"),3))*(VLOOKUP($B$5,标准坦克设计!$B$14:$K$20,9)/30))</f>
        <v>4.8125657439464602</v>
      </c>
      <c r="DK136" s="172">
        <f ca="1">(VLOOKUP(DK$72,INDIRECT($C$5&amp;"生成成长"),2))/((VLOOKUP($B136,INDIRECT($B$5&amp;"生成成长"),4))/(VLOOKUP(DK$72,INDIRECT($C$5&amp;"生成成长"),5))*(VLOOKUP($B$5,标准坦克设计!$B$24:$U$30,MATCH("对"&amp;LEFT($C$5,2)&amp;"输出",标准坦克设计!$B$23:$U$23,0)))*(VLOOKUP($B136,INDIRECT($B$5&amp;"生成成长"),3))*(VLOOKUP($B$5,标准坦克设计!$B$14:$K$20,9)/30))</f>
        <v>5.4115080956659352</v>
      </c>
      <c r="DL136" s="172">
        <f ca="1">(VLOOKUP(DL$72,INDIRECT($C$5&amp;"生成成长"),2))/((VLOOKUP($B136,INDIRECT($B$5&amp;"生成成长"),4))/(VLOOKUP(DL$72,INDIRECT($C$5&amp;"生成成长"),5))*(VLOOKUP($B$5,标准坦克设计!$B$24:$U$30,MATCH("对"&amp;LEFT($C$5,2)&amp;"输出",标准坦克设计!$B$23:$U$23,0)))*(VLOOKUP($B136,INDIRECT($B$5&amp;"生成成长"),3))*(VLOOKUP($B$5,标准坦克设计!$B$14:$K$20,9)/30))</f>
        <v>6.0455675885285709</v>
      </c>
      <c r="DM136" s="172">
        <f ca="1">(VLOOKUP(DM$72,INDIRECT($C$5&amp;"生成成长"),2))/((VLOOKUP($B136,INDIRECT($B$5&amp;"生成成长"),4))/(VLOOKUP(DM$72,INDIRECT($C$5&amp;"生成成长"),5))*(VLOOKUP($B$5,标准坦克设计!$B$24:$U$30,MATCH("对"&amp;LEFT($C$5,2)&amp;"输出",标准坦克设计!$B$23:$U$23,0)))*(VLOOKUP($B136,INDIRECT($B$5&amp;"生成成长"),3))*(VLOOKUP($B$5,标准坦克设计!$B$14:$K$20,9)/30))</f>
        <v>6.7147442225343683</v>
      </c>
      <c r="DN136" s="172">
        <f ca="1">(VLOOKUP(DN$72,INDIRECT($C$5&amp;"生成成长"),2))/((VLOOKUP($B136,INDIRECT($B$5&amp;"生成成长"),4))/(VLOOKUP(DN$72,INDIRECT($C$5&amp;"生成成长"),5))*(VLOOKUP($B$5,标准坦克设计!$B$24:$U$30,MATCH("对"&amp;LEFT($C$5,2)&amp;"输出",标准坦克设计!$B$23:$U$23,0)))*(VLOOKUP($B136,INDIRECT($B$5&amp;"生成成长"),3))*(VLOOKUP($B$5,标准坦克设计!$B$14:$K$20,9)/30))</f>
        <v>7.4190379976833274</v>
      </c>
      <c r="DO136" s="172">
        <f ca="1">(VLOOKUP(DO$72,INDIRECT($C$5&amp;"生成成长"),2))/((VLOOKUP($B136,INDIRECT($B$5&amp;"生成成长"),4))/(VLOOKUP(DO$72,INDIRECT($C$5&amp;"生成成长"),5))*(VLOOKUP($B$5,标准坦克设计!$B$24:$U$30,MATCH("对"&amp;LEFT($C$5,2)&amp;"输出",标准坦克设计!$B$23:$U$23,0)))*(VLOOKUP($B136,INDIRECT($B$5&amp;"生成成长"),3))*(VLOOKUP($B$5,标准坦克设计!$B$14:$K$20,9)/30))</f>
        <v>8.1584489139754517</v>
      </c>
      <c r="DP136" s="172">
        <f ca="1">(VLOOKUP(DP$72,INDIRECT($C$5&amp;"生成成长"),2))/((VLOOKUP($B136,INDIRECT($B$5&amp;"生成成长"),4))/(VLOOKUP(DP$72,INDIRECT($C$5&amp;"生成成长"),5))*(VLOOKUP($B$5,标准坦克设计!$B$24:$U$30,MATCH("对"&amp;LEFT($C$5,2)&amp;"输出",标准坦克设计!$B$23:$U$23,0)))*(VLOOKUP($B136,INDIRECT($B$5&amp;"生成成长"),3))*(VLOOKUP($B$5,标准坦克设计!$B$14:$K$20,9)/30))</f>
        <v>8.9329769714107297</v>
      </c>
      <c r="DQ136" s="172">
        <f ca="1">(VLOOKUP(DQ$72,INDIRECT($C$5&amp;"生成成长"),2))/((VLOOKUP($B136,INDIRECT($B$5&amp;"生成成长"),4))/(VLOOKUP(DQ$72,INDIRECT($C$5&amp;"生成成长"),5))*(VLOOKUP($B$5,标准坦克设计!$B$24:$U$30,MATCH("对"&amp;LEFT($C$5,2)&amp;"输出",标准坦克设计!$B$23:$U$23,0)))*(VLOOKUP($B136,INDIRECT($B$5&amp;"生成成长"),3))*(VLOOKUP($B$5,标准坦克设计!$B$14:$K$20,9)/30))</f>
        <v>9.7426221699891755</v>
      </c>
      <c r="DR136" s="172">
        <f ca="1">(VLOOKUP(DR$72,INDIRECT($C$5&amp;"生成成长"),2))/((VLOOKUP($B136,INDIRECT($B$5&amp;"生成成长"),4))/(VLOOKUP(DR$72,INDIRECT($C$5&amp;"生成成长"),5))*(VLOOKUP($B$5,标准坦克设计!$B$24:$U$30,MATCH("对"&amp;LEFT($C$5,2)&amp;"输出",标准坦克设计!$B$23:$U$23,0)))*(VLOOKUP($B136,INDIRECT($B$5&amp;"生成成长"),3))*(VLOOKUP($B$5,标准坦克设计!$B$14:$K$20,9)/30))</f>
        <v>10.58738450971078</v>
      </c>
      <c r="DS136" s="172">
        <f ca="1">(VLOOKUP(DS$72,INDIRECT($C$5&amp;"生成成长"),2))/((VLOOKUP($B136,INDIRECT($B$5&amp;"生成成长"),4))/(VLOOKUP(DS$72,INDIRECT($C$5&amp;"生成成长"),5))*(VLOOKUP($B$5,标准坦克设计!$B$24:$U$30,MATCH("对"&amp;LEFT($C$5,2)&amp;"输出",标准坦克设计!$B$23:$U$23,0)))*(VLOOKUP($B136,INDIRECT($B$5&amp;"生成成长"),3))*(VLOOKUP($B$5,标准坦克设计!$B$14:$K$20,9)/30))</f>
        <v>11.467263990575548</v>
      </c>
      <c r="DT136" s="172">
        <f ca="1">(VLOOKUP(DT$72,INDIRECT($C$5&amp;"生成成长"),2))/((VLOOKUP($B136,INDIRECT($B$5&amp;"生成成长"),4))/(VLOOKUP(DT$72,INDIRECT($C$5&amp;"生成成长"),5))*(VLOOKUP($B$5,标准坦克设计!$B$24:$U$30,MATCH("对"&amp;LEFT($C$5,2)&amp;"输出",标准坦克设计!$B$23:$U$23,0)))*(VLOOKUP($B136,INDIRECT($B$5&amp;"生成成长"),3))*(VLOOKUP($B$5,标准坦克设计!$B$14:$K$20,9)/30))</f>
        <v>12.590362189728134</v>
      </c>
      <c r="DU136" s="172">
        <f ca="1">(VLOOKUP(DU$72,INDIRECT($C$5&amp;"生成成长"),2))/((VLOOKUP($B136,INDIRECT($B$5&amp;"生成成长"),4))/(VLOOKUP(DU$72,INDIRECT($C$5&amp;"生成成长"),5))*(VLOOKUP($B$5,标准坦克设计!$B$24:$U$30,MATCH("对"&amp;LEFT($C$5,2)&amp;"输出",标准坦克设计!$B$23:$U$23,0)))*(VLOOKUP($B136,INDIRECT($B$5&amp;"生成成长"),3))*(VLOOKUP($B$5,标准坦克设计!$B$14:$K$20,9)/30))</f>
        <v>13.765919328119274</v>
      </c>
      <c r="DV136" s="172">
        <f ca="1">(VLOOKUP(DV$72,INDIRECT($C$5&amp;"生成成长"),2))/((VLOOKUP($B136,INDIRECT($B$5&amp;"生成成长"),4))/(VLOOKUP(DV$72,INDIRECT($C$5&amp;"生成成长"),5))*(VLOOKUP($B$5,标准坦克设计!$B$24:$U$30,MATCH("对"&amp;LEFT($C$5,2)&amp;"输出",标准坦克设计!$B$23:$U$23,0)))*(VLOOKUP($B136,INDIRECT($B$5&amp;"生成成长"),3))*(VLOOKUP($B$5,标准坦克设计!$B$14:$K$20,9)/30))</f>
        <v>14.99393540574896</v>
      </c>
      <c r="DW136" s="172">
        <f ca="1">(VLOOKUP(DW$72,INDIRECT($C$5&amp;"生成成长"),2))/((VLOOKUP($B136,INDIRECT($B$5&amp;"生成成长"),4))/(VLOOKUP(DW$72,INDIRECT($C$5&amp;"生成成长"),5))*(VLOOKUP($B$5,标准坦克设计!$B$24:$U$30,MATCH("对"&amp;LEFT($C$5,2)&amp;"输出",标准坦克设计!$B$23:$U$23,0)))*(VLOOKUP($B136,INDIRECT($B$5&amp;"生成成长"),3))*(VLOOKUP($B$5,标准坦克设计!$B$14:$K$20,9)/30))</f>
        <v>16.274410422617201</v>
      </c>
      <c r="DX136" s="172">
        <f ca="1">(VLOOKUP(DX$72,INDIRECT($C$5&amp;"生成成长"),2))/((VLOOKUP($B136,INDIRECT($B$5&amp;"生成成长"),4))/(VLOOKUP(DX$72,INDIRECT($C$5&amp;"生成成长"),5))*(VLOOKUP($B$5,标准坦克设计!$B$24:$U$30,MATCH("对"&amp;LEFT($C$5,2)&amp;"输出",标准坦克设计!$B$23:$U$23,0)))*(VLOOKUP($B136,INDIRECT($B$5&amp;"生成成长"),3))*(VLOOKUP($B$5,标准坦克设计!$B$14:$K$20,9)/30))</f>
        <v>17.607344378723987</v>
      </c>
      <c r="DY136" s="172">
        <f ca="1">(VLOOKUP(DY$72,INDIRECT($C$5&amp;"生成成长"),2))/((VLOOKUP($B136,INDIRECT($B$5&amp;"生成成长"),4))/(VLOOKUP(DY$72,INDIRECT($C$5&amp;"生成成长"),5))*(VLOOKUP($B$5,标准坦克设计!$B$24:$U$30,MATCH("对"&amp;LEFT($C$5,2)&amp;"输出",标准坦克设计!$B$23:$U$23,0)))*(VLOOKUP($B136,INDIRECT($B$5&amp;"生成成长"),3))*(VLOOKUP($B$5,标准坦克设计!$B$14:$K$20,9)/30))</f>
        <v>7.90807670397328</v>
      </c>
      <c r="DZ136" s="172">
        <f ca="1">(VLOOKUP(DZ$72,INDIRECT($C$5&amp;"生成成长"),2))/((VLOOKUP($B136,INDIRECT($B$5&amp;"生成成长"),4))/(VLOOKUP(DZ$72,INDIRECT($C$5&amp;"生成成长"),5))*(VLOOKUP($B$5,标准坦克设计!$B$24:$U$30,MATCH("对"&amp;LEFT($C$5,2)&amp;"输出",标准坦克设计!$B$23:$U$23,0)))*(VLOOKUP($B136,INDIRECT($B$5&amp;"生成成长"),3))*(VLOOKUP($B$5,标准坦克设计!$B$14:$K$20,9)/30))</f>
        <v>8.7578248106473087</v>
      </c>
      <c r="EA136" s="172">
        <f ca="1">(VLOOKUP(EA$72,INDIRECT($C$5&amp;"生成成长"),2))/((VLOOKUP($B136,INDIRECT($B$5&amp;"生成成长"),4))/(VLOOKUP(EA$72,INDIRECT($C$5&amp;"生成成长"),5))*(VLOOKUP($B$5,标准坦克设计!$B$24:$U$30,MATCH("对"&amp;LEFT($C$5,2)&amp;"输出",标准坦克设计!$B$23:$U$23,0)))*(VLOOKUP($B136,INDIRECT($B$5&amp;"生成成长"),3))*(VLOOKUP($B$5,标准坦克设计!$B$14:$K$20,9)/30))</f>
        <v>9.6509274125598097</v>
      </c>
      <c r="EB136" s="172">
        <f ca="1">(VLOOKUP(EB$72,INDIRECT($C$5&amp;"生成成长"),2))/((VLOOKUP($B136,INDIRECT($B$5&amp;"生成成长"),4))/(VLOOKUP(EB$72,INDIRECT($C$5&amp;"生成成长"),5))*(VLOOKUP($B$5,标准坦克设计!$B$24:$U$30,MATCH("对"&amp;LEFT($C$5,2)&amp;"输出",标准坦克设计!$B$23:$U$23,0)))*(VLOOKUP($B136,INDIRECT($B$5&amp;"生成成长"),3))*(VLOOKUP($B$5,标准坦克设计!$B$14:$K$20,9)/30))</f>
        <v>10.58738450971078</v>
      </c>
      <c r="EC136" s="172">
        <f ca="1">(VLOOKUP(EC$72,INDIRECT($C$5&amp;"生成成长"),2))/((VLOOKUP($B136,INDIRECT($B$5&amp;"生成成长"),4))/(VLOOKUP(EC$72,INDIRECT($C$5&amp;"生成成长"),5))*(VLOOKUP($B$5,标准坦克设计!$B$24:$U$30,MATCH("对"&amp;LEFT($C$5,2)&amp;"输出",标准坦克设计!$B$23:$U$23,0)))*(VLOOKUP($B136,INDIRECT($B$5&amp;"生成成长"),3))*(VLOOKUP($B$5,标准坦克设计!$B$14:$K$20,9)/30))</f>
        <v>11.567196102100223</v>
      </c>
      <c r="ED136" s="172">
        <f ca="1">(VLOOKUP(ED$72,INDIRECT($C$5&amp;"生成成长"),2))/((VLOOKUP($B136,INDIRECT($B$5&amp;"生成成长"),4))/(VLOOKUP(ED$72,INDIRECT($C$5&amp;"生成成长"),5))*(VLOOKUP($B$5,标准坦克设计!$B$24:$U$30,MATCH("对"&amp;LEFT($C$5,2)&amp;"输出",标准坦克设计!$B$23:$U$23,0)))*(VLOOKUP($B136,INDIRECT($B$5&amp;"生成成长"),3))*(VLOOKUP($B$5,标准坦克设计!$B$14:$K$20,9)/30))</f>
        <v>12.590362189728134</v>
      </c>
      <c r="EE136" s="172">
        <f ca="1">(VLOOKUP(EE$72,INDIRECT($C$5&amp;"生成成长"),2))/((VLOOKUP($B136,INDIRECT($B$5&amp;"生成成长"),4))/(VLOOKUP(EE$72,INDIRECT($C$5&amp;"生成成长"),5))*(VLOOKUP($B$5,标准坦克设计!$B$24:$U$30,MATCH("对"&amp;LEFT($C$5,2)&amp;"输出",标准坦克设计!$B$23:$U$23,0)))*(VLOOKUP($B136,INDIRECT($B$5&amp;"生成成长"),3))*(VLOOKUP($B$5,标准坦克设计!$B$14:$K$20,9)/30))</f>
        <v>13.656882772594518</v>
      </c>
      <c r="EF136" s="172">
        <f ca="1">(VLOOKUP(EF$72,INDIRECT($C$5&amp;"生成成长"),2))/((VLOOKUP($B136,INDIRECT($B$5&amp;"生成成长"),4))/(VLOOKUP(EF$72,INDIRECT($C$5&amp;"生成成长"),5))*(VLOOKUP($B$5,标准坦克设计!$B$24:$U$30,MATCH("对"&amp;LEFT($C$5,2)&amp;"输出",标准坦克设计!$B$23:$U$23,0)))*(VLOOKUP($B136,INDIRECT($B$5&amp;"生成成长"),3))*(VLOOKUP($B$5,标准坦克设计!$B$14:$K$20,9)/30))</f>
        <v>14.766757850699371</v>
      </c>
      <c r="EG136" s="172">
        <f ca="1">(VLOOKUP(EG$72,INDIRECT($C$5&amp;"生成成长"),2))/((VLOOKUP($B136,INDIRECT($B$5&amp;"生成成长"),4))/(VLOOKUP(EG$72,INDIRECT($C$5&amp;"生成成长"),5))*(VLOOKUP($B$5,标准坦克设计!$B$24:$U$30,MATCH("对"&amp;LEFT($C$5,2)&amp;"输出",标准坦克设计!$B$23:$U$23,0)))*(VLOOKUP($B136,INDIRECT($B$5&amp;"生成成长"),3))*(VLOOKUP($B$5,标准坦克设计!$B$14:$K$20,9)/30))</f>
        <v>15.9199874240427</v>
      </c>
      <c r="EH136" s="172">
        <f ca="1">(VLOOKUP(EH$72,INDIRECT($C$5&amp;"生成成长"),2))/((VLOOKUP($B136,INDIRECT($B$5&amp;"生成成长"),4))/(VLOOKUP(EH$72,INDIRECT($C$5&amp;"生成成长"),5))*(VLOOKUP($B$5,标准坦克设计!$B$24:$U$30,MATCH("对"&amp;LEFT($C$5,2)&amp;"输出",标准坦克设计!$B$23:$U$23,0)))*(VLOOKUP($B136,INDIRECT($B$5&amp;"生成成长"),3))*(VLOOKUP($B$5,标准坦克设计!$B$14:$K$20,9)/30))</f>
        <v>17.116571492624495</v>
      </c>
      <c r="EI136" s="172">
        <f ca="1">(VLOOKUP(EI$72,INDIRECT($C$5&amp;"生成成长"),2))/((VLOOKUP($B136,INDIRECT($B$5&amp;"生成成长"),4))/(VLOOKUP(EI$72,INDIRECT($C$5&amp;"生成成长"),5))*(VLOOKUP($B$5,标准坦克设计!$B$24:$U$30,MATCH("对"&amp;LEFT($C$5,2)&amp;"输出",标准坦克设计!$B$23:$U$23,0)))*(VLOOKUP($B136,INDIRECT($B$5&amp;"生成成长"),3))*(VLOOKUP($B$5,标准坦克设计!$B$14:$K$20,9)/30))</f>
        <v>18.356510056444762</v>
      </c>
      <c r="EJ136" s="172">
        <f ca="1">(VLOOKUP(EJ$72,INDIRECT($C$5&amp;"生成成长"),2))/((VLOOKUP($B136,INDIRECT($B$5&amp;"生成成长"),4))/(VLOOKUP(EJ$72,INDIRECT($C$5&amp;"生成成长"),5))*(VLOOKUP($B$5,标准坦克设计!$B$24:$U$30,MATCH("对"&amp;LEFT($C$5,2)&amp;"输出",标准坦克设计!$B$23:$U$23,0)))*(VLOOKUP($B136,INDIRECT($B$5&amp;"生成成长"),3))*(VLOOKUP($B$5,标准坦克设计!$B$14:$K$20,9)/30))</f>
        <v>19.639803115503497</v>
      </c>
      <c r="EK136" s="172">
        <f ca="1">(VLOOKUP(EK$72,INDIRECT($C$5&amp;"生成成长"),2))/((VLOOKUP($B136,INDIRECT($B$5&amp;"生成成长"),4))/(VLOOKUP(EK$72,INDIRECT($C$5&amp;"生成成长"),5))*(VLOOKUP($B$5,标准坦克设计!$B$24:$U$30,MATCH("对"&amp;LEFT($C$5,2)&amp;"输出",标准坦克设计!$B$23:$U$23,0)))*(VLOOKUP($B136,INDIRECT($B$5&amp;"生成成长"),3))*(VLOOKUP($B$5,标准坦克设计!$B$14:$K$20,9)/30))</f>
        <v>21.236982720088768</v>
      </c>
      <c r="EL136" s="172">
        <f ca="1">(VLOOKUP(EL$72,INDIRECT($C$5&amp;"生成成长"),2))/((VLOOKUP($B136,INDIRECT($B$5&amp;"生成成长"),4))/(VLOOKUP(EL$72,INDIRECT($C$5&amp;"生成成长"),5))*(VLOOKUP($B$5,标准坦克设计!$B$24:$U$30,MATCH("对"&amp;LEFT($C$5,2)&amp;"输出",标准坦克设计!$B$23:$U$23,0)))*(VLOOKUP($B136,INDIRECT($B$5&amp;"生成成长"),3))*(VLOOKUP($B$5,标准坦克设计!$B$14:$K$20,9)/30))</f>
        <v>22.89659279781743</v>
      </c>
      <c r="EM136" s="172">
        <f ca="1">(VLOOKUP(EM$72,INDIRECT($C$5&amp;"生成成长"),2))/((VLOOKUP($B136,INDIRECT($B$5&amp;"生成成长"),4))/(VLOOKUP(EM$72,INDIRECT($C$5&amp;"生成成长"),5))*(VLOOKUP($B$5,标准坦克设计!$B$24:$U$30,MATCH("对"&amp;LEFT($C$5,2)&amp;"输出",标准坦克设计!$B$23:$U$23,0)))*(VLOOKUP($B136,INDIRECT($B$5&amp;"生成成长"),3))*(VLOOKUP($B$5,标准坦克设计!$B$14:$K$20,9)/30))</f>
        <v>24.618633348689499</v>
      </c>
      <c r="EN136" s="172">
        <f ca="1">(VLOOKUP(EN$72,INDIRECT($C$5&amp;"生成成长"),2))/((VLOOKUP($B136,INDIRECT($B$5&amp;"生成成长"),4))/(VLOOKUP(EN$72,INDIRECT($C$5&amp;"生成成长"),5))*(VLOOKUP($B$5,标准坦克设计!$B$24:$U$30,MATCH("对"&amp;LEFT($C$5,2)&amp;"输出",标准坦克设计!$B$23:$U$23,0)))*(VLOOKUP($B136,INDIRECT($B$5&amp;"生成成长"),3))*(VLOOKUP($B$5,标准坦克设计!$B$14:$K$20,9)/30))</f>
        <v>26.403104372704959</v>
      </c>
      <c r="EO136" s="172">
        <f ca="1">(VLOOKUP(EO$72,INDIRECT($C$5&amp;"生成成长"),2))/((VLOOKUP($B136,INDIRECT($B$5&amp;"生成成长"),4))/(VLOOKUP(EO$72,INDIRECT($C$5&amp;"生成成长"),5))*(VLOOKUP($B$5,标准坦克设计!$B$24:$U$30,MATCH("对"&amp;LEFT($C$5,2)&amp;"输出",标准坦克设计!$B$23:$U$23,0)))*(VLOOKUP($B136,INDIRECT($B$5&amp;"生成成长"),3))*(VLOOKUP($B$5,标准坦克设计!$B$14:$K$20,9)/30))</f>
        <v>28.250005869863816</v>
      </c>
      <c r="EP136" s="172">
        <f ca="1">(VLOOKUP(EP$72,INDIRECT($C$5&amp;"生成成长"),2))/((VLOOKUP($B136,INDIRECT($B$5&amp;"生成成长"),4))/(VLOOKUP(EP$72,INDIRECT($C$5&amp;"生成成长"),5))*(VLOOKUP($B$5,标准坦克设计!$B$24:$U$30,MATCH("对"&amp;LEFT($C$5,2)&amp;"输出",标准坦克设计!$B$23:$U$23,0)))*(VLOOKUP($B136,INDIRECT($B$5&amp;"生成成长"),3))*(VLOOKUP($B$5,标准坦克设计!$B$14:$K$20,9)/30))</f>
        <v>30.159337840166071</v>
      </c>
      <c r="EQ136" s="172">
        <f ca="1">(VLOOKUP(EQ$72,INDIRECT($C$5&amp;"生成成长"),2))/((VLOOKUP($B136,INDIRECT($B$5&amp;"生成成长"),4))/(VLOOKUP(EQ$72,INDIRECT($C$5&amp;"生成成长"),5))*(VLOOKUP($B$5,标准坦克设计!$B$24:$U$30,MATCH("对"&amp;LEFT($C$5,2)&amp;"输出",标准坦克设计!$B$23:$U$23,0)))*(VLOOKUP($B136,INDIRECT($B$5&amp;"生成成长"),3))*(VLOOKUP($B$5,标准坦克设计!$B$14:$K$20,9)/30))</f>
        <v>13.332374375734565</v>
      </c>
      <c r="ER136" s="172">
        <f ca="1">(VLOOKUP(ER$72,INDIRECT($C$5&amp;"生成成长"),2))/((VLOOKUP($B136,INDIRECT($B$5&amp;"生成成长"),4))/(VLOOKUP(ER$72,INDIRECT($C$5&amp;"生成成长"),5))*(VLOOKUP($B$5,标准坦克设计!$B$24:$U$30,MATCH("对"&amp;LEFT($C$5,2)&amp;"输出",标准坦克设计!$B$23:$U$23,0)))*(VLOOKUP($B136,INDIRECT($B$5&amp;"生成成长"),3))*(VLOOKUP($B$5,标准坦克设计!$B$14:$K$20,9)/30))</f>
        <v>14.541314475459323</v>
      </c>
      <c r="ES136" s="172">
        <f ca="1">(VLOOKUP(ES$72,INDIRECT($C$5&amp;"生成成长"),2))/((VLOOKUP($B136,INDIRECT($B$5&amp;"生成成长"),4))/(VLOOKUP(ES$72,INDIRECT($C$5&amp;"生成成长"),5))*(VLOOKUP($B$5,标准坦克设计!$B$24:$U$30,MATCH("对"&amp;LEFT($C$5,2)&amp;"输出",标准坦克设计!$B$23:$U$23,0)))*(VLOOKUP($B136,INDIRECT($B$5&amp;"生成成长"),3))*(VLOOKUP($B$5,标准坦克设计!$B$14:$K$20,9)/30))</f>
        <v>15.802713514422635</v>
      </c>
      <c r="ET136" s="172">
        <f ca="1">(VLOOKUP(ET$72,INDIRECT($C$5&amp;"生成成长"),2))/((VLOOKUP($B136,INDIRECT($B$5&amp;"生成成长"),4))/(VLOOKUP(ET$72,INDIRECT($C$5&amp;"生成成长"),5))*(VLOOKUP($B$5,标准坦克设计!$B$24:$U$30,MATCH("对"&amp;LEFT($C$5,2)&amp;"输出",标准坦克设计!$B$23:$U$23,0)))*(VLOOKUP($B136,INDIRECT($B$5&amp;"生成成长"),3))*(VLOOKUP($B$5,标准坦克设计!$B$14:$K$20,9)/30))</f>
        <v>17.116571492624495</v>
      </c>
      <c r="EU136" s="172">
        <f ca="1">(VLOOKUP(EU$72,INDIRECT($C$5&amp;"生成成长"),2))/((VLOOKUP($B136,INDIRECT($B$5&amp;"生成成长"),4))/(VLOOKUP(EU$72,INDIRECT($C$5&amp;"生成成长"),5))*(VLOOKUP($B$5,标准坦克设计!$B$24:$U$30,MATCH("对"&amp;LEFT($C$5,2)&amp;"输出",标准坦克设计!$B$23:$U$23,0)))*(VLOOKUP($B136,INDIRECT($B$5&amp;"生成成长"),3))*(VLOOKUP($B$5,标准坦克设计!$B$14:$K$20,9)/30))</f>
        <v>18.482888410064902</v>
      </c>
      <c r="EV136" s="172">
        <f ca="1">(VLOOKUP(EV$72,INDIRECT($C$5&amp;"生成成长"),2))/((VLOOKUP($B136,INDIRECT($B$5&amp;"生成成长"),4))/(VLOOKUP(EV$72,INDIRECT($C$5&amp;"生成成长"),5))*(VLOOKUP($B$5,标准坦克设计!$B$24:$U$30,MATCH("对"&amp;LEFT($C$5,2)&amp;"输出",标准坦克设计!$B$23:$U$23,0)))*(VLOOKUP($B136,INDIRECT($B$5&amp;"生成成长"),3))*(VLOOKUP($B$5,标准坦克设计!$B$14:$K$20,9)/30))</f>
        <v>19.901664266743865</v>
      </c>
      <c r="EW136" s="172">
        <f ca="1">(VLOOKUP(EW$72,INDIRECT($C$5&amp;"生成成长"),2))/((VLOOKUP($B136,INDIRECT($B$5&amp;"生成成长"),4))/(VLOOKUP(EW$72,INDIRECT($C$5&amp;"生成成长"),5))*(VLOOKUP($B$5,标准坦克设计!$B$24:$U$30,MATCH("对"&amp;LEFT($C$5,2)&amp;"输出",标准坦克设计!$B$23:$U$23,0)))*(VLOOKUP($B136,INDIRECT($B$5&amp;"生成成长"),3))*(VLOOKUP($B$5,标准坦克设计!$B$14:$K$20,9)/30))</f>
        <v>21.372899062661372</v>
      </c>
      <c r="EX136" s="172">
        <f ca="1">(VLOOKUP(EX$72,INDIRECT($C$5&amp;"生成成长"),2))/((VLOOKUP($B136,INDIRECT($B$5&amp;"生成成长"),4))/(VLOOKUP(EX$72,INDIRECT($C$5&amp;"生成成长"),5))*(VLOOKUP($B$5,标准坦克设计!$B$24:$U$30,MATCH("对"&amp;LEFT($C$5,2)&amp;"输出",标准坦克设计!$B$23:$U$23,0)))*(VLOOKUP($B136,INDIRECT($B$5&amp;"生成成长"),3))*(VLOOKUP($B$5,标准坦克设计!$B$14:$K$20,9)/30))</f>
        <v>22.89659279781743</v>
      </c>
      <c r="EY136" s="172">
        <f ca="1">(VLOOKUP(EY$72,INDIRECT($C$5&amp;"生成成长"),2))/((VLOOKUP($B136,INDIRECT($B$5&amp;"生成成长"),4))/(VLOOKUP(EY$72,INDIRECT($C$5&amp;"生成成长"),5))*(VLOOKUP($B$5,标准坦克设计!$B$24:$U$30,MATCH("对"&amp;LEFT($C$5,2)&amp;"输出",标准坦克设计!$B$23:$U$23,0)))*(VLOOKUP($B136,INDIRECT($B$5&amp;"生成成长"),3))*(VLOOKUP($B$5,标准坦克设计!$B$14:$K$20,9)/30))</f>
        <v>24.47274547221204</v>
      </c>
      <c r="EZ136" s="172">
        <f ca="1">(VLOOKUP(EZ$72,INDIRECT($C$5&amp;"生成成长"),2))/((VLOOKUP($B136,INDIRECT($B$5&amp;"生成成长"),4))/(VLOOKUP(EZ$72,INDIRECT($C$5&amp;"生成成长"),5))*(VLOOKUP($B$5,标准坦克设计!$B$24:$U$30,MATCH("对"&amp;LEFT($C$5,2)&amp;"输出",标准坦克设计!$B$23:$U$23,0)))*(VLOOKUP($B136,INDIRECT($B$5&amp;"生成成长"),3))*(VLOOKUP($B$5,标准坦克设计!$B$14:$K$20,9)/30))</f>
        <v>26.101357085845198</v>
      </c>
      <c r="FA136" s="172">
        <f ca="1">(VLOOKUP(FA$72,INDIRECT($C$5&amp;"生成成长"),2))/((VLOOKUP($B136,INDIRECT($B$5&amp;"生成成长"),4))/(VLOOKUP(FA$72,INDIRECT($C$5&amp;"生成成长"),5))*(VLOOKUP($B$5,标准坦克设计!$B$24:$U$30,MATCH("对"&amp;LEFT($C$5,2)&amp;"输出",标准坦克设计!$B$23:$U$23,0)))*(VLOOKUP($B136,INDIRECT($B$5&amp;"生成成长"),3))*(VLOOKUP($B$5,标准坦克设计!$B$14:$K$20,9)/30))</f>
        <v>27.782427638716907</v>
      </c>
      <c r="FB136" s="172">
        <f ca="1">(VLOOKUP(FB$72,INDIRECT($C$5&amp;"生成成长"),2))/((VLOOKUP($B136,INDIRECT($B$5&amp;"生成成长"),4))/(VLOOKUP(FB$72,INDIRECT($C$5&amp;"生成成长"),5))*(VLOOKUP($B$5,标准坦克设计!$B$24:$U$30,MATCH("对"&amp;LEFT($C$5,2)&amp;"输出",标准坦克设计!$B$23:$U$23,0)))*(VLOOKUP($B136,INDIRECT($B$5&amp;"生成成长"),3))*(VLOOKUP($B$5,标准坦克设计!$B$14:$K$20,9)/30))</f>
        <v>29.515957130827168</v>
      </c>
      <c r="FC136" s="172">
        <f ca="1">(VLOOKUP(FC$72,INDIRECT($C$5&amp;"生成成长"),2))/((VLOOKUP($B136,INDIRECT($B$5&amp;"生成成长"),4))/(VLOOKUP(FC$72,INDIRECT($C$5&amp;"生成成长"),5))*(VLOOKUP($B$5,标准坦克设计!$B$24:$U$30,MATCH("对"&amp;LEFT($C$5,2)&amp;"输出",标准坦克设计!$B$23:$U$23,0)))*(VLOOKUP($B136,INDIRECT($B$5&amp;"生成成长"),3))*(VLOOKUP($B$5,标准坦克设计!$B$14:$K$20,9)/30))</f>
        <v>31.30194556217598</v>
      </c>
      <c r="FD136" s="172">
        <f ca="1">(VLOOKUP(FD$72,INDIRECT($C$5&amp;"生成成长"),2))/((VLOOKUP($B136,INDIRECT($B$5&amp;"生成成长"),4))/(VLOOKUP(FD$72,INDIRECT($C$5&amp;"生成成长"),5))*(VLOOKUP($B$5,标准坦克设计!$B$24:$U$30,MATCH("对"&amp;LEFT($C$5,2)&amp;"输出",标准坦克设计!$B$23:$U$23,0)))*(VLOOKUP($B136,INDIRECT($B$5&amp;"生成成长"),3))*(VLOOKUP($B$5,标准坦克设计!$B$14:$K$20,9)/30))</f>
        <v>33.140392932763326</v>
      </c>
      <c r="FE136" s="172">
        <f ca="1">(VLOOKUP(FE$72,INDIRECT($C$5&amp;"生成成长"),2))/((VLOOKUP($B136,INDIRECT($B$5&amp;"生成成长"),4))/(VLOOKUP(FE$72,INDIRECT($C$5&amp;"生成成长"),5))*(VLOOKUP($B$5,标准坦克设计!$B$24:$U$30,MATCH("对"&amp;LEFT($C$5,2)&amp;"输出",标准坦克设计!$B$23:$U$23,0)))*(VLOOKUP($B136,INDIRECT($B$5&amp;"生成成长"),3))*(VLOOKUP($B$5,标准坦克设计!$B$14:$K$20,9)/30))</f>
        <v>35.380736474211311</v>
      </c>
      <c r="FF136" s="172">
        <f ca="1">(VLOOKUP(FF$72,INDIRECT($C$5&amp;"生成成长"),2))/((VLOOKUP($B136,INDIRECT($B$5&amp;"生成成长"),4))/(VLOOKUP(FF$72,INDIRECT($C$5&amp;"生成成长"),5))*(VLOOKUP($B$5,标准坦克设计!$B$24:$U$30,MATCH("对"&amp;LEFT($C$5,2)&amp;"输出",标准坦克设计!$B$23:$U$23,0)))*(VLOOKUP($B136,INDIRECT($B$5&amp;"生成成长"),3))*(VLOOKUP($B$5,标准坦克设计!$B$14:$K$20,9)/30))</f>
        <v>37.694349112612308</v>
      </c>
      <c r="FG136" s="172">
        <f ca="1">(VLOOKUP(FG$72,INDIRECT($C$5&amp;"生成成长"),2))/((VLOOKUP($B136,INDIRECT($B$5&amp;"生成成长"),4))/(VLOOKUP(FG$72,INDIRECT($C$5&amp;"生成成长"),5))*(VLOOKUP($B$5,标准坦克设计!$B$24:$U$30,MATCH("对"&amp;LEFT($C$5,2)&amp;"输出",标准坦克设计!$B$23:$U$23,0)))*(VLOOKUP($B136,INDIRECT($B$5&amp;"生成成长"),3))*(VLOOKUP($B$5,标准坦克设计!$B$14:$K$20,9)/30))</f>
        <v>40.081230847966324</v>
      </c>
      <c r="FH136" s="172">
        <f ca="1">(VLOOKUP(FH$72,INDIRECT($C$5&amp;"生成成长"),2))/((VLOOKUP($B136,INDIRECT($B$5&amp;"生成成长"),4))/(VLOOKUP(FH$72,INDIRECT($C$5&amp;"生成成长"),5))*(VLOOKUP($B$5,标准坦克设计!$B$24:$U$30,MATCH("对"&amp;LEFT($C$5,2)&amp;"输出",标准坦克设计!$B$23:$U$23,0)))*(VLOOKUP($B136,INDIRECT($B$5&amp;"生成成长"),3))*(VLOOKUP($B$5,标准坦克设计!$B$14:$K$20,9)/30))</f>
        <v>42.541381680273354</v>
      </c>
      <c r="FI136" s="172">
        <f ca="1">(VLOOKUP(FI$72,INDIRECT($C$5&amp;"生成成长"),2))/((VLOOKUP($B136,INDIRECT($B$5&amp;"生成成长"),4))/(VLOOKUP(FI$72,INDIRECT($C$5&amp;"生成成长"),5))*(VLOOKUP($B$5,标准坦克设计!$B$24:$U$30,MATCH("对"&amp;LEFT($C$5,2)&amp;"输出",标准坦克设计!$B$23:$U$23,0)))*(VLOOKUP($B136,INDIRECT($B$5&amp;"生成成长"),3))*(VLOOKUP($B$5,标准坦克设计!$B$14:$K$20,9)/30))</f>
        <v>45.074801609533395</v>
      </c>
      <c r="FJ136" s="172">
        <f ca="1">(VLOOKUP(FJ$72,INDIRECT($C$5&amp;"生成成长"),2))/((VLOOKUP($B136,INDIRECT($B$5&amp;"生成成长"),4))/(VLOOKUP(FJ$72,INDIRECT($C$5&amp;"生成成长"),5))*(VLOOKUP($B$5,标准坦克设计!$B$24:$U$30,MATCH("对"&amp;LEFT($C$5,2)&amp;"输出",标准坦克设计!$B$23:$U$23,0)))*(VLOOKUP($B136,INDIRECT($B$5&amp;"生成成长"),3))*(VLOOKUP($B$5,标准坦克设计!$B$14:$K$20,9)/30))</f>
        <v>47.681490635746464</v>
      </c>
      <c r="FK136" s="172">
        <f ca="1">(VLOOKUP(FK$72,INDIRECT($C$5&amp;"生成成长"),2))/((VLOOKUP($B136,INDIRECT($B$5&amp;"生成成长"),4))/(VLOOKUP(FK$72,INDIRECT($C$5&amp;"生成成长"),5))*(VLOOKUP($B$5,标准坦克设计!$B$24:$U$30,MATCH("对"&amp;LEFT($C$5,2)&amp;"输出",标准坦克设计!$B$23:$U$23,0)))*(VLOOKUP($B136,INDIRECT($B$5&amp;"生成成长"),3))*(VLOOKUP($B$5,标准坦克设计!$B$14:$K$20,9)/30))</f>
        <v>50.361448758912537</v>
      </c>
    </row>
    <row r="137" spans="1:167" x14ac:dyDescent="0.15">
      <c r="A137" s="170" t="str">
        <f t="shared" si="11"/>
        <v>T3中品质8级</v>
      </c>
      <c r="B137" s="171">
        <v>20308</v>
      </c>
      <c r="C137" s="172">
        <f ca="1">(VLOOKUP(C$72,INDIRECT($C$5&amp;"生成成长"),2))/((VLOOKUP($B137,INDIRECT($B$5&amp;"生成成长"),4))/(VLOOKUP(C$72,INDIRECT($C$5&amp;"生成成长"),5))*(VLOOKUP($B$5,标准坦克设计!$B$24:$U$30,MATCH("对"&amp;LEFT($C$5,2)&amp;"输出",标准坦克设计!$B$23:$U$23,0)))*(VLOOKUP($B137,INDIRECT($B$5&amp;"生成成长"),3))*(VLOOKUP($B$5,标准坦克设计!$B$14:$K$20,9)/30))</f>
        <v>1.9831963224917011</v>
      </c>
      <c r="D137" s="172">
        <f ca="1">(VLOOKUP(D$72,INDIRECT($C$5&amp;"生成成长"),2))/((VLOOKUP($B137,INDIRECT($B$5&amp;"生成成长"),4))/(VLOOKUP(D$72,INDIRECT($C$5&amp;"生成成长"),5))*(VLOOKUP($B$5,标准坦克设计!$B$24:$U$30,MATCH("对"&amp;LEFT($C$5,2)&amp;"输出",标准坦克设计!$B$23:$U$23,0)))*(VLOOKUP($B137,INDIRECT($B$5&amp;"生成成长"),3))*(VLOOKUP($B$5,标准坦克设计!$B$14:$K$20,9)/30))</f>
        <v>2.2283193879516752</v>
      </c>
      <c r="E137" s="172">
        <f ca="1">(VLOOKUP(E$72,INDIRECT($C$5&amp;"生成成长"),2))/((VLOOKUP($B137,INDIRECT($B$5&amp;"生成成长"),4))/(VLOOKUP(E$72,INDIRECT($C$5&amp;"生成成长"),5))*(VLOOKUP($B$5,标准坦克设计!$B$24:$U$30,MATCH("对"&amp;LEFT($C$5,2)&amp;"输出",标准坦克设计!$B$23:$U$23,0)))*(VLOOKUP($B137,INDIRECT($B$5&amp;"生成成长"),3))*(VLOOKUP($B$5,标准坦克设计!$B$14:$K$20,9)/30))</f>
        <v>2.4877214669335896</v>
      </c>
      <c r="F137" s="172">
        <f ca="1">(VLOOKUP(F$72,INDIRECT($C$5&amp;"生成成长"),2))/((VLOOKUP($B137,INDIRECT($B$5&amp;"生成成长"),4))/(VLOOKUP(F$72,INDIRECT($C$5&amp;"生成成长"),5))*(VLOOKUP($B$5,标准坦克设计!$B$24:$U$30,MATCH("对"&amp;LEFT($C$5,2)&amp;"输出",标准坦克设计!$B$23:$U$23,0)))*(VLOOKUP($B137,INDIRECT($B$5&amp;"生成成长"),3))*(VLOOKUP($B$5,标准坦克设计!$B$14:$K$20,9)/30))</f>
        <v>2.7614025594374443</v>
      </c>
      <c r="G137" s="172">
        <f ca="1">(VLOOKUP(G$72,INDIRECT($C$5&amp;"生成成长"),2))/((VLOOKUP($B137,INDIRECT($B$5&amp;"生成成长"),4))/(VLOOKUP(G$72,INDIRECT($C$5&amp;"生成成长"),5))*(VLOOKUP($B$5,标准坦克设计!$B$24:$U$30,MATCH("对"&amp;LEFT($C$5,2)&amp;"输出",标准坦克设计!$B$23:$U$23,0)))*(VLOOKUP($B137,INDIRECT($B$5&amp;"生成成长"),3))*(VLOOKUP($B$5,标准坦克设计!$B$14:$K$20,9)/30))</f>
        <v>3.0493626654632395</v>
      </c>
      <c r="H137" s="172">
        <f ca="1">(VLOOKUP(H$72,INDIRECT($C$5&amp;"生成成长"),2))/((VLOOKUP($B137,INDIRECT($B$5&amp;"生成成长"),4))/(VLOOKUP(H$72,INDIRECT($C$5&amp;"生成成长"),5))*(VLOOKUP($B$5,标准坦克设计!$B$24:$U$30,MATCH("对"&amp;LEFT($C$5,2)&amp;"输出",标准坦克设计!$B$23:$U$23,0)))*(VLOOKUP($B137,INDIRECT($B$5&amp;"生成成长"),3))*(VLOOKUP($B$5,标准坦克设计!$B$14:$K$20,9)/30))</f>
        <v>2.6685889715448328</v>
      </c>
      <c r="I137" s="172">
        <f ca="1">(VLOOKUP(I$72,INDIRECT($C$5&amp;"生成成长"),2))/((VLOOKUP($B137,INDIRECT($B$5&amp;"生成成长"),4))/(VLOOKUP(I$72,INDIRECT($C$5&amp;"生成成长"),5))*(VLOOKUP($B$5,标准坦克设计!$B$24:$U$30,MATCH("对"&amp;LEFT($C$5,2)&amp;"输出",标准坦克设计!$B$23:$U$23,0)))*(VLOOKUP($B137,INDIRECT($B$5&amp;"生成成长"),3))*(VLOOKUP($B$5,标准坦克设计!$B$14:$K$20,9)/30))</f>
        <v>3.0493626654632395</v>
      </c>
      <c r="J137" s="172">
        <f ca="1">(VLOOKUP(J$72,INDIRECT($C$5&amp;"生成成长"),2))/((VLOOKUP($B137,INDIRECT($B$5&amp;"生成成长"),4))/(VLOOKUP(J$72,INDIRECT($C$5&amp;"生成成长"),5))*(VLOOKUP($B$5,标准坦克设计!$B$24:$U$30,MATCH("对"&amp;LEFT($C$5,2)&amp;"输出",标准坦克设计!$B$23:$U$23,0)))*(VLOOKUP($B137,INDIRECT($B$5&amp;"生成成长"),3))*(VLOOKUP($B$5,标准坦克设计!$B$14:$K$20,9)/30))</f>
        <v>3.4555212723095399</v>
      </c>
      <c r="K137" s="172">
        <f ca="1">(VLOOKUP(K$72,INDIRECT($C$5&amp;"生成成长"),2))/((VLOOKUP($B137,INDIRECT($B$5&amp;"生成成长"),4))/(VLOOKUP(K$72,INDIRECT($C$5&amp;"生成成长"),5))*(VLOOKUP($B$5,标准坦克设计!$B$24:$U$30,MATCH("对"&amp;LEFT($C$5,2)&amp;"输出",标准坦克设计!$B$23:$U$23,0)))*(VLOOKUP($B137,INDIRECT($B$5&amp;"生成成长"),3))*(VLOOKUP($B$5,标准坦克设计!$B$14:$K$20,9)/30))</f>
        <v>3.8870647920837342</v>
      </c>
      <c r="L137" s="172">
        <f ca="1">(VLOOKUP(L$72,INDIRECT($C$5&amp;"生成成长"),2))/((VLOOKUP($B137,INDIRECT($B$5&amp;"生成成长"),4))/(VLOOKUP(L$72,INDIRECT($C$5&amp;"生成成长"),5))*(VLOOKUP($B$5,标准坦克设计!$B$24:$U$30,MATCH("对"&amp;LEFT($C$5,2)&amp;"输出",标准坦克设计!$B$23:$U$23,0)))*(VLOOKUP($B137,INDIRECT($B$5&amp;"生成成长"),3))*(VLOOKUP($B$5,标准坦克设计!$B$14:$K$20,9)/30))</f>
        <v>4.3439932247858222</v>
      </c>
      <c r="M137" s="172">
        <f ca="1">(VLOOKUP(M$72,INDIRECT($C$5&amp;"生成成长"),2))/((VLOOKUP($B137,INDIRECT($B$5&amp;"生成成长"),4))/(VLOOKUP(M$72,INDIRECT($C$5&amp;"生成成长"),5))*(VLOOKUP($B$5,标准坦克设计!$B$24:$U$30,MATCH("对"&amp;LEFT($C$5,2)&amp;"输出",标准坦克设计!$B$23:$U$23,0)))*(VLOOKUP($B137,INDIRECT($B$5&amp;"生成成长"),3))*(VLOOKUP($B$5,标准坦克设计!$B$14:$K$20,9)/30))</f>
        <v>4.8263065704158032</v>
      </c>
      <c r="N137" s="172">
        <f ca="1">(VLOOKUP(N$72,INDIRECT($C$5&amp;"生成成长"),2))/((VLOOKUP($B137,INDIRECT($B$5&amp;"生成成长"),4))/(VLOOKUP(N$72,INDIRECT($C$5&amp;"生成成长"),5))*(VLOOKUP($B$5,标准坦克设计!$B$24:$U$30,MATCH("对"&amp;LEFT($C$5,2)&amp;"输出",标准坦克设计!$B$23:$U$23,0)))*(VLOOKUP($B137,INDIRECT($B$5&amp;"生成成长"),3))*(VLOOKUP($B$5,标准坦克设计!$B$14:$K$20,9)/30))</f>
        <v>5.3340048289736783</v>
      </c>
      <c r="O137" s="172">
        <f ca="1">(VLOOKUP(O$72,INDIRECT($C$5&amp;"生成成长"),2))/((VLOOKUP($B137,INDIRECT($B$5&amp;"生成成长"),4))/(VLOOKUP(O$72,INDIRECT($C$5&amp;"生成成长"),5))*(VLOOKUP($B$5,标准坦克设计!$B$24:$U$30,MATCH("对"&amp;LEFT($C$5,2)&amp;"输出",标准坦克设计!$B$23:$U$23,0)))*(VLOOKUP($B137,INDIRECT($B$5&amp;"生成成长"),3))*(VLOOKUP($B$5,标准坦克设计!$B$14:$K$20,9)/30))</f>
        <v>4.0554381598632796</v>
      </c>
      <c r="P137" s="172">
        <f ca="1">(VLOOKUP(P$72,INDIRECT($C$5&amp;"生成成长"),2))/((VLOOKUP($B137,INDIRECT($B$5&amp;"生成成长"),4))/(VLOOKUP(P$72,INDIRECT($C$5&amp;"生成成长"),5))*(VLOOKUP($B$5,标准坦克设计!$B$24:$U$30,MATCH("对"&amp;LEFT($C$5,2)&amp;"输出",标准坦克设计!$B$23:$U$23,0)))*(VLOOKUP($B137,INDIRECT($B$5&amp;"生成成长"),3))*(VLOOKUP($B$5,标准坦克设计!$B$14:$K$20,9)/30))</f>
        <v>4.5819767834848255</v>
      </c>
      <c r="Q137" s="172">
        <f ca="1">(VLOOKUP(Q$72,INDIRECT($C$5&amp;"生成成长"),2))/((VLOOKUP($B137,INDIRECT($B$5&amp;"生成成长"),4))/(VLOOKUP(Q$72,INDIRECT($C$5&amp;"生成成长"),5))*(VLOOKUP($B$5,标准坦克设计!$B$24:$U$30,MATCH("对"&amp;LEFT($C$5,2)&amp;"输出",标准坦克设计!$B$23:$U$23,0)))*(VLOOKUP($B137,INDIRECT($B$5&amp;"生成成长"),3))*(VLOOKUP($B$5,标准坦克设计!$B$14:$K$20,9)/30))</f>
        <v>5.1406431875307383</v>
      </c>
      <c r="R137" s="172">
        <f ca="1">(VLOOKUP(R$72,INDIRECT($C$5&amp;"生成成长"),2))/((VLOOKUP($B137,INDIRECT($B$5&amp;"生成成长"),4))/(VLOOKUP(R$72,INDIRECT($C$5&amp;"生成成长"),5))*(VLOOKUP($B$5,标准坦克设计!$B$24:$U$30,MATCH("对"&amp;LEFT($C$5,2)&amp;"输出",标准坦克设计!$B$23:$U$23,0)))*(VLOOKUP($B137,INDIRECT($B$5&amp;"生成成长"),3))*(VLOOKUP($B$5,标准坦克设计!$B$14:$K$20,9)/30))</f>
        <v>5.7314373720010154</v>
      </c>
      <c r="S137" s="172">
        <f ca="1">(VLOOKUP(S$72,INDIRECT($C$5&amp;"生成成长"),2))/((VLOOKUP($B137,INDIRECT($B$5&amp;"生成成长"),4))/(VLOOKUP(S$72,INDIRECT($C$5&amp;"生成成长"),5))*(VLOOKUP($B$5,标准坦克设计!$B$24:$U$30,MATCH("对"&amp;LEFT($C$5,2)&amp;"输出",标准坦克设计!$B$23:$U$23,0)))*(VLOOKUP($B137,INDIRECT($B$5&amp;"生成成长"),3))*(VLOOKUP($B$5,标准坦克设计!$B$14:$K$20,9)/30))</f>
        <v>6.3543593368956603</v>
      </c>
      <c r="T137" s="172">
        <f ca="1">(VLOOKUP(T$72,INDIRECT($C$5&amp;"生成成长"),2))/((VLOOKUP($B137,INDIRECT($B$5&amp;"生成成长"),4))/(VLOOKUP(T$72,INDIRECT($C$5&amp;"生成成长"),5))*(VLOOKUP($B$5,标准坦克设计!$B$24:$U$30,MATCH("对"&amp;LEFT($C$5,2)&amp;"输出",标准坦克设计!$B$23:$U$23,0)))*(VLOOKUP($B137,INDIRECT($B$5&amp;"生成成长"),3))*(VLOOKUP($B$5,标准坦克设计!$B$14:$K$20,9)/30))</f>
        <v>7.0094090822146686</v>
      </c>
      <c r="U137" s="172">
        <f ca="1">(VLOOKUP(U$72,INDIRECT($C$5&amp;"生成成长"),2))/((VLOOKUP($B137,INDIRECT($B$5&amp;"生成成长"),4))/(VLOOKUP(U$72,INDIRECT($C$5&amp;"生成成长"),5))*(VLOOKUP($B$5,标准坦克设计!$B$24:$U$30,MATCH("对"&amp;LEFT($C$5,2)&amp;"输出",标准坦克设计!$B$23:$U$23,0)))*(VLOOKUP($B137,INDIRECT($B$5&amp;"生成成长"),3))*(VLOOKUP($B$5,标准坦克设计!$B$14:$K$20,9)/30))</f>
        <v>7.6965866079580421</v>
      </c>
      <c r="V137" s="172">
        <f ca="1">(VLOOKUP(V$72,INDIRECT($C$5&amp;"生成成长"),2))/((VLOOKUP($B137,INDIRECT($B$5&amp;"生成成长"),4))/(VLOOKUP(V$72,INDIRECT($C$5&amp;"生成成长"),5))*(VLOOKUP($B$5,标准坦克设计!$B$24:$U$30,MATCH("对"&amp;LEFT($C$5,2)&amp;"输出",标准坦克设计!$B$23:$U$23,0)))*(VLOOKUP($B137,INDIRECT($B$5&amp;"生成成长"),3))*(VLOOKUP($B$5,标准坦克设计!$B$14:$K$20,9)/30))</f>
        <v>8.4158919141257833</v>
      </c>
      <c r="W137" s="172">
        <f ca="1">(VLOOKUP(W$72,INDIRECT($C$5&amp;"生成成长"),2))/((VLOOKUP($B137,INDIRECT($B$5&amp;"生成成长"),4))/(VLOOKUP(W$72,INDIRECT($C$5&amp;"生成成长"),5))*(VLOOKUP($B$5,标准坦克设计!$B$24:$U$30,MATCH("对"&amp;LEFT($C$5,2)&amp;"输出",标准坦克设计!$B$23:$U$23,0)))*(VLOOKUP($B137,INDIRECT($B$5&amp;"生成成长"),3))*(VLOOKUP($B$5,标准坦克设计!$B$14:$K$20,9)/30))</f>
        <v>9.1673250007178879</v>
      </c>
      <c r="X137" s="172">
        <f ca="1">(VLOOKUP(X$72,INDIRECT($C$5&amp;"生成成长"),2))/((VLOOKUP($B137,INDIRECT($B$5&amp;"生成成长"),4))/(VLOOKUP(X$72,INDIRECT($C$5&amp;"生成成长"),5))*(VLOOKUP($B$5,标准坦克设计!$B$24:$U$30,MATCH("对"&amp;LEFT($C$5,2)&amp;"输出",标准坦克设计!$B$23:$U$23,0)))*(VLOOKUP($B137,INDIRECT($B$5&amp;"生成成长"),3))*(VLOOKUP($B$5,标准坦克设计!$B$14:$K$20,9)/30))</f>
        <v>6.6415261643924577</v>
      </c>
      <c r="Y137" s="172">
        <f ca="1">(VLOOKUP(Y$72,INDIRECT($C$5&amp;"生成成长"),2))/((VLOOKUP($B137,INDIRECT($B$5&amp;"生成成长"),4))/(VLOOKUP(Y$72,INDIRECT($C$5&amp;"生成成长"),5))*(VLOOKUP($B$5,标准坦克设计!$B$24:$U$30,MATCH("对"&amp;LEFT($C$5,2)&amp;"输出",标准坦克设计!$B$23:$U$23,0)))*(VLOOKUP($B137,INDIRECT($B$5&amp;"生成成长"),3))*(VLOOKUP($B$5,标准坦克设计!$B$14:$K$20,9)/30))</f>
        <v>7.387207981649337</v>
      </c>
      <c r="Z137" s="172">
        <f ca="1">(VLOOKUP(Z$72,INDIRECT($C$5&amp;"生成成长"),2))/((VLOOKUP($B137,INDIRECT($B$5&amp;"生成成长"),4))/(VLOOKUP(Z$72,INDIRECT($C$5&amp;"生成成长"),5))*(VLOOKUP($B$5,标准坦克设计!$B$24:$U$30,MATCH("对"&amp;LEFT($C$5,2)&amp;"输出",标准坦克设计!$B$23:$U$23,0)))*(VLOOKUP($B137,INDIRECT($B$5&amp;"生成成长"),3))*(VLOOKUP($B$5,标准坦克设计!$B$14:$K$20,9)/30))</f>
        <v>8.1725537253560514</v>
      </c>
      <c r="AA137" s="172">
        <f ca="1">(VLOOKUP(AA$72,INDIRECT($C$5&amp;"生成成长"),2))/((VLOOKUP($B137,INDIRECT($B$5&amp;"生成成长"),4))/(VLOOKUP(AA$72,INDIRECT($C$5&amp;"生成成长"),5))*(VLOOKUP($B$5,标准坦克设计!$B$24:$U$30,MATCH("对"&amp;LEFT($C$5,2)&amp;"输出",标准坦克设计!$B$23:$U$23,0)))*(VLOOKUP($B137,INDIRECT($B$5&amp;"生成成长"),3))*(VLOOKUP($B$5,标准坦克设计!$B$14:$K$20,9)/30))</f>
        <v>8.9975633955126</v>
      </c>
      <c r="AB137" s="172">
        <f ca="1">(VLOOKUP(AB$72,INDIRECT($C$5&amp;"生成成长"),2))/((VLOOKUP($B137,INDIRECT($B$5&amp;"生成成长"),4))/(VLOOKUP(AB$72,INDIRECT($C$5&amp;"生成成长"),5))*(VLOOKUP($B$5,标准坦克设计!$B$24:$U$30,MATCH("对"&amp;LEFT($C$5,2)&amp;"输出",标准坦克设计!$B$23:$U$23,0)))*(VLOOKUP($B137,INDIRECT($B$5&amp;"生成成长"),3))*(VLOOKUP($B$5,标准坦克设计!$B$14:$K$20,9)/30))</f>
        <v>9.8622369921189783</v>
      </c>
      <c r="AC137" s="172">
        <f ca="1">(VLOOKUP(AC$72,INDIRECT($C$5&amp;"生成成长"),2))/((VLOOKUP($B137,INDIRECT($B$5&amp;"生成成长"),4))/(VLOOKUP(AC$72,INDIRECT($C$5&amp;"生成成长"),5))*(VLOOKUP($B$5,标准坦克设计!$B$24:$U$30,MATCH("对"&amp;LEFT($C$5,2)&amp;"输出",标准坦克设计!$B$23:$U$23,0)))*(VLOOKUP($B137,INDIRECT($B$5&amp;"生成成长"),3))*(VLOOKUP($B$5,标准坦克设计!$B$14:$K$20,9)/30))</f>
        <v>10.766574515175193</v>
      </c>
      <c r="AD137" s="172">
        <f ca="1">(VLOOKUP(AD$72,INDIRECT($C$5&amp;"生成成长"),2))/((VLOOKUP($B137,INDIRECT($B$5&amp;"生成成长"),4))/(VLOOKUP(AD$72,INDIRECT($C$5&amp;"生成成长"),5))*(VLOOKUP($B$5,标准坦克设计!$B$24:$U$30,MATCH("对"&amp;LEFT($C$5,2)&amp;"输出",标准坦克设计!$B$23:$U$23,0)))*(VLOOKUP($B137,INDIRECT($B$5&amp;"生成成长"),3))*(VLOOKUP($B$5,标准坦克设计!$B$14:$K$20,9)/30))</f>
        <v>11.710575964681246</v>
      </c>
      <c r="AE137" s="172">
        <f ca="1">(VLOOKUP(AE$72,INDIRECT($C$5&amp;"生成成长"),2))/((VLOOKUP($B137,INDIRECT($B$5&amp;"生成成长"),4))/(VLOOKUP(AE$72,INDIRECT($C$5&amp;"生成成长"),5))*(VLOOKUP($B$5,标准坦克设计!$B$24:$U$30,MATCH("对"&amp;LEFT($C$5,2)&amp;"输出",标准坦克设计!$B$23:$U$23,0)))*(VLOOKUP($B137,INDIRECT($B$5&amp;"生成成长"),3))*(VLOOKUP($B$5,标准坦克设计!$B$14:$K$20,9)/30))</f>
        <v>12.694241340637131</v>
      </c>
      <c r="AF137" s="172">
        <f ca="1">(VLOOKUP(AF$72,INDIRECT($C$5&amp;"生成成长"),2))/((VLOOKUP($B137,INDIRECT($B$5&amp;"生成成长"),4))/(VLOOKUP(AF$72,INDIRECT($C$5&amp;"生成成长"),5))*(VLOOKUP($B$5,标准坦克设计!$B$24:$U$30,MATCH("对"&amp;LEFT($C$5,2)&amp;"输出",标准坦克设计!$B$23:$U$23,0)))*(VLOOKUP($B137,INDIRECT($B$5&amp;"生成成长"),3))*(VLOOKUP($B$5,标准坦克设计!$B$14:$K$20,9)/30))</f>
        <v>13.717570643042846</v>
      </c>
      <c r="AG137" s="172">
        <f ca="1">(VLOOKUP(AG$72,INDIRECT($C$5&amp;"生成成长"),2))/((VLOOKUP($B137,INDIRECT($B$5&amp;"生成成长"),4))/(VLOOKUP(AG$72,INDIRECT($C$5&amp;"生成成长"),5))*(VLOOKUP($B$5,标准坦克设计!$B$24:$U$30,MATCH("对"&amp;LEFT($C$5,2)&amp;"输出",标准坦克设计!$B$23:$U$23,0)))*(VLOOKUP($B137,INDIRECT($B$5&amp;"生成成长"),3))*(VLOOKUP($B$5,标准坦克设计!$B$14:$K$20,9)/30))</f>
        <v>14.780563871898401</v>
      </c>
      <c r="AH137" s="172">
        <f ca="1">(VLOOKUP(AH$72,INDIRECT($C$5&amp;"生成成长"),2))/((VLOOKUP($B137,INDIRECT($B$5&amp;"生成成长"),4))/(VLOOKUP(AH$72,INDIRECT($C$5&amp;"生成成长"),5))*(VLOOKUP($B$5,标准坦克设计!$B$24:$U$30,MATCH("对"&amp;LEFT($C$5,2)&amp;"输出",标准坦克设计!$B$23:$U$23,0)))*(VLOOKUP($B137,INDIRECT($B$5&amp;"生成成长"),3))*(VLOOKUP($B$5,标准坦克设计!$B$14:$K$20,9)/30))</f>
        <v>15.883221027203781</v>
      </c>
      <c r="AI137" s="172">
        <f ca="1">(VLOOKUP(AI$72,INDIRECT($C$5&amp;"生成成长"),2))/((VLOOKUP($B137,INDIRECT($B$5&amp;"生成成长"),4))/(VLOOKUP(AI$72,INDIRECT($C$5&amp;"生成成长"),5))*(VLOOKUP($B$5,标准坦克设计!$B$24:$U$30,MATCH("对"&amp;LEFT($C$5,2)&amp;"输出",标准坦克设计!$B$23:$U$23,0)))*(VLOOKUP($B137,INDIRECT($B$5&amp;"生成成长"),3))*(VLOOKUP($B$5,标准坦克设计!$B$14:$K$20,9)/30))</f>
        <v>11.233617249121991</v>
      </c>
      <c r="AJ137" s="172">
        <f ca="1">(VLOOKUP(AJ$72,INDIRECT($C$5&amp;"生成成长"),2))/((VLOOKUP($B137,INDIRECT($B$5&amp;"生成成长"),4))/(VLOOKUP(AJ$72,INDIRECT($C$5&amp;"生成成长"),5))*(VLOOKUP($B$5,标准坦克设计!$B$24:$U$30,MATCH("对"&amp;LEFT($C$5,2)&amp;"输出",标准坦克设计!$B$23:$U$23,0)))*(VLOOKUP($B137,INDIRECT($B$5&amp;"生成成长"),3))*(VLOOKUP($B$5,标准坦克设计!$B$14:$K$20,9)/30))</f>
        <v>12.296015519080795</v>
      </c>
      <c r="AK137" s="172">
        <f ca="1">(VLOOKUP(AK$72,INDIRECT($C$5&amp;"生成成长"),2))/((VLOOKUP($B137,INDIRECT($B$5&amp;"生成成长"),4))/(VLOOKUP(AK$72,INDIRECT($C$5&amp;"生成成长"),5))*(VLOOKUP($B$5,标准坦克设计!$B$24:$U$30,MATCH("对"&amp;LEFT($C$5,2)&amp;"输出",标准坦克设计!$B$23:$U$23,0)))*(VLOOKUP($B137,INDIRECT($B$5&amp;"生成成长"),3))*(VLOOKUP($B$5,标准坦克设计!$B$14:$K$20,9)/30))</f>
        <v>13.4064071400439</v>
      </c>
      <c r="AL137" s="172">
        <f ca="1">(VLOOKUP(AL$72,INDIRECT($C$5&amp;"生成成长"),2))/((VLOOKUP($B137,INDIRECT($B$5&amp;"生成成长"),4))/(VLOOKUP(AL$72,INDIRECT($C$5&amp;"生成成长"),5))*(VLOOKUP($B$5,标准坦克设计!$B$24:$U$30,MATCH("对"&amp;LEFT($C$5,2)&amp;"输出",标准坦克设计!$B$23:$U$23,0)))*(VLOOKUP($B137,INDIRECT($B$5&amp;"生成成长"),3))*(VLOOKUP($B$5,标准坦克设计!$B$14:$K$20,9)/30))</f>
        <v>14.5647921120113</v>
      </c>
      <c r="AM137" s="172">
        <f ca="1">(VLOOKUP(AM$72,INDIRECT($C$5&amp;"生成成长"),2))/((VLOOKUP($B137,INDIRECT($B$5&amp;"生成成长"),4))/(VLOOKUP(AM$72,INDIRECT($C$5&amp;"生成成长"),5))*(VLOOKUP($B$5,标准坦克设计!$B$24:$U$30,MATCH("对"&amp;LEFT($C$5,2)&amp;"输出",标准坦克设计!$B$23:$U$23,0)))*(VLOOKUP($B137,INDIRECT($B$5&amp;"生成成长"),3))*(VLOOKUP($B$5,标准坦克设计!$B$14:$K$20,9)/30))</f>
        <v>15.771170434983004</v>
      </c>
      <c r="AN137" s="172">
        <f ca="1">(VLOOKUP(AN$72,INDIRECT($C$5&amp;"生成成长"),2))/((VLOOKUP($B137,INDIRECT($B$5&amp;"生成成长"),4))/(VLOOKUP(AN$72,INDIRECT($C$5&amp;"生成成长"),5))*(VLOOKUP($B$5,标准坦克设计!$B$24:$U$30,MATCH("对"&amp;LEFT($C$5,2)&amp;"输出",标准坦克设计!$B$23:$U$23,0)))*(VLOOKUP($B137,INDIRECT($B$5&amp;"生成成长"),3))*(VLOOKUP($B$5,标准坦克设计!$B$14:$K$20,9)/30))</f>
        <v>17.025542108959005</v>
      </c>
      <c r="AO137" s="172">
        <f ca="1">(VLOOKUP(AO$72,INDIRECT($C$5&amp;"生成成长"),2))/((VLOOKUP($B137,INDIRECT($B$5&amp;"生成成长"),4))/(VLOOKUP(AO$72,INDIRECT($C$5&amp;"生成成长"),5))*(VLOOKUP($B$5,标准坦克设计!$B$24:$U$30,MATCH("对"&amp;LEFT($C$5,2)&amp;"输出",标准坦克设计!$B$23:$U$23,0)))*(VLOOKUP($B137,INDIRECT($B$5&amp;"生成成长"),3))*(VLOOKUP($B$5,标准坦克设计!$B$14:$K$20,9)/30))</f>
        <v>18.327907133939302</v>
      </c>
      <c r="AP137" s="172">
        <f ca="1">(VLOOKUP(AP$72,INDIRECT($C$5&amp;"生成成长"),2))/((VLOOKUP($B137,INDIRECT($B$5&amp;"生成成长"),4))/(VLOOKUP(AP$72,INDIRECT($C$5&amp;"生成成长"),5))*(VLOOKUP($B$5,标准坦克设计!$B$24:$U$30,MATCH("对"&amp;LEFT($C$5,2)&amp;"输出",标准坦克设计!$B$23:$U$23,0)))*(VLOOKUP($B137,INDIRECT($B$5&amp;"生成成长"),3))*(VLOOKUP($B$5,标准坦克设计!$B$14:$K$20,9)/30))</f>
        <v>19.678265509923904</v>
      </c>
      <c r="AQ137" s="172">
        <f ca="1">(VLOOKUP(AQ$72,INDIRECT($C$5&amp;"生成成长"),2))/((VLOOKUP($B137,INDIRECT($B$5&amp;"生成成长"),4))/(VLOOKUP(AQ$72,INDIRECT($C$5&amp;"生成成长"),5))*(VLOOKUP($B$5,标准坦克设计!$B$24:$U$30,MATCH("对"&amp;LEFT($C$5,2)&amp;"输出",标准坦克设计!$B$23:$U$23,0)))*(VLOOKUP($B137,INDIRECT($B$5&amp;"生成成长"),3))*(VLOOKUP($B$5,标准坦克设计!$B$14:$K$20,9)/30))</f>
        <v>21.076617236912803</v>
      </c>
      <c r="AR137" s="172">
        <f ca="1">(VLOOKUP(AR$72,INDIRECT($C$5&amp;"生成成长"),2))/((VLOOKUP($B137,INDIRECT($B$5&amp;"生成成长"),4))/(VLOOKUP(AR$72,INDIRECT($C$5&amp;"生成成长"),5))*(VLOOKUP($B$5,标准坦克设计!$B$24:$U$30,MATCH("对"&amp;LEFT($C$5,2)&amp;"输出",标准坦克设计!$B$23:$U$23,0)))*(VLOOKUP($B137,INDIRECT($B$5&amp;"生成成长"),3))*(VLOOKUP($B$5,标准坦克设计!$B$14:$K$20,9)/30))</f>
        <v>22.522962314906</v>
      </c>
      <c r="AS137" s="172">
        <f ca="1">(VLOOKUP(AS$72,INDIRECT($C$5&amp;"生成成长"),2))/((VLOOKUP($B137,INDIRECT($B$5&amp;"生成成长"),4))/(VLOOKUP(AS$72,INDIRECT($C$5&amp;"生成成长"),5))*(VLOOKUP($B$5,标准坦克设计!$B$24:$U$30,MATCH("对"&amp;LEFT($C$5,2)&amp;"输出",标准坦克设计!$B$23:$U$23,0)))*(VLOOKUP($B137,INDIRECT($B$5&amp;"生成成长"),3))*(VLOOKUP($B$5,标准坦克设计!$B$14:$K$20,9)/30))</f>
        <v>24.017300743903498</v>
      </c>
      <c r="AT137" s="172">
        <f ca="1">(VLOOKUP(AT$72,INDIRECT($C$5&amp;"生成成长"),2))/((VLOOKUP($B137,INDIRECT($B$5&amp;"生成成长"),4))/(VLOOKUP(AT$72,INDIRECT($C$5&amp;"生成成长"),5))*(VLOOKUP($B$5,标准坦克设计!$B$24:$U$30,MATCH("对"&amp;LEFT($C$5,2)&amp;"输出",标准坦克设计!$B$23:$U$23,0)))*(VLOOKUP($B137,INDIRECT($B$5&amp;"生成成长"),3))*(VLOOKUP($B$5,标准坦克设计!$B$14:$K$20,9)/30))</f>
        <v>25.559632523905293</v>
      </c>
      <c r="AU137" s="172">
        <f ca="1">(VLOOKUP(AU$72,INDIRECT($C$5&amp;"生成成长"),2))/((VLOOKUP($B137,INDIRECT($B$5&amp;"生成成长"),4))/(VLOOKUP(AU$72,INDIRECT($C$5&amp;"生成成长"),5))*(VLOOKUP($B$5,标准坦克设计!$B$24:$U$30,MATCH("对"&amp;LEFT($C$5,2)&amp;"输出",标准坦克设计!$B$23:$U$23,0)))*(VLOOKUP($B137,INDIRECT($B$5&amp;"生成成长"),3))*(VLOOKUP($B$5,标准坦克设计!$B$14:$K$20,9)/30))</f>
        <v>27.149957654911386</v>
      </c>
      <c r="AV137" s="172">
        <f ca="1">(VLOOKUP(AV$72,INDIRECT($C$5&amp;"生成成长"),2))/((VLOOKUP($B137,INDIRECT($B$5&amp;"生成成长"),4))/(VLOOKUP(AV$72,INDIRECT($C$5&amp;"生成成长"),5))*(VLOOKUP($B$5,标准坦克设计!$B$24:$U$30,MATCH("对"&amp;LEFT($C$5,2)&amp;"输出",标准坦克设计!$B$23:$U$23,0)))*(VLOOKUP($B137,INDIRECT($B$5&amp;"生成成长"),3))*(VLOOKUP($B$5,标准坦克设计!$B$14:$K$20,9)/30))</f>
        <v>2.7614025594374443</v>
      </c>
      <c r="AW137" s="172">
        <f ca="1">(VLOOKUP(AW$72,INDIRECT($C$5&amp;"生成成长"),2))/((VLOOKUP($B137,INDIRECT($B$5&amp;"生成成长"),4))/(VLOOKUP(AW$72,INDIRECT($C$5&amp;"生成成长"),5))*(VLOOKUP($B$5,标准坦克设计!$B$24:$U$30,MATCH("对"&amp;LEFT($C$5,2)&amp;"输出",标准坦克设计!$B$23:$U$23,0)))*(VLOOKUP($B137,INDIRECT($B$5&amp;"生成成长"),3))*(VLOOKUP($B$5,标准坦克设计!$B$14:$K$20,9)/30))</f>
        <v>3.1485224815878237</v>
      </c>
      <c r="AX137" s="172">
        <f ca="1">(VLOOKUP(AX$72,INDIRECT($C$5&amp;"生成成长"),2))/((VLOOKUP($B137,INDIRECT($B$5&amp;"生成成长"),4))/(VLOOKUP(AX$72,INDIRECT($C$5&amp;"生成成长"),5))*(VLOOKUP($B$5,标准坦克设计!$B$24:$U$30,MATCH("对"&amp;LEFT($C$5,2)&amp;"输出",标准坦克设计!$B$23:$U$23,0)))*(VLOOKUP($B137,INDIRECT($B$5&amp;"生成成长"),3))*(VLOOKUP($B$5,标准坦克设计!$B$14:$K$20,9)/30))</f>
        <v>3.5610273166660984</v>
      </c>
      <c r="AY137" s="172">
        <f ca="1">(VLOOKUP(AY$72,INDIRECT($C$5&amp;"生成成长"),2))/((VLOOKUP($B137,INDIRECT($B$5&amp;"生成成长"),4))/(VLOOKUP(AY$72,INDIRECT($C$5&amp;"生成成长"),5))*(VLOOKUP($B$5,标准坦克设计!$B$24:$U$30,MATCH("对"&amp;LEFT($C$5,2)&amp;"输出",标准坦克设计!$B$23:$U$23,0)))*(VLOOKUP($B137,INDIRECT($B$5&amp;"生成成长"),3))*(VLOOKUP($B$5,标准坦克设计!$B$14:$K$20,9)/30))</f>
        <v>3.9989170646722663</v>
      </c>
      <c r="AZ137" s="172">
        <f ca="1">(VLOOKUP(AZ$72,INDIRECT($C$5&amp;"生成成长"),2))/((VLOOKUP($B137,INDIRECT($B$5&amp;"生成成长"),4))/(VLOOKUP(AZ$72,INDIRECT($C$5&amp;"生成成长"),5))*(VLOOKUP($B$5,标准坦克设计!$B$24:$U$30,MATCH("对"&amp;LEFT($C$5,2)&amp;"输出",标准坦克设计!$B$23:$U$23,0)))*(VLOOKUP($B137,INDIRECT($B$5&amp;"生成成长"),3))*(VLOOKUP($B$5,标准坦克设计!$B$14:$K$20,9)/30))</f>
        <v>4.4621917256063268</v>
      </c>
      <c r="BA137" s="172">
        <f ca="1">(VLOOKUP(BA$72,INDIRECT($C$5&amp;"生成成长"),2))/((VLOOKUP($B137,INDIRECT($B$5&amp;"生成成长"),4))/(VLOOKUP(BA$72,INDIRECT($C$5&amp;"生成成长"),5))*(VLOOKUP($B$5,标准坦克设计!$B$24:$U$30,MATCH("对"&amp;LEFT($C$5,2)&amp;"输出",标准坦克设计!$B$23:$U$23,0)))*(VLOOKUP($B137,INDIRECT($B$5&amp;"生成成长"),3))*(VLOOKUP($B$5,标准坦克设计!$B$14:$K$20,9)/30))</f>
        <v>4.9508512994682823</v>
      </c>
      <c r="BB137" s="172">
        <f ca="1">(VLOOKUP(BB$72,INDIRECT($C$5&amp;"生成成长"),2))/((VLOOKUP($B137,INDIRECT($B$5&amp;"生成成长"),4))/(VLOOKUP(BB$72,INDIRECT($C$5&amp;"生成成长"),5))*(VLOOKUP($B$5,标准坦克设计!$B$24:$U$30,MATCH("对"&amp;LEFT($C$5,2)&amp;"输出",标准坦克设计!$B$23:$U$23,0)))*(VLOOKUP($B137,INDIRECT($B$5&amp;"生成成长"),3))*(VLOOKUP($B$5,标准坦克设计!$B$14:$K$20,9)/30))</f>
        <v>5.4648957862581318</v>
      </c>
      <c r="BC137" s="172">
        <f ca="1">(VLOOKUP(BC$72,INDIRECT($C$5&amp;"生成成长"),2))/((VLOOKUP($B137,INDIRECT($B$5&amp;"生成成长"),4))/(VLOOKUP(BC$72,INDIRECT($C$5&amp;"生成成长"),5))*(VLOOKUP($B$5,标准坦克设计!$B$24:$U$30,MATCH("对"&amp;LEFT($C$5,2)&amp;"输出",标准坦克设计!$B$23:$U$23,0)))*(VLOOKUP($B137,INDIRECT($B$5&amp;"生成成长"),3))*(VLOOKUP($B$5,标准坦克设计!$B$14:$K$20,9)/30))</f>
        <v>6.0043251859758744</v>
      </c>
      <c r="BD137" s="172">
        <f ca="1">(VLOOKUP(BD$72,INDIRECT($C$5&amp;"生成成长"),2))/((VLOOKUP($B137,INDIRECT($B$5&amp;"生成成长"),4))/(VLOOKUP(BD$72,INDIRECT($C$5&amp;"生成成长"),5))*(VLOOKUP($B$5,标准坦克设计!$B$24:$U$30,MATCH("对"&amp;LEFT($C$5,2)&amp;"输出",标准坦克设计!$B$23:$U$23,0)))*(VLOOKUP($B137,INDIRECT($B$5&amp;"生成成长"),3))*(VLOOKUP($B$5,标准坦克设计!$B$14:$K$20,9)/30))</f>
        <v>6.6415261643924577</v>
      </c>
      <c r="BE137" s="172">
        <f ca="1">(VLOOKUP(BE$72,INDIRECT($C$5&amp;"生成成长"),2))/((VLOOKUP($B137,INDIRECT($B$5&amp;"生成成长"),4))/(VLOOKUP(BE$72,INDIRECT($C$5&amp;"生成成长"),5))*(VLOOKUP($B$5,标准坦克设计!$B$24:$U$30,MATCH("对"&amp;LEFT($C$5,2)&amp;"输出",标准坦克设计!$B$23:$U$23,0)))*(VLOOKUP($B137,INDIRECT($B$5&amp;"生成成长"),3))*(VLOOKUP($B$5,标准坦克设计!$B$14:$K$20,9)/30))</f>
        <v>7.3108549232334061</v>
      </c>
      <c r="BF137" s="172">
        <f ca="1">(VLOOKUP(BF$72,INDIRECT($C$5&amp;"生成成长"),2))/((VLOOKUP($B137,INDIRECT($B$5&amp;"生成成长"),4))/(VLOOKUP(BF$72,INDIRECT($C$5&amp;"生成成长"),5))*(VLOOKUP($B$5,标准坦克设计!$B$24:$U$30,MATCH("对"&amp;LEFT($C$5,2)&amp;"输出",标准坦克设计!$B$23:$U$23,0)))*(VLOOKUP($B137,INDIRECT($B$5&amp;"生成成长"),3))*(VLOOKUP($B$5,标准坦克设计!$B$14:$K$20,9)/30))</f>
        <v>8.0123114624987206</v>
      </c>
      <c r="BG137" s="172">
        <f ca="1">(VLOOKUP(BG$72,INDIRECT($C$5&amp;"生成成长"),2))/((VLOOKUP($B137,INDIRECT($B$5&amp;"生成成长"),4))/(VLOOKUP(BG$72,INDIRECT($C$5&amp;"生成成长"),5))*(VLOOKUP($B$5,标准坦克设计!$B$24:$U$30,MATCH("对"&amp;LEFT($C$5,2)&amp;"输出",标准坦克设计!$B$23:$U$23,0)))*(VLOOKUP($B137,INDIRECT($B$5&amp;"生成成长"),3))*(VLOOKUP($B$5,标准坦克设计!$B$14:$K$20,9)/30))</f>
        <v>8.7458957821884002</v>
      </c>
      <c r="BH137" s="172">
        <f ca="1">(VLOOKUP(BH$72,INDIRECT($C$5&amp;"生成成长"),2))/((VLOOKUP($B137,INDIRECT($B$5&amp;"生成成长"),4))/(VLOOKUP(BH$72,INDIRECT($C$5&amp;"生成成长"),5))*(VLOOKUP($B$5,标准坦克设计!$B$24:$U$30,MATCH("对"&amp;LEFT($C$5,2)&amp;"输出",标准坦克设计!$B$23:$U$23,0)))*(VLOOKUP($B137,INDIRECT($B$5&amp;"生成成长"),3))*(VLOOKUP($B$5,标准坦克设计!$B$14:$K$20,9)/30))</f>
        <v>4.2273812810233098</v>
      </c>
      <c r="BI137" s="172">
        <f ca="1">(VLOOKUP(BI$72,INDIRECT($C$5&amp;"生成成长"),2))/((VLOOKUP($B137,INDIRECT($B$5&amp;"生成成长"),4))/(VLOOKUP(BI$72,INDIRECT($C$5&amp;"生成成长"),5))*(VLOOKUP($B$5,标准坦克设计!$B$24:$U$30,MATCH("对"&amp;LEFT($C$5,2)&amp;"输出",标准坦克设计!$B$23:$U$23,0)))*(VLOOKUP($B137,INDIRECT($B$5&amp;"生成成长"),3))*(VLOOKUP($B$5,标准坦克设计!$B$14:$K$20,9)/30))</f>
        <v>4.7646291647863119</v>
      </c>
      <c r="BJ137" s="172">
        <f ca="1">(VLOOKUP(BJ$72,INDIRECT($C$5&amp;"生成成长"),2))/((VLOOKUP($B137,INDIRECT($B$5&amp;"生成成长"),4))/(VLOOKUP(BJ$72,INDIRECT($C$5&amp;"生成成长"),5))*(VLOOKUP($B$5,标准坦克设计!$B$24:$U$30,MATCH("对"&amp;LEFT($C$5,2)&amp;"输出",标准坦克设计!$B$23:$U$23,0)))*(VLOOKUP($B137,INDIRECT($B$5&amp;"生成成长"),3))*(VLOOKUP($B$5,标准坦克设计!$B$14:$K$20,9)/30))</f>
        <v>5.3340048289736783</v>
      </c>
      <c r="BK137" s="172">
        <f ca="1">(VLOOKUP(BK$72,INDIRECT($C$5&amp;"生成成长"),2))/((VLOOKUP($B137,INDIRECT($B$5&amp;"生成成长"),4))/(VLOOKUP(BK$72,INDIRECT($C$5&amp;"生成成长"),5))*(VLOOKUP($B$5,标准坦克设计!$B$24:$U$30,MATCH("对"&amp;LEFT($C$5,2)&amp;"输出",标准坦克设计!$B$23:$U$23,0)))*(VLOOKUP($B137,INDIRECT($B$5&amp;"生成成长"),3))*(VLOOKUP($B$5,标准坦克设计!$B$14:$K$20,9)/30))</f>
        <v>5.9355082735854134</v>
      </c>
      <c r="BL137" s="172">
        <f ca="1">(VLOOKUP(BL$72,INDIRECT($C$5&amp;"生成成长"),2))/((VLOOKUP($B137,INDIRECT($B$5&amp;"生成成长"),4))/(VLOOKUP(BL$72,INDIRECT($C$5&amp;"生成成长"),5))*(VLOOKUP($B$5,标准坦克设计!$B$24:$U$30,MATCH("对"&amp;LEFT($C$5,2)&amp;"输出",标准坦克设计!$B$23:$U$23,0)))*(VLOOKUP($B137,INDIRECT($B$5&amp;"生成成长"),3))*(VLOOKUP($B$5,标准坦克设计!$B$14:$K$20,9)/30))</f>
        <v>6.5691394986215101</v>
      </c>
      <c r="BM137" s="172">
        <f ca="1">(VLOOKUP(BM$72,INDIRECT($C$5&amp;"生成成长"),2))/((VLOOKUP($B137,INDIRECT($B$5&amp;"生成成长"),4))/(VLOOKUP(BM$72,INDIRECT($C$5&amp;"生成成长"),5))*(VLOOKUP($B$5,标准坦克设计!$B$24:$U$30,MATCH("对"&amp;LEFT($C$5,2)&amp;"输出",标准坦克设计!$B$23:$U$23,0)))*(VLOOKUP($B137,INDIRECT($B$5&amp;"生成成长"),3))*(VLOOKUP($B$5,标准坦克设计!$B$14:$K$20,9)/30))</f>
        <v>7.2348985040819747</v>
      </c>
      <c r="BN137" s="172">
        <f ca="1">(VLOOKUP(BN$72,INDIRECT($C$5&amp;"生成成长"),2))/((VLOOKUP($B137,INDIRECT($B$5&amp;"生成成长"),4))/(VLOOKUP(BN$72,INDIRECT($C$5&amp;"生成成长"),5))*(VLOOKUP($B$5,标准坦克设计!$B$24:$U$30,MATCH("对"&amp;LEFT($C$5,2)&amp;"输出",标准坦克设计!$B$23:$U$23,0)))*(VLOOKUP($B137,INDIRECT($B$5&amp;"生成成长"),3))*(VLOOKUP($B$5,标准坦克设计!$B$14:$K$20,9)/30))</f>
        <v>7.9327852899668043</v>
      </c>
      <c r="BO137" s="172">
        <f ca="1">(VLOOKUP(BO$72,INDIRECT($C$5&amp;"生成成长"),2))/((VLOOKUP($B137,INDIRECT($B$5&amp;"生成成长"),4))/(VLOOKUP(BO$72,INDIRECT($C$5&amp;"生成成长"),5))*(VLOOKUP($B$5,标准坦克设计!$B$24:$U$30,MATCH("对"&amp;LEFT($C$5,2)&amp;"输出",标准坦克设计!$B$23:$U$23,0)))*(VLOOKUP($B137,INDIRECT($B$5&amp;"生成成长"),3))*(VLOOKUP($B$5,标准坦克设计!$B$14:$K$20,9)/30))</f>
        <v>8.6627998562759991</v>
      </c>
      <c r="BP137" s="172">
        <f ca="1">(VLOOKUP(BP$72,INDIRECT($C$5&amp;"生成成长"),2))/((VLOOKUP($B137,INDIRECT($B$5&amp;"生成成长"),4))/(VLOOKUP(BP$72,INDIRECT($C$5&amp;"生成成长"),5))*(VLOOKUP($B$5,标准坦克设计!$B$24:$U$30,MATCH("对"&amp;LEFT($C$5,2)&amp;"输出",标准坦克设计!$B$23:$U$23,0)))*(VLOOKUP($B137,INDIRECT($B$5&amp;"生成成长"),3))*(VLOOKUP($B$5,标准坦克设计!$B$14:$K$20,9)/30))</f>
        <v>9.4249422030095591</v>
      </c>
      <c r="BQ137" s="172">
        <f ca="1">(VLOOKUP(BQ$72,INDIRECT($C$5&amp;"生成成长"),2))/((VLOOKUP($B137,INDIRECT($B$5&amp;"生成成长"),4))/(VLOOKUP(BQ$72,INDIRECT($C$5&amp;"生成成长"),5))*(VLOOKUP($B$5,标准坦克设计!$B$24:$U$30,MATCH("对"&amp;LEFT($C$5,2)&amp;"输出",标准坦克设计!$B$23:$U$23,0)))*(VLOOKUP($B137,INDIRECT($B$5&amp;"生成成长"),3))*(VLOOKUP($B$5,标准坦克设计!$B$14:$K$20,9)/30))</f>
        <v>10.219212330167487</v>
      </c>
      <c r="BR137" s="172">
        <f ca="1">(VLOOKUP(BR$72,INDIRECT($C$5&amp;"生成成长"),2))/((VLOOKUP($B137,INDIRECT($B$5&amp;"生成成长"),4))/(VLOOKUP(BR$72,INDIRECT($C$5&amp;"生成成长"),5))*(VLOOKUP($B$5,标准坦克设计!$B$24:$U$30,MATCH("对"&amp;LEFT($C$5,2)&amp;"输出",标准坦克设计!$B$23:$U$23,0)))*(VLOOKUP($B137,INDIRECT($B$5&amp;"生成成长"),3))*(VLOOKUP($B$5,标准坦克设计!$B$14:$K$20,9)/30))</f>
        <v>11.139415423803634</v>
      </c>
      <c r="BS137" s="172">
        <f ca="1">(VLOOKUP(BS$72,INDIRECT($C$5&amp;"生成成长"),2))/((VLOOKUP($B137,INDIRECT($B$5&amp;"生成成长"),4))/(VLOOKUP(BS$72,INDIRECT($C$5&amp;"生成成长"),5))*(VLOOKUP($B$5,标准坦克设计!$B$24:$U$30,MATCH("对"&amp;LEFT($C$5,2)&amp;"输出",标准坦克设计!$B$23:$U$23,0)))*(VLOOKUP($B137,INDIRECT($B$5&amp;"生成成长"),3))*(VLOOKUP($B$5,标准坦克设计!$B$14:$K$20,9)/30))</f>
        <v>12.099282443889621</v>
      </c>
      <c r="BT137" s="172">
        <f ca="1">(VLOOKUP(BT$72,INDIRECT($C$5&amp;"生成成长"),2))/((VLOOKUP($B137,INDIRECT($B$5&amp;"生成成长"),4))/(VLOOKUP(BT$72,INDIRECT($C$5&amp;"生成成长"),5))*(VLOOKUP($B$5,标准坦克设计!$B$24:$U$30,MATCH("对"&amp;LEFT($C$5,2)&amp;"输出",标准坦克设计!$B$23:$U$23,0)))*(VLOOKUP($B137,INDIRECT($B$5&amp;"生成成长"),3))*(VLOOKUP($B$5,标准坦克设计!$B$14:$K$20,9)/30))</f>
        <v>13.098813390425436</v>
      </c>
      <c r="BU137" s="172">
        <f ca="1">(VLOOKUP(BU$72,INDIRECT($C$5&amp;"生成成长"),2))/((VLOOKUP($B137,INDIRECT($B$5&amp;"生成成长"),4))/(VLOOKUP(BU$72,INDIRECT($C$5&amp;"生成成长"),5))*(VLOOKUP($B$5,标准坦克设计!$B$24:$U$30,MATCH("对"&amp;LEFT($C$5,2)&amp;"输出",标准坦克设计!$B$23:$U$23,0)))*(VLOOKUP($B137,INDIRECT($B$5&amp;"生成成长"),3))*(VLOOKUP($B$5,标准坦克设计!$B$14:$K$20,9)/30))</f>
        <v>14.138008263411086</v>
      </c>
      <c r="BV137" s="172">
        <f ca="1">(VLOOKUP(BV$72,INDIRECT($C$5&amp;"生成成长"),2))/((VLOOKUP($B137,INDIRECT($B$5&amp;"生成成长"),4))/(VLOOKUP(BV$72,INDIRECT($C$5&amp;"生成成长"),5))*(VLOOKUP($B$5,标准坦克设计!$B$24:$U$30,MATCH("对"&amp;LEFT($C$5,2)&amp;"输出",标准坦克设计!$B$23:$U$23,0)))*(VLOOKUP($B137,INDIRECT($B$5&amp;"生成成长"),3))*(VLOOKUP($B$5,标准坦克设计!$B$14:$K$20,9)/30))</f>
        <v>15.216867062846573</v>
      </c>
      <c r="BW137" s="172">
        <f ca="1">(VLOOKUP(BW$72,INDIRECT($C$5&amp;"生成成长"),2))/((VLOOKUP($B137,INDIRECT($B$5&amp;"生成成长"),4))/(VLOOKUP(BW$72,INDIRECT($C$5&amp;"生成成长"),5))*(VLOOKUP($B$5,标准坦克设计!$B$24:$U$30,MATCH("对"&amp;LEFT($C$5,2)&amp;"输出",标准坦克设计!$B$23:$U$23,0)))*(VLOOKUP($B137,INDIRECT($B$5&amp;"生成成长"),3))*(VLOOKUP($B$5,标准坦克设计!$B$14:$K$20,9)/30))</f>
        <v>6.9350392201212285</v>
      </c>
      <c r="BX137" s="172">
        <f ca="1">(VLOOKUP(BX$72,INDIRECT($C$5&amp;"生成成长"),2))/((VLOOKUP($B137,INDIRECT($B$5&amp;"生成成长"),4))/(VLOOKUP(BX$72,INDIRECT($C$5&amp;"生成成长"),5))*(VLOOKUP($B$5,标准坦克设计!$B$24:$U$30,MATCH("对"&amp;LEFT($C$5,2)&amp;"输出",标准坦克设计!$B$23:$U$23,0)))*(VLOOKUP($B137,INDIRECT($B$5&amp;"生成成长"),3))*(VLOOKUP($B$5,标准坦克设计!$B$14:$K$20,9)/30))</f>
        <v>7.6965866079580421</v>
      </c>
      <c r="BY137" s="172">
        <f ca="1">(VLOOKUP(BY$72,INDIRECT($C$5&amp;"生成成长"),2))/((VLOOKUP($B137,INDIRECT($B$5&amp;"生成成长"),4))/(VLOOKUP(BY$72,INDIRECT($C$5&amp;"生成成长"),5))*(VLOOKUP($B$5,标准坦克设计!$B$24:$U$30,MATCH("对"&amp;LEFT($C$5,2)&amp;"输出",标准坦克设计!$B$23:$U$23,0)))*(VLOOKUP($B137,INDIRECT($B$5&amp;"生成成长"),3))*(VLOOKUP($B$5,标准坦克设计!$B$14:$K$20,9)/30))</f>
        <v>8.497797922244688</v>
      </c>
      <c r="BZ137" s="172">
        <f ca="1">(VLOOKUP(BZ$72,INDIRECT($C$5&amp;"生成成长"),2))/((VLOOKUP($B137,INDIRECT($B$5&amp;"生成成长"),4))/(VLOOKUP(BZ$72,INDIRECT($C$5&amp;"生成成长"),5))*(VLOOKUP($B$5,标准坦克设计!$B$24:$U$30,MATCH("对"&amp;LEFT($C$5,2)&amp;"输出",标准坦克设计!$B$23:$U$23,0)))*(VLOOKUP($B137,INDIRECT($B$5&amp;"生成成长"),3))*(VLOOKUP($B$5,标准坦克设计!$B$14:$K$20,9)/30))</f>
        <v>9.3386731629811699</v>
      </c>
      <c r="CA137" s="172">
        <f ca="1">(VLOOKUP(CA$72,INDIRECT($C$5&amp;"生成成长"),2))/((VLOOKUP($B137,INDIRECT($B$5&amp;"生成成长"),4))/(VLOOKUP(CA$72,INDIRECT($C$5&amp;"生成成长"),5))*(VLOOKUP($B$5,标准坦克设计!$B$24:$U$30,MATCH("对"&amp;LEFT($C$5,2)&amp;"输出",标准坦克设计!$B$23:$U$23,0)))*(VLOOKUP($B137,INDIRECT($B$5&amp;"生成成长"),3))*(VLOOKUP($B$5,标准坦克设计!$B$14:$K$20,9)/30))</f>
        <v>10.219212330167487</v>
      </c>
      <c r="CB137" s="172">
        <f ca="1">(VLOOKUP(CB$72,INDIRECT($C$5&amp;"生成成长"),2))/((VLOOKUP($B137,INDIRECT($B$5&amp;"生成成长"),4))/(VLOOKUP(CB$72,INDIRECT($C$5&amp;"生成成长"),5))*(VLOOKUP($B$5,标准坦克设计!$B$24:$U$30,MATCH("对"&amp;LEFT($C$5,2)&amp;"输出",标准坦克设计!$B$23:$U$23,0)))*(VLOOKUP($B137,INDIRECT($B$5&amp;"生成成长"),3))*(VLOOKUP($B$5,标准坦克设计!$B$14:$K$20,9)/30))</f>
        <v>11.139415423803634</v>
      </c>
      <c r="CC137" s="172">
        <f ca="1">(VLOOKUP(CC$72,INDIRECT($C$5&amp;"生成成长"),2))/((VLOOKUP($B137,INDIRECT($B$5&amp;"生成成长"),4))/(VLOOKUP(CC$72,INDIRECT($C$5&amp;"生成成长"),5))*(VLOOKUP($B$5,标准坦克设计!$B$24:$U$30,MATCH("对"&amp;LEFT($C$5,2)&amp;"输出",标准坦克设计!$B$23:$U$23,0)))*(VLOOKUP($B137,INDIRECT($B$5&amp;"生成成长"),3))*(VLOOKUP($B$5,标准坦克设计!$B$14:$K$20,9)/30))</f>
        <v>12.099282443889621</v>
      </c>
      <c r="CD137" s="172">
        <f ca="1">(VLOOKUP(CD$72,INDIRECT($C$5&amp;"生成成长"),2))/((VLOOKUP($B137,INDIRECT($B$5&amp;"生成成长"),4))/(VLOOKUP(CD$72,INDIRECT($C$5&amp;"生成成长"),5))*(VLOOKUP($B$5,标准坦克设计!$B$24:$U$30,MATCH("对"&amp;LEFT($C$5,2)&amp;"输出",标准坦克设计!$B$23:$U$23,0)))*(VLOOKUP($B137,INDIRECT($B$5&amp;"生成成长"),3))*(VLOOKUP($B$5,标准坦克设计!$B$14:$K$20,9)/30))</f>
        <v>13.098813390425436</v>
      </c>
      <c r="CE137" s="172">
        <f ca="1">(VLOOKUP(CE$72,INDIRECT($C$5&amp;"生成成长"),2))/((VLOOKUP($B137,INDIRECT($B$5&amp;"生成成长"),4))/(VLOOKUP(CE$72,INDIRECT($C$5&amp;"生成成长"),5))*(VLOOKUP($B$5,标准坦克设计!$B$24:$U$30,MATCH("对"&amp;LEFT($C$5,2)&amp;"输出",标准坦克设计!$B$23:$U$23,0)))*(VLOOKUP($B137,INDIRECT($B$5&amp;"生成成长"),3))*(VLOOKUP($B$5,标准坦克设计!$B$14:$K$20,9)/30))</f>
        <v>14.138008263411086</v>
      </c>
      <c r="CF137" s="172">
        <f ca="1">(VLOOKUP(CF$72,INDIRECT($C$5&amp;"生成成长"),2))/((VLOOKUP($B137,INDIRECT($B$5&amp;"生成成长"),4))/(VLOOKUP(CF$72,INDIRECT($C$5&amp;"生成成长"),5))*(VLOOKUP($B$5,标准坦克设计!$B$24:$U$30,MATCH("对"&amp;LEFT($C$5,2)&amp;"输出",标准坦克设计!$B$23:$U$23,0)))*(VLOOKUP($B137,INDIRECT($B$5&amp;"生成成长"),3))*(VLOOKUP($B$5,标准坦克设计!$B$14:$K$20,9)/30))</f>
        <v>15.216867062846573</v>
      </c>
      <c r="CG137" s="172">
        <f ca="1">(VLOOKUP(CG$72,INDIRECT($C$5&amp;"生成成长"),2))/((VLOOKUP($B137,INDIRECT($B$5&amp;"生成成长"),4))/(VLOOKUP(CG$72,INDIRECT($C$5&amp;"生成成长"),5))*(VLOOKUP($B$5,标准坦克设计!$B$24:$U$30,MATCH("对"&amp;LEFT($C$5,2)&amp;"输出",标准坦克设计!$B$23:$U$23,0)))*(VLOOKUP($B137,INDIRECT($B$5&amp;"生成成长"),3))*(VLOOKUP($B$5,标准坦克设计!$B$14:$K$20,9)/30))</f>
        <v>16.335389788731892</v>
      </c>
      <c r="CH137" s="172">
        <f ca="1">(VLOOKUP(CH$72,INDIRECT($C$5&amp;"生成成长"),2))/((VLOOKUP($B137,INDIRECT($B$5&amp;"生成成长"),4))/(VLOOKUP(CH$72,INDIRECT($C$5&amp;"生成成长"),5))*(VLOOKUP($B$5,标准坦克设计!$B$24:$U$30,MATCH("对"&amp;LEFT($C$5,2)&amp;"输出",标准坦克设计!$B$23:$U$23,0)))*(VLOOKUP($B137,INDIRECT($B$5&amp;"生成成长"),3))*(VLOOKUP($B$5,标准坦克设计!$B$14:$K$20,9)/30))</f>
        <v>17.493576441067045</v>
      </c>
      <c r="CI137" s="172">
        <f ca="1">(VLOOKUP(CI$72,INDIRECT($C$5&amp;"生成成长"),2))/((VLOOKUP($B137,INDIRECT($B$5&amp;"生成成长"),4))/(VLOOKUP(CI$72,INDIRECT($C$5&amp;"生成成长"),5))*(VLOOKUP($B$5,标准坦克设计!$B$24:$U$30,MATCH("对"&amp;LEFT($C$5,2)&amp;"输出",标准坦克设计!$B$23:$U$23,0)))*(VLOOKUP($B137,INDIRECT($B$5&amp;"生成成长"),3))*(VLOOKUP($B$5,标准坦克设计!$B$14:$K$20,9)/30))</f>
        <v>18.813393593685273</v>
      </c>
      <c r="CJ137" s="172">
        <f ca="1">(VLOOKUP(CJ$72,INDIRECT($C$5&amp;"生成成长"),2))/((VLOOKUP($B137,INDIRECT($B$5&amp;"生成成长"),4))/(VLOOKUP(CJ$72,INDIRECT($C$5&amp;"生成成长"),5))*(VLOOKUP($B$5,标准坦克设计!$B$24:$U$30,MATCH("对"&amp;LEFT($C$5,2)&amp;"输出",标准坦克设计!$B$23:$U$23,0)))*(VLOOKUP($B137,INDIRECT($B$5&amp;"生成成长"),3))*(VLOOKUP($B$5,标准坦克设计!$B$14:$K$20,9)/30))</f>
        <v>20.181204097307798</v>
      </c>
      <c r="CK137" s="172">
        <f ca="1">(VLOOKUP(CK$72,INDIRECT($C$5&amp;"生成成长"),2))/((VLOOKUP($B137,INDIRECT($B$5&amp;"生成成长"),4))/(VLOOKUP(CK$72,INDIRECT($C$5&amp;"生成成长"),5))*(VLOOKUP($B$5,标准坦克设计!$B$24:$U$30,MATCH("对"&amp;LEFT($C$5,2)&amp;"输出",标准坦克设计!$B$23:$U$23,0)))*(VLOOKUP($B137,INDIRECT($B$5&amp;"生成成长"),3))*(VLOOKUP($B$5,标准坦克设计!$B$14:$K$20,9)/30))</f>
        <v>21.597007951934625</v>
      </c>
      <c r="CL137" s="172">
        <f ca="1">(VLOOKUP(CL$72,INDIRECT($C$5&amp;"生成成长"),2))/((VLOOKUP($B137,INDIRECT($B$5&amp;"生成成长"),4))/(VLOOKUP(CL$72,INDIRECT($C$5&amp;"生成成长"),5))*(VLOOKUP($B$5,标准坦克设计!$B$24:$U$30,MATCH("对"&amp;LEFT($C$5,2)&amp;"输出",标准坦克设计!$B$23:$U$23,0)))*(VLOOKUP($B137,INDIRECT($B$5&amp;"生成成长"),3))*(VLOOKUP($B$5,标准坦克设计!$B$14:$K$20,9)/30))</f>
        <v>23.060805157565746</v>
      </c>
      <c r="CM137" s="172">
        <f ca="1">(VLOOKUP(CM$72,INDIRECT($C$5&amp;"生成成长"),2))/((VLOOKUP($B137,INDIRECT($B$5&amp;"生成成长"),4))/(VLOOKUP(CM$72,INDIRECT($C$5&amp;"生成成长"),5))*(VLOOKUP($B$5,标准坦克设计!$B$24:$U$30,MATCH("对"&amp;LEFT($C$5,2)&amp;"输出",标准坦克设计!$B$23:$U$23,0)))*(VLOOKUP($B137,INDIRECT($B$5&amp;"生成成长"),3))*(VLOOKUP($B$5,标准坦克设计!$B$14:$K$20,9)/30))</f>
        <v>24.572595714201171</v>
      </c>
      <c r="CN137" s="172">
        <f ca="1">(VLOOKUP(CN$72,INDIRECT($C$5&amp;"生成成长"),2))/((VLOOKUP($B137,INDIRECT($B$5&amp;"生成成长"),4))/(VLOOKUP(CN$72,INDIRECT($C$5&amp;"生成成长"),5))*(VLOOKUP($B$5,标准坦克设计!$B$24:$U$30,MATCH("对"&amp;LEFT($C$5,2)&amp;"输出",标准坦克设计!$B$23:$U$23,0)))*(VLOOKUP($B137,INDIRECT($B$5&amp;"生成成长"),3))*(VLOOKUP($B$5,标准坦克设计!$B$14:$K$20,9)/30))</f>
        <v>26.132379621840894</v>
      </c>
      <c r="CO137" s="172">
        <f ca="1">(VLOOKUP(CO$72,INDIRECT($C$5&amp;"生成成长"),2))/((VLOOKUP($B137,INDIRECT($B$5&amp;"生成成长"),4))/(VLOOKUP(CO$72,INDIRECT($C$5&amp;"生成成长"),5))*(VLOOKUP($B$5,标准坦克设计!$B$24:$U$30,MATCH("对"&amp;LEFT($C$5,2)&amp;"输出",标准坦克设计!$B$23:$U$23,0)))*(VLOOKUP($B137,INDIRECT($B$5&amp;"生成成长"),3))*(VLOOKUP($B$5,标准坦克设计!$B$14:$K$20,9)/30))</f>
        <v>11.710575964681246</v>
      </c>
      <c r="CP137" s="172">
        <f ca="1">(VLOOKUP(CP$72,INDIRECT($C$5&amp;"生成成长"),2))/((VLOOKUP($B137,INDIRECT($B$5&amp;"生成成长"),4))/(VLOOKUP(CP$72,INDIRECT($C$5&amp;"生成成长"),5))*(VLOOKUP($B$5,标准坦克设计!$B$24:$U$30,MATCH("对"&amp;LEFT($C$5,2)&amp;"输出",标准坦克设计!$B$23:$U$23,0)))*(VLOOKUP($B137,INDIRECT($B$5&amp;"生成成长"),3))*(VLOOKUP($B$5,标准坦克设计!$B$14:$K$20,9)/30))</f>
        <v>12.794789394187456</v>
      </c>
      <c r="CQ137" s="172">
        <f ca="1">(VLOOKUP(CQ$72,INDIRECT($C$5&amp;"生成成长"),2))/((VLOOKUP($B137,INDIRECT($B$5&amp;"生成成长"),4))/(VLOOKUP(CQ$72,INDIRECT($C$5&amp;"生成成长"),5))*(VLOOKUP($B$5,标准坦克设计!$B$24:$U$30,MATCH("对"&amp;LEFT($C$5,2)&amp;"输出",标准坦克设计!$B$23:$U$23,0)))*(VLOOKUP($B137,INDIRECT($B$5&amp;"生成成长"),3))*(VLOOKUP($B$5,标准坦克设计!$B$14:$K$20,9)/30))</f>
        <v>13.926996174697971</v>
      </c>
      <c r="CR137" s="172">
        <f ca="1">(VLOOKUP(CR$72,INDIRECT($C$5&amp;"生成成长"),2))/((VLOOKUP($B137,INDIRECT($B$5&amp;"生成成长"),4))/(VLOOKUP(CR$72,INDIRECT($C$5&amp;"生成成长"),5))*(VLOOKUP($B$5,标准坦克设计!$B$24:$U$30,MATCH("对"&amp;LEFT($C$5,2)&amp;"输出",标准坦克设计!$B$23:$U$23,0)))*(VLOOKUP($B137,INDIRECT($B$5&amp;"生成成长"),3))*(VLOOKUP($B$5,标准坦克设计!$B$14:$K$20,9)/30))</f>
        <v>15.107196306212783</v>
      </c>
      <c r="CS137" s="172">
        <f ca="1">(VLOOKUP(CS$72,INDIRECT($C$5&amp;"生成成长"),2))/((VLOOKUP($B137,INDIRECT($B$5&amp;"生成成长"),4))/(VLOOKUP(CS$72,INDIRECT($C$5&amp;"生成成长"),5))*(VLOOKUP($B$5,标准坦克设计!$B$24:$U$30,MATCH("对"&amp;LEFT($C$5,2)&amp;"输出",标准坦克设计!$B$23:$U$23,0)))*(VLOOKUP($B137,INDIRECT($B$5&amp;"生成成长"),3))*(VLOOKUP($B$5,标准坦克设计!$B$14:$K$20,9)/30))</f>
        <v>16.335389788731892</v>
      </c>
      <c r="CT137" s="172">
        <f ca="1">(VLOOKUP(CT$72,INDIRECT($C$5&amp;"生成成长"),2))/((VLOOKUP($B137,INDIRECT($B$5&amp;"生成成长"),4))/(VLOOKUP(CT$72,INDIRECT($C$5&amp;"生成成长"),5))*(VLOOKUP($B$5,标准坦克设计!$B$24:$U$30,MATCH("对"&amp;LEFT($C$5,2)&amp;"输出",标准坦克设计!$B$23:$U$23,0)))*(VLOOKUP($B137,INDIRECT($B$5&amp;"生成成长"),3))*(VLOOKUP($B$5,标准坦克设计!$B$14:$K$20,9)/30))</f>
        <v>17.611576622255303</v>
      </c>
      <c r="CU137" s="172">
        <f ca="1">(VLOOKUP(CU$72,INDIRECT($C$5&amp;"生成成长"),2))/((VLOOKUP($B137,INDIRECT($B$5&amp;"生成成长"),4))/(VLOOKUP(CU$72,INDIRECT($C$5&amp;"生成成长"),5))*(VLOOKUP($B$5,标准坦克设计!$B$24:$U$30,MATCH("对"&amp;LEFT($C$5,2)&amp;"输出",标准坦克设计!$B$23:$U$23,0)))*(VLOOKUP($B137,INDIRECT($B$5&amp;"生成成长"),3))*(VLOOKUP($B$5,标准坦克设计!$B$14:$K$20,9)/30))</f>
        <v>18.935756806783008</v>
      </c>
      <c r="CV137" s="172">
        <f ca="1">(VLOOKUP(CV$72,INDIRECT($C$5&amp;"生成成长"),2))/((VLOOKUP($B137,INDIRECT($B$5&amp;"生成成长"),4))/(VLOOKUP(CV$72,INDIRECT($C$5&amp;"生成成长"),5))*(VLOOKUP($B$5,标准坦克设计!$B$24:$U$30,MATCH("对"&amp;LEFT($C$5,2)&amp;"输出",标准坦克设计!$B$23:$U$23,0)))*(VLOOKUP($B137,INDIRECT($B$5&amp;"生成成长"),3))*(VLOOKUP($B$5,标准坦克设计!$B$14:$K$20,9)/30))</f>
        <v>20.307930342315014</v>
      </c>
      <c r="CW137" s="172">
        <f ca="1">(VLOOKUP(CW$72,INDIRECT($C$5&amp;"生成成长"),2))/((VLOOKUP($B137,INDIRECT($B$5&amp;"生成成长"),4))/(VLOOKUP(CW$72,INDIRECT($C$5&amp;"生成成长"),5))*(VLOOKUP($B$5,标准坦克设计!$B$24:$U$30,MATCH("对"&amp;LEFT($C$5,2)&amp;"输出",标准坦克设计!$B$23:$U$23,0)))*(VLOOKUP($B137,INDIRECT($B$5&amp;"生成成长"),3))*(VLOOKUP($B$5,标准坦克设计!$B$14:$K$20,9)/30))</f>
        <v>21.728097228851325</v>
      </c>
      <c r="CX137" s="172">
        <f ca="1">(VLOOKUP(CX$72,INDIRECT($C$5&amp;"生成成长"),2))/((VLOOKUP($B137,INDIRECT($B$5&amp;"生成成长"),4))/(VLOOKUP(CX$72,INDIRECT($C$5&amp;"生成成长"),5))*(VLOOKUP($B$5,标准坦克设计!$B$24:$U$30,MATCH("对"&amp;LEFT($C$5,2)&amp;"输出",标准坦克设计!$B$23:$U$23,0)))*(VLOOKUP($B137,INDIRECT($B$5&amp;"生成成长"),3))*(VLOOKUP($B$5,标准坦克设计!$B$14:$K$20,9)/30))</f>
        <v>23.196257466391927</v>
      </c>
      <c r="CY137" s="172">
        <f ca="1">(VLOOKUP(CY$72,INDIRECT($C$5&amp;"生成成长"),2))/((VLOOKUP($B137,INDIRECT($B$5&amp;"生成成长"),4))/(VLOOKUP(CY$72,INDIRECT($C$5&amp;"生成成长"),5))*(VLOOKUP($B$5,标准坦克设计!$B$24:$U$30,MATCH("对"&amp;LEFT($C$5,2)&amp;"输出",标准坦克设计!$B$23:$U$23,0)))*(VLOOKUP($B137,INDIRECT($B$5&amp;"生成成长"),3))*(VLOOKUP($B$5,标准坦克设计!$B$14:$K$20,9)/30))</f>
        <v>24.712411054936837</v>
      </c>
      <c r="CZ137" s="172">
        <f ca="1">(VLOOKUP(CZ$72,INDIRECT($C$5&amp;"生成成长"),2))/((VLOOKUP($B137,INDIRECT($B$5&amp;"生成成长"),4))/(VLOOKUP(CZ$72,INDIRECT($C$5&amp;"生成成长"),5))*(VLOOKUP($B$5,标准坦克设计!$B$24:$U$30,MATCH("对"&amp;LEFT($C$5,2)&amp;"输出",标准坦克设计!$B$23:$U$23,0)))*(VLOOKUP($B137,INDIRECT($B$5&amp;"生成成长"),3))*(VLOOKUP($B$5,标准坦克设计!$B$14:$K$20,9)/30))</f>
        <v>26.276557994486041</v>
      </c>
      <c r="DA137" s="172">
        <f ca="1">(VLOOKUP(DA$72,INDIRECT($C$5&amp;"生成成长"),2))/((VLOOKUP($B137,INDIRECT($B$5&amp;"生成成长"),4))/(VLOOKUP(DA$72,INDIRECT($C$5&amp;"生成成长"),5))*(VLOOKUP($B$5,标准坦克设计!$B$24:$U$30,MATCH("对"&amp;LEFT($C$5,2)&amp;"输出",标准坦克设计!$B$23:$U$23,0)))*(VLOOKUP($B137,INDIRECT($B$5&amp;"生成成长"),3))*(VLOOKUP($B$5,标准坦克设计!$B$14:$K$20,9)/30))</f>
        <v>27.888698285039546</v>
      </c>
      <c r="DB137" s="172">
        <f ca="1">(VLOOKUP(DB$72,INDIRECT($C$5&amp;"生成成长"),2))/((VLOOKUP($B137,INDIRECT($B$5&amp;"生成成长"),4))/(VLOOKUP(DB$72,INDIRECT($C$5&amp;"生成成长"),5))*(VLOOKUP($B$5,标准坦克设计!$B$24:$U$30,MATCH("对"&amp;LEFT($C$5,2)&amp;"输出",标准坦克设计!$B$23:$U$23,0)))*(VLOOKUP($B137,INDIRECT($B$5&amp;"生成成长"),3))*(VLOOKUP($B$5,标准坦克设计!$B$14:$K$20,9)/30))</f>
        <v>29.548831926597348</v>
      </c>
      <c r="DC137" s="172">
        <f ca="1">(VLOOKUP(DC$72,INDIRECT($C$5&amp;"生成成长"),2))/((VLOOKUP($B137,INDIRECT($B$5&amp;"生成成长"),4))/(VLOOKUP(DC$72,INDIRECT($C$5&amp;"生成成长"),5))*(VLOOKUP($B$5,标准坦克设计!$B$24:$U$30,MATCH("对"&amp;LEFT($C$5,2)&amp;"输出",标准坦克设计!$B$23:$U$23,0)))*(VLOOKUP($B137,INDIRECT($B$5&amp;"生成成长"),3))*(VLOOKUP($B$5,标准坦克设计!$B$14:$K$20,9)/30))</f>
        <v>31.414623026797546</v>
      </c>
      <c r="DD137" s="172">
        <f ca="1">(VLOOKUP(DD$72,INDIRECT($C$5&amp;"生成成长"),2))/((VLOOKUP($B137,INDIRECT($B$5&amp;"生成成长"),4))/(VLOOKUP(DD$72,INDIRECT($C$5&amp;"生成成长"),5))*(VLOOKUP($B$5,标准坦克设计!$B$24:$U$30,MATCH("对"&amp;LEFT($C$5,2)&amp;"输出",标准坦克设计!$B$23:$U$23,0)))*(VLOOKUP($B137,INDIRECT($B$5&amp;"生成成长"),3))*(VLOOKUP($B$5,标准坦克设计!$B$14:$K$20,9)/30))</f>
        <v>33.337530181085498</v>
      </c>
      <c r="DE137" s="172">
        <f ca="1">(VLOOKUP(DE$72,INDIRECT($C$5&amp;"生成成长"),2))/((VLOOKUP($B137,INDIRECT($B$5&amp;"生成成长"),4))/(VLOOKUP(DE$72,INDIRECT($C$5&amp;"生成成长"),5))*(VLOOKUP($B$5,标准坦克设计!$B$24:$U$30,MATCH("对"&amp;LEFT($C$5,2)&amp;"输出",标准坦克设计!$B$23:$U$23,0)))*(VLOOKUP($B137,INDIRECT($B$5&amp;"生成成长"),3))*(VLOOKUP($B$5,标准坦克设计!$B$14:$K$20,9)/30))</f>
        <v>35.31755338946121</v>
      </c>
      <c r="DF137" s="172">
        <f ca="1">(VLOOKUP(DF$72,INDIRECT($C$5&amp;"生成成长"),2))/((VLOOKUP($B137,INDIRECT($B$5&amp;"生成成长"),4))/(VLOOKUP(DF$72,INDIRECT($C$5&amp;"生成成长"),5))*(VLOOKUP($B$5,标准坦克设计!$B$24:$U$30,MATCH("对"&amp;LEFT($C$5,2)&amp;"输出",标准坦克设计!$B$23:$U$23,0)))*(VLOOKUP($B137,INDIRECT($B$5&amp;"生成成长"),3))*(VLOOKUP($B$5,标准坦克设计!$B$14:$K$20,9)/30))</f>
        <v>37.35469265192468</v>
      </c>
      <c r="DG137" s="172">
        <f ca="1">(VLOOKUP(DG$72,INDIRECT($C$5&amp;"生成成长"),2))/((VLOOKUP($B137,INDIRECT($B$5&amp;"生成成长"),4))/(VLOOKUP(DG$72,INDIRECT($C$5&amp;"生成成长"),5))*(VLOOKUP($B$5,标准坦克设计!$B$24:$U$30,MATCH("对"&amp;LEFT($C$5,2)&amp;"输出",标准坦克设计!$B$23:$U$23,0)))*(VLOOKUP($B137,INDIRECT($B$5&amp;"生成成长"),3))*(VLOOKUP($B$5,标准坦克设计!$B$14:$K$20,9)/30))</f>
        <v>39.448947968475913</v>
      </c>
      <c r="DH137" s="172">
        <f ca="1">(VLOOKUP(DH$72,INDIRECT($C$5&amp;"生成成长"),2))/((VLOOKUP($B137,INDIRECT($B$5&amp;"生成成长"),4))/(VLOOKUP(DH$72,INDIRECT($C$5&amp;"生成成长"),5))*(VLOOKUP($B$5,标准坦克设计!$B$24:$U$30,MATCH("对"&amp;LEFT($C$5,2)&amp;"输出",标准坦克设计!$B$23:$U$23,0)))*(VLOOKUP($B137,INDIRECT($B$5&amp;"生成成长"),3))*(VLOOKUP($B$5,标准坦克设计!$B$14:$K$20,9)/30))</f>
        <v>41.600319339114918</v>
      </c>
      <c r="DI137" s="172">
        <f ca="1">(VLOOKUP(DI$72,INDIRECT($C$5&amp;"生成成长"),2))/((VLOOKUP($B137,INDIRECT($B$5&amp;"生成成长"),4))/(VLOOKUP(DI$72,INDIRECT($C$5&amp;"生成成长"),5))*(VLOOKUP($B$5,标准坦克设计!$B$24:$U$30,MATCH("对"&amp;LEFT($C$5,2)&amp;"输出",标准坦克设计!$B$23:$U$23,0)))*(VLOOKUP($B137,INDIRECT($B$5&amp;"生成成长"),3))*(VLOOKUP($B$5,标准坦克设计!$B$14:$K$20,9)/30))</f>
        <v>43.80880676384168</v>
      </c>
      <c r="DJ137" s="172">
        <f ca="1">(VLOOKUP(DJ$72,INDIRECT($C$5&amp;"生成成长"),2))/((VLOOKUP($B137,INDIRECT($B$5&amp;"生成成长"),4))/(VLOOKUP(DJ$72,INDIRECT($C$5&amp;"生成成长"),5))*(VLOOKUP($B$5,标准坦克设计!$B$24:$U$30,MATCH("对"&amp;LEFT($C$5,2)&amp;"输出",标准坦克设计!$B$23:$U$23,0)))*(VLOOKUP($B137,INDIRECT($B$5&amp;"生成成长"),3))*(VLOOKUP($B$5,标准坦克设计!$B$14:$K$20,9)/30))</f>
        <v>4.4028941555638257</v>
      </c>
      <c r="DK137" s="172">
        <f ca="1">(VLOOKUP(DK$72,INDIRECT($C$5&amp;"生成成长"),2))/((VLOOKUP($B137,INDIRECT($B$5&amp;"生成成长"),4))/(VLOOKUP(DK$72,INDIRECT($C$5&amp;"生成成长"),5))*(VLOOKUP($B$5,标准坦克设计!$B$24:$U$30,MATCH("对"&amp;LEFT($C$5,2)&amp;"输出",标准坦克设计!$B$23:$U$23,0)))*(VLOOKUP($B137,INDIRECT($B$5&amp;"生成成长"),3))*(VLOOKUP($B$5,标准坦克设计!$B$14:$K$20,9)/30))</f>
        <v>4.9508512994682823</v>
      </c>
      <c r="DL137" s="172">
        <f ca="1">(VLOOKUP(DL$72,INDIRECT($C$5&amp;"生成成长"),2))/((VLOOKUP($B137,INDIRECT($B$5&amp;"生成成长"),4))/(VLOOKUP(DL$72,INDIRECT($C$5&amp;"生成成长"),5))*(VLOOKUP($B$5,标准坦克设计!$B$24:$U$30,MATCH("对"&amp;LEFT($C$5,2)&amp;"输出",标准坦克设计!$B$23:$U$23,0)))*(VLOOKUP($B137,INDIRECT($B$5&amp;"生成成长"),3))*(VLOOKUP($B$5,标准坦克设计!$B$14:$K$20,9)/30))</f>
        <v>5.5309362237971049</v>
      </c>
      <c r="DM137" s="172">
        <f ca="1">(VLOOKUP(DM$72,INDIRECT($C$5&amp;"生成成长"),2))/((VLOOKUP($B137,INDIRECT($B$5&amp;"生成成长"),4))/(VLOOKUP(DM$72,INDIRECT($C$5&amp;"生成成长"),5))*(VLOOKUP($B$5,标准坦克设计!$B$24:$U$30,MATCH("对"&amp;LEFT($C$5,2)&amp;"输出",标准坦克设计!$B$23:$U$23,0)))*(VLOOKUP($B137,INDIRECT($B$5&amp;"生成成长"),3))*(VLOOKUP($B$5,标准坦克设计!$B$14:$K$20,9)/30))</f>
        <v>6.1431489285502927</v>
      </c>
      <c r="DN137" s="172">
        <f ca="1">(VLOOKUP(DN$72,INDIRECT($C$5&amp;"生成成长"),2))/((VLOOKUP($B137,INDIRECT($B$5&amp;"生成成长"),4))/(VLOOKUP(DN$72,INDIRECT($C$5&amp;"生成成长"),5))*(VLOOKUP($B$5,标准坦克设计!$B$24:$U$30,MATCH("对"&amp;LEFT($C$5,2)&amp;"输出",标准坦克设计!$B$23:$U$23,0)))*(VLOOKUP($B137,INDIRECT($B$5&amp;"生成成长"),3))*(VLOOKUP($B$5,标准坦克设计!$B$14:$K$20,9)/30))</f>
        <v>6.7874894137278465</v>
      </c>
      <c r="DO137" s="172">
        <f ca="1">(VLOOKUP(DO$72,INDIRECT($C$5&amp;"生成成长"),2))/((VLOOKUP($B137,INDIRECT($B$5&amp;"生成成长"),4))/(VLOOKUP(DO$72,INDIRECT($C$5&amp;"生成成长"),5))*(VLOOKUP($B$5,标准坦克设计!$B$24:$U$30,MATCH("对"&amp;LEFT($C$5,2)&amp;"输出",标准坦克设计!$B$23:$U$23,0)))*(VLOOKUP($B137,INDIRECT($B$5&amp;"生成成长"),3))*(VLOOKUP($B$5,标准坦克设计!$B$14:$K$20,9)/30))</f>
        <v>7.4639576793297673</v>
      </c>
      <c r="DP137" s="172">
        <f ca="1">(VLOOKUP(DP$72,INDIRECT($C$5&amp;"生成成长"),2))/((VLOOKUP($B137,INDIRECT($B$5&amp;"生成成长"),4))/(VLOOKUP(DP$72,INDIRECT($C$5&amp;"生成成长"),5))*(VLOOKUP($B$5,标准坦克设计!$B$24:$U$30,MATCH("对"&amp;LEFT($C$5,2)&amp;"输出",标准坦克设计!$B$23:$U$23,0)))*(VLOOKUP($B137,INDIRECT($B$5&amp;"生成成长"),3))*(VLOOKUP($B$5,标准坦克设计!$B$14:$K$20,9)/30))</f>
        <v>8.1725537253560514</v>
      </c>
      <c r="DQ137" s="172">
        <f ca="1">(VLOOKUP(DQ$72,INDIRECT($C$5&amp;"生成成长"),2))/((VLOOKUP($B137,INDIRECT($B$5&amp;"生成成长"),4))/(VLOOKUP(DQ$72,INDIRECT($C$5&amp;"生成成长"),5))*(VLOOKUP($B$5,标准坦克设计!$B$24:$U$30,MATCH("对"&amp;LEFT($C$5,2)&amp;"输出",标准坦克设计!$B$23:$U$23,0)))*(VLOOKUP($B137,INDIRECT($B$5&amp;"生成成长"),3))*(VLOOKUP($B$5,标准坦克设计!$B$14:$K$20,9)/30))</f>
        <v>8.9132775518067007</v>
      </c>
      <c r="DR137" s="172">
        <f ca="1">(VLOOKUP(DR$72,INDIRECT($C$5&amp;"生成成长"),2))/((VLOOKUP($B137,INDIRECT($B$5&amp;"生成成长"),4))/(VLOOKUP(DR$72,INDIRECT($C$5&amp;"生成成长"),5))*(VLOOKUP($B$5,标准坦克设计!$B$24:$U$30,MATCH("对"&amp;LEFT($C$5,2)&amp;"输出",标准坦克设计!$B$23:$U$23,0)))*(VLOOKUP($B137,INDIRECT($B$5&amp;"生成成长"),3))*(VLOOKUP($B$5,标准坦克设计!$B$14:$K$20,9)/30))</f>
        <v>9.6861291586817178</v>
      </c>
      <c r="DS137" s="172">
        <f ca="1">(VLOOKUP(DS$72,INDIRECT($C$5&amp;"生成成长"),2))/((VLOOKUP($B137,INDIRECT($B$5&amp;"生成成长"),4))/(VLOOKUP(DS$72,INDIRECT($C$5&amp;"生成成长"),5))*(VLOOKUP($B$5,标准坦克设计!$B$24:$U$30,MATCH("对"&amp;LEFT($C$5,2)&amp;"输出",标准坦克设计!$B$23:$U$23,0)))*(VLOOKUP($B137,INDIRECT($B$5&amp;"生成成长"),3))*(VLOOKUP($B$5,标准坦克设计!$B$14:$K$20,9)/30))</f>
        <v>10.491108545981099</v>
      </c>
      <c r="DT137" s="172">
        <f ca="1">(VLOOKUP(DT$72,INDIRECT($C$5&amp;"生成成长"),2))/((VLOOKUP($B137,INDIRECT($B$5&amp;"生成成长"),4))/(VLOOKUP(DT$72,INDIRECT($C$5&amp;"生成成长"),5))*(VLOOKUP($B$5,标准坦克设计!$B$24:$U$30,MATCH("对"&amp;LEFT($C$5,2)&amp;"输出",标准坦克设计!$B$23:$U$23,0)))*(VLOOKUP($B137,INDIRECT($B$5&amp;"生成成长"),3))*(VLOOKUP($B$5,标准坦克设计!$B$14:$K$20,9)/30))</f>
        <v>11.518602560664048</v>
      </c>
      <c r="DU137" s="172">
        <f ca="1">(VLOOKUP(DU$72,INDIRECT($C$5&amp;"生成成长"),2))/((VLOOKUP($B137,INDIRECT($B$5&amp;"生成成长"),4))/(VLOOKUP(DU$72,INDIRECT($C$5&amp;"生成成长"),5))*(VLOOKUP($B$5,标准坦克设计!$B$24:$U$30,MATCH("对"&amp;LEFT($C$5,2)&amp;"输出",标准坦克设计!$B$23:$U$23,0)))*(VLOOKUP($B137,INDIRECT($B$5&amp;"生成成长"),3))*(VLOOKUP($B$5,标准坦克设计!$B$14:$K$20,9)/30))</f>
        <v>12.594089926351295</v>
      </c>
      <c r="DV137" s="172">
        <f ca="1">(VLOOKUP(DV$72,INDIRECT($C$5&amp;"生成成长"),2))/((VLOOKUP($B137,INDIRECT($B$5&amp;"生成成长"),4))/(VLOOKUP(DV$72,INDIRECT($C$5&amp;"生成成长"),5))*(VLOOKUP($B$5,标准坦克设计!$B$24:$U$30,MATCH("对"&amp;LEFT($C$5,2)&amp;"输出",标准坦克设计!$B$23:$U$23,0)))*(VLOOKUP($B137,INDIRECT($B$5&amp;"生成成长"),3))*(VLOOKUP($B$5,标准坦克设计!$B$14:$K$20,9)/30))</f>
        <v>13.717570643042846</v>
      </c>
      <c r="DW137" s="172">
        <f ca="1">(VLOOKUP(DW$72,INDIRECT($C$5&amp;"生成成长"),2))/((VLOOKUP($B137,INDIRECT($B$5&amp;"生成成长"),4))/(VLOOKUP(DW$72,INDIRECT($C$5&amp;"生成成长"),5))*(VLOOKUP($B$5,标准坦克设计!$B$24:$U$30,MATCH("对"&amp;LEFT($C$5,2)&amp;"输出",标准坦克设计!$B$23:$U$23,0)))*(VLOOKUP($B137,INDIRECT($B$5&amp;"生成成长"),3))*(VLOOKUP($B$5,标准坦克设计!$B$14:$K$20,9)/30))</f>
        <v>14.889044710738693</v>
      </c>
      <c r="DX137" s="172">
        <f ca="1">(VLOOKUP(DX$72,INDIRECT($C$5&amp;"生成成长"),2))/((VLOOKUP($B137,INDIRECT($B$5&amp;"生成成长"),4))/(VLOOKUP(DX$72,INDIRECT($C$5&amp;"生成成长"),5))*(VLOOKUP($B$5,标准坦克设计!$B$24:$U$30,MATCH("对"&amp;LEFT($C$5,2)&amp;"输出",标准坦克设计!$B$23:$U$23,0)))*(VLOOKUP($B137,INDIRECT($B$5&amp;"生成成长"),3))*(VLOOKUP($B$5,标准坦克设计!$B$14:$K$20,9)/30))</f>
        <v>16.108512129438843</v>
      </c>
      <c r="DY137" s="172">
        <f ca="1">(VLOOKUP(DY$72,INDIRECT($C$5&amp;"生成成长"),2))/((VLOOKUP($B137,INDIRECT($B$5&amp;"生成成长"),4))/(VLOOKUP(DY$72,INDIRECT($C$5&amp;"生成成长"),5))*(VLOOKUP($B$5,标准坦克设计!$B$24:$U$30,MATCH("对"&amp;LEFT($C$5,2)&amp;"输出",标准坦克设计!$B$23:$U$23,0)))*(VLOOKUP($B137,INDIRECT($B$5&amp;"生成成长"),3))*(VLOOKUP($B$5,标准坦克设计!$B$14:$K$20,9)/30))</f>
        <v>7.2348985040819747</v>
      </c>
      <c r="DZ137" s="172">
        <f ca="1">(VLOOKUP(DZ$72,INDIRECT($C$5&amp;"生成成长"),2))/((VLOOKUP($B137,INDIRECT($B$5&amp;"生成成长"),4))/(VLOOKUP(DZ$72,INDIRECT($C$5&amp;"生成成长"),5))*(VLOOKUP($B$5,标准坦克设计!$B$24:$U$30,MATCH("对"&amp;LEFT($C$5,2)&amp;"输出",标准坦克设计!$B$23:$U$23,0)))*(VLOOKUP($B137,INDIRECT($B$5&amp;"生成成长"),3))*(VLOOKUP($B$5,标准坦克设计!$B$14:$K$20,9)/30))</f>
        <v>8.0123114624987206</v>
      </c>
      <c r="EA137" s="172">
        <f ca="1">(VLOOKUP(EA$72,INDIRECT($C$5&amp;"生成成长"),2))/((VLOOKUP($B137,INDIRECT($B$5&amp;"生成成长"),4))/(VLOOKUP(EA$72,INDIRECT($C$5&amp;"生成成长"),5))*(VLOOKUP($B$5,标准坦克设计!$B$24:$U$30,MATCH("对"&amp;LEFT($C$5,2)&amp;"输出",标准坦克设计!$B$23:$U$23,0)))*(VLOOKUP($B137,INDIRECT($B$5&amp;"生成成长"),3))*(VLOOKUP($B$5,标准坦克设计!$B$14:$K$20,9)/30))</f>
        <v>8.8293883473653025</v>
      </c>
      <c r="EB137" s="172">
        <f ca="1">(VLOOKUP(EB$72,INDIRECT($C$5&amp;"生成成长"),2))/((VLOOKUP($B137,INDIRECT($B$5&amp;"生成成长"),4))/(VLOOKUP(EB$72,INDIRECT($C$5&amp;"生成成长"),5))*(VLOOKUP($B$5,标准坦克设计!$B$24:$U$30,MATCH("对"&amp;LEFT($C$5,2)&amp;"输出",标准坦克设计!$B$23:$U$23,0)))*(VLOOKUP($B137,INDIRECT($B$5&amp;"生成成长"),3))*(VLOOKUP($B$5,标准坦克设计!$B$14:$K$20,9)/30))</f>
        <v>9.6861291586817178</v>
      </c>
      <c r="EC137" s="172">
        <f ca="1">(VLOOKUP(EC$72,INDIRECT($C$5&amp;"生成成长"),2))/((VLOOKUP($B137,INDIRECT($B$5&amp;"生成成长"),4))/(VLOOKUP(EC$72,INDIRECT($C$5&amp;"生成成长"),5))*(VLOOKUP($B$5,标准坦克设计!$B$24:$U$30,MATCH("对"&amp;LEFT($C$5,2)&amp;"输出",标准坦克设计!$B$23:$U$23,0)))*(VLOOKUP($B137,INDIRECT($B$5&amp;"生成成长"),3))*(VLOOKUP($B$5,标准坦克设计!$B$14:$K$20,9)/30))</f>
        <v>10.582533896447964</v>
      </c>
      <c r="ED137" s="172">
        <f ca="1">(VLOOKUP(ED$72,INDIRECT($C$5&amp;"生成成长"),2))/((VLOOKUP($B137,INDIRECT($B$5&amp;"生成成长"),4))/(VLOOKUP(ED$72,INDIRECT($C$5&amp;"生成成长"),5))*(VLOOKUP($B$5,标准坦克设计!$B$24:$U$30,MATCH("对"&amp;LEFT($C$5,2)&amp;"输出",标准坦克设计!$B$23:$U$23,0)))*(VLOOKUP($B137,INDIRECT($B$5&amp;"生成成长"),3))*(VLOOKUP($B$5,标准坦克设计!$B$14:$K$20,9)/30))</f>
        <v>11.518602560664048</v>
      </c>
      <c r="EE137" s="172">
        <f ca="1">(VLOOKUP(EE$72,INDIRECT($C$5&amp;"生成成长"),2))/((VLOOKUP($B137,INDIRECT($B$5&amp;"生成成长"),4))/(VLOOKUP(EE$72,INDIRECT($C$5&amp;"生成成长"),5))*(VLOOKUP($B$5,标准坦克设计!$B$24:$U$30,MATCH("对"&amp;LEFT($C$5,2)&amp;"输出",标准坦克设计!$B$23:$U$23,0)))*(VLOOKUP($B137,INDIRECT($B$5&amp;"生成成长"),3))*(VLOOKUP($B$5,标准坦克设计!$B$14:$K$20,9)/30))</f>
        <v>12.494335151329967</v>
      </c>
      <c r="EF137" s="172">
        <f ca="1">(VLOOKUP(EF$72,INDIRECT($C$5&amp;"生成成长"),2))/((VLOOKUP($B137,INDIRECT($B$5&amp;"生成成长"),4))/(VLOOKUP(EF$72,INDIRECT($C$5&amp;"生成成长"),5))*(VLOOKUP($B$5,标准坦克设计!$B$24:$U$30,MATCH("对"&amp;LEFT($C$5,2)&amp;"输出",标准坦克设计!$B$23:$U$23,0)))*(VLOOKUP($B137,INDIRECT($B$5&amp;"生成成长"),3))*(VLOOKUP($B$5,标准坦克设计!$B$14:$K$20,9)/30))</f>
        <v>13.509731668445717</v>
      </c>
      <c r="EG137" s="172">
        <f ca="1">(VLOOKUP(EG$72,INDIRECT($C$5&amp;"生成成长"),2))/((VLOOKUP($B137,INDIRECT($B$5&amp;"生成成长"),4))/(VLOOKUP(EG$72,INDIRECT($C$5&amp;"生成成长"),5))*(VLOOKUP($B$5,标准坦克设计!$B$24:$U$30,MATCH("对"&amp;LEFT($C$5,2)&amp;"输出",标准坦克设计!$B$23:$U$23,0)))*(VLOOKUP($B137,INDIRECT($B$5&amp;"生成成长"),3))*(VLOOKUP($B$5,标准坦克设计!$B$14:$K$20,9)/30))</f>
        <v>14.5647921120113</v>
      </c>
      <c r="EH137" s="172">
        <f ca="1">(VLOOKUP(EH$72,INDIRECT($C$5&amp;"生成成长"),2))/((VLOOKUP($B137,INDIRECT($B$5&amp;"生成成长"),4))/(VLOOKUP(EH$72,INDIRECT($C$5&amp;"生成成长"),5))*(VLOOKUP($B$5,标准坦克设计!$B$24:$U$30,MATCH("对"&amp;LEFT($C$5,2)&amp;"输出",标准坦克设计!$B$23:$U$23,0)))*(VLOOKUP($B137,INDIRECT($B$5&amp;"生成成长"),3))*(VLOOKUP($B$5,标准坦克设计!$B$14:$K$20,9)/30))</f>
        <v>15.659516482026719</v>
      </c>
      <c r="EI137" s="172">
        <f ca="1">(VLOOKUP(EI$72,INDIRECT($C$5&amp;"生成成长"),2))/((VLOOKUP($B137,INDIRECT($B$5&amp;"生成成长"),4))/(VLOOKUP(EI$72,INDIRECT($C$5&amp;"生成成长"),5))*(VLOOKUP($B$5,标准坦克设计!$B$24:$U$30,MATCH("对"&amp;LEFT($C$5,2)&amp;"输出",标准坦克设计!$B$23:$U$23,0)))*(VLOOKUP($B137,INDIRECT($B$5&amp;"生成成长"),3))*(VLOOKUP($B$5,标准坦克设计!$B$14:$K$20,9)/30))</f>
        <v>16.793904778491974</v>
      </c>
      <c r="EJ137" s="172">
        <f ca="1">(VLOOKUP(EJ$72,INDIRECT($C$5&amp;"生成成长"),2))/((VLOOKUP($B137,INDIRECT($B$5&amp;"生成成长"),4))/(VLOOKUP(EJ$72,INDIRECT($C$5&amp;"生成成长"),5))*(VLOOKUP($B$5,标准坦克设计!$B$24:$U$30,MATCH("对"&amp;LEFT($C$5,2)&amp;"输出",标准坦克设计!$B$23:$U$23,0)))*(VLOOKUP($B137,INDIRECT($B$5&amp;"生成成长"),3))*(VLOOKUP($B$5,标准坦克设计!$B$14:$K$20,9)/30))</f>
        <v>17.967957001407061</v>
      </c>
      <c r="EK137" s="172">
        <f ca="1">(VLOOKUP(EK$72,INDIRECT($C$5&amp;"生成成长"),2))/((VLOOKUP($B137,INDIRECT($B$5&amp;"生成成长"),4))/(VLOOKUP(EK$72,INDIRECT($C$5&amp;"生成成长"),5))*(VLOOKUP($B$5,标准坦克设计!$B$24:$U$30,MATCH("对"&amp;LEFT($C$5,2)&amp;"输出",标准坦克设计!$B$23:$U$23,0)))*(VLOOKUP($B137,INDIRECT($B$5&amp;"生成成长"),3))*(VLOOKUP($B$5,标准坦克设计!$B$14:$K$20,9)/30))</f>
        <v>19.429176051818942</v>
      </c>
      <c r="EL137" s="172">
        <f ca="1">(VLOOKUP(EL$72,INDIRECT($C$5&amp;"生成成长"),2))/((VLOOKUP($B137,INDIRECT($B$5&amp;"生成成长"),4))/(VLOOKUP(EL$72,INDIRECT($C$5&amp;"生成成长"),5))*(VLOOKUP($B$5,标准坦克设计!$B$24:$U$30,MATCH("对"&amp;LEFT($C$5,2)&amp;"输出",标准坦克设计!$B$23:$U$23,0)))*(VLOOKUP($B137,INDIRECT($B$5&amp;"生成成长"),3))*(VLOOKUP($B$5,标准坦克设计!$B$14:$K$20,9)/30))</f>
        <v>20.947511156318591</v>
      </c>
      <c r="EM137" s="172">
        <f ca="1">(VLOOKUP(EM$72,INDIRECT($C$5&amp;"生成成长"),2))/((VLOOKUP($B137,INDIRECT($B$5&amp;"生成成长"),4))/(VLOOKUP(EM$72,INDIRECT($C$5&amp;"生成成长"),5))*(VLOOKUP($B$5,标准坦克设计!$B$24:$U$30,MATCH("对"&amp;LEFT($C$5,2)&amp;"输出",标准坦克设计!$B$23:$U$23,0)))*(VLOOKUP($B137,INDIRECT($B$5&amp;"生成成长"),3))*(VLOOKUP($B$5,标准坦克设计!$B$14:$K$20,9)/30))</f>
        <v>22.522962314906</v>
      </c>
      <c r="EN137" s="172">
        <f ca="1">(VLOOKUP(EN$72,INDIRECT($C$5&amp;"生成成长"),2))/((VLOOKUP($B137,INDIRECT($B$5&amp;"生成成长"),4))/(VLOOKUP(EN$72,INDIRECT($C$5&amp;"生成成长"),5))*(VLOOKUP($B$5,标准坦克设计!$B$24:$U$30,MATCH("对"&amp;LEFT($C$5,2)&amp;"输出",标准坦克设计!$B$23:$U$23,0)))*(VLOOKUP($B137,INDIRECT($B$5&amp;"生成成长"),3))*(VLOOKUP($B$5,标准坦克设计!$B$14:$K$20,9)/30))</f>
        <v>24.155529527581169</v>
      </c>
      <c r="EO137" s="172">
        <f ca="1">(VLOOKUP(EO$72,INDIRECT($C$5&amp;"生成成长"),2))/((VLOOKUP($B137,INDIRECT($B$5&amp;"生成成长"),4))/(VLOOKUP(EO$72,INDIRECT($C$5&amp;"生成成长"),5))*(VLOOKUP($B$5,标准坦克设计!$B$24:$U$30,MATCH("对"&amp;LEFT($C$5,2)&amp;"输出",标准坦克设计!$B$23:$U$23,0)))*(VLOOKUP($B137,INDIRECT($B$5&amp;"生成成长"),3))*(VLOOKUP($B$5,标准坦克设计!$B$14:$K$20,9)/30))</f>
        <v>25.845212794344096</v>
      </c>
      <c r="EP137" s="172">
        <f ca="1">(VLOOKUP(EP$72,INDIRECT($C$5&amp;"生成成长"),2))/((VLOOKUP($B137,INDIRECT($B$5&amp;"生成成长"),4))/(VLOOKUP(EP$72,INDIRECT($C$5&amp;"生成成长"),5))*(VLOOKUP($B$5,标准坦克设计!$B$24:$U$30,MATCH("对"&amp;LEFT($C$5,2)&amp;"输出",标准坦克设计!$B$23:$U$23,0)))*(VLOOKUP($B137,INDIRECT($B$5&amp;"生成成长"),3))*(VLOOKUP($B$5,标准坦克设计!$B$14:$K$20,9)/30))</f>
        <v>27.59201211519478</v>
      </c>
      <c r="EQ137" s="172">
        <f ca="1">(VLOOKUP(EQ$72,INDIRECT($C$5&amp;"生成成长"),2))/((VLOOKUP($B137,INDIRECT($B$5&amp;"生成成长"),4))/(VLOOKUP(EQ$72,INDIRECT($C$5&amp;"生成成长"),5))*(VLOOKUP($B$5,标准坦克设计!$B$24:$U$30,MATCH("对"&amp;LEFT($C$5,2)&amp;"输出",标准坦克设计!$B$23:$U$23,0)))*(VLOOKUP($B137,INDIRECT($B$5&amp;"生成成长"),3))*(VLOOKUP($B$5,标准坦克设计!$B$14:$K$20,9)/30))</f>
        <v>12.197450661852958</v>
      </c>
      <c r="ER137" s="172">
        <f ca="1">(VLOOKUP(ER$72,INDIRECT($C$5&amp;"生成成长"),2))/((VLOOKUP($B137,INDIRECT($B$5&amp;"生成成长"),4))/(VLOOKUP(ER$72,INDIRECT($C$5&amp;"生成成长"),5))*(VLOOKUP($B$5,标准坦克设计!$B$24:$U$30,MATCH("对"&amp;LEFT($C$5,2)&amp;"输出",标准坦克设计!$B$23:$U$23,0)))*(VLOOKUP($B137,INDIRECT($B$5&amp;"生成成长"),3))*(VLOOKUP($B$5,标准坦克设计!$B$14:$K$20,9)/30))</f>
        <v>13.303479250906578</v>
      </c>
      <c r="ES137" s="172">
        <f ca="1">(VLOOKUP(ES$72,INDIRECT($C$5&amp;"生成成长"),2))/((VLOOKUP($B137,INDIRECT($B$5&amp;"生成成长"),4))/(VLOOKUP(ES$72,INDIRECT($C$5&amp;"生成成长"),5))*(VLOOKUP($B$5,标准坦克设计!$B$24:$U$30,MATCH("对"&amp;LEFT($C$5,2)&amp;"输出",标准坦克设计!$B$23:$U$23,0)))*(VLOOKUP($B137,INDIRECT($B$5&amp;"生成成长"),3))*(VLOOKUP($B$5,标准坦克设计!$B$14:$K$20,9)/30))</f>
        <v>14.457501190964502</v>
      </c>
      <c r="ET137" s="172">
        <f ca="1">(VLOOKUP(ET$72,INDIRECT($C$5&amp;"生成成长"),2))/((VLOOKUP($B137,INDIRECT($B$5&amp;"生成成长"),4))/(VLOOKUP(ET$72,INDIRECT($C$5&amp;"生成成长"),5))*(VLOOKUP($B$5,标准坦克设计!$B$24:$U$30,MATCH("对"&amp;LEFT($C$5,2)&amp;"输出",标准坦克设计!$B$23:$U$23,0)))*(VLOOKUP($B137,INDIRECT($B$5&amp;"生成成长"),3))*(VLOOKUP($B$5,标准坦克设计!$B$14:$K$20,9)/30))</f>
        <v>15.659516482026719</v>
      </c>
      <c r="EU137" s="172">
        <f ca="1">(VLOOKUP(EU$72,INDIRECT($C$5&amp;"生成成长"),2))/((VLOOKUP($B137,INDIRECT($B$5&amp;"生成成长"),4))/(VLOOKUP(EU$72,INDIRECT($C$5&amp;"生成成长"),5))*(VLOOKUP($B$5,标准坦克设计!$B$24:$U$30,MATCH("对"&amp;LEFT($C$5,2)&amp;"输出",标准坦克设计!$B$23:$U$23,0)))*(VLOOKUP($B137,INDIRECT($B$5&amp;"生成成长"),3))*(VLOOKUP($B$5,标准坦克设计!$B$14:$K$20,9)/30))</f>
        <v>16.909525124093239</v>
      </c>
      <c r="EV137" s="172">
        <f ca="1">(VLOOKUP(EV$72,INDIRECT($C$5&amp;"生成成长"),2))/((VLOOKUP($B137,INDIRECT($B$5&amp;"生成成长"),4))/(VLOOKUP(EV$72,INDIRECT($C$5&amp;"生成成长"),5))*(VLOOKUP($B$5,标准坦克设计!$B$24:$U$30,MATCH("对"&amp;LEFT($C$5,2)&amp;"输出",标准坦克设计!$B$23:$U$23,0)))*(VLOOKUP($B137,INDIRECT($B$5&amp;"生成成长"),3))*(VLOOKUP($B$5,标准坦克设计!$B$14:$K$20,9)/30))</f>
        <v>18.207527117164055</v>
      </c>
      <c r="EW137" s="172">
        <f ca="1">(VLOOKUP(EW$72,INDIRECT($C$5&amp;"生成成长"),2))/((VLOOKUP($B137,INDIRECT($B$5&amp;"生成成长"),4))/(VLOOKUP(EW$72,INDIRECT($C$5&amp;"生成成长"),5))*(VLOOKUP($B$5,标准坦克设计!$B$24:$U$30,MATCH("对"&amp;LEFT($C$5,2)&amp;"输出",标准坦克设计!$B$23:$U$23,0)))*(VLOOKUP($B137,INDIRECT($B$5&amp;"生成成长"),3))*(VLOOKUP($B$5,标准坦克设计!$B$14:$K$20,9)/30))</f>
        <v>19.553522461239176</v>
      </c>
      <c r="EX137" s="172">
        <f ca="1">(VLOOKUP(EX$72,INDIRECT($C$5&amp;"生成成长"),2))/((VLOOKUP($B137,INDIRECT($B$5&amp;"生成成长"),4))/(VLOOKUP(EX$72,INDIRECT($C$5&amp;"生成成长"),5))*(VLOOKUP($B$5,标准坦克设计!$B$24:$U$30,MATCH("对"&amp;LEFT($C$5,2)&amp;"输出",标准坦克设计!$B$23:$U$23,0)))*(VLOOKUP($B137,INDIRECT($B$5&amp;"生成成长"),3))*(VLOOKUP($B$5,标准坦克设计!$B$14:$K$20,9)/30))</f>
        <v>20.947511156318591</v>
      </c>
      <c r="EY137" s="172">
        <f ca="1">(VLOOKUP(EY$72,INDIRECT($C$5&amp;"生成成长"),2))/((VLOOKUP($B137,INDIRECT($B$5&amp;"生成成长"),4))/(VLOOKUP(EY$72,INDIRECT($C$5&amp;"生成成长"),5))*(VLOOKUP($B$5,标准坦克设计!$B$24:$U$30,MATCH("对"&amp;LEFT($C$5,2)&amp;"输出",标准坦克设计!$B$23:$U$23,0)))*(VLOOKUP($B137,INDIRECT($B$5&amp;"生成成长"),3))*(VLOOKUP($B$5,标准坦克设计!$B$14:$K$20,9)/30))</f>
        <v>22.389493202402306</v>
      </c>
      <c r="EZ137" s="172">
        <f ca="1">(VLOOKUP(EZ$72,INDIRECT($C$5&amp;"生成成长"),2))/((VLOOKUP($B137,INDIRECT($B$5&amp;"生成成长"),4))/(VLOOKUP(EZ$72,INDIRECT($C$5&amp;"生成成长"),5))*(VLOOKUP($B$5,标准坦克设计!$B$24:$U$30,MATCH("对"&amp;LEFT($C$5,2)&amp;"输出",标准坦克设计!$B$23:$U$23,0)))*(VLOOKUP($B137,INDIRECT($B$5&amp;"生成成长"),3))*(VLOOKUP($B$5,标准坦克设计!$B$14:$K$20,9)/30))</f>
        <v>23.87946859949032</v>
      </c>
      <c r="FA137" s="172">
        <f ca="1">(VLOOKUP(FA$72,INDIRECT($C$5&amp;"生成成长"),2))/((VLOOKUP($B137,INDIRECT($B$5&amp;"生成成长"),4))/(VLOOKUP(FA$72,INDIRECT($C$5&amp;"生成成长"),5))*(VLOOKUP($B$5,标准坦克设计!$B$24:$U$30,MATCH("对"&amp;LEFT($C$5,2)&amp;"输出",标准坦克设计!$B$23:$U$23,0)))*(VLOOKUP($B137,INDIRECT($B$5&amp;"生成成长"),3))*(VLOOKUP($B$5,标准坦克设计!$B$14:$K$20,9)/30))</f>
        <v>25.417437347582641</v>
      </c>
      <c r="FB137" s="172">
        <f ca="1">(VLOOKUP(FB$72,INDIRECT($C$5&amp;"生成成长"),2))/((VLOOKUP($B137,INDIRECT($B$5&amp;"生成成长"),4))/(VLOOKUP(FB$72,INDIRECT($C$5&amp;"生成成长"),5))*(VLOOKUP($B$5,标准坦克设计!$B$24:$U$30,MATCH("对"&amp;LEFT($C$5,2)&amp;"输出",标准坦克设计!$B$23:$U$23,0)))*(VLOOKUP($B137,INDIRECT($B$5&amp;"生成成长"),3))*(VLOOKUP($B$5,标准坦克设计!$B$14:$K$20,9)/30))</f>
        <v>27.003399446679254</v>
      </c>
      <c r="FC137" s="172">
        <f ca="1">(VLOOKUP(FC$72,INDIRECT($C$5&amp;"生成成长"),2))/((VLOOKUP($B137,INDIRECT($B$5&amp;"生成成长"),4))/(VLOOKUP(FC$72,INDIRECT($C$5&amp;"生成成长"),5))*(VLOOKUP($B$5,标准坦克设计!$B$24:$U$30,MATCH("对"&amp;LEFT($C$5,2)&amp;"输出",标准坦克设计!$B$23:$U$23,0)))*(VLOOKUP($B137,INDIRECT($B$5&amp;"生成成长"),3))*(VLOOKUP($B$5,标准坦克设计!$B$14:$K$20,9)/30))</f>
        <v>28.63735489678016</v>
      </c>
      <c r="FD137" s="172">
        <f ca="1">(VLOOKUP(FD$72,INDIRECT($C$5&amp;"生成成长"),2))/((VLOOKUP($B137,INDIRECT($B$5&amp;"生成成长"),4))/(VLOOKUP(FD$72,INDIRECT($C$5&amp;"生成成长"),5))*(VLOOKUP($B$5,标准坦克设计!$B$24:$U$30,MATCH("对"&amp;LEFT($C$5,2)&amp;"输出",标准坦克设计!$B$23:$U$23,0)))*(VLOOKUP($B137,INDIRECT($B$5&amp;"生成成长"),3))*(VLOOKUP($B$5,标准坦克设计!$B$14:$K$20,9)/30))</f>
        <v>30.319303697885374</v>
      </c>
      <c r="FE137" s="172">
        <f ca="1">(VLOOKUP(FE$72,INDIRECT($C$5&amp;"生成成长"),2))/((VLOOKUP($B137,INDIRECT($B$5&amp;"生成成长"),4))/(VLOOKUP(FE$72,INDIRECT($C$5&amp;"生成成长"),5))*(VLOOKUP($B$5,标准坦克设计!$B$24:$U$30,MATCH("对"&amp;LEFT($C$5,2)&amp;"输出",标准坦克设计!$B$23:$U$23,0)))*(VLOOKUP($B137,INDIRECT($B$5&amp;"生成成长"),3))*(VLOOKUP($B$5,标准坦克设计!$B$14:$K$20,9)/30))</f>
        <v>32.368937097180549</v>
      </c>
      <c r="FF137" s="172">
        <f ca="1">(VLOOKUP(FF$72,INDIRECT($C$5&amp;"生成成长"),2))/((VLOOKUP($B137,INDIRECT($B$5&amp;"生成成长"),4))/(VLOOKUP(FF$72,INDIRECT($C$5&amp;"生成成长"),5))*(VLOOKUP($B$5,标准坦克设计!$B$24:$U$30,MATCH("对"&amp;LEFT($C$5,2)&amp;"输出",标准坦克设计!$B$23:$U$23,0)))*(VLOOKUP($B137,INDIRECT($B$5&amp;"生成成长"),3))*(VLOOKUP($B$5,标准坦克设计!$B$14:$K$20,9)/30))</f>
        <v>34.485602532175939</v>
      </c>
      <c r="FG137" s="172">
        <f ca="1">(VLOOKUP(FG$72,INDIRECT($C$5&amp;"生成成长"),2))/((VLOOKUP($B137,INDIRECT($B$5&amp;"生成成长"),4))/(VLOOKUP(FG$72,INDIRECT($C$5&amp;"生成成长"),5))*(VLOOKUP($B$5,标准坦克设计!$B$24:$U$30,MATCH("对"&amp;LEFT($C$5,2)&amp;"输出",标准坦克设计!$B$23:$U$23,0)))*(VLOOKUP($B137,INDIRECT($B$5&amp;"生成成长"),3))*(VLOOKUP($B$5,标准坦克设计!$B$14:$K$20,9)/30))</f>
        <v>36.669300002871552</v>
      </c>
      <c r="FH137" s="172">
        <f ca="1">(VLOOKUP(FH$72,INDIRECT($C$5&amp;"生成成长"),2))/((VLOOKUP($B137,INDIRECT($B$5&amp;"生成成长"),4))/(VLOOKUP(FH$72,INDIRECT($C$5&amp;"生成成长"),5))*(VLOOKUP($B$5,标准坦克设计!$B$24:$U$30,MATCH("对"&amp;LEFT($C$5,2)&amp;"输出",标准坦克设计!$B$23:$U$23,0)))*(VLOOKUP($B137,INDIRECT($B$5&amp;"生成成长"),3))*(VLOOKUP($B$5,标准坦克设计!$B$14:$K$20,9)/30))</f>
        <v>38.920029509267387</v>
      </c>
      <c r="FI137" s="172">
        <f ca="1">(VLOOKUP(FI$72,INDIRECT($C$5&amp;"生成成长"),2))/((VLOOKUP($B137,INDIRECT($B$5&amp;"生成成长"),4))/(VLOOKUP(FI$72,INDIRECT($C$5&amp;"生成成长"),5))*(VLOOKUP($B$5,标准坦克设计!$B$24:$U$30,MATCH("对"&amp;LEFT($C$5,2)&amp;"输出",标准坦克设计!$B$23:$U$23,0)))*(VLOOKUP($B137,INDIRECT($B$5&amp;"生成成长"),3))*(VLOOKUP($B$5,标准坦克设计!$B$14:$K$20,9)/30))</f>
        <v>41.237791051363438</v>
      </c>
      <c r="FJ137" s="172">
        <f ca="1">(VLOOKUP(FJ$72,INDIRECT($C$5&amp;"生成成长"),2))/((VLOOKUP($B137,INDIRECT($B$5&amp;"生成成长"),4))/(VLOOKUP(FJ$72,INDIRECT($C$5&amp;"生成成长"),5))*(VLOOKUP($B$5,标准坦克设计!$B$24:$U$30,MATCH("对"&amp;LEFT($C$5,2)&amp;"输出",标准坦克设计!$B$23:$U$23,0)))*(VLOOKUP($B137,INDIRECT($B$5&amp;"生成成长"),3))*(VLOOKUP($B$5,标准坦克设计!$B$14:$K$20,9)/30))</f>
        <v>43.622584629159704</v>
      </c>
      <c r="FK137" s="172">
        <f ca="1">(VLOOKUP(FK$72,INDIRECT($C$5&amp;"生成成长"),2))/((VLOOKUP($B137,INDIRECT($B$5&amp;"生成成长"),4))/(VLOOKUP(FK$72,INDIRECT($C$5&amp;"生成成长"),5))*(VLOOKUP($B$5,标准坦克设计!$B$24:$U$30,MATCH("对"&amp;LEFT($C$5,2)&amp;"输出",标准坦克设计!$B$23:$U$23,0)))*(VLOOKUP($B137,INDIRECT($B$5&amp;"生成成长"),3))*(VLOOKUP($B$5,标准坦克设计!$B$14:$K$20,9)/30))</f>
        <v>46.074410242656192</v>
      </c>
    </row>
    <row r="138" spans="1:167" x14ac:dyDescent="0.15">
      <c r="A138" s="170" t="str">
        <f t="shared" ref="A138:A201" si="12">"T"&amp;LEFT(RIGHT(B138,3),1)&amp;""&amp;IF(LEFT(B138,1)="1","低品质",IF(LEFT(B138,1)="2","中品质","高品质"))&amp;""&amp;IF(LEFT(RIGHT(B138,2),1)="0",RIGHT(B138,1),RIGHT(B138,2))&amp;"级"</f>
        <v>T3中品质9级</v>
      </c>
      <c r="B138" s="171">
        <v>20309</v>
      </c>
      <c r="C138" s="172">
        <f ca="1">(VLOOKUP(C$72,INDIRECT($C$5&amp;"生成成长"),2))/((VLOOKUP($B138,INDIRECT($B$5&amp;"生成成长"),4))/(VLOOKUP(C$72,INDIRECT($C$5&amp;"生成成长"),5))*(VLOOKUP($B$5,标准坦克设计!$B$24:$U$30,MATCH("对"&amp;LEFT($C$5,2)&amp;"输出",标准坦克设计!$B$23:$U$23,0)))*(VLOOKUP($B138,INDIRECT($B$5&amp;"生成成长"),3))*(VLOOKUP($B$5,标准坦克设计!$B$14:$K$20,9)/30))</f>
        <v>1.8212656135910024</v>
      </c>
      <c r="D138" s="172">
        <f ca="1">(VLOOKUP(D$72,INDIRECT($C$5&amp;"生成成长"),2))/((VLOOKUP($B138,INDIRECT($B$5&amp;"生成成长"),4))/(VLOOKUP(D$72,INDIRECT($C$5&amp;"生成成长"),5))*(VLOOKUP($B$5,标准坦克设计!$B$24:$U$30,MATCH("对"&amp;LEFT($C$5,2)&amp;"输出",标准坦克设计!$B$23:$U$23,0)))*(VLOOKUP($B138,INDIRECT($B$5&amp;"生成成长"),3))*(VLOOKUP($B$5,标准坦克设计!$B$14:$K$20,9)/30))</f>
        <v>2.0463740434308502</v>
      </c>
      <c r="E138" s="172">
        <f ca="1">(VLOOKUP(E$72,INDIRECT($C$5&amp;"生成成长"),2))/((VLOOKUP($B138,INDIRECT($B$5&amp;"生成成长"),4))/(VLOOKUP(E$72,INDIRECT($C$5&amp;"生成成长"),5))*(VLOOKUP($B$5,标准坦克设计!$B$24:$U$30,MATCH("对"&amp;LEFT($C$5,2)&amp;"输出",标准坦克设计!$B$23:$U$23,0)))*(VLOOKUP($B138,INDIRECT($B$5&amp;"生成成长"),3))*(VLOOKUP($B$5,标准坦克设计!$B$14:$K$20,9)/30))</f>
        <v>2.2845955856885536</v>
      </c>
      <c r="F138" s="172">
        <f ca="1">(VLOOKUP(F$72,INDIRECT($C$5&amp;"生成成长"),2))/((VLOOKUP($B138,INDIRECT($B$5&amp;"生成成长"),4))/(VLOOKUP(F$72,INDIRECT($C$5&amp;"生成成长"),5))*(VLOOKUP($B$5,标准坦克设计!$B$24:$U$30,MATCH("对"&amp;LEFT($C$5,2)&amp;"输出",标准坦克设计!$B$23:$U$23,0)))*(VLOOKUP($B138,INDIRECT($B$5&amp;"生成成长"),3))*(VLOOKUP($B$5,标准坦克设计!$B$14:$K$20,9)/30))</f>
        <v>2.5359302403641117</v>
      </c>
      <c r="G138" s="172">
        <f ca="1">(VLOOKUP(G$72,INDIRECT($C$5&amp;"生成成长"),2))/((VLOOKUP($B138,INDIRECT($B$5&amp;"生成成长"),4))/(VLOOKUP(G$72,INDIRECT($C$5&amp;"生成成长"),5))*(VLOOKUP($B$5,标准坦克设计!$B$24:$U$30,MATCH("对"&amp;LEFT($C$5,2)&amp;"输出",标准坦克设计!$B$23:$U$23,0)))*(VLOOKUP($B138,INDIRECT($B$5&amp;"生成成长"),3))*(VLOOKUP($B$5,标准坦克设计!$B$14:$K$20,9)/30))</f>
        <v>2.8003780074575251</v>
      </c>
      <c r="H138" s="172">
        <f ca="1">(VLOOKUP(H$72,INDIRECT($C$5&amp;"生成成长"),2))/((VLOOKUP($B138,INDIRECT($B$5&amp;"生成成长"),4))/(VLOOKUP(H$72,INDIRECT($C$5&amp;"生成成长"),5))*(VLOOKUP($B$5,标准坦克设计!$B$24:$U$30,MATCH("对"&amp;LEFT($C$5,2)&amp;"输出",标准坦克设计!$B$23:$U$23,0)))*(VLOOKUP($B138,INDIRECT($B$5&amp;"生成成长"),3))*(VLOOKUP($B$5,标准坦克设计!$B$14:$K$20,9)/30))</f>
        <v>2.4506950096480526</v>
      </c>
      <c r="I138" s="172">
        <f ca="1">(VLOOKUP(I$72,INDIRECT($C$5&amp;"生成成长"),2))/((VLOOKUP($B138,INDIRECT($B$5&amp;"生成成长"),4))/(VLOOKUP(I$72,INDIRECT($C$5&amp;"生成成长"),5))*(VLOOKUP($B$5,标准坦克设计!$B$24:$U$30,MATCH("对"&amp;LEFT($C$5,2)&amp;"输出",标准坦克设计!$B$23:$U$23,0)))*(VLOOKUP($B138,INDIRECT($B$5&amp;"生成成长"),3))*(VLOOKUP($B$5,标准坦克设计!$B$14:$K$20,9)/30))</f>
        <v>2.8003780074575251</v>
      </c>
      <c r="J138" s="172">
        <f ca="1">(VLOOKUP(J$72,INDIRECT($C$5&amp;"生成成长"),2))/((VLOOKUP($B138,INDIRECT($B$5&amp;"生成成长"),4))/(VLOOKUP(J$72,INDIRECT($C$5&amp;"生成成长"),5))*(VLOOKUP($B$5,标准坦克设计!$B$24:$U$30,MATCH("对"&amp;LEFT($C$5,2)&amp;"输出",标准坦克设计!$B$23:$U$23,0)))*(VLOOKUP($B138,INDIRECT($B$5&amp;"生成成长"),3))*(VLOOKUP($B$5,标准坦克设计!$B$14:$K$20,9)/30))</f>
        <v>3.1733732051209627</v>
      </c>
      <c r="K138" s="172">
        <f ca="1">(VLOOKUP(K$72,INDIRECT($C$5&amp;"生成成长"),2))/((VLOOKUP($B138,INDIRECT($B$5&amp;"生成成长"),4))/(VLOOKUP(K$72,INDIRECT($C$5&amp;"生成成长"),5))*(VLOOKUP($B$5,标准坦克设计!$B$24:$U$30,MATCH("对"&amp;LEFT($C$5,2)&amp;"输出",标准坦克设计!$B$23:$U$23,0)))*(VLOOKUP($B138,INDIRECT($B$5&amp;"生成成长"),3))*(VLOOKUP($B$5,标准坦克设计!$B$14:$K$20,9)/30))</f>
        <v>3.569680602638365</v>
      </c>
      <c r="L138" s="172">
        <f ca="1">(VLOOKUP(L$72,INDIRECT($C$5&amp;"生成成长"),2))/((VLOOKUP($B138,INDIRECT($B$5&amp;"生成成长"),4))/(VLOOKUP(L$72,INDIRECT($C$5&amp;"生成成长"),5))*(VLOOKUP($B$5,标准坦克设计!$B$24:$U$30,MATCH("对"&amp;LEFT($C$5,2)&amp;"输出",标准坦克设计!$B$23:$U$23,0)))*(VLOOKUP($B138,INDIRECT($B$5&amp;"生成成长"),3))*(VLOOKUP($B$5,标准坦克设计!$B$14:$K$20,9)/30))</f>
        <v>3.989300200009732</v>
      </c>
      <c r="M138" s="172">
        <f ca="1">(VLOOKUP(M$72,INDIRECT($C$5&amp;"生成成长"),2))/((VLOOKUP($B138,INDIRECT($B$5&amp;"生成成长"),4))/(VLOOKUP(M$72,INDIRECT($C$5&amp;"生成成长"),5))*(VLOOKUP($B$5,标准坦克设计!$B$24:$U$30,MATCH("对"&amp;LEFT($C$5,2)&amp;"输出",标准坦克设计!$B$23:$U$23,0)))*(VLOOKUP($B138,INDIRECT($B$5&amp;"生成成长"),3))*(VLOOKUP($B$5,标准坦克设计!$B$14:$K$20,9)/30))</f>
        <v>4.4322319972350632</v>
      </c>
      <c r="N138" s="172">
        <f ca="1">(VLOOKUP(N$72,INDIRECT($C$5&amp;"生成成长"),2))/((VLOOKUP($B138,INDIRECT($B$5&amp;"生成成长"),4))/(VLOOKUP(N$72,INDIRECT($C$5&amp;"生成成长"),5))*(VLOOKUP($B$5,标准坦克设计!$B$24:$U$30,MATCH("对"&amp;LEFT($C$5,2)&amp;"输出",标准坦克设计!$B$23:$U$23,0)))*(VLOOKUP($B138,INDIRECT($B$5&amp;"生成成长"),3))*(VLOOKUP($B$5,标准坦克设计!$B$14:$K$20,9)/30))</f>
        <v>4.8984759943143601</v>
      </c>
      <c r="O138" s="172">
        <f ca="1">(VLOOKUP(O$72,INDIRECT($C$5&amp;"生成成长"),2))/((VLOOKUP($B138,INDIRECT($B$5&amp;"生成成长"),4))/(VLOOKUP(O$72,INDIRECT($C$5&amp;"生成成长"),5))*(VLOOKUP($B$5,标准坦克设计!$B$24:$U$30,MATCH("对"&amp;LEFT($C$5,2)&amp;"输出",标准坦克设计!$B$23:$U$23,0)))*(VLOOKUP($B138,INDIRECT($B$5&amp;"生成成长"),3))*(VLOOKUP($B$5,标准坦克设计!$B$14:$K$20,9)/30))</f>
        <v>3.7243060532322412</v>
      </c>
      <c r="P138" s="172">
        <f ca="1">(VLOOKUP(P$72,INDIRECT($C$5&amp;"生成成长"),2))/((VLOOKUP($B138,INDIRECT($B$5&amp;"生成成长"),4))/(VLOOKUP(P$72,INDIRECT($C$5&amp;"生成成长"),5))*(VLOOKUP($B$5,标准坦克设计!$B$24:$U$30,MATCH("对"&amp;LEFT($C$5,2)&amp;"输出",标准坦克设计!$B$23:$U$23,0)))*(VLOOKUP($B138,INDIRECT($B$5&amp;"生成成长"),3))*(VLOOKUP($B$5,标准坦克设计!$B$14:$K$20,9)/30))</f>
        <v>4.2078520736406517</v>
      </c>
      <c r="Q138" s="172">
        <f ca="1">(VLOOKUP(Q$72,INDIRECT($C$5&amp;"生成成长"),2))/((VLOOKUP($B138,INDIRECT($B$5&amp;"生成成长"),4))/(VLOOKUP(Q$72,INDIRECT($C$5&amp;"生成成长"),5))*(VLOOKUP($B$5,标准坦克设计!$B$24:$U$30,MATCH("对"&amp;LEFT($C$5,2)&amp;"输出",标准坦克设计!$B$23:$U$23,0)))*(VLOOKUP($B138,INDIRECT($B$5&amp;"生成成长"),3))*(VLOOKUP($B$5,标准坦克设计!$B$14:$K$20,9)/30))</f>
        <v>4.7209025969892373</v>
      </c>
      <c r="R138" s="172">
        <f ca="1">(VLOOKUP(R$72,INDIRECT($C$5&amp;"生成成长"),2))/((VLOOKUP($B138,INDIRECT($B$5&amp;"生成成长"),4))/(VLOOKUP(R$72,INDIRECT($C$5&amp;"生成成长"),5))*(VLOOKUP($B$5,标准坦克设计!$B$24:$U$30,MATCH("对"&amp;LEFT($C$5,2)&amp;"输出",标准坦克设计!$B$23:$U$23,0)))*(VLOOKUP($B138,INDIRECT($B$5&amp;"生成成长"),3))*(VLOOKUP($B$5,标准坦克设计!$B$14:$K$20,9)/30))</f>
        <v>5.2634576232779962</v>
      </c>
      <c r="S138" s="172">
        <f ca="1">(VLOOKUP(S$72,INDIRECT($C$5&amp;"生成成长"),2))/((VLOOKUP($B138,INDIRECT($B$5&amp;"生成成长"),4))/(VLOOKUP(S$72,INDIRECT($C$5&amp;"生成成长"),5))*(VLOOKUP($B$5,标准坦克设计!$B$24:$U$30,MATCH("对"&amp;LEFT($C$5,2)&amp;"输出",标准坦克设计!$B$23:$U$23,0)))*(VLOOKUP($B138,INDIRECT($B$5&amp;"生成成长"),3))*(VLOOKUP($B$5,标准坦克设计!$B$14:$K$20,9)/30))</f>
        <v>5.8355171525069318</v>
      </c>
      <c r="T138" s="172">
        <f ca="1">(VLOOKUP(T$72,INDIRECT($C$5&amp;"生成成长"),2))/((VLOOKUP($B138,INDIRECT($B$5&amp;"生成成长"),4))/(VLOOKUP(T$72,INDIRECT($C$5&amp;"生成成长"),5))*(VLOOKUP($B$5,标准坦克设计!$B$24:$U$30,MATCH("对"&amp;LEFT($C$5,2)&amp;"输出",标准坦克设计!$B$23:$U$23,0)))*(VLOOKUP($B138,INDIRECT($B$5&amp;"生成成长"),3))*(VLOOKUP($B$5,标准坦克设计!$B$14:$K$20,9)/30))</f>
        <v>6.4370811846760398</v>
      </c>
      <c r="U138" s="172">
        <f ca="1">(VLOOKUP(U$72,INDIRECT($C$5&amp;"生成成长"),2))/((VLOOKUP($B138,INDIRECT($B$5&amp;"生成成长"),4))/(VLOOKUP(U$72,INDIRECT($C$5&amp;"生成成长"),5))*(VLOOKUP($B$5,标准坦克设计!$B$24:$U$30,MATCH("对"&amp;LEFT($C$5,2)&amp;"输出",标准坦克设计!$B$23:$U$23,0)))*(VLOOKUP($B138,INDIRECT($B$5&amp;"生成成长"),3))*(VLOOKUP($B$5,标准坦克设计!$B$14:$K$20,9)/30))</f>
        <v>7.0681497197853211</v>
      </c>
      <c r="V138" s="172">
        <f ca="1">(VLOOKUP(V$72,INDIRECT($C$5&amp;"生成成长"),2))/((VLOOKUP($B138,INDIRECT($B$5&amp;"生成成长"),4))/(VLOOKUP(V$72,INDIRECT($C$5&amp;"生成成长"),5))*(VLOOKUP($B$5,标准坦克设计!$B$24:$U$30,MATCH("对"&amp;LEFT($C$5,2)&amp;"输出",标准坦克设计!$B$23:$U$23,0)))*(VLOOKUP($B138,INDIRECT($B$5&amp;"生成成长"),3))*(VLOOKUP($B$5,标准坦克设计!$B$14:$K$20,9)/30))</f>
        <v>7.7287227578347775</v>
      </c>
      <c r="W138" s="172">
        <f ca="1">(VLOOKUP(W$72,INDIRECT($C$5&amp;"生成成长"),2))/((VLOOKUP($B138,INDIRECT($B$5&amp;"生成成长"),4))/(VLOOKUP(W$72,INDIRECT($C$5&amp;"生成成长"),5))*(VLOOKUP($B$5,标准坦克设计!$B$24:$U$30,MATCH("对"&amp;LEFT($C$5,2)&amp;"输出",标准坦克设计!$B$23:$U$23,0)))*(VLOOKUP($B138,INDIRECT($B$5&amp;"生成成长"),3))*(VLOOKUP($B$5,标准坦克设计!$B$14:$K$20,9)/30))</f>
        <v>8.4188002988244079</v>
      </c>
      <c r="X138" s="172">
        <f ca="1">(VLOOKUP(X$72,INDIRECT($C$5&amp;"生成成长"),2))/((VLOOKUP($B138,INDIRECT($B$5&amp;"生成成长"),4))/(VLOOKUP(X$72,INDIRECT($C$5&amp;"生成成长"),5))*(VLOOKUP($B$5,标准坦克设计!$B$24:$U$30,MATCH("对"&amp;LEFT($C$5,2)&amp;"输出",标准坦克设计!$B$23:$U$23,0)))*(VLOOKUP($B138,INDIRECT($B$5&amp;"生成成长"),3))*(VLOOKUP($B$5,标准坦克设计!$B$14:$K$20,9)/30))</f>
        <v>6.099236413354908</v>
      </c>
      <c r="Y138" s="172">
        <f ca="1">(VLOOKUP(Y$72,INDIRECT($C$5&amp;"生成成长"),2))/((VLOOKUP($B138,INDIRECT($B$5&amp;"生成成长"),4))/(VLOOKUP(Y$72,INDIRECT($C$5&amp;"生成成长"),5))*(VLOOKUP($B$5,标准坦克设计!$B$24:$U$30,MATCH("对"&amp;LEFT($C$5,2)&amp;"输出",标准坦克设计!$B$23:$U$23,0)))*(VLOOKUP($B138,INDIRECT($B$5&amp;"生成成长"),3))*(VLOOKUP($B$5,标准坦克设计!$B$14:$K$20,9)/30))</f>
        <v>6.7840322840651259</v>
      </c>
      <c r="Z138" s="172">
        <f ca="1">(VLOOKUP(Z$72,INDIRECT($C$5&amp;"生成成长"),2))/((VLOOKUP($B138,INDIRECT($B$5&amp;"生成成长"),4))/(VLOOKUP(Z$72,INDIRECT($C$5&amp;"生成成长"),5))*(VLOOKUP($B$5,标准坦克设计!$B$24:$U$30,MATCH("对"&amp;LEFT($C$5,2)&amp;"输出",标准坦克设计!$B$23:$U$23,0)))*(VLOOKUP($B138,INDIRECT($B$5&amp;"生成成长"),3))*(VLOOKUP($B$5,标准坦克设计!$B$14:$K$20,9)/30))</f>
        <v>7.5052534670471616</v>
      </c>
      <c r="AA138" s="172">
        <f ca="1">(VLOOKUP(AA$72,INDIRECT($C$5&amp;"生成成长"),2))/((VLOOKUP($B138,INDIRECT($B$5&amp;"生成成长"),4))/(VLOOKUP(AA$72,INDIRECT($C$5&amp;"生成成长"),5))*(VLOOKUP($B$5,标准坦克设计!$B$24:$U$30,MATCH("对"&amp;LEFT($C$5,2)&amp;"输出",标准坦克设计!$B$23:$U$23,0)))*(VLOOKUP($B138,INDIRECT($B$5&amp;"生成成长"),3))*(VLOOKUP($B$5,标准坦克设计!$B$14:$K$20,9)/30))</f>
        <v>8.2628999623010202</v>
      </c>
      <c r="AB138" s="172">
        <f ca="1">(VLOOKUP(AB$72,INDIRECT($C$5&amp;"生成成长"),2))/((VLOOKUP($B138,INDIRECT($B$5&amp;"生成成长"),4))/(VLOOKUP(AB$72,INDIRECT($C$5&amp;"生成成长"),5))*(VLOOKUP($B$5,标准坦克设计!$B$24:$U$30,MATCH("对"&amp;LEFT($C$5,2)&amp;"输出",标准坦克设计!$B$23:$U$23,0)))*(VLOOKUP($B138,INDIRECT($B$5&amp;"生成成长"),3))*(VLOOKUP($B$5,标准坦克设计!$B$14:$K$20,9)/30))</f>
        <v>9.0569717698266956</v>
      </c>
      <c r="AC138" s="172">
        <f ca="1">(VLOOKUP(AC$72,INDIRECT($C$5&amp;"生成成长"),2))/((VLOOKUP($B138,INDIRECT($B$5&amp;"生成成长"),4))/(VLOOKUP(AC$72,INDIRECT($C$5&amp;"生成成长"),5))*(VLOOKUP($B$5,标准坦克设计!$B$24:$U$30,MATCH("对"&amp;LEFT($C$5,2)&amp;"输出",标准坦克设计!$B$23:$U$23,0)))*(VLOOKUP($B138,INDIRECT($B$5&amp;"生成成长"),3))*(VLOOKUP($B$5,标准坦克设计!$B$14:$K$20,9)/30))</f>
        <v>9.8874688896241931</v>
      </c>
      <c r="AD138" s="172">
        <f ca="1">(VLOOKUP(AD$72,INDIRECT($C$5&amp;"生成成长"),2))/((VLOOKUP($B138,INDIRECT($B$5&amp;"生成成长"),4))/(VLOOKUP(AD$72,INDIRECT($C$5&amp;"生成成长"),5))*(VLOOKUP($B$5,标准坦克设计!$B$24:$U$30,MATCH("对"&amp;LEFT($C$5,2)&amp;"输出",标准坦克设计!$B$23:$U$23,0)))*(VLOOKUP($B138,INDIRECT($B$5&amp;"生成成长"),3))*(VLOOKUP($B$5,标准坦克设计!$B$14:$K$20,9)/30))</f>
        <v>10.754391321693509</v>
      </c>
      <c r="AE138" s="172">
        <f ca="1">(VLOOKUP(AE$72,INDIRECT($C$5&amp;"生成成长"),2))/((VLOOKUP($B138,INDIRECT($B$5&amp;"生成成长"),4))/(VLOOKUP(AE$72,INDIRECT($C$5&amp;"生成成长"),5))*(VLOOKUP($B$5,标准坦克设计!$B$24:$U$30,MATCH("对"&amp;LEFT($C$5,2)&amp;"输出",标准坦克设计!$B$23:$U$23,0)))*(VLOOKUP($B138,INDIRECT($B$5&amp;"生成成长"),3))*(VLOOKUP($B$5,标准坦克设计!$B$14:$K$20,9)/30))</f>
        <v>11.657739066034646</v>
      </c>
      <c r="AF138" s="172">
        <f ca="1">(VLOOKUP(AF$72,INDIRECT($C$5&amp;"生成成长"),2))/((VLOOKUP($B138,INDIRECT($B$5&amp;"生成成长"),4))/(VLOOKUP(AF$72,INDIRECT($C$5&amp;"生成成长"),5))*(VLOOKUP($B$5,标准坦克设计!$B$24:$U$30,MATCH("对"&amp;LEFT($C$5,2)&amp;"输出",标准坦克设计!$B$23:$U$23,0)))*(VLOOKUP($B138,INDIRECT($B$5&amp;"生成成长"),3))*(VLOOKUP($B$5,标准坦克设计!$B$14:$K$20,9)/30))</f>
        <v>12.597512122647604</v>
      </c>
      <c r="AG138" s="172">
        <f ca="1">(VLOOKUP(AG$72,INDIRECT($C$5&amp;"生成成长"),2))/((VLOOKUP($B138,INDIRECT($B$5&amp;"生成成长"),4))/(VLOOKUP(AG$72,INDIRECT($C$5&amp;"生成成长"),5))*(VLOOKUP($B$5,标准坦克设计!$B$24:$U$30,MATCH("对"&amp;LEFT($C$5,2)&amp;"输出",标准坦克设计!$B$23:$U$23,0)))*(VLOOKUP($B138,INDIRECT($B$5&amp;"生成成长"),3))*(VLOOKUP($B$5,标准坦克设计!$B$14:$K$20,9)/30))</f>
        <v>13.573710491532381</v>
      </c>
      <c r="AH138" s="172">
        <f ca="1">(VLOOKUP(AH$72,INDIRECT($C$5&amp;"生成成长"),2))/((VLOOKUP($B138,INDIRECT($B$5&amp;"生成成长"),4))/(VLOOKUP(AH$72,INDIRECT($C$5&amp;"生成成长"),5))*(VLOOKUP($B$5,标准坦克设计!$B$24:$U$30,MATCH("对"&amp;LEFT($C$5,2)&amp;"输出",标准坦克设计!$B$23:$U$23,0)))*(VLOOKUP($B138,INDIRECT($B$5&amp;"生成成长"),3))*(VLOOKUP($B$5,标准坦克设计!$B$14:$K$20,9)/30))</f>
        <v>14.586334172688979</v>
      </c>
      <c r="AI138" s="172">
        <f ca="1">(VLOOKUP(AI$72,INDIRECT($C$5&amp;"生成成长"),2))/((VLOOKUP($B138,INDIRECT($B$5&amp;"生成成长"),4))/(VLOOKUP(AI$72,INDIRECT($C$5&amp;"生成成长"),5))*(VLOOKUP($B$5,标准坦克设计!$B$24:$U$30,MATCH("对"&amp;LEFT($C$5,2)&amp;"输出",标准坦克设计!$B$23:$U$23,0)))*(VLOOKUP($B138,INDIRECT($B$5&amp;"生成成长"),3))*(VLOOKUP($B$5,标准坦克设计!$B$14:$K$20,9)/30))</f>
        <v>10.316376941624874</v>
      </c>
      <c r="AJ138" s="172">
        <f ca="1">(VLOOKUP(AJ$72,INDIRECT($C$5&amp;"生成成长"),2))/((VLOOKUP($B138,INDIRECT($B$5&amp;"生成成长"),4))/(VLOOKUP(AJ$72,INDIRECT($C$5&amp;"生成成长"),5))*(VLOOKUP($B$5,标准坦克设计!$B$24:$U$30,MATCH("对"&amp;LEFT($C$5,2)&amp;"输出",标准坦克设计!$B$23:$U$23,0)))*(VLOOKUP($B138,INDIRECT($B$5&amp;"生成成长"),3))*(VLOOKUP($B$5,标准坦克设计!$B$14:$K$20,9)/30))</f>
        <v>11.292028930825575</v>
      </c>
      <c r="AK138" s="172">
        <f ca="1">(VLOOKUP(AK$72,INDIRECT($C$5&amp;"生成成长"),2))/((VLOOKUP($B138,INDIRECT($B$5&amp;"生成成长"),4))/(VLOOKUP(AK$72,INDIRECT($C$5&amp;"生成成长"),5))*(VLOOKUP($B$5,标准坦克设计!$B$24:$U$30,MATCH("对"&amp;LEFT($C$5,2)&amp;"输出",标准坦克设计!$B$23:$U$23,0)))*(VLOOKUP($B138,INDIRECT($B$5&amp;"生成成长"),3))*(VLOOKUP($B$5,标准坦克设计!$B$14:$K$20,9)/30))</f>
        <v>12.311755547875176</v>
      </c>
      <c r="AL138" s="172">
        <f ca="1">(VLOOKUP(AL$72,INDIRECT($C$5&amp;"生成成长"),2))/((VLOOKUP($B138,INDIRECT($B$5&amp;"生成成长"),4))/(VLOOKUP(AL$72,INDIRECT($C$5&amp;"生成成长"),5))*(VLOOKUP($B$5,标准坦克设计!$B$24:$U$30,MATCH("对"&amp;LEFT($C$5,2)&amp;"输出",标准坦克设计!$B$23:$U$23,0)))*(VLOOKUP($B138,INDIRECT($B$5&amp;"生成成长"),3))*(VLOOKUP($B$5,标准坦克设计!$B$14:$K$20,9)/30))</f>
        <v>13.375556792773681</v>
      </c>
      <c r="AM138" s="172">
        <f ca="1">(VLOOKUP(AM$72,INDIRECT($C$5&amp;"生成成长"),2))/((VLOOKUP($B138,INDIRECT($B$5&amp;"生成成长"),4))/(VLOOKUP(AM$72,INDIRECT($C$5&amp;"生成成长"),5))*(VLOOKUP($B$5,标准坦克设计!$B$24:$U$30,MATCH("对"&amp;LEFT($C$5,2)&amp;"输出",标准坦克设计!$B$23:$U$23,0)))*(VLOOKUP($B138,INDIRECT($B$5&amp;"生成成长"),3))*(VLOOKUP($B$5,标准坦克设计!$B$14:$K$20,9)/30))</f>
        <v>14.483432665521089</v>
      </c>
      <c r="AN138" s="172">
        <f ca="1">(VLOOKUP(AN$72,INDIRECT($C$5&amp;"生成成长"),2))/((VLOOKUP($B138,INDIRECT($B$5&amp;"生成成长"),4))/(VLOOKUP(AN$72,INDIRECT($C$5&amp;"生成成长"),5))*(VLOOKUP($B$5,标准坦克设计!$B$24:$U$30,MATCH("对"&amp;LEFT($C$5,2)&amp;"输出",标准坦克设计!$B$23:$U$23,0)))*(VLOOKUP($B138,INDIRECT($B$5&amp;"生成成长"),3))*(VLOOKUP($B$5,标准坦克设计!$B$14:$K$20,9)/30))</f>
        <v>15.635383166117398</v>
      </c>
      <c r="AO138" s="172">
        <f ca="1">(VLOOKUP(AO$72,INDIRECT($C$5&amp;"生成成长"),2))/((VLOOKUP($B138,INDIRECT($B$5&amp;"生成成长"),4))/(VLOOKUP(AO$72,INDIRECT($C$5&amp;"生成成长"),5))*(VLOOKUP($B$5,标准坦克设计!$B$24:$U$30,MATCH("对"&amp;LEFT($C$5,2)&amp;"输出",标准坦克设计!$B$23:$U$23,0)))*(VLOOKUP($B138,INDIRECT($B$5&amp;"生成成长"),3))*(VLOOKUP($B$5,标准坦克设计!$B$14:$K$20,9)/30))</f>
        <v>16.831408294562607</v>
      </c>
      <c r="AP138" s="172">
        <f ca="1">(VLOOKUP(AP$72,INDIRECT($C$5&amp;"生成成长"),2))/((VLOOKUP($B138,INDIRECT($B$5&amp;"生成成长"),4))/(VLOOKUP(AP$72,INDIRECT($C$5&amp;"生成成长"),5))*(VLOOKUP($B$5,标准坦克设计!$B$24:$U$30,MATCH("对"&amp;LEFT($C$5,2)&amp;"输出",标准坦克设计!$B$23:$U$23,0)))*(VLOOKUP($B138,INDIRECT($B$5&amp;"生成成长"),3))*(VLOOKUP($B$5,标准坦克设计!$B$14:$K$20,9)/30))</f>
        <v>18.071508050856721</v>
      </c>
      <c r="AQ138" s="172">
        <f ca="1">(VLOOKUP(AQ$72,INDIRECT($C$5&amp;"生成成长"),2))/((VLOOKUP($B138,INDIRECT($B$5&amp;"生成成长"),4))/(VLOOKUP(AQ$72,INDIRECT($C$5&amp;"生成成长"),5))*(VLOOKUP($B$5,标准坦克设计!$B$24:$U$30,MATCH("对"&amp;LEFT($C$5,2)&amp;"输出",标准坦克设计!$B$23:$U$23,0)))*(VLOOKUP($B138,INDIRECT($B$5&amp;"生成成长"),3))*(VLOOKUP($B$5,标准坦克设计!$B$14:$K$20,9)/30))</f>
        <v>19.355682434999739</v>
      </c>
      <c r="AR138" s="172">
        <f ca="1">(VLOOKUP(AR$72,INDIRECT($C$5&amp;"生成成长"),2))/((VLOOKUP($B138,INDIRECT($B$5&amp;"生成成长"),4))/(VLOOKUP(AR$72,INDIRECT($C$5&amp;"生成成长"),5))*(VLOOKUP($B$5,标准坦克设计!$B$24:$U$30,MATCH("对"&amp;LEFT($C$5,2)&amp;"输出",标准坦克设计!$B$23:$U$23,0)))*(VLOOKUP($B138,INDIRECT($B$5&amp;"生成成长"),3))*(VLOOKUP($B$5,标准坦克设计!$B$14:$K$20,9)/30))</f>
        <v>20.683931446991654</v>
      </c>
      <c r="AS138" s="172">
        <f ca="1">(VLOOKUP(AS$72,INDIRECT($C$5&amp;"生成成长"),2))/((VLOOKUP($B138,INDIRECT($B$5&amp;"生成成长"),4))/(VLOOKUP(AS$72,INDIRECT($C$5&amp;"生成成长"),5))*(VLOOKUP($B$5,标准坦克设计!$B$24:$U$30,MATCH("对"&amp;LEFT($C$5,2)&amp;"输出",标准坦克设计!$B$23:$U$23,0)))*(VLOOKUP($B138,INDIRECT($B$5&amp;"生成成长"),3))*(VLOOKUP($B$5,标准坦克设计!$B$14:$K$20,9)/30))</f>
        <v>22.056255086832476</v>
      </c>
      <c r="AT138" s="172">
        <f ca="1">(VLOOKUP(AT$72,INDIRECT($C$5&amp;"生成成长"),2))/((VLOOKUP($B138,INDIRECT($B$5&amp;"生成成长"),4))/(VLOOKUP(AT$72,INDIRECT($C$5&amp;"生成成长"),5))*(VLOOKUP($B$5,标准坦克设计!$B$24:$U$30,MATCH("对"&amp;LEFT($C$5,2)&amp;"输出",标准坦克设计!$B$23:$U$23,0)))*(VLOOKUP($B138,INDIRECT($B$5&amp;"生成成长"),3))*(VLOOKUP($B$5,标准坦克设计!$B$14:$K$20,9)/30))</f>
        <v>23.472653354522198</v>
      </c>
      <c r="AU138" s="172">
        <f ca="1">(VLOOKUP(AU$72,INDIRECT($C$5&amp;"生成成长"),2))/((VLOOKUP($B138,INDIRECT($B$5&amp;"生成成长"),4))/(VLOOKUP(AU$72,INDIRECT($C$5&amp;"生成成长"),5))*(VLOOKUP($B$5,标准坦克设计!$B$24:$U$30,MATCH("对"&amp;LEFT($C$5,2)&amp;"输出",标准坦克设计!$B$23:$U$23,0)))*(VLOOKUP($B138,INDIRECT($B$5&amp;"生成成长"),3))*(VLOOKUP($B$5,标准坦克设计!$B$14:$K$20,9)/30))</f>
        <v>24.933126250060827</v>
      </c>
      <c r="AV138" s="172">
        <f ca="1">(VLOOKUP(AV$72,INDIRECT($C$5&amp;"生成成长"),2))/((VLOOKUP($B138,INDIRECT($B$5&amp;"生成成长"),4))/(VLOOKUP(AV$72,INDIRECT($C$5&amp;"生成成长"),5))*(VLOOKUP($B$5,标准坦克设计!$B$24:$U$30,MATCH("对"&amp;LEFT($C$5,2)&amp;"输出",标准坦克设计!$B$23:$U$23,0)))*(VLOOKUP($B138,INDIRECT($B$5&amp;"生成成长"),3))*(VLOOKUP($B$5,标准坦克设计!$B$14:$K$20,9)/30))</f>
        <v>2.5359302403641117</v>
      </c>
      <c r="AW138" s="172">
        <f ca="1">(VLOOKUP(AW$72,INDIRECT($C$5&amp;"生成成长"),2))/((VLOOKUP($B138,INDIRECT($B$5&amp;"生成成长"),4))/(VLOOKUP(AW$72,INDIRECT($C$5&amp;"生成成长"),5))*(VLOOKUP($B$5,标准坦克设计!$B$24:$U$30,MATCH("对"&amp;LEFT($C$5,2)&amp;"输出",标准坦克设计!$B$23:$U$23,0)))*(VLOOKUP($B138,INDIRECT($B$5&amp;"生成成长"),3))*(VLOOKUP($B$5,标准坦克设计!$B$14:$K$20,9)/30))</f>
        <v>2.8914412881370755</v>
      </c>
      <c r="AX138" s="172">
        <f ca="1">(VLOOKUP(AX$72,INDIRECT($C$5&amp;"生成成长"),2))/((VLOOKUP($B138,INDIRECT($B$5&amp;"生成成长"),4))/(VLOOKUP(AX$72,INDIRECT($C$5&amp;"生成成长"),5))*(VLOOKUP($B$5,标准坦克设计!$B$24:$U$30,MATCH("对"&amp;LEFT($C$5,2)&amp;"输出",标准坦克设计!$B$23:$U$23,0)))*(VLOOKUP($B138,INDIRECT($B$5&amp;"生成成长"),3))*(VLOOKUP($B$5,标准坦克设计!$B$14:$K$20,9)/30))</f>
        <v>3.2702645357640034</v>
      </c>
      <c r="AY138" s="172">
        <f ca="1">(VLOOKUP(AY$72,INDIRECT($C$5&amp;"生成成长"),2))/((VLOOKUP($B138,INDIRECT($B$5&amp;"生成成长"),4))/(VLOOKUP(AY$72,INDIRECT($C$5&amp;"生成成长"),5))*(VLOOKUP($B$5,标准坦克设计!$B$24:$U$30,MATCH("对"&amp;LEFT($C$5,2)&amp;"输出",标准坦克设计!$B$23:$U$23,0)))*(VLOOKUP($B138,INDIRECT($B$5&amp;"生成成长"),3))*(VLOOKUP($B$5,标准坦克设计!$B$14:$K$20,9)/30))</f>
        <v>3.6723999832448975</v>
      </c>
      <c r="AZ138" s="172">
        <f ca="1">(VLOOKUP(AZ$72,INDIRECT($C$5&amp;"生成成长"),2))/((VLOOKUP($B138,INDIRECT($B$5&amp;"生成成长"),4))/(VLOOKUP(AZ$72,INDIRECT($C$5&amp;"生成成长"),5))*(VLOOKUP($B$5,标准坦克设计!$B$24:$U$30,MATCH("对"&amp;LEFT($C$5,2)&amp;"输出",标准坦克设计!$B$23:$U$23,0)))*(VLOOKUP($B138,INDIRECT($B$5&amp;"生成成长"),3))*(VLOOKUP($B$5,标准坦克设计!$B$14:$K$20,9)/30))</f>
        <v>4.0978476305797553</v>
      </c>
      <c r="BA138" s="172">
        <f ca="1">(VLOOKUP(BA$72,INDIRECT($C$5&amp;"生成成长"),2))/((VLOOKUP($B138,INDIRECT($B$5&amp;"生成成长"),4))/(VLOOKUP(BA$72,INDIRECT($C$5&amp;"生成成长"),5))*(VLOOKUP($B$5,标准坦克设计!$B$24:$U$30,MATCH("对"&amp;LEFT($C$5,2)&amp;"输出",标准坦克设计!$B$23:$U$23,0)))*(VLOOKUP($B138,INDIRECT($B$5&amp;"生成成长"),3))*(VLOOKUP($B$5,标准坦克设计!$B$14:$K$20,9)/30))</f>
        <v>4.5466074777685783</v>
      </c>
      <c r="BB138" s="172">
        <f ca="1">(VLOOKUP(BB$72,INDIRECT($C$5&amp;"生成成长"),2))/((VLOOKUP($B138,INDIRECT($B$5&amp;"生成成长"),4))/(VLOOKUP(BB$72,INDIRECT($C$5&amp;"生成成长"),5))*(VLOOKUP($B$5,标准坦克设计!$B$24:$U$30,MATCH("对"&amp;LEFT($C$5,2)&amp;"输出",标准坦克设计!$B$23:$U$23,0)))*(VLOOKUP($B138,INDIRECT($B$5&amp;"生成成长"),3))*(VLOOKUP($B$5,标准坦克设计!$B$14:$K$20,9)/30))</f>
        <v>5.0186795248113665</v>
      </c>
      <c r="BC138" s="172">
        <f ca="1">(VLOOKUP(BC$72,INDIRECT($C$5&amp;"生成成长"),2))/((VLOOKUP($B138,INDIRECT($B$5&amp;"生成成长"),4))/(VLOOKUP(BC$72,INDIRECT($C$5&amp;"生成成长"),5))*(VLOOKUP($B$5,标准坦克设计!$B$24:$U$30,MATCH("对"&amp;LEFT($C$5,2)&amp;"输出",标准坦克设计!$B$23:$U$23,0)))*(VLOOKUP($B138,INDIRECT($B$5&amp;"生成成长"),3))*(VLOOKUP($B$5,标准坦克设计!$B$14:$K$20,9)/30))</f>
        <v>5.5140637717081189</v>
      </c>
      <c r="BD138" s="172">
        <f ca="1">(VLOOKUP(BD$72,INDIRECT($C$5&amp;"生成成长"),2))/((VLOOKUP($B138,INDIRECT($B$5&amp;"生成成长"),4))/(VLOOKUP(BD$72,INDIRECT($C$5&amp;"生成成长"),5))*(VLOOKUP($B$5,标准坦克设计!$B$24:$U$30,MATCH("对"&amp;LEFT($C$5,2)&amp;"输出",标准坦克设计!$B$23:$U$23,0)))*(VLOOKUP($B138,INDIRECT($B$5&amp;"生成成长"),3))*(VLOOKUP($B$5,标准坦克设计!$B$14:$K$20,9)/30))</f>
        <v>6.099236413354908</v>
      </c>
      <c r="BE138" s="172">
        <f ca="1">(VLOOKUP(BE$72,INDIRECT($C$5&amp;"生成成长"),2))/((VLOOKUP($B138,INDIRECT($B$5&amp;"生成成长"),4))/(VLOOKUP(BE$72,INDIRECT($C$5&amp;"生成成长"),5))*(VLOOKUP($B$5,标准坦克设计!$B$24:$U$30,MATCH("对"&amp;LEFT($C$5,2)&amp;"输出",标准坦克设计!$B$23:$U$23,0)))*(VLOOKUP($B138,INDIRECT($B$5&amp;"生成成长"),3))*(VLOOKUP($B$5,标准坦克设计!$B$14:$K$20,9)/30))</f>
        <v>6.7139135579418712</v>
      </c>
      <c r="BF138" s="172">
        <f ca="1">(VLOOKUP(BF$72,INDIRECT($C$5&amp;"生成成长"),2))/((VLOOKUP($B138,INDIRECT($B$5&amp;"生成成长"),4))/(VLOOKUP(BF$72,INDIRECT($C$5&amp;"生成成长"),5))*(VLOOKUP($B$5,标准坦克设计!$B$24:$U$30,MATCH("对"&amp;LEFT($C$5,2)&amp;"输出",标准坦克设计!$B$23:$U$23,0)))*(VLOOKUP($B138,INDIRECT($B$5&amp;"生成成长"),3))*(VLOOKUP($B$5,标准坦克设计!$B$14:$K$20,9)/30))</f>
        <v>7.3580952054690094</v>
      </c>
      <c r="BG138" s="172">
        <f ca="1">(VLOOKUP(BG$72,INDIRECT($C$5&amp;"生成成长"),2))/((VLOOKUP($B138,INDIRECT($B$5&amp;"生成成长"),4))/(VLOOKUP(BG$72,INDIRECT($C$5&amp;"生成成长"),5))*(VLOOKUP($B$5,标准坦克设计!$B$24:$U$30,MATCH("对"&amp;LEFT($C$5,2)&amp;"输出",标准坦克设计!$B$23:$U$23,0)))*(VLOOKUP($B138,INDIRECT($B$5&amp;"生成成长"),3))*(VLOOKUP($B$5,标准坦克设计!$B$14:$K$20,9)/30))</f>
        <v>8.0317813559363191</v>
      </c>
      <c r="BH138" s="172">
        <f ca="1">(VLOOKUP(BH$72,INDIRECT($C$5&amp;"生成成长"),2))/((VLOOKUP($B138,INDIRECT($B$5&amp;"生成成长"),4))/(VLOOKUP(BH$72,INDIRECT($C$5&amp;"生成成长"),5))*(VLOOKUP($B$5,标准坦克设计!$B$24:$U$30,MATCH("对"&amp;LEFT($C$5,2)&amp;"输出",标准坦克设计!$B$23:$U$23,0)))*(VLOOKUP($B138,INDIRECT($B$5&amp;"生成成长"),3))*(VLOOKUP($B$5,标准坦克设计!$B$14:$K$20,9)/30))</f>
        <v>3.8822097819305807</v>
      </c>
      <c r="BI138" s="172">
        <f ca="1">(VLOOKUP(BI$72,INDIRECT($C$5&amp;"生成成长"),2))/((VLOOKUP($B138,INDIRECT($B$5&amp;"生成成长"),4))/(VLOOKUP(BI$72,INDIRECT($C$5&amp;"生成成长"),5))*(VLOOKUP($B$5,标准坦克设计!$B$24:$U$30,MATCH("对"&amp;LEFT($C$5,2)&amp;"输出",标准坦克设计!$B$23:$U$23,0)))*(VLOOKUP($B138,INDIRECT($B$5&amp;"生成成长"),3))*(VLOOKUP($B$5,标准坦克设计!$B$14:$K$20,9)/30))</f>
        <v>4.3755906366523831</v>
      </c>
      <c r="BJ138" s="172">
        <f ca="1">(VLOOKUP(BJ$72,INDIRECT($C$5&amp;"生成成长"),2))/((VLOOKUP($B138,INDIRECT($B$5&amp;"生成成长"),4))/(VLOOKUP(BJ$72,INDIRECT($C$5&amp;"生成成长"),5))*(VLOOKUP($B$5,标准坦克设计!$B$24:$U$30,MATCH("对"&amp;LEFT($C$5,2)&amp;"输出",标准坦克设计!$B$23:$U$23,0)))*(VLOOKUP($B138,INDIRECT($B$5&amp;"生成成长"),3))*(VLOOKUP($B$5,标准坦克设计!$B$14:$K$20,9)/30))</f>
        <v>4.8984759943143601</v>
      </c>
      <c r="BK138" s="172">
        <f ca="1">(VLOOKUP(BK$72,INDIRECT($C$5&amp;"生成成长"),2))/((VLOOKUP($B138,INDIRECT($B$5&amp;"生成成长"),4))/(VLOOKUP(BK$72,INDIRECT($C$5&amp;"生成成长"),5))*(VLOOKUP($B$5,标准坦克设计!$B$24:$U$30,MATCH("对"&amp;LEFT($C$5,2)&amp;"输出",标准坦克设计!$B$23:$U$23,0)))*(VLOOKUP($B138,INDIRECT($B$5&amp;"生成成长"),3))*(VLOOKUP($B$5,标准坦克设计!$B$14:$K$20,9)/30))</f>
        <v>5.4508658549165121</v>
      </c>
      <c r="BL138" s="172">
        <f ca="1">(VLOOKUP(BL$72,INDIRECT($C$5&amp;"生成成长"),2))/((VLOOKUP($B138,INDIRECT($B$5&amp;"生成成长"),4))/(VLOOKUP(BL$72,INDIRECT($C$5&amp;"生成成长"),5))*(VLOOKUP($B$5,标准坦克设计!$B$24:$U$30,MATCH("对"&amp;LEFT($C$5,2)&amp;"输出",标准坦克设计!$B$23:$U$23,0)))*(VLOOKUP($B138,INDIRECT($B$5&amp;"生成成长"),3))*(VLOOKUP($B$5,标准坦克设计!$B$14:$K$20,9)/30))</f>
        <v>6.0327602184588365</v>
      </c>
      <c r="BM138" s="172">
        <f ca="1">(VLOOKUP(BM$72,INDIRECT($C$5&amp;"生成成长"),2))/((VLOOKUP($B138,INDIRECT($B$5&amp;"生成成长"),4))/(VLOOKUP(BM$72,INDIRECT($C$5&amp;"生成成长"),5))*(VLOOKUP($B$5,标准坦克设计!$B$24:$U$30,MATCH("对"&amp;LEFT($C$5,2)&amp;"输出",标准坦克设计!$B$23:$U$23,0)))*(VLOOKUP($B138,INDIRECT($B$5&amp;"生成成长"),3))*(VLOOKUP($B$5,标准坦克设计!$B$14:$K$20,9)/30))</f>
        <v>6.644159084941335</v>
      </c>
      <c r="BN138" s="172">
        <f ca="1">(VLOOKUP(BN$72,INDIRECT($C$5&amp;"生成成长"),2))/((VLOOKUP($B138,INDIRECT($B$5&amp;"生成成长"),4))/(VLOOKUP(BN$72,INDIRECT($C$5&amp;"生成成长"),5))*(VLOOKUP($B$5,标准坦克设计!$B$24:$U$30,MATCH("对"&amp;LEFT($C$5,2)&amp;"输出",标准坦克设计!$B$23:$U$23,0)))*(VLOOKUP($B138,INDIRECT($B$5&amp;"生成成长"),3))*(VLOOKUP($B$5,标准坦克设计!$B$14:$K$20,9)/30))</f>
        <v>7.2850624543640095</v>
      </c>
      <c r="BO138" s="172">
        <f ca="1">(VLOOKUP(BO$72,INDIRECT($C$5&amp;"生成成长"),2))/((VLOOKUP($B138,INDIRECT($B$5&amp;"生成成长"),4))/(VLOOKUP(BO$72,INDIRECT($C$5&amp;"生成成长"),5))*(VLOOKUP($B$5,标准坦克设计!$B$24:$U$30,MATCH("对"&amp;LEFT($C$5,2)&amp;"输出",标准坦克设计!$B$23:$U$23,0)))*(VLOOKUP($B138,INDIRECT($B$5&amp;"生成成长"),3))*(VLOOKUP($B$5,标准坦克设计!$B$14:$K$20,9)/30))</f>
        <v>7.9554703267268581</v>
      </c>
      <c r="BP138" s="172">
        <f ca="1">(VLOOKUP(BP$72,INDIRECT($C$5&amp;"生成成长"),2))/((VLOOKUP($B138,INDIRECT($B$5&amp;"生成成长"),4))/(VLOOKUP(BP$72,INDIRECT($C$5&amp;"生成成长"),5))*(VLOOKUP($B$5,标准坦克设计!$B$24:$U$30,MATCH("对"&amp;LEFT($C$5,2)&amp;"输出",标准坦克设计!$B$23:$U$23,0)))*(VLOOKUP($B138,INDIRECT($B$5&amp;"生成成长"),3))*(VLOOKUP($B$5,标准坦克设计!$B$14:$K$20,9)/30))</f>
        <v>8.6553827020298808</v>
      </c>
      <c r="BQ138" s="172">
        <f ca="1">(VLOOKUP(BQ$72,INDIRECT($C$5&amp;"生成成长"),2))/((VLOOKUP($B138,INDIRECT($B$5&amp;"生成成长"),4))/(VLOOKUP(BQ$72,INDIRECT($C$5&amp;"生成成长"),5))*(VLOOKUP($B$5,标准坦克设计!$B$24:$U$30,MATCH("对"&amp;LEFT($C$5,2)&amp;"输出",标准坦克设计!$B$23:$U$23,0)))*(VLOOKUP($B138,INDIRECT($B$5&amp;"生成成长"),3))*(VLOOKUP($B$5,标准坦克设计!$B$14:$K$20,9)/30))</f>
        <v>9.3847995802730768</v>
      </c>
      <c r="BR138" s="172">
        <f ca="1">(VLOOKUP(BR$72,INDIRECT($C$5&amp;"生成成长"),2))/((VLOOKUP($B138,INDIRECT($B$5&amp;"生成成长"),4))/(VLOOKUP(BR$72,INDIRECT($C$5&amp;"生成成长"),5))*(VLOOKUP($B$5,标准坦克设计!$B$24:$U$30,MATCH("对"&amp;LEFT($C$5,2)&amp;"输出",标准坦克设计!$B$23:$U$23,0)))*(VLOOKUP($B138,INDIRECT($B$5&amp;"生成成长"),3))*(VLOOKUP($B$5,标准坦克设计!$B$14:$K$20,9)/30))</f>
        <v>10.229866824979302</v>
      </c>
      <c r="BS138" s="172">
        <f ca="1">(VLOOKUP(BS$72,INDIRECT($C$5&amp;"生成成长"),2))/((VLOOKUP($B138,INDIRECT($B$5&amp;"生成成长"),4))/(VLOOKUP(BS$72,INDIRECT($C$5&amp;"生成成长"),5))*(VLOOKUP($B$5,标准坦克设计!$B$24:$U$30,MATCH("对"&amp;LEFT($C$5,2)&amp;"输出",标准坦克设计!$B$23:$U$23,0)))*(VLOOKUP($B138,INDIRECT($B$5&amp;"生成成长"),3))*(VLOOKUP($B$5,标准坦克设计!$B$14:$K$20,9)/30))</f>
        <v>11.111359381957348</v>
      </c>
      <c r="BT138" s="172">
        <f ca="1">(VLOOKUP(BT$72,INDIRECT($C$5&amp;"生成成长"),2))/((VLOOKUP($B138,INDIRECT($B$5&amp;"生成成长"),4))/(VLOOKUP(BT$72,INDIRECT($C$5&amp;"生成成长"),5))*(VLOOKUP($B$5,标准坦克设计!$B$24:$U$30,MATCH("对"&amp;LEFT($C$5,2)&amp;"输出",标准坦克设计!$B$23:$U$23,0)))*(VLOOKUP($B138,INDIRECT($B$5&amp;"生成成长"),3))*(VLOOKUP($B$5,标准坦克设计!$B$14:$K$20,9)/30))</f>
        <v>12.029277251207212</v>
      </c>
      <c r="BU138" s="172">
        <f ca="1">(VLOOKUP(BU$72,INDIRECT($C$5&amp;"生成成长"),2))/((VLOOKUP($B138,INDIRECT($B$5&amp;"生成成长"),4))/(VLOOKUP(BU$72,INDIRECT($C$5&amp;"生成成长"),5))*(VLOOKUP($B$5,标准坦克设计!$B$24:$U$30,MATCH("对"&amp;LEFT($C$5,2)&amp;"输出",标准坦克设计!$B$23:$U$23,0)))*(VLOOKUP($B138,INDIRECT($B$5&amp;"生成成长"),3))*(VLOOKUP($B$5,标准坦克设计!$B$14:$K$20,9)/30))</f>
        <v>12.983620432728896</v>
      </c>
      <c r="BV138" s="172">
        <f ca="1">(VLOOKUP(BV$72,INDIRECT($C$5&amp;"生成成长"),2))/((VLOOKUP($B138,INDIRECT($B$5&amp;"生成成长"),4))/(VLOOKUP(BV$72,INDIRECT($C$5&amp;"生成成长"),5))*(VLOOKUP($B$5,标准坦克设计!$B$24:$U$30,MATCH("对"&amp;LEFT($C$5,2)&amp;"输出",标准坦克设计!$B$23:$U$23,0)))*(VLOOKUP($B138,INDIRECT($B$5&amp;"生成成长"),3))*(VLOOKUP($B$5,标准坦克设计!$B$14:$K$20,9)/30))</f>
        <v>13.974388926522403</v>
      </c>
      <c r="BW138" s="172">
        <f ca="1">(VLOOKUP(BW$72,INDIRECT($C$5&amp;"生成成长"),2))/((VLOOKUP($B138,INDIRECT($B$5&amp;"生成成长"),4))/(VLOOKUP(BW$72,INDIRECT($C$5&amp;"生成成长"),5))*(VLOOKUP($B$5,标准坦克设计!$B$24:$U$30,MATCH("对"&amp;LEFT($C$5,2)&amp;"输出",标准坦克设计!$B$23:$U$23,0)))*(VLOOKUP($B138,INDIRECT($B$5&amp;"生成成长"),3))*(VLOOKUP($B$5,标准坦克设计!$B$14:$K$20,9)/30))</f>
        <v>6.3687837241663763</v>
      </c>
      <c r="BX138" s="172">
        <f ca="1">(VLOOKUP(BX$72,INDIRECT($C$5&amp;"生成成长"),2))/((VLOOKUP($B138,INDIRECT($B$5&amp;"生成成长"),4))/(VLOOKUP(BX$72,INDIRECT($C$5&amp;"生成成长"),5))*(VLOOKUP($B$5,标准坦克设计!$B$24:$U$30,MATCH("对"&amp;LEFT($C$5,2)&amp;"输出",标准坦克设计!$B$23:$U$23,0)))*(VLOOKUP($B138,INDIRECT($B$5&amp;"生成成长"),3))*(VLOOKUP($B$5,标准坦克设计!$B$14:$K$20,9)/30))</f>
        <v>7.0681497197853211</v>
      </c>
      <c r="BY138" s="172">
        <f ca="1">(VLOOKUP(BY$72,INDIRECT($C$5&amp;"生成成长"),2))/((VLOOKUP($B138,INDIRECT($B$5&amp;"生成成长"),4))/(VLOOKUP(BY$72,INDIRECT($C$5&amp;"生成成长"),5))*(VLOOKUP($B$5,标准坦克设计!$B$24:$U$30,MATCH("对"&amp;LEFT($C$5,2)&amp;"输出",标准坦克设计!$B$23:$U$23,0)))*(VLOOKUP($B138,INDIRECT($B$5&amp;"生成成长"),3))*(VLOOKUP($B$5,标准坦克设计!$B$14:$K$20,9)/30))</f>
        <v>7.8039410276760863</v>
      </c>
      <c r="BZ138" s="172">
        <f ca="1">(VLOOKUP(BZ$72,INDIRECT($C$5&amp;"生成成长"),2))/((VLOOKUP($B138,INDIRECT($B$5&amp;"生成成长"),4))/(VLOOKUP(BZ$72,INDIRECT($C$5&amp;"生成成长"),5))*(VLOOKUP($B$5,标准坦克设计!$B$24:$U$30,MATCH("对"&amp;LEFT($C$5,2)&amp;"输出",标准坦克设计!$B$23:$U$23,0)))*(VLOOKUP($B138,INDIRECT($B$5&amp;"生成成长"),3))*(VLOOKUP($B$5,标准坦克设计!$B$14:$K$20,9)/30))</f>
        <v>8.5761576478386718</v>
      </c>
      <c r="CA138" s="172">
        <f ca="1">(VLOOKUP(CA$72,INDIRECT($C$5&amp;"生成成长"),2))/((VLOOKUP($B138,INDIRECT($B$5&amp;"生成成长"),4))/(VLOOKUP(CA$72,INDIRECT($C$5&amp;"生成成长"),5))*(VLOOKUP($B$5,标准坦克设计!$B$24:$U$30,MATCH("对"&amp;LEFT($C$5,2)&amp;"输出",标准坦克设计!$B$23:$U$23,0)))*(VLOOKUP($B138,INDIRECT($B$5&amp;"生成成长"),3))*(VLOOKUP($B$5,标准坦克设计!$B$14:$K$20,9)/30))</f>
        <v>9.3847995802730768</v>
      </c>
      <c r="CB138" s="172">
        <f ca="1">(VLOOKUP(CB$72,INDIRECT($C$5&amp;"生成成长"),2))/((VLOOKUP($B138,INDIRECT($B$5&amp;"生成成长"),4))/(VLOOKUP(CB$72,INDIRECT($C$5&amp;"生成成长"),5))*(VLOOKUP($B$5,标准坦克设计!$B$24:$U$30,MATCH("对"&amp;LEFT($C$5,2)&amp;"输出",标准坦克设计!$B$23:$U$23,0)))*(VLOOKUP($B138,INDIRECT($B$5&amp;"生成成长"),3))*(VLOOKUP($B$5,标准坦克设计!$B$14:$K$20,9)/30))</f>
        <v>10.229866824979302</v>
      </c>
      <c r="CC138" s="172">
        <f ca="1">(VLOOKUP(CC$72,INDIRECT($C$5&amp;"生成成长"),2))/((VLOOKUP($B138,INDIRECT($B$5&amp;"生成成长"),4))/(VLOOKUP(CC$72,INDIRECT($C$5&amp;"生成成长"),5))*(VLOOKUP($B$5,标准坦克设计!$B$24:$U$30,MATCH("对"&amp;LEFT($C$5,2)&amp;"输出",标准坦克设计!$B$23:$U$23,0)))*(VLOOKUP($B138,INDIRECT($B$5&amp;"生成成长"),3))*(VLOOKUP($B$5,标准坦克设计!$B$14:$K$20,9)/30))</f>
        <v>11.111359381957348</v>
      </c>
      <c r="CD138" s="172">
        <f ca="1">(VLOOKUP(CD$72,INDIRECT($C$5&amp;"生成成长"),2))/((VLOOKUP($B138,INDIRECT($B$5&amp;"生成成长"),4))/(VLOOKUP(CD$72,INDIRECT($C$5&amp;"生成成长"),5))*(VLOOKUP($B$5,标准坦克设计!$B$24:$U$30,MATCH("对"&amp;LEFT($C$5,2)&amp;"输出",标准坦克设计!$B$23:$U$23,0)))*(VLOOKUP($B138,INDIRECT($B$5&amp;"生成成长"),3))*(VLOOKUP($B$5,标准坦克设计!$B$14:$K$20,9)/30))</f>
        <v>12.029277251207212</v>
      </c>
      <c r="CE138" s="172">
        <f ca="1">(VLOOKUP(CE$72,INDIRECT($C$5&amp;"生成成长"),2))/((VLOOKUP($B138,INDIRECT($B$5&amp;"生成成长"),4))/(VLOOKUP(CE$72,INDIRECT($C$5&amp;"生成成长"),5))*(VLOOKUP($B$5,标准坦克设计!$B$24:$U$30,MATCH("对"&amp;LEFT($C$5,2)&amp;"输出",标准坦克设计!$B$23:$U$23,0)))*(VLOOKUP($B138,INDIRECT($B$5&amp;"生成成长"),3))*(VLOOKUP($B$5,标准坦克设计!$B$14:$K$20,9)/30))</f>
        <v>12.983620432728896</v>
      </c>
      <c r="CF138" s="172">
        <f ca="1">(VLOOKUP(CF$72,INDIRECT($C$5&amp;"生成成长"),2))/((VLOOKUP($B138,INDIRECT($B$5&amp;"生成成长"),4))/(VLOOKUP(CF$72,INDIRECT($C$5&amp;"生成成长"),5))*(VLOOKUP($B$5,标准坦克设计!$B$24:$U$30,MATCH("对"&amp;LEFT($C$5,2)&amp;"输出",标准坦克设计!$B$23:$U$23,0)))*(VLOOKUP($B138,INDIRECT($B$5&amp;"生成成长"),3))*(VLOOKUP($B$5,标准坦克设计!$B$14:$K$20,9)/30))</f>
        <v>13.974388926522403</v>
      </c>
      <c r="CG138" s="172">
        <f ca="1">(VLOOKUP(CG$72,INDIRECT($C$5&amp;"生成成长"),2))/((VLOOKUP($B138,INDIRECT($B$5&amp;"生成成长"),4))/(VLOOKUP(CG$72,INDIRECT($C$5&amp;"生成成长"),5))*(VLOOKUP($B$5,标准坦克设计!$B$24:$U$30,MATCH("对"&amp;LEFT($C$5,2)&amp;"输出",标准坦克设计!$B$23:$U$23,0)))*(VLOOKUP($B138,INDIRECT($B$5&amp;"生成成长"),3))*(VLOOKUP($B$5,标准坦克设计!$B$14:$K$20,9)/30))</f>
        <v>15.001582732587728</v>
      </c>
      <c r="CH138" s="172">
        <f ca="1">(VLOOKUP(CH$72,INDIRECT($C$5&amp;"生成成长"),2))/((VLOOKUP($B138,INDIRECT($B$5&amp;"生成成长"),4))/(VLOOKUP(CH$72,INDIRECT($C$5&amp;"生成成长"),5))*(VLOOKUP($B$5,标准坦克设计!$B$24:$U$30,MATCH("对"&amp;LEFT($C$5,2)&amp;"输出",标准坦克设计!$B$23:$U$23,0)))*(VLOOKUP($B138,INDIRECT($B$5&amp;"生成成长"),3))*(VLOOKUP($B$5,标准坦克设计!$B$14:$K$20,9)/30))</f>
        <v>16.065201850924876</v>
      </c>
      <c r="CI138" s="172">
        <f ca="1">(VLOOKUP(CI$72,INDIRECT($C$5&amp;"生成成长"),2))/((VLOOKUP($B138,INDIRECT($B$5&amp;"生成成长"),4))/(VLOOKUP(CI$72,INDIRECT($C$5&amp;"生成成长"),5))*(VLOOKUP($B$5,标准坦克设计!$B$24:$U$30,MATCH("对"&amp;LEFT($C$5,2)&amp;"输出",标准坦克设计!$B$23:$U$23,0)))*(VLOOKUP($B138,INDIRECT($B$5&amp;"生成成长"),3))*(VLOOKUP($B$5,标准坦克设计!$B$14:$K$20,9)/30))</f>
        <v>17.277254116769686</v>
      </c>
      <c r="CJ138" s="172">
        <f ca="1">(VLOOKUP(CJ$72,INDIRECT($C$5&amp;"生成成长"),2))/((VLOOKUP($B138,INDIRECT($B$5&amp;"生成成长"),4))/(VLOOKUP(CJ$72,INDIRECT($C$5&amp;"生成成长"),5))*(VLOOKUP($B$5,标准坦克设计!$B$24:$U$30,MATCH("对"&amp;LEFT($C$5,2)&amp;"输出",标准坦克设计!$B$23:$U$23,0)))*(VLOOKUP($B138,INDIRECT($B$5&amp;"生成成长"),3))*(VLOOKUP($B$5,标准坦克设计!$B$14:$K$20,9)/30))</f>
        <v>18.533381010463398</v>
      </c>
      <c r="CK138" s="172">
        <f ca="1">(VLOOKUP(CK$72,INDIRECT($C$5&amp;"生成成长"),2))/((VLOOKUP($B138,INDIRECT($B$5&amp;"生成成长"),4))/(VLOOKUP(CK$72,INDIRECT($C$5&amp;"生成成长"),5))*(VLOOKUP($B$5,标准坦克设计!$B$24:$U$30,MATCH("对"&amp;LEFT($C$5,2)&amp;"输出",标准坦克设计!$B$23:$U$23,0)))*(VLOOKUP($B138,INDIRECT($B$5&amp;"生成成长"),3))*(VLOOKUP($B$5,标准坦克设计!$B$14:$K$20,9)/30))</f>
        <v>19.833582532006012</v>
      </c>
      <c r="CL138" s="172">
        <f ca="1">(VLOOKUP(CL$72,INDIRECT($C$5&amp;"生成成长"),2))/((VLOOKUP($B138,INDIRECT($B$5&amp;"生成成长"),4))/(VLOOKUP(CL$72,INDIRECT($C$5&amp;"生成成长"),5))*(VLOOKUP($B$5,标准坦克设计!$B$24:$U$30,MATCH("对"&amp;LEFT($C$5,2)&amp;"输出",标准坦克设计!$B$23:$U$23,0)))*(VLOOKUP($B138,INDIRECT($B$5&amp;"生成成长"),3))*(VLOOKUP($B$5,标准坦克设计!$B$14:$K$20,9)/30))</f>
        <v>21.177858681397538</v>
      </c>
      <c r="CM138" s="172">
        <f ca="1">(VLOOKUP(CM$72,INDIRECT($C$5&amp;"生成成长"),2))/((VLOOKUP($B138,INDIRECT($B$5&amp;"生成成长"),4))/(VLOOKUP(CM$72,INDIRECT($C$5&amp;"生成成长"),5))*(VLOOKUP($B$5,标准坦克设计!$B$24:$U$30,MATCH("对"&amp;LEFT($C$5,2)&amp;"输出",标准坦克设计!$B$23:$U$23,0)))*(VLOOKUP($B138,INDIRECT($B$5&amp;"生成成长"),3))*(VLOOKUP($B$5,标准坦克设计!$B$14:$K$20,9)/30))</f>
        <v>22.56620945863796</v>
      </c>
      <c r="CN138" s="172">
        <f ca="1">(VLOOKUP(CN$72,INDIRECT($C$5&amp;"生成成长"),2))/((VLOOKUP($B138,INDIRECT($B$5&amp;"生成成长"),4))/(VLOOKUP(CN$72,INDIRECT($C$5&amp;"生成成长"),5))*(VLOOKUP($B$5,标准坦克设计!$B$24:$U$30,MATCH("对"&amp;LEFT($C$5,2)&amp;"输出",标准坦克设计!$B$23:$U$23,0)))*(VLOOKUP($B138,INDIRECT($B$5&amp;"生成成长"),3))*(VLOOKUP($B$5,标准坦克设计!$B$14:$K$20,9)/30))</f>
        <v>23.998634863727283</v>
      </c>
      <c r="CO138" s="172">
        <f ca="1">(VLOOKUP(CO$72,INDIRECT($C$5&amp;"生成成长"),2))/((VLOOKUP($B138,INDIRECT($B$5&amp;"生成成长"),4))/(VLOOKUP(CO$72,INDIRECT($C$5&amp;"生成成长"),5))*(VLOOKUP($B$5,标准坦克设计!$B$24:$U$30,MATCH("对"&amp;LEFT($C$5,2)&amp;"输出",标准坦克设计!$B$23:$U$23,0)))*(VLOOKUP($B138,INDIRECT($B$5&amp;"生成成长"),3))*(VLOOKUP($B$5,标准坦克设计!$B$14:$K$20,9)/30))</f>
        <v>10.754391321693509</v>
      </c>
      <c r="CP138" s="172">
        <f ca="1">(VLOOKUP(CP$72,INDIRECT($C$5&amp;"生成成长"),2))/((VLOOKUP($B138,INDIRECT($B$5&amp;"生成成长"),4))/(VLOOKUP(CP$72,INDIRECT($C$5&amp;"生成成长"),5))*(VLOOKUP($B$5,标准坦克设计!$B$24:$U$30,MATCH("对"&amp;LEFT($C$5,2)&amp;"输出",标准坦克设计!$B$23:$U$23,0)))*(VLOOKUP($B138,INDIRECT($B$5&amp;"生成成长"),3))*(VLOOKUP($B$5,标准坦克设计!$B$14:$K$20,9)/30))</f>
        <v>11.750077232643712</v>
      </c>
      <c r="CQ138" s="172">
        <f ca="1">(VLOOKUP(CQ$72,INDIRECT($C$5&amp;"生成成长"),2))/((VLOOKUP($B138,INDIRECT($B$5&amp;"生成成长"),4))/(VLOOKUP(CQ$72,INDIRECT($C$5&amp;"生成成长"),5))*(VLOOKUP($B$5,标准坦克设计!$B$24:$U$30,MATCH("对"&amp;LEFT($C$5,2)&amp;"输出",标准坦克设计!$B$23:$U$23,0)))*(VLOOKUP($B138,INDIRECT($B$5&amp;"生成成长"),3))*(VLOOKUP($B$5,标准坦克设计!$B$14:$K$20,9)/30))</f>
        <v>12.789837771442814</v>
      </c>
      <c r="CR138" s="172">
        <f ca="1">(VLOOKUP(CR$72,INDIRECT($C$5&amp;"生成成长"),2))/((VLOOKUP($B138,INDIRECT($B$5&amp;"生成成长"),4))/(VLOOKUP(CR$72,INDIRECT($C$5&amp;"生成成长"),5))*(VLOOKUP($B$5,标准坦克设计!$B$24:$U$30,MATCH("对"&amp;LEFT($C$5,2)&amp;"输出",标准坦克设计!$B$23:$U$23,0)))*(VLOOKUP($B138,INDIRECT($B$5&amp;"生成成长"),3))*(VLOOKUP($B$5,标准坦克设计!$B$14:$K$20,9)/30))</f>
        <v>13.873672938090822</v>
      </c>
      <c r="CS138" s="172">
        <f ca="1">(VLOOKUP(CS$72,INDIRECT($C$5&amp;"生成成长"),2))/((VLOOKUP($B138,INDIRECT($B$5&amp;"生成成长"),4))/(VLOOKUP(CS$72,INDIRECT($C$5&amp;"生成成长"),5))*(VLOOKUP($B$5,标准坦克设计!$B$24:$U$30,MATCH("对"&amp;LEFT($C$5,2)&amp;"输出",标准坦克设计!$B$23:$U$23,0)))*(VLOOKUP($B138,INDIRECT($B$5&amp;"生成成长"),3))*(VLOOKUP($B$5,标准坦克设计!$B$14:$K$20,9)/30))</f>
        <v>15.001582732587728</v>
      </c>
      <c r="CT138" s="172">
        <f ca="1">(VLOOKUP(CT$72,INDIRECT($C$5&amp;"生成成长"),2))/((VLOOKUP($B138,INDIRECT($B$5&amp;"生成成长"),4))/(VLOOKUP(CT$72,INDIRECT($C$5&amp;"生成成长"),5))*(VLOOKUP($B$5,标准坦克设计!$B$24:$U$30,MATCH("对"&amp;LEFT($C$5,2)&amp;"输出",标准坦克设计!$B$23:$U$23,0)))*(VLOOKUP($B138,INDIRECT($B$5&amp;"生成成长"),3))*(VLOOKUP($B$5,标准坦克设计!$B$14:$K$20,9)/30))</f>
        <v>16.173567154933536</v>
      </c>
      <c r="CU138" s="172">
        <f ca="1">(VLOOKUP(CU$72,INDIRECT($C$5&amp;"生成成长"),2))/((VLOOKUP($B138,INDIRECT($B$5&amp;"生成成长"),4))/(VLOOKUP(CU$72,INDIRECT($C$5&amp;"生成成长"),5))*(VLOOKUP($B$5,标准坦克设计!$B$24:$U$30,MATCH("对"&amp;LEFT($C$5,2)&amp;"输出",标准坦克设计!$B$23:$U$23,0)))*(VLOOKUP($B138,INDIRECT($B$5&amp;"生成成长"),3))*(VLOOKUP($B$5,标准坦克设计!$B$14:$K$20,9)/30))</f>
        <v>17.389626205128252</v>
      </c>
      <c r="CV138" s="172">
        <f ca="1">(VLOOKUP(CV$72,INDIRECT($C$5&amp;"生成成长"),2))/((VLOOKUP($B138,INDIRECT($B$5&amp;"生成成长"),4))/(VLOOKUP(CV$72,INDIRECT($C$5&amp;"生成成长"),5))*(VLOOKUP($B$5,标准坦克设计!$B$24:$U$30,MATCH("对"&amp;LEFT($C$5,2)&amp;"输出",标准坦克设计!$B$23:$U$23,0)))*(VLOOKUP($B138,INDIRECT($B$5&amp;"生成成长"),3))*(VLOOKUP($B$5,标准坦克设计!$B$14:$K$20,9)/30))</f>
        <v>18.649759883171864</v>
      </c>
      <c r="CW138" s="172">
        <f ca="1">(VLOOKUP(CW$72,INDIRECT($C$5&amp;"生成成长"),2))/((VLOOKUP($B138,INDIRECT($B$5&amp;"生成成长"),4))/(VLOOKUP(CW$72,INDIRECT($C$5&amp;"生成成长"),5))*(VLOOKUP($B$5,标准坦克设计!$B$24:$U$30,MATCH("对"&amp;LEFT($C$5,2)&amp;"输出",标准坦克设计!$B$23:$U$23,0)))*(VLOOKUP($B138,INDIRECT($B$5&amp;"生成成长"),3))*(VLOOKUP($B$5,标准坦克设计!$B$14:$K$20,9)/30))</f>
        <v>19.95396818906438</v>
      </c>
      <c r="CX138" s="172">
        <f ca="1">(VLOOKUP(CX$72,INDIRECT($C$5&amp;"生成成长"),2))/((VLOOKUP($B138,INDIRECT($B$5&amp;"生成成长"),4))/(VLOOKUP(CX$72,INDIRECT($C$5&amp;"生成成长"),5))*(VLOOKUP($B$5,标准坦克设计!$B$24:$U$30,MATCH("对"&amp;LEFT($C$5,2)&amp;"输出",标准坦克设计!$B$23:$U$23,0)))*(VLOOKUP($B138,INDIRECT($B$5&amp;"生成成长"),3))*(VLOOKUP($B$5,标准坦克设计!$B$14:$K$20,9)/30))</f>
        <v>21.302251122805803</v>
      </c>
      <c r="CY138" s="172">
        <f ca="1">(VLOOKUP(CY$72,INDIRECT($C$5&amp;"生成成长"),2))/((VLOOKUP($B138,INDIRECT($B$5&amp;"生成成长"),4))/(VLOOKUP(CY$72,INDIRECT($C$5&amp;"生成成长"),5))*(VLOOKUP($B$5,标准坦克设计!$B$24:$U$30,MATCH("对"&amp;LEFT($C$5,2)&amp;"输出",标准坦克设计!$B$23:$U$23,0)))*(VLOOKUP($B138,INDIRECT($B$5&amp;"生成成长"),3))*(VLOOKUP($B$5,标准坦克设计!$B$14:$K$20,9)/30))</f>
        <v>22.694608684396119</v>
      </c>
      <c r="CZ138" s="172">
        <f ca="1">(VLOOKUP(CZ$72,INDIRECT($C$5&amp;"生成成长"),2))/((VLOOKUP($B138,INDIRECT($B$5&amp;"生成成长"),4))/(VLOOKUP(CZ$72,INDIRECT($C$5&amp;"生成成长"),5))*(VLOOKUP($B$5,标准坦克设计!$B$24:$U$30,MATCH("对"&amp;LEFT($C$5,2)&amp;"输出",标准坦克设计!$B$23:$U$23,0)))*(VLOOKUP($B138,INDIRECT($B$5&amp;"生成成长"),3))*(VLOOKUP($B$5,标准坦克设计!$B$14:$K$20,9)/30))</f>
        <v>24.131040873835346</v>
      </c>
      <c r="DA138" s="172">
        <f ca="1">(VLOOKUP(DA$72,INDIRECT($C$5&amp;"生成成长"),2))/((VLOOKUP($B138,INDIRECT($B$5&amp;"生成成长"),4))/(VLOOKUP(DA$72,INDIRECT($C$5&amp;"生成成长"),5))*(VLOOKUP($B$5,标准坦克设计!$B$24:$U$30,MATCH("对"&amp;LEFT($C$5,2)&amp;"输出",标准坦克设计!$B$23:$U$23,0)))*(VLOOKUP($B138,INDIRECT($B$5&amp;"生成成长"),3))*(VLOOKUP($B$5,标准坦克设计!$B$14:$K$20,9)/30))</f>
        <v>25.611547691123469</v>
      </c>
      <c r="DB138" s="172">
        <f ca="1">(VLOOKUP(DB$72,INDIRECT($C$5&amp;"生成成长"),2))/((VLOOKUP($B138,INDIRECT($B$5&amp;"生成成长"),4))/(VLOOKUP(DB$72,INDIRECT($C$5&amp;"生成成长"),5))*(VLOOKUP($B$5,标准坦克设计!$B$24:$U$30,MATCH("对"&amp;LEFT($C$5,2)&amp;"输出",标准坦克设计!$B$23:$U$23,0)))*(VLOOKUP($B138,INDIRECT($B$5&amp;"生成成长"),3))*(VLOOKUP($B$5,标准坦克设计!$B$14:$K$20,9)/30))</f>
        <v>27.136129136260504</v>
      </c>
      <c r="DC138" s="172">
        <f ca="1">(VLOOKUP(DC$72,INDIRECT($C$5&amp;"生成成长"),2))/((VLOOKUP($B138,INDIRECT($B$5&amp;"生成成长"),4))/(VLOOKUP(DC$72,INDIRECT($C$5&amp;"生成成长"),5))*(VLOOKUP($B$5,标准坦克设计!$B$24:$U$30,MATCH("对"&amp;LEFT($C$5,2)&amp;"输出",标准坦克设计!$B$23:$U$23,0)))*(VLOOKUP($B138,INDIRECT($B$5&amp;"生成成长"),3))*(VLOOKUP($B$5,标准坦克设计!$B$14:$K$20,9)/30))</f>
        <v>28.849575825526916</v>
      </c>
      <c r="DD138" s="172">
        <f ca="1">(VLOOKUP(DD$72,INDIRECT($C$5&amp;"生成成长"),2))/((VLOOKUP($B138,INDIRECT($B$5&amp;"生成成长"),4))/(VLOOKUP(DD$72,INDIRECT($C$5&amp;"生成成长"),5))*(VLOOKUP($B$5,标准坦克设计!$B$24:$U$30,MATCH("对"&amp;LEFT($C$5,2)&amp;"输出",标准坦克设计!$B$23:$U$23,0)))*(VLOOKUP($B138,INDIRECT($B$5&amp;"生成成长"),3))*(VLOOKUP($B$5,标准坦克设计!$B$14:$K$20,9)/30))</f>
        <v>30.615474964464752</v>
      </c>
      <c r="DE138" s="172">
        <f ca="1">(VLOOKUP(DE$72,INDIRECT($C$5&amp;"生成成长"),2))/((VLOOKUP($B138,INDIRECT($B$5&amp;"生成成长"),4))/(VLOOKUP(DE$72,INDIRECT($C$5&amp;"生成成长"),5))*(VLOOKUP($B$5,标准坦克设计!$B$24:$U$30,MATCH("对"&amp;LEFT($C$5,2)&amp;"输出",标准坦克设计!$B$23:$U$23,0)))*(VLOOKUP($B138,INDIRECT($B$5&amp;"生成成长"),3))*(VLOOKUP($B$5,标准坦克设计!$B$14:$K$20,9)/30))</f>
        <v>32.433826553074013</v>
      </c>
      <c r="DF138" s="172">
        <f ca="1">(VLOOKUP(DF$72,INDIRECT($C$5&amp;"生成成长"),2))/((VLOOKUP($B138,INDIRECT($B$5&amp;"生成成长"),4))/(VLOOKUP(DF$72,INDIRECT($C$5&amp;"生成成长"),5))*(VLOOKUP($B$5,标准坦克设计!$B$24:$U$30,MATCH("对"&amp;LEFT($C$5,2)&amp;"输出",标准坦克设计!$B$23:$U$23,0)))*(VLOOKUP($B138,INDIRECT($B$5&amp;"生成成长"),3))*(VLOOKUP($B$5,标准坦克设计!$B$14:$K$20,9)/30))</f>
        <v>34.304630591354687</v>
      </c>
      <c r="DG138" s="172">
        <f ca="1">(VLOOKUP(DG$72,INDIRECT($C$5&amp;"生成成长"),2))/((VLOOKUP($B138,INDIRECT($B$5&amp;"生成成长"),4))/(VLOOKUP(DG$72,INDIRECT($C$5&amp;"生成成长"),5))*(VLOOKUP($B$5,标准坦克设计!$B$24:$U$30,MATCH("对"&amp;LEFT($C$5,2)&amp;"输出",标准坦克设计!$B$23:$U$23,0)))*(VLOOKUP($B138,INDIRECT($B$5&amp;"生成成长"),3))*(VLOOKUP($B$5,标准坦克设计!$B$14:$K$20,9)/30))</f>
        <v>36.227887079306782</v>
      </c>
      <c r="DH138" s="172">
        <f ca="1">(VLOOKUP(DH$72,INDIRECT($C$5&amp;"生成成长"),2))/((VLOOKUP($B138,INDIRECT($B$5&amp;"生成成长"),4))/(VLOOKUP(DH$72,INDIRECT($C$5&amp;"生成成长"),5))*(VLOOKUP($B$5,标准坦克设计!$B$24:$U$30,MATCH("对"&amp;LEFT($C$5,2)&amp;"输出",标准坦克设计!$B$23:$U$23,0)))*(VLOOKUP($B138,INDIRECT($B$5&amp;"生成成长"),3))*(VLOOKUP($B$5,标准坦克设计!$B$14:$K$20,9)/30))</f>
        <v>38.203596016930305</v>
      </c>
      <c r="DI138" s="172">
        <f ca="1">(VLOOKUP(DI$72,INDIRECT($C$5&amp;"生成成长"),2))/((VLOOKUP($B138,INDIRECT($B$5&amp;"生成成长"),4))/(VLOOKUP(DI$72,INDIRECT($C$5&amp;"生成成长"),5))*(VLOOKUP($B$5,标准坦克设计!$B$24:$U$30,MATCH("对"&amp;LEFT($C$5,2)&amp;"输出",标准坦克设计!$B$23:$U$23,0)))*(VLOOKUP($B138,INDIRECT($B$5&amp;"生成成长"),3))*(VLOOKUP($B$5,标准坦克设计!$B$14:$K$20,9)/30))</f>
        <v>40.231757404225242</v>
      </c>
      <c r="DJ138" s="172">
        <f ca="1">(VLOOKUP(DJ$72,INDIRECT($C$5&amp;"生成成长"),2))/((VLOOKUP($B138,INDIRECT($B$5&amp;"生成成长"),4))/(VLOOKUP(DJ$72,INDIRECT($C$5&amp;"生成成长"),5))*(VLOOKUP($B$5,标准坦克设计!$B$24:$U$30,MATCH("对"&amp;LEFT($C$5,2)&amp;"输出",标准坦克设计!$B$23:$U$23,0)))*(VLOOKUP($B138,INDIRECT($B$5&amp;"生成成长"),3))*(VLOOKUP($B$5,标准坦克设计!$B$14:$K$20,9)/30))</f>
        <v>4.0433917887333841</v>
      </c>
      <c r="DK138" s="172">
        <f ca="1">(VLOOKUP(DK$72,INDIRECT($C$5&amp;"生成成长"),2))/((VLOOKUP($B138,INDIRECT($B$5&amp;"生成成长"),4))/(VLOOKUP(DK$72,INDIRECT($C$5&amp;"生成成长"),5))*(VLOOKUP($B$5,标准坦克设计!$B$24:$U$30,MATCH("对"&amp;LEFT($C$5,2)&amp;"输出",标准坦克设计!$B$23:$U$23,0)))*(VLOOKUP($B138,INDIRECT($B$5&amp;"生成成长"),3))*(VLOOKUP($B$5,标准坦克设计!$B$14:$K$20,9)/30))</f>
        <v>4.5466074777685783</v>
      </c>
      <c r="DL138" s="172">
        <f ca="1">(VLOOKUP(DL$72,INDIRECT($C$5&amp;"生成成长"),2))/((VLOOKUP($B138,INDIRECT($B$5&amp;"生成成长"),4))/(VLOOKUP(DL$72,INDIRECT($C$5&amp;"生成成长"),5))*(VLOOKUP($B$5,标准坦克设计!$B$24:$U$30,MATCH("对"&amp;LEFT($C$5,2)&amp;"输出",标准坦克设计!$B$23:$U$23,0)))*(VLOOKUP($B138,INDIRECT($B$5&amp;"生成成长"),3))*(VLOOKUP($B$5,标准坦克设计!$B$14:$K$20,9)/30))</f>
        <v>5.0793276697439458</v>
      </c>
      <c r="DM138" s="172">
        <f ca="1">(VLOOKUP(DM$72,INDIRECT($C$5&amp;"生成成长"),2))/((VLOOKUP($B138,INDIRECT($B$5&amp;"生成成长"),4))/(VLOOKUP(DM$72,INDIRECT($C$5&amp;"生成成长"),5))*(VLOOKUP($B$5,标准坦克设计!$B$24:$U$30,MATCH("对"&amp;LEFT($C$5,2)&amp;"输出",标准坦克设计!$B$23:$U$23,0)))*(VLOOKUP($B138,INDIRECT($B$5&amp;"生成成长"),3))*(VLOOKUP($B$5,标准坦克设计!$B$14:$K$20,9)/30))</f>
        <v>5.6415523646594901</v>
      </c>
      <c r="DN138" s="172">
        <f ca="1">(VLOOKUP(DN$72,INDIRECT($C$5&amp;"生成成长"),2))/((VLOOKUP($B138,INDIRECT($B$5&amp;"生成成长"),4))/(VLOOKUP(DN$72,INDIRECT($C$5&amp;"生成成长"),5))*(VLOOKUP($B$5,标准坦克设计!$B$24:$U$30,MATCH("对"&amp;LEFT($C$5,2)&amp;"输出",标准坦克设计!$B$23:$U$23,0)))*(VLOOKUP($B138,INDIRECT($B$5&amp;"生成成长"),3))*(VLOOKUP($B$5,标准坦克设计!$B$14:$K$20,9)/30))</f>
        <v>6.2332815625152067</v>
      </c>
      <c r="DO138" s="172">
        <f ca="1">(VLOOKUP(DO$72,INDIRECT($C$5&amp;"生成成长"),2))/((VLOOKUP($B138,INDIRECT($B$5&amp;"生成成长"),4))/(VLOOKUP(DO$72,INDIRECT($C$5&amp;"生成成长"),5))*(VLOOKUP($B$5,标准坦克设计!$B$24:$U$30,MATCH("对"&amp;LEFT($C$5,2)&amp;"输出",标准坦克设计!$B$23:$U$23,0)))*(VLOOKUP($B138,INDIRECT($B$5&amp;"生成成长"),3))*(VLOOKUP($B$5,标准坦克设计!$B$14:$K$20,9)/30))</f>
        <v>6.8545152633110966</v>
      </c>
      <c r="DP138" s="172">
        <f ca="1">(VLOOKUP(DP$72,INDIRECT($C$5&amp;"生成成长"),2))/((VLOOKUP($B138,INDIRECT($B$5&amp;"生成成长"),4))/(VLOOKUP(DP$72,INDIRECT($C$5&amp;"生成成长"),5))*(VLOOKUP($B$5,标准坦克设计!$B$24:$U$30,MATCH("对"&amp;LEFT($C$5,2)&amp;"输出",标准坦克设计!$B$23:$U$23,0)))*(VLOOKUP($B138,INDIRECT($B$5&amp;"生成成长"),3))*(VLOOKUP($B$5,标准坦克设计!$B$14:$K$20,9)/30))</f>
        <v>7.5052534670471616</v>
      </c>
      <c r="DQ138" s="172">
        <f ca="1">(VLOOKUP(DQ$72,INDIRECT($C$5&amp;"生成成长"),2))/((VLOOKUP($B138,INDIRECT($B$5&amp;"生成成长"),4))/(VLOOKUP(DQ$72,INDIRECT($C$5&amp;"生成成长"),5))*(VLOOKUP($B$5,标准坦克设计!$B$24:$U$30,MATCH("对"&amp;LEFT($C$5,2)&amp;"输出",标准坦克设计!$B$23:$U$23,0)))*(VLOOKUP($B138,INDIRECT($B$5&amp;"生成成长"),3))*(VLOOKUP($B$5,标准坦克设计!$B$14:$K$20,9)/30))</f>
        <v>8.1854961737234007</v>
      </c>
      <c r="DR138" s="172">
        <f ca="1">(VLOOKUP(DR$72,INDIRECT($C$5&amp;"生成成长"),2))/((VLOOKUP($B138,INDIRECT($B$5&amp;"生成成长"),4))/(VLOOKUP(DR$72,INDIRECT($C$5&amp;"生成成长"),5))*(VLOOKUP($B$5,标准坦克设计!$B$24:$U$30,MATCH("对"&amp;LEFT($C$5,2)&amp;"输出",标准坦克设计!$B$23:$U$23,0)))*(VLOOKUP($B138,INDIRECT($B$5&amp;"生成成长"),3))*(VLOOKUP($B$5,标准坦克设计!$B$14:$K$20,9)/30))</f>
        <v>8.8952433833398139</v>
      </c>
      <c r="DS138" s="172">
        <f ca="1">(VLOOKUP(DS$72,INDIRECT($C$5&amp;"生成成长"),2))/((VLOOKUP($B138,INDIRECT($B$5&amp;"生成成长"),4))/(VLOOKUP(DS$72,INDIRECT($C$5&amp;"生成成长"),5))*(VLOOKUP($B$5,标准坦克设计!$B$24:$U$30,MATCH("对"&amp;LEFT($C$5,2)&amp;"输出",标准坦克设计!$B$23:$U$23,0)))*(VLOOKUP($B138,INDIRECT($B$5&amp;"生成成长"),3))*(VLOOKUP($B$5,标准坦克设计!$B$14:$K$20,9)/30))</f>
        <v>9.6344950958964048</v>
      </c>
      <c r="DT138" s="172">
        <f ca="1">(VLOOKUP(DT$72,INDIRECT($C$5&amp;"生成成长"),2))/((VLOOKUP($B138,INDIRECT($B$5&amp;"生成成长"),4))/(VLOOKUP(DT$72,INDIRECT($C$5&amp;"生成成长"),5))*(VLOOKUP($B$5,标准坦克设计!$B$24:$U$30,MATCH("对"&amp;LEFT($C$5,2)&amp;"输出",标准坦克设计!$B$23:$U$23,0)))*(VLOOKUP($B138,INDIRECT($B$5&amp;"生成成长"),3))*(VLOOKUP($B$5,标准坦克设计!$B$14:$K$20,9)/30))</f>
        <v>10.578092810297901</v>
      </c>
      <c r="DU138" s="172">
        <f ca="1">(VLOOKUP(DU$72,INDIRECT($C$5&amp;"生成成长"),2))/((VLOOKUP($B138,INDIRECT($B$5&amp;"生成成长"),4))/(VLOOKUP(DU$72,INDIRECT($C$5&amp;"生成成长"),5))*(VLOOKUP($B$5,标准坦克设计!$B$24:$U$30,MATCH("对"&amp;LEFT($C$5,2)&amp;"输出",标准坦克设计!$B$23:$U$23,0)))*(VLOOKUP($B138,INDIRECT($B$5&amp;"生成成长"),3))*(VLOOKUP($B$5,标准坦克设计!$B$14:$K$20,9)/30))</f>
        <v>11.565765152548302</v>
      </c>
      <c r="DV138" s="172">
        <f ca="1">(VLOOKUP(DV$72,INDIRECT($C$5&amp;"生成成长"),2))/((VLOOKUP($B138,INDIRECT($B$5&amp;"生成成长"),4))/(VLOOKUP(DV$72,INDIRECT($C$5&amp;"生成成长"),5))*(VLOOKUP($B$5,标准坦克设计!$B$24:$U$30,MATCH("对"&amp;LEFT($C$5,2)&amp;"输出",标准坦克设计!$B$23:$U$23,0)))*(VLOOKUP($B138,INDIRECT($B$5&amp;"生成成长"),3))*(VLOOKUP($B$5,标准坦克设计!$B$14:$K$20,9)/30))</f>
        <v>12.597512122647604</v>
      </c>
      <c r="DW138" s="172">
        <f ca="1">(VLOOKUP(DW$72,INDIRECT($C$5&amp;"生成成长"),2))/((VLOOKUP($B138,INDIRECT($B$5&amp;"生成成长"),4))/(VLOOKUP(DW$72,INDIRECT($C$5&amp;"生成成长"),5))*(VLOOKUP($B$5,标准坦克设计!$B$24:$U$30,MATCH("对"&amp;LEFT($C$5,2)&amp;"输出",标准坦克设计!$B$23:$U$23,0)))*(VLOOKUP($B138,INDIRECT($B$5&amp;"生成成长"),3))*(VLOOKUP($B$5,标准坦克设计!$B$14:$K$20,9)/30))</f>
        <v>13.67333372059581</v>
      </c>
      <c r="DX138" s="172">
        <f ca="1">(VLOOKUP(DX$72,INDIRECT($C$5&amp;"生成成长"),2))/((VLOOKUP($B138,INDIRECT($B$5&amp;"生成成长"),4))/(VLOOKUP(DX$72,INDIRECT($C$5&amp;"生成成长"),5))*(VLOOKUP($B$5,标准坦克设计!$B$24:$U$30,MATCH("对"&amp;LEFT($C$5,2)&amp;"输出",标准坦克设计!$B$23:$U$23,0)))*(VLOOKUP($B138,INDIRECT($B$5&amp;"生成成长"),3))*(VLOOKUP($B$5,标准坦克设计!$B$14:$K$20,9)/30))</f>
        <v>14.793229946392916</v>
      </c>
      <c r="DY138" s="172">
        <f ca="1">(VLOOKUP(DY$72,INDIRECT($C$5&amp;"生成成长"),2))/((VLOOKUP($B138,INDIRECT($B$5&amp;"生成成长"),4))/(VLOOKUP(DY$72,INDIRECT($C$5&amp;"生成成长"),5))*(VLOOKUP($B$5,标准坦克设计!$B$24:$U$30,MATCH("对"&amp;LEFT($C$5,2)&amp;"输出",标准坦克设计!$B$23:$U$23,0)))*(VLOOKUP($B138,INDIRECT($B$5&amp;"生成成长"),3))*(VLOOKUP($B$5,标准坦克设计!$B$14:$K$20,9)/30))</f>
        <v>6.644159084941335</v>
      </c>
      <c r="DZ138" s="172">
        <f ca="1">(VLOOKUP(DZ$72,INDIRECT($C$5&amp;"生成成长"),2))/((VLOOKUP($B138,INDIRECT($B$5&amp;"生成成长"),4))/(VLOOKUP(DZ$72,INDIRECT($C$5&amp;"生成成长"),5))*(VLOOKUP($B$5,标准坦克设计!$B$24:$U$30,MATCH("对"&amp;LEFT($C$5,2)&amp;"输出",标准坦克设计!$B$23:$U$23,0)))*(VLOOKUP($B138,INDIRECT($B$5&amp;"生成成长"),3))*(VLOOKUP($B$5,标准坦克设计!$B$14:$K$20,9)/30))</f>
        <v>7.3580952054690094</v>
      </c>
      <c r="EA138" s="172">
        <f ca="1">(VLOOKUP(EA$72,INDIRECT($C$5&amp;"生成成长"),2))/((VLOOKUP($B138,INDIRECT($B$5&amp;"生成成长"),4))/(VLOOKUP(EA$72,INDIRECT($C$5&amp;"生成成长"),5))*(VLOOKUP($B$5,标准坦克设计!$B$24:$U$30,MATCH("对"&amp;LEFT($C$5,2)&amp;"输出",标准坦克设计!$B$23:$U$23,0)))*(VLOOKUP($B138,INDIRECT($B$5&amp;"生成成长"),3))*(VLOOKUP($B$5,标准坦克设计!$B$14:$K$20,9)/30))</f>
        <v>8.1084566382685033</v>
      </c>
      <c r="EB138" s="172">
        <f ca="1">(VLOOKUP(EB$72,INDIRECT($C$5&amp;"生成成长"),2))/((VLOOKUP($B138,INDIRECT($B$5&amp;"生成成长"),4))/(VLOOKUP(EB$72,INDIRECT($C$5&amp;"生成成长"),5))*(VLOOKUP($B$5,标准坦克设计!$B$24:$U$30,MATCH("对"&amp;LEFT($C$5,2)&amp;"输出",标准坦克设计!$B$23:$U$23,0)))*(VLOOKUP($B138,INDIRECT($B$5&amp;"生成成长"),3))*(VLOOKUP($B$5,标准坦克设计!$B$14:$K$20,9)/30))</f>
        <v>8.8952433833398139</v>
      </c>
      <c r="EC138" s="172">
        <f ca="1">(VLOOKUP(EC$72,INDIRECT($C$5&amp;"生成成长"),2))/((VLOOKUP($B138,INDIRECT($B$5&amp;"生成成长"),4))/(VLOOKUP(EC$72,INDIRECT($C$5&amp;"生成成长"),5))*(VLOOKUP($B$5,标准坦克设计!$B$24:$U$30,MATCH("对"&amp;LEFT($C$5,2)&amp;"输出",标准坦克设计!$B$23:$U$23,0)))*(VLOOKUP($B138,INDIRECT($B$5&amp;"生成成长"),3))*(VLOOKUP($B$5,标准坦克设计!$B$14:$K$20,9)/30))</f>
        <v>9.7184554406829484</v>
      </c>
      <c r="ED138" s="172">
        <f ca="1">(VLOOKUP(ED$72,INDIRECT($C$5&amp;"生成成长"),2))/((VLOOKUP($B138,INDIRECT($B$5&amp;"生成成长"),4))/(VLOOKUP(ED$72,INDIRECT($C$5&amp;"生成成长"),5))*(VLOOKUP($B$5,标准坦克设计!$B$24:$U$30,MATCH("对"&amp;LEFT($C$5,2)&amp;"输出",标准坦克设计!$B$23:$U$23,0)))*(VLOOKUP($B138,INDIRECT($B$5&amp;"生成成长"),3))*(VLOOKUP($B$5,标准坦克设计!$B$14:$K$20,9)/30))</f>
        <v>10.578092810297901</v>
      </c>
      <c r="EE138" s="172">
        <f ca="1">(VLOOKUP(EE$72,INDIRECT($C$5&amp;"生成成长"),2))/((VLOOKUP($B138,INDIRECT($B$5&amp;"生成成长"),4))/(VLOOKUP(EE$72,INDIRECT($C$5&amp;"生成成长"),5))*(VLOOKUP($B$5,标准坦克设计!$B$24:$U$30,MATCH("对"&amp;LEFT($C$5,2)&amp;"输出",标准坦克设计!$B$23:$U$23,0)))*(VLOOKUP($B138,INDIRECT($B$5&amp;"生成成长"),3))*(VLOOKUP($B$5,标准坦克设计!$B$14:$K$20,9)/30))</f>
        <v>11.474155492184675</v>
      </c>
      <c r="EF138" s="172">
        <f ca="1">(VLOOKUP(EF$72,INDIRECT($C$5&amp;"生成成长"),2))/((VLOOKUP($B138,INDIRECT($B$5&amp;"生成成长"),4))/(VLOOKUP(EF$72,INDIRECT($C$5&amp;"生成成长"),5))*(VLOOKUP($B$5,标准坦克设计!$B$24:$U$30,MATCH("对"&amp;LEFT($C$5,2)&amp;"输出",标准坦克设计!$B$23:$U$23,0)))*(VLOOKUP($B138,INDIRECT($B$5&amp;"生成成长"),3))*(VLOOKUP($B$5,标准坦克设计!$B$14:$K$20,9)/30))</f>
        <v>12.406643486343265</v>
      </c>
      <c r="EG138" s="172">
        <f ca="1">(VLOOKUP(EG$72,INDIRECT($C$5&amp;"生成成长"),2))/((VLOOKUP($B138,INDIRECT($B$5&amp;"生成成长"),4))/(VLOOKUP(EG$72,INDIRECT($C$5&amp;"生成成长"),5))*(VLOOKUP($B$5,标准坦克设计!$B$24:$U$30,MATCH("对"&amp;LEFT($C$5,2)&amp;"输出",标准坦克设计!$B$23:$U$23,0)))*(VLOOKUP($B138,INDIRECT($B$5&amp;"生成成长"),3))*(VLOOKUP($B$5,标准坦克设计!$B$14:$K$20,9)/30))</f>
        <v>13.375556792773681</v>
      </c>
      <c r="EH138" s="172">
        <f ca="1">(VLOOKUP(EH$72,INDIRECT($C$5&amp;"生成成长"),2))/((VLOOKUP($B138,INDIRECT($B$5&amp;"生成成长"),4))/(VLOOKUP(EH$72,INDIRECT($C$5&amp;"生成成长"),5))*(VLOOKUP($B$5,标准坦克设计!$B$24:$U$30,MATCH("对"&amp;LEFT($C$5,2)&amp;"输出",标准坦克设计!$B$23:$U$23,0)))*(VLOOKUP($B138,INDIRECT($B$5&amp;"生成成长"),3))*(VLOOKUP($B$5,标准坦克设计!$B$14:$K$20,9)/30))</f>
        <v>14.380895411475915</v>
      </c>
      <c r="EI138" s="172">
        <f ca="1">(VLOOKUP(EI$72,INDIRECT($C$5&amp;"生成成长"),2))/((VLOOKUP($B138,INDIRECT($B$5&amp;"生成成长"),4))/(VLOOKUP(EI$72,INDIRECT($C$5&amp;"生成成长"),5))*(VLOOKUP($B$5,标准坦克设计!$B$24:$U$30,MATCH("对"&amp;LEFT($C$5,2)&amp;"输出",标准坦克设计!$B$23:$U$23,0)))*(VLOOKUP($B138,INDIRECT($B$5&amp;"生成成长"),3))*(VLOOKUP($B$5,标准坦克设计!$B$14:$K$20,9)/30))</f>
        <v>15.422659342449968</v>
      </c>
      <c r="EJ138" s="172">
        <f ca="1">(VLOOKUP(EJ$72,INDIRECT($C$5&amp;"生成成长"),2))/((VLOOKUP($B138,INDIRECT($B$5&amp;"生成成长"),4))/(VLOOKUP(EJ$72,INDIRECT($C$5&amp;"生成成长"),5))*(VLOOKUP($B$5,标准坦克设计!$B$24:$U$30,MATCH("对"&amp;LEFT($C$5,2)&amp;"输出",标准坦克设计!$B$23:$U$23,0)))*(VLOOKUP($B138,INDIRECT($B$5&amp;"生成成长"),3))*(VLOOKUP($B$5,标准坦克设计!$B$14:$K$20,9)/30))</f>
        <v>16.500848585695845</v>
      </c>
      <c r="EK138" s="172">
        <f ca="1">(VLOOKUP(EK$72,INDIRECT($C$5&amp;"生成成长"),2))/((VLOOKUP($B138,INDIRECT($B$5&amp;"生成成长"),4))/(VLOOKUP(EK$72,INDIRECT($C$5&amp;"生成成长"),5))*(VLOOKUP($B$5,标准坦克设计!$B$24:$U$30,MATCH("对"&amp;LEFT($C$5,2)&amp;"输出",标准坦克设计!$B$23:$U$23,0)))*(VLOOKUP($B138,INDIRECT($B$5&amp;"生成成长"),3))*(VLOOKUP($B$5,标准坦克设计!$B$14:$K$20,9)/30))</f>
        <v>17.842757089789689</v>
      </c>
      <c r="EL138" s="172">
        <f ca="1">(VLOOKUP(EL$72,INDIRECT($C$5&amp;"生成成长"),2))/((VLOOKUP($B138,INDIRECT($B$5&amp;"生成成长"),4))/(VLOOKUP(EL$72,INDIRECT($C$5&amp;"生成成长"),5))*(VLOOKUP($B$5,标准坦克设计!$B$24:$U$30,MATCH("对"&amp;LEFT($C$5,2)&amp;"输出",标准坦克设计!$B$23:$U$23,0)))*(VLOOKUP($B138,INDIRECT($B$5&amp;"生成成长"),3))*(VLOOKUP($B$5,标准坦克设计!$B$14:$K$20,9)/30))</f>
        <v>19.237118043554968</v>
      </c>
      <c r="EM138" s="172">
        <f ca="1">(VLOOKUP(EM$72,INDIRECT($C$5&amp;"生成成长"),2))/((VLOOKUP($B138,INDIRECT($B$5&amp;"生成成长"),4))/(VLOOKUP(EM$72,INDIRECT($C$5&amp;"生成成长"),5))*(VLOOKUP($B$5,标准坦克设计!$B$24:$U$30,MATCH("对"&amp;LEFT($C$5,2)&amp;"输出",标准坦克设计!$B$23:$U$23,0)))*(VLOOKUP($B138,INDIRECT($B$5&amp;"生成成长"),3))*(VLOOKUP($B$5,标准坦克设计!$B$14:$K$20,9)/30))</f>
        <v>20.683931446991654</v>
      </c>
      <c r="EN138" s="172">
        <f ca="1">(VLOOKUP(EN$72,INDIRECT($C$5&amp;"生成成长"),2))/((VLOOKUP($B138,INDIRECT($B$5&amp;"生成成长"),4))/(VLOOKUP(EN$72,INDIRECT($C$5&amp;"生成成长"),5))*(VLOOKUP($B$5,标准坦克设计!$B$24:$U$30,MATCH("对"&amp;LEFT($C$5,2)&amp;"输出",标准坦克设计!$B$23:$U$23,0)))*(VLOOKUP($B138,INDIRECT($B$5&amp;"生成成长"),3))*(VLOOKUP($B$5,标准坦克设计!$B$14:$K$20,9)/30))</f>
        <v>22.183197300099767</v>
      </c>
      <c r="EO138" s="172">
        <f ca="1">(VLOOKUP(EO$72,INDIRECT($C$5&amp;"生成成长"),2))/((VLOOKUP($B138,INDIRECT($B$5&amp;"生成成长"),4))/(VLOOKUP(EO$72,INDIRECT($C$5&amp;"生成成长"),5))*(VLOOKUP($B$5,标准坦克设计!$B$24:$U$30,MATCH("对"&amp;LEFT($C$5,2)&amp;"输出",标准坦克设计!$B$23:$U$23,0)))*(VLOOKUP($B138,INDIRECT($B$5&amp;"生成成长"),3))*(VLOOKUP($B$5,标准坦克设计!$B$14:$K$20,9)/30))</f>
        <v>23.734915602879301</v>
      </c>
      <c r="EP138" s="172">
        <f ca="1">(VLOOKUP(EP$72,INDIRECT($C$5&amp;"生成成长"),2))/((VLOOKUP($B138,INDIRECT($B$5&amp;"生成成长"),4))/(VLOOKUP(EP$72,INDIRECT($C$5&amp;"生成成长"),5))*(VLOOKUP($B$5,标准坦克设计!$B$24:$U$30,MATCH("对"&amp;LEFT($C$5,2)&amp;"输出",标准坦克设计!$B$23:$U$23,0)))*(VLOOKUP($B138,INDIRECT($B$5&amp;"生成成长"),3))*(VLOOKUP($B$5,标准坦克设计!$B$14:$K$20,9)/30))</f>
        <v>25.339086355330256</v>
      </c>
      <c r="EQ138" s="172">
        <f ca="1">(VLOOKUP(EQ$72,INDIRECT($C$5&amp;"生成成长"),2))/((VLOOKUP($B138,INDIRECT($B$5&amp;"生成成长"),4))/(VLOOKUP(EQ$72,INDIRECT($C$5&amp;"生成成长"),5))*(VLOOKUP($B$5,标准坦克设计!$B$24:$U$30,MATCH("对"&amp;LEFT($C$5,2)&amp;"输出",标准坦克设计!$B$23:$U$23,0)))*(VLOOKUP($B138,INDIRECT($B$5&amp;"生成成长"),3))*(VLOOKUP($B$5,标准坦克设计!$B$14:$K$20,9)/30))</f>
        <v>11.2015120298301</v>
      </c>
      <c r="ER138" s="172">
        <f ca="1">(VLOOKUP(ER$72,INDIRECT($C$5&amp;"生成成长"),2))/((VLOOKUP($B138,INDIRECT($B$5&amp;"生成成长"),4))/(VLOOKUP(ER$72,INDIRECT($C$5&amp;"生成成长"),5))*(VLOOKUP($B$5,标准坦克设计!$B$24:$U$30,MATCH("对"&amp;LEFT($C$5,2)&amp;"输出",标准坦克设计!$B$23:$U$23,0)))*(VLOOKUP($B138,INDIRECT($B$5&amp;"生成成长"),3))*(VLOOKUP($B$5,标准坦克设计!$B$14:$K$20,9)/30))</f>
        <v>12.217231862529802</v>
      </c>
      <c r="ES138" s="172">
        <f ca="1">(VLOOKUP(ES$72,INDIRECT($C$5&amp;"生成成长"),2))/((VLOOKUP($B138,INDIRECT($B$5&amp;"生成成长"),4))/(VLOOKUP(ES$72,INDIRECT($C$5&amp;"生成成长"),5))*(VLOOKUP($B$5,标准坦克设计!$B$24:$U$30,MATCH("对"&amp;LEFT($C$5,2)&amp;"输出",标准坦克设计!$B$23:$U$23,0)))*(VLOOKUP($B138,INDIRECT($B$5&amp;"生成成长"),3))*(VLOOKUP($B$5,标准坦克设计!$B$14:$K$20,9)/30))</f>
        <v>13.277026323078408</v>
      </c>
      <c r="ET138" s="172">
        <f ca="1">(VLOOKUP(ET$72,INDIRECT($C$5&amp;"生成成长"),2))/((VLOOKUP($B138,INDIRECT($B$5&amp;"生成成长"),4))/(VLOOKUP(ET$72,INDIRECT($C$5&amp;"生成成长"),5))*(VLOOKUP($B$5,标准坦克设计!$B$24:$U$30,MATCH("对"&amp;LEFT($C$5,2)&amp;"输出",标准坦克设计!$B$23:$U$23,0)))*(VLOOKUP($B138,INDIRECT($B$5&amp;"生成成长"),3))*(VLOOKUP($B$5,标准坦克设计!$B$14:$K$20,9)/30))</f>
        <v>14.380895411475915</v>
      </c>
      <c r="EU138" s="172">
        <f ca="1">(VLOOKUP(EU$72,INDIRECT($C$5&amp;"生成成长"),2))/((VLOOKUP($B138,INDIRECT($B$5&amp;"生成成长"),4))/(VLOOKUP(EU$72,INDIRECT($C$5&amp;"生成成长"),5))*(VLOOKUP($B$5,标准坦克设计!$B$24:$U$30,MATCH("对"&amp;LEFT($C$5,2)&amp;"输出",标准坦克设计!$B$23:$U$23,0)))*(VLOOKUP($B138,INDIRECT($B$5&amp;"生成成长"),3))*(VLOOKUP($B$5,标准坦克设计!$B$14:$K$20,9)/30))</f>
        <v>15.528839127722323</v>
      </c>
      <c r="EV138" s="172">
        <f ca="1">(VLOOKUP(EV$72,INDIRECT($C$5&amp;"生成成长"),2))/((VLOOKUP($B138,INDIRECT($B$5&amp;"生成成长"),4))/(VLOOKUP(EV$72,INDIRECT($C$5&amp;"生成成长"),5))*(VLOOKUP($B$5,标准坦克设计!$B$24:$U$30,MATCH("对"&amp;LEFT($C$5,2)&amp;"输出",标准坦克设计!$B$23:$U$23,0)))*(VLOOKUP($B138,INDIRECT($B$5&amp;"生成成长"),3))*(VLOOKUP($B$5,标准坦克设计!$B$14:$K$20,9)/30))</f>
        <v>16.720857471817634</v>
      </c>
      <c r="EW138" s="172">
        <f ca="1">(VLOOKUP(EW$72,INDIRECT($C$5&amp;"生成成长"),2))/((VLOOKUP($B138,INDIRECT($B$5&amp;"生成成长"),4))/(VLOOKUP(EW$72,INDIRECT($C$5&amp;"生成成长"),5))*(VLOOKUP($B$5,标准坦克设计!$B$24:$U$30,MATCH("对"&amp;LEFT($C$5,2)&amp;"输出",标准坦克设计!$B$23:$U$23,0)))*(VLOOKUP($B138,INDIRECT($B$5&amp;"生成成长"),3))*(VLOOKUP($B$5,标准坦克设计!$B$14:$K$20,9)/30))</f>
        <v>17.956950443761848</v>
      </c>
      <c r="EX138" s="172">
        <f ca="1">(VLOOKUP(EX$72,INDIRECT($C$5&amp;"生成成长"),2))/((VLOOKUP($B138,INDIRECT($B$5&amp;"生成成长"),4))/(VLOOKUP(EX$72,INDIRECT($C$5&amp;"生成成长"),5))*(VLOOKUP($B$5,标准坦克设计!$B$24:$U$30,MATCH("对"&amp;LEFT($C$5,2)&amp;"输出",标准坦克设计!$B$23:$U$23,0)))*(VLOOKUP($B138,INDIRECT($B$5&amp;"生成成长"),3))*(VLOOKUP($B$5,标准坦克设计!$B$14:$K$20,9)/30))</f>
        <v>19.237118043554968</v>
      </c>
      <c r="EY138" s="172">
        <f ca="1">(VLOOKUP(EY$72,INDIRECT($C$5&amp;"生成成长"),2))/((VLOOKUP($B138,INDIRECT($B$5&amp;"生成成长"),4))/(VLOOKUP(EY$72,INDIRECT($C$5&amp;"生成成长"),5))*(VLOOKUP($B$5,标准坦克设计!$B$24:$U$30,MATCH("对"&amp;LEFT($C$5,2)&amp;"输出",标准坦克设计!$B$23:$U$23,0)))*(VLOOKUP($B138,INDIRECT($B$5&amp;"生成成长"),3))*(VLOOKUP($B$5,标准坦克设计!$B$14:$K$20,9)/30))</f>
        <v>20.561360271196978</v>
      </c>
      <c r="EZ138" s="172">
        <f ca="1">(VLOOKUP(EZ$72,INDIRECT($C$5&amp;"生成成长"),2))/((VLOOKUP($B138,INDIRECT($B$5&amp;"生成成长"),4))/(VLOOKUP(EZ$72,INDIRECT($C$5&amp;"生成成长"),5))*(VLOOKUP($B$5,标准坦克设计!$B$24:$U$30,MATCH("对"&amp;LEFT($C$5,2)&amp;"输出",标准坦克设计!$B$23:$U$23,0)))*(VLOOKUP($B138,INDIRECT($B$5&amp;"生成成长"),3))*(VLOOKUP($B$5,标准坦克设计!$B$14:$K$20,9)/30))</f>
        <v>21.929677126687899</v>
      </c>
      <c r="FA138" s="172">
        <f ca="1">(VLOOKUP(FA$72,INDIRECT($C$5&amp;"生成成长"),2))/((VLOOKUP($B138,INDIRECT($B$5&amp;"生成成长"),4))/(VLOOKUP(FA$72,INDIRECT($C$5&amp;"生成成长"),5))*(VLOOKUP($B$5,标准坦克设计!$B$24:$U$30,MATCH("对"&amp;LEFT($C$5,2)&amp;"输出",标准坦克设计!$B$23:$U$23,0)))*(VLOOKUP($B138,INDIRECT($B$5&amp;"生成成长"),3))*(VLOOKUP($B$5,标准坦克设计!$B$14:$K$20,9)/30))</f>
        <v>23.342068610027727</v>
      </c>
      <c r="FB138" s="172">
        <f ca="1">(VLOOKUP(FB$72,INDIRECT($C$5&amp;"生成成长"),2))/((VLOOKUP($B138,INDIRECT($B$5&amp;"生成成长"),4))/(VLOOKUP(FB$72,INDIRECT($C$5&amp;"生成成长"),5))*(VLOOKUP($B$5,标准坦克设计!$B$24:$U$30,MATCH("对"&amp;LEFT($C$5,2)&amp;"输出",标准坦克设计!$B$23:$U$23,0)))*(VLOOKUP($B138,INDIRECT($B$5&amp;"生成成长"),3))*(VLOOKUP($B$5,标准坦克设计!$B$14:$K$20,9)/30))</f>
        <v>24.798534721216452</v>
      </c>
      <c r="FC138" s="172">
        <f ca="1">(VLOOKUP(FC$72,INDIRECT($C$5&amp;"生成成长"),2))/((VLOOKUP($B138,INDIRECT($B$5&amp;"生成成长"),4))/(VLOOKUP(FC$72,INDIRECT($C$5&amp;"生成成长"),5))*(VLOOKUP($B$5,标准坦克设计!$B$24:$U$30,MATCH("对"&amp;LEFT($C$5,2)&amp;"输出",标准坦克设计!$B$23:$U$23,0)))*(VLOOKUP($B138,INDIRECT($B$5&amp;"生成成长"),3))*(VLOOKUP($B$5,标准坦克设计!$B$14:$K$20,9)/30))</f>
        <v>26.299075460254073</v>
      </c>
      <c r="FD138" s="172">
        <f ca="1">(VLOOKUP(FD$72,INDIRECT($C$5&amp;"生成成长"),2))/((VLOOKUP($B138,INDIRECT($B$5&amp;"生成成长"),4))/(VLOOKUP(FD$72,INDIRECT($C$5&amp;"生成成长"),5))*(VLOOKUP($B$5,标准坦克设计!$B$24:$U$30,MATCH("对"&amp;LEFT($C$5,2)&amp;"输出",标准坦克设计!$B$23:$U$23,0)))*(VLOOKUP($B138,INDIRECT($B$5&amp;"生成成长"),3))*(VLOOKUP($B$5,标准坦克设计!$B$14:$K$20,9)/30))</f>
        <v>27.843690827140605</v>
      </c>
      <c r="FE138" s="172">
        <f ca="1">(VLOOKUP(FE$72,INDIRECT($C$5&amp;"生成成长"),2))/((VLOOKUP($B138,INDIRECT($B$5&amp;"生成成长"),4))/(VLOOKUP(FE$72,INDIRECT($C$5&amp;"生成成长"),5))*(VLOOKUP($B$5,标准坦克设计!$B$24:$U$30,MATCH("对"&amp;LEFT($C$5,2)&amp;"输出",标准坦克设计!$B$23:$U$23,0)))*(VLOOKUP($B138,INDIRECT($B$5&amp;"生成成长"),3))*(VLOOKUP($B$5,标准坦克设计!$B$14:$K$20,9)/30))</f>
        <v>29.725968838786901</v>
      </c>
      <c r="FF138" s="172">
        <f ca="1">(VLOOKUP(FF$72,INDIRECT($C$5&amp;"生成成长"),2))/((VLOOKUP($B138,INDIRECT($B$5&amp;"生成成长"),4))/(VLOOKUP(FF$72,INDIRECT($C$5&amp;"生成成长"),5))*(VLOOKUP($B$5,标准坦克设计!$B$24:$U$30,MATCH("对"&amp;LEFT($C$5,2)&amp;"输出",标准坦克设计!$B$23:$U$23,0)))*(VLOOKUP($B138,INDIRECT($B$5&amp;"生成成长"),3))*(VLOOKUP($B$5,标准坦克设计!$B$14:$K$20,9)/30))</f>
        <v>31.669805628172586</v>
      </c>
      <c r="FG138" s="172">
        <f ca="1">(VLOOKUP(FG$72,INDIRECT($C$5&amp;"生成成长"),2))/((VLOOKUP($B138,INDIRECT($B$5&amp;"生成成长"),4))/(VLOOKUP(FG$72,INDIRECT($C$5&amp;"生成成长"),5))*(VLOOKUP($B$5,标准坦克设计!$B$24:$U$30,MATCH("对"&amp;LEFT($C$5,2)&amp;"输出",标准坦克设计!$B$23:$U$23,0)))*(VLOOKUP($B138,INDIRECT($B$5&amp;"生成成长"),3))*(VLOOKUP($B$5,标准坦克设计!$B$14:$K$20,9)/30))</f>
        <v>33.675201195297632</v>
      </c>
      <c r="FH138" s="172">
        <f ca="1">(VLOOKUP(FH$72,INDIRECT($C$5&amp;"生成成长"),2))/((VLOOKUP($B138,INDIRECT($B$5&amp;"生成成长"),4))/(VLOOKUP(FH$72,INDIRECT($C$5&amp;"生成成长"),5))*(VLOOKUP($B$5,标准坦克设计!$B$24:$U$30,MATCH("对"&amp;LEFT($C$5,2)&amp;"输出",标准坦克设计!$B$23:$U$23,0)))*(VLOOKUP($B138,INDIRECT($B$5&amp;"生成成长"),3))*(VLOOKUP($B$5,标准坦克设计!$B$14:$K$20,9)/30))</f>
        <v>35.742155540162067</v>
      </c>
      <c r="FI138" s="172">
        <f ca="1">(VLOOKUP(FI$72,INDIRECT($C$5&amp;"生成成长"),2))/((VLOOKUP($B138,INDIRECT($B$5&amp;"生成成长"),4))/(VLOOKUP(FI$72,INDIRECT($C$5&amp;"生成成长"),5))*(VLOOKUP($B$5,标准坦克设计!$B$24:$U$30,MATCH("对"&amp;LEFT($C$5,2)&amp;"输出",标准坦克设计!$B$23:$U$23,0)))*(VLOOKUP($B138,INDIRECT($B$5&amp;"生成成长"),3))*(VLOOKUP($B$5,标准坦克设计!$B$14:$K$20,9)/30))</f>
        <v>37.870668662765873</v>
      </c>
      <c r="FJ138" s="172">
        <f ca="1">(VLOOKUP(FJ$72,INDIRECT($C$5&amp;"生成成长"),2))/((VLOOKUP($B138,INDIRECT($B$5&amp;"生成成长"),4))/(VLOOKUP(FJ$72,INDIRECT($C$5&amp;"生成成长"),5))*(VLOOKUP($B$5,标准坦克设计!$B$24:$U$30,MATCH("对"&amp;LEFT($C$5,2)&amp;"输出",标准坦克设计!$B$23:$U$23,0)))*(VLOOKUP($B138,INDIRECT($B$5&amp;"生成成长"),3))*(VLOOKUP($B$5,标准坦克设计!$B$14:$K$20,9)/30))</f>
        <v>40.06074056310905</v>
      </c>
      <c r="FK138" s="172">
        <f ca="1">(VLOOKUP(FK$72,INDIRECT($C$5&amp;"生成成长"),2))/((VLOOKUP($B138,INDIRECT($B$5&amp;"生成成长"),4))/(VLOOKUP(FK$72,INDIRECT($C$5&amp;"生成成长"),5))*(VLOOKUP($B$5,标准坦克设计!$B$24:$U$30,MATCH("对"&amp;LEFT($C$5,2)&amp;"输出",标准坦克设计!$B$23:$U$23,0)))*(VLOOKUP($B138,INDIRECT($B$5&amp;"生成成长"),3))*(VLOOKUP($B$5,标准坦克设计!$B$14:$K$20,9)/30))</f>
        <v>42.312371241191606</v>
      </c>
    </row>
    <row r="139" spans="1:167" x14ac:dyDescent="0.15">
      <c r="A139" s="170" t="str">
        <f t="shared" si="12"/>
        <v>T3中品质10级</v>
      </c>
      <c r="B139" s="171">
        <v>20310</v>
      </c>
      <c r="C139" s="172">
        <f ca="1">(VLOOKUP(C$72,INDIRECT($C$5&amp;"生成成长"),2))/((VLOOKUP($B139,INDIRECT($B$5&amp;"生成成长"),4))/(VLOOKUP(C$72,INDIRECT($C$5&amp;"生成成长"),5))*(VLOOKUP($B$5,标准坦克设计!$B$24:$U$30,MATCH("对"&amp;LEFT($C$5,2)&amp;"输出",标准坦克设计!$B$23:$U$23,0)))*(VLOOKUP($B139,INDIRECT($B$5&amp;"生成成长"),3))*(VLOOKUP($B$5,标准坦克设计!$B$14:$K$20,9)/30))</f>
        <v>1.6783878813451547</v>
      </c>
      <c r="D139" s="172">
        <f ca="1">(VLOOKUP(D$72,INDIRECT($C$5&amp;"生成成长"),2))/((VLOOKUP($B139,INDIRECT($B$5&amp;"生成成长"),4))/(VLOOKUP(D$72,INDIRECT($C$5&amp;"生成成长"),5))*(VLOOKUP($B$5,标准坦克设计!$B$24:$U$30,MATCH("对"&amp;LEFT($C$5,2)&amp;"输出",标准坦克设计!$B$23:$U$23,0)))*(VLOOKUP($B139,INDIRECT($B$5&amp;"生成成长"),3))*(VLOOKUP($B$5,标准坦克设计!$B$14:$K$20,9)/30))</f>
        <v>1.8858366234794162</v>
      </c>
      <c r="E139" s="172">
        <f ca="1">(VLOOKUP(E$72,INDIRECT($C$5&amp;"生成成长"),2))/((VLOOKUP($B139,INDIRECT($B$5&amp;"生成成长"),4))/(VLOOKUP(E$72,INDIRECT($C$5&amp;"生成成长"),5))*(VLOOKUP($B$5,标准坦克设计!$B$24:$U$30,MATCH("对"&amp;LEFT($C$5,2)&amp;"输出",标准坦克设计!$B$23:$U$23,0)))*(VLOOKUP($B139,INDIRECT($B$5&amp;"生成成长"),3))*(VLOOKUP($B$5,标准坦克设计!$B$14:$K$20,9)/30))</f>
        <v>2.105369758359362</v>
      </c>
      <c r="F139" s="172">
        <f ca="1">(VLOOKUP(F$72,INDIRECT($C$5&amp;"生成成长"),2))/((VLOOKUP($B139,INDIRECT($B$5&amp;"生成成长"),4))/(VLOOKUP(F$72,INDIRECT($C$5&amp;"生成成长"),5))*(VLOOKUP($B$5,标准坦克设计!$B$24:$U$30,MATCH("对"&amp;LEFT($C$5,2)&amp;"输出",标准坦克设计!$B$23:$U$23,0)))*(VLOOKUP($B139,INDIRECT($B$5&amp;"生成成长"),3))*(VLOOKUP($B$5,标准坦克设计!$B$14:$K$20,9)/30))</f>
        <v>2.3369872859849936</v>
      </c>
      <c r="G139" s="172">
        <f ca="1">(VLOOKUP(G$72,INDIRECT($C$5&amp;"生成成长"),2))/((VLOOKUP($B139,INDIRECT($B$5&amp;"生成成长"),4))/(VLOOKUP(G$72,INDIRECT($C$5&amp;"生成成长"),5))*(VLOOKUP($B$5,标准坦克设计!$B$24:$U$30,MATCH("对"&amp;LEFT($C$5,2)&amp;"输出",标准坦克设计!$B$23:$U$23,0)))*(VLOOKUP($B139,INDIRECT($B$5&amp;"生成成长"),3))*(VLOOKUP($B$5,标准坦克设计!$B$14:$K$20,9)/30))</f>
        <v>2.5806892063563098</v>
      </c>
      <c r="H139" s="172">
        <f ca="1">(VLOOKUP(H$72,INDIRECT($C$5&amp;"生成成长"),2))/((VLOOKUP($B139,INDIRECT($B$5&amp;"生成成长"),4))/(VLOOKUP(H$72,INDIRECT($C$5&amp;"生成成长"),5))*(VLOOKUP($B$5,标准坦克设计!$B$24:$U$30,MATCH("对"&amp;LEFT($C$5,2)&amp;"输出",标准坦克设计!$B$23:$U$23,0)))*(VLOOKUP($B139,INDIRECT($B$5&amp;"生成成长"),3))*(VLOOKUP($B$5,标准坦克设计!$B$14:$K$20,9)/30))</f>
        <v>2.2584387331380396</v>
      </c>
      <c r="I139" s="172">
        <f ca="1">(VLOOKUP(I$72,INDIRECT($C$5&amp;"生成成长"),2))/((VLOOKUP($B139,INDIRECT($B$5&amp;"生成成长"),4))/(VLOOKUP(I$72,INDIRECT($C$5&amp;"生成成长"),5))*(VLOOKUP($B$5,标准坦克设计!$B$24:$U$30,MATCH("对"&amp;LEFT($C$5,2)&amp;"输出",标准坦克设计!$B$23:$U$23,0)))*(VLOOKUP($B139,INDIRECT($B$5&amp;"生成成长"),3))*(VLOOKUP($B$5,标准坦克设计!$B$14:$K$20,9)/30))</f>
        <v>2.5806892063563098</v>
      </c>
      <c r="J139" s="172">
        <f ca="1">(VLOOKUP(J$72,INDIRECT($C$5&amp;"生成成长"),2))/((VLOOKUP($B139,INDIRECT($B$5&amp;"生成成长"),4))/(VLOOKUP(J$72,INDIRECT($C$5&amp;"生成成长"),5))*(VLOOKUP($B$5,标准坦克设计!$B$24:$U$30,MATCH("对"&amp;LEFT($C$5,2)&amp;"输出",标准坦克设计!$B$23:$U$23,0)))*(VLOOKUP($B139,INDIRECT($B$5&amp;"生成成长"),3))*(VLOOKUP($B$5,标准坦克设计!$B$14:$K$20,9)/30))</f>
        <v>2.9244230444557981</v>
      </c>
      <c r="K139" s="172">
        <f ca="1">(VLOOKUP(K$72,INDIRECT($C$5&amp;"生成成长"),2))/((VLOOKUP($B139,INDIRECT($B$5&amp;"生成成长"),4))/(VLOOKUP(K$72,INDIRECT($C$5&amp;"生成成长"),5))*(VLOOKUP($B$5,标准坦克设计!$B$24:$U$30,MATCH("对"&amp;LEFT($C$5,2)&amp;"输出",标准坦克设计!$B$23:$U$23,0)))*(VLOOKUP($B139,INDIRECT($B$5&amp;"生成成长"),3))*(VLOOKUP($B$5,标准坦克设计!$B$14:$K$20,9)/30))</f>
        <v>3.2896402474365027</v>
      </c>
      <c r="L139" s="172">
        <f ca="1">(VLOOKUP(L$72,INDIRECT($C$5&amp;"生成成长"),2))/((VLOOKUP($B139,INDIRECT($B$5&amp;"生成成长"),4))/(VLOOKUP(L$72,INDIRECT($C$5&amp;"生成成长"),5))*(VLOOKUP($B$5,标准坦克设计!$B$24:$U$30,MATCH("对"&amp;LEFT($C$5,2)&amp;"输出",标准坦克设计!$B$23:$U$23,0)))*(VLOOKUP($B139,INDIRECT($B$5&amp;"生成成长"),3))*(VLOOKUP($B$5,标准坦克设计!$B$14:$K$20,9)/30))</f>
        <v>3.6763408152984276</v>
      </c>
      <c r="M139" s="172">
        <f ca="1">(VLOOKUP(M$72,INDIRECT($C$5&amp;"生成成长"),2))/((VLOOKUP($B139,INDIRECT($B$5&amp;"生成成长"),4))/(VLOOKUP(M$72,INDIRECT($C$5&amp;"生成成长"),5))*(VLOOKUP($B$5,标准坦克设计!$B$24:$U$30,MATCH("对"&amp;LEFT($C$5,2)&amp;"输出",标准坦克设计!$B$23:$U$23,0)))*(VLOOKUP($B139,INDIRECT($B$5&amp;"生成成长"),3))*(VLOOKUP($B$5,标准坦克设计!$B$14:$K$20,9)/30))</f>
        <v>4.0845247480415683</v>
      </c>
      <c r="N139" s="172">
        <f ca="1">(VLOOKUP(N$72,INDIRECT($C$5&amp;"生成成长"),2))/((VLOOKUP($B139,INDIRECT($B$5&amp;"生成成长"),4))/(VLOOKUP(N$72,INDIRECT($C$5&amp;"生成成长"),5))*(VLOOKUP($B$5,标准坦克设计!$B$24:$U$30,MATCH("对"&amp;LEFT($C$5,2)&amp;"输出",标准坦克设计!$B$23:$U$23,0)))*(VLOOKUP($B139,INDIRECT($B$5&amp;"生成成长"),3))*(VLOOKUP($B$5,标准坦克设计!$B$14:$K$20,9)/30))</f>
        <v>4.5141920456659284</v>
      </c>
      <c r="O139" s="172">
        <f ca="1">(VLOOKUP(O$72,INDIRECT($C$5&amp;"生成成长"),2))/((VLOOKUP($B139,INDIRECT($B$5&amp;"生成成长"),4))/(VLOOKUP(O$72,INDIRECT($C$5&amp;"生成成长"),5))*(VLOOKUP($B$5,标准坦克设计!$B$24:$U$30,MATCH("对"&amp;LEFT($C$5,2)&amp;"输出",标准坦克设计!$B$23:$U$23,0)))*(VLOOKUP($B139,INDIRECT($B$5&amp;"生成成长"),3))*(VLOOKUP($B$5,标准坦克设计!$B$14:$K$20,9)/30))</f>
        <v>3.4321353785627067</v>
      </c>
      <c r="P139" s="172">
        <f ca="1">(VLOOKUP(P$72,INDIRECT($C$5&amp;"生成成长"),2))/((VLOOKUP($B139,INDIRECT($B$5&amp;"生成成长"),4))/(VLOOKUP(P$72,INDIRECT($C$5&amp;"生成成长"),5))*(VLOOKUP($B$5,标准坦克设计!$B$24:$U$30,MATCH("对"&amp;LEFT($C$5,2)&amp;"输出",标准坦克设计!$B$23:$U$23,0)))*(VLOOKUP($B139,INDIRECT($B$5&amp;"生成成长"),3))*(VLOOKUP($B$5,标准坦克设计!$B$14:$K$20,9)/30))</f>
        <v>3.8777473610598445</v>
      </c>
      <c r="Q139" s="172">
        <f ca="1">(VLOOKUP(Q$72,INDIRECT($C$5&amp;"生成成长"),2))/((VLOOKUP($B139,INDIRECT($B$5&amp;"生成成长"),4))/(VLOOKUP(Q$72,INDIRECT($C$5&amp;"生成成长"),5))*(VLOOKUP($B$5,标准坦克设计!$B$24:$U$30,MATCH("对"&amp;LEFT($C$5,2)&amp;"输出",标准坦克设计!$B$23:$U$23,0)))*(VLOOKUP($B139,INDIRECT($B$5&amp;"生成成长"),3))*(VLOOKUP($B$5,标准坦克设计!$B$14:$K$20,9)/30))</f>
        <v>4.350549227234775</v>
      </c>
      <c r="R139" s="172">
        <f ca="1">(VLOOKUP(R$72,INDIRECT($C$5&amp;"生成成长"),2))/((VLOOKUP($B139,INDIRECT($B$5&amp;"生成成长"),4))/(VLOOKUP(R$72,INDIRECT($C$5&amp;"生成成长"),5))*(VLOOKUP($B$5,标准坦克设计!$B$24:$U$30,MATCH("对"&amp;LEFT($C$5,2)&amp;"输出",标准坦克设计!$B$23:$U$23,0)))*(VLOOKUP($B139,INDIRECT($B$5&amp;"生成成长"),3))*(VLOOKUP($B$5,标准坦克设计!$B$14:$K$20,9)/30))</f>
        <v>4.8505409770874977</v>
      </c>
      <c r="S139" s="172">
        <f ca="1">(VLOOKUP(S$72,INDIRECT($C$5&amp;"生成成长"),2))/((VLOOKUP($B139,INDIRECT($B$5&amp;"生成成长"),4))/(VLOOKUP(S$72,INDIRECT($C$5&amp;"生成成长"),5))*(VLOOKUP($B$5,标准坦克设计!$B$24:$U$30,MATCH("对"&amp;LEFT($C$5,2)&amp;"输出",标准坦克设计!$B$23:$U$23,0)))*(VLOOKUP($B139,INDIRECT($B$5&amp;"生成成长"),3))*(VLOOKUP($B$5,标准坦克设计!$B$14:$K$20,9)/30))</f>
        <v>5.3777226106180107</v>
      </c>
      <c r="T139" s="172">
        <f ca="1">(VLOOKUP(T$72,INDIRECT($C$5&amp;"生成成长"),2))/((VLOOKUP($B139,INDIRECT($B$5&amp;"生成成长"),4))/(VLOOKUP(T$72,INDIRECT($C$5&amp;"生成成长"),5))*(VLOOKUP($B$5,标准坦克设计!$B$24:$U$30,MATCH("对"&amp;LEFT($C$5,2)&amp;"输出",标准坦克设计!$B$23:$U$23,0)))*(VLOOKUP($B139,INDIRECT($B$5&amp;"生成成长"),3))*(VLOOKUP($B$5,标准坦克设计!$B$14:$K$20,9)/30))</f>
        <v>5.932094127826316</v>
      </c>
      <c r="U139" s="172">
        <f ca="1">(VLOOKUP(U$72,INDIRECT($C$5&amp;"生成成长"),2))/((VLOOKUP($B139,INDIRECT($B$5&amp;"生成成长"),4))/(VLOOKUP(U$72,INDIRECT($C$5&amp;"生成成长"),5))*(VLOOKUP($B$5,标准坦克设计!$B$24:$U$30,MATCH("对"&amp;LEFT($C$5,2)&amp;"输出",标准坦克设计!$B$23:$U$23,0)))*(VLOOKUP($B139,INDIRECT($B$5&amp;"生成成长"),3))*(VLOOKUP($B$5,标准坦克设计!$B$14:$K$20,9)/30))</f>
        <v>6.5136555287124107</v>
      </c>
      <c r="V139" s="172">
        <f ca="1">(VLOOKUP(V$72,INDIRECT($C$5&amp;"生成成长"),2))/((VLOOKUP($B139,INDIRECT($B$5&amp;"生成成长"),4))/(VLOOKUP(V$72,INDIRECT($C$5&amp;"生成成长"),5))*(VLOOKUP($B$5,标准坦克设计!$B$24:$U$30,MATCH("对"&amp;LEFT($C$5,2)&amp;"输出",标准坦克设计!$B$23:$U$23,0)))*(VLOOKUP($B139,INDIRECT($B$5&amp;"生成成长"),3))*(VLOOKUP($B$5,标准坦克设计!$B$14:$K$20,9)/30))</f>
        <v>7.1224068132762977</v>
      </c>
      <c r="W139" s="172">
        <f ca="1">(VLOOKUP(W$72,INDIRECT($C$5&amp;"生成成长"),2))/((VLOOKUP($B139,INDIRECT($B$5&amp;"生成成长"),4))/(VLOOKUP(W$72,INDIRECT($C$5&amp;"生成成长"),5))*(VLOOKUP($B$5,标准坦克设计!$B$24:$U$30,MATCH("对"&amp;LEFT($C$5,2)&amp;"输出",标准坦克设计!$B$23:$U$23,0)))*(VLOOKUP($B139,INDIRECT($B$5&amp;"生成成长"),3))*(VLOOKUP($B$5,标准坦克设计!$B$14:$K$20,9)/30))</f>
        <v>7.7583479815179768</v>
      </c>
      <c r="X139" s="172">
        <f ca="1">(VLOOKUP(X$72,INDIRECT($C$5&amp;"生成成长"),2))/((VLOOKUP($B139,INDIRECT($B$5&amp;"生成成长"),4))/(VLOOKUP(X$72,INDIRECT($C$5&amp;"生成成长"),5))*(VLOOKUP($B$5,标准坦克设计!$B$24:$U$30,MATCH("对"&amp;LEFT($C$5,2)&amp;"输出",标准坦克设计!$B$23:$U$23,0)))*(VLOOKUP($B139,INDIRECT($B$5&amp;"生成成长"),3))*(VLOOKUP($B$5,标准坦克设计!$B$14:$K$20,9)/30))</f>
        <v>5.6207531758367892</v>
      </c>
      <c r="Y139" s="172">
        <f ca="1">(VLOOKUP(Y$72,INDIRECT($C$5&amp;"生成成长"),2))/((VLOOKUP($B139,INDIRECT($B$5&amp;"生成成长"),4))/(VLOOKUP(Y$72,INDIRECT($C$5&amp;"生成成长"),5))*(VLOOKUP($B$5,标准坦克设计!$B$24:$U$30,MATCH("对"&amp;LEFT($C$5,2)&amp;"输出",标准坦克设计!$B$23:$U$23,0)))*(VLOOKUP($B139,INDIRECT($B$5&amp;"生成成长"),3))*(VLOOKUP($B$5,标准坦克设计!$B$14:$K$20,9)/30))</f>
        <v>6.2518270192225671</v>
      </c>
      <c r="Z139" s="172">
        <f ca="1">(VLOOKUP(Z$72,INDIRECT($C$5&amp;"生成成长"),2))/((VLOOKUP($B139,INDIRECT($B$5&amp;"生成成长"),4))/(VLOOKUP(Z$72,INDIRECT($C$5&amp;"生成成长"),5))*(VLOOKUP($B$5,标准坦克设计!$B$24:$U$30,MATCH("对"&amp;LEFT($C$5,2)&amp;"输出",标准坦克设计!$B$23:$U$23,0)))*(VLOOKUP($B139,INDIRECT($B$5&amp;"生成成长"),3))*(VLOOKUP($B$5,标准坦克设计!$B$14:$K$20,9)/30))</f>
        <v>6.9164686202352472</v>
      </c>
      <c r="AA139" s="172">
        <f ca="1">(VLOOKUP(AA$72,INDIRECT($C$5&amp;"生成成长"),2))/((VLOOKUP($B139,INDIRECT($B$5&amp;"生成成长"),4))/(VLOOKUP(AA$72,INDIRECT($C$5&amp;"生成成长"),5))*(VLOOKUP($B$5,标准坦克设计!$B$24:$U$30,MATCH("对"&amp;LEFT($C$5,2)&amp;"输出",标准坦克设计!$B$23:$U$23,0)))*(VLOOKUP($B139,INDIRECT($B$5&amp;"生成成长"),3))*(VLOOKUP($B$5,标准坦克设计!$B$14:$K$20,9)/30))</f>
        <v>7.6146779788748313</v>
      </c>
      <c r="AB139" s="172">
        <f ca="1">(VLOOKUP(AB$72,INDIRECT($C$5&amp;"生成成长"),2))/((VLOOKUP($B139,INDIRECT($B$5&amp;"生成成长"),4))/(VLOOKUP(AB$72,INDIRECT($C$5&amp;"生成成长"),5))*(VLOOKUP($B$5,标准坦克设计!$B$24:$U$30,MATCH("对"&amp;LEFT($C$5,2)&amp;"输出",标准坦克设计!$B$23:$U$23,0)))*(VLOOKUP($B139,INDIRECT($B$5&amp;"生成成长"),3))*(VLOOKUP($B$5,标准坦克设计!$B$14:$K$20,9)/30))</f>
        <v>8.3464550951413194</v>
      </c>
      <c r="AC139" s="172">
        <f ca="1">(VLOOKUP(AC$72,INDIRECT($C$5&amp;"生成成长"),2))/((VLOOKUP($B139,INDIRECT($B$5&amp;"生成成长"),4))/(VLOOKUP(AC$72,INDIRECT($C$5&amp;"生成成长"),5))*(VLOOKUP($B$5,标准坦克设计!$B$24:$U$30,MATCH("对"&amp;LEFT($C$5,2)&amp;"输出",标准坦克设计!$B$23:$U$23,0)))*(VLOOKUP($B139,INDIRECT($B$5&amp;"生成成长"),3))*(VLOOKUP($B$5,标准坦克设计!$B$14:$K$20,9)/30))</f>
        <v>9.1117999690347098</v>
      </c>
      <c r="AD139" s="172">
        <f ca="1">(VLOOKUP(AD$72,INDIRECT($C$5&amp;"生成成长"),2))/((VLOOKUP($B139,INDIRECT($B$5&amp;"生成成长"),4))/(VLOOKUP(AD$72,INDIRECT($C$5&amp;"生成成长"),5))*(VLOOKUP($B$5,标准坦克设计!$B$24:$U$30,MATCH("对"&amp;LEFT($C$5,2)&amp;"输出",标准坦克设计!$B$23:$U$23,0)))*(VLOOKUP($B139,INDIRECT($B$5&amp;"生成成长"),3))*(VLOOKUP($B$5,标准坦克设计!$B$14:$K$20,9)/30))</f>
        <v>9.9107126005550032</v>
      </c>
      <c r="AE139" s="172">
        <f ca="1">(VLOOKUP(AE$72,INDIRECT($C$5&amp;"生成成长"),2))/((VLOOKUP($B139,INDIRECT($B$5&amp;"生成成长"),4))/(VLOOKUP(AE$72,INDIRECT($C$5&amp;"生成成长"),5))*(VLOOKUP($B$5,标准坦克设计!$B$24:$U$30,MATCH("对"&amp;LEFT($C$5,2)&amp;"输出",标准坦克设计!$B$23:$U$23,0)))*(VLOOKUP($B139,INDIRECT($B$5&amp;"生成成长"),3))*(VLOOKUP($B$5,标准坦克设计!$B$14:$K$20,9)/30))</f>
        <v>10.7431929897022</v>
      </c>
      <c r="AF139" s="172">
        <f ca="1">(VLOOKUP(AF$72,INDIRECT($C$5&amp;"生成成长"),2))/((VLOOKUP($B139,INDIRECT($B$5&amp;"生成成长"),4))/(VLOOKUP(AF$72,INDIRECT($C$5&amp;"生成成长"),5))*(VLOOKUP($B$5,标准坦克设计!$B$24:$U$30,MATCH("对"&amp;LEFT($C$5,2)&amp;"输出",标准坦克设计!$B$23:$U$23,0)))*(VLOOKUP($B139,INDIRECT($B$5&amp;"生成成长"),3))*(VLOOKUP($B$5,标准坦克设计!$B$14:$K$20,9)/30))</f>
        <v>11.6092411364763</v>
      </c>
      <c r="AG139" s="172">
        <f ca="1">(VLOOKUP(AG$72,INDIRECT($C$5&amp;"生成成长"),2))/((VLOOKUP($B139,INDIRECT($B$5&amp;"生成成长"),4))/(VLOOKUP(AG$72,INDIRECT($C$5&amp;"生成成长"),5))*(VLOOKUP($B$5,标准坦克设计!$B$24:$U$30,MATCH("对"&amp;LEFT($C$5,2)&amp;"输出",标准坦克设计!$B$23:$U$23,0)))*(VLOOKUP($B139,INDIRECT($B$5&amp;"生成成长"),3))*(VLOOKUP($B$5,标准坦克设计!$B$14:$K$20,9)/30))</f>
        <v>12.508857040877302</v>
      </c>
      <c r="AH139" s="172">
        <f ca="1">(VLOOKUP(AH$72,INDIRECT($C$5&amp;"生成成长"),2))/((VLOOKUP($B139,INDIRECT($B$5&amp;"生成成长"),4))/(VLOOKUP(AH$72,INDIRECT($C$5&amp;"生成成长"),5))*(VLOOKUP($B$5,标准坦克设计!$B$24:$U$30,MATCH("对"&amp;LEFT($C$5,2)&amp;"输出",标准坦克设计!$B$23:$U$23,0)))*(VLOOKUP($B139,INDIRECT($B$5&amp;"生成成长"),3))*(VLOOKUP($B$5,标准坦克设计!$B$14:$K$20,9)/30))</f>
        <v>13.442040702905208</v>
      </c>
      <c r="AI139" s="172">
        <f ca="1">(VLOOKUP(AI$72,INDIRECT($C$5&amp;"生成成长"),2))/((VLOOKUP($B139,INDIRECT($B$5&amp;"生成成长"),4))/(VLOOKUP(AI$72,INDIRECT($C$5&amp;"生成成长"),5))*(VLOOKUP($B$5,标准坦克设计!$B$24:$U$30,MATCH("对"&amp;LEFT($C$5,2)&amp;"输出",标准坦克设计!$B$23:$U$23,0)))*(VLOOKUP($B139,INDIRECT($B$5&amp;"生成成长"),3))*(VLOOKUP($B$5,标准坦克设计!$B$14:$K$20,9)/30))</f>
        <v>9.5070603150914934</v>
      </c>
      <c r="AJ139" s="172">
        <f ca="1">(VLOOKUP(AJ$72,INDIRECT($C$5&amp;"生成成长"),2))/((VLOOKUP($B139,INDIRECT($B$5&amp;"生成成长"),4))/(VLOOKUP(AJ$72,INDIRECT($C$5&amp;"生成成长"),5))*(VLOOKUP($B$5,标准坦克设计!$B$24:$U$30,MATCH("对"&amp;LEFT($C$5,2)&amp;"输出",标准坦克设计!$B$23:$U$23,0)))*(VLOOKUP($B139,INDIRECT($B$5&amp;"生成成长"),3))*(VLOOKUP($B$5,标准坦克设计!$B$14:$K$20,9)/30))</f>
        <v>10.406172703128092</v>
      </c>
      <c r="AK139" s="172">
        <f ca="1">(VLOOKUP(AK$72,INDIRECT($C$5&amp;"生成成长"),2))/((VLOOKUP($B139,INDIRECT($B$5&amp;"生成成长"),4))/(VLOOKUP(AK$72,INDIRECT($C$5&amp;"生成成长"),5))*(VLOOKUP($B$5,标准坦克设计!$B$24:$U$30,MATCH("对"&amp;LEFT($C$5,2)&amp;"输出",标准坦克设计!$B$23:$U$23,0)))*(VLOOKUP($B139,INDIRECT($B$5&amp;"生成成长"),3))*(VLOOKUP($B$5,标准坦克设计!$B$14:$K$20,9)/30))</f>
        <v>11.345902077893246</v>
      </c>
      <c r="AL139" s="172">
        <f ca="1">(VLOOKUP(AL$72,INDIRECT($C$5&amp;"生成成长"),2))/((VLOOKUP($B139,INDIRECT($B$5&amp;"生成成长"),4))/(VLOOKUP(AL$72,INDIRECT($C$5&amp;"生成成长"),5))*(VLOOKUP($B$5,标准坦克设计!$B$24:$U$30,MATCH("对"&amp;LEFT($C$5,2)&amp;"输出",标准坦克设计!$B$23:$U$23,0)))*(VLOOKUP($B139,INDIRECT($B$5&amp;"生成成长"),3))*(VLOOKUP($B$5,标准坦克设计!$B$14:$K$20,9)/30))</f>
        <v>12.326248439386951</v>
      </c>
      <c r="AM139" s="172">
        <f ca="1">(VLOOKUP(AM$72,INDIRECT($C$5&amp;"生成成长"),2))/((VLOOKUP($B139,INDIRECT($B$5&amp;"生成成长"),4))/(VLOOKUP(AM$72,INDIRECT($C$5&amp;"生成成长"),5))*(VLOOKUP($B$5,标准坦克设计!$B$24:$U$30,MATCH("对"&amp;LEFT($C$5,2)&amp;"输出",标准坦克设计!$B$23:$U$23,0)))*(VLOOKUP($B139,INDIRECT($B$5&amp;"生成成长"),3))*(VLOOKUP($B$5,标准坦克设计!$B$14:$K$20,9)/30))</f>
        <v>13.347211787609208</v>
      </c>
      <c r="AN139" s="172">
        <f ca="1">(VLOOKUP(AN$72,INDIRECT($C$5&amp;"生成成长"),2))/((VLOOKUP($B139,INDIRECT($B$5&amp;"生成成长"),4))/(VLOOKUP(AN$72,INDIRECT($C$5&amp;"生成成长"),5))*(VLOOKUP($B$5,标准坦克设计!$B$24:$U$30,MATCH("对"&amp;LEFT($C$5,2)&amp;"输出",标准坦克设计!$B$23:$U$23,0)))*(VLOOKUP($B139,INDIRECT($B$5&amp;"生成成长"),3))*(VLOOKUP($B$5,标准坦克设计!$B$14:$K$20,9)/30))</f>
        <v>14.408792122560019</v>
      </c>
      <c r="AO139" s="172">
        <f ca="1">(VLOOKUP(AO$72,INDIRECT($C$5&amp;"生成成长"),2))/((VLOOKUP($B139,INDIRECT($B$5&amp;"生成成长"),4))/(VLOOKUP(AO$72,INDIRECT($C$5&amp;"生成成长"),5))*(VLOOKUP($B$5,标准坦克设计!$B$24:$U$30,MATCH("对"&amp;LEFT($C$5,2)&amp;"输出",标准坦克设计!$B$23:$U$23,0)))*(VLOOKUP($B139,INDIRECT($B$5&amp;"生成成长"),3))*(VLOOKUP($B$5,标准坦克设计!$B$14:$K$20,9)/30))</f>
        <v>15.510989444239378</v>
      </c>
      <c r="AP139" s="172">
        <f ca="1">(VLOOKUP(AP$72,INDIRECT($C$5&amp;"生成成长"),2))/((VLOOKUP($B139,INDIRECT($B$5&amp;"生成成长"),4))/(VLOOKUP(AP$72,INDIRECT($C$5&amp;"生成成长"),5))*(VLOOKUP($B$5,标准坦克设计!$B$24:$U$30,MATCH("对"&amp;LEFT($C$5,2)&amp;"输出",标准坦克设计!$B$23:$U$23,0)))*(VLOOKUP($B139,INDIRECT($B$5&amp;"生成成长"),3))*(VLOOKUP($B$5,标准坦克设计!$B$14:$K$20,9)/30))</f>
        <v>16.653803752647296</v>
      </c>
      <c r="AQ139" s="172">
        <f ca="1">(VLOOKUP(AQ$72,INDIRECT($C$5&amp;"生成成长"),2))/((VLOOKUP($B139,INDIRECT($B$5&amp;"生成成长"),4))/(VLOOKUP(AQ$72,INDIRECT($C$5&amp;"生成成长"),5))*(VLOOKUP($B$5,标准坦克设计!$B$24:$U$30,MATCH("对"&amp;LEFT($C$5,2)&amp;"输出",标准坦克设计!$B$23:$U$23,0)))*(VLOOKUP($B139,INDIRECT($B$5&amp;"生成成长"),3))*(VLOOKUP($B$5,标准坦克设计!$B$14:$K$20,9)/30))</f>
        <v>17.837235047783764</v>
      </c>
      <c r="AR139" s="172">
        <f ca="1">(VLOOKUP(AR$72,INDIRECT($C$5&amp;"生成成长"),2))/((VLOOKUP($B139,INDIRECT($B$5&amp;"生成成长"),4))/(VLOOKUP(AR$72,INDIRECT($C$5&amp;"生成成长"),5))*(VLOOKUP($B$5,标准坦克设计!$B$24:$U$30,MATCH("对"&amp;LEFT($C$5,2)&amp;"输出",标准坦克设计!$B$23:$U$23,0)))*(VLOOKUP($B139,INDIRECT($B$5&amp;"生成成长"),3))*(VLOOKUP($B$5,标准坦克设计!$B$14:$K$20,9)/30))</f>
        <v>19.061283329648784</v>
      </c>
      <c r="AS139" s="172">
        <f ca="1">(VLOOKUP(AS$72,INDIRECT($C$5&amp;"生成成长"),2))/((VLOOKUP($B139,INDIRECT($B$5&amp;"生成成长"),4))/(VLOOKUP(AS$72,INDIRECT($C$5&amp;"生成成长"),5))*(VLOOKUP($B$5,标准坦克设计!$B$24:$U$30,MATCH("对"&amp;LEFT($C$5,2)&amp;"输出",标准坦克设计!$B$23:$U$23,0)))*(VLOOKUP($B139,INDIRECT($B$5&amp;"生成成长"),3))*(VLOOKUP($B$5,标准坦克设计!$B$14:$K$20,9)/30))</f>
        <v>20.325948598242363</v>
      </c>
      <c r="AT139" s="172">
        <f ca="1">(VLOOKUP(AT$72,INDIRECT($C$5&amp;"生成成长"),2))/((VLOOKUP($B139,INDIRECT($B$5&amp;"生成成长"),4))/(VLOOKUP(AT$72,INDIRECT($C$5&amp;"生成成长"),5))*(VLOOKUP($B$5,标准坦克设计!$B$24:$U$30,MATCH("对"&amp;LEFT($C$5,2)&amp;"输出",标准坦克设计!$B$23:$U$23,0)))*(VLOOKUP($B139,INDIRECT($B$5&amp;"生成成长"),3))*(VLOOKUP($B$5,标准坦克设计!$B$14:$K$20,9)/30))</f>
        <v>21.631230853564489</v>
      </c>
      <c r="AU139" s="172">
        <f ca="1">(VLOOKUP(AU$72,INDIRECT($C$5&amp;"生成成长"),2))/((VLOOKUP($B139,INDIRECT($B$5&amp;"生成成长"),4))/(VLOOKUP(AU$72,INDIRECT($C$5&amp;"生成成长"),5))*(VLOOKUP($B$5,标准坦克设计!$B$24:$U$30,MATCH("对"&amp;LEFT($C$5,2)&amp;"输出",标准坦克设计!$B$23:$U$23,0)))*(VLOOKUP($B139,INDIRECT($B$5&amp;"生成成长"),3))*(VLOOKUP($B$5,标准坦克设计!$B$14:$K$20,9)/30))</f>
        <v>22.977130095615173</v>
      </c>
      <c r="AV139" s="172">
        <f ca="1">(VLOOKUP(AV$72,INDIRECT($C$5&amp;"生成成长"),2))/((VLOOKUP($B139,INDIRECT($B$5&amp;"生成成长"),4))/(VLOOKUP(AV$72,INDIRECT($C$5&amp;"生成成长"),5))*(VLOOKUP($B$5,标准坦克设计!$B$24:$U$30,MATCH("对"&amp;LEFT($C$5,2)&amp;"输出",标准坦克设计!$B$23:$U$23,0)))*(VLOOKUP($B139,INDIRECT($B$5&amp;"生成成长"),3))*(VLOOKUP($B$5,标准坦克设计!$B$14:$K$20,9)/30))</f>
        <v>2.3369872859849936</v>
      </c>
      <c r="AW139" s="172">
        <f ca="1">(VLOOKUP(AW$72,INDIRECT($C$5&amp;"生成成长"),2))/((VLOOKUP($B139,INDIRECT($B$5&amp;"生成成长"),4))/(VLOOKUP(AW$72,INDIRECT($C$5&amp;"生成成长"),5))*(VLOOKUP($B$5,标准坦克设计!$B$24:$U$30,MATCH("对"&amp;LEFT($C$5,2)&amp;"输出",标准坦克设计!$B$23:$U$23,0)))*(VLOOKUP($B139,INDIRECT($B$5&amp;"生成成长"),3))*(VLOOKUP($B$5,标准坦克设计!$B$14:$K$20,9)/30))</f>
        <v>2.6646086004235676</v>
      </c>
      <c r="AX139" s="172">
        <f ca="1">(VLOOKUP(AX$72,INDIRECT($C$5&amp;"生成成长"),2))/((VLOOKUP($B139,INDIRECT($B$5&amp;"生成成长"),4))/(VLOOKUP(AX$72,INDIRECT($C$5&amp;"生成成长"),5))*(VLOOKUP($B$5,标准坦克设计!$B$24:$U$30,MATCH("对"&amp;LEFT($C$5,2)&amp;"输出",标准坦克设计!$B$23:$U$23,0)))*(VLOOKUP($B139,INDIRECT($B$5&amp;"生成成长"),3))*(VLOOKUP($B$5,标准坦克设计!$B$14:$K$20,9)/30))</f>
        <v>3.0137132797433601</v>
      </c>
      <c r="AY139" s="172">
        <f ca="1">(VLOOKUP(AY$72,INDIRECT($C$5&amp;"生成成长"),2))/((VLOOKUP($B139,INDIRECT($B$5&amp;"生成成长"),4))/(VLOOKUP(AY$72,INDIRECT($C$5&amp;"生成成长"),5))*(VLOOKUP($B$5,标准坦克设计!$B$24:$U$30,MATCH("对"&amp;LEFT($C$5,2)&amp;"输出",标准坦克设计!$B$23:$U$23,0)))*(VLOOKUP($B139,INDIRECT($B$5&amp;"生成成长"),3))*(VLOOKUP($B$5,标准坦克设计!$B$14:$K$20,9)/30))</f>
        <v>3.3843013239443698</v>
      </c>
      <c r="AZ139" s="172">
        <f ca="1">(VLOOKUP(AZ$72,INDIRECT($C$5&amp;"生成成长"),2))/((VLOOKUP($B139,INDIRECT($B$5&amp;"生成成长"),4))/(VLOOKUP(AZ$72,INDIRECT($C$5&amp;"生成成长"),5))*(VLOOKUP($B$5,标准坦克设计!$B$24:$U$30,MATCH("对"&amp;LEFT($C$5,2)&amp;"输出",标准坦克设计!$B$23:$U$23,0)))*(VLOOKUP($B139,INDIRECT($B$5&amp;"生成成长"),3))*(VLOOKUP($B$5,标准坦克设计!$B$14:$K$20,9)/30))</f>
        <v>3.7763727330265979</v>
      </c>
      <c r="BA139" s="172">
        <f ca="1">(VLOOKUP(BA$72,INDIRECT($C$5&amp;"生成成长"),2))/((VLOOKUP($B139,INDIRECT($B$5&amp;"生成成长"),4))/(VLOOKUP(BA$72,INDIRECT($C$5&amp;"生成成长"),5))*(VLOOKUP($B$5,标准坦克设计!$B$24:$U$30,MATCH("对"&amp;LEFT($C$5,2)&amp;"输出",标准坦克设计!$B$23:$U$23,0)))*(VLOOKUP($B139,INDIRECT($B$5&amp;"生成成长"),3))*(VLOOKUP($B$5,标准坦克设计!$B$14:$K$20,9)/30))</f>
        <v>4.1899275069900437</v>
      </c>
      <c r="BB139" s="172">
        <f ca="1">(VLOOKUP(BB$72,INDIRECT($C$5&amp;"生成成长"),2))/((VLOOKUP($B139,INDIRECT($B$5&amp;"生成成长"),4))/(VLOOKUP(BB$72,INDIRECT($C$5&amp;"生成成长"),5))*(VLOOKUP($B$5,标准坦克设计!$B$24:$U$30,MATCH("对"&amp;LEFT($C$5,2)&amp;"输出",标准坦克设计!$B$23:$U$23,0)))*(VLOOKUP($B139,INDIRECT($B$5&amp;"生成成长"),3))*(VLOOKUP($B$5,标准坦克设计!$B$14:$K$20,9)/30))</f>
        <v>4.6249656458347079</v>
      </c>
      <c r="BC139" s="172">
        <f ca="1">(VLOOKUP(BC$72,INDIRECT($C$5&amp;"生成成长"),2))/((VLOOKUP($B139,INDIRECT($B$5&amp;"生成成长"),4))/(VLOOKUP(BC$72,INDIRECT($C$5&amp;"生成成长"),5))*(VLOOKUP($B$5,标准坦克设计!$B$24:$U$30,MATCH("对"&amp;LEFT($C$5,2)&amp;"输出",标准坦克设计!$B$23:$U$23,0)))*(VLOOKUP($B139,INDIRECT($B$5&amp;"生成成长"),3))*(VLOOKUP($B$5,标准坦克设计!$B$14:$K$20,9)/30))</f>
        <v>5.0814871495605907</v>
      </c>
      <c r="BD139" s="172">
        <f ca="1">(VLOOKUP(BD$72,INDIRECT($C$5&amp;"生成成长"),2))/((VLOOKUP($B139,INDIRECT($B$5&amp;"生成成长"),4))/(VLOOKUP(BD$72,INDIRECT($C$5&amp;"生成成长"),5))*(VLOOKUP($B$5,标准坦克设计!$B$24:$U$30,MATCH("对"&amp;LEFT($C$5,2)&amp;"输出",标准坦克设计!$B$23:$U$23,0)))*(VLOOKUP($B139,INDIRECT($B$5&amp;"生成成长"),3))*(VLOOKUP($B$5,标准坦克设计!$B$14:$K$20,9)/30))</f>
        <v>5.6207531758367892</v>
      </c>
      <c r="BE139" s="172">
        <f ca="1">(VLOOKUP(BE$72,INDIRECT($C$5&amp;"生成成长"),2))/((VLOOKUP($B139,INDIRECT($B$5&amp;"生成成长"),4))/(VLOOKUP(BE$72,INDIRECT($C$5&amp;"生成成长"),5))*(VLOOKUP($B$5,标准坦克设计!$B$24:$U$30,MATCH("对"&amp;LEFT($C$5,2)&amp;"输出",标准坦克设计!$B$23:$U$23,0)))*(VLOOKUP($B139,INDIRECT($B$5&amp;"生成成长"),3))*(VLOOKUP($B$5,标准坦克设计!$B$14:$K$20,9)/30))</f>
        <v>6.1872090857907782</v>
      </c>
      <c r="BF139" s="172">
        <f ca="1">(VLOOKUP(BF$72,INDIRECT($C$5&amp;"生成成长"),2))/((VLOOKUP($B139,INDIRECT($B$5&amp;"生成成长"),4))/(VLOOKUP(BF$72,INDIRECT($C$5&amp;"生成成长"),5))*(VLOOKUP($B$5,标准坦克设计!$B$24:$U$30,MATCH("对"&amp;LEFT($C$5,2)&amp;"输出",标准坦克设计!$B$23:$U$23,0)))*(VLOOKUP($B139,INDIRECT($B$5&amp;"生成成长"),3))*(VLOOKUP($B$5,标准坦克设计!$B$14:$K$20,9)/30))</f>
        <v>6.7808548794225585</v>
      </c>
      <c r="BG139" s="172">
        <f ca="1">(VLOOKUP(BG$72,INDIRECT($C$5&amp;"生成成长"),2))/((VLOOKUP($B139,INDIRECT($B$5&amp;"生成成长"),4))/(VLOOKUP(BG$72,INDIRECT($C$5&amp;"生成成长"),5))*(VLOOKUP($B$5,标准坦克设计!$B$24:$U$30,MATCH("对"&amp;LEFT($C$5,2)&amp;"输出",标准坦克设计!$B$23:$U$23,0)))*(VLOOKUP($B139,INDIRECT($B$5&amp;"生成成长"),3))*(VLOOKUP($B$5,标准坦克设计!$B$14:$K$20,9)/30))</f>
        <v>7.4016905567321345</v>
      </c>
      <c r="BH139" s="172">
        <f ca="1">(VLOOKUP(BH$72,INDIRECT($C$5&amp;"生成成长"),2))/((VLOOKUP($B139,INDIRECT($B$5&amp;"生成成长"),4))/(VLOOKUP(BH$72,INDIRECT($C$5&amp;"生成成长"),5))*(VLOOKUP($B$5,标准坦克设计!$B$24:$U$30,MATCH("对"&amp;LEFT($C$5,2)&amp;"输出",标准坦克设计!$B$23:$U$23,0)))*(VLOOKUP($B139,INDIRECT($B$5&amp;"生成成长"),3))*(VLOOKUP($B$5,标准坦克设计!$B$14:$K$20,9)/30))</f>
        <v>3.5776516078753318</v>
      </c>
      <c r="BI139" s="172">
        <f ca="1">(VLOOKUP(BI$72,INDIRECT($C$5&amp;"生成成长"),2))/((VLOOKUP($B139,INDIRECT($B$5&amp;"生成成长"),4))/(VLOOKUP(BI$72,INDIRECT($C$5&amp;"生成成长"),5))*(VLOOKUP($B$5,标准坦克设计!$B$24:$U$30,MATCH("对"&amp;LEFT($C$5,2)&amp;"输出",标准坦克设计!$B$23:$U$23,0)))*(VLOOKUP($B139,INDIRECT($B$5&amp;"生成成长"),3))*(VLOOKUP($B$5,标准坦克设计!$B$14:$K$20,9)/30))</f>
        <v>4.0323268849317344</v>
      </c>
      <c r="BJ139" s="172">
        <f ca="1">(VLOOKUP(BJ$72,INDIRECT($C$5&amp;"生成成长"),2))/((VLOOKUP($B139,INDIRECT($B$5&amp;"生成成长"),4))/(VLOOKUP(BJ$72,INDIRECT($C$5&amp;"生成成长"),5))*(VLOOKUP($B$5,标准坦克设计!$B$24:$U$30,MATCH("对"&amp;LEFT($C$5,2)&amp;"输出",标准坦克设计!$B$23:$U$23,0)))*(VLOOKUP($B139,INDIRECT($B$5&amp;"生成成长"),3))*(VLOOKUP($B$5,标准坦克设计!$B$14:$K$20,9)/30))</f>
        <v>4.5141920456659284</v>
      </c>
      <c r="BK139" s="172">
        <f ca="1">(VLOOKUP(BK$72,INDIRECT($C$5&amp;"生成成长"),2))/((VLOOKUP($B139,INDIRECT($B$5&amp;"生成成长"),4))/(VLOOKUP(BK$72,INDIRECT($C$5&amp;"生成成长"),5))*(VLOOKUP($B$5,标准坦克设计!$B$24:$U$30,MATCH("对"&amp;LEFT($C$5,2)&amp;"输出",标准坦克设计!$B$23:$U$23,0)))*(VLOOKUP($B139,INDIRECT($B$5&amp;"生成成长"),3))*(VLOOKUP($B$5,标准坦克设计!$B$14:$K$20,9)/30))</f>
        <v>5.0232470900779136</v>
      </c>
      <c r="BL139" s="172">
        <f ca="1">(VLOOKUP(BL$72,INDIRECT($C$5&amp;"生成成长"),2))/((VLOOKUP($B139,INDIRECT($B$5&amp;"生成成长"),4))/(VLOOKUP(BL$72,INDIRECT($C$5&amp;"生成成长"),5))*(VLOOKUP($B$5,标准坦克设计!$B$24:$U$30,MATCH("对"&amp;LEFT($C$5,2)&amp;"输出",标准坦克设计!$B$23:$U$23,0)))*(VLOOKUP($B139,INDIRECT($B$5&amp;"生成成长"),3))*(VLOOKUP($B$5,标准坦克设计!$B$14:$K$20,9)/30))</f>
        <v>5.5594920181676901</v>
      </c>
      <c r="BM139" s="172">
        <f ca="1">(VLOOKUP(BM$72,INDIRECT($C$5&amp;"生成成长"),2))/((VLOOKUP($B139,INDIRECT($B$5&amp;"生成成长"),4))/(VLOOKUP(BM$72,INDIRECT($C$5&amp;"生成成长"),5))*(VLOOKUP($B$5,标准坦克设计!$B$24:$U$30,MATCH("对"&amp;LEFT($C$5,2)&amp;"输出",标准坦克设计!$B$23:$U$23,0)))*(VLOOKUP($B139,INDIRECT($B$5&amp;"生成成长"),3))*(VLOOKUP($B$5,标准坦克设计!$B$14:$K$20,9)/30))</f>
        <v>6.1229268299352588</v>
      </c>
      <c r="BN139" s="172">
        <f ca="1">(VLOOKUP(BN$72,INDIRECT($C$5&amp;"生成成长"),2))/((VLOOKUP($B139,INDIRECT($B$5&amp;"生成成长"),4))/(VLOOKUP(BN$72,INDIRECT($C$5&amp;"生成成长"),5))*(VLOOKUP($B$5,标准坦克设计!$B$24:$U$30,MATCH("对"&amp;LEFT($C$5,2)&amp;"输出",标准坦克设计!$B$23:$U$23,0)))*(VLOOKUP($B139,INDIRECT($B$5&amp;"生成成长"),3))*(VLOOKUP($B$5,标准坦克设计!$B$14:$K$20,9)/30))</f>
        <v>6.7135515253806188</v>
      </c>
      <c r="BO139" s="172">
        <f ca="1">(VLOOKUP(BO$72,INDIRECT($C$5&amp;"生成成长"),2))/((VLOOKUP($B139,INDIRECT($B$5&amp;"生成成长"),4))/(VLOOKUP(BO$72,INDIRECT($C$5&amp;"生成成长"),5))*(VLOOKUP($B$5,标准坦克设计!$B$24:$U$30,MATCH("对"&amp;LEFT($C$5,2)&amp;"输出",标准坦克设计!$B$23:$U$23,0)))*(VLOOKUP($B139,INDIRECT($B$5&amp;"生成成长"),3))*(VLOOKUP($B$5,标准坦克设计!$B$14:$K$20,9)/30))</f>
        <v>7.331366104503771</v>
      </c>
      <c r="BP139" s="172">
        <f ca="1">(VLOOKUP(BP$72,INDIRECT($C$5&amp;"生成成长"),2))/((VLOOKUP($B139,INDIRECT($B$5&amp;"生成成长"),4))/(VLOOKUP(BP$72,INDIRECT($C$5&amp;"生成成长"),5))*(VLOOKUP($B$5,标准坦克设计!$B$24:$U$30,MATCH("对"&amp;LEFT($C$5,2)&amp;"输出",标准坦克设计!$B$23:$U$23,0)))*(VLOOKUP($B139,INDIRECT($B$5&amp;"生成成长"),3))*(VLOOKUP($B$5,标准坦克设计!$B$14:$K$20,9)/30))</f>
        <v>7.9763705673047109</v>
      </c>
      <c r="BQ139" s="172">
        <f ca="1">(VLOOKUP(BQ$72,INDIRECT($C$5&amp;"生成成长"),2))/((VLOOKUP($B139,INDIRECT($B$5&amp;"生成成长"),4))/(VLOOKUP(BQ$72,INDIRECT($C$5&amp;"生成成长"),5))*(VLOOKUP($B$5,标准坦克设计!$B$24:$U$30,MATCH("对"&amp;LEFT($C$5,2)&amp;"输出",标准坦克设计!$B$23:$U$23,0)))*(VLOOKUP($B139,INDIRECT($B$5&amp;"生成成长"),3))*(VLOOKUP($B$5,标准坦克设计!$B$14:$K$20,9)/30))</f>
        <v>8.6485649137834475</v>
      </c>
      <c r="BR139" s="172">
        <f ca="1">(VLOOKUP(BR$72,INDIRECT($C$5&amp;"生成成长"),2))/((VLOOKUP($B139,INDIRECT($B$5&amp;"生成成长"),4))/(VLOOKUP(BR$72,INDIRECT($C$5&amp;"生成成长"),5))*(VLOOKUP($B$5,标准坦克设计!$B$24:$U$30,MATCH("对"&amp;LEFT($C$5,2)&amp;"输出",标准坦克设计!$B$23:$U$23,0)))*(VLOOKUP($B139,INDIRECT($B$5&amp;"生成成长"),3))*(VLOOKUP($B$5,标准坦克设计!$B$14:$K$20,9)/30))</f>
        <v>9.4273368907276005</v>
      </c>
      <c r="BS139" s="172">
        <f ca="1">(VLOOKUP(BS$72,INDIRECT($C$5&amp;"生成成长"),2))/((VLOOKUP($B139,INDIRECT($B$5&amp;"生成成长"),4))/(VLOOKUP(BS$72,INDIRECT($C$5&amp;"生成成长"),5))*(VLOOKUP($B$5,标准坦克设计!$B$24:$U$30,MATCH("对"&amp;LEFT($C$5,2)&amp;"输出",标准坦克设计!$B$23:$U$23,0)))*(VLOOKUP($B139,INDIRECT($B$5&amp;"生成成长"),3))*(VLOOKUP($B$5,标准坦克设计!$B$14:$K$20,9)/30))</f>
        <v>10.239676625298653</v>
      </c>
      <c r="BT139" s="172">
        <f ca="1">(VLOOKUP(BT$72,INDIRECT($C$5&amp;"生成成长"),2))/((VLOOKUP($B139,INDIRECT($B$5&amp;"生成成长"),4))/(VLOOKUP(BT$72,INDIRECT($C$5&amp;"生成成长"),5))*(VLOOKUP($B$5,标准坦克设计!$B$24:$U$30,MATCH("对"&amp;LEFT($C$5,2)&amp;"输出",标准坦克设计!$B$23:$U$23,0)))*(VLOOKUP($B139,INDIRECT($B$5&amp;"生成成长"),3))*(VLOOKUP($B$5,标准坦克设计!$B$14:$K$20,9)/30))</f>
        <v>11.085584117496612</v>
      </c>
      <c r="BU139" s="172">
        <f ca="1">(VLOOKUP(BU$72,INDIRECT($C$5&amp;"生成成长"),2))/((VLOOKUP($B139,INDIRECT($B$5&amp;"生成成长"),4))/(VLOOKUP(BU$72,INDIRECT($C$5&amp;"生成成长"),5))*(VLOOKUP($B$5,标准坦克设计!$B$24:$U$30,MATCH("对"&amp;LEFT($C$5,2)&amp;"输出",标准坦克设计!$B$23:$U$23,0)))*(VLOOKUP($B139,INDIRECT($B$5&amp;"生成成长"),3))*(VLOOKUP($B$5,标准坦克设计!$B$14:$K$20,9)/30))</f>
        <v>11.965059367321475</v>
      </c>
      <c r="BV139" s="172">
        <f ca="1">(VLOOKUP(BV$72,INDIRECT($C$5&amp;"生成成长"),2))/((VLOOKUP($B139,INDIRECT($B$5&amp;"生成成长"),4))/(VLOOKUP(BV$72,INDIRECT($C$5&amp;"生成成长"),5))*(VLOOKUP($B$5,标准坦克设计!$B$24:$U$30,MATCH("对"&amp;LEFT($C$5,2)&amp;"输出",标准坦克设计!$B$23:$U$23,0)))*(VLOOKUP($B139,INDIRECT($B$5&amp;"生成成长"),3))*(VLOOKUP($B$5,标准坦克设计!$B$14:$K$20,9)/30))</f>
        <v>12.878102374773238</v>
      </c>
      <c r="BW139" s="172">
        <f ca="1">(VLOOKUP(BW$72,INDIRECT($C$5&amp;"生成成长"),2))/((VLOOKUP($B139,INDIRECT($B$5&amp;"生成成长"),4))/(VLOOKUP(BW$72,INDIRECT($C$5&amp;"生成成长"),5))*(VLOOKUP($B$5,标准坦克设计!$B$24:$U$30,MATCH("对"&amp;LEFT($C$5,2)&amp;"输出",标准坦克设计!$B$23:$U$23,0)))*(VLOOKUP($B139,INDIRECT($B$5&amp;"生成成长"),3))*(VLOOKUP($B$5,标准坦克设计!$B$14:$K$20,9)/30))</f>
        <v>5.8691545822758719</v>
      </c>
      <c r="BX139" s="172">
        <f ca="1">(VLOOKUP(BX$72,INDIRECT($C$5&amp;"生成成长"),2))/((VLOOKUP($B139,INDIRECT($B$5&amp;"生成成长"),4))/(VLOOKUP(BX$72,INDIRECT($C$5&amp;"生成成长"),5))*(VLOOKUP($B$5,标准坦克设计!$B$24:$U$30,MATCH("对"&amp;LEFT($C$5,2)&amp;"输出",标准坦克设计!$B$23:$U$23,0)))*(VLOOKUP($B139,INDIRECT($B$5&amp;"生成成长"),3))*(VLOOKUP($B$5,标准坦克设计!$B$14:$K$20,9)/30))</f>
        <v>6.5136555287124107</v>
      </c>
      <c r="BY139" s="172">
        <f ca="1">(VLOOKUP(BY$72,INDIRECT($C$5&amp;"生成成长"),2))/((VLOOKUP($B139,INDIRECT($B$5&amp;"生成成长"),4))/(VLOOKUP(BY$72,INDIRECT($C$5&amp;"生成成长"),5))*(VLOOKUP($B$5,标准坦克设计!$B$24:$U$30,MATCH("对"&amp;LEFT($C$5,2)&amp;"输出",标准坦克设计!$B$23:$U$23,0)))*(VLOOKUP($B139,INDIRECT($B$5&amp;"生成成长"),3))*(VLOOKUP($B$5,标准坦克设计!$B$14:$K$20,9)/30))</f>
        <v>7.1917242327758526</v>
      </c>
      <c r="BZ139" s="172">
        <f ca="1">(VLOOKUP(BZ$72,INDIRECT($C$5&amp;"生成成长"),2))/((VLOOKUP($B139,INDIRECT($B$5&amp;"生成成长"),4))/(VLOOKUP(BZ$72,INDIRECT($C$5&amp;"生成成长"),5))*(VLOOKUP($B$5,标准坦克设计!$B$24:$U$30,MATCH("对"&amp;LEFT($C$5,2)&amp;"输出",标准坦克设计!$B$23:$U$23,0)))*(VLOOKUP($B139,INDIRECT($B$5&amp;"生成成长"),3))*(VLOOKUP($B$5,标准坦克设计!$B$14:$K$20,9)/30))</f>
        <v>7.9033606944661985</v>
      </c>
      <c r="CA139" s="172">
        <f ca="1">(VLOOKUP(CA$72,INDIRECT($C$5&amp;"生成成长"),2))/((VLOOKUP($B139,INDIRECT($B$5&amp;"生成成长"),4))/(VLOOKUP(CA$72,INDIRECT($C$5&amp;"生成成长"),5))*(VLOOKUP($B$5,标准坦克设计!$B$24:$U$30,MATCH("对"&amp;LEFT($C$5,2)&amp;"输出",标准坦克设计!$B$23:$U$23,0)))*(VLOOKUP($B139,INDIRECT($B$5&amp;"生成成长"),3))*(VLOOKUP($B$5,标准坦克设计!$B$14:$K$20,9)/30))</f>
        <v>8.6485649137834475</v>
      </c>
      <c r="CB139" s="172">
        <f ca="1">(VLOOKUP(CB$72,INDIRECT($C$5&amp;"生成成长"),2))/((VLOOKUP($B139,INDIRECT($B$5&amp;"生成成长"),4))/(VLOOKUP(CB$72,INDIRECT($C$5&amp;"生成成长"),5))*(VLOOKUP($B$5,标准坦克设计!$B$24:$U$30,MATCH("对"&amp;LEFT($C$5,2)&amp;"输出",标准坦克设计!$B$23:$U$23,0)))*(VLOOKUP($B139,INDIRECT($B$5&amp;"生成成长"),3))*(VLOOKUP($B$5,标准坦克设计!$B$14:$K$20,9)/30))</f>
        <v>9.4273368907276005</v>
      </c>
      <c r="CC139" s="172">
        <f ca="1">(VLOOKUP(CC$72,INDIRECT($C$5&amp;"生成成长"),2))/((VLOOKUP($B139,INDIRECT($B$5&amp;"生成成长"),4))/(VLOOKUP(CC$72,INDIRECT($C$5&amp;"生成成长"),5))*(VLOOKUP($B$5,标准坦克设计!$B$24:$U$30,MATCH("对"&amp;LEFT($C$5,2)&amp;"输出",标准坦克设计!$B$23:$U$23,0)))*(VLOOKUP($B139,INDIRECT($B$5&amp;"生成成长"),3))*(VLOOKUP($B$5,标准坦克设计!$B$14:$K$20,9)/30))</f>
        <v>10.239676625298653</v>
      </c>
      <c r="CD139" s="172">
        <f ca="1">(VLOOKUP(CD$72,INDIRECT($C$5&amp;"生成成长"),2))/((VLOOKUP($B139,INDIRECT($B$5&amp;"生成成长"),4))/(VLOOKUP(CD$72,INDIRECT($C$5&amp;"生成成长"),5))*(VLOOKUP($B$5,标准坦克设计!$B$24:$U$30,MATCH("对"&amp;LEFT($C$5,2)&amp;"输出",标准坦克设计!$B$23:$U$23,0)))*(VLOOKUP($B139,INDIRECT($B$5&amp;"生成成长"),3))*(VLOOKUP($B$5,标准坦克设计!$B$14:$K$20,9)/30))</f>
        <v>11.085584117496612</v>
      </c>
      <c r="CE139" s="172">
        <f ca="1">(VLOOKUP(CE$72,INDIRECT($C$5&amp;"生成成长"),2))/((VLOOKUP($B139,INDIRECT($B$5&amp;"生成成长"),4))/(VLOOKUP(CE$72,INDIRECT($C$5&amp;"生成成长"),5))*(VLOOKUP($B$5,标准坦克设计!$B$24:$U$30,MATCH("对"&amp;LEFT($C$5,2)&amp;"输出",标准坦克设计!$B$23:$U$23,0)))*(VLOOKUP($B139,INDIRECT($B$5&amp;"生成成长"),3))*(VLOOKUP($B$5,标准坦克设计!$B$14:$K$20,9)/30))</f>
        <v>11.965059367321475</v>
      </c>
      <c r="CF139" s="172">
        <f ca="1">(VLOOKUP(CF$72,INDIRECT($C$5&amp;"生成成长"),2))/((VLOOKUP($B139,INDIRECT($B$5&amp;"生成成长"),4))/(VLOOKUP(CF$72,INDIRECT($C$5&amp;"生成成长"),5))*(VLOOKUP($B$5,标准坦克设计!$B$24:$U$30,MATCH("对"&amp;LEFT($C$5,2)&amp;"输出",标准坦克设计!$B$23:$U$23,0)))*(VLOOKUP($B139,INDIRECT($B$5&amp;"生成成长"),3))*(VLOOKUP($B$5,标准坦克设计!$B$14:$K$20,9)/30))</f>
        <v>12.878102374773238</v>
      </c>
      <c r="CG139" s="172">
        <f ca="1">(VLOOKUP(CG$72,INDIRECT($C$5&amp;"生成成长"),2))/((VLOOKUP($B139,INDIRECT($B$5&amp;"生成成长"),4))/(VLOOKUP(CG$72,INDIRECT($C$5&amp;"生成成长"),5))*(VLOOKUP($B$5,标准坦克设计!$B$24:$U$30,MATCH("对"&amp;LEFT($C$5,2)&amp;"输出",标准坦克设计!$B$23:$U$23,0)))*(VLOOKUP($B139,INDIRECT($B$5&amp;"生成成长"),3))*(VLOOKUP($B$5,标准坦克设计!$B$14:$K$20,9)/30))</f>
        <v>13.824713139851905</v>
      </c>
      <c r="CH139" s="172">
        <f ca="1">(VLOOKUP(CH$72,INDIRECT($C$5&amp;"生成成长"),2))/((VLOOKUP($B139,INDIRECT($B$5&amp;"生成成长"),4))/(VLOOKUP(CH$72,INDIRECT($C$5&amp;"生成成长"),5))*(VLOOKUP($B$5,标准坦克设计!$B$24:$U$30,MATCH("对"&amp;LEFT($C$5,2)&amp;"输出",标准坦克设计!$B$23:$U$23,0)))*(VLOOKUP($B139,INDIRECT($B$5&amp;"生成成长"),3))*(VLOOKUP($B$5,标准坦克设计!$B$14:$K$20,9)/30))</f>
        <v>14.804891662557475</v>
      </c>
      <c r="CI139" s="172">
        <f ca="1">(VLOOKUP(CI$72,INDIRECT($C$5&amp;"生成成长"),2))/((VLOOKUP($B139,INDIRECT($B$5&amp;"生成成长"),4))/(VLOOKUP(CI$72,INDIRECT($C$5&amp;"生成成长"),5))*(VLOOKUP($B$5,标准坦克设计!$B$24:$U$30,MATCH("对"&amp;LEFT($C$5,2)&amp;"输出",标准坦克设计!$B$23:$U$23,0)))*(VLOOKUP($B139,INDIRECT($B$5&amp;"生成成长"),3))*(VLOOKUP($B$5,标准坦克设计!$B$14:$K$20,9)/30))</f>
        <v>15.921858797592673</v>
      </c>
      <c r="CJ139" s="172">
        <f ca="1">(VLOOKUP(CJ$72,INDIRECT($C$5&amp;"生成成长"),2))/((VLOOKUP($B139,INDIRECT($B$5&amp;"生成成长"),4))/(VLOOKUP(CJ$72,INDIRECT($C$5&amp;"生成成长"),5))*(VLOOKUP($B$5,标准坦克设计!$B$24:$U$30,MATCH("对"&amp;LEFT($C$5,2)&amp;"输出",标准坦克设计!$B$23:$U$23,0)))*(VLOOKUP($B139,INDIRECT($B$5&amp;"生成成长"),3))*(VLOOKUP($B$5,标准坦克设计!$B$14:$K$20,9)/30))</f>
        <v>17.079442919356424</v>
      </c>
      <c r="CK139" s="172">
        <f ca="1">(VLOOKUP(CK$72,INDIRECT($C$5&amp;"生成成长"),2))/((VLOOKUP($B139,INDIRECT($B$5&amp;"生成成长"),4))/(VLOOKUP(CK$72,INDIRECT($C$5&amp;"生成成长"),5))*(VLOOKUP($B$5,标准坦克设计!$B$24:$U$30,MATCH("对"&amp;LEFT($C$5,2)&amp;"输出",标准坦克设计!$B$23:$U$23,0)))*(VLOOKUP($B139,INDIRECT($B$5&amp;"生成成长"),3))*(VLOOKUP($B$5,标准坦克设计!$B$14:$K$20,9)/30))</f>
        <v>18.277644027848734</v>
      </c>
      <c r="CL139" s="172">
        <f ca="1">(VLOOKUP(CL$72,INDIRECT($C$5&amp;"生成成长"),2))/((VLOOKUP($B139,INDIRECT($B$5&amp;"生成成长"),4))/(VLOOKUP(CL$72,INDIRECT($C$5&amp;"生成成长"),5))*(VLOOKUP($B$5,标准坦克设计!$B$24:$U$30,MATCH("对"&amp;LEFT($C$5,2)&amp;"输出",标准坦克设计!$B$23:$U$23,0)))*(VLOOKUP($B139,INDIRECT($B$5&amp;"生成成长"),3))*(VLOOKUP($B$5,标准坦克设计!$B$14:$K$20,9)/30))</f>
        <v>19.516462123069591</v>
      </c>
      <c r="CM139" s="172">
        <f ca="1">(VLOOKUP(CM$72,INDIRECT($C$5&amp;"生成成长"),2))/((VLOOKUP($B139,INDIRECT($B$5&amp;"生成成长"),4))/(VLOOKUP(CM$72,INDIRECT($C$5&amp;"生成成长"),5))*(VLOOKUP($B$5,标准坦克设计!$B$24:$U$30,MATCH("对"&amp;LEFT($C$5,2)&amp;"输出",标准坦克设计!$B$23:$U$23,0)))*(VLOOKUP($B139,INDIRECT($B$5&amp;"生成成长"),3))*(VLOOKUP($B$5,标准坦克设计!$B$14:$K$20,9)/30))</f>
        <v>20.795897205019003</v>
      </c>
      <c r="CN139" s="172">
        <f ca="1">(VLOOKUP(CN$72,INDIRECT($C$5&amp;"生成成长"),2))/((VLOOKUP($B139,INDIRECT($B$5&amp;"生成成长"),4))/(VLOOKUP(CN$72,INDIRECT($C$5&amp;"生成成长"),5))*(VLOOKUP($B$5,标准坦克设计!$B$24:$U$30,MATCH("对"&amp;LEFT($C$5,2)&amp;"输出",标准坦克设计!$B$23:$U$23,0)))*(VLOOKUP($B139,INDIRECT($B$5&amp;"生成成长"),3))*(VLOOKUP($B$5,标准坦克设计!$B$14:$K$20,9)/30))</f>
        <v>22.115949273696973</v>
      </c>
      <c r="CO139" s="172">
        <f ca="1">(VLOOKUP(CO$72,INDIRECT($C$5&amp;"生成成长"),2))/((VLOOKUP($B139,INDIRECT($B$5&amp;"生成成长"),4))/(VLOOKUP(CO$72,INDIRECT($C$5&amp;"生成成长"),5))*(VLOOKUP($B$5,标准坦克设计!$B$24:$U$30,MATCH("对"&amp;LEFT($C$5,2)&amp;"输出",标准坦克设计!$B$23:$U$23,0)))*(VLOOKUP($B139,INDIRECT($B$5&amp;"生成成长"),3))*(VLOOKUP($B$5,标准坦克设计!$B$14:$K$20,9)/30))</f>
        <v>9.9107126005550032</v>
      </c>
      <c r="CP139" s="172">
        <f ca="1">(VLOOKUP(CP$72,INDIRECT($C$5&amp;"生成成长"),2))/((VLOOKUP($B139,INDIRECT($B$5&amp;"生成成长"),4))/(VLOOKUP(CP$72,INDIRECT($C$5&amp;"生成成长"),5))*(VLOOKUP($B$5,标准坦克设计!$B$24:$U$30,MATCH("对"&amp;LEFT($C$5,2)&amp;"输出",标准坦克设计!$B$23:$U$23,0)))*(VLOOKUP($B139,INDIRECT($B$5&amp;"生成成长"),3))*(VLOOKUP($B$5,标准坦克设计!$B$14:$K$20,9)/30))</f>
        <v>10.8282872552864</v>
      </c>
      <c r="CQ139" s="172">
        <f ca="1">(VLOOKUP(CQ$72,INDIRECT($C$5&amp;"生成成长"),2))/((VLOOKUP($B139,INDIRECT($B$5&amp;"生成成长"),4))/(VLOOKUP(CQ$72,INDIRECT($C$5&amp;"生成成长"),5))*(VLOOKUP($B$5,标准坦克设计!$B$24:$U$30,MATCH("对"&amp;LEFT($C$5,2)&amp;"输出",标准坦克设计!$B$23:$U$23,0)))*(VLOOKUP($B139,INDIRECT($B$5&amp;"生成成长"),3))*(VLOOKUP($B$5,标准坦克设计!$B$14:$K$20,9)/30))</f>
        <v>11.786478896746347</v>
      </c>
      <c r="CR139" s="172">
        <f ca="1">(VLOOKUP(CR$72,INDIRECT($C$5&amp;"生成成长"),2))/((VLOOKUP($B139,INDIRECT($B$5&amp;"生成成长"),4))/(VLOOKUP(CR$72,INDIRECT($C$5&amp;"生成成长"),5))*(VLOOKUP($B$5,标准坦克设计!$B$24:$U$30,MATCH("对"&amp;LEFT($C$5,2)&amp;"输出",标准坦克设计!$B$23:$U$23,0)))*(VLOOKUP($B139,INDIRECT($B$5&amp;"生成成长"),3))*(VLOOKUP($B$5,标准坦克设计!$B$14:$K$20,9)/30))</f>
        <v>12.785287524934848</v>
      </c>
      <c r="CS139" s="172">
        <f ca="1">(VLOOKUP(CS$72,INDIRECT($C$5&amp;"生成成长"),2))/((VLOOKUP($B139,INDIRECT($B$5&amp;"生成成长"),4))/(VLOOKUP(CS$72,INDIRECT($C$5&amp;"生成成长"),5))*(VLOOKUP($B$5,标准坦克设计!$B$24:$U$30,MATCH("对"&amp;LEFT($C$5,2)&amp;"输出",标准坦克设计!$B$23:$U$23,0)))*(VLOOKUP($B139,INDIRECT($B$5&amp;"生成成长"),3))*(VLOOKUP($B$5,标准坦克设计!$B$14:$K$20,9)/30))</f>
        <v>13.824713139851905</v>
      </c>
      <c r="CT139" s="172">
        <f ca="1">(VLOOKUP(CT$72,INDIRECT($C$5&amp;"生成成长"),2))/((VLOOKUP($B139,INDIRECT($B$5&amp;"生成成长"),4))/(VLOOKUP(CT$72,INDIRECT($C$5&amp;"生成成长"),5))*(VLOOKUP($B$5,标准坦克设计!$B$24:$U$30,MATCH("对"&amp;LEFT($C$5,2)&amp;"输出",标准坦克设计!$B$23:$U$23,0)))*(VLOOKUP($B139,INDIRECT($B$5&amp;"生成成长"),3))*(VLOOKUP($B$5,标准坦克设计!$B$14:$K$20,9)/30))</f>
        <v>14.904755741497514</v>
      </c>
      <c r="CU139" s="172">
        <f ca="1">(VLOOKUP(CU$72,INDIRECT($C$5&amp;"生成成长"),2))/((VLOOKUP($B139,INDIRECT($B$5&amp;"生成成长"),4))/(VLOOKUP(CU$72,INDIRECT($C$5&amp;"生成成长"),5))*(VLOOKUP($B$5,标准坦克设计!$B$24:$U$30,MATCH("对"&amp;LEFT($C$5,2)&amp;"输出",标准坦克设计!$B$23:$U$23,0)))*(VLOOKUP($B139,INDIRECT($B$5&amp;"生成成长"),3))*(VLOOKUP($B$5,标准坦克设计!$B$14:$K$20,9)/30))</f>
        <v>16.02541532987167</v>
      </c>
      <c r="CV139" s="172">
        <f ca="1">(VLOOKUP(CV$72,INDIRECT($C$5&amp;"生成成长"),2))/((VLOOKUP($B139,INDIRECT($B$5&amp;"生成成长"),4))/(VLOOKUP(CV$72,INDIRECT($C$5&amp;"生成成长"),5))*(VLOOKUP($B$5,标准坦克设计!$B$24:$U$30,MATCH("对"&amp;LEFT($C$5,2)&amp;"输出",标准坦克设计!$B$23:$U$23,0)))*(VLOOKUP($B139,INDIRECT($B$5&amp;"生成成长"),3))*(VLOOKUP($B$5,标准坦克设计!$B$14:$K$20,9)/30))</f>
        <v>17.186691904974385</v>
      </c>
      <c r="CW139" s="172">
        <f ca="1">(VLOOKUP(CW$72,INDIRECT($C$5&amp;"生成成长"),2))/((VLOOKUP($B139,INDIRECT($B$5&amp;"生成成长"),4))/(VLOOKUP(CW$72,INDIRECT($C$5&amp;"生成成长"),5))*(VLOOKUP($B$5,标准坦克设计!$B$24:$U$30,MATCH("对"&amp;LEFT($C$5,2)&amp;"输出",标准坦克设计!$B$23:$U$23,0)))*(VLOOKUP($B139,INDIRECT($B$5&amp;"生成成长"),3))*(VLOOKUP($B$5,标准坦克设计!$B$14:$K$20,9)/30))</f>
        <v>18.388585466805655</v>
      </c>
      <c r="CX139" s="172">
        <f ca="1">(VLOOKUP(CX$72,INDIRECT($C$5&amp;"生成成长"),2))/((VLOOKUP($B139,INDIRECT($B$5&amp;"生成成长"),4))/(VLOOKUP(CX$72,INDIRECT($C$5&amp;"生成成长"),5))*(VLOOKUP($B$5,标准坦克设计!$B$24:$U$30,MATCH("对"&amp;LEFT($C$5,2)&amp;"输出",标准坦克设计!$B$23:$U$23,0)))*(VLOOKUP($B139,INDIRECT($B$5&amp;"生成成长"),3))*(VLOOKUP($B$5,标准坦克设计!$B$14:$K$20,9)/30))</f>
        <v>19.631096015365465</v>
      </c>
      <c r="CY139" s="172">
        <f ca="1">(VLOOKUP(CY$72,INDIRECT($C$5&amp;"生成成长"),2))/((VLOOKUP($B139,INDIRECT($B$5&amp;"生成成长"),4))/(VLOOKUP(CY$72,INDIRECT($C$5&amp;"生成成长"),5))*(VLOOKUP($B$5,标准坦克设计!$B$24:$U$30,MATCH("对"&amp;LEFT($C$5,2)&amp;"输出",标准坦克设计!$B$23:$U$23,0)))*(VLOOKUP($B139,INDIRECT($B$5&amp;"生成成长"),3))*(VLOOKUP($B$5,标准坦克设计!$B$14:$K$20,9)/30))</f>
        <v>20.914223550653837</v>
      </c>
      <c r="CZ139" s="172">
        <f ca="1">(VLOOKUP(CZ$72,INDIRECT($C$5&amp;"生成成长"),2))/((VLOOKUP($B139,INDIRECT($B$5&amp;"生成成长"),4))/(VLOOKUP(CZ$72,INDIRECT($C$5&amp;"生成成长"),5))*(VLOOKUP($B$5,标准坦克设计!$B$24:$U$30,MATCH("对"&amp;LEFT($C$5,2)&amp;"输出",标准坦克设计!$B$23:$U$23,0)))*(VLOOKUP($B139,INDIRECT($B$5&amp;"生成成长"),3))*(VLOOKUP($B$5,标准坦克设计!$B$14:$K$20,9)/30))</f>
        <v>22.23796807267076</v>
      </c>
      <c r="DA139" s="172">
        <f ca="1">(VLOOKUP(DA$72,INDIRECT($C$5&amp;"生成成长"),2))/((VLOOKUP($B139,INDIRECT($B$5&amp;"生成成长"),4))/(VLOOKUP(DA$72,INDIRECT($C$5&amp;"生成成长"),5))*(VLOOKUP($B$5,标准坦克设计!$B$24:$U$30,MATCH("对"&amp;LEFT($C$5,2)&amp;"输出",标准坦克设计!$B$23:$U$23,0)))*(VLOOKUP($B139,INDIRECT($B$5&amp;"生成成长"),3))*(VLOOKUP($B$5,标准坦克设计!$B$14:$K$20,9)/30))</f>
        <v>23.602329581416242</v>
      </c>
      <c r="DB139" s="172">
        <f ca="1">(VLOOKUP(DB$72,INDIRECT($C$5&amp;"生成成长"),2))/((VLOOKUP($B139,INDIRECT($B$5&amp;"生成成长"),4))/(VLOOKUP(DB$72,INDIRECT($C$5&amp;"生成成长"),5))*(VLOOKUP($B$5,标准坦克设计!$B$24:$U$30,MATCH("对"&amp;LEFT($C$5,2)&amp;"输出",标准坦克设计!$B$23:$U$23,0)))*(VLOOKUP($B139,INDIRECT($B$5&amp;"生成成长"),3))*(VLOOKUP($B$5,标准坦克设计!$B$14:$K$20,9)/30))</f>
        <v>25.007308076890268</v>
      </c>
      <c r="DC139" s="172">
        <f ca="1">(VLOOKUP(DC$72,INDIRECT($C$5&amp;"生成成长"),2))/((VLOOKUP($B139,INDIRECT($B$5&amp;"生成成长"),4))/(VLOOKUP(DC$72,INDIRECT($C$5&amp;"生成成长"),5))*(VLOOKUP($B$5,标准坦克设计!$B$24:$U$30,MATCH("对"&amp;LEFT($C$5,2)&amp;"输出",标准坦克设计!$B$23:$U$23,0)))*(VLOOKUP($B139,INDIRECT($B$5&amp;"生成成长"),3))*(VLOOKUP($B$5,标准坦克设计!$B$14:$K$20,9)/30))</f>
        <v>26.586335395659788</v>
      </c>
      <c r="DD139" s="172">
        <f ca="1">(VLOOKUP(DD$72,INDIRECT($C$5&amp;"生成成长"),2))/((VLOOKUP($B139,INDIRECT($B$5&amp;"生成成长"),4))/(VLOOKUP(DD$72,INDIRECT($C$5&amp;"生成成长"),5))*(VLOOKUP($B$5,标准坦克设计!$B$24:$U$30,MATCH("对"&amp;LEFT($C$5,2)&amp;"输出",标准坦克设计!$B$23:$U$23,0)))*(VLOOKUP($B139,INDIRECT($B$5&amp;"生成成长"),3))*(VLOOKUP($B$5,标准坦克设计!$B$14:$K$20,9)/30))</f>
        <v>28.213700285412049</v>
      </c>
      <c r="DE139" s="172">
        <f ca="1">(VLOOKUP(DE$72,INDIRECT($C$5&amp;"生成成长"),2))/((VLOOKUP($B139,INDIRECT($B$5&amp;"生成成长"),4))/(VLOOKUP(DE$72,INDIRECT($C$5&amp;"生成成长"),5))*(VLOOKUP($B$5,标准坦克设计!$B$24:$U$30,MATCH("对"&amp;LEFT($C$5,2)&amp;"输出",标准坦克设计!$B$23:$U$23,0)))*(VLOOKUP($B139,INDIRECT($B$5&amp;"生成成长"),3))*(VLOOKUP($B$5,标准坦克设计!$B$14:$K$20,9)/30))</f>
        <v>29.889402746147059</v>
      </c>
      <c r="DF139" s="172">
        <f ca="1">(VLOOKUP(DF$72,INDIRECT($C$5&amp;"生成成长"),2))/((VLOOKUP($B139,INDIRECT($B$5&amp;"生成成长"),4))/(VLOOKUP(DF$72,INDIRECT($C$5&amp;"生成成长"),5))*(VLOOKUP($B$5,标准坦克设计!$B$24:$U$30,MATCH("对"&amp;LEFT($C$5,2)&amp;"输出",标准坦克设计!$B$23:$U$23,0)))*(VLOOKUP($B139,INDIRECT($B$5&amp;"生成成长"),3))*(VLOOKUP($B$5,标准坦克设计!$B$14:$K$20,9)/30))</f>
        <v>31.613442777864794</v>
      </c>
      <c r="DG139" s="172">
        <f ca="1">(VLOOKUP(DG$72,INDIRECT($C$5&amp;"生成成长"),2))/((VLOOKUP($B139,INDIRECT($B$5&amp;"生成成长"),4))/(VLOOKUP(DG$72,INDIRECT($C$5&amp;"生成成长"),5))*(VLOOKUP($B$5,标准坦克设计!$B$24:$U$30,MATCH("对"&amp;LEFT($C$5,2)&amp;"输出",标准坦克设计!$B$23:$U$23,0)))*(VLOOKUP($B139,INDIRECT($B$5&amp;"生成成长"),3))*(VLOOKUP($B$5,标准坦克设计!$B$14:$K$20,9)/30))</f>
        <v>33.385820380565278</v>
      </c>
      <c r="DH139" s="172">
        <f ca="1">(VLOOKUP(DH$72,INDIRECT($C$5&amp;"生成成长"),2))/((VLOOKUP($B139,INDIRECT($B$5&amp;"生成成长"),4))/(VLOOKUP(DH$72,INDIRECT($C$5&amp;"生成成长"),5))*(VLOOKUP($B$5,标准坦克设计!$B$24:$U$30,MATCH("对"&amp;LEFT($C$5,2)&amp;"输出",标准坦克设计!$B$23:$U$23,0)))*(VLOOKUP($B139,INDIRECT($B$5&amp;"生成成长"),3))*(VLOOKUP($B$5,标准坦克设计!$B$14:$K$20,9)/30))</f>
        <v>35.206535554248504</v>
      </c>
      <c r="DI139" s="172">
        <f ca="1">(VLOOKUP(DI$72,INDIRECT($C$5&amp;"生成成长"),2))/((VLOOKUP($B139,INDIRECT($B$5&amp;"生成成长"),4))/(VLOOKUP(DI$72,INDIRECT($C$5&amp;"生成成长"),5))*(VLOOKUP($B$5,标准坦克设计!$B$24:$U$30,MATCH("对"&amp;LEFT($C$5,2)&amp;"输出",标准坦克设计!$B$23:$U$23,0)))*(VLOOKUP($B139,INDIRECT($B$5&amp;"生成成长"),3))*(VLOOKUP($B$5,标准坦克设计!$B$14:$K$20,9)/30))</f>
        <v>37.075588298914475</v>
      </c>
      <c r="DJ139" s="172">
        <f ca="1">(VLOOKUP(DJ$72,INDIRECT($C$5&amp;"生成成长"),2))/((VLOOKUP($B139,INDIRECT($B$5&amp;"生成成长"),4))/(VLOOKUP(DJ$72,INDIRECT($C$5&amp;"生成成长"),5))*(VLOOKUP($B$5,标准坦克设计!$B$24:$U$30,MATCH("对"&amp;LEFT($C$5,2)&amp;"输出",标准坦克设计!$B$23:$U$23,0)))*(VLOOKUP($B139,INDIRECT($B$5&amp;"生成成长"),3))*(VLOOKUP($B$5,标准坦克设计!$B$14:$K$20,9)/30))</f>
        <v>3.7261889353743785</v>
      </c>
      <c r="DK139" s="172">
        <f ca="1">(VLOOKUP(DK$72,INDIRECT($C$5&amp;"生成成长"),2))/((VLOOKUP($B139,INDIRECT($B$5&amp;"生成成长"),4))/(VLOOKUP(DK$72,INDIRECT($C$5&amp;"生成成长"),5))*(VLOOKUP($B$5,标准坦克设计!$B$24:$U$30,MATCH("对"&amp;LEFT($C$5,2)&amp;"输出",标准坦克设计!$B$23:$U$23,0)))*(VLOOKUP($B139,INDIRECT($B$5&amp;"生成成长"),3))*(VLOOKUP($B$5,标准坦克设计!$B$14:$K$20,9)/30))</f>
        <v>4.1899275069900437</v>
      </c>
      <c r="DL139" s="172">
        <f ca="1">(VLOOKUP(DL$72,INDIRECT($C$5&amp;"生成成长"),2))/((VLOOKUP($B139,INDIRECT($B$5&amp;"生成成长"),4))/(VLOOKUP(DL$72,INDIRECT($C$5&amp;"生成成长"),5))*(VLOOKUP($B$5,标准坦克设计!$B$24:$U$30,MATCH("对"&amp;LEFT($C$5,2)&amp;"输出",标准坦克设计!$B$23:$U$23,0)))*(VLOOKUP($B139,INDIRECT($B$5&amp;"生成成长"),3))*(VLOOKUP($B$5,标准坦克设计!$B$14:$K$20,9)/30))</f>
        <v>4.6808559622835029</v>
      </c>
      <c r="DM139" s="172">
        <f ca="1">(VLOOKUP(DM$72,INDIRECT($C$5&amp;"生成成长"),2))/((VLOOKUP($B139,INDIRECT($B$5&amp;"生成成长"),4))/(VLOOKUP(DM$72,INDIRECT($C$5&amp;"生成成长"),5))*(VLOOKUP($B$5,标准坦克设计!$B$24:$U$30,MATCH("对"&amp;LEFT($C$5,2)&amp;"输出",标准坦克设计!$B$23:$U$23,0)))*(VLOOKUP($B139,INDIRECT($B$5&amp;"生成成长"),3))*(VLOOKUP($B$5,标准坦克设计!$B$14:$K$20,9)/30))</f>
        <v>5.1989743012547507</v>
      </c>
      <c r="DN139" s="172">
        <f ca="1">(VLOOKUP(DN$72,INDIRECT($C$5&amp;"生成成长"),2))/((VLOOKUP($B139,INDIRECT($B$5&amp;"生成成长"),4))/(VLOOKUP(DN$72,INDIRECT($C$5&amp;"生成成长"),5))*(VLOOKUP($B$5,标准坦克设计!$B$24:$U$30,MATCH("对"&amp;LEFT($C$5,2)&amp;"输出",标准坦克设计!$B$23:$U$23,0)))*(VLOOKUP($B139,INDIRECT($B$5&amp;"生成成长"),3))*(VLOOKUP($B$5,标准坦克设计!$B$14:$K$20,9)/30))</f>
        <v>5.7442825239037933</v>
      </c>
      <c r="DO139" s="172">
        <f ca="1">(VLOOKUP(DO$72,INDIRECT($C$5&amp;"生成成长"),2))/((VLOOKUP($B139,INDIRECT($B$5&amp;"生成成长"),4))/(VLOOKUP(DO$72,INDIRECT($C$5&amp;"生成成长"),5))*(VLOOKUP($B$5,标准坦克设计!$B$24:$U$30,MATCH("对"&amp;LEFT($C$5,2)&amp;"输出",标准坦克设计!$B$23:$U$23,0)))*(VLOOKUP($B139,INDIRECT($B$5&amp;"生成成长"),3))*(VLOOKUP($B$5,标准坦克设计!$B$14:$K$20,9)/30))</f>
        <v>6.3167806302306229</v>
      </c>
      <c r="DP139" s="172">
        <f ca="1">(VLOOKUP(DP$72,INDIRECT($C$5&amp;"生成成长"),2))/((VLOOKUP($B139,INDIRECT($B$5&amp;"生成成长"),4))/(VLOOKUP(DP$72,INDIRECT($C$5&amp;"生成成长"),5))*(VLOOKUP($B$5,标准坦克设计!$B$24:$U$30,MATCH("对"&amp;LEFT($C$5,2)&amp;"输出",标准坦克设计!$B$23:$U$23,0)))*(VLOOKUP($B139,INDIRECT($B$5&amp;"生成成长"),3))*(VLOOKUP($B$5,标准坦克设计!$B$14:$K$20,9)/30))</f>
        <v>6.9164686202352472</v>
      </c>
      <c r="DQ139" s="172">
        <f ca="1">(VLOOKUP(DQ$72,INDIRECT($C$5&amp;"生成成长"),2))/((VLOOKUP($B139,INDIRECT($B$5&amp;"生成成长"),4))/(VLOOKUP(DQ$72,INDIRECT($C$5&amp;"生成成长"),5))*(VLOOKUP($B$5,标准坦克设计!$B$24:$U$30,MATCH("对"&amp;LEFT($C$5,2)&amp;"输出",标准坦克设计!$B$23:$U$23,0)))*(VLOOKUP($B139,INDIRECT($B$5&amp;"生成成长"),3))*(VLOOKUP($B$5,标准坦克设计!$B$14:$K$20,9)/30))</f>
        <v>7.5433464939176647</v>
      </c>
      <c r="DR139" s="172">
        <f ca="1">(VLOOKUP(DR$72,INDIRECT($C$5&amp;"生成成长"),2))/((VLOOKUP($B139,INDIRECT($B$5&amp;"生成成长"),4))/(VLOOKUP(DR$72,INDIRECT($C$5&amp;"生成成长"),5))*(VLOOKUP($B$5,标准坦克设计!$B$24:$U$30,MATCH("对"&amp;LEFT($C$5,2)&amp;"输出",标准坦克设计!$B$23:$U$23,0)))*(VLOOKUP($B139,INDIRECT($B$5&amp;"生成成长"),3))*(VLOOKUP($B$5,标准坦克设计!$B$14:$K$20,9)/30))</f>
        <v>8.1974142512778716</v>
      </c>
      <c r="DS139" s="172">
        <f ca="1">(VLOOKUP(DS$72,INDIRECT($C$5&amp;"生成成长"),2))/((VLOOKUP($B139,INDIRECT($B$5&amp;"生成成长"),4))/(VLOOKUP(DS$72,INDIRECT($C$5&amp;"生成成长"),5))*(VLOOKUP($B$5,标准坦克设计!$B$24:$U$30,MATCH("对"&amp;LEFT($C$5,2)&amp;"输出",标准坦克设计!$B$23:$U$23,0)))*(VLOOKUP($B139,INDIRECT($B$5&amp;"生成成长"),3))*(VLOOKUP($B$5,标准坦克设计!$B$14:$K$20,9)/30))</f>
        <v>8.8786718923158681</v>
      </c>
      <c r="DT139" s="172">
        <f ca="1">(VLOOKUP(DT$72,INDIRECT($C$5&amp;"生成成长"),2))/((VLOOKUP($B139,INDIRECT($B$5&amp;"生成成长"),4))/(VLOOKUP(DT$72,INDIRECT($C$5&amp;"生成成长"),5))*(VLOOKUP($B$5,标准坦克设计!$B$24:$U$30,MATCH("对"&amp;LEFT($C$5,2)&amp;"输出",标准坦克设计!$B$23:$U$23,0)))*(VLOOKUP($B139,INDIRECT($B$5&amp;"生成成长"),3))*(VLOOKUP($B$5,标准坦克设计!$B$14:$K$20,9)/30))</f>
        <v>9.748244653640791</v>
      </c>
      <c r="DU139" s="172">
        <f ca="1">(VLOOKUP(DU$72,INDIRECT($C$5&amp;"生成成长"),2))/((VLOOKUP($B139,INDIRECT($B$5&amp;"生成成长"),4))/(VLOOKUP(DU$72,INDIRECT($C$5&amp;"生成成长"),5))*(VLOOKUP($B$5,标准坦克设计!$B$24:$U$30,MATCH("对"&amp;LEFT($C$5,2)&amp;"输出",标准坦克设计!$B$23:$U$23,0)))*(VLOOKUP($B139,INDIRECT($B$5&amp;"生成成长"),3))*(VLOOKUP($B$5,标准坦克设计!$B$14:$K$20,9)/30))</f>
        <v>10.65843440169427</v>
      </c>
      <c r="DV139" s="172">
        <f ca="1">(VLOOKUP(DV$72,INDIRECT($C$5&amp;"生成成长"),2))/((VLOOKUP($B139,INDIRECT($B$5&amp;"生成成长"),4))/(VLOOKUP(DV$72,INDIRECT($C$5&amp;"生成成长"),5))*(VLOOKUP($B$5,标准坦克设计!$B$24:$U$30,MATCH("对"&amp;LEFT($C$5,2)&amp;"输出",标准坦克设计!$B$23:$U$23,0)))*(VLOOKUP($B139,INDIRECT($B$5&amp;"生成成长"),3))*(VLOOKUP($B$5,标准坦克设计!$B$14:$K$20,9)/30))</f>
        <v>11.6092411364763</v>
      </c>
      <c r="DW139" s="172">
        <f ca="1">(VLOOKUP(DW$72,INDIRECT($C$5&amp;"生成成长"),2))/((VLOOKUP($B139,INDIRECT($B$5&amp;"生成成长"),4))/(VLOOKUP(DW$72,INDIRECT($C$5&amp;"生成成长"),5))*(VLOOKUP($B$5,标准坦克设计!$B$24:$U$30,MATCH("对"&amp;LEFT($C$5,2)&amp;"输出",标准坦克设计!$B$23:$U$23,0)))*(VLOOKUP($B139,INDIRECT($B$5&amp;"生成成长"),3))*(VLOOKUP($B$5,标准坦克设计!$B$14:$K$20,9)/30))</f>
        <v>12.600664857986882</v>
      </c>
      <c r="DX139" s="172">
        <f ca="1">(VLOOKUP(DX$72,INDIRECT($C$5&amp;"生成成长"),2))/((VLOOKUP($B139,INDIRECT($B$5&amp;"生成成长"),4))/(VLOOKUP(DX$72,INDIRECT($C$5&amp;"生成成长"),5))*(VLOOKUP($B$5,标准坦克设计!$B$24:$U$30,MATCH("对"&amp;LEFT($C$5,2)&amp;"输出",标准坦克设计!$B$23:$U$23,0)))*(VLOOKUP($B139,INDIRECT($B$5&amp;"生成成长"),3))*(VLOOKUP($B$5,标准坦克设计!$B$14:$K$20,9)/30))</f>
        <v>13.632705566226019</v>
      </c>
      <c r="DY139" s="172">
        <f ca="1">(VLOOKUP(DY$72,INDIRECT($C$5&amp;"生成成长"),2))/((VLOOKUP($B139,INDIRECT($B$5&amp;"生成成长"),4))/(VLOOKUP(DY$72,INDIRECT($C$5&amp;"生成成长"),5))*(VLOOKUP($B$5,标准坦克设计!$B$24:$U$30,MATCH("对"&amp;LEFT($C$5,2)&amp;"输出",标准坦克设计!$B$23:$U$23,0)))*(VLOOKUP($B139,INDIRECT($B$5&amp;"生成成长"),3))*(VLOOKUP($B$5,标准坦克设计!$B$14:$K$20,9)/30))</f>
        <v>6.1229268299352588</v>
      </c>
      <c r="DZ139" s="172">
        <f ca="1">(VLOOKUP(DZ$72,INDIRECT($C$5&amp;"生成成长"),2))/((VLOOKUP($B139,INDIRECT($B$5&amp;"生成成长"),4))/(VLOOKUP(DZ$72,INDIRECT($C$5&amp;"生成成长"),5))*(VLOOKUP($B$5,标准坦克设计!$B$24:$U$30,MATCH("对"&amp;LEFT($C$5,2)&amp;"输出",标准坦克设计!$B$23:$U$23,0)))*(VLOOKUP($B139,INDIRECT($B$5&amp;"生成成长"),3))*(VLOOKUP($B$5,标准坦克设计!$B$14:$K$20,9)/30))</f>
        <v>6.7808548794225585</v>
      </c>
      <c r="EA139" s="172">
        <f ca="1">(VLOOKUP(EA$72,INDIRECT($C$5&amp;"生成成长"),2))/((VLOOKUP($B139,INDIRECT($B$5&amp;"生成成长"),4))/(VLOOKUP(EA$72,INDIRECT($C$5&amp;"生成成长"),5))*(VLOOKUP($B$5,标准坦克设计!$B$24:$U$30,MATCH("对"&amp;LEFT($C$5,2)&amp;"输出",标准坦克设计!$B$23:$U$23,0)))*(VLOOKUP($B139,INDIRECT($B$5&amp;"生成成长"),3))*(VLOOKUP($B$5,标准坦克设计!$B$14:$K$20,9)/30))</f>
        <v>7.4723506865367648</v>
      </c>
      <c r="EB139" s="172">
        <f ca="1">(VLOOKUP(EB$72,INDIRECT($C$5&amp;"生成成长"),2))/((VLOOKUP($B139,INDIRECT($B$5&amp;"生成成长"),4))/(VLOOKUP(EB$72,INDIRECT($C$5&amp;"生成成长"),5))*(VLOOKUP($B$5,标准坦克设计!$B$24:$U$30,MATCH("对"&amp;LEFT($C$5,2)&amp;"输出",标准坦克设计!$B$23:$U$23,0)))*(VLOOKUP($B139,INDIRECT($B$5&amp;"生成成长"),3))*(VLOOKUP($B$5,标准坦克设计!$B$14:$K$20,9)/30))</f>
        <v>8.1974142512778716</v>
      </c>
      <c r="EC139" s="172">
        <f ca="1">(VLOOKUP(EC$72,INDIRECT($C$5&amp;"生成成长"),2))/((VLOOKUP($B139,INDIRECT($B$5&amp;"生成成长"),4))/(VLOOKUP(EC$72,INDIRECT($C$5&amp;"生成成长"),5))*(VLOOKUP($B$5,标准坦克设计!$B$24:$U$30,MATCH("对"&amp;LEFT($C$5,2)&amp;"输出",标准坦克设计!$B$23:$U$23,0)))*(VLOOKUP($B139,INDIRECT($B$5&amp;"生成成长"),3))*(VLOOKUP($B$5,标准坦克设计!$B$14:$K$20,9)/30))</f>
        <v>8.9560455736458788</v>
      </c>
      <c r="ED139" s="172">
        <f ca="1">(VLOOKUP(ED$72,INDIRECT($C$5&amp;"生成成长"),2))/((VLOOKUP($B139,INDIRECT($B$5&amp;"生成成长"),4))/(VLOOKUP(ED$72,INDIRECT($C$5&amp;"生成成长"),5))*(VLOOKUP($B$5,标准坦克设计!$B$24:$U$30,MATCH("对"&amp;LEFT($C$5,2)&amp;"输出",标准坦克设计!$B$23:$U$23,0)))*(VLOOKUP($B139,INDIRECT($B$5&amp;"生成成长"),3))*(VLOOKUP($B$5,标准坦克设计!$B$14:$K$20,9)/30))</f>
        <v>9.748244653640791</v>
      </c>
      <c r="EE139" s="172">
        <f ca="1">(VLOOKUP(EE$72,INDIRECT($C$5&amp;"生成成长"),2))/((VLOOKUP($B139,INDIRECT($B$5&amp;"生成成长"),4))/(VLOOKUP(EE$72,INDIRECT($C$5&amp;"生成成长"),5))*(VLOOKUP($B$5,标准坦克设计!$B$24:$U$30,MATCH("对"&amp;LEFT($C$5,2)&amp;"输出",标准坦克设计!$B$23:$U$23,0)))*(VLOOKUP($B139,INDIRECT($B$5&amp;"生成成长"),3))*(VLOOKUP($B$5,标准坦克设计!$B$14:$K$20,9)/30))</f>
        <v>10.57401149126261</v>
      </c>
      <c r="EF139" s="172">
        <f ca="1">(VLOOKUP(EF$72,INDIRECT($C$5&amp;"生成成长"),2))/((VLOOKUP($B139,INDIRECT($B$5&amp;"生成成长"),4))/(VLOOKUP(EF$72,INDIRECT($C$5&amp;"生成成长"),5))*(VLOOKUP($B$5,标准坦克设计!$B$24:$U$30,MATCH("对"&amp;LEFT($C$5,2)&amp;"输出",标准坦克设计!$B$23:$U$23,0)))*(VLOOKUP($B139,INDIRECT($B$5&amp;"生成成长"),3))*(VLOOKUP($B$5,标准坦克设计!$B$14:$K$20,9)/30))</f>
        <v>11.433346086511326</v>
      </c>
      <c r="EG139" s="172">
        <f ca="1">(VLOOKUP(EG$72,INDIRECT($C$5&amp;"生成成长"),2))/((VLOOKUP($B139,INDIRECT($B$5&amp;"生成成长"),4))/(VLOOKUP(EG$72,INDIRECT($C$5&amp;"生成成长"),5))*(VLOOKUP($B$5,标准坦克设计!$B$24:$U$30,MATCH("对"&amp;LEFT($C$5,2)&amp;"输出",标准坦克设计!$B$23:$U$23,0)))*(VLOOKUP($B139,INDIRECT($B$5&amp;"生成成长"),3))*(VLOOKUP($B$5,标准坦克设计!$B$14:$K$20,9)/30))</f>
        <v>12.326248439386951</v>
      </c>
      <c r="EH139" s="172">
        <f ca="1">(VLOOKUP(EH$72,INDIRECT($C$5&amp;"生成成长"),2))/((VLOOKUP($B139,INDIRECT($B$5&amp;"生成成长"),4))/(VLOOKUP(EH$72,INDIRECT($C$5&amp;"生成成长"),5))*(VLOOKUP($B$5,标准坦克设计!$B$24:$U$30,MATCH("对"&amp;LEFT($C$5,2)&amp;"输出",标准坦克设计!$B$23:$U$23,0)))*(VLOOKUP($B139,INDIRECT($B$5&amp;"生成成长"),3))*(VLOOKUP($B$5,标准坦克设计!$B$14:$K$20,9)/30))</f>
        <v>13.252718549889476</v>
      </c>
      <c r="EI139" s="172">
        <f ca="1">(VLOOKUP(EI$72,INDIRECT($C$5&amp;"生成成长"),2))/((VLOOKUP($B139,INDIRECT($B$5&amp;"生成成长"),4))/(VLOOKUP(EI$72,INDIRECT($C$5&amp;"生成成长"),5))*(VLOOKUP($B$5,标准坦克设计!$B$24:$U$30,MATCH("对"&amp;LEFT($C$5,2)&amp;"输出",标准坦克设计!$B$23:$U$23,0)))*(VLOOKUP($B139,INDIRECT($B$5&amp;"生成成长"),3))*(VLOOKUP($B$5,标准坦克设计!$B$14:$K$20,9)/30))</f>
        <v>14.212756418018904</v>
      </c>
      <c r="EJ139" s="172">
        <f ca="1">(VLOOKUP(EJ$72,INDIRECT($C$5&amp;"生成成长"),2))/((VLOOKUP($B139,INDIRECT($B$5&amp;"生成成长"),4))/(VLOOKUP(EJ$72,INDIRECT($C$5&amp;"生成成长"),5))*(VLOOKUP($B$5,标准坦克设计!$B$24:$U$30,MATCH("对"&amp;LEFT($C$5,2)&amp;"输出",标准坦克设计!$B$23:$U$23,0)))*(VLOOKUP($B139,INDIRECT($B$5&amp;"生成成长"),3))*(VLOOKUP($B$5,标准坦克设计!$B$14:$K$20,9)/30))</f>
        <v>15.206362043775234</v>
      </c>
      <c r="EK139" s="172">
        <f ca="1">(VLOOKUP(EK$72,INDIRECT($C$5&amp;"生成成长"),2))/((VLOOKUP($B139,INDIRECT($B$5&amp;"生成成长"),4))/(VLOOKUP(EK$72,INDIRECT($C$5&amp;"生成成长"),5))*(VLOOKUP($B$5,标准坦克设计!$B$24:$U$30,MATCH("对"&amp;LEFT($C$5,2)&amp;"输出",标准坦克设计!$B$23:$U$23,0)))*(VLOOKUP($B139,INDIRECT($B$5&amp;"生成成长"),3))*(VLOOKUP($B$5,标准坦克设计!$B$14:$K$20,9)/30))</f>
        <v>16.442998234750345</v>
      </c>
      <c r="EL139" s="172">
        <f ca="1">(VLOOKUP(EL$72,INDIRECT($C$5&amp;"生成成长"),2))/((VLOOKUP($B139,INDIRECT($B$5&amp;"生成成长"),4))/(VLOOKUP(EL$72,INDIRECT($C$5&amp;"生成成长"),5))*(VLOOKUP($B$5,标准坦克设计!$B$24:$U$30,MATCH("对"&amp;LEFT($C$5,2)&amp;"输出",标准坦克设计!$B$23:$U$23,0)))*(VLOOKUP($B139,INDIRECT($B$5&amp;"生成成长"),3))*(VLOOKUP($B$5,标准坦克设计!$B$14:$K$20,9)/30))</f>
        <v>17.727971996708195</v>
      </c>
      <c r="EM139" s="172">
        <f ca="1">(VLOOKUP(EM$72,INDIRECT($C$5&amp;"生成成长"),2))/((VLOOKUP($B139,INDIRECT($B$5&amp;"生成成长"),4))/(VLOOKUP(EM$72,INDIRECT($C$5&amp;"生成成长"),5))*(VLOOKUP($B$5,标准坦克设计!$B$24:$U$30,MATCH("对"&amp;LEFT($C$5,2)&amp;"输出",标准坦克设计!$B$23:$U$23,0)))*(VLOOKUP($B139,INDIRECT($B$5&amp;"生成成长"),3))*(VLOOKUP($B$5,标准坦克设计!$B$14:$K$20,9)/30))</f>
        <v>19.061283329648784</v>
      </c>
      <c r="EN139" s="172">
        <f ca="1">(VLOOKUP(EN$72,INDIRECT($C$5&amp;"生成成长"),2))/((VLOOKUP($B139,INDIRECT($B$5&amp;"生成成长"),4))/(VLOOKUP(EN$72,INDIRECT($C$5&amp;"生成成长"),5))*(VLOOKUP($B$5,标准坦克设计!$B$24:$U$30,MATCH("对"&amp;LEFT($C$5,2)&amp;"输出",标准坦克设计!$B$23:$U$23,0)))*(VLOOKUP($B139,INDIRECT($B$5&amp;"生成成长"),3))*(VLOOKUP($B$5,标准坦克设计!$B$14:$K$20,9)/30))</f>
        <v>20.442932233572119</v>
      </c>
      <c r="EO139" s="172">
        <f ca="1">(VLOOKUP(EO$72,INDIRECT($C$5&amp;"生成成长"),2))/((VLOOKUP($B139,INDIRECT($B$5&amp;"生成成长"),4))/(VLOOKUP(EO$72,INDIRECT($C$5&amp;"生成成长"),5))*(VLOOKUP($B$5,标准坦克设计!$B$24:$U$30,MATCH("对"&amp;LEFT($C$5,2)&amp;"输出",标准坦克设计!$B$23:$U$23,0)))*(VLOOKUP($B139,INDIRECT($B$5&amp;"生成成长"),3))*(VLOOKUP($B$5,标准坦克设计!$B$14:$K$20,9)/30))</f>
        <v>21.872918708478192</v>
      </c>
      <c r="EP139" s="172">
        <f ca="1">(VLOOKUP(EP$72,INDIRECT($C$5&amp;"生成成长"),2))/((VLOOKUP($B139,INDIRECT($B$5&amp;"生成成长"),4))/(VLOOKUP(EP$72,INDIRECT($C$5&amp;"生成成长"),5))*(VLOOKUP($B$5,标准坦克设计!$B$24:$U$30,MATCH("对"&amp;LEFT($C$5,2)&amp;"输出",标准坦克设计!$B$23:$U$23,0)))*(VLOOKUP($B139,INDIRECT($B$5&amp;"生成成长"),3))*(VLOOKUP($B$5,标准坦克设计!$B$14:$K$20,9)/30))</f>
        <v>23.351242754367</v>
      </c>
      <c r="EQ139" s="172">
        <f ca="1">(VLOOKUP(EQ$72,INDIRECT($C$5&amp;"生成成长"),2))/((VLOOKUP($B139,INDIRECT($B$5&amp;"生成成长"),4))/(VLOOKUP(EQ$72,INDIRECT($C$5&amp;"生成成长"),5))*(VLOOKUP($B$5,标准坦克设计!$B$24:$U$30,MATCH("对"&amp;LEFT($C$5,2)&amp;"输出",标准坦克设计!$B$23:$U$23,0)))*(VLOOKUP($B139,INDIRECT($B$5&amp;"生成成长"),3))*(VLOOKUP($B$5,标准坦克设计!$B$14:$K$20,9)/30))</f>
        <v>10.322756825425239</v>
      </c>
      <c r="ER139" s="172">
        <f ca="1">(VLOOKUP(ER$72,INDIRECT($C$5&amp;"生成成长"),2))/((VLOOKUP($B139,INDIRECT($B$5&amp;"生成成长"),4))/(VLOOKUP(ER$72,INDIRECT($C$5&amp;"生成成长"),5))*(VLOOKUP($B$5,标准坦克设计!$B$24:$U$30,MATCH("对"&amp;LEFT($C$5,2)&amp;"输出",标准坦克设计!$B$23:$U$23,0)))*(VLOOKUP($B139,INDIRECT($B$5&amp;"生成成长"),3))*(VLOOKUP($B$5,标准坦克设计!$B$14:$K$20,9)/30))</f>
        <v>11.258793746851429</v>
      </c>
      <c r="ES139" s="172">
        <f ca="1">(VLOOKUP(ES$72,INDIRECT($C$5&amp;"生成成长"),2))/((VLOOKUP($B139,INDIRECT($B$5&amp;"生成成长"),4))/(VLOOKUP(ES$72,INDIRECT($C$5&amp;"生成成长"),5))*(VLOOKUP($B$5,标准坦克设计!$B$24:$U$30,MATCH("对"&amp;LEFT($C$5,2)&amp;"输出",标准坦克设计!$B$23:$U$23,0)))*(VLOOKUP($B139,INDIRECT($B$5&amp;"生成成长"),3))*(VLOOKUP($B$5,标准坦克设计!$B$14:$K$20,9)/30))</f>
        <v>12.235447655006176</v>
      </c>
      <c r="ET139" s="172">
        <f ca="1">(VLOOKUP(ET$72,INDIRECT($C$5&amp;"生成成长"),2))/((VLOOKUP($B139,INDIRECT($B$5&amp;"生成成长"),4))/(VLOOKUP(ET$72,INDIRECT($C$5&amp;"生成成长"),5))*(VLOOKUP($B$5,标准坦克设计!$B$24:$U$30,MATCH("对"&amp;LEFT($C$5,2)&amp;"输出",标准坦克设计!$B$23:$U$23,0)))*(VLOOKUP($B139,INDIRECT($B$5&amp;"生成成长"),3))*(VLOOKUP($B$5,标准坦克设计!$B$14:$K$20,9)/30))</f>
        <v>13.252718549889476</v>
      </c>
      <c r="EU139" s="172">
        <f ca="1">(VLOOKUP(EU$72,INDIRECT($C$5&amp;"生成成长"),2))/((VLOOKUP($B139,INDIRECT($B$5&amp;"生成成长"),4))/(VLOOKUP(EU$72,INDIRECT($C$5&amp;"生成成长"),5))*(VLOOKUP($B$5,标准坦克设计!$B$24:$U$30,MATCH("对"&amp;LEFT($C$5,2)&amp;"输出",标准坦克设计!$B$23:$U$23,0)))*(VLOOKUP($B139,INDIRECT($B$5&amp;"生成成长"),3))*(VLOOKUP($B$5,标准坦克设计!$B$14:$K$20,9)/30))</f>
        <v>14.310606431501327</v>
      </c>
      <c r="EV139" s="172">
        <f ca="1">(VLOOKUP(EV$72,INDIRECT($C$5&amp;"生成成长"),2))/((VLOOKUP($B139,INDIRECT($B$5&amp;"生成成长"),4))/(VLOOKUP(EV$72,INDIRECT($C$5&amp;"生成成长"),5))*(VLOOKUP($B$5,标准坦克设计!$B$24:$U$30,MATCH("对"&amp;LEFT($C$5,2)&amp;"输出",标准坦克设计!$B$23:$U$23,0)))*(VLOOKUP($B139,INDIRECT($B$5&amp;"生成成长"),3))*(VLOOKUP($B$5,标准坦克设计!$B$14:$K$20,9)/30))</f>
        <v>15.409111299841731</v>
      </c>
      <c r="EW139" s="172">
        <f ca="1">(VLOOKUP(EW$72,INDIRECT($C$5&amp;"生成成长"),2))/((VLOOKUP($B139,INDIRECT($B$5&amp;"生成成长"),4))/(VLOOKUP(EW$72,INDIRECT($C$5&amp;"生成成长"),5))*(VLOOKUP($B$5,标准坦克设计!$B$24:$U$30,MATCH("对"&amp;LEFT($C$5,2)&amp;"输出",标准坦克设计!$B$23:$U$23,0)))*(VLOOKUP($B139,INDIRECT($B$5&amp;"生成成长"),3))*(VLOOKUP($B$5,标准坦克设计!$B$14:$K$20,9)/30))</f>
        <v>16.54823315491069</v>
      </c>
      <c r="EX139" s="172">
        <f ca="1">(VLOOKUP(EX$72,INDIRECT($C$5&amp;"生成成长"),2))/((VLOOKUP($B139,INDIRECT($B$5&amp;"生成成长"),4))/(VLOOKUP(EX$72,INDIRECT($C$5&amp;"生成成长"),5))*(VLOOKUP($B$5,标准坦克设计!$B$24:$U$30,MATCH("对"&amp;LEFT($C$5,2)&amp;"输出",标准坦克设计!$B$23:$U$23,0)))*(VLOOKUP($B139,INDIRECT($B$5&amp;"生成成长"),3))*(VLOOKUP($B$5,标准坦克设计!$B$14:$K$20,9)/30))</f>
        <v>17.727971996708195</v>
      </c>
      <c r="EY139" s="172">
        <f ca="1">(VLOOKUP(EY$72,INDIRECT($C$5&amp;"生成成长"),2))/((VLOOKUP($B139,INDIRECT($B$5&amp;"生成成长"),4))/(VLOOKUP(EY$72,INDIRECT($C$5&amp;"生成成长"),5))*(VLOOKUP($B$5,标准坦克设计!$B$24:$U$30,MATCH("对"&amp;LEFT($C$5,2)&amp;"输出",标准坦克设计!$B$23:$U$23,0)))*(VLOOKUP($B139,INDIRECT($B$5&amp;"生成成长"),3))*(VLOOKUP($B$5,标准坦克设计!$B$14:$K$20,9)/30))</f>
        <v>18.948327825234259</v>
      </c>
      <c r="EZ139" s="172">
        <f ca="1">(VLOOKUP(EZ$72,INDIRECT($C$5&amp;"生成成长"),2))/((VLOOKUP($B139,INDIRECT($B$5&amp;"生成成长"),4))/(VLOOKUP(EZ$72,INDIRECT($C$5&amp;"生成成长"),5))*(VLOOKUP($B$5,标准坦克设计!$B$24:$U$30,MATCH("对"&amp;LEFT($C$5,2)&amp;"输出",标准坦克设计!$B$23:$U$23,0)))*(VLOOKUP($B139,INDIRECT($B$5&amp;"生成成长"),3))*(VLOOKUP($B$5,标准坦克设计!$B$14:$K$20,9)/30))</f>
        <v>20.20930064048887</v>
      </c>
      <c r="FA139" s="172">
        <f ca="1">(VLOOKUP(FA$72,INDIRECT($C$5&amp;"生成成长"),2))/((VLOOKUP($B139,INDIRECT($B$5&amp;"生成成长"),4))/(VLOOKUP(FA$72,INDIRECT($C$5&amp;"生成成长"),5))*(VLOOKUP($B$5,标准坦克设计!$B$24:$U$30,MATCH("对"&amp;LEFT($C$5,2)&amp;"输出",标准坦克设计!$B$23:$U$23,0)))*(VLOOKUP($B139,INDIRECT($B$5&amp;"生成成长"),3))*(VLOOKUP($B$5,标准坦克设计!$B$14:$K$20,9)/30))</f>
        <v>21.510890442472043</v>
      </c>
      <c r="FB139" s="172">
        <f ca="1">(VLOOKUP(FB$72,INDIRECT($C$5&amp;"生成成长"),2))/((VLOOKUP($B139,INDIRECT($B$5&amp;"生成成长"),4))/(VLOOKUP(FB$72,INDIRECT($C$5&amp;"生成成长"),5))*(VLOOKUP($B$5,标准坦克设计!$B$24:$U$30,MATCH("对"&amp;LEFT($C$5,2)&amp;"输出",标准坦克设计!$B$23:$U$23,0)))*(VLOOKUP($B139,INDIRECT($B$5&amp;"生成成长"),3))*(VLOOKUP($B$5,标准坦克设计!$B$14:$K$20,9)/30))</f>
        <v>22.853097231183764</v>
      </c>
      <c r="FC139" s="172">
        <f ca="1">(VLOOKUP(FC$72,INDIRECT($C$5&amp;"生成成长"),2))/((VLOOKUP($B139,INDIRECT($B$5&amp;"生成成长"),4))/(VLOOKUP(FC$72,INDIRECT($C$5&amp;"生成成长"),5))*(VLOOKUP($B$5,标准坦克设计!$B$24:$U$30,MATCH("对"&amp;LEFT($C$5,2)&amp;"输出",标准坦克设计!$B$23:$U$23,0)))*(VLOOKUP($B139,INDIRECT($B$5&amp;"生成成长"),3))*(VLOOKUP($B$5,标准坦克设计!$B$14:$K$20,9)/30))</f>
        <v>24.235921006624036</v>
      </c>
      <c r="FD139" s="172">
        <f ca="1">(VLOOKUP(FD$72,INDIRECT($C$5&amp;"生成成长"),2))/((VLOOKUP($B139,INDIRECT($B$5&amp;"生成成长"),4))/(VLOOKUP(FD$72,INDIRECT($C$5&amp;"生成成长"),5))*(VLOOKUP($B$5,标准坦克设计!$B$24:$U$30,MATCH("对"&amp;LEFT($C$5,2)&amp;"输出",标准坦克设计!$B$23:$U$23,0)))*(VLOOKUP($B139,INDIRECT($B$5&amp;"生成成长"),3))*(VLOOKUP($B$5,标准坦克设计!$B$14:$K$20,9)/30))</f>
        <v>25.659361768792859</v>
      </c>
      <c r="FE139" s="172">
        <f ca="1">(VLOOKUP(FE$72,INDIRECT($C$5&amp;"生成成长"),2))/((VLOOKUP($B139,INDIRECT($B$5&amp;"生成成长"),4))/(VLOOKUP(FE$72,INDIRECT($C$5&amp;"生成成长"),5))*(VLOOKUP($B$5,标准坦克设计!$B$24:$U$30,MATCH("对"&amp;LEFT($C$5,2)&amp;"输出",标准坦克设计!$B$23:$U$23,0)))*(VLOOKUP($B139,INDIRECT($B$5&amp;"生成成长"),3))*(VLOOKUP($B$5,标准坦克设计!$B$14:$K$20,9)/30))</f>
        <v>27.393975644163078</v>
      </c>
      <c r="FF139" s="172">
        <f ca="1">(VLOOKUP(FF$72,INDIRECT($C$5&amp;"生成成长"),2))/((VLOOKUP($B139,INDIRECT($B$5&amp;"生成成长"),4))/(VLOOKUP(FF$72,INDIRECT($C$5&amp;"生成成长"),5))*(VLOOKUP($B$5,标准坦克设计!$B$24:$U$30,MATCH("对"&amp;LEFT($C$5,2)&amp;"输出",标准坦克设计!$B$23:$U$23,0)))*(VLOOKUP($B139,INDIRECT($B$5&amp;"生成成长"),3))*(VLOOKUP($B$5,标准坦克设计!$B$14:$K$20,9)/30))</f>
        <v>29.185319029922763</v>
      </c>
      <c r="FG139" s="172">
        <f ca="1">(VLOOKUP(FG$72,INDIRECT($C$5&amp;"生成成长"),2))/((VLOOKUP($B139,INDIRECT($B$5&amp;"生成成长"),4))/(VLOOKUP(FG$72,INDIRECT($C$5&amp;"生成成长"),5))*(VLOOKUP($B$5,标准坦克设计!$B$24:$U$30,MATCH("对"&amp;LEFT($C$5,2)&amp;"输出",标准坦克设计!$B$23:$U$23,0)))*(VLOOKUP($B139,INDIRECT($B$5&amp;"生成成长"),3))*(VLOOKUP($B$5,标准坦克设计!$B$14:$K$20,9)/30))</f>
        <v>31.033391926071907</v>
      </c>
      <c r="FH139" s="172">
        <f ca="1">(VLOOKUP(FH$72,INDIRECT($C$5&amp;"生成成长"),2))/((VLOOKUP($B139,INDIRECT($B$5&amp;"生成成长"),4))/(VLOOKUP(FH$72,INDIRECT($C$5&amp;"生成成长"),5))*(VLOOKUP($B$5,标准坦克设计!$B$24:$U$30,MATCH("对"&amp;LEFT($C$5,2)&amp;"输出",标准坦克设计!$B$23:$U$23,0)))*(VLOOKUP($B139,INDIRECT($B$5&amp;"生成成长"),3))*(VLOOKUP($B$5,标准坦克设计!$B$14:$K$20,9)/30))</f>
        <v>32.938194332610529</v>
      </c>
      <c r="FI139" s="172">
        <f ca="1">(VLOOKUP(FI$72,INDIRECT($C$5&amp;"生成成长"),2))/((VLOOKUP($B139,INDIRECT($B$5&amp;"生成成长"),4))/(VLOOKUP(FI$72,INDIRECT($C$5&amp;"生成成长"),5))*(VLOOKUP($B$5,标准坦克设计!$B$24:$U$30,MATCH("对"&amp;LEFT($C$5,2)&amp;"输出",标准坦克设计!$B$23:$U$23,0)))*(VLOOKUP($B139,INDIRECT($B$5&amp;"生成成长"),3))*(VLOOKUP($B$5,标准坦克设计!$B$14:$K$20,9)/30))</f>
        <v>34.89972624953861</v>
      </c>
      <c r="FJ139" s="172">
        <f ca="1">(VLOOKUP(FJ$72,INDIRECT($C$5&amp;"生成成长"),2))/((VLOOKUP($B139,INDIRECT($B$5&amp;"生成成长"),4))/(VLOOKUP(FJ$72,INDIRECT($C$5&amp;"生成成长"),5))*(VLOOKUP($B$5,标准坦克设计!$B$24:$U$30,MATCH("对"&amp;LEFT($C$5,2)&amp;"输出",标准坦克设计!$B$23:$U$23,0)))*(VLOOKUP($B139,INDIRECT($B$5&amp;"生成成长"),3))*(VLOOKUP($B$5,标准坦克设计!$B$14:$K$20,9)/30))</f>
        <v>36.917987676856164</v>
      </c>
      <c r="FK139" s="172">
        <f ca="1">(VLOOKUP(FK$72,INDIRECT($C$5&amp;"生成成长"),2))/((VLOOKUP($B139,INDIRECT($B$5&amp;"生成成长"),4))/(VLOOKUP(FK$72,INDIRECT($C$5&amp;"生成成长"),5))*(VLOOKUP($B$5,标准坦克设计!$B$24:$U$30,MATCH("对"&amp;LEFT($C$5,2)&amp;"输出",标准坦克设计!$B$23:$U$23,0)))*(VLOOKUP($B139,INDIRECT($B$5&amp;"生成成长"),3))*(VLOOKUP($B$5,标准坦克设计!$B$14:$K$20,9)/30))</f>
        <v>38.992978614563164</v>
      </c>
    </row>
    <row r="140" spans="1:167" x14ac:dyDescent="0.15">
      <c r="A140" s="170" t="str">
        <f t="shared" si="12"/>
        <v>T3中品质11级</v>
      </c>
      <c r="B140" s="171">
        <v>20311</v>
      </c>
      <c r="C140" s="172">
        <f ca="1">(VLOOKUP(C$72,INDIRECT($C$5&amp;"生成成长"),2))/((VLOOKUP($B140,INDIRECT($B$5&amp;"生成成长"),4))/(VLOOKUP(C$72,INDIRECT($C$5&amp;"生成成长"),5))*(VLOOKUP($B$5,标准坦克设计!$B$24:$U$30,MATCH("对"&amp;LEFT($C$5,2)&amp;"输出",标准坦克设计!$B$23:$U$23,0)))*(VLOOKUP($B140,INDIRECT($B$5&amp;"生成成长"),3))*(VLOOKUP($B$5,标准坦克设计!$B$14:$K$20,9)/30))</f>
        <v>1.5451399310749112</v>
      </c>
      <c r="D140" s="172">
        <f ca="1">(VLOOKUP(D$72,INDIRECT($C$5&amp;"生成成长"),2))/((VLOOKUP($B140,INDIRECT($B$5&amp;"生成成长"),4))/(VLOOKUP(D$72,INDIRECT($C$5&amp;"生成成长"),5))*(VLOOKUP($B$5,标准坦克设计!$B$24:$U$30,MATCH("对"&amp;LEFT($C$5,2)&amp;"输出",标准坦克设计!$B$23:$U$23,0)))*(VLOOKUP($B140,INDIRECT($B$5&amp;"生成成长"),3))*(VLOOKUP($B$5,标准坦克设计!$B$14:$K$20,9)/30))</f>
        <v>1.7361192265557706</v>
      </c>
      <c r="E140" s="172">
        <f ca="1">(VLOOKUP(E$72,INDIRECT($C$5&amp;"生成成长"),2))/((VLOOKUP($B140,INDIRECT($B$5&amp;"生成成长"),4))/(VLOOKUP(E$72,INDIRECT($C$5&amp;"生成成长"),5))*(VLOOKUP($B$5,标准坦克设计!$B$24:$U$30,MATCH("对"&amp;LEFT($C$5,2)&amp;"输出",标准坦克设计!$B$23:$U$23,0)))*(VLOOKUP($B140,INDIRECT($B$5&amp;"生成成长"),3))*(VLOOKUP($B$5,标准坦克设计!$B$14:$K$20,9)/30))</f>
        <v>1.9382235295403694</v>
      </c>
      <c r="F140" s="172">
        <f ca="1">(VLOOKUP(F$72,INDIRECT($C$5&amp;"生成成长"),2))/((VLOOKUP($B140,INDIRECT($B$5&amp;"生成成长"),4))/(VLOOKUP(F$72,INDIRECT($C$5&amp;"生成成长"),5))*(VLOOKUP($B$5,标准坦克设计!$B$24:$U$30,MATCH("对"&amp;LEFT($C$5,2)&amp;"输出",标准坦克设计!$B$23:$U$23,0)))*(VLOOKUP($B140,INDIRECT($B$5&amp;"生成成长"),3))*(VLOOKUP($B$5,标准坦克设计!$B$14:$K$20,9)/30))</f>
        <v>2.1514528400287065</v>
      </c>
      <c r="G140" s="172">
        <f ca="1">(VLOOKUP(G$72,INDIRECT($C$5&amp;"生成成长"),2))/((VLOOKUP($B140,INDIRECT($B$5&amp;"生成成长"),4))/(VLOOKUP(G$72,INDIRECT($C$5&amp;"生成成长"),5))*(VLOOKUP($B$5,标准坦克设计!$B$24:$U$30,MATCH("对"&amp;LEFT($C$5,2)&amp;"输出",标准坦克设计!$B$23:$U$23,0)))*(VLOOKUP($B140,INDIRECT($B$5&amp;"生成成长"),3))*(VLOOKUP($B$5,标准坦克设计!$B$14:$K$20,9)/30))</f>
        <v>2.375807158020784</v>
      </c>
      <c r="H140" s="172">
        <f ca="1">(VLOOKUP(H$72,INDIRECT($C$5&amp;"生成成长"),2))/((VLOOKUP($B140,INDIRECT($B$5&amp;"生成成长"),4))/(VLOOKUP(H$72,INDIRECT($C$5&amp;"生成成长"),5))*(VLOOKUP($B$5,标准坦克设计!$B$24:$U$30,MATCH("对"&amp;LEFT($C$5,2)&amp;"输出",标准坦克设计!$B$23:$U$23,0)))*(VLOOKUP($B140,INDIRECT($B$5&amp;"生成成长"),3))*(VLOOKUP($B$5,标准坦克设计!$B$14:$K$20,9)/30))</f>
        <v>2.0791402912544008</v>
      </c>
      <c r="I140" s="172">
        <f ca="1">(VLOOKUP(I$72,INDIRECT($C$5&amp;"生成成长"),2))/((VLOOKUP($B140,INDIRECT($B$5&amp;"生成成长"),4))/(VLOOKUP(I$72,INDIRECT($C$5&amp;"生成成长"),5))*(VLOOKUP($B$5,标准坦克设计!$B$24:$U$30,MATCH("对"&amp;LEFT($C$5,2)&amp;"输出",标准坦克设计!$B$23:$U$23,0)))*(VLOOKUP($B140,INDIRECT($B$5&amp;"生成成长"),3))*(VLOOKUP($B$5,标准坦克设计!$B$14:$K$20,9)/30))</f>
        <v>2.375807158020784</v>
      </c>
      <c r="J140" s="172">
        <f ca="1">(VLOOKUP(J$72,INDIRECT($C$5&amp;"生成成长"),2))/((VLOOKUP($B140,INDIRECT($B$5&amp;"生成成长"),4))/(VLOOKUP(J$72,INDIRECT($C$5&amp;"生成成长"),5))*(VLOOKUP($B$5,标准坦克设计!$B$24:$U$30,MATCH("对"&amp;LEFT($C$5,2)&amp;"输出",标准坦克设计!$B$23:$U$23,0)))*(VLOOKUP($B140,INDIRECT($B$5&amp;"生成成长"),3))*(VLOOKUP($B$5,标准坦克设计!$B$14:$K$20,9)/30))</f>
        <v>2.6922518159049256</v>
      </c>
      <c r="K140" s="172">
        <f ca="1">(VLOOKUP(K$72,INDIRECT($C$5&amp;"生成成长"),2))/((VLOOKUP($B140,INDIRECT($B$5&amp;"生成成长"),4))/(VLOOKUP(K$72,INDIRECT($C$5&amp;"生成成长"),5))*(VLOOKUP($B$5,标准坦克设计!$B$24:$U$30,MATCH("对"&amp;LEFT($C$5,2)&amp;"输出",标准坦克设计!$B$23:$U$23,0)))*(VLOOKUP($B140,INDIRECT($B$5&amp;"生成成长"),3))*(VLOOKUP($B$5,标准坦克设计!$B$14:$K$20,9)/30))</f>
        <v>3.0284742649068259</v>
      </c>
      <c r="L140" s="172">
        <f ca="1">(VLOOKUP(L$72,INDIRECT($C$5&amp;"生成成长"),2))/((VLOOKUP($B140,INDIRECT($B$5&amp;"生成成长"),4))/(VLOOKUP(L$72,INDIRECT($C$5&amp;"生成成长"),5))*(VLOOKUP($B$5,标准坦克设计!$B$24:$U$30,MATCH("对"&amp;LEFT($C$5,2)&amp;"输出",标准坦克设计!$B$23:$U$23,0)))*(VLOOKUP($B140,INDIRECT($B$5&amp;"生成成长"),3))*(VLOOKUP($B$5,标准坦克设计!$B$14:$K$20,9)/30))</f>
        <v>3.3844745050264859</v>
      </c>
      <c r="M140" s="172">
        <f ca="1">(VLOOKUP(M$72,INDIRECT($C$5&amp;"生成成长"),2))/((VLOOKUP($B140,INDIRECT($B$5&amp;"生成成长"),4))/(VLOOKUP(M$72,INDIRECT($C$5&amp;"生成成长"),5))*(VLOOKUP($B$5,标准坦克设计!$B$24:$U$30,MATCH("对"&amp;LEFT($C$5,2)&amp;"输出",标准坦克设计!$B$23:$U$23,0)))*(VLOOKUP($B140,INDIRECT($B$5&amp;"生成成长"),3))*(VLOOKUP($B$5,标准坦克设计!$B$14:$K$20,9)/30))</f>
        <v>3.7602525362639048</v>
      </c>
      <c r="N140" s="172">
        <f ca="1">(VLOOKUP(N$72,INDIRECT($C$5&amp;"生成成长"),2))/((VLOOKUP($B140,INDIRECT($B$5&amp;"生成成长"),4))/(VLOOKUP(N$72,INDIRECT($C$5&amp;"生成成长"),5))*(VLOOKUP($B$5,标准坦克设计!$B$24:$U$30,MATCH("对"&amp;LEFT($C$5,2)&amp;"输出",标准坦克设计!$B$23:$U$23,0)))*(VLOOKUP($B140,INDIRECT($B$5&amp;"生成成长"),3))*(VLOOKUP($B$5,标准坦克设计!$B$14:$K$20,9)/30))</f>
        <v>4.1558083586190824</v>
      </c>
      <c r="O140" s="172">
        <f ca="1">(VLOOKUP(O$72,INDIRECT($C$5&amp;"生成成长"),2))/((VLOOKUP($B140,INDIRECT($B$5&amp;"生成成长"),4))/(VLOOKUP(O$72,INDIRECT($C$5&amp;"生成成长"),5))*(VLOOKUP($B$5,标准坦克设计!$B$24:$U$30,MATCH("对"&amp;LEFT($C$5,2)&amp;"输出",标准坦克设计!$B$23:$U$23,0)))*(VLOOKUP($B140,INDIRECT($B$5&amp;"生成成长"),3))*(VLOOKUP($B$5,标准坦克设计!$B$14:$K$20,9)/30))</f>
        <v>3.1596566450550863</v>
      </c>
      <c r="P140" s="172">
        <f ca="1">(VLOOKUP(P$72,INDIRECT($C$5&amp;"生成成长"),2))/((VLOOKUP($B140,INDIRECT($B$5&amp;"生成成长"),4))/(VLOOKUP(P$72,INDIRECT($C$5&amp;"生成成长"),5))*(VLOOKUP($B$5,标准坦克设计!$B$24:$U$30,MATCH("对"&amp;LEFT($C$5,2)&amp;"输出",标准坦克设计!$B$23:$U$23,0)))*(VLOOKUP($B140,INDIRECT($B$5&amp;"生成成长"),3))*(VLOOKUP($B$5,标准坦克设计!$B$14:$K$20,9)/30))</f>
        <v>3.569891296755475</v>
      </c>
      <c r="Q140" s="172">
        <f ca="1">(VLOOKUP(Q$72,INDIRECT($C$5&amp;"生成成长"),2))/((VLOOKUP($B140,INDIRECT($B$5&amp;"生成成长"),4))/(VLOOKUP(Q$72,INDIRECT($C$5&amp;"生成成长"),5))*(VLOOKUP($B$5,标准坦克设计!$B$24:$U$30,MATCH("对"&amp;LEFT($C$5,2)&amp;"输出",标准坦克设计!$B$23:$U$23,0)))*(VLOOKUP($B140,INDIRECT($B$5&amp;"生成成长"),3))*(VLOOKUP($B$5,标准坦克设计!$B$14:$K$20,9)/30))</f>
        <v>4.0051572153392767</v>
      </c>
      <c r="R140" s="172">
        <f ca="1">(VLOOKUP(R$72,INDIRECT($C$5&amp;"生成成长"),2))/((VLOOKUP($B140,INDIRECT($B$5&amp;"生成成长"),4))/(VLOOKUP(R$72,INDIRECT($C$5&amp;"生成成长"),5))*(VLOOKUP($B$5,标准坦克设计!$B$24:$U$30,MATCH("对"&amp;LEFT($C$5,2)&amp;"输出",标准坦克设计!$B$23:$U$23,0)))*(VLOOKUP($B140,INDIRECT($B$5&amp;"生成成长"),3))*(VLOOKUP($B$5,标准坦克设计!$B$14:$K$20,9)/30))</f>
        <v>4.4654544008064949</v>
      </c>
      <c r="S140" s="172">
        <f ca="1">(VLOOKUP(S$72,INDIRECT($C$5&amp;"生成成长"),2))/((VLOOKUP($B140,INDIRECT($B$5&amp;"生成成长"),4))/(VLOOKUP(S$72,INDIRECT($C$5&amp;"生成成长"),5))*(VLOOKUP($B$5,标准坦克设计!$B$24:$U$30,MATCH("对"&amp;LEFT($C$5,2)&amp;"输出",标准坦克设计!$B$23:$U$23,0)))*(VLOOKUP($B140,INDIRECT($B$5&amp;"生成成长"),3))*(VLOOKUP($B$5,标准坦克设计!$B$14:$K$20,9)/30))</f>
        <v>4.9507828531571239</v>
      </c>
      <c r="T140" s="172">
        <f ca="1">(VLOOKUP(T$72,INDIRECT($C$5&amp;"生成成长"),2))/((VLOOKUP($B140,INDIRECT($B$5&amp;"生成成长"),4))/(VLOOKUP(T$72,INDIRECT($C$5&amp;"生成成长"),5))*(VLOOKUP($B$5,标准坦克设计!$B$24:$U$30,MATCH("对"&amp;LEFT($C$5,2)&amp;"输出",标准坦克设计!$B$23:$U$23,0)))*(VLOOKUP($B140,INDIRECT($B$5&amp;"生成成长"),3))*(VLOOKUP($B$5,标准坦克设计!$B$14:$K$20,9)/30))</f>
        <v>5.4611425723911662</v>
      </c>
      <c r="U140" s="172">
        <f ca="1">(VLOOKUP(U$72,INDIRECT($C$5&amp;"生成成长"),2))/((VLOOKUP($B140,INDIRECT($B$5&amp;"生成成长"),4))/(VLOOKUP(U$72,INDIRECT($C$5&amp;"生成成长"),5))*(VLOOKUP($B$5,标准坦克设计!$B$24:$U$30,MATCH("对"&amp;LEFT($C$5,2)&amp;"输出",标准坦克设计!$B$23:$U$23,0)))*(VLOOKUP($B140,INDIRECT($B$5&amp;"生成成长"),3))*(VLOOKUP($B$5,标准坦克设计!$B$14:$K$20,9)/30))</f>
        <v>5.9965335585086237</v>
      </c>
      <c r="V140" s="172">
        <f ca="1">(VLOOKUP(V$72,INDIRECT($C$5&amp;"生成成长"),2))/((VLOOKUP($B140,INDIRECT($B$5&amp;"生成成长"),4))/(VLOOKUP(V$72,INDIRECT($C$5&amp;"生成成长"),5))*(VLOOKUP($B$5,标准坦克设计!$B$24:$U$30,MATCH("对"&amp;LEFT($C$5,2)&amp;"输出",标准坦克设计!$B$23:$U$23,0)))*(VLOOKUP($B140,INDIRECT($B$5&amp;"生成成长"),3))*(VLOOKUP($B$5,标准坦克设计!$B$14:$K$20,9)/30))</f>
        <v>6.5569558115094946</v>
      </c>
      <c r="W140" s="172">
        <f ca="1">(VLOOKUP(W$72,INDIRECT($C$5&amp;"生成成长"),2))/((VLOOKUP($B140,INDIRECT($B$5&amp;"生成成长"),4))/(VLOOKUP(W$72,INDIRECT($C$5&amp;"生成成长"),5))*(VLOOKUP($B$5,标准坦克设计!$B$24:$U$30,MATCH("对"&amp;LEFT($C$5,2)&amp;"输出",标准坦克设计!$B$23:$U$23,0)))*(VLOOKUP($B140,INDIRECT($B$5&amp;"生成成长"),3))*(VLOOKUP($B$5,标准坦克设计!$B$14:$K$20,9)/30))</f>
        <v>7.1424093313937789</v>
      </c>
      <c r="X140" s="172">
        <f ca="1">(VLOOKUP(X$72,INDIRECT($C$5&amp;"生成成长"),2))/((VLOOKUP($B140,INDIRECT($B$5&amp;"生成成长"),4))/(VLOOKUP(X$72,INDIRECT($C$5&amp;"生成成长"),5))*(VLOOKUP($B$5,标准坦克设计!$B$24:$U$30,MATCH("对"&amp;LEFT($C$5,2)&amp;"输出",标准坦克设计!$B$23:$U$23,0)))*(VLOOKUP($B140,INDIRECT($B$5&amp;"生成成长"),3))*(VLOOKUP($B$5,标准坦克设计!$B$14:$K$20,9)/30))</f>
        <v>5.1745191151767713</v>
      </c>
      <c r="Y140" s="172">
        <f ca="1">(VLOOKUP(Y$72,INDIRECT($C$5&amp;"生成成长"),2))/((VLOOKUP($B140,INDIRECT($B$5&amp;"生成成长"),4))/(VLOOKUP(Y$72,INDIRECT($C$5&amp;"生成成长"),5))*(VLOOKUP($B$5,标准坦克设计!$B$24:$U$30,MATCH("对"&amp;LEFT($C$5,2)&amp;"输出",标准坦克设计!$B$23:$U$23,0)))*(VLOOKUP($B140,INDIRECT($B$5&amp;"生成成长"),3))*(VLOOKUP($B$5,标准坦克设计!$B$14:$K$20,9)/30))</f>
        <v>5.755491729260938</v>
      </c>
      <c r="Z140" s="172">
        <f ca="1">(VLOOKUP(Z$72,INDIRECT($C$5&amp;"生成成长"),2))/((VLOOKUP($B140,INDIRECT($B$5&amp;"生成成长"),4))/(VLOOKUP(Z$72,INDIRECT($C$5&amp;"生成成长"),5))*(VLOOKUP($B$5,标准坦克设计!$B$24:$U$30,MATCH("对"&amp;LEFT($C$5,2)&amp;"输出",标准坦克设计!$B$23:$U$23,0)))*(VLOOKUP($B140,INDIRECT($B$5&amp;"生成成长"),3))*(VLOOKUP($B$5,标准坦克设计!$B$14:$K$20,9)/30))</f>
        <v>6.3673671419666027</v>
      </c>
      <c r="AA140" s="172">
        <f ca="1">(VLOOKUP(AA$72,INDIRECT($C$5&amp;"生成成长"),2))/((VLOOKUP($B140,INDIRECT($B$5&amp;"生成成长"),4))/(VLOOKUP(AA$72,INDIRECT($C$5&amp;"生成成长"),5))*(VLOOKUP($B$5,标准坦克设计!$B$24:$U$30,MATCH("对"&amp;LEFT($C$5,2)&amp;"输出",标准坦克设计!$B$23:$U$23,0)))*(VLOOKUP($B140,INDIRECT($B$5&amp;"生成成长"),3))*(VLOOKUP($B$5,标准坦克设计!$B$14:$K$20,9)/30))</f>
        <v>7.0101453532937654</v>
      </c>
      <c r="AB140" s="172">
        <f ca="1">(VLOOKUP(AB$72,INDIRECT($C$5&amp;"生成成长"),2))/((VLOOKUP($B140,INDIRECT($B$5&amp;"生成成长"),4))/(VLOOKUP(AB$72,INDIRECT($C$5&amp;"生成成长"),5))*(VLOOKUP($B$5,标准坦克设计!$B$24:$U$30,MATCH("对"&amp;LEFT($C$5,2)&amp;"输出",标准坦克设计!$B$23:$U$23,0)))*(VLOOKUP($B140,INDIRECT($B$5&amp;"生成成长"),3))*(VLOOKUP($B$5,标准坦克设计!$B$14:$K$20,9)/30))</f>
        <v>7.6838263632424271</v>
      </c>
      <c r="AC140" s="172">
        <f ca="1">(VLOOKUP(AC$72,INDIRECT($C$5&amp;"生成成长"),2))/((VLOOKUP($B140,INDIRECT($B$5&amp;"生成成长"),4))/(VLOOKUP(AC$72,INDIRECT($C$5&amp;"生成成长"),5))*(VLOOKUP($B$5,标准坦克设计!$B$24:$U$30,MATCH("对"&amp;LEFT($C$5,2)&amp;"输出",标准坦克设计!$B$23:$U$23,0)))*(VLOOKUP($B140,INDIRECT($B$5&amp;"生成成长"),3))*(VLOOKUP($B$5,标准坦克设计!$B$14:$K$20,9)/30))</f>
        <v>8.3884101718125876</v>
      </c>
      <c r="AD140" s="172">
        <f ca="1">(VLOOKUP(AD$72,INDIRECT($C$5&amp;"生成成长"),2))/((VLOOKUP($B140,INDIRECT($B$5&amp;"生成成长"),4))/(VLOOKUP(AD$72,INDIRECT($C$5&amp;"生成成长"),5))*(VLOOKUP($B$5,标准坦克设计!$B$24:$U$30,MATCH("对"&amp;LEFT($C$5,2)&amp;"输出",标准坦克设计!$B$23:$U$23,0)))*(VLOOKUP($B140,INDIRECT($B$5&amp;"生成成长"),3))*(VLOOKUP($B$5,标准坦克设计!$B$14:$K$20,9)/30))</f>
        <v>9.1238967790042427</v>
      </c>
      <c r="AE140" s="172">
        <f ca="1">(VLOOKUP(AE$72,INDIRECT($C$5&amp;"生成成长"),2))/((VLOOKUP($B140,INDIRECT($B$5&amp;"生成成长"),4))/(VLOOKUP(AE$72,INDIRECT($C$5&amp;"生成成长"),5))*(VLOOKUP($B$5,标准坦克设计!$B$24:$U$30,MATCH("对"&amp;LEFT($C$5,2)&amp;"输出",标准坦克设计!$B$23:$U$23,0)))*(VLOOKUP($B140,INDIRECT($B$5&amp;"生成成长"),3))*(VLOOKUP($B$5,标准坦克设计!$B$14:$K$20,9)/30))</f>
        <v>9.8902861848174002</v>
      </c>
      <c r="AF140" s="172">
        <f ca="1">(VLOOKUP(AF$72,INDIRECT($C$5&amp;"生成成长"),2))/((VLOOKUP($B140,INDIRECT($B$5&amp;"生成成长"),4))/(VLOOKUP(AF$72,INDIRECT($C$5&amp;"生成成长"),5))*(VLOOKUP($B$5,标准坦克设计!$B$24:$U$30,MATCH("对"&amp;LEFT($C$5,2)&amp;"输出",标准坦克设计!$B$23:$U$23,0)))*(VLOOKUP($B140,INDIRECT($B$5&amp;"生成成长"),3))*(VLOOKUP($B$5,标准坦克设计!$B$14:$K$20,9)/30))</f>
        <v>10.687578389252053</v>
      </c>
      <c r="AG140" s="172">
        <f ca="1">(VLOOKUP(AG$72,INDIRECT($C$5&amp;"生成成长"),2))/((VLOOKUP($B140,INDIRECT($B$5&amp;"生成成长"),4))/(VLOOKUP(AG$72,INDIRECT($C$5&amp;"生成成长"),5))*(VLOOKUP($B$5,标准坦克设计!$B$24:$U$30,MATCH("对"&amp;LEFT($C$5,2)&amp;"输出",标准坦克设计!$B$23:$U$23,0)))*(VLOOKUP($B140,INDIRECT($B$5&amp;"生成成长"),3))*(VLOOKUP($B$5,标准坦克设计!$B$14:$K$20,9)/30))</f>
        <v>11.515773392308208</v>
      </c>
      <c r="AH140" s="172">
        <f ca="1">(VLOOKUP(AH$72,INDIRECT($C$5&amp;"生成成长"),2))/((VLOOKUP($B140,INDIRECT($B$5&amp;"生成成长"),4))/(VLOOKUP(AH$72,INDIRECT($C$5&amp;"生成成长"),5))*(VLOOKUP($B$5,标准坦克设计!$B$24:$U$30,MATCH("对"&amp;LEFT($C$5,2)&amp;"输出",标准坦克设计!$B$23:$U$23,0)))*(VLOOKUP($B140,INDIRECT($B$5&amp;"生成成长"),3))*(VLOOKUP($B$5,标准坦克设计!$B$14:$K$20,9)/30))</f>
        <v>12.374871193985859</v>
      </c>
      <c r="AI140" s="172">
        <f ca="1">(VLOOKUP(AI$72,INDIRECT($C$5&amp;"生成成长"),2))/((VLOOKUP($B140,INDIRECT($B$5&amp;"生成成长"),4))/(VLOOKUP(AI$72,INDIRECT($C$5&amp;"生成成长"),5))*(VLOOKUP($B$5,标准坦克设计!$B$24:$U$30,MATCH("对"&amp;LEFT($C$5,2)&amp;"输出",标准坦克设计!$B$23:$U$23,0)))*(VLOOKUP($B140,INDIRECT($B$5&amp;"生成成长"),3))*(VLOOKUP($B$5,标准坦克设计!$B$14:$K$20,9)/30))</f>
        <v>8.7522906255807271</v>
      </c>
      <c r="AJ140" s="172">
        <f ca="1">(VLOOKUP(AJ$72,INDIRECT($C$5&amp;"生成成长"),2))/((VLOOKUP($B140,INDIRECT($B$5&amp;"生成成长"),4))/(VLOOKUP(AJ$72,INDIRECT($C$5&amp;"生成成长"),5))*(VLOOKUP($B$5,标准坦克设计!$B$24:$U$30,MATCH("对"&amp;LEFT($C$5,2)&amp;"输出",标准坦克设计!$B$23:$U$23,0)))*(VLOOKUP($B140,INDIRECT($B$5&amp;"生成成长"),3))*(VLOOKUP($B$5,标准坦克设计!$B$14:$K$20,9)/30))</f>
        <v>9.5800220866575572</v>
      </c>
      <c r="AK140" s="172">
        <f ca="1">(VLOOKUP(AK$72,INDIRECT($C$5&amp;"生成成长"),2))/((VLOOKUP($B140,INDIRECT($B$5&amp;"生成成长"),4))/(VLOOKUP(AK$72,INDIRECT($C$5&amp;"生成成长"),5))*(VLOOKUP($B$5,标准坦克设计!$B$24:$U$30,MATCH("对"&amp;LEFT($C$5,2)&amp;"输出",标准坦克设计!$B$23:$U$23,0)))*(VLOOKUP($B140,INDIRECT($B$5&amp;"生成成长"),3))*(VLOOKUP($B$5,标准坦克设计!$B$14:$K$20,9)/30))</f>
        <v>10.445145934066401</v>
      </c>
      <c r="AL140" s="172">
        <f ca="1">(VLOOKUP(AL$72,INDIRECT($C$5&amp;"生成成长"),2))/((VLOOKUP($B140,INDIRECT($B$5&amp;"生成成长"),4))/(VLOOKUP(AL$72,INDIRECT($C$5&amp;"生成成长"),5))*(VLOOKUP($B$5,标准坦克设计!$B$24:$U$30,MATCH("对"&amp;LEFT($C$5,2)&amp;"输出",标准坦克设计!$B$23:$U$23,0)))*(VLOOKUP($B140,INDIRECT($B$5&amp;"生成成长"),3))*(VLOOKUP($B$5,标准坦克设计!$B$14:$K$20,9)/30))</f>
        <v>11.347662167807254</v>
      </c>
      <c r="AM140" s="172">
        <f ca="1">(VLOOKUP(AM$72,INDIRECT($C$5&amp;"生成成长"),2))/((VLOOKUP($B140,INDIRECT($B$5&amp;"生成成长"),4))/(VLOOKUP(AM$72,INDIRECT($C$5&amp;"生成成长"),5))*(VLOOKUP($B$5,标准坦克设计!$B$24:$U$30,MATCH("对"&amp;LEFT($C$5,2)&amp;"输出",标准坦克设计!$B$23:$U$23,0)))*(VLOOKUP($B140,INDIRECT($B$5&amp;"生成成长"),3))*(VLOOKUP($B$5,标准坦克设计!$B$14:$K$20,9)/30))</f>
        <v>12.287570787880124</v>
      </c>
      <c r="AN140" s="172">
        <f ca="1">(VLOOKUP(AN$72,INDIRECT($C$5&amp;"生成成长"),2))/((VLOOKUP($B140,INDIRECT($B$5&amp;"生成成长"),4))/(VLOOKUP(AN$72,INDIRECT($C$5&amp;"生成成长"),5))*(VLOOKUP($B$5,标准坦克设计!$B$24:$U$30,MATCH("对"&amp;LEFT($C$5,2)&amp;"输出",标准坦克设计!$B$23:$U$23,0)))*(VLOOKUP($B140,INDIRECT($B$5&amp;"生成成长"),3))*(VLOOKUP($B$5,标准坦克设计!$B$14:$K$20,9)/30))</f>
        <v>13.264871794285005</v>
      </c>
      <c r="AO140" s="172">
        <f ca="1">(VLOOKUP(AO$72,INDIRECT($C$5&amp;"生成成长"),2))/((VLOOKUP($B140,INDIRECT($B$5&amp;"生成成长"),4))/(VLOOKUP(AO$72,INDIRECT($C$5&amp;"生成成长"),5))*(VLOOKUP($B$5,标准坦克设计!$B$24:$U$30,MATCH("对"&amp;LEFT($C$5,2)&amp;"输出",标准坦克设计!$B$23:$U$23,0)))*(VLOOKUP($B140,INDIRECT($B$5&amp;"生成成长"),3))*(VLOOKUP($B$5,标准坦克设计!$B$14:$K$20,9)/30))</f>
        <v>14.2795651870219</v>
      </c>
      <c r="AP140" s="172">
        <f ca="1">(VLOOKUP(AP$72,INDIRECT($C$5&amp;"生成成长"),2))/((VLOOKUP($B140,INDIRECT($B$5&amp;"生成成长"),4))/(VLOOKUP(AP$72,INDIRECT($C$5&amp;"生成成长"),5))*(VLOOKUP($B$5,标准坦克设计!$B$24:$U$30,MATCH("对"&amp;LEFT($C$5,2)&amp;"输出",标准坦克设计!$B$23:$U$23,0)))*(VLOOKUP($B140,INDIRECT($B$5&amp;"生成成长"),3))*(VLOOKUP($B$5,标准坦克设计!$B$14:$K$20,9)/30))</f>
        <v>15.331650966090809</v>
      </c>
      <c r="AQ140" s="172">
        <f ca="1">(VLOOKUP(AQ$72,INDIRECT($C$5&amp;"生成成长"),2))/((VLOOKUP($B140,INDIRECT($B$5&amp;"生成成长"),4))/(VLOOKUP(AQ$72,INDIRECT($C$5&amp;"生成成长"),5))*(VLOOKUP($B$5,标准坦克设计!$B$24:$U$30,MATCH("对"&amp;LEFT($C$5,2)&amp;"输出",标准坦克设计!$B$23:$U$23,0)))*(VLOOKUP($B140,INDIRECT($B$5&amp;"生成成长"),3))*(VLOOKUP($B$5,标准坦克设计!$B$14:$K$20,9)/30))</f>
        <v>16.421129131491728</v>
      </c>
      <c r="AR140" s="172">
        <f ca="1">(VLOOKUP(AR$72,INDIRECT($C$5&amp;"生成成长"),2))/((VLOOKUP($B140,INDIRECT($B$5&amp;"生成成长"),4))/(VLOOKUP(AR$72,INDIRECT($C$5&amp;"生成成长"),5))*(VLOOKUP($B$5,标准坦克设计!$B$24:$U$30,MATCH("对"&amp;LEFT($C$5,2)&amp;"输出",标准坦克设计!$B$23:$U$23,0)))*(VLOOKUP($B140,INDIRECT($B$5&amp;"生成成长"),3))*(VLOOKUP($B$5,标准坦克设计!$B$14:$K$20,9)/30))</f>
        <v>17.547999683224663</v>
      </c>
      <c r="AS140" s="172">
        <f ca="1">(VLOOKUP(AS$72,INDIRECT($C$5&amp;"生成成长"),2))/((VLOOKUP($B140,INDIRECT($B$5&amp;"生成成长"),4))/(VLOOKUP(AS$72,INDIRECT($C$5&amp;"生成成长"),5))*(VLOOKUP($B$5,标准坦克设计!$B$24:$U$30,MATCH("对"&amp;LEFT($C$5,2)&amp;"输出",标准坦克设计!$B$23:$U$23,0)))*(VLOOKUP($B140,INDIRECT($B$5&amp;"生成成长"),3))*(VLOOKUP($B$5,标准坦克设计!$B$14:$K$20,9)/30))</f>
        <v>18.712262621289607</v>
      </c>
      <c r="AT140" s="172">
        <f ca="1">(VLOOKUP(AT$72,INDIRECT($C$5&amp;"生成成长"),2))/((VLOOKUP($B140,INDIRECT($B$5&amp;"生成成长"),4))/(VLOOKUP(AT$72,INDIRECT($C$5&amp;"生成成长"),5))*(VLOOKUP($B$5,标准坦克设计!$B$24:$U$30,MATCH("对"&amp;LEFT($C$5,2)&amp;"输出",标准坦克设计!$B$23:$U$23,0)))*(VLOOKUP($B140,INDIRECT($B$5&amp;"生成成长"),3))*(VLOOKUP($B$5,标准坦克设计!$B$14:$K$20,9)/30))</f>
        <v>19.913917945686563</v>
      </c>
      <c r="AU140" s="172">
        <f ca="1">(VLOOKUP(AU$72,INDIRECT($C$5&amp;"生成成长"),2))/((VLOOKUP($B140,INDIRECT($B$5&amp;"生成成长"),4))/(VLOOKUP(AU$72,INDIRECT($C$5&amp;"生成成长"),5))*(VLOOKUP($B$5,标准坦克设计!$B$24:$U$30,MATCH("对"&amp;LEFT($C$5,2)&amp;"输出",标准坦克设计!$B$23:$U$23,0)))*(VLOOKUP($B140,INDIRECT($B$5&amp;"生成成长"),3))*(VLOOKUP($B$5,标准坦克设计!$B$14:$K$20,9)/30))</f>
        <v>21.152965656415532</v>
      </c>
      <c r="AV140" s="172">
        <f ca="1">(VLOOKUP(AV$72,INDIRECT($C$5&amp;"生成成长"),2))/((VLOOKUP($B140,INDIRECT($B$5&amp;"生成成长"),4))/(VLOOKUP(AV$72,INDIRECT($C$5&amp;"生成成长"),5))*(VLOOKUP($B$5,标准坦克设计!$B$24:$U$30,MATCH("对"&amp;LEFT($C$5,2)&amp;"输出",标准坦克设计!$B$23:$U$23,0)))*(VLOOKUP($B140,INDIRECT($B$5&amp;"生成成长"),3))*(VLOOKUP($B$5,标准坦克设计!$B$14:$K$20,9)/30))</f>
        <v>2.1514528400287065</v>
      </c>
      <c r="AW140" s="172">
        <f ca="1">(VLOOKUP(AW$72,INDIRECT($C$5&amp;"生成成长"),2))/((VLOOKUP($B140,INDIRECT($B$5&amp;"生成成长"),4))/(VLOOKUP(AW$72,INDIRECT($C$5&amp;"生成成长"),5))*(VLOOKUP($B$5,标准坦克设计!$B$24:$U$30,MATCH("对"&amp;LEFT($C$5,2)&amp;"输出",标准坦克设计!$B$23:$U$23,0)))*(VLOOKUP($B140,INDIRECT($B$5&amp;"生成成长"),3))*(VLOOKUP($B$5,标准坦克设计!$B$14:$K$20,9)/30))</f>
        <v>2.4530641545745291</v>
      </c>
      <c r="AX140" s="172">
        <f ca="1">(VLOOKUP(AX$72,INDIRECT($C$5&amp;"生成成长"),2))/((VLOOKUP($B140,INDIRECT($B$5&amp;"生成成长"),4))/(VLOOKUP(AX$72,INDIRECT($C$5&amp;"生成成长"),5))*(VLOOKUP($B$5,标准坦克设计!$B$24:$U$30,MATCH("对"&amp;LEFT($C$5,2)&amp;"输出",标准坦克设计!$B$23:$U$23,0)))*(VLOOKUP($B140,INDIRECT($B$5&amp;"生成成长"),3))*(VLOOKUP($B$5,标准坦克设计!$B$14:$K$20,9)/30))</f>
        <v>2.7744532602381105</v>
      </c>
      <c r="AY140" s="172">
        <f ca="1">(VLOOKUP(AY$72,INDIRECT($C$5&amp;"生成成长"),2))/((VLOOKUP($B140,INDIRECT($B$5&amp;"生成成长"),4))/(VLOOKUP(AY$72,INDIRECT($C$5&amp;"生成成长"),5))*(VLOOKUP($B$5,标准坦克设计!$B$24:$U$30,MATCH("对"&amp;LEFT($C$5,2)&amp;"输出",标准坦克设计!$B$23:$U$23,0)))*(VLOOKUP($B140,INDIRECT($B$5&amp;"生成成长"),3))*(VLOOKUP($B$5,标准坦克设计!$B$14:$K$20,9)/30))</f>
        <v>3.1156201570194511</v>
      </c>
      <c r="AZ140" s="172">
        <f ca="1">(VLOOKUP(AZ$72,INDIRECT($C$5&amp;"生成成长"),2))/((VLOOKUP($B140,INDIRECT($B$5&amp;"生成成长"),4))/(VLOOKUP(AZ$72,INDIRECT($C$5&amp;"生成成长"),5))*(VLOOKUP($B$5,标准坦克设计!$B$24:$U$30,MATCH("对"&amp;LEFT($C$5,2)&amp;"输出",标准坦克设计!$B$23:$U$23,0)))*(VLOOKUP($B140,INDIRECT($B$5&amp;"生成成长"),3))*(VLOOKUP($B$5,标准坦克设计!$B$14:$K$20,9)/30))</f>
        <v>3.4765648449185509</v>
      </c>
      <c r="BA140" s="172">
        <f ca="1">(VLOOKUP(BA$72,INDIRECT($C$5&amp;"生成成长"),2))/((VLOOKUP($B140,INDIRECT($B$5&amp;"生成成长"),4))/(VLOOKUP(BA$72,INDIRECT($C$5&amp;"生成成长"),5))*(VLOOKUP($B$5,标准坦克设计!$B$24:$U$30,MATCH("对"&amp;LEFT($C$5,2)&amp;"输出",标准坦克设计!$B$23:$U$23,0)))*(VLOOKUP($B140,INDIRECT($B$5&amp;"生成成长"),3))*(VLOOKUP($B$5,标准坦克设计!$B$14:$K$20,9)/30))</f>
        <v>3.8572873239354091</v>
      </c>
      <c r="BB140" s="172">
        <f ca="1">(VLOOKUP(BB$72,INDIRECT($C$5&amp;"生成成长"),2))/((VLOOKUP($B140,INDIRECT($B$5&amp;"生成成长"),4))/(VLOOKUP(BB$72,INDIRECT($C$5&amp;"生成成长"),5))*(VLOOKUP($B$5,标准坦克设计!$B$24:$U$30,MATCH("对"&amp;LEFT($C$5,2)&amp;"输出",标准坦克设计!$B$23:$U$23,0)))*(VLOOKUP($B140,INDIRECT($B$5&amp;"生成成长"),3))*(VLOOKUP($B$5,标准坦克设计!$B$14:$K$20,9)/30))</f>
        <v>4.2577875940700256</v>
      </c>
      <c r="BC140" s="172">
        <f ca="1">(VLOOKUP(BC$72,INDIRECT($C$5&amp;"生成成长"),2))/((VLOOKUP($B140,INDIRECT($B$5&amp;"生成成长"),4))/(VLOOKUP(BC$72,INDIRECT($C$5&amp;"生成成长"),5))*(VLOOKUP($B$5,标准坦克设计!$B$24:$U$30,MATCH("对"&amp;LEFT($C$5,2)&amp;"输出",标准坦克设计!$B$23:$U$23,0)))*(VLOOKUP($B140,INDIRECT($B$5&amp;"生成成长"),3))*(VLOOKUP($B$5,标准坦克设计!$B$14:$K$20,9)/30))</f>
        <v>4.6780656553224018</v>
      </c>
      <c r="BD140" s="172">
        <f ca="1">(VLOOKUP(BD$72,INDIRECT($C$5&amp;"生成成长"),2))/((VLOOKUP($B140,INDIRECT($B$5&amp;"生成成长"),4))/(VLOOKUP(BD$72,INDIRECT($C$5&amp;"生成成长"),5))*(VLOOKUP($B$5,标准坦克设计!$B$24:$U$30,MATCH("对"&amp;LEFT($C$5,2)&amp;"输出",标准坦克设计!$B$23:$U$23,0)))*(VLOOKUP($B140,INDIRECT($B$5&amp;"生成成长"),3))*(VLOOKUP($B$5,标准坦克设计!$B$14:$K$20,9)/30))</f>
        <v>5.1745191151767713</v>
      </c>
      <c r="BE140" s="172">
        <f ca="1">(VLOOKUP(BE$72,INDIRECT($C$5&amp;"生成成长"),2))/((VLOOKUP($B140,INDIRECT($B$5&amp;"生成成长"),4))/(VLOOKUP(BE$72,INDIRECT($C$5&amp;"生成成长"),5))*(VLOOKUP($B$5,标准坦克设计!$B$24:$U$30,MATCH("对"&amp;LEFT($C$5,2)&amp;"输出",标准坦克设计!$B$23:$U$23,0)))*(VLOOKUP($B140,INDIRECT($B$5&amp;"生成成长"),3))*(VLOOKUP($B$5,标准坦克设计!$B$14:$K$20,9)/30))</f>
        <v>5.6960038419145542</v>
      </c>
      <c r="BF140" s="172">
        <f ca="1">(VLOOKUP(BF$72,INDIRECT($C$5&amp;"生成成长"),2))/((VLOOKUP($B140,INDIRECT($B$5&amp;"生成成长"),4))/(VLOOKUP(BF$72,INDIRECT($C$5&amp;"生成成长"),5))*(VLOOKUP($B$5,标准坦克设计!$B$24:$U$30,MATCH("对"&amp;LEFT($C$5,2)&amp;"输出",标准坦克设计!$B$23:$U$23,0)))*(VLOOKUP($B140,INDIRECT($B$5&amp;"生成成长"),3))*(VLOOKUP($B$5,标准坦克设计!$B$14:$K$20,9)/30))</f>
        <v>6.2425198355357487</v>
      </c>
      <c r="BG140" s="172">
        <f ca="1">(VLOOKUP(BG$72,INDIRECT($C$5&amp;"生成成长"),2))/((VLOOKUP($B140,INDIRECT($B$5&amp;"生成成长"),4))/(VLOOKUP(BG$72,INDIRECT($C$5&amp;"生成成长"),5))*(VLOOKUP($B$5,标准坦克设计!$B$24:$U$30,MATCH("对"&amp;LEFT($C$5,2)&amp;"输出",标准坦克设计!$B$23:$U$23,0)))*(VLOOKUP($B140,INDIRECT($B$5&amp;"生成成长"),3))*(VLOOKUP($B$5,标准坦克设计!$B$14:$K$20,9)/30))</f>
        <v>6.8140670960403593</v>
      </c>
      <c r="BH140" s="172">
        <f ca="1">(VLOOKUP(BH$72,INDIRECT($C$5&amp;"生成成长"),2))/((VLOOKUP($B140,INDIRECT($B$5&amp;"生成成长"),4))/(VLOOKUP(BH$72,INDIRECT($C$5&amp;"生成成长"),5))*(VLOOKUP($B$5,标准坦克设计!$B$24:$U$30,MATCH("对"&amp;LEFT($C$5,2)&amp;"输出",标准坦克设计!$B$23:$U$23,0)))*(VLOOKUP($B140,INDIRECT($B$5&amp;"生成成长"),3))*(VLOOKUP($B$5,标准坦克设计!$B$14:$K$20,9)/30))</f>
        <v>3.2936202770792811</v>
      </c>
      <c r="BI140" s="172">
        <f ca="1">(VLOOKUP(BI$72,INDIRECT($C$5&amp;"生成成长"),2))/((VLOOKUP($B140,INDIRECT($B$5&amp;"生成成长"),4))/(VLOOKUP(BI$72,INDIRECT($C$5&amp;"生成成长"),5))*(VLOOKUP($B$5,标准坦克设计!$B$24:$U$30,MATCH("对"&amp;LEFT($C$5,2)&amp;"输出",标准坦克设计!$B$23:$U$23,0)))*(VLOOKUP($B140,INDIRECT($B$5&amp;"生成成长"),3))*(VLOOKUP($B$5,标准坦克设计!$B$14:$K$20,9)/30))</f>
        <v>3.7121986844074741</v>
      </c>
      <c r="BJ140" s="172">
        <f ca="1">(VLOOKUP(BJ$72,INDIRECT($C$5&amp;"生成成长"),2))/((VLOOKUP($B140,INDIRECT($B$5&amp;"生成成长"),4))/(VLOOKUP(BJ$72,INDIRECT($C$5&amp;"生成成长"),5))*(VLOOKUP($B$5,标准坦克设计!$B$24:$U$30,MATCH("对"&amp;LEFT($C$5,2)&amp;"输出",标准坦克设计!$B$23:$U$23,0)))*(VLOOKUP($B140,INDIRECT($B$5&amp;"生成成长"),3))*(VLOOKUP($B$5,标准坦克设计!$B$14:$K$20,9)/30))</f>
        <v>4.1558083586190824</v>
      </c>
      <c r="BK140" s="172">
        <f ca="1">(VLOOKUP(BK$72,INDIRECT($C$5&amp;"生成成长"),2))/((VLOOKUP($B140,INDIRECT($B$5&amp;"生成成长"),4))/(VLOOKUP(BK$72,INDIRECT($C$5&amp;"生成成长"),5))*(VLOOKUP($B$5,标准坦克设计!$B$24:$U$30,MATCH("对"&amp;LEFT($C$5,2)&amp;"输出",标准坦克设计!$B$23:$U$23,0)))*(VLOOKUP($B140,INDIRECT($B$5&amp;"生成成长"),3))*(VLOOKUP($B$5,标准坦克设计!$B$14:$K$20,9)/30))</f>
        <v>4.6244492997141018</v>
      </c>
      <c r="BL140" s="172">
        <f ca="1">(VLOOKUP(BL$72,INDIRECT($C$5&amp;"生成成长"),2))/((VLOOKUP($B140,INDIRECT($B$5&amp;"生成成长"),4))/(VLOOKUP(BL$72,INDIRECT($C$5&amp;"生成成长"),5))*(VLOOKUP($B$5,标准坦克设计!$B$24:$U$30,MATCH("对"&amp;LEFT($C$5,2)&amp;"输出",标准坦克设计!$B$23:$U$23,0)))*(VLOOKUP($B140,INDIRECT($B$5&amp;"生成成长"),3))*(VLOOKUP($B$5,标准坦克设计!$B$14:$K$20,9)/30))</f>
        <v>5.1181215076925364</v>
      </c>
      <c r="BM140" s="172">
        <f ca="1">(VLOOKUP(BM$72,INDIRECT($C$5&amp;"生成成长"),2))/((VLOOKUP($B140,INDIRECT($B$5&amp;"生成成长"),4))/(VLOOKUP(BM$72,INDIRECT($C$5&amp;"生成成长"),5))*(VLOOKUP($B$5,标准坦克设计!$B$24:$U$30,MATCH("对"&amp;LEFT($C$5,2)&amp;"输出",标准坦克设计!$B$23:$U$23,0)))*(VLOOKUP($B140,INDIRECT($B$5&amp;"生成成长"),3))*(VLOOKUP($B$5,标准坦克设计!$B$14:$K$20,9)/30))</f>
        <v>5.6368249825543835</v>
      </c>
      <c r="BN140" s="172">
        <f ca="1">(VLOOKUP(BN$72,INDIRECT($C$5&amp;"生成成长"),2))/((VLOOKUP($B140,INDIRECT($B$5&amp;"生成成长"),4))/(VLOOKUP(BN$72,INDIRECT($C$5&amp;"生成成长"),5))*(VLOOKUP($B$5,标准坦克设计!$B$24:$U$30,MATCH("对"&amp;LEFT($C$5,2)&amp;"输出",标准坦克设计!$B$23:$U$23,0)))*(VLOOKUP($B140,INDIRECT($B$5&amp;"生成成长"),3))*(VLOOKUP($B$5,标准坦克设计!$B$14:$K$20,9)/30))</f>
        <v>6.1805597242996448</v>
      </c>
      <c r="BO140" s="172">
        <f ca="1">(VLOOKUP(BO$72,INDIRECT($C$5&amp;"生成成长"),2))/((VLOOKUP($B140,INDIRECT($B$5&amp;"生成成长"),4))/(VLOOKUP(BO$72,INDIRECT($C$5&amp;"生成成长"),5))*(VLOOKUP($B$5,标准坦克设计!$B$24:$U$30,MATCH("对"&amp;LEFT($C$5,2)&amp;"输出",标准坦克设计!$B$23:$U$23,0)))*(VLOOKUP($B140,INDIRECT($B$5&amp;"生成成长"),3))*(VLOOKUP($B$5,标准坦克设计!$B$14:$K$20,9)/30))</f>
        <v>6.7493257329283205</v>
      </c>
      <c r="BP140" s="172">
        <f ca="1">(VLOOKUP(BP$72,INDIRECT($C$5&amp;"生成成长"),2))/((VLOOKUP($B140,INDIRECT($B$5&amp;"生成成长"),4))/(VLOOKUP(BP$72,INDIRECT($C$5&amp;"生成成长"),5))*(VLOOKUP($B$5,标准坦克设计!$B$24:$U$30,MATCH("对"&amp;LEFT($C$5,2)&amp;"输出",标准坦克设计!$B$23:$U$23,0)))*(VLOOKUP($B140,INDIRECT($B$5&amp;"生成成长"),3))*(VLOOKUP($B$5,标准坦克设计!$B$14:$K$20,9)/30))</f>
        <v>7.3431230084404087</v>
      </c>
      <c r="BQ140" s="172">
        <f ca="1">(VLOOKUP(BQ$72,INDIRECT($C$5&amp;"生成成长"),2))/((VLOOKUP($B140,INDIRECT($B$5&amp;"生成成长"),4))/(VLOOKUP(BQ$72,INDIRECT($C$5&amp;"生成成长"),5))*(VLOOKUP($B$5,标准坦克设计!$B$24:$U$30,MATCH("对"&amp;LEFT($C$5,2)&amp;"输出",标准坦克设计!$B$23:$U$23,0)))*(VLOOKUP($B140,INDIRECT($B$5&amp;"生成成长"),3))*(VLOOKUP($B$5,标准坦克设计!$B$14:$K$20,9)/30))</f>
        <v>7.9619515508359111</v>
      </c>
      <c r="BR140" s="172">
        <f ca="1">(VLOOKUP(BR$72,INDIRECT($C$5&amp;"生成成长"),2))/((VLOOKUP($B140,INDIRECT($B$5&amp;"生成成长"),4))/(VLOOKUP(BR$72,INDIRECT($C$5&amp;"生成成长"),5))*(VLOOKUP($B$5,标准坦克设计!$B$24:$U$30,MATCH("对"&amp;LEFT($C$5,2)&amp;"输出",标准坦克设计!$B$23:$U$23,0)))*(VLOOKUP($B140,INDIRECT($B$5&amp;"生成成长"),3))*(VLOOKUP($B$5,标准坦克设计!$B$14:$K$20,9)/30))</f>
        <v>8.6788964788546696</v>
      </c>
      <c r="BS140" s="172">
        <f ca="1">(VLOOKUP(BS$72,INDIRECT($C$5&amp;"生成成长"),2))/((VLOOKUP($B140,INDIRECT($B$5&amp;"生成成长"),4))/(VLOOKUP(BS$72,INDIRECT($C$5&amp;"生成成长"),5))*(VLOOKUP($B$5,标准坦克设计!$B$24:$U$30,MATCH("对"&amp;LEFT($C$5,2)&amp;"输出",标准坦克设计!$B$23:$U$23,0)))*(VLOOKUP($B140,INDIRECT($B$5&amp;"生成成长"),3))*(VLOOKUP($B$5,标准坦克设计!$B$14:$K$20,9)/30))</f>
        <v>9.4267442054949271</v>
      </c>
      <c r="BT140" s="172">
        <f ca="1">(VLOOKUP(BT$72,INDIRECT($C$5&amp;"生成成长"),2))/((VLOOKUP($B140,INDIRECT($B$5&amp;"生成成长"),4))/(VLOOKUP(BT$72,INDIRECT($C$5&amp;"生成成长"),5))*(VLOOKUP($B$5,标准坦克设计!$B$24:$U$30,MATCH("对"&amp;LEFT($C$5,2)&amp;"输出",标准坦克设计!$B$23:$U$23,0)))*(VLOOKUP($B140,INDIRECT($B$5&amp;"生成成长"),3))*(VLOOKUP($B$5,标准坦克设计!$B$14:$K$20,9)/30))</f>
        <v>10.205494730756682</v>
      </c>
      <c r="BU140" s="172">
        <f ca="1">(VLOOKUP(BU$72,INDIRECT($C$5&amp;"生成成长"),2))/((VLOOKUP($B140,INDIRECT($B$5&amp;"生成成长"),4))/(VLOOKUP(BU$72,INDIRECT($C$5&amp;"生成成长"),5))*(VLOOKUP($B$5,标准坦克设计!$B$24:$U$30,MATCH("对"&amp;LEFT($C$5,2)&amp;"输出",标准坦克设计!$B$23:$U$23,0)))*(VLOOKUP($B140,INDIRECT($B$5&amp;"生成成长"),3))*(VLOOKUP($B$5,标准坦克设计!$B$14:$K$20,9)/30))</f>
        <v>11.015148054639937</v>
      </c>
      <c r="BV140" s="172">
        <f ca="1">(VLOOKUP(BV$72,INDIRECT($C$5&amp;"生成成长"),2))/((VLOOKUP($B140,INDIRECT($B$5&amp;"生成成长"),4))/(VLOOKUP(BV$72,INDIRECT($C$5&amp;"生成成长"),5))*(VLOOKUP($B$5,标准坦克设计!$B$24:$U$30,MATCH("对"&amp;LEFT($C$5,2)&amp;"输出",标准坦克设计!$B$23:$U$23,0)))*(VLOOKUP($B140,INDIRECT($B$5&amp;"生成成长"),3))*(VLOOKUP($B$5,标准坦克设计!$B$14:$K$20,9)/30))</f>
        <v>11.855704177144686</v>
      </c>
      <c r="BW140" s="172">
        <f ca="1">(VLOOKUP(BW$72,INDIRECT($C$5&amp;"生成成长"),2))/((VLOOKUP($B140,INDIRECT($B$5&amp;"生成成长"),4))/(VLOOKUP(BW$72,INDIRECT($C$5&amp;"生成成长"),5))*(VLOOKUP($B$5,标准坦克设计!$B$24:$U$30,MATCH("对"&amp;LEFT($C$5,2)&amp;"输出",标准坦克设计!$B$23:$U$23,0)))*(VLOOKUP($B140,INDIRECT($B$5&amp;"生成成长"),3))*(VLOOKUP($B$5,标准坦克设计!$B$14:$K$20,9)/30))</f>
        <v>5.4031998249758573</v>
      </c>
      <c r="BX140" s="172">
        <f ca="1">(VLOOKUP(BX$72,INDIRECT($C$5&amp;"生成成长"),2))/((VLOOKUP($B140,INDIRECT($B$5&amp;"生成成长"),4))/(VLOOKUP(BX$72,INDIRECT($C$5&amp;"生成成长"),5))*(VLOOKUP($B$5,标准坦克设计!$B$24:$U$30,MATCH("对"&amp;LEFT($C$5,2)&amp;"输出",标准坦克设计!$B$23:$U$23,0)))*(VLOOKUP($B140,INDIRECT($B$5&amp;"生成成长"),3))*(VLOOKUP($B$5,标准坦克设计!$B$14:$K$20,9)/30))</f>
        <v>5.9965335585086237</v>
      </c>
      <c r="BY140" s="172">
        <f ca="1">(VLOOKUP(BY$72,INDIRECT($C$5&amp;"生成成长"),2))/((VLOOKUP($B140,INDIRECT($B$5&amp;"生成成长"),4))/(VLOOKUP(BY$72,INDIRECT($C$5&amp;"生成成长"),5))*(VLOOKUP($B$5,标准坦克设计!$B$24:$U$30,MATCH("对"&amp;LEFT($C$5,2)&amp;"输出",标准坦克设计!$B$23:$U$23,0)))*(VLOOKUP($B140,INDIRECT($B$5&amp;"生成成长"),3))*(VLOOKUP($B$5,标准坦克设计!$B$14:$K$20,9)/30))</f>
        <v>6.6207700906628872</v>
      </c>
      <c r="BZ140" s="172">
        <f ca="1">(VLOOKUP(BZ$72,INDIRECT($C$5&amp;"生成成长"),2))/((VLOOKUP($B140,INDIRECT($B$5&amp;"生成成长"),4))/(VLOOKUP(BZ$72,INDIRECT($C$5&amp;"生成成长"),5))*(VLOOKUP($B$5,标准坦克设计!$B$24:$U$30,MATCH("对"&amp;LEFT($C$5,2)&amp;"输出",标准坦克设计!$B$23:$U$23,0)))*(VLOOKUP($B140,INDIRECT($B$5&amp;"生成成长"),3))*(VLOOKUP($B$5,标准坦克设计!$B$14:$K$20,9)/30))</f>
        <v>7.2759094214386497</v>
      </c>
      <c r="CA140" s="172">
        <f ca="1">(VLOOKUP(CA$72,INDIRECT($C$5&amp;"生成成长"),2))/((VLOOKUP($B140,INDIRECT($B$5&amp;"生成成长"),4))/(VLOOKUP(CA$72,INDIRECT($C$5&amp;"生成成长"),5))*(VLOOKUP($B$5,标准坦克设计!$B$24:$U$30,MATCH("对"&amp;LEFT($C$5,2)&amp;"输出",标准坦克设计!$B$23:$U$23,0)))*(VLOOKUP($B140,INDIRECT($B$5&amp;"生成成长"),3))*(VLOOKUP($B$5,标准坦克设计!$B$14:$K$20,9)/30))</f>
        <v>7.9619515508359111</v>
      </c>
      <c r="CB140" s="172">
        <f ca="1">(VLOOKUP(CB$72,INDIRECT($C$5&amp;"生成成长"),2))/((VLOOKUP($B140,INDIRECT($B$5&amp;"生成成长"),4))/(VLOOKUP(CB$72,INDIRECT($C$5&amp;"生成成长"),5))*(VLOOKUP($B$5,标准坦克设计!$B$24:$U$30,MATCH("对"&amp;LEFT($C$5,2)&amp;"输出",标准坦克设计!$B$23:$U$23,0)))*(VLOOKUP($B140,INDIRECT($B$5&amp;"生成成长"),3))*(VLOOKUP($B$5,标准坦克设计!$B$14:$K$20,9)/30))</f>
        <v>8.6788964788546696</v>
      </c>
      <c r="CC140" s="172">
        <f ca="1">(VLOOKUP(CC$72,INDIRECT($C$5&amp;"生成成长"),2))/((VLOOKUP($B140,INDIRECT($B$5&amp;"生成成长"),4))/(VLOOKUP(CC$72,INDIRECT($C$5&amp;"生成成长"),5))*(VLOOKUP($B$5,标准坦克设计!$B$24:$U$30,MATCH("对"&amp;LEFT($C$5,2)&amp;"输出",标准坦克设计!$B$23:$U$23,0)))*(VLOOKUP($B140,INDIRECT($B$5&amp;"生成成长"),3))*(VLOOKUP($B$5,标准坦克设计!$B$14:$K$20,9)/30))</f>
        <v>9.4267442054949271</v>
      </c>
      <c r="CD140" s="172">
        <f ca="1">(VLOOKUP(CD$72,INDIRECT($C$5&amp;"生成成长"),2))/((VLOOKUP($B140,INDIRECT($B$5&amp;"生成成长"),4))/(VLOOKUP(CD$72,INDIRECT($C$5&amp;"生成成长"),5))*(VLOOKUP($B$5,标准坦克设计!$B$24:$U$30,MATCH("对"&amp;LEFT($C$5,2)&amp;"输出",标准坦克设计!$B$23:$U$23,0)))*(VLOOKUP($B140,INDIRECT($B$5&amp;"生成成长"),3))*(VLOOKUP($B$5,标准坦克设计!$B$14:$K$20,9)/30))</f>
        <v>10.205494730756682</v>
      </c>
      <c r="CE140" s="172">
        <f ca="1">(VLOOKUP(CE$72,INDIRECT($C$5&amp;"生成成长"),2))/((VLOOKUP($B140,INDIRECT($B$5&amp;"生成成长"),4))/(VLOOKUP(CE$72,INDIRECT($C$5&amp;"生成成长"),5))*(VLOOKUP($B$5,标准坦克设计!$B$24:$U$30,MATCH("对"&amp;LEFT($C$5,2)&amp;"输出",标准坦克设计!$B$23:$U$23,0)))*(VLOOKUP($B140,INDIRECT($B$5&amp;"生成成长"),3))*(VLOOKUP($B$5,标准坦克设计!$B$14:$K$20,9)/30))</f>
        <v>11.015148054639937</v>
      </c>
      <c r="CF140" s="172">
        <f ca="1">(VLOOKUP(CF$72,INDIRECT($C$5&amp;"生成成长"),2))/((VLOOKUP($B140,INDIRECT($B$5&amp;"生成成长"),4))/(VLOOKUP(CF$72,INDIRECT($C$5&amp;"生成成长"),5))*(VLOOKUP($B$5,标准坦克设计!$B$24:$U$30,MATCH("对"&amp;LEFT($C$5,2)&amp;"输出",标准坦克设计!$B$23:$U$23,0)))*(VLOOKUP($B140,INDIRECT($B$5&amp;"生成成长"),3))*(VLOOKUP($B$5,标准坦克设计!$B$14:$K$20,9)/30))</f>
        <v>11.855704177144686</v>
      </c>
      <c r="CG140" s="172">
        <f ca="1">(VLOOKUP(CG$72,INDIRECT($C$5&amp;"生成成长"),2))/((VLOOKUP($B140,INDIRECT($B$5&amp;"生成成长"),4))/(VLOOKUP(CG$72,INDIRECT($C$5&amp;"生成成长"),5))*(VLOOKUP($B$5,标准坦克设计!$B$24:$U$30,MATCH("对"&amp;LEFT($C$5,2)&amp;"输出",标准坦克设计!$B$23:$U$23,0)))*(VLOOKUP($B140,INDIRECT($B$5&amp;"生成成长"),3))*(VLOOKUP($B$5,标准坦克设计!$B$14:$K$20,9)/30))</f>
        <v>12.727163098270939</v>
      </c>
      <c r="CH140" s="172">
        <f ca="1">(VLOOKUP(CH$72,INDIRECT($C$5&amp;"生成成长"),2))/((VLOOKUP($B140,INDIRECT($B$5&amp;"生成成长"),4))/(VLOOKUP(CH$72,INDIRECT($C$5&amp;"生成成长"),5))*(VLOOKUP($B$5,标准坦克设计!$B$24:$U$30,MATCH("对"&amp;LEFT($C$5,2)&amp;"输出",标准坦克设计!$B$23:$U$23,0)))*(VLOOKUP($B140,INDIRECT($B$5&amp;"生成成长"),3))*(VLOOKUP($B$5,标准坦克设计!$B$14:$K$20,9)/30))</f>
        <v>13.629524818018684</v>
      </c>
      <c r="CI140" s="172">
        <f ca="1">(VLOOKUP(CI$72,INDIRECT($C$5&amp;"生成成长"),2))/((VLOOKUP($B140,INDIRECT($B$5&amp;"生成成长"),4))/(VLOOKUP(CI$72,INDIRECT($C$5&amp;"生成成长"),5))*(VLOOKUP($B$5,标准坦克设计!$B$24:$U$30,MATCH("对"&amp;LEFT($C$5,2)&amp;"输出",标准坦克设计!$B$23:$U$23,0)))*(VLOOKUP($B140,INDIRECT($B$5&amp;"生成成长"),3))*(VLOOKUP($B$5,标准坦克设计!$B$14:$K$20,9)/30))</f>
        <v>14.657815442149039</v>
      </c>
      <c r="CJ140" s="172">
        <f ca="1">(VLOOKUP(CJ$72,INDIRECT($C$5&amp;"生成成长"),2))/((VLOOKUP($B140,INDIRECT($B$5&amp;"生成成长"),4))/(VLOOKUP(CJ$72,INDIRECT($C$5&amp;"生成成长"),5))*(VLOOKUP($B$5,标准坦克设计!$B$24:$U$30,MATCH("对"&amp;LEFT($C$5,2)&amp;"输出",标准坦克设计!$B$23:$U$23,0)))*(VLOOKUP($B140,INDIRECT($B$5&amp;"生成成长"),3))*(VLOOKUP($B$5,标准坦克设计!$B$14:$K$20,9)/30))</f>
        <v>15.723498452611404</v>
      </c>
      <c r="CK140" s="172">
        <f ca="1">(VLOOKUP(CK$72,INDIRECT($C$5&amp;"生成成长"),2))/((VLOOKUP($B140,INDIRECT($B$5&amp;"生成成长"),4))/(VLOOKUP(CK$72,INDIRECT($C$5&amp;"生成成长"),5))*(VLOOKUP($B$5,标准坦克设计!$B$24:$U$30,MATCH("对"&amp;LEFT($C$5,2)&amp;"输出",标准坦克设计!$B$23:$U$23,0)))*(VLOOKUP($B140,INDIRECT($B$5&amp;"生成成长"),3))*(VLOOKUP($B$5,标准坦克设计!$B$14:$K$20,9)/30))</f>
        <v>16.826573849405786</v>
      </c>
      <c r="CL140" s="172">
        <f ca="1">(VLOOKUP(CL$72,INDIRECT($C$5&amp;"生成成长"),2))/((VLOOKUP($B140,INDIRECT($B$5&amp;"生成成长"),4))/(VLOOKUP(CL$72,INDIRECT($C$5&amp;"生成成长"),5))*(VLOOKUP($B$5,标准坦克设计!$B$24:$U$30,MATCH("对"&amp;LEFT($C$5,2)&amp;"输出",标准坦克设计!$B$23:$U$23,0)))*(VLOOKUP($B140,INDIRECT($B$5&amp;"生成成长"),3))*(VLOOKUP($B$5,标准坦克设计!$B$14:$K$20,9)/30))</f>
        <v>17.967041632532176</v>
      </c>
      <c r="CM140" s="172">
        <f ca="1">(VLOOKUP(CM$72,INDIRECT($C$5&amp;"生成成长"),2))/((VLOOKUP($B140,INDIRECT($B$5&amp;"生成成长"),4))/(VLOOKUP(CM$72,INDIRECT($C$5&amp;"生成成长"),5))*(VLOOKUP($B$5,标准坦克设计!$B$24:$U$30,MATCH("对"&amp;LEFT($C$5,2)&amp;"输出",标准坦克设计!$B$23:$U$23,0)))*(VLOOKUP($B140,INDIRECT($B$5&amp;"生成成长"),3))*(VLOOKUP($B$5,标准坦克设计!$B$14:$K$20,9)/30))</f>
        <v>19.144901801990581</v>
      </c>
      <c r="CN140" s="172">
        <f ca="1">(VLOOKUP(CN$72,INDIRECT($C$5&amp;"生成成长"),2))/((VLOOKUP($B140,INDIRECT($B$5&amp;"生成成长"),4))/(VLOOKUP(CN$72,INDIRECT($C$5&amp;"生成成长"),5))*(VLOOKUP($B$5,标准坦克设计!$B$24:$U$30,MATCH("对"&amp;LEFT($C$5,2)&amp;"输出",标准坦克设计!$B$23:$U$23,0)))*(VLOOKUP($B140,INDIRECT($B$5&amp;"生成成长"),3))*(VLOOKUP($B$5,标准坦克设计!$B$14:$K$20,9)/30))</f>
        <v>20.360154357780999</v>
      </c>
      <c r="CO140" s="172">
        <f ca="1">(VLOOKUP(CO$72,INDIRECT($C$5&amp;"生成成长"),2))/((VLOOKUP($B140,INDIRECT($B$5&amp;"生成成长"),4))/(VLOOKUP(CO$72,INDIRECT($C$5&amp;"生成成长"),5))*(VLOOKUP($B$5,标准坦克设计!$B$24:$U$30,MATCH("对"&amp;LEFT($C$5,2)&amp;"输出",标准坦克设计!$B$23:$U$23,0)))*(VLOOKUP($B140,INDIRECT($B$5&amp;"生成成长"),3))*(VLOOKUP($B$5,标准坦克设计!$B$14:$K$20,9)/30))</f>
        <v>9.1238967790042427</v>
      </c>
      <c r="CP140" s="172">
        <f ca="1">(VLOOKUP(CP$72,INDIRECT($C$5&amp;"生成成长"),2))/((VLOOKUP($B140,INDIRECT($B$5&amp;"生成成长"),4))/(VLOOKUP(CP$72,INDIRECT($C$5&amp;"生成成长"),5))*(VLOOKUP($B$5,标准坦克设计!$B$24:$U$30,MATCH("对"&amp;LEFT($C$5,2)&amp;"输出",标准坦克设计!$B$23:$U$23,0)))*(VLOOKUP($B140,INDIRECT($B$5&amp;"生成成长"),3))*(VLOOKUP($B$5,标准坦克设计!$B$14:$K$20,9)/30))</f>
        <v>9.9686247793228979</v>
      </c>
      <c r="CQ140" s="172">
        <f ca="1">(VLOOKUP(CQ$72,INDIRECT($C$5&amp;"生成成长"),2))/((VLOOKUP($B140,INDIRECT($B$5&amp;"生成成长"),4))/(VLOOKUP(CQ$72,INDIRECT($C$5&amp;"生成成长"),5))*(VLOOKUP($B$5,标准坦克设计!$B$24:$U$30,MATCH("对"&amp;LEFT($C$5,2)&amp;"输出",标准坦克设计!$B$23:$U$23,0)))*(VLOOKUP($B140,INDIRECT($B$5&amp;"生成成长"),3))*(VLOOKUP($B$5,标准坦克设计!$B$14:$K$20,9)/30))</f>
        <v>10.850745165973565</v>
      </c>
      <c r="CR140" s="172">
        <f ca="1">(VLOOKUP(CR$72,INDIRECT($C$5&amp;"生成成长"),2))/((VLOOKUP($B140,INDIRECT($B$5&amp;"生成成长"),4))/(VLOOKUP(CR$72,INDIRECT($C$5&amp;"生成成长"),5))*(VLOOKUP($B$5,标准坦克设计!$B$24:$U$30,MATCH("对"&amp;LEFT($C$5,2)&amp;"输出",标准坦克设计!$B$23:$U$23,0)))*(VLOOKUP($B140,INDIRECT($B$5&amp;"生成成长"),3))*(VLOOKUP($B$5,标准坦克设计!$B$14:$K$20,9)/30))</f>
        <v>11.770257938956243</v>
      </c>
      <c r="CS140" s="172">
        <f ca="1">(VLOOKUP(CS$72,INDIRECT($C$5&amp;"生成成长"),2))/((VLOOKUP($B140,INDIRECT($B$5&amp;"生成成长"),4))/(VLOOKUP(CS$72,INDIRECT($C$5&amp;"生成成长"),5))*(VLOOKUP($B$5,标准坦克设计!$B$24:$U$30,MATCH("对"&amp;LEFT($C$5,2)&amp;"输出",标准坦克设计!$B$23:$U$23,0)))*(VLOOKUP($B140,INDIRECT($B$5&amp;"生成成长"),3))*(VLOOKUP($B$5,标准坦克设计!$B$14:$K$20,9)/30))</f>
        <v>12.727163098270939</v>
      </c>
      <c r="CT140" s="172">
        <f ca="1">(VLOOKUP(CT$72,INDIRECT($C$5&amp;"生成成长"),2))/((VLOOKUP($B140,INDIRECT($B$5&amp;"生成成长"),4))/(VLOOKUP(CT$72,INDIRECT($C$5&amp;"生成成长"),5))*(VLOOKUP($B$5,标准坦克设计!$B$24:$U$30,MATCH("对"&amp;LEFT($C$5,2)&amp;"输出",标准坦克设计!$B$23:$U$23,0)))*(VLOOKUP($B140,INDIRECT($B$5&amp;"生成成长"),3))*(VLOOKUP($B$5,标准坦克设计!$B$14:$K$20,9)/30))</f>
        <v>13.721460643917641</v>
      </c>
      <c r="CU140" s="172">
        <f ca="1">(VLOOKUP(CU$72,INDIRECT($C$5&amp;"生成成长"),2))/((VLOOKUP($B140,INDIRECT($B$5&amp;"生成成长"),4))/(VLOOKUP(CU$72,INDIRECT($C$5&amp;"生成成长"),5))*(VLOOKUP($B$5,标准坦克设计!$B$24:$U$30,MATCH("对"&amp;LEFT($C$5,2)&amp;"输出",标准坦克设计!$B$23:$U$23,0)))*(VLOOKUP($B140,INDIRECT($B$5&amp;"生成成长"),3))*(VLOOKUP($B$5,标准坦克设计!$B$14:$K$20,9)/30))</f>
        <v>14.753150575896363</v>
      </c>
      <c r="CV140" s="172">
        <f ca="1">(VLOOKUP(CV$72,INDIRECT($C$5&amp;"生成成长"),2))/((VLOOKUP($B140,INDIRECT($B$5&amp;"生成成长"),4))/(VLOOKUP(CV$72,INDIRECT($C$5&amp;"生成成长"),5))*(VLOOKUP($B$5,标准坦克设计!$B$24:$U$30,MATCH("对"&amp;LEFT($C$5,2)&amp;"输出",标准坦克设计!$B$23:$U$23,0)))*(VLOOKUP($B140,INDIRECT($B$5&amp;"生成成长"),3))*(VLOOKUP($B$5,标准坦克设计!$B$14:$K$20,9)/30))</f>
        <v>15.822232894207096</v>
      </c>
      <c r="CW140" s="172">
        <f ca="1">(VLOOKUP(CW$72,INDIRECT($C$5&amp;"生成成长"),2))/((VLOOKUP($B140,INDIRECT($B$5&amp;"生成成长"),4))/(VLOOKUP(CW$72,INDIRECT($C$5&amp;"生成成长"),5))*(VLOOKUP($B$5,标准坦克设计!$B$24:$U$30,MATCH("对"&amp;LEFT($C$5,2)&amp;"输出",标准坦克设计!$B$23:$U$23,0)))*(VLOOKUP($B140,INDIRECT($B$5&amp;"生成成长"),3))*(VLOOKUP($B$5,标准坦克设计!$B$14:$K$20,9)/30))</f>
        <v>16.928707598849837</v>
      </c>
      <c r="CX140" s="172">
        <f ca="1">(VLOOKUP(CX$72,INDIRECT($C$5&amp;"生成成长"),2))/((VLOOKUP($B140,INDIRECT($B$5&amp;"生成成长"),4))/(VLOOKUP(CX$72,INDIRECT($C$5&amp;"生成成长"),5))*(VLOOKUP($B$5,标准坦克设计!$B$24:$U$30,MATCH("对"&amp;LEFT($C$5,2)&amp;"输出",标准坦克设计!$B$23:$U$23,0)))*(VLOOKUP($B140,INDIRECT($B$5&amp;"生成成长"),3))*(VLOOKUP($B$5,标准坦克设计!$B$14:$K$20,9)/30))</f>
        <v>18.072574689824595</v>
      </c>
      <c r="CY140" s="172">
        <f ca="1">(VLOOKUP(CY$72,INDIRECT($C$5&amp;"生成成长"),2))/((VLOOKUP($B140,INDIRECT($B$5&amp;"生成成长"),4))/(VLOOKUP(CY$72,INDIRECT($C$5&amp;"生成成长"),5))*(VLOOKUP($B$5,标准坦克设计!$B$24:$U$30,MATCH("对"&amp;LEFT($C$5,2)&amp;"输出",标准坦克设计!$B$23:$U$23,0)))*(VLOOKUP($B140,INDIRECT($B$5&amp;"生成成长"),3))*(VLOOKUP($B$5,标准坦克设计!$B$14:$K$20,9)/30))</f>
        <v>19.253834167131362</v>
      </c>
      <c r="CZ140" s="172">
        <f ca="1">(VLOOKUP(CZ$72,INDIRECT($C$5&amp;"生成成长"),2))/((VLOOKUP($B140,INDIRECT($B$5&amp;"生成成长"),4))/(VLOOKUP(CZ$72,INDIRECT($C$5&amp;"生成成长"),5))*(VLOOKUP($B$5,标准坦克设计!$B$24:$U$30,MATCH("对"&amp;LEFT($C$5,2)&amp;"输出",标准坦克设计!$B$23:$U$23,0)))*(VLOOKUP($B140,INDIRECT($B$5&amp;"生成成长"),3))*(VLOOKUP($B$5,标准坦克设计!$B$14:$K$20,9)/30))</f>
        <v>20.472486030770146</v>
      </c>
      <c r="DA140" s="172">
        <f ca="1">(VLOOKUP(DA$72,INDIRECT($C$5&amp;"生成成长"),2))/((VLOOKUP($B140,INDIRECT($B$5&amp;"生成成长"),4))/(VLOOKUP(DA$72,INDIRECT($C$5&amp;"生成成长"),5))*(VLOOKUP($B$5,标准坦克设计!$B$24:$U$30,MATCH("对"&amp;LEFT($C$5,2)&amp;"输出",标准坦克设计!$B$23:$U$23,0)))*(VLOOKUP($B140,INDIRECT($B$5&amp;"生成成长"),3))*(VLOOKUP($B$5,标准坦克设计!$B$14:$K$20,9)/30))</f>
        <v>21.728530280740937</v>
      </c>
      <c r="DB140" s="172">
        <f ca="1">(VLOOKUP(DB$72,INDIRECT($C$5&amp;"生成成长"),2))/((VLOOKUP($B140,INDIRECT($B$5&amp;"生成成长"),4))/(VLOOKUP(DB$72,INDIRECT($C$5&amp;"生成成长"),5))*(VLOOKUP($B$5,标准坦克设计!$B$24:$U$30,MATCH("对"&amp;LEFT($C$5,2)&amp;"输出",标准坦克设计!$B$23:$U$23,0)))*(VLOOKUP($B140,INDIRECT($B$5&amp;"生成成长"),3))*(VLOOKUP($B$5,标准坦克设计!$B$14:$K$20,9)/30))</f>
        <v>23.021966917043752</v>
      </c>
      <c r="DC140" s="172">
        <f ca="1">(VLOOKUP(DC$72,INDIRECT($C$5&amp;"生成成长"),2))/((VLOOKUP($B140,INDIRECT($B$5&amp;"生成成长"),4))/(VLOOKUP(DC$72,INDIRECT($C$5&amp;"生成成长"),5))*(VLOOKUP($B$5,标准坦克设计!$B$24:$U$30,MATCH("对"&amp;LEFT($C$5,2)&amp;"输出",标准坦克设计!$B$23:$U$23,0)))*(VLOOKUP($B140,INDIRECT($B$5&amp;"生成成长"),3))*(VLOOKUP($B$5,标准坦克设计!$B$14:$K$20,9)/30))</f>
        <v>24.47563456419903</v>
      </c>
      <c r="DD140" s="172">
        <f ca="1">(VLOOKUP(DD$72,INDIRECT($C$5&amp;"生成成长"),2))/((VLOOKUP($B140,INDIRECT($B$5&amp;"生成成长"),4))/(VLOOKUP(DD$72,INDIRECT($C$5&amp;"生成成长"),5))*(VLOOKUP($B$5,标准坦克设计!$B$24:$U$30,MATCH("对"&amp;LEFT($C$5,2)&amp;"输出",标准坦克设计!$B$23:$U$23,0)))*(VLOOKUP($B140,INDIRECT($B$5&amp;"生成成长"),3))*(VLOOKUP($B$5,标准坦克设计!$B$14:$K$20,9)/30))</f>
        <v>25.97380224136926</v>
      </c>
      <c r="DE140" s="172">
        <f ca="1">(VLOOKUP(DE$72,INDIRECT($C$5&amp;"生成成长"),2))/((VLOOKUP($B140,INDIRECT($B$5&amp;"生成成长"),4))/(VLOOKUP(DE$72,INDIRECT($C$5&amp;"生成成长"),5))*(VLOOKUP($B$5,标准坦克设计!$B$24:$U$30,MATCH("对"&amp;LEFT($C$5,2)&amp;"输出",标准坦克设计!$B$23:$U$23,0)))*(VLOOKUP($B140,INDIRECT($B$5&amp;"生成成长"),3))*(VLOOKUP($B$5,标准坦克设计!$B$14:$K$20,9)/30))</f>
        <v>27.516469948554455</v>
      </c>
      <c r="DF140" s="172">
        <f ca="1">(VLOOKUP(DF$72,INDIRECT($C$5&amp;"生成成长"),2))/((VLOOKUP($B140,INDIRECT($B$5&amp;"生成成长"),4))/(VLOOKUP(DF$72,INDIRECT($C$5&amp;"生成成长"),5))*(VLOOKUP($B$5,标准坦克设计!$B$24:$U$30,MATCH("对"&amp;LEFT($C$5,2)&amp;"输出",标准坦克设计!$B$23:$U$23,0)))*(VLOOKUP($B140,INDIRECT($B$5&amp;"生成成长"),3))*(VLOOKUP($B$5,标准坦克设计!$B$14:$K$20,9)/30))</f>
        <v>29.103637685754599</v>
      </c>
      <c r="DG140" s="172">
        <f ca="1">(VLOOKUP(DG$72,INDIRECT($C$5&amp;"生成成长"),2))/((VLOOKUP($B140,INDIRECT($B$5&amp;"生成成长"),4))/(VLOOKUP(DG$72,INDIRECT($C$5&amp;"生成成长"),5))*(VLOOKUP($B$5,标准坦克设计!$B$24:$U$30,MATCH("对"&amp;LEFT($C$5,2)&amp;"输出",标准坦克设计!$B$23:$U$23,0)))*(VLOOKUP($B140,INDIRECT($B$5&amp;"生成成长"),3))*(VLOOKUP($B$5,标准坦克设计!$B$14:$K$20,9)/30))</f>
        <v>30.735305452969708</v>
      </c>
      <c r="DH140" s="172">
        <f ca="1">(VLOOKUP(DH$72,INDIRECT($C$5&amp;"生成成长"),2))/((VLOOKUP($B140,INDIRECT($B$5&amp;"生成成长"),4))/(VLOOKUP(DH$72,INDIRECT($C$5&amp;"生成成长"),5))*(VLOOKUP($B$5,标准坦克设计!$B$24:$U$30,MATCH("对"&amp;LEFT($C$5,2)&amp;"输出",标准坦克设计!$B$23:$U$23,0)))*(VLOOKUP($B140,INDIRECT($B$5&amp;"生成成长"),3))*(VLOOKUP($B$5,标准坦克设计!$B$14:$K$20,9)/30))</f>
        <v>32.411473250199769</v>
      </c>
      <c r="DI140" s="172">
        <f ca="1">(VLOOKUP(DI$72,INDIRECT($C$5&amp;"生成成长"),2))/((VLOOKUP($B140,INDIRECT($B$5&amp;"生成成长"),4))/(VLOOKUP(DI$72,INDIRECT($C$5&amp;"生成成长"),5))*(VLOOKUP($B$5,标准坦克设计!$B$24:$U$30,MATCH("对"&amp;LEFT($C$5,2)&amp;"输出",标准坦克设计!$B$23:$U$23,0)))*(VLOOKUP($B140,INDIRECT($B$5&amp;"生成成长"),3))*(VLOOKUP($B$5,标准坦克设计!$B$14:$K$20,9)/30))</f>
        <v>34.132141077444786</v>
      </c>
      <c r="DJ140" s="172">
        <f ca="1">(VLOOKUP(DJ$72,INDIRECT($C$5&amp;"生成成长"),2))/((VLOOKUP($B140,INDIRECT($B$5&amp;"生成成长"),4))/(VLOOKUP(DJ$72,INDIRECT($C$5&amp;"生成成长"),5))*(VLOOKUP($B$5,标准坦克设计!$B$24:$U$30,MATCH("对"&amp;LEFT($C$5,2)&amp;"输出",标准坦克设计!$B$23:$U$23,0)))*(VLOOKUP($B140,INDIRECT($B$5&amp;"生成成长"),3))*(VLOOKUP($B$5,标准坦克设计!$B$14:$K$20,9)/30))</f>
        <v>3.4303651609794104</v>
      </c>
      <c r="DK140" s="172">
        <f ca="1">(VLOOKUP(DK$72,INDIRECT($C$5&amp;"生成成长"),2))/((VLOOKUP($B140,INDIRECT($B$5&amp;"生成成长"),4))/(VLOOKUP(DK$72,INDIRECT($C$5&amp;"生成成长"),5))*(VLOOKUP($B$5,标准坦克设计!$B$24:$U$30,MATCH("对"&amp;LEFT($C$5,2)&amp;"输出",标准坦克设计!$B$23:$U$23,0)))*(VLOOKUP($B140,INDIRECT($B$5&amp;"生成成长"),3))*(VLOOKUP($B$5,标准坦克设计!$B$14:$K$20,9)/30))</f>
        <v>3.8572873239354091</v>
      </c>
      <c r="DL140" s="172">
        <f ca="1">(VLOOKUP(DL$72,INDIRECT($C$5&amp;"生成成长"),2))/((VLOOKUP($B140,INDIRECT($B$5&amp;"生成成长"),4))/(VLOOKUP(DL$72,INDIRECT($C$5&amp;"生成成长"),5))*(VLOOKUP($B$5,标准坦克设计!$B$24:$U$30,MATCH("对"&amp;LEFT($C$5,2)&amp;"输出",标准坦克设计!$B$23:$U$23,0)))*(VLOOKUP($B140,INDIRECT($B$5&amp;"生成成长"),3))*(VLOOKUP($B$5,标准坦克设计!$B$14:$K$20,9)/30))</f>
        <v>4.3092407537748203</v>
      </c>
      <c r="DM140" s="172">
        <f ca="1">(VLOOKUP(DM$72,INDIRECT($C$5&amp;"生成成长"),2))/((VLOOKUP($B140,INDIRECT($B$5&amp;"生成成长"),4))/(VLOOKUP(DM$72,INDIRECT($C$5&amp;"生成成长"),5))*(VLOOKUP($B$5,标准坦克设计!$B$24:$U$30,MATCH("对"&amp;LEFT($C$5,2)&amp;"输出",标准坦克设计!$B$23:$U$23,0)))*(VLOOKUP($B140,INDIRECT($B$5&amp;"生成成长"),3))*(VLOOKUP($B$5,标准坦克设计!$B$14:$K$20,9)/30))</f>
        <v>4.7862254504976454</v>
      </c>
      <c r="DN140" s="172">
        <f ca="1">(VLOOKUP(DN$72,INDIRECT($C$5&amp;"生成成长"),2))/((VLOOKUP($B140,INDIRECT($B$5&amp;"生成成长"),4))/(VLOOKUP(DN$72,INDIRECT($C$5&amp;"生成成长"),5))*(VLOOKUP($B$5,标准坦克设计!$B$24:$U$30,MATCH("对"&amp;LEFT($C$5,2)&amp;"输出",标准坦克设计!$B$23:$U$23,0)))*(VLOOKUP($B140,INDIRECT($B$5&amp;"生成成长"),3))*(VLOOKUP($B$5,标准坦克设计!$B$14:$K$20,9)/30))</f>
        <v>5.2882414141038829</v>
      </c>
      <c r="DO140" s="172">
        <f ca="1">(VLOOKUP(DO$72,INDIRECT($C$5&amp;"生成成长"),2))/((VLOOKUP($B140,INDIRECT($B$5&amp;"生成成长"),4))/(VLOOKUP(DO$72,INDIRECT($C$5&amp;"生成成长"),5))*(VLOOKUP($B$5,标准坦克设计!$B$24:$U$30,MATCH("对"&amp;LEFT($C$5,2)&amp;"输出",标准坦克设计!$B$23:$U$23,0)))*(VLOOKUP($B140,INDIRECT($B$5&amp;"生成成长"),3))*(VLOOKUP($B$5,标准坦克设计!$B$14:$K$20,9)/30))</f>
        <v>5.8152886445935348</v>
      </c>
      <c r="DP140" s="172">
        <f ca="1">(VLOOKUP(DP$72,INDIRECT($C$5&amp;"生成成长"),2))/((VLOOKUP($B140,INDIRECT($B$5&amp;"生成成长"),4))/(VLOOKUP(DP$72,INDIRECT($C$5&amp;"生成成长"),5))*(VLOOKUP($B$5,标准坦克设计!$B$24:$U$30,MATCH("对"&amp;LEFT($C$5,2)&amp;"输出",标准坦克设计!$B$23:$U$23,0)))*(VLOOKUP($B140,INDIRECT($B$5&amp;"生成成长"),3))*(VLOOKUP($B$5,标准坦克设计!$B$14:$K$20,9)/30))</f>
        <v>6.3673671419666027</v>
      </c>
      <c r="DQ140" s="172">
        <f ca="1">(VLOOKUP(DQ$72,INDIRECT($C$5&amp;"生成成长"),2))/((VLOOKUP($B140,INDIRECT($B$5&amp;"生成成长"),4))/(VLOOKUP(DQ$72,INDIRECT($C$5&amp;"生成成长"),5))*(VLOOKUP($B$5,标准坦克设计!$B$24:$U$30,MATCH("对"&amp;LEFT($C$5,2)&amp;"输出",标准坦克设计!$B$23:$U$23,0)))*(VLOOKUP($B140,INDIRECT($B$5&amp;"生成成长"),3))*(VLOOKUP($B$5,标准坦克设计!$B$14:$K$20,9)/30))</f>
        <v>6.9444769062230822</v>
      </c>
      <c r="DR140" s="172">
        <f ca="1">(VLOOKUP(DR$72,INDIRECT($C$5&amp;"生成成长"),2))/((VLOOKUP($B140,INDIRECT($B$5&amp;"生成成长"),4))/(VLOOKUP(DR$72,INDIRECT($C$5&amp;"生成成长"),5))*(VLOOKUP($B$5,标准坦克设计!$B$24:$U$30,MATCH("对"&amp;LEFT($C$5,2)&amp;"输出",标准坦克设计!$B$23:$U$23,0)))*(VLOOKUP($B140,INDIRECT($B$5&amp;"生成成长"),3))*(VLOOKUP($B$5,标准坦克设计!$B$14:$K$20,9)/30))</f>
        <v>7.5466179373629751</v>
      </c>
      <c r="DS140" s="172">
        <f ca="1">(VLOOKUP(DS$72,INDIRECT($C$5&amp;"生成成长"),2))/((VLOOKUP($B140,INDIRECT($B$5&amp;"生成成长"),4))/(VLOOKUP(DS$72,INDIRECT($C$5&amp;"生成成长"),5))*(VLOOKUP($B$5,标准坦克设计!$B$24:$U$30,MATCH("对"&amp;LEFT($C$5,2)&amp;"输出",标准坦克设计!$B$23:$U$23,0)))*(VLOOKUP($B140,INDIRECT($B$5&amp;"生成成长"),3))*(VLOOKUP($B$5,标准坦克设计!$B$14:$K$20,9)/30))</f>
        <v>8.1737902353862815</v>
      </c>
      <c r="DT140" s="172">
        <f ca="1">(VLOOKUP(DT$72,INDIRECT($C$5&amp;"生成成长"),2))/((VLOOKUP($B140,INDIRECT($B$5&amp;"生成成长"),4))/(VLOOKUP(DT$72,INDIRECT($C$5&amp;"生成成长"),5))*(VLOOKUP($B$5,标准坦克设计!$B$24:$U$30,MATCH("对"&amp;LEFT($C$5,2)&amp;"输出",标准坦克设计!$B$23:$U$23,0)))*(VLOOKUP($B140,INDIRECT($B$5&amp;"生成成长"),3))*(VLOOKUP($B$5,标准坦克设计!$B$14:$K$20,9)/30))</f>
        <v>8.9743272336761937</v>
      </c>
      <c r="DU140" s="172">
        <f ca="1">(VLOOKUP(DU$72,INDIRECT($C$5&amp;"生成成长"),2))/((VLOOKUP($B140,INDIRECT($B$5&amp;"生成成长"),4))/(VLOOKUP(DU$72,INDIRECT($C$5&amp;"生成成长"),5))*(VLOOKUP($B$5,标准坦克设计!$B$24:$U$30,MATCH("对"&amp;LEFT($C$5,2)&amp;"输出",标准坦克设计!$B$23:$U$23,0)))*(VLOOKUP($B140,INDIRECT($B$5&amp;"生成成长"),3))*(VLOOKUP($B$5,标准坦克设计!$B$14:$K$20,9)/30))</f>
        <v>9.8122566182981164</v>
      </c>
      <c r="DV140" s="172">
        <f ca="1">(VLOOKUP(DV$72,INDIRECT($C$5&amp;"生成成长"),2))/((VLOOKUP($B140,INDIRECT($B$5&amp;"生成成长"),4))/(VLOOKUP(DV$72,INDIRECT($C$5&amp;"生成成长"),5))*(VLOOKUP($B$5,标准坦克设计!$B$24:$U$30,MATCH("对"&amp;LEFT($C$5,2)&amp;"输出",标准坦克设计!$B$23:$U$23,0)))*(VLOOKUP($B140,INDIRECT($B$5&amp;"生成成长"),3))*(VLOOKUP($B$5,标准坦克设计!$B$14:$K$20,9)/30))</f>
        <v>10.687578389252053</v>
      </c>
      <c r="DW140" s="172">
        <f ca="1">(VLOOKUP(DW$72,INDIRECT($C$5&amp;"生成成长"),2))/((VLOOKUP($B140,INDIRECT($B$5&amp;"生成成长"),4))/(VLOOKUP(DW$72,INDIRECT($C$5&amp;"生成成长"),5))*(VLOOKUP($B$5,标准坦克设计!$B$24:$U$30,MATCH("对"&amp;LEFT($C$5,2)&amp;"输出",标准坦克设计!$B$23:$U$23,0)))*(VLOOKUP($B140,INDIRECT($B$5&amp;"生成成长"),3))*(VLOOKUP($B$5,标准坦克设计!$B$14:$K$20,9)/30))</f>
        <v>11.600292546538006</v>
      </c>
      <c r="DX140" s="172">
        <f ca="1">(VLOOKUP(DX$72,INDIRECT($C$5&amp;"生成成长"),2))/((VLOOKUP($B140,INDIRECT($B$5&amp;"生成成长"),4))/(VLOOKUP(DX$72,INDIRECT($C$5&amp;"生成成长"),5))*(VLOOKUP($B$5,标准坦克设计!$B$24:$U$30,MATCH("对"&amp;LEFT($C$5,2)&amp;"输出",标准坦克设计!$B$23:$U$23,0)))*(VLOOKUP($B140,INDIRECT($B$5&amp;"生成成长"),3))*(VLOOKUP($B$5,标准坦克设计!$B$14:$K$20,9)/30))</f>
        <v>12.550399090155967</v>
      </c>
      <c r="DY140" s="172">
        <f ca="1">(VLOOKUP(DY$72,INDIRECT($C$5&amp;"生成成长"),2))/((VLOOKUP($B140,INDIRECT($B$5&amp;"生成成长"),4))/(VLOOKUP(DY$72,INDIRECT($C$5&amp;"生成成长"),5))*(VLOOKUP($B$5,标准坦克设计!$B$24:$U$30,MATCH("对"&amp;LEFT($C$5,2)&amp;"输出",标准坦克设计!$B$23:$U$23,0)))*(VLOOKUP($B140,INDIRECT($B$5&amp;"生成成长"),3))*(VLOOKUP($B$5,标准坦克设计!$B$14:$K$20,9)/30))</f>
        <v>5.6368249825543835</v>
      </c>
      <c r="DZ140" s="172">
        <f ca="1">(VLOOKUP(DZ$72,INDIRECT($C$5&amp;"生成成长"),2))/((VLOOKUP($B140,INDIRECT($B$5&amp;"生成成长"),4))/(VLOOKUP(DZ$72,INDIRECT($C$5&amp;"生成成长"),5))*(VLOOKUP($B$5,标准坦克设计!$B$24:$U$30,MATCH("对"&amp;LEFT($C$5,2)&amp;"输出",标准坦克设计!$B$23:$U$23,0)))*(VLOOKUP($B140,INDIRECT($B$5&amp;"生成成长"),3))*(VLOOKUP($B$5,标准坦克设计!$B$14:$K$20,9)/30))</f>
        <v>6.2425198355357487</v>
      </c>
      <c r="EA140" s="172">
        <f ca="1">(VLOOKUP(EA$72,INDIRECT($C$5&amp;"生成成长"),2))/((VLOOKUP($B140,INDIRECT($B$5&amp;"生成成长"),4))/(VLOOKUP(EA$72,INDIRECT($C$5&amp;"生成成长"),5))*(VLOOKUP($B$5,标准坦克设计!$B$24:$U$30,MATCH("对"&amp;LEFT($C$5,2)&amp;"输出",标准坦克设计!$B$23:$U$23,0)))*(VLOOKUP($B140,INDIRECT($B$5&amp;"生成成长"),3))*(VLOOKUP($B$5,标准坦克设计!$B$14:$K$20,9)/30))</f>
        <v>6.8791174871386138</v>
      </c>
      <c r="EB140" s="172">
        <f ca="1">(VLOOKUP(EB$72,INDIRECT($C$5&amp;"生成成长"),2))/((VLOOKUP($B140,INDIRECT($B$5&amp;"生成成长"),4))/(VLOOKUP(EB$72,INDIRECT($C$5&amp;"生成成长"),5))*(VLOOKUP($B$5,标准坦克设计!$B$24:$U$30,MATCH("对"&amp;LEFT($C$5,2)&amp;"输出",标准坦克设计!$B$23:$U$23,0)))*(VLOOKUP($B140,INDIRECT($B$5&amp;"生成成长"),3))*(VLOOKUP($B$5,标准坦克设计!$B$14:$K$20,9)/30))</f>
        <v>7.5466179373629751</v>
      </c>
      <c r="EC140" s="172">
        <f ca="1">(VLOOKUP(EC$72,INDIRECT($C$5&amp;"生成成长"),2))/((VLOOKUP($B140,INDIRECT($B$5&amp;"生成成长"),4))/(VLOOKUP(EC$72,INDIRECT($C$5&amp;"生成成长"),5))*(VLOOKUP($B$5,标准坦克设计!$B$24:$U$30,MATCH("对"&amp;LEFT($C$5,2)&amp;"输出",标准坦克设计!$B$23:$U$23,0)))*(VLOOKUP($B140,INDIRECT($B$5&amp;"生成成长"),3))*(VLOOKUP($B$5,标准坦克设计!$B$14:$K$20,9)/30))</f>
        <v>8.2450211862088345</v>
      </c>
      <c r="ED140" s="172">
        <f ca="1">(VLOOKUP(ED$72,INDIRECT($C$5&amp;"生成成长"),2))/((VLOOKUP($B140,INDIRECT($B$5&amp;"生成成长"),4))/(VLOOKUP(ED$72,INDIRECT($C$5&amp;"生成成长"),5))*(VLOOKUP($B$5,标准坦克设计!$B$24:$U$30,MATCH("对"&amp;LEFT($C$5,2)&amp;"输出",标准坦克设计!$B$23:$U$23,0)))*(VLOOKUP($B140,INDIRECT($B$5&amp;"生成成长"),3))*(VLOOKUP($B$5,标准坦克设计!$B$14:$K$20,9)/30))</f>
        <v>8.9743272336761937</v>
      </c>
      <c r="EE140" s="172">
        <f ca="1">(VLOOKUP(EE$72,INDIRECT($C$5&amp;"生成成长"),2))/((VLOOKUP($B140,INDIRECT($B$5&amp;"生成成长"),4))/(VLOOKUP(EE$72,INDIRECT($C$5&amp;"生成成长"),5))*(VLOOKUP($B$5,标准坦克设计!$B$24:$U$30,MATCH("对"&amp;LEFT($C$5,2)&amp;"输出",标准坦克设计!$B$23:$U$23,0)))*(VLOOKUP($B140,INDIRECT($B$5&amp;"生成成长"),3))*(VLOOKUP($B$5,标准坦克设计!$B$14:$K$20,9)/30))</f>
        <v>9.7345360797650482</v>
      </c>
      <c r="EF140" s="172">
        <f ca="1">(VLOOKUP(EF$72,INDIRECT($C$5&amp;"生成成长"),2))/((VLOOKUP($B140,INDIRECT($B$5&amp;"生成成长"),4))/(VLOOKUP(EF$72,INDIRECT($C$5&amp;"生成成长"),5))*(VLOOKUP($B$5,标准坦克设计!$B$24:$U$30,MATCH("对"&amp;LEFT($C$5,2)&amp;"输出",标准坦克设计!$B$23:$U$23,0)))*(VLOOKUP($B140,INDIRECT($B$5&amp;"生成成长"),3))*(VLOOKUP($B$5,标准坦克设计!$B$14:$K$20,9)/30))</f>
        <v>10.525647724475405</v>
      </c>
      <c r="EG140" s="172">
        <f ca="1">(VLOOKUP(EG$72,INDIRECT($C$5&amp;"生成成长"),2))/((VLOOKUP($B140,INDIRECT($B$5&amp;"生成成长"),4))/(VLOOKUP(EG$72,INDIRECT($C$5&amp;"生成成长"),5))*(VLOOKUP($B$5,标准坦克设计!$B$24:$U$30,MATCH("对"&amp;LEFT($C$5,2)&amp;"输出",标准坦克设计!$B$23:$U$23,0)))*(VLOOKUP($B140,INDIRECT($B$5&amp;"生成成长"),3))*(VLOOKUP($B$5,标准坦克设计!$B$14:$K$20,9)/30))</f>
        <v>11.347662167807254</v>
      </c>
      <c r="EH140" s="172">
        <f ca="1">(VLOOKUP(EH$72,INDIRECT($C$5&amp;"生成成长"),2))/((VLOOKUP($B140,INDIRECT($B$5&amp;"生成成长"),4))/(VLOOKUP(EH$72,INDIRECT($C$5&amp;"生成成长"),5))*(VLOOKUP($B$5,标准坦克设计!$B$24:$U$30,MATCH("对"&amp;LEFT($C$5,2)&amp;"输出",标准坦克设计!$B$23:$U$23,0)))*(VLOOKUP($B140,INDIRECT($B$5&amp;"生成成长"),3))*(VLOOKUP($B$5,标准坦克设计!$B$14:$K$20,9)/30))</f>
        <v>12.200579409760607</v>
      </c>
      <c r="EI140" s="172">
        <f ca="1">(VLOOKUP(EI$72,INDIRECT($C$5&amp;"生成成长"),2))/((VLOOKUP($B140,INDIRECT($B$5&amp;"生成成长"),4))/(VLOOKUP(EI$72,INDIRECT($C$5&amp;"生成成长"),5))*(VLOOKUP($B$5,标准坦克设计!$B$24:$U$30,MATCH("对"&amp;LEFT($C$5,2)&amp;"输出",标准坦克设计!$B$23:$U$23,0)))*(VLOOKUP($B140,INDIRECT($B$5&amp;"生成成长"),3))*(VLOOKUP($B$5,标准坦克设计!$B$14:$K$20,9)/30))</f>
        <v>13.084399450335455</v>
      </c>
      <c r="EJ140" s="172">
        <f ca="1">(VLOOKUP(EJ$72,INDIRECT($C$5&amp;"生成成长"),2))/((VLOOKUP($B140,INDIRECT($B$5&amp;"生成成长"),4))/(VLOOKUP(EJ$72,INDIRECT($C$5&amp;"生成成长"),5))*(VLOOKUP($B$5,标准坦克设计!$B$24:$U$30,MATCH("对"&amp;LEFT($C$5,2)&amp;"输出",标准坦克设计!$B$23:$U$23,0)))*(VLOOKUP($B140,INDIRECT($B$5&amp;"生成成长"),3))*(VLOOKUP($B$5,标准坦克设计!$B$14:$K$20,9)/30))</f>
        <v>13.999122289531801</v>
      </c>
      <c r="EK140" s="172">
        <f ca="1">(VLOOKUP(EK$72,INDIRECT($C$5&amp;"生成成长"),2))/((VLOOKUP($B140,INDIRECT($B$5&amp;"生成成长"),4))/(VLOOKUP(EK$72,INDIRECT($C$5&amp;"生成成长"),5))*(VLOOKUP($B$5,标准坦克设计!$B$24:$U$30,MATCH("对"&amp;LEFT($C$5,2)&amp;"输出",标准坦克设计!$B$23:$U$23,0)))*(VLOOKUP($B140,INDIRECT($B$5&amp;"生成成长"),3))*(VLOOKUP($B$5,标准坦克设计!$B$14:$K$20,9)/30))</f>
        <v>15.137581390747799</v>
      </c>
      <c r="EL140" s="172">
        <f ca="1">(VLOOKUP(EL$72,INDIRECT($C$5&amp;"生成成长"),2))/((VLOOKUP($B140,INDIRECT($B$5&amp;"生成成长"),4))/(VLOOKUP(EL$72,INDIRECT($C$5&amp;"生成成长"),5))*(VLOOKUP($B$5,标准坦克设计!$B$24:$U$30,MATCH("对"&amp;LEFT($C$5,2)&amp;"输出",标准坦克设计!$B$23:$U$23,0)))*(VLOOKUP($B140,INDIRECT($B$5&amp;"生成成长"),3))*(VLOOKUP($B$5,标准坦克设计!$B$14:$K$20,9)/30))</f>
        <v>16.320540521978749</v>
      </c>
      <c r="EM140" s="172">
        <f ca="1">(VLOOKUP(EM$72,INDIRECT($C$5&amp;"生成成长"),2))/((VLOOKUP($B140,INDIRECT($B$5&amp;"生成成长"),4))/(VLOOKUP(EM$72,INDIRECT($C$5&amp;"生成成长"),5))*(VLOOKUP($B$5,标准坦克设计!$B$24:$U$30,MATCH("对"&amp;LEFT($C$5,2)&amp;"输出",标准坦克设计!$B$23:$U$23,0)))*(VLOOKUP($B140,INDIRECT($B$5&amp;"生成成长"),3))*(VLOOKUP($B$5,标准坦克设计!$B$14:$K$20,9)/30))</f>
        <v>17.547999683224663</v>
      </c>
      <c r="EN140" s="172">
        <f ca="1">(VLOOKUP(EN$72,INDIRECT($C$5&amp;"生成成长"),2))/((VLOOKUP($B140,INDIRECT($B$5&amp;"生成成长"),4))/(VLOOKUP(EN$72,INDIRECT($C$5&amp;"生成成长"),5))*(VLOOKUP($B$5,标准坦克设计!$B$24:$U$30,MATCH("对"&amp;LEFT($C$5,2)&amp;"输出",标准坦克设计!$B$23:$U$23,0)))*(VLOOKUP($B140,INDIRECT($B$5&amp;"生成成长"),3))*(VLOOKUP($B$5,标准坦克设计!$B$14:$K$20,9)/30))</f>
        <v>18.819958874485526</v>
      </c>
      <c r="EO140" s="172">
        <f ca="1">(VLOOKUP(EO$72,INDIRECT($C$5&amp;"生成成长"),2))/((VLOOKUP($B140,INDIRECT($B$5&amp;"生成成长"),4))/(VLOOKUP(EO$72,INDIRECT($C$5&amp;"生成成长"),5))*(VLOOKUP($B$5,标准坦克设计!$B$24:$U$30,MATCH("对"&amp;LEFT($C$5,2)&amp;"输出",标准坦克设计!$B$23:$U$23,0)))*(VLOOKUP($B140,INDIRECT($B$5&amp;"生成成长"),3))*(VLOOKUP($B$5,标准坦克设计!$B$14:$K$20,9)/30))</f>
        <v>20.136418095761353</v>
      </c>
      <c r="EP140" s="172">
        <f ca="1">(VLOOKUP(EP$72,INDIRECT($C$5&amp;"生成成长"),2))/((VLOOKUP($B140,INDIRECT($B$5&amp;"生成成长"),4))/(VLOOKUP(EP$72,INDIRECT($C$5&amp;"生成成长"),5))*(VLOOKUP($B$5,标准坦克设计!$B$24:$U$30,MATCH("对"&amp;LEFT($C$5,2)&amp;"输出",标准坦克设计!$B$23:$U$23,0)))*(VLOOKUP($B140,INDIRECT($B$5&amp;"生成成长"),3))*(VLOOKUP($B$5,标准坦克设计!$B$14:$K$20,9)/30))</f>
        <v>21.497377347052137</v>
      </c>
      <c r="EQ140" s="172">
        <f ca="1">(VLOOKUP(EQ$72,INDIRECT($C$5&amp;"生成成长"),2))/((VLOOKUP($B140,INDIRECT($B$5&amp;"生成成长"),4))/(VLOOKUP(EQ$72,INDIRECT($C$5&amp;"生成成长"),5))*(VLOOKUP($B$5,标准坦克设计!$B$24:$U$30,MATCH("对"&amp;LEFT($C$5,2)&amp;"输出",标准坦克设计!$B$23:$U$23,0)))*(VLOOKUP($B140,INDIRECT($B$5&amp;"生成成长"),3))*(VLOOKUP($B$5,标准坦克设计!$B$14:$K$20,9)/30))</f>
        <v>9.5032286320831361</v>
      </c>
      <c r="ER140" s="172">
        <f ca="1">(VLOOKUP(ER$72,INDIRECT($C$5&amp;"生成成长"),2))/((VLOOKUP($B140,INDIRECT($B$5&amp;"生成成长"),4))/(VLOOKUP(ER$72,INDIRECT($C$5&amp;"生成成长"),5))*(VLOOKUP($B$5,标准坦克设计!$B$24:$U$30,MATCH("对"&amp;LEFT($C$5,2)&amp;"输出",标准坦克设计!$B$23:$U$23,0)))*(VLOOKUP($B140,INDIRECT($B$5&amp;"生成成长"),3))*(VLOOKUP($B$5,标准坦克设计!$B$14:$K$20,9)/30))</f>
        <v>10.364953171643615</v>
      </c>
      <c r="ES140" s="172">
        <f ca="1">(VLOOKUP(ES$72,INDIRECT($C$5&amp;"生成成长"),2))/((VLOOKUP($B140,INDIRECT($B$5&amp;"生成成长"),4))/(VLOOKUP(ES$72,INDIRECT($C$5&amp;"生成成长"),5))*(VLOOKUP($B$5,标准坦克设计!$B$24:$U$30,MATCH("对"&amp;LEFT($C$5,2)&amp;"输出",标准坦克设计!$B$23:$U$23,0)))*(VLOOKUP($B140,INDIRECT($B$5&amp;"生成成长"),3))*(VLOOKUP($B$5,标准坦克设计!$B$14:$K$20,9)/30))</f>
        <v>11.264070097536104</v>
      </c>
      <c r="ET140" s="172">
        <f ca="1">(VLOOKUP(ET$72,INDIRECT($C$5&amp;"生成成长"),2))/((VLOOKUP($B140,INDIRECT($B$5&amp;"生成成长"),4))/(VLOOKUP(ET$72,INDIRECT($C$5&amp;"生成成长"),5))*(VLOOKUP($B$5,标准坦克设计!$B$24:$U$30,MATCH("对"&amp;LEFT($C$5,2)&amp;"输出",标准坦克设计!$B$23:$U$23,0)))*(VLOOKUP($B140,INDIRECT($B$5&amp;"生成成长"),3))*(VLOOKUP($B$5,标准坦克设计!$B$14:$K$20,9)/30))</f>
        <v>12.200579409760607</v>
      </c>
      <c r="EU140" s="172">
        <f ca="1">(VLOOKUP(EU$72,INDIRECT($C$5&amp;"生成成长"),2))/((VLOOKUP($B140,INDIRECT($B$5&amp;"生成成长"),4))/(VLOOKUP(EU$72,INDIRECT($C$5&amp;"生成成长"),5))*(VLOOKUP($B$5,标准坦克设计!$B$24:$U$30,MATCH("对"&amp;LEFT($C$5,2)&amp;"输出",标准坦克设计!$B$23:$U$23,0)))*(VLOOKUP($B140,INDIRECT($B$5&amp;"生成成长"),3))*(VLOOKUP($B$5,标准坦克设计!$B$14:$K$20,9)/30))</f>
        <v>13.174481108317124</v>
      </c>
      <c r="EV140" s="172">
        <f ca="1">(VLOOKUP(EV$72,INDIRECT($C$5&amp;"生成成长"),2))/((VLOOKUP($B140,INDIRECT($B$5&amp;"生成成长"),4))/(VLOOKUP(EV$72,INDIRECT($C$5&amp;"生成成长"),5))*(VLOOKUP($B$5,标准坦克设计!$B$24:$U$30,MATCH("对"&amp;LEFT($C$5,2)&amp;"输出",标准坦克设计!$B$23:$U$23,0)))*(VLOOKUP($B140,INDIRECT($B$5&amp;"生成成长"),3))*(VLOOKUP($B$5,标准坦克设计!$B$14:$K$20,9)/30))</f>
        <v>14.185775193205654</v>
      </c>
      <c r="EW140" s="172">
        <f ca="1">(VLOOKUP(EW$72,INDIRECT($C$5&amp;"生成成长"),2))/((VLOOKUP($B140,INDIRECT($B$5&amp;"生成成长"),4))/(VLOOKUP(EW$72,INDIRECT($C$5&amp;"生成成长"),5))*(VLOOKUP($B$5,标准坦克设计!$B$24:$U$30,MATCH("对"&amp;LEFT($C$5,2)&amp;"输出",标准坦克设计!$B$23:$U$23,0)))*(VLOOKUP($B140,INDIRECT($B$5&amp;"生成成长"),3))*(VLOOKUP($B$5,标准坦克设计!$B$14:$K$20,9)/30))</f>
        <v>15.234461664426195</v>
      </c>
      <c r="EX140" s="172">
        <f ca="1">(VLOOKUP(EX$72,INDIRECT($C$5&amp;"生成成长"),2))/((VLOOKUP($B140,INDIRECT($B$5&amp;"生成成长"),4))/(VLOOKUP(EX$72,INDIRECT($C$5&amp;"生成成长"),5))*(VLOOKUP($B$5,标准坦克设计!$B$24:$U$30,MATCH("对"&amp;LEFT($C$5,2)&amp;"输出",标准坦克设计!$B$23:$U$23,0)))*(VLOOKUP($B140,INDIRECT($B$5&amp;"生成成长"),3))*(VLOOKUP($B$5,标准坦克设计!$B$14:$K$20,9)/30))</f>
        <v>16.320540521978749</v>
      </c>
      <c r="EY140" s="172">
        <f ca="1">(VLOOKUP(EY$72,INDIRECT($C$5&amp;"生成成长"),2))/((VLOOKUP($B140,INDIRECT($B$5&amp;"生成成长"),4))/(VLOOKUP(EY$72,INDIRECT($C$5&amp;"生成成长"),5))*(VLOOKUP($B$5,标准坦克设计!$B$24:$U$30,MATCH("对"&amp;LEFT($C$5,2)&amp;"输出",标准坦克设计!$B$23:$U$23,0)))*(VLOOKUP($B140,INDIRECT($B$5&amp;"生成成长"),3))*(VLOOKUP($B$5,标准坦克设计!$B$14:$K$20,9)/30))</f>
        <v>17.444011765863323</v>
      </c>
      <c r="EZ140" s="172">
        <f ca="1">(VLOOKUP(EZ$72,INDIRECT($C$5&amp;"生成成长"),2))/((VLOOKUP($B140,INDIRECT($B$5&amp;"生成成长"),4))/(VLOOKUP(EZ$72,INDIRECT($C$5&amp;"生成成长"),5))*(VLOOKUP($B$5,标准坦克设计!$B$24:$U$30,MATCH("对"&amp;LEFT($C$5,2)&amp;"输出",标准坦克设计!$B$23:$U$23,0)))*(VLOOKUP($B140,INDIRECT($B$5&amp;"生成成长"),3))*(VLOOKUP($B$5,标准坦克设计!$B$14:$K$20,9)/30))</f>
        <v>18.604875396079901</v>
      </c>
      <c r="FA140" s="172">
        <f ca="1">(VLOOKUP(FA$72,INDIRECT($C$5&amp;"生成成长"),2))/((VLOOKUP($B140,INDIRECT($B$5&amp;"生成成长"),4))/(VLOOKUP(FA$72,INDIRECT($C$5&amp;"生成成长"),5))*(VLOOKUP($B$5,标准坦克设计!$B$24:$U$30,MATCH("对"&amp;LEFT($C$5,2)&amp;"输出",标准坦克设计!$B$23:$U$23,0)))*(VLOOKUP($B140,INDIRECT($B$5&amp;"生成成长"),3))*(VLOOKUP($B$5,标准坦克设计!$B$14:$K$20,9)/30))</f>
        <v>19.803131412628495</v>
      </c>
      <c r="FB140" s="172">
        <f ca="1">(VLOOKUP(FB$72,INDIRECT($C$5&amp;"生成成长"),2))/((VLOOKUP($B140,INDIRECT($B$5&amp;"生成成长"),4))/(VLOOKUP(FB$72,INDIRECT($C$5&amp;"生成成长"),5))*(VLOOKUP($B$5,标准坦克设计!$B$24:$U$30,MATCH("对"&amp;LEFT($C$5,2)&amp;"输出",标准坦克设计!$B$23:$U$23,0)))*(VLOOKUP($B140,INDIRECT($B$5&amp;"生成成长"),3))*(VLOOKUP($B$5,标准坦克设计!$B$14:$K$20,9)/30))</f>
        <v>21.038779815509098</v>
      </c>
      <c r="FC140" s="172">
        <f ca="1">(VLOOKUP(FC$72,INDIRECT($C$5&amp;"生成成长"),2))/((VLOOKUP($B140,INDIRECT($B$5&amp;"生成成长"),4))/(VLOOKUP(FC$72,INDIRECT($C$5&amp;"生成成长"),5))*(VLOOKUP($B$5,标准坦克设计!$B$24:$U$30,MATCH("对"&amp;LEFT($C$5,2)&amp;"输出",标准坦克设计!$B$23:$U$23,0)))*(VLOOKUP($B140,INDIRECT($B$5&amp;"生成成长"),3))*(VLOOKUP($B$5,标准坦克设计!$B$14:$K$20,9)/30))</f>
        <v>22.311820604721721</v>
      </c>
      <c r="FD140" s="172">
        <f ca="1">(VLOOKUP(FD$72,INDIRECT($C$5&amp;"生成成长"),2))/((VLOOKUP($B140,INDIRECT($B$5&amp;"生成成长"),4))/(VLOOKUP(FD$72,INDIRECT($C$5&amp;"生成成长"),5))*(VLOOKUP($B$5,标准坦克设计!$B$24:$U$30,MATCH("对"&amp;LEFT($C$5,2)&amp;"输出",标准坦克设计!$B$23:$U$23,0)))*(VLOOKUP($B140,INDIRECT($B$5&amp;"生成成长"),3))*(VLOOKUP($B$5,标准坦克设计!$B$14:$K$20,9)/30))</f>
        <v>23.622253780266352</v>
      </c>
      <c r="FE140" s="172">
        <f ca="1">(VLOOKUP(FE$72,INDIRECT($C$5&amp;"生成成长"),2))/((VLOOKUP($B140,INDIRECT($B$5&amp;"生成成长"),4))/(VLOOKUP(FE$72,INDIRECT($C$5&amp;"生成成长"),5))*(VLOOKUP($B$5,标准坦克设计!$B$24:$U$30,MATCH("对"&amp;LEFT($C$5,2)&amp;"输出",标准坦克设计!$B$23:$U$23,0)))*(VLOOKUP($B140,INDIRECT($B$5&amp;"生成成长"),3))*(VLOOKUP($B$5,标准坦克设计!$B$14:$K$20,9)/30))</f>
        <v>25.219155899032277</v>
      </c>
      <c r="FF140" s="172">
        <f ca="1">(VLOOKUP(FF$72,INDIRECT($C$5&amp;"生成成长"),2))/((VLOOKUP($B140,INDIRECT($B$5&amp;"生成成长"),4))/(VLOOKUP(FF$72,INDIRECT($C$5&amp;"生成成长"),5))*(VLOOKUP($B$5,标准坦克设计!$B$24:$U$30,MATCH("对"&amp;LEFT($C$5,2)&amp;"输出",标准坦克设计!$B$23:$U$23,0)))*(VLOOKUP($B140,INDIRECT($B$5&amp;"生成成长"),3))*(VLOOKUP($B$5,标准坦克设计!$B$14:$K$20,9)/30))</f>
        <v>26.868283747468524</v>
      </c>
      <c r="FG140" s="172">
        <f ca="1">(VLOOKUP(FG$72,INDIRECT($C$5&amp;"生成成长"),2))/((VLOOKUP($B140,INDIRECT($B$5&amp;"生成成长"),4))/(VLOOKUP(FG$72,INDIRECT($C$5&amp;"生成成长"),5))*(VLOOKUP($B$5,标准坦克设计!$B$24:$U$30,MATCH("对"&amp;LEFT($C$5,2)&amp;"输出",标准坦克设计!$B$23:$U$23,0)))*(VLOOKUP($B140,INDIRECT($B$5&amp;"生成成长"),3))*(VLOOKUP($B$5,标准坦克设计!$B$14:$K$20,9)/30))</f>
        <v>28.569637325575115</v>
      </c>
      <c r="FH140" s="172">
        <f ca="1">(VLOOKUP(FH$72,INDIRECT($C$5&amp;"生成成长"),2))/((VLOOKUP($B140,INDIRECT($B$5&amp;"生成成长"),4))/(VLOOKUP(FH$72,INDIRECT($C$5&amp;"生成成长"),5))*(VLOOKUP($B$5,标准坦克设计!$B$24:$U$30,MATCH("对"&amp;LEFT($C$5,2)&amp;"输出",标准坦克设计!$B$23:$U$23,0)))*(VLOOKUP($B140,INDIRECT($B$5&amp;"生成成长"),3))*(VLOOKUP($B$5,标准坦克设计!$B$14:$K$20,9)/30))</f>
        <v>30.323216633352029</v>
      </c>
      <c r="FI140" s="172">
        <f ca="1">(VLOOKUP(FI$72,INDIRECT($C$5&amp;"生成成长"),2))/((VLOOKUP($B140,INDIRECT($B$5&amp;"生成成长"),4))/(VLOOKUP(FI$72,INDIRECT($C$5&amp;"生成成长"),5))*(VLOOKUP($B$5,标准坦克设计!$B$24:$U$30,MATCH("对"&amp;LEFT($C$5,2)&amp;"输出",标准坦克设计!$B$23:$U$23,0)))*(VLOOKUP($B140,INDIRECT($B$5&amp;"生成成长"),3))*(VLOOKUP($B$5,标准坦克设计!$B$14:$K$20,9)/30))</f>
        <v>32.129021670799276</v>
      </c>
      <c r="FJ140" s="172">
        <f ca="1">(VLOOKUP(FJ$72,INDIRECT($C$5&amp;"生成成长"),2))/((VLOOKUP($B140,INDIRECT($B$5&amp;"生成成长"),4))/(VLOOKUP(FJ$72,INDIRECT($C$5&amp;"生成成长"),5))*(VLOOKUP($B$5,标准坦克设计!$B$24:$U$30,MATCH("对"&amp;LEFT($C$5,2)&amp;"输出",标准坦克设计!$B$23:$U$23,0)))*(VLOOKUP($B140,INDIRECT($B$5&amp;"生成成长"),3))*(VLOOKUP($B$5,标准坦克设计!$B$14:$K$20,9)/30))</f>
        <v>33.987052437916859</v>
      </c>
      <c r="FK140" s="172">
        <f ca="1">(VLOOKUP(FK$72,INDIRECT($C$5&amp;"生成成长"),2))/((VLOOKUP($B140,INDIRECT($B$5&amp;"生成成长"),4))/(VLOOKUP(FK$72,INDIRECT($C$5&amp;"生成成长"),5))*(VLOOKUP($B$5,标准坦克设计!$B$24:$U$30,MATCH("对"&amp;LEFT($C$5,2)&amp;"输出",标准坦克设计!$B$23:$U$23,0)))*(VLOOKUP($B140,INDIRECT($B$5&amp;"生成成长"),3))*(VLOOKUP($B$5,标准坦克设计!$B$14:$K$20,9)/30))</f>
        <v>35.897308934704775</v>
      </c>
    </row>
    <row r="141" spans="1:167" x14ac:dyDescent="0.15">
      <c r="A141" s="170" t="str">
        <f t="shared" si="12"/>
        <v>T3中品质12级</v>
      </c>
      <c r="B141" s="171">
        <v>20312</v>
      </c>
      <c r="C141" s="172">
        <f ca="1">(VLOOKUP(C$72,INDIRECT($C$5&amp;"生成成长"),2))/((VLOOKUP($B141,INDIRECT($B$5&amp;"生成成长"),4))/(VLOOKUP(C$72,INDIRECT($C$5&amp;"生成成长"),5))*(VLOOKUP($B$5,标准坦克设计!$B$24:$U$30,MATCH("对"&amp;LEFT($C$5,2)&amp;"输出",标准坦克设计!$B$23:$U$23,0)))*(VLOOKUP($B141,INDIRECT($B$5&amp;"生成成长"),3))*(VLOOKUP($B$5,标准坦克设计!$B$14:$K$20,9)/30))</f>
        <v>1.420522017040567</v>
      </c>
      <c r="D141" s="172">
        <f ca="1">(VLOOKUP(D$72,INDIRECT($C$5&amp;"生成成长"),2))/((VLOOKUP($B141,INDIRECT($B$5&amp;"生成成长"),4))/(VLOOKUP(D$72,INDIRECT($C$5&amp;"生成成长"),5))*(VLOOKUP($B$5,标准坦克设计!$B$24:$U$30,MATCH("对"&amp;LEFT($C$5,2)&amp;"输出",标准坦克设计!$B$23:$U$23,0)))*(VLOOKUP($B141,INDIRECT($B$5&amp;"生成成长"),3))*(VLOOKUP($B$5,标准坦克设计!$B$14:$K$20,9)/30))</f>
        <v>1.5960985383467816</v>
      </c>
      <c r="E141" s="172">
        <f ca="1">(VLOOKUP(E$72,INDIRECT($C$5&amp;"生成成长"),2))/((VLOOKUP($B141,INDIRECT($B$5&amp;"生成成长"),4))/(VLOOKUP(E$72,INDIRECT($C$5&amp;"生成成长"),5))*(VLOOKUP($B$5,标准坦克设计!$B$24:$U$30,MATCH("对"&amp;LEFT($C$5,2)&amp;"输出",标准坦克设计!$B$23:$U$23,0)))*(VLOOKUP($B141,INDIRECT($B$5&amp;"生成成长"),3))*(VLOOKUP($B$5,标准坦克设计!$B$14:$K$20,9)/30))</f>
        <v>1.7819028181756875</v>
      </c>
      <c r="F141" s="172">
        <f ca="1">(VLOOKUP(F$72,INDIRECT($C$5&amp;"生成成长"),2))/((VLOOKUP($B141,INDIRECT($B$5&amp;"生成成长"),4))/(VLOOKUP(F$72,INDIRECT($C$5&amp;"生成成长"),5))*(VLOOKUP($B$5,标准坦克设计!$B$24:$U$30,MATCH("对"&amp;LEFT($C$5,2)&amp;"输出",标准坦克设计!$B$23:$U$23,0)))*(VLOOKUP($B141,INDIRECT($B$5&amp;"生成成长"),3))*(VLOOKUP($B$5,标准坦克设计!$B$14:$K$20,9)/30))</f>
        <v>1.9779348565272856</v>
      </c>
      <c r="G141" s="172">
        <f ca="1">(VLOOKUP(G$72,INDIRECT($C$5&amp;"生成成长"),2))/((VLOOKUP($B141,INDIRECT($B$5&amp;"生成成长"),4))/(VLOOKUP(G$72,INDIRECT($C$5&amp;"生成成长"),5))*(VLOOKUP($B$5,标准坦克设计!$B$24:$U$30,MATCH("对"&amp;LEFT($C$5,2)&amp;"输出",标准坦克设计!$B$23:$U$23,0)))*(VLOOKUP($B141,INDIRECT($B$5&amp;"生成成长"),3))*(VLOOKUP($B$5,标准坦克设计!$B$14:$K$20,9)/30))</f>
        <v>2.1841946534015761</v>
      </c>
      <c r="H141" s="172">
        <f ca="1">(VLOOKUP(H$72,INDIRECT($C$5&amp;"生成成长"),2))/((VLOOKUP($B141,INDIRECT($B$5&amp;"生成成长"),4))/(VLOOKUP(H$72,INDIRECT($C$5&amp;"生成成长"),5))*(VLOOKUP($B$5,标准坦克设计!$B$24:$U$30,MATCH("对"&amp;LEFT($C$5,2)&amp;"输出",标准坦克设计!$B$23:$U$23,0)))*(VLOOKUP($B141,INDIRECT($B$5&amp;"生成成长"),3))*(VLOOKUP($B$5,标准坦克设计!$B$14:$K$20,9)/30))</f>
        <v>1.9114544261297872</v>
      </c>
      <c r="I141" s="172">
        <f ca="1">(VLOOKUP(I$72,INDIRECT($C$5&amp;"生成成长"),2))/((VLOOKUP($B141,INDIRECT($B$5&amp;"生成成长"),4))/(VLOOKUP(I$72,INDIRECT($C$5&amp;"生成成长"),5))*(VLOOKUP($B$5,标准坦克设计!$B$24:$U$30,MATCH("对"&amp;LEFT($C$5,2)&amp;"输出",标准坦克设计!$B$23:$U$23,0)))*(VLOOKUP($B141,INDIRECT($B$5&amp;"生成成长"),3))*(VLOOKUP($B$5,标准坦克设计!$B$14:$K$20,9)/30))</f>
        <v>2.1841946534015761</v>
      </c>
      <c r="J141" s="172">
        <f ca="1">(VLOOKUP(J$72,INDIRECT($C$5&amp;"生成成长"),2))/((VLOOKUP($B141,INDIRECT($B$5&amp;"生成成长"),4))/(VLOOKUP(J$72,INDIRECT($C$5&amp;"生成成长"),5))*(VLOOKUP($B$5,标准坦克设计!$B$24:$U$30,MATCH("对"&amp;LEFT($C$5,2)&amp;"输出",标准坦克设计!$B$23:$U$23,0)))*(VLOOKUP($B141,INDIRECT($B$5&amp;"生成成长"),3))*(VLOOKUP($B$5,标准坦克设计!$B$14:$K$20,9)/30))</f>
        <v>2.4751175624914845</v>
      </c>
      <c r="K141" s="172">
        <f ca="1">(VLOOKUP(K$72,INDIRECT($C$5&amp;"生成成长"),2))/((VLOOKUP($B141,INDIRECT($B$5&amp;"生成成长"),4))/(VLOOKUP(K$72,INDIRECT($C$5&amp;"生成成长"),5))*(VLOOKUP($B$5,标准坦克设计!$B$24:$U$30,MATCH("对"&amp;LEFT($C$5,2)&amp;"输出",标准坦克设计!$B$23:$U$23,0)))*(VLOOKUP($B141,INDIRECT($B$5&amp;"生成成长"),3))*(VLOOKUP($B$5,标准坦克设计!$B$14:$K$20,9)/30))</f>
        <v>2.7842231533995117</v>
      </c>
      <c r="L141" s="172">
        <f ca="1">(VLOOKUP(L$72,INDIRECT($C$5&amp;"生成成长"),2))/((VLOOKUP($B141,INDIRECT($B$5&amp;"生成成长"),4))/(VLOOKUP(L$72,INDIRECT($C$5&amp;"生成成长"),5))*(VLOOKUP($B$5,标准坦克设计!$B$24:$U$30,MATCH("对"&amp;LEFT($C$5,2)&amp;"输出",标准坦克设计!$B$23:$U$23,0)))*(VLOOKUP($B141,INDIRECT($B$5&amp;"生成成长"),3))*(VLOOKUP($B$5,标准坦克设计!$B$14:$K$20,9)/30))</f>
        <v>3.1115114261256585</v>
      </c>
      <c r="M141" s="172">
        <f ca="1">(VLOOKUP(M$72,INDIRECT($C$5&amp;"生成成长"),2))/((VLOOKUP($B141,INDIRECT($B$5&amp;"生成成长"),4))/(VLOOKUP(M$72,INDIRECT($C$5&amp;"生成成长"),5))*(VLOOKUP($B$5,标准坦克设计!$B$24:$U$30,MATCH("对"&amp;LEFT($C$5,2)&amp;"输出",标准坦克设计!$B$23:$U$23,0)))*(VLOOKUP($B141,INDIRECT($B$5&amp;"生成成长"),3))*(VLOOKUP($B$5,标准坦克设计!$B$14:$K$20,9)/30))</f>
        <v>3.4569823806699245</v>
      </c>
      <c r="N141" s="172">
        <f ca="1">(VLOOKUP(N$72,INDIRECT($C$5&amp;"生成成长"),2))/((VLOOKUP($B141,INDIRECT($B$5&amp;"生成成长"),4))/(VLOOKUP(N$72,INDIRECT($C$5&amp;"生成成长"),5))*(VLOOKUP($B$5,标准坦克设计!$B$24:$U$30,MATCH("对"&amp;LEFT($C$5,2)&amp;"输出",标准坦克设计!$B$23:$U$23,0)))*(VLOOKUP($B141,INDIRECT($B$5&amp;"生成成长"),3))*(VLOOKUP($B$5,标准坦克设计!$B$14:$K$20,9)/30))</f>
        <v>3.8206360170323097</v>
      </c>
      <c r="O141" s="172">
        <f ca="1">(VLOOKUP(O$72,INDIRECT($C$5&amp;"生成成长"),2))/((VLOOKUP($B141,INDIRECT($B$5&amp;"生成成长"),4))/(VLOOKUP(O$72,INDIRECT($C$5&amp;"生成成长"),5))*(VLOOKUP($B$5,标准坦克设计!$B$24:$U$30,MATCH("对"&amp;LEFT($C$5,2)&amp;"输出",标准坦克设计!$B$23:$U$23,0)))*(VLOOKUP($B141,INDIRECT($B$5&amp;"生成成长"),3))*(VLOOKUP($B$5,标准坦克设计!$B$14:$K$20,9)/30))</f>
        <v>2.9048254726462561</v>
      </c>
      <c r="P141" s="172">
        <f ca="1">(VLOOKUP(P$72,INDIRECT($C$5&amp;"生成成长"),2))/((VLOOKUP($B141,INDIRECT($B$5&amp;"生成成长"),4))/(VLOOKUP(P$72,INDIRECT($C$5&amp;"生成成长"),5))*(VLOOKUP($B$5,标准坦克设计!$B$24:$U$30,MATCH("对"&amp;LEFT($C$5,2)&amp;"输出",标准坦克设计!$B$23:$U$23,0)))*(VLOOKUP($B141,INDIRECT($B$5&amp;"生成成长"),3))*(VLOOKUP($B$5,标准坦克设计!$B$14:$K$20,9)/30))</f>
        <v>3.2819740681705269</v>
      </c>
      <c r="Q141" s="172">
        <f ca="1">(VLOOKUP(Q$72,INDIRECT($C$5&amp;"生成成长"),2))/((VLOOKUP($B141,INDIRECT($B$5&amp;"生成成长"),4))/(VLOOKUP(Q$72,INDIRECT($C$5&amp;"生成成长"),5))*(VLOOKUP($B$5,标准坦克设计!$B$24:$U$30,MATCH("对"&amp;LEFT($C$5,2)&amp;"输出",标准坦克设计!$B$23:$U$23,0)))*(VLOOKUP($B141,INDIRECT($B$5&amp;"生成成长"),3))*(VLOOKUP($B$5,标准坦克设计!$B$14:$K$20,9)/30))</f>
        <v>3.6821351203708543</v>
      </c>
      <c r="R141" s="172">
        <f ca="1">(VLOOKUP(R$72,INDIRECT($C$5&amp;"生成成长"),2))/((VLOOKUP($B141,INDIRECT($B$5&amp;"生成成长"),4))/(VLOOKUP(R$72,INDIRECT($C$5&amp;"生成成长"),5))*(VLOOKUP($B$5,标准坦克设计!$B$24:$U$30,MATCH("对"&amp;LEFT($C$5,2)&amp;"输出",标准坦克设计!$B$23:$U$23,0)))*(VLOOKUP($B141,INDIRECT($B$5&amp;"生成成长"),3))*(VLOOKUP($B$5,标准坦克设计!$B$14:$K$20,9)/30))</f>
        <v>4.1053086292472392</v>
      </c>
      <c r="S141" s="172">
        <f ca="1">(VLOOKUP(S$72,INDIRECT($C$5&amp;"生成成长"),2))/((VLOOKUP($B141,INDIRECT($B$5&amp;"生成成长"),4))/(VLOOKUP(S$72,INDIRECT($C$5&amp;"生成成长"),5))*(VLOOKUP($B$5,标准坦克设计!$B$24:$U$30,MATCH("对"&amp;LEFT($C$5,2)&amp;"输出",标准坦克设计!$B$23:$U$23,0)))*(VLOOKUP($B141,INDIRECT($B$5&amp;"生成成长"),3))*(VLOOKUP($B$5,标准坦克设计!$B$14:$K$20,9)/30))</f>
        <v>4.5514945947996805</v>
      </c>
      <c r="T141" s="172">
        <f ca="1">(VLOOKUP(T$72,INDIRECT($C$5&amp;"生成成长"),2))/((VLOOKUP($B141,INDIRECT($B$5&amp;"生成成长"),4))/(VLOOKUP(T$72,INDIRECT($C$5&amp;"生成成长"),5))*(VLOOKUP($B$5,标准坦克设计!$B$24:$U$30,MATCH("对"&amp;LEFT($C$5,2)&amp;"输出",标准坦克设计!$B$23:$U$23,0)))*(VLOOKUP($B141,INDIRECT($B$5&amp;"生成成长"),3))*(VLOOKUP($B$5,标准坦克设计!$B$14:$K$20,9)/30))</f>
        <v>5.0206930170281812</v>
      </c>
      <c r="U141" s="172">
        <f ca="1">(VLOOKUP(U$72,INDIRECT($C$5&amp;"生成成长"),2))/((VLOOKUP($B141,INDIRECT($B$5&amp;"生成成长"),4))/(VLOOKUP(U$72,INDIRECT($C$5&amp;"生成成长"),5))*(VLOOKUP($B$5,标准坦克设计!$B$24:$U$30,MATCH("对"&amp;LEFT($C$5,2)&amp;"输出",标准坦克设计!$B$23:$U$23,0)))*(VLOOKUP($B141,INDIRECT($B$5&amp;"生成成长"),3))*(VLOOKUP($B$5,标准坦克设计!$B$14:$K$20,9)/30))</f>
        <v>5.5129038959327374</v>
      </c>
      <c r="V141" s="172">
        <f ca="1">(VLOOKUP(V$72,INDIRECT($C$5&amp;"生成成长"),2))/((VLOOKUP($B141,INDIRECT($B$5&amp;"生成成长"),4))/(VLOOKUP(V$72,INDIRECT($C$5&amp;"生成成长"),5))*(VLOOKUP($B$5,标准坦克设计!$B$24:$U$30,MATCH("对"&amp;LEFT($C$5,2)&amp;"输出",标准坦克设计!$B$23:$U$23,0)))*(VLOOKUP($B141,INDIRECT($B$5&amp;"生成成长"),3))*(VLOOKUP($B$5,标准坦克设计!$B$14:$K$20,9)/30))</f>
        <v>6.0281272315133521</v>
      </c>
      <c r="W141" s="172">
        <f ca="1">(VLOOKUP(W$72,INDIRECT($C$5&amp;"生成成长"),2))/((VLOOKUP($B141,INDIRECT($B$5&amp;"生成成长"),4))/(VLOOKUP(W$72,INDIRECT($C$5&amp;"生成成长"),5))*(VLOOKUP($B$5,标准坦克设计!$B$24:$U$30,MATCH("对"&amp;LEFT($C$5,2)&amp;"输出",标准坦克设计!$B$23:$U$23,0)))*(VLOOKUP($B141,INDIRECT($B$5&amp;"生成成长"),3))*(VLOOKUP($B$5,标准坦克设计!$B$14:$K$20,9)/30))</f>
        <v>6.5663630237700215</v>
      </c>
      <c r="X141" s="172">
        <f ca="1">(VLOOKUP(X$72,INDIRECT($C$5&amp;"生成成长"),2))/((VLOOKUP($B141,INDIRECT($B$5&amp;"生成成长"),4))/(VLOOKUP(X$72,INDIRECT($C$5&amp;"生成成长"),5))*(VLOOKUP($B$5,标准坦克设计!$B$24:$U$30,MATCH("对"&amp;LEFT($C$5,2)&amp;"输出",标准坦克设计!$B$23:$U$23,0)))*(VLOOKUP($B141,INDIRECT($B$5&amp;"生成成长"),3))*(VLOOKUP($B$5,标准坦克设计!$B$14:$K$20,9)/30))</f>
        <v>4.757186182867156</v>
      </c>
      <c r="Y141" s="172">
        <f ca="1">(VLOOKUP(Y$72,INDIRECT($C$5&amp;"生成成长"),2))/((VLOOKUP($B141,INDIRECT($B$5&amp;"生成成长"),4))/(VLOOKUP(Y$72,INDIRECT($C$5&amp;"生成成长"),5))*(VLOOKUP($B$5,标准坦克设计!$B$24:$U$30,MATCH("对"&amp;LEFT($C$5,2)&amp;"输出",标准坦克设计!$B$23:$U$23,0)))*(VLOOKUP($B141,INDIRECT($B$5&amp;"生成成长"),3))*(VLOOKUP($B$5,标准坦克设计!$B$14:$K$20,9)/30))</f>
        <v>5.2913024612744088</v>
      </c>
      <c r="Z141" s="172">
        <f ca="1">(VLOOKUP(Z$72,INDIRECT($C$5&amp;"生成成长"),2))/((VLOOKUP($B141,INDIRECT($B$5&amp;"生成成长"),4))/(VLOOKUP(Z$72,INDIRECT($C$5&amp;"生成成长"),5))*(VLOOKUP($B$5,标准坦克设计!$B$24:$U$30,MATCH("对"&amp;LEFT($C$5,2)&amp;"输出",标准坦克设计!$B$23:$U$23,0)))*(VLOOKUP($B141,INDIRECT($B$5&amp;"生成成长"),3))*(VLOOKUP($B$5,标准坦克设计!$B$14:$K$20,9)/30))</f>
        <v>5.8538291800224727</v>
      </c>
      <c r="AA141" s="172">
        <f ca="1">(VLOOKUP(AA$72,INDIRECT($C$5&amp;"生成成长"),2))/((VLOOKUP($B141,INDIRECT($B$5&amp;"生成成长"),4))/(VLOOKUP(AA$72,INDIRECT($C$5&amp;"生成成长"),5))*(VLOOKUP($B$5,标准坦克设计!$B$24:$U$30,MATCH("对"&amp;LEFT($C$5,2)&amp;"输出",标准坦克设计!$B$23:$U$23,0)))*(VLOOKUP($B141,INDIRECT($B$5&amp;"生成成长"),3))*(VLOOKUP($B$5,标准坦克设计!$B$14:$K$20,9)/30))</f>
        <v>6.4447663391113492</v>
      </c>
      <c r="AB141" s="172">
        <f ca="1">(VLOOKUP(AB$72,INDIRECT($C$5&amp;"生成成长"),2))/((VLOOKUP($B141,INDIRECT($B$5&amp;"生成成长"),4))/(VLOOKUP(AB$72,INDIRECT($C$5&amp;"生成成长"),5))*(VLOOKUP($B$5,标准坦克设计!$B$24:$U$30,MATCH("对"&amp;LEFT($C$5,2)&amp;"输出",标准坦克设计!$B$23:$U$23,0)))*(VLOOKUP($B141,INDIRECT($B$5&amp;"生成成长"),3))*(VLOOKUP($B$5,标准坦克设计!$B$14:$K$20,9)/30))</f>
        <v>7.064113938541035</v>
      </c>
      <c r="AC141" s="172">
        <f ca="1">(VLOOKUP(AC$72,INDIRECT($C$5&amp;"生成成长"),2))/((VLOOKUP($B141,INDIRECT($B$5&amp;"生成成长"),4))/(VLOOKUP(AC$72,INDIRECT($C$5&amp;"生成成长"),5))*(VLOOKUP($B$5,标准坦克设计!$B$24:$U$30,MATCH("对"&amp;LEFT($C$5,2)&amp;"输出",标准坦克设计!$B$23:$U$23,0)))*(VLOOKUP($B141,INDIRECT($B$5&amp;"生成成长"),3))*(VLOOKUP($B$5,标准坦克设计!$B$14:$K$20,9)/30))</f>
        <v>7.7118719783115353</v>
      </c>
      <c r="AD141" s="172">
        <f ca="1">(VLOOKUP(AD$72,INDIRECT($C$5&amp;"生成成长"),2))/((VLOOKUP($B141,INDIRECT($B$5&amp;"生成成长"),4))/(VLOOKUP(AD$72,INDIRECT($C$5&amp;"生成成长"),5))*(VLOOKUP($B$5,标准坦克设计!$B$24:$U$30,MATCH("对"&amp;LEFT($C$5,2)&amp;"输出",标准坦克设计!$B$23:$U$23,0)))*(VLOOKUP($B141,INDIRECT($B$5&amp;"生成成长"),3))*(VLOOKUP($B$5,标准坦克设计!$B$14:$K$20,9)/30))</f>
        <v>8.3880404584228447</v>
      </c>
      <c r="AE141" s="172">
        <f ca="1">(VLOOKUP(AE$72,INDIRECT($C$5&amp;"生成成长"),2))/((VLOOKUP($B141,INDIRECT($B$5&amp;"生成成长"),4))/(VLOOKUP(AE$72,INDIRECT($C$5&amp;"生成成长"),5))*(VLOOKUP($B$5,标准坦克设计!$B$24:$U$30,MATCH("对"&amp;LEFT($C$5,2)&amp;"输出",标准坦克设计!$B$23:$U$23,0)))*(VLOOKUP($B141,INDIRECT($B$5&amp;"生成成长"),3))*(VLOOKUP($B$5,标准坦克设计!$B$14:$K$20,9)/30))</f>
        <v>9.0926193788749679</v>
      </c>
      <c r="AF141" s="172">
        <f ca="1">(VLOOKUP(AF$72,INDIRECT($C$5&amp;"生成成长"),2))/((VLOOKUP($B141,INDIRECT($B$5&amp;"生成成长"),4))/(VLOOKUP(AF$72,INDIRECT($C$5&amp;"生成成长"),5))*(VLOOKUP($B$5,标准坦克设计!$B$24:$U$30,MATCH("对"&amp;LEFT($C$5,2)&amp;"输出",标准坦克设计!$B$23:$U$23,0)))*(VLOOKUP($B141,INDIRECT($B$5&amp;"生成成长"),3))*(VLOOKUP($B$5,标准坦克设计!$B$14:$K$20,9)/30))</f>
        <v>9.8256087396678975</v>
      </c>
      <c r="AG141" s="172">
        <f ca="1">(VLOOKUP(AG$72,INDIRECT($C$5&amp;"生成成长"),2))/((VLOOKUP($B141,INDIRECT($B$5&amp;"生成成长"),4))/(VLOOKUP(AG$72,INDIRECT($C$5&amp;"生成成长"),5))*(VLOOKUP($B$5,标准坦克设计!$B$24:$U$30,MATCH("对"&amp;LEFT($C$5,2)&amp;"输出",标准坦克设计!$B$23:$U$23,0)))*(VLOOKUP($B141,INDIRECT($B$5&amp;"生成成长"),3))*(VLOOKUP($B$5,标准坦克设计!$B$14:$K$20,9)/30))</f>
        <v>10.587008540801643</v>
      </c>
      <c r="AH141" s="172">
        <f ca="1">(VLOOKUP(AH$72,INDIRECT($C$5&amp;"生成成长"),2))/((VLOOKUP($B141,INDIRECT($B$5&amp;"生成成长"),4))/(VLOOKUP(AH$72,INDIRECT($C$5&amp;"生成成长"),5))*(VLOOKUP($B$5,标准坦克设计!$B$24:$U$30,MATCH("对"&amp;LEFT($C$5,2)&amp;"输出",标准坦克设计!$B$23:$U$23,0)))*(VLOOKUP($B141,INDIRECT($B$5&amp;"生成成长"),3))*(VLOOKUP($B$5,标准坦克设计!$B$14:$K$20,9)/30))</f>
        <v>11.376818782276199</v>
      </c>
      <c r="AI141" s="172">
        <f ca="1">(VLOOKUP(AI$72,INDIRECT($C$5&amp;"生成成长"),2))/((VLOOKUP($B141,INDIRECT($B$5&amp;"生成成长"),4))/(VLOOKUP(AI$72,INDIRECT($C$5&amp;"生成成长"),5))*(VLOOKUP($B$5,标准坦克设计!$B$24:$U$30,MATCH("对"&amp;LEFT($C$5,2)&amp;"输出",标准坦克设计!$B$23:$U$23,0)))*(VLOOKUP($B141,INDIRECT($B$5&amp;"生成成长"),3))*(VLOOKUP($B$5,标准坦克设计!$B$14:$K$20,9)/30))</f>
        <v>8.0464049133245901</v>
      </c>
      <c r="AJ141" s="172">
        <f ca="1">(VLOOKUP(AJ$72,INDIRECT($C$5&amp;"生成成长"),2))/((VLOOKUP($B141,INDIRECT($B$5&amp;"生成成长"),4))/(VLOOKUP(AJ$72,INDIRECT($C$5&amp;"生成成长"),5))*(VLOOKUP($B$5,标准坦克设计!$B$24:$U$30,MATCH("对"&amp;LEFT($C$5,2)&amp;"输出",标准坦克设计!$B$23:$U$23,0)))*(VLOOKUP($B141,INDIRECT($B$5&amp;"生成成长"),3))*(VLOOKUP($B$5,标准坦克设计!$B$14:$K$20,9)/30))</f>
        <v>8.8073785578532195</v>
      </c>
      <c r="AK141" s="172">
        <f ca="1">(VLOOKUP(AK$72,INDIRECT($C$5&amp;"生成成长"),2))/((VLOOKUP($B141,INDIRECT($B$5&amp;"生成成长"),4))/(VLOOKUP(AK$72,INDIRECT($C$5&amp;"生成成长"),5))*(VLOOKUP($B$5,标准坦克设计!$B$24:$U$30,MATCH("对"&amp;LEFT($C$5,2)&amp;"输出",标准坦克设计!$B$23:$U$23,0)))*(VLOOKUP($B141,INDIRECT($B$5&amp;"生成成长"),3))*(VLOOKUP($B$5,标准坦克设计!$B$14:$K$20,9)/30))</f>
        <v>9.6027288351942346</v>
      </c>
      <c r="AL141" s="172">
        <f ca="1">(VLOOKUP(AL$72,INDIRECT($C$5&amp;"生成成长"),2))/((VLOOKUP($B141,INDIRECT($B$5&amp;"生成成长"),4))/(VLOOKUP(AL$72,INDIRECT($C$5&amp;"生成成长"),5))*(VLOOKUP($B$5,标准坦克设计!$B$24:$U$30,MATCH("对"&amp;LEFT($C$5,2)&amp;"输出",标准坦克设计!$B$23:$U$23,0)))*(VLOOKUP($B141,INDIRECT($B$5&amp;"生成成长"),3))*(VLOOKUP($B$5,标准坦克设计!$B$14:$K$20,9)/30))</f>
        <v>10.43245574534763</v>
      </c>
      <c r="AM141" s="172">
        <f ca="1">(VLOOKUP(AM$72,INDIRECT($C$5&amp;"生成成长"),2))/((VLOOKUP($B141,INDIRECT($B$5&amp;"生成成长"),4))/(VLOOKUP(AM$72,INDIRECT($C$5&amp;"生成成长"),5))*(VLOOKUP($B$5,标准坦克设计!$B$24:$U$30,MATCH("对"&amp;LEFT($C$5,2)&amp;"输出",标准坦克设计!$B$23:$U$23,0)))*(VLOOKUP($B141,INDIRECT($B$5&amp;"生成成长"),3))*(VLOOKUP($B$5,标准坦克设计!$B$14:$K$20,9)/30))</f>
        <v>11.296559288313407</v>
      </c>
      <c r="AN141" s="172">
        <f ca="1">(VLOOKUP(AN$72,INDIRECT($C$5&amp;"生成成长"),2))/((VLOOKUP($B141,INDIRECT($B$5&amp;"生成成长"),4))/(VLOOKUP(AN$72,INDIRECT($C$5&amp;"生成成长"),5))*(VLOOKUP($B$5,标准坦克设计!$B$24:$U$30,MATCH("对"&amp;LEFT($C$5,2)&amp;"输出",标准坦克设计!$B$23:$U$23,0)))*(VLOOKUP($B141,INDIRECT($B$5&amp;"生成成长"),3))*(VLOOKUP($B$5,标准坦克设计!$B$14:$K$20,9)/30))</f>
        <v>12.195039464091565</v>
      </c>
      <c r="AO141" s="172">
        <f ca="1">(VLOOKUP(AO$72,INDIRECT($C$5&amp;"生成成长"),2))/((VLOOKUP($B141,INDIRECT($B$5&amp;"生成成长"),4))/(VLOOKUP(AO$72,INDIRECT($C$5&amp;"生成成长"),5))*(VLOOKUP($B$5,标准坦克设计!$B$24:$U$30,MATCH("对"&amp;LEFT($C$5,2)&amp;"输出",标准坦克设计!$B$23:$U$23,0)))*(VLOOKUP($B141,INDIRECT($B$5&amp;"生成成长"),3))*(VLOOKUP($B$5,标准坦克设计!$B$14:$K$20,9)/30))</f>
        <v>13.127896272682108</v>
      </c>
      <c r="AP141" s="172">
        <f ca="1">(VLOOKUP(AP$72,INDIRECT($C$5&amp;"生成成长"),2))/((VLOOKUP($B141,INDIRECT($B$5&amp;"生成成长"),4))/(VLOOKUP(AP$72,INDIRECT($C$5&amp;"生成成长"),5))*(VLOOKUP($B$5,标准坦克设计!$B$24:$U$30,MATCH("对"&amp;LEFT($C$5,2)&amp;"输出",标准坦克设计!$B$23:$U$23,0)))*(VLOOKUP($B141,INDIRECT($B$5&amp;"生成成长"),3))*(VLOOKUP($B$5,标准坦克设计!$B$14:$K$20,9)/30))</f>
        <v>14.095129714085028</v>
      </c>
      <c r="AQ141" s="172">
        <f ca="1">(VLOOKUP(AQ$72,INDIRECT($C$5&amp;"生成成长"),2))/((VLOOKUP($B141,INDIRECT($B$5&amp;"生成成长"),4))/(VLOOKUP(AQ$72,INDIRECT($C$5&amp;"生成成长"),5))*(VLOOKUP($B$5,标准坦克设计!$B$24:$U$30,MATCH("对"&amp;LEFT($C$5,2)&amp;"输出",标准坦克设计!$B$23:$U$23,0)))*(VLOOKUP($B141,INDIRECT($B$5&amp;"生成成长"),3))*(VLOOKUP($B$5,标准坦克设计!$B$14:$K$20,9)/30))</f>
        <v>15.096739788300331</v>
      </c>
      <c r="AR141" s="172">
        <f ca="1">(VLOOKUP(AR$72,INDIRECT($C$5&amp;"生成成长"),2))/((VLOOKUP($B141,INDIRECT($B$5&amp;"生成成长"),4))/(VLOOKUP(AR$72,INDIRECT($C$5&amp;"生成成长"),5))*(VLOOKUP($B$5,标准坦克设计!$B$24:$U$30,MATCH("对"&amp;LEFT($C$5,2)&amp;"输出",标准坦克设计!$B$23:$U$23,0)))*(VLOOKUP($B141,INDIRECT($B$5&amp;"生成成长"),3))*(VLOOKUP($B$5,标准坦克设计!$B$14:$K$20,9)/30))</f>
        <v>16.132726495328019</v>
      </c>
      <c r="AS141" s="172">
        <f ca="1">(VLOOKUP(AS$72,INDIRECT($C$5&amp;"生成成长"),2))/((VLOOKUP($B141,INDIRECT($B$5&amp;"生成成长"),4))/(VLOOKUP(AS$72,INDIRECT($C$5&amp;"生成成长"),5))*(VLOOKUP($B$5,标准坦克设计!$B$24:$U$30,MATCH("对"&amp;LEFT($C$5,2)&amp;"输出",标准坦克设计!$B$23:$U$23,0)))*(VLOOKUP($B141,INDIRECT($B$5&amp;"生成成长"),3))*(VLOOKUP($B$5,标准坦克设计!$B$14:$K$20,9)/30))</f>
        <v>17.203089835168086</v>
      </c>
      <c r="AT141" s="172">
        <f ca="1">(VLOOKUP(AT$72,INDIRECT($C$5&amp;"生成成长"),2))/((VLOOKUP($B141,INDIRECT($B$5&amp;"生成成长"),4))/(VLOOKUP(AT$72,INDIRECT($C$5&amp;"生成成长"),5))*(VLOOKUP($B$5,标准坦克设计!$B$24:$U$30,MATCH("对"&amp;LEFT($C$5,2)&amp;"输出",标准坦克设计!$B$23:$U$23,0)))*(VLOOKUP($B141,INDIRECT($B$5&amp;"生成成长"),3))*(VLOOKUP($B$5,标准坦克设计!$B$14:$K$20,9)/30))</f>
        <v>18.307829807820532</v>
      </c>
      <c r="AU141" s="172">
        <f ca="1">(VLOOKUP(AU$72,INDIRECT($C$5&amp;"生成成长"),2))/((VLOOKUP($B141,INDIRECT($B$5&amp;"生成成长"),4))/(VLOOKUP(AU$72,INDIRECT($C$5&amp;"生成成长"),5))*(VLOOKUP($B$5,标准坦克设计!$B$24:$U$30,MATCH("对"&amp;LEFT($C$5,2)&amp;"输出",标准坦克设计!$B$23:$U$23,0)))*(VLOOKUP($B141,INDIRECT($B$5&amp;"生成成长"),3))*(VLOOKUP($B$5,标准坦克设计!$B$14:$K$20,9)/30))</f>
        <v>19.446946413285364</v>
      </c>
      <c r="AV141" s="172">
        <f ca="1">(VLOOKUP(AV$72,INDIRECT($C$5&amp;"生成成长"),2))/((VLOOKUP($B141,INDIRECT($B$5&amp;"生成成长"),4))/(VLOOKUP(AV$72,INDIRECT($C$5&amp;"生成成长"),5))*(VLOOKUP($B$5,标准坦克设计!$B$24:$U$30,MATCH("对"&amp;LEFT($C$5,2)&amp;"输出",标准坦克设计!$B$23:$U$23,0)))*(VLOOKUP($B141,INDIRECT($B$5&amp;"生成成长"),3))*(VLOOKUP($B$5,标准坦克设计!$B$14:$K$20,9)/30))</f>
        <v>1.9779348565272856</v>
      </c>
      <c r="AW141" s="172">
        <f ca="1">(VLOOKUP(AW$72,INDIRECT($C$5&amp;"生成成长"),2))/((VLOOKUP($B141,INDIRECT($B$5&amp;"生成成长"),4))/(VLOOKUP(AW$72,INDIRECT($C$5&amp;"生成成长"),5))*(VLOOKUP($B$5,标准坦克设计!$B$24:$U$30,MATCH("对"&amp;LEFT($C$5,2)&amp;"输出",标准坦克设计!$B$23:$U$23,0)))*(VLOOKUP($B141,INDIRECT($B$5&amp;"生成成长"),3))*(VLOOKUP($B$5,标准坦克设计!$B$14:$K$20,9)/30))</f>
        <v>2.2552207542536049</v>
      </c>
      <c r="AX141" s="172">
        <f ca="1">(VLOOKUP(AX$72,INDIRECT($C$5&amp;"生成成长"),2))/((VLOOKUP($B141,INDIRECT($B$5&amp;"生成成长"),4))/(VLOOKUP(AX$72,INDIRECT($C$5&amp;"生成成长"),5))*(VLOOKUP($B$5,标准坦克设计!$B$24:$U$30,MATCH("对"&amp;LEFT($C$5,2)&amp;"输出",标准坦克设计!$B$23:$U$23,0)))*(VLOOKUP($B141,INDIRECT($B$5&amp;"生成成长"),3))*(VLOOKUP($B$5,标准坦克设计!$B$14:$K$20,9)/30))</f>
        <v>2.5506893337980427</v>
      </c>
      <c r="AY141" s="172">
        <f ca="1">(VLOOKUP(AY$72,INDIRECT($C$5&amp;"生成成长"),2))/((VLOOKUP($B141,INDIRECT($B$5&amp;"生成成长"),4))/(VLOOKUP(AY$72,INDIRECT($C$5&amp;"生成成长"),5))*(VLOOKUP($B$5,标准坦克设计!$B$24:$U$30,MATCH("对"&amp;LEFT($C$5,2)&amp;"输出",标准坦克设计!$B$23:$U$23,0)))*(VLOOKUP($B141,INDIRECT($B$5&amp;"生成成长"),3))*(VLOOKUP($B$5,标准坦克设计!$B$14:$K$20,9)/30))</f>
        <v>2.8643405951605998</v>
      </c>
      <c r="AZ141" s="172">
        <f ca="1">(VLOOKUP(AZ$72,INDIRECT($C$5&amp;"生成成长"),2))/((VLOOKUP($B141,INDIRECT($B$5&amp;"生成成长"),4))/(VLOOKUP(AZ$72,INDIRECT($C$5&amp;"生成成长"),5))*(VLOOKUP($B$5,标准坦克设计!$B$24:$U$30,MATCH("对"&amp;LEFT($C$5,2)&amp;"输出",标准坦克设计!$B$23:$U$23,0)))*(VLOOKUP($B141,INDIRECT($B$5&amp;"生成成长"),3))*(VLOOKUP($B$5,标准坦克设计!$B$14:$K$20,9)/30))</f>
        <v>3.1961745383412761</v>
      </c>
      <c r="BA141" s="172">
        <f ca="1">(VLOOKUP(BA$72,INDIRECT($C$5&amp;"生成成长"),2))/((VLOOKUP($B141,INDIRECT($B$5&amp;"生成成长"),4))/(VLOOKUP(BA$72,INDIRECT($C$5&amp;"生成成长"),5))*(VLOOKUP($B$5,标准坦克设计!$B$24:$U$30,MATCH("对"&amp;LEFT($C$5,2)&amp;"输出",标准坦克设计!$B$23:$U$23,0)))*(VLOOKUP($B141,INDIRECT($B$5&amp;"生成成长"),3))*(VLOOKUP($B$5,标准坦克设计!$B$14:$K$20,9)/30))</f>
        <v>3.5461911633400724</v>
      </c>
      <c r="BB141" s="172">
        <f ca="1">(VLOOKUP(BB$72,INDIRECT($C$5&amp;"生成成长"),2))/((VLOOKUP($B141,INDIRECT($B$5&amp;"生成成长"),4))/(VLOOKUP(BB$72,INDIRECT($C$5&amp;"生成成长"),5))*(VLOOKUP($B$5,标准坦克设计!$B$24:$U$30,MATCH("对"&amp;LEFT($C$5,2)&amp;"输出",标准坦克设计!$B$23:$U$23,0)))*(VLOOKUP($B141,INDIRECT($B$5&amp;"生成成长"),3))*(VLOOKUP($B$5,标准坦克设计!$B$14:$K$20,9)/30))</f>
        <v>3.9143904701569867</v>
      </c>
      <c r="BC141" s="172">
        <f ca="1">(VLOOKUP(BC$72,INDIRECT($C$5&amp;"生成成长"),2))/((VLOOKUP($B141,INDIRECT($B$5&amp;"生成成长"),4))/(VLOOKUP(BC$72,INDIRECT($C$5&amp;"生成成长"),5))*(VLOOKUP($B$5,标准坦克设计!$B$24:$U$30,MATCH("对"&amp;LEFT($C$5,2)&amp;"输出",标准坦克设计!$B$23:$U$23,0)))*(VLOOKUP($B141,INDIRECT($B$5&amp;"生成成长"),3))*(VLOOKUP($B$5,标准坦克设计!$B$14:$K$20,9)/30))</f>
        <v>4.3007724587920215</v>
      </c>
      <c r="BD141" s="172">
        <f ca="1">(VLOOKUP(BD$72,INDIRECT($C$5&amp;"生成成长"),2))/((VLOOKUP($B141,INDIRECT($B$5&amp;"生成成长"),4))/(VLOOKUP(BD$72,INDIRECT($C$5&amp;"生成成长"),5))*(VLOOKUP($B$5,标准坦克设计!$B$24:$U$30,MATCH("对"&amp;LEFT($C$5,2)&amp;"输出",标准坦克设计!$B$23:$U$23,0)))*(VLOOKUP($B141,INDIRECT($B$5&amp;"生成成长"),3))*(VLOOKUP($B$5,标准坦克设计!$B$14:$K$20,9)/30))</f>
        <v>4.757186182867156</v>
      </c>
      <c r="BE141" s="172">
        <f ca="1">(VLOOKUP(BE$72,INDIRECT($C$5&amp;"生成成长"),2))/((VLOOKUP($B141,INDIRECT($B$5&amp;"生成成长"),4))/(VLOOKUP(BE$72,INDIRECT($C$5&amp;"生成成长"),5))*(VLOOKUP($B$5,标准坦克设计!$B$24:$U$30,MATCH("对"&amp;LEFT($C$5,2)&amp;"输出",标准坦克设计!$B$23:$U$23,0)))*(VLOOKUP($B141,INDIRECT($B$5&amp;"生成成长"),3))*(VLOOKUP($B$5,标准坦克设计!$B$14:$K$20,9)/30))</f>
        <v>5.236612363618347</v>
      </c>
      <c r="BF141" s="172">
        <f ca="1">(VLOOKUP(BF$72,INDIRECT($C$5&amp;"生成成长"),2))/((VLOOKUP($B141,INDIRECT($B$5&amp;"生成成长"),4))/(VLOOKUP(BF$72,INDIRECT($C$5&amp;"生成成长"),5))*(VLOOKUP($B$5,标准坦克设计!$B$24:$U$30,MATCH("对"&amp;LEFT($C$5,2)&amp;"输出",标准坦克设计!$B$23:$U$23,0)))*(VLOOKUP($B141,INDIRECT($B$5&amp;"生成成长"),3))*(VLOOKUP($B$5,标准坦克设计!$B$14:$K$20,9)/30))</f>
        <v>5.7390510010455955</v>
      </c>
      <c r="BG141" s="172">
        <f ca="1">(VLOOKUP(BG$72,INDIRECT($C$5&amp;"生成成长"),2))/((VLOOKUP($B141,INDIRECT($B$5&amp;"生成成长"),4))/(VLOOKUP(BG$72,INDIRECT($C$5&amp;"生成成长"),5))*(VLOOKUP($B$5,标准坦克设计!$B$24:$U$30,MATCH("对"&amp;LEFT($C$5,2)&amp;"输出",标准坦克设计!$B$23:$U$23,0)))*(VLOOKUP($B141,INDIRECT($B$5&amp;"生成成长"),3))*(VLOOKUP($B$5,标准坦克设计!$B$14:$K$20,9)/30))</f>
        <v>6.2645020951489023</v>
      </c>
      <c r="BH141" s="172">
        <f ca="1">(VLOOKUP(BH$72,INDIRECT($C$5&amp;"生成成长"),2))/((VLOOKUP($B141,INDIRECT($B$5&amp;"生成成长"),4))/(VLOOKUP(BH$72,INDIRECT($C$5&amp;"生成成长"),5))*(VLOOKUP($B$5,标准坦克设计!$B$24:$U$30,MATCH("对"&amp;LEFT($C$5,2)&amp;"输出",标准坦克设计!$B$23:$U$23,0)))*(VLOOKUP($B141,INDIRECT($B$5&amp;"生成成长"),3))*(VLOOKUP($B$5,标准坦克设计!$B$14:$K$20,9)/30))</f>
        <v>3.0279847315236728</v>
      </c>
      <c r="BI141" s="172">
        <f ca="1">(VLOOKUP(BI$72,INDIRECT($C$5&amp;"生成成长"),2))/((VLOOKUP($B141,INDIRECT($B$5&amp;"生成成长"),4))/(VLOOKUP(BI$72,INDIRECT($C$5&amp;"生成成长"),5))*(VLOOKUP($B$5,标准坦克设计!$B$24:$U$30,MATCH("对"&amp;LEFT($C$5,2)&amp;"输出",标准坦克设计!$B$23:$U$23,0)))*(VLOOKUP($B141,INDIRECT($B$5&amp;"生成成长"),3))*(VLOOKUP($B$5,标准坦克设计!$B$14:$K$20,9)/30))</f>
        <v>3.4128041459399632</v>
      </c>
      <c r="BJ141" s="172">
        <f ca="1">(VLOOKUP(BJ$72,INDIRECT($C$5&amp;"生成成长"),2))/((VLOOKUP($B141,INDIRECT($B$5&amp;"生成成长"),4))/(VLOOKUP(BJ$72,INDIRECT($C$5&amp;"生成成长"),5))*(VLOOKUP($B$5,标准坦克设计!$B$24:$U$30,MATCH("对"&amp;LEFT($C$5,2)&amp;"输出",标准坦克设计!$B$23:$U$23,0)))*(VLOOKUP($B141,INDIRECT($B$5&amp;"生成成长"),3))*(VLOOKUP($B$5,标准坦克设计!$B$14:$K$20,9)/30))</f>
        <v>3.8206360170323097</v>
      </c>
      <c r="BK141" s="172">
        <f ca="1">(VLOOKUP(BK$72,INDIRECT($C$5&amp;"生成成长"),2))/((VLOOKUP($B141,INDIRECT($B$5&amp;"生成成长"),4))/(VLOOKUP(BK$72,INDIRECT($C$5&amp;"生成成长"),5))*(VLOOKUP($B$5,标准坦克设计!$B$24:$U$30,MATCH("对"&amp;LEFT($C$5,2)&amp;"输出",标准坦克设计!$B$23:$U$23,0)))*(VLOOKUP($B141,INDIRECT($B$5&amp;"生成成长"),3))*(VLOOKUP($B$5,标准坦克设计!$B$14:$K$20,9)/30))</f>
        <v>4.2514803448007141</v>
      </c>
      <c r="BL141" s="172">
        <f ca="1">(VLOOKUP(BL$72,INDIRECT($C$5&amp;"生成成长"),2))/((VLOOKUP($B141,INDIRECT($B$5&amp;"生成成长"),4))/(VLOOKUP(BL$72,INDIRECT($C$5&amp;"生成成长"),5))*(VLOOKUP($B$5,标准坦克设计!$B$24:$U$30,MATCH("对"&amp;LEFT($C$5,2)&amp;"输出",标准坦克设计!$B$23:$U$23,0)))*(VLOOKUP($B141,INDIRECT($B$5&amp;"生成成长"),3))*(VLOOKUP($B$5,标准坦克设计!$B$14:$K$20,9)/30))</f>
        <v>4.7053371292451738</v>
      </c>
      <c r="BM141" s="172">
        <f ca="1">(VLOOKUP(BM$72,INDIRECT($C$5&amp;"生成成长"),2))/((VLOOKUP($B141,INDIRECT($B$5&amp;"生成成长"),4))/(VLOOKUP(BM$72,INDIRECT($C$5&amp;"生成成长"),5))*(VLOOKUP($B$5,标准坦克设计!$B$24:$U$30,MATCH("对"&amp;LEFT($C$5,2)&amp;"输出",标准坦克设计!$B$23:$U$23,0)))*(VLOOKUP($B141,INDIRECT($B$5&amp;"生成成长"),3))*(VLOOKUP($B$5,标准坦克设计!$B$14:$K$20,9)/30))</f>
        <v>5.1822063703656926</v>
      </c>
      <c r="BN141" s="172">
        <f ca="1">(VLOOKUP(BN$72,INDIRECT($C$5&amp;"生成成长"),2))/((VLOOKUP($B141,INDIRECT($B$5&amp;"生成成长"),4))/(VLOOKUP(BN$72,INDIRECT($C$5&amp;"生成成长"),5))*(VLOOKUP($B$5,标准坦克设计!$B$24:$U$30,MATCH("对"&amp;LEFT($C$5,2)&amp;"输出",标准坦克设计!$B$23:$U$23,0)))*(VLOOKUP($B141,INDIRECT($B$5&amp;"生成成长"),3))*(VLOOKUP($B$5,标准坦克设计!$B$14:$K$20,9)/30))</f>
        <v>5.6820880681622681</v>
      </c>
      <c r="BO141" s="172">
        <f ca="1">(VLOOKUP(BO$72,INDIRECT($C$5&amp;"生成成长"),2))/((VLOOKUP($B141,INDIRECT($B$5&amp;"生成成长"),4))/(VLOOKUP(BO$72,INDIRECT($C$5&amp;"生成成长"),5))*(VLOOKUP($B$5,标准坦克设计!$B$24:$U$30,MATCH("对"&amp;LEFT($C$5,2)&amp;"输出",标准坦克设计!$B$23:$U$23,0)))*(VLOOKUP($B141,INDIRECT($B$5&amp;"生成成长"),3))*(VLOOKUP($B$5,标准坦克设计!$B$14:$K$20,9)/30))</f>
        <v>6.204982222634901</v>
      </c>
      <c r="BP141" s="172">
        <f ca="1">(VLOOKUP(BP$72,INDIRECT($C$5&amp;"生成成长"),2))/((VLOOKUP($B141,INDIRECT($B$5&amp;"生成成长"),4))/(VLOOKUP(BP$72,INDIRECT($C$5&amp;"生成成长"),5))*(VLOOKUP($B$5,标准坦克设计!$B$24:$U$30,MATCH("对"&amp;LEFT($C$5,2)&amp;"输出",标准坦克设计!$B$23:$U$23,0)))*(VLOOKUP($B141,INDIRECT($B$5&amp;"生成成长"),3))*(VLOOKUP($B$5,标准坦克设计!$B$14:$K$20,9)/30))</f>
        <v>6.7508888337835913</v>
      </c>
      <c r="BQ141" s="172">
        <f ca="1">(VLOOKUP(BQ$72,INDIRECT($C$5&amp;"生成成长"),2))/((VLOOKUP($B141,INDIRECT($B$5&amp;"生成成长"),4))/(VLOOKUP(BQ$72,INDIRECT($C$5&amp;"生成成长"),5))*(VLOOKUP($B$5,标准坦克设计!$B$24:$U$30,MATCH("对"&amp;LEFT($C$5,2)&amp;"输出",标准坦克设计!$B$23:$U$23,0)))*(VLOOKUP($B141,INDIRECT($B$5&amp;"生成成长"),3))*(VLOOKUP($B$5,标准坦克设计!$B$14:$K$20,9)/30))</f>
        <v>7.3198079016083391</v>
      </c>
      <c r="BR141" s="172">
        <f ca="1">(VLOOKUP(BR$72,INDIRECT($C$5&amp;"生成成长"),2))/((VLOOKUP($B141,INDIRECT($B$5&amp;"生成成长"),4))/(VLOOKUP(BR$72,INDIRECT($C$5&amp;"生成成长"),5))*(VLOOKUP($B$5,标准坦克设计!$B$24:$U$30,MATCH("对"&amp;LEFT($C$5,2)&amp;"输出",标准坦克设计!$B$23:$U$23,0)))*(VLOOKUP($B141,INDIRECT($B$5&amp;"生成成长"),3))*(VLOOKUP($B$5,标准坦克设计!$B$14:$K$20,9)/30))</f>
        <v>7.9789301175151621</v>
      </c>
      <c r="BS141" s="172">
        <f ca="1">(VLOOKUP(BS$72,INDIRECT($C$5&amp;"生成成长"),2))/((VLOOKUP($B141,INDIRECT($B$5&amp;"生成成长"),4))/(VLOOKUP(BS$72,INDIRECT($C$5&amp;"生成成长"),5))*(VLOOKUP($B$5,标准坦克设计!$B$24:$U$30,MATCH("对"&amp;LEFT($C$5,2)&amp;"输出",标准坦克设计!$B$23:$U$23,0)))*(VLOOKUP($B141,INDIRECT($B$5&amp;"生成成长"),3))*(VLOOKUP($B$5,标准坦克设计!$B$14:$K$20,9)/30))</f>
        <v>8.6664627737627971</v>
      </c>
      <c r="BT141" s="172">
        <f ca="1">(VLOOKUP(BT$72,INDIRECT($C$5&amp;"生成成长"),2))/((VLOOKUP($B141,INDIRECT($B$5&amp;"生成成长"),4))/(VLOOKUP(BT$72,INDIRECT($C$5&amp;"生成成长"),5))*(VLOOKUP($B$5,标准坦克设计!$B$24:$U$30,MATCH("对"&amp;LEFT($C$5,2)&amp;"输出",标准坦克设计!$B$23:$U$23,0)))*(VLOOKUP($B141,INDIRECT($B$5&amp;"生成成长"),3))*(VLOOKUP($B$5,标准坦克设计!$B$14:$K$20,9)/30))</f>
        <v>9.3824058703512421</v>
      </c>
      <c r="BU141" s="172">
        <f ca="1">(VLOOKUP(BU$72,INDIRECT($C$5&amp;"生成成长"),2))/((VLOOKUP($B141,INDIRECT($B$5&amp;"生成成长"),4))/(VLOOKUP(BU$72,INDIRECT($C$5&amp;"生成成长"),5))*(VLOOKUP($B$5,标准坦克设计!$B$24:$U$30,MATCH("对"&amp;LEFT($C$5,2)&amp;"输出",标准坦克设计!$B$23:$U$23,0)))*(VLOOKUP($B141,INDIRECT($B$5&amp;"生成成长"),3))*(VLOOKUP($B$5,标准坦克设计!$B$14:$K$20,9)/30))</f>
        <v>10.126759407280501</v>
      </c>
      <c r="BV141" s="172">
        <f ca="1">(VLOOKUP(BV$72,INDIRECT($C$5&amp;"生成成长"),2))/((VLOOKUP($B141,INDIRECT($B$5&amp;"生成成长"),4))/(VLOOKUP(BV$72,INDIRECT($C$5&amp;"生成成长"),5))*(VLOOKUP($B$5,标准坦克设计!$B$24:$U$30,MATCH("对"&amp;LEFT($C$5,2)&amp;"输出",标准坦克设计!$B$23:$U$23,0)))*(VLOOKUP($B141,INDIRECT($B$5&amp;"生成成长"),3))*(VLOOKUP($B$5,标准坦克设计!$B$14:$K$20,9)/30))</f>
        <v>10.899523384550569</v>
      </c>
      <c r="BW141" s="172">
        <f ca="1">(VLOOKUP(BW$72,INDIRECT($C$5&amp;"生成成长"),2))/((VLOOKUP($B141,INDIRECT($B$5&amp;"生成成长"),4))/(VLOOKUP(BW$72,INDIRECT($C$5&amp;"生成成长"),5))*(VLOOKUP($B$5,标准坦克设计!$B$24:$U$30,MATCH("对"&amp;LEFT($C$5,2)&amp;"输出",标准坦克设计!$B$23:$U$23,0)))*(VLOOKUP($B141,INDIRECT($B$5&amp;"生成成长"),3))*(VLOOKUP($B$5,标准坦克设计!$B$14:$K$20,9)/30))</f>
        <v>4.96742344138916</v>
      </c>
      <c r="BX141" s="172">
        <f ca="1">(VLOOKUP(BX$72,INDIRECT($C$5&amp;"生成成长"),2))/((VLOOKUP($B141,INDIRECT($B$5&amp;"生成成长"),4))/(VLOOKUP(BX$72,INDIRECT($C$5&amp;"生成成长"),5))*(VLOOKUP($B$5,标准坦克设计!$B$24:$U$30,MATCH("对"&amp;LEFT($C$5,2)&amp;"输出",标准坦克设计!$B$23:$U$23,0)))*(VLOOKUP($B141,INDIRECT($B$5&amp;"生成成长"),3))*(VLOOKUP($B$5,标准坦克设计!$B$14:$K$20,9)/30))</f>
        <v>5.5129038959327374</v>
      </c>
      <c r="BY141" s="172">
        <f ca="1">(VLOOKUP(BY$72,INDIRECT($C$5&amp;"生成成长"),2))/((VLOOKUP($B141,INDIRECT($B$5&amp;"生成成长"),4))/(VLOOKUP(BY$72,INDIRECT($C$5&amp;"生成成长"),5))*(VLOOKUP($B$5,标准坦克设计!$B$24:$U$30,MATCH("对"&amp;LEFT($C$5,2)&amp;"输出",标准坦克设计!$B$23:$U$23,0)))*(VLOOKUP($B141,INDIRECT($B$5&amp;"生成成长"),3))*(VLOOKUP($B$5,标准坦克设计!$B$14:$K$20,9)/30))</f>
        <v>6.0867947908171267</v>
      </c>
      <c r="BZ141" s="172">
        <f ca="1">(VLOOKUP(BZ$72,INDIRECT($C$5&amp;"生成成长"),2))/((VLOOKUP($B141,INDIRECT($B$5&amp;"生成成长"),4))/(VLOOKUP(BZ$72,INDIRECT($C$5&amp;"生成成长"),5))*(VLOOKUP($B$5,标准坦克设计!$B$24:$U$30,MATCH("对"&amp;LEFT($C$5,2)&amp;"输出",标准坦克设计!$B$23:$U$23,0)))*(VLOOKUP($B141,INDIRECT($B$5&amp;"生成成长"),3))*(VLOOKUP($B$5,标准坦克设计!$B$14:$K$20,9)/30))</f>
        <v>6.6890961260423261</v>
      </c>
      <c r="CA141" s="172">
        <f ca="1">(VLOOKUP(CA$72,INDIRECT($C$5&amp;"生成成长"),2))/((VLOOKUP($B141,INDIRECT($B$5&amp;"生成成长"),4))/(VLOOKUP(CA$72,INDIRECT($C$5&amp;"生成成长"),5))*(VLOOKUP($B$5,标准坦克设计!$B$24:$U$30,MATCH("对"&amp;LEFT($C$5,2)&amp;"输出",标准坦克设计!$B$23:$U$23,0)))*(VLOOKUP($B141,INDIRECT($B$5&amp;"生成成长"),3))*(VLOOKUP($B$5,标准坦克设计!$B$14:$K$20,9)/30))</f>
        <v>7.3198079016083391</v>
      </c>
      <c r="CB141" s="172">
        <f ca="1">(VLOOKUP(CB$72,INDIRECT($C$5&amp;"生成成长"),2))/((VLOOKUP($B141,INDIRECT($B$5&amp;"生成成长"),4))/(VLOOKUP(CB$72,INDIRECT($C$5&amp;"生成成长"),5))*(VLOOKUP($B$5,标准坦克设计!$B$24:$U$30,MATCH("对"&amp;LEFT($C$5,2)&amp;"输出",标准坦克设计!$B$23:$U$23,0)))*(VLOOKUP($B141,INDIRECT($B$5&amp;"生成成长"),3))*(VLOOKUP($B$5,标准坦克设计!$B$14:$K$20,9)/30))</f>
        <v>7.9789301175151621</v>
      </c>
      <c r="CC141" s="172">
        <f ca="1">(VLOOKUP(CC$72,INDIRECT($C$5&amp;"生成成长"),2))/((VLOOKUP($B141,INDIRECT($B$5&amp;"生成成长"),4))/(VLOOKUP(CC$72,INDIRECT($C$5&amp;"生成成长"),5))*(VLOOKUP($B$5,标准坦克设计!$B$24:$U$30,MATCH("对"&amp;LEFT($C$5,2)&amp;"输出",标准坦克设计!$B$23:$U$23,0)))*(VLOOKUP($B141,INDIRECT($B$5&amp;"生成成长"),3))*(VLOOKUP($B$5,标准坦克设计!$B$14:$K$20,9)/30))</f>
        <v>8.6664627737627971</v>
      </c>
      <c r="CD141" s="172">
        <f ca="1">(VLOOKUP(CD$72,INDIRECT($C$5&amp;"生成成长"),2))/((VLOOKUP($B141,INDIRECT($B$5&amp;"生成成长"),4))/(VLOOKUP(CD$72,INDIRECT($C$5&amp;"生成成长"),5))*(VLOOKUP($B$5,标准坦克设计!$B$24:$U$30,MATCH("对"&amp;LEFT($C$5,2)&amp;"输出",标准坦克设计!$B$23:$U$23,0)))*(VLOOKUP($B141,INDIRECT($B$5&amp;"生成成长"),3))*(VLOOKUP($B$5,标准坦克设计!$B$14:$K$20,9)/30))</f>
        <v>9.3824058703512421</v>
      </c>
      <c r="CE141" s="172">
        <f ca="1">(VLOOKUP(CE$72,INDIRECT($C$5&amp;"生成成长"),2))/((VLOOKUP($B141,INDIRECT($B$5&amp;"生成成长"),4))/(VLOOKUP(CE$72,INDIRECT($C$5&amp;"生成成长"),5))*(VLOOKUP($B$5,标准坦克设计!$B$24:$U$30,MATCH("对"&amp;LEFT($C$5,2)&amp;"输出",标准坦克设计!$B$23:$U$23,0)))*(VLOOKUP($B141,INDIRECT($B$5&amp;"生成成长"),3))*(VLOOKUP($B$5,标准坦克设计!$B$14:$K$20,9)/30))</f>
        <v>10.126759407280501</v>
      </c>
      <c r="CF141" s="172">
        <f ca="1">(VLOOKUP(CF$72,INDIRECT($C$5&amp;"生成成长"),2))/((VLOOKUP($B141,INDIRECT($B$5&amp;"生成成长"),4))/(VLOOKUP(CF$72,INDIRECT($C$5&amp;"生成成长"),5))*(VLOOKUP($B$5,标准坦克设计!$B$24:$U$30,MATCH("对"&amp;LEFT($C$5,2)&amp;"输出",标准坦克设计!$B$23:$U$23,0)))*(VLOOKUP($B141,INDIRECT($B$5&amp;"生成成长"),3))*(VLOOKUP($B$5,标准坦克设计!$B$14:$K$20,9)/30))</f>
        <v>10.899523384550569</v>
      </c>
      <c r="CG141" s="172">
        <f ca="1">(VLOOKUP(CG$72,INDIRECT($C$5&amp;"生成成长"),2))/((VLOOKUP($B141,INDIRECT($B$5&amp;"生成成长"),4))/(VLOOKUP(CG$72,INDIRECT($C$5&amp;"生成成长"),5))*(VLOOKUP($B$5,标准坦克设计!$B$24:$U$30,MATCH("对"&amp;LEFT($C$5,2)&amp;"输出",标准坦克设计!$B$23:$U$23,0)))*(VLOOKUP($B141,INDIRECT($B$5&amp;"生成成长"),3))*(VLOOKUP($B$5,标准坦克设计!$B$14:$K$20,9)/30))</f>
        <v>11.700697802161447</v>
      </c>
      <c r="CH141" s="172">
        <f ca="1">(VLOOKUP(CH$72,INDIRECT($C$5&amp;"生成成长"),2))/((VLOOKUP($B141,INDIRECT($B$5&amp;"生成成长"),4))/(VLOOKUP(CH$72,INDIRECT($C$5&amp;"生成成长"),5))*(VLOOKUP($B$5,标准坦克设计!$B$24:$U$30,MATCH("对"&amp;LEFT($C$5,2)&amp;"输出",标准坦克设计!$B$23:$U$23,0)))*(VLOOKUP($B141,INDIRECT($B$5&amp;"生成成长"),3))*(VLOOKUP($B$5,标准坦克设计!$B$14:$K$20,9)/30))</f>
        <v>12.530282660113139</v>
      </c>
      <c r="CI141" s="172">
        <f ca="1">(VLOOKUP(CI$72,INDIRECT($C$5&amp;"生成成长"),2))/((VLOOKUP($B141,INDIRECT($B$5&amp;"生成成长"),4))/(VLOOKUP(CI$72,INDIRECT($C$5&amp;"生成成长"),5))*(VLOOKUP($B$5,标准坦克设计!$B$24:$U$30,MATCH("对"&amp;LEFT($C$5,2)&amp;"输出",标准坦克设计!$B$23:$U$23,0)))*(VLOOKUP($B141,INDIRECT($B$5&amp;"生成成长"),3))*(VLOOKUP($B$5,标准坦克设计!$B$14:$K$20,9)/30))</f>
        <v>13.475640062453637</v>
      </c>
      <c r="CJ141" s="172">
        <f ca="1">(VLOOKUP(CJ$72,INDIRECT($C$5&amp;"生成成长"),2))/((VLOOKUP($B141,INDIRECT($B$5&amp;"生成成长"),4))/(VLOOKUP(CJ$72,INDIRECT($C$5&amp;"生成成长"),5))*(VLOOKUP($B$5,标准坦克设计!$B$24:$U$30,MATCH("对"&amp;LEFT($C$5,2)&amp;"输出",标准坦克设计!$B$23:$U$23,0)))*(VLOOKUP($B141,INDIRECT($B$5&amp;"生成成长"),3))*(VLOOKUP($B$5,标准坦克设计!$B$14:$K$20,9)/30))</f>
        <v>14.455374097606517</v>
      </c>
      <c r="CK141" s="172">
        <f ca="1">(VLOOKUP(CK$72,INDIRECT($C$5&amp;"生成成长"),2))/((VLOOKUP($B141,INDIRECT($B$5&amp;"生成成长"),4))/(VLOOKUP(CK$72,INDIRECT($C$5&amp;"生成成长"),5))*(VLOOKUP($B$5,标准坦克设计!$B$24:$U$30,MATCH("对"&amp;LEFT($C$5,2)&amp;"输出",标准坦克设计!$B$23:$U$23,0)))*(VLOOKUP($B141,INDIRECT($B$5&amp;"生成成长"),3))*(VLOOKUP($B$5,标准坦克设计!$B$14:$K$20,9)/30))</f>
        <v>15.469484765571774</v>
      </c>
      <c r="CL141" s="172">
        <f ca="1">(VLOOKUP(CL$72,INDIRECT($C$5&amp;"生成成长"),2))/((VLOOKUP($B141,INDIRECT($B$5&amp;"生成成长"),4))/(VLOOKUP(CL$72,INDIRECT($C$5&amp;"生成成长"),5))*(VLOOKUP($B$5,标准坦克设计!$B$24:$U$30,MATCH("对"&amp;LEFT($C$5,2)&amp;"输出",标准坦克设计!$B$23:$U$23,0)))*(VLOOKUP($B141,INDIRECT($B$5&amp;"生成成长"),3))*(VLOOKUP($B$5,标准坦克设计!$B$14:$K$20,9)/30))</f>
        <v>16.517972066349419</v>
      </c>
      <c r="CM141" s="172">
        <f ca="1">(VLOOKUP(CM$72,INDIRECT($C$5&amp;"生成成长"),2))/((VLOOKUP($B141,INDIRECT($B$5&amp;"生成成长"),4))/(VLOOKUP(CM$72,INDIRECT($C$5&amp;"生成成长"),5))*(VLOOKUP($B$5,标准坦克设计!$B$24:$U$30,MATCH("对"&amp;LEFT($C$5,2)&amp;"输出",标准坦克设计!$B$23:$U$23,0)))*(VLOOKUP($B141,INDIRECT($B$5&amp;"生成成长"),3))*(VLOOKUP($B$5,标准坦克设计!$B$14:$K$20,9)/30))</f>
        <v>17.600835999939445</v>
      </c>
      <c r="CN141" s="172">
        <f ca="1">(VLOOKUP(CN$72,INDIRECT($C$5&amp;"生成成长"),2))/((VLOOKUP($B141,INDIRECT($B$5&amp;"生成成长"),4))/(VLOOKUP(CN$72,INDIRECT($C$5&amp;"生成成长"),5))*(VLOOKUP($B$5,标准坦克设计!$B$24:$U$30,MATCH("对"&amp;LEFT($C$5,2)&amp;"输出",标准坦克设计!$B$23:$U$23,0)))*(VLOOKUP($B141,INDIRECT($B$5&amp;"生成成长"),3))*(VLOOKUP($B$5,标准坦克设计!$B$14:$K$20,9)/30))</f>
        <v>18.71807656634185</v>
      </c>
      <c r="CO141" s="172">
        <f ca="1">(VLOOKUP(CO$72,INDIRECT($C$5&amp;"生成成长"),2))/((VLOOKUP($B141,INDIRECT($B$5&amp;"生成成长"),4))/(VLOOKUP(CO$72,INDIRECT($C$5&amp;"生成成长"),5))*(VLOOKUP($B$5,标准坦克设计!$B$24:$U$30,MATCH("对"&amp;LEFT($C$5,2)&amp;"输出",标准坦克设计!$B$23:$U$23,0)))*(VLOOKUP($B141,INDIRECT($B$5&amp;"生成成长"),3))*(VLOOKUP($B$5,标准坦克设计!$B$14:$K$20,9)/30))</f>
        <v>8.3880404584228447</v>
      </c>
      <c r="CP141" s="172">
        <f ca="1">(VLOOKUP(CP$72,INDIRECT($C$5&amp;"生成成长"),2))/((VLOOKUP($B141,INDIRECT($B$5&amp;"生成成长"),4))/(VLOOKUP(CP$72,INDIRECT($C$5&amp;"生成成长"),5))*(VLOOKUP($B$5,标准坦克设计!$B$24:$U$30,MATCH("对"&amp;LEFT($C$5,2)&amp;"输出",标准坦克设计!$B$23:$U$23,0)))*(VLOOKUP($B141,INDIRECT($B$5&amp;"生成成长"),3))*(VLOOKUP($B$5,标准坦克设计!$B$14:$K$20,9)/30))</f>
        <v>9.1646398451389217</v>
      </c>
      <c r="CQ141" s="172">
        <f ca="1">(VLOOKUP(CQ$72,INDIRECT($C$5&amp;"生成成长"),2))/((VLOOKUP($B141,INDIRECT($B$5&amp;"生成成长"),4))/(VLOOKUP(CQ$72,INDIRECT($C$5&amp;"生成成长"),5))*(VLOOKUP($B$5,标准坦克设计!$B$24:$U$30,MATCH("对"&amp;LEFT($C$5,2)&amp;"输出",标准坦克设计!$B$23:$U$23,0)))*(VLOOKUP($B141,INDIRECT($B$5&amp;"生成成长"),3))*(VLOOKUP($B$5,标准坦克设计!$B$14:$K$20,9)/30))</f>
        <v>9.9756158646673825</v>
      </c>
      <c r="CR141" s="172">
        <f ca="1">(VLOOKUP(CR$72,INDIRECT($C$5&amp;"生成成长"),2))/((VLOOKUP($B141,INDIRECT($B$5&amp;"生成成长"),4))/(VLOOKUP(CR$72,INDIRECT($C$5&amp;"生成成长"),5))*(VLOOKUP($B$5,标准坦克设计!$B$24:$U$30,MATCH("对"&amp;LEFT($C$5,2)&amp;"输出",标准坦克设计!$B$23:$U$23,0)))*(VLOOKUP($B141,INDIRECT($B$5&amp;"生成成长"),3))*(VLOOKUP($B$5,标准坦克设计!$B$14:$K$20,9)/30))</f>
        <v>10.820968517008223</v>
      </c>
      <c r="CS141" s="172">
        <f ca="1">(VLOOKUP(CS$72,INDIRECT($C$5&amp;"生成成长"),2))/((VLOOKUP($B141,INDIRECT($B$5&amp;"生成成长"),4))/(VLOOKUP(CS$72,INDIRECT($C$5&amp;"生成成长"),5))*(VLOOKUP($B$5,标准坦克设计!$B$24:$U$30,MATCH("对"&amp;LEFT($C$5,2)&amp;"输出",标准坦克设计!$B$23:$U$23,0)))*(VLOOKUP($B141,INDIRECT($B$5&amp;"生成成长"),3))*(VLOOKUP($B$5,标准坦克设计!$B$14:$K$20,9)/30))</f>
        <v>11.700697802161447</v>
      </c>
      <c r="CT141" s="172">
        <f ca="1">(VLOOKUP(CT$72,INDIRECT($C$5&amp;"生成成长"),2))/((VLOOKUP($B141,INDIRECT($B$5&amp;"生成成长"),4))/(VLOOKUP(CT$72,INDIRECT($C$5&amp;"生成成长"),5))*(VLOOKUP($B$5,标准坦克设计!$B$24:$U$30,MATCH("对"&amp;LEFT($C$5,2)&amp;"输出",标准坦克设计!$B$23:$U$23,0)))*(VLOOKUP($B141,INDIRECT($B$5&amp;"生成成长"),3))*(VLOOKUP($B$5,标准坦克设计!$B$14:$K$20,9)/30))</f>
        <v>12.614803720127053</v>
      </c>
      <c r="CU141" s="172">
        <f ca="1">(VLOOKUP(CU$72,INDIRECT($C$5&amp;"生成成长"),2))/((VLOOKUP($B141,INDIRECT($B$5&amp;"生成成长"),4))/(VLOOKUP(CU$72,INDIRECT($C$5&amp;"生成成长"),5))*(VLOOKUP($B$5,标准坦克设计!$B$24:$U$30,MATCH("对"&amp;LEFT($C$5,2)&amp;"输出",标准坦克设计!$B$23:$U$23,0)))*(VLOOKUP($B141,INDIRECT($B$5&amp;"生成成长"),3))*(VLOOKUP($B$5,标准坦克设计!$B$14:$K$20,9)/30))</f>
        <v>13.563286270905037</v>
      </c>
      <c r="CV141" s="172">
        <f ca="1">(VLOOKUP(CV$72,INDIRECT($C$5&amp;"生成成长"),2))/((VLOOKUP($B141,INDIRECT($B$5&amp;"生成成长"),4))/(VLOOKUP(CV$72,INDIRECT($C$5&amp;"生成成长"),5))*(VLOOKUP($B$5,标准坦克设计!$B$24:$U$30,MATCH("对"&amp;LEFT($C$5,2)&amp;"输出",标准坦克设计!$B$23:$U$23,0)))*(VLOOKUP($B141,INDIRECT($B$5&amp;"生成成长"),3))*(VLOOKUP($B$5,标准坦克设计!$B$14:$K$20,9)/30))</f>
        <v>14.546145454495409</v>
      </c>
      <c r="CW141" s="172">
        <f ca="1">(VLOOKUP(CW$72,INDIRECT($C$5&amp;"生成成长"),2))/((VLOOKUP($B141,INDIRECT($B$5&amp;"生成成长"),4))/(VLOOKUP(CW$72,INDIRECT($C$5&amp;"生成成长"),5))*(VLOOKUP($B$5,标准坦克设计!$B$24:$U$30,MATCH("对"&amp;LEFT($C$5,2)&amp;"输出",标准坦克设计!$B$23:$U$23,0)))*(VLOOKUP($B141,INDIRECT($B$5&amp;"生成成长"),3))*(VLOOKUP($B$5,标准坦克设计!$B$14:$K$20,9)/30))</f>
        <v>15.56338127089816</v>
      </c>
      <c r="CX141" s="172">
        <f ca="1">(VLOOKUP(CX$72,INDIRECT($C$5&amp;"生成成长"),2))/((VLOOKUP($B141,INDIRECT($B$5&amp;"生成成长"),4))/(VLOOKUP(CX$72,INDIRECT($C$5&amp;"生成成长"),5))*(VLOOKUP($B$5,标准坦克设计!$B$24:$U$30,MATCH("对"&amp;LEFT($C$5,2)&amp;"输出",标准坦克设计!$B$23:$U$23,0)))*(VLOOKUP($B141,INDIRECT($B$5&amp;"生成成长"),3))*(VLOOKUP($B$5,标准坦克设计!$B$14:$K$20,9)/30))</f>
        <v>16.61499372011329</v>
      </c>
      <c r="CY141" s="172">
        <f ca="1">(VLOOKUP(CY$72,INDIRECT($C$5&amp;"生成成长"),2))/((VLOOKUP($B141,INDIRECT($B$5&amp;"生成成长"),4))/(VLOOKUP(CY$72,INDIRECT($C$5&amp;"生成成长"),5))*(VLOOKUP($B$5,标准坦克设计!$B$24:$U$30,MATCH("对"&amp;LEFT($C$5,2)&amp;"输出",标准坦克设计!$B$23:$U$23,0)))*(VLOOKUP($B141,INDIRECT($B$5&amp;"生成成长"),3))*(VLOOKUP($B$5,标准坦克设计!$B$14:$K$20,9)/30))</f>
        <v>17.700982802140803</v>
      </c>
      <c r="CZ141" s="172">
        <f ca="1">(VLOOKUP(CZ$72,INDIRECT($C$5&amp;"生成成长"),2))/((VLOOKUP($B141,INDIRECT($B$5&amp;"生成成长"),4))/(VLOOKUP(CZ$72,INDIRECT($C$5&amp;"生成成长"),5))*(VLOOKUP($B$5,标准坦克设计!$B$24:$U$30,MATCH("对"&amp;LEFT($C$5,2)&amp;"输出",标准坦克设计!$B$23:$U$23,0)))*(VLOOKUP($B141,INDIRECT($B$5&amp;"生成成长"),3))*(VLOOKUP($B$5,标准坦克设计!$B$14:$K$20,9)/30))</f>
        <v>18.821348516980695</v>
      </c>
      <c r="DA141" s="172">
        <f ca="1">(VLOOKUP(DA$72,INDIRECT($C$5&amp;"生成成长"),2))/((VLOOKUP($B141,INDIRECT($B$5&amp;"生成成长"),4))/(VLOOKUP(DA$72,INDIRECT($C$5&amp;"生成成长"),5))*(VLOOKUP($B$5,标准坦克设计!$B$24:$U$30,MATCH("对"&amp;LEFT($C$5,2)&amp;"输出",标准坦克设计!$B$23:$U$23,0)))*(VLOOKUP($B141,INDIRECT($B$5&amp;"生成成长"),3))*(VLOOKUP($B$5,标准坦克设计!$B$14:$K$20,9)/30))</f>
        <v>19.97609086463298</v>
      </c>
      <c r="DB141" s="172">
        <f ca="1">(VLOOKUP(DB$72,INDIRECT($C$5&amp;"生成成长"),2))/((VLOOKUP($B141,INDIRECT($B$5&amp;"生成成长"),4))/(VLOOKUP(DB$72,INDIRECT($C$5&amp;"生成成长"),5))*(VLOOKUP($B$5,标准坦克设计!$B$24:$U$30,MATCH("对"&amp;LEFT($C$5,2)&amp;"输出",标准坦克设计!$B$23:$U$23,0)))*(VLOOKUP($B141,INDIRECT($B$5&amp;"生成成长"),3))*(VLOOKUP($B$5,标准坦克设计!$B$14:$K$20,9)/30))</f>
        <v>21.165209845097635</v>
      </c>
      <c r="DC141" s="172">
        <f ca="1">(VLOOKUP(DC$72,INDIRECT($C$5&amp;"生成成长"),2))/((VLOOKUP($B141,INDIRECT($B$5&amp;"生成成长"),4))/(VLOOKUP(DC$72,INDIRECT($C$5&amp;"生成成长"),5))*(VLOOKUP($B$5,标准坦克设计!$B$24:$U$30,MATCH("对"&amp;LEFT($C$5,2)&amp;"输出",标准坦克设计!$B$23:$U$23,0)))*(VLOOKUP($B141,INDIRECT($B$5&amp;"生成成长"),3))*(VLOOKUP($B$5,标准坦克设计!$B$14:$K$20,9)/30))</f>
        <v>22.501636958729403</v>
      </c>
      <c r="DD141" s="172">
        <f ca="1">(VLOOKUP(DD$72,INDIRECT($C$5&amp;"生成成长"),2))/((VLOOKUP($B141,INDIRECT($B$5&amp;"生成成长"),4))/(VLOOKUP(DD$72,INDIRECT($C$5&amp;"生成成长"),5))*(VLOOKUP($B$5,标准坦克设计!$B$24:$U$30,MATCH("对"&amp;LEFT($C$5,2)&amp;"输出",标准坦克设计!$B$23:$U$23,0)))*(VLOOKUP($B141,INDIRECT($B$5&amp;"生成成长"),3))*(VLOOKUP($B$5,标准坦克设计!$B$14:$K$20,9)/30))</f>
        <v>23.878975106451932</v>
      </c>
      <c r="DE141" s="172">
        <f ca="1">(VLOOKUP(DE$72,INDIRECT($C$5&amp;"生成成长"),2))/((VLOOKUP($B141,INDIRECT($B$5&amp;"生成成长"),4))/(VLOOKUP(DE$72,INDIRECT($C$5&amp;"生成成长"),5))*(VLOOKUP($B$5,标准坦克设计!$B$24:$U$30,MATCH("对"&amp;LEFT($C$5,2)&amp;"输出",标准坦克设计!$B$23:$U$23,0)))*(VLOOKUP($B141,INDIRECT($B$5&amp;"生成成长"),3))*(VLOOKUP($B$5,标准坦克设计!$B$14:$K$20,9)/30))</f>
        <v>25.297224288265241</v>
      </c>
      <c r="DF141" s="172">
        <f ca="1">(VLOOKUP(DF$72,INDIRECT($C$5&amp;"生成成长"),2))/((VLOOKUP($B141,INDIRECT($B$5&amp;"生成成长"),4))/(VLOOKUP(DF$72,INDIRECT($C$5&amp;"生成成长"),5))*(VLOOKUP($B$5,标准坦克设计!$B$24:$U$30,MATCH("对"&amp;LEFT($C$5,2)&amp;"输出",标准坦克设计!$B$23:$U$23,0)))*(VLOOKUP($B141,INDIRECT($B$5&amp;"生成成长"),3))*(VLOOKUP($B$5,标准坦克设计!$B$14:$K$20,9)/30))</f>
        <v>26.756384504169304</v>
      </c>
      <c r="DG141" s="172">
        <f ca="1">(VLOOKUP(DG$72,INDIRECT($C$5&amp;"生成成长"),2))/((VLOOKUP($B141,INDIRECT($B$5&amp;"生成成长"),4))/(VLOOKUP(DG$72,INDIRECT($C$5&amp;"生成成长"),5))*(VLOOKUP($B$5,标准坦克设计!$B$24:$U$30,MATCH("对"&amp;LEFT($C$5,2)&amp;"输出",标准坦克设计!$B$23:$U$23,0)))*(VLOOKUP($B141,INDIRECT($B$5&amp;"生成成长"),3))*(VLOOKUP($B$5,标准坦克设计!$B$14:$K$20,9)/30))</f>
        <v>28.25645575416414</v>
      </c>
      <c r="DH141" s="172">
        <f ca="1">(VLOOKUP(DH$72,INDIRECT($C$5&amp;"生成成长"),2))/((VLOOKUP($B141,INDIRECT($B$5&amp;"生成成长"),4))/(VLOOKUP(DH$72,INDIRECT($C$5&amp;"生成成长"),5))*(VLOOKUP($B$5,标准坦克设计!$B$24:$U$30,MATCH("对"&amp;LEFT($C$5,2)&amp;"输出",标准坦克设计!$B$23:$U$23,0)))*(VLOOKUP($B141,INDIRECT($B$5&amp;"生成成长"),3))*(VLOOKUP($B$5,标准坦克设计!$B$14:$K$20,9)/30))</f>
        <v>29.797438038249755</v>
      </c>
      <c r="DI141" s="172">
        <f ca="1">(VLOOKUP(DI$72,INDIRECT($C$5&amp;"生成成长"),2))/((VLOOKUP($B141,INDIRECT($B$5&amp;"生成成长"),4))/(VLOOKUP(DI$72,INDIRECT($C$5&amp;"生成成长"),5))*(VLOOKUP($B$5,标准坦克设计!$B$24:$U$30,MATCH("对"&amp;LEFT($C$5,2)&amp;"输出",标准坦克设计!$B$23:$U$23,0)))*(VLOOKUP($B141,INDIRECT($B$5&amp;"生成成长"),3))*(VLOOKUP($B$5,标准坦克设计!$B$14:$K$20,9)/30))</f>
        <v>31.379331356426125</v>
      </c>
      <c r="DJ141" s="172">
        <f ca="1">(VLOOKUP(DJ$72,INDIRECT($C$5&amp;"生成成长"),2))/((VLOOKUP($B141,INDIRECT($B$5&amp;"生成成长"),4))/(VLOOKUP(DJ$72,INDIRECT($C$5&amp;"生成成长"),5))*(VLOOKUP($B$5,标准坦克设计!$B$24:$U$30,MATCH("对"&amp;LEFT($C$5,2)&amp;"输出",标准坦克设计!$B$23:$U$23,0)))*(VLOOKUP($B141,INDIRECT($B$5&amp;"生成成长"),3))*(VLOOKUP($B$5,标准坦克设计!$B$14:$K$20,9)/30))</f>
        <v>3.1537009300317633</v>
      </c>
      <c r="DK141" s="172">
        <f ca="1">(VLOOKUP(DK$72,INDIRECT($C$5&amp;"生成成长"),2))/((VLOOKUP($B141,INDIRECT($B$5&amp;"生成成长"),4))/(VLOOKUP(DK$72,INDIRECT($C$5&amp;"生成成长"),5))*(VLOOKUP($B$5,标准坦克设计!$B$24:$U$30,MATCH("对"&amp;LEFT($C$5,2)&amp;"输出",标准坦克设计!$B$23:$U$23,0)))*(VLOOKUP($B141,INDIRECT($B$5&amp;"生成成长"),3))*(VLOOKUP($B$5,标准坦克设计!$B$14:$K$20,9)/30))</f>
        <v>3.5461911633400724</v>
      </c>
      <c r="DL141" s="172">
        <f ca="1">(VLOOKUP(DL$72,INDIRECT($C$5&amp;"生成成长"),2))/((VLOOKUP($B141,INDIRECT($B$5&amp;"生成成长"),4))/(VLOOKUP(DL$72,INDIRECT($C$5&amp;"生成成长"),5))*(VLOOKUP($B$5,标准坦克设计!$B$24:$U$30,MATCH("对"&amp;LEFT($C$5,2)&amp;"输出",标准坦克设计!$B$23:$U$23,0)))*(VLOOKUP($B141,INDIRECT($B$5&amp;"生成成长"),3))*(VLOOKUP($B$5,标准坦克设计!$B$14:$K$20,9)/30))</f>
        <v>3.9616938533244377</v>
      </c>
      <c r="DM141" s="172">
        <f ca="1">(VLOOKUP(DM$72,INDIRECT($C$5&amp;"生成成长"),2))/((VLOOKUP($B141,INDIRECT($B$5&amp;"生成成长"),4))/(VLOOKUP(DM$72,INDIRECT($C$5&amp;"生成成长"),5))*(VLOOKUP($B$5,标准坦克设计!$B$24:$U$30,MATCH("对"&amp;LEFT($C$5,2)&amp;"输出",标准坦克设计!$B$23:$U$23,0)))*(VLOOKUP($B141,INDIRECT($B$5&amp;"生成成长"),3))*(VLOOKUP($B$5,标准坦克设计!$B$14:$K$20,9)/30))</f>
        <v>4.4002089999848613</v>
      </c>
      <c r="DN141" s="172">
        <f ca="1">(VLOOKUP(DN$72,INDIRECT($C$5&amp;"生成成长"),2))/((VLOOKUP($B141,INDIRECT($B$5&amp;"生成成长"),4))/(VLOOKUP(DN$72,INDIRECT($C$5&amp;"生成成长"),5))*(VLOOKUP($B$5,标准坦克设计!$B$24:$U$30,MATCH("对"&amp;LEFT($C$5,2)&amp;"输出",标准坦克设计!$B$23:$U$23,0)))*(VLOOKUP($B141,INDIRECT($B$5&amp;"生成成长"),3))*(VLOOKUP($B$5,标准坦克设计!$B$14:$K$20,9)/30))</f>
        <v>4.8617366033213409</v>
      </c>
      <c r="DO141" s="172">
        <f ca="1">(VLOOKUP(DO$72,INDIRECT($C$5&amp;"生成成长"),2))/((VLOOKUP($B141,INDIRECT($B$5&amp;"生成成长"),4))/(VLOOKUP(DO$72,INDIRECT($C$5&amp;"生成成长"),5))*(VLOOKUP($B$5,标准坦克设计!$B$24:$U$30,MATCH("对"&amp;LEFT($C$5,2)&amp;"输出",标准坦克设计!$B$23:$U$23,0)))*(VLOOKUP($B141,INDIRECT($B$5&amp;"生成成长"),3))*(VLOOKUP($B$5,标准坦克设计!$B$14:$K$20,9)/30))</f>
        <v>5.346276663333879</v>
      </c>
      <c r="DP141" s="172">
        <f ca="1">(VLOOKUP(DP$72,INDIRECT($C$5&amp;"生成成长"),2))/((VLOOKUP($B141,INDIRECT($B$5&amp;"生成成长"),4))/(VLOOKUP(DP$72,INDIRECT($C$5&amp;"生成成长"),5))*(VLOOKUP($B$5,标准坦克设计!$B$24:$U$30,MATCH("对"&amp;LEFT($C$5,2)&amp;"输出",标准坦克设计!$B$23:$U$23,0)))*(VLOOKUP($B141,INDIRECT($B$5&amp;"生成成长"),3))*(VLOOKUP($B$5,标准坦克设计!$B$14:$K$20,9)/30))</f>
        <v>5.8538291800224727</v>
      </c>
      <c r="DQ141" s="172">
        <f ca="1">(VLOOKUP(DQ$72,INDIRECT($C$5&amp;"生成成长"),2))/((VLOOKUP($B141,INDIRECT($B$5&amp;"生成成长"),4))/(VLOOKUP(DQ$72,INDIRECT($C$5&amp;"生成成长"),5))*(VLOOKUP($B$5,标准坦克设计!$B$24:$U$30,MATCH("对"&amp;LEFT($C$5,2)&amp;"输出",标准坦克设计!$B$23:$U$23,0)))*(VLOOKUP($B141,INDIRECT($B$5&amp;"生成成长"),3))*(VLOOKUP($B$5,标准坦克设计!$B$14:$K$20,9)/30))</f>
        <v>6.3843941533871265</v>
      </c>
      <c r="DR141" s="172">
        <f ca="1">(VLOOKUP(DR$72,INDIRECT($C$5&amp;"生成成长"),2))/((VLOOKUP($B141,INDIRECT($B$5&amp;"生成成长"),4))/(VLOOKUP(DR$72,INDIRECT($C$5&amp;"生成成长"),5))*(VLOOKUP($B$5,标准坦克设计!$B$24:$U$30,MATCH("对"&amp;LEFT($C$5,2)&amp;"输出",标准坦克设计!$B$23:$U$23,0)))*(VLOOKUP($B141,INDIRECT($B$5&amp;"生成成长"),3))*(VLOOKUP($B$5,标准坦克设计!$B$14:$K$20,9)/30))</f>
        <v>6.9379715834278342</v>
      </c>
      <c r="DS141" s="172">
        <f ca="1">(VLOOKUP(DS$72,INDIRECT($C$5&amp;"生成成长"),2))/((VLOOKUP($B141,INDIRECT($B$5&amp;"生成成长"),4))/(VLOOKUP(DS$72,INDIRECT($C$5&amp;"生成成长"),5))*(VLOOKUP($B$5,标准坦克设计!$B$24:$U$30,MATCH("对"&amp;LEFT($C$5,2)&amp;"输出",标准坦克设计!$B$23:$U$23,0)))*(VLOOKUP($B141,INDIRECT($B$5&amp;"生成成长"),3))*(VLOOKUP($B$5,标准坦克设计!$B$14:$K$20,9)/30))</f>
        <v>7.5145614701446011</v>
      </c>
      <c r="DT141" s="172">
        <f ca="1">(VLOOKUP(DT$72,INDIRECT($C$5&amp;"生成成长"),2))/((VLOOKUP($B141,INDIRECT($B$5&amp;"生成成长"),4))/(VLOOKUP(DT$72,INDIRECT($C$5&amp;"生成成长"),5))*(VLOOKUP($B$5,标准坦克设计!$B$24:$U$30,MATCH("对"&amp;LEFT($C$5,2)&amp;"输出",标准坦克设计!$B$23:$U$23,0)))*(VLOOKUP($B141,INDIRECT($B$5&amp;"生成成长"),3))*(VLOOKUP($B$5,标准坦克设计!$B$14:$K$20,9)/30))</f>
        <v>8.2505339271733202</v>
      </c>
      <c r="DU141" s="172">
        <f ca="1">(VLOOKUP(DU$72,INDIRECT($C$5&amp;"生成成长"),2))/((VLOOKUP($B141,INDIRECT($B$5&amp;"生成成长"),4))/(VLOOKUP(DU$72,INDIRECT($C$5&amp;"生成成长"),5))*(VLOOKUP($B$5,标准坦克设计!$B$24:$U$30,MATCH("对"&amp;LEFT($C$5,2)&amp;"输出",标准坦克设计!$B$23:$U$23,0)))*(VLOOKUP($B141,INDIRECT($B$5&amp;"生成成长"),3))*(VLOOKUP($B$5,标准坦克设计!$B$14:$K$20,9)/30))</f>
        <v>9.0208830170144196</v>
      </c>
      <c r="DV141" s="172">
        <f ca="1">(VLOOKUP(DV$72,INDIRECT($C$5&amp;"生成成长"),2))/((VLOOKUP($B141,INDIRECT($B$5&amp;"生成成长"),4))/(VLOOKUP(DV$72,INDIRECT($C$5&amp;"生成成长"),5))*(VLOOKUP($B$5,标准坦克设计!$B$24:$U$30,MATCH("对"&amp;LEFT($C$5,2)&amp;"输出",标准坦克设计!$B$23:$U$23,0)))*(VLOOKUP($B141,INDIRECT($B$5&amp;"生成成长"),3))*(VLOOKUP($B$5,标准坦克设计!$B$14:$K$20,9)/30))</f>
        <v>9.8256087396678975</v>
      </c>
      <c r="DW141" s="172">
        <f ca="1">(VLOOKUP(DW$72,INDIRECT($C$5&amp;"生成成长"),2))/((VLOOKUP($B141,INDIRECT($B$5&amp;"生成成长"),4))/(VLOOKUP(DW$72,INDIRECT($C$5&amp;"生成成长"),5))*(VLOOKUP($B$5,标准坦克设计!$B$24:$U$30,MATCH("对"&amp;LEFT($C$5,2)&amp;"输出",标准坦克设计!$B$23:$U$23,0)))*(VLOOKUP($B141,INDIRECT($B$5&amp;"生成成长"),3))*(VLOOKUP($B$5,标准坦克设计!$B$14:$K$20,9)/30))</f>
        <v>10.664711095133764</v>
      </c>
      <c r="DX141" s="172">
        <f ca="1">(VLOOKUP(DX$72,INDIRECT($C$5&amp;"生成成长"),2))/((VLOOKUP($B141,INDIRECT($B$5&amp;"生成成长"),4))/(VLOOKUP(DX$72,INDIRECT($C$5&amp;"生成成长"),5))*(VLOOKUP($B$5,标准坦克设计!$B$24:$U$30,MATCH("对"&amp;LEFT($C$5,2)&amp;"输出",标准坦克设计!$B$23:$U$23,0)))*(VLOOKUP($B141,INDIRECT($B$5&amp;"生成成长"),3))*(VLOOKUP($B$5,标准坦克设计!$B$14:$K$20,9)/30))</f>
        <v>11.538190083412008</v>
      </c>
      <c r="DY141" s="172">
        <f ca="1">(VLOOKUP(DY$72,INDIRECT($C$5&amp;"生成成长"),2))/((VLOOKUP($B141,INDIRECT($B$5&amp;"生成成长"),4))/(VLOOKUP(DY$72,INDIRECT($C$5&amp;"生成成长"),5))*(VLOOKUP($B$5,标准坦克设计!$B$24:$U$30,MATCH("对"&amp;LEFT($C$5,2)&amp;"输出",标准坦克设计!$B$23:$U$23,0)))*(VLOOKUP($B141,INDIRECT($B$5&amp;"生成成长"),3))*(VLOOKUP($B$5,标准坦克设计!$B$14:$K$20,9)/30))</f>
        <v>5.1822063703656926</v>
      </c>
      <c r="DZ141" s="172">
        <f ca="1">(VLOOKUP(DZ$72,INDIRECT($C$5&amp;"生成成长"),2))/((VLOOKUP($B141,INDIRECT($B$5&amp;"生成成长"),4))/(VLOOKUP(DZ$72,INDIRECT($C$5&amp;"生成成长"),5))*(VLOOKUP($B$5,标准坦克设计!$B$24:$U$30,MATCH("对"&amp;LEFT($C$5,2)&amp;"输出",标准坦克设计!$B$23:$U$23,0)))*(VLOOKUP($B141,INDIRECT($B$5&amp;"生成成长"),3))*(VLOOKUP($B$5,标准坦克设计!$B$14:$K$20,9)/30))</f>
        <v>5.7390510010455955</v>
      </c>
      <c r="EA141" s="172">
        <f ca="1">(VLOOKUP(EA$72,INDIRECT($C$5&amp;"生成成长"),2))/((VLOOKUP($B141,INDIRECT($B$5&amp;"生成成长"),4))/(VLOOKUP(EA$72,INDIRECT($C$5&amp;"生成成长"),5))*(VLOOKUP($B$5,标准坦克设计!$B$24:$U$30,MATCH("对"&amp;LEFT($C$5,2)&amp;"输出",标准坦克设计!$B$23:$U$23,0)))*(VLOOKUP($B141,INDIRECT($B$5&amp;"生成成长"),3))*(VLOOKUP($B$5,标准坦克设计!$B$14:$K$20,9)/30))</f>
        <v>6.3243060720663102</v>
      </c>
      <c r="EB141" s="172">
        <f ca="1">(VLOOKUP(EB$72,INDIRECT($C$5&amp;"生成成长"),2))/((VLOOKUP($B141,INDIRECT($B$5&amp;"生成成长"),4))/(VLOOKUP(EB$72,INDIRECT($C$5&amp;"生成成长"),5))*(VLOOKUP($B$5,标准坦克设计!$B$24:$U$30,MATCH("对"&amp;LEFT($C$5,2)&amp;"输出",标准坦克设计!$B$23:$U$23,0)))*(VLOOKUP($B141,INDIRECT($B$5&amp;"生成成长"),3))*(VLOOKUP($B$5,标准坦克设计!$B$14:$K$20,9)/30))</f>
        <v>6.9379715834278342</v>
      </c>
      <c r="EC141" s="172">
        <f ca="1">(VLOOKUP(EC$72,INDIRECT($C$5&amp;"生成成长"),2))/((VLOOKUP($B141,INDIRECT($B$5&amp;"生成成长"),4))/(VLOOKUP(EC$72,INDIRECT($C$5&amp;"生成成长"),5))*(VLOOKUP($B$5,标准坦克设计!$B$24:$U$30,MATCH("对"&amp;LEFT($C$5,2)&amp;"输出",标准坦克设计!$B$23:$U$23,0)))*(VLOOKUP($B141,INDIRECT($B$5&amp;"生成成长"),3))*(VLOOKUP($B$5,标准坦克设计!$B$14:$K$20,9)/30))</f>
        <v>7.5800475351301699</v>
      </c>
      <c r="ED141" s="172">
        <f ca="1">(VLOOKUP(ED$72,INDIRECT($C$5&amp;"生成成长"),2))/((VLOOKUP($B141,INDIRECT($B$5&amp;"生成成长"),4))/(VLOOKUP(ED$72,INDIRECT($C$5&amp;"生成成长"),5))*(VLOOKUP($B$5,标准坦克设计!$B$24:$U$30,MATCH("对"&amp;LEFT($C$5,2)&amp;"输出",标准坦克设计!$B$23:$U$23,0)))*(VLOOKUP($B141,INDIRECT($B$5&amp;"生成成长"),3))*(VLOOKUP($B$5,标准坦克设计!$B$14:$K$20,9)/30))</f>
        <v>8.2505339271733202</v>
      </c>
      <c r="EE141" s="172">
        <f ca="1">(VLOOKUP(EE$72,INDIRECT($C$5&amp;"生成成长"),2))/((VLOOKUP($B141,INDIRECT($B$5&amp;"生成成长"),4))/(VLOOKUP(EE$72,INDIRECT($C$5&amp;"生成成长"),5))*(VLOOKUP($B$5,标准坦克设计!$B$24:$U$30,MATCH("对"&amp;LEFT($C$5,2)&amp;"输出",标准坦克设计!$B$23:$U$23,0)))*(VLOOKUP($B141,INDIRECT($B$5&amp;"生成成长"),3))*(VLOOKUP($B$5,标准坦克设计!$B$14:$K$20,9)/30))</f>
        <v>8.9494307595572771</v>
      </c>
      <c r="EF141" s="172">
        <f ca="1">(VLOOKUP(EF$72,INDIRECT($C$5&amp;"生成成长"),2))/((VLOOKUP($B141,INDIRECT($B$5&amp;"生成成长"),4))/(VLOOKUP(EF$72,INDIRECT($C$5&amp;"生成成长"),5))*(VLOOKUP($B$5,标准坦克设计!$B$24:$U$30,MATCH("对"&amp;LEFT($C$5,2)&amp;"输出",标准坦克设计!$B$23:$U$23,0)))*(VLOOKUP($B141,INDIRECT($B$5&amp;"生成成长"),3))*(VLOOKUP($B$5,标准坦克设计!$B$14:$K$20,9)/30))</f>
        <v>9.6767380322820475</v>
      </c>
      <c r="EG141" s="172">
        <f ca="1">(VLOOKUP(EG$72,INDIRECT($C$5&amp;"生成成长"),2))/((VLOOKUP($B141,INDIRECT($B$5&amp;"生成成长"),4))/(VLOOKUP(EG$72,INDIRECT($C$5&amp;"生成成长"),5))*(VLOOKUP($B$5,标准坦克设计!$B$24:$U$30,MATCH("对"&amp;LEFT($C$5,2)&amp;"输出",标准坦克设计!$B$23:$U$23,0)))*(VLOOKUP($B141,INDIRECT($B$5&amp;"生成成长"),3))*(VLOOKUP($B$5,标准坦克设计!$B$14:$K$20,9)/30))</f>
        <v>10.43245574534763</v>
      </c>
      <c r="EH141" s="172">
        <f ca="1">(VLOOKUP(EH$72,INDIRECT($C$5&amp;"生成成长"),2))/((VLOOKUP($B141,INDIRECT($B$5&amp;"生成成长"),4))/(VLOOKUP(EH$72,INDIRECT($C$5&amp;"生成成长"),5))*(VLOOKUP($B$5,标准坦克设计!$B$24:$U$30,MATCH("对"&amp;LEFT($C$5,2)&amp;"输出",标准坦克设计!$B$23:$U$23,0)))*(VLOOKUP($B141,INDIRECT($B$5&amp;"生成成长"),3))*(VLOOKUP($B$5,标准坦克设计!$B$14:$K$20,9)/30))</f>
        <v>11.216583898754024</v>
      </c>
      <c r="EI141" s="172">
        <f ca="1">(VLOOKUP(EI$72,INDIRECT($C$5&amp;"生成成长"),2))/((VLOOKUP($B141,INDIRECT($B$5&amp;"生成成长"),4))/(VLOOKUP(EI$72,INDIRECT($C$5&amp;"生成成长"),5))*(VLOOKUP($B$5,标准坦克设计!$B$24:$U$30,MATCH("对"&amp;LEFT($C$5,2)&amp;"输出",标准坦克设计!$B$23:$U$23,0)))*(VLOOKUP($B141,INDIRECT($B$5&amp;"生成成长"),3))*(VLOOKUP($B$5,标准坦克设计!$B$14:$K$20,9)/30))</f>
        <v>12.029122492501228</v>
      </c>
      <c r="EJ141" s="172">
        <f ca="1">(VLOOKUP(EJ$72,INDIRECT($C$5&amp;"生成成长"),2))/((VLOOKUP($B141,INDIRECT($B$5&amp;"生成成长"),4))/(VLOOKUP(EJ$72,INDIRECT($C$5&amp;"生成成长"),5))*(VLOOKUP($B$5,标准坦克设计!$B$24:$U$30,MATCH("对"&amp;LEFT($C$5,2)&amp;"输出",标准坦克设计!$B$23:$U$23,0)))*(VLOOKUP($B141,INDIRECT($B$5&amp;"生成成长"),3))*(VLOOKUP($B$5,标准坦克设计!$B$14:$K$20,9)/30))</f>
        <v>12.870071526589241</v>
      </c>
      <c r="EK141" s="172">
        <f ca="1">(VLOOKUP(EK$72,INDIRECT($C$5&amp;"生成成长"),2))/((VLOOKUP($B141,INDIRECT($B$5&amp;"生成成长"),4))/(VLOOKUP(EK$72,INDIRECT($C$5&amp;"生成成长"),5))*(VLOOKUP($B$5,标准坦克设计!$B$24:$U$30,MATCH("对"&amp;LEFT($C$5,2)&amp;"输出",标准坦克设计!$B$23:$U$23,0)))*(VLOOKUP($B141,INDIRECT($B$5&amp;"生成成长"),3))*(VLOOKUP($B$5,标准坦克设计!$B$14:$K$20,9)/30))</f>
        <v>13.916712148744733</v>
      </c>
      <c r="EL141" s="172">
        <f ca="1">(VLOOKUP(EL$72,INDIRECT($C$5&amp;"生成成长"),2))/((VLOOKUP($B141,INDIRECT($B$5&amp;"生成成长"),4))/(VLOOKUP(EL$72,INDIRECT($C$5&amp;"生成成长"),5))*(VLOOKUP($B$5,标准坦克设计!$B$24:$U$30,MATCH("对"&amp;LEFT($C$5,2)&amp;"输出",标准坦克设计!$B$23:$U$23,0)))*(VLOOKUP($B141,INDIRECT($B$5&amp;"生成成长"),3))*(VLOOKUP($B$5,标准坦克设计!$B$14:$K$20,9)/30))</f>
        <v>15.004263804990993</v>
      </c>
      <c r="EM141" s="172">
        <f ca="1">(VLOOKUP(EM$72,INDIRECT($C$5&amp;"生成成长"),2))/((VLOOKUP($B141,INDIRECT($B$5&amp;"生成成长"),4))/(VLOOKUP(EM$72,INDIRECT($C$5&amp;"生成成长"),5))*(VLOOKUP($B$5,标准坦克设计!$B$24:$U$30,MATCH("对"&amp;LEFT($C$5,2)&amp;"输出",标准坦克设计!$B$23:$U$23,0)))*(VLOOKUP($B141,INDIRECT($B$5&amp;"生成成长"),3))*(VLOOKUP($B$5,标准坦克设计!$B$14:$K$20,9)/30))</f>
        <v>16.132726495328019</v>
      </c>
      <c r="EN141" s="172">
        <f ca="1">(VLOOKUP(EN$72,INDIRECT($C$5&amp;"生成成长"),2))/((VLOOKUP($B141,INDIRECT($B$5&amp;"生成成长"),4))/(VLOOKUP(EN$72,INDIRECT($C$5&amp;"生成成长"),5))*(VLOOKUP($B$5,标准坦克设计!$B$24:$U$30,MATCH("对"&amp;LEFT($C$5,2)&amp;"输出",标准坦克设计!$B$23:$U$23,0)))*(VLOOKUP($B141,INDIRECT($B$5&amp;"生成成长"),3))*(VLOOKUP($B$5,标准坦克设计!$B$14:$K$20,9)/30))</f>
        <v>17.302100219755811</v>
      </c>
      <c r="EO141" s="172">
        <f ca="1">(VLOOKUP(EO$72,INDIRECT($C$5&amp;"生成成长"),2))/((VLOOKUP($B141,INDIRECT($B$5&amp;"生成成长"),4))/(VLOOKUP(EO$72,INDIRECT($C$5&amp;"生成成长"),5))*(VLOOKUP($B$5,标准坦克设计!$B$24:$U$30,MATCH("对"&amp;LEFT($C$5,2)&amp;"输出",标准坦克设计!$B$23:$U$23,0)))*(VLOOKUP($B141,INDIRECT($B$5&amp;"生成成长"),3))*(VLOOKUP($B$5,标准坦克设计!$B$14:$K$20,9)/30))</f>
        <v>18.512384978274376</v>
      </c>
      <c r="EP141" s="172">
        <f ca="1">(VLOOKUP(EP$72,INDIRECT($C$5&amp;"生成成长"),2))/((VLOOKUP($B141,INDIRECT($B$5&amp;"生成成长"),4))/(VLOOKUP(EP$72,INDIRECT($C$5&amp;"生成成长"),5))*(VLOOKUP($B$5,标准坦克设计!$B$24:$U$30,MATCH("对"&amp;LEFT($C$5,2)&amp;"输出",标准坦克设计!$B$23:$U$23,0)))*(VLOOKUP($B141,INDIRECT($B$5&amp;"生成成长"),3))*(VLOOKUP($B$5,标准坦克设计!$B$14:$K$20,9)/30))</f>
        <v>19.763580770883706</v>
      </c>
      <c r="EQ141" s="172">
        <f ca="1">(VLOOKUP(EQ$72,INDIRECT($C$5&amp;"生成成长"),2))/((VLOOKUP($B141,INDIRECT($B$5&amp;"生成成长"),4))/(VLOOKUP(EQ$72,INDIRECT($C$5&amp;"生成成长"),5))*(VLOOKUP($B$5,标准坦克设计!$B$24:$U$30,MATCH("对"&amp;LEFT($C$5,2)&amp;"输出",标准坦克设计!$B$23:$U$23,0)))*(VLOOKUP($B141,INDIRECT($B$5&amp;"生成成长"),3))*(VLOOKUP($B$5,标准坦克设计!$B$14:$K$20,9)/30))</f>
        <v>8.7367786136063046</v>
      </c>
      <c r="ER141" s="172">
        <f ca="1">(VLOOKUP(ER$72,INDIRECT($C$5&amp;"生成成长"),2))/((VLOOKUP($B141,INDIRECT($B$5&amp;"生成成长"),4))/(VLOOKUP(ER$72,INDIRECT($C$5&amp;"生成成长"),5))*(VLOOKUP($B$5,标准坦克设计!$B$24:$U$30,MATCH("对"&amp;LEFT($C$5,2)&amp;"输出",标准坦克设计!$B$23:$U$23,0)))*(VLOOKUP($B141,INDIRECT($B$5&amp;"生成成长"),3))*(VLOOKUP($B$5,标准坦克设计!$B$14:$K$20,9)/30))</f>
        <v>9.5290037425098291</v>
      </c>
      <c r="ES141" s="172">
        <f ca="1">(VLOOKUP(ES$72,INDIRECT($C$5&amp;"生成成长"),2))/((VLOOKUP($B141,INDIRECT($B$5&amp;"生成成长"),4))/(VLOOKUP(ES$72,INDIRECT($C$5&amp;"生成成长"),5))*(VLOOKUP($B$5,标准坦克设计!$B$24:$U$30,MATCH("对"&amp;LEFT($C$5,2)&amp;"输出",标准坦克设计!$B$23:$U$23,0)))*(VLOOKUP($B141,INDIRECT($B$5&amp;"生成成长"),3))*(VLOOKUP($B$5,标准坦克设计!$B$14:$K$20,9)/30))</f>
        <v>10.355605504225734</v>
      </c>
      <c r="ET141" s="172">
        <f ca="1">(VLOOKUP(ET$72,INDIRECT($C$5&amp;"生成成长"),2))/((VLOOKUP($B141,INDIRECT($B$5&amp;"生成成长"),4))/(VLOOKUP(ET$72,INDIRECT($C$5&amp;"生成成长"),5))*(VLOOKUP($B$5,标准坦克设计!$B$24:$U$30,MATCH("对"&amp;LEFT($C$5,2)&amp;"输出",标准坦克设计!$B$23:$U$23,0)))*(VLOOKUP($B141,INDIRECT($B$5&amp;"生成成长"),3))*(VLOOKUP($B$5,标准坦克设计!$B$14:$K$20,9)/30))</f>
        <v>11.216583898754024</v>
      </c>
      <c r="EU141" s="172">
        <f ca="1">(VLOOKUP(EU$72,INDIRECT($C$5&amp;"生成成长"),2))/((VLOOKUP($B141,INDIRECT($B$5&amp;"生成成长"),4))/(VLOOKUP(EU$72,INDIRECT($C$5&amp;"生成成长"),5))*(VLOOKUP($B$5,标准坦克设计!$B$24:$U$30,MATCH("对"&amp;LEFT($C$5,2)&amp;"输出",标准坦克设计!$B$23:$U$23,0)))*(VLOOKUP($B141,INDIRECT($B$5&amp;"生成成长"),3))*(VLOOKUP($B$5,标准坦克设计!$B$14:$K$20,9)/30))</f>
        <v>12.111938926094691</v>
      </c>
      <c r="EV141" s="172">
        <f ca="1">(VLOOKUP(EV$72,INDIRECT($C$5&amp;"生成成长"),2))/((VLOOKUP($B141,INDIRECT($B$5&amp;"生成成长"),4))/(VLOOKUP(EV$72,INDIRECT($C$5&amp;"生成成长"),5))*(VLOOKUP($B$5,标准坦克设计!$B$24:$U$30,MATCH("对"&amp;LEFT($C$5,2)&amp;"输出",标准坦克设计!$B$23:$U$23,0)))*(VLOOKUP($B141,INDIRECT($B$5&amp;"生成成长"),3))*(VLOOKUP($B$5,标准坦克设计!$B$14:$K$20,9)/30))</f>
        <v>13.041670586247744</v>
      </c>
      <c r="EW141" s="172">
        <f ca="1">(VLOOKUP(EW$72,INDIRECT($C$5&amp;"生成成长"),2))/((VLOOKUP($B141,INDIRECT($B$5&amp;"生成成长"),4))/(VLOOKUP(EW$72,INDIRECT($C$5&amp;"生成成长"),5))*(VLOOKUP($B$5,标准坦克设计!$B$24:$U$30,MATCH("对"&amp;LEFT($C$5,2)&amp;"输出",标准坦克设计!$B$23:$U$23,0)))*(VLOOKUP($B141,INDIRECT($B$5&amp;"生成成长"),3))*(VLOOKUP($B$5,标准坦克设计!$B$14:$K$20,9)/30))</f>
        <v>14.005778879213178</v>
      </c>
      <c r="EX141" s="172">
        <f ca="1">(VLOOKUP(EX$72,INDIRECT($C$5&amp;"生成成长"),2))/((VLOOKUP($B141,INDIRECT($B$5&amp;"生成成长"),4))/(VLOOKUP(EX$72,INDIRECT($C$5&amp;"生成成长"),5))*(VLOOKUP($B$5,标准坦克设计!$B$24:$U$30,MATCH("对"&amp;LEFT($C$5,2)&amp;"输出",标准坦克设计!$B$23:$U$23,0)))*(VLOOKUP($B141,INDIRECT($B$5&amp;"生成成长"),3))*(VLOOKUP($B$5,标准坦克设计!$B$14:$K$20,9)/30))</f>
        <v>15.004263804990993</v>
      </c>
      <c r="EY141" s="172">
        <f ca="1">(VLOOKUP(EY$72,INDIRECT($C$5&amp;"生成成长"),2))/((VLOOKUP($B141,INDIRECT($B$5&amp;"生成成长"),4))/(VLOOKUP(EY$72,INDIRECT($C$5&amp;"生成成长"),5))*(VLOOKUP($B$5,标准坦克设计!$B$24:$U$30,MATCH("对"&amp;LEFT($C$5,2)&amp;"输出",标准坦克设计!$B$23:$U$23,0)))*(VLOOKUP($B141,INDIRECT($B$5&amp;"生成成长"),3))*(VLOOKUP($B$5,标准坦克设计!$B$14:$K$20,9)/30))</f>
        <v>16.037125363581186</v>
      </c>
      <c r="EZ141" s="172">
        <f ca="1">(VLOOKUP(EZ$72,INDIRECT($C$5&amp;"生成成长"),2))/((VLOOKUP($B141,INDIRECT($B$5&amp;"生成成长"),4))/(VLOOKUP(EZ$72,INDIRECT($C$5&amp;"生成成长"),5))*(VLOOKUP($B$5,标准坦克设计!$B$24:$U$30,MATCH("对"&amp;LEFT($C$5,2)&amp;"输出",标准坦克设计!$B$23:$U$23,0)))*(VLOOKUP($B141,INDIRECT($B$5&amp;"生成成长"),3))*(VLOOKUP($B$5,标准坦克设计!$B$14:$K$20,9)/30))</f>
        <v>17.104363554983767</v>
      </c>
      <c r="FA141" s="172">
        <f ca="1">(VLOOKUP(FA$72,INDIRECT($C$5&amp;"生成成长"),2))/((VLOOKUP($B141,INDIRECT($B$5&amp;"生成成长"),4))/(VLOOKUP(FA$72,INDIRECT($C$5&amp;"生成成长"),5))*(VLOOKUP($B$5,标准坦克设计!$B$24:$U$30,MATCH("对"&amp;LEFT($C$5,2)&amp;"输出",标准坦克设计!$B$23:$U$23,0)))*(VLOOKUP($B141,INDIRECT($B$5&amp;"生成成长"),3))*(VLOOKUP($B$5,标准坦克设计!$B$14:$K$20,9)/30))</f>
        <v>18.205978379198722</v>
      </c>
      <c r="FB141" s="172">
        <f ca="1">(VLOOKUP(FB$72,INDIRECT($C$5&amp;"生成成长"),2))/((VLOOKUP($B141,INDIRECT($B$5&amp;"生成成长"),4))/(VLOOKUP(FB$72,INDIRECT($C$5&amp;"生成成长"),5))*(VLOOKUP($B$5,标准坦克设计!$B$24:$U$30,MATCH("对"&amp;LEFT($C$5,2)&amp;"输出",标准坦克设计!$B$23:$U$23,0)))*(VLOOKUP($B141,INDIRECT($B$5&amp;"生成成长"),3))*(VLOOKUP($B$5,标准坦克设计!$B$14:$K$20,9)/30))</f>
        <v>19.341969836226067</v>
      </c>
      <c r="FC141" s="172">
        <f ca="1">(VLOOKUP(FC$72,INDIRECT($C$5&amp;"生成成长"),2))/((VLOOKUP($B141,INDIRECT($B$5&amp;"生成成长"),4))/(VLOOKUP(FC$72,INDIRECT($C$5&amp;"生成成长"),5))*(VLOOKUP($B$5,标准坦克设计!$B$24:$U$30,MATCH("对"&amp;LEFT($C$5,2)&amp;"输出",标准坦克设计!$B$23:$U$23,0)))*(VLOOKUP($B141,INDIRECT($B$5&amp;"生成成长"),3))*(VLOOKUP($B$5,标准坦克设计!$B$14:$K$20,9)/30))</f>
        <v>20.51233792606579</v>
      </c>
      <c r="FD141" s="172">
        <f ca="1">(VLOOKUP(FD$72,INDIRECT($C$5&amp;"生成成长"),2))/((VLOOKUP($B141,INDIRECT($B$5&amp;"生成成长"),4))/(VLOOKUP(FD$72,INDIRECT($C$5&amp;"生成成长"),5))*(VLOOKUP($B$5,标准坦克设计!$B$24:$U$30,MATCH("对"&amp;LEFT($C$5,2)&amp;"输出",标准坦克设计!$B$23:$U$23,0)))*(VLOOKUP($B141,INDIRECT($B$5&amp;"生成成长"),3))*(VLOOKUP($B$5,标准坦克设计!$B$14:$K$20,9)/30))</f>
        <v>21.717082648717895</v>
      </c>
      <c r="FE141" s="172">
        <f ca="1">(VLOOKUP(FE$72,INDIRECT($C$5&amp;"生成成长"),2))/((VLOOKUP($B141,INDIRECT($B$5&amp;"生成成长"),4))/(VLOOKUP(FE$72,INDIRECT($C$5&amp;"生成成长"),5))*(VLOOKUP($B$5,标准坦克设计!$B$24:$U$30,MATCH("对"&amp;LEFT($C$5,2)&amp;"输出",标准坦克设计!$B$23:$U$23,0)))*(VLOOKUP($B141,INDIRECT($B$5&amp;"生成成长"),3))*(VLOOKUP($B$5,标准坦克设计!$B$14:$K$20,9)/30))</f>
        <v>23.185192153329325</v>
      </c>
      <c r="FF141" s="172">
        <f ca="1">(VLOOKUP(FF$72,INDIRECT($C$5&amp;"生成成长"),2))/((VLOOKUP($B141,INDIRECT($B$5&amp;"生成成长"),4))/(VLOOKUP(FF$72,INDIRECT($C$5&amp;"生成成长"),5))*(VLOOKUP($B$5,标准坦克设计!$B$24:$U$30,MATCH("对"&amp;LEFT($C$5,2)&amp;"输出",标准坦克设计!$B$23:$U$23,0)))*(VLOOKUP($B141,INDIRECT($B$5&amp;"生成成长"),3))*(VLOOKUP($B$5,标准坦克设计!$B$14:$K$20,9)/30))</f>
        <v>24.701315302116718</v>
      </c>
      <c r="FG141" s="172">
        <f ca="1">(VLOOKUP(FG$72,INDIRECT($C$5&amp;"生成成长"),2))/((VLOOKUP($B141,INDIRECT($B$5&amp;"生成成长"),4))/(VLOOKUP(FG$72,INDIRECT($C$5&amp;"生成成长"),5))*(VLOOKUP($B$5,标准坦克设计!$B$24:$U$30,MATCH("对"&amp;LEFT($C$5,2)&amp;"输出",标准坦克设计!$B$23:$U$23,0)))*(VLOOKUP($B141,INDIRECT($B$5&amp;"生成成长"),3))*(VLOOKUP($B$5,标准坦克设计!$B$14:$K$20,9)/30))</f>
        <v>26.265452095080086</v>
      </c>
      <c r="FH141" s="172">
        <f ca="1">(VLOOKUP(FH$72,INDIRECT($C$5&amp;"生成成长"),2))/((VLOOKUP($B141,INDIRECT($B$5&amp;"生成成长"),4))/(VLOOKUP(FH$72,INDIRECT($C$5&amp;"生成成长"),5))*(VLOOKUP($B$5,标准坦克设计!$B$24:$U$30,MATCH("对"&amp;LEFT($C$5,2)&amp;"输出",标准坦克设计!$B$23:$U$23,0)))*(VLOOKUP($B141,INDIRECT($B$5&amp;"生成成长"),3))*(VLOOKUP($B$5,标准坦克设计!$B$14:$K$20,9)/30))</f>
        <v>27.877602532219427</v>
      </c>
      <c r="FI141" s="172">
        <f ca="1">(VLOOKUP(FI$72,INDIRECT($C$5&amp;"生成成长"),2))/((VLOOKUP($B141,INDIRECT($B$5&amp;"生成成长"),4))/(VLOOKUP(FI$72,INDIRECT($C$5&amp;"生成成长"),5))*(VLOOKUP($B$5,标准坦克设计!$B$24:$U$30,MATCH("对"&amp;LEFT($C$5,2)&amp;"输出",标准坦克设计!$B$23:$U$23,0)))*(VLOOKUP($B141,INDIRECT($B$5&amp;"生成成长"),3))*(VLOOKUP($B$5,标准坦克设计!$B$14:$K$20,9)/30))</f>
        <v>29.537766613534739</v>
      </c>
      <c r="FJ141" s="172">
        <f ca="1">(VLOOKUP(FJ$72,INDIRECT($C$5&amp;"生成成长"),2))/((VLOOKUP($B141,INDIRECT($B$5&amp;"生成成长"),4))/(VLOOKUP(FJ$72,INDIRECT($C$5&amp;"生成成长"),5))*(VLOOKUP($B$5,标准坦克设计!$B$24:$U$30,MATCH("对"&amp;LEFT($C$5,2)&amp;"输出",标准坦克设计!$B$23:$U$23,0)))*(VLOOKUP($B141,INDIRECT($B$5&amp;"生成成长"),3))*(VLOOKUP($B$5,标准坦克设计!$B$14:$K$20,9)/30))</f>
        <v>31.245944339026021</v>
      </c>
      <c r="FK141" s="172">
        <f ca="1">(VLOOKUP(FK$72,INDIRECT($C$5&amp;"生成成长"),2))/((VLOOKUP($B141,INDIRECT($B$5&amp;"生成成长"),4))/(VLOOKUP(FK$72,INDIRECT($C$5&amp;"生成成长"),5))*(VLOOKUP($B$5,标准坦克设计!$B$24:$U$30,MATCH("对"&amp;LEFT($C$5,2)&amp;"输出",标准坦克设计!$B$23:$U$23,0)))*(VLOOKUP($B141,INDIRECT($B$5&amp;"生成成长"),3))*(VLOOKUP($B$5,标准坦克设计!$B$14:$K$20,9)/30))</f>
        <v>33.002135708693281</v>
      </c>
    </row>
    <row r="142" spans="1:167" x14ac:dyDescent="0.15">
      <c r="A142" s="170" t="str">
        <f t="shared" si="12"/>
        <v>T3中品质13级</v>
      </c>
      <c r="B142" s="171">
        <v>20313</v>
      </c>
      <c r="C142" s="172">
        <f ca="1">(VLOOKUP(C$72,INDIRECT($C$5&amp;"生成成长"),2))/((VLOOKUP($B142,INDIRECT($B$5&amp;"生成成长"),4))/(VLOOKUP(C$72,INDIRECT($C$5&amp;"生成成长"),5))*(VLOOKUP($B$5,标准坦克设计!$B$24:$U$30,MATCH("对"&amp;LEFT($C$5,2)&amp;"输出",标准坦克设计!$B$23:$U$23,0)))*(VLOOKUP($B142,INDIRECT($B$5&amp;"生成成长"),3))*(VLOOKUP($B$5,标准坦克设计!$B$14:$K$20,9)/30))</f>
        <v>1.3103950409070892</v>
      </c>
      <c r="D142" s="172">
        <f ca="1">(VLOOKUP(D$72,INDIRECT($C$5&amp;"生成成长"),2))/((VLOOKUP($B142,INDIRECT($B$5&amp;"生成成长"),4))/(VLOOKUP(D$72,INDIRECT($C$5&amp;"生成成长"),5))*(VLOOKUP($B$5,标准坦克设计!$B$24:$U$30,MATCH("对"&amp;LEFT($C$5,2)&amp;"输出",标准坦克设计!$B$23:$U$23,0)))*(VLOOKUP($B142,INDIRECT($B$5&amp;"生成成长"),3))*(VLOOKUP($B$5,标准坦克设计!$B$14:$K$20,9)/30))</f>
        <v>1.4723598679632055</v>
      </c>
      <c r="E142" s="172">
        <f ca="1">(VLOOKUP(E$72,INDIRECT($C$5&amp;"生成成长"),2))/((VLOOKUP($B142,INDIRECT($B$5&amp;"生成成长"),4))/(VLOOKUP(E$72,INDIRECT($C$5&amp;"生成成长"),5))*(VLOOKUP($B$5,标准坦克设计!$B$24:$U$30,MATCH("对"&amp;LEFT($C$5,2)&amp;"输出",标准坦克设计!$B$23:$U$23,0)))*(VLOOKUP($B142,INDIRECT($B$5&amp;"生成成长"),3))*(VLOOKUP($B$5,标准坦克设计!$B$14:$K$20,9)/30))</f>
        <v>1.6437595393138529</v>
      </c>
      <c r="F142" s="172">
        <f ca="1">(VLOOKUP(F$72,INDIRECT($C$5&amp;"生成成长"),2))/((VLOOKUP($B142,INDIRECT($B$5&amp;"生成成长"),4))/(VLOOKUP(F$72,INDIRECT($C$5&amp;"生成成长"),5))*(VLOOKUP($B$5,标准坦克设计!$B$24:$U$30,MATCH("对"&amp;LEFT($C$5,2)&amp;"输出",标准坦克设计!$B$23:$U$23,0)))*(VLOOKUP($B142,INDIRECT($B$5&amp;"生成成长"),3))*(VLOOKUP($B$5,标准坦克设计!$B$14:$K$20,9)/30))</f>
        <v>1.8245940549590314</v>
      </c>
      <c r="G142" s="172">
        <f ca="1">(VLOOKUP(G$72,INDIRECT($C$5&amp;"生成成长"),2))/((VLOOKUP($B142,INDIRECT($B$5&amp;"生成成长"),4))/(VLOOKUP(G$72,INDIRECT($C$5&amp;"生成成长"),5))*(VLOOKUP($B$5,标准坦克设计!$B$24:$U$30,MATCH("对"&amp;LEFT($C$5,2)&amp;"输出",标准坦克设计!$B$23:$U$23,0)))*(VLOOKUP($B142,INDIRECT($B$5&amp;"生成成长"),3))*(VLOOKUP($B$5,标准坦克设计!$B$14:$K$20,9)/30))</f>
        <v>2.0148634148987403</v>
      </c>
      <c r="H142" s="172">
        <f ca="1">(VLOOKUP(H$72,INDIRECT($C$5&amp;"生成成长"),2))/((VLOOKUP($B142,INDIRECT($B$5&amp;"生成成长"),4))/(VLOOKUP(H$72,INDIRECT($C$5&amp;"生成成长"),5))*(VLOOKUP($B$5,标准坦克设计!$B$24:$U$30,MATCH("对"&amp;LEFT($C$5,2)&amp;"输出",标准坦克设计!$B$23:$U$23,0)))*(VLOOKUP($B142,INDIRECT($B$5&amp;"生成成长"),3))*(VLOOKUP($B$5,标准坦克设计!$B$14:$K$20,9)/30))</f>
        <v>1.763267567044579</v>
      </c>
      <c r="I142" s="172">
        <f ca="1">(VLOOKUP(I$72,INDIRECT($C$5&amp;"生成成长"),2))/((VLOOKUP($B142,INDIRECT($B$5&amp;"生成成长"),4))/(VLOOKUP(I$72,INDIRECT($C$5&amp;"生成成长"),5))*(VLOOKUP($B$5,标准坦克设计!$B$24:$U$30,MATCH("对"&amp;LEFT($C$5,2)&amp;"输出",标准坦克设计!$B$23:$U$23,0)))*(VLOOKUP($B142,INDIRECT($B$5&amp;"生成成长"),3))*(VLOOKUP($B$5,标准坦克设计!$B$14:$K$20,9)/30))</f>
        <v>2.0148634148987403</v>
      </c>
      <c r="J142" s="172">
        <f ca="1">(VLOOKUP(J$72,INDIRECT($C$5&amp;"生成成长"),2))/((VLOOKUP($B142,INDIRECT($B$5&amp;"生成成长"),4))/(VLOOKUP(J$72,INDIRECT($C$5&amp;"生成成长"),5))*(VLOOKUP($B$5,标准坦克设计!$B$24:$U$30,MATCH("对"&amp;LEFT($C$5,2)&amp;"输出",标准坦克设计!$B$23:$U$23,0)))*(VLOOKUP($B142,INDIRECT($B$5&amp;"生成成长"),3))*(VLOOKUP($B$5,标准坦克设计!$B$14:$K$20,9)/30))</f>
        <v>2.2832323192765123</v>
      </c>
      <c r="K142" s="172">
        <f ca="1">(VLOOKUP(K$72,INDIRECT($C$5&amp;"生成成长"),2))/((VLOOKUP($B142,INDIRECT($B$5&amp;"生成成长"),4))/(VLOOKUP(K$72,INDIRECT($C$5&amp;"生成成长"),5))*(VLOOKUP($B$5,标准坦克设计!$B$24:$U$30,MATCH("对"&amp;LEFT($C$5,2)&amp;"输出",标准坦克设计!$B$23:$U$23,0)))*(VLOOKUP($B142,INDIRECT($B$5&amp;"生成成长"),3))*(VLOOKUP($B$5,标准坦克设计!$B$14:$K$20,9)/30))</f>
        <v>2.5683742801778955</v>
      </c>
      <c r="L142" s="172">
        <f ca="1">(VLOOKUP(L$72,INDIRECT($C$5&amp;"生成成长"),2))/((VLOOKUP($B142,INDIRECT($B$5&amp;"生成成长"),4))/(VLOOKUP(L$72,INDIRECT($C$5&amp;"生成成长"),5))*(VLOOKUP($B$5,标准坦克设计!$B$24:$U$30,MATCH("对"&amp;LEFT($C$5,2)&amp;"输出",标准坦克设计!$B$23:$U$23,0)))*(VLOOKUP($B142,INDIRECT($B$5&amp;"生成成长"),3))*(VLOOKUP($B$5,标准坦克设计!$B$14:$K$20,9)/30))</f>
        <v>2.8702892976028886</v>
      </c>
      <c r="M142" s="172">
        <f ca="1">(VLOOKUP(M$72,INDIRECT($C$5&amp;"生成成长"),2))/((VLOOKUP($B142,INDIRECT($B$5&amp;"生成成长"),4))/(VLOOKUP(M$72,INDIRECT($C$5&amp;"生成成长"),5))*(VLOOKUP($B$5,标准坦克设计!$B$24:$U$30,MATCH("对"&amp;LEFT($C$5,2)&amp;"输出",标准坦克设计!$B$23:$U$23,0)))*(VLOOKUP($B142,INDIRECT($B$5&amp;"生成成长"),3))*(VLOOKUP($B$5,标准坦克设计!$B$14:$K$20,9)/30))</f>
        <v>3.1889773715514926</v>
      </c>
      <c r="N142" s="172">
        <f ca="1">(VLOOKUP(N$72,INDIRECT($C$5&amp;"生成成长"),2))/((VLOOKUP($B142,INDIRECT($B$5&amp;"生成成长"),4))/(VLOOKUP(N$72,INDIRECT($C$5&amp;"生成成长"),5))*(VLOOKUP($B$5,标准坦克设计!$B$24:$U$30,MATCH("对"&amp;LEFT($C$5,2)&amp;"输出",标准坦克设计!$B$23:$U$23,0)))*(VLOOKUP($B142,INDIRECT($B$5&amp;"生成成长"),3))*(VLOOKUP($B$5,标准坦克设计!$B$14:$K$20,9)/30))</f>
        <v>3.5244385020237075</v>
      </c>
      <c r="O142" s="172">
        <f ca="1">(VLOOKUP(O$72,INDIRECT($C$5&amp;"生成成长"),2))/((VLOOKUP($B142,INDIRECT($B$5&amp;"生成成长"),4))/(VLOOKUP(O$72,INDIRECT($C$5&amp;"生成成长"),5))*(VLOOKUP($B$5,标准坦克设计!$B$24:$U$30,MATCH("对"&amp;LEFT($C$5,2)&amp;"输出",标准坦克设计!$B$23:$U$23,0)))*(VLOOKUP($B142,INDIRECT($B$5&amp;"生成成长"),3))*(VLOOKUP($B$5,标准坦克设计!$B$14:$K$20,9)/30))</f>
        <v>2.6796268191509069</v>
      </c>
      <c r="P142" s="172">
        <f ca="1">(VLOOKUP(P$72,INDIRECT($C$5&amp;"生成成长"),2))/((VLOOKUP($B142,INDIRECT($B$5&amp;"生成成长"),4))/(VLOOKUP(P$72,INDIRECT($C$5&amp;"生成成长"),5))*(VLOOKUP($B$5,标准坦克设计!$B$24:$U$30,MATCH("对"&amp;LEFT($C$5,2)&amp;"输出",标准坦克设计!$B$23:$U$23,0)))*(VLOOKUP($B142,INDIRECT($B$5&amp;"生成成长"),3))*(VLOOKUP($B$5,标准坦克设计!$B$14:$K$20,9)/30))</f>
        <v>3.0275367025117395</v>
      </c>
      <c r="Q142" s="172">
        <f ca="1">(VLOOKUP(Q$72,INDIRECT($C$5&amp;"生成成长"),2))/((VLOOKUP($B142,INDIRECT($B$5&amp;"生成成长"),4))/(VLOOKUP(Q$72,INDIRECT($C$5&amp;"生成成长"),5))*(VLOOKUP($B$5,标准坦克设计!$B$24:$U$30,MATCH("对"&amp;LEFT($C$5,2)&amp;"输出",标准坦克设计!$B$23:$U$23,0)))*(VLOOKUP($B142,INDIRECT($B$5&amp;"生成成长"),3))*(VLOOKUP($B$5,标准坦克设计!$B$14:$K$20,9)/30))</f>
        <v>3.3966749855352667</v>
      </c>
      <c r="R142" s="172">
        <f ca="1">(VLOOKUP(R$72,INDIRECT($C$5&amp;"生成成长"),2))/((VLOOKUP($B142,INDIRECT($B$5&amp;"生成成长"),4))/(VLOOKUP(R$72,INDIRECT($C$5&amp;"生成成长"),5))*(VLOOKUP($B$5,标准坦克设计!$B$24:$U$30,MATCH("对"&amp;LEFT($C$5,2)&amp;"输出",标准坦克设计!$B$23:$U$23,0)))*(VLOOKUP($B142,INDIRECT($B$5&amp;"生成成长"),3))*(VLOOKUP($B$5,标准坦克设计!$B$14:$K$20,9)/30))</f>
        <v>3.7870416682214882</v>
      </c>
      <c r="S142" s="172">
        <f ca="1">(VLOOKUP(S$72,INDIRECT($C$5&amp;"生成成长"),2))/((VLOOKUP($B142,INDIRECT($B$5&amp;"生成成长"),4))/(VLOOKUP(S$72,INDIRECT($C$5&amp;"生成成长"),5))*(VLOOKUP($B$5,标准坦克设计!$B$24:$U$30,MATCH("对"&amp;LEFT($C$5,2)&amp;"输出",标准坦克设计!$B$23:$U$23,0)))*(VLOOKUP($B142,INDIRECT($B$5&amp;"生成成长"),3))*(VLOOKUP($B$5,标准坦克设计!$B$14:$K$20,9)/30))</f>
        <v>4.1986367505704045</v>
      </c>
      <c r="T142" s="172">
        <f ca="1">(VLOOKUP(T$72,INDIRECT($C$5&amp;"生成成长"),2))/((VLOOKUP($B142,INDIRECT($B$5&amp;"生成成长"),4))/(VLOOKUP(T$72,INDIRECT($C$5&amp;"生成成长"),5))*(VLOOKUP($B$5,标准坦克设计!$B$24:$U$30,MATCH("对"&amp;LEFT($C$5,2)&amp;"输出",标准坦克设计!$B$23:$U$23,0)))*(VLOOKUP($B142,INDIRECT($B$5&amp;"生成成长"),3))*(VLOOKUP($B$5,标准坦克设计!$B$14:$K$20,9)/30))</f>
        <v>4.6314602325820173</v>
      </c>
      <c r="U142" s="172">
        <f ca="1">(VLOOKUP(U$72,INDIRECT($C$5&amp;"生成成长"),2))/((VLOOKUP($B142,INDIRECT($B$5&amp;"生成成长"),4))/(VLOOKUP(U$72,INDIRECT($C$5&amp;"生成成长"),5))*(VLOOKUP($B$5,标准坦克设计!$B$24:$U$30,MATCH("对"&amp;LEFT($C$5,2)&amp;"输出",标准坦克设计!$B$23:$U$23,0)))*(VLOOKUP($B142,INDIRECT($B$5&amp;"生成成长"),3))*(VLOOKUP($B$5,标准坦克设计!$B$14:$K$20,9)/30))</f>
        <v>5.085512114256324</v>
      </c>
      <c r="V142" s="172">
        <f ca="1">(VLOOKUP(V$72,INDIRECT($C$5&amp;"生成成长"),2))/((VLOOKUP($B142,INDIRECT($B$5&amp;"生成成长"),4))/(VLOOKUP(V$72,INDIRECT($C$5&amp;"生成成长"),5))*(VLOOKUP($B$5,标准坦克设计!$B$24:$U$30,MATCH("对"&amp;LEFT($C$5,2)&amp;"输出",标准坦克设计!$B$23:$U$23,0)))*(VLOOKUP($B142,INDIRECT($B$5&amp;"生成成长"),3))*(VLOOKUP($B$5,标准坦克设计!$B$14:$K$20,9)/30))</f>
        <v>5.5607923955933245</v>
      </c>
      <c r="W142" s="172">
        <f ca="1">(VLOOKUP(W$72,INDIRECT($C$5&amp;"生成成长"),2))/((VLOOKUP($B142,INDIRECT($B$5&amp;"生成成长"),4))/(VLOOKUP(W$72,INDIRECT($C$5&amp;"生成成长"),5))*(VLOOKUP($B$5,标准坦克设计!$B$24:$U$30,MATCH("对"&amp;LEFT($C$5,2)&amp;"输出",标准坦克设计!$B$23:$U$23,0)))*(VLOOKUP($B142,INDIRECT($B$5&amp;"生成成长"),3))*(VLOOKUP($B$5,标准坦克设计!$B$14:$K$20,9)/30))</f>
        <v>6.0573010765930198</v>
      </c>
      <c r="X142" s="172">
        <f ca="1">(VLOOKUP(X$72,INDIRECT($C$5&amp;"生成成长"),2))/((VLOOKUP($B142,INDIRECT($B$5&amp;"生成成长"),4))/(VLOOKUP(X$72,INDIRECT($C$5&amp;"生成成长"),5))*(VLOOKUP($B$5,标准坦克设计!$B$24:$U$30,MATCH("对"&amp;LEFT($C$5,2)&amp;"输出",标准坦克设计!$B$23:$U$23,0)))*(VLOOKUP($B142,INDIRECT($B$5&amp;"生成成长"),3))*(VLOOKUP($B$5,标准坦克设计!$B$14:$K$20,9)/30))</f>
        <v>4.3883819524937513</v>
      </c>
      <c r="Y142" s="172">
        <f ca="1">(VLOOKUP(Y$72,INDIRECT($C$5&amp;"生成成长"),2))/((VLOOKUP($B142,INDIRECT($B$5&amp;"生成成长"),4))/(VLOOKUP(Y$72,INDIRECT($C$5&amp;"生成成长"),5))*(VLOOKUP($B$5,标准坦克设计!$B$24:$U$30,MATCH("对"&amp;LEFT($C$5,2)&amp;"输出",标准坦克设计!$B$23:$U$23,0)))*(VLOOKUP($B142,INDIRECT($B$5&amp;"生成成长"),3))*(VLOOKUP($B$5,标准坦克设计!$B$14:$K$20,9)/30))</f>
        <v>4.8810904878748165</v>
      </c>
      <c r="Z142" s="172">
        <f ca="1">(VLOOKUP(Z$72,INDIRECT($C$5&amp;"生成成长"),2))/((VLOOKUP($B142,INDIRECT($B$5&amp;"生成成长"),4))/(VLOOKUP(Z$72,INDIRECT($C$5&amp;"生成成长"),5))*(VLOOKUP($B$5,标准坦克设计!$B$24:$U$30,MATCH("对"&amp;LEFT($C$5,2)&amp;"输出",标准坦克设计!$B$23:$U$23,0)))*(VLOOKUP($B142,INDIRECT($B$5&amp;"生成成长"),3))*(VLOOKUP($B$5,标准坦克设计!$B$14:$K$20,9)/30))</f>
        <v>5.4000069240740247</v>
      </c>
      <c r="AA142" s="172">
        <f ca="1">(VLOOKUP(AA$72,INDIRECT($C$5&amp;"生成成长"),2))/((VLOOKUP($B142,INDIRECT($B$5&amp;"生成成长"),4))/(VLOOKUP(AA$72,INDIRECT($C$5&amp;"生成成长"),5))*(VLOOKUP($B$5,标准坦克设计!$B$24:$U$30,MATCH("对"&amp;LEFT($C$5,2)&amp;"输出",标准坦克设计!$B$23:$U$23,0)))*(VLOOKUP($B142,INDIRECT($B$5&amp;"生成成长"),3))*(VLOOKUP($B$5,标准坦克设计!$B$14:$K$20,9)/30))</f>
        <v>5.9451312610913742</v>
      </c>
      <c r="AB142" s="172">
        <f ca="1">(VLOOKUP(AB$72,INDIRECT($C$5&amp;"生成成长"),2))/((VLOOKUP($B142,INDIRECT($B$5&amp;"生成成长"),4))/(VLOOKUP(AB$72,INDIRECT($C$5&amp;"生成成长"),5))*(VLOOKUP($B$5,标准坦克设计!$B$24:$U$30,MATCH("对"&amp;LEFT($C$5,2)&amp;"输出",标准坦克设计!$B$23:$U$23,0)))*(VLOOKUP($B142,INDIRECT($B$5&amp;"生成成长"),3))*(VLOOKUP($B$5,标准坦克设计!$B$14:$K$20,9)/30))</f>
        <v>6.5164634989268651</v>
      </c>
      <c r="AC142" s="172">
        <f ca="1">(VLOOKUP(AC$72,INDIRECT($C$5&amp;"生成成长"),2))/((VLOOKUP($B142,INDIRECT($B$5&amp;"生成成长"),4))/(VLOOKUP(AC$72,INDIRECT($C$5&amp;"生成成长"),5))*(VLOOKUP($B$5,标准坦克设计!$B$24:$U$30,MATCH("对"&amp;LEFT($C$5,2)&amp;"输出",标准坦克设计!$B$23:$U$23,0)))*(VLOOKUP($B142,INDIRECT($B$5&amp;"生成成长"),3))*(VLOOKUP($B$5,标准坦克设计!$B$14:$K$20,9)/30))</f>
        <v>7.1140036375804971</v>
      </c>
      <c r="AD142" s="172">
        <f ca="1">(VLOOKUP(AD$72,INDIRECT($C$5&amp;"生成成长"),2))/((VLOOKUP($B142,INDIRECT($B$5&amp;"生成成长"),4))/(VLOOKUP(AD$72,INDIRECT($C$5&amp;"生成成长"),5))*(VLOOKUP($B$5,标准坦克设计!$B$24:$U$30,MATCH("对"&amp;LEFT($C$5,2)&amp;"输出",标准坦克设计!$B$23:$U$23,0)))*(VLOOKUP($B142,INDIRECT($B$5&amp;"生成成长"),3))*(VLOOKUP($B$5,标准坦克设计!$B$14:$K$20,9)/30))</f>
        <v>7.7377516770522732</v>
      </c>
      <c r="AE142" s="172">
        <f ca="1">(VLOOKUP(AE$72,INDIRECT($C$5&amp;"生成成长"),2))/((VLOOKUP($B142,INDIRECT($B$5&amp;"生成成长"),4))/(VLOOKUP(AE$72,INDIRECT($C$5&amp;"生成成长"),5))*(VLOOKUP($B$5,标准坦克设计!$B$24:$U$30,MATCH("对"&amp;LEFT($C$5,2)&amp;"输出",标准坦克设计!$B$23:$U$23,0)))*(VLOOKUP($B142,INDIRECT($B$5&amp;"生成成长"),3))*(VLOOKUP($B$5,标准坦克设计!$B$14:$K$20,9)/30))</f>
        <v>8.3877076173421887</v>
      </c>
      <c r="AF142" s="172">
        <f ca="1">(VLOOKUP(AF$72,INDIRECT($C$5&amp;"生成成长"),2))/((VLOOKUP($B142,INDIRECT($B$5&amp;"生成成长"),4))/(VLOOKUP(AF$72,INDIRECT($C$5&amp;"生成成长"),5))*(VLOOKUP($B$5,标准坦克设计!$B$24:$U$30,MATCH("对"&amp;LEFT($C$5,2)&amp;"输出",标准坦克设计!$B$23:$U$23,0)))*(VLOOKUP($B142,INDIRECT($B$5&amp;"生成成长"),3))*(VLOOKUP($B$5,标准坦克设计!$B$14:$K$20,9)/30))</f>
        <v>9.0638714584502456</v>
      </c>
      <c r="AG142" s="172">
        <f ca="1">(VLOOKUP(AG$72,INDIRECT($C$5&amp;"生成成长"),2))/((VLOOKUP($B142,INDIRECT($B$5&amp;"生成成长"),4))/(VLOOKUP(AG$72,INDIRECT($C$5&amp;"生成成长"),5))*(VLOOKUP($B$5,标准坦克设计!$B$24:$U$30,MATCH("对"&amp;LEFT($C$5,2)&amp;"输出",标准坦克设计!$B$23:$U$23,0)))*(VLOOKUP($B142,INDIRECT($B$5&amp;"生成成长"),3))*(VLOOKUP($B$5,标准坦克设计!$B$14:$K$20,9)/30))</f>
        <v>9.7662432003764472</v>
      </c>
      <c r="AH142" s="172">
        <f ca="1">(VLOOKUP(AH$72,INDIRECT($C$5&amp;"生成成长"),2))/((VLOOKUP($B142,INDIRECT($B$5&amp;"生成成长"),4))/(VLOOKUP(AH$72,INDIRECT($C$5&amp;"生成成长"),5))*(VLOOKUP($B$5,标准坦克设计!$B$24:$U$30,MATCH("对"&amp;LEFT($C$5,2)&amp;"输出",标准坦克设计!$B$23:$U$23,0)))*(VLOOKUP($B142,INDIRECT($B$5&amp;"生成成长"),3))*(VLOOKUP($B$5,标准坦克设计!$B$14:$K$20,9)/30))</f>
        <v>10.494822843120788</v>
      </c>
      <c r="AI142" s="172">
        <f ca="1">(VLOOKUP(AI$72,INDIRECT($C$5&amp;"生成成长"),2))/((VLOOKUP($B142,INDIRECT($B$5&amp;"生成成长"),4))/(VLOOKUP(AI$72,INDIRECT($C$5&amp;"生成成长"),5))*(VLOOKUP($B$5,标准坦克设计!$B$24:$U$30,MATCH("对"&amp;LEFT($C$5,2)&amp;"输出",标准坦克设计!$B$23:$U$23,0)))*(VLOOKUP($B142,INDIRECT($B$5&amp;"生成成长"),3))*(VLOOKUP($B$5,标准坦克设计!$B$14:$K$20,9)/30))</f>
        <v>7.4226016697141191</v>
      </c>
      <c r="AJ142" s="172">
        <f ca="1">(VLOOKUP(AJ$72,INDIRECT($C$5&amp;"生成成长"),2))/((VLOOKUP($B142,INDIRECT($B$5&amp;"生成成长"),4))/(VLOOKUP(AJ$72,INDIRECT($C$5&amp;"生成成长"),5))*(VLOOKUP($B$5,标准坦克设计!$B$24:$U$30,MATCH("对"&amp;LEFT($C$5,2)&amp;"输出",标准坦克设计!$B$23:$U$23,0)))*(VLOOKUP($B142,INDIRECT($B$5&amp;"生成成长"),3))*(VLOOKUP($B$5,标准坦克设计!$B$14:$K$20,9)/30))</f>
        <v>8.1245802931280444</v>
      </c>
      <c r="AK142" s="172">
        <f ca="1">(VLOOKUP(AK$72,INDIRECT($C$5&amp;"生成成长"),2))/((VLOOKUP($B142,INDIRECT($B$5&amp;"生成成长"),4))/(VLOOKUP(AK$72,INDIRECT($C$5&amp;"生成成长"),5))*(VLOOKUP($B$5,标准坦克设计!$B$24:$U$30,MATCH("对"&amp;LEFT($C$5,2)&amp;"输出",标准坦克设计!$B$23:$U$23,0)))*(VLOOKUP($B142,INDIRECT($B$5&amp;"生成成长"),3))*(VLOOKUP($B$5,标准坦克设计!$B$14:$K$20,9)/30))</f>
        <v>8.8582704765319242</v>
      </c>
      <c r="AL142" s="172">
        <f ca="1">(VLOOKUP(AL$72,INDIRECT($C$5&amp;"生成成长"),2))/((VLOOKUP($B142,INDIRECT($B$5&amp;"生成成长"),4))/(VLOOKUP(AL$72,INDIRECT($C$5&amp;"生成成长"),5))*(VLOOKUP($B$5,标准坦克设计!$B$24:$U$30,MATCH("对"&amp;LEFT($C$5,2)&amp;"输出",标准坦克设计!$B$23:$U$23,0)))*(VLOOKUP($B142,INDIRECT($B$5&amp;"生成成长"),3))*(VLOOKUP($B$5,标准坦克设计!$B$14:$K$20,9)/30))</f>
        <v>9.6236722199257549</v>
      </c>
      <c r="AM142" s="172">
        <f ca="1">(VLOOKUP(AM$72,INDIRECT($C$5&amp;"生成成长"),2))/((VLOOKUP($B142,INDIRECT($B$5&amp;"生成成长"),4))/(VLOOKUP(AM$72,INDIRECT($C$5&amp;"生成成长"),5))*(VLOOKUP($B$5,标准坦克设计!$B$24:$U$30,MATCH("对"&amp;LEFT($C$5,2)&amp;"输出",标准坦克设计!$B$23:$U$23,0)))*(VLOOKUP($B142,INDIRECT($B$5&amp;"生成成长"),3))*(VLOOKUP($B$5,标准坦克设计!$B$14:$K$20,9)/30))</f>
        <v>10.420785523309537</v>
      </c>
      <c r="AN142" s="172">
        <f ca="1">(VLOOKUP(AN$72,INDIRECT($C$5&amp;"生成成长"),2))/((VLOOKUP($B142,INDIRECT($B$5&amp;"生成成长"),4))/(VLOOKUP(AN$72,INDIRECT($C$5&amp;"生成成长"),5))*(VLOOKUP($B$5,标准坦克设计!$B$24:$U$30,MATCH("对"&amp;LEFT($C$5,2)&amp;"输出",标准坦克设计!$B$23:$U$23,0)))*(VLOOKUP($B142,INDIRECT($B$5&amp;"生成成长"),3))*(VLOOKUP($B$5,标准坦克设计!$B$14:$K$20,9)/30))</f>
        <v>11.249610386683271</v>
      </c>
      <c r="AO142" s="172">
        <f ca="1">(VLOOKUP(AO$72,INDIRECT($C$5&amp;"生成成长"),2))/((VLOOKUP($B142,INDIRECT($B$5&amp;"生成成长"),4))/(VLOOKUP(AO$72,INDIRECT($C$5&amp;"生成成长"),5))*(VLOOKUP($B$5,标准坦克设计!$B$24:$U$30,MATCH("对"&amp;LEFT($C$5,2)&amp;"输出",标准坦克设计!$B$23:$U$23,0)))*(VLOOKUP($B142,INDIRECT($B$5&amp;"生成成长"),3))*(VLOOKUP($B$5,标准坦克设计!$B$14:$K$20,9)/30))</f>
        <v>12.110146810046958</v>
      </c>
      <c r="AP142" s="172">
        <f ca="1">(VLOOKUP(AP$72,INDIRECT($C$5&amp;"生成成长"),2))/((VLOOKUP($B142,INDIRECT($B$5&amp;"生成成长"),4))/(VLOOKUP(AP$72,INDIRECT($C$5&amp;"生成成长"),5))*(VLOOKUP($B$5,标准坦克设计!$B$24:$U$30,MATCH("对"&amp;LEFT($C$5,2)&amp;"输出",标准坦克设计!$B$23:$U$23,0)))*(VLOOKUP($B142,INDIRECT($B$5&amp;"生成成长"),3))*(VLOOKUP($B$5,标准坦克设计!$B$14:$K$20,9)/30))</f>
        <v>13.002394793400596</v>
      </c>
      <c r="AQ142" s="172">
        <f ca="1">(VLOOKUP(AQ$72,INDIRECT($C$5&amp;"生成成长"),2))/((VLOOKUP($B142,INDIRECT($B$5&amp;"生成成长"),4))/(VLOOKUP(AQ$72,INDIRECT($C$5&amp;"生成成长"),5))*(VLOOKUP($B$5,标准坦克设计!$B$24:$U$30,MATCH("对"&amp;LEFT($C$5,2)&amp;"输出",标准坦克设计!$B$23:$U$23,0)))*(VLOOKUP($B142,INDIRECT($B$5&amp;"生成成长"),3))*(VLOOKUP($B$5,标准坦克设计!$B$14:$K$20,9)/30))</f>
        <v>13.926354336744183</v>
      </c>
      <c r="AR142" s="172">
        <f ca="1">(VLOOKUP(AR$72,INDIRECT($C$5&amp;"生成成长"),2))/((VLOOKUP($B142,INDIRECT($B$5&amp;"生成成长"),4))/(VLOOKUP(AR$72,INDIRECT($C$5&amp;"生成成长"),5))*(VLOOKUP($B$5,标准坦克设计!$B$24:$U$30,MATCH("对"&amp;LEFT($C$5,2)&amp;"输出",标准坦克设计!$B$23:$U$23,0)))*(VLOOKUP($B142,INDIRECT($B$5&amp;"生成成长"),3))*(VLOOKUP($B$5,标准坦克设计!$B$14:$K$20,9)/30))</f>
        <v>14.882025440077722</v>
      </c>
      <c r="AS142" s="172">
        <f ca="1">(VLOOKUP(AS$72,INDIRECT($C$5&amp;"生成成长"),2))/((VLOOKUP($B142,INDIRECT($B$5&amp;"生成成长"),4))/(VLOOKUP(AS$72,INDIRECT($C$5&amp;"生成成长"),5))*(VLOOKUP($B$5,标准坦克设计!$B$24:$U$30,MATCH("对"&amp;LEFT($C$5,2)&amp;"输出",标准坦克设计!$B$23:$U$23,0)))*(VLOOKUP($B142,INDIRECT($B$5&amp;"生成成长"),3))*(VLOOKUP($B$5,标准坦克设计!$B$14:$K$20,9)/30))</f>
        <v>15.869408103401215</v>
      </c>
      <c r="AT142" s="172">
        <f ca="1">(VLOOKUP(AT$72,INDIRECT($C$5&amp;"生成成长"),2))/((VLOOKUP($B142,INDIRECT($B$5&amp;"生成成长"),4))/(VLOOKUP(AT$72,INDIRECT($C$5&amp;"生成成长"),5))*(VLOOKUP($B$5,标准坦克设计!$B$24:$U$30,MATCH("对"&amp;LEFT($C$5,2)&amp;"输出",标准坦克设计!$B$23:$U$23,0)))*(VLOOKUP($B142,INDIRECT($B$5&amp;"生成成长"),3))*(VLOOKUP($B$5,标准坦克设计!$B$14:$K$20,9)/30))</f>
        <v>16.888502326714658</v>
      </c>
      <c r="AU142" s="172">
        <f ca="1">(VLOOKUP(AU$72,INDIRECT($C$5&amp;"生成成长"),2))/((VLOOKUP($B142,INDIRECT($B$5&amp;"生成成长"),4))/(VLOOKUP(AU$72,INDIRECT($C$5&amp;"生成成长"),5))*(VLOOKUP($B$5,标准坦克设计!$B$24:$U$30,MATCH("对"&amp;LEFT($C$5,2)&amp;"输出",标准坦克设计!$B$23:$U$23,0)))*(VLOOKUP($B142,INDIRECT($B$5&amp;"生成成长"),3))*(VLOOKUP($B$5,标准坦克设计!$B$14:$K$20,9)/30))</f>
        <v>17.939308110018054</v>
      </c>
      <c r="AV142" s="172">
        <f ca="1">(VLOOKUP(AV$72,INDIRECT($C$5&amp;"生成成长"),2))/((VLOOKUP($B142,INDIRECT($B$5&amp;"生成成长"),4))/(VLOOKUP(AV$72,INDIRECT($C$5&amp;"生成成长"),5))*(VLOOKUP($B$5,标准坦克设计!$B$24:$U$30,MATCH("对"&amp;LEFT($C$5,2)&amp;"输出",标准坦克设计!$B$23:$U$23,0)))*(VLOOKUP($B142,INDIRECT($B$5&amp;"生成成长"),3))*(VLOOKUP($B$5,标准坦克设计!$B$14:$K$20,9)/30))</f>
        <v>1.8245940549590314</v>
      </c>
      <c r="AW142" s="172">
        <f ca="1">(VLOOKUP(AW$72,INDIRECT($C$5&amp;"生成成长"),2))/((VLOOKUP($B142,INDIRECT($B$5&amp;"生成成长"),4))/(VLOOKUP(AW$72,INDIRECT($C$5&amp;"生成成长"),5))*(VLOOKUP($B$5,标准坦克设计!$B$24:$U$30,MATCH("对"&amp;LEFT($C$5,2)&amp;"输出",标准坦克设计!$B$23:$U$23,0)))*(VLOOKUP($B142,INDIRECT($B$5&amp;"生成成长"),3))*(VLOOKUP($B$5,标准坦克设计!$B$14:$K$20,9)/30))</f>
        <v>2.0803831669440953</v>
      </c>
      <c r="AX142" s="172">
        <f ca="1">(VLOOKUP(AX$72,INDIRECT($C$5&amp;"生成成长"),2))/((VLOOKUP($B142,INDIRECT($B$5&amp;"生成成长"),4))/(VLOOKUP(AX$72,INDIRECT($C$5&amp;"生成成长"),5))*(VLOOKUP($B$5,标准坦克设计!$B$24:$U$30,MATCH("对"&amp;LEFT($C$5,2)&amp;"输出",标准坦克设计!$B$23:$U$23,0)))*(VLOOKUP($B142,INDIRECT($B$5&amp;"生成成长"),3))*(VLOOKUP($B$5,标准坦克设计!$B$14:$K$20,9)/30))</f>
        <v>2.3529453354527696</v>
      </c>
      <c r="AY142" s="172">
        <f ca="1">(VLOOKUP(AY$72,INDIRECT($C$5&amp;"生成成长"),2))/((VLOOKUP($B142,INDIRECT($B$5&amp;"生成成长"),4))/(VLOOKUP(AY$72,INDIRECT($C$5&amp;"生成成长"),5))*(VLOOKUP($B$5,标准坦克设计!$B$24:$U$30,MATCH("对"&amp;LEFT($C$5,2)&amp;"输出",标准坦克设计!$B$23:$U$23,0)))*(VLOOKUP($B142,INDIRECT($B$5&amp;"生成成长"),3))*(VLOOKUP($B$5,标准坦克设计!$B$14:$K$20,9)/30))</f>
        <v>2.6422805604850548</v>
      </c>
      <c r="AZ142" s="172">
        <f ca="1">(VLOOKUP(AZ$72,INDIRECT($C$5&amp;"生成成长"),2))/((VLOOKUP($B142,INDIRECT($B$5&amp;"生成成长"),4))/(VLOOKUP(AZ$72,INDIRECT($C$5&amp;"生成成长"),5))*(VLOOKUP($B$5,标准坦克设计!$B$24:$U$30,MATCH("对"&amp;LEFT($C$5,2)&amp;"输出",标准坦克设计!$B$23:$U$23,0)))*(VLOOKUP($B142,INDIRECT($B$5&amp;"生成成长"),3))*(VLOOKUP($B$5,标准坦克设计!$B$14:$K$20,9)/30))</f>
        <v>2.9483888420409508</v>
      </c>
      <c r="BA142" s="172">
        <f ca="1">(VLOOKUP(BA$72,INDIRECT($C$5&amp;"生成成长"),2))/((VLOOKUP($B142,INDIRECT($B$5&amp;"生成成长"),4))/(VLOOKUP(BA$72,INDIRECT($C$5&amp;"生成成长"),5))*(VLOOKUP($B$5,标准坦克设计!$B$24:$U$30,MATCH("对"&amp;LEFT($C$5,2)&amp;"输出",标准坦克设计!$B$23:$U$23,0)))*(VLOOKUP($B142,INDIRECT($B$5&amp;"生成成长"),3))*(VLOOKUP($B$5,标准坦克设计!$B$14:$K$20,9)/30))</f>
        <v>3.271270180120458</v>
      </c>
      <c r="BB142" s="172">
        <f ca="1">(VLOOKUP(BB$72,INDIRECT($C$5&amp;"生成成长"),2))/((VLOOKUP($B142,INDIRECT($B$5&amp;"生成成长"),4))/(VLOOKUP(BB$72,INDIRECT($C$5&amp;"生成成长"),5))*(VLOOKUP($B$5,标准坦克设计!$B$24:$U$30,MATCH("对"&amp;LEFT($C$5,2)&amp;"输出",标准坦克设计!$B$23:$U$23,0)))*(VLOOKUP($B142,INDIRECT($B$5&amp;"生成成长"),3))*(VLOOKUP($B$5,标准坦克设计!$B$14:$K$20,9)/30))</f>
        <v>3.6109245747235756</v>
      </c>
      <c r="BC142" s="172">
        <f ca="1">(VLOOKUP(BC$72,INDIRECT($C$5&amp;"生成成长"),2))/((VLOOKUP($B142,INDIRECT($B$5&amp;"生成成长"),4))/(VLOOKUP(BC$72,INDIRECT($C$5&amp;"生成成长"),5))*(VLOOKUP($B$5,标准坦克设计!$B$24:$U$30,MATCH("对"&amp;LEFT($C$5,2)&amp;"输出",标准坦克设计!$B$23:$U$23,0)))*(VLOOKUP($B142,INDIRECT($B$5&amp;"生成成长"),3))*(VLOOKUP($B$5,标准坦克设计!$B$14:$K$20,9)/30))</f>
        <v>3.9673520258503037</v>
      </c>
      <c r="BD142" s="172">
        <f ca="1">(VLOOKUP(BD$72,INDIRECT($C$5&amp;"生成成长"),2))/((VLOOKUP($B142,INDIRECT($B$5&amp;"生成成长"),4))/(VLOOKUP(BD$72,INDIRECT($C$5&amp;"生成成长"),5))*(VLOOKUP($B$5,标准坦克设计!$B$24:$U$30,MATCH("对"&amp;LEFT($C$5,2)&amp;"输出",标准坦克设计!$B$23:$U$23,0)))*(VLOOKUP($B142,INDIRECT($B$5&amp;"生成成长"),3))*(VLOOKUP($B$5,标准坦克设计!$B$14:$K$20,9)/30))</f>
        <v>4.3883819524937513</v>
      </c>
      <c r="BE142" s="172">
        <f ca="1">(VLOOKUP(BE$72,INDIRECT($C$5&amp;"生成成长"),2))/((VLOOKUP($B142,INDIRECT($B$5&amp;"生成成长"),4))/(VLOOKUP(BE$72,INDIRECT($C$5&amp;"生成成长"),5))*(VLOOKUP($B$5,标准坦克设计!$B$24:$U$30,MATCH("对"&amp;LEFT($C$5,2)&amp;"输出",标准坦克设计!$B$23:$U$23,0)))*(VLOOKUP($B142,INDIRECT($B$5&amp;"生成成长"),3))*(VLOOKUP($B$5,标准坦克设计!$B$14:$K$20,9)/30))</f>
        <v>4.8306402787998932</v>
      </c>
      <c r="BF142" s="172">
        <f ca="1">(VLOOKUP(BF$72,INDIRECT($C$5&amp;"生成成长"),2))/((VLOOKUP($B142,INDIRECT($B$5&amp;"生成成长"),4))/(VLOOKUP(BF$72,INDIRECT($C$5&amp;"生成成长"),5))*(VLOOKUP($B$5,标准坦克设计!$B$24:$U$30,MATCH("对"&amp;LEFT($C$5,2)&amp;"输出",标准坦克设计!$B$23:$U$23,0)))*(VLOOKUP($B142,INDIRECT($B$5&amp;"生成成长"),3))*(VLOOKUP($B$5,标准坦克设计!$B$14:$K$20,9)/30))</f>
        <v>5.2941270047687317</v>
      </c>
      <c r="BG142" s="172">
        <f ca="1">(VLOOKUP(BG$72,INDIRECT($C$5&amp;"生成成长"),2))/((VLOOKUP($B142,INDIRECT($B$5&amp;"生成成长"),4))/(VLOOKUP(BG$72,INDIRECT($C$5&amp;"生成成长"),5))*(VLOOKUP($B$5,标准坦克设计!$B$24:$U$30,MATCH("对"&amp;LEFT($C$5,2)&amp;"输出",标准坦克设计!$B$23:$U$23,0)))*(VLOOKUP($B142,INDIRECT($B$5&amp;"生成成长"),3))*(VLOOKUP($B$5,标准坦克设计!$B$14:$K$20,9)/30))</f>
        <v>5.778842130400264</v>
      </c>
      <c r="BH142" s="172">
        <f ca="1">(VLOOKUP(BH$72,INDIRECT($C$5&amp;"生成成长"),2))/((VLOOKUP($B142,INDIRECT($B$5&amp;"生成成长"),4))/(VLOOKUP(BH$72,INDIRECT($C$5&amp;"生成成长"),5))*(VLOOKUP($B$5,标准坦克设计!$B$24:$U$30,MATCH("对"&amp;LEFT($C$5,2)&amp;"输出",标准坦克设计!$B$23:$U$23,0)))*(VLOOKUP($B142,INDIRECT($B$5&amp;"生成成长"),3))*(VLOOKUP($B$5,标准坦克设计!$B$14:$K$20,9)/30))</f>
        <v>2.7932380691975514</v>
      </c>
      <c r="BI142" s="172">
        <f ca="1">(VLOOKUP(BI$72,INDIRECT($C$5&amp;"生成成长"),2))/((VLOOKUP($B142,INDIRECT($B$5&amp;"生成成长"),4))/(VLOOKUP(BI$72,INDIRECT($C$5&amp;"生成成长"),5))*(VLOOKUP($B$5,标准坦克设计!$B$24:$U$30,MATCH("对"&amp;LEFT($C$5,2)&amp;"输出",标准坦克设计!$B$23:$U$23,0)))*(VLOOKUP($B142,INDIRECT($B$5&amp;"生成成长"),3))*(VLOOKUP($B$5,标准坦克设计!$B$14:$K$20,9)/30))</f>
        <v>3.1482240857792823</v>
      </c>
      <c r="BJ142" s="172">
        <f ca="1">(VLOOKUP(BJ$72,INDIRECT($C$5&amp;"生成成长"),2))/((VLOOKUP($B142,INDIRECT($B$5&amp;"生成成长"),4))/(VLOOKUP(BJ$72,INDIRECT($C$5&amp;"生成成长"),5))*(VLOOKUP($B$5,标准坦克设计!$B$24:$U$30,MATCH("对"&amp;LEFT($C$5,2)&amp;"输出",标准坦克设计!$B$23:$U$23,0)))*(VLOOKUP($B142,INDIRECT($B$5&amp;"生成成长"),3))*(VLOOKUP($B$5,标准坦克设计!$B$14:$K$20,9)/30))</f>
        <v>3.5244385020237075</v>
      </c>
      <c r="BK142" s="172">
        <f ca="1">(VLOOKUP(BK$72,INDIRECT($C$5&amp;"生成成长"),2))/((VLOOKUP($B142,INDIRECT($B$5&amp;"生成成长"),4))/(VLOOKUP(BK$72,INDIRECT($C$5&amp;"生成成长"),5))*(VLOOKUP($B$5,标准坦克设计!$B$24:$U$30,MATCH("对"&amp;LEFT($C$5,2)&amp;"输出",标准坦克设计!$B$23:$U$23,0)))*(VLOOKUP($B142,INDIRECT($B$5&amp;"生成成长"),3))*(VLOOKUP($B$5,标准坦克设计!$B$14:$K$20,9)/30))</f>
        <v>3.9218813179308278</v>
      </c>
      <c r="BL142" s="172">
        <f ca="1">(VLOOKUP(BL$72,INDIRECT($C$5&amp;"生成成长"),2))/((VLOOKUP($B142,INDIRECT($B$5&amp;"生成成长"),4))/(VLOOKUP(BL$72,INDIRECT($C$5&amp;"生成成长"),5))*(VLOOKUP($B$5,标准坦克设计!$B$24:$U$30,MATCH("对"&amp;LEFT($C$5,2)&amp;"输出",标准坦克设计!$B$23:$U$23,0)))*(VLOOKUP($B142,INDIRECT($B$5&amp;"生成成长"),3))*(VLOOKUP($B$5,标准坦克设计!$B$14:$K$20,9)/30))</f>
        <v>4.3405525335006425</v>
      </c>
      <c r="BM142" s="172">
        <f ca="1">(VLOOKUP(BM$72,INDIRECT($C$5&amp;"生成成长"),2))/((VLOOKUP($B142,INDIRECT($B$5&amp;"生成成长"),4))/(VLOOKUP(BM$72,INDIRECT($C$5&amp;"生成成长"),5))*(VLOOKUP($B$5,标准坦克设计!$B$24:$U$30,MATCH("对"&amp;LEFT($C$5,2)&amp;"输出",标准坦克设计!$B$23:$U$23,0)))*(VLOOKUP($B142,INDIRECT($B$5&amp;"生成成长"),3))*(VLOOKUP($B$5,标准坦克设计!$B$14:$K$20,9)/30))</f>
        <v>4.7804521487331524</v>
      </c>
      <c r="BN142" s="172">
        <f ca="1">(VLOOKUP(BN$72,INDIRECT($C$5&amp;"生成成长"),2))/((VLOOKUP($B142,INDIRECT($B$5&amp;"生成成长"),4))/(VLOOKUP(BN$72,INDIRECT($C$5&amp;"生成成长"),5))*(VLOOKUP($B$5,标准坦克设计!$B$24:$U$30,MATCH("对"&amp;LEFT($C$5,2)&amp;"输出",标准坦克设计!$B$23:$U$23,0)))*(VLOOKUP($B142,INDIRECT($B$5&amp;"生成成长"),3))*(VLOOKUP($B$5,标准坦克设计!$B$14:$K$20,9)/30))</f>
        <v>5.241580163628357</v>
      </c>
      <c r="BO142" s="172">
        <f ca="1">(VLOOKUP(BO$72,INDIRECT($C$5&amp;"生成成长"),2))/((VLOOKUP($B142,INDIRECT($B$5&amp;"生成成长"),4))/(VLOOKUP(BO$72,INDIRECT($C$5&amp;"生成成长"),5))*(VLOOKUP($B$5,标准坦克设计!$B$24:$U$30,MATCH("对"&amp;LEFT($C$5,2)&amp;"输出",标准坦克设计!$B$23:$U$23,0)))*(VLOOKUP($B142,INDIRECT($B$5&amp;"生成成长"),3))*(VLOOKUP($B$5,标准坦克设计!$B$14:$K$20,9)/30))</f>
        <v>5.7239365781862563</v>
      </c>
      <c r="BP142" s="172">
        <f ca="1">(VLOOKUP(BP$72,INDIRECT($C$5&amp;"生成成长"),2))/((VLOOKUP($B142,INDIRECT($B$5&amp;"生成成长"),4))/(VLOOKUP(BP$72,INDIRECT($C$5&amp;"生成成长"),5))*(VLOOKUP($B$5,标准坦克设计!$B$24:$U$30,MATCH("对"&amp;LEFT($C$5,2)&amp;"输出",标准坦克设计!$B$23:$U$23,0)))*(VLOOKUP($B142,INDIRECT($B$5&amp;"生成成长"),3))*(VLOOKUP($B$5,标准坦克设计!$B$14:$K$20,9)/30))</f>
        <v>6.2275213924068513</v>
      </c>
      <c r="BQ142" s="172">
        <f ca="1">(VLOOKUP(BQ$72,INDIRECT($C$5&amp;"生成成长"),2))/((VLOOKUP($B142,INDIRECT($B$5&amp;"生成成长"),4))/(VLOOKUP(BQ$72,INDIRECT($C$5&amp;"生成成长"),5))*(VLOOKUP($B$5,标准坦克设计!$B$24:$U$30,MATCH("对"&amp;LEFT($C$5,2)&amp;"输出",标准坦克设计!$B$23:$U$23,0)))*(VLOOKUP($B142,INDIRECT($B$5&amp;"生成成长"),3))*(VLOOKUP($B$5,标准坦克设计!$B$14:$K$20,9)/30))</f>
        <v>6.752334606290141</v>
      </c>
      <c r="BR142" s="172">
        <f ca="1">(VLOOKUP(BR$72,INDIRECT($C$5&amp;"生成成长"),2))/((VLOOKUP($B142,INDIRECT($B$5&amp;"生成成长"),4))/(VLOOKUP(BR$72,INDIRECT($C$5&amp;"生成成长"),5))*(VLOOKUP($B$5,标准坦克设计!$B$24:$U$30,MATCH("对"&amp;LEFT($C$5,2)&amp;"输出",标准坦克设计!$B$23:$U$23,0)))*(VLOOKUP($B142,INDIRECT($B$5&amp;"生成成长"),3))*(VLOOKUP($B$5,标准坦克设计!$B$14:$K$20,9)/30))</f>
        <v>7.3603579052710284</v>
      </c>
      <c r="BS142" s="172">
        <f ca="1">(VLOOKUP(BS$72,INDIRECT($C$5&amp;"生成成长"),2))/((VLOOKUP($B142,INDIRECT($B$5&amp;"生成成长"),4))/(VLOOKUP(BS$72,INDIRECT($C$5&amp;"生成成长"),5))*(VLOOKUP($B$5,标准坦克设计!$B$24:$U$30,MATCH("对"&amp;LEFT($C$5,2)&amp;"输出",标准坦克设计!$B$23:$U$23,0)))*(VLOOKUP($B142,INDIRECT($B$5&amp;"生成成长"),3))*(VLOOKUP($B$5,标准坦克设计!$B$14:$K$20,9)/30))</f>
        <v>7.9945891050700624</v>
      </c>
      <c r="BT142" s="172">
        <f ca="1">(VLOOKUP(BT$72,INDIRECT($C$5&amp;"生成成长"),2))/((VLOOKUP($B142,INDIRECT($B$5&amp;"生成成长"),4))/(VLOOKUP(BT$72,INDIRECT($C$5&amp;"生成成长"),5))*(VLOOKUP($B$5,标准坦克设计!$B$24:$U$30,MATCH("对"&amp;LEFT($C$5,2)&amp;"输出",标准坦克设计!$B$23:$U$23,0)))*(VLOOKUP($B142,INDIRECT($B$5&amp;"生成成长"),3))*(VLOOKUP($B$5,标准坦克设计!$B$14:$K$20,9)/30))</f>
        <v>8.6550282056872341</v>
      </c>
      <c r="BU142" s="172">
        <f ca="1">(VLOOKUP(BU$72,INDIRECT($C$5&amp;"生成成长"),2))/((VLOOKUP($B142,INDIRECT($B$5&amp;"生成成长"),4))/(VLOOKUP(BU$72,INDIRECT($C$5&amp;"生成成长"),5))*(VLOOKUP($B$5,标准坦克设计!$B$24:$U$30,MATCH("对"&amp;LEFT($C$5,2)&amp;"输出",标准坦克设计!$B$23:$U$23,0)))*(VLOOKUP($B142,INDIRECT($B$5&amp;"生成成长"),3))*(VLOOKUP($B$5,标准坦克设计!$B$14:$K$20,9)/30))</f>
        <v>9.3416752071225506</v>
      </c>
      <c r="BV142" s="172">
        <f ca="1">(VLOOKUP(BV$72,INDIRECT($C$5&amp;"生成成长"),2))/((VLOOKUP($B142,INDIRECT($B$5&amp;"生成成长"),4))/(VLOOKUP(BV$72,INDIRECT($C$5&amp;"生成成长"),5))*(VLOOKUP($B$5,标准坦克设计!$B$24:$U$30,MATCH("对"&amp;LEFT($C$5,2)&amp;"输出",标准坦克设计!$B$23:$U$23,0)))*(VLOOKUP($B142,INDIRECT($B$5&amp;"生成成长"),3))*(VLOOKUP($B$5,标准坦克设计!$B$14:$K$20,9)/30))</f>
        <v>10.054530109376007</v>
      </c>
      <c r="BW142" s="172">
        <f ca="1">(VLOOKUP(BW$72,INDIRECT($C$5&amp;"生成成长"),2))/((VLOOKUP($B142,INDIRECT($B$5&amp;"生成成长"),4))/(VLOOKUP(BW$72,INDIRECT($C$5&amp;"生成成长"),5))*(VLOOKUP($B$5,标准坦克设计!$B$24:$U$30,MATCH("对"&amp;LEFT($C$5,2)&amp;"输出",标准坦克设计!$B$23:$U$23,0)))*(VLOOKUP($B142,INDIRECT($B$5&amp;"生成成长"),3))*(VLOOKUP($B$5,标准坦克设计!$B$14:$K$20,9)/30))</f>
        <v>4.5823204185480009</v>
      </c>
      <c r="BX142" s="172">
        <f ca="1">(VLOOKUP(BX$72,INDIRECT($C$5&amp;"生成成长"),2))/((VLOOKUP($B142,INDIRECT($B$5&amp;"生成成长"),4))/(VLOOKUP(BX$72,INDIRECT($C$5&amp;"生成成长"),5))*(VLOOKUP($B$5,标准坦克设计!$B$24:$U$30,MATCH("对"&amp;LEFT($C$5,2)&amp;"输出",标准坦克设计!$B$23:$U$23,0)))*(VLOOKUP($B142,INDIRECT($B$5&amp;"生成成长"),3))*(VLOOKUP($B$5,标准坦克设计!$B$14:$K$20,9)/30))</f>
        <v>5.085512114256324</v>
      </c>
      <c r="BY142" s="172">
        <f ca="1">(VLOOKUP(BY$72,INDIRECT($C$5&amp;"生成成长"),2))/((VLOOKUP($B142,INDIRECT($B$5&amp;"生成成长"),4))/(VLOOKUP(BY$72,INDIRECT($C$5&amp;"生成成长"),5))*(VLOOKUP($B$5,标准坦克设计!$B$24:$U$30,MATCH("对"&amp;LEFT($C$5,2)&amp;"输出",标准坦克设计!$B$23:$U$23,0)))*(VLOOKUP($B142,INDIRECT($B$5&amp;"生成成长"),3))*(VLOOKUP($B$5,标准坦克设计!$B$14:$K$20,9)/30))</f>
        <v>5.6149117107827875</v>
      </c>
      <c r="BZ142" s="172">
        <f ca="1">(VLOOKUP(BZ$72,INDIRECT($C$5&amp;"生成成长"),2))/((VLOOKUP($B142,INDIRECT($B$5&amp;"生成成长"),4))/(VLOOKUP(BZ$72,INDIRECT($C$5&amp;"生成成长"),5))*(VLOOKUP($B$5,标准坦克设计!$B$24:$U$30,MATCH("对"&amp;LEFT($C$5,2)&amp;"输出",标准坦克设计!$B$23:$U$23,0)))*(VLOOKUP($B142,INDIRECT($B$5&amp;"生成成长"),3))*(VLOOKUP($B$5,标准坦克设计!$B$14:$K$20,9)/30))</f>
        <v>6.1705192081273932</v>
      </c>
      <c r="CA142" s="172">
        <f ca="1">(VLOOKUP(CA$72,INDIRECT($C$5&amp;"生成成长"),2))/((VLOOKUP($B142,INDIRECT($B$5&amp;"生成成长"),4))/(VLOOKUP(CA$72,INDIRECT($C$5&amp;"生成成长"),5))*(VLOOKUP($B$5,标准坦克设计!$B$24:$U$30,MATCH("对"&amp;LEFT($C$5,2)&amp;"输出",标准坦克设计!$B$23:$U$23,0)))*(VLOOKUP($B142,INDIRECT($B$5&amp;"生成成长"),3))*(VLOOKUP($B$5,标准坦克设计!$B$14:$K$20,9)/30))</f>
        <v>6.752334606290141</v>
      </c>
      <c r="CB142" s="172">
        <f ca="1">(VLOOKUP(CB$72,INDIRECT($C$5&amp;"生成成长"),2))/((VLOOKUP($B142,INDIRECT($B$5&amp;"生成成长"),4))/(VLOOKUP(CB$72,INDIRECT($C$5&amp;"生成成长"),5))*(VLOOKUP($B$5,标准坦克设计!$B$24:$U$30,MATCH("对"&amp;LEFT($C$5,2)&amp;"输出",标准坦克设计!$B$23:$U$23,0)))*(VLOOKUP($B142,INDIRECT($B$5&amp;"生成成长"),3))*(VLOOKUP($B$5,标准坦克设计!$B$14:$K$20,9)/30))</f>
        <v>7.3603579052710284</v>
      </c>
      <c r="CC142" s="172">
        <f ca="1">(VLOOKUP(CC$72,INDIRECT($C$5&amp;"生成成长"),2))/((VLOOKUP($B142,INDIRECT($B$5&amp;"生成成长"),4))/(VLOOKUP(CC$72,INDIRECT($C$5&amp;"生成成长"),5))*(VLOOKUP($B$5,标准坦克设计!$B$24:$U$30,MATCH("对"&amp;LEFT($C$5,2)&amp;"输出",标准坦克设计!$B$23:$U$23,0)))*(VLOOKUP($B142,INDIRECT($B$5&amp;"生成成长"),3))*(VLOOKUP($B$5,标准坦克设计!$B$14:$K$20,9)/30))</f>
        <v>7.9945891050700624</v>
      </c>
      <c r="CD142" s="172">
        <f ca="1">(VLOOKUP(CD$72,INDIRECT($C$5&amp;"生成成长"),2))/((VLOOKUP($B142,INDIRECT($B$5&amp;"生成成长"),4))/(VLOOKUP(CD$72,INDIRECT($C$5&amp;"生成成长"),5))*(VLOOKUP($B$5,标准坦克设计!$B$24:$U$30,MATCH("对"&amp;LEFT($C$5,2)&amp;"输出",标准坦克设计!$B$23:$U$23,0)))*(VLOOKUP($B142,INDIRECT($B$5&amp;"生成成长"),3))*(VLOOKUP($B$5,标准坦克设计!$B$14:$K$20,9)/30))</f>
        <v>8.6550282056872341</v>
      </c>
      <c r="CE142" s="172">
        <f ca="1">(VLOOKUP(CE$72,INDIRECT($C$5&amp;"生成成长"),2))/((VLOOKUP($B142,INDIRECT($B$5&amp;"生成成长"),4))/(VLOOKUP(CE$72,INDIRECT($C$5&amp;"生成成长"),5))*(VLOOKUP($B$5,标准坦克设计!$B$24:$U$30,MATCH("对"&amp;LEFT($C$5,2)&amp;"输出",标准坦克设计!$B$23:$U$23,0)))*(VLOOKUP($B142,INDIRECT($B$5&amp;"生成成长"),3))*(VLOOKUP($B$5,标准坦克设计!$B$14:$K$20,9)/30))</f>
        <v>9.3416752071225506</v>
      </c>
      <c r="CF142" s="172">
        <f ca="1">(VLOOKUP(CF$72,INDIRECT($C$5&amp;"生成成长"),2))/((VLOOKUP($B142,INDIRECT($B$5&amp;"生成成长"),4))/(VLOOKUP(CF$72,INDIRECT($C$5&amp;"生成成长"),5))*(VLOOKUP($B$5,标准坦克设计!$B$24:$U$30,MATCH("对"&amp;LEFT($C$5,2)&amp;"输出",标准坦克设计!$B$23:$U$23,0)))*(VLOOKUP($B142,INDIRECT($B$5&amp;"生成成长"),3))*(VLOOKUP($B$5,标准坦克设计!$B$14:$K$20,9)/30))</f>
        <v>10.054530109376007</v>
      </c>
      <c r="CG142" s="172">
        <f ca="1">(VLOOKUP(CG$72,INDIRECT($C$5&amp;"生成成长"),2))/((VLOOKUP($B142,INDIRECT($B$5&amp;"生成成长"),4))/(VLOOKUP(CG$72,INDIRECT($C$5&amp;"生成成长"),5))*(VLOOKUP($B$5,标准坦克设计!$B$24:$U$30,MATCH("对"&amp;LEFT($C$5,2)&amp;"输出",标准坦克设计!$B$23:$U$23,0)))*(VLOOKUP($B142,INDIRECT($B$5&amp;"生成成长"),3))*(VLOOKUP($B$5,标准坦克设计!$B$14:$K$20,9)/30))</f>
        <v>10.793592912447604</v>
      </c>
      <c r="CH142" s="172">
        <f ca="1">(VLOOKUP(CH$72,INDIRECT($C$5&amp;"生成成长"),2))/((VLOOKUP($B142,INDIRECT($B$5&amp;"生成成长"),4))/(VLOOKUP(CH$72,INDIRECT($C$5&amp;"生成成长"),5))*(VLOOKUP($B$5,标准坦克设计!$B$24:$U$30,MATCH("对"&amp;LEFT($C$5,2)&amp;"输出",标准坦克设计!$B$23:$U$23,0)))*(VLOOKUP($B142,INDIRECT($B$5&amp;"生成成长"),3))*(VLOOKUP($B$5,标准坦克设计!$B$14:$K$20,9)/30))</f>
        <v>11.558863616337344</v>
      </c>
      <c r="CI142" s="172">
        <f ca="1">(VLOOKUP(CI$72,INDIRECT($C$5&amp;"生成成长"),2))/((VLOOKUP($B142,INDIRECT($B$5&amp;"生成成长"),4))/(VLOOKUP(CI$72,INDIRECT($C$5&amp;"生成成长"),5))*(VLOOKUP($B$5,标准坦克设计!$B$24:$U$30,MATCH("对"&amp;LEFT($C$5,2)&amp;"输出",标准坦克设计!$B$23:$U$23,0)))*(VLOOKUP($B142,INDIRECT($B$5&amp;"生成成长"),3))*(VLOOKUP($B$5,标准坦克设计!$B$14:$K$20,9)/30))</f>
        <v>12.430931516061012</v>
      </c>
      <c r="CJ142" s="172">
        <f ca="1">(VLOOKUP(CJ$72,INDIRECT($C$5&amp;"生成成长"),2))/((VLOOKUP($B142,INDIRECT($B$5&amp;"生成成长"),4))/(VLOOKUP(CJ$72,INDIRECT($C$5&amp;"生成成长"),5))*(VLOOKUP($B$5,标准坦克设计!$B$24:$U$30,MATCH("对"&amp;LEFT($C$5,2)&amp;"输出",标准坦克设计!$B$23:$U$23,0)))*(VLOOKUP($B142,INDIRECT($B$5&amp;"生成成长"),3))*(VLOOKUP($B$5,标准坦克设计!$B$14:$K$20,9)/30))</f>
        <v>13.334710975774632</v>
      </c>
      <c r="CK142" s="172">
        <f ca="1">(VLOOKUP(CK$72,INDIRECT($C$5&amp;"生成成长"),2))/((VLOOKUP($B142,INDIRECT($B$5&amp;"生成成长"),4))/(VLOOKUP(CK$72,INDIRECT($C$5&amp;"生成成长"),5))*(VLOOKUP($B$5,标准坦克设计!$B$24:$U$30,MATCH("对"&amp;LEFT($C$5,2)&amp;"输出",标准坦克设计!$B$23:$U$23,0)))*(VLOOKUP($B142,INDIRECT($B$5&amp;"生成成长"),3))*(VLOOKUP($B$5,标准坦克设计!$B$14:$K$20,9)/30))</f>
        <v>14.270201995478203</v>
      </c>
      <c r="CL142" s="172">
        <f ca="1">(VLOOKUP(CL$72,INDIRECT($C$5&amp;"生成成长"),2))/((VLOOKUP($B142,INDIRECT($B$5&amp;"生成成长"),4))/(VLOOKUP(CL$72,INDIRECT($C$5&amp;"生成成长"),5))*(VLOOKUP($B$5,标准坦克设计!$B$24:$U$30,MATCH("对"&amp;LEFT($C$5,2)&amp;"输出",标准坦克设计!$B$23:$U$23,0)))*(VLOOKUP($B142,INDIRECT($B$5&amp;"生成成长"),3))*(VLOOKUP($B$5,标准坦克设计!$B$14:$K$20,9)/30))</f>
        <v>15.237404575171727</v>
      </c>
      <c r="CM142" s="172">
        <f ca="1">(VLOOKUP(CM$72,INDIRECT($C$5&amp;"生成成长"),2))/((VLOOKUP($B142,INDIRECT($B$5&amp;"生成成长"),4))/(VLOOKUP(CM$72,INDIRECT($C$5&amp;"生成成长"),5))*(VLOOKUP($B$5,标准坦克设计!$B$24:$U$30,MATCH("对"&amp;LEFT($C$5,2)&amp;"输出",标准坦克设计!$B$23:$U$23,0)))*(VLOOKUP($B142,INDIRECT($B$5&amp;"生成成长"),3))*(VLOOKUP($B$5,标准坦克设计!$B$14:$K$20,9)/30))</f>
        <v>16.236318714855202</v>
      </c>
      <c r="CN142" s="172">
        <f ca="1">(VLOOKUP(CN$72,INDIRECT($C$5&amp;"生成成长"),2))/((VLOOKUP($B142,INDIRECT($B$5&amp;"生成成长"),4))/(VLOOKUP(CN$72,INDIRECT($C$5&amp;"生成成长"),5))*(VLOOKUP($B$5,标准坦克设计!$B$24:$U$30,MATCH("对"&amp;LEFT($C$5,2)&amp;"输出",标准坦克设计!$B$23:$U$23,0)))*(VLOOKUP($B142,INDIRECT($B$5&amp;"生成成长"),3))*(VLOOKUP($B$5,标准坦克设计!$B$14:$K$20,9)/30))</f>
        <v>17.266944414528627</v>
      </c>
      <c r="CO142" s="172">
        <f ca="1">(VLOOKUP(CO$72,INDIRECT($C$5&amp;"生成成长"),2))/((VLOOKUP($B142,INDIRECT($B$5&amp;"生成成长"),4))/(VLOOKUP(CO$72,INDIRECT($C$5&amp;"生成成长"),5))*(VLOOKUP($B$5,标准坦克设计!$B$24:$U$30,MATCH("对"&amp;LEFT($C$5,2)&amp;"输出",标准坦克设计!$B$23:$U$23,0)))*(VLOOKUP($B142,INDIRECT($B$5&amp;"生成成长"),3))*(VLOOKUP($B$5,标准坦克设计!$B$14:$K$20,9)/30))</f>
        <v>7.7377516770522732</v>
      </c>
      <c r="CP142" s="172">
        <f ca="1">(VLOOKUP(CP$72,INDIRECT($C$5&amp;"生成成长"),2))/((VLOOKUP($B142,INDIRECT($B$5&amp;"生成成长"),4))/(VLOOKUP(CP$72,INDIRECT($C$5&amp;"生成成长"),5))*(VLOOKUP($B$5,标准坦克设计!$B$24:$U$30,MATCH("对"&amp;LEFT($C$5,2)&amp;"输出",标准坦克设计!$B$23:$U$23,0)))*(VLOOKUP($B142,INDIRECT($B$5&amp;"生成成长"),3))*(VLOOKUP($B$5,标准坦克设计!$B$14:$K$20,9)/30))</f>
        <v>8.4541446459161786</v>
      </c>
      <c r="CQ142" s="172">
        <f ca="1">(VLOOKUP(CQ$72,INDIRECT($C$5&amp;"生成成长"),2))/((VLOOKUP($B142,INDIRECT($B$5&amp;"生成成长"),4))/(VLOOKUP(CQ$72,INDIRECT($C$5&amp;"生成成长"),5))*(VLOOKUP($B$5,标准坦克设计!$B$24:$U$30,MATCH("对"&amp;LEFT($C$5,2)&amp;"输出",标准坦克设计!$B$23:$U$23,0)))*(VLOOKUP($B142,INDIRECT($B$5&amp;"生成成长"),3))*(VLOOKUP($B$5,标准坦克设计!$B$14:$K$20,9)/30))</f>
        <v>9.2022491747700332</v>
      </c>
      <c r="CR142" s="172">
        <f ca="1">(VLOOKUP(CR$72,INDIRECT($C$5&amp;"生成成长"),2))/((VLOOKUP($B142,INDIRECT($B$5&amp;"生成成长"),4))/(VLOOKUP(CR$72,INDIRECT($C$5&amp;"生成成长"),5))*(VLOOKUP($B$5,标准坦克设计!$B$24:$U$30,MATCH("对"&amp;LEFT($C$5,2)&amp;"输出",标准坦克设计!$B$23:$U$23,0)))*(VLOOKUP($B142,INDIRECT($B$5&amp;"生成成长"),3))*(VLOOKUP($B$5,标准坦克设计!$B$14:$K$20,9)/30))</f>
        <v>9.9820652636138441</v>
      </c>
      <c r="CS142" s="172">
        <f ca="1">(VLOOKUP(CS$72,INDIRECT($C$5&amp;"生成成长"),2))/((VLOOKUP($B142,INDIRECT($B$5&amp;"生成成长"),4))/(VLOOKUP(CS$72,INDIRECT($C$5&amp;"生成成长"),5))*(VLOOKUP($B$5,标准坦克设计!$B$24:$U$30,MATCH("对"&amp;LEFT($C$5,2)&amp;"输出",标准坦克设计!$B$23:$U$23,0)))*(VLOOKUP($B142,INDIRECT($B$5&amp;"生成成长"),3))*(VLOOKUP($B$5,标准坦克设计!$B$14:$K$20,9)/30))</f>
        <v>10.793592912447604</v>
      </c>
      <c r="CT142" s="172">
        <f ca="1">(VLOOKUP(CT$72,INDIRECT($C$5&amp;"生成成长"),2))/((VLOOKUP($B142,INDIRECT($B$5&amp;"生成成长"),4))/(VLOOKUP(CT$72,INDIRECT($C$5&amp;"生成成长"),5))*(VLOOKUP($B$5,标准坦克设计!$B$24:$U$30,MATCH("对"&amp;LEFT($C$5,2)&amp;"输出",标准坦克设计!$B$23:$U$23,0)))*(VLOOKUP($B142,INDIRECT($B$5&amp;"生成成长"),3))*(VLOOKUP($B$5,标准坦克设计!$B$14:$K$20,9)/30))</f>
        <v>11.636832121271317</v>
      </c>
      <c r="CU142" s="172">
        <f ca="1">(VLOOKUP(CU$72,INDIRECT($C$5&amp;"生成成长"),2))/((VLOOKUP($B142,INDIRECT($B$5&amp;"生成成长"),4))/(VLOOKUP(CU$72,INDIRECT($C$5&amp;"生成成长"),5))*(VLOOKUP($B$5,标准坦克设计!$B$24:$U$30,MATCH("对"&amp;LEFT($C$5,2)&amp;"输出",标准坦克设计!$B$23:$U$23,0)))*(VLOOKUP($B142,INDIRECT($B$5&amp;"生成成长"),3))*(VLOOKUP($B$5,标准坦克设计!$B$14:$K$20,9)/30))</f>
        <v>12.51178289008498</v>
      </c>
      <c r="CV142" s="172">
        <f ca="1">(VLOOKUP(CV$72,INDIRECT($C$5&amp;"生成成长"),2))/((VLOOKUP($B142,INDIRECT($B$5&amp;"生成成长"),4))/(VLOOKUP(CV$72,INDIRECT($C$5&amp;"生成成长"),5))*(VLOOKUP($B$5,标准坦克设计!$B$24:$U$30,MATCH("对"&amp;LEFT($C$5,2)&amp;"输出",标准坦克设计!$B$23:$U$23,0)))*(VLOOKUP($B142,INDIRECT($B$5&amp;"生成成长"),3))*(VLOOKUP($B$5,标准坦克设计!$B$14:$K$20,9)/30))</f>
        <v>13.418445218888595</v>
      </c>
      <c r="CW142" s="172">
        <f ca="1">(VLOOKUP(CW$72,INDIRECT($C$5&amp;"生成成长"),2))/((VLOOKUP($B142,INDIRECT($B$5&amp;"生成成长"),4))/(VLOOKUP(CW$72,INDIRECT($C$5&amp;"生成成长"),5))*(VLOOKUP($B$5,标准坦克设计!$B$24:$U$30,MATCH("对"&amp;LEFT($C$5,2)&amp;"输出",标准坦克设计!$B$23:$U$23,0)))*(VLOOKUP($B142,INDIRECT($B$5&amp;"生成成长"),3))*(VLOOKUP($B$5,标准坦克设计!$B$14:$K$20,9)/30))</f>
        <v>14.356819107682163</v>
      </c>
      <c r="CX142" s="172">
        <f ca="1">(VLOOKUP(CX$72,INDIRECT($C$5&amp;"生成成长"),2))/((VLOOKUP($B142,INDIRECT($B$5&amp;"生成成长"),4))/(VLOOKUP(CX$72,INDIRECT($C$5&amp;"生成成长"),5))*(VLOOKUP($B$5,标准坦克设计!$B$24:$U$30,MATCH("对"&amp;LEFT($C$5,2)&amp;"输出",标准坦克设计!$B$23:$U$23,0)))*(VLOOKUP($B142,INDIRECT($B$5&amp;"生成成长"),3))*(VLOOKUP($B$5,标准坦克设计!$B$14:$K$20,9)/30))</f>
        <v>15.32690455646568</v>
      </c>
      <c r="CY142" s="172">
        <f ca="1">(VLOOKUP(CY$72,INDIRECT($C$5&amp;"生成成长"),2))/((VLOOKUP($B142,INDIRECT($B$5&amp;"生成成长"),4))/(VLOOKUP(CY$72,INDIRECT($C$5&amp;"生成成长"),5))*(VLOOKUP($B$5,标准坦克设计!$B$24:$U$30,MATCH("对"&amp;LEFT($C$5,2)&amp;"输出",标准坦克设计!$B$23:$U$23,0)))*(VLOOKUP($B142,INDIRECT($B$5&amp;"生成成长"),3))*(VLOOKUP($B$5,标准坦克设计!$B$14:$K$20,9)/30))</f>
        <v>16.32870156523915</v>
      </c>
      <c r="CZ142" s="172">
        <f ca="1">(VLOOKUP(CZ$72,INDIRECT($C$5&amp;"生成成长"),2))/((VLOOKUP($B142,INDIRECT($B$5&amp;"生成成长"),4))/(VLOOKUP(CZ$72,INDIRECT($C$5&amp;"生成成长"),5))*(VLOOKUP($B$5,标准坦克设计!$B$24:$U$30,MATCH("对"&amp;LEFT($C$5,2)&amp;"输出",标准坦克设计!$B$23:$U$23,0)))*(VLOOKUP($B142,INDIRECT($B$5&amp;"生成成长"),3))*(VLOOKUP($B$5,标准坦克设计!$B$14:$K$20,9)/30))</f>
        <v>17.36221013400257</v>
      </c>
      <c r="DA142" s="172">
        <f ca="1">(VLOOKUP(DA$72,INDIRECT($C$5&amp;"生成成长"),2))/((VLOOKUP($B142,INDIRECT($B$5&amp;"生成成长"),4))/(VLOOKUP(DA$72,INDIRECT($C$5&amp;"生成成长"),5))*(VLOOKUP($B$5,标准坦克设计!$B$24:$U$30,MATCH("对"&amp;LEFT($C$5,2)&amp;"输出",标准坦克设计!$B$23:$U$23,0)))*(VLOOKUP($B142,INDIRECT($B$5&amp;"生成成长"),3))*(VLOOKUP($B$5,标准坦克设计!$B$14:$K$20,9)/30))</f>
        <v>18.427430262755944</v>
      </c>
      <c r="DB142" s="172">
        <f ca="1">(VLOOKUP(DB$72,INDIRECT($C$5&amp;"生成成长"),2))/((VLOOKUP($B142,INDIRECT($B$5&amp;"生成成长"),4))/(VLOOKUP(DB$72,INDIRECT($C$5&amp;"生成成长"),5))*(VLOOKUP($B$5,标准坦克设计!$B$24:$U$30,MATCH("对"&amp;LEFT($C$5,2)&amp;"输出",标准坦克设计!$B$23:$U$23,0)))*(VLOOKUP($B142,INDIRECT($B$5&amp;"生成成长"),3))*(VLOOKUP($B$5,标准坦克设计!$B$14:$K$20,9)/30))</f>
        <v>19.524361951499266</v>
      </c>
      <c r="DC142" s="172">
        <f ca="1">(VLOOKUP(DC$72,INDIRECT($C$5&amp;"生成成长"),2))/((VLOOKUP($B142,INDIRECT($B$5&amp;"生成成长"),4))/(VLOOKUP(DC$72,INDIRECT($C$5&amp;"生成成长"),5))*(VLOOKUP($B$5,标准坦克设计!$B$24:$U$30,MATCH("对"&amp;LEFT($C$5,2)&amp;"输出",标准坦克设计!$B$23:$U$23,0)))*(VLOOKUP($B142,INDIRECT($B$5&amp;"生成成长"),3))*(VLOOKUP($B$5,标准坦克设计!$B$14:$K$20,9)/30))</f>
        <v>20.757181605984663</v>
      </c>
      <c r="DD142" s="172">
        <f ca="1">(VLOOKUP(DD$72,INDIRECT($C$5&amp;"生成成长"),2))/((VLOOKUP($B142,INDIRECT($B$5&amp;"生成成长"),4))/(VLOOKUP(DD$72,INDIRECT($C$5&amp;"生成成长"),5))*(VLOOKUP($B$5,标准坦克设计!$B$24:$U$30,MATCH("对"&amp;LEFT($C$5,2)&amp;"输出",标准坦克设计!$B$23:$U$23,0)))*(VLOOKUP($B142,INDIRECT($B$5&amp;"生成成长"),3))*(VLOOKUP($B$5,标准坦克设计!$B$14:$K$20,9)/30))</f>
        <v>22.027740637648172</v>
      </c>
      <c r="DE142" s="172">
        <f ca="1">(VLOOKUP(DE$72,INDIRECT($C$5&amp;"生成成长"),2))/((VLOOKUP($B142,INDIRECT($B$5&amp;"生成成长"),4))/(VLOOKUP(DE$72,INDIRECT($C$5&amp;"生成成长"),5))*(VLOOKUP($B$5,标准坦克设计!$B$24:$U$30,MATCH("对"&amp;LEFT($C$5,2)&amp;"输出",标准坦克设计!$B$23:$U$23,0)))*(VLOOKUP($B142,INDIRECT($B$5&amp;"生成成长"),3))*(VLOOKUP($B$5,标准坦克设计!$B$14:$K$20,9)/30))</f>
        <v>23.336039046489809</v>
      </c>
      <c r="DF142" s="172">
        <f ca="1">(VLOOKUP(DF$72,INDIRECT($C$5&amp;"生成成长"),2))/((VLOOKUP($B142,INDIRECT($B$5&amp;"生成成长"),4))/(VLOOKUP(DF$72,INDIRECT($C$5&amp;"生成成长"),5))*(VLOOKUP($B$5,标准坦克设计!$B$24:$U$30,MATCH("对"&amp;LEFT($C$5,2)&amp;"输出",标准坦克设计!$B$23:$U$23,0)))*(VLOOKUP($B142,INDIRECT($B$5&amp;"生成成长"),3))*(VLOOKUP($B$5,标准坦克设计!$B$14:$K$20,9)/30))</f>
        <v>24.682076832509573</v>
      </c>
      <c r="DG142" s="172">
        <f ca="1">(VLOOKUP(DG$72,INDIRECT($C$5&amp;"生成成长"),2))/((VLOOKUP($B142,INDIRECT($B$5&amp;"生成成长"),4))/(VLOOKUP(DG$72,INDIRECT($C$5&amp;"生成成长"),5))*(VLOOKUP($B$5,标准坦克设计!$B$24:$U$30,MATCH("对"&amp;LEFT($C$5,2)&amp;"输出",标准坦克设计!$B$23:$U$23,0)))*(VLOOKUP($B142,INDIRECT($B$5&amp;"生成成长"),3))*(VLOOKUP($B$5,标准坦克设计!$B$14:$K$20,9)/30))</f>
        <v>26.06585399570746</v>
      </c>
      <c r="DH142" s="172">
        <f ca="1">(VLOOKUP(DH$72,INDIRECT($C$5&amp;"生成成长"),2))/((VLOOKUP($B142,INDIRECT($B$5&amp;"生成成长"),4))/(VLOOKUP(DH$72,INDIRECT($C$5&amp;"生成成长"),5))*(VLOOKUP($B$5,标准坦克设计!$B$24:$U$30,MATCH("对"&amp;LEFT($C$5,2)&amp;"输出",标准坦克设计!$B$23:$U$23,0)))*(VLOOKUP($B142,INDIRECT($B$5&amp;"生成成长"),3))*(VLOOKUP($B$5,标准坦克设计!$B$14:$K$20,9)/30))</f>
        <v>27.487370536083471</v>
      </c>
      <c r="DI142" s="172">
        <f ca="1">(VLOOKUP(DI$72,INDIRECT($C$5&amp;"生成成长"),2))/((VLOOKUP($B142,INDIRECT($B$5&amp;"生成成长"),4))/(VLOOKUP(DI$72,INDIRECT($C$5&amp;"生成成长"),5))*(VLOOKUP($B$5,标准坦克设计!$B$24:$U$30,MATCH("对"&amp;LEFT($C$5,2)&amp;"输出",标准坦克设计!$B$23:$U$23,0)))*(VLOOKUP($B142,INDIRECT($B$5&amp;"生成成长"),3))*(VLOOKUP($B$5,标准坦克设计!$B$14:$K$20,9)/30))</f>
        <v>28.946626453637602</v>
      </c>
      <c r="DJ142" s="172">
        <f ca="1">(VLOOKUP(DJ$72,INDIRECT($C$5&amp;"生成成长"),2))/((VLOOKUP($B142,INDIRECT($B$5&amp;"生成成长"),4))/(VLOOKUP(DJ$72,INDIRECT($C$5&amp;"生成成长"),5))*(VLOOKUP($B$5,标准坦克设计!$B$24:$U$30,MATCH("对"&amp;LEFT($C$5,2)&amp;"输出",标准坦克设计!$B$23:$U$23,0)))*(VLOOKUP($B142,INDIRECT($B$5&amp;"生成成长"),3))*(VLOOKUP($B$5,标准坦克设计!$B$14:$K$20,9)/30))</f>
        <v>2.9092080303178292</v>
      </c>
      <c r="DK142" s="172">
        <f ca="1">(VLOOKUP(DK$72,INDIRECT($C$5&amp;"生成成长"),2))/((VLOOKUP($B142,INDIRECT($B$5&amp;"生成成长"),4))/(VLOOKUP(DK$72,INDIRECT($C$5&amp;"生成成长"),5))*(VLOOKUP($B$5,标准坦克设计!$B$24:$U$30,MATCH("对"&amp;LEFT($C$5,2)&amp;"输出",标准坦克设计!$B$23:$U$23,0)))*(VLOOKUP($B142,INDIRECT($B$5&amp;"生成成长"),3))*(VLOOKUP($B$5,标准坦克设计!$B$14:$K$20,9)/30))</f>
        <v>3.271270180120458</v>
      </c>
      <c r="DL142" s="172">
        <f ca="1">(VLOOKUP(DL$72,INDIRECT($C$5&amp;"生成成长"),2))/((VLOOKUP($B142,INDIRECT($B$5&amp;"生成成长"),4))/(VLOOKUP(DL$72,INDIRECT($C$5&amp;"生成成长"),5))*(VLOOKUP($B$5,标准坦克设计!$B$24:$U$30,MATCH("对"&amp;LEFT($C$5,2)&amp;"输出",标准坦克设计!$B$23:$U$23,0)))*(VLOOKUP($B142,INDIRECT($B$5&amp;"生成成长"),3))*(VLOOKUP($B$5,标准坦克设计!$B$14:$K$20,9)/30))</f>
        <v>3.6545607295857812</v>
      </c>
      <c r="DM142" s="172">
        <f ca="1">(VLOOKUP(DM$72,INDIRECT($C$5&amp;"生成成长"),2))/((VLOOKUP($B142,INDIRECT($B$5&amp;"生成成长"),4))/(VLOOKUP(DM$72,INDIRECT($C$5&amp;"生成成长"),5))*(VLOOKUP($B$5,标准坦克设计!$B$24:$U$30,MATCH("对"&amp;LEFT($C$5,2)&amp;"输出",标准坦克设计!$B$23:$U$23,0)))*(VLOOKUP($B142,INDIRECT($B$5&amp;"生成成长"),3))*(VLOOKUP($B$5,标准坦克设计!$B$14:$K$20,9)/30))</f>
        <v>4.0590796787138004</v>
      </c>
      <c r="DN142" s="172">
        <f ca="1">(VLOOKUP(DN$72,INDIRECT($C$5&amp;"生成成长"),2))/((VLOOKUP($B142,INDIRECT($B$5&amp;"生成成长"),4))/(VLOOKUP(DN$72,INDIRECT($C$5&amp;"生成成长"),5))*(VLOOKUP($B$5,标准坦克设计!$B$24:$U$30,MATCH("对"&amp;LEFT($C$5,2)&amp;"输出",标准坦克设计!$B$23:$U$23,0)))*(VLOOKUP($B142,INDIRECT($B$5&amp;"生成成长"),3))*(VLOOKUP($B$5,标准坦克设计!$B$14:$K$20,9)/30))</f>
        <v>4.4848270275045135</v>
      </c>
      <c r="DO142" s="172">
        <f ca="1">(VLOOKUP(DO$72,INDIRECT($C$5&amp;"生成成长"),2))/((VLOOKUP($B142,INDIRECT($B$5&amp;"生成成长"),4))/(VLOOKUP(DO$72,INDIRECT($C$5&amp;"生成成长"),5))*(VLOOKUP($B$5,标准坦克设计!$B$24:$U$30,MATCH("对"&amp;LEFT($C$5,2)&amp;"输出",标准坦克设计!$B$23:$U$23,0)))*(VLOOKUP($B142,INDIRECT($B$5&amp;"生成成长"),3))*(VLOOKUP($B$5,标准坦克设计!$B$14:$K$20,9)/30))</f>
        <v>4.9318027759579213</v>
      </c>
      <c r="DP142" s="172">
        <f ca="1">(VLOOKUP(DP$72,INDIRECT($C$5&amp;"生成成长"),2))/((VLOOKUP($B142,INDIRECT($B$5&amp;"生成成长"),4))/(VLOOKUP(DP$72,INDIRECT($C$5&amp;"生成成长"),5))*(VLOOKUP($B$5,标准坦克设计!$B$24:$U$30,MATCH("对"&amp;LEFT($C$5,2)&amp;"输出",标准坦克设计!$B$23:$U$23,0)))*(VLOOKUP($B142,INDIRECT($B$5&amp;"生成成长"),3))*(VLOOKUP($B$5,标准坦克设计!$B$14:$K$20,9)/30))</f>
        <v>5.4000069240740247</v>
      </c>
      <c r="DQ142" s="172">
        <f ca="1">(VLOOKUP(DQ$72,INDIRECT($C$5&amp;"生成成长"),2))/((VLOOKUP($B142,INDIRECT($B$5&amp;"生成成长"),4))/(VLOOKUP(DQ$72,INDIRECT($C$5&amp;"生成成长"),5))*(VLOOKUP($B$5,标准坦克设计!$B$24:$U$30,MATCH("对"&amp;LEFT($C$5,2)&amp;"输出",标准坦克设计!$B$23:$U$23,0)))*(VLOOKUP($B142,INDIRECT($B$5&amp;"生成成长"),3))*(VLOOKUP($B$5,标准坦克设计!$B$14:$K$20,9)/30))</f>
        <v>5.889439471852822</v>
      </c>
      <c r="DR142" s="172">
        <f ca="1">(VLOOKUP(DR$72,INDIRECT($C$5&amp;"生成成长"),2))/((VLOOKUP($B142,INDIRECT($B$5&amp;"生成成长"),4))/(VLOOKUP(DR$72,INDIRECT($C$5&amp;"生成成长"),5))*(VLOOKUP($B$5,标准坦克设计!$B$24:$U$30,MATCH("对"&amp;LEFT($C$5,2)&amp;"输出",标准坦克设计!$B$23:$U$23,0)))*(VLOOKUP($B142,INDIRECT($B$5&amp;"生成成长"),3))*(VLOOKUP($B$5,标准坦克设计!$B$14:$K$20,9)/30))</f>
        <v>6.4001004192943149</v>
      </c>
      <c r="DS142" s="172">
        <f ca="1">(VLOOKUP(DS$72,INDIRECT($C$5&amp;"生成成长"),2))/((VLOOKUP($B142,INDIRECT($B$5&amp;"生成成长"),4))/(VLOOKUP(DS$72,INDIRECT($C$5&amp;"生成成长"),5))*(VLOOKUP($B$5,标准坦克设计!$B$24:$U$30,MATCH("对"&amp;LEFT($C$5,2)&amp;"输出",标准坦克设计!$B$23:$U$23,0)))*(VLOOKUP($B142,INDIRECT($B$5&amp;"生成成长"),3))*(VLOOKUP($B$5,标准坦克设计!$B$14:$K$20,9)/30))</f>
        <v>6.9319897663985035</v>
      </c>
      <c r="DT142" s="172">
        <f ca="1">(VLOOKUP(DT$72,INDIRECT($C$5&amp;"生成成长"),2))/((VLOOKUP($B142,INDIRECT($B$5&amp;"生成成长"),4))/(VLOOKUP(DT$72,INDIRECT($C$5&amp;"生成成长"),5))*(VLOOKUP($B$5,标准坦克设计!$B$24:$U$30,MATCH("对"&amp;LEFT($C$5,2)&amp;"输出",标准坦克设计!$B$23:$U$23,0)))*(VLOOKUP($B142,INDIRECT($B$5&amp;"生成成长"),3))*(VLOOKUP($B$5,标准坦克设计!$B$14:$K$20,9)/30))</f>
        <v>7.610905437092466</v>
      </c>
      <c r="DU142" s="172">
        <f ca="1">(VLOOKUP(DU$72,INDIRECT($C$5&amp;"生成成长"),2))/((VLOOKUP($B142,INDIRECT($B$5&amp;"生成成长"),4))/(VLOOKUP(DU$72,INDIRECT($C$5&amp;"生成成长"),5))*(VLOOKUP($B$5,标准坦克设计!$B$24:$U$30,MATCH("对"&amp;LEFT($C$5,2)&amp;"输出",标准坦克设计!$B$23:$U$23,0)))*(VLOOKUP($B142,INDIRECT($B$5&amp;"生成成长"),3))*(VLOOKUP($B$5,标准坦克设计!$B$14:$K$20,9)/30))</f>
        <v>8.3215326677763812</v>
      </c>
      <c r="DV142" s="172">
        <f ca="1">(VLOOKUP(DV$72,INDIRECT($C$5&amp;"生成成长"),2))/((VLOOKUP($B142,INDIRECT($B$5&amp;"生成成长"),4))/(VLOOKUP(DV$72,INDIRECT($C$5&amp;"生成成长"),5))*(VLOOKUP($B$5,标准坦克设计!$B$24:$U$30,MATCH("对"&amp;LEFT($C$5,2)&amp;"输出",标准坦克设计!$B$23:$U$23,0)))*(VLOOKUP($B142,INDIRECT($B$5&amp;"生成成长"),3))*(VLOOKUP($B$5,标准坦克设计!$B$14:$K$20,9)/30))</f>
        <v>9.0638714584502456</v>
      </c>
      <c r="DW142" s="172">
        <f ca="1">(VLOOKUP(DW$72,INDIRECT($C$5&amp;"生成成长"),2))/((VLOOKUP($B142,INDIRECT($B$5&amp;"生成成长"),4))/(VLOOKUP(DW$72,INDIRECT($C$5&amp;"生成成长"),5))*(VLOOKUP($B$5,标准坦克设计!$B$24:$U$30,MATCH("对"&amp;LEFT($C$5,2)&amp;"输出",标准坦克设计!$B$23:$U$23,0)))*(VLOOKUP($B142,INDIRECT($B$5&amp;"生成成长"),3))*(VLOOKUP($B$5,标准坦克设计!$B$14:$K$20,9)/30))</f>
        <v>9.8379218091140643</v>
      </c>
      <c r="DX142" s="172">
        <f ca="1">(VLOOKUP(DX$72,INDIRECT($C$5&amp;"生成成长"),2))/((VLOOKUP($B142,INDIRECT($B$5&amp;"生成成长"),4))/(VLOOKUP(DX$72,INDIRECT($C$5&amp;"生成成长"),5))*(VLOOKUP($B$5,标准坦克设计!$B$24:$U$30,MATCH("对"&amp;LEFT($C$5,2)&amp;"输出",标准坦克设计!$B$23:$U$23,0)))*(VLOOKUP($B142,INDIRECT($B$5&amp;"生成成长"),3))*(VLOOKUP($B$5,标准坦克设计!$B$14:$K$20,9)/30))</f>
        <v>10.643683719767832</v>
      </c>
      <c r="DY142" s="172">
        <f ca="1">(VLOOKUP(DY$72,INDIRECT($C$5&amp;"生成成长"),2))/((VLOOKUP($B142,INDIRECT($B$5&amp;"生成成长"),4))/(VLOOKUP(DY$72,INDIRECT($C$5&amp;"生成成长"),5))*(VLOOKUP($B$5,标准坦克设计!$B$24:$U$30,MATCH("对"&amp;LEFT($C$5,2)&amp;"输出",标准坦克设计!$B$23:$U$23,0)))*(VLOOKUP($B142,INDIRECT($B$5&amp;"生成成长"),3))*(VLOOKUP($B$5,标准坦克设计!$B$14:$K$20,9)/30))</f>
        <v>4.7804521487331524</v>
      </c>
      <c r="DZ142" s="172">
        <f ca="1">(VLOOKUP(DZ$72,INDIRECT($C$5&amp;"生成成长"),2))/((VLOOKUP($B142,INDIRECT($B$5&amp;"生成成长"),4))/(VLOOKUP(DZ$72,INDIRECT($C$5&amp;"生成成长"),5))*(VLOOKUP($B$5,标准坦克设计!$B$24:$U$30,MATCH("对"&amp;LEFT($C$5,2)&amp;"输出",标准坦克设计!$B$23:$U$23,0)))*(VLOOKUP($B142,INDIRECT($B$5&amp;"生成成长"),3))*(VLOOKUP($B$5,标准坦克设计!$B$14:$K$20,9)/30))</f>
        <v>5.2941270047687317</v>
      </c>
      <c r="EA142" s="172">
        <f ca="1">(VLOOKUP(EA$72,INDIRECT($C$5&amp;"生成成长"),2))/((VLOOKUP($B142,INDIRECT($B$5&amp;"生成成长"),4))/(VLOOKUP(EA$72,INDIRECT($C$5&amp;"生成成长"),5))*(VLOOKUP($B$5,标准坦克设计!$B$24:$U$30,MATCH("对"&amp;LEFT($C$5,2)&amp;"输出",标准坦克设计!$B$23:$U$23,0)))*(VLOOKUP($B142,INDIRECT($B$5&amp;"生成成长"),3))*(VLOOKUP($B$5,标准坦克设计!$B$14:$K$20,9)/30))</f>
        <v>5.8340097616224522</v>
      </c>
      <c r="EB142" s="172">
        <f ca="1">(VLOOKUP(EB$72,INDIRECT($C$5&amp;"生成成长"),2))/((VLOOKUP($B142,INDIRECT($B$5&amp;"生成成长"),4))/(VLOOKUP(EB$72,INDIRECT($C$5&amp;"生成成长"),5))*(VLOOKUP($B$5,标准坦克设计!$B$24:$U$30,MATCH("对"&amp;LEFT($C$5,2)&amp;"输出",标准坦克设计!$B$23:$U$23,0)))*(VLOOKUP($B142,INDIRECT($B$5&amp;"生成成长"),3))*(VLOOKUP($B$5,标准坦克设计!$B$14:$K$20,9)/30))</f>
        <v>6.4001004192943149</v>
      </c>
      <c r="EC142" s="172">
        <f ca="1">(VLOOKUP(EC$72,INDIRECT($C$5&amp;"生成成长"),2))/((VLOOKUP($B142,INDIRECT($B$5&amp;"生成成长"),4))/(VLOOKUP(EC$72,INDIRECT($C$5&amp;"生成成长"),5))*(VLOOKUP($B$5,标准坦克设计!$B$24:$U$30,MATCH("对"&amp;LEFT($C$5,2)&amp;"输出",标准坦克设计!$B$23:$U$23,0)))*(VLOOKUP($B142,INDIRECT($B$5&amp;"生成成长"),3))*(VLOOKUP($B$5,标准坦克设计!$B$14:$K$20,9)/30))</f>
        <v>6.9923989777843198</v>
      </c>
      <c r="ED142" s="172">
        <f ca="1">(VLOOKUP(ED$72,INDIRECT($C$5&amp;"生成成长"),2))/((VLOOKUP($B142,INDIRECT($B$5&amp;"生成成长"),4))/(VLOOKUP(ED$72,INDIRECT($C$5&amp;"生成成长"),5))*(VLOOKUP($B$5,标准坦克设计!$B$24:$U$30,MATCH("对"&amp;LEFT($C$5,2)&amp;"输出",标准坦克设计!$B$23:$U$23,0)))*(VLOOKUP($B142,INDIRECT($B$5&amp;"生成成长"),3))*(VLOOKUP($B$5,标准坦克设计!$B$14:$K$20,9)/30))</f>
        <v>7.610905437092466</v>
      </c>
      <c r="EE142" s="172">
        <f ca="1">(VLOOKUP(EE$72,INDIRECT($C$5&amp;"生成成长"),2))/((VLOOKUP($B142,INDIRECT($B$5&amp;"生成成长"),4))/(VLOOKUP(EE$72,INDIRECT($C$5&amp;"生成成长"),5))*(VLOOKUP($B$5,标准坦克设计!$B$24:$U$30,MATCH("对"&amp;LEFT($C$5,2)&amp;"输出",标准坦克设计!$B$23:$U$23,0)))*(VLOOKUP($B142,INDIRECT($B$5&amp;"生成成长"),3))*(VLOOKUP($B$5,标准坦克设计!$B$14:$K$20,9)/30))</f>
        <v>8.2556197972187544</v>
      </c>
      <c r="EF142" s="172">
        <f ca="1">(VLOOKUP(EF$72,INDIRECT($C$5&amp;"生成成长"),2))/((VLOOKUP($B142,INDIRECT($B$5&amp;"生成成长"),4))/(VLOOKUP(EF$72,INDIRECT($C$5&amp;"生成成长"),5))*(VLOOKUP($B$5,标准坦克设计!$B$24:$U$30,MATCH("对"&amp;LEFT($C$5,2)&amp;"输出",标准坦克设计!$B$23:$U$23,0)))*(VLOOKUP($B142,INDIRECT($B$5&amp;"生成成长"),3))*(VLOOKUP($B$5,标准坦克设计!$B$14:$K$20,9)/30))</f>
        <v>8.926542058163184</v>
      </c>
      <c r="EG142" s="172">
        <f ca="1">(VLOOKUP(EG$72,INDIRECT($C$5&amp;"生成成长"),2))/((VLOOKUP($B142,INDIRECT($B$5&amp;"生成成长"),4))/(VLOOKUP(EG$72,INDIRECT($C$5&amp;"生成成长"),5))*(VLOOKUP($B$5,标准坦克设计!$B$24:$U$30,MATCH("对"&amp;LEFT($C$5,2)&amp;"输出",标准坦克设计!$B$23:$U$23,0)))*(VLOOKUP($B142,INDIRECT($B$5&amp;"生成成长"),3))*(VLOOKUP($B$5,标准坦克设计!$B$14:$K$20,9)/30))</f>
        <v>9.6236722199257549</v>
      </c>
      <c r="EH142" s="172">
        <f ca="1">(VLOOKUP(EH$72,INDIRECT($C$5&amp;"生成成长"),2))/((VLOOKUP($B142,INDIRECT($B$5&amp;"生成成长"),4))/(VLOOKUP(EH$72,INDIRECT($C$5&amp;"生成成长"),5))*(VLOOKUP($B$5,标准坦克设计!$B$24:$U$30,MATCH("对"&amp;LEFT($C$5,2)&amp;"输出",标准坦克设计!$B$23:$U$23,0)))*(VLOOKUP($B142,INDIRECT($B$5&amp;"生成成长"),3))*(VLOOKUP($B$5,标准坦克设计!$B$14:$K$20,9)/30))</f>
        <v>10.347010282506469</v>
      </c>
      <c r="EI142" s="172">
        <f ca="1">(VLOOKUP(EI$72,INDIRECT($C$5&amp;"生成成长"),2))/((VLOOKUP($B142,INDIRECT($B$5&amp;"生成成长"),4))/(VLOOKUP(EI$72,INDIRECT($C$5&amp;"生成成长"),5))*(VLOOKUP($B$5,标准坦克设计!$B$24:$U$30,MATCH("对"&amp;LEFT($C$5,2)&amp;"输出",标准坦克设计!$B$23:$U$23,0)))*(VLOOKUP($B142,INDIRECT($B$5&amp;"生成成长"),3))*(VLOOKUP($B$5,标准坦克设计!$B$14:$K$20,9)/30))</f>
        <v>11.096556245905326</v>
      </c>
      <c r="EJ142" s="172">
        <f ca="1">(VLOOKUP(EJ$72,INDIRECT($C$5&amp;"生成成长"),2))/((VLOOKUP($B142,INDIRECT($B$5&amp;"生成成长"),4))/(VLOOKUP(EJ$72,INDIRECT($C$5&amp;"生成成长"),5))*(VLOOKUP($B$5,标准坦克设计!$B$24:$U$30,MATCH("对"&amp;LEFT($C$5,2)&amp;"输出",标准坦克设计!$B$23:$U$23,0)))*(VLOOKUP($B142,INDIRECT($B$5&amp;"生成成长"),3))*(VLOOKUP($B$5,标准坦克设计!$B$14:$K$20,9)/30))</f>
        <v>11.872310110122319</v>
      </c>
      <c r="EK142" s="172">
        <f ca="1">(VLOOKUP(EK$72,INDIRECT($C$5&amp;"生成成长"),2))/((VLOOKUP($B142,INDIRECT($B$5&amp;"生成成长"),4))/(VLOOKUP(EK$72,INDIRECT($C$5&amp;"生成成长"),5))*(VLOOKUP($B$5,标准坦克设计!$B$24:$U$30,MATCH("对"&amp;LEFT($C$5,2)&amp;"输出",标准坦克设计!$B$23:$U$23,0)))*(VLOOKUP($B142,INDIRECT($B$5&amp;"生成成长"),3))*(VLOOKUP($B$5,标准坦克设计!$B$14:$K$20,9)/30))</f>
        <v>12.837809176262665</v>
      </c>
      <c r="EL142" s="172">
        <f ca="1">(VLOOKUP(EL$72,INDIRECT($C$5&amp;"生成成长"),2))/((VLOOKUP($B142,INDIRECT($B$5&amp;"生成成长"),4))/(VLOOKUP(EL$72,INDIRECT($C$5&amp;"生成成长"),5))*(VLOOKUP($B$5,标准坦克设计!$B$24:$U$30,MATCH("对"&amp;LEFT($C$5,2)&amp;"输出",标准坦克设计!$B$23:$U$23,0)))*(VLOOKUP($B142,INDIRECT($B$5&amp;"生成成长"),3))*(VLOOKUP($B$5,标准坦克设计!$B$14:$K$20,9)/30))</f>
        <v>13.841047619581131</v>
      </c>
      <c r="EM142" s="172">
        <f ca="1">(VLOOKUP(EM$72,INDIRECT($C$5&amp;"生成成长"),2))/((VLOOKUP($B142,INDIRECT($B$5&amp;"生成成长"),4))/(VLOOKUP(EM$72,INDIRECT($C$5&amp;"生成成长"),5))*(VLOOKUP($B$5,标准坦克设计!$B$24:$U$30,MATCH("对"&amp;LEFT($C$5,2)&amp;"输出",标准坦克设计!$B$23:$U$23,0)))*(VLOOKUP($B142,INDIRECT($B$5&amp;"生成成长"),3))*(VLOOKUP($B$5,标准坦克设计!$B$14:$K$20,9)/30))</f>
        <v>14.882025440077722</v>
      </c>
      <c r="EN142" s="172">
        <f ca="1">(VLOOKUP(EN$72,INDIRECT($C$5&amp;"生成成长"),2))/((VLOOKUP($B142,INDIRECT($B$5&amp;"生成成长"),4))/(VLOOKUP(EN$72,INDIRECT($C$5&amp;"生成成长"),5))*(VLOOKUP($B$5,标准坦克设计!$B$24:$U$30,MATCH("对"&amp;LEFT($C$5,2)&amp;"输出",标准坦克设计!$B$23:$U$23,0)))*(VLOOKUP($B142,INDIRECT($B$5&amp;"生成成长"),3))*(VLOOKUP($B$5,标准坦克设计!$B$14:$K$20,9)/30))</f>
        <v>15.960742637752439</v>
      </c>
      <c r="EO142" s="172">
        <f ca="1">(VLOOKUP(EO$72,INDIRECT($C$5&amp;"生成成长"),2))/((VLOOKUP($B142,INDIRECT($B$5&amp;"生成成长"),4))/(VLOOKUP(EO$72,INDIRECT($C$5&amp;"生成成长"),5))*(VLOOKUP($B$5,标准坦克设计!$B$24:$U$30,MATCH("对"&amp;LEFT($C$5,2)&amp;"输出",标准坦克设计!$B$23:$U$23,0)))*(VLOOKUP($B142,INDIRECT($B$5&amp;"生成成长"),3))*(VLOOKUP($B$5,标准坦克设计!$B$14:$K$20,9)/30))</f>
        <v>17.077199212605279</v>
      </c>
      <c r="EP142" s="172">
        <f ca="1">(VLOOKUP(EP$72,INDIRECT($C$5&amp;"生成成长"),2))/((VLOOKUP($B142,INDIRECT($B$5&amp;"生成成长"),4))/(VLOOKUP(EP$72,INDIRECT($C$5&amp;"生成成长"),5))*(VLOOKUP($B$5,标准坦克设计!$B$24:$U$30,MATCH("对"&amp;LEFT($C$5,2)&amp;"输出",标准坦克设计!$B$23:$U$23,0)))*(VLOOKUP($B142,INDIRECT($B$5&amp;"生成成长"),3))*(VLOOKUP($B$5,标准坦克设计!$B$14:$K$20,9)/30))</f>
        <v>18.231395164636243</v>
      </c>
      <c r="EQ142" s="172">
        <f ca="1">(VLOOKUP(EQ$72,INDIRECT($C$5&amp;"生成成长"),2))/((VLOOKUP($B142,INDIRECT($B$5&amp;"生成成长"),4))/(VLOOKUP(EQ$72,INDIRECT($C$5&amp;"生成成长"),5))*(VLOOKUP($B$5,标准坦克设计!$B$24:$U$30,MATCH("对"&amp;LEFT($C$5,2)&amp;"输出",标准坦克设计!$B$23:$U$23,0)))*(VLOOKUP($B142,INDIRECT($B$5&amp;"生成成长"),3))*(VLOOKUP($B$5,标准坦克设计!$B$14:$K$20,9)/30))</f>
        <v>8.0594536595949613</v>
      </c>
      <c r="ER142" s="172">
        <f ca="1">(VLOOKUP(ER$72,INDIRECT($C$5&amp;"生成成长"),2))/((VLOOKUP($B142,INDIRECT($B$5&amp;"生成成长"),4))/(VLOOKUP(ER$72,INDIRECT($C$5&amp;"生成成长"),5))*(VLOOKUP($B$5,标准坦克设计!$B$24:$U$30,MATCH("对"&amp;LEFT($C$5,2)&amp;"输出",标准坦克设计!$B$23:$U$23,0)))*(VLOOKUP($B142,INDIRECT($B$5&amp;"生成成长"),3))*(VLOOKUP($B$5,标准坦克设计!$B$14:$K$20,9)/30))</f>
        <v>8.7902609739088469</v>
      </c>
      <c r="ES142" s="172">
        <f ca="1">(VLOOKUP(ES$72,INDIRECT($C$5&amp;"生成成长"),2))/((VLOOKUP($B142,INDIRECT($B$5&amp;"生成成长"),4))/(VLOOKUP(ES$72,INDIRECT($C$5&amp;"生成成长"),5))*(VLOOKUP($B$5,标准坦克设计!$B$24:$U$30,MATCH("对"&amp;LEFT($C$5,2)&amp;"输出",标准坦克设计!$B$23:$U$23,0)))*(VLOOKUP($B142,INDIRECT($B$5&amp;"生成成长"),3))*(VLOOKUP($B$5,标准坦克设计!$B$14:$K$20,9)/30))</f>
        <v>9.5527798482126816</v>
      </c>
      <c r="ET142" s="172">
        <f ca="1">(VLOOKUP(ET$72,INDIRECT($C$5&amp;"生成成长"),2))/((VLOOKUP($B142,INDIRECT($B$5&amp;"生成成长"),4))/(VLOOKUP(ET$72,INDIRECT($C$5&amp;"生成成长"),5))*(VLOOKUP($B$5,标准坦克设计!$B$24:$U$30,MATCH("对"&amp;LEFT($C$5,2)&amp;"输出",标准坦克设计!$B$23:$U$23,0)))*(VLOOKUP($B142,INDIRECT($B$5&amp;"生成成长"),3))*(VLOOKUP($B$5,标准坦克设计!$B$14:$K$20,9)/30))</f>
        <v>10.347010282506469</v>
      </c>
      <c r="EU142" s="172">
        <f ca="1">(VLOOKUP(EU$72,INDIRECT($C$5&amp;"生成成长"),2))/((VLOOKUP($B142,INDIRECT($B$5&amp;"生成成长"),4))/(VLOOKUP(EU$72,INDIRECT($C$5&amp;"生成成长"),5))*(VLOOKUP($B$5,标准坦克设计!$B$24:$U$30,MATCH("对"&amp;LEFT($C$5,2)&amp;"输出",标准坦克设计!$B$23:$U$23,0)))*(VLOOKUP($B142,INDIRECT($B$5&amp;"生成成长"),3))*(VLOOKUP($B$5,标准坦克设计!$B$14:$K$20,9)/30))</f>
        <v>11.172952276790205</v>
      </c>
      <c r="EV142" s="172">
        <f ca="1">(VLOOKUP(EV$72,INDIRECT($C$5&amp;"生成成长"),2))/((VLOOKUP($B142,INDIRECT($B$5&amp;"生成成长"),4))/(VLOOKUP(EV$72,INDIRECT($C$5&amp;"生成成长"),5))*(VLOOKUP($B$5,标准坦克设计!$B$24:$U$30,MATCH("对"&amp;LEFT($C$5,2)&amp;"输出",标准坦克设计!$B$23:$U$23,0)))*(VLOOKUP($B142,INDIRECT($B$5&amp;"生成成长"),3))*(VLOOKUP($B$5,标准坦克设计!$B$14:$K$20,9)/30))</f>
        <v>12.030605831063895</v>
      </c>
      <c r="EW142" s="172">
        <f ca="1">(VLOOKUP(EW$72,INDIRECT($C$5&amp;"生成成长"),2))/((VLOOKUP($B142,INDIRECT($B$5&amp;"生成成长"),4))/(VLOOKUP(EW$72,INDIRECT($C$5&amp;"生成成长"),5))*(VLOOKUP($B$5,标准坦克设计!$B$24:$U$30,MATCH("对"&amp;LEFT($C$5,2)&amp;"输出",标准坦克设计!$B$23:$U$23,0)))*(VLOOKUP($B142,INDIRECT($B$5&amp;"生成成长"),3))*(VLOOKUP($B$5,标准坦克设计!$B$14:$K$20,9)/30))</f>
        <v>12.919970945327536</v>
      </c>
      <c r="EX142" s="172">
        <f ca="1">(VLOOKUP(EX$72,INDIRECT($C$5&amp;"生成成长"),2))/((VLOOKUP($B142,INDIRECT($B$5&amp;"生成成长"),4))/(VLOOKUP(EX$72,INDIRECT($C$5&amp;"生成成长"),5))*(VLOOKUP($B$5,标准坦克设计!$B$24:$U$30,MATCH("对"&amp;LEFT($C$5,2)&amp;"输出",标准坦克设计!$B$23:$U$23,0)))*(VLOOKUP($B142,INDIRECT($B$5&amp;"生成成长"),3))*(VLOOKUP($B$5,标准坦克设计!$B$14:$K$20,9)/30))</f>
        <v>13.841047619581131</v>
      </c>
      <c r="EY142" s="172">
        <f ca="1">(VLOOKUP(EY$72,INDIRECT($C$5&amp;"生成成长"),2))/((VLOOKUP($B142,INDIRECT($B$5&amp;"生成成长"),4))/(VLOOKUP(EY$72,INDIRECT($C$5&amp;"生成成长"),5))*(VLOOKUP($B$5,标准坦克设计!$B$24:$U$30,MATCH("对"&amp;LEFT($C$5,2)&amp;"输出",标准坦克设计!$B$23:$U$23,0)))*(VLOOKUP($B142,INDIRECT($B$5&amp;"生成成长"),3))*(VLOOKUP($B$5,标准坦克设计!$B$14:$K$20,9)/30))</f>
        <v>14.793835853824676</v>
      </c>
      <c r="EZ142" s="172">
        <f ca="1">(VLOOKUP(EZ$72,INDIRECT($C$5&amp;"生成成长"),2))/((VLOOKUP($B142,INDIRECT($B$5&amp;"生成成长"),4))/(VLOOKUP(EZ$72,INDIRECT($C$5&amp;"生成成长"),5))*(VLOOKUP($B$5,标准坦克设计!$B$24:$U$30,MATCH("对"&amp;LEFT($C$5,2)&amp;"输出",标准坦克设计!$B$23:$U$23,0)))*(VLOOKUP($B142,INDIRECT($B$5&amp;"生成成长"),3))*(VLOOKUP($B$5,标准坦克设计!$B$14:$K$20,9)/30))</f>
        <v>15.778335648058171</v>
      </c>
      <c r="FA142" s="172">
        <f ca="1">(VLOOKUP(FA$72,INDIRECT($C$5&amp;"生成成长"),2))/((VLOOKUP($B142,INDIRECT($B$5&amp;"生成成长"),4))/(VLOOKUP(FA$72,INDIRECT($C$5&amp;"生成成长"),5))*(VLOOKUP($B$5,标准坦克设计!$B$24:$U$30,MATCH("对"&amp;LEFT($C$5,2)&amp;"输出",标准坦克设计!$B$23:$U$23,0)))*(VLOOKUP($B142,INDIRECT($B$5&amp;"生成成长"),3))*(VLOOKUP($B$5,标准坦克设计!$B$14:$K$20,9)/30))</f>
        <v>16.794547002281618</v>
      </c>
      <c r="FB142" s="172">
        <f ca="1">(VLOOKUP(FB$72,INDIRECT($C$5&amp;"生成成长"),2))/((VLOOKUP($B142,INDIRECT($B$5&amp;"生成成长"),4))/(VLOOKUP(FB$72,INDIRECT($C$5&amp;"生成成长"),5))*(VLOOKUP($B$5,标准坦克设计!$B$24:$U$30,MATCH("对"&amp;LEFT($C$5,2)&amp;"输出",标准坦克设计!$B$23:$U$23,0)))*(VLOOKUP($B142,INDIRECT($B$5&amp;"生成成长"),3))*(VLOOKUP($B$5,标准坦克设计!$B$14:$K$20,9)/30))</f>
        <v>17.84246991649502</v>
      </c>
      <c r="FC142" s="172">
        <f ca="1">(VLOOKUP(FC$72,INDIRECT($C$5&amp;"生成成长"),2))/((VLOOKUP($B142,INDIRECT($B$5&amp;"生成成长"),4))/(VLOOKUP(FC$72,INDIRECT($C$5&amp;"生成成长"),5))*(VLOOKUP($B$5,标准坦克设计!$B$24:$U$30,MATCH("对"&amp;LEFT($C$5,2)&amp;"输出",标准坦克设计!$B$23:$U$23,0)))*(VLOOKUP($B142,INDIRECT($B$5&amp;"生成成长"),3))*(VLOOKUP($B$5,标准坦克设计!$B$14:$K$20,9)/30))</f>
        <v>18.922104390698369</v>
      </c>
      <c r="FD142" s="172">
        <f ca="1">(VLOOKUP(FD$72,INDIRECT($C$5&amp;"生成成长"),2))/((VLOOKUP($B142,INDIRECT($B$5&amp;"生成成长"),4))/(VLOOKUP(FD$72,INDIRECT($C$5&amp;"生成成长"),5))*(VLOOKUP($B$5,标准坦克设计!$B$24:$U$30,MATCH("对"&amp;LEFT($C$5,2)&amp;"输出",标准坦克设计!$B$23:$U$23,0)))*(VLOOKUP($B142,INDIRECT($B$5&amp;"生成成长"),3))*(VLOOKUP($B$5,标准坦克设计!$B$14:$K$20,9)/30))</f>
        <v>20.033450424891672</v>
      </c>
      <c r="FE142" s="172">
        <f ca="1">(VLOOKUP(FE$72,INDIRECT($C$5&amp;"生成成长"),2))/((VLOOKUP($B142,INDIRECT($B$5&amp;"生成成长"),4))/(VLOOKUP(FE$72,INDIRECT($C$5&amp;"生成成长"),5))*(VLOOKUP($B$5,标准坦克设计!$B$24:$U$30,MATCH("对"&amp;LEFT($C$5,2)&amp;"输出",标准坦克设计!$B$23:$U$23,0)))*(VLOOKUP($B142,INDIRECT($B$5&amp;"生成成长"),3))*(VLOOKUP($B$5,标准坦克设计!$B$14:$K$20,9)/30))</f>
        <v>21.387743699669148</v>
      </c>
      <c r="FF142" s="172">
        <f ca="1">(VLOOKUP(FF$72,INDIRECT($C$5&amp;"生成成长"),2))/((VLOOKUP($B142,INDIRECT($B$5&amp;"生成成长"),4))/(VLOOKUP(FF$72,INDIRECT($C$5&amp;"生成成长"),5))*(VLOOKUP($B$5,标准坦克设计!$B$24:$U$30,MATCH("对"&amp;LEFT($C$5,2)&amp;"输出",标准坦克设计!$B$23:$U$23,0)))*(VLOOKUP($B142,INDIRECT($B$5&amp;"生成成长"),3))*(VLOOKUP($B$5,标准坦克设计!$B$14:$K$20,9)/30))</f>
        <v>22.786328326829285</v>
      </c>
      <c r="FG142" s="172">
        <f ca="1">(VLOOKUP(FG$72,INDIRECT($C$5&amp;"生成成长"),2))/((VLOOKUP($B142,INDIRECT($B$5&amp;"生成成长"),4))/(VLOOKUP(FG$72,INDIRECT($C$5&amp;"生成成长"),5))*(VLOOKUP($B$5,标准坦克设计!$B$24:$U$30,MATCH("对"&amp;LEFT($C$5,2)&amp;"输出",标准坦克设计!$B$23:$U$23,0)))*(VLOOKUP($B142,INDIRECT($B$5&amp;"生成成长"),3))*(VLOOKUP($B$5,标准坦克设计!$B$14:$K$20,9)/30))</f>
        <v>24.229204306372079</v>
      </c>
      <c r="FH142" s="172">
        <f ca="1">(VLOOKUP(FH$72,INDIRECT($C$5&amp;"生成成长"),2))/((VLOOKUP($B142,INDIRECT($B$5&amp;"生成成长"),4))/(VLOOKUP(FH$72,INDIRECT($C$5&amp;"生成成长"),5))*(VLOOKUP($B$5,标准坦克设计!$B$24:$U$30,MATCH("对"&amp;LEFT($C$5,2)&amp;"输出",标准坦克设计!$B$23:$U$23,0)))*(VLOOKUP($B142,INDIRECT($B$5&amp;"生成成长"),3))*(VLOOKUP($B$5,标准坦克设计!$B$14:$K$20,9)/30))</f>
        <v>25.716371638297538</v>
      </c>
      <c r="FI142" s="172">
        <f ca="1">(VLOOKUP(FI$72,INDIRECT($C$5&amp;"生成成长"),2))/((VLOOKUP($B142,INDIRECT($B$5&amp;"生成成长"),4))/(VLOOKUP(FI$72,INDIRECT($C$5&amp;"生成成长"),5))*(VLOOKUP($B$5,标准坦克设计!$B$24:$U$30,MATCH("对"&amp;LEFT($C$5,2)&amp;"输出",标准坦克设计!$B$23:$U$23,0)))*(VLOOKUP($B142,INDIRECT($B$5&amp;"生成成长"),3))*(VLOOKUP($B$5,标准坦克设计!$B$14:$K$20,9)/30))</f>
        <v>27.247830322605655</v>
      </c>
      <c r="FJ142" s="172">
        <f ca="1">(VLOOKUP(FJ$72,INDIRECT($C$5&amp;"生成成长"),2))/((VLOOKUP($B142,INDIRECT($B$5&amp;"生成成长"),4))/(VLOOKUP(FJ$72,INDIRECT($C$5&amp;"生成成长"),5))*(VLOOKUP($B$5,标准坦克设计!$B$24:$U$30,MATCH("对"&amp;LEFT($C$5,2)&amp;"输出",标准坦克设计!$B$23:$U$23,0)))*(VLOOKUP($B142,INDIRECT($B$5&amp;"生成成长"),3))*(VLOOKUP($B$5,标准坦克设计!$B$14:$K$20,9)/30))</f>
        <v>28.823580359296425</v>
      </c>
      <c r="FK142" s="172">
        <f ca="1">(VLOOKUP(FK$72,INDIRECT($C$5&amp;"生成成长"),2))/((VLOOKUP($B142,INDIRECT($B$5&amp;"生成成长"),4))/(VLOOKUP(FK$72,INDIRECT($C$5&amp;"生成成长"),5))*(VLOOKUP($B$5,标准坦克设计!$B$24:$U$30,MATCH("对"&amp;LEFT($C$5,2)&amp;"输出",标准坦克设计!$B$23:$U$23,0)))*(VLOOKUP($B142,INDIRECT($B$5&amp;"生成成长"),3))*(VLOOKUP($B$5,标准坦克设计!$B$14:$K$20,9)/30))</f>
        <v>30.443621748369864</v>
      </c>
    </row>
    <row r="143" spans="1:167" x14ac:dyDescent="0.15">
      <c r="A143" s="170" t="str">
        <f t="shared" si="12"/>
        <v>T3中品质14级</v>
      </c>
      <c r="B143" s="171">
        <v>20314</v>
      </c>
      <c r="C143" s="172">
        <f ca="1">(VLOOKUP(C$72,INDIRECT($C$5&amp;"生成成长"),2))/((VLOOKUP($B143,INDIRECT($B$5&amp;"生成成长"),4))/(VLOOKUP(C$72,INDIRECT($C$5&amp;"生成成长"),5))*(VLOOKUP($B$5,标准坦克设计!$B$24:$U$30,MATCH("对"&amp;LEFT($C$5,2)&amp;"输出",标准坦克设计!$B$23:$U$23,0)))*(VLOOKUP($B143,INDIRECT($B$5&amp;"生成成长"),3))*(VLOOKUP($B$5,标准坦克设计!$B$14:$K$20,9)/30))</f>
        <v>1.2178228999570473</v>
      </c>
      <c r="D143" s="172">
        <f ca="1">(VLOOKUP(D$72,INDIRECT($C$5&amp;"生成成长"),2))/((VLOOKUP($B143,INDIRECT($B$5&amp;"生成成长"),4))/(VLOOKUP(D$72,INDIRECT($C$5&amp;"生成成长"),5))*(VLOOKUP($B$5,标准坦克设计!$B$24:$U$30,MATCH("对"&amp;LEFT($C$5,2)&amp;"输出",标准坦克设计!$B$23:$U$23,0)))*(VLOOKUP($B143,INDIRECT($B$5&amp;"生成成长"),3))*(VLOOKUP($B$5,标准坦克设计!$B$14:$K$20,9)/30))</f>
        <v>1.3683458103917381</v>
      </c>
      <c r="E143" s="172">
        <f ca="1">(VLOOKUP(E$72,INDIRECT($C$5&amp;"生成成长"),2))/((VLOOKUP($B143,INDIRECT($B$5&amp;"生成成长"),4))/(VLOOKUP(E$72,INDIRECT($C$5&amp;"生成成长"),5))*(VLOOKUP($B$5,标准坦克设计!$B$24:$U$30,MATCH("对"&amp;LEFT($C$5,2)&amp;"输出",标准坦克设计!$B$23:$U$23,0)))*(VLOOKUP($B143,INDIRECT($B$5&amp;"生成成长"),3))*(VLOOKUP($B$5,标准坦克设计!$B$14:$K$20,9)/30))</f>
        <v>1.5276370457061197</v>
      </c>
      <c r="F143" s="172">
        <f ca="1">(VLOOKUP(F$72,INDIRECT($C$5&amp;"生成成长"),2))/((VLOOKUP($B143,INDIRECT($B$5&amp;"生成成长"),4))/(VLOOKUP(F$72,INDIRECT($C$5&amp;"生成成长"),5))*(VLOOKUP($B$5,标准坦克设计!$B$24:$U$30,MATCH("对"&amp;LEFT($C$5,2)&amp;"输出",标准坦克设计!$B$23:$U$23,0)))*(VLOOKUP($B143,INDIRECT($B$5&amp;"生成成长"),3))*(VLOOKUP($B$5,标准坦克设计!$B$14:$K$20,9)/30))</f>
        <v>1.6956966059001921</v>
      </c>
      <c r="G143" s="172">
        <f ca="1">(VLOOKUP(G$72,INDIRECT($C$5&amp;"生成成长"),2))/((VLOOKUP($B143,INDIRECT($B$5&amp;"生成成长"),4))/(VLOOKUP(G$72,INDIRECT($C$5&amp;"生成成长"),5))*(VLOOKUP($B$5,标准坦克设计!$B$24:$U$30,MATCH("对"&amp;LEFT($C$5,2)&amp;"输出",标准坦克设计!$B$23:$U$23,0)))*(VLOOKUP($B143,INDIRECT($B$5&amp;"生成成长"),3))*(VLOOKUP($B$5,标准坦克设计!$B$14:$K$20,9)/30))</f>
        <v>1.8725244909739556</v>
      </c>
      <c r="H143" s="172">
        <f ca="1">(VLOOKUP(H$72,INDIRECT($C$5&amp;"生成成长"),2))/((VLOOKUP($B143,INDIRECT($B$5&amp;"生成成长"),4))/(VLOOKUP(H$72,INDIRECT($C$5&amp;"生成成长"),5))*(VLOOKUP($B$5,标准坦克设计!$B$24:$U$30,MATCH("对"&amp;LEFT($C$5,2)&amp;"输出",标准坦克设计!$B$23:$U$23,0)))*(VLOOKUP($B143,INDIRECT($B$5&amp;"生成成长"),3))*(VLOOKUP($B$5,标准坦克设计!$B$14:$K$20,9)/30))</f>
        <v>1.6387024941822022</v>
      </c>
      <c r="I143" s="172">
        <f ca="1">(VLOOKUP(I$72,INDIRECT($C$5&amp;"生成成长"),2))/((VLOOKUP($B143,INDIRECT($B$5&amp;"生成成长"),4))/(VLOOKUP(I$72,INDIRECT($C$5&amp;"生成成长"),5))*(VLOOKUP($B$5,标准坦克设计!$B$24:$U$30,MATCH("对"&amp;LEFT($C$5,2)&amp;"输出",标准坦克设计!$B$23:$U$23,0)))*(VLOOKUP($B143,INDIRECT($B$5&amp;"生成成长"),3))*(VLOOKUP($B$5,标准坦克设计!$B$14:$K$20,9)/30))</f>
        <v>1.8725244909739556</v>
      </c>
      <c r="J143" s="172">
        <f ca="1">(VLOOKUP(J$72,INDIRECT($C$5&amp;"生成成长"),2))/((VLOOKUP($B143,INDIRECT($B$5&amp;"生成成长"),4))/(VLOOKUP(J$72,INDIRECT($C$5&amp;"生成成长"),5))*(VLOOKUP($B$5,标准坦克设计!$B$24:$U$30,MATCH("对"&amp;LEFT($C$5,2)&amp;"输出",标准坦克设计!$B$23:$U$23,0)))*(VLOOKUP($B143,INDIRECT($B$5&amp;"生成成长"),3))*(VLOOKUP($B$5,标准坦克设计!$B$14:$K$20,9)/30))</f>
        <v>2.1219346208851588</v>
      </c>
      <c r="K143" s="172">
        <f ca="1">(VLOOKUP(K$72,INDIRECT($C$5&amp;"生成成长"),2))/((VLOOKUP($B143,INDIRECT($B$5&amp;"生成成长"),4))/(VLOOKUP(K$72,INDIRECT($C$5&amp;"生成成长"),5))*(VLOOKUP($B$5,标准坦克设计!$B$24:$U$30,MATCH("对"&amp;LEFT($C$5,2)&amp;"输出",标准坦克设计!$B$23:$U$23,0)))*(VLOOKUP($B143,INDIRECT($B$5&amp;"生成成长"),3))*(VLOOKUP($B$5,标准坦克设计!$B$14:$K$20,9)/30))</f>
        <v>2.3869328839158124</v>
      </c>
      <c r="L143" s="172">
        <f ca="1">(VLOOKUP(L$72,INDIRECT($C$5&amp;"生成成长"),2))/((VLOOKUP($B143,INDIRECT($B$5&amp;"生成成长"),4))/(VLOOKUP(L$72,INDIRECT($C$5&amp;"生成成长"),5))*(VLOOKUP($B$5,标准坦克设计!$B$24:$U$30,MATCH("对"&amp;LEFT($C$5,2)&amp;"输出",标准坦克设计!$B$23:$U$23,0)))*(VLOOKUP($B143,INDIRECT($B$5&amp;"生成成长"),3))*(VLOOKUP($B$5,标准坦克设计!$B$14:$K$20,9)/30))</f>
        <v>2.6675192800659162</v>
      </c>
      <c r="M143" s="172">
        <f ca="1">(VLOOKUP(M$72,INDIRECT($C$5&amp;"生成成长"),2))/((VLOOKUP($B143,INDIRECT($B$5&amp;"生成成长"),4))/(VLOOKUP(M$72,INDIRECT($C$5&amp;"生成成长"),5))*(VLOOKUP($B$5,标准坦克设计!$B$24:$U$30,MATCH("对"&amp;LEFT($C$5,2)&amp;"输出",标准坦克设计!$B$23:$U$23,0)))*(VLOOKUP($B143,INDIRECT($B$5&amp;"生成成长"),3))*(VLOOKUP($B$5,标准坦克设计!$B$14:$K$20,9)/30))</f>
        <v>2.9636938093354699</v>
      </c>
      <c r="N143" s="172">
        <f ca="1">(VLOOKUP(N$72,INDIRECT($C$5&amp;"生成成长"),2))/((VLOOKUP($B143,INDIRECT($B$5&amp;"生成成长"),4))/(VLOOKUP(N$72,INDIRECT($C$5&amp;"生成成长"),5))*(VLOOKUP($B$5,标准坦克设计!$B$24:$U$30,MATCH("对"&amp;LEFT($C$5,2)&amp;"输出",标准坦克设计!$B$23:$U$23,0)))*(VLOOKUP($B143,INDIRECT($B$5&amp;"生成成长"),3))*(VLOOKUP($B$5,标准坦克设计!$B$14:$K$20,9)/30))</f>
        <v>3.2754564717244739</v>
      </c>
      <c r="O143" s="172">
        <f ca="1">(VLOOKUP(O$72,INDIRECT($C$5&amp;"生成成长"),2))/((VLOOKUP($B143,INDIRECT($B$5&amp;"生成成长"),4))/(VLOOKUP(O$72,INDIRECT($C$5&amp;"生成成长"),5))*(VLOOKUP($B$5,标准坦克设计!$B$24:$U$30,MATCH("对"&amp;LEFT($C$5,2)&amp;"输出",标准坦克设计!$B$23:$U$23,0)))*(VLOOKUP($B143,INDIRECT($B$5&amp;"生成成长"),3))*(VLOOKUP($B$5,标准坦克设计!$B$14:$K$20,9)/30))</f>
        <v>2.4903260481221658</v>
      </c>
      <c r="P143" s="172">
        <f ca="1">(VLOOKUP(P$72,INDIRECT($C$5&amp;"生成成长"),2))/((VLOOKUP($B143,INDIRECT($B$5&amp;"生成成长"),4))/(VLOOKUP(P$72,INDIRECT($C$5&amp;"生成成长"),5))*(VLOOKUP($B$5,标准坦克设计!$B$24:$U$30,MATCH("对"&amp;LEFT($C$5,2)&amp;"输出",标准坦克设计!$B$23:$U$23,0)))*(VLOOKUP($B143,INDIRECT($B$5&amp;"生成成长"),3))*(VLOOKUP($B$5,标准坦克设计!$B$14:$K$20,9)/30))</f>
        <v>2.813658028060761</v>
      </c>
      <c r="Q143" s="172">
        <f ca="1">(VLOOKUP(Q$72,INDIRECT($C$5&amp;"生成成长"),2))/((VLOOKUP($B143,INDIRECT($B$5&amp;"生成成长"),4))/(VLOOKUP(Q$72,INDIRECT($C$5&amp;"生成成长"),5))*(VLOOKUP($B$5,标准坦克设计!$B$24:$U$30,MATCH("对"&amp;LEFT($C$5,2)&amp;"输出",标准坦克设计!$B$23:$U$23,0)))*(VLOOKUP($B143,INDIRECT($B$5&amp;"生成成长"),3))*(VLOOKUP($B$5,标准坦克设计!$B$14:$K$20,9)/30))</f>
        <v>3.156718738978662</v>
      </c>
      <c r="R143" s="172">
        <f ca="1">(VLOOKUP(R$72,INDIRECT($C$5&amp;"生成成长"),2))/((VLOOKUP($B143,INDIRECT($B$5&amp;"生成成长"),4))/(VLOOKUP(R$72,INDIRECT($C$5&amp;"生成成长"),5))*(VLOOKUP($B$5,标准坦克设计!$B$24:$U$30,MATCH("对"&amp;LEFT($C$5,2)&amp;"输出",标准坦克设计!$B$23:$U$23,0)))*(VLOOKUP($B143,INDIRECT($B$5&amp;"生成成长"),3))*(VLOOKUP($B$5,标准坦克设计!$B$14:$K$20,9)/30))</f>
        <v>3.5195081808758664</v>
      </c>
      <c r="S143" s="172">
        <f ca="1">(VLOOKUP(S$72,INDIRECT($C$5&amp;"生成成长"),2))/((VLOOKUP($B143,INDIRECT($B$5&amp;"生成成长"),4))/(VLOOKUP(S$72,INDIRECT($C$5&amp;"生成成长"),5))*(VLOOKUP($B$5,标准坦克设计!$B$24:$U$30,MATCH("对"&amp;LEFT($C$5,2)&amp;"输出",标准坦克设计!$B$23:$U$23,0)))*(VLOOKUP($B143,INDIRECT($B$5&amp;"生成成长"),3))*(VLOOKUP($B$5,标准坦克设计!$B$14:$K$20,9)/30))</f>
        <v>3.9020263537523752</v>
      </c>
      <c r="T143" s="172">
        <f ca="1">(VLOOKUP(T$72,INDIRECT($C$5&amp;"生成成长"),2))/((VLOOKUP($B143,INDIRECT($B$5&amp;"生成成长"),4))/(VLOOKUP(T$72,INDIRECT($C$5&amp;"生成成长"),5))*(VLOOKUP($B$5,标准坦克设计!$B$24:$U$30,MATCH("对"&amp;LEFT($C$5,2)&amp;"输出",标准坦克设计!$B$23:$U$23,0)))*(VLOOKUP($B143,INDIRECT($B$5&amp;"生成成长"),3))*(VLOOKUP($B$5,标准坦克设计!$B$14:$K$20,9)/30))</f>
        <v>4.3042732576081875</v>
      </c>
      <c r="U143" s="172">
        <f ca="1">(VLOOKUP(U$72,INDIRECT($C$5&amp;"生成成长"),2))/((VLOOKUP($B143,INDIRECT($B$5&amp;"生成成长"),4))/(VLOOKUP(U$72,INDIRECT($C$5&amp;"生成成长"),5))*(VLOOKUP($B$5,标准坦克设计!$B$24:$U$30,MATCH("对"&amp;LEFT($C$5,2)&amp;"输出",标准坦克设计!$B$23:$U$23,0)))*(VLOOKUP($B143,INDIRECT($B$5&amp;"生成成长"),3))*(VLOOKUP($B$5,标准坦克设计!$B$14:$K$20,9)/30))</f>
        <v>4.7262488924433042</v>
      </c>
      <c r="V143" s="172">
        <f ca="1">(VLOOKUP(V$72,INDIRECT($C$5&amp;"生成成长"),2))/((VLOOKUP($B143,INDIRECT($B$5&amp;"生成成长"),4))/(VLOOKUP(V$72,INDIRECT($C$5&amp;"生成成长"),5))*(VLOOKUP($B$5,标准坦克设计!$B$24:$U$30,MATCH("对"&amp;LEFT($C$5,2)&amp;"输出",标准坦克设计!$B$23:$U$23,0)))*(VLOOKUP($B143,INDIRECT($B$5&amp;"生成成长"),3))*(VLOOKUP($B$5,标准坦克设计!$B$14:$K$20,9)/30))</f>
        <v>5.1679532582577243</v>
      </c>
      <c r="W143" s="172">
        <f ca="1">(VLOOKUP(W$72,INDIRECT($C$5&amp;"生成成长"),2))/((VLOOKUP($B143,INDIRECT($B$5&amp;"生成成长"),4))/(VLOOKUP(W$72,INDIRECT($C$5&amp;"生成成长"),5))*(VLOOKUP($B$5,标准坦克设计!$B$24:$U$30,MATCH("对"&amp;LEFT($C$5,2)&amp;"输出",标准坦克设计!$B$23:$U$23,0)))*(VLOOKUP($B143,INDIRECT($B$5&amp;"生成成长"),3))*(VLOOKUP($B$5,标准坦克设计!$B$14:$K$20,9)/30))</f>
        <v>5.6293863550514498</v>
      </c>
      <c r="X143" s="172">
        <f ca="1">(VLOOKUP(X$72,INDIRECT($C$5&amp;"生成成长"),2))/((VLOOKUP($B143,INDIRECT($B$5&amp;"生成成长"),4))/(VLOOKUP(X$72,INDIRECT($C$5&amp;"生成成长"),5))*(VLOOKUP($B$5,标准坦克设计!$B$24:$U$30,MATCH("对"&amp;LEFT($C$5,2)&amp;"输出",标准坦克设计!$B$23:$U$23,0)))*(VLOOKUP($B143,INDIRECT($B$5&amp;"生成成长"),3))*(VLOOKUP($B$5,标准坦克设计!$B$14:$K$20,9)/30))</f>
        <v>4.0783671096661553</v>
      </c>
      <c r="Y143" s="172">
        <f ca="1">(VLOOKUP(Y$72,INDIRECT($C$5&amp;"生成成长"),2))/((VLOOKUP($B143,INDIRECT($B$5&amp;"生成成长"),4))/(VLOOKUP(Y$72,INDIRECT($C$5&amp;"生成成长"),5))*(VLOOKUP($B$5,标准坦克设计!$B$24:$U$30,MATCH("对"&amp;LEFT($C$5,2)&amp;"输出",标准坦克设计!$B$23:$U$23,0)))*(VLOOKUP($B143,INDIRECT($B$5&amp;"生成成长"),3))*(VLOOKUP($B$5,标准坦克设计!$B$14:$K$20,9)/30))</f>
        <v>4.5362685200500046</v>
      </c>
      <c r="Z143" s="172">
        <f ca="1">(VLOOKUP(Z$72,INDIRECT($C$5&amp;"生成成长"),2))/((VLOOKUP($B143,INDIRECT($B$5&amp;"生成成长"),4))/(VLOOKUP(Z$72,INDIRECT($C$5&amp;"生成成长"),5))*(VLOOKUP($B$5,标准坦克设计!$B$24:$U$30,MATCH("对"&amp;LEFT($C$5,2)&amp;"输出",标准坦克设计!$B$23:$U$23,0)))*(VLOOKUP($B143,INDIRECT($B$5&amp;"生成成长"),3))*(VLOOKUP($B$5,标准坦克设计!$B$14:$K$20,9)/30))</f>
        <v>5.0185263884329956</v>
      </c>
      <c r="AA143" s="172">
        <f ca="1">(VLOOKUP(AA$72,INDIRECT($C$5&amp;"生成成长"),2))/((VLOOKUP($B143,INDIRECT($B$5&amp;"生成成长"),4))/(VLOOKUP(AA$72,INDIRECT($C$5&amp;"生成成长"),5))*(VLOOKUP($B$5,标准坦克设计!$B$24:$U$30,MATCH("对"&amp;LEFT($C$5,2)&amp;"输出",标准坦克设计!$B$23:$U$23,0)))*(VLOOKUP($B143,INDIRECT($B$5&amp;"生成成长"),3))*(VLOOKUP($B$5,标准坦克设计!$B$14:$K$20,9)/30))</f>
        <v>5.5251407148151257</v>
      </c>
      <c r="AB143" s="172">
        <f ca="1">(VLOOKUP(AB$72,INDIRECT($C$5&amp;"生成成长"),2))/((VLOOKUP($B143,INDIRECT($B$5&amp;"生成成长"),4))/(VLOOKUP(AB$72,INDIRECT($C$5&amp;"生成成长"),5))*(VLOOKUP($B$5,标准坦克设计!$B$24:$U$30,MATCH("对"&amp;LEFT($C$5,2)&amp;"输出",标准坦克设计!$B$23:$U$23,0)))*(VLOOKUP($B143,INDIRECT($B$5&amp;"生成成长"),3))*(VLOOKUP($B$5,标准坦克设计!$B$14:$K$20,9)/30))</f>
        <v>6.0561114991964002</v>
      </c>
      <c r="AC143" s="172">
        <f ca="1">(VLOOKUP(AC$72,INDIRECT($C$5&amp;"生成成长"),2))/((VLOOKUP($B143,INDIRECT($B$5&amp;"生成成长"),4))/(VLOOKUP(AC$72,INDIRECT($C$5&amp;"生成成长"),5))*(VLOOKUP($B$5,标准坦克设计!$B$24:$U$30,MATCH("对"&amp;LEFT($C$5,2)&amp;"输出",标准坦克设计!$B$23:$U$23,0)))*(VLOOKUP($B143,INDIRECT($B$5&amp;"生成成长"),3))*(VLOOKUP($B$5,标准坦克设计!$B$14:$K$20,9)/30))</f>
        <v>6.611438741576813</v>
      </c>
      <c r="AD143" s="172">
        <f ca="1">(VLOOKUP(AD$72,INDIRECT($C$5&amp;"生成成长"),2))/((VLOOKUP($B143,INDIRECT($B$5&amp;"生成成长"),4))/(VLOOKUP(AD$72,INDIRECT($C$5&amp;"生成成长"),5))*(VLOOKUP($B$5,标准坦克设计!$B$24:$U$30,MATCH("对"&amp;LEFT($C$5,2)&amp;"输出",标准坦克设计!$B$23:$U$23,0)))*(VLOOKUP($B143,INDIRECT($B$5&amp;"生成成长"),3))*(VLOOKUP($B$5,标准坦克设计!$B$14:$K$20,9)/30))</f>
        <v>7.1911224419563666</v>
      </c>
      <c r="AE143" s="172">
        <f ca="1">(VLOOKUP(AE$72,INDIRECT($C$5&amp;"生成成长"),2))/((VLOOKUP($B143,INDIRECT($B$5&amp;"生成成长"),4))/(VLOOKUP(AE$72,INDIRECT($C$5&amp;"生成成长"),5))*(VLOOKUP($B$5,标准坦克设计!$B$24:$U$30,MATCH("对"&amp;LEFT($C$5,2)&amp;"输出",标准坦克设计!$B$23:$U$23,0)))*(VLOOKUP($B143,INDIRECT($B$5&amp;"生成成长"),3))*(VLOOKUP($B$5,标准坦克设计!$B$14:$K$20,9)/30))</f>
        <v>7.7951626003350629</v>
      </c>
      <c r="AF143" s="172">
        <f ca="1">(VLOOKUP(AF$72,INDIRECT($C$5&amp;"生成成长"),2))/((VLOOKUP($B143,INDIRECT($B$5&amp;"生成成长"),4))/(VLOOKUP(AF$72,INDIRECT($C$5&amp;"生成成长"),5))*(VLOOKUP($B$5,标准坦克设计!$B$24:$U$30,MATCH("对"&amp;LEFT($C$5,2)&amp;"输出",标准坦克设计!$B$23:$U$23,0)))*(VLOOKUP($B143,INDIRECT($B$5&amp;"生成成长"),3))*(VLOOKUP($B$5,标准坦克设计!$B$14:$K$20,9)/30))</f>
        <v>8.4235592167128992</v>
      </c>
      <c r="AG143" s="172">
        <f ca="1">(VLOOKUP(AG$72,INDIRECT($C$5&amp;"生成成长"),2))/((VLOOKUP($B143,INDIRECT($B$5&amp;"生成成长"),4))/(VLOOKUP(AG$72,INDIRECT($C$5&amp;"生成成长"),5))*(VLOOKUP($B$5,标准坦克设计!$B$24:$U$30,MATCH("对"&amp;LEFT($C$5,2)&amp;"输出",标准坦克设计!$B$23:$U$23,0)))*(VLOOKUP($B143,INDIRECT($B$5&amp;"生成成长"),3))*(VLOOKUP($B$5,标准坦克设计!$B$14:$K$20,9)/30))</f>
        <v>9.0763122910898755</v>
      </c>
      <c r="AH143" s="172">
        <f ca="1">(VLOOKUP(AH$72,INDIRECT($C$5&amp;"生成成长"),2))/((VLOOKUP($B143,INDIRECT($B$5&amp;"生成成长"),4))/(VLOOKUP(AH$72,INDIRECT($C$5&amp;"生成成长"),5))*(VLOOKUP($B$5,标准坦克设计!$B$24:$U$30,MATCH("对"&amp;LEFT($C$5,2)&amp;"输出",标准坦克设计!$B$23:$U$23,0)))*(VLOOKUP($B143,INDIRECT($B$5&amp;"生成成长"),3))*(VLOOKUP($B$5,标准坦克设计!$B$14:$K$20,9)/30))</f>
        <v>9.7534218234659953</v>
      </c>
      <c r="AI143" s="172">
        <f ca="1">(VLOOKUP(AI$72,INDIRECT($C$5&amp;"生成成长"),2))/((VLOOKUP($B143,INDIRECT($B$5&amp;"生成成长"),4))/(VLOOKUP(AI$72,INDIRECT($C$5&amp;"生成成长"),5))*(VLOOKUP($B$5,标准坦克设计!$B$24:$U$30,MATCH("对"&amp;LEFT($C$5,2)&amp;"输出",标准坦克设计!$B$23:$U$23,0)))*(VLOOKUP($B143,INDIRECT($B$5&amp;"生成成长"),3))*(VLOOKUP($B$5,标准坦克设计!$B$14:$K$20,9)/30))</f>
        <v>6.8982360345166986</v>
      </c>
      <c r="AJ143" s="172">
        <f ca="1">(VLOOKUP(AJ$72,INDIRECT($C$5&amp;"生成成长"),2))/((VLOOKUP($B143,INDIRECT($B$5&amp;"生成成长"),4))/(VLOOKUP(AJ$72,INDIRECT($C$5&amp;"生成成长"),5))*(VLOOKUP($B$5,标准坦克设计!$B$24:$U$30,MATCH("对"&amp;LEFT($C$5,2)&amp;"输出",标准坦克设计!$B$23:$U$23,0)))*(VLOOKUP($B143,INDIRECT($B$5&amp;"生成成长"),3))*(VLOOKUP($B$5,标准坦克设计!$B$14:$K$20,9)/30))</f>
        <v>7.5506237620236876</v>
      </c>
      <c r="AK143" s="172">
        <f ca="1">(VLOOKUP(AK$72,INDIRECT($C$5&amp;"生成成长"),2))/((VLOOKUP($B143,INDIRECT($B$5&amp;"生成成长"),4))/(VLOOKUP(AK$72,INDIRECT($C$5&amp;"生成成长"),5))*(VLOOKUP($B$5,标准坦克设计!$B$24:$U$30,MATCH("对"&amp;LEFT($C$5,2)&amp;"输出",标准坦克设计!$B$23:$U$23,0)))*(VLOOKUP($B143,INDIRECT($B$5&amp;"生成成长"),3))*(VLOOKUP($B$5,标准坦克设计!$B$14:$K$20,9)/30))</f>
        <v>8.2324828037096403</v>
      </c>
      <c r="AL143" s="172">
        <f ca="1">(VLOOKUP(AL$72,INDIRECT($C$5&amp;"生成成长"),2))/((VLOOKUP($B143,INDIRECT($B$5&amp;"生成成长"),4))/(VLOOKUP(AL$72,INDIRECT($C$5&amp;"生成成长"),5))*(VLOOKUP($B$5,标准坦克设计!$B$24:$U$30,MATCH("对"&amp;LEFT($C$5,2)&amp;"输出",标准坦克设计!$B$23:$U$23,0)))*(VLOOKUP($B143,INDIRECT($B$5&amp;"生成成长"),3))*(VLOOKUP($B$5,标准坦克设计!$B$14:$K$20,9)/30))</f>
        <v>8.9438131595745496</v>
      </c>
      <c r="AM143" s="172">
        <f ca="1">(VLOOKUP(AM$72,INDIRECT($C$5&amp;"生成成长"),2))/((VLOOKUP($B143,INDIRECT($B$5&amp;"生成成长"),4))/(VLOOKUP(AM$72,INDIRECT($C$5&amp;"生成成长"),5))*(VLOOKUP($B$5,标准坦克设计!$B$24:$U$30,MATCH("对"&amp;LEFT($C$5,2)&amp;"输出",标准坦克设计!$B$23:$U$23,0)))*(VLOOKUP($B143,INDIRECT($B$5&amp;"生成成长"),3))*(VLOOKUP($B$5,标准坦克设计!$B$14:$K$20,9)/30))</f>
        <v>9.6846148296184218</v>
      </c>
      <c r="AN143" s="172">
        <f ca="1">(VLOOKUP(AN$72,INDIRECT($C$5&amp;"生成成长"),2))/((VLOOKUP($B143,INDIRECT($B$5&amp;"生成成长"),4))/(VLOOKUP(AN$72,INDIRECT($C$5&amp;"生成成长"),5))*(VLOOKUP($B$5,标准坦克设计!$B$24:$U$30,MATCH("对"&amp;LEFT($C$5,2)&amp;"输出",标准坦克设计!$B$23:$U$23,0)))*(VLOOKUP($B143,INDIRECT($B$5&amp;"生成成长"),3))*(VLOOKUP($B$5,标准坦克设计!$B$14:$K$20,9)/30))</f>
        <v>10.454887813841252</v>
      </c>
      <c r="AO143" s="172">
        <f ca="1">(VLOOKUP(AO$72,INDIRECT($C$5&amp;"生成成长"),2))/((VLOOKUP($B143,INDIRECT($B$5&amp;"生成成长"),4))/(VLOOKUP(AO$72,INDIRECT($C$5&amp;"生成成长"),5))*(VLOOKUP($B$5,标准坦克设计!$B$24:$U$30,MATCH("对"&amp;LEFT($C$5,2)&amp;"输出",标准坦克设计!$B$23:$U$23,0)))*(VLOOKUP($B143,INDIRECT($B$5&amp;"生成成长"),3))*(VLOOKUP($B$5,标准坦克设计!$B$14:$K$20,9)/30))</f>
        <v>11.254632112243044</v>
      </c>
      <c r="AP143" s="172">
        <f ca="1">(VLOOKUP(AP$72,INDIRECT($C$5&amp;"生成成长"),2))/((VLOOKUP($B143,INDIRECT($B$5&amp;"生成成长"),4))/(VLOOKUP(AP$72,INDIRECT($C$5&amp;"生成成长"),5))*(VLOOKUP($B$5,标准坦克设计!$B$24:$U$30,MATCH("对"&amp;LEFT($C$5,2)&amp;"输出",标准坦克设计!$B$23:$U$23,0)))*(VLOOKUP($B143,INDIRECT($B$5&amp;"生成成长"),3))*(VLOOKUP($B$5,标准坦克设计!$B$14:$K$20,9)/30))</f>
        <v>12.0838477248238</v>
      </c>
      <c r="AQ143" s="172">
        <f ca="1">(VLOOKUP(AQ$72,INDIRECT($C$5&amp;"生成成长"),2))/((VLOOKUP($B143,INDIRECT($B$5&amp;"生成成长"),4))/(VLOOKUP(AQ$72,INDIRECT($C$5&amp;"生成成长"),5))*(VLOOKUP($B$5,标准坦克设计!$B$24:$U$30,MATCH("对"&amp;LEFT($C$5,2)&amp;"输出",标准坦克设计!$B$23:$U$23,0)))*(VLOOKUP($B143,INDIRECT($B$5&amp;"生成成长"),3))*(VLOOKUP($B$5,标准坦克设计!$B$14:$K$20,9)/30))</f>
        <v>12.942534651583513</v>
      </c>
      <c r="AR143" s="172">
        <f ca="1">(VLOOKUP(AR$72,INDIRECT($C$5&amp;"生成成长"),2))/((VLOOKUP($B143,INDIRECT($B$5&amp;"生成成长"),4))/(VLOOKUP(AR$72,INDIRECT($C$5&amp;"生成成长"),5))*(VLOOKUP($B$5,标准坦克设计!$B$24:$U$30,MATCH("对"&amp;LEFT($C$5,2)&amp;"输出",标准坦克设计!$B$23:$U$23,0)))*(VLOOKUP($B143,INDIRECT($B$5&amp;"生成成长"),3))*(VLOOKUP($B$5,标准坦克设计!$B$14:$K$20,9)/30))</f>
        <v>13.830692892522185</v>
      </c>
      <c r="AS143" s="172">
        <f ca="1">(VLOOKUP(AS$72,INDIRECT($C$5&amp;"生成成长"),2))/((VLOOKUP($B143,INDIRECT($B$5&amp;"生成成长"),4))/(VLOOKUP(AS$72,INDIRECT($C$5&amp;"生成成长"),5))*(VLOOKUP($B$5,标准坦克设计!$B$24:$U$30,MATCH("对"&amp;LEFT($C$5,2)&amp;"输出",标准坦克设计!$B$23:$U$23,0)))*(VLOOKUP($B143,INDIRECT($B$5&amp;"生成成长"),3))*(VLOOKUP($B$5,标准坦克设计!$B$14:$K$20,9)/30))</f>
        <v>14.748322447639822</v>
      </c>
      <c r="AT143" s="172">
        <f ca="1">(VLOOKUP(AT$72,INDIRECT($C$5&amp;"生成成长"),2))/((VLOOKUP($B143,INDIRECT($B$5&amp;"生成成长"),4))/(VLOOKUP(AT$72,INDIRECT($C$5&amp;"生成成长"),5))*(VLOOKUP($B$5,标准坦克设计!$B$24:$U$30,MATCH("对"&amp;LEFT($C$5,2)&amp;"输出",标准坦克设计!$B$23:$U$23,0)))*(VLOOKUP($B143,INDIRECT($B$5&amp;"生成成长"),3))*(VLOOKUP($B$5,标准坦克设计!$B$14:$K$20,9)/30))</f>
        <v>15.695423316936418</v>
      </c>
      <c r="AU143" s="172">
        <f ca="1">(VLOOKUP(AU$72,INDIRECT($C$5&amp;"生成成长"),2))/((VLOOKUP($B143,INDIRECT($B$5&amp;"生成成长"),4))/(VLOOKUP(AU$72,INDIRECT($C$5&amp;"生成成长"),5))*(VLOOKUP($B$5,标准坦克设计!$B$24:$U$30,MATCH("对"&amp;LEFT($C$5,2)&amp;"输出",标准坦克设计!$B$23:$U$23,0)))*(VLOOKUP($B143,INDIRECT($B$5&amp;"生成成长"),3))*(VLOOKUP($B$5,标准坦克设计!$B$14:$K$20,9)/30))</f>
        <v>16.671995500411974</v>
      </c>
      <c r="AV143" s="172">
        <f ca="1">(VLOOKUP(AV$72,INDIRECT($C$5&amp;"生成成长"),2))/((VLOOKUP($B143,INDIRECT($B$5&amp;"生成成长"),4))/(VLOOKUP(AV$72,INDIRECT($C$5&amp;"生成成长"),5))*(VLOOKUP($B$5,标准坦克设计!$B$24:$U$30,MATCH("对"&amp;LEFT($C$5,2)&amp;"输出",标准坦克设计!$B$23:$U$23,0)))*(VLOOKUP($B143,INDIRECT($B$5&amp;"生成成长"),3))*(VLOOKUP($B$5,标准坦克设计!$B$14:$K$20,9)/30))</f>
        <v>1.6956966059001921</v>
      </c>
      <c r="AW143" s="172">
        <f ca="1">(VLOOKUP(AW$72,INDIRECT($C$5&amp;"生成成长"),2))/((VLOOKUP($B143,INDIRECT($B$5&amp;"生成成长"),4))/(VLOOKUP(AW$72,INDIRECT($C$5&amp;"生成成长"),5))*(VLOOKUP($B$5,标准坦克设计!$B$24:$U$30,MATCH("对"&amp;LEFT($C$5,2)&amp;"输出",标准坦克设计!$B$23:$U$23,0)))*(VLOOKUP($B143,INDIRECT($B$5&amp;"生成成长"),3))*(VLOOKUP($B$5,标准坦克设计!$B$14:$K$20,9)/30))</f>
        <v>1.9334156359718078</v>
      </c>
      <c r="AX143" s="172">
        <f ca="1">(VLOOKUP(AX$72,INDIRECT($C$5&amp;"生成成长"),2))/((VLOOKUP($B143,INDIRECT($B$5&amp;"生成成长"),4))/(VLOOKUP(AX$72,INDIRECT($C$5&amp;"生成成长"),5))*(VLOOKUP($B$5,标准坦克设计!$B$24:$U$30,MATCH("对"&amp;LEFT($C$5,2)&amp;"输出",标准坦克设计!$B$23:$U$23,0)))*(VLOOKUP($B143,INDIRECT($B$5&amp;"生成成长"),3))*(VLOOKUP($B$5,标准坦克设计!$B$14:$K$20,9)/30))</f>
        <v>2.1867227991628737</v>
      </c>
      <c r="AY143" s="172">
        <f ca="1">(VLOOKUP(AY$72,INDIRECT($C$5&amp;"生成成长"),2))/((VLOOKUP($B143,INDIRECT($B$5&amp;"生成成长"),4))/(VLOOKUP(AY$72,INDIRECT($C$5&amp;"生成成长"),5))*(VLOOKUP($B$5,标准坦克设计!$B$24:$U$30,MATCH("对"&amp;LEFT($C$5,2)&amp;"输出",标准坦克设计!$B$23:$U$23,0)))*(VLOOKUP($B143,INDIRECT($B$5&amp;"生成成长"),3))*(VLOOKUP($B$5,标准坦克设计!$B$14:$K$20,9)/30))</f>
        <v>2.4556180954733899</v>
      </c>
      <c r="AZ143" s="172">
        <f ca="1">(VLOOKUP(AZ$72,INDIRECT($C$5&amp;"生成成长"),2))/((VLOOKUP($B143,INDIRECT($B$5&amp;"生成成长"),4))/(VLOOKUP(AZ$72,INDIRECT($C$5&amp;"生成成长"),5))*(VLOOKUP($B$5,标准坦克设计!$B$24:$U$30,MATCH("对"&amp;LEFT($C$5,2)&amp;"输出",标准坦克设计!$B$23:$U$23,0)))*(VLOOKUP($B143,INDIRECT($B$5&amp;"生成成长"),3))*(VLOOKUP($B$5,标准坦克设计!$B$14:$K$20,9)/30))</f>
        <v>2.7401015249033556</v>
      </c>
      <c r="BA143" s="172">
        <f ca="1">(VLOOKUP(BA$72,INDIRECT($C$5&amp;"生成成长"),2))/((VLOOKUP($B143,INDIRECT($B$5&amp;"生成成长"),4))/(VLOOKUP(BA$72,INDIRECT($C$5&amp;"生成成长"),5))*(VLOOKUP($B$5,标准坦克设计!$B$24:$U$30,MATCH("对"&amp;LEFT($C$5,2)&amp;"输出",标准坦克设计!$B$23:$U$23,0)))*(VLOOKUP($B143,INDIRECT($B$5&amp;"生成成长"),3))*(VLOOKUP($B$5,标准坦克设计!$B$14:$K$20,9)/30))</f>
        <v>3.0401730874527728</v>
      </c>
      <c r="BB143" s="172">
        <f ca="1">(VLOOKUP(BB$72,INDIRECT($C$5&amp;"生成成长"),2))/((VLOOKUP($B143,INDIRECT($B$5&amp;"生成成长"),4))/(VLOOKUP(BB$72,INDIRECT($C$5&amp;"生成成长"),5))*(VLOOKUP($B$5,标准坦克设计!$B$24:$U$30,MATCH("对"&amp;LEFT($C$5,2)&amp;"输出",标准坦克设计!$B$23:$U$23,0)))*(VLOOKUP($B143,INDIRECT($B$5&amp;"生成成长"),3))*(VLOOKUP($B$5,标准坦克设计!$B$14:$K$20,9)/30))</f>
        <v>3.3558327831216395</v>
      </c>
      <c r="BC143" s="172">
        <f ca="1">(VLOOKUP(BC$72,INDIRECT($C$5&amp;"生成成长"),2))/((VLOOKUP($B143,INDIRECT($B$5&amp;"生成成长"),4))/(VLOOKUP(BC$72,INDIRECT($C$5&amp;"生成成长"),5))*(VLOOKUP($B$5,标准坦克设计!$B$24:$U$30,MATCH("对"&amp;LEFT($C$5,2)&amp;"输出",标准坦克设计!$B$23:$U$23,0)))*(VLOOKUP($B143,INDIRECT($B$5&amp;"生成成长"),3))*(VLOOKUP($B$5,标准坦克设计!$B$14:$K$20,9)/30))</f>
        <v>3.6870806119099555</v>
      </c>
      <c r="BD143" s="172">
        <f ca="1">(VLOOKUP(BD$72,INDIRECT($C$5&amp;"生成成长"),2))/((VLOOKUP($B143,INDIRECT($B$5&amp;"生成成长"),4))/(VLOOKUP(BD$72,INDIRECT($C$5&amp;"生成成长"),5))*(VLOOKUP($B$5,标准坦克设计!$B$24:$U$30,MATCH("对"&amp;LEFT($C$5,2)&amp;"输出",标准坦克设计!$B$23:$U$23,0)))*(VLOOKUP($B143,INDIRECT($B$5&amp;"生成成长"),3))*(VLOOKUP($B$5,标准坦克设计!$B$14:$K$20,9)/30))</f>
        <v>4.0783671096661553</v>
      </c>
      <c r="BE143" s="172">
        <f ca="1">(VLOOKUP(BE$72,INDIRECT($C$5&amp;"生成成长"),2))/((VLOOKUP($B143,INDIRECT($B$5&amp;"生成成长"),4))/(VLOOKUP(BE$72,INDIRECT($C$5&amp;"生成成长"),5))*(VLOOKUP($B$5,标准坦克设计!$B$24:$U$30,MATCH("对"&amp;LEFT($C$5,2)&amp;"输出",标准坦克设计!$B$23:$U$23,0)))*(VLOOKUP($B143,INDIRECT($B$5&amp;"生成成长"),3))*(VLOOKUP($B$5,标准坦克设计!$B$14:$K$20,9)/30))</f>
        <v>4.4893823384016578</v>
      </c>
      <c r="BF143" s="172">
        <f ca="1">(VLOOKUP(BF$72,INDIRECT($C$5&amp;"生成成长"),2))/((VLOOKUP($B143,INDIRECT($B$5&amp;"生成成长"),4))/(VLOOKUP(BF$72,INDIRECT($C$5&amp;"生成成长"),5))*(VLOOKUP($B$5,标准坦克设计!$B$24:$U$30,MATCH("对"&amp;LEFT($C$5,2)&amp;"输出",标准坦克设计!$B$23:$U$23,0)))*(VLOOKUP($B143,INDIRECT($B$5&amp;"生成成长"),3))*(VLOOKUP($B$5,标准坦克设计!$B$14:$K$20,9)/30))</f>
        <v>4.9201262981164655</v>
      </c>
      <c r="BG143" s="172">
        <f ca="1">(VLOOKUP(BG$72,INDIRECT($C$5&amp;"生成成长"),2))/((VLOOKUP($B143,INDIRECT($B$5&amp;"生成成长"),4))/(VLOOKUP(BG$72,INDIRECT($C$5&amp;"生成成长"),5))*(VLOOKUP($B$5,标准坦克设计!$B$24:$U$30,MATCH("对"&amp;LEFT($C$5,2)&amp;"输出",标准坦克设计!$B$23:$U$23,0)))*(VLOOKUP($B143,INDIRECT($B$5&amp;"生成成长"),3))*(VLOOKUP($B$5,标准坦克设计!$B$14:$K$20,9)/30))</f>
        <v>5.3705989888105776</v>
      </c>
      <c r="BH143" s="172">
        <f ca="1">(VLOOKUP(BH$72,INDIRECT($C$5&amp;"生成成长"),2))/((VLOOKUP($B143,INDIRECT($B$5&amp;"生成成长"),4))/(VLOOKUP(BH$72,INDIRECT($C$5&amp;"生成成长"),5))*(VLOOKUP($B$5,标准坦克设计!$B$24:$U$30,MATCH("对"&amp;LEFT($C$5,2)&amp;"输出",标准坦克设计!$B$23:$U$23,0)))*(VLOOKUP($B143,INDIRECT($B$5&amp;"生成成长"),3))*(VLOOKUP($B$5,标准坦克设计!$B$14:$K$20,9)/30))</f>
        <v>2.5959112935484416</v>
      </c>
      <c r="BI143" s="172">
        <f ca="1">(VLOOKUP(BI$72,INDIRECT($C$5&amp;"生成成长"),2))/((VLOOKUP($B143,INDIRECT($B$5&amp;"生成成长"),4))/(VLOOKUP(BI$72,INDIRECT($C$5&amp;"生成成长"),5))*(VLOOKUP($B$5,标准坦克设计!$B$24:$U$30,MATCH("对"&amp;LEFT($C$5,2)&amp;"输出",标准坦克设计!$B$23:$U$23,0)))*(VLOOKUP($B143,INDIRECT($B$5&amp;"生成成长"),3))*(VLOOKUP($B$5,标准坦克设计!$B$14:$K$20,9)/30))</f>
        <v>2.9258195171468055</v>
      </c>
      <c r="BJ143" s="172">
        <f ca="1">(VLOOKUP(BJ$72,INDIRECT($C$5&amp;"生成成长"),2))/((VLOOKUP($B143,INDIRECT($B$5&amp;"生成成长"),4))/(VLOOKUP(BJ$72,INDIRECT($C$5&amp;"生成成长"),5))*(VLOOKUP($B$5,标准坦克设计!$B$24:$U$30,MATCH("对"&amp;LEFT($C$5,2)&amp;"输出",标准坦克设计!$B$23:$U$23,0)))*(VLOOKUP($B143,INDIRECT($B$5&amp;"生成成长"),3))*(VLOOKUP($B$5,标准坦克设计!$B$14:$K$20,9)/30))</f>
        <v>3.2754564717244739</v>
      </c>
      <c r="BK143" s="172">
        <f ca="1">(VLOOKUP(BK$72,INDIRECT($C$5&amp;"生成成长"),2))/((VLOOKUP($B143,INDIRECT($B$5&amp;"生成成长"),4))/(VLOOKUP(BK$72,INDIRECT($C$5&amp;"生成成长"),5))*(VLOOKUP($B$5,标准坦克设计!$B$24:$U$30,MATCH("对"&amp;LEFT($C$5,2)&amp;"输出",标准坦克设计!$B$23:$U$23,0)))*(VLOOKUP($B143,INDIRECT($B$5&amp;"生成成长"),3))*(VLOOKUP($B$5,标准坦克设计!$B$14:$K$20,9)/30))</f>
        <v>3.6448221572814457</v>
      </c>
      <c r="BL143" s="172">
        <f ca="1">(VLOOKUP(BL$72,INDIRECT($C$5&amp;"生成成长"),2))/((VLOOKUP($B143,INDIRECT($B$5&amp;"生成成长"),4))/(VLOOKUP(BL$72,INDIRECT($C$5&amp;"生成成长"),5))*(VLOOKUP($B$5,标准坦克设计!$B$24:$U$30,MATCH("对"&amp;LEFT($C$5,2)&amp;"输出",标准坦克设计!$B$23:$U$23,0)))*(VLOOKUP($B143,INDIRECT($B$5&amp;"生成成长"),3))*(VLOOKUP($B$5,标准坦克设计!$B$14:$K$20,9)/30))</f>
        <v>4.0339165738177227</v>
      </c>
      <c r="BM143" s="172">
        <f ca="1">(VLOOKUP(BM$72,INDIRECT($C$5&amp;"生成成长"),2))/((VLOOKUP($B143,INDIRECT($B$5&amp;"生成成长"),4))/(VLOOKUP(BM$72,INDIRECT($C$5&amp;"生成成长"),5))*(VLOOKUP($B$5,标准坦克设计!$B$24:$U$30,MATCH("对"&amp;LEFT($C$5,2)&amp;"输出",标准坦克设计!$B$23:$U$23,0)))*(VLOOKUP($B143,INDIRECT($B$5&amp;"生成成长"),3))*(VLOOKUP($B$5,标准坦克设计!$B$14:$K$20,9)/30))</f>
        <v>4.4427397213333037</v>
      </c>
      <c r="BN143" s="172">
        <f ca="1">(VLOOKUP(BN$72,INDIRECT($C$5&amp;"生成成长"),2))/((VLOOKUP($B143,INDIRECT($B$5&amp;"生成成长"),4))/(VLOOKUP(BN$72,INDIRECT($C$5&amp;"生成成长"),5))*(VLOOKUP($B$5,标准坦克设计!$B$24:$U$30,MATCH("对"&amp;LEFT($C$5,2)&amp;"输出",标准坦克设计!$B$23:$U$23,0)))*(VLOOKUP($B143,INDIRECT($B$5&amp;"生成成长"),3))*(VLOOKUP($B$5,标准坦克设计!$B$14:$K$20,9)/30))</f>
        <v>4.8712915998281892</v>
      </c>
      <c r="BO143" s="172">
        <f ca="1">(VLOOKUP(BO$72,INDIRECT($C$5&amp;"生成成长"),2))/((VLOOKUP($B143,INDIRECT($B$5&amp;"生成成长"),4))/(VLOOKUP(BO$72,INDIRECT($C$5&amp;"生成成长"),5))*(VLOOKUP($B$5,标准坦克设计!$B$24:$U$30,MATCH("对"&amp;LEFT($C$5,2)&amp;"输出",标准坦克设计!$B$23:$U$23,0)))*(VLOOKUP($B143,INDIRECT($B$5&amp;"生成成长"),3))*(VLOOKUP($B$5,标准坦克设计!$B$14:$K$20,9)/30))</f>
        <v>5.3195722093023781</v>
      </c>
      <c r="BP143" s="172">
        <f ca="1">(VLOOKUP(BP$72,INDIRECT($C$5&amp;"生成成长"),2))/((VLOOKUP($B143,INDIRECT($B$5&amp;"生成成长"),4))/(VLOOKUP(BP$72,INDIRECT($C$5&amp;"生成成长"),5))*(VLOOKUP($B$5,标准坦克设计!$B$24:$U$30,MATCH("对"&amp;LEFT($C$5,2)&amp;"输出",标准坦克设计!$B$23:$U$23,0)))*(VLOOKUP($B143,INDIRECT($B$5&amp;"生成成长"),3))*(VLOOKUP($B$5,标准坦克设计!$B$14:$K$20,9)/30))</f>
        <v>5.7875815497558705</v>
      </c>
      <c r="BQ143" s="172">
        <f ca="1">(VLOOKUP(BQ$72,INDIRECT($C$5&amp;"生成成长"),2))/((VLOOKUP($B143,INDIRECT($B$5&amp;"生成成长"),4))/(VLOOKUP(BQ$72,INDIRECT($C$5&amp;"生成成长"),5))*(VLOOKUP($B$5,标准坦克设计!$B$24:$U$30,MATCH("对"&amp;LEFT($C$5,2)&amp;"输出",标准坦克设计!$B$23:$U$23,0)))*(VLOOKUP($B143,INDIRECT($B$5&amp;"生成成长"),3))*(VLOOKUP($B$5,标准坦克设计!$B$14:$K$20,9)/30))</f>
        <v>6.2753196211886673</v>
      </c>
      <c r="BR143" s="172">
        <f ca="1">(VLOOKUP(BR$72,INDIRECT($C$5&amp;"生成成长"),2))/((VLOOKUP($B143,INDIRECT($B$5&amp;"生成成长"),4))/(VLOOKUP(BR$72,INDIRECT($C$5&amp;"生成成长"),5))*(VLOOKUP($B$5,标准坦克设计!$B$24:$U$30,MATCH("对"&amp;LEFT($C$5,2)&amp;"输出",标准坦克设计!$B$23:$U$23,0)))*(VLOOKUP($B143,INDIRECT($B$5&amp;"生成成长"),3))*(VLOOKUP($B$5,标准坦克设计!$B$14:$K$20,9)/30))</f>
        <v>6.8403894467687376</v>
      </c>
      <c r="BS143" s="172">
        <f ca="1">(VLOOKUP(BS$72,INDIRECT($C$5&amp;"生成成长"),2))/((VLOOKUP($B143,INDIRECT($B$5&amp;"生成成长"),4))/(VLOOKUP(BS$72,INDIRECT($C$5&amp;"生成成长"),5))*(VLOOKUP($B$5,标准坦克设计!$B$24:$U$30,MATCH("对"&amp;LEFT($C$5,2)&amp;"输出",标准坦克设计!$B$23:$U$23,0)))*(VLOOKUP($B143,INDIRECT($B$5&amp;"生成成长"),3))*(VLOOKUP($B$5,标准坦克设计!$B$14:$K$20,9)/30))</f>
        <v>7.4298157303479471</v>
      </c>
      <c r="BT143" s="172">
        <f ca="1">(VLOOKUP(BT$72,INDIRECT($C$5&amp;"生成成长"),2))/((VLOOKUP($B143,INDIRECT($B$5&amp;"生成成长"),4))/(VLOOKUP(BT$72,INDIRECT($C$5&amp;"生成成长"),5))*(VLOOKUP($B$5,标准坦克设计!$B$24:$U$30,MATCH("对"&amp;LEFT($C$5,2)&amp;"输出",标准坦克设计!$B$23:$U$23,0)))*(VLOOKUP($B143,INDIRECT($B$5&amp;"生成成长"),3))*(VLOOKUP($B$5,标准坦克设计!$B$14:$K$20,9)/30))</f>
        <v>8.0435984719263001</v>
      </c>
      <c r="BU143" s="172">
        <f ca="1">(VLOOKUP(BU$72,INDIRECT($C$5&amp;"生成成长"),2))/((VLOOKUP($B143,INDIRECT($B$5&amp;"生成成长"),4))/(VLOOKUP(BU$72,INDIRECT($C$5&amp;"生成成长"),5))*(VLOOKUP($B$5,标准坦克设计!$B$24:$U$30,MATCH("对"&amp;LEFT($C$5,2)&amp;"输出",标准坦克设计!$B$23:$U$23,0)))*(VLOOKUP($B143,INDIRECT($B$5&amp;"生成成长"),3))*(VLOOKUP($B$5,标准坦克设计!$B$14:$K$20,9)/30))</f>
        <v>8.6817376715037931</v>
      </c>
      <c r="BV143" s="172">
        <f ca="1">(VLOOKUP(BV$72,INDIRECT($C$5&amp;"生成成长"),2))/((VLOOKUP($B143,INDIRECT($B$5&amp;"生成成长"),4))/(VLOOKUP(BV$72,INDIRECT($C$5&amp;"生成成长"),5))*(VLOOKUP($B$5,标准坦克设计!$B$24:$U$30,MATCH("对"&amp;LEFT($C$5,2)&amp;"输出",标准坦克设计!$B$23:$U$23,0)))*(VLOOKUP($B143,INDIRECT($B$5&amp;"生成成长"),3))*(VLOOKUP($B$5,标准坦克设计!$B$14:$K$20,9)/30))</f>
        <v>9.344233329080426</v>
      </c>
      <c r="BW143" s="172">
        <f ca="1">(VLOOKUP(BW$72,INDIRECT($C$5&amp;"生成成长"),2))/((VLOOKUP($B143,INDIRECT($B$5&amp;"生成成长"),4))/(VLOOKUP(BW$72,INDIRECT($C$5&amp;"生成成长"),5))*(VLOOKUP($B$5,标准坦克设计!$B$24:$U$30,MATCH("对"&amp;LEFT($C$5,2)&amp;"输出",标准坦克设计!$B$23:$U$23,0)))*(VLOOKUP($B143,INDIRECT($B$5&amp;"生成成长"),3))*(VLOOKUP($B$5,标准坦克设计!$B$14:$K$20,9)/30))</f>
        <v>4.2586048988597973</v>
      </c>
      <c r="BX143" s="172">
        <f ca="1">(VLOOKUP(BX$72,INDIRECT($C$5&amp;"生成成长"),2))/((VLOOKUP($B143,INDIRECT($B$5&amp;"生成成长"),4))/(VLOOKUP(BX$72,INDIRECT($C$5&amp;"生成成长"),5))*(VLOOKUP($B$5,标准坦克设计!$B$24:$U$30,MATCH("对"&amp;LEFT($C$5,2)&amp;"输出",标准坦克设计!$B$23:$U$23,0)))*(VLOOKUP($B143,INDIRECT($B$5&amp;"生成成长"),3))*(VLOOKUP($B$5,标准坦克设计!$B$14:$K$20,9)/30))</f>
        <v>4.7262488924433042</v>
      </c>
      <c r="BY143" s="172">
        <f ca="1">(VLOOKUP(BY$72,INDIRECT($C$5&amp;"生成成长"),2))/((VLOOKUP($B143,INDIRECT($B$5&amp;"生成成长"),4))/(VLOOKUP(BY$72,INDIRECT($C$5&amp;"生成成长"),5))*(VLOOKUP($B$5,标准坦克设计!$B$24:$U$30,MATCH("对"&amp;LEFT($C$5,2)&amp;"输出",标准坦克设计!$B$23:$U$23,0)))*(VLOOKUP($B143,INDIRECT($B$5&amp;"生成成长"),3))*(VLOOKUP($B$5,标准坦克设计!$B$14:$K$20,9)/30))</f>
        <v>5.218249344025951</v>
      </c>
      <c r="BZ143" s="172">
        <f ca="1">(VLOOKUP(BZ$72,INDIRECT($C$5&amp;"生成成长"),2))/((VLOOKUP($B143,INDIRECT($B$5&amp;"生成成长"),4))/(VLOOKUP(BZ$72,INDIRECT($C$5&amp;"生成成长"),5))*(VLOOKUP($B$5,标准坦克设计!$B$24:$U$30,MATCH("对"&amp;LEFT($C$5,2)&amp;"输出",标准坦克设计!$B$23:$U$23,0)))*(VLOOKUP($B143,INDIRECT($B$5&amp;"生成成长"),3))*(VLOOKUP($B$5,标准坦克设计!$B$14:$K$20,9)/30))</f>
        <v>5.7346062536077396</v>
      </c>
      <c r="CA143" s="172">
        <f ca="1">(VLOOKUP(CA$72,INDIRECT($C$5&amp;"生成成长"),2))/((VLOOKUP($B143,INDIRECT($B$5&amp;"生成成长"),4))/(VLOOKUP(CA$72,INDIRECT($C$5&amp;"生成成长"),5))*(VLOOKUP($B$5,标准坦克设计!$B$24:$U$30,MATCH("对"&amp;LEFT($C$5,2)&amp;"输出",标准坦克设计!$B$23:$U$23,0)))*(VLOOKUP($B143,INDIRECT($B$5&amp;"生成成长"),3))*(VLOOKUP($B$5,标准坦克设计!$B$14:$K$20,9)/30))</f>
        <v>6.2753196211886673</v>
      </c>
      <c r="CB143" s="172">
        <f ca="1">(VLOOKUP(CB$72,INDIRECT($C$5&amp;"生成成长"),2))/((VLOOKUP($B143,INDIRECT($B$5&amp;"生成成长"),4))/(VLOOKUP(CB$72,INDIRECT($C$5&amp;"生成成长"),5))*(VLOOKUP($B$5,标准坦克设计!$B$24:$U$30,MATCH("对"&amp;LEFT($C$5,2)&amp;"输出",标准坦克设计!$B$23:$U$23,0)))*(VLOOKUP($B143,INDIRECT($B$5&amp;"生成成长"),3))*(VLOOKUP($B$5,标准坦克设计!$B$14:$K$20,9)/30))</f>
        <v>6.8403894467687376</v>
      </c>
      <c r="CC143" s="172">
        <f ca="1">(VLOOKUP(CC$72,INDIRECT($C$5&amp;"生成成长"),2))/((VLOOKUP($B143,INDIRECT($B$5&amp;"生成成长"),4))/(VLOOKUP(CC$72,INDIRECT($C$5&amp;"生成成长"),5))*(VLOOKUP($B$5,标准坦克设计!$B$24:$U$30,MATCH("对"&amp;LEFT($C$5,2)&amp;"输出",标准坦克设计!$B$23:$U$23,0)))*(VLOOKUP($B143,INDIRECT($B$5&amp;"生成成长"),3))*(VLOOKUP($B$5,标准坦克设计!$B$14:$K$20,9)/30))</f>
        <v>7.4298157303479471</v>
      </c>
      <c r="CD143" s="172">
        <f ca="1">(VLOOKUP(CD$72,INDIRECT($C$5&amp;"生成成长"),2))/((VLOOKUP($B143,INDIRECT($B$5&amp;"生成成长"),4))/(VLOOKUP(CD$72,INDIRECT($C$5&amp;"生成成长"),5))*(VLOOKUP($B$5,标准坦克设计!$B$24:$U$30,MATCH("对"&amp;LEFT($C$5,2)&amp;"输出",标准坦克设计!$B$23:$U$23,0)))*(VLOOKUP($B143,INDIRECT($B$5&amp;"生成成长"),3))*(VLOOKUP($B$5,标准坦克设计!$B$14:$K$20,9)/30))</f>
        <v>8.0435984719263001</v>
      </c>
      <c r="CE143" s="172">
        <f ca="1">(VLOOKUP(CE$72,INDIRECT($C$5&amp;"生成成长"),2))/((VLOOKUP($B143,INDIRECT($B$5&amp;"生成成长"),4))/(VLOOKUP(CE$72,INDIRECT($C$5&amp;"生成成长"),5))*(VLOOKUP($B$5,标准坦克设计!$B$24:$U$30,MATCH("对"&amp;LEFT($C$5,2)&amp;"输出",标准坦克设计!$B$23:$U$23,0)))*(VLOOKUP($B143,INDIRECT($B$5&amp;"生成成长"),3))*(VLOOKUP($B$5,标准坦克设计!$B$14:$K$20,9)/30))</f>
        <v>8.6817376715037931</v>
      </c>
      <c r="CF143" s="172">
        <f ca="1">(VLOOKUP(CF$72,INDIRECT($C$5&amp;"生成成长"),2))/((VLOOKUP($B143,INDIRECT($B$5&amp;"生成成长"),4))/(VLOOKUP(CF$72,INDIRECT($C$5&amp;"生成成长"),5))*(VLOOKUP($B$5,标准坦克设计!$B$24:$U$30,MATCH("对"&amp;LEFT($C$5,2)&amp;"输出",标准坦克设计!$B$23:$U$23,0)))*(VLOOKUP($B143,INDIRECT($B$5&amp;"生成成长"),3))*(VLOOKUP($B$5,标准坦克设计!$B$14:$K$20,9)/30))</f>
        <v>9.344233329080426</v>
      </c>
      <c r="CG143" s="172">
        <f ca="1">(VLOOKUP(CG$72,INDIRECT($C$5&amp;"生成成长"),2))/((VLOOKUP($B143,INDIRECT($B$5&amp;"生成成长"),4))/(VLOOKUP(CG$72,INDIRECT($C$5&amp;"生成成长"),5))*(VLOOKUP($B$5,标准坦克设计!$B$24:$U$30,MATCH("对"&amp;LEFT($C$5,2)&amp;"输出",标准坦克设计!$B$23:$U$23,0)))*(VLOOKUP($B143,INDIRECT($B$5&amp;"生成成长"),3))*(VLOOKUP($B$5,标准坦克设计!$B$14:$K$20,9)/30))</f>
        <v>10.031085444656199</v>
      </c>
      <c r="CH143" s="172">
        <f ca="1">(VLOOKUP(CH$72,INDIRECT($C$5&amp;"生成成长"),2))/((VLOOKUP($B143,INDIRECT($B$5&amp;"生成成长"),4))/(VLOOKUP(CH$72,INDIRECT($C$5&amp;"生成成长"),5))*(VLOOKUP($B$5,标准坦克设计!$B$24:$U$30,MATCH("对"&amp;LEFT($C$5,2)&amp;"输出",标准坦克设计!$B$23:$U$23,0)))*(VLOOKUP($B143,INDIRECT($B$5&amp;"生成成长"),3))*(VLOOKUP($B$5,标准坦克设计!$B$14:$K$20,9)/30))</f>
        <v>10.742294018231116</v>
      </c>
      <c r="CI143" s="172">
        <f ca="1">(VLOOKUP(CI$72,INDIRECT($C$5&amp;"生成成长"),2))/((VLOOKUP($B143,INDIRECT($B$5&amp;"生成成长"),4))/(VLOOKUP(CI$72,INDIRECT($C$5&amp;"生成成长"),5))*(VLOOKUP($B$5,标准坦克设计!$B$24:$U$30,MATCH("对"&amp;LEFT($C$5,2)&amp;"输出",标准坦克设计!$B$23:$U$23,0)))*(VLOOKUP($B143,INDIRECT($B$5&amp;"生成成长"),3))*(VLOOKUP($B$5,标准坦克设计!$B$14:$K$20,9)/30))</f>
        <v>11.552755158152529</v>
      </c>
      <c r="CJ143" s="172">
        <f ca="1">(VLOOKUP(CJ$72,INDIRECT($C$5&amp;"生成成长"),2))/((VLOOKUP($B143,INDIRECT($B$5&amp;"生成成长"),4))/(VLOOKUP(CJ$72,INDIRECT($C$5&amp;"生成成长"),5))*(VLOOKUP($B$5,标准坦克设计!$B$24:$U$30,MATCH("对"&amp;LEFT($C$5,2)&amp;"输出",标准坦克设计!$B$23:$U$23,0)))*(VLOOKUP($B143,INDIRECT($B$5&amp;"生成成长"),3))*(VLOOKUP($B$5,标准坦克设计!$B$14:$K$20,9)/30))</f>
        <v>12.392687612252905</v>
      </c>
      <c r="CK143" s="172">
        <f ca="1">(VLOOKUP(CK$72,INDIRECT($C$5&amp;"生成成长"),2))/((VLOOKUP($B143,INDIRECT($B$5&amp;"生成成长"),4))/(VLOOKUP(CK$72,INDIRECT($C$5&amp;"生成成长"),5))*(VLOOKUP($B$5,标准坦克设计!$B$24:$U$30,MATCH("对"&amp;LEFT($C$5,2)&amp;"输出",标准坦克设计!$B$23:$U$23,0)))*(VLOOKUP($B143,INDIRECT($B$5&amp;"生成成长"),3))*(VLOOKUP($B$5,标准坦克设计!$B$14:$K$20,9)/30))</f>
        <v>13.262091380532242</v>
      </c>
      <c r="CL143" s="172">
        <f ca="1">(VLOOKUP(CL$72,INDIRECT($C$5&amp;"生成成长"),2))/((VLOOKUP($B143,INDIRECT($B$5&amp;"生成成长"),4))/(VLOOKUP(CL$72,INDIRECT($C$5&amp;"生成成长"),5))*(VLOOKUP($B$5,标准坦克设计!$B$24:$U$30,MATCH("对"&amp;LEFT($C$5,2)&amp;"输出",标准坦克设计!$B$23:$U$23,0)))*(VLOOKUP($B143,INDIRECT($B$5&amp;"生成成长"),3))*(VLOOKUP($B$5,标准坦克设计!$B$14:$K$20,9)/30))</f>
        <v>14.16096646299054</v>
      </c>
      <c r="CM143" s="172">
        <f ca="1">(VLOOKUP(CM$72,INDIRECT($C$5&amp;"生成成长"),2))/((VLOOKUP($B143,INDIRECT($B$5&amp;"生成成长"),4))/(VLOOKUP(CM$72,INDIRECT($C$5&amp;"生成成长"),5))*(VLOOKUP($B$5,标准坦克设计!$B$24:$U$30,MATCH("对"&amp;LEFT($C$5,2)&amp;"输出",标准坦克设计!$B$23:$U$23,0)))*(VLOOKUP($B143,INDIRECT($B$5&amp;"生成成长"),3))*(VLOOKUP($B$5,标准坦克设计!$B$14:$K$20,9)/30))</f>
        <v>15.089312859627794</v>
      </c>
      <c r="CN143" s="172">
        <f ca="1">(VLOOKUP(CN$72,INDIRECT($C$5&amp;"生成成长"),2))/((VLOOKUP($B143,INDIRECT($B$5&amp;"生成成长"),4))/(VLOOKUP(CN$72,INDIRECT($C$5&amp;"生成成长"),5))*(VLOOKUP($B$5,标准坦克设计!$B$24:$U$30,MATCH("对"&amp;LEFT($C$5,2)&amp;"输出",标准坦克设计!$B$23:$U$23,0)))*(VLOOKUP($B143,INDIRECT($B$5&amp;"生成成长"),3))*(VLOOKUP($B$5,标准坦克设计!$B$14:$K$20,9)/30))</f>
        <v>16.047130570444015</v>
      </c>
      <c r="CO143" s="172">
        <f ca="1">(VLOOKUP(CO$72,INDIRECT($C$5&amp;"生成成长"),2))/((VLOOKUP($B143,INDIRECT($B$5&amp;"生成成长"),4))/(VLOOKUP(CO$72,INDIRECT($C$5&amp;"生成成长"),5))*(VLOOKUP($B$5,标准坦克设计!$B$24:$U$30,MATCH("对"&amp;LEFT($C$5,2)&amp;"输出",标准坦克设计!$B$23:$U$23,0)))*(VLOOKUP($B143,INDIRECT($B$5&amp;"生成成长"),3))*(VLOOKUP($B$5,标准坦克设计!$B$14:$K$20,9)/30))</f>
        <v>7.1911224419563666</v>
      </c>
      <c r="CP143" s="172">
        <f ca="1">(VLOOKUP(CP$72,INDIRECT($C$5&amp;"生成成长"),2))/((VLOOKUP($B143,INDIRECT($B$5&amp;"生成成长"),4))/(VLOOKUP(CP$72,INDIRECT($C$5&amp;"生成成长"),5))*(VLOOKUP($B$5,标准坦克设计!$B$24:$U$30,MATCH("对"&amp;LEFT($C$5,2)&amp;"输出",标准坦克设计!$B$23:$U$23,0)))*(VLOOKUP($B143,INDIRECT($B$5&amp;"生成成长"),3))*(VLOOKUP($B$5,标准坦克设计!$B$14:$K$20,9)/30))</f>
        <v>7.8569062213628857</v>
      </c>
      <c r="CQ143" s="172">
        <f ca="1">(VLOOKUP(CQ$72,INDIRECT($C$5&amp;"生成成长"),2))/((VLOOKUP($B143,INDIRECT($B$5&amp;"生成成长"),4))/(VLOOKUP(CQ$72,INDIRECT($C$5&amp;"生成成长"),5))*(VLOOKUP($B$5,标准坦克设计!$B$24:$U$30,MATCH("对"&amp;LEFT($C$5,2)&amp;"输出",标准坦克设计!$B$23:$U$23,0)))*(VLOOKUP($B143,INDIRECT($B$5&amp;"生成成长"),3))*(VLOOKUP($B$5,标准坦克设计!$B$14:$K$20,9)/30))</f>
        <v>8.5521613149483624</v>
      </c>
      <c r="CR143" s="172">
        <f ca="1">(VLOOKUP(CR$72,INDIRECT($C$5&amp;"生成成长"),2))/((VLOOKUP($B143,INDIRECT($B$5&amp;"生成成长"),4))/(VLOOKUP(CR$72,INDIRECT($C$5&amp;"生成成长"),5))*(VLOOKUP($B$5,标准坦克设计!$B$24:$U$30,MATCH("对"&amp;LEFT($C$5,2)&amp;"输出",标准坦克设计!$B$23:$U$23,0)))*(VLOOKUP($B143,INDIRECT($B$5&amp;"生成成长"),3))*(VLOOKUP($B$5,标准坦克设计!$B$14:$K$20,9)/30))</f>
        <v>9.2768877227128002</v>
      </c>
      <c r="CS143" s="172">
        <f ca="1">(VLOOKUP(CS$72,INDIRECT($C$5&amp;"生成成长"),2))/((VLOOKUP($B143,INDIRECT($B$5&amp;"生成成长"),4))/(VLOOKUP(CS$72,INDIRECT($C$5&amp;"生成成长"),5))*(VLOOKUP($B$5,标准坦克设计!$B$24:$U$30,MATCH("对"&amp;LEFT($C$5,2)&amp;"输出",标准坦克设计!$B$23:$U$23,0)))*(VLOOKUP($B143,INDIRECT($B$5&amp;"生成成长"),3))*(VLOOKUP($B$5,标准坦克设计!$B$14:$K$20,9)/30))</f>
        <v>10.031085444656199</v>
      </c>
      <c r="CT143" s="172">
        <f ca="1">(VLOOKUP(CT$72,INDIRECT($C$5&amp;"生成成长"),2))/((VLOOKUP($B143,INDIRECT($B$5&amp;"生成成长"),4))/(VLOOKUP(CT$72,INDIRECT($C$5&amp;"生成成长"),5))*(VLOOKUP($B$5,标准坦克设计!$B$24:$U$30,MATCH("对"&amp;LEFT($C$5,2)&amp;"输出",标准坦克设计!$B$23:$U$23,0)))*(VLOOKUP($B143,INDIRECT($B$5&amp;"生成成长"),3))*(VLOOKUP($B$5,标准坦克设计!$B$14:$K$20,9)/30))</f>
        <v>10.814754480778562</v>
      </c>
      <c r="CU143" s="172">
        <f ca="1">(VLOOKUP(CU$72,INDIRECT($C$5&amp;"生成成长"),2))/((VLOOKUP($B143,INDIRECT($B$5&amp;"生成成长"),4))/(VLOOKUP(CU$72,INDIRECT($C$5&amp;"生成成长"),5))*(VLOOKUP($B$5,标准坦克设计!$B$24:$U$30,MATCH("对"&amp;LEFT($C$5,2)&amp;"输出",标准坦克设计!$B$23:$U$23,0)))*(VLOOKUP($B143,INDIRECT($B$5&amp;"生成成长"),3))*(VLOOKUP($B$5,标准坦克设计!$B$14:$K$20,9)/30))</f>
        <v>11.627894831079882</v>
      </c>
      <c r="CV143" s="172">
        <f ca="1">(VLOOKUP(CV$72,INDIRECT($C$5&amp;"生成成长"),2))/((VLOOKUP($B143,INDIRECT($B$5&amp;"生成成长"),4))/(VLOOKUP(CV$72,INDIRECT($C$5&amp;"生成成长"),5))*(VLOOKUP($B$5,标准坦克设计!$B$24:$U$30,MATCH("对"&amp;LEFT($C$5,2)&amp;"输出",标准坦克设计!$B$23:$U$23,0)))*(VLOOKUP($B143,INDIRECT($B$5&amp;"生成成长"),3))*(VLOOKUP($B$5,标准坦克设计!$B$14:$K$20,9)/30))</f>
        <v>12.470506495560162</v>
      </c>
      <c r="CW143" s="172">
        <f ca="1">(VLOOKUP(CW$72,INDIRECT($C$5&amp;"生成成长"),2))/((VLOOKUP($B143,INDIRECT($B$5&amp;"生成成长"),4))/(VLOOKUP(CW$72,INDIRECT($C$5&amp;"生成成长"),5))*(VLOOKUP($B$5,标准坦克设计!$B$24:$U$30,MATCH("对"&amp;LEFT($C$5,2)&amp;"输出",标准坦克设计!$B$23:$U$23,0)))*(VLOOKUP($B143,INDIRECT($B$5&amp;"生成成长"),3))*(VLOOKUP($B$5,标准坦克设计!$B$14:$K$20,9)/30))</f>
        <v>13.342589474219404</v>
      </c>
      <c r="CX143" s="172">
        <f ca="1">(VLOOKUP(CX$72,INDIRECT($C$5&amp;"生成成长"),2))/((VLOOKUP($B143,INDIRECT($B$5&amp;"生成成长"),4))/(VLOOKUP(CX$72,INDIRECT($C$5&amp;"生成成长"),5))*(VLOOKUP($B$5,标准坦克设计!$B$24:$U$30,MATCH("对"&amp;LEFT($C$5,2)&amp;"输出",标准坦克设计!$B$23:$U$23,0)))*(VLOOKUP($B143,INDIRECT($B$5&amp;"生成成长"),3))*(VLOOKUP($B$5,标准坦克设计!$B$14:$K$20,9)/30))</f>
        <v>14.244143767057606</v>
      </c>
      <c r="CY143" s="172">
        <f ca="1">(VLOOKUP(CY$72,INDIRECT($C$5&amp;"生成成长"),2))/((VLOOKUP($B143,INDIRECT($B$5&amp;"生成成长"),4))/(VLOOKUP(CY$72,INDIRECT($C$5&amp;"生成成长"),5))*(VLOOKUP($B$5,标准坦克设计!$B$24:$U$30,MATCH("对"&amp;LEFT($C$5,2)&amp;"输出",标准坦克设计!$B$23:$U$23,0)))*(VLOOKUP($B143,INDIRECT($B$5&amp;"生成成长"),3))*(VLOOKUP($B$5,标准坦克设计!$B$14:$K$20,9)/30))</f>
        <v>15.175169374074766</v>
      </c>
      <c r="CZ143" s="172">
        <f ca="1">(VLOOKUP(CZ$72,INDIRECT($C$5&amp;"生成成长"),2))/((VLOOKUP($B143,INDIRECT($B$5&amp;"生成成长"),4))/(VLOOKUP(CZ$72,INDIRECT($C$5&amp;"生成成长"),5))*(VLOOKUP($B$5,标准坦克设计!$B$24:$U$30,MATCH("对"&amp;LEFT($C$5,2)&amp;"输出",标准坦克设计!$B$23:$U$23,0)))*(VLOOKUP($B143,INDIRECT($B$5&amp;"生成成长"),3))*(VLOOKUP($B$5,标准坦克设计!$B$14:$K$20,9)/30))</f>
        <v>16.135666295270891</v>
      </c>
      <c r="DA143" s="172">
        <f ca="1">(VLOOKUP(DA$72,INDIRECT($C$5&amp;"生成成长"),2))/((VLOOKUP($B143,INDIRECT($B$5&amp;"生成成长"),4))/(VLOOKUP(DA$72,INDIRECT($C$5&amp;"生成成长"),5))*(VLOOKUP($B$5,标准坦克设计!$B$24:$U$30,MATCH("对"&amp;LEFT($C$5,2)&amp;"输出",标准坦克设计!$B$23:$U$23,0)))*(VLOOKUP($B143,INDIRECT($B$5&amp;"生成成长"),3))*(VLOOKUP($B$5,标准坦克设计!$B$14:$K$20,9)/30))</f>
        <v>17.125634530645975</v>
      </c>
      <c r="DB143" s="172">
        <f ca="1">(VLOOKUP(DB$72,INDIRECT($C$5&amp;"生成成长"),2))/((VLOOKUP($B143,INDIRECT($B$5&amp;"生成成长"),4))/(VLOOKUP(DB$72,INDIRECT($C$5&amp;"生成成长"),5))*(VLOOKUP($B$5,标准坦克设计!$B$24:$U$30,MATCH("对"&amp;LEFT($C$5,2)&amp;"输出",标准坦克设计!$B$23:$U$23,0)))*(VLOOKUP($B143,INDIRECT($B$5&amp;"生成成长"),3))*(VLOOKUP($B$5,标准坦克设计!$B$14:$K$20,9)/30))</f>
        <v>18.145074080200018</v>
      </c>
      <c r="DC143" s="172">
        <f ca="1">(VLOOKUP(DC$72,INDIRECT($C$5&amp;"生成成长"),2))/((VLOOKUP($B143,INDIRECT($B$5&amp;"生成成长"),4))/(VLOOKUP(DC$72,INDIRECT($C$5&amp;"生成成长"),5))*(VLOOKUP($B$5,标准坦克设计!$B$24:$U$30,MATCH("对"&amp;LEFT($C$5,2)&amp;"输出",标准坦克设计!$B$23:$U$23,0)))*(VLOOKUP($B143,INDIRECT($B$5&amp;"生成成长"),3))*(VLOOKUP($B$5,标准坦克设计!$B$14:$K$20,9)/30))</f>
        <v>19.290801864479608</v>
      </c>
      <c r="DD143" s="172">
        <f ca="1">(VLOOKUP(DD$72,INDIRECT($C$5&amp;"生成成长"),2))/((VLOOKUP($B143,INDIRECT($B$5&amp;"生成成长"),4))/(VLOOKUP(DD$72,INDIRECT($C$5&amp;"生成成长"),5))*(VLOOKUP($B$5,标准坦克设计!$B$24:$U$30,MATCH("对"&amp;LEFT($C$5,2)&amp;"输出",标准坦克设计!$B$23:$U$23,0)))*(VLOOKUP($B143,INDIRECT($B$5&amp;"生成成长"),3))*(VLOOKUP($B$5,标准坦克设计!$B$14:$K$20,9)/30))</f>
        <v>20.471602948277962</v>
      </c>
      <c r="DE143" s="172">
        <f ca="1">(VLOOKUP(DE$72,INDIRECT($C$5&amp;"生成成长"),2))/((VLOOKUP($B143,INDIRECT($B$5&amp;"生成成长"),4))/(VLOOKUP(DE$72,INDIRECT($C$5&amp;"生成成长"),5))*(VLOOKUP($B$5,标准坦克设计!$B$24:$U$30,MATCH("对"&amp;LEFT($C$5,2)&amp;"输出",标准坦克设计!$B$23:$U$23,0)))*(VLOOKUP($B143,INDIRECT($B$5&amp;"生成成长"),3))*(VLOOKUP($B$5,标准坦克设计!$B$14:$K$20,9)/30))</f>
        <v>21.687477331595076</v>
      </c>
      <c r="DF143" s="172">
        <f ca="1">(VLOOKUP(DF$72,INDIRECT($C$5&amp;"生成成长"),2))/((VLOOKUP($B143,INDIRECT($B$5&amp;"生成成长"),4))/(VLOOKUP(DF$72,INDIRECT($C$5&amp;"生成成长"),5))*(VLOOKUP($B$5,标准坦克设计!$B$24:$U$30,MATCH("对"&amp;LEFT($C$5,2)&amp;"输出",标准坦克设计!$B$23:$U$23,0)))*(VLOOKUP($B143,INDIRECT($B$5&amp;"生成成长"),3))*(VLOOKUP($B$5,标准坦克设计!$B$14:$K$20,9)/30))</f>
        <v>22.938425014430958</v>
      </c>
      <c r="DG143" s="172">
        <f ca="1">(VLOOKUP(DG$72,INDIRECT($C$5&amp;"生成成长"),2))/((VLOOKUP($B143,INDIRECT($B$5&amp;"生成成长"),4))/(VLOOKUP(DG$72,INDIRECT($C$5&amp;"生成成长"),5))*(VLOOKUP($B$5,标准坦克设计!$B$24:$U$30,MATCH("对"&amp;LEFT($C$5,2)&amp;"输出",标准坦克设计!$B$23:$U$23,0)))*(VLOOKUP($B143,INDIRECT($B$5&amp;"生成成长"),3))*(VLOOKUP($B$5,标准坦克设计!$B$14:$K$20,9)/30))</f>
        <v>24.224445996785601</v>
      </c>
      <c r="DH143" s="172">
        <f ca="1">(VLOOKUP(DH$72,INDIRECT($C$5&amp;"生成成长"),2))/((VLOOKUP($B143,INDIRECT($B$5&amp;"生成成长"),4))/(VLOOKUP(DH$72,INDIRECT($C$5&amp;"生成成长"),5))*(VLOOKUP($B$5,标准坦克设计!$B$24:$U$30,MATCH("对"&amp;LEFT($C$5,2)&amp;"输出",标准坦克设计!$B$23:$U$23,0)))*(VLOOKUP($B143,INDIRECT($B$5&amp;"生成成长"),3))*(VLOOKUP($B$5,标准坦克设计!$B$14:$K$20,9)/30))</f>
        <v>25.545540278659008</v>
      </c>
      <c r="DI143" s="172">
        <f ca="1">(VLOOKUP(DI$72,INDIRECT($C$5&amp;"生成成长"),2))/((VLOOKUP($B143,INDIRECT($B$5&amp;"生成成长"),4))/(VLOOKUP(DI$72,INDIRECT($C$5&amp;"生成成长"),5))*(VLOOKUP($B$5,标准坦克设计!$B$24:$U$30,MATCH("对"&amp;LEFT($C$5,2)&amp;"输出",标准坦克设计!$B$23:$U$23,0)))*(VLOOKUP($B143,INDIRECT($B$5&amp;"生成成长"),3))*(VLOOKUP($B$5,标准坦克设计!$B$14:$K$20,9)/30))</f>
        <v>26.901707860051172</v>
      </c>
      <c r="DJ143" s="172">
        <f ca="1">(VLOOKUP(DJ$72,INDIRECT($C$5&amp;"生成成长"),2))/((VLOOKUP($B143,INDIRECT($B$5&amp;"生成成长"),4))/(VLOOKUP(DJ$72,INDIRECT($C$5&amp;"生成成长"),5))*(VLOOKUP($B$5,标准坦克设计!$B$24:$U$30,MATCH("对"&amp;LEFT($C$5,2)&amp;"输出",标准坦克设计!$B$23:$U$23,0)))*(VLOOKUP($B143,INDIRECT($B$5&amp;"生成成长"),3))*(VLOOKUP($B$5,标准坦克设计!$B$14:$K$20,9)/30))</f>
        <v>2.7036886201946406</v>
      </c>
      <c r="DK143" s="172">
        <f ca="1">(VLOOKUP(DK$72,INDIRECT($C$5&amp;"生成成长"),2))/((VLOOKUP($B143,INDIRECT($B$5&amp;"生成成长"),4))/(VLOOKUP(DK$72,INDIRECT($C$5&amp;"生成成长"),5))*(VLOOKUP($B$5,标准坦克设计!$B$24:$U$30,MATCH("对"&amp;LEFT($C$5,2)&amp;"输出",标准坦克设计!$B$23:$U$23,0)))*(VLOOKUP($B143,INDIRECT($B$5&amp;"生成成长"),3))*(VLOOKUP($B$5,标准坦克设计!$B$14:$K$20,9)/30))</f>
        <v>3.0401730874527728</v>
      </c>
      <c r="DL143" s="172">
        <f ca="1">(VLOOKUP(DL$72,INDIRECT($C$5&amp;"生成成长"),2))/((VLOOKUP($B143,INDIRECT($B$5&amp;"生成成长"),4))/(VLOOKUP(DL$72,INDIRECT($C$5&amp;"生成成长"),5))*(VLOOKUP($B$5,标准坦克设计!$B$24:$U$30,MATCH("对"&amp;LEFT($C$5,2)&amp;"输出",标准坦克设计!$B$23:$U$23,0)))*(VLOOKUP($B143,INDIRECT($B$5&amp;"生成成长"),3))*(VLOOKUP($B$5,标准坦克设计!$B$14:$K$20,9)/30))</f>
        <v>3.3963862856902085</v>
      </c>
      <c r="DM143" s="172">
        <f ca="1">(VLOOKUP(DM$72,INDIRECT($C$5&amp;"生成成长"),2))/((VLOOKUP($B143,INDIRECT($B$5&amp;"生成成长"),4))/(VLOOKUP(DM$72,INDIRECT($C$5&amp;"生成成长"),5))*(VLOOKUP($B$5,标准坦克设计!$B$24:$U$30,MATCH("对"&amp;LEFT($C$5,2)&amp;"输出",标准坦克设计!$B$23:$U$23,0)))*(VLOOKUP($B143,INDIRECT($B$5&amp;"生成成长"),3))*(VLOOKUP($B$5,标准坦克设计!$B$14:$K$20,9)/30))</f>
        <v>3.7723282149069486</v>
      </c>
      <c r="DN143" s="172">
        <f ca="1">(VLOOKUP(DN$72,INDIRECT($C$5&amp;"生成成长"),2))/((VLOOKUP($B143,INDIRECT($B$5&amp;"生成成长"),4))/(VLOOKUP(DN$72,INDIRECT($C$5&amp;"生成成长"),5))*(VLOOKUP($B$5,标准坦克设计!$B$24:$U$30,MATCH("对"&amp;LEFT($C$5,2)&amp;"输出",标准坦克设计!$B$23:$U$23,0)))*(VLOOKUP($B143,INDIRECT($B$5&amp;"生成成长"),3))*(VLOOKUP($B$5,标准坦克设计!$B$14:$K$20,9)/30))</f>
        <v>4.1679988751029935</v>
      </c>
      <c r="DO143" s="172">
        <f ca="1">(VLOOKUP(DO$72,INDIRECT($C$5&amp;"生成成长"),2))/((VLOOKUP($B143,INDIRECT($B$5&amp;"生成成长"),4))/(VLOOKUP(DO$72,INDIRECT($C$5&amp;"生成成长"),5))*(VLOOKUP($B$5,标准坦克设计!$B$24:$U$30,MATCH("对"&amp;LEFT($C$5,2)&amp;"输出",标准坦克设计!$B$23:$U$23,0)))*(VLOOKUP($B143,INDIRECT($B$5&amp;"生成成长"),3))*(VLOOKUP($B$5,标准坦克设计!$B$14:$K$20,9)/30))</f>
        <v>4.5833982662783423</v>
      </c>
      <c r="DP143" s="172">
        <f ca="1">(VLOOKUP(DP$72,INDIRECT($C$5&amp;"生成成长"),2))/((VLOOKUP($B143,INDIRECT($B$5&amp;"生成成长"),4))/(VLOOKUP(DP$72,INDIRECT($C$5&amp;"生成成长"),5))*(VLOOKUP($B$5,标准坦克设计!$B$24:$U$30,MATCH("对"&amp;LEFT($C$5,2)&amp;"输出",标准坦克设计!$B$23:$U$23,0)))*(VLOOKUP($B143,INDIRECT($B$5&amp;"生成成长"),3))*(VLOOKUP($B$5,标准坦克设计!$B$14:$K$20,9)/30))</f>
        <v>5.0185263884329956</v>
      </c>
      <c r="DQ143" s="172">
        <f ca="1">(VLOOKUP(DQ$72,INDIRECT($C$5&amp;"生成成长"),2))/((VLOOKUP($B143,INDIRECT($B$5&amp;"生成成长"),4))/(VLOOKUP(DQ$72,INDIRECT($C$5&amp;"生成成长"),5))*(VLOOKUP($B$5,标准坦克设计!$B$24:$U$30,MATCH("对"&amp;LEFT($C$5,2)&amp;"输出",标准坦克设计!$B$23:$U$23,0)))*(VLOOKUP($B143,INDIRECT($B$5&amp;"生成成长"),3))*(VLOOKUP($B$5,标准坦克设计!$B$14:$K$20,9)/30))</f>
        <v>5.4733832415669523</v>
      </c>
      <c r="DR143" s="172">
        <f ca="1">(VLOOKUP(DR$72,INDIRECT($C$5&amp;"生成成长"),2))/((VLOOKUP($B143,INDIRECT($B$5&amp;"生成成长"),4))/(VLOOKUP(DR$72,INDIRECT($C$5&amp;"生成成长"),5))*(VLOOKUP($B$5,标准坦克设计!$B$24:$U$30,MATCH("对"&amp;LEFT($C$5,2)&amp;"输出",标准坦克设计!$B$23:$U$23,0)))*(VLOOKUP($B143,INDIRECT($B$5&amp;"生成成长"),3))*(VLOOKUP($B$5,标准坦克设计!$B$14:$K$20,9)/30))</f>
        <v>5.9479688256802126</v>
      </c>
      <c r="DS143" s="172">
        <f ca="1">(VLOOKUP(DS$72,INDIRECT($C$5&amp;"生成成长"),2))/((VLOOKUP($B143,INDIRECT($B$5&amp;"生成成长"),4))/(VLOOKUP(DS$72,INDIRECT($C$5&amp;"生成成长"),5))*(VLOOKUP($B$5,标准坦克设计!$B$24:$U$30,MATCH("对"&amp;LEFT($C$5,2)&amp;"输出",标准坦克设计!$B$23:$U$23,0)))*(VLOOKUP($B143,INDIRECT($B$5&amp;"生成成长"),3))*(VLOOKUP($B$5,标准坦克设计!$B$14:$K$20,9)/30))</f>
        <v>6.4422831407727781</v>
      </c>
      <c r="DT143" s="172">
        <f ca="1">(VLOOKUP(DT$72,INDIRECT($C$5&amp;"生成成长"),2))/((VLOOKUP($B143,INDIRECT($B$5&amp;"生成成长"),4))/(VLOOKUP(DT$72,INDIRECT($C$5&amp;"生成成长"),5))*(VLOOKUP($B$5,标准坦克设计!$B$24:$U$30,MATCH("对"&amp;LEFT($C$5,2)&amp;"输出",标准坦克设计!$B$23:$U$23,0)))*(VLOOKUP($B143,INDIRECT($B$5&amp;"生成成长"),3))*(VLOOKUP($B$5,标准坦克设计!$B$14:$K$20,9)/30))</f>
        <v>7.073237185240524</v>
      </c>
      <c r="DU143" s="172">
        <f ca="1">(VLOOKUP(DU$72,INDIRECT($C$5&amp;"生成成长"),2))/((VLOOKUP($B143,INDIRECT($B$5&amp;"生成成长"),4))/(VLOOKUP(DU$72,INDIRECT($C$5&amp;"生成成长"),5))*(VLOOKUP($B$5,标准坦克设计!$B$24:$U$30,MATCH("对"&amp;LEFT($C$5,2)&amp;"输出",标准坦克设计!$B$23:$U$23,0)))*(VLOOKUP($B143,INDIRECT($B$5&amp;"生成成长"),3))*(VLOOKUP($B$5,标准坦克设计!$B$14:$K$20,9)/30))</f>
        <v>7.7336625438872311</v>
      </c>
      <c r="DV143" s="172">
        <f ca="1">(VLOOKUP(DV$72,INDIRECT($C$5&amp;"生成成长"),2))/((VLOOKUP($B143,INDIRECT($B$5&amp;"生成成长"),4))/(VLOOKUP(DV$72,INDIRECT($C$5&amp;"生成成长"),5))*(VLOOKUP($B$5,标准坦克设计!$B$24:$U$30,MATCH("对"&amp;LEFT($C$5,2)&amp;"输出",标准坦克设计!$B$23:$U$23,0)))*(VLOOKUP($B143,INDIRECT($B$5&amp;"生成成长"),3))*(VLOOKUP($B$5,标准坦克设计!$B$14:$K$20,9)/30))</f>
        <v>8.4235592167128992</v>
      </c>
      <c r="DW143" s="172">
        <f ca="1">(VLOOKUP(DW$72,INDIRECT($C$5&amp;"生成成长"),2))/((VLOOKUP($B143,INDIRECT($B$5&amp;"生成成长"),4))/(VLOOKUP(DW$72,INDIRECT($C$5&amp;"生成成长"),5))*(VLOOKUP($B$5,标准坦克设计!$B$24:$U$30,MATCH("对"&amp;LEFT($C$5,2)&amp;"输出",标准坦克设计!$B$23:$U$23,0)))*(VLOOKUP($B143,INDIRECT($B$5&amp;"生成成长"),3))*(VLOOKUP($B$5,标准坦克设计!$B$14:$K$20,9)/30))</f>
        <v>9.1429272037175267</v>
      </c>
      <c r="DX143" s="172">
        <f ca="1">(VLOOKUP(DX$72,INDIRECT($C$5&amp;"生成成长"),2))/((VLOOKUP($B143,INDIRECT($B$5&amp;"生成成长"),4))/(VLOOKUP(DX$72,INDIRECT($C$5&amp;"生成成长"),5))*(VLOOKUP($B$5,标准坦克设计!$B$24:$U$30,MATCH("对"&amp;LEFT($C$5,2)&amp;"输出",标准坦克设计!$B$23:$U$23,0)))*(VLOOKUP($B143,INDIRECT($B$5&amp;"生成成长"),3))*(VLOOKUP($B$5,标准坦克设计!$B$14:$K$20,9)/30))</f>
        <v>9.8917665049011134</v>
      </c>
      <c r="DY143" s="172">
        <f ca="1">(VLOOKUP(DY$72,INDIRECT($C$5&amp;"生成成长"),2))/((VLOOKUP($B143,INDIRECT($B$5&amp;"生成成长"),4))/(VLOOKUP(DY$72,INDIRECT($C$5&amp;"生成成长"),5))*(VLOOKUP($B$5,标准坦克设计!$B$24:$U$30,MATCH("对"&amp;LEFT($C$5,2)&amp;"输出",标准坦克设计!$B$23:$U$23,0)))*(VLOOKUP($B143,INDIRECT($B$5&amp;"生成成长"),3))*(VLOOKUP($B$5,标准坦克设计!$B$14:$K$20,9)/30))</f>
        <v>4.4427397213333037</v>
      </c>
      <c r="DZ143" s="172">
        <f ca="1">(VLOOKUP(DZ$72,INDIRECT($C$5&amp;"生成成长"),2))/((VLOOKUP($B143,INDIRECT($B$5&amp;"生成成长"),4))/(VLOOKUP(DZ$72,INDIRECT($C$5&amp;"生成成长"),5))*(VLOOKUP($B$5,标准坦克设计!$B$24:$U$30,MATCH("对"&amp;LEFT($C$5,2)&amp;"输出",标准坦克设计!$B$23:$U$23,0)))*(VLOOKUP($B143,INDIRECT($B$5&amp;"生成成长"),3))*(VLOOKUP($B$5,标准坦克设计!$B$14:$K$20,9)/30))</f>
        <v>4.9201262981164655</v>
      </c>
      <c r="EA143" s="172">
        <f ca="1">(VLOOKUP(EA$72,INDIRECT($C$5&amp;"生成成长"),2))/((VLOOKUP($B143,INDIRECT($B$5&amp;"生成成长"),4))/(VLOOKUP(EA$72,INDIRECT($C$5&amp;"生成成长"),5))*(VLOOKUP($B$5,标准坦克设计!$B$24:$U$30,MATCH("对"&amp;LEFT($C$5,2)&amp;"输出",标准坦克设计!$B$23:$U$23,0)))*(VLOOKUP($B143,INDIRECT($B$5&amp;"生成成长"),3))*(VLOOKUP($B$5,标准坦克设计!$B$14:$K$20,9)/30))</f>
        <v>5.421869332898769</v>
      </c>
      <c r="EB143" s="172">
        <f ca="1">(VLOOKUP(EB$72,INDIRECT($C$5&amp;"生成成长"),2))/((VLOOKUP($B143,INDIRECT($B$5&amp;"生成成长"),4))/(VLOOKUP(EB$72,INDIRECT($C$5&amp;"生成成长"),5))*(VLOOKUP($B$5,标准坦克设计!$B$24:$U$30,MATCH("对"&amp;LEFT($C$5,2)&amp;"输出",标准坦克设计!$B$23:$U$23,0)))*(VLOOKUP($B143,INDIRECT($B$5&amp;"生成成长"),3))*(VLOOKUP($B$5,标准坦克设计!$B$14:$K$20,9)/30))</f>
        <v>5.9479688256802126</v>
      </c>
      <c r="EC143" s="172">
        <f ca="1">(VLOOKUP(EC$72,INDIRECT($C$5&amp;"生成成长"),2))/((VLOOKUP($B143,INDIRECT($B$5&amp;"生成成长"),4))/(VLOOKUP(EC$72,INDIRECT($C$5&amp;"生成成长"),5))*(VLOOKUP($B$5,标准坦克设计!$B$24:$U$30,MATCH("对"&amp;LEFT($C$5,2)&amp;"输出",标准坦克设计!$B$23:$U$23,0)))*(VLOOKUP($B143,INDIRECT($B$5&amp;"生成成长"),3))*(VLOOKUP($B$5,标准坦克设计!$B$14:$K$20,9)/30))</f>
        <v>6.4984247764607996</v>
      </c>
      <c r="ED143" s="172">
        <f ca="1">(VLOOKUP(ED$72,INDIRECT($C$5&amp;"生成成长"),2))/((VLOOKUP($B143,INDIRECT($B$5&amp;"生成成长"),4))/(VLOOKUP(ED$72,INDIRECT($C$5&amp;"生成成长"),5))*(VLOOKUP($B$5,标准坦克设计!$B$24:$U$30,MATCH("对"&amp;LEFT($C$5,2)&amp;"输出",标准坦克设计!$B$23:$U$23,0)))*(VLOOKUP($B143,INDIRECT($B$5&amp;"生成成长"),3))*(VLOOKUP($B$5,标准坦克设计!$B$14:$K$20,9)/30))</f>
        <v>7.073237185240524</v>
      </c>
      <c r="EE143" s="172">
        <f ca="1">(VLOOKUP(EE$72,INDIRECT($C$5&amp;"生成成长"),2))/((VLOOKUP($B143,INDIRECT($B$5&amp;"生成成长"),4))/(VLOOKUP(EE$72,INDIRECT($C$5&amp;"生成成长"),5))*(VLOOKUP($B$5,标准坦克设计!$B$24:$U$30,MATCH("对"&amp;LEFT($C$5,2)&amp;"输出",标准坦克设计!$B$23:$U$23,0)))*(VLOOKUP($B143,INDIRECT($B$5&amp;"生成成长"),3))*(VLOOKUP($B$5,标准坦克设计!$B$14:$K$20,9)/30))</f>
        <v>7.672406052019392</v>
      </c>
      <c r="EF143" s="172">
        <f ca="1">(VLOOKUP(EF$72,INDIRECT($C$5&amp;"生成成长"),2))/((VLOOKUP($B143,INDIRECT($B$5&amp;"生成成长"),4))/(VLOOKUP(EF$72,INDIRECT($C$5&amp;"生成成长"),5))*(VLOOKUP($B$5,标准坦克设计!$B$24:$U$30,MATCH("对"&amp;LEFT($C$5,2)&amp;"输出",标准坦克设计!$B$23:$U$23,0)))*(VLOOKUP($B143,INDIRECT($B$5&amp;"生成成长"),3))*(VLOOKUP($B$5,标准坦克设计!$B$14:$K$20,9)/30))</f>
        <v>8.2959313767973999</v>
      </c>
      <c r="EG143" s="172">
        <f ca="1">(VLOOKUP(EG$72,INDIRECT($C$5&amp;"生成成长"),2))/((VLOOKUP($B143,INDIRECT($B$5&amp;"生成成长"),4))/(VLOOKUP(EG$72,INDIRECT($C$5&amp;"生成成长"),5))*(VLOOKUP($B$5,标准坦克设计!$B$24:$U$30,MATCH("对"&amp;LEFT($C$5,2)&amp;"输出",标准坦克设计!$B$23:$U$23,0)))*(VLOOKUP($B143,INDIRECT($B$5&amp;"生成成长"),3))*(VLOOKUP($B$5,标准坦克设计!$B$14:$K$20,9)/30))</f>
        <v>8.9438131595745496</v>
      </c>
      <c r="EH143" s="172">
        <f ca="1">(VLOOKUP(EH$72,INDIRECT($C$5&amp;"生成成长"),2))/((VLOOKUP($B143,INDIRECT($B$5&amp;"生成成长"),4))/(VLOOKUP(EH$72,INDIRECT($C$5&amp;"生成成长"),5))*(VLOOKUP($B$5,标准坦克设计!$B$24:$U$30,MATCH("对"&amp;LEFT($C$5,2)&amp;"输出",标准坦克设计!$B$23:$U$23,0)))*(VLOOKUP($B143,INDIRECT($B$5&amp;"生成成长"),3))*(VLOOKUP($B$5,标准坦克设计!$B$14:$K$20,9)/30))</f>
        <v>9.6160514003508375</v>
      </c>
      <c r="EI143" s="172">
        <f ca="1">(VLOOKUP(EI$72,INDIRECT($C$5&amp;"生成成长"),2))/((VLOOKUP($B143,INDIRECT($B$5&amp;"生成成长"),4))/(VLOOKUP(EI$72,INDIRECT($C$5&amp;"生成成长"),5))*(VLOOKUP($B$5,标准坦克设计!$B$24:$U$30,MATCH("对"&amp;LEFT($C$5,2)&amp;"输出",标准坦克设计!$B$23:$U$23,0)))*(VLOOKUP($B143,INDIRECT($B$5&amp;"生成成长"),3))*(VLOOKUP($B$5,标准坦克设计!$B$14:$K$20,9)/30))</f>
        <v>10.312646099126271</v>
      </c>
      <c r="EJ143" s="172">
        <f ca="1">(VLOOKUP(EJ$72,INDIRECT($C$5&amp;"生成成长"),2))/((VLOOKUP($B143,INDIRECT($B$5&amp;"生成成长"),4))/(VLOOKUP(EJ$72,INDIRECT($C$5&amp;"生成成长"),5))*(VLOOKUP($B$5,标准坦克设计!$B$24:$U$30,MATCH("对"&amp;LEFT($C$5,2)&amp;"输出",标准坦克设计!$B$23:$U$23,0)))*(VLOOKUP($B143,INDIRECT($B$5&amp;"生成成长"),3))*(VLOOKUP($B$5,标准坦克设计!$B$14:$K$20,9)/30))</f>
        <v>11.033597255900842</v>
      </c>
      <c r="EK143" s="172">
        <f ca="1">(VLOOKUP(EK$72,INDIRECT($C$5&amp;"生成成长"),2))/((VLOOKUP($B143,INDIRECT($B$5&amp;"生成成长"),4))/(VLOOKUP(EK$72,INDIRECT($C$5&amp;"生成成长"),5))*(VLOOKUP($B$5,标准坦克设计!$B$24:$U$30,MATCH("对"&amp;LEFT($C$5,2)&amp;"输出",标准坦克设计!$B$23:$U$23,0)))*(VLOOKUP($B143,INDIRECT($B$5&amp;"生成成长"),3))*(VLOOKUP($B$5,标准坦克设计!$B$14:$K$20,9)/30))</f>
        <v>11.930889168589195</v>
      </c>
      <c r="EL143" s="172">
        <f ca="1">(VLOOKUP(EL$72,INDIRECT($C$5&amp;"生成成长"),2))/((VLOOKUP($B143,INDIRECT($B$5&amp;"生成成长"),4))/(VLOOKUP(EL$72,INDIRECT($C$5&amp;"生成成长"),5))*(VLOOKUP($B$5,标准坦克设计!$B$24:$U$30,MATCH("对"&amp;LEFT($C$5,2)&amp;"输出",标准坦克设计!$B$23:$U$23,0)))*(VLOOKUP($B143,INDIRECT($B$5&amp;"生成成长"),3))*(VLOOKUP($B$5,标准坦克设计!$B$14:$K$20,9)/30))</f>
        <v>12.863254380796306</v>
      </c>
      <c r="EM143" s="172">
        <f ca="1">(VLOOKUP(EM$72,INDIRECT($C$5&amp;"生成成长"),2))/((VLOOKUP($B143,INDIRECT($B$5&amp;"生成成长"),4))/(VLOOKUP(EM$72,INDIRECT($C$5&amp;"生成成长"),5))*(VLOOKUP($B$5,标准坦克设计!$B$24:$U$30,MATCH("对"&amp;LEFT($C$5,2)&amp;"输出",标准坦克设计!$B$23:$U$23,0)))*(VLOOKUP($B143,INDIRECT($B$5&amp;"生成成长"),3))*(VLOOKUP($B$5,标准坦克设计!$B$14:$K$20,9)/30))</f>
        <v>13.830692892522185</v>
      </c>
      <c r="EN143" s="172">
        <f ca="1">(VLOOKUP(EN$72,INDIRECT($C$5&amp;"生成成长"),2))/((VLOOKUP($B143,INDIRECT($B$5&amp;"生成成长"),4))/(VLOOKUP(EN$72,INDIRECT($C$5&amp;"生成成长"),5))*(VLOOKUP($B$5,标准坦克设计!$B$24:$U$30,MATCH("对"&amp;LEFT($C$5,2)&amp;"输出",标准坦克设计!$B$23:$U$23,0)))*(VLOOKUP($B143,INDIRECT($B$5&amp;"生成成长"),3))*(VLOOKUP($B$5,标准坦克设计!$B$14:$K$20,9)/30))</f>
        <v>14.833204703766828</v>
      </c>
      <c r="EO143" s="172">
        <f ca="1">(VLOOKUP(EO$72,INDIRECT($C$5&amp;"生成成长"),2))/((VLOOKUP($B143,INDIRECT($B$5&amp;"生成成长"),4))/(VLOOKUP(EO$72,INDIRECT($C$5&amp;"生成成长"),5))*(VLOOKUP($B$5,标准坦克设计!$B$24:$U$30,MATCH("对"&amp;LEFT($C$5,2)&amp;"输出",标准坦克设计!$B$23:$U$23,0)))*(VLOOKUP($B143,INDIRECT($B$5&amp;"生成成长"),3))*(VLOOKUP($B$5,标准坦克设计!$B$14:$K$20,9)/30))</f>
        <v>15.87078981453023</v>
      </c>
      <c r="EP143" s="172">
        <f ca="1">(VLOOKUP(EP$72,INDIRECT($C$5&amp;"生成成长"),2))/((VLOOKUP($B143,INDIRECT($B$5&amp;"生成成长"),4))/(VLOOKUP(EP$72,INDIRECT($C$5&amp;"生成成长"),5))*(VLOOKUP($B$5,标准坦克设计!$B$24:$U$30,MATCH("对"&amp;LEFT($C$5,2)&amp;"输出",标准坦克设计!$B$23:$U$23,0)))*(VLOOKUP($B143,INDIRECT($B$5&amp;"生成成长"),3))*(VLOOKUP($B$5,标准坦克设计!$B$14:$K$20,9)/30))</f>
        <v>16.9434482248124</v>
      </c>
      <c r="EQ143" s="172">
        <f ca="1">(VLOOKUP(EQ$72,INDIRECT($C$5&amp;"生成成长"),2))/((VLOOKUP($B143,INDIRECT($B$5&amp;"生成成长"),4))/(VLOOKUP(EQ$72,INDIRECT($C$5&amp;"生成成长"),5))*(VLOOKUP($B$5,标准坦克设计!$B$24:$U$30,MATCH("对"&amp;LEFT($C$5,2)&amp;"输出",标准坦克设计!$B$23:$U$23,0)))*(VLOOKUP($B143,INDIRECT($B$5&amp;"生成成长"),3))*(VLOOKUP($B$5,标准坦克设计!$B$14:$K$20,9)/30))</f>
        <v>7.4900979638958223</v>
      </c>
      <c r="ER143" s="172">
        <f ca="1">(VLOOKUP(ER$72,INDIRECT($C$5&amp;"生成成长"),2))/((VLOOKUP($B143,INDIRECT($B$5&amp;"生成成长"),4))/(VLOOKUP(ER$72,INDIRECT($C$5&amp;"生成成长"),5))*(VLOOKUP($B$5,标准坦克设计!$B$24:$U$30,MATCH("对"&amp;LEFT($C$5,2)&amp;"输出",标准坦克设计!$B$23:$U$23,0)))*(VLOOKUP($B143,INDIRECT($B$5&amp;"生成成长"),3))*(VLOOKUP($B$5,标准坦克设计!$B$14:$K$20,9)/30))</f>
        <v>8.169277795201868</v>
      </c>
      <c r="ES143" s="172">
        <f ca="1">(VLOOKUP(ES$72,INDIRECT($C$5&amp;"生成成长"),2))/((VLOOKUP($B143,INDIRECT($B$5&amp;"生成成长"),4))/(VLOOKUP(ES$72,INDIRECT($C$5&amp;"生成成长"),5))*(VLOOKUP($B$5,标准坦克设计!$B$24:$U$30,MATCH("对"&amp;LEFT($C$5,2)&amp;"输出",标准坦克设计!$B$23:$U$23,0)))*(VLOOKUP($B143,INDIRECT($B$5&amp;"生成成长"),3))*(VLOOKUP($B$5,标准坦克设计!$B$14:$K$20,9)/30))</f>
        <v>8.8779289406868713</v>
      </c>
      <c r="ET143" s="172">
        <f ca="1">(VLOOKUP(ET$72,INDIRECT($C$5&amp;"生成成长"),2))/((VLOOKUP($B143,INDIRECT($B$5&amp;"生成成长"),4))/(VLOOKUP(ET$72,INDIRECT($C$5&amp;"生成成长"),5))*(VLOOKUP($B$5,标准坦克设计!$B$24:$U$30,MATCH("对"&amp;LEFT($C$5,2)&amp;"输出",标准坦克设计!$B$23:$U$23,0)))*(VLOOKUP($B143,INDIRECT($B$5&amp;"生成成长"),3))*(VLOOKUP($B$5,标准坦克设计!$B$14:$K$20,9)/30))</f>
        <v>9.6160514003508375</v>
      </c>
      <c r="EU143" s="172">
        <f ca="1">(VLOOKUP(EU$72,INDIRECT($C$5&amp;"生成成长"),2))/((VLOOKUP($B143,INDIRECT($B$5&amp;"生成成长"),4))/(VLOOKUP(EU$72,INDIRECT($C$5&amp;"生成成长"),5))*(VLOOKUP($B$5,标准坦克设计!$B$24:$U$30,MATCH("对"&amp;LEFT($C$5,2)&amp;"输出",标准坦克设计!$B$23:$U$23,0)))*(VLOOKUP($B143,INDIRECT($B$5&amp;"生成成长"),3))*(VLOOKUP($B$5,标准坦克设计!$B$14:$K$20,9)/30))</f>
        <v>10.383645174193767</v>
      </c>
      <c r="EV143" s="172">
        <f ca="1">(VLOOKUP(EV$72,INDIRECT($C$5&amp;"生成成长"),2))/((VLOOKUP($B143,INDIRECT($B$5&amp;"生成成长"),4))/(VLOOKUP(EV$72,INDIRECT($C$5&amp;"生成成长"),5))*(VLOOKUP($B$5,标准坦克设计!$B$24:$U$30,MATCH("对"&amp;LEFT($C$5,2)&amp;"输出",标准坦克设计!$B$23:$U$23,0)))*(VLOOKUP($B143,INDIRECT($B$5&amp;"生成成长"),3))*(VLOOKUP($B$5,标准坦克设计!$B$14:$K$20,9)/30))</f>
        <v>11.180710262215655</v>
      </c>
      <c r="EW143" s="172">
        <f ca="1">(VLOOKUP(EW$72,INDIRECT($C$5&amp;"生成成长"),2))/((VLOOKUP($B143,INDIRECT($B$5&amp;"生成成长"),4))/(VLOOKUP(EW$72,INDIRECT($C$5&amp;"生成成长"),5))*(VLOOKUP($B$5,标准坦克设计!$B$24:$U$30,MATCH("对"&amp;LEFT($C$5,2)&amp;"输出",标准坦克设计!$B$23:$U$23,0)))*(VLOOKUP($B143,INDIRECT($B$5&amp;"生成成长"),3))*(VLOOKUP($B$5,标准坦克设计!$B$14:$K$20,9)/30))</f>
        <v>12.007246664416501</v>
      </c>
      <c r="EX143" s="172">
        <f ca="1">(VLOOKUP(EX$72,INDIRECT($C$5&amp;"生成成长"),2))/((VLOOKUP($B143,INDIRECT($B$5&amp;"生成成长"),4))/(VLOOKUP(EX$72,INDIRECT($C$5&amp;"生成成长"),5))*(VLOOKUP($B$5,标准坦克设计!$B$24:$U$30,MATCH("对"&amp;LEFT($C$5,2)&amp;"输出",标准坦克设计!$B$23:$U$23,0)))*(VLOOKUP($B143,INDIRECT($B$5&amp;"生成成长"),3))*(VLOOKUP($B$5,标准坦克设计!$B$14:$K$20,9)/30))</f>
        <v>12.863254380796306</v>
      </c>
      <c r="EY143" s="172">
        <f ca="1">(VLOOKUP(EY$72,INDIRECT($C$5&amp;"生成成长"),2))/((VLOOKUP($B143,INDIRECT($B$5&amp;"生成成长"),4))/(VLOOKUP(EY$72,INDIRECT($C$5&amp;"生成成长"),5))*(VLOOKUP($B$5,标准坦克设计!$B$24:$U$30,MATCH("对"&amp;LEFT($C$5,2)&amp;"输出",标准坦克设计!$B$23:$U$23,0)))*(VLOOKUP($B143,INDIRECT($B$5&amp;"生成成长"),3))*(VLOOKUP($B$5,标准坦克设计!$B$14:$K$20,9)/30))</f>
        <v>13.748733411355078</v>
      </c>
      <c r="EZ143" s="172">
        <f ca="1">(VLOOKUP(EZ$72,INDIRECT($C$5&amp;"生成成长"),2))/((VLOOKUP($B143,INDIRECT($B$5&amp;"生成成长"),4))/(VLOOKUP(EZ$72,INDIRECT($C$5&amp;"生成成长"),5))*(VLOOKUP($B$5,标准坦克设计!$B$24:$U$30,MATCH("对"&amp;LEFT($C$5,2)&amp;"输出",标准坦克设计!$B$23:$U$23,0)))*(VLOOKUP($B143,INDIRECT($B$5&amp;"生成成长"),3))*(VLOOKUP($B$5,标准坦克设计!$B$14:$K$20,9)/30))</f>
        <v>14.663683756092809</v>
      </c>
      <c r="FA143" s="172">
        <f ca="1">(VLOOKUP(FA$72,INDIRECT($C$5&amp;"生成成长"),2))/((VLOOKUP($B143,INDIRECT($B$5&amp;"生成成长"),4))/(VLOOKUP(FA$72,INDIRECT($C$5&amp;"生成成长"),5))*(VLOOKUP($B$5,标准坦克设计!$B$24:$U$30,MATCH("对"&amp;LEFT($C$5,2)&amp;"输出",标准坦克设计!$B$23:$U$23,0)))*(VLOOKUP($B143,INDIRECT($B$5&amp;"生成成长"),3))*(VLOOKUP($B$5,标准坦克设计!$B$14:$K$20,9)/30))</f>
        <v>15.608105415009501</v>
      </c>
      <c r="FB143" s="172">
        <f ca="1">(VLOOKUP(FB$72,INDIRECT($C$5&amp;"生成成长"),2))/((VLOOKUP($B143,INDIRECT($B$5&amp;"生成成长"),4))/(VLOOKUP(FB$72,INDIRECT($C$5&amp;"生成成长"),5))*(VLOOKUP($B$5,标准坦克设计!$B$24:$U$30,MATCH("对"&amp;LEFT($C$5,2)&amp;"输出",标准坦克设计!$B$23:$U$23,0)))*(VLOOKUP($B143,INDIRECT($B$5&amp;"生成成长"),3))*(VLOOKUP($B$5,标准坦克设计!$B$14:$K$20,9)/30))</f>
        <v>16.581998388105148</v>
      </c>
      <c r="FC143" s="172">
        <f ca="1">(VLOOKUP(FC$72,INDIRECT($C$5&amp;"生成成长"),2))/((VLOOKUP($B143,INDIRECT($B$5&amp;"生成成长"),4))/(VLOOKUP(FC$72,INDIRECT($C$5&amp;"生成成长"),5))*(VLOOKUP($B$5,标准坦克设计!$B$24:$U$30,MATCH("对"&amp;LEFT($C$5,2)&amp;"输出",标准坦克设计!$B$23:$U$23,0)))*(VLOOKUP($B143,INDIRECT($B$5&amp;"生成成长"),3))*(VLOOKUP($B$5,标准坦克设计!$B$14:$K$20,9)/30))</f>
        <v>17.585362675379759</v>
      </c>
      <c r="FD143" s="172">
        <f ca="1">(VLOOKUP(FD$72,INDIRECT($C$5&amp;"生成成长"),2))/((VLOOKUP($B143,INDIRECT($B$5&amp;"生成成长"),4))/(VLOOKUP(FD$72,INDIRECT($C$5&amp;"生成成长"),5))*(VLOOKUP($B$5,标准坦克设计!$B$24:$U$30,MATCH("对"&amp;LEFT($C$5,2)&amp;"输出",标准坦克设计!$B$23:$U$23,0)))*(VLOOKUP($B143,INDIRECT($B$5&amp;"生成成长"),3))*(VLOOKUP($B$5,标准坦克设计!$B$14:$K$20,9)/30))</f>
        <v>18.618198276833329</v>
      </c>
      <c r="FE143" s="172">
        <f ca="1">(VLOOKUP(FE$72,INDIRECT($C$5&amp;"生成成长"),2))/((VLOOKUP($B143,INDIRECT($B$5&amp;"生成成长"),4))/(VLOOKUP(FE$72,INDIRECT($C$5&amp;"生成成长"),5))*(VLOOKUP($B$5,标准坦克设计!$B$24:$U$30,MATCH("对"&amp;LEFT($C$5,2)&amp;"输出",标准坦克设计!$B$23:$U$23,0)))*(VLOOKUP($B143,INDIRECT($B$5&amp;"生成成长"),3))*(VLOOKUP($B$5,标准坦克设计!$B$14:$K$20,9)/30))</f>
        <v>19.876818243938938</v>
      </c>
      <c r="FF143" s="172">
        <f ca="1">(VLOOKUP(FF$72,INDIRECT($C$5&amp;"生成成长"),2))/((VLOOKUP($B143,INDIRECT($B$5&amp;"生成成长"),4))/(VLOOKUP(FF$72,INDIRECT($C$5&amp;"生成成长"),5))*(VLOOKUP($B$5,标准坦克设计!$B$24:$U$30,MATCH("对"&amp;LEFT($C$5,2)&amp;"输出",标准坦克设计!$B$23:$U$23,0)))*(VLOOKUP($B143,INDIRECT($B$5&amp;"生成成长"),3))*(VLOOKUP($B$5,标准坦克设计!$B$14:$K$20,9)/30))</f>
        <v>21.176600625063095</v>
      </c>
      <c r="FG143" s="172">
        <f ca="1">(VLOOKUP(FG$72,INDIRECT($C$5&amp;"生成成长"),2))/((VLOOKUP($B143,INDIRECT($B$5&amp;"生成成长"),4))/(VLOOKUP(FG$72,INDIRECT($C$5&amp;"生成成长"),5))*(VLOOKUP($B$5,标准坦克设计!$B$24:$U$30,MATCH("对"&amp;LEFT($C$5,2)&amp;"输出",标准坦克设计!$B$23:$U$23,0)))*(VLOOKUP($B143,INDIRECT($B$5&amp;"生成成长"),3))*(VLOOKUP($B$5,标准坦克设计!$B$14:$K$20,9)/30))</f>
        <v>22.517545420205799</v>
      </c>
      <c r="FH143" s="172">
        <f ca="1">(VLOOKUP(FH$72,INDIRECT($C$5&amp;"生成成长"),2))/((VLOOKUP($B143,INDIRECT($B$5&amp;"生成成长"),4))/(VLOOKUP(FH$72,INDIRECT($C$5&amp;"生成成长"),5))*(VLOOKUP($B$5,标准坦克设计!$B$24:$U$30,MATCH("对"&amp;LEFT($C$5,2)&amp;"输出",标准坦克设计!$B$23:$U$23,0)))*(VLOOKUP($B143,INDIRECT($B$5&amp;"生成成长"),3))*(VLOOKUP($B$5,标准坦克设计!$B$14:$K$20,9)/30))</f>
        <v>23.899652629367051</v>
      </c>
      <c r="FI143" s="172">
        <f ca="1">(VLOOKUP(FI$72,INDIRECT($C$5&amp;"生成成长"),2))/((VLOOKUP($B143,INDIRECT($B$5&amp;"生成成长"),4))/(VLOOKUP(FI$72,INDIRECT($C$5&amp;"生成成长"),5))*(VLOOKUP($B$5,标准坦克设计!$B$24:$U$30,MATCH("对"&amp;LEFT($C$5,2)&amp;"输出",标准坦克设计!$B$23:$U$23,0)))*(VLOOKUP($B143,INDIRECT($B$5&amp;"生成成长"),3))*(VLOOKUP($B$5,标准坦克设计!$B$14:$K$20,9)/30))</f>
        <v>25.322922252546856</v>
      </c>
      <c r="FJ143" s="172">
        <f ca="1">(VLOOKUP(FJ$72,INDIRECT($C$5&amp;"生成成长"),2))/((VLOOKUP($B143,INDIRECT($B$5&amp;"生成成长"),4))/(VLOOKUP(FJ$72,INDIRECT($C$5&amp;"生成成长"),5))*(VLOOKUP($B$5,标准坦克设计!$B$24:$U$30,MATCH("对"&amp;LEFT($C$5,2)&amp;"输出",标准坦克设计!$B$23:$U$23,0)))*(VLOOKUP($B143,INDIRECT($B$5&amp;"生成成长"),3))*(VLOOKUP($B$5,标准坦克设计!$B$14:$K$20,9)/30))</f>
        <v>26.787354289745203</v>
      </c>
      <c r="FK143" s="172">
        <f ca="1">(VLOOKUP(FK$72,INDIRECT($C$5&amp;"生成成长"),2))/((VLOOKUP($B143,INDIRECT($B$5&amp;"生成成长"),4))/(VLOOKUP(FK$72,INDIRECT($C$5&amp;"生成成长"),5))*(VLOOKUP($B$5,标准坦克设计!$B$24:$U$30,MATCH("对"&amp;LEFT($C$5,2)&amp;"输出",标准坦克设计!$B$23:$U$23,0)))*(VLOOKUP($B143,INDIRECT($B$5&amp;"生成成长"),3))*(VLOOKUP($B$5,标准坦克设计!$B$14:$K$20,9)/30))</f>
        <v>28.292948740962096</v>
      </c>
    </row>
    <row r="144" spans="1:167" x14ac:dyDescent="0.15">
      <c r="A144" s="170" t="str">
        <f t="shared" si="12"/>
        <v>T3中品质15级</v>
      </c>
      <c r="B144" s="171">
        <v>20315</v>
      </c>
      <c r="C144" s="172">
        <f ca="1">(VLOOKUP(C$72,INDIRECT($C$5&amp;"生成成长"),2))/((VLOOKUP($B144,INDIRECT($B$5&amp;"生成成长"),4))/(VLOOKUP(C$72,INDIRECT($C$5&amp;"生成成长"),5))*(VLOOKUP($B$5,标准坦克设计!$B$24:$U$30,MATCH("对"&amp;LEFT($C$5,2)&amp;"输出",标准坦克设计!$B$23:$U$23,0)))*(VLOOKUP($B144,INDIRECT($B$5&amp;"生成成长"),3))*(VLOOKUP($B$5,标准坦克设计!$B$14:$K$20,9)/30))</f>
        <v>1.1300211470698103</v>
      </c>
      <c r="D144" s="172">
        <f ca="1">(VLOOKUP(D$72,INDIRECT($C$5&amp;"生成成长"),2))/((VLOOKUP($B144,INDIRECT($B$5&amp;"生成成长"),4))/(VLOOKUP(D$72,INDIRECT($C$5&amp;"生成成长"),5))*(VLOOKUP($B$5,标准坦克设计!$B$24:$U$30,MATCH("对"&amp;LEFT($C$5,2)&amp;"输出",标准坦克设计!$B$23:$U$23,0)))*(VLOOKUP($B144,INDIRECT($B$5&amp;"生成成长"),3))*(VLOOKUP($B$5,标准坦克设计!$B$14:$K$20,9)/30))</f>
        <v>1.2696917608476386</v>
      </c>
      <c r="E144" s="172">
        <f ca="1">(VLOOKUP(E$72,INDIRECT($C$5&amp;"生成成长"),2))/((VLOOKUP($B144,INDIRECT($B$5&amp;"生成成长"),4))/(VLOOKUP(E$72,INDIRECT($C$5&amp;"生成成长"),5))*(VLOOKUP($B$5,标准坦克设计!$B$24:$U$30,MATCH("对"&amp;LEFT($C$5,2)&amp;"输出",标准坦克设计!$B$23:$U$23,0)))*(VLOOKUP($B144,INDIRECT($B$5&amp;"生成成长"),3))*(VLOOKUP($B$5,标准坦克设计!$B$14:$K$20,9)/30))</f>
        <v>1.4174985268843698</v>
      </c>
      <c r="F144" s="172">
        <f ca="1">(VLOOKUP(F$72,INDIRECT($C$5&amp;"生成成长"),2))/((VLOOKUP($B144,INDIRECT($B$5&amp;"生成成长"),4))/(VLOOKUP(F$72,INDIRECT($C$5&amp;"生成成长"),5))*(VLOOKUP($B$5,标准坦克设计!$B$24:$U$30,MATCH("对"&amp;LEFT($C$5,2)&amp;"输出",标准坦克设计!$B$23:$U$23,0)))*(VLOOKUP($B144,INDIRECT($B$5&amp;"生成成长"),3))*(VLOOKUP($B$5,标准坦克设计!$B$14:$K$20,9)/30))</f>
        <v>1.5734414451800038</v>
      </c>
      <c r="G144" s="172">
        <f ca="1">(VLOOKUP(G$72,INDIRECT($C$5&amp;"生成成长"),2))/((VLOOKUP($B144,INDIRECT($B$5&amp;"生成成长"),4))/(VLOOKUP(G$72,INDIRECT($C$5&amp;"生成成长"),5))*(VLOOKUP($B$5,标准坦克设计!$B$24:$U$30,MATCH("对"&amp;LEFT($C$5,2)&amp;"输出",标准坦克设计!$B$23:$U$23,0)))*(VLOOKUP($B144,INDIRECT($B$5&amp;"生成成长"),3))*(VLOOKUP($B$5,标准坦克设计!$B$14:$K$20,9)/30))</f>
        <v>1.7375205157345401</v>
      </c>
      <c r="H144" s="172">
        <f ca="1">(VLOOKUP(H$72,INDIRECT($C$5&amp;"生成成长"),2))/((VLOOKUP($B144,INDIRECT($B$5&amp;"生成成长"),4))/(VLOOKUP(H$72,INDIRECT($C$5&amp;"生成成长"),5))*(VLOOKUP($B$5,标准坦克设计!$B$24:$U$30,MATCH("对"&amp;LEFT($C$5,2)&amp;"输出",标准坦克设计!$B$23:$U$23,0)))*(VLOOKUP($B144,INDIRECT($B$5&amp;"生成成长"),3))*(VLOOKUP($B$5,标准坦克设计!$B$14:$K$20,9)/30))</f>
        <v>1.5205564554971367</v>
      </c>
      <c r="I144" s="172">
        <f ca="1">(VLOOKUP(I$72,INDIRECT($C$5&amp;"生成成长"),2))/((VLOOKUP($B144,INDIRECT($B$5&amp;"生成成长"),4))/(VLOOKUP(I$72,INDIRECT($C$5&amp;"生成成长"),5))*(VLOOKUP($B$5,标准坦克设计!$B$24:$U$30,MATCH("对"&amp;LEFT($C$5,2)&amp;"输出",标准坦克设计!$B$23:$U$23,0)))*(VLOOKUP($B144,INDIRECT($B$5&amp;"生成成长"),3))*(VLOOKUP($B$5,标准坦克设计!$B$14:$K$20,9)/30))</f>
        <v>1.7375205157345401</v>
      </c>
      <c r="J144" s="172">
        <f ca="1">(VLOOKUP(J$72,INDIRECT($C$5&amp;"生成成长"),2))/((VLOOKUP($B144,INDIRECT($B$5&amp;"生成成长"),4))/(VLOOKUP(J$72,INDIRECT($C$5&amp;"生成成长"),5))*(VLOOKUP($B$5,标准坦克设计!$B$24:$U$30,MATCH("对"&amp;LEFT($C$5,2)&amp;"输出",标准坦克设计!$B$23:$U$23,0)))*(VLOOKUP($B144,INDIRECT($B$5&amp;"生成成长"),3))*(VLOOKUP($B$5,标准坦克设计!$B$14:$K$20,9)/30))</f>
        <v>1.9689488466544371</v>
      </c>
      <c r="K144" s="172">
        <f ca="1">(VLOOKUP(K$72,INDIRECT($C$5&amp;"生成成长"),2))/((VLOOKUP($B144,INDIRECT($B$5&amp;"生成成长"),4))/(VLOOKUP(K$72,INDIRECT($C$5&amp;"生成成长"),5))*(VLOOKUP($B$5,标准坦克设计!$B$24:$U$30,MATCH("对"&amp;LEFT($C$5,2)&amp;"输出",标准坦克设计!$B$23:$U$23,0)))*(VLOOKUP($B144,INDIRECT($B$5&amp;"生成成长"),3))*(VLOOKUP($B$5,标准坦克设计!$B$14:$K$20,9)/30))</f>
        <v>2.2148414482568279</v>
      </c>
      <c r="L144" s="172">
        <f ca="1">(VLOOKUP(L$72,INDIRECT($C$5&amp;"生成成长"),2))/((VLOOKUP($B144,INDIRECT($B$5&amp;"生成成长"),4))/(VLOOKUP(L$72,INDIRECT($C$5&amp;"生成成长"),5))*(VLOOKUP($B$5,标准坦克设计!$B$24:$U$30,MATCH("对"&amp;LEFT($C$5,2)&amp;"输出",标准坦克设计!$B$23:$U$23,0)))*(VLOOKUP($B144,INDIRECT($B$5&amp;"生成成长"),3))*(VLOOKUP($B$5,标准坦克设计!$B$14:$K$20,9)/30))</f>
        <v>2.4751983205417125</v>
      </c>
      <c r="M144" s="172">
        <f ca="1">(VLOOKUP(M$72,INDIRECT($C$5&amp;"生成成长"),2))/((VLOOKUP($B144,INDIRECT($B$5&amp;"生成成长"),4))/(VLOOKUP(M$72,INDIRECT($C$5&amp;"生成成长"),5))*(VLOOKUP($B$5,标准坦克设计!$B$24:$U$30,MATCH("对"&amp;LEFT($C$5,2)&amp;"输出",标准坦克设计!$B$23:$U$23,0)))*(VLOOKUP($B144,INDIRECT($B$5&amp;"生成成长"),3))*(VLOOKUP($B$5,标准坦克设计!$B$14:$K$20,9)/30))</f>
        <v>2.7500194635090907</v>
      </c>
      <c r="N144" s="172">
        <f ca="1">(VLOOKUP(N$72,INDIRECT($C$5&amp;"生成成长"),2))/((VLOOKUP($B144,INDIRECT($B$5&amp;"生成成长"),4))/(VLOOKUP(N$72,INDIRECT($C$5&amp;"生成成长"),5))*(VLOOKUP($B$5,标准坦克设计!$B$24:$U$30,MATCH("对"&amp;LEFT($C$5,2)&amp;"输出",标准坦克设计!$B$23:$U$23,0)))*(VLOOKUP($B144,INDIRECT($B$5&amp;"生成成长"),3))*(VLOOKUP($B$5,标准坦克设计!$B$14:$K$20,9)/30))</f>
        <v>3.0393048771589619</v>
      </c>
      <c r="O144" s="172">
        <f ca="1">(VLOOKUP(O$72,INDIRECT($C$5&amp;"生成成长"),2))/((VLOOKUP($B144,INDIRECT($B$5&amp;"生成成长"),4))/(VLOOKUP(O$72,INDIRECT($C$5&amp;"生成成长"),5))*(VLOOKUP($B$5,标准坦克设计!$B$24:$U$30,MATCH("对"&amp;LEFT($C$5,2)&amp;"输出",标准坦克设计!$B$23:$U$23,0)))*(VLOOKUP($B144,INDIRECT($B$5&amp;"生成成长"),3))*(VLOOKUP($B$5,标准坦克设计!$B$14:$K$20,9)/30))</f>
        <v>2.3107802436430553</v>
      </c>
      <c r="P144" s="172">
        <f ca="1">(VLOOKUP(P$72,INDIRECT($C$5&amp;"生成成长"),2))/((VLOOKUP($B144,INDIRECT($B$5&amp;"生成成长"),4))/(VLOOKUP(P$72,INDIRECT($C$5&amp;"生成成长"),5))*(VLOOKUP($B$5,标准坦克设计!$B$24:$U$30,MATCH("对"&amp;LEFT($C$5,2)&amp;"输出",标准坦克设计!$B$23:$U$23,0)))*(VLOOKUP($B144,INDIRECT($B$5&amp;"生成成长"),3))*(VLOOKUP($B$5,标准坦克设计!$B$14:$K$20,9)/30))</f>
        <v>2.6108008581900894</v>
      </c>
      <c r="Q144" s="172">
        <f ca="1">(VLOOKUP(Q$72,INDIRECT($C$5&amp;"生成成长"),2))/((VLOOKUP($B144,INDIRECT($B$5&amp;"生成成长"),4))/(VLOOKUP(Q$72,INDIRECT($C$5&amp;"生成成长"),5))*(VLOOKUP($B$5,标准坦克设计!$B$24:$U$30,MATCH("对"&amp;LEFT($C$5,2)&amp;"输出",标准坦克设计!$B$23:$U$23,0)))*(VLOOKUP($B144,INDIRECT($B$5&amp;"生成成长"),3))*(VLOOKUP($B$5,标准坦克设计!$B$14:$K$20,9)/30))</f>
        <v>2.9291278153196556</v>
      </c>
      <c r="R144" s="172">
        <f ca="1">(VLOOKUP(R$72,INDIRECT($C$5&amp;"生成成长"),2))/((VLOOKUP($B144,INDIRECT($B$5&amp;"生成成长"),4))/(VLOOKUP(R$72,INDIRECT($C$5&amp;"生成成长"),5))*(VLOOKUP($B$5,标准坦克设计!$B$24:$U$30,MATCH("对"&amp;LEFT($C$5,2)&amp;"输出",标准坦克设计!$B$23:$U$23,0)))*(VLOOKUP($B144,INDIRECT($B$5&amp;"生成成长"),3))*(VLOOKUP($B$5,标准坦克设计!$B$14:$K$20,9)/30))</f>
        <v>3.2657611150317516</v>
      </c>
      <c r="S144" s="172">
        <f ca="1">(VLOOKUP(S$72,INDIRECT($C$5&amp;"生成成长"),2))/((VLOOKUP($B144,INDIRECT($B$5&amp;"生成成长"),4))/(VLOOKUP(S$72,INDIRECT($C$5&amp;"生成成长"),5))*(VLOOKUP($B$5,标准坦克设计!$B$24:$U$30,MATCH("对"&amp;LEFT($C$5,2)&amp;"输出",标准坦克设计!$B$23:$U$23,0)))*(VLOOKUP($B144,INDIRECT($B$5&amp;"生成成长"),3))*(VLOOKUP($B$5,标准坦克设计!$B$14:$K$20,9)/30))</f>
        <v>3.6207007573263792</v>
      </c>
      <c r="T144" s="172">
        <f ca="1">(VLOOKUP(T$72,INDIRECT($C$5&amp;"生成成长"),2))/((VLOOKUP($B144,INDIRECT($B$5&amp;"生成成长"),4))/(VLOOKUP(T$72,INDIRECT($C$5&amp;"生成成长"),5))*(VLOOKUP($B$5,标准坦克设计!$B$24:$U$30,MATCH("对"&amp;LEFT($C$5,2)&amp;"输出",标准坦克设计!$B$23:$U$23,0)))*(VLOOKUP($B144,INDIRECT($B$5&amp;"生成成长"),3))*(VLOOKUP($B$5,标准坦克设计!$B$14:$K$20,9)/30))</f>
        <v>3.9939467422035375</v>
      </c>
      <c r="U144" s="172">
        <f ca="1">(VLOOKUP(U$72,INDIRECT($C$5&amp;"生成成长"),2))/((VLOOKUP($B144,INDIRECT($B$5&amp;"生成成长"),4))/(VLOOKUP(U$72,INDIRECT($C$5&amp;"生成成长"),5))*(VLOOKUP($B$5,标准坦克设计!$B$24:$U$30,MATCH("对"&amp;LEFT($C$5,2)&amp;"输出",标准坦克设计!$B$23:$U$23,0)))*(VLOOKUP($B144,INDIRECT($B$5&amp;"生成成长"),3))*(VLOOKUP($B$5,标准坦克设计!$B$14:$K$20,9)/30))</f>
        <v>4.3854990696632266</v>
      </c>
      <c r="V144" s="172">
        <f ca="1">(VLOOKUP(V$72,INDIRECT($C$5&amp;"生成成长"),2))/((VLOOKUP($B144,INDIRECT($B$5&amp;"生成成长"),4))/(VLOOKUP(V$72,INDIRECT($C$5&amp;"生成成长"),5))*(VLOOKUP($B$5,标准坦克设计!$B$24:$U$30,MATCH("对"&amp;LEFT($C$5,2)&amp;"输出",标准坦克设计!$B$23:$U$23,0)))*(VLOOKUP($B144,INDIRECT($B$5&amp;"生成成长"),3))*(VLOOKUP($B$5,标准坦克设计!$B$14:$K$20,9)/30))</f>
        <v>4.7953577397054463</v>
      </c>
      <c r="W144" s="172">
        <f ca="1">(VLOOKUP(W$72,INDIRECT($C$5&amp;"生成成长"),2))/((VLOOKUP($B144,INDIRECT($B$5&amp;"生成成长"),4))/(VLOOKUP(W$72,INDIRECT($C$5&amp;"生成成长"),5))*(VLOOKUP($B$5,标准坦克设计!$B$24:$U$30,MATCH("对"&amp;LEFT($C$5,2)&amp;"输出",标准坦克设计!$B$23:$U$23,0)))*(VLOOKUP($B144,INDIRECT($B$5&amp;"生成成长"),3))*(VLOOKUP($B$5,标准坦克设计!$B$14:$K$20,9)/30))</f>
        <v>5.2235227523301981</v>
      </c>
      <c r="X144" s="172">
        <f ca="1">(VLOOKUP(X$72,INDIRECT($C$5&amp;"生成成长"),2))/((VLOOKUP($B144,INDIRECT($B$5&amp;"生成成长"),4))/(VLOOKUP(X$72,INDIRECT($C$5&amp;"生成成长"),5))*(VLOOKUP($B$5,标准坦克设计!$B$24:$U$30,MATCH("对"&amp;LEFT($C$5,2)&amp;"输出",标准坦克设计!$B$23:$U$23,0)))*(VLOOKUP($B144,INDIRECT($B$5&amp;"生成成长"),3))*(VLOOKUP($B$5,标准坦克设计!$B$14:$K$20,9)/30))</f>
        <v>3.7843278194220882</v>
      </c>
      <c r="Y144" s="172">
        <f ca="1">(VLOOKUP(Y$72,INDIRECT($C$5&amp;"生成成长"),2))/((VLOOKUP($B144,INDIRECT($B$5&amp;"生成成长"),4))/(VLOOKUP(Y$72,INDIRECT($C$5&amp;"生成成长"),5))*(VLOOKUP($B$5,标准坦克设计!$B$24:$U$30,MATCH("对"&amp;LEFT($C$5,2)&amp;"输出",标准坦克设计!$B$23:$U$23,0)))*(VLOOKUP($B144,INDIRECT($B$5&amp;"生成成长"),3))*(VLOOKUP($B$5,标准坦克设计!$B$14:$K$20,9)/30))</f>
        <v>4.2092157707203359</v>
      </c>
      <c r="Z144" s="172">
        <f ca="1">(VLOOKUP(Z$72,INDIRECT($C$5&amp;"生成成长"),2))/((VLOOKUP($B144,INDIRECT($B$5&amp;"生成成长"),4))/(VLOOKUP(Z$72,INDIRECT($C$5&amp;"生成成长"),5))*(VLOOKUP($B$5,标准坦克设计!$B$24:$U$30,MATCH("对"&amp;LEFT($C$5,2)&amp;"输出",标准坦克设计!$B$23:$U$23,0)))*(VLOOKUP($B144,INDIRECT($B$5&amp;"生成成长"),3))*(VLOOKUP($B$5,标准坦克设计!$B$14:$K$20,9)/30))</f>
        <v>4.6567041449599813</v>
      </c>
      <c r="AA144" s="172">
        <f ca="1">(VLOOKUP(AA$72,INDIRECT($C$5&amp;"生成成长"),2))/((VLOOKUP($B144,INDIRECT($B$5&amp;"生成成长"),4))/(VLOOKUP(AA$72,INDIRECT($C$5&amp;"生成成长"),5))*(VLOOKUP($B$5,标准坦克设计!$B$24:$U$30,MATCH("对"&amp;LEFT($C$5,2)&amp;"输出",标准坦克设计!$B$23:$U$23,0)))*(VLOOKUP($B144,INDIRECT($B$5&amp;"生成成长"),3))*(VLOOKUP($B$5,标准坦克设计!$B$14:$K$20,9)/30))</f>
        <v>5.1267929421410221</v>
      </c>
      <c r="AB144" s="172">
        <f ca="1">(VLOOKUP(AB$72,INDIRECT($C$5&amp;"生成成长"),2))/((VLOOKUP($B144,INDIRECT($B$5&amp;"生成成长"),4))/(VLOOKUP(AB$72,INDIRECT($C$5&amp;"生成成长"),5))*(VLOOKUP($B$5,标准坦克设计!$B$24:$U$30,MATCH("对"&amp;LEFT($C$5,2)&amp;"输出",标准坦克设计!$B$23:$U$23,0)))*(VLOOKUP($B144,INDIRECT($B$5&amp;"生成成长"),3))*(VLOOKUP($B$5,标准坦克设计!$B$14:$K$20,9)/30))</f>
        <v>5.6194821622634601</v>
      </c>
      <c r="AC144" s="172">
        <f ca="1">(VLOOKUP(AC$72,INDIRECT($C$5&amp;"生成成长"),2))/((VLOOKUP($B144,INDIRECT($B$5&amp;"生成成长"),4))/(VLOOKUP(AC$72,INDIRECT($C$5&amp;"生成成长"),5))*(VLOOKUP($B$5,标准坦克设计!$B$24:$U$30,MATCH("对"&amp;LEFT($C$5,2)&amp;"输出",标准坦克设计!$B$23:$U$23,0)))*(VLOOKUP($B144,INDIRECT($B$5&amp;"生成成长"),3))*(VLOOKUP($B$5,标准坦克设计!$B$14:$K$20,9)/30))</f>
        <v>6.1347718053272926</v>
      </c>
      <c r="AD144" s="172">
        <f ca="1">(VLOOKUP(AD$72,INDIRECT($C$5&amp;"生成成长"),2))/((VLOOKUP($B144,INDIRECT($B$5&amp;"生成成长"),4))/(VLOOKUP(AD$72,INDIRECT($C$5&amp;"生成成长"),5))*(VLOOKUP($B$5,标准坦克设计!$B$24:$U$30,MATCH("对"&amp;LEFT($C$5,2)&amp;"输出",标准坦克设计!$B$23:$U$23,0)))*(VLOOKUP($B144,INDIRECT($B$5&amp;"生成成长"),3))*(VLOOKUP($B$5,标准坦克设计!$B$14:$K$20,9)/30))</f>
        <v>6.6726618713325214</v>
      </c>
      <c r="AE144" s="172">
        <f ca="1">(VLOOKUP(AE$72,INDIRECT($C$5&amp;"生成成长"),2))/((VLOOKUP($B144,INDIRECT($B$5&amp;"生成成长"),4))/(VLOOKUP(AE$72,INDIRECT($C$5&amp;"生成成长"),5))*(VLOOKUP($B$5,标准坦克设计!$B$24:$U$30,MATCH("对"&amp;LEFT($C$5,2)&amp;"输出",标准坦克设计!$B$23:$U$23,0)))*(VLOOKUP($B144,INDIRECT($B$5&amp;"生成成长"),3))*(VLOOKUP($B$5,标准坦克设计!$B$14:$K$20,9)/30))</f>
        <v>7.2331523602791492</v>
      </c>
      <c r="AF144" s="172">
        <f ca="1">(VLOOKUP(AF$72,INDIRECT($C$5&amp;"生成成长"),2))/((VLOOKUP($B144,INDIRECT($B$5&amp;"生成成长"),4))/(VLOOKUP(AF$72,INDIRECT($C$5&amp;"生成成长"),5))*(VLOOKUP($B$5,标准坦克设计!$B$24:$U$30,MATCH("对"&amp;LEFT($C$5,2)&amp;"输出",标准坦克设计!$B$23:$U$23,0)))*(VLOOKUP($B144,INDIRECT($B$5&amp;"生成成长"),3))*(VLOOKUP($B$5,标准坦克设计!$B$14:$K$20,9)/30))</f>
        <v>7.8162432721671715</v>
      </c>
      <c r="AG144" s="172">
        <f ca="1">(VLOOKUP(AG$72,INDIRECT($C$5&amp;"生成成长"),2))/((VLOOKUP($B144,INDIRECT($B$5&amp;"生成成长"),4))/(VLOOKUP(AG$72,INDIRECT($C$5&amp;"生成成长"),5))*(VLOOKUP($B$5,标准坦克设计!$B$24:$U$30,MATCH("对"&amp;LEFT($C$5,2)&amp;"输出",标准坦克设计!$B$23:$U$23,0)))*(VLOOKUP($B144,INDIRECT($B$5&amp;"生成成长"),3))*(VLOOKUP($B$5,标准坦克设计!$B$14:$K$20,9)/30))</f>
        <v>8.4219346069965901</v>
      </c>
      <c r="AH144" s="172">
        <f ca="1">(VLOOKUP(AH$72,INDIRECT($C$5&amp;"生成成长"),2))/((VLOOKUP($B144,INDIRECT($B$5&amp;"生成成长"),4))/(VLOOKUP(AH$72,INDIRECT($C$5&amp;"生成成长"),5))*(VLOOKUP($B$5,标准坦克设计!$B$24:$U$30,MATCH("对"&amp;LEFT($C$5,2)&amp;"输出",标准坦克设计!$B$23:$U$23,0)))*(VLOOKUP($B144,INDIRECT($B$5&amp;"生成成长"),3))*(VLOOKUP($B$5,标准坦克设计!$B$14:$K$20,9)/30))</f>
        <v>9.0502263647674042</v>
      </c>
      <c r="AI144" s="172">
        <f ca="1">(VLOOKUP(AI$72,INDIRECT($C$5&amp;"生成成长"),2))/((VLOOKUP($B144,INDIRECT($B$5&amp;"生成成长"),4))/(VLOOKUP(AI$72,INDIRECT($C$5&amp;"生成成长"),5))*(VLOOKUP($B$5,标准坦克设计!$B$24:$U$30,MATCH("对"&amp;LEFT($C$5,2)&amp;"输出",标准坦克设计!$B$23:$U$23,0)))*(VLOOKUP($B144,INDIRECT($B$5&amp;"生成成长"),3))*(VLOOKUP($B$5,标准坦克设计!$B$14:$K$20,9)/30))</f>
        <v>6.4008917854622327</v>
      </c>
      <c r="AJ144" s="172">
        <f ca="1">(VLOOKUP(AJ$72,INDIRECT($C$5&amp;"生成成长"),2))/((VLOOKUP($B144,INDIRECT($B$5&amp;"生成成长"),4))/(VLOOKUP(AJ$72,INDIRECT($C$5&amp;"生成成长"),5))*(VLOOKUP($B$5,标准坦克设计!$B$24:$U$30,MATCH("对"&amp;LEFT($C$5,2)&amp;"输出",标准坦克设计!$B$23:$U$23,0)))*(VLOOKUP($B144,INDIRECT($B$5&amp;"生成成长"),3))*(VLOOKUP($B$5,标准坦克设计!$B$14:$K$20,9)/30))</f>
        <v>7.0062441139475284</v>
      </c>
      <c r="AK144" s="172">
        <f ca="1">(VLOOKUP(AK$72,INDIRECT($C$5&amp;"生成成长"),2))/((VLOOKUP($B144,INDIRECT($B$5&amp;"生成成长"),4))/(VLOOKUP(AK$72,INDIRECT($C$5&amp;"生成成长"),5))*(VLOOKUP($B$5,标准坦克设计!$B$24:$U$30,MATCH("对"&amp;LEFT($C$5,2)&amp;"输出",标准坦克设计!$B$23:$U$23,0)))*(VLOOKUP($B144,INDIRECT($B$5&amp;"生成成长"),3))*(VLOOKUP($B$5,标准坦克设计!$B$14:$K$20,9)/30))</f>
        <v>7.6389429541919185</v>
      </c>
      <c r="AL144" s="172">
        <f ca="1">(VLOOKUP(AL$72,INDIRECT($C$5&amp;"生成成长"),2))/((VLOOKUP($B144,INDIRECT($B$5&amp;"生成成长"),4))/(VLOOKUP(AL$72,INDIRECT($C$5&amp;"生成成长"),5))*(VLOOKUP($B$5,标准坦克设计!$B$24:$U$30,MATCH("对"&amp;LEFT($C$5,2)&amp;"输出",标准坦克设计!$B$23:$U$23,0)))*(VLOOKUP($B144,INDIRECT($B$5&amp;"生成成长"),3))*(VLOOKUP($B$5,标准坦克设计!$B$14:$K$20,9)/30))</f>
        <v>8.298988306195394</v>
      </c>
      <c r="AM144" s="172">
        <f ca="1">(VLOOKUP(AM$72,INDIRECT($C$5&amp;"生成成长"),2))/((VLOOKUP($B144,INDIRECT($B$5&amp;"生成成长"),4))/(VLOOKUP(AM$72,INDIRECT($C$5&amp;"生成成长"),5))*(VLOOKUP($B$5,标准坦克设计!$B$24:$U$30,MATCH("对"&amp;LEFT($C$5,2)&amp;"输出",标准坦克设计!$B$23:$U$23,0)))*(VLOOKUP($B144,INDIRECT($B$5&amp;"生成成长"),3))*(VLOOKUP($B$5,标准坦克设计!$B$14:$K$20,9)/30))</f>
        <v>8.9863801699579593</v>
      </c>
      <c r="AN144" s="172">
        <f ca="1">(VLOOKUP(AN$72,INDIRECT($C$5&amp;"生成成长"),2))/((VLOOKUP($B144,INDIRECT($B$5&amp;"生成成长"),4))/(VLOOKUP(AN$72,INDIRECT($C$5&amp;"生成成长"),5))*(VLOOKUP($B$5,标准坦克设计!$B$24:$U$30,MATCH("对"&amp;LEFT($C$5,2)&amp;"输出",标准坦克设计!$B$23:$U$23,0)))*(VLOOKUP($B144,INDIRECT($B$5&amp;"生成成长"),3))*(VLOOKUP($B$5,标准坦克设计!$B$14:$K$20,9)/30))</f>
        <v>9.7011185454796145</v>
      </c>
      <c r="AO144" s="172">
        <f ca="1">(VLOOKUP(AO$72,INDIRECT($C$5&amp;"生成成长"),2))/((VLOOKUP($B144,INDIRECT($B$5&amp;"生成成长"),4))/(VLOOKUP(AO$72,INDIRECT($C$5&amp;"生成成长"),5))*(VLOOKUP($B$5,标准坦克设计!$B$24:$U$30,MATCH("对"&amp;LEFT($C$5,2)&amp;"输出",标准坦克设计!$B$23:$U$23,0)))*(VLOOKUP($B144,INDIRECT($B$5&amp;"生成成长"),3))*(VLOOKUP($B$5,标准坦克设计!$B$14:$K$20,9)/30))</f>
        <v>10.443203432760358</v>
      </c>
      <c r="AP144" s="172">
        <f ca="1">(VLOOKUP(AP$72,INDIRECT($C$5&amp;"生成成长"),2))/((VLOOKUP($B144,INDIRECT($B$5&amp;"生成成长"),4))/(VLOOKUP(AP$72,INDIRECT($C$5&amp;"生成成长"),5))*(VLOOKUP($B$5,标准坦克设计!$B$24:$U$30,MATCH("对"&amp;LEFT($C$5,2)&amp;"输出",标准坦克设计!$B$23:$U$23,0)))*(VLOOKUP($B144,INDIRECT($B$5&amp;"生成成长"),3))*(VLOOKUP($B$5,标准坦克设计!$B$14:$K$20,9)/30))</f>
        <v>11.212634831800193</v>
      </c>
      <c r="AQ144" s="172">
        <f ca="1">(VLOOKUP(AQ$72,INDIRECT($C$5&amp;"生成成长"),2))/((VLOOKUP($B144,INDIRECT($B$5&amp;"生成成长"),4))/(VLOOKUP(AQ$72,INDIRECT($C$5&amp;"生成成长"),5))*(VLOOKUP($B$5,标准坦克设计!$B$24:$U$30,MATCH("对"&amp;LEFT($C$5,2)&amp;"输出",标准坦克设计!$B$23:$U$23,0)))*(VLOOKUP($B144,INDIRECT($B$5&amp;"生成成长"),3))*(VLOOKUP($B$5,标准坦克设计!$B$14:$K$20,9)/30))</f>
        <v>12.009412742599116</v>
      </c>
      <c r="AR144" s="172">
        <f ca="1">(VLOOKUP(AR$72,INDIRECT($C$5&amp;"生成成长"),2))/((VLOOKUP($B144,INDIRECT($B$5&amp;"生成成长"),4))/(VLOOKUP(AR$72,INDIRECT($C$5&amp;"生成成长"),5))*(VLOOKUP($B$5,标准坦克设计!$B$24:$U$30,MATCH("对"&amp;LEFT($C$5,2)&amp;"输出",标准坦克设计!$B$23:$U$23,0)))*(VLOOKUP($B144,INDIRECT($B$5&amp;"生成成长"),3))*(VLOOKUP($B$5,标准坦克设计!$B$14:$K$20,9)/30))</f>
        <v>12.833537165157129</v>
      </c>
      <c r="AS144" s="172">
        <f ca="1">(VLOOKUP(AS$72,INDIRECT($C$5&amp;"生成成长"),2))/((VLOOKUP($B144,INDIRECT($B$5&amp;"生成成长"),4))/(VLOOKUP(AS$72,INDIRECT($C$5&amp;"生成成长"),5))*(VLOOKUP($B$5,标准坦克设计!$B$24:$U$30,MATCH("对"&amp;LEFT($C$5,2)&amp;"输出",标准坦克设计!$B$23:$U$23,0)))*(VLOOKUP($B144,INDIRECT($B$5&amp;"生成成长"),3))*(VLOOKUP($B$5,标准坦克设计!$B$14:$K$20,9)/30))</f>
        <v>13.68500809947423</v>
      </c>
      <c r="AT144" s="172">
        <f ca="1">(VLOOKUP(AT$72,INDIRECT($C$5&amp;"生成成长"),2))/((VLOOKUP($B144,INDIRECT($B$5&amp;"生成成长"),4))/(VLOOKUP(AT$72,INDIRECT($C$5&amp;"生成成长"),5))*(VLOOKUP($B$5,标准坦克设计!$B$24:$U$30,MATCH("对"&amp;LEFT($C$5,2)&amp;"输出",标准坦克设计!$B$23:$U$23,0)))*(VLOOKUP($B144,INDIRECT($B$5&amp;"生成成长"),3))*(VLOOKUP($B$5,标准坦克设计!$B$14:$K$20,9)/30))</f>
        <v>14.563825545550422</v>
      </c>
      <c r="AU144" s="172">
        <f ca="1">(VLOOKUP(AU$72,INDIRECT($C$5&amp;"生成成长"),2))/((VLOOKUP($B144,INDIRECT($B$5&amp;"生成成长"),4))/(VLOOKUP(AU$72,INDIRECT($C$5&amp;"生成成长"),5))*(VLOOKUP($B$5,标准坦克设计!$B$24:$U$30,MATCH("对"&amp;LEFT($C$5,2)&amp;"输出",标准坦克设计!$B$23:$U$23,0)))*(VLOOKUP($B144,INDIRECT($B$5&amp;"生成成长"),3))*(VLOOKUP($B$5,标准坦克设计!$B$14:$K$20,9)/30))</f>
        <v>15.469989503385703</v>
      </c>
      <c r="AV144" s="172">
        <f ca="1">(VLOOKUP(AV$72,INDIRECT($C$5&amp;"生成成长"),2))/((VLOOKUP($B144,INDIRECT($B$5&amp;"生成成长"),4))/(VLOOKUP(AV$72,INDIRECT($C$5&amp;"生成成长"),5))*(VLOOKUP($B$5,标准坦克设计!$B$24:$U$30,MATCH("对"&amp;LEFT($C$5,2)&amp;"输出",标准坦克设计!$B$23:$U$23,0)))*(VLOOKUP($B144,INDIRECT($B$5&amp;"生成成长"),3))*(VLOOKUP($B$5,标准坦克设计!$B$14:$K$20,9)/30))</f>
        <v>1.5734414451800038</v>
      </c>
      <c r="AW144" s="172">
        <f ca="1">(VLOOKUP(AW$72,INDIRECT($C$5&amp;"生成成长"),2))/((VLOOKUP($B144,INDIRECT($B$5&amp;"生成成长"),4))/(VLOOKUP(AW$72,INDIRECT($C$5&amp;"生成成长"),5))*(VLOOKUP($B$5,标准坦克设计!$B$24:$U$30,MATCH("对"&amp;LEFT($C$5,2)&amp;"输出",标准坦克设计!$B$23:$U$23,0)))*(VLOOKUP($B144,INDIRECT($B$5&amp;"生成成长"),3))*(VLOOKUP($B$5,标准坦克设计!$B$14:$K$20,9)/30))</f>
        <v>1.7940215730880307</v>
      </c>
      <c r="AX144" s="172">
        <f ca="1">(VLOOKUP(AX$72,INDIRECT($C$5&amp;"生成成长"),2))/((VLOOKUP($B144,INDIRECT($B$5&amp;"生成成长"),4))/(VLOOKUP(AX$72,INDIRECT($C$5&amp;"生成成长"),5))*(VLOOKUP($B$5,标准坦克设计!$B$24:$U$30,MATCH("对"&amp;LEFT($C$5,2)&amp;"输出",标准坦克设计!$B$23:$U$23,0)))*(VLOOKUP($B144,INDIRECT($B$5&amp;"生成成长"),3))*(VLOOKUP($B$5,标准坦克设计!$B$14:$K$20,9)/30))</f>
        <v>2.0290659716785515</v>
      </c>
      <c r="AY144" s="172">
        <f ca="1">(VLOOKUP(AY$72,INDIRECT($C$5&amp;"生成成长"),2))/((VLOOKUP($B144,INDIRECT($B$5&amp;"生成成长"),4))/(VLOOKUP(AY$72,INDIRECT($C$5&amp;"生成成长"),5))*(VLOOKUP($B$5,标准坦克设计!$B$24:$U$30,MATCH("对"&amp;LEFT($C$5,2)&amp;"输出",标准坦克设计!$B$23:$U$23,0)))*(VLOOKUP($B144,INDIRECT($B$5&amp;"生成成长"),3))*(VLOOKUP($B$5,标准坦克设计!$B$14:$K$20,9)/30))</f>
        <v>2.2785746409515655</v>
      </c>
      <c r="AZ144" s="172">
        <f ca="1">(VLOOKUP(AZ$72,INDIRECT($C$5&amp;"生成成长"),2))/((VLOOKUP($B144,INDIRECT($B$5&amp;"生成成长"),4))/(VLOOKUP(AZ$72,INDIRECT($C$5&amp;"生成成长"),5))*(VLOOKUP($B$5,标准坦克设计!$B$24:$U$30,MATCH("对"&amp;LEFT($C$5,2)&amp;"输出",标准坦克设计!$B$23:$U$23,0)))*(VLOOKUP($B144,INDIRECT($B$5&amp;"生成成长"),3))*(VLOOKUP($B$5,标准坦克设计!$B$14:$K$20,9)/30))</f>
        <v>2.542547580907073</v>
      </c>
      <c r="BA144" s="172">
        <f ca="1">(VLOOKUP(BA$72,INDIRECT($C$5&amp;"生成成长"),2))/((VLOOKUP($B144,INDIRECT($B$5&amp;"生成成长"),4))/(VLOOKUP(BA$72,INDIRECT($C$5&amp;"生成成长"),5))*(VLOOKUP($B$5,标准坦克设计!$B$24:$U$30,MATCH("对"&amp;LEFT($C$5,2)&amp;"输出",标准坦克设计!$B$23:$U$23,0)))*(VLOOKUP($B144,INDIRECT($B$5&amp;"生成成长"),3))*(VLOOKUP($B$5,标准坦克设计!$B$14:$K$20,9)/30))</f>
        <v>2.8209847915450741</v>
      </c>
      <c r="BB144" s="172">
        <f ca="1">(VLOOKUP(BB$72,INDIRECT($C$5&amp;"生成成长"),2))/((VLOOKUP($B144,INDIRECT($B$5&amp;"生成成长"),4))/(VLOOKUP(BB$72,INDIRECT($C$5&amp;"生成成长"),5))*(VLOOKUP($B$5,标准坦克设计!$B$24:$U$30,MATCH("对"&amp;LEFT($C$5,2)&amp;"输出",标准坦克设计!$B$23:$U$23,0)))*(VLOOKUP($B144,INDIRECT($B$5&amp;"生成成长"),3))*(VLOOKUP($B$5,标准坦克设计!$B$14:$K$20,9)/30))</f>
        <v>3.1138862728655692</v>
      </c>
      <c r="BC144" s="172">
        <f ca="1">(VLOOKUP(BC$72,INDIRECT($C$5&amp;"生成成长"),2))/((VLOOKUP($B144,INDIRECT($B$5&amp;"生成成长"),4))/(VLOOKUP(BC$72,INDIRECT($C$5&amp;"生成成长"),5))*(VLOOKUP($B$5,标准坦克设计!$B$24:$U$30,MATCH("对"&amp;LEFT($C$5,2)&amp;"输出",标准坦克设计!$B$23:$U$23,0)))*(VLOOKUP($B144,INDIRECT($B$5&amp;"生成成长"),3))*(VLOOKUP($B$5,标准坦克设计!$B$14:$K$20,9)/30))</f>
        <v>3.4212520248685574</v>
      </c>
      <c r="BD144" s="172">
        <f ca="1">(VLOOKUP(BD$72,INDIRECT($C$5&amp;"生成成长"),2))/((VLOOKUP($B144,INDIRECT($B$5&amp;"生成成长"),4))/(VLOOKUP(BD$72,INDIRECT($C$5&amp;"生成成长"),5))*(VLOOKUP($B$5,标准坦克设计!$B$24:$U$30,MATCH("对"&amp;LEFT($C$5,2)&amp;"输出",标准坦克设计!$B$23:$U$23,0)))*(VLOOKUP($B144,INDIRECT($B$5&amp;"生成成长"),3))*(VLOOKUP($B$5,标准坦克设计!$B$14:$K$20,9)/30))</f>
        <v>3.7843278194220882</v>
      </c>
      <c r="BE144" s="172">
        <f ca="1">(VLOOKUP(BE$72,INDIRECT($C$5&amp;"生成成长"),2))/((VLOOKUP($B144,INDIRECT($B$5&amp;"生成成长"),4))/(VLOOKUP(BE$72,INDIRECT($C$5&amp;"生成成长"),5))*(VLOOKUP($B$5,标准坦克设计!$B$24:$U$30,MATCH("对"&amp;LEFT($C$5,2)&amp;"输出",标准坦克设计!$B$23:$U$23,0)))*(VLOOKUP($B144,INDIRECT($B$5&amp;"生成成长"),3))*(VLOOKUP($B$5,标准坦克设计!$B$14:$K$20,9)/30))</f>
        <v>4.1657099565581488</v>
      </c>
      <c r="BF144" s="172">
        <f ca="1">(VLOOKUP(BF$72,INDIRECT($C$5&amp;"生成成长"),2))/((VLOOKUP($B144,INDIRECT($B$5&amp;"生成成长"),4))/(VLOOKUP(BF$72,INDIRECT($C$5&amp;"生成成长"),5))*(VLOOKUP($B$5,标准坦克设计!$B$24:$U$30,MATCH("对"&amp;LEFT($C$5,2)&amp;"输出",标准坦克设计!$B$23:$U$23,0)))*(VLOOKUP($B144,INDIRECT($B$5&amp;"生成成长"),3))*(VLOOKUP($B$5,标准坦克设计!$B$14:$K$20,9)/30))</f>
        <v>4.5653984362767401</v>
      </c>
      <c r="BG144" s="172">
        <f ca="1">(VLOOKUP(BG$72,INDIRECT($C$5&amp;"生成成长"),2))/((VLOOKUP($B144,INDIRECT($B$5&amp;"生成成长"),4))/(VLOOKUP(BG$72,INDIRECT($C$5&amp;"生成成长"),5))*(VLOOKUP($B$5,标准坦克设计!$B$24:$U$30,MATCH("对"&amp;LEFT($C$5,2)&amp;"输出",标准坦克设计!$B$23:$U$23,0)))*(VLOOKUP($B144,INDIRECT($B$5&amp;"生成成长"),3))*(VLOOKUP($B$5,标准坦克设计!$B$14:$K$20,9)/30))</f>
        <v>4.9833932585778626</v>
      </c>
      <c r="BH144" s="172">
        <f ca="1">(VLOOKUP(BH$72,INDIRECT($C$5&amp;"生成成长"),2))/((VLOOKUP($B144,INDIRECT($B$5&amp;"生成成长"),4))/(VLOOKUP(BH$72,INDIRECT($C$5&amp;"生成成长"),5))*(VLOOKUP($B$5,标准坦克设计!$B$24:$U$30,MATCH("对"&amp;LEFT($C$5,2)&amp;"输出",标准坦克设计!$B$23:$U$23,0)))*(VLOOKUP($B144,INDIRECT($B$5&amp;"生成成长"),3))*(VLOOKUP($B$5,标准坦克设计!$B$14:$K$20,9)/30))</f>
        <v>2.408753077094008</v>
      </c>
      <c r="BI144" s="172">
        <f ca="1">(VLOOKUP(BI$72,INDIRECT($C$5&amp;"生成成长"),2))/((VLOOKUP($B144,INDIRECT($B$5&amp;"生成成长"),4))/(VLOOKUP(BI$72,INDIRECT($C$5&amp;"生成成长"),5))*(VLOOKUP($B$5,标准坦克设计!$B$24:$U$30,MATCH("对"&amp;LEFT($C$5,2)&amp;"输出",标准坦克设计!$B$23:$U$23,0)))*(VLOOKUP($B144,INDIRECT($B$5&amp;"生成成长"),3))*(VLOOKUP($B$5,标准坦克设计!$B$14:$K$20,9)/30))</f>
        <v>2.7148758058352191</v>
      </c>
      <c r="BJ144" s="172">
        <f ca="1">(VLOOKUP(BJ$72,INDIRECT($C$5&amp;"生成成长"),2))/((VLOOKUP($B144,INDIRECT($B$5&amp;"生成成长"),4))/(VLOOKUP(BJ$72,INDIRECT($C$5&amp;"生成成长"),5))*(VLOOKUP($B$5,标准坦克设计!$B$24:$U$30,MATCH("对"&amp;LEFT($C$5,2)&amp;"输出",标准坦克设计!$B$23:$U$23,0)))*(VLOOKUP($B144,INDIRECT($B$5&amp;"生成成长"),3))*(VLOOKUP($B$5,标准坦克设计!$B$14:$K$20,9)/30))</f>
        <v>3.0393048771589619</v>
      </c>
      <c r="BK144" s="172">
        <f ca="1">(VLOOKUP(BK$72,INDIRECT($C$5&amp;"生成成长"),2))/((VLOOKUP($B144,INDIRECT($B$5&amp;"生成成长"),4))/(VLOOKUP(BK$72,INDIRECT($C$5&amp;"生成成长"),5))*(VLOOKUP($B$5,标准坦克设计!$B$24:$U$30,MATCH("对"&amp;LEFT($C$5,2)&amp;"输出",标准坦克设计!$B$23:$U$23,0)))*(VLOOKUP($B144,INDIRECT($B$5&amp;"生成成长"),3))*(VLOOKUP($B$5,标准坦克设计!$B$14:$K$20,9)/30))</f>
        <v>3.3820402910652358</v>
      </c>
      <c r="BL144" s="172">
        <f ca="1">(VLOOKUP(BL$72,INDIRECT($C$5&amp;"生成成长"),2))/((VLOOKUP($B144,INDIRECT($B$5&amp;"生成成长"),4))/(VLOOKUP(BL$72,INDIRECT($C$5&amp;"生成成长"),5))*(VLOOKUP($B$5,标准坦克设计!$B$24:$U$30,MATCH("对"&amp;LEFT($C$5,2)&amp;"输出",标准坦克设计!$B$23:$U$23,0)))*(VLOOKUP($B144,INDIRECT($B$5&amp;"生成成长"),3))*(VLOOKUP($B$5,标准坦克设计!$B$14:$K$20,9)/30))</f>
        <v>3.7430820475540392</v>
      </c>
      <c r="BM144" s="172">
        <f ca="1">(VLOOKUP(BM$72,INDIRECT($C$5&amp;"生成成长"),2))/((VLOOKUP($B144,INDIRECT($B$5&amp;"生成成长"),4))/(VLOOKUP(BM$72,INDIRECT($C$5&amp;"生成成长"),5))*(VLOOKUP($B$5,标准坦克设计!$B$24:$U$30,MATCH("对"&amp;LEFT($C$5,2)&amp;"输出",标准坦克设计!$B$23:$U$23,0)))*(VLOOKUP($B144,INDIRECT($B$5&amp;"生成成长"),3))*(VLOOKUP($B$5,标准坦克设计!$B$14:$K$20,9)/30))</f>
        <v>4.1224301466253754</v>
      </c>
      <c r="BN144" s="172">
        <f ca="1">(VLOOKUP(BN$72,INDIRECT($C$5&amp;"生成成长"),2))/((VLOOKUP($B144,INDIRECT($B$5&amp;"生成成长"),4))/(VLOOKUP(BN$72,INDIRECT($C$5&amp;"生成成长"),5))*(VLOOKUP($B$5,标准坦克设计!$B$24:$U$30,MATCH("对"&amp;LEFT($C$5,2)&amp;"输出",标准坦克设计!$B$23:$U$23,0)))*(VLOOKUP($B144,INDIRECT($B$5&amp;"生成成长"),3))*(VLOOKUP($B$5,标准坦克设计!$B$14:$K$20,9)/30))</f>
        <v>4.5200845882792411</v>
      </c>
      <c r="BO144" s="172">
        <f ca="1">(VLOOKUP(BO$72,INDIRECT($C$5&amp;"生成成长"),2))/((VLOOKUP($B144,INDIRECT($B$5&amp;"生成成长"),4))/(VLOOKUP(BO$72,INDIRECT($C$5&amp;"生成成长"),5))*(VLOOKUP($B$5,标准坦克设计!$B$24:$U$30,MATCH("对"&amp;LEFT($C$5,2)&amp;"输出",标准坦克设计!$B$23:$U$23,0)))*(VLOOKUP($B144,INDIRECT($B$5&amp;"生成成长"),3))*(VLOOKUP($B$5,标准坦克设计!$B$14:$K$20,9)/30))</f>
        <v>4.9360453725156379</v>
      </c>
      <c r="BP144" s="172">
        <f ca="1">(VLOOKUP(BP$72,INDIRECT($C$5&amp;"生成成长"),2))/((VLOOKUP($B144,INDIRECT($B$5&amp;"生成成长"),4))/(VLOOKUP(BP$72,INDIRECT($C$5&amp;"生成成长"),5))*(VLOOKUP($B$5,标准坦克设计!$B$24:$U$30,MATCH("对"&amp;LEFT($C$5,2)&amp;"输出",标准坦克设计!$B$23:$U$23,0)))*(VLOOKUP($B144,INDIRECT($B$5&amp;"生成成长"),3))*(VLOOKUP($B$5,标准坦克设计!$B$14:$K$20,9)/30))</f>
        <v>5.3703124993345659</v>
      </c>
      <c r="BQ144" s="172">
        <f ca="1">(VLOOKUP(BQ$72,INDIRECT($C$5&amp;"生成成长"),2))/((VLOOKUP($B144,INDIRECT($B$5&amp;"生成成长"),4))/(VLOOKUP(BQ$72,INDIRECT($C$5&amp;"生成成长"),5))*(VLOOKUP($B$5,标准坦克设计!$B$24:$U$30,MATCH("对"&amp;LEFT($C$5,2)&amp;"输出",标准坦克设计!$B$23:$U$23,0)))*(VLOOKUP($B144,INDIRECT($B$5&amp;"生成成长"),3))*(VLOOKUP($B$5,标准坦克设计!$B$14:$K$20,9)/30))</f>
        <v>5.8228859687360259</v>
      </c>
      <c r="BR144" s="172">
        <f ca="1">(VLOOKUP(BR$72,INDIRECT($C$5&amp;"生成成长"),2))/((VLOOKUP($B144,INDIRECT($B$5&amp;"生成成长"),4))/(VLOOKUP(BR$72,INDIRECT($C$5&amp;"生成成长"),5))*(VLOOKUP($B$5,标准坦克设计!$B$24:$U$30,MATCH("对"&amp;LEFT($C$5,2)&amp;"输出",标准坦克设计!$B$23:$U$23,0)))*(VLOOKUP($B144,INDIRECT($B$5&amp;"生成成长"),3))*(VLOOKUP($B$5,标准坦克设计!$B$14:$K$20,9)/30))</f>
        <v>6.3472157809764171</v>
      </c>
      <c r="BS144" s="172">
        <f ca="1">(VLOOKUP(BS$72,INDIRECT($C$5&amp;"生成成长"),2))/((VLOOKUP($B144,INDIRECT($B$5&amp;"生成成长"),4))/(VLOOKUP(BS$72,INDIRECT($C$5&amp;"生成成长"),5))*(VLOOKUP($B$5,标准坦克设计!$B$24:$U$30,MATCH("对"&amp;LEFT($C$5,2)&amp;"输出",标准坦克设计!$B$23:$U$23,0)))*(VLOOKUP($B144,INDIRECT($B$5&amp;"生成成长"),3))*(VLOOKUP($B$5,标准坦克设计!$B$14:$K$20,9)/30))</f>
        <v>6.8941460161582064</v>
      </c>
      <c r="BT144" s="172">
        <f ca="1">(VLOOKUP(BT$72,INDIRECT($C$5&amp;"生成成长"),2))/((VLOOKUP($B144,INDIRECT($B$5&amp;"生成成长"),4))/(VLOOKUP(BT$72,INDIRECT($C$5&amp;"生成成长"),5))*(VLOOKUP($B$5,标准坦克设计!$B$24:$U$30,MATCH("对"&amp;LEFT($C$5,2)&amp;"输出",标准坦克设计!$B$23:$U$23,0)))*(VLOOKUP($B144,INDIRECT($B$5&amp;"生成成长"),3))*(VLOOKUP($B$5,标准坦克设计!$B$14:$K$20,9)/30))</f>
        <v>7.4636766742813894</v>
      </c>
      <c r="BU144" s="172">
        <f ca="1">(VLOOKUP(BU$72,INDIRECT($C$5&amp;"生成成长"),2))/((VLOOKUP($B144,INDIRECT($B$5&amp;"生成成长"),4))/(VLOOKUP(BU$72,INDIRECT($C$5&amp;"生成成长"),5))*(VLOOKUP($B$5,标准坦克设计!$B$24:$U$30,MATCH("对"&amp;LEFT($C$5,2)&amp;"输出",标准坦克设计!$B$23:$U$23,0)))*(VLOOKUP($B144,INDIRECT($B$5&amp;"生成成长"),3))*(VLOOKUP($B$5,标准坦克设计!$B$14:$K$20,9)/30))</f>
        <v>8.0558077553459686</v>
      </c>
      <c r="BV144" s="172">
        <f ca="1">(VLOOKUP(BV$72,INDIRECT($C$5&amp;"生成成长"),2))/((VLOOKUP($B144,INDIRECT($B$5&amp;"生成成长"),4))/(VLOOKUP(BV$72,INDIRECT($C$5&amp;"生成成长"),5))*(VLOOKUP($B$5,标准坦克设计!$B$24:$U$30,MATCH("对"&amp;LEFT($C$5,2)&amp;"输出",标准坦克设计!$B$23:$U$23,0)))*(VLOOKUP($B144,INDIRECT($B$5&amp;"生成成长"),3))*(VLOOKUP($B$5,标准坦克设计!$B$14:$K$20,9)/30))</f>
        <v>8.6705392593519477</v>
      </c>
      <c r="BW144" s="172">
        <f ca="1">(VLOOKUP(BW$72,INDIRECT($C$5&amp;"生成成长"),2))/((VLOOKUP($B144,INDIRECT($B$5&amp;"生成成长"),4))/(VLOOKUP(BW$72,INDIRECT($C$5&amp;"生成成长"),5))*(VLOOKUP($B$5,标准坦克设计!$B$24:$U$30,MATCH("对"&amp;LEFT($C$5,2)&amp;"输出",标准坦克设计!$B$23:$U$23,0)))*(VLOOKUP($B144,INDIRECT($B$5&amp;"生成成长"),3))*(VLOOKUP($B$5,标准坦克设计!$B$14:$K$20,9)/30))</f>
        <v>3.9515709491884197</v>
      </c>
      <c r="BX144" s="172">
        <f ca="1">(VLOOKUP(BX$72,INDIRECT($C$5&amp;"生成成长"),2))/((VLOOKUP($B144,INDIRECT($B$5&amp;"生成成长"),4))/(VLOOKUP(BX$72,INDIRECT($C$5&amp;"生成成长"),5))*(VLOOKUP($B$5,标准坦克设计!$B$24:$U$30,MATCH("对"&amp;LEFT($C$5,2)&amp;"输出",标准坦克设计!$B$23:$U$23,0)))*(VLOOKUP($B144,INDIRECT($B$5&amp;"生成成长"),3))*(VLOOKUP($B$5,标准坦克设计!$B$14:$K$20,9)/30))</f>
        <v>4.3854990696632266</v>
      </c>
      <c r="BY144" s="172">
        <f ca="1">(VLOOKUP(BY$72,INDIRECT($C$5&amp;"生成成长"),2))/((VLOOKUP($B144,INDIRECT($B$5&amp;"生成成长"),4))/(VLOOKUP(BY$72,INDIRECT($C$5&amp;"生成成长"),5))*(VLOOKUP($B$5,标准坦克设计!$B$24:$U$30,MATCH("对"&amp;LEFT($C$5,2)&amp;"输出",标准坦克设计!$B$23:$U$23,0)))*(VLOOKUP($B144,INDIRECT($B$5&amp;"生成成长"),3))*(VLOOKUP($B$5,标准坦克设计!$B$14:$K$20,9)/30))</f>
        <v>4.8420276130794306</v>
      </c>
      <c r="BZ144" s="172">
        <f ca="1">(VLOOKUP(BZ$72,INDIRECT($C$5&amp;"生成成长"),2))/((VLOOKUP($B144,INDIRECT($B$5&amp;"生成成长"),4))/(VLOOKUP(BZ$72,INDIRECT($C$5&amp;"生成成长"),5))*(VLOOKUP($B$5,标准坦克设计!$B$24:$U$30,MATCH("对"&amp;LEFT($C$5,2)&amp;"输出",标准坦克设计!$B$23:$U$23,0)))*(VLOOKUP($B144,INDIRECT($B$5&amp;"生成成长"),3))*(VLOOKUP($B$5,标准坦克设计!$B$14:$K$20,9)/30))</f>
        <v>5.3211565794370292</v>
      </c>
      <c r="CA144" s="172">
        <f ca="1">(VLOOKUP(CA$72,INDIRECT($C$5&amp;"生成成长"),2))/((VLOOKUP($B144,INDIRECT($B$5&amp;"生成成长"),4))/(VLOOKUP(CA$72,INDIRECT($C$5&amp;"生成成长"),5))*(VLOOKUP($B$5,标准坦克设计!$B$24:$U$30,MATCH("对"&amp;LEFT($C$5,2)&amp;"输出",标准坦克设计!$B$23:$U$23,0)))*(VLOOKUP($B144,INDIRECT($B$5&amp;"生成成长"),3))*(VLOOKUP($B$5,标准坦克设计!$B$14:$K$20,9)/30))</f>
        <v>5.8228859687360259</v>
      </c>
      <c r="CB144" s="172">
        <f ca="1">(VLOOKUP(CB$72,INDIRECT($C$5&amp;"生成成长"),2))/((VLOOKUP($B144,INDIRECT($B$5&amp;"生成成长"),4))/(VLOOKUP(CB$72,INDIRECT($C$5&amp;"生成成长"),5))*(VLOOKUP($B$5,标准坦克设计!$B$24:$U$30,MATCH("对"&amp;LEFT($C$5,2)&amp;"输出",标准坦克设计!$B$23:$U$23,0)))*(VLOOKUP($B144,INDIRECT($B$5&amp;"生成成长"),3))*(VLOOKUP($B$5,标准坦克设计!$B$14:$K$20,9)/30))</f>
        <v>6.3472157809764171</v>
      </c>
      <c r="CC144" s="172">
        <f ca="1">(VLOOKUP(CC$72,INDIRECT($C$5&amp;"生成成长"),2))/((VLOOKUP($B144,INDIRECT($B$5&amp;"生成成长"),4))/(VLOOKUP(CC$72,INDIRECT($C$5&amp;"生成成长"),5))*(VLOOKUP($B$5,标准坦克设计!$B$24:$U$30,MATCH("对"&amp;LEFT($C$5,2)&amp;"输出",标准坦克设计!$B$23:$U$23,0)))*(VLOOKUP($B144,INDIRECT($B$5&amp;"生成成长"),3))*(VLOOKUP($B$5,标准坦克设计!$B$14:$K$20,9)/30))</f>
        <v>6.8941460161582064</v>
      </c>
      <c r="CD144" s="172">
        <f ca="1">(VLOOKUP(CD$72,INDIRECT($C$5&amp;"生成成长"),2))/((VLOOKUP($B144,INDIRECT($B$5&amp;"生成成长"),4))/(VLOOKUP(CD$72,INDIRECT($C$5&amp;"生成成长"),5))*(VLOOKUP($B$5,标准坦克设计!$B$24:$U$30,MATCH("对"&amp;LEFT($C$5,2)&amp;"输出",标准坦克设计!$B$23:$U$23,0)))*(VLOOKUP($B144,INDIRECT($B$5&amp;"生成成长"),3))*(VLOOKUP($B$5,标准坦克设计!$B$14:$K$20,9)/30))</f>
        <v>7.4636766742813894</v>
      </c>
      <c r="CE144" s="172">
        <f ca="1">(VLOOKUP(CE$72,INDIRECT($C$5&amp;"生成成长"),2))/((VLOOKUP($B144,INDIRECT($B$5&amp;"生成成长"),4))/(VLOOKUP(CE$72,INDIRECT($C$5&amp;"生成成长"),5))*(VLOOKUP($B$5,标准坦克设计!$B$24:$U$30,MATCH("对"&amp;LEFT($C$5,2)&amp;"输出",标准坦克设计!$B$23:$U$23,0)))*(VLOOKUP($B144,INDIRECT($B$5&amp;"生成成长"),3))*(VLOOKUP($B$5,标准坦克设计!$B$14:$K$20,9)/30))</f>
        <v>8.0558077553459686</v>
      </c>
      <c r="CF144" s="172">
        <f ca="1">(VLOOKUP(CF$72,INDIRECT($C$5&amp;"生成成长"),2))/((VLOOKUP($B144,INDIRECT($B$5&amp;"生成成长"),4))/(VLOOKUP(CF$72,INDIRECT($C$5&amp;"生成成长"),5))*(VLOOKUP($B$5,标准坦克设计!$B$24:$U$30,MATCH("对"&amp;LEFT($C$5,2)&amp;"输出",标准坦克设计!$B$23:$U$23,0)))*(VLOOKUP($B144,INDIRECT($B$5&amp;"生成成长"),3))*(VLOOKUP($B$5,标准坦克设计!$B$14:$K$20,9)/30))</f>
        <v>8.6705392593519477</v>
      </c>
      <c r="CG144" s="172">
        <f ca="1">(VLOOKUP(CG$72,INDIRECT($C$5&amp;"生成成长"),2))/((VLOOKUP($B144,INDIRECT($B$5&amp;"生成成长"),4))/(VLOOKUP(CG$72,INDIRECT($C$5&amp;"生成成长"),5))*(VLOOKUP($B$5,标准坦克设计!$B$24:$U$30,MATCH("对"&amp;LEFT($C$5,2)&amp;"输出",标准坦克设计!$B$23:$U$23,0)))*(VLOOKUP($B144,INDIRECT($B$5&amp;"生成成长"),3))*(VLOOKUP($B$5,标准坦克设计!$B$14:$K$20,9)/30))</f>
        <v>9.3078711862993213</v>
      </c>
      <c r="CH144" s="172">
        <f ca="1">(VLOOKUP(CH$72,INDIRECT($C$5&amp;"生成成长"),2))/((VLOOKUP($B144,INDIRECT($B$5&amp;"生成成长"),4))/(VLOOKUP(CH$72,INDIRECT($C$5&amp;"生成成长"),5))*(VLOOKUP($B$5,标准坦克设计!$B$24:$U$30,MATCH("对"&amp;LEFT($C$5,2)&amp;"输出",标准坦克设计!$B$23:$U$23,0)))*(VLOOKUP($B144,INDIRECT($B$5&amp;"生成成长"),3))*(VLOOKUP($B$5,标准坦克设计!$B$14:$K$20,9)/30))</f>
        <v>9.9678035361880877</v>
      </c>
      <c r="CI144" s="172">
        <f ca="1">(VLOOKUP(CI$72,INDIRECT($C$5&amp;"生成成长"),2))/((VLOOKUP($B144,INDIRECT($B$5&amp;"生成成长"),4))/(VLOOKUP(CI$72,INDIRECT($C$5&amp;"生成成长"),5))*(VLOOKUP($B$5,标准坦克设计!$B$24:$U$30,MATCH("对"&amp;LEFT($C$5,2)&amp;"输出",标准坦克设计!$B$23:$U$23,0)))*(VLOOKUP($B144,INDIRECT($B$5&amp;"生成成长"),3))*(VLOOKUP($B$5,标准坦克设计!$B$14:$K$20,9)/30))</f>
        <v>10.719832609563047</v>
      </c>
      <c r="CJ144" s="172">
        <f ca="1">(VLOOKUP(CJ$72,INDIRECT($C$5&amp;"生成成长"),2))/((VLOOKUP($B144,INDIRECT($B$5&amp;"生成成长"),4))/(VLOOKUP(CJ$72,INDIRECT($C$5&amp;"生成成长"),5))*(VLOOKUP($B$5,标准坦克设计!$B$24:$U$30,MATCH("对"&amp;LEFT($C$5,2)&amp;"输出",标准坦克设计!$B$23:$U$23,0)))*(VLOOKUP($B144,INDIRECT($B$5&amp;"生成成长"),3))*(VLOOKUP($B$5,标准坦克设计!$B$14:$K$20,9)/30))</f>
        <v>11.499208194697097</v>
      </c>
      <c r="CK144" s="172">
        <f ca="1">(VLOOKUP(CK$72,INDIRECT($C$5&amp;"生成成长"),2))/((VLOOKUP($B144,INDIRECT($B$5&amp;"生成成长"),4))/(VLOOKUP(CK$72,INDIRECT($C$5&amp;"生成成长"),5))*(VLOOKUP($B$5,标准坦克设计!$B$24:$U$30,MATCH("对"&amp;LEFT($C$5,2)&amp;"输出",标准坦克设计!$B$23:$U$23,0)))*(VLOOKUP($B144,INDIRECT($B$5&amp;"生成成长"),3))*(VLOOKUP($B$5,标准坦克设计!$B$14:$K$20,9)/30))</f>
        <v>12.305930291590236</v>
      </c>
      <c r="CL144" s="172">
        <f ca="1">(VLOOKUP(CL$72,INDIRECT($C$5&amp;"生成成长"),2))/((VLOOKUP($B144,INDIRECT($B$5&amp;"生成成长"),4))/(VLOOKUP(CL$72,INDIRECT($C$5&amp;"生成成长"),5))*(VLOOKUP($B$5,标准坦克设计!$B$24:$U$30,MATCH("对"&amp;LEFT($C$5,2)&amp;"输出",标准坦克设计!$B$23:$U$23,0)))*(VLOOKUP($B144,INDIRECT($B$5&amp;"生成成长"),3))*(VLOOKUP($B$5,标准坦克设计!$B$14:$K$20,9)/30))</f>
        <v>13.13999890024246</v>
      </c>
      <c r="CM144" s="172">
        <f ca="1">(VLOOKUP(CM$72,INDIRECT($C$5&amp;"生成成长"),2))/((VLOOKUP($B144,INDIRECT($B$5&amp;"生成成长"),4))/(VLOOKUP(CM$72,INDIRECT($C$5&amp;"生成成长"),5))*(VLOOKUP($B$5,标准坦克设计!$B$24:$U$30,MATCH("对"&amp;LEFT($C$5,2)&amp;"输出",标准坦克设计!$B$23:$U$23,0)))*(VLOOKUP($B144,INDIRECT($B$5&amp;"生成成长"),3))*(VLOOKUP($B$5,标准坦克设计!$B$14:$K$20,9)/30))</f>
        <v>14.001414020653776</v>
      </c>
      <c r="CN144" s="172">
        <f ca="1">(VLOOKUP(CN$72,INDIRECT($C$5&amp;"生成成长"),2))/((VLOOKUP($B144,INDIRECT($B$5&amp;"生成成长"),4))/(VLOOKUP(CN$72,INDIRECT($C$5&amp;"生成成长"),5))*(VLOOKUP($B$5,标准坦克设计!$B$24:$U$30,MATCH("对"&amp;LEFT($C$5,2)&amp;"输出",标准坦克设计!$B$23:$U$23,0)))*(VLOOKUP($B144,INDIRECT($B$5&amp;"生成成长"),3))*(VLOOKUP($B$5,标准坦克设计!$B$14:$K$20,9)/30))</f>
        <v>14.890175652824183</v>
      </c>
      <c r="CO144" s="172">
        <f ca="1">(VLOOKUP(CO$72,INDIRECT($C$5&amp;"生成成长"),2))/((VLOOKUP($B144,INDIRECT($B$5&amp;"生成成长"),4))/(VLOOKUP(CO$72,INDIRECT($C$5&amp;"生成成长"),5))*(VLOOKUP($B$5,标准坦克设计!$B$24:$U$30,MATCH("对"&amp;LEFT($C$5,2)&amp;"输出",标准坦克设计!$B$23:$U$23,0)))*(VLOOKUP($B144,INDIRECT($B$5&amp;"生成成长"),3))*(VLOOKUP($B$5,标准坦克设计!$B$14:$K$20,9)/30))</f>
        <v>6.6726618713325214</v>
      </c>
      <c r="CP144" s="172">
        <f ca="1">(VLOOKUP(CP$72,INDIRECT($C$5&amp;"生成成长"),2))/((VLOOKUP($B144,INDIRECT($B$5&amp;"生成成长"),4))/(VLOOKUP(CP$72,INDIRECT($C$5&amp;"生成成长"),5))*(VLOOKUP($B$5,标准坦克设计!$B$24:$U$30,MATCH("对"&amp;LEFT($C$5,2)&amp;"输出",标准坦克设计!$B$23:$U$23,0)))*(VLOOKUP($B144,INDIRECT($B$5&amp;"生成成长"),3))*(VLOOKUP($B$5,标准坦克设计!$B$14:$K$20,9)/30))</f>
        <v>7.2904444324355877</v>
      </c>
      <c r="CQ144" s="172">
        <f ca="1">(VLOOKUP(CQ$72,INDIRECT($C$5&amp;"生成成长"),2))/((VLOOKUP($B144,INDIRECT($B$5&amp;"生成成长"),4))/(VLOOKUP(CQ$72,INDIRECT($C$5&amp;"生成成长"),5))*(VLOOKUP($B$5,标准坦克设计!$B$24:$U$30,MATCH("对"&amp;LEFT($C$5,2)&amp;"输出",标准坦克设计!$B$23:$U$23,0)))*(VLOOKUP($B144,INDIRECT($B$5&amp;"生成成长"),3))*(VLOOKUP($B$5,标准坦克设计!$B$14:$K$20,9)/30))</f>
        <v>7.9355735052977421</v>
      </c>
      <c r="CR144" s="172">
        <f ca="1">(VLOOKUP(CR$72,INDIRECT($C$5&amp;"生成成长"),2))/((VLOOKUP($B144,INDIRECT($B$5&amp;"生成成长"),4))/(VLOOKUP(CR$72,INDIRECT($C$5&amp;"生成成长"),5))*(VLOOKUP($B$5,标准坦克设计!$B$24:$U$30,MATCH("对"&amp;LEFT($C$5,2)&amp;"输出",标准坦克设计!$B$23:$U$23,0)))*(VLOOKUP($B144,INDIRECT($B$5&amp;"生成成长"),3))*(VLOOKUP($B$5,标准坦克设计!$B$14:$K$20,9)/30))</f>
        <v>8.6080490899189872</v>
      </c>
      <c r="CS144" s="172">
        <f ca="1">(VLOOKUP(CS$72,INDIRECT($C$5&amp;"生成成长"),2))/((VLOOKUP($B144,INDIRECT($B$5&amp;"生成成长"),4))/(VLOOKUP(CS$72,INDIRECT($C$5&amp;"生成成长"),5))*(VLOOKUP($B$5,标准坦克设计!$B$24:$U$30,MATCH("对"&amp;LEFT($C$5,2)&amp;"输出",标准坦克设计!$B$23:$U$23,0)))*(VLOOKUP($B144,INDIRECT($B$5&amp;"生成成长"),3))*(VLOOKUP($B$5,标准坦克设计!$B$14:$K$20,9)/30))</f>
        <v>9.3078711862993213</v>
      </c>
      <c r="CT144" s="172">
        <f ca="1">(VLOOKUP(CT$72,INDIRECT($C$5&amp;"生成成长"),2))/((VLOOKUP($B144,INDIRECT($B$5&amp;"生成成长"),4))/(VLOOKUP(CT$72,INDIRECT($C$5&amp;"生成成长"),5))*(VLOOKUP($B$5,标准坦克设计!$B$24:$U$30,MATCH("对"&amp;LEFT($C$5,2)&amp;"输出",标准坦克设计!$B$23:$U$23,0)))*(VLOOKUP($B144,INDIRECT($B$5&amp;"生成成长"),3))*(VLOOKUP($B$5,标准坦克设计!$B$14:$K$20,9)/30))</f>
        <v>10.035039794438742</v>
      </c>
      <c r="CU144" s="172">
        <f ca="1">(VLOOKUP(CU$72,INDIRECT($C$5&amp;"生成成长"),2))/((VLOOKUP($B144,INDIRECT($B$5&amp;"生成成长"),4))/(VLOOKUP(CU$72,INDIRECT($C$5&amp;"生成成长"),5))*(VLOOKUP($B$5,标准坦克设计!$B$24:$U$30,MATCH("对"&amp;LEFT($C$5,2)&amp;"输出",标准坦克设计!$B$23:$U$23,0)))*(VLOOKUP($B144,INDIRECT($B$5&amp;"生成成长"),3))*(VLOOKUP($B$5,标准坦克设计!$B$14:$K$20,9)/30))</f>
        <v>10.789554914337256</v>
      </c>
      <c r="CV144" s="172">
        <f ca="1">(VLOOKUP(CV$72,INDIRECT($C$5&amp;"生成成长"),2))/((VLOOKUP($B144,INDIRECT($B$5&amp;"生成成长"),4))/(VLOOKUP(CV$72,INDIRECT($C$5&amp;"生成成长"),5))*(VLOOKUP($B$5,标准坦克设计!$B$24:$U$30,MATCH("对"&amp;LEFT($C$5,2)&amp;"输出",标准坦克设计!$B$23:$U$23,0)))*(VLOOKUP($B144,INDIRECT($B$5&amp;"生成成长"),3))*(VLOOKUP($B$5,标准坦克设计!$B$14:$K$20,9)/30))</f>
        <v>11.571416545994857</v>
      </c>
      <c r="CW144" s="172">
        <f ca="1">(VLOOKUP(CW$72,INDIRECT($C$5&amp;"生成成长"),2))/((VLOOKUP($B144,INDIRECT($B$5&amp;"生成成长"),4))/(VLOOKUP(CW$72,INDIRECT($C$5&amp;"生成成长"),5))*(VLOOKUP($B$5,标准坦克设计!$B$24:$U$30,MATCH("对"&amp;LEFT($C$5,2)&amp;"输出",标准坦克设计!$B$23:$U$23,0)))*(VLOOKUP($B144,INDIRECT($B$5&amp;"生成成长"),3))*(VLOOKUP($B$5,标准坦克设计!$B$14:$K$20,9)/30))</f>
        <v>12.380624689411549</v>
      </c>
      <c r="CX144" s="172">
        <f ca="1">(VLOOKUP(CX$72,INDIRECT($C$5&amp;"生成成长"),2))/((VLOOKUP($B144,INDIRECT($B$5&amp;"生成成长"),4))/(VLOOKUP(CX$72,INDIRECT($C$5&amp;"生成成长"),5))*(VLOOKUP($B$5,标准坦克设计!$B$24:$U$30,MATCH("对"&amp;LEFT($C$5,2)&amp;"输出",标准坦克设计!$B$23:$U$23,0)))*(VLOOKUP($B144,INDIRECT($B$5&amp;"生成成长"),3))*(VLOOKUP($B$5,标准坦克设计!$B$14:$K$20,9)/30))</f>
        <v>13.217179344587329</v>
      </c>
      <c r="CY144" s="172">
        <f ca="1">(VLOOKUP(CY$72,INDIRECT($C$5&amp;"生成成长"),2))/((VLOOKUP($B144,INDIRECT($B$5&amp;"生成成长"),4))/(VLOOKUP(CY$72,INDIRECT($C$5&amp;"生成成长"),5))*(VLOOKUP($B$5,标准坦克设计!$B$24:$U$30,MATCH("对"&amp;LEFT($C$5,2)&amp;"输出",标准坦克设计!$B$23:$U$23,0)))*(VLOOKUP($B144,INDIRECT($B$5&amp;"生成成长"),3))*(VLOOKUP($B$5,标准坦克设计!$B$14:$K$20,9)/30))</f>
        <v>14.081080511522199</v>
      </c>
      <c r="CZ144" s="172">
        <f ca="1">(VLOOKUP(CZ$72,INDIRECT($C$5&amp;"生成成长"),2))/((VLOOKUP($B144,INDIRECT($B$5&amp;"生成成长"),4))/(VLOOKUP(CZ$72,INDIRECT($C$5&amp;"生成成长"),5))*(VLOOKUP($B$5,标准坦克设计!$B$24:$U$30,MATCH("对"&amp;LEFT($C$5,2)&amp;"输出",标准坦克设计!$B$23:$U$23,0)))*(VLOOKUP($B144,INDIRECT($B$5&amp;"生成成长"),3))*(VLOOKUP($B$5,标准坦克设计!$B$14:$K$20,9)/30))</f>
        <v>14.972328190216157</v>
      </c>
      <c r="DA144" s="172">
        <f ca="1">(VLOOKUP(DA$72,INDIRECT($C$5&amp;"生成成长"),2))/((VLOOKUP($B144,INDIRECT($B$5&amp;"生成成长"),4))/(VLOOKUP(DA$72,INDIRECT($C$5&amp;"生成成长"),5))*(VLOOKUP($B$5,标准坦克设计!$B$24:$U$30,MATCH("对"&amp;LEFT($C$5,2)&amp;"输出",标准坦克设计!$B$23:$U$23,0)))*(VLOOKUP($B144,INDIRECT($B$5&amp;"生成成长"),3))*(VLOOKUP($B$5,标准坦克设计!$B$14:$K$20,9)/30))</f>
        <v>15.890922380669206</v>
      </c>
      <c r="DB144" s="172">
        <f ca="1">(VLOOKUP(DB$72,INDIRECT($C$5&amp;"生成成长"),2))/((VLOOKUP($B144,INDIRECT($B$5&amp;"生成成长"),4))/(VLOOKUP(DB$72,INDIRECT($C$5&amp;"生成成长"),5))*(VLOOKUP($B$5,标准坦克设计!$B$24:$U$30,MATCH("对"&amp;LEFT($C$5,2)&amp;"输出",标准坦克设计!$B$23:$U$23,0)))*(VLOOKUP($B144,INDIRECT($B$5&amp;"生成成长"),3))*(VLOOKUP($B$5,标准坦克设计!$B$14:$K$20,9)/30))</f>
        <v>16.836863082881344</v>
      </c>
      <c r="DC144" s="172">
        <f ca="1">(VLOOKUP(DC$72,INDIRECT($C$5&amp;"生成成长"),2))/((VLOOKUP($B144,INDIRECT($B$5&amp;"生成成长"),4))/(VLOOKUP(DC$72,INDIRECT($C$5&amp;"生成成长"),5))*(VLOOKUP($B$5,标准坦克设计!$B$24:$U$30,MATCH("对"&amp;LEFT($C$5,2)&amp;"输出",标准坦克设计!$B$23:$U$23,0)))*(VLOOKUP($B144,INDIRECT($B$5&amp;"生成成长"),3))*(VLOOKUP($B$5,标准坦克设计!$B$14:$K$20,9)/30))</f>
        <v>17.899986978044623</v>
      </c>
      <c r="DD144" s="172">
        <f ca="1">(VLOOKUP(DD$72,INDIRECT($C$5&amp;"生成成长"),2))/((VLOOKUP($B144,INDIRECT($B$5&amp;"生成成长"),4))/(VLOOKUP(DD$72,INDIRECT($C$5&amp;"生成成长"),5))*(VLOOKUP($B$5,标准坦克设计!$B$24:$U$30,MATCH("对"&amp;LEFT($C$5,2)&amp;"输出",标准坦克设计!$B$23:$U$23,0)))*(VLOOKUP($B144,INDIRECT($B$5&amp;"生成成长"),3))*(VLOOKUP($B$5,标准坦克设计!$B$14:$K$20,9)/30))</f>
        <v>18.995655482243507</v>
      </c>
      <c r="DE144" s="172">
        <f ca="1">(VLOOKUP(DE$72,INDIRECT($C$5&amp;"生成成长"),2))/((VLOOKUP($B144,INDIRECT($B$5&amp;"生成成长"),4))/(VLOOKUP(DE$72,INDIRECT($C$5&amp;"生成成长"),5))*(VLOOKUP($B$5,标准坦克设计!$B$24:$U$30,MATCH("对"&amp;LEFT($C$5,2)&amp;"输出",标准坦克设计!$B$23:$U$23,0)))*(VLOOKUP($B144,INDIRECT($B$5&amp;"生成成长"),3))*(VLOOKUP($B$5,标准坦克设计!$B$14:$K$20,9)/30))</f>
        <v>20.123868595478008</v>
      </c>
      <c r="DF144" s="172">
        <f ca="1">(VLOOKUP(DF$72,INDIRECT($C$5&amp;"生成成长"),2))/((VLOOKUP($B144,INDIRECT($B$5&amp;"生成成长"),4))/(VLOOKUP(DF$72,INDIRECT($C$5&amp;"生成成长"),5))*(VLOOKUP($B$5,标准坦克设计!$B$24:$U$30,MATCH("对"&amp;LEFT($C$5,2)&amp;"输出",标准坦克设计!$B$23:$U$23,0)))*(VLOOKUP($B144,INDIRECT($B$5&amp;"生成成长"),3))*(VLOOKUP($B$5,标准坦克设计!$B$14:$K$20,9)/30))</f>
        <v>21.284626317748117</v>
      </c>
      <c r="DG144" s="172">
        <f ca="1">(VLOOKUP(DG$72,INDIRECT($C$5&amp;"生成成长"),2))/((VLOOKUP($B144,INDIRECT($B$5&amp;"生成成长"),4))/(VLOOKUP(DG$72,INDIRECT($C$5&amp;"生成成长"),5))*(VLOOKUP($B$5,标准坦克设计!$B$24:$U$30,MATCH("对"&amp;LEFT($C$5,2)&amp;"输出",标准坦克设计!$B$23:$U$23,0)))*(VLOOKUP($B144,INDIRECT($B$5&amp;"生成成长"),3))*(VLOOKUP($B$5,标准坦克设计!$B$14:$K$20,9)/30))</f>
        <v>22.47792864905384</v>
      </c>
      <c r="DH144" s="172">
        <f ca="1">(VLOOKUP(DH$72,INDIRECT($C$5&amp;"生成成长"),2))/((VLOOKUP($B144,INDIRECT($B$5&amp;"生成成长"),4))/(VLOOKUP(DH$72,INDIRECT($C$5&amp;"生成成长"),5))*(VLOOKUP($B$5,标准坦克设计!$B$24:$U$30,MATCH("对"&amp;LEFT($C$5,2)&amp;"输出",标准坦克设计!$B$23:$U$23,0)))*(VLOOKUP($B144,INDIRECT($B$5&amp;"生成成长"),3))*(VLOOKUP($B$5,标准坦克设计!$B$14:$K$20,9)/30))</f>
        <v>23.703775589395168</v>
      </c>
      <c r="DI144" s="172">
        <f ca="1">(VLOOKUP(DI$72,INDIRECT($C$5&amp;"生成成长"),2))/((VLOOKUP($B144,INDIRECT($B$5&amp;"生成成长"),4))/(VLOOKUP(DI$72,INDIRECT($C$5&amp;"生成成长"),5))*(VLOOKUP($B$5,标准坦克设计!$B$24:$U$30,MATCH("对"&amp;LEFT($C$5,2)&amp;"输出",标准坦克设计!$B$23:$U$23,0)))*(VLOOKUP($B144,INDIRECT($B$5&amp;"生成成长"),3))*(VLOOKUP($B$5,标准坦克设计!$B$14:$K$20,9)/30))</f>
        <v>24.962167138772102</v>
      </c>
      <c r="DJ144" s="172">
        <f ca="1">(VLOOKUP(DJ$72,INDIRECT($C$5&amp;"生成成长"),2))/((VLOOKUP($B144,INDIRECT($B$5&amp;"生成成长"),4))/(VLOOKUP(DJ$72,INDIRECT($C$5&amp;"生成成长"),5))*(VLOOKUP($B$5,标准坦克设计!$B$24:$U$30,MATCH("对"&amp;LEFT($C$5,2)&amp;"输出",标准坦克设计!$B$23:$U$23,0)))*(VLOOKUP($B144,INDIRECT($B$5&amp;"生成成长"),3))*(VLOOKUP($B$5,标准坦克设计!$B$14:$K$20,9)/30))</f>
        <v>2.5087599486096854</v>
      </c>
      <c r="DK144" s="172">
        <f ca="1">(VLOOKUP(DK$72,INDIRECT($C$5&amp;"生成成长"),2))/((VLOOKUP($B144,INDIRECT($B$5&amp;"生成成长"),4))/(VLOOKUP(DK$72,INDIRECT($C$5&amp;"生成成长"),5))*(VLOOKUP($B$5,标准坦克设计!$B$24:$U$30,MATCH("对"&amp;LEFT($C$5,2)&amp;"输出",标准坦克设计!$B$23:$U$23,0)))*(VLOOKUP($B144,INDIRECT($B$5&amp;"生成成长"),3))*(VLOOKUP($B$5,标准坦克设计!$B$14:$K$20,9)/30))</f>
        <v>2.8209847915450741</v>
      </c>
      <c r="DL144" s="172">
        <f ca="1">(VLOOKUP(DL$72,INDIRECT($C$5&amp;"生成成长"),2))/((VLOOKUP($B144,INDIRECT($B$5&amp;"生成成长"),4))/(VLOOKUP(DL$72,INDIRECT($C$5&amp;"生成成长"),5))*(VLOOKUP($B$5,标准坦克设计!$B$24:$U$30,MATCH("对"&amp;LEFT($C$5,2)&amp;"输出",标准坦克设计!$B$23:$U$23,0)))*(VLOOKUP($B144,INDIRECT($B$5&amp;"生成成长"),3))*(VLOOKUP($B$5,标准坦克设计!$B$14:$K$20,9)/30))</f>
        <v>3.1515159770629935</v>
      </c>
      <c r="DM144" s="172">
        <f ca="1">(VLOOKUP(DM$72,INDIRECT($C$5&amp;"生成成长"),2))/((VLOOKUP($B144,INDIRECT($B$5&amp;"生成成长"),4))/(VLOOKUP(DM$72,INDIRECT($C$5&amp;"生成成长"),5))*(VLOOKUP($B$5,标准坦克设计!$B$24:$U$30,MATCH("对"&amp;LEFT($C$5,2)&amp;"输出",标准坦克设计!$B$23:$U$23,0)))*(VLOOKUP($B144,INDIRECT($B$5&amp;"生成成长"),3))*(VLOOKUP($B$5,标准坦克设计!$B$14:$K$20,9)/30))</f>
        <v>3.500353505163444</v>
      </c>
      <c r="DN144" s="172">
        <f ca="1">(VLOOKUP(DN$72,INDIRECT($C$5&amp;"生成成长"),2))/((VLOOKUP($B144,INDIRECT($B$5&amp;"生成成长"),4))/(VLOOKUP(DN$72,INDIRECT($C$5&amp;"生成成长"),5))*(VLOOKUP($B$5,标准坦克设计!$B$24:$U$30,MATCH("对"&amp;LEFT($C$5,2)&amp;"输出",标准坦克设计!$B$23:$U$23,0)))*(VLOOKUP($B144,INDIRECT($B$5&amp;"生成成长"),3))*(VLOOKUP($B$5,标准坦克设计!$B$14:$K$20,9)/30))</f>
        <v>3.8674973758464257</v>
      </c>
      <c r="DO144" s="172">
        <f ca="1">(VLOOKUP(DO$72,INDIRECT($C$5&amp;"生成成长"),2))/((VLOOKUP($B144,INDIRECT($B$5&amp;"生成成长"),4))/(VLOOKUP(DO$72,INDIRECT($C$5&amp;"生成成长"),5))*(VLOOKUP($B$5,标准坦克设计!$B$24:$U$30,MATCH("对"&amp;LEFT($C$5,2)&amp;"输出",标准坦克设计!$B$23:$U$23,0)))*(VLOOKUP($B144,INDIRECT($B$5&amp;"生成成长"),3))*(VLOOKUP($B$5,标准坦克设计!$B$14:$K$20,9)/30))</f>
        <v>4.2529475891119377</v>
      </c>
      <c r="DP144" s="172">
        <f ca="1">(VLOOKUP(DP$72,INDIRECT($C$5&amp;"生成成长"),2))/((VLOOKUP($B144,INDIRECT($B$5&amp;"生成成长"),4))/(VLOOKUP(DP$72,INDIRECT($C$5&amp;"生成成长"),5))*(VLOOKUP($B$5,标准坦克设计!$B$24:$U$30,MATCH("对"&amp;LEFT($C$5,2)&amp;"输出",标准坦克设计!$B$23:$U$23,0)))*(VLOOKUP($B144,INDIRECT($B$5&amp;"生成成长"),3))*(VLOOKUP($B$5,标准坦克设计!$B$14:$K$20,9)/30))</f>
        <v>4.6567041449599813</v>
      </c>
      <c r="DQ144" s="172">
        <f ca="1">(VLOOKUP(DQ$72,INDIRECT($C$5&amp;"生成成长"),2))/((VLOOKUP($B144,INDIRECT($B$5&amp;"生成成长"),4))/(VLOOKUP(DQ$72,INDIRECT($C$5&amp;"生成成长"),5))*(VLOOKUP($B$5,标准坦克设计!$B$24:$U$30,MATCH("对"&amp;LEFT($C$5,2)&amp;"输出",标准坦克设计!$B$23:$U$23,0)))*(VLOOKUP($B144,INDIRECT($B$5&amp;"生成成长"),3))*(VLOOKUP($B$5,标准坦克设计!$B$14:$K$20,9)/30))</f>
        <v>5.0787670433905543</v>
      </c>
      <c r="DR144" s="172">
        <f ca="1">(VLOOKUP(DR$72,INDIRECT($C$5&amp;"生成成长"),2))/((VLOOKUP($B144,INDIRECT($B$5&amp;"生成成长"),4))/(VLOOKUP(DR$72,INDIRECT($C$5&amp;"生成成长"),5))*(VLOOKUP($B$5,标准坦克设计!$B$24:$U$30,MATCH("对"&amp;LEFT($C$5,2)&amp;"输出",标准坦克设计!$B$23:$U$23,0)))*(VLOOKUP($B144,INDIRECT($B$5&amp;"生成成长"),3))*(VLOOKUP($B$5,标准坦克设计!$B$14:$K$20,9)/30))</f>
        <v>5.5191362844036602</v>
      </c>
      <c r="DS144" s="172">
        <f ca="1">(VLOOKUP(DS$72,INDIRECT($C$5&amp;"生成成长"),2))/((VLOOKUP($B144,INDIRECT($B$5&amp;"生成成长"),4))/(VLOOKUP(DS$72,INDIRECT($C$5&amp;"生成成长"),5))*(VLOOKUP($B$5,标准坦克设计!$B$24:$U$30,MATCH("对"&amp;LEFT($C$5,2)&amp;"输出",标准坦克设计!$B$23:$U$23,0)))*(VLOOKUP($B144,INDIRECT($B$5&amp;"生成成长"),3))*(VLOOKUP($B$5,标准坦克设计!$B$14:$K$20,9)/30))</f>
        <v>5.9778118679992964</v>
      </c>
      <c r="DT144" s="172">
        <f ca="1">(VLOOKUP(DT$72,INDIRECT($C$5&amp;"生成成长"),2))/((VLOOKUP($B144,INDIRECT($B$5&amp;"生成成长"),4))/(VLOOKUP(DT$72,INDIRECT($C$5&amp;"生成成长"),5))*(VLOOKUP($B$5,标准坦克设计!$B$24:$U$30,MATCH("对"&amp;LEFT($C$5,2)&amp;"输出",标准坦克设计!$B$23:$U$23,0)))*(VLOOKUP($B144,INDIRECT($B$5&amp;"生成成长"),3))*(VLOOKUP($B$5,标准坦克设计!$B$14:$K$20,9)/30))</f>
        <v>6.5632758242961655</v>
      </c>
      <c r="DU144" s="172">
        <f ca="1">(VLOOKUP(DU$72,INDIRECT($C$5&amp;"生成成长"),2))/((VLOOKUP($B144,INDIRECT($B$5&amp;"生成成长"),4))/(VLOOKUP(DU$72,INDIRECT($C$5&amp;"生成成长"),5))*(VLOOKUP($B$5,标准坦克设计!$B$24:$U$30,MATCH("对"&amp;LEFT($C$5,2)&amp;"输出",标准坦克设计!$B$23:$U$23,0)))*(VLOOKUP($B144,INDIRECT($B$5&amp;"生成成长"),3))*(VLOOKUP($B$5,标准坦克设计!$B$14:$K$20,9)/30))</f>
        <v>7.1760862923521227</v>
      </c>
      <c r="DV144" s="172">
        <f ca="1">(VLOOKUP(DV$72,INDIRECT($C$5&amp;"生成成长"),2))/((VLOOKUP($B144,INDIRECT($B$5&amp;"生成成长"),4))/(VLOOKUP(DV$72,INDIRECT($C$5&amp;"生成成长"),5))*(VLOOKUP($B$5,标准坦克设计!$B$24:$U$30,MATCH("对"&amp;LEFT($C$5,2)&amp;"输出",标准坦克设计!$B$23:$U$23,0)))*(VLOOKUP($B144,INDIRECT($B$5&amp;"生成成长"),3))*(VLOOKUP($B$5,标准坦克设计!$B$14:$K$20,9)/30))</f>
        <v>7.8162432721671715</v>
      </c>
      <c r="DW144" s="172">
        <f ca="1">(VLOOKUP(DW$72,INDIRECT($C$5&amp;"生成成长"),2))/((VLOOKUP($B144,INDIRECT($B$5&amp;"生成成长"),4))/(VLOOKUP(DW$72,INDIRECT($C$5&amp;"生成成长"),5))*(VLOOKUP($B$5,标准坦克设计!$B$24:$U$30,MATCH("对"&amp;LEFT($C$5,2)&amp;"输出",标准坦克设计!$B$23:$U$23,0)))*(VLOOKUP($B144,INDIRECT($B$5&amp;"生成成长"),3))*(VLOOKUP($B$5,标准坦克设计!$B$14:$K$20,9)/30))</f>
        <v>8.4837467637413084</v>
      </c>
      <c r="DX144" s="172">
        <f ca="1">(VLOOKUP(DX$72,INDIRECT($C$5&amp;"生成成长"),2))/((VLOOKUP($B144,INDIRECT($B$5&amp;"生成成长"),4))/(VLOOKUP(DX$72,INDIRECT($C$5&amp;"生成成长"),5))*(VLOOKUP($B$5,标准坦克设计!$B$24:$U$30,MATCH("对"&amp;LEFT($C$5,2)&amp;"输出",标准坦克设计!$B$23:$U$23,0)))*(VLOOKUP($B144,INDIRECT($B$5&amp;"生成成长"),3))*(VLOOKUP($B$5,标准坦克设计!$B$14:$K$20,9)/30))</f>
        <v>9.1785967670745325</v>
      </c>
      <c r="DY144" s="172">
        <f ca="1">(VLOOKUP(DY$72,INDIRECT($C$5&amp;"生成成长"),2))/((VLOOKUP($B144,INDIRECT($B$5&amp;"生成成长"),4))/(VLOOKUP(DY$72,INDIRECT($C$5&amp;"生成成长"),5))*(VLOOKUP($B$5,标准坦克设计!$B$24:$U$30,MATCH("对"&amp;LEFT($C$5,2)&amp;"输出",标准坦克设计!$B$23:$U$23,0)))*(VLOOKUP($B144,INDIRECT($B$5&amp;"生成成长"),3))*(VLOOKUP($B$5,标准坦克设计!$B$14:$K$20,9)/30))</f>
        <v>4.1224301466253754</v>
      </c>
      <c r="DZ144" s="172">
        <f ca="1">(VLOOKUP(DZ$72,INDIRECT($C$5&amp;"生成成长"),2))/((VLOOKUP($B144,INDIRECT($B$5&amp;"生成成长"),4))/(VLOOKUP(DZ$72,INDIRECT($C$5&amp;"生成成长"),5))*(VLOOKUP($B$5,标准坦克设计!$B$24:$U$30,MATCH("对"&amp;LEFT($C$5,2)&amp;"输出",标准坦克设计!$B$23:$U$23,0)))*(VLOOKUP($B144,INDIRECT($B$5&amp;"生成成长"),3))*(VLOOKUP($B$5,标准坦克设计!$B$14:$K$20,9)/30))</f>
        <v>4.5653984362767401</v>
      </c>
      <c r="EA144" s="172">
        <f ca="1">(VLOOKUP(EA$72,INDIRECT($C$5&amp;"生成成长"),2))/((VLOOKUP($B144,INDIRECT($B$5&amp;"生成成长"),4))/(VLOOKUP(EA$72,INDIRECT($C$5&amp;"生成成长"),5))*(VLOOKUP($B$5,标准坦克设计!$B$24:$U$30,MATCH("对"&amp;LEFT($C$5,2)&amp;"输出",标准坦克设计!$B$23:$U$23,0)))*(VLOOKUP($B144,INDIRECT($B$5&amp;"生成成长"),3))*(VLOOKUP($B$5,标准坦克设计!$B$14:$K$20,9)/30))</f>
        <v>5.030967148869502</v>
      </c>
      <c r="EB144" s="172">
        <f ca="1">(VLOOKUP(EB$72,INDIRECT($C$5&amp;"生成成长"),2))/((VLOOKUP($B144,INDIRECT($B$5&amp;"生成成长"),4))/(VLOOKUP(EB$72,INDIRECT($C$5&amp;"生成成长"),5))*(VLOOKUP($B$5,标准坦克设计!$B$24:$U$30,MATCH("对"&amp;LEFT($C$5,2)&amp;"输出",标准坦克设计!$B$23:$U$23,0)))*(VLOOKUP($B144,INDIRECT($B$5&amp;"生成成长"),3))*(VLOOKUP($B$5,标准坦克设计!$B$14:$K$20,9)/30))</f>
        <v>5.5191362844036602</v>
      </c>
      <c r="EC144" s="172">
        <f ca="1">(VLOOKUP(EC$72,INDIRECT($C$5&amp;"生成成长"),2))/((VLOOKUP($B144,INDIRECT($B$5&amp;"生成成长"),4))/(VLOOKUP(EC$72,INDIRECT($C$5&amp;"生成成长"),5))*(VLOOKUP($B$5,标准坦克设计!$B$24:$U$30,MATCH("对"&amp;LEFT($C$5,2)&amp;"输出",标准坦克设计!$B$23:$U$23,0)))*(VLOOKUP($B144,INDIRECT($B$5&amp;"生成成长"),3))*(VLOOKUP($B$5,标准坦克设计!$B$14:$K$20,9)/30))</f>
        <v>6.0299058428792156</v>
      </c>
      <c r="ED144" s="172">
        <f ca="1">(VLOOKUP(ED$72,INDIRECT($C$5&amp;"生成成长"),2))/((VLOOKUP($B144,INDIRECT($B$5&amp;"生成成长"),4))/(VLOOKUP(ED$72,INDIRECT($C$5&amp;"生成成长"),5))*(VLOOKUP($B$5,标准坦克设计!$B$24:$U$30,MATCH("对"&amp;LEFT($C$5,2)&amp;"输出",标准坦克设计!$B$23:$U$23,0)))*(VLOOKUP($B144,INDIRECT($B$5&amp;"生成成长"),3))*(VLOOKUP($B$5,标准坦克设计!$B$14:$K$20,9)/30))</f>
        <v>6.5632758242961655</v>
      </c>
      <c r="EE144" s="172">
        <f ca="1">(VLOOKUP(EE$72,INDIRECT($C$5&amp;"生成成长"),2))/((VLOOKUP($B144,INDIRECT($B$5&amp;"生成成长"),4))/(VLOOKUP(EE$72,INDIRECT($C$5&amp;"生成成长"),5))*(VLOOKUP($B$5,标准坦克设计!$B$24:$U$30,MATCH("对"&amp;LEFT($C$5,2)&amp;"输出",标准坦克设计!$B$23:$U$23,0)))*(VLOOKUP($B144,INDIRECT($B$5&amp;"生成成长"),3))*(VLOOKUP($B$5,标准坦克设计!$B$14:$K$20,9)/30))</f>
        <v>7.1192462286545117</v>
      </c>
      <c r="EF144" s="172">
        <f ca="1">(VLOOKUP(EF$72,INDIRECT($C$5&amp;"生成成长"),2))/((VLOOKUP($B144,INDIRECT($B$5&amp;"生成成长"),4))/(VLOOKUP(EF$72,INDIRECT($C$5&amp;"生成成长"),5))*(VLOOKUP($B$5,标准坦克设计!$B$24:$U$30,MATCH("对"&amp;LEFT($C$5,2)&amp;"输出",标准坦克设计!$B$23:$U$23,0)))*(VLOOKUP($B144,INDIRECT($B$5&amp;"生成成长"),3))*(VLOOKUP($B$5,标准坦克设计!$B$14:$K$20,9)/30))</f>
        <v>7.6978170559542534</v>
      </c>
      <c r="EG144" s="172">
        <f ca="1">(VLOOKUP(EG$72,INDIRECT($C$5&amp;"生成成长"),2))/((VLOOKUP($B144,INDIRECT($B$5&amp;"生成成长"),4))/(VLOOKUP(EG$72,INDIRECT($C$5&amp;"生成成长"),5))*(VLOOKUP($B$5,标准坦克设计!$B$24:$U$30,MATCH("对"&amp;LEFT($C$5,2)&amp;"输出",标准坦克设计!$B$23:$U$23,0)))*(VLOOKUP($B144,INDIRECT($B$5&amp;"生成成长"),3))*(VLOOKUP($B$5,标准坦克设计!$B$14:$K$20,9)/30))</f>
        <v>8.298988306195394</v>
      </c>
      <c r="EH144" s="172">
        <f ca="1">(VLOOKUP(EH$72,INDIRECT($C$5&amp;"生成成长"),2))/((VLOOKUP($B144,INDIRECT($B$5&amp;"生成成长"),4))/(VLOOKUP(EH$72,INDIRECT($C$5&amp;"生成成长"),5))*(VLOOKUP($B$5,标准坦克设计!$B$24:$U$30,MATCH("对"&amp;LEFT($C$5,2)&amp;"输出",标准坦克设计!$B$23:$U$23,0)))*(VLOOKUP($B144,INDIRECT($B$5&amp;"生成成长"),3))*(VLOOKUP($B$5,标准坦克设计!$B$14:$K$20,9)/30))</f>
        <v>8.9227599793779273</v>
      </c>
      <c r="EI144" s="172">
        <f ca="1">(VLOOKUP(EI$72,INDIRECT($C$5&amp;"生成成长"),2))/((VLOOKUP($B144,INDIRECT($B$5&amp;"生成成长"),4))/(VLOOKUP(EI$72,INDIRECT($C$5&amp;"生成成长"),5))*(VLOOKUP($B$5,标准坦克设计!$B$24:$U$30,MATCH("对"&amp;LEFT($C$5,2)&amp;"输出",标准坦克设计!$B$23:$U$23,0)))*(VLOOKUP($B144,INDIRECT($B$5&amp;"生成成长"),3))*(VLOOKUP($B$5,标准坦克设计!$B$14:$K$20,9)/30))</f>
        <v>9.5691320755018605</v>
      </c>
      <c r="EJ144" s="172">
        <f ca="1">(VLOOKUP(EJ$72,INDIRECT($C$5&amp;"生成成长"),2))/((VLOOKUP($B144,INDIRECT($B$5&amp;"生成成长"),4))/(VLOOKUP(EJ$72,INDIRECT($C$5&amp;"生成成长"),5))*(VLOOKUP($B$5,标准坦克设计!$B$24:$U$30,MATCH("对"&amp;LEFT($C$5,2)&amp;"输出",标准坦克设计!$B$23:$U$23,0)))*(VLOOKUP($B144,INDIRECT($B$5&amp;"生成成长"),3))*(VLOOKUP($B$5,标准坦克设计!$B$14:$K$20,9)/30))</f>
        <v>10.238104594567186</v>
      </c>
      <c r="EK144" s="172">
        <f ca="1">(VLOOKUP(EK$72,INDIRECT($C$5&amp;"生成成长"),2))/((VLOOKUP($B144,INDIRECT($B$5&amp;"生成成长"),4))/(VLOOKUP(EK$72,INDIRECT($C$5&amp;"生成成长"),5))*(VLOOKUP($B$5,标准坦克设计!$B$24:$U$30,MATCH("对"&amp;LEFT($C$5,2)&amp;"输出",标准坦克设计!$B$23:$U$23,0)))*(VLOOKUP($B144,INDIRECT($B$5&amp;"生成成长"),3))*(VLOOKUP($B$5,标准坦克设计!$B$14:$K$20,9)/30))</f>
        <v>11.070704175728224</v>
      </c>
      <c r="EL144" s="172">
        <f ca="1">(VLOOKUP(EL$72,INDIRECT($C$5&amp;"生成成长"),2))/((VLOOKUP($B144,INDIRECT($B$5&amp;"生成成长"),4))/(VLOOKUP(EL$72,INDIRECT($C$5&amp;"生成成长"),5))*(VLOOKUP($B$5,标准坦克设计!$B$24:$U$30,MATCH("对"&amp;LEFT($C$5,2)&amp;"输出",标准坦克设计!$B$23:$U$23,0)))*(VLOOKUP($B144,INDIRECT($B$5&amp;"生成成长"),3))*(VLOOKUP($B$5,标准坦克设计!$B$14:$K$20,9)/30))</f>
        <v>11.935848365924869</v>
      </c>
      <c r="EM144" s="172">
        <f ca="1">(VLOOKUP(EM$72,INDIRECT($C$5&amp;"生成成长"),2))/((VLOOKUP($B144,INDIRECT($B$5&amp;"生成成长"),4))/(VLOOKUP(EM$72,INDIRECT($C$5&amp;"生成成长"),5))*(VLOOKUP($B$5,标准坦克设计!$B$24:$U$30,MATCH("对"&amp;LEFT($C$5,2)&amp;"输出",标准坦克设计!$B$23:$U$23,0)))*(VLOOKUP($B144,INDIRECT($B$5&amp;"生成成长"),3))*(VLOOKUP($B$5,标准坦克设计!$B$14:$K$20,9)/30))</f>
        <v>12.833537165157129</v>
      </c>
      <c r="EN144" s="172">
        <f ca="1">(VLOOKUP(EN$72,INDIRECT($C$5&amp;"生成成长"),2))/((VLOOKUP($B144,INDIRECT($B$5&amp;"生成成长"),4))/(VLOOKUP(EN$72,INDIRECT($C$5&amp;"生成成长"),5))*(VLOOKUP($B$5,标准坦克设计!$B$24:$U$30,MATCH("对"&amp;LEFT($C$5,2)&amp;"输出",标准坦克设计!$B$23:$U$23,0)))*(VLOOKUP($B144,INDIRECT($B$5&amp;"生成成长"),3))*(VLOOKUP($B$5,标准坦克设计!$B$14:$K$20,9)/30))</f>
        <v>13.763770573424997</v>
      </c>
      <c r="EO144" s="172">
        <f ca="1">(VLOOKUP(EO$72,INDIRECT($C$5&amp;"生成成长"),2))/((VLOOKUP($B144,INDIRECT($B$5&amp;"生成成长"),4))/(VLOOKUP(EO$72,INDIRECT($C$5&amp;"生成成长"),5))*(VLOOKUP($B$5,标准坦克设计!$B$24:$U$30,MATCH("对"&amp;LEFT($C$5,2)&amp;"输出",标准坦克设计!$B$23:$U$23,0)))*(VLOOKUP($B144,INDIRECT($B$5&amp;"生成成长"),3))*(VLOOKUP($B$5,标准坦克设计!$B$14:$K$20,9)/30))</f>
        <v>14.726548590728475</v>
      </c>
      <c r="EP144" s="172">
        <f ca="1">(VLOOKUP(EP$72,INDIRECT($C$5&amp;"生成成长"),2))/((VLOOKUP($B144,INDIRECT($B$5&amp;"生成成长"),4))/(VLOOKUP(EP$72,INDIRECT($C$5&amp;"生成成长"),5))*(VLOOKUP($B$5,标准坦克设计!$B$24:$U$30,MATCH("对"&amp;LEFT($C$5,2)&amp;"输出",标准坦克设计!$B$23:$U$23,0)))*(VLOOKUP($B144,INDIRECT($B$5&amp;"生成成长"),3))*(VLOOKUP($B$5,标准坦克设计!$B$14:$K$20,9)/30))</f>
        <v>15.721871217067562</v>
      </c>
      <c r="EQ144" s="172">
        <f ca="1">(VLOOKUP(EQ$72,INDIRECT($C$5&amp;"生成成长"),2))/((VLOOKUP($B144,INDIRECT($B$5&amp;"生成成长"),4))/(VLOOKUP(EQ$72,INDIRECT($C$5&amp;"生成成长"),5))*(VLOOKUP($B$5,标准坦克设计!$B$24:$U$30,MATCH("对"&amp;LEFT($C$5,2)&amp;"输出",标准坦克设计!$B$23:$U$23,0)))*(VLOOKUP($B144,INDIRECT($B$5&amp;"生成成长"),3))*(VLOOKUP($B$5,标准坦克设计!$B$14:$K$20,9)/30))</f>
        <v>6.9500820629381606</v>
      </c>
      <c r="ER144" s="172">
        <f ca="1">(VLOOKUP(ER$72,INDIRECT($C$5&amp;"生成成长"),2))/((VLOOKUP($B144,INDIRECT($B$5&amp;"生成成长"),4))/(VLOOKUP(ER$72,INDIRECT($C$5&amp;"生成成长"),5))*(VLOOKUP($B$5,标准坦克设计!$B$24:$U$30,MATCH("对"&amp;LEFT($C$5,2)&amp;"输出",标准坦克设计!$B$23:$U$23,0)))*(VLOOKUP($B144,INDIRECT($B$5&amp;"生成成长"),3))*(VLOOKUP($B$5,标准坦克设计!$B$14:$K$20,9)/30))</f>
        <v>7.5802948566589947</v>
      </c>
      <c r="ES144" s="172">
        <f ca="1">(VLOOKUP(ES$72,INDIRECT($C$5&amp;"生成成长"),2))/((VLOOKUP($B144,INDIRECT($B$5&amp;"生成成长"),4))/(VLOOKUP(ES$72,INDIRECT($C$5&amp;"生成成长"),5))*(VLOOKUP($B$5,标准坦克设计!$B$24:$U$30,MATCH("对"&amp;LEFT($C$5,2)&amp;"输出",标准坦克设计!$B$23:$U$23,0)))*(VLOOKUP($B144,INDIRECT($B$5&amp;"生成成长"),3))*(VLOOKUP($B$5,标准坦克设计!$B$14:$K$20,9)/30))</f>
        <v>8.2378541621389161</v>
      </c>
      <c r="ET144" s="172">
        <f ca="1">(VLOOKUP(ET$72,INDIRECT($C$5&amp;"生成成长"),2))/((VLOOKUP($B144,INDIRECT($B$5&amp;"生成成长"),4))/(VLOOKUP(ET$72,INDIRECT($C$5&amp;"生成成长"),5))*(VLOOKUP($B$5,标准坦克设计!$B$24:$U$30,MATCH("对"&amp;LEFT($C$5,2)&amp;"输出",标准坦克设计!$B$23:$U$23,0)))*(VLOOKUP($B144,INDIRECT($B$5&amp;"生成成长"),3))*(VLOOKUP($B$5,标准坦克设计!$B$14:$K$20,9)/30))</f>
        <v>8.9227599793779273</v>
      </c>
      <c r="EU144" s="172">
        <f ca="1">(VLOOKUP(EU$72,INDIRECT($C$5&amp;"生成成长"),2))/((VLOOKUP($B144,INDIRECT($B$5&amp;"生成成长"),4))/(VLOOKUP(EU$72,INDIRECT($C$5&amp;"生成成长"),5))*(VLOOKUP($B$5,标准坦克设计!$B$24:$U$30,MATCH("对"&amp;LEFT($C$5,2)&amp;"输出",标准坦克设计!$B$23:$U$23,0)))*(VLOOKUP($B144,INDIRECT($B$5&amp;"生成成长"),3))*(VLOOKUP($B$5,标准坦克设计!$B$14:$K$20,9)/30))</f>
        <v>9.635012308376032</v>
      </c>
      <c r="EV144" s="172">
        <f ca="1">(VLOOKUP(EV$72,INDIRECT($C$5&amp;"生成成长"),2))/((VLOOKUP($B144,INDIRECT($B$5&amp;"生成成长"),4))/(VLOOKUP(EV$72,INDIRECT($C$5&amp;"生成成长"),5))*(VLOOKUP($B$5,标准坦克设计!$B$24:$U$30,MATCH("对"&amp;LEFT($C$5,2)&amp;"输出",标准坦克设计!$B$23:$U$23,0)))*(VLOOKUP($B144,INDIRECT($B$5&amp;"生成成长"),3))*(VLOOKUP($B$5,标准坦克设计!$B$14:$K$20,9)/30))</f>
        <v>10.374611149133221</v>
      </c>
      <c r="EW144" s="172">
        <f ca="1">(VLOOKUP(EW$72,INDIRECT($C$5&amp;"生成成长"),2))/((VLOOKUP($B144,INDIRECT($B$5&amp;"生成成长"),4))/(VLOOKUP(EW$72,INDIRECT($C$5&amp;"生成成长"),5))*(VLOOKUP($B$5,标准坦克设计!$B$24:$U$30,MATCH("对"&amp;LEFT($C$5,2)&amp;"输出",标准坦克设计!$B$23:$U$23,0)))*(VLOOKUP($B144,INDIRECT($B$5&amp;"生成成长"),3))*(VLOOKUP($B$5,标准坦克设计!$B$14:$K$20,9)/30))</f>
        <v>11.141556501649502</v>
      </c>
      <c r="EX144" s="172">
        <f ca="1">(VLOOKUP(EX$72,INDIRECT($C$5&amp;"生成成长"),2))/((VLOOKUP($B144,INDIRECT($B$5&amp;"生成成长"),4))/(VLOOKUP(EX$72,INDIRECT($C$5&amp;"生成成长"),5))*(VLOOKUP($B$5,标准坦克设计!$B$24:$U$30,MATCH("对"&amp;LEFT($C$5,2)&amp;"输出",标准坦克设计!$B$23:$U$23,0)))*(VLOOKUP($B144,INDIRECT($B$5&amp;"生成成长"),3))*(VLOOKUP($B$5,标准坦克设计!$B$14:$K$20,9)/30))</f>
        <v>11.935848365924869</v>
      </c>
      <c r="EY144" s="172">
        <f ca="1">(VLOOKUP(EY$72,INDIRECT($C$5&amp;"生成成长"),2))/((VLOOKUP($B144,INDIRECT($B$5&amp;"生成成长"),4))/(VLOOKUP(EY$72,INDIRECT($C$5&amp;"生成成长"),5))*(VLOOKUP($B$5,标准坦克设计!$B$24:$U$30,MATCH("对"&amp;LEFT($C$5,2)&amp;"输出",标准坦克设计!$B$23:$U$23,0)))*(VLOOKUP($B144,INDIRECT($B$5&amp;"生成成长"),3))*(VLOOKUP($B$5,标准坦克设计!$B$14:$K$20,9)/30))</f>
        <v>12.757486741959331</v>
      </c>
      <c r="EZ144" s="172">
        <f ca="1">(VLOOKUP(EZ$72,INDIRECT($C$5&amp;"生成成长"),2))/((VLOOKUP($B144,INDIRECT($B$5&amp;"生成成长"),4))/(VLOOKUP(EZ$72,INDIRECT($C$5&amp;"生成成长"),5))*(VLOOKUP($B$5,标准坦克设计!$B$24:$U$30,MATCH("对"&amp;LEFT($C$5,2)&amp;"输出",标准坦克设计!$B$23:$U$23,0)))*(VLOOKUP($B144,INDIRECT($B$5&amp;"生成成长"),3))*(VLOOKUP($B$5,标准坦克设计!$B$14:$K$20,9)/30))</f>
        <v>13.606471629752876</v>
      </c>
      <c r="FA144" s="172">
        <f ca="1">(VLOOKUP(FA$72,INDIRECT($C$5&amp;"生成成长"),2))/((VLOOKUP($B144,INDIRECT($B$5&amp;"生成成长"),4))/(VLOOKUP(FA$72,INDIRECT($C$5&amp;"生成成长"),5))*(VLOOKUP($B$5,标准坦克设计!$B$24:$U$30,MATCH("对"&amp;LEFT($C$5,2)&amp;"输出",标准坦克设计!$B$23:$U$23,0)))*(VLOOKUP($B144,INDIRECT($B$5&amp;"生成成长"),3))*(VLOOKUP($B$5,标准坦克设计!$B$14:$K$20,9)/30))</f>
        <v>14.482803029305517</v>
      </c>
      <c r="FB144" s="172">
        <f ca="1">(VLOOKUP(FB$72,INDIRECT($C$5&amp;"生成成长"),2))/((VLOOKUP($B144,INDIRECT($B$5&amp;"生成成长"),4))/(VLOOKUP(FB$72,INDIRECT($C$5&amp;"生成成长"),5))*(VLOOKUP($B$5,标准坦克设计!$B$24:$U$30,MATCH("对"&amp;LEFT($C$5,2)&amp;"输出",标准坦克设计!$B$23:$U$23,0)))*(VLOOKUP($B144,INDIRECT($B$5&amp;"生成成长"),3))*(VLOOKUP($B$5,标准坦克设计!$B$14:$K$20,9)/30))</f>
        <v>15.386480940617243</v>
      </c>
      <c r="FC144" s="172">
        <f ca="1">(VLOOKUP(FC$72,INDIRECT($C$5&amp;"生成成长"),2))/((VLOOKUP($B144,INDIRECT($B$5&amp;"生成成长"),4))/(VLOOKUP(FC$72,INDIRECT($C$5&amp;"生成成长"),5))*(VLOOKUP($B$5,标准坦克设计!$B$24:$U$30,MATCH("对"&amp;LEFT($C$5,2)&amp;"输出",标准坦克设计!$B$23:$U$23,0)))*(VLOOKUP($B144,INDIRECT($B$5&amp;"生成成长"),3))*(VLOOKUP($B$5,标准坦克设计!$B$14:$K$20,9)/30))</f>
        <v>16.317505363688056</v>
      </c>
      <c r="FD144" s="172">
        <f ca="1">(VLOOKUP(FD$72,INDIRECT($C$5&amp;"生成成长"),2))/((VLOOKUP($B144,INDIRECT($B$5&amp;"生成成长"),4))/(VLOOKUP(FD$72,INDIRECT($C$5&amp;"生成成长"),5))*(VLOOKUP($B$5,标准坦克设计!$B$24:$U$30,MATCH("对"&amp;LEFT($C$5,2)&amp;"输出",标准坦克设计!$B$23:$U$23,0)))*(VLOOKUP($B144,INDIRECT($B$5&amp;"生成成长"),3))*(VLOOKUP($B$5,标准坦克设计!$B$14:$K$20,9)/30))</f>
        <v>17.275876298517964</v>
      </c>
      <c r="FE144" s="172">
        <f ca="1">(VLOOKUP(FE$72,INDIRECT($C$5&amp;"生成成长"),2))/((VLOOKUP($B144,INDIRECT($B$5&amp;"生成成长"),4))/(VLOOKUP(FE$72,INDIRECT($C$5&amp;"生成成长"),5))*(VLOOKUP($B$5,标准坦克设计!$B$24:$U$30,MATCH("对"&amp;LEFT($C$5,2)&amp;"输出",标准坦克设计!$B$23:$U$23,0)))*(VLOOKUP($B144,INDIRECT($B$5&amp;"生成成长"),3))*(VLOOKUP($B$5,标准坦克设计!$B$14:$K$20,9)/30))</f>
        <v>18.443753154014615</v>
      </c>
      <c r="FF144" s="172">
        <f ca="1">(VLOOKUP(FF$72,INDIRECT($C$5&amp;"生成成长"),2))/((VLOOKUP($B144,INDIRECT($B$5&amp;"生成成长"),4))/(VLOOKUP(FF$72,INDIRECT($C$5&amp;"生成成长"),5))*(VLOOKUP($B$5,标准坦克设计!$B$24:$U$30,MATCH("对"&amp;LEFT($C$5,2)&amp;"输出",标准坦克设计!$B$23:$U$23,0)))*(VLOOKUP($B144,INDIRECT($B$5&amp;"生成成长"),3))*(VLOOKUP($B$5,标准坦克设计!$B$14:$K$20,9)/30))</f>
        <v>19.649824724282222</v>
      </c>
      <c r="FG144" s="172">
        <f ca="1">(VLOOKUP(FG$72,INDIRECT($C$5&amp;"生成成长"),2))/((VLOOKUP($B144,INDIRECT($B$5&amp;"生成成长"),4))/(VLOOKUP(FG$72,INDIRECT($C$5&amp;"生成成长"),5))*(VLOOKUP($B$5,标准坦克设计!$B$24:$U$30,MATCH("对"&amp;LEFT($C$5,2)&amp;"输出",标准坦克设计!$B$23:$U$23,0)))*(VLOOKUP($B144,INDIRECT($B$5&amp;"生成成长"),3))*(VLOOKUP($B$5,标准坦克设计!$B$14:$K$20,9)/30))</f>
        <v>20.894091009320793</v>
      </c>
      <c r="FH144" s="172">
        <f ca="1">(VLOOKUP(FH$72,INDIRECT($C$5&amp;"生成成长"),2))/((VLOOKUP($B144,INDIRECT($B$5&amp;"生成成长"),4))/(VLOOKUP(FH$72,INDIRECT($C$5&amp;"生成成长"),5))*(VLOOKUP($B$5,标准坦克设计!$B$24:$U$30,MATCH("对"&amp;LEFT($C$5,2)&amp;"输出",标准坦克设计!$B$23:$U$23,0)))*(VLOOKUP($B144,INDIRECT($B$5&amp;"生成成长"),3))*(VLOOKUP($B$5,标准坦克设计!$B$14:$K$20,9)/30))</f>
        <v>22.176552009130319</v>
      </c>
      <c r="FI144" s="172">
        <f ca="1">(VLOOKUP(FI$72,INDIRECT($C$5&amp;"生成成长"),2))/((VLOOKUP($B144,INDIRECT($B$5&amp;"生成成长"),4))/(VLOOKUP(FI$72,INDIRECT($C$5&amp;"生成成长"),5))*(VLOOKUP($B$5,标准坦克设计!$B$24:$U$30,MATCH("对"&amp;LEFT($C$5,2)&amp;"输出",标准坦克设计!$B$23:$U$23,0)))*(VLOOKUP($B144,INDIRECT($B$5&amp;"生成成长"),3))*(VLOOKUP($B$5,标准坦克设计!$B$14:$K$20,9)/30))</f>
        <v>23.497207723710808</v>
      </c>
      <c r="FJ144" s="172">
        <f ca="1">(VLOOKUP(FJ$72,INDIRECT($C$5&amp;"生成成长"),2))/((VLOOKUP($B144,INDIRECT($B$5&amp;"生成成长"),4))/(VLOOKUP(FJ$72,INDIRECT($C$5&amp;"生成成长"),5))*(VLOOKUP($B$5,标准坦克设计!$B$24:$U$30,MATCH("对"&amp;LEFT($C$5,2)&amp;"输出",标准坦克设计!$B$23:$U$23,0)))*(VLOOKUP($B144,INDIRECT($B$5&amp;"生成成长"),3))*(VLOOKUP($B$5,标准坦克设计!$B$14:$K$20,9)/30))</f>
        <v>24.856058153062254</v>
      </c>
      <c r="FK144" s="172">
        <f ca="1">(VLOOKUP(FK$72,INDIRECT($C$5&amp;"生成成长"),2))/((VLOOKUP($B144,INDIRECT($B$5&amp;"生成成长"),4))/(VLOOKUP(FK$72,INDIRECT($C$5&amp;"生成成长"),5))*(VLOOKUP($B$5,标准坦克设计!$B$24:$U$30,MATCH("对"&amp;LEFT($C$5,2)&amp;"输出",标准坦克设计!$B$23:$U$23,0)))*(VLOOKUP($B144,INDIRECT($B$5&amp;"生成成长"),3))*(VLOOKUP($B$5,标准坦克设计!$B$14:$K$20,9)/30))</f>
        <v>26.253103297184662</v>
      </c>
    </row>
    <row r="145" spans="1:167" x14ac:dyDescent="0.15">
      <c r="A145" s="170" t="str">
        <f t="shared" si="12"/>
        <v>T4中品质1级</v>
      </c>
      <c r="B145" s="171">
        <v>20401</v>
      </c>
      <c r="C145" s="172">
        <f ca="1">(VLOOKUP(C$72,INDIRECT($C$5&amp;"生成成长"),2))/((VLOOKUP($B145,INDIRECT($B$5&amp;"生成成长"),4))/(VLOOKUP(C$72,INDIRECT($C$5&amp;"生成成长"),5))*(VLOOKUP($B$5,标准坦克设计!$B$24:$U$30,MATCH("对"&amp;LEFT($C$5,2)&amp;"输出",标准坦克设计!$B$23:$U$23,0)))*(VLOOKUP($B145,INDIRECT($B$5&amp;"生成成长"),3))*(VLOOKUP($B$5,标准坦克设计!$B$14:$K$20,9)/30))</f>
        <v>2.4748801454984846</v>
      </c>
      <c r="D145" s="172">
        <f ca="1">(VLOOKUP(D$72,INDIRECT($C$5&amp;"生成成长"),2))/((VLOOKUP($B145,INDIRECT($B$5&amp;"生成成长"),4))/(VLOOKUP(D$72,INDIRECT($C$5&amp;"生成成长"),5))*(VLOOKUP($B$5,标准坦克设计!$B$24:$U$30,MATCH("对"&amp;LEFT($C$5,2)&amp;"输出",标准坦克设计!$B$23:$U$23,0)))*(VLOOKUP($B145,INDIRECT($B$5&amp;"生成成长"),3))*(VLOOKUP($B$5,标准坦克设计!$B$14:$K$20,9)/30))</f>
        <v>2.7807753314820975</v>
      </c>
      <c r="E145" s="172">
        <f ca="1">(VLOOKUP(E$72,INDIRECT($C$5&amp;"生成成长"),2))/((VLOOKUP($B145,INDIRECT($B$5&amp;"生成成长"),4))/(VLOOKUP(E$72,INDIRECT($C$5&amp;"生成成长"),5))*(VLOOKUP($B$5,标准坦克设计!$B$24:$U$30,MATCH("对"&amp;LEFT($C$5,2)&amp;"输出",标准坦克设计!$B$23:$U$23,0)))*(VLOOKUP($B145,INDIRECT($B$5&amp;"生成成长"),3))*(VLOOKUP($B$5,标准坦克设计!$B$14:$K$20,9)/30))</f>
        <v>3.1044896545132996</v>
      </c>
      <c r="F145" s="172">
        <f ca="1">(VLOOKUP(F$72,INDIRECT($C$5&amp;"生成成长"),2))/((VLOOKUP($B145,INDIRECT($B$5&amp;"生成成长"),4))/(VLOOKUP(F$72,INDIRECT($C$5&amp;"生成成长"),5))*(VLOOKUP($B$5,标准坦克设计!$B$24:$U$30,MATCH("对"&amp;LEFT($C$5,2)&amp;"输出",标准坦克设计!$B$23:$U$23,0)))*(VLOOKUP($B145,INDIRECT($B$5&amp;"生成成长"),3))*(VLOOKUP($B$5,标准坦克设计!$B$14:$K$20,9)/30))</f>
        <v>3.4460231145920903</v>
      </c>
      <c r="G145" s="172">
        <f ca="1">(VLOOKUP(G$72,INDIRECT($C$5&amp;"生成成长"),2))/((VLOOKUP($B145,INDIRECT($B$5&amp;"生成成长"),4))/(VLOOKUP(G$72,INDIRECT($C$5&amp;"生成成长"),5))*(VLOOKUP($B$5,标准坦克设计!$B$24:$U$30,MATCH("对"&amp;LEFT($C$5,2)&amp;"输出",标准坦克设计!$B$23:$U$23,0)))*(VLOOKUP($B145,INDIRECT($B$5&amp;"生成成长"),3))*(VLOOKUP($B$5,标准坦克设计!$B$14:$K$20,9)/30))</f>
        <v>3.805375711718471</v>
      </c>
      <c r="H145" s="172">
        <f ca="1">(VLOOKUP(H$72,INDIRECT($C$5&amp;"生成成长"),2))/((VLOOKUP($B145,INDIRECT($B$5&amp;"生成成长"),4))/(VLOOKUP(H$72,INDIRECT($C$5&amp;"生成成长"),5))*(VLOOKUP($B$5,标准坦克设计!$B$24:$U$30,MATCH("对"&amp;LEFT($C$5,2)&amp;"输出",标准坦克设计!$B$23:$U$23,0)))*(VLOOKUP($B145,INDIRECT($B$5&amp;"生成成长"),3))*(VLOOKUP($B$5,标准坦克设计!$B$14:$K$20,9)/30))</f>
        <v>3.3301987237827615</v>
      </c>
      <c r="I145" s="172">
        <f ca="1">(VLOOKUP(I$72,INDIRECT($C$5&amp;"生成成长"),2))/((VLOOKUP($B145,INDIRECT($B$5&amp;"生成成长"),4))/(VLOOKUP(I$72,INDIRECT($C$5&amp;"生成成长"),5))*(VLOOKUP($B$5,标准坦克设计!$B$24:$U$30,MATCH("对"&amp;LEFT($C$5,2)&amp;"输出",标准坦克设计!$B$23:$U$23,0)))*(VLOOKUP($B145,INDIRECT($B$5&amp;"生成成长"),3))*(VLOOKUP($B$5,标准坦克设计!$B$14:$K$20,9)/30))</f>
        <v>3.805375711718471</v>
      </c>
      <c r="J145" s="172">
        <f ca="1">(VLOOKUP(J$72,INDIRECT($C$5&amp;"生成成长"),2))/((VLOOKUP($B145,INDIRECT($B$5&amp;"生成成长"),4))/(VLOOKUP(J$72,INDIRECT($C$5&amp;"生成成长"),5))*(VLOOKUP($B$5,标准坦克设计!$B$24:$U$30,MATCH("对"&amp;LEFT($C$5,2)&amp;"输出",标准坦克设计!$B$23:$U$23,0)))*(VLOOKUP($B145,INDIRECT($B$5&amp;"生成成长"),3))*(VLOOKUP($B$5,标准坦克设计!$B$14:$K$20,9)/30))</f>
        <v>4.3122311655165602</v>
      </c>
      <c r="K145" s="172">
        <f ca="1">(VLOOKUP(K$72,INDIRECT($C$5&amp;"生成成长"),2))/((VLOOKUP($B145,INDIRECT($B$5&amp;"生成成长"),4))/(VLOOKUP(K$72,INDIRECT($C$5&amp;"生成成长"),5))*(VLOOKUP($B$5,标准坦克设计!$B$24:$U$30,MATCH("对"&amp;LEFT($C$5,2)&amp;"输出",标准坦克设计!$B$23:$U$23,0)))*(VLOOKUP($B145,INDIRECT($B$5&amp;"生成成长"),3))*(VLOOKUP($B$5,标准坦克设计!$B$14:$K$20,9)/30))</f>
        <v>4.8507650851770308</v>
      </c>
      <c r="L145" s="172">
        <f ca="1">(VLOOKUP(L$72,INDIRECT($C$5&amp;"生成成长"),2))/((VLOOKUP($B145,INDIRECT($B$5&amp;"生成成长"),4))/(VLOOKUP(L$72,INDIRECT($C$5&amp;"生成成长"),5))*(VLOOKUP($B$5,标准坦克设计!$B$24:$U$30,MATCH("对"&amp;LEFT($C$5,2)&amp;"输出",标准坦克设计!$B$23:$U$23,0)))*(VLOOKUP($B145,INDIRECT($B$5&amp;"生成成长"),3))*(VLOOKUP($B$5,标准坦克设计!$B$14:$K$20,9)/30))</f>
        <v>5.4209774706998815</v>
      </c>
      <c r="M145" s="172">
        <f ca="1">(VLOOKUP(M$72,INDIRECT($C$5&amp;"生成成长"),2))/((VLOOKUP($B145,INDIRECT($B$5&amp;"生成成长"),4))/(VLOOKUP(M$72,INDIRECT($C$5&amp;"生成成长"),5))*(VLOOKUP($B$5,标准坦克设计!$B$24:$U$30,MATCH("对"&amp;LEFT($C$5,2)&amp;"输出",标准坦克设计!$B$23:$U$23,0)))*(VLOOKUP($B145,INDIRECT($B$5&amp;"生成成长"),3))*(VLOOKUP($B$5,标准坦克设计!$B$14:$K$20,9)/30))</f>
        <v>6.0228683220851131</v>
      </c>
      <c r="N145" s="172">
        <f ca="1">(VLOOKUP(N$72,INDIRECT($C$5&amp;"生成成长"),2))/((VLOOKUP($B145,INDIRECT($B$5&amp;"生成成长"),4))/(VLOOKUP(N$72,INDIRECT($C$5&amp;"生成成长"),5))*(VLOOKUP($B$5,标准坦克设计!$B$24:$U$30,MATCH("对"&amp;LEFT($C$5,2)&amp;"输出",标准坦克设计!$B$23:$U$23,0)))*(VLOOKUP($B145,INDIRECT($B$5&amp;"生成成长"),3))*(VLOOKUP($B$5,标准坦克设计!$B$14:$K$20,9)/30))</f>
        <v>6.6564376393327258</v>
      </c>
      <c r="O145" s="172">
        <f ca="1">(VLOOKUP(O$72,INDIRECT($C$5&amp;"生成成长"),2))/((VLOOKUP($B145,INDIRECT($B$5&amp;"生成成长"),4))/(VLOOKUP(O$72,INDIRECT($C$5&amp;"生成成长"),5))*(VLOOKUP($B$5,标准坦克设计!$B$24:$U$30,MATCH("对"&amp;LEFT($C$5,2)&amp;"输出",标准坦克设计!$B$23:$U$23,0)))*(VLOOKUP($B145,INDIRECT($B$5&amp;"生成成长"),3))*(VLOOKUP($B$5,标准坦克设计!$B$14:$K$20,9)/30))</f>
        <v>5.0608824095298521</v>
      </c>
      <c r="P145" s="172">
        <f ca="1">(VLOOKUP(P$72,INDIRECT($C$5&amp;"生成成长"),2))/((VLOOKUP($B145,INDIRECT($B$5&amp;"生成成长"),4))/(VLOOKUP(P$72,INDIRECT($C$5&amp;"生成成长"),5))*(VLOOKUP($B$5,标准坦克设计!$B$24:$U$30,MATCH("对"&amp;LEFT($C$5,2)&amp;"输出",标准坦克设计!$B$23:$U$23,0)))*(VLOOKUP($B145,INDIRECT($B$5&amp;"生成成长"),3))*(VLOOKUP($B$5,标准坦克设计!$B$14:$K$20,9)/30))</f>
        <v>5.7179630881596983</v>
      </c>
      <c r="Q145" s="172">
        <f ca="1">(VLOOKUP(Q$72,INDIRECT($C$5&amp;"生成成长"),2))/((VLOOKUP($B145,INDIRECT($B$5&amp;"生成成长"),4))/(VLOOKUP(Q$72,INDIRECT($C$5&amp;"生成成长"),5))*(VLOOKUP($B$5,标准坦克设计!$B$24:$U$30,MATCH("对"&amp;LEFT($C$5,2)&amp;"输出",标准坦克设计!$B$23:$U$23,0)))*(VLOOKUP($B145,INDIRECT($B$5&amp;"生成成长"),3))*(VLOOKUP($B$5,标准坦克设计!$B$14:$K$20,9)/30))</f>
        <v>6.4151368251466225</v>
      </c>
      <c r="R145" s="172">
        <f ca="1">(VLOOKUP(R$72,INDIRECT($C$5&amp;"生成成长"),2))/((VLOOKUP($B145,INDIRECT($B$5&amp;"生成成长"),4))/(VLOOKUP(R$72,INDIRECT($C$5&amp;"生成成长"),5))*(VLOOKUP($B$5,标准坦克设计!$B$24:$U$30,MATCH("对"&amp;LEFT($C$5,2)&amp;"输出",标准坦克设计!$B$23:$U$23,0)))*(VLOOKUP($B145,INDIRECT($B$5&amp;"生成成长"),3))*(VLOOKUP($B$5,标准坦克设计!$B$14:$K$20,9)/30))</f>
        <v>7.1524036204906221</v>
      </c>
      <c r="S145" s="172">
        <f ca="1">(VLOOKUP(S$72,INDIRECT($C$5&amp;"生成成长"),2))/((VLOOKUP($B145,INDIRECT($B$5&amp;"生成成长"),4))/(VLOOKUP(S$72,INDIRECT($C$5&amp;"生成成长"),5))*(VLOOKUP($B$5,标准坦克设计!$B$24:$U$30,MATCH("对"&amp;LEFT($C$5,2)&amp;"输出",标准坦克设计!$B$23:$U$23,0)))*(VLOOKUP($B145,INDIRECT($B$5&amp;"生成成长"),3))*(VLOOKUP($B$5,标准坦克设计!$B$14:$K$20,9)/30))</f>
        <v>7.9297634741916951</v>
      </c>
      <c r="T145" s="172">
        <f ca="1">(VLOOKUP(T$72,INDIRECT($C$5&amp;"生成成长"),2))/((VLOOKUP($B145,INDIRECT($B$5&amp;"生成成长"),4))/(VLOOKUP(T$72,INDIRECT($C$5&amp;"生成成长"),5))*(VLOOKUP($B$5,标准坦克设计!$B$24:$U$30,MATCH("对"&amp;LEFT($C$5,2)&amp;"输出",标准坦克设计!$B$23:$U$23,0)))*(VLOOKUP($B145,INDIRECT($B$5&amp;"生成成长"),3))*(VLOOKUP($B$5,标准坦克设计!$B$14:$K$20,9)/30))</f>
        <v>8.7472163862498462</v>
      </c>
      <c r="U145" s="172">
        <f ca="1">(VLOOKUP(U$72,INDIRECT($C$5&amp;"生成成长"),2))/((VLOOKUP($B145,INDIRECT($B$5&amp;"生成成长"),4))/(VLOOKUP(U$72,INDIRECT($C$5&amp;"生成成长"),5))*(VLOOKUP($B$5,标准坦克设计!$B$24:$U$30,MATCH("对"&amp;LEFT($C$5,2)&amp;"输出",标准坦克设计!$B$23:$U$23,0)))*(VLOOKUP($B145,INDIRECT($B$5&amp;"生成成长"),3))*(VLOOKUP($B$5,标准坦克设计!$B$14:$K$20,9)/30))</f>
        <v>9.6047623566650699</v>
      </c>
      <c r="V145" s="172">
        <f ca="1">(VLOOKUP(V$72,INDIRECT($C$5&amp;"生成成长"),2))/((VLOOKUP($B145,INDIRECT($B$5&amp;"生成成长"),4))/(VLOOKUP(V$72,INDIRECT($C$5&amp;"生成成长"),5))*(VLOOKUP($B$5,标准坦克设计!$B$24:$U$30,MATCH("对"&amp;LEFT($C$5,2)&amp;"输出",标准坦克设计!$B$23:$U$23,0)))*(VLOOKUP($B145,INDIRECT($B$5&amp;"生成成长"),3))*(VLOOKUP($B$5,标准坦克设计!$B$14:$K$20,9)/30))</f>
        <v>10.50240138543737</v>
      </c>
      <c r="W145" s="172">
        <f ca="1">(VLOOKUP(W$72,INDIRECT($C$5&amp;"生成成长"),2))/((VLOOKUP($B145,INDIRECT($B$5&amp;"生成成长"),4))/(VLOOKUP(W$72,INDIRECT($C$5&amp;"生成成长"),5))*(VLOOKUP($B$5,标准坦克设计!$B$24:$U$30,MATCH("对"&amp;LEFT($C$5,2)&amp;"输出",标准坦克设计!$B$23:$U$23,0)))*(VLOOKUP($B145,INDIRECT($B$5&amp;"生成成长"),3))*(VLOOKUP($B$5,标准坦克设计!$B$14:$K$20,9)/30))</f>
        <v>11.440133472566746</v>
      </c>
      <c r="X145" s="172">
        <f ca="1">(VLOOKUP(X$72,INDIRECT($C$5&amp;"生成成长"),2))/((VLOOKUP($B145,INDIRECT($B$5&amp;"生成成长"),4))/(VLOOKUP(X$72,INDIRECT($C$5&amp;"生成成长"),5))*(VLOOKUP($B$5,标准坦克设计!$B$24:$U$30,MATCH("对"&amp;LEFT($C$5,2)&amp;"输出",标准坦克设计!$B$23:$U$23,0)))*(VLOOKUP($B145,INDIRECT($B$5&amp;"生成成长"),3))*(VLOOKUP($B$5,标准坦克设计!$B$14:$K$20,9)/30))</f>
        <v>8.288126119259875</v>
      </c>
      <c r="Y145" s="172">
        <f ca="1">(VLOOKUP(Y$72,INDIRECT($C$5&amp;"生成成长"),2))/((VLOOKUP($B145,INDIRECT($B$5&amp;"生成成长"),4))/(VLOOKUP(Y$72,INDIRECT($C$5&amp;"生成成长"),5))*(VLOOKUP($B$5,标准坦克设计!$B$24:$U$30,MATCH("对"&amp;LEFT($C$5,2)&amp;"输出",标准坦克设计!$B$23:$U$23,0)))*(VLOOKUP($B145,INDIRECT($B$5&amp;"生成成长"),3))*(VLOOKUP($B$5,标准坦克设计!$B$14:$K$20,9)/30))</f>
        <v>9.2186810539673072</v>
      </c>
      <c r="Z145" s="172">
        <f ca="1">(VLOOKUP(Z$72,INDIRECT($C$5&amp;"生成成长"),2))/((VLOOKUP($B145,INDIRECT($B$5&amp;"生成成长"),4))/(VLOOKUP(Z$72,INDIRECT($C$5&amp;"生成成长"),5))*(VLOOKUP($B$5,标准坦克设计!$B$24:$U$30,MATCH("对"&amp;LEFT($C$5,2)&amp;"输出",标准坦克设计!$B$23:$U$23,0)))*(VLOOKUP($B145,INDIRECT($B$5&amp;"生成成长"),3))*(VLOOKUP($B$5,标准坦克设计!$B$14:$K$20,9)/30))</f>
        <v>10.198733591584705</v>
      </c>
      <c r="AA145" s="172">
        <f ca="1">(VLOOKUP(AA$72,INDIRECT($C$5&amp;"生成成长"),2))/((VLOOKUP($B145,INDIRECT($B$5&amp;"生成成长"),4))/(VLOOKUP(AA$72,INDIRECT($C$5&amp;"生成成长"),5))*(VLOOKUP($B$5,标准坦克设计!$B$24:$U$30,MATCH("对"&amp;LEFT($C$5,2)&amp;"输出",标准坦克设计!$B$23:$U$23,0)))*(VLOOKUP($B145,INDIRECT($B$5&amp;"生成成长"),3))*(VLOOKUP($B$5,标准坦克设计!$B$14:$K$20,9)/30))</f>
        <v>11.228283732112075</v>
      </c>
      <c r="AB145" s="172">
        <f ca="1">(VLOOKUP(AB$72,INDIRECT($C$5&amp;"生成成长"),2))/((VLOOKUP($B145,INDIRECT($B$5&amp;"生成成长"),4))/(VLOOKUP(AB$72,INDIRECT($C$5&amp;"生成成长"),5))*(VLOOKUP($B$5,标准坦克设计!$B$24:$U$30,MATCH("对"&amp;LEFT($C$5,2)&amp;"输出",标准坦克设计!$B$23:$U$23,0)))*(VLOOKUP($B145,INDIRECT($B$5&amp;"生成成长"),3))*(VLOOKUP($B$5,标准坦克设计!$B$14:$K$20,9)/30))</f>
        <v>12.307331475549416</v>
      </c>
      <c r="AC145" s="172">
        <f ca="1">(VLOOKUP(AC$72,INDIRECT($C$5&amp;"生成成长"),2))/((VLOOKUP($B145,INDIRECT($B$5&amp;"生成成长"),4))/(VLOOKUP(AC$72,INDIRECT($C$5&amp;"生成成长"),5))*(VLOOKUP($B$5,标准坦克设计!$B$24:$U$30,MATCH("对"&amp;LEFT($C$5,2)&amp;"输出",标准坦克设计!$B$23:$U$23,0)))*(VLOOKUP($B145,INDIRECT($B$5&amp;"生成成长"),3))*(VLOOKUP($B$5,标准坦克设计!$B$14:$K$20,9)/30))</f>
        <v>13.435876821896723</v>
      </c>
      <c r="AD145" s="172">
        <f ca="1">(VLOOKUP(AD$72,INDIRECT($C$5&amp;"生成成长"),2))/((VLOOKUP($B145,INDIRECT($B$5&amp;"生成成长"),4))/(VLOOKUP(AD$72,INDIRECT($C$5&amp;"生成成长"),5))*(VLOOKUP($B$5,标准坦克设计!$B$24:$U$30,MATCH("对"&amp;LEFT($C$5,2)&amp;"输出",标准坦克设计!$B$23:$U$23,0)))*(VLOOKUP($B145,INDIRECT($B$5&amp;"生成成长"),3))*(VLOOKUP($B$5,标准坦克设计!$B$14:$K$20,9)/30))</f>
        <v>14.613919771154002</v>
      </c>
      <c r="AE145" s="172">
        <f ca="1">(VLOOKUP(AE$72,INDIRECT($C$5&amp;"生成成长"),2))/((VLOOKUP($B145,INDIRECT($B$5&amp;"生成成长"),4))/(VLOOKUP(AE$72,INDIRECT($C$5&amp;"生成成长"),5))*(VLOOKUP($B$5,标准坦克设计!$B$24:$U$30,MATCH("对"&amp;LEFT($C$5,2)&amp;"输出",标准坦克设计!$B$23:$U$23,0)))*(VLOOKUP($B145,INDIRECT($B$5&amp;"生成成长"),3))*(VLOOKUP($B$5,标准坦克设计!$B$14:$K$20,9)/30))</f>
        <v>15.841460323321254</v>
      </c>
      <c r="AF145" s="172">
        <f ca="1">(VLOOKUP(AF$72,INDIRECT($C$5&amp;"生成成长"),2))/((VLOOKUP($B145,INDIRECT($B$5&amp;"生成成长"),4))/(VLOOKUP(AF$72,INDIRECT($C$5&amp;"生成成长"),5))*(VLOOKUP($B$5,标准坦克设计!$B$24:$U$30,MATCH("对"&amp;LEFT($C$5,2)&amp;"输出",标准坦克设计!$B$23:$U$23,0)))*(VLOOKUP($B145,INDIRECT($B$5&amp;"生成成长"),3))*(VLOOKUP($B$5,标准坦克设计!$B$14:$K$20,9)/30))</f>
        <v>17.118498478398475</v>
      </c>
      <c r="AG145" s="172">
        <f ca="1">(VLOOKUP(AG$72,INDIRECT($C$5&amp;"生成成长"),2))/((VLOOKUP($B145,INDIRECT($B$5&amp;"生成成长"),4))/(VLOOKUP(AG$72,INDIRECT($C$5&amp;"生成成长"),5))*(VLOOKUP($B$5,标准坦克设计!$B$24:$U$30,MATCH("对"&amp;LEFT($C$5,2)&amp;"输出",标准坦克设计!$B$23:$U$23,0)))*(VLOOKUP($B145,INDIRECT($B$5&amp;"生成成长"),3))*(VLOOKUP($B$5,标准坦克设计!$B$14:$K$20,9)/30))</f>
        <v>18.445034236385656</v>
      </c>
      <c r="AH145" s="172">
        <f ca="1">(VLOOKUP(AH$72,INDIRECT($C$5&amp;"生成成长"),2))/((VLOOKUP($B145,INDIRECT($B$5&amp;"生成成长"),4))/(VLOOKUP(AH$72,INDIRECT($C$5&amp;"生成成长"),5))*(VLOOKUP($B$5,标准坦克设计!$B$24:$U$30,MATCH("对"&amp;LEFT($C$5,2)&amp;"输出",标准坦克设计!$B$23:$U$23,0)))*(VLOOKUP($B145,INDIRECT($B$5&amp;"生成成长"),3))*(VLOOKUP($B$5,标准坦克设计!$B$14:$K$20,9)/30))</f>
        <v>19.821067597282816</v>
      </c>
      <c r="AI145" s="172">
        <f ca="1">(VLOOKUP(AI$72,INDIRECT($C$5&amp;"生成成长"),2))/((VLOOKUP($B145,INDIRECT($B$5&amp;"生成成长"),4))/(VLOOKUP(AI$72,INDIRECT($C$5&amp;"生成成长"),5))*(VLOOKUP($B$5,标准坦克设计!$B$24:$U$30,MATCH("对"&amp;LEFT($C$5,2)&amp;"输出",标准坦克设计!$B$23:$U$23,0)))*(VLOOKUP($B145,INDIRECT($B$5&amp;"生成成长"),3))*(VLOOKUP($B$5,标准坦克设计!$B$14:$K$20,9)/30))</f>
        <v>14.018711096161617</v>
      </c>
      <c r="AJ145" s="172">
        <f ca="1">(VLOOKUP(AJ$72,INDIRECT($C$5&amp;"生成成长"),2))/((VLOOKUP($B145,INDIRECT($B$5&amp;"生成成长"),4))/(VLOOKUP(AJ$72,INDIRECT($C$5&amp;"生成成长"),5))*(VLOOKUP($B$5,标准坦克设计!$B$24:$U$30,MATCH("对"&amp;LEFT($C$5,2)&amp;"输出",标准坦克设计!$B$23:$U$23,0)))*(VLOOKUP($B145,INDIRECT($B$5&amp;"生成成长"),3))*(VLOOKUP($B$5,标准坦克设计!$B$14:$K$20,9)/30))</f>
        <v>15.344504390105156</v>
      </c>
      <c r="AK145" s="172">
        <f ca="1">(VLOOKUP(AK$72,INDIRECT($C$5&amp;"生成成长"),2))/((VLOOKUP($B145,INDIRECT($B$5&amp;"生成成长"),4))/(VLOOKUP(AK$72,INDIRECT($C$5&amp;"生成成长"),5))*(VLOOKUP($B$5,标准坦克设计!$B$24:$U$30,MATCH("对"&amp;LEFT($C$5,2)&amp;"输出",标准坦克设计!$B$23:$U$23,0)))*(VLOOKUP($B145,INDIRECT($B$5&amp;"生成成长"),3))*(VLOOKUP($B$5,标准坦克设计!$B$14:$K$20,9)/30))</f>
        <v>16.730189783569759</v>
      </c>
      <c r="AL145" s="172">
        <f ca="1">(VLOOKUP(AL$72,INDIRECT($C$5&amp;"生成成长"),2))/((VLOOKUP($B145,INDIRECT($B$5&amp;"生成成长"),4))/(VLOOKUP(AL$72,INDIRECT($C$5&amp;"生成成长"),5))*(VLOOKUP($B$5,标准坦克设计!$B$24:$U$30,MATCH("对"&amp;LEFT($C$5,2)&amp;"输出",标准坦克设计!$B$23:$U$23,0)))*(VLOOKUP($B145,INDIRECT($B$5&amp;"生成成长"),3))*(VLOOKUP($B$5,标准坦克设计!$B$14:$K$20,9)/30))</f>
        <v>18.175767276555426</v>
      </c>
      <c r="AM145" s="172">
        <f ca="1">(VLOOKUP(AM$72,INDIRECT($C$5&amp;"生成成长"),2))/((VLOOKUP($B145,INDIRECT($B$5&amp;"生成成长"),4))/(VLOOKUP(AM$72,INDIRECT($C$5&amp;"生成成长"),5))*(VLOOKUP($B$5,标准坦克设计!$B$24:$U$30,MATCH("对"&amp;LEFT($C$5,2)&amp;"输出",标准坦克设计!$B$23:$U$23,0)))*(VLOOKUP($B145,INDIRECT($B$5&amp;"生成成长"),3))*(VLOOKUP($B$5,标准坦克设计!$B$14:$K$20,9)/30))</f>
        <v>19.68123686906215</v>
      </c>
      <c r="AN145" s="172">
        <f ca="1">(VLOOKUP(AN$72,INDIRECT($C$5&amp;"生成成长"),2))/((VLOOKUP($B145,INDIRECT($B$5&amp;"生成成长"),4))/(VLOOKUP(AN$72,INDIRECT($C$5&amp;"生成成长"),5))*(VLOOKUP($B$5,标准坦克设计!$B$24:$U$30,MATCH("对"&amp;LEFT($C$5,2)&amp;"输出",标准坦克设计!$B$23:$U$23,0)))*(VLOOKUP($B145,INDIRECT($B$5&amp;"生成成长"),3))*(VLOOKUP($B$5,标准坦克设计!$B$14:$K$20,9)/30))</f>
        <v>21.246598561089947</v>
      </c>
      <c r="AO145" s="172">
        <f ca="1">(VLOOKUP(AO$72,INDIRECT($C$5&amp;"生成成长"),2))/((VLOOKUP($B145,INDIRECT($B$5&amp;"生成成长"),4))/(VLOOKUP(AO$72,INDIRECT($C$5&amp;"生成成长"),5))*(VLOOKUP($B$5,标准坦克设计!$B$24:$U$30,MATCH("对"&amp;LEFT($C$5,2)&amp;"输出",标准坦克设计!$B$23:$U$23,0)))*(VLOOKUP($B145,INDIRECT($B$5&amp;"生成成长"),3))*(VLOOKUP($B$5,标准坦克设计!$B$14:$K$20,9)/30))</f>
        <v>22.871852352638793</v>
      </c>
      <c r="AP145" s="172">
        <f ca="1">(VLOOKUP(AP$72,INDIRECT($C$5&amp;"生成成长"),2))/((VLOOKUP($B145,INDIRECT($B$5&amp;"生成成长"),4))/(VLOOKUP(AP$72,INDIRECT($C$5&amp;"生成成长"),5))*(VLOOKUP($B$5,标准坦克设计!$B$24:$U$30,MATCH("对"&amp;LEFT($C$5,2)&amp;"输出",标准坦克设计!$B$23:$U$23,0)))*(VLOOKUP($B145,INDIRECT($B$5&amp;"生成成长"),3))*(VLOOKUP($B$5,标准坦克设计!$B$14:$K$20,9)/30))</f>
        <v>24.556998243708719</v>
      </c>
      <c r="AQ145" s="172">
        <f ca="1">(VLOOKUP(AQ$72,INDIRECT($C$5&amp;"生成成长"),2))/((VLOOKUP($B145,INDIRECT($B$5&amp;"生成成长"),4))/(VLOOKUP(AQ$72,INDIRECT($C$5&amp;"生成成长"),5))*(VLOOKUP($B$5,标准坦克设计!$B$24:$U$30,MATCH("对"&amp;LEFT($C$5,2)&amp;"输出",标准坦克设计!$B$23:$U$23,0)))*(VLOOKUP($B145,INDIRECT($B$5&amp;"生成成长"),3))*(VLOOKUP($B$5,标准坦克设计!$B$14:$K$20,9)/30))</f>
        <v>26.302036234299699</v>
      </c>
      <c r="AR145" s="172">
        <f ca="1">(VLOOKUP(AR$72,INDIRECT($C$5&amp;"生成成长"),2))/((VLOOKUP($B145,INDIRECT($B$5&amp;"生成成长"),4))/(VLOOKUP(AR$72,INDIRECT($C$5&amp;"生成成长"),5))*(VLOOKUP($B$5,标准坦克设计!$B$24:$U$30,MATCH("对"&amp;LEFT($C$5,2)&amp;"输出",标准坦克设计!$B$23:$U$23,0)))*(VLOOKUP($B145,INDIRECT($B$5&amp;"生成成长"),3))*(VLOOKUP($B$5,标准坦克设计!$B$14:$K$20,9)/30))</f>
        <v>28.106966324411747</v>
      </c>
      <c r="AS145" s="172">
        <f ca="1">(VLOOKUP(AS$72,INDIRECT($C$5&amp;"生成成长"),2))/((VLOOKUP($B145,INDIRECT($B$5&amp;"生成成长"),4))/(VLOOKUP(AS$72,INDIRECT($C$5&amp;"生成成长"),5))*(VLOOKUP($B$5,标准坦克设计!$B$24:$U$30,MATCH("对"&amp;LEFT($C$5,2)&amp;"输出",标准坦克设计!$B$23:$U$23,0)))*(VLOOKUP($B145,INDIRECT($B$5&amp;"生成成长"),3))*(VLOOKUP($B$5,标准坦克设计!$B$14:$K$20,9)/30))</f>
        <v>29.971788514044853</v>
      </c>
      <c r="AT145" s="172">
        <f ca="1">(VLOOKUP(AT$72,INDIRECT($C$5&amp;"生成成长"),2))/((VLOOKUP($B145,INDIRECT($B$5&amp;"生成成长"),4))/(VLOOKUP(AT$72,INDIRECT($C$5&amp;"生成成长"),5))*(VLOOKUP($B$5,标准坦克设计!$B$24:$U$30,MATCH("对"&amp;LEFT($C$5,2)&amp;"输出",标准坦克设计!$B$23:$U$23,0)))*(VLOOKUP($B145,INDIRECT($B$5&amp;"生成成长"),3))*(VLOOKUP($B$5,标准坦克设计!$B$14:$K$20,9)/30))</f>
        <v>31.896502803199027</v>
      </c>
      <c r="AU145" s="172">
        <f ca="1">(VLOOKUP(AU$72,INDIRECT($C$5&amp;"生成成长"),2))/((VLOOKUP($B145,INDIRECT($B$5&amp;"生成成长"),4))/(VLOOKUP(AU$72,INDIRECT($C$5&amp;"生成成长"),5))*(VLOOKUP($B$5,标准坦克设计!$B$24:$U$30,MATCH("对"&amp;LEFT($C$5,2)&amp;"输出",标准坦克设计!$B$23:$U$23,0)))*(VLOOKUP($B145,INDIRECT($B$5&amp;"生成成长"),3))*(VLOOKUP($B$5,标准坦克设计!$B$14:$K$20,9)/30))</f>
        <v>33.881109191874266</v>
      </c>
      <c r="AV145" s="172">
        <f ca="1">(VLOOKUP(AV$72,INDIRECT($C$5&amp;"生成成长"),2))/((VLOOKUP($B145,INDIRECT($B$5&amp;"生成成长"),4))/(VLOOKUP(AV$72,INDIRECT($C$5&amp;"生成成长"),5))*(VLOOKUP($B$5,标准坦克设计!$B$24:$U$30,MATCH("对"&amp;LEFT($C$5,2)&amp;"输出",标准坦克设计!$B$23:$U$23,0)))*(VLOOKUP($B145,INDIRECT($B$5&amp;"生成成长"),3))*(VLOOKUP($B$5,标准坦克设计!$B$14:$K$20,9)/30))</f>
        <v>3.4460231145920903</v>
      </c>
      <c r="AW145" s="172">
        <f ca="1">(VLOOKUP(AW$72,INDIRECT($C$5&amp;"生成成长"),2))/((VLOOKUP($B145,INDIRECT($B$5&amp;"生成成长"),4))/(VLOOKUP(AW$72,INDIRECT($C$5&amp;"生成成长"),5))*(VLOOKUP($B$5,标准坦克设计!$B$24:$U$30,MATCH("对"&amp;LEFT($C$5,2)&amp;"输出",标准坦克设计!$B$23:$U$23,0)))*(VLOOKUP($B145,INDIRECT($B$5&amp;"生成成长"),3))*(VLOOKUP($B$5,标准坦克设计!$B$14:$K$20,9)/30))</f>
        <v>3.9291197189933946</v>
      </c>
      <c r="AX145" s="172">
        <f ca="1">(VLOOKUP(AX$72,INDIRECT($C$5&amp;"生成成长"),2))/((VLOOKUP($B145,INDIRECT($B$5&amp;"生成成长"),4))/(VLOOKUP(AX$72,INDIRECT($C$5&amp;"生成成长"),5))*(VLOOKUP($B$5,标准坦克设计!$B$24:$U$30,MATCH("对"&amp;LEFT($C$5,2)&amp;"输出",标准坦克设计!$B$23:$U$23,0)))*(VLOOKUP($B145,INDIRECT($B$5&amp;"生成成长"),3))*(VLOOKUP($B$5,标准坦克设计!$B$14:$K$20,9)/30))</f>
        <v>4.4438947892570795</v>
      </c>
      <c r="AY145" s="172">
        <f ca="1">(VLOOKUP(AY$72,INDIRECT($C$5&amp;"生成成长"),2))/((VLOOKUP($B145,INDIRECT($B$5&amp;"生成成长"),4))/(VLOOKUP(AY$72,INDIRECT($C$5&amp;"生成成长"),5))*(VLOOKUP($B$5,标准坦克设计!$B$24:$U$30,MATCH("对"&amp;LEFT($C$5,2)&amp;"输出",标准坦克设计!$B$23:$U$23,0)))*(VLOOKUP($B145,INDIRECT($B$5&amp;"生成成长"),3))*(VLOOKUP($B$5,标准坦克设计!$B$14:$K$20,9)/30))</f>
        <v>4.9903483253831453</v>
      </c>
      <c r="AZ145" s="172">
        <f ca="1">(VLOOKUP(AZ$72,INDIRECT($C$5&amp;"生成成长"),2))/((VLOOKUP($B145,INDIRECT($B$5&amp;"生成成长"),4))/(VLOOKUP(AZ$72,INDIRECT($C$5&amp;"生成成长"),5))*(VLOOKUP($B$5,标准坦克设计!$B$24:$U$30,MATCH("对"&amp;LEFT($C$5,2)&amp;"输出",标准坦克设计!$B$23:$U$23,0)))*(VLOOKUP($B145,INDIRECT($B$5&amp;"生成成长"),3))*(VLOOKUP($B$5,标准坦克设计!$B$14:$K$20,9)/30))</f>
        <v>5.5684803273715913</v>
      </c>
      <c r="BA145" s="172">
        <f ca="1">(VLOOKUP(BA$72,INDIRECT($C$5&amp;"生成成长"),2))/((VLOOKUP($B145,INDIRECT($B$5&amp;"生成成长"),4))/(VLOOKUP(BA$72,INDIRECT($C$5&amp;"生成成长"),5))*(VLOOKUP($B$5,标准坦克设计!$B$24:$U$30,MATCH("对"&amp;LEFT($C$5,2)&amp;"输出",标准坦克设计!$B$23:$U$23,0)))*(VLOOKUP($B145,INDIRECT($B$5&amp;"生成成长"),3))*(VLOOKUP($B$5,标准坦克设计!$B$14:$K$20,9)/30))</f>
        <v>6.1782907952224173</v>
      </c>
      <c r="BB145" s="172">
        <f ca="1">(VLOOKUP(BB$72,INDIRECT($C$5&amp;"生成成长"),2))/((VLOOKUP($B145,INDIRECT($B$5&amp;"生成成长"),4))/(VLOOKUP(BB$72,INDIRECT($C$5&amp;"生成成长"),5))*(VLOOKUP($B$5,标准坦克设计!$B$24:$U$30,MATCH("对"&amp;LEFT($C$5,2)&amp;"输出",标准坦克设计!$B$23:$U$23,0)))*(VLOOKUP($B145,INDIRECT($B$5&amp;"生成成长"),3))*(VLOOKUP($B$5,标准坦克设计!$B$14:$K$20,9)/30))</f>
        <v>6.8197797289356252</v>
      </c>
      <c r="BC145" s="172">
        <f ca="1">(VLOOKUP(BC$72,INDIRECT($C$5&amp;"生成成长"),2))/((VLOOKUP($B145,INDIRECT($B$5&amp;"生成成长"),4))/(VLOOKUP(BC$72,INDIRECT($C$5&amp;"生成成长"),5))*(VLOOKUP($B$5,标准坦克设计!$B$24:$U$30,MATCH("对"&amp;LEFT($C$5,2)&amp;"输出",标准坦克设计!$B$23:$U$23,0)))*(VLOOKUP($B145,INDIRECT($B$5&amp;"生成成长"),3))*(VLOOKUP($B$5,标准坦克设计!$B$14:$K$20,9)/30))</f>
        <v>7.4929471285112133</v>
      </c>
      <c r="BD145" s="172">
        <f ca="1">(VLOOKUP(BD$72,INDIRECT($C$5&amp;"生成成长"),2))/((VLOOKUP($B145,INDIRECT($B$5&amp;"生成成长"),4))/(VLOOKUP(BD$72,INDIRECT($C$5&amp;"生成成长"),5))*(VLOOKUP($B$5,标准坦克设计!$B$24:$U$30,MATCH("对"&amp;LEFT($C$5,2)&amp;"输出",标准坦克设计!$B$23:$U$23,0)))*(VLOOKUP($B145,INDIRECT($B$5&amp;"生成成长"),3))*(VLOOKUP($B$5,标准坦克设计!$B$14:$K$20,9)/30))</f>
        <v>8.288126119259875</v>
      </c>
      <c r="BE145" s="172">
        <f ca="1">(VLOOKUP(BE$72,INDIRECT($C$5&amp;"生成成长"),2))/((VLOOKUP($B145,INDIRECT($B$5&amp;"生成成长"),4))/(VLOOKUP(BE$72,INDIRECT($C$5&amp;"生成成长"),5))*(VLOOKUP($B$5,标准坦克设计!$B$24:$U$30,MATCH("对"&amp;LEFT($C$5,2)&amp;"输出",标准坦克设计!$B$23:$U$23,0)))*(VLOOKUP($B145,INDIRECT($B$5&amp;"生成成长"),3))*(VLOOKUP($B$5,标准坦克设计!$B$14:$K$20,9)/30))</f>
        <v>9.1233981683656147</v>
      </c>
      <c r="BF145" s="172">
        <f ca="1">(VLOOKUP(BF$72,INDIRECT($C$5&amp;"生成成长"),2))/((VLOOKUP($B145,INDIRECT($B$5&amp;"生成成长"),4))/(VLOOKUP(BF$72,INDIRECT($C$5&amp;"生成成长"),5))*(VLOOKUP($B$5,标准坦克设计!$B$24:$U$30,MATCH("对"&amp;LEFT($C$5,2)&amp;"输出",标准坦克设计!$B$23:$U$23,0)))*(VLOOKUP($B145,INDIRECT($B$5&amp;"生成成长"),3))*(VLOOKUP($B$5,标准坦克设计!$B$14:$K$20,9)/30))</f>
        <v>9.9987632758284288</v>
      </c>
      <c r="BG145" s="172">
        <f ca="1">(VLOOKUP(BG$72,INDIRECT($C$5&amp;"生成成长"),2))/((VLOOKUP($B145,INDIRECT($B$5&amp;"生成成长"),4))/(VLOOKUP(BG$72,INDIRECT($C$5&amp;"生成成长"),5))*(VLOOKUP($B$5,标准坦克设计!$B$24:$U$30,MATCH("对"&amp;LEFT($C$5,2)&amp;"输出",标准坦克设计!$B$23:$U$23,0)))*(VLOOKUP($B145,INDIRECT($B$5&amp;"生成成长"),3))*(VLOOKUP($B$5,标准坦克设计!$B$14:$K$20,9)/30))</f>
        <v>10.914221441648319</v>
      </c>
      <c r="BH145" s="172">
        <f ca="1">(VLOOKUP(BH$72,INDIRECT($C$5&amp;"生成成长"),2))/((VLOOKUP($B145,INDIRECT($B$5&amp;"生成成长"),4))/(VLOOKUP(BH$72,INDIRECT($C$5&amp;"生成成长"),5))*(VLOOKUP($B$5,标准坦克设计!$B$24:$U$30,MATCH("对"&amp;LEFT($C$5,2)&amp;"输出",标准坦克设计!$B$23:$U$23,0)))*(VLOOKUP($B145,INDIRECT($B$5&amp;"生成成长"),3))*(VLOOKUP($B$5,标准坦克设计!$B$14:$K$20,9)/30))</f>
        <v>5.2754545181445716</v>
      </c>
      <c r="BI145" s="172">
        <f ca="1">(VLOOKUP(BI$72,INDIRECT($C$5&amp;"生成成长"),2))/((VLOOKUP($B145,INDIRECT($B$5&amp;"生成成长"),4))/(VLOOKUP(BI$72,INDIRECT($C$5&amp;"生成成长"),5))*(VLOOKUP($B$5,标准坦克设计!$B$24:$U$30,MATCH("对"&amp;LEFT($C$5,2)&amp;"输出",标准坦克设计!$B$23:$U$23,0)))*(VLOOKUP($B145,INDIRECT($B$5&amp;"生成成长"),3))*(VLOOKUP($B$5,标准坦克设计!$B$14:$K$20,9)/30))</f>
        <v>5.9458995495601101</v>
      </c>
      <c r="BJ145" s="172">
        <f ca="1">(VLOOKUP(BJ$72,INDIRECT($C$5&amp;"生成成长"),2))/((VLOOKUP($B145,INDIRECT($B$5&amp;"生成成长"),4))/(VLOOKUP(BJ$72,INDIRECT($C$5&amp;"生成成长"),5))*(VLOOKUP($B$5,标准坦克设计!$B$24:$U$30,MATCH("对"&amp;LEFT($C$5,2)&amp;"输出",标准坦克设计!$B$23:$U$23,0)))*(VLOOKUP($B145,INDIRECT($B$5&amp;"生成成长"),3))*(VLOOKUP($B$5,标准坦克设计!$B$14:$K$20,9)/30))</f>
        <v>6.6564376393327258</v>
      </c>
      <c r="BK145" s="172">
        <f ca="1">(VLOOKUP(BK$72,INDIRECT($C$5&amp;"生成成长"),2))/((VLOOKUP($B145,INDIRECT($B$5&amp;"生成成长"),4))/(VLOOKUP(BK$72,INDIRECT($C$5&amp;"生成成长"),5))*(VLOOKUP($B$5,标准坦克设计!$B$24:$U$30,MATCH("对"&amp;LEFT($C$5,2)&amp;"输出",标准坦克设计!$B$23:$U$23,0)))*(VLOOKUP($B145,INDIRECT($B$5&amp;"生成成长"),3))*(VLOOKUP($B$5,标准坦克设计!$B$14:$K$20,9)/30))</f>
        <v>7.407068787462415</v>
      </c>
      <c r="BL145" s="172">
        <f ca="1">(VLOOKUP(BL$72,INDIRECT($C$5&amp;"生成成长"),2))/((VLOOKUP($B145,INDIRECT($B$5&amp;"生成成长"),4))/(VLOOKUP(BL$72,INDIRECT($C$5&amp;"生成成长"),5))*(VLOOKUP($B$5,标准坦克设计!$B$24:$U$30,MATCH("对"&amp;LEFT($C$5,2)&amp;"输出",标准坦克设计!$B$23:$U$23,0)))*(VLOOKUP($B145,INDIRECT($B$5&amp;"生成成长"),3))*(VLOOKUP($B$5,标准坦克设计!$B$14:$K$20,9)/30))</f>
        <v>8.1977929939491823</v>
      </c>
      <c r="BM145" s="172">
        <f ca="1">(VLOOKUP(BM$72,INDIRECT($C$5&amp;"生成成长"),2))/((VLOOKUP($B145,INDIRECT($B$5&amp;"生成成长"),4))/(VLOOKUP(BM$72,INDIRECT($C$5&amp;"生成成长"),5))*(VLOOKUP($B$5,标准坦克设计!$B$24:$U$30,MATCH("对"&amp;LEFT($C$5,2)&amp;"输出",标准坦克设计!$B$23:$U$23,0)))*(VLOOKUP($B145,INDIRECT($B$5&amp;"生成成长"),3))*(VLOOKUP($B$5,标准坦克设计!$B$14:$K$20,9)/30))</f>
        <v>9.028610258793023</v>
      </c>
      <c r="BN145" s="172">
        <f ca="1">(VLOOKUP(BN$72,INDIRECT($C$5&amp;"生成成长"),2))/((VLOOKUP($B145,INDIRECT($B$5&amp;"生成成长"),4))/(VLOOKUP(BN$72,INDIRECT($C$5&amp;"生成成长"),5))*(VLOOKUP($B$5,标准坦克设计!$B$24:$U$30,MATCH("对"&amp;LEFT($C$5,2)&amp;"输出",标准坦克设计!$B$23:$U$23,0)))*(VLOOKUP($B145,INDIRECT($B$5&amp;"生成成长"),3))*(VLOOKUP($B$5,标准坦克设计!$B$14:$K$20,9)/30))</f>
        <v>9.8995205819939383</v>
      </c>
      <c r="BO145" s="172">
        <f ca="1">(VLOOKUP(BO$72,INDIRECT($C$5&amp;"生成成长"),2))/((VLOOKUP($B145,INDIRECT($B$5&amp;"生成成长"),4))/(VLOOKUP(BO$72,INDIRECT($C$5&amp;"生成成长"),5))*(VLOOKUP($B$5,标准坦克设计!$B$24:$U$30,MATCH("对"&amp;LEFT($C$5,2)&amp;"输出",标准坦克设计!$B$23:$U$23,0)))*(VLOOKUP($B145,INDIRECT($B$5&amp;"生成成长"),3))*(VLOOKUP($B$5,标准坦克设计!$B$14:$K$20,9)/30))</f>
        <v>10.81052396355193</v>
      </c>
      <c r="BP145" s="172">
        <f ca="1">(VLOOKUP(BP$72,INDIRECT($C$5&amp;"生成成长"),2))/((VLOOKUP($B145,INDIRECT($B$5&amp;"生成成长"),4))/(VLOOKUP(BP$72,INDIRECT($C$5&amp;"生成成长"),5))*(VLOOKUP($B$5,标准坦克设计!$B$24:$U$30,MATCH("对"&amp;LEFT($C$5,2)&amp;"输出",标准坦克设计!$B$23:$U$23,0)))*(VLOOKUP($B145,INDIRECT($B$5&amp;"生成成长"),3))*(VLOOKUP($B$5,标准坦克设计!$B$14:$K$20,9)/30))</f>
        <v>11.761620403467001</v>
      </c>
      <c r="BQ145" s="172">
        <f ca="1">(VLOOKUP(BQ$72,INDIRECT($C$5&amp;"生成成长"),2))/((VLOOKUP($B145,INDIRECT($B$5&amp;"生成成长"),4))/(VLOOKUP(BQ$72,INDIRECT($C$5&amp;"生成成长"),5))*(VLOOKUP($B$5,标准坦克设计!$B$24:$U$30,MATCH("对"&amp;LEFT($C$5,2)&amp;"输出",标准坦克设计!$B$23:$U$23,0)))*(VLOOKUP($B145,INDIRECT($B$5&amp;"生成成长"),3))*(VLOOKUP($B$5,标准坦克设计!$B$14:$K$20,9)/30))</f>
        <v>12.752809901739141</v>
      </c>
      <c r="BR145" s="172">
        <f ca="1">(VLOOKUP(BR$72,INDIRECT($C$5&amp;"生成成长"),2))/((VLOOKUP($B145,INDIRECT($B$5&amp;"生成成长"),4))/(VLOOKUP(BR$72,INDIRECT($C$5&amp;"生成成长"),5))*(VLOOKUP($B$5,标准坦克设计!$B$24:$U$30,MATCH("对"&amp;LEFT($C$5,2)&amp;"输出",标准坦克设计!$B$23:$U$23,0)))*(VLOOKUP($B145,INDIRECT($B$5&amp;"生成成长"),3))*(VLOOKUP($B$5,标准坦克设计!$B$14:$K$20,9)/30))</f>
        <v>13.901154289250439</v>
      </c>
      <c r="BS145" s="172">
        <f ca="1">(VLOOKUP(BS$72,INDIRECT($C$5&amp;"生成成长"),2))/((VLOOKUP($B145,INDIRECT($B$5&amp;"生成成长"),4))/(VLOOKUP(BS$72,INDIRECT($C$5&amp;"生成成长"),5))*(VLOOKUP($B$5,标准坦克设计!$B$24:$U$30,MATCH("对"&amp;LEFT($C$5,2)&amp;"输出",标准坦克设计!$B$23:$U$23,0)))*(VLOOKUP($B145,INDIRECT($B$5&amp;"生成成长"),3))*(VLOOKUP($B$5,标准坦克设计!$B$14:$K$20,9)/30))</f>
        <v>15.098996279671706</v>
      </c>
      <c r="BT145" s="172">
        <f ca="1">(VLOOKUP(BT$72,INDIRECT($C$5&amp;"生成成长"),2))/((VLOOKUP($B145,INDIRECT($B$5&amp;"生成成长"),4))/(VLOOKUP(BT$72,INDIRECT($C$5&amp;"生成成长"),5))*(VLOOKUP($B$5,标准坦克设计!$B$24:$U$30,MATCH("对"&amp;LEFT($C$5,2)&amp;"输出",标准坦克设计!$B$23:$U$23,0)))*(VLOOKUP($B145,INDIRECT($B$5&amp;"生成成长"),3))*(VLOOKUP($B$5,标准坦克设计!$B$14:$K$20,9)/30))</f>
        <v>16.346335873002946</v>
      </c>
      <c r="BU145" s="172">
        <f ca="1">(VLOOKUP(BU$72,INDIRECT($C$5&amp;"生成成长"),2))/((VLOOKUP($B145,INDIRECT($B$5&amp;"生成成长"),4))/(VLOOKUP(BU$72,INDIRECT($C$5&amp;"生成成长"),5))*(VLOOKUP($B$5,标准坦克设计!$B$24:$U$30,MATCH("对"&amp;LEFT($C$5,2)&amp;"输出",标准坦克设计!$B$23:$U$23,0)))*(VLOOKUP($B145,INDIRECT($B$5&amp;"生成成长"),3))*(VLOOKUP($B$5,标准坦克设计!$B$14:$K$20,9)/30))</f>
        <v>17.643173069244149</v>
      </c>
      <c r="BV145" s="172">
        <f ca="1">(VLOOKUP(BV$72,INDIRECT($C$5&amp;"生成成长"),2))/((VLOOKUP($B145,INDIRECT($B$5&amp;"生成成长"),4))/(VLOOKUP(BV$72,INDIRECT($C$5&amp;"生成成长"),5))*(VLOOKUP($B$5,标准坦克设计!$B$24:$U$30,MATCH("对"&amp;LEFT($C$5,2)&amp;"输出",标准坦克设计!$B$23:$U$23,0)))*(VLOOKUP($B145,INDIRECT($B$5&amp;"生成成长"),3))*(VLOOKUP($B$5,标准坦克设计!$B$14:$K$20,9)/30))</f>
        <v>18.989507868395325</v>
      </c>
      <c r="BW145" s="172">
        <f ca="1">(VLOOKUP(BW$72,INDIRECT($C$5&amp;"生成成长"),2))/((VLOOKUP($B145,INDIRECT($B$5&amp;"生成成长"),4))/(VLOOKUP(BW$72,INDIRECT($C$5&amp;"生成成长"),5))*(VLOOKUP($B$5,标准坦克设计!$B$24:$U$30,MATCH("对"&amp;LEFT($C$5,2)&amp;"输出",标准坦克设计!$B$23:$U$23,0)))*(VLOOKUP($B145,INDIRECT($B$5&amp;"生成成长"),3))*(VLOOKUP($B$5,标准坦克设计!$B$14:$K$20,9)/30))</f>
        <v>8.6544083807936527</v>
      </c>
      <c r="BX145" s="172">
        <f ca="1">(VLOOKUP(BX$72,INDIRECT($C$5&amp;"生成成长"),2))/((VLOOKUP($B145,INDIRECT($B$5&amp;"生成成长"),4))/(VLOOKUP(BX$72,INDIRECT($C$5&amp;"生成成长"),5))*(VLOOKUP($B$5,标准坦克设计!$B$24:$U$30,MATCH("对"&amp;LEFT($C$5,2)&amp;"输出",标准坦克设计!$B$23:$U$23,0)))*(VLOOKUP($B145,INDIRECT($B$5&amp;"生成成长"),3))*(VLOOKUP($B$5,标准坦克设计!$B$14:$K$20,9)/30))</f>
        <v>9.6047623566650699</v>
      </c>
      <c r="BY145" s="172">
        <f ca="1">(VLOOKUP(BY$72,INDIRECT($C$5&amp;"生成成长"),2))/((VLOOKUP($B145,INDIRECT($B$5&amp;"生成成长"),4))/(VLOOKUP(BY$72,INDIRECT($C$5&amp;"生成成长"),5))*(VLOOKUP($B$5,标准坦克设计!$B$24:$U$30,MATCH("对"&amp;LEFT($C$5,2)&amp;"输出",标准坦克设计!$B$23:$U$23,0)))*(VLOOKUP($B145,INDIRECT($B$5&amp;"生成成长"),3))*(VLOOKUP($B$5,标准坦克设计!$B$14:$K$20,9)/30))</f>
        <v>10.604613935446459</v>
      </c>
      <c r="BZ145" s="172">
        <f ca="1">(VLOOKUP(BZ$72,INDIRECT($C$5&amp;"生成成长"),2))/((VLOOKUP($B145,INDIRECT($B$5&amp;"生成成长"),4))/(VLOOKUP(BZ$72,INDIRECT($C$5&amp;"生成成长"),5))*(VLOOKUP($B$5,标准坦克设计!$B$24:$U$30,MATCH("对"&amp;LEFT($C$5,2)&amp;"输出",标准坦克设计!$B$23:$U$23,0)))*(VLOOKUP($B145,INDIRECT($B$5&amp;"生成成长"),3))*(VLOOKUP($B$5,标准坦克设计!$B$14:$K$20,9)/30))</f>
        <v>11.653963117137815</v>
      </c>
      <c r="CA145" s="172">
        <f ca="1">(VLOOKUP(CA$72,INDIRECT($C$5&amp;"生成成长"),2))/((VLOOKUP($B145,INDIRECT($B$5&amp;"生成成长"),4))/(VLOOKUP(CA$72,INDIRECT($C$5&amp;"生成成长"),5))*(VLOOKUP($B$5,标准坦克设计!$B$24:$U$30,MATCH("对"&amp;LEFT($C$5,2)&amp;"输出",标准坦克设计!$B$23:$U$23,0)))*(VLOOKUP($B145,INDIRECT($B$5&amp;"生成成长"),3))*(VLOOKUP($B$5,标准坦克设计!$B$14:$K$20,9)/30))</f>
        <v>12.752809901739141</v>
      </c>
      <c r="CB145" s="172">
        <f ca="1">(VLOOKUP(CB$72,INDIRECT($C$5&amp;"生成成长"),2))/((VLOOKUP($B145,INDIRECT($B$5&amp;"生成成长"),4))/(VLOOKUP(CB$72,INDIRECT($C$5&amp;"生成成长"),5))*(VLOOKUP($B$5,标准坦克设计!$B$24:$U$30,MATCH("对"&amp;LEFT($C$5,2)&amp;"输出",标准坦克设计!$B$23:$U$23,0)))*(VLOOKUP($B145,INDIRECT($B$5&amp;"生成成长"),3))*(VLOOKUP($B$5,标准坦克设计!$B$14:$K$20,9)/30))</f>
        <v>13.901154289250439</v>
      </c>
      <c r="CC145" s="172">
        <f ca="1">(VLOOKUP(CC$72,INDIRECT($C$5&amp;"生成成长"),2))/((VLOOKUP($B145,INDIRECT($B$5&amp;"生成成长"),4))/(VLOOKUP(CC$72,INDIRECT($C$5&amp;"生成成长"),5))*(VLOOKUP($B$5,标准坦克设计!$B$24:$U$30,MATCH("对"&amp;LEFT($C$5,2)&amp;"输出",标准坦克设计!$B$23:$U$23,0)))*(VLOOKUP($B145,INDIRECT($B$5&amp;"生成成长"),3))*(VLOOKUP($B$5,标准坦克设计!$B$14:$K$20,9)/30))</f>
        <v>15.098996279671706</v>
      </c>
      <c r="CD145" s="172">
        <f ca="1">(VLOOKUP(CD$72,INDIRECT($C$5&amp;"生成成长"),2))/((VLOOKUP($B145,INDIRECT($B$5&amp;"生成成长"),4))/(VLOOKUP(CD$72,INDIRECT($C$5&amp;"生成成长"),5))*(VLOOKUP($B$5,标准坦克设计!$B$24:$U$30,MATCH("对"&amp;LEFT($C$5,2)&amp;"输出",标准坦克设计!$B$23:$U$23,0)))*(VLOOKUP($B145,INDIRECT($B$5&amp;"生成成长"),3))*(VLOOKUP($B$5,标准坦克设计!$B$14:$K$20,9)/30))</f>
        <v>16.346335873002946</v>
      </c>
      <c r="CE145" s="172">
        <f ca="1">(VLOOKUP(CE$72,INDIRECT($C$5&amp;"生成成长"),2))/((VLOOKUP($B145,INDIRECT($B$5&amp;"生成成长"),4))/(VLOOKUP(CE$72,INDIRECT($C$5&amp;"生成成长"),5))*(VLOOKUP($B$5,标准坦克设计!$B$24:$U$30,MATCH("对"&amp;LEFT($C$5,2)&amp;"输出",标准坦克设计!$B$23:$U$23,0)))*(VLOOKUP($B145,INDIRECT($B$5&amp;"生成成长"),3))*(VLOOKUP($B$5,标准坦克设计!$B$14:$K$20,9)/30))</f>
        <v>17.643173069244149</v>
      </c>
      <c r="CF145" s="172">
        <f ca="1">(VLOOKUP(CF$72,INDIRECT($C$5&amp;"生成成长"),2))/((VLOOKUP($B145,INDIRECT($B$5&amp;"生成成长"),4))/(VLOOKUP(CF$72,INDIRECT($C$5&amp;"生成成长"),5))*(VLOOKUP($B$5,标准坦克设计!$B$24:$U$30,MATCH("对"&amp;LEFT($C$5,2)&amp;"输出",标准坦克设计!$B$23:$U$23,0)))*(VLOOKUP($B145,INDIRECT($B$5&amp;"生成成长"),3))*(VLOOKUP($B$5,标准坦克设计!$B$14:$K$20,9)/30))</f>
        <v>18.989507868395325</v>
      </c>
      <c r="CG145" s="172">
        <f ca="1">(VLOOKUP(CG$72,INDIRECT($C$5&amp;"生成成长"),2))/((VLOOKUP($B145,INDIRECT($B$5&amp;"生成成长"),4))/(VLOOKUP(CG$72,INDIRECT($C$5&amp;"生成成长"),5))*(VLOOKUP($B$5,标准坦克设计!$B$24:$U$30,MATCH("对"&amp;LEFT($C$5,2)&amp;"输出",标准坦克设计!$B$23:$U$23,0)))*(VLOOKUP($B145,INDIRECT($B$5&amp;"生成成长"),3))*(VLOOKUP($B$5,标准坦克设计!$B$14:$K$20,9)/30))</f>
        <v>20.385340270456474</v>
      </c>
      <c r="CH145" s="172">
        <f ca="1">(VLOOKUP(CH$72,INDIRECT($C$5&amp;"生成成长"),2))/((VLOOKUP($B145,INDIRECT($B$5&amp;"生成成长"),4))/(VLOOKUP(CH$72,INDIRECT($C$5&amp;"生成成长"),5))*(VLOOKUP($B$5,标准坦克设计!$B$24:$U$30,MATCH("对"&amp;LEFT($C$5,2)&amp;"输出",标准坦克设计!$B$23:$U$23,0)))*(VLOOKUP($B145,INDIRECT($B$5&amp;"生成成长"),3))*(VLOOKUP($B$5,标准坦克设计!$B$14:$K$20,9)/30))</f>
        <v>21.830670275427583</v>
      </c>
      <c r="CI145" s="172">
        <f ca="1">(VLOOKUP(CI$72,INDIRECT($C$5&amp;"生成成长"),2))/((VLOOKUP($B145,INDIRECT($B$5&amp;"生成成长"),4))/(VLOOKUP(CI$72,INDIRECT($C$5&amp;"生成成长"),5))*(VLOOKUP($B$5,标准坦克设计!$B$24:$U$30,MATCH("对"&amp;LEFT($C$5,2)&amp;"输出",标准坦克设计!$B$23:$U$23,0)))*(VLOOKUP($B145,INDIRECT($B$5&amp;"生成成长"),3))*(VLOOKUP($B$5,标准坦克设计!$B$14:$K$20,9)/30))</f>
        <v>23.477703012256832</v>
      </c>
      <c r="CJ145" s="172">
        <f ca="1">(VLOOKUP(CJ$72,INDIRECT($C$5&amp;"生成成长"),2))/((VLOOKUP($B145,INDIRECT($B$5&amp;"生成成长"),4))/(VLOOKUP(CJ$72,INDIRECT($C$5&amp;"生成成长"),5))*(VLOOKUP($B$5,标准坦克设计!$B$24:$U$30,MATCH("对"&amp;LEFT($C$5,2)&amp;"输出",标准坦克设计!$B$23:$U$23,0)))*(VLOOKUP($B145,INDIRECT($B$5&amp;"生成成长"),3))*(VLOOKUP($B$5,标准坦克设计!$B$14:$K$20,9)/30))</f>
        <v>25.184627848607136</v>
      </c>
      <c r="CK145" s="172">
        <f ca="1">(VLOOKUP(CK$72,INDIRECT($C$5&amp;"生成成长"),2))/((VLOOKUP($B145,INDIRECT($B$5&amp;"生成成长"),4))/(VLOOKUP(CK$72,INDIRECT($C$5&amp;"生成成长"),5))*(VLOOKUP($B$5,标准坦克设计!$B$24:$U$30,MATCH("对"&amp;LEFT($C$5,2)&amp;"输出",标准坦克设计!$B$23:$U$23,0)))*(VLOOKUP($B145,INDIRECT($B$5&amp;"生成成长"),3))*(VLOOKUP($B$5,标准坦克设计!$B$14:$K$20,9)/30))</f>
        <v>26.9514447844785</v>
      </c>
      <c r="CL145" s="172">
        <f ca="1">(VLOOKUP(CL$72,INDIRECT($C$5&amp;"生成成长"),2))/((VLOOKUP($B145,INDIRECT($B$5&amp;"生成成长"),4))/(VLOOKUP(CL$72,INDIRECT($C$5&amp;"生成成长"),5))*(VLOOKUP($B$5,标准坦克设计!$B$24:$U$30,MATCH("对"&amp;LEFT($C$5,2)&amp;"输出",标准坦克设计!$B$23:$U$23,0)))*(VLOOKUP($B145,INDIRECT($B$5&amp;"生成成长"),3))*(VLOOKUP($B$5,标准坦克设计!$B$14:$K$20,9)/30))</f>
        <v>28.778153819870933</v>
      </c>
      <c r="CM145" s="172">
        <f ca="1">(VLOOKUP(CM$72,INDIRECT($C$5&amp;"生成成长"),2))/((VLOOKUP($B145,INDIRECT($B$5&amp;"生成成长"),4))/(VLOOKUP(CM$72,INDIRECT($C$5&amp;"生成成长"),5))*(VLOOKUP($B$5,标准坦克设计!$B$24:$U$30,MATCH("对"&amp;LEFT($C$5,2)&amp;"输出",标准坦克设计!$B$23:$U$23,0)))*(VLOOKUP($B145,INDIRECT($B$5&amp;"生成成长"),3))*(VLOOKUP($B$5,标准坦克设计!$B$14:$K$20,9)/30))</f>
        <v>30.664754954784431</v>
      </c>
      <c r="CN145" s="172">
        <f ca="1">(VLOOKUP(CN$72,INDIRECT($C$5&amp;"生成成长"),2))/((VLOOKUP($B145,INDIRECT($B$5&amp;"生成成长"),4))/(VLOOKUP(CN$72,INDIRECT($C$5&amp;"生成成长"),5))*(VLOOKUP($B$5,标准坦克设计!$B$24:$U$30,MATCH("对"&amp;LEFT($C$5,2)&amp;"输出",标准坦克设计!$B$23:$U$23,0)))*(VLOOKUP($B145,INDIRECT($B$5&amp;"生成成长"),3))*(VLOOKUP($B$5,标准坦克设计!$B$14:$K$20,9)/30))</f>
        <v>32.61124818921899</v>
      </c>
      <c r="CO145" s="172">
        <f ca="1">(VLOOKUP(CO$72,INDIRECT($C$5&amp;"生成成长"),2))/((VLOOKUP($B145,INDIRECT($B$5&amp;"生成成长"),4))/(VLOOKUP(CO$72,INDIRECT($C$5&amp;"生成成长"),5))*(VLOOKUP($B$5,标准坦克设计!$B$24:$U$30,MATCH("对"&amp;LEFT($C$5,2)&amp;"输出",标准坦克设计!$B$23:$U$23,0)))*(VLOOKUP($B145,INDIRECT($B$5&amp;"生成成长"),3))*(VLOOKUP($B$5,标准坦克设计!$B$14:$K$20,9)/30))</f>
        <v>14.613919771154002</v>
      </c>
      <c r="CP145" s="172">
        <f ca="1">(VLOOKUP(CP$72,INDIRECT($C$5&amp;"生成成长"),2))/((VLOOKUP($B145,INDIRECT($B$5&amp;"生成成长"),4))/(VLOOKUP(CP$72,INDIRECT($C$5&amp;"生成成长"),5))*(VLOOKUP($B$5,标准坦克设计!$B$24:$U$30,MATCH("对"&amp;LEFT($C$5,2)&amp;"输出",标准坦克设计!$B$23:$U$23,0)))*(VLOOKUP($B145,INDIRECT($B$5&amp;"生成成长"),3))*(VLOOKUP($B$5,标准坦克设计!$B$14:$K$20,9)/30))</f>
        <v>15.966936746698027</v>
      </c>
      <c r="CQ145" s="172">
        <f ca="1">(VLOOKUP(CQ$72,INDIRECT($C$5&amp;"生成成长"),2))/((VLOOKUP($B145,INDIRECT($B$5&amp;"生成成长"),4))/(VLOOKUP(CQ$72,INDIRECT($C$5&amp;"生成成长"),5))*(VLOOKUP($B$5,标准坦克设计!$B$24:$U$30,MATCH("对"&amp;LEFT($C$5,2)&amp;"输出",标准坦克设计!$B$23:$U$23,0)))*(VLOOKUP($B145,INDIRECT($B$5&amp;"生成成长"),3))*(VLOOKUP($B$5,标准坦克设计!$B$14:$K$20,9)/30))</f>
        <v>17.379845821763112</v>
      </c>
      <c r="CR145" s="172">
        <f ca="1">(VLOOKUP(CR$72,INDIRECT($C$5&amp;"生成成长"),2))/((VLOOKUP($B145,INDIRECT($B$5&amp;"生成成长"),4))/(VLOOKUP(CR$72,INDIRECT($C$5&amp;"生成成长"),5))*(VLOOKUP($B$5,标准坦克设计!$B$24:$U$30,MATCH("对"&amp;LEFT($C$5,2)&amp;"输出",标准坦克设计!$B$23:$U$23,0)))*(VLOOKUP($B145,INDIRECT($B$5&amp;"生成成长"),3))*(VLOOKUP($B$5,标准坦克设计!$B$14:$K$20,9)/30))</f>
        <v>18.852646996349261</v>
      </c>
      <c r="CS145" s="172">
        <f ca="1">(VLOOKUP(CS$72,INDIRECT($C$5&amp;"生成成长"),2))/((VLOOKUP($B145,INDIRECT($B$5&amp;"生成成长"),4))/(VLOOKUP(CS$72,INDIRECT($C$5&amp;"生成成长"),5))*(VLOOKUP($B$5,标准坦克设计!$B$24:$U$30,MATCH("对"&amp;LEFT($C$5,2)&amp;"输出",标准坦克设计!$B$23:$U$23,0)))*(VLOOKUP($B145,INDIRECT($B$5&amp;"生成成长"),3))*(VLOOKUP($B$5,标准坦克设计!$B$14:$K$20,9)/30))</f>
        <v>20.385340270456474</v>
      </c>
      <c r="CT145" s="172">
        <f ca="1">(VLOOKUP(CT$72,INDIRECT($C$5&amp;"生成成长"),2))/((VLOOKUP($B145,INDIRECT($B$5&amp;"生成成长"),4))/(VLOOKUP(CT$72,INDIRECT($C$5&amp;"生成成长"),5))*(VLOOKUP($B$5,标准坦克设计!$B$24:$U$30,MATCH("对"&amp;LEFT($C$5,2)&amp;"输出",标准坦克设计!$B$23:$U$23,0)))*(VLOOKUP($B145,INDIRECT($B$5&amp;"生成成长"),3))*(VLOOKUP($B$5,标准坦克设计!$B$14:$K$20,9)/30))</f>
        <v>21.977925644084742</v>
      </c>
      <c r="CU145" s="172">
        <f ca="1">(VLOOKUP(CU$72,INDIRECT($C$5&amp;"生成成长"),2))/((VLOOKUP($B145,INDIRECT($B$5&amp;"生成成长"),4))/(VLOOKUP(CU$72,INDIRECT($C$5&amp;"生成成长"),5))*(VLOOKUP($B$5,标准坦克设计!$B$24:$U$30,MATCH("对"&amp;LEFT($C$5,2)&amp;"输出",标准坦克设计!$B$23:$U$23,0)))*(VLOOKUP($B145,INDIRECT($B$5&amp;"生成成长"),3))*(VLOOKUP($B$5,标准坦克设计!$B$14:$K$20,9)/30))</f>
        <v>23.630403117234081</v>
      </c>
      <c r="CV145" s="172">
        <f ca="1">(VLOOKUP(CV$72,INDIRECT($C$5&amp;"生成成长"),2))/((VLOOKUP($B145,INDIRECT($B$5&amp;"生成成长"),4))/(VLOOKUP(CV$72,INDIRECT($C$5&amp;"生成成长"),5))*(VLOOKUP($B$5,标准坦克设计!$B$24:$U$30,MATCH("对"&amp;LEFT($C$5,2)&amp;"输出",标准坦克设计!$B$23:$U$23,0)))*(VLOOKUP($B145,INDIRECT($B$5&amp;"生成成长"),3))*(VLOOKUP($B$5,标准坦克设计!$B$14:$K$20,9)/30))</f>
        <v>25.342772689904486</v>
      </c>
      <c r="CW145" s="172">
        <f ca="1">(VLOOKUP(CW$72,INDIRECT($C$5&amp;"生成成长"),2))/((VLOOKUP($B145,INDIRECT($B$5&amp;"生成成长"),4))/(VLOOKUP(CW$72,INDIRECT($C$5&amp;"生成成长"),5))*(VLOOKUP($B$5,标准坦克设计!$B$24:$U$30,MATCH("对"&amp;LEFT($C$5,2)&amp;"输出",标准坦克设计!$B$23:$U$23,0)))*(VLOOKUP($B145,INDIRECT($B$5&amp;"生成成长"),3))*(VLOOKUP($B$5,标准坦克设计!$B$14:$K$20,9)/30))</f>
        <v>27.115034362095955</v>
      </c>
      <c r="CX145" s="172">
        <f ca="1">(VLOOKUP(CX$72,INDIRECT($C$5&amp;"生成成长"),2))/((VLOOKUP($B145,INDIRECT($B$5&amp;"生成成长"),4))/(VLOOKUP(CX$72,INDIRECT($C$5&amp;"生成成长"),5))*(VLOOKUP($B$5,标准坦克设计!$B$24:$U$30,MATCH("对"&amp;LEFT($C$5,2)&amp;"输出",标准坦克设计!$B$23:$U$23,0)))*(VLOOKUP($B145,INDIRECT($B$5&amp;"生成成长"),3))*(VLOOKUP($B$5,标准坦克设计!$B$14:$K$20,9)/30))</f>
        <v>28.947188133808481</v>
      </c>
      <c r="CY145" s="172">
        <f ca="1">(VLOOKUP(CY$72,INDIRECT($C$5&amp;"生成成长"),2))/((VLOOKUP($B145,INDIRECT($B$5&amp;"生成成长"),4))/(VLOOKUP(CY$72,INDIRECT($C$5&amp;"生成成长"),5))*(VLOOKUP($B$5,标准坦克设计!$B$24:$U$30,MATCH("对"&amp;LEFT($C$5,2)&amp;"输出",标准坦克设计!$B$23:$U$23,0)))*(VLOOKUP($B145,INDIRECT($B$5&amp;"生成成长"),3))*(VLOOKUP($B$5,标准坦克设计!$B$14:$K$20,9)/30))</f>
        <v>30.839234005042073</v>
      </c>
      <c r="CZ145" s="172">
        <f ca="1">(VLOOKUP(CZ$72,INDIRECT($C$5&amp;"生成成长"),2))/((VLOOKUP($B145,INDIRECT($B$5&amp;"生成成长"),4))/(VLOOKUP(CZ$72,INDIRECT($C$5&amp;"生成成长"),5))*(VLOOKUP($B$5,标准坦克设计!$B$24:$U$30,MATCH("对"&amp;LEFT($C$5,2)&amp;"输出",标准坦克设计!$B$23:$U$23,0)))*(VLOOKUP($B145,INDIRECT($B$5&amp;"生成成长"),3))*(VLOOKUP($B$5,标准坦克设计!$B$14:$K$20,9)/30))</f>
        <v>32.791171975796729</v>
      </c>
      <c r="DA145" s="172">
        <f ca="1">(VLOOKUP(DA$72,INDIRECT($C$5&amp;"生成成长"),2))/((VLOOKUP($B145,INDIRECT($B$5&amp;"生成成长"),4))/(VLOOKUP(DA$72,INDIRECT($C$5&amp;"生成成长"),5))*(VLOOKUP($B$5,标准坦克设计!$B$24:$U$30,MATCH("对"&amp;LEFT($C$5,2)&amp;"输出",标准坦克设计!$B$23:$U$23,0)))*(VLOOKUP($B145,INDIRECT($B$5&amp;"生成成长"),3))*(VLOOKUP($B$5,标准坦克设计!$B$14:$K$20,9)/30))</f>
        <v>34.80300204607245</v>
      </c>
      <c r="DB145" s="172">
        <f ca="1">(VLOOKUP(DB$72,INDIRECT($C$5&amp;"生成成长"),2))/((VLOOKUP($B145,INDIRECT($B$5&amp;"生成成长"),4))/(VLOOKUP(DB$72,INDIRECT($C$5&amp;"生成成长"),5))*(VLOOKUP($B$5,标准坦克设计!$B$24:$U$30,MATCH("对"&amp;LEFT($C$5,2)&amp;"输出",标准坦克设计!$B$23:$U$23,0)))*(VLOOKUP($B145,INDIRECT($B$5&amp;"生成成长"),3))*(VLOOKUP($B$5,标准坦克设计!$B$14:$K$20,9)/30))</f>
        <v>36.874724215869229</v>
      </c>
      <c r="DC145" s="172">
        <f ca="1">(VLOOKUP(DC$72,INDIRECT($C$5&amp;"生成成长"),2))/((VLOOKUP($B145,INDIRECT($B$5&amp;"生成成长"),4))/(VLOOKUP(DC$72,INDIRECT($C$5&amp;"生成成长"),5))*(VLOOKUP($B$5,标准坦克设计!$B$24:$U$30,MATCH("对"&amp;LEFT($C$5,2)&amp;"输出",标准坦克设计!$B$23:$U$23,0)))*(VLOOKUP($B145,INDIRECT($B$5&amp;"生成成长"),3))*(VLOOKUP($B$5,标准坦克设计!$B$14:$K$20,9)/30))</f>
        <v>39.203091456754208</v>
      </c>
      <c r="DD145" s="172">
        <f ca="1">(VLOOKUP(DD$72,INDIRECT($C$5&amp;"生成成长"),2))/((VLOOKUP($B145,INDIRECT($B$5&amp;"生成成长"),4))/(VLOOKUP(DD$72,INDIRECT($C$5&amp;"生成成长"),5))*(VLOOKUP($B$5,标准坦克设计!$B$24:$U$30,MATCH("对"&amp;LEFT($C$5,2)&amp;"输出",标准坦克设计!$B$23:$U$23,0)))*(VLOOKUP($B145,INDIRECT($B$5&amp;"生成成长"),3))*(VLOOKUP($B$5,标准坦克设计!$B$14:$K$20,9)/30))</f>
        <v>41.602735245829535</v>
      </c>
      <c r="DE145" s="172">
        <f ca="1">(VLOOKUP(DE$72,INDIRECT($C$5&amp;"生成成长"),2))/((VLOOKUP($B145,INDIRECT($B$5&amp;"生成成长"),4))/(VLOOKUP(DE$72,INDIRECT($C$5&amp;"生成成长"),5))*(VLOOKUP($B$5,标准坦克设计!$B$24:$U$30,MATCH("对"&amp;LEFT($C$5,2)&amp;"输出",标准坦克设计!$B$23:$U$23,0)))*(VLOOKUP($B145,INDIRECT($B$5&amp;"生成成长"),3))*(VLOOKUP($B$5,标准坦克设计!$B$14:$K$20,9)/30))</f>
        <v>44.073655583095217</v>
      </c>
      <c r="DF145" s="172">
        <f ca="1">(VLOOKUP(DF$72,INDIRECT($C$5&amp;"生成成长"),2))/((VLOOKUP($B145,INDIRECT($B$5&amp;"生成成长"),4))/(VLOOKUP(DF$72,INDIRECT($C$5&amp;"生成成长"),5))*(VLOOKUP($B$5,标准坦克设计!$B$24:$U$30,MATCH("对"&amp;LEFT($C$5,2)&amp;"输出",标准坦克设计!$B$23:$U$23,0)))*(VLOOKUP($B145,INDIRECT($B$5&amp;"生成成长"),3))*(VLOOKUP($B$5,标准坦克设计!$B$14:$K$20,9)/30))</f>
        <v>46.61585246855126</v>
      </c>
      <c r="DG145" s="172">
        <f ca="1">(VLOOKUP(DG$72,INDIRECT($C$5&amp;"生成成长"),2))/((VLOOKUP($B145,INDIRECT($B$5&amp;"生成成长"),4))/(VLOOKUP(DG$72,INDIRECT($C$5&amp;"生成成长"),5))*(VLOOKUP($B$5,标准坦克设计!$B$24:$U$30,MATCH("对"&amp;LEFT($C$5,2)&amp;"输出",标准坦克设计!$B$23:$U$23,0)))*(VLOOKUP($B145,INDIRECT($B$5&amp;"生成成长"),3))*(VLOOKUP($B$5,标准坦克设计!$B$14:$K$20,9)/30))</f>
        <v>49.229325902197665</v>
      </c>
      <c r="DH145" s="172">
        <f ca="1">(VLOOKUP(DH$72,INDIRECT($C$5&amp;"生成成长"),2))/((VLOOKUP($B145,INDIRECT($B$5&amp;"生成成长"),4))/(VLOOKUP(DH$72,INDIRECT($C$5&amp;"生成成长"),5))*(VLOOKUP($B$5,标准坦克设计!$B$24:$U$30,MATCH("对"&amp;LEFT($C$5,2)&amp;"输出",标准坦克设计!$B$23:$U$23,0)))*(VLOOKUP($B145,INDIRECT($B$5&amp;"生成成长"),3))*(VLOOKUP($B$5,标准坦克设计!$B$14:$K$20,9)/30))</f>
        <v>51.914075884034418</v>
      </c>
      <c r="DI145" s="172">
        <f ca="1">(VLOOKUP(DI$72,INDIRECT($C$5&amp;"生成成长"),2))/((VLOOKUP($B145,INDIRECT($B$5&amp;"生成成长"),4))/(VLOOKUP(DI$72,INDIRECT($C$5&amp;"生成成长"),5))*(VLOOKUP($B$5,标准坦克设计!$B$24:$U$30,MATCH("对"&amp;LEFT($C$5,2)&amp;"输出",标准坦克设计!$B$23:$U$23,0)))*(VLOOKUP($B145,INDIRECT($B$5&amp;"生成成长"),3))*(VLOOKUP($B$5,标准坦克设计!$B$14:$K$20,9)/30))</f>
        <v>54.670102414061532</v>
      </c>
      <c r="DJ145" s="172">
        <f ca="1">(VLOOKUP(DJ$72,INDIRECT($C$5&amp;"生成成长"),2))/((VLOOKUP($B145,INDIRECT($B$5&amp;"生成成长"),4))/(VLOOKUP(DJ$72,INDIRECT($C$5&amp;"生成成长"),5))*(VLOOKUP($B$5,标准坦克设计!$B$24:$U$30,MATCH("对"&amp;LEFT($C$5,2)&amp;"输出",标准坦克设计!$B$23:$U$23,0)))*(VLOOKUP($B145,INDIRECT($B$5&amp;"生成成长"),3))*(VLOOKUP($B$5,标准坦克设计!$B$14:$K$20,9)/30))</f>
        <v>5.4944814110211855</v>
      </c>
      <c r="DK145" s="172">
        <f ca="1">(VLOOKUP(DK$72,INDIRECT($C$5&amp;"生成成长"),2))/((VLOOKUP($B145,INDIRECT($B$5&amp;"生成成长"),4))/(VLOOKUP(DK$72,INDIRECT($C$5&amp;"生成成长"),5))*(VLOOKUP($B$5,标准坦克设计!$B$24:$U$30,MATCH("对"&amp;LEFT($C$5,2)&amp;"输出",标准坦克设计!$B$23:$U$23,0)))*(VLOOKUP($B145,INDIRECT($B$5&amp;"生成成长"),3))*(VLOOKUP($B$5,标准坦克设计!$B$14:$K$20,9)/30))</f>
        <v>6.1782907952224173</v>
      </c>
      <c r="DL145" s="172">
        <f ca="1">(VLOOKUP(DL$72,INDIRECT($C$5&amp;"生成成长"),2))/((VLOOKUP($B145,INDIRECT($B$5&amp;"生成成长"),4))/(VLOOKUP(DL$72,INDIRECT($C$5&amp;"生成成长"),5))*(VLOOKUP($B$5,标准坦克设计!$B$24:$U$30,MATCH("对"&amp;LEFT($C$5,2)&amp;"输出",标准坦克设计!$B$23:$U$23,0)))*(VLOOKUP($B145,INDIRECT($B$5&amp;"生成成长"),3))*(VLOOKUP($B$5,标准坦克设计!$B$14:$K$20,9)/30))</f>
        <v>6.9021932377807254</v>
      </c>
      <c r="DM145" s="172">
        <f ca="1">(VLOOKUP(DM$72,INDIRECT($C$5&amp;"生成成长"),2))/((VLOOKUP($B145,INDIRECT($B$5&amp;"生成成长"),4))/(VLOOKUP(DM$72,INDIRECT($C$5&amp;"生成成长"),5))*(VLOOKUP($B$5,标准坦克设计!$B$24:$U$30,MATCH("对"&amp;LEFT($C$5,2)&amp;"输出",标准坦克设计!$B$23:$U$23,0)))*(VLOOKUP($B145,INDIRECT($B$5&amp;"生成成长"),3))*(VLOOKUP($B$5,标准坦克设计!$B$14:$K$20,9)/30))</f>
        <v>7.6661887386961078</v>
      </c>
      <c r="DN145" s="172">
        <f ca="1">(VLOOKUP(DN$72,INDIRECT($C$5&amp;"生成成长"),2))/((VLOOKUP($B145,INDIRECT($B$5&amp;"生成成长"),4))/(VLOOKUP(DN$72,INDIRECT($C$5&amp;"生成成长"),5))*(VLOOKUP($B$5,标准坦克设计!$B$24:$U$30,MATCH("对"&amp;LEFT($C$5,2)&amp;"输出",标准坦克设计!$B$23:$U$23,0)))*(VLOOKUP($B145,INDIRECT($B$5&amp;"生成成长"),3))*(VLOOKUP($B$5,标准坦克设计!$B$14:$K$20,9)/30))</f>
        <v>8.4702772979685665</v>
      </c>
      <c r="DO145" s="172">
        <f ca="1">(VLOOKUP(DO$72,INDIRECT($C$5&amp;"生成成长"),2))/((VLOOKUP($B145,INDIRECT($B$5&amp;"生成成长"),4))/(VLOOKUP(DO$72,INDIRECT($C$5&amp;"生成成长"),5))*(VLOOKUP($B$5,标准坦克设计!$B$24:$U$30,MATCH("对"&amp;LEFT($C$5,2)&amp;"输出",标准坦克设计!$B$23:$U$23,0)))*(VLOOKUP($B145,INDIRECT($B$5&amp;"生成成长"),3))*(VLOOKUP($B$5,标准坦克设计!$B$14:$K$20,9)/30))</f>
        <v>9.3144589155980988</v>
      </c>
      <c r="DP145" s="172">
        <f ca="1">(VLOOKUP(DP$72,INDIRECT($C$5&amp;"生成成长"),2))/((VLOOKUP($B145,INDIRECT($B$5&amp;"生成成长"),4))/(VLOOKUP(DP$72,INDIRECT($C$5&amp;"生成成长"),5))*(VLOOKUP($B$5,标准坦克设计!$B$24:$U$30,MATCH("对"&amp;LEFT($C$5,2)&amp;"输出",标准坦克设计!$B$23:$U$23,0)))*(VLOOKUP($B145,INDIRECT($B$5&amp;"生成成长"),3))*(VLOOKUP($B$5,标准坦克设计!$B$14:$K$20,9)/30))</f>
        <v>10.198733591584705</v>
      </c>
      <c r="DQ145" s="172">
        <f ca="1">(VLOOKUP(DQ$72,INDIRECT($C$5&amp;"生成成长"),2))/((VLOOKUP($B145,INDIRECT($B$5&amp;"生成成长"),4))/(VLOOKUP(DQ$72,INDIRECT($C$5&amp;"生成成长"),5))*(VLOOKUP($B$5,标准坦克设计!$B$24:$U$30,MATCH("对"&amp;LEFT($C$5,2)&amp;"输出",标准坦克设计!$B$23:$U$23,0)))*(VLOOKUP($B145,INDIRECT($B$5&amp;"生成成长"),3))*(VLOOKUP($B$5,标准坦克设计!$B$14:$K$20,9)/30))</f>
        <v>11.12310132592839</v>
      </c>
      <c r="DR145" s="172">
        <f ca="1">(VLOOKUP(DR$72,INDIRECT($C$5&amp;"生成成长"),2))/((VLOOKUP($B145,INDIRECT($B$5&amp;"生成成长"),4))/(VLOOKUP(DR$72,INDIRECT($C$5&amp;"生成成长"),5))*(VLOOKUP($B$5,标准坦克设计!$B$24:$U$30,MATCH("对"&amp;LEFT($C$5,2)&amp;"输出",标准坦克设计!$B$23:$U$23,0)))*(VLOOKUP($B145,INDIRECT($B$5&amp;"生成成长"),3))*(VLOOKUP($B$5,标准坦克设计!$B$14:$K$20,9)/30))</f>
        <v>12.087562118629151</v>
      </c>
      <c r="DS145" s="172">
        <f ca="1">(VLOOKUP(DS$72,INDIRECT($C$5&amp;"生成成长"),2))/((VLOOKUP($B145,INDIRECT($B$5&amp;"生成成长"),4))/(VLOOKUP(DS$72,INDIRECT($C$5&amp;"生成成长"),5))*(VLOOKUP($B$5,标准坦克设计!$B$24:$U$30,MATCH("对"&amp;LEFT($C$5,2)&amp;"输出",标准坦克设计!$B$23:$U$23,0)))*(VLOOKUP($B145,INDIRECT($B$5&amp;"生成成长"),3))*(VLOOKUP($B$5,标准坦克设计!$B$14:$K$20,9)/30))</f>
        <v>13.092115969686985</v>
      </c>
      <c r="DT145" s="172">
        <f ca="1">(VLOOKUP(DT$72,INDIRECT($C$5&amp;"生成成长"),2))/((VLOOKUP($B145,INDIRECT($B$5&amp;"生成成长"),4))/(VLOOKUP(DT$72,INDIRECT($C$5&amp;"生成成长"),5))*(VLOOKUP($B$5,标准坦克设计!$B$24:$U$30,MATCH("对"&amp;LEFT($C$5,2)&amp;"输出",标准坦克设计!$B$23:$U$23,0)))*(VLOOKUP($B145,INDIRECT($B$5&amp;"生成成长"),3))*(VLOOKUP($B$5,标准坦克设计!$B$14:$K$20,9)/30))</f>
        <v>14.374351373069752</v>
      </c>
      <c r="DU145" s="172">
        <f ca="1">(VLOOKUP(DU$72,INDIRECT($C$5&amp;"生成成长"),2))/((VLOOKUP($B145,INDIRECT($B$5&amp;"生成成长"),4))/(VLOOKUP(DU$72,INDIRECT($C$5&amp;"生成成长"),5))*(VLOOKUP($B$5,标准坦克设计!$B$24:$U$30,MATCH("对"&amp;LEFT($C$5,2)&amp;"输出",标准坦克设计!$B$23:$U$23,0)))*(VLOOKUP($B145,INDIRECT($B$5&amp;"生成成长"),3))*(VLOOKUP($B$5,标准坦克设计!$B$14:$K$20,9)/30))</f>
        <v>15.716478875973579</v>
      </c>
      <c r="DV145" s="172">
        <f ca="1">(VLOOKUP(DV$72,INDIRECT($C$5&amp;"生成成长"),2))/((VLOOKUP($B145,INDIRECT($B$5&amp;"生成成长"),4))/(VLOOKUP(DV$72,INDIRECT($C$5&amp;"生成成长"),5))*(VLOOKUP($B$5,标准坦克设计!$B$24:$U$30,MATCH("对"&amp;LEFT($C$5,2)&amp;"输出",标准坦克设计!$B$23:$U$23,0)))*(VLOOKUP($B145,INDIRECT($B$5&amp;"生成成长"),3))*(VLOOKUP($B$5,标准坦克设计!$B$14:$K$20,9)/30))</f>
        <v>17.118498478398475</v>
      </c>
      <c r="DW145" s="172">
        <f ca="1">(VLOOKUP(DW$72,INDIRECT($C$5&amp;"生成成长"),2))/((VLOOKUP($B145,INDIRECT($B$5&amp;"生成成长"),4))/(VLOOKUP(DW$72,INDIRECT($C$5&amp;"生成成长"),5))*(VLOOKUP($B$5,标准坦克设计!$B$24:$U$30,MATCH("对"&amp;LEFT($C$5,2)&amp;"输出",标准坦克设计!$B$23:$U$23,0)))*(VLOOKUP($B145,INDIRECT($B$5&amp;"生成成长"),3))*(VLOOKUP($B$5,标准坦克设计!$B$14:$K$20,9)/30))</f>
        <v>18.580410180344426</v>
      </c>
      <c r="DX145" s="172">
        <f ca="1">(VLOOKUP(DX$72,INDIRECT($C$5&amp;"生成成长"),2))/((VLOOKUP($B145,INDIRECT($B$5&amp;"生成成长"),4))/(VLOOKUP(DX$72,INDIRECT($C$5&amp;"生成成长"),5))*(VLOOKUP($B$5,标准坦克设计!$B$24:$U$30,MATCH("对"&amp;LEFT($C$5,2)&amp;"输出",标准坦克设计!$B$23:$U$23,0)))*(VLOOKUP($B145,INDIRECT($B$5&amp;"生成成长"),3))*(VLOOKUP($B$5,标准坦克设计!$B$14:$K$20,9)/30))</f>
        <v>20.102213981811442</v>
      </c>
      <c r="DY145" s="172">
        <f ca="1">(VLOOKUP(DY$72,INDIRECT($C$5&amp;"生成成长"),2))/((VLOOKUP($B145,INDIRECT($B$5&amp;"生成成长"),4))/(VLOOKUP(DY$72,INDIRECT($C$5&amp;"生成成长"),5))*(VLOOKUP($B$5,标准坦克设计!$B$24:$U$30,MATCH("对"&amp;LEFT($C$5,2)&amp;"输出",标准坦克设计!$B$23:$U$23,0)))*(VLOOKUP($B145,INDIRECT($B$5&amp;"生成成长"),3))*(VLOOKUP($B$5,标准坦克设计!$B$14:$K$20,9)/30))</f>
        <v>9.028610258793023</v>
      </c>
      <c r="DZ145" s="172">
        <f ca="1">(VLOOKUP(DZ$72,INDIRECT($C$5&amp;"生成成长"),2))/((VLOOKUP($B145,INDIRECT($B$5&amp;"生成成长"),4))/(VLOOKUP(DZ$72,INDIRECT($C$5&amp;"生成成长"),5))*(VLOOKUP($B$5,标准坦克设计!$B$24:$U$30,MATCH("对"&amp;LEFT($C$5,2)&amp;"输出",标准坦克设计!$B$23:$U$23,0)))*(VLOOKUP($B145,INDIRECT($B$5&amp;"生成成长"),3))*(VLOOKUP($B$5,标准坦克设计!$B$14:$K$20,9)/30))</f>
        <v>9.9987632758284288</v>
      </c>
      <c r="EA145" s="172">
        <f ca="1">(VLOOKUP(EA$72,INDIRECT($C$5&amp;"生成成长"),2))/((VLOOKUP($B145,INDIRECT($B$5&amp;"生成成长"),4))/(VLOOKUP(EA$72,INDIRECT($C$5&amp;"生成成长"),5))*(VLOOKUP($B$5,标准坦克设计!$B$24:$U$30,MATCH("对"&amp;LEFT($C$5,2)&amp;"输出",标准坦克设计!$B$23:$U$23,0)))*(VLOOKUP($B145,INDIRECT($B$5&amp;"生成成长"),3))*(VLOOKUP($B$5,标准坦克设计!$B$14:$K$20,9)/30))</f>
        <v>11.018413895773804</v>
      </c>
      <c r="EB145" s="172">
        <f ca="1">(VLOOKUP(EB$72,INDIRECT($C$5&amp;"生成成长"),2))/((VLOOKUP($B145,INDIRECT($B$5&amp;"生成成长"),4))/(VLOOKUP(EB$72,INDIRECT($C$5&amp;"生成成长"),5))*(VLOOKUP($B$5,标准坦克设计!$B$24:$U$30,MATCH("对"&amp;LEFT($C$5,2)&amp;"输出",标准坦克设计!$B$23:$U$23,0)))*(VLOOKUP($B145,INDIRECT($B$5&amp;"生成成长"),3))*(VLOOKUP($B$5,标准坦克设计!$B$14:$K$20,9)/30))</f>
        <v>12.087562118629151</v>
      </c>
      <c r="EC145" s="172">
        <f ca="1">(VLOOKUP(EC$72,INDIRECT($C$5&amp;"生成成长"),2))/((VLOOKUP($B145,INDIRECT($B$5&amp;"生成成长"),4))/(VLOOKUP(EC$72,INDIRECT($C$5&amp;"生成成长"),5))*(VLOOKUP($B$5,标准坦克设计!$B$24:$U$30,MATCH("对"&amp;LEFT($C$5,2)&amp;"输出",标准坦克设计!$B$23:$U$23,0)))*(VLOOKUP($B145,INDIRECT($B$5&amp;"生成成长"),3))*(VLOOKUP($B$5,标准坦克设计!$B$14:$K$20,9)/30))</f>
        <v>13.206207944394466</v>
      </c>
      <c r="ED145" s="172">
        <f ca="1">(VLOOKUP(ED$72,INDIRECT($C$5&amp;"生成成长"),2))/((VLOOKUP($B145,INDIRECT($B$5&amp;"生成成长"),4))/(VLOOKUP(ED$72,INDIRECT($C$5&amp;"生成成长"),5))*(VLOOKUP($B$5,标准坦克设计!$B$24:$U$30,MATCH("对"&amp;LEFT($C$5,2)&amp;"输出",标准坦克设计!$B$23:$U$23,0)))*(VLOOKUP($B145,INDIRECT($B$5&amp;"生成成长"),3))*(VLOOKUP($B$5,标准坦克设计!$B$14:$K$20,9)/30))</f>
        <v>14.374351373069752</v>
      </c>
      <c r="EE145" s="172">
        <f ca="1">(VLOOKUP(EE$72,INDIRECT($C$5&amp;"生成成长"),2))/((VLOOKUP($B145,INDIRECT($B$5&amp;"生成成长"),4))/(VLOOKUP(EE$72,INDIRECT($C$5&amp;"生成成长"),5))*(VLOOKUP($B$5,标准坦克设计!$B$24:$U$30,MATCH("对"&amp;LEFT($C$5,2)&amp;"输出",标准坦克设计!$B$23:$U$23,0)))*(VLOOKUP($B145,INDIRECT($B$5&amp;"生成成长"),3))*(VLOOKUP($B$5,标准坦克设计!$B$14:$K$20,9)/30))</f>
        <v>15.591992404655004</v>
      </c>
      <c r="EF145" s="172">
        <f ca="1">(VLOOKUP(EF$72,INDIRECT($C$5&amp;"生成成长"),2))/((VLOOKUP($B145,INDIRECT($B$5&amp;"生成成长"),4))/(VLOOKUP(EF$72,INDIRECT($C$5&amp;"生成成长"),5))*(VLOOKUP($B$5,标准坦克设计!$B$24:$U$30,MATCH("对"&amp;LEFT($C$5,2)&amp;"输出",标准坦克设计!$B$23:$U$23,0)))*(VLOOKUP($B145,INDIRECT($B$5&amp;"生成成长"),3))*(VLOOKUP($B$5,标准坦克设计!$B$14:$K$20,9)/30))</f>
        <v>16.859131039150231</v>
      </c>
      <c r="EG145" s="172">
        <f ca="1">(VLOOKUP(EG$72,INDIRECT($C$5&amp;"生成成长"),2))/((VLOOKUP($B145,INDIRECT($B$5&amp;"生成成长"),4))/(VLOOKUP(EG$72,INDIRECT($C$5&amp;"生成成长"),5))*(VLOOKUP($B$5,标准坦克设计!$B$24:$U$30,MATCH("对"&amp;LEFT($C$5,2)&amp;"输出",标准坦克设计!$B$23:$U$23,0)))*(VLOOKUP($B145,INDIRECT($B$5&amp;"生成成长"),3))*(VLOOKUP($B$5,标准坦克设计!$B$14:$K$20,9)/30))</f>
        <v>18.175767276555426</v>
      </c>
      <c r="EH145" s="172">
        <f ca="1">(VLOOKUP(EH$72,INDIRECT($C$5&amp;"生成成长"),2))/((VLOOKUP($B145,INDIRECT($B$5&amp;"生成成长"),4))/(VLOOKUP(EH$72,INDIRECT($C$5&amp;"生成成长"),5))*(VLOOKUP($B$5,标准坦克设计!$B$24:$U$30,MATCH("对"&amp;LEFT($C$5,2)&amp;"输出",标准坦克设计!$B$23:$U$23,0)))*(VLOOKUP($B145,INDIRECT($B$5&amp;"生成成长"),3))*(VLOOKUP($B$5,标准坦克设计!$B$14:$K$20,9)/30))</f>
        <v>19.541901116870587</v>
      </c>
      <c r="EI145" s="172">
        <f ca="1">(VLOOKUP(EI$72,INDIRECT($C$5&amp;"生成成长"),2))/((VLOOKUP($B145,INDIRECT($B$5&amp;"生成成长"),4))/(VLOOKUP(EI$72,INDIRECT($C$5&amp;"生成成长"),5))*(VLOOKUP($B$5,标准坦克设计!$B$24:$U$30,MATCH("对"&amp;LEFT($C$5,2)&amp;"输出",标准坦克设计!$B$23:$U$23,0)))*(VLOOKUP($B145,INDIRECT($B$5&amp;"生成成长"),3))*(VLOOKUP($B$5,标准坦克设计!$B$14:$K$20,9)/30))</f>
        <v>20.957532560095721</v>
      </c>
      <c r="EJ145" s="172">
        <f ca="1">(VLOOKUP(EJ$72,INDIRECT($C$5&amp;"生成成长"),2))/((VLOOKUP($B145,INDIRECT($B$5&amp;"生成成长"),4))/(VLOOKUP(EJ$72,INDIRECT($C$5&amp;"生成成长"),5))*(VLOOKUP($B$5,标准坦克设计!$B$24:$U$30,MATCH("对"&amp;LEFT($C$5,2)&amp;"输出",标准坦克设计!$B$23:$U$23,0)))*(VLOOKUP($B145,INDIRECT($B$5&amp;"生成成长"),3))*(VLOOKUP($B$5,标准坦克设计!$B$14:$K$20,9)/30))</f>
        <v>22.422661606230825</v>
      </c>
      <c r="EK145" s="172">
        <f ca="1">(VLOOKUP(EK$72,INDIRECT($C$5&amp;"生成成长"),2))/((VLOOKUP($B145,INDIRECT($B$5&amp;"生成成长"),4))/(VLOOKUP(EK$72,INDIRECT($C$5&amp;"生成成长"),5))*(VLOOKUP($B$5,标准坦克设计!$B$24:$U$30,MATCH("对"&amp;LEFT($C$5,2)&amp;"输出",标准坦克设计!$B$23:$U$23,0)))*(VLOOKUP($B145,INDIRECT($B$5&amp;"生成成长"),3))*(VLOOKUP($B$5,标准坦克设计!$B$14:$K$20,9)/30))</f>
        <v>24.246153297434105</v>
      </c>
      <c r="EL145" s="172">
        <f ca="1">(VLOOKUP(EL$72,INDIRECT($C$5&amp;"生成成长"),2))/((VLOOKUP($B145,INDIRECT($B$5&amp;"生成成长"),4))/(VLOOKUP(EL$72,INDIRECT($C$5&amp;"生成成长"),5))*(VLOOKUP($B$5,标准坦克设计!$B$24:$U$30,MATCH("对"&amp;LEFT($C$5,2)&amp;"输出",标准坦克设计!$B$23:$U$23,0)))*(VLOOKUP($B145,INDIRECT($B$5&amp;"生成成长"),3))*(VLOOKUP($B$5,标准坦克设计!$B$14:$K$20,9)/30))</f>
        <v>26.140921536827747</v>
      </c>
      <c r="EM145" s="172">
        <f ca="1">(VLOOKUP(EM$72,INDIRECT($C$5&amp;"生成成长"),2))/((VLOOKUP($B145,INDIRECT($B$5&amp;"生成成长"),4))/(VLOOKUP(EM$72,INDIRECT($C$5&amp;"生成成长"),5))*(VLOOKUP($B$5,标准坦克设计!$B$24:$U$30,MATCH("对"&amp;LEFT($C$5,2)&amp;"输出",标准坦克设计!$B$23:$U$23,0)))*(VLOOKUP($B145,INDIRECT($B$5&amp;"生成成长"),3))*(VLOOKUP($B$5,标准坦克设计!$B$14:$K$20,9)/30))</f>
        <v>28.106966324411747</v>
      </c>
      <c r="EN145" s="172">
        <f ca="1">(VLOOKUP(EN$72,INDIRECT($C$5&amp;"生成成长"),2))/((VLOOKUP($B145,INDIRECT($B$5&amp;"生成成长"),4))/(VLOOKUP(EN$72,INDIRECT($C$5&amp;"生成成长"),5))*(VLOOKUP($B$5,标准坦克设计!$B$24:$U$30,MATCH("对"&amp;LEFT($C$5,2)&amp;"输出",标准坦克设计!$B$23:$U$23,0)))*(VLOOKUP($B145,INDIRECT($B$5&amp;"生成成长"),3))*(VLOOKUP($B$5,标准坦克设计!$B$14:$K$20,9)/30))</f>
        <v>30.144287660186095</v>
      </c>
      <c r="EO145" s="172">
        <f ca="1">(VLOOKUP(EO$72,INDIRECT($C$5&amp;"生成成长"),2))/((VLOOKUP($B145,INDIRECT($B$5&amp;"生成成长"),4))/(VLOOKUP(EO$72,INDIRECT($C$5&amp;"生成成长"),5))*(VLOOKUP($B$5,标准坦克设计!$B$24:$U$30,MATCH("对"&amp;LEFT($C$5,2)&amp;"输出",标准坦克设计!$B$23:$U$23,0)))*(VLOOKUP($B145,INDIRECT($B$5&amp;"生成成长"),3))*(VLOOKUP($B$5,标准坦克设计!$B$14:$K$20,9)/30))</f>
        <v>32.2528855441508</v>
      </c>
      <c r="EP145" s="172">
        <f ca="1">(VLOOKUP(EP$72,INDIRECT($C$5&amp;"生成成长"),2))/((VLOOKUP($B145,INDIRECT($B$5&amp;"生成成长"),4))/(VLOOKUP(EP$72,INDIRECT($C$5&amp;"生成成长"),5))*(VLOOKUP($B$5,标准坦克设计!$B$24:$U$30,MATCH("对"&amp;LEFT($C$5,2)&amp;"输出",标准坦克设计!$B$23:$U$23,0)))*(VLOOKUP($B145,INDIRECT($B$5&amp;"生成成长"),3))*(VLOOKUP($B$5,标准坦克设计!$B$14:$K$20,9)/30))</f>
        <v>34.432759976305867</v>
      </c>
      <c r="EQ145" s="172">
        <f ca="1">(VLOOKUP(EQ$72,INDIRECT($C$5&amp;"生成成长"),2))/((VLOOKUP($B145,INDIRECT($B$5&amp;"生成成长"),4))/(VLOOKUP(EQ$72,INDIRECT($C$5&amp;"生成成长"),5))*(VLOOKUP($B$5,标准坦克设计!$B$24:$U$30,MATCH("对"&amp;LEFT($C$5,2)&amp;"输出",标准坦克设计!$B$23:$U$23,0)))*(VLOOKUP($B145,INDIRECT($B$5&amp;"生成成长"),3))*(VLOOKUP($B$5,标准坦克设计!$B$14:$K$20,9)/30))</f>
        <v>15.221502846873884</v>
      </c>
      <c r="ER145" s="172">
        <f ca="1">(VLOOKUP(ER$72,INDIRECT($C$5&amp;"生成成长"),2))/((VLOOKUP($B145,INDIRECT($B$5&amp;"生成成长"),4))/(VLOOKUP(ER$72,INDIRECT($C$5&amp;"生成成长"),5))*(VLOOKUP($B$5,标准坦克设计!$B$24:$U$30,MATCH("对"&amp;LEFT($C$5,2)&amp;"输出",标准坦克设计!$B$23:$U$23,0)))*(VLOOKUP($B145,INDIRECT($B$5&amp;"生成成长"),3))*(VLOOKUP($B$5,标准坦克设计!$B$14:$K$20,9)/30))</f>
        <v>16.60174350401839</v>
      </c>
      <c r="ES145" s="172">
        <f ca="1">(VLOOKUP(ES$72,INDIRECT($C$5&amp;"生成成长"),2))/((VLOOKUP($B145,INDIRECT($B$5&amp;"生成成长"),4))/(VLOOKUP(ES$72,INDIRECT($C$5&amp;"生成成长"),5))*(VLOOKUP($B$5,标准坦克设计!$B$24:$U$30,MATCH("对"&amp;LEFT($C$5,2)&amp;"输出",标准坦克设计!$B$23:$U$23,0)))*(VLOOKUP($B145,INDIRECT($B$5&amp;"生成成长"),3))*(VLOOKUP($B$5,标准坦克设计!$B$14:$K$20,9)/30))</f>
        <v>18.041876260683956</v>
      </c>
      <c r="ET145" s="172">
        <f ca="1">(VLOOKUP(ET$72,INDIRECT($C$5&amp;"生成成长"),2))/((VLOOKUP($B145,INDIRECT($B$5&amp;"生成成长"),4))/(VLOOKUP(ET$72,INDIRECT($C$5&amp;"生成成长"),5))*(VLOOKUP($B$5,标准坦克设计!$B$24:$U$30,MATCH("对"&amp;LEFT($C$5,2)&amp;"输出",标准坦克设计!$B$23:$U$23,0)))*(VLOOKUP($B145,INDIRECT($B$5&amp;"生成成长"),3))*(VLOOKUP($B$5,标准坦克设计!$B$14:$K$20,9)/30))</f>
        <v>19.541901116870587</v>
      </c>
      <c r="EU145" s="172">
        <f ca="1">(VLOOKUP(EU$72,INDIRECT($C$5&amp;"生成成长"),2))/((VLOOKUP($B145,INDIRECT($B$5&amp;"生成成长"),4))/(VLOOKUP(EU$72,INDIRECT($C$5&amp;"生成成长"),5))*(VLOOKUP($B$5,标准坦克设计!$B$24:$U$30,MATCH("对"&amp;LEFT($C$5,2)&amp;"输出",标准坦克设计!$B$23:$U$23,0)))*(VLOOKUP($B145,INDIRECT($B$5&amp;"生成成长"),3))*(VLOOKUP($B$5,标准坦克设计!$B$14:$K$20,9)/30))</f>
        <v>21.101818072578286</v>
      </c>
      <c r="EV145" s="172">
        <f ca="1">(VLOOKUP(EV$72,INDIRECT($C$5&amp;"生成成长"),2))/((VLOOKUP($B145,INDIRECT($B$5&amp;"生成成长"),4))/(VLOOKUP(EV$72,INDIRECT($C$5&amp;"生成成长"),5))*(VLOOKUP($B$5,标准坦克设计!$B$24:$U$30,MATCH("对"&amp;LEFT($C$5,2)&amp;"输出",标准坦克设计!$B$23:$U$23,0)))*(VLOOKUP($B145,INDIRECT($B$5&amp;"生成成长"),3))*(VLOOKUP($B$5,标准坦克设计!$B$14:$K$20,9)/30))</f>
        <v>22.721627127807043</v>
      </c>
      <c r="EW145" s="172">
        <f ca="1">(VLOOKUP(EW$72,INDIRECT($C$5&amp;"生成成长"),2))/((VLOOKUP($B145,INDIRECT($B$5&amp;"生成成长"),4))/(VLOOKUP(EW$72,INDIRECT($C$5&amp;"生成成长"),5))*(VLOOKUP($B$5,标准坦克设计!$B$24:$U$30,MATCH("对"&amp;LEFT($C$5,2)&amp;"输出",标准坦克设计!$B$23:$U$23,0)))*(VLOOKUP($B145,INDIRECT($B$5&amp;"生成成长"),3))*(VLOOKUP($B$5,标准坦克设计!$B$14:$K$20,9)/30))</f>
        <v>24.401328282556861</v>
      </c>
      <c r="EX145" s="172">
        <f ca="1">(VLOOKUP(EX$72,INDIRECT($C$5&amp;"生成成长"),2))/((VLOOKUP($B145,INDIRECT($B$5&amp;"生成成长"),4))/(VLOOKUP(EX$72,INDIRECT($C$5&amp;"生成成长"),5))*(VLOOKUP($B$5,标准坦克设计!$B$24:$U$30,MATCH("对"&amp;LEFT($C$5,2)&amp;"输出",标准坦克设计!$B$23:$U$23,0)))*(VLOOKUP($B145,INDIRECT($B$5&amp;"生成成长"),3))*(VLOOKUP($B$5,标准坦克设计!$B$14:$K$20,9)/30))</f>
        <v>26.140921536827747</v>
      </c>
      <c r="EY145" s="172">
        <f ca="1">(VLOOKUP(EY$72,INDIRECT($C$5&amp;"生成成长"),2))/((VLOOKUP($B145,INDIRECT($B$5&amp;"生成成长"),4))/(VLOOKUP(EY$72,INDIRECT($C$5&amp;"生成成长"),5))*(VLOOKUP($B$5,标准坦克设计!$B$24:$U$30,MATCH("对"&amp;LEFT($C$5,2)&amp;"输出",标准坦克设计!$B$23:$U$23,0)))*(VLOOKUP($B145,INDIRECT($B$5&amp;"生成成长"),3))*(VLOOKUP($B$5,标准坦克设计!$B$14:$K$20,9)/30))</f>
        <v>27.940406890619695</v>
      </c>
      <c r="EZ145" s="172">
        <f ca="1">(VLOOKUP(EZ$72,INDIRECT($C$5&amp;"生成成长"),2))/((VLOOKUP($B145,INDIRECT($B$5&amp;"生成成长"),4))/(VLOOKUP(EZ$72,INDIRECT($C$5&amp;"生成成长"),5))*(VLOOKUP($B$5,标准坦克设计!$B$24:$U$30,MATCH("对"&amp;LEFT($C$5,2)&amp;"输出",标准坦克设计!$B$23:$U$23,0)))*(VLOOKUP($B145,INDIRECT($B$5&amp;"生成成长"),3))*(VLOOKUP($B$5,标准坦克设计!$B$14:$K$20,9)/30))</f>
        <v>29.799784343932707</v>
      </c>
      <c r="FA145" s="172">
        <f ca="1">(VLOOKUP(FA$72,INDIRECT($C$5&amp;"生成成长"),2))/((VLOOKUP($B145,INDIRECT($B$5&amp;"生成成长"),4))/(VLOOKUP(FA$72,INDIRECT($C$5&amp;"生成成长"),5))*(VLOOKUP($B$5,标准坦克设计!$B$24:$U$30,MATCH("对"&amp;LEFT($C$5,2)&amp;"输出",标准坦克设计!$B$23:$U$23,0)))*(VLOOKUP($B145,INDIRECT($B$5&amp;"生成成长"),3))*(VLOOKUP($B$5,标准坦克设计!$B$14:$K$20,9)/30))</f>
        <v>31.719053896766781</v>
      </c>
      <c r="FB145" s="172">
        <f ca="1">(VLOOKUP(FB$72,INDIRECT($C$5&amp;"生成成长"),2))/((VLOOKUP($B145,INDIRECT($B$5&amp;"生成成长"),4))/(VLOOKUP(FB$72,INDIRECT($C$5&amp;"生成成长"),5))*(VLOOKUP($B$5,标准坦克设计!$B$24:$U$30,MATCH("对"&amp;LEFT($C$5,2)&amp;"输出",标准坦克设计!$B$23:$U$23,0)))*(VLOOKUP($B145,INDIRECT($B$5&amp;"生成成长"),3))*(VLOOKUP($B$5,标准坦克设计!$B$14:$K$20,9)/30))</f>
        <v>33.698215549121926</v>
      </c>
      <c r="FC145" s="172">
        <f ca="1">(VLOOKUP(FC$72,INDIRECT($C$5&amp;"生成成长"),2))/((VLOOKUP($B145,INDIRECT($B$5&amp;"生成成长"),4))/(VLOOKUP(FC$72,INDIRECT($C$5&amp;"生成成长"),5))*(VLOOKUP($B$5,标准坦克设计!$B$24:$U$30,MATCH("对"&amp;LEFT($C$5,2)&amp;"输出",标准坦克设计!$B$23:$U$23,0)))*(VLOOKUP($B145,INDIRECT($B$5&amp;"生成成长"),3))*(VLOOKUP($B$5,标准坦克设计!$B$14:$K$20,9)/30))</f>
        <v>35.737269300998129</v>
      </c>
      <c r="FD145" s="172">
        <f ca="1">(VLOOKUP(FD$72,INDIRECT($C$5&amp;"生成成长"),2))/((VLOOKUP($B145,INDIRECT($B$5&amp;"生成成长"),4))/(VLOOKUP(FD$72,INDIRECT($C$5&amp;"生成成长"),5))*(VLOOKUP($B$5,标准坦克设计!$B$24:$U$30,MATCH("对"&amp;LEFT($C$5,2)&amp;"输出",标准坦克设计!$B$23:$U$23,0)))*(VLOOKUP($B145,INDIRECT($B$5&amp;"生成成长"),3))*(VLOOKUP($B$5,标准坦克设计!$B$14:$K$20,9)/30))</f>
        <v>37.83621515239539</v>
      </c>
      <c r="FE145" s="172">
        <f ca="1">(VLOOKUP(FE$72,INDIRECT($C$5&amp;"生成成长"),2))/((VLOOKUP($B145,INDIRECT($B$5&amp;"生成成长"),4))/(VLOOKUP(FE$72,INDIRECT($C$5&amp;"生成成长"),5))*(VLOOKUP($B$5,标准坦克设计!$B$24:$U$30,MATCH("对"&amp;LEFT($C$5,2)&amp;"输出",标准坦克设计!$B$23:$U$23,0)))*(VLOOKUP($B145,INDIRECT($B$5&amp;"生成成长"),3))*(VLOOKUP($B$5,标准坦克设计!$B$14:$K$20,9)/30))</f>
        <v>40.394003782768067</v>
      </c>
      <c r="FF145" s="172">
        <f ca="1">(VLOOKUP(FF$72,INDIRECT($C$5&amp;"生成成长"),2))/((VLOOKUP($B145,INDIRECT($B$5&amp;"生成成长"),4))/(VLOOKUP(FF$72,INDIRECT($C$5&amp;"生成成长"),5))*(VLOOKUP($B$5,标准坦克设计!$B$24:$U$30,MATCH("对"&amp;LEFT($C$5,2)&amp;"输出",标准坦克设计!$B$23:$U$23,0)))*(VLOOKUP($B145,INDIRECT($B$5&amp;"生成成长"),3))*(VLOOKUP($B$5,标准坦克设计!$B$14:$K$20,9)/30))</f>
        <v>43.035443362058601</v>
      </c>
      <c r="FG145" s="172">
        <f ca="1">(VLOOKUP(FG$72,INDIRECT($C$5&amp;"生成成长"),2))/((VLOOKUP($B145,INDIRECT($B$5&amp;"生成成长"),4))/(VLOOKUP(FG$72,INDIRECT($C$5&amp;"生成成长"),5))*(VLOOKUP($B$5,标准坦克设计!$B$24:$U$30,MATCH("对"&amp;LEFT($C$5,2)&amp;"输出",标准坦克设计!$B$23:$U$23,0)))*(VLOOKUP($B145,INDIRECT($B$5&amp;"生成成长"),3))*(VLOOKUP($B$5,标准坦克设计!$B$14:$K$20,9)/30))</f>
        <v>45.760533890266984</v>
      </c>
      <c r="FH145" s="172">
        <f ca="1">(VLOOKUP(FH$72,INDIRECT($C$5&amp;"生成成长"),2))/((VLOOKUP($B145,INDIRECT($B$5&amp;"生成成长"),4))/(VLOOKUP(FH$72,INDIRECT($C$5&amp;"生成成长"),5))*(VLOOKUP($B$5,标准坦克设计!$B$24:$U$30,MATCH("对"&amp;LEFT($C$5,2)&amp;"输出",标准坦克设计!$B$23:$U$23,0)))*(VLOOKUP($B145,INDIRECT($B$5&amp;"生成成长"),3))*(VLOOKUP($B$5,标准坦克设计!$B$14:$K$20,9)/30))</f>
        <v>48.569275367393217</v>
      </c>
      <c r="FI145" s="172">
        <f ca="1">(VLOOKUP(FI$72,INDIRECT($C$5&amp;"生成成长"),2))/((VLOOKUP($B145,INDIRECT($B$5&amp;"生成成长"),4))/(VLOOKUP(FI$72,INDIRECT($C$5&amp;"生成成长"),5))*(VLOOKUP($B$5,标准坦克设计!$B$24:$U$30,MATCH("对"&amp;LEFT($C$5,2)&amp;"输出",标准坦克设计!$B$23:$U$23,0)))*(VLOOKUP($B145,INDIRECT($B$5&amp;"生成成长"),3))*(VLOOKUP($B$5,标准坦克设计!$B$14:$K$20,9)/30))</f>
        <v>51.461667793437307</v>
      </c>
      <c r="FJ145" s="172">
        <f ca="1">(VLOOKUP(FJ$72,INDIRECT($C$5&amp;"生成成长"),2))/((VLOOKUP($B145,INDIRECT($B$5&amp;"生成成长"),4))/(VLOOKUP(FJ$72,INDIRECT($C$5&amp;"生成成长"),5))*(VLOOKUP($B$5,标准坦克设计!$B$24:$U$30,MATCH("对"&amp;LEFT($C$5,2)&amp;"输出",标准坦克设计!$B$23:$U$23,0)))*(VLOOKUP($B145,INDIRECT($B$5&amp;"生成成长"),3))*(VLOOKUP($B$5,标准坦克设计!$B$14:$K$20,9)/30))</f>
        <v>54.437711168399225</v>
      </c>
      <c r="FK145" s="172">
        <f ca="1">(VLOOKUP(FK$72,INDIRECT($C$5&amp;"生成成长"),2))/((VLOOKUP($B145,INDIRECT($B$5&amp;"生成成长"),4))/(VLOOKUP(FK$72,INDIRECT($C$5&amp;"生成成长"),5))*(VLOOKUP($B$5,标准坦克设计!$B$24:$U$30,MATCH("对"&amp;LEFT($C$5,2)&amp;"输出",标准坦克设计!$B$23:$U$23,0)))*(VLOOKUP($B145,INDIRECT($B$5&amp;"生成成长"),3))*(VLOOKUP($B$5,标准坦克设计!$B$14:$K$20,9)/30))</f>
        <v>57.497405492279007</v>
      </c>
    </row>
    <row r="146" spans="1:167" x14ac:dyDescent="0.15">
      <c r="A146" s="170" t="str">
        <f t="shared" si="12"/>
        <v>T4中品质2级</v>
      </c>
      <c r="B146" s="171">
        <v>20402</v>
      </c>
      <c r="C146" s="172">
        <f ca="1">(VLOOKUP(C$72,INDIRECT($C$5&amp;"生成成长"),2))/((VLOOKUP($B146,INDIRECT($B$5&amp;"生成成长"),4))/(VLOOKUP(C$72,INDIRECT($C$5&amp;"生成成长"),5))*(VLOOKUP($B$5,标准坦克设计!$B$24:$U$30,MATCH("对"&amp;LEFT($C$5,2)&amp;"输出",标准坦克设计!$B$23:$U$23,0)))*(VLOOKUP($B146,INDIRECT($B$5&amp;"生成成长"),3))*(VLOOKUP($B$5,标准坦克设计!$B$14:$K$20,9)/30))</f>
        <v>2.2393451988879782</v>
      </c>
      <c r="D146" s="172">
        <f ca="1">(VLOOKUP(D$72,INDIRECT($C$5&amp;"生成成长"),2))/((VLOOKUP($B146,INDIRECT($B$5&amp;"生成成长"),4))/(VLOOKUP(D$72,INDIRECT($C$5&amp;"生成成长"),5))*(VLOOKUP($B$5,标准坦克设计!$B$24:$U$30,MATCH("对"&amp;LEFT($C$5,2)&amp;"输出",标准坦克设计!$B$23:$U$23,0)))*(VLOOKUP($B146,INDIRECT($B$5&amp;"生成成长"),3))*(VLOOKUP($B$5,标准坦克设计!$B$14:$K$20,9)/30))</f>
        <v>2.5161282654705328</v>
      </c>
      <c r="E146" s="172">
        <f ca="1">(VLOOKUP(E$72,INDIRECT($C$5&amp;"生成成长"),2))/((VLOOKUP($B146,INDIRECT($B$5&amp;"生成成长"),4))/(VLOOKUP(E$72,INDIRECT($C$5&amp;"生成成长"),5))*(VLOOKUP($B$5,标准坦克设计!$B$24:$U$30,MATCH("对"&amp;LEFT($C$5,2)&amp;"输出",标准坦克设计!$B$23:$U$23,0)))*(VLOOKUP($B146,INDIRECT($B$5&amp;"生成成长"),3))*(VLOOKUP($B$5,标准坦克设计!$B$14:$K$20,9)/30))</f>
        <v>2.8090346174850795</v>
      </c>
      <c r="F146" s="172">
        <f ca="1">(VLOOKUP(F$72,INDIRECT($C$5&amp;"生成成长"),2))/((VLOOKUP($B146,INDIRECT($B$5&amp;"生成成长"),4))/(VLOOKUP(F$72,INDIRECT($C$5&amp;"生成成长"),5))*(VLOOKUP($B$5,标准坦克设计!$B$24:$U$30,MATCH("对"&amp;LEFT($C$5,2)&amp;"输出",标准坦克设计!$B$23:$U$23,0)))*(VLOOKUP($B146,INDIRECT($B$5&amp;"生成成长"),3))*(VLOOKUP($B$5,标准坦克设计!$B$14:$K$20,9)/30))</f>
        <v>3.1180642549316206</v>
      </c>
      <c r="G146" s="172">
        <f ca="1">(VLOOKUP(G$72,INDIRECT($C$5&amp;"生成成长"),2))/((VLOOKUP($B146,INDIRECT($B$5&amp;"生成成长"),4))/(VLOOKUP(G$72,INDIRECT($C$5&amp;"生成成长"),5))*(VLOOKUP($B$5,标准坦克设计!$B$24:$U$30,MATCH("对"&amp;LEFT($C$5,2)&amp;"输出",标准坦克设计!$B$23:$U$23,0)))*(VLOOKUP($B146,INDIRECT($B$5&amp;"生成成长"),3))*(VLOOKUP($B$5,标准坦克设计!$B$14:$K$20,9)/30))</f>
        <v>3.4432171778101557</v>
      </c>
      <c r="H146" s="172">
        <f ca="1">(VLOOKUP(H$72,INDIRECT($C$5&amp;"生成成长"),2))/((VLOOKUP($B146,INDIRECT($B$5&amp;"生成成长"),4))/(VLOOKUP(H$72,INDIRECT($C$5&amp;"生成成长"),5))*(VLOOKUP($B$5,标准坦克设计!$B$24:$U$30,MATCH("对"&amp;LEFT($C$5,2)&amp;"输出",标准坦克设计!$B$23:$U$23,0)))*(VLOOKUP($B146,INDIRECT($B$5&amp;"生成成长"),3))*(VLOOKUP($B$5,标准坦克设计!$B$14:$K$20,9)/30))</f>
        <v>3.0132628996236637</v>
      </c>
      <c r="I146" s="172">
        <f ca="1">(VLOOKUP(I$72,INDIRECT($C$5&amp;"生成成长"),2))/((VLOOKUP($B146,INDIRECT($B$5&amp;"生成成长"),4))/(VLOOKUP(I$72,INDIRECT($C$5&amp;"生成成长"),5))*(VLOOKUP($B$5,标准坦克设计!$B$24:$U$30,MATCH("对"&amp;LEFT($C$5,2)&amp;"输出",标准坦克设计!$B$23:$U$23,0)))*(VLOOKUP($B146,INDIRECT($B$5&amp;"生成成长"),3))*(VLOOKUP($B$5,标准坦克设计!$B$14:$K$20,9)/30))</f>
        <v>3.4432171778101557</v>
      </c>
      <c r="J146" s="172">
        <f ca="1">(VLOOKUP(J$72,INDIRECT($C$5&amp;"生成成长"),2))/((VLOOKUP($B146,INDIRECT($B$5&amp;"生成成长"),4))/(VLOOKUP(J$72,INDIRECT($C$5&amp;"生成成长"),5))*(VLOOKUP($B$5,标准坦克设计!$B$24:$U$30,MATCH("对"&amp;LEFT($C$5,2)&amp;"输出",标准坦克设计!$B$23:$U$23,0)))*(VLOOKUP($B146,INDIRECT($B$5&amp;"生成成长"),3))*(VLOOKUP($B$5,标准坦克设计!$B$14:$K$20,9)/30))</f>
        <v>3.9018350745424133</v>
      </c>
      <c r="K146" s="172">
        <f ca="1">(VLOOKUP(K$72,INDIRECT($C$5&amp;"生成成长"),2))/((VLOOKUP($B146,INDIRECT($B$5&amp;"生成成长"),4))/(VLOOKUP(K$72,INDIRECT($C$5&amp;"生成成长"),5))*(VLOOKUP($B$5,标准坦克设计!$B$24:$U$30,MATCH("对"&amp;LEFT($C$5,2)&amp;"输出",标准坦克设计!$B$23:$U$23,0)))*(VLOOKUP($B146,INDIRECT($B$5&amp;"生成成长"),3))*(VLOOKUP($B$5,标准坦克设计!$B$14:$K$20,9)/30))</f>
        <v>4.3891165898204365</v>
      </c>
      <c r="L146" s="172">
        <f ca="1">(VLOOKUP(L$72,INDIRECT($C$5&amp;"生成成长"),2))/((VLOOKUP($B146,INDIRECT($B$5&amp;"生成成长"),4))/(VLOOKUP(L$72,INDIRECT($C$5&amp;"生成成长"),5))*(VLOOKUP($B$5,标准坦克设计!$B$24:$U$30,MATCH("对"&amp;LEFT($C$5,2)&amp;"输出",标准坦克设计!$B$23:$U$23,0)))*(VLOOKUP($B146,INDIRECT($B$5&amp;"生成成长"),3))*(VLOOKUP($B$5,标准坦克设计!$B$14:$K$20,9)/30))</f>
        <v>4.9050617236442271</v>
      </c>
      <c r="M146" s="172">
        <f ca="1">(VLOOKUP(M$72,INDIRECT($C$5&amp;"生成成长"),2))/((VLOOKUP($B146,INDIRECT($B$5&amp;"生成成长"),4))/(VLOOKUP(M$72,INDIRECT($C$5&amp;"生成成长"),5))*(VLOOKUP($B$5,标准坦克设计!$B$24:$U$30,MATCH("对"&amp;LEFT($C$5,2)&amp;"输出",标准坦克设计!$B$23:$U$23,0)))*(VLOOKUP($B146,INDIRECT($B$5&amp;"生成成长"),3))*(VLOOKUP($B$5,标准坦克设计!$B$14:$K$20,9)/30))</f>
        <v>5.4496704760137842</v>
      </c>
      <c r="N146" s="172">
        <f ca="1">(VLOOKUP(N$72,INDIRECT($C$5&amp;"生成成长"),2))/((VLOOKUP($B146,INDIRECT($B$5&amp;"生成成长"),4))/(VLOOKUP(N$72,INDIRECT($C$5&amp;"生成成长"),5))*(VLOOKUP($B$5,标准坦克设计!$B$24:$U$30,MATCH("对"&amp;LEFT($C$5,2)&amp;"输出",标准坦克设计!$B$23:$U$23,0)))*(VLOOKUP($B146,INDIRECT($B$5&amp;"生成成长"),3))*(VLOOKUP($B$5,标准坦克设计!$B$14:$K$20,9)/30))</f>
        <v>6.0229428469291069</v>
      </c>
      <c r="O146" s="172">
        <f ca="1">(VLOOKUP(O$72,INDIRECT($C$5&amp;"生成成长"),2))/((VLOOKUP($B146,INDIRECT($B$5&amp;"生成成长"),4))/(VLOOKUP(O$72,INDIRECT($C$5&amp;"生成成长"),5))*(VLOOKUP($B$5,标准坦克设计!$B$24:$U$30,MATCH("对"&amp;LEFT($C$5,2)&amp;"输出",标准坦克设计!$B$23:$U$23,0)))*(VLOOKUP($B146,INDIRECT($B$5&amp;"生成成长"),3))*(VLOOKUP($B$5,标准坦克设计!$B$14:$K$20,9)/30))</f>
        <v>4.5792369972060261</v>
      </c>
      <c r="P146" s="172">
        <f ca="1">(VLOOKUP(P$72,INDIRECT($C$5&amp;"生成成长"),2))/((VLOOKUP($B146,INDIRECT($B$5&amp;"生成成长"),4))/(VLOOKUP(P$72,INDIRECT($C$5&amp;"生成成长"),5))*(VLOOKUP($B$5,标准坦克设计!$B$24:$U$30,MATCH("对"&amp;LEFT($C$5,2)&amp;"输出",标准坦克设计!$B$23:$U$23,0)))*(VLOOKUP($B146,INDIRECT($B$5&amp;"生成成长"),3))*(VLOOKUP($B$5,标准坦克设计!$B$14:$K$20,9)/30))</f>
        <v>5.1737831475107852</v>
      </c>
      <c r="Q146" s="172">
        <f ca="1">(VLOOKUP(Q$72,INDIRECT($C$5&amp;"生成成长"),2))/((VLOOKUP($B146,INDIRECT($B$5&amp;"生成成长"),4))/(VLOOKUP(Q$72,INDIRECT($C$5&amp;"生成成长"),5))*(VLOOKUP($B$5,标准坦克设计!$B$24:$U$30,MATCH("对"&amp;LEFT($C$5,2)&amp;"输出",标准坦克设计!$B$23:$U$23,0)))*(VLOOKUP($B146,INDIRECT($B$5&amp;"生成成长"),3))*(VLOOKUP($B$5,标准坦克设计!$B$14:$K$20,9)/30))</f>
        <v>5.804606690037529</v>
      </c>
      <c r="R146" s="172">
        <f ca="1">(VLOOKUP(R$72,INDIRECT($C$5&amp;"生成成长"),2))/((VLOOKUP($B146,INDIRECT($B$5&amp;"生成成长"),4))/(VLOOKUP(R$72,INDIRECT($C$5&amp;"生成成长"),5))*(VLOOKUP($B$5,标准坦克设计!$B$24:$U$30,MATCH("对"&amp;LEFT($C$5,2)&amp;"输出",标准坦克设计!$B$23:$U$23,0)))*(VLOOKUP($B146,INDIRECT($B$5&amp;"生成成长"),3))*(VLOOKUP($B$5,标准坦克设计!$B$14:$K$20,9)/30))</f>
        <v>6.4717076247862559</v>
      </c>
      <c r="S146" s="172">
        <f ca="1">(VLOOKUP(S$72,INDIRECT($C$5&amp;"生成成长"),2))/((VLOOKUP($B146,INDIRECT($B$5&amp;"生成成长"),4))/(VLOOKUP(S$72,INDIRECT($C$5&amp;"生成成长"),5))*(VLOOKUP($B$5,标准坦克设计!$B$24:$U$30,MATCH("对"&amp;LEFT($C$5,2)&amp;"输出",标准坦克设计!$B$23:$U$23,0)))*(VLOOKUP($B146,INDIRECT($B$5&amp;"生成成长"),3))*(VLOOKUP($B$5,标准坦克设计!$B$14:$K$20,9)/30))</f>
        <v>7.1750859517569712</v>
      </c>
      <c r="T146" s="172">
        <f ca="1">(VLOOKUP(T$72,INDIRECT($C$5&amp;"生成成长"),2))/((VLOOKUP($B146,INDIRECT($B$5&amp;"生成成长"),4))/(VLOOKUP(T$72,INDIRECT($C$5&amp;"生成成长"),5))*(VLOOKUP($B$5,标准坦克设计!$B$24:$U$30,MATCH("对"&amp;LEFT($C$5,2)&amp;"输出",标准坦克设计!$B$23:$U$23,0)))*(VLOOKUP($B146,INDIRECT($B$5&amp;"生成成长"),3))*(VLOOKUP($B$5,标准坦克设计!$B$14:$K$20,9)/30))</f>
        <v>7.9147416709496694</v>
      </c>
      <c r="U146" s="172">
        <f ca="1">(VLOOKUP(U$72,INDIRECT($C$5&amp;"生成成长"),2))/((VLOOKUP($B146,INDIRECT($B$5&amp;"生成成长"),4))/(VLOOKUP(U$72,INDIRECT($C$5&amp;"生成成长"),5))*(VLOOKUP($B$5,标准坦克设计!$B$24:$U$30,MATCH("对"&amp;LEFT($C$5,2)&amp;"输出",标准坦克设计!$B$23:$U$23,0)))*(VLOOKUP($B146,INDIRECT($B$5&amp;"生成成长"),3))*(VLOOKUP($B$5,标准坦克设计!$B$14:$K$20,9)/30))</f>
        <v>8.6906747823643542</v>
      </c>
      <c r="V146" s="172">
        <f ca="1">(VLOOKUP(V$72,INDIRECT($C$5&amp;"生成成长"),2))/((VLOOKUP($B146,INDIRECT($B$5&amp;"生成成长"),4))/(VLOOKUP(V$72,INDIRECT($C$5&amp;"生成成长"),5))*(VLOOKUP($B$5,标准坦克设计!$B$24:$U$30,MATCH("对"&amp;LEFT($C$5,2)&amp;"输出",标准坦克设计!$B$23:$U$23,0)))*(VLOOKUP($B146,INDIRECT($B$5&amp;"生成成长"),3))*(VLOOKUP($B$5,标准坦克设计!$B$14:$K$20,9)/30))</f>
        <v>9.5028852860010247</v>
      </c>
      <c r="W146" s="172">
        <f ca="1">(VLOOKUP(W$72,INDIRECT($C$5&amp;"生成成长"),2))/((VLOOKUP($B146,INDIRECT($B$5&amp;"生成成长"),4))/(VLOOKUP(W$72,INDIRECT($C$5&amp;"生成成长"),5))*(VLOOKUP($B$5,标准坦克设计!$B$24:$U$30,MATCH("对"&amp;LEFT($C$5,2)&amp;"输出",标准坦克设计!$B$23:$U$23,0)))*(VLOOKUP($B146,INDIRECT($B$5&amp;"生成成长"),3))*(VLOOKUP($B$5,标准坦克设计!$B$14:$K$20,9)/30))</f>
        <v>10.35137318185968</v>
      </c>
      <c r="X146" s="172">
        <f ca="1">(VLOOKUP(X$72,INDIRECT($C$5&amp;"生成成长"),2))/((VLOOKUP($B146,INDIRECT($B$5&amp;"生成成长"),4))/(VLOOKUP(X$72,INDIRECT($C$5&amp;"生成成长"),5))*(VLOOKUP($B$5,标准坦克设计!$B$24:$U$30,MATCH("对"&amp;LEFT($C$5,2)&amp;"输出",标准坦克设计!$B$23:$U$23,0)))*(VLOOKUP($B146,INDIRECT($B$5&amp;"生成成长"),3))*(VLOOKUP($B$5,标准坦克设计!$B$14:$K$20,9)/30))</f>
        <v>7.4993431365559493</v>
      </c>
      <c r="Y146" s="172">
        <f ca="1">(VLOOKUP(Y$72,INDIRECT($C$5&amp;"生成成长"),2))/((VLOOKUP($B146,INDIRECT($B$5&amp;"生成成长"),4))/(VLOOKUP(Y$72,INDIRECT($C$5&amp;"生成成长"),5))*(VLOOKUP($B$5,标准坦克设计!$B$24:$U$30,MATCH("对"&amp;LEFT($C$5,2)&amp;"输出",标准坦克设计!$B$23:$U$23,0)))*(VLOOKUP($B146,INDIRECT($B$5&amp;"生成成长"),3))*(VLOOKUP($B$5,标准坦克设计!$B$14:$K$20,9)/30))</f>
        <v>8.3413369313378283</v>
      </c>
      <c r="Z146" s="172">
        <f ca="1">(VLOOKUP(Z$72,INDIRECT($C$5&amp;"生成成长"),2))/((VLOOKUP($B146,INDIRECT($B$5&amp;"生成成长"),4))/(VLOOKUP(Z$72,INDIRECT($C$5&amp;"生成成长"),5))*(VLOOKUP($B$5,标准坦克设计!$B$24:$U$30,MATCH("对"&amp;LEFT($C$5,2)&amp;"输出",标准坦克设计!$B$23:$U$23,0)))*(VLOOKUP($B146,INDIRECT($B$5&amp;"生成成长"),3))*(VLOOKUP($B$5,标准坦克设计!$B$14:$K$20,9)/30))</f>
        <v>9.2281176300974685</v>
      </c>
      <c r="AA146" s="172">
        <f ca="1">(VLOOKUP(AA$72,INDIRECT($C$5&amp;"生成成长"),2))/((VLOOKUP($B146,INDIRECT($B$5&amp;"生成成长"),4))/(VLOOKUP(AA$72,INDIRECT($C$5&amp;"生成成长"),5))*(VLOOKUP($B$5,标准坦克设计!$B$24:$U$30,MATCH("对"&amp;LEFT($C$5,2)&amp;"输出",标准坦克设计!$B$23:$U$23,0)))*(VLOOKUP($B146,INDIRECT($B$5&amp;"生成成长"),3))*(VLOOKUP($B$5,标准坦克设计!$B$14:$K$20,9)/30))</f>
        <v>10.159685232834869</v>
      </c>
      <c r="AB146" s="172">
        <f ca="1">(VLOOKUP(AB$72,INDIRECT($C$5&amp;"生成成长"),2))/((VLOOKUP($B146,INDIRECT($B$5&amp;"生成成长"),4))/(VLOOKUP(AB$72,INDIRECT($C$5&amp;"生成成长"),5))*(VLOOKUP($B$5,标准坦克设计!$B$24:$U$30,MATCH("对"&amp;LEFT($C$5,2)&amp;"输出",标准坦克设计!$B$23:$U$23,0)))*(VLOOKUP($B146,INDIRECT($B$5&amp;"生成成长"),3))*(VLOOKUP($B$5,标准坦克设计!$B$14:$K$20,9)/30))</f>
        <v>11.136039739550027</v>
      </c>
      <c r="AC146" s="172">
        <f ca="1">(VLOOKUP(AC$72,INDIRECT($C$5&amp;"生成成长"),2))/((VLOOKUP($B146,INDIRECT($B$5&amp;"生成成长"),4))/(VLOOKUP(AC$72,INDIRECT($C$5&amp;"生成成长"),5))*(VLOOKUP($B$5,标准坦克设计!$B$24:$U$30,MATCH("对"&amp;LEFT($C$5,2)&amp;"输出",标准坦克设计!$B$23:$U$23,0)))*(VLOOKUP($B146,INDIRECT($B$5&amp;"生成成长"),3))*(VLOOKUP($B$5,标准坦克设计!$B$14:$K$20,9)/30))</f>
        <v>12.157181150242947</v>
      </c>
      <c r="AD146" s="172">
        <f ca="1">(VLOOKUP(AD$72,INDIRECT($C$5&amp;"生成成长"),2))/((VLOOKUP($B146,INDIRECT($B$5&amp;"生成成长"),4))/(VLOOKUP(AD$72,INDIRECT($C$5&amp;"生成成长"),5))*(VLOOKUP($B$5,标准坦克设计!$B$24:$U$30,MATCH("对"&amp;LEFT($C$5,2)&amp;"输出",标准坦克设计!$B$23:$U$23,0)))*(VLOOKUP($B146,INDIRECT($B$5&amp;"生成成长"),3))*(VLOOKUP($B$5,标准坦克设计!$B$14:$K$20,9)/30))</f>
        <v>13.223109464913621</v>
      </c>
      <c r="AE146" s="172">
        <f ca="1">(VLOOKUP(AE$72,INDIRECT($C$5&amp;"生成成长"),2))/((VLOOKUP($B146,INDIRECT($B$5&amp;"生成成长"),4))/(VLOOKUP(AE$72,INDIRECT($C$5&amp;"生成成长"),5))*(VLOOKUP($B$5,标准坦克设计!$B$24:$U$30,MATCH("对"&amp;LEFT($C$5,2)&amp;"输出",标准坦克设计!$B$23:$U$23,0)))*(VLOOKUP($B146,INDIRECT($B$5&amp;"生成成长"),3))*(VLOOKUP($B$5,标准坦克设计!$B$14:$K$20,9)/30))</f>
        <v>14.333824683562062</v>
      </c>
      <c r="AF146" s="172">
        <f ca="1">(VLOOKUP(AF$72,INDIRECT($C$5&amp;"生成成长"),2))/((VLOOKUP($B146,INDIRECT($B$5&amp;"生成成长"),4))/(VLOOKUP(AF$72,INDIRECT($C$5&amp;"生成成长"),5))*(VLOOKUP($B$5,标准坦克设计!$B$24:$U$30,MATCH("对"&amp;LEFT($C$5,2)&amp;"输出",标准坦克设计!$B$23:$U$23,0)))*(VLOOKUP($B146,INDIRECT($B$5&amp;"生成成长"),3))*(VLOOKUP($B$5,标准坦克设计!$B$14:$K$20,9)/30))</f>
        <v>15.489326806188258</v>
      </c>
      <c r="AG146" s="172">
        <f ca="1">(VLOOKUP(AG$72,INDIRECT($C$5&amp;"生成成长"),2))/((VLOOKUP($B146,INDIRECT($B$5&amp;"生成成长"),4))/(VLOOKUP(AG$72,INDIRECT($C$5&amp;"生成成长"),5))*(VLOOKUP($B$5,标准坦克设计!$B$24:$U$30,MATCH("对"&amp;LEFT($C$5,2)&amp;"输出",标准坦克设计!$B$23:$U$23,0)))*(VLOOKUP($B146,INDIRECT($B$5&amp;"生成成长"),3))*(VLOOKUP($B$5,标准坦克设计!$B$14:$K$20,9)/30))</f>
        <v>16.689615832792214</v>
      </c>
      <c r="AH146" s="172">
        <f ca="1">(VLOOKUP(AH$72,INDIRECT($C$5&amp;"生成成长"),2))/((VLOOKUP($B146,INDIRECT($B$5&amp;"生成成长"),4))/(VLOOKUP(AH$72,INDIRECT($C$5&amp;"生成成长"),5))*(VLOOKUP($B$5,标准坦克设计!$B$24:$U$30,MATCH("对"&amp;LEFT($C$5,2)&amp;"输出",标准坦克设计!$B$23:$U$23,0)))*(VLOOKUP($B146,INDIRECT($B$5&amp;"生成成长"),3))*(VLOOKUP($B$5,标准坦克设计!$B$14:$K$20,9)/30))</f>
        <v>17.93469176337393</v>
      </c>
      <c r="AI146" s="172">
        <f ca="1">(VLOOKUP(AI$72,INDIRECT($C$5&amp;"生成成长"),2))/((VLOOKUP($B146,INDIRECT($B$5&amp;"生成成长"),4))/(VLOOKUP(AI$72,INDIRECT($C$5&amp;"生成成长"),5))*(VLOOKUP($B$5,标准坦克设计!$B$24:$U$30,MATCH("对"&amp;LEFT($C$5,2)&amp;"输出",标准坦克设计!$B$23:$U$23,0)))*(VLOOKUP($B146,INDIRECT($B$5&amp;"生成成长"),3))*(VLOOKUP($B$5,标准坦克设计!$B$14:$K$20,9)/30))</f>
        <v>12.684546944581063</v>
      </c>
      <c r="AJ146" s="172">
        <f ca="1">(VLOOKUP(AJ$72,INDIRECT($C$5&amp;"生成成长"),2))/((VLOOKUP($B146,INDIRECT($B$5&amp;"生成成长"),4))/(VLOOKUP(AJ$72,INDIRECT($C$5&amp;"生成成长"),5))*(VLOOKUP($B$5,标准坦克设计!$B$24:$U$30,MATCH("对"&amp;LEFT($C$5,2)&amp;"输出",标准坦克设计!$B$23:$U$23,0)))*(VLOOKUP($B146,INDIRECT($B$5&amp;"生成成长"),3))*(VLOOKUP($B$5,标准坦克设计!$B$14:$K$20,9)/30))</f>
        <v>13.884164167625352</v>
      </c>
      <c r="AK146" s="172">
        <f ca="1">(VLOOKUP(AK$72,INDIRECT($C$5&amp;"生成成长"),2))/((VLOOKUP($B146,INDIRECT($B$5&amp;"生成成长"),4))/(VLOOKUP(AK$72,INDIRECT($C$5&amp;"生成成长"),5))*(VLOOKUP($B$5,标准坦克设计!$B$24:$U$30,MATCH("对"&amp;LEFT($C$5,2)&amp;"输出",标准坦克设计!$B$23:$U$23,0)))*(VLOOKUP($B146,INDIRECT($B$5&amp;"生成成长"),3))*(VLOOKUP($B$5,标准坦克设计!$B$14:$K$20,9)/30))</f>
        <v>15.137973544482735</v>
      </c>
      <c r="AL146" s="172">
        <f ca="1">(VLOOKUP(AL$72,INDIRECT($C$5&amp;"生成成长"),2))/((VLOOKUP($B146,INDIRECT($B$5&amp;"生成成长"),4))/(VLOOKUP(AL$72,INDIRECT($C$5&amp;"生成成长"),5))*(VLOOKUP($B$5,标准坦克设计!$B$24:$U$30,MATCH("对"&amp;LEFT($C$5,2)&amp;"输出",标准坦克设计!$B$23:$U$23,0)))*(VLOOKUP($B146,INDIRECT($B$5&amp;"生成成长"),3))*(VLOOKUP($B$5,标准坦克设计!$B$14:$K$20,9)/30))</f>
        <v>16.4459750751532</v>
      </c>
      <c r="AM146" s="172">
        <f ca="1">(VLOOKUP(AM$72,INDIRECT($C$5&amp;"生成成长"),2))/((VLOOKUP($B146,INDIRECT($B$5&amp;"生成成长"),4))/(VLOOKUP(AM$72,INDIRECT($C$5&amp;"生成成长"),5))*(VLOOKUP($B$5,标准坦克设计!$B$24:$U$30,MATCH("对"&amp;LEFT($C$5,2)&amp;"输出",标准坦克设计!$B$23:$U$23,0)))*(VLOOKUP($B146,INDIRECT($B$5&amp;"生成成长"),3))*(VLOOKUP($B$5,标准坦克设计!$B$14:$K$20,9)/30))</f>
        <v>17.808168759636757</v>
      </c>
      <c r="AN146" s="172">
        <f ca="1">(VLOOKUP(AN$72,INDIRECT($C$5&amp;"生成成长"),2))/((VLOOKUP($B146,INDIRECT($B$5&amp;"生成成长"),4))/(VLOOKUP(AN$72,INDIRECT($C$5&amp;"生成成长"),5))*(VLOOKUP($B$5,标准坦克设计!$B$24:$U$30,MATCH("对"&amp;LEFT($C$5,2)&amp;"输出",标准坦克设计!$B$23:$U$23,0)))*(VLOOKUP($B146,INDIRECT($B$5&amp;"生成成长"),3))*(VLOOKUP($B$5,标准坦克设计!$B$14:$K$20,9)/30))</f>
        <v>19.224554597933402</v>
      </c>
      <c r="AO146" s="172">
        <f ca="1">(VLOOKUP(AO$72,INDIRECT($C$5&amp;"生成成长"),2))/((VLOOKUP($B146,INDIRECT($B$5&amp;"生成成长"),4))/(VLOOKUP(AO$72,INDIRECT($C$5&amp;"生成成长"),5))*(VLOOKUP($B$5,标准坦克设计!$B$24:$U$30,MATCH("对"&amp;LEFT($C$5,2)&amp;"输出",标准坦克设计!$B$23:$U$23,0)))*(VLOOKUP($B146,INDIRECT($B$5&amp;"生成成长"),3))*(VLOOKUP($B$5,标准坦克设计!$B$14:$K$20,9)/30))</f>
        <v>20.695132590043141</v>
      </c>
      <c r="AP146" s="172">
        <f ca="1">(VLOOKUP(AP$72,INDIRECT($C$5&amp;"生成成长"),2))/((VLOOKUP($B146,INDIRECT($B$5&amp;"生成成长"),4))/(VLOOKUP(AP$72,INDIRECT($C$5&amp;"生成成长"),5))*(VLOOKUP($B$5,标准坦克设计!$B$24:$U$30,MATCH("对"&amp;LEFT($C$5,2)&amp;"输出",标准坦克设计!$B$23:$U$23,0)))*(VLOOKUP($B146,INDIRECT($B$5&amp;"生成成长"),3))*(VLOOKUP($B$5,标准坦克设计!$B$14:$K$20,9)/30))</f>
        <v>22.21990273596596</v>
      </c>
      <c r="AQ146" s="172">
        <f ca="1">(VLOOKUP(AQ$72,INDIRECT($C$5&amp;"生成成长"),2))/((VLOOKUP($B146,INDIRECT($B$5&amp;"生成成长"),4))/(VLOOKUP(AQ$72,INDIRECT($C$5&amp;"生成成长"),5))*(VLOOKUP($B$5,标准坦克设计!$B$24:$U$30,MATCH("对"&amp;LEFT($C$5,2)&amp;"输出",标准坦克设计!$B$23:$U$23,0)))*(VLOOKUP($B146,INDIRECT($B$5&amp;"生成成长"),3))*(VLOOKUP($B$5,标准坦克设计!$B$14:$K$20,9)/30))</f>
        <v>23.79886503570188</v>
      </c>
      <c r="AR146" s="172">
        <f ca="1">(VLOOKUP(AR$72,INDIRECT($C$5&amp;"生成成长"),2))/((VLOOKUP($B146,INDIRECT($B$5&amp;"生成成长"),4))/(VLOOKUP(AR$72,INDIRECT($C$5&amp;"生成成长"),5))*(VLOOKUP($B$5,标准坦克设计!$B$24:$U$30,MATCH("对"&amp;LEFT($C$5,2)&amp;"输出",标准坦克设计!$B$23:$U$23,0)))*(VLOOKUP($B146,INDIRECT($B$5&amp;"生成成长"),3))*(VLOOKUP($B$5,标准坦克设计!$B$14:$K$20,9)/30))</f>
        <v>25.432019489250884</v>
      </c>
      <c r="AS146" s="172">
        <f ca="1">(VLOOKUP(AS$72,INDIRECT($C$5&amp;"生成成长"),2))/((VLOOKUP($B146,INDIRECT($B$5&amp;"生成成长"),4))/(VLOOKUP(AS$72,INDIRECT($C$5&amp;"生成成长"),5))*(VLOOKUP($B$5,标准坦克设计!$B$24:$U$30,MATCH("对"&amp;LEFT($C$5,2)&amp;"输出",标准坦克设计!$B$23:$U$23,0)))*(VLOOKUP($B146,INDIRECT($B$5&amp;"生成成长"),3))*(VLOOKUP($B$5,标准坦克设计!$B$14:$K$20,9)/30))</f>
        <v>27.119366096612971</v>
      </c>
      <c r="AT146" s="172">
        <f ca="1">(VLOOKUP(AT$72,INDIRECT($C$5&amp;"生成成长"),2))/((VLOOKUP($B146,INDIRECT($B$5&amp;"生成成长"),4))/(VLOOKUP(AT$72,INDIRECT($C$5&amp;"生成成长"),5))*(VLOOKUP($B$5,标准坦克设计!$B$24:$U$30,MATCH("对"&amp;LEFT($C$5,2)&amp;"输出",标准坦克设计!$B$23:$U$23,0)))*(VLOOKUP($B146,INDIRECT($B$5&amp;"生成成长"),3))*(VLOOKUP($B$5,标准坦克设计!$B$14:$K$20,9)/30))</f>
        <v>28.860904857788153</v>
      </c>
      <c r="AU146" s="172">
        <f ca="1">(VLOOKUP(AU$72,INDIRECT($C$5&amp;"生成成长"),2))/((VLOOKUP($B146,INDIRECT($B$5&amp;"生成成长"),4))/(VLOOKUP(AU$72,INDIRECT($C$5&amp;"生成成长"),5))*(VLOOKUP($B$5,标准坦克设计!$B$24:$U$30,MATCH("对"&amp;LEFT($C$5,2)&amp;"输出",标准坦克设计!$B$23:$U$23,0)))*(VLOOKUP($B146,INDIRECT($B$5&amp;"生成成长"),3))*(VLOOKUP($B$5,标准坦克设计!$B$14:$K$20,9)/30))</f>
        <v>30.656635772776422</v>
      </c>
      <c r="AV146" s="172">
        <f ca="1">(VLOOKUP(AV$72,INDIRECT($C$5&amp;"生成成长"),2))/((VLOOKUP($B146,INDIRECT($B$5&amp;"生成成长"),4))/(VLOOKUP(AV$72,INDIRECT($C$5&amp;"生成成长"),5))*(VLOOKUP($B$5,标准坦克设计!$B$24:$U$30,MATCH("对"&amp;LEFT($C$5,2)&amp;"输出",标准坦克设计!$B$23:$U$23,0)))*(VLOOKUP($B146,INDIRECT($B$5&amp;"生成成长"),3))*(VLOOKUP($B$5,标准坦克设计!$B$14:$K$20,9)/30))</f>
        <v>3.1180642549316206</v>
      </c>
      <c r="AW146" s="172">
        <f ca="1">(VLOOKUP(AW$72,INDIRECT($C$5&amp;"生成成长"),2))/((VLOOKUP($B146,INDIRECT($B$5&amp;"生成成长"),4))/(VLOOKUP(AW$72,INDIRECT($C$5&amp;"生成成长"),5))*(VLOOKUP($B$5,标准坦克设计!$B$24:$U$30,MATCH("对"&amp;LEFT($C$5,2)&amp;"输出",标准坦克设计!$B$23:$U$23,0)))*(VLOOKUP($B146,INDIRECT($B$5&amp;"生成成长"),3))*(VLOOKUP($B$5,标准坦克设计!$B$14:$K$20,9)/30))</f>
        <v>3.5551844377545545</v>
      </c>
      <c r="AX146" s="172">
        <f ca="1">(VLOOKUP(AX$72,INDIRECT($C$5&amp;"生成成长"),2))/((VLOOKUP($B146,INDIRECT($B$5&amp;"生成成长"),4))/(VLOOKUP(AX$72,INDIRECT($C$5&amp;"生成成长"),5))*(VLOOKUP($B$5,标准坦克设计!$B$24:$U$30,MATCH("对"&amp;LEFT($C$5,2)&amp;"输出",标准坦克设计!$B$23:$U$23,0)))*(VLOOKUP($B146,INDIRECT($B$5&amp;"生成成长"),3))*(VLOOKUP($B$5,标准坦克设计!$B$14:$K$20,9)/30))</f>
        <v>4.0209682391232544</v>
      </c>
      <c r="AY146" s="172">
        <f ca="1">(VLOOKUP(AY$72,INDIRECT($C$5&amp;"生成成长"),2))/((VLOOKUP($B146,INDIRECT($B$5&amp;"生成成长"),4))/(VLOOKUP(AY$72,INDIRECT($C$5&amp;"生成成长"),5))*(VLOOKUP($B$5,标准坦克设计!$B$24:$U$30,MATCH("对"&amp;LEFT($C$5,2)&amp;"输出",标准坦克设计!$B$23:$U$23,0)))*(VLOOKUP($B146,INDIRECT($B$5&amp;"生成成长"),3))*(VLOOKUP($B$5,标准坦克设计!$B$14:$K$20,9)/30))</f>
        <v>4.5154156590377195</v>
      </c>
      <c r="AZ146" s="172">
        <f ca="1">(VLOOKUP(AZ$72,INDIRECT($C$5&amp;"生成成长"),2))/((VLOOKUP($B146,INDIRECT($B$5&amp;"生成成长"),4))/(VLOOKUP(AZ$72,INDIRECT($C$5&amp;"生成成长"),5))*(VLOOKUP($B$5,标准坦克设计!$B$24:$U$30,MATCH("对"&amp;LEFT($C$5,2)&amp;"输出",标准坦克设计!$B$23:$U$23,0)))*(VLOOKUP($B146,INDIRECT($B$5&amp;"生成成长"),3))*(VLOOKUP($B$5,标准坦克设计!$B$14:$K$20,9)/30))</f>
        <v>5.0385266974979519</v>
      </c>
      <c r="BA146" s="172">
        <f ca="1">(VLOOKUP(BA$72,INDIRECT($C$5&amp;"生成成长"),2))/((VLOOKUP($B146,INDIRECT($B$5&amp;"生成成长"),4))/(VLOOKUP(BA$72,INDIRECT($C$5&amp;"生成成长"),5))*(VLOOKUP($B$5,标准坦克设计!$B$24:$U$30,MATCH("对"&amp;LEFT($C$5,2)&amp;"输出",标准坦克设计!$B$23:$U$23,0)))*(VLOOKUP($B146,INDIRECT($B$5&amp;"生成成长"),3))*(VLOOKUP($B$5,标准坦克设计!$B$14:$K$20,9)/30))</f>
        <v>5.590301354503949</v>
      </c>
      <c r="BB146" s="172">
        <f ca="1">(VLOOKUP(BB$72,INDIRECT($C$5&amp;"生成成长"),2))/((VLOOKUP($B146,INDIRECT($B$5&amp;"生成成长"),4))/(VLOOKUP(BB$72,INDIRECT($C$5&amp;"生成成长"),5))*(VLOOKUP($B$5,标准坦克设计!$B$24:$U$30,MATCH("对"&amp;LEFT($C$5,2)&amp;"输出",标准坦克设计!$B$23:$U$23,0)))*(VLOOKUP($B146,INDIRECT($B$5&amp;"生成成长"),3))*(VLOOKUP($B$5,标准坦克设计!$B$14:$K$20,9)/30))</f>
        <v>6.1707396300557118</v>
      </c>
      <c r="BC146" s="172">
        <f ca="1">(VLOOKUP(BC$72,INDIRECT($C$5&amp;"生成成长"),2))/((VLOOKUP($B146,INDIRECT($B$5&amp;"生成成长"),4))/(VLOOKUP(BC$72,INDIRECT($C$5&amp;"生成成长"),5))*(VLOOKUP($B$5,标准坦克设计!$B$24:$U$30,MATCH("对"&amp;LEFT($C$5,2)&amp;"输出",标准坦克设计!$B$23:$U$23,0)))*(VLOOKUP($B146,INDIRECT($B$5&amp;"生成成长"),3))*(VLOOKUP($B$5,标准坦克设计!$B$14:$K$20,9)/30))</f>
        <v>6.7798415241532428</v>
      </c>
      <c r="BD146" s="172">
        <f ca="1">(VLOOKUP(BD$72,INDIRECT($C$5&amp;"生成成长"),2))/((VLOOKUP($B146,INDIRECT($B$5&amp;"生成成长"),4))/(VLOOKUP(BD$72,INDIRECT($C$5&amp;"生成成长"),5))*(VLOOKUP($B$5,标准坦克设计!$B$24:$U$30,MATCH("对"&amp;LEFT($C$5,2)&amp;"输出",标准坦克设计!$B$23:$U$23,0)))*(VLOOKUP($B146,INDIRECT($B$5&amp;"生成成长"),3))*(VLOOKUP($B$5,标准坦克设计!$B$14:$K$20,9)/30))</f>
        <v>7.4993431365559493</v>
      </c>
      <c r="BE146" s="172">
        <f ca="1">(VLOOKUP(BE$72,INDIRECT($C$5&amp;"生成成长"),2))/((VLOOKUP($B146,INDIRECT($B$5&amp;"生成成长"),4))/(VLOOKUP(BE$72,INDIRECT($C$5&amp;"生成成长"),5))*(VLOOKUP($B$5,标准坦克设计!$B$24:$U$30,MATCH("对"&amp;LEFT($C$5,2)&amp;"输出",标准坦克设计!$B$23:$U$23,0)))*(VLOOKUP($B146,INDIRECT($B$5&amp;"生成成长"),3))*(VLOOKUP($B$5,标准坦克设计!$B$14:$K$20,9)/30))</f>
        <v>8.2551221411806424</v>
      </c>
      <c r="BF146" s="172">
        <f ca="1">(VLOOKUP(BF$72,INDIRECT($C$5&amp;"生成成长"),2))/((VLOOKUP($B146,INDIRECT($B$5&amp;"生成成长"),4))/(VLOOKUP(BF$72,INDIRECT($C$5&amp;"生成成长"),5))*(VLOOKUP($B$5,标准坦克设计!$B$24:$U$30,MATCH("对"&amp;LEFT($C$5,2)&amp;"输出",标准坦克设计!$B$23:$U$23,0)))*(VLOOKUP($B146,INDIRECT($B$5&amp;"生成成长"),3))*(VLOOKUP($B$5,标准坦克设计!$B$14:$K$20,9)/30))</f>
        <v>9.0471785380273193</v>
      </c>
      <c r="BG146" s="172">
        <f ca="1">(VLOOKUP(BG$72,INDIRECT($C$5&amp;"生成成长"),2))/((VLOOKUP($B146,INDIRECT($B$5&amp;"生成成长"),4))/(VLOOKUP(BG$72,INDIRECT($C$5&amp;"生成成长"),5))*(VLOOKUP($B$5,标准坦克设计!$B$24:$U$30,MATCH("对"&amp;LEFT($C$5,2)&amp;"输出",标准坦克设计!$B$23:$U$23,0)))*(VLOOKUP($B146,INDIRECT($B$5&amp;"生成成长"),3))*(VLOOKUP($B$5,标准坦克设计!$B$14:$K$20,9)/30))</f>
        <v>9.8755123270959828</v>
      </c>
      <c r="BH146" s="172">
        <f ca="1">(VLOOKUP(BH$72,INDIRECT($C$5&amp;"生成成长"),2))/((VLOOKUP($B146,INDIRECT($B$5&amp;"生成成长"),4))/(VLOOKUP(BH$72,INDIRECT($C$5&amp;"生成成长"),5))*(VLOOKUP($B$5,标准坦克设计!$B$24:$U$30,MATCH("对"&amp;LEFT($C$5,2)&amp;"输出",标准坦克设计!$B$23:$U$23,0)))*(VLOOKUP($B146,INDIRECT($B$5&amp;"生成成长"),3))*(VLOOKUP($B$5,标准坦克设计!$B$14:$K$20,9)/30))</f>
        <v>4.7733882259496143</v>
      </c>
      <c r="BI146" s="172">
        <f ca="1">(VLOOKUP(BI$72,INDIRECT($C$5&amp;"生成成长"),2))/((VLOOKUP($B146,INDIRECT($B$5&amp;"生成成长"),4))/(VLOOKUP(BI$72,INDIRECT($C$5&amp;"生成成长"),5))*(VLOOKUP($B$5,标准坦克设计!$B$24:$U$30,MATCH("对"&amp;LEFT($C$5,2)&amp;"输出",标准坦克设计!$B$23:$U$23,0)))*(VLOOKUP($B146,INDIRECT($B$5&amp;"生成成长"),3))*(VLOOKUP($B$5,标准坦克设计!$B$14:$K$20,9)/30))</f>
        <v>5.3800268403283678</v>
      </c>
      <c r="BJ146" s="172">
        <f ca="1">(VLOOKUP(BJ$72,INDIRECT($C$5&amp;"生成成长"),2))/((VLOOKUP($B146,INDIRECT($B$5&amp;"生成成长"),4))/(VLOOKUP(BJ$72,INDIRECT($C$5&amp;"生成成长"),5))*(VLOOKUP($B$5,标准坦克设计!$B$24:$U$30,MATCH("对"&amp;LEFT($C$5,2)&amp;"输出",标准坦克设计!$B$23:$U$23,0)))*(VLOOKUP($B146,INDIRECT($B$5&amp;"生成成长"),3))*(VLOOKUP($B$5,标准坦克设计!$B$14:$K$20,9)/30))</f>
        <v>6.0229428469291069</v>
      </c>
      <c r="BK146" s="172">
        <f ca="1">(VLOOKUP(BK$72,INDIRECT($C$5&amp;"生成成长"),2))/((VLOOKUP($B146,INDIRECT($B$5&amp;"生成成长"),4))/(VLOOKUP(BK$72,INDIRECT($C$5&amp;"生成成长"),5))*(VLOOKUP($B$5,标准坦克设计!$B$24:$U$30,MATCH("对"&amp;LEFT($C$5,2)&amp;"输出",标准坦克设计!$B$23:$U$23,0)))*(VLOOKUP($B146,INDIRECT($B$5&amp;"生成成长"),3))*(VLOOKUP($B$5,标准坦克设计!$B$14:$K$20,9)/30))</f>
        <v>6.7021362457518308</v>
      </c>
      <c r="BL146" s="172">
        <f ca="1">(VLOOKUP(BL$72,INDIRECT($C$5&amp;"生成成长"),2))/((VLOOKUP($B146,INDIRECT($B$5&amp;"生成成长"),4))/(VLOOKUP(BL$72,INDIRECT($C$5&amp;"生成成长"),5))*(VLOOKUP($B$5,标准坦克设计!$B$24:$U$30,MATCH("对"&amp;LEFT($C$5,2)&amp;"输出",标准坦克设计!$B$23:$U$23,0)))*(VLOOKUP($B146,INDIRECT($B$5&amp;"生成成长"),3))*(VLOOKUP($B$5,标准坦克设计!$B$14:$K$20,9)/30))</f>
        <v>7.4176070367965394</v>
      </c>
      <c r="BM146" s="172">
        <f ca="1">(VLOOKUP(BM$72,INDIRECT($C$5&amp;"生成成长"),2))/((VLOOKUP($B146,INDIRECT($B$5&amp;"生成成长"),4))/(VLOOKUP(BM$72,INDIRECT($C$5&amp;"生成成长"),5))*(VLOOKUP($B$5,标准坦克设计!$B$24:$U$30,MATCH("对"&amp;LEFT($C$5,2)&amp;"输出",标准坦克设计!$B$23:$U$23,0)))*(VLOOKUP($B146,INDIRECT($B$5&amp;"生成成长"),3))*(VLOOKUP($B$5,标准坦克设计!$B$14:$K$20,9)/30))</f>
        <v>8.1693552200632329</v>
      </c>
      <c r="BN146" s="172">
        <f ca="1">(VLOOKUP(BN$72,INDIRECT($C$5&amp;"生成成长"),2))/((VLOOKUP($B146,INDIRECT($B$5&amp;"生成成长"),4))/(VLOOKUP(BN$72,INDIRECT($C$5&amp;"生成成长"),5))*(VLOOKUP($B$5,标准坦克设计!$B$24:$U$30,MATCH("对"&amp;LEFT($C$5,2)&amp;"输出",标准坦克设计!$B$23:$U$23,0)))*(VLOOKUP($B146,INDIRECT($B$5&amp;"生成成长"),3))*(VLOOKUP($B$5,标准坦克设计!$B$14:$K$20,9)/30))</f>
        <v>8.9573807955519129</v>
      </c>
      <c r="BO146" s="172">
        <f ca="1">(VLOOKUP(BO$72,INDIRECT($C$5&amp;"生成成长"),2))/((VLOOKUP($B146,INDIRECT($B$5&amp;"生成成长"),4))/(VLOOKUP(BO$72,INDIRECT($C$5&amp;"生成成长"),5))*(VLOOKUP($B$5,标准坦克设计!$B$24:$U$30,MATCH("对"&amp;LEFT($C$5,2)&amp;"输出",标准坦克设计!$B$23:$U$23,0)))*(VLOOKUP($B146,INDIRECT($B$5&amp;"生成成长"),3))*(VLOOKUP($B$5,标准坦克设计!$B$14:$K$20,9)/30))</f>
        <v>9.7816837632625759</v>
      </c>
      <c r="BP146" s="172">
        <f ca="1">(VLOOKUP(BP$72,INDIRECT($C$5&amp;"生成成长"),2))/((VLOOKUP($B146,INDIRECT($B$5&amp;"生成成长"),4))/(VLOOKUP(BP$72,INDIRECT($C$5&amp;"生成成长"),5))*(VLOOKUP($B$5,标准坦克设计!$B$24:$U$30,MATCH("对"&amp;LEFT($C$5,2)&amp;"输出",标准坦克设计!$B$23:$U$23,0)))*(VLOOKUP($B146,INDIRECT($B$5&amp;"生成成长"),3))*(VLOOKUP($B$5,标准坦克设计!$B$14:$K$20,9)/30))</f>
        <v>10.642264123195227</v>
      </c>
      <c r="BQ146" s="172">
        <f ca="1">(VLOOKUP(BQ$72,INDIRECT($C$5&amp;"生成成长"),2))/((VLOOKUP($B146,INDIRECT($B$5&amp;"生成成长"),4))/(VLOOKUP(BQ$72,INDIRECT($C$5&amp;"生成成长"),5))*(VLOOKUP($B$5,标准坦克设计!$B$24:$U$30,MATCH("对"&amp;LEFT($C$5,2)&amp;"输出",标准坦克设计!$B$23:$U$23,0)))*(VLOOKUP($B146,INDIRECT($B$5&amp;"生成成长"),3))*(VLOOKUP($B$5,标准坦克设计!$B$14:$K$20,9)/30))</f>
        <v>11.539121875349865</v>
      </c>
      <c r="BR146" s="172">
        <f ca="1">(VLOOKUP(BR$72,INDIRECT($C$5&amp;"生成成长"),2))/((VLOOKUP($B146,INDIRECT($B$5&amp;"生成成长"),4))/(VLOOKUP(BR$72,INDIRECT($C$5&amp;"生成成长"),5))*(VLOOKUP($B$5,标准坦克设计!$B$24:$U$30,MATCH("对"&amp;LEFT($C$5,2)&amp;"输出",标准坦克设计!$B$23:$U$23,0)))*(VLOOKUP($B146,INDIRECT($B$5&amp;"生成成长"),3))*(VLOOKUP($B$5,标准坦克设计!$B$14:$K$20,9)/30))</f>
        <v>12.578178047633884</v>
      </c>
      <c r="BS146" s="172">
        <f ca="1">(VLOOKUP(BS$72,INDIRECT($C$5&amp;"生成成长"),2))/((VLOOKUP($B146,INDIRECT($B$5&amp;"生成成长"),4))/(VLOOKUP(BS$72,INDIRECT($C$5&amp;"生成成长"),5))*(VLOOKUP($B$5,标准坦克设计!$B$24:$U$30,MATCH("对"&amp;LEFT($C$5,2)&amp;"输出",标准坦克设计!$B$23:$U$23,0)))*(VLOOKUP($B146,INDIRECT($B$5&amp;"生成成长"),3))*(VLOOKUP($B$5,标准坦克设计!$B$14:$K$20,9)/30))</f>
        <v>13.662021123895665</v>
      </c>
      <c r="BT146" s="172">
        <f ca="1">(VLOOKUP(BT$72,INDIRECT($C$5&amp;"生成成长"),2))/((VLOOKUP($B146,INDIRECT($B$5&amp;"生成成长"),4))/(VLOOKUP(BT$72,INDIRECT($C$5&amp;"生成成长"),5))*(VLOOKUP($B$5,标准坦克设计!$B$24:$U$30,MATCH("对"&amp;LEFT($C$5,2)&amp;"输出",标准坦克设计!$B$23:$U$23,0)))*(VLOOKUP($B146,INDIRECT($B$5&amp;"生成成长"),3))*(VLOOKUP($B$5,标准坦克设计!$B$14:$K$20,9)/30))</f>
        <v>14.790651104135208</v>
      </c>
      <c r="BU146" s="172">
        <f ca="1">(VLOOKUP(BU$72,INDIRECT($C$5&amp;"生成成长"),2))/((VLOOKUP($B146,INDIRECT($B$5&amp;"生成成长"),4))/(VLOOKUP(BU$72,INDIRECT($C$5&amp;"生成成长"),5))*(VLOOKUP($B$5,标准坦克设计!$B$24:$U$30,MATCH("对"&amp;LEFT($C$5,2)&amp;"输出",标准坦克设计!$B$23:$U$23,0)))*(VLOOKUP($B146,INDIRECT($B$5&amp;"生成成长"),3))*(VLOOKUP($B$5,标准坦克设计!$B$14:$K$20,9)/30))</f>
        <v>15.964067988352507</v>
      </c>
      <c r="BV146" s="172">
        <f ca="1">(VLOOKUP(BV$72,INDIRECT($C$5&amp;"生成成长"),2))/((VLOOKUP($B146,INDIRECT($B$5&amp;"生成成长"),4))/(VLOOKUP(BV$72,INDIRECT($C$5&amp;"生成成长"),5))*(VLOOKUP($B$5,标准坦克设计!$B$24:$U$30,MATCH("对"&amp;LEFT($C$5,2)&amp;"输出",标准坦克设计!$B$23:$U$23,0)))*(VLOOKUP($B146,INDIRECT($B$5&amp;"生成成长"),3))*(VLOOKUP($B$5,标准坦克设计!$B$14:$K$20,9)/30))</f>
        <v>17.182271776547569</v>
      </c>
      <c r="BW146" s="172">
        <f ca="1">(VLOOKUP(BW$72,INDIRECT($C$5&amp;"生成成长"),2))/((VLOOKUP($B146,INDIRECT($B$5&amp;"生成成长"),4))/(VLOOKUP(BW$72,INDIRECT($C$5&amp;"生成成长"),5))*(VLOOKUP($B$5,标准坦克设计!$B$24:$U$30,MATCH("对"&amp;LEFT($C$5,2)&amp;"输出",标准坦克设计!$B$23:$U$23,0)))*(VLOOKUP($B146,INDIRECT($B$5&amp;"生成成长"),3))*(VLOOKUP($B$5,标准坦克设计!$B$14:$K$20,9)/30))</f>
        <v>7.8307662259913711</v>
      </c>
      <c r="BX146" s="172">
        <f ca="1">(VLOOKUP(BX$72,INDIRECT($C$5&amp;"生成成长"),2))/((VLOOKUP($B146,INDIRECT($B$5&amp;"生成成长"),4))/(VLOOKUP(BX$72,INDIRECT($C$5&amp;"生成成长"),5))*(VLOOKUP($B$5,标准坦克设计!$B$24:$U$30,MATCH("对"&amp;LEFT($C$5,2)&amp;"输出",标准坦克设计!$B$23:$U$23,0)))*(VLOOKUP($B146,INDIRECT($B$5&amp;"生成成长"),3))*(VLOOKUP($B$5,标准坦克设计!$B$14:$K$20,9)/30))</f>
        <v>8.6906747823643542</v>
      </c>
      <c r="BY146" s="172">
        <f ca="1">(VLOOKUP(BY$72,INDIRECT($C$5&amp;"生成成长"),2))/((VLOOKUP($B146,INDIRECT($B$5&amp;"生成成长"),4))/(VLOOKUP(BY$72,INDIRECT($C$5&amp;"生成成长"),5))*(VLOOKUP($B$5,标准坦克设计!$B$24:$U$30,MATCH("对"&amp;LEFT($C$5,2)&amp;"输出",标准坦克设计!$B$23:$U$23,0)))*(VLOOKUP($B146,INDIRECT($B$5&amp;"生成成长"),3))*(VLOOKUP($B$5,标准坦克设计!$B$14:$K$20,9)/30))</f>
        <v>9.5953702427150986</v>
      </c>
      <c r="BZ146" s="172">
        <f ca="1">(VLOOKUP(BZ$72,INDIRECT($C$5&amp;"生成成长"),2))/((VLOOKUP($B146,INDIRECT($B$5&amp;"生成成长"),4))/(VLOOKUP(BZ$72,INDIRECT($C$5&amp;"生成成长"),5))*(VLOOKUP($B$5,标准坦克设计!$B$24:$U$30,MATCH("对"&amp;LEFT($C$5,2)&amp;"输出",标准坦克设计!$B$23:$U$23,0)))*(VLOOKUP($B146,INDIRECT($B$5&amp;"生成成长"),3))*(VLOOKUP($B$5,标准坦克设计!$B$14:$K$20,9)/30))</f>
        <v>10.5448526070436</v>
      </c>
      <c r="CA146" s="172">
        <f ca="1">(VLOOKUP(CA$72,INDIRECT($C$5&amp;"生成成长"),2))/((VLOOKUP($B146,INDIRECT($B$5&amp;"生成成长"),4))/(VLOOKUP(CA$72,INDIRECT($C$5&amp;"生成成长"),5))*(VLOOKUP($B$5,标准坦克设计!$B$24:$U$30,MATCH("对"&amp;LEFT($C$5,2)&amp;"输出",标准坦克设计!$B$23:$U$23,0)))*(VLOOKUP($B146,INDIRECT($B$5&amp;"生成成长"),3))*(VLOOKUP($B$5,标准坦克设计!$B$14:$K$20,9)/30))</f>
        <v>11.539121875349865</v>
      </c>
      <c r="CB146" s="172">
        <f ca="1">(VLOOKUP(CB$72,INDIRECT($C$5&amp;"生成成长"),2))/((VLOOKUP($B146,INDIRECT($B$5&amp;"生成成长"),4))/(VLOOKUP(CB$72,INDIRECT($C$5&amp;"生成成长"),5))*(VLOOKUP($B$5,标准坦克设计!$B$24:$U$30,MATCH("对"&amp;LEFT($C$5,2)&amp;"输出",标准坦克设计!$B$23:$U$23,0)))*(VLOOKUP($B146,INDIRECT($B$5&amp;"生成成长"),3))*(VLOOKUP($B$5,标准坦克设计!$B$14:$K$20,9)/30))</f>
        <v>12.578178047633884</v>
      </c>
      <c r="CC146" s="172">
        <f ca="1">(VLOOKUP(CC$72,INDIRECT($C$5&amp;"生成成长"),2))/((VLOOKUP($B146,INDIRECT($B$5&amp;"生成成长"),4))/(VLOOKUP(CC$72,INDIRECT($C$5&amp;"生成成长"),5))*(VLOOKUP($B$5,标准坦克设计!$B$24:$U$30,MATCH("对"&amp;LEFT($C$5,2)&amp;"输出",标准坦克设计!$B$23:$U$23,0)))*(VLOOKUP($B146,INDIRECT($B$5&amp;"生成成长"),3))*(VLOOKUP($B$5,标准坦克设计!$B$14:$K$20,9)/30))</f>
        <v>13.662021123895665</v>
      </c>
      <c r="CD146" s="172">
        <f ca="1">(VLOOKUP(CD$72,INDIRECT($C$5&amp;"生成成长"),2))/((VLOOKUP($B146,INDIRECT($B$5&amp;"生成成长"),4))/(VLOOKUP(CD$72,INDIRECT($C$5&amp;"生成成长"),5))*(VLOOKUP($B$5,标准坦克设计!$B$24:$U$30,MATCH("对"&amp;LEFT($C$5,2)&amp;"输出",标准坦克设计!$B$23:$U$23,0)))*(VLOOKUP($B146,INDIRECT($B$5&amp;"生成成长"),3))*(VLOOKUP($B$5,标准坦克设计!$B$14:$K$20,9)/30))</f>
        <v>14.790651104135208</v>
      </c>
      <c r="CE146" s="172">
        <f ca="1">(VLOOKUP(CE$72,INDIRECT($C$5&amp;"生成成长"),2))/((VLOOKUP($B146,INDIRECT($B$5&amp;"生成成长"),4))/(VLOOKUP(CE$72,INDIRECT($C$5&amp;"生成成长"),5))*(VLOOKUP($B$5,标准坦克设计!$B$24:$U$30,MATCH("对"&amp;LEFT($C$5,2)&amp;"输出",标准坦克设计!$B$23:$U$23,0)))*(VLOOKUP($B146,INDIRECT($B$5&amp;"生成成长"),3))*(VLOOKUP($B$5,标准坦克设计!$B$14:$K$20,9)/30))</f>
        <v>15.964067988352507</v>
      </c>
      <c r="CF146" s="172">
        <f ca="1">(VLOOKUP(CF$72,INDIRECT($C$5&amp;"生成成长"),2))/((VLOOKUP($B146,INDIRECT($B$5&amp;"生成成长"),4))/(VLOOKUP(CF$72,INDIRECT($C$5&amp;"生成成长"),5))*(VLOOKUP($B$5,标准坦克设计!$B$24:$U$30,MATCH("对"&amp;LEFT($C$5,2)&amp;"输出",标准坦克设计!$B$23:$U$23,0)))*(VLOOKUP($B146,INDIRECT($B$5&amp;"生成成长"),3))*(VLOOKUP($B$5,标准坦克设计!$B$14:$K$20,9)/30))</f>
        <v>17.182271776547569</v>
      </c>
      <c r="CG146" s="172">
        <f ca="1">(VLOOKUP(CG$72,INDIRECT($C$5&amp;"生成成长"),2))/((VLOOKUP($B146,INDIRECT($B$5&amp;"生成成长"),4))/(VLOOKUP(CG$72,INDIRECT($C$5&amp;"生成成长"),5))*(VLOOKUP($B$5,标准坦克设计!$B$24:$U$30,MATCH("对"&amp;LEFT($C$5,2)&amp;"输出",标准坦克设计!$B$23:$U$23,0)))*(VLOOKUP($B146,INDIRECT($B$5&amp;"生成成长"),3))*(VLOOKUP($B$5,标准坦克设计!$B$14:$K$20,9)/30))</f>
        <v>18.445262468720387</v>
      </c>
      <c r="CH146" s="172">
        <f ca="1">(VLOOKUP(CH$72,INDIRECT($C$5&amp;"生成成长"),2))/((VLOOKUP($B146,INDIRECT($B$5&amp;"生成成长"),4))/(VLOOKUP(CH$72,INDIRECT($C$5&amp;"生成成长"),5))*(VLOOKUP($B$5,标准坦克设计!$B$24:$U$30,MATCH("对"&amp;LEFT($C$5,2)&amp;"输出",标准坦克设计!$B$23:$U$23,0)))*(VLOOKUP($B146,INDIRECT($B$5&amp;"生成成长"),3))*(VLOOKUP($B$5,标准坦克设计!$B$14:$K$20,9)/30))</f>
        <v>19.753040064870969</v>
      </c>
      <c r="CI146" s="172">
        <f ca="1">(VLOOKUP(CI$72,INDIRECT($C$5&amp;"生成成长"),2))/((VLOOKUP($B146,INDIRECT($B$5&amp;"生成成长"),4))/(VLOOKUP(CI$72,INDIRECT($C$5&amp;"生成成长"),5))*(VLOOKUP($B$5,标准坦克设计!$B$24:$U$30,MATCH("对"&amp;LEFT($C$5,2)&amp;"输出",标准坦克设计!$B$23:$U$23,0)))*(VLOOKUP($B146,INDIRECT($B$5&amp;"生成成长"),3))*(VLOOKUP($B$5,标准坦克设计!$B$14:$K$20,9)/30))</f>
        <v>21.243324294730915</v>
      </c>
      <c r="CJ146" s="172">
        <f ca="1">(VLOOKUP(CJ$72,INDIRECT($C$5&amp;"生成成长"),2))/((VLOOKUP($B146,INDIRECT($B$5&amp;"生成成长"),4))/(VLOOKUP(CJ$72,INDIRECT($C$5&amp;"生成成长"),5))*(VLOOKUP($B$5,标准坦克设计!$B$24:$U$30,MATCH("对"&amp;LEFT($C$5,2)&amp;"输出",标准坦克设计!$B$23:$U$23,0)))*(VLOOKUP($B146,INDIRECT($B$5&amp;"生成成长"),3))*(VLOOKUP($B$5,标准坦克设计!$B$14:$K$20,9)/30))</f>
        <v>22.787800678403958</v>
      </c>
      <c r="CK146" s="172">
        <f ca="1">(VLOOKUP(CK$72,INDIRECT($C$5&amp;"生成成长"),2))/((VLOOKUP($B146,INDIRECT($B$5&amp;"生成成长"),4))/(VLOOKUP(CK$72,INDIRECT($C$5&amp;"生成成长"),5))*(VLOOKUP($B$5,标准坦克设计!$B$24:$U$30,MATCH("对"&amp;LEFT($C$5,2)&amp;"输出",标准坦克设计!$B$23:$U$23,0)))*(VLOOKUP($B146,INDIRECT($B$5&amp;"生成成长"),3))*(VLOOKUP($B$5,标准坦克设计!$B$14:$K$20,9)/30))</f>
        <v>24.386469215890084</v>
      </c>
      <c r="CL146" s="172">
        <f ca="1">(VLOOKUP(CL$72,INDIRECT($C$5&amp;"生成成长"),2))/((VLOOKUP($B146,INDIRECT($B$5&amp;"生成成长"),4))/(VLOOKUP(CL$72,INDIRECT($C$5&amp;"生成成长"),5))*(VLOOKUP($B$5,标准坦克设计!$B$24:$U$30,MATCH("对"&amp;LEFT($C$5,2)&amp;"输出",标准坦克设计!$B$23:$U$23,0)))*(VLOOKUP($B146,INDIRECT($B$5&amp;"生成成长"),3))*(VLOOKUP($B$5,标准坦克设计!$B$14:$K$20,9)/30))</f>
        <v>26.039329907189302</v>
      </c>
      <c r="CM146" s="172">
        <f ca="1">(VLOOKUP(CM$72,INDIRECT($C$5&amp;"生成成长"),2))/((VLOOKUP($B146,INDIRECT($B$5&amp;"生成成长"),4))/(VLOOKUP(CM$72,INDIRECT($C$5&amp;"生成成长"),5))*(VLOOKUP($B$5,标准坦克设计!$B$24:$U$30,MATCH("对"&amp;LEFT($C$5,2)&amp;"输出",标准坦克设计!$B$23:$U$23,0)))*(VLOOKUP($B146,INDIRECT($B$5&amp;"生成成长"),3))*(VLOOKUP($B$5,标准坦克设计!$B$14:$K$20,9)/30))</f>
        <v>27.746382752301603</v>
      </c>
      <c r="CN146" s="172">
        <f ca="1">(VLOOKUP(CN$72,INDIRECT($C$5&amp;"生成成长"),2))/((VLOOKUP($B146,INDIRECT($B$5&amp;"生成成长"),4))/(VLOOKUP(CN$72,INDIRECT($C$5&amp;"生成成长"),5))*(VLOOKUP($B$5,标准坦克设计!$B$24:$U$30,MATCH("对"&amp;LEFT($C$5,2)&amp;"输出",标准坦克设计!$B$23:$U$23,0)))*(VLOOKUP($B146,INDIRECT($B$5&amp;"生成成长"),3))*(VLOOKUP($B$5,标准坦克设计!$B$14:$K$20,9)/30))</f>
        <v>29.507627751226995</v>
      </c>
      <c r="CO146" s="172">
        <f ca="1">(VLOOKUP(CO$72,INDIRECT($C$5&amp;"生成成长"),2))/((VLOOKUP($B146,INDIRECT($B$5&amp;"生成成长"),4))/(VLOOKUP(CO$72,INDIRECT($C$5&amp;"生成成长"),5))*(VLOOKUP($B$5,标准坦克设计!$B$24:$U$30,MATCH("对"&amp;LEFT($C$5,2)&amp;"输出",标准坦克设计!$B$23:$U$23,0)))*(VLOOKUP($B146,INDIRECT($B$5&amp;"生成成长"),3))*(VLOOKUP($B$5,标准坦克设计!$B$14:$K$20,9)/30))</f>
        <v>13.223109464913621</v>
      </c>
      <c r="CP146" s="172">
        <f ca="1">(VLOOKUP(CP$72,INDIRECT($C$5&amp;"生成成长"),2))/((VLOOKUP($B146,INDIRECT($B$5&amp;"生成成长"),4))/(VLOOKUP(CP$72,INDIRECT($C$5&amp;"生成成长"),5))*(VLOOKUP($B$5,标准坦克设计!$B$24:$U$30,MATCH("对"&amp;LEFT($C$5,2)&amp;"输出",标准坦克设计!$B$23:$U$23,0)))*(VLOOKUP($B146,INDIRECT($B$5&amp;"生成成长"),3))*(VLOOKUP($B$5,标准坦克设计!$B$14:$K$20,9)/30))</f>
        <v>14.447359485145682</v>
      </c>
      <c r="CQ146" s="172">
        <f ca="1">(VLOOKUP(CQ$72,INDIRECT($C$5&amp;"生成成长"),2))/((VLOOKUP($B146,INDIRECT($B$5&amp;"生成成长"),4))/(VLOOKUP(CQ$72,INDIRECT($C$5&amp;"生成成长"),5))*(VLOOKUP($B$5,标准坦克设计!$B$24:$U$30,MATCH("对"&amp;LEFT($C$5,2)&amp;"输出",标准坦克设计!$B$23:$U$23,0)))*(VLOOKUP($B146,INDIRECT($B$5&amp;"生成成长"),3))*(VLOOKUP($B$5,标准坦克设计!$B$14:$K$20,9)/30))</f>
        <v>15.725801659190829</v>
      </c>
      <c r="CR146" s="172">
        <f ca="1">(VLOOKUP(CR$72,INDIRECT($C$5&amp;"生成成长"),2))/((VLOOKUP($B146,INDIRECT($B$5&amp;"生成成长"),4))/(VLOOKUP(CR$72,INDIRECT($C$5&amp;"生成成长"),5))*(VLOOKUP($B$5,标准坦克设计!$B$24:$U$30,MATCH("对"&amp;LEFT($C$5,2)&amp;"输出",标准坦克设计!$B$23:$U$23,0)))*(VLOOKUP($B146,INDIRECT($B$5&amp;"生成成长"),3))*(VLOOKUP($B$5,标准坦克设计!$B$14:$K$20,9)/30))</f>
        <v>17.058435987049062</v>
      </c>
      <c r="CS146" s="172">
        <f ca="1">(VLOOKUP(CS$72,INDIRECT($C$5&amp;"生成成长"),2))/((VLOOKUP($B146,INDIRECT($B$5&amp;"生成成长"),4))/(VLOOKUP(CS$72,INDIRECT($C$5&amp;"生成成长"),5))*(VLOOKUP($B$5,标准坦克设计!$B$24:$U$30,MATCH("对"&amp;LEFT($C$5,2)&amp;"输出",标准坦克设计!$B$23:$U$23,0)))*(VLOOKUP($B146,INDIRECT($B$5&amp;"生成成长"),3))*(VLOOKUP($B$5,标准坦克设计!$B$14:$K$20,9)/30))</f>
        <v>18.445262468720387</v>
      </c>
      <c r="CT146" s="172">
        <f ca="1">(VLOOKUP(CT$72,INDIRECT($C$5&amp;"生成成长"),2))/((VLOOKUP($B146,INDIRECT($B$5&amp;"生成成长"),4))/(VLOOKUP(CT$72,INDIRECT($C$5&amp;"生成成长"),5))*(VLOOKUP($B$5,标准坦克设计!$B$24:$U$30,MATCH("对"&amp;LEFT($C$5,2)&amp;"输出",标准坦克设计!$B$23:$U$23,0)))*(VLOOKUP($B146,INDIRECT($B$5&amp;"生成成长"),3))*(VLOOKUP($B$5,标准坦克设计!$B$14:$K$20,9)/30))</f>
        <v>19.886281104204802</v>
      </c>
      <c r="CU146" s="172">
        <f ca="1">(VLOOKUP(CU$72,INDIRECT($C$5&amp;"生成成长"),2))/((VLOOKUP($B146,INDIRECT($B$5&amp;"生成成长"),4))/(VLOOKUP(CU$72,INDIRECT($C$5&amp;"生成成长"),5))*(VLOOKUP($B$5,标准坦克设计!$B$24:$U$30,MATCH("对"&amp;LEFT($C$5,2)&amp;"输出",标准坦克设计!$B$23:$U$23,0)))*(VLOOKUP($B146,INDIRECT($B$5&amp;"生成成长"),3))*(VLOOKUP($B$5,标准坦克设计!$B$14:$K$20,9)/30))</f>
        <v>21.381491893502304</v>
      </c>
      <c r="CV146" s="172">
        <f ca="1">(VLOOKUP(CV$72,INDIRECT($C$5&amp;"生成成长"),2))/((VLOOKUP($B146,INDIRECT($B$5&amp;"生成成长"),4))/(VLOOKUP(CV$72,INDIRECT($C$5&amp;"生成成长"),5))*(VLOOKUP($B$5,标准坦克设计!$B$24:$U$30,MATCH("对"&amp;LEFT($C$5,2)&amp;"输出",标准坦克设计!$B$23:$U$23,0)))*(VLOOKUP($B146,INDIRECT($B$5&amp;"生成成长"),3))*(VLOOKUP($B$5,标准坦克设计!$B$14:$K$20,9)/30))</f>
        <v>22.9308948366129</v>
      </c>
      <c r="CW146" s="172">
        <f ca="1">(VLOOKUP(CW$72,INDIRECT($C$5&amp;"生成成长"),2))/((VLOOKUP($B146,INDIRECT($B$5&amp;"生成成长"),4))/(VLOOKUP(CW$72,INDIRECT($C$5&amp;"生成成长"),5))*(VLOOKUP($B$5,标准坦克设计!$B$24:$U$30,MATCH("对"&amp;LEFT($C$5,2)&amp;"输出",标准坦克设计!$B$23:$U$23,0)))*(VLOOKUP($B146,INDIRECT($B$5&amp;"生成成长"),3))*(VLOOKUP($B$5,标准坦克设计!$B$14:$K$20,9)/30))</f>
        <v>24.534489933536577</v>
      </c>
      <c r="CX146" s="172">
        <f ca="1">(VLOOKUP(CX$72,INDIRECT($C$5&amp;"生成成长"),2))/((VLOOKUP($B146,INDIRECT($B$5&amp;"生成成长"),4))/(VLOOKUP(CX$72,INDIRECT($C$5&amp;"生成成长"),5))*(VLOOKUP($B$5,标准坦克设计!$B$24:$U$30,MATCH("对"&amp;LEFT($C$5,2)&amp;"输出",标准坦克设计!$B$23:$U$23,0)))*(VLOOKUP($B146,INDIRECT($B$5&amp;"生成成长"),3))*(VLOOKUP($B$5,标准坦克设计!$B$14:$K$20,9)/30))</f>
        <v>26.192277184273344</v>
      </c>
      <c r="CY146" s="172">
        <f ca="1">(VLOOKUP(CY$72,INDIRECT($C$5&amp;"生成成长"),2))/((VLOOKUP($B146,INDIRECT($B$5&amp;"生成成长"),4))/(VLOOKUP(CY$72,INDIRECT($C$5&amp;"生成成长"),5))*(VLOOKUP($B$5,标准坦克设计!$B$24:$U$30,MATCH("对"&amp;LEFT($C$5,2)&amp;"输出",标准坦克设计!$B$23:$U$23,0)))*(VLOOKUP($B146,INDIRECT($B$5&amp;"生成成长"),3))*(VLOOKUP($B$5,标准坦克设计!$B$14:$K$20,9)/30))</f>
        <v>27.904256588823213</v>
      </c>
      <c r="CZ146" s="172">
        <f ca="1">(VLOOKUP(CZ$72,INDIRECT($C$5&amp;"生成成长"),2))/((VLOOKUP($B146,INDIRECT($B$5&amp;"生成成长"),4))/(VLOOKUP(CZ$72,INDIRECT($C$5&amp;"生成成长"),5))*(VLOOKUP($B$5,标准坦克设计!$B$24:$U$30,MATCH("对"&amp;LEFT($C$5,2)&amp;"输出",标准坦克设计!$B$23:$U$23,0)))*(VLOOKUP($B146,INDIRECT($B$5&amp;"生成成长"),3))*(VLOOKUP($B$5,标准坦克设计!$B$14:$K$20,9)/30))</f>
        <v>29.670428147186158</v>
      </c>
      <c r="DA146" s="172">
        <f ca="1">(VLOOKUP(DA$72,INDIRECT($C$5&amp;"生成成长"),2))/((VLOOKUP($B146,INDIRECT($B$5&amp;"生成成长"),4))/(VLOOKUP(DA$72,INDIRECT($C$5&amp;"生成成长"),5))*(VLOOKUP($B$5,标准坦克设计!$B$24:$U$30,MATCH("对"&amp;LEFT($C$5,2)&amp;"输出",标准坦克设计!$B$23:$U$23,0)))*(VLOOKUP($B146,INDIRECT($B$5&amp;"生成成长"),3))*(VLOOKUP($B$5,标准坦克设计!$B$14:$K$20,9)/30))</f>
        <v>31.490791859362201</v>
      </c>
      <c r="DB146" s="172">
        <f ca="1">(VLOOKUP(DB$72,INDIRECT($C$5&amp;"生成成长"),2))/((VLOOKUP($B146,INDIRECT($B$5&amp;"生成成长"),4))/(VLOOKUP(DB$72,INDIRECT($C$5&amp;"生成成长"),5))*(VLOOKUP($B$5,标准坦克设计!$B$24:$U$30,MATCH("对"&amp;LEFT($C$5,2)&amp;"输出",标准坦克设计!$B$23:$U$23,0)))*(VLOOKUP($B146,INDIRECT($B$5&amp;"生成成长"),3))*(VLOOKUP($B$5,标准坦克设计!$B$14:$K$20,9)/30))</f>
        <v>33.365347725351313</v>
      </c>
      <c r="DC146" s="172">
        <f ca="1">(VLOOKUP(DC$72,INDIRECT($C$5&amp;"生成成长"),2))/((VLOOKUP($B146,INDIRECT($B$5&amp;"生成成长"),4))/(VLOOKUP(DC$72,INDIRECT($C$5&amp;"生成成长"),5))*(VLOOKUP($B$5,标准坦克设计!$B$24:$U$30,MATCH("对"&amp;LEFT($C$5,2)&amp;"输出",标准坦克设计!$B$23:$U$23,0)))*(VLOOKUP($B146,INDIRECT($B$5&amp;"生成成长"),3))*(VLOOKUP($B$5,标准坦克设计!$B$14:$K$20,9)/30))</f>
        <v>35.472123688465132</v>
      </c>
      <c r="DD146" s="172">
        <f ca="1">(VLOOKUP(DD$72,INDIRECT($C$5&amp;"生成成长"),2))/((VLOOKUP($B146,INDIRECT($B$5&amp;"生成成长"),4))/(VLOOKUP(DD$72,INDIRECT($C$5&amp;"生成成长"),5))*(VLOOKUP($B$5,标准坦克设计!$B$24:$U$30,MATCH("对"&amp;LEFT($C$5,2)&amp;"输出",标准坦克设计!$B$23:$U$23,0)))*(VLOOKUP($B146,INDIRECT($B$5&amp;"生成成长"),3))*(VLOOKUP($B$5,标准坦克设计!$B$14:$K$20,9)/30))</f>
        <v>37.643392793306916</v>
      </c>
      <c r="DE146" s="172">
        <f ca="1">(VLOOKUP(DE$72,INDIRECT($C$5&amp;"生成成长"),2))/((VLOOKUP($B146,INDIRECT($B$5&amp;"生成成长"),4))/(VLOOKUP(DE$72,INDIRECT($C$5&amp;"生成成长"),5))*(VLOOKUP($B$5,标准坦克设计!$B$24:$U$30,MATCH("对"&amp;LEFT($C$5,2)&amp;"输出",标准坦克设计!$B$23:$U$23,0)))*(VLOOKUP($B146,INDIRECT($B$5&amp;"生成成长"),3))*(VLOOKUP($B$5,标准坦克设计!$B$14:$K$20,9)/30))</f>
        <v>39.879155039876672</v>
      </c>
      <c r="DF146" s="172">
        <f ca="1">(VLOOKUP(DF$72,INDIRECT($C$5&amp;"生成成长"),2))/((VLOOKUP($B146,INDIRECT($B$5&amp;"生成成长"),4))/(VLOOKUP(DF$72,INDIRECT($C$5&amp;"生成成长"),5))*(VLOOKUP($B$5,标准坦克设计!$B$24:$U$30,MATCH("对"&amp;LEFT($C$5,2)&amp;"输出",标准坦克设计!$B$23:$U$23,0)))*(VLOOKUP($B146,INDIRECT($B$5&amp;"生成成长"),3))*(VLOOKUP($B$5,标准坦克设计!$B$14:$K$20,9)/30))</f>
        <v>42.1794104281744</v>
      </c>
      <c r="DG146" s="172">
        <f ca="1">(VLOOKUP(DG$72,INDIRECT($C$5&amp;"生成成长"),2))/((VLOOKUP($B146,INDIRECT($B$5&amp;"生成成长"),4))/(VLOOKUP(DG$72,INDIRECT($C$5&amp;"生成成长"),5))*(VLOOKUP($B$5,标准坦克设计!$B$24:$U$30,MATCH("对"&amp;LEFT($C$5,2)&amp;"输出",标准坦克设计!$B$23:$U$23,0)))*(VLOOKUP($B146,INDIRECT($B$5&amp;"生成成长"),3))*(VLOOKUP($B$5,标准坦克设计!$B$14:$K$20,9)/30))</f>
        <v>44.544158958200107</v>
      </c>
      <c r="DH146" s="172">
        <f ca="1">(VLOOKUP(DH$72,INDIRECT($C$5&amp;"生成成长"),2))/((VLOOKUP($B146,INDIRECT($B$5&amp;"生成成长"),4))/(VLOOKUP(DH$72,INDIRECT($C$5&amp;"生成成长"),5))*(VLOOKUP($B$5,标准坦克设计!$B$24:$U$30,MATCH("对"&amp;LEFT($C$5,2)&amp;"输出",标准坦克设计!$B$23:$U$23,0)))*(VLOOKUP($B146,INDIRECT($B$5&amp;"生成成长"),3))*(VLOOKUP($B$5,标准坦克设计!$B$14:$K$20,9)/30))</f>
        <v>46.973400629953787</v>
      </c>
      <c r="DI146" s="172">
        <f ca="1">(VLOOKUP(DI$72,INDIRECT($C$5&amp;"生成成长"),2))/((VLOOKUP($B146,INDIRECT($B$5&amp;"生成成长"),4))/(VLOOKUP(DI$72,INDIRECT($C$5&amp;"生成成长"),5))*(VLOOKUP($B$5,标准坦克设计!$B$24:$U$30,MATCH("对"&amp;LEFT($C$5,2)&amp;"输出",标准坦克设计!$B$23:$U$23,0)))*(VLOOKUP($B146,INDIRECT($B$5&amp;"生成成长"),3))*(VLOOKUP($B$5,标准坦克设计!$B$14:$K$20,9)/30))</f>
        <v>49.467135443435431</v>
      </c>
      <c r="DJ146" s="172">
        <f ca="1">(VLOOKUP(DJ$72,INDIRECT($C$5&amp;"生成成长"),2))/((VLOOKUP($B146,INDIRECT($B$5&amp;"生成成长"),4))/(VLOOKUP(DJ$72,INDIRECT($C$5&amp;"生成成长"),5))*(VLOOKUP($B$5,标准坦克设计!$B$24:$U$30,MATCH("对"&amp;LEFT($C$5,2)&amp;"输出",标准坦克设计!$B$23:$U$23,0)))*(VLOOKUP($B146,INDIRECT($B$5&amp;"生成成长"),3))*(VLOOKUP($B$5,标准坦克设计!$B$14:$K$20,9)/30))</f>
        <v>4.9715702760512004</v>
      </c>
      <c r="DK146" s="172">
        <f ca="1">(VLOOKUP(DK$72,INDIRECT($C$5&amp;"生成成长"),2))/((VLOOKUP($B146,INDIRECT($B$5&amp;"生成成长"),4))/(VLOOKUP(DK$72,INDIRECT($C$5&amp;"生成成长"),5))*(VLOOKUP($B$5,标准坦克设计!$B$24:$U$30,MATCH("对"&amp;LEFT($C$5,2)&amp;"输出",标准坦克设计!$B$23:$U$23,0)))*(VLOOKUP($B146,INDIRECT($B$5&amp;"生成成长"),3))*(VLOOKUP($B$5,标准坦克设计!$B$14:$K$20,9)/30))</f>
        <v>5.590301354503949</v>
      </c>
      <c r="DL146" s="172">
        <f ca="1">(VLOOKUP(DL$72,INDIRECT($C$5&amp;"生成成长"),2))/((VLOOKUP($B146,INDIRECT($B$5&amp;"生成成长"),4))/(VLOOKUP(DL$72,INDIRECT($C$5&amp;"生成成长"),5))*(VLOOKUP($B$5,标准坦克设计!$B$24:$U$30,MATCH("对"&amp;LEFT($C$5,2)&amp;"输出",标准坦克设计!$B$23:$U$23,0)))*(VLOOKUP($B146,INDIRECT($B$5&amp;"生成成长"),3))*(VLOOKUP($B$5,标准坦克设计!$B$14:$K$20,9)/30))</f>
        <v>6.2453098251786816</v>
      </c>
      <c r="DM146" s="172">
        <f ca="1">(VLOOKUP(DM$72,INDIRECT($C$5&amp;"生成成长"),2))/((VLOOKUP($B146,INDIRECT($B$5&amp;"生成成长"),4))/(VLOOKUP(DM$72,INDIRECT($C$5&amp;"生成成长"),5))*(VLOOKUP($B$5,标准坦克设计!$B$24:$U$30,MATCH("对"&amp;LEFT($C$5,2)&amp;"输出",标准坦克设计!$B$23:$U$23,0)))*(VLOOKUP($B146,INDIRECT($B$5&amp;"生成成长"),3))*(VLOOKUP($B$5,标准坦克设计!$B$14:$K$20,9)/30))</f>
        <v>6.9365956880754007</v>
      </c>
      <c r="DN146" s="172">
        <f ca="1">(VLOOKUP(DN$72,INDIRECT($C$5&amp;"生成成长"),2))/((VLOOKUP($B146,INDIRECT($B$5&amp;"生成成长"),4))/(VLOOKUP(DN$72,INDIRECT($C$5&amp;"生成成长"),5))*(VLOOKUP($B$5,标准坦克设计!$B$24:$U$30,MATCH("对"&amp;LEFT($C$5,2)&amp;"输出",标准坦克设计!$B$23:$U$23,0)))*(VLOOKUP($B146,INDIRECT($B$5&amp;"生成成长"),3))*(VLOOKUP($B$5,标准坦克设计!$B$14:$K$20,9)/30))</f>
        <v>7.6641589431941055</v>
      </c>
      <c r="DO146" s="172">
        <f ca="1">(VLOOKUP(DO$72,INDIRECT($C$5&amp;"生成成长"),2))/((VLOOKUP($B146,INDIRECT($B$5&amp;"生成成长"),4))/(VLOOKUP(DO$72,INDIRECT($C$5&amp;"生成成长"),5))*(VLOOKUP($B$5,标准坦克设计!$B$24:$U$30,MATCH("对"&amp;LEFT($C$5,2)&amp;"输出",标准坦克设计!$B$23:$U$23,0)))*(VLOOKUP($B146,INDIRECT($B$5&amp;"生成成长"),3))*(VLOOKUP($B$5,标准坦克设计!$B$14:$K$20,9)/30))</f>
        <v>8.427999590534796</v>
      </c>
      <c r="DP146" s="172">
        <f ca="1">(VLOOKUP(DP$72,INDIRECT($C$5&amp;"生成成长"),2))/((VLOOKUP($B146,INDIRECT($B$5&amp;"生成成长"),4))/(VLOOKUP(DP$72,INDIRECT($C$5&amp;"生成成长"),5))*(VLOOKUP($B$5,标准坦克设计!$B$24:$U$30,MATCH("对"&amp;LEFT($C$5,2)&amp;"输出",标准坦克设计!$B$23:$U$23,0)))*(VLOOKUP($B146,INDIRECT($B$5&amp;"生成成长"),3))*(VLOOKUP($B$5,标准坦克设计!$B$14:$K$20,9)/30))</f>
        <v>9.2281176300974685</v>
      </c>
      <c r="DQ146" s="172">
        <f ca="1">(VLOOKUP(DQ$72,INDIRECT($C$5&amp;"生成成长"),2))/((VLOOKUP($B146,INDIRECT($B$5&amp;"生成成长"),4))/(VLOOKUP(DQ$72,INDIRECT($C$5&amp;"生成成长"),5))*(VLOOKUP($B$5,标准坦克设计!$B$24:$U$30,MATCH("对"&amp;LEFT($C$5,2)&amp;"输出",标准坦克设计!$B$23:$U$23,0)))*(VLOOKUP($B146,INDIRECT($B$5&amp;"生成成长"),3))*(VLOOKUP($B$5,标准坦克设计!$B$14:$K$20,9)/30))</f>
        <v>10.064513061882131</v>
      </c>
      <c r="DR146" s="172">
        <f ca="1">(VLOOKUP(DR$72,INDIRECT($C$5&amp;"生成成长"),2))/((VLOOKUP($B146,INDIRECT($B$5&amp;"生成成长"),4))/(VLOOKUP(DR$72,INDIRECT($C$5&amp;"生成成长"),5))*(VLOOKUP($B$5,标准坦克设计!$B$24:$U$30,MATCH("对"&amp;LEFT($C$5,2)&amp;"输出",标准坦克设计!$B$23:$U$23,0)))*(VLOOKUP($B146,INDIRECT($B$5&amp;"生成成长"),3))*(VLOOKUP($B$5,标准坦克设计!$B$14:$K$20,9)/30))</f>
        <v>10.937185885888775</v>
      </c>
      <c r="DS146" s="172">
        <f ca="1">(VLOOKUP(DS$72,INDIRECT($C$5&amp;"生成成长"),2))/((VLOOKUP($B146,INDIRECT($B$5&amp;"生成成长"),4))/(VLOOKUP(DS$72,INDIRECT($C$5&amp;"生成成长"),5))*(VLOOKUP($B$5,标准坦克设计!$B$24:$U$30,MATCH("对"&amp;LEFT($C$5,2)&amp;"输出",标准坦克设计!$B$23:$U$23,0)))*(VLOOKUP($B146,INDIRECT($B$5&amp;"生成成长"),3))*(VLOOKUP($B$5,标准坦克设计!$B$14:$K$20,9)/30))</f>
        <v>11.846136102117404</v>
      </c>
      <c r="DT146" s="172">
        <f ca="1">(VLOOKUP(DT$72,INDIRECT($C$5&amp;"生成成长"),2))/((VLOOKUP($B146,INDIRECT($B$5&amp;"生成成长"),4))/(VLOOKUP(DT$72,INDIRECT($C$5&amp;"生成成长"),5))*(VLOOKUP($B$5,标准坦克设计!$B$24:$U$30,MATCH("对"&amp;LEFT($C$5,2)&amp;"输出",标准坦克设计!$B$23:$U$23,0)))*(VLOOKUP($B146,INDIRECT($B$5&amp;"生成成长"),3))*(VLOOKUP($B$5,标准坦克设计!$B$14:$K$20,9)/30))</f>
        <v>13.006340849661267</v>
      </c>
      <c r="DU146" s="172">
        <f ca="1">(VLOOKUP(DU$72,INDIRECT($C$5&amp;"生成成长"),2))/((VLOOKUP($B146,INDIRECT($B$5&amp;"生成成长"),4))/(VLOOKUP(DU$72,INDIRECT($C$5&amp;"生成成长"),5))*(VLOOKUP($B$5,标准坦克设计!$B$24:$U$30,MATCH("对"&amp;LEFT($C$5,2)&amp;"输出",标准坦克设计!$B$23:$U$23,0)))*(VLOOKUP($B146,INDIRECT($B$5&amp;"生成成长"),3))*(VLOOKUP($B$5,标准坦克设计!$B$14:$K$20,9)/30))</f>
        <v>14.220737751018218</v>
      </c>
      <c r="DV146" s="172">
        <f ca="1">(VLOOKUP(DV$72,INDIRECT($C$5&amp;"生成成长"),2))/((VLOOKUP($B146,INDIRECT($B$5&amp;"生成成长"),4))/(VLOOKUP(DV$72,INDIRECT($C$5&amp;"生成成长"),5))*(VLOOKUP($B$5,标准坦克设计!$B$24:$U$30,MATCH("对"&amp;LEFT($C$5,2)&amp;"输出",标准坦克设计!$B$23:$U$23,0)))*(VLOOKUP($B146,INDIRECT($B$5&amp;"生成成长"),3))*(VLOOKUP($B$5,标准坦克设计!$B$14:$K$20,9)/30))</f>
        <v>15.489326806188258</v>
      </c>
      <c r="DW146" s="172">
        <f ca="1">(VLOOKUP(DW$72,INDIRECT($C$5&amp;"生成成长"),2))/((VLOOKUP($B146,INDIRECT($B$5&amp;"生成成长"),4))/(VLOOKUP(DW$72,INDIRECT($C$5&amp;"生成成长"),5))*(VLOOKUP($B$5,标准坦克设计!$B$24:$U$30,MATCH("对"&amp;LEFT($C$5,2)&amp;"输出",标准坦克设计!$B$23:$U$23,0)))*(VLOOKUP($B146,INDIRECT($B$5&amp;"生成成长"),3))*(VLOOKUP($B$5,标准坦克设计!$B$14:$K$20,9)/30))</f>
        <v>16.812108015171386</v>
      </c>
      <c r="DX146" s="172">
        <f ca="1">(VLOOKUP(DX$72,INDIRECT($C$5&amp;"生成成长"),2))/((VLOOKUP($B146,INDIRECT($B$5&amp;"生成成长"),4))/(VLOOKUP(DX$72,INDIRECT($C$5&amp;"生成成长"),5))*(VLOOKUP($B$5,标准坦克设计!$B$24:$U$30,MATCH("对"&amp;LEFT($C$5,2)&amp;"输出",标准坦克设计!$B$23:$U$23,0)))*(VLOOKUP($B146,INDIRECT($B$5&amp;"生成成长"),3))*(VLOOKUP($B$5,标准坦克设计!$B$14:$K$20,9)/30))</f>
        <v>18.189081377967604</v>
      </c>
      <c r="DY146" s="172">
        <f ca="1">(VLOOKUP(DY$72,INDIRECT($C$5&amp;"生成成长"),2))/((VLOOKUP($B146,INDIRECT($B$5&amp;"生成成长"),4))/(VLOOKUP(DY$72,INDIRECT($C$5&amp;"生成成长"),5))*(VLOOKUP($B$5,标准坦克设计!$B$24:$U$30,MATCH("对"&amp;LEFT($C$5,2)&amp;"输出",标准坦克设计!$B$23:$U$23,0)))*(VLOOKUP($B146,INDIRECT($B$5&amp;"生成成长"),3))*(VLOOKUP($B$5,标准坦克设计!$B$14:$K$20,9)/30))</f>
        <v>8.1693552200632329</v>
      </c>
      <c r="DZ146" s="172">
        <f ca="1">(VLOOKUP(DZ$72,INDIRECT($C$5&amp;"生成成长"),2))/((VLOOKUP($B146,INDIRECT($B$5&amp;"生成成长"),4))/(VLOOKUP(DZ$72,INDIRECT($C$5&amp;"生成成长"),5))*(VLOOKUP($B$5,标准坦克设计!$B$24:$U$30,MATCH("对"&amp;LEFT($C$5,2)&amp;"输出",标准坦克设计!$B$23:$U$23,0)))*(VLOOKUP($B146,INDIRECT($B$5&amp;"生成成长"),3))*(VLOOKUP($B$5,标准坦克设计!$B$14:$K$20,9)/30))</f>
        <v>9.0471785380273193</v>
      </c>
      <c r="EA146" s="172">
        <f ca="1">(VLOOKUP(EA$72,INDIRECT($C$5&amp;"生成成长"),2))/((VLOOKUP($B146,INDIRECT($B$5&amp;"生成成长"),4))/(VLOOKUP(EA$72,INDIRECT($C$5&amp;"生成成长"),5))*(VLOOKUP($B$5,标准坦克设计!$B$24:$U$30,MATCH("对"&amp;LEFT($C$5,2)&amp;"输出",标准坦克设计!$B$23:$U$23,0)))*(VLOOKUP($B146,INDIRECT($B$5&amp;"生成成长"),3))*(VLOOKUP($B$5,标准坦克设计!$B$14:$K$20,9)/30))</f>
        <v>9.9697887599691679</v>
      </c>
      <c r="EB146" s="172">
        <f ca="1">(VLOOKUP(EB$72,INDIRECT($C$5&amp;"生成成长"),2))/((VLOOKUP($B146,INDIRECT($B$5&amp;"生成成长"),4))/(VLOOKUP(EB$72,INDIRECT($C$5&amp;"生成成长"),5))*(VLOOKUP($B$5,标准坦克设计!$B$24:$U$30,MATCH("对"&amp;LEFT($C$5,2)&amp;"输出",标准坦克设计!$B$23:$U$23,0)))*(VLOOKUP($B146,INDIRECT($B$5&amp;"生成成长"),3))*(VLOOKUP($B$5,标准坦克设计!$B$14:$K$20,9)/30))</f>
        <v>10.937185885888775</v>
      </c>
      <c r="EC146" s="172">
        <f ca="1">(VLOOKUP(EC$72,INDIRECT($C$5&amp;"生成成长"),2))/((VLOOKUP($B146,INDIRECT($B$5&amp;"生成成长"),4))/(VLOOKUP(EC$72,INDIRECT($C$5&amp;"生成成长"),5))*(VLOOKUP($B$5,标准坦克设计!$B$24:$U$30,MATCH("对"&amp;LEFT($C$5,2)&amp;"输出",标准坦克设计!$B$23:$U$23,0)))*(VLOOKUP($B146,INDIRECT($B$5&amp;"生成成长"),3))*(VLOOKUP($B$5,标准坦克设计!$B$14:$K$20,9)/30))</f>
        <v>11.949369915786139</v>
      </c>
      <c r="ED146" s="172">
        <f ca="1">(VLOOKUP(ED$72,INDIRECT($C$5&amp;"生成成长"),2))/((VLOOKUP($B146,INDIRECT($B$5&amp;"生成成长"),4))/(VLOOKUP(ED$72,INDIRECT($C$5&amp;"生成成长"),5))*(VLOOKUP($B$5,标准坦克设计!$B$24:$U$30,MATCH("对"&amp;LEFT($C$5,2)&amp;"输出",标准坦克设计!$B$23:$U$23,0)))*(VLOOKUP($B146,INDIRECT($B$5&amp;"生成成长"),3))*(VLOOKUP($B$5,标准坦克设计!$B$14:$K$20,9)/30))</f>
        <v>13.006340849661267</v>
      </c>
      <c r="EE146" s="172">
        <f ca="1">(VLOOKUP(EE$72,INDIRECT($C$5&amp;"生成成长"),2))/((VLOOKUP($B146,INDIRECT($B$5&amp;"生成成长"),4))/(VLOOKUP(EE$72,INDIRECT($C$5&amp;"生成成长"),5))*(VLOOKUP($B$5,标准坦克设计!$B$24:$U$30,MATCH("对"&amp;LEFT($C$5,2)&amp;"输出",标准坦克设计!$B$23:$U$23,0)))*(VLOOKUP($B146,INDIRECT($B$5&amp;"生成成长"),3))*(VLOOKUP($B$5,标准坦克设计!$B$14:$K$20,9)/30))</f>
        <v>14.108098687514151</v>
      </c>
      <c r="EF146" s="172">
        <f ca="1">(VLOOKUP(EF$72,INDIRECT($C$5&amp;"生成成长"),2))/((VLOOKUP($B146,INDIRECT($B$5&amp;"生成成长"),4))/(VLOOKUP(EF$72,INDIRECT($C$5&amp;"生成成长"),5))*(VLOOKUP($B$5,标准坦克设计!$B$24:$U$30,MATCH("对"&amp;LEFT($C$5,2)&amp;"输出",标准坦克设计!$B$23:$U$23,0)))*(VLOOKUP($B146,INDIRECT($B$5&amp;"生成成长"),3))*(VLOOKUP($B$5,标准坦克设计!$B$14:$K$20,9)/30))</f>
        <v>15.254643429344794</v>
      </c>
      <c r="EG146" s="172">
        <f ca="1">(VLOOKUP(EG$72,INDIRECT($C$5&amp;"生成成长"),2))/((VLOOKUP($B146,INDIRECT($B$5&amp;"生成成长"),4))/(VLOOKUP(EG$72,INDIRECT($C$5&amp;"生成成长"),5))*(VLOOKUP($B$5,标准坦克设计!$B$24:$U$30,MATCH("对"&amp;LEFT($C$5,2)&amp;"输出",标准坦克设计!$B$23:$U$23,0)))*(VLOOKUP($B146,INDIRECT($B$5&amp;"生成成长"),3))*(VLOOKUP($B$5,标准坦克设计!$B$14:$K$20,9)/30))</f>
        <v>16.4459750751532</v>
      </c>
      <c r="EH146" s="172">
        <f ca="1">(VLOOKUP(EH$72,INDIRECT($C$5&amp;"生成成长"),2))/((VLOOKUP($B146,INDIRECT($B$5&amp;"生成成长"),4))/(VLOOKUP(EH$72,INDIRECT($C$5&amp;"生成成长"),5))*(VLOOKUP($B$5,标准坦克设计!$B$24:$U$30,MATCH("对"&amp;LEFT($C$5,2)&amp;"输出",标准坦克设计!$B$23:$U$23,0)))*(VLOOKUP($B146,INDIRECT($B$5&amp;"生成成长"),3))*(VLOOKUP($B$5,标准坦克设计!$B$14:$K$20,9)/30))</f>
        <v>17.682093624939366</v>
      </c>
      <c r="EI146" s="172">
        <f ca="1">(VLOOKUP(EI$72,INDIRECT($C$5&amp;"生成成长"),2))/((VLOOKUP($B146,INDIRECT($B$5&amp;"生成成长"),4))/(VLOOKUP(EI$72,INDIRECT($C$5&amp;"生成成长"),5))*(VLOOKUP($B$5,标准坦克设计!$B$24:$U$30,MATCH("对"&amp;LEFT($C$5,2)&amp;"输出",标准坦克设计!$B$23:$U$23,0)))*(VLOOKUP($B146,INDIRECT($B$5&amp;"生成成长"),3))*(VLOOKUP($B$5,标准坦克设计!$B$14:$K$20,9)/30))</f>
        <v>18.962999078703284</v>
      </c>
      <c r="EJ146" s="172">
        <f ca="1">(VLOOKUP(EJ$72,INDIRECT($C$5&amp;"生成成长"),2))/((VLOOKUP($B146,INDIRECT($B$5&amp;"生成成长"),4))/(VLOOKUP(EJ$72,INDIRECT($C$5&amp;"生成成长"),5))*(VLOOKUP($B$5,标准坦克设计!$B$24:$U$30,MATCH("对"&amp;LEFT($C$5,2)&amp;"输出",标准坦克设计!$B$23:$U$23,0)))*(VLOOKUP($B146,INDIRECT($B$5&amp;"生成成长"),3))*(VLOOKUP($B$5,标准坦克设计!$B$14:$K$20,9)/30))</f>
        <v>20.288691436444971</v>
      </c>
      <c r="EK146" s="172">
        <f ca="1">(VLOOKUP(EK$72,INDIRECT($C$5&amp;"生成成长"),2))/((VLOOKUP($B146,INDIRECT($B$5&amp;"生成成长"),4))/(VLOOKUP(EK$72,INDIRECT($C$5&amp;"生成成长"),5))*(VLOOKUP($B$5,标准坦克设计!$B$24:$U$30,MATCH("对"&amp;LEFT($C$5,2)&amp;"输出",标准坦克设计!$B$23:$U$23,0)))*(VLOOKUP($B146,INDIRECT($B$5&amp;"生成成长"),3))*(VLOOKUP($B$5,标准坦克设计!$B$14:$K$20,9)/30))</f>
        <v>21.938640978985635</v>
      </c>
      <c r="EL146" s="172">
        <f ca="1">(VLOOKUP(EL$72,INDIRECT($C$5&amp;"生成成长"),2))/((VLOOKUP($B146,INDIRECT($B$5&amp;"生成成长"),4))/(VLOOKUP(EL$72,INDIRECT($C$5&amp;"生成成长"),5))*(VLOOKUP($B$5,标准坦克设计!$B$24:$U$30,MATCH("对"&amp;LEFT($C$5,2)&amp;"输出",标准坦克设计!$B$23:$U$23,0)))*(VLOOKUP($B146,INDIRECT($B$5&amp;"生成成长"),3))*(VLOOKUP($B$5,标准坦克设计!$B$14:$K$20,9)/30))</f>
        <v>23.653083663254272</v>
      </c>
      <c r="EM146" s="172">
        <f ca="1">(VLOOKUP(EM$72,INDIRECT($C$5&amp;"生成成长"),2))/((VLOOKUP($B146,INDIRECT($B$5&amp;"生成成长"),4))/(VLOOKUP(EM$72,INDIRECT($C$5&amp;"生成成长"),5))*(VLOOKUP($B$5,标准坦克设计!$B$24:$U$30,MATCH("对"&amp;LEFT($C$5,2)&amp;"输出",标准坦克设计!$B$23:$U$23,0)))*(VLOOKUP($B146,INDIRECT($B$5&amp;"生成成长"),3))*(VLOOKUP($B$5,标准坦克设计!$B$14:$K$20,9)/30))</f>
        <v>25.432019489250884</v>
      </c>
      <c r="EN146" s="172">
        <f ca="1">(VLOOKUP(EN$72,INDIRECT($C$5&amp;"生成成长"),2))/((VLOOKUP($B146,INDIRECT($B$5&amp;"生成成长"),4))/(VLOOKUP(EN$72,INDIRECT($C$5&amp;"生成成长"),5))*(VLOOKUP($B$5,标准坦克设计!$B$24:$U$30,MATCH("对"&amp;LEFT($C$5,2)&amp;"输出",标准坦克设计!$B$23:$U$23,0)))*(VLOOKUP($B146,INDIRECT($B$5&amp;"生成成长"),3))*(VLOOKUP($B$5,标准坦克设计!$B$14:$K$20,9)/30))</f>
        <v>27.275448456975464</v>
      </c>
      <c r="EO146" s="172">
        <f ca="1">(VLOOKUP(EO$72,INDIRECT($C$5&amp;"生成成长"),2))/((VLOOKUP($B146,INDIRECT($B$5&amp;"生成成长"),4))/(VLOOKUP(EO$72,INDIRECT($C$5&amp;"生成成长"),5))*(VLOOKUP($B$5,标准坦克设计!$B$24:$U$30,MATCH("对"&amp;LEFT($C$5,2)&amp;"输出",标准坦克设计!$B$23:$U$23,0)))*(VLOOKUP($B146,INDIRECT($B$5&amp;"生成成长"),3))*(VLOOKUP($B$5,标准坦克设计!$B$14:$K$20,9)/30))</f>
        <v>29.183370566428017</v>
      </c>
      <c r="EP146" s="172">
        <f ca="1">(VLOOKUP(EP$72,INDIRECT($C$5&amp;"生成成长"),2))/((VLOOKUP($B146,INDIRECT($B$5&amp;"生成成长"),4))/(VLOOKUP(EP$72,INDIRECT($C$5&amp;"生成成长"),5))*(VLOOKUP($B$5,标准坦克设计!$B$24:$U$30,MATCH("对"&amp;LEFT($C$5,2)&amp;"输出",标准坦克设计!$B$23:$U$23,0)))*(VLOOKUP($B146,INDIRECT($B$5&amp;"生成成长"),3))*(VLOOKUP($B$5,标准坦克设计!$B$14:$K$20,9)/30))</f>
        <v>31.155785817608553</v>
      </c>
      <c r="EQ146" s="172">
        <f ca="1">(VLOOKUP(EQ$72,INDIRECT($C$5&amp;"生成成长"),2))/((VLOOKUP($B146,INDIRECT($B$5&amp;"生成成长"),4))/(VLOOKUP(EQ$72,INDIRECT($C$5&amp;"生成成长"),5))*(VLOOKUP($B$5,标准坦克设计!$B$24:$U$30,MATCH("对"&amp;LEFT($C$5,2)&amp;"输出",标准坦克设计!$B$23:$U$23,0)))*(VLOOKUP($B146,INDIRECT($B$5&amp;"生成成长"),3))*(VLOOKUP($B$5,标准坦克设计!$B$14:$K$20,9)/30))</f>
        <v>13.772868711240623</v>
      </c>
      <c r="ER146" s="172">
        <f ca="1">(VLOOKUP(ER$72,INDIRECT($C$5&amp;"生成成长"),2))/((VLOOKUP($B146,INDIRECT($B$5&amp;"生成成长"),4))/(VLOOKUP(ER$72,INDIRECT($C$5&amp;"生成成长"),5))*(VLOOKUP($B$5,标准坦克设计!$B$24:$U$30,MATCH("对"&amp;LEFT($C$5,2)&amp;"输出",标准坦克设计!$B$23:$U$23,0)))*(VLOOKUP($B146,INDIRECT($B$5&amp;"生成成长"),3))*(VLOOKUP($B$5,标准坦克设计!$B$14:$K$20,9)/30))</f>
        <v>15.021751528660449</v>
      </c>
      <c r="ES146" s="172">
        <f ca="1">(VLOOKUP(ES$72,INDIRECT($C$5&amp;"生成成长"),2))/((VLOOKUP($B146,INDIRECT($B$5&amp;"生成成长"),4))/(VLOOKUP(ES$72,INDIRECT($C$5&amp;"生成成长"),5))*(VLOOKUP($B$5,标准坦克设计!$B$24:$U$30,MATCH("对"&amp;LEFT($C$5,2)&amp;"输出",标准坦克设计!$B$23:$U$23,0)))*(VLOOKUP($B146,INDIRECT($B$5&amp;"生成成长"),3))*(VLOOKUP($B$5,标准坦克设计!$B$14:$K$20,9)/30))</f>
        <v>16.324826499893359</v>
      </c>
      <c r="ET146" s="172">
        <f ca="1">(VLOOKUP(ET$72,INDIRECT($C$5&amp;"生成成长"),2))/((VLOOKUP($B146,INDIRECT($B$5&amp;"生成成长"),4))/(VLOOKUP(ET$72,INDIRECT($C$5&amp;"生成成长"),5))*(VLOOKUP($B$5,标准坦克设计!$B$24:$U$30,MATCH("对"&amp;LEFT($C$5,2)&amp;"输出",标准坦克设计!$B$23:$U$23,0)))*(VLOOKUP($B146,INDIRECT($B$5&amp;"生成成长"),3))*(VLOOKUP($B$5,标准坦克设计!$B$14:$K$20,9)/30))</f>
        <v>17.682093624939366</v>
      </c>
      <c r="EU146" s="172">
        <f ca="1">(VLOOKUP(EU$72,INDIRECT($C$5&amp;"生成成长"),2))/((VLOOKUP($B146,INDIRECT($B$5&amp;"生成成长"),4))/(VLOOKUP(EU$72,INDIRECT($C$5&amp;"生成成长"),5))*(VLOOKUP($B$5,标准坦克设计!$B$24:$U$30,MATCH("对"&amp;LEFT($C$5,2)&amp;"输出",标准坦克设计!$B$23:$U$23,0)))*(VLOOKUP($B146,INDIRECT($B$5&amp;"生成成长"),3))*(VLOOKUP($B$5,标准坦克设计!$B$14:$K$20,9)/30))</f>
        <v>19.093552903798457</v>
      </c>
      <c r="EV146" s="172">
        <f ca="1">(VLOOKUP(EV$72,INDIRECT($C$5&amp;"生成成长"),2))/((VLOOKUP($B146,INDIRECT($B$5&amp;"生成成长"),4))/(VLOOKUP(EV$72,INDIRECT($C$5&amp;"生成成长"),5))*(VLOOKUP($B$5,标准坦克设计!$B$24:$U$30,MATCH("对"&amp;LEFT($C$5,2)&amp;"输出",标准坦克设计!$B$23:$U$23,0)))*(VLOOKUP($B146,INDIRECT($B$5&amp;"生成成长"),3))*(VLOOKUP($B$5,标准坦克设计!$B$14:$K$20,9)/30))</f>
        <v>20.559204336470643</v>
      </c>
      <c r="EW146" s="172">
        <f ca="1">(VLOOKUP(EW$72,INDIRECT($C$5&amp;"生成成长"),2))/((VLOOKUP($B146,INDIRECT($B$5&amp;"生成成长"),4))/(VLOOKUP(EW$72,INDIRECT($C$5&amp;"生成成长"),5))*(VLOOKUP($B$5,标准坦克设计!$B$24:$U$30,MATCH("对"&amp;LEFT($C$5,2)&amp;"输出",标准坦克设计!$B$23:$U$23,0)))*(VLOOKUP($B146,INDIRECT($B$5&amp;"生成成长"),3))*(VLOOKUP($B$5,标准坦克设计!$B$14:$K$20,9)/30))</f>
        <v>22.079047922955912</v>
      </c>
      <c r="EX146" s="172">
        <f ca="1">(VLOOKUP(EX$72,INDIRECT($C$5&amp;"生成成长"),2))/((VLOOKUP($B146,INDIRECT($B$5&amp;"生成成长"),4))/(VLOOKUP(EX$72,INDIRECT($C$5&amp;"生成成长"),5))*(VLOOKUP($B$5,标准坦克设计!$B$24:$U$30,MATCH("对"&amp;LEFT($C$5,2)&amp;"输出",标准坦克设计!$B$23:$U$23,0)))*(VLOOKUP($B146,INDIRECT($B$5&amp;"生成成长"),3))*(VLOOKUP($B$5,标准坦克设计!$B$14:$K$20,9)/30))</f>
        <v>23.653083663254272</v>
      </c>
      <c r="EY146" s="172">
        <f ca="1">(VLOOKUP(EY$72,INDIRECT($C$5&amp;"生成成长"),2))/((VLOOKUP($B146,INDIRECT($B$5&amp;"生成成长"),4))/(VLOOKUP(EY$72,INDIRECT($C$5&amp;"生成成长"),5))*(VLOOKUP($B$5,标准坦克设计!$B$24:$U$30,MATCH("对"&amp;LEFT($C$5,2)&amp;"输出",标准坦克设计!$B$23:$U$23,0)))*(VLOOKUP($B146,INDIRECT($B$5&amp;"生成成长"),3))*(VLOOKUP($B$5,标准坦克设计!$B$14:$K$20,9)/30))</f>
        <v>25.281311557365719</v>
      </c>
      <c r="EZ146" s="172">
        <f ca="1">(VLOOKUP(EZ$72,INDIRECT($C$5&amp;"生成成长"),2))/((VLOOKUP($B146,INDIRECT($B$5&amp;"生成成长"),4))/(VLOOKUP(EZ$72,INDIRECT($C$5&amp;"生成成长"),5))*(VLOOKUP($B$5,标准坦克设计!$B$24:$U$30,MATCH("对"&amp;LEFT($C$5,2)&amp;"输出",标准坦克设计!$B$23:$U$23,0)))*(VLOOKUP($B146,INDIRECT($B$5&amp;"生成成长"),3))*(VLOOKUP($B$5,标准坦克设计!$B$14:$K$20,9)/30))</f>
        <v>26.96373160529026</v>
      </c>
      <c r="FA146" s="172">
        <f ca="1">(VLOOKUP(FA$72,INDIRECT($C$5&amp;"生成成长"),2))/((VLOOKUP($B146,INDIRECT($B$5&amp;"生成成长"),4))/(VLOOKUP(FA$72,INDIRECT($C$5&amp;"生成成长"),5))*(VLOOKUP($B$5,标准坦克设计!$B$24:$U$30,MATCH("对"&amp;LEFT($C$5,2)&amp;"输出",标准坦克设计!$B$23:$U$23,0)))*(VLOOKUP($B146,INDIRECT($B$5&amp;"生成成长"),3))*(VLOOKUP($B$5,标准坦克设计!$B$14:$K$20,9)/30))</f>
        <v>28.700343807027885</v>
      </c>
      <c r="FB146" s="172">
        <f ca="1">(VLOOKUP(FB$72,INDIRECT($C$5&amp;"生成成长"),2))/((VLOOKUP($B146,INDIRECT($B$5&amp;"生成成长"),4))/(VLOOKUP(FB$72,INDIRECT($C$5&amp;"生成成长"),5))*(VLOOKUP($B$5,标准坦克设计!$B$24:$U$30,MATCH("对"&amp;LEFT($C$5,2)&amp;"输出",标准坦克设计!$B$23:$U$23,0)))*(VLOOKUP($B146,INDIRECT($B$5&amp;"生成成长"),3))*(VLOOKUP($B$5,标准坦克设计!$B$14:$K$20,9)/30))</f>
        <v>30.491148162578593</v>
      </c>
      <c r="FC146" s="172">
        <f ca="1">(VLOOKUP(FC$72,INDIRECT($C$5&amp;"生成成长"),2))/((VLOOKUP($B146,INDIRECT($B$5&amp;"生成成长"),4))/(VLOOKUP(FC$72,INDIRECT($C$5&amp;"生成成长"),5))*(VLOOKUP($B$5,标准坦克设计!$B$24:$U$30,MATCH("对"&amp;LEFT($C$5,2)&amp;"输出",标准坦克设计!$B$23:$U$23,0)))*(VLOOKUP($B146,INDIRECT($B$5&amp;"生成成长"),3))*(VLOOKUP($B$5,标准坦克设计!$B$14:$K$20,9)/30))</f>
        <v>32.336144671942407</v>
      </c>
      <c r="FD146" s="172">
        <f ca="1">(VLOOKUP(FD$72,INDIRECT($C$5&amp;"生成成长"),2))/((VLOOKUP($B146,INDIRECT($B$5&amp;"生成成长"),4))/(VLOOKUP(FD$72,INDIRECT($C$5&amp;"生成成长"),5))*(VLOOKUP($B$5,标准坦克设计!$B$24:$U$30,MATCH("对"&amp;LEFT($C$5,2)&amp;"输出",标准坦克设计!$B$23:$U$23,0)))*(VLOOKUP($B146,INDIRECT($B$5&amp;"生成成长"),3))*(VLOOKUP($B$5,标准坦克设计!$B$14:$K$20,9)/30))</f>
        <v>34.235333335119307</v>
      </c>
      <c r="FE146" s="172">
        <f ca="1">(VLOOKUP(FE$72,INDIRECT($C$5&amp;"生成成长"),2))/((VLOOKUP($B146,INDIRECT($B$5&amp;"生成成长"),4))/(VLOOKUP(FE$72,INDIRECT($C$5&amp;"生成成长"),5))*(VLOOKUP($B$5,标准坦克设计!$B$24:$U$30,MATCH("对"&amp;LEFT($C$5,2)&amp;"输出",标准坦克设计!$B$23:$U$23,0)))*(VLOOKUP($B146,INDIRECT($B$5&amp;"生成成长"),3))*(VLOOKUP($B$5,标准坦克设计!$B$14:$K$20,9)/30))</f>
        <v>36.54969659817003</v>
      </c>
      <c r="FF146" s="172">
        <f ca="1">(VLOOKUP(FF$72,INDIRECT($C$5&amp;"生成成长"),2))/((VLOOKUP($B146,INDIRECT($B$5&amp;"生成成长"),4))/(VLOOKUP(FF$72,INDIRECT($C$5&amp;"生成成长"),5))*(VLOOKUP($B$5,标准坦克设计!$B$24:$U$30,MATCH("对"&amp;LEFT($C$5,2)&amp;"输出",标准坦克设计!$B$23:$U$23,0)))*(VLOOKUP($B146,INDIRECT($B$5&amp;"生成成长"),3))*(VLOOKUP($B$5,标准坦克设计!$B$14:$K$20,9)/30))</f>
        <v>38.939749728943163</v>
      </c>
      <c r="FG146" s="172">
        <f ca="1">(VLOOKUP(FG$72,INDIRECT($C$5&amp;"生成成长"),2))/((VLOOKUP($B146,INDIRECT($B$5&amp;"生成成长"),4))/(VLOOKUP(FG$72,INDIRECT($C$5&amp;"生成成长"),5))*(VLOOKUP($B$5,标准坦克设计!$B$24:$U$30,MATCH("对"&amp;LEFT($C$5,2)&amp;"输出",标准坦克设计!$B$23:$U$23,0)))*(VLOOKUP($B146,INDIRECT($B$5&amp;"生成成长"),3))*(VLOOKUP($B$5,标准坦克设计!$B$14:$K$20,9)/30))</f>
        <v>41.40549272743872</v>
      </c>
      <c r="FH146" s="172">
        <f ca="1">(VLOOKUP(FH$72,INDIRECT($C$5&amp;"生成成长"),2))/((VLOOKUP($B146,INDIRECT($B$5&amp;"生成成长"),4))/(VLOOKUP(FH$72,INDIRECT($C$5&amp;"生成成长"),5))*(VLOOKUP($B$5,标准坦克设计!$B$24:$U$30,MATCH("对"&amp;LEFT($C$5,2)&amp;"输出",标准坦克设计!$B$23:$U$23,0)))*(VLOOKUP($B146,INDIRECT($B$5&amp;"生成成长"),3))*(VLOOKUP($B$5,标准坦克设计!$B$14:$K$20,9)/30))</f>
        <v>43.946925593656687</v>
      </c>
      <c r="FI146" s="172">
        <f ca="1">(VLOOKUP(FI$72,INDIRECT($C$5&amp;"生成成长"),2))/((VLOOKUP($B146,INDIRECT($B$5&amp;"生成成长"),4))/(VLOOKUP(FI$72,INDIRECT($C$5&amp;"生成成长"),5))*(VLOOKUP($B$5,标准坦克设计!$B$24:$U$30,MATCH("对"&amp;LEFT($C$5,2)&amp;"输出",标准坦克设计!$B$23:$U$23,0)))*(VLOOKUP($B146,INDIRECT($B$5&amp;"生成成长"),3))*(VLOOKUP($B$5,标准坦克设计!$B$14:$K$20,9)/30))</f>
        <v>46.564048327597071</v>
      </c>
      <c r="FJ146" s="172">
        <f ca="1">(VLOOKUP(FJ$72,INDIRECT($C$5&amp;"生成成长"),2))/((VLOOKUP($B146,INDIRECT($B$5&amp;"生成成长"),4))/(VLOOKUP(FJ$72,INDIRECT($C$5&amp;"生成成长"),5))*(VLOOKUP($B$5,标准坦克设计!$B$24:$U$30,MATCH("对"&amp;LEFT($C$5,2)&amp;"输出",标准坦克设计!$B$23:$U$23,0)))*(VLOOKUP($B146,INDIRECT($B$5&amp;"生成成长"),3))*(VLOOKUP($B$5,标准坦克设计!$B$14:$K$20,9)/30))</f>
        <v>49.256860929259865</v>
      </c>
      <c r="FK146" s="172">
        <f ca="1">(VLOOKUP(FK$72,INDIRECT($C$5&amp;"生成成长"),2))/((VLOOKUP($B146,INDIRECT($B$5&amp;"生成成长"),4))/(VLOOKUP(FK$72,INDIRECT($C$5&amp;"生成成长"),5))*(VLOOKUP($B$5,标准坦克设计!$B$24:$U$30,MATCH("对"&amp;LEFT($C$5,2)&amp;"输出",标准坦克设计!$B$23:$U$23,0)))*(VLOOKUP($B146,INDIRECT($B$5&amp;"生成成长"),3))*(VLOOKUP($B$5,标准坦克设计!$B$14:$K$20,9)/30))</f>
        <v>52.025363398645069</v>
      </c>
    </row>
    <row r="147" spans="1:167" x14ac:dyDescent="0.15">
      <c r="A147" s="170" t="str">
        <f t="shared" si="12"/>
        <v>T4中品质3级</v>
      </c>
      <c r="B147" s="171">
        <v>20403</v>
      </c>
      <c r="C147" s="172">
        <f ca="1">(VLOOKUP(C$72,INDIRECT($C$5&amp;"生成成长"),2))/((VLOOKUP($B147,INDIRECT($B$5&amp;"生成成长"),4))/(VLOOKUP(C$72,INDIRECT($C$5&amp;"生成成长"),5))*(VLOOKUP($B$5,标准坦克设计!$B$24:$U$30,MATCH("对"&amp;LEFT($C$5,2)&amp;"输出",标准坦克设计!$B$23:$U$23,0)))*(VLOOKUP($B147,INDIRECT($B$5&amp;"生成成长"),3))*(VLOOKUP($B$5,标准坦克设计!$B$14:$K$20,9)/30))</f>
        <v>2.0246060578351943</v>
      </c>
      <c r="D147" s="172">
        <f ca="1">(VLOOKUP(D$72,INDIRECT($C$5&amp;"生成成长"),2))/((VLOOKUP($B147,INDIRECT($B$5&amp;"生成成长"),4))/(VLOOKUP(D$72,INDIRECT($C$5&amp;"生成成长"),5))*(VLOOKUP($B$5,标准坦克设计!$B$24:$U$30,MATCH("对"&amp;LEFT($C$5,2)&amp;"输出",标准坦克设计!$B$23:$U$23,0)))*(VLOOKUP($B147,INDIRECT($B$5&amp;"生成成长"),3))*(VLOOKUP($B$5,标准坦克设计!$B$14:$K$20,9)/30))</f>
        <v>2.2748473665836242</v>
      </c>
      <c r="E147" s="172">
        <f ca="1">(VLOOKUP(E$72,INDIRECT($C$5&amp;"生成成长"),2))/((VLOOKUP($B147,INDIRECT($B$5&amp;"生成成长"),4))/(VLOOKUP(E$72,INDIRECT($C$5&amp;"生成成长"),5))*(VLOOKUP($B$5,标准坦克设计!$B$24:$U$30,MATCH("对"&amp;LEFT($C$5,2)&amp;"输出",标准坦克设计!$B$23:$U$23,0)))*(VLOOKUP($B147,INDIRECT($B$5&amp;"生成成长"),3))*(VLOOKUP($B$5,标准坦克设计!$B$14:$K$20,9)/30))</f>
        <v>2.539665838948467</v>
      </c>
      <c r="F147" s="172">
        <f ca="1">(VLOOKUP(F$72,INDIRECT($C$5&amp;"生成成长"),2))/((VLOOKUP($B147,INDIRECT($B$5&amp;"生成成长"),4))/(VLOOKUP(F$72,INDIRECT($C$5&amp;"生成成长"),5))*(VLOOKUP($B$5,标准坦克设计!$B$24:$U$30,MATCH("对"&amp;LEFT($C$5,2)&amp;"输出",标准坦克设计!$B$23:$U$23,0)))*(VLOOKUP($B147,INDIRECT($B$5&amp;"生成成长"),3))*(VLOOKUP($B$5,标准坦克设计!$B$14:$K$20,9)/30))</f>
        <v>2.819061474929724</v>
      </c>
      <c r="G147" s="172">
        <f ca="1">(VLOOKUP(G$72,INDIRECT($C$5&amp;"生成成长"),2))/((VLOOKUP($B147,INDIRECT($B$5&amp;"生成成长"),4))/(VLOOKUP(G$72,INDIRECT($C$5&amp;"生成成长"),5))*(VLOOKUP($B$5,标准坦克设计!$B$24:$U$30,MATCH("对"&amp;LEFT($C$5,2)&amp;"输出",标准坦克设计!$B$23:$U$23,0)))*(VLOOKUP($B147,INDIRECT($B$5&amp;"生成成长"),3))*(VLOOKUP($B$5,标准坦克设计!$B$14:$K$20,9)/30))</f>
        <v>3.113034274527394</v>
      </c>
      <c r="H147" s="172">
        <f ca="1">(VLOOKUP(H$72,INDIRECT($C$5&amp;"生成成长"),2))/((VLOOKUP($B147,INDIRECT($B$5&amp;"生成成长"),4))/(VLOOKUP(H$72,INDIRECT($C$5&amp;"生成成长"),5))*(VLOOKUP($B$5,标准坦克设计!$B$24:$U$30,MATCH("对"&amp;LEFT($C$5,2)&amp;"输出",标准坦克设计!$B$23:$U$23,0)))*(VLOOKUP($B147,INDIRECT($B$5&amp;"生成成长"),3))*(VLOOKUP($B$5,标准坦克设计!$B$14:$K$20,9)/30))</f>
        <v>2.7243099114230365</v>
      </c>
      <c r="I147" s="172">
        <f ca="1">(VLOOKUP(I$72,INDIRECT($C$5&amp;"生成成长"),2))/((VLOOKUP($B147,INDIRECT($B$5&amp;"生成成长"),4))/(VLOOKUP(I$72,INDIRECT($C$5&amp;"生成成长"),5))*(VLOOKUP($B$5,标准坦克设计!$B$24:$U$30,MATCH("对"&amp;LEFT($C$5,2)&amp;"输出",标准坦克设计!$B$23:$U$23,0)))*(VLOOKUP($B147,INDIRECT($B$5&amp;"生成成长"),3))*(VLOOKUP($B$5,标准坦克设计!$B$14:$K$20,9)/30))</f>
        <v>3.113034274527394</v>
      </c>
      <c r="J147" s="172">
        <f ca="1">(VLOOKUP(J$72,INDIRECT($C$5&amp;"生成成长"),2))/((VLOOKUP($B147,INDIRECT($B$5&amp;"生成成长"),4))/(VLOOKUP(J$72,INDIRECT($C$5&amp;"生成成长"),5))*(VLOOKUP($B$5,标准坦克设计!$B$24:$U$30,MATCH("对"&amp;LEFT($C$5,2)&amp;"输出",标准坦克设计!$B$23:$U$23,0)))*(VLOOKUP($B147,INDIRECT($B$5&amp;"生成成长"),3))*(VLOOKUP($B$5,标准坦克设计!$B$14:$K$20,9)/30))</f>
        <v>3.5276735951720424</v>
      </c>
      <c r="K147" s="172">
        <f ca="1">(VLOOKUP(K$72,INDIRECT($C$5&amp;"生成成长"),2))/((VLOOKUP($B147,INDIRECT($B$5&amp;"生成成长"),4))/(VLOOKUP(K$72,INDIRECT($C$5&amp;"生成成长"),5))*(VLOOKUP($B$5,标准坦克设计!$B$24:$U$30,MATCH("对"&amp;LEFT($C$5,2)&amp;"输出",标准坦克设计!$B$23:$U$23,0)))*(VLOOKUP($B147,INDIRECT($B$5&amp;"生成成长"),3))*(VLOOKUP($B$5,标准坦克设计!$B$14:$K$20,9)/30))</f>
        <v>3.9682278733569798</v>
      </c>
      <c r="L147" s="172">
        <f ca="1">(VLOOKUP(L$72,INDIRECT($C$5&amp;"生成成长"),2))/((VLOOKUP($B147,INDIRECT($B$5&amp;"生成成长"),4))/(VLOOKUP(L$72,INDIRECT($C$5&amp;"生成成长"),5))*(VLOOKUP($B$5,标准坦克设计!$B$24:$U$30,MATCH("对"&amp;LEFT($C$5,2)&amp;"输出",标准坦克设计!$B$23:$U$23,0)))*(VLOOKUP($B147,INDIRECT($B$5&amp;"生成成长"),3))*(VLOOKUP($B$5,标准坦克设计!$B$14:$K$20,9)/30))</f>
        <v>4.434697109082208</v>
      </c>
      <c r="M147" s="172">
        <f ca="1">(VLOOKUP(M$72,INDIRECT($C$5&amp;"生成成长"),2))/((VLOOKUP($B147,INDIRECT($B$5&amp;"生成成长"),4))/(VLOOKUP(M$72,INDIRECT($C$5&amp;"生成成长"),5))*(VLOOKUP($B$5,标准坦克设计!$B$24:$U$30,MATCH("对"&amp;LEFT($C$5,2)&amp;"输出",标准坦克设计!$B$23:$U$23,0)))*(VLOOKUP($B147,INDIRECT($B$5&amp;"生成成长"),3))*(VLOOKUP($B$5,标准坦克设计!$B$14:$K$20,9)/30))</f>
        <v>4.9270813023477276</v>
      </c>
      <c r="N147" s="172">
        <f ca="1">(VLOOKUP(N$72,INDIRECT($C$5&amp;"生成成长"),2))/((VLOOKUP($B147,INDIRECT($B$5&amp;"生成成长"),4))/(VLOOKUP(N$72,INDIRECT($C$5&amp;"生成成长"),5))*(VLOOKUP($B$5,标准坦克设计!$B$24:$U$30,MATCH("对"&amp;LEFT($C$5,2)&amp;"输出",标准坦克设计!$B$23:$U$23,0)))*(VLOOKUP($B147,INDIRECT($B$5&amp;"生成成长"),3))*(VLOOKUP($B$5,标准坦克设计!$B$14:$K$20,9)/30))</f>
        <v>5.445380453153537</v>
      </c>
      <c r="O147" s="172">
        <f ca="1">(VLOOKUP(O$72,INDIRECT($C$5&amp;"生成成长"),2))/((VLOOKUP($B147,INDIRECT($B$5&amp;"生成成长"),4))/(VLOOKUP(O$72,INDIRECT($C$5&amp;"生成成长"),5))*(VLOOKUP($B$5,标准坦克设计!$B$24:$U$30,MATCH("对"&amp;LEFT($C$5,2)&amp;"输出",标准坦克设计!$B$23:$U$23,0)))*(VLOOKUP($B147,INDIRECT($B$5&amp;"生成成长"),3))*(VLOOKUP($B$5,标准坦克设计!$B$14:$K$20,9)/30))</f>
        <v>4.1401169276671883</v>
      </c>
      <c r="P147" s="172">
        <f ca="1">(VLOOKUP(P$72,INDIRECT($C$5&amp;"生成成长"),2))/((VLOOKUP($B147,INDIRECT($B$5&amp;"生成成长"),4))/(VLOOKUP(P$72,INDIRECT($C$5&amp;"生成成长"),5))*(VLOOKUP($B$5,标准坦克设计!$B$24:$U$30,MATCH("对"&amp;LEFT($C$5,2)&amp;"输出",标准坦克设计!$B$23:$U$23,0)))*(VLOOKUP($B147,INDIRECT($B$5&amp;"生成成长"),3))*(VLOOKUP($B$5,标准坦克设计!$B$14:$K$20,9)/30))</f>
        <v>4.6776498360224315</v>
      </c>
      <c r="Q147" s="172">
        <f ca="1">(VLOOKUP(Q$72,INDIRECT($C$5&amp;"生成成长"),2))/((VLOOKUP($B147,INDIRECT($B$5&amp;"生成成长"),4))/(VLOOKUP(Q$72,INDIRECT($C$5&amp;"生成成长"),5))*(VLOOKUP($B$5,标准坦克设计!$B$24:$U$30,MATCH("对"&amp;LEFT($C$5,2)&amp;"输出",标准坦克设计!$B$23:$U$23,0)))*(VLOOKUP($B147,INDIRECT($B$5&amp;"生成成长"),3))*(VLOOKUP($B$5,标准坦克设计!$B$14:$K$20,9)/30))</f>
        <v>5.2479813625146061</v>
      </c>
      <c r="R147" s="172">
        <f ca="1">(VLOOKUP(R$72,INDIRECT($C$5&amp;"生成成长"),2))/((VLOOKUP($B147,INDIRECT($B$5&amp;"生成成长"),4))/(VLOOKUP(R$72,INDIRECT($C$5&amp;"生成成长"),5))*(VLOOKUP($B$5,标准坦克设计!$B$24:$U$30,MATCH("对"&amp;LEFT($C$5,2)&amp;"输出",标准坦克设计!$B$23:$U$23,0)))*(VLOOKUP($B147,INDIRECT($B$5&amp;"生成成长"),3))*(VLOOKUP($B$5,标准坦克设计!$B$14:$K$20,9)/30))</f>
        <v>5.8511115071437114</v>
      </c>
      <c r="S147" s="172">
        <f ca="1">(VLOOKUP(S$72,INDIRECT($C$5&amp;"生成成长"),2))/((VLOOKUP($B147,INDIRECT($B$5&amp;"生成成长"),4))/(VLOOKUP(S$72,INDIRECT($C$5&amp;"生成成长"),5))*(VLOOKUP($B$5,标准坦克设计!$B$24:$U$30,MATCH("对"&amp;LEFT($C$5,2)&amp;"输出",标准坦克设计!$B$23:$U$23,0)))*(VLOOKUP($B147,INDIRECT($B$5&amp;"生成成长"),3))*(VLOOKUP($B$5,标准坦克设计!$B$14:$K$20,9)/30))</f>
        <v>6.4870402699097429</v>
      </c>
      <c r="T147" s="172">
        <f ca="1">(VLOOKUP(T$72,INDIRECT($C$5&amp;"生成成长"),2))/((VLOOKUP($B147,INDIRECT($B$5&amp;"生成成长"),4))/(VLOOKUP(T$72,INDIRECT($C$5&amp;"生成成长"),5))*(VLOOKUP($B$5,标准坦克设计!$B$24:$U$30,MATCH("对"&amp;LEFT($C$5,2)&amp;"输出",标准坦克设计!$B$23:$U$23,0)))*(VLOOKUP($B147,INDIRECT($B$5&amp;"生成成长"),3))*(VLOOKUP($B$5,标准坦克设计!$B$14:$K$20,9)/30))</f>
        <v>7.1557676508127095</v>
      </c>
      <c r="U147" s="172">
        <f ca="1">(VLOOKUP(U$72,INDIRECT($C$5&amp;"生成成长"),2))/((VLOOKUP($B147,INDIRECT($B$5&amp;"生成成长"),4))/(VLOOKUP(U$72,INDIRECT($C$5&amp;"生成成长"),5))*(VLOOKUP($B$5,标准坦克设计!$B$24:$U$30,MATCH("对"&amp;LEFT($C$5,2)&amp;"输出",标准坦克设计!$B$23:$U$23,0)))*(VLOOKUP($B147,INDIRECT($B$5&amp;"生成成长"),3))*(VLOOKUP($B$5,标准坦克设计!$B$14:$K$20,9)/30))</f>
        <v>7.857293649852604</v>
      </c>
      <c r="V147" s="172">
        <f ca="1">(VLOOKUP(V$72,INDIRECT($C$5&amp;"生成成长"),2))/((VLOOKUP($B147,INDIRECT($B$5&amp;"生成成长"),4))/(VLOOKUP(V$72,INDIRECT($C$5&amp;"生成成长"),5))*(VLOOKUP($B$5,标准坦克设计!$B$24:$U$30,MATCH("对"&amp;LEFT($C$5,2)&amp;"输出",标准坦克设计!$B$23:$U$23,0)))*(VLOOKUP($B147,INDIRECT($B$5&amp;"生成成长"),3))*(VLOOKUP($B$5,标准坦克设计!$B$14:$K$20,9)/30))</f>
        <v>8.5916182670294283</v>
      </c>
      <c r="W147" s="172">
        <f ca="1">(VLOOKUP(W$72,INDIRECT($C$5&amp;"生成成长"),2))/((VLOOKUP($B147,INDIRECT($B$5&amp;"生成成长"),4))/(VLOOKUP(W$72,INDIRECT($C$5&amp;"生成成长"),5))*(VLOOKUP($B$5,标准坦克设计!$B$24:$U$30,MATCH("对"&amp;LEFT($C$5,2)&amp;"输出",标准坦克设计!$B$23:$U$23,0)))*(VLOOKUP($B147,INDIRECT($B$5&amp;"生成成长"),3))*(VLOOKUP($B$5,标准坦克设计!$B$14:$K$20,9)/30))</f>
        <v>9.3587415023431841</v>
      </c>
      <c r="X147" s="172">
        <f ca="1">(VLOOKUP(X$72,INDIRECT($C$5&amp;"生成成长"),2))/((VLOOKUP($B147,INDIRECT($B$5&amp;"生成成长"),4))/(VLOOKUP(X$72,INDIRECT($C$5&amp;"生成成长"),5))*(VLOOKUP($B$5,标准坦克设计!$B$24:$U$30,MATCH("对"&amp;LEFT($C$5,2)&amp;"输出",标准坦克设计!$B$23:$U$23,0)))*(VLOOKUP($B147,INDIRECT($B$5&amp;"生成成长"),3))*(VLOOKUP($B$5,标准坦克设计!$B$14:$K$20,9)/30))</f>
        <v>6.7802032270842805</v>
      </c>
      <c r="Y147" s="172">
        <f ca="1">(VLOOKUP(Y$72,INDIRECT($C$5&amp;"生成成长"),2))/((VLOOKUP($B147,INDIRECT($B$5&amp;"生成成长"),4))/(VLOOKUP(Y$72,INDIRECT($C$5&amp;"生成成长"),5))*(VLOOKUP($B$5,标准坦克设计!$B$24:$U$30,MATCH("对"&amp;LEFT($C$5,2)&amp;"输出",标准坦克设计!$B$23:$U$23,0)))*(VLOOKUP($B147,INDIRECT($B$5&amp;"生成成长"),3))*(VLOOKUP($B$5,标准坦克设计!$B$14:$K$20,9)/30))</f>
        <v>7.5414551048303133</v>
      </c>
      <c r="Z147" s="172">
        <f ca="1">(VLOOKUP(Z$72,INDIRECT($C$5&amp;"生成成长"),2))/((VLOOKUP($B147,INDIRECT($B$5&amp;"生成成长"),4))/(VLOOKUP(Z$72,INDIRECT($C$5&amp;"生成成长"),5))*(VLOOKUP($B$5,标准坦克设计!$B$24:$U$30,MATCH("对"&amp;LEFT($C$5,2)&amp;"输出",标准坦克设计!$B$23:$U$23,0)))*(VLOOKUP($B147,INDIRECT($B$5&amp;"生成成长"),3))*(VLOOKUP($B$5,标准坦克设计!$B$14:$K$20,9)/30))</f>
        <v>8.3431991037330508</v>
      </c>
      <c r="AA147" s="172">
        <f ca="1">(VLOOKUP(AA$72,INDIRECT($C$5&amp;"生成成长"),2))/((VLOOKUP($B147,INDIRECT($B$5&amp;"生成成长"),4))/(VLOOKUP(AA$72,INDIRECT($C$5&amp;"生成成长"),5))*(VLOOKUP($B$5,标准坦克设计!$B$24:$U$30,MATCH("对"&amp;LEFT($C$5,2)&amp;"输出",标准坦克设计!$B$23:$U$23,0)))*(VLOOKUP($B147,INDIRECT($B$5&amp;"生成成长"),3))*(VLOOKUP($B$5,标准坦克设计!$B$14:$K$20,9)/30))</f>
        <v>9.1854352237924921</v>
      </c>
      <c r="AB147" s="172">
        <f ca="1">(VLOOKUP(AB$72,INDIRECT($C$5&amp;"生成成长"),2))/((VLOOKUP($B147,INDIRECT($B$5&amp;"生成成长"),4))/(VLOOKUP(AB$72,INDIRECT($C$5&amp;"生成成长"),5))*(VLOOKUP($B$5,标准坦克设计!$B$24:$U$30,MATCH("对"&amp;LEFT($C$5,2)&amp;"输出",标准坦克设计!$B$23:$U$23,0)))*(VLOOKUP($B147,INDIRECT($B$5&amp;"生成成长"),3))*(VLOOKUP($B$5,标准坦克设计!$B$14:$K$20,9)/30))</f>
        <v>10.068163465008636</v>
      </c>
      <c r="AC147" s="172">
        <f ca="1">(VLOOKUP(AC$72,INDIRECT($C$5&amp;"生成成长"),2))/((VLOOKUP($B147,INDIRECT($B$5&amp;"生成成长"),4))/(VLOOKUP(AC$72,INDIRECT($C$5&amp;"生成成长"),5))*(VLOOKUP($B$5,标准坦克设计!$B$24:$U$30,MATCH("对"&amp;LEFT($C$5,2)&amp;"输出",标准坦克设计!$B$23:$U$23,0)))*(VLOOKUP($B147,INDIRECT($B$5&amp;"生成成长"),3))*(VLOOKUP($B$5,标准坦克设计!$B$14:$K$20,9)/30))</f>
        <v>10.991383827381483</v>
      </c>
      <c r="AD147" s="172">
        <f ca="1">(VLOOKUP(AD$72,INDIRECT($C$5&amp;"生成成长"),2))/((VLOOKUP($B147,INDIRECT($B$5&amp;"生成成长"),4))/(VLOOKUP(AD$72,INDIRECT($C$5&amp;"生成成长"),5))*(VLOOKUP($B$5,标准坦克设计!$B$24:$U$30,MATCH("对"&amp;LEFT($C$5,2)&amp;"输出",标准坦克设计!$B$23:$U$23,0)))*(VLOOKUP($B147,INDIRECT($B$5&amp;"生成成长"),3))*(VLOOKUP($B$5,标准坦克设计!$B$14:$K$20,9)/30))</f>
        <v>11.955096310911037</v>
      </c>
      <c r="AE147" s="172">
        <f ca="1">(VLOOKUP(AE$72,INDIRECT($C$5&amp;"生成成长"),2))/((VLOOKUP($B147,INDIRECT($B$5&amp;"生成成长"),4))/(VLOOKUP(AE$72,INDIRECT($C$5&amp;"生成成长"),5))*(VLOOKUP($B$5,标准坦克设计!$B$24:$U$30,MATCH("对"&amp;LEFT($C$5,2)&amp;"输出",标准坦克设计!$B$23:$U$23,0)))*(VLOOKUP($B147,INDIRECT($B$5&amp;"生成成长"),3))*(VLOOKUP($B$5,标准坦克设计!$B$14:$K$20,9)/30))</f>
        <v>12.959300915597291</v>
      </c>
      <c r="AF147" s="172">
        <f ca="1">(VLOOKUP(AF$72,INDIRECT($C$5&amp;"生成成长"),2))/((VLOOKUP($B147,INDIRECT($B$5&amp;"生成成长"),4))/(VLOOKUP(AF$72,INDIRECT($C$5&amp;"生成成长"),5))*(VLOOKUP($B$5,标准坦克设计!$B$24:$U$30,MATCH("对"&amp;LEFT($C$5,2)&amp;"输出",标准坦克设计!$B$23:$U$23,0)))*(VLOOKUP($B147,INDIRECT($B$5&amp;"生成成长"),3))*(VLOOKUP($B$5,标准坦克设计!$B$14:$K$20,9)/30))</f>
        <v>14.003997641440254</v>
      </c>
      <c r="AG147" s="172">
        <f ca="1">(VLOOKUP(AG$72,INDIRECT($C$5&amp;"生成成长"),2))/((VLOOKUP($B147,INDIRECT($B$5&amp;"生成成长"),4))/(VLOOKUP(AG$72,INDIRECT($C$5&amp;"生成成长"),5))*(VLOOKUP($B$5,标准坦克设计!$B$24:$U$30,MATCH("对"&amp;LEFT($C$5,2)&amp;"输出",标准坦克设计!$B$23:$U$23,0)))*(VLOOKUP($B147,INDIRECT($B$5&amp;"生成成长"),3))*(VLOOKUP($B$5,标准坦克设计!$B$14:$K$20,9)/30))</f>
        <v>15.089186488439919</v>
      </c>
      <c r="AH147" s="172">
        <f ca="1">(VLOOKUP(AH$72,INDIRECT($C$5&amp;"生成成长"),2))/((VLOOKUP($B147,INDIRECT($B$5&amp;"生成成长"),4))/(VLOOKUP(AH$72,INDIRECT($C$5&amp;"生成成长"),5))*(VLOOKUP($B$5,标准坦克设计!$B$24:$U$30,MATCH("对"&amp;LEFT($C$5,2)&amp;"输出",标准坦克设计!$B$23:$U$23,0)))*(VLOOKUP($B147,INDIRECT($B$5&amp;"生成成长"),3))*(VLOOKUP($B$5,标准坦克设计!$B$14:$K$20,9)/30))</f>
        <v>16.214867456596284</v>
      </c>
      <c r="AI147" s="172">
        <f ca="1">(VLOOKUP(AI$72,INDIRECT($C$5&amp;"生成成长"),2))/((VLOOKUP($B147,INDIRECT($B$5&amp;"生成成长"),4))/(VLOOKUP(AI$72,INDIRECT($C$5&amp;"生成成长"),5))*(VLOOKUP($B$5,标准坦克设计!$B$24:$U$30,MATCH("对"&amp;LEFT($C$5,2)&amp;"输出",标准坦克设计!$B$23:$U$23,0)))*(VLOOKUP($B147,INDIRECT($B$5&amp;"生成成长"),3))*(VLOOKUP($B$5,标准坦克设计!$B$14:$K$20,9)/30))</f>
        <v>11.468178554001673</v>
      </c>
      <c r="AJ147" s="172">
        <f ca="1">(VLOOKUP(AJ$72,INDIRECT($C$5&amp;"生成成长"),2))/((VLOOKUP($B147,INDIRECT($B$5&amp;"生成成长"),4))/(VLOOKUP(AJ$72,INDIRECT($C$5&amp;"生成成长"),5))*(VLOOKUP($B$5,标准坦克设计!$B$24:$U$30,MATCH("对"&amp;LEFT($C$5,2)&amp;"输出",标准坦克设计!$B$23:$U$23,0)))*(VLOOKUP($B147,INDIRECT($B$5&amp;"生成成长"),3))*(VLOOKUP($B$5,标准坦克设计!$B$14:$K$20,9)/30))</f>
        <v>12.552760019183987</v>
      </c>
      <c r="AK147" s="172">
        <f ca="1">(VLOOKUP(AK$72,INDIRECT($C$5&amp;"生成成长"),2))/((VLOOKUP($B147,INDIRECT($B$5&amp;"生成成长"),4))/(VLOOKUP(AK$72,INDIRECT($C$5&amp;"生成成长"),5))*(VLOOKUP($B$5,标准坦克设计!$B$24:$U$30,MATCH("对"&amp;LEFT($C$5,2)&amp;"输出",标准坦克设计!$B$23:$U$23,0)))*(VLOOKUP($B147,INDIRECT($B$5&amp;"生成成长"),3))*(VLOOKUP($B$5,标准坦克设计!$B$14:$K$20,9)/30))</f>
        <v>13.686336950965913</v>
      </c>
      <c r="AL147" s="172">
        <f ca="1">(VLOOKUP(AL$72,INDIRECT($C$5&amp;"生成成长"),2))/((VLOOKUP($B147,INDIRECT($B$5&amp;"生成成长"),4))/(VLOOKUP(AL$72,INDIRECT($C$5&amp;"生成成长"),5))*(VLOOKUP($B$5,标准坦克设计!$B$24:$U$30,MATCH("对"&amp;LEFT($C$5,2)&amp;"输出",标准坦克设计!$B$23:$U$23,0)))*(VLOOKUP($B147,INDIRECT($B$5&amp;"生成成长"),3))*(VLOOKUP($B$5,标准坦克设计!$B$14:$K$20,9)/30))</f>
        <v>14.868909349347447</v>
      </c>
      <c r="AM147" s="172">
        <f ca="1">(VLOOKUP(AM$72,INDIRECT($C$5&amp;"生成成长"),2))/((VLOOKUP($B147,INDIRECT($B$5&amp;"生成成长"),4))/(VLOOKUP(AM$72,INDIRECT($C$5&amp;"生成成长"),5))*(VLOOKUP($B$5,标准坦克设计!$B$24:$U$30,MATCH("对"&amp;LEFT($C$5,2)&amp;"输出",标准坦克设计!$B$23:$U$23,0)))*(VLOOKUP($B147,INDIRECT($B$5&amp;"生成成长"),3))*(VLOOKUP($B$5,标准坦克设计!$B$14:$K$20,9)/30))</f>
        <v>16.100477214328595</v>
      </c>
      <c r="AN147" s="172">
        <f ca="1">(VLOOKUP(AN$72,INDIRECT($C$5&amp;"生成成长"),2))/((VLOOKUP($B147,INDIRECT($B$5&amp;"生成成长"),4))/(VLOOKUP(AN$72,INDIRECT($C$5&amp;"生成成长"),5))*(VLOOKUP($B$5,标准坦克设计!$B$24:$U$30,MATCH("对"&amp;LEFT($C$5,2)&amp;"输出",标准坦克设计!$B$23:$U$23,0)))*(VLOOKUP($B147,INDIRECT($B$5&amp;"生成成长"),3))*(VLOOKUP($B$5,标准坦克设计!$B$14:$K$20,9)/30))</f>
        <v>17.381040545909354</v>
      </c>
      <c r="AO147" s="172">
        <f ca="1">(VLOOKUP(AO$72,INDIRECT($C$5&amp;"生成成长"),2))/((VLOOKUP($B147,INDIRECT($B$5&amp;"生成成长"),4))/(VLOOKUP(AO$72,INDIRECT($C$5&amp;"生成成长"),5))*(VLOOKUP($B$5,标准坦克设计!$B$24:$U$30,MATCH("对"&amp;LEFT($C$5,2)&amp;"输出",标准坦克设计!$B$23:$U$23,0)))*(VLOOKUP($B147,INDIRECT($B$5&amp;"生成成长"),3))*(VLOOKUP($B$5,标准坦克设计!$B$14:$K$20,9)/30))</f>
        <v>18.710599344089726</v>
      </c>
      <c r="AP147" s="172">
        <f ca="1">(VLOOKUP(AP$72,INDIRECT($C$5&amp;"生成成长"),2))/((VLOOKUP($B147,INDIRECT($B$5&amp;"生成成长"),4))/(VLOOKUP(AP$72,INDIRECT($C$5&amp;"生成成长"),5))*(VLOOKUP($B$5,标准坦克设计!$B$24:$U$30,MATCH("对"&amp;LEFT($C$5,2)&amp;"输出",标准坦克设计!$B$23:$U$23,0)))*(VLOOKUP($B147,INDIRECT($B$5&amp;"生成成长"),3))*(VLOOKUP($B$5,标准坦克设计!$B$14:$K$20,9)/30))</f>
        <v>20.089153608869712</v>
      </c>
      <c r="AQ147" s="172">
        <f ca="1">(VLOOKUP(AQ$72,INDIRECT($C$5&amp;"生成成长"),2))/((VLOOKUP($B147,INDIRECT($B$5&amp;"生成成长"),4))/(VLOOKUP(AQ$72,INDIRECT($C$5&amp;"生成成长"),5))*(VLOOKUP($B$5,标准坦克设计!$B$24:$U$30,MATCH("对"&amp;LEFT($C$5,2)&amp;"输出",标准坦克设计!$B$23:$U$23,0)))*(VLOOKUP($B147,INDIRECT($B$5&amp;"生成成长"),3))*(VLOOKUP($B$5,标准坦克设计!$B$14:$K$20,9)/30))</f>
        <v>21.516703340249304</v>
      </c>
      <c r="AR147" s="172">
        <f ca="1">(VLOOKUP(AR$72,INDIRECT($C$5&amp;"生成成长"),2))/((VLOOKUP($B147,INDIRECT($B$5&amp;"生成成长"),4))/(VLOOKUP(AR$72,INDIRECT($C$5&amp;"生成成长"),5))*(VLOOKUP($B$5,标准坦克设计!$B$24:$U$30,MATCH("对"&amp;LEFT($C$5,2)&amp;"输出",标准坦克设计!$B$23:$U$23,0)))*(VLOOKUP($B147,INDIRECT($B$5&amp;"生成成长"),3))*(VLOOKUP($B$5,标准坦克设计!$B$14:$K$20,9)/30))</f>
        <v>22.993248538228514</v>
      </c>
      <c r="AS147" s="172">
        <f ca="1">(VLOOKUP(AS$72,INDIRECT($C$5&amp;"生成成长"),2))/((VLOOKUP($B147,INDIRECT($B$5&amp;"生成成长"),4))/(VLOOKUP(AS$72,INDIRECT($C$5&amp;"生成成长"),5))*(VLOOKUP($B$5,标准坦克设计!$B$24:$U$30,MATCH("对"&amp;LEFT($C$5,2)&amp;"输出",标准坦克设计!$B$23:$U$23,0)))*(VLOOKUP($B147,INDIRECT($B$5&amp;"生成成长"),3))*(VLOOKUP($B$5,标准坦克设计!$B$14:$K$20,9)/30))</f>
        <v>24.518789202807326</v>
      </c>
      <c r="AT147" s="172">
        <f ca="1">(VLOOKUP(AT$72,INDIRECT($C$5&amp;"生成成长"),2))/((VLOOKUP($B147,INDIRECT($B$5&amp;"生成成长"),4))/(VLOOKUP(AT$72,INDIRECT($C$5&amp;"生成成长"),5))*(VLOOKUP($B$5,标准坦克设计!$B$24:$U$30,MATCH("对"&amp;LEFT($C$5,2)&amp;"输出",标准坦克设计!$B$23:$U$23,0)))*(VLOOKUP($B147,INDIRECT($B$5&amp;"生成成长"),3))*(VLOOKUP($B$5,标准坦克设计!$B$14:$K$20,9)/30))</f>
        <v>26.093325333985764</v>
      </c>
      <c r="AU147" s="172">
        <f ca="1">(VLOOKUP(AU$72,INDIRECT($C$5&amp;"生成成长"),2))/((VLOOKUP($B147,INDIRECT($B$5&amp;"生成成长"),4))/(VLOOKUP(AU$72,INDIRECT($C$5&amp;"生成成长"),5))*(VLOOKUP($B$5,标准坦克设计!$B$24:$U$30,MATCH("对"&amp;LEFT($C$5,2)&amp;"输出",标准坦克设计!$B$23:$U$23,0)))*(VLOOKUP($B147,INDIRECT($B$5&amp;"生成成长"),3))*(VLOOKUP($B$5,标准坦克设计!$B$14:$K$20,9)/30))</f>
        <v>27.716856931763807</v>
      </c>
      <c r="AV147" s="172">
        <f ca="1">(VLOOKUP(AV$72,INDIRECT($C$5&amp;"生成成长"),2))/((VLOOKUP($B147,INDIRECT($B$5&amp;"生成成长"),4))/(VLOOKUP(AV$72,INDIRECT($C$5&amp;"生成成长"),5))*(VLOOKUP($B$5,标准坦克设计!$B$24:$U$30,MATCH("对"&amp;LEFT($C$5,2)&amp;"输出",标准坦克设计!$B$23:$U$23,0)))*(VLOOKUP($B147,INDIRECT($B$5&amp;"生成成长"),3))*(VLOOKUP($B$5,标准坦克设计!$B$14:$K$20,9)/30))</f>
        <v>2.819061474929724</v>
      </c>
      <c r="AW147" s="172">
        <f ca="1">(VLOOKUP(AW$72,INDIRECT($C$5&amp;"生成成长"),2))/((VLOOKUP($B147,INDIRECT($B$5&amp;"生成成长"),4))/(VLOOKUP(AW$72,INDIRECT($C$5&amp;"生成成长"),5))*(VLOOKUP($B$5,标准坦克设计!$B$24:$U$30,MATCH("对"&amp;LEFT($C$5,2)&amp;"输出",标准坦克设计!$B$23:$U$23,0)))*(VLOOKUP($B147,INDIRECT($B$5&amp;"生成成长"),3))*(VLOOKUP($B$5,标准坦克设计!$B$14:$K$20,9)/30))</f>
        <v>3.2142645774191538</v>
      </c>
      <c r="AX147" s="172">
        <f ca="1">(VLOOKUP(AX$72,INDIRECT($C$5&amp;"生成成长"),2))/((VLOOKUP($B147,INDIRECT($B$5&amp;"生成成长"),4))/(VLOOKUP(AX$72,INDIRECT($C$5&amp;"生成成长"),5))*(VLOOKUP($B$5,标准坦克设计!$B$24:$U$30,MATCH("对"&amp;LEFT($C$5,2)&amp;"输出",标准坦克设计!$B$23:$U$23,0)))*(VLOOKUP($B147,INDIRECT($B$5&amp;"生成成长"),3))*(VLOOKUP($B$5,标准坦克设计!$B$14:$K$20,9)/30))</f>
        <v>3.635382637448874</v>
      </c>
      <c r="AY147" s="172">
        <f ca="1">(VLOOKUP(AY$72,INDIRECT($C$5&amp;"生成成长"),2))/((VLOOKUP($B147,INDIRECT($B$5&amp;"生成成长"),4))/(VLOOKUP(AY$72,INDIRECT($C$5&amp;"生成成长"),5))*(VLOOKUP($B$5,标准坦克设计!$B$24:$U$30,MATCH("对"&amp;LEFT($C$5,2)&amp;"输出",标准坦克设计!$B$23:$U$23,0)))*(VLOOKUP($B147,INDIRECT($B$5&amp;"生成成长"),3))*(VLOOKUP($B$5,标准坦克设计!$B$14:$K$20,9)/30))</f>
        <v>4.0824156550188846</v>
      </c>
      <c r="AZ147" s="172">
        <f ca="1">(VLOOKUP(AZ$72,INDIRECT($C$5&amp;"生成成长"),2))/((VLOOKUP($B147,INDIRECT($B$5&amp;"生成成长"),4))/(VLOOKUP(AZ$72,INDIRECT($C$5&amp;"生成成长"),5))*(VLOOKUP($B$5,标准坦克设计!$B$24:$U$30,MATCH("对"&amp;LEFT($C$5,2)&amp;"输出",标准坦克设计!$B$23:$U$23,0)))*(VLOOKUP($B147,INDIRECT($B$5&amp;"生成成长"),3))*(VLOOKUP($B$5,标准坦克设计!$B$14:$K$20,9)/30))</f>
        <v>4.5553636301291869</v>
      </c>
      <c r="BA147" s="172">
        <f ca="1">(VLOOKUP(BA$72,INDIRECT($C$5&amp;"生成成长"),2))/((VLOOKUP($B147,INDIRECT($B$5&amp;"生成成长"),4))/(VLOOKUP(BA$72,INDIRECT($C$5&amp;"生成成长"),5))*(VLOOKUP($B$5,标准坦克设计!$B$24:$U$30,MATCH("对"&amp;LEFT($C$5,2)&amp;"输出",标准坦克设计!$B$23:$U$23,0)))*(VLOOKUP($B147,INDIRECT($B$5&amp;"生成成长"),3))*(VLOOKUP($B$5,标准坦克设计!$B$14:$K$20,9)/30))</f>
        <v>5.0542265627797773</v>
      </c>
      <c r="BB147" s="172">
        <f ca="1">(VLOOKUP(BB$72,INDIRECT($C$5&amp;"生成成长"),2))/((VLOOKUP($B147,INDIRECT($B$5&amp;"生成成长"),4))/(VLOOKUP(BB$72,INDIRECT($C$5&amp;"生成成长"),5))*(VLOOKUP($B$5,标准坦克设计!$B$24:$U$30,MATCH("对"&amp;LEFT($C$5,2)&amp;"输出",标准坦克设计!$B$23:$U$23,0)))*(VLOOKUP($B147,INDIRECT($B$5&amp;"生成成长"),3))*(VLOOKUP($B$5,标准坦克设计!$B$14:$K$20,9)/30))</f>
        <v>5.5790044529706595</v>
      </c>
      <c r="BC147" s="172">
        <f ca="1">(VLOOKUP(BC$72,INDIRECT($C$5&amp;"生成成长"),2))/((VLOOKUP($B147,INDIRECT($B$5&amp;"生成成长"),4))/(VLOOKUP(BC$72,INDIRECT($C$5&amp;"生成成长"),5))*(VLOOKUP($B$5,标准坦克设计!$B$24:$U$30,MATCH("对"&amp;LEFT($C$5,2)&amp;"输出",标准坦克设计!$B$23:$U$23,0)))*(VLOOKUP($B147,INDIRECT($B$5&amp;"生成成长"),3))*(VLOOKUP($B$5,标准坦克设计!$B$14:$K$20,9)/30))</f>
        <v>6.1296973007018316</v>
      </c>
      <c r="BD147" s="172">
        <f ca="1">(VLOOKUP(BD$72,INDIRECT($C$5&amp;"生成成长"),2))/((VLOOKUP($B147,INDIRECT($B$5&amp;"生成成长"),4))/(VLOOKUP(BD$72,INDIRECT($C$5&amp;"生成成长"),5))*(VLOOKUP($B$5,标准坦克设计!$B$24:$U$30,MATCH("对"&amp;LEFT($C$5,2)&amp;"输出",标准坦克设计!$B$23:$U$23,0)))*(VLOOKUP($B147,INDIRECT($B$5&amp;"生成成长"),3))*(VLOOKUP($B$5,标准坦克设计!$B$14:$K$20,9)/30))</f>
        <v>6.7802032270842805</v>
      </c>
      <c r="BE147" s="172">
        <f ca="1">(VLOOKUP(BE$72,INDIRECT($C$5&amp;"生成成长"),2))/((VLOOKUP($B147,INDIRECT($B$5&amp;"生成成长"),4))/(VLOOKUP(BE$72,INDIRECT($C$5&amp;"生成成长"),5))*(VLOOKUP($B$5,标准坦克设计!$B$24:$U$30,MATCH("对"&amp;LEFT($C$5,2)&amp;"输出",标准坦克设计!$B$23:$U$23,0)))*(VLOOKUP($B147,INDIRECT($B$5&amp;"生成成长"),3))*(VLOOKUP($B$5,标准坦克设计!$B$14:$K$20,9)/30))</f>
        <v>7.4635077716036582</v>
      </c>
      <c r="BF147" s="172">
        <f ca="1">(VLOOKUP(BF$72,INDIRECT($C$5&amp;"生成成长"),2))/((VLOOKUP($B147,INDIRECT($B$5&amp;"生成成长"),4))/(VLOOKUP(BF$72,INDIRECT($C$5&amp;"生成成长"),5))*(VLOOKUP($B$5,标准坦克设计!$B$24:$U$30,MATCH("对"&amp;LEFT($C$5,2)&amp;"输出",标准坦克设计!$B$23:$U$23,0)))*(VLOOKUP($B147,INDIRECT($B$5&amp;"生成成长"),3))*(VLOOKUP($B$5,标准坦克设计!$B$14:$K$20,9)/30))</f>
        <v>8.1796109342599657</v>
      </c>
      <c r="BG147" s="172">
        <f ca="1">(VLOOKUP(BG$72,INDIRECT($C$5&amp;"生成成长"),2))/((VLOOKUP($B147,INDIRECT($B$5&amp;"生成成长"),4))/(VLOOKUP(BG$72,INDIRECT($C$5&amp;"生成成长"),5))*(VLOOKUP($B$5,标准坦克设计!$B$24:$U$30,MATCH("对"&amp;LEFT($C$5,2)&amp;"输出",标准坦克设计!$B$23:$U$23,0)))*(VLOOKUP($B147,INDIRECT($B$5&amp;"生成成长"),3))*(VLOOKUP($B$5,标准坦克设计!$B$14:$K$20,9)/30))</f>
        <v>8.9285127150532038</v>
      </c>
      <c r="BH147" s="172">
        <f ca="1">(VLOOKUP(BH$72,INDIRECT($C$5&amp;"生成成长"),2))/((VLOOKUP($B147,INDIRECT($B$5&amp;"生成成长"),4))/(VLOOKUP(BH$72,INDIRECT($C$5&amp;"生成成长"),5))*(VLOOKUP($B$5,标准坦克设计!$B$24:$U$30,MATCH("对"&amp;LEFT($C$5,2)&amp;"输出",标准坦克设计!$B$23:$U$23,0)))*(VLOOKUP($B147,INDIRECT($B$5&amp;"生成成长"),3))*(VLOOKUP($B$5,标准坦克设计!$B$14:$K$20,9)/30))</f>
        <v>4.3156502728814994</v>
      </c>
      <c r="BI147" s="172">
        <f ca="1">(VLOOKUP(BI$72,INDIRECT($C$5&amp;"生成成长"),2))/((VLOOKUP($B147,INDIRECT($B$5&amp;"生成成长"),4))/(VLOOKUP(BI$72,INDIRECT($C$5&amp;"生成成长"),5))*(VLOOKUP($B$5,标准坦克设计!$B$24:$U$30,MATCH("对"&amp;LEFT($C$5,2)&amp;"输出",标准坦克设计!$B$23:$U$23,0)))*(VLOOKUP($B147,INDIRECT($B$5&amp;"生成成长"),3))*(VLOOKUP($B$5,标准坦克设计!$B$14:$K$20,9)/30))</f>
        <v>4.8641160539490533</v>
      </c>
      <c r="BJ147" s="172">
        <f ca="1">(VLOOKUP(BJ$72,INDIRECT($C$5&amp;"生成成长"),2))/((VLOOKUP($B147,INDIRECT($B$5&amp;"生成成长"),4))/(VLOOKUP(BJ$72,INDIRECT($C$5&amp;"生成成长"),5))*(VLOOKUP($B$5,标准坦克设计!$B$24:$U$30,MATCH("对"&amp;LEFT($C$5,2)&amp;"输出",标准坦克设计!$B$23:$U$23,0)))*(VLOOKUP($B147,INDIRECT($B$5&amp;"生成成长"),3))*(VLOOKUP($B$5,标准坦克设计!$B$14:$K$20,9)/30))</f>
        <v>5.445380453153537</v>
      </c>
      <c r="BK147" s="172">
        <f ca="1">(VLOOKUP(BK$72,INDIRECT($C$5&amp;"生成成长"),2))/((VLOOKUP($B147,INDIRECT($B$5&amp;"生成成长"),4))/(VLOOKUP(BK$72,INDIRECT($C$5&amp;"生成成长"),5))*(VLOOKUP($B$5,标准坦克设计!$B$24:$U$30,MATCH("对"&amp;LEFT($C$5,2)&amp;"输出",标准坦克设计!$B$23:$U$23,0)))*(VLOOKUP($B147,INDIRECT($B$5&amp;"生成成长"),3))*(VLOOKUP($B$5,标准坦克设计!$B$14:$K$20,9)/30))</f>
        <v>6.0594434704949505</v>
      </c>
      <c r="BL147" s="172">
        <f ca="1">(VLOOKUP(BL$72,INDIRECT($C$5&amp;"生成成长"),2))/((VLOOKUP($B147,INDIRECT($B$5&amp;"生成成长"),4))/(VLOOKUP(BL$72,INDIRECT($C$5&amp;"生成成长"),5))*(VLOOKUP($B$5,标准坦克设计!$B$24:$U$30,MATCH("对"&amp;LEFT($C$5,2)&amp;"输出",标准坦克设计!$B$23:$U$23,0)))*(VLOOKUP($B147,INDIRECT($B$5&amp;"生成成长"),3))*(VLOOKUP($B$5,标准坦克设计!$B$14:$K$20,9)/30))</f>
        <v>6.7063051059732963</v>
      </c>
      <c r="BM147" s="172">
        <f ca="1">(VLOOKUP(BM$72,INDIRECT($C$5&amp;"生成成长"),2))/((VLOOKUP($B147,INDIRECT($B$5&amp;"生成成长"),4))/(VLOOKUP(BM$72,INDIRECT($C$5&amp;"生成成长"),5))*(VLOOKUP($B$5,标准坦克设计!$B$24:$U$30,MATCH("对"&amp;LEFT($C$5,2)&amp;"输出",标准坦克设计!$B$23:$U$23,0)))*(VLOOKUP($B147,INDIRECT($B$5&amp;"生成成长"),3))*(VLOOKUP($B$5,标准坦克设计!$B$14:$K$20,9)/30))</f>
        <v>7.3859653595885693</v>
      </c>
      <c r="BN147" s="172">
        <f ca="1">(VLOOKUP(BN$72,INDIRECT($C$5&amp;"生成成长"),2))/((VLOOKUP($B147,INDIRECT($B$5&amp;"生成成长"),4))/(VLOOKUP(BN$72,INDIRECT($C$5&amp;"生成成长"),5))*(VLOOKUP($B$5,标准坦克设计!$B$24:$U$30,MATCH("对"&amp;LEFT($C$5,2)&amp;"输出",标准坦克设计!$B$23:$U$23,0)))*(VLOOKUP($B147,INDIRECT($B$5&amp;"生成成长"),3))*(VLOOKUP($B$5,标准坦克设计!$B$14:$K$20,9)/30))</f>
        <v>8.0984242313407773</v>
      </c>
      <c r="BO147" s="172">
        <f ca="1">(VLOOKUP(BO$72,INDIRECT($C$5&amp;"生成成长"),2))/((VLOOKUP($B147,INDIRECT($B$5&amp;"生成成长"),4))/(VLOOKUP(BO$72,INDIRECT($C$5&amp;"生成成长"),5))*(VLOOKUP($B$5,标准坦克设计!$B$24:$U$30,MATCH("对"&amp;LEFT($C$5,2)&amp;"输出",标准坦克设计!$B$23:$U$23,0)))*(VLOOKUP($B147,INDIRECT($B$5&amp;"生成成长"),3))*(VLOOKUP($B$5,标准坦克设计!$B$14:$K$20,9)/30))</f>
        <v>8.8436817212299115</v>
      </c>
      <c r="BP147" s="172">
        <f ca="1">(VLOOKUP(BP$72,INDIRECT($C$5&amp;"生成成长"),2))/((VLOOKUP($B147,INDIRECT($B$5&amp;"生成成长"),4))/(VLOOKUP(BP$72,INDIRECT($C$5&amp;"生成成长"),5))*(VLOOKUP($B$5,标准坦克设计!$B$24:$U$30,MATCH("对"&amp;LEFT($C$5,2)&amp;"输出",标准坦克设计!$B$23:$U$23,0)))*(VLOOKUP($B147,INDIRECT($B$5&amp;"生成成长"),3))*(VLOOKUP($B$5,标准坦克设计!$B$14:$K$20,9)/30))</f>
        <v>9.6217378292559754</v>
      </c>
      <c r="BQ147" s="172">
        <f ca="1">(VLOOKUP(BQ$72,INDIRECT($C$5&amp;"生成成长"),2))/((VLOOKUP($B147,INDIRECT($B$5&amp;"生成成长"),4))/(VLOOKUP(BQ$72,INDIRECT($C$5&amp;"生成成长"),5))*(VLOOKUP($B$5,标准坦克设计!$B$24:$U$30,MATCH("对"&amp;LEFT($C$5,2)&amp;"输出",标准坦克设计!$B$23:$U$23,0)))*(VLOOKUP($B147,INDIRECT($B$5&amp;"生成成长"),3))*(VLOOKUP($B$5,标准坦克设计!$B$14:$K$20,9)/30))</f>
        <v>10.432592555418969</v>
      </c>
      <c r="BR147" s="172">
        <f ca="1">(VLOOKUP(BR$72,INDIRECT($C$5&amp;"生成成长"),2))/((VLOOKUP($B147,INDIRECT($B$5&amp;"生成成长"),4))/(VLOOKUP(BR$72,INDIRECT($C$5&amp;"生成成长"),5))*(VLOOKUP($B$5,标准坦克设计!$B$24:$U$30,MATCH("对"&amp;LEFT($C$5,2)&amp;"输出",标准坦克设计!$B$23:$U$23,0)))*(VLOOKUP($B147,INDIRECT($B$5&amp;"生成成长"),3))*(VLOOKUP($B$5,标准坦克设计!$B$14:$K$20,9)/30))</f>
        <v>11.3720097662545</v>
      </c>
      <c r="BS147" s="172">
        <f ca="1">(VLOOKUP(BS$72,INDIRECT($C$5&amp;"生成成长"),2))/((VLOOKUP($B147,INDIRECT($B$5&amp;"生成成长"),4))/(VLOOKUP(BS$72,INDIRECT($C$5&amp;"生成成长"),5))*(VLOOKUP($B$5,标准坦克设计!$B$24:$U$30,MATCH("对"&amp;LEFT($C$5,2)&amp;"输出",标准坦克设计!$B$23:$U$23,0)))*(VLOOKUP($B147,INDIRECT($B$5&amp;"生成成长"),3))*(VLOOKUP($B$5,标准坦克设计!$B$14:$K$20,9)/30))</f>
        <v>12.351919098246736</v>
      </c>
      <c r="BT147" s="172">
        <f ca="1">(VLOOKUP(BT$72,INDIRECT($C$5&amp;"生成成长"),2))/((VLOOKUP($B147,INDIRECT($B$5&amp;"生成成长"),4))/(VLOOKUP(BT$72,INDIRECT($C$5&amp;"生成成长"),5))*(VLOOKUP($B$5,标准坦克设计!$B$24:$U$30,MATCH("对"&amp;LEFT($C$5,2)&amp;"输出",标准坦克设计!$B$23:$U$23,0)))*(VLOOKUP($B147,INDIRECT($B$5&amp;"生成成长"),3))*(VLOOKUP($B$5,标准坦克设计!$B$14:$K$20,9)/30))</f>
        <v>13.372320551395671</v>
      </c>
      <c r="BU147" s="172">
        <f ca="1">(VLOOKUP(BU$72,INDIRECT($C$5&amp;"生成成长"),2))/((VLOOKUP($B147,INDIRECT($B$5&amp;"生成成长"),4))/(VLOOKUP(BU$72,INDIRECT($C$5&amp;"生成成长"),5))*(VLOOKUP($B$5,标准坦克设计!$B$24:$U$30,MATCH("对"&amp;LEFT($C$5,2)&amp;"输出",标准坦克设计!$B$23:$U$23,0)))*(VLOOKUP($B147,INDIRECT($B$5&amp;"生成成长"),3))*(VLOOKUP($B$5,标准坦克设计!$B$14:$K$20,9)/30))</f>
        <v>14.433214125701312</v>
      </c>
      <c r="BV147" s="172">
        <f ca="1">(VLOOKUP(BV$72,INDIRECT($C$5&amp;"生成成长"),2))/((VLOOKUP($B147,INDIRECT($B$5&amp;"生成成长"),4))/(VLOOKUP(BV$72,INDIRECT($C$5&amp;"生成成长"),5))*(VLOOKUP($B$5,标准坦克设计!$B$24:$U$30,MATCH("对"&amp;LEFT($C$5,2)&amp;"输出",标准坦克设计!$B$23:$U$23,0)))*(VLOOKUP($B147,INDIRECT($B$5&amp;"生成成长"),3))*(VLOOKUP($B$5,标准坦克设计!$B$14:$K$20,9)/30))</f>
        <v>15.53459982116366</v>
      </c>
      <c r="BW147" s="172">
        <f ca="1">(VLOOKUP(BW$72,INDIRECT($C$5&amp;"生成成长"),2))/((VLOOKUP($B147,INDIRECT($B$5&amp;"生成成长"),4))/(VLOOKUP(BW$72,INDIRECT($C$5&amp;"生成成长"),5))*(VLOOKUP($B$5,标准坦克设计!$B$24:$U$30,MATCH("对"&amp;LEFT($C$5,2)&amp;"输出",标准坦克设计!$B$23:$U$23,0)))*(VLOOKUP($B147,INDIRECT($B$5&amp;"生成成长"),3))*(VLOOKUP($B$5,标准坦克设计!$B$14:$K$20,9)/30))</f>
        <v>7.0798449236438907</v>
      </c>
      <c r="BX147" s="172">
        <f ca="1">(VLOOKUP(BX$72,INDIRECT($C$5&amp;"生成成长"),2))/((VLOOKUP($B147,INDIRECT($B$5&amp;"生成成长"),4))/(VLOOKUP(BX$72,INDIRECT($C$5&amp;"生成成长"),5))*(VLOOKUP($B$5,标准坦克设计!$B$24:$U$30,MATCH("对"&amp;LEFT($C$5,2)&amp;"输出",标准坦克设计!$B$23:$U$23,0)))*(VLOOKUP($B147,INDIRECT($B$5&amp;"生成成长"),3))*(VLOOKUP($B$5,标准坦克设计!$B$14:$K$20,9)/30))</f>
        <v>7.857293649852604</v>
      </c>
      <c r="BY147" s="172">
        <f ca="1">(VLOOKUP(BY$72,INDIRECT($C$5&amp;"生成成长"),2))/((VLOOKUP($B147,INDIRECT($B$5&amp;"生成成长"),4))/(VLOOKUP(BY$72,INDIRECT($C$5&amp;"生成成长"),5))*(VLOOKUP($B$5,标准坦克设计!$B$24:$U$30,MATCH("对"&amp;LEFT($C$5,2)&amp;"输出",标准坦克设计!$B$23:$U$23,0)))*(VLOOKUP($B147,INDIRECT($B$5&amp;"生成成长"),3))*(VLOOKUP($B$5,标准坦克设计!$B$14:$K$20,9)/30))</f>
        <v>8.6752344972180229</v>
      </c>
      <c r="BZ147" s="172">
        <f ca="1">(VLOOKUP(BZ$72,INDIRECT($C$5&amp;"生成成长"),2))/((VLOOKUP($B147,INDIRECT($B$5&amp;"生成成长"),4))/(VLOOKUP(BZ$72,INDIRECT($C$5&amp;"生成成长"),5))*(VLOOKUP($B$5,标准坦克设计!$B$24:$U$30,MATCH("对"&amp;LEFT($C$5,2)&amp;"输出",标准坦克设计!$B$23:$U$23,0)))*(VLOOKUP($B147,INDIRECT($B$5&amp;"生成成长"),3))*(VLOOKUP($B$5,标准坦克设计!$B$14:$K$20,9)/30))</f>
        <v>9.5336674657401446</v>
      </c>
      <c r="CA147" s="172">
        <f ca="1">(VLOOKUP(CA$72,INDIRECT($C$5&amp;"生成成长"),2))/((VLOOKUP($B147,INDIRECT($B$5&amp;"生成成长"),4))/(VLOOKUP(CA$72,INDIRECT($C$5&amp;"生成成长"),5))*(VLOOKUP($B$5,标准坦克设计!$B$24:$U$30,MATCH("对"&amp;LEFT($C$5,2)&amp;"输出",标准坦克设计!$B$23:$U$23,0)))*(VLOOKUP($B147,INDIRECT($B$5&amp;"生成成长"),3))*(VLOOKUP($B$5,标准坦克设计!$B$14:$K$20,9)/30))</f>
        <v>10.432592555418969</v>
      </c>
      <c r="CB147" s="172">
        <f ca="1">(VLOOKUP(CB$72,INDIRECT($C$5&amp;"生成成长"),2))/((VLOOKUP($B147,INDIRECT($B$5&amp;"生成成长"),4))/(VLOOKUP(CB$72,INDIRECT($C$5&amp;"生成成长"),5))*(VLOOKUP($B$5,标准坦克设计!$B$24:$U$30,MATCH("对"&amp;LEFT($C$5,2)&amp;"输出",标准坦克设计!$B$23:$U$23,0)))*(VLOOKUP($B147,INDIRECT($B$5&amp;"生成成长"),3))*(VLOOKUP($B$5,标准坦克设计!$B$14:$K$20,9)/30))</f>
        <v>11.3720097662545</v>
      </c>
      <c r="CC147" s="172">
        <f ca="1">(VLOOKUP(CC$72,INDIRECT($C$5&amp;"生成成长"),2))/((VLOOKUP($B147,INDIRECT($B$5&amp;"生成成长"),4))/(VLOOKUP(CC$72,INDIRECT($C$5&amp;"生成成长"),5))*(VLOOKUP($B$5,标准坦克设计!$B$24:$U$30,MATCH("对"&amp;LEFT($C$5,2)&amp;"输出",标准坦克设计!$B$23:$U$23,0)))*(VLOOKUP($B147,INDIRECT($B$5&amp;"生成成长"),3))*(VLOOKUP($B$5,标准坦克设计!$B$14:$K$20,9)/30))</f>
        <v>12.351919098246736</v>
      </c>
      <c r="CD147" s="172">
        <f ca="1">(VLOOKUP(CD$72,INDIRECT($C$5&amp;"生成成长"),2))/((VLOOKUP($B147,INDIRECT($B$5&amp;"生成成长"),4))/(VLOOKUP(CD$72,INDIRECT($C$5&amp;"生成成长"),5))*(VLOOKUP($B$5,标准坦克设计!$B$24:$U$30,MATCH("对"&amp;LEFT($C$5,2)&amp;"输出",标准坦克设计!$B$23:$U$23,0)))*(VLOOKUP($B147,INDIRECT($B$5&amp;"生成成长"),3))*(VLOOKUP($B$5,标准坦克设计!$B$14:$K$20,9)/30))</f>
        <v>13.372320551395671</v>
      </c>
      <c r="CE147" s="172">
        <f ca="1">(VLOOKUP(CE$72,INDIRECT($C$5&amp;"生成成长"),2))/((VLOOKUP($B147,INDIRECT($B$5&amp;"生成成长"),4))/(VLOOKUP(CE$72,INDIRECT($C$5&amp;"生成成长"),5))*(VLOOKUP($B$5,标准坦克设计!$B$24:$U$30,MATCH("对"&amp;LEFT($C$5,2)&amp;"输出",标准坦克设计!$B$23:$U$23,0)))*(VLOOKUP($B147,INDIRECT($B$5&amp;"生成成长"),3))*(VLOOKUP($B$5,标准坦克设计!$B$14:$K$20,9)/30))</f>
        <v>14.433214125701312</v>
      </c>
      <c r="CF147" s="172">
        <f ca="1">(VLOOKUP(CF$72,INDIRECT($C$5&amp;"生成成长"),2))/((VLOOKUP($B147,INDIRECT($B$5&amp;"生成成长"),4))/(VLOOKUP(CF$72,INDIRECT($C$5&amp;"生成成长"),5))*(VLOOKUP($B$5,标准坦克设计!$B$24:$U$30,MATCH("对"&amp;LEFT($C$5,2)&amp;"输出",标准坦克设计!$B$23:$U$23,0)))*(VLOOKUP($B147,INDIRECT($B$5&amp;"生成成长"),3))*(VLOOKUP($B$5,标准坦克设计!$B$14:$K$20,9)/30))</f>
        <v>15.53459982116366</v>
      </c>
      <c r="CG147" s="172">
        <f ca="1">(VLOOKUP(CG$72,INDIRECT($C$5&amp;"生成成长"),2))/((VLOOKUP($B147,INDIRECT($B$5&amp;"生成成长"),4))/(VLOOKUP(CG$72,INDIRECT($C$5&amp;"生成成长"),5))*(VLOOKUP($B$5,标准坦克设计!$B$24:$U$30,MATCH("对"&amp;LEFT($C$5,2)&amp;"输出",标准坦克设计!$B$23:$U$23,0)))*(VLOOKUP($B147,INDIRECT($B$5&amp;"生成成长"),3))*(VLOOKUP($B$5,标准坦克设计!$B$14:$K$20,9)/30))</f>
        <v>16.67647763778271</v>
      </c>
      <c r="CH147" s="172">
        <f ca="1">(VLOOKUP(CH$72,INDIRECT($C$5&amp;"生成成长"),2))/((VLOOKUP($B147,INDIRECT($B$5&amp;"生成成长"),4))/(VLOOKUP(CH$72,INDIRECT($C$5&amp;"生成成长"),5))*(VLOOKUP($B$5,标准坦克设计!$B$24:$U$30,MATCH("对"&amp;LEFT($C$5,2)&amp;"输出",标准坦克设计!$B$23:$U$23,0)))*(VLOOKUP($B147,INDIRECT($B$5&amp;"生成成长"),3))*(VLOOKUP($B$5,标准坦克设计!$B$14:$K$20,9)/30))</f>
        <v>17.85884757555846</v>
      </c>
      <c r="CI147" s="172">
        <f ca="1">(VLOOKUP(CI$72,INDIRECT($C$5&amp;"生成成长"),2))/((VLOOKUP($B147,INDIRECT($B$5&amp;"生成成长"),4))/(VLOOKUP(CI$72,INDIRECT($C$5&amp;"生成成长"),5))*(VLOOKUP($B$5,标准坦克设计!$B$24:$U$30,MATCH("对"&amp;LEFT($C$5,2)&amp;"输出",标准坦克设计!$B$23:$U$23,0)))*(VLOOKUP($B147,INDIRECT($B$5&amp;"生成成长"),3))*(VLOOKUP($B$5,标准坦克设计!$B$14:$K$20,9)/30))</f>
        <v>19.206222907047785</v>
      </c>
      <c r="CJ147" s="172">
        <f ca="1">(VLOOKUP(CJ$72,INDIRECT($C$5&amp;"生成成长"),2))/((VLOOKUP($B147,INDIRECT($B$5&amp;"生成成长"),4))/(VLOOKUP(CJ$72,INDIRECT($C$5&amp;"生成成长"),5))*(VLOOKUP($B$5,标准坦克设计!$B$24:$U$30,MATCH("对"&amp;LEFT($C$5,2)&amp;"输出",标准坦克设计!$B$23:$U$23,0)))*(VLOOKUP($B147,INDIRECT($B$5&amp;"生成成长"),3))*(VLOOKUP($B$5,标准坦克设计!$B$14:$K$20,9)/30))</f>
        <v>20.602593705136712</v>
      </c>
      <c r="CK147" s="172">
        <f ca="1">(VLOOKUP(CK$72,INDIRECT($C$5&amp;"生成成长"),2))/((VLOOKUP($B147,INDIRECT($B$5&amp;"生成成长"),4))/(VLOOKUP(CK$72,INDIRECT($C$5&amp;"生成成长"),5))*(VLOOKUP($B$5,标准坦克设计!$B$24:$U$30,MATCH("对"&amp;LEFT($C$5,2)&amp;"输出",标准坦克设计!$B$23:$U$23,0)))*(VLOOKUP($B147,INDIRECT($B$5&amp;"生成成长"),3))*(VLOOKUP($B$5,标准坦克设计!$B$14:$K$20,9)/30))</f>
        <v>22.047959969825257</v>
      </c>
      <c r="CL147" s="172">
        <f ca="1">(VLOOKUP(CL$72,INDIRECT($C$5&amp;"生成成长"),2))/((VLOOKUP($B147,INDIRECT($B$5&amp;"生成成长"),4))/(VLOOKUP(CL$72,INDIRECT($C$5&amp;"生成成长"),5))*(VLOOKUP($B$5,标准坦克设计!$B$24:$U$30,MATCH("对"&amp;LEFT($C$5,2)&amp;"输出",标准坦克设计!$B$23:$U$23,0)))*(VLOOKUP($B147,INDIRECT($B$5&amp;"生成成长"),3))*(VLOOKUP($B$5,标准坦克设计!$B$14:$K$20,9)/30))</f>
        <v>23.542321701113416</v>
      </c>
      <c r="CM147" s="172">
        <f ca="1">(VLOOKUP(CM$72,INDIRECT($C$5&amp;"生成成长"),2))/((VLOOKUP($B147,INDIRECT($B$5&amp;"生成成长"),4))/(VLOOKUP(CM$72,INDIRECT($C$5&amp;"生成成长"),5))*(VLOOKUP($B$5,标准坦克设计!$B$24:$U$30,MATCH("对"&amp;LEFT($C$5,2)&amp;"输出",标准坦克设计!$B$23:$U$23,0)))*(VLOOKUP($B147,INDIRECT($B$5&amp;"生成成长"),3))*(VLOOKUP($B$5,标准坦克设计!$B$14:$K$20,9)/30))</f>
        <v>25.085678899001188</v>
      </c>
      <c r="CN147" s="172">
        <f ca="1">(VLOOKUP(CN$72,INDIRECT($C$5&amp;"生成成长"),2))/((VLOOKUP($B147,INDIRECT($B$5&amp;"生成成长"),4))/(VLOOKUP(CN$72,INDIRECT($C$5&amp;"生成成长"),5))*(VLOOKUP($B$5,标准坦克设计!$B$24:$U$30,MATCH("对"&amp;LEFT($C$5,2)&amp;"输出",标准坦克设计!$B$23:$U$23,0)))*(VLOOKUP($B147,INDIRECT($B$5&amp;"生成成长"),3))*(VLOOKUP($B$5,标准坦克设计!$B$14:$K$20,9)/30))</f>
        <v>26.67803156348857</v>
      </c>
      <c r="CO147" s="172">
        <f ca="1">(VLOOKUP(CO$72,INDIRECT($C$5&amp;"生成成长"),2))/((VLOOKUP($B147,INDIRECT($B$5&amp;"生成成长"),4))/(VLOOKUP(CO$72,INDIRECT($C$5&amp;"生成成长"),5))*(VLOOKUP($B$5,标准坦克设计!$B$24:$U$30,MATCH("对"&amp;LEFT($C$5,2)&amp;"输出",标准坦克设计!$B$23:$U$23,0)))*(VLOOKUP($B147,INDIRECT($B$5&amp;"生成成长"),3))*(VLOOKUP($B$5,标准坦克设计!$B$14:$K$20,9)/30))</f>
        <v>11.955096310911037</v>
      </c>
      <c r="CP147" s="172">
        <f ca="1">(VLOOKUP(CP$72,INDIRECT($C$5&amp;"生成成长"),2))/((VLOOKUP($B147,INDIRECT($B$5&amp;"生成成长"),4))/(VLOOKUP(CP$72,INDIRECT($C$5&amp;"生成成长"),5))*(VLOOKUP($B$5,标准坦克设计!$B$24:$U$30,MATCH("对"&amp;LEFT($C$5,2)&amp;"输出",标准坦克设计!$B$23:$U$23,0)))*(VLOOKUP($B147,INDIRECT($B$5&amp;"生成成长"),3))*(VLOOKUP($B$5,标准坦克设计!$B$14:$K$20,9)/30))</f>
        <v>13.061948442729536</v>
      </c>
      <c r="CQ147" s="172">
        <f ca="1">(VLOOKUP(CQ$72,INDIRECT($C$5&amp;"生成成长"),2))/((VLOOKUP($B147,INDIRECT($B$5&amp;"生成成长"),4))/(VLOOKUP(CQ$72,INDIRECT($C$5&amp;"生成成长"),5))*(VLOOKUP($B$5,标准坦克设计!$B$24:$U$30,MATCH("对"&amp;LEFT($C$5,2)&amp;"输出",标准坦克设计!$B$23:$U$23,0)))*(VLOOKUP($B147,INDIRECT($B$5&amp;"生成成长"),3))*(VLOOKUP($B$5,标准坦克设计!$B$14:$K$20,9)/30))</f>
        <v>14.217796041147647</v>
      </c>
      <c r="CR147" s="172">
        <f ca="1">(VLOOKUP(CR$72,INDIRECT($C$5&amp;"生成成长"),2))/((VLOOKUP($B147,INDIRECT($B$5&amp;"生成成长"),4))/(VLOOKUP(CR$72,INDIRECT($C$5&amp;"生成成长"),5))*(VLOOKUP($B$5,标准坦克设计!$B$24:$U$30,MATCH("对"&amp;LEFT($C$5,2)&amp;"输出",标准坦克设计!$B$23:$U$23,0)))*(VLOOKUP($B147,INDIRECT($B$5&amp;"生成成长"),3))*(VLOOKUP($B$5,标准坦克设计!$B$14:$K$20,9)/30))</f>
        <v>15.422639106165374</v>
      </c>
      <c r="CS147" s="172">
        <f ca="1">(VLOOKUP(CS$72,INDIRECT($C$5&amp;"生成成长"),2))/((VLOOKUP($B147,INDIRECT($B$5&amp;"生成成长"),4))/(VLOOKUP(CS$72,INDIRECT($C$5&amp;"生成成长"),5))*(VLOOKUP($B$5,标准坦克设计!$B$24:$U$30,MATCH("对"&amp;LEFT($C$5,2)&amp;"输出",标准坦克设计!$B$23:$U$23,0)))*(VLOOKUP($B147,INDIRECT($B$5&amp;"生成成长"),3))*(VLOOKUP($B$5,标准坦克设计!$B$14:$K$20,9)/30))</f>
        <v>16.67647763778271</v>
      </c>
      <c r="CT147" s="172">
        <f ca="1">(VLOOKUP(CT$72,INDIRECT($C$5&amp;"生成成长"),2))/((VLOOKUP($B147,INDIRECT($B$5&amp;"生成成长"),4))/(VLOOKUP(CT$72,INDIRECT($C$5&amp;"生成成长"),5))*(VLOOKUP($B$5,标准坦克设计!$B$24:$U$30,MATCH("对"&amp;LEFT($C$5,2)&amp;"输出",标准坦克设计!$B$23:$U$23,0)))*(VLOOKUP($B147,INDIRECT($B$5&amp;"生成成长"),3))*(VLOOKUP($B$5,标准坦克设计!$B$14:$K$20,9)/30))</f>
        <v>17.979311635999654</v>
      </c>
      <c r="CU147" s="172">
        <f ca="1">(VLOOKUP(CU$72,INDIRECT($C$5&amp;"生成成长"),2))/((VLOOKUP($B147,INDIRECT($B$5&amp;"生成成长"),4))/(VLOOKUP(CU$72,INDIRECT($C$5&amp;"生成成长"),5))*(VLOOKUP($B$5,标准坦克设计!$B$24:$U$30,MATCH("对"&amp;LEFT($C$5,2)&amp;"输出",标准坦克设计!$B$23:$U$23,0)))*(VLOOKUP($B147,INDIRECT($B$5&amp;"生成成长"),3))*(VLOOKUP($B$5,标准坦克设计!$B$14:$K$20,9)/30))</f>
        <v>19.331141100816211</v>
      </c>
      <c r="CV147" s="172">
        <f ca="1">(VLOOKUP(CV$72,INDIRECT($C$5&amp;"生成成长"),2))/((VLOOKUP($B147,INDIRECT($B$5&amp;"生成成长"),4))/(VLOOKUP(CV$72,INDIRECT($C$5&amp;"生成成长"),5))*(VLOOKUP($B$5,标准坦克设计!$B$24:$U$30,MATCH("对"&amp;LEFT($C$5,2)&amp;"输出",标准坦克设计!$B$23:$U$23,0)))*(VLOOKUP($B147,INDIRECT($B$5&amp;"生成成长"),3))*(VLOOKUP($B$5,标准坦克设计!$B$14:$K$20,9)/30))</f>
        <v>20.731966032232386</v>
      </c>
      <c r="CW147" s="172">
        <f ca="1">(VLOOKUP(CW$72,INDIRECT($C$5&amp;"生成成长"),2))/((VLOOKUP($B147,INDIRECT($B$5&amp;"生成成长"),4))/(VLOOKUP(CW$72,INDIRECT($C$5&amp;"生成成长"),5))*(VLOOKUP($B$5,标准坦克设计!$B$24:$U$30,MATCH("对"&amp;LEFT($C$5,2)&amp;"输出",标准坦克设计!$B$23:$U$23,0)))*(VLOOKUP($B147,INDIRECT($B$5&amp;"生成成长"),3))*(VLOOKUP($B$5,标准坦克设计!$B$14:$K$20,9)/30))</f>
        <v>22.181786430248167</v>
      </c>
      <c r="CX147" s="172">
        <f ca="1">(VLOOKUP(CX$72,INDIRECT($C$5&amp;"生成成长"),2))/((VLOOKUP($B147,INDIRECT($B$5&amp;"生成成长"),4))/(VLOOKUP(CX$72,INDIRECT($C$5&amp;"生成成长"),5))*(VLOOKUP($B$5,标准坦克设计!$B$24:$U$30,MATCH("对"&amp;LEFT($C$5,2)&amp;"输出",标准坦克设计!$B$23:$U$23,0)))*(VLOOKUP($B147,INDIRECT($B$5&amp;"生成成长"),3))*(VLOOKUP($B$5,标准坦克设计!$B$14:$K$20,9)/30))</f>
        <v>23.680602294863561</v>
      </c>
      <c r="CY147" s="172">
        <f ca="1">(VLOOKUP(CY$72,INDIRECT($C$5&amp;"生成成长"),2))/((VLOOKUP($B147,INDIRECT($B$5&amp;"生成成长"),4))/(VLOOKUP(CY$72,INDIRECT($C$5&amp;"生成成长"),5))*(VLOOKUP($B$5,标准坦克设计!$B$24:$U$30,MATCH("对"&amp;LEFT($C$5,2)&amp;"输出",标准坦克设计!$B$23:$U$23,0)))*(VLOOKUP($B147,INDIRECT($B$5&amp;"生成成长"),3))*(VLOOKUP($B$5,标准坦克设计!$B$14:$K$20,9)/30))</f>
        <v>25.228413626078567</v>
      </c>
      <c r="CZ147" s="172">
        <f ca="1">(VLOOKUP(CZ$72,INDIRECT($C$5&amp;"生成成长"),2))/((VLOOKUP($B147,INDIRECT($B$5&amp;"生成成长"),4))/(VLOOKUP(CZ$72,INDIRECT($C$5&amp;"生成成长"),5))*(VLOOKUP($B$5,标准坦克设计!$B$24:$U$30,MATCH("对"&amp;LEFT($C$5,2)&amp;"输出",标准坦克设计!$B$23:$U$23,0)))*(VLOOKUP($B147,INDIRECT($B$5&amp;"生成成长"),3))*(VLOOKUP($B$5,标准坦克设计!$B$14:$K$20,9)/30))</f>
        <v>26.825220423893185</v>
      </c>
      <c r="DA147" s="172">
        <f ca="1">(VLOOKUP(DA$72,INDIRECT($C$5&amp;"生成成长"),2))/((VLOOKUP($B147,INDIRECT($B$5&amp;"生成成长"),4))/(VLOOKUP(DA$72,INDIRECT($C$5&amp;"生成成长"),5))*(VLOOKUP($B$5,标准坦克设计!$B$24:$U$30,MATCH("对"&amp;LEFT($C$5,2)&amp;"输出",标准坦克设计!$B$23:$U$23,0)))*(VLOOKUP($B147,INDIRECT($B$5&amp;"生成成长"),3))*(VLOOKUP($B$5,标准坦克设计!$B$14:$K$20,9)/30))</f>
        <v>28.471022688307411</v>
      </c>
      <c r="DB147" s="172">
        <f ca="1">(VLOOKUP(DB$72,INDIRECT($C$5&amp;"生成成长"),2))/((VLOOKUP($B147,INDIRECT($B$5&amp;"生成成长"),4))/(VLOOKUP(DB$72,INDIRECT($C$5&amp;"生成成长"),5))*(VLOOKUP($B$5,标准坦克设计!$B$24:$U$30,MATCH("对"&amp;LEFT($C$5,2)&amp;"输出",标准坦克设计!$B$23:$U$23,0)))*(VLOOKUP($B147,INDIRECT($B$5&amp;"生成成长"),3))*(VLOOKUP($B$5,标准坦克设计!$B$14:$K$20,9)/30))</f>
        <v>30.165820419321253</v>
      </c>
      <c r="DC147" s="172">
        <f ca="1">(VLOOKUP(DC$72,INDIRECT($C$5&amp;"生成成长"),2))/((VLOOKUP($B147,INDIRECT($B$5&amp;"生成成长"),4))/(VLOOKUP(DC$72,INDIRECT($C$5&amp;"生成成长"),5))*(VLOOKUP($B$5,标准坦克设计!$B$24:$U$30,MATCH("对"&amp;LEFT($C$5,2)&amp;"输出",标准坦克设计!$B$23:$U$23,0)))*(VLOOKUP($B147,INDIRECT($B$5&amp;"生成成长"),3))*(VLOOKUP($B$5,标准坦克设计!$B$14:$K$20,9)/30))</f>
        <v>32.07056979853261</v>
      </c>
      <c r="DD147" s="172">
        <f ca="1">(VLOOKUP(DD$72,INDIRECT($C$5&amp;"生成成长"),2))/((VLOOKUP($B147,INDIRECT($B$5&amp;"生成成长"),4))/(VLOOKUP(DD$72,INDIRECT($C$5&amp;"生成成长"),5))*(VLOOKUP($B$5,标准坦克设计!$B$24:$U$30,MATCH("对"&amp;LEFT($C$5,2)&amp;"输出",标准坦克设计!$B$23:$U$23,0)))*(VLOOKUP($B147,INDIRECT($B$5&amp;"生成成长"),3))*(VLOOKUP($B$5,标准坦克设计!$B$14:$K$20,9)/30))</f>
        <v>34.033627832209611</v>
      </c>
      <c r="DE147" s="172">
        <f ca="1">(VLOOKUP(DE$72,INDIRECT($C$5&amp;"生成成长"),2))/((VLOOKUP($B147,INDIRECT($B$5&amp;"生成成长"),4))/(VLOOKUP(DE$72,INDIRECT($C$5&amp;"生成成长"),5))*(VLOOKUP($B$5,标准坦克设计!$B$24:$U$30,MATCH("对"&amp;LEFT($C$5,2)&amp;"输出",标准坦克设计!$B$23:$U$23,0)))*(VLOOKUP($B147,INDIRECT($B$5&amp;"生成成长"),3))*(VLOOKUP($B$5,标准坦克设计!$B$14:$K$20,9)/30))</f>
        <v>36.05499452035226</v>
      </c>
      <c r="DF147" s="172">
        <f ca="1">(VLOOKUP(DF$72,INDIRECT($C$5&amp;"生成成长"),2))/((VLOOKUP($B147,INDIRECT($B$5&amp;"生成成长"),4))/(VLOOKUP(DF$72,INDIRECT($C$5&amp;"生成成长"),5))*(VLOOKUP($B$5,标准坦克设计!$B$24:$U$30,MATCH("对"&amp;LEFT($C$5,2)&amp;"输出",标准坦克设计!$B$23:$U$23,0)))*(VLOOKUP($B147,INDIRECT($B$5&amp;"生成成长"),3))*(VLOOKUP($B$5,标准坦克设计!$B$14:$K$20,9)/30))</f>
        <v>38.134669862960578</v>
      </c>
      <c r="DG147" s="172">
        <f ca="1">(VLOOKUP(DG$72,INDIRECT($C$5&amp;"生成成长"),2))/((VLOOKUP($B147,INDIRECT($B$5&amp;"生成成长"),4))/(VLOOKUP(DG$72,INDIRECT($C$5&amp;"生成成长"),5))*(VLOOKUP($B$5,标准坦克设计!$B$24:$U$30,MATCH("对"&amp;LEFT($C$5,2)&amp;"输出",标准坦克设计!$B$23:$U$23,0)))*(VLOOKUP($B147,INDIRECT($B$5&amp;"生成成长"),3))*(VLOOKUP($B$5,标准坦克设计!$B$14:$K$20,9)/30))</f>
        <v>40.272653860034545</v>
      </c>
      <c r="DH147" s="172">
        <f ca="1">(VLOOKUP(DH$72,INDIRECT($C$5&amp;"生成成长"),2))/((VLOOKUP($B147,INDIRECT($B$5&amp;"生成成长"),4))/(VLOOKUP(DH$72,INDIRECT($C$5&amp;"生成成长"),5))*(VLOOKUP($B$5,标准坦克设计!$B$24:$U$30,MATCH("对"&amp;LEFT($C$5,2)&amp;"输出",标准坦克设计!$B$23:$U$23,0)))*(VLOOKUP($B147,INDIRECT($B$5&amp;"生成成长"),3))*(VLOOKUP($B$5,标准坦克设计!$B$14:$K$20,9)/30))</f>
        <v>42.468946511574167</v>
      </c>
      <c r="DI147" s="172">
        <f ca="1">(VLOOKUP(DI$72,INDIRECT($C$5&amp;"生成成长"),2))/((VLOOKUP($B147,INDIRECT($B$5&amp;"生成成长"),4))/(VLOOKUP(DI$72,INDIRECT($C$5&amp;"生成成长"),5))*(VLOOKUP($B$5,标准坦克设计!$B$24:$U$30,MATCH("对"&amp;LEFT($C$5,2)&amp;"输出",标准坦克设计!$B$23:$U$23,0)))*(VLOOKUP($B147,INDIRECT($B$5&amp;"生成成长"),3))*(VLOOKUP($B$5,标准坦克设计!$B$14:$K$20,9)/30))</f>
        <v>44.72354781757943</v>
      </c>
      <c r="DJ147" s="172">
        <f ca="1">(VLOOKUP(DJ$72,INDIRECT($C$5&amp;"生成成长"),2))/((VLOOKUP($B147,INDIRECT($B$5&amp;"生成成长"),4))/(VLOOKUP(DJ$72,INDIRECT($C$5&amp;"生成成长"),5))*(VLOOKUP($B$5,标准坦克设计!$B$24:$U$30,MATCH("对"&amp;LEFT($C$5,2)&amp;"输出",标准坦克设计!$B$23:$U$23,0)))*(VLOOKUP($B147,INDIRECT($B$5&amp;"生成成长"),3))*(VLOOKUP($B$5,标准坦克设计!$B$14:$K$20,9)/30))</f>
        <v>4.4948279089999135</v>
      </c>
      <c r="DK147" s="172">
        <f ca="1">(VLOOKUP(DK$72,INDIRECT($C$5&amp;"生成成长"),2))/((VLOOKUP($B147,INDIRECT($B$5&amp;"生成成长"),4))/(VLOOKUP(DK$72,INDIRECT($C$5&amp;"生成成长"),5))*(VLOOKUP($B$5,标准坦克设计!$B$24:$U$30,MATCH("对"&amp;LEFT($C$5,2)&amp;"输出",标准坦克设计!$B$23:$U$23,0)))*(VLOOKUP($B147,INDIRECT($B$5&amp;"生成成长"),3))*(VLOOKUP($B$5,标准坦克设计!$B$14:$K$20,9)/30))</f>
        <v>5.0542265627797773</v>
      </c>
      <c r="DL147" s="172">
        <f ca="1">(VLOOKUP(DL$72,INDIRECT($C$5&amp;"生成成长"),2))/((VLOOKUP($B147,INDIRECT($B$5&amp;"生成成长"),4))/(VLOOKUP(DL$72,INDIRECT($C$5&amp;"生成成长"),5))*(VLOOKUP($B$5,标准坦克设计!$B$24:$U$30,MATCH("对"&amp;LEFT($C$5,2)&amp;"输出",标准坦克设计!$B$23:$U$23,0)))*(VLOOKUP($B147,INDIRECT($B$5&amp;"生成成长"),3))*(VLOOKUP($B$5,标准坦克设计!$B$14:$K$20,9)/30))</f>
        <v>5.6464238346965718</v>
      </c>
      <c r="DM147" s="172">
        <f ca="1">(VLOOKUP(DM$72,INDIRECT($C$5&amp;"生成成长"),2))/((VLOOKUP($B147,INDIRECT($B$5&amp;"生成成长"),4))/(VLOOKUP(DM$72,INDIRECT($C$5&amp;"生成成长"),5))*(VLOOKUP($B$5,标准坦克设计!$B$24:$U$30,MATCH("对"&amp;LEFT($C$5,2)&amp;"输出",标准坦克设计!$B$23:$U$23,0)))*(VLOOKUP($B147,INDIRECT($B$5&amp;"生成成长"),3))*(VLOOKUP($B$5,标准坦克设计!$B$14:$K$20,9)/30))</f>
        <v>6.271419724750297</v>
      </c>
      <c r="DN147" s="172">
        <f ca="1">(VLOOKUP(DN$72,INDIRECT($C$5&amp;"生成成长"),2))/((VLOOKUP($B147,INDIRECT($B$5&amp;"生成成长"),4))/(VLOOKUP(DN$72,INDIRECT($C$5&amp;"生成成长"),5))*(VLOOKUP($B$5,标准坦克设计!$B$24:$U$30,MATCH("对"&amp;LEFT($C$5,2)&amp;"输出",标准坦克设计!$B$23:$U$23,0)))*(VLOOKUP($B147,INDIRECT($B$5&amp;"生成成长"),3))*(VLOOKUP($B$5,标准坦克设计!$B$14:$K$20,9)/30))</f>
        <v>6.9292142329409518</v>
      </c>
      <c r="DO147" s="172">
        <f ca="1">(VLOOKUP(DO$72,INDIRECT($C$5&amp;"生成成长"),2))/((VLOOKUP($B147,INDIRECT($B$5&amp;"生成成长"),4))/(VLOOKUP(DO$72,INDIRECT($C$5&amp;"生成成长"),5))*(VLOOKUP($B$5,标准坦克设计!$B$24:$U$30,MATCH("对"&amp;LEFT($C$5,2)&amp;"输出",标准坦克设计!$B$23:$U$23,0)))*(VLOOKUP($B147,INDIRECT($B$5&amp;"生成成长"),3))*(VLOOKUP($B$5,标准坦克设计!$B$14:$K$20,9)/30))</f>
        <v>7.6198073592685356</v>
      </c>
      <c r="DP147" s="172">
        <f ca="1">(VLOOKUP(DP$72,INDIRECT($C$5&amp;"生成成长"),2))/((VLOOKUP($B147,INDIRECT($B$5&amp;"生成成长"),4))/(VLOOKUP(DP$72,INDIRECT($C$5&amp;"生成成长"),5))*(VLOOKUP($B$5,标准坦克设计!$B$24:$U$30,MATCH("对"&amp;LEFT($C$5,2)&amp;"输出",标准坦克设计!$B$23:$U$23,0)))*(VLOOKUP($B147,INDIRECT($B$5&amp;"生成成长"),3))*(VLOOKUP($B$5,标准坦克设计!$B$14:$K$20,9)/30))</f>
        <v>8.3431991037330508</v>
      </c>
      <c r="DQ147" s="172">
        <f ca="1">(VLOOKUP(DQ$72,INDIRECT($C$5&amp;"生成成长"),2))/((VLOOKUP($B147,INDIRECT($B$5&amp;"生成成长"),4))/(VLOOKUP(DQ$72,INDIRECT($C$5&amp;"生成成长"),5))*(VLOOKUP($B$5,标准坦克设计!$B$24:$U$30,MATCH("对"&amp;LEFT($C$5,2)&amp;"输出",标准坦克设计!$B$23:$U$23,0)))*(VLOOKUP($B147,INDIRECT($B$5&amp;"生成成长"),3))*(VLOOKUP($B$5,标准坦克设计!$B$14:$K$20,9)/30))</f>
        <v>9.0993894663344967</v>
      </c>
      <c r="DR147" s="172">
        <f ca="1">(VLOOKUP(DR$72,INDIRECT($C$5&amp;"生成成长"),2))/((VLOOKUP($B147,INDIRECT($B$5&amp;"生成成长"),4))/(VLOOKUP(DR$72,INDIRECT($C$5&amp;"生成成长"),5))*(VLOOKUP($B$5,标准坦克设计!$B$24:$U$30,MATCH("对"&amp;LEFT($C$5,2)&amp;"输出",标准坦克设计!$B$23:$U$23,0)))*(VLOOKUP($B147,INDIRECT($B$5&amp;"生成成长"),3))*(VLOOKUP($B$5,标准坦克设计!$B$14:$K$20,9)/30))</f>
        <v>9.8883784470728706</v>
      </c>
      <c r="DS147" s="172">
        <f ca="1">(VLOOKUP(DS$72,INDIRECT($C$5&amp;"生成成长"),2))/((VLOOKUP($B147,INDIRECT($B$5&amp;"生成成长"),4))/(VLOOKUP(DS$72,INDIRECT($C$5&amp;"生成成长"),5))*(VLOOKUP($B$5,标准坦克设计!$B$24:$U$30,MATCH("对"&amp;LEFT($C$5,2)&amp;"输出",标准坦克设计!$B$23:$U$23,0)))*(VLOOKUP($B147,INDIRECT($B$5&amp;"生成成长"),3))*(VLOOKUP($B$5,标准坦克设计!$B$14:$K$20,9)/30))</f>
        <v>10.710166045948174</v>
      </c>
      <c r="DT147" s="172">
        <f ca="1">(VLOOKUP(DT$72,INDIRECT($C$5&amp;"生成成长"),2))/((VLOOKUP($B147,INDIRECT($B$5&amp;"生成成长"),4))/(VLOOKUP(DT$72,INDIRECT($C$5&amp;"生成成长"),5))*(VLOOKUP($B$5,标准坦克设计!$B$24:$U$30,MATCH("对"&amp;LEFT($C$5,2)&amp;"输出",标准坦克设计!$B$23:$U$23,0)))*(VLOOKUP($B147,INDIRECT($B$5&amp;"生成成长"),3))*(VLOOKUP($B$5,标准坦克设计!$B$14:$K$20,9)/30))</f>
        <v>11.759114444512591</v>
      </c>
      <c r="DU147" s="172">
        <f ca="1">(VLOOKUP(DU$72,INDIRECT($C$5&amp;"生成成长"),2))/((VLOOKUP($B147,INDIRECT($B$5&amp;"生成成长"),4))/(VLOOKUP(DU$72,INDIRECT($C$5&amp;"生成成长"),5))*(VLOOKUP($B$5,标准坦克设计!$B$24:$U$30,MATCH("对"&amp;LEFT($C$5,2)&amp;"输出",标准坦克设计!$B$23:$U$23,0)))*(VLOOKUP($B147,INDIRECT($B$5&amp;"生成成长"),3))*(VLOOKUP($B$5,标准坦克设计!$B$14:$K$20,9)/30))</f>
        <v>12.857058309676615</v>
      </c>
      <c r="DV147" s="172">
        <f ca="1">(VLOOKUP(DV$72,INDIRECT($C$5&amp;"生成成长"),2))/((VLOOKUP($B147,INDIRECT($B$5&amp;"生成成长"),4))/(VLOOKUP(DV$72,INDIRECT($C$5&amp;"生成成长"),5))*(VLOOKUP($B$5,标准坦克设计!$B$24:$U$30,MATCH("对"&amp;LEFT($C$5,2)&amp;"输出",标准坦克设计!$B$23:$U$23,0)))*(VLOOKUP($B147,INDIRECT($B$5&amp;"生成成长"),3))*(VLOOKUP($B$5,标准坦克设计!$B$14:$K$20,9)/30))</f>
        <v>14.003997641440254</v>
      </c>
      <c r="DW147" s="172">
        <f ca="1">(VLOOKUP(DW$72,INDIRECT($C$5&amp;"生成成长"),2))/((VLOOKUP($B147,INDIRECT($B$5&amp;"生成成长"),4))/(VLOOKUP(DW$72,INDIRECT($C$5&amp;"生成成长"),5))*(VLOOKUP($B$5,标准坦克设计!$B$24:$U$30,MATCH("对"&amp;LEFT($C$5,2)&amp;"输出",标准坦克设计!$B$23:$U$23,0)))*(VLOOKUP($B147,INDIRECT($B$5&amp;"生成成长"),3))*(VLOOKUP($B$5,标准坦克设计!$B$14:$K$20,9)/30))</f>
        <v>15.199932439803501</v>
      </c>
      <c r="DX147" s="172">
        <f ca="1">(VLOOKUP(DX$72,INDIRECT($C$5&amp;"生成成长"),2))/((VLOOKUP($B147,INDIRECT($B$5&amp;"生成成长"),4))/(VLOOKUP(DX$72,INDIRECT($C$5&amp;"生成成长"),5))*(VLOOKUP($B$5,标准坦克设计!$B$24:$U$30,MATCH("对"&amp;LEFT($C$5,2)&amp;"输出",标准坦克设计!$B$23:$U$23,0)))*(VLOOKUP($B147,INDIRECT($B$5&amp;"生成成长"),3))*(VLOOKUP($B$5,标准坦克设计!$B$14:$K$20,9)/30))</f>
        <v>16.444862704766358</v>
      </c>
      <c r="DY147" s="172">
        <f ca="1">(VLOOKUP(DY$72,INDIRECT($C$5&amp;"生成成长"),2))/((VLOOKUP($B147,INDIRECT($B$5&amp;"生成成长"),4))/(VLOOKUP(DY$72,INDIRECT($C$5&amp;"生成成长"),5))*(VLOOKUP($B$5,标准坦克设计!$B$24:$U$30,MATCH("对"&amp;LEFT($C$5,2)&amp;"输出",标准坦克设计!$B$23:$U$23,0)))*(VLOOKUP($B147,INDIRECT($B$5&amp;"生成成长"),3))*(VLOOKUP($B$5,标准坦克设计!$B$14:$K$20,9)/30))</f>
        <v>7.3859653595885693</v>
      </c>
      <c r="DZ147" s="172">
        <f ca="1">(VLOOKUP(DZ$72,INDIRECT($C$5&amp;"生成成长"),2))/((VLOOKUP($B147,INDIRECT($B$5&amp;"生成成长"),4))/(VLOOKUP(DZ$72,INDIRECT($C$5&amp;"生成成长"),5))*(VLOOKUP($B$5,标准坦克设计!$B$24:$U$30,MATCH("对"&amp;LEFT($C$5,2)&amp;"输出",标准坦克设计!$B$23:$U$23,0)))*(VLOOKUP($B147,INDIRECT($B$5&amp;"生成成长"),3))*(VLOOKUP($B$5,标准坦克设计!$B$14:$K$20,9)/30))</f>
        <v>8.1796109342599657</v>
      </c>
      <c r="EA147" s="172">
        <f ca="1">(VLOOKUP(EA$72,INDIRECT($C$5&amp;"生成成长"),2))/((VLOOKUP($B147,INDIRECT($B$5&amp;"生成成长"),4))/(VLOOKUP(EA$72,INDIRECT($C$5&amp;"生成成长"),5))*(VLOOKUP($B$5,标准坦克设计!$B$24:$U$30,MATCH("对"&amp;LEFT($C$5,2)&amp;"输出",标准坦克设计!$B$23:$U$23,0)))*(VLOOKUP($B147,INDIRECT($B$5&amp;"生成成长"),3))*(VLOOKUP($B$5,标准坦克设计!$B$14:$K$20,9)/30))</f>
        <v>9.0137486300880649</v>
      </c>
      <c r="EB147" s="172">
        <f ca="1">(VLOOKUP(EB$72,INDIRECT($C$5&amp;"生成成长"),2))/((VLOOKUP($B147,INDIRECT($B$5&amp;"生成成长"),4))/(VLOOKUP(EB$72,INDIRECT($C$5&amp;"生成成长"),5))*(VLOOKUP($B$5,标准坦克设计!$B$24:$U$30,MATCH("对"&amp;LEFT($C$5,2)&amp;"输出",标准坦克设计!$B$23:$U$23,0)))*(VLOOKUP($B147,INDIRECT($B$5&amp;"生成成长"),3))*(VLOOKUP($B$5,标准坦克设计!$B$14:$K$20,9)/30))</f>
        <v>9.8883784470728706</v>
      </c>
      <c r="EC147" s="172">
        <f ca="1">(VLOOKUP(EC$72,INDIRECT($C$5&amp;"生成成长"),2))/((VLOOKUP($B147,INDIRECT($B$5&amp;"生成成长"),4))/(VLOOKUP(EC$72,INDIRECT($C$5&amp;"生成成长"),5))*(VLOOKUP($B$5,标准坦克设计!$B$24:$U$30,MATCH("对"&amp;LEFT($C$5,2)&amp;"输出",标准坦克设计!$B$23:$U$23,0)))*(VLOOKUP($B147,INDIRECT($B$5&amp;"生成成长"),3))*(VLOOKUP($B$5,标准坦克设计!$B$14:$K$20,9)/30))</f>
        <v>10.803500385214377</v>
      </c>
      <c r="ED147" s="172">
        <f ca="1">(VLOOKUP(ED$72,INDIRECT($C$5&amp;"生成成长"),2))/((VLOOKUP($B147,INDIRECT($B$5&amp;"生成成长"),4))/(VLOOKUP(ED$72,INDIRECT($C$5&amp;"生成成长"),5))*(VLOOKUP($B$5,标准坦克设计!$B$24:$U$30,MATCH("对"&amp;LEFT($C$5,2)&amp;"输出",标准坦克设计!$B$23:$U$23,0)))*(VLOOKUP($B147,INDIRECT($B$5&amp;"生成成长"),3))*(VLOOKUP($B$5,标准坦克设计!$B$14:$K$20,9)/30))</f>
        <v>11.759114444512591</v>
      </c>
      <c r="EE147" s="172">
        <f ca="1">(VLOOKUP(EE$72,INDIRECT($C$5&amp;"生成成长"),2))/((VLOOKUP($B147,INDIRECT($B$5&amp;"生成成长"),4))/(VLOOKUP(EE$72,INDIRECT($C$5&amp;"生成成长"),5))*(VLOOKUP($B$5,标准坦克设计!$B$24:$U$30,MATCH("对"&amp;LEFT($C$5,2)&amp;"输出",标准坦克设计!$B$23:$U$23,0)))*(VLOOKUP($B147,INDIRECT($B$5&amp;"生成成长"),3))*(VLOOKUP($B$5,标准坦克设计!$B$14:$K$20,9)/30))</f>
        <v>12.755220624967505</v>
      </c>
      <c r="EF147" s="172">
        <f ca="1">(VLOOKUP(EF$72,INDIRECT($C$5&amp;"生成成长"),2))/((VLOOKUP($B147,INDIRECT($B$5&amp;"生成成长"),4))/(VLOOKUP(EF$72,INDIRECT($C$5&amp;"生成成长"),5))*(VLOOKUP($B$5,标准坦克设计!$B$24:$U$30,MATCH("对"&amp;LEFT($C$5,2)&amp;"输出",标准坦克设计!$B$23:$U$23,0)))*(VLOOKUP($B147,INDIRECT($B$5&amp;"生成成长"),3))*(VLOOKUP($B$5,标准坦克设计!$B$14:$K$20,9)/30))</f>
        <v>13.791818926579122</v>
      </c>
      <c r="EG147" s="172">
        <f ca="1">(VLOOKUP(EG$72,INDIRECT($C$5&amp;"生成成长"),2))/((VLOOKUP($B147,INDIRECT($B$5&amp;"生成成长"),4))/(VLOOKUP(EG$72,INDIRECT($C$5&amp;"生成成长"),5))*(VLOOKUP($B$5,标准坦克设计!$B$24:$U$30,MATCH("对"&amp;LEFT($C$5,2)&amp;"输出",标准坦克设计!$B$23:$U$23,0)))*(VLOOKUP($B147,INDIRECT($B$5&amp;"生成成长"),3))*(VLOOKUP($B$5,标准坦克设计!$B$14:$K$20,9)/30))</f>
        <v>14.868909349347447</v>
      </c>
      <c r="EH147" s="172">
        <f ca="1">(VLOOKUP(EH$72,INDIRECT($C$5&amp;"生成成长"),2))/((VLOOKUP($B147,INDIRECT($B$5&amp;"生成成长"),4))/(VLOOKUP(EH$72,INDIRECT($C$5&amp;"生成成长"),5))*(VLOOKUP($B$5,标准坦克设计!$B$24:$U$30,MATCH("对"&amp;LEFT($C$5,2)&amp;"输出",标准坦克设计!$B$23:$U$23,0)))*(VLOOKUP($B147,INDIRECT($B$5&amp;"生成成长"),3))*(VLOOKUP($B$5,标准坦克设计!$B$14:$K$20,9)/30))</f>
        <v>15.986491893272474</v>
      </c>
      <c r="EI147" s="172">
        <f ca="1">(VLOOKUP(EI$72,INDIRECT($C$5&amp;"生成成长"),2))/((VLOOKUP($B147,INDIRECT($B$5&amp;"生成成长"),4))/(VLOOKUP(EI$72,INDIRECT($C$5&amp;"生成成长"),5))*(VLOOKUP($B$5,标准坦克设计!$B$24:$U$30,MATCH("对"&amp;LEFT($C$5,2)&amp;"输出",标准坦克设计!$B$23:$U$23,0)))*(VLOOKUP($B147,INDIRECT($B$5&amp;"生成成长"),3))*(VLOOKUP($B$5,标准坦克设计!$B$14:$K$20,9)/30))</f>
        <v>17.144566558354203</v>
      </c>
      <c r="EJ147" s="172">
        <f ca="1">(VLOOKUP(EJ$72,INDIRECT($C$5&amp;"生成成长"),2))/((VLOOKUP($B147,INDIRECT($B$5&amp;"生成成长"),4))/(VLOOKUP(EJ$72,INDIRECT($C$5&amp;"生成成长"),5))*(VLOOKUP($B$5,标准坦克设计!$B$24:$U$30,MATCH("对"&amp;LEFT($C$5,2)&amp;"输出",标准坦克设计!$B$23:$U$23,0)))*(VLOOKUP($B147,INDIRECT($B$5&amp;"生成成长"),3))*(VLOOKUP($B$5,标准坦克设计!$B$14:$K$20,9)/30))</f>
        <v>18.343133344592641</v>
      </c>
      <c r="EK147" s="172">
        <f ca="1">(VLOOKUP(EK$72,INDIRECT($C$5&amp;"生成成长"),2))/((VLOOKUP($B147,INDIRECT($B$5&amp;"生成成长"),4))/(VLOOKUP(EK$72,INDIRECT($C$5&amp;"生成成长"),5))*(VLOOKUP($B$5,标准坦克设计!$B$24:$U$30,MATCH("对"&amp;LEFT($C$5,2)&amp;"输出",标准坦克设计!$B$23:$U$23,0)))*(VLOOKUP($B147,INDIRECT($B$5&amp;"生成成长"),3))*(VLOOKUP($B$5,标准坦克设计!$B$14:$K$20,9)/30))</f>
        <v>19.834863088005605</v>
      </c>
      <c r="EL147" s="172">
        <f ca="1">(VLOOKUP(EL$72,INDIRECT($C$5&amp;"生成成长"),2))/((VLOOKUP($B147,INDIRECT($B$5&amp;"生成成长"),4))/(VLOOKUP(EL$72,INDIRECT($C$5&amp;"生成成长"),5))*(VLOOKUP($B$5,标准坦克设计!$B$24:$U$30,MATCH("对"&amp;LEFT($C$5,2)&amp;"输出",标准坦克设计!$B$23:$U$23,0)))*(VLOOKUP($B147,INDIRECT($B$5&amp;"生成成长"),3))*(VLOOKUP($B$5,标准坦克设计!$B$14:$K$20,9)/30))</f>
        <v>21.384901485884235</v>
      </c>
      <c r="EM147" s="172">
        <f ca="1">(VLOOKUP(EM$72,INDIRECT($C$5&amp;"生成成长"),2))/((VLOOKUP($B147,INDIRECT($B$5&amp;"生成成长"),4))/(VLOOKUP(EM$72,INDIRECT($C$5&amp;"生成成长"),5))*(VLOOKUP($B$5,标准坦克设计!$B$24:$U$30,MATCH("对"&amp;LEFT($C$5,2)&amp;"输出",标准坦克设计!$B$23:$U$23,0)))*(VLOOKUP($B147,INDIRECT($B$5&amp;"生成成长"),3))*(VLOOKUP($B$5,标准坦克设计!$B$14:$K$20,9)/30))</f>
        <v>22.993248538228514</v>
      </c>
      <c r="EN147" s="172">
        <f ca="1">(VLOOKUP(EN$72,INDIRECT($C$5&amp;"生成成长"),2))/((VLOOKUP($B147,INDIRECT($B$5&amp;"生成成长"),4))/(VLOOKUP(EN$72,INDIRECT($C$5&amp;"生成成长"),5))*(VLOOKUP($B$5,标准坦克设计!$B$24:$U$30,MATCH("对"&amp;LEFT($C$5,2)&amp;"输出",标准坦克设计!$B$23:$U$23,0)))*(VLOOKUP($B147,INDIRECT($B$5&amp;"生成成长"),3))*(VLOOKUP($B$5,标准坦克设计!$B$14:$K$20,9)/30))</f>
        <v>24.65990424503844</v>
      </c>
      <c r="EO147" s="172">
        <f ca="1">(VLOOKUP(EO$72,INDIRECT($C$5&amp;"生成成长"),2))/((VLOOKUP($B147,INDIRECT($B$5&amp;"生成成长"),4))/(VLOOKUP(EO$72,INDIRECT($C$5&amp;"生成成长"),5))*(VLOOKUP($B$5,标准坦克设计!$B$24:$U$30,MATCH("对"&amp;LEFT($C$5,2)&amp;"输出",标准坦克设计!$B$23:$U$23,0)))*(VLOOKUP($B147,INDIRECT($B$5&amp;"生成成长"),3))*(VLOOKUP($B$5,标准坦克设计!$B$14:$K$20,9)/30))</f>
        <v>26.384868606314029</v>
      </c>
      <c r="EP147" s="172">
        <f ca="1">(VLOOKUP(EP$72,INDIRECT($C$5&amp;"生成成长"),2))/((VLOOKUP($B147,INDIRECT($B$5&amp;"生成成长"),4))/(VLOOKUP(EP$72,INDIRECT($C$5&amp;"生成成长"),5))*(VLOOKUP($B$5,标准坦克设计!$B$24:$U$30,MATCH("对"&amp;LEFT($C$5,2)&amp;"输出",标准坦克设计!$B$23:$U$23,0)))*(VLOOKUP($B147,INDIRECT($B$5&amp;"生成成长"),3))*(VLOOKUP($B$5,标准坦克设计!$B$14:$K$20,9)/30))</f>
        <v>28.168141622055266</v>
      </c>
      <c r="EQ147" s="172">
        <f ca="1">(VLOOKUP(EQ$72,INDIRECT($C$5&amp;"生成成长"),2))/((VLOOKUP($B147,INDIRECT($B$5&amp;"生成成长"),4))/(VLOOKUP(EQ$72,INDIRECT($C$5&amp;"生成成长"),5))*(VLOOKUP($B$5,标准坦克设计!$B$24:$U$30,MATCH("对"&amp;LEFT($C$5,2)&amp;"输出",标准坦克设计!$B$23:$U$23,0)))*(VLOOKUP($B147,INDIRECT($B$5&amp;"生成成长"),3))*(VLOOKUP($B$5,标准坦克设计!$B$14:$K$20,9)/30))</f>
        <v>12.452137098109576</v>
      </c>
      <c r="ER147" s="172">
        <f ca="1">(VLOOKUP(ER$72,INDIRECT($C$5&amp;"生成成长"),2))/((VLOOKUP($B147,INDIRECT($B$5&amp;"生成成长"),4))/(VLOOKUP(ER$72,INDIRECT($C$5&amp;"生成成长"),5))*(VLOOKUP($B$5,标准坦克设计!$B$24:$U$30,MATCH("对"&amp;LEFT($C$5,2)&amp;"输出",标准坦克设计!$B$23:$U$23,0)))*(VLOOKUP($B147,INDIRECT($B$5&amp;"生成成长"),3))*(VLOOKUP($B$5,标准坦克设计!$B$14:$K$20,9)/30))</f>
        <v>13.581259896564264</v>
      </c>
      <c r="ES147" s="172">
        <f ca="1">(VLOOKUP(ES$72,INDIRECT($C$5&amp;"生成成长"),2))/((VLOOKUP($B147,INDIRECT($B$5&amp;"生成成长"),4))/(VLOOKUP(ES$72,INDIRECT($C$5&amp;"生成成长"),5))*(VLOOKUP($B$5,标准坦克设计!$B$24:$U$30,MATCH("对"&amp;LEFT($C$5,2)&amp;"输出",标准坦克设计!$B$23:$U$23,0)))*(VLOOKUP($B147,INDIRECT($B$5&amp;"生成成长"),3))*(VLOOKUP($B$5,标准坦克设计!$B$14:$K$20,9)/30))</f>
        <v>14.759378161618562</v>
      </c>
      <c r="ET147" s="172">
        <f ca="1">(VLOOKUP(ET$72,INDIRECT($C$5&amp;"生成成长"),2))/((VLOOKUP($B147,INDIRECT($B$5&amp;"生成成长"),4))/(VLOOKUP(ET$72,INDIRECT($C$5&amp;"生成成长"),5))*(VLOOKUP($B$5,标准坦克设计!$B$24:$U$30,MATCH("对"&amp;LEFT($C$5,2)&amp;"输出",标准坦克设计!$B$23:$U$23,0)))*(VLOOKUP($B147,INDIRECT($B$5&amp;"生成成长"),3))*(VLOOKUP($B$5,标准坦克设计!$B$14:$K$20,9)/30))</f>
        <v>15.986491893272474</v>
      </c>
      <c r="EU147" s="172">
        <f ca="1">(VLOOKUP(EU$72,INDIRECT($C$5&amp;"生成成长"),2))/((VLOOKUP($B147,INDIRECT($B$5&amp;"生成成长"),4))/(VLOOKUP(EU$72,INDIRECT($C$5&amp;"生成成长"),5))*(VLOOKUP($B$5,标准坦克设计!$B$24:$U$30,MATCH("对"&amp;LEFT($C$5,2)&amp;"输出",标准坦克设计!$B$23:$U$23,0)))*(VLOOKUP($B147,INDIRECT($B$5&amp;"生成成长"),3))*(VLOOKUP($B$5,标准坦克设计!$B$14:$K$20,9)/30))</f>
        <v>17.262601091525998</v>
      </c>
      <c r="EV147" s="172">
        <f ca="1">(VLOOKUP(EV$72,INDIRECT($C$5&amp;"生成成长"),2))/((VLOOKUP($B147,INDIRECT($B$5&amp;"生成成长"),4))/(VLOOKUP(EV$72,INDIRECT($C$5&amp;"生成成长"),5))*(VLOOKUP($B$5,标准坦克设计!$B$24:$U$30,MATCH("对"&amp;LEFT($C$5,2)&amp;"输出",标准坦克设计!$B$23:$U$23,0)))*(VLOOKUP($B147,INDIRECT($B$5&amp;"生成成长"),3))*(VLOOKUP($B$5,标准坦克设计!$B$14:$K$20,9)/30))</f>
        <v>18.58770575637913</v>
      </c>
      <c r="EW147" s="172">
        <f ca="1">(VLOOKUP(EW$72,INDIRECT($C$5&amp;"生成成长"),2))/((VLOOKUP($B147,INDIRECT($B$5&amp;"生成成长"),4))/(VLOOKUP(EW$72,INDIRECT($C$5&amp;"生成成长"),5))*(VLOOKUP($B$5,标准坦克设计!$B$24:$U$30,MATCH("对"&amp;LEFT($C$5,2)&amp;"输出",标准坦克设计!$B$23:$U$23,0)))*(VLOOKUP($B147,INDIRECT($B$5&amp;"生成成长"),3))*(VLOOKUP($B$5,标准坦克设计!$B$14:$K$20,9)/30))</f>
        <v>19.961805887831879</v>
      </c>
      <c r="EX147" s="172">
        <f ca="1">(VLOOKUP(EX$72,INDIRECT($C$5&amp;"生成成长"),2))/((VLOOKUP($B147,INDIRECT($B$5&amp;"生成成长"),4))/(VLOOKUP(EX$72,INDIRECT($C$5&amp;"生成成长"),5))*(VLOOKUP($B$5,标准坦克设计!$B$24:$U$30,MATCH("对"&amp;LEFT($C$5,2)&amp;"输出",标准坦克设计!$B$23:$U$23,0)))*(VLOOKUP($B147,INDIRECT($B$5&amp;"生成成长"),3))*(VLOOKUP($B$5,标准坦克设计!$B$14:$K$20,9)/30))</f>
        <v>21.384901485884235</v>
      </c>
      <c r="EY147" s="172">
        <f ca="1">(VLOOKUP(EY$72,INDIRECT($C$5&amp;"生成成长"),2))/((VLOOKUP($B147,INDIRECT($B$5&amp;"生成成长"),4))/(VLOOKUP(EY$72,INDIRECT($C$5&amp;"生成成长"),5))*(VLOOKUP($B$5,标准坦克设计!$B$24:$U$30,MATCH("对"&amp;LEFT($C$5,2)&amp;"输出",标准坦克设计!$B$23:$U$23,0)))*(VLOOKUP($B147,INDIRECT($B$5&amp;"生成成长"),3))*(VLOOKUP($B$5,标准坦克设计!$B$14:$K$20,9)/30))</f>
        <v>22.856992550536201</v>
      </c>
      <c r="EZ147" s="172">
        <f ca="1">(VLOOKUP(EZ$72,INDIRECT($C$5&amp;"生成成长"),2))/((VLOOKUP($B147,INDIRECT($B$5&amp;"生成成长"),4))/(VLOOKUP(EZ$72,INDIRECT($C$5&amp;"生成成长"),5))*(VLOOKUP($B$5,标准坦克设计!$B$24:$U$30,MATCH("对"&amp;LEFT($C$5,2)&amp;"输出",标准坦克设计!$B$23:$U$23,0)))*(VLOOKUP($B147,INDIRECT($B$5&amp;"生成成长"),3))*(VLOOKUP($B$5,标准坦克设计!$B$14:$K$20,9)/30))</f>
        <v>24.378079081787789</v>
      </c>
      <c r="FA147" s="172">
        <f ca="1">(VLOOKUP(FA$72,INDIRECT($C$5&amp;"生成成长"),2))/((VLOOKUP($B147,INDIRECT($B$5&amp;"生成成长"),4))/(VLOOKUP(FA$72,INDIRECT($C$5&amp;"生成成长"),5))*(VLOOKUP($B$5,标准坦克设计!$B$24:$U$30,MATCH("对"&amp;LEFT($C$5,2)&amp;"输出",标准坦克设计!$B$23:$U$23,0)))*(VLOOKUP($B147,INDIRECT($B$5&amp;"生成成长"),3))*(VLOOKUP($B$5,标准坦克设计!$B$14:$K$20,9)/30))</f>
        <v>25.948161079638972</v>
      </c>
      <c r="FB147" s="172">
        <f ca="1">(VLOOKUP(FB$72,INDIRECT($C$5&amp;"生成成长"),2))/((VLOOKUP($B147,INDIRECT($B$5&amp;"生成成长"),4))/(VLOOKUP(FB$72,INDIRECT($C$5&amp;"生成成长"),5))*(VLOOKUP($B$5,标准坦克设计!$B$24:$U$30,MATCH("对"&amp;LEFT($C$5,2)&amp;"输出",标准坦克设计!$B$23:$U$23,0)))*(VLOOKUP($B147,INDIRECT($B$5&amp;"生成成长"),3))*(VLOOKUP($B$5,标准坦克设计!$B$14:$K$20,9)/30))</f>
        <v>27.567238544089779</v>
      </c>
      <c r="FC147" s="172">
        <f ca="1">(VLOOKUP(FC$72,INDIRECT($C$5&amp;"生成成长"),2))/((VLOOKUP($B147,INDIRECT($B$5&amp;"生成成长"),4))/(VLOOKUP(FC$72,INDIRECT($C$5&amp;"生成成长"),5))*(VLOOKUP($B$5,标准坦克设计!$B$24:$U$30,MATCH("对"&amp;LEFT($C$5,2)&amp;"输出",标准坦克设计!$B$23:$U$23,0)))*(VLOOKUP($B147,INDIRECT($B$5&amp;"生成成长"),3))*(VLOOKUP($B$5,标准坦克设计!$B$14:$K$20,9)/30))</f>
        <v>29.2353114751402</v>
      </c>
      <c r="FD147" s="172">
        <f ca="1">(VLOOKUP(FD$72,INDIRECT($C$5&amp;"生成成长"),2))/((VLOOKUP($B147,INDIRECT($B$5&amp;"生成成长"),4))/(VLOOKUP(FD$72,INDIRECT($C$5&amp;"生成成长"),5))*(VLOOKUP($B$5,标准坦克设计!$B$24:$U$30,MATCH("对"&amp;LEFT($C$5,2)&amp;"输出",标准坦克设计!$B$23:$U$23,0)))*(VLOOKUP($B147,INDIRECT($B$5&amp;"生成成长"),3))*(VLOOKUP($B$5,标准坦克设计!$B$14:$K$20,9)/30))</f>
        <v>30.952379872790228</v>
      </c>
      <c r="FE147" s="172">
        <f ca="1">(VLOOKUP(FE$72,INDIRECT($C$5&amp;"生成成长"),2))/((VLOOKUP($B147,INDIRECT($B$5&amp;"生成成长"),4))/(VLOOKUP(FE$72,INDIRECT($C$5&amp;"生成成长"),5))*(VLOOKUP($B$5,标准坦克设计!$B$24:$U$30,MATCH("对"&amp;LEFT($C$5,2)&amp;"输出",标准坦克设计!$B$23:$U$23,0)))*(VLOOKUP($B147,INDIRECT($B$5&amp;"生成成长"),3))*(VLOOKUP($B$5,标准坦克设计!$B$14:$K$20,9)/30))</f>
        <v>33.044810233562899</v>
      </c>
      <c r="FF147" s="172">
        <f ca="1">(VLOOKUP(FF$72,INDIRECT($C$5&amp;"生成成长"),2))/((VLOOKUP($B147,INDIRECT($B$5&amp;"生成成长"),4))/(VLOOKUP(FF$72,INDIRECT($C$5&amp;"生成成长"),5))*(VLOOKUP($B$5,标准坦克设计!$B$24:$U$30,MATCH("对"&amp;LEFT($C$5,2)&amp;"输出",标准坦克设计!$B$23:$U$23,0)))*(VLOOKUP($B147,INDIRECT($B$5&amp;"生成成长"),3))*(VLOOKUP($B$5,标准坦克设计!$B$14:$K$20,9)/30))</f>
        <v>35.2056722790904</v>
      </c>
      <c r="FG147" s="172">
        <f ca="1">(VLOOKUP(FG$72,INDIRECT($C$5&amp;"生成成长"),2))/((VLOOKUP($B147,INDIRECT($B$5&amp;"生成成长"),4))/(VLOOKUP(FG$72,INDIRECT($C$5&amp;"生成成长"),5))*(VLOOKUP($B$5,标准坦克设计!$B$24:$U$30,MATCH("对"&amp;LEFT($C$5,2)&amp;"输出",标准坦克设计!$B$23:$U$23,0)))*(VLOOKUP($B147,INDIRECT($B$5&amp;"生成成长"),3))*(VLOOKUP($B$5,标准坦克设计!$B$14:$K$20,9)/30))</f>
        <v>37.434966009372737</v>
      </c>
      <c r="FH147" s="172">
        <f ca="1">(VLOOKUP(FH$72,INDIRECT($C$5&amp;"生成成长"),2))/((VLOOKUP($B147,INDIRECT($B$5&amp;"生成成长"),4))/(VLOOKUP(FH$72,INDIRECT($C$5&amp;"生成成长"),5))*(VLOOKUP($B$5,标准坦克设计!$B$24:$U$30,MATCH("对"&amp;LEFT($C$5,2)&amp;"输出",标准坦克设计!$B$23:$U$23,0)))*(VLOOKUP($B147,INDIRECT($B$5&amp;"生成成长"),3))*(VLOOKUP($B$5,标准坦克设计!$B$14:$K$20,9)/30))</f>
        <v>39.7326914244099</v>
      </c>
      <c r="FI147" s="172">
        <f ca="1">(VLOOKUP(FI$72,INDIRECT($C$5&amp;"生成成长"),2))/((VLOOKUP($B147,INDIRECT($B$5&amp;"生成成长"),4))/(VLOOKUP(FI$72,INDIRECT($C$5&amp;"生成成长"),5))*(VLOOKUP($B$5,标准坦克设计!$B$24:$U$30,MATCH("对"&amp;LEFT($C$5,2)&amp;"输出",标准坦克设计!$B$23:$U$23,0)))*(VLOOKUP($B147,INDIRECT($B$5&amp;"生成成长"),3))*(VLOOKUP($B$5,标准坦克设计!$B$14:$K$20,9)/30))</f>
        <v>42.098848524201884</v>
      </c>
      <c r="FJ147" s="172">
        <f ca="1">(VLOOKUP(FJ$72,INDIRECT($C$5&amp;"生成成长"),2))/((VLOOKUP($B147,INDIRECT($B$5&amp;"生成成长"),4))/(VLOOKUP(FJ$72,INDIRECT($C$5&amp;"生成成长"),5))*(VLOOKUP($B$5,标准坦克设计!$B$24:$U$30,MATCH("对"&amp;LEFT($C$5,2)&amp;"输出",标准坦克设计!$B$23:$U$23,0)))*(VLOOKUP($B147,INDIRECT($B$5&amp;"生成成长"),3))*(VLOOKUP($B$5,标准坦克设计!$B$14:$K$20,9)/30))</f>
        <v>44.533437308748702</v>
      </c>
      <c r="FK147" s="172">
        <f ca="1">(VLOOKUP(FK$72,INDIRECT($C$5&amp;"生成成长"),2))/((VLOOKUP($B147,INDIRECT($B$5&amp;"生成成长"),4))/(VLOOKUP(FK$72,INDIRECT($C$5&amp;"生成成长"),5))*(VLOOKUP($B$5,标准坦克设计!$B$24:$U$30,MATCH("对"&amp;LEFT($C$5,2)&amp;"输出",标准坦克设计!$B$23:$U$23,0)))*(VLOOKUP($B147,INDIRECT($B$5&amp;"生成成长"),3))*(VLOOKUP($B$5,标准坦克设计!$B$14:$K$20,9)/30))</f>
        <v>47.036457778050362</v>
      </c>
    </row>
    <row r="148" spans="1:167" x14ac:dyDescent="0.15">
      <c r="A148" s="170" t="str">
        <f t="shared" si="12"/>
        <v>T4中品质4级</v>
      </c>
      <c r="B148" s="171">
        <v>20404</v>
      </c>
      <c r="C148" s="172">
        <f ca="1">(VLOOKUP(C$72,INDIRECT($C$5&amp;"生成成长"),2))/((VLOOKUP($B148,INDIRECT($B$5&amp;"生成成长"),4))/(VLOOKUP(C$72,INDIRECT($C$5&amp;"生成成长"),5))*(VLOOKUP($B$5,标准坦克设计!$B$24:$U$30,MATCH("对"&amp;LEFT($C$5,2)&amp;"输出",标准坦克设计!$B$23:$U$23,0)))*(VLOOKUP($B148,INDIRECT($B$5&amp;"生成成长"),3))*(VLOOKUP($B$5,标准坦克设计!$B$14:$K$20,9)/30))</f>
        <v>1.8393392757159763</v>
      </c>
      <c r="D148" s="172">
        <f ca="1">(VLOOKUP(D$72,INDIRECT($C$5&amp;"生成成长"),2))/((VLOOKUP($B148,INDIRECT($B$5&amp;"生成成长"),4))/(VLOOKUP(D$72,INDIRECT($C$5&amp;"生成成长"),5))*(VLOOKUP($B$5,标准坦克设计!$B$24:$U$30,MATCH("对"&amp;LEFT($C$5,2)&amp;"输出",标准坦克设计!$B$23:$U$23,0)))*(VLOOKUP($B148,INDIRECT($B$5&amp;"生成成长"),3))*(VLOOKUP($B$5,标准坦克设计!$B$14:$K$20,9)/30))</f>
        <v>2.0666816101944705</v>
      </c>
      <c r="E148" s="172">
        <f ca="1">(VLOOKUP(E$72,INDIRECT($C$5&amp;"生成成长"),2))/((VLOOKUP($B148,INDIRECT($B$5&amp;"生成成长"),4))/(VLOOKUP(E$72,INDIRECT($C$5&amp;"生成成长"),5))*(VLOOKUP($B$5,标准坦克设计!$B$24:$U$30,MATCH("对"&amp;LEFT($C$5,2)&amp;"输出",标准坦克设计!$B$23:$U$23,0)))*(VLOOKUP($B148,INDIRECT($B$5&amp;"生成成长"),3))*(VLOOKUP($B$5,标准坦克设计!$B$14:$K$20,9)/30))</f>
        <v>2.3072671874581201</v>
      </c>
      <c r="F148" s="172">
        <f ca="1">(VLOOKUP(F$72,INDIRECT($C$5&amp;"生成成长"),2))/((VLOOKUP($B148,INDIRECT($B$5&amp;"生成成长"),4))/(VLOOKUP(F$72,INDIRECT($C$5&amp;"生成成长"),5))*(VLOOKUP($B$5,标准坦克设计!$B$24:$U$30,MATCH("对"&amp;LEFT($C$5,2)&amp;"输出",标准坦克设计!$B$23:$U$23,0)))*(VLOOKUP($B148,INDIRECT($B$5&amp;"生成成长"),3))*(VLOOKUP($B$5,标准坦克设计!$B$14:$K$20,9)/30))</f>
        <v>2.5610960075069249</v>
      </c>
      <c r="G148" s="172">
        <f ca="1">(VLOOKUP(G$72,INDIRECT($C$5&amp;"生成成长"),2))/((VLOOKUP($B148,INDIRECT($B$5&amp;"生成成长"),4))/(VLOOKUP(G$72,INDIRECT($C$5&amp;"生成成长"),5))*(VLOOKUP($B$5,标准坦克设计!$B$24:$U$30,MATCH("对"&amp;LEFT($C$5,2)&amp;"输出",标准坦克设计!$B$23:$U$23,0)))*(VLOOKUP($B148,INDIRECT($B$5&amp;"生成成长"),3))*(VLOOKUP($B$5,标准坦克设计!$B$14:$K$20,9)/30))</f>
        <v>2.8281680703408845</v>
      </c>
      <c r="H148" s="172">
        <f ca="1">(VLOOKUP(H$72,INDIRECT($C$5&amp;"生成成长"),2))/((VLOOKUP($B148,INDIRECT($B$5&amp;"生成成长"),4))/(VLOOKUP(H$72,INDIRECT($C$5&amp;"生成成长"),5))*(VLOOKUP($B$5,标准坦克设计!$B$24:$U$30,MATCH("对"&amp;LEFT($C$5,2)&amp;"输出",标准坦克设计!$B$23:$U$23,0)))*(VLOOKUP($B148,INDIRECT($B$5&amp;"生成成长"),3))*(VLOOKUP($B$5,标准坦克设计!$B$14:$K$20,9)/30))</f>
        <v>2.4750149294034176</v>
      </c>
      <c r="I148" s="172">
        <f ca="1">(VLOOKUP(I$72,INDIRECT($C$5&amp;"生成成长"),2))/((VLOOKUP($B148,INDIRECT($B$5&amp;"生成成长"),4))/(VLOOKUP(I$72,INDIRECT($C$5&amp;"生成成长"),5))*(VLOOKUP($B$5,标准坦克设计!$B$24:$U$30,MATCH("对"&amp;LEFT($C$5,2)&amp;"输出",标准坦克设计!$B$23:$U$23,0)))*(VLOOKUP($B148,INDIRECT($B$5&amp;"生成成长"),3))*(VLOOKUP($B$5,标准坦克设计!$B$14:$K$20,9)/30))</f>
        <v>2.8281680703408845</v>
      </c>
      <c r="J148" s="172">
        <f ca="1">(VLOOKUP(J$72,INDIRECT($C$5&amp;"生成成长"),2))/((VLOOKUP($B148,INDIRECT($B$5&amp;"生成成长"),4))/(VLOOKUP(J$72,INDIRECT($C$5&amp;"生成成长"),5))*(VLOOKUP($B$5,标准坦克设计!$B$24:$U$30,MATCH("对"&amp;LEFT($C$5,2)&amp;"输出",标准坦克设计!$B$23:$U$23,0)))*(VLOOKUP($B148,INDIRECT($B$5&amp;"生成成长"),3))*(VLOOKUP($B$5,标准坦克设计!$B$14:$K$20,9)/30))</f>
        <v>3.2048647540075166</v>
      </c>
      <c r="K148" s="172">
        <f ca="1">(VLOOKUP(K$72,INDIRECT($C$5&amp;"生成成长"),2))/((VLOOKUP($B148,INDIRECT($B$5&amp;"生成成长"),4))/(VLOOKUP(K$72,INDIRECT($C$5&amp;"生成成长"),5))*(VLOOKUP($B$5,标准坦克设计!$B$24:$U$30,MATCH("对"&amp;LEFT($C$5,2)&amp;"输出",标准坦克设计!$B$23:$U$23,0)))*(VLOOKUP($B148,INDIRECT($B$5&amp;"生成成长"),3))*(VLOOKUP($B$5,标准坦克设计!$B$14:$K$20,9)/30))</f>
        <v>3.6051049804033126</v>
      </c>
      <c r="L148" s="172">
        <f ca="1">(VLOOKUP(L$72,INDIRECT($C$5&amp;"生成成长"),2))/((VLOOKUP($B148,INDIRECT($B$5&amp;"生成成长"),4))/(VLOOKUP(L$72,INDIRECT($C$5&amp;"生成成长"),5))*(VLOOKUP($B$5,标准坦克设计!$B$24:$U$30,MATCH("对"&amp;LEFT($C$5,2)&amp;"输出",标准坦克设计!$B$23:$U$23,0)))*(VLOOKUP($B148,INDIRECT($B$5&amp;"生成成长"),3))*(VLOOKUP($B$5,标准坦克设计!$B$14:$K$20,9)/30))</f>
        <v>4.0288887495282744</v>
      </c>
      <c r="M148" s="172">
        <f ca="1">(VLOOKUP(M$72,INDIRECT($C$5&amp;"生成成长"),2))/((VLOOKUP($B148,INDIRECT($B$5&amp;"生成成长"),4))/(VLOOKUP(M$72,INDIRECT($C$5&amp;"生成成长"),5))*(VLOOKUP($B$5,标准坦克设计!$B$24:$U$30,MATCH("对"&amp;LEFT($C$5,2)&amp;"输出",标准坦克设计!$B$23:$U$23,0)))*(VLOOKUP($B148,INDIRECT($B$5&amp;"生成成长"),3))*(VLOOKUP($B$5,标准坦克设计!$B$14:$K$20,9)/30))</f>
        <v>4.4762160613823996</v>
      </c>
      <c r="N148" s="172">
        <f ca="1">(VLOOKUP(N$72,INDIRECT($C$5&amp;"生成成长"),2))/((VLOOKUP($B148,INDIRECT($B$5&amp;"生成成长"),4))/(VLOOKUP(N$72,INDIRECT($C$5&amp;"生成成长"),5))*(VLOOKUP($B$5,标准坦克设计!$B$24:$U$30,MATCH("对"&amp;LEFT($C$5,2)&amp;"输出",标准坦克设计!$B$23:$U$23,0)))*(VLOOKUP($B148,INDIRECT($B$5&amp;"生成成长"),3))*(VLOOKUP($B$5,标准坦克设计!$B$14:$K$20,9)/30))</f>
        <v>4.9470869159656878</v>
      </c>
      <c r="O148" s="172">
        <f ca="1">(VLOOKUP(O$72,INDIRECT($C$5&amp;"生成成长"),2))/((VLOOKUP($B148,INDIRECT($B$5&amp;"生成成长"),4))/(VLOOKUP(O$72,INDIRECT($C$5&amp;"生成成长"),5))*(VLOOKUP($B$5,标准坦克设计!$B$24:$U$30,MATCH("对"&amp;LEFT($C$5,2)&amp;"输出",标准坦克设计!$B$23:$U$23,0)))*(VLOOKUP($B148,INDIRECT($B$5&amp;"生成成长"),3))*(VLOOKUP($B$5,标准坦克设计!$B$14:$K$20,9)/30))</f>
        <v>3.7612648849115988</v>
      </c>
      <c r="P148" s="172">
        <f ca="1">(VLOOKUP(P$72,INDIRECT($C$5&amp;"生成成长"),2))/((VLOOKUP($B148,INDIRECT($B$5&amp;"生成成长"),4))/(VLOOKUP(P$72,INDIRECT($C$5&amp;"生成成长"),5))*(VLOOKUP($B$5,标准坦克设计!$B$24:$U$30,MATCH("对"&amp;LEFT($C$5,2)&amp;"输出",标准坦克设计!$B$23:$U$23,0)))*(VLOOKUP($B148,INDIRECT($B$5&amp;"生成成长"),3))*(VLOOKUP($B$5,标准坦克设计!$B$14:$K$20,9)/30))</f>
        <v>4.2496094626141909</v>
      </c>
      <c r="Q148" s="172">
        <f ca="1">(VLOOKUP(Q$72,INDIRECT($C$5&amp;"生成成长"),2))/((VLOOKUP($B148,INDIRECT($B$5&amp;"生成成长"),4))/(VLOOKUP(Q$72,INDIRECT($C$5&amp;"生成成长"),5))*(VLOOKUP($B$5,标准坦克设计!$B$24:$U$30,MATCH("对"&amp;LEFT($C$5,2)&amp;"输出",标准坦克设计!$B$23:$U$23,0)))*(VLOOKUP($B148,INDIRECT($B$5&amp;"生成成长"),3))*(VLOOKUP($B$5,标准坦克设计!$B$14:$K$20,9)/30))</f>
        <v>4.7677513365833812</v>
      </c>
      <c r="R148" s="172">
        <f ca="1">(VLOOKUP(R$72,INDIRECT($C$5&amp;"生成成长"),2))/((VLOOKUP($B148,INDIRECT($B$5&amp;"生成成长"),4))/(VLOOKUP(R$72,INDIRECT($C$5&amp;"生成成长"),5))*(VLOOKUP($B$5,标准坦克设计!$B$24:$U$30,MATCH("对"&amp;LEFT($C$5,2)&amp;"输出",标准坦克设计!$B$23:$U$23,0)))*(VLOOKUP($B148,INDIRECT($B$5&amp;"生成成长"),3))*(VLOOKUP($B$5,标准坦克设计!$B$14:$K$20,9)/30))</f>
        <v>5.3156905068191707</v>
      </c>
      <c r="S148" s="172">
        <f ca="1">(VLOOKUP(S$72,INDIRECT($C$5&amp;"生成成长"),2))/((VLOOKUP($B148,INDIRECT($B$5&amp;"生成成长"),4))/(VLOOKUP(S$72,INDIRECT($C$5&amp;"生成成长"),5))*(VLOOKUP($B$5,标准坦克设计!$B$24:$U$30,MATCH("对"&amp;LEFT($C$5,2)&amp;"输出",标准坦克设计!$B$23:$U$23,0)))*(VLOOKUP($B148,INDIRECT($B$5&amp;"生成成长"),3))*(VLOOKUP($B$5,标准坦克设计!$B$14:$K$20,9)/30))</f>
        <v>5.8934269733215574</v>
      </c>
      <c r="T148" s="172">
        <f ca="1">(VLOOKUP(T$72,INDIRECT($C$5&amp;"生成成长"),2))/((VLOOKUP($B148,INDIRECT($B$5&amp;"生成成长"),4))/(VLOOKUP(T$72,INDIRECT($C$5&amp;"生成成长"),5))*(VLOOKUP($B$5,标准坦克设计!$B$24:$U$30,MATCH("对"&amp;LEFT($C$5,2)&amp;"输出",标准坦克设计!$B$23:$U$23,0)))*(VLOOKUP($B148,INDIRECT($B$5&amp;"生成成长"),3))*(VLOOKUP($B$5,标准坦克设计!$B$14:$K$20,9)/30))</f>
        <v>6.5009607360905441</v>
      </c>
      <c r="U148" s="172">
        <f ca="1">(VLOOKUP(U$72,INDIRECT($C$5&amp;"生成成长"),2))/((VLOOKUP($B148,INDIRECT($B$5&amp;"生成成长"),4))/(VLOOKUP(U$72,INDIRECT($C$5&amp;"生成成长"),5))*(VLOOKUP($B$5,标准坦克设计!$B$24:$U$30,MATCH("对"&amp;LEFT($C$5,2)&amp;"输出",标准坦克设计!$B$23:$U$23,0)))*(VLOOKUP($B148,INDIRECT($B$5&amp;"生成成长"),3))*(VLOOKUP($B$5,标准坦克设计!$B$14:$K$20,9)/30))</f>
        <v>7.1382917951261309</v>
      </c>
      <c r="V148" s="172">
        <f ca="1">(VLOOKUP(V$72,INDIRECT($C$5&amp;"生成成长"),2))/((VLOOKUP($B148,INDIRECT($B$5&amp;"生成成长"),4))/(VLOOKUP(V$72,INDIRECT($C$5&amp;"生成成长"),5))*(VLOOKUP($B$5,标准坦克设计!$B$24:$U$30,MATCH("对"&amp;LEFT($C$5,2)&amp;"输出",标准坦克设计!$B$23:$U$23,0)))*(VLOOKUP($B148,INDIRECT($B$5&amp;"生成成长"),3))*(VLOOKUP($B$5,标准坦克设计!$B$14:$K$20,9)/30))</f>
        <v>7.8054201504283158</v>
      </c>
      <c r="W148" s="172">
        <f ca="1">(VLOOKUP(W$72,INDIRECT($C$5&amp;"生成成长"),2))/((VLOOKUP($B148,INDIRECT($B$5&amp;"生成成长"),4))/(VLOOKUP(W$72,INDIRECT($C$5&amp;"生成成长"),5))*(VLOOKUP($B$5,标准坦克设计!$B$24:$U$30,MATCH("对"&amp;LEFT($C$5,2)&amp;"输出",标准坦克设计!$B$23:$U$23,0)))*(VLOOKUP($B148,INDIRECT($B$5&amp;"生成成长"),3))*(VLOOKUP($B$5,标准坦克设计!$B$14:$K$20,9)/30))</f>
        <v>8.5023458019970999</v>
      </c>
      <c r="X148" s="172">
        <f ca="1">(VLOOKUP(X$72,INDIRECT($C$5&amp;"生成成长"),2))/((VLOOKUP($B148,INDIRECT($B$5&amp;"生成成长"),4))/(VLOOKUP(X$72,INDIRECT($C$5&amp;"生成成长"),5))*(VLOOKUP($B$5,标准坦克设计!$B$24:$U$30,MATCH("对"&amp;LEFT($C$5,2)&amp;"输出",标准坦克设计!$B$23:$U$23,0)))*(VLOOKUP($B148,INDIRECT($B$5&amp;"生成成长"),3))*(VLOOKUP($B$5,标准坦克设计!$B$14:$K$20,9)/30))</f>
        <v>6.1597633004452312</v>
      </c>
      <c r="Y148" s="172">
        <f ca="1">(VLOOKUP(Y$72,INDIRECT($C$5&amp;"生成成长"),2))/((VLOOKUP($B148,INDIRECT($B$5&amp;"生成成长"),4))/(VLOOKUP(Y$72,INDIRECT($C$5&amp;"生成成长"),5))*(VLOOKUP($B$5,标准坦克设计!$B$24:$U$30,MATCH("对"&amp;LEFT($C$5,2)&amp;"输出",标准坦克设计!$B$23:$U$23,0)))*(VLOOKUP($B148,INDIRECT($B$5&amp;"生成成长"),3))*(VLOOKUP($B$5,标准坦克设计!$B$14:$K$20,9)/30))</f>
        <v>6.8513548681144378</v>
      </c>
      <c r="Z148" s="172">
        <f ca="1">(VLOOKUP(Z$72,INDIRECT($C$5&amp;"生成成长"),2))/((VLOOKUP($B148,INDIRECT($B$5&amp;"生成成长"),4))/(VLOOKUP(Z$72,INDIRECT($C$5&amp;"生成成长"),5))*(VLOOKUP($B$5,标准坦克设计!$B$24:$U$30,MATCH("对"&amp;LEFT($C$5,2)&amp;"输出",标准坦克设计!$B$23:$U$23,0)))*(VLOOKUP($B148,INDIRECT($B$5&amp;"生成成长"),3))*(VLOOKUP($B$5,标准坦克设计!$B$14:$K$20,9)/30))</f>
        <v>7.5797332212979658</v>
      </c>
      <c r="AA148" s="172">
        <f ca="1">(VLOOKUP(AA$72,INDIRECT($C$5&amp;"生成成长"),2))/((VLOOKUP($B148,INDIRECT($B$5&amp;"生成成长"),4))/(VLOOKUP(AA$72,INDIRECT($C$5&amp;"生成成长"),5))*(VLOOKUP($B$5,标准坦克设计!$B$24:$U$30,MATCH("对"&amp;LEFT($C$5,2)&amp;"输出",标准坦克设计!$B$23:$U$23,0)))*(VLOOKUP($B148,INDIRECT($B$5&amp;"生成成长"),3))*(VLOOKUP($B$5,标准坦克设计!$B$14:$K$20,9)/30))</f>
        <v>8.3448983599958115</v>
      </c>
      <c r="AB148" s="172">
        <f ca="1">(VLOOKUP(AB$72,INDIRECT($C$5&amp;"生成成长"),2))/((VLOOKUP($B148,INDIRECT($B$5&amp;"生成成长"),4))/(VLOOKUP(AB$72,INDIRECT($C$5&amp;"生成成长"),5))*(VLOOKUP($B$5,标准坦克设计!$B$24:$U$30,MATCH("对"&amp;LEFT($C$5,2)&amp;"输出",标准坦克设计!$B$23:$U$23,0)))*(VLOOKUP($B148,INDIRECT($B$5&amp;"生成成长"),3))*(VLOOKUP($B$5,标准坦克设计!$B$14:$K$20,9)/30))</f>
        <v>9.1468502842079769</v>
      </c>
      <c r="AC148" s="172">
        <f ca="1">(VLOOKUP(AC$72,INDIRECT($C$5&amp;"生成成长"),2))/((VLOOKUP($B148,INDIRECT($B$5&amp;"生成成长"),4))/(VLOOKUP(AC$72,INDIRECT($C$5&amp;"生成成长"),5))*(VLOOKUP($B$5,标准坦克设计!$B$24:$U$30,MATCH("对"&amp;LEFT($C$5,2)&amp;"输出",标准坦克设计!$B$23:$U$23,0)))*(VLOOKUP($B148,INDIRECT($B$5&amp;"生成成长"),3))*(VLOOKUP($B$5,标准坦克设计!$B$14:$K$20,9)/30))</f>
        <v>9.9855889939344635</v>
      </c>
      <c r="AD148" s="172">
        <f ca="1">(VLOOKUP(AD$72,INDIRECT($C$5&amp;"生成成长"),2))/((VLOOKUP($B148,INDIRECT($B$5&amp;"生成成长"),4))/(VLOOKUP(AD$72,INDIRECT($C$5&amp;"生成成长"),5))*(VLOOKUP($B$5,标准坦克设计!$B$24:$U$30,MATCH("对"&amp;LEFT($C$5,2)&amp;"输出",标准坦克设计!$B$23:$U$23,0)))*(VLOOKUP($B148,INDIRECT($B$5&amp;"生成成长"),3))*(VLOOKUP($B$5,标准坦克设计!$B$14:$K$20,9)/30))</f>
        <v>10.861114489175266</v>
      </c>
      <c r="AE148" s="172">
        <f ca="1">(VLOOKUP(AE$72,INDIRECT($C$5&amp;"生成成长"),2))/((VLOOKUP($B148,INDIRECT($B$5&amp;"生成成长"),4))/(VLOOKUP(AE$72,INDIRECT($C$5&amp;"生成成长"),5))*(VLOOKUP($B$5,标准坦克设计!$B$24:$U$30,MATCH("对"&amp;LEFT($C$5,2)&amp;"输出",标准坦克设计!$B$23:$U$23,0)))*(VLOOKUP($B148,INDIRECT($B$5&amp;"生成成长"),3))*(VLOOKUP($B$5,标准坦克设计!$B$14:$K$20,9)/30))</f>
        <v>11.77342676993039</v>
      </c>
      <c r="AF148" s="172">
        <f ca="1">(VLOOKUP(AF$72,INDIRECT($C$5&amp;"生成成长"),2))/((VLOOKUP($B148,INDIRECT($B$5&amp;"生成成长"),4))/(VLOOKUP(AF$72,INDIRECT($C$5&amp;"生成成长"),5))*(VLOOKUP($B$5,标准坦克设计!$B$24:$U$30,MATCH("对"&amp;LEFT($C$5,2)&amp;"输出",标准坦克设计!$B$23:$U$23,0)))*(VLOOKUP($B148,INDIRECT($B$5&amp;"生成成长"),3))*(VLOOKUP($B$5,标准坦克设计!$B$14:$K$20,9)/30))</f>
        <v>12.722525836199834</v>
      </c>
      <c r="AG148" s="172">
        <f ca="1">(VLOOKUP(AG$72,INDIRECT($C$5&amp;"生成成长"),2))/((VLOOKUP($B148,INDIRECT($B$5&amp;"生成成长"),4))/(VLOOKUP(AG$72,INDIRECT($C$5&amp;"生成成长"),5))*(VLOOKUP($B$5,标准坦克设计!$B$24:$U$30,MATCH("对"&amp;LEFT($C$5,2)&amp;"输出",标准坦克设计!$B$23:$U$23,0)))*(VLOOKUP($B148,INDIRECT($B$5&amp;"生成成长"),3))*(VLOOKUP($B$5,标准坦克设计!$B$14:$K$20,9)/30))</f>
        <v>13.708411687983597</v>
      </c>
      <c r="AH148" s="172">
        <f ca="1">(VLOOKUP(AH$72,INDIRECT($C$5&amp;"生成成长"),2))/((VLOOKUP($B148,INDIRECT($B$5&amp;"生成成长"),4))/(VLOOKUP(AH$72,INDIRECT($C$5&amp;"生成成长"),5))*(VLOOKUP($B$5,标准坦克设计!$B$24:$U$30,MATCH("对"&amp;LEFT($C$5,2)&amp;"输出",标准坦克设计!$B$23:$U$23,0)))*(VLOOKUP($B148,INDIRECT($B$5&amp;"生成成长"),3))*(VLOOKUP($B$5,标准坦克设计!$B$14:$K$20,9)/30))</f>
        <v>14.731084325281682</v>
      </c>
      <c r="AI148" s="172">
        <f ca="1">(VLOOKUP(AI$72,INDIRECT($C$5&amp;"生成成长"),2))/((VLOOKUP($B148,INDIRECT($B$5&amp;"生成成长"),4))/(VLOOKUP(AI$72,INDIRECT($C$5&amp;"生成成长"),5))*(VLOOKUP($B$5,标准坦克设计!$B$24:$U$30,MATCH("对"&amp;LEFT($C$5,2)&amp;"输出",标准坦克设计!$B$23:$U$23,0)))*(VLOOKUP($B148,INDIRECT($B$5&amp;"生成成长"),3))*(VLOOKUP($B$5,标准坦克设计!$B$14:$K$20,9)/30))</f>
        <v>10.418753393365574</v>
      </c>
      <c r="AJ148" s="172">
        <f ca="1">(VLOOKUP(AJ$72,INDIRECT($C$5&amp;"生成成长"),2))/((VLOOKUP($B148,INDIRECT($B$5&amp;"生成成长"),4))/(VLOOKUP(AJ$72,INDIRECT($C$5&amp;"生成成长"),5))*(VLOOKUP($B$5,标准坦克设计!$B$24:$U$30,MATCH("对"&amp;LEFT($C$5,2)&amp;"输出",标准坦克设计!$B$23:$U$23,0)))*(VLOOKUP($B148,INDIRECT($B$5&amp;"生成成长"),3))*(VLOOKUP($B$5,标准坦克设计!$B$14:$K$20,9)/30))</f>
        <v>11.404087443366622</v>
      </c>
      <c r="AK148" s="172">
        <f ca="1">(VLOOKUP(AK$72,INDIRECT($C$5&amp;"生成成长"),2))/((VLOOKUP($B148,INDIRECT($B$5&amp;"生成成长"),4))/(VLOOKUP(AK$72,INDIRECT($C$5&amp;"生成成长"),5))*(VLOOKUP($B$5,标准坦克设计!$B$24:$U$30,MATCH("对"&amp;LEFT($C$5,2)&amp;"输出",标准坦克设计!$B$23:$U$23,0)))*(VLOOKUP($B148,INDIRECT($B$5&amp;"生成成长"),3))*(VLOOKUP($B$5,标准坦克设计!$B$14:$K$20,9)/30))</f>
        <v>12.433933503839999</v>
      </c>
      <c r="AL148" s="172">
        <f ca="1">(VLOOKUP(AL$72,INDIRECT($C$5&amp;"生成成长"),2))/((VLOOKUP($B148,INDIRECT($B$5&amp;"生成成长"),4))/(VLOOKUP(AL$72,INDIRECT($C$5&amp;"生成成长"),5))*(VLOOKUP($B$5,标准坦克设计!$B$24:$U$30,MATCH("对"&amp;LEFT($C$5,2)&amp;"输出",标准坦克设计!$B$23:$U$23,0)))*(VLOOKUP($B148,INDIRECT($B$5&amp;"生成成长"),3))*(VLOOKUP($B$5,标准坦克设计!$B$14:$K$20,9)/30))</f>
        <v>13.508291574785698</v>
      </c>
      <c r="AM148" s="172">
        <f ca="1">(VLOOKUP(AM$72,INDIRECT($C$5&amp;"生成成长"),2))/((VLOOKUP($B148,INDIRECT($B$5&amp;"生成成长"),4))/(VLOOKUP(AM$72,INDIRECT($C$5&amp;"生成成长"),5))*(VLOOKUP($B$5,标准坦克设计!$B$24:$U$30,MATCH("对"&amp;LEFT($C$5,2)&amp;"输出",标准坦克设计!$B$23:$U$23,0)))*(VLOOKUP($B148,INDIRECT($B$5&amp;"生成成长"),3))*(VLOOKUP($B$5,标准坦克设计!$B$14:$K$20,9)/30))</f>
        <v>14.627161656203729</v>
      </c>
      <c r="AN148" s="172">
        <f ca="1">(VLOOKUP(AN$72,INDIRECT($C$5&amp;"生成成长"),2))/((VLOOKUP($B148,INDIRECT($B$5&amp;"生成成长"),4))/(VLOOKUP(AN$72,INDIRECT($C$5&amp;"生成成长"),5))*(VLOOKUP($B$5,标准坦克设计!$B$24:$U$30,MATCH("对"&amp;LEFT($C$5,2)&amp;"输出",标准坦克设计!$B$23:$U$23,0)))*(VLOOKUP($B148,INDIRECT($B$5&amp;"生成成长"),3))*(VLOOKUP($B$5,标准坦克设计!$B$14:$K$20,9)/30))</f>
        <v>15.79054374809408</v>
      </c>
      <c r="AO148" s="172">
        <f ca="1">(VLOOKUP(AO$72,INDIRECT($C$5&amp;"生成成长"),2))/((VLOOKUP($B148,INDIRECT($B$5&amp;"生成成长"),4))/(VLOOKUP(AO$72,INDIRECT($C$5&amp;"生成成长"),5))*(VLOOKUP($B$5,标准坦克设计!$B$24:$U$30,MATCH("对"&amp;LEFT($C$5,2)&amp;"输出",标准坦克设计!$B$23:$U$23,0)))*(VLOOKUP($B148,INDIRECT($B$5&amp;"生成成长"),3))*(VLOOKUP($B$5,标准坦克设计!$B$14:$K$20,9)/30))</f>
        <v>16.998437850456764</v>
      </c>
      <c r="AP148" s="172">
        <f ca="1">(VLOOKUP(AP$72,INDIRECT($C$5&amp;"生成成长"),2))/((VLOOKUP($B148,INDIRECT($B$5&amp;"生成成长"),4))/(VLOOKUP(AP$72,INDIRECT($C$5&amp;"生成成长"),5))*(VLOOKUP($B$5,标准坦克设计!$B$24:$U$30,MATCH("对"&amp;LEFT($C$5,2)&amp;"输出",标准坦克设计!$B$23:$U$23,0)))*(VLOOKUP($B148,INDIRECT($B$5&amp;"生成成长"),3))*(VLOOKUP($B$5,标准坦克设计!$B$14:$K$20,9)/30))</f>
        <v>18.250843963291771</v>
      </c>
      <c r="AQ148" s="172">
        <f ca="1">(VLOOKUP(AQ$72,INDIRECT($C$5&amp;"生成成长"),2))/((VLOOKUP($B148,INDIRECT($B$5&amp;"生成成长"),4))/(VLOOKUP(AQ$72,INDIRECT($C$5&amp;"生成成长"),5))*(VLOOKUP($B$5,标准坦克设计!$B$24:$U$30,MATCH("对"&amp;LEFT($C$5,2)&amp;"输出",标准坦克设计!$B$23:$U$23,0)))*(VLOOKUP($B148,INDIRECT($B$5&amp;"生成成长"),3))*(VLOOKUP($B$5,标准坦克设计!$B$14:$K$20,9)/30))</f>
        <v>19.547762086599104</v>
      </c>
      <c r="AR148" s="172">
        <f ca="1">(VLOOKUP(AR$72,INDIRECT($C$5&amp;"生成成长"),2))/((VLOOKUP($B148,INDIRECT($B$5&amp;"生成成长"),4))/(VLOOKUP(AR$72,INDIRECT($C$5&amp;"生成成长"),5))*(VLOOKUP($B$5,标准坦克设计!$B$24:$U$30,MATCH("对"&amp;LEFT($C$5,2)&amp;"输出",标准坦克设计!$B$23:$U$23,0)))*(VLOOKUP($B148,INDIRECT($B$5&amp;"生成成长"),3))*(VLOOKUP($B$5,标准坦克设计!$B$14:$K$20,9)/30))</f>
        <v>20.889192220378767</v>
      </c>
      <c r="AS148" s="172">
        <f ca="1">(VLOOKUP(AS$72,INDIRECT($C$5&amp;"生成成长"),2))/((VLOOKUP($B148,INDIRECT($B$5&amp;"生成成长"),4))/(VLOOKUP(AS$72,INDIRECT($C$5&amp;"生成成长"),5))*(VLOOKUP($B$5,标准坦克设计!$B$24:$U$30,MATCH("对"&amp;LEFT($C$5,2)&amp;"输出",标准坦克设计!$B$23:$U$23,0)))*(VLOOKUP($B148,INDIRECT($B$5&amp;"生成成长"),3))*(VLOOKUP($B$5,标准坦克设计!$B$14:$K$20,9)/30))</f>
        <v>22.275134364630752</v>
      </c>
      <c r="AT148" s="172">
        <f ca="1">(VLOOKUP(AT$72,INDIRECT($C$5&amp;"生成成长"),2))/((VLOOKUP($B148,INDIRECT($B$5&amp;"生成成长"),4))/(VLOOKUP(AT$72,INDIRECT($C$5&amp;"生成成长"),5))*(VLOOKUP($B$5,标准坦克设计!$B$24:$U$30,MATCH("对"&amp;LEFT($C$5,2)&amp;"输出",标准坦克设计!$B$23:$U$23,0)))*(VLOOKUP($B148,INDIRECT($B$5&amp;"生成成长"),3))*(VLOOKUP($B$5,标准坦克设计!$B$14:$K$20,9)/30))</f>
        <v>23.705588519355068</v>
      </c>
      <c r="AU148" s="172">
        <f ca="1">(VLOOKUP(AU$72,INDIRECT($C$5&amp;"生成成长"),2))/((VLOOKUP($B148,INDIRECT($B$5&amp;"生成成长"),4))/(VLOOKUP(AU$72,INDIRECT($C$5&amp;"生成成长"),5))*(VLOOKUP($B$5,标准坦克设计!$B$24:$U$30,MATCH("对"&amp;LEFT($C$5,2)&amp;"输出",标准坦克设计!$B$23:$U$23,0)))*(VLOOKUP($B148,INDIRECT($B$5&amp;"生成成长"),3))*(VLOOKUP($B$5,标准坦克设计!$B$14:$K$20,9)/30))</f>
        <v>25.180554684551716</v>
      </c>
      <c r="AV148" s="172">
        <f ca="1">(VLOOKUP(AV$72,INDIRECT($C$5&amp;"生成成长"),2))/((VLOOKUP($B148,INDIRECT($B$5&amp;"生成成长"),4))/(VLOOKUP(AV$72,INDIRECT($C$5&amp;"生成成长"),5))*(VLOOKUP($B$5,标准坦克设计!$B$24:$U$30,MATCH("对"&amp;LEFT($C$5,2)&amp;"输出",标准坦克设计!$B$23:$U$23,0)))*(VLOOKUP($B148,INDIRECT($B$5&amp;"生成成长"),3))*(VLOOKUP($B$5,标准坦克设计!$B$14:$K$20,9)/30))</f>
        <v>2.5610960075069249</v>
      </c>
      <c r="AW148" s="172">
        <f ca="1">(VLOOKUP(AW$72,INDIRECT($C$5&amp;"生成成长"),2))/((VLOOKUP($B148,INDIRECT($B$5&amp;"生成成长"),4))/(VLOOKUP(AW$72,INDIRECT($C$5&amp;"生成成长"),5))*(VLOOKUP($B$5,标准坦克设计!$B$24:$U$30,MATCH("对"&amp;LEFT($C$5,2)&amp;"输出",标准坦克设计!$B$23:$U$23,0)))*(VLOOKUP($B148,INDIRECT($B$5&amp;"生成成长"),3))*(VLOOKUP($B$5,标准坦克设计!$B$14:$K$20,9)/30))</f>
        <v>2.9201350341266834</v>
      </c>
      <c r="AX148" s="172">
        <f ca="1">(VLOOKUP(AX$72,INDIRECT($C$5&amp;"生成成长"),2))/((VLOOKUP($B148,INDIRECT($B$5&amp;"生成成长"),4))/(VLOOKUP(AX$72,INDIRECT($C$5&amp;"生成成长"),5))*(VLOOKUP($B$5,标准坦克设计!$B$24:$U$30,MATCH("对"&amp;LEFT($C$5,2)&amp;"输出",标准坦克设计!$B$23:$U$23,0)))*(VLOOKUP($B148,INDIRECT($B$5&amp;"生成成长"),3))*(VLOOKUP($B$5,标准坦克设计!$B$14:$K$20,9)/30))</f>
        <v>3.3027176034756063</v>
      </c>
      <c r="AY148" s="172">
        <f ca="1">(VLOOKUP(AY$72,INDIRECT($C$5&amp;"生成成长"),2))/((VLOOKUP($B148,INDIRECT($B$5&amp;"生成成长"),4))/(VLOOKUP(AY$72,INDIRECT($C$5&amp;"生成成长"),5))*(VLOOKUP($B$5,标准坦克设计!$B$24:$U$30,MATCH("对"&amp;LEFT($C$5,2)&amp;"输出",标准坦克设计!$B$23:$U$23,0)))*(VLOOKUP($B148,INDIRECT($B$5&amp;"生成成长"),3))*(VLOOKUP($B$5,标准坦克设计!$B$14:$K$20,9)/30))</f>
        <v>3.708843715553694</v>
      </c>
      <c r="AZ148" s="172">
        <f ca="1">(VLOOKUP(AZ$72,INDIRECT($C$5&amp;"生成成长"),2))/((VLOOKUP($B148,INDIRECT($B$5&amp;"生成成长"),4))/(VLOOKUP(AZ$72,INDIRECT($C$5&amp;"生成成长"),5))*(VLOOKUP($B$5,标准坦克设计!$B$24:$U$30,MATCH("对"&amp;LEFT($C$5,2)&amp;"输出",标准坦克设计!$B$23:$U$23,0)))*(VLOOKUP($B148,INDIRECT($B$5&amp;"生成成长"),3))*(VLOOKUP($B$5,标准坦克设计!$B$14:$K$20,9)/30))</f>
        <v>4.1385133703609451</v>
      </c>
      <c r="BA148" s="172">
        <f ca="1">(VLOOKUP(BA$72,INDIRECT($C$5&amp;"生成成长"),2))/((VLOOKUP($B148,INDIRECT($B$5&amp;"生成成长"),4))/(VLOOKUP(BA$72,INDIRECT($C$5&amp;"生成成长"),5))*(VLOOKUP($B$5,标准坦克设计!$B$24:$U$30,MATCH("对"&amp;LEFT($C$5,2)&amp;"输出",标准坦克设计!$B$23:$U$23,0)))*(VLOOKUP($B148,INDIRECT($B$5&amp;"生成成长"),3))*(VLOOKUP($B$5,标准坦克设计!$B$14:$K$20,9)/30))</f>
        <v>4.5917265678973624</v>
      </c>
      <c r="BB148" s="172">
        <f ca="1">(VLOOKUP(BB$72,INDIRECT($C$5&amp;"生成成长"),2))/((VLOOKUP($B148,INDIRECT($B$5&amp;"生成成长"),4))/(VLOOKUP(BB$72,INDIRECT($C$5&amp;"生成成长"),5))*(VLOOKUP($B$5,标准坦克设计!$B$24:$U$30,MATCH("对"&amp;LEFT($C$5,2)&amp;"输出",标准坦克设计!$B$23:$U$23,0)))*(VLOOKUP($B148,INDIRECT($B$5&amp;"生成成长"),3))*(VLOOKUP($B$5,标准坦克设计!$B$14:$K$20,9)/30))</f>
        <v>5.0684833081629428</v>
      </c>
      <c r="BC148" s="172">
        <f ca="1">(VLOOKUP(BC$72,INDIRECT($C$5&amp;"生成成长"),2))/((VLOOKUP($B148,INDIRECT($B$5&amp;"生成成长"),4))/(VLOOKUP(BC$72,INDIRECT($C$5&amp;"生成成长"),5))*(VLOOKUP($B$5,标准坦克设计!$B$24:$U$30,MATCH("对"&amp;LEFT($C$5,2)&amp;"输出",标准坦克设计!$B$23:$U$23,0)))*(VLOOKUP($B148,INDIRECT($B$5&amp;"生成成长"),3))*(VLOOKUP($B$5,标准坦克设计!$B$14:$K$20,9)/30))</f>
        <v>5.568783591157688</v>
      </c>
      <c r="BD148" s="172">
        <f ca="1">(VLOOKUP(BD$72,INDIRECT($C$5&amp;"生成成长"),2))/((VLOOKUP($B148,INDIRECT($B$5&amp;"生成成长"),4))/(VLOOKUP(BD$72,INDIRECT($C$5&amp;"生成成长"),5))*(VLOOKUP($B$5,标准坦克设计!$B$24:$U$30,MATCH("对"&amp;LEFT($C$5,2)&amp;"输出",标准坦克设计!$B$23:$U$23,0)))*(VLOOKUP($B148,INDIRECT($B$5&amp;"生成成长"),3))*(VLOOKUP($B$5,标准坦克设计!$B$14:$K$20,9)/30))</f>
        <v>6.1597633004452312</v>
      </c>
      <c r="BE148" s="172">
        <f ca="1">(VLOOKUP(BE$72,INDIRECT($C$5&amp;"生成成长"),2))/((VLOOKUP($B148,INDIRECT($B$5&amp;"生成成长"),4))/(VLOOKUP(BE$72,INDIRECT($C$5&amp;"生成成长"),5))*(VLOOKUP($B$5,标准坦克设计!$B$24:$U$30,MATCH("对"&amp;LEFT($C$5,2)&amp;"输出",标准坦克设计!$B$23:$U$23,0)))*(VLOOKUP($B148,INDIRECT($B$5&amp;"生成成长"),3))*(VLOOKUP($B$5,标准坦克设计!$B$14:$K$20,9)/30))</f>
        <v>6.7805403059993754</v>
      </c>
      <c r="BF148" s="172">
        <f ca="1">(VLOOKUP(BF$72,INDIRECT($C$5&amp;"生成成长"),2))/((VLOOKUP($B148,INDIRECT($B$5&amp;"生成成长"),4))/(VLOOKUP(BF$72,INDIRECT($C$5&amp;"生成成长"),5))*(VLOOKUP($B$5,标准坦克设计!$B$24:$U$30,MATCH("对"&amp;LEFT($C$5,2)&amp;"输出",标准坦克设计!$B$23:$U$23,0)))*(VLOOKUP($B148,INDIRECT($B$5&amp;"生成成长"),3))*(VLOOKUP($B$5,标准坦克设计!$B$14:$K$20,9)/30))</f>
        <v>7.4311146078201142</v>
      </c>
      <c r="BG148" s="172">
        <f ca="1">(VLOOKUP(BG$72,INDIRECT($C$5&amp;"生成成长"),2))/((VLOOKUP($B148,INDIRECT($B$5&amp;"生成成长"),4))/(VLOOKUP(BG$72,INDIRECT($C$5&amp;"生成成长"),5))*(VLOOKUP($B$5,标准坦克设计!$B$24:$U$30,MATCH("对"&amp;LEFT($C$5,2)&amp;"输出",标准坦克设计!$B$23:$U$23,0)))*(VLOOKUP($B148,INDIRECT($B$5&amp;"生成成长"),3))*(VLOOKUP($B$5,标准坦克设计!$B$14:$K$20,9)/30))</f>
        <v>8.1114862059074522</v>
      </c>
      <c r="BH148" s="172">
        <f ca="1">(VLOOKUP(BH$72,INDIRECT($C$5&amp;"生成成长"),2))/((VLOOKUP($B148,INDIRECT($B$5&amp;"生成成长"),4))/(VLOOKUP(BH$72,INDIRECT($C$5&amp;"生成成长"),5))*(VLOOKUP($B$5,标准坦克设计!$B$24:$U$30,MATCH("对"&amp;LEFT($C$5,2)&amp;"输出",标准坦克设计!$B$23:$U$23,0)))*(VLOOKUP($B148,INDIRECT($B$5&amp;"生成成长"),3))*(VLOOKUP($B$5,标准坦克设计!$B$14:$K$20,9)/30))</f>
        <v>3.9207356001161742</v>
      </c>
      <c r="BI148" s="172">
        <f ca="1">(VLOOKUP(BI$72,INDIRECT($C$5&amp;"生成成长"),2))/((VLOOKUP($B148,INDIRECT($B$5&amp;"生成成长"),4))/(VLOOKUP(BI$72,INDIRECT($C$5&amp;"生成成长"),5))*(VLOOKUP($B$5,标准坦克设计!$B$24:$U$30,MATCH("对"&amp;LEFT($C$5,2)&amp;"输出",标准坦克设计!$B$23:$U$23,0)))*(VLOOKUP($B148,INDIRECT($B$5&amp;"生成成长"),3))*(VLOOKUP($B$5,标准坦克设计!$B$14:$K$20,9)/30))</f>
        <v>4.4190126099076332</v>
      </c>
      <c r="BJ148" s="172">
        <f ca="1">(VLOOKUP(BJ$72,INDIRECT($C$5&amp;"生成成长"),2))/((VLOOKUP($B148,INDIRECT($B$5&amp;"生成成长"),4))/(VLOOKUP(BJ$72,INDIRECT($C$5&amp;"生成成长"),5))*(VLOOKUP($B$5,标准坦克设计!$B$24:$U$30,MATCH("对"&amp;LEFT($C$5,2)&amp;"输出",标准坦克设计!$B$23:$U$23,0)))*(VLOOKUP($B148,INDIRECT($B$5&amp;"生成成长"),3))*(VLOOKUP($B$5,标准坦克设计!$B$14:$K$20,9)/30))</f>
        <v>4.9470869159656878</v>
      </c>
      <c r="BK148" s="172">
        <f ca="1">(VLOOKUP(BK$72,INDIRECT($C$5&amp;"生成成长"),2))/((VLOOKUP($B148,INDIRECT($B$5&amp;"生成成长"),4))/(VLOOKUP(BK$72,INDIRECT($C$5&amp;"生成成长"),5))*(VLOOKUP($B$5,标准坦克设计!$B$24:$U$30,MATCH("对"&amp;LEFT($C$5,2)&amp;"输出",标准坦克设计!$B$23:$U$23,0)))*(VLOOKUP($B148,INDIRECT($B$5&amp;"生成成长"),3))*(VLOOKUP($B$5,标准坦克设计!$B$14:$K$20,9)/30))</f>
        <v>5.5049585182903442</v>
      </c>
      <c r="BL148" s="172">
        <f ca="1">(VLOOKUP(BL$72,INDIRECT($C$5&amp;"生成成长"),2))/((VLOOKUP($B148,INDIRECT($B$5&amp;"生成成长"),4))/(VLOOKUP(BL$72,INDIRECT($C$5&amp;"生成成长"),5))*(VLOOKUP($B$5,标准坦克设计!$B$24:$U$30,MATCH("对"&amp;LEFT($C$5,2)&amp;"输出",标准坦克设计!$B$23:$U$23,0)))*(VLOOKUP($B148,INDIRECT($B$5&amp;"生成成长"),3))*(VLOOKUP($B$5,标准坦克设计!$B$14:$K$20,9)/30))</f>
        <v>6.0926274168815997</v>
      </c>
      <c r="BM148" s="172">
        <f ca="1">(VLOOKUP(BM$72,INDIRECT($C$5&amp;"生成成长"),2))/((VLOOKUP($B148,INDIRECT($B$5&amp;"生成成长"),4))/(VLOOKUP(BM$72,INDIRECT($C$5&amp;"生成成长"),5))*(VLOOKUP($B$5,标准坦克设计!$B$24:$U$30,MATCH("对"&amp;LEFT($C$5,2)&amp;"输出",标准坦克设计!$B$23:$U$23,0)))*(VLOOKUP($B148,INDIRECT($B$5&amp;"生成成长"),3))*(VLOOKUP($B$5,标准坦克设计!$B$14:$K$20,9)/30))</f>
        <v>6.7100936117394525</v>
      </c>
      <c r="BN148" s="172">
        <f ca="1">(VLOOKUP(BN$72,INDIRECT($C$5&amp;"生成成长"),2))/((VLOOKUP($B148,INDIRECT($B$5&amp;"生成成长"),4))/(VLOOKUP(BN$72,INDIRECT($C$5&amp;"生成成长"),5))*(VLOOKUP($B$5,标准坦克设计!$B$24:$U$30,MATCH("对"&amp;LEFT($C$5,2)&amp;"输出",标准坦克设计!$B$23:$U$23,0)))*(VLOOKUP($B148,INDIRECT($B$5&amp;"生成成长"),3))*(VLOOKUP($B$5,标准坦克设计!$B$14:$K$20,9)/30))</f>
        <v>7.3573571028639053</v>
      </c>
      <c r="BO148" s="172">
        <f ca="1">(VLOOKUP(BO$72,INDIRECT($C$5&amp;"生成成长"),2))/((VLOOKUP($B148,INDIRECT($B$5&amp;"生成成长"),4))/(VLOOKUP(BO$72,INDIRECT($C$5&amp;"生成成长"),5))*(VLOOKUP($B$5,标准坦克设计!$B$24:$U$30,MATCH("对"&amp;LEFT($C$5,2)&amp;"输出",标准坦克设计!$B$23:$U$23,0)))*(VLOOKUP($B148,INDIRECT($B$5&amp;"生成成长"),3))*(VLOOKUP($B$5,标准坦克设计!$B$14:$K$20,9)/30))</f>
        <v>8.0344178902549555</v>
      </c>
      <c r="BP148" s="172">
        <f ca="1">(VLOOKUP(BP$72,INDIRECT($C$5&amp;"生成成长"),2))/((VLOOKUP($B148,INDIRECT($B$5&amp;"生成成长"),4))/(VLOOKUP(BP$72,INDIRECT($C$5&amp;"生成成长"),5))*(VLOOKUP($B$5,标准坦克设计!$B$24:$U$30,MATCH("对"&amp;LEFT($C$5,2)&amp;"输出",标准坦克设计!$B$23:$U$23,0)))*(VLOOKUP($B148,INDIRECT($B$5&amp;"生成成长"),3))*(VLOOKUP($B$5,标准坦克设计!$B$14:$K$20,9)/30))</f>
        <v>8.7412759739126038</v>
      </c>
      <c r="BQ148" s="172">
        <f ca="1">(VLOOKUP(BQ$72,INDIRECT($C$5&amp;"生成成长"),2))/((VLOOKUP($B148,INDIRECT($B$5&amp;"生成成长"),4))/(VLOOKUP(BQ$72,INDIRECT($C$5&amp;"生成成长"),5))*(VLOOKUP($B$5,标准坦克设计!$B$24:$U$30,MATCH("对"&amp;LEFT($C$5,2)&amp;"输出",标准坦克设计!$B$23:$U$23,0)))*(VLOOKUP($B148,INDIRECT($B$5&amp;"生成成长"),3))*(VLOOKUP($B$5,标准坦克设计!$B$14:$K$20,9)/30))</f>
        <v>9.4779313538368548</v>
      </c>
      <c r="BR148" s="172">
        <f ca="1">(VLOOKUP(BR$72,INDIRECT($C$5&amp;"生成成长"),2))/((VLOOKUP($B148,INDIRECT($B$5&amp;"生成成长"),4))/(VLOOKUP(BR$72,INDIRECT($C$5&amp;"生成成长"),5))*(VLOOKUP($B$5,标准坦克设计!$B$24:$U$30,MATCH("对"&amp;LEFT($C$5,2)&amp;"输出",标准坦克设计!$B$23:$U$23,0)))*(VLOOKUP($B148,INDIRECT($B$5&amp;"生成成长"),3))*(VLOOKUP($B$5,标准坦克设计!$B$14:$K$20,9)/30))</f>
        <v>10.331384777769063</v>
      </c>
      <c r="BS148" s="172">
        <f ca="1">(VLOOKUP(BS$72,INDIRECT($C$5&amp;"生成成长"),2))/((VLOOKUP($B148,INDIRECT($B$5&amp;"生成成长"),4))/(VLOOKUP(BS$72,INDIRECT($C$5&amp;"生成成长"),5))*(VLOOKUP($B$5,标准坦克设计!$B$24:$U$30,MATCH("对"&amp;LEFT($C$5,2)&amp;"输出",标准坦克设计!$B$23:$U$23,0)))*(VLOOKUP($B148,INDIRECT($B$5&amp;"生成成长"),3))*(VLOOKUP($B$5,标准坦克设计!$B$14:$K$20,9)/30))</f>
        <v>11.221624987215597</v>
      </c>
      <c r="BT148" s="172">
        <f ca="1">(VLOOKUP(BT$72,INDIRECT($C$5&amp;"生成成长"),2))/((VLOOKUP($B148,INDIRECT($B$5&amp;"生成成长"),4))/(VLOOKUP(BT$72,INDIRECT($C$5&amp;"生成成长"),5))*(VLOOKUP($B$5,标准坦克设计!$B$24:$U$30,MATCH("对"&amp;LEFT($C$5,2)&amp;"输出",标准坦克设计!$B$23:$U$23,0)))*(VLOOKUP($B148,INDIRECT($B$5&amp;"生成成长"),3))*(VLOOKUP($B$5,标准坦克设计!$B$14:$K$20,9)/30))</f>
        <v>12.148651982176448</v>
      </c>
      <c r="BU148" s="172">
        <f ca="1">(VLOOKUP(BU$72,INDIRECT($C$5&amp;"生成成长"),2))/((VLOOKUP($B148,INDIRECT($B$5&amp;"生成成长"),4))/(VLOOKUP(BU$72,INDIRECT($C$5&amp;"生成成长"),5))*(VLOOKUP($B$5,标准坦克设计!$B$24:$U$30,MATCH("对"&amp;LEFT($C$5,2)&amp;"输出",标准坦克设计!$B$23:$U$23,0)))*(VLOOKUP($B148,INDIRECT($B$5&amp;"生成成长"),3))*(VLOOKUP($B$5,标准坦克设计!$B$14:$K$20,9)/30))</f>
        <v>13.112465762651622</v>
      </c>
      <c r="BV148" s="172">
        <f ca="1">(VLOOKUP(BV$72,INDIRECT($C$5&amp;"生成成长"),2))/((VLOOKUP($B148,INDIRECT($B$5&amp;"生成成长"),4))/(VLOOKUP(BV$72,INDIRECT($C$5&amp;"生成成长"),5))*(VLOOKUP($B$5,标准坦克设计!$B$24:$U$30,MATCH("对"&amp;LEFT($C$5,2)&amp;"输出",标准坦克设计!$B$23:$U$23,0)))*(VLOOKUP($B148,INDIRECT($B$5&amp;"生成成长"),3))*(VLOOKUP($B$5,标准坦克设计!$B$14:$K$20,9)/30))</f>
        <v>14.113066328641112</v>
      </c>
      <c r="BW148" s="172">
        <f ca="1">(VLOOKUP(BW$72,INDIRECT($C$5&amp;"生成成长"),2))/((VLOOKUP($B148,INDIRECT($B$5&amp;"生成成长"),4))/(VLOOKUP(BW$72,INDIRECT($C$5&amp;"生成成长"),5))*(VLOOKUP($B$5,标准坦克设计!$B$24:$U$30,MATCH("对"&amp;LEFT($C$5,2)&amp;"输出",标准坦克设计!$B$23:$U$23,0)))*(VLOOKUP($B148,INDIRECT($B$5&amp;"生成成长"),3))*(VLOOKUP($B$5,标准坦克设计!$B$14:$K$20,9)/30))</f>
        <v>6.4319855132511963</v>
      </c>
      <c r="BX148" s="172">
        <f ca="1">(VLOOKUP(BX$72,INDIRECT($C$5&amp;"生成成长"),2))/((VLOOKUP($B148,INDIRECT($B$5&amp;"生成成长"),4))/(VLOOKUP(BX$72,INDIRECT($C$5&amp;"生成成长"),5))*(VLOOKUP($B$5,标准坦克设计!$B$24:$U$30,MATCH("对"&amp;LEFT($C$5,2)&amp;"输出",标准坦克设计!$B$23:$U$23,0)))*(VLOOKUP($B148,INDIRECT($B$5&amp;"生成成长"),3))*(VLOOKUP($B$5,标准坦克设计!$B$14:$K$20,9)/30))</f>
        <v>7.1382917951261309</v>
      </c>
      <c r="BY148" s="172">
        <f ca="1">(VLOOKUP(BY$72,INDIRECT($C$5&amp;"生成成长"),2))/((VLOOKUP($B148,INDIRECT($B$5&amp;"生成成长"),4))/(VLOOKUP(BY$72,INDIRECT($C$5&amp;"生成成长"),5))*(VLOOKUP($B$5,标准坦克设计!$B$24:$U$30,MATCH("对"&amp;LEFT($C$5,2)&amp;"输出",标准坦克设计!$B$23:$U$23,0)))*(VLOOKUP($B148,INDIRECT($B$5&amp;"生成成长"),3))*(VLOOKUP($B$5,标准坦克设计!$B$14:$K$20,9)/30))</f>
        <v>7.8813848625153851</v>
      </c>
      <c r="BZ148" s="172">
        <f ca="1">(VLOOKUP(BZ$72,INDIRECT($C$5&amp;"生成成长"),2))/((VLOOKUP($B148,INDIRECT($B$5&amp;"生成成长"),4))/(VLOOKUP(BZ$72,INDIRECT($C$5&amp;"生成成长"),5))*(VLOOKUP($B$5,标准坦克设计!$B$24:$U$30,MATCH("对"&amp;LEFT($C$5,2)&amp;"输出",标准坦克设计!$B$23:$U$23,0)))*(VLOOKUP($B148,INDIRECT($B$5&amp;"生成成长"),3))*(VLOOKUP($B$5,标准坦克设计!$B$14:$K$20,9)/30))</f>
        <v>8.6612647154189588</v>
      </c>
      <c r="CA148" s="172">
        <f ca="1">(VLOOKUP(CA$72,INDIRECT($C$5&amp;"生成成长"),2))/((VLOOKUP($B148,INDIRECT($B$5&amp;"生成成长"),4))/(VLOOKUP(CA$72,INDIRECT($C$5&amp;"生成成长"),5))*(VLOOKUP($B$5,标准坦克设计!$B$24:$U$30,MATCH("对"&amp;LEFT($C$5,2)&amp;"输出",标准坦克设计!$B$23:$U$23,0)))*(VLOOKUP($B148,INDIRECT($B$5&amp;"生成成长"),3))*(VLOOKUP($B$5,标准坦克设计!$B$14:$K$20,9)/30))</f>
        <v>9.4779313538368548</v>
      </c>
      <c r="CB148" s="172">
        <f ca="1">(VLOOKUP(CB$72,INDIRECT($C$5&amp;"生成成长"),2))/((VLOOKUP($B148,INDIRECT($B$5&amp;"生成成长"),4))/(VLOOKUP(CB$72,INDIRECT($C$5&amp;"生成成长"),5))*(VLOOKUP($B$5,标准坦克设计!$B$24:$U$30,MATCH("对"&amp;LEFT($C$5,2)&amp;"输出",标准坦克设计!$B$23:$U$23,0)))*(VLOOKUP($B148,INDIRECT($B$5&amp;"生成成长"),3))*(VLOOKUP($B$5,标准坦克设计!$B$14:$K$20,9)/30))</f>
        <v>10.331384777769063</v>
      </c>
      <c r="CC148" s="172">
        <f ca="1">(VLOOKUP(CC$72,INDIRECT($C$5&amp;"生成成长"),2))/((VLOOKUP($B148,INDIRECT($B$5&amp;"生成成长"),4))/(VLOOKUP(CC$72,INDIRECT($C$5&amp;"生成成长"),5))*(VLOOKUP($B$5,标准坦克设计!$B$24:$U$30,MATCH("对"&amp;LEFT($C$5,2)&amp;"输出",标准坦克设计!$B$23:$U$23,0)))*(VLOOKUP($B148,INDIRECT($B$5&amp;"生成成长"),3))*(VLOOKUP($B$5,标准坦克设计!$B$14:$K$20,9)/30))</f>
        <v>11.221624987215597</v>
      </c>
      <c r="CD148" s="172">
        <f ca="1">(VLOOKUP(CD$72,INDIRECT($C$5&amp;"生成成长"),2))/((VLOOKUP($B148,INDIRECT($B$5&amp;"生成成长"),4))/(VLOOKUP(CD$72,INDIRECT($C$5&amp;"生成成长"),5))*(VLOOKUP($B$5,标准坦克设计!$B$24:$U$30,MATCH("对"&amp;LEFT($C$5,2)&amp;"输出",标准坦克设计!$B$23:$U$23,0)))*(VLOOKUP($B148,INDIRECT($B$5&amp;"生成成长"),3))*(VLOOKUP($B$5,标准坦克设计!$B$14:$K$20,9)/30))</f>
        <v>12.148651982176448</v>
      </c>
      <c r="CE148" s="172">
        <f ca="1">(VLOOKUP(CE$72,INDIRECT($C$5&amp;"生成成长"),2))/((VLOOKUP($B148,INDIRECT($B$5&amp;"生成成长"),4))/(VLOOKUP(CE$72,INDIRECT($C$5&amp;"生成成长"),5))*(VLOOKUP($B$5,标准坦克设计!$B$24:$U$30,MATCH("对"&amp;LEFT($C$5,2)&amp;"输出",标准坦克设计!$B$23:$U$23,0)))*(VLOOKUP($B148,INDIRECT($B$5&amp;"生成成长"),3))*(VLOOKUP($B$5,标准坦克设计!$B$14:$K$20,9)/30))</f>
        <v>13.112465762651622</v>
      </c>
      <c r="CF148" s="172">
        <f ca="1">(VLOOKUP(CF$72,INDIRECT($C$5&amp;"生成成长"),2))/((VLOOKUP($B148,INDIRECT($B$5&amp;"生成成长"),4))/(VLOOKUP(CF$72,INDIRECT($C$5&amp;"生成成长"),5))*(VLOOKUP($B$5,标准坦克设计!$B$24:$U$30,MATCH("对"&amp;LEFT($C$5,2)&amp;"输出",标准坦克设计!$B$23:$U$23,0)))*(VLOOKUP($B148,INDIRECT($B$5&amp;"生成成长"),3))*(VLOOKUP($B$5,标准坦克设计!$B$14:$K$20,9)/30))</f>
        <v>14.113066328641112</v>
      </c>
      <c r="CG148" s="172">
        <f ca="1">(VLOOKUP(CG$72,INDIRECT($C$5&amp;"生成成长"),2))/((VLOOKUP($B148,INDIRECT($B$5&amp;"生成成长"),4))/(VLOOKUP(CG$72,INDIRECT($C$5&amp;"生成成长"),5))*(VLOOKUP($B$5,标准坦克设计!$B$24:$U$30,MATCH("对"&amp;LEFT($C$5,2)&amp;"输出",标准坦克设计!$B$23:$U$23,0)))*(VLOOKUP($B148,INDIRECT($B$5&amp;"生成成长"),3))*(VLOOKUP($B$5,标准坦克设计!$B$14:$K$20,9)/30))</f>
        <v>15.150453680144921</v>
      </c>
      <c r="CH148" s="172">
        <f ca="1">(VLOOKUP(CH$72,INDIRECT($C$5&amp;"生成成长"),2))/((VLOOKUP($B148,INDIRECT($B$5&amp;"生成成长"),4))/(VLOOKUP(CH$72,INDIRECT($C$5&amp;"生成成长"),5))*(VLOOKUP($B$5,标准坦克设计!$B$24:$U$30,MATCH("对"&amp;LEFT($C$5,2)&amp;"输出",标准坦克设计!$B$23:$U$23,0)))*(VLOOKUP($B148,INDIRECT($B$5&amp;"生成成长"),3))*(VLOOKUP($B$5,标准坦克设计!$B$14:$K$20,9)/30))</f>
        <v>16.22462781716305</v>
      </c>
      <c r="CI148" s="172">
        <f ca="1">(VLOOKUP(CI$72,INDIRECT($C$5&amp;"生成成长"),2))/((VLOOKUP($B148,INDIRECT($B$5&amp;"生成成长"),4))/(VLOOKUP(CI$72,INDIRECT($C$5&amp;"生成成长"),5))*(VLOOKUP($B$5,标准坦克设计!$B$24:$U$30,MATCH("对"&amp;LEFT($C$5,2)&amp;"输出",标准坦克设计!$B$23:$U$23,0)))*(VLOOKUP($B148,INDIRECT($B$5&amp;"生成成长"),3))*(VLOOKUP($B$5,标准坦克设计!$B$14:$K$20,9)/30))</f>
        <v>17.448708105152033</v>
      </c>
      <c r="CJ148" s="172">
        <f ca="1">(VLOOKUP(CJ$72,INDIRECT($C$5&amp;"生成成长"),2))/((VLOOKUP($B148,INDIRECT($B$5&amp;"生成成长"),4))/(VLOOKUP(CJ$72,INDIRECT($C$5&amp;"生成成长"),5))*(VLOOKUP($B$5,标准坦克设计!$B$24:$U$30,MATCH("对"&amp;LEFT($C$5,2)&amp;"输出",标准坦克设计!$B$23:$U$23,0)))*(VLOOKUP($B148,INDIRECT($B$5&amp;"生成成长"),3))*(VLOOKUP($B$5,标准坦克设计!$B$14:$K$20,9)/30))</f>
        <v>18.717300403613343</v>
      </c>
      <c r="CK148" s="172">
        <f ca="1">(VLOOKUP(CK$72,INDIRECT($C$5&amp;"生成成长"),2))/((VLOOKUP($B148,INDIRECT($B$5&amp;"生成成长"),4))/(VLOOKUP(CK$72,INDIRECT($C$5&amp;"生成成长"),5))*(VLOOKUP($B$5,标准坦克设计!$B$24:$U$30,MATCH("对"&amp;LEFT($C$5,2)&amp;"输出",标准坦克设计!$B$23:$U$23,0)))*(VLOOKUP($B148,INDIRECT($B$5&amp;"生成成长"),3))*(VLOOKUP($B$5,标准坦克设计!$B$14:$K$20,9)/30))</f>
        <v>20.030404712546979</v>
      </c>
      <c r="CL148" s="172">
        <f ca="1">(VLOOKUP(CL$72,INDIRECT($C$5&amp;"生成成长"),2))/((VLOOKUP($B148,INDIRECT($B$5&amp;"生成成长"),4))/(VLOOKUP(CL$72,INDIRECT($C$5&amp;"生成成长"),5))*(VLOOKUP($B$5,标准坦克设计!$B$24:$U$30,MATCH("对"&amp;LEFT($C$5,2)&amp;"输出",标准坦克设计!$B$23:$U$23,0)))*(VLOOKUP($B148,INDIRECT($B$5&amp;"生成成长"),3))*(VLOOKUP($B$5,标准坦克设计!$B$14:$K$20,9)/30))</f>
        <v>21.388021031952942</v>
      </c>
      <c r="CM148" s="172">
        <f ca="1">(VLOOKUP(CM$72,INDIRECT($C$5&amp;"生成成长"),2))/((VLOOKUP($B148,INDIRECT($B$5&amp;"生成成长"),4))/(VLOOKUP(CM$72,INDIRECT($C$5&amp;"生成成长"),5))*(VLOOKUP($B$5,标准坦克设计!$B$24:$U$30,MATCH("对"&amp;LEFT($C$5,2)&amp;"输出",标准坦克设计!$B$23:$U$23,0)))*(VLOOKUP($B148,INDIRECT($B$5&amp;"生成成长"),3))*(VLOOKUP($B$5,标准坦克设计!$B$14:$K$20,9)/30))</f>
        <v>22.790149361831233</v>
      </c>
      <c r="CN148" s="172">
        <f ca="1">(VLOOKUP(CN$72,INDIRECT($C$5&amp;"生成成长"),2))/((VLOOKUP($B148,INDIRECT($B$5&amp;"生成成长"),4))/(VLOOKUP(CN$72,INDIRECT($C$5&amp;"生成成长"),5))*(VLOOKUP($B$5,标准坦克设计!$B$24:$U$30,MATCH("对"&amp;LEFT($C$5,2)&amp;"输出",标准坦克设计!$B$23:$U$23,0)))*(VLOOKUP($B148,INDIRECT($B$5&amp;"生成成长"),3))*(VLOOKUP($B$5,标准坦克设计!$B$14:$K$20,9)/30))</f>
        <v>24.236789702181838</v>
      </c>
      <c r="CO148" s="172">
        <f ca="1">(VLOOKUP(CO$72,INDIRECT($C$5&amp;"生成成长"),2))/((VLOOKUP($B148,INDIRECT($B$5&amp;"生成成长"),4))/(VLOOKUP(CO$72,INDIRECT($C$5&amp;"生成成长"),5))*(VLOOKUP($B$5,标准坦克设计!$B$24:$U$30,MATCH("对"&amp;LEFT($C$5,2)&amp;"输出",标准坦克设计!$B$23:$U$23,0)))*(VLOOKUP($B148,INDIRECT($B$5&amp;"生成成长"),3))*(VLOOKUP($B$5,标准坦克设计!$B$14:$K$20,9)/30))</f>
        <v>10.861114489175266</v>
      </c>
      <c r="CP148" s="172">
        <f ca="1">(VLOOKUP(CP$72,INDIRECT($C$5&amp;"生成成长"),2))/((VLOOKUP($B148,INDIRECT($B$5&amp;"生成成长"),4))/(VLOOKUP(CP$72,INDIRECT($C$5&amp;"生成成长"),5))*(VLOOKUP($B$5,标准坦克设计!$B$24:$U$30,MATCH("对"&amp;LEFT($C$5,2)&amp;"输出",标准坦克设计!$B$23:$U$23,0)))*(VLOOKUP($B148,INDIRECT($B$5&amp;"生成成长"),3))*(VLOOKUP($B$5,标准坦克设计!$B$14:$K$20,9)/30))</f>
        <v>11.866681271209192</v>
      </c>
      <c r="CQ148" s="172">
        <f ca="1">(VLOOKUP(CQ$72,INDIRECT($C$5&amp;"生成成长"),2))/((VLOOKUP($B148,INDIRECT($B$5&amp;"生成成长"),4))/(VLOOKUP(CQ$72,INDIRECT($C$5&amp;"生成成长"),5))*(VLOOKUP($B$5,标准坦克设计!$B$24:$U$30,MATCH("对"&amp;LEFT($C$5,2)&amp;"输出",标准坦克设计!$B$23:$U$23,0)))*(VLOOKUP($B148,INDIRECT($B$5&amp;"生成成长"),3))*(VLOOKUP($B$5,标准坦克设计!$B$14:$K$20,9)/30))</f>
        <v>12.91676006371544</v>
      </c>
      <c r="CR148" s="172">
        <f ca="1">(VLOOKUP(CR$72,INDIRECT($C$5&amp;"生成成长"),2))/((VLOOKUP($B148,INDIRECT($B$5&amp;"生成成长"),4))/(VLOOKUP(CR$72,INDIRECT($C$5&amp;"生成成长"),5))*(VLOOKUP($B$5,标准坦克设计!$B$24:$U$30,MATCH("对"&amp;LEFT($C$5,2)&amp;"输出",标准坦克设计!$B$23:$U$23,0)))*(VLOOKUP($B148,INDIRECT($B$5&amp;"生成成长"),3))*(VLOOKUP($B$5,标准坦克设计!$B$14:$K$20,9)/30))</f>
        <v>14.011350866694016</v>
      </c>
      <c r="CS148" s="172">
        <f ca="1">(VLOOKUP(CS$72,INDIRECT($C$5&amp;"生成成长"),2))/((VLOOKUP($B148,INDIRECT($B$5&amp;"生成成长"),4))/(VLOOKUP(CS$72,INDIRECT($C$5&amp;"生成成长"),5))*(VLOOKUP($B$5,标准坦克设计!$B$24:$U$30,MATCH("对"&amp;LEFT($C$5,2)&amp;"输出",标准坦克设计!$B$23:$U$23,0)))*(VLOOKUP($B148,INDIRECT($B$5&amp;"生成成长"),3))*(VLOOKUP($B$5,标准坦克设计!$B$14:$K$20,9)/30))</f>
        <v>15.150453680144921</v>
      </c>
      <c r="CT148" s="172">
        <f ca="1">(VLOOKUP(CT$72,INDIRECT($C$5&amp;"生成成长"),2))/((VLOOKUP($B148,INDIRECT($B$5&amp;"生成成长"),4))/(VLOOKUP(CT$72,INDIRECT($C$5&amp;"生成成长"),5))*(VLOOKUP($B$5,标准坦克设计!$B$24:$U$30,MATCH("对"&amp;LEFT($C$5,2)&amp;"输出",标准坦克设计!$B$23:$U$23,0)))*(VLOOKUP($B148,INDIRECT($B$5&amp;"生成成长"),3))*(VLOOKUP($B$5,标准坦克设计!$B$14:$K$20,9)/30))</f>
        <v>16.334068504068153</v>
      </c>
      <c r="CU148" s="172">
        <f ca="1">(VLOOKUP(CU$72,INDIRECT($C$5&amp;"生成成长"),2))/((VLOOKUP($B148,INDIRECT($B$5&amp;"生成成长"),4))/(VLOOKUP(CU$72,INDIRECT($C$5&amp;"生成成长"),5))*(VLOOKUP($B$5,标准坦克设计!$B$24:$U$30,MATCH("对"&amp;LEFT($C$5,2)&amp;"输出",标准坦克设计!$B$23:$U$23,0)))*(VLOOKUP($B148,INDIRECT($B$5&amp;"生成成长"),3))*(VLOOKUP($B$5,标准坦克设计!$B$14:$K$20,9)/30))</f>
        <v>17.562195338463713</v>
      </c>
      <c r="CV148" s="172">
        <f ca="1">(VLOOKUP(CV$72,INDIRECT($C$5&amp;"生成成长"),2))/((VLOOKUP($B148,INDIRECT($B$5&amp;"生成成长"),4))/(VLOOKUP(CV$72,INDIRECT($C$5&amp;"生成成长"),5))*(VLOOKUP($B$5,标准坦克设计!$B$24:$U$30,MATCH("对"&amp;LEFT($C$5,2)&amp;"输出",标准坦克设计!$B$23:$U$23,0)))*(VLOOKUP($B148,INDIRECT($B$5&amp;"生成成长"),3))*(VLOOKUP($B$5,标准坦克设计!$B$14:$K$20,9)/30))</f>
        <v>18.834834183331594</v>
      </c>
      <c r="CW148" s="172">
        <f ca="1">(VLOOKUP(CW$72,INDIRECT($C$5&amp;"生成成长"),2))/((VLOOKUP($B148,INDIRECT($B$5&amp;"生成成长"),4))/(VLOOKUP(CW$72,INDIRECT($C$5&amp;"生成成长"),5))*(VLOOKUP($B$5,标准坦克设计!$B$24:$U$30,MATCH("对"&amp;LEFT($C$5,2)&amp;"输出",标准坦克设计!$B$23:$U$23,0)))*(VLOOKUP($B148,INDIRECT($B$5&amp;"生成成长"),3))*(VLOOKUP($B$5,标准坦克设计!$B$14:$K$20,9)/30))</f>
        <v>20.151985038671807</v>
      </c>
      <c r="CX148" s="172">
        <f ca="1">(VLOOKUP(CX$72,INDIRECT($C$5&amp;"生成成长"),2))/((VLOOKUP($B148,INDIRECT($B$5&amp;"生成成长"),4))/(VLOOKUP(CX$72,INDIRECT($C$5&amp;"生成成长"),5))*(VLOOKUP($B$5,标准坦克设计!$B$24:$U$30,MATCH("对"&amp;LEFT($C$5,2)&amp;"输出",标准坦克设计!$B$23:$U$23,0)))*(VLOOKUP($B148,INDIRECT($B$5&amp;"生成成长"),3))*(VLOOKUP($B$5,标准坦克设计!$B$14:$K$20,9)/30))</f>
        <v>21.513647904484337</v>
      </c>
      <c r="CY148" s="172">
        <f ca="1">(VLOOKUP(CY$72,INDIRECT($C$5&amp;"生成成长"),2))/((VLOOKUP($B148,INDIRECT($B$5&amp;"生成成长"),4))/(VLOOKUP(CY$72,INDIRECT($C$5&amp;"生成成长"),5))*(VLOOKUP($B$5,标准坦克设计!$B$24:$U$30,MATCH("对"&amp;LEFT($C$5,2)&amp;"输出",标准坦克设计!$B$23:$U$23,0)))*(VLOOKUP($B148,INDIRECT($B$5&amp;"生成成长"),3))*(VLOOKUP($B$5,标准坦克设计!$B$14:$K$20,9)/30))</f>
        <v>22.919822780769202</v>
      </c>
      <c r="CZ148" s="172">
        <f ca="1">(VLOOKUP(CZ$72,INDIRECT($C$5&amp;"生成成长"),2))/((VLOOKUP($B148,INDIRECT($B$5&amp;"生成成长"),4))/(VLOOKUP(CZ$72,INDIRECT($C$5&amp;"生成成长"),5))*(VLOOKUP($B$5,标准坦克设计!$B$24:$U$30,MATCH("对"&amp;LEFT($C$5,2)&amp;"输出",标准坦克设计!$B$23:$U$23,0)))*(VLOOKUP($B148,INDIRECT($B$5&amp;"生成成长"),3))*(VLOOKUP($B$5,标准坦克设计!$B$14:$K$20,9)/30))</f>
        <v>24.370509667526399</v>
      </c>
      <c r="DA148" s="172">
        <f ca="1">(VLOOKUP(DA$72,INDIRECT($C$5&amp;"生成成长"),2))/((VLOOKUP($B148,INDIRECT($B$5&amp;"生成成长"),4))/(VLOOKUP(DA$72,INDIRECT($C$5&amp;"生成成长"),5))*(VLOOKUP($B$5,标准坦克设计!$B$24:$U$30,MATCH("对"&amp;LEFT($C$5,2)&amp;"输出",标准坦克设计!$B$23:$U$23,0)))*(VLOOKUP($B148,INDIRECT($B$5&amp;"生成成长"),3))*(VLOOKUP($B$5,标准坦克设计!$B$14:$K$20,9)/30))</f>
        <v>25.865708564755909</v>
      </c>
      <c r="DB148" s="172">
        <f ca="1">(VLOOKUP(DB$72,INDIRECT($C$5&amp;"生成成长"),2))/((VLOOKUP($B148,INDIRECT($B$5&amp;"生成成长"),4))/(VLOOKUP(DB$72,INDIRECT($C$5&amp;"生成成长"),5))*(VLOOKUP($B$5,标准坦克设计!$B$24:$U$30,MATCH("对"&amp;LEFT($C$5,2)&amp;"输出",标准坦克设计!$B$23:$U$23,0)))*(VLOOKUP($B148,INDIRECT($B$5&amp;"生成成长"),3))*(VLOOKUP($B$5,标准坦克设计!$B$14:$K$20,9)/30))</f>
        <v>27.405419472457751</v>
      </c>
      <c r="DC148" s="172">
        <f ca="1">(VLOOKUP(DC$72,INDIRECT($C$5&amp;"生成成长"),2))/((VLOOKUP($B148,INDIRECT($B$5&amp;"生成成长"),4))/(VLOOKUP(DC$72,INDIRECT($C$5&amp;"生成成长"),5))*(VLOOKUP($B$5,标准坦克设计!$B$24:$U$30,MATCH("对"&amp;LEFT($C$5,2)&amp;"输出",标准坦克设计!$B$23:$U$23,0)))*(VLOOKUP($B148,INDIRECT($B$5&amp;"生成成长"),3))*(VLOOKUP($B$5,标准坦克设计!$B$14:$K$20,9)/30))</f>
        <v>29.135869863051347</v>
      </c>
      <c r="DD148" s="172">
        <f ca="1">(VLOOKUP(DD$72,INDIRECT($C$5&amp;"生成成长"),2))/((VLOOKUP($B148,INDIRECT($B$5&amp;"生成成长"),4))/(VLOOKUP(DD$72,INDIRECT($C$5&amp;"生成成长"),5))*(VLOOKUP($B$5,标准坦克设计!$B$24:$U$30,MATCH("对"&amp;LEFT($C$5,2)&amp;"输出",标准坦克设计!$B$23:$U$23,0)))*(VLOOKUP($B148,INDIRECT($B$5&amp;"生成成长"),3))*(VLOOKUP($B$5,标准坦克设计!$B$14:$K$20,9)/30))</f>
        <v>30.919293224785555</v>
      </c>
      <c r="DE148" s="172">
        <f ca="1">(VLOOKUP(DE$72,INDIRECT($C$5&amp;"生成成长"),2))/((VLOOKUP($B148,INDIRECT($B$5&amp;"生成成长"),4))/(VLOOKUP(DE$72,INDIRECT($C$5&amp;"生成成长"),5))*(VLOOKUP($B$5,标准坦克设计!$B$24:$U$30,MATCH("对"&amp;LEFT($C$5,2)&amp;"输出",标准坦克设计!$B$23:$U$23,0)))*(VLOOKUP($B148,INDIRECT($B$5&amp;"生成成长"),3))*(VLOOKUP($B$5,标准坦克设计!$B$14:$K$20,9)/30))</f>
        <v>32.755689557660389</v>
      </c>
      <c r="DF148" s="172">
        <f ca="1">(VLOOKUP(DF$72,INDIRECT($C$5&amp;"生成成长"),2))/((VLOOKUP($B148,INDIRECT($B$5&amp;"生成成长"),4))/(VLOOKUP(DF$72,INDIRECT($C$5&amp;"生成成长"),5))*(VLOOKUP($B$5,标准坦克设计!$B$24:$U$30,MATCH("对"&amp;LEFT($C$5,2)&amp;"输出",标准坦克设计!$B$23:$U$23,0)))*(VLOOKUP($B148,INDIRECT($B$5&amp;"生成成长"),3))*(VLOOKUP($B$5,标准坦克设计!$B$14:$K$20,9)/30))</f>
        <v>34.645058861675835</v>
      </c>
      <c r="DG148" s="172">
        <f ca="1">(VLOOKUP(DG$72,INDIRECT($C$5&amp;"生成成长"),2))/((VLOOKUP($B148,INDIRECT($B$5&amp;"生成成长"),4))/(VLOOKUP(DG$72,INDIRECT($C$5&amp;"生成成长"),5))*(VLOOKUP($B$5,标准坦克设计!$B$24:$U$30,MATCH("对"&amp;LEFT($C$5,2)&amp;"输出",标准坦克设计!$B$23:$U$23,0)))*(VLOOKUP($B148,INDIRECT($B$5&amp;"生成成长"),3))*(VLOOKUP($B$5,标准坦克设计!$B$14:$K$20,9)/30))</f>
        <v>36.587401136831907</v>
      </c>
      <c r="DH148" s="172">
        <f ca="1">(VLOOKUP(DH$72,INDIRECT($C$5&amp;"生成成长"),2))/((VLOOKUP($B148,INDIRECT($B$5&amp;"生成成长"),4))/(VLOOKUP(DH$72,INDIRECT($C$5&amp;"生成成长"),5))*(VLOOKUP($B$5,标准坦克设计!$B$24:$U$30,MATCH("对"&amp;LEFT($C$5,2)&amp;"输出",标准坦克设计!$B$23:$U$23,0)))*(VLOOKUP($B148,INDIRECT($B$5&amp;"生成成长"),3))*(VLOOKUP($B$5,标准坦克设计!$B$14:$K$20,9)/30))</f>
        <v>38.582716383128599</v>
      </c>
      <c r="DI148" s="172">
        <f ca="1">(VLOOKUP(DI$72,INDIRECT($C$5&amp;"生成成长"),2))/((VLOOKUP($B148,INDIRECT($B$5&amp;"生成成长"),4))/(VLOOKUP(DI$72,INDIRECT($C$5&amp;"生成成长"),5))*(VLOOKUP($B$5,标准坦克设计!$B$24:$U$30,MATCH("对"&amp;LEFT($C$5,2)&amp;"输出",标准坦克设计!$B$23:$U$23,0)))*(VLOOKUP($B148,INDIRECT($B$5&amp;"生成成长"),3))*(VLOOKUP($B$5,标准坦克设计!$B$14:$K$20,9)/30))</f>
        <v>40.631004600565909</v>
      </c>
      <c r="DJ148" s="172">
        <f ca="1">(VLOOKUP(DJ$72,INDIRECT($C$5&amp;"生成成长"),2))/((VLOOKUP($B148,INDIRECT($B$5&amp;"生成成长"),4))/(VLOOKUP(DJ$72,INDIRECT($C$5&amp;"生成成长"),5))*(VLOOKUP($B$5,标准坦克设计!$B$24:$U$30,MATCH("对"&amp;LEFT($C$5,2)&amp;"输出",标准坦克设计!$B$23:$U$23,0)))*(VLOOKUP($B148,INDIRECT($B$5&amp;"生成成长"),3))*(VLOOKUP($B$5,标准坦克设计!$B$14:$K$20,9)/30))</f>
        <v>4.0835171260170382</v>
      </c>
      <c r="DK148" s="172">
        <f ca="1">(VLOOKUP(DK$72,INDIRECT($C$5&amp;"生成成长"),2))/((VLOOKUP($B148,INDIRECT($B$5&amp;"生成成长"),4))/(VLOOKUP(DK$72,INDIRECT($C$5&amp;"生成成长"),5))*(VLOOKUP($B$5,标准坦克设计!$B$24:$U$30,MATCH("对"&amp;LEFT($C$5,2)&amp;"输出",标准坦克设计!$B$23:$U$23,0)))*(VLOOKUP($B148,INDIRECT($B$5&amp;"生成成长"),3))*(VLOOKUP($B$5,标准坦克设计!$B$14:$K$20,9)/30))</f>
        <v>4.5917265678973624</v>
      </c>
      <c r="DL148" s="172">
        <f ca="1">(VLOOKUP(DL$72,INDIRECT($C$5&amp;"生成成长"),2))/((VLOOKUP($B148,INDIRECT($B$5&amp;"生成成长"),4))/(VLOOKUP(DL$72,INDIRECT($C$5&amp;"生成成长"),5))*(VLOOKUP($B$5,标准坦克设计!$B$24:$U$30,MATCH("对"&amp;LEFT($C$5,2)&amp;"输出",标准坦克设计!$B$23:$U$23,0)))*(VLOOKUP($B148,INDIRECT($B$5&amp;"生成成长"),3))*(VLOOKUP($B$5,标准坦克设计!$B$14:$K$20,9)/30))</f>
        <v>5.1297333060442858</v>
      </c>
      <c r="DM148" s="172">
        <f ca="1">(VLOOKUP(DM$72,INDIRECT($C$5&amp;"生成成长"),2))/((VLOOKUP($B148,INDIRECT($B$5&amp;"生成成长"),4))/(VLOOKUP(DM$72,INDIRECT($C$5&amp;"生成成长"),5))*(VLOOKUP($B$5,标准坦克设计!$B$24:$U$30,MATCH("对"&amp;LEFT($C$5,2)&amp;"输出",标准坦克设计!$B$23:$U$23,0)))*(VLOOKUP($B148,INDIRECT($B$5&amp;"生成成长"),3))*(VLOOKUP($B$5,标准坦克设计!$B$14:$K$20,9)/30))</f>
        <v>5.6975373404578082</v>
      </c>
      <c r="DN148" s="172">
        <f ca="1">(VLOOKUP(DN$72,INDIRECT($C$5&amp;"生成成长"),2))/((VLOOKUP($B148,INDIRECT($B$5&amp;"生成成长"),4))/(VLOOKUP(DN$72,INDIRECT($C$5&amp;"生成成长"),5))*(VLOOKUP($B$5,标准坦克设计!$B$24:$U$30,MATCH("对"&amp;LEFT($C$5,2)&amp;"输出",标准坦克设计!$B$23:$U$23,0)))*(VLOOKUP($B148,INDIRECT($B$5&amp;"生成成长"),3))*(VLOOKUP($B$5,标准坦克设计!$B$14:$K$20,9)/30))</f>
        <v>6.2951386711379289</v>
      </c>
      <c r="DO148" s="172">
        <f ca="1">(VLOOKUP(DO$72,INDIRECT($C$5&amp;"生成成长"),2))/((VLOOKUP($B148,INDIRECT($B$5&amp;"生成成长"),4))/(VLOOKUP(DO$72,INDIRECT($C$5&amp;"生成成长"),5))*(VLOOKUP($B$5,标准坦克设计!$B$24:$U$30,MATCH("对"&amp;LEFT($C$5,2)&amp;"输出",标准坦克设计!$B$23:$U$23,0)))*(VLOOKUP($B148,INDIRECT($B$5&amp;"生成成长"),3))*(VLOOKUP($B$5,标准坦克设计!$B$14:$K$20,9)/30))</f>
        <v>6.9225372980846469</v>
      </c>
      <c r="DP148" s="172">
        <f ca="1">(VLOOKUP(DP$72,INDIRECT($C$5&amp;"生成成长"),2))/((VLOOKUP($B148,INDIRECT($B$5&amp;"生成成长"),4))/(VLOOKUP(DP$72,INDIRECT($C$5&amp;"生成成长"),5))*(VLOOKUP($B$5,标准坦克设计!$B$24:$U$30,MATCH("对"&amp;LEFT($C$5,2)&amp;"输出",标准坦克设计!$B$23:$U$23,0)))*(VLOOKUP($B148,INDIRECT($B$5&amp;"生成成长"),3))*(VLOOKUP($B$5,标准坦克设计!$B$14:$K$20,9)/30))</f>
        <v>7.5797332212979658</v>
      </c>
      <c r="DQ148" s="172">
        <f ca="1">(VLOOKUP(DQ$72,INDIRECT($C$5&amp;"生成成长"),2))/((VLOOKUP($B148,INDIRECT($B$5&amp;"生成成长"),4))/(VLOOKUP(DQ$72,INDIRECT($C$5&amp;"生成成长"),5))*(VLOOKUP($B$5,标准坦克设计!$B$24:$U$30,MATCH("对"&amp;LEFT($C$5,2)&amp;"输出",标准坦克设计!$B$23:$U$23,0)))*(VLOOKUP($B148,INDIRECT($B$5&amp;"生成成长"),3))*(VLOOKUP($B$5,标准坦克设计!$B$14:$K$20,9)/30))</f>
        <v>8.266726440777882</v>
      </c>
      <c r="DR148" s="172">
        <f ca="1">(VLOOKUP(DR$72,INDIRECT($C$5&amp;"生成成长"),2))/((VLOOKUP($B148,INDIRECT($B$5&amp;"生成成长"),4))/(VLOOKUP(DR$72,INDIRECT($C$5&amp;"生成成长"),5))*(VLOOKUP($B$5,标准坦克设计!$B$24:$U$30,MATCH("对"&amp;LEFT($C$5,2)&amp;"输出",标准坦克设计!$B$23:$U$23,0)))*(VLOOKUP($B148,INDIRECT($B$5&amp;"生成成长"),3))*(VLOOKUP($B$5,标准坦克设计!$B$14:$K$20,9)/30))</f>
        <v>8.9835169565243973</v>
      </c>
      <c r="DS148" s="172">
        <f ca="1">(VLOOKUP(DS$72,INDIRECT($C$5&amp;"生成成长"),2))/((VLOOKUP($B148,INDIRECT($B$5&amp;"生成成长"),4))/(VLOOKUP(DS$72,INDIRECT($C$5&amp;"生成成长"),5))*(VLOOKUP($B$5,标准坦克设计!$B$24:$U$30,MATCH("对"&amp;LEFT($C$5,2)&amp;"输出",标准坦克设计!$B$23:$U$23,0)))*(VLOOKUP($B148,INDIRECT($B$5&amp;"生成成长"),3))*(VLOOKUP($B$5,标准坦克设计!$B$14:$K$20,9)/30))</f>
        <v>9.7301047685375135</v>
      </c>
      <c r="DT148" s="172">
        <f ca="1">(VLOOKUP(DT$72,INDIRECT($C$5&amp;"生成成长"),2))/((VLOOKUP($B148,INDIRECT($B$5&amp;"生成成长"),4))/(VLOOKUP(DT$72,INDIRECT($C$5&amp;"生成成长"),5))*(VLOOKUP($B$5,标准坦克设计!$B$24:$U$30,MATCH("对"&amp;LEFT($C$5,2)&amp;"输出",标准坦克设计!$B$23:$U$23,0)))*(VLOOKUP($B148,INDIRECT($B$5&amp;"生成成长"),3))*(VLOOKUP($B$5,标准坦克设计!$B$14:$K$20,9)/30))</f>
        <v>10.683066447285961</v>
      </c>
      <c r="DU148" s="172">
        <f ca="1">(VLOOKUP(DU$72,INDIRECT($C$5&amp;"生成成长"),2))/((VLOOKUP($B148,INDIRECT($B$5&amp;"生成成长"),4))/(VLOOKUP(DU$72,INDIRECT($C$5&amp;"生成成长"),5))*(VLOOKUP($B$5,标准坦克设计!$B$24:$U$30,MATCH("对"&amp;LEFT($C$5,2)&amp;"输出",标准坦克设计!$B$23:$U$23,0)))*(VLOOKUP($B148,INDIRECT($B$5&amp;"生成成长"),3))*(VLOOKUP($B$5,标准坦克设计!$B$14:$K$20,9)/30))</f>
        <v>11.680540136506734</v>
      </c>
      <c r="DV148" s="172">
        <f ca="1">(VLOOKUP(DV$72,INDIRECT($C$5&amp;"生成成长"),2))/((VLOOKUP($B148,INDIRECT($B$5&amp;"生成成长"),4))/(VLOOKUP(DV$72,INDIRECT($C$5&amp;"生成成长"),5))*(VLOOKUP($B$5,标准坦克设计!$B$24:$U$30,MATCH("对"&amp;LEFT($C$5,2)&amp;"输出",标准坦克设计!$B$23:$U$23,0)))*(VLOOKUP($B148,INDIRECT($B$5&amp;"生成成长"),3))*(VLOOKUP($B$5,标准坦克设计!$B$14:$K$20,9)/30))</f>
        <v>12.722525836199834</v>
      </c>
      <c r="DW148" s="172">
        <f ca="1">(VLOOKUP(DW$72,INDIRECT($C$5&amp;"生成成长"),2))/((VLOOKUP($B148,INDIRECT($B$5&amp;"生成成长"),4))/(VLOOKUP(DW$72,INDIRECT($C$5&amp;"生成成长"),5))*(VLOOKUP($B$5,标准坦克设计!$B$24:$U$30,MATCH("对"&amp;LEFT($C$5,2)&amp;"输出",标准坦克设计!$B$23:$U$23,0)))*(VLOOKUP($B148,INDIRECT($B$5&amp;"生成成长"),3))*(VLOOKUP($B$5,标准坦克设计!$B$14:$K$20,9)/30))</f>
        <v>13.809023546365262</v>
      </c>
      <c r="DX148" s="172">
        <f ca="1">(VLOOKUP(DX$72,INDIRECT($C$5&amp;"生成成长"),2))/((VLOOKUP($B148,INDIRECT($B$5&amp;"生成成长"),4))/(VLOOKUP(DX$72,INDIRECT($C$5&amp;"生成成长"),5))*(VLOOKUP($B$5,标准坦克设计!$B$24:$U$30,MATCH("对"&amp;LEFT($C$5,2)&amp;"输出",标准坦克设计!$B$23:$U$23,0)))*(VLOOKUP($B148,INDIRECT($B$5&amp;"生成成长"),3))*(VLOOKUP($B$5,标准坦克设计!$B$14:$K$20,9)/30))</f>
        <v>14.940033267003015</v>
      </c>
      <c r="DY148" s="172">
        <f ca="1">(VLOOKUP(DY$72,INDIRECT($C$5&amp;"生成成长"),2))/((VLOOKUP($B148,INDIRECT($B$5&amp;"生成成长"),4))/(VLOOKUP(DY$72,INDIRECT($C$5&amp;"生成成长"),5))*(VLOOKUP($B$5,标准坦克设计!$B$24:$U$30,MATCH("对"&amp;LEFT($C$5,2)&amp;"输出",标准坦克设计!$B$23:$U$23,0)))*(VLOOKUP($B148,INDIRECT($B$5&amp;"生成成长"),3))*(VLOOKUP($B$5,标准坦克设计!$B$14:$K$20,9)/30))</f>
        <v>6.7100936117394525</v>
      </c>
      <c r="DZ148" s="172">
        <f ca="1">(VLOOKUP(DZ$72,INDIRECT($C$5&amp;"生成成长"),2))/((VLOOKUP($B148,INDIRECT($B$5&amp;"生成成长"),4))/(VLOOKUP(DZ$72,INDIRECT($C$5&amp;"生成成长"),5))*(VLOOKUP($B$5,标准坦克设计!$B$24:$U$30,MATCH("对"&amp;LEFT($C$5,2)&amp;"输出",标准坦克设计!$B$23:$U$23,0)))*(VLOOKUP($B148,INDIRECT($B$5&amp;"生成成长"),3))*(VLOOKUP($B$5,标准坦克设计!$B$14:$K$20,9)/30))</f>
        <v>7.4311146078201142</v>
      </c>
      <c r="EA148" s="172">
        <f ca="1">(VLOOKUP(EA$72,INDIRECT($C$5&amp;"生成成长"),2))/((VLOOKUP($B148,INDIRECT($B$5&amp;"生成成长"),4))/(VLOOKUP(EA$72,INDIRECT($C$5&amp;"生成成长"),5))*(VLOOKUP($B$5,标准坦克设计!$B$24:$U$30,MATCH("对"&amp;LEFT($C$5,2)&amp;"输出",标准坦克设计!$B$23:$U$23,0)))*(VLOOKUP($B148,INDIRECT($B$5&amp;"生成成长"),3))*(VLOOKUP($B$5,标准坦克设计!$B$14:$K$20,9)/30))</f>
        <v>8.1889223894150973</v>
      </c>
      <c r="EB148" s="172">
        <f ca="1">(VLOOKUP(EB$72,INDIRECT($C$5&amp;"生成成长"),2))/((VLOOKUP($B148,INDIRECT($B$5&amp;"生成成长"),4))/(VLOOKUP(EB$72,INDIRECT($C$5&amp;"生成成长"),5))*(VLOOKUP($B$5,标准坦克设计!$B$24:$U$30,MATCH("对"&amp;LEFT($C$5,2)&amp;"输出",标准坦克设计!$B$23:$U$23,0)))*(VLOOKUP($B148,INDIRECT($B$5&amp;"生成成长"),3))*(VLOOKUP($B$5,标准坦克设计!$B$14:$K$20,9)/30))</f>
        <v>8.9835169565243973</v>
      </c>
      <c r="EC148" s="172">
        <f ca="1">(VLOOKUP(EC$72,INDIRECT($C$5&amp;"生成成长"),2))/((VLOOKUP($B148,INDIRECT($B$5&amp;"生成成长"),4))/(VLOOKUP(EC$72,INDIRECT($C$5&amp;"生成成长"),5))*(VLOOKUP($B$5,标准坦克设计!$B$24:$U$30,MATCH("对"&amp;LEFT($C$5,2)&amp;"输出",标准坦克设计!$B$23:$U$23,0)))*(VLOOKUP($B148,INDIRECT($B$5&amp;"生成成长"),3))*(VLOOKUP($B$5,标准坦克设计!$B$14:$K$20,9)/30))</f>
        <v>9.8148983091480186</v>
      </c>
      <c r="ED148" s="172">
        <f ca="1">(VLOOKUP(ED$72,INDIRECT($C$5&amp;"生成成长"),2))/((VLOOKUP($B148,INDIRECT($B$5&amp;"生成成长"),4))/(VLOOKUP(ED$72,INDIRECT($C$5&amp;"生成成长"),5))*(VLOOKUP($B$5,标准坦克设计!$B$24:$U$30,MATCH("对"&amp;LEFT($C$5,2)&amp;"输出",标准坦克设计!$B$23:$U$23,0)))*(VLOOKUP($B148,INDIRECT($B$5&amp;"生成成长"),3))*(VLOOKUP($B$5,标准坦克设计!$B$14:$K$20,9)/30))</f>
        <v>10.683066447285961</v>
      </c>
      <c r="EE148" s="172">
        <f ca="1">(VLOOKUP(EE$72,INDIRECT($C$5&amp;"生成成长"),2))/((VLOOKUP($B148,INDIRECT($B$5&amp;"生成成长"),4))/(VLOOKUP(EE$72,INDIRECT($C$5&amp;"生成成长"),5))*(VLOOKUP($B$5,标准坦克设计!$B$24:$U$30,MATCH("对"&amp;LEFT($C$5,2)&amp;"输出",标准坦克设计!$B$23:$U$23,0)))*(VLOOKUP($B148,INDIRECT($B$5&amp;"生成成长"),3))*(VLOOKUP($B$5,标准坦克设计!$B$14:$K$20,9)/30))</f>
        <v>11.58802137093822</v>
      </c>
      <c r="EF148" s="172">
        <f ca="1">(VLOOKUP(EF$72,INDIRECT($C$5&amp;"生成成长"),2))/((VLOOKUP($B148,INDIRECT($B$5&amp;"生成成长"),4))/(VLOOKUP(EF$72,INDIRECT($C$5&amp;"生成成长"),5))*(VLOOKUP($B$5,标准坦克设计!$B$24:$U$30,MATCH("对"&amp;LEFT($C$5,2)&amp;"输出",标准坦克设计!$B$23:$U$23,0)))*(VLOOKUP($B148,INDIRECT($B$5&amp;"生成成长"),3))*(VLOOKUP($B$5,标准坦克设计!$B$14:$K$20,9)/30))</f>
        <v>12.529763080104798</v>
      </c>
      <c r="EG148" s="172">
        <f ca="1">(VLOOKUP(EG$72,INDIRECT($C$5&amp;"生成成长"),2))/((VLOOKUP($B148,INDIRECT($B$5&amp;"生成成长"),4))/(VLOOKUP(EG$72,INDIRECT($C$5&amp;"生成成长"),5))*(VLOOKUP($B$5,标准坦克设计!$B$24:$U$30,MATCH("对"&amp;LEFT($C$5,2)&amp;"输出",标准坦克设计!$B$23:$U$23,0)))*(VLOOKUP($B148,INDIRECT($B$5&amp;"生成成长"),3))*(VLOOKUP($B$5,标准坦克设计!$B$14:$K$20,9)/30))</f>
        <v>13.508291574785698</v>
      </c>
      <c r="EH148" s="172">
        <f ca="1">(VLOOKUP(EH$72,INDIRECT($C$5&amp;"生成成长"),2))/((VLOOKUP($B148,INDIRECT($B$5&amp;"生成成长"),4))/(VLOOKUP(EH$72,INDIRECT($C$5&amp;"生成成长"),5))*(VLOOKUP($B$5,标准坦克设计!$B$24:$U$30,MATCH("对"&amp;LEFT($C$5,2)&amp;"输出",标准坦克设计!$B$23:$U$23,0)))*(VLOOKUP($B148,INDIRECT($B$5&amp;"生成成长"),3))*(VLOOKUP($B$5,标准坦克设计!$B$14:$K$20,9)/30))</f>
        <v>14.523606854980921</v>
      </c>
      <c r="EI148" s="172">
        <f ca="1">(VLOOKUP(EI$72,INDIRECT($C$5&amp;"生成成长"),2))/((VLOOKUP($B148,INDIRECT($B$5&amp;"生成成长"),4))/(VLOOKUP(EI$72,INDIRECT($C$5&amp;"生成成长"),5))*(VLOOKUP($B$5,标准坦克设计!$B$24:$U$30,MATCH("对"&amp;LEFT($C$5,2)&amp;"输出",标准坦克设计!$B$23:$U$23,0)))*(VLOOKUP($B148,INDIRECT($B$5&amp;"生成成长"),3))*(VLOOKUP($B$5,标准坦克设计!$B$14:$K$20,9)/30))</f>
        <v>15.575708920690456</v>
      </c>
      <c r="EJ148" s="172">
        <f ca="1">(VLOOKUP(EJ$72,INDIRECT($C$5&amp;"生成成长"),2))/((VLOOKUP($B148,INDIRECT($B$5&amp;"生成成长"),4))/(VLOOKUP(EJ$72,INDIRECT($C$5&amp;"生成成长"),5))*(VLOOKUP($B$5,标准坦克设计!$B$24:$U$30,MATCH("对"&amp;LEFT($C$5,2)&amp;"输出",标准坦克设计!$B$23:$U$23,0)))*(VLOOKUP($B148,INDIRECT($B$5&amp;"生成成长"),3))*(VLOOKUP($B$5,标准坦克设计!$B$14:$K$20,9)/30))</f>
        <v>16.664597771914316</v>
      </c>
      <c r="EK148" s="172">
        <f ca="1">(VLOOKUP(EK$72,INDIRECT($C$5&amp;"生成成长"),2))/((VLOOKUP($B148,INDIRECT($B$5&amp;"生成成长"),4))/(VLOOKUP(EK$72,INDIRECT($C$5&amp;"生成成长"),5))*(VLOOKUP($B$5,标准坦克设计!$B$24:$U$30,MATCH("对"&amp;LEFT($C$5,2)&amp;"输出",标准坦克设计!$B$23:$U$23,0)))*(VLOOKUP($B148,INDIRECT($B$5&amp;"生成成长"),3))*(VLOOKUP($B$5,标准坦克设计!$B$14:$K$20,9)/30))</f>
        <v>18.019822950261844</v>
      </c>
      <c r="EL148" s="172">
        <f ca="1">(VLOOKUP(EL$72,INDIRECT($C$5&amp;"生成成长"),2))/((VLOOKUP($B148,INDIRECT($B$5&amp;"生成成长"),4))/(VLOOKUP(EL$72,INDIRECT($C$5&amp;"生成成长"),5))*(VLOOKUP($B$5,标准坦克设计!$B$24:$U$30,MATCH("对"&amp;LEFT($C$5,2)&amp;"输出",标准坦克设计!$B$23:$U$23,0)))*(VLOOKUP($B148,INDIRECT($B$5&amp;"生成成长"),3))*(VLOOKUP($B$5,标准坦克设计!$B$14:$K$20,9)/30))</f>
        <v>19.428021099749994</v>
      </c>
      <c r="EM148" s="172">
        <f ca="1">(VLOOKUP(EM$72,INDIRECT($C$5&amp;"生成成长"),2))/((VLOOKUP($B148,INDIRECT($B$5&amp;"生成成长"),4))/(VLOOKUP(EM$72,INDIRECT($C$5&amp;"生成成长"),5))*(VLOOKUP($B$5,标准坦克设计!$B$24:$U$30,MATCH("对"&amp;LEFT($C$5,2)&amp;"输出",标准坦克设计!$B$23:$U$23,0)))*(VLOOKUP($B148,INDIRECT($B$5&amp;"生成成长"),3))*(VLOOKUP($B$5,标准坦克设计!$B$14:$K$20,9)/30))</f>
        <v>20.889192220378767</v>
      </c>
      <c r="EN148" s="172">
        <f ca="1">(VLOOKUP(EN$72,INDIRECT($C$5&amp;"生成成长"),2))/((VLOOKUP($B148,INDIRECT($B$5&amp;"生成成长"),4))/(VLOOKUP(EN$72,INDIRECT($C$5&amp;"生成成长"),5))*(VLOOKUP($B$5,标准坦克设计!$B$24:$U$30,MATCH("对"&amp;LEFT($C$5,2)&amp;"输出",标准坦克设计!$B$23:$U$23,0)))*(VLOOKUP($B148,INDIRECT($B$5&amp;"生成成长"),3))*(VLOOKUP($B$5,标准坦克设计!$B$14:$K$20,9)/30))</f>
        <v>22.403336312148159</v>
      </c>
      <c r="EO148" s="172">
        <f ca="1">(VLOOKUP(EO$72,INDIRECT($C$5&amp;"生成成长"),2))/((VLOOKUP($B148,INDIRECT($B$5&amp;"生成成长"),4))/(VLOOKUP(EO$72,INDIRECT($C$5&amp;"生成成长"),5))*(VLOOKUP($B$5,标准坦克设计!$B$24:$U$30,MATCH("对"&amp;LEFT($C$5,2)&amp;"输出",标准坦克设计!$B$23:$U$23,0)))*(VLOOKUP($B148,INDIRECT($B$5&amp;"生成成长"),3))*(VLOOKUP($B$5,标准坦克设计!$B$14:$K$20,9)/30))</f>
        <v>23.970453375058167</v>
      </c>
      <c r="EP148" s="172">
        <f ca="1">(VLOOKUP(EP$72,INDIRECT($C$5&amp;"生成成长"),2))/((VLOOKUP($B148,INDIRECT($B$5&amp;"生成成长"),4))/(VLOOKUP(EP$72,INDIRECT($C$5&amp;"生成成长"),5))*(VLOOKUP($B$5,标准坦克设计!$B$24:$U$30,MATCH("对"&amp;LEFT($C$5,2)&amp;"输出",标准坦克设计!$B$23:$U$23,0)))*(VLOOKUP($B148,INDIRECT($B$5&amp;"生成成长"),3))*(VLOOKUP($B$5,标准坦克设计!$B$14:$K$20,9)/30))</f>
        <v>25.590543409108797</v>
      </c>
      <c r="EQ148" s="172">
        <f ca="1">(VLOOKUP(EQ$72,INDIRECT($C$5&amp;"生成成长"),2))/((VLOOKUP($B148,INDIRECT($B$5&amp;"生成成长"),4))/(VLOOKUP(EQ$72,INDIRECT($C$5&amp;"生成成长"),5))*(VLOOKUP($B$5,标准坦克设计!$B$24:$U$30,MATCH("对"&amp;LEFT($C$5,2)&amp;"输出",标准坦克设计!$B$23:$U$23,0)))*(VLOOKUP($B148,INDIRECT($B$5&amp;"生成成长"),3))*(VLOOKUP($B$5,标准坦克设计!$B$14:$K$20,9)/30))</f>
        <v>11.312672281363538</v>
      </c>
      <c r="ER148" s="172">
        <f ca="1">(VLOOKUP(ER$72,INDIRECT($C$5&amp;"生成成长"),2))/((VLOOKUP($B148,INDIRECT($B$5&amp;"生成成长"),4))/(VLOOKUP(ER$72,INDIRECT($C$5&amp;"生成成长"),5))*(VLOOKUP($B$5,标准坦克设计!$B$24:$U$30,MATCH("对"&amp;LEFT($C$5,2)&amp;"输出",标准坦克设计!$B$23:$U$23,0)))*(VLOOKUP($B148,INDIRECT($B$5&amp;"生成成长"),3))*(VLOOKUP($B$5,标准坦克设计!$B$14:$K$20,9)/30))</f>
        <v>12.338471795430339</v>
      </c>
      <c r="ES148" s="172">
        <f ca="1">(VLOOKUP(ES$72,INDIRECT($C$5&amp;"生成成长"),2))/((VLOOKUP($B148,INDIRECT($B$5&amp;"生成成长"),4))/(VLOOKUP(ES$72,INDIRECT($C$5&amp;"生成成长"),5))*(VLOOKUP($B$5,标准坦克设计!$B$24:$U$30,MATCH("对"&amp;LEFT($C$5,2)&amp;"输出",标准坦克设计!$B$23:$U$23,0)))*(VLOOKUP($B148,INDIRECT($B$5&amp;"生成成长"),3))*(VLOOKUP($B$5,标准坦克设计!$B$14:$K$20,9)/30))</f>
        <v>13.408783319969466</v>
      </c>
      <c r="ET148" s="172">
        <f ca="1">(VLOOKUP(ET$72,INDIRECT($C$5&amp;"生成成长"),2))/((VLOOKUP($B148,INDIRECT($B$5&amp;"生成成长"),4))/(VLOOKUP(ET$72,INDIRECT($C$5&amp;"生成成长"),5))*(VLOOKUP($B$5,标准坦克设计!$B$24:$U$30,MATCH("对"&amp;LEFT($C$5,2)&amp;"输出",标准坦克设计!$B$23:$U$23,0)))*(VLOOKUP($B148,INDIRECT($B$5&amp;"生成成长"),3))*(VLOOKUP($B$5,标准坦克设计!$B$14:$K$20,9)/30))</f>
        <v>14.523606854980921</v>
      </c>
      <c r="EU148" s="172">
        <f ca="1">(VLOOKUP(EU$72,INDIRECT($C$5&amp;"生成成长"),2))/((VLOOKUP($B148,INDIRECT($B$5&amp;"生成成长"),4))/(VLOOKUP(EU$72,INDIRECT($C$5&amp;"生成成长"),5))*(VLOOKUP($B$5,标准坦克设计!$B$24:$U$30,MATCH("对"&amp;LEFT($C$5,2)&amp;"输出",标准坦克设计!$B$23:$U$23,0)))*(VLOOKUP($B148,INDIRECT($B$5&amp;"生成成长"),3))*(VLOOKUP($B$5,标准坦克设计!$B$14:$K$20,9)/30))</f>
        <v>15.682942400464697</v>
      </c>
      <c r="EV148" s="172">
        <f ca="1">(VLOOKUP(EV$72,INDIRECT($C$5&amp;"生成成长"),2))/((VLOOKUP($B148,INDIRECT($B$5&amp;"生成成长"),4))/(VLOOKUP(EV$72,INDIRECT($C$5&amp;"生成成长"),5))*(VLOOKUP($B$5,标准坦克设计!$B$24:$U$30,MATCH("对"&amp;LEFT($C$5,2)&amp;"输出",标准坦克设计!$B$23:$U$23,0)))*(VLOOKUP($B148,INDIRECT($B$5&amp;"生成成长"),3))*(VLOOKUP($B$5,标准坦克设计!$B$14:$K$20,9)/30))</f>
        <v>16.886789956420802</v>
      </c>
      <c r="EW148" s="172">
        <f ca="1">(VLOOKUP(EW$72,INDIRECT($C$5&amp;"生成成长"),2))/((VLOOKUP($B148,INDIRECT($B$5&amp;"生成成长"),4))/(VLOOKUP(EW$72,INDIRECT($C$5&amp;"生成成长"),5))*(VLOOKUP($B$5,标准坦克设计!$B$24:$U$30,MATCH("对"&amp;LEFT($C$5,2)&amp;"输出",标准坦克设计!$B$23:$U$23,0)))*(VLOOKUP($B148,INDIRECT($B$5&amp;"生成成长"),3))*(VLOOKUP($B$5,标准坦克设计!$B$14:$K$20,9)/30))</f>
        <v>18.135149522849236</v>
      </c>
      <c r="EX148" s="172">
        <f ca="1">(VLOOKUP(EX$72,INDIRECT($C$5&amp;"生成成长"),2))/((VLOOKUP($B148,INDIRECT($B$5&amp;"生成成长"),4))/(VLOOKUP(EX$72,INDIRECT($C$5&amp;"生成成长"),5))*(VLOOKUP($B$5,标准坦克设计!$B$24:$U$30,MATCH("对"&amp;LEFT($C$5,2)&amp;"输出",标准坦克设计!$B$23:$U$23,0)))*(VLOOKUP($B148,INDIRECT($B$5&amp;"生成成长"),3))*(VLOOKUP($B$5,标准坦克设计!$B$14:$K$20,9)/30))</f>
        <v>19.428021099749994</v>
      </c>
      <c r="EY148" s="172">
        <f ca="1">(VLOOKUP(EY$72,INDIRECT($C$5&amp;"生成成长"),2))/((VLOOKUP($B148,INDIRECT($B$5&amp;"生成成长"),4))/(VLOOKUP(EY$72,INDIRECT($C$5&amp;"生成成长"),5))*(VLOOKUP($B$5,标准坦克设计!$B$24:$U$30,MATCH("对"&amp;LEFT($C$5,2)&amp;"输出",标准坦克设计!$B$23:$U$23,0)))*(VLOOKUP($B148,INDIRECT($B$5&amp;"生成成长"),3))*(VLOOKUP($B$5,标准坦克设计!$B$14:$K$20,9)/30))</f>
        <v>20.76540468712308</v>
      </c>
      <c r="EZ148" s="172">
        <f ca="1">(VLOOKUP(EZ$72,INDIRECT($C$5&amp;"生成成长"),2))/((VLOOKUP($B148,INDIRECT($B$5&amp;"生成成长"),4))/(VLOOKUP(EZ$72,INDIRECT($C$5&amp;"生成成长"),5))*(VLOOKUP($B$5,标准坦克设计!$B$24:$U$30,MATCH("对"&amp;LEFT($C$5,2)&amp;"输出",标准坦克设计!$B$23:$U$23,0)))*(VLOOKUP($B148,INDIRECT($B$5&amp;"生成成长"),3))*(VLOOKUP($B$5,标准坦克设计!$B$14:$K$20,9)/30))</f>
        <v>22.147300284968498</v>
      </c>
      <c r="FA148" s="172">
        <f ca="1">(VLOOKUP(FA$72,INDIRECT($C$5&amp;"生成成长"),2))/((VLOOKUP($B148,INDIRECT($B$5&amp;"生成成长"),4))/(VLOOKUP(FA$72,INDIRECT($C$5&amp;"生成成长"),5))*(VLOOKUP($B$5,标准坦克设计!$B$24:$U$30,MATCH("对"&amp;LEFT($C$5,2)&amp;"输出",标准坦克设计!$B$23:$U$23,0)))*(VLOOKUP($B148,INDIRECT($B$5&amp;"生成成长"),3))*(VLOOKUP($B$5,标准坦克设计!$B$14:$K$20,9)/30))</f>
        <v>23.57370789328623</v>
      </c>
      <c r="FB148" s="172">
        <f ca="1">(VLOOKUP(FB$72,INDIRECT($C$5&amp;"生成成长"),2))/((VLOOKUP($B148,INDIRECT($B$5&amp;"生成成长"),4))/(VLOOKUP(FB$72,INDIRECT($C$5&amp;"生成成长"),5))*(VLOOKUP($B$5,标准坦克设计!$B$24:$U$30,MATCH("对"&amp;LEFT($C$5,2)&amp;"输出",标准坦克设计!$B$23:$U$23,0)))*(VLOOKUP($B148,INDIRECT($B$5&amp;"生成成长"),3))*(VLOOKUP($B$5,标准坦克设计!$B$14:$K$20,9)/30))</f>
        <v>25.044627512076303</v>
      </c>
      <c r="FC148" s="172">
        <f ca="1">(VLOOKUP(FC$72,INDIRECT($C$5&amp;"生成成长"),2))/((VLOOKUP($B148,INDIRECT($B$5&amp;"生成成长"),4))/(VLOOKUP(FC$72,INDIRECT($C$5&amp;"生成成长"),5))*(VLOOKUP($B$5,标准坦克设计!$B$24:$U$30,MATCH("对"&amp;LEFT($C$5,2)&amp;"输出",标准坦克设计!$B$23:$U$23,0)))*(VLOOKUP($B148,INDIRECT($B$5&amp;"生成成长"),3))*(VLOOKUP($B$5,标准坦克设计!$B$14:$K$20,9)/30))</f>
        <v>26.560059141338691</v>
      </c>
      <c r="FD148" s="172">
        <f ca="1">(VLOOKUP(FD$72,INDIRECT($C$5&amp;"生成成长"),2))/((VLOOKUP($B148,INDIRECT($B$5&amp;"生成成长"),4))/(VLOOKUP(FD$72,INDIRECT($C$5&amp;"生成成长"),5))*(VLOOKUP($B$5,标准坦克设计!$B$24:$U$30,MATCH("对"&amp;LEFT($C$5,2)&amp;"输出",标准坦克设计!$B$23:$U$23,0)))*(VLOOKUP($B148,INDIRECT($B$5&amp;"生成成长"),3))*(VLOOKUP($B$5,标准坦克设计!$B$14:$K$20,9)/30))</f>
        <v>28.120002781073413</v>
      </c>
      <c r="FE148" s="172">
        <f ca="1">(VLOOKUP(FE$72,INDIRECT($C$5&amp;"生成成长"),2))/((VLOOKUP($B148,INDIRECT($B$5&amp;"生成成长"),4))/(VLOOKUP(FE$72,INDIRECT($C$5&amp;"生成成长"),5))*(VLOOKUP($B$5,标准坦克设计!$B$24:$U$30,MATCH("对"&amp;LEFT($C$5,2)&amp;"输出",标准坦克设计!$B$23:$U$23,0)))*(VLOOKUP($B148,INDIRECT($B$5&amp;"生成成长"),3))*(VLOOKUP($B$5,标准坦克设计!$B$14:$K$20,9)/30))</f>
        <v>30.020959922525872</v>
      </c>
      <c r="FF148" s="172">
        <f ca="1">(VLOOKUP(FF$72,INDIRECT($C$5&amp;"生成成长"),2))/((VLOOKUP($B148,INDIRECT($B$5&amp;"生成成长"),4))/(VLOOKUP(FF$72,INDIRECT($C$5&amp;"生成成长"),5))*(VLOOKUP($B$5,标准坦克设计!$B$24:$U$30,MATCH("对"&amp;LEFT($C$5,2)&amp;"输出",标准坦克设计!$B$23:$U$23,0)))*(VLOOKUP($B148,INDIRECT($B$5&amp;"生成成长"),3))*(VLOOKUP($B$5,标准坦克设计!$B$14:$K$20,9)/30))</f>
        <v>31.984086731497534</v>
      </c>
      <c r="FG148" s="172">
        <f ca="1">(VLOOKUP(FG$72,INDIRECT($C$5&amp;"生成成长"),2))/((VLOOKUP($B148,INDIRECT($B$5&amp;"生成成长"),4))/(VLOOKUP(FG$72,INDIRECT($C$5&amp;"生成成长"),5))*(VLOOKUP($B$5,标准坦克设计!$B$24:$U$30,MATCH("对"&amp;LEFT($C$5,2)&amp;"输出",标准坦克设计!$B$23:$U$23,0)))*(VLOOKUP($B148,INDIRECT($B$5&amp;"生成成长"),3))*(VLOOKUP($B$5,标准坦克设计!$B$14:$K$20,9)/30))</f>
        <v>34.0093832079884</v>
      </c>
      <c r="FH148" s="172">
        <f ca="1">(VLOOKUP(FH$72,INDIRECT($C$5&amp;"生成成长"),2))/((VLOOKUP($B148,INDIRECT($B$5&amp;"生成成长"),4))/(VLOOKUP(FH$72,INDIRECT($C$5&amp;"生成成长"),5))*(VLOOKUP($B$5,标准坦克设计!$B$24:$U$30,MATCH("对"&amp;LEFT($C$5,2)&amp;"输出",标准坦克设计!$B$23:$U$23,0)))*(VLOOKUP($B148,INDIRECT($B$5&amp;"生成成长"),3))*(VLOOKUP($B$5,标准坦克设计!$B$14:$K$20,9)/30))</f>
        <v>36.096849351998458</v>
      </c>
      <c r="FI148" s="172">
        <f ca="1">(VLOOKUP(FI$72,INDIRECT($C$5&amp;"生成成长"),2))/((VLOOKUP($B148,INDIRECT($B$5&amp;"生成成长"),4))/(VLOOKUP(FI$72,INDIRECT($C$5&amp;"生成成长"),5))*(VLOOKUP($B$5,标准坦克设计!$B$24:$U$30,MATCH("对"&amp;LEFT($C$5,2)&amp;"输出",标准坦克设计!$B$23:$U$23,0)))*(VLOOKUP($B148,INDIRECT($B$5&amp;"生成成长"),3))*(VLOOKUP($B$5,标准坦克设计!$B$14:$K$20,9)/30))</f>
        <v>38.246485163527716</v>
      </c>
      <c r="FJ148" s="172">
        <f ca="1">(VLOOKUP(FJ$72,INDIRECT($C$5&amp;"生成成长"),2))/((VLOOKUP($B148,INDIRECT($B$5&amp;"生成成长"),4))/(VLOOKUP(FJ$72,INDIRECT($C$5&amp;"生成成长"),5))*(VLOOKUP($B$5,标准坦克设计!$B$24:$U$30,MATCH("对"&amp;LEFT($C$5,2)&amp;"输出",标准坦克设计!$B$23:$U$23,0)))*(VLOOKUP($B148,INDIRECT($B$5&amp;"生成成长"),3))*(VLOOKUP($B$5,标准坦克设计!$B$14:$K$20,9)/30))</f>
        <v>40.458290642576181</v>
      </c>
      <c r="FK148" s="172">
        <f ca="1">(VLOOKUP(FK$72,INDIRECT($C$5&amp;"生成成长"),2))/((VLOOKUP($B148,INDIRECT($B$5&amp;"生成成长"),4))/(VLOOKUP(FK$72,INDIRECT($C$5&amp;"生成成长"),5))*(VLOOKUP($B$5,标准坦克设计!$B$24:$U$30,MATCH("对"&amp;LEFT($C$5,2)&amp;"输出",标准坦克设计!$B$23:$U$23,0)))*(VLOOKUP($B148,INDIRECT($B$5&amp;"生成成长"),3))*(VLOOKUP($B$5,标准坦克设计!$B$14:$K$20,9)/30))</f>
        <v>42.732265789143845</v>
      </c>
    </row>
    <row r="149" spans="1:167" x14ac:dyDescent="0.15">
      <c r="A149" s="170" t="str">
        <f t="shared" si="12"/>
        <v>T4中品质5级</v>
      </c>
      <c r="B149" s="171">
        <v>20405</v>
      </c>
      <c r="C149" s="172">
        <f ca="1">(VLOOKUP(C$72,INDIRECT($C$5&amp;"生成成长"),2))/((VLOOKUP($B149,INDIRECT($B$5&amp;"生成成长"),4))/(VLOOKUP(C$72,INDIRECT($C$5&amp;"生成成长"),5))*(VLOOKUP($B$5,标准坦克设计!$B$24:$U$30,MATCH("对"&amp;LEFT($C$5,2)&amp;"输出",标准坦克设计!$B$23:$U$23,0)))*(VLOOKUP($B149,INDIRECT($B$5&amp;"生成成长"),3))*(VLOOKUP($B$5,标准坦克设计!$B$14:$K$20,9)/30))</f>
        <v>1.6783878813451547</v>
      </c>
      <c r="D149" s="172">
        <f ca="1">(VLOOKUP(D$72,INDIRECT($C$5&amp;"生成成长"),2))/((VLOOKUP($B149,INDIRECT($B$5&amp;"生成成长"),4))/(VLOOKUP(D$72,INDIRECT($C$5&amp;"生成成长"),5))*(VLOOKUP($B$5,标准坦克设计!$B$24:$U$30,MATCH("对"&amp;LEFT($C$5,2)&amp;"输出",标准坦克设计!$B$23:$U$23,0)))*(VLOOKUP($B149,INDIRECT($B$5&amp;"生成成长"),3))*(VLOOKUP($B$5,标准坦克设计!$B$14:$K$20,9)/30))</f>
        <v>1.8858366234794162</v>
      </c>
      <c r="E149" s="172">
        <f ca="1">(VLOOKUP(E$72,INDIRECT($C$5&amp;"生成成长"),2))/((VLOOKUP($B149,INDIRECT($B$5&amp;"生成成长"),4))/(VLOOKUP(E$72,INDIRECT($C$5&amp;"生成成长"),5))*(VLOOKUP($B$5,标准坦克设计!$B$24:$U$30,MATCH("对"&amp;LEFT($C$5,2)&amp;"输出",标准坦克设计!$B$23:$U$23,0)))*(VLOOKUP($B149,INDIRECT($B$5&amp;"生成成长"),3))*(VLOOKUP($B$5,标准坦克设计!$B$14:$K$20,9)/30))</f>
        <v>2.105369758359362</v>
      </c>
      <c r="F149" s="172">
        <f ca="1">(VLOOKUP(F$72,INDIRECT($C$5&amp;"生成成长"),2))/((VLOOKUP($B149,INDIRECT($B$5&amp;"生成成长"),4))/(VLOOKUP(F$72,INDIRECT($C$5&amp;"生成成长"),5))*(VLOOKUP($B$5,标准坦克设计!$B$24:$U$30,MATCH("对"&amp;LEFT($C$5,2)&amp;"输出",标准坦克设计!$B$23:$U$23,0)))*(VLOOKUP($B149,INDIRECT($B$5&amp;"生成成长"),3))*(VLOOKUP($B$5,标准坦克设计!$B$14:$K$20,9)/30))</f>
        <v>2.3369872859849936</v>
      </c>
      <c r="G149" s="172">
        <f ca="1">(VLOOKUP(G$72,INDIRECT($C$5&amp;"生成成长"),2))/((VLOOKUP($B149,INDIRECT($B$5&amp;"生成成长"),4))/(VLOOKUP(G$72,INDIRECT($C$5&amp;"生成成长"),5))*(VLOOKUP($B$5,标准坦克设计!$B$24:$U$30,MATCH("对"&amp;LEFT($C$5,2)&amp;"输出",标准坦克设计!$B$23:$U$23,0)))*(VLOOKUP($B149,INDIRECT($B$5&amp;"生成成长"),3))*(VLOOKUP($B$5,标准坦克设计!$B$14:$K$20,9)/30))</f>
        <v>2.5806892063563098</v>
      </c>
      <c r="H149" s="172">
        <f ca="1">(VLOOKUP(H$72,INDIRECT($C$5&amp;"生成成长"),2))/((VLOOKUP($B149,INDIRECT($B$5&amp;"生成成长"),4))/(VLOOKUP(H$72,INDIRECT($C$5&amp;"生成成长"),5))*(VLOOKUP($B$5,标准坦克设计!$B$24:$U$30,MATCH("对"&amp;LEFT($C$5,2)&amp;"输出",标准坦克设计!$B$23:$U$23,0)))*(VLOOKUP($B149,INDIRECT($B$5&amp;"生成成长"),3))*(VLOOKUP($B$5,标准坦克设计!$B$14:$K$20,9)/30))</f>
        <v>2.2584387331380396</v>
      </c>
      <c r="I149" s="172">
        <f ca="1">(VLOOKUP(I$72,INDIRECT($C$5&amp;"生成成长"),2))/((VLOOKUP($B149,INDIRECT($B$5&amp;"生成成长"),4))/(VLOOKUP(I$72,INDIRECT($C$5&amp;"生成成长"),5))*(VLOOKUP($B$5,标准坦克设计!$B$24:$U$30,MATCH("对"&amp;LEFT($C$5,2)&amp;"输出",标准坦克设计!$B$23:$U$23,0)))*(VLOOKUP($B149,INDIRECT($B$5&amp;"生成成长"),3))*(VLOOKUP($B$5,标准坦克设计!$B$14:$K$20,9)/30))</f>
        <v>2.5806892063563098</v>
      </c>
      <c r="J149" s="172">
        <f ca="1">(VLOOKUP(J$72,INDIRECT($C$5&amp;"生成成长"),2))/((VLOOKUP($B149,INDIRECT($B$5&amp;"生成成长"),4))/(VLOOKUP(J$72,INDIRECT($C$5&amp;"生成成长"),5))*(VLOOKUP($B$5,标准坦克设计!$B$24:$U$30,MATCH("对"&amp;LEFT($C$5,2)&amp;"输出",标准坦克设计!$B$23:$U$23,0)))*(VLOOKUP($B149,INDIRECT($B$5&amp;"生成成长"),3))*(VLOOKUP($B$5,标准坦克设计!$B$14:$K$20,9)/30))</f>
        <v>2.9244230444557981</v>
      </c>
      <c r="K149" s="172">
        <f ca="1">(VLOOKUP(K$72,INDIRECT($C$5&amp;"生成成长"),2))/((VLOOKUP($B149,INDIRECT($B$5&amp;"生成成长"),4))/(VLOOKUP(K$72,INDIRECT($C$5&amp;"生成成长"),5))*(VLOOKUP($B$5,标准坦克设计!$B$24:$U$30,MATCH("对"&amp;LEFT($C$5,2)&amp;"输出",标准坦克设计!$B$23:$U$23,0)))*(VLOOKUP($B149,INDIRECT($B$5&amp;"生成成长"),3))*(VLOOKUP($B$5,标准坦克设计!$B$14:$K$20,9)/30))</f>
        <v>3.2896402474365027</v>
      </c>
      <c r="L149" s="172">
        <f ca="1">(VLOOKUP(L$72,INDIRECT($C$5&amp;"生成成长"),2))/((VLOOKUP($B149,INDIRECT($B$5&amp;"生成成长"),4))/(VLOOKUP(L$72,INDIRECT($C$5&amp;"生成成长"),5))*(VLOOKUP($B$5,标准坦克设计!$B$24:$U$30,MATCH("对"&amp;LEFT($C$5,2)&amp;"输出",标准坦克设计!$B$23:$U$23,0)))*(VLOOKUP($B149,INDIRECT($B$5&amp;"生成成长"),3))*(VLOOKUP($B$5,标准坦克设计!$B$14:$K$20,9)/30))</f>
        <v>3.6763408152984276</v>
      </c>
      <c r="M149" s="172">
        <f ca="1">(VLOOKUP(M$72,INDIRECT($C$5&amp;"生成成长"),2))/((VLOOKUP($B149,INDIRECT($B$5&amp;"生成成长"),4))/(VLOOKUP(M$72,INDIRECT($C$5&amp;"生成成长"),5))*(VLOOKUP($B$5,标准坦克设计!$B$24:$U$30,MATCH("对"&amp;LEFT($C$5,2)&amp;"输出",标准坦克设计!$B$23:$U$23,0)))*(VLOOKUP($B149,INDIRECT($B$5&amp;"生成成长"),3))*(VLOOKUP($B$5,标准坦克设计!$B$14:$K$20,9)/30))</f>
        <v>4.0845247480415683</v>
      </c>
      <c r="N149" s="172">
        <f ca="1">(VLOOKUP(N$72,INDIRECT($C$5&amp;"生成成长"),2))/((VLOOKUP($B149,INDIRECT($B$5&amp;"生成成长"),4))/(VLOOKUP(N$72,INDIRECT($C$5&amp;"生成成长"),5))*(VLOOKUP($B$5,标准坦克设计!$B$24:$U$30,MATCH("对"&amp;LEFT($C$5,2)&amp;"输出",标准坦克设计!$B$23:$U$23,0)))*(VLOOKUP($B149,INDIRECT($B$5&amp;"生成成长"),3))*(VLOOKUP($B$5,标准坦克设计!$B$14:$K$20,9)/30))</f>
        <v>4.5141920456659284</v>
      </c>
      <c r="O149" s="172">
        <f ca="1">(VLOOKUP(O$72,INDIRECT($C$5&amp;"生成成长"),2))/((VLOOKUP($B149,INDIRECT($B$5&amp;"生成成长"),4))/(VLOOKUP(O$72,INDIRECT($C$5&amp;"生成成长"),5))*(VLOOKUP($B$5,标准坦克设计!$B$24:$U$30,MATCH("对"&amp;LEFT($C$5,2)&amp;"输出",标准坦克设计!$B$23:$U$23,0)))*(VLOOKUP($B149,INDIRECT($B$5&amp;"生成成长"),3))*(VLOOKUP($B$5,标准坦克设计!$B$14:$K$20,9)/30))</f>
        <v>3.4321353785627067</v>
      </c>
      <c r="P149" s="172">
        <f ca="1">(VLOOKUP(P$72,INDIRECT($C$5&amp;"生成成长"),2))/((VLOOKUP($B149,INDIRECT($B$5&amp;"生成成长"),4))/(VLOOKUP(P$72,INDIRECT($C$5&amp;"生成成长"),5))*(VLOOKUP($B$5,标准坦克设计!$B$24:$U$30,MATCH("对"&amp;LEFT($C$5,2)&amp;"输出",标准坦克设计!$B$23:$U$23,0)))*(VLOOKUP($B149,INDIRECT($B$5&amp;"生成成长"),3))*(VLOOKUP($B$5,标准坦克设计!$B$14:$K$20,9)/30))</f>
        <v>3.8777473610598445</v>
      </c>
      <c r="Q149" s="172">
        <f ca="1">(VLOOKUP(Q$72,INDIRECT($C$5&amp;"生成成长"),2))/((VLOOKUP($B149,INDIRECT($B$5&amp;"生成成长"),4))/(VLOOKUP(Q$72,INDIRECT($C$5&amp;"生成成长"),5))*(VLOOKUP($B$5,标准坦克设计!$B$24:$U$30,MATCH("对"&amp;LEFT($C$5,2)&amp;"输出",标准坦克设计!$B$23:$U$23,0)))*(VLOOKUP($B149,INDIRECT($B$5&amp;"生成成长"),3))*(VLOOKUP($B$5,标准坦克设计!$B$14:$K$20,9)/30))</f>
        <v>4.350549227234775</v>
      </c>
      <c r="R149" s="172">
        <f ca="1">(VLOOKUP(R$72,INDIRECT($C$5&amp;"生成成长"),2))/((VLOOKUP($B149,INDIRECT($B$5&amp;"生成成长"),4))/(VLOOKUP(R$72,INDIRECT($C$5&amp;"生成成长"),5))*(VLOOKUP($B$5,标准坦克设计!$B$24:$U$30,MATCH("对"&amp;LEFT($C$5,2)&amp;"输出",标准坦克设计!$B$23:$U$23,0)))*(VLOOKUP($B149,INDIRECT($B$5&amp;"生成成长"),3))*(VLOOKUP($B$5,标准坦克设计!$B$14:$K$20,9)/30))</f>
        <v>4.8505409770874977</v>
      </c>
      <c r="S149" s="172">
        <f ca="1">(VLOOKUP(S$72,INDIRECT($C$5&amp;"生成成长"),2))/((VLOOKUP($B149,INDIRECT($B$5&amp;"生成成长"),4))/(VLOOKUP(S$72,INDIRECT($C$5&amp;"生成成长"),5))*(VLOOKUP($B$5,标准坦克设计!$B$24:$U$30,MATCH("对"&amp;LEFT($C$5,2)&amp;"输出",标准坦克设计!$B$23:$U$23,0)))*(VLOOKUP($B149,INDIRECT($B$5&amp;"生成成长"),3))*(VLOOKUP($B$5,标准坦克设计!$B$14:$K$20,9)/30))</f>
        <v>5.3777226106180107</v>
      </c>
      <c r="T149" s="172">
        <f ca="1">(VLOOKUP(T$72,INDIRECT($C$5&amp;"生成成长"),2))/((VLOOKUP($B149,INDIRECT($B$5&amp;"生成成长"),4))/(VLOOKUP(T$72,INDIRECT($C$5&amp;"生成成长"),5))*(VLOOKUP($B$5,标准坦克设计!$B$24:$U$30,MATCH("对"&amp;LEFT($C$5,2)&amp;"输出",标准坦克设计!$B$23:$U$23,0)))*(VLOOKUP($B149,INDIRECT($B$5&amp;"生成成长"),3))*(VLOOKUP($B$5,标准坦克设计!$B$14:$K$20,9)/30))</f>
        <v>5.932094127826316</v>
      </c>
      <c r="U149" s="172">
        <f ca="1">(VLOOKUP(U$72,INDIRECT($C$5&amp;"生成成长"),2))/((VLOOKUP($B149,INDIRECT($B$5&amp;"生成成长"),4))/(VLOOKUP(U$72,INDIRECT($C$5&amp;"生成成长"),5))*(VLOOKUP($B$5,标准坦克设计!$B$24:$U$30,MATCH("对"&amp;LEFT($C$5,2)&amp;"输出",标准坦克设计!$B$23:$U$23,0)))*(VLOOKUP($B149,INDIRECT($B$5&amp;"生成成长"),3))*(VLOOKUP($B$5,标准坦克设计!$B$14:$K$20,9)/30))</f>
        <v>6.5136555287124107</v>
      </c>
      <c r="V149" s="172">
        <f ca="1">(VLOOKUP(V$72,INDIRECT($C$5&amp;"生成成长"),2))/((VLOOKUP($B149,INDIRECT($B$5&amp;"生成成长"),4))/(VLOOKUP(V$72,INDIRECT($C$5&amp;"生成成长"),5))*(VLOOKUP($B$5,标准坦克设计!$B$24:$U$30,MATCH("对"&amp;LEFT($C$5,2)&amp;"输出",标准坦克设计!$B$23:$U$23,0)))*(VLOOKUP($B149,INDIRECT($B$5&amp;"生成成长"),3))*(VLOOKUP($B$5,标准坦克设计!$B$14:$K$20,9)/30))</f>
        <v>7.1224068132762977</v>
      </c>
      <c r="W149" s="172">
        <f ca="1">(VLOOKUP(W$72,INDIRECT($C$5&amp;"生成成长"),2))/((VLOOKUP($B149,INDIRECT($B$5&amp;"生成成长"),4))/(VLOOKUP(W$72,INDIRECT($C$5&amp;"生成成长"),5))*(VLOOKUP($B$5,标准坦克设计!$B$24:$U$30,MATCH("对"&amp;LEFT($C$5,2)&amp;"输出",标准坦克设计!$B$23:$U$23,0)))*(VLOOKUP($B149,INDIRECT($B$5&amp;"生成成长"),3))*(VLOOKUP($B$5,标准坦克设计!$B$14:$K$20,9)/30))</f>
        <v>7.7583479815179768</v>
      </c>
      <c r="X149" s="172">
        <f ca="1">(VLOOKUP(X$72,INDIRECT($C$5&amp;"生成成长"),2))/((VLOOKUP($B149,INDIRECT($B$5&amp;"生成成长"),4))/(VLOOKUP(X$72,INDIRECT($C$5&amp;"生成成长"),5))*(VLOOKUP($B$5,标准坦克设计!$B$24:$U$30,MATCH("对"&amp;LEFT($C$5,2)&amp;"输出",标准坦克设计!$B$23:$U$23,0)))*(VLOOKUP($B149,INDIRECT($B$5&amp;"生成成长"),3))*(VLOOKUP($B$5,标准坦克设计!$B$14:$K$20,9)/30))</f>
        <v>5.6207531758367892</v>
      </c>
      <c r="Y149" s="172">
        <f ca="1">(VLOOKUP(Y$72,INDIRECT($C$5&amp;"生成成长"),2))/((VLOOKUP($B149,INDIRECT($B$5&amp;"生成成长"),4))/(VLOOKUP(Y$72,INDIRECT($C$5&amp;"生成成长"),5))*(VLOOKUP($B$5,标准坦克设计!$B$24:$U$30,MATCH("对"&amp;LEFT($C$5,2)&amp;"输出",标准坦克设计!$B$23:$U$23,0)))*(VLOOKUP($B149,INDIRECT($B$5&amp;"生成成长"),3))*(VLOOKUP($B$5,标准坦克设计!$B$14:$K$20,9)/30))</f>
        <v>6.2518270192225671</v>
      </c>
      <c r="Z149" s="172">
        <f ca="1">(VLOOKUP(Z$72,INDIRECT($C$5&amp;"生成成长"),2))/((VLOOKUP($B149,INDIRECT($B$5&amp;"生成成长"),4))/(VLOOKUP(Z$72,INDIRECT($C$5&amp;"生成成长"),5))*(VLOOKUP($B$5,标准坦克设计!$B$24:$U$30,MATCH("对"&amp;LEFT($C$5,2)&amp;"输出",标准坦克设计!$B$23:$U$23,0)))*(VLOOKUP($B149,INDIRECT($B$5&amp;"生成成长"),3))*(VLOOKUP($B$5,标准坦克设计!$B$14:$K$20,9)/30))</f>
        <v>6.9164686202352472</v>
      </c>
      <c r="AA149" s="172">
        <f ca="1">(VLOOKUP(AA$72,INDIRECT($C$5&amp;"生成成长"),2))/((VLOOKUP($B149,INDIRECT($B$5&amp;"生成成长"),4))/(VLOOKUP(AA$72,INDIRECT($C$5&amp;"生成成长"),5))*(VLOOKUP($B$5,标准坦克设计!$B$24:$U$30,MATCH("对"&amp;LEFT($C$5,2)&amp;"输出",标准坦克设计!$B$23:$U$23,0)))*(VLOOKUP($B149,INDIRECT($B$5&amp;"生成成长"),3))*(VLOOKUP($B$5,标准坦克设计!$B$14:$K$20,9)/30))</f>
        <v>7.6146779788748313</v>
      </c>
      <c r="AB149" s="172">
        <f ca="1">(VLOOKUP(AB$72,INDIRECT($C$5&amp;"生成成长"),2))/((VLOOKUP($B149,INDIRECT($B$5&amp;"生成成长"),4))/(VLOOKUP(AB$72,INDIRECT($C$5&amp;"生成成长"),5))*(VLOOKUP($B$5,标准坦克设计!$B$24:$U$30,MATCH("对"&amp;LEFT($C$5,2)&amp;"输出",标准坦克设计!$B$23:$U$23,0)))*(VLOOKUP($B149,INDIRECT($B$5&amp;"生成成长"),3))*(VLOOKUP($B$5,标准坦克设计!$B$14:$K$20,9)/30))</f>
        <v>8.3464550951413194</v>
      </c>
      <c r="AC149" s="172">
        <f ca="1">(VLOOKUP(AC$72,INDIRECT($C$5&amp;"生成成长"),2))/((VLOOKUP($B149,INDIRECT($B$5&amp;"生成成长"),4))/(VLOOKUP(AC$72,INDIRECT($C$5&amp;"生成成长"),5))*(VLOOKUP($B$5,标准坦克设计!$B$24:$U$30,MATCH("对"&amp;LEFT($C$5,2)&amp;"输出",标准坦克设计!$B$23:$U$23,0)))*(VLOOKUP($B149,INDIRECT($B$5&amp;"生成成长"),3))*(VLOOKUP($B$5,标准坦克设计!$B$14:$K$20,9)/30))</f>
        <v>9.1117999690347098</v>
      </c>
      <c r="AD149" s="172">
        <f ca="1">(VLOOKUP(AD$72,INDIRECT($C$5&amp;"生成成长"),2))/((VLOOKUP($B149,INDIRECT($B$5&amp;"生成成长"),4))/(VLOOKUP(AD$72,INDIRECT($C$5&amp;"生成成长"),5))*(VLOOKUP($B$5,标准坦克设计!$B$24:$U$30,MATCH("对"&amp;LEFT($C$5,2)&amp;"输出",标准坦克设计!$B$23:$U$23,0)))*(VLOOKUP($B149,INDIRECT($B$5&amp;"生成成长"),3))*(VLOOKUP($B$5,标准坦克设计!$B$14:$K$20,9)/30))</f>
        <v>9.9107126005550032</v>
      </c>
      <c r="AE149" s="172">
        <f ca="1">(VLOOKUP(AE$72,INDIRECT($C$5&amp;"生成成长"),2))/((VLOOKUP($B149,INDIRECT($B$5&amp;"生成成长"),4))/(VLOOKUP(AE$72,INDIRECT($C$5&amp;"生成成长"),5))*(VLOOKUP($B$5,标准坦克设计!$B$24:$U$30,MATCH("对"&amp;LEFT($C$5,2)&amp;"输出",标准坦克设计!$B$23:$U$23,0)))*(VLOOKUP($B149,INDIRECT($B$5&amp;"生成成长"),3))*(VLOOKUP($B$5,标准坦克设计!$B$14:$K$20,9)/30))</f>
        <v>10.7431929897022</v>
      </c>
      <c r="AF149" s="172">
        <f ca="1">(VLOOKUP(AF$72,INDIRECT($C$5&amp;"生成成长"),2))/((VLOOKUP($B149,INDIRECT($B$5&amp;"生成成长"),4))/(VLOOKUP(AF$72,INDIRECT($C$5&amp;"生成成长"),5))*(VLOOKUP($B$5,标准坦克设计!$B$24:$U$30,MATCH("对"&amp;LEFT($C$5,2)&amp;"输出",标准坦克设计!$B$23:$U$23,0)))*(VLOOKUP($B149,INDIRECT($B$5&amp;"生成成长"),3))*(VLOOKUP($B$5,标准坦克设计!$B$14:$K$20,9)/30))</f>
        <v>11.6092411364763</v>
      </c>
      <c r="AG149" s="172">
        <f ca="1">(VLOOKUP(AG$72,INDIRECT($C$5&amp;"生成成长"),2))/((VLOOKUP($B149,INDIRECT($B$5&amp;"生成成长"),4))/(VLOOKUP(AG$72,INDIRECT($C$5&amp;"生成成长"),5))*(VLOOKUP($B$5,标准坦克设计!$B$24:$U$30,MATCH("对"&amp;LEFT($C$5,2)&amp;"输出",标准坦克设计!$B$23:$U$23,0)))*(VLOOKUP($B149,INDIRECT($B$5&amp;"生成成长"),3))*(VLOOKUP($B$5,标准坦克设计!$B$14:$K$20,9)/30))</f>
        <v>12.508857040877302</v>
      </c>
      <c r="AH149" s="172">
        <f ca="1">(VLOOKUP(AH$72,INDIRECT($C$5&amp;"生成成长"),2))/((VLOOKUP($B149,INDIRECT($B$5&amp;"生成成长"),4))/(VLOOKUP(AH$72,INDIRECT($C$5&amp;"生成成长"),5))*(VLOOKUP($B$5,标准坦克设计!$B$24:$U$30,MATCH("对"&amp;LEFT($C$5,2)&amp;"输出",标准坦克设计!$B$23:$U$23,0)))*(VLOOKUP($B149,INDIRECT($B$5&amp;"生成成长"),3))*(VLOOKUP($B$5,标准坦克设计!$B$14:$K$20,9)/30))</f>
        <v>13.442040702905208</v>
      </c>
      <c r="AI149" s="172">
        <f ca="1">(VLOOKUP(AI$72,INDIRECT($C$5&amp;"生成成长"),2))/((VLOOKUP($B149,INDIRECT($B$5&amp;"生成成长"),4))/(VLOOKUP(AI$72,INDIRECT($C$5&amp;"生成成长"),5))*(VLOOKUP($B$5,标准坦克设计!$B$24:$U$30,MATCH("对"&amp;LEFT($C$5,2)&amp;"输出",标准坦克设计!$B$23:$U$23,0)))*(VLOOKUP($B149,INDIRECT($B$5&amp;"生成成长"),3))*(VLOOKUP($B$5,标准坦克设计!$B$14:$K$20,9)/30))</f>
        <v>9.5070603150914934</v>
      </c>
      <c r="AJ149" s="172">
        <f ca="1">(VLOOKUP(AJ$72,INDIRECT($C$5&amp;"生成成长"),2))/((VLOOKUP($B149,INDIRECT($B$5&amp;"生成成长"),4))/(VLOOKUP(AJ$72,INDIRECT($C$5&amp;"生成成长"),5))*(VLOOKUP($B$5,标准坦克设计!$B$24:$U$30,MATCH("对"&amp;LEFT($C$5,2)&amp;"输出",标准坦克设计!$B$23:$U$23,0)))*(VLOOKUP($B149,INDIRECT($B$5&amp;"生成成长"),3))*(VLOOKUP($B$5,标准坦克设计!$B$14:$K$20,9)/30))</f>
        <v>10.406172703128092</v>
      </c>
      <c r="AK149" s="172">
        <f ca="1">(VLOOKUP(AK$72,INDIRECT($C$5&amp;"生成成长"),2))/((VLOOKUP($B149,INDIRECT($B$5&amp;"生成成长"),4))/(VLOOKUP(AK$72,INDIRECT($C$5&amp;"生成成长"),5))*(VLOOKUP($B$5,标准坦克设计!$B$24:$U$30,MATCH("对"&amp;LEFT($C$5,2)&amp;"输出",标准坦克设计!$B$23:$U$23,0)))*(VLOOKUP($B149,INDIRECT($B$5&amp;"生成成长"),3))*(VLOOKUP($B$5,标准坦克设计!$B$14:$K$20,9)/30))</f>
        <v>11.345902077893246</v>
      </c>
      <c r="AL149" s="172">
        <f ca="1">(VLOOKUP(AL$72,INDIRECT($C$5&amp;"生成成长"),2))/((VLOOKUP($B149,INDIRECT($B$5&amp;"生成成长"),4))/(VLOOKUP(AL$72,INDIRECT($C$5&amp;"生成成长"),5))*(VLOOKUP($B$5,标准坦克设计!$B$24:$U$30,MATCH("对"&amp;LEFT($C$5,2)&amp;"输出",标准坦克设计!$B$23:$U$23,0)))*(VLOOKUP($B149,INDIRECT($B$5&amp;"生成成长"),3))*(VLOOKUP($B$5,标准坦克设计!$B$14:$K$20,9)/30))</f>
        <v>12.326248439386951</v>
      </c>
      <c r="AM149" s="172">
        <f ca="1">(VLOOKUP(AM$72,INDIRECT($C$5&amp;"生成成长"),2))/((VLOOKUP($B149,INDIRECT($B$5&amp;"生成成长"),4))/(VLOOKUP(AM$72,INDIRECT($C$5&amp;"生成成长"),5))*(VLOOKUP($B$5,标准坦克设计!$B$24:$U$30,MATCH("对"&amp;LEFT($C$5,2)&amp;"输出",标准坦克设计!$B$23:$U$23,0)))*(VLOOKUP($B149,INDIRECT($B$5&amp;"生成成长"),3))*(VLOOKUP($B$5,标准坦克设计!$B$14:$K$20,9)/30))</f>
        <v>13.347211787609208</v>
      </c>
      <c r="AN149" s="172">
        <f ca="1">(VLOOKUP(AN$72,INDIRECT($C$5&amp;"生成成长"),2))/((VLOOKUP($B149,INDIRECT($B$5&amp;"生成成长"),4))/(VLOOKUP(AN$72,INDIRECT($C$5&amp;"生成成长"),5))*(VLOOKUP($B$5,标准坦克设计!$B$24:$U$30,MATCH("对"&amp;LEFT($C$5,2)&amp;"输出",标准坦克设计!$B$23:$U$23,0)))*(VLOOKUP($B149,INDIRECT($B$5&amp;"生成成长"),3))*(VLOOKUP($B$5,标准坦克设计!$B$14:$K$20,9)/30))</f>
        <v>14.408792122560019</v>
      </c>
      <c r="AO149" s="172">
        <f ca="1">(VLOOKUP(AO$72,INDIRECT($C$5&amp;"生成成长"),2))/((VLOOKUP($B149,INDIRECT($B$5&amp;"生成成长"),4))/(VLOOKUP(AO$72,INDIRECT($C$5&amp;"生成成长"),5))*(VLOOKUP($B$5,标准坦克设计!$B$24:$U$30,MATCH("对"&amp;LEFT($C$5,2)&amp;"输出",标准坦克设计!$B$23:$U$23,0)))*(VLOOKUP($B149,INDIRECT($B$5&amp;"生成成长"),3))*(VLOOKUP($B$5,标准坦克设计!$B$14:$K$20,9)/30))</f>
        <v>15.510989444239378</v>
      </c>
      <c r="AP149" s="172">
        <f ca="1">(VLOOKUP(AP$72,INDIRECT($C$5&amp;"生成成长"),2))/((VLOOKUP($B149,INDIRECT($B$5&amp;"生成成长"),4))/(VLOOKUP(AP$72,INDIRECT($C$5&amp;"生成成长"),5))*(VLOOKUP($B$5,标准坦克设计!$B$24:$U$30,MATCH("对"&amp;LEFT($C$5,2)&amp;"输出",标准坦克设计!$B$23:$U$23,0)))*(VLOOKUP($B149,INDIRECT($B$5&amp;"生成成长"),3))*(VLOOKUP($B$5,标准坦克设计!$B$14:$K$20,9)/30))</f>
        <v>16.653803752647296</v>
      </c>
      <c r="AQ149" s="172">
        <f ca="1">(VLOOKUP(AQ$72,INDIRECT($C$5&amp;"生成成长"),2))/((VLOOKUP($B149,INDIRECT($B$5&amp;"生成成长"),4))/(VLOOKUP(AQ$72,INDIRECT($C$5&amp;"生成成长"),5))*(VLOOKUP($B$5,标准坦克设计!$B$24:$U$30,MATCH("对"&amp;LEFT($C$5,2)&amp;"输出",标准坦克设计!$B$23:$U$23,0)))*(VLOOKUP($B149,INDIRECT($B$5&amp;"生成成长"),3))*(VLOOKUP($B$5,标准坦克设计!$B$14:$K$20,9)/30))</f>
        <v>17.837235047783764</v>
      </c>
      <c r="AR149" s="172">
        <f ca="1">(VLOOKUP(AR$72,INDIRECT($C$5&amp;"生成成长"),2))/((VLOOKUP($B149,INDIRECT($B$5&amp;"生成成长"),4))/(VLOOKUP(AR$72,INDIRECT($C$5&amp;"生成成长"),5))*(VLOOKUP($B$5,标准坦克设计!$B$24:$U$30,MATCH("对"&amp;LEFT($C$5,2)&amp;"输出",标准坦克设计!$B$23:$U$23,0)))*(VLOOKUP($B149,INDIRECT($B$5&amp;"生成成长"),3))*(VLOOKUP($B$5,标准坦克设计!$B$14:$K$20,9)/30))</f>
        <v>19.061283329648784</v>
      </c>
      <c r="AS149" s="172">
        <f ca="1">(VLOOKUP(AS$72,INDIRECT($C$5&amp;"生成成长"),2))/((VLOOKUP($B149,INDIRECT($B$5&amp;"生成成长"),4))/(VLOOKUP(AS$72,INDIRECT($C$5&amp;"生成成长"),5))*(VLOOKUP($B$5,标准坦克设计!$B$24:$U$30,MATCH("对"&amp;LEFT($C$5,2)&amp;"输出",标准坦克设计!$B$23:$U$23,0)))*(VLOOKUP($B149,INDIRECT($B$5&amp;"生成成长"),3))*(VLOOKUP($B$5,标准坦克设计!$B$14:$K$20,9)/30))</f>
        <v>20.325948598242363</v>
      </c>
      <c r="AT149" s="172">
        <f ca="1">(VLOOKUP(AT$72,INDIRECT($C$5&amp;"生成成长"),2))/((VLOOKUP($B149,INDIRECT($B$5&amp;"生成成长"),4))/(VLOOKUP(AT$72,INDIRECT($C$5&amp;"生成成长"),5))*(VLOOKUP($B$5,标准坦克设计!$B$24:$U$30,MATCH("对"&amp;LEFT($C$5,2)&amp;"输出",标准坦克设计!$B$23:$U$23,0)))*(VLOOKUP($B149,INDIRECT($B$5&amp;"生成成长"),3))*(VLOOKUP($B$5,标准坦克设计!$B$14:$K$20,9)/30))</f>
        <v>21.631230853564489</v>
      </c>
      <c r="AU149" s="172">
        <f ca="1">(VLOOKUP(AU$72,INDIRECT($C$5&amp;"生成成长"),2))/((VLOOKUP($B149,INDIRECT($B$5&amp;"生成成长"),4))/(VLOOKUP(AU$72,INDIRECT($C$5&amp;"生成成长"),5))*(VLOOKUP($B$5,标准坦克设计!$B$24:$U$30,MATCH("对"&amp;LEFT($C$5,2)&amp;"输出",标准坦克设计!$B$23:$U$23,0)))*(VLOOKUP($B149,INDIRECT($B$5&amp;"生成成长"),3))*(VLOOKUP($B$5,标准坦克设计!$B$14:$K$20,9)/30))</f>
        <v>22.977130095615173</v>
      </c>
      <c r="AV149" s="172">
        <f ca="1">(VLOOKUP(AV$72,INDIRECT($C$5&amp;"生成成长"),2))/((VLOOKUP($B149,INDIRECT($B$5&amp;"生成成长"),4))/(VLOOKUP(AV$72,INDIRECT($C$5&amp;"生成成长"),5))*(VLOOKUP($B$5,标准坦克设计!$B$24:$U$30,MATCH("对"&amp;LEFT($C$5,2)&amp;"输出",标准坦克设计!$B$23:$U$23,0)))*(VLOOKUP($B149,INDIRECT($B$5&amp;"生成成长"),3))*(VLOOKUP($B$5,标准坦克设计!$B$14:$K$20,9)/30))</f>
        <v>2.3369872859849936</v>
      </c>
      <c r="AW149" s="172">
        <f ca="1">(VLOOKUP(AW$72,INDIRECT($C$5&amp;"生成成长"),2))/((VLOOKUP($B149,INDIRECT($B$5&amp;"生成成长"),4))/(VLOOKUP(AW$72,INDIRECT($C$5&amp;"生成成长"),5))*(VLOOKUP($B$5,标准坦克设计!$B$24:$U$30,MATCH("对"&amp;LEFT($C$5,2)&amp;"输出",标准坦克设计!$B$23:$U$23,0)))*(VLOOKUP($B149,INDIRECT($B$5&amp;"生成成长"),3))*(VLOOKUP($B$5,标准坦克设计!$B$14:$K$20,9)/30))</f>
        <v>2.6646086004235676</v>
      </c>
      <c r="AX149" s="172">
        <f ca="1">(VLOOKUP(AX$72,INDIRECT($C$5&amp;"生成成长"),2))/((VLOOKUP($B149,INDIRECT($B$5&amp;"生成成长"),4))/(VLOOKUP(AX$72,INDIRECT($C$5&amp;"生成成长"),5))*(VLOOKUP($B$5,标准坦克设计!$B$24:$U$30,MATCH("对"&amp;LEFT($C$5,2)&amp;"输出",标准坦克设计!$B$23:$U$23,0)))*(VLOOKUP($B149,INDIRECT($B$5&amp;"生成成长"),3))*(VLOOKUP($B$5,标准坦克设计!$B$14:$K$20,9)/30))</f>
        <v>3.0137132797433601</v>
      </c>
      <c r="AY149" s="172">
        <f ca="1">(VLOOKUP(AY$72,INDIRECT($C$5&amp;"生成成长"),2))/((VLOOKUP($B149,INDIRECT($B$5&amp;"生成成长"),4))/(VLOOKUP(AY$72,INDIRECT($C$5&amp;"生成成长"),5))*(VLOOKUP($B$5,标准坦克设计!$B$24:$U$30,MATCH("对"&amp;LEFT($C$5,2)&amp;"输出",标准坦克设计!$B$23:$U$23,0)))*(VLOOKUP($B149,INDIRECT($B$5&amp;"生成成长"),3))*(VLOOKUP($B$5,标准坦克设计!$B$14:$K$20,9)/30))</f>
        <v>3.3843013239443698</v>
      </c>
      <c r="AZ149" s="172">
        <f ca="1">(VLOOKUP(AZ$72,INDIRECT($C$5&amp;"生成成长"),2))/((VLOOKUP($B149,INDIRECT($B$5&amp;"生成成长"),4))/(VLOOKUP(AZ$72,INDIRECT($C$5&amp;"生成成长"),5))*(VLOOKUP($B$5,标准坦克设计!$B$24:$U$30,MATCH("对"&amp;LEFT($C$5,2)&amp;"输出",标准坦克设计!$B$23:$U$23,0)))*(VLOOKUP($B149,INDIRECT($B$5&amp;"生成成长"),3))*(VLOOKUP($B$5,标准坦克设计!$B$14:$K$20,9)/30))</f>
        <v>3.7763727330265979</v>
      </c>
      <c r="BA149" s="172">
        <f ca="1">(VLOOKUP(BA$72,INDIRECT($C$5&amp;"生成成长"),2))/((VLOOKUP($B149,INDIRECT($B$5&amp;"生成成长"),4))/(VLOOKUP(BA$72,INDIRECT($C$5&amp;"生成成长"),5))*(VLOOKUP($B$5,标准坦克设计!$B$24:$U$30,MATCH("对"&amp;LEFT($C$5,2)&amp;"输出",标准坦克设计!$B$23:$U$23,0)))*(VLOOKUP($B149,INDIRECT($B$5&amp;"生成成长"),3))*(VLOOKUP($B$5,标准坦克设计!$B$14:$K$20,9)/30))</f>
        <v>4.1899275069900437</v>
      </c>
      <c r="BB149" s="172">
        <f ca="1">(VLOOKUP(BB$72,INDIRECT($C$5&amp;"生成成长"),2))/((VLOOKUP($B149,INDIRECT($B$5&amp;"生成成长"),4))/(VLOOKUP(BB$72,INDIRECT($C$5&amp;"生成成长"),5))*(VLOOKUP($B$5,标准坦克设计!$B$24:$U$30,MATCH("对"&amp;LEFT($C$5,2)&amp;"输出",标准坦克设计!$B$23:$U$23,0)))*(VLOOKUP($B149,INDIRECT($B$5&amp;"生成成长"),3))*(VLOOKUP($B$5,标准坦克设计!$B$14:$K$20,9)/30))</f>
        <v>4.6249656458347079</v>
      </c>
      <c r="BC149" s="172">
        <f ca="1">(VLOOKUP(BC$72,INDIRECT($C$5&amp;"生成成长"),2))/((VLOOKUP($B149,INDIRECT($B$5&amp;"生成成长"),4))/(VLOOKUP(BC$72,INDIRECT($C$5&amp;"生成成长"),5))*(VLOOKUP($B$5,标准坦克设计!$B$24:$U$30,MATCH("对"&amp;LEFT($C$5,2)&amp;"输出",标准坦克设计!$B$23:$U$23,0)))*(VLOOKUP($B149,INDIRECT($B$5&amp;"生成成长"),3))*(VLOOKUP($B$5,标准坦克设计!$B$14:$K$20,9)/30))</f>
        <v>5.0814871495605907</v>
      </c>
      <c r="BD149" s="172">
        <f ca="1">(VLOOKUP(BD$72,INDIRECT($C$5&amp;"生成成长"),2))/((VLOOKUP($B149,INDIRECT($B$5&amp;"生成成长"),4))/(VLOOKUP(BD$72,INDIRECT($C$5&amp;"生成成长"),5))*(VLOOKUP($B$5,标准坦克设计!$B$24:$U$30,MATCH("对"&amp;LEFT($C$5,2)&amp;"输出",标准坦克设计!$B$23:$U$23,0)))*(VLOOKUP($B149,INDIRECT($B$5&amp;"生成成长"),3))*(VLOOKUP($B$5,标准坦克设计!$B$14:$K$20,9)/30))</f>
        <v>5.6207531758367892</v>
      </c>
      <c r="BE149" s="172">
        <f ca="1">(VLOOKUP(BE$72,INDIRECT($C$5&amp;"生成成长"),2))/((VLOOKUP($B149,INDIRECT($B$5&amp;"生成成长"),4))/(VLOOKUP(BE$72,INDIRECT($C$5&amp;"生成成长"),5))*(VLOOKUP($B$5,标准坦克设计!$B$24:$U$30,MATCH("对"&amp;LEFT($C$5,2)&amp;"输出",标准坦克设计!$B$23:$U$23,0)))*(VLOOKUP($B149,INDIRECT($B$5&amp;"生成成长"),3))*(VLOOKUP($B$5,标准坦克设计!$B$14:$K$20,9)/30))</f>
        <v>6.1872090857907782</v>
      </c>
      <c r="BF149" s="172">
        <f ca="1">(VLOOKUP(BF$72,INDIRECT($C$5&amp;"生成成长"),2))/((VLOOKUP($B149,INDIRECT($B$5&amp;"生成成长"),4))/(VLOOKUP(BF$72,INDIRECT($C$5&amp;"生成成长"),5))*(VLOOKUP($B$5,标准坦克设计!$B$24:$U$30,MATCH("对"&amp;LEFT($C$5,2)&amp;"输出",标准坦克设计!$B$23:$U$23,0)))*(VLOOKUP($B149,INDIRECT($B$5&amp;"生成成长"),3))*(VLOOKUP($B$5,标准坦克设计!$B$14:$K$20,9)/30))</f>
        <v>6.7808548794225585</v>
      </c>
      <c r="BG149" s="172">
        <f ca="1">(VLOOKUP(BG$72,INDIRECT($C$5&amp;"生成成长"),2))/((VLOOKUP($B149,INDIRECT($B$5&amp;"生成成长"),4))/(VLOOKUP(BG$72,INDIRECT($C$5&amp;"生成成长"),5))*(VLOOKUP($B$5,标准坦克设计!$B$24:$U$30,MATCH("对"&amp;LEFT($C$5,2)&amp;"输出",标准坦克设计!$B$23:$U$23,0)))*(VLOOKUP($B149,INDIRECT($B$5&amp;"生成成长"),3))*(VLOOKUP($B$5,标准坦克设计!$B$14:$K$20,9)/30))</f>
        <v>7.4016905567321345</v>
      </c>
      <c r="BH149" s="172">
        <f ca="1">(VLOOKUP(BH$72,INDIRECT($C$5&amp;"生成成长"),2))/((VLOOKUP($B149,INDIRECT($B$5&amp;"生成成长"),4))/(VLOOKUP(BH$72,INDIRECT($C$5&amp;"生成成长"),5))*(VLOOKUP($B$5,标准坦克设计!$B$24:$U$30,MATCH("对"&amp;LEFT($C$5,2)&amp;"输出",标准坦克设计!$B$23:$U$23,0)))*(VLOOKUP($B149,INDIRECT($B$5&amp;"生成成长"),3))*(VLOOKUP($B$5,标准坦克设计!$B$14:$K$20,9)/30))</f>
        <v>3.5776516078753318</v>
      </c>
      <c r="BI149" s="172">
        <f ca="1">(VLOOKUP(BI$72,INDIRECT($C$5&amp;"生成成长"),2))/((VLOOKUP($B149,INDIRECT($B$5&amp;"生成成长"),4))/(VLOOKUP(BI$72,INDIRECT($C$5&amp;"生成成长"),5))*(VLOOKUP($B$5,标准坦克设计!$B$24:$U$30,MATCH("对"&amp;LEFT($C$5,2)&amp;"输出",标准坦克设计!$B$23:$U$23,0)))*(VLOOKUP($B149,INDIRECT($B$5&amp;"生成成长"),3))*(VLOOKUP($B$5,标准坦克设计!$B$14:$K$20,9)/30))</f>
        <v>4.0323268849317344</v>
      </c>
      <c r="BJ149" s="172">
        <f ca="1">(VLOOKUP(BJ$72,INDIRECT($C$5&amp;"生成成长"),2))/((VLOOKUP($B149,INDIRECT($B$5&amp;"生成成长"),4))/(VLOOKUP(BJ$72,INDIRECT($C$5&amp;"生成成长"),5))*(VLOOKUP($B$5,标准坦克设计!$B$24:$U$30,MATCH("对"&amp;LEFT($C$5,2)&amp;"输出",标准坦克设计!$B$23:$U$23,0)))*(VLOOKUP($B149,INDIRECT($B$5&amp;"生成成长"),3))*(VLOOKUP($B$5,标准坦克设计!$B$14:$K$20,9)/30))</f>
        <v>4.5141920456659284</v>
      </c>
      <c r="BK149" s="172">
        <f ca="1">(VLOOKUP(BK$72,INDIRECT($C$5&amp;"生成成长"),2))/((VLOOKUP($B149,INDIRECT($B$5&amp;"生成成长"),4))/(VLOOKUP(BK$72,INDIRECT($C$5&amp;"生成成长"),5))*(VLOOKUP($B$5,标准坦克设计!$B$24:$U$30,MATCH("对"&amp;LEFT($C$5,2)&amp;"输出",标准坦克设计!$B$23:$U$23,0)))*(VLOOKUP($B149,INDIRECT($B$5&amp;"生成成长"),3))*(VLOOKUP($B$5,标准坦克设计!$B$14:$K$20,9)/30))</f>
        <v>5.0232470900779136</v>
      </c>
      <c r="BL149" s="172">
        <f ca="1">(VLOOKUP(BL$72,INDIRECT($C$5&amp;"生成成长"),2))/((VLOOKUP($B149,INDIRECT($B$5&amp;"生成成长"),4))/(VLOOKUP(BL$72,INDIRECT($C$5&amp;"生成成长"),5))*(VLOOKUP($B$5,标准坦克设计!$B$24:$U$30,MATCH("对"&amp;LEFT($C$5,2)&amp;"输出",标准坦克设计!$B$23:$U$23,0)))*(VLOOKUP($B149,INDIRECT($B$5&amp;"生成成长"),3))*(VLOOKUP($B$5,标准坦克设计!$B$14:$K$20,9)/30))</f>
        <v>5.5594920181676901</v>
      </c>
      <c r="BM149" s="172">
        <f ca="1">(VLOOKUP(BM$72,INDIRECT($C$5&amp;"生成成长"),2))/((VLOOKUP($B149,INDIRECT($B$5&amp;"生成成长"),4))/(VLOOKUP(BM$72,INDIRECT($C$5&amp;"生成成长"),5))*(VLOOKUP($B$5,标准坦克设计!$B$24:$U$30,MATCH("对"&amp;LEFT($C$5,2)&amp;"输出",标准坦克设计!$B$23:$U$23,0)))*(VLOOKUP($B149,INDIRECT($B$5&amp;"生成成长"),3))*(VLOOKUP($B$5,标准坦克设计!$B$14:$K$20,9)/30))</f>
        <v>6.1229268299352588</v>
      </c>
      <c r="BN149" s="172">
        <f ca="1">(VLOOKUP(BN$72,INDIRECT($C$5&amp;"生成成长"),2))/((VLOOKUP($B149,INDIRECT($B$5&amp;"生成成长"),4))/(VLOOKUP(BN$72,INDIRECT($C$5&amp;"生成成长"),5))*(VLOOKUP($B$5,标准坦克设计!$B$24:$U$30,MATCH("对"&amp;LEFT($C$5,2)&amp;"输出",标准坦克设计!$B$23:$U$23,0)))*(VLOOKUP($B149,INDIRECT($B$5&amp;"生成成长"),3))*(VLOOKUP($B$5,标准坦克设计!$B$14:$K$20,9)/30))</f>
        <v>6.7135515253806188</v>
      </c>
      <c r="BO149" s="172">
        <f ca="1">(VLOOKUP(BO$72,INDIRECT($C$5&amp;"生成成长"),2))/((VLOOKUP($B149,INDIRECT($B$5&amp;"生成成长"),4))/(VLOOKUP(BO$72,INDIRECT($C$5&amp;"生成成长"),5))*(VLOOKUP($B$5,标准坦克设计!$B$24:$U$30,MATCH("对"&amp;LEFT($C$5,2)&amp;"输出",标准坦克设计!$B$23:$U$23,0)))*(VLOOKUP($B149,INDIRECT($B$5&amp;"生成成长"),3))*(VLOOKUP($B$5,标准坦克设计!$B$14:$K$20,9)/30))</f>
        <v>7.331366104503771</v>
      </c>
      <c r="BP149" s="172">
        <f ca="1">(VLOOKUP(BP$72,INDIRECT($C$5&amp;"生成成长"),2))/((VLOOKUP($B149,INDIRECT($B$5&amp;"生成成长"),4))/(VLOOKUP(BP$72,INDIRECT($C$5&amp;"生成成长"),5))*(VLOOKUP($B$5,标准坦克设计!$B$24:$U$30,MATCH("对"&amp;LEFT($C$5,2)&amp;"输出",标准坦克设计!$B$23:$U$23,0)))*(VLOOKUP($B149,INDIRECT($B$5&amp;"生成成长"),3))*(VLOOKUP($B$5,标准坦克设计!$B$14:$K$20,9)/30))</f>
        <v>7.9763705673047109</v>
      </c>
      <c r="BQ149" s="172">
        <f ca="1">(VLOOKUP(BQ$72,INDIRECT($C$5&amp;"生成成长"),2))/((VLOOKUP($B149,INDIRECT($B$5&amp;"生成成长"),4))/(VLOOKUP(BQ$72,INDIRECT($C$5&amp;"生成成长"),5))*(VLOOKUP($B$5,标准坦克设计!$B$24:$U$30,MATCH("对"&amp;LEFT($C$5,2)&amp;"输出",标准坦克设计!$B$23:$U$23,0)))*(VLOOKUP($B149,INDIRECT($B$5&amp;"生成成长"),3))*(VLOOKUP($B$5,标准坦克设计!$B$14:$K$20,9)/30))</f>
        <v>8.6485649137834475</v>
      </c>
      <c r="BR149" s="172">
        <f ca="1">(VLOOKUP(BR$72,INDIRECT($C$5&amp;"生成成长"),2))/((VLOOKUP($B149,INDIRECT($B$5&amp;"生成成长"),4))/(VLOOKUP(BR$72,INDIRECT($C$5&amp;"生成成长"),5))*(VLOOKUP($B$5,标准坦克设计!$B$24:$U$30,MATCH("对"&amp;LEFT($C$5,2)&amp;"输出",标准坦克设计!$B$23:$U$23,0)))*(VLOOKUP($B149,INDIRECT($B$5&amp;"生成成长"),3))*(VLOOKUP($B$5,标准坦克设计!$B$14:$K$20,9)/30))</f>
        <v>9.4273368907276005</v>
      </c>
      <c r="BS149" s="172">
        <f ca="1">(VLOOKUP(BS$72,INDIRECT($C$5&amp;"生成成长"),2))/((VLOOKUP($B149,INDIRECT($B$5&amp;"生成成长"),4))/(VLOOKUP(BS$72,INDIRECT($C$5&amp;"生成成长"),5))*(VLOOKUP($B$5,标准坦克设计!$B$24:$U$30,MATCH("对"&amp;LEFT($C$5,2)&amp;"输出",标准坦克设计!$B$23:$U$23,0)))*(VLOOKUP($B149,INDIRECT($B$5&amp;"生成成长"),3))*(VLOOKUP($B$5,标准坦克设计!$B$14:$K$20,9)/30))</f>
        <v>10.239676625298653</v>
      </c>
      <c r="BT149" s="172">
        <f ca="1">(VLOOKUP(BT$72,INDIRECT($C$5&amp;"生成成长"),2))/((VLOOKUP($B149,INDIRECT($B$5&amp;"生成成长"),4))/(VLOOKUP(BT$72,INDIRECT($C$5&amp;"生成成长"),5))*(VLOOKUP($B$5,标准坦克设计!$B$24:$U$30,MATCH("对"&amp;LEFT($C$5,2)&amp;"输出",标准坦克设计!$B$23:$U$23,0)))*(VLOOKUP($B149,INDIRECT($B$5&amp;"生成成长"),3))*(VLOOKUP($B$5,标准坦克设计!$B$14:$K$20,9)/30))</f>
        <v>11.085584117496612</v>
      </c>
      <c r="BU149" s="172">
        <f ca="1">(VLOOKUP(BU$72,INDIRECT($C$5&amp;"生成成长"),2))/((VLOOKUP($B149,INDIRECT($B$5&amp;"生成成长"),4))/(VLOOKUP(BU$72,INDIRECT($C$5&amp;"生成成长"),5))*(VLOOKUP($B$5,标准坦克设计!$B$24:$U$30,MATCH("对"&amp;LEFT($C$5,2)&amp;"输出",标准坦克设计!$B$23:$U$23,0)))*(VLOOKUP($B149,INDIRECT($B$5&amp;"生成成长"),3))*(VLOOKUP($B$5,标准坦克设计!$B$14:$K$20,9)/30))</f>
        <v>11.965059367321475</v>
      </c>
      <c r="BV149" s="172">
        <f ca="1">(VLOOKUP(BV$72,INDIRECT($C$5&amp;"生成成长"),2))/((VLOOKUP($B149,INDIRECT($B$5&amp;"生成成长"),4))/(VLOOKUP(BV$72,INDIRECT($C$5&amp;"生成成长"),5))*(VLOOKUP($B$5,标准坦克设计!$B$24:$U$30,MATCH("对"&amp;LEFT($C$5,2)&amp;"输出",标准坦克设计!$B$23:$U$23,0)))*(VLOOKUP($B149,INDIRECT($B$5&amp;"生成成长"),3))*(VLOOKUP($B$5,标准坦克设计!$B$14:$K$20,9)/30))</f>
        <v>12.878102374773238</v>
      </c>
      <c r="BW149" s="172">
        <f ca="1">(VLOOKUP(BW$72,INDIRECT($C$5&amp;"生成成长"),2))/((VLOOKUP($B149,INDIRECT($B$5&amp;"生成成长"),4))/(VLOOKUP(BW$72,INDIRECT($C$5&amp;"生成成长"),5))*(VLOOKUP($B$5,标准坦克设计!$B$24:$U$30,MATCH("对"&amp;LEFT($C$5,2)&amp;"输出",标准坦克设计!$B$23:$U$23,0)))*(VLOOKUP($B149,INDIRECT($B$5&amp;"生成成长"),3))*(VLOOKUP($B$5,标准坦克设计!$B$14:$K$20,9)/30))</f>
        <v>5.8691545822758719</v>
      </c>
      <c r="BX149" s="172">
        <f ca="1">(VLOOKUP(BX$72,INDIRECT($C$5&amp;"生成成长"),2))/((VLOOKUP($B149,INDIRECT($B$5&amp;"生成成长"),4))/(VLOOKUP(BX$72,INDIRECT($C$5&amp;"生成成长"),5))*(VLOOKUP($B$5,标准坦克设计!$B$24:$U$30,MATCH("对"&amp;LEFT($C$5,2)&amp;"输出",标准坦克设计!$B$23:$U$23,0)))*(VLOOKUP($B149,INDIRECT($B$5&amp;"生成成长"),3))*(VLOOKUP($B$5,标准坦克设计!$B$14:$K$20,9)/30))</f>
        <v>6.5136555287124107</v>
      </c>
      <c r="BY149" s="172">
        <f ca="1">(VLOOKUP(BY$72,INDIRECT($C$5&amp;"生成成长"),2))/((VLOOKUP($B149,INDIRECT($B$5&amp;"生成成长"),4))/(VLOOKUP(BY$72,INDIRECT($C$5&amp;"生成成长"),5))*(VLOOKUP($B$5,标准坦克设计!$B$24:$U$30,MATCH("对"&amp;LEFT($C$5,2)&amp;"输出",标准坦克设计!$B$23:$U$23,0)))*(VLOOKUP($B149,INDIRECT($B$5&amp;"生成成长"),3))*(VLOOKUP($B$5,标准坦克设计!$B$14:$K$20,9)/30))</f>
        <v>7.1917242327758526</v>
      </c>
      <c r="BZ149" s="172">
        <f ca="1">(VLOOKUP(BZ$72,INDIRECT($C$5&amp;"生成成长"),2))/((VLOOKUP($B149,INDIRECT($B$5&amp;"生成成长"),4))/(VLOOKUP(BZ$72,INDIRECT($C$5&amp;"生成成长"),5))*(VLOOKUP($B$5,标准坦克设计!$B$24:$U$30,MATCH("对"&amp;LEFT($C$5,2)&amp;"输出",标准坦克设计!$B$23:$U$23,0)))*(VLOOKUP($B149,INDIRECT($B$5&amp;"生成成长"),3))*(VLOOKUP($B$5,标准坦克设计!$B$14:$K$20,9)/30))</f>
        <v>7.9033606944661985</v>
      </c>
      <c r="CA149" s="172">
        <f ca="1">(VLOOKUP(CA$72,INDIRECT($C$5&amp;"生成成长"),2))/((VLOOKUP($B149,INDIRECT($B$5&amp;"生成成长"),4))/(VLOOKUP(CA$72,INDIRECT($C$5&amp;"生成成长"),5))*(VLOOKUP($B$5,标准坦克设计!$B$24:$U$30,MATCH("对"&amp;LEFT($C$5,2)&amp;"输出",标准坦克设计!$B$23:$U$23,0)))*(VLOOKUP($B149,INDIRECT($B$5&amp;"生成成长"),3))*(VLOOKUP($B$5,标准坦克设计!$B$14:$K$20,9)/30))</f>
        <v>8.6485649137834475</v>
      </c>
      <c r="CB149" s="172">
        <f ca="1">(VLOOKUP(CB$72,INDIRECT($C$5&amp;"生成成长"),2))/((VLOOKUP($B149,INDIRECT($B$5&amp;"生成成长"),4))/(VLOOKUP(CB$72,INDIRECT($C$5&amp;"生成成长"),5))*(VLOOKUP($B$5,标准坦克设计!$B$24:$U$30,MATCH("对"&amp;LEFT($C$5,2)&amp;"输出",标准坦克设计!$B$23:$U$23,0)))*(VLOOKUP($B149,INDIRECT($B$5&amp;"生成成长"),3))*(VLOOKUP($B$5,标准坦克设计!$B$14:$K$20,9)/30))</f>
        <v>9.4273368907276005</v>
      </c>
      <c r="CC149" s="172">
        <f ca="1">(VLOOKUP(CC$72,INDIRECT($C$5&amp;"生成成长"),2))/((VLOOKUP($B149,INDIRECT($B$5&amp;"生成成长"),4))/(VLOOKUP(CC$72,INDIRECT($C$5&amp;"生成成长"),5))*(VLOOKUP($B$5,标准坦克设计!$B$24:$U$30,MATCH("对"&amp;LEFT($C$5,2)&amp;"输出",标准坦克设计!$B$23:$U$23,0)))*(VLOOKUP($B149,INDIRECT($B$5&amp;"生成成长"),3))*(VLOOKUP($B$5,标准坦克设计!$B$14:$K$20,9)/30))</f>
        <v>10.239676625298653</v>
      </c>
      <c r="CD149" s="172">
        <f ca="1">(VLOOKUP(CD$72,INDIRECT($C$5&amp;"生成成长"),2))/((VLOOKUP($B149,INDIRECT($B$5&amp;"生成成长"),4))/(VLOOKUP(CD$72,INDIRECT($C$5&amp;"生成成长"),5))*(VLOOKUP($B$5,标准坦克设计!$B$24:$U$30,MATCH("对"&amp;LEFT($C$5,2)&amp;"输出",标准坦克设计!$B$23:$U$23,0)))*(VLOOKUP($B149,INDIRECT($B$5&amp;"生成成长"),3))*(VLOOKUP($B$5,标准坦克设计!$B$14:$K$20,9)/30))</f>
        <v>11.085584117496612</v>
      </c>
      <c r="CE149" s="172">
        <f ca="1">(VLOOKUP(CE$72,INDIRECT($C$5&amp;"生成成长"),2))/((VLOOKUP($B149,INDIRECT($B$5&amp;"生成成长"),4))/(VLOOKUP(CE$72,INDIRECT($C$5&amp;"生成成长"),5))*(VLOOKUP($B$5,标准坦克设计!$B$24:$U$30,MATCH("对"&amp;LEFT($C$5,2)&amp;"输出",标准坦克设计!$B$23:$U$23,0)))*(VLOOKUP($B149,INDIRECT($B$5&amp;"生成成长"),3))*(VLOOKUP($B$5,标准坦克设计!$B$14:$K$20,9)/30))</f>
        <v>11.965059367321475</v>
      </c>
      <c r="CF149" s="172">
        <f ca="1">(VLOOKUP(CF$72,INDIRECT($C$5&amp;"生成成长"),2))/((VLOOKUP($B149,INDIRECT($B$5&amp;"生成成长"),4))/(VLOOKUP(CF$72,INDIRECT($C$5&amp;"生成成长"),5))*(VLOOKUP($B$5,标准坦克设计!$B$24:$U$30,MATCH("对"&amp;LEFT($C$5,2)&amp;"输出",标准坦克设计!$B$23:$U$23,0)))*(VLOOKUP($B149,INDIRECT($B$5&amp;"生成成长"),3))*(VLOOKUP($B$5,标准坦克设计!$B$14:$K$20,9)/30))</f>
        <v>12.878102374773238</v>
      </c>
      <c r="CG149" s="172">
        <f ca="1">(VLOOKUP(CG$72,INDIRECT($C$5&amp;"生成成长"),2))/((VLOOKUP($B149,INDIRECT($B$5&amp;"生成成长"),4))/(VLOOKUP(CG$72,INDIRECT($C$5&amp;"生成成长"),5))*(VLOOKUP($B$5,标准坦克设计!$B$24:$U$30,MATCH("对"&amp;LEFT($C$5,2)&amp;"输出",标准坦克设计!$B$23:$U$23,0)))*(VLOOKUP($B149,INDIRECT($B$5&amp;"生成成长"),3))*(VLOOKUP($B$5,标准坦克设计!$B$14:$K$20,9)/30))</f>
        <v>13.824713139851905</v>
      </c>
      <c r="CH149" s="172">
        <f ca="1">(VLOOKUP(CH$72,INDIRECT($C$5&amp;"生成成长"),2))/((VLOOKUP($B149,INDIRECT($B$5&amp;"生成成长"),4))/(VLOOKUP(CH$72,INDIRECT($C$5&amp;"生成成长"),5))*(VLOOKUP($B$5,标准坦克设计!$B$24:$U$30,MATCH("对"&amp;LEFT($C$5,2)&amp;"输出",标准坦克设计!$B$23:$U$23,0)))*(VLOOKUP($B149,INDIRECT($B$5&amp;"生成成长"),3))*(VLOOKUP($B$5,标准坦克设计!$B$14:$K$20,9)/30))</f>
        <v>14.804891662557475</v>
      </c>
      <c r="CI149" s="172">
        <f ca="1">(VLOOKUP(CI$72,INDIRECT($C$5&amp;"生成成长"),2))/((VLOOKUP($B149,INDIRECT($B$5&amp;"生成成长"),4))/(VLOOKUP(CI$72,INDIRECT($C$5&amp;"生成成长"),5))*(VLOOKUP($B$5,标准坦克设计!$B$24:$U$30,MATCH("对"&amp;LEFT($C$5,2)&amp;"输出",标准坦克设计!$B$23:$U$23,0)))*(VLOOKUP($B149,INDIRECT($B$5&amp;"生成成长"),3))*(VLOOKUP($B$5,标准坦克设计!$B$14:$K$20,9)/30))</f>
        <v>15.921858797592673</v>
      </c>
      <c r="CJ149" s="172">
        <f ca="1">(VLOOKUP(CJ$72,INDIRECT($C$5&amp;"生成成长"),2))/((VLOOKUP($B149,INDIRECT($B$5&amp;"生成成长"),4))/(VLOOKUP(CJ$72,INDIRECT($C$5&amp;"生成成长"),5))*(VLOOKUP($B$5,标准坦克设计!$B$24:$U$30,MATCH("对"&amp;LEFT($C$5,2)&amp;"输出",标准坦克设计!$B$23:$U$23,0)))*(VLOOKUP($B149,INDIRECT($B$5&amp;"生成成长"),3))*(VLOOKUP($B$5,标准坦克设计!$B$14:$K$20,9)/30))</f>
        <v>17.079442919356424</v>
      </c>
      <c r="CK149" s="172">
        <f ca="1">(VLOOKUP(CK$72,INDIRECT($C$5&amp;"生成成长"),2))/((VLOOKUP($B149,INDIRECT($B$5&amp;"生成成长"),4))/(VLOOKUP(CK$72,INDIRECT($C$5&amp;"生成成长"),5))*(VLOOKUP($B$5,标准坦克设计!$B$24:$U$30,MATCH("对"&amp;LEFT($C$5,2)&amp;"输出",标准坦克设计!$B$23:$U$23,0)))*(VLOOKUP($B149,INDIRECT($B$5&amp;"生成成长"),3))*(VLOOKUP($B$5,标准坦克设计!$B$14:$K$20,9)/30))</f>
        <v>18.277644027848734</v>
      </c>
      <c r="CL149" s="172">
        <f ca="1">(VLOOKUP(CL$72,INDIRECT($C$5&amp;"生成成长"),2))/((VLOOKUP($B149,INDIRECT($B$5&amp;"生成成长"),4))/(VLOOKUP(CL$72,INDIRECT($C$5&amp;"生成成长"),5))*(VLOOKUP($B$5,标准坦克设计!$B$24:$U$30,MATCH("对"&amp;LEFT($C$5,2)&amp;"输出",标准坦克设计!$B$23:$U$23,0)))*(VLOOKUP($B149,INDIRECT($B$5&amp;"生成成长"),3))*(VLOOKUP($B$5,标准坦克设计!$B$14:$K$20,9)/30))</f>
        <v>19.516462123069591</v>
      </c>
      <c r="CM149" s="172">
        <f ca="1">(VLOOKUP(CM$72,INDIRECT($C$5&amp;"生成成长"),2))/((VLOOKUP($B149,INDIRECT($B$5&amp;"生成成长"),4))/(VLOOKUP(CM$72,INDIRECT($C$5&amp;"生成成长"),5))*(VLOOKUP($B$5,标准坦克设计!$B$24:$U$30,MATCH("对"&amp;LEFT($C$5,2)&amp;"输出",标准坦克设计!$B$23:$U$23,0)))*(VLOOKUP($B149,INDIRECT($B$5&amp;"生成成长"),3))*(VLOOKUP($B$5,标准坦克设计!$B$14:$K$20,9)/30))</f>
        <v>20.795897205019003</v>
      </c>
      <c r="CN149" s="172">
        <f ca="1">(VLOOKUP(CN$72,INDIRECT($C$5&amp;"生成成长"),2))/((VLOOKUP($B149,INDIRECT($B$5&amp;"生成成长"),4))/(VLOOKUP(CN$72,INDIRECT($C$5&amp;"生成成长"),5))*(VLOOKUP($B$5,标准坦克设计!$B$24:$U$30,MATCH("对"&amp;LEFT($C$5,2)&amp;"输出",标准坦克设计!$B$23:$U$23,0)))*(VLOOKUP($B149,INDIRECT($B$5&amp;"生成成长"),3))*(VLOOKUP($B$5,标准坦克设计!$B$14:$K$20,9)/30))</f>
        <v>22.115949273696973</v>
      </c>
      <c r="CO149" s="172">
        <f ca="1">(VLOOKUP(CO$72,INDIRECT($C$5&amp;"生成成长"),2))/((VLOOKUP($B149,INDIRECT($B$5&amp;"生成成长"),4))/(VLOOKUP(CO$72,INDIRECT($C$5&amp;"生成成长"),5))*(VLOOKUP($B$5,标准坦克设计!$B$24:$U$30,MATCH("对"&amp;LEFT($C$5,2)&amp;"输出",标准坦克设计!$B$23:$U$23,0)))*(VLOOKUP($B149,INDIRECT($B$5&amp;"生成成长"),3))*(VLOOKUP($B$5,标准坦克设计!$B$14:$K$20,9)/30))</f>
        <v>9.9107126005550032</v>
      </c>
      <c r="CP149" s="172">
        <f ca="1">(VLOOKUP(CP$72,INDIRECT($C$5&amp;"生成成长"),2))/((VLOOKUP($B149,INDIRECT($B$5&amp;"生成成长"),4))/(VLOOKUP(CP$72,INDIRECT($C$5&amp;"生成成长"),5))*(VLOOKUP($B$5,标准坦克设计!$B$24:$U$30,MATCH("对"&amp;LEFT($C$5,2)&amp;"输出",标准坦克设计!$B$23:$U$23,0)))*(VLOOKUP($B149,INDIRECT($B$5&amp;"生成成长"),3))*(VLOOKUP($B$5,标准坦克设计!$B$14:$K$20,9)/30))</f>
        <v>10.8282872552864</v>
      </c>
      <c r="CQ149" s="172">
        <f ca="1">(VLOOKUP(CQ$72,INDIRECT($C$5&amp;"生成成长"),2))/((VLOOKUP($B149,INDIRECT($B$5&amp;"生成成长"),4))/(VLOOKUP(CQ$72,INDIRECT($C$5&amp;"生成成长"),5))*(VLOOKUP($B$5,标准坦克设计!$B$24:$U$30,MATCH("对"&amp;LEFT($C$5,2)&amp;"输出",标准坦克设计!$B$23:$U$23,0)))*(VLOOKUP($B149,INDIRECT($B$5&amp;"生成成长"),3))*(VLOOKUP($B$5,标准坦克设计!$B$14:$K$20,9)/30))</f>
        <v>11.786478896746347</v>
      </c>
      <c r="CR149" s="172">
        <f ca="1">(VLOOKUP(CR$72,INDIRECT($C$5&amp;"生成成长"),2))/((VLOOKUP($B149,INDIRECT($B$5&amp;"生成成长"),4))/(VLOOKUP(CR$72,INDIRECT($C$5&amp;"生成成长"),5))*(VLOOKUP($B$5,标准坦克设计!$B$24:$U$30,MATCH("对"&amp;LEFT($C$5,2)&amp;"输出",标准坦克设计!$B$23:$U$23,0)))*(VLOOKUP($B149,INDIRECT($B$5&amp;"生成成长"),3))*(VLOOKUP($B$5,标准坦克设计!$B$14:$K$20,9)/30))</f>
        <v>12.785287524934848</v>
      </c>
      <c r="CS149" s="172">
        <f ca="1">(VLOOKUP(CS$72,INDIRECT($C$5&amp;"生成成长"),2))/((VLOOKUP($B149,INDIRECT($B$5&amp;"生成成长"),4))/(VLOOKUP(CS$72,INDIRECT($C$5&amp;"生成成长"),5))*(VLOOKUP($B$5,标准坦克设计!$B$24:$U$30,MATCH("对"&amp;LEFT($C$5,2)&amp;"输出",标准坦克设计!$B$23:$U$23,0)))*(VLOOKUP($B149,INDIRECT($B$5&amp;"生成成长"),3))*(VLOOKUP($B$5,标准坦克设计!$B$14:$K$20,9)/30))</f>
        <v>13.824713139851905</v>
      </c>
      <c r="CT149" s="172">
        <f ca="1">(VLOOKUP(CT$72,INDIRECT($C$5&amp;"生成成长"),2))/((VLOOKUP($B149,INDIRECT($B$5&amp;"生成成长"),4))/(VLOOKUP(CT$72,INDIRECT($C$5&amp;"生成成长"),5))*(VLOOKUP($B$5,标准坦克设计!$B$24:$U$30,MATCH("对"&amp;LEFT($C$5,2)&amp;"输出",标准坦克设计!$B$23:$U$23,0)))*(VLOOKUP($B149,INDIRECT($B$5&amp;"生成成长"),3))*(VLOOKUP($B$5,标准坦克设计!$B$14:$K$20,9)/30))</f>
        <v>14.904755741497514</v>
      </c>
      <c r="CU149" s="172">
        <f ca="1">(VLOOKUP(CU$72,INDIRECT($C$5&amp;"生成成长"),2))/((VLOOKUP($B149,INDIRECT($B$5&amp;"生成成长"),4))/(VLOOKUP(CU$72,INDIRECT($C$5&amp;"生成成长"),5))*(VLOOKUP($B$5,标准坦克设计!$B$24:$U$30,MATCH("对"&amp;LEFT($C$5,2)&amp;"输出",标准坦克设计!$B$23:$U$23,0)))*(VLOOKUP($B149,INDIRECT($B$5&amp;"生成成长"),3))*(VLOOKUP($B$5,标准坦克设计!$B$14:$K$20,9)/30))</f>
        <v>16.02541532987167</v>
      </c>
      <c r="CV149" s="172">
        <f ca="1">(VLOOKUP(CV$72,INDIRECT($C$5&amp;"生成成长"),2))/((VLOOKUP($B149,INDIRECT($B$5&amp;"生成成长"),4))/(VLOOKUP(CV$72,INDIRECT($C$5&amp;"生成成长"),5))*(VLOOKUP($B$5,标准坦克设计!$B$24:$U$30,MATCH("对"&amp;LEFT($C$5,2)&amp;"输出",标准坦克设计!$B$23:$U$23,0)))*(VLOOKUP($B149,INDIRECT($B$5&amp;"生成成长"),3))*(VLOOKUP($B$5,标准坦克设计!$B$14:$K$20,9)/30))</f>
        <v>17.186691904974385</v>
      </c>
      <c r="CW149" s="172">
        <f ca="1">(VLOOKUP(CW$72,INDIRECT($C$5&amp;"生成成长"),2))/((VLOOKUP($B149,INDIRECT($B$5&amp;"生成成长"),4))/(VLOOKUP(CW$72,INDIRECT($C$5&amp;"生成成长"),5))*(VLOOKUP($B$5,标准坦克设计!$B$24:$U$30,MATCH("对"&amp;LEFT($C$5,2)&amp;"输出",标准坦克设计!$B$23:$U$23,0)))*(VLOOKUP($B149,INDIRECT($B$5&amp;"生成成长"),3))*(VLOOKUP($B$5,标准坦克设计!$B$14:$K$20,9)/30))</f>
        <v>18.388585466805655</v>
      </c>
      <c r="CX149" s="172">
        <f ca="1">(VLOOKUP(CX$72,INDIRECT($C$5&amp;"生成成长"),2))/((VLOOKUP($B149,INDIRECT($B$5&amp;"生成成长"),4))/(VLOOKUP(CX$72,INDIRECT($C$5&amp;"生成成长"),5))*(VLOOKUP($B$5,标准坦克设计!$B$24:$U$30,MATCH("对"&amp;LEFT($C$5,2)&amp;"输出",标准坦克设计!$B$23:$U$23,0)))*(VLOOKUP($B149,INDIRECT($B$5&amp;"生成成长"),3))*(VLOOKUP($B$5,标准坦克设计!$B$14:$K$20,9)/30))</f>
        <v>19.631096015365465</v>
      </c>
      <c r="CY149" s="172">
        <f ca="1">(VLOOKUP(CY$72,INDIRECT($C$5&amp;"生成成长"),2))/((VLOOKUP($B149,INDIRECT($B$5&amp;"生成成长"),4))/(VLOOKUP(CY$72,INDIRECT($C$5&amp;"生成成长"),5))*(VLOOKUP($B$5,标准坦克设计!$B$24:$U$30,MATCH("对"&amp;LEFT($C$5,2)&amp;"输出",标准坦克设计!$B$23:$U$23,0)))*(VLOOKUP($B149,INDIRECT($B$5&amp;"生成成长"),3))*(VLOOKUP($B$5,标准坦克设计!$B$14:$K$20,9)/30))</f>
        <v>20.914223550653837</v>
      </c>
      <c r="CZ149" s="172">
        <f ca="1">(VLOOKUP(CZ$72,INDIRECT($C$5&amp;"生成成长"),2))/((VLOOKUP($B149,INDIRECT($B$5&amp;"生成成长"),4))/(VLOOKUP(CZ$72,INDIRECT($C$5&amp;"生成成长"),5))*(VLOOKUP($B$5,标准坦克设计!$B$24:$U$30,MATCH("对"&amp;LEFT($C$5,2)&amp;"输出",标准坦克设计!$B$23:$U$23,0)))*(VLOOKUP($B149,INDIRECT($B$5&amp;"生成成长"),3))*(VLOOKUP($B$5,标准坦克设计!$B$14:$K$20,9)/30))</f>
        <v>22.23796807267076</v>
      </c>
      <c r="DA149" s="172">
        <f ca="1">(VLOOKUP(DA$72,INDIRECT($C$5&amp;"生成成长"),2))/((VLOOKUP($B149,INDIRECT($B$5&amp;"生成成长"),4))/(VLOOKUP(DA$72,INDIRECT($C$5&amp;"生成成长"),5))*(VLOOKUP($B$5,标准坦克设计!$B$24:$U$30,MATCH("对"&amp;LEFT($C$5,2)&amp;"输出",标准坦克设计!$B$23:$U$23,0)))*(VLOOKUP($B149,INDIRECT($B$5&amp;"生成成长"),3))*(VLOOKUP($B$5,标准坦克设计!$B$14:$K$20,9)/30))</f>
        <v>23.602329581416242</v>
      </c>
      <c r="DB149" s="172">
        <f ca="1">(VLOOKUP(DB$72,INDIRECT($C$5&amp;"生成成长"),2))/((VLOOKUP($B149,INDIRECT($B$5&amp;"生成成长"),4))/(VLOOKUP(DB$72,INDIRECT($C$5&amp;"生成成长"),5))*(VLOOKUP($B$5,标准坦克设计!$B$24:$U$30,MATCH("对"&amp;LEFT($C$5,2)&amp;"输出",标准坦克设计!$B$23:$U$23,0)))*(VLOOKUP($B149,INDIRECT($B$5&amp;"生成成长"),3))*(VLOOKUP($B$5,标准坦克设计!$B$14:$K$20,9)/30))</f>
        <v>25.007308076890268</v>
      </c>
      <c r="DC149" s="172">
        <f ca="1">(VLOOKUP(DC$72,INDIRECT($C$5&amp;"生成成长"),2))/((VLOOKUP($B149,INDIRECT($B$5&amp;"生成成长"),4))/(VLOOKUP(DC$72,INDIRECT($C$5&amp;"生成成长"),5))*(VLOOKUP($B$5,标准坦克设计!$B$24:$U$30,MATCH("对"&amp;LEFT($C$5,2)&amp;"输出",标准坦克设计!$B$23:$U$23,0)))*(VLOOKUP($B149,INDIRECT($B$5&amp;"生成成长"),3))*(VLOOKUP($B$5,标准坦克设计!$B$14:$K$20,9)/30))</f>
        <v>26.586335395659788</v>
      </c>
      <c r="DD149" s="172">
        <f ca="1">(VLOOKUP(DD$72,INDIRECT($C$5&amp;"生成成长"),2))/((VLOOKUP($B149,INDIRECT($B$5&amp;"生成成长"),4))/(VLOOKUP(DD$72,INDIRECT($C$5&amp;"生成成长"),5))*(VLOOKUP($B$5,标准坦克设计!$B$24:$U$30,MATCH("对"&amp;LEFT($C$5,2)&amp;"输出",标准坦克设计!$B$23:$U$23,0)))*(VLOOKUP($B149,INDIRECT($B$5&amp;"生成成长"),3))*(VLOOKUP($B$5,标准坦克设计!$B$14:$K$20,9)/30))</f>
        <v>28.213700285412049</v>
      </c>
      <c r="DE149" s="172">
        <f ca="1">(VLOOKUP(DE$72,INDIRECT($C$5&amp;"生成成长"),2))/((VLOOKUP($B149,INDIRECT($B$5&amp;"生成成长"),4))/(VLOOKUP(DE$72,INDIRECT($C$5&amp;"生成成长"),5))*(VLOOKUP($B$5,标准坦克设计!$B$24:$U$30,MATCH("对"&amp;LEFT($C$5,2)&amp;"输出",标准坦克设计!$B$23:$U$23,0)))*(VLOOKUP($B149,INDIRECT($B$5&amp;"生成成长"),3))*(VLOOKUP($B$5,标准坦克设计!$B$14:$K$20,9)/30))</f>
        <v>29.889402746147059</v>
      </c>
      <c r="DF149" s="172">
        <f ca="1">(VLOOKUP(DF$72,INDIRECT($C$5&amp;"生成成长"),2))/((VLOOKUP($B149,INDIRECT($B$5&amp;"生成成长"),4))/(VLOOKUP(DF$72,INDIRECT($C$5&amp;"生成成长"),5))*(VLOOKUP($B$5,标准坦克设计!$B$24:$U$30,MATCH("对"&amp;LEFT($C$5,2)&amp;"输出",标准坦克设计!$B$23:$U$23,0)))*(VLOOKUP($B149,INDIRECT($B$5&amp;"生成成长"),3))*(VLOOKUP($B$5,标准坦克设计!$B$14:$K$20,9)/30))</f>
        <v>31.613442777864794</v>
      </c>
      <c r="DG149" s="172">
        <f ca="1">(VLOOKUP(DG$72,INDIRECT($C$5&amp;"生成成长"),2))/((VLOOKUP($B149,INDIRECT($B$5&amp;"生成成长"),4))/(VLOOKUP(DG$72,INDIRECT($C$5&amp;"生成成长"),5))*(VLOOKUP($B$5,标准坦克设计!$B$24:$U$30,MATCH("对"&amp;LEFT($C$5,2)&amp;"输出",标准坦克设计!$B$23:$U$23,0)))*(VLOOKUP($B149,INDIRECT($B$5&amp;"生成成长"),3))*(VLOOKUP($B$5,标准坦克设计!$B$14:$K$20,9)/30))</f>
        <v>33.385820380565278</v>
      </c>
      <c r="DH149" s="172">
        <f ca="1">(VLOOKUP(DH$72,INDIRECT($C$5&amp;"生成成长"),2))/((VLOOKUP($B149,INDIRECT($B$5&amp;"生成成长"),4))/(VLOOKUP(DH$72,INDIRECT($C$5&amp;"生成成长"),5))*(VLOOKUP($B$5,标准坦克设计!$B$24:$U$30,MATCH("对"&amp;LEFT($C$5,2)&amp;"输出",标准坦克设计!$B$23:$U$23,0)))*(VLOOKUP($B149,INDIRECT($B$5&amp;"生成成长"),3))*(VLOOKUP($B$5,标准坦克设计!$B$14:$K$20,9)/30))</f>
        <v>35.206535554248504</v>
      </c>
      <c r="DI149" s="172">
        <f ca="1">(VLOOKUP(DI$72,INDIRECT($C$5&amp;"生成成长"),2))/((VLOOKUP($B149,INDIRECT($B$5&amp;"生成成长"),4))/(VLOOKUP(DI$72,INDIRECT($C$5&amp;"生成成长"),5))*(VLOOKUP($B$5,标准坦克设计!$B$24:$U$30,MATCH("对"&amp;LEFT($C$5,2)&amp;"输出",标准坦克设计!$B$23:$U$23,0)))*(VLOOKUP($B149,INDIRECT($B$5&amp;"生成成长"),3))*(VLOOKUP($B$5,标准坦克设计!$B$14:$K$20,9)/30))</f>
        <v>37.075588298914475</v>
      </c>
      <c r="DJ149" s="172">
        <f ca="1">(VLOOKUP(DJ$72,INDIRECT($C$5&amp;"生成成长"),2))/((VLOOKUP($B149,INDIRECT($B$5&amp;"生成成长"),4))/(VLOOKUP(DJ$72,INDIRECT($C$5&amp;"生成成长"),5))*(VLOOKUP($B$5,标准坦克设计!$B$24:$U$30,MATCH("对"&amp;LEFT($C$5,2)&amp;"输出",标准坦克设计!$B$23:$U$23,0)))*(VLOOKUP($B149,INDIRECT($B$5&amp;"生成成长"),3))*(VLOOKUP($B$5,标准坦克设计!$B$14:$K$20,9)/30))</f>
        <v>3.7261889353743785</v>
      </c>
      <c r="DK149" s="172">
        <f ca="1">(VLOOKUP(DK$72,INDIRECT($C$5&amp;"生成成长"),2))/((VLOOKUP($B149,INDIRECT($B$5&amp;"生成成长"),4))/(VLOOKUP(DK$72,INDIRECT($C$5&amp;"生成成长"),5))*(VLOOKUP($B$5,标准坦克设计!$B$24:$U$30,MATCH("对"&amp;LEFT($C$5,2)&amp;"输出",标准坦克设计!$B$23:$U$23,0)))*(VLOOKUP($B149,INDIRECT($B$5&amp;"生成成长"),3))*(VLOOKUP($B$5,标准坦克设计!$B$14:$K$20,9)/30))</f>
        <v>4.1899275069900437</v>
      </c>
      <c r="DL149" s="172">
        <f ca="1">(VLOOKUP(DL$72,INDIRECT($C$5&amp;"生成成长"),2))/((VLOOKUP($B149,INDIRECT($B$5&amp;"生成成长"),4))/(VLOOKUP(DL$72,INDIRECT($C$5&amp;"生成成长"),5))*(VLOOKUP($B$5,标准坦克设计!$B$24:$U$30,MATCH("对"&amp;LEFT($C$5,2)&amp;"输出",标准坦克设计!$B$23:$U$23,0)))*(VLOOKUP($B149,INDIRECT($B$5&amp;"生成成长"),3))*(VLOOKUP($B$5,标准坦克设计!$B$14:$K$20,9)/30))</f>
        <v>4.6808559622835029</v>
      </c>
      <c r="DM149" s="172">
        <f ca="1">(VLOOKUP(DM$72,INDIRECT($C$5&amp;"生成成长"),2))/((VLOOKUP($B149,INDIRECT($B$5&amp;"生成成长"),4))/(VLOOKUP(DM$72,INDIRECT($C$5&amp;"生成成长"),5))*(VLOOKUP($B$5,标准坦克设计!$B$24:$U$30,MATCH("对"&amp;LEFT($C$5,2)&amp;"输出",标准坦克设计!$B$23:$U$23,0)))*(VLOOKUP($B149,INDIRECT($B$5&amp;"生成成长"),3))*(VLOOKUP($B$5,标准坦克设计!$B$14:$K$20,9)/30))</f>
        <v>5.1989743012547507</v>
      </c>
      <c r="DN149" s="172">
        <f ca="1">(VLOOKUP(DN$72,INDIRECT($C$5&amp;"生成成长"),2))/((VLOOKUP($B149,INDIRECT($B$5&amp;"生成成长"),4))/(VLOOKUP(DN$72,INDIRECT($C$5&amp;"生成成长"),5))*(VLOOKUP($B$5,标准坦克设计!$B$24:$U$30,MATCH("对"&amp;LEFT($C$5,2)&amp;"输出",标准坦克设计!$B$23:$U$23,0)))*(VLOOKUP($B149,INDIRECT($B$5&amp;"生成成长"),3))*(VLOOKUP($B$5,标准坦克设计!$B$14:$K$20,9)/30))</f>
        <v>5.7442825239037933</v>
      </c>
      <c r="DO149" s="172">
        <f ca="1">(VLOOKUP(DO$72,INDIRECT($C$5&amp;"生成成长"),2))/((VLOOKUP($B149,INDIRECT($B$5&amp;"生成成长"),4))/(VLOOKUP(DO$72,INDIRECT($C$5&amp;"生成成长"),5))*(VLOOKUP($B$5,标准坦克设计!$B$24:$U$30,MATCH("对"&amp;LEFT($C$5,2)&amp;"输出",标准坦克设计!$B$23:$U$23,0)))*(VLOOKUP($B149,INDIRECT($B$5&amp;"生成成长"),3))*(VLOOKUP($B$5,标准坦克设计!$B$14:$K$20,9)/30))</f>
        <v>6.3167806302306229</v>
      </c>
      <c r="DP149" s="172">
        <f ca="1">(VLOOKUP(DP$72,INDIRECT($C$5&amp;"生成成长"),2))/((VLOOKUP($B149,INDIRECT($B$5&amp;"生成成长"),4))/(VLOOKUP(DP$72,INDIRECT($C$5&amp;"生成成长"),5))*(VLOOKUP($B$5,标准坦克设计!$B$24:$U$30,MATCH("对"&amp;LEFT($C$5,2)&amp;"输出",标准坦克设计!$B$23:$U$23,0)))*(VLOOKUP($B149,INDIRECT($B$5&amp;"生成成长"),3))*(VLOOKUP($B$5,标准坦克设计!$B$14:$K$20,9)/30))</f>
        <v>6.9164686202352472</v>
      </c>
      <c r="DQ149" s="172">
        <f ca="1">(VLOOKUP(DQ$72,INDIRECT($C$5&amp;"生成成长"),2))/((VLOOKUP($B149,INDIRECT($B$5&amp;"生成成长"),4))/(VLOOKUP(DQ$72,INDIRECT($C$5&amp;"生成成长"),5))*(VLOOKUP($B$5,标准坦克设计!$B$24:$U$30,MATCH("对"&amp;LEFT($C$5,2)&amp;"输出",标准坦克设计!$B$23:$U$23,0)))*(VLOOKUP($B149,INDIRECT($B$5&amp;"生成成长"),3))*(VLOOKUP($B$5,标准坦克设计!$B$14:$K$20,9)/30))</f>
        <v>7.5433464939176647</v>
      </c>
      <c r="DR149" s="172">
        <f ca="1">(VLOOKUP(DR$72,INDIRECT($C$5&amp;"生成成长"),2))/((VLOOKUP($B149,INDIRECT($B$5&amp;"生成成长"),4))/(VLOOKUP(DR$72,INDIRECT($C$5&amp;"生成成长"),5))*(VLOOKUP($B$5,标准坦克设计!$B$24:$U$30,MATCH("对"&amp;LEFT($C$5,2)&amp;"输出",标准坦克设计!$B$23:$U$23,0)))*(VLOOKUP($B149,INDIRECT($B$5&amp;"生成成长"),3))*(VLOOKUP($B$5,标准坦克设计!$B$14:$K$20,9)/30))</f>
        <v>8.1974142512778716</v>
      </c>
      <c r="DS149" s="172">
        <f ca="1">(VLOOKUP(DS$72,INDIRECT($C$5&amp;"生成成长"),2))/((VLOOKUP($B149,INDIRECT($B$5&amp;"生成成长"),4))/(VLOOKUP(DS$72,INDIRECT($C$5&amp;"生成成长"),5))*(VLOOKUP($B$5,标准坦克设计!$B$24:$U$30,MATCH("对"&amp;LEFT($C$5,2)&amp;"输出",标准坦克设计!$B$23:$U$23,0)))*(VLOOKUP($B149,INDIRECT($B$5&amp;"生成成长"),3))*(VLOOKUP($B$5,标准坦克设计!$B$14:$K$20,9)/30))</f>
        <v>8.8786718923158681</v>
      </c>
      <c r="DT149" s="172">
        <f ca="1">(VLOOKUP(DT$72,INDIRECT($C$5&amp;"生成成长"),2))/((VLOOKUP($B149,INDIRECT($B$5&amp;"生成成长"),4))/(VLOOKUP(DT$72,INDIRECT($C$5&amp;"生成成长"),5))*(VLOOKUP($B$5,标准坦克设计!$B$24:$U$30,MATCH("对"&amp;LEFT($C$5,2)&amp;"输出",标准坦克设计!$B$23:$U$23,0)))*(VLOOKUP($B149,INDIRECT($B$5&amp;"生成成长"),3))*(VLOOKUP($B$5,标准坦克设计!$B$14:$K$20,9)/30))</f>
        <v>9.748244653640791</v>
      </c>
      <c r="DU149" s="172">
        <f ca="1">(VLOOKUP(DU$72,INDIRECT($C$5&amp;"生成成长"),2))/((VLOOKUP($B149,INDIRECT($B$5&amp;"生成成长"),4))/(VLOOKUP(DU$72,INDIRECT($C$5&amp;"生成成长"),5))*(VLOOKUP($B$5,标准坦克设计!$B$24:$U$30,MATCH("对"&amp;LEFT($C$5,2)&amp;"输出",标准坦克设计!$B$23:$U$23,0)))*(VLOOKUP($B149,INDIRECT($B$5&amp;"生成成长"),3))*(VLOOKUP($B$5,标准坦克设计!$B$14:$K$20,9)/30))</f>
        <v>10.65843440169427</v>
      </c>
      <c r="DV149" s="172">
        <f ca="1">(VLOOKUP(DV$72,INDIRECT($C$5&amp;"生成成长"),2))/((VLOOKUP($B149,INDIRECT($B$5&amp;"生成成长"),4))/(VLOOKUP(DV$72,INDIRECT($C$5&amp;"生成成长"),5))*(VLOOKUP($B$5,标准坦克设计!$B$24:$U$30,MATCH("对"&amp;LEFT($C$5,2)&amp;"输出",标准坦克设计!$B$23:$U$23,0)))*(VLOOKUP($B149,INDIRECT($B$5&amp;"生成成长"),3))*(VLOOKUP($B$5,标准坦克设计!$B$14:$K$20,9)/30))</f>
        <v>11.6092411364763</v>
      </c>
      <c r="DW149" s="172">
        <f ca="1">(VLOOKUP(DW$72,INDIRECT($C$5&amp;"生成成长"),2))/((VLOOKUP($B149,INDIRECT($B$5&amp;"生成成长"),4))/(VLOOKUP(DW$72,INDIRECT($C$5&amp;"生成成长"),5))*(VLOOKUP($B$5,标准坦克设计!$B$24:$U$30,MATCH("对"&amp;LEFT($C$5,2)&amp;"输出",标准坦克设计!$B$23:$U$23,0)))*(VLOOKUP($B149,INDIRECT($B$5&amp;"生成成长"),3))*(VLOOKUP($B$5,标准坦克设计!$B$14:$K$20,9)/30))</f>
        <v>12.600664857986882</v>
      </c>
      <c r="DX149" s="172">
        <f ca="1">(VLOOKUP(DX$72,INDIRECT($C$5&amp;"生成成长"),2))/((VLOOKUP($B149,INDIRECT($B$5&amp;"生成成长"),4))/(VLOOKUP(DX$72,INDIRECT($C$5&amp;"生成成长"),5))*(VLOOKUP($B$5,标准坦克设计!$B$24:$U$30,MATCH("对"&amp;LEFT($C$5,2)&amp;"输出",标准坦克设计!$B$23:$U$23,0)))*(VLOOKUP($B149,INDIRECT($B$5&amp;"生成成长"),3))*(VLOOKUP($B$5,标准坦克设计!$B$14:$K$20,9)/30))</f>
        <v>13.632705566226019</v>
      </c>
      <c r="DY149" s="172">
        <f ca="1">(VLOOKUP(DY$72,INDIRECT($C$5&amp;"生成成长"),2))/((VLOOKUP($B149,INDIRECT($B$5&amp;"生成成长"),4))/(VLOOKUP(DY$72,INDIRECT($C$5&amp;"生成成长"),5))*(VLOOKUP($B$5,标准坦克设计!$B$24:$U$30,MATCH("对"&amp;LEFT($C$5,2)&amp;"输出",标准坦克设计!$B$23:$U$23,0)))*(VLOOKUP($B149,INDIRECT($B$5&amp;"生成成长"),3))*(VLOOKUP($B$5,标准坦克设计!$B$14:$K$20,9)/30))</f>
        <v>6.1229268299352588</v>
      </c>
      <c r="DZ149" s="172">
        <f ca="1">(VLOOKUP(DZ$72,INDIRECT($C$5&amp;"生成成长"),2))/((VLOOKUP($B149,INDIRECT($B$5&amp;"生成成长"),4))/(VLOOKUP(DZ$72,INDIRECT($C$5&amp;"生成成长"),5))*(VLOOKUP($B$5,标准坦克设计!$B$24:$U$30,MATCH("对"&amp;LEFT($C$5,2)&amp;"输出",标准坦克设计!$B$23:$U$23,0)))*(VLOOKUP($B149,INDIRECT($B$5&amp;"生成成长"),3))*(VLOOKUP($B$5,标准坦克设计!$B$14:$K$20,9)/30))</f>
        <v>6.7808548794225585</v>
      </c>
      <c r="EA149" s="172">
        <f ca="1">(VLOOKUP(EA$72,INDIRECT($C$5&amp;"生成成长"),2))/((VLOOKUP($B149,INDIRECT($B$5&amp;"生成成长"),4))/(VLOOKUP(EA$72,INDIRECT($C$5&amp;"生成成长"),5))*(VLOOKUP($B$5,标准坦克设计!$B$24:$U$30,MATCH("对"&amp;LEFT($C$5,2)&amp;"输出",标准坦克设计!$B$23:$U$23,0)))*(VLOOKUP($B149,INDIRECT($B$5&amp;"生成成长"),3))*(VLOOKUP($B$5,标准坦克设计!$B$14:$K$20,9)/30))</f>
        <v>7.4723506865367648</v>
      </c>
      <c r="EB149" s="172">
        <f ca="1">(VLOOKUP(EB$72,INDIRECT($C$5&amp;"生成成长"),2))/((VLOOKUP($B149,INDIRECT($B$5&amp;"生成成长"),4))/(VLOOKUP(EB$72,INDIRECT($C$5&amp;"生成成长"),5))*(VLOOKUP($B$5,标准坦克设计!$B$24:$U$30,MATCH("对"&amp;LEFT($C$5,2)&amp;"输出",标准坦克设计!$B$23:$U$23,0)))*(VLOOKUP($B149,INDIRECT($B$5&amp;"生成成长"),3))*(VLOOKUP($B$5,标准坦克设计!$B$14:$K$20,9)/30))</f>
        <v>8.1974142512778716</v>
      </c>
      <c r="EC149" s="172">
        <f ca="1">(VLOOKUP(EC$72,INDIRECT($C$5&amp;"生成成长"),2))/((VLOOKUP($B149,INDIRECT($B$5&amp;"生成成长"),4))/(VLOOKUP(EC$72,INDIRECT($C$5&amp;"生成成长"),5))*(VLOOKUP($B$5,标准坦克设计!$B$24:$U$30,MATCH("对"&amp;LEFT($C$5,2)&amp;"输出",标准坦克设计!$B$23:$U$23,0)))*(VLOOKUP($B149,INDIRECT($B$5&amp;"生成成长"),3))*(VLOOKUP($B$5,标准坦克设计!$B$14:$K$20,9)/30))</f>
        <v>8.9560455736458788</v>
      </c>
      <c r="ED149" s="172">
        <f ca="1">(VLOOKUP(ED$72,INDIRECT($C$5&amp;"生成成长"),2))/((VLOOKUP($B149,INDIRECT($B$5&amp;"生成成长"),4))/(VLOOKUP(ED$72,INDIRECT($C$5&amp;"生成成长"),5))*(VLOOKUP($B$5,标准坦克设计!$B$24:$U$30,MATCH("对"&amp;LEFT($C$5,2)&amp;"输出",标准坦克设计!$B$23:$U$23,0)))*(VLOOKUP($B149,INDIRECT($B$5&amp;"生成成长"),3))*(VLOOKUP($B$5,标准坦克设计!$B$14:$K$20,9)/30))</f>
        <v>9.748244653640791</v>
      </c>
      <c r="EE149" s="172">
        <f ca="1">(VLOOKUP(EE$72,INDIRECT($C$5&amp;"生成成长"),2))/((VLOOKUP($B149,INDIRECT($B$5&amp;"生成成长"),4))/(VLOOKUP(EE$72,INDIRECT($C$5&amp;"生成成长"),5))*(VLOOKUP($B$5,标准坦克设计!$B$24:$U$30,MATCH("对"&amp;LEFT($C$5,2)&amp;"输出",标准坦克设计!$B$23:$U$23,0)))*(VLOOKUP($B149,INDIRECT($B$5&amp;"生成成长"),3))*(VLOOKUP($B$5,标准坦克设计!$B$14:$K$20,9)/30))</f>
        <v>10.57401149126261</v>
      </c>
      <c r="EF149" s="172">
        <f ca="1">(VLOOKUP(EF$72,INDIRECT($C$5&amp;"生成成长"),2))/((VLOOKUP($B149,INDIRECT($B$5&amp;"生成成长"),4))/(VLOOKUP(EF$72,INDIRECT($C$5&amp;"生成成长"),5))*(VLOOKUP($B$5,标准坦克设计!$B$24:$U$30,MATCH("对"&amp;LEFT($C$5,2)&amp;"输出",标准坦克设计!$B$23:$U$23,0)))*(VLOOKUP($B149,INDIRECT($B$5&amp;"生成成长"),3))*(VLOOKUP($B$5,标准坦克设计!$B$14:$K$20,9)/30))</f>
        <v>11.433346086511326</v>
      </c>
      <c r="EG149" s="172">
        <f ca="1">(VLOOKUP(EG$72,INDIRECT($C$5&amp;"生成成长"),2))/((VLOOKUP($B149,INDIRECT($B$5&amp;"生成成长"),4))/(VLOOKUP(EG$72,INDIRECT($C$5&amp;"生成成长"),5))*(VLOOKUP($B$5,标准坦克设计!$B$24:$U$30,MATCH("对"&amp;LEFT($C$5,2)&amp;"输出",标准坦克设计!$B$23:$U$23,0)))*(VLOOKUP($B149,INDIRECT($B$5&amp;"生成成长"),3))*(VLOOKUP($B$5,标准坦克设计!$B$14:$K$20,9)/30))</f>
        <v>12.326248439386951</v>
      </c>
      <c r="EH149" s="172">
        <f ca="1">(VLOOKUP(EH$72,INDIRECT($C$5&amp;"生成成长"),2))/((VLOOKUP($B149,INDIRECT($B$5&amp;"生成成长"),4))/(VLOOKUP(EH$72,INDIRECT($C$5&amp;"生成成长"),5))*(VLOOKUP($B$5,标准坦克设计!$B$24:$U$30,MATCH("对"&amp;LEFT($C$5,2)&amp;"输出",标准坦克设计!$B$23:$U$23,0)))*(VLOOKUP($B149,INDIRECT($B$5&amp;"生成成长"),3))*(VLOOKUP($B$5,标准坦克设计!$B$14:$K$20,9)/30))</f>
        <v>13.252718549889476</v>
      </c>
      <c r="EI149" s="172">
        <f ca="1">(VLOOKUP(EI$72,INDIRECT($C$5&amp;"生成成长"),2))/((VLOOKUP($B149,INDIRECT($B$5&amp;"生成成长"),4))/(VLOOKUP(EI$72,INDIRECT($C$5&amp;"生成成长"),5))*(VLOOKUP($B$5,标准坦克设计!$B$24:$U$30,MATCH("对"&amp;LEFT($C$5,2)&amp;"输出",标准坦克设计!$B$23:$U$23,0)))*(VLOOKUP($B149,INDIRECT($B$5&amp;"生成成长"),3))*(VLOOKUP($B$5,标准坦克设计!$B$14:$K$20,9)/30))</f>
        <v>14.212756418018904</v>
      </c>
      <c r="EJ149" s="172">
        <f ca="1">(VLOOKUP(EJ$72,INDIRECT($C$5&amp;"生成成长"),2))/((VLOOKUP($B149,INDIRECT($B$5&amp;"生成成长"),4))/(VLOOKUP(EJ$72,INDIRECT($C$5&amp;"生成成长"),5))*(VLOOKUP($B$5,标准坦克设计!$B$24:$U$30,MATCH("对"&amp;LEFT($C$5,2)&amp;"输出",标准坦克设计!$B$23:$U$23,0)))*(VLOOKUP($B149,INDIRECT($B$5&amp;"生成成长"),3))*(VLOOKUP($B$5,标准坦克设计!$B$14:$K$20,9)/30))</f>
        <v>15.206362043775234</v>
      </c>
      <c r="EK149" s="172">
        <f ca="1">(VLOOKUP(EK$72,INDIRECT($C$5&amp;"生成成长"),2))/((VLOOKUP($B149,INDIRECT($B$5&amp;"生成成长"),4))/(VLOOKUP(EK$72,INDIRECT($C$5&amp;"生成成长"),5))*(VLOOKUP($B$5,标准坦克设计!$B$24:$U$30,MATCH("对"&amp;LEFT($C$5,2)&amp;"输出",标准坦克设计!$B$23:$U$23,0)))*(VLOOKUP($B149,INDIRECT($B$5&amp;"生成成长"),3))*(VLOOKUP($B$5,标准坦克设计!$B$14:$K$20,9)/30))</f>
        <v>16.442998234750345</v>
      </c>
      <c r="EL149" s="172">
        <f ca="1">(VLOOKUP(EL$72,INDIRECT($C$5&amp;"生成成长"),2))/((VLOOKUP($B149,INDIRECT($B$5&amp;"生成成长"),4))/(VLOOKUP(EL$72,INDIRECT($C$5&amp;"生成成长"),5))*(VLOOKUP($B$5,标准坦克设计!$B$24:$U$30,MATCH("对"&amp;LEFT($C$5,2)&amp;"输出",标准坦克设计!$B$23:$U$23,0)))*(VLOOKUP($B149,INDIRECT($B$5&amp;"生成成长"),3))*(VLOOKUP($B$5,标准坦克设计!$B$14:$K$20,9)/30))</f>
        <v>17.727971996708195</v>
      </c>
      <c r="EM149" s="172">
        <f ca="1">(VLOOKUP(EM$72,INDIRECT($C$5&amp;"生成成长"),2))/((VLOOKUP($B149,INDIRECT($B$5&amp;"生成成长"),4))/(VLOOKUP(EM$72,INDIRECT($C$5&amp;"生成成长"),5))*(VLOOKUP($B$5,标准坦克设计!$B$24:$U$30,MATCH("对"&amp;LEFT($C$5,2)&amp;"输出",标准坦克设计!$B$23:$U$23,0)))*(VLOOKUP($B149,INDIRECT($B$5&amp;"生成成长"),3))*(VLOOKUP($B$5,标准坦克设计!$B$14:$K$20,9)/30))</f>
        <v>19.061283329648784</v>
      </c>
      <c r="EN149" s="172">
        <f ca="1">(VLOOKUP(EN$72,INDIRECT($C$5&amp;"生成成长"),2))/((VLOOKUP($B149,INDIRECT($B$5&amp;"生成成长"),4))/(VLOOKUP(EN$72,INDIRECT($C$5&amp;"生成成长"),5))*(VLOOKUP($B$5,标准坦克设计!$B$24:$U$30,MATCH("对"&amp;LEFT($C$5,2)&amp;"输出",标准坦克设计!$B$23:$U$23,0)))*(VLOOKUP($B149,INDIRECT($B$5&amp;"生成成长"),3))*(VLOOKUP($B$5,标准坦克设计!$B$14:$K$20,9)/30))</f>
        <v>20.442932233572119</v>
      </c>
      <c r="EO149" s="172">
        <f ca="1">(VLOOKUP(EO$72,INDIRECT($C$5&amp;"生成成长"),2))/((VLOOKUP($B149,INDIRECT($B$5&amp;"生成成长"),4))/(VLOOKUP(EO$72,INDIRECT($C$5&amp;"生成成长"),5))*(VLOOKUP($B$5,标准坦克设计!$B$24:$U$30,MATCH("对"&amp;LEFT($C$5,2)&amp;"输出",标准坦克设计!$B$23:$U$23,0)))*(VLOOKUP($B149,INDIRECT($B$5&amp;"生成成长"),3))*(VLOOKUP($B$5,标准坦克设计!$B$14:$K$20,9)/30))</f>
        <v>21.872918708478192</v>
      </c>
      <c r="EP149" s="172">
        <f ca="1">(VLOOKUP(EP$72,INDIRECT($C$5&amp;"生成成长"),2))/((VLOOKUP($B149,INDIRECT($B$5&amp;"生成成长"),4))/(VLOOKUP(EP$72,INDIRECT($C$5&amp;"生成成长"),5))*(VLOOKUP($B$5,标准坦克设计!$B$24:$U$30,MATCH("对"&amp;LEFT($C$5,2)&amp;"输出",标准坦克设计!$B$23:$U$23,0)))*(VLOOKUP($B149,INDIRECT($B$5&amp;"生成成长"),3))*(VLOOKUP($B$5,标准坦克设计!$B$14:$K$20,9)/30))</f>
        <v>23.351242754367</v>
      </c>
      <c r="EQ149" s="172">
        <f ca="1">(VLOOKUP(EQ$72,INDIRECT($C$5&amp;"生成成长"),2))/((VLOOKUP($B149,INDIRECT($B$5&amp;"生成成长"),4))/(VLOOKUP(EQ$72,INDIRECT($C$5&amp;"生成成长"),5))*(VLOOKUP($B$5,标准坦克设计!$B$24:$U$30,MATCH("对"&amp;LEFT($C$5,2)&amp;"输出",标准坦克设计!$B$23:$U$23,0)))*(VLOOKUP($B149,INDIRECT($B$5&amp;"生成成长"),3))*(VLOOKUP($B$5,标准坦克设计!$B$14:$K$20,9)/30))</f>
        <v>10.322756825425239</v>
      </c>
      <c r="ER149" s="172">
        <f ca="1">(VLOOKUP(ER$72,INDIRECT($C$5&amp;"生成成长"),2))/((VLOOKUP($B149,INDIRECT($B$5&amp;"生成成长"),4))/(VLOOKUP(ER$72,INDIRECT($C$5&amp;"生成成长"),5))*(VLOOKUP($B$5,标准坦克设计!$B$24:$U$30,MATCH("对"&amp;LEFT($C$5,2)&amp;"输出",标准坦克设计!$B$23:$U$23,0)))*(VLOOKUP($B149,INDIRECT($B$5&amp;"生成成长"),3))*(VLOOKUP($B$5,标准坦克设计!$B$14:$K$20,9)/30))</f>
        <v>11.258793746851429</v>
      </c>
      <c r="ES149" s="172">
        <f ca="1">(VLOOKUP(ES$72,INDIRECT($C$5&amp;"生成成长"),2))/((VLOOKUP($B149,INDIRECT($B$5&amp;"生成成长"),4))/(VLOOKUP(ES$72,INDIRECT($C$5&amp;"生成成长"),5))*(VLOOKUP($B$5,标准坦克设计!$B$24:$U$30,MATCH("对"&amp;LEFT($C$5,2)&amp;"输出",标准坦克设计!$B$23:$U$23,0)))*(VLOOKUP($B149,INDIRECT($B$5&amp;"生成成长"),3))*(VLOOKUP($B$5,标准坦克设计!$B$14:$K$20,9)/30))</f>
        <v>12.235447655006176</v>
      </c>
      <c r="ET149" s="172">
        <f ca="1">(VLOOKUP(ET$72,INDIRECT($C$5&amp;"生成成长"),2))/((VLOOKUP($B149,INDIRECT($B$5&amp;"生成成长"),4))/(VLOOKUP(ET$72,INDIRECT($C$5&amp;"生成成长"),5))*(VLOOKUP($B$5,标准坦克设计!$B$24:$U$30,MATCH("对"&amp;LEFT($C$5,2)&amp;"输出",标准坦克设计!$B$23:$U$23,0)))*(VLOOKUP($B149,INDIRECT($B$5&amp;"生成成长"),3))*(VLOOKUP($B$5,标准坦克设计!$B$14:$K$20,9)/30))</f>
        <v>13.252718549889476</v>
      </c>
      <c r="EU149" s="172">
        <f ca="1">(VLOOKUP(EU$72,INDIRECT($C$5&amp;"生成成长"),2))/((VLOOKUP($B149,INDIRECT($B$5&amp;"生成成长"),4))/(VLOOKUP(EU$72,INDIRECT($C$5&amp;"生成成长"),5))*(VLOOKUP($B$5,标准坦克设计!$B$24:$U$30,MATCH("对"&amp;LEFT($C$5,2)&amp;"输出",标准坦克设计!$B$23:$U$23,0)))*(VLOOKUP($B149,INDIRECT($B$5&amp;"生成成长"),3))*(VLOOKUP($B$5,标准坦克设计!$B$14:$K$20,9)/30))</f>
        <v>14.310606431501327</v>
      </c>
      <c r="EV149" s="172">
        <f ca="1">(VLOOKUP(EV$72,INDIRECT($C$5&amp;"生成成长"),2))/((VLOOKUP($B149,INDIRECT($B$5&amp;"生成成长"),4))/(VLOOKUP(EV$72,INDIRECT($C$5&amp;"生成成长"),5))*(VLOOKUP($B$5,标准坦克设计!$B$24:$U$30,MATCH("对"&amp;LEFT($C$5,2)&amp;"输出",标准坦克设计!$B$23:$U$23,0)))*(VLOOKUP($B149,INDIRECT($B$5&amp;"生成成长"),3))*(VLOOKUP($B$5,标准坦克设计!$B$14:$K$20,9)/30))</f>
        <v>15.409111299841731</v>
      </c>
      <c r="EW149" s="172">
        <f ca="1">(VLOOKUP(EW$72,INDIRECT($C$5&amp;"生成成长"),2))/((VLOOKUP($B149,INDIRECT($B$5&amp;"生成成长"),4))/(VLOOKUP(EW$72,INDIRECT($C$5&amp;"生成成长"),5))*(VLOOKUP($B$5,标准坦克设计!$B$24:$U$30,MATCH("对"&amp;LEFT($C$5,2)&amp;"输出",标准坦克设计!$B$23:$U$23,0)))*(VLOOKUP($B149,INDIRECT($B$5&amp;"生成成长"),3))*(VLOOKUP($B$5,标准坦克设计!$B$14:$K$20,9)/30))</f>
        <v>16.54823315491069</v>
      </c>
      <c r="EX149" s="172">
        <f ca="1">(VLOOKUP(EX$72,INDIRECT($C$5&amp;"生成成长"),2))/((VLOOKUP($B149,INDIRECT($B$5&amp;"生成成长"),4))/(VLOOKUP(EX$72,INDIRECT($C$5&amp;"生成成长"),5))*(VLOOKUP($B$5,标准坦克设计!$B$24:$U$30,MATCH("对"&amp;LEFT($C$5,2)&amp;"输出",标准坦克设计!$B$23:$U$23,0)))*(VLOOKUP($B149,INDIRECT($B$5&amp;"生成成长"),3))*(VLOOKUP($B$5,标准坦克设计!$B$14:$K$20,9)/30))</f>
        <v>17.727971996708195</v>
      </c>
      <c r="EY149" s="172">
        <f ca="1">(VLOOKUP(EY$72,INDIRECT($C$5&amp;"生成成长"),2))/((VLOOKUP($B149,INDIRECT($B$5&amp;"生成成长"),4))/(VLOOKUP(EY$72,INDIRECT($C$5&amp;"生成成长"),5))*(VLOOKUP($B$5,标准坦克设计!$B$24:$U$30,MATCH("对"&amp;LEFT($C$5,2)&amp;"输出",标准坦克设计!$B$23:$U$23,0)))*(VLOOKUP($B149,INDIRECT($B$5&amp;"生成成长"),3))*(VLOOKUP($B$5,标准坦克设计!$B$14:$K$20,9)/30))</f>
        <v>18.948327825234259</v>
      </c>
      <c r="EZ149" s="172">
        <f ca="1">(VLOOKUP(EZ$72,INDIRECT($C$5&amp;"生成成长"),2))/((VLOOKUP($B149,INDIRECT($B$5&amp;"生成成长"),4))/(VLOOKUP(EZ$72,INDIRECT($C$5&amp;"生成成长"),5))*(VLOOKUP($B$5,标准坦克设计!$B$24:$U$30,MATCH("对"&amp;LEFT($C$5,2)&amp;"输出",标准坦克设计!$B$23:$U$23,0)))*(VLOOKUP($B149,INDIRECT($B$5&amp;"生成成长"),3))*(VLOOKUP($B$5,标准坦克设计!$B$14:$K$20,9)/30))</f>
        <v>20.20930064048887</v>
      </c>
      <c r="FA149" s="172">
        <f ca="1">(VLOOKUP(FA$72,INDIRECT($C$5&amp;"生成成长"),2))/((VLOOKUP($B149,INDIRECT($B$5&amp;"生成成长"),4))/(VLOOKUP(FA$72,INDIRECT($C$5&amp;"生成成长"),5))*(VLOOKUP($B$5,标准坦克设计!$B$24:$U$30,MATCH("对"&amp;LEFT($C$5,2)&amp;"输出",标准坦克设计!$B$23:$U$23,0)))*(VLOOKUP($B149,INDIRECT($B$5&amp;"生成成长"),3))*(VLOOKUP($B$5,标准坦克设计!$B$14:$K$20,9)/30))</f>
        <v>21.510890442472043</v>
      </c>
      <c r="FB149" s="172">
        <f ca="1">(VLOOKUP(FB$72,INDIRECT($C$5&amp;"生成成长"),2))/((VLOOKUP($B149,INDIRECT($B$5&amp;"生成成长"),4))/(VLOOKUP(FB$72,INDIRECT($C$5&amp;"生成成长"),5))*(VLOOKUP($B$5,标准坦克设计!$B$24:$U$30,MATCH("对"&amp;LEFT($C$5,2)&amp;"输出",标准坦克设计!$B$23:$U$23,0)))*(VLOOKUP($B149,INDIRECT($B$5&amp;"生成成长"),3))*(VLOOKUP($B$5,标准坦克设计!$B$14:$K$20,9)/30))</f>
        <v>22.853097231183764</v>
      </c>
      <c r="FC149" s="172">
        <f ca="1">(VLOOKUP(FC$72,INDIRECT($C$5&amp;"生成成长"),2))/((VLOOKUP($B149,INDIRECT($B$5&amp;"生成成长"),4))/(VLOOKUP(FC$72,INDIRECT($C$5&amp;"生成成长"),5))*(VLOOKUP($B$5,标准坦克设计!$B$24:$U$30,MATCH("对"&amp;LEFT($C$5,2)&amp;"输出",标准坦克设计!$B$23:$U$23,0)))*(VLOOKUP($B149,INDIRECT($B$5&amp;"生成成长"),3))*(VLOOKUP($B$5,标准坦克设计!$B$14:$K$20,9)/30))</f>
        <v>24.235921006624036</v>
      </c>
      <c r="FD149" s="172">
        <f ca="1">(VLOOKUP(FD$72,INDIRECT($C$5&amp;"生成成长"),2))/((VLOOKUP($B149,INDIRECT($B$5&amp;"生成成长"),4))/(VLOOKUP(FD$72,INDIRECT($C$5&amp;"生成成长"),5))*(VLOOKUP($B$5,标准坦克设计!$B$24:$U$30,MATCH("对"&amp;LEFT($C$5,2)&amp;"输出",标准坦克设计!$B$23:$U$23,0)))*(VLOOKUP($B149,INDIRECT($B$5&amp;"生成成长"),3))*(VLOOKUP($B$5,标准坦克设计!$B$14:$K$20,9)/30))</f>
        <v>25.659361768792859</v>
      </c>
      <c r="FE149" s="172">
        <f ca="1">(VLOOKUP(FE$72,INDIRECT($C$5&amp;"生成成长"),2))/((VLOOKUP($B149,INDIRECT($B$5&amp;"生成成长"),4))/(VLOOKUP(FE$72,INDIRECT($C$5&amp;"生成成长"),5))*(VLOOKUP($B$5,标准坦克设计!$B$24:$U$30,MATCH("对"&amp;LEFT($C$5,2)&amp;"输出",标准坦克设计!$B$23:$U$23,0)))*(VLOOKUP($B149,INDIRECT($B$5&amp;"生成成长"),3))*(VLOOKUP($B$5,标准坦克设计!$B$14:$K$20,9)/30))</f>
        <v>27.393975644163078</v>
      </c>
      <c r="FF149" s="172">
        <f ca="1">(VLOOKUP(FF$72,INDIRECT($C$5&amp;"生成成长"),2))/((VLOOKUP($B149,INDIRECT($B$5&amp;"生成成长"),4))/(VLOOKUP(FF$72,INDIRECT($C$5&amp;"生成成长"),5))*(VLOOKUP($B$5,标准坦克设计!$B$24:$U$30,MATCH("对"&amp;LEFT($C$5,2)&amp;"输出",标准坦克设计!$B$23:$U$23,0)))*(VLOOKUP($B149,INDIRECT($B$5&amp;"生成成长"),3))*(VLOOKUP($B$5,标准坦克设计!$B$14:$K$20,9)/30))</f>
        <v>29.185319029922763</v>
      </c>
      <c r="FG149" s="172">
        <f ca="1">(VLOOKUP(FG$72,INDIRECT($C$5&amp;"生成成长"),2))/((VLOOKUP($B149,INDIRECT($B$5&amp;"生成成长"),4))/(VLOOKUP(FG$72,INDIRECT($C$5&amp;"生成成长"),5))*(VLOOKUP($B$5,标准坦克设计!$B$24:$U$30,MATCH("对"&amp;LEFT($C$5,2)&amp;"输出",标准坦克设计!$B$23:$U$23,0)))*(VLOOKUP($B149,INDIRECT($B$5&amp;"生成成长"),3))*(VLOOKUP($B$5,标准坦克设计!$B$14:$K$20,9)/30))</f>
        <v>31.033391926071907</v>
      </c>
      <c r="FH149" s="172">
        <f ca="1">(VLOOKUP(FH$72,INDIRECT($C$5&amp;"生成成长"),2))/((VLOOKUP($B149,INDIRECT($B$5&amp;"生成成长"),4))/(VLOOKUP(FH$72,INDIRECT($C$5&amp;"生成成长"),5))*(VLOOKUP($B$5,标准坦克设计!$B$24:$U$30,MATCH("对"&amp;LEFT($C$5,2)&amp;"输出",标准坦克设计!$B$23:$U$23,0)))*(VLOOKUP($B149,INDIRECT($B$5&amp;"生成成长"),3))*(VLOOKUP($B$5,标准坦克设计!$B$14:$K$20,9)/30))</f>
        <v>32.938194332610529</v>
      </c>
      <c r="FI149" s="172">
        <f ca="1">(VLOOKUP(FI$72,INDIRECT($C$5&amp;"生成成长"),2))/((VLOOKUP($B149,INDIRECT($B$5&amp;"生成成长"),4))/(VLOOKUP(FI$72,INDIRECT($C$5&amp;"生成成长"),5))*(VLOOKUP($B$5,标准坦克设计!$B$24:$U$30,MATCH("对"&amp;LEFT($C$5,2)&amp;"输出",标准坦克设计!$B$23:$U$23,0)))*(VLOOKUP($B149,INDIRECT($B$5&amp;"生成成长"),3))*(VLOOKUP($B$5,标准坦克设计!$B$14:$K$20,9)/30))</f>
        <v>34.89972624953861</v>
      </c>
      <c r="FJ149" s="172">
        <f ca="1">(VLOOKUP(FJ$72,INDIRECT($C$5&amp;"生成成长"),2))/((VLOOKUP($B149,INDIRECT($B$5&amp;"生成成长"),4))/(VLOOKUP(FJ$72,INDIRECT($C$5&amp;"生成成长"),5))*(VLOOKUP($B$5,标准坦克设计!$B$24:$U$30,MATCH("对"&amp;LEFT($C$5,2)&amp;"输出",标准坦克设计!$B$23:$U$23,0)))*(VLOOKUP($B149,INDIRECT($B$5&amp;"生成成长"),3))*(VLOOKUP($B$5,标准坦克设计!$B$14:$K$20,9)/30))</f>
        <v>36.917987676856164</v>
      </c>
      <c r="FK149" s="172">
        <f ca="1">(VLOOKUP(FK$72,INDIRECT($C$5&amp;"生成成长"),2))/((VLOOKUP($B149,INDIRECT($B$5&amp;"生成成长"),4))/(VLOOKUP(FK$72,INDIRECT($C$5&amp;"生成成长"),5))*(VLOOKUP($B$5,标准坦克设计!$B$24:$U$30,MATCH("对"&amp;LEFT($C$5,2)&amp;"输出",标准坦克设计!$B$23:$U$23,0)))*(VLOOKUP($B149,INDIRECT($B$5&amp;"生成成长"),3))*(VLOOKUP($B$5,标准坦克设计!$B$14:$K$20,9)/30))</f>
        <v>38.992978614563164</v>
      </c>
    </row>
    <row r="150" spans="1:167" x14ac:dyDescent="0.15">
      <c r="A150" s="170" t="str">
        <f t="shared" si="12"/>
        <v>T4中品质6级</v>
      </c>
      <c r="B150" s="171">
        <v>20406</v>
      </c>
      <c r="C150" s="172">
        <f ca="1">(VLOOKUP(C$72,INDIRECT($C$5&amp;"生成成长"),2))/((VLOOKUP($B150,INDIRECT($B$5&amp;"生成成长"),4))/(VLOOKUP(C$72,INDIRECT($C$5&amp;"生成成长"),5))*(VLOOKUP($B$5,标准坦克设计!$B$24:$U$30,MATCH("对"&amp;LEFT($C$5,2)&amp;"输出",标准坦克设计!$B$23:$U$23,0)))*(VLOOKUP($B150,INDIRECT($B$5&amp;"生成成长"),3))*(VLOOKUP($B$5,标准坦克设计!$B$14:$K$20,9)/30))</f>
        <v>1.5451399310749112</v>
      </c>
      <c r="D150" s="172">
        <f ca="1">(VLOOKUP(D$72,INDIRECT($C$5&amp;"生成成长"),2))/((VLOOKUP($B150,INDIRECT($B$5&amp;"生成成长"),4))/(VLOOKUP(D$72,INDIRECT($C$5&amp;"生成成长"),5))*(VLOOKUP($B$5,标准坦克设计!$B$24:$U$30,MATCH("对"&amp;LEFT($C$5,2)&amp;"输出",标准坦克设计!$B$23:$U$23,0)))*(VLOOKUP($B150,INDIRECT($B$5&amp;"生成成长"),3))*(VLOOKUP($B$5,标准坦克设计!$B$14:$K$20,9)/30))</f>
        <v>1.7361192265557706</v>
      </c>
      <c r="E150" s="172">
        <f ca="1">(VLOOKUP(E$72,INDIRECT($C$5&amp;"生成成长"),2))/((VLOOKUP($B150,INDIRECT($B$5&amp;"生成成长"),4))/(VLOOKUP(E$72,INDIRECT($C$5&amp;"生成成长"),5))*(VLOOKUP($B$5,标准坦克设计!$B$24:$U$30,MATCH("对"&amp;LEFT($C$5,2)&amp;"输出",标准坦克设计!$B$23:$U$23,0)))*(VLOOKUP($B150,INDIRECT($B$5&amp;"生成成长"),3))*(VLOOKUP($B$5,标准坦克设计!$B$14:$K$20,9)/30))</f>
        <v>1.9382235295403694</v>
      </c>
      <c r="F150" s="172">
        <f ca="1">(VLOOKUP(F$72,INDIRECT($C$5&amp;"生成成长"),2))/((VLOOKUP($B150,INDIRECT($B$5&amp;"生成成长"),4))/(VLOOKUP(F$72,INDIRECT($C$5&amp;"生成成长"),5))*(VLOOKUP($B$5,标准坦克设计!$B$24:$U$30,MATCH("对"&amp;LEFT($C$5,2)&amp;"输出",标准坦克设计!$B$23:$U$23,0)))*(VLOOKUP($B150,INDIRECT($B$5&amp;"生成成长"),3))*(VLOOKUP($B$5,标准坦克设计!$B$14:$K$20,9)/30))</f>
        <v>2.1514528400287065</v>
      </c>
      <c r="G150" s="172">
        <f ca="1">(VLOOKUP(G$72,INDIRECT($C$5&amp;"生成成长"),2))/((VLOOKUP($B150,INDIRECT($B$5&amp;"生成成长"),4))/(VLOOKUP(G$72,INDIRECT($C$5&amp;"生成成长"),5))*(VLOOKUP($B$5,标准坦克设计!$B$24:$U$30,MATCH("对"&amp;LEFT($C$5,2)&amp;"输出",标准坦克设计!$B$23:$U$23,0)))*(VLOOKUP($B150,INDIRECT($B$5&amp;"生成成长"),3))*(VLOOKUP($B$5,标准坦克设计!$B$14:$K$20,9)/30))</f>
        <v>2.375807158020784</v>
      </c>
      <c r="H150" s="172">
        <f ca="1">(VLOOKUP(H$72,INDIRECT($C$5&amp;"生成成长"),2))/((VLOOKUP($B150,INDIRECT($B$5&amp;"生成成长"),4))/(VLOOKUP(H$72,INDIRECT($C$5&amp;"生成成长"),5))*(VLOOKUP($B$5,标准坦克设计!$B$24:$U$30,MATCH("对"&amp;LEFT($C$5,2)&amp;"输出",标准坦克设计!$B$23:$U$23,0)))*(VLOOKUP($B150,INDIRECT($B$5&amp;"生成成长"),3))*(VLOOKUP($B$5,标准坦克设计!$B$14:$K$20,9)/30))</f>
        <v>2.0791402912544008</v>
      </c>
      <c r="I150" s="172">
        <f ca="1">(VLOOKUP(I$72,INDIRECT($C$5&amp;"生成成长"),2))/((VLOOKUP($B150,INDIRECT($B$5&amp;"生成成长"),4))/(VLOOKUP(I$72,INDIRECT($C$5&amp;"生成成长"),5))*(VLOOKUP($B$5,标准坦克设计!$B$24:$U$30,MATCH("对"&amp;LEFT($C$5,2)&amp;"输出",标准坦克设计!$B$23:$U$23,0)))*(VLOOKUP($B150,INDIRECT($B$5&amp;"生成成长"),3))*(VLOOKUP($B$5,标准坦克设计!$B$14:$K$20,9)/30))</f>
        <v>2.375807158020784</v>
      </c>
      <c r="J150" s="172">
        <f ca="1">(VLOOKUP(J$72,INDIRECT($C$5&amp;"生成成长"),2))/((VLOOKUP($B150,INDIRECT($B$5&amp;"生成成长"),4))/(VLOOKUP(J$72,INDIRECT($C$5&amp;"生成成长"),5))*(VLOOKUP($B$5,标准坦克设计!$B$24:$U$30,MATCH("对"&amp;LEFT($C$5,2)&amp;"输出",标准坦克设计!$B$23:$U$23,0)))*(VLOOKUP($B150,INDIRECT($B$5&amp;"生成成长"),3))*(VLOOKUP($B$5,标准坦克设计!$B$14:$K$20,9)/30))</f>
        <v>2.6922518159049256</v>
      </c>
      <c r="K150" s="172">
        <f ca="1">(VLOOKUP(K$72,INDIRECT($C$5&amp;"生成成长"),2))/((VLOOKUP($B150,INDIRECT($B$5&amp;"生成成长"),4))/(VLOOKUP(K$72,INDIRECT($C$5&amp;"生成成长"),5))*(VLOOKUP($B$5,标准坦克设计!$B$24:$U$30,MATCH("对"&amp;LEFT($C$5,2)&amp;"输出",标准坦克设计!$B$23:$U$23,0)))*(VLOOKUP($B150,INDIRECT($B$5&amp;"生成成长"),3))*(VLOOKUP($B$5,标准坦克设计!$B$14:$K$20,9)/30))</f>
        <v>3.0284742649068259</v>
      </c>
      <c r="L150" s="172">
        <f ca="1">(VLOOKUP(L$72,INDIRECT($C$5&amp;"生成成长"),2))/((VLOOKUP($B150,INDIRECT($B$5&amp;"生成成长"),4))/(VLOOKUP(L$72,INDIRECT($C$5&amp;"生成成长"),5))*(VLOOKUP($B$5,标准坦克设计!$B$24:$U$30,MATCH("对"&amp;LEFT($C$5,2)&amp;"输出",标准坦克设计!$B$23:$U$23,0)))*(VLOOKUP($B150,INDIRECT($B$5&amp;"生成成长"),3))*(VLOOKUP($B$5,标准坦克设计!$B$14:$K$20,9)/30))</f>
        <v>3.3844745050264859</v>
      </c>
      <c r="M150" s="172">
        <f ca="1">(VLOOKUP(M$72,INDIRECT($C$5&amp;"生成成长"),2))/((VLOOKUP($B150,INDIRECT($B$5&amp;"生成成长"),4))/(VLOOKUP(M$72,INDIRECT($C$5&amp;"生成成长"),5))*(VLOOKUP($B$5,标准坦克设计!$B$24:$U$30,MATCH("对"&amp;LEFT($C$5,2)&amp;"输出",标准坦克设计!$B$23:$U$23,0)))*(VLOOKUP($B150,INDIRECT($B$5&amp;"生成成长"),3))*(VLOOKUP($B$5,标准坦克设计!$B$14:$K$20,9)/30))</f>
        <v>3.7602525362639048</v>
      </c>
      <c r="N150" s="172">
        <f ca="1">(VLOOKUP(N$72,INDIRECT($C$5&amp;"生成成长"),2))/((VLOOKUP($B150,INDIRECT($B$5&amp;"生成成长"),4))/(VLOOKUP(N$72,INDIRECT($C$5&amp;"生成成长"),5))*(VLOOKUP($B$5,标准坦克设计!$B$24:$U$30,MATCH("对"&amp;LEFT($C$5,2)&amp;"输出",标准坦克设计!$B$23:$U$23,0)))*(VLOOKUP($B150,INDIRECT($B$5&amp;"生成成长"),3))*(VLOOKUP($B$5,标准坦克设计!$B$14:$K$20,9)/30))</f>
        <v>4.1558083586190824</v>
      </c>
      <c r="O150" s="172">
        <f ca="1">(VLOOKUP(O$72,INDIRECT($C$5&amp;"生成成长"),2))/((VLOOKUP($B150,INDIRECT($B$5&amp;"生成成长"),4))/(VLOOKUP(O$72,INDIRECT($C$5&amp;"生成成长"),5))*(VLOOKUP($B$5,标准坦克设计!$B$24:$U$30,MATCH("对"&amp;LEFT($C$5,2)&amp;"输出",标准坦克设计!$B$23:$U$23,0)))*(VLOOKUP($B150,INDIRECT($B$5&amp;"生成成长"),3))*(VLOOKUP($B$5,标准坦克设计!$B$14:$K$20,9)/30))</f>
        <v>3.1596566450550863</v>
      </c>
      <c r="P150" s="172">
        <f ca="1">(VLOOKUP(P$72,INDIRECT($C$5&amp;"生成成长"),2))/((VLOOKUP($B150,INDIRECT($B$5&amp;"生成成长"),4))/(VLOOKUP(P$72,INDIRECT($C$5&amp;"生成成长"),5))*(VLOOKUP($B$5,标准坦克设计!$B$24:$U$30,MATCH("对"&amp;LEFT($C$5,2)&amp;"输出",标准坦克设计!$B$23:$U$23,0)))*(VLOOKUP($B150,INDIRECT($B$5&amp;"生成成长"),3))*(VLOOKUP($B$5,标准坦克设计!$B$14:$K$20,9)/30))</f>
        <v>3.569891296755475</v>
      </c>
      <c r="Q150" s="172">
        <f ca="1">(VLOOKUP(Q$72,INDIRECT($C$5&amp;"生成成长"),2))/((VLOOKUP($B150,INDIRECT($B$5&amp;"生成成长"),4))/(VLOOKUP(Q$72,INDIRECT($C$5&amp;"生成成长"),5))*(VLOOKUP($B$5,标准坦克设计!$B$24:$U$30,MATCH("对"&amp;LEFT($C$5,2)&amp;"输出",标准坦克设计!$B$23:$U$23,0)))*(VLOOKUP($B150,INDIRECT($B$5&amp;"生成成长"),3))*(VLOOKUP($B$5,标准坦克设计!$B$14:$K$20,9)/30))</f>
        <v>4.0051572153392767</v>
      </c>
      <c r="R150" s="172">
        <f ca="1">(VLOOKUP(R$72,INDIRECT($C$5&amp;"生成成长"),2))/((VLOOKUP($B150,INDIRECT($B$5&amp;"生成成长"),4))/(VLOOKUP(R$72,INDIRECT($C$5&amp;"生成成长"),5))*(VLOOKUP($B$5,标准坦克设计!$B$24:$U$30,MATCH("对"&amp;LEFT($C$5,2)&amp;"输出",标准坦克设计!$B$23:$U$23,0)))*(VLOOKUP($B150,INDIRECT($B$5&amp;"生成成长"),3))*(VLOOKUP($B$5,标准坦克设计!$B$14:$K$20,9)/30))</f>
        <v>4.4654544008064949</v>
      </c>
      <c r="S150" s="172">
        <f ca="1">(VLOOKUP(S$72,INDIRECT($C$5&amp;"生成成长"),2))/((VLOOKUP($B150,INDIRECT($B$5&amp;"生成成长"),4))/(VLOOKUP(S$72,INDIRECT($C$5&amp;"生成成长"),5))*(VLOOKUP($B$5,标准坦克设计!$B$24:$U$30,MATCH("对"&amp;LEFT($C$5,2)&amp;"输出",标准坦克设计!$B$23:$U$23,0)))*(VLOOKUP($B150,INDIRECT($B$5&amp;"生成成长"),3))*(VLOOKUP($B$5,标准坦克设计!$B$14:$K$20,9)/30))</f>
        <v>4.9507828531571239</v>
      </c>
      <c r="T150" s="172">
        <f ca="1">(VLOOKUP(T$72,INDIRECT($C$5&amp;"生成成长"),2))/((VLOOKUP($B150,INDIRECT($B$5&amp;"生成成长"),4))/(VLOOKUP(T$72,INDIRECT($C$5&amp;"生成成长"),5))*(VLOOKUP($B$5,标准坦克设计!$B$24:$U$30,MATCH("对"&amp;LEFT($C$5,2)&amp;"输出",标准坦克设计!$B$23:$U$23,0)))*(VLOOKUP($B150,INDIRECT($B$5&amp;"生成成长"),3))*(VLOOKUP($B$5,标准坦克设计!$B$14:$K$20,9)/30))</f>
        <v>5.4611425723911662</v>
      </c>
      <c r="U150" s="172">
        <f ca="1">(VLOOKUP(U$72,INDIRECT($C$5&amp;"生成成长"),2))/((VLOOKUP($B150,INDIRECT($B$5&amp;"生成成长"),4))/(VLOOKUP(U$72,INDIRECT($C$5&amp;"生成成长"),5))*(VLOOKUP($B$5,标准坦克设计!$B$24:$U$30,MATCH("对"&amp;LEFT($C$5,2)&amp;"输出",标准坦克设计!$B$23:$U$23,0)))*(VLOOKUP($B150,INDIRECT($B$5&amp;"生成成长"),3))*(VLOOKUP($B$5,标准坦克设计!$B$14:$K$20,9)/30))</f>
        <v>5.9965335585086237</v>
      </c>
      <c r="V150" s="172">
        <f ca="1">(VLOOKUP(V$72,INDIRECT($C$5&amp;"生成成长"),2))/((VLOOKUP($B150,INDIRECT($B$5&amp;"生成成长"),4))/(VLOOKUP(V$72,INDIRECT($C$5&amp;"生成成长"),5))*(VLOOKUP($B$5,标准坦克设计!$B$24:$U$30,MATCH("对"&amp;LEFT($C$5,2)&amp;"输出",标准坦克设计!$B$23:$U$23,0)))*(VLOOKUP($B150,INDIRECT($B$5&amp;"生成成长"),3))*(VLOOKUP($B$5,标准坦克设计!$B$14:$K$20,9)/30))</f>
        <v>6.5569558115094946</v>
      </c>
      <c r="W150" s="172">
        <f ca="1">(VLOOKUP(W$72,INDIRECT($C$5&amp;"生成成长"),2))/((VLOOKUP($B150,INDIRECT($B$5&amp;"生成成长"),4))/(VLOOKUP(W$72,INDIRECT($C$5&amp;"生成成长"),5))*(VLOOKUP($B$5,标准坦克设计!$B$24:$U$30,MATCH("对"&amp;LEFT($C$5,2)&amp;"输出",标准坦克设计!$B$23:$U$23,0)))*(VLOOKUP($B150,INDIRECT($B$5&amp;"生成成长"),3))*(VLOOKUP($B$5,标准坦克设计!$B$14:$K$20,9)/30))</f>
        <v>7.1424093313937789</v>
      </c>
      <c r="X150" s="172">
        <f ca="1">(VLOOKUP(X$72,INDIRECT($C$5&amp;"生成成长"),2))/((VLOOKUP($B150,INDIRECT($B$5&amp;"生成成长"),4))/(VLOOKUP(X$72,INDIRECT($C$5&amp;"生成成长"),5))*(VLOOKUP($B$5,标准坦克设计!$B$24:$U$30,MATCH("对"&amp;LEFT($C$5,2)&amp;"输出",标准坦克设计!$B$23:$U$23,0)))*(VLOOKUP($B150,INDIRECT($B$5&amp;"生成成长"),3))*(VLOOKUP($B$5,标准坦克设计!$B$14:$K$20,9)/30))</f>
        <v>5.1745191151767713</v>
      </c>
      <c r="Y150" s="172">
        <f ca="1">(VLOOKUP(Y$72,INDIRECT($C$5&amp;"生成成长"),2))/((VLOOKUP($B150,INDIRECT($B$5&amp;"生成成长"),4))/(VLOOKUP(Y$72,INDIRECT($C$5&amp;"生成成长"),5))*(VLOOKUP($B$5,标准坦克设计!$B$24:$U$30,MATCH("对"&amp;LEFT($C$5,2)&amp;"输出",标准坦克设计!$B$23:$U$23,0)))*(VLOOKUP($B150,INDIRECT($B$5&amp;"生成成长"),3))*(VLOOKUP($B$5,标准坦克设计!$B$14:$K$20,9)/30))</f>
        <v>5.755491729260938</v>
      </c>
      <c r="Z150" s="172">
        <f ca="1">(VLOOKUP(Z$72,INDIRECT($C$5&amp;"生成成长"),2))/((VLOOKUP($B150,INDIRECT($B$5&amp;"生成成长"),4))/(VLOOKUP(Z$72,INDIRECT($C$5&amp;"生成成长"),5))*(VLOOKUP($B$5,标准坦克设计!$B$24:$U$30,MATCH("对"&amp;LEFT($C$5,2)&amp;"输出",标准坦克设计!$B$23:$U$23,0)))*(VLOOKUP($B150,INDIRECT($B$5&amp;"生成成长"),3))*(VLOOKUP($B$5,标准坦克设计!$B$14:$K$20,9)/30))</f>
        <v>6.3673671419666027</v>
      </c>
      <c r="AA150" s="172">
        <f ca="1">(VLOOKUP(AA$72,INDIRECT($C$5&amp;"生成成长"),2))/((VLOOKUP($B150,INDIRECT($B$5&amp;"生成成长"),4))/(VLOOKUP(AA$72,INDIRECT($C$5&amp;"生成成长"),5))*(VLOOKUP($B$5,标准坦克设计!$B$24:$U$30,MATCH("对"&amp;LEFT($C$5,2)&amp;"输出",标准坦克设计!$B$23:$U$23,0)))*(VLOOKUP($B150,INDIRECT($B$5&amp;"生成成长"),3))*(VLOOKUP($B$5,标准坦克设计!$B$14:$K$20,9)/30))</f>
        <v>7.0101453532937654</v>
      </c>
      <c r="AB150" s="172">
        <f ca="1">(VLOOKUP(AB$72,INDIRECT($C$5&amp;"生成成长"),2))/((VLOOKUP($B150,INDIRECT($B$5&amp;"生成成长"),4))/(VLOOKUP(AB$72,INDIRECT($C$5&amp;"生成成长"),5))*(VLOOKUP($B$5,标准坦克设计!$B$24:$U$30,MATCH("对"&amp;LEFT($C$5,2)&amp;"输出",标准坦克设计!$B$23:$U$23,0)))*(VLOOKUP($B150,INDIRECT($B$5&amp;"生成成长"),3))*(VLOOKUP($B$5,标准坦克设计!$B$14:$K$20,9)/30))</f>
        <v>7.6838263632424271</v>
      </c>
      <c r="AC150" s="172">
        <f ca="1">(VLOOKUP(AC$72,INDIRECT($C$5&amp;"生成成长"),2))/((VLOOKUP($B150,INDIRECT($B$5&amp;"生成成长"),4))/(VLOOKUP(AC$72,INDIRECT($C$5&amp;"生成成长"),5))*(VLOOKUP($B$5,标准坦克设计!$B$24:$U$30,MATCH("对"&amp;LEFT($C$5,2)&amp;"输出",标准坦克设计!$B$23:$U$23,0)))*(VLOOKUP($B150,INDIRECT($B$5&amp;"生成成长"),3))*(VLOOKUP($B$5,标准坦克设计!$B$14:$K$20,9)/30))</f>
        <v>8.3884101718125876</v>
      </c>
      <c r="AD150" s="172">
        <f ca="1">(VLOOKUP(AD$72,INDIRECT($C$5&amp;"生成成长"),2))/((VLOOKUP($B150,INDIRECT($B$5&amp;"生成成长"),4))/(VLOOKUP(AD$72,INDIRECT($C$5&amp;"生成成长"),5))*(VLOOKUP($B$5,标准坦克设计!$B$24:$U$30,MATCH("对"&amp;LEFT($C$5,2)&amp;"输出",标准坦克设计!$B$23:$U$23,0)))*(VLOOKUP($B150,INDIRECT($B$5&amp;"生成成长"),3))*(VLOOKUP($B$5,标准坦克设计!$B$14:$K$20,9)/30))</f>
        <v>9.1238967790042427</v>
      </c>
      <c r="AE150" s="172">
        <f ca="1">(VLOOKUP(AE$72,INDIRECT($C$5&amp;"生成成长"),2))/((VLOOKUP($B150,INDIRECT($B$5&amp;"生成成长"),4))/(VLOOKUP(AE$72,INDIRECT($C$5&amp;"生成成长"),5))*(VLOOKUP($B$5,标准坦克设计!$B$24:$U$30,MATCH("对"&amp;LEFT($C$5,2)&amp;"输出",标准坦克设计!$B$23:$U$23,0)))*(VLOOKUP($B150,INDIRECT($B$5&amp;"生成成长"),3))*(VLOOKUP($B$5,标准坦克设计!$B$14:$K$20,9)/30))</f>
        <v>9.8902861848174002</v>
      </c>
      <c r="AF150" s="172">
        <f ca="1">(VLOOKUP(AF$72,INDIRECT($C$5&amp;"生成成长"),2))/((VLOOKUP($B150,INDIRECT($B$5&amp;"生成成长"),4))/(VLOOKUP(AF$72,INDIRECT($C$5&amp;"生成成长"),5))*(VLOOKUP($B$5,标准坦克设计!$B$24:$U$30,MATCH("对"&amp;LEFT($C$5,2)&amp;"输出",标准坦克设计!$B$23:$U$23,0)))*(VLOOKUP($B150,INDIRECT($B$5&amp;"生成成长"),3))*(VLOOKUP($B$5,标准坦克设计!$B$14:$K$20,9)/30))</f>
        <v>10.687578389252053</v>
      </c>
      <c r="AG150" s="172">
        <f ca="1">(VLOOKUP(AG$72,INDIRECT($C$5&amp;"生成成长"),2))/((VLOOKUP($B150,INDIRECT($B$5&amp;"生成成长"),4))/(VLOOKUP(AG$72,INDIRECT($C$5&amp;"生成成长"),5))*(VLOOKUP($B$5,标准坦克设计!$B$24:$U$30,MATCH("对"&amp;LEFT($C$5,2)&amp;"输出",标准坦克设计!$B$23:$U$23,0)))*(VLOOKUP($B150,INDIRECT($B$5&amp;"生成成长"),3))*(VLOOKUP($B$5,标准坦克设计!$B$14:$K$20,9)/30))</f>
        <v>11.515773392308208</v>
      </c>
      <c r="AH150" s="172">
        <f ca="1">(VLOOKUP(AH$72,INDIRECT($C$5&amp;"生成成长"),2))/((VLOOKUP($B150,INDIRECT($B$5&amp;"生成成长"),4))/(VLOOKUP(AH$72,INDIRECT($C$5&amp;"生成成长"),5))*(VLOOKUP($B$5,标准坦克设计!$B$24:$U$30,MATCH("对"&amp;LEFT($C$5,2)&amp;"输出",标准坦克设计!$B$23:$U$23,0)))*(VLOOKUP($B150,INDIRECT($B$5&amp;"生成成长"),3))*(VLOOKUP($B$5,标准坦克设计!$B$14:$K$20,9)/30))</f>
        <v>12.374871193985859</v>
      </c>
      <c r="AI150" s="172">
        <f ca="1">(VLOOKUP(AI$72,INDIRECT($C$5&amp;"生成成长"),2))/((VLOOKUP($B150,INDIRECT($B$5&amp;"生成成长"),4))/(VLOOKUP(AI$72,INDIRECT($C$5&amp;"生成成长"),5))*(VLOOKUP($B$5,标准坦克设计!$B$24:$U$30,MATCH("对"&amp;LEFT($C$5,2)&amp;"输出",标准坦克设计!$B$23:$U$23,0)))*(VLOOKUP($B150,INDIRECT($B$5&amp;"生成成长"),3))*(VLOOKUP($B$5,标准坦克设计!$B$14:$K$20,9)/30))</f>
        <v>8.7522906255807271</v>
      </c>
      <c r="AJ150" s="172">
        <f ca="1">(VLOOKUP(AJ$72,INDIRECT($C$5&amp;"生成成长"),2))/((VLOOKUP($B150,INDIRECT($B$5&amp;"生成成长"),4))/(VLOOKUP(AJ$72,INDIRECT($C$5&amp;"生成成长"),5))*(VLOOKUP($B$5,标准坦克设计!$B$24:$U$30,MATCH("对"&amp;LEFT($C$5,2)&amp;"输出",标准坦克设计!$B$23:$U$23,0)))*(VLOOKUP($B150,INDIRECT($B$5&amp;"生成成长"),3))*(VLOOKUP($B$5,标准坦克设计!$B$14:$K$20,9)/30))</f>
        <v>9.5800220866575572</v>
      </c>
      <c r="AK150" s="172">
        <f ca="1">(VLOOKUP(AK$72,INDIRECT($C$5&amp;"生成成长"),2))/((VLOOKUP($B150,INDIRECT($B$5&amp;"生成成长"),4))/(VLOOKUP(AK$72,INDIRECT($C$5&amp;"生成成长"),5))*(VLOOKUP($B$5,标准坦克设计!$B$24:$U$30,MATCH("对"&amp;LEFT($C$5,2)&amp;"输出",标准坦克设计!$B$23:$U$23,0)))*(VLOOKUP($B150,INDIRECT($B$5&amp;"生成成长"),3))*(VLOOKUP($B$5,标准坦克设计!$B$14:$K$20,9)/30))</f>
        <v>10.445145934066401</v>
      </c>
      <c r="AL150" s="172">
        <f ca="1">(VLOOKUP(AL$72,INDIRECT($C$5&amp;"生成成长"),2))/((VLOOKUP($B150,INDIRECT($B$5&amp;"生成成长"),4))/(VLOOKUP(AL$72,INDIRECT($C$5&amp;"生成成长"),5))*(VLOOKUP($B$5,标准坦克设计!$B$24:$U$30,MATCH("对"&amp;LEFT($C$5,2)&amp;"输出",标准坦克设计!$B$23:$U$23,0)))*(VLOOKUP($B150,INDIRECT($B$5&amp;"生成成长"),3))*(VLOOKUP($B$5,标准坦克设计!$B$14:$K$20,9)/30))</f>
        <v>11.347662167807254</v>
      </c>
      <c r="AM150" s="172">
        <f ca="1">(VLOOKUP(AM$72,INDIRECT($C$5&amp;"生成成长"),2))/((VLOOKUP($B150,INDIRECT($B$5&amp;"生成成长"),4))/(VLOOKUP(AM$72,INDIRECT($C$5&amp;"生成成长"),5))*(VLOOKUP($B$5,标准坦克设计!$B$24:$U$30,MATCH("对"&amp;LEFT($C$5,2)&amp;"输出",标准坦克设计!$B$23:$U$23,0)))*(VLOOKUP($B150,INDIRECT($B$5&amp;"生成成长"),3))*(VLOOKUP($B$5,标准坦克设计!$B$14:$K$20,9)/30))</f>
        <v>12.287570787880124</v>
      </c>
      <c r="AN150" s="172">
        <f ca="1">(VLOOKUP(AN$72,INDIRECT($C$5&amp;"生成成长"),2))/((VLOOKUP($B150,INDIRECT($B$5&amp;"生成成长"),4))/(VLOOKUP(AN$72,INDIRECT($C$5&amp;"生成成长"),5))*(VLOOKUP($B$5,标准坦克设计!$B$24:$U$30,MATCH("对"&amp;LEFT($C$5,2)&amp;"输出",标准坦克设计!$B$23:$U$23,0)))*(VLOOKUP($B150,INDIRECT($B$5&amp;"生成成长"),3))*(VLOOKUP($B$5,标准坦克设计!$B$14:$K$20,9)/30))</f>
        <v>13.264871794285005</v>
      </c>
      <c r="AO150" s="172">
        <f ca="1">(VLOOKUP(AO$72,INDIRECT($C$5&amp;"生成成长"),2))/((VLOOKUP($B150,INDIRECT($B$5&amp;"生成成长"),4))/(VLOOKUP(AO$72,INDIRECT($C$5&amp;"生成成长"),5))*(VLOOKUP($B$5,标准坦克设计!$B$24:$U$30,MATCH("对"&amp;LEFT($C$5,2)&amp;"输出",标准坦克设计!$B$23:$U$23,0)))*(VLOOKUP($B150,INDIRECT($B$5&amp;"生成成长"),3))*(VLOOKUP($B$5,标准坦克设计!$B$14:$K$20,9)/30))</f>
        <v>14.2795651870219</v>
      </c>
      <c r="AP150" s="172">
        <f ca="1">(VLOOKUP(AP$72,INDIRECT($C$5&amp;"生成成长"),2))/((VLOOKUP($B150,INDIRECT($B$5&amp;"生成成长"),4))/(VLOOKUP(AP$72,INDIRECT($C$5&amp;"生成成长"),5))*(VLOOKUP($B$5,标准坦克设计!$B$24:$U$30,MATCH("对"&amp;LEFT($C$5,2)&amp;"输出",标准坦克设计!$B$23:$U$23,0)))*(VLOOKUP($B150,INDIRECT($B$5&amp;"生成成长"),3))*(VLOOKUP($B$5,标准坦克设计!$B$14:$K$20,9)/30))</f>
        <v>15.331650966090809</v>
      </c>
      <c r="AQ150" s="172">
        <f ca="1">(VLOOKUP(AQ$72,INDIRECT($C$5&amp;"生成成长"),2))/((VLOOKUP($B150,INDIRECT($B$5&amp;"生成成长"),4))/(VLOOKUP(AQ$72,INDIRECT($C$5&amp;"生成成长"),5))*(VLOOKUP($B$5,标准坦克设计!$B$24:$U$30,MATCH("对"&amp;LEFT($C$5,2)&amp;"输出",标准坦克设计!$B$23:$U$23,0)))*(VLOOKUP($B150,INDIRECT($B$5&amp;"生成成长"),3))*(VLOOKUP($B$5,标准坦克设计!$B$14:$K$20,9)/30))</f>
        <v>16.421129131491728</v>
      </c>
      <c r="AR150" s="172">
        <f ca="1">(VLOOKUP(AR$72,INDIRECT($C$5&amp;"生成成长"),2))/((VLOOKUP($B150,INDIRECT($B$5&amp;"生成成长"),4))/(VLOOKUP(AR$72,INDIRECT($C$5&amp;"生成成长"),5))*(VLOOKUP($B$5,标准坦克设计!$B$24:$U$30,MATCH("对"&amp;LEFT($C$5,2)&amp;"输出",标准坦克设计!$B$23:$U$23,0)))*(VLOOKUP($B150,INDIRECT($B$5&amp;"生成成长"),3))*(VLOOKUP($B$5,标准坦克设计!$B$14:$K$20,9)/30))</f>
        <v>17.547999683224663</v>
      </c>
      <c r="AS150" s="172">
        <f ca="1">(VLOOKUP(AS$72,INDIRECT($C$5&amp;"生成成长"),2))/((VLOOKUP($B150,INDIRECT($B$5&amp;"生成成长"),4))/(VLOOKUP(AS$72,INDIRECT($C$5&amp;"生成成长"),5))*(VLOOKUP($B$5,标准坦克设计!$B$24:$U$30,MATCH("对"&amp;LEFT($C$5,2)&amp;"输出",标准坦克设计!$B$23:$U$23,0)))*(VLOOKUP($B150,INDIRECT($B$5&amp;"生成成长"),3))*(VLOOKUP($B$5,标准坦克设计!$B$14:$K$20,9)/30))</f>
        <v>18.712262621289607</v>
      </c>
      <c r="AT150" s="172">
        <f ca="1">(VLOOKUP(AT$72,INDIRECT($C$5&amp;"生成成长"),2))/((VLOOKUP($B150,INDIRECT($B$5&amp;"生成成长"),4))/(VLOOKUP(AT$72,INDIRECT($C$5&amp;"生成成长"),5))*(VLOOKUP($B$5,标准坦克设计!$B$24:$U$30,MATCH("对"&amp;LEFT($C$5,2)&amp;"输出",标准坦克设计!$B$23:$U$23,0)))*(VLOOKUP($B150,INDIRECT($B$5&amp;"生成成长"),3))*(VLOOKUP($B$5,标准坦克设计!$B$14:$K$20,9)/30))</f>
        <v>19.913917945686563</v>
      </c>
      <c r="AU150" s="172">
        <f ca="1">(VLOOKUP(AU$72,INDIRECT($C$5&amp;"生成成长"),2))/((VLOOKUP($B150,INDIRECT($B$5&amp;"生成成长"),4))/(VLOOKUP(AU$72,INDIRECT($C$5&amp;"生成成长"),5))*(VLOOKUP($B$5,标准坦克设计!$B$24:$U$30,MATCH("对"&amp;LEFT($C$5,2)&amp;"输出",标准坦克设计!$B$23:$U$23,0)))*(VLOOKUP($B150,INDIRECT($B$5&amp;"生成成长"),3))*(VLOOKUP($B$5,标准坦克设计!$B$14:$K$20,9)/30))</f>
        <v>21.152965656415532</v>
      </c>
      <c r="AV150" s="172">
        <f ca="1">(VLOOKUP(AV$72,INDIRECT($C$5&amp;"生成成长"),2))/((VLOOKUP($B150,INDIRECT($B$5&amp;"生成成长"),4))/(VLOOKUP(AV$72,INDIRECT($C$5&amp;"生成成长"),5))*(VLOOKUP($B$5,标准坦克设计!$B$24:$U$30,MATCH("对"&amp;LEFT($C$5,2)&amp;"输出",标准坦克设计!$B$23:$U$23,0)))*(VLOOKUP($B150,INDIRECT($B$5&amp;"生成成长"),3))*(VLOOKUP($B$5,标准坦克设计!$B$14:$K$20,9)/30))</f>
        <v>2.1514528400287065</v>
      </c>
      <c r="AW150" s="172">
        <f ca="1">(VLOOKUP(AW$72,INDIRECT($C$5&amp;"生成成长"),2))/((VLOOKUP($B150,INDIRECT($B$5&amp;"生成成长"),4))/(VLOOKUP(AW$72,INDIRECT($C$5&amp;"生成成长"),5))*(VLOOKUP($B$5,标准坦克设计!$B$24:$U$30,MATCH("对"&amp;LEFT($C$5,2)&amp;"输出",标准坦克设计!$B$23:$U$23,0)))*(VLOOKUP($B150,INDIRECT($B$5&amp;"生成成长"),3))*(VLOOKUP($B$5,标准坦克设计!$B$14:$K$20,9)/30))</f>
        <v>2.4530641545745291</v>
      </c>
      <c r="AX150" s="172">
        <f ca="1">(VLOOKUP(AX$72,INDIRECT($C$5&amp;"生成成长"),2))/((VLOOKUP($B150,INDIRECT($B$5&amp;"生成成长"),4))/(VLOOKUP(AX$72,INDIRECT($C$5&amp;"生成成长"),5))*(VLOOKUP($B$5,标准坦克设计!$B$24:$U$30,MATCH("对"&amp;LEFT($C$5,2)&amp;"输出",标准坦克设计!$B$23:$U$23,0)))*(VLOOKUP($B150,INDIRECT($B$5&amp;"生成成长"),3))*(VLOOKUP($B$5,标准坦克设计!$B$14:$K$20,9)/30))</f>
        <v>2.7744532602381105</v>
      </c>
      <c r="AY150" s="172">
        <f ca="1">(VLOOKUP(AY$72,INDIRECT($C$5&amp;"生成成长"),2))/((VLOOKUP($B150,INDIRECT($B$5&amp;"生成成长"),4))/(VLOOKUP(AY$72,INDIRECT($C$5&amp;"生成成长"),5))*(VLOOKUP($B$5,标准坦克设计!$B$24:$U$30,MATCH("对"&amp;LEFT($C$5,2)&amp;"输出",标准坦克设计!$B$23:$U$23,0)))*(VLOOKUP($B150,INDIRECT($B$5&amp;"生成成长"),3))*(VLOOKUP($B$5,标准坦克设计!$B$14:$K$20,9)/30))</f>
        <v>3.1156201570194511</v>
      </c>
      <c r="AZ150" s="172">
        <f ca="1">(VLOOKUP(AZ$72,INDIRECT($C$5&amp;"生成成长"),2))/((VLOOKUP($B150,INDIRECT($B$5&amp;"生成成长"),4))/(VLOOKUP(AZ$72,INDIRECT($C$5&amp;"生成成长"),5))*(VLOOKUP($B$5,标准坦克设计!$B$24:$U$30,MATCH("对"&amp;LEFT($C$5,2)&amp;"输出",标准坦克设计!$B$23:$U$23,0)))*(VLOOKUP($B150,INDIRECT($B$5&amp;"生成成长"),3))*(VLOOKUP($B$5,标准坦克设计!$B$14:$K$20,9)/30))</f>
        <v>3.4765648449185509</v>
      </c>
      <c r="BA150" s="172">
        <f ca="1">(VLOOKUP(BA$72,INDIRECT($C$5&amp;"生成成长"),2))/((VLOOKUP($B150,INDIRECT($B$5&amp;"生成成长"),4))/(VLOOKUP(BA$72,INDIRECT($C$5&amp;"生成成长"),5))*(VLOOKUP($B$5,标准坦克设计!$B$24:$U$30,MATCH("对"&amp;LEFT($C$5,2)&amp;"输出",标准坦克设计!$B$23:$U$23,0)))*(VLOOKUP($B150,INDIRECT($B$5&amp;"生成成长"),3))*(VLOOKUP($B$5,标准坦克设计!$B$14:$K$20,9)/30))</f>
        <v>3.8572873239354091</v>
      </c>
      <c r="BB150" s="172">
        <f ca="1">(VLOOKUP(BB$72,INDIRECT($C$5&amp;"生成成长"),2))/((VLOOKUP($B150,INDIRECT($B$5&amp;"生成成长"),4))/(VLOOKUP(BB$72,INDIRECT($C$5&amp;"生成成长"),5))*(VLOOKUP($B$5,标准坦克设计!$B$24:$U$30,MATCH("对"&amp;LEFT($C$5,2)&amp;"输出",标准坦克设计!$B$23:$U$23,0)))*(VLOOKUP($B150,INDIRECT($B$5&amp;"生成成长"),3))*(VLOOKUP($B$5,标准坦克设计!$B$14:$K$20,9)/30))</f>
        <v>4.2577875940700256</v>
      </c>
      <c r="BC150" s="172">
        <f ca="1">(VLOOKUP(BC$72,INDIRECT($C$5&amp;"生成成长"),2))/((VLOOKUP($B150,INDIRECT($B$5&amp;"生成成长"),4))/(VLOOKUP(BC$72,INDIRECT($C$5&amp;"生成成长"),5))*(VLOOKUP($B$5,标准坦克设计!$B$24:$U$30,MATCH("对"&amp;LEFT($C$5,2)&amp;"输出",标准坦克设计!$B$23:$U$23,0)))*(VLOOKUP($B150,INDIRECT($B$5&amp;"生成成长"),3))*(VLOOKUP($B$5,标准坦克设计!$B$14:$K$20,9)/30))</f>
        <v>4.6780656553224018</v>
      </c>
      <c r="BD150" s="172">
        <f ca="1">(VLOOKUP(BD$72,INDIRECT($C$5&amp;"生成成长"),2))/((VLOOKUP($B150,INDIRECT($B$5&amp;"生成成长"),4))/(VLOOKUP(BD$72,INDIRECT($C$5&amp;"生成成长"),5))*(VLOOKUP($B$5,标准坦克设计!$B$24:$U$30,MATCH("对"&amp;LEFT($C$5,2)&amp;"输出",标准坦克设计!$B$23:$U$23,0)))*(VLOOKUP($B150,INDIRECT($B$5&amp;"生成成长"),3))*(VLOOKUP($B$5,标准坦克设计!$B$14:$K$20,9)/30))</f>
        <v>5.1745191151767713</v>
      </c>
      <c r="BE150" s="172">
        <f ca="1">(VLOOKUP(BE$72,INDIRECT($C$5&amp;"生成成长"),2))/((VLOOKUP($B150,INDIRECT($B$5&amp;"生成成长"),4))/(VLOOKUP(BE$72,INDIRECT($C$5&amp;"生成成长"),5))*(VLOOKUP($B$5,标准坦克设计!$B$24:$U$30,MATCH("对"&amp;LEFT($C$5,2)&amp;"输出",标准坦克设计!$B$23:$U$23,0)))*(VLOOKUP($B150,INDIRECT($B$5&amp;"生成成长"),3))*(VLOOKUP($B$5,标准坦克设计!$B$14:$K$20,9)/30))</f>
        <v>5.6960038419145542</v>
      </c>
      <c r="BF150" s="172">
        <f ca="1">(VLOOKUP(BF$72,INDIRECT($C$5&amp;"生成成长"),2))/((VLOOKUP($B150,INDIRECT($B$5&amp;"生成成长"),4))/(VLOOKUP(BF$72,INDIRECT($C$5&amp;"生成成长"),5))*(VLOOKUP($B$5,标准坦克设计!$B$24:$U$30,MATCH("对"&amp;LEFT($C$5,2)&amp;"输出",标准坦克设计!$B$23:$U$23,0)))*(VLOOKUP($B150,INDIRECT($B$5&amp;"生成成长"),3))*(VLOOKUP($B$5,标准坦克设计!$B$14:$K$20,9)/30))</f>
        <v>6.2425198355357487</v>
      </c>
      <c r="BG150" s="172">
        <f ca="1">(VLOOKUP(BG$72,INDIRECT($C$5&amp;"生成成长"),2))/((VLOOKUP($B150,INDIRECT($B$5&amp;"生成成长"),4))/(VLOOKUP(BG$72,INDIRECT($C$5&amp;"生成成长"),5))*(VLOOKUP($B$5,标准坦克设计!$B$24:$U$30,MATCH("对"&amp;LEFT($C$5,2)&amp;"输出",标准坦克设计!$B$23:$U$23,0)))*(VLOOKUP($B150,INDIRECT($B$5&amp;"生成成长"),3))*(VLOOKUP($B$5,标准坦克设计!$B$14:$K$20,9)/30))</f>
        <v>6.8140670960403593</v>
      </c>
      <c r="BH150" s="172">
        <f ca="1">(VLOOKUP(BH$72,INDIRECT($C$5&amp;"生成成长"),2))/((VLOOKUP($B150,INDIRECT($B$5&amp;"生成成长"),4))/(VLOOKUP(BH$72,INDIRECT($C$5&amp;"生成成长"),5))*(VLOOKUP($B$5,标准坦克设计!$B$24:$U$30,MATCH("对"&amp;LEFT($C$5,2)&amp;"输出",标准坦克设计!$B$23:$U$23,0)))*(VLOOKUP($B150,INDIRECT($B$5&amp;"生成成长"),3))*(VLOOKUP($B$5,标准坦克设计!$B$14:$K$20,9)/30))</f>
        <v>3.2936202770792811</v>
      </c>
      <c r="BI150" s="172">
        <f ca="1">(VLOOKUP(BI$72,INDIRECT($C$5&amp;"生成成长"),2))/((VLOOKUP($B150,INDIRECT($B$5&amp;"生成成长"),4))/(VLOOKUP(BI$72,INDIRECT($C$5&amp;"生成成长"),5))*(VLOOKUP($B$5,标准坦克设计!$B$24:$U$30,MATCH("对"&amp;LEFT($C$5,2)&amp;"输出",标准坦克设计!$B$23:$U$23,0)))*(VLOOKUP($B150,INDIRECT($B$5&amp;"生成成长"),3))*(VLOOKUP($B$5,标准坦克设计!$B$14:$K$20,9)/30))</f>
        <v>3.7121986844074741</v>
      </c>
      <c r="BJ150" s="172">
        <f ca="1">(VLOOKUP(BJ$72,INDIRECT($C$5&amp;"生成成长"),2))/((VLOOKUP($B150,INDIRECT($B$5&amp;"生成成长"),4))/(VLOOKUP(BJ$72,INDIRECT($C$5&amp;"生成成长"),5))*(VLOOKUP($B$5,标准坦克设计!$B$24:$U$30,MATCH("对"&amp;LEFT($C$5,2)&amp;"输出",标准坦克设计!$B$23:$U$23,0)))*(VLOOKUP($B150,INDIRECT($B$5&amp;"生成成长"),3))*(VLOOKUP($B$5,标准坦克设计!$B$14:$K$20,9)/30))</f>
        <v>4.1558083586190824</v>
      </c>
      <c r="BK150" s="172">
        <f ca="1">(VLOOKUP(BK$72,INDIRECT($C$5&amp;"生成成长"),2))/((VLOOKUP($B150,INDIRECT($B$5&amp;"生成成长"),4))/(VLOOKUP(BK$72,INDIRECT($C$5&amp;"生成成长"),5))*(VLOOKUP($B$5,标准坦克设计!$B$24:$U$30,MATCH("对"&amp;LEFT($C$5,2)&amp;"输出",标准坦克设计!$B$23:$U$23,0)))*(VLOOKUP($B150,INDIRECT($B$5&amp;"生成成长"),3))*(VLOOKUP($B$5,标准坦克设计!$B$14:$K$20,9)/30))</f>
        <v>4.6244492997141018</v>
      </c>
      <c r="BL150" s="172">
        <f ca="1">(VLOOKUP(BL$72,INDIRECT($C$5&amp;"生成成长"),2))/((VLOOKUP($B150,INDIRECT($B$5&amp;"生成成长"),4))/(VLOOKUP(BL$72,INDIRECT($C$5&amp;"生成成长"),5))*(VLOOKUP($B$5,标准坦克设计!$B$24:$U$30,MATCH("对"&amp;LEFT($C$5,2)&amp;"输出",标准坦克设计!$B$23:$U$23,0)))*(VLOOKUP($B150,INDIRECT($B$5&amp;"生成成长"),3))*(VLOOKUP($B$5,标准坦克设计!$B$14:$K$20,9)/30))</f>
        <v>5.1181215076925364</v>
      </c>
      <c r="BM150" s="172">
        <f ca="1">(VLOOKUP(BM$72,INDIRECT($C$5&amp;"生成成长"),2))/((VLOOKUP($B150,INDIRECT($B$5&amp;"生成成长"),4))/(VLOOKUP(BM$72,INDIRECT($C$5&amp;"生成成长"),5))*(VLOOKUP($B$5,标准坦克设计!$B$24:$U$30,MATCH("对"&amp;LEFT($C$5,2)&amp;"输出",标准坦克设计!$B$23:$U$23,0)))*(VLOOKUP($B150,INDIRECT($B$5&amp;"生成成长"),3))*(VLOOKUP($B$5,标准坦克设计!$B$14:$K$20,9)/30))</f>
        <v>5.6368249825543835</v>
      </c>
      <c r="BN150" s="172">
        <f ca="1">(VLOOKUP(BN$72,INDIRECT($C$5&amp;"生成成长"),2))/((VLOOKUP($B150,INDIRECT($B$5&amp;"生成成长"),4))/(VLOOKUP(BN$72,INDIRECT($C$5&amp;"生成成长"),5))*(VLOOKUP($B$5,标准坦克设计!$B$24:$U$30,MATCH("对"&amp;LEFT($C$5,2)&amp;"输出",标准坦克设计!$B$23:$U$23,0)))*(VLOOKUP($B150,INDIRECT($B$5&amp;"生成成长"),3))*(VLOOKUP($B$5,标准坦克设计!$B$14:$K$20,9)/30))</f>
        <v>6.1805597242996448</v>
      </c>
      <c r="BO150" s="172">
        <f ca="1">(VLOOKUP(BO$72,INDIRECT($C$5&amp;"生成成长"),2))/((VLOOKUP($B150,INDIRECT($B$5&amp;"生成成长"),4))/(VLOOKUP(BO$72,INDIRECT($C$5&amp;"生成成长"),5))*(VLOOKUP($B$5,标准坦克设计!$B$24:$U$30,MATCH("对"&amp;LEFT($C$5,2)&amp;"输出",标准坦克设计!$B$23:$U$23,0)))*(VLOOKUP($B150,INDIRECT($B$5&amp;"生成成长"),3))*(VLOOKUP($B$5,标准坦克设计!$B$14:$K$20,9)/30))</f>
        <v>6.7493257329283205</v>
      </c>
      <c r="BP150" s="172">
        <f ca="1">(VLOOKUP(BP$72,INDIRECT($C$5&amp;"生成成长"),2))/((VLOOKUP($B150,INDIRECT($B$5&amp;"生成成长"),4))/(VLOOKUP(BP$72,INDIRECT($C$5&amp;"生成成长"),5))*(VLOOKUP($B$5,标准坦克设计!$B$24:$U$30,MATCH("对"&amp;LEFT($C$5,2)&amp;"输出",标准坦克设计!$B$23:$U$23,0)))*(VLOOKUP($B150,INDIRECT($B$5&amp;"生成成长"),3))*(VLOOKUP($B$5,标准坦克设计!$B$14:$K$20,9)/30))</f>
        <v>7.3431230084404087</v>
      </c>
      <c r="BQ150" s="172">
        <f ca="1">(VLOOKUP(BQ$72,INDIRECT($C$5&amp;"生成成长"),2))/((VLOOKUP($B150,INDIRECT($B$5&amp;"生成成长"),4))/(VLOOKUP(BQ$72,INDIRECT($C$5&amp;"生成成长"),5))*(VLOOKUP($B$5,标准坦克设计!$B$24:$U$30,MATCH("对"&amp;LEFT($C$5,2)&amp;"输出",标准坦克设计!$B$23:$U$23,0)))*(VLOOKUP($B150,INDIRECT($B$5&amp;"生成成长"),3))*(VLOOKUP($B$5,标准坦克设计!$B$14:$K$20,9)/30))</f>
        <v>7.9619515508359111</v>
      </c>
      <c r="BR150" s="172">
        <f ca="1">(VLOOKUP(BR$72,INDIRECT($C$5&amp;"生成成长"),2))/((VLOOKUP($B150,INDIRECT($B$5&amp;"生成成长"),4))/(VLOOKUP(BR$72,INDIRECT($C$5&amp;"生成成长"),5))*(VLOOKUP($B$5,标准坦克设计!$B$24:$U$30,MATCH("对"&amp;LEFT($C$5,2)&amp;"输出",标准坦克设计!$B$23:$U$23,0)))*(VLOOKUP($B150,INDIRECT($B$5&amp;"生成成长"),3))*(VLOOKUP($B$5,标准坦克设计!$B$14:$K$20,9)/30))</f>
        <v>8.6788964788546696</v>
      </c>
      <c r="BS150" s="172">
        <f ca="1">(VLOOKUP(BS$72,INDIRECT($C$5&amp;"生成成长"),2))/((VLOOKUP($B150,INDIRECT($B$5&amp;"生成成长"),4))/(VLOOKUP(BS$72,INDIRECT($C$5&amp;"生成成长"),5))*(VLOOKUP($B$5,标准坦克设计!$B$24:$U$30,MATCH("对"&amp;LEFT($C$5,2)&amp;"输出",标准坦克设计!$B$23:$U$23,0)))*(VLOOKUP($B150,INDIRECT($B$5&amp;"生成成长"),3))*(VLOOKUP($B$5,标准坦克设计!$B$14:$K$20,9)/30))</f>
        <v>9.4267442054949271</v>
      </c>
      <c r="BT150" s="172">
        <f ca="1">(VLOOKUP(BT$72,INDIRECT($C$5&amp;"生成成长"),2))/((VLOOKUP($B150,INDIRECT($B$5&amp;"生成成长"),4))/(VLOOKUP(BT$72,INDIRECT($C$5&amp;"生成成长"),5))*(VLOOKUP($B$5,标准坦克设计!$B$24:$U$30,MATCH("对"&amp;LEFT($C$5,2)&amp;"输出",标准坦克设计!$B$23:$U$23,0)))*(VLOOKUP($B150,INDIRECT($B$5&amp;"生成成长"),3))*(VLOOKUP($B$5,标准坦克设计!$B$14:$K$20,9)/30))</f>
        <v>10.205494730756682</v>
      </c>
      <c r="BU150" s="172">
        <f ca="1">(VLOOKUP(BU$72,INDIRECT($C$5&amp;"生成成长"),2))/((VLOOKUP($B150,INDIRECT($B$5&amp;"生成成长"),4))/(VLOOKUP(BU$72,INDIRECT($C$5&amp;"生成成长"),5))*(VLOOKUP($B$5,标准坦克设计!$B$24:$U$30,MATCH("对"&amp;LEFT($C$5,2)&amp;"输出",标准坦克设计!$B$23:$U$23,0)))*(VLOOKUP($B150,INDIRECT($B$5&amp;"生成成长"),3))*(VLOOKUP($B$5,标准坦克设计!$B$14:$K$20,9)/30))</f>
        <v>11.015148054639937</v>
      </c>
      <c r="BV150" s="172">
        <f ca="1">(VLOOKUP(BV$72,INDIRECT($C$5&amp;"生成成长"),2))/((VLOOKUP($B150,INDIRECT($B$5&amp;"生成成长"),4))/(VLOOKUP(BV$72,INDIRECT($C$5&amp;"生成成长"),5))*(VLOOKUP($B$5,标准坦克设计!$B$24:$U$30,MATCH("对"&amp;LEFT($C$5,2)&amp;"输出",标准坦克设计!$B$23:$U$23,0)))*(VLOOKUP($B150,INDIRECT($B$5&amp;"生成成长"),3))*(VLOOKUP($B$5,标准坦克设计!$B$14:$K$20,9)/30))</f>
        <v>11.855704177144686</v>
      </c>
      <c r="BW150" s="172">
        <f ca="1">(VLOOKUP(BW$72,INDIRECT($C$5&amp;"生成成长"),2))/((VLOOKUP($B150,INDIRECT($B$5&amp;"生成成长"),4))/(VLOOKUP(BW$72,INDIRECT($C$5&amp;"生成成长"),5))*(VLOOKUP($B$5,标准坦克设计!$B$24:$U$30,MATCH("对"&amp;LEFT($C$5,2)&amp;"输出",标准坦克设计!$B$23:$U$23,0)))*(VLOOKUP($B150,INDIRECT($B$5&amp;"生成成长"),3))*(VLOOKUP($B$5,标准坦克设计!$B$14:$K$20,9)/30))</f>
        <v>5.4031998249758573</v>
      </c>
      <c r="BX150" s="172">
        <f ca="1">(VLOOKUP(BX$72,INDIRECT($C$5&amp;"生成成长"),2))/((VLOOKUP($B150,INDIRECT($B$5&amp;"生成成长"),4))/(VLOOKUP(BX$72,INDIRECT($C$5&amp;"生成成长"),5))*(VLOOKUP($B$5,标准坦克设计!$B$24:$U$30,MATCH("对"&amp;LEFT($C$5,2)&amp;"输出",标准坦克设计!$B$23:$U$23,0)))*(VLOOKUP($B150,INDIRECT($B$5&amp;"生成成长"),3))*(VLOOKUP($B$5,标准坦克设计!$B$14:$K$20,9)/30))</f>
        <v>5.9965335585086237</v>
      </c>
      <c r="BY150" s="172">
        <f ca="1">(VLOOKUP(BY$72,INDIRECT($C$5&amp;"生成成长"),2))/((VLOOKUP($B150,INDIRECT($B$5&amp;"生成成长"),4))/(VLOOKUP(BY$72,INDIRECT($C$5&amp;"生成成长"),5))*(VLOOKUP($B$5,标准坦克设计!$B$24:$U$30,MATCH("对"&amp;LEFT($C$5,2)&amp;"输出",标准坦克设计!$B$23:$U$23,0)))*(VLOOKUP($B150,INDIRECT($B$5&amp;"生成成长"),3))*(VLOOKUP($B$5,标准坦克设计!$B$14:$K$20,9)/30))</f>
        <v>6.6207700906628872</v>
      </c>
      <c r="BZ150" s="172">
        <f ca="1">(VLOOKUP(BZ$72,INDIRECT($C$5&amp;"生成成长"),2))/((VLOOKUP($B150,INDIRECT($B$5&amp;"生成成长"),4))/(VLOOKUP(BZ$72,INDIRECT($C$5&amp;"生成成长"),5))*(VLOOKUP($B$5,标准坦克设计!$B$24:$U$30,MATCH("对"&amp;LEFT($C$5,2)&amp;"输出",标准坦克设计!$B$23:$U$23,0)))*(VLOOKUP($B150,INDIRECT($B$5&amp;"生成成长"),3))*(VLOOKUP($B$5,标准坦克设计!$B$14:$K$20,9)/30))</f>
        <v>7.2759094214386497</v>
      </c>
      <c r="CA150" s="172">
        <f ca="1">(VLOOKUP(CA$72,INDIRECT($C$5&amp;"生成成长"),2))/((VLOOKUP($B150,INDIRECT($B$5&amp;"生成成长"),4))/(VLOOKUP(CA$72,INDIRECT($C$5&amp;"生成成长"),5))*(VLOOKUP($B$5,标准坦克设计!$B$24:$U$30,MATCH("对"&amp;LEFT($C$5,2)&amp;"输出",标准坦克设计!$B$23:$U$23,0)))*(VLOOKUP($B150,INDIRECT($B$5&amp;"生成成长"),3))*(VLOOKUP($B$5,标准坦克设计!$B$14:$K$20,9)/30))</f>
        <v>7.9619515508359111</v>
      </c>
      <c r="CB150" s="172">
        <f ca="1">(VLOOKUP(CB$72,INDIRECT($C$5&amp;"生成成长"),2))/((VLOOKUP($B150,INDIRECT($B$5&amp;"生成成长"),4))/(VLOOKUP(CB$72,INDIRECT($C$5&amp;"生成成长"),5))*(VLOOKUP($B$5,标准坦克设计!$B$24:$U$30,MATCH("对"&amp;LEFT($C$5,2)&amp;"输出",标准坦克设计!$B$23:$U$23,0)))*(VLOOKUP($B150,INDIRECT($B$5&amp;"生成成长"),3))*(VLOOKUP($B$5,标准坦克设计!$B$14:$K$20,9)/30))</f>
        <v>8.6788964788546696</v>
      </c>
      <c r="CC150" s="172">
        <f ca="1">(VLOOKUP(CC$72,INDIRECT($C$5&amp;"生成成长"),2))/((VLOOKUP($B150,INDIRECT($B$5&amp;"生成成长"),4))/(VLOOKUP(CC$72,INDIRECT($C$5&amp;"生成成长"),5))*(VLOOKUP($B$5,标准坦克设计!$B$24:$U$30,MATCH("对"&amp;LEFT($C$5,2)&amp;"输出",标准坦克设计!$B$23:$U$23,0)))*(VLOOKUP($B150,INDIRECT($B$5&amp;"生成成长"),3))*(VLOOKUP($B$5,标准坦克设计!$B$14:$K$20,9)/30))</f>
        <v>9.4267442054949271</v>
      </c>
      <c r="CD150" s="172">
        <f ca="1">(VLOOKUP(CD$72,INDIRECT($C$5&amp;"生成成长"),2))/((VLOOKUP($B150,INDIRECT($B$5&amp;"生成成长"),4))/(VLOOKUP(CD$72,INDIRECT($C$5&amp;"生成成长"),5))*(VLOOKUP($B$5,标准坦克设计!$B$24:$U$30,MATCH("对"&amp;LEFT($C$5,2)&amp;"输出",标准坦克设计!$B$23:$U$23,0)))*(VLOOKUP($B150,INDIRECT($B$5&amp;"生成成长"),3))*(VLOOKUP($B$5,标准坦克设计!$B$14:$K$20,9)/30))</f>
        <v>10.205494730756682</v>
      </c>
      <c r="CE150" s="172">
        <f ca="1">(VLOOKUP(CE$72,INDIRECT($C$5&amp;"生成成长"),2))/((VLOOKUP($B150,INDIRECT($B$5&amp;"生成成长"),4))/(VLOOKUP(CE$72,INDIRECT($C$5&amp;"生成成长"),5))*(VLOOKUP($B$5,标准坦克设计!$B$24:$U$30,MATCH("对"&amp;LEFT($C$5,2)&amp;"输出",标准坦克设计!$B$23:$U$23,0)))*(VLOOKUP($B150,INDIRECT($B$5&amp;"生成成长"),3))*(VLOOKUP($B$5,标准坦克设计!$B$14:$K$20,9)/30))</f>
        <v>11.015148054639937</v>
      </c>
      <c r="CF150" s="172">
        <f ca="1">(VLOOKUP(CF$72,INDIRECT($C$5&amp;"生成成长"),2))/((VLOOKUP($B150,INDIRECT($B$5&amp;"生成成长"),4))/(VLOOKUP(CF$72,INDIRECT($C$5&amp;"生成成长"),5))*(VLOOKUP($B$5,标准坦克设计!$B$24:$U$30,MATCH("对"&amp;LEFT($C$5,2)&amp;"输出",标准坦克设计!$B$23:$U$23,0)))*(VLOOKUP($B150,INDIRECT($B$5&amp;"生成成长"),3))*(VLOOKUP($B$5,标准坦克设计!$B$14:$K$20,9)/30))</f>
        <v>11.855704177144686</v>
      </c>
      <c r="CG150" s="172">
        <f ca="1">(VLOOKUP(CG$72,INDIRECT($C$5&amp;"生成成长"),2))/((VLOOKUP($B150,INDIRECT($B$5&amp;"生成成长"),4))/(VLOOKUP(CG$72,INDIRECT($C$5&amp;"生成成长"),5))*(VLOOKUP($B$5,标准坦克设计!$B$24:$U$30,MATCH("对"&amp;LEFT($C$5,2)&amp;"输出",标准坦克设计!$B$23:$U$23,0)))*(VLOOKUP($B150,INDIRECT($B$5&amp;"生成成长"),3))*(VLOOKUP($B$5,标准坦克设计!$B$14:$K$20,9)/30))</f>
        <v>12.727163098270939</v>
      </c>
      <c r="CH150" s="172">
        <f ca="1">(VLOOKUP(CH$72,INDIRECT($C$5&amp;"生成成长"),2))/((VLOOKUP($B150,INDIRECT($B$5&amp;"生成成长"),4))/(VLOOKUP(CH$72,INDIRECT($C$5&amp;"生成成长"),5))*(VLOOKUP($B$5,标准坦克设计!$B$24:$U$30,MATCH("对"&amp;LEFT($C$5,2)&amp;"输出",标准坦克设计!$B$23:$U$23,0)))*(VLOOKUP($B150,INDIRECT($B$5&amp;"生成成长"),3))*(VLOOKUP($B$5,标准坦克设计!$B$14:$K$20,9)/30))</f>
        <v>13.629524818018684</v>
      </c>
      <c r="CI150" s="172">
        <f ca="1">(VLOOKUP(CI$72,INDIRECT($C$5&amp;"生成成长"),2))/((VLOOKUP($B150,INDIRECT($B$5&amp;"生成成长"),4))/(VLOOKUP(CI$72,INDIRECT($C$5&amp;"生成成长"),5))*(VLOOKUP($B$5,标准坦克设计!$B$24:$U$30,MATCH("对"&amp;LEFT($C$5,2)&amp;"输出",标准坦克设计!$B$23:$U$23,0)))*(VLOOKUP($B150,INDIRECT($B$5&amp;"生成成长"),3))*(VLOOKUP($B$5,标准坦克设计!$B$14:$K$20,9)/30))</f>
        <v>14.657815442149039</v>
      </c>
      <c r="CJ150" s="172">
        <f ca="1">(VLOOKUP(CJ$72,INDIRECT($C$5&amp;"生成成长"),2))/((VLOOKUP($B150,INDIRECT($B$5&amp;"生成成长"),4))/(VLOOKUP(CJ$72,INDIRECT($C$5&amp;"生成成长"),5))*(VLOOKUP($B$5,标准坦克设计!$B$24:$U$30,MATCH("对"&amp;LEFT($C$5,2)&amp;"输出",标准坦克设计!$B$23:$U$23,0)))*(VLOOKUP($B150,INDIRECT($B$5&amp;"生成成长"),3))*(VLOOKUP($B$5,标准坦克设计!$B$14:$K$20,9)/30))</f>
        <v>15.723498452611404</v>
      </c>
      <c r="CK150" s="172">
        <f ca="1">(VLOOKUP(CK$72,INDIRECT($C$5&amp;"生成成长"),2))/((VLOOKUP($B150,INDIRECT($B$5&amp;"生成成长"),4))/(VLOOKUP(CK$72,INDIRECT($C$5&amp;"生成成长"),5))*(VLOOKUP($B$5,标准坦克设计!$B$24:$U$30,MATCH("对"&amp;LEFT($C$5,2)&amp;"输出",标准坦克设计!$B$23:$U$23,0)))*(VLOOKUP($B150,INDIRECT($B$5&amp;"生成成长"),3))*(VLOOKUP($B$5,标准坦克设计!$B$14:$K$20,9)/30))</f>
        <v>16.826573849405786</v>
      </c>
      <c r="CL150" s="172">
        <f ca="1">(VLOOKUP(CL$72,INDIRECT($C$5&amp;"生成成长"),2))/((VLOOKUP($B150,INDIRECT($B$5&amp;"生成成长"),4))/(VLOOKUP(CL$72,INDIRECT($C$5&amp;"生成成长"),5))*(VLOOKUP($B$5,标准坦克设计!$B$24:$U$30,MATCH("对"&amp;LEFT($C$5,2)&amp;"输出",标准坦克设计!$B$23:$U$23,0)))*(VLOOKUP($B150,INDIRECT($B$5&amp;"生成成长"),3))*(VLOOKUP($B$5,标准坦克设计!$B$14:$K$20,9)/30))</f>
        <v>17.967041632532176</v>
      </c>
      <c r="CM150" s="172">
        <f ca="1">(VLOOKUP(CM$72,INDIRECT($C$5&amp;"生成成长"),2))/((VLOOKUP($B150,INDIRECT($B$5&amp;"生成成长"),4))/(VLOOKUP(CM$72,INDIRECT($C$5&amp;"生成成长"),5))*(VLOOKUP($B$5,标准坦克设计!$B$24:$U$30,MATCH("对"&amp;LEFT($C$5,2)&amp;"输出",标准坦克设计!$B$23:$U$23,0)))*(VLOOKUP($B150,INDIRECT($B$5&amp;"生成成长"),3))*(VLOOKUP($B$5,标准坦克设计!$B$14:$K$20,9)/30))</f>
        <v>19.144901801990581</v>
      </c>
      <c r="CN150" s="172">
        <f ca="1">(VLOOKUP(CN$72,INDIRECT($C$5&amp;"生成成长"),2))/((VLOOKUP($B150,INDIRECT($B$5&amp;"生成成长"),4))/(VLOOKUP(CN$72,INDIRECT($C$5&amp;"生成成长"),5))*(VLOOKUP($B$5,标准坦克设计!$B$24:$U$30,MATCH("对"&amp;LEFT($C$5,2)&amp;"输出",标准坦克设计!$B$23:$U$23,0)))*(VLOOKUP($B150,INDIRECT($B$5&amp;"生成成长"),3))*(VLOOKUP($B$5,标准坦克设计!$B$14:$K$20,9)/30))</f>
        <v>20.360154357780999</v>
      </c>
      <c r="CO150" s="172">
        <f ca="1">(VLOOKUP(CO$72,INDIRECT($C$5&amp;"生成成长"),2))/((VLOOKUP($B150,INDIRECT($B$5&amp;"生成成长"),4))/(VLOOKUP(CO$72,INDIRECT($C$5&amp;"生成成长"),5))*(VLOOKUP($B$5,标准坦克设计!$B$24:$U$30,MATCH("对"&amp;LEFT($C$5,2)&amp;"输出",标准坦克设计!$B$23:$U$23,0)))*(VLOOKUP($B150,INDIRECT($B$5&amp;"生成成长"),3))*(VLOOKUP($B$5,标准坦克设计!$B$14:$K$20,9)/30))</f>
        <v>9.1238967790042427</v>
      </c>
      <c r="CP150" s="172">
        <f ca="1">(VLOOKUP(CP$72,INDIRECT($C$5&amp;"生成成长"),2))/((VLOOKUP($B150,INDIRECT($B$5&amp;"生成成长"),4))/(VLOOKUP(CP$72,INDIRECT($C$5&amp;"生成成长"),5))*(VLOOKUP($B$5,标准坦克设计!$B$24:$U$30,MATCH("对"&amp;LEFT($C$5,2)&amp;"输出",标准坦克设计!$B$23:$U$23,0)))*(VLOOKUP($B150,INDIRECT($B$5&amp;"生成成长"),3))*(VLOOKUP($B$5,标准坦克设计!$B$14:$K$20,9)/30))</f>
        <v>9.9686247793228979</v>
      </c>
      <c r="CQ150" s="172">
        <f ca="1">(VLOOKUP(CQ$72,INDIRECT($C$5&amp;"生成成长"),2))/((VLOOKUP($B150,INDIRECT($B$5&amp;"生成成长"),4))/(VLOOKUP(CQ$72,INDIRECT($C$5&amp;"生成成长"),5))*(VLOOKUP($B$5,标准坦克设计!$B$24:$U$30,MATCH("对"&amp;LEFT($C$5,2)&amp;"输出",标准坦克设计!$B$23:$U$23,0)))*(VLOOKUP($B150,INDIRECT($B$5&amp;"生成成长"),3))*(VLOOKUP($B$5,标准坦克设计!$B$14:$K$20,9)/30))</f>
        <v>10.850745165973565</v>
      </c>
      <c r="CR150" s="172">
        <f ca="1">(VLOOKUP(CR$72,INDIRECT($C$5&amp;"生成成长"),2))/((VLOOKUP($B150,INDIRECT($B$5&amp;"生成成长"),4))/(VLOOKUP(CR$72,INDIRECT($C$5&amp;"生成成长"),5))*(VLOOKUP($B$5,标准坦克设计!$B$24:$U$30,MATCH("对"&amp;LEFT($C$5,2)&amp;"输出",标准坦克设计!$B$23:$U$23,0)))*(VLOOKUP($B150,INDIRECT($B$5&amp;"生成成长"),3))*(VLOOKUP($B$5,标准坦克设计!$B$14:$K$20,9)/30))</f>
        <v>11.770257938956243</v>
      </c>
      <c r="CS150" s="172">
        <f ca="1">(VLOOKUP(CS$72,INDIRECT($C$5&amp;"生成成长"),2))/((VLOOKUP($B150,INDIRECT($B$5&amp;"生成成长"),4))/(VLOOKUP(CS$72,INDIRECT($C$5&amp;"生成成长"),5))*(VLOOKUP($B$5,标准坦克设计!$B$24:$U$30,MATCH("对"&amp;LEFT($C$5,2)&amp;"输出",标准坦克设计!$B$23:$U$23,0)))*(VLOOKUP($B150,INDIRECT($B$5&amp;"生成成长"),3))*(VLOOKUP($B$5,标准坦克设计!$B$14:$K$20,9)/30))</f>
        <v>12.727163098270939</v>
      </c>
      <c r="CT150" s="172">
        <f ca="1">(VLOOKUP(CT$72,INDIRECT($C$5&amp;"生成成长"),2))/((VLOOKUP($B150,INDIRECT($B$5&amp;"生成成长"),4))/(VLOOKUP(CT$72,INDIRECT($C$5&amp;"生成成长"),5))*(VLOOKUP($B$5,标准坦克设计!$B$24:$U$30,MATCH("对"&amp;LEFT($C$5,2)&amp;"输出",标准坦克设计!$B$23:$U$23,0)))*(VLOOKUP($B150,INDIRECT($B$5&amp;"生成成长"),3))*(VLOOKUP($B$5,标准坦克设计!$B$14:$K$20,9)/30))</f>
        <v>13.721460643917641</v>
      </c>
      <c r="CU150" s="172">
        <f ca="1">(VLOOKUP(CU$72,INDIRECT($C$5&amp;"生成成长"),2))/((VLOOKUP($B150,INDIRECT($B$5&amp;"生成成长"),4))/(VLOOKUP(CU$72,INDIRECT($C$5&amp;"生成成长"),5))*(VLOOKUP($B$5,标准坦克设计!$B$24:$U$30,MATCH("对"&amp;LEFT($C$5,2)&amp;"输出",标准坦克设计!$B$23:$U$23,0)))*(VLOOKUP($B150,INDIRECT($B$5&amp;"生成成长"),3))*(VLOOKUP($B$5,标准坦克设计!$B$14:$K$20,9)/30))</f>
        <v>14.753150575896363</v>
      </c>
      <c r="CV150" s="172">
        <f ca="1">(VLOOKUP(CV$72,INDIRECT($C$5&amp;"生成成长"),2))/((VLOOKUP($B150,INDIRECT($B$5&amp;"生成成长"),4))/(VLOOKUP(CV$72,INDIRECT($C$5&amp;"生成成长"),5))*(VLOOKUP($B$5,标准坦克设计!$B$24:$U$30,MATCH("对"&amp;LEFT($C$5,2)&amp;"输出",标准坦克设计!$B$23:$U$23,0)))*(VLOOKUP($B150,INDIRECT($B$5&amp;"生成成长"),3))*(VLOOKUP($B$5,标准坦克设计!$B$14:$K$20,9)/30))</f>
        <v>15.822232894207096</v>
      </c>
      <c r="CW150" s="172">
        <f ca="1">(VLOOKUP(CW$72,INDIRECT($C$5&amp;"生成成长"),2))/((VLOOKUP($B150,INDIRECT($B$5&amp;"生成成长"),4))/(VLOOKUP(CW$72,INDIRECT($C$5&amp;"生成成长"),5))*(VLOOKUP($B$5,标准坦克设计!$B$24:$U$30,MATCH("对"&amp;LEFT($C$5,2)&amp;"输出",标准坦克设计!$B$23:$U$23,0)))*(VLOOKUP($B150,INDIRECT($B$5&amp;"生成成长"),3))*(VLOOKUP($B$5,标准坦克设计!$B$14:$K$20,9)/30))</f>
        <v>16.928707598849837</v>
      </c>
      <c r="CX150" s="172">
        <f ca="1">(VLOOKUP(CX$72,INDIRECT($C$5&amp;"生成成长"),2))/((VLOOKUP($B150,INDIRECT($B$5&amp;"生成成长"),4))/(VLOOKUP(CX$72,INDIRECT($C$5&amp;"生成成长"),5))*(VLOOKUP($B$5,标准坦克设计!$B$24:$U$30,MATCH("对"&amp;LEFT($C$5,2)&amp;"输出",标准坦克设计!$B$23:$U$23,0)))*(VLOOKUP($B150,INDIRECT($B$5&amp;"生成成长"),3))*(VLOOKUP($B$5,标准坦克设计!$B$14:$K$20,9)/30))</f>
        <v>18.072574689824595</v>
      </c>
      <c r="CY150" s="172">
        <f ca="1">(VLOOKUP(CY$72,INDIRECT($C$5&amp;"生成成长"),2))/((VLOOKUP($B150,INDIRECT($B$5&amp;"生成成长"),4))/(VLOOKUP(CY$72,INDIRECT($C$5&amp;"生成成长"),5))*(VLOOKUP($B$5,标准坦克设计!$B$24:$U$30,MATCH("对"&amp;LEFT($C$5,2)&amp;"输出",标准坦克设计!$B$23:$U$23,0)))*(VLOOKUP($B150,INDIRECT($B$5&amp;"生成成长"),3))*(VLOOKUP($B$5,标准坦克设计!$B$14:$K$20,9)/30))</f>
        <v>19.253834167131362</v>
      </c>
      <c r="CZ150" s="172">
        <f ca="1">(VLOOKUP(CZ$72,INDIRECT($C$5&amp;"生成成长"),2))/((VLOOKUP($B150,INDIRECT($B$5&amp;"生成成长"),4))/(VLOOKUP(CZ$72,INDIRECT($C$5&amp;"生成成长"),5))*(VLOOKUP($B$5,标准坦克设计!$B$24:$U$30,MATCH("对"&amp;LEFT($C$5,2)&amp;"输出",标准坦克设计!$B$23:$U$23,0)))*(VLOOKUP($B150,INDIRECT($B$5&amp;"生成成长"),3))*(VLOOKUP($B$5,标准坦克设计!$B$14:$K$20,9)/30))</f>
        <v>20.472486030770146</v>
      </c>
      <c r="DA150" s="172">
        <f ca="1">(VLOOKUP(DA$72,INDIRECT($C$5&amp;"生成成长"),2))/((VLOOKUP($B150,INDIRECT($B$5&amp;"生成成长"),4))/(VLOOKUP(DA$72,INDIRECT($C$5&amp;"生成成长"),5))*(VLOOKUP($B$5,标准坦克设计!$B$24:$U$30,MATCH("对"&amp;LEFT($C$5,2)&amp;"输出",标准坦克设计!$B$23:$U$23,0)))*(VLOOKUP($B150,INDIRECT($B$5&amp;"生成成长"),3))*(VLOOKUP($B$5,标准坦克设计!$B$14:$K$20,9)/30))</f>
        <v>21.728530280740937</v>
      </c>
      <c r="DB150" s="172">
        <f ca="1">(VLOOKUP(DB$72,INDIRECT($C$5&amp;"生成成长"),2))/((VLOOKUP($B150,INDIRECT($B$5&amp;"生成成长"),4))/(VLOOKUP(DB$72,INDIRECT($C$5&amp;"生成成长"),5))*(VLOOKUP($B$5,标准坦克设计!$B$24:$U$30,MATCH("对"&amp;LEFT($C$5,2)&amp;"输出",标准坦克设计!$B$23:$U$23,0)))*(VLOOKUP($B150,INDIRECT($B$5&amp;"生成成长"),3))*(VLOOKUP($B$5,标准坦克设计!$B$14:$K$20,9)/30))</f>
        <v>23.021966917043752</v>
      </c>
      <c r="DC150" s="172">
        <f ca="1">(VLOOKUP(DC$72,INDIRECT($C$5&amp;"生成成长"),2))/((VLOOKUP($B150,INDIRECT($B$5&amp;"生成成长"),4))/(VLOOKUP(DC$72,INDIRECT($C$5&amp;"生成成长"),5))*(VLOOKUP($B$5,标准坦克设计!$B$24:$U$30,MATCH("对"&amp;LEFT($C$5,2)&amp;"输出",标准坦克设计!$B$23:$U$23,0)))*(VLOOKUP($B150,INDIRECT($B$5&amp;"生成成长"),3))*(VLOOKUP($B$5,标准坦克设计!$B$14:$K$20,9)/30))</f>
        <v>24.47563456419903</v>
      </c>
      <c r="DD150" s="172">
        <f ca="1">(VLOOKUP(DD$72,INDIRECT($C$5&amp;"生成成长"),2))/((VLOOKUP($B150,INDIRECT($B$5&amp;"生成成长"),4))/(VLOOKUP(DD$72,INDIRECT($C$5&amp;"生成成长"),5))*(VLOOKUP($B$5,标准坦克设计!$B$24:$U$30,MATCH("对"&amp;LEFT($C$5,2)&amp;"输出",标准坦克设计!$B$23:$U$23,0)))*(VLOOKUP($B150,INDIRECT($B$5&amp;"生成成长"),3))*(VLOOKUP($B$5,标准坦克设计!$B$14:$K$20,9)/30))</f>
        <v>25.97380224136926</v>
      </c>
      <c r="DE150" s="172">
        <f ca="1">(VLOOKUP(DE$72,INDIRECT($C$5&amp;"生成成长"),2))/((VLOOKUP($B150,INDIRECT($B$5&amp;"生成成长"),4))/(VLOOKUP(DE$72,INDIRECT($C$5&amp;"生成成长"),5))*(VLOOKUP($B$5,标准坦克设计!$B$24:$U$30,MATCH("对"&amp;LEFT($C$5,2)&amp;"输出",标准坦克设计!$B$23:$U$23,0)))*(VLOOKUP($B150,INDIRECT($B$5&amp;"生成成长"),3))*(VLOOKUP($B$5,标准坦克设计!$B$14:$K$20,9)/30))</f>
        <v>27.516469948554455</v>
      </c>
      <c r="DF150" s="172">
        <f ca="1">(VLOOKUP(DF$72,INDIRECT($C$5&amp;"生成成长"),2))/((VLOOKUP($B150,INDIRECT($B$5&amp;"生成成长"),4))/(VLOOKUP(DF$72,INDIRECT($C$5&amp;"生成成长"),5))*(VLOOKUP($B$5,标准坦克设计!$B$24:$U$30,MATCH("对"&amp;LEFT($C$5,2)&amp;"输出",标准坦克设计!$B$23:$U$23,0)))*(VLOOKUP($B150,INDIRECT($B$5&amp;"生成成长"),3))*(VLOOKUP($B$5,标准坦克设计!$B$14:$K$20,9)/30))</f>
        <v>29.103637685754599</v>
      </c>
      <c r="DG150" s="172">
        <f ca="1">(VLOOKUP(DG$72,INDIRECT($C$5&amp;"生成成长"),2))/((VLOOKUP($B150,INDIRECT($B$5&amp;"生成成长"),4))/(VLOOKUP(DG$72,INDIRECT($C$5&amp;"生成成长"),5))*(VLOOKUP($B$5,标准坦克设计!$B$24:$U$30,MATCH("对"&amp;LEFT($C$5,2)&amp;"输出",标准坦克设计!$B$23:$U$23,0)))*(VLOOKUP($B150,INDIRECT($B$5&amp;"生成成长"),3))*(VLOOKUP($B$5,标准坦克设计!$B$14:$K$20,9)/30))</f>
        <v>30.735305452969708</v>
      </c>
      <c r="DH150" s="172">
        <f ca="1">(VLOOKUP(DH$72,INDIRECT($C$5&amp;"生成成长"),2))/((VLOOKUP($B150,INDIRECT($B$5&amp;"生成成长"),4))/(VLOOKUP(DH$72,INDIRECT($C$5&amp;"生成成长"),5))*(VLOOKUP($B$5,标准坦克设计!$B$24:$U$30,MATCH("对"&amp;LEFT($C$5,2)&amp;"输出",标准坦克设计!$B$23:$U$23,0)))*(VLOOKUP($B150,INDIRECT($B$5&amp;"生成成长"),3))*(VLOOKUP($B$5,标准坦克设计!$B$14:$K$20,9)/30))</f>
        <v>32.411473250199769</v>
      </c>
      <c r="DI150" s="172">
        <f ca="1">(VLOOKUP(DI$72,INDIRECT($C$5&amp;"生成成长"),2))/((VLOOKUP($B150,INDIRECT($B$5&amp;"生成成长"),4))/(VLOOKUP(DI$72,INDIRECT($C$5&amp;"生成成长"),5))*(VLOOKUP($B$5,标准坦克设计!$B$24:$U$30,MATCH("对"&amp;LEFT($C$5,2)&amp;"输出",标准坦克设计!$B$23:$U$23,0)))*(VLOOKUP($B150,INDIRECT($B$5&amp;"生成成长"),3))*(VLOOKUP($B$5,标准坦克设计!$B$14:$K$20,9)/30))</f>
        <v>34.132141077444786</v>
      </c>
      <c r="DJ150" s="172">
        <f ca="1">(VLOOKUP(DJ$72,INDIRECT($C$5&amp;"生成成长"),2))/((VLOOKUP($B150,INDIRECT($B$5&amp;"生成成长"),4))/(VLOOKUP(DJ$72,INDIRECT($C$5&amp;"生成成长"),5))*(VLOOKUP($B$5,标准坦克设计!$B$24:$U$30,MATCH("对"&amp;LEFT($C$5,2)&amp;"输出",标准坦克设计!$B$23:$U$23,0)))*(VLOOKUP($B150,INDIRECT($B$5&amp;"生成成长"),3))*(VLOOKUP($B$5,标准坦克设计!$B$14:$K$20,9)/30))</f>
        <v>3.4303651609794104</v>
      </c>
      <c r="DK150" s="172">
        <f ca="1">(VLOOKUP(DK$72,INDIRECT($C$5&amp;"生成成长"),2))/((VLOOKUP($B150,INDIRECT($B$5&amp;"生成成长"),4))/(VLOOKUP(DK$72,INDIRECT($C$5&amp;"生成成长"),5))*(VLOOKUP($B$5,标准坦克设计!$B$24:$U$30,MATCH("对"&amp;LEFT($C$5,2)&amp;"输出",标准坦克设计!$B$23:$U$23,0)))*(VLOOKUP($B150,INDIRECT($B$5&amp;"生成成长"),3))*(VLOOKUP($B$5,标准坦克设计!$B$14:$K$20,9)/30))</f>
        <v>3.8572873239354091</v>
      </c>
      <c r="DL150" s="172">
        <f ca="1">(VLOOKUP(DL$72,INDIRECT($C$5&amp;"生成成长"),2))/((VLOOKUP($B150,INDIRECT($B$5&amp;"生成成长"),4))/(VLOOKUP(DL$72,INDIRECT($C$5&amp;"生成成长"),5))*(VLOOKUP($B$5,标准坦克设计!$B$24:$U$30,MATCH("对"&amp;LEFT($C$5,2)&amp;"输出",标准坦克设计!$B$23:$U$23,0)))*(VLOOKUP($B150,INDIRECT($B$5&amp;"生成成长"),3))*(VLOOKUP($B$5,标准坦克设计!$B$14:$K$20,9)/30))</f>
        <v>4.3092407537748203</v>
      </c>
      <c r="DM150" s="172">
        <f ca="1">(VLOOKUP(DM$72,INDIRECT($C$5&amp;"生成成长"),2))/((VLOOKUP($B150,INDIRECT($B$5&amp;"生成成长"),4))/(VLOOKUP(DM$72,INDIRECT($C$5&amp;"生成成长"),5))*(VLOOKUP($B$5,标准坦克设计!$B$24:$U$30,MATCH("对"&amp;LEFT($C$5,2)&amp;"输出",标准坦克设计!$B$23:$U$23,0)))*(VLOOKUP($B150,INDIRECT($B$5&amp;"生成成长"),3))*(VLOOKUP($B$5,标准坦克设计!$B$14:$K$20,9)/30))</f>
        <v>4.7862254504976454</v>
      </c>
      <c r="DN150" s="172">
        <f ca="1">(VLOOKUP(DN$72,INDIRECT($C$5&amp;"生成成长"),2))/((VLOOKUP($B150,INDIRECT($B$5&amp;"生成成长"),4))/(VLOOKUP(DN$72,INDIRECT($C$5&amp;"生成成长"),5))*(VLOOKUP($B$5,标准坦克设计!$B$24:$U$30,MATCH("对"&amp;LEFT($C$5,2)&amp;"输出",标准坦克设计!$B$23:$U$23,0)))*(VLOOKUP($B150,INDIRECT($B$5&amp;"生成成长"),3))*(VLOOKUP($B$5,标准坦克设计!$B$14:$K$20,9)/30))</f>
        <v>5.2882414141038829</v>
      </c>
      <c r="DO150" s="172">
        <f ca="1">(VLOOKUP(DO$72,INDIRECT($C$5&amp;"生成成长"),2))/((VLOOKUP($B150,INDIRECT($B$5&amp;"生成成长"),4))/(VLOOKUP(DO$72,INDIRECT($C$5&amp;"生成成长"),5))*(VLOOKUP($B$5,标准坦克设计!$B$24:$U$30,MATCH("对"&amp;LEFT($C$5,2)&amp;"输出",标准坦克设计!$B$23:$U$23,0)))*(VLOOKUP($B150,INDIRECT($B$5&amp;"生成成长"),3))*(VLOOKUP($B$5,标准坦克设计!$B$14:$K$20,9)/30))</f>
        <v>5.8152886445935348</v>
      </c>
      <c r="DP150" s="172">
        <f ca="1">(VLOOKUP(DP$72,INDIRECT($C$5&amp;"生成成长"),2))/((VLOOKUP($B150,INDIRECT($B$5&amp;"生成成长"),4))/(VLOOKUP(DP$72,INDIRECT($C$5&amp;"生成成长"),5))*(VLOOKUP($B$5,标准坦克设计!$B$24:$U$30,MATCH("对"&amp;LEFT($C$5,2)&amp;"输出",标准坦克设计!$B$23:$U$23,0)))*(VLOOKUP($B150,INDIRECT($B$5&amp;"生成成长"),3))*(VLOOKUP($B$5,标准坦克设计!$B$14:$K$20,9)/30))</f>
        <v>6.3673671419666027</v>
      </c>
      <c r="DQ150" s="172">
        <f ca="1">(VLOOKUP(DQ$72,INDIRECT($C$5&amp;"生成成长"),2))/((VLOOKUP($B150,INDIRECT($B$5&amp;"生成成长"),4))/(VLOOKUP(DQ$72,INDIRECT($C$5&amp;"生成成长"),5))*(VLOOKUP($B$5,标准坦克设计!$B$24:$U$30,MATCH("对"&amp;LEFT($C$5,2)&amp;"输出",标准坦克设计!$B$23:$U$23,0)))*(VLOOKUP($B150,INDIRECT($B$5&amp;"生成成长"),3))*(VLOOKUP($B$5,标准坦克设计!$B$14:$K$20,9)/30))</f>
        <v>6.9444769062230822</v>
      </c>
      <c r="DR150" s="172">
        <f ca="1">(VLOOKUP(DR$72,INDIRECT($C$5&amp;"生成成长"),2))/((VLOOKUP($B150,INDIRECT($B$5&amp;"生成成长"),4))/(VLOOKUP(DR$72,INDIRECT($C$5&amp;"生成成长"),5))*(VLOOKUP($B$5,标准坦克设计!$B$24:$U$30,MATCH("对"&amp;LEFT($C$5,2)&amp;"输出",标准坦克设计!$B$23:$U$23,0)))*(VLOOKUP($B150,INDIRECT($B$5&amp;"生成成长"),3))*(VLOOKUP($B$5,标准坦克设计!$B$14:$K$20,9)/30))</f>
        <v>7.5466179373629751</v>
      </c>
      <c r="DS150" s="172">
        <f ca="1">(VLOOKUP(DS$72,INDIRECT($C$5&amp;"生成成长"),2))/((VLOOKUP($B150,INDIRECT($B$5&amp;"生成成长"),4))/(VLOOKUP(DS$72,INDIRECT($C$5&amp;"生成成长"),5))*(VLOOKUP($B$5,标准坦克设计!$B$24:$U$30,MATCH("对"&amp;LEFT($C$5,2)&amp;"输出",标准坦克设计!$B$23:$U$23,0)))*(VLOOKUP($B150,INDIRECT($B$5&amp;"生成成长"),3))*(VLOOKUP($B$5,标准坦克设计!$B$14:$K$20,9)/30))</f>
        <v>8.1737902353862815</v>
      </c>
      <c r="DT150" s="172">
        <f ca="1">(VLOOKUP(DT$72,INDIRECT($C$5&amp;"生成成长"),2))/((VLOOKUP($B150,INDIRECT($B$5&amp;"生成成长"),4))/(VLOOKUP(DT$72,INDIRECT($C$5&amp;"生成成长"),5))*(VLOOKUP($B$5,标准坦克设计!$B$24:$U$30,MATCH("对"&amp;LEFT($C$5,2)&amp;"输出",标准坦克设计!$B$23:$U$23,0)))*(VLOOKUP($B150,INDIRECT($B$5&amp;"生成成长"),3))*(VLOOKUP($B$5,标准坦克设计!$B$14:$K$20,9)/30))</f>
        <v>8.9743272336761937</v>
      </c>
      <c r="DU150" s="172">
        <f ca="1">(VLOOKUP(DU$72,INDIRECT($C$5&amp;"生成成长"),2))/((VLOOKUP($B150,INDIRECT($B$5&amp;"生成成长"),4))/(VLOOKUP(DU$72,INDIRECT($C$5&amp;"生成成长"),5))*(VLOOKUP($B$5,标准坦克设计!$B$24:$U$30,MATCH("对"&amp;LEFT($C$5,2)&amp;"输出",标准坦克设计!$B$23:$U$23,0)))*(VLOOKUP($B150,INDIRECT($B$5&amp;"生成成长"),3))*(VLOOKUP($B$5,标准坦克设计!$B$14:$K$20,9)/30))</f>
        <v>9.8122566182981164</v>
      </c>
      <c r="DV150" s="172">
        <f ca="1">(VLOOKUP(DV$72,INDIRECT($C$5&amp;"生成成长"),2))/((VLOOKUP($B150,INDIRECT($B$5&amp;"生成成长"),4))/(VLOOKUP(DV$72,INDIRECT($C$5&amp;"生成成长"),5))*(VLOOKUP($B$5,标准坦克设计!$B$24:$U$30,MATCH("对"&amp;LEFT($C$5,2)&amp;"输出",标准坦克设计!$B$23:$U$23,0)))*(VLOOKUP($B150,INDIRECT($B$5&amp;"生成成长"),3))*(VLOOKUP($B$5,标准坦克设计!$B$14:$K$20,9)/30))</f>
        <v>10.687578389252053</v>
      </c>
      <c r="DW150" s="172">
        <f ca="1">(VLOOKUP(DW$72,INDIRECT($C$5&amp;"生成成长"),2))/((VLOOKUP($B150,INDIRECT($B$5&amp;"生成成长"),4))/(VLOOKUP(DW$72,INDIRECT($C$5&amp;"生成成长"),5))*(VLOOKUP($B$5,标准坦克设计!$B$24:$U$30,MATCH("对"&amp;LEFT($C$5,2)&amp;"输出",标准坦克设计!$B$23:$U$23,0)))*(VLOOKUP($B150,INDIRECT($B$5&amp;"生成成长"),3))*(VLOOKUP($B$5,标准坦克设计!$B$14:$K$20,9)/30))</f>
        <v>11.600292546538006</v>
      </c>
      <c r="DX150" s="172">
        <f ca="1">(VLOOKUP(DX$72,INDIRECT($C$5&amp;"生成成长"),2))/((VLOOKUP($B150,INDIRECT($B$5&amp;"生成成长"),4))/(VLOOKUP(DX$72,INDIRECT($C$5&amp;"生成成长"),5))*(VLOOKUP($B$5,标准坦克设计!$B$24:$U$30,MATCH("对"&amp;LEFT($C$5,2)&amp;"输出",标准坦克设计!$B$23:$U$23,0)))*(VLOOKUP($B150,INDIRECT($B$5&amp;"生成成长"),3))*(VLOOKUP($B$5,标准坦克设计!$B$14:$K$20,9)/30))</f>
        <v>12.550399090155967</v>
      </c>
      <c r="DY150" s="172">
        <f ca="1">(VLOOKUP(DY$72,INDIRECT($C$5&amp;"生成成长"),2))/((VLOOKUP($B150,INDIRECT($B$5&amp;"生成成长"),4))/(VLOOKUP(DY$72,INDIRECT($C$5&amp;"生成成长"),5))*(VLOOKUP($B$5,标准坦克设计!$B$24:$U$30,MATCH("对"&amp;LEFT($C$5,2)&amp;"输出",标准坦克设计!$B$23:$U$23,0)))*(VLOOKUP($B150,INDIRECT($B$5&amp;"生成成长"),3))*(VLOOKUP($B$5,标准坦克设计!$B$14:$K$20,9)/30))</f>
        <v>5.6368249825543835</v>
      </c>
      <c r="DZ150" s="172">
        <f ca="1">(VLOOKUP(DZ$72,INDIRECT($C$5&amp;"生成成长"),2))/((VLOOKUP($B150,INDIRECT($B$5&amp;"生成成长"),4))/(VLOOKUP(DZ$72,INDIRECT($C$5&amp;"生成成长"),5))*(VLOOKUP($B$5,标准坦克设计!$B$24:$U$30,MATCH("对"&amp;LEFT($C$5,2)&amp;"输出",标准坦克设计!$B$23:$U$23,0)))*(VLOOKUP($B150,INDIRECT($B$5&amp;"生成成长"),3))*(VLOOKUP($B$5,标准坦克设计!$B$14:$K$20,9)/30))</f>
        <v>6.2425198355357487</v>
      </c>
      <c r="EA150" s="172">
        <f ca="1">(VLOOKUP(EA$72,INDIRECT($C$5&amp;"生成成长"),2))/((VLOOKUP($B150,INDIRECT($B$5&amp;"生成成长"),4))/(VLOOKUP(EA$72,INDIRECT($C$5&amp;"生成成长"),5))*(VLOOKUP($B$5,标准坦克设计!$B$24:$U$30,MATCH("对"&amp;LEFT($C$5,2)&amp;"输出",标准坦克设计!$B$23:$U$23,0)))*(VLOOKUP($B150,INDIRECT($B$5&amp;"生成成长"),3))*(VLOOKUP($B$5,标准坦克设计!$B$14:$K$20,9)/30))</f>
        <v>6.8791174871386138</v>
      </c>
      <c r="EB150" s="172">
        <f ca="1">(VLOOKUP(EB$72,INDIRECT($C$5&amp;"生成成长"),2))/((VLOOKUP($B150,INDIRECT($B$5&amp;"生成成长"),4))/(VLOOKUP(EB$72,INDIRECT($C$5&amp;"生成成长"),5))*(VLOOKUP($B$5,标准坦克设计!$B$24:$U$30,MATCH("对"&amp;LEFT($C$5,2)&amp;"输出",标准坦克设计!$B$23:$U$23,0)))*(VLOOKUP($B150,INDIRECT($B$5&amp;"生成成长"),3))*(VLOOKUP($B$5,标准坦克设计!$B$14:$K$20,9)/30))</f>
        <v>7.5466179373629751</v>
      </c>
      <c r="EC150" s="172">
        <f ca="1">(VLOOKUP(EC$72,INDIRECT($C$5&amp;"生成成长"),2))/((VLOOKUP($B150,INDIRECT($B$5&amp;"生成成长"),4))/(VLOOKUP(EC$72,INDIRECT($C$5&amp;"生成成长"),5))*(VLOOKUP($B$5,标准坦克设计!$B$24:$U$30,MATCH("对"&amp;LEFT($C$5,2)&amp;"输出",标准坦克设计!$B$23:$U$23,0)))*(VLOOKUP($B150,INDIRECT($B$5&amp;"生成成长"),3))*(VLOOKUP($B$5,标准坦克设计!$B$14:$K$20,9)/30))</f>
        <v>8.2450211862088345</v>
      </c>
      <c r="ED150" s="172">
        <f ca="1">(VLOOKUP(ED$72,INDIRECT($C$5&amp;"生成成长"),2))/((VLOOKUP($B150,INDIRECT($B$5&amp;"生成成长"),4))/(VLOOKUP(ED$72,INDIRECT($C$5&amp;"生成成长"),5))*(VLOOKUP($B$5,标准坦克设计!$B$24:$U$30,MATCH("对"&amp;LEFT($C$5,2)&amp;"输出",标准坦克设计!$B$23:$U$23,0)))*(VLOOKUP($B150,INDIRECT($B$5&amp;"生成成长"),3))*(VLOOKUP($B$5,标准坦克设计!$B$14:$K$20,9)/30))</f>
        <v>8.9743272336761937</v>
      </c>
      <c r="EE150" s="172">
        <f ca="1">(VLOOKUP(EE$72,INDIRECT($C$5&amp;"生成成长"),2))/((VLOOKUP($B150,INDIRECT($B$5&amp;"生成成长"),4))/(VLOOKUP(EE$72,INDIRECT($C$5&amp;"生成成长"),5))*(VLOOKUP($B$5,标准坦克设计!$B$24:$U$30,MATCH("对"&amp;LEFT($C$5,2)&amp;"输出",标准坦克设计!$B$23:$U$23,0)))*(VLOOKUP($B150,INDIRECT($B$5&amp;"生成成长"),3))*(VLOOKUP($B$5,标准坦克设计!$B$14:$K$20,9)/30))</f>
        <v>9.7345360797650482</v>
      </c>
      <c r="EF150" s="172">
        <f ca="1">(VLOOKUP(EF$72,INDIRECT($C$5&amp;"生成成长"),2))/((VLOOKUP($B150,INDIRECT($B$5&amp;"生成成长"),4))/(VLOOKUP(EF$72,INDIRECT($C$5&amp;"生成成长"),5))*(VLOOKUP($B$5,标准坦克设计!$B$24:$U$30,MATCH("对"&amp;LEFT($C$5,2)&amp;"输出",标准坦克设计!$B$23:$U$23,0)))*(VLOOKUP($B150,INDIRECT($B$5&amp;"生成成长"),3))*(VLOOKUP($B$5,标准坦克设计!$B$14:$K$20,9)/30))</f>
        <v>10.525647724475405</v>
      </c>
      <c r="EG150" s="172">
        <f ca="1">(VLOOKUP(EG$72,INDIRECT($C$5&amp;"生成成长"),2))/((VLOOKUP($B150,INDIRECT($B$5&amp;"生成成长"),4))/(VLOOKUP(EG$72,INDIRECT($C$5&amp;"生成成长"),5))*(VLOOKUP($B$5,标准坦克设计!$B$24:$U$30,MATCH("对"&amp;LEFT($C$5,2)&amp;"输出",标准坦克设计!$B$23:$U$23,0)))*(VLOOKUP($B150,INDIRECT($B$5&amp;"生成成长"),3))*(VLOOKUP($B$5,标准坦克设计!$B$14:$K$20,9)/30))</f>
        <v>11.347662167807254</v>
      </c>
      <c r="EH150" s="172">
        <f ca="1">(VLOOKUP(EH$72,INDIRECT($C$5&amp;"生成成长"),2))/((VLOOKUP($B150,INDIRECT($B$5&amp;"生成成长"),4))/(VLOOKUP(EH$72,INDIRECT($C$5&amp;"生成成长"),5))*(VLOOKUP($B$5,标准坦克设计!$B$24:$U$30,MATCH("对"&amp;LEFT($C$5,2)&amp;"输出",标准坦克设计!$B$23:$U$23,0)))*(VLOOKUP($B150,INDIRECT($B$5&amp;"生成成长"),3))*(VLOOKUP($B$5,标准坦克设计!$B$14:$K$20,9)/30))</f>
        <v>12.200579409760607</v>
      </c>
      <c r="EI150" s="172">
        <f ca="1">(VLOOKUP(EI$72,INDIRECT($C$5&amp;"生成成长"),2))/((VLOOKUP($B150,INDIRECT($B$5&amp;"生成成长"),4))/(VLOOKUP(EI$72,INDIRECT($C$5&amp;"生成成长"),5))*(VLOOKUP($B$5,标准坦克设计!$B$24:$U$30,MATCH("对"&amp;LEFT($C$5,2)&amp;"输出",标准坦克设计!$B$23:$U$23,0)))*(VLOOKUP($B150,INDIRECT($B$5&amp;"生成成长"),3))*(VLOOKUP($B$5,标准坦克设计!$B$14:$K$20,9)/30))</f>
        <v>13.084399450335455</v>
      </c>
      <c r="EJ150" s="172">
        <f ca="1">(VLOOKUP(EJ$72,INDIRECT($C$5&amp;"生成成长"),2))/((VLOOKUP($B150,INDIRECT($B$5&amp;"生成成长"),4))/(VLOOKUP(EJ$72,INDIRECT($C$5&amp;"生成成长"),5))*(VLOOKUP($B$5,标准坦克设计!$B$24:$U$30,MATCH("对"&amp;LEFT($C$5,2)&amp;"输出",标准坦克设计!$B$23:$U$23,0)))*(VLOOKUP($B150,INDIRECT($B$5&amp;"生成成长"),3))*(VLOOKUP($B$5,标准坦克设计!$B$14:$K$20,9)/30))</f>
        <v>13.999122289531801</v>
      </c>
      <c r="EK150" s="172">
        <f ca="1">(VLOOKUP(EK$72,INDIRECT($C$5&amp;"生成成长"),2))/((VLOOKUP($B150,INDIRECT($B$5&amp;"生成成长"),4))/(VLOOKUP(EK$72,INDIRECT($C$5&amp;"生成成长"),5))*(VLOOKUP($B$5,标准坦克设计!$B$24:$U$30,MATCH("对"&amp;LEFT($C$5,2)&amp;"输出",标准坦克设计!$B$23:$U$23,0)))*(VLOOKUP($B150,INDIRECT($B$5&amp;"生成成长"),3))*(VLOOKUP($B$5,标准坦克设计!$B$14:$K$20,9)/30))</f>
        <v>15.137581390747799</v>
      </c>
      <c r="EL150" s="172">
        <f ca="1">(VLOOKUP(EL$72,INDIRECT($C$5&amp;"生成成长"),2))/((VLOOKUP($B150,INDIRECT($B$5&amp;"生成成长"),4))/(VLOOKUP(EL$72,INDIRECT($C$5&amp;"生成成长"),5))*(VLOOKUP($B$5,标准坦克设计!$B$24:$U$30,MATCH("对"&amp;LEFT($C$5,2)&amp;"输出",标准坦克设计!$B$23:$U$23,0)))*(VLOOKUP($B150,INDIRECT($B$5&amp;"生成成长"),3))*(VLOOKUP($B$5,标准坦克设计!$B$14:$K$20,9)/30))</f>
        <v>16.320540521978749</v>
      </c>
      <c r="EM150" s="172">
        <f ca="1">(VLOOKUP(EM$72,INDIRECT($C$5&amp;"生成成长"),2))/((VLOOKUP($B150,INDIRECT($B$5&amp;"生成成长"),4))/(VLOOKUP(EM$72,INDIRECT($C$5&amp;"生成成长"),5))*(VLOOKUP($B$5,标准坦克设计!$B$24:$U$30,MATCH("对"&amp;LEFT($C$5,2)&amp;"输出",标准坦克设计!$B$23:$U$23,0)))*(VLOOKUP($B150,INDIRECT($B$5&amp;"生成成长"),3))*(VLOOKUP($B$5,标准坦克设计!$B$14:$K$20,9)/30))</f>
        <v>17.547999683224663</v>
      </c>
      <c r="EN150" s="172">
        <f ca="1">(VLOOKUP(EN$72,INDIRECT($C$5&amp;"生成成长"),2))/((VLOOKUP($B150,INDIRECT($B$5&amp;"生成成长"),4))/(VLOOKUP(EN$72,INDIRECT($C$5&amp;"生成成长"),5))*(VLOOKUP($B$5,标准坦克设计!$B$24:$U$30,MATCH("对"&amp;LEFT($C$5,2)&amp;"输出",标准坦克设计!$B$23:$U$23,0)))*(VLOOKUP($B150,INDIRECT($B$5&amp;"生成成长"),3))*(VLOOKUP($B$5,标准坦克设计!$B$14:$K$20,9)/30))</f>
        <v>18.819958874485526</v>
      </c>
      <c r="EO150" s="172">
        <f ca="1">(VLOOKUP(EO$72,INDIRECT($C$5&amp;"生成成长"),2))/((VLOOKUP($B150,INDIRECT($B$5&amp;"生成成长"),4))/(VLOOKUP(EO$72,INDIRECT($C$5&amp;"生成成长"),5))*(VLOOKUP($B$5,标准坦克设计!$B$24:$U$30,MATCH("对"&amp;LEFT($C$5,2)&amp;"输出",标准坦克设计!$B$23:$U$23,0)))*(VLOOKUP($B150,INDIRECT($B$5&amp;"生成成长"),3))*(VLOOKUP($B$5,标准坦克设计!$B$14:$K$20,9)/30))</f>
        <v>20.136418095761353</v>
      </c>
      <c r="EP150" s="172">
        <f ca="1">(VLOOKUP(EP$72,INDIRECT($C$5&amp;"生成成长"),2))/((VLOOKUP($B150,INDIRECT($B$5&amp;"生成成长"),4))/(VLOOKUP(EP$72,INDIRECT($C$5&amp;"生成成长"),5))*(VLOOKUP($B$5,标准坦克设计!$B$24:$U$30,MATCH("对"&amp;LEFT($C$5,2)&amp;"输出",标准坦克设计!$B$23:$U$23,0)))*(VLOOKUP($B150,INDIRECT($B$5&amp;"生成成长"),3))*(VLOOKUP($B$5,标准坦克设计!$B$14:$K$20,9)/30))</f>
        <v>21.497377347052137</v>
      </c>
      <c r="EQ150" s="172">
        <f ca="1">(VLOOKUP(EQ$72,INDIRECT($C$5&amp;"生成成长"),2))/((VLOOKUP($B150,INDIRECT($B$5&amp;"生成成长"),4))/(VLOOKUP(EQ$72,INDIRECT($C$5&amp;"生成成长"),5))*(VLOOKUP($B$5,标准坦克设计!$B$24:$U$30,MATCH("对"&amp;LEFT($C$5,2)&amp;"输出",标准坦克设计!$B$23:$U$23,0)))*(VLOOKUP($B150,INDIRECT($B$5&amp;"生成成长"),3))*(VLOOKUP($B$5,标准坦克设计!$B$14:$K$20,9)/30))</f>
        <v>9.5032286320831361</v>
      </c>
      <c r="ER150" s="172">
        <f ca="1">(VLOOKUP(ER$72,INDIRECT($C$5&amp;"生成成长"),2))/((VLOOKUP($B150,INDIRECT($B$5&amp;"生成成长"),4))/(VLOOKUP(ER$72,INDIRECT($C$5&amp;"生成成长"),5))*(VLOOKUP($B$5,标准坦克设计!$B$24:$U$30,MATCH("对"&amp;LEFT($C$5,2)&amp;"输出",标准坦克设计!$B$23:$U$23,0)))*(VLOOKUP($B150,INDIRECT($B$5&amp;"生成成长"),3))*(VLOOKUP($B$5,标准坦克设计!$B$14:$K$20,9)/30))</f>
        <v>10.364953171643615</v>
      </c>
      <c r="ES150" s="172">
        <f ca="1">(VLOOKUP(ES$72,INDIRECT($C$5&amp;"生成成长"),2))/((VLOOKUP($B150,INDIRECT($B$5&amp;"生成成长"),4))/(VLOOKUP(ES$72,INDIRECT($C$5&amp;"生成成长"),5))*(VLOOKUP($B$5,标准坦克设计!$B$24:$U$30,MATCH("对"&amp;LEFT($C$5,2)&amp;"输出",标准坦克设计!$B$23:$U$23,0)))*(VLOOKUP($B150,INDIRECT($B$5&amp;"生成成长"),3))*(VLOOKUP($B$5,标准坦克设计!$B$14:$K$20,9)/30))</f>
        <v>11.264070097536104</v>
      </c>
      <c r="ET150" s="172">
        <f ca="1">(VLOOKUP(ET$72,INDIRECT($C$5&amp;"生成成长"),2))/((VLOOKUP($B150,INDIRECT($B$5&amp;"生成成长"),4))/(VLOOKUP(ET$72,INDIRECT($C$5&amp;"生成成长"),5))*(VLOOKUP($B$5,标准坦克设计!$B$24:$U$30,MATCH("对"&amp;LEFT($C$5,2)&amp;"输出",标准坦克设计!$B$23:$U$23,0)))*(VLOOKUP($B150,INDIRECT($B$5&amp;"生成成长"),3))*(VLOOKUP($B$5,标准坦克设计!$B$14:$K$20,9)/30))</f>
        <v>12.200579409760607</v>
      </c>
      <c r="EU150" s="172">
        <f ca="1">(VLOOKUP(EU$72,INDIRECT($C$5&amp;"生成成长"),2))/((VLOOKUP($B150,INDIRECT($B$5&amp;"生成成长"),4))/(VLOOKUP(EU$72,INDIRECT($C$5&amp;"生成成长"),5))*(VLOOKUP($B$5,标准坦克设计!$B$24:$U$30,MATCH("对"&amp;LEFT($C$5,2)&amp;"输出",标准坦克设计!$B$23:$U$23,0)))*(VLOOKUP($B150,INDIRECT($B$5&amp;"生成成长"),3))*(VLOOKUP($B$5,标准坦克设计!$B$14:$K$20,9)/30))</f>
        <v>13.174481108317124</v>
      </c>
      <c r="EV150" s="172">
        <f ca="1">(VLOOKUP(EV$72,INDIRECT($C$5&amp;"生成成长"),2))/((VLOOKUP($B150,INDIRECT($B$5&amp;"生成成长"),4))/(VLOOKUP(EV$72,INDIRECT($C$5&amp;"生成成长"),5))*(VLOOKUP($B$5,标准坦克设计!$B$24:$U$30,MATCH("对"&amp;LEFT($C$5,2)&amp;"输出",标准坦克设计!$B$23:$U$23,0)))*(VLOOKUP($B150,INDIRECT($B$5&amp;"生成成长"),3))*(VLOOKUP($B$5,标准坦克设计!$B$14:$K$20,9)/30))</f>
        <v>14.185775193205654</v>
      </c>
      <c r="EW150" s="172">
        <f ca="1">(VLOOKUP(EW$72,INDIRECT($C$5&amp;"生成成长"),2))/((VLOOKUP($B150,INDIRECT($B$5&amp;"生成成长"),4))/(VLOOKUP(EW$72,INDIRECT($C$5&amp;"生成成长"),5))*(VLOOKUP($B$5,标准坦克设计!$B$24:$U$30,MATCH("对"&amp;LEFT($C$5,2)&amp;"输出",标准坦克设计!$B$23:$U$23,0)))*(VLOOKUP($B150,INDIRECT($B$5&amp;"生成成长"),3))*(VLOOKUP($B$5,标准坦克设计!$B$14:$K$20,9)/30))</f>
        <v>15.234461664426195</v>
      </c>
      <c r="EX150" s="172">
        <f ca="1">(VLOOKUP(EX$72,INDIRECT($C$5&amp;"生成成长"),2))/((VLOOKUP($B150,INDIRECT($B$5&amp;"生成成长"),4))/(VLOOKUP(EX$72,INDIRECT($C$5&amp;"生成成长"),5))*(VLOOKUP($B$5,标准坦克设计!$B$24:$U$30,MATCH("对"&amp;LEFT($C$5,2)&amp;"输出",标准坦克设计!$B$23:$U$23,0)))*(VLOOKUP($B150,INDIRECT($B$5&amp;"生成成长"),3))*(VLOOKUP($B$5,标准坦克设计!$B$14:$K$20,9)/30))</f>
        <v>16.320540521978749</v>
      </c>
      <c r="EY150" s="172">
        <f ca="1">(VLOOKUP(EY$72,INDIRECT($C$5&amp;"生成成长"),2))/((VLOOKUP($B150,INDIRECT($B$5&amp;"生成成长"),4))/(VLOOKUP(EY$72,INDIRECT($C$5&amp;"生成成长"),5))*(VLOOKUP($B$5,标准坦克设计!$B$24:$U$30,MATCH("对"&amp;LEFT($C$5,2)&amp;"输出",标准坦克设计!$B$23:$U$23,0)))*(VLOOKUP($B150,INDIRECT($B$5&amp;"生成成长"),3))*(VLOOKUP($B$5,标准坦克设计!$B$14:$K$20,9)/30))</f>
        <v>17.444011765863323</v>
      </c>
      <c r="EZ150" s="172">
        <f ca="1">(VLOOKUP(EZ$72,INDIRECT($C$5&amp;"生成成长"),2))/((VLOOKUP($B150,INDIRECT($B$5&amp;"生成成长"),4))/(VLOOKUP(EZ$72,INDIRECT($C$5&amp;"生成成长"),5))*(VLOOKUP($B$5,标准坦克设计!$B$24:$U$30,MATCH("对"&amp;LEFT($C$5,2)&amp;"输出",标准坦克设计!$B$23:$U$23,0)))*(VLOOKUP($B150,INDIRECT($B$5&amp;"生成成长"),3))*(VLOOKUP($B$5,标准坦克设计!$B$14:$K$20,9)/30))</f>
        <v>18.604875396079901</v>
      </c>
      <c r="FA150" s="172">
        <f ca="1">(VLOOKUP(FA$72,INDIRECT($C$5&amp;"生成成长"),2))/((VLOOKUP($B150,INDIRECT($B$5&amp;"生成成长"),4))/(VLOOKUP(FA$72,INDIRECT($C$5&amp;"生成成长"),5))*(VLOOKUP($B$5,标准坦克设计!$B$24:$U$30,MATCH("对"&amp;LEFT($C$5,2)&amp;"输出",标准坦克设计!$B$23:$U$23,0)))*(VLOOKUP($B150,INDIRECT($B$5&amp;"生成成长"),3))*(VLOOKUP($B$5,标准坦克设计!$B$14:$K$20,9)/30))</f>
        <v>19.803131412628495</v>
      </c>
      <c r="FB150" s="172">
        <f ca="1">(VLOOKUP(FB$72,INDIRECT($C$5&amp;"生成成长"),2))/((VLOOKUP($B150,INDIRECT($B$5&amp;"生成成长"),4))/(VLOOKUP(FB$72,INDIRECT($C$5&amp;"生成成长"),5))*(VLOOKUP($B$5,标准坦克设计!$B$24:$U$30,MATCH("对"&amp;LEFT($C$5,2)&amp;"输出",标准坦克设计!$B$23:$U$23,0)))*(VLOOKUP($B150,INDIRECT($B$5&amp;"生成成长"),3))*(VLOOKUP($B$5,标准坦克设计!$B$14:$K$20,9)/30))</f>
        <v>21.038779815509098</v>
      </c>
      <c r="FC150" s="172">
        <f ca="1">(VLOOKUP(FC$72,INDIRECT($C$5&amp;"生成成长"),2))/((VLOOKUP($B150,INDIRECT($B$5&amp;"生成成长"),4))/(VLOOKUP(FC$72,INDIRECT($C$5&amp;"生成成长"),5))*(VLOOKUP($B$5,标准坦克设计!$B$24:$U$30,MATCH("对"&amp;LEFT($C$5,2)&amp;"输出",标准坦克设计!$B$23:$U$23,0)))*(VLOOKUP($B150,INDIRECT($B$5&amp;"生成成长"),3))*(VLOOKUP($B$5,标准坦克设计!$B$14:$K$20,9)/30))</f>
        <v>22.311820604721721</v>
      </c>
      <c r="FD150" s="172">
        <f ca="1">(VLOOKUP(FD$72,INDIRECT($C$5&amp;"生成成长"),2))/((VLOOKUP($B150,INDIRECT($B$5&amp;"生成成长"),4))/(VLOOKUP(FD$72,INDIRECT($C$5&amp;"生成成长"),5))*(VLOOKUP($B$5,标准坦克设计!$B$24:$U$30,MATCH("对"&amp;LEFT($C$5,2)&amp;"输出",标准坦克设计!$B$23:$U$23,0)))*(VLOOKUP($B150,INDIRECT($B$5&amp;"生成成长"),3))*(VLOOKUP($B$5,标准坦克设计!$B$14:$K$20,9)/30))</f>
        <v>23.622253780266352</v>
      </c>
      <c r="FE150" s="172">
        <f ca="1">(VLOOKUP(FE$72,INDIRECT($C$5&amp;"生成成长"),2))/((VLOOKUP($B150,INDIRECT($B$5&amp;"生成成长"),4))/(VLOOKUP(FE$72,INDIRECT($C$5&amp;"生成成长"),5))*(VLOOKUP($B$5,标准坦克设计!$B$24:$U$30,MATCH("对"&amp;LEFT($C$5,2)&amp;"输出",标准坦克设计!$B$23:$U$23,0)))*(VLOOKUP($B150,INDIRECT($B$5&amp;"生成成长"),3))*(VLOOKUP($B$5,标准坦克设计!$B$14:$K$20,9)/30))</f>
        <v>25.219155899032277</v>
      </c>
      <c r="FF150" s="172">
        <f ca="1">(VLOOKUP(FF$72,INDIRECT($C$5&amp;"生成成长"),2))/((VLOOKUP($B150,INDIRECT($B$5&amp;"生成成长"),4))/(VLOOKUP(FF$72,INDIRECT($C$5&amp;"生成成长"),5))*(VLOOKUP($B$5,标准坦克设计!$B$24:$U$30,MATCH("对"&amp;LEFT($C$5,2)&amp;"输出",标准坦克设计!$B$23:$U$23,0)))*(VLOOKUP($B150,INDIRECT($B$5&amp;"生成成长"),3))*(VLOOKUP($B$5,标准坦克设计!$B$14:$K$20,9)/30))</f>
        <v>26.868283747468524</v>
      </c>
      <c r="FG150" s="172">
        <f ca="1">(VLOOKUP(FG$72,INDIRECT($C$5&amp;"生成成长"),2))/((VLOOKUP($B150,INDIRECT($B$5&amp;"生成成长"),4))/(VLOOKUP(FG$72,INDIRECT($C$5&amp;"生成成长"),5))*(VLOOKUP($B$5,标准坦克设计!$B$24:$U$30,MATCH("对"&amp;LEFT($C$5,2)&amp;"输出",标准坦克设计!$B$23:$U$23,0)))*(VLOOKUP($B150,INDIRECT($B$5&amp;"生成成长"),3))*(VLOOKUP($B$5,标准坦克设计!$B$14:$K$20,9)/30))</f>
        <v>28.569637325575115</v>
      </c>
      <c r="FH150" s="172">
        <f ca="1">(VLOOKUP(FH$72,INDIRECT($C$5&amp;"生成成长"),2))/((VLOOKUP($B150,INDIRECT($B$5&amp;"生成成长"),4))/(VLOOKUP(FH$72,INDIRECT($C$5&amp;"生成成长"),5))*(VLOOKUP($B$5,标准坦克设计!$B$24:$U$30,MATCH("对"&amp;LEFT($C$5,2)&amp;"输出",标准坦克设计!$B$23:$U$23,0)))*(VLOOKUP($B150,INDIRECT($B$5&amp;"生成成长"),3))*(VLOOKUP($B$5,标准坦克设计!$B$14:$K$20,9)/30))</f>
        <v>30.323216633352029</v>
      </c>
      <c r="FI150" s="172">
        <f ca="1">(VLOOKUP(FI$72,INDIRECT($C$5&amp;"生成成长"),2))/((VLOOKUP($B150,INDIRECT($B$5&amp;"生成成长"),4))/(VLOOKUP(FI$72,INDIRECT($C$5&amp;"生成成长"),5))*(VLOOKUP($B$5,标准坦克设计!$B$24:$U$30,MATCH("对"&amp;LEFT($C$5,2)&amp;"输出",标准坦克设计!$B$23:$U$23,0)))*(VLOOKUP($B150,INDIRECT($B$5&amp;"生成成长"),3))*(VLOOKUP($B$5,标准坦克设计!$B$14:$K$20,9)/30))</f>
        <v>32.129021670799276</v>
      </c>
      <c r="FJ150" s="172">
        <f ca="1">(VLOOKUP(FJ$72,INDIRECT($C$5&amp;"生成成长"),2))/((VLOOKUP($B150,INDIRECT($B$5&amp;"生成成长"),4))/(VLOOKUP(FJ$72,INDIRECT($C$5&amp;"生成成长"),5))*(VLOOKUP($B$5,标准坦克设计!$B$24:$U$30,MATCH("对"&amp;LEFT($C$5,2)&amp;"输出",标准坦克设计!$B$23:$U$23,0)))*(VLOOKUP($B150,INDIRECT($B$5&amp;"生成成长"),3))*(VLOOKUP($B$5,标准坦克设计!$B$14:$K$20,9)/30))</f>
        <v>33.987052437916859</v>
      </c>
      <c r="FK150" s="172">
        <f ca="1">(VLOOKUP(FK$72,INDIRECT($C$5&amp;"生成成长"),2))/((VLOOKUP($B150,INDIRECT($B$5&amp;"生成成长"),4))/(VLOOKUP(FK$72,INDIRECT($C$5&amp;"生成成长"),5))*(VLOOKUP($B$5,标准坦克设计!$B$24:$U$30,MATCH("对"&amp;LEFT($C$5,2)&amp;"输出",标准坦克设计!$B$23:$U$23,0)))*(VLOOKUP($B150,INDIRECT($B$5&amp;"生成成长"),3))*(VLOOKUP($B$5,标准坦克设计!$B$14:$K$20,9)/30))</f>
        <v>35.897308934704775</v>
      </c>
    </row>
    <row r="151" spans="1:167" x14ac:dyDescent="0.15">
      <c r="A151" s="170" t="str">
        <f t="shared" si="12"/>
        <v>T4中品质7级</v>
      </c>
      <c r="B151" s="171">
        <v>20407</v>
      </c>
      <c r="C151" s="172">
        <f ca="1">(VLOOKUP(C$72,INDIRECT($C$5&amp;"生成成长"),2))/((VLOOKUP($B151,INDIRECT($B$5&amp;"生成成长"),4))/(VLOOKUP(C$72,INDIRECT($C$5&amp;"生成成长"),5))*(VLOOKUP($B$5,标准坦克设计!$B$24:$U$30,MATCH("对"&amp;LEFT($C$5,2)&amp;"输出",标准坦克设计!$B$23:$U$23,0)))*(VLOOKUP($B151,INDIRECT($B$5&amp;"生成成长"),3))*(VLOOKUP($B$5,标准坦克设计!$B$14:$K$20,9)/30))</f>
        <v>1.420522017040567</v>
      </c>
      <c r="D151" s="172">
        <f ca="1">(VLOOKUP(D$72,INDIRECT($C$5&amp;"生成成长"),2))/((VLOOKUP($B151,INDIRECT($B$5&amp;"生成成长"),4))/(VLOOKUP(D$72,INDIRECT($C$5&amp;"生成成长"),5))*(VLOOKUP($B$5,标准坦克设计!$B$24:$U$30,MATCH("对"&amp;LEFT($C$5,2)&amp;"输出",标准坦克设计!$B$23:$U$23,0)))*(VLOOKUP($B151,INDIRECT($B$5&amp;"生成成长"),3))*(VLOOKUP($B$5,标准坦克设计!$B$14:$K$20,9)/30))</f>
        <v>1.5960985383467816</v>
      </c>
      <c r="E151" s="172">
        <f ca="1">(VLOOKUP(E$72,INDIRECT($C$5&amp;"生成成长"),2))/((VLOOKUP($B151,INDIRECT($B$5&amp;"生成成长"),4))/(VLOOKUP(E$72,INDIRECT($C$5&amp;"生成成长"),5))*(VLOOKUP($B$5,标准坦克设计!$B$24:$U$30,MATCH("对"&amp;LEFT($C$5,2)&amp;"输出",标准坦克设计!$B$23:$U$23,0)))*(VLOOKUP($B151,INDIRECT($B$5&amp;"生成成长"),3))*(VLOOKUP($B$5,标准坦克设计!$B$14:$K$20,9)/30))</f>
        <v>1.7819028181756875</v>
      </c>
      <c r="F151" s="172">
        <f ca="1">(VLOOKUP(F$72,INDIRECT($C$5&amp;"生成成长"),2))/((VLOOKUP($B151,INDIRECT($B$5&amp;"生成成长"),4))/(VLOOKUP(F$72,INDIRECT($C$5&amp;"生成成长"),5))*(VLOOKUP($B$5,标准坦克设计!$B$24:$U$30,MATCH("对"&amp;LEFT($C$5,2)&amp;"输出",标准坦克设计!$B$23:$U$23,0)))*(VLOOKUP($B151,INDIRECT($B$5&amp;"生成成长"),3))*(VLOOKUP($B$5,标准坦克设计!$B$14:$K$20,9)/30))</f>
        <v>1.9779348565272856</v>
      </c>
      <c r="G151" s="172">
        <f ca="1">(VLOOKUP(G$72,INDIRECT($C$5&amp;"生成成长"),2))/((VLOOKUP($B151,INDIRECT($B$5&amp;"生成成长"),4))/(VLOOKUP(G$72,INDIRECT($C$5&amp;"生成成长"),5))*(VLOOKUP($B$5,标准坦克设计!$B$24:$U$30,MATCH("对"&amp;LEFT($C$5,2)&amp;"输出",标准坦克设计!$B$23:$U$23,0)))*(VLOOKUP($B151,INDIRECT($B$5&amp;"生成成长"),3))*(VLOOKUP($B$5,标准坦克设计!$B$14:$K$20,9)/30))</f>
        <v>2.1841946534015761</v>
      </c>
      <c r="H151" s="172">
        <f ca="1">(VLOOKUP(H$72,INDIRECT($C$5&amp;"生成成长"),2))/((VLOOKUP($B151,INDIRECT($B$5&amp;"生成成长"),4))/(VLOOKUP(H$72,INDIRECT($C$5&amp;"生成成长"),5))*(VLOOKUP($B$5,标准坦克设计!$B$24:$U$30,MATCH("对"&amp;LEFT($C$5,2)&amp;"输出",标准坦克设计!$B$23:$U$23,0)))*(VLOOKUP($B151,INDIRECT($B$5&amp;"生成成长"),3))*(VLOOKUP($B$5,标准坦克设计!$B$14:$K$20,9)/30))</f>
        <v>1.9114544261297872</v>
      </c>
      <c r="I151" s="172">
        <f ca="1">(VLOOKUP(I$72,INDIRECT($C$5&amp;"生成成长"),2))/((VLOOKUP($B151,INDIRECT($B$5&amp;"生成成长"),4))/(VLOOKUP(I$72,INDIRECT($C$5&amp;"生成成长"),5))*(VLOOKUP($B$5,标准坦克设计!$B$24:$U$30,MATCH("对"&amp;LEFT($C$5,2)&amp;"输出",标准坦克设计!$B$23:$U$23,0)))*(VLOOKUP($B151,INDIRECT($B$5&amp;"生成成长"),3))*(VLOOKUP($B$5,标准坦克设计!$B$14:$K$20,9)/30))</f>
        <v>2.1841946534015761</v>
      </c>
      <c r="J151" s="172">
        <f ca="1">(VLOOKUP(J$72,INDIRECT($C$5&amp;"生成成长"),2))/((VLOOKUP($B151,INDIRECT($B$5&amp;"生成成长"),4))/(VLOOKUP(J$72,INDIRECT($C$5&amp;"生成成长"),5))*(VLOOKUP($B$5,标准坦克设计!$B$24:$U$30,MATCH("对"&amp;LEFT($C$5,2)&amp;"输出",标准坦克设计!$B$23:$U$23,0)))*(VLOOKUP($B151,INDIRECT($B$5&amp;"生成成长"),3))*(VLOOKUP($B$5,标准坦克设计!$B$14:$K$20,9)/30))</f>
        <v>2.4751175624914845</v>
      </c>
      <c r="K151" s="172">
        <f ca="1">(VLOOKUP(K$72,INDIRECT($C$5&amp;"生成成长"),2))/((VLOOKUP($B151,INDIRECT($B$5&amp;"生成成长"),4))/(VLOOKUP(K$72,INDIRECT($C$5&amp;"生成成长"),5))*(VLOOKUP($B$5,标准坦克设计!$B$24:$U$30,MATCH("对"&amp;LEFT($C$5,2)&amp;"输出",标准坦克设计!$B$23:$U$23,0)))*(VLOOKUP($B151,INDIRECT($B$5&amp;"生成成长"),3))*(VLOOKUP($B$5,标准坦克设计!$B$14:$K$20,9)/30))</f>
        <v>2.7842231533995117</v>
      </c>
      <c r="L151" s="172">
        <f ca="1">(VLOOKUP(L$72,INDIRECT($C$5&amp;"生成成长"),2))/((VLOOKUP($B151,INDIRECT($B$5&amp;"生成成长"),4))/(VLOOKUP(L$72,INDIRECT($C$5&amp;"生成成长"),5))*(VLOOKUP($B$5,标准坦克设计!$B$24:$U$30,MATCH("对"&amp;LEFT($C$5,2)&amp;"输出",标准坦克设计!$B$23:$U$23,0)))*(VLOOKUP($B151,INDIRECT($B$5&amp;"生成成长"),3))*(VLOOKUP($B$5,标准坦克设计!$B$14:$K$20,9)/30))</f>
        <v>3.1115114261256585</v>
      </c>
      <c r="M151" s="172">
        <f ca="1">(VLOOKUP(M$72,INDIRECT($C$5&amp;"生成成长"),2))/((VLOOKUP($B151,INDIRECT($B$5&amp;"生成成长"),4))/(VLOOKUP(M$72,INDIRECT($C$5&amp;"生成成长"),5))*(VLOOKUP($B$5,标准坦克设计!$B$24:$U$30,MATCH("对"&amp;LEFT($C$5,2)&amp;"输出",标准坦克设计!$B$23:$U$23,0)))*(VLOOKUP($B151,INDIRECT($B$5&amp;"生成成长"),3))*(VLOOKUP($B$5,标准坦克设计!$B$14:$K$20,9)/30))</f>
        <v>3.4569823806699245</v>
      </c>
      <c r="N151" s="172">
        <f ca="1">(VLOOKUP(N$72,INDIRECT($C$5&amp;"生成成长"),2))/((VLOOKUP($B151,INDIRECT($B$5&amp;"生成成长"),4))/(VLOOKUP(N$72,INDIRECT($C$5&amp;"生成成长"),5))*(VLOOKUP($B$5,标准坦克设计!$B$24:$U$30,MATCH("对"&amp;LEFT($C$5,2)&amp;"输出",标准坦克设计!$B$23:$U$23,0)))*(VLOOKUP($B151,INDIRECT($B$5&amp;"生成成长"),3))*(VLOOKUP($B$5,标准坦克设计!$B$14:$K$20,9)/30))</f>
        <v>3.8206360170323097</v>
      </c>
      <c r="O151" s="172">
        <f ca="1">(VLOOKUP(O$72,INDIRECT($C$5&amp;"生成成长"),2))/((VLOOKUP($B151,INDIRECT($B$5&amp;"生成成长"),4))/(VLOOKUP(O$72,INDIRECT($C$5&amp;"生成成长"),5))*(VLOOKUP($B$5,标准坦克设计!$B$24:$U$30,MATCH("对"&amp;LEFT($C$5,2)&amp;"输出",标准坦克设计!$B$23:$U$23,0)))*(VLOOKUP($B151,INDIRECT($B$5&amp;"生成成长"),3))*(VLOOKUP($B$5,标准坦克设计!$B$14:$K$20,9)/30))</f>
        <v>2.9048254726462561</v>
      </c>
      <c r="P151" s="172">
        <f ca="1">(VLOOKUP(P$72,INDIRECT($C$5&amp;"生成成长"),2))/((VLOOKUP($B151,INDIRECT($B$5&amp;"生成成长"),4))/(VLOOKUP(P$72,INDIRECT($C$5&amp;"生成成长"),5))*(VLOOKUP($B$5,标准坦克设计!$B$24:$U$30,MATCH("对"&amp;LEFT($C$5,2)&amp;"输出",标准坦克设计!$B$23:$U$23,0)))*(VLOOKUP($B151,INDIRECT($B$5&amp;"生成成长"),3))*(VLOOKUP($B$5,标准坦克设计!$B$14:$K$20,9)/30))</f>
        <v>3.2819740681705269</v>
      </c>
      <c r="Q151" s="172">
        <f ca="1">(VLOOKUP(Q$72,INDIRECT($C$5&amp;"生成成长"),2))/((VLOOKUP($B151,INDIRECT($B$5&amp;"生成成长"),4))/(VLOOKUP(Q$72,INDIRECT($C$5&amp;"生成成长"),5))*(VLOOKUP($B$5,标准坦克设计!$B$24:$U$30,MATCH("对"&amp;LEFT($C$5,2)&amp;"输出",标准坦克设计!$B$23:$U$23,0)))*(VLOOKUP($B151,INDIRECT($B$5&amp;"生成成长"),3))*(VLOOKUP($B$5,标准坦克设计!$B$14:$K$20,9)/30))</f>
        <v>3.6821351203708543</v>
      </c>
      <c r="R151" s="172">
        <f ca="1">(VLOOKUP(R$72,INDIRECT($C$5&amp;"生成成长"),2))/((VLOOKUP($B151,INDIRECT($B$5&amp;"生成成长"),4))/(VLOOKUP(R$72,INDIRECT($C$5&amp;"生成成长"),5))*(VLOOKUP($B$5,标准坦克设计!$B$24:$U$30,MATCH("对"&amp;LEFT($C$5,2)&amp;"输出",标准坦克设计!$B$23:$U$23,0)))*(VLOOKUP($B151,INDIRECT($B$5&amp;"生成成长"),3))*(VLOOKUP($B$5,标准坦克设计!$B$14:$K$20,9)/30))</f>
        <v>4.1053086292472392</v>
      </c>
      <c r="S151" s="172">
        <f ca="1">(VLOOKUP(S$72,INDIRECT($C$5&amp;"生成成长"),2))/((VLOOKUP($B151,INDIRECT($B$5&amp;"生成成长"),4))/(VLOOKUP(S$72,INDIRECT($C$5&amp;"生成成长"),5))*(VLOOKUP($B$5,标准坦克设计!$B$24:$U$30,MATCH("对"&amp;LEFT($C$5,2)&amp;"输出",标准坦克设计!$B$23:$U$23,0)))*(VLOOKUP($B151,INDIRECT($B$5&amp;"生成成长"),3))*(VLOOKUP($B$5,标准坦克设计!$B$14:$K$20,9)/30))</f>
        <v>4.5514945947996805</v>
      </c>
      <c r="T151" s="172">
        <f ca="1">(VLOOKUP(T$72,INDIRECT($C$5&amp;"生成成长"),2))/((VLOOKUP($B151,INDIRECT($B$5&amp;"生成成长"),4))/(VLOOKUP(T$72,INDIRECT($C$5&amp;"生成成长"),5))*(VLOOKUP($B$5,标准坦克设计!$B$24:$U$30,MATCH("对"&amp;LEFT($C$5,2)&amp;"输出",标准坦克设计!$B$23:$U$23,0)))*(VLOOKUP($B151,INDIRECT($B$5&amp;"生成成长"),3))*(VLOOKUP($B$5,标准坦克设计!$B$14:$K$20,9)/30))</f>
        <v>5.0206930170281812</v>
      </c>
      <c r="U151" s="172">
        <f ca="1">(VLOOKUP(U$72,INDIRECT($C$5&amp;"生成成长"),2))/((VLOOKUP($B151,INDIRECT($B$5&amp;"生成成长"),4))/(VLOOKUP(U$72,INDIRECT($C$5&amp;"生成成长"),5))*(VLOOKUP($B$5,标准坦克设计!$B$24:$U$30,MATCH("对"&amp;LEFT($C$5,2)&amp;"输出",标准坦克设计!$B$23:$U$23,0)))*(VLOOKUP($B151,INDIRECT($B$5&amp;"生成成长"),3))*(VLOOKUP($B$5,标准坦克设计!$B$14:$K$20,9)/30))</f>
        <v>5.5129038959327374</v>
      </c>
      <c r="V151" s="172">
        <f ca="1">(VLOOKUP(V$72,INDIRECT($C$5&amp;"生成成长"),2))/((VLOOKUP($B151,INDIRECT($B$5&amp;"生成成长"),4))/(VLOOKUP(V$72,INDIRECT($C$5&amp;"生成成长"),5))*(VLOOKUP($B$5,标准坦克设计!$B$24:$U$30,MATCH("对"&amp;LEFT($C$5,2)&amp;"输出",标准坦克设计!$B$23:$U$23,0)))*(VLOOKUP($B151,INDIRECT($B$5&amp;"生成成长"),3))*(VLOOKUP($B$5,标准坦克设计!$B$14:$K$20,9)/30))</f>
        <v>6.0281272315133521</v>
      </c>
      <c r="W151" s="172">
        <f ca="1">(VLOOKUP(W$72,INDIRECT($C$5&amp;"生成成长"),2))/((VLOOKUP($B151,INDIRECT($B$5&amp;"生成成长"),4))/(VLOOKUP(W$72,INDIRECT($C$5&amp;"生成成长"),5))*(VLOOKUP($B$5,标准坦克设计!$B$24:$U$30,MATCH("对"&amp;LEFT($C$5,2)&amp;"输出",标准坦克设计!$B$23:$U$23,0)))*(VLOOKUP($B151,INDIRECT($B$5&amp;"生成成长"),3))*(VLOOKUP($B$5,标准坦克设计!$B$14:$K$20,9)/30))</f>
        <v>6.5663630237700215</v>
      </c>
      <c r="X151" s="172">
        <f ca="1">(VLOOKUP(X$72,INDIRECT($C$5&amp;"生成成长"),2))/((VLOOKUP($B151,INDIRECT($B$5&amp;"生成成长"),4))/(VLOOKUP(X$72,INDIRECT($C$5&amp;"生成成长"),5))*(VLOOKUP($B$5,标准坦克设计!$B$24:$U$30,MATCH("对"&amp;LEFT($C$5,2)&amp;"输出",标准坦克设计!$B$23:$U$23,0)))*(VLOOKUP($B151,INDIRECT($B$5&amp;"生成成长"),3))*(VLOOKUP($B$5,标准坦克设计!$B$14:$K$20,9)/30))</f>
        <v>4.757186182867156</v>
      </c>
      <c r="Y151" s="172">
        <f ca="1">(VLOOKUP(Y$72,INDIRECT($C$5&amp;"生成成长"),2))/((VLOOKUP($B151,INDIRECT($B$5&amp;"生成成长"),4))/(VLOOKUP(Y$72,INDIRECT($C$5&amp;"生成成长"),5))*(VLOOKUP($B$5,标准坦克设计!$B$24:$U$30,MATCH("对"&amp;LEFT($C$5,2)&amp;"输出",标准坦克设计!$B$23:$U$23,0)))*(VLOOKUP($B151,INDIRECT($B$5&amp;"生成成长"),3))*(VLOOKUP($B$5,标准坦克设计!$B$14:$K$20,9)/30))</f>
        <v>5.2913024612744088</v>
      </c>
      <c r="Z151" s="172">
        <f ca="1">(VLOOKUP(Z$72,INDIRECT($C$5&amp;"生成成长"),2))/((VLOOKUP($B151,INDIRECT($B$5&amp;"生成成长"),4))/(VLOOKUP(Z$72,INDIRECT($C$5&amp;"生成成长"),5))*(VLOOKUP($B$5,标准坦克设计!$B$24:$U$30,MATCH("对"&amp;LEFT($C$5,2)&amp;"输出",标准坦克设计!$B$23:$U$23,0)))*(VLOOKUP($B151,INDIRECT($B$5&amp;"生成成长"),3))*(VLOOKUP($B$5,标准坦克设计!$B$14:$K$20,9)/30))</f>
        <v>5.8538291800224727</v>
      </c>
      <c r="AA151" s="172">
        <f ca="1">(VLOOKUP(AA$72,INDIRECT($C$5&amp;"生成成长"),2))/((VLOOKUP($B151,INDIRECT($B$5&amp;"生成成长"),4))/(VLOOKUP(AA$72,INDIRECT($C$5&amp;"生成成长"),5))*(VLOOKUP($B$5,标准坦克设计!$B$24:$U$30,MATCH("对"&amp;LEFT($C$5,2)&amp;"输出",标准坦克设计!$B$23:$U$23,0)))*(VLOOKUP($B151,INDIRECT($B$5&amp;"生成成长"),3))*(VLOOKUP($B$5,标准坦克设计!$B$14:$K$20,9)/30))</f>
        <v>6.4447663391113492</v>
      </c>
      <c r="AB151" s="172">
        <f ca="1">(VLOOKUP(AB$72,INDIRECT($C$5&amp;"生成成长"),2))/((VLOOKUP($B151,INDIRECT($B$5&amp;"生成成长"),4))/(VLOOKUP(AB$72,INDIRECT($C$5&amp;"生成成长"),5))*(VLOOKUP($B$5,标准坦克设计!$B$24:$U$30,MATCH("对"&amp;LEFT($C$5,2)&amp;"输出",标准坦克设计!$B$23:$U$23,0)))*(VLOOKUP($B151,INDIRECT($B$5&amp;"生成成长"),3))*(VLOOKUP($B$5,标准坦克设计!$B$14:$K$20,9)/30))</f>
        <v>7.064113938541035</v>
      </c>
      <c r="AC151" s="172">
        <f ca="1">(VLOOKUP(AC$72,INDIRECT($C$5&amp;"生成成长"),2))/((VLOOKUP($B151,INDIRECT($B$5&amp;"生成成长"),4))/(VLOOKUP(AC$72,INDIRECT($C$5&amp;"生成成长"),5))*(VLOOKUP($B$5,标准坦克设计!$B$24:$U$30,MATCH("对"&amp;LEFT($C$5,2)&amp;"输出",标准坦克设计!$B$23:$U$23,0)))*(VLOOKUP($B151,INDIRECT($B$5&amp;"生成成长"),3))*(VLOOKUP($B$5,标准坦克设计!$B$14:$K$20,9)/30))</f>
        <v>7.7118719783115353</v>
      </c>
      <c r="AD151" s="172">
        <f ca="1">(VLOOKUP(AD$72,INDIRECT($C$5&amp;"生成成长"),2))/((VLOOKUP($B151,INDIRECT($B$5&amp;"生成成长"),4))/(VLOOKUP(AD$72,INDIRECT($C$5&amp;"生成成长"),5))*(VLOOKUP($B$5,标准坦克设计!$B$24:$U$30,MATCH("对"&amp;LEFT($C$5,2)&amp;"输出",标准坦克设计!$B$23:$U$23,0)))*(VLOOKUP($B151,INDIRECT($B$5&amp;"生成成长"),3))*(VLOOKUP($B$5,标准坦克设计!$B$14:$K$20,9)/30))</f>
        <v>8.3880404584228447</v>
      </c>
      <c r="AE151" s="172">
        <f ca="1">(VLOOKUP(AE$72,INDIRECT($C$5&amp;"生成成长"),2))/((VLOOKUP($B151,INDIRECT($B$5&amp;"生成成长"),4))/(VLOOKUP(AE$72,INDIRECT($C$5&amp;"生成成长"),5))*(VLOOKUP($B$5,标准坦克设计!$B$24:$U$30,MATCH("对"&amp;LEFT($C$5,2)&amp;"输出",标准坦克设计!$B$23:$U$23,0)))*(VLOOKUP($B151,INDIRECT($B$5&amp;"生成成长"),3))*(VLOOKUP($B$5,标准坦克设计!$B$14:$K$20,9)/30))</f>
        <v>9.0926193788749679</v>
      </c>
      <c r="AF151" s="172">
        <f ca="1">(VLOOKUP(AF$72,INDIRECT($C$5&amp;"生成成长"),2))/((VLOOKUP($B151,INDIRECT($B$5&amp;"生成成长"),4))/(VLOOKUP(AF$72,INDIRECT($C$5&amp;"生成成长"),5))*(VLOOKUP($B$5,标准坦克设计!$B$24:$U$30,MATCH("对"&amp;LEFT($C$5,2)&amp;"输出",标准坦克设计!$B$23:$U$23,0)))*(VLOOKUP($B151,INDIRECT($B$5&amp;"生成成长"),3))*(VLOOKUP($B$5,标准坦克设计!$B$14:$K$20,9)/30))</f>
        <v>9.8256087396678975</v>
      </c>
      <c r="AG151" s="172">
        <f ca="1">(VLOOKUP(AG$72,INDIRECT($C$5&amp;"生成成长"),2))/((VLOOKUP($B151,INDIRECT($B$5&amp;"生成成长"),4))/(VLOOKUP(AG$72,INDIRECT($C$5&amp;"生成成长"),5))*(VLOOKUP($B$5,标准坦克设计!$B$24:$U$30,MATCH("对"&amp;LEFT($C$5,2)&amp;"输出",标准坦克设计!$B$23:$U$23,0)))*(VLOOKUP($B151,INDIRECT($B$5&amp;"生成成长"),3))*(VLOOKUP($B$5,标准坦克设计!$B$14:$K$20,9)/30))</f>
        <v>10.587008540801643</v>
      </c>
      <c r="AH151" s="172">
        <f ca="1">(VLOOKUP(AH$72,INDIRECT($C$5&amp;"生成成长"),2))/((VLOOKUP($B151,INDIRECT($B$5&amp;"生成成长"),4))/(VLOOKUP(AH$72,INDIRECT($C$5&amp;"生成成长"),5))*(VLOOKUP($B$5,标准坦克设计!$B$24:$U$30,MATCH("对"&amp;LEFT($C$5,2)&amp;"输出",标准坦克设计!$B$23:$U$23,0)))*(VLOOKUP($B151,INDIRECT($B$5&amp;"生成成长"),3))*(VLOOKUP($B$5,标准坦克设计!$B$14:$K$20,9)/30))</f>
        <v>11.376818782276199</v>
      </c>
      <c r="AI151" s="172">
        <f ca="1">(VLOOKUP(AI$72,INDIRECT($C$5&amp;"生成成长"),2))/((VLOOKUP($B151,INDIRECT($B$5&amp;"生成成长"),4))/(VLOOKUP(AI$72,INDIRECT($C$5&amp;"生成成长"),5))*(VLOOKUP($B$5,标准坦克设计!$B$24:$U$30,MATCH("对"&amp;LEFT($C$5,2)&amp;"输出",标准坦克设计!$B$23:$U$23,0)))*(VLOOKUP($B151,INDIRECT($B$5&amp;"生成成长"),3))*(VLOOKUP($B$5,标准坦克设计!$B$14:$K$20,9)/30))</f>
        <v>8.0464049133245901</v>
      </c>
      <c r="AJ151" s="172">
        <f ca="1">(VLOOKUP(AJ$72,INDIRECT($C$5&amp;"生成成长"),2))/((VLOOKUP($B151,INDIRECT($B$5&amp;"生成成长"),4))/(VLOOKUP(AJ$72,INDIRECT($C$5&amp;"生成成长"),5))*(VLOOKUP($B$5,标准坦克设计!$B$24:$U$30,MATCH("对"&amp;LEFT($C$5,2)&amp;"输出",标准坦克设计!$B$23:$U$23,0)))*(VLOOKUP($B151,INDIRECT($B$5&amp;"生成成长"),3))*(VLOOKUP($B$5,标准坦克设计!$B$14:$K$20,9)/30))</f>
        <v>8.8073785578532195</v>
      </c>
      <c r="AK151" s="172">
        <f ca="1">(VLOOKUP(AK$72,INDIRECT($C$5&amp;"生成成长"),2))/((VLOOKUP($B151,INDIRECT($B$5&amp;"生成成长"),4))/(VLOOKUP(AK$72,INDIRECT($C$5&amp;"生成成长"),5))*(VLOOKUP($B$5,标准坦克设计!$B$24:$U$30,MATCH("对"&amp;LEFT($C$5,2)&amp;"输出",标准坦克设计!$B$23:$U$23,0)))*(VLOOKUP($B151,INDIRECT($B$5&amp;"生成成长"),3))*(VLOOKUP($B$5,标准坦克设计!$B$14:$K$20,9)/30))</f>
        <v>9.6027288351942346</v>
      </c>
      <c r="AL151" s="172">
        <f ca="1">(VLOOKUP(AL$72,INDIRECT($C$5&amp;"生成成长"),2))/((VLOOKUP($B151,INDIRECT($B$5&amp;"生成成长"),4))/(VLOOKUP(AL$72,INDIRECT($C$5&amp;"生成成长"),5))*(VLOOKUP($B$5,标准坦克设计!$B$24:$U$30,MATCH("对"&amp;LEFT($C$5,2)&amp;"输出",标准坦克设计!$B$23:$U$23,0)))*(VLOOKUP($B151,INDIRECT($B$5&amp;"生成成长"),3))*(VLOOKUP($B$5,标准坦克设计!$B$14:$K$20,9)/30))</f>
        <v>10.43245574534763</v>
      </c>
      <c r="AM151" s="172">
        <f ca="1">(VLOOKUP(AM$72,INDIRECT($C$5&amp;"生成成长"),2))/((VLOOKUP($B151,INDIRECT($B$5&amp;"生成成长"),4))/(VLOOKUP(AM$72,INDIRECT($C$5&amp;"生成成长"),5))*(VLOOKUP($B$5,标准坦克设计!$B$24:$U$30,MATCH("对"&amp;LEFT($C$5,2)&amp;"输出",标准坦克设计!$B$23:$U$23,0)))*(VLOOKUP($B151,INDIRECT($B$5&amp;"生成成长"),3))*(VLOOKUP($B$5,标准坦克设计!$B$14:$K$20,9)/30))</f>
        <v>11.296559288313407</v>
      </c>
      <c r="AN151" s="172">
        <f ca="1">(VLOOKUP(AN$72,INDIRECT($C$5&amp;"生成成长"),2))/((VLOOKUP($B151,INDIRECT($B$5&amp;"生成成长"),4))/(VLOOKUP(AN$72,INDIRECT($C$5&amp;"生成成长"),5))*(VLOOKUP($B$5,标准坦克设计!$B$24:$U$30,MATCH("对"&amp;LEFT($C$5,2)&amp;"输出",标准坦克设计!$B$23:$U$23,0)))*(VLOOKUP($B151,INDIRECT($B$5&amp;"生成成长"),3))*(VLOOKUP($B$5,标准坦克设计!$B$14:$K$20,9)/30))</f>
        <v>12.195039464091565</v>
      </c>
      <c r="AO151" s="172">
        <f ca="1">(VLOOKUP(AO$72,INDIRECT($C$5&amp;"生成成长"),2))/((VLOOKUP($B151,INDIRECT($B$5&amp;"生成成长"),4))/(VLOOKUP(AO$72,INDIRECT($C$5&amp;"生成成长"),5))*(VLOOKUP($B$5,标准坦克设计!$B$24:$U$30,MATCH("对"&amp;LEFT($C$5,2)&amp;"输出",标准坦克设计!$B$23:$U$23,0)))*(VLOOKUP($B151,INDIRECT($B$5&amp;"生成成长"),3))*(VLOOKUP($B$5,标准坦克设计!$B$14:$K$20,9)/30))</f>
        <v>13.127896272682108</v>
      </c>
      <c r="AP151" s="172">
        <f ca="1">(VLOOKUP(AP$72,INDIRECT($C$5&amp;"生成成长"),2))/((VLOOKUP($B151,INDIRECT($B$5&amp;"生成成长"),4))/(VLOOKUP(AP$72,INDIRECT($C$5&amp;"生成成长"),5))*(VLOOKUP($B$5,标准坦克设计!$B$24:$U$30,MATCH("对"&amp;LEFT($C$5,2)&amp;"输出",标准坦克设计!$B$23:$U$23,0)))*(VLOOKUP($B151,INDIRECT($B$5&amp;"生成成长"),3))*(VLOOKUP($B$5,标准坦克设计!$B$14:$K$20,9)/30))</f>
        <v>14.095129714085028</v>
      </c>
      <c r="AQ151" s="172">
        <f ca="1">(VLOOKUP(AQ$72,INDIRECT($C$5&amp;"生成成长"),2))/((VLOOKUP($B151,INDIRECT($B$5&amp;"生成成长"),4))/(VLOOKUP(AQ$72,INDIRECT($C$5&amp;"生成成长"),5))*(VLOOKUP($B$5,标准坦克设计!$B$24:$U$30,MATCH("对"&amp;LEFT($C$5,2)&amp;"输出",标准坦克设计!$B$23:$U$23,0)))*(VLOOKUP($B151,INDIRECT($B$5&amp;"生成成长"),3))*(VLOOKUP($B$5,标准坦克设计!$B$14:$K$20,9)/30))</f>
        <v>15.096739788300331</v>
      </c>
      <c r="AR151" s="172">
        <f ca="1">(VLOOKUP(AR$72,INDIRECT($C$5&amp;"生成成长"),2))/((VLOOKUP($B151,INDIRECT($B$5&amp;"生成成长"),4))/(VLOOKUP(AR$72,INDIRECT($C$5&amp;"生成成长"),5))*(VLOOKUP($B$5,标准坦克设计!$B$24:$U$30,MATCH("对"&amp;LEFT($C$5,2)&amp;"输出",标准坦克设计!$B$23:$U$23,0)))*(VLOOKUP($B151,INDIRECT($B$5&amp;"生成成长"),3))*(VLOOKUP($B$5,标准坦克设计!$B$14:$K$20,9)/30))</f>
        <v>16.132726495328019</v>
      </c>
      <c r="AS151" s="172">
        <f ca="1">(VLOOKUP(AS$72,INDIRECT($C$5&amp;"生成成长"),2))/((VLOOKUP($B151,INDIRECT($B$5&amp;"生成成长"),4))/(VLOOKUP(AS$72,INDIRECT($C$5&amp;"生成成长"),5))*(VLOOKUP($B$5,标准坦克设计!$B$24:$U$30,MATCH("对"&amp;LEFT($C$5,2)&amp;"输出",标准坦克设计!$B$23:$U$23,0)))*(VLOOKUP($B151,INDIRECT($B$5&amp;"生成成长"),3))*(VLOOKUP($B$5,标准坦克设计!$B$14:$K$20,9)/30))</f>
        <v>17.203089835168086</v>
      </c>
      <c r="AT151" s="172">
        <f ca="1">(VLOOKUP(AT$72,INDIRECT($C$5&amp;"生成成长"),2))/((VLOOKUP($B151,INDIRECT($B$5&amp;"生成成长"),4))/(VLOOKUP(AT$72,INDIRECT($C$5&amp;"生成成长"),5))*(VLOOKUP($B$5,标准坦克设计!$B$24:$U$30,MATCH("对"&amp;LEFT($C$5,2)&amp;"输出",标准坦克设计!$B$23:$U$23,0)))*(VLOOKUP($B151,INDIRECT($B$5&amp;"生成成长"),3))*(VLOOKUP($B$5,标准坦克设计!$B$14:$K$20,9)/30))</f>
        <v>18.307829807820532</v>
      </c>
      <c r="AU151" s="172">
        <f ca="1">(VLOOKUP(AU$72,INDIRECT($C$5&amp;"生成成长"),2))/((VLOOKUP($B151,INDIRECT($B$5&amp;"生成成长"),4))/(VLOOKUP(AU$72,INDIRECT($C$5&amp;"生成成长"),5))*(VLOOKUP($B$5,标准坦克设计!$B$24:$U$30,MATCH("对"&amp;LEFT($C$5,2)&amp;"输出",标准坦克设计!$B$23:$U$23,0)))*(VLOOKUP($B151,INDIRECT($B$5&amp;"生成成长"),3))*(VLOOKUP($B$5,标准坦克设计!$B$14:$K$20,9)/30))</f>
        <v>19.446946413285364</v>
      </c>
      <c r="AV151" s="172">
        <f ca="1">(VLOOKUP(AV$72,INDIRECT($C$5&amp;"生成成长"),2))/((VLOOKUP($B151,INDIRECT($B$5&amp;"生成成长"),4))/(VLOOKUP(AV$72,INDIRECT($C$5&amp;"生成成长"),5))*(VLOOKUP($B$5,标准坦克设计!$B$24:$U$30,MATCH("对"&amp;LEFT($C$5,2)&amp;"输出",标准坦克设计!$B$23:$U$23,0)))*(VLOOKUP($B151,INDIRECT($B$5&amp;"生成成长"),3))*(VLOOKUP($B$5,标准坦克设计!$B$14:$K$20,9)/30))</f>
        <v>1.9779348565272856</v>
      </c>
      <c r="AW151" s="172">
        <f ca="1">(VLOOKUP(AW$72,INDIRECT($C$5&amp;"生成成长"),2))/((VLOOKUP($B151,INDIRECT($B$5&amp;"生成成长"),4))/(VLOOKUP(AW$72,INDIRECT($C$5&amp;"生成成长"),5))*(VLOOKUP($B$5,标准坦克设计!$B$24:$U$30,MATCH("对"&amp;LEFT($C$5,2)&amp;"输出",标准坦克设计!$B$23:$U$23,0)))*(VLOOKUP($B151,INDIRECT($B$5&amp;"生成成长"),3))*(VLOOKUP($B$5,标准坦克设计!$B$14:$K$20,9)/30))</f>
        <v>2.2552207542536049</v>
      </c>
      <c r="AX151" s="172">
        <f ca="1">(VLOOKUP(AX$72,INDIRECT($C$5&amp;"生成成长"),2))/((VLOOKUP($B151,INDIRECT($B$5&amp;"生成成长"),4))/(VLOOKUP(AX$72,INDIRECT($C$5&amp;"生成成长"),5))*(VLOOKUP($B$5,标准坦克设计!$B$24:$U$30,MATCH("对"&amp;LEFT($C$5,2)&amp;"输出",标准坦克设计!$B$23:$U$23,0)))*(VLOOKUP($B151,INDIRECT($B$5&amp;"生成成长"),3))*(VLOOKUP($B$5,标准坦克设计!$B$14:$K$20,9)/30))</f>
        <v>2.5506893337980427</v>
      </c>
      <c r="AY151" s="172">
        <f ca="1">(VLOOKUP(AY$72,INDIRECT($C$5&amp;"生成成长"),2))/((VLOOKUP($B151,INDIRECT($B$5&amp;"生成成长"),4))/(VLOOKUP(AY$72,INDIRECT($C$5&amp;"生成成长"),5))*(VLOOKUP($B$5,标准坦克设计!$B$24:$U$30,MATCH("对"&amp;LEFT($C$5,2)&amp;"输出",标准坦克设计!$B$23:$U$23,0)))*(VLOOKUP($B151,INDIRECT($B$5&amp;"生成成长"),3))*(VLOOKUP($B$5,标准坦克设计!$B$14:$K$20,9)/30))</f>
        <v>2.8643405951605998</v>
      </c>
      <c r="AZ151" s="172">
        <f ca="1">(VLOOKUP(AZ$72,INDIRECT($C$5&amp;"生成成长"),2))/((VLOOKUP($B151,INDIRECT($B$5&amp;"生成成长"),4))/(VLOOKUP(AZ$72,INDIRECT($C$5&amp;"生成成长"),5))*(VLOOKUP($B$5,标准坦克设计!$B$24:$U$30,MATCH("对"&amp;LEFT($C$5,2)&amp;"输出",标准坦克设计!$B$23:$U$23,0)))*(VLOOKUP($B151,INDIRECT($B$5&amp;"生成成长"),3))*(VLOOKUP($B$5,标准坦克设计!$B$14:$K$20,9)/30))</f>
        <v>3.1961745383412761</v>
      </c>
      <c r="BA151" s="172">
        <f ca="1">(VLOOKUP(BA$72,INDIRECT($C$5&amp;"生成成长"),2))/((VLOOKUP($B151,INDIRECT($B$5&amp;"生成成长"),4))/(VLOOKUP(BA$72,INDIRECT($C$5&amp;"生成成长"),5))*(VLOOKUP($B$5,标准坦克设计!$B$24:$U$30,MATCH("对"&amp;LEFT($C$5,2)&amp;"输出",标准坦克设计!$B$23:$U$23,0)))*(VLOOKUP($B151,INDIRECT($B$5&amp;"生成成长"),3))*(VLOOKUP($B$5,标准坦克设计!$B$14:$K$20,9)/30))</f>
        <v>3.5461911633400724</v>
      </c>
      <c r="BB151" s="172">
        <f ca="1">(VLOOKUP(BB$72,INDIRECT($C$5&amp;"生成成长"),2))/((VLOOKUP($B151,INDIRECT($B$5&amp;"生成成长"),4))/(VLOOKUP(BB$72,INDIRECT($C$5&amp;"生成成长"),5))*(VLOOKUP($B$5,标准坦克设计!$B$24:$U$30,MATCH("对"&amp;LEFT($C$5,2)&amp;"输出",标准坦克设计!$B$23:$U$23,0)))*(VLOOKUP($B151,INDIRECT($B$5&amp;"生成成长"),3))*(VLOOKUP($B$5,标准坦克设计!$B$14:$K$20,9)/30))</f>
        <v>3.9143904701569867</v>
      </c>
      <c r="BC151" s="172">
        <f ca="1">(VLOOKUP(BC$72,INDIRECT($C$5&amp;"生成成长"),2))/((VLOOKUP($B151,INDIRECT($B$5&amp;"生成成长"),4))/(VLOOKUP(BC$72,INDIRECT($C$5&amp;"生成成长"),5))*(VLOOKUP($B$5,标准坦克设计!$B$24:$U$30,MATCH("对"&amp;LEFT($C$5,2)&amp;"输出",标准坦克设计!$B$23:$U$23,0)))*(VLOOKUP($B151,INDIRECT($B$5&amp;"生成成长"),3))*(VLOOKUP($B$5,标准坦克设计!$B$14:$K$20,9)/30))</f>
        <v>4.3007724587920215</v>
      </c>
      <c r="BD151" s="172">
        <f ca="1">(VLOOKUP(BD$72,INDIRECT($C$5&amp;"生成成长"),2))/((VLOOKUP($B151,INDIRECT($B$5&amp;"生成成长"),4))/(VLOOKUP(BD$72,INDIRECT($C$5&amp;"生成成长"),5))*(VLOOKUP($B$5,标准坦克设计!$B$24:$U$30,MATCH("对"&amp;LEFT($C$5,2)&amp;"输出",标准坦克设计!$B$23:$U$23,0)))*(VLOOKUP($B151,INDIRECT($B$5&amp;"生成成长"),3))*(VLOOKUP($B$5,标准坦克设计!$B$14:$K$20,9)/30))</f>
        <v>4.757186182867156</v>
      </c>
      <c r="BE151" s="172">
        <f ca="1">(VLOOKUP(BE$72,INDIRECT($C$5&amp;"生成成长"),2))/((VLOOKUP($B151,INDIRECT($B$5&amp;"生成成长"),4))/(VLOOKUP(BE$72,INDIRECT($C$5&amp;"生成成长"),5))*(VLOOKUP($B$5,标准坦克设计!$B$24:$U$30,MATCH("对"&amp;LEFT($C$5,2)&amp;"输出",标准坦克设计!$B$23:$U$23,0)))*(VLOOKUP($B151,INDIRECT($B$5&amp;"生成成长"),3))*(VLOOKUP($B$5,标准坦克设计!$B$14:$K$20,9)/30))</f>
        <v>5.236612363618347</v>
      </c>
      <c r="BF151" s="172">
        <f ca="1">(VLOOKUP(BF$72,INDIRECT($C$5&amp;"生成成长"),2))/((VLOOKUP($B151,INDIRECT($B$5&amp;"生成成长"),4))/(VLOOKUP(BF$72,INDIRECT($C$5&amp;"生成成长"),5))*(VLOOKUP($B$5,标准坦克设计!$B$24:$U$30,MATCH("对"&amp;LEFT($C$5,2)&amp;"输出",标准坦克设计!$B$23:$U$23,0)))*(VLOOKUP($B151,INDIRECT($B$5&amp;"生成成长"),3))*(VLOOKUP($B$5,标准坦克设计!$B$14:$K$20,9)/30))</f>
        <v>5.7390510010455955</v>
      </c>
      <c r="BG151" s="172">
        <f ca="1">(VLOOKUP(BG$72,INDIRECT($C$5&amp;"生成成长"),2))/((VLOOKUP($B151,INDIRECT($B$5&amp;"生成成长"),4))/(VLOOKUP(BG$72,INDIRECT($C$5&amp;"生成成长"),5))*(VLOOKUP($B$5,标准坦克设计!$B$24:$U$30,MATCH("对"&amp;LEFT($C$5,2)&amp;"输出",标准坦克设计!$B$23:$U$23,0)))*(VLOOKUP($B151,INDIRECT($B$5&amp;"生成成长"),3))*(VLOOKUP($B$5,标准坦克设计!$B$14:$K$20,9)/30))</f>
        <v>6.2645020951489023</v>
      </c>
      <c r="BH151" s="172">
        <f ca="1">(VLOOKUP(BH$72,INDIRECT($C$5&amp;"生成成长"),2))/((VLOOKUP($B151,INDIRECT($B$5&amp;"生成成长"),4))/(VLOOKUP(BH$72,INDIRECT($C$5&amp;"生成成长"),5))*(VLOOKUP($B$5,标准坦克设计!$B$24:$U$30,MATCH("对"&amp;LEFT($C$5,2)&amp;"输出",标准坦克设计!$B$23:$U$23,0)))*(VLOOKUP($B151,INDIRECT($B$5&amp;"生成成长"),3))*(VLOOKUP($B$5,标准坦克设计!$B$14:$K$20,9)/30))</f>
        <v>3.0279847315236728</v>
      </c>
      <c r="BI151" s="172">
        <f ca="1">(VLOOKUP(BI$72,INDIRECT($C$5&amp;"生成成长"),2))/((VLOOKUP($B151,INDIRECT($B$5&amp;"生成成长"),4))/(VLOOKUP(BI$72,INDIRECT($C$5&amp;"生成成长"),5))*(VLOOKUP($B$5,标准坦克设计!$B$24:$U$30,MATCH("对"&amp;LEFT($C$5,2)&amp;"输出",标准坦克设计!$B$23:$U$23,0)))*(VLOOKUP($B151,INDIRECT($B$5&amp;"生成成长"),3))*(VLOOKUP($B$5,标准坦克设计!$B$14:$K$20,9)/30))</f>
        <v>3.4128041459399632</v>
      </c>
      <c r="BJ151" s="172">
        <f ca="1">(VLOOKUP(BJ$72,INDIRECT($C$5&amp;"生成成长"),2))/((VLOOKUP($B151,INDIRECT($B$5&amp;"生成成长"),4))/(VLOOKUP(BJ$72,INDIRECT($C$5&amp;"生成成长"),5))*(VLOOKUP($B$5,标准坦克设计!$B$24:$U$30,MATCH("对"&amp;LEFT($C$5,2)&amp;"输出",标准坦克设计!$B$23:$U$23,0)))*(VLOOKUP($B151,INDIRECT($B$5&amp;"生成成长"),3))*(VLOOKUP($B$5,标准坦克设计!$B$14:$K$20,9)/30))</f>
        <v>3.8206360170323097</v>
      </c>
      <c r="BK151" s="172">
        <f ca="1">(VLOOKUP(BK$72,INDIRECT($C$5&amp;"生成成长"),2))/((VLOOKUP($B151,INDIRECT($B$5&amp;"生成成长"),4))/(VLOOKUP(BK$72,INDIRECT($C$5&amp;"生成成长"),5))*(VLOOKUP($B$5,标准坦克设计!$B$24:$U$30,MATCH("对"&amp;LEFT($C$5,2)&amp;"输出",标准坦克设计!$B$23:$U$23,0)))*(VLOOKUP($B151,INDIRECT($B$5&amp;"生成成长"),3))*(VLOOKUP($B$5,标准坦克设计!$B$14:$K$20,9)/30))</f>
        <v>4.2514803448007141</v>
      </c>
      <c r="BL151" s="172">
        <f ca="1">(VLOOKUP(BL$72,INDIRECT($C$5&amp;"生成成长"),2))/((VLOOKUP($B151,INDIRECT($B$5&amp;"生成成长"),4))/(VLOOKUP(BL$72,INDIRECT($C$5&amp;"生成成长"),5))*(VLOOKUP($B$5,标准坦克设计!$B$24:$U$30,MATCH("对"&amp;LEFT($C$5,2)&amp;"输出",标准坦克设计!$B$23:$U$23,0)))*(VLOOKUP($B151,INDIRECT($B$5&amp;"生成成长"),3))*(VLOOKUP($B$5,标准坦克设计!$B$14:$K$20,9)/30))</f>
        <v>4.7053371292451738</v>
      </c>
      <c r="BM151" s="172">
        <f ca="1">(VLOOKUP(BM$72,INDIRECT($C$5&amp;"生成成长"),2))/((VLOOKUP($B151,INDIRECT($B$5&amp;"生成成长"),4))/(VLOOKUP(BM$72,INDIRECT($C$5&amp;"生成成长"),5))*(VLOOKUP($B$5,标准坦克设计!$B$24:$U$30,MATCH("对"&amp;LEFT($C$5,2)&amp;"输出",标准坦克设计!$B$23:$U$23,0)))*(VLOOKUP($B151,INDIRECT($B$5&amp;"生成成长"),3))*(VLOOKUP($B$5,标准坦克设计!$B$14:$K$20,9)/30))</f>
        <v>5.1822063703656926</v>
      </c>
      <c r="BN151" s="172">
        <f ca="1">(VLOOKUP(BN$72,INDIRECT($C$5&amp;"生成成长"),2))/((VLOOKUP($B151,INDIRECT($B$5&amp;"生成成长"),4))/(VLOOKUP(BN$72,INDIRECT($C$5&amp;"生成成长"),5))*(VLOOKUP($B$5,标准坦克设计!$B$24:$U$30,MATCH("对"&amp;LEFT($C$5,2)&amp;"输出",标准坦克设计!$B$23:$U$23,0)))*(VLOOKUP($B151,INDIRECT($B$5&amp;"生成成长"),3))*(VLOOKUP($B$5,标准坦克设计!$B$14:$K$20,9)/30))</f>
        <v>5.6820880681622681</v>
      </c>
      <c r="BO151" s="172">
        <f ca="1">(VLOOKUP(BO$72,INDIRECT($C$5&amp;"生成成长"),2))/((VLOOKUP($B151,INDIRECT($B$5&amp;"生成成长"),4))/(VLOOKUP(BO$72,INDIRECT($C$5&amp;"生成成长"),5))*(VLOOKUP($B$5,标准坦克设计!$B$24:$U$30,MATCH("对"&amp;LEFT($C$5,2)&amp;"输出",标准坦克设计!$B$23:$U$23,0)))*(VLOOKUP($B151,INDIRECT($B$5&amp;"生成成长"),3))*(VLOOKUP($B$5,标准坦克设计!$B$14:$K$20,9)/30))</f>
        <v>6.204982222634901</v>
      </c>
      <c r="BP151" s="172">
        <f ca="1">(VLOOKUP(BP$72,INDIRECT($C$5&amp;"生成成长"),2))/((VLOOKUP($B151,INDIRECT($B$5&amp;"生成成长"),4))/(VLOOKUP(BP$72,INDIRECT($C$5&amp;"生成成长"),5))*(VLOOKUP($B$5,标准坦克设计!$B$24:$U$30,MATCH("对"&amp;LEFT($C$5,2)&amp;"输出",标准坦克设计!$B$23:$U$23,0)))*(VLOOKUP($B151,INDIRECT($B$5&amp;"生成成长"),3))*(VLOOKUP($B$5,标准坦克设计!$B$14:$K$20,9)/30))</f>
        <v>6.7508888337835913</v>
      </c>
      <c r="BQ151" s="172">
        <f ca="1">(VLOOKUP(BQ$72,INDIRECT($C$5&amp;"生成成长"),2))/((VLOOKUP($B151,INDIRECT($B$5&amp;"生成成长"),4))/(VLOOKUP(BQ$72,INDIRECT($C$5&amp;"生成成长"),5))*(VLOOKUP($B$5,标准坦克设计!$B$24:$U$30,MATCH("对"&amp;LEFT($C$5,2)&amp;"输出",标准坦克设计!$B$23:$U$23,0)))*(VLOOKUP($B151,INDIRECT($B$5&amp;"生成成长"),3))*(VLOOKUP($B$5,标准坦克设计!$B$14:$K$20,9)/30))</f>
        <v>7.3198079016083391</v>
      </c>
      <c r="BR151" s="172">
        <f ca="1">(VLOOKUP(BR$72,INDIRECT($C$5&amp;"生成成长"),2))/((VLOOKUP($B151,INDIRECT($B$5&amp;"生成成长"),4))/(VLOOKUP(BR$72,INDIRECT($C$5&amp;"生成成长"),5))*(VLOOKUP($B$5,标准坦克设计!$B$24:$U$30,MATCH("对"&amp;LEFT($C$5,2)&amp;"输出",标准坦克设计!$B$23:$U$23,0)))*(VLOOKUP($B151,INDIRECT($B$5&amp;"生成成长"),3))*(VLOOKUP($B$5,标准坦克设计!$B$14:$K$20,9)/30))</f>
        <v>7.9789301175151621</v>
      </c>
      <c r="BS151" s="172">
        <f ca="1">(VLOOKUP(BS$72,INDIRECT($C$5&amp;"生成成长"),2))/((VLOOKUP($B151,INDIRECT($B$5&amp;"生成成长"),4))/(VLOOKUP(BS$72,INDIRECT($C$5&amp;"生成成长"),5))*(VLOOKUP($B$5,标准坦克设计!$B$24:$U$30,MATCH("对"&amp;LEFT($C$5,2)&amp;"输出",标准坦克设计!$B$23:$U$23,0)))*(VLOOKUP($B151,INDIRECT($B$5&amp;"生成成长"),3))*(VLOOKUP($B$5,标准坦克设计!$B$14:$K$20,9)/30))</f>
        <v>8.6664627737627971</v>
      </c>
      <c r="BT151" s="172">
        <f ca="1">(VLOOKUP(BT$72,INDIRECT($C$5&amp;"生成成长"),2))/((VLOOKUP($B151,INDIRECT($B$5&amp;"生成成长"),4))/(VLOOKUP(BT$72,INDIRECT($C$5&amp;"生成成长"),5))*(VLOOKUP($B$5,标准坦克设计!$B$24:$U$30,MATCH("对"&amp;LEFT($C$5,2)&amp;"输出",标准坦克设计!$B$23:$U$23,0)))*(VLOOKUP($B151,INDIRECT($B$5&amp;"生成成长"),3))*(VLOOKUP($B$5,标准坦克设计!$B$14:$K$20,9)/30))</f>
        <v>9.3824058703512421</v>
      </c>
      <c r="BU151" s="172">
        <f ca="1">(VLOOKUP(BU$72,INDIRECT($C$5&amp;"生成成长"),2))/((VLOOKUP($B151,INDIRECT($B$5&amp;"生成成长"),4))/(VLOOKUP(BU$72,INDIRECT($C$5&amp;"生成成长"),5))*(VLOOKUP($B$5,标准坦克设计!$B$24:$U$30,MATCH("对"&amp;LEFT($C$5,2)&amp;"输出",标准坦克设计!$B$23:$U$23,0)))*(VLOOKUP($B151,INDIRECT($B$5&amp;"生成成长"),3))*(VLOOKUP($B$5,标准坦克设计!$B$14:$K$20,9)/30))</f>
        <v>10.126759407280501</v>
      </c>
      <c r="BV151" s="172">
        <f ca="1">(VLOOKUP(BV$72,INDIRECT($C$5&amp;"生成成长"),2))/((VLOOKUP($B151,INDIRECT($B$5&amp;"生成成长"),4))/(VLOOKUP(BV$72,INDIRECT($C$5&amp;"生成成长"),5))*(VLOOKUP($B$5,标准坦克设计!$B$24:$U$30,MATCH("对"&amp;LEFT($C$5,2)&amp;"输出",标准坦克设计!$B$23:$U$23,0)))*(VLOOKUP($B151,INDIRECT($B$5&amp;"生成成长"),3))*(VLOOKUP($B$5,标准坦克设计!$B$14:$K$20,9)/30))</f>
        <v>10.899523384550569</v>
      </c>
      <c r="BW151" s="172">
        <f ca="1">(VLOOKUP(BW$72,INDIRECT($C$5&amp;"生成成长"),2))/((VLOOKUP($B151,INDIRECT($B$5&amp;"生成成长"),4))/(VLOOKUP(BW$72,INDIRECT($C$5&amp;"生成成长"),5))*(VLOOKUP($B$5,标准坦克设计!$B$24:$U$30,MATCH("对"&amp;LEFT($C$5,2)&amp;"输出",标准坦克设计!$B$23:$U$23,0)))*(VLOOKUP($B151,INDIRECT($B$5&amp;"生成成长"),3))*(VLOOKUP($B$5,标准坦克设计!$B$14:$K$20,9)/30))</f>
        <v>4.96742344138916</v>
      </c>
      <c r="BX151" s="172">
        <f ca="1">(VLOOKUP(BX$72,INDIRECT($C$5&amp;"生成成长"),2))/((VLOOKUP($B151,INDIRECT($B$5&amp;"生成成长"),4))/(VLOOKUP(BX$72,INDIRECT($C$5&amp;"生成成长"),5))*(VLOOKUP($B$5,标准坦克设计!$B$24:$U$30,MATCH("对"&amp;LEFT($C$5,2)&amp;"输出",标准坦克设计!$B$23:$U$23,0)))*(VLOOKUP($B151,INDIRECT($B$5&amp;"生成成长"),3))*(VLOOKUP($B$5,标准坦克设计!$B$14:$K$20,9)/30))</f>
        <v>5.5129038959327374</v>
      </c>
      <c r="BY151" s="172">
        <f ca="1">(VLOOKUP(BY$72,INDIRECT($C$5&amp;"生成成长"),2))/((VLOOKUP($B151,INDIRECT($B$5&amp;"生成成长"),4))/(VLOOKUP(BY$72,INDIRECT($C$5&amp;"生成成长"),5))*(VLOOKUP($B$5,标准坦克设计!$B$24:$U$30,MATCH("对"&amp;LEFT($C$5,2)&amp;"输出",标准坦克设计!$B$23:$U$23,0)))*(VLOOKUP($B151,INDIRECT($B$5&amp;"生成成长"),3))*(VLOOKUP($B$5,标准坦克设计!$B$14:$K$20,9)/30))</f>
        <v>6.0867947908171267</v>
      </c>
      <c r="BZ151" s="172">
        <f ca="1">(VLOOKUP(BZ$72,INDIRECT($C$5&amp;"生成成长"),2))/((VLOOKUP($B151,INDIRECT($B$5&amp;"生成成长"),4))/(VLOOKUP(BZ$72,INDIRECT($C$5&amp;"生成成长"),5))*(VLOOKUP($B$5,标准坦克设计!$B$24:$U$30,MATCH("对"&amp;LEFT($C$5,2)&amp;"输出",标准坦克设计!$B$23:$U$23,0)))*(VLOOKUP($B151,INDIRECT($B$5&amp;"生成成长"),3))*(VLOOKUP($B$5,标准坦克设计!$B$14:$K$20,9)/30))</f>
        <v>6.6890961260423261</v>
      </c>
      <c r="CA151" s="172">
        <f ca="1">(VLOOKUP(CA$72,INDIRECT($C$5&amp;"生成成长"),2))/((VLOOKUP($B151,INDIRECT($B$5&amp;"生成成长"),4))/(VLOOKUP(CA$72,INDIRECT($C$5&amp;"生成成长"),5))*(VLOOKUP($B$5,标准坦克设计!$B$24:$U$30,MATCH("对"&amp;LEFT($C$5,2)&amp;"输出",标准坦克设计!$B$23:$U$23,0)))*(VLOOKUP($B151,INDIRECT($B$5&amp;"生成成长"),3))*(VLOOKUP($B$5,标准坦克设计!$B$14:$K$20,9)/30))</f>
        <v>7.3198079016083391</v>
      </c>
      <c r="CB151" s="172">
        <f ca="1">(VLOOKUP(CB$72,INDIRECT($C$5&amp;"生成成长"),2))/((VLOOKUP($B151,INDIRECT($B$5&amp;"生成成长"),4))/(VLOOKUP(CB$72,INDIRECT($C$5&amp;"生成成长"),5))*(VLOOKUP($B$5,标准坦克设计!$B$24:$U$30,MATCH("对"&amp;LEFT($C$5,2)&amp;"输出",标准坦克设计!$B$23:$U$23,0)))*(VLOOKUP($B151,INDIRECT($B$5&amp;"生成成长"),3))*(VLOOKUP($B$5,标准坦克设计!$B$14:$K$20,9)/30))</f>
        <v>7.9789301175151621</v>
      </c>
      <c r="CC151" s="172">
        <f ca="1">(VLOOKUP(CC$72,INDIRECT($C$5&amp;"生成成长"),2))/((VLOOKUP($B151,INDIRECT($B$5&amp;"生成成长"),4))/(VLOOKUP(CC$72,INDIRECT($C$5&amp;"生成成长"),5))*(VLOOKUP($B$5,标准坦克设计!$B$24:$U$30,MATCH("对"&amp;LEFT($C$5,2)&amp;"输出",标准坦克设计!$B$23:$U$23,0)))*(VLOOKUP($B151,INDIRECT($B$5&amp;"生成成长"),3))*(VLOOKUP($B$5,标准坦克设计!$B$14:$K$20,9)/30))</f>
        <v>8.6664627737627971</v>
      </c>
      <c r="CD151" s="172">
        <f ca="1">(VLOOKUP(CD$72,INDIRECT($C$5&amp;"生成成长"),2))/((VLOOKUP($B151,INDIRECT($B$5&amp;"生成成长"),4))/(VLOOKUP(CD$72,INDIRECT($C$5&amp;"生成成长"),5))*(VLOOKUP($B$5,标准坦克设计!$B$24:$U$30,MATCH("对"&amp;LEFT($C$5,2)&amp;"输出",标准坦克设计!$B$23:$U$23,0)))*(VLOOKUP($B151,INDIRECT($B$5&amp;"生成成长"),3))*(VLOOKUP($B$5,标准坦克设计!$B$14:$K$20,9)/30))</f>
        <v>9.3824058703512421</v>
      </c>
      <c r="CE151" s="172">
        <f ca="1">(VLOOKUP(CE$72,INDIRECT($C$5&amp;"生成成长"),2))/((VLOOKUP($B151,INDIRECT($B$5&amp;"生成成长"),4))/(VLOOKUP(CE$72,INDIRECT($C$5&amp;"生成成长"),5))*(VLOOKUP($B$5,标准坦克设计!$B$24:$U$30,MATCH("对"&amp;LEFT($C$5,2)&amp;"输出",标准坦克设计!$B$23:$U$23,0)))*(VLOOKUP($B151,INDIRECT($B$5&amp;"生成成长"),3))*(VLOOKUP($B$5,标准坦克设计!$B$14:$K$20,9)/30))</f>
        <v>10.126759407280501</v>
      </c>
      <c r="CF151" s="172">
        <f ca="1">(VLOOKUP(CF$72,INDIRECT($C$5&amp;"生成成长"),2))/((VLOOKUP($B151,INDIRECT($B$5&amp;"生成成长"),4))/(VLOOKUP(CF$72,INDIRECT($C$5&amp;"生成成长"),5))*(VLOOKUP($B$5,标准坦克设计!$B$24:$U$30,MATCH("对"&amp;LEFT($C$5,2)&amp;"输出",标准坦克设计!$B$23:$U$23,0)))*(VLOOKUP($B151,INDIRECT($B$5&amp;"生成成长"),3))*(VLOOKUP($B$5,标准坦克设计!$B$14:$K$20,9)/30))</f>
        <v>10.899523384550569</v>
      </c>
      <c r="CG151" s="172">
        <f ca="1">(VLOOKUP(CG$72,INDIRECT($C$5&amp;"生成成长"),2))/((VLOOKUP($B151,INDIRECT($B$5&amp;"生成成长"),4))/(VLOOKUP(CG$72,INDIRECT($C$5&amp;"生成成长"),5))*(VLOOKUP($B$5,标准坦克设计!$B$24:$U$30,MATCH("对"&amp;LEFT($C$5,2)&amp;"输出",标准坦克设计!$B$23:$U$23,0)))*(VLOOKUP($B151,INDIRECT($B$5&amp;"生成成长"),3))*(VLOOKUP($B$5,标准坦克设计!$B$14:$K$20,9)/30))</f>
        <v>11.700697802161447</v>
      </c>
      <c r="CH151" s="172">
        <f ca="1">(VLOOKUP(CH$72,INDIRECT($C$5&amp;"生成成长"),2))/((VLOOKUP($B151,INDIRECT($B$5&amp;"生成成长"),4))/(VLOOKUP(CH$72,INDIRECT($C$5&amp;"生成成长"),5))*(VLOOKUP($B$5,标准坦克设计!$B$24:$U$30,MATCH("对"&amp;LEFT($C$5,2)&amp;"输出",标准坦克设计!$B$23:$U$23,0)))*(VLOOKUP($B151,INDIRECT($B$5&amp;"生成成长"),3))*(VLOOKUP($B$5,标准坦克设计!$B$14:$K$20,9)/30))</f>
        <v>12.530282660113139</v>
      </c>
      <c r="CI151" s="172">
        <f ca="1">(VLOOKUP(CI$72,INDIRECT($C$5&amp;"生成成长"),2))/((VLOOKUP($B151,INDIRECT($B$5&amp;"生成成长"),4))/(VLOOKUP(CI$72,INDIRECT($C$5&amp;"生成成长"),5))*(VLOOKUP($B$5,标准坦克设计!$B$24:$U$30,MATCH("对"&amp;LEFT($C$5,2)&amp;"输出",标准坦克设计!$B$23:$U$23,0)))*(VLOOKUP($B151,INDIRECT($B$5&amp;"生成成长"),3))*(VLOOKUP($B$5,标准坦克设计!$B$14:$K$20,9)/30))</f>
        <v>13.475640062453637</v>
      </c>
      <c r="CJ151" s="172">
        <f ca="1">(VLOOKUP(CJ$72,INDIRECT($C$5&amp;"生成成长"),2))/((VLOOKUP($B151,INDIRECT($B$5&amp;"生成成长"),4))/(VLOOKUP(CJ$72,INDIRECT($C$5&amp;"生成成长"),5))*(VLOOKUP($B$5,标准坦克设计!$B$24:$U$30,MATCH("对"&amp;LEFT($C$5,2)&amp;"输出",标准坦克设计!$B$23:$U$23,0)))*(VLOOKUP($B151,INDIRECT($B$5&amp;"生成成长"),3))*(VLOOKUP($B$5,标准坦克设计!$B$14:$K$20,9)/30))</f>
        <v>14.455374097606517</v>
      </c>
      <c r="CK151" s="172">
        <f ca="1">(VLOOKUP(CK$72,INDIRECT($C$5&amp;"生成成长"),2))/((VLOOKUP($B151,INDIRECT($B$5&amp;"生成成长"),4))/(VLOOKUP(CK$72,INDIRECT($C$5&amp;"生成成长"),5))*(VLOOKUP($B$5,标准坦克设计!$B$24:$U$30,MATCH("对"&amp;LEFT($C$5,2)&amp;"输出",标准坦克设计!$B$23:$U$23,0)))*(VLOOKUP($B151,INDIRECT($B$5&amp;"生成成长"),3))*(VLOOKUP($B$5,标准坦克设计!$B$14:$K$20,9)/30))</f>
        <v>15.469484765571774</v>
      </c>
      <c r="CL151" s="172">
        <f ca="1">(VLOOKUP(CL$72,INDIRECT($C$5&amp;"生成成长"),2))/((VLOOKUP($B151,INDIRECT($B$5&amp;"生成成长"),4))/(VLOOKUP(CL$72,INDIRECT($C$5&amp;"生成成长"),5))*(VLOOKUP($B$5,标准坦克设计!$B$24:$U$30,MATCH("对"&amp;LEFT($C$5,2)&amp;"输出",标准坦克设计!$B$23:$U$23,0)))*(VLOOKUP($B151,INDIRECT($B$5&amp;"生成成长"),3))*(VLOOKUP($B$5,标准坦克设计!$B$14:$K$20,9)/30))</f>
        <v>16.517972066349419</v>
      </c>
      <c r="CM151" s="172">
        <f ca="1">(VLOOKUP(CM$72,INDIRECT($C$5&amp;"生成成长"),2))/((VLOOKUP($B151,INDIRECT($B$5&amp;"生成成长"),4))/(VLOOKUP(CM$72,INDIRECT($C$5&amp;"生成成长"),5))*(VLOOKUP($B$5,标准坦克设计!$B$24:$U$30,MATCH("对"&amp;LEFT($C$5,2)&amp;"输出",标准坦克设计!$B$23:$U$23,0)))*(VLOOKUP($B151,INDIRECT($B$5&amp;"生成成长"),3))*(VLOOKUP($B$5,标准坦克设计!$B$14:$K$20,9)/30))</f>
        <v>17.600835999939445</v>
      </c>
      <c r="CN151" s="172">
        <f ca="1">(VLOOKUP(CN$72,INDIRECT($C$5&amp;"生成成长"),2))/((VLOOKUP($B151,INDIRECT($B$5&amp;"生成成长"),4))/(VLOOKUP(CN$72,INDIRECT($C$5&amp;"生成成长"),5))*(VLOOKUP($B$5,标准坦克设计!$B$24:$U$30,MATCH("对"&amp;LEFT($C$5,2)&amp;"输出",标准坦克设计!$B$23:$U$23,0)))*(VLOOKUP($B151,INDIRECT($B$5&amp;"生成成长"),3))*(VLOOKUP($B$5,标准坦克设计!$B$14:$K$20,9)/30))</f>
        <v>18.71807656634185</v>
      </c>
      <c r="CO151" s="172">
        <f ca="1">(VLOOKUP(CO$72,INDIRECT($C$5&amp;"生成成长"),2))/((VLOOKUP($B151,INDIRECT($B$5&amp;"生成成长"),4))/(VLOOKUP(CO$72,INDIRECT($C$5&amp;"生成成长"),5))*(VLOOKUP($B$5,标准坦克设计!$B$24:$U$30,MATCH("对"&amp;LEFT($C$5,2)&amp;"输出",标准坦克设计!$B$23:$U$23,0)))*(VLOOKUP($B151,INDIRECT($B$5&amp;"生成成长"),3))*(VLOOKUP($B$5,标准坦克设计!$B$14:$K$20,9)/30))</f>
        <v>8.3880404584228447</v>
      </c>
      <c r="CP151" s="172">
        <f ca="1">(VLOOKUP(CP$72,INDIRECT($C$5&amp;"生成成长"),2))/((VLOOKUP($B151,INDIRECT($B$5&amp;"生成成长"),4))/(VLOOKUP(CP$72,INDIRECT($C$5&amp;"生成成长"),5))*(VLOOKUP($B$5,标准坦克设计!$B$24:$U$30,MATCH("对"&amp;LEFT($C$5,2)&amp;"输出",标准坦克设计!$B$23:$U$23,0)))*(VLOOKUP($B151,INDIRECT($B$5&amp;"生成成长"),3))*(VLOOKUP($B$5,标准坦克设计!$B$14:$K$20,9)/30))</f>
        <v>9.1646398451389217</v>
      </c>
      <c r="CQ151" s="172">
        <f ca="1">(VLOOKUP(CQ$72,INDIRECT($C$5&amp;"生成成长"),2))/((VLOOKUP($B151,INDIRECT($B$5&amp;"生成成长"),4))/(VLOOKUP(CQ$72,INDIRECT($C$5&amp;"生成成长"),5))*(VLOOKUP($B$5,标准坦克设计!$B$24:$U$30,MATCH("对"&amp;LEFT($C$5,2)&amp;"输出",标准坦克设计!$B$23:$U$23,0)))*(VLOOKUP($B151,INDIRECT($B$5&amp;"生成成长"),3))*(VLOOKUP($B$5,标准坦克设计!$B$14:$K$20,9)/30))</f>
        <v>9.9756158646673825</v>
      </c>
      <c r="CR151" s="172">
        <f ca="1">(VLOOKUP(CR$72,INDIRECT($C$5&amp;"生成成长"),2))/((VLOOKUP($B151,INDIRECT($B$5&amp;"生成成长"),4))/(VLOOKUP(CR$72,INDIRECT($C$5&amp;"生成成长"),5))*(VLOOKUP($B$5,标准坦克设计!$B$24:$U$30,MATCH("对"&amp;LEFT($C$5,2)&amp;"输出",标准坦克设计!$B$23:$U$23,0)))*(VLOOKUP($B151,INDIRECT($B$5&amp;"生成成长"),3))*(VLOOKUP($B$5,标准坦克设计!$B$14:$K$20,9)/30))</f>
        <v>10.820968517008223</v>
      </c>
      <c r="CS151" s="172">
        <f ca="1">(VLOOKUP(CS$72,INDIRECT($C$5&amp;"生成成长"),2))/((VLOOKUP($B151,INDIRECT($B$5&amp;"生成成长"),4))/(VLOOKUP(CS$72,INDIRECT($C$5&amp;"生成成长"),5))*(VLOOKUP($B$5,标准坦克设计!$B$24:$U$30,MATCH("对"&amp;LEFT($C$5,2)&amp;"输出",标准坦克设计!$B$23:$U$23,0)))*(VLOOKUP($B151,INDIRECT($B$5&amp;"生成成长"),3))*(VLOOKUP($B$5,标准坦克设计!$B$14:$K$20,9)/30))</f>
        <v>11.700697802161447</v>
      </c>
      <c r="CT151" s="172">
        <f ca="1">(VLOOKUP(CT$72,INDIRECT($C$5&amp;"生成成长"),2))/((VLOOKUP($B151,INDIRECT($B$5&amp;"生成成长"),4))/(VLOOKUP(CT$72,INDIRECT($C$5&amp;"生成成长"),5))*(VLOOKUP($B$5,标准坦克设计!$B$24:$U$30,MATCH("对"&amp;LEFT($C$5,2)&amp;"输出",标准坦克设计!$B$23:$U$23,0)))*(VLOOKUP($B151,INDIRECT($B$5&amp;"生成成长"),3))*(VLOOKUP($B$5,标准坦克设计!$B$14:$K$20,9)/30))</f>
        <v>12.614803720127053</v>
      </c>
      <c r="CU151" s="172">
        <f ca="1">(VLOOKUP(CU$72,INDIRECT($C$5&amp;"生成成长"),2))/((VLOOKUP($B151,INDIRECT($B$5&amp;"生成成长"),4))/(VLOOKUP(CU$72,INDIRECT($C$5&amp;"生成成长"),5))*(VLOOKUP($B$5,标准坦克设计!$B$24:$U$30,MATCH("对"&amp;LEFT($C$5,2)&amp;"输出",标准坦克设计!$B$23:$U$23,0)))*(VLOOKUP($B151,INDIRECT($B$5&amp;"生成成长"),3))*(VLOOKUP($B$5,标准坦克设计!$B$14:$K$20,9)/30))</f>
        <v>13.563286270905037</v>
      </c>
      <c r="CV151" s="172">
        <f ca="1">(VLOOKUP(CV$72,INDIRECT($C$5&amp;"生成成长"),2))/((VLOOKUP($B151,INDIRECT($B$5&amp;"生成成长"),4))/(VLOOKUP(CV$72,INDIRECT($C$5&amp;"生成成长"),5))*(VLOOKUP($B$5,标准坦克设计!$B$24:$U$30,MATCH("对"&amp;LEFT($C$5,2)&amp;"输出",标准坦克设计!$B$23:$U$23,0)))*(VLOOKUP($B151,INDIRECT($B$5&amp;"生成成长"),3))*(VLOOKUP($B$5,标准坦克设计!$B$14:$K$20,9)/30))</f>
        <v>14.546145454495409</v>
      </c>
      <c r="CW151" s="172">
        <f ca="1">(VLOOKUP(CW$72,INDIRECT($C$5&amp;"生成成长"),2))/((VLOOKUP($B151,INDIRECT($B$5&amp;"生成成长"),4))/(VLOOKUP(CW$72,INDIRECT($C$5&amp;"生成成长"),5))*(VLOOKUP($B$5,标准坦克设计!$B$24:$U$30,MATCH("对"&amp;LEFT($C$5,2)&amp;"输出",标准坦克设计!$B$23:$U$23,0)))*(VLOOKUP($B151,INDIRECT($B$5&amp;"生成成长"),3))*(VLOOKUP($B$5,标准坦克设计!$B$14:$K$20,9)/30))</f>
        <v>15.56338127089816</v>
      </c>
      <c r="CX151" s="172">
        <f ca="1">(VLOOKUP(CX$72,INDIRECT($C$5&amp;"生成成长"),2))/((VLOOKUP($B151,INDIRECT($B$5&amp;"生成成长"),4))/(VLOOKUP(CX$72,INDIRECT($C$5&amp;"生成成长"),5))*(VLOOKUP($B$5,标准坦克设计!$B$24:$U$30,MATCH("对"&amp;LEFT($C$5,2)&amp;"输出",标准坦克设计!$B$23:$U$23,0)))*(VLOOKUP($B151,INDIRECT($B$5&amp;"生成成长"),3))*(VLOOKUP($B$5,标准坦克设计!$B$14:$K$20,9)/30))</f>
        <v>16.61499372011329</v>
      </c>
      <c r="CY151" s="172">
        <f ca="1">(VLOOKUP(CY$72,INDIRECT($C$5&amp;"生成成长"),2))/((VLOOKUP($B151,INDIRECT($B$5&amp;"生成成长"),4))/(VLOOKUP(CY$72,INDIRECT($C$5&amp;"生成成长"),5))*(VLOOKUP($B$5,标准坦克设计!$B$24:$U$30,MATCH("对"&amp;LEFT($C$5,2)&amp;"输出",标准坦克设计!$B$23:$U$23,0)))*(VLOOKUP($B151,INDIRECT($B$5&amp;"生成成长"),3))*(VLOOKUP($B$5,标准坦克设计!$B$14:$K$20,9)/30))</f>
        <v>17.700982802140803</v>
      </c>
      <c r="CZ151" s="172">
        <f ca="1">(VLOOKUP(CZ$72,INDIRECT($C$5&amp;"生成成长"),2))/((VLOOKUP($B151,INDIRECT($B$5&amp;"生成成长"),4))/(VLOOKUP(CZ$72,INDIRECT($C$5&amp;"生成成长"),5))*(VLOOKUP($B$5,标准坦克设计!$B$24:$U$30,MATCH("对"&amp;LEFT($C$5,2)&amp;"输出",标准坦克设计!$B$23:$U$23,0)))*(VLOOKUP($B151,INDIRECT($B$5&amp;"生成成长"),3))*(VLOOKUP($B$5,标准坦克设计!$B$14:$K$20,9)/30))</f>
        <v>18.821348516980695</v>
      </c>
      <c r="DA151" s="172">
        <f ca="1">(VLOOKUP(DA$72,INDIRECT($C$5&amp;"生成成长"),2))/((VLOOKUP($B151,INDIRECT($B$5&amp;"生成成长"),4))/(VLOOKUP(DA$72,INDIRECT($C$5&amp;"生成成长"),5))*(VLOOKUP($B$5,标准坦克设计!$B$24:$U$30,MATCH("对"&amp;LEFT($C$5,2)&amp;"输出",标准坦克设计!$B$23:$U$23,0)))*(VLOOKUP($B151,INDIRECT($B$5&amp;"生成成长"),3))*(VLOOKUP($B$5,标准坦克设计!$B$14:$K$20,9)/30))</f>
        <v>19.97609086463298</v>
      </c>
      <c r="DB151" s="172">
        <f ca="1">(VLOOKUP(DB$72,INDIRECT($C$5&amp;"生成成长"),2))/((VLOOKUP($B151,INDIRECT($B$5&amp;"生成成长"),4))/(VLOOKUP(DB$72,INDIRECT($C$5&amp;"生成成长"),5))*(VLOOKUP($B$5,标准坦克设计!$B$24:$U$30,MATCH("对"&amp;LEFT($C$5,2)&amp;"输出",标准坦克设计!$B$23:$U$23,0)))*(VLOOKUP($B151,INDIRECT($B$5&amp;"生成成长"),3))*(VLOOKUP($B$5,标准坦克设计!$B$14:$K$20,9)/30))</f>
        <v>21.165209845097635</v>
      </c>
      <c r="DC151" s="172">
        <f ca="1">(VLOOKUP(DC$72,INDIRECT($C$5&amp;"生成成长"),2))/((VLOOKUP($B151,INDIRECT($B$5&amp;"生成成长"),4))/(VLOOKUP(DC$72,INDIRECT($C$5&amp;"生成成长"),5))*(VLOOKUP($B$5,标准坦克设计!$B$24:$U$30,MATCH("对"&amp;LEFT($C$5,2)&amp;"输出",标准坦克设计!$B$23:$U$23,0)))*(VLOOKUP($B151,INDIRECT($B$5&amp;"生成成长"),3))*(VLOOKUP($B$5,标准坦克设计!$B$14:$K$20,9)/30))</f>
        <v>22.501636958729403</v>
      </c>
      <c r="DD151" s="172">
        <f ca="1">(VLOOKUP(DD$72,INDIRECT($C$5&amp;"生成成长"),2))/((VLOOKUP($B151,INDIRECT($B$5&amp;"生成成长"),4))/(VLOOKUP(DD$72,INDIRECT($C$5&amp;"生成成长"),5))*(VLOOKUP($B$5,标准坦克设计!$B$24:$U$30,MATCH("对"&amp;LEFT($C$5,2)&amp;"输出",标准坦克设计!$B$23:$U$23,0)))*(VLOOKUP($B151,INDIRECT($B$5&amp;"生成成长"),3))*(VLOOKUP($B$5,标准坦克设计!$B$14:$K$20,9)/30))</f>
        <v>23.878975106451932</v>
      </c>
      <c r="DE151" s="172">
        <f ca="1">(VLOOKUP(DE$72,INDIRECT($C$5&amp;"生成成长"),2))/((VLOOKUP($B151,INDIRECT($B$5&amp;"生成成长"),4))/(VLOOKUP(DE$72,INDIRECT($C$5&amp;"生成成长"),5))*(VLOOKUP($B$5,标准坦克设计!$B$24:$U$30,MATCH("对"&amp;LEFT($C$5,2)&amp;"输出",标准坦克设计!$B$23:$U$23,0)))*(VLOOKUP($B151,INDIRECT($B$5&amp;"生成成长"),3))*(VLOOKUP($B$5,标准坦克设计!$B$14:$K$20,9)/30))</f>
        <v>25.297224288265241</v>
      </c>
      <c r="DF151" s="172">
        <f ca="1">(VLOOKUP(DF$72,INDIRECT($C$5&amp;"生成成长"),2))/((VLOOKUP($B151,INDIRECT($B$5&amp;"生成成长"),4))/(VLOOKUP(DF$72,INDIRECT($C$5&amp;"生成成长"),5))*(VLOOKUP($B$5,标准坦克设计!$B$24:$U$30,MATCH("对"&amp;LEFT($C$5,2)&amp;"输出",标准坦克设计!$B$23:$U$23,0)))*(VLOOKUP($B151,INDIRECT($B$5&amp;"生成成长"),3))*(VLOOKUP($B$5,标准坦克设计!$B$14:$K$20,9)/30))</f>
        <v>26.756384504169304</v>
      </c>
      <c r="DG151" s="172">
        <f ca="1">(VLOOKUP(DG$72,INDIRECT($C$5&amp;"生成成长"),2))/((VLOOKUP($B151,INDIRECT($B$5&amp;"生成成长"),4))/(VLOOKUP(DG$72,INDIRECT($C$5&amp;"生成成长"),5))*(VLOOKUP($B$5,标准坦克设计!$B$24:$U$30,MATCH("对"&amp;LEFT($C$5,2)&amp;"输出",标准坦克设计!$B$23:$U$23,0)))*(VLOOKUP($B151,INDIRECT($B$5&amp;"生成成长"),3))*(VLOOKUP($B$5,标准坦克设计!$B$14:$K$20,9)/30))</f>
        <v>28.25645575416414</v>
      </c>
      <c r="DH151" s="172">
        <f ca="1">(VLOOKUP(DH$72,INDIRECT($C$5&amp;"生成成长"),2))/((VLOOKUP($B151,INDIRECT($B$5&amp;"生成成长"),4))/(VLOOKUP(DH$72,INDIRECT($C$5&amp;"生成成长"),5))*(VLOOKUP($B$5,标准坦克设计!$B$24:$U$30,MATCH("对"&amp;LEFT($C$5,2)&amp;"输出",标准坦克设计!$B$23:$U$23,0)))*(VLOOKUP($B151,INDIRECT($B$5&amp;"生成成长"),3))*(VLOOKUP($B$5,标准坦克设计!$B$14:$K$20,9)/30))</f>
        <v>29.797438038249755</v>
      </c>
      <c r="DI151" s="172">
        <f ca="1">(VLOOKUP(DI$72,INDIRECT($C$5&amp;"生成成长"),2))/((VLOOKUP($B151,INDIRECT($B$5&amp;"生成成长"),4))/(VLOOKUP(DI$72,INDIRECT($C$5&amp;"生成成长"),5))*(VLOOKUP($B$5,标准坦克设计!$B$24:$U$30,MATCH("对"&amp;LEFT($C$5,2)&amp;"输出",标准坦克设计!$B$23:$U$23,0)))*(VLOOKUP($B151,INDIRECT($B$5&amp;"生成成长"),3))*(VLOOKUP($B$5,标准坦克设计!$B$14:$K$20,9)/30))</f>
        <v>31.379331356426125</v>
      </c>
      <c r="DJ151" s="172">
        <f ca="1">(VLOOKUP(DJ$72,INDIRECT($C$5&amp;"生成成长"),2))/((VLOOKUP($B151,INDIRECT($B$5&amp;"生成成长"),4))/(VLOOKUP(DJ$72,INDIRECT($C$5&amp;"生成成长"),5))*(VLOOKUP($B$5,标准坦克设计!$B$24:$U$30,MATCH("对"&amp;LEFT($C$5,2)&amp;"输出",标准坦克设计!$B$23:$U$23,0)))*(VLOOKUP($B151,INDIRECT($B$5&amp;"生成成长"),3))*(VLOOKUP($B$5,标准坦克设计!$B$14:$K$20,9)/30))</f>
        <v>3.1537009300317633</v>
      </c>
      <c r="DK151" s="172">
        <f ca="1">(VLOOKUP(DK$72,INDIRECT($C$5&amp;"生成成长"),2))/((VLOOKUP($B151,INDIRECT($B$5&amp;"生成成长"),4))/(VLOOKUP(DK$72,INDIRECT($C$5&amp;"生成成长"),5))*(VLOOKUP($B$5,标准坦克设计!$B$24:$U$30,MATCH("对"&amp;LEFT($C$5,2)&amp;"输出",标准坦克设计!$B$23:$U$23,0)))*(VLOOKUP($B151,INDIRECT($B$5&amp;"生成成长"),3))*(VLOOKUP($B$5,标准坦克设计!$B$14:$K$20,9)/30))</f>
        <v>3.5461911633400724</v>
      </c>
      <c r="DL151" s="172">
        <f ca="1">(VLOOKUP(DL$72,INDIRECT($C$5&amp;"生成成长"),2))/((VLOOKUP($B151,INDIRECT($B$5&amp;"生成成长"),4))/(VLOOKUP(DL$72,INDIRECT($C$5&amp;"生成成长"),5))*(VLOOKUP($B$5,标准坦克设计!$B$24:$U$30,MATCH("对"&amp;LEFT($C$5,2)&amp;"输出",标准坦克设计!$B$23:$U$23,0)))*(VLOOKUP($B151,INDIRECT($B$5&amp;"生成成长"),3))*(VLOOKUP($B$5,标准坦克设计!$B$14:$K$20,9)/30))</f>
        <v>3.9616938533244377</v>
      </c>
      <c r="DM151" s="172">
        <f ca="1">(VLOOKUP(DM$72,INDIRECT($C$5&amp;"生成成长"),2))/((VLOOKUP($B151,INDIRECT($B$5&amp;"生成成长"),4))/(VLOOKUP(DM$72,INDIRECT($C$5&amp;"生成成长"),5))*(VLOOKUP($B$5,标准坦克设计!$B$24:$U$30,MATCH("对"&amp;LEFT($C$5,2)&amp;"输出",标准坦克设计!$B$23:$U$23,0)))*(VLOOKUP($B151,INDIRECT($B$5&amp;"生成成长"),3))*(VLOOKUP($B$5,标准坦克设计!$B$14:$K$20,9)/30))</f>
        <v>4.4002089999848613</v>
      </c>
      <c r="DN151" s="172">
        <f ca="1">(VLOOKUP(DN$72,INDIRECT($C$5&amp;"生成成长"),2))/((VLOOKUP($B151,INDIRECT($B$5&amp;"生成成长"),4))/(VLOOKUP(DN$72,INDIRECT($C$5&amp;"生成成长"),5))*(VLOOKUP($B$5,标准坦克设计!$B$24:$U$30,MATCH("对"&amp;LEFT($C$5,2)&amp;"输出",标准坦克设计!$B$23:$U$23,0)))*(VLOOKUP($B151,INDIRECT($B$5&amp;"生成成长"),3))*(VLOOKUP($B$5,标准坦克设计!$B$14:$K$20,9)/30))</f>
        <v>4.8617366033213409</v>
      </c>
      <c r="DO151" s="172">
        <f ca="1">(VLOOKUP(DO$72,INDIRECT($C$5&amp;"生成成长"),2))/((VLOOKUP($B151,INDIRECT($B$5&amp;"生成成长"),4))/(VLOOKUP(DO$72,INDIRECT($C$5&amp;"生成成长"),5))*(VLOOKUP($B$5,标准坦克设计!$B$24:$U$30,MATCH("对"&amp;LEFT($C$5,2)&amp;"输出",标准坦克设计!$B$23:$U$23,0)))*(VLOOKUP($B151,INDIRECT($B$5&amp;"生成成长"),3))*(VLOOKUP($B$5,标准坦克设计!$B$14:$K$20,9)/30))</f>
        <v>5.346276663333879</v>
      </c>
      <c r="DP151" s="172">
        <f ca="1">(VLOOKUP(DP$72,INDIRECT($C$5&amp;"生成成长"),2))/((VLOOKUP($B151,INDIRECT($B$5&amp;"生成成长"),4))/(VLOOKUP(DP$72,INDIRECT($C$5&amp;"生成成长"),5))*(VLOOKUP($B$5,标准坦克设计!$B$24:$U$30,MATCH("对"&amp;LEFT($C$5,2)&amp;"输出",标准坦克设计!$B$23:$U$23,0)))*(VLOOKUP($B151,INDIRECT($B$5&amp;"生成成长"),3))*(VLOOKUP($B$5,标准坦克设计!$B$14:$K$20,9)/30))</f>
        <v>5.8538291800224727</v>
      </c>
      <c r="DQ151" s="172">
        <f ca="1">(VLOOKUP(DQ$72,INDIRECT($C$5&amp;"生成成长"),2))/((VLOOKUP($B151,INDIRECT($B$5&amp;"生成成长"),4))/(VLOOKUP(DQ$72,INDIRECT($C$5&amp;"生成成长"),5))*(VLOOKUP($B$5,标准坦克设计!$B$24:$U$30,MATCH("对"&amp;LEFT($C$5,2)&amp;"输出",标准坦克设计!$B$23:$U$23,0)))*(VLOOKUP($B151,INDIRECT($B$5&amp;"生成成长"),3))*(VLOOKUP($B$5,标准坦克设计!$B$14:$K$20,9)/30))</f>
        <v>6.3843941533871265</v>
      </c>
      <c r="DR151" s="172">
        <f ca="1">(VLOOKUP(DR$72,INDIRECT($C$5&amp;"生成成长"),2))/((VLOOKUP($B151,INDIRECT($B$5&amp;"生成成长"),4))/(VLOOKUP(DR$72,INDIRECT($C$5&amp;"生成成长"),5))*(VLOOKUP($B$5,标准坦克设计!$B$24:$U$30,MATCH("对"&amp;LEFT($C$5,2)&amp;"输出",标准坦克设计!$B$23:$U$23,0)))*(VLOOKUP($B151,INDIRECT($B$5&amp;"生成成长"),3))*(VLOOKUP($B$5,标准坦克设计!$B$14:$K$20,9)/30))</f>
        <v>6.9379715834278342</v>
      </c>
      <c r="DS151" s="172">
        <f ca="1">(VLOOKUP(DS$72,INDIRECT($C$5&amp;"生成成长"),2))/((VLOOKUP($B151,INDIRECT($B$5&amp;"生成成长"),4))/(VLOOKUP(DS$72,INDIRECT($C$5&amp;"生成成长"),5))*(VLOOKUP($B$5,标准坦克设计!$B$24:$U$30,MATCH("对"&amp;LEFT($C$5,2)&amp;"输出",标准坦克设计!$B$23:$U$23,0)))*(VLOOKUP($B151,INDIRECT($B$5&amp;"生成成长"),3))*(VLOOKUP($B$5,标准坦克设计!$B$14:$K$20,9)/30))</f>
        <v>7.5145614701446011</v>
      </c>
      <c r="DT151" s="172">
        <f ca="1">(VLOOKUP(DT$72,INDIRECT($C$5&amp;"生成成长"),2))/((VLOOKUP($B151,INDIRECT($B$5&amp;"生成成长"),4))/(VLOOKUP(DT$72,INDIRECT($C$5&amp;"生成成长"),5))*(VLOOKUP($B$5,标准坦克设计!$B$24:$U$30,MATCH("对"&amp;LEFT($C$5,2)&amp;"输出",标准坦克设计!$B$23:$U$23,0)))*(VLOOKUP($B151,INDIRECT($B$5&amp;"生成成长"),3))*(VLOOKUP($B$5,标准坦克设计!$B$14:$K$20,9)/30))</f>
        <v>8.2505339271733202</v>
      </c>
      <c r="DU151" s="172">
        <f ca="1">(VLOOKUP(DU$72,INDIRECT($C$5&amp;"生成成长"),2))/((VLOOKUP($B151,INDIRECT($B$5&amp;"生成成长"),4))/(VLOOKUP(DU$72,INDIRECT($C$5&amp;"生成成长"),5))*(VLOOKUP($B$5,标准坦克设计!$B$24:$U$30,MATCH("对"&amp;LEFT($C$5,2)&amp;"输出",标准坦克设计!$B$23:$U$23,0)))*(VLOOKUP($B151,INDIRECT($B$5&amp;"生成成长"),3))*(VLOOKUP($B$5,标准坦克设计!$B$14:$K$20,9)/30))</f>
        <v>9.0208830170144196</v>
      </c>
      <c r="DV151" s="172">
        <f ca="1">(VLOOKUP(DV$72,INDIRECT($C$5&amp;"生成成长"),2))/((VLOOKUP($B151,INDIRECT($B$5&amp;"生成成长"),4))/(VLOOKUP(DV$72,INDIRECT($C$5&amp;"生成成长"),5))*(VLOOKUP($B$5,标准坦克设计!$B$24:$U$30,MATCH("对"&amp;LEFT($C$5,2)&amp;"输出",标准坦克设计!$B$23:$U$23,0)))*(VLOOKUP($B151,INDIRECT($B$5&amp;"生成成长"),3))*(VLOOKUP($B$5,标准坦克设计!$B$14:$K$20,9)/30))</f>
        <v>9.8256087396678975</v>
      </c>
      <c r="DW151" s="172">
        <f ca="1">(VLOOKUP(DW$72,INDIRECT($C$5&amp;"生成成长"),2))/((VLOOKUP($B151,INDIRECT($B$5&amp;"生成成长"),4))/(VLOOKUP(DW$72,INDIRECT($C$5&amp;"生成成长"),5))*(VLOOKUP($B$5,标准坦克设计!$B$24:$U$30,MATCH("对"&amp;LEFT($C$5,2)&amp;"输出",标准坦克设计!$B$23:$U$23,0)))*(VLOOKUP($B151,INDIRECT($B$5&amp;"生成成长"),3))*(VLOOKUP($B$5,标准坦克设计!$B$14:$K$20,9)/30))</f>
        <v>10.664711095133764</v>
      </c>
      <c r="DX151" s="172">
        <f ca="1">(VLOOKUP(DX$72,INDIRECT($C$5&amp;"生成成长"),2))/((VLOOKUP($B151,INDIRECT($B$5&amp;"生成成长"),4))/(VLOOKUP(DX$72,INDIRECT($C$5&amp;"生成成长"),5))*(VLOOKUP($B$5,标准坦克设计!$B$24:$U$30,MATCH("对"&amp;LEFT($C$5,2)&amp;"输出",标准坦克设计!$B$23:$U$23,0)))*(VLOOKUP($B151,INDIRECT($B$5&amp;"生成成长"),3))*(VLOOKUP($B$5,标准坦克设计!$B$14:$K$20,9)/30))</f>
        <v>11.538190083412008</v>
      </c>
      <c r="DY151" s="172">
        <f ca="1">(VLOOKUP(DY$72,INDIRECT($C$5&amp;"生成成长"),2))/((VLOOKUP($B151,INDIRECT($B$5&amp;"生成成长"),4))/(VLOOKUP(DY$72,INDIRECT($C$5&amp;"生成成长"),5))*(VLOOKUP($B$5,标准坦克设计!$B$24:$U$30,MATCH("对"&amp;LEFT($C$5,2)&amp;"输出",标准坦克设计!$B$23:$U$23,0)))*(VLOOKUP($B151,INDIRECT($B$5&amp;"生成成长"),3))*(VLOOKUP($B$5,标准坦克设计!$B$14:$K$20,9)/30))</f>
        <v>5.1822063703656926</v>
      </c>
      <c r="DZ151" s="172">
        <f ca="1">(VLOOKUP(DZ$72,INDIRECT($C$5&amp;"生成成长"),2))/((VLOOKUP($B151,INDIRECT($B$5&amp;"生成成长"),4))/(VLOOKUP(DZ$72,INDIRECT($C$5&amp;"生成成长"),5))*(VLOOKUP($B$5,标准坦克设计!$B$24:$U$30,MATCH("对"&amp;LEFT($C$5,2)&amp;"输出",标准坦克设计!$B$23:$U$23,0)))*(VLOOKUP($B151,INDIRECT($B$5&amp;"生成成长"),3))*(VLOOKUP($B$5,标准坦克设计!$B$14:$K$20,9)/30))</f>
        <v>5.7390510010455955</v>
      </c>
      <c r="EA151" s="172">
        <f ca="1">(VLOOKUP(EA$72,INDIRECT($C$5&amp;"生成成长"),2))/((VLOOKUP($B151,INDIRECT($B$5&amp;"生成成长"),4))/(VLOOKUP(EA$72,INDIRECT($C$5&amp;"生成成长"),5))*(VLOOKUP($B$5,标准坦克设计!$B$24:$U$30,MATCH("对"&amp;LEFT($C$5,2)&amp;"输出",标准坦克设计!$B$23:$U$23,0)))*(VLOOKUP($B151,INDIRECT($B$5&amp;"生成成长"),3))*(VLOOKUP($B$5,标准坦克设计!$B$14:$K$20,9)/30))</f>
        <v>6.3243060720663102</v>
      </c>
      <c r="EB151" s="172">
        <f ca="1">(VLOOKUP(EB$72,INDIRECT($C$5&amp;"生成成长"),2))/((VLOOKUP($B151,INDIRECT($B$5&amp;"生成成长"),4))/(VLOOKUP(EB$72,INDIRECT($C$5&amp;"生成成长"),5))*(VLOOKUP($B$5,标准坦克设计!$B$24:$U$30,MATCH("对"&amp;LEFT($C$5,2)&amp;"输出",标准坦克设计!$B$23:$U$23,0)))*(VLOOKUP($B151,INDIRECT($B$5&amp;"生成成长"),3))*(VLOOKUP($B$5,标准坦克设计!$B$14:$K$20,9)/30))</f>
        <v>6.9379715834278342</v>
      </c>
      <c r="EC151" s="172">
        <f ca="1">(VLOOKUP(EC$72,INDIRECT($C$5&amp;"生成成长"),2))/((VLOOKUP($B151,INDIRECT($B$5&amp;"生成成长"),4))/(VLOOKUP(EC$72,INDIRECT($C$5&amp;"生成成长"),5))*(VLOOKUP($B$5,标准坦克设计!$B$24:$U$30,MATCH("对"&amp;LEFT($C$5,2)&amp;"输出",标准坦克设计!$B$23:$U$23,0)))*(VLOOKUP($B151,INDIRECT($B$5&amp;"生成成长"),3))*(VLOOKUP($B$5,标准坦克设计!$B$14:$K$20,9)/30))</f>
        <v>7.5800475351301699</v>
      </c>
      <c r="ED151" s="172">
        <f ca="1">(VLOOKUP(ED$72,INDIRECT($C$5&amp;"生成成长"),2))/((VLOOKUP($B151,INDIRECT($B$5&amp;"生成成长"),4))/(VLOOKUP(ED$72,INDIRECT($C$5&amp;"生成成长"),5))*(VLOOKUP($B$5,标准坦克设计!$B$24:$U$30,MATCH("对"&amp;LEFT($C$5,2)&amp;"输出",标准坦克设计!$B$23:$U$23,0)))*(VLOOKUP($B151,INDIRECT($B$5&amp;"生成成长"),3))*(VLOOKUP($B$5,标准坦克设计!$B$14:$K$20,9)/30))</f>
        <v>8.2505339271733202</v>
      </c>
      <c r="EE151" s="172">
        <f ca="1">(VLOOKUP(EE$72,INDIRECT($C$5&amp;"生成成长"),2))/((VLOOKUP($B151,INDIRECT($B$5&amp;"生成成长"),4))/(VLOOKUP(EE$72,INDIRECT($C$5&amp;"生成成长"),5))*(VLOOKUP($B$5,标准坦克设计!$B$24:$U$30,MATCH("对"&amp;LEFT($C$5,2)&amp;"输出",标准坦克设计!$B$23:$U$23,0)))*(VLOOKUP($B151,INDIRECT($B$5&amp;"生成成长"),3))*(VLOOKUP($B$5,标准坦克设计!$B$14:$K$20,9)/30))</f>
        <v>8.9494307595572771</v>
      </c>
      <c r="EF151" s="172">
        <f ca="1">(VLOOKUP(EF$72,INDIRECT($C$5&amp;"生成成长"),2))/((VLOOKUP($B151,INDIRECT($B$5&amp;"生成成长"),4))/(VLOOKUP(EF$72,INDIRECT($C$5&amp;"生成成长"),5))*(VLOOKUP($B$5,标准坦克设计!$B$24:$U$30,MATCH("对"&amp;LEFT($C$5,2)&amp;"输出",标准坦克设计!$B$23:$U$23,0)))*(VLOOKUP($B151,INDIRECT($B$5&amp;"生成成长"),3))*(VLOOKUP($B$5,标准坦克设计!$B$14:$K$20,9)/30))</f>
        <v>9.6767380322820475</v>
      </c>
      <c r="EG151" s="172">
        <f ca="1">(VLOOKUP(EG$72,INDIRECT($C$5&amp;"生成成长"),2))/((VLOOKUP($B151,INDIRECT($B$5&amp;"生成成长"),4))/(VLOOKUP(EG$72,INDIRECT($C$5&amp;"生成成长"),5))*(VLOOKUP($B$5,标准坦克设计!$B$24:$U$30,MATCH("对"&amp;LEFT($C$5,2)&amp;"输出",标准坦克设计!$B$23:$U$23,0)))*(VLOOKUP($B151,INDIRECT($B$5&amp;"生成成长"),3))*(VLOOKUP($B$5,标准坦克设计!$B$14:$K$20,9)/30))</f>
        <v>10.43245574534763</v>
      </c>
      <c r="EH151" s="172">
        <f ca="1">(VLOOKUP(EH$72,INDIRECT($C$5&amp;"生成成长"),2))/((VLOOKUP($B151,INDIRECT($B$5&amp;"生成成长"),4))/(VLOOKUP(EH$72,INDIRECT($C$5&amp;"生成成长"),5))*(VLOOKUP($B$5,标准坦克设计!$B$24:$U$30,MATCH("对"&amp;LEFT($C$5,2)&amp;"输出",标准坦克设计!$B$23:$U$23,0)))*(VLOOKUP($B151,INDIRECT($B$5&amp;"生成成长"),3))*(VLOOKUP($B$5,标准坦克设计!$B$14:$K$20,9)/30))</f>
        <v>11.216583898754024</v>
      </c>
      <c r="EI151" s="172">
        <f ca="1">(VLOOKUP(EI$72,INDIRECT($C$5&amp;"生成成长"),2))/((VLOOKUP($B151,INDIRECT($B$5&amp;"生成成长"),4))/(VLOOKUP(EI$72,INDIRECT($C$5&amp;"生成成长"),5))*(VLOOKUP($B$5,标准坦克设计!$B$24:$U$30,MATCH("对"&amp;LEFT($C$5,2)&amp;"输出",标准坦克设计!$B$23:$U$23,0)))*(VLOOKUP($B151,INDIRECT($B$5&amp;"生成成长"),3))*(VLOOKUP($B$5,标准坦克设计!$B$14:$K$20,9)/30))</f>
        <v>12.029122492501228</v>
      </c>
      <c r="EJ151" s="172">
        <f ca="1">(VLOOKUP(EJ$72,INDIRECT($C$5&amp;"生成成长"),2))/((VLOOKUP($B151,INDIRECT($B$5&amp;"生成成长"),4))/(VLOOKUP(EJ$72,INDIRECT($C$5&amp;"生成成长"),5))*(VLOOKUP($B$5,标准坦克设计!$B$24:$U$30,MATCH("对"&amp;LEFT($C$5,2)&amp;"输出",标准坦克设计!$B$23:$U$23,0)))*(VLOOKUP($B151,INDIRECT($B$5&amp;"生成成长"),3))*(VLOOKUP($B$5,标准坦克设计!$B$14:$K$20,9)/30))</f>
        <v>12.870071526589241</v>
      </c>
      <c r="EK151" s="172">
        <f ca="1">(VLOOKUP(EK$72,INDIRECT($C$5&amp;"生成成长"),2))/((VLOOKUP($B151,INDIRECT($B$5&amp;"生成成长"),4))/(VLOOKUP(EK$72,INDIRECT($C$5&amp;"生成成长"),5))*(VLOOKUP($B$5,标准坦克设计!$B$24:$U$30,MATCH("对"&amp;LEFT($C$5,2)&amp;"输出",标准坦克设计!$B$23:$U$23,0)))*(VLOOKUP($B151,INDIRECT($B$5&amp;"生成成长"),3))*(VLOOKUP($B$5,标准坦克设计!$B$14:$K$20,9)/30))</f>
        <v>13.916712148744733</v>
      </c>
      <c r="EL151" s="172">
        <f ca="1">(VLOOKUP(EL$72,INDIRECT($C$5&amp;"生成成长"),2))/((VLOOKUP($B151,INDIRECT($B$5&amp;"生成成长"),4))/(VLOOKUP(EL$72,INDIRECT($C$5&amp;"生成成长"),5))*(VLOOKUP($B$5,标准坦克设计!$B$24:$U$30,MATCH("对"&amp;LEFT($C$5,2)&amp;"输出",标准坦克设计!$B$23:$U$23,0)))*(VLOOKUP($B151,INDIRECT($B$5&amp;"生成成长"),3))*(VLOOKUP($B$5,标准坦克设计!$B$14:$K$20,9)/30))</f>
        <v>15.004263804990993</v>
      </c>
      <c r="EM151" s="172">
        <f ca="1">(VLOOKUP(EM$72,INDIRECT($C$5&amp;"生成成长"),2))/((VLOOKUP($B151,INDIRECT($B$5&amp;"生成成长"),4))/(VLOOKUP(EM$72,INDIRECT($C$5&amp;"生成成长"),5))*(VLOOKUP($B$5,标准坦克设计!$B$24:$U$30,MATCH("对"&amp;LEFT($C$5,2)&amp;"输出",标准坦克设计!$B$23:$U$23,0)))*(VLOOKUP($B151,INDIRECT($B$5&amp;"生成成长"),3))*(VLOOKUP($B$5,标准坦克设计!$B$14:$K$20,9)/30))</f>
        <v>16.132726495328019</v>
      </c>
      <c r="EN151" s="172">
        <f ca="1">(VLOOKUP(EN$72,INDIRECT($C$5&amp;"生成成长"),2))/((VLOOKUP($B151,INDIRECT($B$5&amp;"生成成长"),4))/(VLOOKUP(EN$72,INDIRECT($C$5&amp;"生成成长"),5))*(VLOOKUP($B$5,标准坦克设计!$B$24:$U$30,MATCH("对"&amp;LEFT($C$5,2)&amp;"输出",标准坦克设计!$B$23:$U$23,0)))*(VLOOKUP($B151,INDIRECT($B$5&amp;"生成成长"),3))*(VLOOKUP($B$5,标准坦克设计!$B$14:$K$20,9)/30))</f>
        <v>17.302100219755811</v>
      </c>
      <c r="EO151" s="172">
        <f ca="1">(VLOOKUP(EO$72,INDIRECT($C$5&amp;"生成成长"),2))/((VLOOKUP($B151,INDIRECT($B$5&amp;"生成成长"),4))/(VLOOKUP(EO$72,INDIRECT($C$5&amp;"生成成长"),5))*(VLOOKUP($B$5,标准坦克设计!$B$24:$U$30,MATCH("对"&amp;LEFT($C$5,2)&amp;"输出",标准坦克设计!$B$23:$U$23,0)))*(VLOOKUP($B151,INDIRECT($B$5&amp;"生成成长"),3))*(VLOOKUP($B$5,标准坦克设计!$B$14:$K$20,9)/30))</f>
        <v>18.512384978274376</v>
      </c>
      <c r="EP151" s="172">
        <f ca="1">(VLOOKUP(EP$72,INDIRECT($C$5&amp;"生成成长"),2))/((VLOOKUP($B151,INDIRECT($B$5&amp;"生成成长"),4))/(VLOOKUP(EP$72,INDIRECT($C$5&amp;"生成成长"),5))*(VLOOKUP($B$5,标准坦克设计!$B$24:$U$30,MATCH("对"&amp;LEFT($C$5,2)&amp;"输出",标准坦克设计!$B$23:$U$23,0)))*(VLOOKUP($B151,INDIRECT($B$5&amp;"生成成长"),3))*(VLOOKUP($B$5,标准坦克设计!$B$14:$K$20,9)/30))</f>
        <v>19.763580770883706</v>
      </c>
      <c r="EQ151" s="172">
        <f ca="1">(VLOOKUP(EQ$72,INDIRECT($C$5&amp;"生成成长"),2))/((VLOOKUP($B151,INDIRECT($B$5&amp;"生成成长"),4))/(VLOOKUP(EQ$72,INDIRECT($C$5&amp;"生成成长"),5))*(VLOOKUP($B$5,标准坦克设计!$B$24:$U$30,MATCH("对"&amp;LEFT($C$5,2)&amp;"输出",标准坦克设计!$B$23:$U$23,0)))*(VLOOKUP($B151,INDIRECT($B$5&amp;"生成成长"),3))*(VLOOKUP($B$5,标准坦克设计!$B$14:$K$20,9)/30))</f>
        <v>8.7367786136063046</v>
      </c>
      <c r="ER151" s="172">
        <f ca="1">(VLOOKUP(ER$72,INDIRECT($C$5&amp;"生成成长"),2))/((VLOOKUP($B151,INDIRECT($B$5&amp;"生成成长"),4))/(VLOOKUP(ER$72,INDIRECT($C$5&amp;"生成成长"),5))*(VLOOKUP($B$5,标准坦克设计!$B$24:$U$30,MATCH("对"&amp;LEFT($C$5,2)&amp;"输出",标准坦克设计!$B$23:$U$23,0)))*(VLOOKUP($B151,INDIRECT($B$5&amp;"生成成长"),3))*(VLOOKUP($B$5,标准坦克设计!$B$14:$K$20,9)/30))</f>
        <v>9.5290037425098291</v>
      </c>
      <c r="ES151" s="172">
        <f ca="1">(VLOOKUP(ES$72,INDIRECT($C$5&amp;"生成成长"),2))/((VLOOKUP($B151,INDIRECT($B$5&amp;"生成成长"),4))/(VLOOKUP(ES$72,INDIRECT($C$5&amp;"生成成长"),5))*(VLOOKUP($B$5,标准坦克设计!$B$24:$U$30,MATCH("对"&amp;LEFT($C$5,2)&amp;"输出",标准坦克设计!$B$23:$U$23,0)))*(VLOOKUP($B151,INDIRECT($B$5&amp;"生成成长"),3))*(VLOOKUP($B$5,标准坦克设计!$B$14:$K$20,9)/30))</f>
        <v>10.355605504225734</v>
      </c>
      <c r="ET151" s="172">
        <f ca="1">(VLOOKUP(ET$72,INDIRECT($C$5&amp;"生成成长"),2))/((VLOOKUP($B151,INDIRECT($B$5&amp;"生成成长"),4))/(VLOOKUP(ET$72,INDIRECT($C$5&amp;"生成成长"),5))*(VLOOKUP($B$5,标准坦克设计!$B$24:$U$30,MATCH("对"&amp;LEFT($C$5,2)&amp;"输出",标准坦克设计!$B$23:$U$23,0)))*(VLOOKUP($B151,INDIRECT($B$5&amp;"生成成长"),3))*(VLOOKUP($B$5,标准坦克设计!$B$14:$K$20,9)/30))</f>
        <v>11.216583898754024</v>
      </c>
      <c r="EU151" s="172">
        <f ca="1">(VLOOKUP(EU$72,INDIRECT($C$5&amp;"生成成长"),2))/((VLOOKUP($B151,INDIRECT($B$5&amp;"生成成长"),4))/(VLOOKUP(EU$72,INDIRECT($C$5&amp;"生成成长"),5))*(VLOOKUP($B$5,标准坦克设计!$B$24:$U$30,MATCH("对"&amp;LEFT($C$5,2)&amp;"输出",标准坦克设计!$B$23:$U$23,0)))*(VLOOKUP($B151,INDIRECT($B$5&amp;"生成成长"),3))*(VLOOKUP($B$5,标准坦克设计!$B$14:$K$20,9)/30))</f>
        <v>12.111938926094691</v>
      </c>
      <c r="EV151" s="172">
        <f ca="1">(VLOOKUP(EV$72,INDIRECT($C$5&amp;"生成成长"),2))/((VLOOKUP($B151,INDIRECT($B$5&amp;"生成成长"),4))/(VLOOKUP(EV$72,INDIRECT($C$5&amp;"生成成长"),5))*(VLOOKUP($B$5,标准坦克设计!$B$24:$U$30,MATCH("对"&amp;LEFT($C$5,2)&amp;"输出",标准坦克设计!$B$23:$U$23,0)))*(VLOOKUP($B151,INDIRECT($B$5&amp;"生成成长"),3))*(VLOOKUP($B$5,标准坦克设计!$B$14:$K$20,9)/30))</f>
        <v>13.041670586247744</v>
      </c>
      <c r="EW151" s="172">
        <f ca="1">(VLOOKUP(EW$72,INDIRECT($C$5&amp;"生成成长"),2))/((VLOOKUP($B151,INDIRECT($B$5&amp;"生成成长"),4))/(VLOOKUP(EW$72,INDIRECT($C$5&amp;"生成成长"),5))*(VLOOKUP($B$5,标准坦克设计!$B$24:$U$30,MATCH("对"&amp;LEFT($C$5,2)&amp;"输出",标准坦克设计!$B$23:$U$23,0)))*(VLOOKUP($B151,INDIRECT($B$5&amp;"生成成长"),3))*(VLOOKUP($B$5,标准坦克设计!$B$14:$K$20,9)/30))</f>
        <v>14.005778879213178</v>
      </c>
      <c r="EX151" s="172">
        <f ca="1">(VLOOKUP(EX$72,INDIRECT($C$5&amp;"生成成长"),2))/((VLOOKUP($B151,INDIRECT($B$5&amp;"生成成长"),4))/(VLOOKUP(EX$72,INDIRECT($C$5&amp;"生成成长"),5))*(VLOOKUP($B$5,标准坦克设计!$B$24:$U$30,MATCH("对"&amp;LEFT($C$5,2)&amp;"输出",标准坦克设计!$B$23:$U$23,0)))*(VLOOKUP($B151,INDIRECT($B$5&amp;"生成成长"),3))*(VLOOKUP($B$5,标准坦克设计!$B$14:$K$20,9)/30))</f>
        <v>15.004263804990993</v>
      </c>
      <c r="EY151" s="172">
        <f ca="1">(VLOOKUP(EY$72,INDIRECT($C$5&amp;"生成成长"),2))/((VLOOKUP($B151,INDIRECT($B$5&amp;"生成成长"),4))/(VLOOKUP(EY$72,INDIRECT($C$5&amp;"生成成长"),5))*(VLOOKUP($B$5,标准坦克设计!$B$24:$U$30,MATCH("对"&amp;LEFT($C$5,2)&amp;"输出",标准坦克设计!$B$23:$U$23,0)))*(VLOOKUP($B151,INDIRECT($B$5&amp;"生成成长"),3))*(VLOOKUP($B$5,标准坦克设计!$B$14:$K$20,9)/30))</f>
        <v>16.037125363581186</v>
      </c>
      <c r="EZ151" s="172">
        <f ca="1">(VLOOKUP(EZ$72,INDIRECT($C$5&amp;"生成成长"),2))/((VLOOKUP($B151,INDIRECT($B$5&amp;"生成成长"),4))/(VLOOKUP(EZ$72,INDIRECT($C$5&amp;"生成成长"),5))*(VLOOKUP($B$5,标准坦克设计!$B$24:$U$30,MATCH("对"&amp;LEFT($C$5,2)&amp;"输出",标准坦克设计!$B$23:$U$23,0)))*(VLOOKUP($B151,INDIRECT($B$5&amp;"生成成长"),3))*(VLOOKUP($B$5,标准坦克设计!$B$14:$K$20,9)/30))</f>
        <v>17.104363554983767</v>
      </c>
      <c r="FA151" s="172">
        <f ca="1">(VLOOKUP(FA$72,INDIRECT($C$5&amp;"生成成长"),2))/((VLOOKUP($B151,INDIRECT($B$5&amp;"生成成长"),4))/(VLOOKUP(FA$72,INDIRECT($C$5&amp;"生成成长"),5))*(VLOOKUP($B$5,标准坦克设计!$B$24:$U$30,MATCH("对"&amp;LEFT($C$5,2)&amp;"输出",标准坦克设计!$B$23:$U$23,0)))*(VLOOKUP($B151,INDIRECT($B$5&amp;"生成成长"),3))*(VLOOKUP($B$5,标准坦克设计!$B$14:$K$20,9)/30))</f>
        <v>18.205978379198722</v>
      </c>
      <c r="FB151" s="172">
        <f ca="1">(VLOOKUP(FB$72,INDIRECT($C$5&amp;"生成成长"),2))/((VLOOKUP($B151,INDIRECT($B$5&amp;"生成成长"),4))/(VLOOKUP(FB$72,INDIRECT($C$5&amp;"生成成长"),5))*(VLOOKUP($B$5,标准坦克设计!$B$24:$U$30,MATCH("对"&amp;LEFT($C$5,2)&amp;"输出",标准坦克设计!$B$23:$U$23,0)))*(VLOOKUP($B151,INDIRECT($B$5&amp;"生成成长"),3))*(VLOOKUP($B$5,标准坦克设计!$B$14:$K$20,9)/30))</f>
        <v>19.341969836226067</v>
      </c>
      <c r="FC151" s="172">
        <f ca="1">(VLOOKUP(FC$72,INDIRECT($C$5&amp;"生成成长"),2))/((VLOOKUP($B151,INDIRECT($B$5&amp;"生成成长"),4))/(VLOOKUP(FC$72,INDIRECT($C$5&amp;"生成成长"),5))*(VLOOKUP($B$5,标准坦克设计!$B$24:$U$30,MATCH("对"&amp;LEFT($C$5,2)&amp;"输出",标准坦克设计!$B$23:$U$23,0)))*(VLOOKUP($B151,INDIRECT($B$5&amp;"生成成长"),3))*(VLOOKUP($B$5,标准坦克设计!$B$14:$K$20,9)/30))</f>
        <v>20.51233792606579</v>
      </c>
      <c r="FD151" s="172">
        <f ca="1">(VLOOKUP(FD$72,INDIRECT($C$5&amp;"生成成长"),2))/((VLOOKUP($B151,INDIRECT($B$5&amp;"生成成长"),4))/(VLOOKUP(FD$72,INDIRECT($C$5&amp;"生成成长"),5))*(VLOOKUP($B$5,标准坦克设计!$B$24:$U$30,MATCH("对"&amp;LEFT($C$5,2)&amp;"输出",标准坦克设计!$B$23:$U$23,0)))*(VLOOKUP($B151,INDIRECT($B$5&amp;"生成成长"),3))*(VLOOKUP($B$5,标准坦克设计!$B$14:$K$20,9)/30))</f>
        <v>21.717082648717895</v>
      </c>
      <c r="FE151" s="172">
        <f ca="1">(VLOOKUP(FE$72,INDIRECT($C$5&amp;"生成成长"),2))/((VLOOKUP($B151,INDIRECT($B$5&amp;"生成成长"),4))/(VLOOKUP(FE$72,INDIRECT($C$5&amp;"生成成长"),5))*(VLOOKUP($B$5,标准坦克设计!$B$24:$U$30,MATCH("对"&amp;LEFT($C$5,2)&amp;"输出",标准坦克设计!$B$23:$U$23,0)))*(VLOOKUP($B151,INDIRECT($B$5&amp;"生成成长"),3))*(VLOOKUP($B$5,标准坦克设计!$B$14:$K$20,9)/30))</f>
        <v>23.185192153329325</v>
      </c>
      <c r="FF151" s="172">
        <f ca="1">(VLOOKUP(FF$72,INDIRECT($C$5&amp;"生成成长"),2))/((VLOOKUP($B151,INDIRECT($B$5&amp;"生成成长"),4))/(VLOOKUP(FF$72,INDIRECT($C$5&amp;"生成成长"),5))*(VLOOKUP($B$5,标准坦克设计!$B$24:$U$30,MATCH("对"&amp;LEFT($C$5,2)&amp;"输出",标准坦克设计!$B$23:$U$23,0)))*(VLOOKUP($B151,INDIRECT($B$5&amp;"生成成长"),3))*(VLOOKUP($B$5,标准坦克设计!$B$14:$K$20,9)/30))</f>
        <v>24.701315302116718</v>
      </c>
      <c r="FG151" s="172">
        <f ca="1">(VLOOKUP(FG$72,INDIRECT($C$5&amp;"生成成长"),2))/((VLOOKUP($B151,INDIRECT($B$5&amp;"生成成长"),4))/(VLOOKUP(FG$72,INDIRECT($C$5&amp;"生成成长"),5))*(VLOOKUP($B$5,标准坦克设计!$B$24:$U$30,MATCH("对"&amp;LEFT($C$5,2)&amp;"输出",标准坦克设计!$B$23:$U$23,0)))*(VLOOKUP($B151,INDIRECT($B$5&amp;"生成成长"),3))*(VLOOKUP($B$5,标准坦克设计!$B$14:$K$20,9)/30))</f>
        <v>26.265452095080086</v>
      </c>
      <c r="FH151" s="172">
        <f ca="1">(VLOOKUP(FH$72,INDIRECT($C$5&amp;"生成成长"),2))/((VLOOKUP($B151,INDIRECT($B$5&amp;"生成成长"),4))/(VLOOKUP(FH$72,INDIRECT($C$5&amp;"生成成长"),5))*(VLOOKUP($B$5,标准坦克设计!$B$24:$U$30,MATCH("对"&amp;LEFT($C$5,2)&amp;"输出",标准坦克设计!$B$23:$U$23,0)))*(VLOOKUP($B151,INDIRECT($B$5&amp;"生成成长"),3))*(VLOOKUP($B$5,标准坦克设计!$B$14:$K$20,9)/30))</f>
        <v>27.877602532219427</v>
      </c>
      <c r="FI151" s="172">
        <f ca="1">(VLOOKUP(FI$72,INDIRECT($C$5&amp;"生成成长"),2))/((VLOOKUP($B151,INDIRECT($B$5&amp;"生成成长"),4))/(VLOOKUP(FI$72,INDIRECT($C$5&amp;"生成成长"),5))*(VLOOKUP($B$5,标准坦克设计!$B$24:$U$30,MATCH("对"&amp;LEFT($C$5,2)&amp;"输出",标准坦克设计!$B$23:$U$23,0)))*(VLOOKUP($B151,INDIRECT($B$5&amp;"生成成长"),3))*(VLOOKUP($B$5,标准坦克设计!$B$14:$K$20,9)/30))</f>
        <v>29.537766613534739</v>
      </c>
      <c r="FJ151" s="172">
        <f ca="1">(VLOOKUP(FJ$72,INDIRECT($C$5&amp;"生成成长"),2))/((VLOOKUP($B151,INDIRECT($B$5&amp;"生成成长"),4))/(VLOOKUP(FJ$72,INDIRECT($C$5&amp;"生成成长"),5))*(VLOOKUP($B$5,标准坦克设计!$B$24:$U$30,MATCH("对"&amp;LEFT($C$5,2)&amp;"输出",标准坦克设计!$B$23:$U$23,0)))*(VLOOKUP($B151,INDIRECT($B$5&amp;"生成成长"),3))*(VLOOKUP($B$5,标准坦克设计!$B$14:$K$20,9)/30))</f>
        <v>31.245944339026021</v>
      </c>
      <c r="FK151" s="172">
        <f ca="1">(VLOOKUP(FK$72,INDIRECT($C$5&amp;"生成成长"),2))/((VLOOKUP($B151,INDIRECT($B$5&amp;"生成成长"),4))/(VLOOKUP(FK$72,INDIRECT($C$5&amp;"生成成长"),5))*(VLOOKUP($B$5,标准坦克设计!$B$24:$U$30,MATCH("对"&amp;LEFT($C$5,2)&amp;"输出",标准坦克设计!$B$23:$U$23,0)))*(VLOOKUP($B151,INDIRECT($B$5&amp;"生成成长"),3))*(VLOOKUP($B$5,标准坦克设计!$B$14:$K$20,9)/30))</f>
        <v>33.002135708693281</v>
      </c>
    </row>
    <row r="152" spans="1:167" x14ac:dyDescent="0.15">
      <c r="A152" s="170" t="str">
        <f t="shared" si="12"/>
        <v>T4中品质8级</v>
      </c>
      <c r="B152" s="171">
        <v>20408</v>
      </c>
      <c r="C152" s="172">
        <f ca="1">(VLOOKUP(C$72,INDIRECT($C$5&amp;"生成成长"),2))/((VLOOKUP($B152,INDIRECT($B$5&amp;"生成成长"),4))/(VLOOKUP(C$72,INDIRECT($C$5&amp;"生成成长"),5))*(VLOOKUP($B$5,标准坦克设计!$B$24:$U$30,MATCH("对"&amp;LEFT($C$5,2)&amp;"输出",标准坦克设计!$B$23:$U$23,0)))*(VLOOKUP($B152,INDIRECT($B$5&amp;"生成成长"),3))*(VLOOKUP($B$5,标准坦克设计!$B$14:$K$20,9)/30))</f>
        <v>1.3103950409070892</v>
      </c>
      <c r="D152" s="172">
        <f ca="1">(VLOOKUP(D$72,INDIRECT($C$5&amp;"生成成长"),2))/((VLOOKUP($B152,INDIRECT($B$5&amp;"生成成长"),4))/(VLOOKUP(D$72,INDIRECT($C$5&amp;"生成成长"),5))*(VLOOKUP($B$5,标准坦克设计!$B$24:$U$30,MATCH("对"&amp;LEFT($C$5,2)&amp;"输出",标准坦克设计!$B$23:$U$23,0)))*(VLOOKUP($B152,INDIRECT($B$5&amp;"生成成长"),3))*(VLOOKUP($B$5,标准坦克设计!$B$14:$K$20,9)/30))</f>
        <v>1.4723598679632055</v>
      </c>
      <c r="E152" s="172">
        <f ca="1">(VLOOKUP(E$72,INDIRECT($C$5&amp;"生成成长"),2))/((VLOOKUP($B152,INDIRECT($B$5&amp;"生成成长"),4))/(VLOOKUP(E$72,INDIRECT($C$5&amp;"生成成长"),5))*(VLOOKUP($B$5,标准坦克设计!$B$24:$U$30,MATCH("对"&amp;LEFT($C$5,2)&amp;"输出",标准坦克设计!$B$23:$U$23,0)))*(VLOOKUP($B152,INDIRECT($B$5&amp;"生成成长"),3))*(VLOOKUP($B$5,标准坦克设计!$B$14:$K$20,9)/30))</f>
        <v>1.6437595393138529</v>
      </c>
      <c r="F152" s="172">
        <f ca="1">(VLOOKUP(F$72,INDIRECT($C$5&amp;"生成成长"),2))/((VLOOKUP($B152,INDIRECT($B$5&amp;"生成成长"),4))/(VLOOKUP(F$72,INDIRECT($C$5&amp;"生成成长"),5))*(VLOOKUP($B$5,标准坦克设计!$B$24:$U$30,MATCH("对"&amp;LEFT($C$5,2)&amp;"输出",标准坦克设计!$B$23:$U$23,0)))*(VLOOKUP($B152,INDIRECT($B$5&amp;"生成成长"),3))*(VLOOKUP($B$5,标准坦克设计!$B$14:$K$20,9)/30))</f>
        <v>1.8245940549590314</v>
      </c>
      <c r="G152" s="172">
        <f ca="1">(VLOOKUP(G$72,INDIRECT($C$5&amp;"生成成长"),2))/((VLOOKUP($B152,INDIRECT($B$5&amp;"生成成长"),4))/(VLOOKUP(G$72,INDIRECT($C$5&amp;"生成成长"),5))*(VLOOKUP($B$5,标准坦克设计!$B$24:$U$30,MATCH("对"&amp;LEFT($C$5,2)&amp;"输出",标准坦克设计!$B$23:$U$23,0)))*(VLOOKUP($B152,INDIRECT($B$5&amp;"生成成长"),3))*(VLOOKUP($B$5,标准坦克设计!$B$14:$K$20,9)/30))</f>
        <v>2.0148634148987403</v>
      </c>
      <c r="H152" s="172">
        <f ca="1">(VLOOKUP(H$72,INDIRECT($C$5&amp;"生成成长"),2))/((VLOOKUP($B152,INDIRECT($B$5&amp;"生成成长"),4))/(VLOOKUP(H$72,INDIRECT($C$5&amp;"生成成长"),5))*(VLOOKUP($B$5,标准坦克设计!$B$24:$U$30,MATCH("对"&amp;LEFT($C$5,2)&amp;"输出",标准坦克设计!$B$23:$U$23,0)))*(VLOOKUP($B152,INDIRECT($B$5&amp;"生成成长"),3))*(VLOOKUP($B$5,标准坦克设计!$B$14:$K$20,9)/30))</f>
        <v>1.763267567044579</v>
      </c>
      <c r="I152" s="172">
        <f ca="1">(VLOOKUP(I$72,INDIRECT($C$5&amp;"生成成长"),2))/((VLOOKUP($B152,INDIRECT($B$5&amp;"生成成长"),4))/(VLOOKUP(I$72,INDIRECT($C$5&amp;"生成成长"),5))*(VLOOKUP($B$5,标准坦克设计!$B$24:$U$30,MATCH("对"&amp;LEFT($C$5,2)&amp;"输出",标准坦克设计!$B$23:$U$23,0)))*(VLOOKUP($B152,INDIRECT($B$5&amp;"生成成长"),3))*(VLOOKUP($B$5,标准坦克设计!$B$14:$K$20,9)/30))</f>
        <v>2.0148634148987403</v>
      </c>
      <c r="J152" s="172">
        <f ca="1">(VLOOKUP(J$72,INDIRECT($C$5&amp;"生成成长"),2))/((VLOOKUP($B152,INDIRECT($B$5&amp;"生成成长"),4))/(VLOOKUP(J$72,INDIRECT($C$5&amp;"生成成长"),5))*(VLOOKUP($B$5,标准坦克设计!$B$24:$U$30,MATCH("对"&amp;LEFT($C$5,2)&amp;"输出",标准坦克设计!$B$23:$U$23,0)))*(VLOOKUP($B152,INDIRECT($B$5&amp;"生成成长"),3))*(VLOOKUP($B$5,标准坦克设计!$B$14:$K$20,9)/30))</f>
        <v>2.2832323192765123</v>
      </c>
      <c r="K152" s="172">
        <f ca="1">(VLOOKUP(K$72,INDIRECT($C$5&amp;"生成成长"),2))/((VLOOKUP($B152,INDIRECT($B$5&amp;"生成成长"),4))/(VLOOKUP(K$72,INDIRECT($C$5&amp;"生成成长"),5))*(VLOOKUP($B$5,标准坦克设计!$B$24:$U$30,MATCH("对"&amp;LEFT($C$5,2)&amp;"输出",标准坦克设计!$B$23:$U$23,0)))*(VLOOKUP($B152,INDIRECT($B$5&amp;"生成成长"),3))*(VLOOKUP($B$5,标准坦克设计!$B$14:$K$20,9)/30))</f>
        <v>2.5683742801778955</v>
      </c>
      <c r="L152" s="172">
        <f ca="1">(VLOOKUP(L$72,INDIRECT($C$5&amp;"生成成长"),2))/((VLOOKUP($B152,INDIRECT($B$5&amp;"生成成长"),4))/(VLOOKUP(L$72,INDIRECT($C$5&amp;"生成成长"),5))*(VLOOKUP($B$5,标准坦克设计!$B$24:$U$30,MATCH("对"&amp;LEFT($C$5,2)&amp;"输出",标准坦克设计!$B$23:$U$23,0)))*(VLOOKUP($B152,INDIRECT($B$5&amp;"生成成长"),3))*(VLOOKUP($B$5,标准坦克设计!$B$14:$K$20,9)/30))</f>
        <v>2.8702892976028886</v>
      </c>
      <c r="M152" s="172">
        <f ca="1">(VLOOKUP(M$72,INDIRECT($C$5&amp;"生成成长"),2))/((VLOOKUP($B152,INDIRECT($B$5&amp;"生成成长"),4))/(VLOOKUP(M$72,INDIRECT($C$5&amp;"生成成长"),5))*(VLOOKUP($B$5,标准坦克设计!$B$24:$U$30,MATCH("对"&amp;LEFT($C$5,2)&amp;"输出",标准坦克设计!$B$23:$U$23,0)))*(VLOOKUP($B152,INDIRECT($B$5&amp;"生成成长"),3))*(VLOOKUP($B$5,标准坦克设计!$B$14:$K$20,9)/30))</f>
        <v>3.1889773715514926</v>
      </c>
      <c r="N152" s="172">
        <f ca="1">(VLOOKUP(N$72,INDIRECT($C$5&amp;"生成成长"),2))/((VLOOKUP($B152,INDIRECT($B$5&amp;"生成成长"),4))/(VLOOKUP(N$72,INDIRECT($C$5&amp;"生成成长"),5))*(VLOOKUP($B$5,标准坦克设计!$B$24:$U$30,MATCH("对"&amp;LEFT($C$5,2)&amp;"输出",标准坦克设计!$B$23:$U$23,0)))*(VLOOKUP($B152,INDIRECT($B$5&amp;"生成成长"),3))*(VLOOKUP($B$5,标准坦克设计!$B$14:$K$20,9)/30))</f>
        <v>3.5244385020237075</v>
      </c>
      <c r="O152" s="172">
        <f ca="1">(VLOOKUP(O$72,INDIRECT($C$5&amp;"生成成长"),2))/((VLOOKUP($B152,INDIRECT($B$5&amp;"生成成长"),4))/(VLOOKUP(O$72,INDIRECT($C$5&amp;"生成成长"),5))*(VLOOKUP($B$5,标准坦克设计!$B$24:$U$30,MATCH("对"&amp;LEFT($C$5,2)&amp;"输出",标准坦克设计!$B$23:$U$23,0)))*(VLOOKUP($B152,INDIRECT($B$5&amp;"生成成长"),3))*(VLOOKUP($B$5,标准坦克设计!$B$14:$K$20,9)/30))</f>
        <v>2.6796268191509069</v>
      </c>
      <c r="P152" s="172">
        <f ca="1">(VLOOKUP(P$72,INDIRECT($C$5&amp;"生成成长"),2))/((VLOOKUP($B152,INDIRECT($B$5&amp;"生成成长"),4))/(VLOOKUP(P$72,INDIRECT($C$5&amp;"生成成长"),5))*(VLOOKUP($B$5,标准坦克设计!$B$24:$U$30,MATCH("对"&amp;LEFT($C$5,2)&amp;"输出",标准坦克设计!$B$23:$U$23,0)))*(VLOOKUP($B152,INDIRECT($B$5&amp;"生成成长"),3))*(VLOOKUP($B$5,标准坦克设计!$B$14:$K$20,9)/30))</f>
        <v>3.0275367025117395</v>
      </c>
      <c r="Q152" s="172">
        <f ca="1">(VLOOKUP(Q$72,INDIRECT($C$5&amp;"生成成长"),2))/((VLOOKUP($B152,INDIRECT($B$5&amp;"生成成长"),4))/(VLOOKUP(Q$72,INDIRECT($C$5&amp;"生成成长"),5))*(VLOOKUP($B$5,标准坦克设计!$B$24:$U$30,MATCH("对"&amp;LEFT($C$5,2)&amp;"输出",标准坦克设计!$B$23:$U$23,0)))*(VLOOKUP($B152,INDIRECT($B$5&amp;"生成成长"),3))*(VLOOKUP($B$5,标准坦克设计!$B$14:$K$20,9)/30))</f>
        <v>3.3966749855352667</v>
      </c>
      <c r="R152" s="172">
        <f ca="1">(VLOOKUP(R$72,INDIRECT($C$5&amp;"生成成长"),2))/((VLOOKUP($B152,INDIRECT($B$5&amp;"生成成长"),4))/(VLOOKUP(R$72,INDIRECT($C$5&amp;"生成成长"),5))*(VLOOKUP($B$5,标准坦克设计!$B$24:$U$30,MATCH("对"&amp;LEFT($C$5,2)&amp;"输出",标准坦克设计!$B$23:$U$23,0)))*(VLOOKUP($B152,INDIRECT($B$5&amp;"生成成长"),3))*(VLOOKUP($B$5,标准坦克设计!$B$14:$K$20,9)/30))</f>
        <v>3.7870416682214882</v>
      </c>
      <c r="S152" s="172">
        <f ca="1">(VLOOKUP(S$72,INDIRECT($C$5&amp;"生成成长"),2))/((VLOOKUP($B152,INDIRECT($B$5&amp;"生成成长"),4))/(VLOOKUP(S$72,INDIRECT($C$5&amp;"生成成长"),5))*(VLOOKUP($B$5,标准坦克设计!$B$24:$U$30,MATCH("对"&amp;LEFT($C$5,2)&amp;"输出",标准坦克设计!$B$23:$U$23,0)))*(VLOOKUP($B152,INDIRECT($B$5&amp;"生成成长"),3))*(VLOOKUP($B$5,标准坦克设计!$B$14:$K$20,9)/30))</f>
        <v>4.1986367505704045</v>
      </c>
      <c r="T152" s="172">
        <f ca="1">(VLOOKUP(T$72,INDIRECT($C$5&amp;"生成成长"),2))/((VLOOKUP($B152,INDIRECT($B$5&amp;"生成成长"),4))/(VLOOKUP(T$72,INDIRECT($C$5&amp;"生成成长"),5))*(VLOOKUP($B$5,标准坦克设计!$B$24:$U$30,MATCH("对"&amp;LEFT($C$5,2)&amp;"输出",标准坦克设计!$B$23:$U$23,0)))*(VLOOKUP($B152,INDIRECT($B$5&amp;"生成成长"),3))*(VLOOKUP($B$5,标准坦克设计!$B$14:$K$20,9)/30))</f>
        <v>4.6314602325820173</v>
      </c>
      <c r="U152" s="172">
        <f ca="1">(VLOOKUP(U$72,INDIRECT($C$5&amp;"生成成长"),2))/((VLOOKUP($B152,INDIRECT($B$5&amp;"生成成长"),4))/(VLOOKUP(U$72,INDIRECT($C$5&amp;"生成成长"),5))*(VLOOKUP($B$5,标准坦克设计!$B$24:$U$30,MATCH("对"&amp;LEFT($C$5,2)&amp;"输出",标准坦克设计!$B$23:$U$23,0)))*(VLOOKUP($B152,INDIRECT($B$5&amp;"生成成长"),3))*(VLOOKUP($B$5,标准坦克设计!$B$14:$K$20,9)/30))</f>
        <v>5.085512114256324</v>
      </c>
      <c r="V152" s="172">
        <f ca="1">(VLOOKUP(V$72,INDIRECT($C$5&amp;"生成成长"),2))/((VLOOKUP($B152,INDIRECT($B$5&amp;"生成成长"),4))/(VLOOKUP(V$72,INDIRECT($C$5&amp;"生成成长"),5))*(VLOOKUP($B$5,标准坦克设计!$B$24:$U$30,MATCH("对"&amp;LEFT($C$5,2)&amp;"输出",标准坦克设计!$B$23:$U$23,0)))*(VLOOKUP($B152,INDIRECT($B$5&amp;"生成成长"),3))*(VLOOKUP($B$5,标准坦克设计!$B$14:$K$20,9)/30))</f>
        <v>5.5607923955933245</v>
      </c>
      <c r="W152" s="172">
        <f ca="1">(VLOOKUP(W$72,INDIRECT($C$5&amp;"生成成长"),2))/((VLOOKUP($B152,INDIRECT($B$5&amp;"生成成长"),4))/(VLOOKUP(W$72,INDIRECT($C$5&amp;"生成成长"),5))*(VLOOKUP($B$5,标准坦克设计!$B$24:$U$30,MATCH("对"&amp;LEFT($C$5,2)&amp;"输出",标准坦克设计!$B$23:$U$23,0)))*(VLOOKUP($B152,INDIRECT($B$5&amp;"生成成长"),3))*(VLOOKUP($B$5,标准坦克设计!$B$14:$K$20,9)/30))</f>
        <v>6.0573010765930198</v>
      </c>
      <c r="X152" s="172">
        <f ca="1">(VLOOKUP(X$72,INDIRECT($C$5&amp;"生成成长"),2))/((VLOOKUP($B152,INDIRECT($B$5&amp;"生成成长"),4))/(VLOOKUP(X$72,INDIRECT($C$5&amp;"生成成长"),5))*(VLOOKUP($B$5,标准坦克设计!$B$24:$U$30,MATCH("对"&amp;LEFT($C$5,2)&amp;"输出",标准坦克设计!$B$23:$U$23,0)))*(VLOOKUP($B152,INDIRECT($B$5&amp;"生成成长"),3))*(VLOOKUP($B$5,标准坦克设计!$B$14:$K$20,9)/30))</f>
        <v>4.3883819524937513</v>
      </c>
      <c r="Y152" s="172">
        <f ca="1">(VLOOKUP(Y$72,INDIRECT($C$5&amp;"生成成长"),2))/((VLOOKUP($B152,INDIRECT($B$5&amp;"生成成长"),4))/(VLOOKUP(Y$72,INDIRECT($C$5&amp;"生成成长"),5))*(VLOOKUP($B$5,标准坦克设计!$B$24:$U$30,MATCH("对"&amp;LEFT($C$5,2)&amp;"输出",标准坦克设计!$B$23:$U$23,0)))*(VLOOKUP($B152,INDIRECT($B$5&amp;"生成成长"),3))*(VLOOKUP($B$5,标准坦克设计!$B$14:$K$20,9)/30))</f>
        <v>4.8810904878748165</v>
      </c>
      <c r="Z152" s="172">
        <f ca="1">(VLOOKUP(Z$72,INDIRECT($C$5&amp;"生成成长"),2))/((VLOOKUP($B152,INDIRECT($B$5&amp;"生成成长"),4))/(VLOOKUP(Z$72,INDIRECT($C$5&amp;"生成成长"),5))*(VLOOKUP($B$5,标准坦克设计!$B$24:$U$30,MATCH("对"&amp;LEFT($C$5,2)&amp;"输出",标准坦克设计!$B$23:$U$23,0)))*(VLOOKUP($B152,INDIRECT($B$5&amp;"生成成长"),3))*(VLOOKUP($B$5,标准坦克设计!$B$14:$K$20,9)/30))</f>
        <v>5.4000069240740247</v>
      </c>
      <c r="AA152" s="172">
        <f ca="1">(VLOOKUP(AA$72,INDIRECT($C$5&amp;"生成成长"),2))/((VLOOKUP($B152,INDIRECT($B$5&amp;"生成成长"),4))/(VLOOKUP(AA$72,INDIRECT($C$5&amp;"生成成长"),5))*(VLOOKUP($B$5,标准坦克设计!$B$24:$U$30,MATCH("对"&amp;LEFT($C$5,2)&amp;"输出",标准坦克设计!$B$23:$U$23,0)))*(VLOOKUP($B152,INDIRECT($B$5&amp;"生成成长"),3))*(VLOOKUP($B$5,标准坦克设计!$B$14:$K$20,9)/30))</f>
        <v>5.9451312610913742</v>
      </c>
      <c r="AB152" s="172">
        <f ca="1">(VLOOKUP(AB$72,INDIRECT($C$5&amp;"生成成长"),2))/((VLOOKUP($B152,INDIRECT($B$5&amp;"生成成长"),4))/(VLOOKUP(AB$72,INDIRECT($C$5&amp;"生成成长"),5))*(VLOOKUP($B$5,标准坦克设计!$B$24:$U$30,MATCH("对"&amp;LEFT($C$5,2)&amp;"输出",标准坦克设计!$B$23:$U$23,0)))*(VLOOKUP($B152,INDIRECT($B$5&amp;"生成成长"),3))*(VLOOKUP($B$5,标准坦克设计!$B$14:$K$20,9)/30))</f>
        <v>6.5164634989268651</v>
      </c>
      <c r="AC152" s="172">
        <f ca="1">(VLOOKUP(AC$72,INDIRECT($C$5&amp;"生成成长"),2))/((VLOOKUP($B152,INDIRECT($B$5&amp;"生成成长"),4))/(VLOOKUP(AC$72,INDIRECT($C$5&amp;"生成成长"),5))*(VLOOKUP($B$5,标准坦克设计!$B$24:$U$30,MATCH("对"&amp;LEFT($C$5,2)&amp;"输出",标准坦克设计!$B$23:$U$23,0)))*(VLOOKUP($B152,INDIRECT($B$5&amp;"生成成长"),3))*(VLOOKUP($B$5,标准坦克设计!$B$14:$K$20,9)/30))</f>
        <v>7.1140036375804971</v>
      </c>
      <c r="AD152" s="172">
        <f ca="1">(VLOOKUP(AD$72,INDIRECT($C$5&amp;"生成成长"),2))/((VLOOKUP($B152,INDIRECT($B$5&amp;"生成成长"),4))/(VLOOKUP(AD$72,INDIRECT($C$5&amp;"生成成长"),5))*(VLOOKUP($B$5,标准坦克设计!$B$24:$U$30,MATCH("对"&amp;LEFT($C$5,2)&amp;"输出",标准坦克设计!$B$23:$U$23,0)))*(VLOOKUP($B152,INDIRECT($B$5&amp;"生成成长"),3))*(VLOOKUP($B$5,标准坦克设计!$B$14:$K$20,9)/30))</f>
        <v>7.7377516770522732</v>
      </c>
      <c r="AE152" s="172">
        <f ca="1">(VLOOKUP(AE$72,INDIRECT($C$5&amp;"生成成长"),2))/((VLOOKUP($B152,INDIRECT($B$5&amp;"生成成长"),4))/(VLOOKUP(AE$72,INDIRECT($C$5&amp;"生成成长"),5))*(VLOOKUP($B$5,标准坦克设计!$B$24:$U$30,MATCH("对"&amp;LEFT($C$5,2)&amp;"输出",标准坦克设计!$B$23:$U$23,0)))*(VLOOKUP($B152,INDIRECT($B$5&amp;"生成成长"),3))*(VLOOKUP($B$5,标准坦克设计!$B$14:$K$20,9)/30))</f>
        <v>8.3877076173421887</v>
      </c>
      <c r="AF152" s="172">
        <f ca="1">(VLOOKUP(AF$72,INDIRECT($C$5&amp;"生成成长"),2))/((VLOOKUP($B152,INDIRECT($B$5&amp;"生成成长"),4))/(VLOOKUP(AF$72,INDIRECT($C$5&amp;"生成成长"),5))*(VLOOKUP($B$5,标准坦克设计!$B$24:$U$30,MATCH("对"&amp;LEFT($C$5,2)&amp;"输出",标准坦克设计!$B$23:$U$23,0)))*(VLOOKUP($B152,INDIRECT($B$5&amp;"生成成长"),3))*(VLOOKUP($B$5,标准坦克设计!$B$14:$K$20,9)/30))</f>
        <v>9.0638714584502456</v>
      </c>
      <c r="AG152" s="172">
        <f ca="1">(VLOOKUP(AG$72,INDIRECT($C$5&amp;"生成成长"),2))/((VLOOKUP($B152,INDIRECT($B$5&amp;"生成成长"),4))/(VLOOKUP(AG$72,INDIRECT($C$5&amp;"生成成长"),5))*(VLOOKUP($B$5,标准坦克设计!$B$24:$U$30,MATCH("对"&amp;LEFT($C$5,2)&amp;"输出",标准坦克设计!$B$23:$U$23,0)))*(VLOOKUP($B152,INDIRECT($B$5&amp;"生成成长"),3))*(VLOOKUP($B$5,标准坦克设计!$B$14:$K$20,9)/30))</f>
        <v>9.7662432003764472</v>
      </c>
      <c r="AH152" s="172">
        <f ca="1">(VLOOKUP(AH$72,INDIRECT($C$5&amp;"生成成长"),2))/((VLOOKUP($B152,INDIRECT($B$5&amp;"生成成长"),4))/(VLOOKUP(AH$72,INDIRECT($C$5&amp;"生成成长"),5))*(VLOOKUP($B$5,标准坦克设计!$B$24:$U$30,MATCH("对"&amp;LEFT($C$5,2)&amp;"输出",标准坦克设计!$B$23:$U$23,0)))*(VLOOKUP($B152,INDIRECT($B$5&amp;"生成成长"),3))*(VLOOKUP($B$5,标准坦克设计!$B$14:$K$20,9)/30))</f>
        <v>10.494822843120788</v>
      </c>
      <c r="AI152" s="172">
        <f ca="1">(VLOOKUP(AI$72,INDIRECT($C$5&amp;"生成成长"),2))/((VLOOKUP($B152,INDIRECT($B$5&amp;"生成成长"),4))/(VLOOKUP(AI$72,INDIRECT($C$5&amp;"生成成长"),5))*(VLOOKUP($B$5,标准坦克设计!$B$24:$U$30,MATCH("对"&amp;LEFT($C$5,2)&amp;"输出",标准坦克设计!$B$23:$U$23,0)))*(VLOOKUP($B152,INDIRECT($B$5&amp;"生成成长"),3))*(VLOOKUP($B$5,标准坦克设计!$B$14:$K$20,9)/30))</f>
        <v>7.4226016697141191</v>
      </c>
      <c r="AJ152" s="172">
        <f ca="1">(VLOOKUP(AJ$72,INDIRECT($C$5&amp;"生成成长"),2))/((VLOOKUP($B152,INDIRECT($B$5&amp;"生成成长"),4))/(VLOOKUP(AJ$72,INDIRECT($C$5&amp;"生成成长"),5))*(VLOOKUP($B$5,标准坦克设计!$B$24:$U$30,MATCH("对"&amp;LEFT($C$5,2)&amp;"输出",标准坦克设计!$B$23:$U$23,0)))*(VLOOKUP($B152,INDIRECT($B$5&amp;"生成成长"),3))*(VLOOKUP($B$5,标准坦克设计!$B$14:$K$20,9)/30))</f>
        <v>8.1245802931280444</v>
      </c>
      <c r="AK152" s="172">
        <f ca="1">(VLOOKUP(AK$72,INDIRECT($C$5&amp;"生成成长"),2))/((VLOOKUP($B152,INDIRECT($B$5&amp;"生成成长"),4))/(VLOOKUP(AK$72,INDIRECT($C$5&amp;"生成成长"),5))*(VLOOKUP($B$5,标准坦克设计!$B$24:$U$30,MATCH("对"&amp;LEFT($C$5,2)&amp;"输出",标准坦克设计!$B$23:$U$23,0)))*(VLOOKUP($B152,INDIRECT($B$5&amp;"生成成长"),3))*(VLOOKUP($B$5,标准坦克设计!$B$14:$K$20,9)/30))</f>
        <v>8.8582704765319242</v>
      </c>
      <c r="AL152" s="172">
        <f ca="1">(VLOOKUP(AL$72,INDIRECT($C$5&amp;"生成成长"),2))/((VLOOKUP($B152,INDIRECT($B$5&amp;"生成成长"),4))/(VLOOKUP(AL$72,INDIRECT($C$5&amp;"生成成长"),5))*(VLOOKUP($B$5,标准坦克设计!$B$24:$U$30,MATCH("对"&amp;LEFT($C$5,2)&amp;"输出",标准坦克设计!$B$23:$U$23,0)))*(VLOOKUP($B152,INDIRECT($B$5&amp;"生成成长"),3))*(VLOOKUP($B$5,标准坦克设计!$B$14:$K$20,9)/30))</f>
        <v>9.6236722199257549</v>
      </c>
      <c r="AM152" s="172">
        <f ca="1">(VLOOKUP(AM$72,INDIRECT($C$5&amp;"生成成长"),2))/((VLOOKUP($B152,INDIRECT($B$5&amp;"生成成长"),4))/(VLOOKUP(AM$72,INDIRECT($C$5&amp;"生成成长"),5))*(VLOOKUP($B$5,标准坦克设计!$B$24:$U$30,MATCH("对"&amp;LEFT($C$5,2)&amp;"输出",标准坦克设计!$B$23:$U$23,0)))*(VLOOKUP($B152,INDIRECT($B$5&amp;"生成成长"),3))*(VLOOKUP($B$5,标准坦克设计!$B$14:$K$20,9)/30))</f>
        <v>10.420785523309537</v>
      </c>
      <c r="AN152" s="172">
        <f ca="1">(VLOOKUP(AN$72,INDIRECT($C$5&amp;"生成成长"),2))/((VLOOKUP($B152,INDIRECT($B$5&amp;"生成成长"),4))/(VLOOKUP(AN$72,INDIRECT($C$5&amp;"生成成长"),5))*(VLOOKUP($B$5,标准坦克设计!$B$24:$U$30,MATCH("对"&amp;LEFT($C$5,2)&amp;"输出",标准坦克设计!$B$23:$U$23,0)))*(VLOOKUP($B152,INDIRECT($B$5&amp;"生成成长"),3))*(VLOOKUP($B$5,标准坦克设计!$B$14:$K$20,9)/30))</f>
        <v>11.249610386683271</v>
      </c>
      <c r="AO152" s="172">
        <f ca="1">(VLOOKUP(AO$72,INDIRECT($C$5&amp;"生成成长"),2))/((VLOOKUP($B152,INDIRECT($B$5&amp;"生成成长"),4))/(VLOOKUP(AO$72,INDIRECT($C$5&amp;"生成成长"),5))*(VLOOKUP($B$5,标准坦克设计!$B$24:$U$30,MATCH("对"&amp;LEFT($C$5,2)&amp;"输出",标准坦克设计!$B$23:$U$23,0)))*(VLOOKUP($B152,INDIRECT($B$5&amp;"生成成长"),3))*(VLOOKUP($B$5,标准坦克设计!$B$14:$K$20,9)/30))</f>
        <v>12.110146810046958</v>
      </c>
      <c r="AP152" s="172">
        <f ca="1">(VLOOKUP(AP$72,INDIRECT($C$5&amp;"生成成长"),2))/((VLOOKUP($B152,INDIRECT($B$5&amp;"生成成长"),4))/(VLOOKUP(AP$72,INDIRECT($C$5&amp;"生成成长"),5))*(VLOOKUP($B$5,标准坦克设计!$B$24:$U$30,MATCH("对"&amp;LEFT($C$5,2)&amp;"输出",标准坦克设计!$B$23:$U$23,0)))*(VLOOKUP($B152,INDIRECT($B$5&amp;"生成成长"),3))*(VLOOKUP($B$5,标准坦克设计!$B$14:$K$20,9)/30))</f>
        <v>13.002394793400596</v>
      </c>
      <c r="AQ152" s="172">
        <f ca="1">(VLOOKUP(AQ$72,INDIRECT($C$5&amp;"生成成长"),2))/((VLOOKUP($B152,INDIRECT($B$5&amp;"生成成长"),4))/(VLOOKUP(AQ$72,INDIRECT($C$5&amp;"生成成长"),5))*(VLOOKUP($B$5,标准坦克设计!$B$24:$U$30,MATCH("对"&amp;LEFT($C$5,2)&amp;"输出",标准坦克设计!$B$23:$U$23,0)))*(VLOOKUP($B152,INDIRECT($B$5&amp;"生成成长"),3))*(VLOOKUP($B$5,标准坦克设计!$B$14:$K$20,9)/30))</f>
        <v>13.926354336744183</v>
      </c>
      <c r="AR152" s="172">
        <f ca="1">(VLOOKUP(AR$72,INDIRECT($C$5&amp;"生成成长"),2))/((VLOOKUP($B152,INDIRECT($B$5&amp;"生成成长"),4))/(VLOOKUP(AR$72,INDIRECT($C$5&amp;"生成成长"),5))*(VLOOKUP($B$5,标准坦克设计!$B$24:$U$30,MATCH("对"&amp;LEFT($C$5,2)&amp;"输出",标准坦克设计!$B$23:$U$23,0)))*(VLOOKUP($B152,INDIRECT($B$5&amp;"生成成长"),3))*(VLOOKUP($B$5,标准坦克设计!$B$14:$K$20,9)/30))</f>
        <v>14.882025440077722</v>
      </c>
      <c r="AS152" s="172">
        <f ca="1">(VLOOKUP(AS$72,INDIRECT($C$5&amp;"生成成长"),2))/((VLOOKUP($B152,INDIRECT($B$5&amp;"生成成长"),4))/(VLOOKUP(AS$72,INDIRECT($C$5&amp;"生成成长"),5))*(VLOOKUP($B$5,标准坦克设计!$B$24:$U$30,MATCH("对"&amp;LEFT($C$5,2)&amp;"输出",标准坦克设计!$B$23:$U$23,0)))*(VLOOKUP($B152,INDIRECT($B$5&amp;"生成成长"),3))*(VLOOKUP($B$5,标准坦克设计!$B$14:$K$20,9)/30))</f>
        <v>15.869408103401215</v>
      </c>
      <c r="AT152" s="172">
        <f ca="1">(VLOOKUP(AT$72,INDIRECT($C$5&amp;"生成成长"),2))/((VLOOKUP($B152,INDIRECT($B$5&amp;"生成成长"),4))/(VLOOKUP(AT$72,INDIRECT($C$5&amp;"生成成长"),5))*(VLOOKUP($B$5,标准坦克设计!$B$24:$U$30,MATCH("对"&amp;LEFT($C$5,2)&amp;"输出",标准坦克设计!$B$23:$U$23,0)))*(VLOOKUP($B152,INDIRECT($B$5&amp;"生成成长"),3))*(VLOOKUP($B$5,标准坦克设计!$B$14:$K$20,9)/30))</f>
        <v>16.888502326714658</v>
      </c>
      <c r="AU152" s="172">
        <f ca="1">(VLOOKUP(AU$72,INDIRECT($C$5&amp;"生成成长"),2))/((VLOOKUP($B152,INDIRECT($B$5&amp;"生成成长"),4))/(VLOOKUP(AU$72,INDIRECT($C$5&amp;"生成成长"),5))*(VLOOKUP($B$5,标准坦克设计!$B$24:$U$30,MATCH("对"&amp;LEFT($C$5,2)&amp;"输出",标准坦克设计!$B$23:$U$23,0)))*(VLOOKUP($B152,INDIRECT($B$5&amp;"生成成长"),3))*(VLOOKUP($B$5,标准坦克设计!$B$14:$K$20,9)/30))</f>
        <v>17.939308110018054</v>
      </c>
      <c r="AV152" s="172">
        <f ca="1">(VLOOKUP(AV$72,INDIRECT($C$5&amp;"生成成长"),2))/((VLOOKUP($B152,INDIRECT($B$5&amp;"生成成长"),4))/(VLOOKUP(AV$72,INDIRECT($C$5&amp;"生成成长"),5))*(VLOOKUP($B$5,标准坦克设计!$B$24:$U$30,MATCH("对"&amp;LEFT($C$5,2)&amp;"输出",标准坦克设计!$B$23:$U$23,0)))*(VLOOKUP($B152,INDIRECT($B$5&amp;"生成成长"),3))*(VLOOKUP($B$5,标准坦克设计!$B$14:$K$20,9)/30))</f>
        <v>1.8245940549590314</v>
      </c>
      <c r="AW152" s="172">
        <f ca="1">(VLOOKUP(AW$72,INDIRECT($C$5&amp;"生成成长"),2))/((VLOOKUP($B152,INDIRECT($B$5&amp;"生成成长"),4))/(VLOOKUP(AW$72,INDIRECT($C$5&amp;"生成成长"),5))*(VLOOKUP($B$5,标准坦克设计!$B$24:$U$30,MATCH("对"&amp;LEFT($C$5,2)&amp;"输出",标准坦克设计!$B$23:$U$23,0)))*(VLOOKUP($B152,INDIRECT($B$5&amp;"生成成长"),3))*(VLOOKUP($B$5,标准坦克设计!$B$14:$K$20,9)/30))</f>
        <v>2.0803831669440953</v>
      </c>
      <c r="AX152" s="172">
        <f ca="1">(VLOOKUP(AX$72,INDIRECT($C$5&amp;"生成成长"),2))/((VLOOKUP($B152,INDIRECT($B$5&amp;"生成成长"),4))/(VLOOKUP(AX$72,INDIRECT($C$5&amp;"生成成长"),5))*(VLOOKUP($B$5,标准坦克设计!$B$24:$U$30,MATCH("对"&amp;LEFT($C$5,2)&amp;"输出",标准坦克设计!$B$23:$U$23,0)))*(VLOOKUP($B152,INDIRECT($B$5&amp;"生成成长"),3))*(VLOOKUP($B$5,标准坦克设计!$B$14:$K$20,9)/30))</f>
        <v>2.3529453354527696</v>
      </c>
      <c r="AY152" s="172">
        <f ca="1">(VLOOKUP(AY$72,INDIRECT($C$5&amp;"生成成长"),2))/((VLOOKUP($B152,INDIRECT($B$5&amp;"生成成长"),4))/(VLOOKUP(AY$72,INDIRECT($C$5&amp;"生成成长"),5))*(VLOOKUP($B$5,标准坦克设计!$B$24:$U$30,MATCH("对"&amp;LEFT($C$5,2)&amp;"输出",标准坦克设计!$B$23:$U$23,0)))*(VLOOKUP($B152,INDIRECT($B$5&amp;"生成成长"),3))*(VLOOKUP($B$5,标准坦克设计!$B$14:$K$20,9)/30))</f>
        <v>2.6422805604850548</v>
      </c>
      <c r="AZ152" s="172">
        <f ca="1">(VLOOKUP(AZ$72,INDIRECT($C$5&amp;"生成成长"),2))/((VLOOKUP($B152,INDIRECT($B$5&amp;"生成成长"),4))/(VLOOKUP(AZ$72,INDIRECT($C$5&amp;"生成成长"),5))*(VLOOKUP($B$5,标准坦克设计!$B$24:$U$30,MATCH("对"&amp;LEFT($C$5,2)&amp;"输出",标准坦克设计!$B$23:$U$23,0)))*(VLOOKUP($B152,INDIRECT($B$5&amp;"生成成长"),3))*(VLOOKUP($B$5,标准坦克设计!$B$14:$K$20,9)/30))</f>
        <v>2.9483888420409508</v>
      </c>
      <c r="BA152" s="172">
        <f ca="1">(VLOOKUP(BA$72,INDIRECT($C$5&amp;"生成成长"),2))/((VLOOKUP($B152,INDIRECT($B$5&amp;"生成成长"),4))/(VLOOKUP(BA$72,INDIRECT($C$5&amp;"生成成长"),5))*(VLOOKUP($B$5,标准坦克设计!$B$24:$U$30,MATCH("对"&amp;LEFT($C$5,2)&amp;"输出",标准坦克设计!$B$23:$U$23,0)))*(VLOOKUP($B152,INDIRECT($B$5&amp;"生成成长"),3))*(VLOOKUP($B$5,标准坦克设计!$B$14:$K$20,9)/30))</f>
        <v>3.271270180120458</v>
      </c>
      <c r="BB152" s="172">
        <f ca="1">(VLOOKUP(BB$72,INDIRECT($C$5&amp;"生成成长"),2))/((VLOOKUP($B152,INDIRECT($B$5&amp;"生成成长"),4))/(VLOOKUP(BB$72,INDIRECT($C$5&amp;"生成成长"),5))*(VLOOKUP($B$5,标准坦克设计!$B$24:$U$30,MATCH("对"&amp;LEFT($C$5,2)&amp;"输出",标准坦克设计!$B$23:$U$23,0)))*(VLOOKUP($B152,INDIRECT($B$5&amp;"生成成长"),3))*(VLOOKUP($B$5,标准坦克设计!$B$14:$K$20,9)/30))</f>
        <v>3.6109245747235756</v>
      </c>
      <c r="BC152" s="172">
        <f ca="1">(VLOOKUP(BC$72,INDIRECT($C$5&amp;"生成成长"),2))/((VLOOKUP($B152,INDIRECT($B$5&amp;"生成成长"),4))/(VLOOKUP(BC$72,INDIRECT($C$5&amp;"生成成长"),5))*(VLOOKUP($B$5,标准坦克设计!$B$24:$U$30,MATCH("对"&amp;LEFT($C$5,2)&amp;"输出",标准坦克设计!$B$23:$U$23,0)))*(VLOOKUP($B152,INDIRECT($B$5&amp;"生成成长"),3))*(VLOOKUP($B$5,标准坦克设计!$B$14:$K$20,9)/30))</f>
        <v>3.9673520258503037</v>
      </c>
      <c r="BD152" s="172">
        <f ca="1">(VLOOKUP(BD$72,INDIRECT($C$5&amp;"生成成长"),2))/((VLOOKUP($B152,INDIRECT($B$5&amp;"生成成长"),4))/(VLOOKUP(BD$72,INDIRECT($C$5&amp;"生成成长"),5))*(VLOOKUP($B$5,标准坦克设计!$B$24:$U$30,MATCH("对"&amp;LEFT($C$5,2)&amp;"输出",标准坦克设计!$B$23:$U$23,0)))*(VLOOKUP($B152,INDIRECT($B$5&amp;"生成成长"),3))*(VLOOKUP($B$5,标准坦克设计!$B$14:$K$20,9)/30))</f>
        <v>4.3883819524937513</v>
      </c>
      <c r="BE152" s="172">
        <f ca="1">(VLOOKUP(BE$72,INDIRECT($C$5&amp;"生成成长"),2))/((VLOOKUP($B152,INDIRECT($B$5&amp;"生成成长"),4))/(VLOOKUP(BE$72,INDIRECT($C$5&amp;"生成成长"),5))*(VLOOKUP($B$5,标准坦克设计!$B$24:$U$30,MATCH("对"&amp;LEFT($C$5,2)&amp;"输出",标准坦克设计!$B$23:$U$23,0)))*(VLOOKUP($B152,INDIRECT($B$5&amp;"生成成长"),3))*(VLOOKUP($B$5,标准坦克设计!$B$14:$K$20,9)/30))</f>
        <v>4.8306402787998932</v>
      </c>
      <c r="BF152" s="172">
        <f ca="1">(VLOOKUP(BF$72,INDIRECT($C$5&amp;"生成成长"),2))/((VLOOKUP($B152,INDIRECT($B$5&amp;"生成成长"),4))/(VLOOKUP(BF$72,INDIRECT($C$5&amp;"生成成长"),5))*(VLOOKUP($B$5,标准坦克设计!$B$24:$U$30,MATCH("对"&amp;LEFT($C$5,2)&amp;"输出",标准坦克设计!$B$23:$U$23,0)))*(VLOOKUP($B152,INDIRECT($B$5&amp;"生成成长"),3))*(VLOOKUP($B$5,标准坦克设计!$B$14:$K$20,9)/30))</f>
        <v>5.2941270047687317</v>
      </c>
      <c r="BG152" s="172">
        <f ca="1">(VLOOKUP(BG$72,INDIRECT($C$5&amp;"生成成长"),2))/((VLOOKUP($B152,INDIRECT($B$5&amp;"生成成长"),4))/(VLOOKUP(BG$72,INDIRECT($C$5&amp;"生成成长"),5))*(VLOOKUP($B$5,标准坦克设计!$B$24:$U$30,MATCH("对"&amp;LEFT($C$5,2)&amp;"输出",标准坦克设计!$B$23:$U$23,0)))*(VLOOKUP($B152,INDIRECT($B$5&amp;"生成成长"),3))*(VLOOKUP($B$5,标准坦克设计!$B$14:$K$20,9)/30))</f>
        <v>5.778842130400264</v>
      </c>
      <c r="BH152" s="172">
        <f ca="1">(VLOOKUP(BH$72,INDIRECT($C$5&amp;"生成成长"),2))/((VLOOKUP($B152,INDIRECT($B$5&amp;"生成成长"),4))/(VLOOKUP(BH$72,INDIRECT($C$5&amp;"生成成长"),5))*(VLOOKUP($B$5,标准坦克设计!$B$24:$U$30,MATCH("对"&amp;LEFT($C$5,2)&amp;"输出",标准坦克设计!$B$23:$U$23,0)))*(VLOOKUP($B152,INDIRECT($B$5&amp;"生成成长"),3))*(VLOOKUP($B$5,标准坦克设计!$B$14:$K$20,9)/30))</f>
        <v>2.7932380691975514</v>
      </c>
      <c r="BI152" s="172">
        <f ca="1">(VLOOKUP(BI$72,INDIRECT($C$5&amp;"生成成长"),2))/((VLOOKUP($B152,INDIRECT($B$5&amp;"生成成长"),4))/(VLOOKUP(BI$72,INDIRECT($C$5&amp;"生成成长"),5))*(VLOOKUP($B$5,标准坦克设计!$B$24:$U$30,MATCH("对"&amp;LEFT($C$5,2)&amp;"输出",标准坦克设计!$B$23:$U$23,0)))*(VLOOKUP($B152,INDIRECT($B$5&amp;"生成成长"),3))*(VLOOKUP($B$5,标准坦克设计!$B$14:$K$20,9)/30))</f>
        <v>3.1482240857792823</v>
      </c>
      <c r="BJ152" s="172">
        <f ca="1">(VLOOKUP(BJ$72,INDIRECT($C$5&amp;"生成成长"),2))/((VLOOKUP($B152,INDIRECT($B$5&amp;"生成成长"),4))/(VLOOKUP(BJ$72,INDIRECT($C$5&amp;"生成成长"),5))*(VLOOKUP($B$5,标准坦克设计!$B$24:$U$30,MATCH("对"&amp;LEFT($C$5,2)&amp;"输出",标准坦克设计!$B$23:$U$23,0)))*(VLOOKUP($B152,INDIRECT($B$5&amp;"生成成长"),3))*(VLOOKUP($B$5,标准坦克设计!$B$14:$K$20,9)/30))</f>
        <v>3.5244385020237075</v>
      </c>
      <c r="BK152" s="172">
        <f ca="1">(VLOOKUP(BK$72,INDIRECT($C$5&amp;"生成成长"),2))/((VLOOKUP($B152,INDIRECT($B$5&amp;"生成成长"),4))/(VLOOKUP(BK$72,INDIRECT($C$5&amp;"生成成长"),5))*(VLOOKUP($B$5,标准坦克设计!$B$24:$U$30,MATCH("对"&amp;LEFT($C$5,2)&amp;"输出",标准坦克设计!$B$23:$U$23,0)))*(VLOOKUP($B152,INDIRECT($B$5&amp;"生成成长"),3))*(VLOOKUP($B$5,标准坦克设计!$B$14:$K$20,9)/30))</f>
        <v>3.9218813179308278</v>
      </c>
      <c r="BL152" s="172">
        <f ca="1">(VLOOKUP(BL$72,INDIRECT($C$5&amp;"生成成长"),2))/((VLOOKUP($B152,INDIRECT($B$5&amp;"生成成长"),4))/(VLOOKUP(BL$72,INDIRECT($C$5&amp;"生成成长"),5))*(VLOOKUP($B$5,标准坦克设计!$B$24:$U$30,MATCH("对"&amp;LEFT($C$5,2)&amp;"输出",标准坦克设计!$B$23:$U$23,0)))*(VLOOKUP($B152,INDIRECT($B$5&amp;"生成成长"),3))*(VLOOKUP($B$5,标准坦克设计!$B$14:$K$20,9)/30))</f>
        <v>4.3405525335006425</v>
      </c>
      <c r="BM152" s="172">
        <f ca="1">(VLOOKUP(BM$72,INDIRECT($C$5&amp;"生成成长"),2))/((VLOOKUP($B152,INDIRECT($B$5&amp;"生成成长"),4))/(VLOOKUP(BM$72,INDIRECT($C$5&amp;"生成成长"),5))*(VLOOKUP($B$5,标准坦克设计!$B$24:$U$30,MATCH("对"&amp;LEFT($C$5,2)&amp;"输出",标准坦克设计!$B$23:$U$23,0)))*(VLOOKUP($B152,INDIRECT($B$5&amp;"生成成长"),3))*(VLOOKUP($B$5,标准坦克设计!$B$14:$K$20,9)/30))</f>
        <v>4.7804521487331524</v>
      </c>
      <c r="BN152" s="172">
        <f ca="1">(VLOOKUP(BN$72,INDIRECT($C$5&amp;"生成成长"),2))/((VLOOKUP($B152,INDIRECT($B$5&amp;"生成成长"),4))/(VLOOKUP(BN$72,INDIRECT($C$5&amp;"生成成长"),5))*(VLOOKUP($B$5,标准坦克设计!$B$24:$U$30,MATCH("对"&amp;LEFT($C$5,2)&amp;"输出",标准坦克设计!$B$23:$U$23,0)))*(VLOOKUP($B152,INDIRECT($B$5&amp;"生成成长"),3))*(VLOOKUP($B$5,标准坦克设计!$B$14:$K$20,9)/30))</f>
        <v>5.241580163628357</v>
      </c>
      <c r="BO152" s="172">
        <f ca="1">(VLOOKUP(BO$72,INDIRECT($C$5&amp;"生成成长"),2))/((VLOOKUP($B152,INDIRECT($B$5&amp;"生成成长"),4))/(VLOOKUP(BO$72,INDIRECT($C$5&amp;"生成成长"),5))*(VLOOKUP($B$5,标准坦克设计!$B$24:$U$30,MATCH("对"&amp;LEFT($C$5,2)&amp;"输出",标准坦克设计!$B$23:$U$23,0)))*(VLOOKUP($B152,INDIRECT($B$5&amp;"生成成长"),3))*(VLOOKUP($B$5,标准坦克设计!$B$14:$K$20,9)/30))</f>
        <v>5.7239365781862563</v>
      </c>
      <c r="BP152" s="172">
        <f ca="1">(VLOOKUP(BP$72,INDIRECT($C$5&amp;"生成成长"),2))/((VLOOKUP($B152,INDIRECT($B$5&amp;"生成成长"),4))/(VLOOKUP(BP$72,INDIRECT($C$5&amp;"生成成长"),5))*(VLOOKUP($B$5,标准坦克设计!$B$24:$U$30,MATCH("对"&amp;LEFT($C$5,2)&amp;"输出",标准坦克设计!$B$23:$U$23,0)))*(VLOOKUP($B152,INDIRECT($B$5&amp;"生成成长"),3))*(VLOOKUP($B$5,标准坦克设计!$B$14:$K$20,9)/30))</f>
        <v>6.2275213924068513</v>
      </c>
      <c r="BQ152" s="172">
        <f ca="1">(VLOOKUP(BQ$72,INDIRECT($C$5&amp;"生成成长"),2))/((VLOOKUP($B152,INDIRECT($B$5&amp;"生成成长"),4))/(VLOOKUP(BQ$72,INDIRECT($C$5&amp;"生成成长"),5))*(VLOOKUP($B$5,标准坦克设计!$B$24:$U$30,MATCH("对"&amp;LEFT($C$5,2)&amp;"输出",标准坦克设计!$B$23:$U$23,0)))*(VLOOKUP($B152,INDIRECT($B$5&amp;"生成成长"),3))*(VLOOKUP($B$5,标准坦克设计!$B$14:$K$20,9)/30))</f>
        <v>6.752334606290141</v>
      </c>
      <c r="BR152" s="172">
        <f ca="1">(VLOOKUP(BR$72,INDIRECT($C$5&amp;"生成成长"),2))/((VLOOKUP($B152,INDIRECT($B$5&amp;"生成成长"),4))/(VLOOKUP(BR$72,INDIRECT($C$5&amp;"生成成长"),5))*(VLOOKUP($B$5,标准坦克设计!$B$24:$U$30,MATCH("对"&amp;LEFT($C$5,2)&amp;"输出",标准坦克设计!$B$23:$U$23,0)))*(VLOOKUP($B152,INDIRECT($B$5&amp;"生成成长"),3))*(VLOOKUP($B$5,标准坦克设计!$B$14:$K$20,9)/30))</f>
        <v>7.3603579052710284</v>
      </c>
      <c r="BS152" s="172">
        <f ca="1">(VLOOKUP(BS$72,INDIRECT($C$5&amp;"生成成长"),2))/((VLOOKUP($B152,INDIRECT($B$5&amp;"生成成长"),4))/(VLOOKUP(BS$72,INDIRECT($C$5&amp;"生成成长"),5))*(VLOOKUP($B$5,标准坦克设计!$B$24:$U$30,MATCH("对"&amp;LEFT($C$5,2)&amp;"输出",标准坦克设计!$B$23:$U$23,0)))*(VLOOKUP($B152,INDIRECT($B$5&amp;"生成成长"),3))*(VLOOKUP($B$5,标准坦克设计!$B$14:$K$20,9)/30))</f>
        <v>7.9945891050700624</v>
      </c>
      <c r="BT152" s="172">
        <f ca="1">(VLOOKUP(BT$72,INDIRECT($C$5&amp;"生成成长"),2))/((VLOOKUP($B152,INDIRECT($B$5&amp;"生成成长"),4))/(VLOOKUP(BT$72,INDIRECT($C$5&amp;"生成成长"),5))*(VLOOKUP($B$5,标准坦克设计!$B$24:$U$30,MATCH("对"&amp;LEFT($C$5,2)&amp;"输出",标准坦克设计!$B$23:$U$23,0)))*(VLOOKUP($B152,INDIRECT($B$5&amp;"生成成长"),3))*(VLOOKUP($B$5,标准坦克设计!$B$14:$K$20,9)/30))</f>
        <v>8.6550282056872341</v>
      </c>
      <c r="BU152" s="172">
        <f ca="1">(VLOOKUP(BU$72,INDIRECT($C$5&amp;"生成成长"),2))/((VLOOKUP($B152,INDIRECT($B$5&amp;"生成成长"),4))/(VLOOKUP(BU$72,INDIRECT($C$5&amp;"生成成长"),5))*(VLOOKUP($B$5,标准坦克设计!$B$24:$U$30,MATCH("对"&amp;LEFT($C$5,2)&amp;"输出",标准坦克设计!$B$23:$U$23,0)))*(VLOOKUP($B152,INDIRECT($B$5&amp;"生成成长"),3))*(VLOOKUP($B$5,标准坦克设计!$B$14:$K$20,9)/30))</f>
        <v>9.3416752071225506</v>
      </c>
      <c r="BV152" s="172">
        <f ca="1">(VLOOKUP(BV$72,INDIRECT($C$5&amp;"生成成长"),2))/((VLOOKUP($B152,INDIRECT($B$5&amp;"生成成长"),4))/(VLOOKUP(BV$72,INDIRECT($C$5&amp;"生成成长"),5))*(VLOOKUP($B$5,标准坦克设计!$B$24:$U$30,MATCH("对"&amp;LEFT($C$5,2)&amp;"输出",标准坦克设计!$B$23:$U$23,0)))*(VLOOKUP($B152,INDIRECT($B$5&amp;"生成成长"),3))*(VLOOKUP($B$5,标准坦克设计!$B$14:$K$20,9)/30))</f>
        <v>10.054530109376007</v>
      </c>
      <c r="BW152" s="172">
        <f ca="1">(VLOOKUP(BW$72,INDIRECT($C$5&amp;"生成成长"),2))/((VLOOKUP($B152,INDIRECT($B$5&amp;"生成成长"),4))/(VLOOKUP(BW$72,INDIRECT($C$5&amp;"生成成长"),5))*(VLOOKUP($B$5,标准坦克设计!$B$24:$U$30,MATCH("对"&amp;LEFT($C$5,2)&amp;"输出",标准坦克设计!$B$23:$U$23,0)))*(VLOOKUP($B152,INDIRECT($B$5&amp;"生成成长"),3))*(VLOOKUP($B$5,标准坦克设计!$B$14:$K$20,9)/30))</f>
        <v>4.5823204185480009</v>
      </c>
      <c r="BX152" s="172">
        <f ca="1">(VLOOKUP(BX$72,INDIRECT($C$5&amp;"生成成长"),2))/((VLOOKUP($B152,INDIRECT($B$5&amp;"生成成长"),4))/(VLOOKUP(BX$72,INDIRECT($C$5&amp;"生成成长"),5))*(VLOOKUP($B$5,标准坦克设计!$B$24:$U$30,MATCH("对"&amp;LEFT($C$5,2)&amp;"输出",标准坦克设计!$B$23:$U$23,0)))*(VLOOKUP($B152,INDIRECT($B$5&amp;"生成成长"),3))*(VLOOKUP($B$5,标准坦克设计!$B$14:$K$20,9)/30))</f>
        <v>5.085512114256324</v>
      </c>
      <c r="BY152" s="172">
        <f ca="1">(VLOOKUP(BY$72,INDIRECT($C$5&amp;"生成成长"),2))/((VLOOKUP($B152,INDIRECT($B$5&amp;"生成成长"),4))/(VLOOKUP(BY$72,INDIRECT($C$5&amp;"生成成长"),5))*(VLOOKUP($B$5,标准坦克设计!$B$24:$U$30,MATCH("对"&amp;LEFT($C$5,2)&amp;"输出",标准坦克设计!$B$23:$U$23,0)))*(VLOOKUP($B152,INDIRECT($B$5&amp;"生成成长"),3))*(VLOOKUP($B$5,标准坦克设计!$B$14:$K$20,9)/30))</f>
        <v>5.6149117107827875</v>
      </c>
      <c r="BZ152" s="172">
        <f ca="1">(VLOOKUP(BZ$72,INDIRECT($C$5&amp;"生成成长"),2))/((VLOOKUP($B152,INDIRECT($B$5&amp;"生成成长"),4))/(VLOOKUP(BZ$72,INDIRECT($C$5&amp;"生成成长"),5))*(VLOOKUP($B$5,标准坦克设计!$B$24:$U$30,MATCH("对"&amp;LEFT($C$5,2)&amp;"输出",标准坦克设计!$B$23:$U$23,0)))*(VLOOKUP($B152,INDIRECT($B$5&amp;"生成成长"),3))*(VLOOKUP($B$5,标准坦克设计!$B$14:$K$20,9)/30))</f>
        <v>6.1705192081273932</v>
      </c>
      <c r="CA152" s="172">
        <f ca="1">(VLOOKUP(CA$72,INDIRECT($C$5&amp;"生成成长"),2))/((VLOOKUP($B152,INDIRECT($B$5&amp;"生成成长"),4))/(VLOOKUP(CA$72,INDIRECT($C$5&amp;"生成成长"),5))*(VLOOKUP($B$5,标准坦克设计!$B$24:$U$30,MATCH("对"&amp;LEFT($C$5,2)&amp;"输出",标准坦克设计!$B$23:$U$23,0)))*(VLOOKUP($B152,INDIRECT($B$5&amp;"生成成长"),3))*(VLOOKUP($B$5,标准坦克设计!$B$14:$K$20,9)/30))</f>
        <v>6.752334606290141</v>
      </c>
      <c r="CB152" s="172">
        <f ca="1">(VLOOKUP(CB$72,INDIRECT($C$5&amp;"生成成长"),2))/((VLOOKUP($B152,INDIRECT($B$5&amp;"生成成长"),4))/(VLOOKUP(CB$72,INDIRECT($C$5&amp;"生成成长"),5))*(VLOOKUP($B$5,标准坦克设计!$B$24:$U$30,MATCH("对"&amp;LEFT($C$5,2)&amp;"输出",标准坦克设计!$B$23:$U$23,0)))*(VLOOKUP($B152,INDIRECT($B$5&amp;"生成成长"),3))*(VLOOKUP($B$5,标准坦克设计!$B$14:$K$20,9)/30))</f>
        <v>7.3603579052710284</v>
      </c>
      <c r="CC152" s="172">
        <f ca="1">(VLOOKUP(CC$72,INDIRECT($C$5&amp;"生成成长"),2))/((VLOOKUP($B152,INDIRECT($B$5&amp;"生成成长"),4))/(VLOOKUP(CC$72,INDIRECT($C$5&amp;"生成成长"),5))*(VLOOKUP($B$5,标准坦克设计!$B$24:$U$30,MATCH("对"&amp;LEFT($C$5,2)&amp;"输出",标准坦克设计!$B$23:$U$23,0)))*(VLOOKUP($B152,INDIRECT($B$5&amp;"生成成长"),3))*(VLOOKUP($B$5,标准坦克设计!$B$14:$K$20,9)/30))</f>
        <v>7.9945891050700624</v>
      </c>
      <c r="CD152" s="172">
        <f ca="1">(VLOOKUP(CD$72,INDIRECT($C$5&amp;"生成成长"),2))/((VLOOKUP($B152,INDIRECT($B$5&amp;"生成成长"),4))/(VLOOKUP(CD$72,INDIRECT($C$5&amp;"生成成长"),5))*(VLOOKUP($B$5,标准坦克设计!$B$24:$U$30,MATCH("对"&amp;LEFT($C$5,2)&amp;"输出",标准坦克设计!$B$23:$U$23,0)))*(VLOOKUP($B152,INDIRECT($B$5&amp;"生成成长"),3))*(VLOOKUP($B$5,标准坦克设计!$B$14:$K$20,9)/30))</f>
        <v>8.6550282056872341</v>
      </c>
      <c r="CE152" s="172">
        <f ca="1">(VLOOKUP(CE$72,INDIRECT($C$5&amp;"生成成长"),2))/((VLOOKUP($B152,INDIRECT($B$5&amp;"生成成长"),4))/(VLOOKUP(CE$72,INDIRECT($C$5&amp;"生成成长"),5))*(VLOOKUP($B$5,标准坦克设计!$B$24:$U$30,MATCH("对"&amp;LEFT($C$5,2)&amp;"输出",标准坦克设计!$B$23:$U$23,0)))*(VLOOKUP($B152,INDIRECT($B$5&amp;"生成成长"),3))*(VLOOKUP($B$5,标准坦克设计!$B$14:$K$20,9)/30))</f>
        <v>9.3416752071225506</v>
      </c>
      <c r="CF152" s="172">
        <f ca="1">(VLOOKUP(CF$72,INDIRECT($C$5&amp;"生成成长"),2))/((VLOOKUP($B152,INDIRECT($B$5&amp;"生成成长"),4))/(VLOOKUP(CF$72,INDIRECT($C$5&amp;"生成成长"),5))*(VLOOKUP($B$5,标准坦克设计!$B$24:$U$30,MATCH("对"&amp;LEFT($C$5,2)&amp;"输出",标准坦克设计!$B$23:$U$23,0)))*(VLOOKUP($B152,INDIRECT($B$5&amp;"生成成长"),3))*(VLOOKUP($B$5,标准坦克设计!$B$14:$K$20,9)/30))</f>
        <v>10.054530109376007</v>
      </c>
      <c r="CG152" s="172">
        <f ca="1">(VLOOKUP(CG$72,INDIRECT($C$5&amp;"生成成长"),2))/((VLOOKUP($B152,INDIRECT($B$5&amp;"生成成长"),4))/(VLOOKUP(CG$72,INDIRECT($C$5&amp;"生成成长"),5))*(VLOOKUP($B$5,标准坦克设计!$B$24:$U$30,MATCH("对"&amp;LEFT($C$5,2)&amp;"输出",标准坦克设计!$B$23:$U$23,0)))*(VLOOKUP($B152,INDIRECT($B$5&amp;"生成成长"),3))*(VLOOKUP($B$5,标准坦克设计!$B$14:$K$20,9)/30))</f>
        <v>10.793592912447604</v>
      </c>
      <c r="CH152" s="172">
        <f ca="1">(VLOOKUP(CH$72,INDIRECT($C$5&amp;"生成成长"),2))/((VLOOKUP($B152,INDIRECT($B$5&amp;"生成成长"),4))/(VLOOKUP(CH$72,INDIRECT($C$5&amp;"生成成长"),5))*(VLOOKUP($B$5,标准坦克设计!$B$24:$U$30,MATCH("对"&amp;LEFT($C$5,2)&amp;"输出",标准坦克设计!$B$23:$U$23,0)))*(VLOOKUP($B152,INDIRECT($B$5&amp;"生成成长"),3))*(VLOOKUP($B$5,标准坦克设计!$B$14:$K$20,9)/30))</f>
        <v>11.558863616337344</v>
      </c>
      <c r="CI152" s="172">
        <f ca="1">(VLOOKUP(CI$72,INDIRECT($C$5&amp;"生成成长"),2))/((VLOOKUP($B152,INDIRECT($B$5&amp;"生成成长"),4))/(VLOOKUP(CI$72,INDIRECT($C$5&amp;"生成成长"),5))*(VLOOKUP($B$5,标准坦克设计!$B$24:$U$30,MATCH("对"&amp;LEFT($C$5,2)&amp;"输出",标准坦克设计!$B$23:$U$23,0)))*(VLOOKUP($B152,INDIRECT($B$5&amp;"生成成长"),3))*(VLOOKUP($B$5,标准坦克设计!$B$14:$K$20,9)/30))</f>
        <v>12.430931516061012</v>
      </c>
      <c r="CJ152" s="172">
        <f ca="1">(VLOOKUP(CJ$72,INDIRECT($C$5&amp;"生成成长"),2))/((VLOOKUP($B152,INDIRECT($B$5&amp;"生成成长"),4))/(VLOOKUP(CJ$72,INDIRECT($C$5&amp;"生成成长"),5))*(VLOOKUP($B$5,标准坦克设计!$B$24:$U$30,MATCH("对"&amp;LEFT($C$5,2)&amp;"输出",标准坦克设计!$B$23:$U$23,0)))*(VLOOKUP($B152,INDIRECT($B$5&amp;"生成成长"),3))*(VLOOKUP($B$5,标准坦克设计!$B$14:$K$20,9)/30))</f>
        <v>13.334710975774632</v>
      </c>
      <c r="CK152" s="172">
        <f ca="1">(VLOOKUP(CK$72,INDIRECT($C$5&amp;"生成成长"),2))/((VLOOKUP($B152,INDIRECT($B$5&amp;"生成成长"),4))/(VLOOKUP(CK$72,INDIRECT($C$5&amp;"生成成长"),5))*(VLOOKUP($B$5,标准坦克设计!$B$24:$U$30,MATCH("对"&amp;LEFT($C$5,2)&amp;"输出",标准坦克设计!$B$23:$U$23,0)))*(VLOOKUP($B152,INDIRECT($B$5&amp;"生成成长"),3))*(VLOOKUP($B$5,标准坦克设计!$B$14:$K$20,9)/30))</f>
        <v>14.270201995478203</v>
      </c>
      <c r="CL152" s="172">
        <f ca="1">(VLOOKUP(CL$72,INDIRECT($C$5&amp;"生成成长"),2))/((VLOOKUP($B152,INDIRECT($B$5&amp;"生成成长"),4))/(VLOOKUP(CL$72,INDIRECT($C$5&amp;"生成成长"),5))*(VLOOKUP($B$5,标准坦克设计!$B$24:$U$30,MATCH("对"&amp;LEFT($C$5,2)&amp;"输出",标准坦克设计!$B$23:$U$23,0)))*(VLOOKUP($B152,INDIRECT($B$5&amp;"生成成长"),3))*(VLOOKUP($B$5,标准坦克设计!$B$14:$K$20,9)/30))</f>
        <v>15.237404575171727</v>
      </c>
      <c r="CM152" s="172">
        <f ca="1">(VLOOKUP(CM$72,INDIRECT($C$5&amp;"生成成长"),2))/((VLOOKUP($B152,INDIRECT($B$5&amp;"生成成长"),4))/(VLOOKUP(CM$72,INDIRECT($C$5&amp;"生成成长"),5))*(VLOOKUP($B$5,标准坦克设计!$B$24:$U$30,MATCH("对"&amp;LEFT($C$5,2)&amp;"输出",标准坦克设计!$B$23:$U$23,0)))*(VLOOKUP($B152,INDIRECT($B$5&amp;"生成成长"),3))*(VLOOKUP($B$5,标准坦克设计!$B$14:$K$20,9)/30))</f>
        <v>16.236318714855202</v>
      </c>
      <c r="CN152" s="172">
        <f ca="1">(VLOOKUP(CN$72,INDIRECT($C$5&amp;"生成成长"),2))/((VLOOKUP($B152,INDIRECT($B$5&amp;"生成成长"),4))/(VLOOKUP(CN$72,INDIRECT($C$5&amp;"生成成长"),5))*(VLOOKUP($B$5,标准坦克设计!$B$24:$U$30,MATCH("对"&amp;LEFT($C$5,2)&amp;"输出",标准坦克设计!$B$23:$U$23,0)))*(VLOOKUP($B152,INDIRECT($B$5&amp;"生成成长"),3))*(VLOOKUP($B$5,标准坦克设计!$B$14:$K$20,9)/30))</f>
        <v>17.266944414528627</v>
      </c>
      <c r="CO152" s="172">
        <f ca="1">(VLOOKUP(CO$72,INDIRECT($C$5&amp;"生成成长"),2))/((VLOOKUP($B152,INDIRECT($B$5&amp;"生成成长"),4))/(VLOOKUP(CO$72,INDIRECT($C$5&amp;"生成成长"),5))*(VLOOKUP($B$5,标准坦克设计!$B$24:$U$30,MATCH("对"&amp;LEFT($C$5,2)&amp;"输出",标准坦克设计!$B$23:$U$23,0)))*(VLOOKUP($B152,INDIRECT($B$5&amp;"生成成长"),3))*(VLOOKUP($B$5,标准坦克设计!$B$14:$K$20,9)/30))</f>
        <v>7.7377516770522732</v>
      </c>
      <c r="CP152" s="172">
        <f ca="1">(VLOOKUP(CP$72,INDIRECT($C$5&amp;"生成成长"),2))/((VLOOKUP($B152,INDIRECT($B$5&amp;"生成成长"),4))/(VLOOKUP(CP$72,INDIRECT($C$5&amp;"生成成长"),5))*(VLOOKUP($B$5,标准坦克设计!$B$24:$U$30,MATCH("对"&amp;LEFT($C$5,2)&amp;"输出",标准坦克设计!$B$23:$U$23,0)))*(VLOOKUP($B152,INDIRECT($B$5&amp;"生成成长"),3))*(VLOOKUP($B$5,标准坦克设计!$B$14:$K$20,9)/30))</f>
        <v>8.4541446459161786</v>
      </c>
      <c r="CQ152" s="172">
        <f ca="1">(VLOOKUP(CQ$72,INDIRECT($C$5&amp;"生成成长"),2))/((VLOOKUP($B152,INDIRECT($B$5&amp;"生成成长"),4))/(VLOOKUP(CQ$72,INDIRECT($C$5&amp;"生成成长"),5))*(VLOOKUP($B$5,标准坦克设计!$B$24:$U$30,MATCH("对"&amp;LEFT($C$5,2)&amp;"输出",标准坦克设计!$B$23:$U$23,0)))*(VLOOKUP($B152,INDIRECT($B$5&amp;"生成成长"),3))*(VLOOKUP($B$5,标准坦克设计!$B$14:$K$20,9)/30))</f>
        <v>9.2022491747700332</v>
      </c>
      <c r="CR152" s="172">
        <f ca="1">(VLOOKUP(CR$72,INDIRECT($C$5&amp;"生成成长"),2))/((VLOOKUP($B152,INDIRECT($B$5&amp;"生成成长"),4))/(VLOOKUP(CR$72,INDIRECT($C$5&amp;"生成成长"),5))*(VLOOKUP($B$5,标准坦克设计!$B$24:$U$30,MATCH("对"&amp;LEFT($C$5,2)&amp;"输出",标准坦克设计!$B$23:$U$23,0)))*(VLOOKUP($B152,INDIRECT($B$5&amp;"生成成长"),3))*(VLOOKUP($B$5,标准坦克设计!$B$14:$K$20,9)/30))</f>
        <v>9.9820652636138441</v>
      </c>
      <c r="CS152" s="172">
        <f ca="1">(VLOOKUP(CS$72,INDIRECT($C$5&amp;"生成成长"),2))/((VLOOKUP($B152,INDIRECT($B$5&amp;"生成成长"),4))/(VLOOKUP(CS$72,INDIRECT($C$5&amp;"生成成长"),5))*(VLOOKUP($B$5,标准坦克设计!$B$24:$U$30,MATCH("对"&amp;LEFT($C$5,2)&amp;"输出",标准坦克设计!$B$23:$U$23,0)))*(VLOOKUP($B152,INDIRECT($B$5&amp;"生成成长"),3))*(VLOOKUP($B$5,标准坦克设计!$B$14:$K$20,9)/30))</f>
        <v>10.793592912447604</v>
      </c>
      <c r="CT152" s="172">
        <f ca="1">(VLOOKUP(CT$72,INDIRECT($C$5&amp;"生成成长"),2))/((VLOOKUP($B152,INDIRECT($B$5&amp;"生成成长"),4))/(VLOOKUP(CT$72,INDIRECT($C$5&amp;"生成成长"),5))*(VLOOKUP($B$5,标准坦克设计!$B$24:$U$30,MATCH("对"&amp;LEFT($C$5,2)&amp;"输出",标准坦克设计!$B$23:$U$23,0)))*(VLOOKUP($B152,INDIRECT($B$5&amp;"生成成长"),3))*(VLOOKUP($B$5,标准坦克设计!$B$14:$K$20,9)/30))</f>
        <v>11.636832121271317</v>
      </c>
      <c r="CU152" s="172">
        <f ca="1">(VLOOKUP(CU$72,INDIRECT($C$5&amp;"生成成长"),2))/((VLOOKUP($B152,INDIRECT($B$5&amp;"生成成长"),4))/(VLOOKUP(CU$72,INDIRECT($C$5&amp;"生成成长"),5))*(VLOOKUP($B$5,标准坦克设计!$B$24:$U$30,MATCH("对"&amp;LEFT($C$5,2)&amp;"输出",标准坦克设计!$B$23:$U$23,0)))*(VLOOKUP($B152,INDIRECT($B$5&amp;"生成成长"),3))*(VLOOKUP($B$5,标准坦克设计!$B$14:$K$20,9)/30))</f>
        <v>12.51178289008498</v>
      </c>
      <c r="CV152" s="172">
        <f ca="1">(VLOOKUP(CV$72,INDIRECT($C$5&amp;"生成成长"),2))/((VLOOKUP($B152,INDIRECT($B$5&amp;"生成成长"),4))/(VLOOKUP(CV$72,INDIRECT($C$5&amp;"生成成长"),5))*(VLOOKUP($B$5,标准坦克设计!$B$24:$U$30,MATCH("对"&amp;LEFT($C$5,2)&amp;"输出",标准坦克设计!$B$23:$U$23,0)))*(VLOOKUP($B152,INDIRECT($B$5&amp;"生成成长"),3))*(VLOOKUP($B$5,标准坦克设计!$B$14:$K$20,9)/30))</f>
        <v>13.418445218888595</v>
      </c>
      <c r="CW152" s="172">
        <f ca="1">(VLOOKUP(CW$72,INDIRECT($C$5&amp;"生成成长"),2))/((VLOOKUP($B152,INDIRECT($B$5&amp;"生成成长"),4))/(VLOOKUP(CW$72,INDIRECT($C$5&amp;"生成成长"),5))*(VLOOKUP($B$5,标准坦克设计!$B$24:$U$30,MATCH("对"&amp;LEFT($C$5,2)&amp;"输出",标准坦克设计!$B$23:$U$23,0)))*(VLOOKUP($B152,INDIRECT($B$5&amp;"生成成长"),3))*(VLOOKUP($B$5,标准坦克设计!$B$14:$K$20,9)/30))</f>
        <v>14.356819107682163</v>
      </c>
      <c r="CX152" s="172">
        <f ca="1">(VLOOKUP(CX$72,INDIRECT($C$5&amp;"生成成长"),2))/((VLOOKUP($B152,INDIRECT($B$5&amp;"生成成长"),4))/(VLOOKUP(CX$72,INDIRECT($C$5&amp;"生成成长"),5))*(VLOOKUP($B$5,标准坦克设计!$B$24:$U$30,MATCH("对"&amp;LEFT($C$5,2)&amp;"输出",标准坦克设计!$B$23:$U$23,0)))*(VLOOKUP($B152,INDIRECT($B$5&amp;"生成成长"),3))*(VLOOKUP($B$5,标准坦克设计!$B$14:$K$20,9)/30))</f>
        <v>15.32690455646568</v>
      </c>
      <c r="CY152" s="172">
        <f ca="1">(VLOOKUP(CY$72,INDIRECT($C$5&amp;"生成成长"),2))/((VLOOKUP($B152,INDIRECT($B$5&amp;"生成成长"),4))/(VLOOKUP(CY$72,INDIRECT($C$5&amp;"生成成长"),5))*(VLOOKUP($B$5,标准坦克设计!$B$24:$U$30,MATCH("对"&amp;LEFT($C$5,2)&amp;"输出",标准坦克设计!$B$23:$U$23,0)))*(VLOOKUP($B152,INDIRECT($B$5&amp;"生成成长"),3))*(VLOOKUP($B$5,标准坦克设计!$B$14:$K$20,9)/30))</f>
        <v>16.32870156523915</v>
      </c>
      <c r="CZ152" s="172">
        <f ca="1">(VLOOKUP(CZ$72,INDIRECT($C$5&amp;"生成成长"),2))/((VLOOKUP($B152,INDIRECT($B$5&amp;"生成成长"),4))/(VLOOKUP(CZ$72,INDIRECT($C$5&amp;"生成成长"),5))*(VLOOKUP($B$5,标准坦克设计!$B$24:$U$30,MATCH("对"&amp;LEFT($C$5,2)&amp;"输出",标准坦克设计!$B$23:$U$23,0)))*(VLOOKUP($B152,INDIRECT($B$5&amp;"生成成长"),3))*(VLOOKUP($B$5,标准坦克设计!$B$14:$K$20,9)/30))</f>
        <v>17.36221013400257</v>
      </c>
      <c r="DA152" s="172">
        <f ca="1">(VLOOKUP(DA$72,INDIRECT($C$5&amp;"生成成长"),2))/((VLOOKUP($B152,INDIRECT($B$5&amp;"生成成长"),4))/(VLOOKUP(DA$72,INDIRECT($C$5&amp;"生成成长"),5))*(VLOOKUP($B$5,标准坦克设计!$B$24:$U$30,MATCH("对"&amp;LEFT($C$5,2)&amp;"输出",标准坦克设计!$B$23:$U$23,0)))*(VLOOKUP($B152,INDIRECT($B$5&amp;"生成成长"),3))*(VLOOKUP($B$5,标准坦克设计!$B$14:$K$20,9)/30))</f>
        <v>18.427430262755944</v>
      </c>
      <c r="DB152" s="172">
        <f ca="1">(VLOOKUP(DB$72,INDIRECT($C$5&amp;"生成成长"),2))/((VLOOKUP($B152,INDIRECT($B$5&amp;"生成成长"),4))/(VLOOKUP(DB$72,INDIRECT($C$5&amp;"生成成长"),5))*(VLOOKUP($B$5,标准坦克设计!$B$24:$U$30,MATCH("对"&amp;LEFT($C$5,2)&amp;"输出",标准坦克设计!$B$23:$U$23,0)))*(VLOOKUP($B152,INDIRECT($B$5&amp;"生成成长"),3))*(VLOOKUP($B$5,标准坦克设计!$B$14:$K$20,9)/30))</f>
        <v>19.524361951499266</v>
      </c>
      <c r="DC152" s="172">
        <f ca="1">(VLOOKUP(DC$72,INDIRECT($C$5&amp;"生成成长"),2))/((VLOOKUP($B152,INDIRECT($B$5&amp;"生成成长"),4))/(VLOOKUP(DC$72,INDIRECT($C$5&amp;"生成成长"),5))*(VLOOKUP($B$5,标准坦克设计!$B$24:$U$30,MATCH("对"&amp;LEFT($C$5,2)&amp;"输出",标准坦克设计!$B$23:$U$23,0)))*(VLOOKUP($B152,INDIRECT($B$5&amp;"生成成长"),3))*(VLOOKUP($B$5,标准坦克设计!$B$14:$K$20,9)/30))</f>
        <v>20.757181605984663</v>
      </c>
      <c r="DD152" s="172">
        <f ca="1">(VLOOKUP(DD$72,INDIRECT($C$5&amp;"生成成长"),2))/((VLOOKUP($B152,INDIRECT($B$5&amp;"生成成长"),4))/(VLOOKUP(DD$72,INDIRECT($C$5&amp;"生成成长"),5))*(VLOOKUP($B$5,标准坦克设计!$B$24:$U$30,MATCH("对"&amp;LEFT($C$5,2)&amp;"输出",标准坦克设计!$B$23:$U$23,0)))*(VLOOKUP($B152,INDIRECT($B$5&amp;"生成成长"),3))*(VLOOKUP($B$5,标准坦克设计!$B$14:$K$20,9)/30))</f>
        <v>22.027740637648172</v>
      </c>
      <c r="DE152" s="172">
        <f ca="1">(VLOOKUP(DE$72,INDIRECT($C$5&amp;"生成成长"),2))/((VLOOKUP($B152,INDIRECT($B$5&amp;"生成成长"),4))/(VLOOKUP(DE$72,INDIRECT($C$5&amp;"生成成长"),5))*(VLOOKUP($B$5,标准坦克设计!$B$24:$U$30,MATCH("对"&amp;LEFT($C$5,2)&amp;"输出",标准坦克设计!$B$23:$U$23,0)))*(VLOOKUP($B152,INDIRECT($B$5&amp;"生成成长"),3))*(VLOOKUP($B$5,标准坦克设计!$B$14:$K$20,9)/30))</f>
        <v>23.336039046489809</v>
      </c>
      <c r="DF152" s="172">
        <f ca="1">(VLOOKUP(DF$72,INDIRECT($C$5&amp;"生成成长"),2))/((VLOOKUP($B152,INDIRECT($B$5&amp;"生成成长"),4))/(VLOOKUP(DF$72,INDIRECT($C$5&amp;"生成成长"),5))*(VLOOKUP($B$5,标准坦克设计!$B$24:$U$30,MATCH("对"&amp;LEFT($C$5,2)&amp;"输出",标准坦克设计!$B$23:$U$23,0)))*(VLOOKUP($B152,INDIRECT($B$5&amp;"生成成长"),3))*(VLOOKUP($B$5,标准坦克设计!$B$14:$K$20,9)/30))</f>
        <v>24.682076832509573</v>
      </c>
      <c r="DG152" s="172">
        <f ca="1">(VLOOKUP(DG$72,INDIRECT($C$5&amp;"生成成长"),2))/((VLOOKUP($B152,INDIRECT($B$5&amp;"生成成长"),4))/(VLOOKUP(DG$72,INDIRECT($C$5&amp;"生成成长"),5))*(VLOOKUP($B$5,标准坦克设计!$B$24:$U$30,MATCH("对"&amp;LEFT($C$5,2)&amp;"输出",标准坦克设计!$B$23:$U$23,0)))*(VLOOKUP($B152,INDIRECT($B$5&amp;"生成成长"),3))*(VLOOKUP($B$5,标准坦克设计!$B$14:$K$20,9)/30))</f>
        <v>26.06585399570746</v>
      </c>
      <c r="DH152" s="172">
        <f ca="1">(VLOOKUP(DH$72,INDIRECT($C$5&amp;"生成成长"),2))/((VLOOKUP($B152,INDIRECT($B$5&amp;"生成成长"),4))/(VLOOKUP(DH$72,INDIRECT($C$5&amp;"生成成长"),5))*(VLOOKUP($B$5,标准坦克设计!$B$24:$U$30,MATCH("对"&amp;LEFT($C$5,2)&amp;"输出",标准坦克设计!$B$23:$U$23,0)))*(VLOOKUP($B152,INDIRECT($B$5&amp;"生成成长"),3))*(VLOOKUP($B$5,标准坦克设计!$B$14:$K$20,9)/30))</f>
        <v>27.487370536083471</v>
      </c>
      <c r="DI152" s="172">
        <f ca="1">(VLOOKUP(DI$72,INDIRECT($C$5&amp;"生成成长"),2))/((VLOOKUP($B152,INDIRECT($B$5&amp;"生成成长"),4))/(VLOOKUP(DI$72,INDIRECT($C$5&amp;"生成成长"),5))*(VLOOKUP($B$5,标准坦克设计!$B$24:$U$30,MATCH("对"&amp;LEFT($C$5,2)&amp;"输出",标准坦克设计!$B$23:$U$23,0)))*(VLOOKUP($B152,INDIRECT($B$5&amp;"生成成长"),3))*(VLOOKUP($B$5,标准坦克设计!$B$14:$K$20,9)/30))</f>
        <v>28.946626453637602</v>
      </c>
      <c r="DJ152" s="172">
        <f ca="1">(VLOOKUP(DJ$72,INDIRECT($C$5&amp;"生成成长"),2))/((VLOOKUP($B152,INDIRECT($B$5&amp;"生成成长"),4))/(VLOOKUP(DJ$72,INDIRECT($C$5&amp;"生成成长"),5))*(VLOOKUP($B$5,标准坦克设计!$B$24:$U$30,MATCH("对"&amp;LEFT($C$5,2)&amp;"输出",标准坦克设计!$B$23:$U$23,0)))*(VLOOKUP($B152,INDIRECT($B$5&amp;"生成成长"),3))*(VLOOKUP($B$5,标准坦克设计!$B$14:$K$20,9)/30))</f>
        <v>2.9092080303178292</v>
      </c>
      <c r="DK152" s="172">
        <f ca="1">(VLOOKUP(DK$72,INDIRECT($C$5&amp;"生成成长"),2))/((VLOOKUP($B152,INDIRECT($B$5&amp;"生成成长"),4))/(VLOOKUP(DK$72,INDIRECT($C$5&amp;"生成成长"),5))*(VLOOKUP($B$5,标准坦克设计!$B$24:$U$30,MATCH("对"&amp;LEFT($C$5,2)&amp;"输出",标准坦克设计!$B$23:$U$23,0)))*(VLOOKUP($B152,INDIRECT($B$5&amp;"生成成长"),3))*(VLOOKUP($B$5,标准坦克设计!$B$14:$K$20,9)/30))</f>
        <v>3.271270180120458</v>
      </c>
      <c r="DL152" s="172">
        <f ca="1">(VLOOKUP(DL$72,INDIRECT($C$5&amp;"生成成长"),2))/((VLOOKUP($B152,INDIRECT($B$5&amp;"生成成长"),4))/(VLOOKUP(DL$72,INDIRECT($C$5&amp;"生成成长"),5))*(VLOOKUP($B$5,标准坦克设计!$B$24:$U$30,MATCH("对"&amp;LEFT($C$5,2)&amp;"输出",标准坦克设计!$B$23:$U$23,0)))*(VLOOKUP($B152,INDIRECT($B$5&amp;"生成成长"),3))*(VLOOKUP($B$5,标准坦克设计!$B$14:$K$20,9)/30))</f>
        <v>3.6545607295857812</v>
      </c>
      <c r="DM152" s="172">
        <f ca="1">(VLOOKUP(DM$72,INDIRECT($C$5&amp;"生成成长"),2))/((VLOOKUP($B152,INDIRECT($B$5&amp;"生成成长"),4))/(VLOOKUP(DM$72,INDIRECT($C$5&amp;"生成成长"),5))*(VLOOKUP($B$5,标准坦克设计!$B$24:$U$30,MATCH("对"&amp;LEFT($C$5,2)&amp;"输出",标准坦克设计!$B$23:$U$23,0)))*(VLOOKUP($B152,INDIRECT($B$5&amp;"生成成长"),3))*(VLOOKUP($B$5,标准坦克设计!$B$14:$K$20,9)/30))</f>
        <v>4.0590796787138004</v>
      </c>
      <c r="DN152" s="172">
        <f ca="1">(VLOOKUP(DN$72,INDIRECT($C$5&amp;"生成成长"),2))/((VLOOKUP($B152,INDIRECT($B$5&amp;"生成成长"),4))/(VLOOKUP(DN$72,INDIRECT($C$5&amp;"生成成长"),5))*(VLOOKUP($B$5,标准坦克设计!$B$24:$U$30,MATCH("对"&amp;LEFT($C$5,2)&amp;"输出",标准坦克设计!$B$23:$U$23,0)))*(VLOOKUP($B152,INDIRECT($B$5&amp;"生成成长"),3))*(VLOOKUP($B$5,标准坦克设计!$B$14:$K$20,9)/30))</f>
        <v>4.4848270275045135</v>
      </c>
      <c r="DO152" s="172">
        <f ca="1">(VLOOKUP(DO$72,INDIRECT($C$5&amp;"生成成长"),2))/((VLOOKUP($B152,INDIRECT($B$5&amp;"生成成长"),4))/(VLOOKUP(DO$72,INDIRECT($C$5&amp;"生成成长"),5))*(VLOOKUP($B$5,标准坦克设计!$B$24:$U$30,MATCH("对"&amp;LEFT($C$5,2)&amp;"输出",标准坦克设计!$B$23:$U$23,0)))*(VLOOKUP($B152,INDIRECT($B$5&amp;"生成成长"),3))*(VLOOKUP($B$5,标准坦克设计!$B$14:$K$20,9)/30))</f>
        <v>4.9318027759579213</v>
      </c>
      <c r="DP152" s="172">
        <f ca="1">(VLOOKUP(DP$72,INDIRECT($C$5&amp;"生成成长"),2))/((VLOOKUP($B152,INDIRECT($B$5&amp;"生成成长"),4))/(VLOOKUP(DP$72,INDIRECT($C$5&amp;"生成成长"),5))*(VLOOKUP($B$5,标准坦克设计!$B$24:$U$30,MATCH("对"&amp;LEFT($C$5,2)&amp;"输出",标准坦克设计!$B$23:$U$23,0)))*(VLOOKUP($B152,INDIRECT($B$5&amp;"生成成长"),3))*(VLOOKUP($B$5,标准坦克设计!$B$14:$K$20,9)/30))</f>
        <v>5.4000069240740247</v>
      </c>
      <c r="DQ152" s="172">
        <f ca="1">(VLOOKUP(DQ$72,INDIRECT($C$5&amp;"生成成长"),2))/((VLOOKUP($B152,INDIRECT($B$5&amp;"生成成长"),4))/(VLOOKUP(DQ$72,INDIRECT($C$5&amp;"生成成长"),5))*(VLOOKUP($B$5,标准坦克设计!$B$24:$U$30,MATCH("对"&amp;LEFT($C$5,2)&amp;"输出",标准坦克设计!$B$23:$U$23,0)))*(VLOOKUP($B152,INDIRECT($B$5&amp;"生成成长"),3))*(VLOOKUP($B$5,标准坦克设计!$B$14:$K$20,9)/30))</f>
        <v>5.889439471852822</v>
      </c>
      <c r="DR152" s="172">
        <f ca="1">(VLOOKUP(DR$72,INDIRECT($C$5&amp;"生成成长"),2))/((VLOOKUP($B152,INDIRECT($B$5&amp;"生成成长"),4))/(VLOOKUP(DR$72,INDIRECT($C$5&amp;"生成成长"),5))*(VLOOKUP($B$5,标准坦克设计!$B$24:$U$30,MATCH("对"&amp;LEFT($C$5,2)&amp;"输出",标准坦克设计!$B$23:$U$23,0)))*(VLOOKUP($B152,INDIRECT($B$5&amp;"生成成长"),3))*(VLOOKUP($B$5,标准坦克设计!$B$14:$K$20,9)/30))</f>
        <v>6.4001004192943149</v>
      </c>
      <c r="DS152" s="172">
        <f ca="1">(VLOOKUP(DS$72,INDIRECT($C$5&amp;"生成成长"),2))/((VLOOKUP($B152,INDIRECT($B$5&amp;"生成成长"),4))/(VLOOKUP(DS$72,INDIRECT($C$5&amp;"生成成长"),5))*(VLOOKUP($B$5,标准坦克设计!$B$24:$U$30,MATCH("对"&amp;LEFT($C$5,2)&amp;"输出",标准坦克设计!$B$23:$U$23,0)))*(VLOOKUP($B152,INDIRECT($B$5&amp;"生成成长"),3))*(VLOOKUP($B$5,标准坦克设计!$B$14:$K$20,9)/30))</f>
        <v>6.9319897663985035</v>
      </c>
      <c r="DT152" s="172">
        <f ca="1">(VLOOKUP(DT$72,INDIRECT($C$5&amp;"生成成长"),2))/((VLOOKUP($B152,INDIRECT($B$5&amp;"生成成长"),4))/(VLOOKUP(DT$72,INDIRECT($C$5&amp;"生成成长"),5))*(VLOOKUP($B$5,标准坦克设计!$B$24:$U$30,MATCH("对"&amp;LEFT($C$5,2)&amp;"输出",标准坦克设计!$B$23:$U$23,0)))*(VLOOKUP($B152,INDIRECT($B$5&amp;"生成成长"),3))*(VLOOKUP($B$5,标准坦克设计!$B$14:$K$20,9)/30))</f>
        <v>7.610905437092466</v>
      </c>
      <c r="DU152" s="172">
        <f ca="1">(VLOOKUP(DU$72,INDIRECT($C$5&amp;"生成成长"),2))/((VLOOKUP($B152,INDIRECT($B$5&amp;"生成成长"),4))/(VLOOKUP(DU$72,INDIRECT($C$5&amp;"生成成长"),5))*(VLOOKUP($B$5,标准坦克设计!$B$24:$U$30,MATCH("对"&amp;LEFT($C$5,2)&amp;"输出",标准坦克设计!$B$23:$U$23,0)))*(VLOOKUP($B152,INDIRECT($B$5&amp;"生成成长"),3))*(VLOOKUP($B$5,标准坦克设计!$B$14:$K$20,9)/30))</f>
        <v>8.3215326677763812</v>
      </c>
      <c r="DV152" s="172">
        <f ca="1">(VLOOKUP(DV$72,INDIRECT($C$5&amp;"生成成长"),2))/((VLOOKUP($B152,INDIRECT($B$5&amp;"生成成长"),4))/(VLOOKUP(DV$72,INDIRECT($C$5&amp;"生成成长"),5))*(VLOOKUP($B$5,标准坦克设计!$B$24:$U$30,MATCH("对"&amp;LEFT($C$5,2)&amp;"输出",标准坦克设计!$B$23:$U$23,0)))*(VLOOKUP($B152,INDIRECT($B$5&amp;"生成成长"),3))*(VLOOKUP($B$5,标准坦克设计!$B$14:$K$20,9)/30))</f>
        <v>9.0638714584502456</v>
      </c>
      <c r="DW152" s="172">
        <f ca="1">(VLOOKUP(DW$72,INDIRECT($C$5&amp;"生成成长"),2))/((VLOOKUP($B152,INDIRECT($B$5&amp;"生成成长"),4))/(VLOOKUP(DW$72,INDIRECT($C$5&amp;"生成成长"),5))*(VLOOKUP($B$5,标准坦克设计!$B$24:$U$30,MATCH("对"&amp;LEFT($C$5,2)&amp;"输出",标准坦克设计!$B$23:$U$23,0)))*(VLOOKUP($B152,INDIRECT($B$5&amp;"生成成长"),3))*(VLOOKUP($B$5,标准坦克设计!$B$14:$K$20,9)/30))</f>
        <v>9.8379218091140643</v>
      </c>
      <c r="DX152" s="172">
        <f ca="1">(VLOOKUP(DX$72,INDIRECT($C$5&amp;"生成成长"),2))/((VLOOKUP($B152,INDIRECT($B$5&amp;"生成成长"),4))/(VLOOKUP(DX$72,INDIRECT($C$5&amp;"生成成长"),5))*(VLOOKUP($B$5,标准坦克设计!$B$24:$U$30,MATCH("对"&amp;LEFT($C$5,2)&amp;"输出",标准坦克设计!$B$23:$U$23,0)))*(VLOOKUP($B152,INDIRECT($B$5&amp;"生成成长"),3))*(VLOOKUP($B$5,标准坦克设计!$B$14:$K$20,9)/30))</f>
        <v>10.643683719767832</v>
      </c>
      <c r="DY152" s="172">
        <f ca="1">(VLOOKUP(DY$72,INDIRECT($C$5&amp;"生成成长"),2))/((VLOOKUP($B152,INDIRECT($B$5&amp;"生成成长"),4))/(VLOOKUP(DY$72,INDIRECT($C$5&amp;"生成成长"),5))*(VLOOKUP($B$5,标准坦克设计!$B$24:$U$30,MATCH("对"&amp;LEFT($C$5,2)&amp;"输出",标准坦克设计!$B$23:$U$23,0)))*(VLOOKUP($B152,INDIRECT($B$5&amp;"生成成长"),3))*(VLOOKUP($B$5,标准坦克设计!$B$14:$K$20,9)/30))</f>
        <v>4.7804521487331524</v>
      </c>
      <c r="DZ152" s="172">
        <f ca="1">(VLOOKUP(DZ$72,INDIRECT($C$5&amp;"生成成长"),2))/((VLOOKUP($B152,INDIRECT($B$5&amp;"生成成长"),4))/(VLOOKUP(DZ$72,INDIRECT($C$5&amp;"生成成长"),5))*(VLOOKUP($B$5,标准坦克设计!$B$24:$U$30,MATCH("对"&amp;LEFT($C$5,2)&amp;"输出",标准坦克设计!$B$23:$U$23,0)))*(VLOOKUP($B152,INDIRECT($B$5&amp;"生成成长"),3))*(VLOOKUP($B$5,标准坦克设计!$B$14:$K$20,9)/30))</f>
        <v>5.2941270047687317</v>
      </c>
      <c r="EA152" s="172">
        <f ca="1">(VLOOKUP(EA$72,INDIRECT($C$5&amp;"生成成长"),2))/((VLOOKUP($B152,INDIRECT($B$5&amp;"生成成长"),4))/(VLOOKUP(EA$72,INDIRECT($C$5&amp;"生成成长"),5))*(VLOOKUP($B$5,标准坦克设计!$B$24:$U$30,MATCH("对"&amp;LEFT($C$5,2)&amp;"输出",标准坦克设计!$B$23:$U$23,0)))*(VLOOKUP($B152,INDIRECT($B$5&amp;"生成成长"),3))*(VLOOKUP($B$5,标准坦克设计!$B$14:$K$20,9)/30))</f>
        <v>5.8340097616224522</v>
      </c>
      <c r="EB152" s="172">
        <f ca="1">(VLOOKUP(EB$72,INDIRECT($C$5&amp;"生成成长"),2))/((VLOOKUP($B152,INDIRECT($B$5&amp;"生成成长"),4))/(VLOOKUP(EB$72,INDIRECT($C$5&amp;"生成成长"),5))*(VLOOKUP($B$5,标准坦克设计!$B$24:$U$30,MATCH("对"&amp;LEFT($C$5,2)&amp;"输出",标准坦克设计!$B$23:$U$23,0)))*(VLOOKUP($B152,INDIRECT($B$5&amp;"生成成长"),3))*(VLOOKUP($B$5,标准坦克设计!$B$14:$K$20,9)/30))</f>
        <v>6.4001004192943149</v>
      </c>
      <c r="EC152" s="172">
        <f ca="1">(VLOOKUP(EC$72,INDIRECT($C$5&amp;"生成成长"),2))/((VLOOKUP($B152,INDIRECT($B$5&amp;"生成成长"),4))/(VLOOKUP(EC$72,INDIRECT($C$5&amp;"生成成长"),5))*(VLOOKUP($B$5,标准坦克设计!$B$24:$U$30,MATCH("对"&amp;LEFT($C$5,2)&amp;"输出",标准坦克设计!$B$23:$U$23,0)))*(VLOOKUP($B152,INDIRECT($B$5&amp;"生成成长"),3))*(VLOOKUP($B$5,标准坦克设计!$B$14:$K$20,9)/30))</f>
        <v>6.9923989777843198</v>
      </c>
      <c r="ED152" s="172">
        <f ca="1">(VLOOKUP(ED$72,INDIRECT($C$5&amp;"生成成长"),2))/((VLOOKUP($B152,INDIRECT($B$5&amp;"生成成长"),4))/(VLOOKUP(ED$72,INDIRECT($C$5&amp;"生成成长"),5))*(VLOOKUP($B$5,标准坦克设计!$B$24:$U$30,MATCH("对"&amp;LEFT($C$5,2)&amp;"输出",标准坦克设计!$B$23:$U$23,0)))*(VLOOKUP($B152,INDIRECT($B$5&amp;"生成成长"),3))*(VLOOKUP($B$5,标准坦克设计!$B$14:$K$20,9)/30))</f>
        <v>7.610905437092466</v>
      </c>
      <c r="EE152" s="172">
        <f ca="1">(VLOOKUP(EE$72,INDIRECT($C$5&amp;"生成成长"),2))/((VLOOKUP($B152,INDIRECT($B$5&amp;"生成成长"),4))/(VLOOKUP(EE$72,INDIRECT($C$5&amp;"生成成长"),5))*(VLOOKUP($B$5,标准坦克设计!$B$24:$U$30,MATCH("对"&amp;LEFT($C$5,2)&amp;"输出",标准坦克设计!$B$23:$U$23,0)))*(VLOOKUP($B152,INDIRECT($B$5&amp;"生成成长"),3))*(VLOOKUP($B$5,标准坦克设计!$B$14:$K$20,9)/30))</f>
        <v>8.2556197972187544</v>
      </c>
      <c r="EF152" s="172">
        <f ca="1">(VLOOKUP(EF$72,INDIRECT($C$5&amp;"生成成长"),2))/((VLOOKUP($B152,INDIRECT($B$5&amp;"生成成长"),4))/(VLOOKUP(EF$72,INDIRECT($C$5&amp;"生成成长"),5))*(VLOOKUP($B$5,标准坦克设计!$B$24:$U$30,MATCH("对"&amp;LEFT($C$5,2)&amp;"输出",标准坦克设计!$B$23:$U$23,0)))*(VLOOKUP($B152,INDIRECT($B$5&amp;"生成成长"),3))*(VLOOKUP($B$5,标准坦克设计!$B$14:$K$20,9)/30))</f>
        <v>8.926542058163184</v>
      </c>
      <c r="EG152" s="172">
        <f ca="1">(VLOOKUP(EG$72,INDIRECT($C$5&amp;"生成成长"),2))/((VLOOKUP($B152,INDIRECT($B$5&amp;"生成成长"),4))/(VLOOKUP(EG$72,INDIRECT($C$5&amp;"生成成长"),5))*(VLOOKUP($B$5,标准坦克设计!$B$24:$U$30,MATCH("对"&amp;LEFT($C$5,2)&amp;"输出",标准坦克设计!$B$23:$U$23,0)))*(VLOOKUP($B152,INDIRECT($B$5&amp;"生成成长"),3))*(VLOOKUP($B$5,标准坦克设计!$B$14:$K$20,9)/30))</f>
        <v>9.6236722199257549</v>
      </c>
      <c r="EH152" s="172">
        <f ca="1">(VLOOKUP(EH$72,INDIRECT($C$5&amp;"生成成长"),2))/((VLOOKUP($B152,INDIRECT($B$5&amp;"生成成长"),4))/(VLOOKUP(EH$72,INDIRECT($C$5&amp;"生成成长"),5))*(VLOOKUP($B$5,标准坦克设计!$B$24:$U$30,MATCH("对"&amp;LEFT($C$5,2)&amp;"输出",标准坦克设计!$B$23:$U$23,0)))*(VLOOKUP($B152,INDIRECT($B$5&amp;"生成成长"),3))*(VLOOKUP($B$5,标准坦克设计!$B$14:$K$20,9)/30))</f>
        <v>10.347010282506469</v>
      </c>
      <c r="EI152" s="172">
        <f ca="1">(VLOOKUP(EI$72,INDIRECT($C$5&amp;"生成成长"),2))/((VLOOKUP($B152,INDIRECT($B$5&amp;"生成成长"),4))/(VLOOKUP(EI$72,INDIRECT($C$5&amp;"生成成长"),5))*(VLOOKUP($B$5,标准坦克设计!$B$24:$U$30,MATCH("对"&amp;LEFT($C$5,2)&amp;"输出",标准坦克设计!$B$23:$U$23,0)))*(VLOOKUP($B152,INDIRECT($B$5&amp;"生成成长"),3))*(VLOOKUP($B$5,标准坦克设计!$B$14:$K$20,9)/30))</f>
        <v>11.096556245905326</v>
      </c>
      <c r="EJ152" s="172">
        <f ca="1">(VLOOKUP(EJ$72,INDIRECT($C$5&amp;"生成成长"),2))/((VLOOKUP($B152,INDIRECT($B$5&amp;"生成成长"),4))/(VLOOKUP(EJ$72,INDIRECT($C$5&amp;"生成成长"),5))*(VLOOKUP($B$5,标准坦克设计!$B$24:$U$30,MATCH("对"&amp;LEFT($C$5,2)&amp;"输出",标准坦克设计!$B$23:$U$23,0)))*(VLOOKUP($B152,INDIRECT($B$5&amp;"生成成长"),3))*(VLOOKUP($B$5,标准坦克设计!$B$14:$K$20,9)/30))</f>
        <v>11.872310110122319</v>
      </c>
      <c r="EK152" s="172">
        <f ca="1">(VLOOKUP(EK$72,INDIRECT($C$5&amp;"生成成长"),2))/((VLOOKUP($B152,INDIRECT($B$5&amp;"生成成长"),4))/(VLOOKUP(EK$72,INDIRECT($C$5&amp;"生成成长"),5))*(VLOOKUP($B$5,标准坦克设计!$B$24:$U$30,MATCH("对"&amp;LEFT($C$5,2)&amp;"输出",标准坦克设计!$B$23:$U$23,0)))*(VLOOKUP($B152,INDIRECT($B$5&amp;"生成成长"),3))*(VLOOKUP($B$5,标准坦克设计!$B$14:$K$20,9)/30))</f>
        <v>12.837809176262665</v>
      </c>
      <c r="EL152" s="172">
        <f ca="1">(VLOOKUP(EL$72,INDIRECT($C$5&amp;"生成成长"),2))/((VLOOKUP($B152,INDIRECT($B$5&amp;"生成成长"),4))/(VLOOKUP(EL$72,INDIRECT($C$5&amp;"生成成长"),5))*(VLOOKUP($B$5,标准坦克设计!$B$24:$U$30,MATCH("对"&amp;LEFT($C$5,2)&amp;"输出",标准坦克设计!$B$23:$U$23,0)))*(VLOOKUP($B152,INDIRECT($B$5&amp;"生成成长"),3))*(VLOOKUP($B$5,标准坦克设计!$B$14:$K$20,9)/30))</f>
        <v>13.841047619581131</v>
      </c>
      <c r="EM152" s="172">
        <f ca="1">(VLOOKUP(EM$72,INDIRECT($C$5&amp;"生成成长"),2))/((VLOOKUP($B152,INDIRECT($B$5&amp;"生成成长"),4))/(VLOOKUP(EM$72,INDIRECT($C$5&amp;"生成成长"),5))*(VLOOKUP($B$5,标准坦克设计!$B$24:$U$30,MATCH("对"&amp;LEFT($C$5,2)&amp;"输出",标准坦克设计!$B$23:$U$23,0)))*(VLOOKUP($B152,INDIRECT($B$5&amp;"生成成长"),3))*(VLOOKUP($B$5,标准坦克设计!$B$14:$K$20,9)/30))</f>
        <v>14.882025440077722</v>
      </c>
      <c r="EN152" s="172">
        <f ca="1">(VLOOKUP(EN$72,INDIRECT($C$5&amp;"生成成长"),2))/((VLOOKUP($B152,INDIRECT($B$5&amp;"生成成长"),4))/(VLOOKUP(EN$72,INDIRECT($C$5&amp;"生成成长"),5))*(VLOOKUP($B$5,标准坦克设计!$B$24:$U$30,MATCH("对"&amp;LEFT($C$5,2)&amp;"输出",标准坦克设计!$B$23:$U$23,0)))*(VLOOKUP($B152,INDIRECT($B$5&amp;"生成成长"),3))*(VLOOKUP($B$5,标准坦克设计!$B$14:$K$20,9)/30))</f>
        <v>15.960742637752439</v>
      </c>
      <c r="EO152" s="172">
        <f ca="1">(VLOOKUP(EO$72,INDIRECT($C$5&amp;"生成成长"),2))/((VLOOKUP($B152,INDIRECT($B$5&amp;"生成成长"),4))/(VLOOKUP(EO$72,INDIRECT($C$5&amp;"生成成长"),5))*(VLOOKUP($B$5,标准坦克设计!$B$24:$U$30,MATCH("对"&amp;LEFT($C$5,2)&amp;"输出",标准坦克设计!$B$23:$U$23,0)))*(VLOOKUP($B152,INDIRECT($B$5&amp;"生成成长"),3))*(VLOOKUP($B$5,标准坦克设计!$B$14:$K$20,9)/30))</f>
        <v>17.077199212605279</v>
      </c>
      <c r="EP152" s="172">
        <f ca="1">(VLOOKUP(EP$72,INDIRECT($C$5&amp;"生成成长"),2))/((VLOOKUP($B152,INDIRECT($B$5&amp;"生成成长"),4))/(VLOOKUP(EP$72,INDIRECT($C$5&amp;"生成成长"),5))*(VLOOKUP($B$5,标准坦克设计!$B$24:$U$30,MATCH("对"&amp;LEFT($C$5,2)&amp;"输出",标准坦克设计!$B$23:$U$23,0)))*(VLOOKUP($B152,INDIRECT($B$5&amp;"生成成长"),3))*(VLOOKUP($B$5,标准坦克设计!$B$14:$K$20,9)/30))</f>
        <v>18.231395164636243</v>
      </c>
      <c r="EQ152" s="172">
        <f ca="1">(VLOOKUP(EQ$72,INDIRECT($C$5&amp;"生成成长"),2))/((VLOOKUP($B152,INDIRECT($B$5&amp;"生成成长"),4))/(VLOOKUP(EQ$72,INDIRECT($C$5&amp;"生成成长"),5))*(VLOOKUP($B$5,标准坦克设计!$B$24:$U$30,MATCH("对"&amp;LEFT($C$5,2)&amp;"输出",标准坦克设计!$B$23:$U$23,0)))*(VLOOKUP($B152,INDIRECT($B$5&amp;"生成成长"),3))*(VLOOKUP($B$5,标准坦克设计!$B$14:$K$20,9)/30))</f>
        <v>8.0594536595949613</v>
      </c>
      <c r="ER152" s="172">
        <f ca="1">(VLOOKUP(ER$72,INDIRECT($C$5&amp;"生成成长"),2))/((VLOOKUP($B152,INDIRECT($B$5&amp;"生成成长"),4))/(VLOOKUP(ER$72,INDIRECT($C$5&amp;"生成成长"),5))*(VLOOKUP($B$5,标准坦克设计!$B$24:$U$30,MATCH("对"&amp;LEFT($C$5,2)&amp;"输出",标准坦克设计!$B$23:$U$23,0)))*(VLOOKUP($B152,INDIRECT($B$5&amp;"生成成长"),3))*(VLOOKUP($B$5,标准坦克设计!$B$14:$K$20,9)/30))</f>
        <v>8.7902609739088469</v>
      </c>
      <c r="ES152" s="172">
        <f ca="1">(VLOOKUP(ES$72,INDIRECT($C$5&amp;"生成成长"),2))/((VLOOKUP($B152,INDIRECT($B$5&amp;"生成成长"),4))/(VLOOKUP(ES$72,INDIRECT($C$5&amp;"生成成长"),5))*(VLOOKUP($B$5,标准坦克设计!$B$24:$U$30,MATCH("对"&amp;LEFT($C$5,2)&amp;"输出",标准坦克设计!$B$23:$U$23,0)))*(VLOOKUP($B152,INDIRECT($B$5&amp;"生成成长"),3))*(VLOOKUP($B$5,标准坦克设计!$B$14:$K$20,9)/30))</f>
        <v>9.5527798482126816</v>
      </c>
      <c r="ET152" s="172">
        <f ca="1">(VLOOKUP(ET$72,INDIRECT($C$5&amp;"生成成长"),2))/((VLOOKUP($B152,INDIRECT($B$5&amp;"生成成长"),4))/(VLOOKUP(ET$72,INDIRECT($C$5&amp;"生成成长"),5))*(VLOOKUP($B$5,标准坦克设计!$B$24:$U$30,MATCH("对"&amp;LEFT($C$5,2)&amp;"输出",标准坦克设计!$B$23:$U$23,0)))*(VLOOKUP($B152,INDIRECT($B$5&amp;"生成成长"),3))*(VLOOKUP($B$5,标准坦克设计!$B$14:$K$20,9)/30))</f>
        <v>10.347010282506469</v>
      </c>
      <c r="EU152" s="172">
        <f ca="1">(VLOOKUP(EU$72,INDIRECT($C$5&amp;"生成成长"),2))/((VLOOKUP($B152,INDIRECT($B$5&amp;"生成成长"),4))/(VLOOKUP(EU$72,INDIRECT($C$5&amp;"生成成长"),5))*(VLOOKUP($B$5,标准坦克设计!$B$24:$U$30,MATCH("对"&amp;LEFT($C$5,2)&amp;"输出",标准坦克设计!$B$23:$U$23,0)))*(VLOOKUP($B152,INDIRECT($B$5&amp;"生成成长"),3))*(VLOOKUP($B$5,标准坦克设计!$B$14:$K$20,9)/30))</f>
        <v>11.172952276790205</v>
      </c>
      <c r="EV152" s="172">
        <f ca="1">(VLOOKUP(EV$72,INDIRECT($C$5&amp;"生成成长"),2))/((VLOOKUP($B152,INDIRECT($B$5&amp;"生成成长"),4))/(VLOOKUP(EV$72,INDIRECT($C$5&amp;"生成成长"),5))*(VLOOKUP($B$5,标准坦克设计!$B$24:$U$30,MATCH("对"&amp;LEFT($C$5,2)&amp;"输出",标准坦克设计!$B$23:$U$23,0)))*(VLOOKUP($B152,INDIRECT($B$5&amp;"生成成长"),3))*(VLOOKUP($B$5,标准坦克设计!$B$14:$K$20,9)/30))</f>
        <v>12.030605831063895</v>
      </c>
      <c r="EW152" s="172">
        <f ca="1">(VLOOKUP(EW$72,INDIRECT($C$5&amp;"生成成长"),2))/((VLOOKUP($B152,INDIRECT($B$5&amp;"生成成长"),4))/(VLOOKUP(EW$72,INDIRECT($C$5&amp;"生成成长"),5))*(VLOOKUP($B$5,标准坦克设计!$B$24:$U$30,MATCH("对"&amp;LEFT($C$5,2)&amp;"输出",标准坦克设计!$B$23:$U$23,0)))*(VLOOKUP($B152,INDIRECT($B$5&amp;"生成成长"),3))*(VLOOKUP($B$5,标准坦克设计!$B$14:$K$20,9)/30))</f>
        <v>12.919970945327536</v>
      </c>
      <c r="EX152" s="172">
        <f ca="1">(VLOOKUP(EX$72,INDIRECT($C$5&amp;"生成成长"),2))/((VLOOKUP($B152,INDIRECT($B$5&amp;"生成成长"),4))/(VLOOKUP(EX$72,INDIRECT($C$5&amp;"生成成长"),5))*(VLOOKUP($B$5,标准坦克设计!$B$24:$U$30,MATCH("对"&amp;LEFT($C$5,2)&amp;"输出",标准坦克设计!$B$23:$U$23,0)))*(VLOOKUP($B152,INDIRECT($B$5&amp;"生成成长"),3))*(VLOOKUP($B$5,标准坦克设计!$B$14:$K$20,9)/30))</f>
        <v>13.841047619581131</v>
      </c>
      <c r="EY152" s="172">
        <f ca="1">(VLOOKUP(EY$72,INDIRECT($C$5&amp;"生成成长"),2))/((VLOOKUP($B152,INDIRECT($B$5&amp;"生成成长"),4))/(VLOOKUP(EY$72,INDIRECT($C$5&amp;"生成成长"),5))*(VLOOKUP($B$5,标准坦克设计!$B$24:$U$30,MATCH("对"&amp;LEFT($C$5,2)&amp;"输出",标准坦克设计!$B$23:$U$23,0)))*(VLOOKUP($B152,INDIRECT($B$5&amp;"生成成长"),3))*(VLOOKUP($B$5,标准坦克设计!$B$14:$K$20,9)/30))</f>
        <v>14.793835853824676</v>
      </c>
      <c r="EZ152" s="172">
        <f ca="1">(VLOOKUP(EZ$72,INDIRECT($C$5&amp;"生成成长"),2))/((VLOOKUP($B152,INDIRECT($B$5&amp;"生成成长"),4))/(VLOOKUP(EZ$72,INDIRECT($C$5&amp;"生成成长"),5))*(VLOOKUP($B$5,标准坦克设计!$B$24:$U$30,MATCH("对"&amp;LEFT($C$5,2)&amp;"输出",标准坦克设计!$B$23:$U$23,0)))*(VLOOKUP($B152,INDIRECT($B$5&amp;"生成成长"),3))*(VLOOKUP($B$5,标准坦克设计!$B$14:$K$20,9)/30))</f>
        <v>15.778335648058171</v>
      </c>
      <c r="FA152" s="172">
        <f ca="1">(VLOOKUP(FA$72,INDIRECT($C$5&amp;"生成成长"),2))/((VLOOKUP($B152,INDIRECT($B$5&amp;"生成成长"),4))/(VLOOKUP(FA$72,INDIRECT($C$5&amp;"生成成长"),5))*(VLOOKUP($B$5,标准坦克设计!$B$24:$U$30,MATCH("对"&amp;LEFT($C$5,2)&amp;"输出",标准坦克设计!$B$23:$U$23,0)))*(VLOOKUP($B152,INDIRECT($B$5&amp;"生成成长"),3))*(VLOOKUP($B$5,标准坦克设计!$B$14:$K$20,9)/30))</f>
        <v>16.794547002281618</v>
      </c>
      <c r="FB152" s="172">
        <f ca="1">(VLOOKUP(FB$72,INDIRECT($C$5&amp;"生成成长"),2))/((VLOOKUP($B152,INDIRECT($B$5&amp;"生成成长"),4))/(VLOOKUP(FB$72,INDIRECT($C$5&amp;"生成成长"),5))*(VLOOKUP($B$5,标准坦克设计!$B$24:$U$30,MATCH("对"&amp;LEFT($C$5,2)&amp;"输出",标准坦克设计!$B$23:$U$23,0)))*(VLOOKUP($B152,INDIRECT($B$5&amp;"生成成长"),3))*(VLOOKUP($B$5,标准坦克设计!$B$14:$K$20,9)/30))</f>
        <v>17.84246991649502</v>
      </c>
      <c r="FC152" s="172">
        <f ca="1">(VLOOKUP(FC$72,INDIRECT($C$5&amp;"生成成长"),2))/((VLOOKUP($B152,INDIRECT($B$5&amp;"生成成长"),4))/(VLOOKUP(FC$72,INDIRECT($C$5&amp;"生成成长"),5))*(VLOOKUP($B$5,标准坦克设计!$B$24:$U$30,MATCH("对"&amp;LEFT($C$5,2)&amp;"输出",标准坦克设计!$B$23:$U$23,0)))*(VLOOKUP($B152,INDIRECT($B$5&amp;"生成成长"),3))*(VLOOKUP($B$5,标准坦克设计!$B$14:$K$20,9)/30))</f>
        <v>18.922104390698369</v>
      </c>
      <c r="FD152" s="172">
        <f ca="1">(VLOOKUP(FD$72,INDIRECT($C$5&amp;"生成成长"),2))/((VLOOKUP($B152,INDIRECT($B$5&amp;"生成成长"),4))/(VLOOKUP(FD$72,INDIRECT($C$5&amp;"生成成长"),5))*(VLOOKUP($B$5,标准坦克设计!$B$24:$U$30,MATCH("对"&amp;LEFT($C$5,2)&amp;"输出",标准坦克设计!$B$23:$U$23,0)))*(VLOOKUP($B152,INDIRECT($B$5&amp;"生成成长"),3))*(VLOOKUP($B$5,标准坦克设计!$B$14:$K$20,9)/30))</f>
        <v>20.033450424891672</v>
      </c>
      <c r="FE152" s="172">
        <f ca="1">(VLOOKUP(FE$72,INDIRECT($C$5&amp;"生成成长"),2))/((VLOOKUP($B152,INDIRECT($B$5&amp;"生成成长"),4))/(VLOOKUP(FE$72,INDIRECT($C$5&amp;"生成成长"),5))*(VLOOKUP($B$5,标准坦克设计!$B$24:$U$30,MATCH("对"&amp;LEFT($C$5,2)&amp;"输出",标准坦克设计!$B$23:$U$23,0)))*(VLOOKUP($B152,INDIRECT($B$5&amp;"生成成长"),3))*(VLOOKUP($B$5,标准坦克设计!$B$14:$K$20,9)/30))</f>
        <v>21.387743699669148</v>
      </c>
      <c r="FF152" s="172">
        <f ca="1">(VLOOKUP(FF$72,INDIRECT($C$5&amp;"生成成长"),2))/((VLOOKUP($B152,INDIRECT($B$5&amp;"生成成长"),4))/(VLOOKUP(FF$72,INDIRECT($C$5&amp;"生成成长"),5))*(VLOOKUP($B$5,标准坦克设计!$B$24:$U$30,MATCH("对"&amp;LEFT($C$5,2)&amp;"输出",标准坦克设计!$B$23:$U$23,0)))*(VLOOKUP($B152,INDIRECT($B$5&amp;"生成成长"),3))*(VLOOKUP($B$5,标准坦克设计!$B$14:$K$20,9)/30))</f>
        <v>22.786328326829285</v>
      </c>
      <c r="FG152" s="172">
        <f ca="1">(VLOOKUP(FG$72,INDIRECT($C$5&amp;"生成成长"),2))/((VLOOKUP($B152,INDIRECT($B$5&amp;"生成成长"),4))/(VLOOKUP(FG$72,INDIRECT($C$5&amp;"生成成长"),5))*(VLOOKUP($B$5,标准坦克设计!$B$24:$U$30,MATCH("对"&amp;LEFT($C$5,2)&amp;"输出",标准坦克设计!$B$23:$U$23,0)))*(VLOOKUP($B152,INDIRECT($B$5&amp;"生成成长"),3))*(VLOOKUP($B$5,标准坦克设计!$B$14:$K$20,9)/30))</f>
        <v>24.229204306372079</v>
      </c>
      <c r="FH152" s="172">
        <f ca="1">(VLOOKUP(FH$72,INDIRECT($C$5&amp;"生成成长"),2))/((VLOOKUP($B152,INDIRECT($B$5&amp;"生成成长"),4))/(VLOOKUP(FH$72,INDIRECT($C$5&amp;"生成成长"),5))*(VLOOKUP($B$5,标准坦克设计!$B$24:$U$30,MATCH("对"&amp;LEFT($C$5,2)&amp;"输出",标准坦克设计!$B$23:$U$23,0)))*(VLOOKUP($B152,INDIRECT($B$5&amp;"生成成长"),3))*(VLOOKUP($B$5,标准坦克设计!$B$14:$K$20,9)/30))</f>
        <v>25.716371638297538</v>
      </c>
      <c r="FI152" s="172">
        <f ca="1">(VLOOKUP(FI$72,INDIRECT($C$5&amp;"生成成长"),2))/((VLOOKUP($B152,INDIRECT($B$5&amp;"生成成长"),4))/(VLOOKUP(FI$72,INDIRECT($C$5&amp;"生成成长"),5))*(VLOOKUP($B$5,标准坦克设计!$B$24:$U$30,MATCH("对"&amp;LEFT($C$5,2)&amp;"输出",标准坦克设计!$B$23:$U$23,0)))*(VLOOKUP($B152,INDIRECT($B$5&amp;"生成成长"),3))*(VLOOKUP($B$5,标准坦克设计!$B$14:$K$20,9)/30))</f>
        <v>27.247830322605655</v>
      </c>
      <c r="FJ152" s="172">
        <f ca="1">(VLOOKUP(FJ$72,INDIRECT($C$5&amp;"生成成长"),2))/((VLOOKUP($B152,INDIRECT($B$5&amp;"生成成长"),4))/(VLOOKUP(FJ$72,INDIRECT($C$5&amp;"生成成长"),5))*(VLOOKUP($B$5,标准坦克设计!$B$24:$U$30,MATCH("对"&amp;LEFT($C$5,2)&amp;"输出",标准坦克设计!$B$23:$U$23,0)))*(VLOOKUP($B152,INDIRECT($B$5&amp;"生成成长"),3))*(VLOOKUP($B$5,标准坦克设计!$B$14:$K$20,9)/30))</f>
        <v>28.823580359296425</v>
      </c>
      <c r="FK152" s="172">
        <f ca="1">(VLOOKUP(FK$72,INDIRECT($C$5&amp;"生成成长"),2))/((VLOOKUP($B152,INDIRECT($B$5&amp;"生成成长"),4))/(VLOOKUP(FK$72,INDIRECT($C$5&amp;"生成成长"),5))*(VLOOKUP($B$5,标准坦克设计!$B$24:$U$30,MATCH("对"&amp;LEFT($C$5,2)&amp;"输出",标准坦克设计!$B$23:$U$23,0)))*(VLOOKUP($B152,INDIRECT($B$5&amp;"生成成长"),3))*(VLOOKUP($B$5,标准坦克设计!$B$14:$K$20,9)/30))</f>
        <v>30.443621748369864</v>
      </c>
    </row>
    <row r="153" spans="1:167" x14ac:dyDescent="0.15">
      <c r="A153" s="170" t="str">
        <f t="shared" si="12"/>
        <v>T4中品质9级</v>
      </c>
      <c r="B153" s="171">
        <v>20409</v>
      </c>
      <c r="C153" s="172">
        <f ca="1">(VLOOKUP(C$72,INDIRECT($C$5&amp;"生成成长"),2))/((VLOOKUP($B153,INDIRECT($B$5&amp;"生成成长"),4))/(VLOOKUP(C$72,INDIRECT($C$5&amp;"生成成长"),5))*(VLOOKUP($B$5,标准坦克设计!$B$24:$U$30,MATCH("对"&amp;LEFT($C$5,2)&amp;"输出",标准坦克设计!$B$23:$U$23,0)))*(VLOOKUP($B153,INDIRECT($B$5&amp;"生成成长"),3))*(VLOOKUP($B$5,标准坦克设计!$B$14:$K$20,9)/30))</f>
        <v>1.2178228999570473</v>
      </c>
      <c r="D153" s="172">
        <f ca="1">(VLOOKUP(D$72,INDIRECT($C$5&amp;"生成成长"),2))/((VLOOKUP($B153,INDIRECT($B$5&amp;"生成成长"),4))/(VLOOKUP(D$72,INDIRECT($C$5&amp;"生成成长"),5))*(VLOOKUP($B$5,标准坦克设计!$B$24:$U$30,MATCH("对"&amp;LEFT($C$5,2)&amp;"输出",标准坦克设计!$B$23:$U$23,0)))*(VLOOKUP($B153,INDIRECT($B$5&amp;"生成成长"),3))*(VLOOKUP($B$5,标准坦克设计!$B$14:$K$20,9)/30))</f>
        <v>1.3683458103917381</v>
      </c>
      <c r="E153" s="172">
        <f ca="1">(VLOOKUP(E$72,INDIRECT($C$5&amp;"生成成长"),2))/((VLOOKUP($B153,INDIRECT($B$5&amp;"生成成长"),4))/(VLOOKUP(E$72,INDIRECT($C$5&amp;"生成成长"),5))*(VLOOKUP($B$5,标准坦克设计!$B$24:$U$30,MATCH("对"&amp;LEFT($C$5,2)&amp;"输出",标准坦克设计!$B$23:$U$23,0)))*(VLOOKUP($B153,INDIRECT($B$5&amp;"生成成长"),3))*(VLOOKUP($B$5,标准坦克设计!$B$14:$K$20,9)/30))</f>
        <v>1.5276370457061197</v>
      </c>
      <c r="F153" s="172">
        <f ca="1">(VLOOKUP(F$72,INDIRECT($C$5&amp;"生成成长"),2))/((VLOOKUP($B153,INDIRECT($B$5&amp;"生成成长"),4))/(VLOOKUP(F$72,INDIRECT($C$5&amp;"生成成长"),5))*(VLOOKUP($B$5,标准坦克设计!$B$24:$U$30,MATCH("对"&amp;LEFT($C$5,2)&amp;"输出",标准坦克设计!$B$23:$U$23,0)))*(VLOOKUP($B153,INDIRECT($B$5&amp;"生成成长"),3))*(VLOOKUP($B$5,标准坦克设计!$B$14:$K$20,9)/30))</f>
        <v>1.6956966059001921</v>
      </c>
      <c r="G153" s="172">
        <f ca="1">(VLOOKUP(G$72,INDIRECT($C$5&amp;"生成成长"),2))/((VLOOKUP($B153,INDIRECT($B$5&amp;"生成成长"),4))/(VLOOKUP(G$72,INDIRECT($C$5&amp;"生成成长"),5))*(VLOOKUP($B$5,标准坦克设计!$B$24:$U$30,MATCH("对"&amp;LEFT($C$5,2)&amp;"输出",标准坦克设计!$B$23:$U$23,0)))*(VLOOKUP($B153,INDIRECT($B$5&amp;"生成成长"),3))*(VLOOKUP($B$5,标准坦克设计!$B$14:$K$20,9)/30))</f>
        <v>1.8725244909739556</v>
      </c>
      <c r="H153" s="172">
        <f ca="1">(VLOOKUP(H$72,INDIRECT($C$5&amp;"生成成长"),2))/((VLOOKUP($B153,INDIRECT($B$5&amp;"生成成长"),4))/(VLOOKUP(H$72,INDIRECT($C$5&amp;"生成成长"),5))*(VLOOKUP($B$5,标准坦克设计!$B$24:$U$30,MATCH("对"&amp;LEFT($C$5,2)&amp;"输出",标准坦克设计!$B$23:$U$23,0)))*(VLOOKUP($B153,INDIRECT($B$5&amp;"生成成长"),3))*(VLOOKUP($B$5,标准坦克设计!$B$14:$K$20,9)/30))</f>
        <v>1.6387024941822022</v>
      </c>
      <c r="I153" s="172">
        <f ca="1">(VLOOKUP(I$72,INDIRECT($C$5&amp;"生成成长"),2))/((VLOOKUP($B153,INDIRECT($B$5&amp;"生成成长"),4))/(VLOOKUP(I$72,INDIRECT($C$5&amp;"生成成长"),5))*(VLOOKUP($B$5,标准坦克设计!$B$24:$U$30,MATCH("对"&amp;LEFT($C$5,2)&amp;"输出",标准坦克设计!$B$23:$U$23,0)))*(VLOOKUP($B153,INDIRECT($B$5&amp;"生成成长"),3))*(VLOOKUP($B$5,标准坦克设计!$B$14:$K$20,9)/30))</f>
        <v>1.8725244909739556</v>
      </c>
      <c r="J153" s="172">
        <f ca="1">(VLOOKUP(J$72,INDIRECT($C$5&amp;"生成成长"),2))/((VLOOKUP($B153,INDIRECT($B$5&amp;"生成成长"),4))/(VLOOKUP(J$72,INDIRECT($C$5&amp;"生成成长"),5))*(VLOOKUP($B$5,标准坦克设计!$B$24:$U$30,MATCH("对"&amp;LEFT($C$5,2)&amp;"输出",标准坦克设计!$B$23:$U$23,0)))*(VLOOKUP($B153,INDIRECT($B$5&amp;"生成成长"),3))*(VLOOKUP($B$5,标准坦克设计!$B$14:$K$20,9)/30))</f>
        <v>2.1219346208851588</v>
      </c>
      <c r="K153" s="172">
        <f ca="1">(VLOOKUP(K$72,INDIRECT($C$5&amp;"生成成长"),2))/((VLOOKUP($B153,INDIRECT($B$5&amp;"生成成长"),4))/(VLOOKUP(K$72,INDIRECT($C$5&amp;"生成成长"),5))*(VLOOKUP($B$5,标准坦克设计!$B$24:$U$30,MATCH("对"&amp;LEFT($C$5,2)&amp;"输出",标准坦克设计!$B$23:$U$23,0)))*(VLOOKUP($B153,INDIRECT($B$5&amp;"生成成长"),3))*(VLOOKUP($B$5,标准坦克设计!$B$14:$K$20,9)/30))</f>
        <v>2.3869328839158124</v>
      </c>
      <c r="L153" s="172">
        <f ca="1">(VLOOKUP(L$72,INDIRECT($C$5&amp;"生成成长"),2))/((VLOOKUP($B153,INDIRECT($B$5&amp;"生成成长"),4))/(VLOOKUP(L$72,INDIRECT($C$5&amp;"生成成长"),5))*(VLOOKUP($B$5,标准坦克设计!$B$24:$U$30,MATCH("对"&amp;LEFT($C$5,2)&amp;"输出",标准坦克设计!$B$23:$U$23,0)))*(VLOOKUP($B153,INDIRECT($B$5&amp;"生成成长"),3))*(VLOOKUP($B$5,标准坦克设计!$B$14:$K$20,9)/30))</f>
        <v>2.6675192800659162</v>
      </c>
      <c r="M153" s="172">
        <f ca="1">(VLOOKUP(M$72,INDIRECT($C$5&amp;"生成成长"),2))/((VLOOKUP($B153,INDIRECT($B$5&amp;"生成成长"),4))/(VLOOKUP(M$72,INDIRECT($C$5&amp;"生成成长"),5))*(VLOOKUP($B$5,标准坦克设计!$B$24:$U$30,MATCH("对"&amp;LEFT($C$5,2)&amp;"输出",标准坦克设计!$B$23:$U$23,0)))*(VLOOKUP($B153,INDIRECT($B$5&amp;"生成成长"),3))*(VLOOKUP($B$5,标准坦克设计!$B$14:$K$20,9)/30))</f>
        <v>2.9636938093354699</v>
      </c>
      <c r="N153" s="172">
        <f ca="1">(VLOOKUP(N$72,INDIRECT($C$5&amp;"生成成长"),2))/((VLOOKUP($B153,INDIRECT($B$5&amp;"生成成长"),4))/(VLOOKUP(N$72,INDIRECT($C$5&amp;"生成成长"),5))*(VLOOKUP($B$5,标准坦克设计!$B$24:$U$30,MATCH("对"&amp;LEFT($C$5,2)&amp;"输出",标准坦克设计!$B$23:$U$23,0)))*(VLOOKUP($B153,INDIRECT($B$5&amp;"生成成长"),3))*(VLOOKUP($B$5,标准坦克设计!$B$14:$K$20,9)/30))</f>
        <v>3.2754564717244739</v>
      </c>
      <c r="O153" s="172">
        <f ca="1">(VLOOKUP(O$72,INDIRECT($C$5&amp;"生成成长"),2))/((VLOOKUP($B153,INDIRECT($B$5&amp;"生成成长"),4))/(VLOOKUP(O$72,INDIRECT($C$5&amp;"生成成长"),5))*(VLOOKUP($B$5,标准坦克设计!$B$24:$U$30,MATCH("对"&amp;LEFT($C$5,2)&amp;"输出",标准坦克设计!$B$23:$U$23,0)))*(VLOOKUP($B153,INDIRECT($B$5&amp;"生成成长"),3))*(VLOOKUP($B$5,标准坦克设计!$B$14:$K$20,9)/30))</f>
        <v>2.4903260481221658</v>
      </c>
      <c r="P153" s="172">
        <f ca="1">(VLOOKUP(P$72,INDIRECT($C$5&amp;"生成成长"),2))/((VLOOKUP($B153,INDIRECT($B$5&amp;"生成成长"),4))/(VLOOKUP(P$72,INDIRECT($C$5&amp;"生成成长"),5))*(VLOOKUP($B$5,标准坦克设计!$B$24:$U$30,MATCH("对"&amp;LEFT($C$5,2)&amp;"输出",标准坦克设计!$B$23:$U$23,0)))*(VLOOKUP($B153,INDIRECT($B$5&amp;"生成成长"),3))*(VLOOKUP($B$5,标准坦克设计!$B$14:$K$20,9)/30))</f>
        <v>2.813658028060761</v>
      </c>
      <c r="Q153" s="172">
        <f ca="1">(VLOOKUP(Q$72,INDIRECT($C$5&amp;"生成成长"),2))/((VLOOKUP($B153,INDIRECT($B$5&amp;"生成成长"),4))/(VLOOKUP(Q$72,INDIRECT($C$5&amp;"生成成长"),5))*(VLOOKUP($B$5,标准坦克设计!$B$24:$U$30,MATCH("对"&amp;LEFT($C$5,2)&amp;"输出",标准坦克设计!$B$23:$U$23,0)))*(VLOOKUP($B153,INDIRECT($B$5&amp;"生成成长"),3))*(VLOOKUP($B$5,标准坦克设计!$B$14:$K$20,9)/30))</f>
        <v>3.156718738978662</v>
      </c>
      <c r="R153" s="172">
        <f ca="1">(VLOOKUP(R$72,INDIRECT($C$5&amp;"生成成长"),2))/((VLOOKUP($B153,INDIRECT($B$5&amp;"生成成长"),4))/(VLOOKUP(R$72,INDIRECT($C$5&amp;"生成成长"),5))*(VLOOKUP($B$5,标准坦克设计!$B$24:$U$30,MATCH("对"&amp;LEFT($C$5,2)&amp;"输出",标准坦克设计!$B$23:$U$23,0)))*(VLOOKUP($B153,INDIRECT($B$5&amp;"生成成长"),3))*(VLOOKUP($B$5,标准坦克设计!$B$14:$K$20,9)/30))</f>
        <v>3.5195081808758664</v>
      </c>
      <c r="S153" s="172">
        <f ca="1">(VLOOKUP(S$72,INDIRECT($C$5&amp;"生成成长"),2))/((VLOOKUP($B153,INDIRECT($B$5&amp;"生成成长"),4))/(VLOOKUP(S$72,INDIRECT($C$5&amp;"生成成长"),5))*(VLOOKUP($B$5,标准坦克设计!$B$24:$U$30,MATCH("对"&amp;LEFT($C$5,2)&amp;"输出",标准坦克设计!$B$23:$U$23,0)))*(VLOOKUP($B153,INDIRECT($B$5&amp;"生成成长"),3))*(VLOOKUP($B$5,标准坦克设计!$B$14:$K$20,9)/30))</f>
        <v>3.9020263537523752</v>
      </c>
      <c r="T153" s="172">
        <f ca="1">(VLOOKUP(T$72,INDIRECT($C$5&amp;"生成成长"),2))/((VLOOKUP($B153,INDIRECT($B$5&amp;"生成成长"),4))/(VLOOKUP(T$72,INDIRECT($C$5&amp;"生成成长"),5))*(VLOOKUP($B$5,标准坦克设计!$B$24:$U$30,MATCH("对"&amp;LEFT($C$5,2)&amp;"输出",标准坦克设计!$B$23:$U$23,0)))*(VLOOKUP($B153,INDIRECT($B$5&amp;"生成成长"),3))*(VLOOKUP($B$5,标准坦克设计!$B$14:$K$20,9)/30))</f>
        <v>4.3042732576081875</v>
      </c>
      <c r="U153" s="172">
        <f ca="1">(VLOOKUP(U$72,INDIRECT($C$5&amp;"生成成长"),2))/((VLOOKUP($B153,INDIRECT($B$5&amp;"生成成长"),4))/(VLOOKUP(U$72,INDIRECT($C$5&amp;"生成成长"),5))*(VLOOKUP($B$5,标准坦克设计!$B$24:$U$30,MATCH("对"&amp;LEFT($C$5,2)&amp;"输出",标准坦克设计!$B$23:$U$23,0)))*(VLOOKUP($B153,INDIRECT($B$5&amp;"生成成长"),3))*(VLOOKUP($B$5,标准坦克设计!$B$14:$K$20,9)/30))</f>
        <v>4.7262488924433042</v>
      </c>
      <c r="V153" s="172">
        <f ca="1">(VLOOKUP(V$72,INDIRECT($C$5&amp;"生成成长"),2))/((VLOOKUP($B153,INDIRECT($B$5&amp;"生成成长"),4))/(VLOOKUP(V$72,INDIRECT($C$5&amp;"生成成长"),5))*(VLOOKUP($B$5,标准坦克设计!$B$24:$U$30,MATCH("对"&amp;LEFT($C$5,2)&amp;"输出",标准坦克设计!$B$23:$U$23,0)))*(VLOOKUP($B153,INDIRECT($B$5&amp;"生成成长"),3))*(VLOOKUP($B$5,标准坦克设计!$B$14:$K$20,9)/30))</f>
        <v>5.1679532582577243</v>
      </c>
      <c r="W153" s="172">
        <f ca="1">(VLOOKUP(W$72,INDIRECT($C$5&amp;"生成成长"),2))/((VLOOKUP($B153,INDIRECT($B$5&amp;"生成成长"),4))/(VLOOKUP(W$72,INDIRECT($C$5&amp;"生成成长"),5))*(VLOOKUP($B$5,标准坦克设计!$B$24:$U$30,MATCH("对"&amp;LEFT($C$5,2)&amp;"输出",标准坦克设计!$B$23:$U$23,0)))*(VLOOKUP($B153,INDIRECT($B$5&amp;"生成成长"),3))*(VLOOKUP($B$5,标准坦克设计!$B$14:$K$20,9)/30))</f>
        <v>5.6293863550514498</v>
      </c>
      <c r="X153" s="172">
        <f ca="1">(VLOOKUP(X$72,INDIRECT($C$5&amp;"生成成长"),2))/((VLOOKUP($B153,INDIRECT($B$5&amp;"生成成长"),4))/(VLOOKUP(X$72,INDIRECT($C$5&amp;"生成成长"),5))*(VLOOKUP($B$5,标准坦克设计!$B$24:$U$30,MATCH("对"&amp;LEFT($C$5,2)&amp;"输出",标准坦克设计!$B$23:$U$23,0)))*(VLOOKUP($B153,INDIRECT($B$5&amp;"生成成长"),3))*(VLOOKUP($B$5,标准坦克设计!$B$14:$K$20,9)/30))</f>
        <v>4.0783671096661553</v>
      </c>
      <c r="Y153" s="172">
        <f ca="1">(VLOOKUP(Y$72,INDIRECT($C$5&amp;"生成成长"),2))/((VLOOKUP($B153,INDIRECT($B$5&amp;"生成成长"),4))/(VLOOKUP(Y$72,INDIRECT($C$5&amp;"生成成长"),5))*(VLOOKUP($B$5,标准坦克设计!$B$24:$U$30,MATCH("对"&amp;LEFT($C$5,2)&amp;"输出",标准坦克设计!$B$23:$U$23,0)))*(VLOOKUP($B153,INDIRECT($B$5&amp;"生成成长"),3))*(VLOOKUP($B$5,标准坦克设计!$B$14:$K$20,9)/30))</f>
        <v>4.5362685200500046</v>
      </c>
      <c r="Z153" s="172">
        <f ca="1">(VLOOKUP(Z$72,INDIRECT($C$5&amp;"生成成长"),2))/((VLOOKUP($B153,INDIRECT($B$5&amp;"生成成长"),4))/(VLOOKUP(Z$72,INDIRECT($C$5&amp;"生成成长"),5))*(VLOOKUP($B$5,标准坦克设计!$B$24:$U$30,MATCH("对"&amp;LEFT($C$5,2)&amp;"输出",标准坦克设计!$B$23:$U$23,0)))*(VLOOKUP($B153,INDIRECT($B$5&amp;"生成成长"),3))*(VLOOKUP($B$5,标准坦克设计!$B$14:$K$20,9)/30))</f>
        <v>5.0185263884329956</v>
      </c>
      <c r="AA153" s="172">
        <f ca="1">(VLOOKUP(AA$72,INDIRECT($C$5&amp;"生成成长"),2))/((VLOOKUP($B153,INDIRECT($B$5&amp;"生成成长"),4))/(VLOOKUP(AA$72,INDIRECT($C$5&amp;"生成成长"),5))*(VLOOKUP($B$5,标准坦克设计!$B$24:$U$30,MATCH("对"&amp;LEFT($C$5,2)&amp;"输出",标准坦克设计!$B$23:$U$23,0)))*(VLOOKUP($B153,INDIRECT($B$5&amp;"生成成长"),3))*(VLOOKUP($B$5,标准坦克设计!$B$14:$K$20,9)/30))</f>
        <v>5.5251407148151257</v>
      </c>
      <c r="AB153" s="172">
        <f ca="1">(VLOOKUP(AB$72,INDIRECT($C$5&amp;"生成成长"),2))/((VLOOKUP($B153,INDIRECT($B$5&amp;"生成成长"),4))/(VLOOKUP(AB$72,INDIRECT($C$5&amp;"生成成长"),5))*(VLOOKUP($B$5,标准坦克设计!$B$24:$U$30,MATCH("对"&amp;LEFT($C$5,2)&amp;"输出",标准坦克设计!$B$23:$U$23,0)))*(VLOOKUP($B153,INDIRECT($B$5&amp;"生成成长"),3))*(VLOOKUP($B$5,标准坦克设计!$B$14:$K$20,9)/30))</f>
        <v>6.0561114991964002</v>
      </c>
      <c r="AC153" s="172">
        <f ca="1">(VLOOKUP(AC$72,INDIRECT($C$5&amp;"生成成长"),2))/((VLOOKUP($B153,INDIRECT($B$5&amp;"生成成长"),4))/(VLOOKUP(AC$72,INDIRECT($C$5&amp;"生成成长"),5))*(VLOOKUP($B$5,标准坦克设计!$B$24:$U$30,MATCH("对"&amp;LEFT($C$5,2)&amp;"输出",标准坦克设计!$B$23:$U$23,0)))*(VLOOKUP($B153,INDIRECT($B$5&amp;"生成成长"),3))*(VLOOKUP($B$5,标准坦克设计!$B$14:$K$20,9)/30))</f>
        <v>6.611438741576813</v>
      </c>
      <c r="AD153" s="172">
        <f ca="1">(VLOOKUP(AD$72,INDIRECT($C$5&amp;"生成成长"),2))/((VLOOKUP($B153,INDIRECT($B$5&amp;"生成成长"),4))/(VLOOKUP(AD$72,INDIRECT($C$5&amp;"生成成长"),5))*(VLOOKUP($B$5,标准坦克设计!$B$24:$U$30,MATCH("对"&amp;LEFT($C$5,2)&amp;"输出",标准坦克设计!$B$23:$U$23,0)))*(VLOOKUP($B153,INDIRECT($B$5&amp;"生成成长"),3))*(VLOOKUP($B$5,标准坦克设计!$B$14:$K$20,9)/30))</f>
        <v>7.1911224419563666</v>
      </c>
      <c r="AE153" s="172">
        <f ca="1">(VLOOKUP(AE$72,INDIRECT($C$5&amp;"生成成长"),2))/((VLOOKUP($B153,INDIRECT($B$5&amp;"生成成长"),4))/(VLOOKUP(AE$72,INDIRECT($C$5&amp;"生成成长"),5))*(VLOOKUP($B$5,标准坦克设计!$B$24:$U$30,MATCH("对"&amp;LEFT($C$5,2)&amp;"输出",标准坦克设计!$B$23:$U$23,0)))*(VLOOKUP($B153,INDIRECT($B$5&amp;"生成成长"),3))*(VLOOKUP($B$5,标准坦克设计!$B$14:$K$20,9)/30))</f>
        <v>7.7951626003350629</v>
      </c>
      <c r="AF153" s="172">
        <f ca="1">(VLOOKUP(AF$72,INDIRECT($C$5&amp;"生成成长"),2))/((VLOOKUP($B153,INDIRECT($B$5&amp;"生成成长"),4))/(VLOOKUP(AF$72,INDIRECT($C$5&amp;"生成成长"),5))*(VLOOKUP($B$5,标准坦克设计!$B$24:$U$30,MATCH("对"&amp;LEFT($C$5,2)&amp;"输出",标准坦克设计!$B$23:$U$23,0)))*(VLOOKUP($B153,INDIRECT($B$5&amp;"生成成长"),3))*(VLOOKUP($B$5,标准坦克设计!$B$14:$K$20,9)/30))</f>
        <v>8.4235592167128992</v>
      </c>
      <c r="AG153" s="172">
        <f ca="1">(VLOOKUP(AG$72,INDIRECT($C$5&amp;"生成成长"),2))/((VLOOKUP($B153,INDIRECT($B$5&amp;"生成成长"),4))/(VLOOKUP(AG$72,INDIRECT($C$5&amp;"生成成长"),5))*(VLOOKUP($B$5,标准坦克设计!$B$24:$U$30,MATCH("对"&amp;LEFT($C$5,2)&amp;"输出",标准坦克设计!$B$23:$U$23,0)))*(VLOOKUP($B153,INDIRECT($B$5&amp;"生成成长"),3))*(VLOOKUP($B$5,标准坦克设计!$B$14:$K$20,9)/30))</f>
        <v>9.0763122910898755</v>
      </c>
      <c r="AH153" s="172">
        <f ca="1">(VLOOKUP(AH$72,INDIRECT($C$5&amp;"生成成长"),2))/((VLOOKUP($B153,INDIRECT($B$5&amp;"生成成长"),4))/(VLOOKUP(AH$72,INDIRECT($C$5&amp;"生成成长"),5))*(VLOOKUP($B$5,标准坦克设计!$B$24:$U$30,MATCH("对"&amp;LEFT($C$5,2)&amp;"输出",标准坦克设计!$B$23:$U$23,0)))*(VLOOKUP($B153,INDIRECT($B$5&amp;"生成成长"),3))*(VLOOKUP($B$5,标准坦克设计!$B$14:$K$20,9)/30))</f>
        <v>9.7534218234659953</v>
      </c>
      <c r="AI153" s="172">
        <f ca="1">(VLOOKUP(AI$72,INDIRECT($C$5&amp;"生成成长"),2))/((VLOOKUP($B153,INDIRECT($B$5&amp;"生成成长"),4))/(VLOOKUP(AI$72,INDIRECT($C$5&amp;"生成成长"),5))*(VLOOKUP($B$5,标准坦克设计!$B$24:$U$30,MATCH("对"&amp;LEFT($C$5,2)&amp;"输出",标准坦克设计!$B$23:$U$23,0)))*(VLOOKUP($B153,INDIRECT($B$5&amp;"生成成长"),3))*(VLOOKUP($B$5,标准坦克设计!$B$14:$K$20,9)/30))</f>
        <v>6.8982360345166986</v>
      </c>
      <c r="AJ153" s="172">
        <f ca="1">(VLOOKUP(AJ$72,INDIRECT($C$5&amp;"生成成长"),2))/((VLOOKUP($B153,INDIRECT($B$5&amp;"生成成长"),4))/(VLOOKUP(AJ$72,INDIRECT($C$5&amp;"生成成长"),5))*(VLOOKUP($B$5,标准坦克设计!$B$24:$U$30,MATCH("对"&amp;LEFT($C$5,2)&amp;"输出",标准坦克设计!$B$23:$U$23,0)))*(VLOOKUP($B153,INDIRECT($B$5&amp;"生成成长"),3))*(VLOOKUP($B$5,标准坦克设计!$B$14:$K$20,9)/30))</f>
        <v>7.5506237620236876</v>
      </c>
      <c r="AK153" s="172">
        <f ca="1">(VLOOKUP(AK$72,INDIRECT($C$5&amp;"生成成长"),2))/((VLOOKUP($B153,INDIRECT($B$5&amp;"生成成长"),4))/(VLOOKUP(AK$72,INDIRECT($C$5&amp;"生成成长"),5))*(VLOOKUP($B$5,标准坦克设计!$B$24:$U$30,MATCH("对"&amp;LEFT($C$5,2)&amp;"输出",标准坦克设计!$B$23:$U$23,0)))*(VLOOKUP($B153,INDIRECT($B$5&amp;"生成成长"),3))*(VLOOKUP($B$5,标准坦克设计!$B$14:$K$20,9)/30))</f>
        <v>8.2324828037096403</v>
      </c>
      <c r="AL153" s="172">
        <f ca="1">(VLOOKUP(AL$72,INDIRECT($C$5&amp;"生成成长"),2))/((VLOOKUP($B153,INDIRECT($B$5&amp;"生成成长"),4))/(VLOOKUP(AL$72,INDIRECT($C$5&amp;"生成成长"),5))*(VLOOKUP($B$5,标准坦克设计!$B$24:$U$30,MATCH("对"&amp;LEFT($C$5,2)&amp;"输出",标准坦克设计!$B$23:$U$23,0)))*(VLOOKUP($B153,INDIRECT($B$5&amp;"生成成长"),3))*(VLOOKUP($B$5,标准坦克设计!$B$14:$K$20,9)/30))</f>
        <v>8.9438131595745496</v>
      </c>
      <c r="AM153" s="172">
        <f ca="1">(VLOOKUP(AM$72,INDIRECT($C$5&amp;"生成成长"),2))/((VLOOKUP($B153,INDIRECT($B$5&amp;"生成成长"),4))/(VLOOKUP(AM$72,INDIRECT($C$5&amp;"生成成长"),5))*(VLOOKUP($B$5,标准坦克设计!$B$24:$U$30,MATCH("对"&amp;LEFT($C$5,2)&amp;"输出",标准坦克设计!$B$23:$U$23,0)))*(VLOOKUP($B153,INDIRECT($B$5&amp;"生成成长"),3))*(VLOOKUP($B$5,标准坦克设计!$B$14:$K$20,9)/30))</f>
        <v>9.6846148296184218</v>
      </c>
      <c r="AN153" s="172">
        <f ca="1">(VLOOKUP(AN$72,INDIRECT($C$5&amp;"生成成长"),2))/((VLOOKUP($B153,INDIRECT($B$5&amp;"生成成长"),4))/(VLOOKUP(AN$72,INDIRECT($C$5&amp;"生成成长"),5))*(VLOOKUP($B$5,标准坦克设计!$B$24:$U$30,MATCH("对"&amp;LEFT($C$5,2)&amp;"输出",标准坦克设计!$B$23:$U$23,0)))*(VLOOKUP($B153,INDIRECT($B$5&amp;"生成成长"),3))*(VLOOKUP($B$5,标准坦克设计!$B$14:$K$20,9)/30))</f>
        <v>10.454887813841252</v>
      </c>
      <c r="AO153" s="172">
        <f ca="1">(VLOOKUP(AO$72,INDIRECT($C$5&amp;"生成成长"),2))/((VLOOKUP($B153,INDIRECT($B$5&amp;"生成成长"),4))/(VLOOKUP(AO$72,INDIRECT($C$5&amp;"生成成长"),5))*(VLOOKUP($B$5,标准坦克设计!$B$24:$U$30,MATCH("对"&amp;LEFT($C$5,2)&amp;"输出",标准坦克设计!$B$23:$U$23,0)))*(VLOOKUP($B153,INDIRECT($B$5&amp;"生成成长"),3))*(VLOOKUP($B$5,标准坦克设计!$B$14:$K$20,9)/30))</f>
        <v>11.254632112243044</v>
      </c>
      <c r="AP153" s="172">
        <f ca="1">(VLOOKUP(AP$72,INDIRECT($C$5&amp;"生成成长"),2))/((VLOOKUP($B153,INDIRECT($B$5&amp;"生成成长"),4))/(VLOOKUP(AP$72,INDIRECT($C$5&amp;"生成成长"),5))*(VLOOKUP($B$5,标准坦克设计!$B$24:$U$30,MATCH("对"&amp;LEFT($C$5,2)&amp;"输出",标准坦克设计!$B$23:$U$23,0)))*(VLOOKUP($B153,INDIRECT($B$5&amp;"生成成长"),3))*(VLOOKUP($B$5,标准坦克设计!$B$14:$K$20,9)/30))</f>
        <v>12.0838477248238</v>
      </c>
      <c r="AQ153" s="172">
        <f ca="1">(VLOOKUP(AQ$72,INDIRECT($C$5&amp;"生成成长"),2))/((VLOOKUP($B153,INDIRECT($B$5&amp;"生成成长"),4))/(VLOOKUP(AQ$72,INDIRECT($C$5&amp;"生成成长"),5))*(VLOOKUP($B$5,标准坦克设计!$B$24:$U$30,MATCH("对"&amp;LEFT($C$5,2)&amp;"输出",标准坦克设计!$B$23:$U$23,0)))*(VLOOKUP($B153,INDIRECT($B$5&amp;"生成成长"),3))*(VLOOKUP($B$5,标准坦克设计!$B$14:$K$20,9)/30))</f>
        <v>12.942534651583513</v>
      </c>
      <c r="AR153" s="172">
        <f ca="1">(VLOOKUP(AR$72,INDIRECT($C$5&amp;"生成成长"),2))/((VLOOKUP($B153,INDIRECT($B$5&amp;"生成成长"),4))/(VLOOKUP(AR$72,INDIRECT($C$5&amp;"生成成长"),5))*(VLOOKUP($B$5,标准坦克设计!$B$24:$U$30,MATCH("对"&amp;LEFT($C$5,2)&amp;"输出",标准坦克设计!$B$23:$U$23,0)))*(VLOOKUP($B153,INDIRECT($B$5&amp;"生成成长"),3))*(VLOOKUP($B$5,标准坦克设计!$B$14:$K$20,9)/30))</f>
        <v>13.830692892522185</v>
      </c>
      <c r="AS153" s="172">
        <f ca="1">(VLOOKUP(AS$72,INDIRECT($C$5&amp;"生成成长"),2))/((VLOOKUP($B153,INDIRECT($B$5&amp;"生成成长"),4))/(VLOOKUP(AS$72,INDIRECT($C$5&amp;"生成成长"),5))*(VLOOKUP($B$5,标准坦克设计!$B$24:$U$30,MATCH("对"&amp;LEFT($C$5,2)&amp;"输出",标准坦克设计!$B$23:$U$23,0)))*(VLOOKUP($B153,INDIRECT($B$5&amp;"生成成长"),3))*(VLOOKUP($B$5,标准坦克设计!$B$14:$K$20,9)/30))</f>
        <v>14.748322447639822</v>
      </c>
      <c r="AT153" s="172">
        <f ca="1">(VLOOKUP(AT$72,INDIRECT($C$5&amp;"生成成长"),2))/((VLOOKUP($B153,INDIRECT($B$5&amp;"生成成长"),4))/(VLOOKUP(AT$72,INDIRECT($C$5&amp;"生成成长"),5))*(VLOOKUP($B$5,标准坦克设计!$B$24:$U$30,MATCH("对"&amp;LEFT($C$5,2)&amp;"输出",标准坦克设计!$B$23:$U$23,0)))*(VLOOKUP($B153,INDIRECT($B$5&amp;"生成成长"),3))*(VLOOKUP($B$5,标准坦克设计!$B$14:$K$20,9)/30))</f>
        <v>15.695423316936418</v>
      </c>
      <c r="AU153" s="172">
        <f ca="1">(VLOOKUP(AU$72,INDIRECT($C$5&amp;"生成成长"),2))/((VLOOKUP($B153,INDIRECT($B$5&amp;"生成成长"),4))/(VLOOKUP(AU$72,INDIRECT($C$5&amp;"生成成长"),5))*(VLOOKUP($B$5,标准坦克设计!$B$24:$U$30,MATCH("对"&amp;LEFT($C$5,2)&amp;"输出",标准坦克设计!$B$23:$U$23,0)))*(VLOOKUP($B153,INDIRECT($B$5&amp;"生成成长"),3))*(VLOOKUP($B$5,标准坦克设计!$B$14:$K$20,9)/30))</f>
        <v>16.671995500411974</v>
      </c>
      <c r="AV153" s="172">
        <f ca="1">(VLOOKUP(AV$72,INDIRECT($C$5&amp;"生成成长"),2))/((VLOOKUP($B153,INDIRECT($B$5&amp;"生成成长"),4))/(VLOOKUP(AV$72,INDIRECT($C$5&amp;"生成成长"),5))*(VLOOKUP($B$5,标准坦克设计!$B$24:$U$30,MATCH("对"&amp;LEFT($C$5,2)&amp;"输出",标准坦克设计!$B$23:$U$23,0)))*(VLOOKUP($B153,INDIRECT($B$5&amp;"生成成长"),3))*(VLOOKUP($B$5,标准坦克设计!$B$14:$K$20,9)/30))</f>
        <v>1.6956966059001921</v>
      </c>
      <c r="AW153" s="172">
        <f ca="1">(VLOOKUP(AW$72,INDIRECT($C$5&amp;"生成成长"),2))/((VLOOKUP($B153,INDIRECT($B$5&amp;"生成成长"),4))/(VLOOKUP(AW$72,INDIRECT($C$5&amp;"生成成长"),5))*(VLOOKUP($B$5,标准坦克设计!$B$24:$U$30,MATCH("对"&amp;LEFT($C$5,2)&amp;"输出",标准坦克设计!$B$23:$U$23,0)))*(VLOOKUP($B153,INDIRECT($B$5&amp;"生成成长"),3))*(VLOOKUP($B$5,标准坦克设计!$B$14:$K$20,9)/30))</f>
        <v>1.9334156359718078</v>
      </c>
      <c r="AX153" s="172">
        <f ca="1">(VLOOKUP(AX$72,INDIRECT($C$5&amp;"生成成长"),2))/((VLOOKUP($B153,INDIRECT($B$5&amp;"生成成长"),4))/(VLOOKUP(AX$72,INDIRECT($C$5&amp;"生成成长"),5))*(VLOOKUP($B$5,标准坦克设计!$B$24:$U$30,MATCH("对"&amp;LEFT($C$5,2)&amp;"输出",标准坦克设计!$B$23:$U$23,0)))*(VLOOKUP($B153,INDIRECT($B$5&amp;"生成成长"),3))*(VLOOKUP($B$5,标准坦克设计!$B$14:$K$20,9)/30))</f>
        <v>2.1867227991628737</v>
      </c>
      <c r="AY153" s="172">
        <f ca="1">(VLOOKUP(AY$72,INDIRECT($C$5&amp;"生成成长"),2))/((VLOOKUP($B153,INDIRECT($B$5&amp;"生成成长"),4))/(VLOOKUP(AY$72,INDIRECT($C$5&amp;"生成成长"),5))*(VLOOKUP($B$5,标准坦克设计!$B$24:$U$30,MATCH("对"&amp;LEFT($C$5,2)&amp;"输出",标准坦克设计!$B$23:$U$23,0)))*(VLOOKUP($B153,INDIRECT($B$5&amp;"生成成长"),3))*(VLOOKUP($B$5,标准坦克设计!$B$14:$K$20,9)/30))</f>
        <v>2.4556180954733899</v>
      </c>
      <c r="AZ153" s="172">
        <f ca="1">(VLOOKUP(AZ$72,INDIRECT($C$5&amp;"生成成长"),2))/((VLOOKUP($B153,INDIRECT($B$5&amp;"生成成长"),4))/(VLOOKUP(AZ$72,INDIRECT($C$5&amp;"生成成长"),5))*(VLOOKUP($B$5,标准坦克设计!$B$24:$U$30,MATCH("对"&amp;LEFT($C$5,2)&amp;"输出",标准坦克设计!$B$23:$U$23,0)))*(VLOOKUP($B153,INDIRECT($B$5&amp;"生成成长"),3))*(VLOOKUP($B$5,标准坦克设计!$B$14:$K$20,9)/30))</f>
        <v>2.7401015249033556</v>
      </c>
      <c r="BA153" s="172">
        <f ca="1">(VLOOKUP(BA$72,INDIRECT($C$5&amp;"生成成长"),2))/((VLOOKUP($B153,INDIRECT($B$5&amp;"生成成长"),4))/(VLOOKUP(BA$72,INDIRECT($C$5&amp;"生成成长"),5))*(VLOOKUP($B$5,标准坦克设计!$B$24:$U$30,MATCH("对"&amp;LEFT($C$5,2)&amp;"输出",标准坦克设计!$B$23:$U$23,0)))*(VLOOKUP($B153,INDIRECT($B$5&amp;"生成成长"),3))*(VLOOKUP($B$5,标准坦克设计!$B$14:$K$20,9)/30))</f>
        <v>3.0401730874527728</v>
      </c>
      <c r="BB153" s="172">
        <f ca="1">(VLOOKUP(BB$72,INDIRECT($C$5&amp;"生成成长"),2))/((VLOOKUP($B153,INDIRECT($B$5&amp;"生成成长"),4))/(VLOOKUP(BB$72,INDIRECT($C$5&amp;"生成成长"),5))*(VLOOKUP($B$5,标准坦克设计!$B$24:$U$30,MATCH("对"&amp;LEFT($C$5,2)&amp;"输出",标准坦克设计!$B$23:$U$23,0)))*(VLOOKUP($B153,INDIRECT($B$5&amp;"生成成长"),3))*(VLOOKUP($B$5,标准坦克设计!$B$14:$K$20,9)/30))</f>
        <v>3.3558327831216395</v>
      </c>
      <c r="BC153" s="172">
        <f ca="1">(VLOOKUP(BC$72,INDIRECT($C$5&amp;"生成成长"),2))/((VLOOKUP($B153,INDIRECT($B$5&amp;"生成成长"),4))/(VLOOKUP(BC$72,INDIRECT($C$5&amp;"生成成长"),5))*(VLOOKUP($B$5,标准坦克设计!$B$24:$U$30,MATCH("对"&amp;LEFT($C$5,2)&amp;"输出",标准坦克设计!$B$23:$U$23,0)))*(VLOOKUP($B153,INDIRECT($B$5&amp;"生成成长"),3))*(VLOOKUP($B$5,标准坦克设计!$B$14:$K$20,9)/30))</f>
        <v>3.6870806119099555</v>
      </c>
      <c r="BD153" s="172">
        <f ca="1">(VLOOKUP(BD$72,INDIRECT($C$5&amp;"生成成长"),2))/((VLOOKUP($B153,INDIRECT($B$5&amp;"生成成长"),4))/(VLOOKUP(BD$72,INDIRECT($C$5&amp;"生成成长"),5))*(VLOOKUP($B$5,标准坦克设计!$B$24:$U$30,MATCH("对"&amp;LEFT($C$5,2)&amp;"输出",标准坦克设计!$B$23:$U$23,0)))*(VLOOKUP($B153,INDIRECT($B$5&amp;"生成成长"),3))*(VLOOKUP($B$5,标准坦克设计!$B$14:$K$20,9)/30))</f>
        <v>4.0783671096661553</v>
      </c>
      <c r="BE153" s="172">
        <f ca="1">(VLOOKUP(BE$72,INDIRECT($C$5&amp;"生成成长"),2))/((VLOOKUP($B153,INDIRECT($B$5&amp;"生成成长"),4))/(VLOOKUP(BE$72,INDIRECT($C$5&amp;"生成成长"),5))*(VLOOKUP($B$5,标准坦克设计!$B$24:$U$30,MATCH("对"&amp;LEFT($C$5,2)&amp;"输出",标准坦克设计!$B$23:$U$23,0)))*(VLOOKUP($B153,INDIRECT($B$5&amp;"生成成长"),3))*(VLOOKUP($B$5,标准坦克设计!$B$14:$K$20,9)/30))</f>
        <v>4.4893823384016578</v>
      </c>
      <c r="BF153" s="172">
        <f ca="1">(VLOOKUP(BF$72,INDIRECT($C$5&amp;"生成成长"),2))/((VLOOKUP($B153,INDIRECT($B$5&amp;"生成成长"),4))/(VLOOKUP(BF$72,INDIRECT($C$5&amp;"生成成长"),5))*(VLOOKUP($B$5,标准坦克设计!$B$24:$U$30,MATCH("对"&amp;LEFT($C$5,2)&amp;"输出",标准坦克设计!$B$23:$U$23,0)))*(VLOOKUP($B153,INDIRECT($B$5&amp;"生成成长"),3))*(VLOOKUP($B$5,标准坦克设计!$B$14:$K$20,9)/30))</f>
        <v>4.9201262981164655</v>
      </c>
      <c r="BG153" s="172">
        <f ca="1">(VLOOKUP(BG$72,INDIRECT($C$5&amp;"生成成长"),2))/((VLOOKUP($B153,INDIRECT($B$5&amp;"生成成长"),4))/(VLOOKUP(BG$72,INDIRECT($C$5&amp;"生成成长"),5))*(VLOOKUP($B$5,标准坦克设计!$B$24:$U$30,MATCH("对"&amp;LEFT($C$5,2)&amp;"输出",标准坦克设计!$B$23:$U$23,0)))*(VLOOKUP($B153,INDIRECT($B$5&amp;"生成成长"),3))*(VLOOKUP($B$5,标准坦克设计!$B$14:$K$20,9)/30))</f>
        <v>5.3705989888105776</v>
      </c>
      <c r="BH153" s="172">
        <f ca="1">(VLOOKUP(BH$72,INDIRECT($C$5&amp;"生成成长"),2))/((VLOOKUP($B153,INDIRECT($B$5&amp;"生成成长"),4))/(VLOOKUP(BH$72,INDIRECT($C$5&amp;"生成成长"),5))*(VLOOKUP($B$5,标准坦克设计!$B$24:$U$30,MATCH("对"&amp;LEFT($C$5,2)&amp;"输出",标准坦克设计!$B$23:$U$23,0)))*(VLOOKUP($B153,INDIRECT($B$5&amp;"生成成长"),3))*(VLOOKUP($B$5,标准坦克设计!$B$14:$K$20,9)/30))</f>
        <v>2.5959112935484416</v>
      </c>
      <c r="BI153" s="172">
        <f ca="1">(VLOOKUP(BI$72,INDIRECT($C$5&amp;"生成成长"),2))/((VLOOKUP($B153,INDIRECT($B$5&amp;"生成成长"),4))/(VLOOKUP(BI$72,INDIRECT($C$5&amp;"生成成长"),5))*(VLOOKUP($B$5,标准坦克设计!$B$24:$U$30,MATCH("对"&amp;LEFT($C$5,2)&amp;"输出",标准坦克设计!$B$23:$U$23,0)))*(VLOOKUP($B153,INDIRECT($B$5&amp;"生成成长"),3))*(VLOOKUP($B$5,标准坦克设计!$B$14:$K$20,9)/30))</f>
        <v>2.9258195171468055</v>
      </c>
      <c r="BJ153" s="172">
        <f ca="1">(VLOOKUP(BJ$72,INDIRECT($C$5&amp;"生成成长"),2))/((VLOOKUP($B153,INDIRECT($B$5&amp;"生成成长"),4))/(VLOOKUP(BJ$72,INDIRECT($C$5&amp;"生成成长"),5))*(VLOOKUP($B$5,标准坦克设计!$B$24:$U$30,MATCH("对"&amp;LEFT($C$5,2)&amp;"输出",标准坦克设计!$B$23:$U$23,0)))*(VLOOKUP($B153,INDIRECT($B$5&amp;"生成成长"),3))*(VLOOKUP($B$5,标准坦克设计!$B$14:$K$20,9)/30))</f>
        <v>3.2754564717244739</v>
      </c>
      <c r="BK153" s="172">
        <f ca="1">(VLOOKUP(BK$72,INDIRECT($C$5&amp;"生成成长"),2))/((VLOOKUP($B153,INDIRECT($B$5&amp;"生成成长"),4))/(VLOOKUP(BK$72,INDIRECT($C$5&amp;"生成成长"),5))*(VLOOKUP($B$5,标准坦克设计!$B$24:$U$30,MATCH("对"&amp;LEFT($C$5,2)&amp;"输出",标准坦克设计!$B$23:$U$23,0)))*(VLOOKUP($B153,INDIRECT($B$5&amp;"生成成长"),3))*(VLOOKUP($B$5,标准坦克设计!$B$14:$K$20,9)/30))</f>
        <v>3.6448221572814457</v>
      </c>
      <c r="BL153" s="172">
        <f ca="1">(VLOOKUP(BL$72,INDIRECT($C$5&amp;"生成成长"),2))/((VLOOKUP($B153,INDIRECT($B$5&amp;"生成成长"),4))/(VLOOKUP(BL$72,INDIRECT($C$5&amp;"生成成长"),5))*(VLOOKUP($B$5,标准坦克设计!$B$24:$U$30,MATCH("对"&amp;LEFT($C$5,2)&amp;"输出",标准坦克设计!$B$23:$U$23,0)))*(VLOOKUP($B153,INDIRECT($B$5&amp;"生成成长"),3))*(VLOOKUP($B$5,标准坦克设计!$B$14:$K$20,9)/30))</f>
        <v>4.0339165738177227</v>
      </c>
      <c r="BM153" s="172">
        <f ca="1">(VLOOKUP(BM$72,INDIRECT($C$5&amp;"生成成长"),2))/((VLOOKUP($B153,INDIRECT($B$5&amp;"生成成长"),4))/(VLOOKUP(BM$72,INDIRECT($C$5&amp;"生成成长"),5))*(VLOOKUP($B$5,标准坦克设计!$B$24:$U$30,MATCH("对"&amp;LEFT($C$5,2)&amp;"输出",标准坦克设计!$B$23:$U$23,0)))*(VLOOKUP($B153,INDIRECT($B$5&amp;"生成成长"),3))*(VLOOKUP($B$5,标准坦克设计!$B$14:$K$20,9)/30))</f>
        <v>4.4427397213333037</v>
      </c>
      <c r="BN153" s="172">
        <f ca="1">(VLOOKUP(BN$72,INDIRECT($C$5&amp;"生成成长"),2))/((VLOOKUP($B153,INDIRECT($B$5&amp;"生成成长"),4))/(VLOOKUP(BN$72,INDIRECT($C$5&amp;"生成成长"),5))*(VLOOKUP($B$5,标准坦克设计!$B$24:$U$30,MATCH("对"&amp;LEFT($C$5,2)&amp;"输出",标准坦克设计!$B$23:$U$23,0)))*(VLOOKUP($B153,INDIRECT($B$5&amp;"生成成长"),3))*(VLOOKUP($B$5,标准坦克设计!$B$14:$K$20,9)/30))</f>
        <v>4.8712915998281892</v>
      </c>
      <c r="BO153" s="172">
        <f ca="1">(VLOOKUP(BO$72,INDIRECT($C$5&amp;"生成成长"),2))/((VLOOKUP($B153,INDIRECT($B$5&amp;"生成成长"),4))/(VLOOKUP(BO$72,INDIRECT($C$5&amp;"生成成长"),5))*(VLOOKUP($B$5,标准坦克设计!$B$24:$U$30,MATCH("对"&amp;LEFT($C$5,2)&amp;"输出",标准坦克设计!$B$23:$U$23,0)))*(VLOOKUP($B153,INDIRECT($B$5&amp;"生成成长"),3))*(VLOOKUP($B$5,标准坦克设计!$B$14:$K$20,9)/30))</f>
        <v>5.3195722093023781</v>
      </c>
      <c r="BP153" s="172">
        <f ca="1">(VLOOKUP(BP$72,INDIRECT($C$5&amp;"生成成长"),2))/((VLOOKUP($B153,INDIRECT($B$5&amp;"生成成长"),4))/(VLOOKUP(BP$72,INDIRECT($C$5&amp;"生成成长"),5))*(VLOOKUP($B$5,标准坦克设计!$B$24:$U$30,MATCH("对"&amp;LEFT($C$5,2)&amp;"输出",标准坦克设计!$B$23:$U$23,0)))*(VLOOKUP($B153,INDIRECT($B$5&amp;"生成成长"),3))*(VLOOKUP($B$5,标准坦克设计!$B$14:$K$20,9)/30))</f>
        <v>5.7875815497558705</v>
      </c>
      <c r="BQ153" s="172">
        <f ca="1">(VLOOKUP(BQ$72,INDIRECT($C$5&amp;"生成成长"),2))/((VLOOKUP($B153,INDIRECT($B$5&amp;"生成成长"),4))/(VLOOKUP(BQ$72,INDIRECT($C$5&amp;"生成成长"),5))*(VLOOKUP($B$5,标准坦克设计!$B$24:$U$30,MATCH("对"&amp;LEFT($C$5,2)&amp;"输出",标准坦克设计!$B$23:$U$23,0)))*(VLOOKUP($B153,INDIRECT($B$5&amp;"生成成长"),3))*(VLOOKUP($B$5,标准坦克设计!$B$14:$K$20,9)/30))</f>
        <v>6.2753196211886673</v>
      </c>
      <c r="BR153" s="172">
        <f ca="1">(VLOOKUP(BR$72,INDIRECT($C$5&amp;"生成成长"),2))/((VLOOKUP($B153,INDIRECT($B$5&amp;"生成成长"),4))/(VLOOKUP(BR$72,INDIRECT($C$5&amp;"生成成长"),5))*(VLOOKUP($B$5,标准坦克设计!$B$24:$U$30,MATCH("对"&amp;LEFT($C$5,2)&amp;"输出",标准坦克设计!$B$23:$U$23,0)))*(VLOOKUP($B153,INDIRECT($B$5&amp;"生成成长"),3))*(VLOOKUP($B$5,标准坦克设计!$B$14:$K$20,9)/30))</f>
        <v>6.8403894467687376</v>
      </c>
      <c r="BS153" s="172">
        <f ca="1">(VLOOKUP(BS$72,INDIRECT($C$5&amp;"生成成长"),2))/((VLOOKUP($B153,INDIRECT($B$5&amp;"生成成长"),4))/(VLOOKUP(BS$72,INDIRECT($C$5&amp;"生成成长"),5))*(VLOOKUP($B$5,标准坦克设计!$B$24:$U$30,MATCH("对"&amp;LEFT($C$5,2)&amp;"输出",标准坦克设计!$B$23:$U$23,0)))*(VLOOKUP($B153,INDIRECT($B$5&amp;"生成成长"),3))*(VLOOKUP($B$5,标准坦克设计!$B$14:$K$20,9)/30))</f>
        <v>7.4298157303479471</v>
      </c>
      <c r="BT153" s="172">
        <f ca="1">(VLOOKUP(BT$72,INDIRECT($C$5&amp;"生成成长"),2))/((VLOOKUP($B153,INDIRECT($B$5&amp;"生成成长"),4))/(VLOOKUP(BT$72,INDIRECT($C$5&amp;"生成成长"),5))*(VLOOKUP($B$5,标准坦克设计!$B$24:$U$30,MATCH("对"&amp;LEFT($C$5,2)&amp;"输出",标准坦克设计!$B$23:$U$23,0)))*(VLOOKUP($B153,INDIRECT($B$5&amp;"生成成长"),3))*(VLOOKUP($B$5,标准坦克设计!$B$14:$K$20,9)/30))</f>
        <v>8.0435984719263001</v>
      </c>
      <c r="BU153" s="172">
        <f ca="1">(VLOOKUP(BU$72,INDIRECT($C$5&amp;"生成成长"),2))/((VLOOKUP($B153,INDIRECT($B$5&amp;"生成成长"),4))/(VLOOKUP(BU$72,INDIRECT($C$5&amp;"生成成长"),5))*(VLOOKUP($B$5,标准坦克设计!$B$24:$U$30,MATCH("对"&amp;LEFT($C$5,2)&amp;"输出",标准坦克设计!$B$23:$U$23,0)))*(VLOOKUP($B153,INDIRECT($B$5&amp;"生成成长"),3))*(VLOOKUP($B$5,标准坦克设计!$B$14:$K$20,9)/30))</f>
        <v>8.6817376715037931</v>
      </c>
      <c r="BV153" s="172">
        <f ca="1">(VLOOKUP(BV$72,INDIRECT($C$5&amp;"生成成长"),2))/((VLOOKUP($B153,INDIRECT($B$5&amp;"生成成长"),4))/(VLOOKUP(BV$72,INDIRECT($C$5&amp;"生成成长"),5))*(VLOOKUP($B$5,标准坦克设计!$B$24:$U$30,MATCH("对"&amp;LEFT($C$5,2)&amp;"输出",标准坦克设计!$B$23:$U$23,0)))*(VLOOKUP($B153,INDIRECT($B$5&amp;"生成成长"),3))*(VLOOKUP($B$5,标准坦克设计!$B$14:$K$20,9)/30))</f>
        <v>9.344233329080426</v>
      </c>
      <c r="BW153" s="172">
        <f ca="1">(VLOOKUP(BW$72,INDIRECT($C$5&amp;"生成成长"),2))/((VLOOKUP($B153,INDIRECT($B$5&amp;"生成成长"),4))/(VLOOKUP(BW$72,INDIRECT($C$5&amp;"生成成长"),5))*(VLOOKUP($B$5,标准坦克设计!$B$24:$U$30,MATCH("对"&amp;LEFT($C$5,2)&amp;"输出",标准坦克设计!$B$23:$U$23,0)))*(VLOOKUP($B153,INDIRECT($B$5&amp;"生成成长"),3))*(VLOOKUP($B$5,标准坦克设计!$B$14:$K$20,9)/30))</f>
        <v>4.2586048988597973</v>
      </c>
      <c r="BX153" s="172">
        <f ca="1">(VLOOKUP(BX$72,INDIRECT($C$5&amp;"生成成长"),2))/((VLOOKUP($B153,INDIRECT($B$5&amp;"生成成长"),4))/(VLOOKUP(BX$72,INDIRECT($C$5&amp;"生成成长"),5))*(VLOOKUP($B$5,标准坦克设计!$B$24:$U$30,MATCH("对"&amp;LEFT($C$5,2)&amp;"输出",标准坦克设计!$B$23:$U$23,0)))*(VLOOKUP($B153,INDIRECT($B$5&amp;"生成成长"),3))*(VLOOKUP($B$5,标准坦克设计!$B$14:$K$20,9)/30))</f>
        <v>4.7262488924433042</v>
      </c>
      <c r="BY153" s="172">
        <f ca="1">(VLOOKUP(BY$72,INDIRECT($C$5&amp;"生成成长"),2))/((VLOOKUP($B153,INDIRECT($B$5&amp;"生成成长"),4))/(VLOOKUP(BY$72,INDIRECT($C$5&amp;"生成成长"),5))*(VLOOKUP($B$5,标准坦克设计!$B$24:$U$30,MATCH("对"&amp;LEFT($C$5,2)&amp;"输出",标准坦克设计!$B$23:$U$23,0)))*(VLOOKUP($B153,INDIRECT($B$5&amp;"生成成长"),3))*(VLOOKUP($B$5,标准坦克设计!$B$14:$K$20,9)/30))</f>
        <v>5.218249344025951</v>
      </c>
      <c r="BZ153" s="172">
        <f ca="1">(VLOOKUP(BZ$72,INDIRECT($C$5&amp;"生成成长"),2))/((VLOOKUP($B153,INDIRECT($B$5&amp;"生成成长"),4))/(VLOOKUP(BZ$72,INDIRECT($C$5&amp;"生成成长"),5))*(VLOOKUP($B$5,标准坦克设计!$B$24:$U$30,MATCH("对"&amp;LEFT($C$5,2)&amp;"输出",标准坦克设计!$B$23:$U$23,0)))*(VLOOKUP($B153,INDIRECT($B$5&amp;"生成成长"),3))*(VLOOKUP($B$5,标准坦克设计!$B$14:$K$20,9)/30))</f>
        <v>5.7346062536077396</v>
      </c>
      <c r="CA153" s="172">
        <f ca="1">(VLOOKUP(CA$72,INDIRECT($C$5&amp;"生成成长"),2))/((VLOOKUP($B153,INDIRECT($B$5&amp;"生成成长"),4))/(VLOOKUP(CA$72,INDIRECT($C$5&amp;"生成成长"),5))*(VLOOKUP($B$5,标准坦克设计!$B$24:$U$30,MATCH("对"&amp;LEFT($C$5,2)&amp;"输出",标准坦克设计!$B$23:$U$23,0)))*(VLOOKUP($B153,INDIRECT($B$5&amp;"生成成长"),3))*(VLOOKUP($B$5,标准坦克设计!$B$14:$K$20,9)/30))</f>
        <v>6.2753196211886673</v>
      </c>
      <c r="CB153" s="172">
        <f ca="1">(VLOOKUP(CB$72,INDIRECT($C$5&amp;"生成成长"),2))/((VLOOKUP($B153,INDIRECT($B$5&amp;"生成成长"),4))/(VLOOKUP(CB$72,INDIRECT($C$5&amp;"生成成长"),5))*(VLOOKUP($B$5,标准坦克设计!$B$24:$U$30,MATCH("对"&amp;LEFT($C$5,2)&amp;"输出",标准坦克设计!$B$23:$U$23,0)))*(VLOOKUP($B153,INDIRECT($B$5&amp;"生成成长"),3))*(VLOOKUP($B$5,标准坦克设计!$B$14:$K$20,9)/30))</f>
        <v>6.8403894467687376</v>
      </c>
      <c r="CC153" s="172">
        <f ca="1">(VLOOKUP(CC$72,INDIRECT($C$5&amp;"生成成长"),2))/((VLOOKUP($B153,INDIRECT($B$5&amp;"生成成长"),4))/(VLOOKUP(CC$72,INDIRECT($C$5&amp;"生成成长"),5))*(VLOOKUP($B$5,标准坦克设计!$B$24:$U$30,MATCH("对"&amp;LEFT($C$5,2)&amp;"输出",标准坦克设计!$B$23:$U$23,0)))*(VLOOKUP($B153,INDIRECT($B$5&amp;"生成成长"),3))*(VLOOKUP($B$5,标准坦克设计!$B$14:$K$20,9)/30))</f>
        <v>7.4298157303479471</v>
      </c>
      <c r="CD153" s="172">
        <f ca="1">(VLOOKUP(CD$72,INDIRECT($C$5&amp;"生成成长"),2))/((VLOOKUP($B153,INDIRECT($B$5&amp;"生成成长"),4))/(VLOOKUP(CD$72,INDIRECT($C$5&amp;"生成成长"),5))*(VLOOKUP($B$5,标准坦克设计!$B$24:$U$30,MATCH("对"&amp;LEFT($C$5,2)&amp;"输出",标准坦克设计!$B$23:$U$23,0)))*(VLOOKUP($B153,INDIRECT($B$5&amp;"生成成长"),3))*(VLOOKUP($B$5,标准坦克设计!$B$14:$K$20,9)/30))</f>
        <v>8.0435984719263001</v>
      </c>
      <c r="CE153" s="172">
        <f ca="1">(VLOOKUP(CE$72,INDIRECT($C$5&amp;"生成成长"),2))/((VLOOKUP($B153,INDIRECT($B$5&amp;"生成成长"),4))/(VLOOKUP(CE$72,INDIRECT($C$5&amp;"生成成长"),5))*(VLOOKUP($B$5,标准坦克设计!$B$24:$U$30,MATCH("对"&amp;LEFT($C$5,2)&amp;"输出",标准坦克设计!$B$23:$U$23,0)))*(VLOOKUP($B153,INDIRECT($B$5&amp;"生成成长"),3))*(VLOOKUP($B$5,标准坦克设计!$B$14:$K$20,9)/30))</f>
        <v>8.6817376715037931</v>
      </c>
      <c r="CF153" s="172">
        <f ca="1">(VLOOKUP(CF$72,INDIRECT($C$5&amp;"生成成长"),2))/((VLOOKUP($B153,INDIRECT($B$5&amp;"生成成长"),4))/(VLOOKUP(CF$72,INDIRECT($C$5&amp;"生成成长"),5))*(VLOOKUP($B$5,标准坦克设计!$B$24:$U$30,MATCH("对"&amp;LEFT($C$5,2)&amp;"输出",标准坦克设计!$B$23:$U$23,0)))*(VLOOKUP($B153,INDIRECT($B$5&amp;"生成成长"),3))*(VLOOKUP($B$5,标准坦克设计!$B$14:$K$20,9)/30))</f>
        <v>9.344233329080426</v>
      </c>
      <c r="CG153" s="172">
        <f ca="1">(VLOOKUP(CG$72,INDIRECT($C$5&amp;"生成成长"),2))/((VLOOKUP($B153,INDIRECT($B$5&amp;"生成成长"),4))/(VLOOKUP(CG$72,INDIRECT($C$5&amp;"生成成长"),5))*(VLOOKUP($B$5,标准坦克设计!$B$24:$U$30,MATCH("对"&amp;LEFT($C$5,2)&amp;"输出",标准坦克设计!$B$23:$U$23,0)))*(VLOOKUP($B153,INDIRECT($B$5&amp;"生成成长"),3))*(VLOOKUP($B$5,标准坦克设计!$B$14:$K$20,9)/30))</f>
        <v>10.031085444656199</v>
      </c>
      <c r="CH153" s="172">
        <f ca="1">(VLOOKUP(CH$72,INDIRECT($C$5&amp;"生成成长"),2))/((VLOOKUP($B153,INDIRECT($B$5&amp;"生成成长"),4))/(VLOOKUP(CH$72,INDIRECT($C$5&amp;"生成成长"),5))*(VLOOKUP($B$5,标准坦克设计!$B$24:$U$30,MATCH("对"&amp;LEFT($C$5,2)&amp;"输出",标准坦克设计!$B$23:$U$23,0)))*(VLOOKUP($B153,INDIRECT($B$5&amp;"生成成长"),3))*(VLOOKUP($B$5,标准坦克设计!$B$14:$K$20,9)/30))</f>
        <v>10.742294018231116</v>
      </c>
      <c r="CI153" s="172">
        <f ca="1">(VLOOKUP(CI$72,INDIRECT($C$5&amp;"生成成长"),2))/((VLOOKUP($B153,INDIRECT($B$5&amp;"生成成长"),4))/(VLOOKUP(CI$72,INDIRECT($C$5&amp;"生成成长"),5))*(VLOOKUP($B$5,标准坦克设计!$B$24:$U$30,MATCH("对"&amp;LEFT($C$5,2)&amp;"输出",标准坦克设计!$B$23:$U$23,0)))*(VLOOKUP($B153,INDIRECT($B$5&amp;"生成成长"),3))*(VLOOKUP($B$5,标准坦克设计!$B$14:$K$20,9)/30))</f>
        <v>11.552755158152529</v>
      </c>
      <c r="CJ153" s="172">
        <f ca="1">(VLOOKUP(CJ$72,INDIRECT($C$5&amp;"生成成长"),2))/((VLOOKUP($B153,INDIRECT($B$5&amp;"生成成长"),4))/(VLOOKUP(CJ$72,INDIRECT($C$5&amp;"生成成长"),5))*(VLOOKUP($B$5,标准坦克设计!$B$24:$U$30,MATCH("对"&amp;LEFT($C$5,2)&amp;"输出",标准坦克设计!$B$23:$U$23,0)))*(VLOOKUP($B153,INDIRECT($B$5&amp;"生成成长"),3))*(VLOOKUP($B$5,标准坦克设计!$B$14:$K$20,9)/30))</f>
        <v>12.392687612252905</v>
      </c>
      <c r="CK153" s="172">
        <f ca="1">(VLOOKUP(CK$72,INDIRECT($C$5&amp;"生成成长"),2))/((VLOOKUP($B153,INDIRECT($B$5&amp;"生成成长"),4))/(VLOOKUP(CK$72,INDIRECT($C$5&amp;"生成成长"),5))*(VLOOKUP($B$5,标准坦克设计!$B$24:$U$30,MATCH("对"&amp;LEFT($C$5,2)&amp;"输出",标准坦克设计!$B$23:$U$23,0)))*(VLOOKUP($B153,INDIRECT($B$5&amp;"生成成长"),3))*(VLOOKUP($B$5,标准坦克设计!$B$14:$K$20,9)/30))</f>
        <v>13.262091380532242</v>
      </c>
      <c r="CL153" s="172">
        <f ca="1">(VLOOKUP(CL$72,INDIRECT($C$5&amp;"生成成长"),2))/((VLOOKUP($B153,INDIRECT($B$5&amp;"生成成长"),4))/(VLOOKUP(CL$72,INDIRECT($C$5&amp;"生成成长"),5))*(VLOOKUP($B$5,标准坦克设计!$B$24:$U$30,MATCH("对"&amp;LEFT($C$5,2)&amp;"输出",标准坦克设计!$B$23:$U$23,0)))*(VLOOKUP($B153,INDIRECT($B$5&amp;"生成成长"),3))*(VLOOKUP($B$5,标准坦克设计!$B$14:$K$20,9)/30))</f>
        <v>14.16096646299054</v>
      </c>
      <c r="CM153" s="172">
        <f ca="1">(VLOOKUP(CM$72,INDIRECT($C$5&amp;"生成成长"),2))/((VLOOKUP($B153,INDIRECT($B$5&amp;"生成成长"),4))/(VLOOKUP(CM$72,INDIRECT($C$5&amp;"生成成长"),5))*(VLOOKUP($B$5,标准坦克设计!$B$24:$U$30,MATCH("对"&amp;LEFT($C$5,2)&amp;"输出",标准坦克设计!$B$23:$U$23,0)))*(VLOOKUP($B153,INDIRECT($B$5&amp;"生成成长"),3))*(VLOOKUP($B$5,标准坦克设计!$B$14:$K$20,9)/30))</f>
        <v>15.089312859627794</v>
      </c>
      <c r="CN153" s="172">
        <f ca="1">(VLOOKUP(CN$72,INDIRECT($C$5&amp;"生成成长"),2))/((VLOOKUP($B153,INDIRECT($B$5&amp;"生成成长"),4))/(VLOOKUP(CN$72,INDIRECT($C$5&amp;"生成成长"),5))*(VLOOKUP($B$5,标准坦克设计!$B$24:$U$30,MATCH("对"&amp;LEFT($C$5,2)&amp;"输出",标准坦克设计!$B$23:$U$23,0)))*(VLOOKUP($B153,INDIRECT($B$5&amp;"生成成长"),3))*(VLOOKUP($B$5,标准坦克设计!$B$14:$K$20,9)/30))</f>
        <v>16.047130570444015</v>
      </c>
      <c r="CO153" s="172">
        <f ca="1">(VLOOKUP(CO$72,INDIRECT($C$5&amp;"生成成长"),2))/((VLOOKUP($B153,INDIRECT($B$5&amp;"生成成长"),4))/(VLOOKUP(CO$72,INDIRECT($C$5&amp;"生成成长"),5))*(VLOOKUP($B$5,标准坦克设计!$B$24:$U$30,MATCH("对"&amp;LEFT($C$5,2)&amp;"输出",标准坦克设计!$B$23:$U$23,0)))*(VLOOKUP($B153,INDIRECT($B$5&amp;"生成成长"),3))*(VLOOKUP($B$5,标准坦克设计!$B$14:$K$20,9)/30))</f>
        <v>7.1911224419563666</v>
      </c>
      <c r="CP153" s="172">
        <f ca="1">(VLOOKUP(CP$72,INDIRECT($C$5&amp;"生成成长"),2))/((VLOOKUP($B153,INDIRECT($B$5&amp;"生成成长"),4))/(VLOOKUP(CP$72,INDIRECT($C$5&amp;"生成成长"),5))*(VLOOKUP($B$5,标准坦克设计!$B$24:$U$30,MATCH("对"&amp;LEFT($C$5,2)&amp;"输出",标准坦克设计!$B$23:$U$23,0)))*(VLOOKUP($B153,INDIRECT($B$5&amp;"生成成长"),3))*(VLOOKUP($B$5,标准坦克设计!$B$14:$K$20,9)/30))</f>
        <v>7.8569062213628857</v>
      </c>
      <c r="CQ153" s="172">
        <f ca="1">(VLOOKUP(CQ$72,INDIRECT($C$5&amp;"生成成长"),2))/((VLOOKUP($B153,INDIRECT($B$5&amp;"生成成长"),4))/(VLOOKUP(CQ$72,INDIRECT($C$5&amp;"生成成长"),5))*(VLOOKUP($B$5,标准坦克设计!$B$24:$U$30,MATCH("对"&amp;LEFT($C$5,2)&amp;"输出",标准坦克设计!$B$23:$U$23,0)))*(VLOOKUP($B153,INDIRECT($B$5&amp;"生成成长"),3))*(VLOOKUP($B$5,标准坦克设计!$B$14:$K$20,9)/30))</f>
        <v>8.5521613149483624</v>
      </c>
      <c r="CR153" s="172">
        <f ca="1">(VLOOKUP(CR$72,INDIRECT($C$5&amp;"生成成长"),2))/((VLOOKUP($B153,INDIRECT($B$5&amp;"生成成长"),4))/(VLOOKUP(CR$72,INDIRECT($C$5&amp;"生成成长"),5))*(VLOOKUP($B$5,标准坦克设计!$B$24:$U$30,MATCH("对"&amp;LEFT($C$5,2)&amp;"输出",标准坦克设计!$B$23:$U$23,0)))*(VLOOKUP($B153,INDIRECT($B$5&amp;"生成成长"),3))*(VLOOKUP($B$5,标准坦克设计!$B$14:$K$20,9)/30))</f>
        <v>9.2768877227128002</v>
      </c>
      <c r="CS153" s="172">
        <f ca="1">(VLOOKUP(CS$72,INDIRECT($C$5&amp;"生成成长"),2))/((VLOOKUP($B153,INDIRECT($B$5&amp;"生成成长"),4))/(VLOOKUP(CS$72,INDIRECT($C$5&amp;"生成成长"),5))*(VLOOKUP($B$5,标准坦克设计!$B$24:$U$30,MATCH("对"&amp;LEFT($C$5,2)&amp;"输出",标准坦克设计!$B$23:$U$23,0)))*(VLOOKUP($B153,INDIRECT($B$5&amp;"生成成长"),3))*(VLOOKUP($B$5,标准坦克设计!$B$14:$K$20,9)/30))</f>
        <v>10.031085444656199</v>
      </c>
      <c r="CT153" s="172">
        <f ca="1">(VLOOKUP(CT$72,INDIRECT($C$5&amp;"生成成长"),2))/((VLOOKUP($B153,INDIRECT($B$5&amp;"生成成长"),4))/(VLOOKUP(CT$72,INDIRECT($C$5&amp;"生成成长"),5))*(VLOOKUP($B$5,标准坦克设计!$B$24:$U$30,MATCH("对"&amp;LEFT($C$5,2)&amp;"输出",标准坦克设计!$B$23:$U$23,0)))*(VLOOKUP($B153,INDIRECT($B$5&amp;"生成成长"),3))*(VLOOKUP($B$5,标准坦克设计!$B$14:$K$20,9)/30))</f>
        <v>10.814754480778562</v>
      </c>
      <c r="CU153" s="172">
        <f ca="1">(VLOOKUP(CU$72,INDIRECT($C$5&amp;"生成成长"),2))/((VLOOKUP($B153,INDIRECT($B$5&amp;"生成成长"),4))/(VLOOKUP(CU$72,INDIRECT($C$5&amp;"生成成长"),5))*(VLOOKUP($B$5,标准坦克设计!$B$24:$U$30,MATCH("对"&amp;LEFT($C$5,2)&amp;"输出",标准坦克设计!$B$23:$U$23,0)))*(VLOOKUP($B153,INDIRECT($B$5&amp;"生成成长"),3))*(VLOOKUP($B$5,标准坦克设计!$B$14:$K$20,9)/30))</f>
        <v>11.627894831079882</v>
      </c>
      <c r="CV153" s="172">
        <f ca="1">(VLOOKUP(CV$72,INDIRECT($C$5&amp;"生成成长"),2))/((VLOOKUP($B153,INDIRECT($B$5&amp;"生成成长"),4))/(VLOOKUP(CV$72,INDIRECT($C$5&amp;"生成成长"),5))*(VLOOKUP($B$5,标准坦克设计!$B$24:$U$30,MATCH("对"&amp;LEFT($C$5,2)&amp;"输出",标准坦克设计!$B$23:$U$23,0)))*(VLOOKUP($B153,INDIRECT($B$5&amp;"生成成长"),3))*(VLOOKUP($B$5,标准坦克设计!$B$14:$K$20,9)/30))</f>
        <v>12.470506495560162</v>
      </c>
      <c r="CW153" s="172">
        <f ca="1">(VLOOKUP(CW$72,INDIRECT($C$5&amp;"生成成长"),2))/((VLOOKUP($B153,INDIRECT($B$5&amp;"生成成长"),4))/(VLOOKUP(CW$72,INDIRECT($C$5&amp;"生成成长"),5))*(VLOOKUP($B$5,标准坦克设计!$B$24:$U$30,MATCH("对"&amp;LEFT($C$5,2)&amp;"输出",标准坦克设计!$B$23:$U$23,0)))*(VLOOKUP($B153,INDIRECT($B$5&amp;"生成成长"),3))*(VLOOKUP($B$5,标准坦克设计!$B$14:$K$20,9)/30))</f>
        <v>13.342589474219404</v>
      </c>
      <c r="CX153" s="172">
        <f ca="1">(VLOOKUP(CX$72,INDIRECT($C$5&amp;"生成成长"),2))/((VLOOKUP($B153,INDIRECT($B$5&amp;"生成成长"),4))/(VLOOKUP(CX$72,INDIRECT($C$5&amp;"生成成长"),5))*(VLOOKUP($B$5,标准坦克设计!$B$24:$U$30,MATCH("对"&amp;LEFT($C$5,2)&amp;"输出",标准坦克设计!$B$23:$U$23,0)))*(VLOOKUP($B153,INDIRECT($B$5&amp;"生成成长"),3))*(VLOOKUP($B$5,标准坦克设计!$B$14:$K$20,9)/30))</f>
        <v>14.244143767057606</v>
      </c>
      <c r="CY153" s="172">
        <f ca="1">(VLOOKUP(CY$72,INDIRECT($C$5&amp;"生成成长"),2))/((VLOOKUP($B153,INDIRECT($B$5&amp;"生成成长"),4))/(VLOOKUP(CY$72,INDIRECT($C$5&amp;"生成成长"),5))*(VLOOKUP($B$5,标准坦克设计!$B$24:$U$30,MATCH("对"&amp;LEFT($C$5,2)&amp;"输出",标准坦克设计!$B$23:$U$23,0)))*(VLOOKUP($B153,INDIRECT($B$5&amp;"生成成长"),3))*(VLOOKUP($B$5,标准坦克设计!$B$14:$K$20,9)/30))</f>
        <v>15.175169374074766</v>
      </c>
      <c r="CZ153" s="172">
        <f ca="1">(VLOOKUP(CZ$72,INDIRECT($C$5&amp;"生成成长"),2))/((VLOOKUP($B153,INDIRECT($B$5&amp;"生成成长"),4))/(VLOOKUP(CZ$72,INDIRECT($C$5&amp;"生成成长"),5))*(VLOOKUP($B$5,标准坦克设计!$B$24:$U$30,MATCH("对"&amp;LEFT($C$5,2)&amp;"输出",标准坦克设计!$B$23:$U$23,0)))*(VLOOKUP($B153,INDIRECT($B$5&amp;"生成成长"),3))*(VLOOKUP($B$5,标准坦克设计!$B$14:$K$20,9)/30))</f>
        <v>16.135666295270891</v>
      </c>
      <c r="DA153" s="172">
        <f ca="1">(VLOOKUP(DA$72,INDIRECT($C$5&amp;"生成成长"),2))/((VLOOKUP($B153,INDIRECT($B$5&amp;"生成成长"),4))/(VLOOKUP(DA$72,INDIRECT($C$5&amp;"生成成长"),5))*(VLOOKUP($B$5,标准坦克设计!$B$24:$U$30,MATCH("对"&amp;LEFT($C$5,2)&amp;"输出",标准坦克设计!$B$23:$U$23,0)))*(VLOOKUP($B153,INDIRECT($B$5&amp;"生成成长"),3))*(VLOOKUP($B$5,标准坦克设计!$B$14:$K$20,9)/30))</f>
        <v>17.125634530645975</v>
      </c>
      <c r="DB153" s="172">
        <f ca="1">(VLOOKUP(DB$72,INDIRECT($C$5&amp;"生成成长"),2))/((VLOOKUP($B153,INDIRECT($B$5&amp;"生成成长"),4))/(VLOOKUP(DB$72,INDIRECT($C$5&amp;"生成成长"),5))*(VLOOKUP($B$5,标准坦克设计!$B$24:$U$30,MATCH("对"&amp;LEFT($C$5,2)&amp;"输出",标准坦克设计!$B$23:$U$23,0)))*(VLOOKUP($B153,INDIRECT($B$5&amp;"生成成长"),3))*(VLOOKUP($B$5,标准坦克设计!$B$14:$K$20,9)/30))</f>
        <v>18.145074080200018</v>
      </c>
      <c r="DC153" s="172">
        <f ca="1">(VLOOKUP(DC$72,INDIRECT($C$5&amp;"生成成长"),2))/((VLOOKUP($B153,INDIRECT($B$5&amp;"生成成长"),4))/(VLOOKUP(DC$72,INDIRECT($C$5&amp;"生成成长"),5))*(VLOOKUP($B$5,标准坦克设计!$B$24:$U$30,MATCH("对"&amp;LEFT($C$5,2)&amp;"输出",标准坦克设计!$B$23:$U$23,0)))*(VLOOKUP($B153,INDIRECT($B$5&amp;"生成成长"),3))*(VLOOKUP($B$5,标准坦克设计!$B$14:$K$20,9)/30))</f>
        <v>19.290801864479608</v>
      </c>
      <c r="DD153" s="172">
        <f ca="1">(VLOOKUP(DD$72,INDIRECT($C$5&amp;"生成成长"),2))/((VLOOKUP($B153,INDIRECT($B$5&amp;"生成成长"),4))/(VLOOKUP(DD$72,INDIRECT($C$5&amp;"生成成长"),5))*(VLOOKUP($B$5,标准坦克设计!$B$24:$U$30,MATCH("对"&amp;LEFT($C$5,2)&amp;"输出",标准坦克设计!$B$23:$U$23,0)))*(VLOOKUP($B153,INDIRECT($B$5&amp;"生成成长"),3))*(VLOOKUP($B$5,标准坦克设计!$B$14:$K$20,9)/30))</f>
        <v>20.471602948277962</v>
      </c>
      <c r="DE153" s="172">
        <f ca="1">(VLOOKUP(DE$72,INDIRECT($C$5&amp;"生成成长"),2))/((VLOOKUP($B153,INDIRECT($B$5&amp;"生成成长"),4))/(VLOOKUP(DE$72,INDIRECT($C$5&amp;"生成成长"),5))*(VLOOKUP($B$5,标准坦克设计!$B$24:$U$30,MATCH("对"&amp;LEFT($C$5,2)&amp;"输出",标准坦克设计!$B$23:$U$23,0)))*(VLOOKUP($B153,INDIRECT($B$5&amp;"生成成长"),3))*(VLOOKUP($B$5,标准坦克设计!$B$14:$K$20,9)/30))</f>
        <v>21.687477331595076</v>
      </c>
      <c r="DF153" s="172">
        <f ca="1">(VLOOKUP(DF$72,INDIRECT($C$5&amp;"生成成长"),2))/((VLOOKUP($B153,INDIRECT($B$5&amp;"生成成长"),4))/(VLOOKUP(DF$72,INDIRECT($C$5&amp;"生成成长"),5))*(VLOOKUP($B$5,标准坦克设计!$B$24:$U$30,MATCH("对"&amp;LEFT($C$5,2)&amp;"输出",标准坦克设计!$B$23:$U$23,0)))*(VLOOKUP($B153,INDIRECT($B$5&amp;"生成成长"),3))*(VLOOKUP($B$5,标准坦克设计!$B$14:$K$20,9)/30))</f>
        <v>22.938425014430958</v>
      </c>
      <c r="DG153" s="172">
        <f ca="1">(VLOOKUP(DG$72,INDIRECT($C$5&amp;"生成成长"),2))/((VLOOKUP($B153,INDIRECT($B$5&amp;"生成成长"),4))/(VLOOKUP(DG$72,INDIRECT($C$5&amp;"生成成长"),5))*(VLOOKUP($B$5,标准坦克设计!$B$24:$U$30,MATCH("对"&amp;LEFT($C$5,2)&amp;"输出",标准坦克设计!$B$23:$U$23,0)))*(VLOOKUP($B153,INDIRECT($B$5&amp;"生成成长"),3))*(VLOOKUP($B$5,标准坦克设计!$B$14:$K$20,9)/30))</f>
        <v>24.224445996785601</v>
      </c>
      <c r="DH153" s="172">
        <f ca="1">(VLOOKUP(DH$72,INDIRECT($C$5&amp;"生成成长"),2))/((VLOOKUP($B153,INDIRECT($B$5&amp;"生成成长"),4))/(VLOOKUP(DH$72,INDIRECT($C$5&amp;"生成成长"),5))*(VLOOKUP($B$5,标准坦克设计!$B$24:$U$30,MATCH("对"&amp;LEFT($C$5,2)&amp;"输出",标准坦克设计!$B$23:$U$23,0)))*(VLOOKUP($B153,INDIRECT($B$5&amp;"生成成长"),3))*(VLOOKUP($B$5,标准坦克设计!$B$14:$K$20,9)/30))</f>
        <v>25.545540278659008</v>
      </c>
      <c r="DI153" s="172">
        <f ca="1">(VLOOKUP(DI$72,INDIRECT($C$5&amp;"生成成长"),2))/((VLOOKUP($B153,INDIRECT($B$5&amp;"生成成长"),4))/(VLOOKUP(DI$72,INDIRECT($C$5&amp;"生成成长"),5))*(VLOOKUP($B$5,标准坦克设计!$B$24:$U$30,MATCH("对"&amp;LEFT($C$5,2)&amp;"输出",标准坦克设计!$B$23:$U$23,0)))*(VLOOKUP($B153,INDIRECT($B$5&amp;"生成成长"),3))*(VLOOKUP($B$5,标准坦克设计!$B$14:$K$20,9)/30))</f>
        <v>26.901707860051172</v>
      </c>
      <c r="DJ153" s="172">
        <f ca="1">(VLOOKUP(DJ$72,INDIRECT($C$5&amp;"生成成长"),2))/((VLOOKUP($B153,INDIRECT($B$5&amp;"生成成长"),4))/(VLOOKUP(DJ$72,INDIRECT($C$5&amp;"生成成长"),5))*(VLOOKUP($B$5,标准坦克设计!$B$24:$U$30,MATCH("对"&amp;LEFT($C$5,2)&amp;"输出",标准坦克设计!$B$23:$U$23,0)))*(VLOOKUP($B153,INDIRECT($B$5&amp;"生成成长"),3))*(VLOOKUP($B$5,标准坦克设计!$B$14:$K$20,9)/30))</f>
        <v>2.7036886201946406</v>
      </c>
      <c r="DK153" s="172">
        <f ca="1">(VLOOKUP(DK$72,INDIRECT($C$5&amp;"生成成长"),2))/((VLOOKUP($B153,INDIRECT($B$5&amp;"生成成长"),4))/(VLOOKUP(DK$72,INDIRECT($C$5&amp;"生成成长"),5))*(VLOOKUP($B$5,标准坦克设计!$B$24:$U$30,MATCH("对"&amp;LEFT($C$5,2)&amp;"输出",标准坦克设计!$B$23:$U$23,0)))*(VLOOKUP($B153,INDIRECT($B$5&amp;"生成成长"),3))*(VLOOKUP($B$5,标准坦克设计!$B$14:$K$20,9)/30))</f>
        <v>3.0401730874527728</v>
      </c>
      <c r="DL153" s="172">
        <f ca="1">(VLOOKUP(DL$72,INDIRECT($C$5&amp;"生成成长"),2))/((VLOOKUP($B153,INDIRECT($B$5&amp;"生成成长"),4))/(VLOOKUP(DL$72,INDIRECT($C$5&amp;"生成成长"),5))*(VLOOKUP($B$5,标准坦克设计!$B$24:$U$30,MATCH("对"&amp;LEFT($C$5,2)&amp;"输出",标准坦克设计!$B$23:$U$23,0)))*(VLOOKUP($B153,INDIRECT($B$5&amp;"生成成长"),3))*(VLOOKUP($B$5,标准坦克设计!$B$14:$K$20,9)/30))</f>
        <v>3.3963862856902085</v>
      </c>
      <c r="DM153" s="172">
        <f ca="1">(VLOOKUP(DM$72,INDIRECT($C$5&amp;"生成成长"),2))/((VLOOKUP($B153,INDIRECT($B$5&amp;"生成成长"),4))/(VLOOKUP(DM$72,INDIRECT($C$5&amp;"生成成长"),5))*(VLOOKUP($B$5,标准坦克设计!$B$24:$U$30,MATCH("对"&amp;LEFT($C$5,2)&amp;"输出",标准坦克设计!$B$23:$U$23,0)))*(VLOOKUP($B153,INDIRECT($B$5&amp;"生成成长"),3))*(VLOOKUP($B$5,标准坦克设计!$B$14:$K$20,9)/30))</f>
        <v>3.7723282149069486</v>
      </c>
      <c r="DN153" s="172">
        <f ca="1">(VLOOKUP(DN$72,INDIRECT($C$5&amp;"生成成长"),2))/((VLOOKUP($B153,INDIRECT($B$5&amp;"生成成长"),4))/(VLOOKUP(DN$72,INDIRECT($C$5&amp;"生成成长"),5))*(VLOOKUP($B$5,标准坦克设计!$B$24:$U$30,MATCH("对"&amp;LEFT($C$5,2)&amp;"输出",标准坦克设计!$B$23:$U$23,0)))*(VLOOKUP($B153,INDIRECT($B$5&amp;"生成成长"),3))*(VLOOKUP($B$5,标准坦克设计!$B$14:$K$20,9)/30))</f>
        <v>4.1679988751029935</v>
      </c>
      <c r="DO153" s="172">
        <f ca="1">(VLOOKUP(DO$72,INDIRECT($C$5&amp;"生成成长"),2))/((VLOOKUP($B153,INDIRECT($B$5&amp;"生成成长"),4))/(VLOOKUP(DO$72,INDIRECT($C$5&amp;"生成成长"),5))*(VLOOKUP($B$5,标准坦克设计!$B$24:$U$30,MATCH("对"&amp;LEFT($C$5,2)&amp;"输出",标准坦克设计!$B$23:$U$23,0)))*(VLOOKUP($B153,INDIRECT($B$5&amp;"生成成长"),3))*(VLOOKUP($B$5,标准坦克设计!$B$14:$K$20,9)/30))</f>
        <v>4.5833982662783423</v>
      </c>
      <c r="DP153" s="172">
        <f ca="1">(VLOOKUP(DP$72,INDIRECT($C$5&amp;"生成成长"),2))/((VLOOKUP($B153,INDIRECT($B$5&amp;"生成成长"),4))/(VLOOKUP(DP$72,INDIRECT($C$5&amp;"生成成长"),5))*(VLOOKUP($B$5,标准坦克设计!$B$24:$U$30,MATCH("对"&amp;LEFT($C$5,2)&amp;"输出",标准坦克设计!$B$23:$U$23,0)))*(VLOOKUP($B153,INDIRECT($B$5&amp;"生成成长"),3))*(VLOOKUP($B$5,标准坦克设计!$B$14:$K$20,9)/30))</f>
        <v>5.0185263884329956</v>
      </c>
      <c r="DQ153" s="172">
        <f ca="1">(VLOOKUP(DQ$72,INDIRECT($C$5&amp;"生成成长"),2))/((VLOOKUP($B153,INDIRECT($B$5&amp;"生成成长"),4))/(VLOOKUP(DQ$72,INDIRECT($C$5&amp;"生成成长"),5))*(VLOOKUP($B$5,标准坦克设计!$B$24:$U$30,MATCH("对"&amp;LEFT($C$5,2)&amp;"输出",标准坦克设计!$B$23:$U$23,0)))*(VLOOKUP($B153,INDIRECT($B$5&amp;"生成成长"),3))*(VLOOKUP($B$5,标准坦克设计!$B$14:$K$20,9)/30))</f>
        <v>5.4733832415669523</v>
      </c>
      <c r="DR153" s="172">
        <f ca="1">(VLOOKUP(DR$72,INDIRECT($C$5&amp;"生成成长"),2))/((VLOOKUP($B153,INDIRECT($B$5&amp;"生成成长"),4))/(VLOOKUP(DR$72,INDIRECT($C$5&amp;"生成成长"),5))*(VLOOKUP($B$5,标准坦克设计!$B$24:$U$30,MATCH("对"&amp;LEFT($C$5,2)&amp;"输出",标准坦克设计!$B$23:$U$23,0)))*(VLOOKUP($B153,INDIRECT($B$5&amp;"生成成长"),3))*(VLOOKUP($B$5,标准坦克设计!$B$14:$K$20,9)/30))</f>
        <v>5.9479688256802126</v>
      </c>
      <c r="DS153" s="172">
        <f ca="1">(VLOOKUP(DS$72,INDIRECT($C$5&amp;"生成成长"),2))/((VLOOKUP($B153,INDIRECT($B$5&amp;"生成成长"),4))/(VLOOKUP(DS$72,INDIRECT($C$5&amp;"生成成长"),5))*(VLOOKUP($B$5,标准坦克设计!$B$24:$U$30,MATCH("对"&amp;LEFT($C$5,2)&amp;"输出",标准坦克设计!$B$23:$U$23,0)))*(VLOOKUP($B153,INDIRECT($B$5&amp;"生成成长"),3))*(VLOOKUP($B$5,标准坦克设计!$B$14:$K$20,9)/30))</f>
        <v>6.4422831407727781</v>
      </c>
      <c r="DT153" s="172">
        <f ca="1">(VLOOKUP(DT$72,INDIRECT($C$5&amp;"生成成长"),2))/((VLOOKUP($B153,INDIRECT($B$5&amp;"生成成长"),4))/(VLOOKUP(DT$72,INDIRECT($C$5&amp;"生成成长"),5))*(VLOOKUP($B$5,标准坦克设计!$B$24:$U$30,MATCH("对"&amp;LEFT($C$5,2)&amp;"输出",标准坦克设计!$B$23:$U$23,0)))*(VLOOKUP($B153,INDIRECT($B$5&amp;"生成成长"),3))*(VLOOKUP($B$5,标准坦克设计!$B$14:$K$20,9)/30))</f>
        <v>7.073237185240524</v>
      </c>
      <c r="DU153" s="172">
        <f ca="1">(VLOOKUP(DU$72,INDIRECT($C$5&amp;"生成成长"),2))/((VLOOKUP($B153,INDIRECT($B$5&amp;"生成成长"),4))/(VLOOKUP(DU$72,INDIRECT($C$5&amp;"生成成长"),5))*(VLOOKUP($B$5,标准坦克设计!$B$24:$U$30,MATCH("对"&amp;LEFT($C$5,2)&amp;"输出",标准坦克设计!$B$23:$U$23,0)))*(VLOOKUP($B153,INDIRECT($B$5&amp;"生成成长"),3))*(VLOOKUP($B$5,标准坦克设计!$B$14:$K$20,9)/30))</f>
        <v>7.7336625438872311</v>
      </c>
      <c r="DV153" s="172">
        <f ca="1">(VLOOKUP(DV$72,INDIRECT($C$5&amp;"生成成长"),2))/((VLOOKUP($B153,INDIRECT($B$5&amp;"生成成长"),4))/(VLOOKUP(DV$72,INDIRECT($C$5&amp;"生成成长"),5))*(VLOOKUP($B$5,标准坦克设计!$B$24:$U$30,MATCH("对"&amp;LEFT($C$5,2)&amp;"输出",标准坦克设计!$B$23:$U$23,0)))*(VLOOKUP($B153,INDIRECT($B$5&amp;"生成成长"),3))*(VLOOKUP($B$5,标准坦克设计!$B$14:$K$20,9)/30))</f>
        <v>8.4235592167128992</v>
      </c>
      <c r="DW153" s="172">
        <f ca="1">(VLOOKUP(DW$72,INDIRECT($C$5&amp;"生成成长"),2))/((VLOOKUP($B153,INDIRECT($B$5&amp;"生成成长"),4))/(VLOOKUP(DW$72,INDIRECT($C$5&amp;"生成成长"),5))*(VLOOKUP($B$5,标准坦克设计!$B$24:$U$30,MATCH("对"&amp;LEFT($C$5,2)&amp;"输出",标准坦克设计!$B$23:$U$23,0)))*(VLOOKUP($B153,INDIRECT($B$5&amp;"生成成长"),3))*(VLOOKUP($B$5,标准坦克设计!$B$14:$K$20,9)/30))</f>
        <v>9.1429272037175267</v>
      </c>
      <c r="DX153" s="172">
        <f ca="1">(VLOOKUP(DX$72,INDIRECT($C$5&amp;"生成成长"),2))/((VLOOKUP($B153,INDIRECT($B$5&amp;"生成成长"),4))/(VLOOKUP(DX$72,INDIRECT($C$5&amp;"生成成长"),5))*(VLOOKUP($B$5,标准坦克设计!$B$24:$U$30,MATCH("对"&amp;LEFT($C$5,2)&amp;"输出",标准坦克设计!$B$23:$U$23,0)))*(VLOOKUP($B153,INDIRECT($B$5&amp;"生成成长"),3))*(VLOOKUP($B$5,标准坦克设计!$B$14:$K$20,9)/30))</f>
        <v>9.8917665049011134</v>
      </c>
      <c r="DY153" s="172">
        <f ca="1">(VLOOKUP(DY$72,INDIRECT($C$5&amp;"生成成长"),2))/((VLOOKUP($B153,INDIRECT($B$5&amp;"生成成长"),4))/(VLOOKUP(DY$72,INDIRECT($C$5&amp;"生成成长"),5))*(VLOOKUP($B$5,标准坦克设计!$B$24:$U$30,MATCH("对"&amp;LEFT($C$5,2)&amp;"输出",标准坦克设计!$B$23:$U$23,0)))*(VLOOKUP($B153,INDIRECT($B$5&amp;"生成成长"),3))*(VLOOKUP($B$5,标准坦克设计!$B$14:$K$20,9)/30))</f>
        <v>4.4427397213333037</v>
      </c>
      <c r="DZ153" s="172">
        <f ca="1">(VLOOKUP(DZ$72,INDIRECT($C$5&amp;"生成成长"),2))/((VLOOKUP($B153,INDIRECT($B$5&amp;"生成成长"),4))/(VLOOKUP(DZ$72,INDIRECT($C$5&amp;"生成成长"),5))*(VLOOKUP($B$5,标准坦克设计!$B$24:$U$30,MATCH("对"&amp;LEFT($C$5,2)&amp;"输出",标准坦克设计!$B$23:$U$23,0)))*(VLOOKUP($B153,INDIRECT($B$5&amp;"生成成长"),3))*(VLOOKUP($B$5,标准坦克设计!$B$14:$K$20,9)/30))</f>
        <v>4.9201262981164655</v>
      </c>
      <c r="EA153" s="172">
        <f ca="1">(VLOOKUP(EA$72,INDIRECT($C$5&amp;"生成成长"),2))/((VLOOKUP($B153,INDIRECT($B$5&amp;"生成成长"),4))/(VLOOKUP(EA$72,INDIRECT($C$5&amp;"生成成长"),5))*(VLOOKUP($B$5,标准坦克设计!$B$24:$U$30,MATCH("对"&amp;LEFT($C$5,2)&amp;"输出",标准坦克设计!$B$23:$U$23,0)))*(VLOOKUP($B153,INDIRECT($B$5&amp;"生成成长"),3))*(VLOOKUP($B$5,标准坦克设计!$B$14:$K$20,9)/30))</f>
        <v>5.421869332898769</v>
      </c>
      <c r="EB153" s="172">
        <f ca="1">(VLOOKUP(EB$72,INDIRECT($C$5&amp;"生成成长"),2))/((VLOOKUP($B153,INDIRECT($B$5&amp;"生成成长"),4))/(VLOOKUP(EB$72,INDIRECT($C$5&amp;"生成成长"),5))*(VLOOKUP($B$5,标准坦克设计!$B$24:$U$30,MATCH("对"&amp;LEFT($C$5,2)&amp;"输出",标准坦克设计!$B$23:$U$23,0)))*(VLOOKUP($B153,INDIRECT($B$5&amp;"生成成长"),3))*(VLOOKUP($B$5,标准坦克设计!$B$14:$K$20,9)/30))</f>
        <v>5.9479688256802126</v>
      </c>
      <c r="EC153" s="172">
        <f ca="1">(VLOOKUP(EC$72,INDIRECT($C$5&amp;"生成成长"),2))/((VLOOKUP($B153,INDIRECT($B$5&amp;"生成成长"),4))/(VLOOKUP(EC$72,INDIRECT($C$5&amp;"生成成长"),5))*(VLOOKUP($B$5,标准坦克设计!$B$24:$U$30,MATCH("对"&amp;LEFT($C$5,2)&amp;"输出",标准坦克设计!$B$23:$U$23,0)))*(VLOOKUP($B153,INDIRECT($B$5&amp;"生成成长"),3))*(VLOOKUP($B$5,标准坦克设计!$B$14:$K$20,9)/30))</f>
        <v>6.4984247764607996</v>
      </c>
      <c r="ED153" s="172">
        <f ca="1">(VLOOKUP(ED$72,INDIRECT($C$5&amp;"生成成长"),2))/((VLOOKUP($B153,INDIRECT($B$5&amp;"生成成长"),4))/(VLOOKUP(ED$72,INDIRECT($C$5&amp;"生成成长"),5))*(VLOOKUP($B$5,标准坦克设计!$B$24:$U$30,MATCH("对"&amp;LEFT($C$5,2)&amp;"输出",标准坦克设计!$B$23:$U$23,0)))*(VLOOKUP($B153,INDIRECT($B$5&amp;"生成成长"),3))*(VLOOKUP($B$5,标准坦克设计!$B$14:$K$20,9)/30))</f>
        <v>7.073237185240524</v>
      </c>
      <c r="EE153" s="172">
        <f ca="1">(VLOOKUP(EE$72,INDIRECT($C$5&amp;"生成成长"),2))/((VLOOKUP($B153,INDIRECT($B$5&amp;"生成成长"),4))/(VLOOKUP(EE$72,INDIRECT($C$5&amp;"生成成长"),5))*(VLOOKUP($B$5,标准坦克设计!$B$24:$U$30,MATCH("对"&amp;LEFT($C$5,2)&amp;"输出",标准坦克设计!$B$23:$U$23,0)))*(VLOOKUP($B153,INDIRECT($B$5&amp;"生成成长"),3))*(VLOOKUP($B$5,标准坦克设计!$B$14:$K$20,9)/30))</f>
        <v>7.672406052019392</v>
      </c>
      <c r="EF153" s="172">
        <f ca="1">(VLOOKUP(EF$72,INDIRECT($C$5&amp;"生成成长"),2))/((VLOOKUP($B153,INDIRECT($B$5&amp;"生成成长"),4))/(VLOOKUP(EF$72,INDIRECT($C$5&amp;"生成成长"),5))*(VLOOKUP($B$5,标准坦克设计!$B$24:$U$30,MATCH("对"&amp;LEFT($C$5,2)&amp;"输出",标准坦克设计!$B$23:$U$23,0)))*(VLOOKUP($B153,INDIRECT($B$5&amp;"生成成长"),3))*(VLOOKUP($B$5,标准坦克设计!$B$14:$K$20,9)/30))</f>
        <v>8.2959313767973999</v>
      </c>
      <c r="EG153" s="172">
        <f ca="1">(VLOOKUP(EG$72,INDIRECT($C$5&amp;"生成成长"),2))/((VLOOKUP($B153,INDIRECT($B$5&amp;"生成成长"),4))/(VLOOKUP(EG$72,INDIRECT($C$5&amp;"生成成长"),5))*(VLOOKUP($B$5,标准坦克设计!$B$24:$U$30,MATCH("对"&amp;LEFT($C$5,2)&amp;"输出",标准坦克设计!$B$23:$U$23,0)))*(VLOOKUP($B153,INDIRECT($B$5&amp;"生成成长"),3))*(VLOOKUP($B$5,标准坦克设计!$B$14:$K$20,9)/30))</f>
        <v>8.9438131595745496</v>
      </c>
      <c r="EH153" s="172">
        <f ca="1">(VLOOKUP(EH$72,INDIRECT($C$5&amp;"生成成长"),2))/((VLOOKUP($B153,INDIRECT($B$5&amp;"生成成长"),4))/(VLOOKUP(EH$72,INDIRECT($C$5&amp;"生成成长"),5))*(VLOOKUP($B$5,标准坦克设计!$B$24:$U$30,MATCH("对"&amp;LEFT($C$5,2)&amp;"输出",标准坦克设计!$B$23:$U$23,0)))*(VLOOKUP($B153,INDIRECT($B$5&amp;"生成成长"),3))*(VLOOKUP($B$5,标准坦克设计!$B$14:$K$20,9)/30))</f>
        <v>9.6160514003508375</v>
      </c>
      <c r="EI153" s="172">
        <f ca="1">(VLOOKUP(EI$72,INDIRECT($C$5&amp;"生成成长"),2))/((VLOOKUP($B153,INDIRECT($B$5&amp;"生成成长"),4))/(VLOOKUP(EI$72,INDIRECT($C$5&amp;"生成成长"),5))*(VLOOKUP($B$5,标准坦克设计!$B$24:$U$30,MATCH("对"&amp;LEFT($C$5,2)&amp;"输出",标准坦克设计!$B$23:$U$23,0)))*(VLOOKUP($B153,INDIRECT($B$5&amp;"生成成长"),3))*(VLOOKUP($B$5,标准坦克设计!$B$14:$K$20,9)/30))</f>
        <v>10.312646099126271</v>
      </c>
      <c r="EJ153" s="172">
        <f ca="1">(VLOOKUP(EJ$72,INDIRECT($C$5&amp;"生成成长"),2))/((VLOOKUP($B153,INDIRECT($B$5&amp;"生成成长"),4))/(VLOOKUP(EJ$72,INDIRECT($C$5&amp;"生成成长"),5))*(VLOOKUP($B$5,标准坦克设计!$B$24:$U$30,MATCH("对"&amp;LEFT($C$5,2)&amp;"输出",标准坦克设计!$B$23:$U$23,0)))*(VLOOKUP($B153,INDIRECT($B$5&amp;"生成成长"),3))*(VLOOKUP($B$5,标准坦克设计!$B$14:$K$20,9)/30))</f>
        <v>11.033597255900842</v>
      </c>
      <c r="EK153" s="172">
        <f ca="1">(VLOOKUP(EK$72,INDIRECT($C$5&amp;"生成成长"),2))/((VLOOKUP($B153,INDIRECT($B$5&amp;"生成成长"),4))/(VLOOKUP(EK$72,INDIRECT($C$5&amp;"生成成长"),5))*(VLOOKUP($B$5,标准坦克设计!$B$24:$U$30,MATCH("对"&amp;LEFT($C$5,2)&amp;"输出",标准坦克设计!$B$23:$U$23,0)))*(VLOOKUP($B153,INDIRECT($B$5&amp;"生成成长"),3))*(VLOOKUP($B$5,标准坦克设计!$B$14:$K$20,9)/30))</f>
        <v>11.930889168589195</v>
      </c>
      <c r="EL153" s="172">
        <f ca="1">(VLOOKUP(EL$72,INDIRECT($C$5&amp;"生成成长"),2))/((VLOOKUP($B153,INDIRECT($B$5&amp;"生成成长"),4))/(VLOOKUP(EL$72,INDIRECT($C$5&amp;"生成成长"),5))*(VLOOKUP($B$5,标准坦克设计!$B$24:$U$30,MATCH("对"&amp;LEFT($C$5,2)&amp;"输出",标准坦克设计!$B$23:$U$23,0)))*(VLOOKUP($B153,INDIRECT($B$5&amp;"生成成长"),3))*(VLOOKUP($B$5,标准坦克设计!$B$14:$K$20,9)/30))</f>
        <v>12.863254380796306</v>
      </c>
      <c r="EM153" s="172">
        <f ca="1">(VLOOKUP(EM$72,INDIRECT($C$5&amp;"生成成长"),2))/((VLOOKUP($B153,INDIRECT($B$5&amp;"生成成长"),4))/(VLOOKUP(EM$72,INDIRECT($C$5&amp;"生成成长"),5))*(VLOOKUP($B$5,标准坦克设计!$B$24:$U$30,MATCH("对"&amp;LEFT($C$5,2)&amp;"输出",标准坦克设计!$B$23:$U$23,0)))*(VLOOKUP($B153,INDIRECT($B$5&amp;"生成成长"),3))*(VLOOKUP($B$5,标准坦克设计!$B$14:$K$20,9)/30))</f>
        <v>13.830692892522185</v>
      </c>
      <c r="EN153" s="172">
        <f ca="1">(VLOOKUP(EN$72,INDIRECT($C$5&amp;"生成成长"),2))/((VLOOKUP($B153,INDIRECT($B$5&amp;"生成成长"),4))/(VLOOKUP(EN$72,INDIRECT($C$5&amp;"生成成长"),5))*(VLOOKUP($B$5,标准坦克设计!$B$24:$U$30,MATCH("对"&amp;LEFT($C$5,2)&amp;"输出",标准坦克设计!$B$23:$U$23,0)))*(VLOOKUP($B153,INDIRECT($B$5&amp;"生成成长"),3))*(VLOOKUP($B$5,标准坦克设计!$B$14:$K$20,9)/30))</f>
        <v>14.833204703766828</v>
      </c>
      <c r="EO153" s="172">
        <f ca="1">(VLOOKUP(EO$72,INDIRECT($C$5&amp;"生成成长"),2))/((VLOOKUP($B153,INDIRECT($B$5&amp;"生成成长"),4))/(VLOOKUP(EO$72,INDIRECT($C$5&amp;"生成成长"),5))*(VLOOKUP($B$5,标准坦克设计!$B$24:$U$30,MATCH("对"&amp;LEFT($C$5,2)&amp;"输出",标准坦克设计!$B$23:$U$23,0)))*(VLOOKUP($B153,INDIRECT($B$5&amp;"生成成长"),3))*(VLOOKUP($B$5,标准坦克设计!$B$14:$K$20,9)/30))</f>
        <v>15.87078981453023</v>
      </c>
      <c r="EP153" s="172">
        <f ca="1">(VLOOKUP(EP$72,INDIRECT($C$5&amp;"生成成长"),2))/((VLOOKUP($B153,INDIRECT($B$5&amp;"生成成长"),4))/(VLOOKUP(EP$72,INDIRECT($C$5&amp;"生成成长"),5))*(VLOOKUP($B$5,标准坦克设计!$B$24:$U$30,MATCH("对"&amp;LEFT($C$5,2)&amp;"输出",标准坦克设计!$B$23:$U$23,0)))*(VLOOKUP($B153,INDIRECT($B$5&amp;"生成成长"),3))*(VLOOKUP($B$5,标准坦克设计!$B$14:$K$20,9)/30))</f>
        <v>16.9434482248124</v>
      </c>
      <c r="EQ153" s="172">
        <f ca="1">(VLOOKUP(EQ$72,INDIRECT($C$5&amp;"生成成长"),2))/((VLOOKUP($B153,INDIRECT($B$5&amp;"生成成长"),4))/(VLOOKUP(EQ$72,INDIRECT($C$5&amp;"生成成长"),5))*(VLOOKUP($B$5,标准坦克设计!$B$24:$U$30,MATCH("对"&amp;LEFT($C$5,2)&amp;"输出",标准坦克设计!$B$23:$U$23,0)))*(VLOOKUP($B153,INDIRECT($B$5&amp;"生成成长"),3))*(VLOOKUP($B$5,标准坦克设计!$B$14:$K$20,9)/30))</f>
        <v>7.4900979638958223</v>
      </c>
      <c r="ER153" s="172">
        <f ca="1">(VLOOKUP(ER$72,INDIRECT($C$5&amp;"生成成长"),2))/((VLOOKUP($B153,INDIRECT($B$5&amp;"生成成长"),4))/(VLOOKUP(ER$72,INDIRECT($C$5&amp;"生成成长"),5))*(VLOOKUP($B$5,标准坦克设计!$B$24:$U$30,MATCH("对"&amp;LEFT($C$5,2)&amp;"输出",标准坦克设计!$B$23:$U$23,0)))*(VLOOKUP($B153,INDIRECT($B$5&amp;"生成成长"),3))*(VLOOKUP($B$5,标准坦克设计!$B$14:$K$20,9)/30))</f>
        <v>8.169277795201868</v>
      </c>
      <c r="ES153" s="172">
        <f ca="1">(VLOOKUP(ES$72,INDIRECT($C$5&amp;"生成成长"),2))/((VLOOKUP($B153,INDIRECT($B$5&amp;"生成成长"),4))/(VLOOKUP(ES$72,INDIRECT($C$5&amp;"生成成长"),5))*(VLOOKUP($B$5,标准坦克设计!$B$24:$U$30,MATCH("对"&amp;LEFT($C$5,2)&amp;"输出",标准坦克设计!$B$23:$U$23,0)))*(VLOOKUP($B153,INDIRECT($B$5&amp;"生成成长"),3))*(VLOOKUP($B$5,标准坦克设计!$B$14:$K$20,9)/30))</f>
        <v>8.8779289406868713</v>
      </c>
      <c r="ET153" s="172">
        <f ca="1">(VLOOKUP(ET$72,INDIRECT($C$5&amp;"生成成长"),2))/((VLOOKUP($B153,INDIRECT($B$5&amp;"生成成长"),4))/(VLOOKUP(ET$72,INDIRECT($C$5&amp;"生成成长"),5))*(VLOOKUP($B$5,标准坦克设计!$B$24:$U$30,MATCH("对"&amp;LEFT($C$5,2)&amp;"输出",标准坦克设计!$B$23:$U$23,0)))*(VLOOKUP($B153,INDIRECT($B$5&amp;"生成成长"),3))*(VLOOKUP($B$5,标准坦克设计!$B$14:$K$20,9)/30))</f>
        <v>9.6160514003508375</v>
      </c>
      <c r="EU153" s="172">
        <f ca="1">(VLOOKUP(EU$72,INDIRECT($C$5&amp;"生成成长"),2))/((VLOOKUP($B153,INDIRECT($B$5&amp;"生成成长"),4))/(VLOOKUP(EU$72,INDIRECT($C$5&amp;"生成成长"),5))*(VLOOKUP($B$5,标准坦克设计!$B$24:$U$30,MATCH("对"&amp;LEFT($C$5,2)&amp;"输出",标准坦克设计!$B$23:$U$23,0)))*(VLOOKUP($B153,INDIRECT($B$5&amp;"生成成长"),3))*(VLOOKUP($B$5,标准坦克设计!$B$14:$K$20,9)/30))</f>
        <v>10.383645174193767</v>
      </c>
      <c r="EV153" s="172">
        <f ca="1">(VLOOKUP(EV$72,INDIRECT($C$5&amp;"生成成长"),2))/((VLOOKUP($B153,INDIRECT($B$5&amp;"生成成长"),4))/(VLOOKUP(EV$72,INDIRECT($C$5&amp;"生成成长"),5))*(VLOOKUP($B$5,标准坦克设计!$B$24:$U$30,MATCH("对"&amp;LEFT($C$5,2)&amp;"输出",标准坦克设计!$B$23:$U$23,0)))*(VLOOKUP($B153,INDIRECT($B$5&amp;"生成成长"),3))*(VLOOKUP($B$5,标准坦克设计!$B$14:$K$20,9)/30))</f>
        <v>11.180710262215655</v>
      </c>
      <c r="EW153" s="172">
        <f ca="1">(VLOOKUP(EW$72,INDIRECT($C$5&amp;"生成成长"),2))/((VLOOKUP($B153,INDIRECT($B$5&amp;"生成成长"),4))/(VLOOKUP(EW$72,INDIRECT($C$5&amp;"生成成长"),5))*(VLOOKUP($B$5,标准坦克设计!$B$24:$U$30,MATCH("对"&amp;LEFT($C$5,2)&amp;"输出",标准坦克设计!$B$23:$U$23,0)))*(VLOOKUP($B153,INDIRECT($B$5&amp;"生成成长"),3))*(VLOOKUP($B$5,标准坦克设计!$B$14:$K$20,9)/30))</f>
        <v>12.007246664416501</v>
      </c>
      <c r="EX153" s="172">
        <f ca="1">(VLOOKUP(EX$72,INDIRECT($C$5&amp;"生成成长"),2))/((VLOOKUP($B153,INDIRECT($B$5&amp;"生成成长"),4))/(VLOOKUP(EX$72,INDIRECT($C$5&amp;"生成成长"),5))*(VLOOKUP($B$5,标准坦克设计!$B$24:$U$30,MATCH("对"&amp;LEFT($C$5,2)&amp;"输出",标准坦克设计!$B$23:$U$23,0)))*(VLOOKUP($B153,INDIRECT($B$5&amp;"生成成长"),3))*(VLOOKUP($B$5,标准坦克设计!$B$14:$K$20,9)/30))</f>
        <v>12.863254380796306</v>
      </c>
      <c r="EY153" s="172">
        <f ca="1">(VLOOKUP(EY$72,INDIRECT($C$5&amp;"生成成长"),2))/((VLOOKUP($B153,INDIRECT($B$5&amp;"生成成长"),4))/(VLOOKUP(EY$72,INDIRECT($C$5&amp;"生成成长"),5))*(VLOOKUP($B$5,标准坦克设计!$B$24:$U$30,MATCH("对"&amp;LEFT($C$5,2)&amp;"输出",标准坦克设计!$B$23:$U$23,0)))*(VLOOKUP($B153,INDIRECT($B$5&amp;"生成成长"),3))*(VLOOKUP($B$5,标准坦克设计!$B$14:$K$20,9)/30))</f>
        <v>13.748733411355078</v>
      </c>
      <c r="EZ153" s="172">
        <f ca="1">(VLOOKUP(EZ$72,INDIRECT($C$5&amp;"生成成长"),2))/((VLOOKUP($B153,INDIRECT($B$5&amp;"生成成长"),4))/(VLOOKUP(EZ$72,INDIRECT($C$5&amp;"生成成长"),5))*(VLOOKUP($B$5,标准坦克设计!$B$24:$U$30,MATCH("对"&amp;LEFT($C$5,2)&amp;"输出",标准坦克设计!$B$23:$U$23,0)))*(VLOOKUP($B153,INDIRECT($B$5&amp;"生成成长"),3))*(VLOOKUP($B$5,标准坦克设计!$B$14:$K$20,9)/30))</f>
        <v>14.663683756092809</v>
      </c>
      <c r="FA153" s="172">
        <f ca="1">(VLOOKUP(FA$72,INDIRECT($C$5&amp;"生成成长"),2))/((VLOOKUP($B153,INDIRECT($B$5&amp;"生成成长"),4))/(VLOOKUP(FA$72,INDIRECT($C$5&amp;"生成成长"),5))*(VLOOKUP($B$5,标准坦克设计!$B$24:$U$30,MATCH("对"&amp;LEFT($C$5,2)&amp;"输出",标准坦克设计!$B$23:$U$23,0)))*(VLOOKUP($B153,INDIRECT($B$5&amp;"生成成长"),3))*(VLOOKUP($B$5,标准坦克设计!$B$14:$K$20,9)/30))</f>
        <v>15.608105415009501</v>
      </c>
      <c r="FB153" s="172">
        <f ca="1">(VLOOKUP(FB$72,INDIRECT($C$5&amp;"生成成长"),2))/((VLOOKUP($B153,INDIRECT($B$5&amp;"生成成长"),4))/(VLOOKUP(FB$72,INDIRECT($C$5&amp;"生成成长"),5))*(VLOOKUP($B$5,标准坦克设计!$B$24:$U$30,MATCH("对"&amp;LEFT($C$5,2)&amp;"输出",标准坦克设计!$B$23:$U$23,0)))*(VLOOKUP($B153,INDIRECT($B$5&amp;"生成成长"),3))*(VLOOKUP($B$5,标准坦克设计!$B$14:$K$20,9)/30))</f>
        <v>16.581998388105148</v>
      </c>
      <c r="FC153" s="172">
        <f ca="1">(VLOOKUP(FC$72,INDIRECT($C$5&amp;"生成成长"),2))/((VLOOKUP($B153,INDIRECT($B$5&amp;"生成成长"),4))/(VLOOKUP(FC$72,INDIRECT($C$5&amp;"生成成长"),5))*(VLOOKUP($B$5,标准坦克设计!$B$24:$U$30,MATCH("对"&amp;LEFT($C$5,2)&amp;"输出",标准坦克设计!$B$23:$U$23,0)))*(VLOOKUP($B153,INDIRECT($B$5&amp;"生成成长"),3))*(VLOOKUP($B$5,标准坦克设计!$B$14:$K$20,9)/30))</f>
        <v>17.585362675379759</v>
      </c>
      <c r="FD153" s="172">
        <f ca="1">(VLOOKUP(FD$72,INDIRECT($C$5&amp;"生成成长"),2))/((VLOOKUP($B153,INDIRECT($B$5&amp;"生成成长"),4))/(VLOOKUP(FD$72,INDIRECT($C$5&amp;"生成成长"),5))*(VLOOKUP($B$5,标准坦克设计!$B$24:$U$30,MATCH("对"&amp;LEFT($C$5,2)&amp;"输出",标准坦克设计!$B$23:$U$23,0)))*(VLOOKUP($B153,INDIRECT($B$5&amp;"生成成长"),3))*(VLOOKUP($B$5,标准坦克设计!$B$14:$K$20,9)/30))</f>
        <v>18.618198276833329</v>
      </c>
      <c r="FE153" s="172">
        <f ca="1">(VLOOKUP(FE$72,INDIRECT($C$5&amp;"生成成长"),2))/((VLOOKUP($B153,INDIRECT($B$5&amp;"生成成长"),4))/(VLOOKUP(FE$72,INDIRECT($C$5&amp;"生成成长"),5))*(VLOOKUP($B$5,标准坦克设计!$B$24:$U$30,MATCH("对"&amp;LEFT($C$5,2)&amp;"输出",标准坦克设计!$B$23:$U$23,0)))*(VLOOKUP($B153,INDIRECT($B$5&amp;"生成成长"),3))*(VLOOKUP($B$5,标准坦克设计!$B$14:$K$20,9)/30))</f>
        <v>19.876818243938938</v>
      </c>
      <c r="FF153" s="172">
        <f ca="1">(VLOOKUP(FF$72,INDIRECT($C$5&amp;"生成成长"),2))/((VLOOKUP($B153,INDIRECT($B$5&amp;"生成成长"),4))/(VLOOKUP(FF$72,INDIRECT($C$5&amp;"生成成长"),5))*(VLOOKUP($B$5,标准坦克设计!$B$24:$U$30,MATCH("对"&amp;LEFT($C$5,2)&amp;"输出",标准坦克设计!$B$23:$U$23,0)))*(VLOOKUP($B153,INDIRECT($B$5&amp;"生成成长"),3))*(VLOOKUP($B$5,标准坦克设计!$B$14:$K$20,9)/30))</f>
        <v>21.176600625063095</v>
      </c>
      <c r="FG153" s="172">
        <f ca="1">(VLOOKUP(FG$72,INDIRECT($C$5&amp;"生成成长"),2))/((VLOOKUP($B153,INDIRECT($B$5&amp;"生成成长"),4))/(VLOOKUP(FG$72,INDIRECT($C$5&amp;"生成成长"),5))*(VLOOKUP($B$5,标准坦克设计!$B$24:$U$30,MATCH("对"&amp;LEFT($C$5,2)&amp;"输出",标准坦克设计!$B$23:$U$23,0)))*(VLOOKUP($B153,INDIRECT($B$5&amp;"生成成长"),3))*(VLOOKUP($B$5,标准坦克设计!$B$14:$K$20,9)/30))</f>
        <v>22.517545420205799</v>
      </c>
      <c r="FH153" s="172">
        <f ca="1">(VLOOKUP(FH$72,INDIRECT($C$5&amp;"生成成长"),2))/((VLOOKUP($B153,INDIRECT($B$5&amp;"生成成长"),4))/(VLOOKUP(FH$72,INDIRECT($C$5&amp;"生成成长"),5))*(VLOOKUP($B$5,标准坦克设计!$B$24:$U$30,MATCH("对"&amp;LEFT($C$5,2)&amp;"输出",标准坦克设计!$B$23:$U$23,0)))*(VLOOKUP($B153,INDIRECT($B$5&amp;"生成成长"),3))*(VLOOKUP($B$5,标准坦克设计!$B$14:$K$20,9)/30))</f>
        <v>23.899652629367051</v>
      </c>
      <c r="FI153" s="172">
        <f ca="1">(VLOOKUP(FI$72,INDIRECT($C$5&amp;"生成成长"),2))/((VLOOKUP($B153,INDIRECT($B$5&amp;"生成成长"),4))/(VLOOKUP(FI$72,INDIRECT($C$5&amp;"生成成长"),5))*(VLOOKUP($B$5,标准坦克设计!$B$24:$U$30,MATCH("对"&amp;LEFT($C$5,2)&amp;"输出",标准坦克设计!$B$23:$U$23,0)))*(VLOOKUP($B153,INDIRECT($B$5&amp;"生成成长"),3))*(VLOOKUP($B$5,标准坦克设计!$B$14:$K$20,9)/30))</f>
        <v>25.322922252546856</v>
      </c>
      <c r="FJ153" s="172">
        <f ca="1">(VLOOKUP(FJ$72,INDIRECT($C$5&amp;"生成成长"),2))/((VLOOKUP($B153,INDIRECT($B$5&amp;"生成成长"),4))/(VLOOKUP(FJ$72,INDIRECT($C$5&amp;"生成成长"),5))*(VLOOKUP($B$5,标准坦克设计!$B$24:$U$30,MATCH("对"&amp;LEFT($C$5,2)&amp;"输出",标准坦克设计!$B$23:$U$23,0)))*(VLOOKUP($B153,INDIRECT($B$5&amp;"生成成长"),3))*(VLOOKUP($B$5,标准坦克设计!$B$14:$K$20,9)/30))</f>
        <v>26.787354289745203</v>
      </c>
      <c r="FK153" s="172">
        <f ca="1">(VLOOKUP(FK$72,INDIRECT($C$5&amp;"生成成长"),2))/((VLOOKUP($B153,INDIRECT($B$5&amp;"生成成长"),4))/(VLOOKUP(FK$72,INDIRECT($C$5&amp;"生成成长"),5))*(VLOOKUP($B$5,标准坦克设计!$B$24:$U$30,MATCH("对"&amp;LEFT($C$5,2)&amp;"输出",标准坦克设计!$B$23:$U$23,0)))*(VLOOKUP($B153,INDIRECT($B$5&amp;"生成成长"),3))*(VLOOKUP($B$5,标准坦克设计!$B$14:$K$20,9)/30))</f>
        <v>28.292948740962096</v>
      </c>
    </row>
    <row r="154" spans="1:167" x14ac:dyDescent="0.15">
      <c r="A154" s="170" t="str">
        <f t="shared" si="12"/>
        <v>T4中品质10级</v>
      </c>
      <c r="B154" s="171">
        <v>20410</v>
      </c>
      <c r="C154" s="172">
        <f ca="1">(VLOOKUP(C$72,INDIRECT($C$5&amp;"生成成长"),2))/((VLOOKUP($B154,INDIRECT($B$5&amp;"生成成长"),4))/(VLOOKUP(C$72,INDIRECT($C$5&amp;"生成成长"),5))*(VLOOKUP($B$5,标准坦克设计!$B$24:$U$30,MATCH("对"&amp;LEFT($C$5,2)&amp;"输出",标准坦克设计!$B$23:$U$23,0)))*(VLOOKUP($B154,INDIRECT($B$5&amp;"生成成长"),3))*(VLOOKUP($B$5,标准坦克设计!$B$14:$K$20,9)/30))</f>
        <v>1.1300211470698103</v>
      </c>
      <c r="D154" s="172">
        <f ca="1">(VLOOKUP(D$72,INDIRECT($C$5&amp;"生成成长"),2))/((VLOOKUP($B154,INDIRECT($B$5&amp;"生成成长"),4))/(VLOOKUP(D$72,INDIRECT($C$5&amp;"生成成长"),5))*(VLOOKUP($B$5,标准坦克设计!$B$24:$U$30,MATCH("对"&amp;LEFT($C$5,2)&amp;"输出",标准坦克设计!$B$23:$U$23,0)))*(VLOOKUP($B154,INDIRECT($B$5&amp;"生成成长"),3))*(VLOOKUP($B$5,标准坦克设计!$B$14:$K$20,9)/30))</f>
        <v>1.2696917608476386</v>
      </c>
      <c r="E154" s="172">
        <f ca="1">(VLOOKUP(E$72,INDIRECT($C$5&amp;"生成成长"),2))/((VLOOKUP($B154,INDIRECT($B$5&amp;"生成成长"),4))/(VLOOKUP(E$72,INDIRECT($C$5&amp;"生成成长"),5))*(VLOOKUP($B$5,标准坦克设计!$B$24:$U$30,MATCH("对"&amp;LEFT($C$5,2)&amp;"输出",标准坦克设计!$B$23:$U$23,0)))*(VLOOKUP($B154,INDIRECT($B$5&amp;"生成成长"),3))*(VLOOKUP($B$5,标准坦克设计!$B$14:$K$20,9)/30))</f>
        <v>1.4174985268843698</v>
      </c>
      <c r="F154" s="172">
        <f ca="1">(VLOOKUP(F$72,INDIRECT($C$5&amp;"生成成长"),2))/((VLOOKUP($B154,INDIRECT($B$5&amp;"生成成长"),4))/(VLOOKUP(F$72,INDIRECT($C$5&amp;"生成成长"),5))*(VLOOKUP($B$5,标准坦克设计!$B$24:$U$30,MATCH("对"&amp;LEFT($C$5,2)&amp;"输出",标准坦克设计!$B$23:$U$23,0)))*(VLOOKUP($B154,INDIRECT($B$5&amp;"生成成长"),3))*(VLOOKUP($B$5,标准坦克设计!$B$14:$K$20,9)/30))</f>
        <v>1.5734414451800038</v>
      </c>
      <c r="G154" s="172">
        <f ca="1">(VLOOKUP(G$72,INDIRECT($C$5&amp;"生成成长"),2))/((VLOOKUP($B154,INDIRECT($B$5&amp;"生成成长"),4))/(VLOOKUP(G$72,INDIRECT($C$5&amp;"生成成长"),5))*(VLOOKUP($B$5,标准坦克设计!$B$24:$U$30,MATCH("对"&amp;LEFT($C$5,2)&amp;"输出",标准坦克设计!$B$23:$U$23,0)))*(VLOOKUP($B154,INDIRECT($B$5&amp;"生成成长"),3))*(VLOOKUP($B$5,标准坦克设计!$B$14:$K$20,9)/30))</f>
        <v>1.7375205157345401</v>
      </c>
      <c r="H154" s="172">
        <f ca="1">(VLOOKUP(H$72,INDIRECT($C$5&amp;"生成成长"),2))/((VLOOKUP($B154,INDIRECT($B$5&amp;"生成成长"),4))/(VLOOKUP(H$72,INDIRECT($C$5&amp;"生成成长"),5))*(VLOOKUP($B$5,标准坦克设计!$B$24:$U$30,MATCH("对"&amp;LEFT($C$5,2)&amp;"输出",标准坦克设计!$B$23:$U$23,0)))*(VLOOKUP($B154,INDIRECT($B$5&amp;"生成成长"),3))*(VLOOKUP($B$5,标准坦克设计!$B$14:$K$20,9)/30))</f>
        <v>1.5205564554971367</v>
      </c>
      <c r="I154" s="172">
        <f ca="1">(VLOOKUP(I$72,INDIRECT($C$5&amp;"生成成长"),2))/((VLOOKUP($B154,INDIRECT($B$5&amp;"生成成长"),4))/(VLOOKUP(I$72,INDIRECT($C$5&amp;"生成成长"),5))*(VLOOKUP($B$5,标准坦克设计!$B$24:$U$30,MATCH("对"&amp;LEFT($C$5,2)&amp;"输出",标准坦克设计!$B$23:$U$23,0)))*(VLOOKUP($B154,INDIRECT($B$5&amp;"生成成长"),3))*(VLOOKUP($B$5,标准坦克设计!$B$14:$K$20,9)/30))</f>
        <v>1.7375205157345401</v>
      </c>
      <c r="J154" s="172">
        <f ca="1">(VLOOKUP(J$72,INDIRECT($C$5&amp;"生成成长"),2))/((VLOOKUP($B154,INDIRECT($B$5&amp;"生成成长"),4))/(VLOOKUP(J$72,INDIRECT($C$5&amp;"生成成长"),5))*(VLOOKUP($B$5,标准坦克设计!$B$24:$U$30,MATCH("对"&amp;LEFT($C$5,2)&amp;"输出",标准坦克设计!$B$23:$U$23,0)))*(VLOOKUP($B154,INDIRECT($B$5&amp;"生成成长"),3))*(VLOOKUP($B$5,标准坦克设计!$B$14:$K$20,9)/30))</f>
        <v>1.9689488466544371</v>
      </c>
      <c r="K154" s="172">
        <f ca="1">(VLOOKUP(K$72,INDIRECT($C$5&amp;"生成成长"),2))/((VLOOKUP($B154,INDIRECT($B$5&amp;"生成成长"),4))/(VLOOKUP(K$72,INDIRECT($C$5&amp;"生成成长"),5))*(VLOOKUP($B$5,标准坦克设计!$B$24:$U$30,MATCH("对"&amp;LEFT($C$5,2)&amp;"输出",标准坦克设计!$B$23:$U$23,0)))*(VLOOKUP($B154,INDIRECT($B$5&amp;"生成成长"),3))*(VLOOKUP($B$5,标准坦克设计!$B$14:$K$20,9)/30))</f>
        <v>2.2148414482568279</v>
      </c>
      <c r="L154" s="172">
        <f ca="1">(VLOOKUP(L$72,INDIRECT($C$5&amp;"生成成长"),2))/((VLOOKUP($B154,INDIRECT($B$5&amp;"生成成长"),4))/(VLOOKUP(L$72,INDIRECT($C$5&amp;"生成成长"),5))*(VLOOKUP($B$5,标准坦克设计!$B$24:$U$30,MATCH("对"&amp;LEFT($C$5,2)&amp;"输出",标准坦克设计!$B$23:$U$23,0)))*(VLOOKUP($B154,INDIRECT($B$5&amp;"生成成长"),3))*(VLOOKUP($B$5,标准坦克设计!$B$14:$K$20,9)/30))</f>
        <v>2.4751983205417125</v>
      </c>
      <c r="M154" s="172">
        <f ca="1">(VLOOKUP(M$72,INDIRECT($C$5&amp;"生成成长"),2))/((VLOOKUP($B154,INDIRECT($B$5&amp;"生成成长"),4))/(VLOOKUP(M$72,INDIRECT($C$5&amp;"生成成长"),5))*(VLOOKUP($B$5,标准坦克设计!$B$24:$U$30,MATCH("对"&amp;LEFT($C$5,2)&amp;"输出",标准坦克设计!$B$23:$U$23,0)))*(VLOOKUP($B154,INDIRECT($B$5&amp;"生成成长"),3))*(VLOOKUP($B$5,标准坦克设计!$B$14:$K$20,9)/30))</f>
        <v>2.7500194635090907</v>
      </c>
      <c r="N154" s="172">
        <f ca="1">(VLOOKUP(N$72,INDIRECT($C$5&amp;"生成成长"),2))/((VLOOKUP($B154,INDIRECT($B$5&amp;"生成成长"),4))/(VLOOKUP(N$72,INDIRECT($C$5&amp;"生成成长"),5))*(VLOOKUP($B$5,标准坦克设计!$B$24:$U$30,MATCH("对"&amp;LEFT($C$5,2)&amp;"输出",标准坦克设计!$B$23:$U$23,0)))*(VLOOKUP($B154,INDIRECT($B$5&amp;"生成成长"),3))*(VLOOKUP($B$5,标准坦克设计!$B$14:$K$20,9)/30))</f>
        <v>3.0393048771589619</v>
      </c>
      <c r="O154" s="172">
        <f ca="1">(VLOOKUP(O$72,INDIRECT($C$5&amp;"生成成长"),2))/((VLOOKUP($B154,INDIRECT($B$5&amp;"生成成长"),4))/(VLOOKUP(O$72,INDIRECT($C$5&amp;"生成成长"),5))*(VLOOKUP($B$5,标准坦克设计!$B$24:$U$30,MATCH("对"&amp;LEFT($C$5,2)&amp;"输出",标准坦克设计!$B$23:$U$23,0)))*(VLOOKUP($B154,INDIRECT($B$5&amp;"生成成长"),3))*(VLOOKUP($B$5,标准坦克设计!$B$14:$K$20,9)/30))</f>
        <v>2.3107802436430553</v>
      </c>
      <c r="P154" s="172">
        <f ca="1">(VLOOKUP(P$72,INDIRECT($C$5&amp;"生成成长"),2))/((VLOOKUP($B154,INDIRECT($B$5&amp;"生成成长"),4))/(VLOOKUP(P$72,INDIRECT($C$5&amp;"生成成长"),5))*(VLOOKUP($B$5,标准坦克设计!$B$24:$U$30,MATCH("对"&amp;LEFT($C$5,2)&amp;"输出",标准坦克设计!$B$23:$U$23,0)))*(VLOOKUP($B154,INDIRECT($B$5&amp;"生成成长"),3))*(VLOOKUP($B$5,标准坦克设计!$B$14:$K$20,9)/30))</f>
        <v>2.6108008581900894</v>
      </c>
      <c r="Q154" s="172">
        <f ca="1">(VLOOKUP(Q$72,INDIRECT($C$5&amp;"生成成长"),2))/((VLOOKUP($B154,INDIRECT($B$5&amp;"生成成长"),4))/(VLOOKUP(Q$72,INDIRECT($C$5&amp;"生成成长"),5))*(VLOOKUP($B$5,标准坦克设计!$B$24:$U$30,MATCH("对"&amp;LEFT($C$5,2)&amp;"输出",标准坦克设计!$B$23:$U$23,0)))*(VLOOKUP($B154,INDIRECT($B$5&amp;"生成成长"),3))*(VLOOKUP($B$5,标准坦克设计!$B$14:$K$20,9)/30))</f>
        <v>2.9291278153196556</v>
      </c>
      <c r="R154" s="172">
        <f ca="1">(VLOOKUP(R$72,INDIRECT($C$5&amp;"生成成长"),2))/((VLOOKUP($B154,INDIRECT($B$5&amp;"生成成长"),4))/(VLOOKUP(R$72,INDIRECT($C$5&amp;"生成成长"),5))*(VLOOKUP($B$5,标准坦克设计!$B$24:$U$30,MATCH("对"&amp;LEFT($C$5,2)&amp;"输出",标准坦克设计!$B$23:$U$23,0)))*(VLOOKUP($B154,INDIRECT($B$5&amp;"生成成长"),3))*(VLOOKUP($B$5,标准坦克设计!$B$14:$K$20,9)/30))</f>
        <v>3.2657611150317516</v>
      </c>
      <c r="S154" s="172">
        <f ca="1">(VLOOKUP(S$72,INDIRECT($C$5&amp;"生成成长"),2))/((VLOOKUP($B154,INDIRECT($B$5&amp;"生成成长"),4))/(VLOOKUP(S$72,INDIRECT($C$5&amp;"生成成长"),5))*(VLOOKUP($B$5,标准坦克设计!$B$24:$U$30,MATCH("对"&amp;LEFT($C$5,2)&amp;"输出",标准坦克设计!$B$23:$U$23,0)))*(VLOOKUP($B154,INDIRECT($B$5&amp;"生成成长"),3))*(VLOOKUP($B$5,标准坦克设计!$B$14:$K$20,9)/30))</f>
        <v>3.6207007573263792</v>
      </c>
      <c r="T154" s="172">
        <f ca="1">(VLOOKUP(T$72,INDIRECT($C$5&amp;"生成成长"),2))/((VLOOKUP($B154,INDIRECT($B$5&amp;"生成成长"),4))/(VLOOKUP(T$72,INDIRECT($C$5&amp;"生成成长"),5))*(VLOOKUP($B$5,标准坦克设计!$B$24:$U$30,MATCH("对"&amp;LEFT($C$5,2)&amp;"输出",标准坦克设计!$B$23:$U$23,0)))*(VLOOKUP($B154,INDIRECT($B$5&amp;"生成成长"),3))*(VLOOKUP($B$5,标准坦克设计!$B$14:$K$20,9)/30))</f>
        <v>3.9939467422035375</v>
      </c>
      <c r="U154" s="172">
        <f ca="1">(VLOOKUP(U$72,INDIRECT($C$5&amp;"生成成长"),2))/((VLOOKUP($B154,INDIRECT($B$5&amp;"生成成长"),4))/(VLOOKUP(U$72,INDIRECT($C$5&amp;"生成成长"),5))*(VLOOKUP($B$5,标准坦克设计!$B$24:$U$30,MATCH("对"&amp;LEFT($C$5,2)&amp;"输出",标准坦克设计!$B$23:$U$23,0)))*(VLOOKUP($B154,INDIRECT($B$5&amp;"生成成长"),3))*(VLOOKUP($B$5,标准坦克设计!$B$14:$K$20,9)/30))</f>
        <v>4.3854990696632266</v>
      </c>
      <c r="V154" s="172">
        <f ca="1">(VLOOKUP(V$72,INDIRECT($C$5&amp;"生成成长"),2))/((VLOOKUP($B154,INDIRECT($B$5&amp;"生成成长"),4))/(VLOOKUP(V$72,INDIRECT($C$5&amp;"生成成长"),5))*(VLOOKUP($B$5,标准坦克设计!$B$24:$U$30,MATCH("对"&amp;LEFT($C$5,2)&amp;"输出",标准坦克设计!$B$23:$U$23,0)))*(VLOOKUP($B154,INDIRECT($B$5&amp;"生成成长"),3))*(VLOOKUP($B$5,标准坦克设计!$B$14:$K$20,9)/30))</f>
        <v>4.7953577397054463</v>
      </c>
      <c r="W154" s="172">
        <f ca="1">(VLOOKUP(W$72,INDIRECT($C$5&amp;"生成成长"),2))/((VLOOKUP($B154,INDIRECT($B$5&amp;"生成成长"),4))/(VLOOKUP(W$72,INDIRECT($C$5&amp;"生成成长"),5))*(VLOOKUP($B$5,标准坦克设计!$B$24:$U$30,MATCH("对"&amp;LEFT($C$5,2)&amp;"输出",标准坦克设计!$B$23:$U$23,0)))*(VLOOKUP($B154,INDIRECT($B$5&amp;"生成成长"),3))*(VLOOKUP($B$5,标准坦克设计!$B$14:$K$20,9)/30))</f>
        <v>5.2235227523301981</v>
      </c>
      <c r="X154" s="172">
        <f ca="1">(VLOOKUP(X$72,INDIRECT($C$5&amp;"生成成长"),2))/((VLOOKUP($B154,INDIRECT($B$5&amp;"生成成长"),4))/(VLOOKUP(X$72,INDIRECT($C$5&amp;"生成成长"),5))*(VLOOKUP($B$5,标准坦克设计!$B$24:$U$30,MATCH("对"&amp;LEFT($C$5,2)&amp;"输出",标准坦克设计!$B$23:$U$23,0)))*(VLOOKUP($B154,INDIRECT($B$5&amp;"生成成长"),3))*(VLOOKUP($B$5,标准坦克设计!$B$14:$K$20,9)/30))</f>
        <v>3.7843278194220882</v>
      </c>
      <c r="Y154" s="172">
        <f ca="1">(VLOOKUP(Y$72,INDIRECT($C$5&amp;"生成成长"),2))/((VLOOKUP($B154,INDIRECT($B$5&amp;"生成成长"),4))/(VLOOKUP(Y$72,INDIRECT($C$5&amp;"生成成长"),5))*(VLOOKUP($B$5,标准坦克设计!$B$24:$U$30,MATCH("对"&amp;LEFT($C$5,2)&amp;"输出",标准坦克设计!$B$23:$U$23,0)))*(VLOOKUP($B154,INDIRECT($B$5&amp;"生成成长"),3))*(VLOOKUP($B$5,标准坦克设计!$B$14:$K$20,9)/30))</f>
        <v>4.2092157707203359</v>
      </c>
      <c r="Z154" s="172">
        <f ca="1">(VLOOKUP(Z$72,INDIRECT($C$5&amp;"生成成长"),2))/((VLOOKUP($B154,INDIRECT($B$5&amp;"生成成长"),4))/(VLOOKUP(Z$72,INDIRECT($C$5&amp;"生成成长"),5))*(VLOOKUP($B$5,标准坦克设计!$B$24:$U$30,MATCH("对"&amp;LEFT($C$5,2)&amp;"输出",标准坦克设计!$B$23:$U$23,0)))*(VLOOKUP($B154,INDIRECT($B$5&amp;"生成成长"),3))*(VLOOKUP($B$5,标准坦克设计!$B$14:$K$20,9)/30))</f>
        <v>4.6567041449599813</v>
      </c>
      <c r="AA154" s="172">
        <f ca="1">(VLOOKUP(AA$72,INDIRECT($C$5&amp;"生成成长"),2))/((VLOOKUP($B154,INDIRECT($B$5&amp;"生成成长"),4))/(VLOOKUP(AA$72,INDIRECT($C$5&amp;"生成成长"),5))*(VLOOKUP($B$5,标准坦克设计!$B$24:$U$30,MATCH("对"&amp;LEFT($C$5,2)&amp;"输出",标准坦克设计!$B$23:$U$23,0)))*(VLOOKUP($B154,INDIRECT($B$5&amp;"生成成长"),3))*(VLOOKUP($B$5,标准坦克设计!$B$14:$K$20,9)/30))</f>
        <v>5.1267929421410221</v>
      </c>
      <c r="AB154" s="172">
        <f ca="1">(VLOOKUP(AB$72,INDIRECT($C$5&amp;"生成成长"),2))/((VLOOKUP($B154,INDIRECT($B$5&amp;"生成成长"),4))/(VLOOKUP(AB$72,INDIRECT($C$5&amp;"生成成长"),5))*(VLOOKUP($B$5,标准坦克设计!$B$24:$U$30,MATCH("对"&amp;LEFT($C$5,2)&amp;"输出",标准坦克设计!$B$23:$U$23,0)))*(VLOOKUP($B154,INDIRECT($B$5&amp;"生成成长"),3))*(VLOOKUP($B$5,标准坦克设计!$B$14:$K$20,9)/30))</f>
        <v>5.6194821622634601</v>
      </c>
      <c r="AC154" s="172">
        <f ca="1">(VLOOKUP(AC$72,INDIRECT($C$5&amp;"生成成长"),2))/((VLOOKUP($B154,INDIRECT($B$5&amp;"生成成长"),4))/(VLOOKUP(AC$72,INDIRECT($C$5&amp;"生成成长"),5))*(VLOOKUP($B$5,标准坦克设计!$B$24:$U$30,MATCH("对"&amp;LEFT($C$5,2)&amp;"输出",标准坦克设计!$B$23:$U$23,0)))*(VLOOKUP($B154,INDIRECT($B$5&amp;"生成成长"),3))*(VLOOKUP($B$5,标准坦克设计!$B$14:$K$20,9)/30))</f>
        <v>6.1347718053272926</v>
      </c>
      <c r="AD154" s="172">
        <f ca="1">(VLOOKUP(AD$72,INDIRECT($C$5&amp;"生成成长"),2))/((VLOOKUP($B154,INDIRECT($B$5&amp;"生成成长"),4))/(VLOOKUP(AD$72,INDIRECT($C$5&amp;"生成成长"),5))*(VLOOKUP($B$5,标准坦克设计!$B$24:$U$30,MATCH("对"&amp;LEFT($C$5,2)&amp;"输出",标准坦克设计!$B$23:$U$23,0)))*(VLOOKUP($B154,INDIRECT($B$5&amp;"生成成长"),3))*(VLOOKUP($B$5,标准坦克设计!$B$14:$K$20,9)/30))</f>
        <v>6.6726618713325214</v>
      </c>
      <c r="AE154" s="172">
        <f ca="1">(VLOOKUP(AE$72,INDIRECT($C$5&amp;"生成成长"),2))/((VLOOKUP($B154,INDIRECT($B$5&amp;"生成成长"),4))/(VLOOKUP(AE$72,INDIRECT($C$5&amp;"生成成长"),5))*(VLOOKUP($B$5,标准坦克设计!$B$24:$U$30,MATCH("对"&amp;LEFT($C$5,2)&amp;"输出",标准坦克设计!$B$23:$U$23,0)))*(VLOOKUP($B154,INDIRECT($B$5&amp;"生成成长"),3))*(VLOOKUP($B$5,标准坦克设计!$B$14:$K$20,9)/30))</f>
        <v>7.2331523602791492</v>
      </c>
      <c r="AF154" s="172">
        <f ca="1">(VLOOKUP(AF$72,INDIRECT($C$5&amp;"生成成长"),2))/((VLOOKUP($B154,INDIRECT($B$5&amp;"生成成长"),4))/(VLOOKUP(AF$72,INDIRECT($C$5&amp;"生成成长"),5))*(VLOOKUP($B$5,标准坦克设计!$B$24:$U$30,MATCH("对"&amp;LEFT($C$5,2)&amp;"输出",标准坦克设计!$B$23:$U$23,0)))*(VLOOKUP($B154,INDIRECT($B$5&amp;"生成成长"),3))*(VLOOKUP($B$5,标准坦克设计!$B$14:$K$20,9)/30))</f>
        <v>7.8162432721671715</v>
      </c>
      <c r="AG154" s="172">
        <f ca="1">(VLOOKUP(AG$72,INDIRECT($C$5&amp;"生成成长"),2))/((VLOOKUP($B154,INDIRECT($B$5&amp;"生成成长"),4))/(VLOOKUP(AG$72,INDIRECT($C$5&amp;"生成成长"),5))*(VLOOKUP($B$5,标准坦克设计!$B$24:$U$30,MATCH("对"&amp;LEFT($C$5,2)&amp;"输出",标准坦克设计!$B$23:$U$23,0)))*(VLOOKUP($B154,INDIRECT($B$5&amp;"生成成长"),3))*(VLOOKUP($B$5,标准坦克设计!$B$14:$K$20,9)/30))</f>
        <v>8.4219346069965901</v>
      </c>
      <c r="AH154" s="172">
        <f ca="1">(VLOOKUP(AH$72,INDIRECT($C$5&amp;"生成成长"),2))/((VLOOKUP($B154,INDIRECT($B$5&amp;"生成成长"),4))/(VLOOKUP(AH$72,INDIRECT($C$5&amp;"生成成长"),5))*(VLOOKUP($B$5,标准坦克设计!$B$24:$U$30,MATCH("对"&amp;LEFT($C$5,2)&amp;"输出",标准坦克设计!$B$23:$U$23,0)))*(VLOOKUP($B154,INDIRECT($B$5&amp;"生成成长"),3))*(VLOOKUP($B$5,标准坦克设计!$B$14:$K$20,9)/30))</f>
        <v>9.0502263647674042</v>
      </c>
      <c r="AI154" s="172">
        <f ca="1">(VLOOKUP(AI$72,INDIRECT($C$5&amp;"生成成长"),2))/((VLOOKUP($B154,INDIRECT($B$5&amp;"生成成长"),4))/(VLOOKUP(AI$72,INDIRECT($C$5&amp;"生成成长"),5))*(VLOOKUP($B$5,标准坦克设计!$B$24:$U$30,MATCH("对"&amp;LEFT($C$5,2)&amp;"输出",标准坦克设计!$B$23:$U$23,0)))*(VLOOKUP($B154,INDIRECT($B$5&amp;"生成成长"),3))*(VLOOKUP($B$5,标准坦克设计!$B$14:$K$20,9)/30))</f>
        <v>6.4008917854622327</v>
      </c>
      <c r="AJ154" s="172">
        <f ca="1">(VLOOKUP(AJ$72,INDIRECT($C$5&amp;"生成成长"),2))/((VLOOKUP($B154,INDIRECT($B$5&amp;"生成成长"),4))/(VLOOKUP(AJ$72,INDIRECT($C$5&amp;"生成成长"),5))*(VLOOKUP($B$5,标准坦克设计!$B$24:$U$30,MATCH("对"&amp;LEFT($C$5,2)&amp;"输出",标准坦克设计!$B$23:$U$23,0)))*(VLOOKUP($B154,INDIRECT($B$5&amp;"生成成长"),3))*(VLOOKUP($B$5,标准坦克设计!$B$14:$K$20,9)/30))</f>
        <v>7.0062441139475284</v>
      </c>
      <c r="AK154" s="172">
        <f ca="1">(VLOOKUP(AK$72,INDIRECT($C$5&amp;"生成成长"),2))/((VLOOKUP($B154,INDIRECT($B$5&amp;"生成成长"),4))/(VLOOKUP(AK$72,INDIRECT($C$5&amp;"生成成长"),5))*(VLOOKUP($B$5,标准坦克设计!$B$24:$U$30,MATCH("对"&amp;LEFT($C$5,2)&amp;"输出",标准坦克设计!$B$23:$U$23,0)))*(VLOOKUP($B154,INDIRECT($B$5&amp;"生成成长"),3))*(VLOOKUP($B$5,标准坦克设计!$B$14:$K$20,9)/30))</f>
        <v>7.6389429541919185</v>
      </c>
      <c r="AL154" s="172">
        <f ca="1">(VLOOKUP(AL$72,INDIRECT($C$5&amp;"生成成长"),2))/((VLOOKUP($B154,INDIRECT($B$5&amp;"生成成长"),4))/(VLOOKUP(AL$72,INDIRECT($C$5&amp;"生成成长"),5))*(VLOOKUP($B$5,标准坦克设计!$B$24:$U$30,MATCH("对"&amp;LEFT($C$5,2)&amp;"输出",标准坦克设计!$B$23:$U$23,0)))*(VLOOKUP($B154,INDIRECT($B$5&amp;"生成成长"),3))*(VLOOKUP($B$5,标准坦克设计!$B$14:$K$20,9)/30))</f>
        <v>8.298988306195394</v>
      </c>
      <c r="AM154" s="172">
        <f ca="1">(VLOOKUP(AM$72,INDIRECT($C$5&amp;"生成成长"),2))/((VLOOKUP($B154,INDIRECT($B$5&amp;"生成成长"),4))/(VLOOKUP(AM$72,INDIRECT($C$5&amp;"生成成长"),5))*(VLOOKUP($B$5,标准坦克设计!$B$24:$U$30,MATCH("对"&amp;LEFT($C$5,2)&amp;"输出",标准坦克设计!$B$23:$U$23,0)))*(VLOOKUP($B154,INDIRECT($B$5&amp;"生成成长"),3))*(VLOOKUP($B$5,标准坦克设计!$B$14:$K$20,9)/30))</f>
        <v>8.9863801699579593</v>
      </c>
      <c r="AN154" s="172">
        <f ca="1">(VLOOKUP(AN$72,INDIRECT($C$5&amp;"生成成长"),2))/((VLOOKUP($B154,INDIRECT($B$5&amp;"生成成长"),4))/(VLOOKUP(AN$72,INDIRECT($C$5&amp;"生成成长"),5))*(VLOOKUP($B$5,标准坦克设计!$B$24:$U$30,MATCH("对"&amp;LEFT($C$5,2)&amp;"输出",标准坦克设计!$B$23:$U$23,0)))*(VLOOKUP($B154,INDIRECT($B$5&amp;"生成成长"),3))*(VLOOKUP($B$5,标准坦克设计!$B$14:$K$20,9)/30))</f>
        <v>9.7011185454796145</v>
      </c>
      <c r="AO154" s="172">
        <f ca="1">(VLOOKUP(AO$72,INDIRECT($C$5&amp;"生成成长"),2))/((VLOOKUP($B154,INDIRECT($B$5&amp;"生成成长"),4))/(VLOOKUP(AO$72,INDIRECT($C$5&amp;"生成成长"),5))*(VLOOKUP($B$5,标准坦克设计!$B$24:$U$30,MATCH("对"&amp;LEFT($C$5,2)&amp;"输出",标准坦克设计!$B$23:$U$23,0)))*(VLOOKUP($B154,INDIRECT($B$5&amp;"生成成长"),3))*(VLOOKUP($B$5,标准坦克设计!$B$14:$K$20,9)/30))</f>
        <v>10.443203432760358</v>
      </c>
      <c r="AP154" s="172">
        <f ca="1">(VLOOKUP(AP$72,INDIRECT($C$5&amp;"生成成长"),2))/((VLOOKUP($B154,INDIRECT($B$5&amp;"生成成长"),4))/(VLOOKUP(AP$72,INDIRECT($C$5&amp;"生成成长"),5))*(VLOOKUP($B$5,标准坦克设计!$B$24:$U$30,MATCH("对"&amp;LEFT($C$5,2)&amp;"输出",标准坦克设计!$B$23:$U$23,0)))*(VLOOKUP($B154,INDIRECT($B$5&amp;"生成成长"),3))*(VLOOKUP($B$5,标准坦克设计!$B$14:$K$20,9)/30))</f>
        <v>11.212634831800193</v>
      </c>
      <c r="AQ154" s="172">
        <f ca="1">(VLOOKUP(AQ$72,INDIRECT($C$5&amp;"生成成长"),2))/((VLOOKUP($B154,INDIRECT($B$5&amp;"生成成长"),4))/(VLOOKUP(AQ$72,INDIRECT($C$5&amp;"生成成长"),5))*(VLOOKUP($B$5,标准坦克设计!$B$24:$U$30,MATCH("对"&amp;LEFT($C$5,2)&amp;"输出",标准坦克设计!$B$23:$U$23,0)))*(VLOOKUP($B154,INDIRECT($B$5&amp;"生成成长"),3))*(VLOOKUP($B$5,标准坦克设计!$B$14:$K$20,9)/30))</f>
        <v>12.009412742599116</v>
      </c>
      <c r="AR154" s="172">
        <f ca="1">(VLOOKUP(AR$72,INDIRECT($C$5&amp;"生成成长"),2))/((VLOOKUP($B154,INDIRECT($B$5&amp;"生成成长"),4))/(VLOOKUP(AR$72,INDIRECT($C$5&amp;"生成成长"),5))*(VLOOKUP($B$5,标准坦克设计!$B$24:$U$30,MATCH("对"&amp;LEFT($C$5,2)&amp;"输出",标准坦克设计!$B$23:$U$23,0)))*(VLOOKUP($B154,INDIRECT($B$5&amp;"生成成长"),3))*(VLOOKUP($B$5,标准坦克设计!$B$14:$K$20,9)/30))</f>
        <v>12.833537165157129</v>
      </c>
      <c r="AS154" s="172">
        <f ca="1">(VLOOKUP(AS$72,INDIRECT($C$5&amp;"生成成长"),2))/((VLOOKUP($B154,INDIRECT($B$5&amp;"生成成长"),4))/(VLOOKUP(AS$72,INDIRECT($C$5&amp;"生成成长"),5))*(VLOOKUP($B$5,标准坦克设计!$B$24:$U$30,MATCH("对"&amp;LEFT($C$5,2)&amp;"输出",标准坦克设计!$B$23:$U$23,0)))*(VLOOKUP($B154,INDIRECT($B$5&amp;"生成成长"),3))*(VLOOKUP($B$5,标准坦克设计!$B$14:$K$20,9)/30))</f>
        <v>13.68500809947423</v>
      </c>
      <c r="AT154" s="172">
        <f ca="1">(VLOOKUP(AT$72,INDIRECT($C$5&amp;"生成成长"),2))/((VLOOKUP($B154,INDIRECT($B$5&amp;"生成成长"),4))/(VLOOKUP(AT$72,INDIRECT($C$5&amp;"生成成长"),5))*(VLOOKUP($B$5,标准坦克设计!$B$24:$U$30,MATCH("对"&amp;LEFT($C$5,2)&amp;"输出",标准坦克设计!$B$23:$U$23,0)))*(VLOOKUP($B154,INDIRECT($B$5&amp;"生成成长"),3))*(VLOOKUP($B$5,标准坦克设计!$B$14:$K$20,9)/30))</f>
        <v>14.563825545550422</v>
      </c>
      <c r="AU154" s="172">
        <f ca="1">(VLOOKUP(AU$72,INDIRECT($C$5&amp;"生成成长"),2))/((VLOOKUP($B154,INDIRECT($B$5&amp;"生成成长"),4))/(VLOOKUP(AU$72,INDIRECT($C$5&amp;"生成成长"),5))*(VLOOKUP($B$5,标准坦克设计!$B$24:$U$30,MATCH("对"&amp;LEFT($C$5,2)&amp;"输出",标准坦克设计!$B$23:$U$23,0)))*(VLOOKUP($B154,INDIRECT($B$5&amp;"生成成长"),3))*(VLOOKUP($B$5,标准坦克设计!$B$14:$K$20,9)/30))</f>
        <v>15.469989503385703</v>
      </c>
      <c r="AV154" s="172">
        <f ca="1">(VLOOKUP(AV$72,INDIRECT($C$5&amp;"生成成长"),2))/((VLOOKUP($B154,INDIRECT($B$5&amp;"生成成长"),4))/(VLOOKUP(AV$72,INDIRECT($C$5&amp;"生成成长"),5))*(VLOOKUP($B$5,标准坦克设计!$B$24:$U$30,MATCH("对"&amp;LEFT($C$5,2)&amp;"输出",标准坦克设计!$B$23:$U$23,0)))*(VLOOKUP($B154,INDIRECT($B$5&amp;"生成成长"),3))*(VLOOKUP($B$5,标准坦克设计!$B$14:$K$20,9)/30))</f>
        <v>1.5734414451800038</v>
      </c>
      <c r="AW154" s="172">
        <f ca="1">(VLOOKUP(AW$72,INDIRECT($C$5&amp;"生成成长"),2))/((VLOOKUP($B154,INDIRECT($B$5&amp;"生成成长"),4))/(VLOOKUP(AW$72,INDIRECT($C$5&amp;"生成成长"),5))*(VLOOKUP($B$5,标准坦克设计!$B$24:$U$30,MATCH("对"&amp;LEFT($C$5,2)&amp;"输出",标准坦克设计!$B$23:$U$23,0)))*(VLOOKUP($B154,INDIRECT($B$5&amp;"生成成长"),3))*(VLOOKUP($B$5,标准坦克设计!$B$14:$K$20,9)/30))</f>
        <v>1.7940215730880307</v>
      </c>
      <c r="AX154" s="172">
        <f ca="1">(VLOOKUP(AX$72,INDIRECT($C$5&amp;"生成成长"),2))/((VLOOKUP($B154,INDIRECT($B$5&amp;"生成成长"),4))/(VLOOKUP(AX$72,INDIRECT($C$5&amp;"生成成长"),5))*(VLOOKUP($B$5,标准坦克设计!$B$24:$U$30,MATCH("对"&amp;LEFT($C$5,2)&amp;"输出",标准坦克设计!$B$23:$U$23,0)))*(VLOOKUP($B154,INDIRECT($B$5&amp;"生成成长"),3))*(VLOOKUP($B$5,标准坦克设计!$B$14:$K$20,9)/30))</f>
        <v>2.0290659716785515</v>
      </c>
      <c r="AY154" s="172">
        <f ca="1">(VLOOKUP(AY$72,INDIRECT($C$5&amp;"生成成长"),2))/((VLOOKUP($B154,INDIRECT($B$5&amp;"生成成长"),4))/(VLOOKUP(AY$72,INDIRECT($C$5&amp;"生成成长"),5))*(VLOOKUP($B$5,标准坦克设计!$B$24:$U$30,MATCH("对"&amp;LEFT($C$5,2)&amp;"输出",标准坦克设计!$B$23:$U$23,0)))*(VLOOKUP($B154,INDIRECT($B$5&amp;"生成成长"),3))*(VLOOKUP($B$5,标准坦克设计!$B$14:$K$20,9)/30))</f>
        <v>2.2785746409515655</v>
      </c>
      <c r="AZ154" s="172">
        <f ca="1">(VLOOKUP(AZ$72,INDIRECT($C$5&amp;"生成成长"),2))/((VLOOKUP($B154,INDIRECT($B$5&amp;"生成成长"),4))/(VLOOKUP(AZ$72,INDIRECT($C$5&amp;"生成成长"),5))*(VLOOKUP($B$5,标准坦克设计!$B$24:$U$30,MATCH("对"&amp;LEFT($C$5,2)&amp;"输出",标准坦克设计!$B$23:$U$23,0)))*(VLOOKUP($B154,INDIRECT($B$5&amp;"生成成长"),3))*(VLOOKUP($B$5,标准坦克设计!$B$14:$K$20,9)/30))</f>
        <v>2.542547580907073</v>
      </c>
      <c r="BA154" s="172">
        <f ca="1">(VLOOKUP(BA$72,INDIRECT($C$5&amp;"生成成长"),2))/((VLOOKUP($B154,INDIRECT($B$5&amp;"生成成长"),4))/(VLOOKUP(BA$72,INDIRECT($C$5&amp;"生成成长"),5))*(VLOOKUP($B$5,标准坦克设计!$B$24:$U$30,MATCH("对"&amp;LEFT($C$5,2)&amp;"输出",标准坦克设计!$B$23:$U$23,0)))*(VLOOKUP($B154,INDIRECT($B$5&amp;"生成成长"),3))*(VLOOKUP($B$5,标准坦克设计!$B$14:$K$20,9)/30))</f>
        <v>2.8209847915450741</v>
      </c>
      <c r="BB154" s="172">
        <f ca="1">(VLOOKUP(BB$72,INDIRECT($C$5&amp;"生成成长"),2))/((VLOOKUP($B154,INDIRECT($B$5&amp;"生成成长"),4))/(VLOOKUP(BB$72,INDIRECT($C$5&amp;"生成成长"),5))*(VLOOKUP($B$5,标准坦克设计!$B$24:$U$30,MATCH("对"&amp;LEFT($C$5,2)&amp;"输出",标准坦克设计!$B$23:$U$23,0)))*(VLOOKUP($B154,INDIRECT($B$5&amp;"生成成长"),3))*(VLOOKUP($B$5,标准坦克设计!$B$14:$K$20,9)/30))</f>
        <v>3.1138862728655692</v>
      </c>
      <c r="BC154" s="172">
        <f ca="1">(VLOOKUP(BC$72,INDIRECT($C$5&amp;"生成成长"),2))/((VLOOKUP($B154,INDIRECT($B$5&amp;"生成成长"),4))/(VLOOKUP(BC$72,INDIRECT($C$5&amp;"生成成长"),5))*(VLOOKUP($B$5,标准坦克设计!$B$24:$U$30,MATCH("对"&amp;LEFT($C$5,2)&amp;"输出",标准坦克设计!$B$23:$U$23,0)))*(VLOOKUP($B154,INDIRECT($B$5&amp;"生成成长"),3))*(VLOOKUP($B$5,标准坦克设计!$B$14:$K$20,9)/30))</f>
        <v>3.4212520248685574</v>
      </c>
      <c r="BD154" s="172">
        <f ca="1">(VLOOKUP(BD$72,INDIRECT($C$5&amp;"生成成长"),2))/((VLOOKUP($B154,INDIRECT($B$5&amp;"生成成长"),4))/(VLOOKUP(BD$72,INDIRECT($C$5&amp;"生成成长"),5))*(VLOOKUP($B$5,标准坦克设计!$B$24:$U$30,MATCH("对"&amp;LEFT($C$5,2)&amp;"输出",标准坦克设计!$B$23:$U$23,0)))*(VLOOKUP($B154,INDIRECT($B$5&amp;"生成成长"),3))*(VLOOKUP($B$5,标准坦克设计!$B$14:$K$20,9)/30))</f>
        <v>3.7843278194220882</v>
      </c>
      <c r="BE154" s="172">
        <f ca="1">(VLOOKUP(BE$72,INDIRECT($C$5&amp;"生成成长"),2))/((VLOOKUP($B154,INDIRECT($B$5&amp;"生成成长"),4))/(VLOOKUP(BE$72,INDIRECT($C$5&amp;"生成成长"),5))*(VLOOKUP($B$5,标准坦克设计!$B$24:$U$30,MATCH("对"&amp;LEFT($C$5,2)&amp;"输出",标准坦克设计!$B$23:$U$23,0)))*(VLOOKUP($B154,INDIRECT($B$5&amp;"生成成长"),3))*(VLOOKUP($B$5,标准坦克设计!$B$14:$K$20,9)/30))</f>
        <v>4.1657099565581488</v>
      </c>
      <c r="BF154" s="172">
        <f ca="1">(VLOOKUP(BF$72,INDIRECT($C$5&amp;"生成成长"),2))/((VLOOKUP($B154,INDIRECT($B$5&amp;"生成成长"),4))/(VLOOKUP(BF$72,INDIRECT($C$5&amp;"生成成长"),5))*(VLOOKUP($B$5,标准坦克设计!$B$24:$U$30,MATCH("对"&amp;LEFT($C$5,2)&amp;"输出",标准坦克设计!$B$23:$U$23,0)))*(VLOOKUP($B154,INDIRECT($B$5&amp;"生成成长"),3))*(VLOOKUP($B$5,标准坦克设计!$B$14:$K$20,9)/30))</f>
        <v>4.5653984362767401</v>
      </c>
      <c r="BG154" s="172">
        <f ca="1">(VLOOKUP(BG$72,INDIRECT($C$5&amp;"生成成长"),2))/((VLOOKUP($B154,INDIRECT($B$5&amp;"生成成长"),4))/(VLOOKUP(BG$72,INDIRECT($C$5&amp;"生成成长"),5))*(VLOOKUP($B$5,标准坦克设计!$B$24:$U$30,MATCH("对"&amp;LEFT($C$5,2)&amp;"输出",标准坦克设计!$B$23:$U$23,0)))*(VLOOKUP($B154,INDIRECT($B$5&amp;"生成成长"),3))*(VLOOKUP($B$5,标准坦克设计!$B$14:$K$20,9)/30))</f>
        <v>4.9833932585778626</v>
      </c>
      <c r="BH154" s="172">
        <f ca="1">(VLOOKUP(BH$72,INDIRECT($C$5&amp;"生成成长"),2))/((VLOOKUP($B154,INDIRECT($B$5&amp;"生成成长"),4))/(VLOOKUP(BH$72,INDIRECT($C$5&amp;"生成成长"),5))*(VLOOKUP($B$5,标准坦克设计!$B$24:$U$30,MATCH("对"&amp;LEFT($C$5,2)&amp;"输出",标准坦克设计!$B$23:$U$23,0)))*(VLOOKUP($B154,INDIRECT($B$5&amp;"生成成长"),3))*(VLOOKUP($B$5,标准坦克设计!$B$14:$K$20,9)/30))</f>
        <v>2.408753077094008</v>
      </c>
      <c r="BI154" s="172">
        <f ca="1">(VLOOKUP(BI$72,INDIRECT($C$5&amp;"生成成长"),2))/((VLOOKUP($B154,INDIRECT($B$5&amp;"生成成长"),4))/(VLOOKUP(BI$72,INDIRECT($C$5&amp;"生成成长"),5))*(VLOOKUP($B$5,标准坦克设计!$B$24:$U$30,MATCH("对"&amp;LEFT($C$5,2)&amp;"输出",标准坦克设计!$B$23:$U$23,0)))*(VLOOKUP($B154,INDIRECT($B$5&amp;"生成成长"),3))*(VLOOKUP($B$5,标准坦克设计!$B$14:$K$20,9)/30))</f>
        <v>2.7148758058352191</v>
      </c>
      <c r="BJ154" s="172">
        <f ca="1">(VLOOKUP(BJ$72,INDIRECT($C$5&amp;"生成成长"),2))/((VLOOKUP($B154,INDIRECT($B$5&amp;"生成成长"),4))/(VLOOKUP(BJ$72,INDIRECT($C$5&amp;"生成成长"),5))*(VLOOKUP($B$5,标准坦克设计!$B$24:$U$30,MATCH("对"&amp;LEFT($C$5,2)&amp;"输出",标准坦克设计!$B$23:$U$23,0)))*(VLOOKUP($B154,INDIRECT($B$5&amp;"生成成长"),3))*(VLOOKUP($B$5,标准坦克设计!$B$14:$K$20,9)/30))</f>
        <v>3.0393048771589619</v>
      </c>
      <c r="BK154" s="172">
        <f ca="1">(VLOOKUP(BK$72,INDIRECT($C$5&amp;"生成成长"),2))/((VLOOKUP($B154,INDIRECT($B$5&amp;"生成成长"),4))/(VLOOKUP(BK$72,INDIRECT($C$5&amp;"生成成长"),5))*(VLOOKUP($B$5,标准坦克设计!$B$24:$U$30,MATCH("对"&amp;LEFT($C$5,2)&amp;"输出",标准坦克设计!$B$23:$U$23,0)))*(VLOOKUP($B154,INDIRECT($B$5&amp;"生成成长"),3))*(VLOOKUP($B$5,标准坦克设计!$B$14:$K$20,9)/30))</f>
        <v>3.3820402910652358</v>
      </c>
      <c r="BL154" s="172">
        <f ca="1">(VLOOKUP(BL$72,INDIRECT($C$5&amp;"生成成长"),2))/((VLOOKUP($B154,INDIRECT($B$5&amp;"生成成长"),4))/(VLOOKUP(BL$72,INDIRECT($C$5&amp;"生成成长"),5))*(VLOOKUP($B$5,标准坦克设计!$B$24:$U$30,MATCH("对"&amp;LEFT($C$5,2)&amp;"输出",标准坦克设计!$B$23:$U$23,0)))*(VLOOKUP($B154,INDIRECT($B$5&amp;"生成成长"),3))*(VLOOKUP($B$5,标准坦克设计!$B$14:$K$20,9)/30))</f>
        <v>3.7430820475540392</v>
      </c>
      <c r="BM154" s="172">
        <f ca="1">(VLOOKUP(BM$72,INDIRECT($C$5&amp;"生成成长"),2))/((VLOOKUP($B154,INDIRECT($B$5&amp;"生成成长"),4))/(VLOOKUP(BM$72,INDIRECT($C$5&amp;"生成成长"),5))*(VLOOKUP($B$5,标准坦克设计!$B$24:$U$30,MATCH("对"&amp;LEFT($C$5,2)&amp;"输出",标准坦克设计!$B$23:$U$23,0)))*(VLOOKUP($B154,INDIRECT($B$5&amp;"生成成长"),3))*(VLOOKUP($B$5,标准坦克设计!$B$14:$K$20,9)/30))</f>
        <v>4.1224301466253754</v>
      </c>
      <c r="BN154" s="172">
        <f ca="1">(VLOOKUP(BN$72,INDIRECT($C$5&amp;"生成成长"),2))/((VLOOKUP($B154,INDIRECT($B$5&amp;"生成成长"),4))/(VLOOKUP(BN$72,INDIRECT($C$5&amp;"生成成长"),5))*(VLOOKUP($B$5,标准坦克设计!$B$24:$U$30,MATCH("对"&amp;LEFT($C$5,2)&amp;"输出",标准坦克设计!$B$23:$U$23,0)))*(VLOOKUP($B154,INDIRECT($B$5&amp;"生成成长"),3))*(VLOOKUP($B$5,标准坦克设计!$B$14:$K$20,9)/30))</f>
        <v>4.5200845882792411</v>
      </c>
      <c r="BO154" s="172">
        <f ca="1">(VLOOKUP(BO$72,INDIRECT($C$5&amp;"生成成长"),2))/((VLOOKUP($B154,INDIRECT($B$5&amp;"生成成长"),4))/(VLOOKUP(BO$72,INDIRECT($C$5&amp;"生成成长"),5))*(VLOOKUP($B$5,标准坦克设计!$B$24:$U$30,MATCH("对"&amp;LEFT($C$5,2)&amp;"输出",标准坦克设计!$B$23:$U$23,0)))*(VLOOKUP($B154,INDIRECT($B$5&amp;"生成成长"),3))*(VLOOKUP($B$5,标准坦克设计!$B$14:$K$20,9)/30))</f>
        <v>4.9360453725156379</v>
      </c>
      <c r="BP154" s="172">
        <f ca="1">(VLOOKUP(BP$72,INDIRECT($C$5&amp;"生成成长"),2))/((VLOOKUP($B154,INDIRECT($B$5&amp;"生成成长"),4))/(VLOOKUP(BP$72,INDIRECT($C$5&amp;"生成成长"),5))*(VLOOKUP($B$5,标准坦克设计!$B$24:$U$30,MATCH("对"&amp;LEFT($C$5,2)&amp;"输出",标准坦克设计!$B$23:$U$23,0)))*(VLOOKUP($B154,INDIRECT($B$5&amp;"生成成长"),3))*(VLOOKUP($B$5,标准坦克设计!$B$14:$K$20,9)/30))</f>
        <v>5.3703124993345659</v>
      </c>
      <c r="BQ154" s="172">
        <f ca="1">(VLOOKUP(BQ$72,INDIRECT($C$5&amp;"生成成长"),2))/((VLOOKUP($B154,INDIRECT($B$5&amp;"生成成长"),4))/(VLOOKUP(BQ$72,INDIRECT($C$5&amp;"生成成长"),5))*(VLOOKUP($B$5,标准坦克设计!$B$24:$U$30,MATCH("对"&amp;LEFT($C$5,2)&amp;"输出",标准坦克设计!$B$23:$U$23,0)))*(VLOOKUP($B154,INDIRECT($B$5&amp;"生成成长"),3))*(VLOOKUP($B$5,标准坦克设计!$B$14:$K$20,9)/30))</f>
        <v>5.8228859687360259</v>
      </c>
      <c r="BR154" s="172">
        <f ca="1">(VLOOKUP(BR$72,INDIRECT($C$5&amp;"生成成长"),2))/((VLOOKUP($B154,INDIRECT($B$5&amp;"生成成长"),4))/(VLOOKUP(BR$72,INDIRECT($C$5&amp;"生成成长"),5))*(VLOOKUP($B$5,标准坦克设计!$B$24:$U$30,MATCH("对"&amp;LEFT($C$5,2)&amp;"输出",标准坦克设计!$B$23:$U$23,0)))*(VLOOKUP($B154,INDIRECT($B$5&amp;"生成成长"),3))*(VLOOKUP($B$5,标准坦克设计!$B$14:$K$20,9)/30))</f>
        <v>6.3472157809764171</v>
      </c>
      <c r="BS154" s="172">
        <f ca="1">(VLOOKUP(BS$72,INDIRECT($C$5&amp;"生成成长"),2))/((VLOOKUP($B154,INDIRECT($B$5&amp;"生成成长"),4))/(VLOOKUP(BS$72,INDIRECT($C$5&amp;"生成成长"),5))*(VLOOKUP($B$5,标准坦克设计!$B$24:$U$30,MATCH("对"&amp;LEFT($C$5,2)&amp;"输出",标准坦克设计!$B$23:$U$23,0)))*(VLOOKUP($B154,INDIRECT($B$5&amp;"生成成长"),3))*(VLOOKUP($B$5,标准坦克设计!$B$14:$K$20,9)/30))</f>
        <v>6.8941460161582064</v>
      </c>
      <c r="BT154" s="172">
        <f ca="1">(VLOOKUP(BT$72,INDIRECT($C$5&amp;"生成成长"),2))/((VLOOKUP($B154,INDIRECT($B$5&amp;"生成成长"),4))/(VLOOKUP(BT$72,INDIRECT($C$5&amp;"生成成长"),5))*(VLOOKUP($B$5,标准坦克设计!$B$24:$U$30,MATCH("对"&amp;LEFT($C$5,2)&amp;"输出",标准坦克设计!$B$23:$U$23,0)))*(VLOOKUP($B154,INDIRECT($B$5&amp;"生成成长"),3))*(VLOOKUP($B$5,标准坦克设计!$B$14:$K$20,9)/30))</f>
        <v>7.4636766742813894</v>
      </c>
      <c r="BU154" s="172">
        <f ca="1">(VLOOKUP(BU$72,INDIRECT($C$5&amp;"生成成长"),2))/((VLOOKUP($B154,INDIRECT($B$5&amp;"生成成长"),4))/(VLOOKUP(BU$72,INDIRECT($C$5&amp;"生成成长"),5))*(VLOOKUP($B$5,标准坦克设计!$B$24:$U$30,MATCH("对"&amp;LEFT($C$5,2)&amp;"输出",标准坦克设计!$B$23:$U$23,0)))*(VLOOKUP($B154,INDIRECT($B$5&amp;"生成成长"),3))*(VLOOKUP($B$5,标准坦克设计!$B$14:$K$20,9)/30))</f>
        <v>8.0558077553459686</v>
      </c>
      <c r="BV154" s="172">
        <f ca="1">(VLOOKUP(BV$72,INDIRECT($C$5&amp;"生成成长"),2))/((VLOOKUP($B154,INDIRECT($B$5&amp;"生成成长"),4))/(VLOOKUP(BV$72,INDIRECT($C$5&amp;"生成成长"),5))*(VLOOKUP($B$5,标准坦克设计!$B$24:$U$30,MATCH("对"&amp;LEFT($C$5,2)&amp;"输出",标准坦克设计!$B$23:$U$23,0)))*(VLOOKUP($B154,INDIRECT($B$5&amp;"生成成长"),3))*(VLOOKUP($B$5,标准坦克设计!$B$14:$K$20,9)/30))</f>
        <v>8.6705392593519477</v>
      </c>
      <c r="BW154" s="172">
        <f ca="1">(VLOOKUP(BW$72,INDIRECT($C$5&amp;"生成成长"),2))/((VLOOKUP($B154,INDIRECT($B$5&amp;"生成成长"),4))/(VLOOKUP(BW$72,INDIRECT($C$5&amp;"生成成长"),5))*(VLOOKUP($B$5,标准坦克设计!$B$24:$U$30,MATCH("对"&amp;LEFT($C$5,2)&amp;"输出",标准坦克设计!$B$23:$U$23,0)))*(VLOOKUP($B154,INDIRECT($B$5&amp;"生成成长"),3))*(VLOOKUP($B$5,标准坦克设计!$B$14:$K$20,9)/30))</f>
        <v>3.9515709491884197</v>
      </c>
      <c r="BX154" s="172">
        <f ca="1">(VLOOKUP(BX$72,INDIRECT($C$5&amp;"生成成长"),2))/((VLOOKUP($B154,INDIRECT($B$5&amp;"生成成长"),4))/(VLOOKUP(BX$72,INDIRECT($C$5&amp;"生成成长"),5))*(VLOOKUP($B$5,标准坦克设计!$B$24:$U$30,MATCH("对"&amp;LEFT($C$5,2)&amp;"输出",标准坦克设计!$B$23:$U$23,0)))*(VLOOKUP($B154,INDIRECT($B$5&amp;"生成成长"),3))*(VLOOKUP($B$5,标准坦克设计!$B$14:$K$20,9)/30))</f>
        <v>4.3854990696632266</v>
      </c>
      <c r="BY154" s="172">
        <f ca="1">(VLOOKUP(BY$72,INDIRECT($C$5&amp;"生成成长"),2))/((VLOOKUP($B154,INDIRECT($B$5&amp;"生成成长"),4))/(VLOOKUP(BY$72,INDIRECT($C$5&amp;"生成成长"),5))*(VLOOKUP($B$5,标准坦克设计!$B$24:$U$30,MATCH("对"&amp;LEFT($C$5,2)&amp;"输出",标准坦克设计!$B$23:$U$23,0)))*(VLOOKUP($B154,INDIRECT($B$5&amp;"生成成长"),3))*(VLOOKUP($B$5,标准坦克设计!$B$14:$K$20,9)/30))</f>
        <v>4.8420276130794306</v>
      </c>
      <c r="BZ154" s="172">
        <f ca="1">(VLOOKUP(BZ$72,INDIRECT($C$5&amp;"生成成长"),2))/((VLOOKUP($B154,INDIRECT($B$5&amp;"生成成长"),4))/(VLOOKUP(BZ$72,INDIRECT($C$5&amp;"生成成长"),5))*(VLOOKUP($B$5,标准坦克设计!$B$24:$U$30,MATCH("对"&amp;LEFT($C$5,2)&amp;"输出",标准坦克设计!$B$23:$U$23,0)))*(VLOOKUP($B154,INDIRECT($B$5&amp;"生成成长"),3))*(VLOOKUP($B$5,标准坦克设计!$B$14:$K$20,9)/30))</f>
        <v>5.3211565794370292</v>
      </c>
      <c r="CA154" s="172">
        <f ca="1">(VLOOKUP(CA$72,INDIRECT($C$5&amp;"生成成长"),2))/((VLOOKUP($B154,INDIRECT($B$5&amp;"生成成长"),4))/(VLOOKUP(CA$72,INDIRECT($C$5&amp;"生成成长"),5))*(VLOOKUP($B$5,标准坦克设计!$B$24:$U$30,MATCH("对"&amp;LEFT($C$5,2)&amp;"输出",标准坦克设计!$B$23:$U$23,0)))*(VLOOKUP($B154,INDIRECT($B$5&amp;"生成成长"),3))*(VLOOKUP($B$5,标准坦克设计!$B$14:$K$20,9)/30))</f>
        <v>5.8228859687360259</v>
      </c>
      <c r="CB154" s="172">
        <f ca="1">(VLOOKUP(CB$72,INDIRECT($C$5&amp;"生成成长"),2))/((VLOOKUP($B154,INDIRECT($B$5&amp;"生成成长"),4))/(VLOOKUP(CB$72,INDIRECT($C$5&amp;"生成成长"),5))*(VLOOKUP($B$5,标准坦克设计!$B$24:$U$30,MATCH("对"&amp;LEFT($C$5,2)&amp;"输出",标准坦克设计!$B$23:$U$23,0)))*(VLOOKUP($B154,INDIRECT($B$5&amp;"生成成长"),3))*(VLOOKUP($B$5,标准坦克设计!$B$14:$K$20,9)/30))</f>
        <v>6.3472157809764171</v>
      </c>
      <c r="CC154" s="172">
        <f ca="1">(VLOOKUP(CC$72,INDIRECT($C$5&amp;"生成成长"),2))/((VLOOKUP($B154,INDIRECT($B$5&amp;"生成成长"),4))/(VLOOKUP(CC$72,INDIRECT($C$5&amp;"生成成长"),5))*(VLOOKUP($B$5,标准坦克设计!$B$24:$U$30,MATCH("对"&amp;LEFT($C$5,2)&amp;"输出",标准坦克设计!$B$23:$U$23,0)))*(VLOOKUP($B154,INDIRECT($B$5&amp;"生成成长"),3))*(VLOOKUP($B$5,标准坦克设计!$B$14:$K$20,9)/30))</f>
        <v>6.8941460161582064</v>
      </c>
      <c r="CD154" s="172">
        <f ca="1">(VLOOKUP(CD$72,INDIRECT($C$5&amp;"生成成长"),2))/((VLOOKUP($B154,INDIRECT($B$5&amp;"生成成长"),4))/(VLOOKUP(CD$72,INDIRECT($C$5&amp;"生成成长"),5))*(VLOOKUP($B$5,标准坦克设计!$B$24:$U$30,MATCH("对"&amp;LEFT($C$5,2)&amp;"输出",标准坦克设计!$B$23:$U$23,0)))*(VLOOKUP($B154,INDIRECT($B$5&amp;"生成成长"),3))*(VLOOKUP($B$5,标准坦克设计!$B$14:$K$20,9)/30))</f>
        <v>7.4636766742813894</v>
      </c>
      <c r="CE154" s="172">
        <f ca="1">(VLOOKUP(CE$72,INDIRECT($C$5&amp;"生成成长"),2))/((VLOOKUP($B154,INDIRECT($B$5&amp;"生成成长"),4))/(VLOOKUP(CE$72,INDIRECT($C$5&amp;"生成成长"),5))*(VLOOKUP($B$5,标准坦克设计!$B$24:$U$30,MATCH("对"&amp;LEFT($C$5,2)&amp;"输出",标准坦克设计!$B$23:$U$23,0)))*(VLOOKUP($B154,INDIRECT($B$5&amp;"生成成长"),3))*(VLOOKUP($B$5,标准坦克设计!$B$14:$K$20,9)/30))</f>
        <v>8.0558077553459686</v>
      </c>
      <c r="CF154" s="172">
        <f ca="1">(VLOOKUP(CF$72,INDIRECT($C$5&amp;"生成成长"),2))/((VLOOKUP($B154,INDIRECT($B$5&amp;"生成成长"),4))/(VLOOKUP(CF$72,INDIRECT($C$5&amp;"生成成长"),5))*(VLOOKUP($B$5,标准坦克设计!$B$24:$U$30,MATCH("对"&amp;LEFT($C$5,2)&amp;"输出",标准坦克设计!$B$23:$U$23,0)))*(VLOOKUP($B154,INDIRECT($B$5&amp;"生成成长"),3))*(VLOOKUP($B$5,标准坦克设计!$B$14:$K$20,9)/30))</f>
        <v>8.6705392593519477</v>
      </c>
      <c r="CG154" s="172">
        <f ca="1">(VLOOKUP(CG$72,INDIRECT($C$5&amp;"生成成长"),2))/((VLOOKUP($B154,INDIRECT($B$5&amp;"生成成长"),4))/(VLOOKUP(CG$72,INDIRECT($C$5&amp;"生成成长"),5))*(VLOOKUP($B$5,标准坦克设计!$B$24:$U$30,MATCH("对"&amp;LEFT($C$5,2)&amp;"输出",标准坦克设计!$B$23:$U$23,0)))*(VLOOKUP($B154,INDIRECT($B$5&amp;"生成成长"),3))*(VLOOKUP($B$5,标准坦克设计!$B$14:$K$20,9)/30))</f>
        <v>9.3078711862993213</v>
      </c>
      <c r="CH154" s="172">
        <f ca="1">(VLOOKUP(CH$72,INDIRECT($C$5&amp;"生成成长"),2))/((VLOOKUP($B154,INDIRECT($B$5&amp;"生成成长"),4))/(VLOOKUP(CH$72,INDIRECT($C$5&amp;"生成成长"),5))*(VLOOKUP($B$5,标准坦克设计!$B$24:$U$30,MATCH("对"&amp;LEFT($C$5,2)&amp;"输出",标准坦克设计!$B$23:$U$23,0)))*(VLOOKUP($B154,INDIRECT($B$5&amp;"生成成长"),3))*(VLOOKUP($B$5,标准坦克设计!$B$14:$K$20,9)/30))</f>
        <v>9.9678035361880877</v>
      </c>
      <c r="CI154" s="172">
        <f ca="1">(VLOOKUP(CI$72,INDIRECT($C$5&amp;"生成成长"),2))/((VLOOKUP($B154,INDIRECT($B$5&amp;"生成成长"),4))/(VLOOKUP(CI$72,INDIRECT($C$5&amp;"生成成长"),5))*(VLOOKUP($B$5,标准坦克设计!$B$24:$U$30,MATCH("对"&amp;LEFT($C$5,2)&amp;"输出",标准坦克设计!$B$23:$U$23,0)))*(VLOOKUP($B154,INDIRECT($B$5&amp;"生成成长"),3))*(VLOOKUP($B$5,标准坦克设计!$B$14:$K$20,9)/30))</f>
        <v>10.719832609563047</v>
      </c>
      <c r="CJ154" s="172">
        <f ca="1">(VLOOKUP(CJ$72,INDIRECT($C$5&amp;"生成成长"),2))/((VLOOKUP($B154,INDIRECT($B$5&amp;"生成成长"),4))/(VLOOKUP(CJ$72,INDIRECT($C$5&amp;"生成成长"),5))*(VLOOKUP($B$5,标准坦克设计!$B$24:$U$30,MATCH("对"&amp;LEFT($C$5,2)&amp;"输出",标准坦克设计!$B$23:$U$23,0)))*(VLOOKUP($B154,INDIRECT($B$5&amp;"生成成长"),3))*(VLOOKUP($B$5,标准坦克设计!$B$14:$K$20,9)/30))</f>
        <v>11.499208194697097</v>
      </c>
      <c r="CK154" s="172">
        <f ca="1">(VLOOKUP(CK$72,INDIRECT($C$5&amp;"生成成长"),2))/((VLOOKUP($B154,INDIRECT($B$5&amp;"生成成长"),4))/(VLOOKUP(CK$72,INDIRECT($C$5&amp;"生成成长"),5))*(VLOOKUP($B$5,标准坦克设计!$B$24:$U$30,MATCH("对"&amp;LEFT($C$5,2)&amp;"输出",标准坦克设计!$B$23:$U$23,0)))*(VLOOKUP($B154,INDIRECT($B$5&amp;"生成成长"),3))*(VLOOKUP($B$5,标准坦克设计!$B$14:$K$20,9)/30))</f>
        <v>12.305930291590236</v>
      </c>
      <c r="CL154" s="172">
        <f ca="1">(VLOOKUP(CL$72,INDIRECT($C$5&amp;"生成成长"),2))/((VLOOKUP($B154,INDIRECT($B$5&amp;"生成成长"),4))/(VLOOKUP(CL$72,INDIRECT($C$5&amp;"生成成长"),5))*(VLOOKUP($B$5,标准坦克设计!$B$24:$U$30,MATCH("对"&amp;LEFT($C$5,2)&amp;"输出",标准坦克设计!$B$23:$U$23,0)))*(VLOOKUP($B154,INDIRECT($B$5&amp;"生成成长"),3))*(VLOOKUP($B$5,标准坦克设计!$B$14:$K$20,9)/30))</f>
        <v>13.13999890024246</v>
      </c>
      <c r="CM154" s="172">
        <f ca="1">(VLOOKUP(CM$72,INDIRECT($C$5&amp;"生成成长"),2))/((VLOOKUP($B154,INDIRECT($B$5&amp;"生成成长"),4))/(VLOOKUP(CM$72,INDIRECT($C$5&amp;"生成成长"),5))*(VLOOKUP($B$5,标准坦克设计!$B$24:$U$30,MATCH("对"&amp;LEFT($C$5,2)&amp;"输出",标准坦克设计!$B$23:$U$23,0)))*(VLOOKUP($B154,INDIRECT($B$5&amp;"生成成长"),3))*(VLOOKUP($B$5,标准坦克设计!$B$14:$K$20,9)/30))</f>
        <v>14.001414020653776</v>
      </c>
      <c r="CN154" s="172">
        <f ca="1">(VLOOKUP(CN$72,INDIRECT($C$5&amp;"生成成长"),2))/((VLOOKUP($B154,INDIRECT($B$5&amp;"生成成长"),4))/(VLOOKUP(CN$72,INDIRECT($C$5&amp;"生成成长"),5))*(VLOOKUP($B$5,标准坦克设计!$B$24:$U$30,MATCH("对"&amp;LEFT($C$5,2)&amp;"输出",标准坦克设计!$B$23:$U$23,0)))*(VLOOKUP($B154,INDIRECT($B$5&amp;"生成成长"),3))*(VLOOKUP($B$5,标准坦克设计!$B$14:$K$20,9)/30))</f>
        <v>14.890175652824183</v>
      </c>
      <c r="CO154" s="172">
        <f ca="1">(VLOOKUP(CO$72,INDIRECT($C$5&amp;"生成成长"),2))/((VLOOKUP($B154,INDIRECT($B$5&amp;"生成成长"),4))/(VLOOKUP(CO$72,INDIRECT($C$5&amp;"生成成长"),5))*(VLOOKUP($B$5,标准坦克设计!$B$24:$U$30,MATCH("对"&amp;LEFT($C$5,2)&amp;"输出",标准坦克设计!$B$23:$U$23,0)))*(VLOOKUP($B154,INDIRECT($B$5&amp;"生成成长"),3))*(VLOOKUP($B$5,标准坦克设计!$B$14:$K$20,9)/30))</f>
        <v>6.6726618713325214</v>
      </c>
      <c r="CP154" s="172">
        <f ca="1">(VLOOKUP(CP$72,INDIRECT($C$5&amp;"生成成长"),2))/((VLOOKUP($B154,INDIRECT($B$5&amp;"生成成长"),4))/(VLOOKUP(CP$72,INDIRECT($C$5&amp;"生成成长"),5))*(VLOOKUP($B$5,标准坦克设计!$B$24:$U$30,MATCH("对"&amp;LEFT($C$5,2)&amp;"输出",标准坦克设计!$B$23:$U$23,0)))*(VLOOKUP($B154,INDIRECT($B$5&amp;"生成成长"),3))*(VLOOKUP($B$5,标准坦克设计!$B$14:$K$20,9)/30))</f>
        <v>7.2904444324355877</v>
      </c>
      <c r="CQ154" s="172">
        <f ca="1">(VLOOKUP(CQ$72,INDIRECT($C$5&amp;"生成成长"),2))/((VLOOKUP($B154,INDIRECT($B$5&amp;"生成成长"),4))/(VLOOKUP(CQ$72,INDIRECT($C$5&amp;"生成成长"),5))*(VLOOKUP($B$5,标准坦克设计!$B$24:$U$30,MATCH("对"&amp;LEFT($C$5,2)&amp;"输出",标准坦克设计!$B$23:$U$23,0)))*(VLOOKUP($B154,INDIRECT($B$5&amp;"生成成长"),3))*(VLOOKUP($B$5,标准坦克设计!$B$14:$K$20,9)/30))</f>
        <v>7.9355735052977421</v>
      </c>
      <c r="CR154" s="172">
        <f ca="1">(VLOOKUP(CR$72,INDIRECT($C$5&amp;"生成成长"),2))/((VLOOKUP($B154,INDIRECT($B$5&amp;"生成成长"),4))/(VLOOKUP(CR$72,INDIRECT($C$5&amp;"生成成长"),5))*(VLOOKUP($B$5,标准坦克设计!$B$24:$U$30,MATCH("对"&amp;LEFT($C$5,2)&amp;"输出",标准坦克设计!$B$23:$U$23,0)))*(VLOOKUP($B154,INDIRECT($B$5&amp;"生成成长"),3))*(VLOOKUP($B$5,标准坦克设计!$B$14:$K$20,9)/30))</f>
        <v>8.6080490899189872</v>
      </c>
      <c r="CS154" s="172">
        <f ca="1">(VLOOKUP(CS$72,INDIRECT($C$5&amp;"生成成长"),2))/((VLOOKUP($B154,INDIRECT($B$5&amp;"生成成长"),4))/(VLOOKUP(CS$72,INDIRECT($C$5&amp;"生成成长"),5))*(VLOOKUP($B$5,标准坦克设计!$B$24:$U$30,MATCH("对"&amp;LEFT($C$5,2)&amp;"输出",标准坦克设计!$B$23:$U$23,0)))*(VLOOKUP($B154,INDIRECT($B$5&amp;"生成成长"),3))*(VLOOKUP($B$5,标准坦克设计!$B$14:$K$20,9)/30))</f>
        <v>9.3078711862993213</v>
      </c>
      <c r="CT154" s="172">
        <f ca="1">(VLOOKUP(CT$72,INDIRECT($C$5&amp;"生成成长"),2))/((VLOOKUP($B154,INDIRECT($B$5&amp;"生成成长"),4))/(VLOOKUP(CT$72,INDIRECT($C$5&amp;"生成成长"),5))*(VLOOKUP($B$5,标准坦克设计!$B$24:$U$30,MATCH("对"&amp;LEFT($C$5,2)&amp;"输出",标准坦克设计!$B$23:$U$23,0)))*(VLOOKUP($B154,INDIRECT($B$5&amp;"生成成长"),3))*(VLOOKUP($B$5,标准坦克设计!$B$14:$K$20,9)/30))</f>
        <v>10.035039794438742</v>
      </c>
      <c r="CU154" s="172">
        <f ca="1">(VLOOKUP(CU$72,INDIRECT($C$5&amp;"生成成长"),2))/((VLOOKUP($B154,INDIRECT($B$5&amp;"生成成长"),4))/(VLOOKUP(CU$72,INDIRECT($C$5&amp;"生成成长"),5))*(VLOOKUP($B$5,标准坦克设计!$B$24:$U$30,MATCH("对"&amp;LEFT($C$5,2)&amp;"输出",标准坦克设计!$B$23:$U$23,0)))*(VLOOKUP($B154,INDIRECT($B$5&amp;"生成成长"),3))*(VLOOKUP($B$5,标准坦克设计!$B$14:$K$20,9)/30))</f>
        <v>10.789554914337256</v>
      </c>
      <c r="CV154" s="172">
        <f ca="1">(VLOOKUP(CV$72,INDIRECT($C$5&amp;"生成成长"),2))/((VLOOKUP($B154,INDIRECT($B$5&amp;"生成成长"),4))/(VLOOKUP(CV$72,INDIRECT($C$5&amp;"生成成长"),5))*(VLOOKUP($B$5,标准坦克设计!$B$24:$U$30,MATCH("对"&amp;LEFT($C$5,2)&amp;"输出",标准坦克设计!$B$23:$U$23,0)))*(VLOOKUP($B154,INDIRECT($B$5&amp;"生成成长"),3))*(VLOOKUP($B$5,标准坦克设计!$B$14:$K$20,9)/30))</f>
        <v>11.571416545994857</v>
      </c>
      <c r="CW154" s="172">
        <f ca="1">(VLOOKUP(CW$72,INDIRECT($C$5&amp;"生成成长"),2))/((VLOOKUP($B154,INDIRECT($B$5&amp;"生成成长"),4))/(VLOOKUP(CW$72,INDIRECT($C$5&amp;"生成成长"),5))*(VLOOKUP($B$5,标准坦克设计!$B$24:$U$30,MATCH("对"&amp;LEFT($C$5,2)&amp;"输出",标准坦克设计!$B$23:$U$23,0)))*(VLOOKUP($B154,INDIRECT($B$5&amp;"生成成长"),3))*(VLOOKUP($B$5,标准坦克设计!$B$14:$K$20,9)/30))</f>
        <v>12.380624689411549</v>
      </c>
      <c r="CX154" s="172">
        <f ca="1">(VLOOKUP(CX$72,INDIRECT($C$5&amp;"生成成长"),2))/((VLOOKUP($B154,INDIRECT($B$5&amp;"生成成长"),4))/(VLOOKUP(CX$72,INDIRECT($C$5&amp;"生成成长"),5))*(VLOOKUP($B$5,标准坦克设计!$B$24:$U$30,MATCH("对"&amp;LEFT($C$5,2)&amp;"输出",标准坦克设计!$B$23:$U$23,0)))*(VLOOKUP($B154,INDIRECT($B$5&amp;"生成成长"),3))*(VLOOKUP($B$5,标准坦克设计!$B$14:$K$20,9)/30))</f>
        <v>13.217179344587329</v>
      </c>
      <c r="CY154" s="172">
        <f ca="1">(VLOOKUP(CY$72,INDIRECT($C$5&amp;"生成成长"),2))/((VLOOKUP($B154,INDIRECT($B$5&amp;"生成成长"),4))/(VLOOKUP(CY$72,INDIRECT($C$5&amp;"生成成长"),5))*(VLOOKUP($B$5,标准坦克设计!$B$24:$U$30,MATCH("对"&amp;LEFT($C$5,2)&amp;"输出",标准坦克设计!$B$23:$U$23,0)))*(VLOOKUP($B154,INDIRECT($B$5&amp;"生成成长"),3))*(VLOOKUP($B$5,标准坦克设计!$B$14:$K$20,9)/30))</f>
        <v>14.081080511522199</v>
      </c>
      <c r="CZ154" s="172">
        <f ca="1">(VLOOKUP(CZ$72,INDIRECT($C$5&amp;"生成成长"),2))/((VLOOKUP($B154,INDIRECT($B$5&amp;"生成成长"),4))/(VLOOKUP(CZ$72,INDIRECT($C$5&amp;"生成成长"),5))*(VLOOKUP($B$5,标准坦克设计!$B$24:$U$30,MATCH("对"&amp;LEFT($C$5,2)&amp;"输出",标准坦克设计!$B$23:$U$23,0)))*(VLOOKUP($B154,INDIRECT($B$5&amp;"生成成长"),3))*(VLOOKUP($B$5,标准坦克设计!$B$14:$K$20,9)/30))</f>
        <v>14.972328190216157</v>
      </c>
      <c r="DA154" s="172">
        <f ca="1">(VLOOKUP(DA$72,INDIRECT($C$5&amp;"生成成长"),2))/((VLOOKUP($B154,INDIRECT($B$5&amp;"生成成长"),4))/(VLOOKUP(DA$72,INDIRECT($C$5&amp;"生成成长"),5))*(VLOOKUP($B$5,标准坦克设计!$B$24:$U$30,MATCH("对"&amp;LEFT($C$5,2)&amp;"输出",标准坦克设计!$B$23:$U$23,0)))*(VLOOKUP($B154,INDIRECT($B$5&amp;"生成成长"),3))*(VLOOKUP($B$5,标准坦克设计!$B$14:$K$20,9)/30))</f>
        <v>15.890922380669206</v>
      </c>
      <c r="DB154" s="172">
        <f ca="1">(VLOOKUP(DB$72,INDIRECT($C$5&amp;"生成成长"),2))/((VLOOKUP($B154,INDIRECT($B$5&amp;"生成成长"),4))/(VLOOKUP(DB$72,INDIRECT($C$5&amp;"生成成长"),5))*(VLOOKUP($B$5,标准坦克设计!$B$24:$U$30,MATCH("对"&amp;LEFT($C$5,2)&amp;"输出",标准坦克设计!$B$23:$U$23,0)))*(VLOOKUP($B154,INDIRECT($B$5&amp;"生成成长"),3))*(VLOOKUP($B$5,标准坦克设计!$B$14:$K$20,9)/30))</f>
        <v>16.836863082881344</v>
      </c>
      <c r="DC154" s="172">
        <f ca="1">(VLOOKUP(DC$72,INDIRECT($C$5&amp;"生成成长"),2))/((VLOOKUP($B154,INDIRECT($B$5&amp;"生成成长"),4))/(VLOOKUP(DC$72,INDIRECT($C$5&amp;"生成成长"),5))*(VLOOKUP($B$5,标准坦克设计!$B$24:$U$30,MATCH("对"&amp;LEFT($C$5,2)&amp;"输出",标准坦克设计!$B$23:$U$23,0)))*(VLOOKUP($B154,INDIRECT($B$5&amp;"生成成长"),3))*(VLOOKUP($B$5,标准坦克设计!$B$14:$K$20,9)/30))</f>
        <v>17.899986978044623</v>
      </c>
      <c r="DD154" s="172">
        <f ca="1">(VLOOKUP(DD$72,INDIRECT($C$5&amp;"生成成长"),2))/((VLOOKUP($B154,INDIRECT($B$5&amp;"生成成长"),4))/(VLOOKUP(DD$72,INDIRECT($C$5&amp;"生成成长"),5))*(VLOOKUP($B$5,标准坦克设计!$B$24:$U$30,MATCH("对"&amp;LEFT($C$5,2)&amp;"输出",标准坦克设计!$B$23:$U$23,0)))*(VLOOKUP($B154,INDIRECT($B$5&amp;"生成成长"),3))*(VLOOKUP($B$5,标准坦克设计!$B$14:$K$20,9)/30))</f>
        <v>18.995655482243507</v>
      </c>
      <c r="DE154" s="172">
        <f ca="1">(VLOOKUP(DE$72,INDIRECT($C$5&amp;"生成成长"),2))/((VLOOKUP($B154,INDIRECT($B$5&amp;"生成成长"),4))/(VLOOKUP(DE$72,INDIRECT($C$5&amp;"生成成长"),5))*(VLOOKUP($B$5,标准坦克设计!$B$24:$U$30,MATCH("对"&amp;LEFT($C$5,2)&amp;"输出",标准坦克设计!$B$23:$U$23,0)))*(VLOOKUP($B154,INDIRECT($B$5&amp;"生成成长"),3))*(VLOOKUP($B$5,标准坦克设计!$B$14:$K$20,9)/30))</f>
        <v>20.123868595478008</v>
      </c>
      <c r="DF154" s="172">
        <f ca="1">(VLOOKUP(DF$72,INDIRECT($C$5&amp;"生成成长"),2))/((VLOOKUP($B154,INDIRECT($B$5&amp;"生成成长"),4))/(VLOOKUP(DF$72,INDIRECT($C$5&amp;"生成成长"),5))*(VLOOKUP($B$5,标准坦克设计!$B$24:$U$30,MATCH("对"&amp;LEFT($C$5,2)&amp;"输出",标准坦克设计!$B$23:$U$23,0)))*(VLOOKUP($B154,INDIRECT($B$5&amp;"生成成长"),3))*(VLOOKUP($B$5,标准坦克设计!$B$14:$K$20,9)/30))</f>
        <v>21.284626317748117</v>
      </c>
      <c r="DG154" s="172">
        <f ca="1">(VLOOKUP(DG$72,INDIRECT($C$5&amp;"生成成长"),2))/((VLOOKUP($B154,INDIRECT($B$5&amp;"生成成长"),4))/(VLOOKUP(DG$72,INDIRECT($C$5&amp;"生成成长"),5))*(VLOOKUP($B$5,标准坦克设计!$B$24:$U$30,MATCH("对"&amp;LEFT($C$5,2)&amp;"输出",标准坦克设计!$B$23:$U$23,0)))*(VLOOKUP($B154,INDIRECT($B$5&amp;"生成成长"),3))*(VLOOKUP($B$5,标准坦克设计!$B$14:$K$20,9)/30))</f>
        <v>22.47792864905384</v>
      </c>
      <c r="DH154" s="172">
        <f ca="1">(VLOOKUP(DH$72,INDIRECT($C$5&amp;"生成成长"),2))/((VLOOKUP($B154,INDIRECT($B$5&amp;"生成成长"),4))/(VLOOKUP(DH$72,INDIRECT($C$5&amp;"生成成长"),5))*(VLOOKUP($B$5,标准坦克设计!$B$24:$U$30,MATCH("对"&amp;LEFT($C$5,2)&amp;"输出",标准坦克设计!$B$23:$U$23,0)))*(VLOOKUP($B154,INDIRECT($B$5&amp;"生成成长"),3))*(VLOOKUP($B$5,标准坦克设计!$B$14:$K$20,9)/30))</f>
        <v>23.703775589395168</v>
      </c>
      <c r="DI154" s="172">
        <f ca="1">(VLOOKUP(DI$72,INDIRECT($C$5&amp;"生成成长"),2))/((VLOOKUP($B154,INDIRECT($B$5&amp;"生成成长"),4))/(VLOOKUP(DI$72,INDIRECT($C$5&amp;"生成成长"),5))*(VLOOKUP($B$5,标准坦克设计!$B$24:$U$30,MATCH("对"&amp;LEFT($C$5,2)&amp;"输出",标准坦克设计!$B$23:$U$23,0)))*(VLOOKUP($B154,INDIRECT($B$5&amp;"生成成长"),3))*(VLOOKUP($B$5,标准坦克设计!$B$14:$K$20,9)/30))</f>
        <v>24.962167138772102</v>
      </c>
      <c r="DJ154" s="172">
        <f ca="1">(VLOOKUP(DJ$72,INDIRECT($C$5&amp;"生成成长"),2))/((VLOOKUP($B154,INDIRECT($B$5&amp;"生成成长"),4))/(VLOOKUP(DJ$72,INDIRECT($C$5&amp;"生成成长"),5))*(VLOOKUP($B$5,标准坦克设计!$B$24:$U$30,MATCH("对"&amp;LEFT($C$5,2)&amp;"输出",标准坦克设计!$B$23:$U$23,0)))*(VLOOKUP($B154,INDIRECT($B$5&amp;"生成成长"),3))*(VLOOKUP($B$5,标准坦克设计!$B$14:$K$20,9)/30))</f>
        <v>2.5087599486096854</v>
      </c>
      <c r="DK154" s="172">
        <f ca="1">(VLOOKUP(DK$72,INDIRECT($C$5&amp;"生成成长"),2))/((VLOOKUP($B154,INDIRECT($B$5&amp;"生成成长"),4))/(VLOOKUP(DK$72,INDIRECT($C$5&amp;"生成成长"),5))*(VLOOKUP($B$5,标准坦克设计!$B$24:$U$30,MATCH("对"&amp;LEFT($C$5,2)&amp;"输出",标准坦克设计!$B$23:$U$23,0)))*(VLOOKUP($B154,INDIRECT($B$5&amp;"生成成长"),3))*(VLOOKUP($B$5,标准坦克设计!$B$14:$K$20,9)/30))</f>
        <v>2.8209847915450741</v>
      </c>
      <c r="DL154" s="172">
        <f ca="1">(VLOOKUP(DL$72,INDIRECT($C$5&amp;"生成成长"),2))/((VLOOKUP($B154,INDIRECT($B$5&amp;"生成成长"),4))/(VLOOKUP(DL$72,INDIRECT($C$5&amp;"生成成长"),5))*(VLOOKUP($B$5,标准坦克设计!$B$24:$U$30,MATCH("对"&amp;LEFT($C$5,2)&amp;"输出",标准坦克设计!$B$23:$U$23,0)))*(VLOOKUP($B154,INDIRECT($B$5&amp;"生成成长"),3))*(VLOOKUP($B$5,标准坦克设计!$B$14:$K$20,9)/30))</f>
        <v>3.1515159770629935</v>
      </c>
      <c r="DM154" s="172">
        <f ca="1">(VLOOKUP(DM$72,INDIRECT($C$5&amp;"生成成长"),2))/((VLOOKUP($B154,INDIRECT($B$5&amp;"生成成长"),4))/(VLOOKUP(DM$72,INDIRECT($C$5&amp;"生成成长"),5))*(VLOOKUP($B$5,标准坦克设计!$B$24:$U$30,MATCH("对"&amp;LEFT($C$5,2)&amp;"输出",标准坦克设计!$B$23:$U$23,0)))*(VLOOKUP($B154,INDIRECT($B$5&amp;"生成成长"),3))*(VLOOKUP($B$5,标准坦克设计!$B$14:$K$20,9)/30))</f>
        <v>3.500353505163444</v>
      </c>
      <c r="DN154" s="172">
        <f ca="1">(VLOOKUP(DN$72,INDIRECT($C$5&amp;"生成成长"),2))/((VLOOKUP($B154,INDIRECT($B$5&amp;"生成成长"),4))/(VLOOKUP(DN$72,INDIRECT($C$5&amp;"生成成长"),5))*(VLOOKUP($B$5,标准坦克设计!$B$24:$U$30,MATCH("对"&amp;LEFT($C$5,2)&amp;"输出",标准坦克设计!$B$23:$U$23,0)))*(VLOOKUP($B154,INDIRECT($B$5&amp;"生成成长"),3))*(VLOOKUP($B$5,标准坦克设计!$B$14:$K$20,9)/30))</f>
        <v>3.8674973758464257</v>
      </c>
      <c r="DO154" s="172">
        <f ca="1">(VLOOKUP(DO$72,INDIRECT($C$5&amp;"生成成长"),2))/((VLOOKUP($B154,INDIRECT($B$5&amp;"生成成长"),4))/(VLOOKUP(DO$72,INDIRECT($C$5&amp;"生成成长"),5))*(VLOOKUP($B$5,标准坦克设计!$B$24:$U$30,MATCH("对"&amp;LEFT($C$5,2)&amp;"输出",标准坦克设计!$B$23:$U$23,0)))*(VLOOKUP($B154,INDIRECT($B$5&amp;"生成成长"),3))*(VLOOKUP($B$5,标准坦克设计!$B$14:$K$20,9)/30))</f>
        <v>4.2529475891119377</v>
      </c>
      <c r="DP154" s="172">
        <f ca="1">(VLOOKUP(DP$72,INDIRECT($C$5&amp;"生成成长"),2))/((VLOOKUP($B154,INDIRECT($B$5&amp;"生成成长"),4))/(VLOOKUP(DP$72,INDIRECT($C$5&amp;"生成成长"),5))*(VLOOKUP($B$5,标准坦克设计!$B$24:$U$30,MATCH("对"&amp;LEFT($C$5,2)&amp;"输出",标准坦克设计!$B$23:$U$23,0)))*(VLOOKUP($B154,INDIRECT($B$5&amp;"生成成长"),3))*(VLOOKUP($B$5,标准坦克设计!$B$14:$K$20,9)/30))</f>
        <v>4.6567041449599813</v>
      </c>
      <c r="DQ154" s="172">
        <f ca="1">(VLOOKUP(DQ$72,INDIRECT($C$5&amp;"生成成长"),2))/((VLOOKUP($B154,INDIRECT($B$5&amp;"生成成长"),4))/(VLOOKUP(DQ$72,INDIRECT($C$5&amp;"生成成长"),5))*(VLOOKUP($B$5,标准坦克设计!$B$24:$U$30,MATCH("对"&amp;LEFT($C$5,2)&amp;"输出",标准坦克设计!$B$23:$U$23,0)))*(VLOOKUP($B154,INDIRECT($B$5&amp;"生成成长"),3))*(VLOOKUP($B$5,标准坦克设计!$B$14:$K$20,9)/30))</f>
        <v>5.0787670433905543</v>
      </c>
      <c r="DR154" s="172">
        <f ca="1">(VLOOKUP(DR$72,INDIRECT($C$5&amp;"生成成长"),2))/((VLOOKUP($B154,INDIRECT($B$5&amp;"生成成长"),4))/(VLOOKUP(DR$72,INDIRECT($C$5&amp;"生成成长"),5))*(VLOOKUP($B$5,标准坦克设计!$B$24:$U$30,MATCH("对"&amp;LEFT($C$5,2)&amp;"输出",标准坦克设计!$B$23:$U$23,0)))*(VLOOKUP($B154,INDIRECT($B$5&amp;"生成成长"),3))*(VLOOKUP($B$5,标准坦克设计!$B$14:$K$20,9)/30))</f>
        <v>5.5191362844036602</v>
      </c>
      <c r="DS154" s="172">
        <f ca="1">(VLOOKUP(DS$72,INDIRECT($C$5&amp;"生成成长"),2))/((VLOOKUP($B154,INDIRECT($B$5&amp;"生成成长"),4))/(VLOOKUP(DS$72,INDIRECT($C$5&amp;"生成成长"),5))*(VLOOKUP($B$5,标准坦克设计!$B$24:$U$30,MATCH("对"&amp;LEFT($C$5,2)&amp;"输出",标准坦克设计!$B$23:$U$23,0)))*(VLOOKUP($B154,INDIRECT($B$5&amp;"生成成长"),3))*(VLOOKUP($B$5,标准坦克设计!$B$14:$K$20,9)/30))</f>
        <v>5.9778118679992964</v>
      </c>
      <c r="DT154" s="172">
        <f ca="1">(VLOOKUP(DT$72,INDIRECT($C$5&amp;"生成成长"),2))/((VLOOKUP($B154,INDIRECT($B$5&amp;"生成成长"),4))/(VLOOKUP(DT$72,INDIRECT($C$5&amp;"生成成长"),5))*(VLOOKUP($B$5,标准坦克设计!$B$24:$U$30,MATCH("对"&amp;LEFT($C$5,2)&amp;"输出",标准坦克设计!$B$23:$U$23,0)))*(VLOOKUP($B154,INDIRECT($B$5&amp;"生成成长"),3))*(VLOOKUP($B$5,标准坦克设计!$B$14:$K$20,9)/30))</f>
        <v>6.5632758242961655</v>
      </c>
      <c r="DU154" s="172">
        <f ca="1">(VLOOKUP(DU$72,INDIRECT($C$5&amp;"生成成长"),2))/((VLOOKUP($B154,INDIRECT($B$5&amp;"生成成长"),4))/(VLOOKUP(DU$72,INDIRECT($C$5&amp;"生成成长"),5))*(VLOOKUP($B$5,标准坦克设计!$B$24:$U$30,MATCH("对"&amp;LEFT($C$5,2)&amp;"输出",标准坦克设计!$B$23:$U$23,0)))*(VLOOKUP($B154,INDIRECT($B$5&amp;"生成成长"),3))*(VLOOKUP($B$5,标准坦克设计!$B$14:$K$20,9)/30))</f>
        <v>7.1760862923521227</v>
      </c>
      <c r="DV154" s="172">
        <f ca="1">(VLOOKUP(DV$72,INDIRECT($C$5&amp;"生成成长"),2))/((VLOOKUP($B154,INDIRECT($B$5&amp;"生成成长"),4))/(VLOOKUP(DV$72,INDIRECT($C$5&amp;"生成成长"),5))*(VLOOKUP($B$5,标准坦克设计!$B$24:$U$30,MATCH("对"&amp;LEFT($C$5,2)&amp;"输出",标准坦克设计!$B$23:$U$23,0)))*(VLOOKUP($B154,INDIRECT($B$5&amp;"生成成长"),3))*(VLOOKUP($B$5,标准坦克设计!$B$14:$K$20,9)/30))</f>
        <v>7.8162432721671715</v>
      </c>
      <c r="DW154" s="172">
        <f ca="1">(VLOOKUP(DW$72,INDIRECT($C$5&amp;"生成成长"),2))/((VLOOKUP($B154,INDIRECT($B$5&amp;"生成成长"),4))/(VLOOKUP(DW$72,INDIRECT($C$5&amp;"生成成长"),5))*(VLOOKUP($B$5,标准坦克设计!$B$24:$U$30,MATCH("对"&amp;LEFT($C$5,2)&amp;"输出",标准坦克设计!$B$23:$U$23,0)))*(VLOOKUP($B154,INDIRECT($B$5&amp;"生成成长"),3))*(VLOOKUP($B$5,标准坦克设计!$B$14:$K$20,9)/30))</f>
        <v>8.4837467637413084</v>
      </c>
      <c r="DX154" s="172">
        <f ca="1">(VLOOKUP(DX$72,INDIRECT($C$5&amp;"生成成长"),2))/((VLOOKUP($B154,INDIRECT($B$5&amp;"生成成长"),4))/(VLOOKUP(DX$72,INDIRECT($C$5&amp;"生成成长"),5))*(VLOOKUP($B$5,标准坦克设计!$B$24:$U$30,MATCH("对"&amp;LEFT($C$5,2)&amp;"输出",标准坦克设计!$B$23:$U$23,0)))*(VLOOKUP($B154,INDIRECT($B$5&amp;"生成成长"),3))*(VLOOKUP($B$5,标准坦克设计!$B$14:$K$20,9)/30))</f>
        <v>9.1785967670745325</v>
      </c>
      <c r="DY154" s="172">
        <f ca="1">(VLOOKUP(DY$72,INDIRECT($C$5&amp;"生成成长"),2))/((VLOOKUP($B154,INDIRECT($B$5&amp;"生成成长"),4))/(VLOOKUP(DY$72,INDIRECT($C$5&amp;"生成成长"),5))*(VLOOKUP($B$5,标准坦克设计!$B$24:$U$30,MATCH("对"&amp;LEFT($C$5,2)&amp;"输出",标准坦克设计!$B$23:$U$23,0)))*(VLOOKUP($B154,INDIRECT($B$5&amp;"生成成长"),3))*(VLOOKUP($B$5,标准坦克设计!$B$14:$K$20,9)/30))</f>
        <v>4.1224301466253754</v>
      </c>
      <c r="DZ154" s="172">
        <f ca="1">(VLOOKUP(DZ$72,INDIRECT($C$5&amp;"生成成长"),2))/((VLOOKUP($B154,INDIRECT($B$5&amp;"生成成长"),4))/(VLOOKUP(DZ$72,INDIRECT($C$5&amp;"生成成长"),5))*(VLOOKUP($B$5,标准坦克设计!$B$24:$U$30,MATCH("对"&amp;LEFT($C$5,2)&amp;"输出",标准坦克设计!$B$23:$U$23,0)))*(VLOOKUP($B154,INDIRECT($B$5&amp;"生成成长"),3))*(VLOOKUP($B$5,标准坦克设计!$B$14:$K$20,9)/30))</f>
        <v>4.5653984362767401</v>
      </c>
      <c r="EA154" s="172">
        <f ca="1">(VLOOKUP(EA$72,INDIRECT($C$5&amp;"生成成长"),2))/((VLOOKUP($B154,INDIRECT($B$5&amp;"生成成长"),4))/(VLOOKUP(EA$72,INDIRECT($C$5&amp;"生成成长"),5))*(VLOOKUP($B$5,标准坦克设计!$B$24:$U$30,MATCH("对"&amp;LEFT($C$5,2)&amp;"输出",标准坦克设计!$B$23:$U$23,0)))*(VLOOKUP($B154,INDIRECT($B$5&amp;"生成成长"),3))*(VLOOKUP($B$5,标准坦克设计!$B$14:$K$20,9)/30))</f>
        <v>5.030967148869502</v>
      </c>
      <c r="EB154" s="172">
        <f ca="1">(VLOOKUP(EB$72,INDIRECT($C$5&amp;"生成成长"),2))/((VLOOKUP($B154,INDIRECT($B$5&amp;"生成成长"),4))/(VLOOKUP(EB$72,INDIRECT($C$5&amp;"生成成长"),5))*(VLOOKUP($B$5,标准坦克设计!$B$24:$U$30,MATCH("对"&amp;LEFT($C$5,2)&amp;"输出",标准坦克设计!$B$23:$U$23,0)))*(VLOOKUP($B154,INDIRECT($B$5&amp;"生成成长"),3))*(VLOOKUP($B$5,标准坦克设计!$B$14:$K$20,9)/30))</f>
        <v>5.5191362844036602</v>
      </c>
      <c r="EC154" s="172">
        <f ca="1">(VLOOKUP(EC$72,INDIRECT($C$5&amp;"生成成长"),2))/((VLOOKUP($B154,INDIRECT($B$5&amp;"生成成长"),4))/(VLOOKUP(EC$72,INDIRECT($C$5&amp;"生成成长"),5))*(VLOOKUP($B$5,标准坦克设计!$B$24:$U$30,MATCH("对"&amp;LEFT($C$5,2)&amp;"输出",标准坦克设计!$B$23:$U$23,0)))*(VLOOKUP($B154,INDIRECT($B$5&amp;"生成成长"),3))*(VLOOKUP($B$5,标准坦克设计!$B$14:$K$20,9)/30))</f>
        <v>6.0299058428792156</v>
      </c>
      <c r="ED154" s="172">
        <f ca="1">(VLOOKUP(ED$72,INDIRECT($C$5&amp;"生成成长"),2))/((VLOOKUP($B154,INDIRECT($B$5&amp;"生成成长"),4))/(VLOOKUP(ED$72,INDIRECT($C$5&amp;"生成成长"),5))*(VLOOKUP($B$5,标准坦克设计!$B$24:$U$30,MATCH("对"&amp;LEFT($C$5,2)&amp;"输出",标准坦克设计!$B$23:$U$23,0)))*(VLOOKUP($B154,INDIRECT($B$5&amp;"生成成长"),3))*(VLOOKUP($B$5,标准坦克设计!$B$14:$K$20,9)/30))</f>
        <v>6.5632758242961655</v>
      </c>
      <c r="EE154" s="172">
        <f ca="1">(VLOOKUP(EE$72,INDIRECT($C$5&amp;"生成成长"),2))/((VLOOKUP($B154,INDIRECT($B$5&amp;"生成成长"),4))/(VLOOKUP(EE$72,INDIRECT($C$5&amp;"生成成长"),5))*(VLOOKUP($B$5,标准坦克设计!$B$24:$U$30,MATCH("对"&amp;LEFT($C$5,2)&amp;"输出",标准坦克设计!$B$23:$U$23,0)))*(VLOOKUP($B154,INDIRECT($B$5&amp;"生成成长"),3))*(VLOOKUP($B$5,标准坦克设计!$B$14:$K$20,9)/30))</f>
        <v>7.1192462286545117</v>
      </c>
      <c r="EF154" s="172">
        <f ca="1">(VLOOKUP(EF$72,INDIRECT($C$5&amp;"生成成长"),2))/((VLOOKUP($B154,INDIRECT($B$5&amp;"生成成长"),4))/(VLOOKUP(EF$72,INDIRECT($C$5&amp;"生成成长"),5))*(VLOOKUP($B$5,标准坦克设计!$B$24:$U$30,MATCH("对"&amp;LEFT($C$5,2)&amp;"输出",标准坦克设计!$B$23:$U$23,0)))*(VLOOKUP($B154,INDIRECT($B$5&amp;"生成成长"),3))*(VLOOKUP($B$5,标准坦克设计!$B$14:$K$20,9)/30))</f>
        <v>7.6978170559542534</v>
      </c>
      <c r="EG154" s="172">
        <f ca="1">(VLOOKUP(EG$72,INDIRECT($C$5&amp;"生成成长"),2))/((VLOOKUP($B154,INDIRECT($B$5&amp;"生成成长"),4))/(VLOOKUP(EG$72,INDIRECT($C$5&amp;"生成成长"),5))*(VLOOKUP($B$5,标准坦克设计!$B$24:$U$30,MATCH("对"&amp;LEFT($C$5,2)&amp;"输出",标准坦克设计!$B$23:$U$23,0)))*(VLOOKUP($B154,INDIRECT($B$5&amp;"生成成长"),3))*(VLOOKUP($B$5,标准坦克设计!$B$14:$K$20,9)/30))</f>
        <v>8.298988306195394</v>
      </c>
      <c r="EH154" s="172">
        <f ca="1">(VLOOKUP(EH$72,INDIRECT($C$5&amp;"生成成长"),2))/((VLOOKUP($B154,INDIRECT($B$5&amp;"生成成长"),4))/(VLOOKUP(EH$72,INDIRECT($C$5&amp;"生成成长"),5))*(VLOOKUP($B$5,标准坦克设计!$B$24:$U$30,MATCH("对"&amp;LEFT($C$5,2)&amp;"输出",标准坦克设计!$B$23:$U$23,0)))*(VLOOKUP($B154,INDIRECT($B$5&amp;"生成成长"),3))*(VLOOKUP($B$5,标准坦克设计!$B$14:$K$20,9)/30))</f>
        <v>8.9227599793779273</v>
      </c>
      <c r="EI154" s="172">
        <f ca="1">(VLOOKUP(EI$72,INDIRECT($C$5&amp;"生成成长"),2))/((VLOOKUP($B154,INDIRECT($B$5&amp;"生成成长"),4))/(VLOOKUP(EI$72,INDIRECT($C$5&amp;"生成成长"),5))*(VLOOKUP($B$5,标准坦克设计!$B$24:$U$30,MATCH("对"&amp;LEFT($C$5,2)&amp;"输出",标准坦克设计!$B$23:$U$23,0)))*(VLOOKUP($B154,INDIRECT($B$5&amp;"生成成长"),3))*(VLOOKUP($B$5,标准坦克设计!$B$14:$K$20,9)/30))</f>
        <v>9.5691320755018605</v>
      </c>
      <c r="EJ154" s="172">
        <f ca="1">(VLOOKUP(EJ$72,INDIRECT($C$5&amp;"生成成长"),2))/((VLOOKUP($B154,INDIRECT($B$5&amp;"生成成长"),4))/(VLOOKUP(EJ$72,INDIRECT($C$5&amp;"生成成长"),5))*(VLOOKUP($B$5,标准坦克设计!$B$24:$U$30,MATCH("对"&amp;LEFT($C$5,2)&amp;"输出",标准坦克设计!$B$23:$U$23,0)))*(VLOOKUP($B154,INDIRECT($B$5&amp;"生成成长"),3))*(VLOOKUP($B$5,标准坦克设计!$B$14:$K$20,9)/30))</f>
        <v>10.238104594567186</v>
      </c>
      <c r="EK154" s="172">
        <f ca="1">(VLOOKUP(EK$72,INDIRECT($C$5&amp;"生成成长"),2))/((VLOOKUP($B154,INDIRECT($B$5&amp;"生成成长"),4))/(VLOOKUP(EK$72,INDIRECT($C$5&amp;"生成成长"),5))*(VLOOKUP($B$5,标准坦克设计!$B$24:$U$30,MATCH("对"&amp;LEFT($C$5,2)&amp;"输出",标准坦克设计!$B$23:$U$23,0)))*(VLOOKUP($B154,INDIRECT($B$5&amp;"生成成长"),3))*(VLOOKUP($B$5,标准坦克设计!$B$14:$K$20,9)/30))</f>
        <v>11.070704175728224</v>
      </c>
      <c r="EL154" s="172">
        <f ca="1">(VLOOKUP(EL$72,INDIRECT($C$5&amp;"生成成长"),2))/((VLOOKUP($B154,INDIRECT($B$5&amp;"生成成长"),4))/(VLOOKUP(EL$72,INDIRECT($C$5&amp;"生成成长"),5))*(VLOOKUP($B$5,标准坦克设计!$B$24:$U$30,MATCH("对"&amp;LEFT($C$5,2)&amp;"输出",标准坦克设计!$B$23:$U$23,0)))*(VLOOKUP($B154,INDIRECT($B$5&amp;"生成成长"),3))*(VLOOKUP($B$5,标准坦克设计!$B$14:$K$20,9)/30))</f>
        <v>11.935848365924869</v>
      </c>
      <c r="EM154" s="172">
        <f ca="1">(VLOOKUP(EM$72,INDIRECT($C$5&amp;"生成成长"),2))/((VLOOKUP($B154,INDIRECT($B$5&amp;"生成成长"),4))/(VLOOKUP(EM$72,INDIRECT($C$5&amp;"生成成长"),5))*(VLOOKUP($B$5,标准坦克设计!$B$24:$U$30,MATCH("对"&amp;LEFT($C$5,2)&amp;"输出",标准坦克设计!$B$23:$U$23,0)))*(VLOOKUP($B154,INDIRECT($B$5&amp;"生成成长"),3))*(VLOOKUP($B$5,标准坦克设计!$B$14:$K$20,9)/30))</f>
        <v>12.833537165157129</v>
      </c>
      <c r="EN154" s="172">
        <f ca="1">(VLOOKUP(EN$72,INDIRECT($C$5&amp;"生成成长"),2))/((VLOOKUP($B154,INDIRECT($B$5&amp;"生成成长"),4))/(VLOOKUP(EN$72,INDIRECT($C$5&amp;"生成成长"),5))*(VLOOKUP($B$5,标准坦克设计!$B$24:$U$30,MATCH("对"&amp;LEFT($C$5,2)&amp;"输出",标准坦克设计!$B$23:$U$23,0)))*(VLOOKUP($B154,INDIRECT($B$5&amp;"生成成长"),3))*(VLOOKUP($B$5,标准坦克设计!$B$14:$K$20,9)/30))</f>
        <v>13.763770573424997</v>
      </c>
      <c r="EO154" s="172">
        <f ca="1">(VLOOKUP(EO$72,INDIRECT($C$5&amp;"生成成长"),2))/((VLOOKUP($B154,INDIRECT($B$5&amp;"生成成长"),4))/(VLOOKUP(EO$72,INDIRECT($C$5&amp;"生成成长"),5))*(VLOOKUP($B$5,标准坦克设计!$B$24:$U$30,MATCH("对"&amp;LEFT($C$5,2)&amp;"输出",标准坦克设计!$B$23:$U$23,0)))*(VLOOKUP($B154,INDIRECT($B$5&amp;"生成成长"),3))*(VLOOKUP($B$5,标准坦克设计!$B$14:$K$20,9)/30))</f>
        <v>14.726548590728475</v>
      </c>
      <c r="EP154" s="172">
        <f ca="1">(VLOOKUP(EP$72,INDIRECT($C$5&amp;"生成成长"),2))/((VLOOKUP($B154,INDIRECT($B$5&amp;"生成成长"),4))/(VLOOKUP(EP$72,INDIRECT($C$5&amp;"生成成长"),5))*(VLOOKUP($B$5,标准坦克设计!$B$24:$U$30,MATCH("对"&amp;LEFT($C$5,2)&amp;"输出",标准坦克设计!$B$23:$U$23,0)))*(VLOOKUP($B154,INDIRECT($B$5&amp;"生成成长"),3))*(VLOOKUP($B$5,标准坦克设计!$B$14:$K$20,9)/30))</f>
        <v>15.721871217067562</v>
      </c>
      <c r="EQ154" s="172">
        <f ca="1">(VLOOKUP(EQ$72,INDIRECT($C$5&amp;"生成成长"),2))/((VLOOKUP($B154,INDIRECT($B$5&amp;"生成成长"),4))/(VLOOKUP(EQ$72,INDIRECT($C$5&amp;"生成成长"),5))*(VLOOKUP($B$5,标准坦克设计!$B$24:$U$30,MATCH("对"&amp;LEFT($C$5,2)&amp;"输出",标准坦克设计!$B$23:$U$23,0)))*(VLOOKUP($B154,INDIRECT($B$5&amp;"生成成长"),3))*(VLOOKUP($B$5,标准坦克设计!$B$14:$K$20,9)/30))</f>
        <v>6.9500820629381606</v>
      </c>
      <c r="ER154" s="172">
        <f ca="1">(VLOOKUP(ER$72,INDIRECT($C$5&amp;"生成成长"),2))/((VLOOKUP($B154,INDIRECT($B$5&amp;"生成成长"),4))/(VLOOKUP(ER$72,INDIRECT($C$5&amp;"生成成长"),5))*(VLOOKUP($B$5,标准坦克设计!$B$24:$U$30,MATCH("对"&amp;LEFT($C$5,2)&amp;"输出",标准坦克设计!$B$23:$U$23,0)))*(VLOOKUP($B154,INDIRECT($B$5&amp;"生成成长"),3))*(VLOOKUP($B$5,标准坦克设计!$B$14:$K$20,9)/30))</f>
        <v>7.5802948566589947</v>
      </c>
      <c r="ES154" s="172">
        <f ca="1">(VLOOKUP(ES$72,INDIRECT($C$5&amp;"生成成长"),2))/((VLOOKUP($B154,INDIRECT($B$5&amp;"生成成长"),4))/(VLOOKUP(ES$72,INDIRECT($C$5&amp;"生成成长"),5))*(VLOOKUP($B$5,标准坦克设计!$B$24:$U$30,MATCH("对"&amp;LEFT($C$5,2)&amp;"输出",标准坦克设计!$B$23:$U$23,0)))*(VLOOKUP($B154,INDIRECT($B$5&amp;"生成成长"),3))*(VLOOKUP($B$5,标准坦克设计!$B$14:$K$20,9)/30))</f>
        <v>8.2378541621389161</v>
      </c>
      <c r="ET154" s="172">
        <f ca="1">(VLOOKUP(ET$72,INDIRECT($C$5&amp;"生成成长"),2))/((VLOOKUP($B154,INDIRECT($B$5&amp;"生成成长"),4))/(VLOOKUP(ET$72,INDIRECT($C$5&amp;"生成成长"),5))*(VLOOKUP($B$5,标准坦克设计!$B$24:$U$30,MATCH("对"&amp;LEFT($C$5,2)&amp;"输出",标准坦克设计!$B$23:$U$23,0)))*(VLOOKUP($B154,INDIRECT($B$5&amp;"生成成长"),3))*(VLOOKUP($B$5,标准坦克设计!$B$14:$K$20,9)/30))</f>
        <v>8.9227599793779273</v>
      </c>
      <c r="EU154" s="172">
        <f ca="1">(VLOOKUP(EU$72,INDIRECT($C$5&amp;"生成成长"),2))/((VLOOKUP($B154,INDIRECT($B$5&amp;"生成成长"),4))/(VLOOKUP(EU$72,INDIRECT($C$5&amp;"生成成长"),5))*(VLOOKUP($B$5,标准坦克设计!$B$24:$U$30,MATCH("对"&amp;LEFT($C$5,2)&amp;"输出",标准坦克设计!$B$23:$U$23,0)))*(VLOOKUP($B154,INDIRECT($B$5&amp;"生成成长"),3))*(VLOOKUP($B$5,标准坦克设计!$B$14:$K$20,9)/30))</f>
        <v>9.635012308376032</v>
      </c>
      <c r="EV154" s="172">
        <f ca="1">(VLOOKUP(EV$72,INDIRECT($C$5&amp;"生成成长"),2))/((VLOOKUP($B154,INDIRECT($B$5&amp;"生成成长"),4))/(VLOOKUP(EV$72,INDIRECT($C$5&amp;"生成成长"),5))*(VLOOKUP($B$5,标准坦克设计!$B$24:$U$30,MATCH("对"&amp;LEFT($C$5,2)&amp;"输出",标准坦克设计!$B$23:$U$23,0)))*(VLOOKUP($B154,INDIRECT($B$5&amp;"生成成长"),3))*(VLOOKUP($B$5,标准坦克设计!$B$14:$K$20,9)/30))</f>
        <v>10.374611149133221</v>
      </c>
      <c r="EW154" s="172">
        <f ca="1">(VLOOKUP(EW$72,INDIRECT($C$5&amp;"生成成长"),2))/((VLOOKUP($B154,INDIRECT($B$5&amp;"生成成长"),4))/(VLOOKUP(EW$72,INDIRECT($C$5&amp;"生成成长"),5))*(VLOOKUP($B$5,标准坦克设计!$B$24:$U$30,MATCH("对"&amp;LEFT($C$5,2)&amp;"输出",标准坦克设计!$B$23:$U$23,0)))*(VLOOKUP($B154,INDIRECT($B$5&amp;"生成成长"),3))*(VLOOKUP($B$5,标准坦克设计!$B$14:$K$20,9)/30))</f>
        <v>11.141556501649502</v>
      </c>
      <c r="EX154" s="172">
        <f ca="1">(VLOOKUP(EX$72,INDIRECT($C$5&amp;"生成成长"),2))/((VLOOKUP($B154,INDIRECT($B$5&amp;"生成成长"),4))/(VLOOKUP(EX$72,INDIRECT($C$5&amp;"生成成长"),5))*(VLOOKUP($B$5,标准坦克设计!$B$24:$U$30,MATCH("对"&amp;LEFT($C$5,2)&amp;"输出",标准坦克设计!$B$23:$U$23,0)))*(VLOOKUP($B154,INDIRECT($B$5&amp;"生成成长"),3))*(VLOOKUP($B$5,标准坦克设计!$B$14:$K$20,9)/30))</f>
        <v>11.935848365924869</v>
      </c>
      <c r="EY154" s="172">
        <f ca="1">(VLOOKUP(EY$72,INDIRECT($C$5&amp;"生成成长"),2))/((VLOOKUP($B154,INDIRECT($B$5&amp;"生成成长"),4))/(VLOOKUP(EY$72,INDIRECT($C$5&amp;"生成成长"),5))*(VLOOKUP($B$5,标准坦克设计!$B$24:$U$30,MATCH("对"&amp;LEFT($C$5,2)&amp;"输出",标准坦克设计!$B$23:$U$23,0)))*(VLOOKUP($B154,INDIRECT($B$5&amp;"生成成长"),3))*(VLOOKUP($B$5,标准坦克设计!$B$14:$K$20,9)/30))</f>
        <v>12.757486741959331</v>
      </c>
      <c r="EZ154" s="172">
        <f ca="1">(VLOOKUP(EZ$72,INDIRECT($C$5&amp;"生成成长"),2))/((VLOOKUP($B154,INDIRECT($B$5&amp;"生成成长"),4))/(VLOOKUP(EZ$72,INDIRECT($C$5&amp;"生成成长"),5))*(VLOOKUP($B$5,标准坦克设计!$B$24:$U$30,MATCH("对"&amp;LEFT($C$5,2)&amp;"输出",标准坦克设计!$B$23:$U$23,0)))*(VLOOKUP($B154,INDIRECT($B$5&amp;"生成成长"),3))*(VLOOKUP($B$5,标准坦克设计!$B$14:$K$20,9)/30))</f>
        <v>13.606471629752876</v>
      </c>
      <c r="FA154" s="172">
        <f ca="1">(VLOOKUP(FA$72,INDIRECT($C$5&amp;"生成成长"),2))/((VLOOKUP($B154,INDIRECT($B$5&amp;"生成成长"),4))/(VLOOKUP(FA$72,INDIRECT($C$5&amp;"生成成长"),5))*(VLOOKUP($B$5,标准坦克设计!$B$24:$U$30,MATCH("对"&amp;LEFT($C$5,2)&amp;"输出",标准坦克设计!$B$23:$U$23,0)))*(VLOOKUP($B154,INDIRECT($B$5&amp;"生成成长"),3))*(VLOOKUP($B$5,标准坦克设计!$B$14:$K$20,9)/30))</f>
        <v>14.482803029305517</v>
      </c>
      <c r="FB154" s="172">
        <f ca="1">(VLOOKUP(FB$72,INDIRECT($C$5&amp;"生成成长"),2))/((VLOOKUP($B154,INDIRECT($B$5&amp;"生成成长"),4))/(VLOOKUP(FB$72,INDIRECT($C$5&amp;"生成成长"),5))*(VLOOKUP($B$5,标准坦克设计!$B$24:$U$30,MATCH("对"&amp;LEFT($C$5,2)&amp;"输出",标准坦克设计!$B$23:$U$23,0)))*(VLOOKUP($B154,INDIRECT($B$5&amp;"生成成长"),3))*(VLOOKUP($B$5,标准坦克设计!$B$14:$K$20,9)/30))</f>
        <v>15.386480940617243</v>
      </c>
      <c r="FC154" s="172">
        <f ca="1">(VLOOKUP(FC$72,INDIRECT($C$5&amp;"生成成长"),2))/((VLOOKUP($B154,INDIRECT($B$5&amp;"生成成长"),4))/(VLOOKUP(FC$72,INDIRECT($C$5&amp;"生成成长"),5))*(VLOOKUP($B$5,标准坦克设计!$B$24:$U$30,MATCH("对"&amp;LEFT($C$5,2)&amp;"输出",标准坦克设计!$B$23:$U$23,0)))*(VLOOKUP($B154,INDIRECT($B$5&amp;"生成成长"),3))*(VLOOKUP($B$5,标准坦克设计!$B$14:$K$20,9)/30))</f>
        <v>16.317505363688056</v>
      </c>
      <c r="FD154" s="172">
        <f ca="1">(VLOOKUP(FD$72,INDIRECT($C$5&amp;"生成成长"),2))/((VLOOKUP($B154,INDIRECT($B$5&amp;"生成成长"),4))/(VLOOKUP(FD$72,INDIRECT($C$5&amp;"生成成长"),5))*(VLOOKUP($B$5,标准坦克设计!$B$24:$U$30,MATCH("对"&amp;LEFT($C$5,2)&amp;"输出",标准坦克设计!$B$23:$U$23,0)))*(VLOOKUP($B154,INDIRECT($B$5&amp;"生成成长"),3))*(VLOOKUP($B$5,标准坦克设计!$B$14:$K$20,9)/30))</f>
        <v>17.275876298517964</v>
      </c>
      <c r="FE154" s="172">
        <f ca="1">(VLOOKUP(FE$72,INDIRECT($C$5&amp;"生成成长"),2))/((VLOOKUP($B154,INDIRECT($B$5&amp;"生成成长"),4))/(VLOOKUP(FE$72,INDIRECT($C$5&amp;"生成成长"),5))*(VLOOKUP($B$5,标准坦克设计!$B$24:$U$30,MATCH("对"&amp;LEFT($C$5,2)&amp;"输出",标准坦克设计!$B$23:$U$23,0)))*(VLOOKUP($B154,INDIRECT($B$5&amp;"生成成长"),3))*(VLOOKUP($B$5,标准坦克设计!$B$14:$K$20,9)/30))</f>
        <v>18.443753154014615</v>
      </c>
      <c r="FF154" s="172">
        <f ca="1">(VLOOKUP(FF$72,INDIRECT($C$5&amp;"生成成长"),2))/((VLOOKUP($B154,INDIRECT($B$5&amp;"生成成长"),4))/(VLOOKUP(FF$72,INDIRECT($C$5&amp;"生成成长"),5))*(VLOOKUP($B$5,标准坦克设计!$B$24:$U$30,MATCH("对"&amp;LEFT($C$5,2)&amp;"输出",标准坦克设计!$B$23:$U$23,0)))*(VLOOKUP($B154,INDIRECT($B$5&amp;"生成成长"),3))*(VLOOKUP($B$5,标准坦克设计!$B$14:$K$20,9)/30))</f>
        <v>19.649824724282222</v>
      </c>
      <c r="FG154" s="172">
        <f ca="1">(VLOOKUP(FG$72,INDIRECT($C$5&amp;"生成成长"),2))/((VLOOKUP($B154,INDIRECT($B$5&amp;"生成成长"),4))/(VLOOKUP(FG$72,INDIRECT($C$5&amp;"生成成长"),5))*(VLOOKUP($B$5,标准坦克设计!$B$24:$U$30,MATCH("对"&amp;LEFT($C$5,2)&amp;"输出",标准坦克设计!$B$23:$U$23,0)))*(VLOOKUP($B154,INDIRECT($B$5&amp;"生成成长"),3))*(VLOOKUP($B$5,标准坦克设计!$B$14:$K$20,9)/30))</f>
        <v>20.894091009320793</v>
      </c>
      <c r="FH154" s="172">
        <f ca="1">(VLOOKUP(FH$72,INDIRECT($C$5&amp;"生成成长"),2))/((VLOOKUP($B154,INDIRECT($B$5&amp;"生成成长"),4))/(VLOOKUP(FH$72,INDIRECT($C$5&amp;"生成成长"),5))*(VLOOKUP($B$5,标准坦克设计!$B$24:$U$30,MATCH("对"&amp;LEFT($C$5,2)&amp;"输出",标准坦克设计!$B$23:$U$23,0)))*(VLOOKUP($B154,INDIRECT($B$5&amp;"生成成长"),3))*(VLOOKUP($B$5,标准坦克设计!$B$14:$K$20,9)/30))</f>
        <v>22.176552009130319</v>
      </c>
      <c r="FI154" s="172">
        <f ca="1">(VLOOKUP(FI$72,INDIRECT($C$5&amp;"生成成长"),2))/((VLOOKUP($B154,INDIRECT($B$5&amp;"生成成长"),4))/(VLOOKUP(FI$72,INDIRECT($C$5&amp;"生成成长"),5))*(VLOOKUP($B$5,标准坦克设计!$B$24:$U$30,MATCH("对"&amp;LEFT($C$5,2)&amp;"输出",标准坦克设计!$B$23:$U$23,0)))*(VLOOKUP($B154,INDIRECT($B$5&amp;"生成成长"),3))*(VLOOKUP($B$5,标准坦克设计!$B$14:$K$20,9)/30))</f>
        <v>23.497207723710808</v>
      </c>
      <c r="FJ154" s="172">
        <f ca="1">(VLOOKUP(FJ$72,INDIRECT($C$5&amp;"生成成长"),2))/((VLOOKUP($B154,INDIRECT($B$5&amp;"生成成长"),4))/(VLOOKUP(FJ$72,INDIRECT($C$5&amp;"生成成长"),5))*(VLOOKUP($B$5,标准坦克设计!$B$24:$U$30,MATCH("对"&amp;LEFT($C$5,2)&amp;"输出",标准坦克设计!$B$23:$U$23,0)))*(VLOOKUP($B154,INDIRECT($B$5&amp;"生成成长"),3))*(VLOOKUP($B$5,标准坦克设计!$B$14:$K$20,9)/30))</f>
        <v>24.856058153062254</v>
      </c>
      <c r="FK154" s="172">
        <f ca="1">(VLOOKUP(FK$72,INDIRECT($C$5&amp;"生成成长"),2))/((VLOOKUP($B154,INDIRECT($B$5&amp;"生成成长"),4))/(VLOOKUP(FK$72,INDIRECT($C$5&amp;"生成成长"),5))*(VLOOKUP($B$5,标准坦克设计!$B$24:$U$30,MATCH("对"&amp;LEFT($C$5,2)&amp;"输出",标准坦克设计!$B$23:$U$23,0)))*(VLOOKUP($B154,INDIRECT($B$5&amp;"生成成长"),3))*(VLOOKUP($B$5,标准坦克设计!$B$14:$K$20,9)/30))</f>
        <v>26.253103297184662</v>
      </c>
    </row>
    <row r="155" spans="1:167" x14ac:dyDescent="0.15">
      <c r="A155" s="170" t="str">
        <f t="shared" si="12"/>
        <v>T4中品质11级</v>
      </c>
      <c r="B155" s="171">
        <v>20411</v>
      </c>
      <c r="C155" s="172">
        <f ca="1">(VLOOKUP(C$72,INDIRECT($C$5&amp;"生成成长"),2))/((VLOOKUP($B155,INDIRECT($B$5&amp;"生成成长"),4))/(VLOOKUP(C$72,INDIRECT($C$5&amp;"生成成长"),5))*(VLOOKUP($B$5,标准坦克设计!$B$24:$U$30,MATCH("对"&amp;LEFT($C$5,2)&amp;"输出",标准坦克设计!$B$23:$U$23,0)))*(VLOOKUP($B155,INDIRECT($B$5&amp;"生成成长"),3))*(VLOOKUP($B$5,标准坦克设计!$B$14:$K$20,9)/30))</f>
        <v>1.0513842747726734</v>
      </c>
      <c r="D155" s="172">
        <f ca="1">(VLOOKUP(D$72,INDIRECT($C$5&amp;"生成成长"),2))/((VLOOKUP($B155,INDIRECT($B$5&amp;"生成成长"),4))/(VLOOKUP(D$72,INDIRECT($C$5&amp;"生成成长"),5))*(VLOOKUP($B$5,标准坦克设计!$B$24:$U$30,MATCH("对"&amp;LEFT($C$5,2)&amp;"输出",标准坦克设计!$B$23:$U$23,0)))*(VLOOKUP($B155,INDIRECT($B$5&amp;"生成成长"),3))*(VLOOKUP($B$5,标准坦克设计!$B$14:$K$20,9)/30))</f>
        <v>1.181335371134576</v>
      </c>
      <c r="E155" s="172">
        <f ca="1">(VLOOKUP(E$72,INDIRECT($C$5&amp;"生成成长"),2))/((VLOOKUP($B155,INDIRECT($B$5&amp;"生成成长"),4))/(VLOOKUP(E$72,INDIRECT($C$5&amp;"生成成长"),5))*(VLOOKUP($B$5,标准坦克设计!$B$24:$U$30,MATCH("对"&amp;LEFT($C$5,2)&amp;"输出",标准坦克设计!$B$23:$U$23,0)))*(VLOOKUP($B155,INDIRECT($B$5&amp;"生成成长"),3))*(VLOOKUP($B$5,标准坦克设计!$B$14:$K$20,9)/30))</f>
        <v>1.3188564342748414</v>
      </c>
      <c r="F155" s="172">
        <f ca="1">(VLOOKUP(F$72,INDIRECT($C$5&amp;"生成成长"),2))/((VLOOKUP($B155,INDIRECT($B$5&amp;"生成成长"),4))/(VLOOKUP(F$72,INDIRECT($C$5&amp;"生成成长"),5))*(VLOOKUP($B$5,标准坦克设计!$B$24:$U$30,MATCH("对"&amp;LEFT($C$5,2)&amp;"输出",标准坦克设计!$B$23:$U$23,0)))*(VLOOKUP($B155,INDIRECT($B$5&amp;"生成成长"),3))*(VLOOKUP($B$5,标准坦克设计!$B$14:$K$20,9)/30))</f>
        <v>1.4639474641934702</v>
      </c>
      <c r="G155" s="172">
        <f ca="1">(VLOOKUP(G$72,INDIRECT($C$5&amp;"生成成长"),2))/((VLOOKUP($B155,INDIRECT($B$5&amp;"生成成长"),4))/(VLOOKUP(G$72,INDIRECT($C$5&amp;"生成成长"),5))*(VLOOKUP($B$5,标准坦克设计!$B$24:$U$30,MATCH("对"&amp;LEFT($C$5,2)&amp;"输出",标准坦克设计!$B$23:$U$23,0)))*(VLOOKUP($B155,INDIRECT($B$5&amp;"生成成长"),3))*(VLOOKUP($B$5,标准坦克设计!$B$14:$K$20,9)/30))</f>
        <v>1.6166084608904625</v>
      </c>
      <c r="H155" s="172">
        <f ca="1">(VLOOKUP(H$72,INDIRECT($C$5&amp;"生成成长"),2))/((VLOOKUP($B155,INDIRECT($B$5&amp;"生成成长"),4))/(VLOOKUP(H$72,INDIRECT($C$5&amp;"生成成长"),5))*(VLOOKUP($B$5,标准坦克设计!$B$24:$U$30,MATCH("对"&amp;LEFT($C$5,2)&amp;"输出",标准坦克设计!$B$23:$U$23,0)))*(VLOOKUP($B155,INDIRECT($B$5&amp;"生成成长"),3))*(VLOOKUP($B$5,标准坦克设计!$B$14:$K$20,9)/30))</f>
        <v>1.4147426801341094</v>
      </c>
      <c r="I155" s="172">
        <f ca="1">(VLOOKUP(I$72,INDIRECT($C$5&amp;"生成成长"),2))/((VLOOKUP($B155,INDIRECT($B$5&amp;"生成成长"),4))/(VLOOKUP(I$72,INDIRECT($C$5&amp;"生成成长"),5))*(VLOOKUP($B$5,标准坦克设计!$B$24:$U$30,MATCH("对"&amp;LEFT($C$5,2)&amp;"输出",标准坦克设计!$B$23:$U$23,0)))*(VLOOKUP($B155,INDIRECT($B$5&amp;"生成成长"),3))*(VLOOKUP($B$5,标准坦克设计!$B$14:$K$20,9)/30))</f>
        <v>1.6166084608904625</v>
      </c>
      <c r="J155" s="172">
        <f ca="1">(VLOOKUP(J$72,INDIRECT($C$5&amp;"生成成长"),2))/((VLOOKUP($B155,INDIRECT($B$5&amp;"生成成长"),4))/(VLOOKUP(J$72,INDIRECT($C$5&amp;"生成成长"),5))*(VLOOKUP($B$5,标准坦克设计!$B$24:$U$30,MATCH("对"&amp;LEFT($C$5,2)&amp;"输出",标准坦克设计!$B$23:$U$23,0)))*(VLOOKUP($B155,INDIRECT($B$5&amp;"生成成长"),3))*(VLOOKUP($B$5,标准坦克设计!$B$14:$K$20,9)/30))</f>
        <v>1.8319319603639064</v>
      </c>
      <c r="K155" s="172">
        <f ca="1">(VLOOKUP(K$72,INDIRECT($C$5&amp;"生成成长"),2))/((VLOOKUP($B155,INDIRECT($B$5&amp;"生成成长"),4))/(VLOOKUP(K$72,INDIRECT($C$5&amp;"生成成长"),5))*(VLOOKUP($B$5,标准坦克设计!$B$24:$U$30,MATCH("对"&amp;LEFT($C$5,2)&amp;"输出",标准坦克设计!$B$23:$U$23,0)))*(VLOOKUP($B155,INDIRECT($B$5&amp;"生成成长"),3))*(VLOOKUP($B$5,标准坦克设计!$B$14:$K$20,9)/30))</f>
        <v>2.0607131785544404</v>
      </c>
      <c r="L155" s="172">
        <f ca="1">(VLOOKUP(L$72,INDIRECT($C$5&amp;"生成成长"),2))/((VLOOKUP($B155,INDIRECT($B$5&amp;"生成成长"),4))/(VLOOKUP(L$72,INDIRECT($C$5&amp;"生成成长"),5))*(VLOOKUP($B$5,标准坦克设计!$B$24:$U$30,MATCH("对"&amp;LEFT($C$5,2)&amp;"输出",标准坦克设计!$B$23:$U$23,0)))*(VLOOKUP($B155,INDIRECT($B$5&amp;"生成成长"),3))*(VLOOKUP($B$5,标准坦克设计!$B$14:$K$20,9)/30))</f>
        <v>2.3029521154620634</v>
      </c>
      <c r="M155" s="172">
        <f ca="1">(VLOOKUP(M$72,INDIRECT($C$5&amp;"生成成长"),2))/((VLOOKUP($B155,INDIRECT($B$5&amp;"生成成长"),4))/(VLOOKUP(M$72,INDIRECT($C$5&amp;"生成成长"),5))*(VLOOKUP($B$5,标准坦克设计!$B$24:$U$30,MATCH("对"&amp;LEFT($C$5,2)&amp;"输出",标准坦克设计!$B$23:$U$23,0)))*(VLOOKUP($B155,INDIRECT($B$5&amp;"生成成长"),3))*(VLOOKUP($B$5,标准坦克设计!$B$14:$K$20,9)/30))</f>
        <v>2.5586487710867778</v>
      </c>
      <c r="N155" s="172">
        <f ca="1">(VLOOKUP(N$72,INDIRECT($C$5&amp;"生成成长"),2))/((VLOOKUP($B155,INDIRECT($B$5&amp;"生成成长"),4))/(VLOOKUP(N$72,INDIRECT($C$5&amp;"生成成长"),5))*(VLOOKUP($B$5,标准坦克设计!$B$24:$U$30,MATCH("对"&amp;LEFT($C$5,2)&amp;"输出",标准坦克设计!$B$23:$U$23,0)))*(VLOOKUP($B155,INDIRECT($B$5&amp;"生成成长"),3))*(VLOOKUP($B$5,标准坦克设计!$B$14:$K$20,9)/30))</f>
        <v>2.8278031454285824</v>
      </c>
      <c r="O155" s="172">
        <f ca="1">(VLOOKUP(O$72,INDIRECT($C$5&amp;"生成成长"),2))/((VLOOKUP($B155,INDIRECT($B$5&amp;"生成成长"),4))/(VLOOKUP(O$72,INDIRECT($C$5&amp;"生成成长"),5))*(VLOOKUP($B$5,标准坦克设计!$B$24:$U$30,MATCH("对"&amp;LEFT($C$5,2)&amp;"输出",标准坦克设计!$B$23:$U$23,0)))*(VLOOKUP($B155,INDIRECT($B$5&amp;"生成成长"),3))*(VLOOKUP($B$5,标准坦克设计!$B$14:$K$20,9)/30))</f>
        <v>2.1499757034826397</v>
      </c>
      <c r="P155" s="172">
        <f ca="1">(VLOOKUP(P$72,INDIRECT($C$5&amp;"生成成长"),2))/((VLOOKUP($B155,INDIRECT($B$5&amp;"生成成长"),4))/(VLOOKUP(P$72,INDIRECT($C$5&amp;"生成成长"),5))*(VLOOKUP($B$5,标准坦克设计!$B$24:$U$30,MATCH("对"&amp;LEFT($C$5,2)&amp;"输出",标准坦克设计!$B$23:$U$23,0)))*(VLOOKUP($B155,INDIRECT($B$5&amp;"生成成长"),3))*(VLOOKUP($B$5,标准坦克设计!$B$14:$K$20,9)/30))</f>
        <v>2.4291182284347848</v>
      </c>
      <c r="Q155" s="172">
        <f ca="1">(VLOOKUP(Q$72,INDIRECT($C$5&amp;"生成成长"),2))/((VLOOKUP($B155,INDIRECT($B$5&amp;"生成成长"),4))/(VLOOKUP(Q$72,INDIRECT($C$5&amp;"生成成长"),5))*(VLOOKUP($B$5,标准坦克设计!$B$24:$U$30,MATCH("对"&amp;LEFT($C$5,2)&amp;"输出",标准坦克设计!$B$23:$U$23,0)))*(VLOOKUP($B155,INDIRECT($B$5&amp;"生成成长"),3))*(VLOOKUP($B$5,标准坦克设计!$B$14:$K$20,9)/30))</f>
        <v>2.725293178638247</v>
      </c>
      <c r="R155" s="172">
        <f ca="1">(VLOOKUP(R$72,INDIRECT($C$5&amp;"生成成长"),2))/((VLOOKUP($B155,INDIRECT($B$5&amp;"生成成长"),4))/(VLOOKUP(R$72,INDIRECT($C$5&amp;"生成成长"),5))*(VLOOKUP($B$5,标准坦克设计!$B$24:$U$30,MATCH("对"&amp;LEFT($C$5,2)&amp;"输出",标准坦克设计!$B$23:$U$23,0)))*(VLOOKUP($B155,INDIRECT($B$5&amp;"生成成长"),3))*(VLOOKUP($B$5,标准坦克设计!$B$14:$K$20,9)/30))</f>
        <v>3.0385005540930266</v>
      </c>
      <c r="S155" s="172">
        <f ca="1">(VLOOKUP(S$72,INDIRECT($C$5&amp;"生成成长"),2))/((VLOOKUP($B155,INDIRECT($B$5&amp;"生成成长"),4))/(VLOOKUP(S$72,INDIRECT($C$5&amp;"生成成长"),5))*(VLOOKUP($B$5,标准坦克设计!$B$24:$U$30,MATCH("对"&amp;LEFT($C$5,2)&amp;"输出",标准坦克设计!$B$23:$U$23,0)))*(VLOOKUP($B155,INDIRECT($B$5&amp;"生成成长"),3))*(VLOOKUP($B$5,标准坦克设计!$B$14:$K$20,9)/30))</f>
        <v>3.3687403547991228</v>
      </c>
      <c r="T155" s="172">
        <f ca="1">(VLOOKUP(T$72,INDIRECT($C$5&amp;"生成成长"),2))/((VLOOKUP($B155,INDIRECT($B$5&amp;"生成成长"),4))/(VLOOKUP(T$72,INDIRECT($C$5&amp;"生成成长"),5))*(VLOOKUP($B$5,标准坦克设计!$B$24:$U$30,MATCH("对"&amp;LEFT($C$5,2)&amp;"输出",标准坦克设计!$B$23:$U$23,0)))*(VLOOKUP($B155,INDIRECT($B$5&amp;"生成成长"),3))*(VLOOKUP($B$5,标准坦克设计!$B$14:$K$20,9)/30))</f>
        <v>3.7160125807565372</v>
      </c>
      <c r="U155" s="172">
        <f ca="1">(VLOOKUP(U$72,INDIRECT($C$5&amp;"生成成长"),2))/((VLOOKUP($B155,INDIRECT($B$5&amp;"生成成长"),4))/(VLOOKUP(U$72,INDIRECT($C$5&amp;"生成成长"),5))*(VLOOKUP($B$5,标准坦克设计!$B$24:$U$30,MATCH("对"&amp;LEFT($C$5,2)&amp;"输出",标准坦克设计!$B$23:$U$23,0)))*(VLOOKUP($B155,INDIRECT($B$5&amp;"生成成长"),3))*(VLOOKUP($B$5,标准坦克设计!$B$14:$K$20,9)/30))</f>
        <v>4.0803172319652692</v>
      </c>
      <c r="V155" s="172">
        <f ca="1">(VLOOKUP(V$72,INDIRECT($C$5&amp;"生成成长"),2))/((VLOOKUP($B155,INDIRECT($B$5&amp;"生成成长"),4))/(VLOOKUP(V$72,INDIRECT($C$5&amp;"生成成长"),5))*(VLOOKUP($B$5,标准坦克设计!$B$24:$U$30,MATCH("对"&amp;LEFT($C$5,2)&amp;"输出",标准坦克设计!$B$23:$U$23,0)))*(VLOOKUP($B155,INDIRECT($B$5&amp;"生成成长"),3))*(VLOOKUP($B$5,标准坦克设计!$B$14:$K$20,9)/30))</f>
        <v>4.4616543084253166</v>
      </c>
      <c r="W155" s="172">
        <f ca="1">(VLOOKUP(W$72,INDIRECT($C$5&amp;"生成成长"),2))/((VLOOKUP($B155,INDIRECT($B$5&amp;"生成成长"),4))/(VLOOKUP(W$72,INDIRECT($C$5&amp;"生成成长"),5))*(VLOOKUP($B$5,标准坦克设计!$B$24:$U$30,MATCH("对"&amp;LEFT($C$5,2)&amp;"输出",标准坦克设计!$B$23:$U$23,0)))*(VLOOKUP($B155,INDIRECT($B$5&amp;"生成成长"),3))*(VLOOKUP($B$5,标准坦克设计!$B$14:$K$20,9)/30))</f>
        <v>4.8600238101366831</v>
      </c>
      <c r="X155" s="172">
        <f ca="1">(VLOOKUP(X$72,INDIRECT($C$5&amp;"生成成长"),2))/((VLOOKUP($B155,INDIRECT($B$5&amp;"生成成长"),4))/(VLOOKUP(X$72,INDIRECT($C$5&amp;"生成成长"),5))*(VLOOKUP($B$5,标准坦克设计!$B$24:$U$30,MATCH("对"&amp;LEFT($C$5,2)&amp;"输出",标准坦克设计!$B$23:$U$23,0)))*(VLOOKUP($B155,INDIRECT($B$5&amp;"生成成长"),3))*(VLOOKUP($B$5,标准坦克设计!$B$14:$K$20,9)/30))</f>
        <v>3.5209807977862062</v>
      </c>
      <c r="Y155" s="172">
        <f ca="1">(VLOOKUP(Y$72,INDIRECT($C$5&amp;"生成成长"),2))/((VLOOKUP($B155,INDIRECT($B$5&amp;"生成成长"),4))/(VLOOKUP(Y$72,INDIRECT($C$5&amp;"生成成长"),5))*(VLOOKUP($B$5,标准坦克设计!$B$24:$U$30,MATCH("对"&amp;LEFT($C$5,2)&amp;"输出",标准坦克设计!$B$23:$U$23,0)))*(VLOOKUP($B155,INDIRECT($B$5&amp;"生成成长"),3))*(VLOOKUP($B$5,标准坦克设计!$B$14:$K$20,9)/30))</f>
        <v>3.9163012851007317</v>
      </c>
      <c r="Z155" s="172">
        <f ca="1">(VLOOKUP(Z$72,INDIRECT($C$5&amp;"生成成长"),2))/((VLOOKUP($B155,INDIRECT($B$5&amp;"生成成长"),4))/(VLOOKUP(Z$72,INDIRECT($C$5&amp;"生成成长"),5))*(VLOOKUP($B$5,标准坦克设计!$B$24:$U$30,MATCH("对"&amp;LEFT($C$5,2)&amp;"输出",标准坦克设计!$B$23:$U$23,0)))*(VLOOKUP($B155,INDIRECT($B$5&amp;"生成成长"),3))*(VLOOKUP($B$5,标准坦克设计!$B$14:$K$20,9)/30))</f>
        <v>4.3326494579107111</v>
      </c>
      <c r="AA155" s="172">
        <f ca="1">(VLOOKUP(AA$72,INDIRECT($C$5&amp;"生成成长"),2))/((VLOOKUP($B155,INDIRECT($B$5&amp;"生成成长"),4))/(VLOOKUP(AA$72,INDIRECT($C$5&amp;"生成成长"),5))*(VLOOKUP($B$5,标准坦克设计!$B$24:$U$30,MATCH("对"&amp;LEFT($C$5,2)&amp;"输出",标准坦克设计!$B$23:$U$23,0)))*(VLOOKUP($B155,INDIRECT($B$5&amp;"生成成长"),3))*(VLOOKUP($B$5,标准坦克设计!$B$14:$K$20,9)/30))</f>
        <v>4.7700253162161426</v>
      </c>
      <c r="AB155" s="172">
        <f ca="1">(VLOOKUP(AB$72,INDIRECT($C$5&amp;"生成成长"),2))/((VLOOKUP($B155,INDIRECT($B$5&amp;"生成成长"),4))/(VLOOKUP(AB$72,INDIRECT($C$5&amp;"生成成长"),5))*(VLOOKUP($B$5,标准坦克设计!$B$24:$U$30,MATCH("对"&amp;LEFT($C$5,2)&amp;"输出",标准坦克设计!$B$23:$U$23,0)))*(VLOOKUP($B155,INDIRECT($B$5&amp;"生成成长"),3))*(VLOOKUP($B$5,标准坦克设计!$B$14:$K$20,9)/30))</f>
        <v>5.2284288600170283</v>
      </c>
      <c r="AC155" s="172">
        <f ca="1">(VLOOKUP(AC$72,INDIRECT($C$5&amp;"生成成长"),2))/((VLOOKUP($B155,INDIRECT($B$5&amp;"生成成长"),4))/(VLOOKUP(AC$72,INDIRECT($C$5&amp;"生成成长"),5))*(VLOOKUP($B$5,标准坦克设计!$B$24:$U$30,MATCH("对"&amp;LEFT($C$5,2)&amp;"输出",标准坦克设计!$B$23:$U$23,0)))*(VLOOKUP($B155,INDIRECT($B$5&amp;"生成成长"),3))*(VLOOKUP($B$5,标准坦克设计!$B$14:$K$20,9)/30))</f>
        <v>5.7078600893133675</v>
      </c>
      <c r="AD155" s="172">
        <f ca="1">(VLOOKUP(AD$72,INDIRECT($C$5&amp;"生成成长"),2))/((VLOOKUP($B155,INDIRECT($B$5&amp;"生成成长"),4))/(VLOOKUP(AD$72,INDIRECT($C$5&amp;"生成成长"),5))*(VLOOKUP($B$5,标准坦克设计!$B$24:$U$30,MATCH("对"&amp;LEFT($C$5,2)&amp;"输出",标准坦克设计!$B$23:$U$23,0)))*(VLOOKUP($B155,INDIRECT($B$5&amp;"生成成长"),3))*(VLOOKUP($B$5,标准坦克设计!$B$14:$K$20,9)/30))</f>
        <v>6.2083190041051592</v>
      </c>
      <c r="AE155" s="172">
        <f ca="1">(VLOOKUP(AE$72,INDIRECT($C$5&amp;"生成成长"),2))/((VLOOKUP($B155,INDIRECT($B$5&amp;"生成成长"),4))/(VLOOKUP(AE$72,INDIRECT($C$5&amp;"生成成长"),5))*(VLOOKUP($B$5,标准坦克设计!$B$24:$U$30,MATCH("对"&amp;LEFT($C$5,2)&amp;"输出",标准坦克设计!$B$23:$U$23,0)))*(VLOOKUP($B155,INDIRECT($B$5&amp;"生成成长"),3))*(VLOOKUP($B$5,标准坦克设计!$B$14:$K$20,9)/30))</f>
        <v>6.7298056043924062</v>
      </c>
      <c r="AF155" s="172">
        <f ca="1">(VLOOKUP(AF$72,INDIRECT($C$5&amp;"生成成长"),2))/((VLOOKUP($B155,INDIRECT($B$5&amp;"生成成长"),4))/(VLOOKUP(AF$72,INDIRECT($C$5&amp;"生成成长"),5))*(VLOOKUP($B$5,标准坦克设计!$B$24:$U$30,MATCH("对"&amp;LEFT($C$5,2)&amp;"输出",标准坦克设计!$B$23:$U$23,0)))*(VLOOKUP($B155,INDIRECT($B$5&amp;"生成成长"),3))*(VLOOKUP($B$5,标准坦克设计!$B$14:$K$20,9)/30))</f>
        <v>7.2723198901751065</v>
      </c>
      <c r="AG155" s="172">
        <f ca="1">(VLOOKUP(AG$72,INDIRECT($C$5&amp;"生成成长"),2))/((VLOOKUP($B155,INDIRECT($B$5&amp;"生成成长"),4))/(VLOOKUP(AG$72,INDIRECT($C$5&amp;"生成成长"),5))*(VLOOKUP($B$5,标准坦克设计!$B$24:$U$30,MATCH("对"&amp;LEFT($C$5,2)&amp;"输出",标准坦克设计!$B$23:$U$23,0)))*(VLOOKUP($B155,INDIRECT($B$5&amp;"生成成长"),3))*(VLOOKUP($B$5,标准坦克设计!$B$14:$K$20,9)/30))</f>
        <v>7.8358618614532567</v>
      </c>
      <c r="AH155" s="172">
        <f ca="1">(VLOOKUP(AH$72,INDIRECT($C$5&amp;"生成成长"),2))/((VLOOKUP($B155,INDIRECT($B$5&amp;"生成成长"),4))/(VLOOKUP(AH$72,INDIRECT($C$5&amp;"生成成长"),5))*(VLOOKUP($B$5,标准坦克设计!$B$24:$U$30,MATCH("对"&amp;LEFT($C$5,2)&amp;"输出",标准坦克设计!$B$23:$U$23,0)))*(VLOOKUP($B155,INDIRECT($B$5&amp;"生成成长"),3))*(VLOOKUP($B$5,标准坦克设计!$B$14:$K$20,9)/30))</f>
        <v>8.420431518226863</v>
      </c>
      <c r="AI155" s="172">
        <f ca="1">(VLOOKUP(AI$72,INDIRECT($C$5&amp;"生成成长"),2))/((VLOOKUP($B155,INDIRECT($B$5&amp;"生成成长"),4))/(VLOOKUP(AI$72,INDIRECT($C$5&amp;"生成成长"),5))*(VLOOKUP($B$5,标准坦克设计!$B$24:$U$30,MATCH("对"&amp;LEFT($C$5,2)&amp;"输出",标准坦克设计!$B$23:$U$23,0)))*(VLOOKUP($B155,INDIRECT($B$5&amp;"生成成长"),3))*(VLOOKUP($B$5,标准坦克设计!$B$14:$K$20,9)/30))</f>
        <v>5.955461086022332</v>
      </c>
      <c r="AJ155" s="172">
        <f ca="1">(VLOOKUP(AJ$72,INDIRECT($C$5&amp;"生成成长"),2))/((VLOOKUP($B155,INDIRECT($B$5&amp;"生成成长"),4))/(VLOOKUP(AJ$72,INDIRECT($C$5&amp;"生成成长"),5))*(VLOOKUP($B$5,标准坦克设计!$B$24:$U$30,MATCH("对"&amp;LEFT($C$5,2)&amp;"输出",标准坦克设计!$B$23:$U$23,0)))*(VLOOKUP($B155,INDIRECT($B$5&amp;"生成成长"),3))*(VLOOKUP($B$5,标准坦克设计!$B$14:$K$20,9)/30))</f>
        <v>6.5186876420180528</v>
      </c>
      <c r="AK155" s="172">
        <f ca="1">(VLOOKUP(AK$72,INDIRECT($C$5&amp;"生成成长"),2))/((VLOOKUP($B155,INDIRECT($B$5&amp;"生成成长"),4))/(VLOOKUP(AK$72,INDIRECT($C$5&amp;"生成成长"),5))*(VLOOKUP($B$5,标准坦克设计!$B$24:$U$30,MATCH("对"&amp;LEFT($C$5,2)&amp;"输出",标准坦克设计!$B$23:$U$23,0)))*(VLOOKUP($B155,INDIRECT($B$5&amp;"生成成长"),3))*(VLOOKUP($B$5,标准坦克设计!$B$14:$K$20,9)/30))</f>
        <v>7.1073576974632733</v>
      </c>
      <c r="AL155" s="172">
        <f ca="1">(VLOOKUP(AL$72,INDIRECT($C$5&amp;"生成成长"),2))/((VLOOKUP($B155,INDIRECT($B$5&amp;"生成成长"),4))/(VLOOKUP(AL$72,INDIRECT($C$5&amp;"生成成长"),5))*(VLOOKUP($B$5,标准坦克设计!$B$24:$U$30,MATCH("对"&amp;LEFT($C$5,2)&amp;"输出",标准坦克设计!$B$23:$U$23,0)))*(VLOOKUP($B155,INDIRECT($B$5&amp;"生成成长"),3))*(VLOOKUP($B$5,标准坦克设计!$B$14:$K$20,9)/30))</f>
        <v>7.7214712523579907</v>
      </c>
      <c r="AM155" s="172">
        <f ca="1">(VLOOKUP(AM$72,INDIRECT($C$5&amp;"生成成长"),2))/((VLOOKUP($B155,INDIRECT($B$5&amp;"生成成长"),4))/(VLOOKUP(AM$72,INDIRECT($C$5&amp;"生成成长"),5))*(VLOOKUP($B$5,标准坦克设计!$B$24:$U$30,MATCH("对"&amp;LEFT($C$5,2)&amp;"输出",标准坦克设计!$B$23:$U$23,0)))*(VLOOKUP($B155,INDIRECT($B$5&amp;"生成成长"),3))*(VLOOKUP($B$5,标准坦克设计!$B$14:$K$20,9)/30))</f>
        <v>8.3610283067022078</v>
      </c>
      <c r="AN155" s="172">
        <f ca="1">(VLOOKUP(AN$72,INDIRECT($C$5&amp;"生成成长"),2))/((VLOOKUP($B155,INDIRECT($B$5&amp;"生成成长"),4))/(VLOOKUP(AN$72,INDIRECT($C$5&amp;"生成成长"),5))*(VLOOKUP($B$5,标准坦克设计!$B$24:$U$30,MATCH("对"&amp;LEFT($C$5,2)&amp;"输出",标准坦克设计!$B$23:$U$23,0)))*(VLOOKUP($B155,INDIRECT($B$5&amp;"生成成长"),3))*(VLOOKUP($B$5,标准坦克设计!$B$14:$K$20,9)/30))</f>
        <v>9.0260288604959218</v>
      </c>
      <c r="AO155" s="172">
        <f ca="1">(VLOOKUP(AO$72,INDIRECT($C$5&amp;"生成成长"),2))/((VLOOKUP($B155,INDIRECT($B$5&amp;"生成成长"),4))/(VLOOKUP(AO$72,INDIRECT($C$5&amp;"生成成长"),5))*(VLOOKUP($B$5,标准坦克设计!$B$24:$U$30,MATCH("对"&amp;LEFT($C$5,2)&amp;"输出",标准坦克设计!$B$23:$U$23,0)))*(VLOOKUP($B155,INDIRECT($B$5&amp;"生成成长"),3))*(VLOOKUP($B$5,标准坦克设计!$B$14:$K$20,9)/30))</f>
        <v>9.716472913739139</v>
      </c>
      <c r="AP155" s="172">
        <f ca="1">(VLOOKUP(AP$72,INDIRECT($C$5&amp;"生成成长"),2))/((VLOOKUP($B155,INDIRECT($B$5&amp;"生成成长"),4))/(VLOOKUP(AP$72,INDIRECT($C$5&amp;"生成成长"),5))*(VLOOKUP($B$5,标准坦克设计!$B$24:$U$30,MATCH("对"&amp;LEFT($C$5,2)&amp;"输出",标准坦克设计!$B$23:$U$23,0)))*(VLOOKUP($B155,INDIRECT($B$5&amp;"生成成长"),3))*(VLOOKUP($B$5,标准坦克设计!$B$14:$K$20,9)/30))</f>
        <v>10.432360466431852</v>
      </c>
      <c r="AQ155" s="172">
        <f ca="1">(VLOOKUP(AQ$72,INDIRECT($C$5&amp;"生成成长"),2))/((VLOOKUP($B155,INDIRECT($B$5&amp;"生成成长"),4))/(VLOOKUP(AQ$72,INDIRECT($C$5&amp;"生成成长"),5))*(VLOOKUP($B$5,标准坦克设计!$B$24:$U$30,MATCH("对"&amp;LEFT($C$5,2)&amp;"输出",标准坦克设计!$B$23:$U$23,0)))*(VLOOKUP($B155,INDIRECT($B$5&amp;"生成成长"),3))*(VLOOKUP($B$5,标准坦克设计!$B$14:$K$20,9)/30))</f>
        <v>11.173691518574064</v>
      </c>
      <c r="AR155" s="172">
        <f ca="1">(VLOOKUP(AR$72,INDIRECT($C$5&amp;"生成成长"),2))/((VLOOKUP($B155,INDIRECT($B$5&amp;"生成成长"),4))/(VLOOKUP(AR$72,INDIRECT($C$5&amp;"生成成长"),5))*(VLOOKUP($B$5,标准坦克设计!$B$24:$U$30,MATCH("对"&amp;LEFT($C$5,2)&amp;"输出",标准坦克设计!$B$23:$U$23,0)))*(VLOOKUP($B155,INDIRECT($B$5&amp;"生成成长"),3))*(VLOOKUP($B$5,标准坦克设计!$B$14:$K$20,9)/30))</f>
        <v>11.940466070165774</v>
      </c>
      <c r="AS155" s="172">
        <f ca="1">(VLOOKUP(AS$72,INDIRECT($C$5&amp;"生成成长"),2))/((VLOOKUP($B155,INDIRECT($B$5&amp;"生成成长"),4))/(VLOOKUP(AS$72,INDIRECT($C$5&amp;"生成成长"),5))*(VLOOKUP($B$5,标准坦克设计!$B$24:$U$30,MATCH("对"&amp;LEFT($C$5,2)&amp;"输出",标准坦克设计!$B$23:$U$23,0)))*(VLOOKUP($B155,INDIRECT($B$5&amp;"生成成长"),3))*(VLOOKUP($B$5,标准坦克设计!$B$14:$K$20,9)/30))</f>
        <v>12.732684121206987</v>
      </c>
      <c r="AT155" s="172">
        <f ca="1">(VLOOKUP(AT$72,INDIRECT($C$5&amp;"生成成长"),2))/((VLOOKUP($B155,INDIRECT($B$5&amp;"生成成长"),4))/(VLOOKUP(AT$72,INDIRECT($C$5&amp;"生成成长"),5))*(VLOOKUP($B$5,标准坦克设计!$B$24:$U$30,MATCH("对"&amp;LEFT($C$5,2)&amp;"输出",标准坦克设计!$B$23:$U$23,0)))*(VLOOKUP($B155,INDIRECT($B$5&amp;"生成成长"),3))*(VLOOKUP($B$5,标准坦克设计!$B$14:$K$20,9)/30))</f>
        <v>13.550345671697691</v>
      </c>
      <c r="AU155" s="172">
        <f ca="1">(VLOOKUP(AU$72,INDIRECT($C$5&amp;"生成成长"),2))/((VLOOKUP($B155,INDIRECT($B$5&amp;"生成成长"),4))/(VLOOKUP(AU$72,INDIRECT($C$5&amp;"生成成长"),5))*(VLOOKUP($B$5,标准坦克设计!$B$24:$U$30,MATCH("对"&amp;LEFT($C$5,2)&amp;"输出",标准坦克设计!$B$23:$U$23,0)))*(VLOOKUP($B155,INDIRECT($B$5&amp;"生成成长"),3))*(VLOOKUP($B$5,标准坦克设计!$B$14:$K$20,9)/30))</f>
        <v>14.393450721637903</v>
      </c>
      <c r="AV155" s="172">
        <f ca="1">(VLOOKUP(AV$72,INDIRECT($C$5&amp;"生成成长"),2))/((VLOOKUP($B155,INDIRECT($B$5&amp;"生成成长"),4))/(VLOOKUP(AV$72,INDIRECT($C$5&amp;"生成成长"),5))*(VLOOKUP($B$5,标准坦克设计!$B$24:$U$30,MATCH("对"&amp;LEFT($C$5,2)&amp;"输出",标准坦克设计!$B$23:$U$23,0)))*(VLOOKUP($B155,INDIRECT($B$5&amp;"生成成长"),3))*(VLOOKUP($B$5,标准坦克设计!$B$14:$K$20,9)/30))</f>
        <v>1.4639474641934702</v>
      </c>
      <c r="AW155" s="172">
        <f ca="1">(VLOOKUP(AW$72,INDIRECT($C$5&amp;"生成成长"),2))/((VLOOKUP($B155,INDIRECT($B$5&amp;"生成成长"),4))/(VLOOKUP(AW$72,INDIRECT($C$5&amp;"生成成长"),5))*(VLOOKUP($B$5,标准坦克设计!$B$24:$U$30,MATCH("对"&amp;LEFT($C$5,2)&amp;"输出",标准坦克设计!$B$23:$U$23,0)))*(VLOOKUP($B155,INDIRECT($B$5&amp;"生成成长"),3))*(VLOOKUP($B$5,标准坦克设计!$B$14:$K$20,9)/30))</f>
        <v>1.6691776746290963</v>
      </c>
      <c r="AX155" s="172">
        <f ca="1">(VLOOKUP(AX$72,INDIRECT($C$5&amp;"生成成长"),2))/((VLOOKUP($B155,INDIRECT($B$5&amp;"生成成长"),4))/(VLOOKUP(AX$72,INDIRECT($C$5&amp;"生成成长"),5))*(VLOOKUP($B$5,标准坦克设计!$B$24:$U$30,MATCH("对"&amp;LEFT($C$5,2)&amp;"输出",标准坦克设计!$B$23:$U$23,0)))*(VLOOKUP($B155,INDIRECT($B$5&amp;"生成成长"),3))*(VLOOKUP($B$5,标准坦克设计!$B$14:$K$20,9)/30))</f>
        <v>1.8878656037818127</v>
      </c>
      <c r="AY155" s="172">
        <f ca="1">(VLOOKUP(AY$72,INDIRECT($C$5&amp;"生成成长"),2))/((VLOOKUP($B155,INDIRECT($B$5&amp;"生成成长"),4))/(VLOOKUP(AY$72,INDIRECT($C$5&amp;"生成成长"),5))*(VLOOKUP($B$5,标准坦克设计!$B$24:$U$30,MATCH("对"&amp;LEFT($C$5,2)&amp;"输出",标准坦克设计!$B$23:$U$23,0)))*(VLOOKUP($B155,INDIRECT($B$5&amp;"生成成长"),3))*(VLOOKUP($B$5,标准坦克设计!$B$14:$K$20,9)/30))</f>
        <v>2.1200112516516185</v>
      </c>
      <c r="AZ155" s="172">
        <f ca="1">(VLOOKUP(AZ$72,INDIRECT($C$5&amp;"生成成长"),2))/((VLOOKUP($B155,INDIRECT($B$5&amp;"生成成长"),4))/(VLOOKUP(AZ$72,INDIRECT($C$5&amp;"生成成长"),5))*(VLOOKUP($B$5,标准坦克设计!$B$24:$U$30,MATCH("对"&amp;LEFT($C$5,2)&amp;"输出",标准坦克设计!$B$23:$U$23,0)))*(VLOOKUP($B155,INDIRECT($B$5&amp;"生成成长"),3))*(VLOOKUP($B$5,标准坦克设计!$B$14:$K$20,9)/30))</f>
        <v>2.3656146182385158</v>
      </c>
      <c r="BA155" s="172">
        <f ca="1">(VLOOKUP(BA$72,INDIRECT($C$5&amp;"生成成长"),2))/((VLOOKUP($B155,INDIRECT($B$5&amp;"生成成长"),4))/(VLOOKUP(BA$72,INDIRECT($C$5&amp;"生成成长"),5))*(VLOOKUP($B$5,标准坦克设计!$B$24:$U$30,MATCH("对"&amp;LEFT($C$5,2)&amp;"输出",标准坦克设计!$B$23:$U$23,0)))*(VLOOKUP($B155,INDIRECT($B$5&amp;"生成成长"),3))*(VLOOKUP($B$5,标准坦克设计!$B$14:$K$20,9)/30))</f>
        <v>2.6246757035425023</v>
      </c>
      <c r="BB155" s="172">
        <f ca="1">(VLOOKUP(BB$72,INDIRECT($C$5&amp;"生成成长"),2))/((VLOOKUP($B155,INDIRECT($B$5&amp;"生成成长"),4))/(VLOOKUP(BB$72,INDIRECT($C$5&amp;"生成成长"),5))*(VLOOKUP($B$5,标准坦克设计!$B$24:$U$30,MATCH("对"&amp;LEFT($C$5,2)&amp;"输出",标准坦克设计!$B$23:$U$23,0)))*(VLOOKUP($B155,INDIRECT($B$5&amp;"生成成长"),3))*(VLOOKUP($B$5,标准坦克设计!$B$14:$K$20,9)/30))</f>
        <v>2.8971945075635794</v>
      </c>
      <c r="BC155" s="172">
        <f ca="1">(VLOOKUP(BC$72,INDIRECT($C$5&amp;"生成成长"),2))/((VLOOKUP($B155,INDIRECT($B$5&amp;"生成成长"),4))/(VLOOKUP(BC$72,INDIRECT($C$5&amp;"生成成长"),5))*(VLOOKUP($B$5,标准坦克设计!$B$24:$U$30,MATCH("对"&amp;LEFT($C$5,2)&amp;"输出",标准坦克设计!$B$23:$U$23,0)))*(VLOOKUP($B155,INDIRECT($B$5&amp;"生成成长"),3))*(VLOOKUP($B$5,标准坦克设计!$B$14:$K$20,9)/30))</f>
        <v>3.1831710303017466</v>
      </c>
      <c r="BD155" s="172">
        <f ca="1">(VLOOKUP(BD$72,INDIRECT($C$5&amp;"生成成长"),2))/((VLOOKUP($B155,INDIRECT($B$5&amp;"生成成长"),4))/(VLOOKUP(BD$72,INDIRECT($C$5&amp;"生成成长"),5))*(VLOOKUP($B$5,标准坦克设计!$B$24:$U$30,MATCH("对"&amp;LEFT($C$5,2)&amp;"输出",标准坦克设计!$B$23:$U$23,0)))*(VLOOKUP($B155,INDIRECT($B$5&amp;"生成成长"),3))*(VLOOKUP($B$5,标准坦克设计!$B$14:$K$20,9)/30))</f>
        <v>3.5209807977862062</v>
      </c>
      <c r="BE155" s="172">
        <f ca="1">(VLOOKUP(BE$72,INDIRECT($C$5&amp;"生成成长"),2))/((VLOOKUP($B155,INDIRECT($B$5&amp;"生成成长"),4))/(VLOOKUP(BE$72,INDIRECT($C$5&amp;"生成成长"),5))*(VLOOKUP($B$5,标准坦克设计!$B$24:$U$30,MATCH("对"&amp;LEFT($C$5,2)&amp;"输出",标准坦克设计!$B$23:$U$23,0)))*(VLOOKUP($B155,INDIRECT($B$5&amp;"生成成长"),3))*(VLOOKUP($B$5,标准坦克设计!$B$14:$K$20,9)/30))</f>
        <v>3.8758229905219834</v>
      </c>
      <c r="BF155" s="172">
        <f ca="1">(VLOOKUP(BF$72,INDIRECT($C$5&amp;"生成成长"),2))/((VLOOKUP($B155,INDIRECT($B$5&amp;"生成成长"),4))/(VLOOKUP(BF$72,INDIRECT($C$5&amp;"生成成长"),5))*(VLOOKUP($B$5,标准坦克设计!$B$24:$U$30,MATCH("对"&amp;LEFT($C$5,2)&amp;"输出",标准坦克设计!$B$23:$U$23,0)))*(VLOOKUP($B155,INDIRECT($B$5&amp;"生成成长"),3))*(VLOOKUP($B$5,标准坦克设计!$B$14:$K$20,9)/30))</f>
        <v>4.2476976085090774</v>
      </c>
      <c r="BG155" s="172">
        <f ca="1">(VLOOKUP(BG$72,INDIRECT($C$5&amp;"生成成长"),2))/((VLOOKUP($B155,INDIRECT($B$5&amp;"生成成长"),4))/(VLOOKUP(BG$72,INDIRECT($C$5&amp;"生成成长"),5))*(VLOOKUP($B$5,标准坦克设计!$B$24:$U$30,MATCH("对"&amp;LEFT($C$5,2)&amp;"输出",标准坦克设计!$B$23:$U$23,0)))*(VLOOKUP($B155,INDIRECT($B$5&amp;"生成成长"),3))*(VLOOKUP($B$5,标准坦克设计!$B$14:$K$20,9)/30))</f>
        <v>4.6366046517474899</v>
      </c>
      <c r="BH155" s="172">
        <f ca="1">(VLOOKUP(BH$72,INDIRECT($C$5&amp;"生成成长"),2))/((VLOOKUP($B155,INDIRECT($B$5&amp;"生成成长"),4))/(VLOOKUP(BH$72,INDIRECT($C$5&amp;"生成成长"),5))*(VLOOKUP($B$5,标准坦克设计!$B$24:$U$30,MATCH("对"&amp;LEFT($C$5,2)&amp;"输出",标准坦克设计!$B$23:$U$23,0)))*(VLOOKUP($B155,INDIRECT($B$5&amp;"生成成长"),3))*(VLOOKUP($B$5,标准坦克设计!$B$14:$K$20,9)/30))</f>
        <v>2.2411307201054309</v>
      </c>
      <c r="BI155" s="172">
        <f ca="1">(VLOOKUP(BI$72,INDIRECT($C$5&amp;"生成成长"),2))/((VLOOKUP($B155,INDIRECT($B$5&amp;"生成成长"),4))/(VLOOKUP(BI$72,INDIRECT($C$5&amp;"生成成长"),5))*(VLOOKUP($B$5,标准坦克设计!$B$24:$U$30,MATCH("对"&amp;LEFT($C$5,2)&amp;"输出",标准坦克设计!$B$23:$U$23,0)))*(VLOOKUP($B155,INDIRECT($B$5&amp;"生成成长"),3))*(VLOOKUP($B$5,标准坦克设计!$B$14:$K$20,9)/30))</f>
        <v>2.5259507201413482</v>
      </c>
      <c r="BJ155" s="172">
        <f ca="1">(VLOOKUP(BJ$72,INDIRECT($C$5&amp;"生成成长"),2))/((VLOOKUP($B155,INDIRECT($B$5&amp;"生成成长"),4))/(VLOOKUP(BJ$72,INDIRECT($C$5&amp;"生成成长"),5))*(VLOOKUP($B$5,标准坦克设计!$B$24:$U$30,MATCH("对"&amp;LEFT($C$5,2)&amp;"输出",标准坦克设计!$B$23:$U$23,0)))*(VLOOKUP($B155,INDIRECT($B$5&amp;"生成成长"),3))*(VLOOKUP($B$5,标准坦克设计!$B$14:$K$20,9)/30))</f>
        <v>2.8278031454285824</v>
      </c>
      <c r="BK155" s="172">
        <f ca="1">(VLOOKUP(BK$72,INDIRECT($C$5&amp;"生成成长"),2))/((VLOOKUP($B155,INDIRECT($B$5&amp;"生成成长"),4))/(VLOOKUP(BK$72,INDIRECT($C$5&amp;"生成成长"),5))*(VLOOKUP($B$5,标准坦克设计!$B$24:$U$30,MATCH("对"&amp;LEFT($C$5,2)&amp;"输出",标准坦克设计!$B$23:$U$23,0)))*(VLOOKUP($B155,INDIRECT($B$5&amp;"生成成长"),3))*(VLOOKUP($B$5,标准坦克设计!$B$14:$K$20,9)/30))</f>
        <v>3.1466879959671346</v>
      </c>
      <c r="BL155" s="172">
        <f ca="1">(VLOOKUP(BL$72,INDIRECT($C$5&amp;"生成成长"),2))/((VLOOKUP($B155,INDIRECT($B$5&amp;"生成成长"),4))/(VLOOKUP(BL$72,INDIRECT($C$5&amp;"生成成长"),5))*(VLOOKUP($B$5,标准坦克设计!$B$24:$U$30,MATCH("对"&amp;LEFT($C$5,2)&amp;"输出",标准坦克设计!$B$23:$U$23,0)))*(VLOOKUP($B155,INDIRECT($B$5&amp;"生成成长"),3))*(VLOOKUP($B$5,标准坦克设计!$B$14:$K$20,9)/30))</f>
        <v>3.482605271757004</v>
      </c>
      <c r="BM155" s="172">
        <f ca="1">(VLOOKUP(BM$72,INDIRECT($C$5&amp;"生成成长"),2))/((VLOOKUP($B155,INDIRECT($B$5&amp;"生成成长"),4))/(VLOOKUP(BM$72,INDIRECT($C$5&amp;"生成成长"),5))*(VLOOKUP($B$5,标准坦克设计!$B$24:$U$30,MATCH("对"&amp;LEFT($C$5,2)&amp;"输出",标准坦克设计!$B$23:$U$23,0)))*(VLOOKUP($B155,INDIRECT($B$5&amp;"生成成长"),3))*(VLOOKUP($B$5,标准坦克设计!$B$14:$K$20,9)/30))</f>
        <v>3.8355549727981897</v>
      </c>
      <c r="BN155" s="172">
        <f ca="1">(VLOOKUP(BN$72,INDIRECT($C$5&amp;"生成成长"),2))/((VLOOKUP($B155,INDIRECT($B$5&amp;"生成成长"),4))/(VLOOKUP(BN$72,INDIRECT($C$5&amp;"生成成长"),5))*(VLOOKUP($B$5,标准坦克设计!$B$24:$U$30,MATCH("对"&amp;LEFT($C$5,2)&amp;"输出",标准坦克设计!$B$23:$U$23,0)))*(VLOOKUP($B155,INDIRECT($B$5&amp;"生成成长"),3))*(VLOOKUP($B$5,标准坦克设计!$B$14:$K$20,9)/30))</f>
        <v>4.2055370990906935</v>
      </c>
      <c r="BO155" s="172">
        <f ca="1">(VLOOKUP(BO$72,INDIRECT($C$5&amp;"生成成长"),2))/((VLOOKUP($B155,INDIRECT($B$5&amp;"生成成长"),4))/(VLOOKUP(BO$72,INDIRECT($C$5&amp;"生成成长"),5))*(VLOOKUP($B$5,标准坦克设计!$B$24:$U$30,MATCH("对"&amp;LEFT($C$5,2)&amp;"输出",标准坦克设计!$B$23:$U$23,0)))*(VLOOKUP($B155,INDIRECT($B$5&amp;"生成成长"),3))*(VLOOKUP($B$5,标准坦克设计!$B$14:$K$20,9)/30))</f>
        <v>4.5925516506345145</v>
      </c>
      <c r="BP155" s="172">
        <f ca="1">(VLOOKUP(BP$72,INDIRECT($C$5&amp;"生成成长"),2))/((VLOOKUP($B155,INDIRECT($B$5&amp;"生成成长"),4))/(VLOOKUP(BP$72,INDIRECT($C$5&amp;"生成成长"),5))*(VLOOKUP($B$5,标准坦克设计!$B$24:$U$30,MATCH("对"&amp;LEFT($C$5,2)&amp;"输出",标准坦克设计!$B$23:$U$23,0)))*(VLOOKUP($B155,INDIRECT($B$5&amp;"生成成长"),3))*(VLOOKUP($B$5,标准坦克设计!$B$14:$K$20,9)/30))</f>
        <v>4.9965986274296537</v>
      </c>
      <c r="BQ155" s="172">
        <f ca="1">(VLOOKUP(BQ$72,INDIRECT($C$5&amp;"生成成长"),2))/((VLOOKUP($B155,INDIRECT($B$5&amp;"生成成长"),4))/(VLOOKUP(BQ$72,INDIRECT($C$5&amp;"生成成长"),5))*(VLOOKUP($B$5,标准坦克设计!$B$24:$U$30,MATCH("对"&amp;LEFT($C$5,2)&amp;"输出",标准坦克设计!$B$23:$U$23,0)))*(VLOOKUP($B155,INDIRECT($B$5&amp;"生成成长"),3))*(VLOOKUP($B$5,标准坦克设计!$B$14:$K$20,9)/30))</f>
        <v>5.4176780294761091</v>
      </c>
      <c r="BR155" s="172">
        <f ca="1">(VLOOKUP(BR$72,INDIRECT($C$5&amp;"生成成长"),2))/((VLOOKUP($B155,INDIRECT($B$5&amp;"生成成长"),4))/(VLOOKUP(BR$72,INDIRECT($C$5&amp;"生成成长"),5))*(VLOOKUP($B$5,标准坦克设计!$B$24:$U$30,MATCH("对"&amp;LEFT($C$5,2)&amp;"输出",标准坦克设计!$B$23:$U$23,0)))*(VLOOKUP($B155,INDIRECT($B$5&amp;"生成成长"),3))*(VLOOKUP($B$5,标准坦克设计!$B$14:$K$20,9)/30))</f>
        <v>5.9055203329706298</v>
      </c>
      <c r="BS155" s="172">
        <f ca="1">(VLOOKUP(BS$72,INDIRECT($C$5&amp;"生成成长"),2))/((VLOOKUP($B155,INDIRECT($B$5&amp;"生成成长"),4))/(VLOOKUP(BS$72,INDIRECT($C$5&amp;"生成成长"),5))*(VLOOKUP($B$5,标准坦克设计!$B$24:$U$30,MATCH("对"&amp;LEFT($C$5,2)&amp;"输出",标准坦克设计!$B$23:$U$23,0)))*(VLOOKUP($B155,INDIRECT($B$5&amp;"生成成长"),3))*(VLOOKUP($B$5,标准坦克设计!$B$14:$K$20,9)/30))</f>
        <v>6.4143903219606022</v>
      </c>
      <c r="BT155" s="172">
        <f ca="1">(VLOOKUP(BT$72,INDIRECT($C$5&amp;"生成成长"),2))/((VLOOKUP($B155,INDIRECT($B$5&amp;"生成成长"),4))/(VLOOKUP(BT$72,INDIRECT($C$5&amp;"生成成长"),5))*(VLOOKUP($B$5,标准坦克设计!$B$24:$U$30,MATCH("对"&amp;LEFT($C$5,2)&amp;"输出",标准坦克设计!$B$23:$U$23,0)))*(VLOOKUP($B155,INDIRECT($B$5&amp;"生成成长"),3))*(VLOOKUP($B$5,标准坦克设计!$B$14:$K$20,9)/30))</f>
        <v>6.9442879964460298</v>
      </c>
      <c r="BU155" s="172">
        <f ca="1">(VLOOKUP(BU$72,INDIRECT($C$5&amp;"生成成长"),2))/((VLOOKUP($B155,INDIRECT($B$5&amp;"生成成长"),4))/(VLOOKUP(BU$72,INDIRECT($C$5&amp;"生成成长"),5))*(VLOOKUP($B$5,标准坦克设计!$B$24:$U$30,MATCH("对"&amp;LEFT($C$5,2)&amp;"输出",标准坦克设计!$B$23:$U$23,0)))*(VLOOKUP($B155,INDIRECT($B$5&amp;"生成成长"),3))*(VLOOKUP($B$5,标准坦克设计!$B$14:$K$20,9)/30))</f>
        <v>7.4952133564269117</v>
      </c>
      <c r="BV155" s="172">
        <f ca="1">(VLOOKUP(BV$72,INDIRECT($C$5&amp;"生成成长"),2))/((VLOOKUP($B155,INDIRECT($B$5&amp;"生成成长"),4))/(VLOOKUP(BV$72,INDIRECT($C$5&amp;"生成成长"),5))*(VLOOKUP($B$5,标准坦克设计!$B$24:$U$30,MATCH("对"&amp;LEFT($C$5,2)&amp;"输出",标准坦克设计!$B$23:$U$23,0)))*(VLOOKUP($B155,INDIRECT($B$5&amp;"生成成长"),3))*(VLOOKUP($B$5,标准坦克设计!$B$14:$K$20,9)/30))</f>
        <v>8.067166401903247</v>
      </c>
      <c r="BW155" s="172">
        <f ca="1">(VLOOKUP(BW$72,INDIRECT($C$5&amp;"生成成长"),2))/((VLOOKUP($B155,INDIRECT($B$5&amp;"生成成长"),4))/(VLOOKUP(BW$72,INDIRECT($C$5&amp;"生成成长"),5))*(VLOOKUP($B$5,标准坦克设计!$B$24:$U$30,MATCH("对"&amp;LEFT($C$5,2)&amp;"输出",标准坦克设计!$B$23:$U$23,0)))*(VLOOKUP($B155,INDIRECT($B$5&amp;"生成成长"),3))*(VLOOKUP($B$5,标准坦克设计!$B$14:$K$20,9)/30))</f>
        <v>3.6765856704525626</v>
      </c>
      <c r="BX155" s="172">
        <f ca="1">(VLOOKUP(BX$72,INDIRECT($C$5&amp;"生成成长"),2))/((VLOOKUP($B155,INDIRECT($B$5&amp;"生成成长"),4))/(VLOOKUP(BX$72,INDIRECT($C$5&amp;"生成成长"),5))*(VLOOKUP($B$5,标准坦克设计!$B$24:$U$30,MATCH("对"&amp;LEFT($C$5,2)&amp;"输出",标准坦克设计!$B$23:$U$23,0)))*(VLOOKUP($B155,INDIRECT($B$5&amp;"生成成长"),3))*(VLOOKUP($B$5,标准坦克设计!$B$14:$K$20,9)/30))</f>
        <v>4.0803172319652692</v>
      </c>
      <c r="BY155" s="172">
        <f ca="1">(VLOOKUP(BY$72,INDIRECT($C$5&amp;"生成成长"),2))/((VLOOKUP($B155,INDIRECT($B$5&amp;"生成成长"),4))/(VLOOKUP(BY$72,INDIRECT($C$5&amp;"生成成长"),5))*(VLOOKUP($B$5,标准坦克设计!$B$24:$U$30,MATCH("对"&amp;LEFT($C$5,2)&amp;"输出",标准坦克设计!$B$23:$U$23,0)))*(VLOOKUP($B155,INDIRECT($B$5&amp;"生成成长"),3))*(VLOOKUP($B$5,标准坦克设计!$B$14:$K$20,9)/30))</f>
        <v>4.5050764789734288</v>
      </c>
      <c r="BZ155" s="172">
        <f ca="1">(VLOOKUP(BZ$72,INDIRECT($C$5&amp;"生成成长"),2))/((VLOOKUP($B155,INDIRECT($B$5&amp;"生成成长"),4))/(VLOOKUP(BZ$72,INDIRECT($C$5&amp;"生成成长"),5))*(VLOOKUP($B$5,标准坦克设计!$B$24:$U$30,MATCH("对"&amp;LEFT($C$5,2)&amp;"输出",标准坦克设计!$B$23:$U$23,0)))*(VLOOKUP($B155,INDIRECT($B$5&amp;"生成成长"),3))*(VLOOKUP($B$5,标准坦克设计!$B$14:$K$20,9)/30))</f>
        <v>4.9508634114770418</v>
      </c>
      <c r="CA155" s="172">
        <f ca="1">(VLOOKUP(CA$72,INDIRECT($C$5&amp;"生成成长"),2))/((VLOOKUP($B155,INDIRECT($B$5&amp;"生成成长"),4))/(VLOOKUP(CA$72,INDIRECT($C$5&amp;"生成成长"),5))*(VLOOKUP($B$5,标准坦克设计!$B$24:$U$30,MATCH("对"&amp;LEFT($C$5,2)&amp;"输出",标准坦克设计!$B$23:$U$23,0)))*(VLOOKUP($B155,INDIRECT($B$5&amp;"生成成长"),3))*(VLOOKUP($B$5,标准坦克设计!$B$14:$K$20,9)/30))</f>
        <v>5.4176780294761091</v>
      </c>
      <c r="CB155" s="172">
        <f ca="1">(VLOOKUP(CB$72,INDIRECT($C$5&amp;"生成成长"),2))/((VLOOKUP($B155,INDIRECT($B$5&amp;"生成成长"),4))/(VLOOKUP(CB$72,INDIRECT($C$5&amp;"生成成长"),5))*(VLOOKUP($B$5,标准坦克设计!$B$24:$U$30,MATCH("对"&amp;LEFT($C$5,2)&amp;"输出",标准坦克设计!$B$23:$U$23,0)))*(VLOOKUP($B155,INDIRECT($B$5&amp;"生成成长"),3))*(VLOOKUP($B$5,标准坦克设计!$B$14:$K$20,9)/30))</f>
        <v>5.9055203329706298</v>
      </c>
      <c r="CC155" s="172">
        <f ca="1">(VLOOKUP(CC$72,INDIRECT($C$5&amp;"生成成长"),2))/((VLOOKUP($B155,INDIRECT($B$5&amp;"生成成长"),4))/(VLOOKUP(CC$72,INDIRECT($C$5&amp;"生成成长"),5))*(VLOOKUP($B$5,标准坦克设计!$B$24:$U$30,MATCH("对"&amp;LEFT($C$5,2)&amp;"输出",标准坦克设计!$B$23:$U$23,0)))*(VLOOKUP($B155,INDIRECT($B$5&amp;"生成成长"),3))*(VLOOKUP($B$5,标准坦克设计!$B$14:$K$20,9)/30))</f>
        <v>6.4143903219606022</v>
      </c>
      <c r="CD155" s="172">
        <f ca="1">(VLOOKUP(CD$72,INDIRECT($C$5&amp;"生成成长"),2))/((VLOOKUP($B155,INDIRECT($B$5&amp;"生成成长"),4))/(VLOOKUP(CD$72,INDIRECT($C$5&amp;"生成成长"),5))*(VLOOKUP($B$5,标准坦克设计!$B$24:$U$30,MATCH("对"&amp;LEFT($C$5,2)&amp;"输出",标准坦克设计!$B$23:$U$23,0)))*(VLOOKUP($B155,INDIRECT($B$5&amp;"生成成长"),3))*(VLOOKUP($B$5,标准坦克设计!$B$14:$K$20,9)/30))</f>
        <v>6.9442879964460298</v>
      </c>
      <c r="CE155" s="172">
        <f ca="1">(VLOOKUP(CE$72,INDIRECT($C$5&amp;"生成成长"),2))/((VLOOKUP($B155,INDIRECT($B$5&amp;"生成成长"),4))/(VLOOKUP(CE$72,INDIRECT($C$5&amp;"生成成长"),5))*(VLOOKUP($B$5,标准坦克设计!$B$24:$U$30,MATCH("对"&amp;LEFT($C$5,2)&amp;"输出",标准坦克设计!$B$23:$U$23,0)))*(VLOOKUP($B155,INDIRECT($B$5&amp;"生成成长"),3))*(VLOOKUP($B$5,标准坦克设计!$B$14:$K$20,9)/30))</f>
        <v>7.4952133564269117</v>
      </c>
      <c r="CF155" s="172">
        <f ca="1">(VLOOKUP(CF$72,INDIRECT($C$5&amp;"生成成长"),2))/((VLOOKUP($B155,INDIRECT($B$5&amp;"生成成长"),4))/(VLOOKUP(CF$72,INDIRECT($C$5&amp;"生成成长"),5))*(VLOOKUP($B$5,标准坦克设计!$B$24:$U$30,MATCH("对"&amp;LEFT($C$5,2)&amp;"输出",标准坦克设计!$B$23:$U$23,0)))*(VLOOKUP($B155,INDIRECT($B$5&amp;"生成成长"),3))*(VLOOKUP($B$5,标准坦克设计!$B$14:$K$20,9)/30))</f>
        <v>8.067166401903247</v>
      </c>
      <c r="CG155" s="172">
        <f ca="1">(VLOOKUP(CG$72,INDIRECT($C$5&amp;"生成成长"),2))/((VLOOKUP($B155,INDIRECT($B$5&amp;"生成成长"),4))/(VLOOKUP(CG$72,INDIRECT($C$5&amp;"生成成长"),5))*(VLOOKUP($B$5,标准坦克设计!$B$24:$U$30,MATCH("对"&amp;LEFT($C$5,2)&amp;"输出",标准坦克设计!$B$23:$U$23,0)))*(VLOOKUP($B155,INDIRECT($B$5&amp;"生成成长"),3))*(VLOOKUP($B$5,标准坦克设计!$B$14:$K$20,9)/30))</f>
        <v>8.6601471328750357</v>
      </c>
      <c r="CH155" s="172">
        <f ca="1">(VLOOKUP(CH$72,INDIRECT($C$5&amp;"生成成长"),2))/((VLOOKUP($B155,INDIRECT($B$5&amp;"生成成长"),4))/(VLOOKUP(CH$72,INDIRECT($C$5&amp;"生成成长"),5))*(VLOOKUP($B$5,标准坦克设计!$B$24:$U$30,MATCH("对"&amp;LEFT($C$5,2)&amp;"输出",标准坦克设计!$B$23:$U$23,0)))*(VLOOKUP($B155,INDIRECT($B$5&amp;"生成成长"),3))*(VLOOKUP($B$5,标准坦克设计!$B$14:$K$20,9)/30))</f>
        <v>9.2741555493422752</v>
      </c>
      <c r="CI155" s="172">
        <f ca="1">(VLOOKUP(CI$72,INDIRECT($C$5&amp;"生成成长"),2))/((VLOOKUP($B155,INDIRECT($B$5&amp;"生成成长"),4))/(VLOOKUP(CI$72,INDIRECT($C$5&amp;"生成成长"),5))*(VLOOKUP($B$5,标准坦克设计!$B$24:$U$30,MATCH("对"&amp;LEFT($C$5,2)&amp;"输出",标准坦克设计!$B$23:$U$23,0)))*(VLOOKUP($B155,INDIRECT($B$5&amp;"生成成长"),3))*(VLOOKUP($B$5,标准坦克设计!$B$14:$K$20,9)/30))</f>
        <v>9.9738517842034913</v>
      </c>
      <c r="CJ155" s="172">
        <f ca="1">(VLOOKUP(CJ$72,INDIRECT($C$5&amp;"生成成长"),2))/((VLOOKUP($B155,INDIRECT($B$5&amp;"生成成长"),4))/(VLOOKUP(CJ$72,INDIRECT($C$5&amp;"生成成长"),5))*(VLOOKUP($B$5,标准坦克设计!$B$24:$U$30,MATCH("对"&amp;LEFT($C$5,2)&amp;"输出",标准坦克设计!$B$23:$U$23,0)))*(VLOOKUP($B155,INDIRECT($B$5&amp;"生成成长"),3))*(VLOOKUP($B$5,标准坦克设计!$B$14:$K$20,9)/30))</f>
        <v>10.698991518514202</v>
      </c>
      <c r="CK155" s="172">
        <f ca="1">(VLOOKUP(CK$72,INDIRECT($C$5&amp;"生成成长"),2))/((VLOOKUP($B155,INDIRECT($B$5&amp;"生成成长"),4))/(VLOOKUP(CK$72,INDIRECT($C$5&amp;"生成成长"),5))*(VLOOKUP($B$5,标准坦克设计!$B$24:$U$30,MATCH("对"&amp;LEFT($C$5,2)&amp;"输出",标准坦克设计!$B$23:$U$23,0)))*(VLOOKUP($B155,INDIRECT($B$5&amp;"生成成长"),3))*(VLOOKUP($B$5,标准坦克设计!$B$14:$K$20,9)/30))</f>
        <v>11.449574752274415</v>
      </c>
      <c r="CL155" s="172">
        <f ca="1">(VLOOKUP(CL$72,INDIRECT($C$5&amp;"生成成长"),2))/((VLOOKUP($B155,INDIRECT($B$5&amp;"生成成长"),4))/(VLOOKUP(CL$72,INDIRECT($C$5&amp;"生成成长"),5))*(VLOOKUP($B$5,标准坦克设计!$B$24:$U$30,MATCH("对"&amp;LEFT($C$5,2)&amp;"输出",标准坦克设计!$B$23:$U$23,0)))*(VLOOKUP($B155,INDIRECT($B$5&amp;"生成成长"),3))*(VLOOKUP($B$5,标准坦克设计!$B$14:$K$20,9)/30))</f>
        <v>12.225601485484123</v>
      </c>
      <c r="CM155" s="172">
        <f ca="1">(VLOOKUP(CM$72,INDIRECT($C$5&amp;"生成成长"),2))/((VLOOKUP($B155,INDIRECT($B$5&amp;"生成成长"),4))/(VLOOKUP(CM$72,INDIRECT($C$5&amp;"生成成长"),5))*(VLOOKUP($B$5,标准坦克设计!$B$24:$U$30,MATCH("对"&amp;LEFT($C$5,2)&amp;"输出",标准坦克设计!$B$23:$U$23,0)))*(VLOOKUP($B155,INDIRECT($B$5&amp;"生成成长"),3))*(VLOOKUP($B$5,标准坦克设计!$B$14:$K$20,9)/30))</f>
        <v>13.027071718143334</v>
      </c>
      <c r="CN155" s="172">
        <f ca="1">(VLOOKUP(CN$72,INDIRECT($C$5&amp;"生成成长"),2))/((VLOOKUP($B155,INDIRECT($B$5&amp;"生成成长"),4))/(VLOOKUP(CN$72,INDIRECT($C$5&amp;"生成成长"),5))*(VLOOKUP($B$5,标准坦克设计!$B$24:$U$30,MATCH("对"&amp;LEFT($C$5,2)&amp;"输出",标准坦克设计!$B$23:$U$23,0)))*(VLOOKUP($B155,INDIRECT($B$5&amp;"生成成长"),3))*(VLOOKUP($B$5,标准坦克设计!$B$14:$K$20,9)/30))</f>
        <v>13.85398545025204</v>
      </c>
      <c r="CO155" s="172">
        <f ca="1">(VLOOKUP(CO$72,INDIRECT($C$5&amp;"生成成长"),2))/((VLOOKUP($B155,INDIRECT($B$5&amp;"生成成长"),4))/(VLOOKUP(CO$72,INDIRECT($C$5&amp;"生成成长"),5))*(VLOOKUP($B$5,标准坦克设计!$B$24:$U$30,MATCH("对"&amp;LEFT($C$5,2)&amp;"输出",标准坦克设计!$B$23:$U$23,0)))*(VLOOKUP($B155,INDIRECT($B$5&amp;"生成成长"),3))*(VLOOKUP($B$5,标准坦克设计!$B$14:$K$20,9)/30))</f>
        <v>6.2083190041051592</v>
      </c>
      <c r="CP155" s="172">
        <f ca="1">(VLOOKUP(CP$72,INDIRECT($C$5&amp;"生成成长"),2))/((VLOOKUP($B155,INDIRECT($B$5&amp;"生成成长"),4))/(VLOOKUP(CP$72,INDIRECT($C$5&amp;"生成成长"),5))*(VLOOKUP($B$5,标准坦克设计!$B$24:$U$30,MATCH("对"&amp;LEFT($C$5,2)&amp;"输出",标准坦克设计!$B$23:$U$23,0)))*(VLOOKUP($B155,INDIRECT($B$5&amp;"生成成长"),3))*(VLOOKUP($B$5,标准坦克设计!$B$14:$K$20,9)/30))</f>
        <v>6.7831107871233804</v>
      </c>
      <c r="CQ155" s="172">
        <f ca="1">(VLOOKUP(CQ$72,INDIRECT($C$5&amp;"生成成长"),2))/((VLOOKUP($B155,INDIRECT($B$5&amp;"生成成长"),4))/(VLOOKUP(CQ$72,INDIRECT($C$5&amp;"生成成长"),5))*(VLOOKUP($B$5,标准坦克设计!$B$24:$U$30,MATCH("对"&amp;LEFT($C$5,2)&amp;"输出",标准坦克设计!$B$23:$U$23,0)))*(VLOOKUP($B155,INDIRECT($B$5&amp;"生成成长"),3))*(VLOOKUP($B$5,标准坦克设计!$B$14:$K$20,9)/30))</f>
        <v>7.3833460695910995</v>
      </c>
      <c r="CR155" s="172">
        <f ca="1">(VLOOKUP(CR$72,INDIRECT($C$5&amp;"生成成长"),2))/((VLOOKUP($B155,INDIRECT($B$5&amp;"生成成长"),4))/(VLOOKUP(CR$72,INDIRECT($C$5&amp;"生成成长"),5))*(VLOOKUP($B$5,标准坦克设计!$B$24:$U$30,MATCH("对"&amp;LEFT($C$5,2)&amp;"输出",标准坦克设计!$B$23:$U$23,0)))*(VLOOKUP($B155,INDIRECT($B$5&amp;"生成成长"),3))*(VLOOKUP($B$5,标准坦克设计!$B$14:$K$20,9)/30))</f>
        <v>8.0090248515083164</v>
      </c>
      <c r="CS155" s="172">
        <f ca="1">(VLOOKUP(CS$72,INDIRECT($C$5&amp;"生成成长"),2))/((VLOOKUP($B155,INDIRECT($B$5&amp;"生成成长"),4))/(VLOOKUP(CS$72,INDIRECT($C$5&amp;"生成成长"),5))*(VLOOKUP($B$5,标准坦克设计!$B$24:$U$30,MATCH("对"&amp;LEFT($C$5,2)&amp;"输出",标准坦克设计!$B$23:$U$23,0)))*(VLOOKUP($B155,INDIRECT($B$5&amp;"生成成长"),3))*(VLOOKUP($B$5,标准坦克设计!$B$14:$K$20,9)/30))</f>
        <v>8.6601471328750357</v>
      </c>
      <c r="CT155" s="172">
        <f ca="1">(VLOOKUP(CT$72,INDIRECT($C$5&amp;"生成成长"),2))/((VLOOKUP($B155,INDIRECT($B$5&amp;"生成成长"),4))/(VLOOKUP(CT$72,INDIRECT($C$5&amp;"生成成长"),5))*(VLOOKUP($B$5,标准坦克设计!$B$24:$U$30,MATCH("对"&amp;LEFT($C$5,2)&amp;"输出",标准坦克设计!$B$23:$U$23,0)))*(VLOOKUP($B155,INDIRECT($B$5&amp;"生成成长"),3))*(VLOOKUP($B$5,标准坦克设计!$B$14:$K$20,9)/30))</f>
        <v>9.336712913691251</v>
      </c>
      <c r="CU155" s="172">
        <f ca="1">(VLOOKUP(CU$72,INDIRECT($C$5&amp;"生成成长"),2))/((VLOOKUP($B155,INDIRECT($B$5&amp;"生成成长"),4))/(VLOOKUP(CU$72,INDIRECT($C$5&amp;"生成成长"),5))*(VLOOKUP($B$5,标准坦克设计!$B$24:$U$30,MATCH("对"&amp;LEFT($C$5,2)&amp;"输出",标准坦克设计!$B$23:$U$23,0)))*(VLOOKUP($B155,INDIRECT($B$5&amp;"生成成长"),3))*(VLOOKUP($B$5,标准坦克设计!$B$14:$K$20,9)/30))</f>
        <v>10.038722193956964</v>
      </c>
      <c r="CV155" s="172">
        <f ca="1">(VLOOKUP(CV$72,INDIRECT($C$5&amp;"生成成长"),2))/((VLOOKUP($B155,INDIRECT($B$5&amp;"生成成长"),4))/(VLOOKUP(CV$72,INDIRECT($C$5&amp;"生成成长"),5))*(VLOOKUP($B$5,标准坦克设计!$B$24:$U$30,MATCH("对"&amp;LEFT($C$5,2)&amp;"输出",标准坦克设计!$B$23:$U$23,0)))*(VLOOKUP($B155,INDIRECT($B$5&amp;"生成成长"),3))*(VLOOKUP($B$5,标准坦克设计!$B$14:$K$20,9)/30))</f>
        <v>10.766174973672177</v>
      </c>
      <c r="CW155" s="172">
        <f ca="1">(VLOOKUP(CW$72,INDIRECT($C$5&amp;"生成成长"),2))/((VLOOKUP($B155,INDIRECT($B$5&amp;"生成成长"),4))/(VLOOKUP(CW$72,INDIRECT($C$5&amp;"生成成长"),5))*(VLOOKUP($B$5,标准坦克设计!$B$24:$U$30,MATCH("对"&amp;LEFT($C$5,2)&amp;"输出",标准坦克设计!$B$23:$U$23,0)))*(VLOOKUP($B155,INDIRECT($B$5&amp;"生成成长"),3))*(VLOOKUP($B$5,标准坦克设计!$B$14:$K$20,9)/30))</f>
        <v>11.519071252836888</v>
      </c>
      <c r="CX155" s="172">
        <f ca="1">(VLOOKUP(CX$72,INDIRECT($C$5&amp;"生成成长"),2))/((VLOOKUP($B155,INDIRECT($B$5&amp;"生成成长"),4))/(VLOOKUP(CX$72,INDIRECT($C$5&amp;"生成成长"),5))*(VLOOKUP($B$5,标准坦克设计!$B$24:$U$30,MATCH("对"&amp;LEFT($C$5,2)&amp;"输出",标准坦克设计!$B$23:$U$23,0)))*(VLOOKUP($B155,INDIRECT($B$5&amp;"生成成长"),3))*(VLOOKUP($B$5,标准坦克设计!$B$14:$K$20,9)/30))</f>
        <v>12.297411031451098</v>
      </c>
      <c r="CY155" s="172">
        <f ca="1">(VLOOKUP(CY$72,INDIRECT($C$5&amp;"生成成长"),2))/((VLOOKUP($B155,INDIRECT($B$5&amp;"生成成长"),4))/(VLOOKUP(CY$72,INDIRECT($C$5&amp;"生成成长"),5))*(VLOOKUP($B$5,标准坦克设计!$B$24:$U$30,MATCH("对"&amp;LEFT($C$5,2)&amp;"输出",标准坦克设计!$B$23:$U$23,0)))*(VLOOKUP($B155,INDIRECT($B$5&amp;"生成成长"),3))*(VLOOKUP($B$5,标准坦克设计!$B$14:$K$20,9)/30))</f>
        <v>13.101194309514806</v>
      </c>
      <c r="CZ155" s="172">
        <f ca="1">(VLOOKUP(CZ$72,INDIRECT($C$5&amp;"生成成长"),2))/((VLOOKUP($B155,INDIRECT($B$5&amp;"生成成长"),4))/(VLOOKUP(CZ$72,INDIRECT($C$5&amp;"生成成长"),5))*(VLOOKUP($B$5,标准坦克设计!$B$24:$U$30,MATCH("对"&amp;LEFT($C$5,2)&amp;"输出",标准坦克设计!$B$23:$U$23,0)))*(VLOOKUP($B155,INDIRECT($B$5&amp;"生成成长"),3))*(VLOOKUP($B$5,标准坦克设计!$B$14:$K$20,9)/30))</f>
        <v>13.930421087028016</v>
      </c>
      <c r="DA155" s="172">
        <f ca="1">(VLOOKUP(DA$72,INDIRECT($C$5&amp;"生成成长"),2))/((VLOOKUP($B155,INDIRECT($B$5&amp;"生成成长"),4))/(VLOOKUP(DA$72,INDIRECT($C$5&amp;"生成成长"),5))*(VLOOKUP($B$5,标准坦克设计!$B$24:$U$30,MATCH("对"&amp;LEFT($C$5,2)&amp;"输出",标准坦克设计!$B$23:$U$23,0)))*(VLOOKUP($B155,INDIRECT($B$5&amp;"生成成长"),3))*(VLOOKUP($B$5,标准坦克设计!$B$14:$K$20,9)/30))</f>
        <v>14.78509136399072</v>
      </c>
      <c r="DB155" s="172">
        <f ca="1">(VLOOKUP(DB$72,INDIRECT($C$5&amp;"生成成长"),2))/((VLOOKUP($B155,INDIRECT($B$5&amp;"生成成长"),4))/(VLOOKUP(DB$72,INDIRECT($C$5&amp;"生成成长"),5))*(VLOOKUP($B$5,标准坦克设计!$B$24:$U$30,MATCH("对"&amp;LEFT($C$5,2)&amp;"输出",标准坦克设计!$B$23:$U$23,0)))*(VLOOKUP($B155,INDIRECT($B$5&amp;"生成成长"),3))*(VLOOKUP($B$5,标准坦克设计!$B$14:$K$20,9)/30))</f>
        <v>15.665205140402927</v>
      </c>
      <c r="DC155" s="172">
        <f ca="1">(VLOOKUP(DC$72,INDIRECT($C$5&amp;"生成成长"),2))/((VLOOKUP($B155,INDIRECT($B$5&amp;"生成成长"),4))/(VLOOKUP(DC$72,INDIRECT($C$5&amp;"生成成长"),5))*(VLOOKUP($B$5,标准坦克设计!$B$24:$U$30,MATCH("对"&amp;LEFT($C$5,2)&amp;"输出",标准坦克设计!$B$23:$U$23,0)))*(VLOOKUP($B155,INDIRECT($B$5&amp;"生成成长"),3))*(VLOOKUP($B$5,标准坦克设计!$B$14:$K$20,9)/30))</f>
        <v>16.654347466109058</v>
      </c>
      <c r="DD155" s="172">
        <f ca="1">(VLOOKUP(DD$72,INDIRECT($C$5&amp;"生成成长"),2))/((VLOOKUP($B155,INDIRECT($B$5&amp;"生成成长"),4))/(VLOOKUP(DD$72,INDIRECT($C$5&amp;"生成成长"),5))*(VLOOKUP($B$5,标准坦克设计!$B$24:$U$30,MATCH("对"&amp;LEFT($C$5,2)&amp;"输出",标准坦克设计!$B$23:$U$23,0)))*(VLOOKUP($B155,INDIRECT($B$5&amp;"生成成长"),3))*(VLOOKUP($B$5,标准坦克设计!$B$14:$K$20,9)/30))</f>
        <v>17.673769658928641</v>
      </c>
      <c r="DE155" s="172">
        <f ca="1">(VLOOKUP(DE$72,INDIRECT($C$5&amp;"生成成长"),2))/((VLOOKUP($B155,INDIRECT($B$5&amp;"生成成长"),4))/(VLOOKUP(DE$72,INDIRECT($C$5&amp;"生成成长"),5))*(VLOOKUP($B$5,标准坦克设计!$B$24:$U$30,MATCH("对"&amp;LEFT($C$5,2)&amp;"输出",标准坦克设计!$B$23:$U$23,0)))*(VLOOKUP($B155,INDIRECT($B$5&amp;"生成成长"),3))*(VLOOKUP($B$5,标准坦克设计!$B$14:$K$20,9)/30))</f>
        <v>18.723471718861681</v>
      </c>
      <c r="DF155" s="172">
        <f ca="1">(VLOOKUP(DF$72,INDIRECT($C$5&amp;"生成成长"),2))/((VLOOKUP($B155,INDIRECT($B$5&amp;"生成成长"),4))/(VLOOKUP(DF$72,INDIRECT($C$5&amp;"生成成长"),5))*(VLOOKUP($B$5,标准坦克设计!$B$24:$U$30,MATCH("对"&amp;LEFT($C$5,2)&amp;"输出",标准坦克设计!$B$23:$U$23,0)))*(VLOOKUP($B155,INDIRECT($B$5&amp;"生成成长"),3))*(VLOOKUP($B$5,标准坦克设计!$B$14:$K$20,9)/30))</f>
        <v>19.803453645908167</v>
      </c>
      <c r="DG155" s="172">
        <f ca="1">(VLOOKUP(DG$72,INDIRECT($C$5&amp;"生成成长"),2))/((VLOOKUP($B155,INDIRECT($B$5&amp;"生成成长"),4))/(VLOOKUP(DG$72,INDIRECT($C$5&amp;"生成成长"),5))*(VLOOKUP($B$5,标准坦克设计!$B$24:$U$30,MATCH("对"&amp;LEFT($C$5,2)&amp;"输出",标准坦克设计!$B$23:$U$23,0)))*(VLOOKUP($B155,INDIRECT($B$5&amp;"生成成长"),3))*(VLOOKUP($B$5,标准坦克设计!$B$14:$K$20,9)/30))</f>
        <v>20.913715440068113</v>
      </c>
      <c r="DH155" s="172">
        <f ca="1">(VLOOKUP(DH$72,INDIRECT($C$5&amp;"生成成长"),2))/((VLOOKUP($B155,INDIRECT($B$5&amp;"生成成长"),4))/(VLOOKUP(DH$72,INDIRECT($C$5&amp;"生成成长"),5))*(VLOOKUP($B$5,标准坦克设计!$B$24:$U$30,MATCH("对"&amp;LEFT($C$5,2)&amp;"输出",标准坦克设计!$B$23:$U$23,0)))*(VLOOKUP($B155,INDIRECT($B$5&amp;"生成成长"),3))*(VLOOKUP($B$5,标准坦克设计!$B$14:$K$20,9)/30))</f>
        <v>22.054257101341509</v>
      </c>
      <c r="DI155" s="172">
        <f ca="1">(VLOOKUP(DI$72,INDIRECT($C$5&amp;"生成成长"),2))/((VLOOKUP($B155,INDIRECT($B$5&amp;"生成成长"),4))/(VLOOKUP(DI$72,INDIRECT($C$5&amp;"生成成长"),5))*(VLOOKUP($B$5,标准坦克设计!$B$24:$U$30,MATCH("对"&amp;LEFT($C$5,2)&amp;"输出",标准坦克设计!$B$23:$U$23,0)))*(VLOOKUP($B155,INDIRECT($B$5&amp;"生成成长"),3))*(VLOOKUP($B$5,标准坦克设计!$B$14:$K$20,9)/30))</f>
        <v>23.225078629728358</v>
      </c>
      <c r="DJ155" s="172">
        <f ca="1">(VLOOKUP(DJ$72,INDIRECT($C$5&amp;"生成成长"),2))/((VLOOKUP($B155,INDIRECT($B$5&amp;"生成成长"),4))/(VLOOKUP(DJ$72,INDIRECT($C$5&amp;"生成成长"),5))*(VLOOKUP($B$5,标准坦克设计!$B$24:$U$30,MATCH("对"&amp;LEFT($C$5,2)&amp;"输出",标准坦克设计!$B$23:$U$23,0)))*(VLOOKUP($B155,INDIRECT($B$5&amp;"生成成长"),3))*(VLOOKUP($B$5,标准坦克设计!$B$14:$K$20,9)/30))</f>
        <v>2.3341782284228128</v>
      </c>
      <c r="DK155" s="172">
        <f ca="1">(VLOOKUP(DK$72,INDIRECT($C$5&amp;"生成成长"),2))/((VLOOKUP($B155,INDIRECT($B$5&amp;"生成成长"),4))/(VLOOKUP(DK$72,INDIRECT($C$5&amp;"生成成长"),5))*(VLOOKUP($B$5,标准坦克设计!$B$24:$U$30,MATCH("对"&amp;LEFT($C$5,2)&amp;"输出",标准坦克设计!$B$23:$U$23,0)))*(VLOOKUP($B155,INDIRECT($B$5&amp;"生成成长"),3))*(VLOOKUP($B$5,标准坦克设计!$B$14:$K$20,9)/30))</f>
        <v>2.6246757035425023</v>
      </c>
      <c r="DL155" s="172">
        <f ca="1">(VLOOKUP(DL$72,INDIRECT($C$5&amp;"生成成长"),2))/((VLOOKUP($B155,INDIRECT($B$5&amp;"生成成长"),4))/(VLOOKUP(DL$72,INDIRECT($C$5&amp;"生成成长"),5))*(VLOOKUP($B$5,标准坦克设计!$B$24:$U$30,MATCH("对"&amp;LEFT($C$5,2)&amp;"输出",标准坦克设计!$B$23:$U$23,0)))*(VLOOKUP($B155,INDIRECT($B$5&amp;"生成成长"),3))*(VLOOKUP($B$5,标准坦克设计!$B$14:$K$20,9)/30))</f>
        <v>2.9322056039135092</v>
      </c>
      <c r="DM155" s="172">
        <f ca="1">(VLOOKUP(DM$72,INDIRECT($C$5&amp;"生成成长"),2))/((VLOOKUP($B155,INDIRECT($B$5&amp;"生成成长"),4))/(VLOOKUP(DM$72,INDIRECT($C$5&amp;"生成成长"),5))*(VLOOKUP($B$5,标准坦克设计!$B$24:$U$30,MATCH("对"&amp;LEFT($C$5,2)&amp;"输出",标准坦克设计!$B$23:$U$23,0)))*(VLOOKUP($B155,INDIRECT($B$5&amp;"生成成长"),3))*(VLOOKUP($B$5,标准坦克设计!$B$14:$K$20,9)/30))</f>
        <v>3.2567679295358336</v>
      </c>
      <c r="DN155" s="172">
        <f ca="1">(VLOOKUP(DN$72,INDIRECT($C$5&amp;"生成成长"),2))/((VLOOKUP($B155,INDIRECT($B$5&amp;"生成成长"),4))/(VLOOKUP(DN$72,INDIRECT($C$5&amp;"生成成长"),5))*(VLOOKUP($B$5,标准坦克设计!$B$24:$U$30,MATCH("对"&amp;LEFT($C$5,2)&amp;"输出",标准坦克设计!$B$23:$U$23,0)))*(VLOOKUP($B155,INDIRECT($B$5&amp;"生成成长"),3))*(VLOOKUP($B$5,标准坦克设计!$B$14:$K$20,9)/30))</f>
        <v>3.5983626804094757</v>
      </c>
      <c r="DO155" s="172">
        <f ca="1">(VLOOKUP(DO$72,INDIRECT($C$5&amp;"生成成长"),2))/((VLOOKUP($B155,INDIRECT($B$5&amp;"生成成长"),4))/(VLOOKUP(DO$72,INDIRECT($C$5&amp;"生成成长"),5))*(VLOOKUP($B$5,标准坦克设计!$B$24:$U$30,MATCH("对"&amp;LEFT($C$5,2)&amp;"输出",标准坦克设计!$B$23:$U$23,0)))*(VLOOKUP($B155,INDIRECT($B$5&amp;"生成成长"),3))*(VLOOKUP($B$5,标准坦克设计!$B$14:$K$20,9)/30))</f>
        <v>3.9569898565344341</v>
      </c>
      <c r="DP155" s="172">
        <f ca="1">(VLOOKUP(DP$72,INDIRECT($C$5&amp;"生成成长"),2))/((VLOOKUP($B155,INDIRECT($B$5&amp;"生成成长"),4))/(VLOOKUP(DP$72,INDIRECT($C$5&amp;"生成成长"),5))*(VLOOKUP($B$5,标准坦克设计!$B$24:$U$30,MATCH("对"&amp;LEFT($C$5,2)&amp;"输出",标准坦克设计!$B$23:$U$23,0)))*(VLOOKUP($B155,INDIRECT($B$5&amp;"生成成长"),3))*(VLOOKUP($B$5,标准坦克设计!$B$14:$K$20,9)/30))</f>
        <v>4.3326494579107111</v>
      </c>
      <c r="DQ155" s="172">
        <f ca="1">(VLOOKUP(DQ$72,INDIRECT($C$5&amp;"生成成长"),2))/((VLOOKUP($B155,INDIRECT($B$5&amp;"生成成长"),4))/(VLOOKUP(DQ$72,INDIRECT($C$5&amp;"生成成长"),5))*(VLOOKUP($B$5,标准坦克设计!$B$24:$U$30,MATCH("对"&amp;LEFT($C$5,2)&amp;"输出",标准坦克设计!$B$23:$U$23,0)))*(VLOOKUP($B155,INDIRECT($B$5&amp;"生成成长"),3))*(VLOOKUP($B$5,标准坦克设计!$B$14:$K$20,9)/30))</f>
        <v>4.7253414845383039</v>
      </c>
      <c r="DR155" s="172">
        <f ca="1">(VLOOKUP(DR$72,INDIRECT($C$5&amp;"生成成长"),2))/((VLOOKUP($B155,INDIRECT($B$5&amp;"生成成长"),4))/(VLOOKUP(DR$72,INDIRECT($C$5&amp;"生成成长"),5))*(VLOOKUP($B$5,标准坦克设计!$B$24:$U$30,MATCH("对"&amp;LEFT($C$5,2)&amp;"输出",标准坦克设计!$B$23:$U$23,0)))*(VLOOKUP($B155,INDIRECT($B$5&amp;"生成成长"),3))*(VLOOKUP($B$5,标准坦克设计!$B$14:$K$20,9)/30))</f>
        <v>5.1350659364172149</v>
      </c>
      <c r="DS155" s="172">
        <f ca="1">(VLOOKUP(DS$72,INDIRECT($C$5&amp;"生成成长"),2))/((VLOOKUP($B155,INDIRECT($B$5&amp;"生成成长"),4))/(VLOOKUP(DS$72,INDIRECT($C$5&amp;"生成成长"),5))*(VLOOKUP($B$5,标准坦克设计!$B$24:$U$30,MATCH("对"&amp;LEFT($C$5,2)&amp;"输出",标准坦克设计!$B$23:$U$23,0)))*(VLOOKUP($B155,INDIRECT($B$5&amp;"生成成长"),3))*(VLOOKUP($B$5,标准坦克设计!$B$14:$K$20,9)/30))</f>
        <v>5.561822813547443</v>
      </c>
      <c r="DT155" s="172">
        <f ca="1">(VLOOKUP(DT$72,INDIRECT($C$5&amp;"生成成长"),2))/((VLOOKUP($B155,INDIRECT($B$5&amp;"生成成长"),4))/(VLOOKUP(DT$72,INDIRECT($C$5&amp;"生成成长"),5))*(VLOOKUP($B$5,标准坦克设计!$B$24:$U$30,MATCH("对"&amp;LEFT($C$5,2)&amp;"输出",标准坦克设计!$B$23:$U$23,0)))*(VLOOKUP($B155,INDIRECT($B$5&amp;"生成成长"),3))*(VLOOKUP($B$5,标准坦克设计!$B$14:$K$20,9)/30))</f>
        <v>6.1065450063071651</v>
      </c>
      <c r="DU155" s="172">
        <f ca="1">(VLOOKUP(DU$72,INDIRECT($C$5&amp;"生成成长"),2))/((VLOOKUP($B155,INDIRECT($B$5&amp;"生成成长"),4))/(VLOOKUP(DU$72,INDIRECT($C$5&amp;"生成成长"),5))*(VLOOKUP($B$5,标准坦克设计!$B$24:$U$30,MATCH("对"&amp;LEFT($C$5,2)&amp;"输出",标准坦克设计!$B$23:$U$23,0)))*(VLOOKUP($B155,INDIRECT($B$5&amp;"生成成长"),3))*(VLOOKUP($B$5,标准坦克设计!$B$14:$K$20,9)/30))</f>
        <v>6.6767106985163851</v>
      </c>
      <c r="DV155" s="172">
        <f ca="1">(VLOOKUP(DV$72,INDIRECT($C$5&amp;"生成成长"),2))/((VLOOKUP($B155,INDIRECT($B$5&amp;"生成成长"),4))/(VLOOKUP(DV$72,INDIRECT($C$5&amp;"生成成长"),5))*(VLOOKUP($B$5,标准坦克设计!$B$24:$U$30,MATCH("对"&amp;LEFT($C$5,2)&amp;"输出",标准坦克设计!$B$23:$U$23,0)))*(VLOOKUP($B155,INDIRECT($B$5&amp;"生成成长"),3))*(VLOOKUP($B$5,标准坦克设计!$B$14:$K$20,9)/30))</f>
        <v>7.2723198901751065</v>
      </c>
      <c r="DW155" s="172">
        <f ca="1">(VLOOKUP(DW$72,INDIRECT($C$5&amp;"生成成长"),2))/((VLOOKUP($B155,INDIRECT($B$5&amp;"生成成长"),4))/(VLOOKUP(DW$72,INDIRECT($C$5&amp;"生成成长"),5))*(VLOOKUP($B$5,标准坦克设计!$B$24:$U$30,MATCH("对"&amp;LEFT($C$5,2)&amp;"输出",标准坦克设计!$B$23:$U$23,0)))*(VLOOKUP($B155,INDIRECT($B$5&amp;"生成成长"),3))*(VLOOKUP($B$5,标准坦克设计!$B$14:$K$20,9)/30))</f>
        <v>7.8933725812833222</v>
      </c>
      <c r="DX155" s="172">
        <f ca="1">(VLOOKUP(DX$72,INDIRECT($C$5&amp;"生成成长"),2))/((VLOOKUP($B155,INDIRECT($B$5&amp;"生成成长"),4))/(VLOOKUP(DX$72,INDIRECT($C$5&amp;"生成成长"),5))*(VLOOKUP($B$5,标准坦克设计!$B$24:$U$30,MATCH("对"&amp;LEFT($C$5,2)&amp;"输出",标准坦克设计!$B$23:$U$23,0)))*(VLOOKUP($B155,INDIRECT($B$5&amp;"生成成长"),3))*(VLOOKUP($B$5,标准坦克设计!$B$14:$K$20,9)/30))</f>
        <v>8.5398687718410393</v>
      </c>
      <c r="DY155" s="172">
        <f ca="1">(VLOOKUP(DY$72,INDIRECT($C$5&amp;"生成成长"),2))/((VLOOKUP($B155,INDIRECT($B$5&amp;"生成成长"),4))/(VLOOKUP(DY$72,INDIRECT($C$5&amp;"生成成长"),5))*(VLOOKUP($B$5,标准坦克设计!$B$24:$U$30,MATCH("对"&amp;LEFT($C$5,2)&amp;"输出",标准坦克设计!$B$23:$U$23,0)))*(VLOOKUP($B155,INDIRECT($B$5&amp;"生成成长"),3))*(VLOOKUP($B$5,标准坦克设计!$B$14:$K$20,9)/30))</f>
        <v>3.8355549727981897</v>
      </c>
      <c r="DZ155" s="172">
        <f ca="1">(VLOOKUP(DZ$72,INDIRECT($C$5&amp;"生成成长"),2))/((VLOOKUP($B155,INDIRECT($B$5&amp;"生成成长"),4))/(VLOOKUP(DZ$72,INDIRECT($C$5&amp;"生成成长"),5))*(VLOOKUP($B$5,标准坦克设计!$B$24:$U$30,MATCH("对"&amp;LEFT($C$5,2)&amp;"输出",标准坦克设计!$B$23:$U$23,0)))*(VLOOKUP($B155,INDIRECT($B$5&amp;"生成成长"),3))*(VLOOKUP($B$5,标准坦克设计!$B$14:$K$20,9)/30))</f>
        <v>4.2476976085090774</v>
      </c>
      <c r="EA155" s="172">
        <f ca="1">(VLOOKUP(EA$72,INDIRECT($C$5&amp;"生成成长"),2))/((VLOOKUP($B155,INDIRECT($B$5&amp;"生成成长"),4))/(VLOOKUP(EA$72,INDIRECT($C$5&amp;"生成成长"),5))*(VLOOKUP($B$5,标准坦克设计!$B$24:$U$30,MATCH("对"&amp;LEFT($C$5,2)&amp;"输出",标准坦克设计!$B$23:$U$23,0)))*(VLOOKUP($B155,INDIRECT($B$5&amp;"生成成长"),3))*(VLOOKUP($B$5,标准坦克设计!$B$14:$K$20,9)/30))</f>
        <v>4.6808679297154203</v>
      </c>
      <c r="EB155" s="172">
        <f ca="1">(VLOOKUP(EB$72,INDIRECT($C$5&amp;"生成成长"),2))/((VLOOKUP($B155,INDIRECT($B$5&amp;"生成成长"),4))/(VLOOKUP(EB$72,INDIRECT($C$5&amp;"生成成长"),5))*(VLOOKUP($B$5,标准坦克设计!$B$24:$U$30,MATCH("对"&amp;LEFT($C$5,2)&amp;"输出",标准坦克设计!$B$23:$U$23,0)))*(VLOOKUP($B155,INDIRECT($B$5&amp;"生成成长"),3))*(VLOOKUP($B$5,标准坦克设计!$B$14:$K$20,9)/30))</f>
        <v>5.1350659364172149</v>
      </c>
      <c r="EC155" s="172">
        <f ca="1">(VLOOKUP(EC$72,INDIRECT($C$5&amp;"生成成长"),2))/((VLOOKUP($B155,INDIRECT($B$5&amp;"生成成长"),4))/(VLOOKUP(EC$72,INDIRECT($C$5&amp;"生成成长"),5))*(VLOOKUP($B$5,标准坦克设计!$B$24:$U$30,MATCH("对"&amp;LEFT($C$5,2)&amp;"输出",标准坦克设计!$B$23:$U$23,0)))*(VLOOKUP($B155,INDIRECT($B$5&amp;"生成成长"),3))*(VLOOKUP($B$5,标准坦克设计!$B$14:$K$20,9)/30))</f>
        <v>5.6102916286144628</v>
      </c>
      <c r="ED155" s="172">
        <f ca="1">(VLOOKUP(ED$72,INDIRECT($C$5&amp;"生成成长"),2))/((VLOOKUP($B155,INDIRECT($B$5&amp;"生成成长"),4))/(VLOOKUP(ED$72,INDIRECT($C$5&amp;"生成成长"),5))*(VLOOKUP($B$5,标准坦克设计!$B$24:$U$30,MATCH("对"&amp;LEFT($C$5,2)&amp;"输出",标准坦克设计!$B$23:$U$23,0)))*(VLOOKUP($B155,INDIRECT($B$5&amp;"生成成长"),3))*(VLOOKUP($B$5,标准坦克设计!$B$14:$K$20,9)/30))</f>
        <v>6.1065450063071651</v>
      </c>
      <c r="EE155" s="172">
        <f ca="1">(VLOOKUP(EE$72,INDIRECT($C$5&amp;"生成成长"),2))/((VLOOKUP($B155,INDIRECT($B$5&amp;"生成成长"),4))/(VLOOKUP(EE$72,INDIRECT($C$5&amp;"生成成长"),5))*(VLOOKUP($B$5,标准坦克设计!$B$24:$U$30,MATCH("对"&amp;LEFT($C$5,2)&amp;"输出",标准坦克设计!$B$23:$U$23,0)))*(VLOOKUP($B155,INDIRECT($B$5&amp;"生成成长"),3))*(VLOOKUP($B$5,标准坦克设计!$B$14:$K$20,9)/30))</f>
        <v>6.623826069495319</v>
      </c>
      <c r="EF155" s="172">
        <f ca="1">(VLOOKUP(EF$72,INDIRECT($C$5&amp;"生成成长"),2))/((VLOOKUP($B155,INDIRECT($B$5&amp;"生成成长"),4))/(VLOOKUP(EF$72,INDIRECT($C$5&amp;"生成成长"),5))*(VLOOKUP($B$5,标准坦克设计!$B$24:$U$30,MATCH("对"&amp;LEFT($C$5,2)&amp;"输出",标准坦克设计!$B$23:$U$23,0)))*(VLOOKUP($B155,INDIRECT($B$5&amp;"生成成长"),3))*(VLOOKUP($B$5,标准坦克设计!$B$14:$K$20,9)/30))</f>
        <v>7.1621348181789291</v>
      </c>
      <c r="EG155" s="172">
        <f ca="1">(VLOOKUP(EG$72,INDIRECT($C$5&amp;"生成成长"),2))/((VLOOKUP($B155,INDIRECT($B$5&amp;"生成成长"),4))/(VLOOKUP(EG$72,INDIRECT($C$5&amp;"生成成长"),5))*(VLOOKUP($B$5,标准坦克设计!$B$24:$U$30,MATCH("对"&amp;LEFT($C$5,2)&amp;"输出",标准坦克设计!$B$23:$U$23,0)))*(VLOOKUP($B155,INDIRECT($B$5&amp;"生成成长"),3))*(VLOOKUP($B$5,标准坦克设计!$B$14:$K$20,9)/30))</f>
        <v>7.7214712523579907</v>
      </c>
      <c r="EH155" s="172">
        <f ca="1">(VLOOKUP(EH$72,INDIRECT($C$5&amp;"生成成长"),2))/((VLOOKUP($B155,INDIRECT($B$5&amp;"生成成长"),4))/(VLOOKUP(EH$72,INDIRECT($C$5&amp;"生成成长"),5))*(VLOOKUP($B$5,标准坦克设计!$B$24:$U$30,MATCH("对"&amp;LEFT($C$5,2)&amp;"输出",标准坦克设计!$B$23:$U$23,0)))*(VLOOKUP($B155,INDIRECT($B$5&amp;"生成成长"),3))*(VLOOKUP($B$5,标准坦克设计!$B$14:$K$20,9)/30))</f>
        <v>8.3018353720325067</v>
      </c>
      <c r="EI155" s="172">
        <f ca="1">(VLOOKUP(EI$72,INDIRECT($C$5&amp;"生成成长"),2))/((VLOOKUP($B155,INDIRECT($B$5&amp;"生成成长"),4))/(VLOOKUP(EI$72,INDIRECT($C$5&amp;"生成成长"),5))*(VLOOKUP($B$5,标准坦克设计!$B$24:$U$30,MATCH("对"&amp;LEFT($C$5,2)&amp;"输出",标准坦克设计!$B$23:$U$23,0)))*(VLOOKUP($B155,INDIRECT($B$5&amp;"生成成长"),3))*(VLOOKUP($B$5,标准坦克设计!$B$14:$K$20,9)/30))</f>
        <v>8.903227177202476</v>
      </c>
      <c r="EJ155" s="172">
        <f ca="1">(VLOOKUP(EJ$72,INDIRECT($C$5&amp;"生成成长"),2))/((VLOOKUP($B155,INDIRECT($B$5&amp;"生成成长"),4))/(VLOOKUP(EJ$72,INDIRECT($C$5&amp;"生成成长"),5))*(VLOOKUP($B$5,标准坦克设计!$B$24:$U$30,MATCH("对"&amp;LEFT($C$5,2)&amp;"输出",标准坦克设计!$B$23:$U$23,0)))*(VLOOKUP($B155,INDIRECT($B$5&amp;"生成成长"),3))*(VLOOKUP($B$5,标准坦克设计!$B$14:$K$20,9)/30))</f>
        <v>9.5256466678678997</v>
      </c>
      <c r="EK155" s="172">
        <f ca="1">(VLOOKUP(EK$72,INDIRECT($C$5&amp;"生成成长"),2))/((VLOOKUP($B155,INDIRECT($B$5&amp;"生成成长"),4))/(VLOOKUP(EK$72,INDIRECT($C$5&amp;"生成成长"),5))*(VLOOKUP($B$5,标准坦克设计!$B$24:$U$30,MATCH("对"&amp;LEFT($C$5,2)&amp;"输出",标准坦克设计!$B$23:$U$23,0)))*(VLOOKUP($B155,INDIRECT($B$5&amp;"生成成长"),3))*(VLOOKUP($B$5,标准坦克设计!$B$14:$K$20,9)/30))</f>
        <v>10.300306601520406</v>
      </c>
      <c r="EL155" s="172">
        <f ca="1">(VLOOKUP(EL$72,INDIRECT($C$5&amp;"生成成长"),2))/((VLOOKUP($B155,INDIRECT($B$5&amp;"生成成长"),4))/(VLOOKUP(EL$72,INDIRECT($C$5&amp;"生成成长"),5))*(VLOOKUP($B$5,标准坦克设计!$B$24:$U$30,MATCH("对"&amp;LEFT($C$5,2)&amp;"输出",标准坦克设计!$B$23:$U$23,0)))*(VLOOKUP($B155,INDIRECT($B$5&amp;"生成成长"),3))*(VLOOKUP($B$5,标准坦克设计!$B$14:$K$20,9)/30))</f>
        <v>11.105246402286362</v>
      </c>
      <c r="EM155" s="172">
        <f ca="1">(VLOOKUP(EM$72,INDIRECT($C$5&amp;"生成成长"),2))/((VLOOKUP($B155,INDIRECT($B$5&amp;"生成成长"),4))/(VLOOKUP(EM$72,INDIRECT($C$5&amp;"生成成长"),5))*(VLOOKUP($B$5,标准坦克设计!$B$24:$U$30,MATCH("对"&amp;LEFT($C$5,2)&amp;"输出",标准坦克设计!$B$23:$U$23,0)))*(VLOOKUP($B155,INDIRECT($B$5&amp;"生成成长"),3))*(VLOOKUP($B$5,标准坦克设计!$B$14:$K$20,9)/30))</f>
        <v>11.940466070165774</v>
      </c>
      <c r="EN155" s="172">
        <f ca="1">(VLOOKUP(EN$72,INDIRECT($C$5&amp;"生成成长"),2))/((VLOOKUP($B155,INDIRECT($B$5&amp;"生成成长"),4))/(VLOOKUP(EN$72,INDIRECT($C$5&amp;"生成成长"),5))*(VLOOKUP($B$5,标准坦克设计!$B$24:$U$30,MATCH("对"&amp;LEFT($C$5,2)&amp;"输出",标准坦克设计!$B$23:$U$23,0)))*(VLOOKUP($B155,INDIRECT($B$5&amp;"生成成长"),3))*(VLOOKUP($B$5,标准坦克设计!$B$14:$K$20,9)/30))</f>
        <v>12.80596560515864</v>
      </c>
      <c r="EO155" s="172">
        <f ca="1">(VLOOKUP(EO$72,INDIRECT($C$5&amp;"生成成长"),2))/((VLOOKUP($B155,INDIRECT($B$5&amp;"生成成长"),4))/(VLOOKUP(EO$72,INDIRECT($C$5&amp;"生成成长"),5))*(VLOOKUP($B$5,标准坦克设计!$B$24:$U$30,MATCH("对"&amp;LEFT($C$5,2)&amp;"输出",标准坦克设计!$B$23:$U$23,0)))*(VLOOKUP($B155,INDIRECT($B$5&amp;"生成成长"),3))*(VLOOKUP($B$5,标准坦克设计!$B$14:$K$20,9)/30))</f>
        <v>13.701745007264959</v>
      </c>
      <c r="EP155" s="172">
        <f ca="1">(VLOOKUP(EP$72,INDIRECT($C$5&amp;"生成成长"),2))/((VLOOKUP($B155,INDIRECT($B$5&amp;"生成成长"),4))/(VLOOKUP(EP$72,INDIRECT($C$5&amp;"生成成长"),5))*(VLOOKUP($B$5,标准坦克设计!$B$24:$U$30,MATCH("对"&amp;LEFT($C$5,2)&amp;"输出",标准坦克设计!$B$23:$U$23,0)))*(VLOOKUP($B155,INDIRECT($B$5&amp;"生成成长"),3))*(VLOOKUP($B$5,标准坦克设计!$B$14:$K$20,9)/30))</f>
        <v>14.62780427648473</v>
      </c>
      <c r="EQ155" s="172">
        <f ca="1">(VLOOKUP(EQ$72,INDIRECT($C$5&amp;"生成成长"),2))/((VLOOKUP($B155,INDIRECT($B$5&amp;"生成成长"),4))/(VLOOKUP(EQ$72,INDIRECT($C$5&amp;"生成成长"),5))*(VLOOKUP($B$5,标准坦克设计!$B$24:$U$30,MATCH("对"&amp;LEFT($C$5,2)&amp;"输出",标准坦克设计!$B$23:$U$23,0)))*(VLOOKUP($B155,INDIRECT($B$5&amp;"生成成长"),3))*(VLOOKUP($B$5,标准坦克设计!$B$14:$K$20,9)/30))</f>
        <v>6.46643384356185</v>
      </c>
      <c r="ER155" s="172">
        <f ca="1">(VLOOKUP(ER$72,INDIRECT($C$5&amp;"生成成长"),2))/((VLOOKUP($B155,INDIRECT($B$5&amp;"生成成长"),4))/(VLOOKUP(ER$72,INDIRECT($C$5&amp;"生成成长"),5))*(VLOOKUP($B$5,标准坦克设计!$B$24:$U$30,MATCH("对"&amp;LEFT($C$5,2)&amp;"输出",标准坦克设计!$B$23:$U$23,0)))*(VLOOKUP($B155,INDIRECT($B$5&amp;"生成成长"),3))*(VLOOKUP($B$5,标准坦克设计!$B$14:$K$20,9)/30))</f>
        <v>7.0527908536025716</v>
      </c>
      <c r="ES155" s="172">
        <f ca="1">(VLOOKUP(ES$72,INDIRECT($C$5&amp;"生成成长"),2))/((VLOOKUP($B155,INDIRECT($B$5&amp;"生成成长"),4))/(VLOOKUP(ES$72,INDIRECT($C$5&amp;"生成成长"),5))*(VLOOKUP($B$5,标准坦克设计!$B$24:$U$30,MATCH("对"&amp;LEFT($C$5,2)&amp;"输出",标准坦克设计!$B$23:$U$23,0)))*(VLOOKUP($B155,INDIRECT($B$5&amp;"生成成长"),3))*(VLOOKUP($B$5,标准坦克设计!$B$14:$K$20,9)/30))</f>
        <v>7.6645913630927884</v>
      </c>
      <c r="ET155" s="172">
        <f ca="1">(VLOOKUP(ET$72,INDIRECT($C$5&amp;"生成成长"),2))/((VLOOKUP($B155,INDIRECT($B$5&amp;"生成成长"),4))/(VLOOKUP(ET$72,INDIRECT($C$5&amp;"生成成长"),5))*(VLOOKUP($B$5,标准坦克设计!$B$24:$U$30,MATCH("对"&amp;LEFT($C$5,2)&amp;"输出",标准坦克设计!$B$23:$U$23,0)))*(VLOOKUP($B155,INDIRECT($B$5&amp;"生成成长"),3))*(VLOOKUP($B$5,标准坦克设计!$B$14:$K$20,9)/30))</f>
        <v>8.3018353720325067</v>
      </c>
      <c r="EU155" s="172">
        <f ca="1">(VLOOKUP(EU$72,INDIRECT($C$5&amp;"生成成长"),2))/((VLOOKUP($B155,INDIRECT($B$5&amp;"生成成长"),4))/(VLOOKUP(EU$72,INDIRECT($C$5&amp;"生成成长"),5))*(VLOOKUP($B$5,标准坦克设计!$B$24:$U$30,MATCH("对"&amp;LEFT($C$5,2)&amp;"输出",标准坦克设计!$B$23:$U$23,0)))*(VLOOKUP($B155,INDIRECT($B$5&amp;"生成成长"),3))*(VLOOKUP($B$5,标准坦克设计!$B$14:$K$20,9)/30))</f>
        <v>8.9645228804217236</v>
      </c>
      <c r="EV155" s="172">
        <f ca="1">(VLOOKUP(EV$72,INDIRECT($C$5&amp;"生成成长"),2))/((VLOOKUP($B155,INDIRECT($B$5&amp;"生成成长"),4))/(VLOOKUP(EV$72,INDIRECT($C$5&amp;"生成成长"),5))*(VLOOKUP($B$5,标准坦克设计!$B$24:$U$30,MATCH("对"&amp;LEFT($C$5,2)&amp;"输出",标准坦克设计!$B$23:$U$23,0)))*(VLOOKUP($B155,INDIRECT($B$5&amp;"生成成长"),3))*(VLOOKUP($B$5,标准坦克设计!$B$14:$K$20,9)/30))</f>
        <v>9.6526538882604367</v>
      </c>
      <c r="EW155" s="172">
        <f ca="1">(VLOOKUP(EW$72,INDIRECT($C$5&amp;"生成成长"),2))/((VLOOKUP($B155,INDIRECT($B$5&amp;"生成成长"),4))/(VLOOKUP(EW$72,INDIRECT($C$5&amp;"生成成长"),5))*(VLOOKUP($B$5,标准坦克设计!$B$24:$U$30,MATCH("对"&amp;LEFT($C$5,2)&amp;"输出",标准坦克设计!$B$23:$U$23,0)))*(VLOOKUP($B155,INDIRECT($B$5&amp;"生成成长"),3))*(VLOOKUP($B$5,标准坦克设计!$B$14:$K$20,9)/30))</f>
        <v>10.366228395548653</v>
      </c>
      <c r="EX155" s="172">
        <f ca="1">(VLOOKUP(EX$72,INDIRECT($C$5&amp;"生成成长"),2))/((VLOOKUP($B155,INDIRECT($B$5&amp;"生成成长"),4))/(VLOOKUP(EX$72,INDIRECT($C$5&amp;"生成成长"),5))*(VLOOKUP($B$5,标准坦克设计!$B$24:$U$30,MATCH("对"&amp;LEFT($C$5,2)&amp;"输出",标准坦克设计!$B$23:$U$23,0)))*(VLOOKUP($B155,INDIRECT($B$5&amp;"生成成长"),3))*(VLOOKUP($B$5,标准坦克设计!$B$14:$K$20,9)/30))</f>
        <v>11.105246402286362</v>
      </c>
      <c r="EY155" s="172">
        <f ca="1">(VLOOKUP(EY$72,INDIRECT($C$5&amp;"生成成长"),2))/((VLOOKUP($B155,INDIRECT($B$5&amp;"生成成长"),4))/(VLOOKUP(EY$72,INDIRECT($C$5&amp;"生成成长"),5))*(VLOOKUP($B$5,标准坦克设计!$B$24:$U$30,MATCH("对"&amp;LEFT($C$5,2)&amp;"输出",标准坦克设计!$B$23:$U$23,0)))*(VLOOKUP($B155,INDIRECT($B$5&amp;"生成成长"),3))*(VLOOKUP($B$5,标准坦克设计!$B$14:$K$20,9)/30))</f>
        <v>11.869707908473575</v>
      </c>
      <c r="EZ155" s="172">
        <f ca="1">(VLOOKUP(EZ$72,INDIRECT($C$5&amp;"生成成长"),2))/((VLOOKUP($B155,INDIRECT($B$5&amp;"生成成长"),4))/(VLOOKUP(EZ$72,INDIRECT($C$5&amp;"生成成长"),5))*(VLOOKUP($B$5,标准坦克设计!$B$24:$U$30,MATCH("对"&amp;LEFT($C$5,2)&amp;"输出",标准坦克设计!$B$23:$U$23,0)))*(VLOOKUP($B155,INDIRECT($B$5&amp;"生成成长"),3))*(VLOOKUP($B$5,标准坦克设计!$B$14:$K$20,9)/30))</f>
        <v>12.659612914110284</v>
      </c>
      <c r="FA155" s="172">
        <f ca="1">(VLOOKUP(FA$72,INDIRECT($C$5&amp;"生成成长"),2))/((VLOOKUP($B155,INDIRECT($B$5&amp;"生成成长"),4))/(VLOOKUP(FA$72,INDIRECT($C$5&amp;"生成成长"),5))*(VLOOKUP($B$5,标准坦克设计!$B$24:$U$30,MATCH("对"&amp;LEFT($C$5,2)&amp;"输出",标准坦克设计!$B$23:$U$23,0)))*(VLOOKUP($B155,INDIRECT($B$5&amp;"生成成长"),3))*(VLOOKUP($B$5,标准坦克设计!$B$14:$K$20,9)/30))</f>
        <v>13.474961419196491</v>
      </c>
      <c r="FB155" s="172">
        <f ca="1">(VLOOKUP(FB$72,INDIRECT($C$5&amp;"生成成长"),2))/((VLOOKUP($B155,INDIRECT($B$5&amp;"生成成长"),4))/(VLOOKUP(FB$72,INDIRECT($C$5&amp;"生成成长"),5))*(VLOOKUP($B$5,标准坦克设计!$B$24:$U$30,MATCH("对"&amp;LEFT($C$5,2)&amp;"输出",标准坦克设计!$B$23:$U$23,0)))*(VLOOKUP($B155,INDIRECT($B$5&amp;"生成成长"),3))*(VLOOKUP($B$5,标准坦克设计!$B$14:$K$20,9)/30))</f>
        <v>14.315753423732199</v>
      </c>
      <c r="FC155" s="172">
        <f ca="1">(VLOOKUP(FC$72,INDIRECT($C$5&amp;"生成成长"),2))/((VLOOKUP($B155,INDIRECT($B$5&amp;"生成成长"),4))/(VLOOKUP(FC$72,INDIRECT($C$5&amp;"生成成长"),5))*(VLOOKUP($B$5,标准坦克设计!$B$24:$U$30,MATCH("对"&amp;LEFT($C$5,2)&amp;"输出",标准坦克设计!$B$23:$U$23,0)))*(VLOOKUP($B155,INDIRECT($B$5&amp;"生成成长"),3))*(VLOOKUP($B$5,标准坦克设计!$B$14:$K$20,9)/30))</f>
        <v>15.181988927717404</v>
      </c>
      <c r="FD155" s="172">
        <f ca="1">(VLOOKUP(FD$72,INDIRECT($C$5&amp;"生成成长"),2))/((VLOOKUP($B155,INDIRECT($B$5&amp;"生成成长"),4))/(VLOOKUP(FD$72,INDIRECT($C$5&amp;"生成成长"),5))*(VLOOKUP($B$5,标准坦克设计!$B$24:$U$30,MATCH("对"&amp;LEFT($C$5,2)&amp;"输出",标准坦克设计!$B$23:$U$23,0)))*(VLOOKUP($B155,INDIRECT($B$5&amp;"生成成长"),3))*(VLOOKUP($B$5,标准坦克设计!$B$14:$K$20,9)/30))</f>
        <v>16.073667931152109</v>
      </c>
      <c r="FE155" s="172">
        <f ca="1">(VLOOKUP(FE$72,INDIRECT($C$5&amp;"生成成长"),2))/((VLOOKUP($B155,INDIRECT($B$5&amp;"生成成长"),4))/(VLOOKUP(FE$72,INDIRECT($C$5&amp;"生成成长"),5))*(VLOOKUP($B$5,标准坦克设计!$B$24:$U$30,MATCH("对"&amp;LEFT($C$5,2)&amp;"输出",标准坦克设计!$B$23:$U$23,0)))*(VLOOKUP($B155,INDIRECT($B$5&amp;"生成成长"),3))*(VLOOKUP($B$5,标准坦克设计!$B$14:$K$20,9)/30))</f>
        <v>17.160273579129669</v>
      </c>
      <c r="FF155" s="172">
        <f ca="1">(VLOOKUP(FF$72,INDIRECT($C$5&amp;"生成成长"),2))/((VLOOKUP($B155,INDIRECT($B$5&amp;"生成成长"),4))/(VLOOKUP(FF$72,INDIRECT($C$5&amp;"生成成长"),5))*(VLOOKUP($B$5,标准坦克设计!$B$24:$U$30,MATCH("对"&amp;LEFT($C$5,2)&amp;"输出",标准坦克设计!$B$23:$U$23,0)))*(VLOOKUP($B155,INDIRECT($B$5&amp;"生成成长"),3))*(VLOOKUP($B$5,标准坦克设计!$B$14:$K$20,9)/30))</f>
        <v>18.282416015594539</v>
      </c>
      <c r="FG155" s="172">
        <f ca="1">(VLOOKUP(FG$72,INDIRECT($C$5&amp;"生成成长"),2))/((VLOOKUP($B155,INDIRECT($B$5&amp;"生成成长"),4))/(VLOOKUP(FG$72,INDIRECT($C$5&amp;"生成成长"),5))*(VLOOKUP($B$5,标准坦克设计!$B$24:$U$30,MATCH("对"&amp;LEFT($C$5,2)&amp;"输出",标准坦克设计!$B$23:$U$23,0)))*(VLOOKUP($B155,INDIRECT($B$5&amp;"生成成长"),3))*(VLOOKUP($B$5,标准坦克设计!$B$14:$K$20,9)/30))</f>
        <v>19.440095240546732</v>
      </c>
      <c r="FH155" s="172">
        <f ca="1">(VLOOKUP(FH$72,INDIRECT($C$5&amp;"生成成长"),2))/((VLOOKUP($B155,INDIRECT($B$5&amp;"生成成长"),4))/(VLOOKUP(FH$72,INDIRECT($C$5&amp;"生成成长"),5))*(VLOOKUP($B$5,标准坦克设计!$B$24:$U$30,MATCH("对"&amp;LEFT($C$5,2)&amp;"输出",标准坦克设计!$B$23:$U$23,0)))*(VLOOKUP($B155,INDIRECT($B$5&amp;"生成成长"),3))*(VLOOKUP($B$5,标准坦克设计!$B$14:$K$20,9)/30))</f>
        <v>20.633311253986239</v>
      </c>
      <c r="FI155" s="172">
        <f ca="1">(VLOOKUP(FI$72,INDIRECT($C$5&amp;"生成成长"),2))/((VLOOKUP($B155,INDIRECT($B$5&amp;"生成成长"),4))/(VLOOKUP(FI$72,INDIRECT($C$5&amp;"生成成长"),5))*(VLOOKUP($B$5,标准坦克设计!$B$24:$U$30,MATCH("对"&amp;LEFT($C$5,2)&amp;"输出",标准坦克设计!$B$23:$U$23,0)))*(VLOOKUP($B155,INDIRECT($B$5&amp;"生成成长"),3))*(VLOOKUP($B$5,标准坦克设计!$B$14:$K$20,9)/30))</f>
        <v>21.862064055913063</v>
      </c>
      <c r="FJ155" s="172">
        <f ca="1">(VLOOKUP(FJ$72,INDIRECT($C$5&amp;"生成成长"),2))/((VLOOKUP($B155,INDIRECT($B$5&amp;"生成成长"),4))/(VLOOKUP(FJ$72,INDIRECT($C$5&amp;"生成成长"),5))*(VLOOKUP($B$5,标准坦克设计!$B$24:$U$30,MATCH("对"&amp;LEFT($C$5,2)&amp;"输出",标准坦克设计!$B$23:$U$23,0)))*(VLOOKUP($B155,INDIRECT($B$5&amp;"生成成长"),3))*(VLOOKUP($B$5,标准坦克设计!$B$14:$K$20,9)/30))</f>
        <v>23.1263536463272</v>
      </c>
      <c r="FK155" s="172">
        <f ca="1">(VLOOKUP(FK$72,INDIRECT($C$5&amp;"生成成长"),2))/((VLOOKUP($B155,INDIRECT($B$5&amp;"生成成长"),4))/(VLOOKUP(FK$72,INDIRECT($C$5&amp;"生成成长"),5))*(VLOOKUP($B$5,标准坦克设计!$B$24:$U$30,MATCH("对"&amp;LEFT($C$5,2)&amp;"输出",标准坦克设计!$B$23:$U$23,0)))*(VLOOKUP($B155,INDIRECT($B$5&amp;"生成成长"),3))*(VLOOKUP($B$5,标准坦克设计!$B$14:$K$20,9)/30))</f>
        <v>24.42618002522866</v>
      </c>
    </row>
    <row r="156" spans="1:167" x14ac:dyDescent="0.15">
      <c r="A156" s="170" t="str">
        <f t="shared" si="12"/>
        <v>T4中品质12级</v>
      </c>
      <c r="B156" s="171">
        <v>20412</v>
      </c>
      <c r="C156" s="172">
        <f ca="1">(VLOOKUP(C$72,INDIRECT($C$5&amp;"生成成长"),2))/((VLOOKUP($B156,INDIRECT($B$5&amp;"生成成长"),4))/(VLOOKUP(C$72,INDIRECT($C$5&amp;"生成成长"),5))*(VLOOKUP($B$5,标准坦克设计!$B$24:$U$30,MATCH("对"&amp;LEFT($C$5,2)&amp;"输出",标准坦克设计!$B$23:$U$23,0)))*(VLOOKUP($B156,INDIRECT($B$5&amp;"生成成长"),3))*(VLOOKUP($B$5,标准坦克设计!$B$14:$K$20,9)/30))</f>
        <v>0.9844807469388891</v>
      </c>
      <c r="D156" s="172">
        <f ca="1">(VLOOKUP(D$72,INDIRECT($C$5&amp;"生成成长"),2))/((VLOOKUP($B156,INDIRECT($B$5&amp;"生成成长"),4))/(VLOOKUP(D$72,INDIRECT($C$5&amp;"生成成长"),5))*(VLOOKUP($B$5,标准坦克设计!$B$24:$U$30,MATCH("对"&amp;LEFT($C$5,2)&amp;"输出",标准坦克设计!$B$23:$U$23,0)))*(VLOOKUP($B156,INDIRECT($B$5&amp;"生成成长"),3))*(VLOOKUP($B$5,标准坦克设计!$B$14:$K$20,9)/30))</f>
        <v>1.106162567260536</v>
      </c>
      <c r="E156" s="172">
        <f ca="1">(VLOOKUP(E$72,INDIRECT($C$5&amp;"生成成长"),2))/((VLOOKUP($B156,INDIRECT($B$5&amp;"生成成长"),4))/(VLOOKUP(E$72,INDIRECT($C$5&amp;"生成成长"),5))*(VLOOKUP($B$5,标准坦克设计!$B$24:$U$30,MATCH("对"&amp;LEFT($C$5,2)&amp;"输出",标准坦克设计!$B$23:$U$23,0)))*(VLOOKUP($B156,INDIRECT($B$5&amp;"生成成长"),3))*(VLOOKUP($B$5,标准坦克设计!$B$14:$K$20,9)/30))</f>
        <v>1.2349326489601424</v>
      </c>
      <c r="F156" s="172">
        <f ca="1">(VLOOKUP(F$72,INDIRECT($C$5&amp;"生成成长"),2))/((VLOOKUP($B156,INDIRECT($B$5&amp;"生成成长"),4))/(VLOOKUP(F$72,INDIRECT($C$5&amp;"生成成长"),5))*(VLOOKUP($B$5,标准坦克设计!$B$24:$U$30,MATCH("对"&amp;LEFT($C$5,2)&amp;"输出",标准坦克设计!$B$23:$U$23,0)))*(VLOOKUP($B156,INDIRECT($B$5&amp;"生成成长"),3))*(VLOOKUP($B$5,标准坦克设计!$B$14:$K$20,9)/30))</f>
        <v>1.370790992037709</v>
      </c>
      <c r="G156" s="172">
        <f ca="1">(VLOOKUP(G$72,INDIRECT($C$5&amp;"生成成长"),2))/((VLOOKUP($B156,INDIRECT($B$5&amp;"生成成长"),4))/(VLOOKUP(G$72,INDIRECT($C$5&amp;"生成成长"),5))*(VLOOKUP($B$5,标准坦克设计!$B$24:$U$30,MATCH("对"&amp;LEFT($C$5,2)&amp;"输出",标准坦克设计!$B$23:$U$23,0)))*(VLOOKUP($B156,INDIRECT($B$5&amp;"生成成长"),3))*(VLOOKUP($B$5,标准坦克设计!$B$14:$K$20,9)/30))</f>
        <v>1.513737596493236</v>
      </c>
      <c r="H156" s="172">
        <f ca="1">(VLOOKUP(H$72,INDIRECT($C$5&amp;"生成成长"),2))/((VLOOKUP($B156,INDIRECT($B$5&amp;"生成成长"),4))/(VLOOKUP(H$72,INDIRECT($C$5&amp;"生成成长"),5))*(VLOOKUP($B$5,标准坦克设计!$B$24:$U$30,MATCH("对"&amp;LEFT($C$5,2)&amp;"输出",标准坦克设计!$B$23:$U$23,0)))*(VLOOKUP($B156,INDIRECT($B$5&amp;"生成成长"),3))*(VLOOKUP($B$5,标准坦克设计!$B$14:$K$20,9)/30))</f>
        <v>1.324717293080969</v>
      </c>
      <c r="I156" s="172">
        <f ca="1">(VLOOKUP(I$72,INDIRECT($C$5&amp;"生成成长"),2))/((VLOOKUP($B156,INDIRECT($B$5&amp;"生成成长"),4))/(VLOOKUP(I$72,INDIRECT($C$5&amp;"生成成长"),5))*(VLOOKUP($B$5,标准坦克设计!$B$24:$U$30,MATCH("对"&amp;LEFT($C$5,2)&amp;"输出",标准坦克设计!$B$23:$U$23,0)))*(VLOOKUP($B156,INDIRECT($B$5&amp;"生成成长"),3))*(VLOOKUP($B$5,标准坦克设计!$B$14:$K$20,9)/30))</f>
        <v>1.513737596493236</v>
      </c>
      <c r="J156" s="172">
        <f ca="1">(VLOOKUP(J$72,INDIRECT($C$5&amp;"生成成长"),2))/((VLOOKUP($B156,INDIRECT($B$5&amp;"生成成长"),4))/(VLOOKUP(J$72,INDIRECT($C$5&amp;"生成成长"),5))*(VLOOKUP($B$5,标准坦克设计!$B$24:$U$30,MATCH("对"&amp;LEFT($C$5,2)&amp;"输出",标准坦克设计!$B$23:$U$23,0)))*(VLOOKUP($B156,INDIRECT($B$5&amp;"生成成长"),3))*(VLOOKUP($B$5,标准坦克设计!$B$14:$K$20,9)/30))</f>
        <v>1.7153592534663205</v>
      </c>
      <c r="K156" s="172">
        <f ca="1">(VLOOKUP(K$72,INDIRECT($C$5&amp;"生成成长"),2))/((VLOOKUP($B156,INDIRECT($B$5&amp;"生成成长"),4))/(VLOOKUP(K$72,INDIRECT($C$5&amp;"生成成长"),5))*(VLOOKUP($B$5,标准坦克设计!$B$24:$U$30,MATCH("对"&amp;LEFT($C$5,2)&amp;"输出",标准坦克设计!$B$23:$U$23,0)))*(VLOOKUP($B156,INDIRECT($B$5&amp;"生成成长"),3))*(VLOOKUP($B$5,标准坦克设计!$B$14:$K$20,9)/30))</f>
        <v>1.9295822640002227</v>
      </c>
      <c r="L156" s="172">
        <f ca="1">(VLOOKUP(L$72,INDIRECT($C$5&amp;"生成成长"),2))/((VLOOKUP($B156,INDIRECT($B$5&amp;"生成成长"),4))/(VLOOKUP(L$72,INDIRECT($C$5&amp;"生成成长"),5))*(VLOOKUP($B$5,标准坦克设计!$B$24:$U$30,MATCH("对"&amp;LEFT($C$5,2)&amp;"输出",标准坦克设计!$B$23:$U$23,0)))*(VLOOKUP($B156,INDIRECT($B$5&amp;"生成成长"),3))*(VLOOKUP($B$5,标准坦克设计!$B$14:$K$20,9)/30))</f>
        <v>2.1564066280949428</v>
      </c>
      <c r="M156" s="172">
        <f ca="1">(VLOOKUP(M$72,INDIRECT($C$5&amp;"生成成长"),2))/((VLOOKUP($B156,INDIRECT($B$5&amp;"生成成长"),4))/(VLOOKUP(M$72,INDIRECT($C$5&amp;"生成成长"),5))*(VLOOKUP($B$5,标准坦克设计!$B$24:$U$30,MATCH("对"&amp;LEFT($C$5,2)&amp;"输出",标准坦克设计!$B$23:$U$23,0)))*(VLOOKUP($B156,INDIRECT($B$5&amp;"生成成长"),3))*(VLOOKUP($B$5,标准坦克设计!$B$14:$K$20,9)/30))</f>
        <v>2.3958323457504807</v>
      </c>
      <c r="N156" s="172">
        <f ca="1">(VLOOKUP(N$72,INDIRECT($C$5&amp;"生成成长"),2))/((VLOOKUP($B156,INDIRECT($B$5&amp;"生成成长"),4))/(VLOOKUP(N$72,INDIRECT($C$5&amp;"生成成长"),5))*(VLOOKUP($B$5,标准坦克设计!$B$24:$U$30,MATCH("对"&amp;LEFT($C$5,2)&amp;"输出",标准坦克设计!$B$23:$U$23,0)))*(VLOOKUP($B156,INDIRECT($B$5&amp;"生成成长"),3))*(VLOOKUP($B$5,标准坦克设计!$B$14:$K$20,9)/30))</f>
        <v>2.6478594169668361</v>
      </c>
      <c r="O156" s="172">
        <f ca="1">(VLOOKUP(O$72,INDIRECT($C$5&amp;"生成成长"),2))/((VLOOKUP($B156,INDIRECT($B$5&amp;"生成成长"),4))/(VLOOKUP(O$72,INDIRECT($C$5&amp;"生成成长"),5))*(VLOOKUP($B$5,标准坦克设计!$B$24:$U$30,MATCH("对"&amp;LEFT($C$5,2)&amp;"输出",标准坦克设计!$B$23:$U$23,0)))*(VLOOKUP($B156,INDIRECT($B$5&amp;"生成成长"),3))*(VLOOKUP($B$5,标准坦克设计!$B$14:$K$20,9)/30))</f>
        <v>2.0131646794153344</v>
      </c>
      <c r="P156" s="172">
        <f ca="1">(VLOOKUP(P$72,INDIRECT($C$5&amp;"生成成长"),2))/((VLOOKUP($B156,INDIRECT($B$5&amp;"生成成长"),4))/(VLOOKUP(P$72,INDIRECT($C$5&amp;"生成成长"),5))*(VLOOKUP($B$5,标准坦克设计!$B$24:$U$30,MATCH("对"&amp;LEFT($C$5,2)&amp;"输出",标准坦克设计!$B$23:$U$23,0)))*(VLOOKUP($B156,INDIRECT($B$5&amp;"生成成长"),3))*(VLOOKUP($B$5,标准坦克设计!$B$14:$K$20,9)/30))</f>
        <v>2.2745443177276092</v>
      </c>
      <c r="Q156" s="172">
        <f ca="1">(VLOOKUP(Q$72,INDIRECT($C$5&amp;"生成成长"),2))/((VLOOKUP($B156,INDIRECT($B$5&amp;"生成成长"),4))/(VLOOKUP(Q$72,INDIRECT($C$5&amp;"生成成长"),5))*(VLOOKUP($B$5,标准坦克设计!$B$24:$U$30,MATCH("对"&amp;LEFT($C$5,2)&amp;"输出",标准坦克设计!$B$23:$U$23,0)))*(VLOOKUP($B156,INDIRECT($B$5&amp;"生成成长"),3))*(VLOOKUP($B$5,标准坦克设计!$B$14:$K$20,9)/30))</f>
        <v>2.5518725441402945</v>
      </c>
      <c r="R156" s="172">
        <f ca="1">(VLOOKUP(R$72,INDIRECT($C$5&amp;"生成成长"),2))/((VLOOKUP($B156,INDIRECT($B$5&amp;"生成成长"),4))/(VLOOKUP(R$72,INDIRECT($C$5&amp;"生成成长"),5))*(VLOOKUP($B$5,标准坦克设计!$B$24:$U$30,MATCH("对"&amp;LEFT($C$5,2)&amp;"输出",标准坦克设计!$B$23:$U$23,0)))*(VLOOKUP($B156,INDIRECT($B$5&amp;"生成成长"),3))*(VLOOKUP($B$5,标准坦克设计!$B$14:$K$20,9)/30))</f>
        <v>2.8451493586533898</v>
      </c>
      <c r="S156" s="172">
        <f ca="1">(VLOOKUP(S$72,INDIRECT($C$5&amp;"生成成长"),2))/((VLOOKUP($B156,INDIRECT($B$5&amp;"生成成长"),4))/(VLOOKUP(S$72,INDIRECT($C$5&amp;"生成成长"),5))*(VLOOKUP($B$5,标准坦克设计!$B$24:$U$30,MATCH("对"&amp;LEFT($C$5,2)&amp;"输出",标准坦克设计!$B$23:$U$23,0)))*(VLOOKUP($B156,INDIRECT($B$5&amp;"生成成长"),3))*(VLOOKUP($B$5,标准坦克设计!$B$14:$K$20,9)/30))</f>
        <v>3.1543747612668951</v>
      </c>
      <c r="T156" s="172">
        <f ca="1">(VLOOKUP(T$72,INDIRECT($C$5&amp;"生成成长"),2))/((VLOOKUP($B156,INDIRECT($B$5&amp;"生成成长"),4))/(VLOOKUP(T$72,INDIRECT($C$5&amp;"生成成长"),5))*(VLOOKUP($B$5,标准坦克设计!$B$24:$U$30,MATCH("对"&amp;LEFT($C$5,2)&amp;"输出",标准坦克设计!$B$23:$U$23,0)))*(VLOOKUP($B156,INDIRECT($B$5&amp;"生成成长"),3))*(VLOOKUP($B$5,标准坦克设计!$B$14:$K$20,9)/30))</f>
        <v>3.4795487519808099</v>
      </c>
      <c r="U156" s="172">
        <f ca="1">(VLOOKUP(U$72,INDIRECT($C$5&amp;"生成成长"),2))/((VLOOKUP($B156,INDIRECT($B$5&amp;"生成成长"),4))/(VLOOKUP(U$72,INDIRECT($C$5&amp;"生成成长"),5))*(VLOOKUP($B$5,标准坦克设计!$B$24:$U$30,MATCH("对"&amp;LEFT($C$5,2)&amp;"输出",标准坦克设计!$B$23:$U$23,0)))*(VLOOKUP($B156,INDIRECT($B$5&amp;"生成成长"),3))*(VLOOKUP($B$5,标准坦克设计!$B$14:$K$20,9)/30))</f>
        <v>3.8206713307951352</v>
      </c>
      <c r="V156" s="172">
        <f ca="1">(VLOOKUP(V$72,INDIRECT($C$5&amp;"生成成长"),2))/((VLOOKUP($B156,INDIRECT($B$5&amp;"生成成长"),4))/(VLOOKUP(V$72,INDIRECT($C$5&amp;"生成成长"),5))*(VLOOKUP($B$5,标准坦克设计!$B$24:$U$30,MATCH("对"&amp;LEFT($C$5,2)&amp;"输出",标准坦克设计!$B$23:$U$23,0)))*(VLOOKUP($B156,INDIRECT($B$5&amp;"生成成长"),3))*(VLOOKUP($B$5,标准坦克设计!$B$14:$K$20,9)/30))</f>
        <v>4.1777424977098692</v>
      </c>
      <c r="W156" s="172">
        <f ca="1">(VLOOKUP(W$72,INDIRECT($C$5&amp;"生成成长"),2))/((VLOOKUP($B156,INDIRECT($B$5&amp;"生成成长"),4))/(VLOOKUP(W$72,INDIRECT($C$5&amp;"生成成长"),5))*(VLOOKUP($B$5,标准坦克设计!$B$24:$U$30,MATCH("对"&amp;LEFT($C$5,2)&amp;"输出",标准坦克设计!$B$23:$U$23,0)))*(VLOOKUP($B156,INDIRECT($B$5&amp;"生成成长"),3))*(VLOOKUP($B$5,标准坦克设计!$B$14:$K$20,9)/30))</f>
        <v>4.5507622527250149</v>
      </c>
      <c r="X156" s="172">
        <f ca="1">(VLOOKUP(X$72,INDIRECT($C$5&amp;"生成成长"),2))/((VLOOKUP($B156,INDIRECT($B$5&amp;"生成成长"),4))/(VLOOKUP(X$72,INDIRECT($C$5&amp;"生成成长"),5))*(VLOOKUP($B$5,标准坦克设计!$B$24:$U$30,MATCH("对"&amp;LEFT($C$5,2)&amp;"输出",标准坦克设计!$B$23:$U$23,0)))*(VLOOKUP($B156,INDIRECT($B$5&amp;"生成成长"),3))*(VLOOKUP($B$5,标准坦克设计!$B$14:$K$20,9)/30))</f>
        <v>3.2969275734236456</v>
      </c>
      <c r="Y156" s="172">
        <f ca="1">(VLOOKUP(Y$72,INDIRECT($C$5&amp;"生成成长"),2))/((VLOOKUP($B156,INDIRECT($B$5&amp;"生成成长"),4))/(VLOOKUP(Y$72,INDIRECT($C$5&amp;"生成成长"),5))*(VLOOKUP($B$5,标准坦克设计!$B$24:$U$30,MATCH("对"&amp;LEFT($C$5,2)&amp;"输出",标准坦克设计!$B$23:$U$23,0)))*(VLOOKUP($B156,INDIRECT($B$5&amp;"生成成长"),3))*(VLOOKUP($B$5,标准坦克设计!$B$14:$K$20,9)/30))</f>
        <v>3.6670923342726685</v>
      </c>
      <c r="Z156" s="172">
        <f ca="1">(VLOOKUP(Z$72,INDIRECT($C$5&amp;"生成成长"),2))/((VLOOKUP($B156,INDIRECT($B$5&amp;"生成成长"),4))/(VLOOKUP(Z$72,INDIRECT($C$5&amp;"生成成长"),5))*(VLOOKUP($B$5,标准坦克设计!$B$24:$U$30,MATCH("对"&amp;LEFT($C$5,2)&amp;"输出",标准坦克设计!$B$23:$U$23,0)))*(VLOOKUP($B156,INDIRECT($B$5&amp;"生成成长"),3))*(VLOOKUP($B$5,标准坦克设计!$B$14:$K$20,9)/30))</f>
        <v>4.0569467100604681</v>
      </c>
      <c r="AA156" s="172">
        <f ca="1">(VLOOKUP(AA$72,INDIRECT($C$5&amp;"生成成长"),2))/((VLOOKUP($B156,INDIRECT($B$5&amp;"生成成长"),4))/(VLOOKUP(AA$72,INDIRECT($C$5&amp;"生成成长"),5))*(VLOOKUP($B$5,标准坦克设计!$B$24:$U$30,MATCH("对"&amp;LEFT($C$5,2)&amp;"输出",标准坦克设计!$B$23:$U$23,0)))*(VLOOKUP($B156,INDIRECT($B$5&amp;"生成成长"),3))*(VLOOKUP($B$5,标准坦克设计!$B$14:$K$20,9)/30))</f>
        <v>4.4664907007870465</v>
      </c>
      <c r="AB156" s="172">
        <f ca="1">(VLOOKUP(AB$72,INDIRECT($C$5&amp;"生成成长"),2))/((VLOOKUP($B156,INDIRECT($B$5&amp;"生成成长"),4))/(VLOOKUP(AB$72,INDIRECT($C$5&amp;"生成成长"),5))*(VLOOKUP($B$5,标准坦克设计!$B$24:$U$30,MATCH("对"&amp;LEFT($C$5,2)&amp;"输出",标准坦克设计!$B$23:$U$23,0)))*(VLOOKUP($B156,INDIRECT($B$5&amp;"生成成长"),3))*(VLOOKUP($B$5,标准坦克设计!$B$14:$K$20,9)/30))</f>
        <v>4.8957243064524016</v>
      </c>
      <c r="AC156" s="172">
        <f ca="1">(VLOOKUP(AC$72,INDIRECT($C$5&amp;"生成成长"),2))/((VLOOKUP($B156,INDIRECT($B$5&amp;"生成成长"),4))/(VLOOKUP(AC$72,INDIRECT($C$5&amp;"生成成长"),5))*(VLOOKUP($B$5,标准坦克设计!$B$24:$U$30,MATCH("对"&amp;LEFT($C$5,2)&amp;"输出",标准坦克设计!$B$23:$U$23,0)))*(VLOOKUP($B156,INDIRECT($B$5&amp;"生成成长"),3))*(VLOOKUP($B$5,标准坦克设计!$B$14:$K$20,9)/30))</f>
        <v>5.3446475270565355</v>
      </c>
      <c r="AD156" s="172">
        <f ca="1">(VLOOKUP(AD$72,INDIRECT($C$5&amp;"生成成长"),2))/((VLOOKUP($B156,INDIRECT($B$5&amp;"生成成长"),4))/(VLOOKUP(AD$72,INDIRECT($C$5&amp;"生成成长"),5))*(VLOOKUP($B$5,标准坦克设计!$B$24:$U$30,MATCH("对"&amp;LEFT($C$5,2)&amp;"输出",标准坦克设计!$B$23:$U$23,0)))*(VLOOKUP($B156,INDIRECT($B$5&amp;"生成成长"),3))*(VLOOKUP($B$5,标准坦克设计!$B$14:$K$20,9)/30))</f>
        <v>5.8132603625994461</v>
      </c>
      <c r="AE156" s="172">
        <f ca="1">(VLOOKUP(AE$72,INDIRECT($C$5&amp;"生成成长"),2))/((VLOOKUP($B156,INDIRECT($B$5&amp;"生成成长"),4))/(VLOOKUP(AE$72,INDIRECT($C$5&amp;"生成成长"),5))*(VLOOKUP($B$5,标准坦克设计!$B$24:$U$30,MATCH("对"&amp;LEFT($C$5,2)&amp;"输出",标准坦克设计!$B$23:$U$23,0)))*(VLOOKUP($B156,INDIRECT($B$5&amp;"生成成长"),3))*(VLOOKUP($B$5,标准坦克设计!$B$14:$K$20,9)/30))</f>
        <v>6.3015628130811354</v>
      </c>
      <c r="AF156" s="172">
        <f ca="1">(VLOOKUP(AF$72,INDIRECT($C$5&amp;"生成成长"),2))/((VLOOKUP($B156,INDIRECT($B$5&amp;"生成成长"),4))/(VLOOKUP(AF$72,INDIRECT($C$5&amp;"生成成长"),5))*(VLOOKUP($B$5,标准坦克设计!$B$24:$U$30,MATCH("对"&amp;LEFT($C$5,2)&amp;"输出",标准坦克设计!$B$23:$U$23,0)))*(VLOOKUP($B156,INDIRECT($B$5&amp;"生成成长"),3))*(VLOOKUP($B$5,标准坦克设计!$B$14:$K$20,9)/30))</f>
        <v>6.8095548785016033</v>
      </c>
      <c r="AG156" s="172">
        <f ca="1">(VLOOKUP(AG$72,INDIRECT($C$5&amp;"生成成长"),2))/((VLOOKUP($B156,INDIRECT($B$5&amp;"生成成长"),4))/(VLOOKUP(AG$72,INDIRECT($C$5&amp;"生成成长"),5))*(VLOOKUP($B$5,标准坦克设计!$B$24:$U$30,MATCH("对"&amp;LEFT($C$5,2)&amp;"输出",标准坦克设计!$B$23:$U$23,0)))*(VLOOKUP($B156,INDIRECT($B$5&amp;"生成成长"),3))*(VLOOKUP($B$5,标准坦克设计!$B$14:$K$20,9)/30))</f>
        <v>7.3372365588608472</v>
      </c>
      <c r="AH156" s="172">
        <f ca="1">(VLOOKUP(AH$72,INDIRECT($C$5&amp;"生成成长"),2))/((VLOOKUP($B156,INDIRECT($B$5&amp;"生成成长"),4))/(VLOOKUP(AH$72,INDIRECT($C$5&amp;"生成成长"),5))*(VLOOKUP($B$5,标准坦克设计!$B$24:$U$30,MATCH("对"&amp;LEFT($C$5,2)&amp;"输出",标准坦克设计!$B$23:$U$23,0)))*(VLOOKUP($B156,INDIRECT($B$5&amp;"生成成长"),3))*(VLOOKUP($B$5,标准坦克设计!$B$14:$K$20,9)/30))</f>
        <v>7.8846078541588707</v>
      </c>
      <c r="AI156" s="172">
        <f ca="1">(VLOOKUP(AI$72,INDIRECT($C$5&amp;"生成成长"),2))/((VLOOKUP($B156,INDIRECT($B$5&amp;"生成成长"),4))/(VLOOKUP(AI$72,INDIRECT($C$5&amp;"生成成长"),5))*(VLOOKUP($B$5,标准坦克设计!$B$24:$U$30,MATCH("对"&amp;LEFT($C$5,2)&amp;"输出",标准坦克设计!$B$23:$U$23,0)))*(VLOOKUP($B156,INDIRECT($B$5&amp;"生成成长"),3))*(VLOOKUP($B$5,标准坦克设计!$B$14:$K$20,9)/30))</f>
        <v>5.5764927429606432</v>
      </c>
      <c r="AJ156" s="172">
        <f ca="1">(VLOOKUP(AJ$72,INDIRECT($C$5&amp;"生成成长"),2))/((VLOOKUP($B156,INDIRECT($B$5&amp;"生成成长"),4))/(VLOOKUP(AJ$72,INDIRECT($C$5&amp;"生成成长"),5))*(VLOOKUP($B$5,标准坦克设计!$B$24:$U$30,MATCH("对"&amp;LEFT($C$5,2)&amp;"输出",标准坦克设计!$B$23:$U$23,0)))*(VLOOKUP($B156,INDIRECT($B$5&amp;"生成成长"),3))*(VLOOKUP($B$5,标准坦克设计!$B$14:$K$20,9)/30))</f>
        <v>6.1038790790958073</v>
      </c>
      <c r="AK156" s="172">
        <f ca="1">(VLOOKUP(AK$72,INDIRECT($C$5&amp;"生成成长"),2))/((VLOOKUP($B156,INDIRECT($B$5&amp;"生成成长"),4))/(VLOOKUP(AK$72,INDIRECT($C$5&amp;"生成成长"),5))*(VLOOKUP($B$5,标准坦克设计!$B$24:$U$30,MATCH("对"&amp;LEFT($C$5,2)&amp;"输出",标准坦克设计!$B$23:$U$23,0)))*(VLOOKUP($B156,INDIRECT($B$5&amp;"生成成长"),3))*(VLOOKUP($B$5,标准坦克设计!$B$14:$K$20,9)/30))</f>
        <v>6.6550898493068926</v>
      </c>
      <c r="AL156" s="172">
        <f ca="1">(VLOOKUP(AL$72,INDIRECT($C$5&amp;"生成成长"),2))/((VLOOKUP($B156,INDIRECT($B$5&amp;"生成成长"),4))/(VLOOKUP(AL$72,INDIRECT($C$5&amp;"生成成长"),5))*(VLOOKUP($B$5,标准坦克设计!$B$24:$U$30,MATCH("对"&amp;LEFT($C$5,2)&amp;"输出",标准坦克设计!$B$23:$U$23,0)))*(VLOOKUP($B156,INDIRECT($B$5&amp;"生成成长"),3))*(VLOOKUP($B$5,标准坦克设计!$B$14:$K$20,9)/30))</f>
        <v>7.2301250535938966</v>
      </c>
      <c r="AM156" s="172">
        <f ca="1">(VLOOKUP(AM$72,INDIRECT($C$5&amp;"生成成长"),2))/((VLOOKUP($B156,INDIRECT($B$5&amp;"生成成长"),4))/(VLOOKUP(AM$72,INDIRECT($C$5&amp;"生成成长"),5))*(VLOOKUP($B$5,标准坦克设计!$B$24:$U$30,MATCH("对"&amp;LEFT($C$5,2)&amp;"输出",标准坦克设计!$B$23:$U$23,0)))*(VLOOKUP($B156,INDIRECT($B$5&amp;"生成成长"),3))*(VLOOKUP($B$5,标准坦克设计!$B$14:$K$20,9)/30))</f>
        <v>7.8289846919568227</v>
      </c>
      <c r="AN156" s="172">
        <f ca="1">(VLOOKUP(AN$72,INDIRECT($C$5&amp;"生成成长"),2))/((VLOOKUP($B156,INDIRECT($B$5&amp;"生成成长"),4))/(VLOOKUP(AN$72,INDIRECT($C$5&amp;"生成成长"),5))*(VLOOKUP($B$5,标准坦克设计!$B$24:$U$30,MATCH("对"&amp;LEFT($C$5,2)&amp;"输出",标准坦克设计!$B$23:$U$23,0)))*(VLOOKUP($B156,INDIRECT($B$5&amp;"生成成长"),3))*(VLOOKUP($B$5,标准坦克设计!$B$14:$K$20,9)/30))</f>
        <v>8.4516687643956701</v>
      </c>
      <c r="AO156" s="172">
        <f ca="1">(VLOOKUP(AO$72,INDIRECT($C$5&amp;"生成成长"),2))/((VLOOKUP($B156,INDIRECT($B$5&amp;"生成成长"),4))/(VLOOKUP(AO$72,INDIRECT($C$5&amp;"生成成长"),5))*(VLOOKUP($B$5,标准坦克设计!$B$24:$U$30,MATCH("对"&amp;LEFT($C$5,2)&amp;"输出",标准坦克设计!$B$23:$U$23,0)))*(VLOOKUP($B156,INDIRECT($B$5&amp;"生成成长"),3))*(VLOOKUP($B$5,标准坦克设计!$B$14:$K$20,9)/30))</f>
        <v>9.0981772709104369</v>
      </c>
      <c r="AP156" s="172">
        <f ca="1">(VLOOKUP(AP$72,INDIRECT($C$5&amp;"生成成长"),2))/((VLOOKUP($B156,INDIRECT($B$5&amp;"生成成长"),4))/(VLOOKUP(AP$72,INDIRECT($C$5&amp;"生成成长"),5))*(VLOOKUP($B$5,标准坦克设计!$B$24:$U$30,MATCH("对"&amp;LEFT($C$5,2)&amp;"输出",标准坦克设计!$B$23:$U$23,0)))*(VLOOKUP($B156,INDIRECT($B$5&amp;"生成成长"),3))*(VLOOKUP($B$5,标准坦克设计!$B$14:$K$20,9)/30))</f>
        <v>9.7685102115011286</v>
      </c>
      <c r="AQ156" s="172">
        <f ca="1">(VLOOKUP(AQ$72,INDIRECT($C$5&amp;"生成成长"),2))/((VLOOKUP($B156,INDIRECT($B$5&amp;"生成成长"),4))/(VLOOKUP(AQ$72,INDIRECT($C$5&amp;"生成成长"),5))*(VLOOKUP($B$5,标准坦克设计!$B$24:$U$30,MATCH("对"&amp;LEFT($C$5,2)&amp;"输出",标准坦克设计!$B$23:$U$23,0)))*(VLOOKUP($B156,INDIRECT($B$5&amp;"生成成长"),3))*(VLOOKUP($B$5,标准坦克设计!$B$14:$K$20,9)/30))</f>
        <v>10.46266758616774</v>
      </c>
      <c r="AR156" s="172">
        <f ca="1">(VLOOKUP(AR$72,INDIRECT($C$5&amp;"生成成长"),2))/((VLOOKUP($B156,INDIRECT($B$5&amp;"生成成长"),4))/(VLOOKUP(AR$72,INDIRECT($C$5&amp;"生成成长"),5))*(VLOOKUP($B$5,标准坦克设计!$B$24:$U$30,MATCH("对"&amp;LEFT($C$5,2)&amp;"输出",标准坦克设计!$B$23:$U$23,0)))*(VLOOKUP($B156,INDIRECT($B$5&amp;"生成成长"),3))*(VLOOKUP($B$5,标准坦克设计!$B$14:$K$20,9)/30))</f>
        <v>11.180649394910269</v>
      </c>
      <c r="AS156" s="172">
        <f ca="1">(VLOOKUP(AS$72,INDIRECT($C$5&amp;"生成成长"),2))/((VLOOKUP($B156,INDIRECT($B$5&amp;"生成成长"),4))/(VLOOKUP(AS$72,INDIRECT($C$5&amp;"生成成长"),5))*(VLOOKUP($B$5,标准坦克设计!$B$24:$U$30,MATCH("对"&amp;LEFT($C$5,2)&amp;"输出",标准坦克设计!$B$23:$U$23,0)))*(VLOOKUP($B156,INDIRECT($B$5&amp;"生成成长"),3))*(VLOOKUP($B$5,标准坦克设计!$B$14:$K$20,9)/30))</f>
        <v>11.922455637728724</v>
      </c>
      <c r="AT156" s="172">
        <f ca="1">(VLOOKUP(AT$72,INDIRECT($C$5&amp;"生成成长"),2))/((VLOOKUP($B156,INDIRECT($B$5&amp;"生成成长"),4))/(VLOOKUP(AT$72,INDIRECT($C$5&amp;"生成成长"),5))*(VLOOKUP($B$5,标准坦克设计!$B$24:$U$30,MATCH("对"&amp;LEFT($C$5,2)&amp;"输出",标准坦克设计!$B$23:$U$23,0)))*(VLOOKUP($B156,INDIRECT($B$5&amp;"生成成长"),3))*(VLOOKUP($B$5,标准坦克设计!$B$14:$K$20,9)/30))</f>
        <v>12.688086314623098</v>
      </c>
      <c r="AU156" s="172">
        <f ca="1">(VLOOKUP(AU$72,INDIRECT($C$5&amp;"生成成长"),2))/((VLOOKUP($B156,INDIRECT($B$5&amp;"生成成长"),4))/(VLOOKUP(AU$72,INDIRECT($C$5&amp;"生成成长"),5))*(VLOOKUP($B$5,标准坦克设计!$B$24:$U$30,MATCH("对"&amp;LEFT($C$5,2)&amp;"输出",标准坦克设计!$B$23:$U$23,0)))*(VLOOKUP($B156,INDIRECT($B$5&amp;"生成成长"),3))*(VLOOKUP($B$5,标准坦克设计!$B$14:$K$20,9)/30))</f>
        <v>13.477541425593392</v>
      </c>
      <c r="AV156" s="172">
        <f ca="1">(VLOOKUP(AV$72,INDIRECT($C$5&amp;"生成成长"),2))/((VLOOKUP($B156,INDIRECT($B$5&amp;"生成成长"),4))/(VLOOKUP(AV$72,INDIRECT($C$5&amp;"生成成长"),5))*(VLOOKUP($B$5,标准坦克设计!$B$24:$U$30,MATCH("对"&amp;LEFT($C$5,2)&amp;"输出",标准坦克设计!$B$23:$U$23,0)))*(VLOOKUP($B156,INDIRECT($B$5&amp;"生成成长"),3))*(VLOOKUP($B$5,标准坦克设计!$B$14:$K$20,9)/30))</f>
        <v>1.370790992037709</v>
      </c>
      <c r="AW156" s="172">
        <f ca="1">(VLOOKUP(AW$72,INDIRECT($C$5&amp;"生成成长"),2))/((VLOOKUP($B156,INDIRECT($B$5&amp;"生成成长"),4))/(VLOOKUP(AW$72,INDIRECT($C$5&amp;"生成成长"),5))*(VLOOKUP($B$5,标准坦克设计!$B$24:$U$30,MATCH("对"&amp;LEFT($C$5,2)&amp;"输出",标准坦克设计!$B$23:$U$23,0)))*(VLOOKUP($B156,INDIRECT($B$5&amp;"生成成长"),3))*(VLOOKUP($B$5,标准坦克设计!$B$14:$K$20,9)/30))</f>
        <v>1.5629616338401806</v>
      </c>
      <c r="AX156" s="172">
        <f ca="1">(VLOOKUP(AX$72,INDIRECT($C$5&amp;"生成成长"),2))/((VLOOKUP($B156,INDIRECT($B$5&amp;"生成成长"),4))/(VLOOKUP(AX$72,INDIRECT($C$5&amp;"生成成长"),5))*(VLOOKUP($B$5,标准坦克设计!$B$24:$U$30,MATCH("对"&amp;LEFT($C$5,2)&amp;"输出",标准坦克设计!$B$23:$U$23,0)))*(VLOOKUP($B156,INDIRECT($B$5&amp;"生成成长"),3))*(VLOOKUP($B$5,标准坦克设计!$B$14:$K$20,9)/30))</f>
        <v>1.7677336292034695</v>
      </c>
      <c r="AY156" s="172">
        <f ca="1">(VLOOKUP(AY$72,INDIRECT($C$5&amp;"生成成长"),2))/((VLOOKUP($B156,INDIRECT($B$5&amp;"生成成长"),4))/(VLOOKUP(AY$72,INDIRECT($C$5&amp;"生成成长"),5))*(VLOOKUP($B$5,标准坦克设计!$B$24:$U$30,MATCH("对"&amp;LEFT($C$5,2)&amp;"输出",标准坦克设计!$B$23:$U$23,0)))*(VLOOKUP($B156,INDIRECT($B$5&amp;"生成成长"),3))*(VLOOKUP($B$5,标准坦克设计!$B$14:$K$20,9)/30))</f>
        <v>1.9851069781275759</v>
      </c>
      <c r="AZ156" s="172">
        <f ca="1">(VLOOKUP(AZ$72,INDIRECT($C$5&amp;"生成成长"),2))/((VLOOKUP($B156,INDIRECT($B$5&amp;"生成成长"),4))/(VLOOKUP(AZ$72,INDIRECT($C$5&amp;"生成成长"),5))*(VLOOKUP($B$5,标准坦克设计!$B$24:$U$30,MATCH("对"&amp;LEFT($C$5,2)&amp;"输出",标准坦克设计!$B$23:$U$23,0)))*(VLOOKUP($B156,INDIRECT($B$5&amp;"生成成长"),3))*(VLOOKUP($B$5,标准坦克设计!$B$14:$K$20,9)/30))</f>
        <v>2.2150816806125007</v>
      </c>
      <c r="BA156" s="172">
        <f ca="1">(VLOOKUP(BA$72,INDIRECT($C$5&amp;"生成成长"),2))/((VLOOKUP($B156,INDIRECT($B$5&amp;"生成成长"),4))/(VLOOKUP(BA$72,INDIRECT($C$5&amp;"生成成长"),5))*(VLOOKUP($B$5,标准坦克设计!$B$24:$U$30,MATCH("对"&amp;LEFT($C$5,2)&amp;"输出",标准坦克设计!$B$23:$U$23,0)))*(VLOOKUP($B156,INDIRECT($B$5&amp;"生成成长"),3))*(VLOOKUP($B$5,标准坦克设计!$B$14:$K$20,9)/30))</f>
        <v>2.4576577366582435</v>
      </c>
      <c r="BB156" s="172">
        <f ca="1">(VLOOKUP(BB$72,INDIRECT($C$5&amp;"生成成长"),2))/((VLOOKUP($B156,INDIRECT($B$5&amp;"生成成长"),4))/(VLOOKUP(BB$72,INDIRECT($C$5&amp;"生成成长"),5))*(VLOOKUP($B$5,标准坦克设计!$B$24:$U$30,MATCH("对"&amp;LEFT($C$5,2)&amp;"输出",标准坦克设计!$B$23:$U$23,0)))*(VLOOKUP($B156,INDIRECT($B$5&amp;"生成成长"),3))*(VLOOKUP($B$5,标准坦克设计!$B$14:$K$20,9)/30))</f>
        <v>2.712835146264803</v>
      </c>
      <c r="BC156" s="172">
        <f ca="1">(VLOOKUP(BC$72,INDIRECT($C$5&amp;"生成成长"),2))/((VLOOKUP($B156,INDIRECT($B$5&amp;"生成成长"),4))/(VLOOKUP(BC$72,INDIRECT($C$5&amp;"生成成长"),5))*(VLOOKUP($B$5,标准坦克设计!$B$24:$U$30,MATCH("对"&amp;LEFT($C$5,2)&amp;"输出",标准坦克设计!$B$23:$U$23,0)))*(VLOOKUP($B156,INDIRECT($B$5&amp;"生成成长"),3))*(VLOOKUP($B$5,标准坦克设计!$B$14:$K$20,9)/30))</f>
        <v>2.9806139094321811</v>
      </c>
      <c r="BD156" s="172">
        <f ca="1">(VLOOKUP(BD$72,INDIRECT($C$5&amp;"生成成长"),2))/((VLOOKUP($B156,INDIRECT($B$5&amp;"生成成长"),4))/(VLOOKUP(BD$72,INDIRECT($C$5&amp;"生成成长"),5))*(VLOOKUP($B$5,标准坦克设计!$B$24:$U$30,MATCH("对"&amp;LEFT($C$5,2)&amp;"输出",标准坦克设计!$B$23:$U$23,0)))*(VLOOKUP($B156,INDIRECT($B$5&amp;"生成成长"),3))*(VLOOKUP($B$5,标准坦克设计!$B$14:$K$20,9)/30))</f>
        <v>3.2969275734236456</v>
      </c>
      <c r="BE156" s="172">
        <f ca="1">(VLOOKUP(BE$72,INDIRECT($C$5&amp;"生成成长"),2))/((VLOOKUP($B156,INDIRECT($B$5&amp;"生成成长"),4))/(VLOOKUP(BE$72,INDIRECT($C$5&amp;"生成成长"),5))*(VLOOKUP($B$5,标准坦克设计!$B$24:$U$30,MATCH("对"&amp;LEFT($C$5,2)&amp;"输出",标准坦克设计!$B$23:$U$23,0)))*(VLOOKUP($B156,INDIRECT($B$5&amp;"生成成长"),3))*(VLOOKUP($B$5,标准坦克设计!$B$14:$K$20,9)/30))</f>
        <v>3.6291898255155211</v>
      </c>
      <c r="BF156" s="172">
        <f ca="1">(VLOOKUP(BF$72,INDIRECT($C$5&amp;"生成成长"),2))/((VLOOKUP($B156,INDIRECT($B$5&amp;"生成成长"),4))/(VLOOKUP(BF$72,INDIRECT($C$5&amp;"生成成长"),5))*(VLOOKUP($B$5,标准坦克设计!$B$24:$U$30,MATCH("对"&amp;LEFT($C$5,2)&amp;"输出",标准坦克设计!$B$23:$U$23,0)))*(VLOOKUP($B156,INDIRECT($B$5&amp;"生成成长"),3))*(VLOOKUP($B$5,标准坦克设计!$B$14:$K$20,9)/30))</f>
        <v>3.977400665707806</v>
      </c>
      <c r="BG156" s="172">
        <f ca="1">(VLOOKUP(BG$72,INDIRECT($C$5&amp;"生成成长"),2))/((VLOOKUP($B156,INDIRECT($B$5&amp;"生成成长"),4))/(VLOOKUP(BG$72,INDIRECT($C$5&amp;"生成成长"),5))*(VLOOKUP($B$5,标准坦克设计!$B$24:$U$30,MATCH("对"&amp;LEFT($C$5,2)&amp;"输出",标准坦克设计!$B$23:$U$23,0)))*(VLOOKUP($B156,INDIRECT($B$5&amp;"生成成长"),3))*(VLOOKUP($B$5,标准坦克设计!$B$14:$K$20,9)/30))</f>
        <v>4.341560094000501</v>
      </c>
      <c r="BH156" s="172">
        <f ca="1">(VLOOKUP(BH$72,INDIRECT($C$5&amp;"生成成长"),2))/((VLOOKUP($B156,INDIRECT($B$5&amp;"生成成长"),4))/(VLOOKUP(BH$72,INDIRECT($C$5&amp;"生成成长"),5))*(VLOOKUP($B$5,标准坦克设计!$B$24:$U$30,MATCH("对"&amp;LEFT($C$5,2)&amp;"输出",标准坦克设计!$B$23:$U$23,0)))*(VLOOKUP($B156,INDIRECT($B$5&amp;"生成成长"),3))*(VLOOKUP($B$5,标准坦克设计!$B$14:$K$20,9)/30))</f>
        <v>2.098519160174936</v>
      </c>
      <c r="BI156" s="172">
        <f ca="1">(VLOOKUP(BI$72,INDIRECT($C$5&amp;"生成成长"),2))/((VLOOKUP($B156,INDIRECT($B$5&amp;"生成成长"),4))/(VLOOKUP(BI$72,INDIRECT($C$5&amp;"生成成长"),5))*(VLOOKUP($B$5,标准坦克设计!$B$24:$U$30,MATCH("对"&amp;LEFT($C$5,2)&amp;"输出",标准坦克设计!$B$23:$U$23,0)))*(VLOOKUP($B156,INDIRECT($B$5&amp;"生成成长"),3))*(VLOOKUP($B$5,标准坦克设计!$B$14:$K$20,9)/30))</f>
        <v>2.3652149945206813</v>
      </c>
      <c r="BJ156" s="172">
        <f ca="1">(VLOOKUP(BJ$72,INDIRECT($C$5&amp;"生成成长"),2))/((VLOOKUP($B156,INDIRECT($B$5&amp;"生成成长"),4))/(VLOOKUP(BJ$72,INDIRECT($C$5&amp;"生成成长"),5))*(VLOOKUP($B$5,标准坦克设计!$B$24:$U$30,MATCH("对"&amp;LEFT($C$5,2)&amp;"输出",标准坦克设计!$B$23:$U$23,0)))*(VLOOKUP($B156,INDIRECT($B$5&amp;"生成成长"),3))*(VLOOKUP($B$5,标准坦克设计!$B$14:$K$20,9)/30))</f>
        <v>2.6478594169668361</v>
      </c>
      <c r="BK156" s="172">
        <f ca="1">(VLOOKUP(BK$72,INDIRECT($C$5&amp;"生成成长"),2))/((VLOOKUP($B156,INDIRECT($B$5&amp;"生成成长"),4))/(VLOOKUP(BK$72,INDIRECT($C$5&amp;"生成成长"),5))*(VLOOKUP($B$5,标准坦克设计!$B$24:$U$30,MATCH("对"&amp;LEFT($C$5,2)&amp;"输出",标准坦克设计!$B$23:$U$23,0)))*(VLOOKUP($B156,INDIRECT($B$5&amp;"生成成长"),3))*(VLOOKUP($B$5,标准坦克设计!$B$14:$K$20,9)/30))</f>
        <v>2.9464524275134014</v>
      </c>
      <c r="BL156" s="172">
        <f ca="1">(VLOOKUP(BL$72,INDIRECT($C$5&amp;"生成成长"),2))/((VLOOKUP($B156,INDIRECT($B$5&amp;"生成成长"),4))/(VLOOKUP(BL$72,INDIRECT($C$5&amp;"生成成长"),5))*(VLOOKUP($B$5,标准坦克设计!$B$24:$U$30,MATCH("对"&amp;LEFT($C$5,2)&amp;"输出",标准坦克设计!$B$23:$U$23,0)))*(VLOOKUP($B156,INDIRECT($B$5&amp;"生成成长"),3))*(VLOOKUP($B$5,标准坦克设计!$B$14:$K$20,9)/30))</f>
        <v>3.2609940261603763</v>
      </c>
      <c r="BM156" s="172">
        <f ca="1">(VLOOKUP(BM$72,INDIRECT($C$5&amp;"生成成长"),2))/((VLOOKUP($B156,INDIRECT($B$5&amp;"生成成长"),4))/(VLOOKUP(BM$72,INDIRECT($C$5&amp;"生成成长"),5))*(VLOOKUP($B$5,标准坦克设计!$B$24:$U$30,MATCH("对"&amp;LEFT($C$5,2)&amp;"输出",标准坦克设计!$B$23:$U$23,0)))*(VLOOKUP($B156,INDIRECT($B$5&amp;"生成成长"),3))*(VLOOKUP($B$5,标准坦克设计!$B$14:$K$20,9)/30))</f>
        <v>3.5914842129077615</v>
      </c>
      <c r="BN156" s="172">
        <f ca="1">(VLOOKUP(BN$72,INDIRECT($C$5&amp;"生成成长"),2))/((VLOOKUP($B156,INDIRECT($B$5&amp;"生成成长"),4))/(VLOOKUP(BN$72,INDIRECT($C$5&amp;"生成成长"),5))*(VLOOKUP($B$5,标准坦克设计!$B$24:$U$30,MATCH("对"&amp;LEFT($C$5,2)&amp;"输出",标准坦克设计!$B$23:$U$23,0)))*(VLOOKUP($B156,INDIRECT($B$5&amp;"生成成长"),3))*(VLOOKUP($B$5,标准坦克设计!$B$14:$K$20,9)/30))</f>
        <v>3.9379229877555564</v>
      </c>
      <c r="BO156" s="172">
        <f ca="1">(VLOOKUP(BO$72,INDIRECT($C$5&amp;"生成成长"),2))/((VLOOKUP($B156,INDIRECT($B$5&amp;"生成成长"),4))/(VLOOKUP(BO$72,INDIRECT($C$5&amp;"生成成长"),5))*(VLOOKUP($B$5,标准坦克设计!$B$24:$U$30,MATCH("对"&amp;LEFT($C$5,2)&amp;"输出",标准坦克设计!$B$23:$U$23,0)))*(VLOOKUP($B156,INDIRECT($B$5&amp;"生成成长"),3))*(VLOOKUP($B$5,标准坦克设计!$B$14:$K$20,9)/30))</f>
        <v>4.3003103507037626</v>
      </c>
      <c r="BP156" s="172">
        <f ca="1">(VLOOKUP(BP$72,INDIRECT($C$5&amp;"生成成长"),2))/((VLOOKUP($B156,INDIRECT($B$5&amp;"生成成长"),4))/(VLOOKUP(BP$72,INDIRECT($C$5&amp;"生成成长"),5))*(VLOOKUP($B$5,标准坦克设计!$B$24:$U$30,MATCH("对"&amp;LEFT($C$5,2)&amp;"输出",标准坦克设计!$B$23:$U$23,0)))*(VLOOKUP($B156,INDIRECT($B$5&amp;"生成成长"),3))*(VLOOKUP($B$5,标准坦克设计!$B$14:$K$20,9)/30))</f>
        <v>4.6786463017523774</v>
      </c>
      <c r="BQ156" s="172">
        <f ca="1">(VLOOKUP(BQ$72,INDIRECT($C$5&amp;"生成成长"),2))/((VLOOKUP($B156,INDIRECT($B$5&amp;"生成成长"),4))/(VLOOKUP(BQ$72,INDIRECT($C$5&amp;"生成成长"),5))*(VLOOKUP($B$5,标准坦克设计!$B$24:$U$30,MATCH("对"&amp;LEFT($C$5,2)&amp;"输出",标准坦克设计!$B$23:$U$23,0)))*(VLOOKUP($B156,INDIRECT($B$5&amp;"生成成长"),3))*(VLOOKUP($B$5,标准坦克设计!$B$14:$K$20,9)/30))</f>
        <v>5.0729308409014022</v>
      </c>
      <c r="BR156" s="172">
        <f ca="1">(VLOOKUP(BR$72,INDIRECT($C$5&amp;"生成成长"),2))/((VLOOKUP($B156,INDIRECT($B$5&amp;"生成成长"),4))/(VLOOKUP(BR$72,INDIRECT($C$5&amp;"生成成长"),5))*(VLOOKUP($B$5,标准坦克设计!$B$24:$U$30,MATCH("对"&amp;LEFT($C$5,2)&amp;"输出",标准坦克设计!$B$23:$U$23,0)))*(VLOOKUP($B156,INDIRECT($B$5&amp;"生成成长"),3))*(VLOOKUP($B$5,标准坦克设计!$B$14:$K$20,9)/30))</f>
        <v>5.5297299074810464</v>
      </c>
      <c r="BS156" s="172">
        <f ca="1">(VLOOKUP(BS$72,INDIRECT($C$5&amp;"生成成长"),2))/((VLOOKUP($B156,INDIRECT($B$5&amp;"生成成长"),4))/(VLOOKUP(BS$72,INDIRECT($C$5&amp;"生成成长"),5))*(VLOOKUP($B$5,标准坦克设计!$B$24:$U$30,MATCH("对"&amp;LEFT($C$5,2)&amp;"输出",标准坦克设计!$B$23:$U$23,0)))*(VLOOKUP($B156,INDIRECT($B$5&amp;"生成成长"),3))*(VLOOKUP($B$5,标准坦克设计!$B$14:$K$20,9)/30))</f>
        <v>6.0062185889994684</v>
      </c>
      <c r="BT156" s="172">
        <f ca="1">(VLOOKUP(BT$72,INDIRECT($C$5&amp;"生成成长"),2))/((VLOOKUP($B156,INDIRECT($B$5&amp;"生成成长"),4))/(VLOOKUP(BT$72,INDIRECT($C$5&amp;"生成成长"),5))*(VLOOKUP($B$5,标准坦克设计!$B$24:$U$30,MATCH("对"&amp;LEFT($C$5,2)&amp;"输出",标准坦克设计!$B$23:$U$23,0)))*(VLOOKUP($B156,INDIRECT($B$5&amp;"生成成长"),3))*(VLOOKUP($B$5,标准坦克设计!$B$14:$K$20,9)/30))</f>
        <v>6.5023968854566698</v>
      </c>
      <c r="BU156" s="172">
        <f ca="1">(VLOOKUP(BU$72,INDIRECT($C$5&amp;"生成成长"),2))/((VLOOKUP($B156,INDIRECT($B$5&amp;"生成成长"),4))/(VLOOKUP(BU$72,INDIRECT($C$5&amp;"生成成长"),5))*(VLOOKUP($B$5,标准坦克设计!$B$24:$U$30,MATCH("对"&amp;LEFT($C$5,2)&amp;"输出",标准坦克设计!$B$23:$U$23,0)))*(VLOOKUP($B156,INDIRECT($B$5&amp;"生成成长"),3))*(VLOOKUP($B$5,标准坦克设计!$B$14:$K$20,9)/30))</f>
        <v>7.0182647968526455</v>
      </c>
      <c r="BV156" s="172">
        <f ca="1">(VLOOKUP(BV$72,INDIRECT($C$5&amp;"生成成长"),2))/((VLOOKUP($B156,INDIRECT($B$5&amp;"生成成长"),4))/(VLOOKUP(BV$72,INDIRECT($C$5&amp;"生成成长"),5))*(VLOOKUP($B$5,标准坦克设计!$B$24:$U$30,MATCH("对"&amp;LEFT($C$5,2)&amp;"输出",标准坦克设计!$B$23:$U$23,0)))*(VLOOKUP($B156,INDIRECT($B$5&amp;"生成成长"),3))*(VLOOKUP($B$5,标准坦克设计!$B$14:$K$20,9)/30))</f>
        <v>7.5538223231874033</v>
      </c>
      <c r="BW156" s="172">
        <f ca="1">(VLOOKUP(BW$72,INDIRECT($C$5&amp;"生成成长"),2))/((VLOOKUP($B156,INDIRECT($B$5&amp;"生成成长"),4))/(VLOOKUP(BW$72,INDIRECT($C$5&amp;"生成成长"),5))*(VLOOKUP($B$5,标准坦克设计!$B$24:$U$30,MATCH("对"&amp;LEFT($C$5,2)&amp;"输出",标准坦克设计!$B$23:$U$23,0)))*(VLOOKUP($B156,INDIRECT($B$5&amp;"生成成长"),3))*(VLOOKUP($B$5,标准坦克设计!$B$14:$K$20,9)/30))</f>
        <v>3.4426307239706015</v>
      </c>
      <c r="BX156" s="172">
        <f ca="1">(VLOOKUP(BX$72,INDIRECT($C$5&amp;"生成成长"),2))/((VLOOKUP($B156,INDIRECT($B$5&amp;"生成成长"),4))/(VLOOKUP(BX$72,INDIRECT($C$5&amp;"生成成长"),5))*(VLOOKUP($B$5,标准坦克设计!$B$24:$U$30,MATCH("对"&amp;LEFT($C$5,2)&amp;"输出",标准坦克设计!$B$23:$U$23,0)))*(VLOOKUP($B156,INDIRECT($B$5&amp;"生成成长"),3))*(VLOOKUP($B$5,标准坦克设计!$B$14:$K$20,9)/30))</f>
        <v>3.8206713307951352</v>
      </c>
      <c r="BY156" s="172">
        <f ca="1">(VLOOKUP(BY$72,INDIRECT($C$5&amp;"生成成长"),2))/((VLOOKUP($B156,INDIRECT($B$5&amp;"生成成长"),4))/(VLOOKUP(BY$72,INDIRECT($C$5&amp;"生成成长"),5))*(VLOOKUP($B$5,标准坦克设计!$B$24:$U$30,MATCH("对"&amp;LEFT($C$5,2)&amp;"输出",标准坦克设计!$B$23:$U$23,0)))*(VLOOKUP($B156,INDIRECT($B$5&amp;"生成成长"),3))*(VLOOKUP($B$5,标准坦克设计!$B$14:$K$20,9)/30))</f>
        <v>4.2184015525584462</v>
      </c>
      <c r="BZ156" s="172">
        <f ca="1">(VLOOKUP(BZ$72,INDIRECT($C$5&amp;"生成成长"),2))/((VLOOKUP($B156,INDIRECT($B$5&amp;"生成成长"),4))/(VLOOKUP(BZ$72,INDIRECT($C$5&amp;"生成成长"),5))*(VLOOKUP($B$5,标准坦克设计!$B$24:$U$30,MATCH("对"&amp;LEFT($C$5,2)&amp;"输出",标准坦克设计!$B$23:$U$23,0)))*(VLOOKUP($B156,INDIRECT($B$5&amp;"生成成长"),3))*(VLOOKUP($B$5,标准坦克设计!$B$14:$K$20,9)/30))</f>
        <v>4.6358213892605358</v>
      </c>
      <c r="CA156" s="172">
        <f ca="1">(VLOOKUP(CA$72,INDIRECT($C$5&amp;"生成成长"),2))/((VLOOKUP($B156,INDIRECT($B$5&amp;"生成成长"),4))/(VLOOKUP(CA$72,INDIRECT($C$5&amp;"生成成长"),5))*(VLOOKUP($B$5,标准坦克设计!$B$24:$U$30,MATCH("对"&amp;LEFT($C$5,2)&amp;"输出",标准坦克设计!$B$23:$U$23,0)))*(VLOOKUP($B156,INDIRECT($B$5&amp;"生成成长"),3))*(VLOOKUP($B$5,标准坦克设计!$B$14:$K$20,9)/30))</f>
        <v>5.0729308409014022</v>
      </c>
      <c r="CB156" s="172">
        <f ca="1">(VLOOKUP(CB$72,INDIRECT($C$5&amp;"生成成长"),2))/((VLOOKUP($B156,INDIRECT($B$5&amp;"生成成长"),4))/(VLOOKUP(CB$72,INDIRECT($C$5&amp;"生成成长"),5))*(VLOOKUP($B$5,标准坦克设计!$B$24:$U$30,MATCH("对"&amp;LEFT($C$5,2)&amp;"输出",标准坦克设计!$B$23:$U$23,0)))*(VLOOKUP($B156,INDIRECT($B$5&amp;"生成成长"),3))*(VLOOKUP($B$5,标准坦克设计!$B$14:$K$20,9)/30))</f>
        <v>5.5297299074810464</v>
      </c>
      <c r="CC156" s="172">
        <f ca="1">(VLOOKUP(CC$72,INDIRECT($C$5&amp;"生成成长"),2))/((VLOOKUP($B156,INDIRECT($B$5&amp;"生成成长"),4))/(VLOOKUP(CC$72,INDIRECT($C$5&amp;"生成成长"),5))*(VLOOKUP($B$5,标准坦克设计!$B$24:$U$30,MATCH("对"&amp;LEFT($C$5,2)&amp;"输出",标准坦克设计!$B$23:$U$23,0)))*(VLOOKUP($B156,INDIRECT($B$5&amp;"生成成长"),3))*(VLOOKUP($B$5,标准坦克设计!$B$14:$K$20,9)/30))</f>
        <v>6.0062185889994684</v>
      </c>
      <c r="CD156" s="172">
        <f ca="1">(VLOOKUP(CD$72,INDIRECT($C$5&amp;"生成成长"),2))/((VLOOKUP($B156,INDIRECT($B$5&amp;"生成成长"),4))/(VLOOKUP(CD$72,INDIRECT($C$5&amp;"生成成长"),5))*(VLOOKUP($B$5,标准坦克设计!$B$24:$U$30,MATCH("对"&amp;LEFT($C$5,2)&amp;"输出",标准坦克设计!$B$23:$U$23,0)))*(VLOOKUP($B156,INDIRECT($B$5&amp;"生成成长"),3))*(VLOOKUP($B$5,标准坦克设计!$B$14:$K$20,9)/30))</f>
        <v>6.5023968854566698</v>
      </c>
      <c r="CE156" s="172">
        <f ca="1">(VLOOKUP(CE$72,INDIRECT($C$5&amp;"生成成长"),2))/((VLOOKUP($B156,INDIRECT($B$5&amp;"生成成长"),4))/(VLOOKUP(CE$72,INDIRECT($C$5&amp;"生成成长"),5))*(VLOOKUP($B$5,标准坦克设计!$B$24:$U$30,MATCH("对"&amp;LEFT($C$5,2)&amp;"输出",标准坦克设计!$B$23:$U$23,0)))*(VLOOKUP($B156,INDIRECT($B$5&amp;"生成成长"),3))*(VLOOKUP($B$5,标准坦克设计!$B$14:$K$20,9)/30))</f>
        <v>7.0182647968526455</v>
      </c>
      <c r="CF156" s="172">
        <f ca="1">(VLOOKUP(CF$72,INDIRECT($C$5&amp;"生成成长"),2))/((VLOOKUP($B156,INDIRECT($B$5&amp;"生成成长"),4))/(VLOOKUP(CF$72,INDIRECT($C$5&amp;"生成成长"),5))*(VLOOKUP($B$5,标准坦克设计!$B$24:$U$30,MATCH("对"&amp;LEFT($C$5,2)&amp;"输出",标准坦克设计!$B$23:$U$23,0)))*(VLOOKUP($B156,INDIRECT($B$5&amp;"生成成长"),3))*(VLOOKUP($B$5,标准坦克设计!$B$14:$K$20,9)/30))</f>
        <v>7.5538223231874033</v>
      </c>
      <c r="CG156" s="172">
        <f ca="1">(VLOOKUP(CG$72,INDIRECT($C$5&amp;"生成成长"),2))/((VLOOKUP($B156,INDIRECT($B$5&amp;"生成成长"),4))/(VLOOKUP(CG$72,INDIRECT($C$5&amp;"生成成长"),5))*(VLOOKUP($B$5,标准坦克设计!$B$24:$U$30,MATCH("对"&amp;LEFT($C$5,2)&amp;"输出",标准坦克设计!$B$23:$U$23,0)))*(VLOOKUP($B156,INDIRECT($B$5&amp;"生成成长"),3))*(VLOOKUP($B$5,标准坦克设计!$B$14:$K$20,9)/30))</f>
        <v>8.1090694644609354</v>
      </c>
      <c r="CH156" s="172">
        <f ca="1">(VLOOKUP(CH$72,INDIRECT($C$5&amp;"生成成长"),2))/((VLOOKUP($B156,INDIRECT($B$5&amp;"生成成长"),4))/(VLOOKUP(CH$72,INDIRECT($C$5&amp;"生成成长"),5))*(VLOOKUP($B$5,标准坦克设计!$B$24:$U$30,MATCH("对"&amp;LEFT($C$5,2)&amp;"输出",标准坦克设计!$B$23:$U$23,0)))*(VLOOKUP($B156,INDIRECT($B$5&amp;"生成成长"),3))*(VLOOKUP($B$5,标准坦克设计!$B$14:$K$20,9)/30))</f>
        <v>8.6840062206732487</v>
      </c>
      <c r="CI156" s="172">
        <f ca="1">(VLOOKUP(CI$72,INDIRECT($C$5&amp;"生成成长"),2))/((VLOOKUP($B156,INDIRECT($B$5&amp;"生成成长"),4))/(VLOOKUP(CI$72,INDIRECT($C$5&amp;"生成成长"),5))*(VLOOKUP($B$5,标准坦克设计!$B$24:$U$30,MATCH("对"&amp;LEFT($C$5,2)&amp;"输出",标准坦克设计!$B$23:$U$23,0)))*(VLOOKUP($B156,INDIRECT($B$5&amp;"生成成长"),3))*(VLOOKUP($B$5,标准坦克设计!$B$14:$K$20,9)/30))</f>
        <v>9.3391781577610793</v>
      </c>
      <c r="CJ156" s="172">
        <f ca="1">(VLOOKUP(CJ$72,INDIRECT($C$5&amp;"生成成长"),2))/((VLOOKUP($B156,INDIRECT($B$5&amp;"生成成长"),4))/(VLOOKUP(CJ$72,INDIRECT($C$5&amp;"生成成长"),5))*(VLOOKUP($B$5,标准坦克设计!$B$24:$U$30,MATCH("对"&amp;LEFT($C$5,2)&amp;"输出",标准坦克设计!$B$23:$U$23,0)))*(VLOOKUP($B156,INDIRECT($B$5&amp;"生成成长"),3))*(VLOOKUP($B$5,标准坦克设计!$B$14:$K$20,9)/30))</f>
        <v>10.018174528924829</v>
      </c>
      <c r="CK156" s="172">
        <f ca="1">(VLOOKUP(CK$72,INDIRECT($C$5&amp;"生成成长"),2))/((VLOOKUP($B156,INDIRECT($B$5&amp;"生成成长"),4))/(VLOOKUP(CK$72,INDIRECT($C$5&amp;"生成成长"),5))*(VLOOKUP($B$5,标准坦克设计!$B$24:$U$30,MATCH("对"&amp;LEFT($C$5,2)&amp;"输出",标准坦克设计!$B$23:$U$23,0)))*(VLOOKUP($B156,INDIRECT($B$5&amp;"生成成长"),3))*(VLOOKUP($B$5,标准坦克设计!$B$14:$K$20,9)/30))</f>
        <v>10.720995334164501</v>
      </c>
      <c r="CL156" s="172">
        <f ca="1">(VLOOKUP(CL$72,INDIRECT($C$5&amp;"生成成长"),2))/((VLOOKUP($B156,INDIRECT($B$5&amp;"生成成长"),4))/(VLOOKUP(CL$72,INDIRECT($C$5&amp;"生成成长"),5))*(VLOOKUP($B$5,标准坦克设计!$B$24:$U$30,MATCH("对"&amp;LEFT($C$5,2)&amp;"输出",标准坦克设计!$B$23:$U$23,0)))*(VLOOKUP($B156,INDIRECT($B$5&amp;"生成成长"),3))*(VLOOKUP($B$5,标准坦克设计!$B$14:$K$20,9)/30))</f>
        <v>11.447640573480097</v>
      </c>
      <c r="CM156" s="172">
        <f ca="1">(VLOOKUP(CM$72,INDIRECT($C$5&amp;"生成成长"),2))/((VLOOKUP($B156,INDIRECT($B$5&amp;"生成成长"),4))/(VLOOKUP(CM$72,INDIRECT($C$5&amp;"生成成长"),5))*(VLOOKUP($B$5,标准坦克设计!$B$24:$U$30,MATCH("对"&amp;LEFT($C$5,2)&amp;"输出",标准坦克设计!$B$23:$U$23,0)))*(VLOOKUP($B156,INDIRECT($B$5&amp;"生成成长"),3))*(VLOOKUP($B$5,标准坦克设计!$B$14:$K$20,9)/30))</f>
        <v>12.198110246871613</v>
      </c>
      <c r="CN156" s="172">
        <f ca="1">(VLOOKUP(CN$72,INDIRECT($C$5&amp;"生成成长"),2))/((VLOOKUP($B156,INDIRECT($B$5&amp;"生成成长"),4))/(VLOOKUP(CN$72,INDIRECT($C$5&amp;"生成成长"),5))*(VLOOKUP($B$5,标准坦克设计!$B$24:$U$30,MATCH("对"&amp;LEFT($C$5,2)&amp;"输出",标准坦克设计!$B$23:$U$23,0)))*(VLOOKUP($B156,INDIRECT($B$5&amp;"生成成长"),3))*(VLOOKUP($B$5,标准坦克设计!$B$14:$K$20,9)/30))</f>
        <v>12.972404354339048</v>
      </c>
      <c r="CO156" s="172">
        <f ca="1">(VLOOKUP(CO$72,INDIRECT($C$5&amp;"生成成长"),2))/((VLOOKUP($B156,INDIRECT($B$5&amp;"生成成长"),4))/(VLOOKUP(CO$72,INDIRECT($C$5&amp;"生成成长"),5))*(VLOOKUP($B$5,标准坦克设计!$B$24:$U$30,MATCH("对"&amp;LEFT($C$5,2)&amp;"输出",标准坦克设计!$B$23:$U$23,0)))*(VLOOKUP($B156,INDIRECT($B$5&amp;"生成成长"),3))*(VLOOKUP($B$5,标准坦克设计!$B$14:$K$20,9)/30))</f>
        <v>5.8132603625994461</v>
      </c>
      <c r="CP156" s="172">
        <f ca="1">(VLOOKUP(CP$72,INDIRECT($C$5&amp;"生成成长"),2))/((VLOOKUP($B156,INDIRECT($B$5&amp;"生成成长"),4))/(VLOOKUP(CP$72,INDIRECT($C$5&amp;"生成成长"),5))*(VLOOKUP($B$5,标准坦克设计!$B$24:$U$30,MATCH("对"&amp;LEFT($C$5,2)&amp;"输出",标准坦克设计!$B$23:$U$23,0)))*(VLOOKUP($B156,INDIRECT($B$5&amp;"生成成长"),3))*(VLOOKUP($B$5,标准坦克设计!$B$14:$K$20,9)/30))</f>
        <v>6.3514759869509376</v>
      </c>
      <c r="CQ156" s="172">
        <f ca="1">(VLOOKUP(CQ$72,INDIRECT($C$5&amp;"生成成长"),2))/((VLOOKUP($B156,INDIRECT($B$5&amp;"生成成长"),4))/(VLOOKUP(CQ$72,INDIRECT($C$5&amp;"生成成长"),5))*(VLOOKUP($B$5,标准坦克设计!$B$24:$U$30,MATCH("对"&amp;LEFT($C$5,2)&amp;"输出",标准坦克设计!$B$23:$U$23,0)))*(VLOOKUP($B156,INDIRECT($B$5&amp;"生成成长"),3))*(VLOOKUP($B$5,标准坦克设计!$B$14:$K$20,9)/30))</f>
        <v>6.9135160453783495</v>
      </c>
      <c r="CR156" s="172">
        <f ca="1">(VLOOKUP(CR$72,INDIRECT($C$5&amp;"生成成长"),2))/((VLOOKUP($B156,INDIRECT($B$5&amp;"生成成长"),4))/(VLOOKUP(CR$72,INDIRECT($C$5&amp;"生成成长"),5))*(VLOOKUP($B$5,标准坦克设计!$B$24:$U$30,MATCH("对"&amp;LEFT($C$5,2)&amp;"输出",标准坦克设计!$B$23:$U$23,0)))*(VLOOKUP($B156,INDIRECT($B$5&amp;"生成成长"),3))*(VLOOKUP($B$5,标准坦克设计!$B$14:$K$20,9)/30))</f>
        <v>7.4993805378816827</v>
      </c>
      <c r="CS156" s="172">
        <f ca="1">(VLOOKUP(CS$72,INDIRECT($C$5&amp;"生成成长"),2))/((VLOOKUP($B156,INDIRECT($B$5&amp;"生成成长"),4))/(VLOOKUP(CS$72,INDIRECT($C$5&amp;"生成成长"),5))*(VLOOKUP($B$5,标准坦克设计!$B$24:$U$30,MATCH("对"&amp;LEFT($C$5,2)&amp;"输出",标准坦克设计!$B$23:$U$23,0)))*(VLOOKUP($B156,INDIRECT($B$5&amp;"生成成长"),3))*(VLOOKUP($B$5,标准坦克设计!$B$14:$K$20,9)/30))</f>
        <v>8.1090694644609354</v>
      </c>
      <c r="CT156" s="172">
        <f ca="1">(VLOOKUP(CT$72,INDIRECT($C$5&amp;"生成成长"),2))/((VLOOKUP($B156,INDIRECT($B$5&amp;"生成成长"),4))/(VLOOKUP(CT$72,INDIRECT($C$5&amp;"生成成长"),5))*(VLOOKUP($B$5,标准坦克设计!$B$24:$U$30,MATCH("对"&amp;LEFT($C$5,2)&amp;"输出",标准坦克设计!$B$23:$U$23,0)))*(VLOOKUP($B156,INDIRECT($B$5&amp;"生成成长"),3))*(VLOOKUP($B$5,标准坦克设计!$B$14:$K$20,9)/30))</f>
        <v>8.7425828251161128</v>
      </c>
      <c r="CU156" s="172">
        <f ca="1">(VLOOKUP(CU$72,INDIRECT($C$5&amp;"生成成长"),2))/((VLOOKUP($B156,INDIRECT($B$5&amp;"生成成长"),4))/(VLOOKUP(CU$72,INDIRECT($C$5&amp;"生成成长"),5))*(VLOOKUP($B$5,标准坦克设计!$B$24:$U$30,MATCH("对"&amp;LEFT($C$5,2)&amp;"输出",标准坦克设计!$B$23:$U$23,0)))*(VLOOKUP($B156,INDIRECT($B$5&amp;"生成成长"),3))*(VLOOKUP($B$5,标准坦克设计!$B$14:$K$20,9)/30))</f>
        <v>9.3999206198472081</v>
      </c>
      <c r="CV156" s="172">
        <f ca="1">(VLOOKUP(CV$72,INDIRECT($C$5&amp;"生成成长"),2))/((VLOOKUP($B156,INDIRECT($B$5&amp;"生成成长"),4))/(VLOOKUP(CV$72,INDIRECT($C$5&amp;"生成成长"),5))*(VLOOKUP($B$5,标准坦克设计!$B$24:$U$30,MATCH("对"&amp;LEFT($C$5,2)&amp;"输出",标准坦克设计!$B$23:$U$23,0)))*(VLOOKUP($B156,INDIRECT($B$5&amp;"生成成长"),3))*(VLOOKUP($B$5,标准坦克设计!$B$14:$K$20,9)/30))</f>
        <v>10.081082848654226</v>
      </c>
      <c r="CW156" s="172">
        <f ca="1">(VLOOKUP(CW$72,INDIRECT($C$5&amp;"生成成长"),2))/((VLOOKUP($B156,INDIRECT($B$5&amp;"生成成长"),4))/(VLOOKUP(CW$72,INDIRECT($C$5&amp;"生成成长"),5))*(VLOOKUP($B$5,标准坦克设计!$B$24:$U$30,MATCH("对"&amp;LEFT($C$5,2)&amp;"输出",标准坦克设计!$B$23:$U$23,0)))*(VLOOKUP($B156,INDIRECT($B$5&amp;"生成成长"),3))*(VLOOKUP($B$5,标准坦克设计!$B$14:$K$20,9)/30))</f>
        <v>10.786069511537162</v>
      </c>
      <c r="CX156" s="172">
        <f ca="1">(VLOOKUP(CX$72,INDIRECT($C$5&amp;"生成成长"),2))/((VLOOKUP($B156,INDIRECT($B$5&amp;"生成成长"),4))/(VLOOKUP(CX$72,INDIRECT($C$5&amp;"生成成长"),5))*(VLOOKUP($B$5,标准坦克设计!$B$24:$U$30,MATCH("对"&amp;LEFT($C$5,2)&amp;"输出",标准坦克设计!$B$23:$U$23,0)))*(VLOOKUP($B156,INDIRECT($B$5&amp;"生成成长"),3))*(VLOOKUP($B$5,标准坦克设计!$B$14:$K$20,9)/30))</f>
        <v>11.514880608496025</v>
      </c>
      <c r="CY156" s="172">
        <f ca="1">(VLOOKUP(CY$72,INDIRECT($C$5&amp;"生成成长"),2))/((VLOOKUP($B156,INDIRECT($B$5&amp;"生成成长"),4))/(VLOOKUP(CY$72,INDIRECT($C$5&amp;"生成成长"),5))*(VLOOKUP($B$5,标准坦克设计!$B$24:$U$30,MATCH("对"&amp;LEFT($C$5,2)&amp;"输出",标准坦克设计!$B$23:$U$23,0)))*(VLOOKUP($B156,INDIRECT($B$5&amp;"生成成长"),3))*(VLOOKUP($B$5,标准坦克设计!$B$14:$K$20,9)/30))</f>
        <v>12.267516139530802</v>
      </c>
      <c r="CZ156" s="172">
        <f ca="1">(VLOOKUP(CZ$72,INDIRECT($C$5&amp;"生成成长"),2))/((VLOOKUP($B156,INDIRECT($B$5&amp;"生成成长"),4))/(VLOOKUP(CZ$72,INDIRECT($C$5&amp;"生成成长"),5))*(VLOOKUP($B$5,标准坦克设计!$B$24:$U$30,MATCH("对"&amp;LEFT($C$5,2)&amp;"输出",标准坦克设计!$B$23:$U$23,0)))*(VLOOKUP($B156,INDIRECT($B$5&amp;"生成成长"),3))*(VLOOKUP($B$5,标准坦克设计!$B$14:$K$20,9)/30))</f>
        <v>13.043976104641505</v>
      </c>
      <c r="DA156" s="172">
        <f ca="1">(VLOOKUP(DA$72,INDIRECT($C$5&amp;"生成成长"),2))/((VLOOKUP($B156,INDIRECT($B$5&amp;"生成成长"),4))/(VLOOKUP(DA$72,INDIRECT($C$5&amp;"生成成长"),5))*(VLOOKUP($B$5,标准坦克设计!$B$24:$U$30,MATCH("对"&amp;LEFT($C$5,2)&amp;"输出",标准坦克设计!$B$23:$U$23,0)))*(VLOOKUP($B156,INDIRECT($B$5&amp;"生成成长"),3))*(VLOOKUP($B$5,标准坦克设计!$B$14:$K$20,9)/30))</f>
        <v>13.84426050382813</v>
      </c>
      <c r="DB156" s="172">
        <f ca="1">(VLOOKUP(DB$72,INDIRECT($C$5&amp;"生成成长"),2))/((VLOOKUP($B156,INDIRECT($B$5&amp;"生成成长"),4))/(VLOOKUP(DB$72,INDIRECT($C$5&amp;"生成成长"),5))*(VLOOKUP($B$5,标准坦克设计!$B$24:$U$30,MATCH("对"&amp;LEFT($C$5,2)&amp;"输出",标准坦克设计!$B$23:$U$23,0)))*(VLOOKUP($B156,INDIRECT($B$5&amp;"生成成长"),3))*(VLOOKUP($B$5,标准坦克设计!$B$14:$K$20,9)/30))</f>
        <v>14.668369337090674</v>
      </c>
      <c r="DC156" s="172">
        <f ca="1">(VLOOKUP(DC$72,INDIRECT($C$5&amp;"生成成长"),2))/((VLOOKUP($B156,INDIRECT($B$5&amp;"生成成长"),4))/(VLOOKUP(DC$72,INDIRECT($C$5&amp;"生成成长"),5))*(VLOOKUP($B$5,标准坦克设计!$B$24:$U$30,MATCH("对"&amp;LEFT($C$5,2)&amp;"输出",标准坦克设计!$B$23:$U$23,0)))*(VLOOKUP($B156,INDIRECT($B$5&amp;"生成成长"),3))*(VLOOKUP($B$5,标准坦克设计!$B$14:$K$20,9)/30))</f>
        <v>15.594568823810778</v>
      </c>
      <c r="DD156" s="172">
        <f ca="1">(VLOOKUP(DD$72,INDIRECT($C$5&amp;"生成成长"),2))/((VLOOKUP($B156,INDIRECT($B$5&amp;"生成成长"),4))/(VLOOKUP(DD$72,INDIRECT($C$5&amp;"生成成长"),5))*(VLOOKUP($B$5,标准坦克设计!$B$24:$U$30,MATCH("对"&amp;LEFT($C$5,2)&amp;"输出",标准坦克设计!$B$23:$U$23,0)))*(VLOOKUP($B156,INDIRECT($B$5&amp;"生成成长"),3))*(VLOOKUP($B$5,标准坦克设计!$B$14:$K$20,9)/30))</f>
        <v>16.549121356042729</v>
      </c>
      <c r="DE156" s="172">
        <f ca="1">(VLOOKUP(DE$72,INDIRECT($C$5&amp;"生成成长"),2))/((VLOOKUP($B156,INDIRECT($B$5&amp;"生成成长"),4))/(VLOOKUP(DE$72,INDIRECT($C$5&amp;"生成成长"),5))*(VLOOKUP($B$5,标准坦克设计!$B$24:$U$30,MATCH("对"&amp;LEFT($C$5,2)&amp;"输出",标准坦克设计!$B$23:$U$23,0)))*(VLOOKUP($B156,INDIRECT($B$5&amp;"生成成长"),3))*(VLOOKUP($B$5,标准坦克设计!$B$14:$K$20,9)/30))</f>
        <v>17.532026933786515</v>
      </c>
      <c r="DF156" s="172">
        <f ca="1">(VLOOKUP(DF$72,INDIRECT($C$5&amp;"生成成长"),2))/((VLOOKUP($B156,INDIRECT($B$5&amp;"生成成长"),4))/(VLOOKUP(DF$72,INDIRECT($C$5&amp;"生成成长"),5))*(VLOOKUP($B$5,标准坦克设计!$B$24:$U$30,MATCH("对"&amp;LEFT($C$5,2)&amp;"输出",标准坦克设计!$B$23:$U$23,0)))*(VLOOKUP($B156,INDIRECT($B$5&amp;"生成成长"),3))*(VLOOKUP($B$5,标准坦克设计!$B$14:$K$20,9)/30))</f>
        <v>18.543285557042143</v>
      </c>
      <c r="DG156" s="172">
        <f ca="1">(VLOOKUP(DG$72,INDIRECT($C$5&amp;"生成成长"),2))/((VLOOKUP($B156,INDIRECT($B$5&amp;"生成成长"),4))/(VLOOKUP(DG$72,INDIRECT($C$5&amp;"生成成长"),5))*(VLOOKUP($B$5,标准坦克设计!$B$24:$U$30,MATCH("对"&amp;LEFT($C$5,2)&amp;"输出",标准坦克设计!$B$23:$U$23,0)))*(VLOOKUP($B156,INDIRECT($B$5&amp;"生成成长"),3))*(VLOOKUP($B$5,标准坦克设计!$B$14:$K$20,9)/30))</f>
        <v>19.582897225809607</v>
      </c>
      <c r="DH156" s="172">
        <f ca="1">(VLOOKUP(DH$72,INDIRECT($C$5&amp;"生成成长"),2))/((VLOOKUP($B156,INDIRECT($B$5&amp;"生成成长"),4))/(VLOOKUP(DH$72,INDIRECT($C$5&amp;"生成成长"),5))*(VLOOKUP($B$5,标准坦克设计!$B$24:$U$30,MATCH("对"&amp;LEFT($C$5,2)&amp;"输出",标准坦克设计!$B$23:$U$23,0)))*(VLOOKUP($B156,INDIRECT($B$5&amp;"生成成长"),3))*(VLOOKUP($B$5,标准坦克设计!$B$14:$K$20,9)/30))</f>
        <v>20.650861940088916</v>
      </c>
      <c r="DI156" s="172">
        <f ca="1">(VLOOKUP(DI$72,INDIRECT($C$5&amp;"生成成长"),2))/((VLOOKUP($B156,INDIRECT($B$5&amp;"生成成长"),4))/(VLOOKUP(DI$72,INDIRECT($C$5&amp;"生成成长"),5))*(VLOOKUP($B$5,标准坦克设计!$B$24:$U$30,MATCH("对"&amp;LEFT($C$5,2)&amp;"输出",标准坦克设计!$B$23:$U$23,0)))*(VLOOKUP($B156,INDIRECT($B$5&amp;"生成成长"),3))*(VLOOKUP($B$5,标准坦克设计!$B$14:$K$20,9)/30))</f>
        <v>21.747179699880064</v>
      </c>
      <c r="DJ156" s="172">
        <f ca="1">(VLOOKUP(DJ$72,INDIRECT($C$5&amp;"生成成长"),2))/((VLOOKUP($B156,INDIRECT($B$5&amp;"生成成长"),4))/(VLOOKUP(DJ$72,INDIRECT($C$5&amp;"生成成长"),5))*(VLOOKUP($B$5,标准坦克设计!$B$24:$U$30,MATCH("对"&amp;LEFT($C$5,2)&amp;"输出",标准坦克设计!$B$23:$U$23,0)))*(VLOOKUP($B156,INDIRECT($B$5&amp;"生成成长"),3))*(VLOOKUP($B$5,标准坦克设计!$B$14:$K$20,9)/30))</f>
        <v>2.1856457062790282</v>
      </c>
      <c r="DK156" s="172">
        <f ca="1">(VLOOKUP(DK$72,INDIRECT($C$5&amp;"生成成长"),2))/((VLOOKUP($B156,INDIRECT($B$5&amp;"生成成长"),4))/(VLOOKUP(DK$72,INDIRECT($C$5&amp;"生成成长"),5))*(VLOOKUP($B$5,标准坦克设计!$B$24:$U$30,MATCH("对"&amp;LEFT($C$5,2)&amp;"输出",标准坦克设计!$B$23:$U$23,0)))*(VLOOKUP($B156,INDIRECT($B$5&amp;"生成成长"),3))*(VLOOKUP($B$5,标准坦克设计!$B$14:$K$20,9)/30))</f>
        <v>2.4576577366582435</v>
      </c>
      <c r="DL156" s="172">
        <f ca="1">(VLOOKUP(DL$72,INDIRECT($C$5&amp;"生成成长"),2))/((VLOOKUP($B156,INDIRECT($B$5&amp;"生成成长"),4))/(VLOOKUP(DL$72,INDIRECT($C$5&amp;"生成成长"),5))*(VLOOKUP($B$5,标准坦克设计!$B$24:$U$30,MATCH("对"&amp;LEFT($C$5,2)&amp;"输出",标准坦克设计!$B$23:$U$23,0)))*(VLOOKUP($B156,INDIRECT($B$5&amp;"生成成长"),3))*(VLOOKUP($B$5,标准坦克设计!$B$14:$K$20,9)/30))</f>
        <v>2.7456183551378683</v>
      </c>
      <c r="DM156" s="172">
        <f ca="1">(VLOOKUP(DM$72,INDIRECT($C$5&amp;"生成成长"),2))/((VLOOKUP($B156,INDIRECT($B$5&amp;"生成成长"),4))/(VLOOKUP(DM$72,INDIRECT($C$5&amp;"生成成长"),5))*(VLOOKUP($B$5,标准坦克设计!$B$24:$U$30,MATCH("对"&amp;LEFT($C$5,2)&amp;"输出",标准坦克设计!$B$23:$U$23,0)))*(VLOOKUP($B156,INDIRECT($B$5&amp;"生成成长"),3))*(VLOOKUP($B$5,标准坦克设计!$B$14:$K$20,9)/30))</f>
        <v>3.0495275617179032</v>
      </c>
      <c r="DN156" s="172">
        <f ca="1">(VLOOKUP(DN$72,INDIRECT($C$5&amp;"生成成长"),2))/((VLOOKUP($B156,INDIRECT($B$5&amp;"生成成长"),4))/(VLOOKUP(DN$72,INDIRECT($C$5&amp;"生成成长"),5))*(VLOOKUP($B$5,标准坦克设计!$B$24:$U$30,MATCH("对"&amp;LEFT($C$5,2)&amp;"输出",标准坦克设计!$B$23:$U$23,0)))*(VLOOKUP($B156,INDIRECT($B$5&amp;"生成成长"),3))*(VLOOKUP($B$5,标准坦克设计!$B$14:$K$20,9)/30))</f>
        <v>3.369385356398348</v>
      </c>
      <c r="DO156" s="172">
        <f ca="1">(VLOOKUP(DO$72,INDIRECT($C$5&amp;"生成成长"),2))/((VLOOKUP($B156,INDIRECT($B$5&amp;"生成成长"),4))/(VLOOKUP(DO$72,INDIRECT($C$5&amp;"生成成长"),5))*(VLOOKUP($B$5,标准坦克设计!$B$24:$U$30,MATCH("对"&amp;LEFT($C$5,2)&amp;"输出",标准坦克设计!$B$23:$U$23,0)))*(VLOOKUP($B156,INDIRECT($B$5&amp;"生成成长"),3))*(VLOOKUP($B$5,标准坦克设计!$B$14:$K$20,9)/30))</f>
        <v>3.7051917391792037</v>
      </c>
      <c r="DP156" s="172">
        <f ca="1">(VLOOKUP(DP$72,INDIRECT($C$5&amp;"生成成长"),2))/((VLOOKUP($B156,INDIRECT($B$5&amp;"生成成长"),4))/(VLOOKUP(DP$72,INDIRECT($C$5&amp;"生成成长"),5))*(VLOOKUP($B$5,标准坦克设计!$B$24:$U$30,MATCH("对"&amp;LEFT($C$5,2)&amp;"输出",标准坦克设计!$B$23:$U$23,0)))*(VLOOKUP($B156,INDIRECT($B$5&amp;"生成成长"),3))*(VLOOKUP($B$5,标准坦克设计!$B$14:$K$20,9)/30))</f>
        <v>4.0569467100604681</v>
      </c>
      <c r="DQ156" s="172">
        <f ca="1">(VLOOKUP(DQ$72,INDIRECT($C$5&amp;"生成成长"),2))/((VLOOKUP($B156,INDIRECT($B$5&amp;"生成成长"),4))/(VLOOKUP(DQ$72,INDIRECT($C$5&amp;"生成成长"),5))*(VLOOKUP($B$5,标准坦克设计!$B$24:$U$30,MATCH("对"&amp;LEFT($C$5,2)&amp;"输出",标准坦克设计!$B$23:$U$23,0)))*(VLOOKUP($B156,INDIRECT($B$5&amp;"生成成长"),3))*(VLOOKUP($B$5,标准坦克设计!$B$14:$K$20,9)/30))</f>
        <v>4.4246502690421439</v>
      </c>
      <c r="DR156" s="172">
        <f ca="1">(VLOOKUP(DR$72,INDIRECT($C$5&amp;"生成成长"),2))/((VLOOKUP($B156,INDIRECT($B$5&amp;"生成成长"),4))/(VLOOKUP(DR$72,INDIRECT($C$5&amp;"生成成长"),5))*(VLOOKUP($B$5,标准坦克设计!$B$24:$U$30,MATCH("对"&amp;LEFT($C$5,2)&amp;"输出",标准坦克设计!$B$23:$U$23,0)))*(VLOOKUP($B156,INDIRECT($B$5&amp;"生成成长"),3))*(VLOOKUP($B$5,标准坦克设计!$B$14:$K$20,9)/30))</f>
        <v>4.8083024161242287</v>
      </c>
      <c r="DS156" s="172">
        <f ca="1">(VLOOKUP(DS$72,INDIRECT($C$5&amp;"生成成长"),2))/((VLOOKUP($B156,INDIRECT($B$5&amp;"生成成长"),4))/(VLOOKUP(DS$72,INDIRECT($C$5&amp;"生成成长"),5))*(VLOOKUP($B$5,标准坦克设计!$B$24:$U$30,MATCH("对"&amp;LEFT($C$5,2)&amp;"输出",标准坦克设计!$B$23:$U$23,0)))*(VLOOKUP($B156,INDIRECT($B$5&amp;"生成成长"),3))*(VLOOKUP($B$5,标准坦克设计!$B$14:$K$20,9)/30))</f>
        <v>5.2079031513067227</v>
      </c>
      <c r="DT156" s="172">
        <f ca="1">(VLOOKUP(DT$72,INDIRECT($C$5&amp;"生成成长"),2))/((VLOOKUP($B156,INDIRECT($B$5&amp;"生成成长"),4))/(VLOOKUP(DT$72,INDIRECT($C$5&amp;"生成成长"),5))*(VLOOKUP($B$5,标准坦克设计!$B$24:$U$30,MATCH("对"&amp;LEFT($C$5,2)&amp;"输出",标准坦克设计!$B$23:$U$23,0)))*(VLOOKUP($B156,INDIRECT($B$5&amp;"生成成长"),3))*(VLOOKUP($B$5,标准坦克设计!$B$14:$K$20,9)/30))</f>
        <v>5.7179626262957619</v>
      </c>
      <c r="DU156" s="172">
        <f ca="1">(VLOOKUP(DU$72,INDIRECT($C$5&amp;"生成成长"),2))/((VLOOKUP($B156,INDIRECT($B$5&amp;"生成成长"),4))/(VLOOKUP(DU$72,INDIRECT($C$5&amp;"生成成长"),5))*(VLOOKUP($B$5,标准坦克设计!$B$24:$U$30,MATCH("对"&amp;LEFT($C$5,2)&amp;"输出",标准坦克设计!$B$23:$U$23,0)))*(VLOOKUP($B156,INDIRECT($B$5&amp;"生成成长"),3))*(VLOOKUP($B$5,标准坦克设计!$B$14:$K$20,9)/30))</f>
        <v>6.2518465353607224</v>
      </c>
      <c r="DV156" s="172">
        <f ca="1">(VLOOKUP(DV$72,INDIRECT($C$5&amp;"生成成长"),2))/((VLOOKUP($B156,INDIRECT($B$5&amp;"生成成长"),4))/(VLOOKUP(DV$72,INDIRECT($C$5&amp;"生成成长"),5))*(VLOOKUP($B$5,标准坦克设计!$B$24:$U$30,MATCH("对"&amp;LEFT($C$5,2)&amp;"输出",标准坦克设计!$B$23:$U$23,0)))*(VLOOKUP($B156,INDIRECT($B$5&amp;"生成成长"),3))*(VLOOKUP($B$5,标准坦克设计!$B$14:$K$20,9)/30))</f>
        <v>6.8095548785016033</v>
      </c>
      <c r="DW156" s="172">
        <f ca="1">(VLOOKUP(DW$72,INDIRECT($C$5&amp;"生成成长"),2))/((VLOOKUP($B156,INDIRECT($B$5&amp;"生成成长"),4))/(VLOOKUP(DW$72,INDIRECT($C$5&amp;"生成成长"),5))*(VLOOKUP($B$5,标准坦克设计!$B$24:$U$30,MATCH("对"&amp;LEFT($C$5,2)&amp;"输出",标准坦克设计!$B$23:$U$23,0)))*(VLOOKUP($B156,INDIRECT($B$5&amp;"生成成长"),3))*(VLOOKUP($B$5,标准坦克设计!$B$14:$K$20,9)/30))</f>
        <v>7.3910876557184038</v>
      </c>
      <c r="DX156" s="172">
        <f ca="1">(VLOOKUP(DX$72,INDIRECT($C$5&amp;"生成成长"),2))/((VLOOKUP($B156,INDIRECT($B$5&amp;"生成成长"),4))/(VLOOKUP(DX$72,INDIRECT($C$5&amp;"生成成长"),5))*(VLOOKUP($B$5,标准坦克设计!$B$24:$U$30,MATCH("对"&amp;LEFT($C$5,2)&amp;"输出",标准坦克设计!$B$23:$U$23,0)))*(VLOOKUP($B156,INDIRECT($B$5&amp;"生成成长"),3))*(VLOOKUP($B$5,标准坦克设计!$B$14:$K$20,9)/30))</f>
        <v>7.996444867011129</v>
      </c>
      <c r="DY156" s="172">
        <f ca="1">(VLOOKUP(DY$72,INDIRECT($C$5&amp;"生成成长"),2))/((VLOOKUP($B156,INDIRECT($B$5&amp;"生成成长"),4))/(VLOOKUP(DY$72,INDIRECT($C$5&amp;"生成成长"),5))*(VLOOKUP($B$5,标准坦克设计!$B$24:$U$30,MATCH("对"&amp;LEFT($C$5,2)&amp;"输出",标准坦克设计!$B$23:$U$23,0)))*(VLOOKUP($B156,INDIRECT($B$5&amp;"生成成长"),3))*(VLOOKUP($B$5,标准坦克设计!$B$14:$K$20,9)/30))</f>
        <v>3.5914842129077615</v>
      </c>
      <c r="DZ156" s="172">
        <f ca="1">(VLOOKUP(DZ$72,INDIRECT($C$5&amp;"生成成长"),2))/((VLOOKUP($B156,INDIRECT($B$5&amp;"生成成长"),4))/(VLOOKUP(DZ$72,INDIRECT($C$5&amp;"生成成长"),5))*(VLOOKUP($B$5,标准坦克设计!$B$24:$U$30,MATCH("对"&amp;LEFT($C$5,2)&amp;"输出",标准坦克设计!$B$23:$U$23,0)))*(VLOOKUP($B156,INDIRECT($B$5&amp;"生成成长"),3))*(VLOOKUP($B$5,标准坦克设计!$B$14:$K$20,9)/30))</f>
        <v>3.977400665707806</v>
      </c>
      <c r="EA156" s="172">
        <f ca="1">(VLOOKUP(EA$72,INDIRECT($C$5&amp;"生成成长"),2))/((VLOOKUP($B156,INDIRECT($B$5&amp;"生成成长"),4))/(VLOOKUP(EA$72,INDIRECT($C$5&amp;"生成成长"),5))*(VLOOKUP($B$5,标准坦克设计!$B$24:$U$30,MATCH("对"&amp;LEFT($C$5,2)&amp;"输出",标准坦克设计!$B$23:$U$23,0)))*(VLOOKUP($B156,INDIRECT($B$5&amp;"生成成长"),3))*(VLOOKUP($B$5,标准坦克设计!$B$14:$K$20,9)/30))</f>
        <v>4.3830067334466287</v>
      </c>
      <c r="EB156" s="172">
        <f ca="1">(VLOOKUP(EB$72,INDIRECT($C$5&amp;"生成成长"),2))/((VLOOKUP($B156,INDIRECT($B$5&amp;"生成成长"),4))/(VLOOKUP(EB$72,INDIRECT($C$5&amp;"生成成长"),5))*(VLOOKUP($B$5,标准坦克设计!$B$24:$U$30,MATCH("对"&amp;LEFT($C$5,2)&amp;"输出",标准坦克设计!$B$23:$U$23,0)))*(VLOOKUP($B156,INDIRECT($B$5&amp;"生成成长"),3))*(VLOOKUP($B$5,标准坦克设计!$B$14:$K$20,9)/30))</f>
        <v>4.8083024161242287</v>
      </c>
      <c r="EC156" s="172">
        <f ca="1">(VLOOKUP(EC$72,INDIRECT($C$5&amp;"生成成长"),2))/((VLOOKUP($B156,INDIRECT($B$5&amp;"生成成长"),4))/(VLOOKUP(EC$72,INDIRECT($C$5&amp;"生成成长"),5))*(VLOOKUP($B$5,标准坦克设计!$B$24:$U$30,MATCH("对"&amp;LEFT($C$5,2)&amp;"输出",标准坦克设计!$B$23:$U$23,0)))*(VLOOKUP($B156,INDIRECT($B$5&amp;"生成成长"),3))*(VLOOKUP($B$5,标准坦克设计!$B$14:$K$20,9)/30))</f>
        <v>5.2532877137406064</v>
      </c>
      <c r="ED156" s="172">
        <f ca="1">(VLOOKUP(ED$72,INDIRECT($C$5&amp;"生成成长"),2))/((VLOOKUP($B156,INDIRECT($B$5&amp;"生成成长"),4))/(VLOOKUP(ED$72,INDIRECT($C$5&amp;"生成成长"),5))*(VLOOKUP($B$5,标准坦克设计!$B$24:$U$30,MATCH("对"&amp;LEFT($C$5,2)&amp;"输出",标准坦克设计!$B$23:$U$23,0)))*(VLOOKUP($B156,INDIRECT($B$5&amp;"生成成长"),3))*(VLOOKUP($B$5,标准坦克设计!$B$14:$K$20,9)/30))</f>
        <v>5.7179626262957619</v>
      </c>
      <c r="EE156" s="172">
        <f ca="1">(VLOOKUP(EE$72,INDIRECT($C$5&amp;"生成成长"),2))/((VLOOKUP($B156,INDIRECT($B$5&amp;"生成成长"),4))/(VLOOKUP(EE$72,INDIRECT($C$5&amp;"生成成长"),5))*(VLOOKUP($B$5,标准坦克设计!$B$24:$U$30,MATCH("对"&amp;LEFT($C$5,2)&amp;"输出",标准坦克设计!$B$23:$U$23,0)))*(VLOOKUP($B156,INDIRECT($B$5&amp;"生成成长"),3))*(VLOOKUP($B$5,标准坦克设计!$B$14:$K$20,9)/30))</f>
        <v>6.2023271537896951</v>
      </c>
      <c r="EF156" s="172">
        <f ca="1">(VLOOKUP(EF$72,INDIRECT($C$5&amp;"生成成长"),2))/((VLOOKUP($B156,INDIRECT($B$5&amp;"生成成长"),4))/(VLOOKUP(EF$72,INDIRECT($C$5&amp;"生成成长"),5))*(VLOOKUP($B$5,标准坦克设计!$B$24:$U$30,MATCH("对"&amp;LEFT($C$5,2)&amp;"输出",标准坦克设计!$B$23:$U$23,0)))*(VLOOKUP($B156,INDIRECT($B$5&amp;"生成成长"),3))*(VLOOKUP($B$5,标准坦克设计!$B$14:$K$20,9)/30))</f>
        <v>6.7063812962224061</v>
      </c>
      <c r="EG156" s="172">
        <f ca="1">(VLOOKUP(EG$72,INDIRECT($C$5&amp;"生成成长"),2))/((VLOOKUP($B156,INDIRECT($B$5&amp;"生成成长"),4))/(VLOOKUP(EG$72,INDIRECT($C$5&amp;"生成成长"),5))*(VLOOKUP($B$5,标准坦克设计!$B$24:$U$30,MATCH("对"&amp;LEFT($C$5,2)&amp;"输出",标准坦克设计!$B$23:$U$23,0)))*(VLOOKUP($B156,INDIRECT($B$5&amp;"生成成长"),3))*(VLOOKUP($B$5,标准坦克设计!$B$14:$K$20,9)/30))</f>
        <v>7.2301250535938966</v>
      </c>
      <c r="EH156" s="172">
        <f ca="1">(VLOOKUP(EH$72,INDIRECT($C$5&amp;"生成成长"),2))/((VLOOKUP($B156,INDIRECT($B$5&amp;"生成成长"),4))/(VLOOKUP(EH$72,INDIRECT($C$5&amp;"生成成长"),5))*(VLOOKUP($B$5,标准坦克设计!$B$24:$U$30,MATCH("对"&amp;LEFT($C$5,2)&amp;"输出",标准坦克设计!$B$23:$U$23,0)))*(VLOOKUP($B156,INDIRECT($B$5&amp;"生成成长"),3))*(VLOOKUP($B$5,标准坦克设计!$B$14:$K$20,9)/30))</f>
        <v>7.7735584259041612</v>
      </c>
      <c r="EI156" s="172">
        <f ca="1">(VLOOKUP(EI$72,INDIRECT($C$5&amp;"生成成长"),2))/((VLOOKUP($B156,INDIRECT($B$5&amp;"生成成长"),4))/(VLOOKUP(EI$72,INDIRECT($C$5&amp;"生成成长"),5))*(VLOOKUP($B$5,标准坦克设计!$B$24:$U$30,MATCH("对"&amp;LEFT($C$5,2)&amp;"输出",标准坦克设计!$B$23:$U$23,0)))*(VLOOKUP($B156,INDIRECT($B$5&amp;"生成成长"),3))*(VLOOKUP($B$5,标准坦克设计!$B$14:$K$20,9)/30))</f>
        <v>8.3366814131532081</v>
      </c>
      <c r="EJ156" s="172">
        <f ca="1">(VLOOKUP(EJ$72,INDIRECT($C$5&amp;"生成成长"),2))/((VLOOKUP($B156,INDIRECT($B$5&amp;"生成成长"),4))/(VLOOKUP(EJ$72,INDIRECT($C$5&amp;"生成成长"),5))*(VLOOKUP($B$5,标准坦克设计!$B$24:$U$30,MATCH("对"&amp;LEFT($C$5,2)&amp;"输出",标准坦克设计!$B$23:$U$23,0)))*(VLOOKUP($B156,INDIRECT($B$5&amp;"生成成长"),3))*(VLOOKUP($B$5,标准坦克设计!$B$14:$K$20,9)/30))</f>
        <v>8.9194940153410318</v>
      </c>
      <c r="EK156" s="172">
        <f ca="1">(VLOOKUP(EK$72,INDIRECT($C$5&amp;"生成成长"),2))/((VLOOKUP($B156,INDIRECT($B$5&amp;"生成成长"),4))/(VLOOKUP(EK$72,INDIRECT($C$5&amp;"生成成长"),5))*(VLOOKUP($B$5,标准坦克设计!$B$24:$U$30,MATCH("对"&amp;LEFT($C$5,2)&amp;"输出",标准坦克设计!$B$23:$U$23,0)))*(VLOOKUP($B156,INDIRECT($B$5&amp;"生成成长"),3))*(VLOOKUP($B$5,标准坦克设计!$B$14:$K$20,9)/30))</f>
        <v>9.6448594296856012</v>
      </c>
      <c r="EL156" s="172">
        <f ca="1">(VLOOKUP(EL$72,INDIRECT($C$5&amp;"生成成长"),2))/((VLOOKUP($B156,INDIRECT($B$5&amp;"生成成长"),4))/(VLOOKUP(EL$72,INDIRECT($C$5&amp;"生成成长"),5))*(VLOOKUP($B$5,标准坦克设计!$B$24:$U$30,MATCH("对"&amp;LEFT($C$5,2)&amp;"输出",标准坦克设计!$B$23:$U$23,0)))*(VLOOKUP($B156,INDIRECT($B$5&amp;"生成成长"),3))*(VLOOKUP($B$5,标准坦克设计!$B$14:$K$20,9)/30))</f>
        <v>10.398577889542016</v>
      </c>
      <c r="EM156" s="172">
        <f ca="1">(VLOOKUP(EM$72,INDIRECT($C$5&amp;"生成成长"),2))/((VLOOKUP($B156,INDIRECT($B$5&amp;"生成成长"),4))/(VLOOKUP(EM$72,INDIRECT($C$5&amp;"生成成长"),5))*(VLOOKUP($B$5,标准坦克设计!$B$24:$U$30,MATCH("对"&amp;LEFT($C$5,2)&amp;"输出",标准坦克设计!$B$23:$U$23,0)))*(VLOOKUP($B156,INDIRECT($B$5&amp;"生成成长"),3))*(VLOOKUP($B$5,标准坦克设计!$B$14:$K$20,9)/30))</f>
        <v>11.180649394910269</v>
      </c>
      <c r="EN156" s="172">
        <f ca="1">(VLOOKUP(EN$72,INDIRECT($C$5&amp;"生成成长"),2))/((VLOOKUP($B156,INDIRECT($B$5&amp;"生成成长"),4))/(VLOOKUP(EN$72,INDIRECT($C$5&amp;"生成成长"),5))*(VLOOKUP($B$5,标准坦克设计!$B$24:$U$30,MATCH("对"&amp;LEFT($C$5,2)&amp;"输出",标准坦克设计!$B$23:$U$23,0)))*(VLOOKUP($B156,INDIRECT($B$5&amp;"生成成长"),3))*(VLOOKUP($B$5,标准坦克设计!$B$14:$K$20,9)/30))</f>
        <v>11.991073945790365</v>
      </c>
      <c r="EO156" s="172">
        <f ca="1">(VLOOKUP(EO$72,INDIRECT($C$5&amp;"生成成长"),2))/((VLOOKUP($B156,INDIRECT($B$5&amp;"生成成长"),4))/(VLOOKUP(EO$72,INDIRECT($C$5&amp;"生成成长"),5))*(VLOOKUP($B$5,标准坦克设计!$B$24:$U$30,MATCH("对"&amp;LEFT($C$5,2)&amp;"输出",标准坦克设计!$B$23:$U$23,0)))*(VLOOKUP($B156,INDIRECT($B$5&amp;"生成成长"),3))*(VLOOKUP($B$5,标准坦克设计!$B$14:$K$20,9)/30))</f>
        <v>12.829851542182295</v>
      </c>
      <c r="EP156" s="172">
        <f ca="1">(VLOOKUP(EP$72,INDIRECT($C$5&amp;"生成成长"),2))/((VLOOKUP($B156,INDIRECT($B$5&amp;"生成成长"),4))/(VLOOKUP(EP$72,INDIRECT($C$5&amp;"生成成长"),5))*(VLOOKUP($B$5,标准坦克设计!$B$24:$U$30,MATCH("对"&amp;LEFT($C$5,2)&amp;"输出",标准坦克设计!$B$23:$U$23,0)))*(VLOOKUP($B156,INDIRECT($B$5&amp;"生成成长"),3))*(VLOOKUP($B$5,标准坦克设计!$B$14:$K$20,9)/30))</f>
        <v>13.696982184086071</v>
      </c>
      <c r="EQ156" s="172">
        <f ca="1">(VLOOKUP(EQ$72,INDIRECT($C$5&amp;"生成成长"),2))/((VLOOKUP($B156,INDIRECT($B$5&amp;"生成成长"),4))/(VLOOKUP(EQ$72,INDIRECT($C$5&amp;"生成成长"),5))*(VLOOKUP($B$5,标准坦克设计!$B$24:$U$30,MATCH("对"&amp;LEFT($C$5,2)&amp;"输出",标准坦克设计!$B$23:$U$23,0)))*(VLOOKUP($B156,INDIRECT($B$5&amp;"生成成长"),3))*(VLOOKUP($B$5,标准坦克设计!$B$14:$K$20,9)/30))</f>
        <v>6.0549503859729441</v>
      </c>
      <c r="ER156" s="172">
        <f ca="1">(VLOOKUP(ER$72,INDIRECT($C$5&amp;"生成成长"),2))/((VLOOKUP($B156,INDIRECT($B$5&amp;"生成成长"),4))/(VLOOKUP(ER$72,INDIRECT($C$5&amp;"生成成长"),5))*(VLOOKUP($B$5,标准坦克设计!$B$24:$U$30,MATCH("对"&amp;LEFT($C$5,2)&amp;"输出",标准坦克设计!$B$23:$U$23,0)))*(VLOOKUP($B156,INDIRECT($B$5&amp;"生成成长"),3))*(VLOOKUP($B$5,标准坦克设计!$B$14:$K$20,9)/30))</f>
        <v>6.6039952985407631</v>
      </c>
      <c r="ES156" s="172">
        <f ca="1">(VLOOKUP(ES$72,INDIRECT($C$5&amp;"生成成长"),2))/((VLOOKUP($B156,INDIRECT($B$5&amp;"生成成长"),4))/(VLOOKUP(ES$72,INDIRECT($C$5&amp;"生成成长"),5))*(VLOOKUP($B$5,标准坦克设计!$B$24:$U$30,MATCH("对"&amp;LEFT($C$5,2)&amp;"输出",标准坦克设计!$B$23:$U$23,0)))*(VLOOKUP($B156,INDIRECT($B$5&amp;"生成成长"),3))*(VLOOKUP($B$5,标准坦克设计!$B$14:$K$20,9)/30))</f>
        <v>7.1768646451845015</v>
      </c>
      <c r="ET156" s="172">
        <f ca="1">(VLOOKUP(ET$72,INDIRECT($C$5&amp;"生成成长"),2))/((VLOOKUP($B156,INDIRECT($B$5&amp;"生成成长"),4))/(VLOOKUP(ET$72,INDIRECT($C$5&amp;"生成成长"),5))*(VLOOKUP($B$5,标准坦克设计!$B$24:$U$30,MATCH("对"&amp;LEFT($C$5,2)&amp;"输出",标准坦克设计!$B$23:$U$23,0)))*(VLOOKUP($B156,INDIRECT($B$5&amp;"生成成长"),3))*(VLOOKUP($B$5,标准坦克设计!$B$14:$K$20,9)/30))</f>
        <v>7.7735584259041612</v>
      </c>
      <c r="EU156" s="172">
        <f ca="1">(VLOOKUP(EU$72,INDIRECT($C$5&amp;"生成成长"),2))/((VLOOKUP($B156,INDIRECT($B$5&amp;"生成成长"),4))/(VLOOKUP(EU$72,INDIRECT($C$5&amp;"生成成长"),5))*(VLOOKUP($B$5,标准坦克设计!$B$24:$U$30,MATCH("对"&amp;LEFT($C$5,2)&amp;"输出",标准坦克设计!$B$23:$U$23,0)))*(VLOOKUP($B156,INDIRECT($B$5&amp;"生成成长"),3))*(VLOOKUP($B$5,标准坦克设计!$B$14:$K$20,9)/30))</f>
        <v>8.394076640699744</v>
      </c>
      <c r="EV156" s="172">
        <f ca="1">(VLOOKUP(EV$72,INDIRECT($C$5&amp;"生成成长"),2))/((VLOOKUP($B156,INDIRECT($B$5&amp;"生成成长"),4))/(VLOOKUP(EV$72,INDIRECT($C$5&amp;"生成成长"),5))*(VLOOKUP($B$5,标准坦克设计!$B$24:$U$30,MATCH("对"&amp;LEFT($C$5,2)&amp;"输出",标准坦克设计!$B$23:$U$23,0)))*(VLOOKUP($B156,INDIRECT($B$5&amp;"生成成长"),3))*(VLOOKUP($B$5,标准坦克设计!$B$14:$K$20,9)/30))</f>
        <v>9.0384192895712481</v>
      </c>
      <c r="EW156" s="172">
        <f ca="1">(VLOOKUP(EW$72,INDIRECT($C$5&amp;"生成成长"),2))/((VLOOKUP($B156,INDIRECT($B$5&amp;"生成成长"),4))/(VLOOKUP(EW$72,INDIRECT($C$5&amp;"生成成长"),5))*(VLOOKUP($B$5,标准坦克设计!$B$24:$U$30,MATCH("对"&amp;LEFT($C$5,2)&amp;"输出",标准坦克设计!$B$23:$U$23,0)))*(VLOOKUP($B156,INDIRECT($B$5&amp;"生成成长"),3))*(VLOOKUP($B$5,标准坦克设计!$B$14:$K$20,9)/30))</f>
        <v>9.7065863725186716</v>
      </c>
      <c r="EX156" s="172">
        <f ca="1">(VLOOKUP(EX$72,INDIRECT($C$5&amp;"生成成长"),2))/((VLOOKUP($B156,INDIRECT($B$5&amp;"生成成长"),4))/(VLOOKUP(EX$72,INDIRECT($C$5&amp;"生成成长"),5))*(VLOOKUP($B$5,标准坦克设计!$B$24:$U$30,MATCH("对"&amp;LEFT($C$5,2)&amp;"输出",标准坦克设计!$B$23:$U$23,0)))*(VLOOKUP($B156,INDIRECT($B$5&amp;"生成成长"),3))*(VLOOKUP($B$5,标准坦克设计!$B$14:$K$20,9)/30))</f>
        <v>10.398577889542016</v>
      </c>
      <c r="EY156" s="172">
        <f ca="1">(VLOOKUP(EY$72,INDIRECT($C$5&amp;"生成成长"),2))/((VLOOKUP($B156,INDIRECT($B$5&amp;"生成成长"),4))/(VLOOKUP(EY$72,INDIRECT($C$5&amp;"生成成长"),5))*(VLOOKUP($B$5,标准坦克设计!$B$24:$U$30,MATCH("对"&amp;LEFT($C$5,2)&amp;"输出",标准坦克设计!$B$23:$U$23,0)))*(VLOOKUP($B156,INDIRECT($B$5&amp;"生成成长"),3))*(VLOOKUP($B$5,标准坦克设计!$B$14:$K$20,9)/30))</f>
        <v>11.114393840641283</v>
      </c>
      <c r="EZ156" s="172">
        <f ca="1">(VLOOKUP(EZ$72,INDIRECT($C$5&amp;"生成成长"),2))/((VLOOKUP($B156,INDIRECT($B$5&amp;"生成成长"),4))/(VLOOKUP(EZ$72,INDIRECT($C$5&amp;"生成成长"),5))*(VLOOKUP($B$5,标准坦克设计!$B$24:$U$30,MATCH("对"&amp;LEFT($C$5,2)&amp;"输出",标准坦克设计!$B$23:$U$23,0)))*(VLOOKUP($B156,INDIRECT($B$5&amp;"生成成长"),3))*(VLOOKUP($B$5,标准坦克设计!$B$14:$K$20,9)/30))</f>
        <v>11.85403422581647</v>
      </c>
      <c r="FA156" s="172">
        <f ca="1">(VLOOKUP(FA$72,INDIRECT($C$5&amp;"生成成长"),2))/((VLOOKUP($B156,INDIRECT($B$5&amp;"生成成长"),4))/(VLOOKUP(FA$72,INDIRECT($C$5&amp;"生成成长"),5))*(VLOOKUP($B$5,标准坦克设计!$B$24:$U$30,MATCH("对"&amp;LEFT($C$5,2)&amp;"输出",标准坦克设计!$B$23:$U$23,0)))*(VLOOKUP($B156,INDIRECT($B$5&amp;"生成成长"),3))*(VLOOKUP($B$5,标准坦克设计!$B$14:$K$20,9)/30))</f>
        <v>12.61749904506758</v>
      </c>
      <c r="FB156" s="172">
        <f ca="1">(VLOOKUP(FB$72,INDIRECT($C$5&amp;"生成成长"),2))/((VLOOKUP($B156,INDIRECT($B$5&amp;"生成成长"),4))/(VLOOKUP(FB$72,INDIRECT($C$5&amp;"生成成长"),5))*(VLOOKUP($B$5,标准坦克设计!$B$24:$U$30,MATCH("对"&amp;LEFT($C$5,2)&amp;"输出",标准坦克设计!$B$23:$U$23,0)))*(VLOOKUP($B156,INDIRECT($B$5&amp;"生成成长"),3))*(VLOOKUP($B$5,标准坦克设计!$B$14:$K$20,9)/30))</f>
        <v>13.404788298394609</v>
      </c>
      <c r="FC156" s="172">
        <f ca="1">(VLOOKUP(FC$72,INDIRECT($C$5&amp;"生成成长"),2))/((VLOOKUP($B156,INDIRECT($B$5&amp;"生成成长"),4))/(VLOOKUP(FC$72,INDIRECT($C$5&amp;"生成成长"),5))*(VLOOKUP($B$5,标准坦克设计!$B$24:$U$30,MATCH("对"&amp;LEFT($C$5,2)&amp;"输出",标准坦克设计!$B$23:$U$23,0)))*(VLOOKUP($B156,INDIRECT($B$5&amp;"生成成长"),3))*(VLOOKUP($B$5,标准坦克设计!$B$14:$K$20,9)/30))</f>
        <v>14.21590198579756</v>
      </c>
      <c r="FD156" s="172">
        <f ca="1">(VLOOKUP(FD$72,INDIRECT($C$5&amp;"生成成长"),2))/((VLOOKUP($B156,INDIRECT($B$5&amp;"生成成长"),4))/(VLOOKUP(FD$72,INDIRECT($C$5&amp;"生成成长"),5))*(VLOOKUP($B$5,标准坦克设计!$B$24:$U$30,MATCH("对"&amp;LEFT($C$5,2)&amp;"输出",标准坦克设计!$B$23:$U$23,0)))*(VLOOKUP($B156,INDIRECT($B$5&amp;"生成成长"),3))*(VLOOKUP($B$5,标准坦克设计!$B$14:$K$20,9)/30))</f>
        <v>15.050840107276432</v>
      </c>
      <c r="FE156" s="172">
        <f ca="1">(VLOOKUP(FE$72,INDIRECT($C$5&amp;"生成成长"),2))/((VLOOKUP($B156,INDIRECT($B$5&amp;"生成成长"),4))/(VLOOKUP(FE$72,INDIRECT($C$5&amp;"生成成长"),5))*(VLOOKUP($B$5,标准坦克设计!$B$24:$U$30,MATCH("对"&amp;LEFT($C$5,2)&amp;"输出",标准坦克设计!$B$23:$U$23,0)))*(VLOOKUP($B156,INDIRECT($B$5&amp;"生成成长"),3))*(VLOOKUP($B$5,标准坦克设计!$B$14:$K$20,9)/30))</f>
        <v>16.068300959237774</v>
      </c>
      <c r="FF156" s="172">
        <f ca="1">(VLOOKUP(FF$72,INDIRECT($C$5&amp;"生成成长"),2))/((VLOOKUP($B156,INDIRECT($B$5&amp;"生成成长"),4))/(VLOOKUP(FF$72,INDIRECT($C$5&amp;"生成成长"),5))*(VLOOKUP($B$5,标准坦克设计!$B$24:$U$30,MATCH("对"&amp;LEFT($C$5,2)&amp;"输出",标准坦克设计!$B$23:$U$23,0)))*(VLOOKUP($B156,INDIRECT($B$5&amp;"生成成长"),3))*(VLOOKUP($B$5,标准坦克设计!$B$14:$K$20,9)/30))</f>
        <v>17.119037260445648</v>
      </c>
      <c r="FG156" s="172">
        <f ca="1">(VLOOKUP(FG$72,INDIRECT($C$5&amp;"生成成长"),2))/((VLOOKUP($B156,INDIRECT($B$5&amp;"生成成长"),4))/(VLOOKUP(FG$72,INDIRECT($C$5&amp;"生成成长"),5))*(VLOOKUP($B$5,标准坦克设计!$B$24:$U$30,MATCH("对"&amp;LEFT($C$5,2)&amp;"输出",标准坦克设计!$B$23:$U$23,0)))*(VLOOKUP($B156,INDIRECT($B$5&amp;"生成成长"),3))*(VLOOKUP($B$5,标准坦克设计!$B$14:$K$20,9)/30))</f>
        <v>18.20304901090006</v>
      </c>
      <c r="FH156" s="172">
        <f ca="1">(VLOOKUP(FH$72,INDIRECT($C$5&amp;"生成成长"),2))/((VLOOKUP($B156,INDIRECT($B$5&amp;"生成成长"),4))/(VLOOKUP(FH$72,INDIRECT($C$5&amp;"生成成长"),5))*(VLOOKUP($B$5,标准坦克设计!$B$24:$U$30,MATCH("对"&amp;LEFT($C$5,2)&amp;"输出",标准坦克设计!$B$23:$U$23,0)))*(VLOOKUP($B156,INDIRECT($B$5&amp;"生成成长"),3))*(VLOOKUP($B$5,标准坦克设计!$B$14:$K$20,9)/30))</f>
        <v>19.320336210601006</v>
      </c>
      <c r="FI156" s="172">
        <f ca="1">(VLOOKUP(FI$72,INDIRECT($C$5&amp;"生成成长"),2))/((VLOOKUP($B156,INDIRECT($B$5&amp;"生成成长"),4))/(VLOOKUP(FI$72,INDIRECT($C$5&amp;"生成成长"),5))*(VLOOKUP($B$5,标准坦克设计!$B$24:$U$30,MATCH("对"&amp;LEFT($C$5,2)&amp;"输出",标准坦克设计!$B$23:$U$23,0)))*(VLOOKUP($B156,INDIRECT($B$5&amp;"生成成长"),3))*(VLOOKUP($B$5,标准坦克设计!$B$14:$K$20,9)/30))</f>
        <v>20.470898859548488</v>
      </c>
      <c r="FJ156" s="172">
        <f ca="1">(VLOOKUP(FJ$72,INDIRECT($C$5&amp;"生成成长"),2))/((VLOOKUP($B156,INDIRECT($B$5&amp;"生成成长"),4))/(VLOOKUP(FJ$72,INDIRECT($C$5&amp;"生成成长"),5))*(VLOOKUP($B$5,标准坦克设计!$B$24:$U$30,MATCH("对"&amp;LEFT($C$5,2)&amp;"输出",标准坦克设计!$B$23:$U$23,0)))*(VLOOKUP($B156,INDIRECT($B$5&amp;"生成成长"),3))*(VLOOKUP($B$5,标准坦克设计!$B$14:$K$20,9)/30))</f>
        <v>21.654736957742504</v>
      </c>
      <c r="FK156" s="172">
        <f ca="1">(VLOOKUP(FK$72,INDIRECT($C$5&amp;"生成成长"),2))/((VLOOKUP($B156,INDIRECT($B$5&amp;"生成成长"),4))/(VLOOKUP(FK$72,INDIRECT($C$5&amp;"生成成长"),5))*(VLOOKUP($B$5,标准坦克设计!$B$24:$U$30,MATCH("对"&amp;LEFT($C$5,2)&amp;"输出",标准坦克设计!$B$23:$U$23,0)))*(VLOOKUP($B156,INDIRECT($B$5&amp;"生成成长"),3))*(VLOOKUP($B$5,标准坦克设计!$B$14:$K$20,9)/30))</f>
        <v>22.871850505183048</v>
      </c>
    </row>
    <row r="157" spans="1:167" x14ac:dyDescent="0.15">
      <c r="A157" s="170" t="str">
        <f t="shared" si="12"/>
        <v>T4中品质13级</v>
      </c>
      <c r="B157" s="171">
        <v>20413</v>
      </c>
      <c r="C157" s="172">
        <f ca="1">(VLOOKUP(C$72,INDIRECT($C$5&amp;"生成成长"),2))/((VLOOKUP($B157,INDIRECT($B$5&amp;"生成成长"),4))/(VLOOKUP(C$72,INDIRECT($C$5&amp;"生成成长"),5))*(VLOOKUP($B$5,标准坦克设计!$B$24:$U$30,MATCH("对"&amp;LEFT($C$5,2)&amp;"输出",标准坦克设计!$B$23:$U$23,0)))*(VLOOKUP($B157,INDIRECT($B$5&amp;"生成成长"),3))*(VLOOKUP($B$5,标准坦克设计!$B$14:$K$20,9)/30))</f>
        <v>0.91389830532733241</v>
      </c>
      <c r="D157" s="172">
        <f ca="1">(VLOOKUP(D$72,INDIRECT($C$5&amp;"生成成长"),2))/((VLOOKUP($B157,INDIRECT($B$5&amp;"生成成长"),4))/(VLOOKUP(D$72,INDIRECT($C$5&amp;"生成成长"),5))*(VLOOKUP($B$5,标准坦克设计!$B$24:$U$30,MATCH("对"&amp;LEFT($C$5,2)&amp;"输出",标准坦克设计!$B$23:$U$23,0)))*(VLOOKUP($B157,INDIRECT($B$5&amp;"生成成长"),3))*(VLOOKUP($B$5,标准坦克设计!$B$14:$K$20,9)/30))</f>
        <v>1.0268561358657908</v>
      </c>
      <c r="E157" s="172">
        <f ca="1">(VLOOKUP(E$72,INDIRECT($C$5&amp;"生成成长"),2))/((VLOOKUP($B157,INDIRECT($B$5&amp;"生成成长"),4))/(VLOOKUP(E$72,INDIRECT($C$5&amp;"生成成长"),5))*(VLOOKUP($B$5,标准坦克设计!$B$24:$U$30,MATCH("对"&amp;LEFT($C$5,2)&amp;"输出",标准坦克设计!$B$23:$U$23,0)))*(VLOOKUP($B157,INDIRECT($B$5&amp;"生成成长"),3))*(VLOOKUP($B$5,标准坦克设计!$B$14:$K$20,9)/30))</f>
        <v>1.1463940342026055</v>
      </c>
      <c r="F157" s="172">
        <f ca="1">(VLOOKUP(F$72,INDIRECT($C$5&amp;"生成成长"),2))/((VLOOKUP($B157,INDIRECT($B$5&amp;"生成成长"),4))/(VLOOKUP(F$72,INDIRECT($C$5&amp;"生成成长"),5))*(VLOOKUP($B$5,标准坦克设计!$B$24:$U$30,MATCH("对"&amp;LEFT($C$5,2)&amp;"输出",标准坦克设计!$B$23:$U$23,0)))*(VLOOKUP($B157,INDIRECT($B$5&amp;"生成成长"),3))*(VLOOKUP($B$5,标准坦克设计!$B$14:$K$20,9)/30))</f>
        <v>1.2725120003377777</v>
      </c>
      <c r="G157" s="172">
        <f ca="1">(VLOOKUP(G$72,INDIRECT($C$5&amp;"生成成长"),2))/((VLOOKUP($B157,INDIRECT($B$5&amp;"生成成长"),4))/(VLOOKUP(G$72,INDIRECT($C$5&amp;"生成成长"),5))*(VLOOKUP($B$5,标准坦克设计!$B$24:$U$30,MATCH("对"&amp;LEFT($C$5,2)&amp;"输出",标准坦克设计!$B$23:$U$23,0)))*(VLOOKUP($B157,INDIRECT($B$5&amp;"生成成长"),3))*(VLOOKUP($B$5,标准坦克设计!$B$14:$K$20,9)/30))</f>
        <v>1.4052100342713063</v>
      </c>
      <c r="H157" s="172">
        <f ca="1">(VLOOKUP(H$72,INDIRECT($C$5&amp;"生成成长"),2))/((VLOOKUP($B157,INDIRECT($B$5&amp;"生成成长"),4))/(VLOOKUP(H$72,INDIRECT($C$5&amp;"生成成长"),5))*(VLOOKUP($B$5,标准坦克设计!$B$24:$U$30,MATCH("对"&amp;LEFT($C$5,2)&amp;"输出",标准坦克设计!$B$23:$U$23,0)))*(VLOOKUP($B157,INDIRECT($B$5&amp;"生成成长"),3))*(VLOOKUP($B$5,标准坦克设计!$B$14:$K$20,9)/30))</f>
        <v>1.2297415596484584</v>
      </c>
      <c r="I157" s="172">
        <f ca="1">(VLOOKUP(I$72,INDIRECT($C$5&amp;"生成成长"),2))/((VLOOKUP($B157,INDIRECT($B$5&amp;"生成成长"),4))/(VLOOKUP(I$72,INDIRECT($C$5&amp;"生成成长"),5))*(VLOOKUP($B$5,标准坦克设计!$B$24:$U$30,MATCH("对"&amp;LEFT($C$5,2)&amp;"输出",标准坦克设计!$B$23:$U$23,0)))*(VLOOKUP($B157,INDIRECT($B$5&amp;"生成成长"),3))*(VLOOKUP($B$5,标准坦克设计!$B$14:$K$20,9)/30))</f>
        <v>1.4052100342713063</v>
      </c>
      <c r="J157" s="172">
        <f ca="1">(VLOOKUP(J$72,INDIRECT($C$5&amp;"生成成长"),2))/((VLOOKUP($B157,INDIRECT($B$5&amp;"生成成长"),4))/(VLOOKUP(J$72,INDIRECT($C$5&amp;"生成成长"),5))*(VLOOKUP($B$5,标准坦克设计!$B$24:$U$30,MATCH("对"&amp;LEFT($C$5,2)&amp;"输出",标准坦克设计!$B$23:$U$23,0)))*(VLOOKUP($B157,INDIRECT($B$5&amp;"生成成长"),3))*(VLOOKUP($B$5,标准坦克设计!$B$14:$K$20,9)/30))</f>
        <v>1.5923764072023441</v>
      </c>
      <c r="K157" s="172">
        <f ca="1">(VLOOKUP(K$72,INDIRECT($C$5&amp;"生成成长"),2))/((VLOOKUP($B157,INDIRECT($B$5&amp;"生成成长"),4))/(VLOOKUP(K$72,INDIRECT($C$5&amp;"生成成长"),5))*(VLOOKUP($B$5,标准坦克设计!$B$24:$U$30,MATCH("对"&amp;LEFT($C$5,2)&amp;"输出",标准坦克设计!$B$23:$U$23,0)))*(VLOOKUP($B157,INDIRECT($B$5&amp;"生成成长"),3))*(VLOOKUP($B$5,标准坦克设计!$B$14:$K$20,9)/30))</f>
        <v>1.7912406784415713</v>
      </c>
      <c r="L157" s="172">
        <f ca="1">(VLOOKUP(L$72,INDIRECT($C$5&amp;"生成成长"),2))/((VLOOKUP($B157,INDIRECT($B$5&amp;"生成成长"),4))/(VLOOKUP(L$72,INDIRECT($C$5&amp;"生成成长"),5))*(VLOOKUP($B$5,标准坦克设计!$B$24:$U$30,MATCH("对"&amp;LEFT($C$5,2)&amp;"输出",标准坦克设计!$B$23:$U$23,0)))*(VLOOKUP($B157,INDIRECT($B$5&amp;"生成成长"),3))*(VLOOKUP($B$5,标准坦克设计!$B$14:$K$20,9)/30))</f>
        <v>2.0018028479889884</v>
      </c>
      <c r="M157" s="172">
        <f ca="1">(VLOOKUP(M$72,INDIRECT($C$5&amp;"生成成长"),2))/((VLOOKUP($B157,INDIRECT($B$5&amp;"生成成长"),4))/(VLOOKUP(M$72,INDIRECT($C$5&amp;"生成成长"),5))*(VLOOKUP($B$5,标准坦克设计!$B$24:$U$30,MATCH("对"&amp;LEFT($C$5,2)&amp;"输出",标准坦克设计!$B$23:$U$23,0)))*(VLOOKUP($B157,INDIRECT($B$5&amp;"生成成长"),3))*(VLOOKUP($B$5,标准坦克设计!$B$14:$K$20,9)/30))</f>
        <v>2.2240629158445957</v>
      </c>
      <c r="N157" s="172">
        <f ca="1">(VLOOKUP(N$72,INDIRECT($C$5&amp;"生成成长"),2))/((VLOOKUP($B157,INDIRECT($B$5&amp;"生成成长"),4))/(VLOOKUP(N$72,INDIRECT($C$5&amp;"生成成长"),5))*(VLOOKUP($B$5,标准坦克设计!$B$24:$U$30,MATCH("对"&amp;LEFT($C$5,2)&amp;"输出",标准坦克设计!$B$23:$U$23,0)))*(VLOOKUP($B157,INDIRECT($B$5&amp;"生成成长"),3))*(VLOOKUP($B$5,标准坦克设计!$B$14:$K$20,9)/30))</f>
        <v>2.4580208820083929</v>
      </c>
      <c r="O157" s="172">
        <f ca="1">(VLOOKUP(O$72,INDIRECT($C$5&amp;"生成成长"),2))/((VLOOKUP($B157,INDIRECT($B$5&amp;"生成成长"),4))/(VLOOKUP(O$72,INDIRECT($C$5&amp;"生成成长"),5))*(VLOOKUP($B$5,标准坦克设计!$B$24:$U$30,MATCH("对"&amp;LEFT($C$5,2)&amp;"输出",标准坦克设计!$B$23:$U$23,0)))*(VLOOKUP($B157,INDIRECT($B$5&amp;"生成成长"),3))*(VLOOKUP($B$5,标准坦克设计!$B$14:$K$20,9)/30))</f>
        <v>1.8688306445638621</v>
      </c>
      <c r="P157" s="172">
        <f ca="1">(VLOOKUP(P$72,INDIRECT($C$5&amp;"生成成长"),2))/((VLOOKUP($B157,INDIRECT($B$5&amp;"生成成长"),4))/(VLOOKUP(P$72,INDIRECT($C$5&amp;"生成成长"),5))*(VLOOKUP($B$5,标准坦克设计!$B$24:$U$30,MATCH("对"&amp;LEFT($C$5,2)&amp;"输出",标准坦克设计!$B$23:$U$23,0)))*(VLOOKUP($B157,INDIRECT($B$5&amp;"生成成长"),3))*(VLOOKUP($B$5,标准坦克设计!$B$14:$K$20,9)/30))</f>
        <v>2.1114706446282687</v>
      </c>
      <c r="Q157" s="172">
        <f ca="1">(VLOOKUP(Q$72,INDIRECT($C$5&amp;"生成成长"),2))/((VLOOKUP($B157,INDIRECT($B$5&amp;"生成成长"),4))/(VLOOKUP(Q$72,INDIRECT($C$5&amp;"生成成长"),5))*(VLOOKUP($B$5,标准坦克设计!$B$24:$U$30,MATCH("对"&amp;LEFT($C$5,2)&amp;"输出",标准坦克设计!$B$23:$U$23,0)))*(VLOOKUP($B157,INDIRECT($B$5&amp;"生成成长"),3))*(VLOOKUP($B$5,标准坦克设计!$B$14:$K$20,9)/30))</f>
        <v>2.3689157972389783</v>
      </c>
      <c r="R157" s="172">
        <f ca="1">(VLOOKUP(R$72,INDIRECT($C$5&amp;"生成成长"),2))/((VLOOKUP($B157,INDIRECT($B$5&amp;"生成成长"),4))/(VLOOKUP(R$72,INDIRECT($C$5&amp;"生成成长"),5))*(VLOOKUP($B$5,标准坦克设计!$B$24:$U$30,MATCH("对"&amp;LEFT($C$5,2)&amp;"输出",标准坦克设计!$B$23:$U$23,0)))*(VLOOKUP($B157,INDIRECT($B$5&amp;"生成成长"),3))*(VLOOKUP($B$5,标准坦克设计!$B$14:$K$20,9)/30))</f>
        <v>2.6411661023959905</v>
      </c>
      <c r="S157" s="172">
        <f ca="1">(VLOOKUP(S$72,INDIRECT($C$5&amp;"生成成长"),2))/((VLOOKUP($B157,INDIRECT($B$5&amp;"生成成长"),4))/(VLOOKUP(S$72,INDIRECT($C$5&amp;"生成成长"),5))*(VLOOKUP($B$5,标准坦克设计!$B$24:$U$30,MATCH("对"&amp;LEFT($C$5,2)&amp;"输出",标准坦克设计!$B$23:$U$23,0)))*(VLOOKUP($B157,INDIRECT($B$5&amp;"生成成长"),3))*(VLOOKUP($B$5,标准坦克设计!$B$14:$K$20,9)/30))</f>
        <v>2.9282215600993058</v>
      </c>
      <c r="T157" s="172">
        <f ca="1">(VLOOKUP(T$72,INDIRECT($C$5&amp;"生成成长"),2))/((VLOOKUP($B157,INDIRECT($B$5&amp;"生成成长"),4))/(VLOOKUP(T$72,INDIRECT($C$5&amp;"生成成长"),5))*(VLOOKUP($B$5,标准坦克设计!$B$24:$U$30,MATCH("对"&amp;LEFT($C$5,2)&amp;"输出",标准坦克设计!$B$23:$U$23,0)))*(VLOOKUP($B157,INDIRECT($B$5&amp;"生成成长"),3))*(VLOOKUP($B$5,标准坦克设计!$B$14:$K$20,9)/30))</f>
        <v>3.2300821703489238</v>
      </c>
      <c r="U157" s="172">
        <f ca="1">(VLOOKUP(U$72,INDIRECT($C$5&amp;"生成成长"),2))/((VLOOKUP($B157,INDIRECT($B$5&amp;"生成成长"),4))/(VLOOKUP(U$72,INDIRECT($C$5&amp;"生成成长"),5))*(VLOOKUP($B$5,标准坦克设计!$B$24:$U$30,MATCH("对"&amp;LEFT($C$5,2)&amp;"输出",标准坦克设计!$B$23:$U$23,0)))*(VLOOKUP($B157,INDIRECT($B$5&amp;"生成成长"),3))*(VLOOKUP($B$5,标准坦克设计!$B$14:$K$20,9)/30))</f>
        <v>3.5467479331448444</v>
      </c>
      <c r="V157" s="172">
        <f ca="1">(VLOOKUP(V$72,INDIRECT($C$5&amp;"生成成长"),2))/((VLOOKUP($B157,INDIRECT($B$5&amp;"生成成长"),4))/(VLOOKUP(V$72,INDIRECT($C$5&amp;"生成成长"),5))*(VLOOKUP($B$5,标准坦克设计!$B$24:$U$30,MATCH("对"&amp;LEFT($C$5,2)&amp;"输出",标准坦克设计!$B$23:$U$23,0)))*(VLOOKUP($B157,INDIRECT($B$5&amp;"生成成长"),3))*(VLOOKUP($B$5,标准坦克设计!$B$14:$K$20,9)/30))</f>
        <v>3.8782188484870672</v>
      </c>
      <c r="W157" s="172">
        <f ca="1">(VLOOKUP(W$72,INDIRECT($C$5&amp;"生成成长"),2))/((VLOOKUP($B157,INDIRECT($B$5&amp;"生成成长"),4))/(VLOOKUP(W$72,INDIRECT($C$5&amp;"生成成长"),5))*(VLOOKUP($B$5,标准坦克设计!$B$24:$U$30,MATCH("对"&amp;LEFT($C$5,2)&amp;"输出",标准坦克设计!$B$23:$U$23,0)))*(VLOOKUP($B157,INDIRECT($B$5&amp;"生成成长"),3))*(VLOOKUP($B$5,标准坦克设计!$B$14:$K$20,9)/30))</f>
        <v>4.224494916375594</v>
      </c>
      <c r="X157" s="172">
        <f ca="1">(VLOOKUP(X$72,INDIRECT($C$5&amp;"生成成长"),2))/((VLOOKUP($B157,INDIRECT($B$5&amp;"生成成长"),4))/(VLOOKUP(X$72,INDIRECT($C$5&amp;"生成成长"),5))*(VLOOKUP($B$5,标准坦克设计!$B$24:$U$30,MATCH("对"&amp;LEFT($C$5,2)&amp;"输出",标准坦克设计!$B$23:$U$23,0)))*(VLOOKUP($B157,INDIRECT($B$5&amp;"生成成长"),3))*(VLOOKUP($B$5,标准坦克设计!$B$14:$K$20,9)/30))</f>
        <v>3.0605540347107034</v>
      </c>
      <c r="Y157" s="172">
        <f ca="1">(VLOOKUP(Y$72,INDIRECT($C$5&amp;"生成成长"),2))/((VLOOKUP($B157,INDIRECT($B$5&amp;"生成成长"),4))/(VLOOKUP(Y$72,INDIRECT($C$5&amp;"生成成长"),5))*(VLOOKUP($B$5,标准坦克设计!$B$24:$U$30,MATCH("对"&amp;LEFT($C$5,2)&amp;"输出",标准坦克设计!$B$23:$U$23,0)))*(VLOOKUP($B157,INDIRECT($B$5&amp;"生成成长"),3))*(VLOOKUP($B$5,标准坦克设计!$B$14:$K$20,9)/30))</f>
        <v>3.4041797975137809</v>
      </c>
      <c r="Z157" s="172">
        <f ca="1">(VLOOKUP(Z$72,INDIRECT($C$5&amp;"生成成长"),2))/((VLOOKUP($B157,INDIRECT($B$5&amp;"生成成长"),4))/(VLOOKUP(Z$72,INDIRECT($C$5&amp;"生成成长"),5))*(VLOOKUP($B$5,标准坦克设计!$B$24:$U$30,MATCH("对"&amp;LEFT($C$5,2)&amp;"输出",标准坦克设计!$B$23:$U$23,0)))*(VLOOKUP($B157,INDIRECT($B$5&amp;"生成成长"),3))*(VLOOKUP($B$5,标准坦克设计!$B$14:$K$20,9)/30))</f>
        <v>3.766083526423404</v>
      </c>
      <c r="AA157" s="172">
        <f ca="1">(VLOOKUP(AA$72,INDIRECT($C$5&amp;"生成成长"),2))/((VLOOKUP($B157,INDIRECT($B$5&amp;"生成成长"),4))/(VLOOKUP(AA$72,INDIRECT($C$5&amp;"生成成长"),5))*(VLOOKUP($B$5,标准坦克设计!$B$24:$U$30,MATCH("对"&amp;LEFT($C$5,2)&amp;"输出",标准坦克设计!$B$23:$U$23,0)))*(VLOOKUP($B157,INDIRECT($B$5&amp;"生成成长"),3))*(VLOOKUP($B$5,标准坦克设计!$B$14:$K$20,9)/30))</f>
        <v>4.1462652214395739</v>
      </c>
      <c r="AB157" s="172">
        <f ca="1">(VLOOKUP(AB$72,INDIRECT($C$5&amp;"生成成长"),2))/((VLOOKUP($B157,INDIRECT($B$5&amp;"生成成长"),4))/(VLOOKUP(AB$72,INDIRECT($C$5&amp;"生成成长"),5))*(VLOOKUP($B$5,标准坦克设计!$B$24:$U$30,MATCH("对"&amp;LEFT($C$5,2)&amp;"输出",标准坦克设计!$B$23:$U$23,0)))*(VLOOKUP($B157,INDIRECT($B$5&amp;"生成成长"),3))*(VLOOKUP($B$5,标准坦克设计!$B$14:$K$20,9)/30))</f>
        <v>4.5447248825622912</v>
      </c>
      <c r="AC157" s="172">
        <f ca="1">(VLOOKUP(AC$72,INDIRECT($C$5&amp;"生成成长"),2))/((VLOOKUP($B157,INDIRECT($B$5&amp;"生成成长"),4))/(VLOOKUP(AC$72,INDIRECT($C$5&amp;"生成成长"),5))*(VLOOKUP($B$5,标准坦克设计!$B$24:$U$30,MATCH("对"&amp;LEFT($C$5,2)&amp;"输出",标准坦克设计!$B$23:$U$23,0)))*(VLOOKUP($B157,INDIRECT($B$5&amp;"生成成长"),3))*(VLOOKUP($B$5,标准坦克设计!$B$14:$K$20,9)/30))</f>
        <v>4.9614625097915548</v>
      </c>
      <c r="AD157" s="172">
        <f ca="1">(VLOOKUP(AD$72,INDIRECT($C$5&amp;"生成成长"),2))/((VLOOKUP($B157,INDIRECT($B$5&amp;"生成成长"),4))/(VLOOKUP(AD$72,INDIRECT($C$5&amp;"生成成长"),5))*(VLOOKUP($B$5,标准坦克设计!$B$24:$U$30,MATCH("对"&amp;LEFT($C$5,2)&amp;"输出",标准坦克设计!$B$23:$U$23,0)))*(VLOOKUP($B157,INDIRECT($B$5&amp;"生成成长"),3))*(VLOOKUP($B$5,标准坦克设计!$B$14:$K$20,9)/30))</f>
        <v>5.3964781031273645</v>
      </c>
      <c r="AE157" s="172">
        <f ca="1">(VLOOKUP(AE$72,INDIRECT($C$5&amp;"生成成长"),2))/((VLOOKUP($B157,INDIRECT($B$5&amp;"生成成长"),4))/(VLOOKUP(AE$72,INDIRECT($C$5&amp;"生成成长"),5))*(VLOOKUP($B$5,标准坦克设计!$B$24:$U$30,MATCH("对"&amp;LEFT($C$5,2)&amp;"输出",标准坦克设计!$B$23:$U$23,0)))*(VLOOKUP($B157,INDIRECT($B$5&amp;"生成成长"),3))*(VLOOKUP($B$5,标准坦克设计!$B$14:$K$20,9)/30))</f>
        <v>5.8497716625697214</v>
      </c>
      <c r="AF157" s="172">
        <f ca="1">(VLOOKUP(AF$72,INDIRECT($C$5&amp;"生成成长"),2))/((VLOOKUP($B157,INDIRECT($B$5&amp;"生成成长"),4))/(VLOOKUP(AF$72,INDIRECT($C$5&amp;"生成成长"),5))*(VLOOKUP($B$5,标准坦克设计!$B$24:$U$30,MATCH("对"&amp;LEFT($C$5,2)&amp;"输出",标准坦克设计!$B$23:$U$23,0)))*(VLOOKUP($B157,INDIRECT($B$5&amp;"生成成长"),3))*(VLOOKUP($B$5,标准坦克设计!$B$14:$K$20,9)/30))</f>
        <v>6.3213431881186244</v>
      </c>
      <c r="AG157" s="172">
        <f ca="1">(VLOOKUP(AG$72,INDIRECT($C$5&amp;"生成成长"),2))/((VLOOKUP($B157,INDIRECT($B$5&amp;"生成成长"),4))/(VLOOKUP(AG$72,INDIRECT($C$5&amp;"生成成长"),5))*(VLOOKUP($B$5,标准坦克设计!$B$24:$U$30,MATCH("对"&amp;LEFT($C$5,2)&amp;"输出",标准坦克设计!$B$23:$U$23,0)))*(VLOOKUP($B157,INDIRECT($B$5&amp;"生成成长"),3))*(VLOOKUP($B$5,标准坦克设计!$B$14:$K$20,9)/30))</f>
        <v>6.8111926797740754</v>
      </c>
      <c r="AH157" s="172">
        <f ca="1">(VLOOKUP(AH$72,INDIRECT($C$5&amp;"生成成长"),2))/((VLOOKUP($B157,INDIRECT($B$5&amp;"生成成长"),4))/(VLOOKUP(AH$72,INDIRECT($C$5&amp;"生成成长"),5))*(VLOOKUP($B$5,标准坦克设计!$B$24:$U$30,MATCH("对"&amp;LEFT($C$5,2)&amp;"输出",标准坦克设计!$B$23:$U$23,0)))*(VLOOKUP($B157,INDIRECT($B$5&amp;"生成成长"),3))*(VLOOKUP($B$5,标准坦克设计!$B$14:$K$20,9)/30))</f>
        <v>7.3193201375360735</v>
      </c>
      <c r="AI157" s="172">
        <f ca="1">(VLOOKUP(AI$72,INDIRECT($C$5&amp;"生成成长"),2))/((VLOOKUP($B157,INDIRECT($B$5&amp;"生成成长"),4))/(VLOOKUP(AI$72,INDIRECT($C$5&amp;"生成成长"),5))*(VLOOKUP($B$5,标准坦克设计!$B$24:$U$30,MATCH("对"&amp;LEFT($C$5,2)&amp;"输出",标准坦克设计!$B$23:$U$23,0)))*(VLOOKUP($B157,INDIRECT($B$5&amp;"生成成长"),3))*(VLOOKUP($B$5,标准坦克设计!$B$14:$K$20,9)/30))</f>
        <v>5.1766855606961411</v>
      </c>
      <c r="AJ157" s="172">
        <f ca="1">(VLOOKUP(AJ$72,INDIRECT($C$5&amp;"生成成长"),2))/((VLOOKUP($B157,INDIRECT($B$5&amp;"生成成长"),4))/(VLOOKUP(AJ$72,INDIRECT($C$5&amp;"生成成长"),5))*(VLOOKUP($B$5,标准坦克设计!$B$24:$U$30,MATCH("对"&amp;LEFT($C$5,2)&amp;"输出",标准坦克设计!$B$23:$U$23,0)))*(VLOOKUP($B157,INDIRECT($B$5&amp;"生成成长"),3))*(VLOOKUP($B$5,标准坦克设计!$B$14:$K$20,9)/30))</f>
        <v>5.6662608828599925</v>
      </c>
      <c r="AK157" s="172">
        <f ca="1">(VLOOKUP(AK$72,INDIRECT($C$5&amp;"生成成长"),2))/((VLOOKUP($B157,INDIRECT($B$5&amp;"生成成长"),4))/(VLOOKUP(AK$72,INDIRECT($C$5&amp;"生成成长"),5))*(VLOOKUP($B$5,标准坦克设计!$B$24:$U$30,MATCH("对"&amp;LEFT($C$5,2)&amp;"输出",标准坦克设计!$B$23:$U$23,0)))*(VLOOKUP($B157,INDIRECT($B$5&amp;"生成成长"),3))*(VLOOKUP($B$5,标准坦克设计!$B$14:$K$20,9)/30))</f>
        <v>6.1779525440127658</v>
      </c>
      <c r="AL157" s="172">
        <f ca="1">(VLOOKUP(AL$72,INDIRECT($C$5&amp;"生成成长"),2))/((VLOOKUP($B157,INDIRECT($B$5&amp;"生成成长"),4))/(VLOOKUP(AL$72,INDIRECT($C$5&amp;"生成成长"),5))*(VLOOKUP($B$5,标准坦克设计!$B$24:$U$30,MATCH("对"&amp;LEFT($C$5,2)&amp;"输出",标准坦克设计!$B$23:$U$23,0)))*(VLOOKUP($B157,INDIRECT($B$5&amp;"生成成长"),3))*(VLOOKUP($B$5,标准坦克设计!$B$14:$K$20,9)/30))</f>
        <v>6.7117605441544619</v>
      </c>
      <c r="AM157" s="172">
        <f ca="1">(VLOOKUP(AM$72,INDIRECT($C$5&amp;"生成成长"),2))/((VLOOKUP($B157,INDIRECT($B$5&amp;"生成成长"),4))/(VLOOKUP(AM$72,INDIRECT($C$5&amp;"生成成长"),5))*(VLOOKUP($B$5,标准坦克设计!$B$24:$U$30,MATCH("对"&amp;LEFT($C$5,2)&amp;"输出",标准坦克设计!$B$23:$U$23,0)))*(VLOOKUP($B157,INDIRECT($B$5&amp;"生成成长"),3))*(VLOOKUP($B$5,标准坦克设计!$B$14:$K$20,9)/30))</f>
        <v>7.267684883285078</v>
      </c>
      <c r="AN157" s="172">
        <f ca="1">(VLOOKUP(AN$72,INDIRECT($C$5&amp;"生成成长"),2))/((VLOOKUP($B157,INDIRECT($B$5&amp;"生成成长"),4))/(VLOOKUP(AN$72,INDIRECT($C$5&amp;"生成成长"),5))*(VLOOKUP($B$5,标准坦克设计!$B$24:$U$30,MATCH("对"&amp;LEFT($C$5,2)&amp;"输出",标准坦克设计!$B$23:$U$23,0)))*(VLOOKUP($B157,INDIRECT($B$5&amp;"生成成长"),3))*(VLOOKUP($B$5,标准坦克设计!$B$14:$K$20,9)/30))</f>
        <v>7.8457255614046142</v>
      </c>
      <c r="AO157" s="172">
        <f ca="1">(VLOOKUP(AO$72,INDIRECT($C$5&amp;"生成成长"),2))/((VLOOKUP($B157,INDIRECT($B$5&amp;"生成成长"),4))/(VLOOKUP(AO$72,INDIRECT($C$5&amp;"生成成长"),5))*(VLOOKUP($B$5,标准坦克设计!$B$24:$U$30,MATCH("对"&amp;LEFT($C$5,2)&amp;"输出",标准坦克设计!$B$23:$U$23,0)))*(VLOOKUP($B157,INDIRECT($B$5&amp;"生成成长"),3))*(VLOOKUP($B$5,标准坦克设计!$B$14:$K$20,9)/30))</f>
        <v>8.4458825785130749</v>
      </c>
      <c r="AP157" s="172">
        <f ca="1">(VLOOKUP(AP$72,INDIRECT($C$5&amp;"生成成长"),2))/((VLOOKUP($B157,INDIRECT($B$5&amp;"生成成长"),4))/(VLOOKUP(AP$72,INDIRECT($C$5&amp;"生成成长"),5))*(VLOOKUP($B$5,标准坦克设计!$B$24:$U$30,MATCH("对"&amp;LEFT($C$5,2)&amp;"输出",标准坦克设计!$B$23:$U$23,0)))*(VLOOKUP($B157,INDIRECT($B$5&amp;"生成成长"),3))*(VLOOKUP($B$5,标准坦克设计!$B$14:$K$20,9)/30))</f>
        <v>9.0681559346104539</v>
      </c>
      <c r="AQ157" s="172">
        <f ca="1">(VLOOKUP(AQ$72,INDIRECT($C$5&amp;"生成成长"),2))/((VLOOKUP($B157,INDIRECT($B$5&amp;"生成成长"),4))/(VLOOKUP(AQ$72,INDIRECT($C$5&amp;"生成成长"),5))*(VLOOKUP($B$5,标准坦克设计!$B$24:$U$30,MATCH("对"&amp;LEFT($C$5,2)&amp;"输出",标准坦克设计!$B$23:$U$23,0)))*(VLOOKUP($B157,INDIRECT($B$5&amp;"生成成长"),3))*(VLOOKUP($B$5,标准坦克设计!$B$14:$K$20,9)/30))</f>
        <v>9.7125456296967556</v>
      </c>
      <c r="AR157" s="172">
        <f ca="1">(VLOOKUP(AR$72,INDIRECT($C$5&amp;"生成成长"),2))/((VLOOKUP($B157,INDIRECT($B$5&amp;"生成成长"),4))/(VLOOKUP(AR$72,INDIRECT($C$5&amp;"生成成长"),5))*(VLOOKUP($B$5,标准坦克设计!$B$24:$U$30,MATCH("对"&amp;LEFT($C$5,2)&amp;"输出",标准坦克设计!$B$23:$U$23,0)))*(VLOOKUP($B157,INDIRECT($B$5&amp;"生成成长"),3))*(VLOOKUP($B$5,标准坦克设计!$B$14:$K$20,9)/30))</f>
        <v>10.379051663771982</v>
      </c>
      <c r="AS157" s="172">
        <f ca="1">(VLOOKUP(AS$72,INDIRECT($C$5&amp;"生成成长"),2))/((VLOOKUP($B157,INDIRECT($B$5&amp;"生成成长"),4))/(VLOOKUP(AS$72,INDIRECT($C$5&amp;"生成成长"),5))*(VLOOKUP($B$5,标准坦克设计!$B$24:$U$30,MATCH("对"&amp;LEFT($C$5,2)&amp;"输出",标准坦克设计!$B$23:$U$23,0)))*(VLOOKUP($B157,INDIRECT($B$5&amp;"生成成长"),3))*(VLOOKUP($B$5,标准坦克设计!$B$14:$K$20,9)/30))</f>
        <v>11.067674036836125</v>
      </c>
      <c r="AT157" s="172">
        <f ca="1">(VLOOKUP(AT$72,INDIRECT($C$5&amp;"生成成长"),2))/((VLOOKUP($B157,INDIRECT($B$5&amp;"生成成长"),4))/(VLOOKUP(AT$72,INDIRECT($C$5&amp;"生成成长"),5))*(VLOOKUP($B$5,标准坦克设计!$B$24:$U$30,MATCH("对"&amp;LEFT($C$5,2)&amp;"输出",标准坦克设计!$B$23:$U$23,0)))*(VLOOKUP($B157,INDIRECT($B$5&amp;"生成成长"),3))*(VLOOKUP($B$5,标准坦克设计!$B$14:$K$20,9)/30))</f>
        <v>11.77841274888919</v>
      </c>
      <c r="AU157" s="172">
        <f ca="1">(VLOOKUP(AU$72,INDIRECT($C$5&amp;"生成成长"),2))/((VLOOKUP($B157,INDIRECT($B$5&amp;"生成成长"),4))/(VLOOKUP(AU$72,INDIRECT($C$5&amp;"生成成长"),5))*(VLOOKUP($B$5,标准坦克设计!$B$24:$U$30,MATCH("对"&amp;LEFT($C$5,2)&amp;"输出",标准坦克设计!$B$23:$U$23,0)))*(VLOOKUP($B157,INDIRECT($B$5&amp;"生成成长"),3))*(VLOOKUP($B$5,标准坦克设计!$B$14:$K$20,9)/30))</f>
        <v>12.511267799931177</v>
      </c>
      <c r="AV157" s="172">
        <f ca="1">(VLOOKUP(AV$72,INDIRECT($C$5&amp;"生成成长"),2))/((VLOOKUP($B157,INDIRECT($B$5&amp;"生成成长"),4))/(VLOOKUP(AV$72,INDIRECT($C$5&amp;"生成成长"),5))*(VLOOKUP($B$5,标准坦克设计!$B$24:$U$30,MATCH("对"&amp;LEFT($C$5,2)&amp;"输出",标准坦克设计!$B$23:$U$23,0)))*(VLOOKUP($B157,INDIRECT($B$5&amp;"生成成长"),3))*(VLOOKUP($B$5,标准坦克设计!$B$14:$K$20,9)/30))</f>
        <v>1.2725120003377777</v>
      </c>
      <c r="AW157" s="172">
        <f ca="1">(VLOOKUP(AW$72,INDIRECT($C$5&amp;"生成成长"),2))/((VLOOKUP($B157,INDIRECT($B$5&amp;"生成成长"),4))/(VLOOKUP(AW$72,INDIRECT($C$5&amp;"生成成长"),5))*(VLOOKUP($B$5,标准坦克设计!$B$24:$U$30,MATCH("对"&amp;LEFT($C$5,2)&amp;"输出",标准坦克设计!$B$23:$U$23,0)))*(VLOOKUP($B157,INDIRECT($B$5&amp;"生成成长"),3))*(VLOOKUP($B$5,标准坦克设计!$B$14:$K$20,9)/30))</f>
        <v>1.4509049495376727</v>
      </c>
      <c r="AX157" s="172">
        <f ca="1">(VLOOKUP(AX$72,INDIRECT($C$5&amp;"生成成长"),2))/((VLOOKUP($B157,INDIRECT($B$5&amp;"生成成长"),4))/(VLOOKUP(AX$72,INDIRECT($C$5&amp;"生成成长"),5))*(VLOOKUP($B$5,标准坦克设计!$B$24:$U$30,MATCH("对"&amp;LEFT($C$5,2)&amp;"输出",标准坦克设计!$B$23:$U$23,0)))*(VLOOKUP($B157,INDIRECT($B$5&amp;"生成成长"),3))*(VLOOKUP($B$5,标准坦克设计!$B$14:$K$20,9)/30))</f>
        <v>1.6409957970457578</v>
      </c>
      <c r="AY157" s="172">
        <f ca="1">(VLOOKUP(AY$72,INDIRECT($C$5&amp;"生成成长"),2))/((VLOOKUP($B157,INDIRECT($B$5&amp;"生成成长"),4))/(VLOOKUP(AY$72,INDIRECT($C$5&amp;"生成成长"),5))*(VLOOKUP($B$5,标准坦克设计!$B$24:$U$30,MATCH("对"&amp;LEFT($C$5,2)&amp;"输出",标准坦克设计!$B$23:$U$23,0)))*(VLOOKUP($B157,INDIRECT($B$5&amp;"生成成长"),3))*(VLOOKUP($B$5,标准坦克设计!$B$14:$K$20,9)/30))</f>
        <v>1.8427845428620326</v>
      </c>
      <c r="AZ157" s="172">
        <f ca="1">(VLOOKUP(AZ$72,INDIRECT($C$5&amp;"生成成长"),2))/((VLOOKUP($B157,INDIRECT($B$5&amp;"生成成长"),4))/(VLOOKUP(AZ$72,INDIRECT($C$5&amp;"生成成长"),5))*(VLOOKUP($B$5,标准坦克设计!$B$24:$U$30,MATCH("对"&amp;LEFT($C$5,2)&amp;"输出",标准坦克设计!$B$23:$U$23,0)))*(VLOOKUP($B157,INDIRECT($B$5&amp;"生成成长"),3))*(VLOOKUP($B$5,标准坦克设计!$B$14:$K$20,9)/30))</f>
        <v>2.0562711869864976</v>
      </c>
      <c r="BA157" s="172">
        <f ca="1">(VLOOKUP(BA$72,INDIRECT($C$5&amp;"生成成长"),2))/((VLOOKUP($B157,INDIRECT($B$5&amp;"生成成长"),4))/(VLOOKUP(BA$72,INDIRECT($C$5&amp;"生成成长"),5))*(VLOOKUP($B$5,标准坦克设计!$B$24:$U$30,MATCH("对"&amp;LEFT($C$5,2)&amp;"输出",标准坦克设计!$B$23:$U$23,0)))*(VLOOKUP($B157,INDIRECT($B$5&amp;"生成成长"),3))*(VLOOKUP($B$5,标准坦克设计!$B$14:$K$20,9)/30))</f>
        <v>2.2814557294191529</v>
      </c>
      <c r="BB157" s="172">
        <f ca="1">(VLOOKUP(BB$72,INDIRECT($C$5&amp;"生成成长"),2))/((VLOOKUP($B157,INDIRECT($B$5&amp;"生成成长"),4))/(VLOOKUP(BB$72,INDIRECT($C$5&amp;"生成成长"),5))*(VLOOKUP($B$5,标准坦克设计!$B$24:$U$30,MATCH("对"&amp;LEFT($C$5,2)&amp;"输出",标准坦克设计!$B$23:$U$23,0)))*(VLOOKUP($B157,INDIRECT($B$5&amp;"生成成长"),3))*(VLOOKUP($B$5,标准坦克设计!$B$14:$K$20,9)/30))</f>
        <v>2.5183381701599967</v>
      </c>
      <c r="BC157" s="172">
        <f ca="1">(VLOOKUP(BC$72,INDIRECT($C$5&amp;"生成成长"),2))/((VLOOKUP($B157,INDIRECT($B$5&amp;"生成成长"),4))/(VLOOKUP(BC$72,INDIRECT($C$5&amp;"生成成长"),5))*(VLOOKUP($B$5,标准坦克设计!$B$24:$U$30,MATCH("对"&amp;LEFT($C$5,2)&amp;"输出",标准坦克设计!$B$23:$U$23,0)))*(VLOOKUP($B157,INDIRECT($B$5&amp;"生成成长"),3))*(VLOOKUP($B$5,标准坦克设计!$B$14:$K$20,9)/30))</f>
        <v>2.7669185092090314</v>
      </c>
      <c r="BD157" s="172">
        <f ca="1">(VLOOKUP(BD$72,INDIRECT($C$5&amp;"生成成长"),2))/((VLOOKUP($B157,INDIRECT($B$5&amp;"生成成长"),4))/(VLOOKUP(BD$72,INDIRECT($C$5&amp;"生成成长"),5))*(VLOOKUP($B$5,标准坦克设计!$B$24:$U$30,MATCH("对"&amp;LEFT($C$5,2)&amp;"输出",标准坦克设计!$B$23:$U$23,0)))*(VLOOKUP($B157,INDIRECT($B$5&amp;"生成成长"),3))*(VLOOKUP($B$5,标准坦克设计!$B$14:$K$20,9)/30))</f>
        <v>3.0605540347107034</v>
      </c>
      <c r="BE157" s="172">
        <f ca="1">(VLOOKUP(BE$72,INDIRECT($C$5&amp;"生成成长"),2))/((VLOOKUP($B157,INDIRECT($B$5&amp;"生成成长"),4))/(VLOOKUP(BE$72,INDIRECT($C$5&amp;"生成成长"),5))*(VLOOKUP($B$5,标准坦克设计!$B$24:$U$30,MATCH("对"&amp;LEFT($C$5,2)&amp;"输出",标准坦克设计!$B$23:$U$23,0)))*(VLOOKUP($B157,INDIRECT($B$5&amp;"生成成长"),3))*(VLOOKUP($B$5,标准坦克设计!$B$14:$K$20,9)/30))</f>
        <v>3.3689947127586781</v>
      </c>
      <c r="BF157" s="172">
        <f ca="1">(VLOOKUP(BF$72,INDIRECT($C$5&amp;"生成成长"),2))/((VLOOKUP($B157,INDIRECT($B$5&amp;"生成成长"),4))/(VLOOKUP(BF$72,INDIRECT($C$5&amp;"生成成长"),5))*(VLOOKUP($B$5,标准坦克设计!$B$24:$U$30,MATCH("对"&amp;LEFT($C$5,2)&amp;"输出",标准坦克设计!$B$23:$U$23,0)))*(VLOOKUP($B157,INDIRECT($B$5&amp;"生成成长"),3))*(VLOOKUP($B$5,标准坦克设计!$B$14:$K$20,9)/30))</f>
        <v>3.6922405433529555</v>
      </c>
      <c r="BG157" s="172">
        <f ca="1">(VLOOKUP(BG$72,INDIRECT($C$5&amp;"生成成长"),2))/((VLOOKUP($B157,INDIRECT($B$5&amp;"生成成长"),4))/(VLOOKUP(BG$72,INDIRECT($C$5&amp;"生成成长"),5))*(VLOOKUP($B$5,标准坦克设计!$B$24:$U$30,MATCH("对"&amp;LEFT($C$5,2)&amp;"输出",标准坦克设计!$B$23:$U$23,0)))*(VLOOKUP($B157,INDIRECT($B$5&amp;"生成成长"),3))*(VLOOKUP($B$5,标准坦克设计!$B$14:$K$20,9)/30))</f>
        <v>4.0302915264935368</v>
      </c>
      <c r="BH157" s="172">
        <f ca="1">(VLOOKUP(BH$72,INDIRECT($C$5&amp;"生成成长"),2))/((VLOOKUP($B157,INDIRECT($B$5&amp;"生成成长"),4))/(VLOOKUP(BH$72,INDIRECT($C$5&amp;"生成成长"),5))*(VLOOKUP($B$5,标准坦克设计!$B$24:$U$30,MATCH("对"&amp;LEFT($C$5,2)&amp;"输出",标准坦克设计!$B$23:$U$23,0)))*(VLOOKUP($B157,INDIRECT($B$5&amp;"生成成长"),3))*(VLOOKUP($B$5,标准坦克设计!$B$14:$K$20,9)/30))</f>
        <v>1.9480656276357415</v>
      </c>
      <c r="BI157" s="172">
        <f ca="1">(VLOOKUP(BI$72,INDIRECT($C$5&amp;"生成成长"),2))/((VLOOKUP($B157,INDIRECT($B$5&amp;"生成成长"),4))/(VLOOKUP(BI$72,INDIRECT($C$5&amp;"生成成长"),5))*(VLOOKUP($B$5,标准坦克设计!$B$24:$U$30,MATCH("对"&amp;LEFT($C$5,2)&amp;"输出",标准坦克设计!$B$23:$U$23,0)))*(VLOOKUP($B157,INDIRECT($B$5&amp;"生成成长"),3))*(VLOOKUP($B$5,标准坦克设计!$B$14:$K$20,9)/30))</f>
        <v>2.1956406785489162</v>
      </c>
      <c r="BJ157" s="172">
        <f ca="1">(VLOOKUP(BJ$72,INDIRECT($C$5&amp;"生成成长"),2))/((VLOOKUP($B157,INDIRECT($B$5&amp;"生成成长"),4))/(VLOOKUP(BJ$72,INDIRECT($C$5&amp;"生成成长"),5))*(VLOOKUP($B$5,标准坦克设计!$B$24:$U$30,MATCH("对"&amp;LEFT($C$5,2)&amp;"输出",标准坦克设计!$B$23:$U$23,0)))*(VLOOKUP($B157,INDIRECT($B$5&amp;"生成成长"),3))*(VLOOKUP($B$5,标准坦克设计!$B$14:$K$20,9)/30))</f>
        <v>2.4580208820083929</v>
      </c>
      <c r="BK157" s="172">
        <f ca="1">(VLOOKUP(BK$72,INDIRECT($C$5&amp;"生成成长"),2))/((VLOOKUP($B157,INDIRECT($B$5&amp;"生成成长"),4))/(VLOOKUP(BK$72,INDIRECT($C$5&amp;"生成成长"),5))*(VLOOKUP($B$5,标准坦克设计!$B$24:$U$30,MATCH("对"&amp;LEFT($C$5,2)&amp;"输出",标准坦克设计!$B$23:$U$23,0)))*(VLOOKUP($B157,INDIRECT($B$5&amp;"生成成长"),3))*(VLOOKUP($B$5,标准坦克设计!$B$14:$K$20,9)/30))</f>
        <v>2.7352062380141731</v>
      </c>
      <c r="BL157" s="172">
        <f ca="1">(VLOOKUP(BL$72,INDIRECT($C$5&amp;"生成成长"),2))/((VLOOKUP($B157,INDIRECT($B$5&amp;"生成成长"),4))/(VLOOKUP(BL$72,INDIRECT($C$5&amp;"生成成长"),5))*(VLOOKUP($B$5,标准坦克设计!$B$24:$U$30,MATCH("对"&amp;LEFT($C$5,2)&amp;"输出",标准坦克设计!$B$23:$U$23,0)))*(VLOOKUP($B157,INDIRECT($B$5&amp;"生成成长"),3))*(VLOOKUP($B$5,标准坦克设计!$B$14:$K$20,9)/30))</f>
        <v>3.0271967465662559</v>
      </c>
      <c r="BM157" s="172">
        <f ca="1">(VLOOKUP(BM$72,INDIRECT($C$5&amp;"生成成长"),2))/((VLOOKUP($B157,INDIRECT($B$5&amp;"生成成长"),4))/(VLOOKUP(BM$72,INDIRECT($C$5&amp;"生成成长"),5))*(VLOOKUP($B$5,标准坦克设计!$B$24:$U$30,MATCH("对"&amp;LEFT($C$5,2)&amp;"输出",标准坦克设计!$B$23:$U$23,0)))*(VLOOKUP($B157,INDIRECT($B$5&amp;"生成成长"),3))*(VLOOKUP($B$5,标准坦克设计!$B$14:$K$20,9)/30))</f>
        <v>3.3339924076646414</v>
      </c>
      <c r="BN157" s="172">
        <f ca="1">(VLOOKUP(BN$72,INDIRECT($C$5&amp;"生成成长"),2))/((VLOOKUP($B157,INDIRECT($B$5&amp;"生成成长"),4))/(VLOOKUP(BN$72,INDIRECT($C$5&amp;"生成成长"),5))*(VLOOKUP($B$5,标准坦克设计!$B$24:$U$30,MATCH("对"&amp;LEFT($C$5,2)&amp;"输出",标准坦克设计!$B$23:$U$23,0)))*(VLOOKUP($B157,INDIRECT($B$5&amp;"生成成长"),3))*(VLOOKUP($B$5,标准坦克设计!$B$14:$K$20,9)/30))</f>
        <v>3.6555932213093296</v>
      </c>
      <c r="BO157" s="172">
        <f ca="1">(VLOOKUP(BO$72,INDIRECT($C$5&amp;"生成成长"),2))/((VLOOKUP($B157,INDIRECT($B$5&amp;"生成成长"),4))/(VLOOKUP(BO$72,INDIRECT($C$5&amp;"生成成长"),5))*(VLOOKUP($B$5,标准坦克设计!$B$24:$U$30,MATCH("对"&amp;LEFT($C$5,2)&amp;"输出",标准坦克设计!$B$23:$U$23,0)))*(VLOOKUP($B157,INDIRECT($B$5&amp;"生成成长"),3))*(VLOOKUP($B$5,标准坦克设计!$B$14:$K$20,9)/30))</f>
        <v>3.9919991875003205</v>
      </c>
      <c r="BP157" s="172">
        <f ca="1">(VLOOKUP(BP$72,INDIRECT($C$5&amp;"生成成长"),2))/((VLOOKUP($B157,INDIRECT($B$5&amp;"生成成长"),4))/(VLOOKUP(BP$72,INDIRECT($C$5&amp;"生成成长"),5))*(VLOOKUP($B$5,标准坦克设计!$B$24:$U$30,MATCH("对"&amp;LEFT($C$5,2)&amp;"输出",标准坦克设计!$B$23:$U$23,0)))*(VLOOKUP($B157,INDIRECT($B$5&amp;"生成成长"),3))*(VLOOKUP($B$5,标准坦克设计!$B$14:$K$20,9)/30))</f>
        <v>4.3432103062376148</v>
      </c>
      <c r="BQ157" s="172">
        <f ca="1">(VLOOKUP(BQ$72,INDIRECT($C$5&amp;"生成成长"),2))/((VLOOKUP($B157,INDIRECT($B$5&amp;"生成成长"),4))/(VLOOKUP(BQ$72,INDIRECT($C$5&amp;"生成成长"),5))*(VLOOKUP($B$5,标准坦克设计!$B$24:$U$30,MATCH("对"&amp;LEFT($C$5,2)&amp;"输出",标准坦克设计!$B$23:$U$23,0)))*(VLOOKUP($B157,INDIRECT($B$5&amp;"生成成长"),3))*(VLOOKUP($B$5,标准坦克设计!$B$14:$K$20,9)/30))</f>
        <v>4.7092265775212105</v>
      </c>
      <c r="BR157" s="172">
        <f ca="1">(VLOOKUP(BR$72,INDIRECT($C$5&amp;"生成成长"),2))/((VLOOKUP($B157,INDIRECT($B$5&amp;"生成成长"),4))/(VLOOKUP(BR$72,INDIRECT($C$5&amp;"生成成长"),5))*(VLOOKUP($B$5,标准坦克设计!$B$24:$U$30,MATCH("对"&amp;LEFT($C$5,2)&amp;"输出",标准坦克设计!$B$23:$U$23,0)))*(VLOOKUP($B157,INDIRECT($B$5&amp;"生成成长"),3))*(VLOOKUP($B$5,标准坦克设计!$B$14:$K$20,9)/30))</f>
        <v>5.1332753911930942</v>
      </c>
      <c r="BS157" s="172">
        <f ca="1">(VLOOKUP(BS$72,INDIRECT($C$5&amp;"生成成长"),2))/((VLOOKUP($B157,INDIRECT($B$5&amp;"生成成长"),4))/(VLOOKUP(BS$72,INDIRECT($C$5&amp;"生成成长"),5))*(VLOOKUP($B$5,标准坦克设计!$B$24:$U$30,MATCH("对"&amp;LEFT($C$5,2)&amp;"输出",标准坦克设计!$B$23:$U$23,0)))*(VLOOKUP($B157,INDIRECT($B$5&amp;"生成成长"),3))*(VLOOKUP($B$5,标准坦克设计!$B$14:$K$20,9)/30))</f>
        <v>5.5756021709715213</v>
      </c>
      <c r="BT157" s="172">
        <f ca="1">(VLOOKUP(BT$72,INDIRECT($C$5&amp;"生成成长"),2))/((VLOOKUP($B157,INDIRECT($B$5&amp;"生成成长"),4))/(VLOOKUP(BT$72,INDIRECT($C$5&amp;"生成成长"),5))*(VLOOKUP($B$5,标准坦克设计!$B$24:$U$30,MATCH("对"&amp;LEFT($C$5,2)&amp;"输出",标准坦克设计!$B$23:$U$23,0)))*(VLOOKUP($B157,INDIRECT($B$5&amp;"生成成长"),3))*(VLOOKUP($B$5,标准坦克设计!$B$14:$K$20,9)/30))</f>
        <v>6.0362069168564974</v>
      </c>
      <c r="BU157" s="172">
        <f ca="1">(VLOOKUP(BU$72,INDIRECT($C$5&amp;"生成成长"),2))/((VLOOKUP($B157,INDIRECT($B$5&amp;"生成成长"),4))/(VLOOKUP(BU$72,INDIRECT($C$5&amp;"生成成长"),5))*(VLOOKUP($B$5,标准坦克设计!$B$24:$U$30,MATCH("对"&amp;LEFT($C$5,2)&amp;"输出",标准坦克设计!$B$23:$U$23,0)))*(VLOOKUP($B157,INDIRECT($B$5&amp;"生成成长"),3))*(VLOOKUP($B$5,标准坦克设计!$B$14:$K$20,9)/30))</f>
        <v>6.5150896288480205</v>
      </c>
      <c r="BV157" s="172">
        <f ca="1">(VLOOKUP(BV$72,INDIRECT($C$5&amp;"生成成长"),2))/((VLOOKUP($B157,INDIRECT($B$5&amp;"生成成长"),4))/(VLOOKUP(BV$72,INDIRECT($C$5&amp;"生成成长"),5))*(VLOOKUP($B$5,标准坦克设计!$B$24:$U$30,MATCH("对"&amp;LEFT($C$5,2)&amp;"输出",标准坦克设计!$B$23:$U$23,0)))*(VLOOKUP($B157,INDIRECT($B$5&amp;"生成成长"),3))*(VLOOKUP($B$5,标准坦克设计!$B$14:$K$20,9)/30))</f>
        <v>7.012250306946088</v>
      </c>
      <c r="BW157" s="172">
        <f ca="1">(VLOOKUP(BW$72,INDIRECT($C$5&amp;"生成成长"),2))/((VLOOKUP($B157,INDIRECT($B$5&amp;"生成成长"),4))/(VLOOKUP(BW$72,INDIRECT($C$5&amp;"生成成长"),5))*(VLOOKUP($B$5,标准坦克设计!$B$24:$U$30,MATCH("对"&amp;LEFT($C$5,2)&amp;"输出",标准坦克设计!$B$23:$U$23,0)))*(VLOOKUP($B157,INDIRECT($B$5&amp;"生成成长"),3))*(VLOOKUP($B$5,标准坦克设计!$B$14:$K$20,9)/30))</f>
        <v>3.1958109838991486</v>
      </c>
      <c r="BX157" s="172">
        <f ca="1">(VLOOKUP(BX$72,INDIRECT($C$5&amp;"生成成长"),2))/((VLOOKUP($B157,INDIRECT($B$5&amp;"生成成长"),4))/(VLOOKUP(BX$72,INDIRECT($C$5&amp;"生成成长"),5))*(VLOOKUP($B$5,标准坦克设计!$B$24:$U$30,MATCH("对"&amp;LEFT($C$5,2)&amp;"输出",标准坦克设计!$B$23:$U$23,0)))*(VLOOKUP($B157,INDIRECT($B$5&amp;"生成成长"),3))*(VLOOKUP($B$5,标准坦克设计!$B$14:$K$20,9)/30))</f>
        <v>3.5467479331448444</v>
      </c>
      <c r="BY157" s="172">
        <f ca="1">(VLOOKUP(BY$72,INDIRECT($C$5&amp;"生成成长"),2))/((VLOOKUP($B157,INDIRECT($B$5&amp;"生成成长"),4))/(VLOOKUP(BY$72,INDIRECT($C$5&amp;"生成成长"),5))*(VLOOKUP($B$5,标准坦克设计!$B$24:$U$30,MATCH("对"&amp;LEFT($C$5,2)&amp;"输出",标准坦克设计!$B$23:$U$23,0)))*(VLOOKUP($B157,INDIRECT($B$5&amp;"生成成长"),3))*(VLOOKUP($B$5,标准坦克设计!$B$14:$K$20,9)/30))</f>
        <v>3.9159628484970868</v>
      </c>
      <c r="BZ157" s="172">
        <f ca="1">(VLOOKUP(BZ$72,INDIRECT($C$5&amp;"生成成长"),2))/((VLOOKUP($B157,INDIRECT($B$5&amp;"生成成长"),4))/(VLOOKUP(BZ$72,INDIRECT($C$5&amp;"生成成长"),5))*(VLOOKUP($B$5,标准坦克设计!$B$24:$U$30,MATCH("对"&amp;LEFT($C$5,2)&amp;"输出",标准坦克设计!$B$23:$U$23,0)))*(VLOOKUP($B157,INDIRECT($B$5&amp;"生成成长"),3))*(VLOOKUP($B$5,标准坦克设计!$B$14:$K$20,9)/30))</f>
        <v>4.3034557299558749</v>
      </c>
      <c r="CA157" s="172">
        <f ca="1">(VLOOKUP(CA$72,INDIRECT($C$5&amp;"生成成长"),2))/((VLOOKUP($B157,INDIRECT($B$5&amp;"生成成长"),4))/(VLOOKUP(CA$72,INDIRECT($C$5&amp;"生成成长"),5))*(VLOOKUP($B$5,标准坦克设计!$B$24:$U$30,MATCH("对"&amp;LEFT($C$5,2)&amp;"输出",标准坦克设计!$B$23:$U$23,0)))*(VLOOKUP($B157,INDIRECT($B$5&amp;"生成成长"),3))*(VLOOKUP($B$5,标准坦克设计!$B$14:$K$20,9)/30))</f>
        <v>4.7092265775212105</v>
      </c>
      <c r="CB157" s="172">
        <f ca="1">(VLOOKUP(CB$72,INDIRECT($C$5&amp;"生成成长"),2))/((VLOOKUP($B157,INDIRECT($B$5&amp;"生成成长"),4))/(VLOOKUP(CB$72,INDIRECT($C$5&amp;"生成成长"),5))*(VLOOKUP($B$5,标准坦克设计!$B$24:$U$30,MATCH("对"&amp;LEFT($C$5,2)&amp;"输出",标准坦克设计!$B$23:$U$23,0)))*(VLOOKUP($B157,INDIRECT($B$5&amp;"生成成长"),3))*(VLOOKUP($B$5,标准坦克设计!$B$14:$K$20,9)/30))</f>
        <v>5.1332753911930942</v>
      </c>
      <c r="CC157" s="172">
        <f ca="1">(VLOOKUP(CC$72,INDIRECT($C$5&amp;"生成成长"),2))/((VLOOKUP($B157,INDIRECT($B$5&amp;"生成成长"),4))/(VLOOKUP(CC$72,INDIRECT($C$5&amp;"生成成长"),5))*(VLOOKUP($B$5,标准坦克设计!$B$24:$U$30,MATCH("对"&amp;LEFT($C$5,2)&amp;"输出",标准坦克设计!$B$23:$U$23,0)))*(VLOOKUP($B157,INDIRECT($B$5&amp;"生成成长"),3))*(VLOOKUP($B$5,标准坦克设计!$B$14:$K$20,9)/30))</f>
        <v>5.5756021709715213</v>
      </c>
      <c r="CD157" s="172">
        <f ca="1">(VLOOKUP(CD$72,INDIRECT($C$5&amp;"生成成长"),2))/((VLOOKUP($B157,INDIRECT($B$5&amp;"生成成长"),4))/(VLOOKUP(CD$72,INDIRECT($C$5&amp;"生成成长"),5))*(VLOOKUP($B$5,标准坦克设计!$B$24:$U$30,MATCH("对"&amp;LEFT($C$5,2)&amp;"输出",标准坦克设计!$B$23:$U$23,0)))*(VLOOKUP($B157,INDIRECT($B$5&amp;"生成成长"),3))*(VLOOKUP($B$5,标准坦克设计!$B$14:$K$20,9)/30))</f>
        <v>6.0362069168564974</v>
      </c>
      <c r="CE157" s="172">
        <f ca="1">(VLOOKUP(CE$72,INDIRECT($C$5&amp;"生成成长"),2))/((VLOOKUP($B157,INDIRECT($B$5&amp;"生成成长"),4))/(VLOOKUP(CE$72,INDIRECT($C$5&amp;"生成成长"),5))*(VLOOKUP($B$5,标准坦克设计!$B$24:$U$30,MATCH("对"&amp;LEFT($C$5,2)&amp;"输出",标准坦克设计!$B$23:$U$23,0)))*(VLOOKUP($B157,INDIRECT($B$5&amp;"生成成长"),3))*(VLOOKUP($B$5,标准坦克设计!$B$14:$K$20,9)/30))</f>
        <v>6.5150896288480205</v>
      </c>
      <c r="CF157" s="172">
        <f ca="1">(VLOOKUP(CF$72,INDIRECT($C$5&amp;"生成成长"),2))/((VLOOKUP($B157,INDIRECT($B$5&amp;"生成成长"),4))/(VLOOKUP(CF$72,INDIRECT($C$5&amp;"生成成长"),5))*(VLOOKUP($B$5,标准坦克设计!$B$24:$U$30,MATCH("对"&amp;LEFT($C$5,2)&amp;"输出",标准坦克设计!$B$23:$U$23,0)))*(VLOOKUP($B157,INDIRECT($B$5&amp;"生成成长"),3))*(VLOOKUP($B$5,标准坦克设计!$B$14:$K$20,9)/30))</f>
        <v>7.012250306946088</v>
      </c>
      <c r="CG157" s="172">
        <f ca="1">(VLOOKUP(CG$72,INDIRECT($C$5&amp;"生成成长"),2))/((VLOOKUP($B157,INDIRECT($B$5&amp;"生成成长"),4))/(VLOOKUP(CG$72,INDIRECT($C$5&amp;"生成成长"),5))*(VLOOKUP($B$5,标准坦克设计!$B$24:$U$30,MATCH("对"&amp;LEFT($C$5,2)&amp;"输出",标准坦克设计!$B$23:$U$23,0)))*(VLOOKUP($B157,INDIRECT($B$5&amp;"生成成长"),3))*(VLOOKUP($B$5,标准坦克设计!$B$14:$K$20,9)/30))</f>
        <v>7.5276889511507026</v>
      </c>
      <c r="CH157" s="172">
        <f ca="1">(VLOOKUP(CH$72,INDIRECT($C$5&amp;"生成成长"),2))/((VLOOKUP($B157,INDIRECT($B$5&amp;"生成成长"),4))/(VLOOKUP(CH$72,INDIRECT($C$5&amp;"生成成长"),5))*(VLOOKUP($B$5,标准坦克设计!$B$24:$U$30,MATCH("对"&amp;LEFT($C$5,2)&amp;"输出",标准坦克设计!$B$23:$U$23,0)))*(VLOOKUP($B157,INDIRECT($B$5&amp;"生成成长"),3))*(VLOOKUP($B$5,标准坦克设计!$B$14:$K$20,9)/30))</f>
        <v>8.061405561461866</v>
      </c>
      <c r="CI157" s="172">
        <f ca="1">(VLOOKUP(CI$72,INDIRECT($C$5&amp;"生成成长"),2))/((VLOOKUP($B157,INDIRECT($B$5&amp;"生成成长"),4))/(VLOOKUP(CI$72,INDIRECT($C$5&amp;"生成成长"),5))*(VLOOKUP($B$5,标准坦克设计!$B$24:$U$30,MATCH("对"&amp;LEFT($C$5,2)&amp;"输出",标准坦克设计!$B$23:$U$23,0)))*(VLOOKUP($B157,INDIRECT($B$5&amp;"生成成长"),3))*(VLOOKUP($B$5,标准坦克设计!$B$14:$K$20,9)/30))</f>
        <v>8.6696048836572057</v>
      </c>
      <c r="CJ157" s="172">
        <f ca="1">(VLOOKUP(CJ$72,INDIRECT($C$5&amp;"生成成长"),2))/((VLOOKUP($B157,INDIRECT($B$5&amp;"生成成长"),4))/(VLOOKUP(CJ$72,INDIRECT($C$5&amp;"生成成长"),5))*(VLOOKUP($B$5,标准坦克设计!$B$24:$U$30,MATCH("对"&amp;LEFT($C$5,2)&amp;"输出",标准坦克设计!$B$23:$U$23,0)))*(VLOOKUP($B157,INDIRECT($B$5&amp;"生成成长"),3))*(VLOOKUP($B$5,标准坦克设计!$B$14:$K$20,9)/30))</f>
        <v>9.2999205448414681</v>
      </c>
      <c r="CK157" s="172">
        <f ca="1">(VLOOKUP(CK$72,INDIRECT($C$5&amp;"生成成长"),2))/((VLOOKUP($B157,INDIRECT($B$5&amp;"生成成长"),4))/(VLOOKUP(CK$72,INDIRECT($C$5&amp;"生成成长"),5))*(VLOOKUP($B$5,标准坦克设计!$B$24:$U$30,MATCH("对"&amp;LEFT($C$5,2)&amp;"输出",标准坦克设计!$B$23:$U$23,0)))*(VLOOKUP($B157,INDIRECT($B$5&amp;"生成成长"),3))*(VLOOKUP($B$5,标准坦克设计!$B$14:$K$20,9)/30))</f>
        <v>9.9523525450146479</v>
      </c>
      <c r="CL157" s="172">
        <f ca="1">(VLOOKUP(CL$72,INDIRECT($C$5&amp;"生成成长"),2))/((VLOOKUP($B157,INDIRECT($B$5&amp;"生成成长"),4))/(VLOOKUP(CL$72,INDIRECT($C$5&amp;"生成成长"),5))*(VLOOKUP($B$5,标准坦克设计!$B$24:$U$30,MATCH("对"&amp;LEFT($C$5,2)&amp;"输出",标准坦克设计!$B$23:$U$23,0)))*(VLOOKUP($B157,INDIRECT($B$5&amp;"生成成长"),3))*(VLOOKUP($B$5,标准坦克设计!$B$14:$K$20,9)/30))</f>
        <v>10.626900884176754</v>
      </c>
      <c r="CM157" s="172">
        <f ca="1">(VLOOKUP(CM$72,INDIRECT($C$5&amp;"生成成长"),2))/((VLOOKUP($B157,INDIRECT($B$5&amp;"生成成长"),4))/(VLOOKUP(CM$72,INDIRECT($C$5&amp;"生成成长"),5))*(VLOOKUP($B$5,标准坦克设计!$B$24:$U$30,MATCH("对"&amp;LEFT($C$5,2)&amp;"输出",标准坦克设计!$B$23:$U$23,0)))*(VLOOKUP($B157,INDIRECT($B$5&amp;"生成成长"),3))*(VLOOKUP($B$5,标准坦克设计!$B$14:$K$20,9)/30))</f>
        <v>11.323565562327779</v>
      </c>
      <c r="CN157" s="172">
        <f ca="1">(VLOOKUP(CN$72,INDIRECT($C$5&amp;"生成成长"),2))/((VLOOKUP($B157,INDIRECT($B$5&amp;"生成成长"),4))/(VLOOKUP(CN$72,INDIRECT($C$5&amp;"生成成长"),5))*(VLOOKUP($B$5,标准坦克设计!$B$24:$U$30,MATCH("对"&amp;LEFT($C$5,2)&amp;"输出",标准坦克设计!$B$23:$U$23,0)))*(VLOOKUP($B157,INDIRECT($B$5&amp;"生成成长"),3))*(VLOOKUP($B$5,标准坦克设计!$B$14:$K$20,9)/30))</f>
        <v>12.042346579467726</v>
      </c>
      <c r="CO157" s="172">
        <f ca="1">(VLOOKUP(CO$72,INDIRECT($C$5&amp;"生成成长"),2))/((VLOOKUP($B157,INDIRECT($B$5&amp;"生成成长"),4))/(VLOOKUP(CO$72,INDIRECT($C$5&amp;"生成成长"),5))*(VLOOKUP($B$5,标准坦克设计!$B$24:$U$30,MATCH("对"&amp;LEFT($C$5,2)&amp;"输出",标准坦克设计!$B$23:$U$23,0)))*(VLOOKUP($B157,INDIRECT($B$5&amp;"生成成长"),3))*(VLOOKUP($B$5,标准坦克设计!$B$14:$K$20,9)/30))</f>
        <v>5.3964781031273645</v>
      </c>
      <c r="CP157" s="172">
        <f ca="1">(VLOOKUP(CP$72,INDIRECT($C$5&amp;"生成成长"),2))/((VLOOKUP($B157,INDIRECT($B$5&amp;"生成成长"),4))/(VLOOKUP(CP$72,INDIRECT($C$5&amp;"生成成长"),5))*(VLOOKUP($B$5,标准坦克设计!$B$24:$U$30,MATCH("对"&amp;LEFT($C$5,2)&amp;"输出",标准坦克设计!$B$23:$U$23,0)))*(VLOOKUP($B157,INDIRECT($B$5&amp;"生成成长"),3))*(VLOOKUP($B$5,标准坦克设计!$B$14:$K$20,9)/30))</f>
        <v>5.8961063066498163</v>
      </c>
      <c r="CQ157" s="172">
        <f ca="1">(VLOOKUP(CQ$72,INDIRECT($C$5&amp;"生成成长"),2))/((VLOOKUP($B157,INDIRECT($B$5&amp;"生成成长"),4))/(VLOOKUP(CQ$72,INDIRECT($C$5&amp;"生成成长"),5))*(VLOOKUP($B$5,标准坦克设计!$B$24:$U$30,MATCH("对"&amp;LEFT($C$5,2)&amp;"输出",标准坦克设计!$B$23:$U$23,0)))*(VLOOKUP($B157,INDIRECT($B$5&amp;"生成成长"),3))*(VLOOKUP($B$5,标准坦克设计!$B$14:$K$20,9)/30))</f>
        <v>6.4178508491611925</v>
      </c>
      <c r="CR157" s="172">
        <f ca="1">(VLOOKUP(CR$72,INDIRECT($C$5&amp;"生成成长"),2))/((VLOOKUP($B157,INDIRECT($B$5&amp;"生成成长"),4))/(VLOOKUP(CR$72,INDIRECT($C$5&amp;"生成成长"),5))*(VLOOKUP($B$5,标准坦克设计!$B$24:$U$30,MATCH("对"&amp;LEFT($C$5,2)&amp;"输出",标准坦克设计!$B$23:$U$23,0)))*(VLOOKUP($B157,INDIRECT($B$5&amp;"生成成长"),3))*(VLOOKUP($B$5,标准坦克设计!$B$14:$K$20,9)/30))</f>
        <v>6.9617117306614871</v>
      </c>
      <c r="CS157" s="172">
        <f ca="1">(VLOOKUP(CS$72,INDIRECT($C$5&amp;"生成成长"),2))/((VLOOKUP($B157,INDIRECT($B$5&amp;"生成成长"),4))/(VLOOKUP(CS$72,INDIRECT($C$5&amp;"生成成长"),5))*(VLOOKUP($B$5,标准坦克设计!$B$24:$U$30,MATCH("对"&amp;LEFT($C$5,2)&amp;"输出",标准坦克设计!$B$23:$U$23,0)))*(VLOOKUP($B157,INDIRECT($B$5&amp;"生成成长"),3))*(VLOOKUP($B$5,标准坦克设计!$B$14:$K$20,9)/30))</f>
        <v>7.5276889511507026</v>
      </c>
      <c r="CT157" s="172">
        <f ca="1">(VLOOKUP(CT$72,INDIRECT($C$5&amp;"生成成长"),2))/((VLOOKUP($B157,INDIRECT($B$5&amp;"生成成长"),4))/(VLOOKUP(CT$72,INDIRECT($C$5&amp;"生成成长"),5))*(VLOOKUP($B$5,标准坦克设计!$B$24:$U$30,MATCH("对"&amp;LEFT($C$5,2)&amp;"输出",标准坦克设计!$B$23:$U$23,0)))*(VLOOKUP($B157,INDIRECT($B$5&amp;"生成成长"),3))*(VLOOKUP($B$5,标准坦克设计!$B$14:$K$20,9)/30))</f>
        <v>8.1157825106288399</v>
      </c>
      <c r="CU157" s="172">
        <f ca="1">(VLOOKUP(CU$72,INDIRECT($C$5&amp;"生成成长"),2))/((VLOOKUP($B157,INDIRECT($B$5&amp;"生成成长"),4))/(VLOOKUP(CU$72,INDIRECT($C$5&amp;"生成成长"),5))*(VLOOKUP($B$5,标准坦克设计!$B$24:$U$30,MATCH("对"&amp;LEFT($C$5,2)&amp;"输出",标准坦克设计!$B$23:$U$23,0)))*(VLOOKUP($B157,INDIRECT($B$5&amp;"生成成长"),3))*(VLOOKUP($B$5,标准坦克设计!$B$14:$K$20,9)/30))</f>
        <v>8.7259924090959018</v>
      </c>
      <c r="CV157" s="172">
        <f ca="1">(VLOOKUP(CV$72,INDIRECT($C$5&amp;"生成成长"),2))/((VLOOKUP($B157,INDIRECT($B$5&amp;"生成成长"),4))/(VLOOKUP(CV$72,INDIRECT($C$5&amp;"生成成长"),5))*(VLOOKUP($B$5,标准坦克设计!$B$24:$U$30,MATCH("对"&amp;LEFT($C$5,2)&amp;"输出",标准坦克设计!$B$23:$U$23,0)))*(VLOOKUP($B157,INDIRECT($B$5&amp;"生成成长"),3))*(VLOOKUP($B$5,标准坦克设计!$B$14:$K$20,9)/30))</f>
        <v>9.3583186465518828</v>
      </c>
      <c r="CW157" s="172">
        <f ca="1">(VLOOKUP(CW$72,INDIRECT($C$5&amp;"生成成长"),2))/((VLOOKUP($B157,INDIRECT($B$5&amp;"生成成长"),4))/(VLOOKUP(CW$72,INDIRECT($C$5&amp;"生成成长"),5))*(VLOOKUP($B$5,标准坦克设计!$B$24:$U$30,MATCH("对"&amp;LEFT($C$5,2)&amp;"输出",标准坦克设计!$B$23:$U$23,0)))*(VLOOKUP($B157,INDIRECT($B$5&amp;"生成成长"),3))*(VLOOKUP($B$5,标准坦克设计!$B$14:$K$20,9)/30))</f>
        <v>10.012761222996785</v>
      </c>
      <c r="CX157" s="172">
        <f ca="1">(VLOOKUP(CX$72,INDIRECT($C$5&amp;"生成成长"),2))/((VLOOKUP($B157,INDIRECT($B$5&amp;"生成成长"),4))/(VLOOKUP(CX$72,INDIRECT($C$5&amp;"生成成长"),5))*(VLOOKUP($B$5,标准坦克设计!$B$24:$U$30,MATCH("对"&amp;LEFT($C$5,2)&amp;"输出",标准坦克设计!$B$23:$U$23,0)))*(VLOOKUP($B157,INDIRECT($B$5&amp;"生成成长"),3))*(VLOOKUP($B$5,标准坦克设计!$B$14:$K$20,9)/30))</f>
        <v>10.689320138430611</v>
      </c>
      <c r="CY157" s="172">
        <f ca="1">(VLOOKUP(CY$72,INDIRECT($C$5&amp;"生成成长"),2))/((VLOOKUP($B157,INDIRECT($B$5&amp;"生成成长"),4))/(VLOOKUP(CY$72,INDIRECT($C$5&amp;"生成成长"),5))*(VLOOKUP($B$5,标准坦克设计!$B$24:$U$30,MATCH("对"&amp;LEFT($C$5,2)&amp;"输出",标准坦克设计!$B$23:$U$23,0)))*(VLOOKUP($B157,INDIRECT($B$5&amp;"生成成长"),3))*(VLOOKUP($B$5,标准坦克设计!$B$14:$K$20,9)/30))</f>
        <v>11.387995392853355</v>
      </c>
      <c r="CZ157" s="172">
        <f ca="1">(VLOOKUP(CZ$72,INDIRECT($C$5&amp;"生成成长"),2))/((VLOOKUP($B157,INDIRECT($B$5&amp;"生成成长"),4))/(VLOOKUP(CZ$72,INDIRECT($C$5&amp;"生成成长"),5))*(VLOOKUP($B$5,标准坦克设计!$B$24:$U$30,MATCH("对"&amp;LEFT($C$5,2)&amp;"输出",标准坦克设计!$B$23:$U$23,0)))*(VLOOKUP($B157,INDIRECT($B$5&amp;"生成成长"),3))*(VLOOKUP($B$5,标准坦克设计!$B$14:$K$20,9)/30))</f>
        <v>12.108786986265024</v>
      </c>
      <c r="DA157" s="172">
        <f ca="1">(VLOOKUP(DA$72,INDIRECT($C$5&amp;"生成成长"),2))/((VLOOKUP($B157,INDIRECT($B$5&amp;"生成成长"),4))/(VLOOKUP(DA$72,INDIRECT($C$5&amp;"生成成长"),5))*(VLOOKUP($B$5,标准坦克设计!$B$24:$U$30,MATCH("对"&amp;LEFT($C$5,2)&amp;"输出",标准坦克设计!$B$23:$U$23,0)))*(VLOOKUP($B157,INDIRECT($B$5&amp;"生成成长"),3))*(VLOOKUP($B$5,标准坦克设计!$B$14:$K$20,9)/30))</f>
        <v>12.851694918665611</v>
      </c>
      <c r="DB157" s="172">
        <f ca="1">(VLOOKUP(DB$72,INDIRECT($C$5&amp;"生成成长"),2))/((VLOOKUP($B157,INDIRECT($B$5&amp;"生成成长"),4))/(VLOOKUP(DB$72,INDIRECT($C$5&amp;"生成成长"),5))*(VLOOKUP($B$5,标准坦克设计!$B$24:$U$30,MATCH("对"&amp;LEFT($C$5,2)&amp;"输出",标准坦克设计!$B$23:$U$23,0)))*(VLOOKUP($B157,INDIRECT($B$5&amp;"生成成长"),3))*(VLOOKUP($B$5,标准坦克设计!$B$14:$K$20,9)/30))</f>
        <v>13.616719190055123</v>
      </c>
      <c r="DC157" s="172">
        <f ca="1">(VLOOKUP(DC$72,INDIRECT($C$5&amp;"生成成长"),2))/((VLOOKUP($B157,INDIRECT($B$5&amp;"生成成长"),4))/(VLOOKUP(DC$72,INDIRECT($C$5&amp;"生成成长"),5))*(VLOOKUP($B$5,标准坦克设计!$B$24:$U$30,MATCH("对"&amp;LEFT($C$5,2)&amp;"输出",标准坦克设计!$B$23:$U$23,0)))*(VLOOKUP($B157,INDIRECT($B$5&amp;"生成成长"),3))*(VLOOKUP($B$5,标准坦克设计!$B$14:$K$20,9)/30))</f>
        <v>14.476514715707076</v>
      </c>
      <c r="DD157" s="172">
        <f ca="1">(VLOOKUP(DD$72,INDIRECT($C$5&amp;"生成成长"),2))/((VLOOKUP($B157,INDIRECT($B$5&amp;"生成成长"),4))/(VLOOKUP(DD$72,INDIRECT($C$5&amp;"生成成长"),5))*(VLOOKUP($B$5,标准坦克设计!$B$24:$U$30,MATCH("对"&amp;LEFT($C$5,2)&amp;"输出",标准坦克设计!$B$23:$U$23,0)))*(VLOOKUP($B157,INDIRECT($B$5&amp;"生成成长"),3))*(VLOOKUP($B$5,标准坦克设计!$B$14:$K$20,9)/30))</f>
        <v>15.362630512552455</v>
      </c>
      <c r="DE157" s="172">
        <f ca="1">(VLOOKUP(DE$72,INDIRECT($C$5&amp;"生成成长"),2))/((VLOOKUP($B157,INDIRECT($B$5&amp;"生成成长"),4))/(VLOOKUP(DE$72,INDIRECT($C$5&amp;"生成成长"),5))*(VLOOKUP($B$5,标准坦克设计!$B$24:$U$30,MATCH("对"&amp;LEFT($C$5,2)&amp;"输出",标准坦克设计!$B$23:$U$23,0)))*(VLOOKUP($B157,INDIRECT($B$5&amp;"生成成长"),3))*(VLOOKUP($B$5,标准坦克设计!$B$14:$K$20,9)/30))</f>
        <v>16.275066580591268</v>
      </c>
      <c r="DF157" s="172">
        <f ca="1">(VLOOKUP(DF$72,INDIRECT($C$5&amp;"生成成长"),2))/((VLOOKUP($B157,INDIRECT($B$5&amp;"生成成长"),4))/(VLOOKUP(DF$72,INDIRECT($C$5&amp;"生成成长"),5))*(VLOOKUP($B$5,标准坦克设计!$B$24:$U$30,MATCH("对"&amp;LEFT($C$5,2)&amp;"输出",标准坦克设计!$B$23:$U$23,0)))*(VLOOKUP($B157,INDIRECT($B$5&amp;"生成成长"),3))*(VLOOKUP($B$5,标准坦克设计!$B$14:$K$20,9)/30))</f>
        <v>17.2138229198235</v>
      </c>
      <c r="DG157" s="172">
        <f ca="1">(VLOOKUP(DG$72,INDIRECT($C$5&amp;"生成成长"),2))/((VLOOKUP($B157,INDIRECT($B$5&amp;"生成成长"),4))/(VLOOKUP(DG$72,INDIRECT($C$5&amp;"生成成长"),5))*(VLOOKUP($B$5,标准坦克设计!$B$24:$U$30,MATCH("对"&amp;LEFT($C$5,2)&amp;"输出",标准坦克设计!$B$23:$U$23,0)))*(VLOOKUP($B157,INDIRECT($B$5&amp;"生成成长"),3))*(VLOOKUP($B$5,标准坦克设计!$B$14:$K$20,9)/30))</f>
        <v>18.178899530249165</v>
      </c>
      <c r="DH157" s="172">
        <f ca="1">(VLOOKUP(DH$72,INDIRECT($C$5&amp;"生成成长"),2))/((VLOOKUP($B157,INDIRECT($B$5&amp;"生成成长"),4))/(VLOOKUP(DH$72,INDIRECT($C$5&amp;"生成成长"),5))*(VLOOKUP($B$5,标准坦克设计!$B$24:$U$30,MATCH("对"&amp;LEFT($C$5,2)&amp;"输出",标准坦克设计!$B$23:$U$23,0)))*(VLOOKUP($B157,INDIRECT($B$5&amp;"生成成长"),3))*(VLOOKUP($B$5,标准坦克设计!$B$14:$K$20,9)/30))</f>
        <v>19.170296411868257</v>
      </c>
      <c r="DI157" s="172">
        <f ca="1">(VLOOKUP(DI$72,INDIRECT($C$5&amp;"生成成长"),2))/((VLOOKUP($B157,INDIRECT($B$5&amp;"生成成长"),4))/(VLOOKUP(DI$72,INDIRECT($C$5&amp;"生成成长"),5))*(VLOOKUP($B$5,标准坦克设计!$B$24:$U$30,MATCH("对"&amp;LEFT($C$5,2)&amp;"输出",标准坦克设计!$B$23:$U$23,0)))*(VLOOKUP($B157,INDIRECT($B$5&amp;"生成成长"),3))*(VLOOKUP($B$5,标准坦克设计!$B$14:$K$20,9)/30))</f>
        <v>20.188013564680773</v>
      </c>
      <c r="DJ157" s="172">
        <f ca="1">(VLOOKUP(DJ$72,INDIRECT($C$5&amp;"生成成长"),2))/((VLOOKUP($B157,INDIRECT($B$5&amp;"生成成长"),4))/(VLOOKUP(DJ$72,INDIRECT($C$5&amp;"生成成长"),5))*(VLOOKUP($B$5,标准坦克设计!$B$24:$U$30,MATCH("对"&amp;LEFT($C$5,2)&amp;"输出",标准坦克设计!$B$23:$U$23,0)))*(VLOOKUP($B157,INDIRECT($B$5&amp;"生成成长"),3))*(VLOOKUP($B$5,标准坦克设计!$B$14:$K$20,9)/30))</f>
        <v>2.02894562765721</v>
      </c>
      <c r="DK157" s="172">
        <f ca="1">(VLOOKUP(DK$72,INDIRECT($C$5&amp;"生成成长"),2))/((VLOOKUP($B157,INDIRECT($B$5&amp;"生成成长"),4))/(VLOOKUP(DK$72,INDIRECT($C$5&amp;"生成成长"),5))*(VLOOKUP($B$5,标准坦克设计!$B$24:$U$30,MATCH("对"&amp;LEFT($C$5,2)&amp;"输出",标准坦克设计!$B$23:$U$23,0)))*(VLOOKUP($B157,INDIRECT($B$5&amp;"生成成长"),3))*(VLOOKUP($B$5,标准坦克设计!$B$14:$K$20,9)/30))</f>
        <v>2.2814557294191529</v>
      </c>
      <c r="DL157" s="172">
        <f ca="1">(VLOOKUP(DL$72,INDIRECT($C$5&amp;"生成成长"),2))/((VLOOKUP($B157,INDIRECT($B$5&amp;"生成成长"),4))/(VLOOKUP(DL$72,INDIRECT($C$5&amp;"生成成长"),5))*(VLOOKUP($B$5,标准坦克设计!$B$24:$U$30,MATCH("对"&amp;LEFT($C$5,2)&amp;"输出",标准坦克设计!$B$23:$U$23,0)))*(VLOOKUP($B157,INDIRECT($B$5&amp;"生成成长"),3))*(VLOOKUP($B$5,标准坦克设计!$B$14:$K$20,9)/30))</f>
        <v>2.5487709837273971</v>
      </c>
      <c r="DM157" s="172">
        <f ca="1">(VLOOKUP(DM$72,INDIRECT($C$5&amp;"生成成长"),2))/((VLOOKUP($B157,INDIRECT($B$5&amp;"生成成长"),4))/(VLOOKUP(DM$72,INDIRECT($C$5&amp;"生成成长"),5))*(VLOOKUP($B$5,标准坦克设计!$B$24:$U$30,MATCH("对"&amp;LEFT($C$5,2)&amp;"输出",标准坦克设计!$B$23:$U$23,0)))*(VLOOKUP($B157,INDIRECT($B$5&amp;"生成成长"),3))*(VLOOKUP($B$5,标准坦克设计!$B$14:$K$20,9)/30))</f>
        <v>2.8308913905819448</v>
      </c>
      <c r="DN157" s="172">
        <f ca="1">(VLOOKUP(DN$72,INDIRECT($C$5&amp;"生成成长"),2))/((VLOOKUP($B157,INDIRECT($B$5&amp;"生成成长"),4))/(VLOOKUP(DN$72,INDIRECT($C$5&amp;"生成成长"),5))*(VLOOKUP($B$5,标准坦克设计!$B$24:$U$30,MATCH("对"&amp;LEFT($C$5,2)&amp;"输出",标准坦克设计!$B$23:$U$23,0)))*(VLOOKUP($B157,INDIRECT($B$5&amp;"生成成长"),3))*(VLOOKUP($B$5,标准坦克设计!$B$14:$K$20,9)/30))</f>
        <v>3.1278169499827944</v>
      </c>
      <c r="DO157" s="172">
        <f ca="1">(VLOOKUP(DO$72,INDIRECT($C$5&amp;"生成成长"),2))/((VLOOKUP($B157,INDIRECT($B$5&amp;"生成成长"),4))/(VLOOKUP(DO$72,INDIRECT($C$5&amp;"生成成长"),5))*(VLOOKUP($B$5,标准坦克设计!$B$24:$U$30,MATCH("对"&amp;LEFT($C$5,2)&amp;"输出",标准坦克设计!$B$23:$U$23,0)))*(VLOOKUP($B157,INDIRECT($B$5&amp;"生成成长"),3))*(VLOOKUP($B$5,标准坦克设计!$B$14:$K$20,9)/30))</f>
        <v>3.4395476619299483</v>
      </c>
      <c r="DP157" s="172">
        <f ca="1">(VLOOKUP(DP$72,INDIRECT($C$5&amp;"生成成长"),2))/((VLOOKUP($B157,INDIRECT($B$5&amp;"生成成长"),4))/(VLOOKUP(DP$72,INDIRECT($C$5&amp;"生成成长"),5))*(VLOOKUP($B$5,标准坦克设计!$B$24:$U$30,MATCH("对"&amp;LEFT($C$5,2)&amp;"输出",标准坦克设计!$B$23:$U$23,0)))*(VLOOKUP($B157,INDIRECT($B$5&amp;"生成成长"),3))*(VLOOKUP($B$5,标准坦克设计!$B$14:$K$20,9)/30))</f>
        <v>3.766083526423404</v>
      </c>
      <c r="DQ157" s="172">
        <f ca="1">(VLOOKUP(DQ$72,INDIRECT($C$5&amp;"生成成长"),2))/((VLOOKUP($B157,INDIRECT($B$5&amp;"生成成长"),4))/(VLOOKUP(DQ$72,INDIRECT($C$5&amp;"生成成长"),5))*(VLOOKUP($B$5,标准坦克设计!$B$24:$U$30,MATCH("对"&amp;LEFT($C$5,2)&amp;"输出",标准坦克设计!$B$23:$U$23,0)))*(VLOOKUP($B157,INDIRECT($B$5&amp;"生成成长"),3))*(VLOOKUP($B$5,标准坦克设计!$B$14:$K$20,9)/30))</f>
        <v>4.1074245434631633</v>
      </c>
      <c r="DR157" s="172">
        <f ca="1">(VLOOKUP(DR$72,INDIRECT($C$5&amp;"生成成长"),2))/((VLOOKUP($B157,INDIRECT($B$5&amp;"生成成长"),4))/(VLOOKUP(DR$72,INDIRECT($C$5&amp;"生成成长"),5))*(VLOOKUP($B$5,标准坦克设计!$B$24:$U$30,MATCH("对"&amp;LEFT($C$5,2)&amp;"输出",标准坦克设计!$B$23:$U$23,0)))*(VLOOKUP($B157,INDIRECT($B$5&amp;"生成成长"),3))*(VLOOKUP($B$5,标准坦克设计!$B$14:$K$20,9)/30))</f>
        <v>4.4635707130492248</v>
      </c>
      <c r="DS157" s="172">
        <f ca="1">(VLOOKUP(DS$72,INDIRECT($C$5&amp;"生成成长"),2))/((VLOOKUP($B157,INDIRECT($B$5&amp;"生成成长"),4))/(VLOOKUP(DS$72,INDIRECT($C$5&amp;"生成成长"),5))*(VLOOKUP($B$5,标准坦克设计!$B$24:$U$30,MATCH("对"&amp;LEFT($C$5,2)&amp;"输出",标准坦克设计!$B$23:$U$23,0)))*(VLOOKUP($B157,INDIRECT($B$5&amp;"生成成长"),3))*(VLOOKUP($B$5,标准坦克设计!$B$14:$K$20,9)/30))</f>
        <v>4.8345220351815881</v>
      </c>
      <c r="DT157" s="172">
        <f ca="1">(VLOOKUP(DT$72,INDIRECT($C$5&amp;"生成成长"),2))/((VLOOKUP($B157,INDIRECT($B$5&amp;"生成成长"),4))/(VLOOKUP(DT$72,INDIRECT($C$5&amp;"生成成长"),5))*(VLOOKUP($B$5,标准坦克设计!$B$24:$U$30,MATCH("对"&amp;LEFT($C$5,2)&amp;"输出",标准坦克设计!$B$23:$U$23,0)))*(VLOOKUP($B157,INDIRECT($B$5&amp;"生成成长"),3))*(VLOOKUP($B$5,标准坦克设计!$B$14:$K$20,9)/30))</f>
        <v>5.3080127471716798</v>
      </c>
      <c r="DU157" s="172">
        <f ca="1">(VLOOKUP(DU$72,INDIRECT($C$5&amp;"生成成长"),2))/((VLOOKUP($B157,INDIRECT($B$5&amp;"生成成长"),4))/(VLOOKUP(DU$72,INDIRECT($C$5&amp;"生成成长"),5))*(VLOOKUP($B$5,标准坦克设计!$B$24:$U$30,MATCH("对"&amp;LEFT($C$5,2)&amp;"输出",标准坦克设计!$B$23:$U$23,0)))*(VLOOKUP($B157,INDIRECT($B$5&amp;"生成成长"),3))*(VLOOKUP($B$5,标准坦克设计!$B$14:$K$20,9)/30))</f>
        <v>5.8036197981506907</v>
      </c>
      <c r="DV157" s="172">
        <f ca="1">(VLOOKUP(DV$72,INDIRECT($C$5&amp;"生成成长"),2))/((VLOOKUP($B157,INDIRECT($B$5&amp;"生成成长"),4))/(VLOOKUP(DV$72,INDIRECT($C$5&amp;"生成成长"),5))*(VLOOKUP($B$5,标准坦克设计!$B$24:$U$30,MATCH("对"&amp;LEFT($C$5,2)&amp;"输出",标准坦克设计!$B$23:$U$23,0)))*(VLOOKUP($B157,INDIRECT($B$5&amp;"生成成长"),3))*(VLOOKUP($B$5,标准坦克设计!$B$14:$K$20,9)/30))</f>
        <v>6.3213431881186244</v>
      </c>
      <c r="DW157" s="172">
        <f ca="1">(VLOOKUP(DW$72,INDIRECT($C$5&amp;"生成成长"),2))/((VLOOKUP($B157,INDIRECT($B$5&amp;"生成成长"),4))/(VLOOKUP(DW$72,INDIRECT($C$5&amp;"生成成长"),5))*(VLOOKUP($B$5,标准坦克设计!$B$24:$U$30,MATCH("对"&amp;LEFT($C$5,2)&amp;"输出",标准坦克设计!$B$23:$U$23,0)))*(VLOOKUP($B157,INDIRECT($B$5&amp;"生成成长"),3))*(VLOOKUP($B$5,标准坦克设计!$B$14:$K$20,9)/30))</f>
        <v>6.861182917075479</v>
      </c>
      <c r="DX157" s="172">
        <f ca="1">(VLOOKUP(DX$72,INDIRECT($C$5&amp;"生成成长"),2))/((VLOOKUP($B157,INDIRECT($B$5&amp;"生成成长"),4))/(VLOOKUP(DX$72,INDIRECT($C$5&amp;"生成成长"),5))*(VLOOKUP($B$5,标准坦克设计!$B$24:$U$30,MATCH("对"&amp;LEFT($C$5,2)&amp;"输出",标准坦克设计!$B$23:$U$23,0)))*(VLOOKUP($B157,INDIRECT($B$5&amp;"生成成长"),3))*(VLOOKUP($B$5,标准坦克设计!$B$14:$K$20,9)/30))</f>
        <v>7.4231389850212564</v>
      </c>
      <c r="DY157" s="172">
        <f ca="1">(VLOOKUP(DY$72,INDIRECT($C$5&amp;"生成成长"),2))/((VLOOKUP($B157,INDIRECT($B$5&amp;"生成成长"),4))/(VLOOKUP(DY$72,INDIRECT($C$5&amp;"生成成长"),5))*(VLOOKUP($B$5,标准坦克设计!$B$24:$U$30,MATCH("对"&amp;LEFT($C$5,2)&amp;"输出",标准坦克设计!$B$23:$U$23,0)))*(VLOOKUP($B157,INDIRECT($B$5&amp;"生成成长"),3))*(VLOOKUP($B$5,标准坦克设计!$B$14:$K$20,9)/30))</f>
        <v>3.3339924076646414</v>
      </c>
      <c r="DZ157" s="172">
        <f ca="1">(VLOOKUP(DZ$72,INDIRECT($C$5&amp;"生成成长"),2))/((VLOOKUP($B157,INDIRECT($B$5&amp;"生成成长"),4))/(VLOOKUP(DZ$72,INDIRECT($C$5&amp;"生成成长"),5))*(VLOOKUP($B$5,标准坦克设计!$B$24:$U$30,MATCH("对"&amp;LEFT($C$5,2)&amp;"输出",标准坦克设计!$B$23:$U$23,0)))*(VLOOKUP($B157,INDIRECT($B$5&amp;"生成成长"),3))*(VLOOKUP($B$5,标准坦克设计!$B$14:$K$20,9)/30))</f>
        <v>3.6922405433529555</v>
      </c>
      <c r="EA157" s="172">
        <f ca="1">(VLOOKUP(EA$72,INDIRECT($C$5&amp;"生成成长"),2))/((VLOOKUP($B157,INDIRECT($B$5&amp;"生成成长"),4))/(VLOOKUP(EA$72,INDIRECT($C$5&amp;"生成成长"),5))*(VLOOKUP($B$5,标准坦克设计!$B$24:$U$30,MATCH("对"&amp;LEFT($C$5,2)&amp;"输出",标准坦克设计!$B$23:$U$23,0)))*(VLOOKUP($B157,INDIRECT($B$5&amp;"生成成长"),3))*(VLOOKUP($B$5,标准坦克设计!$B$14:$K$20,9)/30))</f>
        <v>4.0687666451478171</v>
      </c>
      <c r="EB157" s="172">
        <f ca="1">(VLOOKUP(EB$72,INDIRECT($C$5&amp;"生成成长"),2))/((VLOOKUP($B157,INDIRECT($B$5&amp;"生成成长"),4))/(VLOOKUP(EB$72,INDIRECT($C$5&amp;"生成成长"),5))*(VLOOKUP($B$5,标准坦克设计!$B$24:$U$30,MATCH("对"&amp;LEFT($C$5,2)&amp;"输出",标准坦克设计!$B$23:$U$23,0)))*(VLOOKUP($B157,INDIRECT($B$5&amp;"生成成长"),3))*(VLOOKUP($B$5,标准坦克设计!$B$14:$K$20,9)/30))</f>
        <v>4.4635707130492248</v>
      </c>
      <c r="EC157" s="172">
        <f ca="1">(VLOOKUP(EC$72,INDIRECT($C$5&amp;"生成成长"),2))/((VLOOKUP($B157,INDIRECT($B$5&amp;"生成成长"),4))/(VLOOKUP(EC$72,INDIRECT($C$5&amp;"生成成长"),5))*(VLOOKUP($B$5,标准坦克设计!$B$24:$U$30,MATCH("对"&amp;LEFT($C$5,2)&amp;"输出",标准坦克设计!$B$23:$U$23,0)))*(VLOOKUP($B157,INDIRECT($B$5&amp;"生成成长"),3))*(VLOOKUP($B$5,标准坦克设计!$B$14:$K$20,9)/30))</f>
        <v>4.8766527470571779</v>
      </c>
      <c r="ED157" s="172">
        <f ca="1">(VLOOKUP(ED$72,INDIRECT($C$5&amp;"生成成长"),2))/((VLOOKUP($B157,INDIRECT($B$5&amp;"生成成长"),4))/(VLOOKUP(ED$72,INDIRECT($C$5&amp;"生成成长"),5))*(VLOOKUP($B$5,标准坦克设计!$B$24:$U$30,MATCH("对"&amp;LEFT($C$5,2)&amp;"输出",标准坦克设计!$B$23:$U$23,0)))*(VLOOKUP($B157,INDIRECT($B$5&amp;"生成成长"),3))*(VLOOKUP($B$5,标准坦克设计!$B$14:$K$20,9)/30))</f>
        <v>5.3080127471716798</v>
      </c>
      <c r="EE157" s="172">
        <f ca="1">(VLOOKUP(EE$72,INDIRECT($C$5&amp;"生成成长"),2))/((VLOOKUP($B157,INDIRECT($B$5&amp;"生成成长"),4))/(VLOOKUP(EE$72,INDIRECT($C$5&amp;"生成成长"),5))*(VLOOKUP($B$5,标准坦克设计!$B$24:$U$30,MATCH("对"&amp;LEFT($C$5,2)&amp;"输出",标准坦克设计!$B$23:$U$23,0)))*(VLOOKUP($B157,INDIRECT($B$5&amp;"生成成长"),3))*(VLOOKUP($B$5,标准坦克设计!$B$14:$K$20,9)/30))</f>
        <v>5.7576507133927262</v>
      </c>
      <c r="EF157" s="172">
        <f ca="1">(VLOOKUP(EF$72,INDIRECT($C$5&amp;"生成成长"),2))/((VLOOKUP($B157,INDIRECT($B$5&amp;"生成成长"),4))/(VLOOKUP(EF$72,INDIRECT($C$5&amp;"生成成长"),5))*(VLOOKUP($B$5,标准坦克设计!$B$24:$U$30,MATCH("对"&amp;LEFT($C$5,2)&amp;"输出",标准坦克设计!$B$23:$U$23,0)))*(VLOOKUP($B157,INDIRECT($B$5&amp;"生成成长"),3))*(VLOOKUP($B$5,标准坦克设计!$B$14:$K$20,9)/30))</f>
        <v>6.2255666457203205</v>
      </c>
      <c r="EG157" s="172">
        <f ca="1">(VLOOKUP(EG$72,INDIRECT($C$5&amp;"生成成长"),2))/((VLOOKUP($B157,INDIRECT($B$5&amp;"生成成长"),4))/(VLOOKUP(EG$72,INDIRECT($C$5&amp;"生成成长"),5))*(VLOOKUP($B$5,标准坦克设计!$B$24:$U$30,MATCH("对"&amp;LEFT($C$5,2)&amp;"输出",标准坦克设计!$B$23:$U$23,0)))*(VLOOKUP($B157,INDIRECT($B$5&amp;"生成成长"),3))*(VLOOKUP($B$5,标准坦克设计!$B$14:$K$20,9)/30))</f>
        <v>6.7117605441544619</v>
      </c>
      <c r="EH157" s="172">
        <f ca="1">(VLOOKUP(EH$72,INDIRECT($C$5&amp;"生成成长"),2))/((VLOOKUP($B157,INDIRECT($B$5&amp;"生成成长"),4))/(VLOOKUP(EH$72,INDIRECT($C$5&amp;"生成成长"),5))*(VLOOKUP($B$5,标准坦克设计!$B$24:$U$30,MATCH("对"&amp;LEFT($C$5,2)&amp;"输出",标准坦克设计!$B$23:$U$23,0)))*(VLOOKUP($B157,INDIRECT($B$5&amp;"生成成长"),3))*(VLOOKUP($B$5,标准坦克设计!$B$14:$K$20,9)/30))</f>
        <v>7.2162324086951486</v>
      </c>
      <c r="EI157" s="172">
        <f ca="1">(VLOOKUP(EI$72,INDIRECT($C$5&amp;"生成成长"),2))/((VLOOKUP($B157,INDIRECT($B$5&amp;"生成成长"),4))/(VLOOKUP(EI$72,INDIRECT($C$5&amp;"生成成长"),5))*(VLOOKUP($B$5,标准坦克设计!$B$24:$U$30,MATCH("对"&amp;LEFT($C$5,2)&amp;"输出",标准坦克设计!$B$23:$U$23,0)))*(VLOOKUP($B157,INDIRECT($B$5&amp;"生成成长"),3))*(VLOOKUP($B$5,标准坦克设计!$B$14:$K$20,9)/30))</f>
        <v>7.7389822393423833</v>
      </c>
      <c r="EJ157" s="172">
        <f ca="1">(VLOOKUP(EJ$72,INDIRECT($C$5&amp;"生成成长"),2))/((VLOOKUP($B157,INDIRECT($B$5&amp;"生成成长"),4))/(VLOOKUP(EJ$72,INDIRECT($C$5&amp;"生成成长"),5))*(VLOOKUP($B$5,标准坦克设计!$B$24:$U$30,MATCH("对"&amp;LEFT($C$5,2)&amp;"输出",标准坦克设计!$B$23:$U$23,0)))*(VLOOKUP($B157,INDIRECT($B$5&amp;"生成成长"),3))*(VLOOKUP($B$5,标准坦克设计!$B$14:$K$20,9)/30))</f>
        <v>8.280010036096165</v>
      </c>
      <c r="EK157" s="172">
        <f ca="1">(VLOOKUP(EK$72,INDIRECT($C$5&amp;"生成成长"),2))/((VLOOKUP($B157,INDIRECT($B$5&amp;"生成成长"),4))/(VLOOKUP(EK$72,INDIRECT($C$5&amp;"生成成长"),5))*(VLOOKUP($B$5,标准坦克设计!$B$24:$U$30,MATCH("对"&amp;LEFT($C$5,2)&amp;"输出",标准坦克设计!$B$23:$U$23,0)))*(VLOOKUP($B157,INDIRECT($B$5&amp;"生成成长"),3))*(VLOOKUP($B$5,标准坦克设计!$B$14:$K$20,9)/30))</f>
        <v>8.9533703074613413</v>
      </c>
      <c r="EL157" s="172">
        <f ca="1">(VLOOKUP(EL$72,INDIRECT($C$5&amp;"生成成长"),2))/((VLOOKUP($B157,INDIRECT($B$5&amp;"生成成长"),4))/(VLOOKUP(EL$72,INDIRECT($C$5&amp;"生成成长"),5))*(VLOOKUP($B$5,标准坦克设计!$B$24:$U$30,MATCH("对"&amp;LEFT($C$5,2)&amp;"输出",标准坦克设计!$B$23:$U$23,0)))*(VLOOKUP($B157,INDIRECT($B$5&amp;"生成成长"),3))*(VLOOKUP($B$5,标准坦克设计!$B$14:$K$20,9)/30))</f>
        <v>9.6530508500199481</v>
      </c>
      <c r="EM157" s="172">
        <f ca="1">(VLOOKUP(EM$72,INDIRECT($C$5&amp;"生成成长"),2))/((VLOOKUP($B157,INDIRECT($B$5&amp;"生成成长"),4))/(VLOOKUP(EM$72,INDIRECT($C$5&amp;"生成成长"),5))*(VLOOKUP($B$5,标准坦克设计!$B$24:$U$30,MATCH("对"&amp;LEFT($C$5,2)&amp;"输出",标准坦克设计!$B$23:$U$23,0)))*(VLOOKUP($B157,INDIRECT($B$5&amp;"生成成长"),3))*(VLOOKUP($B$5,标准坦克设计!$B$14:$K$20,9)/30))</f>
        <v>10.379051663771982</v>
      </c>
      <c r="EN157" s="172">
        <f ca="1">(VLOOKUP(EN$72,INDIRECT($C$5&amp;"生成成长"),2))/((VLOOKUP($B157,INDIRECT($B$5&amp;"生成成长"),4))/(VLOOKUP(EN$72,INDIRECT($C$5&amp;"生成成长"),5))*(VLOOKUP($B$5,标准坦克设计!$B$24:$U$30,MATCH("对"&amp;LEFT($C$5,2)&amp;"输出",标准坦克设计!$B$23:$U$23,0)))*(VLOOKUP($B157,INDIRECT($B$5&amp;"生成成长"),3))*(VLOOKUP($B$5,标准坦克设计!$B$14:$K$20,9)/30))</f>
        <v>11.131372748717441</v>
      </c>
      <c r="EO157" s="172">
        <f ca="1">(VLOOKUP(EO$72,INDIRECT($C$5&amp;"生成成长"),2))/((VLOOKUP($B157,INDIRECT($B$5&amp;"生成成长"),4))/(VLOOKUP(EO$72,INDIRECT($C$5&amp;"生成成长"),5))*(VLOOKUP($B$5,标准坦克设计!$B$24:$U$30,MATCH("对"&amp;LEFT($C$5,2)&amp;"输出",标准坦克设计!$B$23:$U$23,0)))*(VLOOKUP($B157,INDIRECT($B$5&amp;"生成成长"),3))*(VLOOKUP($B$5,标准坦克设计!$B$14:$K$20,9)/30))</f>
        <v>11.91001410485633</v>
      </c>
      <c r="EP157" s="172">
        <f ca="1">(VLOOKUP(EP$72,INDIRECT($C$5&amp;"生成成长"),2))/((VLOOKUP($B157,INDIRECT($B$5&amp;"生成成长"),4))/(VLOOKUP(EP$72,INDIRECT($C$5&amp;"生成成长"),5))*(VLOOKUP($B$5,标准坦克设计!$B$24:$U$30,MATCH("对"&amp;LEFT($C$5,2)&amp;"输出",标准坦克设计!$B$23:$U$23,0)))*(VLOOKUP($B157,INDIRECT($B$5&amp;"生成成长"),3))*(VLOOKUP($B$5,标准坦克设计!$B$14:$K$20,9)/30))</f>
        <v>12.714975732188641</v>
      </c>
      <c r="EQ157" s="172">
        <f ca="1">(VLOOKUP(EQ$72,INDIRECT($C$5&amp;"生成成长"),2))/((VLOOKUP($B157,INDIRECT($B$5&amp;"生成成长"),4))/(VLOOKUP(EQ$72,INDIRECT($C$5&amp;"生成成长"),5))*(VLOOKUP($B$5,标准坦克设计!$B$24:$U$30,MATCH("对"&amp;LEFT($C$5,2)&amp;"输出",标准坦克设计!$B$23:$U$23,0)))*(VLOOKUP($B157,INDIRECT($B$5&amp;"生成成长"),3))*(VLOOKUP($B$5,标准坦克设计!$B$14:$K$20,9)/30))</f>
        <v>5.6208401370852252</v>
      </c>
      <c r="ER157" s="172">
        <f ca="1">(VLOOKUP(ER$72,INDIRECT($C$5&amp;"生成成长"),2))/((VLOOKUP($B157,INDIRECT($B$5&amp;"生成成长"),4))/(VLOOKUP(ER$72,INDIRECT($C$5&amp;"生成成长"),5))*(VLOOKUP($B$5,标准坦克设计!$B$24:$U$30,MATCH("对"&amp;LEFT($C$5,2)&amp;"输出",标准坦克设计!$B$23:$U$23,0)))*(VLOOKUP($B157,INDIRECT($B$5&amp;"生成成长"),3))*(VLOOKUP($B$5,标准坦克设计!$B$14:$K$20,9)/30))</f>
        <v>6.1305212219662772</v>
      </c>
      <c r="ES157" s="172">
        <f ca="1">(VLOOKUP(ES$72,INDIRECT($C$5&amp;"生成成长"),2))/((VLOOKUP($B157,INDIRECT($B$5&amp;"生成成长"),4))/(VLOOKUP(ES$72,INDIRECT($C$5&amp;"生成成长"),5))*(VLOOKUP($B$5,标准坦克设计!$B$24:$U$30,MATCH("对"&amp;LEFT($C$5,2)&amp;"输出",标准坦克设计!$B$23:$U$23,0)))*(VLOOKUP($B157,INDIRECT($B$5&amp;"生成成长"),3))*(VLOOKUP($B$5,标准坦克设计!$B$14:$K$20,9)/30))</f>
        <v>6.6623186458362529</v>
      </c>
      <c r="ET157" s="172">
        <f ca="1">(VLOOKUP(ET$72,INDIRECT($C$5&amp;"生成成长"),2))/((VLOOKUP($B157,INDIRECT($B$5&amp;"生成成长"),4))/(VLOOKUP(ET$72,INDIRECT($C$5&amp;"生成成长"),5))*(VLOOKUP($B$5,标准坦克设计!$B$24:$U$30,MATCH("对"&amp;LEFT($C$5,2)&amp;"输出",标准坦克设计!$B$23:$U$23,0)))*(VLOOKUP($B157,INDIRECT($B$5&amp;"生成成长"),3))*(VLOOKUP($B$5,标准坦克设计!$B$14:$K$20,9)/30))</f>
        <v>7.2162324086951486</v>
      </c>
      <c r="EU157" s="172">
        <f ca="1">(VLOOKUP(EU$72,INDIRECT($C$5&amp;"生成成长"),2))/((VLOOKUP($B157,INDIRECT($B$5&amp;"生成成长"),4))/(VLOOKUP(EU$72,INDIRECT($C$5&amp;"生成成长"),5))*(VLOOKUP($B$5,标准坦克设计!$B$24:$U$30,MATCH("对"&amp;LEFT($C$5,2)&amp;"输出",标准坦克设计!$B$23:$U$23,0)))*(VLOOKUP($B157,INDIRECT($B$5&amp;"生成成长"),3))*(VLOOKUP($B$5,标准坦克设计!$B$14:$K$20,9)/30))</f>
        <v>7.7922625105429661</v>
      </c>
      <c r="EV157" s="172">
        <f ca="1">(VLOOKUP(EV$72,INDIRECT($C$5&amp;"生成成长"),2))/((VLOOKUP($B157,INDIRECT($B$5&amp;"生成成长"),4))/(VLOOKUP(EV$72,INDIRECT($C$5&amp;"生成成长"),5))*(VLOOKUP($B$5,标准坦克设计!$B$24:$U$30,MATCH("对"&amp;LEFT($C$5,2)&amp;"输出",标准坦克设计!$B$23:$U$23,0)))*(VLOOKUP($B157,INDIRECT($B$5&amp;"生成成长"),3))*(VLOOKUP($B$5,标准坦克设计!$B$14:$K$20,9)/30))</f>
        <v>8.3904089513797047</v>
      </c>
      <c r="EW157" s="172">
        <f ca="1">(VLOOKUP(EW$72,INDIRECT($C$5&amp;"生成成长"),2))/((VLOOKUP($B157,INDIRECT($B$5&amp;"生成成长"),4))/(VLOOKUP(EW$72,INDIRECT($C$5&amp;"生成成长"),5))*(VLOOKUP($B$5,标准坦克设计!$B$24:$U$30,MATCH("对"&amp;LEFT($C$5,2)&amp;"输出",标准坦克设计!$B$23:$U$23,0)))*(VLOOKUP($B157,INDIRECT($B$5&amp;"生成成长"),3))*(VLOOKUP($B$5,标准坦克设计!$B$14:$K$20,9)/30))</f>
        <v>9.0106717312053668</v>
      </c>
      <c r="EX157" s="172">
        <f ca="1">(VLOOKUP(EX$72,INDIRECT($C$5&amp;"生成成长"),2))/((VLOOKUP($B157,INDIRECT($B$5&amp;"生成成长"),4))/(VLOOKUP(EX$72,INDIRECT($C$5&amp;"生成成长"),5))*(VLOOKUP($B$5,标准坦克设计!$B$24:$U$30,MATCH("对"&amp;LEFT($C$5,2)&amp;"输出",标准坦克设计!$B$23:$U$23,0)))*(VLOOKUP($B157,INDIRECT($B$5&amp;"生成成长"),3))*(VLOOKUP($B$5,标准坦克设计!$B$14:$K$20,9)/30))</f>
        <v>9.6530508500199481</v>
      </c>
      <c r="EY157" s="172">
        <f ca="1">(VLOOKUP(EY$72,INDIRECT($C$5&amp;"生成成长"),2))/((VLOOKUP($B157,INDIRECT($B$5&amp;"生成成长"),4))/(VLOOKUP(EY$72,INDIRECT($C$5&amp;"生成成长"),5))*(VLOOKUP($B$5,标准坦克设计!$B$24:$U$30,MATCH("对"&amp;LEFT($C$5,2)&amp;"输出",标准坦克设计!$B$23:$U$23,0)))*(VLOOKUP($B157,INDIRECT($B$5&amp;"生成成长"),3))*(VLOOKUP($B$5,标准坦克设计!$B$14:$K$20,9)/30))</f>
        <v>10.31754630782345</v>
      </c>
      <c r="EZ157" s="172">
        <f ca="1">(VLOOKUP(EZ$72,INDIRECT($C$5&amp;"生成成长"),2))/((VLOOKUP($B157,INDIRECT($B$5&amp;"生成成长"),4))/(VLOOKUP(EZ$72,INDIRECT($C$5&amp;"生成成长"),5))*(VLOOKUP($B$5,标准坦克设计!$B$24:$U$30,MATCH("对"&amp;LEFT($C$5,2)&amp;"输出",标准坦克设计!$B$23:$U$23,0)))*(VLOOKUP($B157,INDIRECT($B$5&amp;"生成成长"),3))*(VLOOKUP($B$5,标准坦克设计!$B$14:$K$20,9)/30))</f>
        <v>11.004158104615877</v>
      </c>
      <c r="FA157" s="172">
        <f ca="1">(VLOOKUP(FA$72,INDIRECT($C$5&amp;"生成成长"),2))/((VLOOKUP($B157,INDIRECT($B$5&amp;"生成成长"),4))/(VLOOKUP(FA$72,INDIRECT($C$5&amp;"生成成长"),5))*(VLOOKUP($B$5,标准坦克设计!$B$24:$U$30,MATCH("对"&amp;LEFT($C$5,2)&amp;"输出",标准坦克设计!$B$23:$U$23,0)))*(VLOOKUP($B157,INDIRECT($B$5&amp;"生成成长"),3))*(VLOOKUP($B$5,标准坦克设计!$B$14:$K$20,9)/30))</f>
        <v>11.712886240397223</v>
      </c>
      <c r="FB157" s="172">
        <f ca="1">(VLOOKUP(FB$72,INDIRECT($C$5&amp;"生成成长"),2))/((VLOOKUP($B157,INDIRECT($B$5&amp;"生成成长"),4))/(VLOOKUP(FB$72,INDIRECT($C$5&amp;"生成成长"),5))*(VLOOKUP($B$5,标准坦克设计!$B$24:$U$30,MATCH("对"&amp;LEFT($C$5,2)&amp;"输出",标准坦克设计!$B$23:$U$23,0)))*(VLOOKUP($B157,INDIRECT($B$5&amp;"生成成长"),3))*(VLOOKUP($B$5,标准坦克设计!$B$14:$K$20,9)/30))</f>
        <v>12.443730715167488</v>
      </c>
      <c r="FC157" s="172">
        <f ca="1">(VLOOKUP(FC$72,INDIRECT($C$5&amp;"生成成长"),2))/((VLOOKUP($B157,INDIRECT($B$5&amp;"生成成长"),4))/(VLOOKUP(FC$72,INDIRECT($C$5&amp;"生成成长"),5))*(VLOOKUP($B$5,标准坦克设计!$B$24:$U$30,MATCH("对"&amp;LEFT($C$5,2)&amp;"输出",标准坦克设计!$B$23:$U$23,0)))*(VLOOKUP($B157,INDIRECT($B$5&amp;"生成成长"),3))*(VLOOKUP($B$5,标准坦克设计!$B$14:$K$20,9)/30))</f>
        <v>13.19669152892668</v>
      </c>
      <c r="FD157" s="172">
        <f ca="1">(VLOOKUP(FD$72,INDIRECT($C$5&amp;"生成成长"),2))/((VLOOKUP($B157,INDIRECT($B$5&amp;"生成成长"),4))/(VLOOKUP(FD$72,INDIRECT($C$5&amp;"生成成长"),5))*(VLOOKUP($B$5,标准坦克设计!$B$24:$U$30,MATCH("对"&amp;LEFT($C$5,2)&amp;"输出",标准坦克设计!$B$23:$U$23,0)))*(VLOOKUP($B157,INDIRECT($B$5&amp;"生成成长"),3))*(VLOOKUP($B$5,标准坦克设计!$B$14:$K$20,9)/30))</f>
        <v>13.971768681674789</v>
      </c>
      <c r="FE157" s="172">
        <f ca="1">(VLOOKUP(FE$72,INDIRECT($C$5&amp;"生成成长"),2))/((VLOOKUP($B157,INDIRECT($B$5&amp;"生成成长"),4))/(VLOOKUP(FE$72,INDIRECT($C$5&amp;"生成成长"),5))*(VLOOKUP($B$5,标准坦克设计!$B$24:$U$30,MATCH("对"&amp;LEFT($C$5,2)&amp;"输出",标准坦克设计!$B$23:$U$23,0)))*(VLOOKUP($B157,INDIRECT($B$5&amp;"生成成长"),3))*(VLOOKUP($B$5,标准坦克设计!$B$14:$K$20,9)/30))</f>
        <v>14.916282580230586</v>
      </c>
      <c r="FF157" s="172">
        <f ca="1">(VLOOKUP(FF$72,INDIRECT($C$5&amp;"生成成长"),2))/((VLOOKUP($B157,INDIRECT($B$5&amp;"生成成长"),4))/(VLOOKUP(FF$72,INDIRECT($C$5&amp;"生成成长"),5))*(VLOOKUP($B$5,标准坦克设计!$B$24:$U$30,MATCH("对"&amp;LEFT($C$5,2)&amp;"输出",标准坦克设计!$B$23:$U$23,0)))*(VLOOKUP($B157,INDIRECT($B$5&amp;"生成成长"),3))*(VLOOKUP($B$5,标准坦克设计!$B$14:$K$20,9)/30))</f>
        <v>15.89168624150645</v>
      </c>
      <c r="FG157" s="172">
        <f ca="1">(VLOOKUP(FG$72,INDIRECT($C$5&amp;"生成成长"),2))/((VLOOKUP($B157,INDIRECT($B$5&amp;"生成成长"),4))/(VLOOKUP(FG$72,INDIRECT($C$5&amp;"生成成长"),5))*(VLOOKUP($B$5,标准坦克设计!$B$24:$U$30,MATCH("对"&amp;LEFT($C$5,2)&amp;"输出",标准坦克设计!$B$23:$U$23,0)))*(VLOOKUP($B157,INDIRECT($B$5&amp;"生成成长"),3))*(VLOOKUP($B$5,标准坦克设计!$B$14:$K$20,9)/30))</f>
        <v>16.897979665502376</v>
      </c>
      <c r="FH157" s="172">
        <f ca="1">(VLOOKUP(FH$72,INDIRECT($C$5&amp;"生成成长"),2))/((VLOOKUP($B157,INDIRECT($B$5&amp;"生成成长"),4))/(VLOOKUP(FH$72,INDIRECT($C$5&amp;"生成成长"),5))*(VLOOKUP($B$5,标准坦克设计!$B$24:$U$30,MATCH("对"&amp;LEFT($C$5,2)&amp;"输出",标准坦克设计!$B$23:$U$23,0)))*(VLOOKUP($B157,INDIRECT($B$5&amp;"生成成长"),3))*(VLOOKUP($B$5,标准坦克设计!$B$14:$K$20,9)/30))</f>
        <v>17.935162852218369</v>
      </c>
      <c r="FI157" s="172">
        <f ca="1">(VLOOKUP(FI$72,INDIRECT($C$5&amp;"生成成长"),2))/((VLOOKUP($B157,INDIRECT($B$5&amp;"生成成长"),4))/(VLOOKUP(FI$72,INDIRECT($C$5&amp;"生成成长"),5))*(VLOOKUP($B$5,标准坦克设计!$B$24:$U$30,MATCH("对"&amp;LEFT($C$5,2)&amp;"输出",标准坦克设计!$B$23:$U$23,0)))*(VLOOKUP($B157,INDIRECT($B$5&amp;"生成成长"),3))*(VLOOKUP($B$5,标准坦克设计!$B$14:$K$20,9)/30))</f>
        <v>19.003235801654416</v>
      </c>
      <c r="FJ157" s="172">
        <f ca="1">(VLOOKUP(FJ$72,INDIRECT($C$5&amp;"生成成长"),2))/((VLOOKUP($B157,INDIRECT($B$5&amp;"生成成长"),4))/(VLOOKUP(FJ$72,INDIRECT($C$5&amp;"生成成长"),5))*(VLOOKUP($B$5,标准坦克设计!$B$24:$U$30,MATCH("对"&amp;LEFT($C$5,2)&amp;"输出",标准坦克设计!$B$23:$U$23,0)))*(VLOOKUP($B157,INDIRECT($B$5&amp;"生成成长"),3))*(VLOOKUP($B$5,标准坦克设计!$B$14:$K$20,9)/30))</f>
        <v>20.102198513810531</v>
      </c>
      <c r="FK157" s="172">
        <f ca="1">(VLOOKUP(FK$72,INDIRECT($C$5&amp;"生成成长"),2))/((VLOOKUP($B157,INDIRECT($B$5&amp;"生成成长"),4))/(VLOOKUP(FK$72,INDIRECT($C$5&amp;"生成成长"),5))*(VLOOKUP($B$5,标准坦克设计!$B$24:$U$30,MATCH("对"&amp;LEFT($C$5,2)&amp;"输出",标准坦克设计!$B$23:$U$23,0)))*(VLOOKUP($B157,INDIRECT($B$5&amp;"生成成长"),3))*(VLOOKUP($B$5,标准坦克设计!$B$14:$K$20,9)/30))</f>
        <v>21.232050988686719</v>
      </c>
    </row>
    <row r="158" spans="1:167" x14ac:dyDescent="0.15">
      <c r="A158" s="170" t="str">
        <f t="shared" si="12"/>
        <v>T4中品质14级</v>
      </c>
      <c r="B158" s="171">
        <v>20414</v>
      </c>
      <c r="C158" s="172">
        <f ca="1">(VLOOKUP(C$72,INDIRECT($C$5&amp;"生成成长"),2))/((VLOOKUP($B158,INDIRECT($B$5&amp;"生成成长"),4))/(VLOOKUP(C$72,INDIRECT($C$5&amp;"生成成长"),5))*(VLOOKUP($B$5,标准坦克设计!$B$24:$U$30,MATCH("对"&amp;LEFT($C$5,2)&amp;"输出",标准坦克设计!$B$23:$U$23,0)))*(VLOOKUP($B158,INDIRECT($B$5&amp;"生成成长"),3))*(VLOOKUP($B$5,标准坦克设计!$B$14:$K$20,9)/30))</f>
        <v>0.85064411847882693</v>
      </c>
      <c r="D158" s="172">
        <f ca="1">(VLOOKUP(D$72,INDIRECT($C$5&amp;"生成成长"),2))/((VLOOKUP($B158,INDIRECT($B$5&amp;"生成成长"),4))/(VLOOKUP(D$72,INDIRECT($C$5&amp;"生成成长"),5))*(VLOOKUP($B$5,标准坦克设计!$B$24:$U$30,MATCH("对"&amp;LEFT($C$5,2)&amp;"输出",标准坦克设计!$B$23:$U$23,0)))*(VLOOKUP($B158,INDIRECT($B$5&amp;"生成成长"),3))*(VLOOKUP($B$5,标准坦克设计!$B$14:$K$20,9)/30))</f>
        <v>0.95578373152280993</v>
      </c>
      <c r="E158" s="172">
        <f ca="1">(VLOOKUP(E$72,INDIRECT($C$5&amp;"生成成长"),2))/((VLOOKUP($B158,INDIRECT($B$5&amp;"生成成长"),4))/(VLOOKUP(E$72,INDIRECT($C$5&amp;"生成成长"),5))*(VLOOKUP($B$5,标准坦克设计!$B$24:$U$30,MATCH("对"&amp;LEFT($C$5,2)&amp;"输出",标准坦克设计!$B$23:$U$23,0)))*(VLOOKUP($B158,INDIRECT($B$5&amp;"生成成长"),3))*(VLOOKUP($B$5,标准坦克设计!$B$14:$K$20,9)/30))</f>
        <v>1.0670479822198404</v>
      </c>
      <c r="F158" s="172">
        <f ca="1">(VLOOKUP(F$72,INDIRECT($C$5&amp;"生成成长"),2))/((VLOOKUP($B158,INDIRECT($B$5&amp;"生成成长"),4))/(VLOOKUP(F$72,INDIRECT($C$5&amp;"生成成长"),5))*(VLOOKUP($B$5,标准坦克设计!$B$24:$U$30,MATCH("对"&amp;LEFT($C$5,2)&amp;"输出",标准坦克设计!$B$23:$U$23,0)))*(VLOOKUP($B158,INDIRECT($B$5&amp;"生成成长"),3))*(VLOOKUP($B$5,标准坦克设计!$B$14:$K$20,9)/30))</f>
        <v>1.1844368705699184</v>
      </c>
      <c r="G158" s="172">
        <f ca="1">(VLOOKUP(G$72,INDIRECT($C$5&amp;"生成成长"),2))/((VLOOKUP($B158,INDIRECT($B$5&amp;"生成成长"),4))/(VLOOKUP(G$72,INDIRECT($C$5&amp;"生成成长"),5))*(VLOOKUP($B$5,标准坦克设计!$B$24:$U$30,MATCH("对"&amp;LEFT($C$5,2)&amp;"输出",标准坦克设计!$B$23:$U$23,0)))*(VLOOKUP($B158,INDIRECT($B$5&amp;"生成成长"),3))*(VLOOKUP($B$5,标准坦克设计!$B$14:$K$20,9)/30))</f>
        <v>1.3079503965730441</v>
      </c>
      <c r="H158" s="172">
        <f ca="1">(VLOOKUP(H$72,INDIRECT($C$5&amp;"生成成长"),2))/((VLOOKUP($B158,INDIRECT($B$5&amp;"生成成长"),4))/(VLOOKUP(H$72,INDIRECT($C$5&amp;"生成成长"),5))*(VLOOKUP($B$5,标准坦克设计!$B$24:$U$30,MATCH("对"&amp;LEFT($C$5,2)&amp;"输出",标准坦克设计!$B$23:$U$23,0)))*(VLOOKUP($B158,INDIRECT($B$5&amp;"生成成长"),3))*(VLOOKUP($B$5,标准坦克设计!$B$14:$K$20,9)/30))</f>
        <v>1.1446267258251093</v>
      </c>
      <c r="I158" s="172">
        <f ca="1">(VLOOKUP(I$72,INDIRECT($C$5&amp;"生成成长"),2))/((VLOOKUP($B158,INDIRECT($B$5&amp;"生成成长"),4))/(VLOOKUP(I$72,INDIRECT($C$5&amp;"生成成长"),5))*(VLOOKUP($B$5,标准坦克设计!$B$24:$U$30,MATCH("对"&amp;LEFT($C$5,2)&amp;"输出",标准坦克设计!$B$23:$U$23,0)))*(VLOOKUP($B158,INDIRECT($B$5&amp;"生成成长"),3))*(VLOOKUP($B$5,标准坦克设计!$B$14:$K$20,9)/30))</f>
        <v>1.3079503965730441</v>
      </c>
      <c r="J158" s="172">
        <f ca="1">(VLOOKUP(J$72,INDIRECT($C$5&amp;"生成成长"),2))/((VLOOKUP($B158,INDIRECT($B$5&amp;"生成成长"),4))/(VLOOKUP(J$72,INDIRECT($C$5&amp;"生成成长"),5))*(VLOOKUP($B$5,标准坦克设计!$B$24:$U$30,MATCH("对"&amp;LEFT($C$5,2)&amp;"输出",标准坦克设计!$B$23:$U$23,0)))*(VLOOKUP($B158,INDIRECT($B$5&amp;"生成成长"),3))*(VLOOKUP($B$5,标准坦克设计!$B$14:$K$20,9)/30))</f>
        <v>1.4821623120375078</v>
      </c>
      <c r="K158" s="172">
        <f ca="1">(VLOOKUP(K$72,INDIRECT($C$5&amp;"生成成长"),2))/((VLOOKUP($B158,INDIRECT($B$5&amp;"生成成长"),4))/(VLOOKUP(K$72,INDIRECT($C$5&amp;"生成成长"),5))*(VLOOKUP($B$5,标准坦克设计!$B$24:$U$30,MATCH("对"&amp;LEFT($C$5,2)&amp;"输出",标准坦克设计!$B$23:$U$23,0)))*(VLOOKUP($B158,INDIRECT($B$5&amp;"生成成长"),3))*(VLOOKUP($B$5,标准坦克设计!$B$14:$K$20,9)/30))</f>
        <v>1.6672624722185003</v>
      </c>
      <c r="L158" s="172">
        <f ca="1">(VLOOKUP(L$72,INDIRECT($C$5&amp;"生成成长"),2))/((VLOOKUP($B158,INDIRECT($B$5&amp;"生成成长"),4))/(VLOOKUP(L$72,INDIRECT($C$5&amp;"生成成长"),5))*(VLOOKUP($B$5,标准坦克设计!$B$24:$U$30,MATCH("对"&amp;LEFT($C$5,2)&amp;"输出",标准坦克设计!$B$23:$U$23,0)))*(VLOOKUP($B158,INDIRECT($B$5&amp;"生成成长"),3))*(VLOOKUP($B$5,标准坦克设计!$B$14:$K$20,9)/30))</f>
        <v>1.8632508771160226</v>
      </c>
      <c r="M158" s="172">
        <f ca="1">(VLOOKUP(M$72,INDIRECT($C$5&amp;"生成成长"),2))/((VLOOKUP($B158,INDIRECT($B$5&amp;"生成成长"),4))/(VLOOKUP(M$72,INDIRECT($C$5&amp;"生成成长"),5))*(VLOOKUP($B$5,标准坦克设计!$B$24:$U$30,MATCH("对"&amp;LEFT($C$5,2)&amp;"输出",标准坦克设计!$B$23:$U$23,0)))*(VLOOKUP($B158,INDIRECT($B$5&amp;"生成成长"),3))*(VLOOKUP($B$5,标准坦克设计!$B$14:$K$20,9)/30))</f>
        <v>2.0701275267300732</v>
      </c>
      <c r="N158" s="172">
        <f ca="1">(VLOOKUP(N$72,INDIRECT($C$5&amp;"生成成长"),2))/((VLOOKUP($B158,INDIRECT($B$5&amp;"生成成长"),4))/(VLOOKUP(N$72,INDIRECT($C$5&amp;"生成成长"),5))*(VLOOKUP($B$5,标准坦克设计!$B$24:$U$30,MATCH("对"&amp;LEFT($C$5,2)&amp;"输出",标准坦克设计!$B$23:$U$23,0)))*(VLOOKUP($B158,INDIRECT($B$5&amp;"生成成长"),3))*(VLOOKUP($B$5,标准坦克设计!$B$14:$K$20,9)/30))</f>
        <v>2.2878924210606524</v>
      </c>
      <c r="O158" s="172">
        <f ca="1">(VLOOKUP(O$72,INDIRECT($C$5&amp;"生成成长"),2))/((VLOOKUP($B158,INDIRECT($B$5&amp;"生成成长"),4))/(VLOOKUP(O$72,INDIRECT($C$5&amp;"生成成长"),5))*(VLOOKUP($B$5,标准坦克设计!$B$24:$U$30,MATCH("对"&amp;LEFT($C$5,2)&amp;"输出",标准坦克设计!$B$23:$U$23,0)))*(VLOOKUP($B158,INDIRECT($B$5&amp;"生成成长"),3))*(VLOOKUP($B$5,标准坦克设计!$B$14:$K$20,9)/30))</f>
        <v>1.7394821578773529</v>
      </c>
      <c r="P158" s="172">
        <f ca="1">(VLOOKUP(P$72,INDIRECT($C$5&amp;"生成成长"),2))/((VLOOKUP($B158,INDIRECT($B$5&amp;"生成成长"),4))/(VLOOKUP(P$72,INDIRECT($C$5&amp;"生成成长"),5))*(VLOOKUP($B$5,标准坦克设计!$B$24:$U$30,MATCH("对"&amp;LEFT($C$5,2)&amp;"输出",标准坦克设计!$B$23:$U$23,0)))*(VLOOKUP($B158,INDIRECT($B$5&amp;"生成成长"),3))*(VLOOKUP($B$5,标准坦克设计!$B$14:$K$20,9)/30))</f>
        <v>1.9653281713334814</v>
      </c>
      <c r="Q158" s="172">
        <f ca="1">(VLOOKUP(Q$72,INDIRECT($C$5&amp;"生成成长"),2))/((VLOOKUP($B158,INDIRECT($B$5&amp;"生成成长"),4))/(VLOOKUP(Q$72,INDIRECT($C$5&amp;"生成成长"),5))*(VLOOKUP($B$5,标准坦克设计!$B$24:$U$30,MATCH("对"&amp;LEFT($C$5,2)&amp;"输出",标准坦克设计!$B$23:$U$23,0)))*(VLOOKUP($B158,INDIRECT($B$5&amp;"生成成长"),3))*(VLOOKUP($B$5,标准坦克设计!$B$14:$K$20,9)/30))</f>
        <v>2.2049546195089667</v>
      </c>
      <c r="R158" s="172">
        <f ca="1">(VLOOKUP(R$72,INDIRECT($C$5&amp;"生成成长"),2))/((VLOOKUP($B158,INDIRECT($B$5&amp;"生成成长"),4))/(VLOOKUP(R$72,INDIRECT($C$5&amp;"生成成长"),5))*(VLOOKUP($B$5,标准坦克设计!$B$24:$U$30,MATCH("对"&amp;LEFT($C$5,2)&amp;"输出",标准坦克设计!$B$23:$U$23,0)))*(VLOOKUP($B158,INDIRECT($B$5&amp;"生成成长"),3))*(VLOOKUP($B$5,标准坦克设计!$B$14:$K$20,9)/30))</f>
        <v>2.4583615024038092</v>
      </c>
      <c r="S158" s="172">
        <f ca="1">(VLOOKUP(S$72,INDIRECT($C$5&amp;"生成成长"),2))/((VLOOKUP($B158,INDIRECT($B$5&amp;"生成成长"),4))/(VLOOKUP(S$72,INDIRECT($C$5&amp;"生成成长"),5))*(VLOOKUP($B$5,标准坦克设计!$B$24:$U$30,MATCH("对"&amp;LEFT($C$5,2)&amp;"输出",标准坦克设计!$B$23:$U$23,0)))*(VLOOKUP($B158,INDIRECT($B$5&amp;"生成成长"),3))*(VLOOKUP($B$5,标准坦克设计!$B$14:$K$20,9)/30))</f>
        <v>2.7255488200180094</v>
      </c>
      <c r="T158" s="172">
        <f ca="1">(VLOOKUP(T$72,INDIRECT($C$5&amp;"生成成长"),2))/((VLOOKUP($B158,INDIRECT($B$5&amp;"生成成长"),4))/(VLOOKUP(T$72,INDIRECT($C$5&amp;"生成成长"),5))*(VLOOKUP($B$5,标准坦克设计!$B$24:$U$30,MATCH("对"&amp;LEFT($C$5,2)&amp;"输出",标准坦克设计!$B$23:$U$23,0)))*(VLOOKUP($B158,INDIRECT($B$5&amp;"生成成长"),3))*(VLOOKUP($B$5,标准坦克设计!$B$14:$K$20,9)/30))</f>
        <v>3.0065165723515652</v>
      </c>
      <c r="U158" s="172">
        <f ca="1">(VLOOKUP(U$72,INDIRECT($C$5&amp;"生成成长"),2))/((VLOOKUP($B158,INDIRECT($B$5&amp;"生成成长"),4))/(VLOOKUP(U$72,INDIRECT($C$5&amp;"生成成长"),5))*(VLOOKUP($B$5,标准坦克设计!$B$24:$U$30,MATCH("对"&amp;LEFT($C$5,2)&amp;"输出",标准坦克设计!$B$23:$U$23,0)))*(VLOOKUP($B158,INDIRECT($B$5&amp;"生成成长"),3))*(VLOOKUP($B$5,标准坦克设计!$B$14:$K$20,9)/30))</f>
        <v>3.3012647594044786</v>
      </c>
      <c r="V158" s="172">
        <f ca="1">(VLOOKUP(V$72,INDIRECT($C$5&amp;"生成成长"),2))/((VLOOKUP($B158,INDIRECT($B$5&amp;"生成成长"),4))/(VLOOKUP(V$72,INDIRECT($C$5&amp;"生成成长"),5))*(VLOOKUP($B$5,标准坦克设计!$B$24:$U$30,MATCH("对"&amp;LEFT($C$5,2)&amp;"输出",标准坦克设计!$B$23:$U$23,0)))*(VLOOKUP($B158,INDIRECT($B$5&amp;"生成成长"),3))*(VLOOKUP($B$5,标准坦克设计!$B$14:$K$20,9)/30))</f>
        <v>3.6097933811767495</v>
      </c>
      <c r="W158" s="172">
        <f ca="1">(VLOOKUP(W$72,INDIRECT($C$5&amp;"生成成长"),2))/((VLOOKUP($B158,INDIRECT($B$5&amp;"生成成长"),4))/(VLOOKUP(W$72,INDIRECT($C$5&amp;"生成成长"),5))*(VLOOKUP($B$5,标准坦克设计!$B$24:$U$30,MATCH("对"&amp;LEFT($C$5,2)&amp;"输出",标准坦克设计!$B$23:$U$23,0)))*(VLOOKUP($B158,INDIRECT($B$5&amp;"生成成长"),3))*(VLOOKUP($B$5,标准坦克设计!$B$14:$K$20,9)/30))</f>
        <v>3.9321024376683771</v>
      </c>
      <c r="X158" s="172">
        <f ca="1">(VLOOKUP(X$72,INDIRECT($C$5&amp;"生成成长"),2))/((VLOOKUP($B158,INDIRECT($B$5&amp;"生成成长"),4))/(VLOOKUP(X$72,INDIRECT($C$5&amp;"生成成长"),5))*(VLOOKUP($B$5,标准坦克设计!$B$24:$U$30,MATCH("对"&amp;LEFT($C$5,2)&amp;"输出",标准坦克设计!$B$23:$U$23,0)))*(VLOOKUP($B158,INDIRECT($B$5&amp;"生成成长"),3))*(VLOOKUP($B$5,标准坦克设计!$B$14:$K$20,9)/30))</f>
        <v>2.8487220883737434</v>
      </c>
      <c r="Y158" s="172">
        <f ca="1">(VLOOKUP(Y$72,INDIRECT($C$5&amp;"生成成长"),2))/((VLOOKUP($B158,INDIRECT($B$5&amp;"生成成长"),4))/(VLOOKUP(Y$72,INDIRECT($C$5&amp;"生成成长"),5))*(VLOOKUP($B$5,标准坦克设计!$B$24:$U$30,MATCH("对"&amp;LEFT($C$5,2)&amp;"输出",标准坦克设计!$B$23:$U$23,0)))*(VLOOKUP($B158,INDIRECT($B$5&amp;"生成成长"),3))*(VLOOKUP($B$5,标准坦克设计!$B$14:$K$20,9)/30))</f>
        <v>3.1685642769217819</v>
      </c>
      <c r="Z158" s="172">
        <f ca="1">(VLOOKUP(Z$72,INDIRECT($C$5&amp;"生成成长"),2))/((VLOOKUP($B158,INDIRECT($B$5&amp;"生成成长"),4))/(VLOOKUP(Z$72,INDIRECT($C$5&amp;"生成成长"),5))*(VLOOKUP($B$5,标准坦克设计!$B$24:$U$30,MATCH("对"&amp;LEFT($C$5,2)&amp;"输出",标准坦克设计!$B$23:$U$23,0)))*(VLOOKUP($B158,INDIRECT($B$5&amp;"生成成长"),3))*(VLOOKUP($B$5,标准坦克设计!$B$14:$K$20,9)/30))</f>
        <v>3.5054193478393976</v>
      </c>
      <c r="AA158" s="172">
        <f ca="1">(VLOOKUP(AA$72,INDIRECT($C$5&amp;"生成成长"),2))/((VLOOKUP($B158,INDIRECT($B$5&amp;"生成成长"),4))/(VLOOKUP(AA$72,INDIRECT($C$5&amp;"生成成长"),5))*(VLOOKUP($B$5,标准坦克设计!$B$24:$U$30,MATCH("对"&amp;LEFT($C$5,2)&amp;"输出",标准坦克设计!$B$23:$U$23,0)))*(VLOOKUP($B158,INDIRECT($B$5&amp;"生成成长"),3))*(VLOOKUP($B$5,标准坦克设计!$B$14:$K$20,9)/30))</f>
        <v>3.8592873011265891</v>
      </c>
      <c r="AB158" s="172">
        <f ca="1">(VLOOKUP(AB$72,INDIRECT($C$5&amp;"生成成长"),2))/((VLOOKUP($B158,INDIRECT($B$5&amp;"生成成长"),4))/(VLOOKUP(AB$72,INDIRECT($C$5&amp;"生成成长"),5))*(VLOOKUP($B$5,标准坦克设计!$B$24:$U$30,MATCH("对"&amp;LEFT($C$5,2)&amp;"输出",标准坦克设计!$B$23:$U$23,0)))*(VLOOKUP($B158,INDIRECT($B$5&amp;"生成成长"),3))*(VLOOKUP($B$5,标准坦克设计!$B$14:$K$20,9)/30))</f>
        <v>4.2301681367833579</v>
      </c>
      <c r="AC158" s="172">
        <f ca="1">(VLOOKUP(AC$72,INDIRECT($C$5&amp;"生成成长"),2))/((VLOOKUP($B158,INDIRECT($B$5&amp;"生成成长"),4))/(VLOOKUP(AC$72,INDIRECT($C$5&amp;"生成成长"),5))*(VLOOKUP($B$5,标准坦克设计!$B$24:$U$30,MATCH("对"&amp;LEFT($C$5,2)&amp;"输出",标准坦克设计!$B$23:$U$23,0)))*(VLOOKUP($B158,INDIRECT($B$5&amp;"生成成长"),3))*(VLOOKUP($B$5,标准坦克设计!$B$14:$K$20,9)/30))</f>
        <v>4.618061854809703</v>
      </c>
      <c r="AD158" s="172">
        <f ca="1">(VLOOKUP(AD$72,INDIRECT($C$5&amp;"生成成长"),2))/((VLOOKUP($B158,INDIRECT($B$5&amp;"生成成长"),4))/(VLOOKUP(AD$72,INDIRECT($C$5&amp;"生成成长"),5))*(VLOOKUP($B$5,标准坦克设计!$B$24:$U$30,MATCH("对"&amp;LEFT($C$5,2)&amp;"输出",标准坦克设计!$B$23:$U$23,0)))*(VLOOKUP($B158,INDIRECT($B$5&amp;"生成成长"),3))*(VLOOKUP($B$5,标准坦克设计!$B$14:$K$20,9)/30))</f>
        <v>5.0229684552056248</v>
      </c>
      <c r="AE158" s="172">
        <f ca="1">(VLOOKUP(AE$72,INDIRECT($C$5&amp;"生成成长"),2))/((VLOOKUP($B158,INDIRECT($B$5&amp;"生成成长"),4))/(VLOOKUP(AE$72,INDIRECT($C$5&amp;"生成成长"),5))*(VLOOKUP($B$5,标准坦克设计!$B$24:$U$30,MATCH("对"&amp;LEFT($C$5,2)&amp;"输出",标准坦克设计!$B$23:$U$23,0)))*(VLOOKUP($B158,INDIRECT($B$5&amp;"生成成长"),3))*(VLOOKUP($B$5,标准坦克设计!$B$14:$K$20,9)/30))</f>
        <v>5.4448879379711217</v>
      </c>
      <c r="AF158" s="172">
        <f ca="1">(VLOOKUP(AF$72,INDIRECT($C$5&amp;"生成成长"),2))/((VLOOKUP($B158,INDIRECT($B$5&amp;"生成成长"),4))/(VLOOKUP(AF$72,INDIRECT($C$5&amp;"生成成长"),5))*(VLOOKUP($B$5,标准坦克设计!$B$24:$U$30,MATCH("对"&amp;LEFT($C$5,2)&amp;"输出",标准坦克设计!$B$23:$U$23,0)))*(VLOOKUP($B158,INDIRECT($B$5&amp;"生成成长"),3))*(VLOOKUP($B$5,标准坦克设计!$B$14:$K$20,9)/30))</f>
        <v>5.8838203031061971</v>
      </c>
      <c r="AG158" s="172">
        <f ca="1">(VLOOKUP(AG$72,INDIRECT($C$5&amp;"生成成长"),2))/((VLOOKUP($B158,INDIRECT($B$5&amp;"生成成长"),4))/(VLOOKUP(AG$72,INDIRECT($C$5&amp;"生成成长"),5))*(VLOOKUP($B$5,标准坦克设计!$B$24:$U$30,MATCH("对"&amp;LEFT($C$5,2)&amp;"输出",标准坦克设计!$B$23:$U$23,0)))*(VLOOKUP($B158,INDIRECT($B$5&amp;"生成成长"),3))*(VLOOKUP($B$5,标准坦克设计!$B$14:$K$20,9)/30))</f>
        <v>6.3397655506108475</v>
      </c>
      <c r="AH158" s="172">
        <f ca="1">(VLOOKUP(AH$72,INDIRECT($C$5&amp;"生成成长"),2))/((VLOOKUP($B158,INDIRECT($B$5&amp;"生成成长"),4))/(VLOOKUP(AH$72,INDIRECT($C$5&amp;"生成成长"),5))*(VLOOKUP($B$5,标准坦克设计!$B$24:$U$30,MATCH("对"&amp;LEFT($C$5,2)&amp;"输出",标准坦克设计!$B$23:$U$23,0)))*(VLOOKUP($B158,INDIRECT($B$5&amp;"生成成长"),3))*(VLOOKUP($B$5,标准坦克设计!$B$14:$K$20,9)/30))</f>
        <v>6.8127236804850764</v>
      </c>
      <c r="AI158" s="172">
        <f ca="1">(VLOOKUP(AI$72,INDIRECT($C$5&amp;"生成成长"),2))/((VLOOKUP($B158,INDIRECT($B$5&amp;"生成成长"),4))/(VLOOKUP(AI$72,INDIRECT($C$5&amp;"生成成长"),5))*(VLOOKUP($B$5,标准坦克设计!$B$24:$U$30,MATCH("对"&amp;LEFT($C$5,2)&amp;"输出",标准坦克设计!$B$23:$U$23,0)))*(VLOOKUP($B158,INDIRECT($B$5&amp;"生成成长"),3))*(VLOOKUP($B$5,标准坦克设计!$B$14:$K$20,9)/30))</f>
        <v>4.8183885447114676</v>
      </c>
      <c r="AJ158" s="172">
        <f ca="1">(VLOOKUP(AJ$72,INDIRECT($C$5&amp;"生成成长"),2))/((VLOOKUP($B158,INDIRECT($B$5&amp;"生成成长"),4))/(VLOOKUP(AJ$72,INDIRECT($C$5&amp;"生成成长"),5))*(VLOOKUP($B$5,标准坦克设计!$B$24:$U$30,MATCH("对"&amp;LEFT($C$5,2)&amp;"输出",标准坦克设计!$B$23:$U$23,0)))*(VLOOKUP($B158,INDIRECT($B$5&amp;"生成成长"),3))*(VLOOKUP($B$5,标准坦克设计!$B$14:$K$20,9)/30))</f>
        <v>5.2740785989805747</v>
      </c>
      <c r="AK158" s="172">
        <f ca="1">(VLOOKUP(AK$72,INDIRECT($C$5&amp;"生成成长"),2))/((VLOOKUP($B158,INDIRECT($B$5&amp;"生成成长"),4))/(VLOOKUP(AK$72,INDIRECT($C$5&amp;"生成成长"),5))*(VLOOKUP($B$5,标准坦克设计!$B$24:$U$30,MATCH("对"&amp;LEFT($C$5,2)&amp;"输出",标准坦克设计!$B$23:$U$23,0)))*(VLOOKUP($B158,INDIRECT($B$5&amp;"生成成长"),3))*(VLOOKUP($B$5,标准坦克设计!$B$14:$K$20,9)/30))</f>
        <v>5.7503542409168693</v>
      </c>
      <c r="AL158" s="172">
        <f ca="1">(VLOOKUP(AL$72,INDIRECT($C$5&amp;"生成成长"),2))/((VLOOKUP($B158,INDIRECT($B$5&amp;"生成成长"),4))/(VLOOKUP(AL$72,INDIRECT($C$5&amp;"生成成长"),5))*(VLOOKUP($B$5,标准坦克设计!$B$24:$U$30,MATCH("对"&amp;LEFT($C$5,2)&amp;"输出",标准坦克设计!$B$23:$U$23,0)))*(VLOOKUP($B158,INDIRECT($B$5&amp;"生成成长"),3))*(VLOOKUP($B$5,标准坦克设计!$B$14:$K$20,9)/30))</f>
        <v>6.2472154705203522</v>
      </c>
      <c r="AM158" s="172">
        <f ca="1">(VLOOKUP(AM$72,INDIRECT($C$5&amp;"生成成长"),2))/((VLOOKUP($B158,INDIRECT($B$5&amp;"生成成长"),4))/(VLOOKUP(AM$72,INDIRECT($C$5&amp;"生成成长"),5))*(VLOOKUP($B$5,标准坦克设计!$B$24:$U$30,MATCH("对"&amp;LEFT($C$5,2)&amp;"输出",标准坦克设计!$B$23:$U$23,0)))*(VLOOKUP($B158,INDIRECT($B$5&amp;"生成成长"),3))*(VLOOKUP($B$5,标准坦克设计!$B$14:$K$20,9)/30))</f>
        <v>6.7646622877910225</v>
      </c>
      <c r="AN158" s="172">
        <f ca="1">(VLOOKUP(AN$72,INDIRECT($C$5&amp;"生成成长"),2))/((VLOOKUP($B158,INDIRECT($B$5&amp;"生成成长"),4))/(VLOOKUP(AN$72,INDIRECT($C$5&amp;"生成成长"),5))*(VLOOKUP($B$5,标准坦克设计!$B$24:$U$30,MATCH("对"&amp;LEFT($C$5,2)&amp;"输出",标准坦克设计!$B$23:$U$23,0)))*(VLOOKUP($B158,INDIRECT($B$5&amp;"生成成长"),3))*(VLOOKUP($B$5,标准坦克设计!$B$14:$K$20,9)/30))</f>
        <v>7.3026946927288812</v>
      </c>
      <c r="AO158" s="172">
        <f ca="1">(VLOOKUP(AO$72,INDIRECT($C$5&amp;"生成成长"),2))/((VLOOKUP($B158,INDIRECT($B$5&amp;"生成成长"),4))/(VLOOKUP(AO$72,INDIRECT($C$5&amp;"生成成长"),5))*(VLOOKUP($B$5,标准坦克设计!$B$24:$U$30,MATCH("对"&amp;LEFT($C$5,2)&amp;"输出",标准坦克设计!$B$23:$U$23,0)))*(VLOOKUP($B158,INDIRECT($B$5&amp;"生成成长"),3))*(VLOOKUP($B$5,标准坦克设计!$B$14:$K$20,9)/30))</f>
        <v>7.8613126853339255</v>
      </c>
      <c r="AP158" s="172">
        <f ca="1">(VLOOKUP(AP$72,INDIRECT($C$5&amp;"生成成长"),2))/((VLOOKUP($B158,INDIRECT($B$5&amp;"生成成长"),4))/(VLOOKUP(AP$72,INDIRECT($C$5&amp;"生成成长"),5))*(VLOOKUP($B$5,标准坦克设计!$B$24:$U$30,MATCH("对"&amp;LEFT($C$5,2)&amp;"输出",标准坦克设计!$B$23:$U$23,0)))*(VLOOKUP($B158,INDIRECT($B$5&amp;"生成成长"),3))*(VLOOKUP($B$5,标准坦克设计!$B$14:$K$20,9)/30))</f>
        <v>8.4405162656061599</v>
      </c>
      <c r="AQ158" s="172">
        <f ca="1">(VLOOKUP(AQ$72,INDIRECT($C$5&amp;"生成成长"),2))/((VLOOKUP($B158,INDIRECT($B$5&amp;"生成成长"),4))/(VLOOKUP(AQ$72,INDIRECT($C$5&amp;"生成成长"),5))*(VLOOKUP($B$5,标准坦克设计!$B$24:$U$30,MATCH("对"&amp;LEFT($C$5,2)&amp;"输出",标准坦克设计!$B$23:$U$23,0)))*(VLOOKUP($B158,INDIRECT($B$5&amp;"生成成长"),3))*(VLOOKUP($B$5,标准坦克设计!$B$14:$K$20,9)/30))</f>
        <v>9.0403054335455799</v>
      </c>
      <c r="AR158" s="172">
        <f ca="1">(VLOOKUP(AR$72,INDIRECT($C$5&amp;"生成成长"),2))/((VLOOKUP($B158,INDIRECT($B$5&amp;"生成成长"),4))/(VLOOKUP(AR$72,INDIRECT($C$5&amp;"生成成长"),5))*(VLOOKUP($B$5,标准坦克设计!$B$24:$U$30,MATCH("对"&amp;LEFT($C$5,2)&amp;"输出",标准坦克设计!$B$23:$U$23,0)))*(VLOOKUP($B158,INDIRECT($B$5&amp;"生成成长"),3))*(VLOOKUP($B$5,标准坦克设计!$B$14:$K$20,9)/30))</f>
        <v>9.6606801891521901</v>
      </c>
      <c r="AS158" s="172">
        <f ca="1">(VLOOKUP(AS$72,INDIRECT($C$5&amp;"生成成长"),2))/((VLOOKUP($B158,INDIRECT($B$5&amp;"生成成长"),4))/(VLOOKUP(AS$72,INDIRECT($C$5&amp;"生成成长"),5))*(VLOOKUP($B$5,标准坦克设计!$B$24:$U$30,MATCH("对"&amp;LEFT($C$5,2)&amp;"输出",标准坦克设计!$B$23:$U$23,0)))*(VLOOKUP($B158,INDIRECT($B$5&amp;"生成成长"),3))*(VLOOKUP($B$5,标准坦克设计!$B$14:$K$20,9)/30))</f>
        <v>10.301640532425985</v>
      </c>
      <c r="AT158" s="172">
        <f ca="1">(VLOOKUP(AT$72,INDIRECT($C$5&amp;"生成成长"),2))/((VLOOKUP($B158,INDIRECT($B$5&amp;"生成成长"),4))/(VLOOKUP(AT$72,INDIRECT($C$5&amp;"生成成长"),5))*(VLOOKUP($B$5,标准坦克设计!$B$24:$U$30,MATCH("对"&amp;LEFT($C$5,2)&amp;"输出",标准坦克设计!$B$23:$U$23,0)))*(VLOOKUP($B158,INDIRECT($B$5&amp;"生成成长"),3))*(VLOOKUP($B$5,标准坦克设计!$B$14:$K$20,9)/30))</f>
        <v>10.963186463366968</v>
      </c>
      <c r="AU158" s="172">
        <f ca="1">(VLOOKUP(AU$72,INDIRECT($C$5&amp;"生成成长"),2))/((VLOOKUP($B158,INDIRECT($B$5&amp;"生成成长"),4))/(VLOOKUP(AU$72,INDIRECT($C$5&amp;"生成成长"),5))*(VLOOKUP($B$5,标准坦克设计!$B$24:$U$30,MATCH("对"&amp;LEFT($C$5,2)&amp;"输出",标准坦克设计!$B$23:$U$23,0)))*(VLOOKUP($B158,INDIRECT($B$5&amp;"生成成长"),3))*(VLOOKUP($B$5,标准坦克设计!$B$14:$K$20,9)/30))</f>
        <v>11.64531798197514</v>
      </c>
      <c r="AV158" s="172">
        <f ca="1">(VLOOKUP(AV$72,INDIRECT($C$5&amp;"生成成长"),2))/((VLOOKUP($B158,INDIRECT($B$5&amp;"生成成长"),4))/(VLOOKUP(AV$72,INDIRECT($C$5&amp;"生成成长"),5))*(VLOOKUP($B$5,标准坦克设计!$B$24:$U$30,MATCH("对"&amp;LEFT($C$5,2)&amp;"输出",标准坦克设计!$B$23:$U$23,0)))*(VLOOKUP($B158,INDIRECT($B$5&amp;"生成成长"),3))*(VLOOKUP($B$5,标准坦克设计!$B$14:$K$20,9)/30))</f>
        <v>1.1844368705699184</v>
      </c>
      <c r="AW158" s="172">
        <f ca="1">(VLOOKUP(AW$72,INDIRECT($C$5&amp;"生成成长"),2))/((VLOOKUP($B158,INDIRECT($B$5&amp;"生成成长"),4))/(VLOOKUP(AW$72,INDIRECT($C$5&amp;"生成成长"),5))*(VLOOKUP($B$5,标准坦克设计!$B$24:$U$30,MATCH("对"&amp;LEFT($C$5,2)&amp;"输出",标准坦克设计!$B$23:$U$23,0)))*(VLOOKUP($B158,INDIRECT($B$5&amp;"生成成长"),3))*(VLOOKUP($B$5,标准坦克设计!$B$14:$K$20,9)/30))</f>
        <v>1.3504826024969854</v>
      </c>
      <c r="AX158" s="172">
        <f ca="1">(VLOOKUP(AX$72,INDIRECT($C$5&amp;"生成成长"),2))/((VLOOKUP($B158,INDIRECT($B$5&amp;"生成成长"),4))/(VLOOKUP(AX$72,INDIRECT($C$5&amp;"生成成长"),5))*(VLOOKUP($B$5,标准坦克设计!$B$24:$U$30,MATCH("对"&amp;LEFT($C$5,2)&amp;"输出",标准坦克设计!$B$23:$U$23,0)))*(VLOOKUP($B158,INDIRECT($B$5&amp;"生成成长"),3))*(VLOOKUP($B$5,标准坦克设计!$B$14:$K$20,9)/30))</f>
        <v>1.5274165791405814</v>
      </c>
      <c r="AY158" s="172">
        <f ca="1">(VLOOKUP(AY$72,INDIRECT($C$5&amp;"生成成长"),2))/((VLOOKUP($B158,INDIRECT($B$5&amp;"生成成长"),4))/(VLOOKUP(AY$72,INDIRECT($C$5&amp;"生成成长"),5))*(VLOOKUP($B$5,标准坦克设计!$B$24:$U$30,MATCH("对"&amp;LEFT($C$5,2)&amp;"输出",标准坦克设计!$B$23:$U$23,0)))*(VLOOKUP($B158,INDIRECT($B$5&amp;"生成成长"),3))*(VLOOKUP($B$5,标准坦克设计!$B$14:$K$20,9)/30))</f>
        <v>1.7152388005007062</v>
      </c>
      <c r="AZ158" s="172">
        <f ca="1">(VLOOKUP(AZ$72,INDIRECT($C$5&amp;"生成成长"),2))/((VLOOKUP($B158,INDIRECT($B$5&amp;"生成成长"),4))/(VLOOKUP(AZ$72,INDIRECT($C$5&amp;"生成成长"),5))*(VLOOKUP($B$5,标准坦克设计!$B$24:$U$30,MATCH("对"&amp;LEFT($C$5,2)&amp;"输出",标准坦克设计!$B$23:$U$23,0)))*(VLOOKUP($B158,INDIRECT($B$5&amp;"生成成长"),3))*(VLOOKUP($B$5,标准坦克设计!$B$14:$K$20,9)/30))</f>
        <v>1.9139492665773605</v>
      </c>
      <c r="BA158" s="172">
        <f ca="1">(VLOOKUP(BA$72,INDIRECT($C$5&amp;"生成成长"),2))/((VLOOKUP($B158,INDIRECT($B$5&amp;"生成成长"),4))/(VLOOKUP(BA$72,INDIRECT($C$5&amp;"生成成长"),5))*(VLOOKUP($B$5,标准坦克设计!$B$24:$U$30,MATCH("对"&amp;LEFT($C$5,2)&amp;"输出",标准坦克设计!$B$23:$U$23,0)))*(VLOOKUP($B158,INDIRECT($B$5&amp;"生成成长"),3))*(VLOOKUP($B$5,标准坦克设计!$B$14:$K$20,9)/30))</f>
        <v>2.123547977370543</v>
      </c>
      <c r="BB158" s="172">
        <f ca="1">(VLOOKUP(BB$72,INDIRECT($C$5&amp;"生成成长"),2))/((VLOOKUP($B158,INDIRECT($B$5&amp;"生成成长"),4))/(VLOOKUP(BB$72,INDIRECT($C$5&amp;"生成成长"),5))*(VLOOKUP($B$5,标准坦克设计!$B$24:$U$30,MATCH("对"&amp;LEFT($C$5,2)&amp;"输出",标准坦克设计!$B$23:$U$23,0)))*(VLOOKUP($B158,INDIRECT($B$5&amp;"生成成长"),3))*(VLOOKUP($B$5,标准坦克设计!$B$14:$K$20,9)/30))</f>
        <v>2.3440349328802554</v>
      </c>
      <c r="BC158" s="172">
        <f ca="1">(VLOOKUP(BC$72,INDIRECT($C$5&amp;"生成成长"),2))/((VLOOKUP($B158,INDIRECT($B$5&amp;"生成成长"),4))/(VLOOKUP(BC$72,INDIRECT($C$5&amp;"生成成长"),5))*(VLOOKUP($B$5,标准坦克设计!$B$24:$U$30,MATCH("对"&amp;LEFT($C$5,2)&amp;"输出",标准坦克设计!$B$23:$U$23,0)))*(VLOOKUP($B158,INDIRECT($B$5&amp;"生成成长"),3))*(VLOOKUP($B$5,标准坦克设计!$B$14:$K$20,9)/30))</f>
        <v>2.5754101331064962</v>
      </c>
      <c r="BD158" s="172">
        <f ca="1">(VLOOKUP(BD$72,INDIRECT($C$5&amp;"生成成长"),2))/((VLOOKUP($B158,INDIRECT($B$5&amp;"生成成长"),4))/(VLOOKUP(BD$72,INDIRECT($C$5&amp;"生成成长"),5))*(VLOOKUP($B$5,标准坦克设计!$B$24:$U$30,MATCH("对"&amp;LEFT($C$5,2)&amp;"输出",标准坦克设计!$B$23:$U$23,0)))*(VLOOKUP($B158,INDIRECT($B$5&amp;"生成成长"),3))*(VLOOKUP($B$5,标准坦克设计!$B$14:$K$20,9)/30))</f>
        <v>2.8487220883737434</v>
      </c>
      <c r="BE158" s="172">
        <f ca="1">(VLOOKUP(BE$72,INDIRECT($C$5&amp;"生成成长"),2))/((VLOOKUP($B158,INDIRECT($B$5&amp;"生成成长"),4))/(VLOOKUP(BE$72,INDIRECT($C$5&amp;"生成成长"),5))*(VLOOKUP($B$5,标准坦克设计!$B$24:$U$30,MATCH("对"&amp;LEFT($C$5,2)&amp;"输出",标准坦克设计!$B$23:$U$23,0)))*(VLOOKUP($B158,INDIRECT($B$5&amp;"生成成长"),3))*(VLOOKUP($B$5,标准坦克设计!$B$14:$K$20,9)/30))</f>
        <v>3.1358144783603472</v>
      </c>
      <c r="BF158" s="172">
        <f ca="1">(VLOOKUP(BF$72,INDIRECT($C$5&amp;"生成成长"),2))/((VLOOKUP($B158,INDIRECT($B$5&amp;"生成成长"),4))/(VLOOKUP(BF$72,INDIRECT($C$5&amp;"生成成长"),5))*(VLOOKUP($B$5,标准坦克设计!$B$24:$U$30,MATCH("对"&amp;LEFT($C$5,2)&amp;"输出",标准坦克设计!$B$23:$U$23,0)))*(VLOOKUP($B158,INDIRECT($B$5&amp;"生成成长"),3))*(VLOOKUP($B$5,标准坦克设计!$B$14:$K$20,9)/30))</f>
        <v>3.4366873030663081</v>
      </c>
      <c r="BG158" s="172">
        <f ca="1">(VLOOKUP(BG$72,INDIRECT($C$5&amp;"生成成长"),2))/((VLOOKUP($B158,INDIRECT($B$5&amp;"生成成长"),4))/(VLOOKUP(BG$72,INDIRECT($C$5&amp;"生成成长"),5))*(VLOOKUP($B$5,标准坦克设计!$B$24:$U$30,MATCH("对"&amp;LEFT($C$5,2)&amp;"输出",标准坦克设计!$B$23:$U$23,0)))*(VLOOKUP($B158,INDIRECT($B$5&amp;"生成成长"),3))*(VLOOKUP($B$5,标准坦克设计!$B$14:$K$20,9)/30))</f>
        <v>3.7513405624916265</v>
      </c>
      <c r="BH158" s="172">
        <f ca="1">(VLOOKUP(BH$72,INDIRECT($C$5&amp;"生成成长"),2))/((VLOOKUP($B158,INDIRECT($B$5&amp;"生成成长"),4))/(VLOOKUP(BH$72,INDIRECT($C$5&amp;"生成成长"),5))*(VLOOKUP($B$5,标准坦克设计!$B$24:$U$30,MATCH("对"&amp;LEFT($C$5,2)&amp;"输出",标准坦克设计!$B$23:$U$23,0)))*(VLOOKUP($B158,INDIRECT($B$5&amp;"生成成长"),3))*(VLOOKUP($B$5,标准坦克设计!$B$14:$K$20,9)/30))</f>
        <v>1.8132330029494674</v>
      </c>
      <c r="BI158" s="172">
        <f ca="1">(VLOOKUP(BI$72,INDIRECT($C$5&amp;"生成成长"),2))/((VLOOKUP($B158,INDIRECT($B$5&amp;"生成成长"),4))/(VLOOKUP(BI$72,INDIRECT($C$5&amp;"生成成长"),5))*(VLOOKUP($B$5,标准坦克设计!$B$24:$U$30,MATCH("对"&amp;LEFT($C$5,2)&amp;"输出",标准坦克设计!$B$23:$U$23,0)))*(VLOOKUP($B158,INDIRECT($B$5&amp;"生成成长"),3))*(VLOOKUP($B$5,标准坦克设计!$B$14:$K$20,9)/30))</f>
        <v>2.0436724946453815</v>
      </c>
      <c r="BJ158" s="172">
        <f ca="1">(VLOOKUP(BJ$72,INDIRECT($C$5&amp;"生成成长"),2))/((VLOOKUP($B158,INDIRECT($B$5&amp;"生成成长"),4))/(VLOOKUP(BJ$72,INDIRECT($C$5&amp;"生成成长"),5))*(VLOOKUP($B$5,标准坦克设计!$B$24:$U$30,MATCH("对"&amp;LEFT($C$5,2)&amp;"输出",标准坦克设计!$B$23:$U$23,0)))*(VLOOKUP($B158,INDIRECT($B$5&amp;"生成成长"),3))*(VLOOKUP($B$5,标准坦克设计!$B$14:$K$20,9)/30))</f>
        <v>2.2878924210606524</v>
      </c>
      <c r="BK158" s="172">
        <f ca="1">(VLOOKUP(BK$72,INDIRECT($C$5&amp;"生成成长"),2))/((VLOOKUP($B158,INDIRECT($B$5&amp;"生成成长"),4))/(VLOOKUP(BK$72,INDIRECT($C$5&amp;"生成成长"),5))*(VLOOKUP($B$5,标准坦克设计!$B$24:$U$30,MATCH("对"&amp;LEFT($C$5,2)&amp;"输出",标准坦克设计!$B$23:$U$23,0)))*(VLOOKUP($B158,INDIRECT($B$5&amp;"生成成长"),3))*(VLOOKUP($B$5,标准坦克设计!$B$14:$K$20,9)/30))</f>
        <v>2.5458927821952813</v>
      </c>
      <c r="BL158" s="172">
        <f ca="1">(VLOOKUP(BL$72,INDIRECT($C$5&amp;"生成成长"),2))/((VLOOKUP($B158,INDIRECT($B$5&amp;"生成成长"),4))/(VLOOKUP(BL$72,INDIRECT($C$5&amp;"生成成长"),5))*(VLOOKUP($B$5,标准坦克设计!$B$24:$U$30,MATCH("对"&amp;LEFT($C$5,2)&amp;"输出",标准坦克设计!$B$23:$U$23,0)))*(VLOOKUP($B158,INDIRECT($B$5&amp;"生成成长"),3))*(VLOOKUP($B$5,标准坦克设计!$B$14:$K$20,9)/30))</f>
        <v>2.8176735780492663</v>
      </c>
      <c r="BM158" s="172">
        <f ca="1">(VLOOKUP(BM$72,INDIRECT($C$5&amp;"生成成长"),2))/((VLOOKUP($B158,INDIRECT($B$5&amp;"生成成长"),4))/(VLOOKUP(BM$72,INDIRECT($C$5&amp;"生成成长"),5))*(VLOOKUP($B$5,标准坦克设计!$B$24:$U$30,MATCH("对"&amp;LEFT($C$5,2)&amp;"输出",标准坦克设计!$B$23:$U$23,0)))*(VLOOKUP($B158,INDIRECT($B$5&amp;"生成成长"),3))*(VLOOKUP($B$5,标准坦克设计!$B$14:$K$20,9)/30))</f>
        <v>3.1032348086226085</v>
      </c>
      <c r="BN158" s="172">
        <f ca="1">(VLOOKUP(BN$72,INDIRECT($C$5&amp;"生成成长"),2))/((VLOOKUP($B158,INDIRECT($B$5&amp;"生成成长"),4))/(VLOOKUP(BN$72,INDIRECT($C$5&amp;"生成成长"),5))*(VLOOKUP($B$5,标准坦克设计!$B$24:$U$30,MATCH("对"&amp;LEFT($C$5,2)&amp;"输出",标准坦克设计!$B$23:$U$23,0)))*(VLOOKUP($B158,INDIRECT($B$5&amp;"生成成长"),3))*(VLOOKUP($B$5,标准坦克设计!$B$14:$K$20,9)/30))</f>
        <v>3.4025764739153077</v>
      </c>
      <c r="BO158" s="172">
        <f ca="1">(VLOOKUP(BO$72,INDIRECT($C$5&amp;"生成成长"),2))/((VLOOKUP($B158,INDIRECT($B$5&amp;"生成成长"),4))/(VLOOKUP(BO$72,INDIRECT($C$5&amp;"生成成长"),5))*(VLOOKUP($B$5,标准坦克设计!$B$24:$U$30,MATCH("对"&amp;LEFT($C$5,2)&amp;"输出",标准坦克设计!$B$23:$U$23,0)))*(VLOOKUP($B158,INDIRECT($B$5&amp;"生成成长"),3))*(VLOOKUP($B$5,标准坦克设计!$B$14:$K$20,9)/30))</f>
        <v>3.7156985739273631</v>
      </c>
      <c r="BP158" s="172">
        <f ca="1">(VLOOKUP(BP$72,INDIRECT($C$5&amp;"生成成长"),2))/((VLOOKUP($B158,INDIRECT($B$5&amp;"生成成长"),4))/(VLOOKUP(BP$72,INDIRECT($C$5&amp;"生成成长"),5))*(VLOOKUP($B$5,标准坦克设计!$B$24:$U$30,MATCH("对"&amp;LEFT($C$5,2)&amp;"输出",标准坦克设计!$B$23:$U$23,0)))*(VLOOKUP($B158,INDIRECT($B$5&amp;"生成成长"),3))*(VLOOKUP($B$5,标准坦克设计!$B$14:$K$20,9)/30))</f>
        <v>4.0426011086587765</v>
      </c>
      <c r="BQ158" s="172">
        <f ca="1">(VLOOKUP(BQ$72,INDIRECT($C$5&amp;"生成成长"),2))/((VLOOKUP($B158,INDIRECT($B$5&amp;"生成成长"),4))/(VLOOKUP(BQ$72,INDIRECT($C$5&amp;"生成成长"),5))*(VLOOKUP($B$5,标准坦克设计!$B$24:$U$30,MATCH("对"&amp;LEFT($C$5,2)&amp;"输出",标准坦克设计!$B$23:$U$23,0)))*(VLOOKUP($B158,INDIRECT($B$5&amp;"生成成长"),3))*(VLOOKUP($B$5,标准坦克设计!$B$14:$K$20,9)/30))</f>
        <v>4.383284078109547</v>
      </c>
      <c r="BR158" s="172">
        <f ca="1">(VLOOKUP(BR$72,INDIRECT($C$5&amp;"生成成长"),2))/((VLOOKUP($B158,INDIRECT($B$5&amp;"生成成长"),4))/(VLOOKUP(BR$72,INDIRECT($C$5&amp;"生成成长"),5))*(VLOOKUP($B$5,标准坦克设计!$B$24:$U$30,MATCH("对"&amp;LEFT($C$5,2)&amp;"输出",标准坦克设计!$B$23:$U$23,0)))*(VLOOKUP($B158,INDIRECT($B$5&amp;"生成成长"),3))*(VLOOKUP($B$5,标准坦克设计!$B$14:$K$20,9)/30))</f>
        <v>4.7779829490837225</v>
      </c>
      <c r="BS158" s="172">
        <f ca="1">(VLOOKUP(BS$72,INDIRECT($C$5&amp;"生成成长"),2))/((VLOOKUP($B158,INDIRECT($B$5&amp;"生成成长"),4))/(VLOOKUP(BS$72,INDIRECT($C$5&amp;"生成成长"),5))*(VLOOKUP($B$5,标准坦克设计!$B$24:$U$30,MATCH("对"&amp;LEFT($C$5,2)&amp;"输出",标准坦克设计!$B$23:$U$23,0)))*(VLOOKUP($B158,INDIRECT($B$5&amp;"生成成长"),3))*(VLOOKUP($B$5,标准坦克设计!$B$14:$K$20,9)/30))</f>
        <v>5.1896947024274747</v>
      </c>
      <c r="BT158" s="172">
        <f ca="1">(VLOOKUP(BT$72,INDIRECT($C$5&amp;"生成成长"),2))/((VLOOKUP($B158,INDIRECT($B$5&amp;"生成成长"),4))/(VLOOKUP(BT$72,INDIRECT($C$5&amp;"生成成长"),5))*(VLOOKUP($B$5,标准坦克设计!$B$24:$U$30,MATCH("对"&amp;LEFT($C$5,2)&amp;"输出",标准坦克设计!$B$23:$U$23,0)))*(VLOOKUP($B158,INDIRECT($B$5&amp;"生成成长"),3))*(VLOOKUP($B$5,标准坦克设计!$B$14:$K$20,9)/30))</f>
        <v>5.6184193381408027</v>
      </c>
      <c r="BU158" s="172">
        <f ca="1">(VLOOKUP(BU$72,INDIRECT($C$5&amp;"生成成长"),2))/((VLOOKUP($B158,INDIRECT($B$5&amp;"生成成长"),4))/(VLOOKUP(BU$72,INDIRECT($C$5&amp;"生成成长"),5))*(VLOOKUP($B$5,标准坦克设计!$B$24:$U$30,MATCH("对"&amp;LEFT($C$5,2)&amp;"输出",标准坦克设计!$B$23:$U$23,0)))*(VLOOKUP($B158,INDIRECT($B$5&amp;"生成成长"),3))*(VLOOKUP($B$5,标准坦克设计!$B$14:$K$20,9)/30))</f>
        <v>6.0641568562237094</v>
      </c>
      <c r="BV158" s="172">
        <f ca="1">(VLOOKUP(BV$72,INDIRECT($C$5&amp;"生成成长"),2))/((VLOOKUP($B158,INDIRECT($B$5&amp;"生成成长"),4))/(VLOOKUP(BV$72,INDIRECT($C$5&amp;"生成成长"),5))*(VLOOKUP($B$5,标准坦克设计!$B$24:$U$30,MATCH("对"&amp;LEFT($C$5,2)&amp;"输出",标准坦克设计!$B$23:$U$23,0)))*(VLOOKUP($B158,INDIRECT($B$5&amp;"生成成长"),3))*(VLOOKUP($B$5,标准坦克设计!$B$14:$K$20,9)/30))</f>
        <v>6.526907256676191</v>
      </c>
      <c r="BW158" s="172">
        <f ca="1">(VLOOKUP(BW$72,INDIRECT($C$5&amp;"生成成长"),2))/((VLOOKUP($B158,INDIRECT($B$5&amp;"生成成长"),4))/(VLOOKUP(BW$72,INDIRECT($C$5&amp;"生成成长"),5))*(VLOOKUP($B$5,标准坦克设计!$B$24:$U$30,MATCH("对"&amp;LEFT($C$5,2)&amp;"输出",标准坦克设计!$B$23:$U$23,0)))*(VLOOKUP($B158,INDIRECT($B$5&amp;"生成成长"),3))*(VLOOKUP($B$5,标准坦克设计!$B$14:$K$20,9)/30))</f>
        <v>2.9746174179086098</v>
      </c>
      <c r="BX158" s="172">
        <f ca="1">(VLOOKUP(BX$72,INDIRECT($C$5&amp;"生成成长"),2))/((VLOOKUP($B158,INDIRECT($B$5&amp;"生成成长"),4))/(VLOOKUP(BX$72,INDIRECT($C$5&amp;"生成成长"),5))*(VLOOKUP($B$5,标准坦克设计!$B$24:$U$30,MATCH("对"&amp;LEFT($C$5,2)&amp;"输出",标准坦克设计!$B$23:$U$23,0)))*(VLOOKUP($B158,INDIRECT($B$5&amp;"生成成长"),3))*(VLOOKUP($B$5,标准坦克设计!$B$14:$K$20,9)/30))</f>
        <v>3.3012647594044786</v>
      </c>
      <c r="BY158" s="172">
        <f ca="1">(VLOOKUP(BY$72,INDIRECT($C$5&amp;"生成成长"),2))/((VLOOKUP($B158,INDIRECT($B$5&amp;"生成成长"),4))/(VLOOKUP(BY$72,INDIRECT($C$5&amp;"生成成长"),5))*(VLOOKUP($B$5,标准坦克设计!$B$24:$U$30,MATCH("对"&amp;LEFT($C$5,2)&amp;"输出",标准坦克设计!$B$23:$U$23,0)))*(VLOOKUP($B158,INDIRECT($B$5&amp;"生成成长"),3))*(VLOOKUP($B$5,标准坦克设计!$B$14:$K$20,9)/30))</f>
        <v>3.6449249832699255</v>
      </c>
      <c r="BZ158" s="172">
        <f ca="1">(VLOOKUP(BZ$72,INDIRECT($C$5&amp;"生成成长"),2))/((VLOOKUP($B158,INDIRECT($B$5&amp;"生成成长"),4))/(VLOOKUP(BZ$72,INDIRECT($C$5&amp;"生成成长"),5))*(VLOOKUP($B$5,标准坦克设计!$B$24:$U$30,MATCH("对"&amp;LEFT($C$5,2)&amp;"输出",标准坦克设计!$B$23:$U$23,0)))*(VLOOKUP($B158,INDIRECT($B$5&amp;"生成成长"),3))*(VLOOKUP($B$5,标准坦克设计!$B$14:$K$20,9)/30))</f>
        <v>4.0055980895049474</v>
      </c>
      <c r="CA158" s="172">
        <f ca="1">(VLOOKUP(CA$72,INDIRECT($C$5&amp;"生成成长"),2))/((VLOOKUP($B158,INDIRECT($B$5&amp;"生成成长"),4))/(VLOOKUP(CA$72,INDIRECT($C$5&amp;"生成成长"),5))*(VLOOKUP($B$5,标准坦克设计!$B$24:$U$30,MATCH("对"&amp;LEFT($C$5,2)&amp;"输出",标准坦克设计!$B$23:$U$23,0)))*(VLOOKUP($B158,INDIRECT($B$5&amp;"生成成长"),3))*(VLOOKUP($B$5,标准坦克设计!$B$14:$K$20,9)/30))</f>
        <v>4.383284078109547</v>
      </c>
      <c r="CB158" s="172">
        <f ca="1">(VLOOKUP(CB$72,INDIRECT($C$5&amp;"生成成长"),2))/((VLOOKUP($B158,INDIRECT($B$5&amp;"生成成长"),4))/(VLOOKUP(CB$72,INDIRECT($C$5&amp;"生成成长"),5))*(VLOOKUP($B$5,标准坦克设计!$B$24:$U$30,MATCH("对"&amp;LEFT($C$5,2)&amp;"输出",标准坦克设计!$B$23:$U$23,0)))*(VLOOKUP($B158,INDIRECT($B$5&amp;"生成成长"),3))*(VLOOKUP($B$5,标准坦克设计!$B$14:$K$20,9)/30))</f>
        <v>4.7779829490837225</v>
      </c>
      <c r="CC158" s="172">
        <f ca="1">(VLOOKUP(CC$72,INDIRECT($C$5&amp;"生成成长"),2))/((VLOOKUP($B158,INDIRECT($B$5&amp;"生成成长"),4))/(VLOOKUP(CC$72,INDIRECT($C$5&amp;"生成成长"),5))*(VLOOKUP($B$5,标准坦克设计!$B$24:$U$30,MATCH("对"&amp;LEFT($C$5,2)&amp;"输出",标准坦克设计!$B$23:$U$23,0)))*(VLOOKUP($B158,INDIRECT($B$5&amp;"生成成长"),3))*(VLOOKUP($B$5,标准坦克设计!$B$14:$K$20,9)/30))</f>
        <v>5.1896947024274747</v>
      </c>
      <c r="CD158" s="172">
        <f ca="1">(VLOOKUP(CD$72,INDIRECT($C$5&amp;"生成成长"),2))/((VLOOKUP($B158,INDIRECT($B$5&amp;"生成成长"),4))/(VLOOKUP(CD$72,INDIRECT($C$5&amp;"生成成长"),5))*(VLOOKUP($B$5,标准坦克设计!$B$24:$U$30,MATCH("对"&amp;LEFT($C$5,2)&amp;"输出",标准坦克设计!$B$23:$U$23,0)))*(VLOOKUP($B158,INDIRECT($B$5&amp;"生成成长"),3))*(VLOOKUP($B$5,标准坦克设计!$B$14:$K$20,9)/30))</f>
        <v>5.6184193381408027</v>
      </c>
      <c r="CE158" s="172">
        <f ca="1">(VLOOKUP(CE$72,INDIRECT($C$5&amp;"生成成长"),2))/((VLOOKUP($B158,INDIRECT($B$5&amp;"生成成长"),4))/(VLOOKUP(CE$72,INDIRECT($C$5&amp;"生成成长"),5))*(VLOOKUP($B$5,标准坦克设计!$B$24:$U$30,MATCH("对"&amp;LEFT($C$5,2)&amp;"输出",标准坦克设计!$B$23:$U$23,0)))*(VLOOKUP($B158,INDIRECT($B$5&amp;"生成成长"),3))*(VLOOKUP($B$5,标准坦克设计!$B$14:$K$20,9)/30))</f>
        <v>6.0641568562237094</v>
      </c>
      <c r="CF158" s="172">
        <f ca="1">(VLOOKUP(CF$72,INDIRECT($C$5&amp;"生成成长"),2))/((VLOOKUP($B158,INDIRECT($B$5&amp;"生成成长"),4))/(VLOOKUP(CF$72,INDIRECT($C$5&amp;"生成成长"),5))*(VLOOKUP($B$5,标准坦克设计!$B$24:$U$30,MATCH("对"&amp;LEFT($C$5,2)&amp;"输出",标准坦克设计!$B$23:$U$23,0)))*(VLOOKUP($B158,INDIRECT($B$5&amp;"生成成长"),3))*(VLOOKUP($B$5,标准坦克设计!$B$14:$K$20,9)/30))</f>
        <v>6.526907256676191</v>
      </c>
      <c r="CG158" s="172">
        <f ca="1">(VLOOKUP(CG$72,INDIRECT($C$5&amp;"生成成长"),2))/((VLOOKUP($B158,INDIRECT($B$5&amp;"生成成长"),4))/(VLOOKUP(CG$72,INDIRECT($C$5&amp;"生成成长"),5))*(VLOOKUP($B$5,标准坦克设计!$B$24:$U$30,MATCH("对"&amp;LEFT($C$5,2)&amp;"输出",标准坦克设计!$B$23:$U$23,0)))*(VLOOKUP($B158,INDIRECT($B$5&amp;"生成成长"),3))*(VLOOKUP($B$5,标准坦克设计!$B$14:$K$20,9)/30))</f>
        <v>7.0066705394982476</v>
      </c>
      <c r="CH158" s="172">
        <f ca="1">(VLOOKUP(CH$72,INDIRECT($C$5&amp;"生成成长"),2))/((VLOOKUP($B158,INDIRECT($B$5&amp;"生成成长"),4))/(VLOOKUP(CH$72,INDIRECT($C$5&amp;"生成成长"),5))*(VLOOKUP($B$5,标准坦克设计!$B$24:$U$30,MATCH("对"&amp;LEFT($C$5,2)&amp;"输出",标准坦克设计!$B$23:$U$23,0)))*(VLOOKUP($B158,INDIRECT($B$5&amp;"生成成长"),3))*(VLOOKUP($B$5,标准坦克设计!$B$14:$K$20,9)/30))</f>
        <v>7.5034467046898827</v>
      </c>
      <c r="CI158" s="172">
        <f ca="1">(VLOOKUP(CI$72,INDIRECT($C$5&amp;"生成成长"),2))/((VLOOKUP($B158,INDIRECT($B$5&amp;"生成成长"),4))/(VLOOKUP(CI$72,INDIRECT($C$5&amp;"生成成长"),5))*(VLOOKUP($B$5,标准坦克设计!$B$24:$U$30,MATCH("对"&amp;LEFT($C$5,2)&amp;"输出",标准坦克设计!$B$23:$U$23,0)))*(VLOOKUP($B158,INDIRECT($B$5&amp;"生成成长"),3))*(VLOOKUP($B$5,标准坦克设计!$B$14:$K$20,9)/30))</f>
        <v>8.0695503655375429</v>
      </c>
      <c r="CJ158" s="172">
        <f ca="1">(VLOOKUP(CJ$72,INDIRECT($C$5&amp;"生成成长"),2))/((VLOOKUP($B158,INDIRECT($B$5&amp;"生成成长"),4))/(VLOOKUP(CJ$72,INDIRECT($C$5&amp;"生成成长"),5))*(VLOOKUP($B$5,标准坦克设计!$B$24:$U$30,MATCH("对"&amp;LEFT($C$5,2)&amp;"输出",标准坦克设计!$B$23:$U$23,0)))*(VLOOKUP($B158,INDIRECT($B$5&amp;"生成成长"),3))*(VLOOKUP($B$5,标准坦克设计!$B$14:$K$20,9)/30))</f>
        <v>8.6562396140523905</v>
      </c>
      <c r="CK158" s="172">
        <f ca="1">(VLOOKUP(CK$72,INDIRECT($C$5&amp;"生成成长"),2))/((VLOOKUP($B158,INDIRECT($B$5&amp;"生成成长"),4))/(VLOOKUP(CK$72,INDIRECT($C$5&amp;"生成成长"),5))*(VLOOKUP($B$5,标准坦克设计!$B$24:$U$30,MATCH("对"&amp;LEFT($C$5,2)&amp;"输出",标准坦克设计!$B$23:$U$23,0)))*(VLOOKUP($B158,INDIRECT($B$5&amp;"生成成长"),3))*(VLOOKUP($B$5,标准坦克设计!$B$14:$K$20,9)/30))</f>
        <v>9.2635144502344229</v>
      </c>
      <c r="CL158" s="172">
        <f ca="1">(VLOOKUP(CL$72,INDIRECT($C$5&amp;"生成成长"),2))/((VLOOKUP($B158,INDIRECT($B$5&amp;"生成成长"),4))/(VLOOKUP(CL$72,INDIRECT($C$5&amp;"生成成长"),5))*(VLOOKUP($B$5,标准坦克设计!$B$24:$U$30,MATCH("对"&amp;LEFT($C$5,2)&amp;"输出",标准坦克设计!$B$23:$U$23,0)))*(VLOOKUP($B158,INDIRECT($B$5&amp;"生成成长"),3))*(VLOOKUP($B$5,标准坦克设计!$B$14:$K$20,9)/30))</f>
        <v>9.8913748740836471</v>
      </c>
      <c r="CM158" s="172">
        <f ca="1">(VLOOKUP(CM$72,INDIRECT($C$5&amp;"生成成长"),2))/((VLOOKUP($B158,INDIRECT($B$5&amp;"生成成长"),4))/(VLOOKUP(CM$72,INDIRECT($C$5&amp;"生成成长"),5))*(VLOOKUP($B$5,标准坦克设计!$B$24:$U$30,MATCH("对"&amp;LEFT($C$5,2)&amp;"输出",标准坦克设计!$B$23:$U$23,0)))*(VLOOKUP($B158,INDIRECT($B$5&amp;"生成成长"),3))*(VLOOKUP($B$5,标准坦克设计!$B$14:$K$20,9)/30))</f>
        <v>10.539820885600056</v>
      </c>
      <c r="CN158" s="172">
        <f ca="1">(VLOOKUP(CN$72,INDIRECT($C$5&amp;"生成成长"),2))/((VLOOKUP($B158,INDIRECT($B$5&amp;"生成成长"),4))/(VLOOKUP(CN$72,INDIRECT($C$5&amp;"生成成长"),5))*(VLOOKUP($B$5,标准坦克设计!$B$24:$U$30,MATCH("对"&amp;LEFT($C$5,2)&amp;"输出",标准坦克设计!$B$23:$U$23,0)))*(VLOOKUP($B158,INDIRECT($B$5&amp;"生成成长"),3))*(VLOOKUP($B$5,标准坦克设计!$B$14:$K$20,9)/30))</f>
        <v>11.208852484783652</v>
      </c>
      <c r="CO158" s="172">
        <f ca="1">(VLOOKUP(CO$72,INDIRECT($C$5&amp;"生成成长"),2))/((VLOOKUP($B158,INDIRECT($B$5&amp;"生成成长"),4))/(VLOOKUP(CO$72,INDIRECT($C$5&amp;"生成成长"),5))*(VLOOKUP($B$5,标准坦克设计!$B$24:$U$30,MATCH("对"&amp;LEFT($C$5,2)&amp;"输出",标准坦克设计!$B$23:$U$23,0)))*(VLOOKUP($B158,INDIRECT($B$5&amp;"生成成长"),3))*(VLOOKUP($B$5,标准坦克设计!$B$14:$K$20,9)/30))</f>
        <v>5.0229684552056248</v>
      </c>
      <c r="CP158" s="172">
        <f ca="1">(VLOOKUP(CP$72,INDIRECT($C$5&amp;"生成成长"),2))/((VLOOKUP($B158,INDIRECT($B$5&amp;"生成成长"),4))/(VLOOKUP(CP$72,INDIRECT($C$5&amp;"生成成长"),5))*(VLOOKUP($B$5,标准坦克设计!$B$24:$U$30,MATCH("对"&amp;LEFT($C$5,2)&amp;"输出",标准坦克设计!$B$23:$U$23,0)))*(VLOOKUP($B158,INDIRECT($B$5&amp;"生成成长"),3))*(VLOOKUP($B$5,标准坦克设计!$B$14:$K$20,9)/30))</f>
        <v>5.4880155947779992</v>
      </c>
      <c r="CQ158" s="172">
        <f ca="1">(VLOOKUP(CQ$72,INDIRECT($C$5&amp;"生成成长"),2))/((VLOOKUP($B158,INDIRECT($B$5&amp;"生成成长"),4))/(VLOOKUP(CQ$72,INDIRECT($C$5&amp;"生成成长"),5))*(VLOOKUP($B$5,标准坦克设计!$B$24:$U$30,MATCH("对"&amp;LEFT($C$5,2)&amp;"输出",标准坦克设计!$B$23:$U$23,0)))*(VLOOKUP($B158,INDIRECT($B$5&amp;"生成成长"),3))*(VLOOKUP($B$5,标准坦克设计!$B$14:$K$20,9)/30))</f>
        <v>5.9736483220175618</v>
      </c>
      <c r="CR158" s="172">
        <f ca="1">(VLOOKUP(CR$72,INDIRECT($C$5&amp;"生成成长"),2))/((VLOOKUP($B158,INDIRECT($B$5&amp;"生成成长"),4))/(VLOOKUP(CR$72,INDIRECT($C$5&amp;"生成成长"),5))*(VLOOKUP($B$5,标准坦克设计!$B$24:$U$30,MATCH("对"&amp;LEFT($C$5,2)&amp;"输出",标准坦克设计!$B$23:$U$23,0)))*(VLOOKUP($B158,INDIRECT($B$5&amp;"生成成长"),3))*(VLOOKUP($B$5,标准坦克设计!$B$14:$K$20,9)/30))</f>
        <v>6.479866636924311</v>
      </c>
      <c r="CS158" s="172">
        <f ca="1">(VLOOKUP(CS$72,INDIRECT($C$5&amp;"生成成长"),2))/((VLOOKUP($B158,INDIRECT($B$5&amp;"生成成长"),4))/(VLOOKUP(CS$72,INDIRECT($C$5&amp;"生成成长"),5))*(VLOOKUP($B$5,标准坦克设计!$B$24:$U$30,MATCH("对"&amp;LEFT($C$5,2)&amp;"输出",标准坦克设计!$B$23:$U$23,0)))*(VLOOKUP($B158,INDIRECT($B$5&amp;"生成成长"),3))*(VLOOKUP($B$5,标准坦克设计!$B$14:$K$20,9)/30))</f>
        <v>7.0066705394982476</v>
      </c>
      <c r="CT158" s="172">
        <f ca="1">(VLOOKUP(CT$72,INDIRECT($C$5&amp;"生成成长"),2))/((VLOOKUP($B158,INDIRECT($B$5&amp;"生成成长"),4))/(VLOOKUP(CT$72,INDIRECT($C$5&amp;"生成成长"),5))*(VLOOKUP($B$5,标准坦克设计!$B$24:$U$30,MATCH("对"&amp;LEFT($C$5,2)&amp;"输出",标准坦克设计!$B$23:$U$23,0)))*(VLOOKUP($B158,INDIRECT($B$5&amp;"生成成长"),3))*(VLOOKUP($B$5,标准坦克设计!$B$14:$K$20,9)/30))</f>
        <v>7.5540600297393743</v>
      </c>
      <c r="CU158" s="172">
        <f ca="1">(VLOOKUP(CU$72,INDIRECT($C$5&amp;"生成成长"),2))/((VLOOKUP($B158,INDIRECT($B$5&amp;"生成成长"),4))/(VLOOKUP(CU$72,INDIRECT($C$5&amp;"生成成长"),5))*(VLOOKUP($B$5,标准坦克设计!$B$24:$U$30,MATCH("对"&amp;LEFT($C$5,2)&amp;"输出",标准坦克设计!$B$23:$U$23,0)))*(VLOOKUP($B158,INDIRECT($B$5&amp;"生成成长"),3))*(VLOOKUP($B$5,标准坦克设计!$B$14:$K$20,9)/30))</f>
        <v>8.1220351076476867</v>
      </c>
      <c r="CV158" s="172">
        <f ca="1">(VLOOKUP(CV$72,INDIRECT($C$5&amp;"生成成长"),2))/((VLOOKUP($B158,INDIRECT($B$5&amp;"生成成长"),4))/(VLOOKUP(CV$72,INDIRECT($C$5&amp;"生成成长"),5))*(VLOOKUP($B$5,标准坦克设计!$B$24:$U$30,MATCH("对"&amp;LEFT($C$5,2)&amp;"输出",标准坦克设计!$B$23:$U$23,0)))*(VLOOKUP($B158,INDIRECT($B$5&amp;"生成成长"),3))*(VLOOKUP($B$5,标准坦克设计!$B$14:$K$20,9)/30))</f>
        <v>8.7105957732231865</v>
      </c>
      <c r="CW158" s="172">
        <f ca="1">(VLOOKUP(CW$72,INDIRECT($C$5&amp;"生成成长"),2))/((VLOOKUP($B158,INDIRECT($B$5&amp;"生成成长"),4))/(VLOOKUP(CW$72,INDIRECT($C$5&amp;"生成成长"),5))*(VLOOKUP($B$5,标准坦克设计!$B$24:$U$30,MATCH("对"&amp;LEFT($C$5,2)&amp;"输出",标准坦克设计!$B$23:$U$23,0)))*(VLOOKUP($B158,INDIRECT($B$5&amp;"生成成长"),3))*(VLOOKUP($B$5,标准坦克设计!$B$14:$K$20,9)/30))</f>
        <v>9.3197420264658746</v>
      </c>
      <c r="CX158" s="172">
        <f ca="1">(VLOOKUP(CX$72,INDIRECT($C$5&amp;"生成成长"),2))/((VLOOKUP($B158,INDIRECT($B$5&amp;"生成成长"),4))/(VLOOKUP(CX$72,INDIRECT($C$5&amp;"生成成长"),5))*(VLOOKUP($B$5,标准坦克设计!$B$24:$U$30,MATCH("对"&amp;LEFT($C$5,2)&amp;"输出",标准坦克设计!$B$23:$U$23,0)))*(VLOOKUP($B158,INDIRECT($B$5&amp;"生成成长"),3))*(VLOOKUP($B$5,标准坦克设计!$B$14:$K$20,9)/30))</f>
        <v>9.9494738673757492</v>
      </c>
      <c r="CY158" s="172">
        <f ca="1">(VLOOKUP(CY$72,INDIRECT($C$5&amp;"生成成长"),2))/((VLOOKUP($B158,INDIRECT($B$5&amp;"生成成长"),4))/(VLOOKUP(CY$72,INDIRECT($C$5&amp;"生成成长"),5))*(VLOOKUP($B$5,标准坦克设计!$B$24:$U$30,MATCH("对"&amp;LEFT($C$5,2)&amp;"输出",标准坦克设计!$B$23:$U$23,0)))*(VLOOKUP($B158,INDIRECT($B$5&amp;"生成成长"),3))*(VLOOKUP($B$5,标准坦克设计!$B$14:$K$20,9)/30))</f>
        <v>10.599791295952814</v>
      </c>
      <c r="CZ158" s="172">
        <f ca="1">(VLOOKUP(CZ$72,INDIRECT($C$5&amp;"生成成长"),2))/((VLOOKUP($B158,INDIRECT($B$5&amp;"生成成长"),4))/(VLOOKUP(CZ$72,INDIRECT($C$5&amp;"生成成长"),5))*(VLOOKUP($B$5,标准坦克设计!$B$24:$U$30,MATCH("对"&amp;LEFT($C$5,2)&amp;"输出",标准坦克设计!$B$23:$U$23,0)))*(VLOOKUP($B158,INDIRECT($B$5&amp;"生成成长"),3))*(VLOOKUP($B$5,标准坦克设计!$B$14:$K$20,9)/30))</f>
        <v>11.270694312197065</v>
      </c>
      <c r="DA158" s="172">
        <f ca="1">(VLOOKUP(DA$72,INDIRECT($C$5&amp;"生成成长"),2))/((VLOOKUP($B158,INDIRECT($B$5&amp;"生成成长"),4))/(VLOOKUP(DA$72,INDIRECT($C$5&amp;"生成成长"),5))*(VLOOKUP($B$5,标准坦克设计!$B$24:$U$30,MATCH("对"&amp;LEFT($C$5,2)&amp;"输出",标准坦克设计!$B$23:$U$23,0)))*(VLOOKUP($B158,INDIRECT($B$5&amp;"生成成长"),3))*(VLOOKUP($B$5,标准坦克设计!$B$14:$K$20,9)/30))</f>
        <v>11.962182916108501</v>
      </c>
      <c r="DB158" s="172">
        <f ca="1">(VLOOKUP(DB$72,INDIRECT($C$5&amp;"生成成长"),2))/((VLOOKUP($B158,INDIRECT($B$5&amp;"生成成长"),4))/(VLOOKUP(DB$72,INDIRECT($C$5&amp;"生成成长"),5))*(VLOOKUP($B$5,标准坦克设计!$B$24:$U$30,MATCH("对"&amp;LEFT($C$5,2)&amp;"输出",标准坦克设计!$B$23:$U$23,0)))*(VLOOKUP($B158,INDIRECT($B$5&amp;"生成成长"),3))*(VLOOKUP($B$5,标准坦克设计!$B$14:$K$20,9)/30))</f>
        <v>12.674257107687128</v>
      </c>
      <c r="DC158" s="172">
        <f ca="1">(VLOOKUP(DC$72,INDIRECT($C$5&amp;"生成成长"),2))/((VLOOKUP($B158,INDIRECT($B$5&amp;"生成成长"),4))/(VLOOKUP(DC$72,INDIRECT($C$5&amp;"生成成长"),5))*(VLOOKUP($B$5,标准坦克设计!$B$24:$U$30,MATCH("对"&amp;LEFT($C$5,2)&amp;"输出",标准坦克设计!$B$23:$U$23,0)))*(VLOOKUP($B158,INDIRECT($B$5&amp;"生成成长"),3))*(VLOOKUP($B$5,标准坦克设计!$B$14:$K$20,9)/30))</f>
        <v>13.474543094352009</v>
      </c>
      <c r="DD158" s="172">
        <f ca="1">(VLOOKUP(DD$72,INDIRECT($C$5&amp;"生成成长"),2))/((VLOOKUP($B158,INDIRECT($B$5&amp;"生成成长"),4))/(VLOOKUP(DD$72,INDIRECT($C$5&amp;"生成成长"),5))*(VLOOKUP($B$5,标准坦克设计!$B$24:$U$30,MATCH("对"&amp;LEFT($C$5,2)&amp;"输出",标准坦克设计!$B$23:$U$23,0)))*(VLOOKUP($B158,INDIRECT($B$5&amp;"生成成长"),3))*(VLOOKUP($B$5,标准坦克设计!$B$14:$K$20,9)/30))</f>
        <v>14.299327631629081</v>
      </c>
      <c r="DE158" s="172">
        <f ca="1">(VLOOKUP(DE$72,INDIRECT($C$5&amp;"生成成长"),2))/((VLOOKUP($B158,INDIRECT($B$5&amp;"生成成长"),4))/(VLOOKUP(DE$72,INDIRECT($C$5&amp;"生成成长"),5))*(VLOOKUP($B$5,标准坦克设计!$B$24:$U$30,MATCH("对"&amp;LEFT($C$5,2)&amp;"输出",标准坦克设计!$B$23:$U$23,0)))*(VLOOKUP($B158,INDIRECT($B$5&amp;"生成成长"),3))*(VLOOKUP($B$5,标准坦克设计!$B$14:$K$20,9)/30))</f>
        <v>15.148610719518341</v>
      </c>
      <c r="DF158" s="172">
        <f ca="1">(VLOOKUP(DF$72,INDIRECT($C$5&amp;"生成成长"),2))/((VLOOKUP($B158,INDIRECT($B$5&amp;"生成成长"),4))/(VLOOKUP(DF$72,INDIRECT($C$5&amp;"生成成长"),5))*(VLOOKUP($B$5,标准坦克设计!$B$24:$U$30,MATCH("对"&amp;LEFT($C$5,2)&amp;"输出",标准坦克设计!$B$23:$U$23,0)))*(VLOOKUP($B158,INDIRECT($B$5&amp;"生成成长"),3))*(VLOOKUP($B$5,标准坦克设计!$B$14:$K$20,9)/30))</f>
        <v>16.02239235801979</v>
      </c>
      <c r="DG158" s="172">
        <f ca="1">(VLOOKUP(DG$72,INDIRECT($C$5&amp;"生成成长"),2))/((VLOOKUP($B158,INDIRECT($B$5&amp;"生成成长"),4))/(VLOOKUP(DG$72,INDIRECT($C$5&amp;"生成成长"),5))*(VLOOKUP($B$5,标准坦克设计!$B$24:$U$30,MATCH("对"&amp;LEFT($C$5,2)&amp;"输出",标准坦克设计!$B$23:$U$23,0)))*(VLOOKUP($B158,INDIRECT($B$5&amp;"生成成长"),3))*(VLOOKUP($B$5,标准坦克设计!$B$14:$K$20,9)/30))</f>
        <v>16.920672547133432</v>
      </c>
      <c r="DH158" s="172">
        <f ca="1">(VLOOKUP(DH$72,INDIRECT($C$5&amp;"生成成长"),2))/((VLOOKUP($B158,INDIRECT($B$5&amp;"生成成长"),4))/(VLOOKUP(DH$72,INDIRECT($C$5&amp;"生成成长"),5))*(VLOOKUP($B$5,标准坦克设计!$B$24:$U$30,MATCH("对"&amp;LEFT($C$5,2)&amp;"输出",标准坦克设计!$B$23:$U$23,0)))*(VLOOKUP($B158,INDIRECT($B$5&amp;"生成成长"),3))*(VLOOKUP($B$5,标准坦克设计!$B$14:$K$20,9)/30))</f>
        <v>17.843451286859263</v>
      </c>
      <c r="DI158" s="172">
        <f ca="1">(VLOOKUP(DI$72,INDIRECT($C$5&amp;"生成成长"),2))/((VLOOKUP($B158,INDIRECT($B$5&amp;"生成成长"),4))/(VLOOKUP(DI$72,INDIRECT($C$5&amp;"生成成长"),5))*(VLOOKUP($B$5,标准坦克设计!$B$24:$U$30,MATCH("对"&amp;LEFT($C$5,2)&amp;"输出",标准坦克设计!$B$23:$U$23,0)))*(VLOOKUP($B158,INDIRECT($B$5&amp;"生成成长"),3))*(VLOOKUP($B$5,标准坦克设计!$B$14:$K$20,9)/30))</f>
        <v>18.790728577197282</v>
      </c>
      <c r="DJ158" s="172">
        <f ca="1">(VLOOKUP(DJ$72,INDIRECT($C$5&amp;"生成成长"),2))/((VLOOKUP($B158,INDIRECT($B$5&amp;"生成成长"),4))/(VLOOKUP(DJ$72,INDIRECT($C$5&amp;"生成成长"),5))*(VLOOKUP($B$5,标准坦克设计!$B$24:$U$30,MATCH("对"&amp;LEFT($C$5,2)&amp;"输出",标准坦克设计!$B$23:$U$23,0)))*(VLOOKUP($B158,INDIRECT($B$5&amp;"生成成长"),3))*(VLOOKUP($B$5,标准坦克设计!$B$14:$K$20,9)/30))</f>
        <v>1.8885150074348436</v>
      </c>
      <c r="DK158" s="172">
        <f ca="1">(VLOOKUP(DK$72,INDIRECT($C$5&amp;"生成成长"),2))/((VLOOKUP($B158,INDIRECT($B$5&amp;"生成成长"),4))/(VLOOKUP(DK$72,INDIRECT($C$5&amp;"生成成长"),5))*(VLOOKUP($B$5,标准坦克设计!$B$24:$U$30,MATCH("对"&amp;LEFT($C$5,2)&amp;"输出",标准坦克设计!$B$23:$U$23,0)))*(VLOOKUP($B158,INDIRECT($B$5&amp;"生成成长"),3))*(VLOOKUP($B$5,标准坦克设计!$B$14:$K$20,9)/30))</f>
        <v>2.123547977370543</v>
      </c>
      <c r="DL158" s="172">
        <f ca="1">(VLOOKUP(DL$72,INDIRECT($C$5&amp;"生成成长"),2))/((VLOOKUP($B158,INDIRECT($B$5&amp;"生成成长"),4))/(VLOOKUP(DL$72,INDIRECT($C$5&amp;"生成成长"),5))*(VLOOKUP($B$5,标准坦克设计!$B$24:$U$30,MATCH("对"&amp;LEFT($C$5,2)&amp;"输出",标准坦克设计!$B$23:$U$23,0)))*(VLOOKUP($B158,INDIRECT($B$5&amp;"生成成长"),3))*(VLOOKUP($B$5,标准坦克设计!$B$14:$K$20,9)/30))</f>
        <v>2.3723613820256002</v>
      </c>
      <c r="DM158" s="172">
        <f ca="1">(VLOOKUP(DM$72,INDIRECT($C$5&amp;"生成成长"),2))/((VLOOKUP($B158,INDIRECT($B$5&amp;"生成成长"),4))/(VLOOKUP(DM$72,INDIRECT($C$5&amp;"生成成长"),5))*(VLOOKUP($B$5,标准坦克设计!$B$24:$U$30,MATCH("对"&amp;LEFT($C$5,2)&amp;"输出",标准坦克设计!$B$23:$U$23,0)))*(VLOOKUP($B158,INDIRECT($B$5&amp;"生成成长"),3))*(VLOOKUP($B$5,标准坦克设计!$B$14:$K$20,9)/30))</f>
        <v>2.634955221400014</v>
      </c>
      <c r="DN158" s="172">
        <f ca="1">(VLOOKUP(DN$72,INDIRECT($C$5&amp;"生成成长"),2))/((VLOOKUP($B158,INDIRECT($B$5&amp;"生成成长"),4))/(VLOOKUP(DN$72,INDIRECT($C$5&amp;"生成成长"),5))*(VLOOKUP($B$5,标准坦克设计!$B$24:$U$30,MATCH("对"&amp;LEFT($C$5,2)&amp;"输出",标准坦克设计!$B$23:$U$23,0)))*(VLOOKUP($B158,INDIRECT($B$5&amp;"生成成长"),3))*(VLOOKUP($B$5,标准坦克设计!$B$14:$K$20,9)/30))</f>
        <v>2.9113294954937849</v>
      </c>
      <c r="DO158" s="172">
        <f ca="1">(VLOOKUP(DO$72,INDIRECT($C$5&amp;"生成成长"),2))/((VLOOKUP($B158,INDIRECT($B$5&amp;"生成成长"),4))/(VLOOKUP(DO$72,INDIRECT($C$5&amp;"生成成长"),5))*(VLOOKUP($B$5,标准坦克设计!$B$24:$U$30,MATCH("对"&amp;LEFT($C$5,2)&amp;"输出",标准坦克设计!$B$23:$U$23,0)))*(VLOOKUP($B158,INDIRECT($B$5&amp;"生成成长"),3))*(VLOOKUP($B$5,标准坦克设计!$B$14:$K$20,9)/30))</f>
        <v>3.2014842043069125</v>
      </c>
      <c r="DP158" s="172">
        <f ca="1">(VLOOKUP(DP$72,INDIRECT($C$5&amp;"生成成长"),2))/((VLOOKUP($B158,INDIRECT($B$5&amp;"生成成长"),4))/(VLOOKUP(DP$72,INDIRECT($C$5&amp;"生成成长"),5))*(VLOOKUP($B$5,标准坦克设计!$B$24:$U$30,MATCH("对"&amp;LEFT($C$5,2)&amp;"输出",标准坦克设计!$B$23:$U$23,0)))*(VLOOKUP($B158,INDIRECT($B$5&amp;"生成成长"),3))*(VLOOKUP($B$5,标准坦克设计!$B$14:$K$20,9)/30))</f>
        <v>3.5054193478393976</v>
      </c>
      <c r="DQ158" s="172">
        <f ca="1">(VLOOKUP(DQ$72,INDIRECT($C$5&amp;"生成成长"),2))/((VLOOKUP($B158,INDIRECT($B$5&amp;"生成成长"),4))/(VLOOKUP(DQ$72,INDIRECT($C$5&amp;"生成成长"),5))*(VLOOKUP($B$5,标准坦克设计!$B$24:$U$30,MATCH("对"&amp;LEFT($C$5,2)&amp;"输出",标准坦克设计!$B$23:$U$23,0)))*(VLOOKUP($B158,INDIRECT($B$5&amp;"生成成长"),3))*(VLOOKUP($B$5,标准坦克设计!$B$14:$K$20,9)/30))</f>
        <v>3.8231349260912397</v>
      </c>
      <c r="DR158" s="172">
        <f ca="1">(VLOOKUP(DR$72,INDIRECT($C$5&amp;"生成成长"),2))/((VLOOKUP($B158,INDIRECT($B$5&amp;"生成成长"),4))/(VLOOKUP(DR$72,INDIRECT($C$5&amp;"生成成长"),5))*(VLOOKUP($B$5,标准坦克设计!$B$24:$U$30,MATCH("对"&amp;LEFT($C$5,2)&amp;"输出",标准坦克设计!$B$23:$U$23,0)))*(VLOOKUP($B158,INDIRECT($B$5&amp;"生成成长"),3))*(VLOOKUP($B$5,标准坦克设计!$B$14:$K$20,9)/30))</f>
        <v>4.1546309390624385</v>
      </c>
      <c r="DS158" s="172">
        <f ca="1">(VLOOKUP(DS$72,INDIRECT($C$5&amp;"生成成长"),2))/((VLOOKUP($B158,INDIRECT($B$5&amp;"生成成长"),4))/(VLOOKUP(DS$72,INDIRECT($C$5&amp;"生成成长"),5))*(VLOOKUP($B$5,标准坦克设计!$B$24:$U$30,MATCH("对"&amp;LEFT($C$5,2)&amp;"输出",标准坦克设计!$B$23:$U$23,0)))*(VLOOKUP($B158,INDIRECT($B$5&amp;"生成成长"),3))*(VLOOKUP($B$5,标准坦克设计!$B$14:$K$20,9)/30))</f>
        <v>4.4999073867529935</v>
      </c>
      <c r="DT158" s="172">
        <f ca="1">(VLOOKUP(DT$72,INDIRECT($C$5&amp;"生成成长"),2))/((VLOOKUP($B158,INDIRECT($B$5&amp;"生成成长"),4))/(VLOOKUP(DT$72,INDIRECT($C$5&amp;"生成成长"),5))*(VLOOKUP($B$5,标准坦克设计!$B$24:$U$30,MATCH("对"&amp;LEFT($C$5,2)&amp;"输出",标准坦克设计!$B$23:$U$23,0)))*(VLOOKUP($B158,INDIRECT($B$5&amp;"生成成长"),3))*(VLOOKUP($B$5,标准坦克设计!$B$14:$K$20,9)/30))</f>
        <v>4.9406261045368742</v>
      </c>
      <c r="DU158" s="172">
        <f ca="1">(VLOOKUP(DU$72,INDIRECT($C$5&amp;"生成成长"),2))/((VLOOKUP($B158,INDIRECT($B$5&amp;"生成成长"),4))/(VLOOKUP(DU$72,INDIRECT($C$5&amp;"生成成长"),5))*(VLOOKUP($B$5,标准坦克设计!$B$24:$U$30,MATCH("对"&amp;LEFT($C$5,2)&amp;"输出",标准坦克设计!$B$23:$U$23,0)))*(VLOOKUP($B158,INDIRECT($B$5&amp;"生成成长"),3))*(VLOOKUP($B$5,标准坦克设计!$B$14:$K$20,9)/30))</f>
        <v>5.4019304099879415</v>
      </c>
      <c r="DV158" s="172">
        <f ca="1">(VLOOKUP(DV$72,INDIRECT($C$5&amp;"生成成长"),2))/((VLOOKUP($B158,INDIRECT($B$5&amp;"生成成长"),4))/(VLOOKUP(DV$72,INDIRECT($C$5&amp;"生成成长"),5))*(VLOOKUP($B$5,标准坦克设计!$B$24:$U$30,MATCH("对"&amp;LEFT($C$5,2)&amp;"输出",标准坦克设计!$B$23:$U$23,0)))*(VLOOKUP($B158,INDIRECT($B$5&amp;"生成成长"),3))*(VLOOKUP($B$5,标准坦克设计!$B$14:$K$20,9)/30))</f>
        <v>5.8838203031061971</v>
      </c>
      <c r="DW158" s="172">
        <f ca="1">(VLOOKUP(DW$72,INDIRECT($C$5&amp;"生成成长"),2))/((VLOOKUP($B158,INDIRECT($B$5&amp;"生成成长"),4))/(VLOOKUP(DW$72,INDIRECT($C$5&amp;"生成成长"),5))*(VLOOKUP($B$5,标准坦克设计!$B$24:$U$30,MATCH("对"&amp;LEFT($C$5,2)&amp;"输出",标准坦克设计!$B$23:$U$23,0)))*(VLOOKUP($B158,INDIRECT($B$5&amp;"生成成长"),3))*(VLOOKUP($B$5,标准坦克设计!$B$14:$K$20,9)/30))</f>
        <v>6.3862957838916401</v>
      </c>
      <c r="DX158" s="172">
        <f ca="1">(VLOOKUP(DX$72,INDIRECT($C$5&amp;"生成成长"),2))/((VLOOKUP($B158,INDIRECT($B$5&amp;"生成成长"),4))/(VLOOKUP(DX$72,INDIRECT($C$5&amp;"生成成长"),5))*(VLOOKUP($B$5,标准坦克设计!$B$24:$U$30,MATCH("对"&amp;LEFT($C$5,2)&amp;"输出",标准坦克设计!$B$23:$U$23,0)))*(VLOOKUP($B158,INDIRECT($B$5&amp;"生成成长"),3))*(VLOOKUP($B$5,标准坦克设计!$B$14:$K$20,9)/30))</f>
        <v>6.9093568523442714</v>
      </c>
      <c r="DY158" s="172">
        <f ca="1">(VLOOKUP(DY$72,INDIRECT($C$5&amp;"生成成长"),2))/((VLOOKUP($B158,INDIRECT($B$5&amp;"生成成长"),4))/(VLOOKUP(DY$72,INDIRECT($C$5&amp;"生成成长"),5))*(VLOOKUP($B$5,标准坦克设计!$B$24:$U$30,MATCH("对"&amp;LEFT($C$5,2)&amp;"输出",标准坦克设计!$B$23:$U$23,0)))*(VLOOKUP($B158,INDIRECT($B$5&amp;"生成成长"),3))*(VLOOKUP($B$5,标准坦克设计!$B$14:$K$20,9)/30))</f>
        <v>3.1032348086226085</v>
      </c>
      <c r="DZ158" s="172">
        <f ca="1">(VLOOKUP(DZ$72,INDIRECT($C$5&amp;"生成成长"),2))/((VLOOKUP($B158,INDIRECT($B$5&amp;"生成成长"),4))/(VLOOKUP(DZ$72,INDIRECT($C$5&amp;"生成成长"),5))*(VLOOKUP($B$5,标准坦克设计!$B$24:$U$30,MATCH("对"&amp;LEFT($C$5,2)&amp;"输出",标准坦克设计!$B$23:$U$23,0)))*(VLOOKUP($B158,INDIRECT($B$5&amp;"生成成长"),3))*(VLOOKUP($B$5,标准坦克设计!$B$14:$K$20,9)/30))</f>
        <v>3.4366873030663081</v>
      </c>
      <c r="EA158" s="172">
        <f ca="1">(VLOOKUP(EA$72,INDIRECT($C$5&amp;"生成成长"),2))/((VLOOKUP($B158,INDIRECT($B$5&amp;"生成成长"),4))/(VLOOKUP(EA$72,INDIRECT($C$5&amp;"生成成长"),5))*(VLOOKUP($B$5,标准坦克设计!$B$24:$U$30,MATCH("对"&amp;LEFT($C$5,2)&amp;"输出",标准坦克设计!$B$23:$U$23,0)))*(VLOOKUP($B158,INDIRECT($B$5&amp;"生成成长"),3))*(VLOOKUP($B$5,标准坦克设计!$B$14:$K$20,9)/30))</f>
        <v>3.7871526798795854</v>
      </c>
      <c r="EB158" s="172">
        <f ca="1">(VLOOKUP(EB$72,INDIRECT($C$5&amp;"生成成长"),2))/((VLOOKUP($B158,INDIRECT($B$5&amp;"生成成长"),4))/(VLOOKUP(EB$72,INDIRECT($C$5&amp;"生成成长"),5))*(VLOOKUP($B$5,标准坦克设计!$B$24:$U$30,MATCH("对"&amp;LEFT($C$5,2)&amp;"输出",标准坦克设计!$B$23:$U$23,0)))*(VLOOKUP($B158,INDIRECT($B$5&amp;"生成成长"),3))*(VLOOKUP($B$5,标准坦克设计!$B$14:$K$20,9)/30))</f>
        <v>4.1546309390624385</v>
      </c>
      <c r="EC158" s="172">
        <f ca="1">(VLOOKUP(EC$72,INDIRECT($C$5&amp;"生成成长"),2))/((VLOOKUP($B158,INDIRECT($B$5&amp;"生成成长"),4))/(VLOOKUP(EC$72,INDIRECT($C$5&amp;"生成成长"),5))*(VLOOKUP($B$5,标准坦克设计!$B$24:$U$30,MATCH("对"&amp;LEFT($C$5,2)&amp;"输出",标准坦克设计!$B$23:$U$23,0)))*(VLOOKUP($B158,INDIRECT($B$5&amp;"生成成长"),3))*(VLOOKUP($B$5,标准坦克设计!$B$14:$K$20,9)/30))</f>
        <v>4.5391220806148684</v>
      </c>
      <c r="ED158" s="172">
        <f ca="1">(VLOOKUP(ED$72,INDIRECT($C$5&amp;"生成成长"),2))/((VLOOKUP($B158,INDIRECT($B$5&amp;"生成成长"),4))/(VLOOKUP(ED$72,INDIRECT($C$5&amp;"生成成长"),5))*(VLOOKUP($B$5,标准坦克设计!$B$24:$U$30,MATCH("对"&amp;LEFT($C$5,2)&amp;"输出",标准坦克设计!$B$23:$U$23,0)))*(VLOOKUP($B158,INDIRECT($B$5&amp;"生成成长"),3))*(VLOOKUP($B$5,标准坦克设计!$B$14:$K$20,9)/30))</f>
        <v>4.9406261045368742</v>
      </c>
      <c r="EE158" s="172">
        <f ca="1">(VLOOKUP(EE$72,INDIRECT($C$5&amp;"生成成长"),2))/((VLOOKUP($B158,INDIRECT($B$5&amp;"生成成长"),4))/(VLOOKUP(EE$72,INDIRECT($C$5&amp;"生成成长"),5))*(VLOOKUP($B$5,标准坦克设计!$B$24:$U$30,MATCH("对"&amp;LEFT($C$5,2)&amp;"输出",标准坦克设计!$B$23:$U$23,0)))*(VLOOKUP($B158,INDIRECT($B$5&amp;"生成成长"),3))*(VLOOKUP($B$5,标准坦克设计!$B$14:$K$20,9)/30))</f>
        <v>5.3591430108284577</v>
      </c>
      <c r="EF158" s="172">
        <f ca="1">(VLOOKUP(EF$72,INDIRECT($C$5&amp;"生成成长"),2))/((VLOOKUP($B158,INDIRECT($B$5&amp;"生成成长"),4))/(VLOOKUP(EF$72,INDIRECT($C$5&amp;"生成成长"),5))*(VLOOKUP($B$5,标准坦克设计!$B$24:$U$30,MATCH("对"&amp;LEFT($C$5,2)&amp;"输出",标准坦克设计!$B$23:$U$23,0)))*(VLOOKUP($B158,INDIRECT($B$5&amp;"生成成长"),3))*(VLOOKUP($B$5,标准坦克设计!$B$14:$K$20,9)/30))</f>
        <v>5.7946727994896161</v>
      </c>
      <c r="EG158" s="172">
        <f ca="1">(VLOOKUP(EG$72,INDIRECT($C$5&amp;"生成成长"),2))/((VLOOKUP($B158,INDIRECT($B$5&amp;"生成成长"),4))/(VLOOKUP(EG$72,INDIRECT($C$5&amp;"生成成长"),5))*(VLOOKUP($B$5,标准坦克设计!$B$24:$U$30,MATCH("对"&amp;LEFT($C$5,2)&amp;"输出",标准坦克设计!$B$23:$U$23,0)))*(VLOOKUP($B158,INDIRECT($B$5&amp;"生成成长"),3))*(VLOOKUP($B$5,标准坦克设计!$B$14:$K$20,9)/30))</f>
        <v>6.2472154705203522</v>
      </c>
      <c r="EH158" s="172">
        <f ca="1">(VLOOKUP(EH$72,INDIRECT($C$5&amp;"生成成长"),2))/((VLOOKUP($B158,INDIRECT($B$5&amp;"生成成长"),4))/(VLOOKUP(EH$72,INDIRECT($C$5&amp;"生成成长"),5))*(VLOOKUP($B$5,标准坦克设计!$B$24:$U$30,MATCH("对"&amp;LEFT($C$5,2)&amp;"输出",标准坦克设计!$B$23:$U$23,0)))*(VLOOKUP($B158,INDIRECT($B$5&amp;"生成成长"),3))*(VLOOKUP($B$5,标准坦克设计!$B$14:$K$20,9)/30))</f>
        <v>6.7167710239206633</v>
      </c>
      <c r="EI158" s="172">
        <f ca="1">(VLOOKUP(EI$72,INDIRECT($C$5&amp;"生成成长"),2))/((VLOOKUP($B158,INDIRECT($B$5&amp;"生成成长"),4))/(VLOOKUP(EI$72,INDIRECT($C$5&amp;"生成成长"),5))*(VLOOKUP($B$5,标准坦克设计!$B$24:$U$30,MATCH("对"&amp;LEFT($C$5,2)&amp;"输出",标准坦克设计!$B$23:$U$23,0)))*(VLOOKUP($B158,INDIRECT($B$5&amp;"生成成长"),3))*(VLOOKUP($B$5,标准坦克设计!$B$14:$K$20,9)/30))</f>
        <v>7.2033394596905529</v>
      </c>
      <c r="EJ158" s="172">
        <f ca="1">(VLOOKUP(EJ$72,INDIRECT($C$5&amp;"生成成长"),2))/((VLOOKUP($B158,INDIRECT($B$5&amp;"生成成长"),4))/(VLOOKUP(EJ$72,INDIRECT($C$5&amp;"生成成长"),5))*(VLOOKUP($B$5,标准坦克设计!$B$24:$U$30,MATCH("对"&amp;LEFT($C$5,2)&amp;"输出",标准坦克设计!$B$23:$U$23,0)))*(VLOOKUP($B158,INDIRECT($B$5&amp;"生成成长"),3))*(VLOOKUP($B$5,标准坦克设计!$B$14:$K$20,9)/30))</f>
        <v>7.7069207778300175</v>
      </c>
      <c r="EK158" s="172">
        <f ca="1">(VLOOKUP(EK$72,INDIRECT($C$5&amp;"生成成长"),2))/((VLOOKUP($B158,INDIRECT($B$5&amp;"生成成长"),4))/(VLOOKUP(EK$72,INDIRECT($C$5&amp;"生成成长"),5))*(VLOOKUP($B$5,标准坦克设计!$B$24:$U$30,MATCH("对"&amp;LEFT($C$5,2)&amp;"输出",标准坦克设计!$B$23:$U$23,0)))*(VLOOKUP($B158,INDIRECT($B$5&amp;"生成成长"),3))*(VLOOKUP($B$5,标准坦克设计!$B$14:$K$20,9)/30))</f>
        <v>8.3336753643252184</v>
      </c>
      <c r="EL158" s="172">
        <f ca="1">(VLOOKUP(EL$72,INDIRECT($C$5&amp;"生成成长"),2))/((VLOOKUP($B158,INDIRECT($B$5&amp;"生成成长"),4))/(VLOOKUP(EL$72,INDIRECT($C$5&amp;"生成成长"),5))*(VLOOKUP($B$5,标准坦克设计!$B$24:$U$30,MATCH("对"&amp;LEFT($C$5,2)&amp;"输出",标准坦克设计!$B$23:$U$23,0)))*(VLOOKUP($B158,INDIRECT($B$5&amp;"生成成长"),3))*(VLOOKUP($B$5,标准坦克设计!$B$14:$K$20,9)/30))</f>
        <v>8.9849285014326092</v>
      </c>
      <c r="EM158" s="172">
        <f ca="1">(VLOOKUP(EM$72,INDIRECT($C$5&amp;"生成成长"),2))/((VLOOKUP($B158,INDIRECT($B$5&amp;"生成成长"),4))/(VLOOKUP(EM$72,INDIRECT($C$5&amp;"生成成长"),5))*(VLOOKUP($B$5,标准坦克设计!$B$24:$U$30,MATCH("对"&amp;LEFT($C$5,2)&amp;"输出",标准坦克设计!$B$23:$U$23,0)))*(VLOOKUP($B158,INDIRECT($B$5&amp;"生成成长"),3))*(VLOOKUP($B$5,标准坦克设计!$B$14:$K$20,9)/30))</f>
        <v>9.6606801891521901</v>
      </c>
      <c r="EN158" s="172">
        <f ca="1">(VLOOKUP(EN$72,INDIRECT($C$5&amp;"生成成长"),2))/((VLOOKUP($B158,INDIRECT($B$5&amp;"生成成长"),4))/(VLOOKUP(EN$72,INDIRECT($C$5&amp;"生成成长"),5))*(VLOOKUP($B$5,标准坦克设计!$B$24:$U$30,MATCH("对"&amp;LEFT($C$5,2)&amp;"输出",标准坦克设计!$B$23:$U$23,0)))*(VLOOKUP($B158,INDIRECT($B$5&amp;"生成成长"),3))*(VLOOKUP($B$5,标准坦克设计!$B$14:$K$20,9)/30))</f>
        <v>10.360930427483959</v>
      </c>
      <c r="EO158" s="172">
        <f ca="1">(VLOOKUP(EO$72,INDIRECT($C$5&amp;"生成成长"),2))/((VLOOKUP($B158,INDIRECT($B$5&amp;"生成成长"),4))/(VLOOKUP(EO$72,INDIRECT($C$5&amp;"生成成长"),5))*(VLOOKUP($B$5,标准坦克设计!$B$24:$U$30,MATCH("对"&amp;LEFT($C$5,2)&amp;"输出",标准坦克设计!$B$23:$U$23,0)))*(VLOOKUP($B158,INDIRECT($B$5&amp;"生成成长"),3))*(VLOOKUP($B$5,标准坦克设计!$B$14:$K$20,9)/30))</f>
        <v>11.085679216427918</v>
      </c>
      <c r="EP158" s="172">
        <f ca="1">(VLOOKUP(EP$72,INDIRECT($C$5&amp;"生成成长"),2))/((VLOOKUP($B158,INDIRECT($B$5&amp;"生成成长"),4))/(VLOOKUP(EP$72,INDIRECT($C$5&amp;"生成成长"),5))*(VLOOKUP($B$5,标准坦克设计!$B$24:$U$30,MATCH("对"&amp;LEFT($C$5,2)&amp;"输出",标准坦克设计!$B$23:$U$23,0)))*(VLOOKUP($B158,INDIRECT($B$5&amp;"生成成长"),3))*(VLOOKUP($B$5,标准坦克设计!$B$14:$K$20,9)/30))</f>
        <v>11.834926555984071</v>
      </c>
      <c r="EQ158" s="172">
        <f ca="1">(VLOOKUP(EQ$72,INDIRECT($C$5&amp;"生成成长"),2))/((VLOOKUP($B158,INDIRECT($B$5&amp;"生成成长"),4))/(VLOOKUP(EQ$72,INDIRECT($C$5&amp;"生成成长"),5))*(VLOOKUP($B$5,标准坦克设计!$B$24:$U$30,MATCH("对"&amp;LEFT($C$5,2)&amp;"输出",标准坦克设计!$B$23:$U$23,0)))*(VLOOKUP($B158,INDIRECT($B$5&amp;"生成成长"),3))*(VLOOKUP($B$5,标准坦克设计!$B$14:$K$20,9)/30))</f>
        <v>5.2318015862921765</v>
      </c>
      <c r="ER158" s="172">
        <f ca="1">(VLOOKUP(ER$72,INDIRECT($C$5&amp;"生成成长"),2))/((VLOOKUP($B158,INDIRECT($B$5&amp;"生成成长"),4))/(VLOOKUP(ER$72,INDIRECT($C$5&amp;"生成成长"),5))*(VLOOKUP($B$5,标准坦克设计!$B$24:$U$30,MATCH("对"&amp;LEFT($C$5,2)&amp;"输出",标准坦克设计!$B$23:$U$23,0)))*(VLOOKUP($B158,INDIRECT($B$5&amp;"生成成长"),3))*(VLOOKUP($B$5,标准坦克设计!$B$14:$K$20,9)/30))</f>
        <v>5.706205811167818</v>
      </c>
      <c r="ES158" s="172">
        <f ca="1">(VLOOKUP(ES$72,INDIRECT($C$5&amp;"生成成长"),2))/((VLOOKUP($B158,INDIRECT($B$5&amp;"生成成长"),4))/(VLOOKUP(ES$72,INDIRECT($C$5&amp;"生成成长"),5))*(VLOOKUP($B$5,标准坦克设计!$B$24:$U$30,MATCH("对"&amp;LEFT($C$5,2)&amp;"输出",标准坦克设计!$B$23:$U$23,0)))*(VLOOKUP($B158,INDIRECT($B$5&amp;"生成成长"),3))*(VLOOKUP($B$5,标准坦克设计!$B$14:$K$20,9)/30))</f>
        <v>6.2011956237106469</v>
      </c>
      <c r="ET158" s="172">
        <f ca="1">(VLOOKUP(ET$72,INDIRECT($C$5&amp;"生成成长"),2))/((VLOOKUP($B158,INDIRECT($B$5&amp;"生成成长"),4))/(VLOOKUP(ET$72,INDIRECT($C$5&amp;"生成成长"),5))*(VLOOKUP($B$5,标准坦克设计!$B$24:$U$30,MATCH("对"&amp;LEFT($C$5,2)&amp;"输出",标准坦克设计!$B$23:$U$23,0)))*(VLOOKUP($B158,INDIRECT($B$5&amp;"生成成长"),3))*(VLOOKUP($B$5,标准坦克设计!$B$14:$K$20,9)/30))</f>
        <v>6.7167710239206633</v>
      </c>
      <c r="EU158" s="172">
        <f ca="1">(VLOOKUP(EU$72,INDIRECT($C$5&amp;"生成成长"),2))/((VLOOKUP($B158,INDIRECT($B$5&amp;"生成成长"),4))/(VLOOKUP(EU$72,INDIRECT($C$5&amp;"生成成长"),5))*(VLOOKUP($B$5,标准坦克设计!$B$24:$U$30,MATCH("对"&amp;LEFT($C$5,2)&amp;"输出",标准坦克设计!$B$23:$U$23,0)))*(VLOOKUP($B158,INDIRECT($B$5&amp;"生成成长"),3))*(VLOOKUP($B$5,标准坦克设计!$B$14:$K$20,9)/30))</f>
        <v>7.2529320117978697</v>
      </c>
      <c r="EV158" s="172">
        <f ca="1">(VLOOKUP(EV$72,INDIRECT($C$5&amp;"生成成长"),2))/((VLOOKUP($B158,INDIRECT($B$5&amp;"生成成长"),4))/(VLOOKUP(EV$72,INDIRECT($C$5&amp;"生成成长"),5))*(VLOOKUP($B$5,标准坦克设计!$B$24:$U$30,MATCH("对"&amp;LEFT($C$5,2)&amp;"输出",标准坦克设计!$B$23:$U$23,0)))*(VLOOKUP($B158,INDIRECT($B$5&amp;"生成成长"),3))*(VLOOKUP($B$5,标准坦克设计!$B$14:$K$20,9)/30))</f>
        <v>7.8096785873422627</v>
      </c>
      <c r="EW158" s="172">
        <f ca="1">(VLOOKUP(EW$72,INDIRECT($C$5&amp;"生成成长"),2))/((VLOOKUP($B158,INDIRECT($B$5&amp;"生成成长"),4))/(VLOOKUP(EW$72,INDIRECT($C$5&amp;"生成成长"),5))*(VLOOKUP($B$5,标准坦克设计!$B$24:$U$30,MATCH("对"&amp;LEFT($C$5,2)&amp;"输出",标准坦克设计!$B$23:$U$23,0)))*(VLOOKUP($B158,INDIRECT($B$5&amp;"生成成长"),3))*(VLOOKUP($B$5,标准坦克设计!$B$14:$K$20,9)/30))</f>
        <v>8.3870107505538414</v>
      </c>
      <c r="EX158" s="172">
        <f ca="1">(VLOOKUP(EX$72,INDIRECT($C$5&amp;"生成成长"),2))/((VLOOKUP($B158,INDIRECT($B$5&amp;"生成成长"),4))/(VLOOKUP(EX$72,INDIRECT($C$5&amp;"生成成长"),5))*(VLOOKUP($B$5,标准坦克设计!$B$24:$U$30,MATCH("对"&amp;LEFT($C$5,2)&amp;"输出",标准坦克设计!$B$23:$U$23,0)))*(VLOOKUP($B158,INDIRECT($B$5&amp;"生成成长"),3))*(VLOOKUP($B$5,标准坦克设计!$B$14:$K$20,9)/30))</f>
        <v>8.9849285014326092</v>
      </c>
      <c r="EY158" s="172">
        <f ca="1">(VLOOKUP(EY$72,INDIRECT($C$5&amp;"生成成长"),2))/((VLOOKUP($B158,INDIRECT($B$5&amp;"生成成长"),4))/(VLOOKUP(EY$72,INDIRECT($C$5&amp;"生成成长"),5))*(VLOOKUP($B$5,标准坦克设计!$B$24:$U$30,MATCH("对"&amp;LEFT($C$5,2)&amp;"输出",标准坦克设计!$B$23:$U$23,0)))*(VLOOKUP($B158,INDIRECT($B$5&amp;"生成成长"),3))*(VLOOKUP($B$5,标准坦克设计!$B$14:$K$20,9)/30))</f>
        <v>9.6034318399785636</v>
      </c>
      <c r="EZ158" s="172">
        <f ca="1">(VLOOKUP(EZ$72,INDIRECT($C$5&amp;"生成成长"),2))/((VLOOKUP($B158,INDIRECT($B$5&amp;"生成成长"),4))/(VLOOKUP(EZ$72,INDIRECT($C$5&amp;"生成成长"),5))*(VLOOKUP($B$5,标准坦克设计!$B$24:$U$30,MATCH("对"&amp;LEFT($C$5,2)&amp;"输出",标准坦克设计!$B$23:$U$23,0)))*(VLOOKUP($B158,INDIRECT($B$5&amp;"生成成长"),3))*(VLOOKUP($B$5,标准坦克设计!$B$14:$K$20,9)/30))</f>
        <v>10.242520766191706</v>
      </c>
      <c r="FA158" s="172">
        <f ca="1">(VLOOKUP(FA$72,INDIRECT($C$5&amp;"生成成长"),2))/((VLOOKUP($B158,INDIRECT($B$5&amp;"生成成长"),4))/(VLOOKUP(FA$72,INDIRECT($C$5&amp;"生成成长"),5))*(VLOOKUP($B$5,标准坦克设计!$B$24:$U$30,MATCH("对"&amp;LEFT($C$5,2)&amp;"输出",标准坦克设计!$B$23:$U$23,0)))*(VLOOKUP($B158,INDIRECT($B$5&amp;"生成成长"),3))*(VLOOKUP($B$5,标准坦克设计!$B$14:$K$20,9)/30))</f>
        <v>10.902195280072037</v>
      </c>
      <c r="FB158" s="172">
        <f ca="1">(VLOOKUP(FB$72,INDIRECT($C$5&amp;"生成成长"),2))/((VLOOKUP($B158,INDIRECT($B$5&amp;"生成成长"),4))/(VLOOKUP(FB$72,INDIRECT($C$5&amp;"生成成长"),5))*(VLOOKUP($B$5,标准坦克设计!$B$24:$U$30,MATCH("对"&amp;LEFT($C$5,2)&amp;"输出",标准坦克设计!$B$23:$U$23,0)))*(VLOOKUP($B158,INDIRECT($B$5&amp;"生成成长"),3))*(VLOOKUP($B$5,标准坦克设计!$B$14:$K$20,9)/30))</f>
        <v>11.582455381619555</v>
      </c>
      <c r="FC158" s="172">
        <f ca="1">(VLOOKUP(FC$72,INDIRECT($C$5&amp;"生成成长"),2))/((VLOOKUP($B158,INDIRECT($B$5&amp;"生成成长"),4))/(VLOOKUP(FC$72,INDIRECT($C$5&amp;"生成成长"),5))*(VLOOKUP($B$5,标准坦克设计!$B$24:$U$30,MATCH("对"&amp;LEFT($C$5,2)&amp;"输出",标准坦克设计!$B$23:$U$23,0)))*(VLOOKUP($B158,INDIRECT($B$5&amp;"生成成长"),3))*(VLOOKUP($B$5,标准坦克设计!$B$14:$K$20,9)/30))</f>
        <v>12.283301070834259</v>
      </c>
      <c r="FD158" s="172">
        <f ca="1">(VLOOKUP(FD$72,INDIRECT($C$5&amp;"生成成长"),2))/((VLOOKUP($B158,INDIRECT($B$5&amp;"生成成长"),4))/(VLOOKUP(FD$72,INDIRECT($C$5&amp;"生成成长"),5))*(VLOOKUP($B$5,标准坦克设计!$B$24:$U$30,MATCH("对"&amp;LEFT($C$5,2)&amp;"输出",标准坦克设计!$B$23:$U$23,0)))*(VLOOKUP($B158,INDIRECT($B$5&amp;"生成成长"),3))*(VLOOKUP($B$5,标准坦克设计!$B$14:$K$20,9)/30))</f>
        <v>13.004732347716153</v>
      </c>
      <c r="FE158" s="172">
        <f ca="1">(VLOOKUP(FE$72,INDIRECT($C$5&amp;"生成成长"),2))/((VLOOKUP($B158,INDIRECT($B$5&amp;"生成成长"),4))/(VLOOKUP(FE$72,INDIRECT($C$5&amp;"生成成长"),5))*(VLOOKUP($B$5,标准坦克设计!$B$24:$U$30,MATCH("对"&amp;LEFT($C$5,2)&amp;"输出",标准坦克设计!$B$23:$U$23,0)))*(VLOOKUP($B158,INDIRECT($B$5&amp;"生成成长"),3))*(VLOOKUP($B$5,标准坦克设计!$B$14:$K$20,9)/30))</f>
        <v>13.883873044164019</v>
      </c>
      <c r="FF158" s="172">
        <f ca="1">(VLOOKUP(FF$72,INDIRECT($C$5&amp;"生成成长"),2))/((VLOOKUP($B158,INDIRECT($B$5&amp;"生成成长"),4))/(VLOOKUP(FF$72,INDIRECT($C$5&amp;"生成成长"),5))*(VLOOKUP($B$5,标准坦克设计!$B$24:$U$30,MATCH("对"&amp;LEFT($C$5,2)&amp;"输出",标准坦克设计!$B$23:$U$23,0)))*(VLOOKUP($B158,INDIRECT($B$5&amp;"生成成长"),3))*(VLOOKUP($B$5,标准坦克设计!$B$14:$K$20,9)/30))</f>
        <v>14.791765511816472</v>
      </c>
      <c r="FG158" s="172">
        <f ca="1">(VLOOKUP(FG$72,INDIRECT($C$5&amp;"生成成长"),2))/((VLOOKUP($B158,INDIRECT($B$5&amp;"生成成长"),4))/(VLOOKUP(FG$72,INDIRECT($C$5&amp;"生成成长"),5))*(VLOOKUP($B$5,标准坦克设计!$B$24:$U$30,MATCH("对"&amp;LEFT($C$5,2)&amp;"输出",标准坦克设计!$B$23:$U$23,0)))*(VLOOKUP($B158,INDIRECT($B$5&amp;"生成成长"),3))*(VLOOKUP($B$5,标准坦克设计!$B$14:$K$20,9)/30))</f>
        <v>15.728409750673508</v>
      </c>
      <c r="FH158" s="172">
        <f ca="1">(VLOOKUP(FH$72,INDIRECT($C$5&amp;"生成成长"),2))/((VLOOKUP($B158,INDIRECT($B$5&amp;"生成成长"),4))/(VLOOKUP(FH$72,INDIRECT($C$5&amp;"生成成长"),5))*(VLOOKUP($B$5,标准坦克设计!$B$24:$U$30,MATCH("对"&amp;LEFT($C$5,2)&amp;"输出",标准坦克设计!$B$23:$U$23,0)))*(VLOOKUP($B158,INDIRECT($B$5&amp;"生成成长"),3))*(VLOOKUP($B$5,标准坦克设计!$B$14:$K$20,9)/30))</f>
        <v>16.693805760735131</v>
      </c>
      <c r="FI158" s="172">
        <f ca="1">(VLOOKUP(FI$72,INDIRECT($C$5&amp;"生成成长"),2))/((VLOOKUP($B158,INDIRECT($B$5&amp;"生成成长"),4))/(VLOOKUP(FI$72,INDIRECT($C$5&amp;"生成成长"),5))*(VLOOKUP($B$5,标准坦克设计!$B$24:$U$30,MATCH("对"&amp;LEFT($C$5,2)&amp;"输出",标准坦克设计!$B$23:$U$23,0)))*(VLOOKUP($B158,INDIRECT($B$5&amp;"生成成长"),3))*(VLOOKUP($B$5,标准坦克设计!$B$14:$K$20,9)/30))</f>
        <v>17.687953542001331</v>
      </c>
      <c r="FJ158" s="172">
        <f ca="1">(VLOOKUP(FJ$72,INDIRECT($C$5&amp;"生成成长"),2))/((VLOOKUP($B158,INDIRECT($B$5&amp;"生成成长"),4))/(VLOOKUP(FJ$72,INDIRECT($C$5&amp;"生成成长"),5))*(VLOOKUP($B$5,标准坦克设计!$B$24:$U$30,MATCH("对"&amp;LEFT($C$5,2)&amp;"输出",标准坦克设计!$B$23:$U$23,0)))*(VLOOKUP($B158,INDIRECT($B$5&amp;"生成成长"),3))*(VLOOKUP($B$5,标准坦克设计!$B$14:$K$20,9)/30))</f>
        <v>18.710853094472121</v>
      </c>
      <c r="FK158" s="172">
        <f ca="1">(VLOOKUP(FK$72,INDIRECT($C$5&amp;"生成成长"),2))/((VLOOKUP($B158,INDIRECT($B$5&amp;"生成成长"),4))/(VLOOKUP(FK$72,INDIRECT($C$5&amp;"生成成长"),5))*(VLOOKUP($B$5,标准坦克设计!$B$24:$U$30,MATCH("对"&amp;LEFT($C$5,2)&amp;"输出",标准坦克设计!$B$23:$U$23,0)))*(VLOOKUP($B158,INDIRECT($B$5&amp;"生成成长"),3))*(VLOOKUP($B$5,标准坦克设计!$B$14:$K$20,9)/30))</f>
        <v>19.762504418147497</v>
      </c>
    </row>
    <row r="159" spans="1:167" x14ac:dyDescent="0.15">
      <c r="A159" s="170" t="str">
        <f t="shared" si="12"/>
        <v>T4中品质15级</v>
      </c>
      <c r="B159" s="171">
        <v>20415</v>
      </c>
      <c r="C159" s="172">
        <f ca="1">(VLOOKUP(C$72,INDIRECT($C$5&amp;"生成成长"),2))/((VLOOKUP($B159,INDIRECT($B$5&amp;"生成成长"),4))/(VLOOKUP(C$72,INDIRECT($C$5&amp;"生成成长"),5))*(VLOOKUP($B$5,标准坦克设计!$B$24:$U$30,MATCH("对"&amp;LEFT($C$5,2)&amp;"输出",标准坦克设计!$B$23:$U$23,0)))*(VLOOKUP($B159,INDIRECT($B$5&amp;"生成成长"),3))*(VLOOKUP($B$5,标准坦克设计!$B$14:$K$20,9)/30))</f>
        <v>0.79650323846414661</v>
      </c>
      <c r="D159" s="172">
        <f ca="1">(VLOOKUP(D$72,INDIRECT($C$5&amp;"生成成长"),2))/((VLOOKUP($B159,INDIRECT($B$5&amp;"生成成长"),4))/(VLOOKUP(D$72,INDIRECT($C$5&amp;"生成成长"),5))*(VLOOKUP($B$5,标准坦克设计!$B$24:$U$30,MATCH("对"&amp;LEFT($C$5,2)&amp;"输出",标准坦克设计!$B$23:$U$23,0)))*(VLOOKUP($B159,INDIRECT($B$5&amp;"生成成长"),3))*(VLOOKUP($B$5,标准坦克设计!$B$14:$K$20,9)/30))</f>
        <v>0.89495103873831505</v>
      </c>
      <c r="E159" s="172">
        <f ca="1">(VLOOKUP(E$72,INDIRECT($C$5&amp;"生成成长"),2))/((VLOOKUP($B159,INDIRECT($B$5&amp;"生成成长"),4))/(VLOOKUP(E$72,INDIRECT($C$5&amp;"生成成长"),5))*(VLOOKUP($B$5,标准坦克设计!$B$24:$U$30,MATCH("对"&amp;LEFT($C$5,2)&amp;"输出",标准坦克设计!$B$23:$U$23,0)))*(VLOOKUP($B159,INDIRECT($B$5&amp;"生成成长"),3))*(VLOOKUP($B$5,标准坦克设计!$B$14:$K$20,9)/30))</f>
        <v>0.99913366232942546</v>
      </c>
      <c r="F159" s="172">
        <f ca="1">(VLOOKUP(F$72,INDIRECT($C$5&amp;"生成成长"),2))/((VLOOKUP($B159,INDIRECT($B$5&amp;"生成成长"),4))/(VLOOKUP(F$72,INDIRECT($C$5&amp;"生成成长"),5))*(VLOOKUP($B$5,标准坦克设计!$B$24:$U$30,MATCH("对"&amp;LEFT($C$5,2)&amp;"输出",标准坦克设计!$B$23:$U$23,0)))*(VLOOKUP($B159,INDIRECT($B$5&amp;"生成成长"),3))*(VLOOKUP($B$5,标准坦克设计!$B$14:$K$20,9)/30))</f>
        <v>1.1090511092374777</v>
      </c>
      <c r="G159" s="172">
        <f ca="1">(VLOOKUP(G$72,INDIRECT($C$5&amp;"生成成长"),2))/((VLOOKUP($B159,INDIRECT($B$5&amp;"生成成长"),4))/(VLOOKUP(G$72,INDIRECT($C$5&amp;"生成成长"),5))*(VLOOKUP($B$5,标准坦克设计!$B$24:$U$30,MATCH("对"&amp;LEFT($C$5,2)&amp;"输出",标准坦克设计!$B$23:$U$23,0)))*(VLOOKUP($B159,INDIRECT($B$5&amp;"生成成长"),3))*(VLOOKUP($B$5,标准坦克设计!$B$14:$K$20,9)/30))</f>
        <v>1.224703379462472</v>
      </c>
      <c r="H159" s="172">
        <f ca="1">(VLOOKUP(H$72,INDIRECT($C$5&amp;"生成成长"),2))/((VLOOKUP($B159,INDIRECT($B$5&amp;"生成成长"),4))/(VLOOKUP(H$72,INDIRECT($C$5&amp;"生成成长"),5))*(VLOOKUP($B$5,标准坦克设计!$B$24:$U$30,MATCH("对"&amp;LEFT($C$5,2)&amp;"输出",标准坦克设计!$B$23:$U$23,0)))*(VLOOKUP($B159,INDIRECT($B$5&amp;"生成成长"),3))*(VLOOKUP($B$5,标准坦克设计!$B$14:$K$20,9)/30))</f>
        <v>1.0717747576773557</v>
      </c>
      <c r="I159" s="172">
        <f ca="1">(VLOOKUP(I$72,INDIRECT($C$5&amp;"生成成长"),2))/((VLOOKUP($B159,INDIRECT($B$5&amp;"生成成长"),4))/(VLOOKUP(I$72,INDIRECT($C$5&amp;"生成成长"),5))*(VLOOKUP($B$5,标准坦克设计!$B$24:$U$30,MATCH("对"&amp;LEFT($C$5,2)&amp;"输出",标准坦克设计!$B$23:$U$23,0)))*(VLOOKUP($B159,INDIRECT($B$5&amp;"生成成长"),3))*(VLOOKUP($B$5,标准坦克设计!$B$14:$K$20,9)/30))</f>
        <v>1.224703379462472</v>
      </c>
      <c r="J159" s="172">
        <f ca="1">(VLOOKUP(J$72,INDIRECT($C$5&amp;"生成成长"),2))/((VLOOKUP($B159,INDIRECT($B$5&amp;"生成成长"),4))/(VLOOKUP(J$72,INDIRECT($C$5&amp;"生成成长"),5))*(VLOOKUP($B$5,标准坦克设计!$B$24:$U$30,MATCH("对"&amp;LEFT($C$5,2)&amp;"输出",标准坦克设计!$B$23:$U$23,0)))*(VLOOKUP($B159,INDIRECT($B$5&amp;"生成成长"),3))*(VLOOKUP($B$5,标准坦克设计!$B$14:$K$20,9)/30))</f>
        <v>1.3878272426999287</v>
      </c>
      <c r="K159" s="172">
        <f ca="1">(VLOOKUP(K$72,INDIRECT($C$5&amp;"生成成长"),2))/((VLOOKUP($B159,INDIRECT($B$5&amp;"生成成长"),4))/(VLOOKUP(K$72,INDIRECT($C$5&amp;"生成成长"),5))*(VLOOKUP($B$5,标准坦克设计!$B$24:$U$30,MATCH("对"&amp;LEFT($C$5,2)&amp;"输出",标准坦克设计!$B$23:$U$23,0)))*(VLOOKUP($B159,INDIRECT($B$5&amp;"生成成长"),3))*(VLOOKUP($B$5,标准坦克设计!$B$14:$K$20,9)/30))</f>
        <v>1.5611463473897271</v>
      </c>
      <c r="L159" s="172">
        <f ca="1">(VLOOKUP(L$72,INDIRECT($C$5&amp;"生成成长"),2))/((VLOOKUP($B159,INDIRECT($B$5&amp;"生成成长"),4))/(VLOOKUP(L$72,INDIRECT($C$5&amp;"生成成长"),5))*(VLOOKUP($B$5,标准坦克设计!$B$24:$U$30,MATCH("对"&amp;LEFT($C$5,2)&amp;"输出",标准坦克设计!$B$23:$U$23,0)))*(VLOOKUP($B159,INDIRECT($B$5&amp;"生成成长"),3))*(VLOOKUP($B$5,标准坦克设计!$B$14:$K$20,9)/30))</f>
        <v>1.7446606935318667</v>
      </c>
      <c r="M159" s="172">
        <f ca="1">(VLOOKUP(M$72,INDIRECT($C$5&amp;"生成成长"),2))/((VLOOKUP($B159,INDIRECT($B$5&amp;"生成成长"),4))/(VLOOKUP(M$72,INDIRECT($C$5&amp;"生成成长"),5))*(VLOOKUP($B$5,标准坦克设计!$B$24:$U$30,MATCH("对"&amp;LEFT($C$5,2)&amp;"输出",标准坦克设计!$B$23:$U$23,0)))*(VLOOKUP($B159,INDIRECT($B$5&amp;"生成成长"),3))*(VLOOKUP($B$5,标准坦克设计!$B$14:$K$20,9)/30))</f>
        <v>1.938370281126347</v>
      </c>
      <c r="N159" s="172">
        <f ca="1">(VLOOKUP(N$72,INDIRECT($C$5&amp;"生成成长"),2))/((VLOOKUP($B159,INDIRECT($B$5&amp;"生成成长"),4))/(VLOOKUP(N$72,INDIRECT($C$5&amp;"生成成长"),5))*(VLOOKUP($B$5,标准坦克设计!$B$24:$U$30,MATCH("对"&amp;LEFT($C$5,2)&amp;"输出",标准坦克设计!$B$23:$U$23,0)))*(VLOOKUP($B159,INDIRECT($B$5&amp;"生成成长"),3))*(VLOOKUP($B$5,标准坦克设计!$B$14:$K$20,9)/30))</f>
        <v>2.142275110173169</v>
      </c>
      <c r="O159" s="172">
        <f ca="1">(VLOOKUP(O$72,INDIRECT($C$5&amp;"生成成长"),2))/((VLOOKUP($B159,INDIRECT($B$5&amp;"生成成长"),4))/(VLOOKUP(O$72,INDIRECT($C$5&amp;"生成成长"),5))*(VLOOKUP($B$5,标准坦克设计!$B$24:$U$30,MATCH("对"&amp;LEFT($C$5,2)&amp;"输出",标准坦克设计!$B$23:$U$23,0)))*(VLOOKUP($B159,INDIRECT($B$5&amp;"生成成长"),3))*(VLOOKUP($B$5,标准坦克设计!$B$14:$K$20,9)/30))</f>
        <v>1.6287694723353336</v>
      </c>
      <c r="P159" s="172">
        <f ca="1">(VLOOKUP(P$72,INDIRECT($C$5&amp;"生成成长"),2))/((VLOOKUP($B159,INDIRECT($B$5&amp;"生成成长"),4))/(VLOOKUP(P$72,INDIRECT($C$5&amp;"生成成长"),5))*(VLOOKUP($B$5,标准坦克设计!$B$24:$U$30,MATCH("对"&amp;LEFT($C$5,2)&amp;"输出",标准坦克设计!$B$23:$U$23,0)))*(VLOOKUP($B159,INDIRECT($B$5&amp;"生成成长"),3))*(VLOOKUP($B$5,标准坦克设计!$B$14:$K$20,9)/30))</f>
        <v>1.8402410821475643</v>
      </c>
      <c r="Q159" s="172">
        <f ca="1">(VLOOKUP(Q$72,INDIRECT($C$5&amp;"生成成长"),2))/((VLOOKUP($B159,INDIRECT($B$5&amp;"生成成长"),4))/(VLOOKUP(Q$72,INDIRECT($C$5&amp;"生成成长"),5))*(VLOOKUP($B$5,标准坦克设计!$B$24:$U$30,MATCH("对"&amp;LEFT($C$5,2)&amp;"输出",标准坦克设计!$B$23:$U$23,0)))*(VLOOKUP($B159,INDIRECT($B$5&amp;"生成成长"),3))*(VLOOKUP($B$5,标准坦克设计!$B$14:$K$20,9)/30))</f>
        <v>2.0646160444229142</v>
      </c>
      <c r="R159" s="172">
        <f ca="1">(VLOOKUP(R$72,INDIRECT($C$5&amp;"生成成长"),2))/((VLOOKUP($B159,INDIRECT($B$5&amp;"生成成长"),4))/(VLOOKUP(R$72,INDIRECT($C$5&amp;"生成成长"),5))*(VLOOKUP($B$5,标准坦克设计!$B$24:$U$30,MATCH("对"&amp;LEFT($C$5,2)&amp;"输出",标准坦克设计!$B$23:$U$23,0)))*(VLOOKUP($B159,INDIRECT($B$5&amp;"生成成长"),3))*(VLOOKUP($B$5,标准坦克设计!$B$14:$K$20,9)/30))</f>
        <v>2.3018943591613832</v>
      </c>
      <c r="S159" s="172">
        <f ca="1">(VLOOKUP(S$72,INDIRECT($C$5&amp;"生成成长"),2))/((VLOOKUP($B159,INDIRECT($B$5&amp;"生成成长"),4))/(VLOOKUP(S$72,INDIRECT($C$5&amp;"生成成长"),5))*(VLOOKUP($B$5,标准坦克设计!$B$24:$U$30,MATCH("对"&amp;LEFT($C$5,2)&amp;"输出",标准坦克设计!$B$23:$U$23,0)))*(VLOOKUP($B159,INDIRECT($B$5&amp;"生成成长"),3))*(VLOOKUP($B$5,标准坦克设计!$B$14:$K$20,9)/30))</f>
        <v>2.5520760263629723</v>
      </c>
      <c r="T159" s="172">
        <f ca="1">(VLOOKUP(T$72,INDIRECT($C$5&amp;"生成成长"),2))/((VLOOKUP($B159,INDIRECT($B$5&amp;"生成成长"),4))/(VLOOKUP(T$72,INDIRECT($C$5&amp;"生成成长"),5))*(VLOOKUP($B$5,标准坦克设计!$B$24:$U$30,MATCH("对"&amp;LEFT($C$5,2)&amp;"输出",标准坦克设计!$B$23:$U$23,0)))*(VLOOKUP($B159,INDIRECT($B$5&amp;"生成成长"),3))*(VLOOKUP($B$5,标准坦克设计!$B$14:$K$20,9)/30))</f>
        <v>2.8151610460276801</v>
      </c>
      <c r="U159" s="172">
        <f ca="1">(VLOOKUP(U$72,INDIRECT($C$5&amp;"生成成长"),2))/((VLOOKUP($B159,INDIRECT($B$5&amp;"生成成长"),4))/(VLOOKUP(U$72,INDIRECT($C$5&amp;"生成成长"),5))*(VLOOKUP($B$5,标准坦克设计!$B$24:$U$30,MATCH("对"&amp;LEFT($C$5,2)&amp;"输出",标准坦克设计!$B$23:$U$23,0)))*(VLOOKUP($B159,INDIRECT($B$5&amp;"生成成长"),3))*(VLOOKUP($B$5,标准坦克设计!$B$14:$K$20,9)/30))</f>
        <v>3.0911494181555068</v>
      </c>
      <c r="V159" s="172">
        <f ca="1">(VLOOKUP(V$72,INDIRECT($C$5&amp;"生成成长"),2))/((VLOOKUP($B159,INDIRECT($B$5&amp;"生成成长"),4))/(VLOOKUP(V$72,INDIRECT($C$5&amp;"生成成长"),5))*(VLOOKUP($B$5,标准坦克设计!$B$24:$U$30,MATCH("对"&amp;LEFT($C$5,2)&amp;"输出",标准坦克设计!$B$23:$U$23,0)))*(VLOOKUP($B159,INDIRECT($B$5&amp;"生成成长"),3))*(VLOOKUP($B$5,标准坦克设计!$B$14:$K$20,9)/30))</f>
        <v>3.3800411427464527</v>
      </c>
      <c r="W159" s="172">
        <f ca="1">(VLOOKUP(W$72,INDIRECT($C$5&amp;"生成成长"),2))/((VLOOKUP($B159,INDIRECT($B$5&amp;"生成成长"),4))/(VLOOKUP(W$72,INDIRECT($C$5&amp;"生成成长"),5))*(VLOOKUP($B$5,标准坦克设计!$B$24:$U$30,MATCH("对"&amp;LEFT($C$5,2)&amp;"输出",标准坦克设计!$B$23:$U$23,0)))*(VLOOKUP($B159,INDIRECT($B$5&amp;"生成成长"),3))*(VLOOKUP($B$5,标准坦克设计!$B$14:$K$20,9)/30))</f>
        <v>3.6818362198005175</v>
      </c>
      <c r="X159" s="172">
        <f ca="1">(VLOOKUP(X$72,INDIRECT($C$5&amp;"生成成长"),2))/((VLOOKUP($B159,INDIRECT($B$5&amp;"生成成长"),4))/(VLOOKUP(X$72,INDIRECT($C$5&amp;"生成成长"),5))*(VLOOKUP($B$5,标准坦克设计!$B$24:$U$30,MATCH("对"&amp;LEFT($C$5,2)&amp;"输出",标准坦克设计!$B$23:$U$23,0)))*(VLOOKUP($B159,INDIRECT($B$5&amp;"生成成长"),3))*(VLOOKUP($B$5,标准坦克设计!$B$14:$K$20,9)/30))</f>
        <v>2.667409695292581</v>
      </c>
      <c r="Y159" s="172">
        <f ca="1">(VLOOKUP(Y$72,INDIRECT($C$5&amp;"生成成长"),2))/((VLOOKUP($B159,INDIRECT($B$5&amp;"生成成长"),4))/(VLOOKUP(Y$72,INDIRECT($C$5&amp;"生成成长"),5))*(VLOOKUP($B$5,标准坦克设计!$B$24:$U$30,MATCH("对"&amp;LEFT($C$5,2)&amp;"输出",标准坦克设计!$B$23:$U$23,0)))*(VLOOKUP($B159,INDIRECT($B$5&amp;"生成成长"),3))*(VLOOKUP($B$5,标准坦克设计!$B$14:$K$20,9)/30))</f>
        <v>2.9668949129550999</v>
      </c>
      <c r="Z159" s="172">
        <f ca="1">(VLOOKUP(Z$72,INDIRECT($C$5&amp;"生成成长"),2))/((VLOOKUP($B159,INDIRECT($B$5&amp;"生成成长"),4))/(VLOOKUP(Z$72,INDIRECT($C$5&amp;"生成成长"),5))*(VLOOKUP($B$5,标准坦克设计!$B$24:$U$30,MATCH("对"&amp;LEFT($C$5,2)&amp;"输出",标准坦克设计!$B$23:$U$23,0)))*(VLOOKUP($B159,INDIRECT($B$5&amp;"生成成长"),3))*(VLOOKUP($B$5,标准坦克设计!$B$14:$K$20,9)/30))</f>
        <v>3.2823101953869016</v>
      </c>
      <c r="AA159" s="172">
        <f ca="1">(VLOOKUP(AA$72,INDIRECT($C$5&amp;"生成成长"),2))/((VLOOKUP($B159,INDIRECT($B$5&amp;"生成成长"),4))/(VLOOKUP(AA$72,INDIRECT($C$5&amp;"生成成长"),5))*(VLOOKUP($B$5,标准坦克设计!$B$24:$U$30,MATCH("对"&amp;LEFT($C$5,2)&amp;"输出",标准坦克设计!$B$23:$U$23,0)))*(VLOOKUP($B159,INDIRECT($B$5&amp;"生成成长"),3))*(VLOOKUP($B$5,标准坦克设计!$B$14:$K$20,9)/30))</f>
        <v>3.613655542587987</v>
      </c>
      <c r="AB159" s="172">
        <f ca="1">(VLOOKUP(AB$72,INDIRECT($C$5&amp;"生成成长"),2))/((VLOOKUP($B159,INDIRECT($B$5&amp;"生成成长"),4))/(VLOOKUP(AB$72,INDIRECT($C$5&amp;"生成成长"),5))*(VLOOKUP($B$5,标准坦克设计!$B$24:$U$30,MATCH("对"&amp;LEFT($C$5,2)&amp;"输出",标准坦克设计!$B$23:$U$23,0)))*(VLOOKUP($B159,INDIRECT($B$5&amp;"生成成长"),3))*(VLOOKUP($B$5,标准坦克设计!$B$14:$K$20,9)/30))</f>
        <v>3.9609309545583549</v>
      </c>
      <c r="AC159" s="172">
        <f ca="1">(VLOOKUP(AC$72,INDIRECT($C$5&amp;"生成成长"),2))/((VLOOKUP($B159,INDIRECT($B$5&amp;"生成成长"),4))/(VLOOKUP(AC$72,INDIRECT($C$5&amp;"生成成长"),5))*(VLOOKUP($B$5,标准坦克设计!$B$24:$U$30,MATCH("对"&amp;LEFT($C$5,2)&amp;"输出",标准坦克设计!$B$23:$U$23,0)))*(VLOOKUP($B159,INDIRECT($B$5&amp;"生成成长"),3))*(VLOOKUP($B$5,标准坦克设计!$B$14:$K$20,9)/30))</f>
        <v>4.3241364312980055</v>
      </c>
      <c r="AD159" s="172">
        <f ca="1">(VLOOKUP(AD$72,INDIRECT($C$5&amp;"生成成长"),2))/((VLOOKUP($B159,INDIRECT($B$5&amp;"生成成长"),4))/(VLOOKUP(AD$72,INDIRECT($C$5&amp;"生成成长"),5))*(VLOOKUP($B$5,标准坦克设计!$B$24:$U$30,MATCH("对"&amp;LEFT($C$5,2)&amp;"输出",标准坦克设计!$B$23:$U$23,0)))*(VLOOKUP($B159,INDIRECT($B$5&amp;"生成成长"),3))*(VLOOKUP($B$5,标准坦克设计!$B$14:$K$20,9)/30))</f>
        <v>4.703271972806939</v>
      </c>
      <c r="AE159" s="172">
        <f ca="1">(VLOOKUP(AE$72,INDIRECT($C$5&amp;"生成成长"),2))/((VLOOKUP($B159,INDIRECT($B$5&amp;"生成成长"),4))/(VLOOKUP(AE$72,INDIRECT($C$5&amp;"生成成长"),5))*(VLOOKUP($B$5,标准坦克设计!$B$24:$U$30,MATCH("对"&amp;LEFT($C$5,2)&amp;"输出",标准坦克设计!$B$23:$U$23,0)))*(VLOOKUP($B159,INDIRECT($B$5&amp;"生成成长"),3))*(VLOOKUP($B$5,标准坦克设计!$B$14:$K$20,9)/30))</f>
        <v>5.0983375790851557</v>
      </c>
      <c r="AF159" s="172">
        <f ca="1">(VLOOKUP(AF$72,INDIRECT($C$5&amp;"生成成长"),2))/((VLOOKUP($B159,INDIRECT($B$5&amp;"生成成长"),4))/(VLOOKUP(AF$72,INDIRECT($C$5&amp;"生成成长"),5))*(VLOOKUP($B$5,标准坦克设计!$B$24:$U$30,MATCH("对"&amp;LEFT($C$5,2)&amp;"输出",标准坦克设计!$B$23:$U$23,0)))*(VLOOKUP($B159,INDIRECT($B$5&amp;"生成成长"),3))*(VLOOKUP($B$5,标准坦克设计!$B$14:$K$20,9)/30))</f>
        <v>5.5093332501326548</v>
      </c>
      <c r="AG159" s="172">
        <f ca="1">(VLOOKUP(AG$72,INDIRECT($C$5&amp;"生成成长"),2))/((VLOOKUP($B159,INDIRECT($B$5&amp;"生成成长"),4))/(VLOOKUP(AG$72,INDIRECT($C$5&amp;"生成成长"),5))*(VLOOKUP($B$5,标准坦克设计!$B$24:$U$30,MATCH("对"&amp;LEFT($C$5,2)&amp;"输出",标准坦克设计!$B$23:$U$23,0)))*(VLOOKUP($B159,INDIRECT($B$5&amp;"生成成长"),3))*(VLOOKUP($B$5,标准坦克设计!$B$14:$K$20,9)/30))</f>
        <v>5.9362589859494372</v>
      </c>
      <c r="AH159" s="172">
        <f ca="1">(VLOOKUP(AH$72,INDIRECT($C$5&amp;"生成成长"),2))/((VLOOKUP($B159,INDIRECT($B$5&amp;"生成成长"),4))/(VLOOKUP(AH$72,INDIRECT($C$5&amp;"生成成长"),5))*(VLOOKUP($B$5,标准坦克设计!$B$24:$U$30,MATCH("对"&amp;LEFT($C$5,2)&amp;"输出",标准坦克设计!$B$23:$U$23,0)))*(VLOOKUP($B159,INDIRECT($B$5&amp;"生成成长"),3))*(VLOOKUP($B$5,标准坦克设计!$B$14:$K$20,9)/30))</f>
        <v>6.3791147865355029</v>
      </c>
      <c r="AI159" s="172">
        <f ca="1">(VLOOKUP(AI$72,INDIRECT($C$5&amp;"生成成长"),2))/((VLOOKUP($B159,INDIRECT($B$5&amp;"生成成长"),4))/(VLOOKUP(AI$72,INDIRECT($C$5&amp;"生成成长"),5))*(VLOOKUP($B$5,标准坦克设计!$B$24:$U$30,MATCH("对"&amp;LEFT($C$5,2)&amp;"输出",标准坦克设计!$B$23:$U$23,0)))*(VLOOKUP($B159,INDIRECT($B$5&amp;"生成成长"),3))*(VLOOKUP($B$5,标准坦克设计!$B$14:$K$20,9)/30))</f>
        <v>4.5117129439563115</v>
      </c>
      <c r="AJ159" s="172">
        <f ca="1">(VLOOKUP(AJ$72,INDIRECT($C$5&amp;"生成成长"),2))/((VLOOKUP($B159,INDIRECT($B$5&amp;"生成成长"),4))/(VLOOKUP(AJ$72,INDIRECT($C$5&amp;"生成成长"),5))*(VLOOKUP($B$5,标准坦克设计!$B$24:$U$30,MATCH("对"&amp;LEFT($C$5,2)&amp;"输出",标准坦克设计!$B$23:$U$23,0)))*(VLOOKUP($B159,INDIRECT($B$5&amp;"生成成长"),3))*(VLOOKUP($B$5,标准坦克设计!$B$14:$K$20,9)/30))</f>
        <v>4.9383997288015555</v>
      </c>
      <c r="AK159" s="172">
        <f ca="1">(VLOOKUP(AK$72,INDIRECT($C$5&amp;"生成成长"),2))/((VLOOKUP($B159,INDIRECT($B$5&amp;"生成成长"),4))/(VLOOKUP(AK$72,INDIRECT($C$5&amp;"生成成长"),5))*(VLOOKUP($B$5,标准坦克设计!$B$24:$U$30,MATCH("对"&amp;LEFT($C$5,2)&amp;"输出",标准坦克设计!$B$23:$U$23,0)))*(VLOOKUP($B159,INDIRECT($B$5&amp;"生成成长"),3))*(VLOOKUP($B$5,标准坦克设计!$B$14:$K$20,9)/30))</f>
        <v>5.3843618920176315</v>
      </c>
      <c r="AL159" s="172">
        <f ca="1">(VLOOKUP(AL$72,INDIRECT($C$5&amp;"生成成长"),2))/((VLOOKUP($B159,INDIRECT($B$5&amp;"生成成长"),4))/(VLOOKUP(AL$72,INDIRECT($C$5&amp;"生成成长"),5))*(VLOOKUP($B$5,标准坦克设计!$B$24:$U$30,MATCH("对"&amp;LEFT($C$5,2)&amp;"输出",标准坦克设计!$B$23:$U$23,0)))*(VLOOKUP($B159,INDIRECT($B$5&amp;"生成成长"),3))*(VLOOKUP($B$5,标准坦克设计!$B$14:$K$20,9)/30))</f>
        <v>5.8495994336045403</v>
      </c>
      <c r="AM159" s="172">
        <f ca="1">(VLOOKUP(AM$72,INDIRECT($C$5&amp;"生成成长"),2))/((VLOOKUP($B159,INDIRECT($B$5&amp;"生成成长"),4))/(VLOOKUP(AM$72,INDIRECT($C$5&amp;"生成成长"),5))*(VLOOKUP($B$5,标准坦克设计!$B$24:$U$30,MATCH("对"&amp;LEFT($C$5,2)&amp;"输出",标准坦克设计!$B$23:$U$23,0)))*(VLOOKUP($B159,INDIRECT($B$5&amp;"生成成长"),3))*(VLOOKUP($B$5,标准坦克设计!$B$14:$K$20,9)/30))</f>
        <v>6.3341123535622792</v>
      </c>
      <c r="AN159" s="172">
        <f ca="1">(VLOOKUP(AN$72,INDIRECT($C$5&amp;"生成成长"),2))/((VLOOKUP($B159,INDIRECT($B$5&amp;"生成成长"),4))/(VLOOKUP(AN$72,INDIRECT($C$5&amp;"生成成长"),5))*(VLOOKUP($B$5,标准坦克设计!$B$24:$U$30,MATCH("对"&amp;LEFT($C$5,2)&amp;"输出",标准坦克设计!$B$23:$U$23,0)))*(VLOOKUP($B159,INDIRECT($B$5&amp;"生成成长"),3))*(VLOOKUP($B$5,标准坦克设计!$B$14:$K$20,9)/30))</f>
        <v>6.8379006518908509</v>
      </c>
      <c r="AO159" s="172">
        <f ca="1">(VLOOKUP(AO$72,INDIRECT($C$5&amp;"生成成长"),2))/((VLOOKUP($B159,INDIRECT($B$5&amp;"生成成长"),4))/(VLOOKUP(AO$72,INDIRECT($C$5&amp;"生成成长"),5))*(VLOOKUP($B$5,标准坦克设计!$B$24:$U$30,MATCH("对"&amp;LEFT($C$5,2)&amp;"输出",标准坦克设计!$B$23:$U$23,0)))*(VLOOKUP($B159,INDIRECT($B$5&amp;"生成成长"),3))*(VLOOKUP($B$5,标准坦克设计!$B$14:$K$20,9)/30))</f>
        <v>7.3609643285902573</v>
      </c>
      <c r="AP159" s="172">
        <f ca="1">(VLOOKUP(AP$72,INDIRECT($C$5&amp;"生成成长"),2))/((VLOOKUP($B159,INDIRECT($B$5&amp;"生成成长"),4))/(VLOOKUP(AP$72,INDIRECT($C$5&amp;"生成成长"),5))*(VLOOKUP($B$5,标准坦克设计!$B$24:$U$30,MATCH("对"&amp;LEFT($C$5,2)&amp;"输出",标准坦克设计!$B$23:$U$23,0)))*(VLOOKUP($B159,INDIRECT($B$5&amp;"生成成长"),3))*(VLOOKUP($B$5,标准坦克设计!$B$14:$K$20,9)/30))</f>
        <v>7.9033033836604938</v>
      </c>
      <c r="AQ159" s="172">
        <f ca="1">(VLOOKUP(AQ$72,INDIRECT($C$5&amp;"生成成长"),2))/((VLOOKUP($B159,INDIRECT($B$5&amp;"生成成长"),4))/(VLOOKUP(AQ$72,INDIRECT($C$5&amp;"生成成长"),5))*(VLOOKUP($B$5,标准坦克设计!$B$24:$U$30,MATCH("对"&amp;LEFT($C$5,2)&amp;"输出",标准坦克设计!$B$23:$U$23,0)))*(VLOOKUP($B159,INDIRECT($B$5&amp;"生成成长"),3))*(VLOOKUP($B$5,标准坦克设计!$B$14:$K$20,9)/30))</f>
        <v>8.4649178171015649</v>
      </c>
      <c r="AR159" s="172">
        <f ca="1">(VLOOKUP(AR$72,INDIRECT($C$5&amp;"生成成长"),2))/((VLOOKUP($B159,INDIRECT($B$5&amp;"生成成长"),4))/(VLOOKUP(AR$72,INDIRECT($C$5&amp;"生成成长"),5))*(VLOOKUP($B$5,标准坦克设计!$B$24:$U$30,MATCH("对"&amp;LEFT($C$5,2)&amp;"输出",标准坦克设计!$B$23:$U$23,0)))*(VLOOKUP($B159,INDIRECT($B$5&amp;"生成成长"),3))*(VLOOKUP($B$5,标准坦克设计!$B$14:$K$20,9)/30))</f>
        <v>9.045807628913467</v>
      </c>
      <c r="AS159" s="172">
        <f ca="1">(VLOOKUP(AS$72,INDIRECT($C$5&amp;"生成成长"),2))/((VLOOKUP($B159,INDIRECT($B$5&amp;"生成成长"),4))/(VLOOKUP(AS$72,INDIRECT($C$5&amp;"生成成长"),5))*(VLOOKUP($B$5,标准坦克设计!$B$24:$U$30,MATCH("对"&amp;LEFT($C$5,2)&amp;"输出",标准坦克设计!$B$23:$U$23,0)))*(VLOOKUP($B159,INDIRECT($B$5&amp;"生成成长"),3))*(VLOOKUP($B$5,标准坦克设计!$B$14:$K$20,9)/30))</f>
        <v>9.6459728190961993</v>
      </c>
      <c r="AT159" s="172">
        <f ca="1">(VLOOKUP(AT$72,INDIRECT($C$5&amp;"生成成长"),2))/((VLOOKUP($B159,INDIRECT($B$5&amp;"生成成长"),4))/(VLOOKUP(AT$72,INDIRECT($C$5&amp;"生成成长"),5))*(VLOOKUP($B$5,标准坦克设计!$B$24:$U$30,MATCH("对"&amp;LEFT($C$5,2)&amp;"输出",标准坦克设计!$B$23:$U$23,0)))*(VLOOKUP($B159,INDIRECT($B$5&amp;"生成成长"),3))*(VLOOKUP($B$5,标准坦克设计!$B$14:$K$20,9)/30))</f>
        <v>10.265413387649769</v>
      </c>
      <c r="AU159" s="172">
        <f ca="1">(VLOOKUP(AU$72,INDIRECT($C$5&amp;"生成成长"),2))/((VLOOKUP($B159,INDIRECT($B$5&amp;"生成成长"),4))/(VLOOKUP(AU$72,INDIRECT($C$5&amp;"生成成长"),5))*(VLOOKUP($B$5,标准坦克设计!$B$24:$U$30,MATCH("对"&amp;LEFT($C$5,2)&amp;"输出",标准坦克设计!$B$23:$U$23,0)))*(VLOOKUP($B159,INDIRECT($B$5&amp;"生成成长"),3))*(VLOOKUP($B$5,标准坦克设计!$B$14:$K$20,9)/30))</f>
        <v>10.904129334574165</v>
      </c>
      <c r="AV159" s="172">
        <f ca="1">(VLOOKUP(AV$72,INDIRECT($C$5&amp;"生成成长"),2))/((VLOOKUP($B159,INDIRECT($B$5&amp;"生成成长"),4))/(VLOOKUP(AV$72,INDIRECT($C$5&amp;"生成成长"),5))*(VLOOKUP($B$5,标准坦克设计!$B$24:$U$30,MATCH("对"&amp;LEFT($C$5,2)&amp;"输出",标准坦克设计!$B$23:$U$23,0)))*(VLOOKUP($B159,INDIRECT($B$5&amp;"生成成长"),3))*(VLOOKUP($B$5,标准坦克设计!$B$14:$K$20,9)/30))</f>
        <v>1.1090511092374777</v>
      </c>
      <c r="AW159" s="172">
        <f ca="1">(VLOOKUP(AW$72,INDIRECT($C$5&amp;"生成成长"),2))/((VLOOKUP($B159,INDIRECT($B$5&amp;"生成成长"),4))/(VLOOKUP(AW$72,INDIRECT($C$5&amp;"生成成长"),5))*(VLOOKUP($B$5,标准坦克设计!$B$24:$U$30,MATCH("对"&amp;LEFT($C$5,2)&amp;"输出",标准坦克设计!$B$23:$U$23,0)))*(VLOOKUP($B159,INDIRECT($B$5&amp;"生成成长"),3))*(VLOOKUP($B$5,标准坦克设计!$B$14:$K$20,9)/30))</f>
        <v>1.2645285413856791</v>
      </c>
      <c r="AX159" s="172">
        <f ca="1">(VLOOKUP(AX$72,INDIRECT($C$5&amp;"生成成长"),2))/((VLOOKUP($B159,INDIRECT($B$5&amp;"生成成长"),4))/(VLOOKUP(AX$72,INDIRECT($C$5&amp;"生成成长"),5))*(VLOOKUP($B$5,标准坦克设计!$B$24:$U$30,MATCH("对"&amp;LEFT($C$5,2)&amp;"输出",标准坦克设计!$B$23:$U$23,0)))*(VLOOKUP($B159,INDIRECT($B$5&amp;"生成成长"),3))*(VLOOKUP($B$5,标准坦克设计!$B$14:$K$20,9)/30))</f>
        <v>1.4302012149862218</v>
      </c>
      <c r="AY159" s="172">
        <f ca="1">(VLOOKUP(AY$72,INDIRECT($C$5&amp;"生成成长"),2))/((VLOOKUP($B159,INDIRECT($B$5&amp;"生成成长"),4))/(VLOOKUP(AY$72,INDIRECT($C$5&amp;"生成成长"),5))*(VLOOKUP($B$5,标准坦克设计!$B$24:$U$30,MATCH("对"&amp;LEFT($C$5,2)&amp;"输出",标准坦克设计!$B$23:$U$23,0)))*(VLOOKUP($B159,INDIRECT($B$5&amp;"生成成长"),3))*(VLOOKUP($B$5,标准坦克设计!$B$14:$K$20,9)/30))</f>
        <v>1.6060691300391052</v>
      </c>
      <c r="AZ159" s="172">
        <f ca="1">(VLOOKUP(AZ$72,INDIRECT($C$5&amp;"生成成长"),2))/((VLOOKUP($B159,INDIRECT($B$5&amp;"生成成长"),4))/(VLOOKUP(AZ$72,INDIRECT($C$5&amp;"生成成长"),5))*(VLOOKUP($B$5,标准坦克设计!$B$24:$U$30,MATCH("对"&amp;LEFT($C$5,2)&amp;"输出",标准坦克设计!$B$23:$U$23,0)))*(VLOOKUP($B159,INDIRECT($B$5&amp;"生成成长"),3))*(VLOOKUP($B$5,标准坦克设计!$B$14:$K$20,9)/30))</f>
        <v>1.7921322865443297</v>
      </c>
      <c r="BA159" s="172">
        <f ca="1">(VLOOKUP(BA$72,INDIRECT($C$5&amp;"生成成长"),2))/((VLOOKUP($B159,INDIRECT($B$5&amp;"生成成长"),4))/(VLOOKUP(BA$72,INDIRECT($C$5&amp;"生成成长"),5))*(VLOOKUP($B$5,标准坦克设计!$B$24:$U$30,MATCH("对"&amp;LEFT($C$5,2)&amp;"输出",标准坦克设计!$B$23:$U$23,0)))*(VLOOKUP($B159,INDIRECT($B$5&amp;"生成成长"),3))*(VLOOKUP($B$5,标准坦克设计!$B$14:$K$20,9)/30))</f>
        <v>1.9883906845018955</v>
      </c>
      <c r="BB159" s="172">
        <f ca="1">(VLOOKUP(BB$72,INDIRECT($C$5&amp;"生成成长"),2))/((VLOOKUP($B159,INDIRECT($B$5&amp;"生成成长"),4))/(VLOOKUP(BB$72,INDIRECT($C$5&amp;"生成成长"),5))*(VLOOKUP($B$5,标准坦克设计!$B$24:$U$30,MATCH("对"&amp;LEFT($C$5,2)&amp;"输出",标准坦克设计!$B$23:$U$23,0)))*(VLOOKUP($B159,INDIRECT($B$5&amp;"生成成长"),3))*(VLOOKUP($B$5,标准坦克设计!$B$14:$K$20,9)/30))</f>
        <v>2.1948443239118025</v>
      </c>
      <c r="BC159" s="172">
        <f ca="1">(VLOOKUP(BC$72,INDIRECT($C$5&amp;"生成成长"),2))/((VLOOKUP($B159,INDIRECT($B$5&amp;"生成成长"),4))/(VLOOKUP(BC$72,INDIRECT($C$5&amp;"生成成长"),5))*(VLOOKUP($B$5,标准坦克设计!$B$24:$U$30,MATCH("对"&amp;LEFT($C$5,2)&amp;"输出",标准坦克设计!$B$23:$U$23,0)))*(VLOOKUP($B159,INDIRECT($B$5&amp;"生成成长"),3))*(VLOOKUP($B$5,标准坦克设计!$B$14:$K$20,9)/30))</f>
        <v>2.4114932047740498</v>
      </c>
      <c r="BD159" s="172">
        <f ca="1">(VLOOKUP(BD$72,INDIRECT($C$5&amp;"生成成长"),2))/((VLOOKUP($B159,INDIRECT($B$5&amp;"生成成长"),4))/(VLOOKUP(BD$72,INDIRECT($C$5&amp;"生成成长"),5))*(VLOOKUP($B$5,标准坦克设计!$B$24:$U$30,MATCH("对"&amp;LEFT($C$5,2)&amp;"输出",标准坦克设计!$B$23:$U$23,0)))*(VLOOKUP($B159,INDIRECT($B$5&amp;"生成成长"),3))*(VLOOKUP($B$5,标准坦克设计!$B$14:$K$20,9)/30))</f>
        <v>2.667409695292581</v>
      </c>
      <c r="BE159" s="172">
        <f ca="1">(VLOOKUP(BE$72,INDIRECT($C$5&amp;"生成成长"),2))/((VLOOKUP($B159,INDIRECT($B$5&amp;"生成成长"),4))/(VLOOKUP(BE$72,INDIRECT($C$5&amp;"生成成长"),5))*(VLOOKUP($B$5,标准坦克设计!$B$24:$U$30,MATCH("对"&amp;LEFT($C$5,2)&amp;"输出",标准坦克设计!$B$23:$U$23,0)))*(VLOOKUP($B159,INDIRECT($B$5&amp;"生成成长"),3))*(VLOOKUP($B$5,标准坦克设计!$B$14:$K$20,9)/30))</f>
        <v>2.9362295382742296</v>
      </c>
      <c r="BF159" s="172">
        <f ca="1">(VLOOKUP(BF$72,INDIRECT($C$5&amp;"生成成长"),2))/((VLOOKUP($B159,INDIRECT($B$5&amp;"生成成长"),4))/(VLOOKUP(BF$72,INDIRECT($C$5&amp;"生成成长"),5))*(VLOOKUP($B$5,标准坦克设计!$B$24:$U$30,MATCH("对"&amp;LEFT($C$5,2)&amp;"输出",标准坦克设计!$B$23:$U$23,0)))*(VLOOKUP($B159,INDIRECT($B$5&amp;"生成成长"),3))*(VLOOKUP($B$5,标准坦克设计!$B$14:$K$20,9)/30))</f>
        <v>3.2179527337189988</v>
      </c>
      <c r="BG159" s="172">
        <f ca="1">(VLOOKUP(BG$72,INDIRECT($C$5&amp;"生成成长"),2))/((VLOOKUP($B159,INDIRECT($B$5&amp;"生成成长"),4))/(VLOOKUP(BG$72,INDIRECT($C$5&amp;"生成成长"),5))*(VLOOKUP($B$5,标准坦克设计!$B$24:$U$30,MATCH("对"&amp;LEFT($C$5,2)&amp;"输出",标准坦克设计!$B$23:$U$23,0)))*(VLOOKUP($B159,INDIRECT($B$5&amp;"生成成长"),3))*(VLOOKUP($B$5,标准坦克设计!$B$14:$K$20,9)/30))</f>
        <v>3.5125792816268864</v>
      </c>
      <c r="BH159" s="172">
        <f ca="1">(VLOOKUP(BH$72,INDIRECT($C$5&amp;"生成成长"),2))/((VLOOKUP($B159,INDIRECT($B$5&amp;"生成成长"),4))/(VLOOKUP(BH$72,INDIRECT($C$5&amp;"生成成长"),5))*(VLOOKUP($B$5,标准坦克设计!$B$24:$U$30,MATCH("对"&amp;LEFT($C$5,2)&amp;"输出",标准坦克设计!$B$23:$U$23,0)))*(VLOOKUP($B159,INDIRECT($B$5&amp;"生成成长"),3))*(VLOOKUP($B$5,标准坦克设计!$B$14:$K$20,9)/30))</f>
        <v>1.6978263031101748</v>
      </c>
      <c r="BI159" s="172">
        <f ca="1">(VLOOKUP(BI$72,INDIRECT($C$5&amp;"生成成长"),2))/((VLOOKUP($B159,INDIRECT($B$5&amp;"生成成长"),4))/(VLOOKUP(BI$72,INDIRECT($C$5&amp;"生成成长"),5))*(VLOOKUP($B$5,标准坦克设计!$B$24:$U$30,MATCH("对"&amp;LEFT($C$5,2)&amp;"输出",标准坦克设计!$B$23:$U$23,0)))*(VLOOKUP($B159,INDIRECT($B$5&amp;"生成成长"),3))*(VLOOKUP($B$5,标准坦克设计!$B$14:$K$20,9)/30))</f>
        <v>1.913599030410112</v>
      </c>
      <c r="BJ159" s="172">
        <f ca="1">(VLOOKUP(BJ$72,INDIRECT($C$5&amp;"生成成长"),2))/((VLOOKUP($B159,INDIRECT($B$5&amp;"生成成长"),4))/(VLOOKUP(BJ$72,INDIRECT($C$5&amp;"生成成长"),5))*(VLOOKUP($B$5,标准坦克设计!$B$24:$U$30,MATCH("对"&amp;LEFT($C$5,2)&amp;"输出",标准坦克设计!$B$23:$U$23,0)))*(VLOOKUP($B159,INDIRECT($B$5&amp;"生成成长"),3))*(VLOOKUP($B$5,标准坦克设计!$B$14:$K$20,9)/30))</f>
        <v>2.142275110173169</v>
      </c>
      <c r="BK159" s="172">
        <f ca="1">(VLOOKUP(BK$72,INDIRECT($C$5&amp;"生成成长"),2))/((VLOOKUP($B159,INDIRECT($B$5&amp;"生成成长"),4))/(VLOOKUP(BK$72,INDIRECT($C$5&amp;"生成成长"),5))*(VLOOKUP($B$5,标准坦克设计!$B$24:$U$30,MATCH("对"&amp;LEFT($C$5,2)&amp;"输出",标准坦克设计!$B$23:$U$23,0)))*(VLOOKUP($B159,INDIRECT($B$5&amp;"生成成长"),3))*(VLOOKUP($B$5,标准坦克设计!$B$14:$K$20,9)/30))</f>
        <v>2.3838545423993445</v>
      </c>
      <c r="BL159" s="172">
        <f ca="1">(VLOOKUP(BL$72,INDIRECT($C$5&amp;"生成成长"),2))/((VLOOKUP($B159,INDIRECT($B$5&amp;"生成成长"),4))/(VLOOKUP(BL$72,INDIRECT($C$5&amp;"生成成长"),5))*(VLOOKUP($B$5,标准坦克设计!$B$24:$U$30,MATCH("对"&amp;LEFT($C$5,2)&amp;"输出",标准坦克设计!$B$23:$U$23,0)))*(VLOOKUP($B159,INDIRECT($B$5&amp;"生成成长"),3))*(VLOOKUP($B$5,标准坦克设计!$B$14:$K$20,9)/30))</f>
        <v>2.6383373270886392</v>
      </c>
      <c r="BM159" s="172">
        <f ca="1">(VLOOKUP(BM$72,INDIRECT($C$5&amp;"生成成长"),2))/((VLOOKUP($B159,INDIRECT($B$5&amp;"生成成长"),4))/(VLOOKUP(BM$72,INDIRECT($C$5&amp;"生成成长"),5))*(VLOOKUP($B$5,标准坦克设计!$B$24:$U$30,MATCH("对"&amp;LEFT($C$5,2)&amp;"输出",标准坦克设计!$B$23:$U$23,0)))*(VLOOKUP($B159,INDIRECT($B$5&amp;"生成成长"),3))*(VLOOKUP($B$5,标准坦克设计!$B$14:$K$20,9)/30))</f>
        <v>2.9057234642410532</v>
      </c>
      <c r="BN159" s="172">
        <f ca="1">(VLOOKUP(BN$72,INDIRECT($C$5&amp;"生成成长"),2))/((VLOOKUP($B159,INDIRECT($B$5&amp;"生成成长"),4))/(VLOOKUP(BN$72,INDIRECT($C$5&amp;"生成成长"),5))*(VLOOKUP($B$5,标准坦克设计!$B$24:$U$30,MATCH("对"&amp;LEFT($C$5,2)&amp;"输出",标准坦克设计!$B$23:$U$23,0)))*(VLOOKUP($B159,INDIRECT($B$5&amp;"生成成长"),3))*(VLOOKUP($B$5,标准坦克设计!$B$14:$K$20,9)/30))</f>
        <v>3.1860129538565864</v>
      </c>
      <c r="BO159" s="172">
        <f ca="1">(VLOOKUP(BO$72,INDIRECT($C$5&amp;"生成成长"),2))/((VLOOKUP($B159,INDIRECT($B$5&amp;"生成成长"),4))/(VLOOKUP(BO$72,INDIRECT($C$5&amp;"生成成长"),5))*(VLOOKUP($B$5,标准坦克设计!$B$24:$U$30,MATCH("对"&amp;LEFT($C$5,2)&amp;"输出",标准坦克设计!$B$23:$U$23,0)))*(VLOOKUP($B159,INDIRECT($B$5&amp;"生成成长"),3))*(VLOOKUP($B$5,标准坦克设计!$B$14:$K$20,9)/30))</f>
        <v>3.4792057959352385</v>
      </c>
      <c r="BP159" s="172">
        <f ca="1">(VLOOKUP(BP$72,INDIRECT($C$5&amp;"生成成长"),2))/((VLOOKUP($B159,INDIRECT($B$5&amp;"生成成长"),4))/(VLOOKUP(BP$72,INDIRECT($C$5&amp;"生成成长"),5))*(VLOOKUP($B$5,标准坦克设计!$B$24:$U$30,MATCH("对"&amp;LEFT($C$5,2)&amp;"输出",标准坦克设计!$B$23:$U$23,0)))*(VLOOKUP($B159,INDIRECT($B$5&amp;"生成成长"),3))*(VLOOKUP($B$5,标准坦克设计!$B$14:$K$20,9)/30))</f>
        <v>3.7853019904770098</v>
      </c>
      <c r="BQ159" s="172">
        <f ca="1">(VLOOKUP(BQ$72,INDIRECT($C$5&amp;"生成成长"),2))/((VLOOKUP($B159,INDIRECT($B$5&amp;"生成成长"),4))/(VLOOKUP(BQ$72,INDIRECT($C$5&amp;"生成成长"),5))*(VLOOKUP($B$5,标准坦克设计!$B$24:$U$30,MATCH("对"&amp;LEFT($C$5,2)&amp;"输出",标准坦克设计!$B$23:$U$23,0)))*(VLOOKUP($B159,INDIRECT($B$5&amp;"生成成长"),3))*(VLOOKUP($B$5,标准坦克设计!$B$14:$K$20,9)/30))</f>
        <v>4.1043015374819012</v>
      </c>
      <c r="BR159" s="172">
        <f ca="1">(VLOOKUP(BR$72,INDIRECT($C$5&amp;"生成成长"),2))/((VLOOKUP($B159,INDIRECT($B$5&amp;"生成成长"),4))/(VLOOKUP(BR$72,INDIRECT($C$5&amp;"生成成长"),5))*(VLOOKUP($B$5,标准坦克设计!$B$24:$U$30,MATCH("对"&amp;LEFT($C$5,2)&amp;"输出",标准坦克设计!$B$23:$U$23,0)))*(VLOOKUP($B159,INDIRECT($B$5&amp;"生成成长"),3))*(VLOOKUP($B$5,标准坦克设计!$B$14:$K$20,9)/30))</f>
        <v>4.4738790401292645</v>
      </c>
      <c r="BS159" s="172">
        <f ca="1">(VLOOKUP(BS$72,INDIRECT($C$5&amp;"生成成长"),2))/((VLOOKUP($B159,INDIRECT($B$5&amp;"生成成长"),4))/(VLOOKUP(BS$72,INDIRECT($C$5&amp;"生成成长"),5))*(VLOOKUP($B$5,标准坦克设计!$B$24:$U$30,MATCH("对"&amp;LEFT($C$5,2)&amp;"输出",标准坦克设计!$B$23:$U$23,0)))*(VLOOKUP($B159,INDIRECT($B$5&amp;"生成成长"),3))*(VLOOKUP($B$5,标准坦克设计!$B$14:$K$20,9)/30))</f>
        <v>4.859386607545912</v>
      </c>
      <c r="BT159" s="172">
        <f ca="1">(VLOOKUP(BT$72,INDIRECT($C$5&amp;"生成成长"),2))/((VLOOKUP($B159,INDIRECT($B$5&amp;"生成成长"),4))/(VLOOKUP(BT$72,INDIRECT($C$5&amp;"生成成长"),5))*(VLOOKUP($B$5,标准坦克设计!$B$24:$U$30,MATCH("对"&amp;LEFT($C$5,2)&amp;"输出",标准坦克设计!$B$23:$U$23,0)))*(VLOOKUP($B159,INDIRECT($B$5&amp;"生成成长"),3))*(VLOOKUP($B$5,标准坦克设计!$B$14:$K$20,9)/30))</f>
        <v>5.260824239731841</v>
      </c>
      <c r="BU159" s="172">
        <f ca="1">(VLOOKUP(BU$72,INDIRECT($C$5&amp;"生成成长"),2))/((VLOOKUP($B159,INDIRECT($B$5&amp;"生成成长"),4))/(VLOOKUP(BU$72,INDIRECT($C$5&amp;"生成成长"),5))*(VLOOKUP($B$5,标准坦克设计!$B$24:$U$30,MATCH("对"&amp;LEFT($C$5,2)&amp;"输出",标准坦克设计!$B$23:$U$23,0)))*(VLOOKUP($B159,INDIRECT($B$5&amp;"生成成长"),3))*(VLOOKUP($B$5,标准坦克设计!$B$14:$K$20,9)/30))</f>
        <v>5.678191936687055</v>
      </c>
      <c r="BV159" s="172">
        <f ca="1">(VLOOKUP(BV$72,INDIRECT($C$5&amp;"生成成长"),2))/((VLOOKUP($B159,INDIRECT($B$5&amp;"生成成长"),4))/(VLOOKUP(BV$72,INDIRECT($C$5&amp;"生成成长"),5))*(VLOOKUP($B$5,标准坦克设计!$B$24:$U$30,MATCH("对"&amp;LEFT($C$5,2)&amp;"输出",标准坦克设计!$B$23:$U$23,0)))*(VLOOKUP($B159,INDIRECT($B$5&amp;"生成成长"),3))*(VLOOKUP($B$5,标准坦克设计!$B$14:$K$20,9)/30))</f>
        <v>6.1114896984115514</v>
      </c>
      <c r="BW159" s="172">
        <f ca="1">(VLOOKUP(BW$72,INDIRECT($C$5&amp;"生成成长"),2))/((VLOOKUP($B159,INDIRECT($B$5&amp;"生成成长"),4))/(VLOOKUP(BW$72,INDIRECT($C$5&amp;"生成成长"),5))*(VLOOKUP($B$5,标准坦克设计!$B$24:$U$30,MATCH("对"&amp;LEFT($C$5,2)&amp;"输出",标准坦克设计!$B$23:$U$23,0)))*(VLOOKUP($B159,INDIRECT($B$5&amp;"生成成长"),3))*(VLOOKUP($B$5,标准坦克设计!$B$14:$K$20,9)/30))</f>
        <v>2.7852921745852743</v>
      </c>
      <c r="BX159" s="172">
        <f ca="1">(VLOOKUP(BX$72,INDIRECT($C$5&amp;"生成成长"),2))/((VLOOKUP($B159,INDIRECT($B$5&amp;"生成成长"),4))/(VLOOKUP(BX$72,INDIRECT($C$5&amp;"生成成长"),5))*(VLOOKUP($B$5,标准坦克设计!$B$24:$U$30,MATCH("对"&amp;LEFT($C$5,2)&amp;"输出",标准坦克设计!$B$23:$U$23,0)))*(VLOOKUP($B159,INDIRECT($B$5&amp;"生成成长"),3))*(VLOOKUP($B$5,标准坦克设计!$B$14:$K$20,9)/30))</f>
        <v>3.0911494181555068</v>
      </c>
      <c r="BY159" s="172">
        <f ca="1">(VLOOKUP(BY$72,INDIRECT($C$5&amp;"生成成长"),2))/((VLOOKUP($B159,INDIRECT($B$5&amp;"生成成长"),4))/(VLOOKUP(BY$72,INDIRECT($C$5&amp;"生成成长"),5))*(VLOOKUP($B$5,标准坦克设计!$B$24:$U$30,MATCH("对"&amp;LEFT($C$5,2)&amp;"输出",标准坦克设计!$B$23:$U$23,0)))*(VLOOKUP($B159,INDIRECT($B$5&amp;"生成成长"),3))*(VLOOKUP($B$5,标准坦克设计!$B$14:$K$20,9)/30))</f>
        <v>3.4129367264950221</v>
      </c>
      <c r="BZ159" s="172">
        <f ca="1">(VLOOKUP(BZ$72,INDIRECT($C$5&amp;"生成成长"),2))/((VLOOKUP($B159,INDIRECT($B$5&amp;"生成成长"),4))/(VLOOKUP(BZ$72,INDIRECT($C$5&amp;"生成成长"),5))*(VLOOKUP($B$5,标准坦克设计!$B$24:$U$30,MATCH("对"&amp;LEFT($C$5,2)&amp;"输出",标准坦克设计!$B$23:$U$23,0)))*(VLOOKUP($B159,INDIRECT($B$5&amp;"生成成长"),3))*(VLOOKUP($B$5,标准坦克设计!$B$14:$K$20,9)/30))</f>
        <v>3.7506540996038202</v>
      </c>
      <c r="CA159" s="172">
        <f ca="1">(VLOOKUP(CA$72,INDIRECT($C$5&amp;"生成成长"),2))/((VLOOKUP($B159,INDIRECT($B$5&amp;"生成成长"),4))/(VLOOKUP(CA$72,INDIRECT($C$5&amp;"生成成长"),5))*(VLOOKUP($B$5,标准坦克设计!$B$24:$U$30,MATCH("对"&amp;LEFT($C$5,2)&amp;"输出",标准坦克设计!$B$23:$U$23,0)))*(VLOOKUP($B159,INDIRECT($B$5&amp;"生成成长"),3))*(VLOOKUP($B$5,标准坦克设计!$B$14:$K$20,9)/30))</f>
        <v>4.1043015374819012</v>
      </c>
      <c r="CB159" s="172">
        <f ca="1">(VLOOKUP(CB$72,INDIRECT($C$5&amp;"生成成长"),2))/((VLOOKUP($B159,INDIRECT($B$5&amp;"生成成长"),4))/(VLOOKUP(CB$72,INDIRECT($C$5&amp;"生成成长"),5))*(VLOOKUP($B$5,标准坦克设计!$B$24:$U$30,MATCH("对"&amp;LEFT($C$5,2)&amp;"输出",标准坦克设计!$B$23:$U$23,0)))*(VLOOKUP($B159,INDIRECT($B$5&amp;"生成成长"),3))*(VLOOKUP($B$5,标准坦克设计!$B$14:$K$20,9)/30))</f>
        <v>4.4738790401292645</v>
      </c>
      <c r="CC159" s="172">
        <f ca="1">(VLOOKUP(CC$72,INDIRECT($C$5&amp;"生成成长"),2))/((VLOOKUP($B159,INDIRECT($B$5&amp;"生成成长"),4))/(VLOOKUP(CC$72,INDIRECT($C$5&amp;"生成成长"),5))*(VLOOKUP($B$5,标准坦克设计!$B$24:$U$30,MATCH("对"&amp;LEFT($C$5,2)&amp;"输出",标准坦克设计!$B$23:$U$23,0)))*(VLOOKUP($B159,INDIRECT($B$5&amp;"生成成长"),3))*(VLOOKUP($B$5,标准坦克设计!$B$14:$K$20,9)/30))</f>
        <v>4.859386607545912</v>
      </c>
      <c r="CD159" s="172">
        <f ca="1">(VLOOKUP(CD$72,INDIRECT($C$5&amp;"生成成长"),2))/((VLOOKUP($B159,INDIRECT($B$5&amp;"生成成长"),4))/(VLOOKUP(CD$72,INDIRECT($C$5&amp;"生成成长"),5))*(VLOOKUP($B$5,标准坦克设计!$B$24:$U$30,MATCH("对"&amp;LEFT($C$5,2)&amp;"输出",标准坦克设计!$B$23:$U$23,0)))*(VLOOKUP($B159,INDIRECT($B$5&amp;"生成成长"),3))*(VLOOKUP($B$5,标准坦克设计!$B$14:$K$20,9)/30))</f>
        <v>5.260824239731841</v>
      </c>
      <c r="CE159" s="172">
        <f ca="1">(VLOOKUP(CE$72,INDIRECT($C$5&amp;"生成成长"),2))/((VLOOKUP($B159,INDIRECT($B$5&amp;"生成成长"),4))/(VLOOKUP(CE$72,INDIRECT($C$5&amp;"生成成长"),5))*(VLOOKUP($B$5,标准坦克设计!$B$24:$U$30,MATCH("对"&amp;LEFT($C$5,2)&amp;"输出",标准坦克设计!$B$23:$U$23,0)))*(VLOOKUP($B159,INDIRECT($B$5&amp;"生成成长"),3))*(VLOOKUP($B$5,标准坦克设计!$B$14:$K$20,9)/30))</f>
        <v>5.678191936687055</v>
      </c>
      <c r="CF159" s="172">
        <f ca="1">(VLOOKUP(CF$72,INDIRECT($C$5&amp;"生成成长"),2))/((VLOOKUP($B159,INDIRECT($B$5&amp;"生成成长"),4))/(VLOOKUP(CF$72,INDIRECT($C$5&amp;"生成成长"),5))*(VLOOKUP($B$5,标准坦克设计!$B$24:$U$30,MATCH("对"&amp;LEFT($C$5,2)&amp;"输出",标准坦克设计!$B$23:$U$23,0)))*(VLOOKUP($B159,INDIRECT($B$5&amp;"生成成长"),3))*(VLOOKUP($B$5,标准坦克设计!$B$14:$K$20,9)/30))</f>
        <v>6.1114896984115514</v>
      </c>
      <c r="CG159" s="172">
        <f ca="1">(VLOOKUP(CG$72,INDIRECT($C$5&amp;"生成成长"),2))/((VLOOKUP($B159,INDIRECT($B$5&amp;"生成成长"),4))/(VLOOKUP(CG$72,INDIRECT($C$5&amp;"生成成长"),5))*(VLOOKUP($B$5,标准坦克设计!$B$24:$U$30,MATCH("对"&amp;LEFT($C$5,2)&amp;"输出",标准坦克设计!$B$23:$U$23,0)))*(VLOOKUP($B159,INDIRECT($B$5&amp;"生成成长"),3))*(VLOOKUP($B$5,标准坦克设计!$B$14:$K$20,9)/30))</f>
        <v>6.5607175249053284</v>
      </c>
      <c r="CH159" s="172">
        <f ca="1">(VLOOKUP(CH$72,INDIRECT($C$5&amp;"生成成长"),2))/((VLOOKUP($B159,INDIRECT($B$5&amp;"生成成长"),4))/(VLOOKUP(CH$72,INDIRECT($C$5&amp;"生成成长"),5))*(VLOOKUP($B$5,标准坦克设计!$B$24:$U$30,MATCH("对"&amp;LEFT($C$5,2)&amp;"输出",标准坦克设计!$B$23:$U$23,0)))*(VLOOKUP($B159,INDIRECT($B$5&amp;"生成成长"),3))*(VLOOKUP($B$5,标准坦克设计!$B$14:$K$20,9)/30))</f>
        <v>7.0258754161683896</v>
      </c>
      <c r="CI159" s="172">
        <f ca="1">(VLOOKUP(CI$72,INDIRECT($C$5&amp;"生成成长"),2))/((VLOOKUP($B159,INDIRECT($B$5&amp;"生成成长"),4))/(VLOOKUP(CI$72,INDIRECT($C$5&amp;"生成成长"),5))*(VLOOKUP($B$5,标准坦克设计!$B$24:$U$30,MATCH("对"&amp;LEFT($C$5,2)&amp;"输出",标准坦克设计!$B$23:$U$23,0)))*(VLOOKUP($B159,INDIRECT($B$5&amp;"生成成长"),3))*(VLOOKUP($B$5,标准坦克设计!$B$14:$K$20,9)/30))</f>
        <v>7.5559483213662793</v>
      </c>
      <c r="CJ159" s="172">
        <f ca="1">(VLOOKUP(CJ$72,INDIRECT($C$5&amp;"生成成长"),2))/((VLOOKUP($B159,INDIRECT($B$5&amp;"生成成长"),4))/(VLOOKUP(CJ$72,INDIRECT($C$5&amp;"生成成长"),5))*(VLOOKUP($B$5,标准坦克设计!$B$24:$U$30,MATCH("对"&amp;LEFT($C$5,2)&amp;"输出",标准坦克设计!$B$23:$U$23,0)))*(VLOOKUP($B159,INDIRECT($B$5&amp;"生成成长"),3))*(VLOOKUP($B$5,标准坦克设计!$B$14:$K$20,9)/30))</f>
        <v>8.1052966049350008</v>
      </c>
      <c r="CK159" s="172">
        <f ca="1">(VLOOKUP(CK$72,INDIRECT($C$5&amp;"生成成长"),2))/((VLOOKUP($B159,INDIRECT($B$5&amp;"生成成长"),4))/(VLOOKUP(CK$72,INDIRECT($C$5&amp;"生成成长"),5))*(VLOOKUP($B$5,标准坦克设计!$B$24:$U$30,MATCH("对"&amp;LEFT($C$5,2)&amp;"输出",标准坦克设计!$B$23:$U$23,0)))*(VLOOKUP($B159,INDIRECT($B$5&amp;"生成成长"),3))*(VLOOKUP($B$5,标准坦克设计!$B$14:$K$20,9)/30))</f>
        <v>8.6739202668745552</v>
      </c>
      <c r="CL159" s="172">
        <f ca="1">(VLOOKUP(CL$72,INDIRECT($C$5&amp;"生成成长"),2))/((VLOOKUP($B159,INDIRECT($B$5&amp;"生成成长"),4))/(VLOOKUP(CL$72,INDIRECT($C$5&amp;"生成成长"),5))*(VLOOKUP($B$5,标准坦克设计!$B$24:$U$30,MATCH("对"&amp;LEFT($C$5,2)&amp;"输出",标准坦克设计!$B$23:$U$23,0)))*(VLOOKUP($B159,INDIRECT($B$5&amp;"生成成长"),3))*(VLOOKUP($B$5,标准坦克设计!$B$14:$K$20,9)/30))</f>
        <v>9.2618193071849415</v>
      </c>
      <c r="CM159" s="172">
        <f ca="1">(VLOOKUP(CM$72,INDIRECT($C$5&amp;"生成成长"),2))/((VLOOKUP($B159,INDIRECT($B$5&amp;"生成成长"),4))/(VLOOKUP(CM$72,INDIRECT($C$5&amp;"生成成长"),5))*(VLOOKUP($B$5,标准坦克设计!$B$24:$U$30,MATCH("对"&amp;LEFT($C$5,2)&amp;"输出",标准坦克设计!$B$23:$U$23,0)))*(VLOOKUP($B159,INDIRECT($B$5&amp;"生成成长"),3))*(VLOOKUP($B$5,标准坦克设计!$B$14:$K$20,9)/30))</f>
        <v>9.8689937258661615</v>
      </c>
      <c r="CN159" s="172">
        <f ca="1">(VLOOKUP(CN$72,INDIRECT($C$5&amp;"生成成长"),2))/((VLOOKUP($B159,INDIRECT($B$5&amp;"生成成长"),4))/(VLOOKUP(CN$72,INDIRECT($C$5&amp;"生成成长"),5))*(VLOOKUP($B$5,标准坦克设计!$B$24:$U$30,MATCH("对"&amp;LEFT($C$5,2)&amp;"输出",标准坦克设计!$B$23:$U$23,0)))*(VLOOKUP($B159,INDIRECT($B$5&amp;"生成成长"),3))*(VLOOKUP($B$5,标准坦克设计!$B$14:$K$20,9)/30))</f>
        <v>10.495443522918212</v>
      </c>
      <c r="CO159" s="172">
        <f ca="1">(VLOOKUP(CO$72,INDIRECT($C$5&amp;"生成成长"),2))/((VLOOKUP($B159,INDIRECT($B$5&amp;"生成成长"),4))/(VLOOKUP(CO$72,INDIRECT($C$5&amp;"生成成长"),5))*(VLOOKUP($B$5,标准坦克设计!$B$24:$U$30,MATCH("对"&amp;LEFT($C$5,2)&amp;"输出",标准坦克设计!$B$23:$U$23,0)))*(VLOOKUP($B159,INDIRECT($B$5&amp;"生成成长"),3))*(VLOOKUP($B$5,标准坦克设计!$B$14:$K$20,9)/30))</f>
        <v>4.703271972806939</v>
      </c>
      <c r="CP159" s="172">
        <f ca="1">(VLOOKUP(CP$72,INDIRECT($C$5&amp;"生成成长"),2))/((VLOOKUP($B159,INDIRECT($B$5&amp;"生成成长"),4))/(VLOOKUP(CP$72,INDIRECT($C$5&amp;"生成成长"),5))*(VLOOKUP($B$5,标准坦克设计!$B$24:$U$30,MATCH("对"&amp;LEFT($C$5,2)&amp;"输出",标准坦克设计!$B$23:$U$23,0)))*(VLOOKUP($B159,INDIRECT($B$5&amp;"生成成长"),3))*(VLOOKUP($B$5,标准坦克设计!$B$14:$K$20,9)/30))</f>
        <v>5.1387202932752887</v>
      </c>
      <c r="CQ159" s="172">
        <f ca="1">(VLOOKUP(CQ$72,INDIRECT($C$5&amp;"生成成长"),2))/((VLOOKUP($B159,INDIRECT($B$5&amp;"生成成长"),4))/(VLOOKUP(CQ$72,INDIRECT($C$5&amp;"生成成长"),5))*(VLOOKUP($B$5,标准坦克设计!$B$24:$U$30,MATCH("对"&amp;LEFT($C$5,2)&amp;"输出",标准坦克设计!$B$23:$U$23,0)))*(VLOOKUP($B159,INDIRECT($B$5&amp;"生成成长"),3))*(VLOOKUP($B$5,标准坦克设计!$B$14:$K$20,9)/30))</f>
        <v>5.5934439921144694</v>
      </c>
      <c r="CR159" s="172">
        <f ca="1">(VLOOKUP(CR$72,INDIRECT($C$5&amp;"生成成长"),2))/((VLOOKUP($B159,INDIRECT($B$5&amp;"生成成长"),4))/(VLOOKUP(CR$72,INDIRECT($C$5&amp;"生成成长"),5))*(VLOOKUP($B$5,标准坦克设计!$B$24:$U$30,MATCH("对"&amp;LEFT($C$5,2)&amp;"输出",标准坦克设计!$B$23:$U$23,0)))*(VLOOKUP($B159,INDIRECT($B$5&amp;"生成成长"),3))*(VLOOKUP($B$5,标准坦克设计!$B$14:$K$20,9)/30))</f>
        <v>6.067443069324483</v>
      </c>
      <c r="CS159" s="172">
        <f ca="1">(VLOOKUP(CS$72,INDIRECT($C$5&amp;"生成成长"),2))/((VLOOKUP($B159,INDIRECT($B$5&amp;"生成成长"),4))/(VLOOKUP(CS$72,INDIRECT($C$5&amp;"生成成长"),5))*(VLOOKUP($B$5,标准坦克设计!$B$24:$U$30,MATCH("对"&amp;LEFT($C$5,2)&amp;"输出",标准坦克设计!$B$23:$U$23,0)))*(VLOOKUP($B159,INDIRECT($B$5&amp;"生成成长"),3))*(VLOOKUP($B$5,标准坦克设计!$B$14:$K$20,9)/30))</f>
        <v>6.5607175249053284</v>
      </c>
      <c r="CT159" s="172">
        <f ca="1">(VLOOKUP(CT$72,INDIRECT($C$5&amp;"生成成长"),2))/((VLOOKUP($B159,INDIRECT($B$5&amp;"生成成长"),4))/(VLOOKUP(CT$72,INDIRECT($C$5&amp;"生成成长"),5))*(VLOOKUP($B$5,标准坦克设计!$B$24:$U$30,MATCH("对"&amp;LEFT($C$5,2)&amp;"输出",标准坦克设计!$B$23:$U$23,0)))*(VLOOKUP($B159,INDIRECT($B$5&amp;"生成成长"),3))*(VLOOKUP($B$5,标准坦克设计!$B$14:$K$20,9)/30))</f>
        <v>7.0732673588570076</v>
      </c>
      <c r="CU159" s="172">
        <f ca="1">(VLOOKUP(CU$72,INDIRECT($C$5&amp;"生成成长"),2))/((VLOOKUP($B159,INDIRECT($B$5&amp;"生成成长"),4))/(VLOOKUP(CU$72,INDIRECT($C$5&amp;"生成成长"),5))*(VLOOKUP($B$5,标准坦克设计!$B$24:$U$30,MATCH("对"&amp;LEFT($C$5,2)&amp;"输出",标准坦克设计!$B$23:$U$23,0)))*(VLOOKUP($B159,INDIRECT($B$5&amp;"生成成长"),3))*(VLOOKUP($B$5,标准坦克设计!$B$14:$K$20,9)/30))</f>
        <v>7.605092571179517</v>
      </c>
      <c r="CV159" s="172">
        <f ca="1">(VLOOKUP(CV$72,INDIRECT($C$5&amp;"生成成长"),2))/((VLOOKUP($B159,INDIRECT($B$5&amp;"生成成长"),4))/(VLOOKUP(CV$72,INDIRECT($C$5&amp;"生成成长"),5))*(VLOOKUP($B$5,标准坦克设计!$B$24:$U$30,MATCH("对"&amp;LEFT($C$5,2)&amp;"输出",标准坦克设计!$B$23:$U$23,0)))*(VLOOKUP($B159,INDIRECT($B$5&amp;"生成成长"),3))*(VLOOKUP($B$5,标准坦克设计!$B$14:$K$20,9)/30))</f>
        <v>8.15619316187286</v>
      </c>
      <c r="CW159" s="172">
        <f ca="1">(VLOOKUP(CW$72,INDIRECT($C$5&amp;"生成成长"),2))/((VLOOKUP($B159,INDIRECT($B$5&amp;"生成成长"),4))/(VLOOKUP(CW$72,INDIRECT($C$5&amp;"生成成长"),5))*(VLOOKUP($B$5,标准坦克设计!$B$24:$U$30,MATCH("对"&amp;LEFT($C$5,2)&amp;"输出",标准坦克设计!$B$23:$U$23,0)))*(VLOOKUP($B159,INDIRECT($B$5&amp;"生成成长"),3))*(VLOOKUP($B$5,标准坦克设计!$B$14:$K$20,9)/30))</f>
        <v>8.726569130937035</v>
      </c>
      <c r="CX159" s="172">
        <f ca="1">(VLOOKUP(CX$72,INDIRECT($C$5&amp;"生成成长"),2))/((VLOOKUP($B159,INDIRECT($B$5&amp;"生成成长"),4))/(VLOOKUP(CX$72,INDIRECT($C$5&amp;"生成成长"),5))*(VLOOKUP($B$5,标准坦克设计!$B$24:$U$30,MATCH("对"&amp;LEFT($C$5,2)&amp;"输出",标准坦克设计!$B$23:$U$23,0)))*(VLOOKUP($B159,INDIRECT($B$5&amp;"生成成长"),3))*(VLOOKUP($B$5,标准坦克设计!$B$14:$K$20,9)/30))</f>
        <v>9.3162204783720437</v>
      </c>
      <c r="CY159" s="172">
        <f ca="1">(VLOOKUP(CY$72,INDIRECT($C$5&amp;"生成成长"),2))/((VLOOKUP($B159,INDIRECT($B$5&amp;"生成成长"),4))/(VLOOKUP(CY$72,INDIRECT($C$5&amp;"生成成长"),5))*(VLOOKUP($B$5,标准坦克设计!$B$24:$U$30,MATCH("对"&amp;LEFT($C$5,2)&amp;"输出",标准坦克设计!$B$23:$U$23,0)))*(VLOOKUP($B159,INDIRECT($B$5&amp;"生成成长"),3))*(VLOOKUP($B$5,标准坦克设计!$B$14:$K$20,9)/30))</f>
        <v>9.9251472041778825</v>
      </c>
      <c r="CZ159" s="172">
        <f ca="1">(VLOOKUP(CZ$72,INDIRECT($C$5&amp;"生成成长"),2))/((VLOOKUP($B159,INDIRECT($B$5&amp;"生成成长"),4))/(VLOOKUP(CZ$72,INDIRECT($C$5&amp;"生成成长"),5))*(VLOOKUP($B$5,标准坦克设计!$B$24:$U$30,MATCH("对"&amp;LEFT($C$5,2)&amp;"输出",标准坦克设计!$B$23:$U$23,0)))*(VLOOKUP($B159,INDIRECT($B$5&amp;"生成成长"),3))*(VLOOKUP($B$5,标准坦克设计!$B$14:$K$20,9)/30))</f>
        <v>10.553349308354557</v>
      </c>
      <c r="DA159" s="172">
        <f ca="1">(VLOOKUP(DA$72,INDIRECT($C$5&amp;"生成成长"),2))/((VLOOKUP($B159,INDIRECT($B$5&amp;"生成成长"),4))/(VLOOKUP(DA$72,INDIRECT($C$5&amp;"生成成长"),5))*(VLOOKUP($B$5,标准坦克设计!$B$24:$U$30,MATCH("对"&amp;LEFT($C$5,2)&amp;"输出",标准坦克设计!$B$23:$U$23,0)))*(VLOOKUP($B159,INDIRECT($B$5&amp;"生成成长"),3))*(VLOOKUP($B$5,标准坦克设计!$B$14:$K$20,9)/30))</f>
        <v>11.200826790902061</v>
      </c>
      <c r="DB159" s="172">
        <f ca="1">(VLOOKUP(DB$72,INDIRECT($C$5&amp;"生成成长"),2))/((VLOOKUP($B159,INDIRECT($B$5&amp;"生成成长"),4))/(VLOOKUP(DB$72,INDIRECT($C$5&amp;"生成成长"),5))*(VLOOKUP($B$5,标准坦克设计!$B$24:$U$30,MATCH("对"&amp;LEFT($C$5,2)&amp;"输出",标准坦克设计!$B$23:$U$23,0)))*(VLOOKUP($B159,INDIRECT($B$5&amp;"生成成长"),3))*(VLOOKUP($B$5,标准坦克设计!$B$14:$K$20,9)/30))</f>
        <v>11.8675796518204</v>
      </c>
      <c r="DC159" s="172">
        <f ca="1">(VLOOKUP(DC$72,INDIRECT($C$5&amp;"生成成长"),2))/((VLOOKUP($B159,INDIRECT($B$5&amp;"生成成长"),4))/(VLOOKUP(DC$72,INDIRECT($C$5&amp;"生成成长"),5))*(VLOOKUP($B$5,标准坦克设计!$B$24:$U$30,MATCH("对"&amp;LEFT($C$5,2)&amp;"输出",标准坦克设计!$B$23:$U$23,0)))*(VLOOKUP($B159,INDIRECT($B$5&amp;"生成成长"),3))*(VLOOKUP($B$5,标准坦克设计!$B$14:$K$20,9)/30))</f>
        <v>12.616929898567466</v>
      </c>
      <c r="DD159" s="172">
        <f ca="1">(VLOOKUP(DD$72,INDIRECT($C$5&amp;"生成成长"),2))/((VLOOKUP($B159,INDIRECT($B$5&amp;"生成成长"),4))/(VLOOKUP(DD$72,INDIRECT($C$5&amp;"生成成长"),5))*(VLOOKUP($B$5,标准坦克设计!$B$24:$U$30,MATCH("对"&amp;LEFT($C$5,2)&amp;"输出",标准坦克设计!$B$23:$U$23,0)))*(VLOOKUP($B159,INDIRECT($B$5&amp;"生成成长"),3))*(VLOOKUP($B$5,标准坦克设计!$B$14:$K$20,9)/30))</f>
        <v>13.389219438582304</v>
      </c>
      <c r="DE159" s="172">
        <f ca="1">(VLOOKUP(DE$72,INDIRECT($C$5&amp;"生成成长"),2))/((VLOOKUP($B159,INDIRECT($B$5&amp;"生成成长"),4))/(VLOOKUP(DE$72,INDIRECT($C$5&amp;"生成成长"),5))*(VLOOKUP($B$5,标准坦克设计!$B$24:$U$30,MATCH("对"&amp;LEFT($C$5,2)&amp;"输出",标准坦克设计!$B$23:$U$23,0)))*(VLOOKUP($B159,INDIRECT($B$5&amp;"生成成长"),3))*(VLOOKUP($B$5,标准坦克设计!$B$14:$K$20,9)/30))</f>
        <v>14.184448271864907</v>
      </c>
      <c r="DF159" s="172">
        <f ca="1">(VLOOKUP(DF$72,INDIRECT($C$5&amp;"生成成长"),2))/((VLOOKUP($B159,INDIRECT($B$5&amp;"生成成长"),4))/(VLOOKUP(DF$72,INDIRECT($C$5&amp;"生成成长"),5))*(VLOOKUP($B$5,标准坦克设计!$B$24:$U$30,MATCH("对"&amp;LEFT($C$5,2)&amp;"输出",标准坦克设计!$B$23:$U$23,0)))*(VLOOKUP($B159,INDIRECT($B$5&amp;"生成成长"),3))*(VLOOKUP($B$5,标准坦克设计!$B$14:$K$20,9)/30))</f>
        <v>15.002616398415281</v>
      </c>
      <c r="DG159" s="172">
        <f ca="1">(VLOOKUP(DG$72,INDIRECT($C$5&amp;"生成成长"),2))/((VLOOKUP($B159,INDIRECT($B$5&amp;"生成成长"),4))/(VLOOKUP(DG$72,INDIRECT($C$5&amp;"生成成长"),5))*(VLOOKUP($B$5,标准坦克设计!$B$24:$U$30,MATCH("对"&amp;LEFT($C$5,2)&amp;"输出",标准坦克设计!$B$23:$U$23,0)))*(VLOOKUP($B159,INDIRECT($B$5&amp;"生成成长"),3))*(VLOOKUP($B$5,标准坦克设计!$B$14:$K$20,9)/30))</f>
        <v>15.843723818233419</v>
      </c>
      <c r="DH159" s="172">
        <f ca="1">(VLOOKUP(DH$72,INDIRECT($C$5&amp;"生成成长"),2))/((VLOOKUP($B159,INDIRECT($B$5&amp;"生成成长"),4))/(VLOOKUP(DH$72,INDIRECT($C$5&amp;"生成成长"),5))*(VLOOKUP($B$5,标准坦克设计!$B$24:$U$30,MATCH("对"&amp;LEFT($C$5,2)&amp;"输出",标准坦克设计!$B$23:$U$23,0)))*(VLOOKUP($B159,INDIRECT($B$5&amp;"生成成长"),3))*(VLOOKUP($B$5,标准坦克设计!$B$14:$K$20,9)/30))</f>
        <v>16.707770531319323</v>
      </c>
      <c r="DI159" s="172">
        <f ca="1">(VLOOKUP(DI$72,INDIRECT($C$5&amp;"生成成长"),2))/((VLOOKUP($B159,INDIRECT($B$5&amp;"生成成长"),4))/(VLOOKUP(DI$72,INDIRECT($C$5&amp;"生成成长"),5))*(VLOOKUP($B$5,标准坦克设计!$B$24:$U$30,MATCH("对"&amp;LEFT($C$5,2)&amp;"输出",标准坦克设计!$B$23:$U$23,0)))*(VLOOKUP($B159,INDIRECT($B$5&amp;"生成成长"),3))*(VLOOKUP($B$5,标准坦克设计!$B$14:$K$20,9)/30))</f>
        <v>17.594756537672996</v>
      </c>
      <c r="DJ159" s="172">
        <f ca="1">(VLOOKUP(DJ$72,INDIRECT($C$5&amp;"生成成长"),2))/((VLOOKUP($B159,INDIRECT($B$5&amp;"生成成长"),4))/(VLOOKUP(DJ$72,INDIRECT($C$5&amp;"生成成长"),5))*(VLOOKUP($B$5,标准坦克设计!$B$24:$U$30,MATCH("对"&amp;LEFT($C$5,2)&amp;"输出",标准坦克设计!$B$23:$U$23,0)))*(VLOOKUP($B159,INDIRECT($B$5&amp;"生成成长"),3))*(VLOOKUP($B$5,标准坦克设计!$B$14:$K$20,9)/30))</f>
        <v>1.7683168397142519</v>
      </c>
      <c r="DK159" s="172">
        <f ca="1">(VLOOKUP(DK$72,INDIRECT($C$5&amp;"生成成长"),2))/((VLOOKUP($B159,INDIRECT($B$5&amp;"生成成长"),4))/(VLOOKUP(DK$72,INDIRECT($C$5&amp;"生成成长"),5))*(VLOOKUP($B$5,标准坦克设计!$B$24:$U$30,MATCH("对"&amp;LEFT($C$5,2)&amp;"输出",标准坦克设计!$B$23:$U$23,0)))*(VLOOKUP($B159,INDIRECT($B$5&amp;"生成成长"),3))*(VLOOKUP($B$5,标准坦克设计!$B$14:$K$20,9)/30))</f>
        <v>1.9883906845018955</v>
      </c>
      <c r="DL159" s="172">
        <f ca="1">(VLOOKUP(DL$72,INDIRECT($C$5&amp;"生成成长"),2))/((VLOOKUP($B159,INDIRECT($B$5&amp;"生成成长"),4))/(VLOOKUP(DL$72,INDIRECT($C$5&amp;"生成成长"),5))*(VLOOKUP($B$5,标准坦克设计!$B$24:$U$30,MATCH("对"&amp;LEFT($C$5,2)&amp;"输出",标准坦克设计!$B$23:$U$23,0)))*(VLOOKUP($B159,INDIRECT($B$5&amp;"生成成长"),3))*(VLOOKUP($B$5,标准坦克设计!$B$14:$K$20,9)/30))</f>
        <v>2.2213678817526583</v>
      </c>
      <c r="DM159" s="172">
        <f ca="1">(VLOOKUP(DM$72,INDIRECT($C$5&amp;"生成成长"),2))/((VLOOKUP($B159,INDIRECT($B$5&amp;"生成成长"),4))/(VLOOKUP(DM$72,INDIRECT($C$5&amp;"生成成长"),5))*(VLOOKUP($B$5,标准坦克设计!$B$24:$U$30,MATCH("对"&amp;LEFT($C$5,2)&amp;"输出",标准坦克设计!$B$23:$U$23,0)))*(VLOOKUP($B159,INDIRECT($B$5&amp;"生成成长"),3))*(VLOOKUP($B$5,标准坦克设计!$B$14:$K$20,9)/30))</f>
        <v>2.4672484314665404</v>
      </c>
      <c r="DN159" s="172">
        <f ca="1">(VLOOKUP(DN$72,INDIRECT($C$5&amp;"生成成长"),2))/((VLOOKUP($B159,INDIRECT($B$5&amp;"生成成长"),4))/(VLOOKUP(DN$72,INDIRECT($C$5&amp;"生成成长"),5))*(VLOOKUP($B$5,标准坦克设计!$B$24:$U$30,MATCH("对"&amp;LEFT($C$5,2)&amp;"输出",标准坦克设计!$B$23:$U$23,0)))*(VLOOKUP($B159,INDIRECT($B$5&amp;"生成成长"),3))*(VLOOKUP($B$5,标准坦克设计!$B$14:$K$20,9)/30))</f>
        <v>2.7260323336435413</v>
      </c>
      <c r="DO159" s="172">
        <f ca="1">(VLOOKUP(DO$72,INDIRECT($C$5&amp;"生成成长"),2))/((VLOOKUP($B159,INDIRECT($B$5&amp;"生成成长"),4))/(VLOOKUP(DO$72,INDIRECT($C$5&amp;"生成成长"),5))*(VLOOKUP($B$5,标准坦克设计!$B$24:$U$30,MATCH("对"&amp;LEFT($C$5,2)&amp;"输出",标准坦克设计!$B$23:$U$23,0)))*(VLOOKUP($B159,INDIRECT($B$5&amp;"生成成长"),3))*(VLOOKUP($B$5,标准坦克设计!$B$14:$K$20,9)/30))</f>
        <v>2.9977195882836627</v>
      </c>
      <c r="DP159" s="172">
        <f ca="1">(VLOOKUP(DP$72,INDIRECT($C$5&amp;"生成成长"),2))/((VLOOKUP($B159,INDIRECT($B$5&amp;"生成成长"),4))/(VLOOKUP(DP$72,INDIRECT($C$5&amp;"生成成长"),5))*(VLOOKUP($B$5,标准坦克设计!$B$24:$U$30,MATCH("对"&amp;LEFT($C$5,2)&amp;"输出",标准坦克设计!$B$23:$U$23,0)))*(VLOOKUP($B159,INDIRECT($B$5&amp;"生成成长"),3))*(VLOOKUP($B$5,标准坦克设计!$B$14:$K$20,9)/30))</f>
        <v>3.2823101953869016</v>
      </c>
      <c r="DQ159" s="172">
        <f ca="1">(VLOOKUP(DQ$72,INDIRECT($C$5&amp;"生成成长"),2))/((VLOOKUP($B159,INDIRECT($B$5&amp;"生成成长"),4))/(VLOOKUP(DQ$72,INDIRECT($C$5&amp;"生成成长"),5))*(VLOOKUP($B$5,标准坦克设计!$B$24:$U$30,MATCH("对"&amp;LEFT($C$5,2)&amp;"输出",标准坦克设计!$B$23:$U$23,0)))*(VLOOKUP($B159,INDIRECT($B$5&amp;"生成成长"),3))*(VLOOKUP($B$5,标准坦克设计!$B$14:$K$20,9)/30))</f>
        <v>3.5798041549532602</v>
      </c>
      <c r="DR159" s="172">
        <f ca="1">(VLOOKUP(DR$72,INDIRECT($C$5&amp;"生成成长"),2))/((VLOOKUP($B159,INDIRECT($B$5&amp;"生成成长"),4))/(VLOOKUP(DR$72,INDIRECT($C$5&amp;"生成成长"),5))*(VLOOKUP($B$5,标准坦克设计!$B$24:$U$30,MATCH("对"&amp;LEFT($C$5,2)&amp;"输出",标准坦克设计!$B$23:$U$23,0)))*(VLOOKUP($B159,INDIRECT($B$5&amp;"生成成长"),3))*(VLOOKUP($B$5,标准坦克设计!$B$14:$K$20,9)/30))</f>
        <v>3.8902014669827381</v>
      </c>
      <c r="DS159" s="172">
        <f ca="1">(VLOOKUP(DS$72,INDIRECT($C$5&amp;"生成成长"),2))/((VLOOKUP($B159,INDIRECT($B$5&amp;"生成成长"),4))/(VLOOKUP(DS$72,INDIRECT($C$5&amp;"生成成长"),5))*(VLOOKUP($B$5,标准坦克设计!$B$24:$U$30,MATCH("对"&amp;LEFT($C$5,2)&amp;"输出",标准坦克设计!$B$23:$U$23,0)))*(VLOOKUP($B159,INDIRECT($B$5&amp;"生成成长"),3))*(VLOOKUP($B$5,标准坦克设计!$B$14:$K$20,9)/30))</f>
        <v>4.2135021314753356</v>
      </c>
      <c r="DT159" s="172">
        <f ca="1">(VLOOKUP(DT$72,INDIRECT($C$5&amp;"生成成长"),2))/((VLOOKUP($B159,INDIRECT($B$5&amp;"生成成长"),4))/(VLOOKUP(DT$72,INDIRECT($C$5&amp;"生成成长"),5))*(VLOOKUP($B$5,标准坦克设计!$B$24:$U$30,MATCH("对"&amp;LEFT($C$5,2)&amp;"输出",标准坦克设计!$B$23:$U$23,0)))*(VLOOKUP($B159,INDIRECT($B$5&amp;"生成成长"),3))*(VLOOKUP($B$5,标准坦克设计!$B$14:$K$20,9)/30))</f>
        <v>4.6261704593236095</v>
      </c>
      <c r="DU159" s="172">
        <f ca="1">(VLOOKUP(DU$72,INDIRECT($C$5&amp;"生成成长"),2))/((VLOOKUP($B159,INDIRECT($B$5&amp;"生成成长"),4))/(VLOOKUP(DU$72,INDIRECT($C$5&amp;"生成成长"),5))*(VLOOKUP($B$5,标准坦克设计!$B$24:$U$30,MATCH("对"&amp;LEFT($C$5,2)&amp;"输出",标准坦克设计!$B$23:$U$23,0)))*(VLOOKUP($B159,INDIRECT($B$5&amp;"生成成长"),3))*(VLOOKUP($B$5,标准坦克设计!$B$14:$K$20,9)/30))</f>
        <v>5.0581141655427162</v>
      </c>
      <c r="DV159" s="172">
        <f ca="1">(VLOOKUP(DV$72,INDIRECT($C$5&amp;"生成成长"),2))/((VLOOKUP($B159,INDIRECT($B$5&amp;"生成成长"),4))/(VLOOKUP(DV$72,INDIRECT($C$5&amp;"生成成长"),5))*(VLOOKUP($B$5,标准坦克设计!$B$24:$U$30,MATCH("对"&amp;LEFT($C$5,2)&amp;"输出",标准坦克设计!$B$23:$U$23,0)))*(VLOOKUP($B159,INDIRECT($B$5&amp;"生成成长"),3))*(VLOOKUP($B$5,标准坦克设计!$B$14:$K$20,9)/30))</f>
        <v>5.5093332501326548</v>
      </c>
      <c r="DW159" s="172">
        <f ca="1">(VLOOKUP(DW$72,INDIRECT($C$5&amp;"生成成长"),2))/((VLOOKUP($B159,INDIRECT($B$5&amp;"生成成长"),4))/(VLOOKUP(DW$72,INDIRECT($C$5&amp;"生成成长"),5))*(VLOOKUP($B$5,标准坦克设计!$B$24:$U$30,MATCH("对"&amp;LEFT($C$5,2)&amp;"输出",标准坦克设计!$B$23:$U$23,0)))*(VLOOKUP($B159,INDIRECT($B$5&amp;"生成成长"),3))*(VLOOKUP($B$5,标准坦克设计!$B$14:$K$20,9)/30))</f>
        <v>5.9798277130934263</v>
      </c>
      <c r="DX159" s="172">
        <f ca="1">(VLOOKUP(DX$72,INDIRECT($C$5&amp;"生成成长"),2))/((VLOOKUP($B159,INDIRECT($B$5&amp;"生成成长"),4))/(VLOOKUP(DX$72,INDIRECT($C$5&amp;"生成成长"),5))*(VLOOKUP($B$5,标准坦克设计!$B$24:$U$30,MATCH("对"&amp;LEFT($C$5,2)&amp;"输出",标准坦克设计!$B$23:$U$23,0)))*(VLOOKUP($B159,INDIRECT($B$5&amp;"生成成长"),3))*(VLOOKUP($B$5,标准坦克设计!$B$14:$K$20,9)/30))</f>
        <v>6.4695975544250315</v>
      </c>
      <c r="DY159" s="172">
        <f ca="1">(VLOOKUP(DY$72,INDIRECT($C$5&amp;"生成成长"),2))/((VLOOKUP($B159,INDIRECT($B$5&amp;"生成成长"),4))/(VLOOKUP(DY$72,INDIRECT($C$5&amp;"生成成长"),5))*(VLOOKUP($B$5,标准坦克设计!$B$24:$U$30,MATCH("对"&amp;LEFT($C$5,2)&amp;"输出",标准坦克设计!$B$23:$U$23,0)))*(VLOOKUP($B159,INDIRECT($B$5&amp;"生成成长"),3))*(VLOOKUP($B$5,标准坦克设计!$B$14:$K$20,9)/30))</f>
        <v>2.9057234642410532</v>
      </c>
      <c r="DZ159" s="172">
        <f ca="1">(VLOOKUP(DZ$72,INDIRECT($C$5&amp;"生成成长"),2))/((VLOOKUP($B159,INDIRECT($B$5&amp;"生成成长"),4))/(VLOOKUP(DZ$72,INDIRECT($C$5&amp;"生成成长"),5))*(VLOOKUP($B$5,标准坦克设计!$B$24:$U$30,MATCH("对"&amp;LEFT($C$5,2)&amp;"输出",标准坦克设计!$B$23:$U$23,0)))*(VLOOKUP($B159,INDIRECT($B$5&amp;"生成成长"),3))*(VLOOKUP($B$5,标准坦克设计!$B$14:$K$20,9)/30))</f>
        <v>3.2179527337189988</v>
      </c>
      <c r="EA159" s="172">
        <f ca="1">(VLOOKUP(EA$72,INDIRECT($C$5&amp;"生成成长"),2))/((VLOOKUP($B159,INDIRECT($B$5&amp;"生成成长"),4))/(VLOOKUP(EA$72,INDIRECT($C$5&amp;"生成成长"),5))*(VLOOKUP($B$5,标准坦克设计!$B$24:$U$30,MATCH("对"&amp;LEFT($C$5,2)&amp;"输出",标准坦克设计!$B$23:$U$23,0)))*(VLOOKUP($B159,INDIRECT($B$5&amp;"生成成长"),3))*(VLOOKUP($B$5,标准坦克设计!$B$14:$K$20,9)/30))</f>
        <v>3.5461120679662268</v>
      </c>
      <c r="EB159" s="172">
        <f ca="1">(VLOOKUP(EB$72,INDIRECT($C$5&amp;"生成成长"),2))/((VLOOKUP($B159,INDIRECT($B$5&amp;"生成成长"),4))/(VLOOKUP(EB$72,INDIRECT($C$5&amp;"生成成长"),5))*(VLOOKUP($B$5,标准坦克设计!$B$24:$U$30,MATCH("对"&amp;LEFT($C$5,2)&amp;"输出",标准坦克设计!$B$23:$U$23,0)))*(VLOOKUP($B159,INDIRECT($B$5&amp;"生成成长"),3))*(VLOOKUP($B$5,标准坦克设计!$B$14:$K$20,9)/30))</f>
        <v>3.8902014669827381</v>
      </c>
      <c r="EC159" s="172">
        <f ca="1">(VLOOKUP(EC$72,INDIRECT($C$5&amp;"生成成长"),2))/((VLOOKUP($B159,INDIRECT($B$5&amp;"生成成长"),4))/(VLOOKUP(EC$72,INDIRECT($C$5&amp;"生成成长"),5))*(VLOOKUP($B$5,标准坦克设计!$B$24:$U$30,MATCH("对"&amp;LEFT($C$5,2)&amp;"输出",标准坦克设计!$B$23:$U$23,0)))*(VLOOKUP($B159,INDIRECT($B$5&amp;"生成成长"),3))*(VLOOKUP($B$5,标准坦克设计!$B$14:$K$20,9)/30))</f>
        <v>4.250220930768533</v>
      </c>
      <c r="ED159" s="172">
        <f ca="1">(VLOOKUP(ED$72,INDIRECT($C$5&amp;"生成成长"),2))/((VLOOKUP($B159,INDIRECT($B$5&amp;"生成成长"),4))/(VLOOKUP(ED$72,INDIRECT($C$5&amp;"生成成长"),5))*(VLOOKUP($B$5,标准坦克设计!$B$24:$U$30,MATCH("对"&amp;LEFT($C$5,2)&amp;"输出",标准坦克设计!$B$23:$U$23,0)))*(VLOOKUP($B159,INDIRECT($B$5&amp;"生成成长"),3))*(VLOOKUP($B$5,标准坦克设计!$B$14:$K$20,9)/30))</f>
        <v>4.6261704593236095</v>
      </c>
      <c r="EE159" s="172">
        <f ca="1">(VLOOKUP(EE$72,INDIRECT($C$5&amp;"生成成长"),2))/((VLOOKUP($B159,INDIRECT($B$5&amp;"生成成长"),4))/(VLOOKUP(EE$72,INDIRECT($C$5&amp;"生成成长"),5))*(VLOOKUP($B$5,标准坦克设计!$B$24:$U$30,MATCH("对"&amp;LEFT($C$5,2)&amp;"输出",标准坦克设计!$B$23:$U$23,0)))*(VLOOKUP($B159,INDIRECT($B$5&amp;"生成成长"),3))*(VLOOKUP($B$5,标准坦克设计!$B$14:$K$20,9)/30))</f>
        <v>5.0180500526479701</v>
      </c>
      <c r="EF159" s="172">
        <f ca="1">(VLOOKUP(EF$72,INDIRECT($C$5&amp;"生成成长"),2))/((VLOOKUP($B159,INDIRECT($B$5&amp;"生成成长"),4))/(VLOOKUP(EF$72,INDIRECT($C$5&amp;"生成成长"),5))*(VLOOKUP($B$5,标准坦克设计!$B$24:$U$30,MATCH("对"&amp;LEFT($C$5,2)&amp;"输出",标准坦克设计!$B$23:$U$23,0)))*(VLOOKUP($B159,INDIRECT($B$5&amp;"生成成长"),3))*(VLOOKUP($B$5,标准坦克设计!$B$14:$K$20,9)/30))</f>
        <v>5.4258597107416131</v>
      </c>
      <c r="EG159" s="172">
        <f ca="1">(VLOOKUP(EG$72,INDIRECT($C$5&amp;"生成成长"),2))/((VLOOKUP($B159,INDIRECT($B$5&amp;"生成成长"),4))/(VLOOKUP(EG$72,INDIRECT($C$5&amp;"生成成长"),5))*(VLOOKUP($B$5,标准坦克设计!$B$24:$U$30,MATCH("对"&amp;LEFT($C$5,2)&amp;"输出",标准坦克设计!$B$23:$U$23,0)))*(VLOOKUP($B159,INDIRECT($B$5&amp;"生成成长"),3))*(VLOOKUP($B$5,标准坦克设计!$B$14:$K$20,9)/30))</f>
        <v>5.8495994336045403</v>
      </c>
      <c r="EH159" s="172">
        <f ca="1">(VLOOKUP(EH$72,INDIRECT($C$5&amp;"生成成长"),2))/((VLOOKUP($B159,INDIRECT($B$5&amp;"生成成长"),4))/(VLOOKUP(EH$72,INDIRECT($C$5&amp;"生成成长"),5))*(VLOOKUP($B$5,标准坦克设计!$B$24:$U$30,MATCH("对"&amp;LEFT($C$5,2)&amp;"输出",标准坦克设计!$B$23:$U$23,0)))*(VLOOKUP($B159,INDIRECT($B$5&amp;"生成成长"),3))*(VLOOKUP($B$5,标准坦克设计!$B$14:$K$20,9)/30))</f>
        <v>6.2892692212367489</v>
      </c>
      <c r="EI159" s="172">
        <f ca="1">(VLOOKUP(EI$72,INDIRECT($C$5&amp;"生成成长"),2))/((VLOOKUP($B159,INDIRECT($B$5&amp;"生成成长"),4))/(VLOOKUP(EI$72,INDIRECT($C$5&amp;"生成成长"),5))*(VLOOKUP($B$5,标准坦克设计!$B$24:$U$30,MATCH("对"&amp;LEFT($C$5,2)&amp;"输出",标准坦克设计!$B$23:$U$23,0)))*(VLOOKUP($B159,INDIRECT($B$5&amp;"生成成长"),3))*(VLOOKUP($B$5,标准坦克设计!$B$14:$K$20,9)/30))</f>
        <v>6.7448690736382391</v>
      </c>
      <c r="EJ159" s="172">
        <f ca="1">(VLOOKUP(EJ$72,INDIRECT($C$5&amp;"生成成长"),2))/((VLOOKUP($B159,INDIRECT($B$5&amp;"生成成长"),4))/(VLOOKUP(EJ$72,INDIRECT($C$5&amp;"生成成长"),5))*(VLOOKUP($B$5,标准坦克设计!$B$24:$U$30,MATCH("对"&amp;LEFT($C$5,2)&amp;"输出",标准坦克设计!$B$23:$U$23,0)))*(VLOOKUP($B159,INDIRECT($B$5&amp;"生成成长"),3))*(VLOOKUP($B$5,标准坦克设计!$B$14:$K$20,9)/30))</f>
        <v>7.2163989908090134</v>
      </c>
      <c r="EK159" s="172">
        <f ca="1">(VLOOKUP(EK$72,INDIRECT($C$5&amp;"生成成长"),2))/((VLOOKUP($B159,INDIRECT($B$5&amp;"生成成长"),4))/(VLOOKUP(EK$72,INDIRECT($C$5&amp;"生成成长"),5))*(VLOOKUP($B$5,标准坦克设计!$B$24:$U$30,MATCH("对"&amp;LEFT($C$5,2)&amp;"输出",标准坦克设计!$B$23:$U$23,0)))*(VLOOKUP($B159,INDIRECT($B$5&amp;"生成成长"),3))*(VLOOKUP($B$5,标准坦克设计!$B$14:$K$20,9)/30))</f>
        <v>7.8032625769093986</v>
      </c>
      <c r="EL159" s="172">
        <f ca="1">(VLOOKUP(EL$72,INDIRECT($C$5&amp;"生成成长"),2))/((VLOOKUP($B159,INDIRECT($B$5&amp;"生成成长"),4))/(VLOOKUP(EL$72,INDIRECT($C$5&amp;"生成成长"),5))*(VLOOKUP($B$5,标准坦克设计!$B$24:$U$30,MATCH("对"&amp;LEFT($C$5,2)&amp;"输出",标准坦克设计!$B$23:$U$23,0)))*(VLOOKUP($B159,INDIRECT($B$5&amp;"生成成长"),3))*(VLOOKUP($B$5,标准坦克设计!$B$14:$K$20,9)/30))</f>
        <v>8.4130654562775504</v>
      </c>
      <c r="EM159" s="172">
        <f ca="1">(VLOOKUP(EM$72,INDIRECT($C$5&amp;"生成成长"),2))/((VLOOKUP($B159,INDIRECT($B$5&amp;"生成成长"),4))/(VLOOKUP(EM$72,INDIRECT($C$5&amp;"生成成长"),5))*(VLOOKUP($B$5,标准坦克设计!$B$24:$U$30,MATCH("对"&amp;LEFT($C$5,2)&amp;"输出",标准坦克设计!$B$23:$U$23,0)))*(VLOOKUP($B159,INDIRECT($B$5&amp;"生成成长"),3))*(VLOOKUP($B$5,标准坦克设计!$B$14:$K$20,9)/30))</f>
        <v>9.045807628913467</v>
      </c>
      <c r="EN159" s="172">
        <f ca="1">(VLOOKUP(EN$72,INDIRECT($C$5&amp;"生成成长"),2))/((VLOOKUP($B159,INDIRECT($B$5&amp;"生成成长"),4))/(VLOOKUP(EN$72,INDIRECT($C$5&amp;"生成成长"),5))*(VLOOKUP($B$5,标准坦克设计!$B$24:$U$30,MATCH("对"&amp;LEFT($C$5,2)&amp;"输出",标准坦克设计!$B$23:$U$23,0)))*(VLOOKUP($B159,INDIRECT($B$5&amp;"生成成长"),3))*(VLOOKUP($B$5,标准坦克设计!$B$14:$K$20,9)/30))</f>
        <v>9.7014890948171519</v>
      </c>
      <c r="EO159" s="172">
        <f ca="1">(VLOOKUP(EO$72,INDIRECT($C$5&amp;"生成成长"),2))/((VLOOKUP($B159,INDIRECT($B$5&amp;"生成成长"),4))/(VLOOKUP(EO$72,INDIRECT($C$5&amp;"生成成长"),5))*(VLOOKUP($B$5,标准坦克设计!$B$24:$U$30,MATCH("对"&amp;LEFT($C$5,2)&amp;"输出",标准坦克设计!$B$23:$U$23,0)))*(VLOOKUP($B159,INDIRECT($B$5&amp;"生成成长"),3))*(VLOOKUP($B$5,标准坦克设计!$B$14:$K$20,9)/30))</f>
        <v>10.380109853988602</v>
      </c>
      <c r="EP159" s="172">
        <f ca="1">(VLOOKUP(EP$72,INDIRECT($C$5&amp;"生成成长"),2))/((VLOOKUP($B159,INDIRECT($B$5&amp;"生成成长"),4))/(VLOOKUP(EP$72,INDIRECT($C$5&amp;"生成成长"),5))*(VLOOKUP($B$5,标准坦克设计!$B$24:$U$30,MATCH("对"&amp;LEFT($C$5,2)&amp;"输出",标准坦克设计!$B$23:$U$23,0)))*(VLOOKUP($B159,INDIRECT($B$5&amp;"生成成长"),3))*(VLOOKUP($B$5,标准坦克设计!$B$14:$K$20,9)/30))</f>
        <v>11.081669906427825</v>
      </c>
      <c r="EQ159" s="172">
        <f ca="1">(VLOOKUP(EQ$72,INDIRECT($C$5&amp;"生成成长"),2))/((VLOOKUP($B159,INDIRECT($B$5&amp;"生成成长"),4))/(VLOOKUP(EQ$72,INDIRECT($C$5&amp;"生成成长"),5))*(VLOOKUP($B$5,标准坦克设计!$B$24:$U$30,MATCH("对"&amp;LEFT($C$5,2)&amp;"输出",标准坦克设计!$B$23:$U$23,0)))*(VLOOKUP($B159,INDIRECT($B$5&amp;"生成成长"),3))*(VLOOKUP($B$5,标准坦克设计!$B$14:$K$20,9)/30))</f>
        <v>4.8988135178498879</v>
      </c>
      <c r="ER159" s="172">
        <f ca="1">(VLOOKUP(ER$72,INDIRECT($C$5&amp;"生成成长"),2))/((VLOOKUP($B159,INDIRECT($B$5&amp;"生成成长"),4))/(VLOOKUP(ER$72,INDIRECT($C$5&amp;"生成成长"),5))*(VLOOKUP($B$5,标准坦克设计!$B$24:$U$30,MATCH("对"&amp;LEFT($C$5,2)&amp;"输出",标准坦克设计!$B$23:$U$23,0)))*(VLOOKUP($B159,INDIRECT($B$5&amp;"生成成长"),3))*(VLOOKUP($B$5,标准坦克设计!$B$14:$K$20,9)/30))</f>
        <v>5.3430233739413424</v>
      </c>
      <c r="ES159" s="172">
        <f ca="1">(VLOOKUP(ES$72,INDIRECT($C$5&amp;"生成成长"),2))/((VLOOKUP($B159,INDIRECT($B$5&amp;"生成成长"),4))/(VLOOKUP(ES$72,INDIRECT($C$5&amp;"生成成长"),5))*(VLOOKUP($B$5,标准坦克设计!$B$24:$U$30,MATCH("对"&amp;LEFT($C$5,2)&amp;"输出",标准坦克设计!$B$23:$U$23,0)))*(VLOOKUP($B159,INDIRECT($B$5&amp;"生成成长"),3))*(VLOOKUP($B$5,标准坦克设计!$B$14:$K$20,9)/30))</f>
        <v>5.8065086084036279</v>
      </c>
      <c r="ET159" s="172">
        <f ca="1">(VLOOKUP(ET$72,INDIRECT($C$5&amp;"生成成长"),2))/((VLOOKUP($B159,INDIRECT($B$5&amp;"生成成长"),4))/(VLOOKUP(ET$72,INDIRECT($C$5&amp;"生成成长"),5))*(VLOOKUP($B$5,标准坦克设计!$B$24:$U$30,MATCH("对"&amp;LEFT($C$5,2)&amp;"输出",标准坦克设计!$B$23:$U$23,0)))*(VLOOKUP($B159,INDIRECT($B$5&amp;"生成成长"),3))*(VLOOKUP($B$5,标准坦克设计!$B$14:$K$20,9)/30))</f>
        <v>6.2892692212367489</v>
      </c>
      <c r="EU159" s="172">
        <f ca="1">(VLOOKUP(EU$72,INDIRECT($C$5&amp;"生成成长"),2))/((VLOOKUP($B159,INDIRECT($B$5&amp;"生成成长"),4))/(VLOOKUP(EU$72,INDIRECT($C$5&amp;"生成成长"),5))*(VLOOKUP($B$5,标准坦克设计!$B$24:$U$30,MATCH("对"&amp;LEFT($C$5,2)&amp;"输出",标准坦克设计!$B$23:$U$23,0)))*(VLOOKUP($B159,INDIRECT($B$5&amp;"生成成长"),3))*(VLOOKUP($B$5,标准坦克设计!$B$14:$K$20,9)/30))</f>
        <v>6.7913052124406992</v>
      </c>
      <c r="EV159" s="172">
        <f ca="1">(VLOOKUP(EV$72,INDIRECT($C$5&amp;"生成成长"),2))/((VLOOKUP($B159,INDIRECT($B$5&amp;"生成成长"),4))/(VLOOKUP(EV$72,INDIRECT($C$5&amp;"生成成长"),5))*(VLOOKUP($B$5,标准坦克设计!$B$24:$U$30,MATCH("对"&amp;LEFT($C$5,2)&amp;"输出",标准坦克设计!$B$23:$U$23,0)))*(VLOOKUP($B159,INDIRECT($B$5&amp;"生成成长"),3))*(VLOOKUP($B$5,标准坦克设计!$B$14:$K$20,9)/30))</f>
        <v>7.3126165820154823</v>
      </c>
      <c r="EW159" s="172">
        <f ca="1">(VLOOKUP(EW$72,INDIRECT($C$5&amp;"生成成长"),2))/((VLOOKUP($B159,INDIRECT($B$5&amp;"生成成长"),4))/(VLOOKUP(EW$72,INDIRECT($C$5&amp;"生成成长"),5))*(VLOOKUP($B$5,标准坦克设计!$B$24:$U$30,MATCH("对"&amp;LEFT($C$5,2)&amp;"输出",标准坦克设计!$B$23:$U$23,0)))*(VLOOKUP($B159,INDIRECT($B$5&amp;"生成成长"),3))*(VLOOKUP($B$5,标准坦克设计!$B$14:$K$20,9)/30))</f>
        <v>7.853203329961099</v>
      </c>
      <c r="EX159" s="172">
        <f ca="1">(VLOOKUP(EX$72,INDIRECT($C$5&amp;"生成成长"),2))/((VLOOKUP($B159,INDIRECT($B$5&amp;"生成成长"),4))/(VLOOKUP(EX$72,INDIRECT($C$5&amp;"生成成长"),5))*(VLOOKUP($B$5,标准坦克设计!$B$24:$U$30,MATCH("对"&amp;LEFT($C$5,2)&amp;"输出",标准坦克设计!$B$23:$U$23,0)))*(VLOOKUP($B159,INDIRECT($B$5&amp;"生成成长"),3))*(VLOOKUP($B$5,标准坦克设计!$B$14:$K$20,9)/30))</f>
        <v>8.4130654562775504</v>
      </c>
      <c r="EY159" s="172">
        <f ca="1">(VLOOKUP(EY$72,INDIRECT($C$5&amp;"生成成长"),2))/((VLOOKUP($B159,INDIRECT($B$5&amp;"生成成长"),4))/(VLOOKUP(EY$72,INDIRECT($C$5&amp;"生成成长"),5))*(VLOOKUP($B$5,标准坦克设计!$B$24:$U$30,MATCH("对"&amp;LEFT($C$5,2)&amp;"输出",标准坦克设计!$B$23:$U$23,0)))*(VLOOKUP($B159,INDIRECT($B$5&amp;"生成成长"),3))*(VLOOKUP($B$5,标准坦克设计!$B$14:$K$20,9)/30))</f>
        <v>8.9922029609648284</v>
      </c>
      <c r="EZ159" s="172">
        <f ca="1">(VLOOKUP(EZ$72,INDIRECT($C$5&amp;"生成成长"),2))/((VLOOKUP($B159,INDIRECT($B$5&amp;"生成成长"),4))/(VLOOKUP(EZ$72,INDIRECT($C$5&amp;"生成成长"),5))*(VLOOKUP($B$5,标准坦克设计!$B$24:$U$30,MATCH("对"&amp;LEFT($C$5,2)&amp;"输出",标准坦克设计!$B$23:$U$23,0)))*(VLOOKUP($B159,INDIRECT($B$5&amp;"生成成长"),3))*(VLOOKUP($B$5,标准坦克设计!$B$14:$K$20,9)/30))</f>
        <v>9.5906158440229419</v>
      </c>
      <c r="FA159" s="172">
        <f ca="1">(VLOOKUP(FA$72,INDIRECT($C$5&amp;"生成成长"),2))/((VLOOKUP($B159,INDIRECT($B$5&amp;"生成成长"),4))/(VLOOKUP(FA$72,INDIRECT($C$5&amp;"生成成长"),5))*(VLOOKUP($B$5,标准坦克设计!$B$24:$U$30,MATCH("对"&amp;LEFT($C$5,2)&amp;"输出",标准坦克设计!$B$23:$U$23,0)))*(VLOOKUP($B159,INDIRECT($B$5&amp;"生成成长"),3))*(VLOOKUP($B$5,标准坦克设计!$B$14:$K$20,9)/30))</f>
        <v>10.208304105451889</v>
      </c>
      <c r="FB159" s="172">
        <f ca="1">(VLOOKUP(FB$72,INDIRECT($C$5&amp;"生成成长"),2))/((VLOOKUP($B159,INDIRECT($B$5&amp;"生成成长"),4))/(VLOOKUP(FB$72,INDIRECT($C$5&amp;"生成成长"),5))*(VLOOKUP($B$5,标准坦克设计!$B$24:$U$30,MATCH("对"&amp;LEFT($C$5,2)&amp;"输出",标准坦克设计!$B$23:$U$23,0)))*(VLOOKUP($B159,INDIRECT($B$5&amp;"生成成长"),3))*(VLOOKUP($B$5,标准坦克设计!$B$14:$K$20,9)/30))</f>
        <v>10.845267745251666</v>
      </c>
      <c r="FC159" s="172">
        <f ca="1">(VLOOKUP(FC$72,INDIRECT($C$5&amp;"生成成长"),2))/((VLOOKUP($B159,INDIRECT($B$5&amp;"生成成长"),4))/(VLOOKUP(FC$72,INDIRECT($C$5&amp;"生成成长"),5))*(VLOOKUP($B$5,标准坦克设计!$B$24:$U$30,MATCH("对"&amp;LEFT($C$5,2)&amp;"输出",标准坦克设计!$B$23:$U$23,0)))*(VLOOKUP($B159,INDIRECT($B$5&amp;"生成成长"),3))*(VLOOKUP($B$5,标准坦克设计!$B$14:$K$20,9)/30))</f>
        <v>11.501506763422277</v>
      </c>
      <c r="FD159" s="172">
        <f ca="1">(VLOOKUP(FD$72,INDIRECT($C$5&amp;"生成成长"),2))/((VLOOKUP($B159,INDIRECT($B$5&amp;"生成成长"),4))/(VLOOKUP(FD$72,INDIRECT($C$5&amp;"生成成长"),5))*(VLOOKUP($B$5,标准坦克设计!$B$24:$U$30,MATCH("对"&amp;LEFT($C$5,2)&amp;"输出",标准坦克设计!$B$23:$U$23,0)))*(VLOOKUP($B159,INDIRECT($B$5&amp;"生成成长"),3))*(VLOOKUP($B$5,标准坦克设计!$B$14:$K$20,9)/30))</f>
        <v>12.17702115996372</v>
      </c>
      <c r="FE159" s="172">
        <f ca="1">(VLOOKUP(FE$72,INDIRECT($C$5&amp;"生成成长"),2))/((VLOOKUP($B159,INDIRECT($B$5&amp;"生成成长"),4))/(VLOOKUP(FE$72,INDIRECT($C$5&amp;"生成成长"),5))*(VLOOKUP($B$5,标准坦克设计!$B$24:$U$30,MATCH("对"&amp;LEFT($C$5,2)&amp;"输出",标准坦克设计!$B$23:$U$23,0)))*(VLOOKUP($B159,INDIRECT($B$5&amp;"生成成长"),3))*(VLOOKUP($B$5,标准坦克设计!$B$14:$K$20,9)/30))</f>
        <v>13.000207256916415</v>
      </c>
      <c r="FF159" s="172">
        <f ca="1">(VLOOKUP(FF$72,INDIRECT($C$5&amp;"生成成长"),2))/((VLOOKUP($B159,INDIRECT($B$5&amp;"生成成长"),4))/(VLOOKUP(FF$72,INDIRECT($C$5&amp;"生成成长"),5))*(VLOOKUP($B$5,标准坦克设计!$B$24:$U$30,MATCH("对"&amp;LEFT($C$5,2)&amp;"输出",标准坦克设计!$B$23:$U$23,0)))*(VLOOKUP($B159,INDIRECT($B$5&amp;"生成成长"),3))*(VLOOKUP($B$5,标准坦克设计!$B$14:$K$20,9)/30))</f>
        <v>13.850315163329197</v>
      </c>
      <c r="FG159" s="172">
        <f ca="1">(VLOOKUP(FG$72,INDIRECT($C$5&amp;"生成成长"),2))/((VLOOKUP($B159,INDIRECT($B$5&amp;"生成成长"),4))/(VLOOKUP(FG$72,INDIRECT($C$5&amp;"生成成长"),5))*(VLOOKUP($B$5,标准坦克设计!$B$24:$U$30,MATCH("对"&amp;LEFT($C$5,2)&amp;"输出",标准坦克设计!$B$23:$U$23,0)))*(VLOOKUP($B159,INDIRECT($B$5&amp;"生成成长"),3))*(VLOOKUP($B$5,标准坦克设计!$B$14:$K$20,9)/30))</f>
        <v>14.72734487920207</v>
      </c>
      <c r="FH159" s="172">
        <f ca="1">(VLOOKUP(FH$72,INDIRECT($C$5&amp;"生成成长"),2))/((VLOOKUP($B159,INDIRECT($B$5&amp;"生成成长"),4))/(VLOOKUP(FH$72,INDIRECT($C$5&amp;"生成成长"),5))*(VLOOKUP($B$5,标准坦克设计!$B$24:$U$30,MATCH("对"&amp;LEFT($C$5,2)&amp;"输出",标准坦克设计!$B$23:$U$23,0)))*(VLOOKUP($B159,INDIRECT($B$5&amp;"生成成长"),3))*(VLOOKUP($B$5,标准坦克设计!$B$14:$K$20,9)/30))</f>
        <v>15.63129640453503</v>
      </c>
      <c r="FI159" s="172">
        <f ca="1">(VLOOKUP(FI$72,INDIRECT($C$5&amp;"生成成长"),2))/((VLOOKUP($B159,INDIRECT($B$5&amp;"生成成长"),4))/(VLOOKUP(FI$72,INDIRECT($C$5&amp;"生成成长"),5))*(VLOOKUP($B$5,标准坦克设计!$B$24:$U$30,MATCH("对"&amp;LEFT($C$5,2)&amp;"输出",标准坦克设计!$B$23:$U$23,0)))*(VLOOKUP($B159,INDIRECT($B$5&amp;"生成成长"),3))*(VLOOKUP($B$5,标准坦克设计!$B$14:$K$20,9)/30))</f>
        <v>16.562169739328077</v>
      </c>
      <c r="FJ159" s="172">
        <f ca="1">(VLOOKUP(FJ$72,INDIRECT($C$5&amp;"生成成长"),2))/((VLOOKUP($B159,INDIRECT($B$5&amp;"生成成长"),4))/(VLOOKUP(FJ$72,INDIRECT($C$5&amp;"生成成长"),5))*(VLOOKUP($B$5,标准坦克设计!$B$24:$U$30,MATCH("对"&amp;LEFT($C$5,2)&amp;"输出",标准坦克设计!$B$23:$U$23,0)))*(VLOOKUP($B159,INDIRECT($B$5&amp;"生成成长"),3))*(VLOOKUP($B$5,标准坦克设计!$B$14:$K$20,9)/30))</f>
        <v>17.519964883581213</v>
      </c>
      <c r="FK159" s="172">
        <f ca="1">(VLOOKUP(FK$72,INDIRECT($C$5&amp;"生成成长"),2))/((VLOOKUP($B159,INDIRECT($B$5&amp;"生成成长"),4))/(VLOOKUP(FK$72,INDIRECT($C$5&amp;"生成成长"),5))*(VLOOKUP($B$5,标准坦克设计!$B$24:$U$30,MATCH("对"&amp;LEFT($C$5,2)&amp;"输出",标准坦克设计!$B$23:$U$23,0)))*(VLOOKUP($B159,INDIRECT($B$5&amp;"生成成长"),3))*(VLOOKUP($B$5,标准坦克设计!$B$14:$K$20,9)/30))</f>
        <v>18.504681837294438</v>
      </c>
    </row>
    <row r="160" spans="1:167" x14ac:dyDescent="0.15">
      <c r="A160" s="170" t="str">
        <f t="shared" si="12"/>
        <v>T4中品质16级</v>
      </c>
      <c r="B160" s="171">
        <v>20416</v>
      </c>
      <c r="C160" s="172">
        <f ca="1">(VLOOKUP(C$72,INDIRECT($C$5&amp;"生成成长"),2))/((VLOOKUP($B160,INDIRECT($B$5&amp;"生成成长"),4))/(VLOOKUP(C$72,INDIRECT($C$5&amp;"生成成长"),5))*(VLOOKUP($B$5,标准坦克设计!$B$24:$U$30,MATCH("对"&amp;LEFT($C$5,2)&amp;"输出",标准坦克设计!$B$23:$U$23,0)))*(VLOOKUP($B160,INDIRECT($B$5&amp;"生成成长"),3))*(VLOOKUP($B$5,标准坦克设计!$B$14:$K$20,9)/30))</f>
        <v>0.74485640090977545</v>
      </c>
      <c r="D160" s="172">
        <f ca="1">(VLOOKUP(D$72,INDIRECT($C$5&amp;"生成成长"),2))/((VLOOKUP($B160,INDIRECT($B$5&amp;"生成成长"),4))/(VLOOKUP(D$72,INDIRECT($C$5&amp;"生成成长"),5))*(VLOOKUP($B$5,标准坦克设计!$B$24:$U$30,MATCH("对"&amp;LEFT($C$5,2)&amp;"输出",标准坦克设计!$B$23:$U$23,0)))*(VLOOKUP($B160,INDIRECT($B$5&amp;"生成成长"),3))*(VLOOKUP($B$5,标准坦克设计!$B$14:$K$20,9)/30))</f>
        <v>0.83692065206222377</v>
      </c>
      <c r="E160" s="172">
        <f ca="1">(VLOOKUP(E$72,INDIRECT($C$5&amp;"生成成长"),2))/((VLOOKUP($B160,INDIRECT($B$5&amp;"生成成长"),4))/(VLOOKUP(E$72,INDIRECT($C$5&amp;"生成成长"),5))*(VLOOKUP($B$5,标准坦克设计!$B$24:$U$30,MATCH("对"&amp;LEFT($C$5,2)&amp;"输出",标准坦克设计!$B$23:$U$23,0)))*(VLOOKUP($B160,INDIRECT($B$5&amp;"生成成长"),3))*(VLOOKUP($B$5,标准坦克设计!$B$14:$K$20,9)/30))</f>
        <v>0.93434786930122216</v>
      </c>
      <c r="F160" s="172">
        <f ca="1">(VLOOKUP(F$72,INDIRECT($C$5&amp;"生成成长"),2))/((VLOOKUP($B160,INDIRECT($B$5&amp;"生成成长"),4))/(VLOOKUP(F$72,INDIRECT($C$5&amp;"生成成长"),5))*(VLOOKUP($B$5,标准坦克设计!$B$24:$U$30,MATCH("对"&amp;LEFT($C$5,2)&amp;"输出",标准坦克设计!$B$23:$U$23,0)))*(VLOOKUP($B160,INDIRECT($B$5&amp;"生成成长"),3))*(VLOOKUP($B$5,标准坦克设计!$B$14:$K$20,9)/30))</f>
        <v>1.0371380526267715</v>
      </c>
      <c r="G160" s="172">
        <f ca="1">(VLOOKUP(G$72,INDIRECT($C$5&amp;"生成成长"),2))/((VLOOKUP($B160,INDIRECT($B$5&amp;"生成成长"),4))/(VLOOKUP(G$72,INDIRECT($C$5&amp;"生成成长"),5))*(VLOOKUP($B$5,标准坦克设计!$B$24:$U$30,MATCH("对"&amp;LEFT($C$5,2)&amp;"输出",标准坦克设计!$B$23:$U$23,0)))*(VLOOKUP($B160,INDIRECT($B$5&amp;"生成成长"),3))*(VLOOKUP($B$5,标准坦克设计!$B$14:$K$20,9)/30))</f>
        <v>1.1452912020388706</v>
      </c>
      <c r="H160" s="172">
        <f ca="1">(VLOOKUP(H$72,INDIRECT($C$5&amp;"生成成长"),2))/((VLOOKUP($B160,INDIRECT($B$5&amp;"生成成长"),4))/(VLOOKUP(H$72,INDIRECT($C$5&amp;"生成成长"),5))*(VLOOKUP($B$5,标准坦克设计!$B$24:$U$30,MATCH("对"&amp;LEFT($C$5,2)&amp;"输出",标准坦克设计!$B$23:$U$23,0)))*(VLOOKUP($B160,INDIRECT($B$5&amp;"生成成长"),3))*(VLOOKUP($B$5,标准坦克设计!$B$14:$K$20,9)/30))</f>
        <v>1.0022787730641938</v>
      </c>
      <c r="I160" s="172">
        <f ca="1">(VLOOKUP(I$72,INDIRECT($C$5&amp;"生成成长"),2))/((VLOOKUP($B160,INDIRECT($B$5&amp;"生成成长"),4))/(VLOOKUP(I$72,INDIRECT($C$5&amp;"生成成长"),5))*(VLOOKUP($B$5,标准坦克设计!$B$24:$U$30,MATCH("对"&amp;LEFT($C$5,2)&amp;"输出",标准坦克设计!$B$23:$U$23,0)))*(VLOOKUP($B160,INDIRECT($B$5&amp;"生成成长"),3))*(VLOOKUP($B$5,标准坦克设计!$B$14:$K$20,9)/30))</f>
        <v>1.1452912020388706</v>
      </c>
      <c r="J160" s="172">
        <f ca="1">(VLOOKUP(J$72,INDIRECT($C$5&amp;"生成成长"),2))/((VLOOKUP($B160,INDIRECT($B$5&amp;"生成成长"),4))/(VLOOKUP(J$72,INDIRECT($C$5&amp;"生成成长"),5))*(VLOOKUP($B$5,标准坦克设计!$B$24:$U$30,MATCH("对"&amp;LEFT($C$5,2)&amp;"输出",标准坦克设计!$B$23:$U$23,0)))*(VLOOKUP($B160,INDIRECT($B$5&amp;"生成成长"),3))*(VLOOKUP($B$5,标准坦克设计!$B$14:$K$20,9)/30))</f>
        <v>1.2978377929451925</v>
      </c>
      <c r="K160" s="172">
        <f ca="1">(VLOOKUP(K$72,INDIRECT($C$5&amp;"生成成长"),2))/((VLOOKUP($B160,INDIRECT($B$5&amp;"生成成长"),4))/(VLOOKUP(K$72,INDIRECT($C$5&amp;"生成成长"),5))*(VLOOKUP($B$5,标准坦克设计!$B$24:$U$30,MATCH("对"&amp;LEFT($C$5,2)&amp;"输出",标准坦克设计!$B$23:$U$23,0)))*(VLOOKUP($B160,INDIRECT($B$5&amp;"生成成长"),3))*(VLOOKUP($B$5,标准坦克设计!$B$14:$K$20,9)/30))</f>
        <v>1.45991854578316</v>
      </c>
      <c r="L160" s="172">
        <f ca="1">(VLOOKUP(L$72,INDIRECT($C$5&amp;"生成成长"),2))/((VLOOKUP($B160,INDIRECT($B$5&amp;"生成成长"),4))/(VLOOKUP(L$72,INDIRECT($C$5&amp;"生成成长"),5))*(VLOOKUP($B$5,标准坦克设计!$B$24:$U$30,MATCH("对"&amp;LEFT($C$5,2)&amp;"输出",标准坦克设计!$B$23:$U$23,0)))*(VLOOKUP($B160,INDIRECT($B$5&amp;"生成成长"),3))*(VLOOKUP($B$5,标准坦克设计!$B$14:$K$20,9)/30))</f>
        <v>1.631533460552772</v>
      </c>
      <c r="M160" s="172">
        <f ca="1">(VLOOKUP(M$72,INDIRECT($C$5&amp;"生成成长"),2))/((VLOOKUP($B160,INDIRECT($B$5&amp;"生成成长"),4))/(VLOOKUP(M$72,INDIRECT($C$5&amp;"生成成长"),5))*(VLOOKUP($B$5,标准坦克设计!$B$24:$U$30,MATCH("对"&amp;LEFT($C$5,2)&amp;"输出",标准坦克设计!$B$23:$U$23,0)))*(VLOOKUP($B160,INDIRECT($B$5&amp;"生成成长"),3))*(VLOOKUP($B$5,标准坦克设计!$B$14:$K$20,9)/30))</f>
        <v>1.8126825372540296</v>
      </c>
      <c r="N160" s="172">
        <f ca="1">(VLOOKUP(N$72,INDIRECT($C$5&amp;"生成成长"),2))/((VLOOKUP($B160,INDIRECT($B$5&amp;"生成成长"),4))/(VLOOKUP(N$72,INDIRECT($C$5&amp;"生成成长"),5))*(VLOOKUP($B$5,标准坦克设计!$B$24:$U$30,MATCH("对"&amp;LEFT($C$5,2)&amp;"输出",标准坦克设计!$B$23:$U$23,0)))*(VLOOKUP($B160,INDIRECT($B$5&amp;"生成成长"),3))*(VLOOKUP($B$5,标准坦克设计!$B$14:$K$20,9)/30))</f>
        <v>2.0033657758869321</v>
      </c>
      <c r="O160" s="172">
        <f ca="1">(VLOOKUP(O$72,INDIRECT($C$5&amp;"生成成长"),2))/((VLOOKUP($B160,INDIRECT($B$5&amp;"生成成长"),4))/(VLOOKUP(O$72,INDIRECT($C$5&amp;"生成成长"),5))*(VLOOKUP($B$5,标准坦克设计!$B$24:$U$30,MATCH("对"&amp;LEFT($C$5,2)&amp;"输出",标准坦克设计!$B$23:$U$23,0)))*(VLOOKUP($B160,INDIRECT($B$5&amp;"生成成长"),3))*(VLOOKUP($B$5,标准坦克设计!$B$14:$K$20,9)/30))</f>
        <v>1.5231568542203999</v>
      </c>
      <c r="P160" s="172">
        <f ca="1">(VLOOKUP(P$72,INDIRECT($C$5&amp;"生成成长"),2))/((VLOOKUP($B160,INDIRECT($B$5&amp;"生成成长"),4))/(VLOOKUP(P$72,INDIRECT($C$5&amp;"生成成长"),5))*(VLOOKUP($B$5,标准坦克设计!$B$24:$U$30,MATCH("对"&amp;LEFT($C$5,2)&amp;"输出",标准坦克设计!$B$23:$U$23,0)))*(VLOOKUP($B160,INDIRECT($B$5&amp;"生成成长"),3))*(VLOOKUP($B$5,标准坦克设计!$B$14:$K$20,9)/30))</f>
        <v>1.720916228661945</v>
      </c>
      <c r="Q160" s="172">
        <f ca="1">(VLOOKUP(Q$72,INDIRECT($C$5&amp;"生成成长"),2))/((VLOOKUP($B160,INDIRECT($B$5&amp;"生成成长"),4))/(VLOOKUP(Q$72,INDIRECT($C$5&amp;"生成成长"),5))*(VLOOKUP($B$5,标准坦克设计!$B$24:$U$30,MATCH("对"&amp;LEFT($C$5,2)&amp;"输出",标准坦克设计!$B$23:$U$23,0)))*(VLOOKUP($B160,INDIRECT($B$5&amp;"生成成长"),3))*(VLOOKUP($B$5,标准坦克设计!$B$14:$K$20,9)/30))</f>
        <v>1.9307422767982287</v>
      </c>
      <c r="R160" s="172">
        <f ca="1">(VLOOKUP(R$72,INDIRECT($C$5&amp;"生成成长"),2))/((VLOOKUP($B160,INDIRECT($B$5&amp;"生成成长"),4))/(VLOOKUP(R$72,INDIRECT($C$5&amp;"生成成长"),5))*(VLOOKUP($B$5,标准坦克设计!$B$24:$U$30,MATCH("对"&amp;LEFT($C$5,2)&amp;"输出",标准坦克设计!$B$23:$U$23,0)))*(VLOOKUP($B160,INDIRECT($B$5&amp;"生成成长"),3))*(VLOOKUP($B$5,标准坦克设计!$B$14:$K$20,9)/30))</f>
        <v>2.1526349986292508</v>
      </c>
      <c r="S160" s="172">
        <f ca="1">(VLOOKUP(S$72,INDIRECT($C$5&amp;"生成成长"),2))/((VLOOKUP($B160,INDIRECT($B$5&amp;"生成成长"),4))/(VLOOKUP(S$72,INDIRECT($C$5&amp;"生成成长"),5))*(VLOOKUP($B$5,标准坦克设计!$B$24:$U$30,MATCH("对"&amp;LEFT($C$5,2)&amp;"输出",标准坦克设计!$B$23:$U$23,0)))*(VLOOKUP($B160,INDIRECT($B$5&amp;"生成成长"),3))*(VLOOKUP($B$5,标准坦克设计!$B$14:$K$20,9)/30))</f>
        <v>2.3865943941550114</v>
      </c>
      <c r="T160" s="172">
        <f ca="1">(VLOOKUP(T$72,INDIRECT($C$5&amp;"生成成长"),2))/((VLOOKUP($B160,INDIRECT($B$5&amp;"生成成长"),4))/(VLOOKUP(T$72,INDIRECT($C$5&amp;"生成成长"),5))*(VLOOKUP($B$5,标准坦克设计!$B$24:$U$30,MATCH("对"&amp;LEFT($C$5,2)&amp;"输出",标准坦克设计!$B$23:$U$23,0)))*(VLOOKUP($B160,INDIRECT($B$5&amp;"生成成长"),3))*(VLOOKUP($B$5,标准坦克设计!$B$14:$K$20,9)/30))</f>
        <v>2.6326204633755106</v>
      </c>
      <c r="U160" s="172">
        <f ca="1">(VLOOKUP(U$72,INDIRECT($C$5&amp;"生成成长"),2))/((VLOOKUP($B160,INDIRECT($B$5&amp;"生成成长"),4))/(VLOOKUP(U$72,INDIRECT($C$5&amp;"生成成长"),5))*(VLOOKUP($B$5,标准坦克设计!$B$24:$U$30,MATCH("对"&amp;LEFT($C$5,2)&amp;"输出",标准坦克设计!$B$23:$U$23,0)))*(VLOOKUP($B160,INDIRECT($B$5&amp;"生成成长"),3))*(VLOOKUP($B$5,标准坦克设计!$B$14:$K$20,9)/30))</f>
        <v>2.8907132062907475</v>
      </c>
      <c r="V160" s="172">
        <f ca="1">(VLOOKUP(V$72,INDIRECT($C$5&amp;"生成成长"),2))/((VLOOKUP($B160,INDIRECT($B$5&amp;"生成成长"),4))/(VLOOKUP(V$72,INDIRECT($C$5&amp;"生成成长"),5))*(VLOOKUP($B$5,标准坦克设计!$B$24:$U$30,MATCH("对"&amp;LEFT($C$5,2)&amp;"输出",标准坦克设计!$B$23:$U$23,0)))*(VLOOKUP($B160,INDIRECT($B$5&amp;"生成成长"),3))*(VLOOKUP($B$5,标准坦克设计!$B$14:$K$20,9)/30))</f>
        <v>3.1608726229007233</v>
      </c>
      <c r="W160" s="172">
        <f ca="1">(VLOOKUP(W$72,INDIRECT($C$5&amp;"生成成长"),2))/((VLOOKUP($B160,INDIRECT($B$5&amp;"生成成长"),4))/(VLOOKUP(W$72,INDIRECT($C$5&amp;"生成成长"),5))*(VLOOKUP($B$5,标准坦克设计!$B$24:$U$30,MATCH("对"&amp;LEFT($C$5,2)&amp;"输出",标准坦克设计!$B$23:$U$23,0)))*(VLOOKUP($B160,INDIRECT($B$5&amp;"生成成长"),3))*(VLOOKUP($B$5,标准坦克设计!$B$14:$K$20,9)/30))</f>
        <v>3.4430987132054365</v>
      </c>
      <c r="X160" s="172">
        <f ca="1">(VLOOKUP(X$72,INDIRECT($C$5&amp;"生成成长"),2))/((VLOOKUP($B160,INDIRECT($B$5&amp;"生成成长"),4))/(VLOOKUP(X$72,INDIRECT($C$5&amp;"生成成长"),5))*(VLOOKUP($B$5,标准坦克设计!$B$24:$U$30,MATCH("对"&amp;LEFT($C$5,2)&amp;"输出",标准坦克设计!$B$23:$U$23,0)))*(VLOOKUP($B160,INDIRECT($B$5&amp;"生成成长"),3))*(VLOOKUP($B$5,标准坦克设计!$B$14:$K$20,9)/30))</f>
        <v>2.494449601006747</v>
      </c>
      <c r="Y160" s="172">
        <f ca="1">(VLOOKUP(Y$72,INDIRECT($C$5&amp;"生成成长"),2))/((VLOOKUP($B160,INDIRECT($B$5&amp;"生成成长"),4))/(VLOOKUP(Y$72,INDIRECT($C$5&amp;"生成成长"),5))*(VLOOKUP($B$5,标准坦克设计!$B$24:$U$30,MATCH("对"&amp;LEFT($C$5,2)&amp;"输出",标准坦克设计!$B$23:$U$23,0)))*(VLOOKUP($B160,INDIRECT($B$5&amp;"生成成长"),3))*(VLOOKUP($B$5,标准坦克设计!$B$14:$K$20,9)/30))</f>
        <v>2.7745156077488229</v>
      </c>
      <c r="Z160" s="172">
        <f ca="1">(VLOOKUP(Z$72,INDIRECT($C$5&amp;"生成成长"),2))/((VLOOKUP($B160,INDIRECT($B$5&amp;"生成成长"),4))/(VLOOKUP(Z$72,INDIRECT($C$5&amp;"生成成长"),5))*(VLOOKUP($B$5,标准坦克设计!$B$24:$U$30,MATCH("对"&amp;LEFT($C$5,2)&amp;"输出",标准坦克设计!$B$23:$U$23,0)))*(VLOOKUP($B160,INDIRECT($B$5&amp;"生成成长"),3))*(VLOOKUP($B$5,标准坦克设计!$B$14:$K$20,9)/30))</f>
        <v>3.0694787425090939</v>
      </c>
      <c r="AA160" s="172">
        <f ca="1">(VLOOKUP(AA$72,INDIRECT($C$5&amp;"生成成长"),2))/((VLOOKUP($B160,INDIRECT($B$5&amp;"生成成长"),4))/(VLOOKUP(AA$72,INDIRECT($C$5&amp;"生成成长"),5))*(VLOOKUP($B$5,标准坦克设计!$B$24:$U$30,MATCH("对"&amp;LEFT($C$5,2)&amp;"输出",标准坦克设计!$B$23:$U$23,0)))*(VLOOKUP($B160,INDIRECT($B$5&amp;"生成成长"),3))*(VLOOKUP($B$5,标准坦克设计!$B$14:$K$20,9)/30))</f>
        <v>3.37933900528756</v>
      </c>
      <c r="AB160" s="172">
        <f ca="1">(VLOOKUP(AB$72,INDIRECT($C$5&amp;"生成成长"),2))/((VLOOKUP($B160,INDIRECT($B$5&amp;"生成成长"),4))/(VLOOKUP(AB$72,INDIRECT($C$5&amp;"生成成长"),5))*(VLOOKUP($B$5,标准坦克设计!$B$24:$U$30,MATCH("对"&amp;LEFT($C$5,2)&amp;"输出",标准坦克设计!$B$23:$U$23,0)))*(VLOOKUP($B160,INDIRECT($B$5&amp;"生成成长"),3))*(VLOOKUP($B$5,标准坦克设计!$B$14:$K$20,9)/30))</f>
        <v>3.7040963960842217</v>
      </c>
      <c r="AC160" s="172">
        <f ca="1">(VLOOKUP(AC$72,INDIRECT($C$5&amp;"生成成长"),2))/((VLOOKUP($B160,INDIRECT($B$5&amp;"生成成长"),4))/(VLOOKUP(AC$72,INDIRECT($C$5&amp;"生成成长"),5))*(VLOOKUP($B$5,标准坦克设计!$B$24:$U$30,MATCH("对"&amp;LEFT($C$5,2)&amp;"输出",标准坦克设计!$B$23:$U$23,0)))*(VLOOKUP($B160,INDIRECT($B$5&amp;"生成成长"),3))*(VLOOKUP($B$5,标准坦克设计!$B$14:$K$20,9)/30))</f>
        <v>4.0437509148990793</v>
      </c>
      <c r="AD160" s="172">
        <f ca="1">(VLOOKUP(AD$72,INDIRECT($C$5&amp;"生成成长"),2))/((VLOOKUP($B160,INDIRECT($B$5&amp;"生成成长"),4))/(VLOOKUP(AD$72,INDIRECT($C$5&amp;"生成成长"),5))*(VLOOKUP($B$5,标准坦克设计!$B$24:$U$30,MATCH("对"&amp;LEFT($C$5,2)&amp;"输出",标准坦克设计!$B$23:$U$23,0)))*(VLOOKUP($B160,INDIRECT($B$5&amp;"生成成长"),3))*(VLOOKUP($B$5,标准坦克设计!$B$14:$K$20,9)/30))</f>
        <v>4.398302561732133</v>
      </c>
      <c r="AE160" s="172">
        <f ca="1">(VLOOKUP(AE$72,INDIRECT($C$5&amp;"生成成长"),2))/((VLOOKUP($B160,INDIRECT($B$5&amp;"生成成长"),4))/(VLOOKUP(AE$72,INDIRECT($C$5&amp;"生成成长"),5))*(VLOOKUP($B$5,标准坦克设计!$B$24:$U$30,MATCH("对"&amp;LEFT($C$5,2)&amp;"输出",标准坦克设计!$B$23:$U$23,0)))*(VLOOKUP($B160,INDIRECT($B$5&amp;"生成成长"),3))*(VLOOKUP($B$5,标准坦克设计!$B$14:$K$20,9)/30))</f>
        <v>4.7677513365833812</v>
      </c>
      <c r="AF160" s="172">
        <f ca="1">(VLOOKUP(AF$72,INDIRECT($C$5&amp;"生成成长"),2))/((VLOOKUP($B160,INDIRECT($B$5&amp;"生成成长"),4))/(VLOOKUP(AF$72,INDIRECT($C$5&amp;"生成成长"),5))*(VLOOKUP($B$5,标准坦克设计!$B$24:$U$30,MATCH("对"&amp;LEFT($C$5,2)&amp;"输出",标准坦克设计!$B$23:$U$23,0)))*(VLOOKUP($B160,INDIRECT($B$5&amp;"生成成长"),3))*(VLOOKUP($B$5,标准坦克设计!$B$14:$K$20,9)/30))</f>
        <v>5.1520972394528251</v>
      </c>
      <c r="AG160" s="172">
        <f ca="1">(VLOOKUP(AG$72,INDIRECT($C$5&amp;"生成成长"),2))/((VLOOKUP($B160,INDIRECT($B$5&amp;"生成成长"),4))/(VLOOKUP(AG$72,INDIRECT($C$5&amp;"生成成长"),5))*(VLOOKUP($B$5,标准坦克设计!$B$24:$U$30,MATCH("对"&amp;LEFT($C$5,2)&amp;"输出",标准坦克设计!$B$23:$U$23,0)))*(VLOOKUP($B160,INDIRECT($B$5&amp;"生成成长"),3))*(VLOOKUP($B$5,标准坦克设计!$B$14:$K$20,9)/30))</f>
        <v>5.5513402703404644</v>
      </c>
      <c r="AH160" s="172">
        <f ca="1">(VLOOKUP(AH$72,INDIRECT($C$5&amp;"生成成长"),2))/((VLOOKUP($B160,INDIRECT($B$5&amp;"生成成长"),4))/(VLOOKUP(AH$72,INDIRECT($C$5&amp;"生成成长"),5))*(VLOOKUP($B$5,标准坦克设计!$B$24:$U$30,MATCH("对"&amp;LEFT($C$5,2)&amp;"输出",标准坦克设计!$B$23:$U$23,0)))*(VLOOKUP($B160,INDIRECT($B$5&amp;"生成成长"),3))*(VLOOKUP($B$5,标准坦克设计!$B$14:$K$20,9)/30))</f>
        <v>5.9654804292463011</v>
      </c>
      <c r="AI160" s="172">
        <f ca="1">(VLOOKUP(AI$72,INDIRECT($C$5&amp;"生成成长"),2))/((VLOOKUP($B160,INDIRECT($B$5&amp;"生成成长"),4))/(VLOOKUP(AI$72,INDIRECT($C$5&amp;"生成成长"),5))*(VLOOKUP($B$5,标准坦克设计!$B$24:$U$30,MATCH("对"&amp;LEFT($C$5,2)&amp;"输出",标准坦克设计!$B$23:$U$23,0)))*(VLOOKUP($B160,INDIRECT($B$5&amp;"生成成长"),3))*(VLOOKUP($B$5,标准坦克设计!$B$14:$K$20,9)/30))</f>
        <v>4.2191645973133314</v>
      </c>
      <c r="AJ160" s="172">
        <f ca="1">(VLOOKUP(AJ$72,INDIRECT($C$5&amp;"生成成长"),2))/((VLOOKUP($B160,INDIRECT($B$5&amp;"生成成长"),4))/(VLOOKUP(AJ$72,INDIRECT($C$5&amp;"生成成长"),5))*(VLOOKUP($B$5,标准坦克设计!$B$24:$U$30,MATCH("对"&amp;LEFT($C$5,2)&amp;"输出",标准坦克设计!$B$23:$U$23,0)))*(VLOOKUP($B160,INDIRECT($B$5&amp;"生成成长"),3))*(VLOOKUP($B$5,标准坦克设计!$B$14:$K$20,9)/30))</f>
        <v>4.6181841712806992</v>
      </c>
      <c r="AK160" s="172">
        <f ca="1">(VLOOKUP(AK$72,INDIRECT($C$5&amp;"生成成长"),2))/((VLOOKUP($B160,INDIRECT($B$5&amp;"生成成长"),4))/(VLOOKUP(AK$72,INDIRECT($C$5&amp;"生成成长"),5))*(VLOOKUP($B$5,标准坦克设计!$B$24:$U$30,MATCH("对"&amp;LEFT($C$5,2)&amp;"输出",标准坦克设计!$B$23:$U$23,0)))*(VLOOKUP($B160,INDIRECT($B$5&amp;"生成成长"),3))*(VLOOKUP($B$5,标准坦克设计!$B$14:$K$20,9)/30))</f>
        <v>5.0352292701500811</v>
      </c>
      <c r="AL160" s="172">
        <f ca="1">(VLOOKUP(AL$72,INDIRECT($C$5&amp;"生成成长"),2))/((VLOOKUP($B160,INDIRECT($B$5&amp;"生成成长"),4))/(VLOOKUP(AL$72,INDIRECT($C$5&amp;"生成成长"),5))*(VLOOKUP($B$5,标准坦克设计!$B$24:$U$30,MATCH("对"&amp;LEFT($C$5,2)&amp;"输出",标准坦克设计!$B$23:$U$23,0)))*(VLOOKUP($B160,INDIRECT($B$5&amp;"生成成长"),3))*(VLOOKUP($B$5,标准坦克设计!$B$14:$K$20,9)/30))</f>
        <v>5.4702998939214806</v>
      </c>
      <c r="AM160" s="172">
        <f ca="1">(VLOOKUP(AM$72,INDIRECT($C$5&amp;"生成成长"),2))/((VLOOKUP($B160,INDIRECT($B$5&amp;"生成成长"),4))/(VLOOKUP(AM$72,INDIRECT($C$5&amp;"生成成长"),5))*(VLOOKUP($B$5,标准坦克设计!$B$24:$U$30,MATCH("对"&amp;LEFT($C$5,2)&amp;"输出",标准坦克设计!$B$23:$U$23,0)))*(VLOOKUP($B160,INDIRECT($B$5&amp;"生成成长"),3))*(VLOOKUP($B$5,标准坦克设计!$B$14:$K$20,9)/30))</f>
        <v>5.9233960425948977</v>
      </c>
      <c r="AN160" s="172">
        <f ca="1">(VLOOKUP(AN$72,INDIRECT($C$5&amp;"生成成长"),2))/((VLOOKUP($B160,INDIRECT($B$5&amp;"生成成长"),4))/(VLOOKUP(AN$72,INDIRECT($C$5&amp;"生成成长"),5))*(VLOOKUP($B$5,标准坦克设计!$B$24:$U$30,MATCH("对"&amp;LEFT($C$5,2)&amp;"输出",标准坦克设计!$B$23:$U$23,0)))*(VLOOKUP($B160,INDIRECT($B$5&amp;"生成成长"),3))*(VLOOKUP($B$5,标准坦克设计!$B$14:$K$20,9)/30))</f>
        <v>6.3945177161703306</v>
      </c>
      <c r="AO160" s="172">
        <f ca="1">(VLOOKUP(AO$72,INDIRECT($C$5&amp;"生成成长"),2))/((VLOOKUP($B160,INDIRECT($B$5&amp;"生成成长"),4))/(VLOOKUP(AO$72,INDIRECT($C$5&amp;"生成成长"),5))*(VLOOKUP($B$5,标准坦克设计!$B$24:$U$30,MATCH("对"&amp;LEFT($C$5,2)&amp;"输出",标准坦克设计!$B$23:$U$23,0)))*(VLOOKUP($B160,INDIRECT($B$5&amp;"生成成长"),3))*(VLOOKUP($B$5,标准坦克设计!$B$14:$K$20,9)/30))</f>
        <v>6.8836649146477802</v>
      </c>
      <c r="AP160" s="172">
        <f ca="1">(VLOOKUP(AP$72,INDIRECT($C$5&amp;"生成成长"),2))/((VLOOKUP($B160,INDIRECT($B$5&amp;"生成成长"),4))/(VLOOKUP(AP$72,INDIRECT($C$5&amp;"生成成长"),5))*(VLOOKUP($B$5,标准坦克设计!$B$24:$U$30,MATCH("对"&amp;LEFT($C$5,2)&amp;"输出",标准坦克设计!$B$23:$U$23,0)))*(VLOOKUP($B160,INDIRECT($B$5&amp;"生成成长"),3))*(VLOOKUP($B$5,标准坦克设计!$B$14:$K$20,9)/30))</f>
        <v>7.3908376380272474</v>
      </c>
      <c r="AQ160" s="172">
        <f ca="1">(VLOOKUP(AQ$72,INDIRECT($C$5&amp;"生成成长"),2))/((VLOOKUP($B160,INDIRECT($B$5&amp;"生成成长"),4))/(VLOOKUP(AQ$72,INDIRECT($C$5&amp;"生成成长"),5))*(VLOOKUP($B$5,标准坦克设计!$B$24:$U$30,MATCH("对"&amp;LEFT($C$5,2)&amp;"输出",标准坦克设计!$B$23:$U$23,0)))*(VLOOKUP($B160,INDIRECT($B$5&amp;"生成成长"),3))*(VLOOKUP($B$5,标准坦克设计!$B$14:$K$20,9)/30))</f>
        <v>7.9160358863087286</v>
      </c>
      <c r="AR160" s="172">
        <f ca="1">(VLOOKUP(AR$72,INDIRECT($C$5&amp;"生成成长"),2))/((VLOOKUP($B160,INDIRECT($B$5&amp;"生成成长"),4))/(VLOOKUP(AR$72,INDIRECT($C$5&amp;"生成成长"),5))*(VLOOKUP($B$5,标准坦克设计!$B$24:$U$30,MATCH("对"&amp;LEFT($C$5,2)&amp;"输出",标准坦克设计!$B$23:$U$23,0)))*(VLOOKUP($B160,INDIRECT($B$5&amp;"生成成长"),3))*(VLOOKUP($B$5,标准坦克设计!$B$14:$K$20,9)/30))</f>
        <v>8.4592596594922291</v>
      </c>
      <c r="AS160" s="172">
        <f ca="1">(VLOOKUP(AS$72,INDIRECT($C$5&amp;"生成成长"),2))/((VLOOKUP($B160,INDIRECT($B$5&amp;"生成成长"),4))/(VLOOKUP(AS$72,INDIRECT($C$5&amp;"生成成长"),5))*(VLOOKUP($B$5,标准坦克设计!$B$24:$U$30,MATCH("对"&amp;LEFT($C$5,2)&amp;"输出",标准坦克设计!$B$23:$U$23,0)))*(VLOOKUP($B160,INDIRECT($B$5&amp;"生成成长"),3))*(VLOOKUP($B$5,标准坦克设计!$B$14:$K$20,9)/30))</f>
        <v>9.0205089575777428</v>
      </c>
      <c r="AT160" s="172">
        <f ca="1">(VLOOKUP(AT$72,INDIRECT($C$5&amp;"生成成长"),2))/((VLOOKUP($B160,INDIRECT($B$5&amp;"生成成长"),4))/(VLOOKUP(AT$72,INDIRECT($C$5&amp;"生成成长"),5))*(VLOOKUP($B$5,标准坦克设计!$B$24:$U$30,MATCH("对"&amp;LEFT($C$5,2)&amp;"输出",标准坦克设计!$B$23:$U$23,0)))*(VLOOKUP($B160,INDIRECT($B$5&amp;"生成成长"),3))*(VLOOKUP($B$5,标准坦克设计!$B$14:$K$20,9)/30))</f>
        <v>9.599783780565275</v>
      </c>
      <c r="AU160" s="172">
        <f ca="1">(VLOOKUP(AU$72,INDIRECT($C$5&amp;"生成成长"),2))/((VLOOKUP($B160,INDIRECT($B$5&amp;"生成成长"),4))/(VLOOKUP(AU$72,INDIRECT($C$5&amp;"生成成长"),5))*(VLOOKUP($B$5,标准坦克设计!$B$24:$U$30,MATCH("对"&amp;LEFT($C$5,2)&amp;"输出",标准坦克设计!$B$23:$U$23,0)))*(VLOOKUP($B160,INDIRECT($B$5&amp;"生成成长"),3))*(VLOOKUP($B$5,标准坦克设计!$B$14:$K$20,9)/30))</f>
        <v>10.197084128454824</v>
      </c>
      <c r="AV160" s="172">
        <f ca="1">(VLOOKUP(AV$72,INDIRECT($C$5&amp;"生成成长"),2))/((VLOOKUP($B160,INDIRECT($B$5&amp;"生成成长"),4))/(VLOOKUP(AV$72,INDIRECT($C$5&amp;"生成成长"),5))*(VLOOKUP($B$5,标准坦克设计!$B$24:$U$30,MATCH("对"&amp;LEFT($C$5,2)&amp;"输出",标准坦克设计!$B$23:$U$23,0)))*(VLOOKUP($B160,INDIRECT($B$5&amp;"生成成长"),3))*(VLOOKUP($B$5,标准坦克设计!$B$14:$K$20,9)/30))</f>
        <v>1.0371380526267715</v>
      </c>
      <c r="AW160" s="172">
        <f ca="1">(VLOOKUP(AW$72,INDIRECT($C$5&amp;"生成成长"),2))/((VLOOKUP($B160,INDIRECT($B$5&amp;"生成成长"),4))/(VLOOKUP(AW$72,INDIRECT($C$5&amp;"生成成长"),5))*(VLOOKUP($B$5,标准坦克设计!$B$24:$U$30,MATCH("对"&amp;LEFT($C$5,2)&amp;"输出",标准坦克设计!$B$23:$U$23,0)))*(VLOOKUP($B160,INDIRECT($B$5&amp;"生成成长"),3))*(VLOOKUP($B$5,标准坦克设计!$B$14:$K$20,9)/30))</f>
        <v>1.1825340220843594</v>
      </c>
      <c r="AX160" s="172">
        <f ca="1">(VLOOKUP(AX$72,INDIRECT($C$5&amp;"生成成长"),2))/((VLOOKUP($B160,INDIRECT($B$5&amp;"生成成长"),4))/(VLOOKUP(AX$72,INDIRECT($C$5&amp;"生成成长"),5))*(VLOOKUP($B$5,标准坦克设计!$B$24:$U$30,MATCH("对"&amp;LEFT($C$5,2)&amp;"输出",标准坦克设计!$B$23:$U$23,0)))*(VLOOKUP($B160,INDIRECT($B$5&amp;"生成成长"),3))*(VLOOKUP($B$5,标准坦克设计!$B$14:$K$20,9)/30))</f>
        <v>1.3374641534735927</v>
      </c>
      <c r="AY160" s="172">
        <f ca="1">(VLOOKUP(AY$72,INDIRECT($C$5&amp;"生成成长"),2))/((VLOOKUP($B160,INDIRECT($B$5&amp;"生成成长"),4))/(VLOOKUP(AY$72,INDIRECT($C$5&amp;"生成成长"),5))*(VLOOKUP($B$5,标准坦克设计!$B$24:$U$30,MATCH("对"&amp;LEFT($C$5,2)&amp;"输出",标准坦克设计!$B$23:$U$23,0)))*(VLOOKUP($B160,INDIRECT($B$5&amp;"生成成长"),3))*(VLOOKUP($B$5,标准坦克设计!$B$14:$K$20,9)/30))</f>
        <v>1.5019284467944711</v>
      </c>
      <c r="AZ160" s="172">
        <f ca="1">(VLOOKUP(AZ$72,INDIRECT($C$5&amp;"生成成长"),2))/((VLOOKUP($B160,INDIRECT($B$5&amp;"生成成长"),4))/(VLOOKUP(AZ$72,INDIRECT($C$5&amp;"生成成长"),5))*(VLOOKUP($B$5,标准坦克设计!$B$24:$U$30,MATCH("对"&amp;LEFT($C$5,2)&amp;"输出",标准坦克设计!$B$23:$U$23,0)))*(VLOOKUP($B160,INDIRECT($B$5&amp;"生成成长"),3))*(VLOOKUP($B$5,标准坦克设计!$B$14:$K$20,9)/30))</f>
        <v>1.6759269020469945</v>
      </c>
      <c r="BA160" s="172">
        <f ca="1">(VLOOKUP(BA$72,INDIRECT($C$5&amp;"生成成长"),2))/((VLOOKUP($B160,INDIRECT($B$5&amp;"生成成长"),4))/(VLOOKUP(BA$72,INDIRECT($C$5&amp;"生成成长"),5))*(VLOOKUP($B$5,标准坦克设计!$B$24:$U$30,MATCH("对"&amp;LEFT($C$5,2)&amp;"输出",标准坦克设计!$B$23:$U$23,0)))*(VLOOKUP($B160,INDIRECT($B$5&amp;"生成成长"),3))*(VLOOKUP($B$5,标准坦克设计!$B$14:$K$20,9)/30))</f>
        <v>1.8594595192311629</v>
      </c>
      <c r="BB160" s="172">
        <f ca="1">(VLOOKUP(BB$72,INDIRECT($C$5&amp;"生成成长"),2))/((VLOOKUP($B160,INDIRECT($B$5&amp;"生成成长"),4))/(VLOOKUP(BB$72,INDIRECT($C$5&amp;"生成成长"),5))*(VLOOKUP($B$5,标准坦克设计!$B$24:$U$30,MATCH("对"&amp;LEFT($C$5,2)&amp;"输出",标准坦克设计!$B$23:$U$23,0)))*(VLOOKUP($B160,INDIRECT($B$5&amp;"生成成长"),3))*(VLOOKUP($B$5,标准坦克设计!$B$14:$K$20,9)/30))</f>
        <v>2.0525262983469772</v>
      </c>
      <c r="BC160" s="172">
        <f ca="1">(VLOOKUP(BC$72,INDIRECT($C$5&amp;"生成成长"),2))/((VLOOKUP($B160,INDIRECT($B$5&amp;"生成成长"),4))/(VLOOKUP(BC$72,INDIRECT($C$5&amp;"生成成长"),5))*(VLOOKUP($B$5,标准坦克设计!$B$24:$U$30,MATCH("对"&amp;LEFT($C$5,2)&amp;"输出",标准坦克设计!$B$23:$U$23,0)))*(VLOOKUP($B160,INDIRECT($B$5&amp;"生成成长"),3))*(VLOOKUP($B$5,标准坦克设计!$B$14:$K$20,9)/30))</f>
        <v>2.2551272393944357</v>
      </c>
      <c r="BD160" s="172">
        <f ca="1">(VLOOKUP(BD$72,INDIRECT($C$5&amp;"生成成长"),2))/((VLOOKUP($B160,INDIRECT($B$5&amp;"生成成长"),4))/(VLOOKUP(BD$72,INDIRECT($C$5&amp;"生成成长"),5))*(VLOOKUP($B$5,标准坦克设计!$B$24:$U$30,MATCH("对"&amp;LEFT($C$5,2)&amp;"输出",标准坦克设计!$B$23:$U$23,0)))*(VLOOKUP($B160,INDIRECT($B$5&amp;"生成成长"),3))*(VLOOKUP($B$5,标准坦克设计!$B$14:$K$20,9)/30))</f>
        <v>2.494449601006747</v>
      </c>
      <c r="BE160" s="172">
        <f ca="1">(VLOOKUP(BE$72,INDIRECT($C$5&amp;"生成成长"),2))/((VLOOKUP($B160,INDIRECT($B$5&amp;"生成成长"),4))/(VLOOKUP(BE$72,INDIRECT($C$5&amp;"生成成长"),5))*(VLOOKUP($B$5,标准坦克设计!$B$24:$U$30,MATCH("对"&amp;LEFT($C$5,2)&amp;"输出",标准坦克设计!$B$23:$U$23,0)))*(VLOOKUP($B160,INDIRECT($B$5&amp;"生成成长"),3))*(VLOOKUP($B$5,标准坦克设计!$B$14:$K$20,9)/30))</f>
        <v>2.7458386363137954</v>
      </c>
      <c r="BF160" s="172">
        <f ca="1">(VLOOKUP(BF$72,INDIRECT($C$5&amp;"生成成长"),2))/((VLOOKUP($B160,INDIRECT($B$5&amp;"生成成长"),4))/(VLOOKUP(BF$72,INDIRECT($C$5&amp;"生成成长"),5))*(VLOOKUP($B$5,标准坦克设计!$B$24:$U$30,MATCH("对"&amp;LEFT($C$5,2)&amp;"输出",标准坦克设计!$B$23:$U$23,0)))*(VLOOKUP($B160,INDIRECT($B$5&amp;"生成成长"),3))*(VLOOKUP($B$5,标准坦克设计!$B$14:$K$20,9)/30))</f>
        <v>3.0092943453155838</v>
      </c>
      <c r="BG160" s="172">
        <f ca="1">(VLOOKUP(BG$72,INDIRECT($C$5&amp;"生成成长"),2))/((VLOOKUP($B160,INDIRECT($B$5&amp;"生成成长"),4))/(VLOOKUP(BG$72,INDIRECT($C$5&amp;"生成成长"),5))*(VLOOKUP($B$5,标准坦克设计!$B$24:$U$30,MATCH("对"&amp;LEFT($C$5,2)&amp;"输出",标准坦克设计!$B$23:$U$23,0)))*(VLOOKUP($B160,INDIRECT($B$5&amp;"生成成长"),3))*(VLOOKUP($B$5,标准坦克设计!$B$14:$K$20,9)/30))</f>
        <v>3.2848167280121094</v>
      </c>
      <c r="BH160" s="172">
        <f ca="1">(VLOOKUP(BH$72,INDIRECT($C$5&amp;"生成成长"),2))/((VLOOKUP($B160,INDIRECT($B$5&amp;"生成成长"),4))/(VLOOKUP(BH$72,INDIRECT($C$5&amp;"生成成长"),5))*(VLOOKUP($B$5,标准坦克设计!$B$24:$U$30,MATCH("对"&amp;LEFT($C$5,2)&amp;"输出",标准坦克设计!$B$23:$U$23,0)))*(VLOOKUP($B160,INDIRECT($B$5&amp;"生成成长"),3))*(VLOOKUP($B$5,标准坦克设计!$B$14:$K$20,9)/30))</f>
        <v>1.5877359041792773</v>
      </c>
      <c r="BI160" s="172">
        <f ca="1">(VLOOKUP(BI$72,INDIRECT($C$5&amp;"生成成长"),2))/((VLOOKUP($B160,INDIRECT($B$5&amp;"生成成长"),4))/(VLOOKUP(BI$72,INDIRECT($C$5&amp;"生成成长"),5))*(VLOOKUP($B$5,标准坦克设计!$B$24:$U$30,MATCH("对"&amp;LEFT($C$5,2)&amp;"输出",标准坦克设计!$B$23:$U$23,0)))*(VLOOKUP($B160,INDIRECT($B$5&amp;"生成成长"),3))*(VLOOKUP($B$5,标准坦克设计!$B$14:$K$20,9)/30))</f>
        <v>1.7895175031857351</v>
      </c>
      <c r="BJ160" s="172">
        <f ca="1">(VLOOKUP(BJ$72,INDIRECT($C$5&amp;"生成成长"),2))/((VLOOKUP($B160,INDIRECT($B$5&amp;"生成成长"),4))/(VLOOKUP(BJ$72,INDIRECT($C$5&amp;"生成成长"),5))*(VLOOKUP($B$5,标准坦克设计!$B$24:$U$30,MATCH("对"&amp;LEFT($C$5,2)&amp;"输出",标准坦克设计!$B$23:$U$23,0)))*(VLOOKUP($B160,INDIRECT($B$5&amp;"生成成长"),3))*(VLOOKUP($B$5,标准坦克设计!$B$14:$K$20,9)/30))</f>
        <v>2.0033657758869321</v>
      </c>
      <c r="BK160" s="172">
        <f ca="1">(VLOOKUP(BK$72,INDIRECT($C$5&amp;"生成成长"),2))/((VLOOKUP($B160,INDIRECT($B$5&amp;"生成成长"),4))/(VLOOKUP(BK$72,INDIRECT($C$5&amp;"生成成长"),5))*(VLOOKUP($B$5,标准坦克设计!$B$24:$U$30,MATCH("对"&amp;LEFT($C$5,2)&amp;"输出",标准坦克设计!$B$23:$U$23,0)))*(VLOOKUP($B160,INDIRECT($B$5&amp;"生成成长"),3))*(VLOOKUP($B$5,标准坦克设计!$B$14:$K$20,9)/30))</f>
        <v>2.2292807222828666</v>
      </c>
      <c r="BL160" s="172">
        <f ca="1">(VLOOKUP(BL$72,INDIRECT($C$5&amp;"生成成长"),2))/((VLOOKUP($B160,INDIRECT($B$5&amp;"生成成长"),4))/(VLOOKUP(BL$72,INDIRECT($C$5&amp;"生成成长"),5))*(VLOOKUP($B$5,标准坦克设计!$B$24:$U$30,MATCH("对"&amp;LEFT($C$5,2)&amp;"输出",标准坦克设计!$B$23:$U$23,0)))*(VLOOKUP($B160,INDIRECT($B$5&amp;"生成成长"),3))*(VLOOKUP($B$5,标准坦克设计!$B$14:$K$20,9)/30))</f>
        <v>2.46726234237354</v>
      </c>
      <c r="BM160" s="172">
        <f ca="1">(VLOOKUP(BM$72,INDIRECT($C$5&amp;"生成成长"),2))/((VLOOKUP($B160,INDIRECT($B$5&amp;"生成成长"),4))/(VLOOKUP(BM$72,INDIRECT($C$5&amp;"生成成长"),5))*(VLOOKUP($B$5,标准坦克设计!$B$24:$U$30,MATCH("对"&amp;LEFT($C$5,2)&amp;"输出",标准坦克设计!$B$23:$U$23,0)))*(VLOOKUP($B160,INDIRECT($B$5&amp;"生成成长"),3))*(VLOOKUP($B$5,标准坦克设计!$B$14:$K$20,9)/30))</f>
        <v>2.7173106361589516</v>
      </c>
      <c r="BN160" s="172">
        <f ca="1">(VLOOKUP(BN$72,INDIRECT($C$5&amp;"生成成长"),2))/((VLOOKUP($B160,INDIRECT($B$5&amp;"生成成长"),4))/(VLOOKUP(BN$72,INDIRECT($C$5&amp;"生成成长"),5))*(VLOOKUP($B$5,标准坦克设计!$B$24:$U$30,MATCH("对"&amp;LEFT($C$5,2)&amp;"输出",标准坦克设计!$B$23:$U$23,0)))*(VLOOKUP($B160,INDIRECT($B$5&amp;"生成成长"),3))*(VLOOKUP($B$5,标准坦克设计!$B$14:$K$20,9)/30))</f>
        <v>2.9794256036391018</v>
      </c>
      <c r="BO160" s="172">
        <f ca="1">(VLOOKUP(BO$72,INDIRECT($C$5&amp;"生成成长"),2))/((VLOOKUP($B160,INDIRECT($B$5&amp;"生成成长"),4))/(VLOOKUP(BO$72,INDIRECT($C$5&amp;"生成成长"),5))*(VLOOKUP($B$5,标准坦克设计!$B$24:$U$30,MATCH("对"&amp;LEFT($C$5,2)&amp;"输出",标准坦克设计!$B$23:$U$23,0)))*(VLOOKUP($B160,INDIRECT($B$5&amp;"生成成长"),3))*(VLOOKUP($B$5,标准坦克设计!$B$14:$K$20,9)/30))</f>
        <v>3.2536072448139901</v>
      </c>
      <c r="BP160" s="172">
        <f ca="1">(VLOOKUP(BP$72,INDIRECT($C$5&amp;"生成成长"),2))/((VLOOKUP($B160,INDIRECT($B$5&amp;"生成成长"),4))/(VLOOKUP(BP$72,INDIRECT($C$5&amp;"生成成长"),5))*(VLOOKUP($B$5,标准坦克设计!$B$24:$U$30,MATCH("对"&amp;LEFT($C$5,2)&amp;"输出",标准坦克设计!$B$23:$U$23,0)))*(VLOOKUP($B160,INDIRECT($B$5&amp;"生成成长"),3))*(VLOOKUP($B$5,标准坦克设计!$B$14:$K$20,9)/30))</f>
        <v>3.5398555596836165</v>
      </c>
      <c r="BQ160" s="172">
        <f ca="1">(VLOOKUP(BQ$72,INDIRECT($C$5&amp;"生成成长"),2))/((VLOOKUP($B160,INDIRECT($B$5&amp;"生成成长"),4))/(VLOOKUP(BQ$72,INDIRECT($C$5&amp;"生成成长"),5))*(VLOOKUP($B$5,标准坦克设计!$B$24:$U$30,MATCH("对"&amp;LEFT($C$5,2)&amp;"输出",标准坦克设计!$B$23:$U$23,0)))*(VLOOKUP($B160,INDIRECT($B$5&amp;"生成成长"),3))*(VLOOKUP($B$5,标准坦克设计!$B$14:$K$20,9)/30))</f>
        <v>3.8381705482479815</v>
      </c>
      <c r="BR160" s="172">
        <f ca="1">(VLOOKUP(BR$72,INDIRECT($C$5&amp;"生成成长"),2))/((VLOOKUP($B160,INDIRECT($B$5&amp;"生成成长"),4))/(VLOOKUP(BR$72,INDIRECT($C$5&amp;"生成成长"),5))*(VLOOKUP($B$5,标准坦克设计!$B$24:$U$30,MATCH("对"&amp;LEFT($C$5,2)&amp;"输出",标准坦克设计!$B$23:$U$23,0)))*(VLOOKUP($B160,INDIRECT($B$5&amp;"生成成长"),3))*(VLOOKUP($B$5,标准坦克设计!$B$14:$K$20,9)/30))</f>
        <v>4.1837839182701178</v>
      </c>
      <c r="BS160" s="172">
        <f ca="1">(VLOOKUP(BS$72,INDIRECT($C$5&amp;"生成成长"),2))/((VLOOKUP($B160,INDIRECT($B$5&amp;"生成成长"),4))/(VLOOKUP(BS$72,INDIRECT($C$5&amp;"生成成长"),5))*(VLOOKUP($B$5,标准坦克设计!$B$24:$U$30,MATCH("对"&amp;LEFT($C$5,2)&amp;"输出",标准坦克设计!$B$23:$U$23,0)))*(VLOOKUP($B160,INDIRECT($B$5&amp;"生成成长"),3))*(VLOOKUP($B$5,标准坦克设计!$B$14:$K$20,9)/30))</f>
        <v>4.5442944163104482</v>
      </c>
      <c r="BT160" s="172">
        <f ca="1">(VLOOKUP(BT$72,INDIRECT($C$5&amp;"生成成长"),2))/((VLOOKUP($B160,INDIRECT($B$5&amp;"生成成长"),4))/(VLOOKUP(BT$72,INDIRECT($C$5&amp;"生成成长"),5))*(VLOOKUP($B$5,标准坦克设计!$B$24:$U$30,MATCH("对"&amp;LEFT($C$5,2)&amp;"输出",标准坦克设计!$B$23:$U$23,0)))*(VLOOKUP($B160,INDIRECT($B$5&amp;"生成成长"),3))*(VLOOKUP($B$5,标准坦克设计!$B$14:$K$20,9)/30))</f>
        <v>4.9197020423689759</v>
      </c>
      <c r="BU160" s="172">
        <f ca="1">(VLOOKUP(BU$72,INDIRECT($C$5&amp;"生成成长"),2))/((VLOOKUP($B160,INDIRECT($B$5&amp;"生成成长"),4))/(VLOOKUP(BU$72,INDIRECT($C$5&amp;"生成成长"),5))*(VLOOKUP($B$5,标准坦克设计!$B$24:$U$30,MATCH("对"&amp;LEFT($C$5,2)&amp;"输出",标准坦克设计!$B$23:$U$23,0)))*(VLOOKUP($B160,INDIRECT($B$5&amp;"生成成长"),3))*(VLOOKUP($B$5,标准坦克设计!$B$14:$K$20,9)/30))</f>
        <v>5.3100067964456983</v>
      </c>
      <c r="BV160" s="172">
        <f ca="1">(VLOOKUP(BV$72,INDIRECT($C$5&amp;"生成成长"),2))/((VLOOKUP($B160,INDIRECT($B$5&amp;"生成成长"),4))/(VLOOKUP(BV$72,INDIRECT($C$5&amp;"生成成长"),5))*(VLOOKUP($B$5,标准坦克设计!$B$24:$U$30,MATCH("对"&amp;LEFT($C$5,2)&amp;"输出",标准坦克设计!$B$23:$U$23,0)))*(VLOOKUP($B160,INDIRECT($B$5&amp;"生成成长"),3))*(VLOOKUP($B$5,标准坦克设计!$B$14:$K$20,9)/30))</f>
        <v>5.7152086785406162</v>
      </c>
      <c r="BW160" s="172">
        <f ca="1">(VLOOKUP(BW$72,INDIRECT($C$5&amp;"生成成长"),2))/((VLOOKUP($B160,INDIRECT($B$5&amp;"生成成长"),4))/(VLOOKUP(BW$72,INDIRECT($C$5&amp;"生成成长"),5))*(VLOOKUP($B$5,标准坦克设计!$B$24:$U$30,MATCH("对"&amp;LEFT($C$5,2)&amp;"输出",标准坦克设计!$B$23:$U$23,0)))*(VLOOKUP($B160,INDIRECT($B$5&amp;"生成成长"),3))*(VLOOKUP($B$5,标准坦克设计!$B$14:$K$20,9)/30))</f>
        <v>2.6046883483413934</v>
      </c>
      <c r="BX160" s="172">
        <f ca="1">(VLOOKUP(BX$72,INDIRECT($C$5&amp;"生成成长"),2))/((VLOOKUP($B160,INDIRECT($B$5&amp;"生成成长"),4))/(VLOOKUP(BX$72,INDIRECT($C$5&amp;"生成成长"),5))*(VLOOKUP($B$5,标准坦克设计!$B$24:$U$30,MATCH("对"&amp;LEFT($C$5,2)&amp;"输出",标准坦克设计!$B$23:$U$23,0)))*(VLOOKUP($B160,INDIRECT($B$5&amp;"生成成长"),3))*(VLOOKUP($B$5,标准坦克设计!$B$14:$K$20,9)/30))</f>
        <v>2.8907132062907475</v>
      </c>
      <c r="BY160" s="172">
        <f ca="1">(VLOOKUP(BY$72,INDIRECT($C$5&amp;"生成成长"),2))/((VLOOKUP($B160,INDIRECT($B$5&amp;"生成成长"),4))/(VLOOKUP(BY$72,INDIRECT($C$5&amp;"生成成长"),5))*(VLOOKUP($B$5,标准坦克设计!$B$24:$U$30,MATCH("对"&amp;LEFT($C$5,2)&amp;"输出",标准坦克设计!$B$23:$U$23,0)))*(VLOOKUP($B160,INDIRECT($B$5&amp;"生成成长"),3))*(VLOOKUP($B$5,标准坦克设计!$B$14:$K$20,9)/30))</f>
        <v>3.1916351922582971</v>
      </c>
      <c r="BZ160" s="172">
        <f ca="1">(VLOOKUP(BZ$72,INDIRECT($C$5&amp;"生成成长"),2))/((VLOOKUP($B160,INDIRECT($B$5&amp;"生成成长"),4))/(VLOOKUP(BZ$72,INDIRECT($C$5&amp;"生成成长"),5))*(VLOOKUP($B$5,标准坦克设计!$B$24:$U$30,MATCH("对"&amp;LEFT($C$5,2)&amp;"输出",标准坦克设计!$B$23:$U$23,0)))*(VLOOKUP($B160,INDIRECT($B$5&amp;"生成成长"),3))*(VLOOKUP($B$5,标准坦克设计!$B$14:$K$20,9)/30))</f>
        <v>3.5074543062440409</v>
      </c>
      <c r="CA160" s="172">
        <f ca="1">(VLOOKUP(CA$72,INDIRECT($C$5&amp;"生成成长"),2))/((VLOOKUP($B160,INDIRECT($B$5&amp;"生成成长"),4))/(VLOOKUP(CA$72,INDIRECT($C$5&amp;"生成成长"),5))*(VLOOKUP($B$5,标准坦克设计!$B$24:$U$30,MATCH("对"&amp;LEFT($C$5,2)&amp;"输出",标准坦克设计!$B$23:$U$23,0)))*(VLOOKUP($B160,INDIRECT($B$5&amp;"生成成长"),3))*(VLOOKUP($B$5,标准坦克设计!$B$14:$K$20,9)/30))</f>
        <v>3.8381705482479815</v>
      </c>
      <c r="CB160" s="172">
        <f ca="1">(VLOOKUP(CB$72,INDIRECT($C$5&amp;"生成成长"),2))/((VLOOKUP($B160,INDIRECT($B$5&amp;"生成成长"),4))/(VLOOKUP(CB$72,INDIRECT($C$5&amp;"生成成长"),5))*(VLOOKUP($B$5,标准坦克设计!$B$24:$U$30,MATCH("对"&amp;LEFT($C$5,2)&amp;"输出",标准坦克设计!$B$23:$U$23,0)))*(VLOOKUP($B160,INDIRECT($B$5&amp;"生成成长"),3))*(VLOOKUP($B$5,标准坦克设计!$B$14:$K$20,9)/30))</f>
        <v>4.1837839182701178</v>
      </c>
      <c r="CC160" s="172">
        <f ca="1">(VLOOKUP(CC$72,INDIRECT($C$5&amp;"生成成长"),2))/((VLOOKUP($B160,INDIRECT($B$5&amp;"生成成长"),4))/(VLOOKUP(CC$72,INDIRECT($C$5&amp;"生成成长"),5))*(VLOOKUP($B$5,标准坦克设计!$B$24:$U$30,MATCH("对"&amp;LEFT($C$5,2)&amp;"输出",标准坦克设计!$B$23:$U$23,0)))*(VLOOKUP($B160,INDIRECT($B$5&amp;"生成成长"),3))*(VLOOKUP($B$5,标准坦克设计!$B$14:$K$20,9)/30))</f>
        <v>4.5442944163104482</v>
      </c>
      <c r="CD160" s="172">
        <f ca="1">(VLOOKUP(CD$72,INDIRECT($C$5&amp;"生成成长"),2))/((VLOOKUP($B160,INDIRECT($B$5&amp;"生成成长"),4))/(VLOOKUP(CD$72,INDIRECT($C$5&amp;"生成成长"),5))*(VLOOKUP($B$5,标准坦克设计!$B$24:$U$30,MATCH("对"&amp;LEFT($C$5,2)&amp;"输出",标准坦克设计!$B$23:$U$23,0)))*(VLOOKUP($B160,INDIRECT($B$5&amp;"生成成长"),3))*(VLOOKUP($B$5,标准坦克设计!$B$14:$K$20,9)/30))</f>
        <v>4.9197020423689759</v>
      </c>
      <c r="CE160" s="172">
        <f ca="1">(VLOOKUP(CE$72,INDIRECT($C$5&amp;"生成成长"),2))/((VLOOKUP($B160,INDIRECT($B$5&amp;"生成成长"),4))/(VLOOKUP(CE$72,INDIRECT($C$5&amp;"生成成长"),5))*(VLOOKUP($B$5,标准坦克设计!$B$24:$U$30,MATCH("对"&amp;LEFT($C$5,2)&amp;"输出",标准坦克设计!$B$23:$U$23,0)))*(VLOOKUP($B160,INDIRECT($B$5&amp;"生成成长"),3))*(VLOOKUP($B$5,标准坦克设计!$B$14:$K$20,9)/30))</f>
        <v>5.3100067964456983</v>
      </c>
      <c r="CF160" s="172">
        <f ca="1">(VLOOKUP(CF$72,INDIRECT($C$5&amp;"生成成长"),2))/((VLOOKUP($B160,INDIRECT($B$5&amp;"生成成长"),4))/(VLOOKUP(CF$72,INDIRECT($C$5&amp;"生成成长"),5))*(VLOOKUP($B$5,标准坦克设计!$B$24:$U$30,MATCH("对"&amp;LEFT($C$5,2)&amp;"输出",标准坦克设计!$B$23:$U$23,0)))*(VLOOKUP($B160,INDIRECT($B$5&amp;"生成成长"),3))*(VLOOKUP($B$5,标准坦克设计!$B$14:$K$20,9)/30))</f>
        <v>5.7152086785406162</v>
      </c>
      <c r="CG160" s="172">
        <f ca="1">(VLOOKUP(CG$72,INDIRECT($C$5&amp;"生成成长"),2))/((VLOOKUP($B160,INDIRECT($B$5&amp;"生成成长"),4))/(VLOOKUP(CG$72,INDIRECT($C$5&amp;"生成成长"),5))*(VLOOKUP($B$5,标准坦克设计!$B$24:$U$30,MATCH("对"&amp;LEFT($C$5,2)&amp;"输出",标准坦克设计!$B$23:$U$23,0)))*(VLOOKUP($B160,INDIRECT($B$5&amp;"生成成长"),3))*(VLOOKUP($B$5,标准坦克设计!$B$14:$K$20,9)/30))</f>
        <v>6.1353076886537288</v>
      </c>
      <c r="CH160" s="172">
        <f ca="1">(VLOOKUP(CH$72,INDIRECT($C$5&amp;"生成成长"),2))/((VLOOKUP($B160,INDIRECT($B$5&amp;"生成成长"),4))/(VLOOKUP(CH$72,INDIRECT($C$5&amp;"生成成长"),5))*(VLOOKUP($B$5,标准坦克设计!$B$24:$U$30,MATCH("对"&amp;LEFT($C$5,2)&amp;"输出",标准坦克设计!$B$23:$U$23,0)))*(VLOOKUP($B160,INDIRECT($B$5&amp;"生成成长"),3))*(VLOOKUP($B$5,标准坦克设计!$B$14:$K$20,9)/30))</f>
        <v>6.5703038267850369</v>
      </c>
      <c r="CI160" s="172">
        <f ca="1">(VLOOKUP(CI$72,INDIRECT($C$5&amp;"生成成长"),2))/((VLOOKUP($B160,INDIRECT($B$5&amp;"生成成长"),4))/(VLOOKUP(CI$72,INDIRECT($C$5&amp;"生成成长"),5))*(VLOOKUP($B$5,标准坦克设计!$B$24:$U$30,MATCH("对"&amp;LEFT($C$5,2)&amp;"输出",标准坦克设计!$B$23:$U$23,0)))*(VLOOKUP($B160,INDIRECT($B$5&amp;"生成成长"),3))*(VLOOKUP($B$5,标准坦克设计!$B$14:$K$20,9)/30))</f>
        <v>7.0660057615904917</v>
      </c>
      <c r="CJ160" s="172">
        <f ca="1">(VLOOKUP(CJ$72,INDIRECT($C$5&amp;"生成成长"),2))/((VLOOKUP($B160,INDIRECT($B$5&amp;"生成成长"),4))/(VLOOKUP(CJ$72,INDIRECT($C$5&amp;"生成成长"),5))*(VLOOKUP($B$5,标准坦克设计!$B$24:$U$30,MATCH("对"&amp;LEFT($C$5,2)&amp;"输出",标准坦克设计!$B$23:$U$23,0)))*(VLOOKUP($B160,INDIRECT($B$5&amp;"生成成长"),3))*(VLOOKUP($B$5,标准坦克设计!$B$14:$K$20,9)/30))</f>
        <v>7.5797332212979667</v>
      </c>
      <c r="CK160" s="172">
        <f ca="1">(VLOOKUP(CK$72,INDIRECT($C$5&amp;"生成成长"),2))/((VLOOKUP($B160,INDIRECT($B$5&amp;"生成成长"),4))/(VLOOKUP(CK$72,INDIRECT($C$5&amp;"生成成长"),5))*(VLOOKUP($B$5,标准坦克设计!$B$24:$U$30,MATCH("对"&amp;LEFT($C$5,2)&amp;"输出",标准坦克设计!$B$23:$U$23,0)))*(VLOOKUP($B160,INDIRECT($B$5&amp;"生成成长"),3))*(VLOOKUP($B$5,标准坦克设计!$B$14:$K$20,9)/30))</f>
        <v>8.1114862059074522</v>
      </c>
      <c r="CL160" s="172">
        <f ca="1">(VLOOKUP(CL$72,INDIRECT($C$5&amp;"生成成长"),2))/((VLOOKUP($B160,INDIRECT($B$5&amp;"生成成长"),4))/(VLOOKUP(CL$72,INDIRECT($C$5&amp;"生成成长"),5))*(VLOOKUP($B$5,标准坦克设计!$B$24:$U$30,MATCH("对"&amp;LEFT($C$5,2)&amp;"输出",标准坦克设计!$B$23:$U$23,0)))*(VLOOKUP($B160,INDIRECT($B$5&amp;"生成成长"),3))*(VLOOKUP($B$5,标准坦克设计!$B$14:$K$20,9)/30))</f>
        <v>8.6612647154189588</v>
      </c>
      <c r="CM160" s="172">
        <f ca="1">(VLOOKUP(CM$72,INDIRECT($C$5&amp;"生成成长"),2))/((VLOOKUP($B160,INDIRECT($B$5&amp;"生成成长"),4))/(VLOOKUP(CM$72,INDIRECT($C$5&amp;"生成成长"),5))*(VLOOKUP($B$5,标准坦克设计!$B$24:$U$30,MATCH("对"&amp;LEFT($C$5,2)&amp;"输出",标准坦克设计!$B$23:$U$23,0)))*(VLOOKUP($B160,INDIRECT($B$5&amp;"生成成长"),3))*(VLOOKUP($B$5,标准坦克设计!$B$14:$K$20,9)/30))</f>
        <v>9.2290687498324804</v>
      </c>
      <c r="CN160" s="172">
        <f ca="1">(VLOOKUP(CN$72,INDIRECT($C$5&amp;"生成成长"),2))/((VLOOKUP($B160,INDIRECT($B$5&amp;"生成成长"),4))/(VLOOKUP(CN$72,INDIRECT($C$5&amp;"生成成长"),5))*(VLOOKUP($B$5,标准坦克设计!$B$24:$U$30,MATCH("对"&amp;LEFT($C$5,2)&amp;"输出",标准坦克设计!$B$23:$U$23,0)))*(VLOOKUP($B160,INDIRECT($B$5&amp;"生成成长"),3))*(VLOOKUP($B$5,标准坦克设计!$B$14:$K$20,9)/30))</f>
        <v>9.8148983091480169</v>
      </c>
      <c r="CO160" s="172">
        <f ca="1">(VLOOKUP(CO$72,INDIRECT($C$5&amp;"生成成长"),2))/((VLOOKUP($B160,INDIRECT($B$5&amp;"生成成长"),4))/(VLOOKUP(CO$72,INDIRECT($C$5&amp;"生成成长"),5))*(VLOOKUP($B$5,标准坦克设计!$B$24:$U$30,MATCH("对"&amp;LEFT($C$5,2)&amp;"输出",标准坦克设计!$B$23:$U$23,0)))*(VLOOKUP($B160,INDIRECT($B$5&amp;"生成成长"),3))*(VLOOKUP($B$5,标准坦克设计!$B$14:$K$20,9)/30))</f>
        <v>4.398302561732133</v>
      </c>
      <c r="CP160" s="172">
        <f ca="1">(VLOOKUP(CP$72,INDIRECT($C$5&amp;"生成成长"),2))/((VLOOKUP($B160,INDIRECT($B$5&amp;"生成成长"),4))/(VLOOKUP(CP$72,INDIRECT($C$5&amp;"生成成长"),5))*(VLOOKUP($B$5,标准坦克设计!$B$24:$U$30,MATCH("对"&amp;LEFT($C$5,2)&amp;"输出",标准坦克设计!$B$23:$U$23,0)))*(VLOOKUP($B160,INDIRECT($B$5&amp;"生成成长"),3))*(VLOOKUP($B$5,标准坦克设计!$B$14:$K$20,9)/30))</f>
        <v>4.8055155561095058</v>
      </c>
      <c r="CQ160" s="172">
        <f ca="1">(VLOOKUP(CQ$72,INDIRECT($C$5&amp;"生成成长"),2))/((VLOOKUP($B160,INDIRECT($B$5&amp;"生成成长"),4))/(VLOOKUP(CQ$72,INDIRECT($C$5&amp;"生成成长"),5))*(VLOOKUP($B$5,标准坦克设计!$B$24:$U$30,MATCH("对"&amp;LEFT($C$5,2)&amp;"输出",标准坦克设计!$B$23:$U$23,0)))*(VLOOKUP($B160,INDIRECT($B$5&amp;"生成成长"),3))*(VLOOKUP($B$5,标准坦克设计!$B$14:$K$20,9)/30))</f>
        <v>5.2307540753888979</v>
      </c>
      <c r="CR160" s="172">
        <f ca="1">(VLOOKUP(CR$72,INDIRECT($C$5&amp;"生成成长"),2))/((VLOOKUP($B160,INDIRECT($B$5&amp;"生成成长"),4))/(VLOOKUP(CR$72,INDIRECT($C$5&amp;"生成成长"),5))*(VLOOKUP($B$5,标准坦克设计!$B$24:$U$30,MATCH("对"&amp;LEFT($C$5,2)&amp;"输出",标准坦克设计!$B$23:$U$23,0)))*(VLOOKUP($B160,INDIRECT($B$5&amp;"生成成长"),3))*(VLOOKUP($B$5,标准坦克设计!$B$14:$K$20,9)/30))</f>
        <v>5.674018119570305</v>
      </c>
      <c r="CS160" s="172">
        <f ca="1">(VLOOKUP(CS$72,INDIRECT($C$5&amp;"生成成长"),2))/((VLOOKUP($B160,INDIRECT($B$5&amp;"生成成长"),4))/(VLOOKUP(CS$72,INDIRECT($C$5&amp;"生成成长"),5))*(VLOOKUP($B$5,标准坦克设计!$B$24:$U$30,MATCH("对"&amp;LEFT($C$5,2)&amp;"输出",标准坦克设计!$B$23:$U$23,0)))*(VLOOKUP($B160,INDIRECT($B$5&amp;"生成成长"),3))*(VLOOKUP($B$5,标准坦克设计!$B$14:$K$20,9)/30))</f>
        <v>6.1353076886537288</v>
      </c>
      <c r="CT160" s="172">
        <f ca="1">(VLOOKUP(CT$72,INDIRECT($C$5&amp;"生成成长"),2))/((VLOOKUP($B160,INDIRECT($B$5&amp;"生成成长"),4))/(VLOOKUP(CT$72,INDIRECT($C$5&amp;"生成成长"),5))*(VLOOKUP($B$5,标准坦克设计!$B$24:$U$30,MATCH("对"&amp;LEFT($C$5,2)&amp;"输出",标准坦克设计!$B$23:$U$23,0)))*(VLOOKUP($B160,INDIRECT($B$5&amp;"生成成长"),3))*(VLOOKUP($B$5,标准坦克设计!$B$14:$K$20,9)/30))</f>
        <v>6.6146227826391701</v>
      </c>
      <c r="CU160" s="172">
        <f ca="1">(VLOOKUP(CU$72,INDIRECT($C$5&amp;"生成成长"),2))/((VLOOKUP($B160,INDIRECT($B$5&amp;"生成成长"),4))/(VLOOKUP(CU$72,INDIRECT($C$5&amp;"生成成长"),5))*(VLOOKUP($B$5,标准坦克设计!$B$24:$U$30,MATCH("对"&amp;LEFT($C$5,2)&amp;"输出",标准坦克设计!$B$23:$U$23,0)))*(VLOOKUP($B160,INDIRECT($B$5&amp;"生成成长"),3))*(VLOOKUP($B$5,标准坦克设计!$B$14:$K$20,9)/30))</f>
        <v>7.1119634015266255</v>
      </c>
      <c r="CV160" s="172">
        <f ca="1">(VLOOKUP(CV$72,INDIRECT($C$5&amp;"生成成长"),2))/((VLOOKUP($B160,INDIRECT($B$5&amp;"生成成长"),4))/(VLOOKUP(CV$72,INDIRECT($C$5&amp;"生成成长"),5))*(VLOOKUP($B$5,标准坦克设计!$B$24:$U$30,MATCH("对"&amp;LEFT($C$5,2)&amp;"输出",标准坦克设计!$B$23:$U$23,0)))*(VLOOKUP($B160,INDIRECT($B$5&amp;"生成成长"),3))*(VLOOKUP($B$5,标准坦克设计!$B$14:$K$20,9)/30))</f>
        <v>7.6273295453160994</v>
      </c>
      <c r="CW160" s="172">
        <f ca="1">(VLOOKUP(CW$72,INDIRECT($C$5&amp;"生成成长"),2))/((VLOOKUP($B160,INDIRECT($B$5&amp;"生成成长"),4))/(VLOOKUP(CW$72,INDIRECT($C$5&amp;"生成成长"),5))*(VLOOKUP($B$5,标准坦克设计!$B$24:$U$30,MATCH("对"&amp;LEFT($C$5,2)&amp;"输出",标准坦克设计!$B$23:$U$23,0)))*(VLOOKUP($B160,INDIRECT($B$5&amp;"生成成长"),3))*(VLOOKUP($B$5,标准坦克设计!$B$14:$K$20,9)/30))</f>
        <v>8.1607212140075909</v>
      </c>
      <c r="CX160" s="172">
        <f ca="1">(VLOOKUP(CX$72,INDIRECT($C$5&amp;"生成成长"),2))/((VLOOKUP($B160,INDIRECT($B$5&amp;"生成成长"),4))/(VLOOKUP(CX$72,INDIRECT($C$5&amp;"生成成长"),5))*(VLOOKUP($B$5,标准坦克设计!$B$24:$U$30,MATCH("对"&amp;LEFT($C$5,2)&amp;"输出",标准坦克设计!$B$23:$U$23,0)))*(VLOOKUP($B160,INDIRECT($B$5&amp;"生成成长"),3))*(VLOOKUP($B$5,标准坦克设计!$B$14:$K$20,9)/30))</f>
        <v>8.7121384076010973</v>
      </c>
      <c r="CY160" s="172">
        <f ca="1">(VLOOKUP(CY$72,INDIRECT($C$5&amp;"生成成长"),2))/((VLOOKUP($B160,INDIRECT($B$5&amp;"生成成长"),4))/(VLOOKUP(CY$72,INDIRECT($C$5&amp;"生成成长"),5))*(VLOOKUP($B$5,标准坦克设计!$B$24:$U$30,MATCH("对"&amp;LEFT($C$5,2)&amp;"输出",标准坦克设计!$B$23:$U$23,0)))*(VLOOKUP($B160,INDIRECT($B$5&amp;"生成成长"),3))*(VLOOKUP($B$5,标准坦克设计!$B$14:$K$20,9)/30))</f>
        <v>9.2815811260966203</v>
      </c>
      <c r="CZ160" s="172">
        <f ca="1">(VLOOKUP(CZ$72,INDIRECT($C$5&amp;"生成成长"),2))/((VLOOKUP($B160,INDIRECT($B$5&amp;"生成成长"),4))/(VLOOKUP(CZ$72,INDIRECT($C$5&amp;"生成成长"),5))*(VLOOKUP($B$5,标准坦克设计!$B$24:$U$30,MATCH("对"&amp;LEFT($C$5,2)&amp;"输出",标准坦克设计!$B$23:$U$23,0)))*(VLOOKUP($B160,INDIRECT($B$5&amp;"生成成长"),3))*(VLOOKUP($B$5,标准坦克设计!$B$14:$K$20,9)/30))</f>
        <v>9.8690493694941601</v>
      </c>
      <c r="DA160" s="172">
        <f ca="1">(VLOOKUP(DA$72,INDIRECT($C$5&amp;"生成成长"),2))/((VLOOKUP($B160,INDIRECT($B$5&amp;"生成成长"),4))/(VLOOKUP(DA$72,INDIRECT($C$5&amp;"生成成长"),5))*(VLOOKUP($B$5,标准坦克设计!$B$24:$U$30,MATCH("对"&amp;LEFT($C$5,2)&amp;"输出",标准坦克设计!$B$23:$U$23,0)))*(VLOOKUP($B160,INDIRECT($B$5&amp;"生成成长"),3))*(VLOOKUP($B$5,标准坦克设计!$B$14:$K$20,9)/30))</f>
        <v>10.474543137793715</v>
      </c>
      <c r="DB160" s="172">
        <f ca="1">(VLOOKUP(DB$72,INDIRECT($C$5&amp;"生成成长"),2))/((VLOOKUP($B160,INDIRECT($B$5&amp;"生成成长"),4))/(VLOOKUP(DB$72,INDIRECT($C$5&amp;"生成成长"),5))*(VLOOKUP($B$5,标准坦克设计!$B$24:$U$30,MATCH("对"&amp;LEFT($C$5,2)&amp;"输出",标准坦克设计!$B$23:$U$23,0)))*(VLOOKUP($B160,INDIRECT($B$5&amp;"生成成长"),3))*(VLOOKUP($B$5,标准坦克设计!$B$14:$K$20,9)/30))</f>
        <v>11.098062430995292</v>
      </c>
      <c r="DC160" s="172">
        <f ca="1">(VLOOKUP(DC$72,INDIRECT($C$5&amp;"生成成长"),2))/((VLOOKUP($B160,INDIRECT($B$5&amp;"生成成长"),4))/(VLOOKUP(DC$72,INDIRECT($C$5&amp;"生成成长"),5))*(VLOOKUP($B$5,标准坦克设计!$B$24:$U$30,MATCH("对"&amp;LEFT($C$5,2)&amp;"输出",标准坦克设计!$B$23:$U$23,0)))*(VLOOKUP($B160,INDIRECT($B$5&amp;"生成成长"),3))*(VLOOKUP($B$5,标准坦克设计!$B$14:$K$20,9)/30))</f>
        <v>11.798823332971203</v>
      </c>
      <c r="DD160" s="172">
        <f ca="1">(VLOOKUP(DD$72,INDIRECT($C$5&amp;"生成成长"),2))/((VLOOKUP($B160,INDIRECT($B$5&amp;"生成成长"),4))/(VLOOKUP(DD$72,INDIRECT($C$5&amp;"生成成长"),5))*(VLOOKUP($B$5,标准坦克设计!$B$24:$U$30,MATCH("对"&amp;LEFT($C$5,2)&amp;"输出",标准坦克设计!$B$23:$U$23,0)))*(VLOOKUP($B160,INDIRECT($B$5&amp;"生成成长"),3))*(VLOOKUP($B$5,标准坦克设计!$B$14:$K$20,9)/30))</f>
        <v>12.521036099293324</v>
      </c>
      <c r="DE160" s="172">
        <f ca="1">(VLOOKUP(DE$72,INDIRECT($C$5&amp;"生成成长"),2))/((VLOOKUP($B160,INDIRECT($B$5&amp;"生成成长"),4))/(VLOOKUP(DE$72,INDIRECT($C$5&amp;"生成成长"),5))*(VLOOKUP($B$5,标准坦克设计!$B$24:$U$30,MATCH("对"&amp;LEFT($C$5,2)&amp;"输出",标准坦克设计!$B$23:$U$23,0)))*(VLOOKUP($B160,INDIRECT($B$5&amp;"生成成长"),3))*(VLOOKUP($B$5,标准坦克设计!$B$14:$K$20,9)/30))</f>
        <v>13.264700729961644</v>
      </c>
      <c r="DF160" s="172">
        <f ca="1">(VLOOKUP(DF$72,INDIRECT($C$5&amp;"生成成长"),2))/((VLOOKUP($B160,INDIRECT($B$5&amp;"生成成长"),4))/(VLOOKUP(DF$72,INDIRECT($C$5&amp;"生成成长"),5))*(VLOOKUP($B$5,标准坦克设计!$B$24:$U$30,MATCH("对"&amp;LEFT($C$5,2)&amp;"输出",标准坦克设计!$B$23:$U$23,0)))*(VLOOKUP($B160,INDIRECT($B$5&amp;"生成成长"),3))*(VLOOKUP($B$5,标准坦克设计!$B$14:$K$20,9)/30))</f>
        <v>14.029817224976163</v>
      </c>
      <c r="DG160" s="172">
        <f ca="1">(VLOOKUP(DG$72,INDIRECT($C$5&amp;"生成成长"),2))/((VLOOKUP($B160,INDIRECT($B$5&amp;"生成成长"),4))/(VLOOKUP(DG$72,INDIRECT($C$5&amp;"生成成长"),5))*(VLOOKUP($B$5,标准坦克设计!$B$24:$U$30,MATCH("对"&amp;LEFT($C$5,2)&amp;"输出",标准坦克设计!$B$23:$U$23,0)))*(VLOOKUP($B160,INDIRECT($B$5&amp;"生成成长"),3))*(VLOOKUP($B$5,标准坦克设计!$B$14:$K$20,9)/30))</f>
        <v>14.816385584336887</v>
      </c>
      <c r="DH160" s="172">
        <f ca="1">(VLOOKUP(DH$72,INDIRECT($C$5&amp;"生成成长"),2))/((VLOOKUP($B160,INDIRECT($B$5&amp;"生成成长"),4))/(VLOOKUP(DH$72,INDIRECT($C$5&amp;"生成成长"),5))*(VLOOKUP($B$5,标准坦克设计!$B$24:$U$30,MATCH("对"&amp;LEFT($C$5,2)&amp;"输出",标准坦克设计!$B$23:$U$23,0)))*(VLOOKUP($B160,INDIRECT($B$5&amp;"生成成长"),3))*(VLOOKUP($B$5,标准坦克设计!$B$14:$K$20,9)/30))</f>
        <v>15.624405808043814</v>
      </c>
      <c r="DI160" s="172">
        <f ca="1">(VLOOKUP(DI$72,INDIRECT($C$5&amp;"生成成长"),2))/((VLOOKUP($B160,INDIRECT($B$5&amp;"生成成长"),4))/(VLOOKUP(DI$72,INDIRECT($C$5&amp;"生成成长"),5))*(VLOOKUP($B$5,标准坦克设计!$B$24:$U$30,MATCH("对"&amp;LEFT($C$5,2)&amp;"输出",标准坦克设计!$B$23:$U$23,0)))*(VLOOKUP($B160,INDIRECT($B$5&amp;"生成成长"),3))*(VLOOKUP($B$5,标准坦克设计!$B$14:$K$20,9)/30))</f>
        <v>16.453877896096941</v>
      </c>
      <c r="DJ160" s="172">
        <f ca="1">(VLOOKUP(DJ$72,INDIRECT($C$5&amp;"生成成长"),2))/((VLOOKUP($B160,INDIRECT($B$5&amp;"生成成长"),4))/(VLOOKUP(DJ$72,INDIRECT($C$5&amp;"生成成长"),5))*(VLOOKUP($B$5,标准坦克设计!$B$24:$U$30,MATCH("对"&amp;LEFT($C$5,2)&amp;"输出",标准坦克设计!$B$23:$U$23,0)))*(VLOOKUP($B160,INDIRECT($B$5&amp;"生成成长"),3))*(VLOOKUP($B$5,标准坦克设计!$B$14:$K$20,9)/30))</f>
        <v>1.6536556956597925</v>
      </c>
      <c r="DK160" s="172">
        <f ca="1">(VLOOKUP(DK$72,INDIRECT($C$5&amp;"生成成长"),2))/((VLOOKUP($B160,INDIRECT($B$5&amp;"生成成长"),4))/(VLOOKUP(DK$72,INDIRECT($C$5&amp;"生成成长"),5))*(VLOOKUP($B$5,标准坦克设计!$B$24:$U$30,MATCH("对"&amp;LEFT($C$5,2)&amp;"输出",标准坦克设计!$B$23:$U$23,0)))*(VLOOKUP($B160,INDIRECT($B$5&amp;"生成成长"),3))*(VLOOKUP($B$5,标准坦克设计!$B$14:$K$20,9)/30))</f>
        <v>1.8594595192311629</v>
      </c>
      <c r="DL160" s="172">
        <f ca="1">(VLOOKUP(DL$72,INDIRECT($C$5&amp;"生成成长"),2))/((VLOOKUP($B160,INDIRECT($B$5&amp;"生成成长"),4))/(VLOOKUP(DL$72,INDIRECT($C$5&amp;"生成成长"),5))*(VLOOKUP($B$5,标准坦克设计!$B$24:$U$30,MATCH("对"&amp;LEFT($C$5,2)&amp;"输出",标准坦克设计!$B$23:$U$23,0)))*(VLOOKUP($B160,INDIRECT($B$5&amp;"生成成长"),3))*(VLOOKUP($B$5,标准坦克设计!$B$14:$K$20,9)/30))</f>
        <v>2.0773300164972728</v>
      </c>
      <c r="DM160" s="172">
        <f ca="1">(VLOOKUP(DM$72,INDIRECT($C$5&amp;"生成成长"),2))/((VLOOKUP($B160,INDIRECT($B$5&amp;"生成成长"),4))/(VLOOKUP(DM$72,INDIRECT($C$5&amp;"生成成长"),5))*(VLOOKUP($B$5,标准坦克设计!$B$24:$U$30,MATCH("对"&amp;LEFT($C$5,2)&amp;"输出",标准坦克设计!$B$23:$U$23,0)))*(VLOOKUP($B160,INDIRECT($B$5&amp;"生成成长"),3))*(VLOOKUP($B$5,标准坦克设计!$B$14:$K$20,9)/30))</f>
        <v>2.3072671874581201</v>
      </c>
      <c r="DN160" s="172">
        <f ca="1">(VLOOKUP(DN$72,INDIRECT($C$5&amp;"生成成长"),2))/((VLOOKUP($B160,INDIRECT($B$5&amp;"生成成长"),4))/(VLOOKUP(DN$72,INDIRECT($C$5&amp;"生成成长"),5))*(VLOOKUP($B$5,标准坦克设计!$B$24:$U$30,MATCH("对"&amp;LEFT($C$5,2)&amp;"输出",标准坦克设计!$B$23:$U$23,0)))*(VLOOKUP($B160,INDIRECT($B$5&amp;"生成成长"),3))*(VLOOKUP($B$5,标准坦克设计!$B$14:$K$20,9)/30))</f>
        <v>2.549271032113706</v>
      </c>
      <c r="DO160" s="172">
        <f ca="1">(VLOOKUP(DO$72,INDIRECT($C$5&amp;"生成成长"),2))/((VLOOKUP($B160,INDIRECT($B$5&amp;"生成成长"),4))/(VLOOKUP(DO$72,INDIRECT($C$5&amp;"生成成长"),5))*(VLOOKUP($B$5,标准坦克设计!$B$24:$U$30,MATCH("对"&amp;LEFT($C$5,2)&amp;"输出",标准坦克设计!$B$23:$U$23,0)))*(VLOOKUP($B160,INDIRECT($B$5&amp;"生成成长"),3))*(VLOOKUP($B$5,标准坦克设计!$B$14:$K$20,9)/30))</f>
        <v>2.8033415504640309</v>
      </c>
      <c r="DP160" s="172">
        <f ca="1">(VLOOKUP(DP$72,INDIRECT($C$5&amp;"生成成长"),2))/((VLOOKUP($B160,INDIRECT($B$5&amp;"生成成长"),4))/(VLOOKUP(DP$72,INDIRECT($C$5&amp;"生成成长"),5))*(VLOOKUP($B$5,标准坦克设计!$B$24:$U$30,MATCH("对"&amp;LEFT($C$5,2)&amp;"输出",标准坦克设计!$B$23:$U$23,0)))*(VLOOKUP($B160,INDIRECT($B$5&amp;"生成成长"),3))*(VLOOKUP($B$5,标准坦克设计!$B$14:$K$20,9)/30))</f>
        <v>3.0694787425090939</v>
      </c>
      <c r="DQ160" s="172">
        <f ca="1">(VLOOKUP(DQ$72,INDIRECT($C$5&amp;"生成成长"),2))/((VLOOKUP($B160,INDIRECT($B$5&amp;"生成成长"),4))/(VLOOKUP(DQ$72,INDIRECT($C$5&amp;"生成成长"),5))*(VLOOKUP($B$5,标准坦克设计!$B$24:$U$30,MATCH("对"&amp;LEFT($C$5,2)&amp;"输出",标准坦克设计!$B$23:$U$23,0)))*(VLOOKUP($B160,INDIRECT($B$5&amp;"生成成长"),3))*(VLOOKUP($B$5,标准坦克设计!$B$14:$K$20,9)/30))</f>
        <v>3.3476826082488951</v>
      </c>
      <c r="DR160" s="172">
        <f ca="1">(VLOOKUP(DR$72,INDIRECT($C$5&amp;"生成成长"),2))/((VLOOKUP($B160,INDIRECT($B$5&amp;"生成成长"),4))/(VLOOKUP(DR$72,INDIRECT($C$5&amp;"生成成长"),5))*(VLOOKUP($B$5,标准坦克设计!$B$24:$U$30,MATCH("对"&amp;LEFT($C$5,2)&amp;"输出",标准坦克设计!$B$23:$U$23,0)))*(VLOOKUP($B160,INDIRECT($B$5&amp;"生成成长"),3))*(VLOOKUP($B$5,标准坦克设计!$B$14:$K$20,9)/30))</f>
        <v>3.6379531476834335</v>
      </c>
      <c r="DS160" s="172">
        <f ca="1">(VLOOKUP(DS$72,INDIRECT($C$5&amp;"生成成长"),2))/((VLOOKUP($B160,INDIRECT($B$5&amp;"生成成长"),4))/(VLOOKUP(DS$72,INDIRECT($C$5&amp;"生成成长"),5))*(VLOOKUP($B$5,标准坦克设计!$B$24:$U$30,MATCH("对"&amp;LEFT($C$5,2)&amp;"输出",标准坦克设计!$B$23:$U$23,0)))*(VLOOKUP($B160,INDIRECT($B$5&amp;"生成成长"),3))*(VLOOKUP($B$5,标准坦克设计!$B$14:$K$20,9)/30))</f>
        <v>3.9402903608127113</v>
      </c>
      <c r="DT160" s="172">
        <f ca="1">(VLOOKUP(DT$72,INDIRECT($C$5&amp;"生成成长"),2))/((VLOOKUP($B160,INDIRECT($B$5&amp;"生成成长"),4))/(VLOOKUP(DT$72,INDIRECT($C$5&amp;"生成成长"),5))*(VLOOKUP($B$5,标准坦克设计!$B$24:$U$30,MATCH("对"&amp;LEFT($C$5,2)&amp;"输出",标准坦克设计!$B$23:$U$23,0)))*(VLOOKUP($B160,INDIRECT($B$5&amp;"生成成长"),3))*(VLOOKUP($B$5,标准坦克设计!$B$14:$K$20,9)/30))</f>
        <v>4.3262004621240662</v>
      </c>
      <c r="DU160" s="172">
        <f ca="1">(VLOOKUP(DU$72,INDIRECT($C$5&amp;"生成成长"),2))/((VLOOKUP($B160,INDIRECT($B$5&amp;"生成成长"),4))/(VLOOKUP(DU$72,INDIRECT($C$5&amp;"生成成长"),5))*(VLOOKUP($B$5,标准坦克设计!$B$24:$U$30,MATCH("对"&amp;LEFT($C$5,2)&amp;"输出",标准坦克设计!$B$23:$U$23,0)))*(VLOOKUP($B160,INDIRECT($B$5&amp;"生成成长"),3))*(VLOOKUP($B$5,标准坦克设计!$B$14:$K$20,9)/30))</f>
        <v>4.7301360883374377</v>
      </c>
      <c r="DV160" s="172">
        <f ca="1">(VLOOKUP(DV$72,INDIRECT($C$5&amp;"生成成长"),2))/((VLOOKUP($B160,INDIRECT($B$5&amp;"生成成长"),4))/(VLOOKUP(DV$72,INDIRECT($C$5&amp;"生成成长"),5))*(VLOOKUP($B$5,标准坦克设计!$B$24:$U$30,MATCH("对"&amp;LEFT($C$5,2)&amp;"输出",标准坦克设计!$B$23:$U$23,0)))*(VLOOKUP($B160,INDIRECT($B$5&amp;"生成成长"),3))*(VLOOKUP($B$5,标准坦克设计!$B$14:$K$20,9)/30))</f>
        <v>5.1520972394528251</v>
      </c>
      <c r="DW160" s="172">
        <f ca="1">(VLOOKUP(DW$72,INDIRECT($C$5&amp;"生成成长"),2))/((VLOOKUP($B160,INDIRECT($B$5&amp;"生成成长"),4))/(VLOOKUP(DW$72,INDIRECT($C$5&amp;"生成成长"),5))*(VLOOKUP($B$5,标准坦克设计!$B$24:$U$30,MATCH("对"&amp;LEFT($C$5,2)&amp;"输出",标准坦克设计!$B$23:$U$23,0)))*(VLOOKUP($B160,INDIRECT($B$5&amp;"生成成长"),3))*(VLOOKUP($B$5,标准坦克设计!$B$14:$K$20,9)/30))</f>
        <v>5.59208391547023</v>
      </c>
      <c r="DX160" s="172">
        <f ca="1">(VLOOKUP(DX$72,INDIRECT($C$5&amp;"生成成长"),2))/((VLOOKUP($B160,INDIRECT($B$5&amp;"生成成长"),4))/(VLOOKUP(DX$72,INDIRECT($C$5&amp;"生成成长"),5))*(VLOOKUP($B$5,标准坦克设计!$B$24:$U$30,MATCH("对"&amp;LEFT($C$5,2)&amp;"输出",标准坦克设计!$B$23:$U$23,0)))*(VLOOKUP($B160,INDIRECT($B$5&amp;"生成成长"),3))*(VLOOKUP($B$5,标准坦克设计!$B$14:$K$20,9)/30))</f>
        <v>6.0500961163896507</v>
      </c>
      <c r="DY160" s="172">
        <f ca="1">(VLOOKUP(DY$72,INDIRECT($C$5&amp;"生成成长"),2))/((VLOOKUP($B160,INDIRECT($B$5&amp;"生成成长"),4))/(VLOOKUP(DY$72,INDIRECT($C$5&amp;"生成成长"),5))*(VLOOKUP($B$5,标准坦克设计!$B$24:$U$30,MATCH("对"&amp;LEFT($C$5,2)&amp;"输出",标准坦克设计!$B$23:$U$23,0)))*(VLOOKUP($B160,INDIRECT($B$5&amp;"生成成长"),3))*(VLOOKUP($B$5,标准坦克设计!$B$14:$K$20,9)/30))</f>
        <v>2.7173106361589516</v>
      </c>
      <c r="DZ160" s="172">
        <f ca="1">(VLOOKUP(DZ$72,INDIRECT($C$5&amp;"生成成长"),2))/((VLOOKUP($B160,INDIRECT($B$5&amp;"生成成长"),4))/(VLOOKUP(DZ$72,INDIRECT($C$5&amp;"生成成长"),5))*(VLOOKUP($B$5,标准坦克设计!$B$24:$U$30,MATCH("对"&amp;LEFT($C$5,2)&amp;"输出",标准坦克设计!$B$23:$U$23,0)))*(VLOOKUP($B160,INDIRECT($B$5&amp;"生成成长"),3))*(VLOOKUP($B$5,标准坦克设计!$B$14:$K$20,9)/30))</f>
        <v>3.0092943453155838</v>
      </c>
      <c r="EA160" s="172">
        <f ca="1">(VLOOKUP(EA$72,INDIRECT($C$5&amp;"生成成长"),2))/((VLOOKUP($B160,INDIRECT($B$5&amp;"生成成长"),4))/(VLOOKUP(EA$72,INDIRECT($C$5&amp;"生成成长"),5))*(VLOOKUP($B$5,标准坦克设计!$B$24:$U$30,MATCH("对"&amp;LEFT($C$5,2)&amp;"输出",标准坦克设计!$B$23:$U$23,0)))*(VLOOKUP($B160,INDIRECT($B$5&amp;"生成成长"),3))*(VLOOKUP($B$5,标准坦克设计!$B$14:$K$20,9)/30))</f>
        <v>3.3161751824904111</v>
      </c>
      <c r="EB160" s="172">
        <f ca="1">(VLOOKUP(EB$72,INDIRECT($C$5&amp;"生成成长"),2))/((VLOOKUP($B160,INDIRECT($B$5&amp;"生成成长"),4))/(VLOOKUP(EB$72,INDIRECT($C$5&amp;"生成成长"),5))*(VLOOKUP($B$5,标准坦克设计!$B$24:$U$30,MATCH("对"&amp;LEFT($C$5,2)&amp;"输出",标准坦克设计!$B$23:$U$23,0)))*(VLOOKUP($B160,INDIRECT($B$5&amp;"生成成长"),3))*(VLOOKUP($B$5,标准坦克设计!$B$14:$K$20,9)/30))</f>
        <v>3.6379531476834335</v>
      </c>
      <c r="EC160" s="172">
        <f ca="1">(VLOOKUP(EC$72,INDIRECT($C$5&amp;"生成成长"),2))/((VLOOKUP($B160,INDIRECT($B$5&amp;"生成成长"),4))/(VLOOKUP(EC$72,INDIRECT($C$5&amp;"生成成长"),5))*(VLOOKUP($B$5,标准坦克设计!$B$24:$U$30,MATCH("对"&amp;LEFT($C$5,2)&amp;"输出",标准坦克设计!$B$23:$U$23,0)))*(VLOOKUP($B160,INDIRECT($B$5&amp;"生成成长"),3))*(VLOOKUP($B$5,标准坦克设计!$B$14:$K$20,9)/30))</f>
        <v>3.9746282408946523</v>
      </c>
      <c r="ED160" s="172">
        <f ca="1">(VLOOKUP(ED$72,INDIRECT($C$5&amp;"生成成长"),2))/((VLOOKUP($B160,INDIRECT($B$5&amp;"生成成长"),4))/(VLOOKUP(ED$72,INDIRECT($C$5&amp;"生成成长"),5))*(VLOOKUP($B$5,标准坦克设计!$B$24:$U$30,MATCH("对"&amp;LEFT($C$5,2)&amp;"输出",标准坦克设计!$B$23:$U$23,0)))*(VLOOKUP($B160,INDIRECT($B$5&amp;"生成成长"),3))*(VLOOKUP($B$5,标准坦克设计!$B$14:$K$20,9)/30))</f>
        <v>4.3262004621240662</v>
      </c>
      <c r="EE160" s="172">
        <f ca="1">(VLOOKUP(EE$72,INDIRECT($C$5&amp;"生成成长"),2))/((VLOOKUP($B160,INDIRECT($B$5&amp;"生成成长"),4))/(VLOOKUP(EE$72,INDIRECT($C$5&amp;"生成成长"),5))*(VLOOKUP($B$5,标准坦克设计!$B$24:$U$30,MATCH("对"&amp;LEFT($C$5,2)&amp;"输出",标准坦克设计!$B$23:$U$23,0)))*(VLOOKUP($B160,INDIRECT($B$5&amp;"生成成长"),3))*(VLOOKUP($B$5,标准坦克设计!$B$14:$K$20,9)/30))</f>
        <v>4.692669811371676</v>
      </c>
      <c r="EF160" s="172">
        <f ca="1">(VLOOKUP(EF$72,INDIRECT($C$5&amp;"生成成长"),2))/((VLOOKUP($B160,INDIRECT($B$5&amp;"生成成长"),4))/(VLOOKUP(EF$72,INDIRECT($C$5&amp;"生成成长"),5))*(VLOOKUP($B$5,标准坦克设计!$B$24:$U$30,MATCH("对"&amp;LEFT($C$5,2)&amp;"输出",标准坦克设计!$B$23:$U$23,0)))*(VLOOKUP($B160,INDIRECT($B$5&amp;"生成成长"),3))*(VLOOKUP($B$5,标准坦克设计!$B$14:$K$20,9)/30))</f>
        <v>5.0740362886374815</v>
      </c>
      <c r="EG160" s="172">
        <f ca="1">(VLOOKUP(EG$72,INDIRECT($C$5&amp;"生成成长"),2))/((VLOOKUP($B160,INDIRECT($B$5&amp;"生成成长"),4))/(VLOOKUP(EG$72,INDIRECT($C$5&amp;"生成成长"),5))*(VLOOKUP($B$5,标准坦克设计!$B$24:$U$30,MATCH("对"&amp;LEFT($C$5,2)&amp;"输出",标准坦克设计!$B$23:$U$23,0)))*(VLOOKUP($B160,INDIRECT($B$5&amp;"生成成长"),3))*(VLOOKUP($B$5,标准坦克设计!$B$14:$K$20,9)/30))</f>
        <v>5.4702998939214806</v>
      </c>
      <c r="EH160" s="172">
        <f ca="1">(VLOOKUP(EH$72,INDIRECT($C$5&amp;"生成成长"),2))/((VLOOKUP($B160,INDIRECT($B$5&amp;"生成成长"),4))/(VLOOKUP(EH$72,INDIRECT($C$5&amp;"生成成长"),5))*(VLOOKUP($B$5,标准坦克设计!$B$24:$U$30,MATCH("对"&amp;LEFT($C$5,2)&amp;"输出",标准坦克设计!$B$23:$U$23,0)))*(VLOOKUP($B160,INDIRECT($B$5&amp;"生成成长"),3))*(VLOOKUP($B$5,标准坦克设计!$B$14:$K$20,9)/30))</f>
        <v>5.881460627223678</v>
      </c>
      <c r="EI160" s="172">
        <f ca="1">(VLOOKUP(EI$72,INDIRECT($C$5&amp;"生成成长"),2))/((VLOOKUP($B160,INDIRECT($B$5&amp;"生成成长"),4))/(VLOOKUP(EI$72,INDIRECT($C$5&amp;"生成成长"),5))*(VLOOKUP($B$5,标准坦克设计!$B$24:$U$30,MATCH("对"&amp;LEFT($C$5,2)&amp;"输出",标准坦克设计!$B$23:$U$23,0)))*(VLOOKUP($B160,INDIRECT($B$5&amp;"生成成长"),3))*(VLOOKUP($B$5,标准坦克设计!$B$14:$K$20,9)/30))</f>
        <v>6.3075184885440692</v>
      </c>
      <c r="EJ160" s="172">
        <f ca="1">(VLOOKUP(EJ$72,INDIRECT($C$5&amp;"生成成长"),2))/((VLOOKUP($B160,INDIRECT($B$5&amp;"生成成长"),4))/(VLOOKUP(EJ$72,INDIRECT($C$5&amp;"生成成长"),5))*(VLOOKUP($B$5,标准坦克设计!$B$24:$U$30,MATCH("对"&amp;LEFT($C$5,2)&amp;"输出",标准坦克设计!$B$23:$U$23,0)))*(VLOOKUP($B160,INDIRECT($B$5&amp;"生成成长"),3))*(VLOOKUP($B$5,标准坦克设计!$B$14:$K$20,9)/30))</f>
        <v>6.7484734778826567</v>
      </c>
      <c r="EK160" s="172">
        <f ca="1">(VLOOKUP(EK$72,INDIRECT($C$5&amp;"生成成长"),2))/((VLOOKUP($B160,INDIRECT($B$5&amp;"生成成长"),4))/(VLOOKUP(EK$72,INDIRECT($C$5&amp;"生成成长"),5))*(VLOOKUP($B$5,标准坦克设计!$B$24:$U$30,MATCH("对"&amp;LEFT($C$5,2)&amp;"输出",标准坦克设计!$B$23:$U$23,0)))*(VLOOKUP($B160,INDIRECT($B$5&amp;"生成成长"),3))*(VLOOKUP($B$5,标准坦克设计!$B$14:$K$20,9)/30))</f>
        <v>7.2972836740729781</v>
      </c>
      <c r="EL160" s="172">
        <f ca="1">(VLOOKUP(EL$72,INDIRECT($C$5&amp;"生成成长"),2))/((VLOOKUP($B160,INDIRECT($B$5&amp;"生成成长"),4))/(VLOOKUP(EL$72,INDIRECT($C$5&amp;"生成成长"),5))*(VLOOKUP($B$5,标准坦克设计!$B$24:$U$30,MATCH("对"&amp;LEFT($C$5,2)&amp;"输出",标准坦克设计!$B$23:$U$23,0)))*(VLOOKUP($B160,INDIRECT($B$5&amp;"生成成长"),3))*(VLOOKUP($B$5,标准坦克设计!$B$14:$K$20,9)/30))</f>
        <v>7.8675457346095019</v>
      </c>
      <c r="EM160" s="172">
        <f ca="1">(VLOOKUP(EM$72,INDIRECT($C$5&amp;"生成成长"),2))/((VLOOKUP($B160,INDIRECT($B$5&amp;"生成成长"),4))/(VLOOKUP(EM$72,INDIRECT($C$5&amp;"生成成长"),5))*(VLOOKUP($B$5,标准坦克设计!$B$24:$U$30,MATCH("对"&amp;LEFT($C$5,2)&amp;"输出",标准坦克设计!$B$23:$U$23,0)))*(VLOOKUP($B160,INDIRECT($B$5&amp;"生成成长"),3))*(VLOOKUP($B$5,标准坦克设计!$B$14:$K$20,9)/30))</f>
        <v>8.4592596594922291</v>
      </c>
      <c r="EN160" s="172">
        <f ca="1">(VLOOKUP(EN$72,INDIRECT($C$5&amp;"生成成长"),2))/((VLOOKUP($B160,INDIRECT($B$5&amp;"生成成长"),4))/(VLOOKUP(EN$72,INDIRECT($C$5&amp;"生成成长"),5))*(VLOOKUP($B$5,标准坦克设计!$B$24:$U$30,MATCH("对"&amp;LEFT($C$5,2)&amp;"输出",标准坦克设计!$B$23:$U$23,0)))*(VLOOKUP($B160,INDIRECT($B$5&amp;"生成成长"),3))*(VLOOKUP($B$5,标准坦克设计!$B$14:$K$20,9)/30))</f>
        <v>9.0724254487211553</v>
      </c>
      <c r="EO160" s="172">
        <f ca="1">(VLOOKUP(EO$72,INDIRECT($C$5&amp;"生成成长"),2))/((VLOOKUP($B160,INDIRECT($B$5&amp;"生成成长"),4))/(VLOOKUP(EO$72,INDIRECT($C$5&amp;"生成成长"),5))*(VLOOKUP($B$5,标准坦克设计!$B$24:$U$30,MATCH("对"&amp;LEFT($C$5,2)&amp;"输出",标准坦克设计!$B$23:$U$23,0)))*(VLOOKUP($B160,INDIRECT($B$5&amp;"生成成长"),3))*(VLOOKUP($B$5,标准坦克设计!$B$14:$K$20,9)/30))</f>
        <v>9.7070431022962858</v>
      </c>
      <c r="EP160" s="172">
        <f ca="1">(VLOOKUP(EP$72,INDIRECT($C$5&amp;"生成成长"),2))/((VLOOKUP($B160,INDIRECT($B$5&amp;"生成成长"),4))/(VLOOKUP(EP$72,INDIRECT($C$5&amp;"生成成长"),5))*(VLOOKUP($B$5,标准坦克设计!$B$24:$U$30,MATCH("对"&amp;LEFT($C$5,2)&amp;"输出",标准坦克设计!$B$23:$U$23,0)))*(VLOOKUP($B160,INDIRECT($B$5&amp;"生成成长"),3))*(VLOOKUP($B$5,标准坦克设计!$B$14:$K$20,9)/30))</f>
        <v>10.363112620217613</v>
      </c>
      <c r="EQ160" s="172">
        <f ca="1">(VLOOKUP(EQ$72,INDIRECT($C$5&amp;"生成成长"),2))/((VLOOKUP($B160,INDIRECT($B$5&amp;"生成成长"),4))/(VLOOKUP(EQ$72,INDIRECT($C$5&amp;"生成成长"),5))*(VLOOKUP($B$5,标准坦克设计!$B$24:$U$30,MATCH("对"&amp;LEFT($C$5,2)&amp;"输出",标准坦克设计!$B$23:$U$23,0)))*(VLOOKUP($B160,INDIRECT($B$5&amp;"生成成长"),3))*(VLOOKUP($B$5,标准坦克设计!$B$14:$K$20,9)/30))</f>
        <v>4.5811648081554823</v>
      </c>
      <c r="ER160" s="172">
        <f ca="1">(VLOOKUP(ER$72,INDIRECT($C$5&amp;"生成成长"),2))/((VLOOKUP($B160,INDIRECT($B$5&amp;"生成成长"),4))/(VLOOKUP(ER$72,INDIRECT($C$5&amp;"生成成长"),5))*(VLOOKUP($B$5,标准坦克设计!$B$24:$U$30,MATCH("对"&amp;LEFT($C$5,2)&amp;"输出",标准坦克设计!$B$23:$U$23,0)))*(VLOOKUP($B160,INDIRECT($B$5&amp;"生成成长"),3))*(VLOOKUP($B$5,标准坦克设计!$B$14:$K$20,9)/30))</f>
        <v>4.9965712229428636</v>
      </c>
      <c r="ES160" s="172">
        <f ca="1">(VLOOKUP(ES$72,INDIRECT($C$5&amp;"生成成长"),2))/((VLOOKUP($B160,INDIRECT($B$5&amp;"生成成长"),4))/(VLOOKUP(ES$72,INDIRECT($C$5&amp;"生成成长"),5))*(VLOOKUP($B$5,标准坦克设计!$B$24:$U$30,MATCH("对"&amp;LEFT($C$5,2)&amp;"输出",标准坦克设计!$B$23:$U$23,0)))*(VLOOKUP($B160,INDIRECT($B$5&amp;"生成成长"),3))*(VLOOKUP($B$5,标准坦克设计!$B$14:$K$20,9)/30))</f>
        <v>5.4300031626322625</v>
      </c>
      <c r="ET160" s="172">
        <f ca="1">(VLOOKUP(ET$72,INDIRECT($C$5&amp;"生成成长"),2))/((VLOOKUP($B160,INDIRECT($B$5&amp;"生成成长"),4))/(VLOOKUP(ET$72,INDIRECT($C$5&amp;"生成成长"),5))*(VLOOKUP($B$5,标准坦克设计!$B$24:$U$30,MATCH("对"&amp;LEFT($C$5,2)&amp;"输出",标准坦克设计!$B$23:$U$23,0)))*(VLOOKUP($B160,INDIRECT($B$5&amp;"生成成长"),3))*(VLOOKUP($B$5,标准坦克设计!$B$14:$K$20,9)/30))</f>
        <v>5.881460627223678</v>
      </c>
      <c r="EU160" s="172">
        <f ca="1">(VLOOKUP(EU$72,INDIRECT($C$5&amp;"生成成长"),2))/((VLOOKUP($B160,INDIRECT($B$5&amp;"生成成长"),4))/(VLOOKUP(EU$72,INDIRECT($C$5&amp;"生成成长"),5))*(VLOOKUP($B$5,标准坦克设计!$B$24:$U$30,MATCH("对"&amp;LEFT($C$5,2)&amp;"输出",标准坦克设计!$B$23:$U$23,0)))*(VLOOKUP($B160,INDIRECT($B$5&amp;"生成成长"),3))*(VLOOKUP($B$5,标准坦克设计!$B$14:$K$20,9)/30))</f>
        <v>6.3509436167171094</v>
      </c>
      <c r="EV160" s="172">
        <f ca="1">(VLOOKUP(EV$72,INDIRECT($C$5&amp;"生成成长"),2))/((VLOOKUP($B160,INDIRECT($B$5&amp;"生成成长"),4))/(VLOOKUP(EV$72,INDIRECT($C$5&amp;"生成成长"),5))*(VLOOKUP($B$5,标准坦克设计!$B$24:$U$30,MATCH("对"&amp;LEFT($C$5,2)&amp;"输出",标准坦克设计!$B$23:$U$23,0)))*(VLOOKUP($B160,INDIRECT($B$5&amp;"生成成长"),3))*(VLOOKUP($B$5,标准坦克设计!$B$14:$K$20,9)/30))</f>
        <v>6.8384521311125575</v>
      </c>
      <c r="EW160" s="172">
        <f ca="1">(VLOOKUP(EW$72,INDIRECT($C$5&amp;"生成成长"),2))/((VLOOKUP($B160,INDIRECT($B$5&amp;"生成成长"),4))/(VLOOKUP(EW$72,INDIRECT($C$5&amp;"生成成长"),5))*(VLOOKUP($B$5,标准坦克设计!$B$24:$U$30,MATCH("对"&amp;LEFT($C$5,2)&amp;"输出",标准坦克设计!$B$23:$U$23,0)))*(VLOOKUP($B160,INDIRECT($B$5&amp;"生成成长"),3))*(VLOOKUP($B$5,标准坦克设计!$B$14:$K$20,9)/30))</f>
        <v>7.3439861704100222</v>
      </c>
      <c r="EX160" s="172">
        <f ca="1">(VLOOKUP(EX$72,INDIRECT($C$5&amp;"生成成长"),2))/((VLOOKUP($B160,INDIRECT($B$5&amp;"生成成长"),4))/(VLOOKUP(EX$72,INDIRECT($C$5&amp;"生成成长"),5))*(VLOOKUP($B$5,标准坦克设计!$B$24:$U$30,MATCH("对"&amp;LEFT($C$5,2)&amp;"输出",标准坦克设计!$B$23:$U$23,0)))*(VLOOKUP($B160,INDIRECT($B$5&amp;"生成成长"),3))*(VLOOKUP($B$5,标准坦克设计!$B$14:$K$20,9)/30))</f>
        <v>7.8675457346095019</v>
      </c>
      <c r="EY160" s="172">
        <f ca="1">(VLOOKUP(EY$72,INDIRECT($C$5&amp;"生成成长"),2))/((VLOOKUP($B160,INDIRECT($B$5&amp;"生成成长"),4))/(VLOOKUP(EY$72,INDIRECT($C$5&amp;"生成成长"),5))*(VLOOKUP($B$5,标准坦克设计!$B$24:$U$30,MATCH("对"&amp;LEFT($C$5,2)&amp;"输出",标准坦克设计!$B$23:$U$23,0)))*(VLOOKUP($B160,INDIRECT($B$5&amp;"生成成长"),3))*(VLOOKUP($B$5,标准坦克设计!$B$14:$K$20,9)/30))</f>
        <v>8.409130823711001</v>
      </c>
      <c r="EZ160" s="172">
        <f ca="1">(VLOOKUP(EZ$72,INDIRECT($C$5&amp;"生成成长"),2))/((VLOOKUP($B160,INDIRECT($B$5&amp;"生成成长"),4))/(VLOOKUP(EZ$72,INDIRECT($C$5&amp;"生成成长"),5))*(VLOOKUP($B$5,标准坦克设计!$B$24:$U$30,MATCH("对"&amp;LEFT($C$5,2)&amp;"输出",标准坦克设计!$B$23:$U$23,0)))*(VLOOKUP($B160,INDIRECT($B$5&amp;"生成成长"),3))*(VLOOKUP($B$5,标准坦克设计!$B$14:$K$20,9)/30))</f>
        <v>8.9687414377145149</v>
      </c>
      <c r="FA160" s="172">
        <f ca="1">(VLOOKUP(FA$72,INDIRECT($C$5&amp;"生成成长"),2))/((VLOOKUP($B160,INDIRECT($B$5&amp;"生成成长"),4))/(VLOOKUP(FA$72,INDIRECT($C$5&amp;"生成成长"),5))*(VLOOKUP($B$5,标准坦克设计!$B$24:$U$30,MATCH("对"&amp;LEFT($C$5,2)&amp;"输出",标准坦克设计!$B$23:$U$23,0)))*(VLOOKUP($B160,INDIRECT($B$5&amp;"生成成长"),3))*(VLOOKUP($B$5,标准坦克设计!$B$14:$K$20,9)/30))</f>
        <v>9.5463775766200456</v>
      </c>
      <c r="FB160" s="172">
        <f ca="1">(VLOOKUP(FB$72,INDIRECT($C$5&amp;"生成成长"),2))/((VLOOKUP($B160,INDIRECT($B$5&amp;"生成成长"),4))/(VLOOKUP(FB$72,INDIRECT($C$5&amp;"生成成长"),5))*(VLOOKUP($B$5,标准坦克设计!$B$24:$U$30,MATCH("对"&amp;LEFT($C$5,2)&amp;"输出",标准坦克设计!$B$23:$U$23,0)))*(VLOOKUP($B160,INDIRECT($B$5&amp;"生成成长"),3))*(VLOOKUP($B$5,标准坦克设计!$B$14:$K$20,9)/30))</f>
        <v>10.142039240427593</v>
      </c>
      <c r="FC160" s="172">
        <f ca="1">(VLOOKUP(FC$72,INDIRECT($C$5&amp;"生成成长"),2))/((VLOOKUP($B160,INDIRECT($B$5&amp;"生成成长"),4))/(VLOOKUP(FC$72,INDIRECT($C$5&amp;"生成成长"),5))*(VLOOKUP($B$5,标准坦克设计!$B$24:$U$30,MATCH("对"&amp;LEFT($C$5,2)&amp;"输出",标准坦克设计!$B$23:$U$23,0)))*(VLOOKUP($B160,INDIRECT($B$5&amp;"生成成长"),3))*(VLOOKUP($B$5,标准坦克设计!$B$14:$K$20,9)/30))</f>
        <v>10.755726429137155</v>
      </c>
      <c r="FD160" s="172">
        <f ca="1">(VLOOKUP(FD$72,INDIRECT($C$5&amp;"生成成长"),2))/((VLOOKUP($B160,INDIRECT($B$5&amp;"生成成长"),4))/(VLOOKUP(FD$72,INDIRECT($C$5&amp;"生成成长"),5))*(VLOOKUP($B$5,标准坦克设计!$B$24:$U$30,MATCH("对"&amp;LEFT($C$5,2)&amp;"输出",标准坦克设计!$B$23:$U$23,0)))*(VLOOKUP($B160,INDIRECT($B$5&amp;"生成成长"),3))*(VLOOKUP($B$5,标准坦克设计!$B$14:$K$20,9)/30))</f>
        <v>11.387439142748736</v>
      </c>
      <c r="FE160" s="172">
        <f ca="1">(VLOOKUP(FE$72,INDIRECT($C$5&amp;"生成成长"),2))/((VLOOKUP($B160,INDIRECT($B$5&amp;"生成成长"),4))/(VLOOKUP(FE$72,INDIRECT($C$5&amp;"生成成长"),5))*(VLOOKUP($B$5,标准坦克设计!$B$24:$U$30,MATCH("对"&amp;LEFT($C$5,2)&amp;"输出",标准坦克设计!$B$23:$U$23,0)))*(VLOOKUP($B160,INDIRECT($B$5&amp;"生成成长"),3))*(VLOOKUP($B$5,标准坦克设计!$B$14:$K$20,9)/30))</f>
        <v>12.157248233088987</v>
      </c>
      <c r="FF160" s="172">
        <f ca="1">(VLOOKUP(FF$72,INDIRECT($C$5&amp;"生成成长"),2))/((VLOOKUP($B160,INDIRECT($B$5&amp;"生成成长"),4))/(VLOOKUP(FF$72,INDIRECT($C$5&amp;"生成成长"),5))*(VLOOKUP($B$5,标准坦克设计!$B$24:$U$30,MATCH("对"&amp;LEFT($C$5,2)&amp;"输出",标准坦克设计!$B$23:$U$23,0)))*(VLOOKUP($B160,INDIRECT($B$5&amp;"生成成长"),3))*(VLOOKUP($B$5,标准坦克设计!$B$14:$K$20,9)/30))</f>
        <v>12.952233469779992</v>
      </c>
      <c r="FG160" s="172">
        <f ca="1">(VLOOKUP(FG$72,INDIRECT($C$5&amp;"生成成长"),2))/((VLOOKUP($B160,INDIRECT($B$5&amp;"生成成长"),4))/(VLOOKUP(FG$72,INDIRECT($C$5&amp;"生成成长"),5))*(VLOOKUP($B$5,标准坦克设计!$B$24:$U$30,MATCH("对"&amp;LEFT($C$5,2)&amp;"输出",标准坦克设计!$B$23:$U$23,0)))*(VLOOKUP($B160,INDIRECT($B$5&amp;"生成成长"),3))*(VLOOKUP($B$5,标准坦克设计!$B$14:$K$20,9)/30))</f>
        <v>13.772394852821746</v>
      </c>
      <c r="FH160" s="172">
        <f ca="1">(VLOOKUP(FH$72,INDIRECT($C$5&amp;"生成成长"),2))/((VLOOKUP($B160,INDIRECT($B$5&amp;"生成成长"),4))/(VLOOKUP(FH$72,INDIRECT($C$5&amp;"生成成长"),5))*(VLOOKUP($B$5,标准坦克设计!$B$24:$U$30,MATCH("对"&amp;LEFT($C$5,2)&amp;"输出",标准坦克设计!$B$23:$U$23,0)))*(VLOOKUP($B160,INDIRECT($B$5&amp;"生成成长"),3))*(VLOOKUP($B$5,标准坦克设计!$B$14:$K$20,9)/30))</f>
        <v>14.617732382214252</v>
      </c>
      <c r="FI160" s="172">
        <f ca="1">(VLOOKUP(FI$72,INDIRECT($C$5&amp;"生成成长"),2))/((VLOOKUP($B160,INDIRECT($B$5&amp;"生成成长"),4))/(VLOOKUP(FI$72,INDIRECT($C$5&amp;"生成成长"),5))*(VLOOKUP($B$5,标准坦克设计!$B$24:$U$30,MATCH("对"&amp;LEFT($C$5,2)&amp;"输出",标准坦克设计!$B$23:$U$23,0)))*(VLOOKUP($B160,INDIRECT($B$5&amp;"生成成长"),3))*(VLOOKUP($B$5,标准坦克设计!$B$14:$K$20,9)/30))</f>
        <v>15.488246057957504</v>
      </c>
      <c r="FJ160" s="172">
        <f ca="1">(VLOOKUP(FJ$72,INDIRECT($C$5&amp;"生成成长"),2))/((VLOOKUP($B160,INDIRECT($B$5&amp;"生成成长"),4))/(VLOOKUP(FJ$72,INDIRECT($C$5&amp;"生成成长"),5))*(VLOOKUP($B$5,标准坦克设计!$B$24:$U$30,MATCH("对"&amp;LEFT($C$5,2)&amp;"输出",标准坦克设计!$B$23:$U$23,0)))*(VLOOKUP($B160,INDIRECT($B$5&amp;"生成成长"),3))*(VLOOKUP($B$5,标准坦克设计!$B$14:$K$20,9)/30))</f>
        <v>16.383935880051506</v>
      </c>
      <c r="FK160" s="172">
        <f ca="1">(VLOOKUP(FK$72,INDIRECT($C$5&amp;"生成成长"),2))/((VLOOKUP($B160,INDIRECT($B$5&amp;"生成成长"),4))/(VLOOKUP(FK$72,INDIRECT($C$5&amp;"生成成长"),5))*(VLOOKUP($B$5,标准坦克设计!$B$24:$U$30,MATCH("对"&amp;LEFT($C$5,2)&amp;"输出",标准坦克设计!$B$23:$U$23,0)))*(VLOOKUP($B160,INDIRECT($B$5&amp;"生成成长"),3))*(VLOOKUP($B$5,标准坦克设计!$B$14:$K$20,9)/30))</f>
        <v>17.304801848496265</v>
      </c>
    </row>
    <row r="161" spans="1:167" x14ac:dyDescent="0.15">
      <c r="A161" s="170" t="str">
        <f t="shared" si="12"/>
        <v>T4中品质17级</v>
      </c>
      <c r="B161" s="171">
        <v>20417</v>
      </c>
      <c r="C161" s="172">
        <f ca="1">(VLOOKUP(C$72,INDIRECT($C$5&amp;"生成成长"),2))/((VLOOKUP($B161,INDIRECT($B$5&amp;"生成成长"),4))/(VLOOKUP(C$72,INDIRECT($C$5&amp;"生成成长"),5))*(VLOOKUP($B$5,标准坦克设计!$B$24:$U$30,MATCH("对"&amp;LEFT($C$5,2)&amp;"输出",标准坦克设计!$B$23:$U$23,0)))*(VLOOKUP($B161,INDIRECT($B$5&amp;"生成成长"),3))*(VLOOKUP($B$5,标准坦克设计!$B$14:$K$20,9)/30))</f>
        <v>0.70035670784071713</v>
      </c>
      <c r="D161" s="172">
        <f ca="1">(VLOOKUP(D$72,INDIRECT($C$5&amp;"生成成长"),2))/((VLOOKUP($B161,INDIRECT($B$5&amp;"生成成长"),4))/(VLOOKUP(D$72,INDIRECT($C$5&amp;"生成成长"),5))*(VLOOKUP($B$5,标准坦克设计!$B$24:$U$30,MATCH("对"&amp;LEFT($C$5,2)&amp;"输出",标准坦克设计!$B$23:$U$23,0)))*(VLOOKUP($B161,INDIRECT($B$5&amp;"生成成长"),3))*(VLOOKUP($B$5,标准坦克设计!$B$14:$K$20,9)/30))</f>
        <v>0.78692079692982975</v>
      </c>
      <c r="E161" s="172">
        <f ca="1">(VLOOKUP(E$72,INDIRECT($C$5&amp;"生成成长"),2))/((VLOOKUP($B161,INDIRECT($B$5&amp;"生成成长"),4))/(VLOOKUP(E$72,INDIRECT($C$5&amp;"生成成长"),5))*(VLOOKUP($B$5,标准坦克设计!$B$24:$U$30,MATCH("对"&amp;LEFT($C$5,2)&amp;"输出",标准坦克设计!$B$23:$U$23,0)))*(VLOOKUP($B161,INDIRECT($B$5&amp;"生成成长"),3))*(VLOOKUP($B$5,标准坦克设计!$B$14:$K$20,9)/30))</f>
        <v>0.87852745431539547</v>
      </c>
      <c r="F161" s="172">
        <f ca="1">(VLOOKUP(F$72,INDIRECT($C$5&amp;"生成成长"),2))/((VLOOKUP($B161,INDIRECT($B$5&amp;"生成成长"),4))/(VLOOKUP(F$72,INDIRECT($C$5&amp;"生成成长"),5))*(VLOOKUP($B$5,标准坦克设计!$B$24:$U$30,MATCH("对"&amp;LEFT($C$5,2)&amp;"输出",标准坦克设计!$B$23:$U$23,0)))*(VLOOKUP($B161,INDIRECT($B$5&amp;"生成成长"),3))*(VLOOKUP($B$5,标准坦克设计!$B$14:$K$20,9)/30))</f>
        <v>0.97517667999741453</v>
      </c>
      <c r="G161" s="172">
        <f ca="1">(VLOOKUP(G$72,INDIRECT($C$5&amp;"生成成长"),2))/((VLOOKUP($B161,INDIRECT($B$5&amp;"生成成长"),4))/(VLOOKUP(G$72,INDIRECT($C$5&amp;"生成成长"),5))*(VLOOKUP($B$5,标准坦克设计!$B$24:$U$30,MATCH("对"&amp;LEFT($C$5,2)&amp;"输出",标准坦克设计!$B$23:$U$23,0)))*(VLOOKUP($B161,INDIRECT($B$5&amp;"生成成长"),3))*(VLOOKUP($B$5,标准坦克设计!$B$14:$K$20,9)/30))</f>
        <v>1.0768684739758867</v>
      </c>
      <c r="H161" s="172">
        <f ca="1">(VLOOKUP(H$72,INDIRECT($C$5&amp;"生成成长"),2))/((VLOOKUP($B161,INDIRECT($B$5&amp;"生成成长"),4))/(VLOOKUP(H$72,INDIRECT($C$5&amp;"生成成长"),5))*(VLOOKUP($B$5,标准坦克设计!$B$24:$U$30,MATCH("对"&amp;LEFT($C$5,2)&amp;"输出",标准坦克设计!$B$23:$U$23,0)))*(VLOOKUP($B161,INDIRECT($B$5&amp;"生成成长"),3))*(VLOOKUP($B$5,标准坦克设计!$B$14:$K$20,9)/30))</f>
        <v>0.94239998607046893</v>
      </c>
      <c r="I161" s="172">
        <f ca="1">(VLOOKUP(I$72,INDIRECT($C$5&amp;"生成成长"),2))/((VLOOKUP($B161,INDIRECT($B$5&amp;"生成成长"),4))/(VLOOKUP(I$72,INDIRECT($C$5&amp;"生成成长"),5))*(VLOOKUP($B$5,标准坦克设计!$B$24:$U$30,MATCH("对"&amp;LEFT($C$5,2)&amp;"输出",标准坦克设计!$B$23:$U$23,0)))*(VLOOKUP($B161,INDIRECT($B$5&amp;"生成成长"),3))*(VLOOKUP($B$5,标准坦克设计!$B$14:$K$20,9)/30))</f>
        <v>1.0768684739758867</v>
      </c>
      <c r="J161" s="172">
        <f ca="1">(VLOOKUP(J$72,INDIRECT($C$5&amp;"生成成长"),2))/((VLOOKUP($B161,INDIRECT($B$5&amp;"生成成长"),4))/(VLOOKUP(J$72,INDIRECT($C$5&amp;"生成成长"),5))*(VLOOKUP($B$5,标准坦克设计!$B$24:$U$30,MATCH("对"&amp;LEFT($C$5,2)&amp;"输出",标准坦克设计!$B$23:$U$23,0)))*(VLOOKUP($B161,INDIRECT($B$5&amp;"生成成长"),3))*(VLOOKUP($B$5,标准坦克设计!$B$14:$K$20,9)/30))</f>
        <v>1.2203015277416656</v>
      </c>
      <c r="K161" s="172">
        <f ca="1">(VLOOKUP(K$72,INDIRECT($C$5&amp;"生成成长"),2))/((VLOOKUP($B161,INDIRECT($B$5&amp;"生成成长"),4))/(VLOOKUP(K$72,INDIRECT($C$5&amp;"生成成长"),5))*(VLOOKUP($B$5,标准坦克设计!$B$24:$U$30,MATCH("对"&amp;LEFT($C$5,2)&amp;"输出",标准坦克设计!$B$23:$U$23,0)))*(VLOOKUP($B161,INDIRECT($B$5&amp;"生成成长"),3))*(VLOOKUP($B$5,标准坦克设计!$B$14:$K$20,9)/30))</f>
        <v>1.3726991473678054</v>
      </c>
      <c r="L161" s="172">
        <f ca="1">(VLOOKUP(L$72,INDIRECT($C$5&amp;"生成成长"),2))/((VLOOKUP($B161,INDIRECT($B$5&amp;"生成成长"),4))/(VLOOKUP(L$72,INDIRECT($C$5&amp;"生成成长"),5))*(VLOOKUP($B$5,标准坦克设计!$B$24:$U$30,MATCH("对"&amp;LEFT($C$5,2)&amp;"输出",标准坦克设计!$B$23:$U$23,0)))*(VLOOKUP($B161,INDIRECT($B$5&amp;"生成成长"),3))*(VLOOKUP($B$5,标准坦克设计!$B$14:$K$20,9)/30))</f>
        <v>1.5340613328543067</v>
      </c>
      <c r="M161" s="172">
        <f ca="1">(VLOOKUP(M$72,INDIRECT($C$5&amp;"生成成长"),2))/((VLOOKUP($B161,INDIRECT($B$5&amp;"生成成长"),4))/(VLOOKUP(M$72,INDIRECT($C$5&amp;"生成成长"),5))*(VLOOKUP($B$5,标准坦克设计!$B$24:$U$30,MATCH("对"&amp;LEFT($C$5,2)&amp;"输出",标准坦克设计!$B$23:$U$23,0)))*(VLOOKUP($B161,INDIRECT($B$5&amp;"生成成长"),3))*(VLOOKUP($B$5,标准坦克设计!$B$14:$K$20,9)/30))</f>
        <v>1.7043880842011692</v>
      </c>
      <c r="N161" s="172">
        <f ca="1">(VLOOKUP(N$72,INDIRECT($C$5&amp;"生成成长"),2))/((VLOOKUP($B161,INDIRECT($B$5&amp;"生成成长"),4))/(VLOOKUP(N$72,INDIRECT($C$5&amp;"生成成长"),5))*(VLOOKUP($B$5,标准坦克设计!$B$24:$U$30,MATCH("对"&amp;LEFT($C$5,2)&amp;"输出",标准坦克设计!$B$23:$U$23,0)))*(VLOOKUP($B161,INDIRECT($B$5&amp;"生成成长"),3))*(VLOOKUP($B$5,标准坦克设计!$B$14:$K$20,9)/30))</f>
        <v>1.8836794014083926</v>
      </c>
      <c r="O161" s="172">
        <f ca="1">(VLOOKUP(O$72,INDIRECT($C$5&amp;"生成成长"),2))/((VLOOKUP($B161,INDIRECT($B$5&amp;"生成成长"),4))/(VLOOKUP(O$72,INDIRECT($C$5&amp;"生成成长"),5))*(VLOOKUP($B$5,标准坦克设计!$B$24:$U$30,MATCH("对"&amp;LEFT($C$5,2)&amp;"输出",标准坦克设计!$B$23:$U$23,0)))*(VLOOKUP($B161,INDIRECT($B$5&amp;"生成成长"),3))*(VLOOKUP($B$5,标准坦克设计!$B$14:$K$20,9)/30))</f>
        <v>1.4321594318634823</v>
      </c>
      <c r="P161" s="172">
        <f ca="1">(VLOOKUP(P$72,INDIRECT($C$5&amp;"生成成长"),2))/((VLOOKUP($B161,INDIRECT($B$5&amp;"生成成长"),4))/(VLOOKUP(P$72,INDIRECT($C$5&amp;"生成成长"),5))*(VLOOKUP($B$5,标准坦克设计!$B$24:$U$30,MATCH("对"&amp;LEFT($C$5,2)&amp;"输出",标准坦克设计!$B$23:$U$23,0)))*(VLOOKUP($B161,INDIRECT($B$5&amp;"生成成长"),3))*(VLOOKUP($B$5,标准坦克设计!$B$14:$K$20,9)/30))</f>
        <v>1.6181041377951928</v>
      </c>
      <c r="Q161" s="172">
        <f ca="1">(VLOOKUP(Q$72,INDIRECT($C$5&amp;"生成成长"),2))/((VLOOKUP($B161,INDIRECT($B$5&amp;"生成成长"),4))/(VLOOKUP(Q$72,INDIRECT($C$5&amp;"生成成长"),5))*(VLOOKUP($B$5,标准坦克设计!$B$24:$U$30,MATCH("对"&amp;LEFT($C$5,2)&amp;"输出",标准坦克设计!$B$23:$U$23,0)))*(VLOOKUP($B161,INDIRECT($B$5&amp;"生成成长"),3))*(VLOOKUP($B$5,标准坦克设计!$B$14:$K$20,9)/30))</f>
        <v>1.8153946223939228</v>
      </c>
      <c r="R161" s="172">
        <f ca="1">(VLOOKUP(R$72,INDIRECT($C$5&amp;"生成成长"),2))/((VLOOKUP($B161,INDIRECT($B$5&amp;"生成成长"),4))/(VLOOKUP(R$72,INDIRECT($C$5&amp;"生成成长"),5))*(VLOOKUP($B$5,标准坦克设计!$B$24:$U$30,MATCH("对"&amp;LEFT($C$5,2)&amp;"输出",标准坦克设计!$B$23:$U$23,0)))*(VLOOKUP($B161,INDIRECT($B$5&amp;"生成成长"),3))*(VLOOKUP($B$5,标准坦克设计!$B$14:$K$20,9)/30))</f>
        <v>2.024030885659672</v>
      </c>
      <c r="S161" s="172">
        <f ca="1">(VLOOKUP(S$72,INDIRECT($C$5&amp;"生成成长"),2))/((VLOOKUP($B161,INDIRECT($B$5&amp;"生成成长"),4))/(VLOOKUP(S$72,INDIRECT($C$5&amp;"生成成长"),5))*(VLOOKUP($B$5,标准坦克设计!$B$24:$U$30,MATCH("对"&amp;LEFT($C$5,2)&amp;"输出",标准坦克设计!$B$23:$U$23,0)))*(VLOOKUP($B161,INDIRECT($B$5&amp;"生成成长"),3))*(VLOOKUP($B$5,标准坦克设计!$B$14:$K$20,9)/30))</f>
        <v>2.2440129275924421</v>
      </c>
      <c r="T161" s="172">
        <f ca="1">(VLOOKUP(T$72,INDIRECT($C$5&amp;"生成成长"),2))/((VLOOKUP($B161,INDIRECT($B$5&amp;"生成成长"),4))/(VLOOKUP(T$72,INDIRECT($C$5&amp;"生成成长"),5))*(VLOOKUP($B$5,标准坦克设计!$B$24:$U$30,MATCH("对"&amp;LEFT($C$5,2)&amp;"输出",标准坦克设计!$B$23:$U$23,0)))*(VLOOKUP($B161,INDIRECT($B$5&amp;"生成成长"),3))*(VLOOKUP($B$5,标准坦克设计!$B$14:$K$20,9)/30))</f>
        <v>2.4753407481922305</v>
      </c>
      <c r="U161" s="172">
        <f ca="1">(VLOOKUP(U$72,INDIRECT($C$5&amp;"生成成长"),2))/((VLOOKUP($B161,INDIRECT($B$5&amp;"生成成长"),4))/(VLOOKUP(U$72,INDIRECT($C$5&amp;"生成成长"),5))*(VLOOKUP($B$5,标准坦克设计!$B$24:$U$30,MATCH("对"&amp;LEFT($C$5,2)&amp;"输出",标准坦克设计!$B$23:$U$23,0)))*(VLOOKUP($B161,INDIRECT($B$5&amp;"生成成长"),3))*(VLOOKUP($B$5,标准坦克设计!$B$14:$K$20,9)/30))</f>
        <v>2.7180143474590395</v>
      </c>
      <c r="V161" s="172">
        <f ca="1">(VLOOKUP(V$72,INDIRECT($C$5&amp;"生成成长"),2))/((VLOOKUP($B161,INDIRECT($B$5&amp;"生成成长"),4))/(VLOOKUP(V$72,INDIRECT($C$5&amp;"生成成长"),5))*(VLOOKUP($B$5,标准坦克设计!$B$24:$U$30,MATCH("对"&amp;LEFT($C$5,2)&amp;"输出",标准坦克设计!$B$23:$U$23,0)))*(VLOOKUP($B161,INDIRECT($B$5&amp;"生成成长"),3))*(VLOOKUP($B$5,标准坦克设计!$B$14:$K$20,9)/30))</f>
        <v>2.9720337253928668</v>
      </c>
      <c r="W161" s="172">
        <f ca="1">(VLOOKUP(W$72,INDIRECT($C$5&amp;"生成成长"),2))/((VLOOKUP($B161,INDIRECT($B$5&amp;"生成成长"),4))/(VLOOKUP(W$72,INDIRECT($C$5&amp;"生成成长"),5))*(VLOOKUP($B$5,标准坦克设计!$B$24:$U$30,MATCH("对"&amp;LEFT($C$5,2)&amp;"输出",标准坦克设计!$B$23:$U$23,0)))*(VLOOKUP($B161,INDIRECT($B$5&amp;"生成成长"),3))*(VLOOKUP($B$5,标准坦克设计!$B$14:$K$20,9)/30))</f>
        <v>3.2373988819937147</v>
      </c>
      <c r="X161" s="172">
        <f ca="1">(VLOOKUP(X$72,INDIRECT($C$5&amp;"生成成长"),2))/((VLOOKUP($B161,INDIRECT($B$5&amp;"生成成长"),4))/(VLOOKUP(X$72,INDIRECT($C$5&amp;"生成成长"),5))*(VLOOKUP($B$5,标准坦克设计!$B$24:$U$30,MATCH("对"&amp;LEFT($C$5,2)&amp;"输出",标准坦克设计!$B$23:$U$23,0)))*(VLOOKUP($B161,INDIRECT($B$5&amp;"生成成长"),3))*(VLOOKUP($B$5,标准坦克设计!$B$14:$K$20,9)/30))</f>
        <v>2.3454245788877777</v>
      </c>
      <c r="Y161" s="172">
        <f ca="1">(VLOOKUP(Y$72,INDIRECT($C$5&amp;"生成成长"),2))/((VLOOKUP($B161,INDIRECT($B$5&amp;"生成成长"),4))/(VLOOKUP(Y$72,INDIRECT($C$5&amp;"生成成长"),5))*(VLOOKUP($B$5,标准坦克设计!$B$24:$U$30,MATCH("对"&amp;LEFT($C$5,2)&amp;"输出",标准坦克设计!$B$23:$U$23,0)))*(VLOOKUP($B161,INDIRECT($B$5&amp;"生成成长"),3))*(VLOOKUP($B$5,标准坦克设计!$B$14:$K$20,9)/30))</f>
        <v>2.608758701035887</v>
      </c>
      <c r="Z161" s="172">
        <f ca="1">(VLOOKUP(Z$72,INDIRECT($C$5&amp;"生成成长"),2))/((VLOOKUP($B161,INDIRECT($B$5&amp;"生成成长"),4))/(VLOOKUP(Z$72,INDIRECT($C$5&amp;"生成成长"),5))*(VLOOKUP($B$5,标准坦克设计!$B$24:$U$30,MATCH("对"&amp;LEFT($C$5,2)&amp;"输出",标准坦克设计!$B$23:$U$23,0)))*(VLOOKUP($B161,INDIRECT($B$5&amp;"生成成长"),3))*(VLOOKUP($B$5,标准坦克设计!$B$14:$K$20,9)/30))</f>
        <v>2.8860999573408113</v>
      </c>
      <c r="AA161" s="172">
        <f ca="1">(VLOOKUP(AA$72,INDIRECT($C$5&amp;"生成成长"),2))/((VLOOKUP($B161,INDIRECT($B$5&amp;"生成成长"),4))/(VLOOKUP(AA$72,INDIRECT($C$5&amp;"生成成长"),5))*(VLOOKUP($B$5,标准坦克设计!$B$24:$U$30,MATCH("对"&amp;LEFT($C$5,2)&amp;"输出",标准坦克设计!$B$23:$U$23,0)))*(VLOOKUP($B161,INDIRECT($B$5&amp;"生成成长"),3))*(VLOOKUP($B$5,标准坦克设计!$B$14:$K$20,9)/30))</f>
        <v>3.177448347802549</v>
      </c>
      <c r="AB161" s="172">
        <f ca="1">(VLOOKUP(AB$72,INDIRECT($C$5&amp;"生成成长"),2))/((VLOOKUP($B161,INDIRECT($B$5&amp;"生成成长"),4))/(VLOOKUP(AB$72,INDIRECT($C$5&amp;"生成成长"),5))*(VLOOKUP($B$5,标准坦克设计!$B$24:$U$30,MATCH("对"&amp;LEFT($C$5,2)&amp;"输出",标准坦克设计!$B$23:$U$23,0)))*(VLOOKUP($B161,INDIRECT($B$5&amp;"生成成长"),3))*(VLOOKUP($B$5,标准坦克设计!$B$14:$K$20,9)/30))</f>
        <v>3.4828038724211026</v>
      </c>
      <c r="AC161" s="172">
        <f ca="1">(VLOOKUP(AC$72,INDIRECT($C$5&amp;"生成成长"),2))/((VLOOKUP($B161,INDIRECT($B$5&amp;"生成成长"),4))/(VLOOKUP(AC$72,INDIRECT($C$5&amp;"生成成长"),5))*(VLOOKUP($B$5,标准坦克设计!$B$24:$U$30,MATCH("对"&amp;LEFT($C$5,2)&amp;"输出",标准坦克设计!$B$23:$U$23,0)))*(VLOOKUP($B161,INDIRECT($B$5&amp;"生成成长"),3))*(VLOOKUP($B$5,标准坦克设计!$B$14:$K$20,9)/30))</f>
        <v>3.8021665311964687</v>
      </c>
      <c r="AD161" s="172">
        <f ca="1">(VLOOKUP(AD$72,INDIRECT($C$5&amp;"生成成长"),2))/((VLOOKUP($B161,INDIRECT($B$5&amp;"生成成长"),4))/(VLOOKUP(AD$72,INDIRECT($C$5&amp;"生成成长"),5))*(VLOOKUP($B$5,标准坦克设计!$B$24:$U$30,MATCH("对"&amp;LEFT($C$5,2)&amp;"输出",标准坦克设计!$B$23:$U$23,0)))*(VLOOKUP($B161,INDIRECT($B$5&amp;"生成成长"),3))*(VLOOKUP($B$5,标准坦克设计!$B$14:$K$20,9)/30))</f>
        <v>4.1355363241286502</v>
      </c>
      <c r="AE161" s="172">
        <f ca="1">(VLOOKUP(AE$72,INDIRECT($C$5&amp;"生成成长"),2))/((VLOOKUP($B161,INDIRECT($B$5&amp;"生成成长"),4))/(VLOOKUP(AE$72,INDIRECT($C$5&amp;"生成成长"),5))*(VLOOKUP($B$5,标准坦克设计!$B$24:$U$30,MATCH("对"&amp;LEFT($C$5,2)&amp;"输出",标准坦克设计!$B$23:$U$23,0)))*(VLOOKUP($B161,INDIRECT($B$5&amp;"生成成长"),3))*(VLOOKUP($B$5,标准坦克设计!$B$14:$K$20,9)/30))</f>
        <v>4.4829132512176475</v>
      </c>
      <c r="AF161" s="172">
        <f ca="1">(VLOOKUP(AF$72,INDIRECT($C$5&amp;"生成成长"),2))/((VLOOKUP($B161,INDIRECT($B$5&amp;"生成成长"),4))/(VLOOKUP(AF$72,INDIRECT($C$5&amp;"生成成长"),5))*(VLOOKUP($B$5,标准坦克设计!$B$24:$U$30,MATCH("对"&amp;LEFT($C$5,2)&amp;"输出",标准坦克设计!$B$23:$U$23,0)))*(VLOOKUP($B161,INDIRECT($B$5&amp;"生成成长"),3))*(VLOOKUP($B$5,标准坦克设计!$B$14:$K$20,9)/30))</f>
        <v>4.8442973124634561</v>
      </c>
      <c r="AG161" s="172">
        <f ca="1">(VLOOKUP(AG$72,INDIRECT($C$5&amp;"生成成长"),2))/((VLOOKUP($B161,INDIRECT($B$5&amp;"生成成长"),4))/(VLOOKUP(AG$72,INDIRECT($C$5&amp;"生成成长"),5))*(VLOOKUP($B$5,标准坦克设计!$B$24:$U$30,MATCH("对"&amp;LEFT($C$5,2)&amp;"输出",标准坦克设计!$B$23:$U$23,0)))*(VLOOKUP($B161,INDIRECT($B$5&amp;"生成成长"),3))*(VLOOKUP($B$5,标准坦克设计!$B$14:$K$20,9)/30))</f>
        <v>5.2196885078660804</v>
      </c>
      <c r="AH161" s="172">
        <f ca="1">(VLOOKUP(AH$72,INDIRECT($C$5&amp;"生成成长"),2))/((VLOOKUP($B161,INDIRECT($B$5&amp;"生成成长"),4))/(VLOOKUP(AH$72,INDIRECT($C$5&amp;"生成成长"),5))*(VLOOKUP($B$5,标准坦克设计!$B$24:$U$30,MATCH("对"&amp;LEFT($C$5,2)&amp;"输出",标准坦克设计!$B$23:$U$23,0)))*(VLOOKUP($B161,INDIRECT($B$5&amp;"生成成长"),3))*(VLOOKUP($B$5,标准坦克设计!$B$14:$K$20,9)/30))</f>
        <v>5.6090868374255196</v>
      </c>
      <c r="AI161" s="172">
        <f ca="1">(VLOOKUP(AI$72,INDIRECT($C$5&amp;"生成成长"),2))/((VLOOKUP($B161,INDIRECT($B$5&amp;"生成成长"),4))/(VLOOKUP(AI$72,INDIRECT($C$5&amp;"生成成长"),5))*(VLOOKUP($B$5,标准坦克设计!$B$24:$U$30,MATCH("对"&amp;LEFT($C$5,2)&amp;"输出",标准坦克设计!$B$23:$U$23,0)))*(VLOOKUP($B161,INDIRECT($B$5&amp;"生成成长"),3))*(VLOOKUP($B$5,标准坦克设计!$B$14:$K$20,9)/30))</f>
        <v>3.9671005358929579</v>
      </c>
      <c r="AJ161" s="172">
        <f ca="1">(VLOOKUP(AJ$72,INDIRECT($C$5&amp;"生成成长"),2))/((VLOOKUP($B161,INDIRECT($B$5&amp;"生成成长"),4))/(VLOOKUP(AJ$72,INDIRECT($C$5&amp;"生成成长"),5))*(VLOOKUP($B$5,标准坦克设计!$B$24:$U$30,MATCH("对"&amp;LEFT($C$5,2)&amp;"输出",标准坦克设计!$B$23:$U$23,0)))*(VLOOKUP($B161,INDIRECT($B$5&amp;"生成成长"),3))*(VLOOKUP($B$5,标准坦克设计!$B$14:$K$20,9)/30))</f>
        <v>4.3422816242832303</v>
      </c>
      <c r="AK161" s="172">
        <f ca="1">(VLOOKUP(AK$72,INDIRECT($C$5&amp;"生成成长"),2))/((VLOOKUP($B161,INDIRECT($B$5&amp;"生成成长"),4))/(VLOOKUP(AK$72,INDIRECT($C$5&amp;"生成成长"),5))*(VLOOKUP($B$5,标准坦克设计!$B$24:$U$30,MATCH("对"&amp;LEFT($C$5,2)&amp;"输出",标准坦克设计!$B$23:$U$23,0)))*(VLOOKUP($B161,INDIRECT($B$5&amp;"生成成长"),3))*(VLOOKUP($B$5,标准坦克设计!$B$14:$K$20,9)/30))</f>
        <v>4.7344113450032479</v>
      </c>
      <c r="AL161" s="172">
        <f ca="1">(VLOOKUP(AL$72,INDIRECT($C$5&amp;"生成成长"),2))/((VLOOKUP($B161,INDIRECT($B$5&amp;"生成成长"),4))/(VLOOKUP(AL$72,INDIRECT($C$5&amp;"生成成长"),5))*(VLOOKUP($B$5,标准坦克设计!$B$24:$U$30,MATCH("对"&amp;LEFT($C$5,2)&amp;"输出",标准坦克设计!$B$23:$U$23,0)))*(VLOOKUP($B161,INDIRECT($B$5&amp;"生成成长"),3))*(VLOOKUP($B$5,标准坦克设计!$B$14:$K$20,9)/30))</f>
        <v>5.1434896980530107</v>
      </c>
      <c r="AM161" s="172">
        <f ca="1">(VLOOKUP(AM$72,INDIRECT($C$5&amp;"生成成长"),2))/((VLOOKUP($B161,INDIRECT($B$5&amp;"生成成长"),4))/(VLOOKUP(AM$72,INDIRECT($C$5&amp;"生成成长"),5))*(VLOOKUP($B$5,标准坦克设计!$B$24:$U$30,MATCH("对"&amp;LEFT($C$5,2)&amp;"输出",标准坦克设计!$B$23:$U$23,0)))*(VLOOKUP($B161,INDIRECT($B$5&amp;"生成成长"),3))*(VLOOKUP($B$5,标准坦克设计!$B$14:$K$20,9)/30))</f>
        <v>5.5695166834325187</v>
      </c>
      <c r="AN161" s="172">
        <f ca="1">(VLOOKUP(AN$72,INDIRECT($C$5&amp;"生成成长"),2))/((VLOOKUP($B161,INDIRECT($B$5&amp;"生成成长"),4))/(VLOOKUP(AN$72,INDIRECT($C$5&amp;"生成成长"),5))*(VLOOKUP($B$5,标准坦克设计!$B$24:$U$30,MATCH("对"&amp;LEFT($C$5,2)&amp;"输出",标准坦克设计!$B$23:$U$23,0)))*(VLOOKUP($B161,INDIRECT($B$5&amp;"生成成长"),3))*(VLOOKUP($B$5,标准坦克设计!$B$14:$K$20,9)/30))</f>
        <v>6.012492301141771</v>
      </c>
      <c r="AO161" s="172">
        <f ca="1">(VLOOKUP(AO$72,INDIRECT($C$5&amp;"生成成长"),2))/((VLOOKUP($B161,INDIRECT($B$5&amp;"生成成长"),4))/(VLOOKUP(AO$72,INDIRECT($C$5&amp;"生成成长"),5))*(VLOOKUP($B$5,标准坦克设计!$B$24:$U$30,MATCH("对"&amp;LEFT($C$5,2)&amp;"输出",标准坦克设计!$B$23:$U$23,0)))*(VLOOKUP($B161,INDIRECT($B$5&amp;"生成成长"),3))*(VLOOKUP($B$5,标准坦克设计!$B$14:$K$20,9)/30))</f>
        <v>6.4724165511807712</v>
      </c>
      <c r="AP161" s="172">
        <f ca="1">(VLOOKUP(AP$72,INDIRECT($C$5&amp;"生成成长"),2))/((VLOOKUP($B161,INDIRECT($B$5&amp;"生成成长"),4))/(VLOOKUP(AP$72,INDIRECT($C$5&amp;"生成成长"),5))*(VLOOKUP($B$5,标准坦克设计!$B$24:$U$30,MATCH("对"&amp;LEFT($C$5,2)&amp;"输出",标准坦克设计!$B$23:$U$23,0)))*(VLOOKUP($B161,INDIRECT($B$5&amp;"生成成长"),3))*(VLOOKUP($B$5,标准坦克设计!$B$14:$K$20,9)/30))</f>
        <v>6.9492894335495157</v>
      </c>
      <c r="AQ161" s="172">
        <f ca="1">(VLOOKUP(AQ$72,INDIRECT($C$5&amp;"生成成长"),2))/((VLOOKUP($B161,INDIRECT($B$5&amp;"生成成长"),4))/(VLOOKUP(AQ$72,INDIRECT($C$5&amp;"生成成长"),5))*(VLOOKUP($B$5,标准坦克设计!$B$24:$U$30,MATCH("对"&amp;LEFT($C$5,2)&amp;"输出",标准坦克设计!$B$23:$U$23,0)))*(VLOOKUP($B161,INDIRECT($B$5&amp;"生成成长"),3))*(VLOOKUP($B$5,标准坦克设计!$B$14:$K$20,9)/30))</f>
        <v>7.4431109482480053</v>
      </c>
      <c r="AR161" s="172">
        <f ca="1">(VLOOKUP(AR$72,INDIRECT($C$5&amp;"生成成长"),2))/((VLOOKUP($B161,INDIRECT($B$5&amp;"生成成长"),4))/(VLOOKUP(AR$72,INDIRECT($C$5&amp;"生成成长"),5))*(VLOOKUP($B$5,标准坦克设计!$B$24:$U$30,MATCH("对"&amp;LEFT($C$5,2)&amp;"输出",标准坦克设计!$B$23:$U$23,0)))*(VLOOKUP($B161,INDIRECT($B$5&amp;"生成成长"),3))*(VLOOKUP($B$5,标准坦克设计!$B$14:$K$20,9)/30))</f>
        <v>7.9538810952762402</v>
      </c>
      <c r="AS161" s="172">
        <f ca="1">(VLOOKUP(AS$72,INDIRECT($C$5&amp;"生成成长"),2))/((VLOOKUP($B161,INDIRECT($B$5&amp;"生成成长"),4))/(VLOOKUP(AS$72,INDIRECT($C$5&amp;"生成成长"),5))*(VLOOKUP($B$5,标准坦克设计!$B$24:$U$30,MATCH("对"&amp;LEFT($C$5,2)&amp;"输出",标准坦克设计!$B$23:$U$23,0)))*(VLOOKUP($B161,INDIRECT($B$5&amp;"生成成长"),3))*(VLOOKUP($B$5,标准坦克设计!$B$14:$K$20,9)/30))</f>
        <v>8.4815998746342203</v>
      </c>
      <c r="AT161" s="172">
        <f ca="1">(VLOOKUP(AT$72,INDIRECT($C$5&amp;"生成成长"),2))/((VLOOKUP($B161,INDIRECT($B$5&amp;"生成成长"),4))/(VLOOKUP(AT$72,INDIRECT($C$5&amp;"生成成长"),5))*(VLOOKUP($B$5,标准坦克设计!$B$24:$U$30,MATCH("对"&amp;LEFT($C$5,2)&amp;"输出",标准坦克设计!$B$23:$U$23,0)))*(VLOOKUP($B161,INDIRECT($B$5&amp;"生成成长"),3))*(VLOOKUP($B$5,标准坦克设计!$B$14:$K$20,9)/30))</f>
        <v>9.0262672863219464</v>
      </c>
      <c r="AU161" s="172">
        <f ca="1">(VLOOKUP(AU$72,INDIRECT($C$5&amp;"生成成长"),2))/((VLOOKUP($B161,INDIRECT($B$5&amp;"生成成长"),4))/(VLOOKUP(AU$72,INDIRECT($C$5&amp;"生成成长"),5))*(VLOOKUP($B$5,标准坦克设计!$B$24:$U$30,MATCH("对"&amp;LEFT($C$5,2)&amp;"输出",标准坦克设计!$B$23:$U$23,0)))*(VLOOKUP($B161,INDIRECT($B$5&amp;"生成成长"),3))*(VLOOKUP($B$5,标准坦克设计!$B$14:$K$20,9)/30))</f>
        <v>9.5878833303394178</v>
      </c>
      <c r="AV161" s="172">
        <f ca="1">(VLOOKUP(AV$72,INDIRECT($C$5&amp;"生成成长"),2))/((VLOOKUP($B161,INDIRECT($B$5&amp;"生成成长"),4))/(VLOOKUP(AV$72,INDIRECT($C$5&amp;"生成成长"),5))*(VLOOKUP($B$5,标准坦克设计!$B$24:$U$30,MATCH("对"&amp;LEFT($C$5,2)&amp;"输出",标准坦克设计!$B$23:$U$23,0)))*(VLOOKUP($B161,INDIRECT($B$5&amp;"生成成长"),3))*(VLOOKUP($B$5,标准坦克设计!$B$14:$K$20,9)/30))</f>
        <v>0.97517667999741453</v>
      </c>
      <c r="AW161" s="172">
        <f ca="1">(VLOOKUP(AW$72,INDIRECT($C$5&amp;"生成成长"),2))/((VLOOKUP($B161,INDIRECT($B$5&amp;"生成成长"),4))/(VLOOKUP(AW$72,INDIRECT($C$5&amp;"生成成长"),5))*(VLOOKUP($B$5,标准坦克设计!$B$24:$U$30,MATCH("对"&amp;LEFT($C$5,2)&amp;"输出",标准坦克设计!$B$23:$U$23,0)))*(VLOOKUP($B161,INDIRECT($B$5&amp;"生成成长"),3))*(VLOOKUP($B$5,标准坦克设计!$B$14:$K$20,9)/30))</f>
        <v>1.1118863093679225</v>
      </c>
      <c r="AX161" s="172">
        <f ca="1">(VLOOKUP(AX$72,INDIRECT($C$5&amp;"生成成长"),2))/((VLOOKUP($B161,INDIRECT($B$5&amp;"生成成长"),4))/(VLOOKUP(AX$72,INDIRECT($C$5&amp;"生成成长"),5))*(VLOOKUP($B$5,标准坦克设计!$B$24:$U$30,MATCH("对"&amp;LEFT($C$5,2)&amp;"输出",标准坦克设计!$B$23:$U$23,0)))*(VLOOKUP($B161,INDIRECT($B$5&amp;"生成成长"),3))*(VLOOKUP($B$5,标准坦克设计!$B$14:$K$20,9)/30))</f>
        <v>1.2575605045987914</v>
      </c>
      <c r="AY161" s="172">
        <f ca="1">(VLOOKUP(AY$72,INDIRECT($C$5&amp;"生成成长"),2))/((VLOOKUP($B161,INDIRECT($B$5&amp;"生成成长"),4))/(VLOOKUP(AY$72,INDIRECT($C$5&amp;"生成成长"),5))*(VLOOKUP($B$5,标准坦克设计!$B$24:$U$30,MATCH("对"&amp;LEFT($C$5,2)&amp;"输出",标准坦克设计!$B$23:$U$23,0)))*(VLOOKUP($B161,INDIRECT($B$5&amp;"生成成长"),3))*(VLOOKUP($B$5,标准坦克设计!$B$14:$K$20,9)/30))</f>
        <v>1.4121992656900222</v>
      </c>
      <c r="AZ161" s="172">
        <f ca="1">(VLOOKUP(AZ$72,INDIRECT($C$5&amp;"生成成长"),2))/((VLOOKUP($B161,INDIRECT($B$5&amp;"生成成长"),4))/(VLOOKUP(AZ$72,INDIRECT($C$5&amp;"生成成长"),5))*(VLOOKUP($B$5,标准坦克设计!$B$24:$U$30,MATCH("对"&amp;LEFT($C$5,2)&amp;"输出",标准坦克设计!$B$23:$U$23,0)))*(VLOOKUP($B161,INDIRECT($B$5&amp;"生成成长"),3))*(VLOOKUP($B$5,标准坦克设计!$B$14:$K$20,9)/30))</f>
        <v>1.5758025926416135</v>
      </c>
      <c r="BA161" s="172">
        <f ca="1">(VLOOKUP(BA$72,INDIRECT($C$5&amp;"生成成长"),2))/((VLOOKUP($B161,INDIRECT($B$5&amp;"生成成长"),4))/(VLOOKUP(BA$72,INDIRECT($C$5&amp;"生成成长"),5))*(VLOOKUP($B$5,标准坦克设计!$B$24:$U$30,MATCH("对"&amp;LEFT($C$5,2)&amp;"输出",标准坦克设计!$B$23:$U$23,0)))*(VLOOKUP($B161,INDIRECT($B$5&amp;"生成成长"),3))*(VLOOKUP($B$5,标准坦克设计!$B$14:$K$20,9)/30))</f>
        <v>1.748370485453566</v>
      </c>
      <c r="BB161" s="172">
        <f ca="1">(VLOOKUP(BB$72,INDIRECT($C$5&amp;"生成成长"),2))/((VLOOKUP($B161,INDIRECT($B$5&amp;"生成成长"),4))/(VLOOKUP(BB$72,INDIRECT($C$5&amp;"生成成长"),5))*(VLOOKUP($B$5,标准坦克设计!$B$24:$U$30,MATCH("对"&amp;LEFT($C$5,2)&amp;"输出",标准坦克设计!$B$23:$U$23,0)))*(VLOOKUP($B161,INDIRECT($B$5&amp;"生成成长"),3))*(VLOOKUP($B$5,标准坦克设计!$B$14:$K$20,9)/30))</f>
        <v>1.9299029441258797</v>
      </c>
      <c r="BC161" s="172">
        <f ca="1">(VLOOKUP(BC$72,INDIRECT($C$5&amp;"生成成长"),2))/((VLOOKUP($B161,INDIRECT($B$5&amp;"生成成长"),4))/(VLOOKUP(BC$72,INDIRECT($C$5&amp;"生成成长"),5))*(VLOOKUP($B$5,标准坦克设计!$B$24:$U$30,MATCH("对"&amp;LEFT($C$5,2)&amp;"输出",标准坦克设计!$B$23:$U$23,0)))*(VLOOKUP($B161,INDIRECT($B$5&amp;"生成成长"),3))*(VLOOKUP($B$5,标准坦克设计!$B$14:$K$20,9)/30))</f>
        <v>2.1203999686585551</v>
      </c>
      <c r="BD161" s="172">
        <f ca="1">(VLOOKUP(BD$72,INDIRECT($C$5&amp;"生成成长"),2))/((VLOOKUP($B161,INDIRECT($B$5&amp;"生成成长"),4))/(VLOOKUP(BD$72,INDIRECT($C$5&amp;"生成成长"),5))*(VLOOKUP($B$5,标准坦克设计!$B$24:$U$30,MATCH("对"&amp;LEFT($C$5,2)&amp;"输出",标准坦克设计!$B$23:$U$23,0)))*(VLOOKUP($B161,INDIRECT($B$5&amp;"生成成长"),3))*(VLOOKUP($B$5,标准坦克设计!$B$14:$K$20,9)/30))</f>
        <v>2.3454245788877777</v>
      </c>
      <c r="BE161" s="172">
        <f ca="1">(VLOOKUP(BE$72,INDIRECT($C$5&amp;"生成成长"),2))/((VLOOKUP($B161,INDIRECT($B$5&amp;"生成成长"),4))/(VLOOKUP(BE$72,INDIRECT($C$5&amp;"生成成长"),5))*(VLOOKUP($B$5,标准坦克设计!$B$24:$U$30,MATCH("对"&amp;LEFT($C$5,2)&amp;"输出",标准坦克设计!$B$23:$U$23,0)))*(VLOOKUP($B161,INDIRECT($B$5&amp;"生成成长"),3))*(VLOOKUP($B$5,标准坦克设计!$B$14:$K$20,9)/30))</f>
        <v>2.58179496778402</v>
      </c>
      <c r="BF161" s="172">
        <f ca="1">(VLOOKUP(BF$72,INDIRECT($C$5&amp;"生成成长"),2))/((VLOOKUP($B161,INDIRECT($B$5&amp;"生成成长"),4))/(VLOOKUP(BF$72,INDIRECT($C$5&amp;"生成成长"),5))*(VLOOKUP($B$5,标准坦克设计!$B$24:$U$30,MATCH("对"&amp;LEFT($C$5,2)&amp;"输出",标准坦克设计!$B$23:$U$23,0)))*(VLOOKUP($B161,INDIRECT($B$5&amp;"生成成长"),3))*(VLOOKUP($B$5,标准坦克设计!$B$14:$K$20,9)/30))</f>
        <v>2.829511135347281</v>
      </c>
      <c r="BG161" s="172">
        <f ca="1">(VLOOKUP(BG$72,INDIRECT($C$5&amp;"生成成长"),2))/((VLOOKUP($B161,INDIRECT($B$5&amp;"生成成长"),4))/(VLOOKUP(BG$72,INDIRECT($C$5&amp;"生成成长"),5))*(VLOOKUP($B$5,标准坦克设计!$B$24:$U$30,MATCH("对"&amp;LEFT($C$5,2)&amp;"输出",标准坦克设计!$B$23:$U$23,0)))*(VLOOKUP($B161,INDIRECT($B$5&amp;"生成成长"),3))*(VLOOKUP($B$5,标准坦克设计!$B$14:$K$20,9)/30))</f>
        <v>3.0885730815775623</v>
      </c>
      <c r="BH161" s="172">
        <f ca="1">(VLOOKUP(BH$72,INDIRECT($C$5&amp;"生成成长"),2))/((VLOOKUP($B161,INDIRECT($B$5&amp;"生成成长"),4))/(VLOOKUP(BH$72,INDIRECT($C$5&amp;"生成成长"),5))*(VLOOKUP($B$5,标准坦克设计!$B$24:$U$30,MATCH("对"&amp;LEFT($C$5,2)&amp;"输出",标准坦克设计!$B$23:$U$23,0)))*(VLOOKUP($B161,INDIRECT($B$5&amp;"生成成长"),3))*(VLOOKUP($B$5,标准坦克设计!$B$14:$K$20,9)/30))</f>
        <v>1.4928803584332726</v>
      </c>
      <c r="BI161" s="172">
        <f ca="1">(VLOOKUP(BI$72,INDIRECT($C$5&amp;"生成成长"),2))/((VLOOKUP($B161,INDIRECT($B$5&amp;"生成成长"),4))/(VLOOKUP(BI$72,INDIRECT($C$5&amp;"生成成长"),5))*(VLOOKUP($B$5,标准坦克设计!$B$24:$U$30,MATCH("对"&amp;LEFT($C$5,2)&amp;"输出",标准坦克设计!$B$23:$U$23,0)))*(VLOOKUP($B161,INDIRECT($B$5&amp;"生成成长"),3))*(VLOOKUP($B$5,标准坦克设计!$B$14:$K$20,9)/30))</f>
        <v>1.6826069905873229</v>
      </c>
      <c r="BJ161" s="172">
        <f ca="1">(VLOOKUP(BJ$72,INDIRECT($C$5&amp;"生成成长"),2))/((VLOOKUP($B161,INDIRECT($B$5&amp;"生成成长"),4))/(VLOOKUP(BJ$72,INDIRECT($C$5&amp;"生成成长"),5))*(VLOOKUP($B$5,标准坦克设计!$B$24:$U$30,MATCH("对"&amp;LEFT($C$5,2)&amp;"输出",标准坦克设计!$B$23:$U$23,0)))*(VLOOKUP($B161,INDIRECT($B$5&amp;"生成成长"),3))*(VLOOKUP($B$5,标准坦克设计!$B$14:$K$20,9)/30))</f>
        <v>1.8836794014083926</v>
      </c>
      <c r="BK161" s="172">
        <f ca="1">(VLOOKUP(BK$72,INDIRECT($C$5&amp;"生成成长"),2))/((VLOOKUP($B161,INDIRECT($B$5&amp;"生成成长"),4))/(VLOOKUP(BK$72,INDIRECT($C$5&amp;"生成成长"),5))*(VLOOKUP($B$5,标准坦克设计!$B$24:$U$30,MATCH("对"&amp;LEFT($C$5,2)&amp;"输出",标准坦克设计!$B$23:$U$23,0)))*(VLOOKUP($B161,INDIRECT($B$5&amp;"生成成长"),3))*(VLOOKUP($B$5,标准坦克设计!$B$14:$K$20,9)/30))</f>
        <v>2.0960975908964823</v>
      </c>
      <c r="BL161" s="172">
        <f ca="1">(VLOOKUP(BL$72,INDIRECT($C$5&amp;"生成成长"),2))/((VLOOKUP($B161,INDIRECT($B$5&amp;"生成成长"),4))/(VLOOKUP(BL$72,INDIRECT($C$5&amp;"生成成长"),5))*(VLOOKUP($B$5,标准坦克设计!$B$24:$U$30,MATCH("对"&amp;LEFT($C$5,2)&amp;"输出",标准坦克设计!$B$23:$U$23,0)))*(VLOOKUP($B161,INDIRECT($B$5&amp;"生成成长"),3))*(VLOOKUP($B$5,标准坦克设计!$B$14:$K$20,9)/30))</f>
        <v>2.3198615590515916</v>
      </c>
      <c r="BM161" s="172">
        <f ca="1">(VLOOKUP(BM$72,INDIRECT($C$5&amp;"生成成长"),2))/((VLOOKUP($B161,INDIRECT($B$5&amp;"生成成长"),4))/(VLOOKUP(BM$72,INDIRECT($C$5&amp;"生成成长"),5))*(VLOOKUP($B$5,标准坦克设计!$B$24:$U$30,MATCH("对"&amp;LEFT($C$5,2)&amp;"输出",标准坦克设计!$B$23:$U$23,0)))*(VLOOKUP($B161,INDIRECT($B$5&amp;"生成成长"),3))*(VLOOKUP($B$5,标准坦克设计!$B$14:$K$20,9)/30))</f>
        <v>2.5549713058737207</v>
      </c>
      <c r="BN161" s="172">
        <f ca="1">(VLOOKUP(BN$72,INDIRECT($C$5&amp;"生成成长"),2))/((VLOOKUP($B161,INDIRECT($B$5&amp;"生成成长"),4))/(VLOOKUP(BN$72,INDIRECT($C$5&amp;"生成成长"),5))*(VLOOKUP($B$5,标准坦克设计!$B$24:$U$30,MATCH("对"&amp;LEFT($C$5,2)&amp;"输出",标准坦克设计!$B$23:$U$23,0)))*(VLOOKUP($B161,INDIRECT($B$5&amp;"生成成长"),3))*(VLOOKUP($B$5,标准坦克设计!$B$14:$K$20,9)/30))</f>
        <v>2.8014268313628685</v>
      </c>
      <c r="BO161" s="172">
        <f ca="1">(VLOOKUP(BO$72,INDIRECT($C$5&amp;"生成成长"),2))/((VLOOKUP($B161,INDIRECT($B$5&amp;"生成成长"),4))/(VLOOKUP(BO$72,INDIRECT($C$5&amp;"生成成长"),5))*(VLOOKUP($B$5,标准坦克设计!$B$24:$U$30,MATCH("对"&amp;LEFT($C$5,2)&amp;"输出",标准坦克设计!$B$23:$U$23,0)))*(VLOOKUP($B161,INDIRECT($B$5&amp;"生成成长"),3))*(VLOOKUP($B$5,标准坦克设计!$B$14:$K$20,9)/30))</f>
        <v>3.0592281355190361</v>
      </c>
      <c r="BP161" s="172">
        <f ca="1">(VLOOKUP(BP$72,INDIRECT($C$5&amp;"生成成长"),2))/((VLOOKUP($B161,INDIRECT($B$5&amp;"生成成长"),4))/(VLOOKUP(BP$72,INDIRECT($C$5&amp;"生成成长"),5))*(VLOOKUP($B$5,标准坦克设计!$B$24:$U$30,MATCH("对"&amp;LEFT($C$5,2)&amp;"输出",标准坦克设计!$B$23:$U$23,0)))*(VLOOKUP($B161,INDIRECT($B$5&amp;"生成成长"),3))*(VLOOKUP($B$5,标准坦克设计!$B$14:$K$20,9)/30))</f>
        <v>3.3283752183422242</v>
      </c>
      <c r="BQ161" s="172">
        <f ca="1">(VLOOKUP(BQ$72,INDIRECT($C$5&amp;"生成成长"),2))/((VLOOKUP($B161,INDIRECT($B$5&amp;"生成成长"),4))/(VLOOKUP(BQ$72,INDIRECT($C$5&amp;"生成成长"),5))*(VLOOKUP($B$5,标准坦克设计!$B$24:$U$30,MATCH("对"&amp;LEFT($C$5,2)&amp;"输出",标准坦克设计!$B$23:$U$23,0)))*(VLOOKUP($B161,INDIRECT($B$5&amp;"生成成长"),3))*(VLOOKUP($B$5,标准坦克设计!$B$14:$K$20,9)/30))</f>
        <v>3.6088680798324311</v>
      </c>
      <c r="BR161" s="172">
        <f ca="1">(VLOOKUP(BR$72,INDIRECT($C$5&amp;"生成成长"),2))/((VLOOKUP($B161,INDIRECT($B$5&amp;"生成成长"),4))/(VLOOKUP(BR$72,INDIRECT($C$5&amp;"生成成长"),5))*(VLOOKUP($B$5,标准坦克设计!$B$24:$U$30,MATCH("对"&amp;LEFT($C$5,2)&amp;"输出",标准坦克设计!$B$23:$U$23,0)))*(VLOOKUP($B161,INDIRECT($B$5&amp;"生成成长"),3))*(VLOOKUP($B$5,标准坦克设计!$B$14:$K$20,9)/30))</f>
        <v>3.9338335922705245</v>
      </c>
      <c r="BS161" s="172">
        <f ca="1">(VLOOKUP(BS$72,INDIRECT($C$5&amp;"生成成长"),2))/((VLOOKUP($B161,INDIRECT($B$5&amp;"生成成长"),4))/(VLOOKUP(BS$72,INDIRECT($C$5&amp;"生成成长"),5))*(VLOOKUP($B$5,标准坦克设计!$B$24:$U$30,MATCH("对"&amp;LEFT($C$5,2)&amp;"输出",标准坦克设计!$B$23:$U$23,0)))*(VLOOKUP($B161,INDIRECT($B$5&amp;"生成成长"),3))*(VLOOKUP($B$5,标准坦克设计!$B$14:$K$20,9)/30))</f>
        <v>4.2728062388654315</v>
      </c>
      <c r="BT161" s="172">
        <f ca="1">(VLOOKUP(BT$72,INDIRECT($C$5&amp;"生成成长"),2))/((VLOOKUP($B161,INDIRECT($B$5&amp;"生成成长"),4))/(VLOOKUP(BT$72,INDIRECT($C$5&amp;"生成成长"),5))*(VLOOKUP($B$5,标准坦克设计!$B$24:$U$30,MATCH("对"&amp;LEFT($C$5,2)&amp;"输出",标准坦克设计!$B$23:$U$23,0)))*(VLOOKUP($B161,INDIRECT($B$5&amp;"生成成长"),3))*(VLOOKUP($B$5,标准坦克设计!$B$14:$K$20,9)/30))</f>
        <v>4.6257860196171521</v>
      </c>
      <c r="BU161" s="172">
        <f ca="1">(VLOOKUP(BU$72,INDIRECT($C$5&amp;"生成成长"),2))/((VLOOKUP($B161,INDIRECT($B$5&amp;"生成成长"),4))/(VLOOKUP(BU$72,INDIRECT($C$5&amp;"生成成长"),5))*(VLOOKUP($B$5,标准坦克设计!$B$24:$U$30,MATCH("对"&amp;LEFT($C$5,2)&amp;"输出",标准坦克设计!$B$23:$U$23,0)))*(VLOOKUP($B161,INDIRECT($B$5&amp;"生成成长"),3))*(VLOOKUP($B$5,标准坦克设计!$B$14:$K$20,9)/30))</f>
        <v>4.9927729345256884</v>
      </c>
      <c r="BV161" s="172">
        <f ca="1">(VLOOKUP(BV$72,INDIRECT($C$5&amp;"生成成长"),2))/((VLOOKUP($B161,INDIRECT($B$5&amp;"生成成长"),4))/(VLOOKUP(BV$72,INDIRECT($C$5&amp;"生成成长"),5))*(VLOOKUP($B$5,标准坦克设计!$B$24:$U$30,MATCH("对"&amp;LEFT($C$5,2)&amp;"输出",标准坦克设计!$B$23:$U$23,0)))*(VLOOKUP($B161,INDIRECT($B$5&amp;"生成成长"),3))*(VLOOKUP($B$5,标准坦克设计!$B$14:$K$20,9)/30))</f>
        <v>5.3737669835910378</v>
      </c>
      <c r="BW161" s="172">
        <f ca="1">(VLOOKUP(BW$72,INDIRECT($C$5&amp;"生成成长"),2))/((VLOOKUP($B161,INDIRECT($B$5&amp;"生成成长"),4))/(VLOOKUP(BW$72,INDIRECT($C$5&amp;"生成成长"),5))*(VLOOKUP($B$5,标准坦克设计!$B$24:$U$30,MATCH("对"&amp;LEFT($C$5,2)&amp;"输出",标准坦克设计!$B$23:$U$23,0)))*(VLOOKUP($B161,INDIRECT($B$5&amp;"生成成长"),3))*(VLOOKUP($B$5,标准坦克设计!$B$14:$K$20,9)/30))</f>
        <v>2.4490773716482033</v>
      </c>
      <c r="BX161" s="172">
        <f ca="1">(VLOOKUP(BX$72,INDIRECT($C$5&amp;"生成成长"),2))/((VLOOKUP($B161,INDIRECT($B$5&amp;"生成成长"),4))/(VLOOKUP(BX$72,INDIRECT($C$5&amp;"生成成长"),5))*(VLOOKUP($B$5,标准坦克设计!$B$24:$U$30,MATCH("对"&amp;LEFT($C$5,2)&amp;"输出",标准坦克设计!$B$23:$U$23,0)))*(VLOOKUP($B161,INDIRECT($B$5&amp;"生成成长"),3))*(VLOOKUP($B$5,标准坦克设计!$B$14:$K$20,9)/30))</f>
        <v>2.7180143474590395</v>
      </c>
      <c r="BY161" s="172">
        <f ca="1">(VLOOKUP(BY$72,INDIRECT($C$5&amp;"生成成长"),2))/((VLOOKUP($B161,INDIRECT($B$5&amp;"生成成长"),4))/(VLOOKUP(BY$72,INDIRECT($C$5&amp;"生成成长"),5))*(VLOOKUP($B$5,标准坦克设计!$B$24:$U$30,MATCH("对"&amp;LEFT($C$5,2)&amp;"输出",标准坦克设计!$B$23:$U$23,0)))*(VLOOKUP($B161,INDIRECT($B$5&amp;"生成成长"),3))*(VLOOKUP($B$5,标准坦克设计!$B$14:$K$20,9)/30))</f>
        <v>3.0009584574266879</v>
      </c>
      <c r="BZ161" s="172">
        <f ca="1">(VLOOKUP(BZ$72,INDIRECT($C$5&amp;"生成成长"),2))/((VLOOKUP($B161,INDIRECT($B$5&amp;"生成成长"),4))/(VLOOKUP(BZ$72,INDIRECT($C$5&amp;"生成成长"),5))*(VLOOKUP($B$5,标准坦克设计!$B$24:$U$30,MATCH("对"&amp;LEFT($C$5,2)&amp;"输出",标准坦克设计!$B$23:$U$23,0)))*(VLOOKUP($B161,INDIRECT($B$5&amp;"生成成长"),3))*(VLOOKUP($B$5,标准坦克设计!$B$14:$K$20,9)/30))</f>
        <v>3.2979097015511529</v>
      </c>
      <c r="CA161" s="172">
        <f ca="1">(VLOOKUP(CA$72,INDIRECT($C$5&amp;"生成成长"),2))/((VLOOKUP($B161,INDIRECT($B$5&amp;"生成成长"),4))/(VLOOKUP(CA$72,INDIRECT($C$5&amp;"生成成长"),5))*(VLOOKUP($B$5,标准坦克设计!$B$24:$U$30,MATCH("对"&amp;LEFT($C$5,2)&amp;"输出",标准坦克设计!$B$23:$U$23,0)))*(VLOOKUP($B161,INDIRECT($B$5&amp;"生成成长"),3))*(VLOOKUP($B$5,标准坦克设计!$B$14:$K$20,9)/30))</f>
        <v>3.6088680798324311</v>
      </c>
      <c r="CB161" s="172">
        <f ca="1">(VLOOKUP(CB$72,INDIRECT($C$5&amp;"生成成长"),2))/((VLOOKUP($B161,INDIRECT($B$5&amp;"生成成长"),4))/(VLOOKUP(CB$72,INDIRECT($C$5&amp;"生成成长"),5))*(VLOOKUP($B$5,标准坦克设计!$B$24:$U$30,MATCH("对"&amp;LEFT($C$5,2)&amp;"输出",标准坦克设计!$B$23:$U$23,0)))*(VLOOKUP($B161,INDIRECT($B$5&amp;"生成成长"),3))*(VLOOKUP($B$5,标准坦克设计!$B$14:$K$20,9)/30))</f>
        <v>3.9338335922705245</v>
      </c>
      <c r="CC161" s="172">
        <f ca="1">(VLOOKUP(CC$72,INDIRECT($C$5&amp;"生成成长"),2))/((VLOOKUP($B161,INDIRECT($B$5&amp;"生成成长"),4))/(VLOOKUP(CC$72,INDIRECT($C$5&amp;"生成成长"),5))*(VLOOKUP($B$5,标准坦克设计!$B$24:$U$30,MATCH("对"&amp;LEFT($C$5,2)&amp;"输出",标准坦克设计!$B$23:$U$23,0)))*(VLOOKUP($B161,INDIRECT($B$5&amp;"生成成长"),3))*(VLOOKUP($B$5,标准坦克设计!$B$14:$K$20,9)/30))</f>
        <v>4.2728062388654315</v>
      </c>
      <c r="CD161" s="172">
        <f ca="1">(VLOOKUP(CD$72,INDIRECT($C$5&amp;"生成成长"),2))/((VLOOKUP($B161,INDIRECT($B$5&amp;"生成成长"),4))/(VLOOKUP(CD$72,INDIRECT($C$5&amp;"生成成长"),5))*(VLOOKUP($B$5,标准坦克设计!$B$24:$U$30,MATCH("对"&amp;LEFT($C$5,2)&amp;"输出",标准坦克设计!$B$23:$U$23,0)))*(VLOOKUP($B161,INDIRECT($B$5&amp;"生成成长"),3))*(VLOOKUP($B$5,标准坦克设计!$B$14:$K$20,9)/30))</f>
        <v>4.6257860196171521</v>
      </c>
      <c r="CE161" s="172">
        <f ca="1">(VLOOKUP(CE$72,INDIRECT($C$5&amp;"生成成长"),2))/((VLOOKUP($B161,INDIRECT($B$5&amp;"生成成长"),4))/(VLOOKUP(CE$72,INDIRECT($C$5&amp;"生成成长"),5))*(VLOOKUP($B$5,标准坦克设计!$B$24:$U$30,MATCH("对"&amp;LEFT($C$5,2)&amp;"输出",标准坦克设计!$B$23:$U$23,0)))*(VLOOKUP($B161,INDIRECT($B$5&amp;"生成成长"),3))*(VLOOKUP($B$5,标准坦克设计!$B$14:$K$20,9)/30))</f>
        <v>4.9927729345256884</v>
      </c>
      <c r="CF161" s="172">
        <f ca="1">(VLOOKUP(CF$72,INDIRECT($C$5&amp;"生成成长"),2))/((VLOOKUP($B161,INDIRECT($B$5&amp;"生成成长"),4))/(VLOOKUP(CF$72,INDIRECT($C$5&amp;"生成成长"),5))*(VLOOKUP($B$5,标准坦克设计!$B$24:$U$30,MATCH("对"&amp;LEFT($C$5,2)&amp;"输出",标准坦克设计!$B$23:$U$23,0)))*(VLOOKUP($B161,INDIRECT($B$5&amp;"生成成长"),3))*(VLOOKUP($B$5,标准坦克设计!$B$14:$K$20,9)/30))</f>
        <v>5.3737669835910378</v>
      </c>
      <c r="CG161" s="172">
        <f ca="1">(VLOOKUP(CG$72,INDIRECT($C$5&amp;"生成成长"),2))/((VLOOKUP($B161,INDIRECT($B$5&amp;"生成成长"),4))/(VLOOKUP(CG$72,INDIRECT($C$5&amp;"生成成长"),5))*(VLOOKUP($B$5,标准坦克设计!$B$24:$U$30,MATCH("对"&amp;LEFT($C$5,2)&amp;"输出",标准坦克设计!$B$23:$U$23,0)))*(VLOOKUP($B161,INDIRECT($B$5&amp;"生成成长"),3))*(VLOOKUP($B$5,标准坦克设计!$B$14:$K$20,9)/30))</f>
        <v>5.7687681668132029</v>
      </c>
      <c r="CH161" s="172">
        <f ca="1">(VLOOKUP(CH$72,INDIRECT($C$5&amp;"生成成长"),2))/((VLOOKUP($B161,INDIRECT($B$5&amp;"生成成长"),4))/(VLOOKUP(CH$72,INDIRECT($C$5&amp;"生成成长"),5))*(VLOOKUP($B$5,标准坦克设计!$B$24:$U$30,MATCH("对"&amp;LEFT($C$5,2)&amp;"输出",标准坦克设计!$B$23:$U$23,0)))*(VLOOKUP($B161,INDIRECT($B$5&amp;"生成成长"),3))*(VLOOKUP($B$5,标准坦克设计!$B$14:$K$20,9)/30))</f>
        <v>6.1777764841921821</v>
      </c>
      <c r="CI161" s="172">
        <f ca="1">(VLOOKUP(CI$72,INDIRECT($C$5&amp;"生成成长"),2))/((VLOOKUP($B161,INDIRECT($B$5&amp;"生成成长"),4))/(VLOOKUP(CI$72,INDIRECT($C$5&amp;"生成成长"),5))*(VLOOKUP($B$5,标准坦克设计!$B$24:$U$30,MATCH("对"&amp;LEFT($C$5,2)&amp;"输出",标准坦克设计!$B$23:$U$23,0)))*(VLOOKUP($B161,INDIRECT($B$5&amp;"生成成长"),3))*(VLOOKUP($B$5,标准坦克设计!$B$14:$K$20,9)/30))</f>
        <v>6.6438638732601802</v>
      </c>
      <c r="CJ161" s="172">
        <f ca="1">(VLOOKUP(CJ$72,INDIRECT($C$5&amp;"生成成长"),2))/((VLOOKUP($B161,INDIRECT($B$5&amp;"生成成长"),4))/(VLOOKUP(CJ$72,INDIRECT($C$5&amp;"生成成长"),5))*(VLOOKUP($B$5,标准坦克设计!$B$24:$U$30,MATCH("对"&amp;LEFT($C$5,2)&amp;"输出",标准坦克设计!$B$23:$U$23,0)))*(VLOOKUP($B161,INDIRECT($B$5&amp;"生成成长"),3))*(VLOOKUP($B$5,标准坦克设计!$B$14:$K$20,9)/30))</f>
        <v>7.1268998946579218</v>
      </c>
      <c r="CK161" s="172">
        <f ca="1">(VLOOKUP(CK$72,INDIRECT($C$5&amp;"生成成长"),2))/((VLOOKUP($B161,INDIRECT($B$5&amp;"生成成长"),4))/(VLOOKUP(CK$72,INDIRECT($C$5&amp;"生成成长"),5))*(VLOOKUP($B$5,标准坦克设计!$B$24:$U$30,MATCH("对"&amp;LEFT($C$5,2)&amp;"输出",标准坦克设计!$B$23:$U$23,0)))*(VLOOKUP($B161,INDIRECT($B$5&amp;"生成成长"),3))*(VLOOKUP($B$5,标准坦克设计!$B$14:$K$20,9)/30))</f>
        <v>7.6268845483854113</v>
      </c>
      <c r="CL161" s="172">
        <f ca="1">(VLOOKUP(CL$72,INDIRECT($C$5&amp;"生成成长"),2))/((VLOOKUP($B161,INDIRECT($B$5&amp;"生成成长"),4))/(VLOOKUP(CL$72,INDIRECT($C$5&amp;"生成成长"),5))*(VLOOKUP($B$5,标准坦克设计!$B$24:$U$30,MATCH("对"&amp;LEFT($C$5,2)&amp;"输出",标准坦克设计!$B$23:$U$23,0)))*(VLOOKUP($B161,INDIRECT($B$5&amp;"生成成长"),3))*(VLOOKUP($B$5,标准坦克设计!$B$14:$K$20,9)/30))</f>
        <v>8.1438178344426433</v>
      </c>
      <c r="CM161" s="172">
        <f ca="1">(VLOOKUP(CM$72,INDIRECT($C$5&amp;"生成成长"),2))/((VLOOKUP($B161,INDIRECT($B$5&amp;"生成成长"),4))/(VLOOKUP(CM$72,INDIRECT($C$5&amp;"生成成长"),5))*(VLOOKUP($B$5,标准坦克设计!$B$24:$U$30,MATCH("对"&amp;LEFT($C$5,2)&amp;"输出",标准坦克设计!$B$23:$U$23,0)))*(VLOOKUP($B161,INDIRECT($B$5&amp;"生成成长"),3))*(VLOOKUP($B$5,标准坦克设计!$B$14:$K$20,9)/30))</f>
        <v>8.6776997528296214</v>
      </c>
      <c r="CN161" s="172">
        <f ca="1">(VLOOKUP(CN$72,INDIRECT($C$5&amp;"生成成长"),2))/((VLOOKUP($B161,INDIRECT($B$5&amp;"生成成长"),4))/(VLOOKUP(CN$72,INDIRECT($C$5&amp;"生成成长"),5))*(VLOOKUP($B$5,标准坦克设计!$B$24:$U$30,MATCH("对"&amp;LEFT($C$5,2)&amp;"输出",标准坦克设计!$B$23:$U$23,0)))*(VLOOKUP($B161,INDIRECT($B$5&amp;"生成成长"),3))*(VLOOKUP($B$5,标准坦克设计!$B$14:$K$20,9)/30))</f>
        <v>9.2285303035463446</v>
      </c>
      <c r="CO161" s="172">
        <f ca="1">(VLOOKUP(CO$72,INDIRECT($C$5&amp;"生成成长"),2))/((VLOOKUP($B161,INDIRECT($B$5&amp;"生成成长"),4))/(VLOOKUP(CO$72,INDIRECT($C$5&amp;"生成成长"),5))*(VLOOKUP($B$5,标准坦克设计!$B$24:$U$30,MATCH("对"&amp;LEFT($C$5,2)&amp;"输出",标准坦克设计!$B$23:$U$23,0)))*(VLOOKUP($B161,INDIRECT($B$5&amp;"生成成长"),3))*(VLOOKUP($B$5,标准坦克设计!$B$14:$K$20,9)/30))</f>
        <v>4.1355363241286502</v>
      </c>
      <c r="CP161" s="172">
        <f ca="1">(VLOOKUP(CP$72,INDIRECT($C$5&amp;"生成成长"),2))/((VLOOKUP($B161,INDIRECT($B$5&amp;"生成成长"),4))/(VLOOKUP(CP$72,INDIRECT($C$5&amp;"生成成长"),5))*(VLOOKUP($B$5,标准坦克设计!$B$24:$U$30,MATCH("对"&amp;LEFT($C$5,2)&amp;"输出",标准坦克设计!$B$23:$U$23,0)))*(VLOOKUP($B161,INDIRECT($B$5&amp;"生成成长"),3))*(VLOOKUP($B$5,标准坦克设计!$B$14:$K$20,9)/30))</f>
        <v>4.5184213363051704</v>
      </c>
      <c r="CQ161" s="172">
        <f ca="1">(VLOOKUP(CQ$72,INDIRECT($C$5&amp;"生成成长"),2))/((VLOOKUP($B161,INDIRECT($B$5&amp;"生成成长"),4))/(VLOOKUP(CQ$72,INDIRECT($C$5&amp;"生成成长"),5))*(VLOOKUP($B$5,标准坦克设计!$B$24:$U$30,MATCH("对"&amp;LEFT($C$5,2)&amp;"输出",标准坦克设计!$B$23:$U$23,0)))*(VLOOKUP($B161,INDIRECT($B$5&amp;"生成成长"),3))*(VLOOKUP($B$5,标准坦克设计!$B$14:$K$20,9)/30))</f>
        <v>4.9182549808114366</v>
      </c>
      <c r="CR161" s="172">
        <f ca="1">(VLOOKUP(CR$72,INDIRECT($C$5&amp;"生成成长"),2))/((VLOOKUP($B161,INDIRECT($B$5&amp;"生成成长"),4))/(VLOOKUP(CR$72,INDIRECT($C$5&amp;"生成成长"),5))*(VLOOKUP($B$5,标准坦克设计!$B$24:$U$30,MATCH("对"&amp;LEFT($C$5,2)&amp;"输出",标准坦克设计!$B$23:$U$23,0)))*(VLOOKUP($B161,INDIRECT($B$5&amp;"生成成长"),3))*(VLOOKUP($B$5,标准坦克设计!$B$14:$K$20,9)/30))</f>
        <v>5.3350372576474472</v>
      </c>
      <c r="CS161" s="172">
        <f ca="1">(VLOOKUP(CS$72,INDIRECT($C$5&amp;"生成成长"),2))/((VLOOKUP($B161,INDIRECT($B$5&amp;"生成成长"),4))/(VLOOKUP(CS$72,INDIRECT($C$5&amp;"生成成长"),5))*(VLOOKUP($B$5,标准坦克设计!$B$24:$U$30,MATCH("对"&amp;LEFT($C$5,2)&amp;"输出",标准坦克设计!$B$23:$U$23,0)))*(VLOOKUP($B161,INDIRECT($B$5&amp;"生成成长"),3))*(VLOOKUP($B$5,标准坦克设计!$B$14:$K$20,9)/30))</f>
        <v>5.7687681668132029</v>
      </c>
      <c r="CT161" s="172">
        <f ca="1">(VLOOKUP(CT$72,INDIRECT($C$5&amp;"生成成长"),2))/((VLOOKUP($B161,INDIRECT($B$5&amp;"生成成长"),4))/(VLOOKUP(CT$72,INDIRECT($C$5&amp;"生成成长"),5))*(VLOOKUP($B$5,标准坦克设计!$B$24:$U$30,MATCH("对"&amp;LEFT($C$5,2)&amp;"输出",标准坦克设计!$B$23:$U$23,0)))*(VLOOKUP($B161,INDIRECT($B$5&amp;"生成成长"),3))*(VLOOKUP($B$5,标准坦克设计!$B$14:$K$20,9)/30))</f>
        <v>6.2194477083087039</v>
      </c>
      <c r="CU161" s="172">
        <f ca="1">(VLOOKUP(CU$72,INDIRECT($C$5&amp;"生成成长"),2))/((VLOOKUP($B161,INDIRECT($B$5&amp;"生成成长"),4))/(VLOOKUP(CU$72,INDIRECT($C$5&amp;"生成成长"),5))*(VLOOKUP($B$5,标准坦克设计!$B$24:$U$30,MATCH("对"&amp;LEFT($C$5,2)&amp;"输出",标准坦克设计!$B$23:$U$23,0)))*(VLOOKUP($B161,INDIRECT($B$5&amp;"生成成长"),3))*(VLOOKUP($B$5,标准坦克设计!$B$14:$K$20,9)/30))</f>
        <v>6.6870758821339518</v>
      </c>
      <c r="CV161" s="172">
        <f ca="1">(VLOOKUP(CV$72,INDIRECT($C$5&amp;"生成成长"),2))/((VLOOKUP($B161,INDIRECT($B$5&amp;"生成成长"),4))/(VLOOKUP(CV$72,INDIRECT($C$5&amp;"生成成长"),5))*(VLOOKUP($B$5,标准坦克设计!$B$24:$U$30,MATCH("对"&amp;LEFT($C$5,2)&amp;"输出",标准坦克设计!$B$23:$U$23,0)))*(VLOOKUP($B161,INDIRECT($B$5&amp;"生成成长"),3))*(VLOOKUP($B$5,标准坦克设计!$B$14:$K$20,9)/30))</f>
        <v>7.1716526882889431</v>
      </c>
      <c r="CW161" s="172">
        <f ca="1">(VLOOKUP(CW$72,INDIRECT($C$5&amp;"生成成长"),2))/((VLOOKUP($B161,INDIRECT($B$5&amp;"生成成长"),4))/(VLOOKUP(CW$72,INDIRECT($C$5&amp;"生成成长"),5))*(VLOOKUP($B$5,标准坦克设计!$B$24:$U$30,MATCH("对"&amp;LEFT($C$5,2)&amp;"输出",标准坦克设计!$B$23:$U$23,0)))*(VLOOKUP($B161,INDIRECT($B$5&amp;"生成成长"),3))*(VLOOKUP($B$5,标准坦克设计!$B$14:$K$20,9)/30))</f>
        <v>7.6731781267736814</v>
      </c>
      <c r="CX161" s="172">
        <f ca="1">(VLOOKUP(CX$72,INDIRECT($C$5&amp;"生成成长"),2))/((VLOOKUP($B161,INDIRECT($B$5&amp;"生成成长"),4))/(VLOOKUP(CX$72,INDIRECT($C$5&amp;"生成成长"),5))*(VLOOKUP($B$5,标准坦克设计!$B$24:$U$30,MATCH("对"&amp;LEFT($C$5,2)&amp;"输出",标准坦克设计!$B$23:$U$23,0)))*(VLOOKUP($B161,INDIRECT($B$5&amp;"生成成长"),3))*(VLOOKUP($B$5,标准坦克设计!$B$14:$K$20,9)/30))</f>
        <v>8.1916521975881658</v>
      </c>
      <c r="CY161" s="172">
        <f ca="1">(VLOOKUP(CY$72,INDIRECT($C$5&amp;"生成成长"),2))/((VLOOKUP($B161,INDIRECT($B$5&amp;"生成成长"),4))/(VLOOKUP(CY$72,INDIRECT($C$5&amp;"生成成长"),5))*(VLOOKUP($B$5,标准坦克设计!$B$24:$U$30,MATCH("对"&amp;LEFT($C$5,2)&amp;"输出",标准坦克设计!$B$23:$U$23,0)))*(VLOOKUP($B161,INDIRECT($B$5&amp;"生成成长"),3))*(VLOOKUP($B$5,标准坦克设计!$B$14:$K$20,9)/30))</f>
        <v>8.7270749007323918</v>
      </c>
      <c r="CZ161" s="172">
        <f ca="1">(VLOOKUP(CZ$72,INDIRECT($C$5&amp;"生成成长"),2))/((VLOOKUP($B161,INDIRECT($B$5&amp;"生成成长"),4))/(VLOOKUP(CZ$72,INDIRECT($C$5&amp;"生成成长"),5))*(VLOOKUP($B$5,标准坦克设计!$B$24:$U$30,MATCH("对"&amp;LEFT($C$5,2)&amp;"输出",标准坦克设计!$B$23:$U$23,0)))*(VLOOKUP($B161,INDIRECT($B$5&amp;"生成成长"),3))*(VLOOKUP($B$5,标准坦克设计!$B$14:$K$20,9)/30))</f>
        <v>9.2794462362063665</v>
      </c>
      <c r="DA161" s="172">
        <f ca="1">(VLOOKUP(DA$72,INDIRECT($C$5&amp;"生成成长"),2))/((VLOOKUP($B161,INDIRECT($B$5&amp;"生成成长"),4))/(VLOOKUP(DA$72,INDIRECT($C$5&amp;"生成成长"),5))*(VLOOKUP($B$5,标准坦克设计!$B$24:$U$30,MATCH("对"&amp;LEFT($C$5,2)&amp;"输出",标准坦克设计!$B$23:$U$23,0)))*(VLOOKUP($B161,INDIRECT($B$5&amp;"生成成长"),3))*(VLOOKUP($B$5,标准坦克设计!$B$14:$K$20,9)/30))</f>
        <v>9.8487662040100847</v>
      </c>
      <c r="DB161" s="172">
        <f ca="1">(VLOOKUP(DB$72,INDIRECT($C$5&amp;"生成成长"),2))/((VLOOKUP($B161,INDIRECT($B$5&amp;"生成成长"),4))/(VLOOKUP(DB$72,INDIRECT($C$5&amp;"生成成长"),5))*(VLOOKUP($B$5,标准坦克设计!$B$24:$U$30,MATCH("对"&amp;LEFT($C$5,2)&amp;"输出",标准坦克设计!$B$23:$U$23,0)))*(VLOOKUP($B161,INDIRECT($B$5&amp;"生成成长"),3))*(VLOOKUP($B$5,标准坦克设计!$B$14:$K$20,9)/30))</f>
        <v>10.435034804143548</v>
      </c>
      <c r="DC161" s="172">
        <f ca="1">(VLOOKUP(DC$72,INDIRECT($C$5&amp;"生成成长"),2))/((VLOOKUP($B161,INDIRECT($B$5&amp;"生成成长"),4))/(VLOOKUP(DC$72,INDIRECT($C$5&amp;"生成成长"),5))*(VLOOKUP($B$5,标准坦克设计!$B$24:$U$30,MATCH("对"&amp;LEFT($C$5,2)&amp;"输出",标准坦克设计!$B$23:$U$23,0)))*(VLOOKUP($B161,INDIRECT($B$5&amp;"生成成长"),3))*(VLOOKUP($B$5,标准坦克设计!$B$14:$K$20,9)/30))</f>
        <v>11.093930394880095</v>
      </c>
      <c r="DD161" s="172">
        <f ca="1">(VLOOKUP(DD$72,INDIRECT($C$5&amp;"生成成长"),2))/((VLOOKUP($B161,INDIRECT($B$5&amp;"生成成长"),4))/(VLOOKUP(DD$72,INDIRECT($C$5&amp;"生成成长"),5))*(VLOOKUP($B$5,标准坦克设计!$B$24:$U$30,MATCH("对"&amp;LEFT($C$5,2)&amp;"输出",标准坦克设计!$B$23:$U$23,0)))*(VLOOKUP($B161,INDIRECT($B$5&amp;"生成成长"),3))*(VLOOKUP($B$5,标准坦克设计!$B$14:$K$20,9)/30))</f>
        <v>11.772996258802452</v>
      </c>
      <c r="DE161" s="172">
        <f ca="1">(VLOOKUP(DE$72,INDIRECT($C$5&amp;"生成成长"),2))/((VLOOKUP($B161,INDIRECT($B$5&amp;"生成成长"),4))/(VLOOKUP(DE$72,INDIRECT($C$5&amp;"生成成长"),5))*(VLOOKUP($B$5,标准坦克设计!$B$24:$U$30,MATCH("对"&amp;LEFT($C$5,2)&amp;"输出",标准坦克设计!$B$23:$U$23,0)))*(VLOOKUP($B161,INDIRECT($B$5&amp;"生成成长"),3))*(VLOOKUP($B$5,标准坦克设计!$B$14:$K$20,9)/30))</f>
        <v>12.472232395910627</v>
      </c>
      <c r="DF161" s="172">
        <f ca="1">(VLOOKUP(DF$72,INDIRECT($C$5&amp;"生成成长"),2))/((VLOOKUP($B161,INDIRECT($B$5&amp;"生成成长"),4))/(VLOOKUP(DF$72,INDIRECT($C$5&amp;"生成成长"),5))*(VLOOKUP($B$5,标准坦克设计!$B$24:$U$30,MATCH("对"&amp;LEFT($C$5,2)&amp;"输出",标准坦克设计!$B$23:$U$23,0)))*(VLOOKUP($B161,INDIRECT($B$5&amp;"生成成长"),3))*(VLOOKUP($B$5,标准坦克设计!$B$14:$K$20,9)/30))</f>
        <v>13.191638806204612</v>
      </c>
      <c r="DG161" s="172">
        <f ca="1">(VLOOKUP(DG$72,INDIRECT($C$5&amp;"生成成长"),2))/((VLOOKUP($B161,INDIRECT($B$5&amp;"生成成长"),4))/(VLOOKUP(DG$72,INDIRECT($C$5&amp;"生成成长"),5))*(VLOOKUP($B$5,标准坦克设计!$B$24:$U$30,MATCH("对"&amp;LEFT($C$5,2)&amp;"输出",标准坦克设计!$B$23:$U$23,0)))*(VLOOKUP($B161,INDIRECT($B$5&amp;"生成成长"),3))*(VLOOKUP($B$5,标准坦克设计!$B$14:$K$20,9)/30))</f>
        <v>13.93121548968441</v>
      </c>
      <c r="DH161" s="172">
        <f ca="1">(VLOOKUP(DH$72,INDIRECT($C$5&amp;"生成成长"),2))/((VLOOKUP($B161,INDIRECT($B$5&amp;"生成成长"),4))/(VLOOKUP(DH$72,INDIRECT($C$5&amp;"生成成长"),5))*(VLOOKUP($B$5,标准坦克设计!$B$24:$U$30,MATCH("对"&amp;LEFT($C$5,2)&amp;"输出",标准坦克设计!$B$23:$U$23,0)))*(VLOOKUP($B161,INDIRECT($B$5&amp;"生成成长"),3))*(VLOOKUP($B$5,标准坦克设计!$B$14:$K$20,9)/30))</f>
        <v>14.690962446350019</v>
      </c>
      <c r="DI161" s="172">
        <f ca="1">(VLOOKUP(DI$72,INDIRECT($C$5&amp;"生成成长"),2))/((VLOOKUP($B161,INDIRECT($B$5&amp;"生成成长"),4))/(VLOOKUP(DI$72,INDIRECT($C$5&amp;"生成成长"),5))*(VLOOKUP($B$5,标准坦克设计!$B$24:$U$30,MATCH("对"&amp;LEFT($C$5,2)&amp;"输出",标准坦克设计!$B$23:$U$23,0)))*(VLOOKUP($B161,INDIRECT($B$5&amp;"生成成长"),3))*(VLOOKUP($B$5,标准坦克设计!$B$14:$K$20,9)/30))</f>
        <v>15.470879676201442</v>
      </c>
      <c r="DJ161" s="172">
        <f ca="1">(VLOOKUP(DJ$72,INDIRECT($C$5&amp;"生成成长"),2))/((VLOOKUP($B161,INDIRECT($B$5&amp;"生成成长"),4))/(VLOOKUP(DJ$72,INDIRECT($C$5&amp;"生成成长"),5))*(VLOOKUP($B$5,标准坦克设计!$B$24:$U$30,MATCH("对"&amp;LEFT($C$5,2)&amp;"输出",标准坦克设计!$B$23:$U$23,0)))*(VLOOKUP($B161,INDIRECT($B$5&amp;"生成成长"),3))*(VLOOKUP($B$5,标准坦克设计!$B$14:$K$20,9)/30))</f>
        <v>1.554861927077176</v>
      </c>
      <c r="DK161" s="172">
        <f ca="1">(VLOOKUP(DK$72,INDIRECT($C$5&amp;"生成成长"),2))/((VLOOKUP($B161,INDIRECT($B$5&amp;"生成成长"),4))/(VLOOKUP(DK$72,INDIRECT($C$5&amp;"生成成长"),5))*(VLOOKUP($B$5,标准坦克设计!$B$24:$U$30,MATCH("对"&amp;LEFT($C$5,2)&amp;"输出",标准坦克设计!$B$23:$U$23,0)))*(VLOOKUP($B161,INDIRECT($B$5&amp;"生成成长"),3))*(VLOOKUP($B$5,标准坦克设计!$B$14:$K$20,9)/30))</f>
        <v>1.748370485453566</v>
      </c>
      <c r="DL161" s="172">
        <f ca="1">(VLOOKUP(DL$72,INDIRECT($C$5&amp;"生成成长"),2))/((VLOOKUP($B161,INDIRECT($B$5&amp;"生成成长"),4))/(VLOOKUP(DL$72,INDIRECT($C$5&amp;"生成成长"),5))*(VLOOKUP($B$5,标准坦克设计!$B$24:$U$30,MATCH("对"&amp;LEFT($C$5,2)&amp;"输出",标准坦克设计!$B$23:$U$23,0)))*(VLOOKUP($B161,INDIRECT($B$5&amp;"生成成长"),3))*(VLOOKUP($B$5,标准坦克设计!$B$14:$K$20,9)/30))</f>
        <v>1.9532248224969757</v>
      </c>
      <c r="DM161" s="172">
        <f ca="1">(VLOOKUP(DM$72,INDIRECT($C$5&amp;"生成成长"),2))/((VLOOKUP($B161,INDIRECT($B$5&amp;"生成成长"),4))/(VLOOKUP(DM$72,INDIRECT($C$5&amp;"生成成长"),5))*(VLOOKUP($B$5,标准坦克设计!$B$24:$U$30,MATCH("对"&amp;LEFT($C$5,2)&amp;"输出",标准坦克设计!$B$23:$U$23,0)))*(VLOOKUP($B161,INDIRECT($B$5&amp;"生成成长"),3))*(VLOOKUP($B$5,标准坦克设计!$B$14:$K$20,9)/30))</f>
        <v>2.1694249382074053</v>
      </c>
      <c r="DN161" s="172">
        <f ca="1">(VLOOKUP(DN$72,INDIRECT($C$5&amp;"生成成长"),2))/((VLOOKUP($B161,INDIRECT($B$5&amp;"生成成长"),4))/(VLOOKUP(DN$72,INDIRECT($C$5&amp;"生成成长"),5))*(VLOOKUP($B$5,标准坦克设计!$B$24:$U$30,MATCH("对"&amp;LEFT($C$5,2)&amp;"输出",标准坦克设计!$B$23:$U$23,0)))*(VLOOKUP($B161,INDIRECT($B$5&amp;"生成成长"),3))*(VLOOKUP($B$5,标准坦克设计!$B$14:$K$20,9)/30))</f>
        <v>2.3969708325848544</v>
      </c>
      <c r="DO161" s="172">
        <f ca="1">(VLOOKUP(DO$72,INDIRECT($C$5&amp;"生成成长"),2))/((VLOOKUP($B161,INDIRECT($B$5&amp;"生成成长"),4))/(VLOOKUP(DO$72,INDIRECT($C$5&amp;"生成成长"),5))*(VLOOKUP($B$5,标准坦克设计!$B$24:$U$30,MATCH("对"&amp;LEFT($C$5,2)&amp;"输出",标准坦克设计!$B$23:$U$23,0)))*(VLOOKUP($B161,INDIRECT($B$5&amp;"生成成长"),3))*(VLOOKUP($B$5,标准坦克设计!$B$14:$K$20,9)/30))</f>
        <v>2.6358625056293228</v>
      </c>
      <c r="DP161" s="172">
        <f ca="1">(VLOOKUP(DP$72,INDIRECT($C$5&amp;"生成成长"),2))/((VLOOKUP($B161,INDIRECT($B$5&amp;"生成成长"),4))/(VLOOKUP(DP$72,INDIRECT($C$5&amp;"生成成长"),5))*(VLOOKUP($B$5,标准坦克设计!$B$24:$U$30,MATCH("对"&amp;LEFT($C$5,2)&amp;"输出",标准坦克设计!$B$23:$U$23,0)))*(VLOOKUP($B161,INDIRECT($B$5&amp;"生成成长"),3))*(VLOOKUP($B$5,标准坦克设计!$B$14:$K$20,9)/30))</f>
        <v>2.8860999573408113</v>
      </c>
      <c r="DQ161" s="172">
        <f ca="1">(VLOOKUP(DQ$72,INDIRECT($C$5&amp;"生成成长"),2))/((VLOOKUP($B161,INDIRECT($B$5&amp;"生成成长"),4))/(VLOOKUP(DQ$72,INDIRECT($C$5&amp;"生成成长"),5))*(VLOOKUP($B$5,标准坦克设计!$B$24:$U$30,MATCH("对"&amp;LEFT($C$5,2)&amp;"输出",标准坦克设计!$B$23:$U$23,0)))*(VLOOKUP($B161,INDIRECT($B$5&amp;"生成成长"),3))*(VLOOKUP($B$5,标准坦克设计!$B$14:$K$20,9)/30))</f>
        <v>3.147683187719319</v>
      </c>
      <c r="DR161" s="172">
        <f ca="1">(VLOOKUP(DR$72,INDIRECT($C$5&amp;"生成成长"),2))/((VLOOKUP($B161,INDIRECT($B$5&amp;"生成成长"),4))/(VLOOKUP(DR$72,INDIRECT($C$5&amp;"生成成长"),5))*(VLOOKUP($B$5,标准坦克设计!$B$24:$U$30,MATCH("对"&amp;LEFT($C$5,2)&amp;"输出",标准坦克设计!$B$23:$U$23,0)))*(VLOOKUP($B161,INDIRECT($B$5&amp;"生成成长"),3))*(VLOOKUP($B$5,标准坦克设计!$B$14:$K$20,9)/30))</f>
        <v>3.4206121967648464</v>
      </c>
      <c r="DS161" s="172">
        <f ca="1">(VLOOKUP(DS$72,INDIRECT($C$5&amp;"生成成长"),2))/((VLOOKUP($B161,INDIRECT($B$5&amp;"生成成长"),4))/(VLOOKUP(DS$72,INDIRECT($C$5&amp;"生成成长"),5))*(VLOOKUP($B$5,标准坦克设计!$B$24:$U$30,MATCH("对"&amp;LEFT($C$5,2)&amp;"输出",标准坦克设计!$B$23:$U$23,0)))*(VLOOKUP($B161,INDIRECT($B$5&amp;"生成成长"),3))*(VLOOKUP($B$5,标准坦克设计!$B$14:$K$20,9)/30))</f>
        <v>3.7048869844773931</v>
      </c>
      <c r="DT161" s="172">
        <f ca="1">(VLOOKUP(DT$72,INDIRECT($C$5&amp;"生成成长"),2))/((VLOOKUP($B161,INDIRECT($B$5&amp;"生成成长"),4))/(VLOOKUP(DT$72,INDIRECT($C$5&amp;"生成成长"),5))*(VLOOKUP($B$5,标准坦克设计!$B$24:$U$30,MATCH("对"&amp;LEFT($C$5,2)&amp;"输出",标准坦克设计!$B$23:$U$23,0)))*(VLOOKUP($B161,INDIRECT($B$5&amp;"生成成长"),3))*(VLOOKUP($B$5,标准坦克设计!$B$14:$K$20,9)/30))</f>
        <v>4.0677417948096695</v>
      </c>
      <c r="DU161" s="172">
        <f ca="1">(VLOOKUP(DU$72,INDIRECT($C$5&amp;"生成成长"),2))/((VLOOKUP($B161,INDIRECT($B$5&amp;"生成成长"),4))/(VLOOKUP(DU$72,INDIRECT($C$5&amp;"生成成长"),5))*(VLOOKUP($B$5,标准坦克设计!$B$24:$U$30,MATCH("对"&amp;LEFT($C$5,2)&amp;"输出",标准坦克设计!$B$23:$U$23,0)))*(VLOOKUP($B161,INDIRECT($B$5&amp;"生成成长"),3))*(VLOOKUP($B$5,标准坦克设计!$B$14:$K$20,9)/30))</f>
        <v>4.4475452374716902</v>
      </c>
      <c r="DV161" s="172">
        <f ca="1">(VLOOKUP(DV$72,INDIRECT($C$5&amp;"生成成长"),2))/((VLOOKUP($B161,INDIRECT($B$5&amp;"生成成长"),4))/(VLOOKUP(DV$72,INDIRECT($C$5&amp;"生成成长"),5))*(VLOOKUP($B$5,标准坦克设计!$B$24:$U$30,MATCH("对"&amp;LEFT($C$5,2)&amp;"输出",标准坦克设计!$B$23:$U$23,0)))*(VLOOKUP($B161,INDIRECT($B$5&amp;"生成成长"),3))*(VLOOKUP($B$5,标准坦克设计!$B$14:$K$20,9)/30))</f>
        <v>4.8442973124634561</v>
      </c>
      <c r="DW161" s="172">
        <f ca="1">(VLOOKUP(DW$72,INDIRECT($C$5&amp;"生成成长"),2))/((VLOOKUP($B161,INDIRECT($B$5&amp;"生成成长"),4))/(VLOOKUP(DW$72,INDIRECT($C$5&amp;"生成成长"),5))*(VLOOKUP($B$5,标准坦克设计!$B$24:$U$30,MATCH("对"&amp;LEFT($C$5,2)&amp;"输出",标准坦克设计!$B$23:$U$23,0)))*(VLOOKUP($B161,INDIRECT($B$5&amp;"生成成长"),3))*(VLOOKUP($B$5,标准坦克设计!$B$14:$K$20,9)/30))</f>
        <v>5.2579980197849681</v>
      </c>
      <c r="DX161" s="172">
        <f ca="1">(VLOOKUP(DX$72,INDIRECT($C$5&amp;"生成成长"),2))/((VLOOKUP($B161,INDIRECT($B$5&amp;"生成成长"),4))/(VLOOKUP(DX$72,INDIRECT($C$5&amp;"生成成长"),5))*(VLOOKUP($B$5,标准坦克设计!$B$24:$U$30,MATCH("对"&amp;LEFT($C$5,2)&amp;"输出",标准坦克设计!$B$23:$U$23,0)))*(VLOOKUP($B161,INDIRECT($B$5&amp;"生成成长"),3))*(VLOOKUP($B$5,标准坦克设计!$B$14:$K$20,9)/30))</f>
        <v>5.6886473594362243</v>
      </c>
      <c r="DY161" s="172">
        <f ca="1">(VLOOKUP(DY$72,INDIRECT($C$5&amp;"生成成长"),2))/((VLOOKUP($B161,INDIRECT($B$5&amp;"生成成长"),4))/(VLOOKUP(DY$72,INDIRECT($C$5&amp;"生成成长"),5))*(VLOOKUP($B$5,标准坦克设计!$B$24:$U$30,MATCH("对"&amp;LEFT($C$5,2)&amp;"输出",标准坦克设计!$B$23:$U$23,0)))*(VLOOKUP($B161,INDIRECT($B$5&amp;"生成成长"),3))*(VLOOKUP($B$5,标准坦克设计!$B$14:$K$20,9)/30))</f>
        <v>2.5549713058737207</v>
      </c>
      <c r="DZ161" s="172">
        <f ca="1">(VLOOKUP(DZ$72,INDIRECT($C$5&amp;"生成成长"),2))/((VLOOKUP($B161,INDIRECT($B$5&amp;"生成成长"),4))/(VLOOKUP(DZ$72,INDIRECT($C$5&amp;"生成成长"),5))*(VLOOKUP($B$5,标准坦克设计!$B$24:$U$30,MATCH("对"&amp;LEFT($C$5,2)&amp;"输出",标准坦克设计!$B$23:$U$23,0)))*(VLOOKUP($B161,INDIRECT($B$5&amp;"生成成长"),3))*(VLOOKUP($B$5,标准坦克设计!$B$14:$K$20,9)/30))</f>
        <v>2.829511135347281</v>
      </c>
      <c r="EA161" s="172">
        <f ca="1">(VLOOKUP(EA$72,INDIRECT($C$5&amp;"生成成长"),2))/((VLOOKUP($B161,INDIRECT($B$5&amp;"生成成长"),4))/(VLOOKUP(EA$72,INDIRECT($C$5&amp;"生成成长"),5))*(VLOOKUP($B$5,标准坦克设计!$B$24:$U$30,MATCH("对"&amp;LEFT($C$5,2)&amp;"输出",标准坦克设计!$B$23:$U$23,0)))*(VLOOKUP($B161,INDIRECT($B$5&amp;"生成成长"),3))*(VLOOKUP($B$5,标准坦克设计!$B$14:$K$20,9)/30))</f>
        <v>3.1180580989776567</v>
      </c>
      <c r="EB161" s="172">
        <f ca="1">(VLOOKUP(EB$72,INDIRECT($C$5&amp;"生成成长"),2))/((VLOOKUP($B161,INDIRECT($B$5&amp;"生成成长"),4))/(VLOOKUP(EB$72,INDIRECT($C$5&amp;"生成成长"),5))*(VLOOKUP($B$5,标准坦克设计!$B$24:$U$30,MATCH("对"&amp;LEFT($C$5,2)&amp;"输出",标准坦克设计!$B$23:$U$23,0)))*(VLOOKUP($B161,INDIRECT($B$5&amp;"生成成长"),3))*(VLOOKUP($B$5,标准坦克设计!$B$14:$K$20,9)/30))</f>
        <v>3.4206121967648464</v>
      </c>
      <c r="EC161" s="172">
        <f ca="1">(VLOOKUP(EC$72,INDIRECT($C$5&amp;"生成成长"),2))/((VLOOKUP($B161,INDIRECT($B$5&amp;"生成成长"),4))/(VLOOKUP(EC$72,INDIRECT($C$5&amp;"生成成长"),5))*(VLOOKUP($B$5,标准坦克设计!$B$24:$U$30,MATCH("对"&amp;LEFT($C$5,2)&amp;"输出",标准坦克设计!$B$23:$U$23,0)))*(VLOOKUP($B161,INDIRECT($B$5&amp;"生成成长"),3))*(VLOOKUP($B$5,标准坦克设计!$B$14:$K$20,9)/30))</f>
        <v>3.7371734287088505</v>
      </c>
      <c r="ED161" s="172">
        <f ca="1">(VLOOKUP(ED$72,INDIRECT($C$5&amp;"生成成长"),2))/((VLOOKUP($B161,INDIRECT($B$5&amp;"生成成长"),4))/(VLOOKUP(ED$72,INDIRECT($C$5&amp;"生成成长"),5))*(VLOOKUP($B$5,标准坦克设计!$B$24:$U$30,MATCH("对"&amp;LEFT($C$5,2)&amp;"输出",标准坦克设计!$B$23:$U$23,0)))*(VLOOKUP($B161,INDIRECT($B$5&amp;"生成成长"),3))*(VLOOKUP($B$5,标准坦克设计!$B$14:$K$20,9)/30))</f>
        <v>4.0677417948096695</v>
      </c>
      <c r="EE161" s="172">
        <f ca="1">(VLOOKUP(EE$72,INDIRECT($C$5&amp;"生成成长"),2))/((VLOOKUP($B161,INDIRECT($B$5&amp;"生成成长"),4))/(VLOOKUP(EE$72,INDIRECT($C$5&amp;"生成成长"),5))*(VLOOKUP($B$5,标准坦克设计!$B$24:$U$30,MATCH("对"&amp;LEFT($C$5,2)&amp;"输出",标准坦克设计!$B$23:$U$23,0)))*(VLOOKUP($B161,INDIRECT($B$5&amp;"生成成长"),3))*(VLOOKUP($B$5,标准坦克设计!$B$14:$K$20,9)/30))</f>
        <v>4.412317295067302</v>
      </c>
      <c r="EF161" s="172">
        <f ca="1">(VLOOKUP(EF$72,INDIRECT($C$5&amp;"生成成长"),2))/((VLOOKUP($B161,INDIRECT($B$5&amp;"生成成长"),4))/(VLOOKUP(EF$72,INDIRECT($C$5&amp;"生成成长"),5))*(VLOOKUP($B$5,标准坦克设计!$B$24:$U$30,MATCH("对"&amp;LEFT($C$5,2)&amp;"输出",标准坦克设计!$B$23:$U$23,0)))*(VLOOKUP($B161,INDIRECT($B$5&amp;"生成成长"),3))*(VLOOKUP($B$5,标准坦克设计!$B$14:$K$20,9)/30))</f>
        <v>4.7708999294817485</v>
      </c>
      <c r="EG161" s="172">
        <f ca="1">(VLOOKUP(EG$72,INDIRECT($C$5&amp;"生成成长"),2))/((VLOOKUP($B161,INDIRECT($B$5&amp;"生成成长"),4))/(VLOOKUP(EG$72,INDIRECT($C$5&amp;"生成成长"),5))*(VLOOKUP($B$5,标准坦克设计!$B$24:$U$30,MATCH("对"&amp;LEFT($C$5,2)&amp;"输出",标准坦克设计!$B$23:$U$23,0)))*(VLOOKUP($B161,INDIRECT($B$5&amp;"生成成长"),3))*(VLOOKUP($B$5,标准坦克设计!$B$14:$K$20,9)/30))</f>
        <v>5.1434896980530107</v>
      </c>
      <c r="EH161" s="172">
        <f ca="1">(VLOOKUP(EH$72,INDIRECT($C$5&amp;"生成成长"),2))/((VLOOKUP($B161,INDIRECT($B$5&amp;"生成成长"),4))/(VLOOKUP(EH$72,INDIRECT($C$5&amp;"生成成长"),5))*(VLOOKUP($B$5,标准坦克设计!$B$24:$U$30,MATCH("对"&amp;LEFT($C$5,2)&amp;"输出",标准坦克设计!$B$23:$U$23,0)))*(VLOOKUP($B161,INDIRECT($B$5&amp;"生成成长"),3))*(VLOOKUP($B$5,标准坦克设计!$B$14:$K$20,9)/30))</f>
        <v>5.530086600781086</v>
      </c>
      <c r="EI161" s="172">
        <f ca="1">(VLOOKUP(EI$72,INDIRECT($C$5&amp;"生成成长"),2))/((VLOOKUP($B161,INDIRECT($B$5&amp;"生成成长"),4))/(VLOOKUP(EI$72,INDIRECT($C$5&amp;"生成成长"),5))*(VLOOKUP($B$5,标准坦克设计!$B$24:$U$30,MATCH("对"&amp;LEFT($C$5,2)&amp;"输出",标准坦克设计!$B$23:$U$23,0)))*(VLOOKUP($B161,INDIRECT($B$5&amp;"生成成长"),3))*(VLOOKUP($B$5,标准坦克设计!$B$14:$K$20,9)/30))</f>
        <v>5.9306906376659771</v>
      </c>
      <c r="EJ161" s="172">
        <f ca="1">(VLOOKUP(EJ$72,INDIRECT($C$5&amp;"生成成长"),2))/((VLOOKUP($B161,INDIRECT($B$5&amp;"生成成长"),4))/(VLOOKUP(EJ$72,INDIRECT($C$5&amp;"生成成长"),5))*(VLOOKUP($B$5,标准坦克设计!$B$24:$U$30,MATCH("对"&amp;LEFT($C$5,2)&amp;"输出",标准坦克设计!$B$23:$U$23,0)))*(VLOOKUP($B161,INDIRECT($B$5&amp;"生成成长"),3))*(VLOOKUP($B$5,标准坦克设计!$B$14:$K$20,9)/30))</f>
        <v>6.3453018087076805</v>
      </c>
      <c r="EK161" s="172">
        <f ca="1">(VLOOKUP(EK$72,INDIRECT($C$5&amp;"生成成长"),2))/((VLOOKUP($B161,INDIRECT($B$5&amp;"生成成长"),4))/(VLOOKUP(EK$72,INDIRECT($C$5&amp;"生成成长"),5))*(VLOOKUP($B$5,标准坦克设计!$B$24:$U$30,MATCH("对"&amp;LEFT($C$5,2)&amp;"输出",标准坦克设计!$B$23:$U$23,0)))*(VLOOKUP($B161,INDIRECT($B$5&amp;"生成成长"),3))*(VLOOKUP($B$5,标准坦克设计!$B$14:$K$20,9)/30))</f>
        <v>6.861324631044722</v>
      </c>
      <c r="EL161" s="172">
        <f ca="1">(VLOOKUP(EL$72,INDIRECT($C$5&amp;"生成成长"),2))/((VLOOKUP($B161,INDIRECT($B$5&amp;"生成成长"),4))/(VLOOKUP(EL$72,INDIRECT($C$5&amp;"生成成长"),5))*(VLOOKUP($B$5,标准坦克设计!$B$24:$U$30,MATCH("对"&amp;LEFT($C$5,2)&amp;"输出",标准坦克设计!$B$23:$U$23,0)))*(VLOOKUP($B161,INDIRECT($B$5&amp;"生成成长"),3))*(VLOOKUP($B$5,标准坦克设计!$B$14:$K$20,9)/30))</f>
        <v>7.3975177265675738</v>
      </c>
      <c r="EM161" s="172">
        <f ca="1">(VLOOKUP(EM$72,INDIRECT($C$5&amp;"生成成长"),2))/((VLOOKUP($B161,INDIRECT($B$5&amp;"生成成长"),4))/(VLOOKUP(EM$72,INDIRECT($C$5&amp;"生成成长"),5))*(VLOOKUP($B$5,标准坦克设计!$B$24:$U$30,MATCH("对"&amp;LEFT($C$5,2)&amp;"输出",标准坦克设计!$B$23:$U$23,0)))*(VLOOKUP($B161,INDIRECT($B$5&amp;"生成成长"),3))*(VLOOKUP($B$5,标准坦克设计!$B$14:$K$20,9)/30))</f>
        <v>7.9538810952762402</v>
      </c>
      <c r="EN161" s="172">
        <f ca="1">(VLOOKUP(EN$72,INDIRECT($C$5&amp;"生成成长"),2))/((VLOOKUP($B161,INDIRECT($B$5&amp;"生成成长"),4))/(VLOOKUP(EN$72,INDIRECT($C$5&amp;"生成成长"),5))*(VLOOKUP($B$5,标准坦克设计!$B$24:$U$30,MATCH("对"&amp;LEFT($C$5,2)&amp;"输出",标准坦克设计!$B$23:$U$23,0)))*(VLOOKUP($B161,INDIRECT($B$5&amp;"生成成长"),3))*(VLOOKUP($B$5,标准坦克设计!$B$14:$K$20,9)/30))</f>
        <v>8.5304147371707177</v>
      </c>
      <c r="EO161" s="172">
        <f ca="1">(VLOOKUP(EO$72,INDIRECT($C$5&amp;"生成成长"),2))/((VLOOKUP($B161,INDIRECT($B$5&amp;"生成成长"),4))/(VLOOKUP(EO$72,INDIRECT($C$5&amp;"生成成长"),5))*(VLOOKUP($B$5,标准坦克设计!$B$24:$U$30,MATCH("对"&amp;LEFT($C$5,2)&amp;"输出",标准坦克设计!$B$23:$U$23,0)))*(VLOOKUP($B161,INDIRECT($B$5&amp;"生成成长"),3))*(VLOOKUP($B$5,标准坦克设计!$B$14:$K$20,9)/30))</f>
        <v>9.1271186522510099</v>
      </c>
      <c r="EP161" s="172">
        <f ca="1">(VLOOKUP(EP$72,INDIRECT($C$5&amp;"生成成长"),2))/((VLOOKUP($B161,INDIRECT($B$5&amp;"生成成长"),4))/(VLOOKUP(EP$72,INDIRECT($C$5&amp;"生成成长"),5))*(VLOOKUP($B$5,标准坦克设计!$B$24:$U$30,MATCH("对"&amp;LEFT($C$5,2)&amp;"输出",标准坦克设计!$B$23:$U$23,0)))*(VLOOKUP($B161,INDIRECT($B$5&amp;"生成成长"),3))*(VLOOKUP($B$5,标准坦克设计!$B$14:$K$20,9)/30))</f>
        <v>9.7439928405171123</v>
      </c>
      <c r="EQ161" s="172">
        <f ca="1">(VLOOKUP(EQ$72,INDIRECT($C$5&amp;"生成成长"),2))/((VLOOKUP($B161,INDIRECT($B$5&amp;"生成成长"),4))/(VLOOKUP(EQ$72,INDIRECT($C$5&amp;"生成成长"),5))*(VLOOKUP($B$5,标准坦克设计!$B$24:$U$30,MATCH("对"&amp;LEFT($C$5,2)&amp;"输出",标准坦克设计!$B$23:$U$23,0)))*(VLOOKUP($B161,INDIRECT($B$5&amp;"生成成长"),3))*(VLOOKUP($B$5,标准坦克设计!$B$14:$K$20,9)/30))</f>
        <v>4.3074738959035468</v>
      </c>
      <c r="ER161" s="172">
        <f ca="1">(VLOOKUP(ER$72,INDIRECT($C$5&amp;"生成成长"),2))/((VLOOKUP($B161,INDIRECT($B$5&amp;"生成成长"),4))/(VLOOKUP(ER$72,INDIRECT($C$5&amp;"生成成长"),5))*(VLOOKUP($B$5,标准坦克设计!$B$24:$U$30,MATCH("对"&amp;LEFT($C$5,2)&amp;"输出",标准坦克设计!$B$23:$U$23,0)))*(VLOOKUP($B161,INDIRECT($B$5&amp;"生成成长"),3))*(VLOOKUP($B$5,标准坦克设计!$B$14:$K$20,9)/30))</f>
        <v>4.6980628318663147</v>
      </c>
      <c r="ES161" s="172">
        <f ca="1">(VLOOKUP(ES$72,INDIRECT($C$5&amp;"生成成长"),2))/((VLOOKUP($B161,INDIRECT($B$5&amp;"生成成长"),4))/(VLOOKUP(ES$72,INDIRECT($C$5&amp;"生成成长"),5))*(VLOOKUP($B$5,标准坦克设计!$B$24:$U$30,MATCH("对"&amp;LEFT($C$5,2)&amp;"输出",标准坦克设计!$B$23:$U$23,0)))*(VLOOKUP($B161,INDIRECT($B$5&amp;"生成成长"),3))*(VLOOKUP($B$5,标准坦克设计!$B$14:$K$20,9)/30))</f>
        <v>5.1056004001588278</v>
      </c>
      <c r="ET161" s="172">
        <f ca="1">(VLOOKUP(ET$72,INDIRECT($C$5&amp;"生成成长"),2))/((VLOOKUP($B161,INDIRECT($B$5&amp;"生成成长"),4))/(VLOOKUP(ET$72,INDIRECT($C$5&amp;"生成成长"),5))*(VLOOKUP($B$5,标准坦克设计!$B$24:$U$30,MATCH("对"&amp;LEFT($C$5,2)&amp;"输出",标准坦克设计!$B$23:$U$23,0)))*(VLOOKUP($B161,INDIRECT($B$5&amp;"生成成长"),3))*(VLOOKUP($B$5,标准坦克设计!$B$14:$K$20,9)/30))</f>
        <v>5.530086600781086</v>
      </c>
      <c r="EU161" s="172">
        <f ca="1">(VLOOKUP(EU$72,INDIRECT($C$5&amp;"生成成长"),2))/((VLOOKUP($B161,INDIRECT($B$5&amp;"生成成长"),4))/(VLOOKUP(EU$72,INDIRECT($C$5&amp;"生成成长"),5))*(VLOOKUP($B$5,标准坦克设计!$B$24:$U$30,MATCH("对"&amp;LEFT($C$5,2)&amp;"输出",标准坦克设计!$B$23:$U$23,0)))*(VLOOKUP($B161,INDIRECT($B$5&amp;"生成成长"),3))*(VLOOKUP($B$5,标准坦克设计!$B$14:$K$20,9)/30))</f>
        <v>5.9715214337330904</v>
      </c>
      <c r="EV161" s="172">
        <f ca="1">(VLOOKUP(EV$72,INDIRECT($C$5&amp;"生成成长"),2))/((VLOOKUP($B161,INDIRECT($B$5&amp;"生成成长"),4))/(VLOOKUP(EV$72,INDIRECT($C$5&amp;"生成成长"),5))*(VLOOKUP($B$5,标准坦克设计!$B$24:$U$30,MATCH("对"&amp;LEFT($C$5,2)&amp;"输出",标准坦克设计!$B$23:$U$23,0)))*(VLOOKUP($B161,INDIRECT($B$5&amp;"生成成长"),3))*(VLOOKUP($B$5,标准坦克设计!$B$14:$K$20,9)/30))</f>
        <v>6.42990489901484</v>
      </c>
      <c r="EW161" s="172">
        <f ca="1">(VLOOKUP(EW$72,INDIRECT($C$5&amp;"生成成长"),2))/((VLOOKUP($B161,INDIRECT($B$5&amp;"生成成长"),4))/(VLOOKUP(EW$72,INDIRECT($C$5&amp;"生成成长"),5))*(VLOOKUP($B$5,标准坦克设计!$B$24:$U$30,MATCH("对"&amp;LEFT($C$5,2)&amp;"输出",标准坦克设计!$B$23:$U$23,0)))*(VLOOKUP($B161,INDIRECT($B$5&amp;"生成成长"),3))*(VLOOKUP($B$5,标准坦克设计!$B$14:$K$20,9)/30))</f>
        <v>6.9052369966263338</v>
      </c>
      <c r="EX161" s="172">
        <f ca="1">(VLOOKUP(EX$72,INDIRECT($C$5&amp;"生成成长"),2))/((VLOOKUP($B161,INDIRECT($B$5&amp;"生成成长"),4))/(VLOOKUP(EX$72,INDIRECT($C$5&amp;"生成成长"),5))*(VLOOKUP($B$5,标准坦克设计!$B$24:$U$30,MATCH("对"&amp;LEFT($C$5,2)&amp;"输出",标准坦克设计!$B$23:$U$23,0)))*(VLOOKUP($B161,INDIRECT($B$5&amp;"生成成长"),3))*(VLOOKUP($B$5,标准坦克设计!$B$14:$K$20,9)/30))</f>
        <v>7.3975177265675738</v>
      </c>
      <c r="EY161" s="172">
        <f ca="1">(VLOOKUP(EY$72,INDIRECT($C$5&amp;"生成成长"),2))/((VLOOKUP($B161,INDIRECT($B$5&amp;"生成成长"),4))/(VLOOKUP(EY$72,INDIRECT($C$5&amp;"生成成长"),5))*(VLOOKUP($B$5,标准坦克设计!$B$24:$U$30,MATCH("对"&amp;LEFT($C$5,2)&amp;"输出",标准坦克设计!$B$23:$U$23,0)))*(VLOOKUP($B161,INDIRECT($B$5&amp;"生成成长"),3))*(VLOOKUP($B$5,标准坦克设计!$B$14:$K$20,9)/30))</f>
        <v>7.9067470888385598</v>
      </c>
      <c r="EZ161" s="172">
        <f ca="1">(VLOOKUP(EZ$72,INDIRECT($C$5&amp;"生成成长"),2))/((VLOOKUP($B161,INDIRECT($B$5&amp;"生成成长"),4))/(VLOOKUP(EZ$72,INDIRECT($C$5&amp;"生成成长"),5))*(VLOOKUP($B$5,标准坦克设计!$B$24:$U$30,MATCH("对"&amp;LEFT($C$5,2)&amp;"输出",标准坦克设计!$B$23:$U$23,0)))*(VLOOKUP($B161,INDIRECT($B$5&amp;"生成成长"),3))*(VLOOKUP($B$5,标准坦克设计!$B$14:$K$20,9)/30))</f>
        <v>8.4329250834392901</v>
      </c>
      <c r="FA161" s="172">
        <f ca="1">(VLOOKUP(FA$72,INDIRECT($C$5&amp;"生成成长"),2))/((VLOOKUP($B161,INDIRECT($B$5&amp;"生成成长"),4))/(VLOOKUP(FA$72,INDIRECT($C$5&amp;"生成成长"),5))*(VLOOKUP($B$5,标准坦克设计!$B$24:$U$30,MATCH("对"&amp;LEFT($C$5,2)&amp;"输出",标准坦克设计!$B$23:$U$23,0)))*(VLOOKUP($B161,INDIRECT($B$5&amp;"生成成长"),3))*(VLOOKUP($B$5,标准坦克设计!$B$14:$K$20,9)/30))</f>
        <v>8.9760517103697683</v>
      </c>
      <c r="FB161" s="172">
        <f ca="1">(VLOOKUP(FB$72,INDIRECT($C$5&amp;"生成成长"),2))/((VLOOKUP($B161,INDIRECT($B$5&amp;"生成成长"),4))/(VLOOKUP(FB$72,INDIRECT($C$5&amp;"生成成长"),5))*(VLOOKUP($B$5,标准坦克设计!$B$24:$U$30,MATCH("对"&amp;LEFT($C$5,2)&amp;"输出",标准坦克设计!$B$23:$U$23,0)))*(VLOOKUP($B161,INDIRECT($B$5&amp;"生成成长"),3))*(VLOOKUP($B$5,标准坦克设计!$B$14:$K$20,9)/30))</f>
        <v>9.5361269696299882</v>
      </c>
      <c r="FC161" s="172">
        <f ca="1">(VLOOKUP(FC$72,INDIRECT($C$5&amp;"生成成长"),2))/((VLOOKUP($B161,INDIRECT($B$5&amp;"生成成长"),4))/(VLOOKUP(FC$72,INDIRECT($C$5&amp;"生成成长"),5))*(VLOOKUP($B$5,标准坦克设计!$B$24:$U$30,MATCH("对"&amp;LEFT($C$5,2)&amp;"输出",标准坦克设计!$B$23:$U$23,0)))*(VLOOKUP($B161,INDIRECT($B$5&amp;"生成成长"),3))*(VLOOKUP($B$5,标准坦克设计!$B$14:$K$20,9)/30))</f>
        <v>10.113150861219957</v>
      </c>
      <c r="FD161" s="172">
        <f ca="1">(VLOOKUP(FD$72,INDIRECT($C$5&amp;"生成成长"),2))/((VLOOKUP($B161,INDIRECT($B$5&amp;"生成成长"),4))/(VLOOKUP(FD$72,INDIRECT($C$5&amp;"生成成长"),5))*(VLOOKUP($B$5,标准坦克设计!$B$24:$U$30,MATCH("对"&amp;LEFT($C$5,2)&amp;"输出",标准坦克设计!$B$23:$U$23,0)))*(VLOOKUP($B161,INDIRECT($B$5&amp;"生成成长"),3))*(VLOOKUP($B$5,标准坦克设计!$B$14:$K$20,9)/30))</f>
        <v>10.707123385139669</v>
      </c>
      <c r="FE161" s="172">
        <f ca="1">(VLOOKUP(FE$72,INDIRECT($C$5&amp;"生成成长"),2))/((VLOOKUP($B161,INDIRECT($B$5&amp;"生成成长"),4))/(VLOOKUP(FE$72,INDIRECT($C$5&amp;"生成成长"),5))*(VLOOKUP($B$5,标准坦克设计!$B$24:$U$30,MATCH("对"&amp;LEFT($C$5,2)&amp;"输出",标准坦克设计!$B$23:$U$23,0)))*(VLOOKUP($B161,INDIRECT($B$5&amp;"生成成长"),3))*(VLOOKUP($B$5,标准坦克设计!$B$14:$K$20,9)/30))</f>
        <v>11.430942042693047</v>
      </c>
      <c r="FF161" s="172">
        <f ca="1">(VLOOKUP(FF$72,INDIRECT($C$5&amp;"生成成长"),2))/((VLOOKUP($B161,INDIRECT($B$5&amp;"生成成长"),4))/(VLOOKUP(FF$72,INDIRECT($C$5&amp;"生成成长"),5))*(VLOOKUP($B$5,标准坦克设计!$B$24:$U$30,MATCH("对"&amp;LEFT($C$5,2)&amp;"输出",标准坦克设计!$B$23:$U$23,0)))*(VLOOKUP($B161,INDIRECT($B$5&amp;"生成成长"),3))*(VLOOKUP($B$5,标准坦克设计!$B$14:$K$20,9)/30))</f>
        <v>12.178432756971446</v>
      </c>
      <c r="FG161" s="172">
        <f ca="1">(VLOOKUP(FG$72,INDIRECT($C$5&amp;"生成成长"),2))/((VLOOKUP($B161,INDIRECT($B$5&amp;"生成成长"),4))/(VLOOKUP(FG$72,INDIRECT($C$5&amp;"生成成长"),5))*(VLOOKUP($B$5,标准坦克设计!$B$24:$U$30,MATCH("对"&amp;LEFT($C$5,2)&amp;"输出",标准坦克设计!$B$23:$U$23,0)))*(VLOOKUP($B161,INDIRECT($B$5&amp;"生成成长"),3))*(VLOOKUP($B$5,标准坦克设计!$B$14:$K$20,9)/30))</f>
        <v>12.949595527974859</v>
      </c>
      <c r="FH161" s="172">
        <f ca="1">(VLOOKUP(FH$72,INDIRECT($C$5&amp;"生成成长"),2))/((VLOOKUP($B161,INDIRECT($B$5&amp;"生成成长"),4))/(VLOOKUP(FH$72,INDIRECT($C$5&amp;"生成成长"),5))*(VLOOKUP($B$5,标准坦克设计!$B$24:$U$30,MATCH("对"&amp;LEFT($C$5,2)&amp;"输出",标准坦克设计!$B$23:$U$23,0)))*(VLOOKUP($B161,INDIRECT($B$5&amp;"生成成长"),3))*(VLOOKUP($B$5,标准坦克设计!$B$14:$K$20,9)/30))</f>
        <v>13.74443035570329</v>
      </c>
      <c r="FI161" s="172">
        <f ca="1">(VLOOKUP(FI$72,INDIRECT($C$5&amp;"生成成长"),2))/((VLOOKUP($B161,INDIRECT($B$5&amp;"生成成长"),4))/(VLOOKUP(FI$72,INDIRECT($C$5&amp;"生成成长"),5))*(VLOOKUP($B$5,标准坦克设计!$B$24:$U$30,MATCH("对"&amp;LEFT($C$5,2)&amp;"输出",标准坦克设计!$B$23:$U$23,0)))*(VLOOKUP($B161,INDIRECT($B$5&amp;"生成成长"),3))*(VLOOKUP($B$5,标准坦克设计!$B$14:$K$20,9)/30))</f>
        <v>14.562937240156737</v>
      </c>
      <c r="FJ161" s="172">
        <f ca="1">(VLOOKUP(FJ$72,INDIRECT($C$5&amp;"生成成长"),2))/((VLOOKUP($B161,INDIRECT($B$5&amp;"生成成长"),4))/(VLOOKUP(FJ$72,INDIRECT($C$5&amp;"生成成长"),5))*(VLOOKUP($B$5,标准坦克设计!$B$24:$U$30,MATCH("对"&amp;LEFT($C$5,2)&amp;"输出",标准坦克设计!$B$23:$U$23,0)))*(VLOOKUP($B161,INDIRECT($B$5&amp;"生成成长"),3))*(VLOOKUP($B$5,标准坦克设计!$B$14:$K$20,9)/30))</f>
        <v>15.405116181335197</v>
      </c>
      <c r="FK161" s="172">
        <f ca="1">(VLOOKUP(FK$72,INDIRECT($C$5&amp;"生成成长"),2))/((VLOOKUP($B161,INDIRECT($B$5&amp;"生成成长"),4))/(VLOOKUP(FK$72,INDIRECT($C$5&amp;"生成成长"),5))*(VLOOKUP($B$5,标准坦克设计!$B$24:$U$30,MATCH("对"&amp;LEFT($C$5,2)&amp;"输出",标准坦克设计!$B$23:$U$23,0)))*(VLOOKUP($B161,INDIRECT($B$5&amp;"生成成长"),3))*(VLOOKUP($B$5,标准坦克设计!$B$14:$K$20,9)/30))</f>
        <v>16.270967179238678</v>
      </c>
    </row>
    <row r="162" spans="1:167" x14ac:dyDescent="0.15">
      <c r="A162" s="170" t="str">
        <f t="shared" si="12"/>
        <v>T4中品质18级</v>
      </c>
      <c r="B162" s="171">
        <v>20418</v>
      </c>
      <c r="C162" s="172">
        <f ca="1">(VLOOKUP(C$72,INDIRECT($C$5&amp;"生成成长"),2))/((VLOOKUP($B162,INDIRECT($B$5&amp;"生成成长"),4))/(VLOOKUP(C$72,INDIRECT($C$5&amp;"生成成长"),5))*(VLOOKUP($B$5,标准坦克设计!$B$24:$U$30,MATCH("对"&amp;LEFT($C$5,2)&amp;"输出",标准坦克设计!$B$23:$U$23,0)))*(VLOOKUP($B162,INDIRECT($B$5&amp;"生成成长"),3))*(VLOOKUP($B$5,标准坦克设计!$B$14:$K$20,9)/30))</f>
        <v>0.65764220206907398</v>
      </c>
      <c r="D162" s="172">
        <f ca="1">(VLOOKUP(D$72,INDIRECT($C$5&amp;"生成成长"),2))/((VLOOKUP($B162,INDIRECT($B$5&amp;"生成成长"),4))/(VLOOKUP(D$72,INDIRECT($C$5&amp;"生成成长"),5))*(VLOOKUP($B$5,标准坦克设计!$B$24:$U$30,MATCH("对"&amp;LEFT($C$5,2)&amp;"输出",标准坦克设计!$B$23:$U$23,0)))*(VLOOKUP($B162,INDIRECT($B$5&amp;"生成成长"),3))*(VLOOKUP($B$5,标准坦克设计!$B$14:$K$20,9)/30))</f>
        <v>0.73892677824481123</v>
      </c>
      <c r="E162" s="172">
        <f ca="1">(VLOOKUP(E$72,INDIRECT($C$5&amp;"生成成长"),2))/((VLOOKUP($B162,INDIRECT($B$5&amp;"生成成长"),4))/(VLOOKUP(E$72,INDIRECT($C$5&amp;"生成成长"),5))*(VLOOKUP($B$5,标准坦克设计!$B$24:$U$30,MATCH("对"&amp;LEFT($C$5,2)&amp;"输出",标准坦克设计!$B$23:$U$23,0)))*(VLOOKUP($B162,INDIRECT($B$5&amp;"生成成长"),3))*(VLOOKUP($B$5,标准坦克设计!$B$14:$K$20,9)/30))</f>
        <v>0.82494637827544626</v>
      </c>
      <c r="F162" s="172">
        <f ca="1">(VLOOKUP(F$72,INDIRECT($C$5&amp;"生成成长"),2))/((VLOOKUP($B162,INDIRECT($B$5&amp;"生成成长"),4))/(VLOOKUP(F$72,INDIRECT($C$5&amp;"生成成长"),5))*(VLOOKUP($B$5,标准坦克设计!$B$24:$U$30,MATCH("对"&amp;LEFT($C$5,2)&amp;"输出",标准坦克设计!$B$23:$U$23,0)))*(VLOOKUP($B162,INDIRECT($B$5&amp;"生成成长"),3))*(VLOOKUP($B$5,标准坦克设计!$B$14:$K$20,9)/30))</f>
        <v>0.91570100216097861</v>
      </c>
      <c r="G162" s="172">
        <f ca="1">(VLOOKUP(G$72,INDIRECT($C$5&amp;"生成成长"),2))/((VLOOKUP($B162,INDIRECT($B$5&amp;"生成成长"),4))/(VLOOKUP(G$72,INDIRECT($C$5&amp;"生成成长"),5))*(VLOOKUP($B$5,标准坦克设计!$B$24:$U$30,MATCH("对"&amp;LEFT($C$5,2)&amp;"输出",标准坦克设计!$B$23:$U$23,0)))*(VLOOKUP($B162,INDIRECT($B$5&amp;"生成成长"),3))*(VLOOKUP($B$5,标准坦克设计!$B$14:$K$20,9)/30))</f>
        <v>1.0111906499014081</v>
      </c>
      <c r="H162" s="172">
        <f ca="1">(VLOOKUP(H$72,INDIRECT($C$5&amp;"生成成长"),2))/((VLOOKUP($B162,INDIRECT($B$5&amp;"生成成长"),4))/(VLOOKUP(H$72,INDIRECT($C$5&amp;"生成成长"),5))*(VLOOKUP($B$5,标准坦克设计!$B$24:$U$30,MATCH("对"&amp;LEFT($C$5,2)&amp;"输出",标准坦克设计!$B$23:$U$23,0)))*(VLOOKUP($B162,INDIRECT($B$5&amp;"生成成长"),3))*(VLOOKUP($B$5,标准坦克设计!$B$14:$K$20,9)/30))</f>
        <v>0.88492334710414589</v>
      </c>
      <c r="I162" s="172">
        <f ca="1">(VLOOKUP(I$72,INDIRECT($C$5&amp;"生成成长"),2))/((VLOOKUP($B162,INDIRECT($B$5&amp;"生成成长"),4))/(VLOOKUP(I$72,INDIRECT($C$5&amp;"生成成长"),5))*(VLOOKUP($B$5,标准坦克设计!$B$24:$U$30,MATCH("对"&amp;LEFT($C$5,2)&amp;"输出",标准坦克设计!$B$23:$U$23,0)))*(VLOOKUP($B162,INDIRECT($B$5&amp;"生成成长"),3))*(VLOOKUP($B$5,标准坦克设计!$B$14:$K$20,9)/30))</f>
        <v>1.0111906499014081</v>
      </c>
      <c r="J162" s="172">
        <f ca="1">(VLOOKUP(J$72,INDIRECT($C$5&amp;"生成成长"),2))/((VLOOKUP($B162,INDIRECT($B$5&amp;"生成成长"),4))/(VLOOKUP(J$72,INDIRECT($C$5&amp;"生成成长"),5))*(VLOOKUP($B$5,标准坦克设计!$B$24:$U$30,MATCH("对"&amp;LEFT($C$5,2)&amp;"输出",标准坦克设计!$B$23:$U$23,0)))*(VLOOKUP($B162,INDIRECT($B$5&amp;"生成成长"),3))*(VLOOKUP($B$5,标准坦克设计!$B$14:$K$20,9)/30))</f>
        <v>1.1458757728851541</v>
      </c>
      <c r="K162" s="172">
        <f ca="1">(VLOOKUP(K$72,INDIRECT($C$5&amp;"生成成长"),2))/((VLOOKUP($B162,INDIRECT($B$5&amp;"生成成长"),4))/(VLOOKUP(K$72,INDIRECT($C$5&amp;"生成成长"),5))*(VLOOKUP($B$5,标准坦克设计!$B$24:$U$30,MATCH("对"&amp;LEFT($C$5,2)&amp;"输出",标准坦克设计!$B$23:$U$23,0)))*(VLOOKUP($B162,INDIRECT($B$5&amp;"生成成长"),3))*(VLOOKUP($B$5,标准坦克设计!$B$14:$K$20,9)/30))</f>
        <v>1.2889787160553847</v>
      </c>
      <c r="L162" s="172">
        <f ca="1">(VLOOKUP(L$72,INDIRECT($C$5&amp;"生成成长"),2))/((VLOOKUP($B162,INDIRECT($B$5&amp;"生成成长"),4))/(VLOOKUP(L$72,INDIRECT($C$5&amp;"生成成长"),5))*(VLOOKUP($B$5,标准坦克设计!$B$24:$U$30,MATCH("对"&amp;LEFT($C$5,2)&amp;"输出",标准坦克设计!$B$23:$U$23,0)))*(VLOOKUP($B162,INDIRECT($B$5&amp;"生成成长"),3))*(VLOOKUP($B$5,标准坦克设计!$B$14:$K$20,9)/30))</f>
        <v>1.4404994794120993</v>
      </c>
      <c r="M162" s="172">
        <f ca="1">(VLOOKUP(M$72,INDIRECT($C$5&amp;"生成成长"),2))/((VLOOKUP($B162,INDIRECT($B$5&amp;"生成成长"),4))/(VLOOKUP(M$72,INDIRECT($C$5&amp;"生成成长"),5))*(VLOOKUP($B$5,标准坦克设计!$B$24:$U$30,MATCH("对"&amp;LEFT($C$5,2)&amp;"输出",标准坦克设计!$B$23:$U$23,0)))*(VLOOKUP($B162,INDIRECT($B$5&amp;"生成成长"),3))*(VLOOKUP($B$5,标准坦克设计!$B$14:$K$20,9)/30))</f>
        <v>1.6004380629552979</v>
      </c>
      <c r="N162" s="172">
        <f ca="1">(VLOOKUP(N$72,INDIRECT($C$5&amp;"生成成长"),2))/((VLOOKUP($B162,INDIRECT($B$5&amp;"生成成长"),4))/(VLOOKUP(N$72,INDIRECT($C$5&amp;"生成成长"),5))*(VLOOKUP($B$5,标准坦克设计!$B$24:$U$30,MATCH("对"&amp;LEFT($C$5,2)&amp;"输出",标准坦克设计!$B$23:$U$23,0)))*(VLOOKUP($B162,INDIRECT($B$5&amp;"生成成长"),3))*(VLOOKUP($B$5,标准坦克设计!$B$14:$K$20,9)/30))</f>
        <v>1.7687944666849809</v>
      </c>
      <c r="O162" s="172">
        <f ca="1">(VLOOKUP(O$72,INDIRECT($C$5&amp;"生成成长"),2))/((VLOOKUP($B162,INDIRECT($B$5&amp;"生成成长"),4))/(VLOOKUP(O$72,INDIRECT($C$5&amp;"生成成长"),5))*(VLOOKUP($B$5,标准坦克设计!$B$24:$U$30,MATCH("对"&amp;LEFT($C$5,2)&amp;"输出",标准坦克设计!$B$23:$U$23,0)))*(VLOOKUP($B162,INDIRECT($B$5&amp;"生成成长"),3))*(VLOOKUP($B$5,标准坦克设计!$B$14:$K$20,9)/30))</f>
        <v>1.3448125390110492</v>
      </c>
      <c r="P162" s="172">
        <f ca="1">(VLOOKUP(P$72,INDIRECT($C$5&amp;"生成成长"),2))/((VLOOKUP($B162,INDIRECT($B$5&amp;"生成成长"),4))/(VLOOKUP(P$72,INDIRECT($C$5&amp;"生成成长"),5))*(VLOOKUP($B$5,标准坦克设计!$B$24:$U$30,MATCH("对"&amp;LEFT($C$5,2)&amp;"输出",标准坦克设计!$B$23:$U$23,0)))*(VLOOKUP($B162,INDIRECT($B$5&amp;"生成成长"),3))*(VLOOKUP($B$5,标准坦克设计!$B$14:$K$20,9)/30))</f>
        <v>1.5194165436603884</v>
      </c>
      <c r="Q162" s="172">
        <f ca="1">(VLOOKUP(Q$72,INDIRECT($C$5&amp;"生成成长"),2))/((VLOOKUP($B162,INDIRECT($B$5&amp;"生成成长"),4))/(VLOOKUP(Q$72,INDIRECT($C$5&amp;"生成成长"),5))*(VLOOKUP($B$5,标准坦克设计!$B$24:$U$30,MATCH("对"&amp;LEFT($C$5,2)&amp;"输出",标准坦克设计!$B$23:$U$23,0)))*(VLOOKUP($B162,INDIRECT($B$5&amp;"生成成长"),3))*(VLOOKUP($B$5,标准坦克设计!$B$14:$K$20,9)/30))</f>
        <v>1.7046743519832466</v>
      </c>
      <c r="R162" s="172">
        <f ca="1">(VLOOKUP(R$72,INDIRECT($C$5&amp;"生成成长"),2))/((VLOOKUP($B162,INDIRECT($B$5&amp;"生成成长"),4))/(VLOOKUP(R$72,INDIRECT($C$5&amp;"生成成长"),5))*(VLOOKUP($B$5,标准坦克设计!$B$24:$U$30,MATCH("对"&amp;LEFT($C$5,2)&amp;"输出",标准坦克设计!$B$23:$U$23,0)))*(VLOOKUP($B162,INDIRECT($B$5&amp;"生成成长"),3))*(VLOOKUP($B$5,标准坦克设计!$B$14:$K$20,9)/30))</f>
        <v>1.9005859639796232</v>
      </c>
      <c r="S162" s="172">
        <f ca="1">(VLOOKUP(S$72,INDIRECT($C$5&amp;"生成成长"),2))/((VLOOKUP($B162,INDIRECT($B$5&amp;"生成成长"),4))/(VLOOKUP(S$72,INDIRECT($C$5&amp;"生成成长"),5))*(VLOOKUP($B$5,标准坦克设计!$B$24:$U$30,MATCH("对"&amp;LEFT($C$5,2)&amp;"输出",标准坦克设计!$B$23:$U$23,0)))*(VLOOKUP($B162,INDIRECT($B$5&amp;"生成成长"),3))*(VLOOKUP($B$5,标准坦克设计!$B$14:$K$20,9)/30))</f>
        <v>2.1071513796495198</v>
      </c>
      <c r="T162" s="172">
        <f ca="1">(VLOOKUP(T$72,INDIRECT($C$5&amp;"生成成长"),2))/((VLOOKUP($B162,INDIRECT($B$5&amp;"生成成长"),4))/(VLOOKUP(T$72,INDIRECT($C$5&amp;"生成成长"),5))*(VLOOKUP($B$5,标准坦克设计!$B$24:$U$30,MATCH("对"&amp;LEFT($C$5,2)&amp;"输出",标准坦克设计!$B$23:$U$23,0)))*(VLOOKUP($B162,INDIRECT($B$5&amp;"生成成长"),3))*(VLOOKUP($B$5,标准坦克设计!$B$14:$K$20,9)/30))</f>
        <v>2.3243705989929344</v>
      </c>
      <c r="U162" s="172">
        <f ca="1">(VLOOKUP(U$72,INDIRECT($C$5&amp;"生成成长"),2))/((VLOOKUP($B162,INDIRECT($B$5&amp;"生成成长"),4))/(VLOOKUP(U$72,INDIRECT($C$5&amp;"生成成长"),5))*(VLOOKUP($B$5,标准坦克设计!$B$24:$U$30,MATCH("对"&amp;LEFT($C$5,2)&amp;"输出",标准坦克设计!$B$23:$U$23,0)))*(VLOOKUP($B162,INDIRECT($B$5&amp;"生成成长"),3))*(VLOOKUP($B$5,标准坦克设计!$B$14:$K$20,9)/30))</f>
        <v>2.5522436220098679</v>
      </c>
      <c r="V162" s="172">
        <f ca="1">(VLOOKUP(V$72,INDIRECT($C$5&amp;"生成成长"),2))/((VLOOKUP($B162,INDIRECT($B$5&amp;"生成成长"),4))/(VLOOKUP(V$72,INDIRECT($C$5&amp;"生成成长"),5))*(VLOOKUP($B$5,标准坦克设计!$B$24:$U$30,MATCH("对"&amp;LEFT($C$5,2)&amp;"输出",标准坦克设计!$B$23:$U$23,0)))*(VLOOKUP($B162,INDIRECT($B$5&amp;"生成成长"),3))*(VLOOKUP($B$5,标准坦克设计!$B$14:$K$20,9)/30))</f>
        <v>2.7907704487003215</v>
      </c>
      <c r="W162" s="172">
        <f ca="1">(VLOOKUP(W$72,INDIRECT($C$5&amp;"生成成长"),2))/((VLOOKUP($B162,INDIRECT($B$5&amp;"生成成长"),4))/(VLOOKUP(W$72,INDIRECT($C$5&amp;"生成成长"),5))*(VLOOKUP($B$5,标准坦克设计!$B$24:$U$30,MATCH("对"&amp;LEFT($C$5,2)&amp;"输出",标准坦克设计!$B$23:$U$23,0)))*(VLOOKUP($B162,INDIRECT($B$5&amp;"生成成长"),3))*(VLOOKUP($B$5,标准坦克设计!$B$14:$K$20,9)/30))</f>
        <v>3.0399510790642936</v>
      </c>
      <c r="X162" s="172">
        <f ca="1">(VLOOKUP(X$72,INDIRECT($C$5&amp;"生成成长"),2))/((VLOOKUP($B162,INDIRECT($B$5&amp;"生成成长"),4))/(VLOOKUP(X$72,INDIRECT($C$5&amp;"生成成长"),5))*(VLOOKUP($B$5,标准坦克设计!$B$24:$U$30,MATCH("对"&amp;LEFT($C$5,2)&amp;"输出",标准坦克设计!$B$23:$U$23,0)))*(VLOOKUP($B162,INDIRECT($B$5&amp;"生成成长"),3))*(VLOOKUP($B$5,标准坦克设计!$B$14:$K$20,9)/30))</f>
        <v>2.2023779705091213</v>
      </c>
      <c r="Y162" s="172">
        <f ca="1">(VLOOKUP(Y$72,INDIRECT($C$5&amp;"生成成长"),2))/((VLOOKUP($B162,INDIRECT($B$5&amp;"生成成长"),4))/(VLOOKUP(Y$72,INDIRECT($C$5&amp;"生成成长"),5))*(VLOOKUP($B$5,标准坦克设计!$B$24:$U$30,MATCH("对"&amp;LEFT($C$5,2)&amp;"输出",标准坦克设计!$B$23:$U$23,0)))*(VLOOKUP($B162,INDIRECT($B$5&amp;"生成成长"),3))*(VLOOKUP($B$5,标准坦克设计!$B$14:$K$20,9)/30))</f>
        <v>2.4496514384870931</v>
      </c>
      <c r="Z162" s="172">
        <f ca="1">(VLOOKUP(Z$72,INDIRECT($C$5&amp;"生成成长"),2))/((VLOOKUP($B162,INDIRECT($B$5&amp;"生成成长"),4))/(VLOOKUP(Z$72,INDIRECT($C$5&amp;"生成成长"),5))*(VLOOKUP($B$5,标准坦克设计!$B$24:$U$30,MATCH("对"&amp;LEFT($C$5,2)&amp;"输出",标准坦克设计!$B$23:$U$23,0)))*(VLOOKUP($B162,INDIRECT($B$5&amp;"生成成长"),3))*(VLOOKUP($B$5,标准坦克设计!$B$14:$K$20,9)/30))</f>
        <v>2.7100777505064464</v>
      </c>
      <c r="AA162" s="172">
        <f ca="1">(VLOOKUP(AA$72,INDIRECT($C$5&amp;"生成成长"),2))/((VLOOKUP($B162,INDIRECT($B$5&amp;"生成成长"),4))/(VLOOKUP(AA$72,INDIRECT($C$5&amp;"生成成长"),5))*(VLOOKUP($B$5,标准坦克设计!$B$24:$U$30,MATCH("对"&amp;LEFT($C$5,2)&amp;"输出",标准坦克设计!$B$23:$U$23,0)))*(VLOOKUP($B162,INDIRECT($B$5&amp;"生成成长"),3))*(VLOOKUP($B$5,标准坦克设计!$B$14:$K$20,9)/30))</f>
        <v>2.9836569065671812</v>
      </c>
      <c r="AB162" s="172">
        <f ca="1">(VLOOKUP(AB$72,INDIRECT($C$5&amp;"生成成长"),2))/((VLOOKUP($B162,INDIRECT($B$5&amp;"生成成长"),4))/(VLOOKUP(AB$72,INDIRECT($C$5&amp;"生成成长"),5))*(VLOOKUP($B$5,标准坦克设计!$B$24:$U$30,MATCH("对"&amp;LEFT($C$5,2)&amp;"输出",标准坦克设计!$B$23:$U$23,0)))*(VLOOKUP($B162,INDIRECT($B$5&amp;"生成成长"),3))*(VLOOKUP($B$5,标准坦克设计!$B$14:$K$20,9)/30))</f>
        <v>3.2703889066692975</v>
      </c>
      <c r="AC162" s="172">
        <f ca="1">(VLOOKUP(AC$72,INDIRECT($C$5&amp;"生成成长"),2))/((VLOOKUP($B162,INDIRECT($B$5&amp;"生成成长"),4))/(VLOOKUP(AC$72,INDIRECT($C$5&amp;"生成成长"),5))*(VLOOKUP($B$5,标准坦克设计!$B$24:$U$30,MATCH("对"&amp;LEFT($C$5,2)&amp;"输出",标准坦克设计!$B$23:$U$23,0)))*(VLOOKUP($B162,INDIRECT($B$5&amp;"生成成长"),3))*(VLOOKUP($B$5,标准坦克设计!$B$14:$K$20,9)/30))</f>
        <v>3.5702737508127953</v>
      </c>
      <c r="AD162" s="172">
        <f ca="1">(VLOOKUP(AD$72,INDIRECT($C$5&amp;"生成成长"),2))/((VLOOKUP($B162,INDIRECT($B$5&amp;"生成成长"),4))/(VLOOKUP(AD$72,INDIRECT($C$5&amp;"生成成长"),5))*(VLOOKUP($B$5,标准坦克设计!$B$24:$U$30,MATCH("对"&amp;LEFT($C$5,2)&amp;"输出",标准坦克设计!$B$23:$U$23,0)))*(VLOOKUP($B162,INDIRECT($B$5&amp;"生成成长"),3))*(VLOOKUP($B$5,标准坦克设计!$B$14:$K$20,9)/30))</f>
        <v>3.8833114389976742</v>
      </c>
      <c r="AE162" s="172">
        <f ca="1">(VLOOKUP(AE$72,INDIRECT($C$5&amp;"生成成长"),2))/((VLOOKUP($B162,INDIRECT($B$5&amp;"生成成长"),4))/(VLOOKUP(AE$72,INDIRECT($C$5&amp;"生成成长"),5))*(VLOOKUP($B$5,标准坦克设计!$B$24:$U$30,MATCH("对"&amp;LEFT($C$5,2)&amp;"输出",标准坦克设计!$B$23:$U$23,0)))*(VLOOKUP($B162,INDIRECT($B$5&amp;"生成成长"),3))*(VLOOKUP($B$5,标准坦克设计!$B$14:$K$20,9)/30))</f>
        <v>4.2095019712239345</v>
      </c>
      <c r="AF162" s="172">
        <f ca="1">(VLOOKUP(AF$72,INDIRECT($C$5&amp;"生成成长"),2))/((VLOOKUP($B162,INDIRECT($B$5&amp;"生成成长"),4))/(VLOOKUP(AF$72,INDIRECT($C$5&amp;"生成成长"),5))*(VLOOKUP($B$5,标准坦克设计!$B$24:$U$30,MATCH("对"&amp;LEFT($C$5,2)&amp;"输出",标准坦克设计!$B$23:$U$23,0)))*(VLOOKUP($B162,INDIRECT($B$5&amp;"生成成长"),3))*(VLOOKUP($B$5,标准坦克设计!$B$14:$K$20,9)/30))</f>
        <v>4.5488453474915769</v>
      </c>
      <c r="AG162" s="172">
        <f ca="1">(VLOOKUP(AG$72,INDIRECT($C$5&amp;"生成成长"),2))/((VLOOKUP($B162,INDIRECT($B$5&amp;"生成成长"),4))/(VLOOKUP(AG$72,INDIRECT($C$5&amp;"生成成长"),5))*(VLOOKUP($B$5,标准坦克设计!$B$24:$U$30,MATCH("对"&amp;LEFT($C$5,2)&amp;"输出",标准坦克设计!$B$23:$U$23,0)))*(VLOOKUP($B162,INDIRECT($B$5&amp;"生成成长"),3))*(VLOOKUP($B$5,标准坦克设计!$B$14:$K$20,9)/30))</f>
        <v>4.9013415678006007</v>
      </c>
      <c r="AH162" s="172">
        <f ca="1">(VLOOKUP(AH$72,INDIRECT($C$5&amp;"生成成长"),2))/((VLOOKUP($B162,INDIRECT($B$5&amp;"生成成长"),4))/(VLOOKUP(AH$72,INDIRECT($C$5&amp;"生成成长"),5))*(VLOOKUP($B$5,标准坦克设计!$B$24:$U$30,MATCH("对"&amp;LEFT($C$5,2)&amp;"输出",标准坦克设计!$B$23:$U$23,0)))*(VLOOKUP($B162,INDIRECT($B$5&amp;"生成成长"),3))*(VLOOKUP($B$5,标准坦克设计!$B$14:$K$20,9)/30))</f>
        <v>5.2669906321510052</v>
      </c>
      <c r="AI162" s="172">
        <f ca="1">(VLOOKUP(AI$72,INDIRECT($C$5&amp;"生成成长"),2))/((VLOOKUP($B162,INDIRECT($B$5&amp;"生成成长"),4))/(VLOOKUP(AI$72,INDIRECT($C$5&amp;"生成成长"),5))*(VLOOKUP($B$5,标准坦克设计!$B$24:$U$30,MATCH("对"&amp;LEFT($C$5,2)&amp;"输出",标准坦克设计!$B$23:$U$23,0)))*(VLOOKUP($B162,INDIRECT($B$5&amp;"生成成长"),3))*(VLOOKUP($B$5,标准坦克设计!$B$14:$K$20,9)/30))</f>
        <v>3.7251484894000617</v>
      </c>
      <c r="AJ162" s="172">
        <f ca="1">(VLOOKUP(AJ$72,INDIRECT($C$5&amp;"生成成长"),2))/((VLOOKUP($B162,INDIRECT($B$5&amp;"生成成长"),4))/(VLOOKUP(AJ$72,INDIRECT($C$5&amp;"生成成长"),5))*(VLOOKUP($B$5,标准坦克设计!$B$24:$U$30,MATCH("对"&amp;LEFT($C$5,2)&amp;"输出",标准坦克设计!$B$23:$U$23,0)))*(VLOOKUP($B162,INDIRECT($B$5&amp;"生成成长"),3))*(VLOOKUP($B$5,标准坦克设计!$B$14:$K$20,9)/30))</f>
        <v>4.0774474170484645</v>
      </c>
      <c r="AK162" s="172">
        <f ca="1">(VLOOKUP(AK$72,INDIRECT($C$5&amp;"生成成长"),2))/((VLOOKUP($B162,INDIRECT($B$5&amp;"生成成长"),4))/(VLOOKUP(AK$72,INDIRECT($C$5&amp;"生成成长"),5))*(VLOOKUP($B$5,标准坦克设计!$B$24:$U$30,MATCH("对"&amp;LEFT($C$5,2)&amp;"输出",标准坦克设计!$B$23:$U$23,0)))*(VLOOKUP($B162,INDIRECT($B$5&amp;"生成成长"),3))*(VLOOKUP($B$5,标准坦克设计!$B$14:$K$20,9)/30))</f>
        <v>4.4456612859869393</v>
      </c>
      <c r="AL162" s="172">
        <f ca="1">(VLOOKUP(AL$72,INDIRECT($C$5&amp;"生成成长"),2))/((VLOOKUP($B162,INDIRECT($B$5&amp;"生成成长"),4))/(VLOOKUP(AL$72,INDIRECT($C$5&amp;"生成成长"),5))*(VLOOKUP($B$5,标准坦克设计!$B$24:$U$30,MATCH("对"&amp;LEFT($C$5,2)&amp;"输出",标准坦克设计!$B$23:$U$23,0)))*(VLOOKUP($B162,INDIRECT($B$5&amp;"生成成长"),3))*(VLOOKUP($B$5,标准坦克设计!$B$14:$K$20,9)/30))</f>
        <v>4.8297900962154845</v>
      </c>
      <c r="AM162" s="172">
        <f ca="1">(VLOOKUP(AM$72,INDIRECT($C$5&amp;"生成成长"),2))/((VLOOKUP($B162,INDIRECT($B$5&amp;"生成成长"),4))/(VLOOKUP(AM$72,INDIRECT($C$5&amp;"生成成长"),5))*(VLOOKUP($B$5,标准坦克设计!$B$24:$U$30,MATCH("对"&amp;LEFT($C$5,2)&amp;"输出",标准坦克设计!$B$23:$U$23,0)))*(VLOOKUP($B162,INDIRECT($B$5&amp;"生成成长"),3))*(VLOOKUP($B$5,标准坦克设计!$B$14:$K$20,9)/30))</f>
        <v>5.2298338477341035</v>
      </c>
      <c r="AN162" s="172">
        <f ca="1">(VLOOKUP(AN$72,INDIRECT($C$5&amp;"生成成长"),2))/((VLOOKUP($B162,INDIRECT($B$5&amp;"生成成长"),4))/(VLOOKUP(AN$72,INDIRECT($C$5&amp;"生成成长"),5))*(VLOOKUP($B$5,标准坦克设计!$B$24:$U$30,MATCH("对"&amp;LEFT($C$5,2)&amp;"输出",标准坦克设计!$B$23:$U$23,0)))*(VLOOKUP($B162,INDIRECT($B$5&amp;"生成成长"),3))*(VLOOKUP($B$5,标准坦克设计!$B$14:$K$20,9)/30))</f>
        <v>5.645792540542792</v>
      </c>
      <c r="AO162" s="172">
        <f ca="1">(VLOOKUP(AO$72,INDIRECT($C$5&amp;"生成成长"),2))/((VLOOKUP($B162,INDIRECT($B$5&amp;"生成成长"),4))/(VLOOKUP(AO$72,INDIRECT($C$5&amp;"生成成长"),5))*(VLOOKUP($B$5,标准坦克设计!$B$24:$U$30,MATCH("对"&amp;LEFT($C$5,2)&amp;"输出",标准坦克设计!$B$23:$U$23,0)))*(VLOOKUP($B162,INDIRECT($B$5&amp;"生成成长"),3))*(VLOOKUP($B$5,标准坦克设计!$B$14:$K$20,9)/30))</f>
        <v>6.0776661746415535</v>
      </c>
      <c r="AP162" s="172">
        <f ca="1">(VLOOKUP(AP$72,INDIRECT($C$5&amp;"生成成长"),2))/((VLOOKUP($B162,INDIRECT($B$5&amp;"生成成长"),4))/(VLOOKUP(AP$72,INDIRECT($C$5&amp;"生成成长"),5))*(VLOOKUP($B$5,标准坦克设计!$B$24:$U$30,MATCH("对"&amp;LEFT($C$5,2)&amp;"输出",标准坦克设计!$B$23:$U$23,0)))*(VLOOKUP($B162,INDIRECT($B$5&amp;"生成成长"),3))*(VLOOKUP($B$5,标准坦克设计!$B$14:$K$20,9)/30))</f>
        <v>6.5254547500303861</v>
      </c>
      <c r="AQ162" s="172">
        <f ca="1">(VLOOKUP(AQ$72,INDIRECT($C$5&amp;"生成成长"),2))/((VLOOKUP($B162,INDIRECT($B$5&amp;"生成成长"),4))/(VLOOKUP(AQ$72,INDIRECT($C$5&amp;"生成成长"),5))*(VLOOKUP($B$5,标准坦克设计!$B$24:$U$30,MATCH("对"&amp;LEFT($C$5,2)&amp;"输出",标准坦克设计!$B$23:$U$23,0)))*(VLOOKUP($B162,INDIRECT($B$5&amp;"生成成长"),3))*(VLOOKUP($B$5,标准坦克设计!$B$14:$K$20,9)/30))</f>
        <v>6.98915826670929</v>
      </c>
      <c r="AR162" s="172">
        <f ca="1">(VLOOKUP(AR$72,INDIRECT($C$5&amp;"生成成长"),2))/((VLOOKUP($B162,INDIRECT($B$5&amp;"生成成长"),4))/(VLOOKUP(AR$72,INDIRECT($C$5&amp;"生成成长"),5))*(VLOOKUP($B$5,标准坦克设计!$B$24:$U$30,MATCH("对"&amp;LEFT($C$5,2)&amp;"输出",标准坦克设计!$B$23:$U$23,0)))*(VLOOKUP($B162,INDIRECT($B$5&amp;"生成成长"),3))*(VLOOKUP($B$5,标准坦克设计!$B$14:$K$20,9)/30))</f>
        <v>7.4687767246782641</v>
      </c>
      <c r="AS162" s="172">
        <f ca="1">(VLOOKUP(AS$72,INDIRECT($C$5&amp;"生成成长"),2))/((VLOOKUP($B162,INDIRECT($B$5&amp;"生成成长"),4))/(VLOOKUP(AS$72,INDIRECT($C$5&amp;"生成成长"),5))*(VLOOKUP($B$5,标准坦克设计!$B$24:$U$30,MATCH("对"&amp;LEFT($C$5,2)&amp;"输出",标准坦克设计!$B$23:$U$23,0)))*(VLOOKUP($B162,INDIRECT($B$5&amp;"生成成长"),3))*(VLOOKUP($B$5,标准坦克设计!$B$14:$K$20,9)/30))</f>
        <v>7.9643101239373122</v>
      </c>
      <c r="AT162" s="172">
        <f ca="1">(VLOOKUP(AT$72,INDIRECT($C$5&amp;"生成成长"),2))/((VLOOKUP($B162,INDIRECT($B$5&amp;"生成成长"),4))/(VLOOKUP(AT$72,INDIRECT($C$5&amp;"生成成长"),5))*(VLOOKUP($B$5,标准坦克设计!$B$24:$U$30,MATCH("对"&amp;LEFT($C$5,2)&amp;"输出",标准坦克设计!$B$23:$U$23,0)))*(VLOOKUP($B162,INDIRECT($B$5&amp;"生成成长"),3))*(VLOOKUP($B$5,标准坦克设计!$B$14:$K$20,9)/30))</f>
        <v>8.4757584644864288</v>
      </c>
      <c r="AU162" s="172">
        <f ca="1">(VLOOKUP(AU$72,INDIRECT($C$5&amp;"生成成长"),2))/((VLOOKUP($B162,INDIRECT($B$5&amp;"生成成长"),4))/(VLOOKUP(AU$72,INDIRECT($C$5&amp;"生成成长"),5))*(VLOOKUP($B$5,标准坦克设计!$B$24:$U$30,MATCH("对"&amp;LEFT($C$5,2)&amp;"输出",标准坦克设计!$B$23:$U$23,0)))*(VLOOKUP($B162,INDIRECT($B$5&amp;"生成成长"),3))*(VLOOKUP($B$5,标准坦克设计!$B$14:$K$20,9)/30))</f>
        <v>9.0031217463256201</v>
      </c>
      <c r="AV162" s="172">
        <f ca="1">(VLOOKUP(AV$72,INDIRECT($C$5&amp;"生成成长"),2))/((VLOOKUP($B162,INDIRECT($B$5&amp;"生成成长"),4))/(VLOOKUP(AV$72,INDIRECT($C$5&amp;"生成成长"),5))*(VLOOKUP($B$5,标准坦克设计!$B$24:$U$30,MATCH("对"&amp;LEFT($C$5,2)&amp;"输出",标准坦克设计!$B$23:$U$23,0)))*(VLOOKUP($B162,INDIRECT($B$5&amp;"生成成长"),3))*(VLOOKUP($B$5,标准坦克设计!$B$14:$K$20,9)/30))</f>
        <v>0.91570100216097861</v>
      </c>
      <c r="AW162" s="172">
        <f ca="1">(VLOOKUP(AW$72,INDIRECT($C$5&amp;"生成成长"),2))/((VLOOKUP($B162,INDIRECT($B$5&amp;"生成成长"),4))/(VLOOKUP(AW$72,INDIRECT($C$5&amp;"生成成长"),5))*(VLOOKUP($B$5,标准坦克设计!$B$24:$U$30,MATCH("对"&amp;LEFT($C$5,2)&amp;"输出",标准坦克设计!$B$23:$U$23,0)))*(VLOOKUP($B162,INDIRECT($B$5&amp;"生成成长"),3))*(VLOOKUP($B$5,标准坦克设计!$B$14:$K$20,9)/30))</f>
        <v>1.0440727600048616</v>
      </c>
      <c r="AX162" s="172">
        <f ca="1">(VLOOKUP(AX$72,INDIRECT($C$5&amp;"生成成长"),2))/((VLOOKUP($B162,INDIRECT($B$5&amp;"生成成长"),4))/(VLOOKUP(AX$72,INDIRECT($C$5&amp;"生成成长"),5))*(VLOOKUP($B$5,标准坦克设计!$B$24:$U$30,MATCH("对"&amp;LEFT($C$5,2)&amp;"输出",标准坦克设计!$B$23:$U$23,0)))*(VLOOKUP($B162,INDIRECT($B$5&amp;"生成成长"),3))*(VLOOKUP($B$5,标准坦克设计!$B$14:$K$20,9)/30))</f>
        <v>1.1808623380352288</v>
      </c>
      <c r="AY162" s="172">
        <f ca="1">(VLOOKUP(AY$72,INDIRECT($C$5&amp;"生成成长"),2))/((VLOOKUP($B162,INDIRECT($B$5&amp;"生成成长"),4))/(VLOOKUP(AY$72,INDIRECT($C$5&amp;"生成成长"),5))*(VLOOKUP($B$5,标准坦克设计!$B$24:$U$30,MATCH("对"&amp;LEFT($C$5,2)&amp;"输出",标准坦克设计!$B$23:$U$23,0)))*(VLOOKUP($B162,INDIRECT($B$5&amp;"生成成长"),3))*(VLOOKUP($B$5,标准坦克设计!$B$14:$K$20,9)/30))</f>
        <v>1.3260697362520806</v>
      </c>
      <c r="AZ162" s="172">
        <f ca="1">(VLOOKUP(AZ$72,INDIRECT($C$5&amp;"生成成长"),2))/((VLOOKUP($B162,INDIRECT($B$5&amp;"生成成长"),4))/(VLOOKUP(AZ$72,INDIRECT($C$5&amp;"生成成长"),5))*(VLOOKUP($B$5,标准坦克设计!$B$24:$U$30,MATCH("对"&amp;LEFT($C$5,2)&amp;"输出",标准坦克设计!$B$23:$U$23,0)))*(VLOOKUP($B162,INDIRECT($B$5&amp;"生成成长"),3))*(VLOOKUP($B$5,标准坦克设计!$B$14:$K$20,9)/30))</f>
        <v>1.4796949546554161</v>
      </c>
      <c r="BA162" s="172">
        <f ca="1">(VLOOKUP(BA$72,INDIRECT($C$5&amp;"生成成长"),2))/((VLOOKUP($B162,INDIRECT($B$5&amp;"生成成长"),4))/(VLOOKUP(BA$72,INDIRECT($C$5&amp;"生成成长"),5))*(VLOOKUP($B$5,标准坦克设计!$B$24:$U$30,MATCH("对"&amp;LEFT($C$5,2)&amp;"输出",标准坦克设计!$B$23:$U$23,0)))*(VLOOKUP($B162,INDIRECT($B$5&amp;"生成成长"),3))*(VLOOKUP($B$5,标准坦克设计!$B$14:$K$20,9)/30))</f>
        <v>1.6417379932452361</v>
      </c>
      <c r="BB162" s="172">
        <f ca="1">(VLOOKUP(BB$72,INDIRECT($C$5&amp;"生成成长"),2))/((VLOOKUP($B162,INDIRECT($B$5&amp;"生成成长"),4))/(VLOOKUP(BB$72,INDIRECT($C$5&amp;"生成成长"),5))*(VLOOKUP($B$5,标准坦克设计!$B$24:$U$30,MATCH("对"&amp;LEFT($C$5,2)&amp;"输出",标准坦克设计!$B$23:$U$23,0)))*(VLOOKUP($B162,INDIRECT($B$5&amp;"生成成长"),3))*(VLOOKUP($B$5,标准坦克设计!$B$14:$K$20,9)/30))</f>
        <v>1.81219885202154</v>
      </c>
      <c r="BC162" s="172">
        <f ca="1">(VLOOKUP(BC$72,INDIRECT($C$5&amp;"生成成长"),2))/((VLOOKUP($B162,INDIRECT($B$5&amp;"生成成长"),4))/(VLOOKUP(BC$72,INDIRECT($C$5&amp;"生成成长"),5))*(VLOOKUP($B$5,标准坦克设计!$B$24:$U$30,MATCH("对"&amp;LEFT($C$5,2)&amp;"输出",标准坦克设计!$B$23:$U$23,0)))*(VLOOKUP($B162,INDIRECT($B$5&amp;"生成成长"),3))*(VLOOKUP($B$5,标准坦克设计!$B$14:$K$20,9)/30))</f>
        <v>1.991077530984328</v>
      </c>
      <c r="BD162" s="172">
        <f ca="1">(VLOOKUP(BD$72,INDIRECT($C$5&amp;"生成成长"),2))/((VLOOKUP($B162,INDIRECT($B$5&amp;"生成成长"),4))/(VLOOKUP(BD$72,INDIRECT($C$5&amp;"生成成长"),5))*(VLOOKUP($B$5,标准坦克设计!$B$24:$U$30,MATCH("对"&amp;LEFT($C$5,2)&amp;"输出",标准坦克设计!$B$23:$U$23,0)))*(VLOOKUP($B162,INDIRECT($B$5&amp;"生成成长"),3))*(VLOOKUP($B$5,标准坦克设计!$B$14:$K$20,9)/30))</f>
        <v>2.2023779705091213</v>
      </c>
      <c r="BE162" s="172">
        <f ca="1">(VLOOKUP(BE$72,INDIRECT($C$5&amp;"生成成长"),2))/((VLOOKUP($B162,INDIRECT($B$5&amp;"生成成长"),4))/(VLOOKUP(BE$72,INDIRECT($C$5&amp;"生成成长"),5))*(VLOOKUP($B$5,标准坦克设计!$B$24:$U$30,MATCH("对"&amp;LEFT($C$5,2)&amp;"输出",标准坦克设计!$B$23:$U$23,0)))*(VLOOKUP($B162,INDIRECT($B$5&amp;"生成成长"),3))*(VLOOKUP($B$5,标准坦克设计!$B$14:$K$20,9)/30))</f>
        <v>2.4243322137074341</v>
      </c>
      <c r="BF162" s="172">
        <f ca="1">(VLOOKUP(BF$72,INDIRECT($C$5&amp;"生成成长"),2))/((VLOOKUP($B162,INDIRECT($B$5&amp;"生成成长"),4))/(VLOOKUP(BF$72,INDIRECT($C$5&amp;"生成成长"),5))*(VLOOKUP($B$5,标准坦克设计!$B$24:$U$30,MATCH("对"&amp;LEFT($C$5,2)&amp;"输出",标准坦克设计!$B$23:$U$23,0)))*(VLOOKUP($B162,INDIRECT($B$5&amp;"生成成长"),3))*(VLOOKUP($B$5,标准坦克设计!$B$14:$K$20,9)/30))</f>
        <v>2.6569402605792654</v>
      </c>
      <c r="BG162" s="172">
        <f ca="1">(VLOOKUP(BG$72,INDIRECT($C$5&amp;"生成成长"),2))/((VLOOKUP($B162,INDIRECT($B$5&amp;"生成成长"),4))/(VLOOKUP(BG$72,INDIRECT($C$5&amp;"生成成长"),5))*(VLOOKUP($B$5,标准坦克设计!$B$24:$U$30,MATCH("对"&amp;LEFT($C$5,2)&amp;"输出",标准坦克设计!$B$23:$U$23,0)))*(VLOOKUP($B162,INDIRECT($B$5&amp;"生成成长"),3))*(VLOOKUP($B$5,标准坦克设计!$B$14:$K$20,9)/30))</f>
        <v>2.9002021111246155</v>
      </c>
      <c r="BH162" s="172">
        <f ca="1">(VLOOKUP(BH$72,INDIRECT($C$5&amp;"生成成长"),2))/((VLOOKUP($B162,INDIRECT($B$5&amp;"生成成长"),4))/(VLOOKUP(BH$72,INDIRECT($C$5&amp;"生成成长"),5))*(VLOOKUP($B$5,标准坦克设计!$B$24:$U$30,MATCH("对"&amp;LEFT($C$5,2)&amp;"输出",标准坦克设计!$B$23:$U$23,0)))*(VLOOKUP($B162,INDIRECT($B$5&amp;"生成成长"),3))*(VLOOKUP($B$5,标准坦克设计!$B$14:$K$20,9)/30))</f>
        <v>1.401830117930438</v>
      </c>
      <c r="BI162" s="172">
        <f ca="1">(VLOOKUP(BI$72,INDIRECT($C$5&amp;"生成成长"),2))/((VLOOKUP($B162,INDIRECT($B$5&amp;"生成成长"),4))/(VLOOKUP(BI$72,INDIRECT($C$5&amp;"生成成长"),5))*(VLOOKUP($B$5,标准坦克设计!$B$24:$U$30,MATCH("对"&amp;LEFT($C$5,2)&amp;"输出",标准坦克设计!$B$23:$U$23,0)))*(VLOOKUP($B162,INDIRECT($B$5&amp;"生成成长"),3))*(VLOOKUP($B$5,标准坦克设计!$B$14:$K$20,9)/30))</f>
        <v>1.5799853904709498</v>
      </c>
      <c r="BJ162" s="172">
        <f ca="1">(VLOOKUP(BJ$72,INDIRECT($C$5&amp;"生成成长"),2))/((VLOOKUP($B162,INDIRECT($B$5&amp;"生成成长"),4))/(VLOOKUP(BJ$72,INDIRECT($C$5&amp;"生成成长"),5))*(VLOOKUP($B$5,标准坦克设计!$B$24:$U$30,MATCH("对"&amp;LEFT($C$5,2)&amp;"输出",标准坦克设计!$B$23:$U$23,0)))*(VLOOKUP($B162,INDIRECT($B$5&amp;"生成成长"),3))*(VLOOKUP($B$5,标准坦克设计!$B$14:$K$20,9)/30))</f>
        <v>1.7687944666849809</v>
      </c>
      <c r="BK162" s="172">
        <f ca="1">(VLOOKUP(BK$72,INDIRECT($C$5&amp;"生成成长"),2))/((VLOOKUP($B162,INDIRECT($B$5&amp;"生成成长"),4))/(VLOOKUP(BK$72,INDIRECT($C$5&amp;"生成成长"),5))*(VLOOKUP($B$5,标准坦克设计!$B$24:$U$30,MATCH("对"&amp;LEFT($C$5,2)&amp;"输出",标准坦克设计!$B$23:$U$23,0)))*(VLOOKUP($B162,INDIRECT($B$5&amp;"生成成长"),3))*(VLOOKUP($B$5,标准坦克设计!$B$14:$K$20,9)/30))</f>
        <v>1.9682573465725313</v>
      </c>
      <c r="BL162" s="172">
        <f ca="1">(VLOOKUP(BL$72,INDIRECT($C$5&amp;"生成成长"),2))/((VLOOKUP($B162,INDIRECT($B$5&amp;"生成成长"),4))/(VLOOKUP(BL$72,INDIRECT($C$5&amp;"生成成长"),5))*(VLOOKUP($B$5,标准坦克设计!$B$24:$U$30,MATCH("对"&amp;LEFT($C$5,2)&amp;"输出",标准坦克设计!$B$23:$U$23,0)))*(VLOOKUP($B162,INDIRECT($B$5&amp;"生成成长"),3))*(VLOOKUP($B$5,标准坦克设计!$B$14:$K$20,9)/30))</f>
        <v>2.1783740301336003</v>
      </c>
      <c r="BM162" s="172">
        <f ca="1">(VLOOKUP(BM$72,INDIRECT($C$5&amp;"生成成长"),2))/((VLOOKUP($B162,INDIRECT($B$5&amp;"生成成长"),4))/(VLOOKUP(BM$72,INDIRECT($C$5&amp;"生成成长"),5))*(VLOOKUP($B$5,标准坦克设计!$B$24:$U$30,MATCH("对"&amp;LEFT($C$5,2)&amp;"输出",标准坦克设计!$B$23:$U$23,0)))*(VLOOKUP($B162,INDIRECT($B$5&amp;"生成成长"),3))*(VLOOKUP($B$5,标准坦克设计!$B$14:$K$20,9)/30))</f>
        <v>2.3991445173681885</v>
      </c>
      <c r="BN162" s="172">
        <f ca="1">(VLOOKUP(BN$72,INDIRECT($C$5&amp;"生成成长"),2))/((VLOOKUP($B162,INDIRECT($B$5&amp;"生成成长"),4))/(VLOOKUP(BN$72,INDIRECT($C$5&amp;"生成成长"),5))*(VLOOKUP($B$5,标准坦克设计!$B$24:$U$30,MATCH("对"&amp;LEFT($C$5,2)&amp;"输出",标准坦克设计!$B$23:$U$23,0)))*(VLOOKUP($B162,INDIRECT($B$5&amp;"生成成长"),3))*(VLOOKUP($B$5,标准坦克设计!$B$14:$K$20,9)/30))</f>
        <v>2.6305688082762959</v>
      </c>
      <c r="BO162" s="172">
        <f ca="1">(VLOOKUP(BO$72,INDIRECT($C$5&amp;"生成成长"),2))/((VLOOKUP($B162,INDIRECT($B$5&amp;"生成成长"),4))/(VLOOKUP(BO$72,INDIRECT($C$5&amp;"生成成长"),5))*(VLOOKUP($B$5,标准坦克设计!$B$24:$U$30,MATCH("对"&amp;LEFT($C$5,2)&amp;"输出",标准坦克设计!$B$23:$U$23,0)))*(VLOOKUP($B162,INDIRECT($B$5&amp;"生成成长"),3))*(VLOOKUP($B$5,标准坦克设计!$B$14:$K$20,9)/30))</f>
        <v>2.8726469028579218</v>
      </c>
      <c r="BP162" s="172">
        <f ca="1">(VLOOKUP(BP$72,INDIRECT($C$5&amp;"生成成长"),2))/((VLOOKUP($B162,INDIRECT($B$5&amp;"生成成长"),4))/(VLOOKUP(BP$72,INDIRECT($C$5&amp;"生成成长"),5))*(VLOOKUP($B$5,标准坦克设计!$B$24:$U$30,MATCH("对"&amp;LEFT($C$5,2)&amp;"输出",标准坦克设计!$B$23:$U$23,0)))*(VLOOKUP($B162,INDIRECT($B$5&amp;"生成成长"),3))*(VLOOKUP($B$5,标准坦克设计!$B$14:$K$20,9)/30))</f>
        <v>3.1253788011130665</v>
      </c>
      <c r="BQ162" s="172">
        <f ca="1">(VLOOKUP(BQ$72,INDIRECT($C$5&amp;"生成成长"),2))/((VLOOKUP($B162,INDIRECT($B$5&amp;"生成成长"),4))/(VLOOKUP(BQ$72,INDIRECT($C$5&amp;"生成成长"),5))*(VLOOKUP($B$5,标准坦克设计!$B$24:$U$30,MATCH("对"&amp;LEFT($C$5,2)&amp;"输出",标准坦克设计!$B$23:$U$23,0)))*(VLOOKUP($B162,INDIRECT($B$5&amp;"生成成长"),3))*(VLOOKUP($B$5,标准坦克设计!$B$14:$K$20,9)/30))</f>
        <v>3.388764503041731</v>
      </c>
      <c r="BR162" s="172">
        <f ca="1">(VLOOKUP(BR$72,INDIRECT($C$5&amp;"生成成长"),2))/((VLOOKUP($B162,INDIRECT($B$5&amp;"生成成长"),4))/(VLOOKUP(BR$72,INDIRECT($C$5&amp;"生成成长"),5))*(VLOOKUP($B$5,标准坦克设计!$B$24:$U$30,MATCH("对"&amp;LEFT($C$5,2)&amp;"输出",标准坦克设计!$B$23:$U$23,0)))*(VLOOKUP($B162,INDIRECT($B$5&amp;"生成成长"),3))*(VLOOKUP($B$5,标准坦克设计!$B$14:$K$20,9)/30))</f>
        <v>3.6939104848017807</v>
      </c>
      <c r="BS162" s="172">
        <f ca="1">(VLOOKUP(BS$72,INDIRECT($C$5&amp;"生成成长"),2))/((VLOOKUP($B162,INDIRECT($B$5&amp;"生成成长"),4))/(VLOOKUP(BS$72,INDIRECT($C$5&amp;"生成成长"),5))*(VLOOKUP($B$5,标准坦克设计!$B$24:$U$30,MATCH("对"&amp;LEFT($C$5,2)&amp;"输出",标准坦克设计!$B$23:$U$23,0)))*(VLOOKUP($B162,INDIRECT($B$5&amp;"生成成长"),3))*(VLOOKUP($B$5,标准坦克设计!$B$14:$K$20,9)/30))</f>
        <v>4.0122093106032128</v>
      </c>
      <c r="BT162" s="172">
        <f ca="1">(VLOOKUP(BT$72,INDIRECT($C$5&amp;"生成成长"),2))/((VLOOKUP($B162,INDIRECT($B$5&amp;"生成成长"),4))/(VLOOKUP(BT$72,INDIRECT($C$5&amp;"生成成长"),5))*(VLOOKUP($B$5,标准坦克设计!$B$24:$U$30,MATCH("对"&amp;LEFT($C$5,2)&amp;"输出",标准坦克设计!$B$23:$U$23,0)))*(VLOOKUP($B162,INDIRECT($B$5&amp;"生成成长"),3))*(VLOOKUP($B$5,标准坦克设计!$B$14:$K$20,9)/30))</f>
        <v>4.3436609804460264</v>
      </c>
      <c r="BU162" s="172">
        <f ca="1">(VLOOKUP(BU$72,INDIRECT($C$5&amp;"生成成长"),2))/((VLOOKUP($B162,INDIRECT($B$5&amp;"生成成长"),4))/(VLOOKUP(BU$72,INDIRECT($C$5&amp;"生成成长"),5))*(VLOOKUP($B$5,标准坦克设计!$B$24:$U$30,MATCH("对"&amp;LEFT($C$5,2)&amp;"输出",标准坦克设计!$B$23:$U$23,0)))*(VLOOKUP($B162,INDIRECT($B$5&amp;"生成成长"),3))*(VLOOKUP($B$5,标准坦克设计!$B$14:$K$20,9)/30))</f>
        <v>4.6882654943302207</v>
      </c>
      <c r="BV162" s="172">
        <f ca="1">(VLOOKUP(BV$72,INDIRECT($C$5&amp;"生成成长"),2))/((VLOOKUP($B162,INDIRECT($B$5&amp;"生成成长"),4))/(VLOOKUP(BV$72,INDIRECT($C$5&amp;"生成成长"),5))*(VLOOKUP($B$5,标准坦克设计!$B$24:$U$30,MATCH("对"&amp;LEFT($C$5,2)&amp;"输出",标准坦克设计!$B$23:$U$23,0)))*(VLOOKUP($B162,INDIRECT($B$5&amp;"生成成长"),3))*(VLOOKUP($B$5,标准坦克设计!$B$14:$K$20,9)/30))</f>
        <v>5.0460228522557973</v>
      </c>
      <c r="BW162" s="172">
        <f ca="1">(VLOOKUP(BW$72,INDIRECT($C$5&amp;"生成成长"),2))/((VLOOKUP($B162,INDIRECT($B$5&amp;"生成成长"),4))/(VLOOKUP(BW$72,INDIRECT($C$5&amp;"生成成长"),5))*(VLOOKUP($B$5,标准坦克设计!$B$24:$U$30,MATCH("对"&amp;LEFT($C$5,2)&amp;"输出",标准坦克设计!$B$23:$U$23,0)))*(VLOOKUP($B162,INDIRECT($B$5&amp;"生成成长"),3))*(VLOOKUP($B$5,标准坦克设计!$B$14:$K$20,9)/30))</f>
        <v>2.2997090164153442</v>
      </c>
      <c r="BX162" s="172">
        <f ca="1">(VLOOKUP(BX$72,INDIRECT($C$5&amp;"生成成长"),2))/((VLOOKUP($B162,INDIRECT($B$5&amp;"生成成长"),4))/(VLOOKUP(BX$72,INDIRECT($C$5&amp;"生成成长"),5))*(VLOOKUP($B$5,标准坦克设计!$B$24:$U$30,MATCH("对"&amp;LEFT($C$5,2)&amp;"输出",标准坦克设计!$B$23:$U$23,0)))*(VLOOKUP($B162,INDIRECT($B$5&amp;"生成成长"),3))*(VLOOKUP($B$5,标准坦克设计!$B$14:$K$20,9)/30))</f>
        <v>2.5522436220098679</v>
      </c>
      <c r="BY162" s="172">
        <f ca="1">(VLOOKUP(BY$72,INDIRECT($C$5&amp;"生成成长"),2))/((VLOOKUP($B162,INDIRECT($B$5&amp;"生成成长"),4))/(VLOOKUP(BY$72,INDIRECT($C$5&amp;"生成成长"),5))*(VLOOKUP($B$5,标准坦克设计!$B$24:$U$30,MATCH("对"&amp;LEFT($C$5,2)&amp;"输出",标准坦克设计!$B$23:$U$23,0)))*(VLOOKUP($B162,INDIRECT($B$5&amp;"生成成长"),3))*(VLOOKUP($B$5,标准坦克设计!$B$14:$K$20,9)/30))</f>
        <v>2.8179310716457744</v>
      </c>
      <c r="BZ162" s="172">
        <f ca="1">(VLOOKUP(BZ$72,INDIRECT($C$5&amp;"生成成长"),2))/((VLOOKUP($B162,INDIRECT($B$5&amp;"生成成长"),4))/(VLOOKUP(BZ$72,INDIRECT($C$5&amp;"生成成长"),5))*(VLOOKUP($B$5,标准坦克设计!$B$24:$U$30,MATCH("对"&amp;LEFT($C$5,2)&amp;"输出",标准坦克设计!$B$23:$U$23,0)))*(VLOOKUP($B162,INDIRECT($B$5&amp;"生成成长"),3))*(VLOOKUP($B$5,标准坦克设计!$B$14:$K$20,9)/30))</f>
        <v>3.096771365323062</v>
      </c>
      <c r="CA162" s="172">
        <f ca="1">(VLOOKUP(CA$72,INDIRECT($C$5&amp;"生成成长"),2))/((VLOOKUP($B162,INDIRECT($B$5&amp;"生成成长"),4))/(VLOOKUP(CA$72,INDIRECT($C$5&amp;"生成成长"),5))*(VLOOKUP($B$5,标准坦克设计!$B$24:$U$30,MATCH("对"&amp;LEFT($C$5,2)&amp;"输出",标准坦克设计!$B$23:$U$23,0)))*(VLOOKUP($B162,INDIRECT($B$5&amp;"生成成长"),3))*(VLOOKUP($B$5,标准坦克设计!$B$14:$K$20,9)/30))</f>
        <v>3.388764503041731</v>
      </c>
      <c r="CB162" s="172">
        <f ca="1">(VLOOKUP(CB$72,INDIRECT($C$5&amp;"生成成长"),2))/((VLOOKUP($B162,INDIRECT($B$5&amp;"生成成长"),4))/(VLOOKUP(CB$72,INDIRECT($C$5&amp;"生成成长"),5))*(VLOOKUP($B$5,标准坦克设计!$B$24:$U$30,MATCH("对"&amp;LEFT($C$5,2)&amp;"输出",标准坦克设计!$B$23:$U$23,0)))*(VLOOKUP($B162,INDIRECT($B$5&amp;"生成成长"),3))*(VLOOKUP($B$5,标准坦克设计!$B$14:$K$20,9)/30))</f>
        <v>3.6939104848017807</v>
      </c>
      <c r="CC162" s="172">
        <f ca="1">(VLOOKUP(CC$72,INDIRECT($C$5&amp;"生成成长"),2))/((VLOOKUP($B162,INDIRECT($B$5&amp;"生成成长"),4))/(VLOOKUP(CC$72,INDIRECT($C$5&amp;"生成成长"),5))*(VLOOKUP($B$5,标准坦克设计!$B$24:$U$30,MATCH("对"&amp;LEFT($C$5,2)&amp;"输出",标准坦克设计!$B$23:$U$23,0)))*(VLOOKUP($B162,INDIRECT($B$5&amp;"生成成长"),3))*(VLOOKUP($B$5,标准坦克设计!$B$14:$K$20,9)/30))</f>
        <v>4.0122093106032128</v>
      </c>
      <c r="CD162" s="172">
        <f ca="1">(VLOOKUP(CD$72,INDIRECT($C$5&amp;"生成成长"),2))/((VLOOKUP($B162,INDIRECT($B$5&amp;"生成成长"),4))/(VLOOKUP(CD$72,INDIRECT($C$5&amp;"生成成长"),5))*(VLOOKUP($B$5,标准坦克设计!$B$24:$U$30,MATCH("对"&amp;LEFT($C$5,2)&amp;"输出",标准坦克设计!$B$23:$U$23,0)))*(VLOOKUP($B162,INDIRECT($B$5&amp;"生成成长"),3))*(VLOOKUP($B$5,标准坦克设计!$B$14:$K$20,9)/30))</f>
        <v>4.3436609804460264</v>
      </c>
      <c r="CE162" s="172">
        <f ca="1">(VLOOKUP(CE$72,INDIRECT($C$5&amp;"生成成长"),2))/((VLOOKUP($B162,INDIRECT($B$5&amp;"生成成长"),4))/(VLOOKUP(CE$72,INDIRECT($C$5&amp;"生成成长"),5))*(VLOOKUP($B$5,标准坦克设计!$B$24:$U$30,MATCH("对"&amp;LEFT($C$5,2)&amp;"输出",标准坦克设计!$B$23:$U$23,0)))*(VLOOKUP($B162,INDIRECT($B$5&amp;"生成成长"),3))*(VLOOKUP($B$5,标准坦克设计!$B$14:$K$20,9)/30))</f>
        <v>4.6882654943302207</v>
      </c>
      <c r="CF162" s="172">
        <f ca="1">(VLOOKUP(CF$72,INDIRECT($C$5&amp;"生成成长"),2))/((VLOOKUP($B162,INDIRECT($B$5&amp;"生成成长"),4))/(VLOOKUP(CF$72,INDIRECT($C$5&amp;"生成成长"),5))*(VLOOKUP($B$5,标准坦克设计!$B$24:$U$30,MATCH("对"&amp;LEFT($C$5,2)&amp;"输出",标准坦克设计!$B$23:$U$23,0)))*(VLOOKUP($B162,INDIRECT($B$5&amp;"生成成长"),3))*(VLOOKUP($B$5,标准坦克设计!$B$14:$K$20,9)/30))</f>
        <v>5.0460228522557973</v>
      </c>
      <c r="CG162" s="172">
        <f ca="1">(VLOOKUP(CG$72,INDIRECT($C$5&amp;"生成成长"),2))/((VLOOKUP($B162,INDIRECT($B$5&amp;"生成成长"),4))/(VLOOKUP(CG$72,INDIRECT($C$5&amp;"生成成长"),5))*(VLOOKUP($B$5,标准坦克设计!$B$24:$U$30,MATCH("对"&amp;LEFT($C$5,2)&amp;"输出",标准坦克设计!$B$23:$U$23,0)))*(VLOOKUP($B162,INDIRECT($B$5&amp;"生成成长"),3))*(VLOOKUP($B$5,标准坦克设计!$B$14:$K$20,9)/30))</f>
        <v>5.4169330542227545</v>
      </c>
      <c r="CH162" s="172">
        <f ca="1">(VLOOKUP(CH$72,INDIRECT($C$5&amp;"生成成长"),2))/((VLOOKUP($B162,INDIRECT($B$5&amp;"生成成长"),4))/(VLOOKUP(CH$72,INDIRECT($C$5&amp;"生成成长"),5))*(VLOOKUP($B$5,标准坦克设计!$B$24:$U$30,MATCH("对"&amp;LEFT($C$5,2)&amp;"输出",标准坦克设计!$B$23:$U$23,0)))*(VLOOKUP($B162,INDIRECT($B$5&amp;"生成成长"),3))*(VLOOKUP($B$5,标准坦克设计!$B$14:$K$20,9)/30))</f>
        <v>5.8009961002310924</v>
      </c>
      <c r="CI162" s="172">
        <f ca="1">(VLOOKUP(CI$72,INDIRECT($C$5&amp;"生成成长"),2))/((VLOOKUP($B162,INDIRECT($B$5&amp;"生成成长"),4))/(VLOOKUP(CI$72,INDIRECT($C$5&amp;"生成成长"),5))*(VLOOKUP($B$5,标准坦克设计!$B$24:$U$30,MATCH("对"&amp;LEFT($C$5,2)&amp;"输出",标准坦克设计!$B$23:$U$23,0)))*(VLOOKUP($B162,INDIRECT($B$5&amp;"生成成长"),3))*(VLOOKUP($B$5,标准坦克设计!$B$14:$K$20,9)/30))</f>
        <v>6.2386569857080625</v>
      </c>
      <c r="CJ162" s="172">
        <f ca="1">(VLOOKUP(CJ$72,INDIRECT($C$5&amp;"生成成长"),2))/((VLOOKUP($B162,INDIRECT($B$5&amp;"生成成长"),4))/(VLOOKUP(CJ$72,INDIRECT($C$5&amp;"生成成长"),5))*(VLOOKUP($B$5,标准坦克设计!$B$24:$U$30,MATCH("对"&amp;LEFT($C$5,2)&amp;"输出",标准坦克设计!$B$23:$U$23,0)))*(VLOOKUP($B162,INDIRECT($B$5&amp;"生成成长"),3))*(VLOOKUP($B$5,标准坦克设计!$B$14:$K$20,9)/30))</f>
        <v>6.6922328124751012</v>
      </c>
      <c r="CK162" s="172">
        <f ca="1">(VLOOKUP(CK$72,INDIRECT($C$5&amp;"生成成长"),2))/((VLOOKUP($B162,INDIRECT($B$5&amp;"生成成长"),4))/(VLOOKUP(CK$72,INDIRECT($C$5&amp;"生成成长"),5))*(VLOOKUP($B$5,标准坦克设计!$B$24:$U$30,MATCH("对"&amp;LEFT($C$5,2)&amp;"输出",标准坦克设计!$B$23:$U$23,0)))*(VLOOKUP($B162,INDIRECT($B$5&amp;"生成成长"),3))*(VLOOKUP($B$5,标准坦克设计!$B$14:$K$20,9)/30))</f>
        <v>7.1617235805322146</v>
      </c>
      <c r="CL162" s="172">
        <f ca="1">(VLOOKUP(CL$72,INDIRECT($C$5&amp;"生成成长"),2))/((VLOOKUP($B162,INDIRECT($B$5&amp;"生成成长"),4))/(VLOOKUP(CL$72,INDIRECT($C$5&amp;"生成成长"),5))*(VLOOKUP($B$5,标准坦克设计!$B$24:$U$30,MATCH("对"&amp;LEFT($C$5,2)&amp;"输出",标准坦克设计!$B$23:$U$23,0)))*(VLOOKUP($B162,INDIRECT($B$5&amp;"生成成长"),3))*(VLOOKUP($B$5,标准坦克设计!$B$14:$K$20,9)/30))</f>
        <v>7.6471292898793974</v>
      </c>
      <c r="CM162" s="172">
        <f ca="1">(VLOOKUP(CM$72,INDIRECT($C$5&amp;"生成成长"),2))/((VLOOKUP($B162,INDIRECT($B$5&amp;"生成成长"),4))/(VLOOKUP(CM$72,INDIRECT($C$5&amp;"生成成长"),5))*(VLOOKUP($B$5,标准坦克设计!$B$24:$U$30,MATCH("对"&amp;LEFT($C$5,2)&amp;"输出",标准坦克设计!$B$23:$U$23,0)))*(VLOOKUP($B162,INDIRECT($B$5&amp;"生成成长"),3))*(VLOOKUP($B$5,标准坦克设计!$B$14:$K$20,9)/30))</f>
        <v>8.1484499405166524</v>
      </c>
      <c r="CN162" s="172">
        <f ca="1">(VLOOKUP(CN$72,INDIRECT($C$5&amp;"生成成长"),2))/((VLOOKUP($B162,INDIRECT($B$5&amp;"生成成长"),4))/(VLOOKUP(CN$72,INDIRECT($C$5&amp;"生成成长"),5))*(VLOOKUP($B$5,标准坦克设计!$B$24:$U$30,MATCH("对"&amp;LEFT($C$5,2)&amp;"输出",标准坦克设计!$B$23:$U$23,0)))*(VLOOKUP($B162,INDIRECT($B$5&amp;"生成成长"),3))*(VLOOKUP($B$5,标准坦克设计!$B$14:$K$20,9)/30))</f>
        <v>8.6656855324439803</v>
      </c>
      <c r="CO162" s="172">
        <f ca="1">(VLOOKUP(CO$72,INDIRECT($C$5&amp;"生成成长"),2))/((VLOOKUP($B162,INDIRECT($B$5&amp;"生成成长"),4))/(VLOOKUP(CO$72,INDIRECT($C$5&amp;"生成成长"),5))*(VLOOKUP($B$5,标准坦克设计!$B$24:$U$30,MATCH("对"&amp;LEFT($C$5,2)&amp;"输出",标准坦克设计!$B$23:$U$23,0)))*(VLOOKUP($B162,INDIRECT($B$5&amp;"生成成长"),3))*(VLOOKUP($B$5,标准坦克设计!$B$14:$K$20,9)/30))</f>
        <v>3.8833114389976742</v>
      </c>
      <c r="CP162" s="172">
        <f ca="1">(VLOOKUP(CP$72,INDIRECT($C$5&amp;"生成成长"),2))/((VLOOKUP($B162,INDIRECT($B$5&amp;"生成成长"),4))/(VLOOKUP(CP$72,INDIRECT($C$5&amp;"生成成长"),5))*(VLOOKUP($B$5,标准坦克设计!$B$24:$U$30,MATCH("对"&amp;LEFT($C$5,2)&amp;"输出",标准坦克设计!$B$23:$U$23,0)))*(VLOOKUP($B162,INDIRECT($B$5&amp;"生成成长"),3))*(VLOOKUP($B$5,标准坦克设计!$B$14:$K$20,9)/30))</f>
        <v>4.2428444308688373</v>
      </c>
      <c r="CQ162" s="172">
        <f ca="1">(VLOOKUP(CQ$72,INDIRECT($C$5&amp;"生成成长"),2))/((VLOOKUP($B162,INDIRECT($B$5&amp;"生成成长"),4))/(VLOOKUP(CQ$72,INDIRECT($C$5&amp;"生成成长"),5))*(VLOOKUP($B$5,标准坦克设计!$B$24:$U$30,MATCH("对"&amp;LEFT($C$5,2)&amp;"输出",标准坦克设计!$B$23:$U$23,0)))*(VLOOKUP($B162,INDIRECT($B$5&amp;"生成成长"),3))*(VLOOKUP($B$5,标准坦克设计!$B$14:$K$20,9)/30))</f>
        <v>4.6182923640300704</v>
      </c>
      <c r="CR162" s="172">
        <f ca="1">(VLOOKUP(CR$72,INDIRECT($C$5&amp;"生成成长"),2))/((VLOOKUP($B162,INDIRECT($B$5&amp;"生成成长"),4))/(VLOOKUP(CR$72,INDIRECT($C$5&amp;"生成成长"),5))*(VLOOKUP($B$5,标准坦克设计!$B$24:$U$30,MATCH("对"&amp;LEFT($C$5,2)&amp;"输出",标准坦克设计!$B$23:$U$23,0)))*(VLOOKUP($B162,INDIRECT($B$5&amp;"生成成长"),3))*(VLOOKUP($B$5,标准坦克设计!$B$14:$K$20,9)/30))</f>
        <v>5.0096552384813764</v>
      </c>
      <c r="CS162" s="172">
        <f ca="1">(VLOOKUP(CS$72,INDIRECT($C$5&amp;"生成成长"),2))/((VLOOKUP($B162,INDIRECT($B$5&amp;"生成成长"),4))/(VLOOKUP(CS$72,INDIRECT($C$5&amp;"生成成长"),5))*(VLOOKUP($B$5,标准坦克设计!$B$24:$U$30,MATCH("对"&amp;LEFT($C$5,2)&amp;"输出",标准坦克设计!$B$23:$U$23,0)))*(VLOOKUP($B162,INDIRECT($B$5&amp;"生成成长"),3))*(VLOOKUP($B$5,标准坦克设计!$B$14:$K$20,9)/30))</f>
        <v>5.4169330542227545</v>
      </c>
      <c r="CT162" s="172">
        <f ca="1">(VLOOKUP(CT$72,INDIRECT($C$5&amp;"生成成长"),2))/((VLOOKUP($B162,INDIRECT($B$5&amp;"生成成长"),4))/(VLOOKUP(CT$72,INDIRECT($C$5&amp;"生成成长"),5))*(VLOOKUP($B$5,标准坦克设计!$B$24:$U$30,MATCH("对"&amp;LEFT($C$5,2)&amp;"输出",标准坦克设计!$B$23:$U$23,0)))*(VLOOKUP($B162,INDIRECT($B$5&amp;"生成成长"),3))*(VLOOKUP($B$5,标准坦克设计!$B$14:$K$20,9)/30))</f>
        <v>5.8401258112542038</v>
      </c>
      <c r="CU162" s="172">
        <f ca="1">(VLOOKUP(CU$72,INDIRECT($C$5&amp;"生成成长"),2))/((VLOOKUP($B162,INDIRECT($B$5&amp;"生成成长"),4))/(VLOOKUP(CU$72,INDIRECT($C$5&amp;"生成成长"),5))*(VLOOKUP($B$5,标准坦克设计!$B$24:$U$30,MATCH("对"&amp;LEFT($C$5,2)&amp;"输出",标准坦克设计!$B$23:$U$23,0)))*(VLOOKUP($B162,INDIRECT($B$5&amp;"生成成长"),3))*(VLOOKUP($B$5,标准坦克设计!$B$14:$K$20,9)/30))</f>
        <v>6.2792335095757243</v>
      </c>
      <c r="CV162" s="172">
        <f ca="1">(VLOOKUP(CV$72,INDIRECT($C$5&amp;"生成成长"),2))/((VLOOKUP($B162,INDIRECT($B$5&amp;"生成成长"),4))/(VLOOKUP(CV$72,INDIRECT($C$5&amp;"生成成长"),5))*(VLOOKUP($B$5,标准坦克设计!$B$24:$U$30,MATCH("对"&amp;LEFT($C$5,2)&amp;"输出",标准坦克设计!$B$23:$U$23,0)))*(VLOOKUP($B162,INDIRECT($B$5&amp;"生成成长"),3))*(VLOOKUP($B$5,标准坦克设计!$B$14:$K$20,9)/30))</f>
        <v>6.734256149187317</v>
      </c>
      <c r="CW162" s="172">
        <f ca="1">(VLOOKUP(CW$72,INDIRECT($C$5&amp;"生成成长"),2))/((VLOOKUP($B162,INDIRECT($B$5&amp;"生成成长"),4))/(VLOOKUP(CW$72,INDIRECT($C$5&amp;"生成成长"),5))*(VLOOKUP($B$5,标准坦克设计!$B$24:$U$30,MATCH("对"&amp;LEFT($C$5,2)&amp;"输出",标准坦克设计!$B$23:$U$23,0)))*(VLOOKUP($B162,INDIRECT($B$5&amp;"生成成长"),3))*(VLOOKUP($B$5,标准坦克设计!$B$14:$K$20,9)/30))</f>
        <v>7.2051937300889799</v>
      </c>
      <c r="CX162" s="172">
        <f ca="1">(VLOOKUP(CX$72,INDIRECT($C$5&amp;"生成成长"),2))/((VLOOKUP($B162,INDIRECT($B$5&amp;"生成成长"),4))/(VLOOKUP(CX$72,INDIRECT($C$5&amp;"生成成长"),5))*(VLOOKUP($B$5,标准坦克设计!$B$24:$U$30,MATCH("对"&amp;LEFT($C$5,2)&amp;"输出",标准坦克设计!$B$23:$U$23,0)))*(VLOOKUP($B162,INDIRECT($B$5&amp;"生成成长"),3))*(VLOOKUP($B$5,标准坦克设计!$B$14:$K$20,9)/30))</f>
        <v>7.6920462522807158</v>
      </c>
      <c r="CY162" s="172">
        <f ca="1">(VLOOKUP(CY$72,INDIRECT($C$5&amp;"生成成长"),2))/((VLOOKUP($B162,INDIRECT($B$5&amp;"生成成长"),4))/(VLOOKUP(CY$72,INDIRECT($C$5&amp;"生成成长"),5))*(VLOOKUP($B$5,标准坦克设计!$B$24:$U$30,MATCH("对"&amp;LEFT($C$5,2)&amp;"输出",标准坦克设计!$B$23:$U$23,0)))*(VLOOKUP($B162,INDIRECT($B$5&amp;"生成成长"),3))*(VLOOKUP($B$5,标准坦克设计!$B$14:$K$20,9)/30))</f>
        <v>8.1948137157625229</v>
      </c>
      <c r="CZ162" s="172">
        <f ca="1">(VLOOKUP(CZ$72,INDIRECT($C$5&amp;"生成成长"),2))/((VLOOKUP($B162,INDIRECT($B$5&amp;"生成成长"),4))/(VLOOKUP(CZ$72,INDIRECT($C$5&amp;"生成成长"),5))*(VLOOKUP($B$5,标准坦克设计!$B$24:$U$30,MATCH("对"&amp;LEFT($C$5,2)&amp;"输出",标准坦克设计!$B$23:$U$23,0)))*(VLOOKUP($B162,INDIRECT($B$5&amp;"生成成长"),3))*(VLOOKUP($B$5,标准坦克设计!$B$14:$K$20,9)/30))</f>
        <v>8.7134961205344013</v>
      </c>
      <c r="DA162" s="172">
        <f ca="1">(VLOOKUP(DA$72,INDIRECT($C$5&amp;"生成成长"),2))/((VLOOKUP($B162,INDIRECT($B$5&amp;"生成成长"),4))/(VLOOKUP(DA$72,INDIRECT($C$5&amp;"生成成长"),5))*(VLOOKUP($B$5,标准坦克设计!$B$24:$U$30,MATCH("对"&amp;LEFT($C$5,2)&amp;"输出",标准坦克设计!$B$23:$U$23,0)))*(VLOOKUP($B162,INDIRECT($B$5&amp;"生成成长"),3))*(VLOOKUP($B$5,标准坦克设计!$B$14:$K$20,9)/30))</f>
        <v>9.2480934665963517</v>
      </c>
      <c r="DB162" s="172">
        <f ca="1">(VLOOKUP(DB$72,INDIRECT($C$5&amp;"生成成长"),2))/((VLOOKUP($B162,INDIRECT($B$5&amp;"生成成长"),4))/(VLOOKUP(DB$72,INDIRECT($C$5&amp;"生成成长"),5))*(VLOOKUP($B$5,标准坦克设计!$B$24:$U$30,MATCH("对"&amp;LEFT($C$5,2)&amp;"输出",标准坦克设计!$B$23:$U$23,0)))*(VLOOKUP($B162,INDIRECT($B$5&amp;"生成成长"),3))*(VLOOKUP($B$5,标准坦克设计!$B$14:$K$20,9)/30))</f>
        <v>9.7986057539483724</v>
      </c>
      <c r="DC162" s="172">
        <f ca="1">(VLOOKUP(DC$72,INDIRECT($C$5&amp;"生成成长"),2))/((VLOOKUP($B162,INDIRECT($B$5&amp;"生成成长"),4))/(VLOOKUP(DC$72,INDIRECT($C$5&amp;"生成成长"),5))*(VLOOKUP($B$5,标准坦克设计!$B$24:$U$30,MATCH("对"&amp;LEFT($C$5,2)&amp;"输出",标准坦克设计!$B$23:$U$23,0)))*(VLOOKUP($B162,INDIRECT($B$5&amp;"生成成长"),3))*(VLOOKUP($B$5,标准坦克设计!$B$14:$K$20,9)/30))</f>
        <v>10.417315537654957</v>
      </c>
      <c r="DD162" s="172">
        <f ca="1">(VLOOKUP(DD$72,INDIRECT($C$5&amp;"生成成长"),2))/((VLOOKUP($B162,INDIRECT($B$5&amp;"生成成长"),4))/(VLOOKUP(DD$72,INDIRECT($C$5&amp;"生成成长"),5))*(VLOOKUP($B$5,标准坦克设计!$B$24:$U$30,MATCH("对"&amp;LEFT($C$5,2)&amp;"输出",标准坦克设计!$B$23:$U$23,0)))*(VLOOKUP($B162,INDIRECT($B$5&amp;"生成成长"),3))*(VLOOKUP($B$5,标准坦克设计!$B$14:$K$20,9)/30))</f>
        <v>11.05496541678113</v>
      </c>
      <c r="DE162" s="172">
        <f ca="1">(VLOOKUP(DE$72,INDIRECT($C$5&amp;"生成成长"),2))/((VLOOKUP($B162,INDIRECT($B$5&amp;"生成成长"),4))/(VLOOKUP(DE$72,INDIRECT($C$5&amp;"生成成长"),5))*(VLOOKUP($B$5,标准坦克设计!$B$24:$U$30,MATCH("对"&amp;LEFT($C$5,2)&amp;"输出",标准坦克设计!$B$23:$U$23,0)))*(VLOOKUP($B162,INDIRECT($B$5&amp;"生成成长"),3))*(VLOOKUP($B$5,标准坦克设计!$B$14:$K$20,9)/30))</f>
        <v>11.711555391326895</v>
      </c>
      <c r="DF162" s="172">
        <f ca="1">(VLOOKUP(DF$72,INDIRECT($C$5&amp;"生成成长"),2))/((VLOOKUP($B162,INDIRECT($B$5&amp;"生成成长"),4))/(VLOOKUP(DF$72,INDIRECT($C$5&amp;"生成成长"),5))*(VLOOKUP($B$5,标准坦克设计!$B$24:$U$30,MATCH("对"&amp;LEFT($C$5,2)&amp;"输出",标准坦克设计!$B$23:$U$23,0)))*(VLOOKUP($B162,INDIRECT($B$5&amp;"生成成长"),3))*(VLOOKUP($B$5,标准坦克设计!$B$14:$K$20,9)/30))</f>
        <v>12.387085461292248</v>
      </c>
      <c r="DG162" s="172">
        <f ca="1">(VLOOKUP(DG$72,INDIRECT($C$5&amp;"生成成长"),2))/((VLOOKUP($B162,INDIRECT($B$5&amp;"生成成长"),4))/(VLOOKUP(DG$72,INDIRECT($C$5&amp;"生成成长"),5))*(VLOOKUP($B$5,标准坦克设计!$B$24:$U$30,MATCH("对"&amp;LEFT($C$5,2)&amp;"输出",标准坦克设计!$B$23:$U$23,0)))*(VLOOKUP($B162,INDIRECT($B$5&amp;"生成成长"),3))*(VLOOKUP($B$5,标准坦克设计!$B$14:$K$20,9)/30))</f>
        <v>13.08155562667719</v>
      </c>
      <c r="DH162" s="172">
        <f ca="1">(VLOOKUP(DH$72,INDIRECT($C$5&amp;"生成成长"),2))/((VLOOKUP($B162,INDIRECT($B$5&amp;"生成成长"),4))/(VLOOKUP(DH$72,INDIRECT($C$5&amp;"生成成长"),5))*(VLOOKUP($B$5,标准坦克设计!$B$24:$U$30,MATCH("对"&amp;LEFT($C$5,2)&amp;"输出",标准坦克设计!$B$23:$U$23,0)))*(VLOOKUP($B162,INDIRECT($B$5&amp;"生成成长"),3))*(VLOOKUP($B$5,标准坦克设计!$B$14:$K$20,9)/30))</f>
        <v>13.794965887481721</v>
      </c>
      <c r="DI162" s="172">
        <f ca="1">(VLOOKUP(DI$72,INDIRECT($C$5&amp;"生成成长"),2))/((VLOOKUP($B162,INDIRECT($B$5&amp;"生成成长"),4))/(VLOOKUP(DI$72,INDIRECT($C$5&amp;"生成成长"),5))*(VLOOKUP($B$5,标准坦克设计!$B$24:$U$30,MATCH("对"&amp;LEFT($C$5,2)&amp;"输出",标准坦克设计!$B$23:$U$23,0)))*(VLOOKUP($B162,INDIRECT($B$5&amp;"生成成长"),3))*(VLOOKUP($B$5,标准坦克设计!$B$14:$K$20,9)/30))</f>
        <v>14.52731624370584</v>
      </c>
      <c r="DJ162" s="172">
        <f ca="1">(VLOOKUP(DJ$72,INDIRECT($C$5&amp;"生成成长"),2))/((VLOOKUP($B162,INDIRECT($B$5&amp;"生成成长"),4))/(VLOOKUP(DJ$72,INDIRECT($C$5&amp;"生成成长"),5))*(VLOOKUP($B$5,标准坦克设计!$B$24:$U$30,MATCH("对"&amp;LEFT($C$5,2)&amp;"输出",标准坦克设计!$B$23:$U$23,0)))*(VLOOKUP($B162,INDIRECT($B$5&amp;"生成成长"),3))*(VLOOKUP($B$5,标准坦克设计!$B$14:$K$20,9)/30))</f>
        <v>1.460031452813551</v>
      </c>
      <c r="DK162" s="172">
        <f ca="1">(VLOOKUP(DK$72,INDIRECT($C$5&amp;"生成成长"),2))/((VLOOKUP($B162,INDIRECT($B$5&amp;"生成成长"),4))/(VLOOKUP(DK$72,INDIRECT($C$5&amp;"生成成长"),5))*(VLOOKUP($B$5,标准坦克设计!$B$24:$U$30,MATCH("对"&amp;LEFT($C$5,2)&amp;"输出",标准坦克设计!$B$23:$U$23,0)))*(VLOOKUP($B162,INDIRECT($B$5&amp;"生成成长"),3))*(VLOOKUP($B$5,标准坦克设计!$B$14:$K$20,9)/30))</f>
        <v>1.6417379932452361</v>
      </c>
      <c r="DL162" s="172">
        <f ca="1">(VLOOKUP(DL$72,INDIRECT($C$5&amp;"生成成长"),2))/((VLOOKUP($B162,INDIRECT($B$5&amp;"生成成长"),4))/(VLOOKUP(DL$72,INDIRECT($C$5&amp;"生成成长"),5))*(VLOOKUP($B$5,标准坦克设计!$B$24:$U$30,MATCH("对"&amp;LEFT($C$5,2)&amp;"输出",标准坦克设计!$B$23:$U$23,0)))*(VLOOKUP($B162,INDIRECT($B$5&amp;"生成成长"),3))*(VLOOKUP($B$5,标准坦克设计!$B$14:$K$20,9)/30))</f>
        <v>1.8340983373504398</v>
      </c>
      <c r="DM162" s="172">
        <f ca="1">(VLOOKUP(DM$72,INDIRECT($C$5&amp;"生成成长"),2))/((VLOOKUP($B162,INDIRECT($B$5&amp;"生成成长"),4))/(VLOOKUP(DM$72,INDIRECT($C$5&amp;"生成成长"),5))*(VLOOKUP($B$5,标准坦克设计!$B$24:$U$30,MATCH("对"&amp;LEFT($C$5,2)&amp;"输出",标准坦克设计!$B$23:$U$23,0)))*(VLOOKUP($B162,INDIRECT($B$5&amp;"生成成长"),3))*(VLOOKUP($B$5,标准坦克设计!$B$14:$K$20,9)/30))</f>
        <v>2.0371124851291631</v>
      </c>
      <c r="DN162" s="172">
        <f ca="1">(VLOOKUP(DN$72,INDIRECT($C$5&amp;"生成成长"),2))/((VLOOKUP($B162,INDIRECT($B$5&amp;"生成成长"),4))/(VLOOKUP(DN$72,INDIRECT($C$5&amp;"生成成长"),5))*(VLOOKUP($B$5,标准坦克设计!$B$24:$U$30,MATCH("对"&amp;LEFT($C$5,2)&amp;"输出",标准坦克设计!$B$23:$U$23,0)))*(VLOOKUP($B162,INDIRECT($B$5&amp;"生成成长"),3))*(VLOOKUP($B$5,标准坦克设计!$B$14:$K$20,9)/30))</f>
        <v>2.250780436581405</v>
      </c>
      <c r="DO162" s="172">
        <f ca="1">(VLOOKUP(DO$72,INDIRECT($C$5&amp;"生成成长"),2))/((VLOOKUP($B162,INDIRECT($B$5&amp;"生成成长"),4))/(VLOOKUP(DO$72,INDIRECT($C$5&amp;"生成成长"),5))*(VLOOKUP($B$5,标准坦克设计!$B$24:$U$30,MATCH("对"&amp;LEFT($C$5,2)&amp;"输出",标准坦克设计!$B$23:$U$23,0)))*(VLOOKUP($B162,INDIRECT($B$5&amp;"生成成长"),3))*(VLOOKUP($B$5,标准坦克设计!$B$14:$K$20,9)/30))</f>
        <v>2.4751021917071667</v>
      </c>
      <c r="DP162" s="172">
        <f ca="1">(VLOOKUP(DP$72,INDIRECT($C$5&amp;"生成成长"),2))/((VLOOKUP($B162,INDIRECT($B$5&amp;"生成成长"),4))/(VLOOKUP(DP$72,INDIRECT($C$5&amp;"生成成长"),5))*(VLOOKUP($B$5,标准坦克设计!$B$24:$U$30,MATCH("对"&amp;LEFT($C$5,2)&amp;"输出",标准坦克设计!$B$23:$U$23,0)))*(VLOOKUP($B162,INDIRECT($B$5&amp;"生成成长"),3))*(VLOOKUP($B$5,标准坦克设计!$B$14:$K$20,9)/30))</f>
        <v>2.7100777505064464</v>
      </c>
      <c r="DQ162" s="172">
        <f ca="1">(VLOOKUP(DQ$72,INDIRECT($C$5&amp;"生成成长"),2))/((VLOOKUP($B162,INDIRECT($B$5&amp;"生成成长"),4))/(VLOOKUP(DQ$72,INDIRECT($C$5&amp;"生成成长"),5))*(VLOOKUP($B$5,标准坦克设计!$B$24:$U$30,MATCH("对"&amp;LEFT($C$5,2)&amp;"输出",标准坦克设计!$B$23:$U$23,0)))*(VLOOKUP($B162,INDIRECT($B$5&amp;"生成成长"),3))*(VLOOKUP($B$5,标准坦克设计!$B$14:$K$20,9)/30))</f>
        <v>2.9557071129792449</v>
      </c>
      <c r="DR162" s="172">
        <f ca="1">(VLOOKUP(DR$72,INDIRECT($C$5&amp;"生成成长"),2))/((VLOOKUP($B162,INDIRECT($B$5&amp;"生成成长"),4))/(VLOOKUP(DR$72,INDIRECT($C$5&amp;"生成成长"),5))*(VLOOKUP($B$5,标准坦克设计!$B$24:$U$30,MATCH("对"&amp;LEFT($C$5,2)&amp;"输出",标准坦克设计!$B$23:$U$23,0)))*(VLOOKUP($B162,INDIRECT($B$5&amp;"生成成长"),3))*(VLOOKUP($B$5,标准坦克设计!$B$14:$K$20,9)/30))</f>
        <v>3.2119902791255637</v>
      </c>
      <c r="DS162" s="172">
        <f ca="1">(VLOOKUP(DS$72,INDIRECT($C$5&amp;"生成成长"),2))/((VLOOKUP($B162,INDIRECT($B$5&amp;"生成成长"),4))/(VLOOKUP(DS$72,INDIRECT($C$5&amp;"生成成长"),5))*(VLOOKUP($B$5,标准坦克设计!$B$24:$U$30,MATCH("对"&amp;LEFT($C$5,2)&amp;"输出",标准坦克设计!$B$23:$U$23,0)))*(VLOOKUP($B162,INDIRECT($B$5&amp;"生成成长"),3))*(VLOOKUP($B$5,标准坦克设计!$B$14:$K$20,9)/30))</f>
        <v>3.4789272489454008</v>
      </c>
      <c r="DT162" s="172">
        <f ca="1">(VLOOKUP(DT$72,INDIRECT($C$5&amp;"生成成长"),2))/((VLOOKUP($B162,INDIRECT($B$5&amp;"生成成长"),4))/(VLOOKUP(DT$72,INDIRECT($C$5&amp;"生成成长"),5))*(VLOOKUP($B$5,标准坦克设计!$B$24:$U$30,MATCH("对"&amp;LEFT($C$5,2)&amp;"输出",标准坦克设计!$B$23:$U$23,0)))*(VLOOKUP($B162,INDIRECT($B$5&amp;"生成成长"),3))*(VLOOKUP($B$5,标准坦克设计!$B$14:$K$20,9)/30))</f>
        <v>3.819651673837388</v>
      </c>
      <c r="DU162" s="172">
        <f ca="1">(VLOOKUP(DU$72,INDIRECT($C$5&amp;"生成成长"),2))/((VLOOKUP($B162,INDIRECT($B$5&amp;"生成成长"),4))/(VLOOKUP(DU$72,INDIRECT($C$5&amp;"生成成长"),5))*(VLOOKUP($B$5,标准坦克设计!$B$24:$U$30,MATCH("对"&amp;LEFT($C$5,2)&amp;"输出",标准坦克设计!$B$23:$U$23,0)))*(VLOOKUP($B162,INDIRECT($B$5&amp;"生成成长"),3))*(VLOOKUP($B$5,标准坦克设计!$B$14:$K$20,9)/30))</f>
        <v>4.1762910400194464</v>
      </c>
      <c r="DV162" s="172">
        <f ca="1">(VLOOKUP(DV$72,INDIRECT($C$5&amp;"生成成长"),2))/((VLOOKUP($B162,INDIRECT($B$5&amp;"生成成长"),4))/(VLOOKUP(DV$72,INDIRECT($C$5&amp;"生成成长"),5))*(VLOOKUP($B$5,标准坦克设计!$B$24:$U$30,MATCH("对"&amp;LEFT($C$5,2)&amp;"输出",标准坦克设计!$B$23:$U$23,0)))*(VLOOKUP($B162,INDIRECT($B$5&amp;"生成成长"),3))*(VLOOKUP($B$5,标准坦克设计!$B$14:$K$20,9)/30))</f>
        <v>4.5488453474915769</v>
      </c>
      <c r="DW162" s="172">
        <f ca="1">(VLOOKUP(DW$72,INDIRECT($C$5&amp;"生成成长"),2))/((VLOOKUP($B162,INDIRECT($B$5&amp;"生成成长"),4))/(VLOOKUP(DW$72,INDIRECT($C$5&amp;"生成成长"),5))*(VLOOKUP($B$5,标准坦克设计!$B$24:$U$30,MATCH("对"&amp;LEFT($C$5,2)&amp;"输出",标准坦克设计!$B$23:$U$23,0)))*(VLOOKUP($B162,INDIRECT($B$5&amp;"生成成长"),3))*(VLOOKUP($B$5,标准坦克设计!$B$14:$K$20,9)/30))</f>
        <v>4.9373145962537794</v>
      </c>
      <c r="DX162" s="172">
        <f ca="1">(VLOOKUP(DX$72,INDIRECT($C$5&amp;"生成成长"),2))/((VLOOKUP($B162,INDIRECT($B$5&amp;"生成成长"),4))/(VLOOKUP(DX$72,INDIRECT($C$5&amp;"生成成长"),5))*(VLOOKUP($B$5,标准坦克设计!$B$24:$U$30,MATCH("对"&amp;LEFT($C$5,2)&amp;"输出",标准坦克设计!$B$23:$U$23,0)))*(VLOOKUP($B162,INDIRECT($B$5&amp;"生成成长"),3))*(VLOOKUP($B$5,标准坦克设计!$B$14:$K$20,9)/30))</f>
        <v>5.3416987863060532</v>
      </c>
      <c r="DY162" s="172">
        <f ca="1">(VLOOKUP(DY$72,INDIRECT($C$5&amp;"生成成长"),2))/((VLOOKUP($B162,INDIRECT($B$5&amp;"生成成长"),4))/(VLOOKUP(DY$72,INDIRECT($C$5&amp;"生成成长"),5))*(VLOOKUP($B$5,标准坦克设计!$B$24:$U$30,MATCH("对"&amp;LEFT($C$5,2)&amp;"输出",标准坦克设计!$B$23:$U$23,0)))*(VLOOKUP($B162,INDIRECT($B$5&amp;"生成成长"),3))*(VLOOKUP($B$5,标准坦克设计!$B$14:$K$20,9)/30))</f>
        <v>2.3991445173681885</v>
      </c>
      <c r="DZ162" s="172">
        <f ca="1">(VLOOKUP(DZ$72,INDIRECT($C$5&amp;"生成成长"),2))/((VLOOKUP($B162,INDIRECT($B$5&amp;"生成成长"),4))/(VLOOKUP(DZ$72,INDIRECT($C$5&amp;"生成成长"),5))*(VLOOKUP($B$5,标准坦克设计!$B$24:$U$30,MATCH("对"&amp;LEFT($C$5,2)&amp;"输出",标准坦克设计!$B$23:$U$23,0)))*(VLOOKUP($B162,INDIRECT($B$5&amp;"生成成长"),3))*(VLOOKUP($B$5,标准坦克设计!$B$14:$K$20,9)/30))</f>
        <v>2.6569402605792654</v>
      </c>
      <c r="EA162" s="172">
        <f ca="1">(VLOOKUP(EA$72,INDIRECT($C$5&amp;"生成成长"),2))/((VLOOKUP($B162,INDIRECT($B$5&amp;"生成成长"),4))/(VLOOKUP(EA$72,INDIRECT($C$5&amp;"生成成长"),5))*(VLOOKUP($B$5,标准坦克设计!$B$24:$U$30,MATCH("对"&amp;LEFT($C$5,2)&amp;"输出",标准坦克设计!$B$23:$U$23,0)))*(VLOOKUP($B162,INDIRECT($B$5&amp;"生成成长"),3))*(VLOOKUP($B$5,标准坦克设计!$B$14:$K$20,9)/30))</f>
        <v>2.9278888478317238</v>
      </c>
      <c r="EB162" s="172">
        <f ca="1">(VLOOKUP(EB$72,INDIRECT($C$5&amp;"生成成长"),2))/((VLOOKUP($B162,INDIRECT($B$5&amp;"生成成长"),4))/(VLOOKUP(EB$72,INDIRECT($C$5&amp;"生成成长"),5))*(VLOOKUP($B$5,标准坦克设计!$B$24:$U$30,MATCH("对"&amp;LEFT($C$5,2)&amp;"输出",标准坦克设计!$B$23:$U$23,0)))*(VLOOKUP($B162,INDIRECT($B$5&amp;"生成成长"),3))*(VLOOKUP($B$5,标准坦克设计!$B$14:$K$20,9)/30))</f>
        <v>3.2119902791255637</v>
      </c>
      <c r="EC162" s="172">
        <f ca="1">(VLOOKUP(EC$72,INDIRECT($C$5&amp;"生成成长"),2))/((VLOOKUP($B162,INDIRECT($B$5&amp;"生成成长"),4))/(VLOOKUP(EC$72,INDIRECT($C$5&amp;"生成成长"),5))*(VLOOKUP($B$5,标准坦克设计!$B$24:$U$30,MATCH("对"&amp;LEFT($C$5,2)&amp;"输出",标准坦克设计!$B$23:$U$23,0)))*(VLOOKUP($B162,INDIRECT($B$5&amp;"生成成长"),3))*(VLOOKUP($B$5,标准坦克设计!$B$14:$K$20,9)/30))</f>
        <v>3.5092445544607851</v>
      </c>
      <c r="ED162" s="172">
        <f ca="1">(VLOOKUP(ED$72,INDIRECT($C$5&amp;"生成成长"),2))/((VLOOKUP($B162,INDIRECT($B$5&amp;"生成成长"),4))/(VLOOKUP(ED$72,INDIRECT($C$5&amp;"生成成长"),5))*(VLOOKUP($B$5,标准坦克设计!$B$24:$U$30,MATCH("对"&amp;LEFT($C$5,2)&amp;"输出",标准坦克设计!$B$23:$U$23,0)))*(VLOOKUP($B162,INDIRECT($B$5&amp;"生成成长"),3))*(VLOOKUP($B$5,标准坦克设计!$B$14:$K$20,9)/30))</f>
        <v>3.819651673837388</v>
      </c>
      <c r="EE162" s="172">
        <f ca="1">(VLOOKUP(EE$72,INDIRECT($C$5&amp;"生成成长"),2))/((VLOOKUP($B162,INDIRECT($B$5&amp;"生成成长"),4))/(VLOOKUP(EE$72,INDIRECT($C$5&amp;"生成成长"),5))*(VLOOKUP($B$5,标准坦克设计!$B$24:$U$30,MATCH("对"&amp;LEFT($C$5,2)&amp;"输出",标准坦克设计!$B$23:$U$23,0)))*(VLOOKUP($B162,INDIRECT($B$5&amp;"生成成长"),3))*(VLOOKUP($B$5,标准坦克设计!$B$14:$K$20,9)/30))</f>
        <v>4.143211637255372</v>
      </c>
      <c r="EF162" s="172">
        <f ca="1">(VLOOKUP(EF$72,INDIRECT($C$5&amp;"生成成长"),2))/((VLOOKUP($B162,INDIRECT($B$5&amp;"生成成长"),4))/(VLOOKUP(EF$72,INDIRECT($C$5&amp;"生成成长"),5))*(VLOOKUP($B$5,标准坦克设计!$B$24:$U$30,MATCH("对"&amp;LEFT($C$5,2)&amp;"输出",标准坦克设计!$B$23:$U$23,0)))*(VLOOKUP($B162,INDIRECT($B$5&amp;"生成成长"),3))*(VLOOKUP($B$5,标准坦克设计!$B$14:$K$20,9)/30))</f>
        <v>4.4799244447147384</v>
      </c>
      <c r="EG162" s="172">
        <f ca="1">(VLOOKUP(EG$72,INDIRECT($C$5&amp;"生成成长"),2))/((VLOOKUP($B162,INDIRECT($B$5&amp;"生成成长"),4))/(VLOOKUP(EG$72,INDIRECT($C$5&amp;"生成成长"),5))*(VLOOKUP($B$5,标准坦克设计!$B$24:$U$30,MATCH("对"&amp;LEFT($C$5,2)&amp;"输出",标准坦克设计!$B$23:$U$23,0)))*(VLOOKUP($B162,INDIRECT($B$5&amp;"生成成长"),3))*(VLOOKUP($B$5,标准坦克设计!$B$14:$K$20,9)/30))</f>
        <v>4.8297900962154845</v>
      </c>
      <c r="EH162" s="172">
        <f ca="1">(VLOOKUP(EH$72,INDIRECT($C$5&amp;"生成成长"),2))/((VLOOKUP($B162,INDIRECT($B$5&amp;"生成成长"),4))/(VLOOKUP(EH$72,INDIRECT($C$5&amp;"生成成长"),5))*(VLOOKUP($B$5,标准坦克设计!$B$24:$U$30,MATCH("对"&amp;LEFT($C$5,2)&amp;"输出",标准坦克设计!$B$23:$U$23,0)))*(VLOOKUP($B162,INDIRECT($B$5&amp;"生成成长"),3))*(VLOOKUP($B$5,标准坦克设计!$B$14:$K$20,9)/30))</f>
        <v>5.1928085917576148</v>
      </c>
      <c r="EI162" s="172">
        <f ca="1">(VLOOKUP(EI$72,INDIRECT($C$5&amp;"生成成长"),2))/((VLOOKUP($B162,INDIRECT($B$5&amp;"生成成长"),4))/(VLOOKUP(EI$72,INDIRECT($C$5&amp;"生成成长"),5))*(VLOOKUP($B$5,标准坦克设计!$B$24:$U$30,MATCH("对"&amp;LEFT($C$5,2)&amp;"输出",标准坦克设计!$B$23:$U$23,0)))*(VLOOKUP($B162,INDIRECT($B$5&amp;"生成成长"),3))*(VLOOKUP($B$5,标准坦克设计!$B$14:$K$20,9)/30))</f>
        <v>5.5689799313411239</v>
      </c>
      <c r="EJ162" s="172">
        <f ca="1">(VLOOKUP(EJ$72,INDIRECT($C$5&amp;"生成成长"),2))/((VLOOKUP($B162,INDIRECT($B$5&amp;"生成成长"),4))/(VLOOKUP(EJ$72,INDIRECT($C$5&amp;"生成成长"),5))*(VLOOKUP($B$5,标准坦克设计!$B$24:$U$30,MATCH("对"&amp;LEFT($C$5,2)&amp;"输出",标准坦克设计!$B$23:$U$23,0)))*(VLOOKUP($B162,INDIRECT($B$5&amp;"生成成长"),3))*(VLOOKUP($B$5,标准坦克设计!$B$14:$K$20,9)/30))</f>
        <v>5.9583041149660154</v>
      </c>
      <c r="EK162" s="172">
        <f ca="1">(VLOOKUP(EK$72,INDIRECT($C$5&amp;"生成成长"),2))/((VLOOKUP($B162,INDIRECT($B$5&amp;"生成成长"),4))/(VLOOKUP(EK$72,INDIRECT($C$5&amp;"生成成长"),5))*(VLOOKUP($B$5,标准坦克设计!$B$24:$U$30,MATCH("对"&amp;LEFT($C$5,2)&amp;"输出",标准坦克设计!$B$23:$U$23,0)))*(VLOOKUP($B162,INDIRECT($B$5&amp;"生成成长"),3))*(VLOOKUP($B$5,标准坦克设计!$B$14:$K$20,9)/30))</f>
        <v>6.4428548894505084</v>
      </c>
      <c r="EL162" s="172">
        <f ca="1">(VLOOKUP(EL$72,INDIRECT($C$5&amp;"生成成长"),2))/((VLOOKUP($B162,INDIRECT($B$5&amp;"生成成长"),4))/(VLOOKUP(EL$72,INDIRECT($C$5&amp;"生成成长"),5))*(VLOOKUP($B$5,标准坦克设计!$B$24:$U$30,MATCH("对"&amp;LEFT($C$5,2)&amp;"输出",标准坦克设计!$B$23:$U$23,0)))*(VLOOKUP($B162,INDIRECT($B$5&amp;"生成成长"),3))*(VLOOKUP($B$5,标准坦克设计!$B$14:$K$20,9)/30))</f>
        <v>6.9463457593545934</v>
      </c>
      <c r="EM162" s="172">
        <f ca="1">(VLOOKUP(EM$72,INDIRECT($C$5&amp;"生成成长"),2))/((VLOOKUP($B162,INDIRECT($B$5&amp;"生成成长"),4))/(VLOOKUP(EM$72,INDIRECT($C$5&amp;"生成成长"),5))*(VLOOKUP($B$5,标准坦克设计!$B$24:$U$30,MATCH("对"&amp;LEFT($C$5,2)&amp;"输出",标准坦克设计!$B$23:$U$23,0)))*(VLOOKUP($B162,INDIRECT($B$5&amp;"生成成长"),3))*(VLOOKUP($B$5,标准坦克设计!$B$14:$K$20,9)/30))</f>
        <v>7.4687767246782641</v>
      </c>
      <c r="EN162" s="172">
        <f ca="1">(VLOOKUP(EN$72,INDIRECT($C$5&amp;"生成成长"),2))/((VLOOKUP($B162,INDIRECT($B$5&amp;"生成成长"),4))/(VLOOKUP(EN$72,INDIRECT($C$5&amp;"生成成长"),5))*(VLOOKUP($B$5,标准坦克设计!$B$24:$U$30,MATCH("对"&amp;LEFT($C$5,2)&amp;"输出",标准坦克设计!$B$23:$U$23,0)))*(VLOOKUP($B162,INDIRECT($B$5&amp;"生成成长"),3))*(VLOOKUP($B$5,标准坦克设计!$B$14:$K$20,9)/30))</f>
        <v>8.0101477854215286</v>
      </c>
      <c r="EO162" s="172">
        <f ca="1">(VLOOKUP(EO$72,INDIRECT($C$5&amp;"生成成长"),2))/((VLOOKUP($B162,INDIRECT($B$5&amp;"生成成长"),4))/(VLOOKUP(EO$72,INDIRECT($C$5&amp;"生成成长"),5))*(VLOOKUP($B$5,标准坦克设计!$B$24:$U$30,MATCH("对"&amp;LEFT($C$5,2)&amp;"输出",标准坦克设计!$B$23:$U$23,0)))*(VLOOKUP($B162,INDIRECT($B$5&amp;"生成成长"),3))*(VLOOKUP($B$5,标准坦克设计!$B$14:$K$20,9)/30))</f>
        <v>8.5704589415843788</v>
      </c>
      <c r="EP162" s="172">
        <f ca="1">(VLOOKUP(EP$72,INDIRECT($C$5&amp;"生成成长"),2))/((VLOOKUP($B162,INDIRECT($B$5&amp;"生成成长"),4))/(VLOOKUP(EP$72,INDIRECT($C$5&amp;"生成成长"),5))*(VLOOKUP($B$5,标准坦克设计!$B$24:$U$30,MATCH("对"&amp;LEFT($C$5,2)&amp;"输出",标准坦克设计!$B$23:$U$23,0)))*(VLOOKUP($B162,INDIRECT($B$5&amp;"生成成长"),3))*(VLOOKUP($B$5,标准坦克设计!$B$14:$K$20,9)/30))</f>
        <v>9.1497101931668166</v>
      </c>
      <c r="EQ162" s="172">
        <f ca="1">(VLOOKUP(EQ$72,INDIRECT($C$5&amp;"生成成长"),2))/((VLOOKUP($B162,INDIRECT($B$5&amp;"生成成长"),4))/(VLOOKUP(EQ$72,INDIRECT($C$5&amp;"生成成长"),5))*(VLOOKUP($B$5,标准坦克设计!$B$24:$U$30,MATCH("对"&amp;LEFT($C$5,2)&amp;"输出",标准坦克设计!$B$23:$U$23,0)))*(VLOOKUP($B162,INDIRECT($B$5&amp;"生成成长"),3))*(VLOOKUP($B$5,标准坦克设计!$B$14:$K$20,9)/30))</f>
        <v>4.0447625996056322</v>
      </c>
      <c r="ER162" s="172">
        <f ca="1">(VLOOKUP(ER$72,INDIRECT($C$5&amp;"生成成长"),2))/((VLOOKUP($B162,INDIRECT($B$5&amp;"生成成长"),4))/(VLOOKUP(ER$72,INDIRECT($C$5&amp;"生成成长"),5))*(VLOOKUP($B$5,标准坦克设计!$B$24:$U$30,MATCH("对"&amp;LEFT($C$5,2)&amp;"输出",标准坦克设计!$B$23:$U$23,0)))*(VLOOKUP($B162,INDIRECT($B$5&amp;"生成成长"),3))*(VLOOKUP($B$5,标准坦克设计!$B$14:$K$20,9)/30))</f>
        <v>4.4115296556995531</v>
      </c>
      <c r="ES162" s="172">
        <f ca="1">(VLOOKUP(ES$72,INDIRECT($C$5&amp;"生成成长"),2))/((VLOOKUP($B162,INDIRECT($B$5&amp;"生成成长"),4))/(VLOOKUP(ES$72,INDIRECT($C$5&amp;"生成成长"),5))*(VLOOKUP($B$5,标准坦克设计!$B$24:$U$30,MATCH("对"&amp;LEFT($C$5,2)&amp;"输出",标准坦克设计!$B$23:$U$23,0)))*(VLOOKUP($B162,INDIRECT($B$5&amp;"生成成长"),3))*(VLOOKUP($B$5,标准坦克设计!$B$14:$K$20,9)/30))</f>
        <v>4.7942116530835479</v>
      </c>
      <c r="ET162" s="172">
        <f ca="1">(VLOOKUP(ET$72,INDIRECT($C$5&amp;"生成成长"),2))/((VLOOKUP($B162,INDIRECT($B$5&amp;"生成成长"),4))/(VLOOKUP(ET$72,INDIRECT($C$5&amp;"生成成长"),5))*(VLOOKUP($B$5,标准坦克设计!$B$24:$U$30,MATCH("对"&amp;LEFT($C$5,2)&amp;"输出",标准坦克设计!$B$23:$U$23,0)))*(VLOOKUP($B162,INDIRECT($B$5&amp;"生成成长"),3))*(VLOOKUP($B$5,标准坦克设计!$B$14:$K$20,9)/30))</f>
        <v>5.1928085917576148</v>
      </c>
      <c r="EU162" s="172">
        <f ca="1">(VLOOKUP(EU$72,INDIRECT($C$5&amp;"生成成长"),2))/((VLOOKUP($B162,INDIRECT($B$5&amp;"生成成长"),4))/(VLOOKUP(EU$72,INDIRECT($C$5&amp;"生成成长"),5))*(VLOOKUP($B$5,标准坦克设计!$B$24:$U$30,MATCH("对"&amp;LEFT($C$5,2)&amp;"输出",标准坦克设计!$B$23:$U$23,0)))*(VLOOKUP($B162,INDIRECT($B$5&amp;"生成成长"),3))*(VLOOKUP($B$5,标准坦克设计!$B$14:$K$20,9)/30))</f>
        <v>5.607320471721752</v>
      </c>
      <c r="EV162" s="172">
        <f ca="1">(VLOOKUP(EV$72,INDIRECT($C$5&amp;"生成成长"),2))/((VLOOKUP($B162,INDIRECT($B$5&amp;"生成成长"),4))/(VLOOKUP(EV$72,INDIRECT($C$5&amp;"生成成长"),5))*(VLOOKUP($B$5,标准坦克设计!$B$24:$U$30,MATCH("对"&amp;LEFT($C$5,2)&amp;"输出",标准坦克设计!$B$23:$U$23,0)))*(VLOOKUP($B162,INDIRECT($B$5&amp;"生成成长"),3))*(VLOOKUP($B$5,标准坦克设计!$B$14:$K$20,9)/30))</f>
        <v>6.0377472929759604</v>
      </c>
      <c r="EW162" s="172">
        <f ca="1">(VLOOKUP(EW$72,INDIRECT($C$5&amp;"生成成长"),2))/((VLOOKUP($B162,INDIRECT($B$5&amp;"生成成长"),4))/(VLOOKUP(EW$72,INDIRECT($C$5&amp;"生成成长"),5))*(VLOOKUP($B$5,标准坦克设计!$B$24:$U$30,MATCH("对"&amp;LEFT($C$5,2)&amp;"输出",标准坦克设计!$B$23:$U$23,0)))*(VLOOKUP($B162,INDIRECT($B$5&amp;"生成成长"),3))*(VLOOKUP($B$5,标准坦克设计!$B$14:$K$20,9)/30))</f>
        <v>6.48408905552024</v>
      </c>
      <c r="EX162" s="172">
        <f ca="1">(VLOOKUP(EX$72,INDIRECT($C$5&amp;"生成成长"),2))/((VLOOKUP($B162,INDIRECT($B$5&amp;"生成成长"),4))/(VLOOKUP(EX$72,INDIRECT($C$5&amp;"生成成长"),5))*(VLOOKUP($B$5,标准坦克设计!$B$24:$U$30,MATCH("对"&amp;LEFT($C$5,2)&amp;"输出",标准坦克设计!$B$23:$U$23,0)))*(VLOOKUP($B162,INDIRECT($B$5&amp;"生成成长"),3))*(VLOOKUP($B$5,标准坦克设计!$B$14:$K$20,9)/30))</f>
        <v>6.9463457593545934</v>
      </c>
      <c r="EY162" s="172">
        <f ca="1">(VLOOKUP(EY$72,INDIRECT($C$5&amp;"生成成长"),2))/((VLOOKUP($B162,INDIRECT($B$5&amp;"生成成长"),4))/(VLOOKUP(EY$72,INDIRECT($C$5&amp;"生成成长"),5))*(VLOOKUP($B$5,标准坦克设计!$B$24:$U$30,MATCH("对"&amp;LEFT($C$5,2)&amp;"输出",标准坦克设计!$B$23:$U$23,0)))*(VLOOKUP($B162,INDIRECT($B$5&amp;"生成成长"),3))*(VLOOKUP($B$5,标准坦克设计!$B$14:$K$20,9)/30))</f>
        <v>7.4245174044790172</v>
      </c>
      <c r="EZ162" s="172">
        <f ca="1">(VLOOKUP(EZ$72,INDIRECT($C$5&amp;"生成成长"),2))/((VLOOKUP($B162,INDIRECT($B$5&amp;"生成成长"),4))/(VLOOKUP(EZ$72,INDIRECT($C$5&amp;"生成成长"),5))*(VLOOKUP($B$5,标准坦克设计!$B$24:$U$30,MATCH("对"&amp;LEFT($C$5,2)&amp;"输出",标准坦克设计!$B$23:$U$23,0)))*(VLOOKUP($B162,INDIRECT($B$5&amp;"生成成长"),3))*(VLOOKUP($B$5,标准坦克设计!$B$14:$K$20,9)/30))</f>
        <v>7.9186039908935122</v>
      </c>
      <c r="FA162" s="172">
        <f ca="1">(VLOOKUP(FA$72,INDIRECT($C$5&amp;"生成成长"),2))/((VLOOKUP($B162,INDIRECT($B$5&amp;"生成成长"),4))/(VLOOKUP(FA$72,INDIRECT($C$5&amp;"生成成长"),5))*(VLOOKUP($B$5,标准坦克设计!$B$24:$U$30,MATCH("对"&amp;LEFT($C$5,2)&amp;"输出",标准坦克设计!$B$23:$U$23,0)))*(VLOOKUP($B162,INDIRECT($B$5&amp;"生成成长"),3))*(VLOOKUP($B$5,标准坦克设计!$B$14:$K$20,9)/30))</f>
        <v>8.4286055185980793</v>
      </c>
      <c r="FB162" s="172">
        <f ca="1">(VLOOKUP(FB$72,INDIRECT($C$5&amp;"生成成长"),2))/((VLOOKUP($B162,INDIRECT($B$5&amp;"生成成长"),4))/(VLOOKUP(FB$72,INDIRECT($C$5&amp;"生成成长"),5))*(VLOOKUP($B$5,标准坦克设计!$B$24:$U$30,MATCH("对"&amp;LEFT($C$5,2)&amp;"输出",标准坦克设计!$B$23:$U$23,0)))*(VLOOKUP($B162,INDIRECT($B$5&amp;"生成成长"),3))*(VLOOKUP($B$5,标准坦克设计!$B$14:$K$20,9)/30))</f>
        <v>8.9545219875927167</v>
      </c>
      <c r="FC162" s="172">
        <f ca="1">(VLOOKUP(FC$72,INDIRECT($C$5&amp;"生成成长"),2))/((VLOOKUP($B162,INDIRECT($B$5&amp;"生成成长"),4))/(VLOOKUP(FC$72,INDIRECT($C$5&amp;"生成成长"),5))*(VLOOKUP($B$5,标准坦克设计!$B$24:$U$30,MATCH("对"&amp;LEFT($C$5,2)&amp;"输出",标准坦克设计!$B$23:$U$23,0)))*(VLOOKUP($B162,INDIRECT($B$5&amp;"生成成长"),3))*(VLOOKUP($B$5,标准坦克设计!$B$14:$K$20,9)/30))</f>
        <v>9.4963533978774279</v>
      </c>
      <c r="FD162" s="172">
        <f ca="1">(VLOOKUP(FD$72,INDIRECT($C$5&amp;"生成成长"),2))/((VLOOKUP($B162,INDIRECT($B$5&amp;"生成成长"),4))/(VLOOKUP(FD$72,INDIRECT($C$5&amp;"生成成长"),5))*(VLOOKUP($B$5,标准坦克设计!$B$24:$U$30,MATCH("对"&amp;LEFT($C$5,2)&amp;"输出",标准坦克设计!$B$23:$U$23,0)))*(VLOOKUP($B162,INDIRECT($B$5&amp;"生成成长"),3))*(VLOOKUP($B$5,标准坦克设计!$B$14:$K$20,9)/30))</f>
        <v>10.05409974945221</v>
      </c>
      <c r="FE162" s="172">
        <f ca="1">(VLOOKUP(FE$72,INDIRECT($C$5&amp;"生成成长"),2))/((VLOOKUP($B162,INDIRECT($B$5&amp;"生成成长"),4))/(VLOOKUP(FE$72,INDIRECT($C$5&amp;"生成成长"),5))*(VLOOKUP($B$5,标准坦克设计!$B$24:$U$30,MATCH("对"&amp;LEFT($C$5,2)&amp;"输出",标准坦克设计!$B$23:$U$23,0)))*(VLOOKUP($B162,INDIRECT($B$5&amp;"生成成长"),3))*(VLOOKUP($B$5,标准坦克设计!$B$14:$K$20,9)/30))</f>
        <v>10.733772965290596</v>
      </c>
      <c r="FF162" s="172">
        <f ca="1">(VLOOKUP(FF$72,INDIRECT($C$5&amp;"生成成长"),2))/((VLOOKUP($B162,INDIRECT($B$5&amp;"生成成长"),4))/(VLOOKUP(FF$72,INDIRECT($C$5&amp;"生成成长"),5))*(VLOOKUP($B$5,标准坦克设计!$B$24:$U$30,MATCH("对"&amp;LEFT($C$5,2)&amp;"输出",标准坦克设计!$B$23:$U$23,0)))*(VLOOKUP($B162,INDIRECT($B$5&amp;"生成成长"),3))*(VLOOKUP($B$5,标准坦克设计!$B$14:$K$20,9)/30))</f>
        <v>11.435674487558916</v>
      </c>
      <c r="FG162" s="172">
        <f ca="1">(VLOOKUP(FG$72,INDIRECT($C$5&amp;"生成成长"),2))/((VLOOKUP($B162,INDIRECT($B$5&amp;"生成成长"),4))/(VLOOKUP(FG$72,INDIRECT($C$5&amp;"生成成长"),5))*(VLOOKUP($B$5,标准坦克设计!$B$24:$U$30,MATCH("对"&amp;LEFT($C$5,2)&amp;"输出",标准坦克设计!$B$23:$U$23,0)))*(VLOOKUP($B162,INDIRECT($B$5&amp;"生成成长"),3))*(VLOOKUP($B$5,标准坦克设计!$B$14:$K$20,9)/30))</f>
        <v>12.159804316257175</v>
      </c>
      <c r="FH162" s="172">
        <f ca="1">(VLOOKUP(FH$72,INDIRECT($C$5&amp;"生成成长"),2))/((VLOOKUP($B162,INDIRECT($B$5&amp;"生成成长"),4))/(VLOOKUP(FH$72,INDIRECT($C$5&amp;"生成成长"),5))*(VLOOKUP($B$5,标准坦克设计!$B$24:$U$30,MATCH("对"&amp;LEFT($C$5,2)&amp;"输出",标准坦克设计!$B$23:$U$23,0)))*(VLOOKUP($B162,INDIRECT($B$5&amp;"生成成长"),3))*(VLOOKUP($B$5,标准坦克设计!$B$14:$K$20,9)/30))</f>
        <v>12.906162451385368</v>
      </c>
      <c r="FI162" s="172">
        <f ca="1">(VLOOKUP(FI$72,INDIRECT($C$5&amp;"生成成长"),2))/((VLOOKUP($B162,INDIRECT($B$5&amp;"生成成长"),4))/(VLOOKUP(FI$72,INDIRECT($C$5&amp;"生成成长"),5))*(VLOOKUP($B$5,标准坦克设计!$B$24:$U$30,MATCH("对"&amp;LEFT($C$5,2)&amp;"输出",标准坦克设计!$B$23:$U$23,0)))*(VLOOKUP($B162,INDIRECT($B$5&amp;"生成成长"),3))*(VLOOKUP($B$5,标准坦克设计!$B$14:$K$20,9)/30))</f>
        <v>13.674748892943493</v>
      </c>
      <c r="FJ162" s="172">
        <f ca="1">(VLOOKUP(FJ$72,INDIRECT($C$5&amp;"生成成长"),2))/((VLOOKUP($B162,INDIRECT($B$5&amp;"生成成长"),4))/(VLOOKUP(FJ$72,INDIRECT($C$5&amp;"生成成长"),5))*(VLOOKUP($B$5,标准坦克设计!$B$24:$U$30,MATCH("对"&amp;LEFT($C$5,2)&amp;"输出",标准坦克设计!$B$23:$U$23,0)))*(VLOOKUP($B162,INDIRECT($B$5&amp;"生成成长"),3))*(VLOOKUP($B$5,标准坦克设计!$B$14:$K$20,9)/30))</f>
        <v>14.465563640931558</v>
      </c>
      <c r="FK162" s="172">
        <f ca="1">(VLOOKUP(FK$72,INDIRECT($C$5&amp;"生成成长"),2))/((VLOOKUP($B162,INDIRECT($B$5&amp;"生成成长"),4))/(VLOOKUP(FK$72,INDIRECT($C$5&amp;"生成成长"),5))*(VLOOKUP($B$5,标准坦克设计!$B$24:$U$30,MATCH("对"&amp;LEFT($C$5,2)&amp;"输出",标准坦克设计!$B$23:$U$23,0)))*(VLOOKUP($B162,INDIRECT($B$5&amp;"生成成长"),3))*(VLOOKUP($B$5,标准坦克设计!$B$14:$K$20,9)/30))</f>
        <v>15.278606695349552</v>
      </c>
    </row>
    <row r="163" spans="1:167" x14ac:dyDescent="0.15">
      <c r="A163" s="170" t="str">
        <f t="shared" si="12"/>
        <v>T5中品质1级</v>
      </c>
      <c r="B163" s="171">
        <v>20501</v>
      </c>
      <c r="C163" s="172">
        <f ca="1">(VLOOKUP(C$72,INDIRECT($C$5&amp;"生成成长"),2))/((VLOOKUP($B163,INDIRECT($B$5&amp;"生成成长"),4))/(VLOOKUP(C$72,INDIRECT($C$5&amp;"生成成长"),5))*(VLOOKUP($B$5,标准坦克设计!$B$24:$U$30,MATCH("对"&amp;LEFT($C$5,2)&amp;"输出",标准坦克设计!$B$23:$U$23,0)))*(VLOOKUP($B163,INDIRECT($B$5&amp;"生成成长"),3))*(VLOOKUP($B$5,标准坦克设计!$B$14:$K$20,9)/30))</f>
        <v>1.4712777039560647</v>
      </c>
      <c r="D163" s="172">
        <f ca="1">(VLOOKUP(D$72,INDIRECT($C$5&amp;"生成成长"),2))/((VLOOKUP($B163,INDIRECT($B$5&amp;"生成成长"),4))/(VLOOKUP(D$72,INDIRECT($C$5&amp;"生成成长"),5))*(VLOOKUP($B$5,标准坦克设计!$B$24:$U$30,MATCH("对"&amp;LEFT($C$5,2)&amp;"输出",标准坦克设计!$B$23:$U$23,0)))*(VLOOKUP($B163,INDIRECT($B$5&amp;"生成成长"),3))*(VLOOKUP($B$5,标准坦克设计!$B$14:$K$20,9)/30))</f>
        <v>1.6531276281650349</v>
      </c>
      <c r="E163" s="172">
        <f ca="1">(VLOOKUP(E$72,INDIRECT($C$5&amp;"生成成长"),2))/((VLOOKUP($B163,INDIRECT($B$5&amp;"生成成长"),4))/(VLOOKUP(E$72,INDIRECT($C$5&amp;"生成成长"),5))*(VLOOKUP($B$5,标准坦克设计!$B$24:$U$30,MATCH("对"&amp;LEFT($C$5,2)&amp;"输出",标准坦克设计!$B$23:$U$23,0)))*(VLOOKUP($B163,INDIRECT($B$5&amp;"生成成长"),3))*(VLOOKUP($B$5,标准坦克设计!$B$14:$K$20,9)/30))</f>
        <v>1.8455707518424882</v>
      </c>
      <c r="F163" s="172">
        <f ca="1">(VLOOKUP(F$72,INDIRECT($C$5&amp;"生成成长"),2))/((VLOOKUP($B163,INDIRECT($B$5&amp;"生成成长"),4))/(VLOOKUP(F$72,INDIRECT($C$5&amp;"生成成长"),5))*(VLOOKUP($B$5,标准坦克设计!$B$24:$U$30,MATCH("对"&amp;LEFT($C$5,2)&amp;"输出",标准坦克设计!$B$23:$U$23,0)))*(VLOOKUP($B163,INDIRECT($B$5&amp;"生成成长"),3))*(VLOOKUP($B$5,标准坦克设计!$B$14:$K$20,9)/30))</f>
        <v>2.0486070749884253</v>
      </c>
      <c r="G163" s="172">
        <f ca="1">(VLOOKUP(G$72,INDIRECT($C$5&amp;"生成成长"),2))/((VLOOKUP($B163,INDIRECT($B$5&amp;"生成成长"),4))/(VLOOKUP(G$72,INDIRECT($C$5&amp;"生成成长"),5))*(VLOOKUP($B$5,标准坦克设计!$B$24:$U$30,MATCH("对"&amp;LEFT($C$5,2)&amp;"输出",标准坦克设计!$B$23:$U$23,0)))*(VLOOKUP($B163,INDIRECT($B$5&amp;"生成成长"),3))*(VLOOKUP($B$5,标准坦克设计!$B$14:$K$20,9)/30))</f>
        <v>2.2622365976028456</v>
      </c>
      <c r="H163" s="172">
        <f ca="1">(VLOOKUP(H$72,INDIRECT($C$5&amp;"生成成长"),2))/((VLOOKUP($B163,INDIRECT($B$5&amp;"生成成长"),4))/(VLOOKUP(H$72,INDIRECT($C$5&amp;"生成成长"),5))*(VLOOKUP($B$5,标准坦克设计!$B$24:$U$30,MATCH("对"&amp;LEFT($C$5,2)&amp;"输出",标准坦克设计!$B$23:$U$23,0)))*(VLOOKUP($B163,INDIRECT($B$5&amp;"生成成长"),3))*(VLOOKUP($B$5,标准坦克设计!$B$14:$K$20,9)/30))</f>
        <v>1.9797512784432811</v>
      </c>
      <c r="I163" s="172">
        <f ca="1">(VLOOKUP(I$72,INDIRECT($C$5&amp;"生成成长"),2))/((VLOOKUP($B163,INDIRECT($B$5&amp;"生成成长"),4))/(VLOOKUP(I$72,INDIRECT($C$5&amp;"生成成长"),5))*(VLOOKUP($B$5,标准坦克设计!$B$24:$U$30,MATCH("对"&amp;LEFT($C$5,2)&amp;"输出",标准坦克设计!$B$23:$U$23,0)))*(VLOOKUP($B163,INDIRECT($B$5&amp;"生成成长"),3))*(VLOOKUP($B$5,标准坦克设计!$B$14:$K$20,9)/30))</f>
        <v>2.2622365976028456</v>
      </c>
      <c r="J163" s="172">
        <f ca="1">(VLOOKUP(J$72,INDIRECT($C$5&amp;"生成成长"),2))/((VLOOKUP($B163,INDIRECT($B$5&amp;"生成成长"),4))/(VLOOKUP(J$72,INDIRECT($C$5&amp;"生成成长"),5))*(VLOOKUP($B$5,标准坦克设计!$B$24:$U$30,MATCH("对"&amp;LEFT($C$5,2)&amp;"输出",标准坦克设计!$B$23:$U$23,0)))*(VLOOKUP($B163,INDIRECT($B$5&amp;"生成成长"),3))*(VLOOKUP($B$5,标准坦克设计!$B$14:$K$20,9)/30))</f>
        <v>2.5635542713730475</v>
      </c>
      <c r="K163" s="172">
        <f ca="1">(VLOOKUP(K$72,INDIRECT($C$5&amp;"生成成长"),2))/((VLOOKUP($B163,INDIRECT($B$5&amp;"生成成长"),4))/(VLOOKUP(K$72,INDIRECT($C$5&amp;"生成成长"),5))*(VLOOKUP($B$5,标准坦克设计!$B$24:$U$30,MATCH("对"&amp;LEFT($C$5,2)&amp;"输出",标准坦克设计!$B$23:$U$23,0)))*(VLOOKUP($B163,INDIRECT($B$5&amp;"生成成长"),3))*(VLOOKUP($B$5,标准坦克设计!$B$14:$K$20,9)/30))</f>
        <v>2.8837042997538873</v>
      </c>
      <c r="L163" s="172">
        <f ca="1">(VLOOKUP(L$72,INDIRECT($C$5&amp;"生成成长"),2))/((VLOOKUP($B163,INDIRECT($B$5&amp;"生成成长"),4))/(VLOOKUP(L$72,INDIRECT($C$5&amp;"生成成长"),5))*(VLOOKUP($B$5,标准坦克设计!$B$24:$U$30,MATCH("对"&amp;LEFT($C$5,2)&amp;"输出",标准坦克设计!$B$23:$U$23,0)))*(VLOOKUP($B163,INDIRECT($B$5&amp;"生成成长"),3))*(VLOOKUP($B$5,标准坦克设计!$B$14:$K$20,9)/30))</f>
        <v>3.2226866827453646</v>
      </c>
      <c r="M163" s="172">
        <f ca="1">(VLOOKUP(M$72,INDIRECT($C$5&amp;"生成成长"),2))/((VLOOKUP($B163,INDIRECT($B$5&amp;"生成成长"),4))/(VLOOKUP(M$72,INDIRECT($C$5&amp;"生成成长"),5))*(VLOOKUP($B$5,标准坦克设计!$B$24:$U$30,MATCH("对"&amp;LEFT($C$5,2)&amp;"输出",标准坦克设计!$B$23:$U$23,0)))*(VLOOKUP($B163,INDIRECT($B$5&amp;"生成成长"),3))*(VLOOKUP($B$5,标准坦克设计!$B$14:$K$20,9)/30))</f>
        <v>3.5805014203474799</v>
      </c>
      <c r="N163" s="172">
        <f ca="1">(VLOOKUP(N$72,INDIRECT($C$5&amp;"生成成长"),2))/((VLOOKUP($B163,INDIRECT($B$5&amp;"生成成长"),4))/(VLOOKUP(N$72,INDIRECT($C$5&amp;"生成成长"),5))*(VLOOKUP($B$5,标准坦克设计!$B$24:$U$30,MATCH("对"&amp;LEFT($C$5,2)&amp;"输出",标准坦克设计!$B$23:$U$23,0)))*(VLOOKUP($B163,INDIRECT($B$5&amp;"生成成长"),3))*(VLOOKUP($B$5,标准坦克设计!$B$14:$K$20,9)/30))</f>
        <v>3.9571485125602321</v>
      </c>
      <c r="O163" s="172">
        <f ca="1">(VLOOKUP(O$72,INDIRECT($C$5&amp;"生成成长"),2))/((VLOOKUP($B163,INDIRECT($B$5&amp;"生成成长"),4))/(VLOOKUP(O$72,INDIRECT($C$5&amp;"生成成长"),5))*(VLOOKUP($B$5,标准坦克设计!$B$24:$U$30,MATCH("对"&amp;LEFT($C$5,2)&amp;"输出",标准坦克设计!$B$23:$U$23,0)))*(VLOOKUP($B163,INDIRECT($B$5&amp;"生成成长"),3))*(VLOOKUP($B$5,标准坦克设计!$B$14:$K$20,9)/30))</f>
        <v>3.0086157768197568</v>
      </c>
      <c r="P163" s="172">
        <f ca="1">(VLOOKUP(P$72,INDIRECT($C$5&amp;"生成成长"),2))/((VLOOKUP($B163,INDIRECT($B$5&amp;"生成成长"),4))/(VLOOKUP(P$72,INDIRECT($C$5&amp;"生成成长"),5))*(VLOOKUP($B$5,标准坦克设计!$B$24:$U$30,MATCH("对"&amp;LEFT($C$5,2)&amp;"输出",标准坦克设计!$B$23:$U$23,0)))*(VLOOKUP($B163,INDIRECT($B$5&amp;"生成成长"),3))*(VLOOKUP($B$5,标准坦克设计!$B$14:$K$20,9)/30))</f>
        <v>3.3992400072200928</v>
      </c>
      <c r="Q163" s="172">
        <f ca="1">(VLOOKUP(Q$72,INDIRECT($C$5&amp;"生成成长"),2))/((VLOOKUP($B163,INDIRECT($B$5&amp;"生成成长"),4))/(VLOOKUP(Q$72,INDIRECT($C$5&amp;"生成成长"),5))*(VLOOKUP($B$5,标准坦克设计!$B$24:$U$30,MATCH("对"&amp;LEFT($C$5,2)&amp;"输出",标准坦克设计!$B$23:$U$23,0)))*(VLOOKUP($B163,INDIRECT($B$5&amp;"生成成长"),3))*(VLOOKUP($B$5,标准坦克设计!$B$14:$K$20,9)/30))</f>
        <v>3.8136989364245162</v>
      </c>
      <c r="R163" s="172">
        <f ca="1">(VLOOKUP(R$72,INDIRECT($C$5&amp;"生成成长"),2))/((VLOOKUP($B163,INDIRECT($B$5&amp;"生成成长"),4))/(VLOOKUP(R$72,INDIRECT($C$5&amp;"生成成长"),5))*(VLOOKUP($B$5,标准坦克设计!$B$24:$U$30,MATCH("对"&amp;LEFT($C$5,2)&amp;"输出",标准坦克设计!$B$23:$U$23,0)))*(VLOOKUP($B163,INDIRECT($B$5&amp;"生成成长"),3))*(VLOOKUP($B$5,标准坦克设计!$B$14:$K$20,9)/30))</f>
        <v>4.251992564433027</v>
      </c>
      <c r="S163" s="172">
        <f ca="1">(VLOOKUP(S$72,INDIRECT($C$5&amp;"生成成长"),2))/((VLOOKUP($B163,INDIRECT($B$5&amp;"生成成长"),4))/(VLOOKUP(S$72,INDIRECT($C$5&amp;"生成成长"),5))*(VLOOKUP($B$5,标准坦克设计!$B$24:$U$30,MATCH("对"&amp;LEFT($C$5,2)&amp;"输出",标准坦克设计!$B$23:$U$23,0)))*(VLOOKUP($B163,INDIRECT($B$5&amp;"生成成长"),3))*(VLOOKUP($B$5,标准坦克设计!$B$14:$K$20,9)/30))</f>
        <v>4.7141208912456287</v>
      </c>
      <c r="T163" s="172">
        <f ca="1">(VLOOKUP(T$72,INDIRECT($C$5&amp;"生成成长"),2))/((VLOOKUP($B163,INDIRECT($B$5&amp;"生成成长"),4))/(VLOOKUP(T$72,INDIRECT($C$5&amp;"生成成长"),5))*(VLOOKUP($B$5,标准坦克设计!$B$24:$U$30,MATCH("对"&amp;LEFT($C$5,2)&amp;"输出",标准坦克设计!$B$23:$U$23,0)))*(VLOOKUP($B163,INDIRECT($B$5&amp;"生成成长"),3))*(VLOOKUP($B$5,标准坦克设计!$B$14:$K$20,9)/30))</f>
        <v>5.2000839168623161</v>
      </c>
      <c r="U163" s="172">
        <f ca="1">(VLOOKUP(U$72,INDIRECT($C$5&amp;"生成成长"),2))/((VLOOKUP($B163,INDIRECT($B$5&amp;"生成成长"),4))/(VLOOKUP(U$72,INDIRECT($C$5&amp;"生成成长"),5))*(VLOOKUP($B$5,标准坦克设计!$B$24:$U$30,MATCH("对"&amp;LEFT($C$5,2)&amp;"输出",标准坦克设计!$B$23:$U$23,0)))*(VLOOKUP($B163,INDIRECT($B$5&amp;"生成成长"),3))*(VLOOKUP($B$5,标准坦克设计!$B$14:$K$20,9)/30))</f>
        <v>5.7098816412830917</v>
      </c>
      <c r="V163" s="172">
        <f ca="1">(VLOOKUP(V$72,INDIRECT($C$5&amp;"生成成长"),2))/((VLOOKUP($B163,INDIRECT($B$5&amp;"生成成长"),4))/(VLOOKUP(V$72,INDIRECT($C$5&amp;"生成成长"),5))*(VLOOKUP($B$5,标准坦克设计!$B$24:$U$30,MATCH("对"&amp;LEFT($C$5,2)&amp;"输出",标准坦克设计!$B$23:$U$23,0)))*(VLOOKUP($B163,INDIRECT($B$5&amp;"生成成长"),3))*(VLOOKUP($B$5,标准坦克设计!$B$14:$K$20,9)/30))</f>
        <v>6.2435140645079583</v>
      </c>
      <c r="W163" s="172">
        <f ca="1">(VLOOKUP(W$72,INDIRECT($C$5&amp;"生成成长"),2))/((VLOOKUP($B163,INDIRECT($B$5&amp;"生成成长"),4))/(VLOOKUP(W$72,INDIRECT($C$5&amp;"生成成长"),5))*(VLOOKUP($B$5,标准坦克设计!$B$24:$U$30,MATCH("对"&amp;LEFT($C$5,2)&amp;"输出",标准坦克设计!$B$23:$U$23,0)))*(VLOOKUP($B163,INDIRECT($B$5&amp;"生成成长"),3))*(VLOOKUP($B$5,标准坦克设计!$B$14:$K$20,9)/30))</f>
        <v>6.8009811865369105</v>
      </c>
      <c r="X163" s="172">
        <f ca="1">(VLOOKUP(X$72,INDIRECT($C$5&amp;"生成成长"),2))/((VLOOKUP($B163,INDIRECT($B$5&amp;"生成成长"),4))/(VLOOKUP(X$72,INDIRECT($C$5&amp;"生成成长"),5))*(VLOOKUP($B$5,标准坦克设计!$B$24:$U$30,MATCH("对"&amp;LEFT($C$5,2)&amp;"输出",标准坦克设计!$B$23:$U$23,0)))*(VLOOKUP($B163,INDIRECT($B$5&amp;"生成成长"),3))*(VLOOKUP($B$5,标准坦克设计!$B$14:$K$20,9)/30))</f>
        <v>4.9271619027784661</v>
      </c>
      <c r="Y163" s="172">
        <f ca="1">(VLOOKUP(Y$72,INDIRECT($C$5&amp;"生成成长"),2))/((VLOOKUP($B163,INDIRECT($B$5&amp;"生成成长"),4))/(VLOOKUP(Y$72,INDIRECT($C$5&amp;"生成成长"),5))*(VLOOKUP($B$5,标准坦克设计!$B$24:$U$30,MATCH("对"&amp;LEFT($C$5,2)&amp;"输出",标准坦克设计!$B$23:$U$23,0)))*(VLOOKUP($B163,INDIRECT($B$5&amp;"生成成长"),3))*(VLOOKUP($B$5,标准坦克设计!$B$14:$K$20,9)/30))</f>
        <v>5.4803623194659465</v>
      </c>
      <c r="Z163" s="172">
        <f ca="1">(VLOOKUP(Z$72,INDIRECT($C$5&amp;"生成成长"),2))/((VLOOKUP($B163,INDIRECT($B$5&amp;"生成成长"),4))/(VLOOKUP(Z$72,INDIRECT($C$5&amp;"生成成长"),5))*(VLOOKUP($B$5,标准坦克设计!$B$24:$U$30,MATCH("对"&amp;LEFT($C$5,2)&amp;"输出",标准坦克设计!$B$23:$U$23,0)))*(VLOOKUP($B163,INDIRECT($B$5&amp;"生成成长"),3))*(VLOOKUP($B$5,标准坦克设计!$B$14:$K$20,9)/30))</f>
        <v>6.0629882902325489</v>
      </c>
      <c r="AA163" s="172">
        <f ca="1">(VLOOKUP(AA$72,INDIRECT($C$5&amp;"生成成长"),2))/((VLOOKUP($B163,INDIRECT($B$5&amp;"生成成长"),4))/(VLOOKUP(AA$72,INDIRECT($C$5&amp;"生成成长"),5))*(VLOOKUP($B$5,标准坦克设计!$B$24:$U$30,MATCH("对"&amp;LEFT($C$5,2)&amp;"输出",标准坦克设计!$B$23:$U$23,0)))*(VLOOKUP($B163,INDIRECT($B$5&amp;"生成成长"),3))*(VLOOKUP($B$5,标准坦克设计!$B$14:$K$20,9)/30))</f>
        <v>6.6750398150782706</v>
      </c>
      <c r="AB163" s="172">
        <f ca="1">(VLOOKUP(AB$72,INDIRECT($C$5&amp;"生成成长"),2))/((VLOOKUP($B163,INDIRECT($B$5&amp;"生成成长"),4))/(VLOOKUP(AB$72,INDIRECT($C$5&amp;"生成成长"),5))*(VLOOKUP($B$5,标准坦克设计!$B$24:$U$30,MATCH("对"&amp;LEFT($C$5,2)&amp;"输出",标准坦克设计!$B$23:$U$23,0)))*(VLOOKUP($B163,INDIRECT($B$5&amp;"生成成长"),3))*(VLOOKUP($B$5,标准坦克设计!$B$14:$K$20,9)/30))</f>
        <v>7.3165168940031151</v>
      </c>
      <c r="AC163" s="172">
        <f ca="1">(VLOOKUP(AC$72,INDIRECT($C$5&amp;"生成成长"),2))/((VLOOKUP($B163,INDIRECT($B$5&amp;"生成成长"),4))/(VLOOKUP(AC$72,INDIRECT($C$5&amp;"生成成长"),5))*(VLOOKUP($B$5,标准坦克设计!$B$24:$U$30,MATCH("对"&amp;LEFT($C$5,2)&amp;"输出",标准坦克设计!$B$23:$U$23,0)))*(VLOOKUP($B163,INDIRECT($B$5&amp;"生成成长"),3))*(VLOOKUP($B$5,标准坦克设计!$B$14:$K$20,9)/30))</f>
        <v>7.9874195270070825</v>
      </c>
      <c r="AD163" s="172">
        <f ca="1">(VLOOKUP(AD$72,INDIRECT($C$5&amp;"生成成长"),2))/((VLOOKUP($B163,INDIRECT($B$5&amp;"生成成长"),4))/(VLOOKUP(AD$72,INDIRECT($C$5&amp;"生成成长"),5))*(VLOOKUP($B$5,标准坦克设计!$B$24:$U$30,MATCH("对"&amp;LEFT($C$5,2)&amp;"输出",标准坦克设计!$B$23:$U$23,0)))*(VLOOKUP($B163,INDIRECT($B$5&amp;"生成成长"),3))*(VLOOKUP($B$5,标准坦克设计!$B$14:$K$20,9)/30))</f>
        <v>8.68774771409017</v>
      </c>
      <c r="AE163" s="172">
        <f ca="1">(VLOOKUP(AE$72,INDIRECT($C$5&amp;"生成成长"),2))/((VLOOKUP($B163,INDIRECT($B$5&amp;"生成成长"),4))/(VLOOKUP(AE$72,INDIRECT($C$5&amp;"生成成长"),5))*(VLOOKUP($B$5,标准坦克设计!$B$24:$U$30,MATCH("对"&amp;LEFT($C$5,2)&amp;"输出",标准坦克设计!$B$23:$U$23,0)))*(VLOOKUP($B163,INDIRECT($B$5&amp;"生成成长"),3))*(VLOOKUP($B$5,标准坦克设计!$B$14:$K$20,9)/30))</f>
        <v>9.4175014552523759</v>
      </c>
      <c r="AF163" s="172">
        <f ca="1">(VLOOKUP(AF$72,INDIRECT($C$5&amp;"生成成长"),2))/((VLOOKUP($B163,INDIRECT($B$5&amp;"生成成长"),4))/(VLOOKUP(AF$72,INDIRECT($C$5&amp;"生成成长"),5))*(VLOOKUP($B$5,标准坦克设计!$B$24:$U$30,MATCH("对"&amp;LEFT($C$5,2)&amp;"输出",标准坦克设计!$B$23:$U$23,0)))*(VLOOKUP($B163,INDIRECT($B$5&amp;"生成成长"),3))*(VLOOKUP($B$5,标准坦克设计!$B$14:$K$20,9)/30))</f>
        <v>10.176680750493706</v>
      </c>
      <c r="AG163" s="172">
        <f ca="1">(VLOOKUP(AG$72,INDIRECT($C$5&amp;"生成成长"),2))/((VLOOKUP($B163,INDIRECT($B$5&amp;"生成成长"),4))/(VLOOKUP(AG$72,INDIRECT($C$5&amp;"生成成长"),5))*(VLOOKUP($B$5,标准坦克设计!$B$24:$U$30,MATCH("对"&amp;LEFT($C$5,2)&amp;"输出",标准坦克设计!$B$23:$U$23,0)))*(VLOOKUP($B163,INDIRECT($B$5&amp;"生成成长"),3))*(VLOOKUP($B$5,标准坦克设计!$B$14:$K$20,9)/30))</f>
        <v>10.965285599814159</v>
      </c>
      <c r="AH163" s="172">
        <f ca="1">(VLOOKUP(AH$72,INDIRECT($C$5&amp;"生成成长"),2))/((VLOOKUP($B163,INDIRECT($B$5&amp;"生成成长"),4))/(VLOOKUP(AH$72,INDIRECT($C$5&amp;"生成成长"),5))*(VLOOKUP($B$5,标准坦克设计!$B$24:$U$30,MATCH("对"&amp;LEFT($C$5,2)&amp;"输出",标准坦克设计!$B$23:$U$23,0)))*(VLOOKUP($B163,INDIRECT($B$5&amp;"生成成长"),3))*(VLOOKUP($B$5,标准坦克设计!$B$14:$K$20,9)/30))</f>
        <v>11.783316003213729</v>
      </c>
      <c r="AI163" s="172">
        <f ca="1">(VLOOKUP(AI$72,INDIRECT($C$5&amp;"生成成长"),2))/((VLOOKUP($B163,INDIRECT($B$5&amp;"生成成长"),4))/(VLOOKUP(AI$72,INDIRECT($C$5&amp;"生成成长"),5))*(VLOOKUP($B$5,标准坦克设计!$B$24:$U$30,MATCH("对"&amp;LEFT($C$5,2)&amp;"输出",标准坦克设计!$B$23:$U$23,0)))*(VLOOKUP($B163,INDIRECT($B$5&amp;"生成成长"),3))*(VLOOKUP($B$5,标准坦克设计!$B$14:$K$20,9)/30))</f>
        <v>8.3339054262887338</v>
      </c>
      <c r="AJ163" s="172">
        <f ca="1">(VLOOKUP(AJ$72,INDIRECT($C$5&amp;"生成成长"),2))/((VLOOKUP($B163,INDIRECT($B$5&amp;"生成成长"),4))/(VLOOKUP(AJ$72,INDIRECT($C$5&amp;"生成成长"),5))*(VLOOKUP($B$5,标准坦克设计!$B$24:$U$30,MATCH("对"&amp;LEFT($C$5,2)&amp;"输出",标准坦克设计!$B$23:$U$23,0)))*(VLOOKUP($B163,INDIRECT($B$5&amp;"生成成长"),3))*(VLOOKUP($B$5,标准坦克设计!$B$14:$K$20,9)/30))</f>
        <v>9.1220688922979978</v>
      </c>
      <c r="AK163" s="172">
        <f ca="1">(VLOOKUP(AK$72,INDIRECT($C$5&amp;"生成成长"),2))/((VLOOKUP($B163,INDIRECT($B$5&amp;"生成成长"),4))/(VLOOKUP(AK$72,INDIRECT($C$5&amp;"生成成长"),5))*(VLOOKUP($B$5,标准坦克设计!$B$24:$U$30,MATCH("对"&amp;LEFT($C$5,2)&amp;"输出",标准坦克设计!$B$23:$U$23,0)))*(VLOOKUP($B163,INDIRECT($B$5&amp;"生成成长"),3))*(VLOOKUP($B$5,标准坦克设计!$B$14:$K$20,9)/30))</f>
        <v>9.9458372787429994</v>
      </c>
      <c r="AL163" s="172">
        <f ca="1">(VLOOKUP(AL$72,INDIRECT($C$5&amp;"生成成长"),2))/((VLOOKUP($B163,INDIRECT($B$5&amp;"生成成长"),4))/(VLOOKUP(AL$72,INDIRECT($C$5&amp;"生成成长"),5))*(VLOOKUP($B$5,标准坦克设计!$B$24:$U$30,MATCH("对"&amp;LEFT($C$5,2)&amp;"输出",标准坦克设计!$B$23:$U$23,0)))*(VLOOKUP($B163,INDIRECT($B$5&amp;"生成成长"),3))*(VLOOKUP($B$5,标准坦克设计!$B$14:$K$20,9)/30))</f>
        <v>10.805210585623739</v>
      </c>
      <c r="AM163" s="172">
        <f ca="1">(VLOOKUP(AM$72,INDIRECT($C$5&amp;"生成成长"),2))/((VLOOKUP($B163,INDIRECT($B$5&amp;"生成成长"),4))/(VLOOKUP(AM$72,INDIRECT($C$5&amp;"生成成长"),5))*(VLOOKUP($B$5,标准坦克设计!$B$24:$U$30,MATCH("对"&amp;LEFT($C$5,2)&amp;"输出",标准坦克设计!$B$23:$U$23,0)))*(VLOOKUP($B163,INDIRECT($B$5&amp;"生成成长"),3))*(VLOOKUP($B$5,标准坦克设计!$B$14:$K$20,9)/30))</f>
        <v>11.700188812940212</v>
      </c>
      <c r="AN163" s="172">
        <f ca="1">(VLOOKUP(AN$72,INDIRECT($C$5&amp;"生成成长"),2))/((VLOOKUP($B163,INDIRECT($B$5&amp;"生成成长"),4))/(VLOOKUP(AN$72,INDIRECT($C$5&amp;"生成成长"),5))*(VLOOKUP($B$5,标准坦克设计!$B$24:$U$30,MATCH("对"&amp;LEFT($C$5,2)&amp;"输出",标准坦克设计!$B$23:$U$23,0)))*(VLOOKUP($B163,INDIRECT($B$5&amp;"生成成长"),3))*(VLOOKUP($B$5,标准坦克设计!$B$14:$K$20,9)/30))</f>
        <v>12.630771960692423</v>
      </c>
      <c r="AO163" s="172">
        <f ca="1">(VLOOKUP(AO$72,INDIRECT($C$5&amp;"生成成长"),2))/((VLOOKUP($B163,INDIRECT($B$5&amp;"生成成长"),4))/(VLOOKUP(AO$72,INDIRECT($C$5&amp;"生成成长"),5))*(VLOOKUP($B$5,标准坦克设计!$B$24:$U$30,MATCH("对"&amp;LEFT($C$5,2)&amp;"输出",标准坦克设计!$B$23:$U$23,0)))*(VLOOKUP($B163,INDIRECT($B$5&amp;"生成成长"),3))*(VLOOKUP($B$5,标准坦克设计!$B$14:$K$20,9)/30))</f>
        <v>13.596960028880371</v>
      </c>
      <c r="AP163" s="172">
        <f ca="1">(VLOOKUP(AP$72,INDIRECT($C$5&amp;"生成成长"),2))/((VLOOKUP($B163,INDIRECT($B$5&amp;"生成成长"),4))/(VLOOKUP(AP$72,INDIRECT($C$5&amp;"生成成长"),5))*(VLOOKUP($B$5,标准坦克设计!$B$24:$U$30,MATCH("对"&amp;LEFT($C$5,2)&amp;"输出",标准坦克设计!$B$23:$U$23,0)))*(VLOOKUP($B163,INDIRECT($B$5&amp;"生成成长"),3))*(VLOOKUP($B$5,标准坦克设计!$B$14:$K$20,9)/30))</f>
        <v>14.598753017504055</v>
      </c>
      <c r="AQ163" s="172">
        <f ca="1">(VLOOKUP(AQ$72,INDIRECT($C$5&amp;"生成成长"),2))/((VLOOKUP($B163,INDIRECT($B$5&amp;"生成成长"),4))/(VLOOKUP(AQ$72,INDIRECT($C$5&amp;"生成成长"),5))*(VLOOKUP($B$5,标准坦克设计!$B$24:$U$30,MATCH("对"&amp;LEFT($C$5,2)&amp;"输出",标准坦克设计!$B$23:$U$23,0)))*(VLOOKUP($B163,INDIRECT($B$5&amp;"生成成长"),3))*(VLOOKUP($B$5,标准坦克设计!$B$14:$K$20,9)/30))</f>
        <v>15.636150926563479</v>
      </c>
      <c r="AR163" s="172">
        <f ca="1">(VLOOKUP(AR$72,INDIRECT($C$5&amp;"生成成长"),2))/((VLOOKUP($B163,INDIRECT($B$5&amp;"生成成长"),4))/(VLOOKUP(AR$72,INDIRECT($C$5&amp;"生成成长"),5))*(VLOOKUP($B$5,标准坦克设计!$B$24:$U$30,MATCH("对"&amp;LEFT($C$5,2)&amp;"输出",标准坦克设计!$B$23:$U$23,0)))*(VLOOKUP($B163,INDIRECT($B$5&amp;"生成成长"),3))*(VLOOKUP($B$5,标准坦克设计!$B$14:$K$20,9)/30))</f>
        <v>16.709153756058633</v>
      </c>
      <c r="AS163" s="172">
        <f ca="1">(VLOOKUP(AS$72,INDIRECT($C$5&amp;"生成成长"),2))/((VLOOKUP($B163,INDIRECT($B$5&amp;"生成成长"),4))/(VLOOKUP(AS$72,INDIRECT($C$5&amp;"生成成长"),5))*(VLOOKUP($B$5,标准坦克设计!$B$24:$U$30,MATCH("对"&amp;LEFT($C$5,2)&amp;"输出",标准坦克设计!$B$23:$U$23,0)))*(VLOOKUP($B163,INDIRECT($B$5&amp;"生成成长"),3))*(VLOOKUP($B$5,标准坦克设计!$B$14:$K$20,9)/30))</f>
        <v>17.81776150598953</v>
      </c>
      <c r="AT163" s="172">
        <f ca="1">(VLOOKUP(AT$72,INDIRECT($C$5&amp;"生成成长"),2))/((VLOOKUP($B163,INDIRECT($B$5&amp;"生成成长"),4))/(VLOOKUP(AT$72,INDIRECT($C$5&amp;"生成成长"),5))*(VLOOKUP($B$5,标准坦克设计!$B$24:$U$30,MATCH("对"&amp;LEFT($C$5,2)&amp;"输出",标准坦克设计!$B$23:$U$23,0)))*(VLOOKUP($B163,INDIRECT($B$5&amp;"生成成长"),3))*(VLOOKUP($B$5,标准坦克设计!$B$14:$K$20,9)/30))</f>
        <v>18.961974176356161</v>
      </c>
      <c r="AU163" s="172">
        <f ca="1">(VLOOKUP(AU$72,INDIRECT($C$5&amp;"生成成长"),2))/((VLOOKUP($B163,INDIRECT($B$5&amp;"生成成长"),4))/(VLOOKUP(AU$72,INDIRECT($C$5&amp;"生成成长"),5))*(VLOOKUP($B$5,标准坦克设计!$B$24:$U$30,MATCH("对"&amp;LEFT($C$5,2)&amp;"输出",标准坦克设计!$B$23:$U$23,0)))*(VLOOKUP($B163,INDIRECT($B$5&amp;"生成成长"),3))*(VLOOKUP($B$5,标准坦克设计!$B$14:$K$20,9)/30))</f>
        <v>20.141791767158534</v>
      </c>
      <c r="AV163" s="172">
        <f ca="1">(VLOOKUP(AV$72,INDIRECT($C$5&amp;"生成成长"),2))/((VLOOKUP($B163,INDIRECT($B$5&amp;"生成成长"),4))/(VLOOKUP(AV$72,INDIRECT($C$5&amp;"生成成长"),5))*(VLOOKUP($B$5,标准坦克设计!$B$24:$U$30,MATCH("对"&amp;LEFT($C$5,2)&amp;"输出",标准坦克设计!$B$23:$U$23,0)))*(VLOOKUP($B163,INDIRECT($B$5&amp;"生成成长"),3))*(VLOOKUP($B$5,标准坦克设计!$B$14:$K$20,9)/30))</f>
        <v>2.0486070749884253</v>
      </c>
      <c r="AW163" s="172">
        <f ca="1">(VLOOKUP(AW$72,INDIRECT($C$5&amp;"生成成长"),2))/((VLOOKUP($B163,INDIRECT($B$5&amp;"生成成长"),4))/(VLOOKUP(AW$72,INDIRECT($C$5&amp;"生成成长"),5))*(VLOOKUP($B$5,标准坦克设计!$B$24:$U$30,MATCH("对"&amp;LEFT($C$5,2)&amp;"输出",标准坦克设计!$B$23:$U$23,0)))*(VLOOKUP($B163,INDIRECT($B$5&amp;"生成成长"),3))*(VLOOKUP($B$5,标准坦克设计!$B$14:$K$20,9)/30))</f>
        <v>2.3358004828006487</v>
      </c>
      <c r="AX163" s="172">
        <f ca="1">(VLOOKUP(AX$72,INDIRECT($C$5&amp;"生成成长"),2))/((VLOOKUP($B163,INDIRECT($B$5&amp;"生成成长"),4))/(VLOOKUP(AX$72,INDIRECT($C$5&amp;"生成成长"),5))*(VLOOKUP($B$5,标准坦克设计!$B$24:$U$30,MATCH("对"&amp;LEFT($C$5,2)&amp;"输出",标准坦克设计!$B$23:$U$23,0)))*(VLOOKUP($B163,INDIRECT($B$5&amp;"生成成长"),3))*(VLOOKUP($B$5,标准坦克设计!$B$14:$K$20,9)/30))</f>
        <v>2.64182624522351</v>
      </c>
      <c r="AY163" s="172">
        <f ca="1">(VLOOKUP(AY$72,INDIRECT($C$5&amp;"生成成长"),2))/((VLOOKUP($B163,INDIRECT($B$5&amp;"生成成长"),4))/(VLOOKUP(AY$72,INDIRECT($C$5&amp;"生成成长"),5))*(VLOOKUP($B$5,标准坦克设计!$B$24:$U$30,MATCH("对"&amp;LEFT($C$5,2)&amp;"输出",标准坦克设计!$B$23:$U$23,0)))*(VLOOKUP($B163,INDIRECT($B$5&amp;"生成成长"),3))*(VLOOKUP($B$5,标准坦克设计!$B$14:$K$20,9)/30))</f>
        <v>2.9666843622570096</v>
      </c>
      <c r="AZ163" s="172">
        <f ca="1">(VLOOKUP(AZ$72,INDIRECT($C$5&amp;"生成成长"),2))/((VLOOKUP($B163,INDIRECT($B$5&amp;"生成成长"),4))/(VLOOKUP(AZ$72,INDIRECT($C$5&amp;"生成成长"),5))*(VLOOKUP($B$5,标准坦克设计!$B$24:$U$30,MATCH("对"&amp;LEFT($C$5,2)&amp;"输出",标准坦克设计!$B$23:$U$23,0)))*(VLOOKUP($B163,INDIRECT($B$5&amp;"生成成长"),3))*(VLOOKUP($B$5,标准坦克设计!$B$14:$K$20,9)/30))</f>
        <v>3.3103748339011458</v>
      </c>
      <c r="BA163" s="172">
        <f ca="1">(VLOOKUP(BA$72,INDIRECT($C$5&amp;"生成成长"),2))/((VLOOKUP($B163,INDIRECT($B$5&amp;"生成成长"),4))/(VLOOKUP(BA$72,INDIRECT($C$5&amp;"生成成长"),5))*(VLOOKUP($B$5,标准坦克设计!$B$24:$U$30,MATCH("对"&amp;LEFT($C$5,2)&amp;"输出",标准坦克设计!$B$23:$U$23,0)))*(VLOOKUP($B163,INDIRECT($B$5&amp;"生成成长"),3))*(VLOOKUP($B$5,标准坦克设计!$B$14:$K$20,9)/30))</f>
        <v>3.6728976601559209</v>
      </c>
      <c r="BB163" s="172">
        <f ca="1">(VLOOKUP(BB$72,INDIRECT($C$5&amp;"生成成长"),2))/((VLOOKUP($B163,INDIRECT($B$5&amp;"生成成长"),4))/(VLOOKUP(BB$72,INDIRECT($C$5&amp;"生成成长"),5))*(VLOOKUP($B$5,标准坦克设计!$B$24:$U$30,MATCH("对"&amp;LEFT($C$5,2)&amp;"输出",标准坦克设计!$B$23:$U$23,0)))*(VLOOKUP($B163,INDIRECT($B$5&amp;"生成成长"),3))*(VLOOKUP($B$5,标准坦克设计!$B$14:$K$20,9)/30))</f>
        <v>4.0542528410213325</v>
      </c>
      <c r="BC163" s="172">
        <f ca="1">(VLOOKUP(BC$72,INDIRECT($C$5&amp;"生成成长"),2))/((VLOOKUP($B163,INDIRECT($B$5&amp;"生成成长"),4))/(VLOOKUP(BC$72,INDIRECT($C$5&amp;"生成成长"),5))*(VLOOKUP($B$5,标准坦克设计!$B$24:$U$30,MATCH("对"&amp;LEFT($C$5,2)&amp;"输出",标准坦克设计!$B$23:$U$23,0)))*(VLOOKUP($B163,INDIRECT($B$5&amp;"生成成长"),3))*(VLOOKUP($B$5,标准坦克设计!$B$14:$K$20,9)/30))</f>
        <v>4.4544403764973826</v>
      </c>
      <c r="BD163" s="172">
        <f ca="1">(VLOOKUP(BD$72,INDIRECT($C$5&amp;"生成成长"),2))/((VLOOKUP($B163,INDIRECT($B$5&amp;"生成成长"),4))/(VLOOKUP(BD$72,INDIRECT($C$5&amp;"生成成长"),5))*(VLOOKUP($B$5,标准坦克设计!$B$24:$U$30,MATCH("对"&amp;LEFT($C$5,2)&amp;"输出",标准坦克设计!$B$23:$U$23,0)))*(VLOOKUP($B163,INDIRECT($B$5&amp;"生成成长"),3))*(VLOOKUP($B$5,标准坦克设计!$B$14:$K$20,9)/30))</f>
        <v>4.9271619027784661</v>
      </c>
      <c r="BE163" s="172">
        <f ca="1">(VLOOKUP(BE$72,INDIRECT($C$5&amp;"生成成长"),2))/((VLOOKUP($B163,INDIRECT($B$5&amp;"生成成长"),4))/(VLOOKUP(BE$72,INDIRECT($C$5&amp;"生成成长"),5))*(VLOOKUP($B$5,标准坦克设计!$B$24:$U$30,MATCH("对"&amp;LEFT($C$5,2)&amp;"输出",标准坦克设计!$B$23:$U$23,0)))*(VLOOKUP($B163,INDIRECT($B$5&amp;"生成成长"),3))*(VLOOKUP($B$5,标准坦克设计!$B$14:$K$20,9)/30))</f>
        <v>5.4237181278636388</v>
      </c>
      <c r="BF163" s="172">
        <f ca="1">(VLOOKUP(BF$72,INDIRECT($C$5&amp;"生成成长"),2))/((VLOOKUP($B163,INDIRECT($B$5&amp;"生成成长"),4))/(VLOOKUP(BF$72,INDIRECT($C$5&amp;"生成成长"),5))*(VLOOKUP($B$5,标准坦克设计!$B$24:$U$30,MATCH("对"&amp;LEFT($C$5,2)&amp;"输出",标准坦克设计!$B$23:$U$23,0)))*(VLOOKUP($B163,INDIRECT($B$5&amp;"生成成长"),3))*(VLOOKUP($B$5,标准坦克设计!$B$14:$K$20,9)/30))</f>
        <v>5.9441090517528989</v>
      </c>
      <c r="BG163" s="172">
        <f ca="1">(VLOOKUP(BG$72,INDIRECT($C$5&amp;"生成成长"),2))/((VLOOKUP($B163,INDIRECT($B$5&amp;"生成成长"),4))/(VLOOKUP(BG$72,INDIRECT($C$5&amp;"生成成长"),5))*(VLOOKUP($B$5,标准坦克设计!$B$24:$U$30,MATCH("对"&amp;LEFT($C$5,2)&amp;"输出",标准坦克设计!$B$23:$U$23,0)))*(VLOOKUP($B163,INDIRECT($B$5&amp;"生成成长"),3))*(VLOOKUP($B$5,标准坦克设计!$B$14:$K$20,9)/30))</f>
        <v>6.4883346744462447</v>
      </c>
      <c r="BH163" s="172">
        <f ca="1">(VLOOKUP(BH$72,INDIRECT($C$5&amp;"生成成长"),2))/((VLOOKUP($B163,INDIRECT($B$5&amp;"生成成长"),4))/(VLOOKUP(BH$72,INDIRECT($C$5&amp;"生成成长"),5))*(VLOOKUP($B$5,标准坦克设计!$B$24:$U$30,MATCH("对"&amp;LEFT($C$5,2)&amp;"输出",标准坦克设计!$B$23:$U$23,0)))*(VLOOKUP($B163,INDIRECT($B$5&amp;"生成成长"),3))*(VLOOKUP($B$5,标准坦克设计!$B$14:$K$20,9)/30))</f>
        <v>3.1361755537527483</v>
      </c>
      <c r="BI163" s="172">
        <f ca="1">(VLOOKUP(BI$72,INDIRECT($C$5&amp;"生成成长"),2))/((VLOOKUP($B163,INDIRECT($B$5&amp;"生成成长"),4))/(VLOOKUP(BI$72,INDIRECT($C$5&amp;"生成成长"),5))*(VLOOKUP($B$5,标准坦克设计!$B$24:$U$30,MATCH("对"&amp;LEFT($C$5,2)&amp;"输出",标准坦克设计!$B$23:$U$23,0)))*(VLOOKUP($B163,INDIRECT($B$5&amp;"生成成长"),3))*(VLOOKUP($B$5,标准坦克设计!$B$14:$K$20,9)/30))</f>
        <v>3.5347446837544463</v>
      </c>
      <c r="BJ163" s="172">
        <f ca="1">(VLOOKUP(BJ$72,INDIRECT($C$5&amp;"生成成长"),2))/((VLOOKUP($B163,INDIRECT($B$5&amp;"生成成长"),4))/(VLOOKUP(BJ$72,INDIRECT($C$5&amp;"生成成长"),5))*(VLOOKUP($B$5,标准坦克设计!$B$24:$U$30,MATCH("对"&amp;LEFT($C$5,2)&amp;"输出",标准坦克设计!$B$23:$U$23,0)))*(VLOOKUP($B163,INDIRECT($B$5&amp;"生成成长"),3))*(VLOOKUP($B$5,标准坦克设计!$B$14:$K$20,9)/30))</f>
        <v>3.9571485125602321</v>
      </c>
      <c r="BK163" s="172">
        <f ca="1">(VLOOKUP(BK$72,INDIRECT($C$5&amp;"生成成长"),2))/((VLOOKUP($B163,INDIRECT($B$5&amp;"生成成长"),4))/(VLOOKUP(BK$72,INDIRECT($C$5&amp;"生成成长"),5))*(VLOOKUP($B$5,标准坦克设计!$B$24:$U$30,MATCH("对"&amp;LEFT($C$5,2)&amp;"输出",标准坦克设计!$B$23:$U$23,0)))*(VLOOKUP($B163,INDIRECT($B$5&amp;"生成成长"),3))*(VLOOKUP($B$5,标准坦克设计!$B$14:$K$20,9)/30))</f>
        <v>4.4033870401701076</v>
      </c>
      <c r="BL163" s="172">
        <f ca="1">(VLOOKUP(BL$72,INDIRECT($C$5&amp;"生成成长"),2))/((VLOOKUP($B163,INDIRECT($B$5&amp;"生成成长"),4))/(VLOOKUP(BL$72,INDIRECT($C$5&amp;"生成成长"),5))*(VLOOKUP($B$5,标准坦克设计!$B$24:$U$30,MATCH("对"&amp;LEFT($C$5,2)&amp;"输出",标准坦克设计!$B$23:$U$23,0)))*(VLOOKUP($B163,INDIRECT($B$5&amp;"生成成长"),3))*(VLOOKUP($B$5,标准坦克设计!$B$14:$K$20,9)/30))</f>
        <v>4.8734602665840701</v>
      </c>
      <c r="BM163" s="172">
        <f ca="1">(VLOOKUP(BM$72,INDIRECT($C$5&amp;"生成成长"),2))/((VLOOKUP($B163,INDIRECT($B$5&amp;"生成成长"),4))/(VLOOKUP(BM$72,INDIRECT($C$5&amp;"生成成长"),5))*(VLOOKUP($B$5,标准坦克设计!$B$24:$U$30,MATCH("对"&amp;LEFT($C$5,2)&amp;"输出",标准坦克设计!$B$23:$U$23,0)))*(VLOOKUP($B163,INDIRECT($B$5&amp;"生成成长"),3))*(VLOOKUP($B$5,标准坦克设计!$B$14:$K$20,9)/30))</f>
        <v>5.3673681918021208</v>
      </c>
      <c r="BN163" s="172">
        <f ca="1">(VLOOKUP(BN$72,INDIRECT($C$5&amp;"生成成长"),2))/((VLOOKUP($B163,INDIRECT($B$5&amp;"生成成长"),4))/(VLOOKUP(BN$72,INDIRECT($C$5&amp;"生成成长"),5))*(VLOOKUP($B$5,标准坦克设计!$B$24:$U$30,MATCH("对"&amp;LEFT($C$5,2)&amp;"输出",标准坦克设计!$B$23:$U$23,0)))*(VLOOKUP($B163,INDIRECT($B$5&amp;"生成成长"),3))*(VLOOKUP($B$5,标准坦克设计!$B$14:$K$20,9)/30))</f>
        <v>5.8851108158242589</v>
      </c>
      <c r="BO163" s="172">
        <f ca="1">(VLOOKUP(BO$72,INDIRECT($C$5&amp;"生成成长"),2))/((VLOOKUP($B163,INDIRECT($B$5&amp;"生成成长"),4))/(VLOOKUP(BO$72,INDIRECT($C$5&amp;"生成成长"),5))*(VLOOKUP($B$5,标准坦克设计!$B$24:$U$30,MATCH("对"&amp;LEFT($C$5,2)&amp;"输出",标准坦克设计!$B$23:$U$23,0)))*(VLOOKUP($B163,INDIRECT($B$5&amp;"生成成长"),3))*(VLOOKUP($B$5,标准坦克设计!$B$14:$K$20,9)/30))</f>
        <v>6.4266881386504879</v>
      </c>
      <c r="BP163" s="172">
        <f ca="1">(VLOOKUP(BP$72,INDIRECT($C$5&amp;"生成成长"),2))/((VLOOKUP($B163,INDIRECT($B$5&amp;"生成成长"),4))/(VLOOKUP(BP$72,INDIRECT($C$5&amp;"生成成长"),5))*(VLOOKUP($B$5,标准坦克设计!$B$24:$U$30,MATCH("对"&amp;LEFT($C$5,2)&amp;"输出",标准坦克设计!$B$23:$U$23,0)))*(VLOOKUP($B163,INDIRECT($B$5&amp;"生成成长"),3))*(VLOOKUP($B$5,标准坦克设计!$B$14:$K$20,9)/30))</f>
        <v>6.9921001602808026</v>
      </c>
      <c r="BQ163" s="172">
        <f ca="1">(VLOOKUP(BQ$72,INDIRECT($C$5&amp;"生成成长"),2))/((VLOOKUP($B163,INDIRECT($B$5&amp;"生成成长"),4))/(VLOOKUP(BQ$72,INDIRECT($C$5&amp;"生成成长"),5))*(VLOOKUP($B$5,标准坦克设计!$B$24:$U$30,MATCH("对"&amp;LEFT($C$5,2)&amp;"输出",标准坦克设计!$B$23:$U$23,0)))*(VLOOKUP($B163,INDIRECT($B$5&amp;"生成成长"),3))*(VLOOKUP($B$5,标准坦克设计!$B$14:$K$20,9)/30))</f>
        <v>7.5813468807152065</v>
      </c>
      <c r="BR163" s="172">
        <f ca="1">(VLOOKUP(BR$72,INDIRECT($C$5&amp;"生成成长"),2))/((VLOOKUP($B163,INDIRECT($B$5&amp;"生成成长"),4))/(VLOOKUP(BR$72,INDIRECT($C$5&amp;"生成成长"),5))*(VLOOKUP($B$5,标准坦克设计!$B$24:$U$30,MATCH("对"&amp;LEFT($C$5,2)&amp;"输出",标准坦克设计!$B$23:$U$23,0)))*(VLOOKUP($B163,INDIRECT($B$5&amp;"生成成长"),3))*(VLOOKUP($B$5,标准坦克设计!$B$14:$K$20,9)/30))</f>
        <v>8.2640197353508213</v>
      </c>
      <c r="BS163" s="172">
        <f ca="1">(VLOOKUP(BS$72,INDIRECT($C$5&amp;"生成成长"),2))/((VLOOKUP($B163,INDIRECT($B$5&amp;"生成成长"),4))/(VLOOKUP(BS$72,INDIRECT($C$5&amp;"生成成长"),5))*(VLOOKUP($B$5,标准坦克设计!$B$24:$U$30,MATCH("对"&amp;LEFT($C$5,2)&amp;"输出",标准坦克设计!$B$23:$U$23,0)))*(VLOOKUP($B163,INDIRECT($B$5&amp;"生成成长"),3))*(VLOOKUP($B$5,标准坦克设计!$B$14:$K$20,9)/30))</f>
        <v>8.9761181440655591</v>
      </c>
      <c r="BT163" s="172">
        <f ca="1">(VLOOKUP(BT$72,INDIRECT($C$5&amp;"生成成长"),2))/((VLOOKUP($B163,INDIRECT($B$5&amp;"生成成长"),4))/(VLOOKUP(BT$72,INDIRECT($C$5&amp;"生成成长"),5))*(VLOOKUP($B$5,标准坦克设计!$B$24:$U$30,MATCH("对"&amp;LEFT($C$5,2)&amp;"输出",标准坦克设计!$B$23:$U$23,0)))*(VLOOKUP($B163,INDIRECT($B$5&amp;"生成成长"),3))*(VLOOKUP($B$5,标准坦克设计!$B$14:$K$20,9)/30))</f>
        <v>9.7176421068594152</v>
      </c>
      <c r="BU163" s="172">
        <f ca="1">(VLOOKUP(BU$72,INDIRECT($C$5&amp;"生成成长"),2))/((VLOOKUP($B163,INDIRECT($B$5&amp;"生成成长"),4))/(VLOOKUP(BU$72,INDIRECT($C$5&amp;"生成成长"),5))*(VLOOKUP($B$5,标准坦克设计!$B$24:$U$30,MATCH("对"&amp;LEFT($C$5,2)&amp;"输出",标准坦克设计!$B$23:$U$23,0)))*(VLOOKUP($B163,INDIRECT($B$5&amp;"生成成长"),3))*(VLOOKUP($B$5,标准坦克设计!$B$14:$K$20,9)/30))</f>
        <v>10.488591623732392</v>
      </c>
      <c r="BV163" s="172">
        <f ca="1">(VLOOKUP(BV$72,INDIRECT($C$5&amp;"生成成长"),2))/((VLOOKUP($B163,INDIRECT($B$5&amp;"生成成长"),4))/(VLOOKUP(BV$72,INDIRECT($C$5&amp;"生成成长"),5))*(VLOOKUP($B$5,标准坦克设计!$B$24:$U$30,MATCH("对"&amp;LEFT($C$5,2)&amp;"输出",标准坦克设计!$B$23:$U$23,0)))*(VLOOKUP($B163,INDIRECT($B$5&amp;"生成成长"),3))*(VLOOKUP($B$5,标准坦克设计!$B$14:$K$20,9)/30))</f>
        <v>11.28896669468449</v>
      </c>
      <c r="BW163" s="172">
        <f ca="1">(VLOOKUP(BW$72,INDIRECT($C$5&amp;"生成成长"),2))/((VLOOKUP($B163,INDIRECT($B$5&amp;"生成成长"),4))/(VLOOKUP(BW$72,INDIRECT($C$5&amp;"生成成长"),5))*(VLOOKUP($B$5,标准坦克设计!$B$24:$U$30,MATCH("对"&amp;LEFT($C$5,2)&amp;"输出",标准坦克设计!$B$23:$U$23,0)))*(VLOOKUP($B163,INDIRECT($B$5&amp;"生成成长"),3))*(VLOOKUP($B$5,标准坦克设计!$B$14:$K$20,9)/30))</f>
        <v>5.1449110029639638</v>
      </c>
      <c r="BX163" s="172">
        <f ca="1">(VLOOKUP(BX$72,INDIRECT($C$5&amp;"生成成长"),2))/((VLOOKUP($B163,INDIRECT($B$5&amp;"生成成长"),4))/(VLOOKUP(BX$72,INDIRECT($C$5&amp;"生成成长"),5))*(VLOOKUP($B$5,标准坦克设计!$B$24:$U$30,MATCH("对"&amp;LEFT($C$5,2)&amp;"输出",标准坦克设计!$B$23:$U$23,0)))*(VLOOKUP($B163,INDIRECT($B$5&amp;"生成成长"),3))*(VLOOKUP($B$5,标准坦克设计!$B$14:$K$20,9)/30))</f>
        <v>5.7098816412830917</v>
      </c>
      <c r="BY163" s="172">
        <f ca="1">(VLOOKUP(BY$72,INDIRECT($C$5&amp;"生成成长"),2))/((VLOOKUP($B163,INDIRECT($B$5&amp;"生成成长"),4))/(VLOOKUP(BY$72,INDIRECT($C$5&amp;"生成成长"),5))*(VLOOKUP($B$5,标准坦克设计!$B$24:$U$30,MATCH("对"&amp;LEFT($C$5,2)&amp;"输出",标准坦克设计!$B$23:$U$23,0)))*(VLOOKUP($B163,INDIRECT($B$5&amp;"生成成长"),3))*(VLOOKUP($B$5,标准坦克设计!$B$14:$K$20,9)/30))</f>
        <v>6.3042778336813425</v>
      </c>
      <c r="BZ163" s="172">
        <f ca="1">(VLOOKUP(BZ$72,INDIRECT($C$5&amp;"生成成长"),2))/((VLOOKUP($B163,INDIRECT($B$5&amp;"生成成长"),4))/(VLOOKUP(BZ$72,INDIRECT($C$5&amp;"生成成长"),5))*(VLOOKUP($B$5,标准坦克设计!$B$24:$U$30,MATCH("对"&amp;LEFT($C$5,2)&amp;"输出",标准坦克设计!$B$23:$U$23,0)))*(VLOOKUP($B163,INDIRECT($B$5&amp;"生成成长"),3))*(VLOOKUP($B$5,标准坦克设计!$B$14:$K$20,9)/30))</f>
        <v>6.9280995801587144</v>
      </c>
      <c r="CA163" s="172">
        <f ca="1">(VLOOKUP(CA$72,INDIRECT($C$5&amp;"生成成长"),2))/((VLOOKUP($B163,INDIRECT($B$5&amp;"生成成长"),4))/(VLOOKUP(CA$72,INDIRECT($C$5&amp;"生成成长"),5))*(VLOOKUP($B$5,标准坦克设计!$B$24:$U$30,MATCH("对"&amp;LEFT($C$5,2)&amp;"输出",标准坦克设计!$B$23:$U$23,0)))*(VLOOKUP($B163,INDIRECT($B$5&amp;"生成成长"),3))*(VLOOKUP($B$5,标准坦克设计!$B$14:$K$20,9)/30))</f>
        <v>7.5813468807152065</v>
      </c>
      <c r="CB163" s="172">
        <f ca="1">(VLOOKUP(CB$72,INDIRECT($C$5&amp;"生成成长"),2))/((VLOOKUP($B163,INDIRECT($B$5&amp;"生成成长"),4))/(VLOOKUP(CB$72,INDIRECT($C$5&amp;"生成成长"),5))*(VLOOKUP($B$5,标准坦克设计!$B$24:$U$30,MATCH("对"&amp;LEFT($C$5,2)&amp;"输出",标准坦克设计!$B$23:$U$23,0)))*(VLOOKUP($B163,INDIRECT($B$5&amp;"生成成长"),3))*(VLOOKUP($B$5,标准坦克设计!$B$14:$K$20,9)/30))</f>
        <v>8.2640197353508213</v>
      </c>
      <c r="CC163" s="172">
        <f ca="1">(VLOOKUP(CC$72,INDIRECT($C$5&amp;"生成成长"),2))/((VLOOKUP($B163,INDIRECT($B$5&amp;"生成成长"),4))/(VLOOKUP(CC$72,INDIRECT($C$5&amp;"生成成长"),5))*(VLOOKUP($B$5,标准坦克设计!$B$24:$U$30,MATCH("对"&amp;LEFT($C$5,2)&amp;"输出",标准坦克设计!$B$23:$U$23,0)))*(VLOOKUP($B163,INDIRECT($B$5&amp;"生成成长"),3))*(VLOOKUP($B$5,标准坦克设计!$B$14:$K$20,9)/30))</f>
        <v>8.9761181440655591</v>
      </c>
      <c r="CD163" s="172">
        <f ca="1">(VLOOKUP(CD$72,INDIRECT($C$5&amp;"生成成长"),2))/((VLOOKUP($B163,INDIRECT($B$5&amp;"生成成长"),4))/(VLOOKUP(CD$72,INDIRECT($C$5&amp;"生成成长"),5))*(VLOOKUP($B$5,标准坦克设计!$B$24:$U$30,MATCH("对"&amp;LEFT($C$5,2)&amp;"输出",标准坦克设计!$B$23:$U$23,0)))*(VLOOKUP($B163,INDIRECT($B$5&amp;"生成成长"),3))*(VLOOKUP($B$5,标准坦克设计!$B$14:$K$20,9)/30))</f>
        <v>9.7176421068594152</v>
      </c>
      <c r="CE163" s="172">
        <f ca="1">(VLOOKUP(CE$72,INDIRECT($C$5&amp;"生成成长"),2))/((VLOOKUP($B163,INDIRECT($B$5&amp;"生成成长"),4))/(VLOOKUP(CE$72,INDIRECT($C$5&amp;"生成成长"),5))*(VLOOKUP($B$5,标准坦克设计!$B$24:$U$30,MATCH("对"&amp;LEFT($C$5,2)&amp;"输出",标准坦克设计!$B$23:$U$23,0)))*(VLOOKUP($B163,INDIRECT($B$5&amp;"生成成长"),3))*(VLOOKUP($B$5,标准坦克设计!$B$14:$K$20,9)/30))</f>
        <v>10.488591623732392</v>
      </c>
      <c r="CF163" s="172">
        <f ca="1">(VLOOKUP(CF$72,INDIRECT($C$5&amp;"生成成长"),2))/((VLOOKUP($B163,INDIRECT($B$5&amp;"生成成长"),4))/(VLOOKUP(CF$72,INDIRECT($C$5&amp;"生成成长"),5))*(VLOOKUP($B$5,标准坦克设计!$B$24:$U$30,MATCH("对"&amp;LEFT($C$5,2)&amp;"输出",标准坦克设计!$B$23:$U$23,0)))*(VLOOKUP($B163,INDIRECT($B$5&amp;"生成成长"),3))*(VLOOKUP($B$5,标准坦克设计!$B$14:$K$20,9)/30))</f>
        <v>11.28896669468449</v>
      </c>
      <c r="CG163" s="172">
        <f ca="1">(VLOOKUP(CG$72,INDIRECT($C$5&amp;"生成成长"),2))/((VLOOKUP($B163,INDIRECT($B$5&amp;"生成成长"),4))/(VLOOKUP(CG$72,INDIRECT($C$5&amp;"生成成长"),5))*(VLOOKUP($B$5,标准坦克设计!$B$24:$U$30,MATCH("对"&amp;LEFT($C$5,2)&amp;"输出",标准坦克设计!$B$23:$U$23,0)))*(VLOOKUP($B163,INDIRECT($B$5&amp;"生成成长"),3))*(VLOOKUP($B$5,标准坦克设计!$B$14:$K$20,9)/30))</f>
        <v>12.11876731971571</v>
      </c>
      <c r="CH163" s="172">
        <f ca="1">(VLOOKUP(CH$72,INDIRECT($C$5&amp;"生成成长"),2))/((VLOOKUP($B163,INDIRECT($B$5&amp;"生成成长"),4))/(VLOOKUP(CH$72,INDIRECT($C$5&amp;"生成成长"),5))*(VLOOKUP($B$5,标准坦克设计!$B$24:$U$30,MATCH("对"&amp;LEFT($C$5,2)&amp;"输出",标准坦克设计!$B$23:$U$23,0)))*(VLOOKUP($B163,INDIRECT($B$5&amp;"生成成长"),3))*(VLOOKUP($B$5,标准坦克设计!$B$14:$K$20,9)/30))</f>
        <v>12.977993498826052</v>
      </c>
      <c r="CI163" s="172">
        <f ca="1">(VLOOKUP(CI$72,INDIRECT($C$5&amp;"生成成长"),2))/((VLOOKUP($B163,INDIRECT($B$5&amp;"生成成长"),4))/(VLOOKUP(CI$72,INDIRECT($C$5&amp;"生成成长"),5))*(VLOOKUP($B$5,标准坦克设计!$B$24:$U$30,MATCH("对"&amp;LEFT($C$5,2)&amp;"输出",标准坦克设计!$B$23:$U$23,0)))*(VLOOKUP($B163,INDIRECT($B$5&amp;"生成成长"),3))*(VLOOKUP($B$5,标准坦克设计!$B$14:$K$20,9)/30))</f>
        <v>13.957128810808815</v>
      </c>
      <c r="CJ163" s="172">
        <f ca="1">(VLOOKUP(CJ$72,INDIRECT($C$5&amp;"生成成长"),2))/((VLOOKUP($B163,INDIRECT($B$5&amp;"生成成长"),4))/(VLOOKUP(CJ$72,INDIRECT($C$5&amp;"生成成长"),5))*(VLOOKUP($B$5,标准坦克设计!$B$24:$U$30,MATCH("对"&amp;LEFT($C$5,2)&amp;"输出",标准坦克设计!$B$23:$U$23,0)))*(VLOOKUP($B163,INDIRECT($B$5&amp;"生成成长"),3))*(VLOOKUP($B$5,标准坦克设计!$B$14:$K$20,9)/30))</f>
        <v>14.971869043227313</v>
      </c>
      <c r="CK163" s="172">
        <f ca="1">(VLOOKUP(CK$72,INDIRECT($C$5&amp;"生成成长"),2))/((VLOOKUP($B163,INDIRECT($B$5&amp;"生成成长"),4))/(VLOOKUP(CK$72,INDIRECT($C$5&amp;"生成成长"),5))*(VLOOKUP($B$5,标准坦克设计!$B$24:$U$30,MATCH("对"&amp;LEFT($C$5,2)&amp;"输出",标准坦克设计!$B$23:$U$23,0)))*(VLOOKUP($B163,INDIRECT($B$5&amp;"生成成长"),3))*(VLOOKUP($B$5,标准坦克设计!$B$14:$K$20,9)/30))</f>
        <v>16.022214196081549</v>
      </c>
      <c r="CL163" s="172">
        <f ca="1">(VLOOKUP(CL$72,INDIRECT($C$5&amp;"生成成长"),2))/((VLOOKUP($B163,INDIRECT($B$5&amp;"生成成长"),4))/(VLOOKUP(CL$72,INDIRECT($C$5&amp;"生成成长"),5))*(VLOOKUP($B$5,标准坦克设计!$B$24:$U$30,MATCH("对"&amp;LEFT($C$5,2)&amp;"输出",标准坦克设计!$B$23:$U$23,0)))*(VLOOKUP($B163,INDIRECT($B$5&amp;"生成成长"),3))*(VLOOKUP($B$5,标准坦克设计!$B$14:$K$20,9)/30))</f>
        <v>17.108164269371521</v>
      </c>
      <c r="CM163" s="172">
        <f ca="1">(VLOOKUP(CM$72,INDIRECT($C$5&amp;"生成成长"),2))/((VLOOKUP($B163,INDIRECT($B$5&amp;"生成成长"),4))/(VLOOKUP(CM$72,INDIRECT($C$5&amp;"生成成长"),5))*(VLOOKUP($B$5,标准坦克设计!$B$24:$U$30,MATCH("对"&amp;LEFT($C$5,2)&amp;"输出",标准坦克设计!$B$23:$U$23,0)))*(VLOOKUP($B163,INDIRECT($B$5&amp;"生成成长"),3))*(VLOOKUP($B$5,标准坦克设计!$B$14:$K$20,9)/30))</f>
        <v>18.229719263097227</v>
      </c>
      <c r="CN163" s="172">
        <f ca="1">(VLOOKUP(CN$72,INDIRECT($C$5&amp;"生成成长"),2))/((VLOOKUP($B163,INDIRECT($B$5&amp;"生成成长"),4))/(VLOOKUP(CN$72,INDIRECT($C$5&amp;"生成成长"),5))*(VLOOKUP($B$5,标准坦克设计!$B$24:$U$30,MATCH("对"&amp;LEFT($C$5,2)&amp;"输出",标准坦克设计!$B$23:$U$23,0)))*(VLOOKUP($B163,INDIRECT($B$5&amp;"生成成长"),3))*(VLOOKUP($B$5,标准坦克设计!$B$14:$K$20,9)/30))</f>
        <v>19.38687917725867</v>
      </c>
      <c r="CO163" s="172">
        <f ca="1">(VLOOKUP(CO$72,INDIRECT($C$5&amp;"生成成长"),2))/((VLOOKUP($B163,INDIRECT($B$5&amp;"生成成长"),4))/(VLOOKUP(CO$72,INDIRECT($C$5&amp;"生成成长"),5))*(VLOOKUP($B$5,标准坦克设计!$B$24:$U$30,MATCH("对"&amp;LEFT($C$5,2)&amp;"输出",标准坦克设计!$B$23:$U$23,0)))*(VLOOKUP($B163,INDIRECT($B$5&amp;"生成成长"),3))*(VLOOKUP($B$5,标准坦克设计!$B$14:$K$20,9)/30))</f>
        <v>8.68774771409017</v>
      </c>
      <c r="CP163" s="172">
        <f ca="1">(VLOOKUP(CP$72,INDIRECT($C$5&amp;"生成成长"),2))/((VLOOKUP($B163,INDIRECT($B$5&amp;"生成成长"),4))/(VLOOKUP(CP$72,INDIRECT($C$5&amp;"生成成长"),5))*(VLOOKUP($B$5,标准坦克设计!$B$24:$U$30,MATCH("对"&amp;LEFT($C$5,2)&amp;"输出",标准坦克设计!$B$23:$U$23,0)))*(VLOOKUP($B163,INDIRECT($B$5&amp;"生成成长"),3))*(VLOOKUP($B$5,标准坦克设计!$B$14:$K$20,9)/30))</f>
        <v>9.4920952348429495</v>
      </c>
      <c r="CQ163" s="172">
        <f ca="1">(VLOOKUP(CQ$72,INDIRECT($C$5&amp;"生成成长"),2))/((VLOOKUP($B163,INDIRECT($B$5&amp;"生成成长"),4))/(VLOOKUP(CQ$72,INDIRECT($C$5&amp;"生成成长"),5))*(VLOOKUP($B$5,标准坦克设计!$B$24:$U$30,MATCH("对"&amp;LEFT($C$5,2)&amp;"输出",标准坦克设计!$B$23:$U$23,0)))*(VLOOKUP($B163,INDIRECT($B$5&amp;"生成成长"),3))*(VLOOKUP($B$5,标准坦克设计!$B$14:$K$20,9)/30))</f>
        <v>10.332047676031467</v>
      </c>
      <c r="CR163" s="172">
        <f ca="1">(VLOOKUP(CR$72,INDIRECT($C$5&amp;"生成成长"),2))/((VLOOKUP($B163,INDIRECT($B$5&amp;"生成成长"),4))/(VLOOKUP(CR$72,INDIRECT($C$5&amp;"生成成长"),5))*(VLOOKUP($B$5,标准坦克设计!$B$24:$U$30,MATCH("对"&amp;LEFT($C$5,2)&amp;"输出",标准坦克设计!$B$23:$U$23,0)))*(VLOOKUP($B163,INDIRECT($B$5&amp;"生成成长"),3))*(VLOOKUP($B$5,标准坦克设计!$B$14:$K$20,9)/30))</f>
        <v>11.207605037655721</v>
      </c>
      <c r="CS163" s="172">
        <f ca="1">(VLOOKUP(CS$72,INDIRECT($C$5&amp;"生成成长"),2))/((VLOOKUP($B163,INDIRECT($B$5&amp;"生成成长"),4))/(VLOOKUP(CS$72,INDIRECT($C$5&amp;"生成成长"),5))*(VLOOKUP($B$5,标准坦克设计!$B$24:$U$30,MATCH("对"&amp;LEFT($C$5,2)&amp;"输出",标准坦克设计!$B$23:$U$23,0)))*(VLOOKUP($B163,INDIRECT($B$5&amp;"生成成长"),3))*(VLOOKUP($B$5,标准坦克设计!$B$14:$K$20,9)/30))</f>
        <v>12.11876731971571</v>
      </c>
      <c r="CT163" s="172">
        <f ca="1">(VLOOKUP(CT$72,INDIRECT($C$5&amp;"生成成长"),2))/((VLOOKUP($B163,INDIRECT($B$5&amp;"生成成长"),4))/(VLOOKUP(CT$72,INDIRECT($C$5&amp;"生成成长"),5))*(VLOOKUP($B$5,标准坦克设计!$B$24:$U$30,MATCH("对"&amp;LEFT($C$5,2)&amp;"输出",标准坦克设计!$B$23:$U$23,0)))*(VLOOKUP($B163,INDIRECT($B$5&amp;"生成成长"),3))*(VLOOKUP($B$5,标准坦克设计!$B$14:$K$20,9)/30))</f>
        <v>13.065534522211438</v>
      </c>
      <c r="CU163" s="172">
        <f ca="1">(VLOOKUP(CU$72,INDIRECT($C$5&amp;"生成成长"),2))/((VLOOKUP($B163,INDIRECT($B$5&amp;"生成成长"),4))/(VLOOKUP(CU$72,INDIRECT($C$5&amp;"生成成长"),5))*(VLOOKUP($B$5,标准坦克设计!$B$24:$U$30,MATCH("对"&amp;LEFT($C$5,2)&amp;"输出",标准坦克设计!$B$23:$U$23,0)))*(VLOOKUP($B163,INDIRECT($B$5&amp;"生成成长"),3))*(VLOOKUP($B$5,标准坦克设计!$B$14:$K$20,9)/30))</f>
        <v>14.047906645142906</v>
      </c>
      <c r="CV163" s="172">
        <f ca="1">(VLOOKUP(CV$72,INDIRECT($C$5&amp;"生成成长"),2))/((VLOOKUP($B163,INDIRECT($B$5&amp;"生成成长"),4))/(VLOOKUP(CV$72,INDIRECT($C$5&amp;"生成成长"),5))*(VLOOKUP($B$5,标准坦克设计!$B$24:$U$30,MATCH("对"&amp;LEFT($C$5,2)&amp;"输出",标准坦克设计!$B$23:$U$23,0)))*(VLOOKUP($B163,INDIRECT($B$5&amp;"生成成长"),3))*(VLOOKUP($B$5,标准坦克设计!$B$14:$K$20,9)/30))</f>
        <v>15.065883688510105</v>
      </c>
      <c r="CW163" s="172">
        <f ca="1">(VLOOKUP(CW$72,INDIRECT($C$5&amp;"生成成长"),2))/((VLOOKUP($B163,INDIRECT($B$5&amp;"生成成长"),4))/(VLOOKUP(CW$72,INDIRECT($C$5&amp;"生成成长"),5))*(VLOOKUP($B$5,标准坦克设计!$B$24:$U$30,MATCH("对"&amp;LEFT($C$5,2)&amp;"输出",标准坦克设计!$B$23:$U$23,0)))*(VLOOKUP($B163,INDIRECT($B$5&amp;"生成成长"),3))*(VLOOKUP($B$5,标准坦克设计!$B$14:$K$20,9)/30))</f>
        <v>16.119465652313043</v>
      </c>
      <c r="CX163" s="172">
        <f ca="1">(VLOOKUP(CX$72,INDIRECT($C$5&amp;"生成成长"),2))/((VLOOKUP($B163,INDIRECT($B$5&amp;"生成成长"),4))/(VLOOKUP(CX$72,INDIRECT($C$5&amp;"生成成长"),5))*(VLOOKUP($B$5,标准坦克设计!$B$24:$U$30,MATCH("对"&amp;LEFT($C$5,2)&amp;"输出",标准坦克设计!$B$23:$U$23,0)))*(VLOOKUP($B163,INDIRECT($B$5&amp;"生成成长"),3))*(VLOOKUP($B$5,标准坦克设计!$B$14:$K$20,9)/30))</f>
        <v>17.208652536551718</v>
      </c>
      <c r="CY163" s="172">
        <f ca="1">(VLOOKUP(CY$72,INDIRECT($C$5&amp;"生成成长"),2))/((VLOOKUP($B163,INDIRECT($B$5&amp;"生成成长"),4))/(VLOOKUP(CY$72,INDIRECT($C$5&amp;"生成成长"),5))*(VLOOKUP($B$5,标准坦克设计!$B$24:$U$30,MATCH("对"&amp;LEFT($C$5,2)&amp;"输出",标准坦克设计!$B$23:$U$23,0)))*(VLOOKUP($B163,INDIRECT($B$5&amp;"生成成长"),3))*(VLOOKUP($B$5,标准坦克设计!$B$14:$K$20,9)/30))</f>
        <v>18.33344434122613</v>
      </c>
      <c r="CZ163" s="172">
        <f ca="1">(VLOOKUP(CZ$72,INDIRECT($C$5&amp;"生成成长"),2))/((VLOOKUP($B163,INDIRECT($B$5&amp;"生成成长"),4))/(VLOOKUP(CZ$72,INDIRECT($C$5&amp;"生成成长"),5))*(VLOOKUP($B$5,标准坦克设计!$B$24:$U$30,MATCH("对"&amp;LEFT($C$5,2)&amp;"输出",标准坦克设计!$B$23:$U$23,0)))*(VLOOKUP($B163,INDIRECT($B$5&amp;"生成成长"),3))*(VLOOKUP($B$5,标准坦克设计!$B$14:$K$20,9)/30))</f>
        <v>19.49384106633628</v>
      </c>
      <c r="DA163" s="172">
        <f ca="1">(VLOOKUP(DA$72,INDIRECT($C$5&amp;"生成成长"),2))/((VLOOKUP($B163,INDIRECT($B$5&amp;"生成成长"),4))/(VLOOKUP(DA$72,INDIRECT($C$5&amp;"生成成长"),5))*(VLOOKUP($B$5,标准坦克设计!$B$24:$U$30,MATCH("对"&amp;LEFT($C$5,2)&amp;"输出",标准坦克设计!$B$23:$U$23,0)))*(VLOOKUP($B163,INDIRECT($B$5&amp;"生成成长"),3))*(VLOOKUP($B$5,标准坦克设计!$B$14:$K$20,9)/30))</f>
        <v>20.689842711882164</v>
      </c>
      <c r="DB163" s="172">
        <f ca="1">(VLOOKUP(DB$72,INDIRECT($C$5&amp;"生成成长"),2))/((VLOOKUP($B163,INDIRECT($B$5&amp;"生成成长"),4))/(VLOOKUP(DB$72,INDIRECT($C$5&amp;"生成成长"),5))*(VLOOKUP($B$5,标准坦克设计!$B$24:$U$30,MATCH("对"&amp;LEFT($C$5,2)&amp;"输出",标准坦克设计!$B$23:$U$23,0)))*(VLOOKUP($B163,INDIRECT($B$5&amp;"生成成长"),3))*(VLOOKUP($B$5,标准坦克设计!$B$14:$K$20,9)/30))</f>
        <v>21.921449277863786</v>
      </c>
      <c r="DC163" s="172">
        <f ca="1">(VLOOKUP(DC$72,INDIRECT($C$5&amp;"生成成长"),2))/((VLOOKUP($B163,INDIRECT($B$5&amp;"生成成长"),4))/(VLOOKUP(DC$72,INDIRECT($C$5&amp;"生成成长"),5))*(VLOOKUP($B$5,标准坦克设计!$B$24:$U$30,MATCH("对"&amp;LEFT($C$5,2)&amp;"输出",标准坦克设计!$B$23:$U$23,0)))*(VLOOKUP($B163,INDIRECT($B$5&amp;"生成成长"),3))*(VLOOKUP($B$5,标准坦克设计!$B$14:$K$20,9)/30))</f>
        <v>23.305627341745648</v>
      </c>
      <c r="DD163" s="172">
        <f ca="1">(VLOOKUP(DD$72,INDIRECT($C$5&amp;"生成成长"),2))/((VLOOKUP($B163,INDIRECT($B$5&amp;"生成成长"),4))/(VLOOKUP(DD$72,INDIRECT($C$5&amp;"生成成长"),5))*(VLOOKUP($B$5,标准坦克设计!$B$24:$U$30,MATCH("对"&amp;LEFT($C$5,2)&amp;"输出",标准坦克设计!$B$23:$U$23,0)))*(VLOOKUP($B163,INDIRECT($B$5&amp;"生成成长"),3))*(VLOOKUP($B$5,标准坦克设计!$B$14:$K$20,9)/30))</f>
        <v>24.732178203501455</v>
      </c>
      <c r="DE163" s="172">
        <f ca="1">(VLOOKUP(DE$72,INDIRECT($C$5&amp;"生成成长"),2))/((VLOOKUP($B163,INDIRECT($B$5&amp;"生成成长"),4))/(VLOOKUP(DE$72,INDIRECT($C$5&amp;"生成成长"),5))*(VLOOKUP($B$5,标准坦克设计!$B$24:$U$30,MATCH("对"&amp;LEFT($C$5,2)&amp;"输出",标准坦克设计!$B$23:$U$23,0)))*(VLOOKUP($B163,INDIRECT($B$5&amp;"生成成长"),3))*(VLOOKUP($B$5,标准坦克设计!$B$14:$K$20,9)/30))</f>
        <v>26.201101863131186</v>
      </c>
      <c r="DF163" s="172">
        <f ca="1">(VLOOKUP(DF$72,INDIRECT($C$5&amp;"生成成长"),2))/((VLOOKUP($B163,INDIRECT($B$5&amp;"生成成长"),4))/(VLOOKUP(DF$72,INDIRECT($C$5&amp;"生成成长"),5))*(VLOOKUP($B$5,标准坦克设计!$B$24:$U$30,MATCH("对"&amp;LEFT($C$5,2)&amp;"输出",标准坦克设计!$B$23:$U$23,0)))*(VLOOKUP($B163,INDIRECT($B$5&amp;"生成成长"),3))*(VLOOKUP($B$5,标准坦克设计!$B$14:$K$20,9)/30))</f>
        <v>27.712398320634858</v>
      </c>
      <c r="DG163" s="172">
        <f ca="1">(VLOOKUP(DG$72,INDIRECT($C$5&amp;"生成成长"),2))/((VLOOKUP($B163,INDIRECT($B$5&amp;"生成成长"),4))/(VLOOKUP(DG$72,INDIRECT($C$5&amp;"生成成长"),5))*(VLOOKUP($B$5,标准坦克设计!$B$24:$U$30,MATCH("对"&amp;LEFT($C$5,2)&amp;"输出",标准坦克设计!$B$23:$U$23,0)))*(VLOOKUP($B163,INDIRECT($B$5&amp;"生成成长"),3))*(VLOOKUP($B$5,标准坦克设计!$B$14:$K$20,9)/30))</f>
        <v>29.26606757601246</v>
      </c>
      <c r="DH163" s="172">
        <f ca="1">(VLOOKUP(DH$72,INDIRECT($C$5&amp;"生成成长"),2))/((VLOOKUP($B163,INDIRECT($B$5&amp;"生成成长"),4))/(VLOOKUP(DH$72,INDIRECT($C$5&amp;"生成成长"),5))*(VLOOKUP($B$5,标准坦克设计!$B$24:$U$30,MATCH("对"&amp;LEFT($C$5,2)&amp;"输出",标准坦克设计!$B$23:$U$23,0)))*(VLOOKUP($B163,INDIRECT($B$5&amp;"生成成长"),3))*(VLOOKUP($B$5,标准坦克设计!$B$14:$K$20,9)/30))</f>
        <v>30.862109629264012</v>
      </c>
      <c r="DI163" s="172">
        <f ca="1">(VLOOKUP(DI$72,INDIRECT($C$5&amp;"生成成长"),2))/((VLOOKUP($B163,INDIRECT($B$5&amp;"生成成长"),4))/(VLOOKUP(DI$72,INDIRECT($C$5&amp;"生成成长"),5))*(VLOOKUP($B$5,标准坦克设计!$B$24:$U$30,MATCH("对"&amp;LEFT($C$5,2)&amp;"输出",标准坦克设计!$B$23:$U$23,0)))*(VLOOKUP($B163,INDIRECT($B$5&amp;"生成成长"),3))*(VLOOKUP($B$5,标准坦克设计!$B$14:$K$20,9)/30))</f>
        <v>32.50052448038948</v>
      </c>
      <c r="DJ163" s="172">
        <f ca="1">(VLOOKUP(DJ$72,INDIRECT($C$5&amp;"生成成长"),2))/((VLOOKUP($B163,INDIRECT($B$5&amp;"生成成长"),4))/(VLOOKUP(DJ$72,INDIRECT($C$5&amp;"生成成长"),5))*(VLOOKUP($B$5,标准坦克设计!$B$24:$U$30,MATCH("对"&amp;LEFT($C$5,2)&amp;"输出",标准坦克设计!$B$23:$U$23,0)))*(VLOOKUP($B163,INDIRECT($B$5&amp;"生成成长"),3))*(VLOOKUP($B$5,标准坦克设计!$B$14:$K$20,9)/30))</f>
        <v>3.2663836305528595</v>
      </c>
      <c r="DK163" s="172">
        <f ca="1">(VLOOKUP(DK$72,INDIRECT($C$5&amp;"生成成长"),2))/((VLOOKUP($B163,INDIRECT($B$5&amp;"生成成长"),4))/(VLOOKUP(DK$72,INDIRECT($C$5&amp;"生成成长"),5))*(VLOOKUP($B$5,标准坦克设计!$B$24:$U$30,MATCH("对"&amp;LEFT($C$5,2)&amp;"输出",标准坦克设计!$B$23:$U$23,0)))*(VLOOKUP($B163,INDIRECT($B$5&amp;"生成成长"),3))*(VLOOKUP($B$5,标准坦克设计!$B$14:$K$20,9)/30))</f>
        <v>3.6728976601559209</v>
      </c>
      <c r="DL163" s="172">
        <f ca="1">(VLOOKUP(DL$72,INDIRECT($C$5&amp;"生成成长"),2))/((VLOOKUP($B163,INDIRECT($B$5&amp;"生成成长"),4))/(VLOOKUP(DL$72,INDIRECT($C$5&amp;"生成成长"),5))*(VLOOKUP($B$5,标准坦克设计!$B$24:$U$30,MATCH("对"&amp;LEFT($C$5,2)&amp;"输出",标准坦克设计!$B$23:$U$23,0)))*(VLOOKUP($B163,INDIRECT($B$5&amp;"生成成长"),3))*(VLOOKUP($B$5,标准坦克设计!$B$14:$K$20,9)/30))</f>
        <v>4.1032463885630701</v>
      </c>
      <c r="DM163" s="172">
        <f ca="1">(VLOOKUP(DM$72,INDIRECT($C$5&amp;"生成成长"),2))/((VLOOKUP($B163,INDIRECT($B$5&amp;"生成成长"),4))/(VLOOKUP(DM$72,INDIRECT($C$5&amp;"生成成长"),5))*(VLOOKUP($B$5,标准坦克设计!$B$24:$U$30,MATCH("对"&amp;LEFT($C$5,2)&amp;"输出",标准坦克设计!$B$23:$U$23,0)))*(VLOOKUP($B163,INDIRECT($B$5&amp;"生成成长"),3))*(VLOOKUP($B$5,标准坦克设计!$B$14:$K$20,9)/30))</f>
        <v>4.5574298157743067</v>
      </c>
      <c r="DN163" s="172">
        <f ca="1">(VLOOKUP(DN$72,INDIRECT($C$5&amp;"生成成长"),2))/((VLOOKUP($B163,INDIRECT($B$5&amp;"生成成长"),4))/(VLOOKUP(DN$72,INDIRECT($C$5&amp;"生成成长"),5))*(VLOOKUP($B$5,标准坦克设计!$B$24:$U$30,MATCH("对"&amp;LEFT($C$5,2)&amp;"输出",标准坦克设计!$B$23:$U$23,0)))*(VLOOKUP($B163,INDIRECT($B$5&amp;"生成成长"),3))*(VLOOKUP($B$5,标准坦克设计!$B$14:$K$20,9)/30))</f>
        <v>5.0354479417896334</v>
      </c>
      <c r="DO163" s="172">
        <f ca="1">(VLOOKUP(DO$72,INDIRECT($C$5&amp;"生成成长"),2))/((VLOOKUP($B163,INDIRECT($B$5&amp;"生成成长"),4))/(VLOOKUP(DO$72,INDIRECT($C$5&amp;"生成成长"),5))*(VLOOKUP($B$5,标准坦克设计!$B$24:$U$30,MATCH("对"&amp;LEFT($C$5,2)&amp;"输出",标准坦克设计!$B$23:$U$23,0)))*(VLOOKUP($B163,INDIRECT($B$5&amp;"生成成长"),3))*(VLOOKUP($B$5,标准坦克设计!$B$14:$K$20,9)/30))</f>
        <v>5.5373007666090466</v>
      </c>
      <c r="DP163" s="172">
        <f ca="1">(VLOOKUP(DP$72,INDIRECT($C$5&amp;"生成成长"),2))/((VLOOKUP($B163,INDIRECT($B$5&amp;"生成成长"),4))/(VLOOKUP(DP$72,INDIRECT($C$5&amp;"生成成长"),5))*(VLOOKUP($B$5,标准坦克设计!$B$24:$U$30,MATCH("对"&amp;LEFT($C$5,2)&amp;"输出",标准坦克设计!$B$23:$U$23,0)))*(VLOOKUP($B163,INDIRECT($B$5&amp;"生成成长"),3))*(VLOOKUP($B$5,标准坦克设计!$B$14:$K$20,9)/30))</f>
        <v>6.0629882902325489</v>
      </c>
      <c r="DQ163" s="172">
        <f ca="1">(VLOOKUP(DQ$72,INDIRECT($C$5&amp;"生成成长"),2))/((VLOOKUP($B163,INDIRECT($B$5&amp;"生成成长"),4))/(VLOOKUP(DQ$72,INDIRECT($C$5&amp;"生成成长"),5))*(VLOOKUP($B$5,标准坦克设计!$B$24:$U$30,MATCH("对"&amp;LEFT($C$5,2)&amp;"输出",标准坦克设计!$B$23:$U$23,0)))*(VLOOKUP($B163,INDIRECT($B$5&amp;"生成成长"),3))*(VLOOKUP($B$5,标准坦克设计!$B$14:$K$20,9)/30))</f>
        <v>6.6125105126601396</v>
      </c>
      <c r="DR163" s="172">
        <f ca="1">(VLOOKUP(DR$72,INDIRECT($C$5&amp;"生成成长"),2))/((VLOOKUP($B163,INDIRECT($B$5&amp;"生成成长"),4))/(VLOOKUP(DR$72,INDIRECT($C$5&amp;"生成成长"),5))*(VLOOKUP($B$5,标准坦克设计!$B$24:$U$30,MATCH("对"&amp;LEFT($C$5,2)&amp;"输出",标准坦克设计!$B$23:$U$23,0)))*(VLOOKUP($B163,INDIRECT($B$5&amp;"生成成长"),3))*(VLOOKUP($B$5,标准坦克设计!$B$14:$K$20,9)/30))</f>
        <v>7.1858674338918158</v>
      </c>
      <c r="DS163" s="172">
        <f ca="1">(VLOOKUP(DS$72,INDIRECT($C$5&amp;"生成成长"),2))/((VLOOKUP($B163,INDIRECT($B$5&amp;"生成成长"),4))/(VLOOKUP(DS$72,INDIRECT($C$5&amp;"生成成长"),5))*(VLOOKUP($B$5,标准坦克设计!$B$24:$U$30,MATCH("对"&amp;LEFT($C$5,2)&amp;"输出",标准坦克设计!$B$23:$U$23,0)))*(VLOOKUP($B163,INDIRECT($B$5&amp;"生成成长"),3))*(VLOOKUP($B$5,标准坦克设计!$B$14:$K$20,9)/30))</f>
        <v>7.7830590539275857</v>
      </c>
      <c r="DT163" s="172">
        <f ca="1">(VLOOKUP(DT$72,INDIRECT($C$5&amp;"生成成长"),2))/((VLOOKUP($B163,INDIRECT($B$5&amp;"生成成长"),4))/(VLOOKUP(DT$72,INDIRECT($C$5&amp;"生成成长"),5))*(VLOOKUP($B$5,标准坦克设计!$B$24:$U$30,MATCH("对"&amp;LEFT($C$5,2)&amp;"输出",标准坦克设计!$B$23:$U$23,0)))*(VLOOKUP($B163,INDIRECT($B$5&amp;"生成成长"),3))*(VLOOKUP($B$5,标准坦克设计!$B$14:$K$20,9)/30))</f>
        <v>8.5453280323472214</v>
      </c>
      <c r="DU163" s="172">
        <f ca="1">(VLOOKUP(DU$72,INDIRECT($C$5&amp;"生成成长"),2))/((VLOOKUP($B163,INDIRECT($B$5&amp;"生成成长"),4))/(VLOOKUP(DU$72,INDIRECT($C$5&amp;"生成成长"),5))*(VLOOKUP($B$5,标准坦克设计!$B$24:$U$30,MATCH("对"&amp;LEFT($C$5,2)&amp;"输出",标准坦克设计!$B$23:$U$23,0)))*(VLOOKUP($B163,INDIRECT($B$5&amp;"生成成长"),3))*(VLOOKUP($B$5,标准坦克设计!$B$14:$K$20,9)/30))</f>
        <v>9.3432019312025947</v>
      </c>
      <c r="DV163" s="172">
        <f ca="1">(VLOOKUP(DV$72,INDIRECT($C$5&amp;"生成成长"),2))/((VLOOKUP($B163,INDIRECT($B$5&amp;"生成成长"),4))/(VLOOKUP(DV$72,INDIRECT($C$5&amp;"生成成长"),5))*(VLOOKUP($B$5,标准坦克设计!$B$24:$U$30,MATCH("对"&amp;LEFT($C$5,2)&amp;"输出",标准坦克设计!$B$23:$U$23,0)))*(VLOOKUP($B163,INDIRECT($B$5&amp;"生成成长"),3))*(VLOOKUP($B$5,标准坦克设计!$B$14:$K$20,9)/30))</f>
        <v>10.176680750493706</v>
      </c>
      <c r="DW163" s="172">
        <f ca="1">(VLOOKUP(DW$72,INDIRECT($C$5&amp;"生成成长"),2))/((VLOOKUP($B163,INDIRECT($B$5&amp;"生成成长"),4))/(VLOOKUP(DW$72,INDIRECT($C$5&amp;"生成成长"),5))*(VLOOKUP($B$5,标准坦克设计!$B$24:$U$30,MATCH("对"&amp;LEFT($C$5,2)&amp;"输出",标准坦克设计!$B$23:$U$23,0)))*(VLOOKUP($B163,INDIRECT($B$5&amp;"生成成长"),3))*(VLOOKUP($B$5,标准坦克设计!$B$14:$K$20,9)/30))</f>
        <v>11.045764490220554</v>
      </c>
      <c r="DX163" s="172">
        <f ca="1">(VLOOKUP(DX$72,INDIRECT($C$5&amp;"生成成长"),2))/((VLOOKUP($B163,INDIRECT($B$5&amp;"生成成长"),4))/(VLOOKUP(DX$72,INDIRECT($C$5&amp;"生成成长"),5))*(VLOOKUP($B$5,标准坦克设计!$B$24:$U$30,MATCH("对"&amp;LEFT($C$5,2)&amp;"输出",标准坦克设计!$B$23:$U$23,0)))*(VLOOKUP($B163,INDIRECT($B$5&amp;"生成成长"),3))*(VLOOKUP($B$5,标准坦克设计!$B$14:$K$20,9)/30))</f>
        <v>11.95045315038314</v>
      </c>
      <c r="DY163" s="172">
        <f ca="1">(VLOOKUP(DY$72,INDIRECT($C$5&amp;"生成成长"),2))/((VLOOKUP($B163,INDIRECT($B$5&amp;"生成成长"),4))/(VLOOKUP(DY$72,INDIRECT($C$5&amp;"生成成长"),5))*(VLOOKUP($B$5,标准坦克设计!$B$24:$U$30,MATCH("对"&amp;LEFT($C$5,2)&amp;"输出",标准坦克设计!$B$23:$U$23,0)))*(VLOOKUP($B163,INDIRECT($B$5&amp;"生成成长"),3))*(VLOOKUP($B$5,标准坦克设计!$B$14:$K$20,9)/30))</f>
        <v>5.3673681918021208</v>
      </c>
      <c r="DZ163" s="172">
        <f ca="1">(VLOOKUP(DZ$72,INDIRECT($C$5&amp;"生成成长"),2))/((VLOOKUP($B163,INDIRECT($B$5&amp;"生成成长"),4))/(VLOOKUP(DZ$72,INDIRECT($C$5&amp;"生成成长"),5))*(VLOOKUP($B$5,标准坦克设计!$B$24:$U$30,MATCH("对"&amp;LEFT($C$5,2)&amp;"输出",标准坦克设计!$B$23:$U$23,0)))*(VLOOKUP($B163,INDIRECT($B$5&amp;"生成成长"),3))*(VLOOKUP($B$5,标准坦克设计!$B$14:$K$20,9)/30))</f>
        <v>5.9441090517528989</v>
      </c>
      <c r="EA163" s="172">
        <f ca="1">(VLOOKUP(EA$72,INDIRECT($C$5&amp;"生成成长"),2))/((VLOOKUP($B163,INDIRECT($B$5&amp;"生成成长"),4))/(VLOOKUP(EA$72,INDIRECT($C$5&amp;"生成成长"),5))*(VLOOKUP($B$5,标准坦克设计!$B$24:$U$30,MATCH("对"&amp;LEFT($C$5,2)&amp;"输出",标准坦克设计!$B$23:$U$23,0)))*(VLOOKUP($B163,INDIRECT($B$5&amp;"生成成长"),3))*(VLOOKUP($B$5,标准坦克设计!$B$14:$K$20,9)/30))</f>
        <v>6.5502754657827964</v>
      </c>
      <c r="EB163" s="172">
        <f ca="1">(VLOOKUP(EB$72,INDIRECT($C$5&amp;"生成成长"),2))/((VLOOKUP($B163,INDIRECT($B$5&amp;"生成成长"),4))/(VLOOKUP(EB$72,INDIRECT($C$5&amp;"生成成长"),5))*(VLOOKUP($B$5,标准坦克设计!$B$24:$U$30,MATCH("对"&amp;LEFT($C$5,2)&amp;"输出",标准坦克设计!$B$23:$U$23,0)))*(VLOOKUP($B163,INDIRECT($B$5&amp;"生成成长"),3))*(VLOOKUP($B$5,标准坦克设计!$B$14:$K$20,9)/30))</f>
        <v>7.1858674338918158</v>
      </c>
      <c r="EC163" s="172">
        <f ca="1">(VLOOKUP(EC$72,INDIRECT($C$5&amp;"生成成长"),2))/((VLOOKUP($B163,INDIRECT($B$5&amp;"生成成长"),4))/(VLOOKUP(EC$72,INDIRECT($C$5&amp;"生成成长"),5))*(VLOOKUP($B$5,标准坦克设计!$B$24:$U$30,MATCH("对"&amp;LEFT($C$5,2)&amp;"输出",标准坦克设计!$B$23:$U$23,0)))*(VLOOKUP($B163,INDIRECT($B$5&amp;"生成成长"),3))*(VLOOKUP($B$5,标准坦克设计!$B$14:$K$20,9)/30))</f>
        <v>7.8508849560799572</v>
      </c>
      <c r="ED163" s="172">
        <f ca="1">(VLOOKUP(ED$72,INDIRECT($C$5&amp;"生成成长"),2))/((VLOOKUP($B163,INDIRECT($B$5&amp;"生成成长"),4))/(VLOOKUP(ED$72,INDIRECT($C$5&amp;"生成成长"),5))*(VLOOKUP($B$5,标准坦克设计!$B$24:$U$30,MATCH("对"&amp;LEFT($C$5,2)&amp;"输出",标准坦克设计!$B$23:$U$23,0)))*(VLOOKUP($B163,INDIRECT($B$5&amp;"生成成长"),3))*(VLOOKUP($B$5,标准坦克设计!$B$14:$K$20,9)/30))</f>
        <v>8.5453280323472214</v>
      </c>
      <c r="EE163" s="172">
        <f ca="1">(VLOOKUP(EE$72,INDIRECT($C$5&amp;"生成成长"),2))/((VLOOKUP($B163,INDIRECT($B$5&amp;"生成成长"),4))/(VLOOKUP(EE$72,INDIRECT($C$5&amp;"生成成长"),5))*(VLOOKUP($B$5,标准坦克设计!$B$24:$U$30,MATCH("对"&amp;LEFT($C$5,2)&amp;"输出",标准坦克设计!$B$23:$U$23,0)))*(VLOOKUP($B163,INDIRECT($B$5&amp;"生成成长"),3))*(VLOOKUP($B$5,标准坦克设计!$B$14:$K$20,9)/30))</f>
        <v>9.2691966626936058</v>
      </c>
      <c r="EF163" s="172">
        <f ca="1">(VLOOKUP(EF$72,INDIRECT($C$5&amp;"生成成长"),2))/((VLOOKUP($B163,INDIRECT($B$5&amp;"生成成长"),4))/(VLOOKUP(EF$72,INDIRECT($C$5&amp;"生成成长"),5))*(VLOOKUP($B$5,标准坦克设计!$B$24:$U$30,MATCH("对"&amp;LEFT($C$5,2)&amp;"输出",标准坦克设计!$B$23:$U$23,0)))*(VLOOKUP($B163,INDIRECT($B$5&amp;"生成成长"),3))*(VLOOKUP($B$5,标准坦克设计!$B$14:$K$20,9)/30))</f>
        <v>10.02249084711911</v>
      </c>
      <c r="EG163" s="172">
        <f ca="1">(VLOOKUP(EG$72,INDIRECT($C$5&amp;"生成成长"),2))/((VLOOKUP($B163,INDIRECT($B$5&amp;"生成成长"),4))/(VLOOKUP(EG$72,INDIRECT($C$5&amp;"生成成长"),5))*(VLOOKUP($B$5,标准坦克设计!$B$24:$U$30,MATCH("对"&amp;LEFT($C$5,2)&amp;"输出",标准坦克设计!$B$23:$U$23,0)))*(VLOOKUP($B163,INDIRECT($B$5&amp;"生成成长"),3))*(VLOOKUP($B$5,标准坦克设计!$B$14:$K$20,9)/30))</f>
        <v>10.805210585623739</v>
      </c>
      <c r="EH163" s="172">
        <f ca="1">(VLOOKUP(EH$72,INDIRECT($C$5&amp;"生成成长"),2))/((VLOOKUP($B163,INDIRECT($B$5&amp;"生成成长"),4))/(VLOOKUP(EH$72,INDIRECT($C$5&amp;"生成成长"),5))*(VLOOKUP($B$5,标准坦克设计!$B$24:$U$30,MATCH("对"&amp;LEFT($C$5,2)&amp;"输出",标准坦克设计!$B$23:$U$23,0)))*(VLOOKUP($B163,INDIRECT($B$5&amp;"生成成长"),3))*(VLOOKUP($B$5,标准坦克设计!$B$14:$K$20,9)/30))</f>
        <v>11.617355878207485</v>
      </c>
      <c r="EI163" s="172">
        <f ca="1">(VLOOKUP(EI$72,INDIRECT($C$5&amp;"生成成长"),2))/((VLOOKUP($B163,INDIRECT($B$5&amp;"生成成长"),4))/(VLOOKUP(EI$72,INDIRECT($C$5&amp;"生成成长"),5))*(VLOOKUP($B$5,标准坦克设计!$B$24:$U$30,MATCH("对"&amp;LEFT($C$5,2)&amp;"输出",标准坦克设计!$B$23:$U$23,0)))*(VLOOKUP($B163,INDIRECT($B$5&amp;"生成成长"),3))*(VLOOKUP($B$5,标准坦克设计!$B$14:$K$20,9)/30))</f>
        <v>12.458926724870354</v>
      </c>
      <c r="EJ163" s="172">
        <f ca="1">(VLOOKUP(EJ$72,INDIRECT($C$5&amp;"生成成长"),2))/((VLOOKUP($B163,INDIRECT($B$5&amp;"生成成长"),4))/(VLOOKUP(EJ$72,INDIRECT($C$5&amp;"生成成长"),5))*(VLOOKUP($B$5,标准坦克设计!$B$24:$U$30,MATCH("对"&amp;LEFT($C$5,2)&amp;"输出",标准坦克设计!$B$23:$U$23,0)))*(VLOOKUP($B163,INDIRECT($B$5&amp;"生成成长"),3))*(VLOOKUP($B$5,标准坦克设计!$B$14:$K$20,9)/30))</f>
        <v>13.329923125612346</v>
      </c>
      <c r="EK163" s="172">
        <f ca="1">(VLOOKUP(EK$72,INDIRECT($C$5&amp;"生成成长"),2))/((VLOOKUP($B163,INDIRECT($B$5&amp;"生成成长"),4))/(VLOOKUP(EK$72,INDIRECT($C$5&amp;"生成成长"),5))*(VLOOKUP($B$5,标准坦克设计!$B$24:$U$30,MATCH("对"&amp;LEFT($C$5,2)&amp;"输出",标准坦克设计!$B$23:$U$23,0)))*(VLOOKUP($B163,INDIRECT($B$5&amp;"生成成长"),3))*(VLOOKUP($B$5,标准坦克设计!$B$14:$K$20,9)/30))</f>
        <v>14.413960537887174</v>
      </c>
      <c r="EL163" s="172">
        <f ca="1">(VLOOKUP(EL$72,INDIRECT($C$5&amp;"生成成长"),2))/((VLOOKUP($B163,INDIRECT($B$5&amp;"生成成长"),4))/(VLOOKUP(EL$72,INDIRECT($C$5&amp;"生成成长"),5))*(VLOOKUP($B$5,标准坦克设计!$B$24:$U$30,MATCH("对"&amp;LEFT($C$5,2)&amp;"输出",标准坦克设计!$B$23:$U$23,0)))*(VLOOKUP($B163,INDIRECT($B$5&amp;"生成成长"),3))*(VLOOKUP($B$5,标准坦克设计!$B$14:$K$20,9)/30))</f>
        <v>15.540370748035938</v>
      </c>
      <c r="EM163" s="172">
        <f ca="1">(VLOOKUP(EM$72,INDIRECT($C$5&amp;"生成成长"),2))/((VLOOKUP($B163,INDIRECT($B$5&amp;"生成成长"),4))/(VLOOKUP(EM$72,INDIRECT($C$5&amp;"生成成长"),5))*(VLOOKUP($B$5,标准坦克设计!$B$24:$U$30,MATCH("对"&amp;LEFT($C$5,2)&amp;"输出",标准坦克设计!$B$23:$U$23,0)))*(VLOOKUP($B163,INDIRECT($B$5&amp;"生成成长"),3))*(VLOOKUP($B$5,标准坦克设计!$B$14:$K$20,9)/30))</f>
        <v>16.709153756058633</v>
      </c>
      <c r="EN163" s="172">
        <f ca="1">(VLOOKUP(EN$72,INDIRECT($C$5&amp;"生成成长"),2))/((VLOOKUP($B163,INDIRECT($B$5&amp;"生成成长"),4))/(VLOOKUP(EN$72,INDIRECT($C$5&amp;"生成成长"),5))*(VLOOKUP($B$5,标准坦克设计!$B$24:$U$30,MATCH("对"&amp;LEFT($C$5,2)&amp;"输出",标准坦克设计!$B$23:$U$23,0)))*(VLOOKUP($B163,INDIRECT($B$5&amp;"生成成长"),3))*(VLOOKUP($B$5,标准坦克设计!$B$14:$K$20,9)/30))</f>
        <v>17.920309561955264</v>
      </c>
      <c r="EO163" s="172">
        <f ca="1">(VLOOKUP(EO$72,INDIRECT($C$5&amp;"生成成长"),2))/((VLOOKUP($B163,INDIRECT($B$5&amp;"生成成长"),4))/(VLOOKUP(EO$72,INDIRECT($C$5&amp;"生成成长"),5))*(VLOOKUP($B$5,标准坦克设计!$B$24:$U$30,MATCH("对"&amp;LEFT($C$5,2)&amp;"输出",标准坦克设计!$B$23:$U$23,0)))*(VLOOKUP($B163,INDIRECT($B$5&amp;"生成成长"),3))*(VLOOKUP($B$5,标准坦克设计!$B$14:$K$20,9)/30))</f>
        <v>19.173838165725833</v>
      </c>
      <c r="EP163" s="172">
        <f ca="1">(VLOOKUP(EP$72,INDIRECT($C$5&amp;"生成成长"),2))/((VLOOKUP($B163,INDIRECT($B$5&amp;"生成成长"),4))/(VLOOKUP(EP$72,INDIRECT($C$5&amp;"生成成长"),5))*(VLOOKUP($B$5,标准坦克设计!$B$24:$U$30,MATCH("对"&amp;LEFT($C$5,2)&amp;"输出",标准坦克设计!$B$23:$U$23,0)))*(VLOOKUP($B163,INDIRECT($B$5&amp;"生成成长"),3))*(VLOOKUP($B$5,标准坦克设计!$B$14:$K$20,9)/30))</f>
        <v>20.46973956737034</v>
      </c>
      <c r="EQ163" s="172">
        <f ca="1">(VLOOKUP(EQ$72,INDIRECT($C$5&amp;"生成成长"),2))/((VLOOKUP($B163,INDIRECT($B$5&amp;"生成成长"),4))/(VLOOKUP(EQ$72,INDIRECT($C$5&amp;"生成成长"),5))*(VLOOKUP($B$5,标准坦克设计!$B$24:$U$30,MATCH("对"&amp;LEFT($C$5,2)&amp;"输出",标准坦克设计!$B$23:$U$23,0)))*(VLOOKUP($B163,INDIRECT($B$5&amp;"生成成长"),3))*(VLOOKUP($B$5,标准坦克设计!$B$14:$K$20,9)/30))</f>
        <v>9.0489463904113823</v>
      </c>
      <c r="ER163" s="172">
        <f ca="1">(VLOOKUP(ER$72,INDIRECT($C$5&amp;"生成成长"),2))/((VLOOKUP($B163,INDIRECT($B$5&amp;"生成成长"),4))/(VLOOKUP(ER$72,INDIRECT($C$5&amp;"生成成长"),5))*(VLOOKUP($B$5,标准坦克设计!$B$24:$U$30,MATCH("对"&amp;LEFT($C$5,2)&amp;"输出",标准坦克设计!$B$23:$U$23,0)))*(VLOOKUP($B163,INDIRECT($B$5&amp;"生成成长"),3))*(VLOOKUP($B$5,标准坦克设计!$B$14:$K$20,9)/30))</f>
        <v>9.869477965907679</v>
      </c>
      <c r="ES163" s="172">
        <f ca="1">(VLOOKUP(ES$72,INDIRECT($C$5&amp;"生成成长"),2))/((VLOOKUP($B163,INDIRECT($B$5&amp;"生成成长"),4))/(VLOOKUP(ES$72,INDIRECT($C$5&amp;"生成成长"),5))*(VLOOKUP($B$5,标准坦克设计!$B$24:$U$30,MATCH("对"&amp;LEFT($C$5,2)&amp;"输出",标准坦克设计!$B$23:$U$23,0)))*(VLOOKUP($B163,INDIRECT($B$5&amp;"生成成长"),3))*(VLOOKUP($B$5,标准坦克设计!$B$14:$K$20,9)/30))</f>
        <v>10.725614461839713</v>
      </c>
      <c r="ET163" s="172">
        <f ca="1">(VLOOKUP(ET$72,INDIRECT($C$5&amp;"生成成长"),2))/((VLOOKUP($B163,INDIRECT($B$5&amp;"生成成长"),4))/(VLOOKUP(ET$72,INDIRECT($C$5&amp;"生成成长"),5))*(VLOOKUP($B$5,标准坦克设计!$B$24:$U$30,MATCH("对"&amp;LEFT($C$5,2)&amp;"输出",标准坦克设计!$B$23:$U$23,0)))*(VLOOKUP($B163,INDIRECT($B$5&amp;"生成成长"),3))*(VLOOKUP($B$5,标准坦克设计!$B$14:$K$20,9)/30))</f>
        <v>11.617355878207485</v>
      </c>
      <c r="EU163" s="172">
        <f ca="1">(VLOOKUP(EU$72,INDIRECT($C$5&amp;"生成成长"),2))/((VLOOKUP($B163,INDIRECT($B$5&amp;"生成成长"),4))/(VLOOKUP(EU$72,INDIRECT($C$5&amp;"生成成长"),5))*(VLOOKUP($B$5,标准坦克设计!$B$24:$U$30,MATCH("对"&amp;LEFT($C$5,2)&amp;"输出",标准坦克设计!$B$23:$U$23,0)))*(VLOOKUP($B163,INDIRECT($B$5&amp;"生成成长"),3))*(VLOOKUP($B$5,标准坦克设计!$B$14:$K$20,9)/30))</f>
        <v>12.544702215010993</v>
      </c>
      <c r="EV163" s="172">
        <f ca="1">(VLOOKUP(EV$72,INDIRECT($C$5&amp;"生成成长"),2))/((VLOOKUP($B163,INDIRECT($B$5&amp;"生成成长"),4))/(VLOOKUP(EV$72,INDIRECT($C$5&amp;"生成成长"),5))*(VLOOKUP($B$5,标准坦克设计!$B$24:$U$30,MATCH("对"&amp;LEFT($C$5,2)&amp;"输出",标准坦克设计!$B$23:$U$23,0)))*(VLOOKUP($B163,INDIRECT($B$5&amp;"生成成长"),3))*(VLOOKUP($B$5,标准坦克设计!$B$14:$K$20,9)/30))</f>
        <v>13.507653472250237</v>
      </c>
      <c r="EW163" s="172">
        <f ca="1">(VLOOKUP(EW$72,INDIRECT($C$5&amp;"生成成长"),2))/((VLOOKUP($B163,INDIRECT($B$5&amp;"生成成长"),4))/(VLOOKUP(EW$72,INDIRECT($C$5&amp;"生成成长"),5))*(VLOOKUP($B$5,标准坦克设计!$B$24:$U$30,MATCH("对"&amp;LEFT($C$5,2)&amp;"输出",标准坦克设计!$B$23:$U$23,0)))*(VLOOKUP($B163,INDIRECT($B$5&amp;"生成成长"),3))*(VLOOKUP($B$5,标准坦克设计!$B$14:$K$20,9)/30))</f>
        <v>14.506209649925218</v>
      </c>
      <c r="EX163" s="172">
        <f ca="1">(VLOOKUP(EX$72,INDIRECT($C$5&amp;"生成成长"),2))/((VLOOKUP($B163,INDIRECT($B$5&amp;"生成成长"),4))/(VLOOKUP(EX$72,INDIRECT($C$5&amp;"生成成长"),5))*(VLOOKUP($B$5,标准坦克设计!$B$24:$U$30,MATCH("对"&amp;LEFT($C$5,2)&amp;"输出",标准坦克设计!$B$23:$U$23,0)))*(VLOOKUP($B163,INDIRECT($B$5&amp;"生成成长"),3))*(VLOOKUP($B$5,标准坦克设计!$B$14:$K$20,9)/30))</f>
        <v>15.540370748035938</v>
      </c>
      <c r="EY163" s="172">
        <f ca="1">(VLOOKUP(EY$72,INDIRECT($C$5&amp;"生成成长"),2))/((VLOOKUP($B163,INDIRECT($B$5&amp;"生成成长"),4))/(VLOOKUP(EY$72,INDIRECT($C$5&amp;"生成成长"),5))*(VLOOKUP($B$5,标准坦克设计!$B$24:$U$30,MATCH("对"&amp;LEFT($C$5,2)&amp;"输出",标准坦克设计!$B$23:$U$23,0)))*(VLOOKUP($B163,INDIRECT($B$5&amp;"生成成长"),3))*(VLOOKUP($B$5,标准坦克设计!$B$14:$K$20,9)/30))</f>
        <v>16.610136766582393</v>
      </c>
      <c r="EZ163" s="172">
        <f ca="1">(VLOOKUP(EZ$72,INDIRECT($C$5&amp;"生成成长"),2))/((VLOOKUP($B163,INDIRECT($B$5&amp;"生成成长"),4))/(VLOOKUP(EZ$72,INDIRECT($C$5&amp;"生成成长"),5))*(VLOOKUP($B$5,标准坦克设计!$B$24:$U$30,MATCH("对"&amp;LEFT($C$5,2)&amp;"输出",标准坦克设计!$B$23:$U$23,0)))*(VLOOKUP($B163,INDIRECT($B$5&amp;"生成成长"),3))*(VLOOKUP($B$5,标准坦克设计!$B$14:$K$20,9)/30))</f>
        <v>17.715507705564583</v>
      </c>
      <c r="FA163" s="172">
        <f ca="1">(VLOOKUP(FA$72,INDIRECT($C$5&amp;"生成成长"),2))/((VLOOKUP($B163,INDIRECT($B$5&amp;"生成成长"),4))/(VLOOKUP(FA$72,INDIRECT($C$5&amp;"生成成长"),5))*(VLOOKUP($B$5,标准坦克设计!$B$24:$U$30,MATCH("对"&amp;LEFT($C$5,2)&amp;"输出",标准坦克设计!$B$23:$U$23,0)))*(VLOOKUP($B163,INDIRECT($B$5&amp;"生成成长"),3))*(VLOOKUP($B$5,标准坦克设计!$B$14:$K$20,9)/30))</f>
        <v>18.856483564982515</v>
      </c>
      <c r="FB163" s="172">
        <f ca="1">(VLOOKUP(FB$72,INDIRECT($C$5&amp;"生成成长"),2))/((VLOOKUP($B163,INDIRECT($B$5&amp;"生成成长"),4))/(VLOOKUP(FB$72,INDIRECT($C$5&amp;"生成成长"),5))*(VLOOKUP($B$5,标准坦克设计!$B$24:$U$30,MATCH("对"&amp;LEFT($C$5,2)&amp;"输出",标准坦克设计!$B$23:$U$23,0)))*(VLOOKUP($B163,INDIRECT($B$5&amp;"生成成长"),3))*(VLOOKUP($B$5,标准坦克设计!$B$14:$K$20,9)/30))</f>
        <v>20.033064344836177</v>
      </c>
      <c r="FC163" s="172">
        <f ca="1">(VLOOKUP(FC$72,INDIRECT($C$5&amp;"生成成长"),2))/((VLOOKUP($B163,INDIRECT($B$5&amp;"生成成长"),4))/(VLOOKUP(FC$72,INDIRECT($C$5&amp;"生成成长"),5))*(VLOOKUP($B$5,标准坦克设计!$B$24:$U$30,MATCH("对"&amp;LEFT($C$5,2)&amp;"输出",标准坦克设计!$B$23:$U$23,0)))*(VLOOKUP($B163,INDIRECT($B$5&amp;"生成成长"),3))*(VLOOKUP($B$5,标准坦克设计!$B$14:$K$20,9)/30))</f>
        <v>21.245250045125577</v>
      </c>
      <c r="FD163" s="172">
        <f ca="1">(VLOOKUP(FD$72,INDIRECT($C$5&amp;"生成成长"),2))/((VLOOKUP($B163,INDIRECT($B$5&amp;"生成成长"),4))/(VLOOKUP(FD$72,INDIRECT($C$5&amp;"生成成长"),5))*(VLOOKUP($B$5,标准坦克设计!$B$24:$U$30,MATCH("对"&amp;LEFT($C$5,2)&amp;"输出",标准坦克设计!$B$23:$U$23,0)))*(VLOOKUP($B163,INDIRECT($B$5&amp;"生成成长"),3))*(VLOOKUP($B$5,标准坦克设计!$B$14:$K$20,9)/30))</f>
        <v>22.493040665850717</v>
      </c>
      <c r="FE163" s="172">
        <f ca="1">(VLOOKUP(FE$72,INDIRECT($C$5&amp;"生成成长"),2))/((VLOOKUP($B163,INDIRECT($B$5&amp;"生成成长"),4))/(VLOOKUP(FE$72,INDIRECT($C$5&amp;"生成成长"),5))*(VLOOKUP($B$5,标准坦克设计!$B$24:$U$30,MATCH("对"&amp;LEFT($C$5,2)&amp;"输出",标准坦克设计!$B$23:$U$23,0)))*(VLOOKUP($B163,INDIRECT($B$5&amp;"生成成长"),3))*(VLOOKUP($B$5,标准坦克设计!$B$14:$K$20,9)/30))</f>
        <v>24.013606172889315</v>
      </c>
      <c r="FF163" s="172">
        <f ca="1">(VLOOKUP(FF$72,INDIRECT($C$5&amp;"生成成长"),2))/((VLOOKUP($B163,INDIRECT($B$5&amp;"生成成长"),4))/(VLOOKUP(FF$72,INDIRECT($C$5&amp;"生成成长"),5))*(VLOOKUP($B$5,标准坦克设计!$B$24:$U$30,MATCH("对"&amp;LEFT($C$5,2)&amp;"输出",标准坦克设计!$B$23:$U$23,0)))*(VLOOKUP($B163,INDIRECT($B$5&amp;"生成成长"),3))*(VLOOKUP($B$5,标准坦克设计!$B$14:$K$20,9)/30))</f>
        <v>25.583900866321613</v>
      </c>
      <c r="FG163" s="172">
        <f ca="1">(VLOOKUP(FG$72,INDIRECT($C$5&amp;"生成成长"),2))/((VLOOKUP($B163,INDIRECT($B$5&amp;"生成成长"),4))/(VLOOKUP(FG$72,INDIRECT($C$5&amp;"生成成长"),5))*(VLOOKUP($B$5,标准坦克设计!$B$24:$U$30,MATCH("对"&amp;LEFT($C$5,2)&amp;"输出",标准坦克设计!$B$23:$U$23,0)))*(VLOOKUP($B163,INDIRECT($B$5&amp;"生成成长"),3))*(VLOOKUP($B$5,标准坦克设计!$B$14:$K$20,9)/30))</f>
        <v>27.203924746147642</v>
      </c>
      <c r="FH163" s="172">
        <f ca="1">(VLOOKUP(FH$72,INDIRECT($C$5&amp;"生成成长"),2))/((VLOOKUP($B163,INDIRECT($B$5&amp;"生成成长"),4))/(VLOOKUP(FH$72,INDIRECT($C$5&amp;"生成成长"),5))*(VLOOKUP($B$5,标准坦克设计!$B$24:$U$30,MATCH("对"&amp;LEFT($C$5,2)&amp;"输出",标准坦克设计!$B$23:$U$23,0)))*(VLOOKUP($B163,INDIRECT($B$5&amp;"生成成长"),3))*(VLOOKUP($B$5,标准坦克设计!$B$14:$K$20,9)/30))</f>
        <v>28.873677812367379</v>
      </c>
      <c r="FI163" s="172">
        <f ca="1">(VLOOKUP(FI$72,INDIRECT($C$5&amp;"生成成长"),2))/((VLOOKUP($B163,INDIRECT($B$5&amp;"生成成长"),4))/(VLOOKUP(FI$72,INDIRECT($C$5&amp;"生成成长"),5))*(VLOOKUP($B$5,标准坦克设计!$B$24:$U$30,MATCH("对"&amp;LEFT($C$5,2)&amp;"输出",标准坦克设计!$B$23:$U$23,0)))*(VLOOKUP($B163,INDIRECT($B$5&amp;"生成成长"),3))*(VLOOKUP($B$5,标准坦克设计!$B$14:$K$20,9)/30))</f>
        <v>30.593160064980832</v>
      </c>
      <c r="FJ163" s="172">
        <f ca="1">(VLOOKUP(FJ$72,INDIRECT($C$5&amp;"生成成长"),2))/((VLOOKUP($B163,INDIRECT($B$5&amp;"生成成长"),4))/(VLOOKUP(FJ$72,INDIRECT($C$5&amp;"生成成长"),5))*(VLOOKUP($B$5,标准坦克设计!$B$24:$U$30,MATCH("对"&amp;LEFT($C$5,2)&amp;"输出",标准坦克设计!$B$23:$U$23,0)))*(VLOOKUP($B163,INDIRECT($B$5&amp;"生成成长"),3))*(VLOOKUP($B$5,标准坦克设计!$B$14:$K$20,9)/30))</f>
        <v>32.362371503988001</v>
      </c>
      <c r="FK163" s="172">
        <f ca="1">(VLOOKUP(FK$72,INDIRECT($C$5&amp;"生成成长"),2))/((VLOOKUP($B163,INDIRECT($B$5&amp;"生成成长"),4))/(VLOOKUP(FK$72,INDIRECT($C$5&amp;"生成成长"),5))*(VLOOKUP($B$5,标准坦克设计!$B$24:$U$30,MATCH("对"&amp;LEFT($C$5,2)&amp;"输出",标准坦克设计!$B$23:$U$23,0)))*(VLOOKUP($B163,INDIRECT($B$5&amp;"生成成长"),3))*(VLOOKUP($B$5,标准坦克设计!$B$14:$K$20,9)/30))</f>
        <v>34.181312129388886</v>
      </c>
    </row>
    <row r="164" spans="1:167" x14ac:dyDescent="0.15">
      <c r="A164" s="170" t="str">
        <f t="shared" si="12"/>
        <v>T5中品质2级</v>
      </c>
      <c r="B164" s="171">
        <v>20502</v>
      </c>
      <c r="C164" s="172">
        <f ca="1">(VLOOKUP(C$72,INDIRECT($C$5&amp;"生成成长"),2))/((VLOOKUP($B164,INDIRECT($B$5&amp;"生成成长"),4))/(VLOOKUP(C$72,INDIRECT($C$5&amp;"生成成长"),5))*(VLOOKUP($B$5,标准坦克设计!$B$24:$U$30,MATCH("对"&amp;LEFT($C$5,2)&amp;"输出",标准坦克设计!$B$23:$U$23,0)))*(VLOOKUP($B164,INDIRECT($B$5&amp;"生成成长"),3))*(VLOOKUP($B$5,标准坦克设计!$B$14:$K$20,9)/30))</f>
        <v>1.3438704121377298</v>
      </c>
      <c r="D164" s="172">
        <f ca="1">(VLOOKUP(D$72,INDIRECT($C$5&amp;"生成成长"),2))/((VLOOKUP($B164,INDIRECT($B$5&amp;"生成成长"),4))/(VLOOKUP(D$72,INDIRECT($C$5&amp;"生成成长"),5))*(VLOOKUP($B$5,标准坦克设计!$B$24:$U$30,MATCH("对"&amp;LEFT($C$5,2)&amp;"输出",标准坦克设计!$B$23:$U$23,0)))*(VLOOKUP($B164,INDIRECT($B$5&amp;"生成成长"),3))*(VLOOKUP($B$5,标准坦克设计!$B$14:$K$20,9)/30))</f>
        <v>1.5099727950779533</v>
      </c>
      <c r="E164" s="172">
        <f ca="1">(VLOOKUP(E$72,INDIRECT($C$5&amp;"生成成长"),2))/((VLOOKUP($B164,INDIRECT($B$5&amp;"生成成长"),4))/(VLOOKUP(E$72,INDIRECT($C$5&amp;"生成成长"),5))*(VLOOKUP($B$5,标准坦克设计!$B$24:$U$30,MATCH("对"&amp;LEFT($C$5,2)&amp;"输出",标准坦克设计!$B$23:$U$23,0)))*(VLOOKUP($B164,INDIRECT($B$5&amp;"生成成长"),3))*(VLOOKUP($B$5,标准坦克设计!$B$14:$K$20,9)/30))</f>
        <v>1.6857510449855684</v>
      </c>
      <c r="F164" s="172">
        <f ca="1">(VLOOKUP(F$72,INDIRECT($C$5&amp;"生成成长"),2))/((VLOOKUP($B164,INDIRECT($B$5&amp;"生成成长"),4))/(VLOOKUP(F$72,INDIRECT($C$5&amp;"生成成长"),5))*(VLOOKUP($B$5,标准坦克设计!$B$24:$U$30,MATCH("对"&amp;LEFT($C$5,2)&amp;"输出",标准坦克设计!$B$23:$U$23,0)))*(VLOOKUP($B164,INDIRECT($B$5&amp;"生成成长"),3))*(VLOOKUP($B$5,标准坦克设计!$B$14:$K$20,9)/30))</f>
        <v>1.871205161860575</v>
      </c>
      <c r="G164" s="172">
        <f ca="1">(VLOOKUP(G$72,INDIRECT($C$5&amp;"生成成长"),2))/((VLOOKUP($B164,INDIRECT($B$5&amp;"生成成长"),4))/(VLOOKUP(G$72,INDIRECT($C$5&amp;"生成成长"),5))*(VLOOKUP($B$5,标准坦克设计!$B$24:$U$30,MATCH("对"&amp;LEFT($C$5,2)&amp;"输出",标准坦克设计!$B$23:$U$23,0)))*(VLOOKUP($B164,INDIRECT($B$5&amp;"生成成长"),3))*(VLOOKUP($B$5,标准坦克设计!$B$14:$K$20,9)/30))</f>
        <v>2.0663351457029733</v>
      </c>
      <c r="H164" s="172">
        <f ca="1">(VLOOKUP(H$72,INDIRECT($C$5&amp;"生成成长"),2))/((VLOOKUP($B164,INDIRECT($B$5&amp;"生成成长"),4))/(VLOOKUP(H$72,INDIRECT($C$5&amp;"生成成长"),5))*(VLOOKUP($B$5,标准坦克设计!$B$24:$U$30,MATCH("对"&amp;LEFT($C$5,2)&amp;"输出",标准坦克设计!$B$23:$U$23,0)))*(VLOOKUP($B164,INDIRECT($B$5&amp;"生成成长"),3))*(VLOOKUP($B$5,标准坦克设计!$B$14:$K$20,9)/30))</f>
        <v>1.8083120265725292</v>
      </c>
      <c r="I164" s="172">
        <f ca="1">(VLOOKUP(I$72,INDIRECT($C$5&amp;"生成成长"),2))/((VLOOKUP($B164,INDIRECT($B$5&amp;"生成成长"),4))/(VLOOKUP(I$72,INDIRECT($C$5&amp;"生成成长"),5))*(VLOOKUP($B$5,标准坦克设计!$B$24:$U$30,MATCH("对"&amp;LEFT($C$5,2)&amp;"输出",标准坦克设计!$B$23:$U$23,0)))*(VLOOKUP($B164,INDIRECT($B$5&amp;"生成成长"),3))*(VLOOKUP($B$5,标准坦克设计!$B$14:$K$20,9)/30))</f>
        <v>2.0663351457029733</v>
      </c>
      <c r="J164" s="172">
        <f ca="1">(VLOOKUP(J$72,INDIRECT($C$5&amp;"生成成长"),2))/((VLOOKUP($B164,INDIRECT($B$5&amp;"生成成长"),4))/(VLOOKUP(J$72,INDIRECT($C$5&amp;"生成成长"),5))*(VLOOKUP($B$5,标准坦克设计!$B$24:$U$30,MATCH("对"&amp;LEFT($C$5,2)&amp;"输出",标准坦克设计!$B$23:$U$23,0)))*(VLOOKUP($B164,INDIRECT($B$5&amp;"生成成长"),3))*(VLOOKUP($B$5,标准坦克设计!$B$14:$K$20,9)/30))</f>
        <v>2.3415598061087803</v>
      </c>
      <c r="K164" s="172">
        <f ca="1">(VLOOKUP(K$72,INDIRECT($C$5&amp;"生成成长"),2))/((VLOOKUP($B164,INDIRECT($B$5&amp;"生成成长"),4))/(VLOOKUP(K$72,INDIRECT($C$5&amp;"生成成长"),5))*(VLOOKUP($B$5,标准坦克设计!$B$24:$U$30,MATCH("对"&amp;LEFT($C$5,2)&amp;"输出",标准坦克设计!$B$23:$U$23,0)))*(VLOOKUP($B164,INDIRECT($B$5&amp;"生成成长"),3))*(VLOOKUP($B$5,标准坦克设计!$B$14:$K$20,9)/30))</f>
        <v>2.6339860077899506</v>
      </c>
      <c r="L164" s="172">
        <f ca="1">(VLOOKUP(L$72,INDIRECT($C$5&amp;"生成成长"),2))/((VLOOKUP($B164,INDIRECT($B$5&amp;"生成成长"),4))/(VLOOKUP(L$72,INDIRECT($C$5&amp;"生成成长"),5))*(VLOOKUP($B$5,标准坦克设计!$B$24:$U$30,MATCH("对"&amp;LEFT($C$5,2)&amp;"输出",标准坦克设计!$B$23:$U$23,0)))*(VLOOKUP($B164,INDIRECT($B$5&amp;"生成成长"),3))*(VLOOKUP($B$5,标准坦克设计!$B$14:$K$20,9)/30))</f>
        <v>2.9436137507464832</v>
      </c>
      <c r="M164" s="172">
        <f ca="1">(VLOOKUP(M$72,INDIRECT($C$5&amp;"生成成长"),2))/((VLOOKUP($B164,INDIRECT($B$5&amp;"生成成长"),4))/(VLOOKUP(M$72,INDIRECT($C$5&amp;"生成成长"),5))*(VLOOKUP($B$5,标准坦克设计!$B$24:$U$30,MATCH("对"&amp;LEFT($C$5,2)&amp;"输出",标准坦克设计!$B$23:$U$23,0)))*(VLOOKUP($B164,INDIRECT($B$5&amp;"生成成长"),3))*(VLOOKUP($B$5,标准坦克设计!$B$14:$K$20,9)/30))</f>
        <v>3.2704430349783791</v>
      </c>
      <c r="N164" s="172">
        <f ca="1">(VLOOKUP(N$72,INDIRECT($C$5&amp;"生成成长"),2))/((VLOOKUP($B164,INDIRECT($B$5&amp;"生成成长"),4))/(VLOOKUP(N$72,INDIRECT($C$5&amp;"生成成长"),5))*(VLOOKUP($B$5,标准坦克设计!$B$24:$U$30,MATCH("对"&amp;LEFT($C$5,2)&amp;"输出",标准坦克设计!$B$23:$U$23,0)))*(VLOOKUP($B164,INDIRECT($B$5&amp;"生成成长"),3))*(VLOOKUP($B$5,标准坦克设计!$B$14:$K$20,9)/30))</f>
        <v>3.6144738604856381</v>
      </c>
      <c r="O164" s="172">
        <f ca="1">(VLOOKUP(O$72,INDIRECT($C$5&amp;"生成成长"),2))/((VLOOKUP($B164,INDIRECT($B$5&amp;"生成成长"),4))/(VLOOKUP(O$72,INDIRECT($C$5&amp;"生成成长"),5))*(VLOOKUP($B$5,标准坦克设计!$B$24:$U$30,MATCH("对"&amp;LEFT($C$5,2)&amp;"输出",标准坦克设计!$B$23:$U$23,0)))*(VLOOKUP($B164,INDIRECT($B$5&amp;"生成成长"),3))*(VLOOKUP($B$5,标准坦克设计!$B$14:$K$20,9)/30))</f>
        <v>2.7480806057804439</v>
      </c>
      <c r="P164" s="172">
        <f ca="1">(VLOOKUP(P$72,INDIRECT($C$5&amp;"生成成长"),2))/((VLOOKUP($B164,INDIRECT($B$5&amp;"生成成长"),4))/(VLOOKUP(P$72,INDIRECT($C$5&amp;"生成成长"),5))*(VLOOKUP($B$5,标准坦克设计!$B$24:$U$30,MATCH("对"&amp;LEFT($C$5,2)&amp;"输出",标准坦克设计!$B$23:$U$23,0)))*(VLOOKUP($B164,INDIRECT($B$5&amp;"生成成长"),3))*(VLOOKUP($B$5,标准坦克设计!$B$14:$K$20,9)/30))</f>
        <v>3.1048782002030113</v>
      </c>
      <c r="Q164" s="172">
        <f ca="1">(VLOOKUP(Q$72,INDIRECT($C$5&amp;"生成成长"),2))/((VLOOKUP($B164,INDIRECT($B$5&amp;"生成成长"),4))/(VLOOKUP(Q$72,INDIRECT($C$5&amp;"生成成长"),5))*(VLOOKUP($B$5,标准坦克设计!$B$24:$U$30,MATCH("对"&amp;LEFT($C$5,2)&amp;"输出",标准坦克设计!$B$23:$U$23,0)))*(VLOOKUP($B164,INDIRECT($B$5&amp;"生成成长"),3))*(VLOOKUP($B$5,标准坦克设计!$B$14:$K$20,9)/30))</f>
        <v>3.4834464953022093</v>
      </c>
      <c r="R164" s="172">
        <f ca="1">(VLOOKUP(R$72,INDIRECT($C$5&amp;"生成成长"),2))/((VLOOKUP($B164,INDIRECT($B$5&amp;"生成成长"),4))/(VLOOKUP(R$72,INDIRECT($C$5&amp;"生成成长"),5))*(VLOOKUP($B$5,标准坦克设计!$B$24:$U$30,MATCH("对"&amp;LEFT($C$5,2)&amp;"输出",标准坦克设计!$B$23:$U$23,0)))*(VLOOKUP($B164,INDIRECT($B$5&amp;"生成成长"),3))*(VLOOKUP($B$5,标准坦克设计!$B$14:$K$20,9)/30))</f>
        <v>3.8837854910780387</v>
      </c>
      <c r="S164" s="172">
        <f ca="1">(VLOOKUP(S$72,INDIRECT($C$5&amp;"生成成长"),2))/((VLOOKUP($B164,INDIRECT($B$5&amp;"生成成长"),4))/(VLOOKUP(S$72,INDIRECT($C$5&amp;"生成成长"),5))*(VLOOKUP($B$5,标准坦克设计!$B$24:$U$30,MATCH("对"&amp;LEFT($C$5,2)&amp;"输出",标准坦克设计!$B$23:$U$23,0)))*(VLOOKUP($B164,INDIRECT($B$5&amp;"生成成长"),3))*(VLOOKUP($B$5,标准坦克设计!$B$14:$K$20,9)/30))</f>
        <v>4.3058951875305</v>
      </c>
      <c r="T164" s="172">
        <f ca="1">(VLOOKUP(T$72,INDIRECT($C$5&amp;"生成成长"),2))/((VLOOKUP($B164,INDIRECT($B$5&amp;"生成成长"),4))/(VLOOKUP(T$72,INDIRECT($C$5&amp;"生成成长"),5))*(VLOOKUP($B$5,标准坦克设计!$B$24:$U$30,MATCH("对"&amp;LEFT($C$5,2)&amp;"输出",标准坦克设计!$B$23:$U$23,0)))*(VLOOKUP($B164,INDIRECT($B$5&amp;"生成成长"),3))*(VLOOKUP($B$5,标准坦克设计!$B$14:$K$20,9)/30))</f>
        <v>4.7497755846595924</v>
      </c>
      <c r="U164" s="172">
        <f ca="1">(VLOOKUP(U$72,INDIRECT($C$5&amp;"生成成长"),2))/((VLOOKUP($B164,INDIRECT($B$5&amp;"生成成长"),4))/(VLOOKUP(U$72,INDIRECT($C$5&amp;"生成成长"),5))*(VLOOKUP($B$5,标准坦克设计!$B$24:$U$30,MATCH("对"&amp;LEFT($C$5,2)&amp;"输出",标准坦克设计!$B$23:$U$23,0)))*(VLOOKUP($B164,INDIRECT($B$5&amp;"生成成长"),3))*(VLOOKUP($B$5,标准坦克设计!$B$14:$K$20,9)/30))</f>
        <v>5.2154266824653153</v>
      </c>
      <c r="V164" s="172">
        <f ca="1">(VLOOKUP(V$72,INDIRECT($C$5&amp;"生成成长"),2))/((VLOOKUP($B164,INDIRECT($B$5&amp;"生成成长"),4))/(VLOOKUP(V$72,INDIRECT($C$5&amp;"生成成长"),5))*(VLOOKUP($B$5,标准坦克设计!$B$24:$U$30,MATCH("对"&amp;LEFT($C$5,2)&amp;"输出",标准坦克设计!$B$23:$U$23,0)))*(VLOOKUP($B164,INDIRECT($B$5&amp;"生成成长"),3))*(VLOOKUP($B$5,标准坦克设计!$B$14:$K$20,9)/30))</f>
        <v>5.7028484809476705</v>
      </c>
      <c r="W164" s="172">
        <f ca="1">(VLOOKUP(W$72,INDIRECT($C$5&amp;"生成成长"),2))/((VLOOKUP($B164,INDIRECT($B$5&amp;"生成成长"),4))/(VLOOKUP(W$72,INDIRECT($C$5&amp;"生成成长"),5))*(VLOOKUP($B$5,标准坦克设计!$B$24:$U$30,MATCH("对"&amp;LEFT($C$5,2)&amp;"输出",标准坦克设计!$B$23:$U$23,0)))*(VLOOKUP($B164,INDIRECT($B$5&amp;"生成成长"),3))*(VLOOKUP($B$5,标准坦克设计!$B$14:$K$20,9)/30))</f>
        <v>6.2120409801066563</v>
      </c>
      <c r="X164" s="172">
        <f ca="1">(VLOOKUP(X$72,INDIRECT($C$5&amp;"生成成长"),2))/((VLOOKUP($B164,INDIRECT($B$5&amp;"生成成长"),4))/(VLOOKUP(X$72,INDIRECT($C$5&amp;"生成成长"),5))*(VLOOKUP($B$5,标准坦克设计!$B$24:$U$30,MATCH("对"&amp;LEFT($C$5,2)&amp;"输出",标准坦克设计!$B$23:$U$23,0)))*(VLOOKUP($B164,INDIRECT($B$5&amp;"生成成长"),3))*(VLOOKUP($B$5,标准坦克设计!$B$14:$K$20,9)/30))</f>
        <v>4.5004876232080431</v>
      </c>
      <c r="Y164" s="172">
        <f ca="1">(VLOOKUP(Y$72,INDIRECT($C$5&amp;"生成成长"),2))/((VLOOKUP($B164,INDIRECT($B$5&amp;"生成成长"),4))/(VLOOKUP(Y$72,INDIRECT($C$5&amp;"生成成长"),5))*(VLOOKUP($B$5,标准坦克设计!$B$24:$U$30,MATCH("对"&amp;LEFT($C$5,2)&amp;"输出",标准坦克设计!$B$23:$U$23,0)))*(VLOOKUP($B164,INDIRECT($B$5&amp;"生成成长"),3))*(VLOOKUP($B$5,标准坦克设计!$B$14:$K$20,9)/30))</f>
        <v>5.0057828981718293</v>
      </c>
      <c r="Z164" s="172">
        <f ca="1">(VLOOKUP(Z$72,INDIRECT($C$5&amp;"生成成长"),2))/((VLOOKUP($B164,INDIRECT($B$5&amp;"生成成长"),4))/(VLOOKUP(Z$72,INDIRECT($C$5&amp;"生成成长"),5))*(VLOOKUP($B$5,标准坦克设计!$B$24:$U$30,MATCH("对"&amp;LEFT($C$5,2)&amp;"输出",标准坦克设计!$B$23:$U$23,0)))*(VLOOKUP($B164,INDIRECT($B$5&amp;"生成成长"),3))*(VLOOKUP($B$5,标准坦克设计!$B$14:$K$20,9)/30))</f>
        <v>5.5379555813783705</v>
      </c>
      <c r="AA164" s="172">
        <f ca="1">(VLOOKUP(AA$72,INDIRECT($C$5&amp;"生成成长"),2))/((VLOOKUP($B164,INDIRECT($B$5&amp;"生成成长"),4))/(VLOOKUP(AA$72,INDIRECT($C$5&amp;"生成成长"),5))*(VLOOKUP($B$5,标准坦克设计!$B$24:$U$30,MATCH("对"&amp;LEFT($C$5,2)&amp;"输出",标准坦克设计!$B$23:$U$23,0)))*(VLOOKUP($B164,INDIRECT($B$5&amp;"生成成长"),3))*(VLOOKUP($B$5,标准坦克设计!$B$14:$K$20,9)/30))</f>
        <v>6.0970056728276667</v>
      </c>
      <c r="AB164" s="172">
        <f ca="1">(VLOOKUP(AB$72,INDIRECT($C$5&amp;"生成成长"),2))/((VLOOKUP($B164,INDIRECT($B$5&amp;"生成成长"),4))/(VLOOKUP(AB$72,INDIRECT($C$5&amp;"生成成长"),5))*(VLOOKUP($B$5,标准坦克设计!$B$24:$U$30,MATCH("对"&amp;LEFT($C$5,2)&amp;"输出",标准坦克设计!$B$23:$U$23,0)))*(VLOOKUP($B164,INDIRECT($B$5&amp;"生成成长"),3))*(VLOOKUP($B$5,标准坦克设计!$B$14:$K$20,9)/30))</f>
        <v>6.6829331725197161</v>
      </c>
      <c r="AC164" s="172">
        <f ca="1">(VLOOKUP(AC$72,INDIRECT($C$5&amp;"生成成长"),2))/((VLOOKUP($B164,INDIRECT($B$5&amp;"生成成长"),4))/(VLOOKUP(AC$72,INDIRECT($C$5&amp;"生成成长"),5))*(VLOOKUP($B$5,标准坦克设计!$B$24:$U$30,MATCH("对"&amp;LEFT($C$5,2)&amp;"输出",标准坦克设计!$B$23:$U$23,0)))*(VLOOKUP($B164,INDIRECT($B$5&amp;"生成成长"),3))*(VLOOKUP($B$5,标准坦克设计!$B$14:$K$20,9)/30))</f>
        <v>7.2957380804545204</v>
      </c>
      <c r="AD164" s="172">
        <f ca="1">(VLOOKUP(AD$72,INDIRECT($C$5&amp;"生成成长"),2))/((VLOOKUP($B164,INDIRECT($B$5&amp;"生成成长"),4))/(VLOOKUP(AD$72,INDIRECT($C$5&amp;"生成成长"),5))*(VLOOKUP($B$5,标准坦克设计!$B$24:$U$30,MATCH("对"&amp;LEFT($C$5,2)&amp;"输出",标准坦克设计!$B$23:$U$23,0)))*(VLOOKUP($B164,INDIRECT($B$5&amp;"生成成长"),3))*(VLOOKUP($B$5,标准坦克设计!$B$14:$K$20,9)/30))</f>
        <v>7.9354203966320815</v>
      </c>
      <c r="AE164" s="172">
        <f ca="1">(VLOOKUP(AE$72,INDIRECT($C$5&amp;"生成成长"),2))/((VLOOKUP($B164,INDIRECT($B$5&amp;"生成成长"),4))/(VLOOKUP(AE$72,INDIRECT($C$5&amp;"生成成长"),5))*(VLOOKUP($B$5,标准坦克设计!$B$24:$U$30,MATCH("对"&amp;LEFT($C$5,2)&amp;"输出",标准坦克设计!$B$23:$U$23,0)))*(VLOOKUP($B164,INDIRECT($B$5&amp;"生成成长"),3))*(VLOOKUP($B$5,标准坦克设计!$B$14:$K$20,9)/30))</f>
        <v>8.6019801210523958</v>
      </c>
      <c r="AF164" s="172">
        <f ca="1">(VLOOKUP(AF$72,INDIRECT($C$5&amp;"生成成长"),2))/((VLOOKUP($B164,INDIRECT($B$5&amp;"生成成长"),4))/(VLOOKUP(AF$72,INDIRECT($C$5&amp;"生成成长"),5))*(VLOOKUP($B$5,标准坦克设计!$B$24:$U$30,MATCH("对"&amp;LEFT($C$5,2)&amp;"输出",标准坦克设计!$B$23:$U$23,0)))*(VLOOKUP($B164,INDIRECT($B$5&amp;"生成成长"),3))*(VLOOKUP($B$5,标准坦克设计!$B$14:$K$20,9)/30))</f>
        <v>9.2954172537154633</v>
      </c>
      <c r="AG164" s="172">
        <f ca="1">(VLOOKUP(AG$72,INDIRECT($C$5&amp;"生成成长"),2))/((VLOOKUP($B164,INDIRECT($B$5&amp;"生成成长"),4))/(VLOOKUP(AG$72,INDIRECT($C$5&amp;"生成成长"),5))*(VLOOKUP($B$5,标准坦克设计!$B$24:$U$30,MATCH("对"&amp;LEFT($C$5,2)&amp;"输出",标准坦克设计!$B$23:$U$23,0)))*(VLOOKUP($B164,INDIRECT($B$5&amp;"生成成长"),3))*(VLOOKUP($B$5,标准坦克设计!$B$14:$K$20,9)/30))</f>
        <v>10.015731794621287</v>
      </c>
      <c r="AH164" s="172">
        <f ca="1">(VLOOKUP(AH$72,INDIRECT($C$5&amp;"生成成长"),2))/((VLOOKUP($B164,INDIRECT($B$5&amp;"生成成长"),4))/(VLOOKUP(AH$72,INDIRECT($C$5&amp;"生成成长"),5))*(VLOOKUP($B$5,标准坦克设计!$B$24:$U$30,MATCH("对"&amp;LEFT($C$5,2)&amp;"输出",标准坦克设计!$B$23:$U$23,0)))*(VLOOKUP($B164,INDIRECT($B$5&amp;"生成成长"),3))*(VLOOKUP($B$5,标准坦克设计!$B$14:$K$20,9)/30))</f>
        <v>10.762923743769862</v>
      </c>
      <c r="AI164" s="172">
        <f ca="1">(VLOOKUP(AI$72,INDIRECT($C$5&amp;"生成成长"),2))/((VLOOKUP($B164,INDIRECT($B$5&amp;"生成成长"),4))/(VLOOKUP(AI$72,INDIRECT($C$5&amp;"生成成长"),5))*(VLOOKUP($B$5,标准坦克设计!$B$24:$U$30,MATCH("对"&amp;LEFT($C$5,2)&amp;"输出",标准坦克设计!$B$23:$U$23,0)))*(VLOOKUP($B164,INDIRECT($B$5&amp;"生成成长"),3))*(VLOOKUP($B$5,标准坦克设计!$B$14:$K$20,9)/30))</f>
        <v>7.6122195625129558</v>
      </c>
      <c r="AJ164" s="172">
        <f ca="1">(VLOOKUP(AJ$72,INDIRECT($C$5&amp;"生成成长"),2))/((VLOOKUP($B164,INDIRECT($B$5&amp;"生成成长"),4))/(VLOOKUP(AJ$72,INDIRECT($C$5&amp;"生成成长"),5))*(VLOOKUP($B$5,标准坦克设计!$B$24:$U$30,MATCH("对"&amp;LEFT($C$5,2)&amp;"输出",标准坦克设计!$B$23:$U$23,0)))*(VLOOKUP($B164,INDIRECT($B$5&amp;"生成成长"),3))*(VLOOKUP($B$5,标准坦克设计!$B$14:$K$20,9)/30))</f>
        <v>8.3321309422951373</v>
      </c>
      <c r="AK164" s="172">
        <f ca="1">(VLOOKUP(AK$72,INDIRECT($C$5&amp;"生成成长"),2))/((VLOOKUP($B164,INDIRECT($B$5&amp;"生成成长"),4))/(VLOOKUP(AK$72,INDIRECT($C$5&amp;"生成成长"),5))*(VLOOKUP($B$5,标准坦克设计!$B$24:$U$30,MATCH("对"&amp;LEFT($C$5,2)&amp;"输出",标准坦克设计!$B$23:$U$23,0)))*(VLOOKUP($B164,INDIRECT($B$5&amp;"生成成长"),3))*(VLOOKUP($B$5,标准坦克设计!$B$14:$K$20,9)/30))</f>
        <v>9.0845639860510534</v>
      </c>
      <c r="AL164" s="172">
        <f ca="1">(VLOOKUP(AL$72,INDIRECT($C$5&amp;"生成成长"),2))/((VLOOKUP($B164,INDIRECT($B$5&amp;"生成成长"),4))/(VLOOKUP(AL$72,INDIRECT($C$5&amp;"生成成长"),5))*(VLOOKUP($B$5,标准坦克设计!$B$24:$U$30,MATCH("对"&amp;LEFT($C$5,2)&amp;"输出",标准坦克设计!$B$23:$U$23,0)))*(VLOOKUP($B164,INDIRECT($B$5&amp;"生成成长"),3))*(VLOOKUP($B$5,标准坦克设计!$B$14:$K$20,9)/30))</f>
        <v>9.8695186937807016</v>
      </c>
      <c r="AM164" s="172">
        <f ca="1">(VLOOKUP(AM$72,INDIRECT($C$5&amp;"生成成长"),2))/((VLOOKUP($B164,INDIRECT($B$5&amp;"生成成长"),4))/(VLOOKUP(AM$72,INDIRECT($C$5&amp;"生成成长"),5))*(VLOOKUP($B$5,标准坦克设计!$B$24:$U$30,MATCH("对"&amp;LEFT($C$5,2)&amp;"输出",标准坦克设计!$B$23:$U$23,0)))*(VLOOKUP($B164,INDIRECT($B$5&amp;"生成成长"),3))*(VLOOKUP($B$5,标准坦克设计!$B$14:$K$20,9)/30))</f>
        <v>10.686995065484082</v>
      </c>
      <c r="AN164" s="172">
        <f ca="1">(VLOOKUP(AN$72,INDIRECT($C$5&amp;"生成成长"),2))/((VLOOKUP($B164,INDIRECT($B$5&amp;"生成成长"),4))/(VLOOKUP(AN$72,INDIRECT($C$5&amp;"生成成长"),5))*(VLOOKUP($B$5,标准坦克设计!$B$24:$U$30,MATCH("对"&amp;LEFT($C$5,2)&amp;"输出",标准坦克设计!$B$23:$U$23,0)))*(VLOOKUP($B164,INDIRECT($B$5&amp;"生成成长"),3))*(VLOOKUP($B$5,标准坦克设计!$B$14:$K$20,9)/30))</f>
        <v>11.536993101161197</v>
      </c>
      <c r="AO164" s="172">
        <f ca="1">(VLOOKUP(AO$72,INDIRECT($C$5&amp;"生成成长"),2))/((VLOOKUP($B164,INDIRECT($B$5&amp;"生成成长"),4))/(VLOOKUP(AO$72,INDIRECT($C$5&amp;"生成成长"),5))*(VLOOKUP($B$5,标准坦克设计!$B$24:$U$30,MATCH("对"&amp;LEFT($C$5,2)&amp;"输出",标准坦克设计!$B$23:$U$23,0)))*(VLOOKUP($B164,INDIRECT($B$5&amp;"生成成长"),3))*(VLOOKUP($B$5,标准坦克设计!$B$14:$K$20,9)/30))</f>
        <v>12.419512800812045</v>
      </c>
      <c r="AP164" s="172">
        <f ca="1">(VLOOKUP(AP$72,INDIRECT($C$5&amp;"生成成长"),2))/((VLOOKUP($B164,INDIRECT($B$5&amp;"生成成长"),4))/(VLOOKUP(AP$72,INDIRECT($C$5&amp;"生成成长"),5))*(VLOOKUP($B$5,标准坦克设计!$B$24:$U$30,MATCH("对"&amp;LEFT($C$5,2)&amp;"输出",标准坦克设计!$B$23:$U$23,0)))*(VLOOKUP($B164,INDIRECT($B$5&amp;"生成成长"),3))*(VLOOKUP($B$5,标准坦克设计!$B$14:$K$20,9)/30))</f>
        <v>13.334554164436623</v>
      </c>
      <c r="AQ164" s="172">
        <f ca="1">(VLOOKUP(AQ$72,INDIRECT($C$5&amp;"生成成长"),2))/((VLOOKUP($B164,INDIRECT($B$5&amp;"生成成长"),4))/(VLOOKUP(AQ$72,INDIRECT($C$5&amp;"生成成长"),5))*(VLOOKUP($B$5,标准坦克设计!$B$24:$U$30,MATCH("对"&amp;LEFT($C$5,2)&amp;"输出",标准坦克设计!$B$23:$U$23,0)))*(VLOOKUP($B164,INDIRECT($B$5&amp;"生成成长"),3))*(VLOOKUP($B$5,标准坦克设计!$B$14:$K$20,9)/30))</f>
        <v>14.282117192034935</v>
      </c>
      <c r="AR164" s="172">
        <f ca="1">(VLOOKUP(AR$72,INDIRECT($C$5&amp;"生成成长"),2))/((VLOOKUP($B164,INDIRECT($B$5&amp;"生成成长"),4))/(VLOOKUP(AR$72,INDIRECT($C$5&amp;"生成成长"),5))*(VLOOKUP($B$5,标准坦克设计!$B$24:$U$30,MATCH("对"&amp;LEFT($C$5,2)&amp;"输出",标准坦克设计!$B$23:$U$23,0)))*(VLOOKUP($B164,INDIRECT($B$5&amp;"生成成长"),3))*(VLOOKUP($B$5,标准坦克设计!$B$14:$K$20,9)/30))</f>
        <v>15.262201883606984</v>
      </c>
      <c r="AS164" s="172">
        <f ca="1">(VLOOKUP(AS$72,INDIRECT($C$5&amp;"生成成长"),2))/((VLOOKUP($B164,INDIRECT($B$5&amp;"生成成长"),4))/(VLOOKUP(AS$72,INDIRECT($C$5&amp;"生成成长"),5))*(VLOOKUP($B$5,标准坦克设计!$B$24:$U$30,MATCH("对"&amp;LEFT($C$5,2)&amp;"输出",标准坦克设计!$B$23:$U$23,0)))*(VLOOKUP($B164,INDIRECT($B$5&amp;"生成成长"),3))*(VLOOKUP($B$5,标准坦克设计!$B$14:$K$20,9)/30))</f>
        <v>16.274808239152762</v>
      </c>
      <c r="AT164" s="172">
        <f ca="1">(VLOOKUP(AT$72,INDIRECT($C$5&amp;"生成成长"),2))/((VLOOKUP($B164,INDIRECT($B$5&amp;"生成成长"),4))/(VLOOKUP(AT$72,INDIRECT($C$5&amp;"生成成长"),5))*(VLOOKUP($B$5,标准坦克设计!$B$24:$U$30,MATCH("对"&amp;LEFT($C$5,2)&amp;"输出",标准坦克设计!$B$23:$U$23,0)))*(VLOOKUP($B164,INDIRECT($B$5&amp;"生成成长"),3))*(VLOOKUP($B$5,标准坦克设计!$B$14:$K$20,9)/30))</f>
        <v>17.319936258672275</v>
      </c>
      <c r="AU164" s="172">
        <f ca="1">(VLOOKUP(AU$72,INDIRECT($C$5&amp;"生成成长"),2))/((VLOOKUP($B164,INDIRECT($B$5&amp;"生成成长"),4))/(VLOOKUP(AU$72,INDIRECT($C$5&amp;"生成成长"),5))*(VLOOKUP($B$5,标准坦克设计!$B$24:$U$30,MATCH("对"&amp;LEFT($C$5,2)&amp;"输出",标准坦克设计!$B$23:$U$23,0)))*(VLOOKUP($B164,INDIRECT($B$5&amp;"生成成长"),3))*(VLOOKUP($B$5,标准坦克设计!$B$14:$K$20,9)/30))</f>
        <v>18.397585942165524</v>
      </c>
      <c r="AV164" s="172">
        <f ca="1">(VLOOKUP(AV$72,INDIRECT($C$5&amp;"生成成长"),2))/((VLOOKUP($B164,INDIRECT($B$5&amp;"生成成长"),4))/(VLOOKUP(AV$72,INDIRECT($C$5&amp;"生成成长"),5))*(VLOOKUP($B$5,标准坦克设计!$B$24:$U$30,MATCH("对"&amp;LEFT($C$5,2)&amp;"输出",标准坦克设计!$B$23:$U$23,0)))*(VLOOKUP($B164,INDIRECT($B$5&amp;"生成成长"),3))*(VLOOKUP($B$5,标准坦克设计!$B$14:$K$20,9)/30))</f>
        <v>1.871205161860575</v>
      </c>
      <c r="AW164" s="172">
        <f ca="1">(VLOOKUP(AW$72,INDIRECT($C$5&amp;"生成成长"),2))/((VLOOKUP($B164,INDIRECT($B$5&amp;"生成成长"),4))/(VLOOKUP(AW$72,INDIRECT($C$5&amp;"生成成长"),5))*(VLOOKUP($B$5,标准坦克设计!$B$24:$U$30,MATCH("对"&amp;LEFT($C$5,2)&amp;"输出",标准坦克设计!$B$23:$U$23,0)))*(VLOOKUP($B164,INDIRECT($B$5&amp;"生成成长"),3))*(VLOOKUP($B$5,标准坦克设计!$B$14:$K$20,9)/30))</f>
        <v>2.1335286663098598</v>
      </c>
      <c r="AX164" s="172">
        <f ca="1">(VLOOKUP(AX$72,INDIRECT($C$5&amp;"生成成长"),2))/((VLOOKUP($B164,INDIRECT($B$5&amp;"生成成长"),4))/(VLOOKUP(AX$72,INDIRECT($C$5&amp;"生成成长"),5))*(VLOOKUP($B$5,标准坦克设计!$B$24:$U$30,MATCH("对"&amp;LEFT($C$5,2)&amp;"输出",标准坦克设计!$B$23:$U$23,0)))*(VLOOKUP($B164,INDIRECT($B$5&amp;"生成成长"),3))*(VLOOKUP($B$5,标准坦克设计!$B$14:$K$20,9)/30))</f>
        <v>2.4130537120345075</v>
      </c>
      <c r="AY164" s="172">
        <f ca="1">(VLOOKUP(AY$72,INDIRECT($C$5&amp;"生成成长"),2))/((VLOOKUP($B164,INDIRECT($B$5&amp;"生成成长"),4))/(VLOOKUP(AY$72,INDIRECT($C$5&amp;"生成成长"),5))*(VLOOKUP($B$5,标准坦克设计!$B$24:$U$30,MATCH("对"&amp;LEFT($C$5,2)&amp;"输出",标准坦克设计!$B$23:$U$23,0)))*(VLOOKUP($B164,INDIRECT($B$5&amp;"生成成长"),3))*(VLOOKUP($B$5,标准坦克设计!$B$14:$K$20,9)/30))</f>
        <v>2.7097802990345183</v>
      </c>
      <c r="AZ164" s="172">
        <f ca="1">(VLOOKUP(AZ$72,INDIRECT($C$5&amp;"生成成长"),2))/((VLOOKUP($B164,INDIRECT($B$5&amp;"生成成长"),4))/(VLOOKUP(AZ$72,INDIRECT($C$5&amp;"生成成长"),5))*(VLOOKUP($B$5,标准坦克设计!$B$24:$U$30,MATCH("对"&amp;LEFT($C$5,2)&amp;"输出",标准坦克设计!$B$23:$U$23,0)))*(VLOOKUP($B164,INDIRECT($B$5&amp;"生成成长"),3))*(VLOOKUP($B$5,标准坦克设计!$B$14:$K$20,9)/30))</f>
        <v>3.0237084273098915</v>
      </c>
      <c r="BA164" s="172">
        <f ca="1">(VLOOKUP(BA$72,INDIRECT($C$5&amp;"生成成长"),2))/((VLOOKUP($B164,INDIRECT($B$5&amp;"生成成长"),4))/(VLOOKUP(BA$72,INDIRECT($C$5&amp;"生成成长"),5))*(VLOOKUP($B$5,标准坦克设计!$B$24:$U$30,MATCH("对"&amp;LEFT($C$5,2)&amp;"输出",标准坦克设计!$B$23:$U$23,0)))*(VLOOKUP($B164,INDIRECT($B$5&amp;"生成成长"),3))*(VLOOKUP($B$5,标准坦克设计!$B$14:$K$20,9)/30))</f>
        <v>3.3548380968606288</v>
      </c>
      <c r="BB164" s="172">
        <f ca="1">(VLOOKUP(BB$72,INDIRECT($C$5&amp;"生成成长"),2))/((VLOOKUP($B164,INDIRECT($B$5&amp;"生成成长"),4))/(VLOOKUP(BB$72,INDIRECT($C$5&amp;"生成成长"),5))*(VLOOKUP($B$5,标准坦克设计!$B$24:$U$30,MATCH("对"&amp;LEFT($C$5,2)&amp;"输出",标准坦克设计!$B$23:$U$23,0)))*(VLOOKUP($B164,INDIRECT($B$5&amp;"生成成长"),3))*(VLOOKUP($B$5,标准坦克设计!$B$14:$K$20,9)/30))</f>
        <v>3.703169307686728</v>
      </c>
      <c r="BC164" s="172">
        <f ca="1">(VLOOKUP(BC$72,INDIRECT($C$5&amp;"生成成长"),2))/((VLOOKUP($B164,INDIRECT($B$5&amp;"生成成长"),4))/(VLOOKUP(BC$72,INDIRECT($C$5&amp;"生成成长"),5))*(VLOOKUP($B$5,标准坦克设计!$B$24:$U$30,MATCH("对"&amp;LEFT($C$5,2)&amp;"输出",标准坦克设计!$B$23:$U$23,0)))*(VLOOKUP($B164,INDIRECT($B$5&amp;"生成成长"),3))*(VLOOKUP($B$5,标准坦克设计!$B$14:$K$20,9)/30))</f>
        <v>4.0687020597881904</v>
      </c>
      <c r="BD164" s="172">
        <f ca="1">(VLOOKUP(BD$72,INDIRECT($C$5&amp;"生成成长"),2))/((VLOOKUP($B164,INDIRECT($B$5&amp;"生成成长"),4))/(VLOOKUP(BD$72,INDIRECT($C$5&amp;"生成成长"),5))*(VLOOKUP($B$5,标准坦克设计!$B$24:$U$30,MATCH("对"&amp;LEFT($C$5,2)&amp;"输出",标准坦克设计!$B$23:$U$23,0)))*(VLOOKUP($B164,INDIRECT($B$5&amp;"生成成长"),3))*(VLOOKUP($B$5,标准坦克设计!$B$14:$K$20,9)/30))</f>
        <v>4.5004876232080431</v>
      </c>
      <c r="BE164" s="172">
        <f ca="1">(VLOOKUP(BE$72,INDIRECT($C$5&amp;"生成成长"),2))/((VLOOKUP($B164,INDIRECT($B$5&amp;"生成成长"),4))/(VLOOKUP(BE$72,INDIRECT($C$5&amp;"生成成长"),5))*(VLOOKUP($B$5,标准坦克设计!$B$24:$U$30,MATCH("对"&amp;LEFT($C$5,2)&amp;"输出",标准坦克设计!$B$23:$U$23,0)))*(VLOOKUP($B164,INDIRECT($B$5&amp;"生成成长"),3))*(VLOOKUP($B$5,标准坦克设计!$B$14:$K$20,9)/30))</f>
        <v>4.9540438873045272</v>
      </c>
      <c r="BF164" s="172">
        <f ca="1">(VLOOKUP(BF$72,INDIRECT($C$5&amp;"生成成长"),2))/((VLOOKUP($B164,INDIRECT($B$5&amp;"生成成长"),4))/(VLOOKUP(BF$72,INDIRECT($C$5&amp;"生成成长"),5))*(VLOOKUP($B$5,标准坦克设计!$B$24:$U$30,MATCH("对"&amp;LEFT($C$5,2)&amp;"输出",标准坦克设计!$B$23:$U$23,0)))*(VLOOKUP($B164,INDIRECT($B$5&amp;"生成成长"),3))*(VLOOKUP($B$5,标准坦克设计!$B$14:$K$20,9)/30))</f>
        <v>5.4293708520776418</v>
      </c>
      <c r="BG164" s="172">
        <f ca="1">(VLOOKUP(BG$72,INDIRECT($C$5&amp;"生成成长"),2))/((VLOOKUP($B164,INDIRECT($B$5&amp;"生成成长"),4))/(VLOOKUP(BG$72,INDIRECT($C$5&amp;"生成成长"),5))*(VLOOKUP($B$5,标准坦克设计!$B$24:$U$30,MATCH("对"&amp;LEFT($C$5,2)&amp;"输出",标准坦克设计!$B$23:$U$23,0)))*(VLOOKUP($B164,INDIRECT($B$5&amp;"生成成长"),3))*(VLOOKUP($B$5,标准坦克设计!$B$14:$K$20,9)/30))</f>
        <v>5.9264685175273879</v>
      </c>
      <c r="BH164" s="172">
        <f ca="1">(VLOOKUP(BH$72,INDIRECT($C$5&amp;"生成成长"),2))/((VLOOKUP($B164,INDIRECT($B$5&amp;"生成成长"),4))/(VLOOKUP(BH$72,INDIRECT($C$5&amp;"生成成长"),5))*(VLOOKUP($B$5,标准坦克设计!$B$24:$U$30,MATCH("对"&amp;LEFT($C$5,2)&amp;"输出",标准坦克设计!$B$23:$U$23,0)))*(VLOOKUP($B164,INDIRECT($B$5&amp;"生成成长"),3))*(VLOOKUP($B$5,标准坦克设计!$B$14:$K$20,9)/30))</f>
        <v>2.8645941705127846</v>
      </c>
      <c r="BI164" s="172">
        <f ca="1">(VLOOKUP(BI$72,INDIRECT($C$5&amp;"生成成长"),2))/((VLOOKUP($B164,INDIRECT($B$5&amp;"生成成长"),4))/(VLOOKUP(BI$72,INDIRECT($C$5&amp;"生成成长"),5))*(VLOOKUP($B$5,标准坦克设计!$B$24:$U$30,MATCH("对"&amp;LEFT($C$5,2)&amp;"输出",标准坦克设计!$B$23:$U$23,0)))*(VLOOKUP($B164,INDIRECT($B$5&amp;"生成成长"),3))*(VLOOKUP($B$5,标准坦克设计!$B$14:$K$20,9)/30))</f>
        <v>3.2286486651608954</v>
      </c>
      <c r="BJ164" s="172">
        <f ca="1">(VLOOKUP(BJ$72,INDIRECT($C$5&amp;"生成成长"),2))/((VLOOKUP($B164,INDIRECT($B$5&amp;"生成成长"),4))/(VLOOKUP(BJ$72,INDIRECT($C$5&amp;"生成成长"),5))*(VLOOKUP($B$5,标准坦克设计!$B$24:$U$30,MATCH("对"&amp;LEFT($C$5,2)&amp;"输出",标准坦克设计!$B$23:$U$23,0)))*(VLOOKUP($B164,INDIRECT($B$5&amp;"生成成长"),3))*(VLOOKUP($B$5,标准坦克设计!$B$14:$K$20,9)/30))</f>
        <v>3.6144738604856381</v>
      </c>
      <c r="BK164" s="172">
        <f ca="1">(VLOOKUP(BK$72,INDIRECT($C$5&amp;"生成成长"),2))/((VLOOKUP($B164,INDIRECT($B$5&amp;"生成成长"),4))/(VLOOKUP(BK$72,INDIRECT($C$5&amp;"生成成长"),5))*(VLOOKUP($B$5,标准坦克设计!$B$24:$U$30,MATCH("对"&amp;LEFT($C$5,2)&amp;"输出",标准坦克设计!$B$23:$U$23,0)))*(VLOOKUP($B164,INDIRECT($B$5&amp;"生成成长"),3))*(VLOOKUP($B$5,标准坦克设计!$B$14:$K$20,9)/30))</f>
        <v>4.0220697564870109</v>
      </c>
      <c r="BL164" s="172">
        <f ca="1">(VLOOKUP(BL$72,INDIRECT($C$5&amp;"生成成长"),2))/((VLOOKUP($B164,INDIRECT($B$5&amp;"生成成长"),4))/(VLOOKUP(BL$72,INDIRECT($C$5&amp;"生成成长"),5))*(VLOOKUP($B$5,标准坦克设计!$B$24:$U$30,MATCH("对"&amp;LEFT($C$5,2)&amp;"输出",标准坦克设计!$B$23:$U$23,0)))*(VLOOKUP($B164,INDIRECT($B$5&amp;"生成成长"),3))*(VLOOKUP($B$5,标准坦克设计!$B$14:$K$20,9)/30))</f>
        <v>4.4514363531650156</v>
      </c>
      <c r="BM164" s="172">
        <f ca="1">(VLOOKUP(BM$72,INDIRECT($C$5&amp;"生成成长"),2))/((VLOOKUP($B164,INDIRECT($B$5&amp;"生成成长"),4))/(VLOOKUP(BM$72,INDIRECT($C$5&amp;"生成成长"),5))*(VLOOKUP($B$5,标准坦克设计!$B$24:$U$30,MATCH("对"&amp;LEFT($C$5,2)&amp;"输出",标准坦克设计!$B$23:$U$23,0)))*(VLOOKUP($B164,INDIRECT($B$5&amp;"生成成长"),3))*(VLOOKUP($B$5,标准坦克设计!$B$14:$K$20,9)/30))</f>
        <v>4.9025736505196518</v>
      </c>
      <c r="BN164" s="172">
        <f ca="1">(VLOOKUP(BN$72,INDIRECT($C$5&amp;"生成成长"),2))/((VLOOKUP($B164,INDIRECT($B$5&amp;"生成成长"),4))/(VLOOKUP(BN$72,INDIRECT($C$5&amp;"生成成长"),5))*(VLOOKUP($B$5,标准坦克设计!$B$24:$U$30,MATCH("对"&amp;LEFT($C$5,2)&amp;"输出",标准坦克设计!$B$23:$U$23,0)))*(VLOOKUP($B164,INDIRECT($B$5&amp;"生成成长"),3))*(VLOOKUP($B$5,标准坦克设计!$B$14:$K$20,9)/30))</f>
        <v>5.3754816485509194</v>
      </c>
      <c r="BO164" s="172">
        <f ca="1">(VLOOKUP(BO$72,INDIRECT($C$5&amp;"生成成长"),2))/((VLOOKUP($B164,INDIRECT($B$5&amp;"生成成长"),4))/(VLOOKUP(BO$72,INDIRECT($C$5&amp;"生成成长"),5))*(VLOOKUP($B$5,标准坦克设计!$B$24:$U$30,MATCH("对"&amp;LEFT($C$5,2)&amp;"输出",标准坦克设计!$B$23:$U$23,0)))*(VLOOKUP($B164,INDIRECT($B$5&amp;"生成成长"),3))*(VLOOKUP($B$5,标准坦克设计!$B$14:$K$20,9)/30))</f>
        <v>5.8701603472588175</v>
      </c>
      <c r="BP164" s="172">
        <f ca="1">(VLOOKUP(BP$72,INDIRECT($C$5&amp;"生成成长"),2))/((VLOOKUP($B164,INDIRECT($B$5&amp;"生成成长"),4))/(VLOOKUP(BP$72,INDIRECT($C$5&amp;"生成成长"),5))*(VLOOKUP($B$5,标准坦克设计!$B$24:$U$30,MATCH("对"&amp;LEFT($C$5,2)&amp;"输出",标准坦克设计!$B$23:$U$23,0)))*(VLOOKUP($B164,INDIRECT($B$5&amp;"生成成长"),3))*(VLOOKUP($B$5,标准坦克设计!$B$14:$K$20,9)/30))</f>
        <v>6.3866097466433471</v>
      </c>
      <c r="BQ164" s="172">
        <f ca="1">(VLOOKUP(BQ$72,INDIRECT($C$5&amp;"生成成长"),2))/((VLOOKUP($B164,INDIRECT($B$5&amp;"生成成长"),4))/(VLOOKUP(BQ$72,INDIRECT($C$5&amp;"生成成长"),5))*(VLOOKUP($B$5,标准坦克设计!$B$24:$U$30,MATCH("对"&amp;LEFT($C$5,2)&amp;"输出",标准坦克设计!$B$23:$U$23,0)))*(VLOOKUP($B164,INDIRECT($B$5&amp;"生成成长"),3))*(VLOOKUP($B$5,标准坦克设计!$B$14:$K$20,9)/30))</f>
        <v>6.9248298467045073</v>
      </c>
      <c r="BR164" s="172">
        <f ca="1">(VLOOKUP(BR$72,INDIRECT($C$5&amp;"生成成长"),2))/((VLOOKUP($B164,INDIRECT($B$5&amp;"生成成长"),4))/(VLOOKUP(BR$72,INDIRECT($C$5&amp;"生成成长"),5))*(VLOOKUP($B$5,标准坦克设计!$B$24:$U$30,MATCH("对"&amp;LEFT($C$5,2)&amp;"输出",标准坦克设计!$B$23:$U$23,0)))*(VLOOKUP($B164,INDIRECT($B$5&amp;"生成成长"),3))*(VLOOKUP($B$5,标准坦克设计!$B$14:$K$20,9)/30))</f>
        <v>7.5483857179364149</v>
      </c>
      <c r="BS164" s="172">
        <f ca="1">(VLOOKUP(BS$72,INDIRECT($C$5&amp;"生成成长"),2))/((VLOOKUP($B164,INDIRECT($B$5&amp;"生成成长"),4))/(VLOOKUP(BS$72,INDIRECT($C$5&amp;"生成成长"),5))*(VLOOKUP($B$5,标准坦克设计!$B$24:$U$30,MATCH("对"&amp;LEFT($C$5,2)&amp;"输出",标准坦克设计!$B$23:$U$23,0)))*(VLOOKUP($B164,INDIRECT($B$5&amp;"生成成长"),3))*(VLOOKUP($B$5,标准坦克设计!$B$14:$K$20,9)/30))</f>
        <v>8.1988189974110774</v>
      </c>
      <c r="BT164" s="172">
        <f ca="1">(VLOOKUP(BT$72,INDIRECT($C$5&amp;"生成成长"),2))/((VLOOKUP($B164,INDIRECT($B$5&amp;"生成成长"),4))/(VLOOKUP(BT$72,INDIRECT($C$5&amp;"生成成长"),5))*(VLOOKUP($B$5,标准坦克设计!$B$24:$U$30,MATCH("对"&amp;LEFT($C$5,2)&amp;"输出",标准坦克设计!$B$23:$U$23,0)))*(VLOOKUP($B164,INDIRECT($B$5&amp;"生成成长"),3))*(VLOOKUP($B$5,标准坦克设计!$B$14:$K$20,9)/30))</f>
        <v>8.8761296851284914</v>
      </c>
      <c r="BU164" s="172">
        <f ca="1">(VLOOKUP(BU$72,INDIRECT($C$5&amp;"生成成长"),2))/((VLOOKUP($B164,INDIRECT($B$5&amp;"生成成长"),4))/(VLOOKUP(BU$72,INDIRECT($C$5&amp;"生成成长"),5))*(VLOOKUP($B$5,标准坦克设计!$B$24:$U$30,MATCH("对"&amp;LEFT($C$5,2)&amp;"输出",标准坦克设计!$B$23:$U$23,0)))*(VLOOKUP($B164,INDIRECT($B$5&amp;"生成成长"),3))*(VLOOKUP($B$5,标准坦克设计!$B$14:$K$20,9)/30))</f>
        <v>9.5803177810886613</v>
      </c>
      <c r="BV164" s="172">
        <f ca="1">(VLOOKUP(BV$72,INDIRECT($C$5&amp;"生成成长"),2))/((VLOOKUP($B164,INDIRECT($B$5&amp;"生成成长"),4))/(VLOOKUP(BV$72,INDIRECT($C$5&amp;"生成成长"),5))*(VLOOKUP($B$5,标准坦克设计!$B$24:$U$30,MATCH("对"&amp;LEFT($C$5,2)&amp;"输出",标准坦克设计!$B$23:$U$23,0)))*(VLOOKUP($B164,INDIRECT($B$5&amp;"生成成长"),3))*(VLOOKUP($B$5,标准坦克设计!$B$14:$K$20,9)/30))</f>
        <v>10.311383285291587</v>
      </c>
      <c r="BW164" s="172">
        <f ca="1">(VLOOKUP(BW$72,INDIRECT($C$5&amp;"生成成长"),2))/((VLOOKUP($B164,INDIRECT($B$5&amp;"生成成长"),4))/(VLOOKUP(BW$72,INDIRECT($C$5&amp;"生成成长"),5))*(VLOOKUP($B$5,标准坦克设计!$B$24:$U$30,MATCH("对"&amp;LEFT($C$5,2)&amp;"输出",标准坦克设计!$B$23:$U$23,0)))*(VLOOKUP($B164,INDIRECT($B$5&amp;"生成成长"),3))*(VLOOKUP($B$5,标准坦克设计!$B$14:$K$20,9)/30))</f>
        <v>4.6993804442044276</v>
      </c>
      <c r="BX164" s="172">
        <f ca="1">(VLOOKUP(BX$72,INDIRECT($C$5&amp;"生成成长"),2))/((VLOOKUP($B164,INDIRECT($B$5&amp;"生成成长"),4))/(VLOOKUP(BX$72,INDIRECT($C$5&amp;"生成成长"),5))*(VLOOKUP($B$5,标准坦克设计!$B$24:$U$30,MATCH("对"&amp;LEFT($C$5,2)&amp;"输出",标准坦克设计!$B$23:$U$23,0)))*(VLOOKUP($B164,INDIRECT($B$5&amp;"生成成长"),3))*(VLOOKUP($B$5,标准坦克设计!$B$14:$K$20,9)/30))</f>
        <v>5.2154266824653153</v>
      </c>
      <c r="BY164" s="172">
        <f ca="1">(VLOOKUP(BY$72,INDIRECT($C$5&amp;"生成成长"),2))/((VLOOKUP($B164,INDIRECT($B$5&amp;"生成成长"),4))/(VLOOKUP(BY$72,INDIRECT($C$5&amp;"生成成长"),5))*(VLOOKUP($B$5,标准坦克设计!$B$24:$U$30,MATCH("对"&amp;LEFT($C$5,2)&amp;"输出",标准坦克设计!$B$23:$U$23,0)))*(VLOOKUP($B164,INDIRECT($B$5&amp;"生成成长"),3))*(VLOOKUP($B$5,标准坦克设计!$B$14:$K$20,9)/30))</f>
        <v>5.7583503289689588</v>
      </c>
      <c r="BZ164" s="172">
        <f ca="1">(VLOOKUP(BZ$72,INDIRECT($C$5&amp;"生成成长"),2))/((VLOOKUP($B164,INDIRECT($B$5&amp;"生成成长"),4))/(VLOOKUP(BZ$72,INDIRECT($C$5&amp;"生成成长"),5))*(VLOOKUP($B$5,标准坦克设计!$B$24:$U$30,MATCH("对"&amp;LEFT($C$5,2)&amp;"输出",标准坦克设计!$B$23:$U$23,0)))*(VLOOKUP($B164,INDIRECT($B$5&amp;"生成成长"),3))*(VLOOKUP($B$5,标准坦克设计!$B$14:$K$20,9)/30))</f>
        <v>6.3281513837153556</v>
      </c>
      <c r="CA164" s="172">
        <f ca="1">(VLOOKUP(CA$72,INDIRECT($C$5&amp;"生成成长"),2))/((VLOOKUP($B164,INDIRECT($B$5&amp;"生成成长"),4))/(VLOOKUP(CA$72,INDIRECT($C$5&amp;"生成成长"),5))*(VLOOKUP($B$5,标准坦克设计!$B$24:$U$30,MATCH("对"&amp;LEFT($C$5,2)&amp;"输出",标准坦克设计!$B$23:$U$23,0)))*(VLOOKUP($B164,INDIRECT($B$5&amp;"生成成长"),3))*(VLOOKUP($B$5,标准坦克设计!$B$14:$K$20,9)/30))</f>
        <v>6.9248298467045073</v>
      </c>
      <c r="CB164" s="172">
        <f ca="1">(VLOOKUP(CB$72,INDIRECT($C$5&amp;"生成成长"),2))/((VLOOKUP($B164,INDIRECT($B$5&amp;"生成成长"),4))/(VLOOKUP(CB$72,INDIRECT($C$5&amp;"生成成长"),5))*(VLOOKUP($B$5,标准坦克设计!$B$24:$U$30,MATCH("对"&amp;LEFT($C$5,2)&amp;"输出",标准坦克设计!$B$23:$U$23,0)))*(VLOOKUP($B164,INDIRECT($B$5&amp;"生成成长"),3))*(VLOOKUP($B$5,标准坦克设计!$B$14:$K$20,9)/30))</f>
        <v>7.5483857179364149</v>
      </c>
      <c r="CC164" s="172">
        <f ca="1">(VLOOKUP(CC$72,INDIRECT($C$5&amp;"生成成长"),2))/((VLOOKUP($B164,INDIRECT($B$5&amp;"生成成长"),4))/(VLOOKUP(CC$72,INDIRECT($C$5&amp;"生成成长"),5))*(VLOOKUP($B$5,标准坦克设计!$B$24:$U$30,MATCH("对"&amp;LEFT($C$5,2)&amp;"输出",标准坦克设计!$B$23:$U$23,0)))*(VLOOKUP($B164,INDIRECT($B$5&amp;"生成成长"),3))*(VLOOKUP($B$5,标准坦克设计!$B$14:$K$20,9)/30))</f>
        <v>8.1988189974110774</v>
      </c>
      <c r="CD164" s="172">
        <f ca="1">(VLOOKUP(CD$72,INDIRECT($C$5&amp;"生成成长"),2))/((VLOOKUP($B164,INDIRECT($B$5&amp;"生成成长"),4))/(VLOOKUP(CD$72,INDIRECT($C$5&amp;"生成成长"),5))*(VLOOKUP($B$5,标准坦克设计!$B$24:$U$30,MATCH("对"&amp;LEFT($C$5,2)&amp;"输出",标准坦克设计!$B$23:$U$23,0)))*(VLOOKUP($B164,INDIRECT($B$5&amp;"生成成长"),3))*(VLOOKUP($B$5,标准坦克设计!$B$14:$K$20,9)/30))</f>
        <v>8.8761296851284914</v>
      </c>
      <c r="CE164" s="172">
        <f ca="1">(VLOOKUP(CE$72,INDIRECT($C$5&amp;"生成成长"),2))/((VLOOKUP($B164,INDIRECT($B$5&amp;"生成成长"),4))/(VLOOKUP(CE$72,INDIRECT($C$5&amp;"生成成长"),5))*(VLOOKUP($B$5,标准坦克设计!$B$24:$U$30,MATCH("对"&amp;LEFT($C$5,2)&amp;"输出",标准坦克设计!$B$23:$U$23,0)))*(VLOOKUP($B164,INDIRECT($B$5&amp;"生成成长"),3))*(VLOOKUP($B$5,标准坦克设计!$B$14:$K$20,9)/30))</f>
        <v>9.5803177810886613</v>
      </c>
      <c r="CF164" s="172">
        <f ca="1">(VLOOKUP(CF$72,INDIRECT($C$5&amp;"生成成长"),2))/((VLOOKUP($B164,INDIRECT($B$5&amp;"生成成长"),4))/(VLOOKUP(CF$72,INDIRECT($C$5&amp;"生成成长"),5))*(VLOOKUP($B$5,标准坦克设计!$B$24:$U$30,MATCH("对"&amp;LEFT($C$5,2)&amp;"输出",标准坦克设计!$B$23:$U$23,0)))*(VLOOKUP($B164,INDIRECT($B$5&amp;"生成成长"),3))*(VLOOKUP($B$5,标准坦克设计!$B$14:$K$20,9)/30))</f>
        <v>10.311383285291587</v>
      </c>
      <c r="CG164" s="172">
        <f ca="1">(VLOOKUP(CG$72,INDIRECT($C$5&amp;"生成成长"),2))/((VLOOKUP($B164,INDIRECT($B$5&amp;"生成成长"),4))/(VLOOKUP(CG$72,INDIRECT($C$5&amp;"生成成长"),5))*(VLOOKUP($B$5,标准坦克设计!$B$24:$U$30,MATCH("对"&amp;LEFT($C$5,2)&amp;"输出",标准坦克设计!$B$23:$U$23,0)))*(VLOOKUP($B164,INDIRECT($B$5&amp;"生成成长"),3))*(VLOOKUP($B$5,标准坦克设计!$B$14:$K$20,9)/30))</f>
        <v>11.069326197737269</v>
      </c>
      <c r="CH164" s="172">
        <f ca="1">(VLOOKUP(CH$72,INDIRECT($C$5&amp;"生成成长"),2))/((VLOOKUP($B164,INDIRECT($B$5&amp;"生成成长"),4))/(VLOOKUP(CH$72,INDIRECT($C$5&amp;"生成成长"),5))*(VLOOKUP($B$5,标准坦克设计!$B$24:$U$30,MATCH("对"&amp;LEFT($C$5,2)&amp;"输出",标准坦克设计!$B$23:$U$23,0)))*(VLOOKUP($B164,INDIRECT($B$5&amp;"生成成长"),3))*(VLOOKUP($B$5,标准坦克设计!$B$14:$K$20,9)/30))</f>
        <v>11.854146518425701</v>
      </c>
      <c r="CI164" s="172">
        <f ca="1">(VLOOKUP(CI$72,INDIRECT($C$5&amp;"生成成长"),2))/((VLOOKUP($B164,INDIRECT($B$5&amp;"生成成长"),4))/(VLOOKUP(CI$72,INDIRECT($C$5&amp;"生成成长"),5))*(VLOOKUP($B$5,标准坦克设计!$B$24:$U$30,MATCH("对"&amp;LEFT($C$5,2)&amp;"输出",标准坦克设计!$B$23:$U$23,0)))*(VLOOKUP($B164,INDIRECT($B$5&amp;"生成成长"),3))*(VLOOKUP($B$5,标准坦克设计!$B$14:$K$20,9)/30))</f>
        <v>12.74849227770336</v>
      </c>
      <c r="CJ164" s="172">
        <f ca="1">(VLOOKUP(CJ$72,INDIRECT($C$5&amp;"生成成长"),2))/((VLOOKUP($B164,INDIRECT($B$5&amp;"生成成长"),4))/(VLOOKUP(CJ$72,INDIRECT($C$5&amp;"生成成长"),5))*(VLOOKUP($B$5,标准坦克设计!$B$24:$U$30,MATCH("对"&amp;LEFT($C$5,2)&amp;"输出",标准坦克设计!$B$23:$U$23,0)))*(VLOOKUP($B164,INDIRECT($B$5&amp;"生成成长"),3))*(VLOOKUP($B$5,标准坦克设计!$B$14:$K$20,9)/30))</f>
        <v>13.675359700954752</v>
      </c>
      <c r="CK164" s="172">
        <f ca="1">(VLOOKUP(CK$72,INDIRECT($C$5&amp;"生成成长"),2))/((VLOOKUP($B164,INDIRECT($B$5&amp;"生成成长"),4))/(VLOOKUP(CK$72,INDIRECT($C$5&amp;"生成成长"),5))*(VLOOKUP($B$5,标准坦克设计!$B$24:$U$30,MATCH("对"&amp;LEFT($C$5,2)&amp;"输出",标准坦克设计!$B$23:$U$23,0)))*(VLOOKUP($B164,INDIRECT($B$5&amp;"生成成长"),3))*(VLOOKUP($B$5,标准坦克设计!$B$14:$K$20,9)/30))</f>
        <v>14.634748788179879</v>
      </c>
      <c r="CL164" s="172">
        <f ca="1">(VLOOKUP(CL$72,INDIRECT($C$5&amp;"生成成长"),2))/((VLOOKUP($B164,INDIRECT($B$5&amp;"生成成长"),4))/(VLOOKUP(CL$72,INDIRECT($C$5&amp;"生成成长"),5))*(VLOOKUP($B$5,标准坦克设计!$B$24:$U$30,MATCH("对"&amp;LEFT($C$5,2)&amp;"输出",标准坦克设计!$B$23:$U$23,0)))*(VLOOKUP($B164,INDIRECT($B$5&amp;"生成成长"),3))*(VLOOKUP($B$5,标准坦克设计!$B$14:$K$20,9)/30))</f>
        <v>15.626659539378734</v>
      </c>
      <c r="CM164" s="172">
        <f ca="1">(VLOOKUP(CM$72,INDIRECT($C$5&amp;"生成成长"),2))/((VLOOKUP($B164,INDIRECT($B$5&amp;"生成成长"),4))/(VLOOKUP(CM$72,INDIRECT($C$5&amp;"生成成长"),5))*(VLOOKUP($B$5,标准坦克设计!$B$24:$U$30,MATCH("对"&amp;LEFT($C$5,2)&amp;"输出",标准坦克设计!$B$23:$U$23,0)))*(VLOOKUP($B164,INDIRECT($B$5&amp;"生成成长"),3))*(VLOOKUP($B$5,标准坦克设计!$B$14:$K$20,9)/30))</f>
        <v>16.651091954551326</v>
      </c>
      <c r="CN164" s="172">
        <f ca="1">(VLOOKUP(CN$72,INDIRECT($C$5&amp;"生成成长"),2))/((VLOOKUP($B164,INDIRECT($B$5&amp;"生成成长"),4))/(VLOOKUP(CN$72,INDIRECT($C$5&amp;"生成成长"),5))*(VLOOKUP($B$5,标准坦克设计!$B$24:$U$30,MATCH("对"&amp;LEFT($C$5,2)&amp;"输出",标准坦克设计!$B$23:$U$23,0)))*(VLOOKUP($B164,INDIRECT($B$5&amp;"生成成长"),3))*(VLOOKUP($B$5,标准坦克设计!$B$14:$K$20,9)/30))</f>
        <v>17.708046033697652</v>
      </c>
      <c r="CO164" s="172">
        <f ca="1">(VLOOKUP(CO$72,INDIRECT($C$5&amp;"生成成长"),2))/((VLOOKUP($B164,INDIRECT($B$5&amp;"生成成长"),4))/(VLOOKUP(CO$72,INDIRECT($C$5&amp;"生成成长"),5))*(VLOOKUP($B$5,标准坦克设计!$B$24:$U$30,MATCH("对"&amp;LEFT($C$5,2)&amp;"输出",标准坦克设计!$B$23:$U$23,0)))*(VLOOKUP($B164,INDIRECT($B$5&amp;"生成成长"),3))*(VLOOKUP($B$5,标准坦克设计!$B$14:$K$20,9)/30))</f>
        <v>7.9354203966320815</v>
      </c>
      <c r="CP164" s="172">
        <f ca="1">(VLOOKUP(CP$72,INDIRECT($C$5&amp;"生成成长"),2))/((VLOOKUP($B164,INDIRECT($B$5&amp;"生成成长"),4))/(VLOOKUP(CP$72,INDIRECT($C$5&amp;"生成成长"),5))*(VLOOKUP($B$5,标准坦克设计!$B$24:$U$30,MATCH("对"&amp;LEFT($C$5,2)&amp;"输出",标准坦克设计!$B$23:$U$23,0)))*(VLOOKUP($B164,INDIRECT($B$5&amp;"生成成长"),3))*(VLOOKUP($B$5,标准坦克设计!$B$14:$K$20,9)/30))</f>
        <v>8.6701143509477756</v>
      </c>
      <c r="CQ164" s="172">
        <f ca="1">(VLOOKUP(CQ$72,INDIRECT($C$5&amp;"生成成长"),2))/((VLOOKUP($B164,INDIRECT($B$5&amp;"生成成长"),4))/(VLOOKUP(CQ$72,INDIRECT($C$5&amp;"生成成长"),5))*(VLOOKUP($B$5,标准坦克设计!$B$24:$U$30,MATCH("对"&amp;LEFT($C$5,2)&amp;"输出",标准坦克设计!$B$23:$U$23,0)))*(VLOOKUP($B164,INDIRECT($B$5&amp;"生成成长"),3))*(VLOOKUP($B$5,标准坦克设计!$B$14:$K$20,9)/30))</f>
        <v>9.4373299692372079</v>
      </c>
      <c r="CR164" s="172">
        <f ca="1">(VLOOKUP(CR$72,INDIRECT($C$5&amp;"生成成长"),2))/((VLOOKUP($B164,INDIRECT($B$5&amp;"生成成长"),4))/(VLOOKUP(CR$72,INDIRECT($C$5&amp;"生成成长"),5))*(VLOOKUP($B$5,标准坦克设计!$B$24:$U$30,MATCH("对"&amp;LEFT($C$5,2)&amp;"输出",标准坦克设计!$B$23:$U$23,0)))*(VLOOKUP($B164,INDIRECT($B$5&amp;"生成成长"),3))*(VLOOKUP($B$5,标准坦克设计!$B$14:$K$20,9)/30))</f>
        <v>10.23706725150037</v>
      </c>
      <c r="CS164" s="172">
        <f ca="1">(VLOOKUP(CS$72,INDIRECT($C$5&amp;"生成成长"),2))/((VLOOKUP($B164,INDIRECT($B$5&amp;"生成成长"),4))/(VLOOKUP(CS$72,INDIRECT($C$5&amp;"生成成长"),5))*(VLOOKUP($B$5,标准坦克设计!$B$24:$U$30,MATCH("对"&amp;LEFT($C$5,2)&amp;"输出",标准坦克设计!$B$23:$U$23,0)))*(VLOOKUP($B164,INDIRECT($B$5&amp;"生成成长"),3))*(VLOOKUP($B$5,标准坦克设计!$B$14:$K$20,9)/30))</f>
        <v>11.069326197737269</v>
      </c>
      <c r="CT164" s="172">
        <f ca="1">(VLOOKUP(CT$72,INDIRECT($C$5&amp;"生成成长"),2))/((VLOOKUP($B164,INDIRECT($B$5&amp;"生成成长"),4))/(VLOOKUP(CT$72,INDIRECT($C$5&amp;"生成成长"),5))*(VLOOKUP($B$5,标准坦克设计!$B$24:$U$30,MATCH("对"&amp;LEFT($C$5,2)&amp;"输出",标准坦克设计!$B$23:$U$23,0)))*(VLOOKUP($B164,INDIRECT($B$5&amp;"生成成长"),3))*(VLOOKUP($B$5,标准坦克设计!$B$14:$K$20,9)/30))</f>
        <v>11.934106807947895</v>
      </c>
      <c r="CU164" s="172">
        <f ca="1">(VLOOKUP(CU$72,INDIRECT($C$5&amp;"生成成长"),2))/((VLOOKUP($B164,INDIRECT($B$5&amp;"生成成长"),4))/(VLOOKUP(CU$72,INDIRECT($C$5&amp;"生成成长"),5))*(VLOOKUP($B$5,标准坦克设计!$B$24:$U$30,MATCH("对"&amp;LEFT($C$5,2)&amp;"输出",标准坦克设计!$B$23:$U$23,0)))*(VLOOKUP($B164,INDIRECT($B$5&amp;"生成成长"),3))*(VLOOKUP($B$5,标准坦克设计!$B$14:$K$20,9)/30))</f>
        <v>12.831409082132256</v>
      </c>
      <c r="CV164" s="172">
        <f ca="1">(VLOOKUP(CV$72,INDIRECT($C$5&amp;"生成成长"),2))/((VLOOKUP($B164,INDIRECT($B$5&amp;"生成成长"),4))/(VLOOKUP(CV$72,INDIRECT($C$5&amp;"生成成长"),5))*(VLOOKUP($B$5,标准坦克设计!$B$24:$U$30,MATCH("对"&amp;LEFT($C$5,2)&amp;"输出",标准坦克设计!$B$23:$U$23,0)))*(VLOOKUP($B164,INDIRECT($B$5&amp;"生成成长"),3))*(VLOOKUP($B$5,标准坦克设计!$B$14:$K$20,9)/30))</f>
        <v>13.761233020290351</v>
      </c>
      <c r="CW164" s="172">
        <f ca="1">(VLOOKUP(CW$72,INDIRECT($C$5&amp;"生成成长"),2))/((VLOOKUP($B164,INDIRECT($B$5&amp;"生成成长"),4))/(VLOOKUP(CW$72,INDIRECT($C$5&amp;"生成成长"),5))*(VLOOKUP($B$5,标准坦克设计!$B$24:$U$30,MATCH("对"&amp;LEFT($C$5,2)&amp;"输出",标准坦克设计!$B$23:$U$23,0)))*(VLOOKUP($B164,INDIRECT($B$5&amp;"生成成长"),3))*(VLOOKUP($B$5,标准坦克设计!$B$14:$K$20,9)/30))</f>
        <v>14.723578622422181</v>
      </c>
      <c r="CX164" s="172">
        <f ca="1">(VLOOKUP(CX$72,INDIRECT($C$5&amp;"生成成长"),2))/((VLOOKUP($B164,INDIRECT($B$5&amp;"生成成长"),4))/(VLOOKUP(CX$72,INDIRECT($C$5&amp;"生成成长"),5))*(VLOOKUP($B$5,标准坦克设计!$B$24:$U$30,MATCH("对"&amp;LEFT($C$5,2)&amp;"输出",标准坦克设计!$B$23:$U$23,0)))*(VLOOKUP($B164,INDIRECT($B$5&amp;"生成成长"),3))*(VLOOKUP($B$5,标准坦克设计!$B$14:$K$20,9)/30))</f>
        <v>15.718445888527743</v>
      </c>
      <c r="CY164" s="172">
        <f ca="1">(VLOOKUP(CY$72,INDIRECT($C$5&amp;"生成成长"),2))/((VLOOKUP($B164,INDIRECT($B$5&amp;"生成成长"),4))/(VLOOKUP(CY$72,INDIRECT($C$5&amp;"生成成长"),5))*(VLOOKUP($B$5,标准坦克设计!$B$24:$U$30,MATCH("对"&amp;LEFT($C$5,2)&amp;"输出",标准坦克设计!$B$23:$U$23,0)))*(VLOOKUP($B164,INDIRECT($B$5&amp;"生成成长"),3))*(VLOOKUP($B$5,标准坦克设计!$B$14:$K$20,9)/30))</f>
        <v>16.745834818607037</v>
      </c>
      <c r="CZ164" s="172">
        <f ca="1">(VLOOKUP(CZ$72,INDIRECT($C$5&amp;"生成成长"),2))/((VLOOKUP($B164,INDIRECT($B$5&amp;"生成成长"),4))/(VLOOKUP(CZ$72,INDIRECT($C$5&amp;"生成成长"),5))*(VLOOKUP($B$5,标准坦克设计!$B$24:$U$30,MATCH("对"&amp;LEFT($C$5,2)&amp;"输出",标准坦克设计!$B$23:$U$23,0)))*(VLOOKUP($B164,INDIRECT($B$5&amp;"生成成长"),3))*(VLOOKUP($B$5,标准坦克设计!$B$14:$K$20,9)/30))</f>
        <v>17.805745412660062</v>
      </c>
      <c r="DA164" s="172">
        <f ca="1">(VLOOKUP(DA$72,INDIRECT($C$5&amp;"生成成长"),2))/((VLOOKUP($B164,INDIRECT($B$5&amp;"生成成长"),4))/(VLOOKUP(DA$72,INDIRECT($C$5&amp;"生成成长"),5))*(VLOOKUP($B$5,标准坦克设计!$B$24:$U$30,MATCH("对"&amp;LEFT($C$5,2)&amp;"输出",标准坦克设计!$B$23:$U$23,0)))*(VLOOKUP($B164,INDIRECT($B$5&amp;"生成成长"),3))*(VLOOKUP($B$5,标准坦克设计!$B$14:$K$20,9)/30))</f>
        <v>18.898177670686827</v>
      </c>
      <c r="DB164" s="172">
        <f ca="1">(VLOOKUP(DB$72,INDIRECT($C$5&amp;"生成成长"),2))/((VLOOKUP($B164,INDIRECT($B$5&amp;"生成成长"),4))/(VLOOKUP(DB$72,INDIRECT($C$5&amp;"生成成长"),5))*(VLOOKUP($B$5,标准坦克设计!$B$24:$U$30,MATCH("对"&amp;LEFT($C$5,2)&amp;"输出",标准坦克设计!$B$23:$U$23,0)))*(VLOOKUP($B164,INDIRECT($B$5&amp;"生成成长"),3))*(VLOOKUP($B$5,标准坦克设计!$B$14:$K$20,9)/30))</f>
        <v>20.023131592687317</v>
      </c>
      <c r="DC164" s="172">
        <f ca="1">(VLOOKUP(DC$72,INDIRECT($C$5&amp;"生成成长"),2))/((VLOOKUP($B164,INDIRECT($B$5&amp;"生成成长"),4))/(VLOOKUP(DC$72,INDIRECT($C$5&amp;"生成成长"),5))*(VLOOKUP($B$5,标准坦克设计!$B$24:$U$30,MATCH("对"&amp;LEFT($C$5,2)&amp;"输出",标准坦克设计!$B$23:$U$23,0)))*(VLOOKUP($B164,INDIRECT($B$5&amp;"生成成长"),3))*(VLOOKUP($B$5,标准坦克设计!$B$14:$K$20,9)/30))</f>
        <v>21.287444876426495</v>
      </c>
      <c r="DD164" s="172">
        <f ca="1">(VLOOKUP(DD$72,INDIRECT($C$5&amp;"生成成长"),2))/((VLOOKUP($B164,INDIRECT($B$5&amp;"生成成长"),4))/(VLOOKUP(DD$72,INDIRECT($C$5&amp;"生成成长"),5))*(VLOOKUP($B$5,标准坦克设计!$B$24:$U$30,MATCH("对"&amp;LEFT($C$5,2)&amp;"输出",标准坦克设计!$B$23:$U$23,0)))*(VLOOKUP($B164,INDIRECT($B$5&amp;"生成成长"),3))*(VLOOKUP($B$5,标准坦克设计!$B$14:$K$20,9)/30))</f>
        <v>22.590461628035239</v>
      </c>
      <c r="DE164" s="172">
        <f ca="1">(VLOOKUP(DE$72,INDIRECT($C$5&amp;"生成成长"),2))/((VLOOKUP($B164,INDIRECT($B$5&amp;"生成成长"),4))/(VLOOKUP(DE$72,INDIRECT($C$5&amp;"生成成长"),5))*(VLOOKUP($B$5,标准坦克设计!$B$24:$U$30,MATCH("对"&amp;LEFT($C$5,2)&amp;"输出",标准坦克设计!$B$23:$U$23,0)))*(VLOOKUP($B164,INDIRECT($B$5&amp;"生成成长"),3))*(VLOOKUP($B$5,标准坦克设计!$B$14:$K$20,9)/30))</f>
        <v>23.932181847513547</v>
      </c>
      <c r="DF164" s="172">
        <f ca="1">(VLOOKUP(DF$72,INDIRECT($C$5&amp;"生成成长"),2))/((VLOOKUP($B164,INDIRECT($B$5&amp;"生成成长"),4))/(VLOOKUP(DF$72,INDIRECT($C$5&amp;"生成成长"),5))*(VLOOKUP($B$5,标准坦克设计!$B$24:$U$30,MATCH("对"&amp;LEFT($C$5,2)&amp;"输出",标准坦克设计!$B$23:$U$23,0)))*(VLOOKUP($B164,INDIRECT($B$5&amp;"生成成长"),3))*(VLOOKUP($B$5,标准坦克设计!$B$14:$K$20,9)/30))</f>
        <v>25.312605534861422</v>
      </c>
      <c r="DG164" s="172">
        <f ca="1">(VLOOKUP(DG$72,INDIRECT($C$5&amp;"生成成长"),2))/((VLOOKUP($B164,INDIRECT($B$5&amp;"生成成长"),4))/(VLOOKUP(DG$72,INDIRECT($C$5&amp;"生成成长"),5))*(VLOOKUP($B$5,标准坦克设计!$B$24:$U$30,MATCH("对"&amp;LEFT($C$5,2)&amp;"输出",标准坦克设计!$B$23:$U$23,0)))*(VLOOKUP($B164,INDIRECT($B$5&amp;"生成成长"),3))*(VLOOKUP($B$5,标准坦克设计!$B$14:$K$20,9)/30))</f>
        <v>26.731732690078864</v>
      </c>
      <c r="DH164" s="172">
        <f ca="1">(VLOOKUP(DH$72,INDIRECT($C$5&amp;"生成成长"),2))/((VLOOKUP($B164,INDIRECT($B$5&amp;"生成成长"),4))/(VLOOKUP(DH$72,INDIRECT($C$5&amp;"生成成长"),5))*(VLOOKUP($B$5,标准坦克设计!$B$24:$U$30,MATCH("对"&amp;LEFT($C$5,2)&amp;"输出",标准坦克设计!$B$23:$U$23,0)))*(VLOOKUP($B164,INDIRECT($B$5&amp;"生成成长"),3))*(VLOOKUP($B$5,标准坦克设计!$B$14:$K$20,9)/30))</f>
        <v>28.189563313165873</v>
      </c>
      <c r="DI164" s="172">
        <f ca="1">(VLOOKUP(DI$72,INDIRECT($C$5&amp;"生成成长"),2))/((VLOOKUP($B164,INDIRECT($B$5&amp;"生成成长"),4))/(VLOOKUP(DI$72,INDIRECT($C$5&amp;"生成成长"),5))*(VLOOKUP($B$5,标准坦克设计!$B$24:$U$30,MATCH("对"&amp;LEFT($C$5,2)&amp;"输出",标准坦克设计!$B$23:$U$23,0)))*(VLOOKUP($B164,INDIRECT($B$5&amp;"生成成长"),3))*(VLOOKUP($B$5,标准坦克设计!$B$14:$K$20,9)/30))</f>
        <v>29.686097404122449</v>
      </c>
      <c r="DJ164" s="172">
        <f ca="1">(VLOOKUP(DJ$72,INDIRECT($C$5&amp;"生成成长"),2))/((VLOOKUP($B164,INDIRECT($B$5&amp;"生成成长"),4))/(VLOOKUP(DJ$72,INDIRECT($C$5&amp;"生成成长"),5))*(VLOOKUP($B$5,标准坦克设计!$B$24:$U$30,MATCH("对"&amp;LEFT($C$5,2)&amp;"输出",标准坦克设计!$B$23:$U$23,0)))*(VLOOKUP($B164,INDIRECT($B$5&amp;"生成成长"),3))*(VLOOKUP($B$5,标准坦克设计!$B$14:$K$20,9)/30))</f>
        <v>2.9835267019869738</v>
      </c>
      <c r="DK164" s="172">
        <f ca="1">(VLOOKUP(DK$72,INDIRECT($C$5&amp;"生成成长"),2))/((VLOOKUP($B164,INDIRECT($B$5&amp;"生成成长"),4))/(VLOOKUP(DK$72,INDIRECT($C$5&amp;"生成成长"),5))*(VLOOKUP($B$5,标准坦克设计!$B$24:$U$30,MATCH("对"&amp;LEFT($C$5,2)&amp;"输出",标准坦克设计!$B$23:$U$23,0)))*(VLOOKUP($B164,INDIRECT($B$5&amp;"生成成长"),3))*(VLOOKUP($B$5,标准坦克设计!$B$14:$K$20,9)/30))</f>
        <v>3.3548380968606288</v>
      </c>
      <c r="DL164" s="172">
        <f ca="1">(VLOOKUP(DL$72,INDIRECT($C$5&amp;"生成成长"),2))/((VLOOKUP($B164,INDIRECT($B$5&amp;"生成成长"),4))/(VLOOKUP(DL$72,INDIRECT($C$5&amp;"生成成长"),5))*(VLOOKUP($B$5,标准坦克设计!$B$24:$U$30,MATCH("对"&amp;LEFT($C$5,2)&amp;"输出",标准坦克设计!$B$23:$U$23,0)))*(VLOOKUP($B164,INDIRECT($B$5&amp;"生成成长"),3))*(VLOOKUP($B$5,标准坦克设计!$B$14:$K$20,9)/30))</f>
        <v>3.7479201924109149</v>
      </c>
      <c r="DM164" s="172">
        <f ca="1">(VLOOKUP(DM$72,INDIRECT($C$5&amp;"生成成长"),2))/((VLOOKUP($B164,INDIRECT($B$5&amp;"生成成长"),4))/(VLOOKUP(DM$72,INDIRECT($C$5&amp;"生成成长"),5))*(VLOOKUP($B$5,标准坦克设计!$B$24:$U$30,MATCH("对"&amp;LEFT($C$5,2)&amp;"输出",标准坦克设计!$B$23:$U$23,0)))*(VLOOKUP($B164,INDIRECT($B$5&amp;"生成成长"),3))*(VLOOKUP($B$5,标准坦克设计!$B$14:$K$20,9)/30))</f>
        <v>4.1627729886378315</v>
      </c>
      <c r="DN164" s="172">
        <f ca="1">(VLOOKUP(DN$72,INDIRECT($C$5&amp;"生成成长"),2))/((VLOOKUP($B164,INDIRECT($B$5&amp;"生成成长"),4))/(VLOOKUP(DN$72,INDIRECT($C$5&amp;"生成成长"),5))*(VLOOKUP($B$5,标准坦克设计!$B$24:$U$30,MATCH("对"&amp;LEFT($C$5,2)&amp;"输出",标准坦克设计!$B$23:$U$23,0)))*(VLOOKUP($B164,INDIRECT($B$5&amp;"生成成长"),3))*(VLOOKUP($B$5,标准坦克设计!$B$14:$K$20,9)/30))</f>
        <v>4.5993964855413809</v>
      </c>
      <c r="DO164" s="172">
        <f ca="1">(VLOOKUP(DO$72,INDIRECT($C$5&amp;"生成成长"),2))/((VLOOKUP($B164,INDIRECT($B$5&amp;"生成成长"),4))/(VLOOKUP(DO$72,INDIRECT($C$5&amp;"生成成长"),5))*(VLOOKUP($B$5,标准坦克设计!$B$24:$U$30,MATCH("对"&amp;LEFT($C$5,2)&amp;"输出",标准坦克设计!$B$23:$U$23,0)))*(VLOOKUP($B164,INDIRECT($B$5&amp;"生成成长"),3))*(VLOOKUP($B$5,标准坦克设计!$B$14:$K$20,9)/30))</f>
        <v>5.0577906831215591</v>
      </c>
      <c r="DP164" s="172">
        <f ca="1">(VLOOKUP(DP$72,INDIRECT($C$5&amp;"生成成长"),2))/((VLOOKUP($B164,INDIRECT($B$5&amp;"生成成长"),4))/(VLOOKUP(DP$72,INDIRECT($C$5&amp;"生成成长"),5))*(VLOOKUP($B$5,标准坦克设计!$B$24:$U$30,MATCH("对"&amp;LEFT($C$5,2)&amp;"输出",标准坦克设计!$B$23:$U$23,0)))*(VLOOKUP($B164,INDIRECT($B$5&amp;"生成成长"),3))*(VLOOKUP($B$5,标准坦克设计!$B$14:$K$20,9)/30))</f>
        <v>5.5379555813783705</v>
      </c>
      <c r="DQ164" s="172">
        <f ca="1">(VLOOKUP(DQ$72,INDIRECT($C$5&amp;"生成成长"),2))/((VLOOKUP($B164,INDIRECT($B$5&amp;"生成成长"),4))/(VLOOKUP(DQ$72,INDIRECT($C$5&amp;"生成成长"),5))*(VLOOKUP($B$5,标准坦克设计!$B$24:$U$30,MATCH("对"&amp;LEFT($C$5,2)&amp;"输出",标准坦克设计!$B$23:$U$23,0)))*(VLOOKUP($B164,INDIRECT($B$5&amp;"生成成长"),3))*(VLOOKUP($B$5,标准坦克设计!$B$14:$K$20,9)/30))</f>
        <v>6.0398911803118134</v>
      </c>
      <c r="DR164" s="172">
        <f ca="1">(VLOOKUP(DR$72,INDIRECT($C$5&amp;"生成成长"),2))/((VLOOKUP($B164,INDIRECT($B$5&amp;"生成成长"),4))/(VLOOKUP(DR$72,INDIRECT($C$5&amp;"生成成长"),5))*(VLOOKUP($B$5,标准坦克设计!$B$24:$U$30,MATCH("对"&amp;LEFT($C$5,2)&amp;"输出",标准坦克设计!$B$23:$U$23,0)))*(VLOOKUP($B164,INDIRECT($B$5&amp;"生成成长"),3))*(VLOOKUP($B$5,标准坦克设计!$B$14:$K$20,9)/30))</f>
        <v>6.5635974799218859</v>
      </c>
      <c r="DS164" s="172">
        <f ca="1">(VLOOKUP(DS$72,INDIRECT($C$5&amp;"生成成长"),2))/((VLOOKUP($B164,INDIRECT($B$5&amp;"生成成长"),4))/(VLOOKUP(DS$72,INDIRECT($C$5&amp;"生成成长"),5))*(VLOOKUP($B$5,标准坦克设计!$B$24:$U$30,MATCH("对"&amp;LEFT($C$5,2)&amp;"输出",标准坦克设计!$B$23:$U$23,0)))*(VLOOKUP($B164,INDIRECT($B$5&amp;"生成成长"),3))*(VLOOKUP($B$5,标准坦克设计!$B$14:$K$20,9)/30))</f>
        <v>7.1090744802085908</v>
      </c>
      <c r="DT164" s="172">
        <f ca="1">(VLOOKUP(DT$72,INDIRECT($C$5&amp;"生成成长"),2))/((VLOOKUP($B164,INDIRECT($B$5&amp;"生成成长"),4))/(VLOOKUP(DT$72,INDIRECT($C$5&amp;"生成成长"),5))*(VLOOKUP($B$5,标准坦克设计!$B$24:$U$30,MATCH("对"&amp;LEFT($C$5,2)&amp;"输出",标准坦克设计!$B$23:$U$23,0)))*(VLOOKUP($B164,INDIRECT($B$5&amp;"生成成长"),3))*(VLOOKUP($B$5,标准坦克设计!$B$14:$K$20,9)/30))</f>
        <v>7.8053337407371481</v>
      </c>
      <c r="DU164" s="172">
        <f ca="1">(VLOOKUP(DU$72,INDIRECT($C$5&amp;"生成成长"),2))/((VLOOKUP($B164,INDIRECT($B$5&amp;"生成成长"),4))/(VLOOKUP(DU$72,INDIRECT($C$5&amp;"生成成长"),5))*(VLOOKUP($B$5,标准坦克设计!$B$24:$U$30,MATCH("对"&amp;LEFT($C$5,2)&amp;"输出",标准坦克设计!$B$23:$U$23,0)))*(VLOOKUP($B164,INDIRECT($B$5&amp;"生成成长"),3))*(VLOOKUP($B$5,标准坦克设计!$B$14:$K$20,9)/30))</f>
        <v>8.5341146652394393</v>
      </c>
      <c r="DV164" s="172">
        <f ca="1">(VLOOKUP(DV$72,INDIRECT($C$5&amp;"生成成长"),2))/((VLOOKUP($B164,INDIRECT($B$5&amp;"生成成长"),4))/(VLOOKUP(DV$72,INDIRECT($C$5&amp;"生成成长"),5))*(VLOOKUP($B$5,标准坦克设计!$B$24:$U$30,MATCH("对"&amp;LEFT($C$5,2)&amp;"输出",标准坦克设计!$B$23:$U$23,0)))*(VLOOKUP($B164,INDIRECT($B$5&amp;"生成成长"),3))*(VLOOKUP($B$5,标准坦克设计!$B$14:$K$20,9)/30))</f>
        <v>9.2954172537154633</v>
      </c>
      <c r="DW164" s="172">
        <f ca="1">(VLOOKUP(DW$72,INDIRECT($C$5&amp;"生成成长"),2))/((VLOOKUP($B164,INDIRECT($B$5&amp;"生成成长"),4))/(VLOOKUP(DW$72,INDIRECT($C$5&amp;"生成成长"),5))*(VLOOKUP($B$5,标准坦克设计!$B$24:$U$30,MATCH("对"&amp;LEFT($C$5,2)&amp;"输出",标准坦克设计!$B$23:$U$23,0)))*(VLOOKUP($B164,INDIRECT($B$5&amp;"生成成长"),3))*(VLOOKUP($B$5,标准坦克设计!$B$14:$K$20,9)/30))</f>
        <v>10.089241506165221</v>
      </c>
      <c r="DX164" s="172">
        <f ca="1">(VLOOKUP(DX$72,INDIRECT($C$5&amp;"生成成长"),2))/((VLOOKUP($B164,INDIRECT($B$5&amp;"生成成长"),4))/(VLOOKUP(DX$72,INDIRECT($C$5&amp;"生成成长"),5))*(VLOOKUP($B$5,标准坦克设计!$B$24:$U$30,MATCH("对"&amp;LEFT($C$5,2)&amp;"输出",标准坦克设计!$B$23:$U$23,0)))*(VLOOKUP($B164,INDIRECT($B$5&amp;"生成成长"),3))*(VLOOKUP($B$5,标准坦克设计!$B$14:$K$20,9)/30))</f>
        <v>10.915587422588708</v>
      </c>
      <c r="DY164" s="172">
        <f ca="1">(VLOOKUP(DY$72,INDIRECT($C$5&amp;"生成成长"),2))/((VLOOKUP($B164,INDIRECT($B$5&amp;"生成成长"),4))/(VLOOKUP(DY$72,INDIRECT($C$5&amp;"生成成长"),5))*(VLOOKUP($B$5,标准坦克设计!$B$24:$U$30,MATCH("对"&amp;LEFT($C$5,2)&amp;"输出",标准坦克设计!$B$23:$U$23,0)))*(VLOOKUP($B164,INDIRECT($B$5&amp;"生成成长"),3))*(VLOOKUP($B$5,标准坦克设计!$B$14:$K$20,9)/30))</f>
        <v>4.9025736505196518</v>
      </c>
      <c r="DZ164" s="172">
        <f ca="1">(VLOOKUP(DZ$72,INDIRECT($C$5&amp;"生成成长"),2))/((VLOOKUP($B164,INDIRECT($B$5&amp;"生成成长"),4))/(VLOOKUP(DZ$72,INDIRECT($C$5&amp;"生成成长"),5))*(VLOOKUP($B$5,标准坦克设计!$B$24:$U$30,MATCH("对"&amp;LEFT($C$5,2)&amp;"输出",标准坦克设计!$B$23:$U$23,0)))*(VLOOKUP($B164,INDIRECT($B$5&amp;"生成成长"),3))*(VLOOKUP($B$5,标准坦克设计!$B$14:$K$20,9)/30))</f>
        <v>5.4293708520776418</v>
      </c>
      <c r="EA164" s="172">
        <f ca="1">(VLOOKUP(EA$72,INDIRECT($C$5&amp;"生成成长"),2))/((VLOOKUP($B164,INDIRECT($B$5&amp;"生成成长"),4))/(VLOOKUP(EA$72,INDIRECT($C$5&amp;"生成成长"),5))*(VLOOKUP($B$5,标准坦克设计!$B$24:$U$30,MATCH("对"&amp;LEFT($C$5,2)&amp;"输出",标准坦克设计!$B$23:$U$23,0)))*(VLOOKUP($B164,INDIRECT($B$5&amp;"生成成长"),3))*(VLOOKUP($B$5,标准坦克设计!$B$14:$K$20,9)/30))</f>
        <v>5.9830454618783868</v>
      </c>
      <c r="EB164" s="172">
        <f ca="1">(VLOOKUP(EB$72,INDIRECT($C$5&amp;"生成成长"),2))/((VLOOKUP($B164,INDIRECT($B$5&amp;"生成成长"),4))/(VLOOKUP(EB$72,INDIRECT($C$5&amp;"生成成长"),5))*(VLOOKUP($B$5,标准坦克设计!$B$24:$U$30,MATCH("对"&amp;LEFT($C$5,2)&amp;"输出",标准坦克设计!$B$23:$U$23,0)))*(VLOOKUP($B164,INDIRECT($B$5&amp;"生成成长"),3))*(VLOOKUP($B$5,标准坦克设计!$B$14:$K$20,9)/30))</f>
        <v>6.5635974799218859</v>
      </c>
      <c r="EC164" s="172">
        <f ca="1">(VLOOKUP(EC$72,INDIRECT($C$5&amp;"生成成长"),2))/((VLOOKUP($B164,INDIRECT($B$5&amp;"生成成长"),4))/(VLOOKUP(EC$72,INDIRECT($C$5&amp;"生成成长"),5))*(VLOOKUP($B$5,标准坦克设计!$B$24:$U$30,MATCH("对"&amp;LEFT($C$5,2)&amp;"输出",标准坦克设计!$B$23:$U$23,0)))*(VLOOKUP($B164,INDIRECT($B$5&amp;"生成成长"),3))*(VLOOKUP($B$5,标准坦克设计!$B$14:$K$20,9)/30))</f>
        <v>7.1710269062081391</v>
      </c>
      <c r="ED164" s="172">
        <f ca="1">(VLOOKUP(ED$72,INDIRECT($C$5&amp;"生成成长"),2))/((VLOOKUP($B164,INDIRECT($B$5&amp;"生成成长"),4))/(VLOOKUP(ED$72,INDIRECT($C$5&amp;"生成成长"),5))*(VLOOKUP($B$5,标准坦克设计!$B$24:$U$30,MATCH("对"&amp;LEFT($C$5,2)&amp;"输出",标准坦克设计!$B$23:$U$23,0)))*(VLOOKUP($B164,INDIRECT($B$5&amp;"生成成长"),3))*(VLOOKUP($B$5,标准坦克设计!$B$14:$K$20,9)/30))</f>
        <v>7.8053337407371481</v>
      </c>
      <c r="EE164" s="172">
        <f ca="1">(VLOOKUP(EE$72,INDIRECT($C$5&amp;"生成成长"),2))/((VLOOKUP($B164,INDIRECT($B$5&amp;"生成成长"),4))/(VLOOKUP(EE$72,INDIRECT($C$5&amp;"生成成长"),5))*(VLOOKUP($B$5,标准坦克设计!$B$24:$U$30,MATCH("对"&amp;LEFT($C$5,2)&amp;"输出",标准坦克设计!$B$23:$U$23,0)))*(VLOOKUP($B164,INDIRECT($B$5&amp;"生成成长"),3))*(VLOOKUP($B$5,标准坦克设计!$B$14:$K$20,9)/30))</f>
        <v>8.4665179835089113</v>
      </c>
      <c r="EF164" s="172">
        <f ca="1">(VLOOKUP(EF$72,INDIRECT($C$5&amp;"生成成长"),2))/((VLOOKUP($B164,INDIRECT($B$5&amp;"生成成长"),4))/(VLOOKUP(EF$72,INDIRECT($C$5&amp;"生成成长"),5))*(VLOOKUP($B$5,标准坦克设计!$B$24:$U$30,MATCH("对"&amp;LEFT($C$5,2)&amp;"输出",标准坦克设计!$B$23:$U$23,0)))*(VLOOKUP($B164,INDIRECT($B$5&amp;"生成成长"),3))*(VLOOKUP($B$5,标准坦克设计!$B$14:$K$20,9)/30))</f>
        <v>9.1545796345234276</v>
      </c>
      <c r="EG164" s="172">
        <f ca="1">(VLOOKUP(EG$72,INDIRECT($C$5&amp;"生成成长"),2))/((VLOOKUP($B164,INDIRECT($B$5&amp;"生成成长"),4))/(VLOOKUP(EG$72,INDIRECT($C$5&amp;"生成成长"),5))*(VLOOKUP($B$5,标准坦克设计!$B$24:$U$30,MATCH("对"&amp;LEFT($C$5,2)&amp;"输出",标准坦克设计!$B$23:$U$23,0)))*(VLOOKUP($B164,INDIRECT($B$5&amp;"生成成长"),3))*(VLOOKUP($B$5,标准坦克设计!$B$14:$K$20,9)/30))</f>
        <v>9.8695186937807016</v>
      </c>
      <c r="EH164" s="172">
        <f ca="1">(VLOOKUP(EH$72,INDIRECT($C$5&amp;"生成成长"),2))/((VLOOKUP($B164,INDIRECT($B$5&amp;"生成成长"),4))/(VLOOKUP(EH$72,INDIRECT($C$5&amp;"生成成长"),5))*(VLOOKUP($B$5,标准坦克设计!$B$24:$U$30,MATCH("对"&amp;LEFT($C$5,2)&amp;"输出",标准坦克设计!$B$23:$U$23,0)))*(VLOOKUP($B164,INDIRECT($B$5&amp;"生成成长"),3))*(VLOOKUP($B$5,标准坦克设计!$B$14:$K$20,9)/30))</f>
        <v>10.611335161280728</v>
      </c>
      <c r="EI164" s="172">
        <f ca="1">(VLOOKUP(EI$72,INDIRECT($C$5&amp;"生成成长"),2))/((VLOOKUP($B164,INDIRECT($B$5&amp;"生成成长"),4))/(VLOOKUP(EI$72,INDIRECT($C$5&amp;"生成成长"),5))*(VLOOKUP($B$5,标准坦克设计!$B$24:$U$30,MATCH("对"&amp;LEFT($C$5,2)&amp;"输出",标准坦克设计!$B$23:$U$23,0)))*(VLOOKUP($B164,INDIRECT($B$5&amp;"生成成长"),3))*(VLOOKUP($B$5,标准坦克设计!$B$14:$K$20,9)/30))</f>
        <v>11.38002903702351</v>
      </c>
      <c r="EJ164" s="172">
        <f ca="1">(VLOOKUP(EJ$72,INDIRECT($C$5&amp;"生成成长"),2))/((VLOOKUP($B164,INDIRECT($B$5&amp;"生成成长"),4))/(VLOOKUP(EJ$72,INDIRECT($C$5&amp;"生成成长"),5))*(VLOOKUP($B$5,标准坦克设计!$B$24:$U$30,MATCH("对"&amp;LEFT($C$5,2)&amp;"输出",标准坦克设计!$B$23:$U$23,0)))*(VLOOKUP($B164,INDIRECT($B$5&amp;"生成成长"),3))*(VLOOKUP($B$5,标准坦克设计!$B$14:$K$20,9)/30))</f>
        <v>12.175600321009046</v>
      </c>
      <c r="EK164" s="172">
        <f ca="1">(VLOOKUP(EK$72,INDIRECT($C$5&amp;"生成成长"),2))/((VLOOKUP($B164,INDIRECT($B$5&amp;"生成成长"),4))/(VLOOKUP(EK$72,INDIRECT($C$5&amp;"生成成长"),5))*(VLOOKUP($B$5,标准坦克设计!$B$24:$U$30,MATCH("对"&amp;LEFT($C$5,2)&amp;"输出",标准坦克设计!$B$23:$U$23,0)))*(VLOOKUP($B164,INDIRECT($B$5&amp;"生成成长"),3))*(VLOOKUP($B$5,标准坦克设计!$B$14:$K$20,9)/30))</f>
        <v>13.165764040672125</v>
      </c>
      <c r="EL164" s="172">
        <f ca="1">(VLOOKUP(EL$72,INDIRECT($C$5&amp;"生成成长"),2))/((VLOOKUP($B164,INDIRECT($B$5&amp;"生成成长"),4))/(VLOOKUP(EL$72,INDIRECT($C$5&amp;"生成成长"),5))*(VLOOKUP($B$5,标准坦克设计!$B$24:$U$30,MATCH("对"&amp;LEFT($C$5,2)&amp;"输出",标准坦克设计!$B$23:$U$23,0)))*(VLOOKUP($B164,INDIRECT($B$5&amp;"生成成长"),3))*(VLOOKUP($B$5,标准坦克设计!$B$14:$K$20,9)/30))</f>
        <v>14.194631228204772</v>
      </c>
      <c r="EM164" s="172">
        <f ca="1">(VLOOKUP(EM$72,INDIRECT($C$5&amp;"生成成长"),2))/((VLOOKUP($B164,INDIRECT($B$5&amp;"生成成长"),4))/(VLOOKUP(EM$72,INDIRECT($C$5&amp;"生成成长"),5))*(VLOOKUP($B$5,标准坦克设计!$B$24:$U$30,MATCH("对"&amp;LEFT($C$5,2)&amp;"输出",标准坦克设计!$B$23:$U$23,0)))*(VLOOKUP($B164,INDIRECT($B$5&amp;"生成成长"),3))*(VLOOKUP($B$5,标准坦克设计!$B$14:$K$20,9)/30))</f>
        <v>15.262201883606984</v>
      </c>
      <c r="EN164" s="172">
        <f ca="1">(VLOOKUP(EN$72,INDIRECT($C$5&amp;"生成成长"),2))/((VLOOKUP($B164,INDIRECT($B$5&amp;"生成成长"),4))/(VLOOKUP(EN$72,INDIRECT($C$5&amp;"生成成长"),5))*(VLOOKUP($B$5,标准坦克设计!$B$24:$U$30,MATCH("对"&amp;LEFT($C$5,2)&amp;"输出",标准坦克设计!$B$23:$U$23,0)))*(VLOOKUP($B164,INDIRECT($B$5&amp;"生成成长"),3))*(VLOOKUP($B$5,标准坦克设计!$B$14:$K$20,9)/30))</f>
        <v>16.368476006878762</v>
      </c>
      <c r="EO164" s="172">
        <f ca="1">(VLOOKUP(EO$72,INDIRECT($C$5&amp;"生成成长"),2))/((VLOOKUP($B164,INDIRECT($B$5&amp;"生成成长"),4))/(VLOOKUP(EO$72,INDIRECT($C$5&amp;"生成成长"),5))*(VLOOKUP($B$5,标准坦克设计!$B$24:$U$30,MATCH("对"&amp;LEFT($C$5,2)&amp;"输出",标准坦克设计!$B$23:$U$23,0)))*(VLOOKUP($B164,INDIRECT($B$5&amp;"生成成长"),3))*(VLOOKUP($B$5,标准坦克设计!$B$14:$K$20,9)/30))</f>
        <v>17.513453598020106</v>
      </c>
      <c r="EP164" s="172">
        <f ca="1">(VLOOKUP(EP$72,INDIRECT($C$5&amp;"生成成长"),2))/((VLOOKUP($B164,INDIRECT($B$5&amp;"生成成长"),4))/(VLOOKUP(EP$72,INDIRECT($C$5&amp;"生成成长"),5))*(VLOOKUP($B$5,标准坦克设计!$B$24:$U$30,MATCH("对"&amp;LEFT($C$5,2)&amp;"输出",标准坦克设计!$B$23:$U$23,0)))*(VLOOKUP($B164,INDIRECT($B$5&amp;"生成成长"),3))*(VLOOKUP($B$5,标准坦克设计!$B$14:$K$20,9)/30))</f>
        <v>18.697134657031022</v>
      </c>
      <c r="EQ164" s="172">
        <f ca="1">(VLOOKUP(EQ$72,INDIRECT($C$5&amp;"生成成长"),2))/((VLOOKUP($B164,INDIRECT($B$5&amp;"生成成长"),4))/(VLOOKUP(EQ$72,INDIRECT($C$5&amp;"生成成长"),5))*(VLOOKUP($B$5,标准坦克设计!$B$24:$U$30,MATCH("对"&amp;LEFT($C$5,2)&amp;"输出",标准坦克设计!$B$23:$U$23,0)))*(VLOOKUP($B164,INDIRECT($B$5&amp;"生成成长"),3))*(VLOOKUP($B$5,标准坦克设计!$B$14:$K$20,9)/30))</f>
        <v>8.2653405828118931</v>
      </c>
      <c r="ER164" s="172">
        <f ca="1">(VLOOKUP(ER$72,INDIRECT($C$5&amp;"生成成长"),2))/((VLOOKUP($B164,INDIRECT($B$5&amp;"生成成长"),4))/(VLOOKUP(ER$72,INDIRECT($C$5&amp;"生成成长"),5))*(VLOOKUP($B$5,标准坦克设计!$B$24:$U$30,MATCH("对"&amp;LEFT($C$5,2)&amp;"输出",标准坦克设计!$B$23:$U$23,0)))*(VLOOKUP($B164,INDIRECT($B$5&amp;"生成成长"),3))*(VLOOKUP($B$5,标准坦克设计!$B$14:$K$20,9)/30))</f>
        <v>9.0148171116611042</v>
      </c>
      <c r="ES164" s="172">
        <f ca="1">(VLOOKUP(ES$72,INDIRECT($C$5&amp;"生成成长"),2))/((VLOOKUP($B164,INDIRECT($B$5&amp;"生成成长"),4))/(VLOOKUP(ES$72,INDIRECT($C$5&amp;"生成成长"),5))*(VLOOKUP($B$5,标准坦克设计!$B$24:$U$30,MATCH("对"&amp;LEFT($C$5,2)&amp;"输出",标准坦克设计!$B$23:$U$23,0)))*(VLOOKUP($B164,INDIRECT($B$5&amp;"生成成长"),3))*(VLOOKUP($B$5,标准坦克设计!$B$14:$K$20,9)/30))</f>
        <v>9.7968153044840491</v>
      </c>
      <c r="ET164" s="172">
        <f ca="1">(VLOOKUP(ET$72,INDIRECT($C$5&amp;"生成成长"),2))/((VLOOKUP($B164,INDIRECT($B$5&amp;"生成成长"),4))/(VLOOKUP(ET$72,INDIRECT($C$5&amp;"生成成长"),5))*(VLOOKUP($B$5,标准坦克设计!$B$24:$U$30,MATCH("对"&amp;LEFT($C$5,2)&amp;"输出",标准坦克设计!$B$23:$U$23,0)))*(VLOOKUP($B164,INDIRECT($B$5&amp;"生成成长"),3))*(VLOOKUP($B$5,标准坦克设计!$B$14:$K$20,9)/30))</f>
        <v>10.611335161280728</v>
      </c>
      <c r="EU164" s="172">
        <f ca="1">(VLOOKUP(EU$72,INDIRECT($C$5&amp;"生成成长"),2))/((VLOOKUP($B164,INDIRECT($B$5&amp;"生成成长"),4))/(VLOOKUP(EU$72,INDIRECT($C$5&amp;"生成成长"),5))*(VLOOKUP($B$5,标准坦克设计!$B$24:$U$30,MATCH("对"&amp;LEFT($C$5,2)&amp;"输出",标准坦克设计!$B$23:$U$23,0)))*(VLOOKUP($B164,INDIRECT($B$5&amp;"生成成长"),3))*(VLOOKUP($B$5,标准坦克设计!$B$14:$K$20,9)/30))</f>
        <v>11.458376682051139</v>
      </c>
      <c r="EV164" s="172">
        <f ca="1">(VLOOKUP(EV$72,INDIRECT($C$5&amp;"生成成长"),2))/((VLOOKUP($B164,INDIRECT($B$5&amp;"生成成长"),4))/(VLOOKUP(EV$72,INDIRECT($C$5&amp;"生成成长"),5))*(VLOOKUP($B$5,标准坦克设计!$B$24:$U$30,MATCH("对"&amp;LEFT($C$5,2)&amp;"输出",标准坦克设计!$B$23:$U$23,0)))*(VLOOKUP($B164,INDIRECT($B$5&amp;"生成成长"),3))*(VLOOKUP($B$5,标准坦克设计!$B$14:$K$20,9)/30))</f>
        <v>12.337939866795283</v>
      </c>
      <c r="EW164" s="172">
        <f ca="1">(VLOOKUP(EW$72,INDIRECT($C$5&amp;"生成成长"),2))/((VLOOKUP($B164,INDIRECT($B$5&amp;"生成成长"),4))/(VLOOKUP(EW$72,INDIRECT($C$5&amp;"生成成长"),5))*(VLOOKUP($B$5,标准坦克设计!$B$24:$U$30,MATCH("对"&amp;LEFT($C$5,2)&amp;"输出",标准坦克设计!$B$23:$U$23,0)))*(VLOOKUP($B164,INDIRECT($B$5&amp;"生成成长"),3))*(VLOOKUP($B$5,标准坦克设计!$B$14:$K$20,9)/30))</f>
        <v>13.25002471551316</v>
      </c>
      <c r="EX164" s="172">
        <f ca="1">(VLOOKUP(EX$72,INDIRECT($C$5&amp;"生成成长"),2))/((VLOOKUP($B164,INDIRECT($B$5&amp;"生成成长"),4))/(VLOOKUP(EX$72,INDIRECT($C$5&amp;"生成成长"),5))*(VLOOKUP($B$5,标准坦克设计!$B$24:$U$30,MATCH("对"&amp;LEFT($C$5,2)&amp;"输出",标准坦克设计!$B$23:$U$23,0)))*(VLOOKUP($B164,INDIRECT($B$5&amp;"生成成长"),3))*(VLOOKUP($B$5,标准坦克设计!$B$14:$K$20,9)/30))</f>
        <v>14.194631228204772</v>
      </c>
      <c r="EY164" s="172">
        <f ca="1">(VLOOKUP(EY$72,INDIRECT($C$5&amp;"生成成长"),2))/((VLOOKUP($B164,INDIRECT($B$5&amp;"生成成长"),4))/(VLOOKUP(EY$72,INDIRECT($C$5&amp;"生成成长"),5))*(VLOOKUP($B$5,标准坦克设计!$B$24:$U$30,MATCH("对"&amp;LEFT($C$5,2)&amp;"输出",标准坦克设计!$B$23:$U$23,0)))*(VLOOKUP($B164,INDIRECT($B$5&amp;"生成成长"),3))*(VLOOKUP($B$5,标准坦克设计!$B$14:$K$20,9)/30))</f>
        <v>15.171759404870114</v>
      </c>
      <c r="EZ164" s="172">
        <f ca="1">(VLOOKUP(EZ$72,INDIRECT($C$5&amp;"生成成长"),2))/((VLOOKUP($B164,INDIRECT($B$5&amp;"生成成长"),4))/(VLOOKUP(EZ$72,INDIRECT($C$5&amp;"生成成长"),5))*(VLOOKUP($B$5,标准坦克设计!$B$24:$U$30,MATCH("对"&amp;LEFT($C$5,2)&amp;"输出",标准坦克设计!$B$23:$U$23,0)))*(VLOOKUP($B164,INDIRECT($B$5&amp;"生成成长"),3))*(VLOOKUP($B$5,标准坦克设计!$B$14:$K$20,9)/30))</f>
        <v>16.18140924550919</v>
      </c>
      <c r="FA164" s="172">
        <f ca="1">(VLOOKUP(FA$72,INDIRECT($C$5&amp;"生成成长"),2))/((VLOOKUP($B164,INDIRECT($B$5&amp;"生成成长"),4))/(VLOOKUP(FA$72,INDIRECT($C$5&amp;"生成成长"),5))*(VLOOKUP($B$5,标准坦克设计!$B$24:$U$30,MATCH("对"&amp;LEFT($C$5,2)&amp;"输出",标准坦克设计!$B$23:$U$23,0)))*(VLOOKUP($B164,INDIRECT($B$5&amp;"生成成长"),3))*(VLOOKUP($B$5,标准坦克设计!$B$14:$K$20,9)/30))</f>
        <v>17.223580750122</v>
      </c>
      <c r="FB164" s="172">
        <f ca="1">(VLOOKUP(FB$72,INDIRECT($C$5&amp;"生成成长"),2))/((VLOOKUP($B164,INDIRECT($B$5&amp;"生成成长"),4))/(VLOOKUP(FB$72,INDIRECT($C$5&amp;"生成成长"),5))*(VLOOKUP($B$5,标准坦克设计!$B$24:$U$30,MATCH("对"&amp;LEFT($C$5,2)&amp;"输出",标准坦克设计!$B$23:$U$23,0)))*(VLOOKUP($B164,INDIRECT($B$5&amp;"生成成长"),3))*(VLOOKUP($B$5,标准坦克设计!$B$14:$K$20,9)/30))</f>
        <v>18.298273918708542</v>
      </c>
      <c r="FC164" s="172">
        <f ca="1">(VLOOKUP(FC$72,INDIRECT($C$5&amp;"生成成长"),2))/((VLOOKUP($B164,INDIRECT($B$5&amp;"生成成长"),4))/(VLOOKUP(FC$72,INDIRECT($C$5&amp;"生成成长"),5))*(VLOOKUP($B$5,标准坦克设计!$B$24:$U$30,MATCH("对"&amp;LEFT($C$5,2)&amp;"输出",标准坦克设计!$B$23:$U$23,0)))*(VLOOKUP($B164,INDIRECT($B$5&amp;"生成成长"),3))*(VLOOKUP($B$5,标准坦克设计!$B$14:$K$20,9)/30))</f>
        <v>19.405488751268816</v>
      </c>
      <c r="FD164" s="172">
        <f ca="1">(VLOOKUP(FD$72,INDIRECT($C$5&amp;"生成成长"),2))/((VLOOKUP($B164,INDIRECT($B$5&amp;"生成成长"),4))/(VLOOKUP(FD$72,INDIRECT($C$5&amp;"生成成长"),5))*(VLOOKUP($B$5,标准坦克设计!$B$24:$U$30,MATCH("对"&amp;LEFT($C$5,2)&amp;"输出",标准坦克设计!$B$23:$U$23,0)))*(VLOOKUP($B164,INDIRECT($B$5&amp;"生成成长"),3))*(VLOOKUP($B$5,标准坦克设计!$B$14:$K$20,9)/30))</f>
        <v>20.545225247802829</v>
      </c>
      <c r="FE164" s="172">
        <f ca="1">(VLOOKUP(FE$72,INDIRECT($C$5&amp;"生成成长"),2))/((VLOOKUP($B164,INDIRECT($B$5&amp;"生成成长"),4))/(VLOOKUP(FE$72,INDIRECT($C$5&amp;"生成成长"),5))*(VLOOKUP($B$5,标准坦克设计!$B$24:$U$30,MATCH("对"&amp;LEFT($C$5,2)&amp;"输出",标准坦克设计!$B$23:$U$23,0)))*(VLOOKUP($B164,INDIRECT($B$5&amp;"生成成长"),3))*(VLOOKUP($B$5,标准坦克设计!$B$14:$K$20,9)/30))</f>
        <v>21.934115318747171</v>
      </c>
      <c r="FF164" s="172">
        <f ca="1">(VLOOKUP(FF$72,INDIRECT($C$5&amp;"生成成长"),2))/((VLOOKUP($B164,INDIRECT($B$5&amp;"生成成长"),4))/(VLOOKUP(FF$72,INDIRECT($C$5&amp;"生成成长"),5))*(VLOOKUP($B$5,标准坦克设计!$B$24:$U$30,MATCH("对"&amp;LEFT($C$5,2)&amp;"输出",标准坦克设计!$B$23:$U$23,0)))*(VLOOKUP($B164,INDIRECT($B$5&amp;"生成成长"),3))*(VLOOKUP($B$5,标准坦克设计!$B$14:$K$20,9)/30))</f>
        <v>23.368428209621769</v>
      </c>
      <c r="FG164" s="172">
        <f ca="1">(VLOOKUP(FG$72,INDIRECT($C$5&amp;"生成成长"),2))/((VLOOKUP($B164,INDIRECT($B$5&amp;"生成成长"),4))/(VLOOKUP(FG$72,INDIRECT($C$5&amp;"生成成长"),5))*(VLOOKUP($B$5,标准坦克设计!$B$24:$U$30,MATCH("对"&amp;LEFT($C$5,2)&amp;"输出",标准坦克设计!$B$23:$U$23,0)))*(VLOOKUP($B164,INDIRECT($B$5&amp;"生成成长"),3))*(VLOOKUP($B$5,标准坦克设计!$B$14:$K$20,9)/30))</f>
        <v>24.848163920426625</v>
      </c>
      <c r="FH164" s="172">
        <f ca="1">(VLOOKUP(FH$72,INDIRECT($C$5&amp;"生成成长"),2))/((VLOOKUP($B164,INDIRECT($B$5&amp;"生成成长"),4))/(VLOOKUP(FH$72,INDIRECT($C$5&amp;"生成成长"),5))*(VLOOKUP($B$5,标准坦克设计!$B$24:$U$30,MATCH("对"&amp;LEFT($C$5,2)&amp;"输出",标准坦克设计!$B$23:$U$23,0)))*(VLOOKUP($B164,INDIRECT($B$5&amp;"生成成长"),3))*(VLOOKUP($B$5,标准坦克设计!$B$14:$K$20,9)/30))</f>
        <v>26.373322451161734</v>
      </c>
      <c r="FI164" s="172">
        <f ca="1">(VLOOKUP(FI$72,INDIRECT($C$5&amp;"生成成长"),2))/((VLOOKUP($B164,INDIRECT($B$5&amp;"生成成长"),4))/(VLOOKUP(FI$72,INDIRECT($C$5&amp;"生成成长"),5))*(VLOOKUP($B$5,标准坦克设计!$B$24:$U$30,MATCH("对"&amp;LEFT($C$5,2)&amp;"输出",标准坦克设计!$B$23:$U$23,0)))*(VLOOKUP($B164,INDIRECT($B$5&amp;"生成成长"),3))*(VLOOKUP($B$5,标准坦克设计!$B$14:$K$20,9)/30))</f>
        <v>27.943903801827098</v>
      </c>
      <c r="FJ164" s="172">
        <f ca="1">(VLOOKUP(FJ$72,INDIRECT($C$5&amp;"生成成长"),2))/((VLOOKUP($B164,INDIRECT($B$5&amp;"生成成长"),4))/(VLOOKUP(FJ$72,INDIRECT($C$5&amp;"生成成长"),5))*(VLOOKUP($B$5,标准坦克设计!$B$24:$U$30,MATCH("对"&amp;LEFT($C$5,2)&amp;"输出",标准坦克设计!$B$23:$U$23,0)))*(VLOOKUP($B164,INDIRECT($B$5&amp;"生成成长"),3))*(VLOOKUP($B$5,标准坦克设计!$B$14:$K$20,9)/30))</f>
        <v>29.559907972422717</v>
      </c>
      <c r="FK164" s="172">
        <f ca="1">(VLOOKUP(FK$72,INDIRECT($C$5&amp;"生成成长"),2))/((VLOOKUP($B164,INDIRECT($B$5&amp;"生成成长"),4))/(VLOOKUP(FK$72,INDIRECT($C$5&amp;"生成成长"),5))*(VLOOKUP($B$5,标准坦克设计!$B$24:$U$30,MATCH("对"&amp;LEFT($C$5,2)&amp;"输出",标准坦克设计!$B$23:$U$23,0)))*(VLOOKUP($B164,INDIRECT($B$5&amp;"生成成长"),3))*(VLOOKUP($B$5,标准坦克设计!$B$14:$K$20,9)/30))</f>
        <v>31.221334962948593</v>
      </c>
    </row>
    <row r="165" spans="1:167" x14ac:dyDescent="0.15">
      <c r="A165" s="170" t="str">
        <f t="shared" si="12"/>
        <v>T5中品质3级</v>
      </c>
      <c r="B165" s="171">
        <v>20503</v>
      </c>
      <c r="C165" s="172">
        <f ca="1">(VLOOKUP(C$72,INDIRECT($C$5&amp;"生成成长"),2))/((VLOOKUP($B165,INDIRECT($B$5&amp;"生成成长"),4))/(VLOOKUP(C$72,INDIRECT($C$5&amp;"生成成长"),5))*(VLOOKUP($B$5,标准坦克设计!$B$24:$U$30,MATCH("对"&amp;LEFT($C$5,2)&amp;"输出",标准坦克设计!$B$23:$U$23,0)))*(VLOOKUP($B165,INDIRECT($B$5&amp;"生成成长"),3))*(VLOOKUP($B$5,标准坦克设计!$B$14:$K$20,9)/30))</f>
        <v>1.2323257651709438</v>
      </c>
      <c r="D165" s="172">
        <f ca="1">(VLOOKUP(D$72,INDIRECT($C$5&amp;"生成成长"),2))/((VLOOKUP($B165,INDIRECT($B$5&amp;"生成成长"),4))/(VLOOKUP(D$72,INDIRECT($C$5&amp;"生成成长"),5))*(VLOOKUP($B$5,标准坦克设计!$B$24:$U$30,MATCH("对"&amp;LEFT($C$5,2)&amp;"输出",标准坦克设计!$B$23:$U$23,0)))*(VLOOKUP($B165,INDIRECT($B$5&amp;"生成成长"),3))*(VLOOKUP($B$5,标准坦克设计!$B$14:$K$20,9)/30))</f>
        <v>1.3846412297460724</v>
      </c>
      <c r="E165" s="172">
        <f ca="1">(VLOOKUP(E$72,INDIRECT($C$5&amp;"生成成长"),2))/((VLOOKUP($B165,INDIRECT($B$5&amp;"生成成长"),4))/(VLOOKUP(E$72,INDIRECT($C$5&amp;"生成成长"),5))*(VLOOKUP($B$5,标准坦克设计!$B$24:$U$30,MATCH("对"&amp;LEFT($C$5,2)&amp;"输出",标准坦克设计!$B$23:$U$23,0)))*(VLOOKUP($B165,INDIRECT($B$5&amp;"生成成长"),3))*(VLOOKUP($B$5,标准坦克设计!$B$14:$K$20,9)/30))</f>
        <v>1.5458294398304318</v>
      </c>
      <c r="F165" s="172">
        <f ca="1">(VLOOKUP(F$72,INDIRECT($C$5&amp;"生成成长"),2))/((VLOOKUP($B165,INDIRECT($B$5&amp;"生成成长"),4))/(VLOOKUP(F$72,INDIRECT($C$5&amp;"生成成长"),5))*(VLOOKUP($B$5,标准坦克设计!$B$24:$U$30,MATCH("对"&amp;LEFT($C$5,2)&amp;"输出",标准坦克设计!$B$23:$U$23,0)))*(VLOOKUP($B165,INDIRECT($B$5&amp;"生成成长"),3))*(VLOOKUP($B$5,标准坦克设计!$B$14:$K$20,9)/30))</f>
        <v>1.7158903954240221</v>
      </c>
      <c r="G165" s="172">
        <f ca="1">(VLOOKUP(G$72,INDIRECT($C$5&amp;"生成成长"),2))/((VLOOKUP($B165,INDIRECT($B$5&amp;"生成成长"),4))/(VLOOKUP(G$72,INDIRECT($C$5&amp;"生成成长"),5))*(VLOOKUP($B$5,标准坦克设计!$B$24:$U$30,MATCH("对"&amp;LEFT($C$5,2)&amp;"输出",标准坦克设计!$B$23:$U$23,0)))*(VLOOKUP($B165,INDIRECT($B$5&amp;"生成成长"),3))*(VLOOKUP($B$5,标准坦克设计!$B$14:$K$20,9)/30))</f>
        <v>1.894824096526843</v>
      </c>
      <c r="H165" s="172">
        <f ca="1">(VLOOKUP(H$72,INDIRECT($C$5&amp;"生成成长"),2))/((VLOOKUP($B165,INDIRECT($B$5&amp;"生成成长"),4))/(VLOOKUP(H$72,INDIRECT($C$5&amp;"生成成长"),5))*(VLOOKUP($B$5,标准坦克设计!$B$24:$U$30,MATCH("对"&amp;LEFT($C$5,2)&amp;"输出",标准坦克设计!$B$23:$U$23,0)))*(VLOOKUP($B165,INDIRECT($B$5&amp;"生成成长"),3))*(VLOOKUP($B$5,标准坦克设计!$B$14:$K$20,9)/30))</f>
        <v>1.6582175496140221</v>
      </c>
      <c r="I165" s="172">
        <f ca="1">(VLOOKUP(I$72,INDIRECT($C$5&amp;"生成成长"),2))/((VLOOKUP($B165,INDIRECT($B$5&amp;"生成成长"),4))/(VLOOKUP(I$72,INDIRECT($C$5&amp;"生成成长"),5))*(VLOOKUP($B$5,标准坦克设计!$B$24:$U$30,MATCH("对"&amp;LEFT($C$5,2)&amp;"输出",标准坦克设计!$B$23:$U$23,0)))*(VLOOKUP($B165,INDIRECT($B$5&amp;"生成成长"),3))*(VLOOKUP($B$5,标准坦克设计!$B$14:$K$20,9)/30))</f>
        <v>1.894824096526843</v>
      </c>
      <c r="J165" s="172">
        <f ca="1">(VLOOKUP(J$72,INDIRECT($C$5&amp;"生成成长"),2))/((VLOOKUP($B165,INDIRECT($B$5&amp;"生成成长"),4))/(VLOOKUP(J$72,INDIRECT($C$5&amp;"生成成长"),5))*(VLOOKUP($B$5,标准坦克设计!$B$24:$U$30,MATCH("对"&amp;LEFT($C$5,2)&amp;"输出",标准坦克设计!$B$23:$U$23,0)))*(VLOOKUP($B165,INDIRECT($B$5&amp;"生成成长"),3))*(VLOOKUP($B$5,标准坦克设计!$B$14:$K$20,9)/30))</f>
        <v>2.1472044132338519</v>
      </c>
      <c r="K165" s="172">
        <f ca="1">(VLOOKUP(K$72,INDIRECT($C$5&amp;"生成成长"),2))/((VLOOKUP($B165,INDIRECT($B$5&amp;"生成成长"),4))/(VLOOKUP(K$72,INDIRECT($C$5&amp;"生成成长"),5))*(VLOOKUP($B$5,标准坦克设计!$B$24:$U$30,MATCH("对"&amp;LEFT($C$5,2)&amp;"输出",标准坦克设计!$B$23:$U$23,0)))*(VLOOKUP($B165,INDIRECT($B$5&amp;"生成成长"),3))*(VLOOKUP($B$5,标准坦克设计!$B$14:$K$20,9)/30))</f>
        <v>2.4153584997350497</v>
      </c>
      <c r="L165" s="172">
        <f ca="1">(VLOOKUP(L$72,INDIRECT($C$5&amp;"生成成长"),2))/((VLOOKUP($B165,INDIRECT($B$5&amp;"生成成长"),4))/(VLOOKUP(L$72,INDIRECT($C$5&amp;"生成成长"),5))*(VLOOKUP($B$5,标准坦克设计!$B$24:$U$30,MATCH("对"&amp;LEFT($C$5,2)&amp;"输出",标准坦克设计!$B$23:$U$23,0)))*(VLOOKUP($B165,INDIRECT($B$5&amp;"生成成长"),3))*(VLOOKUP($B$5,标准坦克设计!$B$14:$K$20,9)/30))</f>
        <v>2.6992863560304352</v>
      </c>
      <c r="M165" s="172">
        <f ca="1">(VLOOKUP(M$72,INDIRECT($C$5&amp;"生成成长"),2))/((VLOOKUP($B165,INDIRECT($B$5&amp;"生成成长"),4))/(VLOOKUP(M$72,INDIRECT($C$5&amp;"生成成长"),5))*(VLOOKUP($B$5,标准坦克设计!$B$24:$U$30,MATCH("对"&amp;LEFT($C$5,2)&amp;"输出",标准坦克设计!$B$23:$U$23,0)))*(VLOOKUP($B165,INDIRECT($B$5&amp;"生成成长"),3))*(VLOOKUP($B$5,标准坦克设计!$B$14:$K$20,9)/30))</f>
        <v>2.9989879821200089</v>
      </c>
      <c r="N165" s="172">
        <f ca="1">(VLOOKUP(N$72,INDIRECT($C$5&amp;"生成成长"),2))/((VLOOKUP($B165,INDIRECT($B$5&amp;"生成成长"),4))/(VLOOKUP(N$72,INDIRECT($C$5&amp;"生成成长"),5))*(VLOOKUP($B$5,标准坦克设计!$B$24:$U$30,MATCH("对"&amp;LEFT($C$5,2)&amp;"输出",标准坦克设计!$B$23:$U$23,0)))*(VLOOKUP($B165,INDIRECT($B$5&amp;"生成成长"),3))*(VLOOKUP($B$5,标准坦克设计!$B$14:$K$20,9)/30))</f>
        <v>3.3144633780037704</v>
      </c>
      <c r="O165" s="172">
        <f ca="1">(VLOOKUP(O$72,INDIRECT($C$5&amp;"生成成长"),2))/((VLOOKUP($B165,INDIRECT($B$5&amp;"生成成长"),4))/(VLOOKUP(O$72,INDIRECT($C$5&amp;"生成成长"),5))*(VLOOKUP($B$5,标准坦克设计!$B$24:$U$30,MATCH("对"&amp;LEFT($C$5,2)&amp;"输出",标准坦克设计!$B$23:$U$23,0)))*(VLOOKUP($B165,INDIRECT($B$5&amp;"生成成长"),3))*(VLOOKUP($B$5,标准坦克设计!$B$14:$K$20,9)/30))</f>
        <v>2.5199829571980628</v>
      </c>
      <c r="P165" s="172">
        <f ca="1">(VLOOKUP(P$72,INDIRECT($C$5&amp;"生成成长"),2))/((VLOOKUP($B165,INDIRECT($B$5&amp;"生成成长"),4))/(VLOOKUP(P$72,INDIRECT($C$5&amp;"生成成长"),5))*(VLOOKUP($B$5,标准坦克设计!$B$24:$U$30,MATCH("对"&amp;LEFT($C$5,2)&amp;"输出",标准坦克设计!$B$23:$U$23,0)))*(VLOOKUP($B165,INDIRECT($B$5&amp;"生成成长"),3))*(VLOOKUP($B$5,标准坦克设计!$B$14:$K$20,9)/30))</f>
        <v>2.8471654478509487</v>
      </c>
      <c r="Q165" s="172">
        <f ca="1">(VLOOKUP(Q$72,INDIRECT($C$5&amp;"生成成长"),2))/((VLOOKUP($B165,INDIRECT($B$5&amp;"生成成长"),4))/(VLOOKUP(Q$72,INDIRECT($C$5&amp;"生成成长"),5))*(VLOOKUP($B$5,标准坦克设计!$B$24:$U$30,MATCH("对"&amp;LEFT($C$5,2)&amp;"输出",标准坦克设计!$B$23:$U$23,0)))*(VLOOKUP($B165,INDIRECT($B$5&amp;"生成成长"),3))*(VLOOKUP($B$5,标准坦克设计!$B$14:$K$20,9)/30))</f>
        <v>3.1943116158996032</v>
      </c>
      <c r="R165" s="172">
        <f ca="1">(VLOOKUP(R$72,INDIRECT($C$5&amp;"生成成长"),2))/((VLOOKUP($B165,INDIRECT($B$5&amp;"生成成长"),4))/(VLOOKUP(R$72,INDIRECT($C$5&amp;"生成成长"),5))*(VLOOKUP($B$5,标准坦克设计!$B$24:$U$30,MATCH("对"&amp;LEFT($C$5,2)&amp;"输出",标准坦克设计!$B$23:$U$23,0)))*(VLOOKUP($B165,INDIRECT($B$5&amp;"生成成长"),3))*(VLOOKUP($B$5,标准坦克设计!$B$14:$K$20,9)/30))</f>
        <v>3.5614214613440276</v>
      </c>
      <c r="S165" s="172">
        <f ca="1">(VLOOKUP(S$72,INDIRECT($C$5&amp;"生成成长"),2))/((VLOOKUP($B165,INDIRECT($B$5&amp;"生成成长"),4))/(VLOOKUP(S$72,INDIRECT($C$5&amp;"生成成长"),5))*(VLOOKUP($B$5,标准坦克设计!$B$24:$U$30,MATCH("对"&amp;LEFT($C$5,2)&amp;"输出",标准坦克设计!$B$23:$U$23,0)))*(VLOOKUP($B165,INDIRECT($B$5&amp;"生成成长"),3))*(VLOOKUP($B$5,标准坦克设计!$B$14:$K$20,9)/30))</f>
        <v>3.9484949841842205</v>
      </c>
      <c r="T165" s="172">
        <f ca="1">(VLOOKUP(T$72,INDIRECT($C$5&amp;"生成成长"),2))/((VLOOKUP($B165,INDIRECT($B$5&amp;"生成成长"),4))/(VLOOKUP(T$72,INDIRECT($C$5&amp;"生成成长"),5))*(VLOOKUP($B$5,标准坦克设计!$B$24:$U$30,MATCH("对"&amp;LEFT($C$5,2)&amp;"输出",标准坦克设计!$B$23:$U$23,0)))*(VLOOKUP($B165,INDIRECT($B$5&amp;"生成成长"),3))*(VLOOKUP($B$5,标准坦克设计!$B$14:$K$20,9)/30))</f>
        <v>4.3555321844201833</v>
      </c>
      <c r="U165" s="172">
        <f ca="1">(VLOOKUP(U$72,INDIRECT($C$5&amp;"生成成长"),2))/((VLOOKUP($B165,INDIRECT($B$5&amp;"生成成长"),4))/(VLOOKUP(U$72,INDIRECT($C$5&amp;"生成成长"),5))*(VLOOKUP($B$5,标准坦克设计!$B$24:$U$30,MATCH("对"&amp;LEFT($C$5,2)&amp;"输出",标准坦克设计!$B$23:$U$23,0)))*(VLOOKUP($B165,INDIRECT($B$5&amp;"生成成长"),3))*(VLOOKUP($B$5,标准坦克设计!$B$14:$K$20,9)/30))</f>
        <v>4.7825330620519155</v>
      </c>
      <c r="V165" s="172">
        <f ca="1">(VLOOKUP(V$72,INDIRECT($C$5&amp;"生成成长"),2))/((VLOOKUP($B165,INDIRECT($B$5&amp;"生成成长"),4))/(VLOOKUP(V$72,INDIRECT($C$5&amp;"生成成长"),5))*(VLOOKUP($B$5,标准坦克设计!$B$24:$U$30,MATCH("对"&amp;LEFT($C$5,2)&amp;"输出",标准坦克设计!$B$23:$U$23,0)))*(VLOOKUP($B165,INDIRECT($B$5&amp;"生成成长"),3))*(VLOOKUP($B$5,标准坦克设计!$B$14:$K$20,9)/30))</f>
        <v>5.2294976170794163</v>
      </c>
      <c r="W165" s="172">
        <f ca="1">(VLOOKUP(W$72,INDIRECT($C$5&amp;"生成成长"),2))/((VLOOKUP($B165,INDIRECT($B$5&amp;"生成成长"),4))/(VLOOKUP(W$72,INDIRECT($C$5&amp;"生成成长"),5))*(VLOOKUP($B$5,标准坦克设计!$B$24:$U$30,MATCH("对"&amp;LEFT($C$5,2)&amp;"输出",标准坦克设计!$B$23:$U$23,0)))*(VLOOKUP($B165,INDIRECT($B$5&amp;"生成成长"),3))*(VLOOKUP($B$5,标准坦克设计!$B$14:$K$20,9)/30))</f>
        <v>5.6964258495026883</v>
      </c>
      <c r="X165" s="172">
        <f ca="1">(VLOOKUP(X$72,INDIRECT($C$5&amp;"生成成长"),2))/((VLOOKUP($B165,INDIRECT($B$5&amp;"生成成长"),4))/(VLOOKUP(X$72,INDIRECT($C$5&amp;"生成成长"),5))*(VLOOKUP($B$5,标准坦克设计!$B$24:$U$30,MATCH("对"&amp;LEFT($C$5,2)&amp;"输出",标准坦克设计!$B$23:$U$23,0)))*(VLOOKUP($B165,INDIRECT($B$5&amp;"生成成长"),3))*(VLOOKUP($B$5,标准坦克设计!$B$14:$K$20,9)/30))</f>
        <v>4.1269357549809742</v>
      </c>
      <c r="Y165" s="172">
        <f ca="1">(VLOOKUP(Y$72,INDIRECT($C$5&amp;"生成成长"),2))/((VLOOKUP($B165,INDIRECT($B$5&amp;"生成成长"),4))/(VLOOKUP(Y$72,INDIRECT($C$5&amp;"生成成长"),5))*(VLOOKUP($B$5,标准坦克设计!$B$24:$U$30,MATCH("对"&amp;LEFT($C$5,2)&amp;"输出",标准坦克设计!$B$23:$U$23,0)))*(VLOOKUP($B165,INDIRECT($B$5&amp;"生成成长"),3))*(VLOOKUP($B$5,标准坦克设计!$B$14:$K$20,9)/30))</f>
        <v>4.5902902426852483</v>
      </c>
      <c r="Z165" s="172">
        <f ca="1">(VLOOKUP(Z$72,INDIRECT($C$5&amp;"生成成长"),2))/((VLOOKUP($B165,INDIRECT($B$5&amp;"生成成长"),4))/(VLOOKUP(Z$72,INDIRECT($C$5&amp;"生成成长"),5))*(VLOOKUP($B$5,标准坦克设计!$B$24:$U$30,MATCH("对"&amp;LEFT($C$5,2)&amp;"输出",标准坦克设计!$B$23:$U$23,0)))*(VLOOKUP($B165,INDIRECT($B$5&amp;"生成成长"),3))*(VLOOKUP($B$5,标准坦克设计!$B$14:$K$20,9)/30))</f>
        <v>5.0782912456929417</v>
      </c>
      <c r="AA165" s="172">
        <f ca="1">(VLOOKUP(AA$72,INDIRECT($C$5&amp;"生成成长"),2))/((VLOOKUP($B165,INDIRECT($B$5&amp;"生成成长"),4))/(VLOOKUP(AA$72,INDIRECT($C$5&amp;"生成成长"),5))*(VLOOKUP($B$5,标准坦克设计!$B$24:$U$30,MATCH("对"&amp;LEFT($C$5,2)&amp;"输出",标准坦克设计!$B$23:$U$23,0)))*(VLOOKUP($B165,INDIRECT($B$5&amp;"生成成长"),3))*(VLOOKUP($B$5,标准坦克设计!$B$14:$K$20,9)/30))</f>
        <v>5.5909387640040542</v>
      </c>
      <c r="AB165" s="172">
        <f ca="1">(VLOOKUP(AB$72,INDIRECT($C$5&amp;"生成成长"),2))/((VLOOKUP($B165,INDIRECT($B$5&amp;"生成成长"),4))/(VLOOKUP(AB$72,INDIRECT($C$5&amp;"生成成长"),5))*(VLOOKUP($B$5,标准坦克设计!$B$24:$U$30,MATCH("对"&amp;LEFT($C$5,2)&amp;"输出",标准坦克设计!$B$23:$U$23,0)))*(VLOOKUP($B165,INDIRECT($B$5&amp;"生成成长"),3))*(VLOOKUP($B$5,标准坦克设计!$B$14:$K$20,9)/30))</f>
        <v>6.1282327976185869</v>
      </c>
      <c r="AC165" s="172">
        <f ca="1">(VLOOKUP(AC$72,INDIRECT($C$5&amp;"生成成长"),2))/((VLOOKUP($B165,INDIRECT($B$5&amp;"生成成长"),4))/(VLOOKUP(AC$72,INDIRECT($C$5&amp;"生成成长"),5))*(VLOOKUP($B$5,标准坦克设计!$B$24:$U$30,MATCH("对"&amp;LEFT($C$5,2)&amp;"输出",标准坦克设计!$B$23:$U$23,0)))*(VLOOKUP($B165,INDIRECT($B$5&amp;"生成成长"),3))*(VLOOKUP($B$5,标准坦克设计!$B$14:$K$20,9)/30))</f>
        <v>6.6901733465365352</v>
      </c>
      <c r="AD165" s="172">
        <f ca="1">(VLOOKUP(AD$72,INDIRECT($C$5&amp;"生成成长"),2))/((VLOOKUP($B165,INDIRECT($B$5&amp;"生成成长"),4))/(VLOOKUP(AD$72,INDIRECT($C$5&amp;"生成成长"),5))*(VLOOKUP($B$5,标准坦克设计!$B$24:$U$30,MATCH("对"&amp;LEFT($C$5,2)&amp;"输出",标准坦克设计!$B$23:$U$23,0)))*(VLOOKUP($B165,INDIRECT($B$5&amp;"生成成长"),3))*(VLOOKUP($B$5,标准坦克设计!$B$14:$K$20,9)/30))</f>
        <v>7.2767604107579054</v>
      </c>
      <c r="AE165" s="172">
        <f ca="1">(VLOOKUP(AE$72,INDIRECT($C$5&amp;"生成成长"),2))/((VLOOKUP($B165,INDIRECT($B$5&amp;"生成成长"),4))/(VLOOKUP(AE$72,INDIRECT($C$5&amp;"生成成长"),5))*(VLOOKUP($B$5,标准坦克设计!$B$24:$U$30,MATCH("对"&amp;LEFT($C$5,2)&amp;"输出",标准坦克设计!$B$23:$U$23,0)))*(VLOOKUP($B165,INDIRECT($B$5&amp;"生成成长"),3))*(VLOOKUP($B$5,标准坦克设计!$B$14:$K$20,9)/30))</f>
        <v>7.8879939902826948</v>
      </c>
      <c r="AF165" s="172">
        <f ca="1">(VLOOKUP(AF$72,INDIRECT($C$5&amp;"生成成长"),2))/((VLOOKUP($B165,INDIRECT($B$5&amp;"生成成长"),4))/(VLOOKUP(AF$72,INDIRECT($C$5&amp;"生成成长"),5))*(VLOOKUP($B$5,标准坦克设计!$B$24:$U$30,MATCH("对"&amp;LEFT($C$5,2)&amp;"输出",标准坦克设计!$B$23:$U$23,0)))*(VLOOKUP($B165,INDIRECT($B$5&amp;"生成成长"),3))*(VLOOKUP($B$5,标准坦克设计!$B$14:$K$20,9)/30))</f>
        <v>8.5238740851109007</v>
      </c>
      <c r="AG165" s="172">
        <f ca="1">(VLOOKUP(AG$72,INDIRECT($C$5&amp;"生成成长"),2))/((VLOOKUP($B165,INDIRECT($B$5&amp;"生成成长"),4))/(VLOOKUP(AG$72,INDIRECT($C$5&amp;"生成成长"),5))*(VLOOKUP($B$5,标准坦克设计!$B$24:$U$30,MATCH("对"&amp;LEFT($C$5,2)&amp;"输出",标准坦克设计!$B$23:$U$23,0)))*(VLOOKUP($B165,INDIRECT($B$5&amp;"生成成长"),3))*(VLOOKUP($B$5,标准坦克设计!$B$14:$K$20,9)/30))</f>
        <v>9.1844006952425286</v>
      </c>
      <c r="AH165" s="172">
        <f ca="1">(VLOOKUP(AH$72,INDIRECT($C$5&amp;"生成成长"),2))/((VLOOKUP($B165,INDIRECT($B$5&amp;"生成成长"),4))/(VLOOKUP(AH$72,INDIRECT($C$5&amp;"生成成长"),5))*(VLOOKUP($B$5,标准坦克设计!$B$24:$U$30,MATCH("对"&amp;LEFT($C$5,2)&amp;"输出",标准坦克设计!$B$23:$U$23,0)))*(VLOOKUP($B165,INDIRECT($B$5&amp;"生成成长"),3))*(VLOOKUP($B$5,标准坦克设计!$B$14:$K$20,9)/30))</f>
        <v>9.8695738206775712</v>
      </c>
      <c r="AI165" s="172">
        <f ca="1">(VLOOKUP(AI$72,INDIRECT($C$5&amp;"生成成长"),2))/((VLOOKUP($B165,INDIRECT($B$5&amp;"生成成长"),4))/(VLOOKUP(AI$72,INDIRECT($C$5&amp;"生成成长"),5))*(VLOOKUP($B$5,标准坦克设计!$B$24:$U$30,MATCH("对"&amp;LEFT($C$5,2)&amp;"输出",标准坦克设计!$B$23:$U$23,0)))*(VLOOKUP($B165,INDIRECT($B$5&amp;"生成成长"),3))*(VLOOKUP($B$5,标准坦克设计!$B$14:$K$20,9)/30))</f>
        <v>6.9803860642342936</v>
      </c>
      <c r="AJ165" s="172">
        <f ca="1">(VLOOKUP(AJ$72,INDIRECT($C$5&amp;"生成成长"),2))/((VLOOKUP($B165,INDIRECT($B$5&amp;"生成成长"),4))/(VLOOKUP(AJ$72,INDIRECT($C$5&amp;"生成成长"),5))*(VLOOKUP($B$5,标准坦克设计!$B$24:$U$30,MATCH("对"&amp;LEFT($C$5,2)&amp;"输出",标准坦克设计!$B$23:$U$23,0)))*(VLOOKUP($B165,INDIRECT($B$5&amp;"生成成长"),3))*(VLOOKUP($B$5,标准坦克设计!$B$14:$K$20,9)/30))</f>
        <v>7.6405429766363691</v>
      </c>
      <c r="AK165" s="172">
        <f ca="1">(VLOOKUP(AK$72,INDIRECT($C$5&amp;"生成成长"),2))/((VLOOKUP($B165,INDIRECT($B$5&amp;"生成成长"),4))/(VLOOKUP(AK$72,INDIRECT($C$5&amp;"生成成长"),5))*(VLOOKUP($B$5,标准坦克设计!$B$24:$U$30,MATCH("对"&amp;LEFT($C$5,2)&amp;"输出",标准坦克设计!$B$23:$U$23,0)))*(VLOOKUP($B165,INDIRECT($B$5&amp;"生成成长"),3))*(VLOOKUP($B$5,标准坦克设计!$B$14:$K$20,9)/30))</f>
        <v>8.3305221725555807</v>
      </c>
      <c r="AL165" s="172">
        <f ca="1">(VLOOKUP(AL$72,INDIRECT($C$5&amp;"生成成长"),2))/((VLOOKUP($B165,INDIRECT($B$5&amp;"生成成长"),4))/(VLOOKUP(AL$72,INDIRECT($C$5&amp;"生成成长"),5))*(VLOOKUP($B$5,标准坦克设计!$B$24:$U$30,MATCH("对"&amp;LEFT($C$5,2)&amp;"输出",标准坦克设计!$B$23:$U$23,0)))*(VLOOKUP($B165,INDIRECT($B$5&amp;"生成成长"),3))*(VLOOKUP($B$5,标准坦克设计!$B$14:$K$20,9)/30))</f>
        <v>9.0503236519919295</v>
      </c>
      <c r="AM165" s="172">
        <f ca="1">(VLOOKUP(AM$72,INDIRECT($C$5&amp;"生成成长"),2))/((VLOOKUP($B165,INDIRECT($B$5&amp;"生成成长"),4))/(VLOOKUP(AM$72,INDIRECT($C$5&amp;"生成成长"),5))*(VLOOKUP($B$5,标准坦克设计!$B$24:$U$30,MATCH("对"&amp;LEFT($C$5,2)&amp;"输出",标准坦克设计!$B$23:$U$23,0)))*(VLOOKUP($B165,INDIRECT($B$5&amp;"生成成长"),3))*(VLOOKUP($B$5,标准坦克设计!$B$14:$K$20,9)/30))</f>
        <v>9.7999474149454127</v>
      </c>
      <c r="AN165" s="172">
        <f ca="1">(VLOOKUP(AN$72,INDIRECT($C$5&amp;"生成成长"),2))/((VLOOKUP($B165,INDIRECT($B$5&amp;"生成成长"),4))/(VLOOKUP(AN$72,INDIRECT($C$5&amp;"生成成长"),5))*(VLOOKUP($B$5,标准坦克设计!$B$24:$U$30,MATCH("对"&amp;LEFT($C$5,2)&amp;"输出",标准坦克设计!$B$23:$U$23,0)))*(VLOOKUP($B165,INDIRECT($B$5&amp;"生成成长"),3))*(VLOOKUP($B$5,标准坦克设计!$B$14:$K$20,9)/30))</f>
        <v>10.579393461416036</v>
      </c>
      <c r="AO165" s="172">
        <f ca="1">(VLOOKUP(AO$72,INDIRECT($C$5&amp;"生成成长"),2))/((VLOOKUP($B165,INDIRECT($B$5&amp;"生成成长"),4))/(VLOOKUP(AO$72,INDIRECT($C$5&amp;"生成成长"),5))*(VLOOKUP($B$5,标准坦克设计!$B$24:$U$30,MATCH("对"&amp;LEFT($C$5,2)&amp;"输出",标准坦克设计!$B$23:$U$23,0)))*(VLOOKUP($B165,INDIRECT($B$5&amp;"生成成长"),3))*(VLOOKUP($B$5,标准坦克设计!$B$14:$K$20,9)/30))</f>
        <v>11.388661791403795</v>
      </c>
      <c r="AP165" s="172">
        <f ca="1">(VLOOKUP(AP$72,INDIRECT($C$5&amp;"生成成长"),2))/((VLOOKUP($B165,INDIRECT($B$5&amp;"生成成长"),4))/(VLOOKUP(AP$72,INDIRECT($C$5&amp;"生成成长"),5))*(VLOOKUP($B$5,标准坦克设计!$B$24:$U$30,MATCH("对"&amp;LEFT($C$5,2)&amp;"输出",标准坦克设计!$B$23:$U$23,0)))*(VLOOKUP($B165,INDIRECT($B$5&amp;"生成成长"),3))*(VLOOKUP($B$5,标准坦克设计!$B$14:$K$20,9)/30))</f>
        <v>12.22775240490869</v>
      </c>
      <c r="AQ165" s="172">
        <f ca="1">(VLOOKUP(AQ$72,INDIRECT($C$5&amp;"生成成长"),2))/((VLOOKUP($B165,INDIRECT($B$5&amp;"生成成长"),4))/(VLOOKUP(AQ$72,INDIRECT($C$5&amp;"生成成长"),5))*(VLOOKUP($B$5,标准坦克设计!$B$24:$U$30,MATCH("对"&amp;LEFT($C$5,2)&amp;"输出",标准坦克设计!$B$23:$U$23,0)))*(VLOOKUP($B165,INDIRECT($B$5&amp;"生成成长"),3))*(VLOOKUP($B$5,标准坦克设计!$B$14:$K$20,9)/30))</f>
        <v>13.096665301930724</v>
      </c>
      <c r="AR165" s="172">
        <f ca="1">(VLOOKUP(AR$72,INDIRECT($C$5&amp;"生成成长"),2))/((VLOOKUP($B165,INDIRECT($B$5&amp;"生成成长"),4))/(VLOOKUP(AR$72,INDIRECT($C$5&amp;"生成成长"),5))*(VLOOKUP($B$5,标准坦克设计!$B$24:$U$30,MATCH("对"&amp;LEFT($C$5,2)&amp;"输出",标准坦克设计!$B$23:$U$23,0)))*(VLOOKUP($B165,INDIRECT($B$5&amp;"生成成长"),3))*(VLOOKUP($B$5,标准坦克设计!$B$14:$K$20,9)/30))</f>
        <v>13.995400482469892</v>
      </c>
      <c r="AS165" s="172">
        <f ca="1">(VLOOKUP(AS$72,INDIRECT($C$5&amp;"生成成长"),2))/((VLOOKUP($B165,INDIRECT($B$5&amp;"生成成长"),4))/(VLOOKUP(AS$72,INDIRECT($C$5&amp;"生成成长"),5))*(VLOOKUP($B$5,标准坦克设计!$B$24:$U$30,MATCH("对"&amp;LEFT($C$5,2)&amp;"输出",标准坦克设计!$B$23:$U$23,0)))*(VLOOKUP($B165,INDIRECT($B$5&amp;"生成成长"),3))*(VLOOKUP($B$5,标准坦克设计!$B$14:$K$20,9)/30))</f>
        <v>14.923957946526198</v>
      </c>
      <c r="AT165" s="172">
        <f ca="1">(VLOOKUP(AT$72,INDIRECT($C$5&amp;"生成成长"),2))/((VLOOKUP($B165,INDIRECT($B$5&amp;"生成成长"),4))/(VLOOKUP(AT$72,INDIRECT($C$5&amp;"生成成长"),5))*(VLOOKUP($B$5,标准坦克设计!$B$24:$U$30,MATCH("对"&amp;LEFT($C$5,2)&amp;"输出",标准坦克设计!$B$23:$U$23,0)))*(VLOOKUP($B165,INDIRECT($B$5&amp;"生成成长"),3))*(VLOOKUP($B$5,标准坦克设计!$B$14:$K$20,9)/30))</f>
        <v>15.882337694099641</v>
      </c>
      <c r="AU165" s="172">
        <f ca="1">(VLOOKUP(AU$72,INDIRECT($C$5&amp;"生成成长"),2))/((VLOOKUP($B165,INDIRECT($B$5&amp;"生成成长"),4))/(VLOOKUP(AU$72,INDIRECT($C$5&amp;"生成成长"),5))*(VLOOKUP($B$5,标准坦克设计!$B$24:$U$30,MATCH("对"&amp;LEFT($C$5,2)&amp;"输出",标准坦克设计!$B$23:$U$23,0)))*(VLOOKUP($B165,INDIRECT($B$5&amp;"生成成长"),3))*(VLOOKUP($B$5,标准坦克设计!$B$14:$K$20,9)/30))</f>
        <v>16.87053972519022</v>
      </c>
      <c r="AV165" s="172">
        <f ca="1">(VLOOKUP(AV$72,INDIRECT($C$5&amp;"生成成长"),2))/((VLOOKUP($B165,INDIRECT($B$5&amp;"生成成长"),4))/(VLOOKUP(AV$72,INDIRECT($C$5&amp;"生成成长"),5))*(VLOOKUP($B$5,标准坦克设计!$B$24:$U$30,MATCH("对"&amp;LEFT($C$5,2)&amp;"输出",标准坦克设计!$B$23:$U$23,0)))*(VLOOKUP($B165,INDIRECT($B$5&amp;"生成成长"),3))*(VLOOKUP($B$5,标准坦克设计!$B$14:$K$20,9)/30))</f>
        <v>1.7158903954240221</v>
      </c>
      <c r="AW165" s="172">
        <f ca="1">(VLOOKUP(AW$72,INDIRECT($C$5&amp;"生成成长"),2))/((VLOOKUP($B165,INDIRECT($B$5&amp;"生成成长"),4))/(VLOOKUP(AW$72,INDIRECT($C$5&amp;"生成成长"),5))*(VLOOKUP($B$5,标准坦克设计!$B$24:$U$30,MATCH("对"&amp;LEFT($C$5,2)&amp;"输出",标准坦克设计!$B$23:$U$23,0)))*(VLOOKUP($B165,INDIRECT($B$5&amp;"生成成长"),3))*(VLOOKUP($B$5,标准坦克设计!$B$14:$K$20,9)/30))</f>
        <v>1.9564403847853906</v>
      </c>
      <c r="AX165" s="172">
        <f ca="1">(VLOOKUP(AX$72,INDIRECT($C$5&amp;"生成成长"),2))/((VLOOKUP($B165,INDIRECT($B$5&amp;"生成成长"),4))/(VLOOKUP(AX$72,INDIRECT($C$5&amp;"生成成长"),5))*(VLOOKUP($B$5,标准坦克设计!$B$24:$U$30,MATCH("对"&amp;LEFT($C$5,2)&amp;"输出",标准坦克设计!$B$23:$U$23,0)))*(VLOOKUP($B165,INDIRECT($B$5&amp;"生成成长"),3))*(VLOOKUP($B$5,标准坦克设计!$B$14:$K$20,9)/30))</f>
        <v>2.2127641439409467</v>
      </c>
      <c r="AY165" s="172">
        <f ca="1">(VLOOKUP(AY$72,INDIRECT($C$5&amp;"生成成长"),2))/((VLOOKUP($B165,INDIRECT($B$5&amp;"生成成长"),4))/(VLOOKUP(AY$72,INDIRECT($C$5&amp;"生成成长"),5))*(VLOOKUP($B$5,标准坦克设计!$B$24:$U$30,MATCH("对"&amp;LEFT($C$5,2)&amp;"输出",标准坦克设计!$B$23:$U$23,0)))*(VLOOKUP($B165,INDIRECT($B$5&amp;"生成成长"),3))*(VLOOKUP($B$5,标准坦克设计!$B$14:$K$20,9)/30))</f>
        <v>2.4848616728906912</v>
      </c>
      <c r="AZ165" s="172">
        <f ca="1">(VLOOKUP(AZ$72,INDIRECT($C$5&amp;"生成成长"),2))/((VLOOKUP($B165,INDIRECT($B$5&amp;"生成成长"),4))/(VLOOKUP(AZ$72,INDIRECT($C$5&amp;"生成成长"),5))*(VLOOKUP($B$5,标准坦克设计!$B$24:$U$30,MATCH("对"&amp;LEFT($C$5,2)&amp;"输出",标准坦克设计!$B$23:$U$23,0)))*(VLOOKUP($B165,INDIRECT($B$5&amp;"生成成长"),3))*(VLOOKUP($B$5,标准坦克设计!$B$14:$K$20,9)/30))</f>
        <v>2.772732971634623</v>
      </c>
      <c r="BA165" s="172">
        <f ca="1">(VLOOKUP(BA$72,INDIRECT($C$5&amp;"生成成长"),2))/((VLOOKUP($B165,INDIRECT($B$5&amp;"生成成长"),4))/(VLOOKUP(BA$72,INDIRECT($C$5&amp;"生成成长"),5))*(VLOOKUP($B$5,标准坦克设计!$B$24:$U$30,MATCH("对"&amp;LEFT($C$5,2)&amp;"输出",标准坦克设计!$B$23:$U$23,0)))*(VLOOKUP($B165,INDIRECT($B$5&amp;"生成成长"),3))*(VLOOKUP($B$5,标准坦克设计!$B$14:$K$20,9)/30))</f>
        <v>3.0763780401727439</v>
      </c>
      <c r="BB165" s="172">
        <f ca="1">(VLOOKUP(BB$72,INDIRECT($C$5&amp;"生成成长"),2))/((VLOOKUP($B165,INDIRECT($B$5&amp;"生成成长"),4))/(VLOOKUP(BB$72,INDIRECT($C$5&amp;"生成成长"),5))*(VLOOKUP($B$5,标准坦克设计!$B$24:$U$30,MATCH("对"&amp;LEFT($C$5,2)&amp;"输出",标准坦克设计!$B$23:$U$23,0)))*(VLOOKUP($B165,INDIRECT($B$5&amp;"生成成长"),3))*(VLOOKUP($B$5,标准坦克设计!$B$14:$K$20,9)/30))</f>
        <v>3.3957968785050525</v>
      </c>
      <c r="BC165" s="172">
        <f ca="1">(VLOOKUP(BC$72,INDIRECT($C$5&amp;"生成成长"),2))/((VLOOKUP($B165,INDIRECT($B$5&amp;"生成成长"),4))/(VLOOKUP(BC$72,INDIRECT($C$5&amp;"生成成长"),5))*(VLOOKUP($B$5,标准坦克设计!$B$24:$U$30,MATCH("对"&amp;LEFT($C$5,2)&amp;"输出",标准坦克设计!$B$23:$U$23,0)))*(VLOOKUP($B165,INDIRECT($B$5&amp;"生成成长"),3))*(VLOOKUP($B$5,标准坦克设计!$B$14:$K$20,9)/30))</f>
        <v>3.7309894866315494</v>
      </c>
      <c r="BD165" s="172">
        <f ca="1">(VLOOKUP(BD$72,INDIRECT($C$5&amp;"生成成长"),2))/((VLOOKUP($B165,INDIRECT($B$5&amp;"生成成长"),4))/(VLOOKUP(BD$72,INDIRECT($C$5&amp;"生成成长"),5))*(VLOOKUP($B$5,标准坦克设计!$B$24:$U$30,MATCH("对"&amp;LEFT($C$5,2)&amp;"输出",标准坦克设计!$B$23:$U$23,0)))*(VLOOKUP($B165,INDIRECT($B$5&amp;"生成成长"),3))*(VLOOKUP($B$5,标准坦克设计!$B$14:$K$20,9)/30))</f>
        <v>4.1269357549809742</v>
      </c>
      <c r="BE165" s="172">
        <f ca="1">(VLOOKUP(BE$72,INDIRECT($C$5&amp;"生成成长"),2))/((VLOOKUP($B165,INDIRECT($B$5&amp;"生成成长"),4))/(VLOOKUP(BE$72,INDIRECT($C$5&amp;"生成成长"),5))*(VLOOKUP($B$5,标准坦克设计!$B$24:$U$30,MATCH("对"&amp;LEFT($C$5,2)&amp;"输出",标准坦克设计!$B$23:$U$23,0)))*(VLOOKUP($B165,INDIRECT($B$5&amp;"生成成长"),3))*(VLOOKUP($B$5,标准坦克设计!$B$14:$K$20,9)/30))</f>
        <v>4.5428457007261676</v>
      </c>
      <c r="BF165" s="172">
        <f ca="1">(VLOOKUP(BF$72,INDIRECT($C$5&amp;"生成成长"),2))/((VLOOKUP($B165,INDIRECT($B$5&amp;"生成成长"),4))/(VLOOKUP(BF$72,INDIRECT($C$5&amp;"生成成长"),5))*(VLOOKUP($B$5,标准坦克设计!$B$24:$U$30,MATCH("对"&amp;LEFT($C$5,2)&amp;"输出",标准坦克设计!$B$23:$U$23,0)))*(VLOOKUP($B165,INDIRECT($B$5&amp;"生成成长"),3))*(VLOOKUP($B$5,标准坦克设计!$B$14:$K$20,9)/30))</f>
        <v>4.9787193238671295</v>
      </c>
      <c r="BG165" s="172">
        <f ca="1">(VLOOKUP(BG$72,INDIRECT($C$5&amp;"生成成长"),2))/((VLOOKUP($B165,INDIRECT($B$5&amp;"生成成长"),4))/(VLOOKUP(BG$72,INDIRECT($C$5&amp;"生成成长"),5))*(VLOOKUP($B$5,标准坦克设计!$B$24:$U$30,MATCH("对"&amp;LEFT($C$5,2)&amp;"输出",标准坦克设计!$B$23:$U$23,0)))*(VLOOKUP($B165,INDIRECT($B$5&amp;"生成成长"),3))*(VLOOKUP($B$5,标准坦克设计!$B$14:$K$20,9)/30))</f>
        <v>5.4345566244038626</v>
      </c>
      <c r="BH165" s="172">
        <f ca="1">(VLOOKUP(BH$72,INDIRECT($C$5&amp;"生成成长"),2))/((VLOOKUP($B165,INDIRECT($B$5&amp;"生成成长"),4))/(VLOOKUP(BH$72,INDIRECT($C$5&amp;"生成成长"),5))*(VLOOKUP($B$5,标准坦克设计!$B$24:$U$30,MATCH("对"&amp;LEFT($C$5,2)&amp;"输出",标准坦克设计!$B$23:$U$23,0)))*(VLOOKUP($B165,INDIRECT($B$5&amp;"生成成长"),3))*(VLOOKUP($B$5,标准坦克设计!$B$14:$K$20,9)/30))</f>
        <v>2.6268256010383841</v>
      </c>
      <c r="BI165" s="172">
        <f ca="1">(VLOOKUP(BI$72,INDIRECT($C$5&amp;"生成成长"),2))/((VLOOKUP($B165,INDIRECT($B$5&amp;"生成成长"),4))/(VLOOKUP(BI$72,INDIRECT($C$5&amp;"生成成长"),5))*(VLOOKUP($B$5,标准坦克设计!$B$24:$U$30,MATCH("对"&amp;LEFT($C$5,2)&amp;"输出",标准坦克设计!$B$23:$U$23,0)))*(VLOOKUP($B165,INDIRECT($B$5&amp;"生成成长"),3))*(VLOOKUP($B$5,标准坦克设计!$B$14:$K$20,9)/30))</f>
        <v>2.9606626508231924</v>
      </c>
      <c r="BJ165" s="172">
        <f ca="1">(VLOOKUP(BJ$72,INDIRECT($C$5&amp;"生成成长"),2))/((VLOOKUP($B165,INDIRECT($B$5&amp;"生成成长"),4))/(VLOOKUP(BJ$72,INDIRECT($C$5&amp;"生成成长"),5))*(VLOOKUP($B$5,标准坦克设计!$B$24:$U$30,MATCH("对"&amp;LEFT($C$5,2)&amp;"输出",标准坦克设计!$B$23:$U$23,0)))*(VLOOKUP($B165,INDIRECT($B$5&amp;"生成成长"),3))*(VLOOKUP($B$5,标准坦克设计!$B$14:$K$20,9)/30))</f>
        <v>3.3144633780037704</v>
      </c>
      <c r="BK165" s="172">
        <f ca="1">(VLOOKUP(BK$72,INDIRECT($C$5&amp;"生成成长"),2))/((VLOOKUP($B165,INDIRECT($B$5&amp;"生成成长"),4))/(VLOOKUP(BK$72,INDIRECT($C$5&amp;"生成成长"),5))*(VLOOKUP($B$5,标准坦克设计!$B$24:$U$30,MATCH("对"&amp;LEFT($C$5,2)&amp;"输出",标准坦克设计!$B$23:$U$23,0)))*(VLOOKUP($B165,INDIRECT($B$5&amp;"生成成长"),3))*(VLOOKUP($B$5,标准坦克设计!$B$14:$K$20,9)/30))</f>
        <v>3.6882277825801175</v>
      </c>
      <c r="BL165" s="172">
        <f ca="1">(VLOOKUP(BL$72,INDIRECT($C$5&amp;"生成成长"),2))/((VLOOKUP($B165,INDIRECT($B$5&amp;"生成成长"),4))/(VLOOKUP(BL$72,INDIRECT($C$5&amp;"生成成长"),5))*(VLOOKUP($B$5,标准坦克设计!$B$24:$U$30,MATCH("对"&amp;LEFT($C$5,2)&amp;"输出",标准坦克设计!$B$23:$U$23,0)))*(VLOOKUP($B165,INDIRECT($B$5&amp;"生成成长"),3))*(VLOOKUP($B$5,标准坦克设计!$B$14:$K$20,9)/30))</f>
        <v>4.081955864552234</v>
      </c>
      <c r="BM165" s="172">
        <f ca="1">(VLOOKUP(BM$72,INDIRECT($C$5&amp;"生成成长"),2))/((VLOOKUP($B165,INDIRECT($B$5&amp;"生成成长"),4))/(VLOOKUP(BM$72,INDIRECT($C$5&amp;"生成成长"),5))*(VLOOKUP($B$5,标准坦克设计!$B$24:$U$30,MATCH("对"&amp;LEFT($C$5,2)&amp;"输出",标准坦克设计!$B$23:$U$23,0)))*(VLOOKUP($B165,INDIRECT($B$5&amp;"生成成长"),3))*(VLOOKUP($B$5,标准坦克设计!$B$14:$K$20,9)/30))</f>
        <v>4.49564762392012</v>
      </c>
      <c r="BN165" s="172">
        <f ca="1">(VLOOKUP(BN$72,INDIRECT($C$5&amp;"生成成长"),2))/((VLOOKUP($B165,INDIRECT($B$5&amp;"生成成长"),4))/(VLOOKUP(BN$72,INDIRECT($C$5&amp;"生成成长"),5))*(VLOOKUP($B$5,标准坦克设计!$B$24:$U$30,MATCH("对"&amp;LEFT($C$5,2)&amp;"输出",标准坦克设计!$B$23:$U$23,0)))*(VLOOKUP($B165,INDIRECT($B$5&amp;"生成成长"),3))*(VLOOKUP($B$5,标准坦克设计!$B$14:$K$20,9)/30))</f>
        <v>4.9293030606837753</v>
      </c>
      <c r="BO165" s="172">
        <f ca="1">(VLOOKUP(BO$72,INDIRECT($C$5&amp;"生成成长"),2))/((VLOOKUP($B165,INDIRECT($B$5&amp;"生成成长"),4))/(VLOOKUP(BO$72,INDIRECT($C$5&amp;"生成成长"),5))*(VLOOKUP($B$5,标准坦克设计!$B$24:$U$30,MATCH("对"&amp;LEFT($C$5,2)&amp;"输出",标准坦克设计!$B$23:$U$23,0)))*(VLOOKUP($B165,INDIRECT($B$5&amp;"生成成长"),3))*(VLOOKUP($B$5,标准坦克设计!$B$14:$K$20,9)/30))</f>
        <v>5.3829221748431992</v>
      </c>
      <c r="BP165" s="172">
        <f ca="1">(VLOOKUP(BP$72,INDIRECT($C$5&amp;"生成成长"),2))/((VLOOKUP($B165,INDIRECT($B$5&amp;"生成成长"),4))/(VLOOKUP(BP$72,INDIRECT($C$5&amp;"生成成长"),5))*(VLOOKUP($B$5,标准坦克设计!$B$24:$U$30,MATCH("对"&amp;LEFT($C$5,2)&amp;"输出",标准坦克设计!$B$23:$U$23,0)))*(VLOOKUP($B165,INDIRECT($B$5&amp;"生成成长"),3))*(VLOOKUP($B$5,标准坦克设计!$B$14:$K$20,9)/30))</f>
        <v>5.8565049663983935</v>
      </c>
      <c r="BQ165" s="172">
        <f ca="1">(VLOOKUP(BQ$72,INDIRECT($C$5&amp;"生成成长"),2))/((VLOOKUP($B165,INDIRECT($B$5&amp;"生成成长"),4))/(VLOOKUP(BQ$72,INDIRECT($C$5&amp;"生成成长"),5))*(VLOOKUP($B$5,标准坦克设计!$B$24:$U$30,MATCH("对"&amp;LEFT($C$5,2)&amp;"输出",标准坦克设计!$B$23:$U$23,0)))*(VLOOKUP($B165,INDIRECT($B$5&amp;"生成成长"),3))*(VLOOKUP($B$5,标准坦克设计!$B$14:$K$20,9)/30))</f>
        <v>6.3500514353493571</v>
      </c>
      <c r="BR165" s="172">
        <f ca="1">(VLOOKUP(BR$72,INDIRECT($C$5&amp;"生成成长"),2))/((VLOOKUP($B165,INDIRECT($B$5&amp;"生成成长"),4))/(VLOOKUP(BR$72,INDIRECT($C$5&amp;"生成成长"),5))*(VLOOKUP($B$5,标准坦克设计!$B$24:$U$30,MATCH("对"&amp;LEFT($C$5,2)&amp;"输出",标准坦克设计!$B$23:$U$23,0)))*(VLOOKUP($B165,INDIRECT($B$5&amp;"生成成长"),3))*(VLOOKUP($B$5,标准坦克设计!$B$14:$K$20,9)/30))</f>
        <v>6.9218505903886749</v>
      </c>
      <c r="BS165" s="172">
        <f ca="1">(VLOOKUP(BS$72,INDIRECT($C$5&amp;"生成成长"),2))/((VLOOKUP($B165,INDIRECT($B$5&amp;"生成成长"),4))/(VLOOKUP(BS$72,INDIRECT($C$5&amp;"生成成长"),5))*(VLOOKUP($B$5,标准坦克设计!$B$24:$U$30,MATCH("对"&amp;LEFT($C$5,2)&amp;"输出",标准坦克设计!$B$23:$U$23,0)))*(VLOOKUP($B165,INDIRECT($B$5&amp;"生成成长"),3))*(VLOOKUP($B$5,标准坦克设计!$B$14:$K$20,9)/30))</f>
        <v>7.5182962607314101</v>
      </c>
      <c r="BT165" s="172">
        <f ca="1">(VLOOKUP(BT$72,INDIRECT($C$5&amp;"生成成长"),2))/((VLOOKUP($B165,INDIRECT($B$5&amp;"生成成长"),4))/(VLOOKUP(BT$72,INDIRECT($C$5&amp;"生成成长"),5))*(VLOOKUP($B$5,标准坦克设计!$B$24:$U$30,MATCH("对"&amp;LEFT($C$5,2)&amp;"输出",标准坦克设计!$B$23:$U$23,0)))*(VLOOKUP($B165,INDIRECT($B$5&amp;"生成成长"),3))*(VLOOKUP($B$5,标准坦克设计!$B$14:$K$20,9)/30))</f>
        <v>8.1393884463775663</v>
      </c>
      <c r="BU165" s="172">
        <f ca="1">(VLOOKUP(BU$72,INDIRECT($C$5&amp;"生成成长"),2))/((VLOOKUP($B165,INDIRECT($B$5&amp;"生成成长"),4))/(VLOOKUP(BU$72,INDIRECT($C$5&amp;"生成成长"),5))*(VLOOKUP($B$5,标准坦克设计!$B$24:$U$30,MATCH("对"&amp;LEFT($C$5,2)&amp;"输出",标准坦克设计!$B$23:$U$23,0)))*(VLOOKUP($B165,INDIRECT($B$5&amp;"生成成长"),3))*(VLOOKUP($B$5,标准坦克设计!$B$14:$K$20,9)/30))</f>
        <v>8.7851271473271417</v>
      </c>
      <c r="BV165" s="172">
        <f ca="1">(VLOOKUP(BV$72,INDIRECT($C$5&amp;"生成成长"),2))/((VLOOKUP($B165,INDIRECT($B$5&amp;"生成成长"),4))/(VLOOKUP(BV$72,INDIRECT($C$5&amp;"生成成长"),5))*(VLOOKUP($B$5,标准坦克设计!$B$24:$U$30,MATCH("对"&amp;LEFT($C$5,2)&amp;"输出",标准坦克设计!$B$23:$U$23,0)))*(VLOOKUP($B165,INDIRECT($B$5&amp;"生成成长"),3))*(VLOOKUP($B$5,标准坦克设计!$B$14:$K$20,9)/30))</f>
        <v>9.4555123635801355</v>
      </c>
      <c r="BW165" s="172">
        <f ca="1">(VLOOKUP(BW$72,INDIRECT($C$5&amp;"生成成长"),2))/((VLOOKUP($B165,INDIRECT($B$5&amp;"生成成长"),4))/(VLOOKUP(BW$72,INDIRECT($C$5&amp;"生成成长"),5))*(VLOOKUP($B$5,标准坦克设计!$B$24:$U$30,MATCH("对"&amp;LEFT($C$5,2)&amp;"输出",标准坦克设计!$B$23:$U$23,0)))*(VLOOKUP($B165,INDIRECT($B$5&amp;"生成成长"),3))*(VLOOKUP($B$5,标准坦克设计!$B$14:$K$20,9)/30))</f>
        <v>4.3093199682262728</v>
      </c>
      <c r="BX165" s="172">
        <f ca="1">(VLOOKUP(BX$72,INDIRECT($C$5&amp;"生成成长"),2))/((VLOOKUP($B165,INDIRECT($B$5&amp;"生成成长"),4))/(VLOOKUP(BX$72,INDIRECT($C$5&amp;"生成成长"),5))*(VLOOKUP($B$5,标准坦克设计!$B$24:$U$30,MATCH("对"&amp;LEFT($C$5,2)&amp;"输出",标准坦克设计!$B$23:$U$23,0)))*(VLOOKUP($B165,INDIRECT($B$5&amp;"生成成长"),3))*(VLOOKUP($B$5,标准坦克设计!$B$14:$K$20,9)/30))</f>
        <v>4.7825330620519155</v>
      </c>
      <c r="BY165" s="172">
        <f ca="1">(VLOOKUP(BY$72,INDIRECT($C$5&amp;"生成成长"),2))/((VLOOKUP($B165,INDIRECT($B$5&amp;"生成成长"),4))/(VLOOKUP(BY$72,INDIRECT($C$5&amp;"生成成长"),5))*(VLOOKUP($B$5,标准坦克设计!$B$24:$U$30,MATCH("对"&amp;LEFT($C$5,2)&amp;"输出",标准坦克设计!$B$23:$U$23,0)))*(VLOOKUP($B165,INDIRECT($B$5&amp;"生成成长"),3))*(VLOOKUP($B$5,标准坦克设计!$B$14:$K$20,9)/30))</f>
        <v>5.2803926711809774</v>
      </c>
      <c r="BZ165" s="172">
        <f ca="1">(VLOOKUP(BZ$72,INDIRECT($C$5&amp;"生成成长"),2))/((VLOOKUP($B165,INDIRECT($B$5&amp;"生成成长"),4))/(VLOOKUP(BZ$72,INDIRECT($C$5&amp;"生成成长"),5))*(VLOOKUP($B$5,标准坦克设计!$B$24:$U$30,MATCH("对"&amp;LEFT($C$5,2)&amp;"输出",标准坦克设计!$B$23:$U$23,0)))*(VLOOKUP($B165,INDIRECT($B$5&amp;"生成成长"),3))*(VLOOKUP($B$5,标准坦克设计!$B$14:$K$20,9)/30))</f>
        <v>5.8028987956134577</v>
      </c>
      <c r="CA165" s="172">
        <f ca="1">(VLOOKUP(CA$72,INDIRECT($C$5&amp;"生成成长"),2))/((VLOOKUP($B165,INDIRECT($B$5&amp;"生成成长"),4))/(VLOOKUP(CA$72,INDIRECT($C$5&amp;"生成成长"),5))*(VLOOKUP($B$5,标准坦克设计!$B$24:$U$30,MATCH("对"&amp;LEFT($C$5,2)&amp;"输出",标准坦克设计!$B$23:$U$23,0)))*(VLOOKUP($B165,INDIRECT($B$5&amp;"生成成长"),3))*(VLOOKUP($B$5,标准坦克设计!$B$14:$K$20,9)/30))</f>
        <v>6.3500514353493571</v>
      </c>
      <c r="CB165" s="172">
        <f ca="1">(VLOOKUP(CB$72,INDIRECT($C$5&amp;"生成成长"),2))/((VLOOKUP($B165,INDIRECT($B$5&amp;"生成成长"),4))/(VLOOKUP(CB$72,INDIRECT($C$5&amp;"生成成长"),5))*(VLOOKUP($B$5,标准坦克设计!$B$24:$U$30,MATCH("对"&amp;LEFT($C$5,2)&amp;"输出",标准坦克设计!$B$23:$U$23,0)))*(VLOOKUP($B165,INDIRECT($B$5&amp;"生成成长"),3))*(VLOOKUP($B$5,标准坦克设计!$B$14:$K$20,9)/30))</f>
        <v>6.9218505903886749</v>
      </c>
      <c r="CC165" s="172">
        <f ca="1">(VLOOKUP(CC$72,INDIRECT($C$5&amp;"生成成长"),2))/((VLOOKUP($B165,INDIRECT($B$5&amp;"生成成长"),4))/(VLOOKUP(CC$72,INDIRECT($C$5&amp;"生成成长"),5))*(VLOOKUP($B$5,标准坦克设计!$B$24:$U$30,MATCH("对"&amp;LEFT($C$5,2)&amp;"输出",标准坦克设计!$B$23:$U$23,0)))*(VLOOKUP($B165,INDIRECT($B$5&amp;"生成成长"),3))*(VLOOKUP($B$5,标准坦克设计!$B$14:$K$20,9)/30))</f>
        <v>7.5182962607314101</v>
      </c>
      <c r="CD165" s="172">
        <f ca="1">(VLOOKUP(CD$72,INDIRECT($C$5&amp;"生成成长"),2))/((VLOOKUP($B165,INDIRECT($B$5&amp;"生成成长"),4))/(VLOOKUP(CD$72,INDIRECT($C$5&amp;"生成成长"),5))*(VLOOKUP($B$5,标准坦克设计!$B$24:$U$30,MATCH("对"&amp;LEFT($C$5,2)&amp;"输出",标准坦克设计!$B$23:$U$23,0)))*(VLOOKUP($B165,INDIRECT($B$5&amp;"生成成长"),3))*(VLOOKUP($B$5,标准坦克设计!$B$14:$K$20,9)/30))</f>
        <v>8.1393884463775663</v>
      </c>
      <c r="CE165" s="172">
        <f ca="1">(VLOOKUP(CE$72,INDIRECT($C$5&amp;"生成成长"),2))/((VLOOKUP($B165,INDIRECT($B$5&amp;"生成成长"),4))/(VLOOKUP(CE$72,INDIRECT($C$5&amp;"生成成长"),5))*(VLOOKUP($B$5,标准坦克设计!$B$24:$U$30,MATCH("对"&amp;LEFT($C$5,2)&amp;"输出",标准坦克设计!$B$23:$U$23,0)))*(VLOOKUP($B165,INDIRECT($B$5&amp;"生成成长"),3))*(VLOOKUP($B$5,标准坦克设计!$B$14:$K$20,9)/30))</f>
        <v>8.7851271473271417</v>
      </c>
      <c r="CF165" s="172">
        <f ca="1">(VLOOKUP(CF$72,INDIRECT($C$5&amp;"生成成长"),2))/((VLOOKUP($B165,INDIRECT($B$5&amp;"生成成长"),4))/(VLOOKUP(CF$72,INDIRECT($C$5&amp;"生成成长"),5))*(VLOOKUP($B$5,标准坦克设计!$B$24:$U$30,MATCH("对"&amp;LEFT($C$5,2)&amp;"输出",标准坦克设计!$B$23:$U$23,0)))*(VLOOKUP($B165,INDIRECT($B$5&amp;"生成成长"),3))*(VLOOKUP($B$5,标准坦克设计!$B$14:$K$20,9)/30))</f>
        <v>9.4555123635801355</v>
      </c>
      <c r="CG165" s="172">
        <f ca="1">(VLOOKUP(CG$72,INDIRECT($C$5&amp;"生成成长"),2))/((VLOOKUP($B165,INDIRECT($B$5&amp;"生成成长"),4))/(VLOOKUP(CG$72,INDIRECT($C$5&amp;"生成成长"),5))*(VLOOKUP($B$5,标准坦克设计!$B$24:$U$30,MATCH("对"&amp;LEFT($C$5,2)&amp;"输出",标准坦克设计!$B$23:$U$23,0)))*(VLOOKUP($B165,INDIRECT($B$5&amp;"生成成长"),3))*(VLOOKUP($B$5,标准坦克设计!$B$14:$K$20,9)/30))</f>
        <v>10.150544095136548</v>
      </c>
      <c r="CH165" s="172">
        <f ca="1">(VLOOKUP(CH$72,INDIRECT($C$5&amp;"生成成长"),2))/((VLOOKUP($B165,INDIRECT($B$5&amp;"生成成长"),4))/(VLOOKUP(CH$72,INDIRECT($C$5&amp;"生成成长"),5))*(VLOOKUP($B$5,标准坦克设计!$B$24:$U$30,MATCH("对"&amp;LEFT($C$5,2)&amp;"输出",标准坦克设计!$B$23:$U$23,0)))*(VLOOKUP($B165,INDIRECT($B$5&amp;"生成成长"),3))*(VLOOKUP($B$5,标准坦克设计!$B$14:$K$20,9)/30))</f>
        <v>10.870222341996378</v>
      </c>
      <c r="CI165" s="172">
        <f ca="1">(VLOOKUP(CI$72,INDIRECT($C$5&amp;"生成成长"),2))/((VLOOKUP($B165,INDIRECT($B$5&amp;"生成成长"),4))/(VLOOKUP(CI$72,INDIRECT($C$5&amp;"生成成长"),5))*(VLOOKUP($B$5,标准坦克设计!$B$24:$U$30,MATCH("对"&amp;LEFT($C$5,2)&amp;"输出",标准坦克设计!$B$23:$U$23,0)))*(VLOOKUP($B165,INDIRECT($B$5&amp;"生成成长"),3))*(VLOOKUP($B$5,标准坦克设计!$B$14:$K$20,9)/30))</f>
        <v>11.690335138717641</v>
      </c>
      <c r="CJ165" s="172">
        <f ca="1">(VLOOKUP(CJ$72,INDIRECT($C$5&amp;"生成成长"),2))/((VLOOKUP($B165,INDIRECT($B$5&amp;"生成成长"),4))/(VLOOKUP(CJ$72,INDIRECT($C$5&amp;"生成成长"),5))*(VLOOKUP($B$5,标准坦克设计!$B$24:$U$30,MATCH("对"&amp;LEFT($C$5,2)&amp;"输出",标准坦克设计!$B$23:$U$23,0)))*(VLOOKUP($B165,INDIRECT($B$5&amp;"生成成长"),3))*(VLOOKUP($B$5,标准坦克设计!$B$14:$K$20,9)/30))</f>
        <v>12.54027021895604</v>
      </c>
      <c r="CK165" s="172">
        <f ca="1">(VLOOKUP(CK$72,INDIRECT($C$5&amp;"生成成长"),2))/((VLOOKUP($B165,INDIRECT($B$5&amp;"生成成长"),4))/(VLOOKUP(CK$72,INDIRECT($C$5&amp;"生成成长"),5))*(VLOOKUP($B$5,标准坦克设计!$B$24:$U$30,MATCH("对"&amp;LEFT($C$5,2)&amp;"输出",标准坦克设计!$B$23:$U$23,0)))*(VLOOKUP($B165,INDIRECT($B$5&amp;"生成成长"),3))*(VLOOKUP($B$5,标准坦克设计!$B$14:$K$20,9)/30))</f>
        <v>13.42002758271158</v>
      </c>
      <c r="CL165" s="172">
        <f ca="1">(VLOOKUP(CL$72,INDIRECT($C$5&amp;"生成成长"),2))/((VLOOKUP($B165,INDIRECT($B$5&amp;"生成成长"),4))/(VLOOKUP(CL$72,INDIRECT($C$5&amp;"生成成长"),5))*(VLOOKUP($B$5,标准坦克设计!$B$24:$U$30,MATCH("对"&amp;LEFT($C$5,2)&amp;"输出",标准坦克设计!$B$23:$U$23,0)))*(VLOOKUP($B165,INDIRECT($B$5&amp;"生成成长"),3))*(VLOOKUP($B$5,标准坦克设计!$B$14:$K$20,9)/30))</f>
        <v>14.329607229984251</v>
      </c>
      <c r="CM165" s="172">
        <f ca="1">(VLOOKUP(CM$72,INDIRECT($C$5&amp;"生成成长"),2))/((VLOOKUP($B165,INDIRECT($B$5&amp;"生成成长"),4))/(VLOOKUP(CM$72,INDIRECT($C$5&amp;"生成成长"),5))*(VLOOKUP($B$5,标准坦克设计!$B$24:$U$30,MATCH("对"&amp;LEFT($C$5,2)&amp;"输出",标准坦克设计!$B$23:$U$23,0)))*(VLOOKUP($B165,INDIRECT($B$5&amp;"生成成长"),3))*(VLOOKUP($B$5,标准坦克设计!$B$14:$K$20,9)/30))</f>
        <v>15.269009160774063</v>
      </c>
      <c r="CN165" s="172">
        <f ca="1">(VLOOKUP(CN$72,INDIRECT($C$5&amp;"生成成长"),2))/((VLOOKUP($B165,INDIRECT($B$5&amp;"生成成长"),4))/(VLOOKUP(CN$72,INDIRECT($C$5&amp;"生成成长"),5))*(VLOOKUP($B$5,标准坦克设计!$B$24:$U$30,MATCH("对"&amp;LEFT($C$5,2)&amp;"输出",标准坦克设计!$B$23:$U$23,0)))*(VLOOKUP($B165,INDIRECT($B$5&amp;"生成成长"),3))*(VLOOKUP($B$5,标准坦克设计!$B$14:$K$20,9)/30))</f>
        <v>16.238233375081006</v>
      </c>
      <c r="CO165" s="172">
        <f ca="1">(VLOOKUP(CO$72,INDIRECT($C$5&amp;"生成成长"),2))/((VLOOKUP($B165,INDIRECT($B$5&amp;"生成成长"),4))/(VLOOKUP(CO$72,INDIRECT($C$5&amp;"生成成长"),5))*(VLOOKUP($B$5,标准坦克设计!$B$24:$U$30,MATCH("对"&amp;LEFT($C$5,2)&amp;"输出",标准坦克设计!$B$23:$U$23,0)))*(VLOOKUP($B165,INDIRECT($B$5&amp;"生成成长"),3))*(VLOOKUP($B$5,标准坦克设计!$B$14:$K$20,9)/30))</f>
        <v>7.2767604107579054</v>
      </c>
      <c r="CP165" s="172">
        <f ca="1">(VLOOKUP(CP$72,INDIRECT($C$5&amp;"生成成长"),2))/((VLOOKUP($B165,INDIRECT($B$5&amp;"生成成长"),4))/(VLOOKUP(CP$72,INDIRECT($C$5&amp;"生成成长"),5))*(VLOOKUP($B$5,标准坦克设计!$B$24:$U$30,MATCH("对"&amp;LEFT($C$5,2)&amp;"输出",标准坦克设计!$B$23:$U$23,0)))*(VLOOKUP($B165,INDIRECT($B$5&amp;"生成成长"),3))*(VLOOKUP($B$5,标准坦克设计!$B$14:$K$20,9)/30))</f>
        <v>7.950472906576862</v>
      </c>
      <c r="CQ165" s="172">
        <f ca="1">(VLOOKUP(CQ$72,INDIRECT($C$5&amp;"生成成长"),2))/((VLOOKUP($B165,INDIRECT($B$5&amp;"生成成长"),4))/(VLOOKUP(CQ$72,INDIRECT($C$5&amp;"生成成长"),5))*(VLOOKUP($B$5,标准坦克设计!$B$24:$U$30,MATCH("对"&amp;LEFT($C$5,2)&amp;"输出",标准坦克设计!$B$23:$U$23,0)))*(VLOOKUP($B165,INDIRECT($B$5&amp;"生成成长"),3))*(VLOOKUP($B$5,标准坦克设计!$B$14:$K$20,9)/30))</f>
        <v>8.6540076859129513</v>
      </c>
      <c r="CR165" s="172">
        <f ca="1">(VLOOKUP(CR$72,INDIRECT($C$5&amp;"生成成长"),2))/((VLOOKUP($B165,INDIRECT($B$5&amp;"生成成长"),4))/(VLOOKUP(CR$72,INDIRECT($C$5&amp;"生成成长"),5))*(VLOOKUP($B$5,标准坦克设计!$B$24:$U$30,MATCH("对"&amp;LEFT($C$5,2)&amp;"输出",标准坦克设计!$B$23:$U$23,0)))*(VLOOKUP($B165,INDIRECT($B$5&amp;"生成成长"),3))*(VLOOKUP($B$5,标准坦克设计!$B$14:$K$20,9)/30))</f>
        <v>9.3873647487661813</v>
      </c>
      <c r="CS165" s="172">
        <f ca="1">(VLOOKUP(CS$72,INDIRECT($C$5&amp;"生成成长"),2))/((VLOOKUP($B165,INDIRECT($B$5&amp;"生成成长"),4))/(VLOOKUP(CS$72,INDIRECT($C$5&amp;"生成成长"),5))*(VLOOKUP($B$5,标准坦克设计!$B$24:$U$30,MATCH("对"&amp;LEFT($C$5,2)&amp;"输出",标准坦克设计!$B$23:$U$23,0)))*(VLOOKUP($B165,INDIRECT($B$5&amp;"生成成长"),3))*(VLOOKUP($B$5,标准坦克设计!$B$14:$K$20,9)/30))</f>
        <v>10.150544095136548</v>
      </c>
      <c r="CT165" s="172">
        <f ca="1">(VLOOKUP(CT$72,INDIRECT($C$5&amp;"生成成长"),2))/((VLOOKUP($B165,INDIRECT($B$5&amp;"生成成长"),4))/(VLOOKUP(CT$72,INDIRECT($C$5&amp;"生成成长"),5))*(VLOOKUP($B$5,标准坦克设计!$B$24:$U$30,MATCH("对"&amp;LEFT($C$5,2)&amp;"输出",标准坦克设计!$B$23:$U$23,0)))*(VLOOKUP($B165,INDIRECT($B$5&amp;"生成成长"),3))*(VLOOKUP($B$5,标准坦克设计!$B$14:$K$20,9)/30))</f>
        <v>10.94354572502405</v>
      </c>
      <c r="CU165" s="172">
        <f ca="1">(VLOOKUP(CU$72,INDIRECT($C$5&amp;"生成成长"),2))/((VLOOKUP($B165,INDIRECT($B$5&amp;"生成成长"),4))/(VLOOKUP(CU$72,INDIRECT($C$5&amp;"生成成长"),5))*(VLOOKUP($B$5,标准坦克设计!$B$24:$U$30,MATCH("对"&amp;LEFT($C$5,2)&amp;"输出",标准坦克设计!$B$23:$U$23,0)))*(VLOOKUP($B165,INDIRECT($B$5&amp;"生成成长"),3))*(VLOOKUP($B$5,标准坦克设计!$B$14:$K$20,9)/30))</f>
        <v>11.766369638428687</v>
      </c>
      <c r="CV165" s="172">
        <f ca="1">(VLOOKUP(CV$72,INDIRECT($C$5&amp;"生成成长"),2))/((VLOOKUP($B165,INDIRECT($B$5&amp;"生成成长"),4))/(VLOOKUP(CV$72,INDIRECT($C$5&amp;"生成成长"),5))*(VLOOKUP($B$5,标准坦克设计!$B$24:$U$30,MATCH("对"&amp;LEFT($C$5,2)&amp;"输出",标准坦克设计!$B$23:$U$23,0)))*(VLOOKUP($B165,INDIRECT($B$5&amp;"生成成长"),3))*(VLOOKUP($B$5,标准坦克设计!$B$14:$K$20,9)/30))</f>
        <v>12.619015835350464</v>
      </c>
      <c r="CW165" s="172">
        <f ca="1">(VLOOKUP(CW$72,INDIRECT($C$5&amp;"生成成长"),2))/((VLOOKUP($B165,INDIRECT($B$5&amp;"生成成长"),4))/(VLOOKUP(CW$72,INDIRECT($C$5&amp;"生成成长"),5))*(VLOOKUP($B$5,标准坦克设计!$B$24:$U$30,MATCH("对"&amp;LEFT($C$5,2)&amp;"输出",标准坦克设计!$B$23:$U$23,0)))*(VLOOKUP($B165,INDIRECT($B$5&amp;"生成成长"),3))*(VLOOKUP($B$5,标准坦克设计!$B$14:$K$20,9)/30))</f>
        <v>13.501484315789376</v>
      </c>
      <c r="CX165" s="172">
        <f ca="1">(VLOOKUP(CX$72,INDIRECT($C$5&amp;"生成成长"),2))/((VLOOKUP($B165,INDIRECT($B$5&amp;"生成成长"),4))/(VLOOKUP(CX$72,INDIRECT($C$5&amp;"生成成长"),5))*(VLOOKUP($B$5,标准坦克设计!$B$24:$U$30,MATCH("对"&amp;LEFT($C$5,2)&amp;"输出",标准坦克设计!$B$23:$U$23,0)))*(VLOOKUP($B165,INDIRECT($B$5&amp;"生成成长"),3))*(VLOOKUP($B$5,标准坦克设计!$B$14:$K$20,9)/30))</f>
        <v>14.413775079745427</v>
      </c>
      <c r="CY165" s="172">
        <f ca="1">(VLOOKUP(CY$72,INDIRECT($C$5&amp;"生成成长"),2))/((VLOOKUP($B165,INDIRECT($B$5&amp;"生成成长"),4))/(VLOOKUP(CY$72,INDIRECT($C$5&amp;"生成成长"),5))*(VLOOKUP($B$5,标准坦克设计!$B$24:$U$30,MATCH("对"&amp;LEFT($C$5,2)&amp;"输出",标准坦克设计!$B$23:$U$23,0)))*(VLOOKUP($B165,INDIRECT($B$5&amp;"生成成长"),3))*(VLOOKUP($B$5,标准坦克设计!$B$14:$K$20,9)/30))</f>
        <v>15.355888127218611</v>
      </c>
      <c r="CZ165" s="172">
        <f ca="1">(VLOOKUP(CZ$72,INDIRECT($C$5&amp;"生成成长"),2))/((VLOOKUP($B165,INDIRECT($B$5&amp;"生成成长"),4))/(VLOOKUP(CZ$72,INDIRECT($C$5&amp;"生成成长"),5))*(VLOOKUP($B$5,标准坦克设计!$B$24:$U$30,MATCH("对"&amp;LEFT($C$5,2)&amp;"输出",标准坦克设计!$B$23:$U$23,0)))*(VLOOKUP($B165,INDIRECT($B$5&amp;"生成成长"),3))*(VLOOKUP($B$5,标准坦克设计!$B$14:$K$20,9)/30))</f>
        <v>16.327823458208936</v>
      </c>
      <c r="DA165" s="172">
        <f ca="1">(VLOOKUP(DA$72,INDIRECT($C$5&amp;"生成成长"),2))/((VLOOKUP($B165,INDIRECT($B$5&amp;"生成成长"),4))/(VLOOKUP(DA$72,INDIRECT($C$5&amp;"生成成长"),5))*(VLOOKUP($B$5,标准坦克设计!$B$24:$U$30,MATCH("对"&amp;LEFT($C$5,2)&amp;"输出",标准坦克设计!$B$23:$U$23,0)))*(VLOOKUP($B165,INDIRECT($B$5&amp;"生成成长"),3))*(VLOOKUP($B$5,标准坦克设计!$B$14:$K$20,9)/30))</f>
        <v>17.329581072716397</v>
      </c>
      <c r="DB165" s="172">
        <f ca="1">(VLOOKUP(DB$72,INDIRECT($C$5&amp;"生成成长"),2))/((VLOOKUP($B165,INDIRECT($B$5&amp;"生成成长"),4))/(VLOOKUP(DB$72,INDIRECT($C$5&amp;"生成成长"),5))*(VLOOKUP($B$5,标准坦克设计!$B$24:$U$30,MATCH("对"&amp;LEFT($C$5,2)&amp;"输出",标准坦克设计!$B$23:$U$23,0)))*(VLOOKUP($B165,INDIRECT($B$5&amp;"生成成长"),3))*(VLOOKUP($B$5,标准坦克设计!$B$14:$K$20,9)/30))</f>
        <v>18.361160970740993</v>
      </c>
      <c r="DC165" s="172">
        <f ca="1">(VLOOKUP(DC$72,INDIRECT($C$5&amp;"生成成长"),2))/((VLOOKUP($B165,INDIRECT($B$5&amp;"生成成长"),4))/(VLOOKUP(DC$72,INDIRECT($C$5&amp;"生成成长"),5))*(VLOOKUP($B$5,标准坦克设计!$B$24:$U$30,MATCH("对"&amp;LEFT($C$5,2)&amp;"输出",标准坦克设计!$B$23:$U$23,0)))*(VLOOKUP($B165,INDIRECT($B$5&amp;"生成成长"),3))*(VLOOKUP($B$5,标准坦克设计!$B$14:$K$20,9)/30))</f>
        <v>19.520533050613817</v>
      </c>
      <c r="DD165" s="172">
        <f ca="1">(VLOOKUP(DD$72,INDIRECT($C$5&amp;"生成成长"),2))/((VLOOKUP($B165,INDIRECT($B$5&amp;"生成成长"),4))/(VLOOKUP(DD$72,INDIRECT($C$5&amp;"生成成长"),5))*(VLOOKUP($B$5,标准坦克设计!$B$24:$U$30,MATCH("对"&amp;LEFT($C$5,2)&amp;"输出",标准坦克设计!$B$23:$U$23,0)))*(VLOOKUP($B165,INDIRECT($B$5&amp;"生成成长"),3))*(VLOOKUP($B$5,标准坦克设计!$B$14:$K$20,9)/30))</f>
        <v>20.715396112523564</v>
      </c>
      <c r="DE165" s="172">
        <f ca="1">(VLOOKUP(DE$72,INDIRECT($C$5&amp;"生成成长"),2))/((VLOOKUP($B165,INDIRECT($B$5&amp;"生成成长"),4))/(VLOOKUP(DE$72,INDIRECT($C$5&amp;"生成成长"),5))*(VLOOKUP($B$5,标准坦克设计!$B$24:$U$30,MATCH("对"&amp;LEFT($C$5,2)&amp;"输出",标准坦克设计!$B$23:$U$23,0)))*(VLOOKUP($B165,INDIRECT($B$5&amp;"生成成长"),3))*(VLOOKUP($B$5,标准坦克设计!$B$14:$K$20,9)/30))</f>
        <v>21.945750156470236</v>
      </c>
      <c r="DF165" s="172">
        <f ca="1">(VLOOKUP(DF$72,INDIRECT($C$5&amp;"生成成长"),2))/((VLOOKUP($B165,INDIRECT($B$5&amp;"生成成长"),4))/(VLOOKUP(DF$72,INDIRECT($C$5&amp;"生成成长"),5))*(VLOOKUP($B$5,标准坦克设计!$B$24:$U$30,MATCH("对"&amp;LEFT($C$5,2)&amp;"输出",标准坦克设计!$B$23:$U$23,0)))*(VLOOKUP($B165,INDIRECT($B$5&amp;"生成成长"),3))*(VLOOKUP($B$5,标准坦克设计!$B$14:$K$20,9)/30))</f>
        <v>23.211595182453831</v>
      </c>
      <c r="DG165" s="172">
        <f ca="1">(VLOOKUP(DG$72,INDIRECT($C$5&amp;"生成成长"),2))/((VLOOKUP($B165,INDIRECT($B$5&amp;"生成成长"),4))/(VLOOKUP(DG$72,INDIRECT($C$5&amp;"生成成长"),5))*(VLOOKUP($B$5,标准坦克设计!$B$24:$U$30,MATCH("对"&amp;LEFT($C$5,2)&amp;"输出",标准坦克设计!$B$23:$U$23,0)))*(VLOOKUP($B165,INDIRECT($B$5&amp;"生成成长"),3))*(VLOOKUP($B$5,标准坦克设计!$B$14:$K$20,9)/30))</f>
        <v>24.512931190474347</v>
      </c>
      <c r="DH165" s="172">
        <f ca="1">(VLOOKUP(DH$72,INDIRECT($C$5&amp;"生成成长"),2))/((VLOOKUP($B165,INDIRECT($B$5&amp;"生成成长"),4))/(VLOOKUP(DH$72,INDIRECT($C$5&amp;"生成成长"),5))*(VLOOKUP($B$5,标准坦克设计!$B$24:$U$30,MATCH("对"&amp;LEFT($C$5,2)&amp;"输出",标准坦克设计!$B$23:$U$23,0)))*(VLOOKUP($B165,INDIRECT($B$5&amp;"生成成长"),3))*(VLOOKUP($B$5,标准坦克设计!$B$14:$K$20,9)/30))</f>
        <v>25.849758180531783</v>
      </c>
      <c r="DI165" s="172">
        <f ca="1">(VLOOKUP(DI$72,INDIRECT($C$5&amp;"生成成长"),2))/((VLOOKUP($B165,INDIRECT($B$5&amp;"生成成长"),4))/(VLOOKUP(DI$72,INDIRECT($C$5&amp;"生成成长"),5))*(VLOOKUP($B$5,标准坦克设计!$B$24:$U$30,MATCH("对"&amp;LEFT($C$5,2)&amp;"输出",标准坦克设计!$B$23:$U$23,0)))*(VLOOKUP($B165,INDIRECT($B$5&amp;"生成成长"),3))*(VLOOKUP($B$5,标准坦克设计!$B$14:$K$20,9)/30))</f>
        <v>27.222076152626148</v>
      </c>
      <c r="DJ165" s="172">
        <f ca="1">(VLOOKUP(DJ$72,INDIRECT($C$5&amp;"生成成长"),2))/((VLOOKUP($B165,INDIRECT($B$5&amp;"生成成长"),4))/(VLOOKUP(DJ$72,INDIRECT($C$5&amp;"生成成长"),5))*(VLOOKUP($B$5,标准坦克设计!$B$24:$U$30,MATCH("对"&amp;LEFT($C$5,2)&amp;"输出",标准坦克设计!$B$23:$U$23,0)))*(VLOOKUP($B165,INDIRECT($B$5&amp;"生成成长"),3))*(VLOOKUP($B$5,标准坦克设计!$B$14:$K$20,9)/30))</f>
        <v>2.7358864312560125</v>
      </c>
      <c r="DK165" s="172">
        <f ca="1">(VLOOKUP(DK$72,INDIRECT($C$5&amp;"生成成长"),2))/((VLOOKUP($B165,INDIRECT($B$5&amp;"生成成长"),4))/(VLOOKUP(DK$72,INDIRECT($C$5&amp;"生成成长"),5))*(VLOOKUP($B$5,标准坦克设计!$B$24:$U$30,MATCH("对"&amp;LEFT($C$5,2)&amp;"输出",标准坦克设计!$B$23:$U$23,0)))*(VLOOKUP($B165,INDIRECT($B$5&amp;"生成成长"),3))*(VLOOKUP($B$5,标准坦克设计!$B$14:$K$20,9)/30))</f>
        <v>3.0763780401727439</v>
      </c>
      <c r="DL165" s="172">
        <f ca="1">(VLOOKUP(DL$72,INDIRECT($C$5&amp;"生成成长"),2))/((VLOOKUP($B165,INDIRECT($B$5&amp;"生成成长"),4))/(VLOOKUP(DL$72,INDIRECT($C$5&amp;"生成成长"),5))*(VLOOKUP($B$5,标准坦克设计!$B$24:$U$30,MATCH("对"&amp;LEFT($C$5,2)&amp;"输出",标准坦克设计!$B$23:$U$23,0)))*(VLOOKUP($B165,INDIRECT($B$5&amp;"生成成长"),3))*(VLOOKUP($B$5,标准坦克设计!$B$14:$K$20,9)/30))</f>
        <v>3.4368333264852451</v>
      </c>
      <c r="DM165" s="172">
        <f ca="1">(VLOOKUP(DM$72,INDIRECT($C$5&amp;"生成成长"),2))/((VLOOKUP($B165,INDIRECT($B$5&amp;"生成成长"),4))/(VLOOKUP(DM$72,INDIRECT($C$5&amp;"生成成长"),5))*(VLOOKUP($B$5,标准坦克设计!$B$24:$U$30,MATCH("对"&amp;LEFT($C$5,2)&amp;"输出",标准坦克设计!$B$23:$U$23,0)))*(VLOOKUP($B165,INDIRECT($B$5&amp;"生成成长"),3))*(VLOOKUP($B$5,标准坦克设计!$B$14:$K$20,9)/30))</f>
        <v>3.8172522901935158</v>
      </c>
      <c r="DN165" s="172">
        <f ca="1">(VLOOKUP(DN$72,INDIRECT($C$5&amp;"生成成长"),2))/((VLOOKUP($B165,INDIRECT($B$5&amp;"生成成长"),4))/(VLOOKUP(DN$72,INDIRECT($C$5&amp;"生成成长"),5))*(VLOOKUP($B$5,标准坦克设计!$B$24:$U$30,MATCH("对"&amp;LEFT($C$5,2)&amp;"输出",标准坦克设计!$B$23:$U$23,0)))*(VLOOKUP($B165,INDIRECT($B$5&amp;"生成成长"),3))*(VLOOKUP($B$5,标准坦克设计!$B$14:$K$20,9)/30))</f>
        <v>4.217634931297555</v>
      </c>
      <c r="DO165" s="172">
        <f ca="1">(VLOOKUP(DO$72,INDIRECT($C$5&amp;"生成成长"),2))/((VLOOKUP($B165,INDIRECT($B$5&amp;"生成成长"),4))/(VLOOKUP(DO$72,INDIRECT($C$5&amp;"生成成长"),5))*(VLOOKUP($B$5,标准坦克设计!$B$24:$U$30,MATCH("对"&amp;LEFT($C$5,2)&amp;"输出",标准坦克设计!$B$23:$U$23,0)))*(VLOOKUP($B165,INDIRECT($B$5&amp;"生成成长"),3))*(VLOOKUP($B$5,标准坦克设计!$B$14:$K$20,9)/30))</f>
        <v>4.637981249797364</v>
      </c>
      <c r="DP165" s="172">
        <f ca="1">(VLOOKUP(DP$72,INDIRECT($C$5&amp;"生成成长"),2))/((VLOOKUP($B165,INDIRECT($B$5&amp;"生成成长"),4))/(VLOOKUP(DP$72,INDIRECT($C$5&amp;"生成成长"),5))*(VLOOKUP($B$5,标准坦克设计!$B$24:$U$30,MATCH("对"&amp;LEFT($C$5,2)&amp;"输出",标准坦克设计!$B$23:$U$23,0)))*(VLOOKUP($B165,INDIRECT($B$5&amp;"生成成长"),3))*(VLOOKUP($B$5,标准坦克设计!$B$14:$K$20,9)/30))</f>
        <v>5.0782912456929417</v>
      </c>
      <c r="DQ165" s="172">
        <f ca="1">(VLOOKUP(DQ$72,INDIRECT($C$5&amp;"生成成长"),2))/((VLOOKUP($B165,INDIRECT($B$5&amp;"生成成长"),4))/(VLOOKUP(DQ$72,INDIRECT($C$5&amp;"生成成长"),5))*(VLOOKUP($B$5,标准坦克设计!$B$24:$U$30,MATCH("对"&amp;LEFT($C$5,2)&amp;"输出",标准坦克设计!$B$23:$U$23,0)))*(VLOOKUP($B165,INDIRECT($B$5&amp;"生成成长"),3))*(VLOOKUP($B$5,标准坦克设计!$B$14:$K$20,9)/30))</f>
        <v>5.5385649189842896</v>
      </c>
      <c r="DR165" s="172">
        <f ca="1">(VLOOKUP(DR$72,INDIRECT($C$5&amp;"生成成长"),2))/((VLOOKUP($B165,INDIRECT($B$5&amp;"生成成长"),4))/(VLOOKUP(DR$72,INDIRECT($C$5&amp;"生成成长"),5))*(VLOOKUP($B$5,标准坦克设计!$B$24:$U$30,MATCH("对"&amp;LEFT($C$5,2)&amp;"输出",标准坦克设计!$B$23:$U$23,0)))*(VLOOKUP($B165,INDIRECT($B$5&amp;"生成成长"),3))*(VLOOKUP($B$5,标准坦克设计!$B$14:$K$20,9)/30))</f>
        <v>6.018802269671407</v>
      </c>
      <c r="DS165" s="172">
        <f ca="1">(VLOOKUP(DS$72,INDIRECT($C$5&amp;"生成成长"),2))/((VLOOKUP($B165,INDIRECT($B$5&amp;"生成成长"),4))/(VLOOKUP(DS$72,INDIRECT($C$5&amp;"生成成长"),5))*(VLOOKUP($B$5,标准坦克设计!$B$24:$U$30,MATCH("对"&amp;LEFT($C$5,2)&amp;"输出",标准坦克设计!$B$23:$U$23,0)))*(VLOOKUP($B165,INDIRECT($B$5&amp;"生成成长"),3))*(VLOOKUP($B$5,标准坦克设计!$B$14:$K$20,9)/30))</f>
        <v>6.519003297754292</v>
      </c>
      <c r="DT165" s="172">
        <f ca="1">(VLOOKUP(DT$72,INDIRECT($C$5&amp;"生成成长"),2))/((VLOOKUP($B165,INDIRECT($B$5&amp;"生成成长"),4))/(VLOOKUP(DT$72,INDIRECT($C$5&amp;"生成成长"),5))*(VLOOKUP($B$5,标准坦克设计!$B$24:$U$30,MATCH("对"&amp;LEFT($C$5,2)&amp;"输出",标准坦克设计!$B$23:$U$23,0)))*(VLOOKUP($B165,INDIRECT($B$5&amp;"生成成长"),3))*(VLOOKUP($B$5,标准坦克设计!$B$14:$K$20,9)/30))</f>
        <v>7.1574712766893578</v>
      </c>
      <c r="DU165" s="172">
        <f ca="1">(VLOOKUP(DU$72,INDIRECT($C$5&amp;"生成成长"),2))/((VLOOKUP($B165,INDIRECT($B$5&amp;"生成成长"),4))/(VLOOKUP(DU$72,INDIRECT($C$5&amp;"生成成长"),5))*(VLOOKUP($B$5,标准坦克设计!$B$24:$U$30,MATCH("对"&amp;LEFT($C$5,2)&amp;"输出",标准坦克设计!$B$23:$U$23,0)))*(VLOOKUP($B165,INDIRECT($B$5&amp;"生成成长"),3))*(VLOOKUP($B$5,标准坦克设计!$B$14:$K$20,9)/30))</f>
        <v>7.8257615391415625</v>
      </c>
      <c r="DV165" s="172">
        <f ca="1">(VLOOKUP(DV$72,INDIRECT($C$5&amp;"生成成长"),2))/((VLOOKUP($B165,INDIRECT($B$5&amp;"生成成长"),4))/(VLOOKUP(DV$72,INDIRECT($C$5&amp;"生成成长"),5))*(VLOOKUP($B$5,标准坦克设计!$B$24:$U$30,MATCH("对"&amp;LEFT($C$5,2)&amp;"输出",标准坦克设计!$B$23:$U$23,0)))*(VLOOKUP($B165,INDIRECT($B$5&amp;"生成成长"),3))*(VLOOKUP($B$5,标准坦克设计!$B$14:$K$20,9)/30))</f>
        <v>8.5238740851109007</v>
      </c>
      <c r="DW165" s="172">
        <f ca="1">(VLOOKUP(DW$72,INDIRECT($C$5&amp;"生成成长"),2))/((VLOOKUP($B165,INDIRECT($B$5&amp;"生成成长"),4))/(VLOOKUP(DW$72,INDIRECT($C$5&amp;"生成成长"),5))*(VLOOKUP($B$5,标准坦克设计!$B$24:$U$30,MATCH("对"&amp;LEFT($C$5,2)&amp;"输出",标准坦克设计!$B$23:$U$23,0)))*(VLOOKUP($B165,INDIRECT($B$5&amp;"生成成长"),3))*(VLOOKUP($B$5,标准坦克设计!$B$14:$K$20,9)/30))</f>
        <v>9.2518089145973796</v>
      </c>
      <c r="DX165" s="172">
        <f ca="1">(VLOOKUP(DX$72,INDIRECT($C$5&amp;"生成成长"),2))/((VLOOKUP($B165,INDIRECT($B$5&amp;"生成成长"),4))/(VLOOKUP(DX$72,INDIRECT($C$5&amp;"生成成长"),5))*(VLOOKUP($B$5,标准坦克设计!$B$24:$U$30,MATCH("对"&amp;LEFT($C$5,2)&amp;"输出",标准坦克设计!$B$23:$U$23,0)))*(VLOOKUP($B165,INDIRECT($B$5&amp;"生成成长"),3))*(VLOOKUP($B$5,标准坦克设计!$B$14:$K$20,9)/30))</f>
        <v>10.009566027600989</v>
      </c>
      <c r="DY165" s="172">
        <f ca="1">(VLOOKUP(DY$72,INDIRECT($C$5&amp;"生成成长"),2))/((VLOOKUP($B165,INDIRECT($B$5&amp;"生成成长"),4))/(VLOOKUP(DY$72,INDIRECT($C$5&amp;"生成成长"),5))*(VLOOKUP($B$5,标准坦克设计!$B$24:$U$30,MATCH("对"&amp;LEFT($C$5,2)&amp;"输出",标准坦克设计!$B$23:$U$23,0)))*(VLOOKUP($B165,INDIRECT($B$5&amp;"生成成长"),3))*(VLOOKUP($B$5,标准坦克设计!$B$14:$K$20,9)/30))</f>
        <v>4.49564762392012</v>
      </c>
      <c r="DZ165" s="172">
        <f ca="1">(VLOOKUP(DZ$72,INDIRECT($C$5&amp;"生成成长"),2))/((VLOOKUP($B165,INDIRECT($B$5&amp;"生成成长"),4))/(VLOOKUP(DZ$72,INDIRECT($C$5&amp;"生成成长"),5))*(VLOOKUP($B$5,标准坦克设计!$B$24:$U$30,MATCH("对"&amp;LEFT($C$5,2)&amp;"输出",标准坦克设计!$B$23:$U$23,0)))*(VLOOKUP($B165,INDIRECT($B$5&amp;"生成成长"),3))*(VLOOKUP($B$5,标准坦克设计!$B$14:$K$20,9)/30))</f>
        <v>4.9787193238671295</v>
      </c>
      <c r="EA165" s="172">
        <f ca="1">(VLOOKUP(EA$72,INDIRECT($C$5&amp;"生成成长"),2))/((VLOOKUP($B165,INDIRECT($B$5&amp;"生成成长"),4))/(VLOOKUP(EA$72,INDIRECT($C$5&amp;"生成成长"),5))*(VLOOKUP($B$5,标准坦克设计!$B$24:$U$30,MATCH("对"&amp;LEFT($C$5,2)&amp;"输出",标准坦克设计!$B$23:$U$23,0)))*(VLOOKUP($B165,INDIRECT($B$5&amp;"生成成长"),3))*(VLOOKUP($B$5,标准坦克设计!$B$14:$K$20,9)/30))</f>
        <v>5.486437539117559</v>
      </c>
      <c r="EB165" s="172">
        <f ca="1">(VLOOKUP(EB$72,INDIRECT($C$5&amp;"生成成长"),2))/((VLOOKUP($B165,INDIRECT($B$5&amp;"生成成长"),4))/(VLOOKUP(EB$72,INDIRECT($C$5&amp;"生成成长"),5))*(VLOOKUP($B$5,标准坦克设计!$B$24:$U$30,MATCH("对"&amp;LEFT($C$5,2)&amp;"输出",标准坦克设计!$B$23:$U$23,0)))*(VLOOKUP($B165,INDIRECT($B$5&amp;"生成成长"),3))*(VLOOKUP($B$5,标准坦克设计!$B$14:$K$20,9)/30))</f>
        <v>6.018802269671407</v>
      </c>
      <c r="EC165" s="172">
        <f ca="1">(VLOOKUP(EC$72,INDIRECT($C$5&amp;"生成成长"),2))/((VLOOKUP($B165,INDIRECT($B$5&amp;"生成成长"),4))/(VLOOKUP(EC$72,INDIRECT($C$5&amp;"生成成长"),5))*(VLOOKUP($B$5,标准坦克设计!$B$24:$U$30,MATCH("对"&amp;LEFT($C$5,2)&amp;"输出",标准坦克设计!$B$23:$U$23,0)))*(VLOOKUP($B165,INDIRECT($B$5&amp;"生成成长"),3))*(VLOOKUP($B$5,标准坦克设计!$B$14:$K$20,9)/30))</f>
        <v>6.5758135155286741</v>
      </c>
      <c r="ED165" s="172">
        <f ca="1">(VLOOKUP(ED$72,INDIRECT($C$5&amp;"生成成长"),2))/((VLOOKUP($B165,INDIRECT($B$5&amp;"生成成长"),4))/(VLOOKUP(ED$72,INDIRECT($C$5&amp;"生成成长"),5))*(VLOOKUP($B$5,标准坦克设计!$B$24:$U$30,MATCH("对"&amp;LEFT($C$5,2)&amp;"输出",标准坦克设计!$B$23:$U$23,0)))*(VLOOKUP($B165,INDIRECT($B$5&amp;"生成成长"),3))*(VLOOKUP($B$5,标准坦克设计!$B$14:$K$20,9)/30))</f>
        <v>7.1574712766893578</v>
      </c>
      <c r="EE165" s="172">
        <f ca="1">(VLOOKUP(EE$72,INDIRECT($C$5&amp;"生成成长"),2))/((VLOOKUP($B165,INDIRECT($B$5&amp;"生成成长"),4))/(VLOOKUP(EE$72,INDIRECT($C$5&amp;"生成成长"),5))*(VLOOKUP($B$5,标准坦克设计!$B$24:$U$30,MATCH("对"&amp;LEFT($C$5,2)&amp;"输出",标准坦克设计!$B$23:$U$23,0)))*(VLOOKUP($B165,INDIRECT($B$5&amp;"生成成长"),3))*(VLOOKUP($B$5,标准坦克设计!$B$14:$K$20,9)/30))</f>
        <v>7.7637755531534625</v>
      </c>
      <c r="EF165" s="172">
        <f ca="1">(VLOOKUP(EF$72,INDIRECT($C$5&amp;"生成成长"),2))/((VLOOKUP($B165,INDIRECT($B$5&amp;"生成成长"),4))/(VLOOKUP(EF$72,INDIRECT($C$5&amp;"生成成长"),5))*(VLOOKUP($B$5,标准坦克设计!$B$24:$U$30,MATCH("对"&amp;LEFT($C$5,2)&amp;"输出",标准坦克设计!$B$23:$U$23,0)))*(VLOOKUP($B165,INDIRECT($B$5&amp;"生成成长"),3))*(VLOOKUP($B$5,标准坦克设计!$B$14:$K$20,9)/30))</f>
        <v>8.3947263449209863</v>
      </c>
      <c r="EG165" s="172">
        <f ca="1">(VLOOKUP(EG$72,INDIRECT($C$5&amp;"生成成长"),2))/((VLOOKUP($B165,INDIRECT($B$5&amp;"生成成长"),4))/(VLOOKUP(EG$72,INDIRECT($C$5&amp;"生成成长"),5))*(VLOOKUP($B$5,标准坦克设计!$B$24:$U$30,MATCH("对"&amp;LEFT($C$5,2)&amp;"输出",标准坦克设计!$B$23:$U$23,0)))*(VLOOKUP($B165,INDIRECT($B$5&amp;"生成成长"),3))*(VLOOKUP($B$5,标准坦克设计!$B$14:$K$20,9)/30))</f>
        <v>9.0503236519919295</v>
      </c>
      <c r="EH165" s="172">
        <f ca="1">(VLOOKUP(EH$72,INDIRECT($C$5&amp;"生成成长"),2))/((VLOOKUP($B165,INDIRECT($B$5&amp;"生成成长"),4))/(VLOOKUP(EH$72,INDIRECT($C$5&amp;"生成成长"),5))*(VLOOKUP($B$5,标准坦克设计!$B$24:$U$30,MATCH("对"&amp;LEFT($C$5,2)&amp;"输出",标准坦克设计!$B$23:$U$23,0)))*(VLOOKUP($B165,INDIRECT($B$5&amp;"生成成长"),3))*(VLOOKUP($B$5,标准坦克设计!$B$14:$K$20,9)/30))</f>
        <v>9.7305674743662891</v>
      </c>
      <c r="EI165" s="172">
        <f ca="1">(VLOOKUP(EI$72,INDIRECT($C$5&amp;"生成成长"),2))/((VLOOKUP($B165,INDIRECT($B$5&amp;"生成成长"),4))/(VLOOKUP(EI$72,INDIRECT($C$5&amp;"生成成长"),5))*(VLOOKUP($B$5,标准坦克设计!$B$24:$U$30,MATCH("对"&amp;LEFT($C$5,2)&amp;"输出",标准坦克设计!$B$23:$U$23,0)))*(VLOOKUP($B165,INDIRECT($B$5&amp;"生成成长"),3))*(VLOOKUP($B$5,标准坦克设计!$B$14:$K$20,9)/30))</f>
        <v>10.435457812044069</v>
      </c>
      <c r="EJ165" s="172">
        <f ca="1">(VLOOKUP(EJ$72,INDIRECT($C$5&amp;"生成成长"),2))/((VLOOKUP($B165,INDIRECT($B$5&amp;"生成成长"),4))/(VLOOKUP(EJ$72,INDIRECT($C$5&amp;"生成成长"),5))*(VLOOKUP($B$5,标准坦克设计!$B$24:$U$30,MATCH("对"&amp;LEFT($C$5,2)&amp;"输出",标准坦克设计!$B$23:$U$23,0)))*(VLOOKUP($B165,INDIRECT($B$5&amp;"生成成长"),3))*(VLOOKUP($B$5,标准坦克设计!$B$14:$K$20,9)/30))</f>
        <v>11.164994665025269</v>
      </c>
      <c r="EK165" s="172">
        <f ca="1">(VLOOKUP(EK$72,INDIRECT($C$5&amp;"生成成长"),2))/((VLOOKUP($B165,INDIRECT($B$5&amp;"生成成长"),4))/(VLOOKUP(EK$72,INDIRECT($C$5&amp;"生成成长"),5))*(VLOOKUP($B$5,标准坦克设计!$B$24:$U$30,MATCH("对"&amp;LEFT($C$5,2)&amp;"输出",标准坦克设计!$B$23:$U$23,0)))*(VLOOKUP($B165,INDIRECT($B$5&amp;"生成成长"),3))*(VLOOKUP($B$5,标准坦克设计!$B$14:$K$20,9)/30))</f>
        <v>12.07297228880322</v>
      </c>
      <c r="EL165" s="172">
        <f ca="1">(VLOOKUP(EL$72,INDIRECT($C$5&amp;"生成成长"),2))/((VLOOKUP($B165,INDIRECT($B$5&amp;"生成成长"),4))/(VLOOKUP(EL$72,INDIRECT($C$5&amp;"生成成长"),5))*(VLOOKUP($B$5,标准坦克设计!$B$24:$U$30,MATCH("对"&amp;LEFT($C$5,2)&amp;"输出",标准坦克设计!$B$23:$U$23,0)))*(VLOOKUP($B165,INDIRECT($B$5&amp;"生成成长"),3))*(VLOOKUP($B$5,标准坦克设计!$B$14:$K$20,9)/30))</f>
        <v>13.016440894618095</v>
      </c>
      <c r="EM165" s="172">
        <f ca="1">(VLOOKUP(EM$72,INDIRECT($C$5&amp;"生成成长"),2))/((VLOOKUP($B165,INDIRECT($B$5&amp;"生成成长"),4))/(VLOOKUP(EM$72,INDIRECT($C$5&amp;"生成成长"),5))*(VLOOKUP($B$5,标准坦克设计!$B$24:$U$30,MATCH("对"&amp;LEFT($C$5,2)&amp;"输出",标准坦克设计!$B$23:$U$23,0)))*(VLOOKUP($B165,INDIRECT($B$5&amp;"生成成长"),3))*(VLOOKUP($B$5,标准坦克设计!$B$14:$K$20,9)/30))</f>
        <v>13.995400482469892</v>
      </c>
      <c r="EN165" s="172">
        <f ca="1">(VLOOKUP(EN$72,INDIRECT($C$5&amp;"生成成长"),2))/((VLOOKUP($B165,INDIRECT($B$5&amp;"生成成长"),4))/(VLOOKUP(EN$72,INDIRECT($C$5&amp;"生成成长"),5))*(VLOOKUP($B$5,标准坦克设计!$B$24:$U$30,MATCH("对"&amp;LEFT($C$5,2)&amp;"输出",标准坦克设计!$B$23:$U$23,0)))*(VLOOKUP($B165,INDIRECT($B$5&amp;"生成成长"),3))*(VLOOKUP($B$5,标准坦克设计!$B$14:$K$20,9)/30))</f>
        <v>15.009851052358611</v>
      </c>
      <c r="EO165" s="172">
        <f ca="1">(VLOOKUP(EO$72,INDIRECT($C$5&amp;"生成成长"),2))/((VLOOKUP($B165,INDIRECT($B$5&amp;"生成成长"),4))/(VLOOKUP(EO$72,INDIRECT($C$5&amp;"生成成长"),5))*(VLOOKUP($B$5,标准坦克设计!$B$24:$U$30,MATCH("对"&amp;LEFT($C$5,2)&amp;"输出",标准坦克设计!$B$23:$U$23,0)))*(VLOOKUP($B165,INDIRECT($B$5&amp;"生成成长"),3))*(VLOOKUP($B$5,标准坦克设计!$B$14:$K$20,9)/30))</f>
        <v>16.059792604284258</v>
      </c>
      <c r="EP165" s="172">
        <f ca="1">(VLOOKUP(EP$72,INDIRECT($C$5&amp;"生成成长"),2))/((VLOOKUP($B165,INDIRECT($B$5&amp;"生成成长"),4))/(VLOOKUP(EP$72,INDIRECT($C$5&amp;"生成成长"),5))*(VLOOKUP($B$5,标准坦克设计!$B$24:$U$30,MATCH("对"&amp;LEFT($C$5,2)&amp;"输出",标准坦克设计!$B$23:$U$23,0)))*(VLOOKUP($B165,INDIRECT($B$5&amp;"生成成长"),3))*(VLOOKUP($B$5,标准坦克设计!$B$14:$K$20,9)/30))</f>
        <v>17.145225138246822</v>
      </c>
      <c r="EQ165" s="172">
        <f ca="1">(VLOOKUP(EQ$72,INDIRECT($C$5&amp;"生成成长"),2))/((VLOOKUP($B165,INDIRECT($B$5&amp;"生成成长"),4))/(VLOOKUP(EQ$72,INDIRECT($C$5&amp;"生成成长"),5))*(VLOOKUP($B$5,标准坦克设计!$B$24:$U$30,MATCH("对"&amp;LEFT($C$5,2)&amp;"输出",标准坦克设计!$B$23:$U$23,0)))*(VLOOKUP($B165,INDIRECT($B$5&amp;"生成成长"),3))*(VLOOKUP($B$5,标准坦克设计!$B$14:$K$20,9)/30))</f>
        <v>7.5792963861073721</v>
      </c>
      <c r="ER165" s="172">
        <f ca="1">(VLOOKUP(ER$72,INDIRECT($C$5&amp;"生成成长"),2))/((VLOOKUP($B165,INDIRECT($B$5&amp;"生成成长"),4))/(VLOOKUP(ER$72,INDIRECT($C$5&amp;"生成成长"),5))*(VLOOKUP($B$5,标准坦克设计!$B$24:$U$30,MATCH("对"&amp;LEFT($C$5,2)&amp;"输出",标准坦克设计!$B$23:$U$23,0)))*(VLOOKUP($B165,INDIRECT($B$5&amp;"生成成长"),3))*(VLOOKUP($B$5,标准坦克设计!$B$14:$K$20,9)/30))</f>
        <v>8.2665644653432082</v>
      </c>
      <c r="ES165" s="172">
        <f ca="1">(VLOOKUP(ES$72,INDIRECT($C$5&amp;"生成成长"),2))/((VLOOKUP($B165,INDIRECT($B$5&amp;"生成成长"),4))/(VLOOKUP(ES$72,INDIRECT($C$5&amp;"生成成长"),5))*(VLOOKUP($B$5,标准坦克设计!$B$24:$U$30,MATCH("对"&amp;LEFT($C$5,2)&amp;"输出",标准坦克设计!$B$23:$U$23,0)))*(VLOOKUP($B165,INDIRECT($B$5&amp;"生成成长"),3))*(VLOOKUP($B$5,标准坦克设计!$B$14:$K$20,9)/30))</f>
        <v>8.9836548280961797</v>
      </c>
      <c r="ET165" s="172">
        <f ca="1">(VLOOKUP(ET$72,INDIRECT($C$5&amp;"生成成长"),2))/((VLOOKUP($B165,INDIRECT($B$5&amp;"生成成长"),4))/(VLOOKUP(ET$72,INDIRECT($C$5&amp;"生成成长"),5))*(VLOOKUP($B$5,标准坦克设计!$B$24:$U$30,MATCH("对"&amp;LEFT($C$5,2)&amp;"输出",标准坦克设计!$B$23:$U$23,0)))*(VLOOKUP($B165,INDIRECT($B$5&amp;"生成成长"),3))*(VLOOKUP($B$5,标准坦克设计!$B$14:$K$20,9)/30))</f>
        <v>9.7305674743662891</v>
      </c>
      <c r="EU165" s="172">
        <f ca="1">(VLOOKUP(EU$72,INDIRECT($C$5&amp;"生成成长"),2))/((VLOOKUP($B165,INDIRECT($B$5&amp;"生成成长"),4))/(VLOOKUP(EU$72,INDIRECT($C$5&amp;"生成成长"),5))*(VLOOKUP($B$5,标准坦克设计!$B$24:$U$30,MATCH("对"&amp;LEFT($C$5,2)&amp;"输出",标准坦克设计!$B$23:$U$23,0)))*(VLOOKUP($B165,INDIRECT($B$5&amp;"生成成长"),3))*(VLOOKUP($B$5,标准坦克设计!$B$14:$K$20,9)/30))</f>
        <v>10.507302404153537</v>
      </c>
      <c r="EV165" s="172">
        <f ca="1">(VLOOKUP(EV$72,INDIRECT($C$5&amp;"生成成长"),2))/((VLOOKUP($B165,INDIRECT($B$5&amp;"生成成长"),4))/(VLOOKUP(EV$72,INDIRECT($C$5&amp;"生成成长"),5))*(VLOOKUP($B$5,标准坦克设计!$B$24:$U$30,MATCH("对"&amp;LEFT($C$5,2)&amp;"输出",标准坦克设计!$B$23:$U$23,0)))*(VLOOKUP($B165,INDIRECT($B$5&amp;"生成成长"),3))*(VLOOKUP($B$5,标准坦克设计!$B$14:$K$20,9)/30))</f>
        <v>11.313859617457917</v>
      </c>
      <c r="EW165" s="172">
        <f ca="1">(VLOOKUP(EW$72,INDIRECT($C$5&amp;"生成成长"),2))/((VLOOKUP($B165,INDIRECT($B$5&amp;"生成成长"),4))/(VLOOKUP(EW$72,INDIRECT($C$5&amp;"生成成长"),5))*(VLOOKUP($B$5,标准坦克设计!$B$24:$U$30,MATCH("对"&amp;LEFT($C$5,2)&amp;"输出",标准坦克设计!$B$23:$U$23,0)))*(VLOOKUP($B165,INDIRECT($B$5&amp;"生成成长"),3))*(VLOOKUP($B$5,标准坦克设计!$B$14:$K$20,9)/30))</f>
        <v>12.150239114279437</v>
      </c>
      <c r="EX165" s="172">
        <f ca="1">(VLOOKUP(EX$72,INDIRECT($C$5&amp;"生成成长"),2))/((VLOOKUP($B165,INDIRECT($B$5&amp;"生成成长"),4))/(VLOOKUP(EX$72,INDIRECT($C$5&amp;"生成成长"),5))*(VLOOKUP($B$5,标准坦克设计!$B$24:$U$30,MATCH("对"&amp;LEFT($C$5,2)&amp;"输出",标准坦克设计!$B$23:$U$23,0)))*(VLOOKUP($B165,INDIRECT($B$5&amp;"生成成长"),3))*(VLOOKUP($B$5,标准坦克设计!$B$14:$K$20,9)/30))</f>
        <v>13.016440894618095</v>
      </c>
      <c r="EY165" s="172">
        <f ca="1">(VLOOKUP(EY$72,INDIRECT($C$5&amp;"生成成长"),2))/((VLOOKUP($B165,INDIRECT($B$5&amp;"生成成长"),4))/(VLOOKUP(EY$72,INDIRECT($C$5&amp;"生成成长"),5))*(VLOOKUP($B$5,标准坦克设计!$B$24:$U$30,MATCH("对"&amp;LEFT($C$5,2)&amp;"输出",标准坦克设计!$B$23:$U$23,0)))*(VLOOKUP($B165,INDIRECT($B$5&amp;"生成成长"),3))*(VLOOKUP($B$5,标准坦克设计!$B$14:$K$20,9)/30))</f>
        <v>13.912464958473887</v>
      </c>
      <c r="EZ165" s="172">
        <f ca="1">(VLOOKUP(EZ$72,INDIRECT($C$5&amp;"生成成长"),2))/((VLOOKUP($B165,INDIRECT($B$5&amp;"生成成长"),4))/(VLOOKUP(EZ$72,INDIRECT($C$5&amp;"生成成长"),5))*(VLOOKUP($B$5,标准坦克设计!$B$24:$U$30,MATCH("对"&amp;LEFT($C$5,2)&amp;"输出",标准坦克设计!$B$23:$U$23,0)))*(VLOOKUP($B165,INDIRECT($B$5&amp;"生成成长"),3))*(VLOOKUP($B$5,标准坦克设计!$B$14:$K$20,9)/30))</f>
        <v>14.838311305846815</v>
      </c>
      <c r="FA165" s="172">
        <f ca="1">(VLOOKUP(FA$72,INDIRECT($C$5&amp;"生成成长"),2))/((VLOOKUP($B165,INDIRECT($B$5&amp;"生成成长"),4))/(VLOOKUP(FA$72,INDIRECT($C$5&amp;"生成成长"),5))*(VLOOKUP($B$5,标准坦克设计!$B$24:$U$30,MATCH("对"&amp;LEFT($C$5,2)&amp;"输出",标准坦克设计!$B$23:$U$23,0)))*(VLOOKUP($B165,INDIRECT($B$5&amp;"生成成长"),3))*(VLOOKUP($B$5,标准坦克设计!$B$14:$K$20,9)/30))</f>
        <v>15.793979936736882</v>
      </c>
      <c r="FB165" s="172">
        <f ca="1">(VLOOKUP(FB$72,INDIRECT($C$5&amp;"生成成长"),2))/((VLOOKUP($B165,INDIRECT($B$5&amp;"生成成长"),4))/(VLOOKUP(FB$72,INDIRECT($C$5&amp;"生成成长"),5))*(VLOOKUP($B$5,标准坦克设计!$B$24:$U$30,MATCH("对"&amp;LEFT($C$5,2)&amp;"输出",标准坦克设计!$B$23:$U$23,0)))*(VLOOKUP($B165,INDIRECT($B$5&amp;"生成成长"),3))*(VLOOKUP($B$5,标准坦克设计!$B$14:$K$20,9)/30))</f>
        <v>16.779470851144087</v>
      </c>
      <c r="FC165" s="172">
        <f ca="1">(VLOOKUP(FC$72,INDIRECT($C$5&amp;"生成成长"),2))/((VLOOKUP($B165,INDIRECT($B$5&amp;"生成成长"),4))/(VLOOKUP(FC$72,INDIRECT($C$5&amp;"生成成长"),5))*(VLOOKUP($B$5,标准坦克设计!$B$24:$U$30,MATCH("对"&amp;LEFT($C$5,2)&amp;"输出",标准坦克设计!$B$23:$U$23,0)))*(VLOOKUP($B165,INDIRECT($B$5&amp;"生成成长"),3))*(VLOOKUP($B$5,标准坦克设计!$B$14:$K$20,9)/30))</f>
        <v>17.794784049068426</v>
      </c>
      <c r="FD165" s="172">
        <f ca="1">(VLOOKUP(FD$72,INDIRECT($C$5&amp;"生成成长"),2))/((VLOOKUP($B165,INDIRECT($B$5&amp;"生成成长"),4))/(VLOOKUP(FD$72,INDIRECT($C$5&amp;"生成成长"),5))*(VLOOKUP($B$5,标准坦克设计!$B$24:$U$30,MATCH("对"&amp;LEFT($C$5,2)&amp;"输出",标准坦克设计!$B$23:$U$23,0)))*(VLOOKUP($B165,INDIRECT($B$5&amp;"生成成长"),3))*(VLOOKUP($B$5,标准坦克设计!$B$14:$K$20,9)/30))</f>
        <v>18.839919530509903</v>
      </c>
      <c r="FE165" s="172">
        <f ca="1">(VLOOKUP(FE$72,INDIRECT($C$5&amp;"生成成长"),2))/((VLOOKUP($B165,INDIRECT($B$5&amp;"生成成长"),4))/(VLOOKUP(FE$72,INDIRECT($C$5&amp;"生成成长"),5))*(VLOOKUP($B$5,标准坦克设计!$B$24:$U$30,MATCH("对"&amp;LEFT($C$5,2)&amp;"输出",标准坦克设计!$B$23:$U$23,0)))*(VLOOKUP($B165,INDIRECT($B$5&amp;"生成成长"),3))*(VLOOKUP($B$5,标准坦克设计!$B$14:$K$20,9)/30))</f>
        <v>20.113528208814074</v>
      </c>
      <c r="FF165" s="172">
        <f ca="1">(VLOOKUP(FF$72,INDIRECT($C$5&amp;"生成成长"),2))/((VLOOKUP($B165,INDIRECT($B$5&amp;"生成成长"),4))/(VLOOKUP(FF$72,INDIRECT($C$5&amp;"生成成长"),5))*(VLOOKUP($B$5,标准坦克设计!$B$24:$U$30,MATCH("对"&amp;LEFT($C$5,2)&amp;"输出",标准坦克设计!$B$23:$U$23,0)))*(VLOOKUP($B165,INDIRECT($B$5&amp;"生成成长"),3))*(VLOOKUP($B$5,标准坦克设计!$B$14:$K$20,9)/30))</f>
        <v>21.428789497981025</v>
      </c>
      <c r="FG165" s="172">
        <f ca="1">(VLOOKUP(FG$72,INDIRECT($C$5&amp;"生成成长"),2))/((VLOOKUP($B165,INDIRECT($B$5&amp;"生成成长"),4))/(VLOOKUP(FG$72,INDIRECT($C$5&amp;"生成成长"),5))*(VLOOKUP($B$5,标准坦克设计!$B$24:$U$30,MATCH("对"&amp;LEFT($C$5,2)&amp;"输出",标准坦克设计!$B$23:$U$23,0)))*(VLOOKUP($B165,INDIRECT($B$5&amp;"生成成长"),3))*(VLOOKUP($B$5,标准坦克设计!$B$14:$K$20,9)/30))</f>
        <v>22.785703398010753</v>
      </c>
      <c r="FH165" s="172">
        <f ca="1">(VLOOKUP(FH$72,INDIRECT($C$5&amp;"生成成长"),2))/((VLOOKUP($B165,INDIRECT($B$5&amp;"生成成长"),4))/(VLOOKUP(FH$72,INDIRECT($C$5&amp;"生成成长"),5))*(VLOOKUP($B$5,标准坦克设计!$B$24:$U$30,MATCH("对"&amp;LEFT($C$5,2)&amp;"输出",标准坦克设计!$B$23:$U$23,0)))*(VLOOKUP($B165,INDIRECT($B$5&amp;"生成成长"),3))*(VLOOKUP($B$5,标准坦克设计!$B$14:$K$20,9)/30))</f>
        <v>24.18426990890325</v>
      </c>
      <c r="FI165" s="172">
        <f ca="1">(VLOOKUP(FI$72,INDIRECT($C$5&amp;"生成成长"),2))/((VLOOKUP($B165,INDIRECT($B$5&amp;"生成成长"),4))/(VLOOKUP(FI$72,INDIRECT($C$5&amp;"生成成长"),5))*(VLOOKUP($B$5,标准坦克设计!$B$24:$U$30,MATCH("对"&amp;LEFT($C$5,2)&amp;"输出",标准坦克设计!$B$23:$U$23,0)))*(VLOOKUP($B165,INDIRECT($B$5&amp;"生成成长"),3))*(VLOOKUP($B$5,标准坦克设计!$B$14:$K$20,9)/30))</f>
        <v>25.624489030658534</v>
      </c>
      <c r="FJ165" s="172">
        <f ca="1">(VLOOKUP(FJ$72,INDIRECT($C$5&amp;"生成成长"),2))/((VLOOKUP($B165,INDIRECT($B$5&amp;"生成成长"),4))/(VLOOKUP(FJ$72,INDIRECT($C$5&amp;"生成成长"),5))*(VLOOKUP($B$5,标准坦克设计!$B$24:$U$30,MATCH("对"&amp;LEFT($C$5,2)&amp;"输出",标准坦克设计!$B$23:$U$23,0)))*(VLOOKUP($B165,INDIRECT($B$5&amp;"生成成长"),3))*(VLOOKUP($B$5,标准坦克设计!$B$14:$K$20,9)/30))</f>
        <v>27.106360763276594</v>
      </c>
      <c r="FK165" s="172">
        <f ca="1">(VLOOKUP(FK$72,INDIRECT($C$5&amp;"生成成长"),2))/((VLOOKUP($B165,INDIRECT($B$5&amp;"生成成长"),4))/(VLOOKUP(FK$72,INDIRECT($C$5&amp;"生成成长"),5))*(VLOOKUP($B$5,标准坦克设计!$B$24:$U$30,MATCH("对"&amp;LEFT($C$5,2)&amp;"输出",标准坦克设计!$B$23:$U$23,0)))*(VLOOKUP($B165,INDIRECT($B$5&amp;"生成成长"),3))*(VLOOKUP($B$5,标准坦克设计!$B$14:$K$20,9)/30))</f>
        <v>28.629885106757431</v>
      </c>
    </row>
    <row r="166" spans="1:167" x14ac:dyDescent="0.15">
      <c r="A166" s="170" t="str">
        <f t="shared" si="12"/>
        <v>T5中品质4级</v>
      </c>
      <c r="B166" s="171">
        <v>20504</v>
      </c>
      <c r="C166" s="172">
        <f ca="1">(VLOOKUP(C$72,INDIRECT($C$5&amp;"生成成长"),2))/((VLOOKUP($B166,INDIRECT($B$5&amp;"生成成长"),4))/(VLOOKUP(C$72,INDIRECT($C$5&amp;"生成成长"),5))*(VLOOKUP($B$5,标准坦克设计!$B$24:$U$30,MATCH("对"&amp;LEFT($C$5,2)&amp;"输出",标准坦克设计!$B$23:$U$23,0)))*(VLOOKUP($B166,INDIRECT($B$5&amp;"生成成长"),3))*(VLOOKUP($B$5,标准坦克设计!$B$14:$K$20,9)/30))</f>
        <v>1.1388409075322965</v>
      </c>
      <c r="D166" s="172">
        <f ca="1">(VLOOKUP(D$72,INDIRECT($C$5&amp;"生成成长"),2))/((VLOOKUP($B166,INDIRECT($B$5&amp;"生成成长"),4))/(VLOOKUP(D$72,INDIRECT($C$5&amp;"生成成长"),5))*(VLOOKUP($B$5,标准坦克设计!$B$24:$U$30,MATCH("对"&amp;LEFT($C$5,2)&amp;"输出",标准坦克设计!$B$23:$U$23,0)))*(VLOOKUP($B166,INDIRECT($B$5&amp;"生成成长"),3))*(VLOOKUP($B$5,标准坦克设计!$B$14:$K$20,9)/30))</f>
        <v>1.2796016437032882</v>
      </c>
      <c r="E166" s="172">
        <f ca="1">(VLOOKUP(E$72,INDIRECT($C$5&amp;"生成成长"),2))/((VLOOKUP($B166,INDIRECT($B$5&amp;"生成成长"),4))/(VLOOKUP(E$72,INDIRECT($C$5&amp;"生成成长"),5))*(VLOOKUP($B$5,标准坦克设计!$B$24:$U$30,MATCH("对"&amp;LEFT($C$5,2)&amp;"输出",标准坦克设计!$B$23:$U$23,0)))*(VLOOKUP($B166,INDIRECT($B$5&amp;"生成成长"),3))*(VLOOKUP($B$5,标准坦克设计!$B$14:$K$20,9)/30))</f>
        <v>1.4285620344085128</v>
      </c>
      <c r="F166" s="172">
        <f ca="1">(VLOOKUP(F$72,INDIRECT($C$5&amp;"生成成长"),2))/((VLOOKUP($B166,INDIRECT($B$5&amp;"生成成长"),4))/(VLOOKUP(F$72,INDIRECT($C$5&amp;"生成成长"),5))*(VLOOKUP($B$5,标准坦克设计!$B$24:$U$30,MATCH("对"&amp;LEFT($C$5,2)&amp;"输出",标准坦克设计!$B$23:$U$23,0)))*(VLOOKUP($B166,INDIRECT($B$5&amp;"生成成长"),3))*(VLOOKUP($B$5,标准坦克设计!$B$14:$K$20,9)/30))</f>
        <v>1.5857220796479696</v>
      </c>
      <c r="G166" s="172">
        <f ca="1">(VLOOKUP(G$72,INDIRECT($C$5&amp;"生成成长"),2))/((VLOOKUP($B166,INDIRECT($B$5&amp;"生成成长"),4))/(VLOOKUP(G$72,INDIRECT($C$5&amp;"生成成长"),5))*(VLOOKUP($B$5,标准坦克设计!$B$24:$U$30,MATCH("对"&amp;LEFT($C$5,2)&amp;"输出",标准坦克设计!$B$23:$U$23,0)))*(VLOOKUP($B166,INDIRECT($B$5&amp;"生成成长"),3))*(VLOOKUP($B$5,标准坦克设计!$B$14:$K$20,9)/30))</f>
        <v>1.7510817794216591</v>
      </c>
      <c r="H166" s="172">
        <f ca="1">(VLOOKUP(H$72,INDIRECT($C$5&amp;"生成成长"),2))/((VLOOKUP($B166,INDIRECT($B$5&amp;"生成成长"),4))/(VLOOKUP(H$72,INDIRECT($C$5&amp;"生成成长"),5))*(VLOOKUP($B$5,标准坦克设计!$B$24:$U$30,MATCH("对"&amp;LEFT($C$5,2)&amp;"输出",标准坦克设计!$B$23:$U$23,0)))*(VLOOKUP($B166,INDIRECT($B$5&amp;"生成成长"),3))*(VLOOKUP($B$5,标准坦克设计!$B$14:$K$20,9)/30))</f>
        <v>1.5324243251754581</v>
      </c>
      <c r="I166" s="172">
        <f ca="1">(VLOOKUP(I$72,INDIRECT($C$5&amp;"生成成长"),2))/((VLOOKUP($B166,INDIRECT($B$5&amp;"生成成长"),4))/(VLOOKUP(I$72,INDIRECT($C$5&amp;"生成成长"),5))*(VLOOKUP($B$5,标准坦克设计!$B$24:$U$30,MATCH("对"&amp;LEFT($C$5,2)&amp;"输出",标准坦克设计!$B$23:$U$23,0)))*(VLOOKUP($B166,INDIRECT($B$5&amp;"生成成长"),3))*(VLOOKUP($B$5,标准坦克设计!$B$14:$K$20,9)/30))</f>
        <v>1.7510817794216591</v>
      </c>
      <c r="J166" s="172">
        <f ca="1">(VLOOKUP(J$72,INDIRECT($C$5&amp;"生成成长"),2))/((VLOOKUP($B166,INDIRECT($B$5&amp;"生成成长"),4))/(VLOOKUP(J$72,INDIRECT($C$5&amp;"生成成长"),5))*(VLOOKUP($B$5,标准坦克设计!$B$24:$U$30,MATCH("对"&amp;LEFT($C$5,2)&amp;"输出",标准坦克设计!$B$23:$U$23,0)))*(VLOOKUP($B166,INDIRECT($B$5&amp;"生成成长"),3))*(VLOOKUP($B$5,标准坦克设计!$B$14:$K$20,9)/30))</f>
        <v>1.9843163972842734</v>
      </c>
      <c r="K166" s="172">
        <f ca="1">(VLOOKUP(K$72,INDIRECT($C$5&amp;"生成成长"),2))/((VLOOKUP($B166,INDIRECT($B$5&amp;"生成成长"),4))/(VLOOKUP(K$72,INDIRECT($C$5&amp;"生成成长"),5))*(VLOOKUP($B$5,标准坦克设计!$B$24:$U$30,MATCH("对"&amp;LEFT($C$5,2)&amp;"输出",标准坦克设计!$B$23:$U$23,0)))*(VLOOKUP($B166,INDIRECT($B$5&amp;"生成成长"),3))*(VLOOKUP($B$5,标准坦克设计!$B$14:$K$20,9)/30))</f>
        <v>2.2321281787633009</v>
      </c>
      <c r="L166" s="172">
        <f ca="1">(VLOOKUP(L$72,INDIRECT($C$5&amp;"生成成长"),2))/((VLOOKUP($B166,INDIRECT($B$5&amp;"生成成长"),4))/(VLOOKUP(L$72,INDIRECT($C$5&amp;"生成成长"),5))*(VLOOKUP($B$5,标准坦克设计!$B$24:$U$30,MATCH("对"&amp;LEFT($C$5,2)&amp;"输出",标准坦克设计!$B$23:$U$23,0)))*(VLOOKUP($B166,INDIRECT($B$5&amp;"生成成长"),3))*(VLOOKUP($B$5,标准坦克设计!$B$14:$K$20,9)/30))</f>
        <v>2.494517123858742</v>
      </c>
      <c r="M166" s="172">
        <f ca="1">(VLOOKUP(M$72,INDIRECT($C$5&amp;"生成成长"),2))/((VLOOKUP($B166,INDIRECT($B$5&amp;"生成成长"),4))/(VLOOKUP(M$72,INDIRECT($C$5&amp;"生成成长"),5))*(VLOOKUP($B$5,标准坦克设计!$B$24:$U$30,MATCH("对"&amp;LEFT($C$5,2)&amp;"输出",标准坦克设计!$B$23:$U$23,0)))*(VLOOKUP($B166,INDIRECT($B$5&amp;"生成成长"),3))*(VLOOKUP($B$5,标准坦克设计!$B$14:$K$20,9)/30))</f>
        <v>2.7714832325705969</v>
      </c>
      <c r="N166" s="172">
        <f ca="1">(VLOOKUP(N$72,INDIRECT($C$5&amp;"生成成长"),2))/((VLOOKUP($B166,INDIRECT($B$5&amp;"生成成长"),4))/(VLOOKUP(N$72,INDIRECT($C$5&amp;"生成成长"),5))*(VLOOKUP($B$5,标准坦克设计!$B$24:$U$30,MATCH("对"&amp;LEFT($C$5,2)&amp;"输出",标准坦克设计!$B$23:$U$23,0)))*(VLOOKUP($B166,INDIRECT($B$5&amp;"生成成长"),3))*(VLOOKUP($B$5,标准坦克设计!$B$14:$K$20,9)/30))</f>
        <v>3.0630265048988647</v>
      </c>
      <c r="O166" s="172">
        <f ca="1">(VLOOKUP(O$72,INDIRECT($C$5&amp;"生成成长"),2))/((VLOOKUP($B166,INDIRECT($B$5&amp;"生成成长"),4))/(VLOOKUP(O$72,INDIRECT($C$5&amp;"生成成长"),5))*(VLOOKUP($B$5,标准坦克设计!$B$24:$U$30,MATCH("对"&amp;LEFT($C$5,2)&amp;"输出",标准坦克设计!$B$23:$U$23,0)))*(VLOOKUP($B166,INDIRECT($B$5&amp;"生成成长"),3))*(VLOOKUP($B$5,标准坦克设计!$B$14:$K$20,9)/30))</f>
        <v>2.3288157718127929</v>
      </c>
      <c r="P166" s="172">
        <f ca="1">(VLOOKUP(P$72,INDIRECT($C$5&amp;"生成成长"),2))/((VLOOKUP($B166,INDIRECT($B$5&amp;"生成成长"),4))/(VLOOKUP(P$72,INDIRECT($C$5&amp;"生成成长"),5))*(VLOOKUP($B$5,标准坦克设计!$B$24:$U$30,MATCH("对"&amp;LEFT($C$5,2)&amp;"输出",标准坦克设计!$B$23:$U$23,0)))*(VLOOKUP($B166,INDIRECT($B$5&amp;"生成成长"),3))*(VLOOKUP($B$5,标准坦克设计!$B$14:$K$20,9)/30))</f>
        <v>2.6311780327626182</v>
      </c>
      <c r="Q166" s="172">
        <f ca="1">(VLOOKUP(Q$72,INDIRECT($C$5&amp;"生成成长"),2))/((VLOOKUP($B166,INDIRECT($B$5&amp;"生成成长"),4))/(VLOOKUP(Q$72,INDIRECT($C$5&amp;"生成成长"),5))*(VLOOKUP($B$5,标准坦克设计!$B$24:$U$30,MATCH("对"&amp;LEFT($C$5,2)&amp;"输出",标准坦克设计!$B$23:$U$23,0)))*(VLOOKUP($B166,INDIRECT($B$5&amp;"生成成长"),3))*(VLOOKUP($B$5,标准坦克设计!$B$14:$K$20,9)/30))</f>
        <v>2.9519895164144656</v>
      </c>
      <c r="R166" s="172">
        <f ca="1">(VLOOKUP(R$72,INDIRECT($C$5&amp;"生成成长"),2))/((VLOOKUP($B166,INDIRECT($B$5&amp;"生成成长"),4))/(VLOOKUP(R$72,INDIRECT($C$5&amp;"生成成长"),5))*(VLOOKUP($B$5,标准坦克设计!$B$24:$U$30,MATCH("对"&amp;LEFT($C$5,2)&amp;"输出",标准坦克设计!$B$23:$U$23,0)))*(VLOOKUP($B166,INDIRECT($B$5&amp;"生成成长"),3))*(VLOOKUP($B$5,标准坦克设计!$B$14:$K$20,9)/30))</f>
        <v>3.2912502227683369</v>
      </c>
      <c r="S166" s="172">
        <f ca="1">(VLOOKUP(S$72,INDIRECT($C$5&amp;"生成成长"),2))/((VLOOKUP($B166,INDIRECT($B$5&amp;"生成成长"),4))/(VLOOKUP(S$72,INDIRECT($C$5&amp;"生成成长"),5))*(VLOOKUP($B$5,标准坦克设计!$B$24:$U$30,MATCH("对"&amp;LEFT($C$5,2)&amp;"输出",标准坦克设计!$B$23:$U$23,0)))*(VLOOKUP($B166,INDIRECT($B$5&amp;"生成成长"),3))*(VLOOKUP($B$5,标准坦克设计!$B$14:$K$20,9)/30))</f>
        <v>3.6489601518242316</v>
      </c>
      <c r="T166" s="172">
        <f ca="1">(VLOOKUP(T$72,INDIRECT($C$5&amp;"生成成长"),2))/((VLOOKUP($B166,INDIRECT($B$5&amp;"生成成长"),4))/(VLOOKUP(T$72,INDIRECT($C$5&amp;"生成成长"),5))*(VLOOKUP($B$5,标准坦克设计!$B$24:$U$30,MATCH("对"&amp;LEFT($C$5,2)&amp;"输出",标准坦克设计!$B$23:$U$23,0)))*(VLOOKUP($B166,INDIRECT($B$5&amp;"生成成长"),3))*(VLOOKUP($B$5,标准坦克设计!$B$14:$K$20,9)/30))</f>
        <v>4.0251193035821489</v>
      </c>
      <c r="U166" s="172">
        <f ca="1">(VLOOKUP(U$72,INDIRECT($C$5&amp;"生成成长"),2))/((VLOOKUP($B166,INDIRECT($B$5&amp;"生成成长"),4))/(VLOOKUP(U$72,INDIRECT($C$5&amp;"生成成长"),5))*(VLOOKUP($B$5,标准坦克设计!$B$24:$U$30,MATCH("对"&amp;LEFT($C$5,2)&amp;"输出",标准坦克设计!$B$23:$U$23,0)))*(VLOOKUP($B166,INDIRECT($B$5&amp;"生成成长"),3))*(VLOOKUP($B$5,标准坦克设计!$B$14:$K$20,9)/30))</f>
        <v>4.41972767804209</v>
      </c>
      <c r="V166" s="172">
        <f ca="1">(VLOOKUP(V$72,INDIRECT($C$5&amp;"生成成长"),2))/((VLOOKUP($B166,INDIRECT($B$5&amp;"生成成长"),4))/(VLOOKUP(V$72,INDIRECT($C$5&amp;"生成成长"),5))*(VLOOKUP($B$5,标准坦克设计!$B$24:$U$30,MATCH("对"&amp;LEFT($C$5,2)&amp;"输出",标准坦克设计!$B$23:$U$23,0)))*(VLOOKUP($B166,INDIRECT($B$5&amp;"生成成长"),3))*(VLOOKUP($B$5,标准坦克设计!$B$14:$K$20,9)/30))</f>
        <v>4.8327852752040537</v>
      </c>
      <c r="W166" s="172">
        <f ca="1">(VLOOKUP(W$72,INDIRECT($C$5&amp;"生成成长"),2))/((VLOOKUP($B166,INDIRECT($B$5&amp;"生成成长"),4))/(VLOOKUP(W$72,INDIRECT($C$5&amp;"生成成长"),5))*(VLOOKUP($B$5,标准坦克设计!$B$24:$U$30,MATCH("对"&amp;LEFT($C$5,2)&amp;"输出",标准坦克设计!$B$23:$U$23,0)))*(VLOOKUP($B166,INDIRECT($B$5&amp;"生成成长"),3))*(VLOOKUP($B$5,标准坦克设计!$B$14:$K$20,9)/30))</f>
        <v>5.2642920950680407</v>
      </c>
      <c r="X166" s="172">
        <f ca="1">(VLOOKUP(X$72,INDIRECT($C$5&amp;"生成成长"),2))/((VLOOKUP($B166,INDIRECT($B$5&amp;"生成成长"),4))/(VLOOKUP(X$72,INDIRECT($C$5&amp;"生成成长"),5))*(VLOOKUP($B$5,标准坦克设计!$B$24:$U$30,MATCH("对"&amp;LEFT($C$5,2)&amp;"输出",标准坦克设计!$B$23:$U$23,0)))*(VLOOKUP($B166,INDIRECT($B$5&amp;"生成成长"),3))*(VLOOKUP($B$5,标准坦克设计!$B$14:$K$20,9)/30))</f>
        <v>3.8138643152349081</v>
      </c>
      <c r="Y166" s="172">
        <f ca="1">(VLOOKUP(Y$72,INDIRECT($C$5&amp;"生成成长"),2))/((VLOOKUP($B166,INDIRECT($B$5&amp;"生成成长"),4))/(VLOOKUP(Y$72,INDIRECT($C$5&amp;"生成成长"),5))*(VLOOKUP($B$5,标准坦克设计!$B$24:$U$30,MATCH("对"&amp;LEFT($C$5,2)&amp;"输出",标准坦克设计!$B$23:$U$23,0)))*(VLOOKUP($B166,INDIRECT($B$5&amp;"生成成长"),3))*(VLOOKUP($B$5,标准坦克设计!$B$14:$K$20,9)/30))</f>
        <v>4.2420684964670521</v>
      </c>
      <c r="Z166" s="172">
        <f ca="1">(VLOOKUP(Z$72,INDIRECT($C$5&amp;"生成成长"),2))/((VLOOKUP($B166,INDIRECT($B$5&amp;"生成成长"),4))/(VLOOKUP(Z$72,INDIRECT($C$5&amp;"生成成长"),5))*(VLOOKUP($B$5,标准坦克设计!$B$24:$U$30,MATCH("对"&amp;LEFT($C$5,2)&amp;"输出",标准坦克设计!$B$23:$U$23,0)))*(VLOOKUP($B166,INDIRECT($B$5&amp;"生成成长"),3))*(VLOOKUP($B$5,标准坦克设计!$B$14:$K$20,9)/30))</f>
        <v>4.6930494958498414</v>
      </c>
      <c r="AA166" s="172">
        <f ca="1">(VLOOKUP(AA$72,INDIRECT($C$5&amp;"生成成长"),2))/((VLOOKUP($B166,INDIRECT($B$5&amp;"生成成长"),4))/(VLOOKUP(AA$72,INDIRECT($C$5&amp;"生成成长"),5))*(VLOOKUP($B$5,标准坦克设计!$B$24:$U$30,MATCH("对"&amp;LEFT($C$5,2)&amp;"输出",标准坦克设计!$B$23:$U$23,0)))*(VLOOKUP($B166,INDIRECT($B$5&amp;"生成成长"),3))*(VLOOKUP($B$5,标准坦克设计!$B$14:$K$20,9)/30))</f>
        <v>5.1668073133832761</v>
      </c>
      <c r="AB166" s="172">
        <f ca="1">(VLOOKUP(AB$72,INDIRECT($C$5&amp;"生成成长"),2))/((VLOOKUP($B166,INDIRECT($B$5&amp;"生成成长"),4))/(VLOOKUP(AB$72,INDIRECT($C$5&amp;"生成成长"),5))*(VLOOKUP($B$5,标准坦克设计!$B$24:$U$30,MATCH("对"&amp;LEFT($C$5,2)&amp;"输出",标准坦克设计!$B$23:$U$23,0)))*(VLOOKUP($B166,INDIRECT($B$5&amp;"生成成长"),3))*(VLOOKUP($B$5,标准坦克设计!$B$14:$K$20,9)/30))</f>
        <v>5.6633419490673571</v>
      </c>
      <c r="AC166" s="172">
        <f ca="1">(VLOOKUP(AC$72,INDIRECT($C$5&amp;"生成成长"),2))/((VLOOKUP($B166,INDIRECT($B$5&amp;"生成成长"),4))/(VLOOKUP(AC$72,INDIRECT($C$5&amp;"生成成长"),5))*(VLOOKUP($B$5,标准坦克设计!$B$24:$U$30,MATCH("对"&amp;LEFT($C$5,2)&amp;"输出",标准坦克设计!$B$23:$U$23,0)))*(VLOOKUP($B166,INDIRECT($B$5&amp;"生成成长"),3))*(VLOOKUP($B$5,标准坦克设计!$B$14:$K$20,9)/30))</f>
        <v>6.1826534029020852</v>
      </c>
      <c r="AD166" s="172">
        <f ca="1">(VLOOKUP(AD$72,INDIRECT($C$5&amp;"生成成长"),2))/((VLOOKUP($B166,INDIRECT($B$5&amp;"生成成长"),4))/(VLOOKUP(AD$72,INDIRECT($C$5&amp;"生成成长"),5))*(VLOOKUP($B$5,标准坦克设计!$B$24:$U$30,MATCH("对"&amp;LEFT($C$5,2)&amp;"输出",标准坦克设计!$B$23:$U$23,0)))*(VLOOKUP($B166,INDIRECT($B$5&amp;"生成成长"),3))*(VLOOKUP($B$5,标准坦克设计!$B$14:$K$20,9)/30))</f>
        <v>6.7247416748874578</v>
      </c>
      <c r="AE166" s="172">
        <f ca="1">(VLOOKUP(AE$72,INDIRECT($C$5&amp;"生成成长"),2))/((VLOOKUP($B166,INDIRECT($B$5&amp;"生成成长"),4))/(VLOOKUP(AE$72,INDIRECT($C$5&amp;"生成成长"),5))*(VLOOKUP($B$5,标准坦克设计!$B$24:$U$30,MATCH("对"&amp;LEFT($C$5,2)&amp;"输出",标准坦克设计!$B$23:$U$23,0)))*(VLOOKUP($B166,INDIRECT($B$5&amp;"生成成长"),3))*(VLOOKUP($B$5,标准坦克设计!$B$14:$K$20,9)/30))</f>
        <v>7.2896067650234766</v>
      </c>
      <c r="AF166" s="172">
        <f ca="1">(VLOOKUP(AF$72,INDIRECT($C$5&amp;"生成成长"),2))/((VLOOKUP($B166,INDIRECT($B$5&amp;"生成成长"),4))/(VLOOKUP(AF$72,INDIRECT($C$5&amp;"生成成长"),5))*(VLOOKUP($B$5,标准坦克设计!$B$24:$U$30,MATCH("对"&amp;LEFT($C$5,2)&amp;"输出",标准坦克设计!$B$23:$U$23,0)))*(VLOOKUP($B166,INDIRECT($B$5&amp;"生成成长"),3))*(VLOOKUP($B$5,标准坦克设计!$B$14:$K$20,9)/30))</f>
        <v>7.8772486733101426</v>
      </c>
      <c r="AG166" s="172">
        <f ca="1">(VLOOKUP(AG$72,INDIRECT($C$5&amp;"生成成长"),2))/((VLOOKUP($B166,INDIRECT($B$5&amp;"生成成长"),4))/(VLOOKUP(AG$72,INDIRECT($C$5&amp;"生成成长"),5))*(VLOOKUP($B$5,标准坦克设计!$B$24:$U$30,MATCH("对"&amp;LEFT($C$5,2)&amp;"输出",标准坦克设计!$B$23:$U$23,0)))*(VLOOKUP($B166,INDIRECT($B$5&amp;"生成成长"),3))*(VLOOKUP($B$5,标准坦克设计!$B$14:$K$20,9)/30))</f>
        <v>8.487667399747453</v>
      </c>
      <c r="AH166" s="172">
        <f ca="1">(VLOOKUP(AH$72,INDIRECT($C$5&amp;"生成成长"),2))/((VLOOKUP($B166,INDIRECT($B$5&amp;"生成成长"),4))/(VLOOKUP(AH$72,INDIRECT($C$5&amp;"生成成长"),5))*(VLOOKUP($B$5,标准坦克设计!$B$24:$U$30,MATCH("对"&amp;LEFT($C$5,2)&amp;"输出",标准坦克设计!$B$23:$U$23,0)))*(VLOOKUP($B166,INDIRECT($B$5&amp;"生成成长"),3))*(VLOOKUP($B$5,标准坦克设计!$B$14:$K$20,9)/30))</f>
        <v>9.1208629443354088</v>
      </c>
      <c r="AI166" s="172">
        <f ca="1">(VLOOKUP(AI$72,INDIRECT($C$5&amp;"生成成长"),2))/((VLOOKUP($B166,INDIRECT($B$5&amp;"生成成长"),4))/(VLOOKUP(AI$72,INDIRECT($C$5&amp;"生成成长"),5))*(VLOOKUP($B$5,标准坦克设计!$B$24:$U$30,MATCH("对"&amp;LEFT($C$5,2)&amp;"输出",标准坦克设计!$B$23:$U$23,0)))*(VLOOKUP($B166,INDIRECT($B$5&amp;"生成成长"),3))*(VLOOKUP($B$5,标准坦克设计!$B$14:$K$20,9)/30))</f>
        <v>6.4508504366259398</v>
      </c>
      <c r="AJ166" s="172">
        <f ca="1">(VLOOKUP(AJ$72,INDIRECT($C$5&amp;"生成成长"),2))/((VLOOKUP($B166,INDIRECT($B$5&amp;"生成成长"),4))/(VLOOKUP(AJ$72,INDIRECT($C$5&amp;"生成成长"),5))*(VLOOKUP($B$5,标准坦克设计!$B$24:$U$30,MATCH("对"&amp;LEFT($C$5,2)&amp;"输出",标准坦克设计!$B$23:$U$23,0)))*(VLOOKUP($B166,INDIRECT($B$5&amp;"生成成长"),3))*(VLOOKUP($B$5,标准坦克设计!$B$14:$K$20,9)/30))</f>
        <v>7.0609275107909912</v>
      </c>
      <c r="AK166" s="172">
        <f ca="1">(VLOOKUP(AK$72,INDIRECT($C$5&amp;"生成成长"),2))/((VLOOKUP($B166,INDIRECT($B$5&amp;"生成成长"),4))/(VLOOKUP(AK$72,INDIRECT($C$5&amp;"生成成长"),5))*(VLOOKUP($B$5,标准坦克设计!$B$24:$U$30,MATCH("对"&amp;LEFT($C$5,2)&amp;"输出",标准坦克设计!$B$23:$U$23,0)))*(VLOOKUP($B166,INDIRECT($B$5&amp;"生成成长"),3))*(VLOOKUP($B$5,标准坦克设计!$B$14:$K$20,9)/30))</f>
        <v>7.6985645349183249</v>
      </c>
      <c r="AL166" s="172">
        <f ca="1">(VLOOKUP(AL$72,INDIRECT($C$5&amp;"生成成长"),2))/((VLOOKUP($B166,INDIRECT($B$5&amp;"生成成长"),4))/(VLOOKUP(AL$72,INDIRECT($C$5&amp;"生成成长"),5))*(VLOOKUP($B$5,标准坦克设计!$B$24:$U$30,MATCH("对"&amp;LEFT($C$5,2)&amp;"输出",标准坦克设计!$B$23:$U$23,0)))*(VLOOKUP($B166,INDIRECT($B$5&amp;"生成成长"),3))*(VLOOKUP($B$5,标准坦克设计!$B$14:$K$20,9)/30))</f>
        <v>8.3637615090079382</v>
      </c>
      <c r="AM166" s="172">
        <f ca="1">(VLOOKUP(AM$72,INDIRECT($C$5&amp;"生成成长"),2))/((VLOOKUP($B166,INDIRECT($B$5&amp;"生成成长"),4))/(VLOOKUP(AM$72,INDIRECT($C$5&amp;"生成成长"),5))*(VLOOKUP($B$5,标准坦克设计!$B$24:$U$30,MATCH("对"&amp;LEFT($C$5,2)&amp;"输出",标准坦克设计!$B$23:$U$23,0)))*(VLOOKUP($B166,INDIRECT($B$5&amp;"生成成长"),3))*(VLOOKUP($B$5,标准坦克设计!$B$14:$K$20,9)/30))</f>
        <v>9.0565184330598356</v>
      </c>
      <c r="AN166" s="172">
        <f ca="1">(VLOOKUP(AN$72,INDIRECT($C$5&amp;"生成成长"),2))/((VLOOKUP($B166,INDIRECT($B$5&amp;"生成成长"),4))/(VLOOKUP(AN$72,INDIRECT($C$5&amp;"生成成长"),5))*(VLOOKUP($B$5,标准坦克设计!$B$24:$U$30,MATCH("对"&amp;LEFT($C$5,2)&amp;"输出",标准坦克设计!$B$23:$U$23,0)))*(VLOOKUP($B166,INDIRECT($B$5&amp;"生成成长"),3))*(VLOOKUP($B$5,标准坦克设计!$B$14:$K$20,9)/30))</f>
        <v>9.7768353070740126</v>
      </c>
      <c r="AO166" s="172">
        <f ca="1">(VLOOKUP(AO$72,INDIRECT($C$5&amp;"生成成长"),2))/((VLOOKUP($B166,INDIRECT($B$5&amp;"生成成长"),4))/(VLOOKUP(AO$72,INDIRECT($C$5&amp;"生成成长"),5))*(VLOOKUP($B$5,标准坦克设计!$B$24:$U$30,MATCH("对"&amp;LEFT($C$5,2)&amp;"输出",标准坦克设计!$B$23:$U$23,0)))*(VLOOKUP($B166,INDIRECT($B$5&amp;"生成成长"),3))*(VLOOKUP($B$5,标准坦克设计!$B$14:$K$20,9)/30))</f>
        <v>10.524712131050473</v>
      </c>
      <c r="AP166" s="172">
        <f ca="1">(VLOOKUP(AP$72,INDIRECT($C$5&amp;"生成成长"),2))/((VLOOKUP($B166,INDIRECT($B$5&amp;"生成成长"),4))/(VLOOKUP(AP$72,INDIRECT($C$5&amp;"生成成长"),5))*(VLOOKUP($B$5,标准坦克设计!$B$24:$U$30,MATCH("对"&amp;LEFT($C$5,2)&amp;"输出",标准坦克设计!$B$23:$U$23,0)))*(VLOOKUP($B166,INDIRECT($B$5&amp;"生成成长"),3))*(VLOOKUP($B$5,标准坦克设计!$B$14:$K$20,9)/30))</f>
        <v>11.300148904989213</v>
      </c>
      <c r="AQ166" s="172">
        <f ca="1">(VLOOKUP(AQ$72,INDIRECT($C$5&amp;"生成成长"),2))/((VLOOKUP($B166,INDIRECT($B$5&amp;"生成成长"),4))/(VLOOKUP(AQ$72,INDIRECT($C$5&amp;"生成成长"),5))*(VLOOKUP($B$5,标准坦克设计!$B$24:$U$30,MATCH("对"&amp;LEFT($C$5,2)&amp;"输出",标准坦克设计!$B$23:$U$23,0)))*(VLOOKUP($B166,INDIRECT($B$5&amp;"生成成长"),3))*(VLOOKUP($B$5,标准坦克设计!$B$14:$K$20,9)/30))</f>
        <v>12.103145628890234</v>
      </c>
      <c r="AR166" s="172">
        <f ca="1">(VLOOKUP(AR$72,INDIRECT($C$5&amp;"生成成长"),2))/((VLOOKUP($B166,INDIRECT($B$5&amp;"生成成长"),4))/(VLOOKUP(AR$72,INDIRECT($C$5&amp;"生成成长"),5))*(VLOOKUP($B$5,标准坦克设计!$B$24:$U$30,MATCH("对"&amp;LEFT($C$5,2)&amp;"输出",标准坦克设计!$B$23:$U$23,0)))*(VLOOKUP($B166,INDIRECT($B$5&amp;"生成成长"),3))*(VLOOKUP($B$5,标准坦克设计!$B$14:$K$20,9)/30))</f>
        <v>12.933702302753538</v>
      </c>
      <c r="AS166" s="172">
        <f ca="1">(VLOOKUP(AS$72,INDIRECT($C$5&amp;"生成成长"),2))/((VLOOKUP($B166,INDIRECT($B$5&amp;"生成成长"),4))/(VLOOKUP(AS$72,INDIRECT($C$5&amp;"生成成长"),5))*(VLOOKUP($B$5,标准坦克设计!$B$24:$U$30,MATCH("对"&amp;LEFT($C$5,2)&amp;"输出",标准坦克设计!$B$23:$U$23,0)))*(VLOOKUP($B166,INDIRECT($B$5&amp;"生成成长"),3))*(VLOOKUP($B$5,标准坦克设计!$B$14:$K$20,9)/30))</f>
        <v>13.791818926579124</v>
      </c>
      <c r="AT166" s="172">
        <f ca="1">(VLOOKUP(AT$72,INDIRECT($C$5&amp;"生成成长"),2))/((VLOOKUP($B166,INDIRECT($B$5&amp;"生成成长"),4))/(VLOOKUP(AT$72,INDIRECT($C$5&amp;"生成成长"),5))*(VLOOKUP($B$5,标准坦克设计!$B$24:$U$30,MATCH("对"&amp;LEFT($C$5,2)&amp;"输出",标准坦克设计!$B$23:$U$23,0)))*(VLOOKUP($B166,INDIRECT($B$5&amp;"生成成长"),3))*(VLOOKUP($B$5,标准坦克设计!$B$14:$K$20,9)/30))</f>
        <v>14.677495500366991</v>
      </c>
      <c r="AU166" s="172">
        <f ca="1">(VLOOKUP(AU$72,INDIRECT($C$5&amp;"生成成长"),2))/((VLOOKUP($B166,INDIRECT($B$5&amp;"生成成长"),4))/(VLOOKUP(AU$72,INDIRECT($C$5&amp;"生成成长"),5))*(VLOOKUP($B$5,标准坦克设计!$B$24:$U$30,MATCH("对"&amp;LEFT($C$5,2)&amp;"输出",标准坦克设计!$B$23:$U$23,0)))*(VLOOKUP($B166,INDIRECT($B$5&amp;"生成成长"),3))*(VLOOKUP($B$5,标准坦克设计!$B$14:$K$20,9)/30))</f>
        <v>15.590732024117139</v>
      </c>
      <c r="AV166" s="172">
        <f ca="1">(VLOOKUP(AV$72,INDIRECT($C$5&amp;"生成成长"),2))/((VLOOKUP($B166,INDIRECT($B$5&amp;"生成成长"),4))/(VLOOKUP(AV$72,INDIRECT($C$5&amp;"生成成长"),5))*(VLOOKUP($B$5,标准坦克设计!$B$24:$U$30,MATCH("对"&amp;LEFT($C$5,2)&amp;"输出",标准坦克设计!$B$23:$U$23,0)))*(VLOOKUP($B166,INDIRECT($B$5&amp;"生成成长"),3))*(VLOOKUP($B$5,标准坦克设计!$B$14:$K$20,9)/30))</f>
        <v>1.5857220796479696</v>
      </c>
      <c r="AW166" s="172">
        <f ca="1">(VLOOKUP(AW$72,INDIRECT($C$5&amp;"生成成长"),2))/((VLOOKUP($B166,INDIRECT($B$5&amp;"生成成长"),4))/(VLOOKUP(AW$72,INDIRECT($C$5&amp;"生成成长"),5))*(VLOOKUP($B$5,标准坦克设计!$B$24:$U$30,MATCH("对"&amp;LEFT($C$5,2)&amp;"输出",标准坦克设计!$B$23:$U$23,0)))*(VLOOKUP($B166,INDIRECT($B$5&amp;"生成成长"),3))*(VLOOKUP($B$5,标准坦克设计!$B$14:$K$20,9)/30))</f>
        <v>1.8080238247982736</v>
      </c>
      <c r="AX166" s="172">
        <f ca="1">(VLOOKUP(AX$72,INDIRECT($C$5&amp;"生成成长"),2))/((VLOOKUP($B166,INDIRECT($B$5&amp;"生成成长"),4))/(VLOOKUP(AX$72,INDIRECT($C$5&amp;"生成成长"),5))*(VLOOKUP($B$5,标准坦克设计!$B$24:$U$30,MATCH("对"&amp;LEFT($C$5,2)&amp;"输出",标准坦克设计!$B$23:$U$23,0)))*(VLOOKUP($B166,INDIRECT($B$5&amp;"生成成长"),3))*(VLOOKUP($B$5,标准坦克设计!$B$14:$K$20,9)/30))</f>
        <v>2.0449027335649914</v>
      </c>
      <c r="AY166" s="172">
        <f ca="1">(VLOOKUP(AY$72,INDIRECT($C$5&amp;"生成成长"),2))/((VLOOKUP($B166,INDIRECT($B$5&amp;"生成成长"),4))/(VLOOKUP(AY$72,INDIRECT($C$5&amp;"生成成长"),5))*(VLOOKUP($B$5,标准坦克设计!$B$24:$U$30,MATCH("对"&amp;LEFT($C$5,2)&amp;"输出",标准坦克设计!$B$23:$U$23,0)))*(VLOOKUP($B166,INDIRECT($B$5&amp;"生成成长"),3))*(VLOOKUP($B$5,标准坦克设计!$B$14:$K$20,9)/30))</f>
        <v>2.2963588059481226</v>
      </c>
      <c r="AZ166" s="172">
        <f ca="1">(VLOOKUP(AZ$72,INDIRECT($C$5&amp;"生成成长"),2))/((VLOOKUP($B166,INDIRECT($B$5&amp;"生成成长"),4))/(VLOOKUP(AZ$72,INDIRECT($C$5&amp;"生成成长"),5))*(VLOOKUP($B$5,标准坦克设计!$B$24:$U$30,MATCH("对"&amp;LEFT($C$5,2)&amp;"输出",标准坦克设计!$B$23:$U$23,0)))*(VLOOKUP($B166,INDIRECT($B$5&amp;"生成成长"),3))*(VLOOKUP($B$5,标准坦克设计!$B$14:$K$20,9)/30))</f>
        <v>2.5623920419476671</v>
      </c>
      <c r="BA166" s="172">
        <f ca="1">(VLOOKUP(BA$72,INDIRECT($C$5&amp;"生成成长"),2))/((VLOOKUP($B166,INDIRECT($B$5&amp;"生成成长"),4))/(VLOOKUP(BA$72,INDIRECT($C$5&amp;"生成成长"),5))*(VLOOKUP($B$5,标准坦克设计!$B$24:$U$30,MATCH("对"&amp;LEFT($C$5,2)&amp;"输出",标准坦克设计!$B$23:$U$23,0)))*(VLOOKUP($B166,INDIRECT($B$5&amp;"生成成长"),3))*(VLOOKUP($B$5,标准坦克设计!$B$14:$K$20,9)/30))</f>
        <v>2.8430024415636255</v>
      </c>
      <c r="BB166" s="172">
        <f ca="1">(VLOOKUP(BB$72,INDIRECT($C$5&amp;"生成成长"),2))/((VLOOKUP($B166,INDIRECT($B$5&amp;"生成成长"),4))/(VLOOKUP(BB$72,INDIRECT($C$5&amp;"生成成长"),5))*(VLOOKUP($B$5,标准坦克设计!$B$24:$U$30,MATCH("对"&amp;LEFT($C$5,2)&amp;"输出",标准坦克设计!$B$23:$U$23,0)))*(VLOOKUP($B166,INDIRECT($B$5&amp;"生成成长"),3))*(VLOOKUP($B$5,标准坦克设计!$B$14:$K$20,9)/30))</f>
        <v>3.1381900047959963</v>
      </c>
      <c r="BC166" s="172">
        <f ca="1">(VLOOKUP(BC$72,INDIRECT($C$5&amp;"生成成长"),2))/((VLOOKUP($B166,INDIRECT($B$5&amp;"生成成长"),4))/(VLOOKUP(BC$72,INDIRECT($C$5&amp;"生成成长"),5))*(VLOOKUP($B$5,标准坦克设计!$B$24:$U$30,MATCH("对"&amp;LEFT($C$5,2)&amp;"输出",标准坦克设计!$B$23:$U$23,0)))*(VLOOKUP($B166,INDIRECT($B$5&amp;"生成成长"),3))*(VLOOKUP($B$5,标准坦克设计!$B$14:$K$20,9)/30))</f>
        <v>3.4479547316447809</v>
      </c>
      <c r="BD166" s="172">
        <f ca="1">(VLOOKUP(BD$72,INDIRECT($C$5&amp;"生成成长"),2))/((VLOOKUP($B166,INDIRECT($B$5&amp;"生成成长"),4))/(VLOOKUP(BD$72,INDIRECT($C$5&amp;"生成成长"),5))*(VLOOKUP($B$5,标准坦克设计!$B$24:$U$30,MATCH("对"&amp;LEFT($C$5,2)&amp;"输出",标准坦克设计!$B$23:$U$23,0)))*(VLOOKUP($B166,INDIRECT($B$5&amp;"生成成长"),3))*(VLOOKUP($B$5,标准坦克设计!$B$14:$K$20,9)/30))</f>
        <v>3.8138643152349081</v>
      </c>
      <c r="BE166" s="172">
        <f ca="1">(VLOOKUP(BE$72,INDIRECT($C$5&amp;"生成成长"),2))/((VLOOKUP($B166,INDIRECT($B$5&amp;"生成成长"),4))/(VLOOKUP(BE$72,INDIRECT($C$5&amp;"生成成长"),5))*(VLOOKUP($B$5,标准坦克设计!$B$24:$U$30,MATCH("对"&amp;LEFT($C$5,2)&amp;"输出",标准坦克设计!$B$23:$U$23,0)))*(VLOOKUP($B166,INDIRECT($B$5&amp;"生成成长"),3))*(VLOOKUP($B$5,标准坦克设计!$B$14:$K$20,9)/30))</f>
        <v>4.1982231215270573</v>
      </c>
      <c r="BF166" s="172">
        <f ca="1">(VLOOKUP(BF$72,INDIRECT($C$5&amp;"生成成长"),2))/((VLOOKUP($B166,INDIRECT($B$5&amp;"生成成长"),4))/(VLOOKUP(BF$72,INDIRECT($C$5&amp;"生成成长"),5))*(VLOOKUP($B$5,标准坦克设计!$B$24:$U$30,MATCH("对"&amp;LEFT($C$5,2)&amp;"输出",标准坦克设计!$B$23:$U$23,0)))*(VLOOKUP($B166,INDIRECT($B$5&amp;"生成成长"),3))*(VLOOKUP($B$5,标准坦克设计!$B$14:$K$20,9)/30))</f>
        <v>4.6010311505212318</v>
      </c>
      <c r="BG166" s="172">
        <f ca="1">(VLOOKUP(BG$72,INDIRECT($C$5&amp;"生成成长"),2))/((VLOOKUP($B166,INDIRECT($B$5&amp;"生成成长"),4))/(VLOOKUP(BG$72,INDIRECT($C$5&amp;"生成成长"),5))*(VLOOKUP($B$5,标准坦克设计!$B$24:$U$30,MATCH("对"&amp;LEFT($C$5,2)&amp;"输出",标准坦克设计!$B$23:$U$23,0)))*(VLOOKUP($B166,INDIRECT($B$5&amp;"生成成长"),3))*(VLOOKUP($B$5,标准坦克设计!$B$14:$K$20,9)/30))</f>
        <v>5.0222884022174279</v>
      </c>
      <c r="BH166" s="172">
        <f ca="1">(VLOOKUP(BH$72,INDIRECT($C$5&amp;"生成成长"),2))/((VLOOKUP($B166,INDIRECT($B$5&amp;"生成成长"),4))/(VLOOKUP(BH$72,INDIRECT($C$5&amp;"生成成长"),5))*(VLOOKUP($B$5,标准坦克设计!$B$24:$U$30,MATCH("对"&amp;LEFT($C$5,2)&amp;"输出",标准坦克设计!$B$23:$U$23,0)))*(VLOOKUP($B166,INDIRECT($B$5&amp;"生成成长"),3))*(VLOOKUP($B$5,标准坦克设计!$B$14:$K$20,9)/30))</f>
        <v>2.4275532784958433</v>
      </c>
      <c r="BI166" s="172">
        <f ca="1">(VLOOKUP(BI$72,INDIRECT($C$5&amp;"生成成长"),2))/((VLOOKUP($B166,INDIRECT($B$5&amp;"生成成长"),4))/(VLOOKUP(BI$72,INDIRECT($C$5&amp;"生成成长"),5))*(VLOOKUP($B$5,标准坦克设计!$B$24:$U$30,MATCH("对"&amp;LEFT($C$5,2)&amp;"输出",标准坦克设计!$B$23:$U$23,0)))*(VLOOKUP($B166,INDIRECT($B$5&amp;"生成成长"),3))*(VLOOKUP($B$5,标准坦克设计!$B$14:$K$20,9)/30))</f>
        <v>2.7360652803463421</v>
      </c>
      <c r="BJ166" s="172">
        <f ca="1">(VLOOKUP(BJ$72,INDIRECT($C$5&amp;"生成成长"),2))/((VLOOKUP($B166,INDIRECT($B$5&amp;"生成成长"),4))/(VLOOKUP(BJ$72,INDIRECT($C$5&amp;"生成成长"),5))*(VLOOKUP($B$5,标准坦克设计!$B$24:$U$30,MATCH("对"&amp;LEFT($C$5,2)&amp;"输出",标准坦克设计!$B$23:$U$23,0)))*(VLOOKUP($B166,INDIRECT($B$5&amp;"生成成长"),3))*(VLOOKUP($B$5,标准坦克设计!$B$14:$K$20,9)/30))</f>
        <v>3.0630265048988647</v>
      </c>
      <c r="BK166" s="172">
        <f ca="1">(VLOOKUP(BK$72,INDIRECT($C$5&amp;"生成成长"),2))/((VLOOKUP($B166,INDIRECT($B$5&amp;"生成成长"),4))/(VLOOKUP(BK$72,INDIRECT($C$5&amp;"生成成长"),5))*(VLOOKUP($B$5,标准坦克设计!$B$24:$U$30,MATCH("对"&amp;LEFT($C$5,2)&amp;"输出",标准坦克设计!$B$23:$U$23,0)))*(VLOOKUP($B166,INDIRECT($B$5&amp;"生成成长"),3))*(VLOOKUP($B$5,标准坦克设计!$B$14:$K$20,9)/30))</f>
        <v>3.4084369521534099</v>
      </c>
      <c r="BL166" s="172">
        <f ca="1">(VLOOKUP(BL$72,INDIRECT($C$5&amp;"生成成长"),2))/((VLOOKUP($B166,INDIRECT($B$5&amp;"生成成长"),4))/(VLOOKUP(BL$72,INDIRECT($C$5&amp;"生成成长"),5))*(VLOOKUP($B$5,标准坦克设计!$B$24:$U$30,MATCH("对"&amp;LEFT($C$5,2)&amp;"输出",标准坦克设计!$B$23:$U$23,0)))*(VLOOKUP($B166,INDIRECT($B$5&amp;"生成成长"),3))*(VLOOKUP($B$5,标准坦克设计!$B$14:$K$20,9)/30))</f>
        <v>3.7722966221099794</v>
      </c>
      <c r="BM166" s="172">
        <f ca="1">(VLOOKUP(BM$72,INDIRECT($C$5&amp;"生成成长"),2))/((VLOOKUP($B166,INDIRECT($B$5&amp;"生成成长"),4))/(VLOOKUP(BM$72,INDIRECT($C$5&amp;"生成成长"),5))*(VLOOKUP($B$5,标准坦克设计!$B$24:$U$30,MATCH("对"&amp;LEFT($C$5,2)&amp;"输出",标准坦克设计!$B$23:$U$23,0)))*(VLOOKUP($B166,INDIRECT($B$5&amp;"生成成长"),3))*(VLOOKUP($B$5,标准坦克设计!$B$14:$K$20,9)/30))</f>
        <v>4.154605514768571</v>
      </c>
      <c r="BN166" s="172">
        <f ca="1">(VLOOKUP(BN$72,INDIRECT($C$5&amp;"生成成长"),2))/((VLOOKUP($B166,INDIRECT($B$5&amp;"生成成长"),4))/(VLOOKUP(BN$72,INDIRECT($C$5&amp;"生成成长"),5))*(VLOOKUP($B$5,标准坦克设计!$B$24:$U$30,MATCH("对"&amp;LEFT($C$5,2)&amp;"输出",标准坦克设计!$B$23:$U$23,0)))*(VLOOKUP($B166,INDIRECT($B$5&amp;"生成成长"),3))*(VLOOKUP($B$5,标准坦克设计!$B$14:$K$20,9)/30))</f>
        <v>4.555363630129186</v>
      </c>
      <c r="BO166" s="172">
        <f ca="1">(VLOOKUP(BO$72,INDIRECT($C$5&amp;"生成成长"),2))/((VLOOKUP($B166,INDIRECT($B$5&amp;"生成成长"),4))/(VLOOKUP(BO$72,INDIRECT($C$5&amp;"生成成长"),5))*(VLOOKUP($B$5,标准坦克设计!$B$24:$U$30,MATCH("对"&amp;LEFT($C$5,2)&amp;"输出",标准坦克设计!$B$23:$U$23,0)))*(VLOOKUP($B166,INDIRECT($B$5&amp;"生成成长"),3))*(VLOOKUP($B$5,标准坦克设计!$B$14:$K$20,9)/30))</f>
        <v>4.9745709681918244</v>
      </c>
      <c r="BP166" s="172">
        <f ca="1">(VLOOKUP(BP$72,INDIRECT($C$5&amp;"生成成长"),2))/((VLOOKUP($B166,INDIRECT($B$5&amp;"生成成长"),4))/(VLOOKUP(BP$72,INDIRECT($C$5&amp;"生成成长"),5))*(VLOOKUP($B$5,标准坦克设计!$B$24:$U$30,MATCH("对"&amp;LEFT($C$5,2)&amp;"输出",标准坦克设计!$B$23:$U$23,0)))*(VLOOKUP($B166,INDIRECT($B$5&amp;"生成成长"),3))*(VLOOKUP($B$5,标准坦克设计!$B$14:$K$20,9)/30))</f>
        <v>5.4122275289564863</v>
      </c>
      <c r="BQ166" s="172">
        <f ca="1">(VLOOKUP(BQ$72,INDIRECT($C$5&amp;"生成成长"),2))/((VLOOKUP($B166,INDIRECT($B$5&amp;"生成成长"),4))/(VLOOKUP(BQ$72,INDIRECT($C$5&amp;"生成成长"),5))*(VLOOKUP($B$5,标准坦克设计!$B$24:$U$30,MATCH("对"&amp;LEFT($C$5,2)&amp;"输出",标准坦克设计!$B$23:$U$23,0)))*(VLOOKUP($B166,INDIRECT($B$5&amp;"生成成长"),3))*(VLOOKUP($B$5,标准坦克设计!$B$14:$K$20,9)/30))</f>
        <v>5.8683333124231716</v>
      </c>
      <c r="BR166" s="172">
        <f ca="1">(VLOOKUP(BR$72,INDIRECT($C$5&amp;"生成成长"),2))/((VLOOKUP($B166,INDIRECT($B$5&amp;"生成成长"),4))/(VLOOKUP(BR$72,INDIRECT($C$5&amp;"生成成长"),5))*(VLOOKUP($B$5,标准坦克设计!$B$24:$U$30,MATCH("对"&amp;LEFT($C$5,2)&amp;"输出",标准坦克设计!$B$23:$U$23,0)))*(VLOOKUP($B166,INDIRECT($B$5&amp;"生成成长"),3))*(VLOOKUP($B$5,标准坦克设计!$B$14:$K$20,9)/30))</f>
        <v>6.3967554935181559</v>
      </c>
      <c r="BS166" s="172">
        <f ca="1">(VLOOKUP(BS$72,INDIRECT($C$5&amp;"生成成长"),2))/((VLOOKUP($B166,INDIRECT($B$5&amp;"生成成长"),4))/(VLOOKUP(BS$72,INDIRECT($C$5&amp;"生成成长"),5))*(VLOOKUP($B$5,标准坦克设计!$B$24:$U$30,MATCH("对"&amp;LEFT($C$5,2)&amp;"输出",标准坦克设计!$B$23:$U$23,0)))*(VLOOKUP($B166,INDIRECT($B$5&amp;"生成成长"),3))*(VLOOKUP($B$5,标准坦克设计!$B$14:$K$20,9)/30))</f>
        <v>6.9479544927637882</v>
      </c>
      <c r="BT166" s="172">
        <f ca="1">(VLOOKUP(BT$72,INDIRECT($C$5&amp;"生成成长"),2))/((VLOOKUP($B166,INDIRECT($B$5&amp;"生成成长"),4))/(VLOOKUP(BT$72,INDIRECT($C$5&amp;"生成成长"),5))*(VLOOKUP($B$5,标准坦克设计!$B$24:$U$30,MATCH("对"&amp;LEFT($C$5,2)&amp;"输出",标准坦克设计!$B$23:$U$23,0)))*(VLOOKUP($B166,INDIRECT($B$5&amp;"生成成长"),3))*(VLOOKUP($B$5,标准坦克设计!$B$14:$K$20,9)/30))</f>
        <v>7.521930310160065</v>
      </c>
      <c r="BU166" s="172">
        <f ca="1">(VLOOKUP(BU$72,INDIRECT($C$5&amp;"生成成长"),2))/((VLOOKUP($B166,INDIRECT($B$5&amp;"生成成长"),4))/(VLOOKUP(BU$72,INDIRECT($C$5&amp;"生成成长"),5))*(VLOOKUP($B$5,标准坦克设计!$B$24:$U$30,MATCH("对"&amp;LEFT($C$5,2)&amp;"输出",标准坦克设计!$B$23:$U$23,0)))*(VLOOKUP($B166,INDIRECT($B$5&amp;"生成成长"),3))*(VLOOKUP($B$5,标准坦克设计!$B$14:$K$20,9)/30))</f>
        <v>8.1186829457069898</v>
      </c>
      <c r="BV166" s="172">
        <f ca="1">(VLOOKUP(BV$72,INDIRECT($C$5&amp;"生成成长"),2))/((VLOOKUP($B166,INDIRECT($B$5&amp;"生成成长"),4))/(VLOOKUP(BV$72,INDIRECT($C$5&amp;"生成成长"),5))*(VLOOKUP($B$5,标准坦克设计!$B$24:$U$30,MATCH("对"&amp;LEFT($C$5,2)&amp;"输出",标准坦克设计!$B$23:$U$23,0)))*(VLOOKUP($B166,INDIRECT($B$5&amp;"生成成长"),3))*(VLOOKUP($B$5,标准坦克设计!$B$14:$K$20,9)/30))</f>
        <v>8.7382123994045582</v>
      </c>
      <c r="BW166" s="172">
        <f ca="1">(VLOOKUP(BW$72,INDIRECT($C$5&amp;"生成成长"),2))/((VLOOKUP($B166,INDIRECT($B$5&amp;"生成成长"),4))/(VLOOKUP(BW$72,INDIRECT($C$5&amp;"生成成长"),5))*(VLOOKUP($B$5,标准坦克设计!$B$24:$U$30,MATCH("对"&amp;LEFT($C$5,2)&amp;"输出",标准坦克设计!$B$23:$U$23,0)))*(VLOOKUP($B166,INDIRECT($B$5&amp;"生成成长"),3))*(VLOOKUP($B$5,标准坦克设计!$B$14:$K$20,9)/30))</f>
        <v>3.982412769549688</v>
      </c>
      <c r="BX166" s="172">
        <f ca="1">(VLOOKUP(BX$72,INDIRECT($C$5&amp;"生成成长"),2))/((VLOOKUP($B166,INDIRECT($B$5&amp;"生成成长"),4))/(VLOOKUP(BX$72,INDIRECT($C$5&amp;"生成成长"),5))*(VLOOKUP($B$5,标准坦克设计!$B$24:$U$30,MATCH("对"&amp;LEFT($C$5,2)&amp;"输出",标准坦克设计!$B$23:$U$23,0)))*(VLOOKUP($B166,INDIRECT($B$5&amp;"生成成长"),3))*(VLOOKUP($B$5,标准坦克设计!$B$14:$K$20,9)/30))</f>
        <v>4.41972767804209</v>
      </c>
      <c r="BY166" s="172">
        <f ca="1">(VLOOKUP(BY$72,INDIRECT($C$5&amp;"生成成长"),2))/((VLOOKUP($B166,INDIRECT($B$5&amp;"生成成长"),4))/(VLOOKUP(BY$72,INDIRECT($C$5&amp;"生成成长"),5))*(VLOOKUP($B$5,标准坦克设计!$B$24:$U$30,MATCH("对"&amp;LEFT($C$5,2)&amp;"输出",标准坦克设计!$B$23:$U$23,0)))*(VLOOKUP($B166,INDIRECT($B$5&amp;"生成成长"),3))*(VLOOKUP($B$5,标准坦克设计!$B$14:$K$20,9)/30))</f>
        <v>4.8798194046851373</v>
      </c>
      <c r="BZ166" s="172">
        <f ca="1">(VLOOKUP(BZ$72,INDIRECT($C$5&amp;"生成成长"),2))/((VLOOKUP($B166,INDIRECT($B$5&amp;"生成成长"),4))/(VLOOKUP(BZ$72,INDIRECT($C$5&amp;"生成成长"),5))*(VLOOKUP($B$5,标准坦克设计!$B$24:$U$30,MATCH("对"&amp;LEFT($C$5,2)&amp;"输出",标准坦克设计!$B$23:$U$23,0)))*(VLOOKUP($B166,INDIRECT($B$5&amp;"生成成长"),3))*(VLOOKUP($B$5,标准坦克设计!$B$14:$K$20,9)/30))</f>
        <v>5.36268794947883</v>
      </c>
      <c r="CA166" s="172">
        <f ca="1">(VLOOKUP(CA$72,INDIRECT($C$5&amp;"生成成长"),2))/((VLOOKUP($B166,INDIRECT($B$5&amp;"生成成长"),4))/(VLOOKUP(CA$72,INDIRECT($C$5&amp;"生成成长"),5))*(VLOOKUP($B$5,标准坦克设计!$B$24:$U$30,MATCH("对"&amp;LEFT($C$5,2)&amp;"输出",标准坦克设计!$B$23:$U$23,0)))*(VLOOKUP($B166,INDIRECT($B$5&amp;"生成成长"),3))*(VLOOKUP($B$5,标准坦克设计!$B$14:$K$20,9)/30))</f>
        <v>5.8683333124231716</v>
      </c>
      <c r="CB166" s="172">
        <f ca="1">(VLOOKUP(CB$72,INDIRECT($C$5&amp;"生成成长"),2))/((VLOOKUP($B166,INDIRECT($B$5&amp;"生成成长"),4))/(VLOOKUP(CB$72,INDIRECT($C$5&amp;"生成成长"),5))*(VLOOKUP($B$5,标准坦克设计!$B$24:$U$30,MATCH("对"&amp;LEFT($C$5,2)&amp;"输出",标准坦克设计!$B$23:$U$23,0)))*(VLOOKUP($B166,INDIRECT($B$5&amp;"生成成长"),3))*(VLOOKUP($B$5,标准坦克设计!$B$14:$K$20,9)/30))</f>
        <v>6.3967554935181559</v>
      </c>
      <c r="CC166" s="172">
        <f ca="1">(VLOOKUP(CC$72,INDIRECT($C$5&amp;"生成成长"),2))/((VLOOKUP($B166,INDIRECT($B$5&amp;"生成成长"),4))/(VLOOKUP(CC$72,INDIRECT($C$5&amp;"生成成长"),5))*(VLOOKUP($B$5,标准坦克设计!$B$24:$U$30,MATCH("对"&amp;LEFT($C$5,2)&amp;"输出",标准坦克设计!$B$23:$U$23,0)))*(VLOOKUP($B166,INDIRECT($B$5&amp;"生成成长"),3))*(VLOOKUP($B$5,标准坦克设计!$B$14:$K$20,9)/30))</f>
        <v>6.9479544927637882</v>
      </c>
      <c r="CD166" s="172">
        <f ca="1">(VLOOKUP(CD$72,INDIRECT($C$5&amp;"生成成长"),2))/((VLOOKUP($B166,INDIRECT($B$5&amp;"生成成长"),4))/(VLOOKUP(CD$72,INDIRECT($C$5&amp;"生成成长"),5))*(VLOOKUP($B$5,标准坦克设计!$B$24:$U$30,MATCH("对"&amp;LEFT($C$5,2)&amp;"输出",标准坦克设计!$B$23:$U$23,0)))*(VLOOKUP($B166,INDIRECT($B$5&amp;"生成成长"),3))*(VLOOKUP($B$5,标准坦克设计!$B$14:$K$20,9)/30))</f>
        <v>7.521930310160065</v>
      </c>
      <c r="CE166" s="172">
        <f ca="1">(VLOOKUP(CE$72,INDIRECT($C$5&amp;"生成成长"),2))/((VLOOKUP($B166,INDIRECT($B$5&amp;"生成成长"),4))/(VLOOKUP(CE$72,INDIRECT($C$5&amp;"生成成长"),5))*(VLOOKUP($B$5,标准坦克设计!$B$24:$U$30,MATCH("对"&amp;LEFT($C$5,2)&amp;"输出",标准坦克设计!$B$23:$U$23,0)))*(VLOOKUP($B166,INDIRECT($B$5&amp;"生成成长"),3))*(VLOOKUP($B$5,标准坦克设计!$B$14:$K$20,9)/30))</f>
        <v>8.1186829457069898</v>
      </c>
      <c r="CF166" s="172">
        <f ca="1">(VLOOKUP(CF$72,INDIRECT($C$5&amp;"生成成长"),2))/((VLOOKUP($B166,INDIRECT($B$5&amp;"生成成长"),4))/(VLOOKUP(CF$72,INDIRECT($C$5&amp;"生成成长"),5))*(VLOOKUP($B$5,标准坦克设计!$B$24:$U$30,MATCH("对"&amp;LEFT($C$5,2)&amp;"输出",标准坦克设计!$B$23:$U$23,0)))*(VLOOKUP($B166,INDIRECT($B$5&amp;"生成成长"),3))*(VLOOKUP($B$5,标准坦克设计!$B$14:$K$20,9)/30))</f>
        <v>8.7382123994045582</v>
      </c>
      <c r="CG166" s="172">
        <f ca="1">(VLOOKUP(CG$72,INDIRECT($C$5&amp;"生成成长"),2))/((VLOOKUP($B166,INDIRECT($B$5&amp;"生成成长"),4))/(VLOOKUP(CG$72,INDIRECT($C$5&amp;"生成成长"),5))*(VLOOKUP($B$5,标准坦克设计!$B$24:$U$30,MATCH("对"&amp;LEFT($C$5,2)&amp;"输出",标准坦克设计!$B$23:$U$23,0)))*(VLOOKUP($B166,INDIRECT($B$5&amp;"生成成长"),3))*(VLOOKUP($B$5,标准坦克设计!$B$14:$K$20,9)/30))</f>
        <v>9.3805186712527746</v>
      </c>
      <c r="CH166" s="172">
        <f ca="1">(VLOOKUP(CH$72,INDIRECT($C$5&amp;"生成成长"),2))/((VLOOKUP($B166,INDIRECT($B$5&amp;"生成成长"),4))/(VLOOKUP(CH$72,INDIRECT($C$5&amp;"生成成长"),5))*(VLOOKUP($B$5,标准坦克设计!$B$24:$U$30,MATCH("对"&amp;LEFT($C$5,2)&amp;"输出",标准坦克设计!$B$23:$U$23,0)))*(VLOOKUP($B166,INDIRECT($B$5&amp;"生成成长"),3))*(VLOOKUP($B$5,标准坦克设计!$B$14:$K$20,9)/30))</f>
        <v>10.045601761251634</v>
      </c>
      <c r="CI166" s="172">
        <f ca="1">(VLOOKUP(CI$72,INDIRECT($C$5&amp;"生成成长"),2))/((VLOOKUP($B166,INDIRECT($B$5&amp;"生成成长"),4))/(VLOOKUP(CI$72,INDIRECT($C$5&amp;"生成成长"),5))*(VLOOKUP($B$5,标准坦克设计!$B$24:$U$30,MATCH("对"&amp;LEFT($C$5,2)&amp;"输出",标准坦克设计!$B$23:$U$23,0)))*(VLOOKUP($B166,INDIRECT($B$5&amp;"生成成长"),3))*(VLOOKUP($B$5,标准坦克设计!$B$14:$K$20,9)/30))</f>
        <v>10.803500385214377</v>
      </c>
      <c r="CJ166" s="172">
        <f ca="1">(VLOOKUP(CJ$72,INDIRECT($C$5&amp;"生成成长"),2))/((VLOOKUP($B166,INDIRECT($B$5&amp;"生成成长"),4))/(VLOOKUP(CJ$72,INDIRECT($C$5&amp;"生成成长"),5))*(VLOOKUP($B$5,标准坦克设计!$B$24:$U$30,MATCH("对"&amp;LEFT($C$5,2)&amp;"输出",标准坦克设计!$B$23:$U$23,0)))*(VLOOKUP($B166,INDIRECT($B$5&amp;"生成成长"),3))*(VLOOKUP($B$5,标准坦克设计!$B$14:$K$20,9)/30))</f>
        <v>11.588958959139402</v>
      </c>
      <c r="CK166" s="172">
        <f ca="1">(VLOOKUP(CK$72,INDIRECT($C$5&amp;"生成成长"),2))/((VLOOKUP($B166,INDIRECT($B$5&amp;"生成成长"),4))/(VLOOKUP(CK$72,INDIRECT($C$5&amp;"生成成长"),5))*(VLOOKUP($B$5,标准坦克设计!$B$24:$U$30,MATCH("对"&amp;LEFT($C$5,2)&amp;"输出",标准坦克设计!$B$23:$U$23,0)))*(VLOOKUP($B166,INDIRECT($B$5&amp;"生成成长"),3))*(VLOOKUP($B$5,标准坦克设计!$B$14:$K$20,9)/30))</f>
        <v>12.401977483026709</v>
      </c>
      <c r="CL166" s="172">
        <f ca="1">(VLOOKUP(CL$72,INDIRECT($C$5&amp;"生成成长"),2))/((VLOOKUP($B166,INDIRECT($B$5&amp;"生成成长"),4))/(VLOOKUP(CL$72,INDIRECT($C$5&amp;"生成成长"),5))*(VLOOKUP($B$5,标准坦克设计!$B$24:$U$30,MATCH("对"&amp;LEFT($C$5,2)&amp;"输出",标准坦克设计!$B$23:$U$23,0)))*(VLOOKUP($B166,INDIRECT($B$5&amp;"生成成长"),3))*(VLOOKUP($B$5,标准坦克设计!$B$14:$K$20,9)/30))</f>
        <v>13.242555956876298</v>
      </c>
      <c r="CM166" s="172">
        <f ca="1">(VLOOKUP(CM$72,INDIRECT($C$5&amp;"生成成长"),2))/((VLOOKUP($B166,INDIRECT($B$5&amp;"生成成长"),4))/(VLOOKUP(CM$72,INDIRECT($C$5&amp;"生成成长"),5))*(VLOOKUP($B$5,标准坦克设计!$B$24:$U$30,MATCH("对"&amp;LEFT($C$5,2)&amp;"输出",标准坦克设计!$B$23:$U$23,0)))*(VLOOKUP($B166,INDIRECT($B$5&amp;"生成成长"),3))*(VLOOKUP($B$5,标准坦克设计!$B$14:$K$20,9)/30))</f>
        <v>14.110694380688168</v>
      </c>
      <c r="CN166" s="172">
        <f ca="1">(VLOOKUP(CN$72,INDIRECT($C$5&amp;"生成成长"),2))/((VLOOKUP($B166,INDIRECT($B$5&amp;"生成成长"),4))/(VLOOKUP(CN$72,INDIRECT($C$5&amp;"生成成长"),5))*(VLOOKUP($B$5,标准坦克设计!$B$24:$U$30,MATCH("对"&amp;LEFT($C$5,2)&amp;"输出",标准坦克设计!$B$23:$U$23,0)))*(VLOOKUP($B166,INDIRECT($B$5&amp;"生成成长"),3))*(VLOOKUP($B$5,标准坦克设计!$B$14:$K$20,9)/30))</f>
        <v>15.006392754462318</v>
      </c>
      <c r="CO166" s="172">
        <f ca="1">(VLOOKUP(CO$72,INDIRECT($C$5&amp;"生成成长"),2))/((VLOOKUP($B166,INDIRECT($B$5&amp;"生成成长"),4))/(VLOOKUP(CO$72,INDIRECT($C$5&amp;"生成成长"),5))*(VLOOKUP($B$5,标准坦克设计!$B$24:$U$30,MATCH("对"&amp;LEFT($C$5,2)&amp;"输出",标准坦克设计!$B$23:$U$23,0)))*(VLOOKUP($B166,INDIRECT($B$5&amp;"生成成长"),3))*(VLOOKUP($B$5,标准坦克设计!$B$14:$K$20,9)/30))</f>
        <v>6.7247416748874578</v>
      </c>
      <c r="CP166" s="172">
        <f ca="1">(VLOOKUP(CP$72,INDIRECT($C$5&amp;"生成成长"),2))/((VLOOKUP($B166,INDIRECT($B$5&amp;"生成成长"),4))/(VLOOKUP(CP$72,INDIRECT($C$5&amp;"生成成长"),5))*(VLOOKUP($B$5,标准坦克设计!$B$24:$U$30,MATCH("对"&amp;LEFT($C$5,2)&amp;"输出",标准坦克设计!$B$23:$U$23,0)))*(VLOOKUP($B166,INDIRECT($B$5&amp;"生成成长"),3))*(VLOOKUP($B$5,标准坦克设计!$B$14:$K$20,9)/30))</f>
        <v>7.3473459990353644</v>
      </c>
      <c r="CQ166" s="172">
        <f ca="1">(VLOOKUP(CQ$72,INDIRECT($C$5&amp;"生成成长"),2))/((VLOOKUP($B166,INDIRECT($B$5&amp;"生成成长"),4))/(VLOOKUP(CQ$72,INDIRECT($C$5&amp;"生成成长"),5))*(VLOOKUP($B$5,标准坦克设计!$B$24:$U$30,MATCH("对"&amp;LEFT($C$5,2)&amp;"输出",标准坦克设计!$B$23:$U$23,0)))*(VLOOKUP($B166,INDIRECT($B$5&amp;"生成成长"),3))*(VLOOKUP($B$5,标准坦克设计!$B$14:$K$20,9)/30))</f>
        <v>7.9975102731455516</v>
      </c>
      <c r="CR166" s="172">
        <f ca="1">(VLOOKUP(CR$72,INDIRECT($C$5&amp;"生成成长"),2))/((VLOOKUP($B166,INDIRECT($B$5&amp;"生成成长"),4))/(VLOOKUP(CR$72,INDIRECT($C$5&amp;"生成成长"),5))*(VLOOKUP($B$5,标准坦克设计!$B$24:$U$30,MATCH("对"&amp;LEFT($C$5,2)&amp;"输出",标准坦克设计!$B$23:$U$23,0)))*(VLOOKUP($B166,INDIRECT($B$5&amp;"生成成长"),3))*(VLOOKUP($B$5,标准坦克设计!$B$14:$K$20,9)/30))</f>
        <v>8.6752344972180211</v>
      </c>
      <c r="CS166" s="172">
        <f ca="1">(VLOOKUP(CS$72,INDIRECT($C$5&amp;"生成成长"),2))/((VLOOKUP($B166,INDIRECT($B$5&amp;"生成成长"),4))/(VLOOKUP(CS$72,INDIRECT($C$5&amp;"生成成长"),5))*(VLOOKUP($B$5,标准坦克设计!$B$24:$U$30,MATCH("对"&amp;LEFT($C$5,2)&amp;"输出",标准坦克设计!$B$23:$U$23,0)))*(VLOOKUP($B166,INDIRECT($B$5&amp;"生成成长"),3))*(VLOOKUP($B$5,标准坦克设计!$B$14:$K$20,9)/30))</f>
        <v>9.3805186712527746</v>
      </c>
      <c r="CT166" s="172">
        <f ca="1">(VLOOKUP(CT$72,INDIRECT($C$5&amp;"生成成长"),2))/((VLOOKUP($B166,INDIRECT($B$5&amp;"生成成长"),4))/(VLOOKUP(CT$72,INDIRECT($C$5&amp;"生成成长"),5))*(VLOOKUP($B$5,标准坦克设计!$B$24:$U$30,MATCH("对"&amp;LEFT($C$5,2)&amp;"输出",标准坦克设计!$B$23:$U$23,0)))*(VLOOKUP($B166,INDIRECT($B$5&amp;"生成成长"),3))*(VLOOKUP($B$5,标准坦克设计!$B$14:$K$20,9)/30))</f>
        <v>10.113362795249806</v>
      </c>
      <c r="CU166" s="172">
        <f ca="1">(VLOOKUP(CU$72,INDIRECT($C$5&amp;"生成成长"),2))/((VLOOKUP($B166,INDIRECT($B$5&amp;"生成成长"),4))/(VLOOKUP(CU$72,INDIRECT($C$5&amp;"生成成长"),5))*(VLOOKUP($B$5,标准坦克设计!$B$24:$U$30,MATCH("对"&amp;LEFT($C$5,2)&amp;"输出",标准坦克设计!$B$23:$U$23,0)))*(VLOOKUP($B166,INDIRECT($B$5&amp;"生成成长"),3))*(VLOOKUP($B$5,标准坦克设计!$B$14:$K$20,9)/30))</f>
        <v>10.873766869209119</v>
      </c>
      <c r="CV166" s="172">
        <f ca="1">(VLOOKUP(CV$72,INDIRECT($C$5&amp;"生成成长"),2))/((VLOOKUP($B166,INDIRECT($B$5&amp;"生成成长"),4))/(VLOOKUP(CV$72,INDIRECT($C$5&amp;"生成成长"),5))*(VLOOKUP($B$5,标准坦克设计!$B$24:$U$30,MATCH("对"&amp;LEFT($C$5,2)&amp;"输出",标准坦克设计!$B$23:$U$23,0)))*(VLOOKUP($B166,INDIRECT($B$5&amp;"生成成长"),3))*(VLOOKUP($B$5,标准坦克设计!$B$14:$K$20,9)/30))</f>
        <v>11.661730893130716</v>
      </c>
      <c r="CW166" s="172">
        <f ca="1">(VLOOKUP(CW$72,INDIRECT($C$5&amp;"生成成长"),2))/((VLOOKUP($B166,INDIRECT($B$5&amp;"生成成长"),4))/(VLOOKUP(CW$72,INDIRECT($C$5&amp;"生成成长"),5))*(VLOOKUP($B$5,标准坦克设计!$B$24:$U$30,MATCH("对"&amp;LEFT($C$5,2)&amp;"输出",标准坦克设计!$B$23:$U$23,0)))*(VLOOKUP($B166,INDIRECT($B$5&amp;"生成成长"),3))*(VLOOKUP($B$5,标准坦克设计!$B$14:$K$20,9)/30))</f>
        <v>12.477254867014596</v>
      </c>
      <c r="CX166" s="172">
        <f ca="1">(VLOOKUP(CX$72,INDIRECT($C$5&amp;"生成成长"),2))/((VLOOKUP($B166,INDIRECT($B$5&amp;"生成成长"),4))/(VLOOKUP(CX$72,INDIRECT($C$5&amp;"生成成长"),5))*(VLOOKUP($B$5,标准坦克设计!$B$24:$U$30,MATCH("对"&amp;LEFT($C$5,2)&amp;"输出",标准坦克设计!$B$23:$U$23,0)))*(VLOOKUP($B166,INDIRECT($B$5&amp;"生成成长"),3))*(VLOOKUP($B$5,标准坦克设计!$B$14:$K$20,9)/30))</f>
        <v>13.320338790860754</v>
      </c>
      <c r="CY166" s="172">
        <f ca="1">(VLOOKUP(CY$72,INDIRECT($C$5&amp;"生成成长"),2))/((VLOOKUP($B166,INDIRECT($B$5&amp;"生成成长"),4))/(VLOOKUP(CY$72,INDIRECT($C$5&amp;"生成成长"),5))*(VLOOKUP($B$5,标准坦克设计!$B$24:$U$30,MATCH("对"&amp;LEFT($C$5,2)&amp;"输出",标准坦克设计!$B$23:$U$23,0)))*(VLOOKUP($B166,INDIRECT($B$5&amp;"生成成长"),3))*(VLOOKUP($B$5,标准坦克设计!$B$14:$K$20,9)/30))</f>
        <v>14.190982664669193</v>
      </c>
      <c r="CZ166" s="172">
        <f ca="1">(VLOOKUP(CZ$72,INDIRECT($C$5&amp;"生成成长"),2))/((VLOOKUP($B166,INDIRECT($B$5&amp;"生成成长"),4))/(VLOOKUP(CZ$72,INDIRECT($C$5&amp;"生成成长"),5))*(VLOOKUP($B$5,标准坦克设计!$B$24:$U$30,MATCH("对"&amp;LEFT($C$5,2)&amp;"输出",标准坦克设计!$B$23:$U$23,0)))*(VLOOKUP($B166,INDIRECT($B$5&amp;"生成成长"),3))*(VLOOKUP($B$5,标准坦克设计!$B$14:$K$20,9)/30))</f>
        <v>15.089186488439918</v>
      </c>
      <c r="DA166" s="172">
        <f ca="1">(VLOOKUP(DA$72,INDIRECT($C$5&amp;"生成成长"),2))/((VLOOKUP($B166,INDIRECT($B$5&amp;"生成成长"),4))/(VLOOKUP(DA$72,INDIRECT($C$5&amp;"生成成长"),5))*(VLOOKUP($B$5,标准坦克设计!$B$24:$U$30,MATCH("对"&amp;LEFT($C$5,2)&amp;"输出",标准坦克设计!$B$23:$U$23,0)))*(VLOOKUP($B166,INDIRECT($B$5&amp;"生成成长"),3))*(VLOOKUP($B$5,标准坦克设计!$B$14:$K$20,9)/30))</f>
        <v>16.014950262172921</v>
      </c>
      <c r="DB166" s="172">
        <f ca="1">(VLOOKUP(DB$72,INDIRECT($C$5&amp;"生成成长"),2))/((VLOOKUP($B166,INDIRECT($B$5&amp;"生成成长"),4))/(VLOOKUP(DB$72,INDIRECT($C$5&amp;"生成成长"),5))*(VLOOKUP($B$5,标准坦克设计!$B$24:$U$30,MATCH("对"&amp;LEFT($C$5,2)&amp;"输出",标准坦克设计!$B$23:$U$23,0)))*(VLOOKUP($B166,INDIRECT($B$5&amp;"生成成长"),3))*(VLOOKUP($B$5,标准坦克设计!$B$14:$K$20,9)/30))</f>
        <v>16.968273985868208</v>
      </c>
      <c r="DC166" s="172">
        <f ca="1">(VLOOKUP(DC$72,INDIRECT($C$5&amp;"生成成长"),2))/((VLOOKUP($B166,INDIRECT($B$5&amp;"生成成长"),4))/(VLOOKUP(DC$72,INDIRECT($C$5&amp;"生成成长"),5))*(VLOOKUP($B$5,标准坦克设计!$B$24:$U$30,MATCH("对"&amp;LEFT($C$5,2)&amp;"输出",标准坦克设计!$B$23:$U$23,0)))*(VLOOKUP($B166,INDIRECT($B$5&amp;"生成成长"),3))*(VLOOKUP($B$5,标准坦克设计!$B$14:$K$20,9)/30))</f>
        <v>18.039695511674591</v>
      </c>
      <c r="DD166" s="172">
        <f ca="1">(VLOOKUP(DD$72,INDIRECT($C$5&amp;"生成成长"),2))/((VLOOKUP($B166,INDIRECT($B$5&amp;"生成成长"),4))/(VLOOKUP(DD$72,INDIRECT($C$5&amp;"生成成长"),5))*(VLOOKUP($B$5,标准坦克设计!$B$24:$U$30,MATCH("对"&amp;LEFT($C$5,2)&amp;"输出",标准坦克设计!$B$23:$U$23,0)))*(VLOOKUP($B166,INDIRECT($B$5&amp;"生成成长"),3))*(VLOOKUP($B$5,标准坦克设计!$B$14:$K$20,9)/30))</f>
        <v>19.143915655617903</v>
      </c>
      <c r="DE166" s="172">
        <f ca="1">(VLOOKUP(DE$72,INDIRECT($C$5&amp;"生成成长"),2))/((VLOOKUP($B166,INDIRECT($B$5&amp;"生成成长"),4))/(VLOOKUP(DE$72,INDIRECT($C$5&amp;"生成成长"),5))*(VLOOKUP($B$5,标准坦克设计!$B$24:$U$30,MATCH("对"&amp;LEFT($C$5,2)&amp;"输出",标准坦克设计!$B$23:$U$23,0)))*(VLOOKUP($B166,INDIRECT($B$5&amp;"生成成长"),3))*(VLOOKUP($B$5,标准坦克设计!$B$14:$K$20,9)/30))</f>
        <v>20.280934417698152</v>
      </c>
      <c r="DF166" s="172">
        <f ca="1">(VLOOKUP(DF$72,INDIRECT($C$5&amp;"生成成长"),2))/((VLOOKUP($B166,INDIRECT($B$5&amp;"生成成长"),4))/(VLOOKUP(DF$72,INDIRECT($C$5&amp;"生成成长"),5))*(VLOOKUP($B$5,标准坦克设计!$B$24:$U$30,MATCH("对"&amp;LEFT($C$5,2)&amp;"输出",标准坦克设计!$B$23:$U$23,0)))*(VLOOKUP($B166,INDIRECT($B$5&amp;"生成成长"),3))*(VLOOKUP($B$5,标准坦克设计!$B$14:$K$20,9)/30))</f>
        <v>21.45075179791532</v>
      </c>
      <c r="DG166" s="172">
        <f ca="1">(VLOOKUP(DG$72,INDIRECT($C$5&amp;"生成成长"),2))/((VLOOKUP($B166,INDIRECT($B$5&amp;"生成成长"),4))/(VLOOKUP(DG$72,INDIRECT($C$5&amp;"生成成长"),5))*(VLOOKUP($B$5,标准坦克设计!$B$24:$U$30,MATCH("对"&amp;LEFT($C$5,2)&amp;"输出",标准坦克设计!$B$23:$U$23,0)))*(VLOOKUP($B166,INDIRECT($B$5&amp;"生成成长"),3))*(VLOOKUP($B$5,标准坦克设计!$B$14:$K$20,9)/30))</f>
        <v>22.653367796269428</v>
      </c>
      <c r="DH166" s="172">
        <f ca="1">(VLOOKUP(DH$72,INDIRECT($C$5&amp;"生成成长"),2))/((VLOOKUP($B166,INDIRECT($B$5&amp;"生成成长"),4))/(VLOOKUP(DH$72,INDIRECT($C$5&amp;"生成成长"),5))*(VLOOKUP($B$5,标准坦克设计!$B$24:$U$30,MATCH("对"&amp;LEFT($C$5,2)&amp;"输出",标准坦克设计!$B$23:$U$23,0)))*(VLOOKUP($B166,INDIRECT($B$5&amp;"生成成长"),3))*(VLOOKUP($B$5,标准坦克设计!$B$14:$K$20,9)/30))</f>
        <v>23.888782412760467</v>
      </c>
      <c r="DI166" s="172">
        <f ca="1">(VLOOKUP(DI$72,INDIRECT($C$5&amp;"生成成长"),2))/((VLOOKUP($B166,INDIRECT($B$5&amp;"生成成长"),4))/(VLOOKUP(DI$72,INDIRECT($C$5&amp;"生成成长"),5))*(VLOOKUP($B$5,标准坦克设计!$B$24:$U$30,MATCH("对"&amp;LEFT($C$5,2)&amp;"输出",标准坦克设计!$B$23:$U$23,0)))*(VLOOKUP($B166,INDIRECT($B$5&amp;"生成成长"),3))*(VLOOKUP($B$5,标准坦克设计!$B$14:$K$20,9)/30))</f>
        <v>25.156995647388435</v>
      </c>
      <c r="DJ166" s="172">
        <f ca="1">(VLOOKUP(DJ$72,INDIRECT($C$5&amp;"生成成长"),2))/((VLOOKUP($B166,INDIRECT($B$5&amp;"生成成长"),4))/(VLOOKUP(DJ$72,INDIRECT($C$5&amp;"生成成长"),5))*(VLOOKUP($B$5,标准坦克设计!$B$24:$U$30,MATCH("对"&amp;LEFT($C$5,2)&amp;"输出",标准坦克设计!$B$23:$U$23,0)))*(VLOOKUP($B166,INDIRECT($B$5&amp;"生成成长"),3))*(VLOOKUP($B$5,标准坦克设计!$B$14:$K$20,9)/30))</f>
        <v>2.5283406988124515</v>
      </c>
      <c r="DK166" s="172">
        <f ca="1">(VLOOKUP(DK$72,INDIRECT($C$5&amp;"生成成长"),2))/((VLOOKUP($B166,INDIRECT($B$5&amp;"生成成长"),4))/(VLOOKUP(DK$72,INDIRECT($C$5&amp;"生成成长"),5))*(VLOOKUP($B$5,标准坦克设计!$B$24:$U$30,MATCH("对"&amp;LEFT($C$5,2)&amp;"输出",标准坦克设计!$B$23:$U$23,0)))*(VLOOKUP($B166,INDIRECT($B$5&amp;"生成成长"),3))*(VLOOKUP($B$5,标准坦克设计!$B$14:$K$20,9)/30))</f>
        <v>2.8430024415636255</v>
      </c>
      <c r="DL166" s="172">
        <f ca="1">(VLOOKUP(DL$72,INDIRECT($C$5&amp;"生成成长"),2))/((VLOOKUP($B166,INDIRECT($B$5&amp;"生成成长"),4))/(VLOOKUP(DL$72,INDIRECT($C$5&amp;"生成成长"),5))*(VLOOKUP($B$5,标准坦克设计!$B$24:$U$30,MATCH("对"&amp;LEFT($C$5,2)&amp;"输出",标准坦克设计!$B$23:$U$23,0)))*(VLOOKUP($B166,INDIRECT($B$5&amp;"生成成长"),3))*(VLOOKUP($B$5,标准坦克设计!$B$14:$K$20,9)/30))</f>
        <v>3.176113407016822</v>
      </c>
      <c r="DM166" s="172">
        <f ca="1">(VLOOKUP(DM$72,INDIRECT($C$5&amp;"生成成长"),2))/((VLOOKUP($B166,INDIRECT($B$5&amp;"生成成长"),4))/(VLOOKUP(DM$72,INDIRECT($C$5&amp;"生成成长"),5))*(VLOOKUP($B$5,标准坦克设计!$B$24:$U$30,MATCH("对"&amp;LEFT($C$5,2)&amp;"输出",标准坦克设计!$B$23:$U$23,0)))*(VLOOKUP($B166,INDIRECT($B$5&amp;"生成成长"),3))*(VLOOKUP($B$5,标准坦克设计!$B$14:$K$20,9)/30))</f>
        <v>3.5276735951720419</v>
      </c>
      <c r="DN166" s="172">
        <f ca="1">(VLOOKUP(DN$72,INDIRECT($C$5&amp;"生成成长"),2))/((VLOOKUP($B166,INDIRECT($B$5&amp;"生成成长"),4))/(VLOOKUP(DN$72,INDIRECT($C$5&amp;"生成成长"),5))*(VLOOKUP($B$5,标准坦克设计!$B$24:$U$30,MATCH("对"&amp;LEFT($C$5,2)&amp;"输出",标准坦克设计!$B$23:$U$23,0)))*(VLOOKUP($B166,INDIRECT($B$5&amp;"生成成长"),3))*(VLOOKUP($B$5,标准坦克设计!$B$14:$K$20,9)/30))</f>
        <v>3.8976830060292849</v>
      </c>
      <c r="DO166" s="172">
        <f ca="1">(VLOOKUP(DO$72,INDIRECT($C$5&amp;"生成成长"),2))/((VLOOKUP($B166,INDIRECT($B$5&amp;"生成成长"),4))/(VLOOKUP(DO$72,INDIRECT($C$5&amp;"生成成长"),5))*(VLOOKUP($B$5,标准坦克设计!$B$24:$U$30,MATCH("对"&amp;LEFT($C$5,2)&amp;"输出",标准坦克设计!$B$23:$U$23,0)))*(VLOOKUP($B166,INDIRECT($B$5&amp;"生成成长"),3))*(VLOOKUP($B$5,标准坦克设计!$B$14:$K$20,9)/30))</f>
        <v>4.2861416395885508</v>
      </c>
      <c r="DP166" s="172">
        <f ca="1">(VLOOKUP(DP$72,INDIRECT($C$5&amp;"生成成长"),2))/((VLOOKUP($B166,INDIRECT($B$5&amp;"生成成长"),4))/(VLOOKUP(DP$72,INDIRECT($C$5&amp;"生成成长"),5))*(VLOOKUP($B$5,标准坦克设计!$B$24:$U$30,MATCH("对"&amp;LEFT($C$5,2)&amp;"输出",标准坦克设计!$B$23:$U$23,0)))*(VLOOKUP($B166,INDIRECT($B$5&amp;"生成成长"),3))*(VLOOKUP($B$5,标准坦克设计!$B$14:$K$20,9)/30))</f>
        <v>4.6930494958498414</v>
      </c>
      <c r="DQ166" s="172">
        <f ca="1">(VLOOKUP(DQ$72,INDIRECT($C$5&amp;"生成成长"),2))/((VLOOKUP($B166,INDIRECT($B$5&amp;"生成成长"),4))/(VLOOKUP(DQ$72,INDIRECT($C$5&amp;"生成成长"),5))*(VLOOKUP($B$5,标准坦克设计!$B$24:$U$30,MATCH("对"&amp;LEFT($C$5,2)&amp;"输出",标准坦克设计!$B$23:$U$23,0)))*(VLOOKUP($B166,INDIRECT($B$5&amp;"生成成长"),3))*(VLOOKUP($B$5,标准坦克设计!$B$14:$K$20,9)/30))</f>
        <v>5.1184065748131529</v>
      </c>
      <c r="DR166" s="172">
        <f ca="1">(VLOOKUP(DR$72,INDIRECT($C$5&amp;"生成成长"),2))/((VLOOKUP($B166,INDIRECT($B$5&amp;"生成成长"),4))/(VLOOKUP(DR$72,INDIRECT($C$5&amp;"生成成长"),5))*(VLOOKUP($B$5,标准坦克设计!$B$24:$U$30,MATCH("对"&amp;LEFT($C$5,2)&amp;"输出",标准坦克设计!$B$23:$U$23,0)))*(VLOOKUP($B166,INDIRECT($B$5&amp;"生成成长"),3))*(VLOOKUP($B$5,标准坦克设计!$B$14:$K$20,9)/30))</f>
        <v>5.5622128764784895</v>
      </c>
      <c r="DS166" s="172">
        <f ca="1">(VLOOKUP(DS$72,INDIRECT($C$5&amp;"生成成长"),2))/((VLOOKUP($B166,INDIRECT($B$5&amp;"生成成长"),4))/(VLOOKUP(DS$72,INDIRECT($C$5&amp;"生成成长"),5))*(VLOOKUP($B$5,标准坦克设计!$B$24:$U$30,MATCH("对"&amp;LEFT($C$5,2)&amp;"输出",标准坦克设计!$B$23:$U$23,0)))*(VLOOKUP($B166,INDIRECT($B$5&amp;"生成成长"),3))*(VLOOKUP($B$5,标准坦克设计!$B$14:$K$20,9)/30))</f>
        <v>6.0244684008458487</v>
      </c>
      <c r="DT166" s="172">
        <f ca="1">(VLOOKUP(DT$72,INDIRECT($C$5&amp;"生成成长"),2))/((VLOOKUP($B166,INDIRECT($B$5&amp;"生成成长"),4))/(VLOOKUP(DT$72,INDIRECT($C$5&amp;"生成成长"),5))*(VLOOKUP($B$5,标准坦克设计!$B$24:$U$30,MATCH("对"&amp;LEFT($C$5,2)&amp;"输出",标准坦克设计!$B$23:$U$23,0)))*(VLOOKUP($B166,INDIRECT($B$5&amp;"生成成长"),3))*(VLOOKUP($B$5,标准坦克设计!$B$14:$K$20,9)/30))</f>
        <v>6.6145018750383313</v>
      </c>
      <c r="DU166" s="172">
        <f ca="1">(VLOOKUP(DU$72,INDIRECT($C$5&amp;"生成成长"),2))/((VLOOKUP($B166,INDIRECT($B$5&amp;"生成成长"),4))/(VLOOKUP(DU$72,INDIRECT($C$5&amp;"生成成长"),5))*(VLOOKUP($B$5,标准坦克设计!$B$24:$U$30,MATCH("对"&amp;LEFT($C$5,2)&amp;"输出",标准坦克设计!$B$23:$U$23,0)))*(VLOOKUP($B166,INDIRECT($B$5&amp;"生成成长"),3))*(VLOOKUP($B$5,标准坦克设计!$B$14:$K$20,9)/30))</f>
        <v>7.2320952991930945</v>
      </c>
      <c r="DV166" s="172">
        <f ca="1">(VLOOKUP(DV$72,INDIRECT($C$5&amp;"生成成长"),2))/((VLOOKUP($B166,INDIRECT($B$5&amp;"生成成长"),4))/(VLOOKUP(DV$72,INDIRECT($C$5&amp;"生成成长"),5))*(VLOOKUP($B$5,标准坦克设计!$B$24:$U$30,MATCH("对"&amp;LEFT($C$5,2)&amp;"输出",标准坦克设计!$B$23:$U$23,0)))*(VLOOKUP($B166,INDIRECT($B$5&amp;"生成成长"),3))*(VLOOKUP($B$5,标准坦克设计!$B$14:$K$20,9)/30))</f>
        <v>7.8772486733101426</v>
      </c>
      <c r="DW166" s="172">
        <f ca="1">(VLOOKUP(DW$72,INDIRECT($C$5&amp;"生成成长"),2))/((VLOOKUP($B166,INDIRECT($B$5&amp;"生成成长"),4))/(VLOOKUP(DW$72,INDIRECT($C$5&amp;"生成成长"),5))*(VLOOKUP($B$5,标准坦克设计!$B$24:$U$30,MATCH("对"&amp;LEFT($C$5,2)&amp;"输出",标准坦克设计!$B$23:$U$23,0)))*(VLOOKUP($B166,INDIRECT($B$5&amp;"生成成长"),3))*(VLOOKUP($B$5,标准坦克设计!$B$14:$K$20,9)/30))</f>
        <v>8.5499619973894685</v>
      </c>
      <c r="DX166" s="172">
        <f ca="1">(VLOOKUP(DX$72,INDIRECT($C$5&amp;"生成成长"),2))/((VLOOKUP($B166,INDIRECT($B$5&amp;"生成成长"),4))/(VLOOKUP(DX$72,INDIRECT($C$5&amp;"生成成长"),5))*(VLOOKUP($B$5,标准坦克设计!$B$24:$U$30,MATCH("对"&amp;LEFT($C$5,2)&amp;"输出",标准坦克设计!$B$23:$U$23,0)))*(VLOOKUP($B166,INDIRECT($B$5&amp;"生成成长"),3))*(VLOOKUP($B$5,标准坦克设计!$B$14:$K$20,9)/30))</f>
        <v>9.2502352714310785</v>
      </c>
      <c r="DY166" s="172">
        <f ca="1">(VLOOKUP(DY$72,INDIRECT($C$5&amp;"生成成长"),2))/((VLOOKUP($B166,INDIRECT($B$5&amp;"生成成长"),4))/(VLOOKUP(DY$72,INDIRECT($C$5&amp;"生成成长"),5))*(VLOOKUP($B$5,标准坦克设计!$B$24:$U$30,MATCH("对"&amp;LEFT($C$5,2)&amp;"输出",标准坦克设计!$B$23:$U$23,0)))*(VLOOKUP($B166,INDIRECT($B$5&amp;"生成成长"),3))*(VLOOKUP($B$5,标准坦克设计!$B$14:$K$20,9)/30))</f>
        <v>4.154605514768571</v>
      </c>
      <c r="DZ166" s="172">
        <f ca="1">(VLOOKUP(DZ$72,INDIRECT($C$5&amp;"生成成长"),2))/((VLOOKUP($B166,INDIRECT($B$5&amp;"生成成长"),4))/(VLOOKUP(DZ$72,INDIRECT($C$5&amp;"生成成长"),5))*(VLOOKUP($B$5,标准坦克设计!$B$24:$U$30,MATCH("对"&amp;LEFT($C$5,2)&amp;"输出",标准坦克设计!$B$23:$U$23,0)))*(VLOOKUP($B166,INDIRECT($B$5&amp;"生成成长"),3))*(VLOOKUP($B$5,标准坦克设计!$B$14:$K$20,9)/30))</f>
        <v>4.6010311505212318</v>
      </c>
      <c r="EA166" s="172">
        <f ca="1">(VLOOKUP(EA$72,INDIRECT($C$5&amp;"生成成长"),2))/((VLOOKUP($B166,INDIRECT($B$5&amp;"生成成长"),4))/(VLOOKUP(EA$72,INDIRECT($C$5&amp;"生成成长"),5))*(VLOOKUP($B$5,标准坦克设计!$B$24:$U$30,MATCH("对"&amp;LEFT($C$5,2)&amp;"输出",标准坦克设计!$B$23:$U$23,0)))*(VLOOKUP($B166,INDIRECT($B$5&amp;"生成成长"),3))*(VLOOKUP($B$5,标准坦克设计!$B$14:$K$20,9)/30))</f>
        <v>5.070233604424538</v>
      </c>
      <c r="EB166" s="172">
        <f ca="1">(VLOOKUP(EB$72,INDIRECT($C$5&amp;"生成成长"),2))/((VLOOKUP($B166,INDIRECT($B$5&amp;"生成成长"),4))/(VLOOKUP(EB$72,INDIRECT($C$5&amp;"生成成长"),5))*(VLOOKUP($B$5,标准坦克设计!$B$24:$U$30,MATCH("对"&amp;LEFT($C$5,2)&amp;"输出",标准坦克设计!$B$23:$U$23,0)))*(VLOOKUP($B166,INDIRECT($B$5&amp;"生成成长"),3))*(VLOOKUP($B$5,标准坦克设计!$B$14:$K$20,9)/30))</f>
        <v>5.5622128764784895</v>
      </c>
      <c r="EC166" s="172">
        <f ca="1">(VLOOKUP(EC$72,INDIRECT($C$5&amp;"生成成长"),2))/((VLOOKUP($B166,INDIRECT($B$5&amp;"生成成长"),4))/(VLOOKUP(EC$72,INDIRECT($C$5&amp;"生成成长"),5))*(VLOOKUP($B$5,标准坦克设计!$B$24:$U$30,MATCH("对"&amp;LEFT($C$5,2)&amp;"输出",标准坦克设计!$B$23:$U$23,0)))*(VLOOKUP($B166,INDIRECT($B$5&amp;"生成成长"),3))*(VLOOKUP($B$5,标准坦克设计!$B$14:$K$20,9)/30))</f>
        <v>6.0769689666830882</v>
      </c>
      <c r="ED166" s="172">
        <f ca="1">(VLOOKUP(ED$72,INDIRECT($C$5&amp;"生成成长"),2))/((VLOOKUP($B166,INDIRECT($B$5&amp;"生成成长"),4))/(VLOOKUP(ED$72,INDIRECT($C$5&amp;"生成成长"),5))*(VLOOKUP($B$5,标准坦克设计!$B$24:$U$30,MATCH("对"&amp;LEFT($C$5,2)&amp;"输出",标准坦克设计!$B$23:$U$23,0)))*(VLOOKUP($B166,INDIRECT($B$5&amp;"生成成长"),3))*(VLOOKUP($B$5,标准坦克设计!$B$14:$K$20,9)/30))</f>
        <v>6.6145018750383313</v>
      </c>
      <c r="EE166" s="172">
        <f ca="1">(VLOOKUP(EE$72,INDIRECT($C$5&amp;"生成成长"),2))/((VLOOKUP($B166,INDIRECT($B$5&amp;"生成成长"),4))/(VLOOKUP(EE$72,INDIRECT($C$5&amp;"生成成长"),5))*(VLOOKUP($B$5,标准坦克设计!$B$24:$U$30,MATCH("对"&amp;LEFT($C$5,2)&amp;"输出",标准坦克设计!$B$23:$U$23,0)))*(VLOOKUP($B166,INDIRECT($B$5&amp;"生成成长"),3))*(VLOOKUP($B$5,标准坦克设计!$B$14:$K$20,9)/30))</f>
        <v>7.1748116015442216</v>
      </c>
      <c r="EF166" s="172">
        <f ca="1">(VLOOKUP(EF$72,INDIRECT($C$5&amp;"生成成长"),2))/((VLOOKUP($B166,INDIRECT($B$5&amp;"生成成长"),4))/(VLOOKUP(EF$72,INDIRECT($C$5&amp;"生成成长"),5))*(VLOOKUP($B$5,标准坦克设计!$B$24:$U$30,MATCH("对"&amp;LEFT($C$5,2)&amp;"输出",标准坦克设计!$B$23:$U$23,0)))*(VLOOKUP($B166,INDIRECT($B$5&amp;"生成成长"),3))*(VLOOKUP($B$5,标准坦克设计!$B$14:$K$20,9)/30))</f>
        <v>7.7578981462007564</v>
      </c>
      <c r="EG166" s="172">
        <f ca="1">(VLOOKUP(EG$72,INDIRECT($C$5&amp;"生成成长"),2))/((VLOOKUP($B166,INDIRECT($B$5&amp;"生成成长"),4))/(VLOOKUP(EG$72,INDIRECT($C$5&amp;"生成成长"),5))*(VLOOKUP($B$5,标准坦克设计!$B$24:$U$30,MATCH("对"&amp;LEFT($C$5,2)&amp;"输出",标准坦克设计!$B$23:$U$23,0)))*(VLOOKUP($B166,INDIRECT($B$5&amp;"生成成长"),3))*(VLOOKUP($B$5,标准坦克设计!$B$14:$K$20,9)/30))</f>
        <v>8.3637615090079382</v>
      </c>
      <c r="EH166" s="172">
        <f ca="1">(VLOOKUP(EH$72,INDIRECT($C$5&amp;"生成成长"),2))/((VLOOKUP($B166,INDIRECT($B$5&amp;"生成成长"),4))/(VLOOKUP(EH$72,INDIRECT($C$5&amp;"生成成长"),5))*(VLOOKUP($B$5,标准坦克设计!$B$24:$U$30,MATCH("对"&amp;LEFT($C$5,2)&amp;"输出",标准坦克设计!$B$23:$U$23,0)))*(VLOOKUP($B166,INDIRECT($B$5&amp;"生成成长"),3))*(VLOOKUP($B$5,标准坦克设计!$B$14:$K$20,9)/30))</f>
        <v>8.9924016899657673</v>
      </c>
      <c r="EI166" s="172">
        <f ca="1">(VLOOKUP(EI$72,INDIRECT($C$5&amp;"生成成长"),2))/((VLOOKUP($B166,INDIRECT($B$5&amp;"生成成长"),4))/(VLOOKUP(EI$72,INDIRECT($C$5&amp;"生成成长"),5))*(VLOOKUP($B$5,标准坦克设计!$B$24:$U$30,MATCH("对"&amp;LEFT($C$5,2)&amp;"输出",标准坦克设计!$B$23:$U$23,0)))*(VLOOKUP($B166,INDIRECT($B$5&amp;"生成成长"),3))*(VLOOKUP($B$5,标准坦克设计!$B$14:$K$20,9)/30))</f>
        <v>9.6438186890742408</v>
      </c>
      <c r="EJ166" s="172">
        <f ca="1">(VLOOKUP(EJ$72,INDIRECT($C$5&amp;"生成成长"),2))/((VLOOKUP($B166,INDIRECT($B$5&amp;"生成成长"),4))/(VLOOKUP(EJ$72,INDIRECT($C$5&amp;"生成成长"),5))*(VLOOKUP($B$5,标准坦克设计!$B$24:$U$30,MATCH("对"&amp;LEFT($C$5,2)&amp;"输出",标准坦克设计!$B$23:$U$23,0)))*(VLOOKUP($B166,INDIRECT($B$5&amp;"生成成长"),3))*(VLOOKUP($B$5,标准坦克设计!$B$14:$K$20,9)/30))</f>
        <v>10.318012506333361</v>
      </c>
      <c r="EK166" s="172">
        <f ca="1">(VLOOKUP(EK$72,INDIRECT($C$5&amp;"生成成长"),2))/((VLOOKUP($B166,INDIRECT($B$5&amp;"生成成长"),4))/(VLOOKUP(EK$72,INDIRECT($C$5&amp;"生成成长"),5))*(VLOOKUP($B$5,标准坦克设计!$B$24:$U$30,MATCH("对"&amp;LEFT($C$5,2)&amp;"输出",标准坦克设计!$B$23:$U$23,0)))*(VLOOKUP($B166,INDIRECT($B$5&amp;"生成成长"),3))*(VLOOKUP($B$5,标准坦克设计!$B$14:$K$20,9)/30))</f>
        <v>11.157110487003155</v>
      </c>
      <c r="EL166" s="172">
        <f ca="1">(VLOOKUP(EL$72,INDIRECT($C$5&amp;"生成成长"),2))/((VLOOKUP($B166,INDIRECT($B$5&amp;"生成成长"),4))/(VLOOKUP(EL$72,INDIRECT($C$5&amp;"生成成长"),5))*(VLOOKUP($B$5,标准坦克设计!$B$24:$U$30,MATCH("对"&amp;LEFT($C$5,2)&amp;"输出",标准坦克设计!$B$23:$U$23,0)))*(VLOOKUP($B166,INDIRECT($B$5&amp;"生成成长"),3))*(VLOOKUP($B$5,标准坦克设计!$B$14:$K$20,9)/30))</f>
        <v>12.029007085809882</v>
      </c>
      <c r="EM166" s="172">
        <f ca="1">(VLOOKUP(EM$72,INDIRECT($C$5&amp;"生成成长"),2))/((VLOOKUP($B166,INDIRECT($B$5&amp;"生成成长"),4))/(VLOOKUP(EM$72,INDIRECT($C$5&amp;"生成成长"),5))*(VLOOKUP($B$5,标准坦克设计!$B$24:$U$30,MATCH("对"&amp;LEFT($C$5,2)&amp;"输出",标准坦克设计!$B$23:$U$23,0)))*(VLOOKUP($B166,INDIRECT($B$5&amp;"生成成长"),3))*(VLOOKUP($B$5,标准坦克设计!$B$14:$K$20,9)/30))</f>
        <v>12.933702302753538</v>
      </c>
      <c r="EN166" s="172">
        <f ca="1">(VLOOKUP(EN$72,INDIRECT($C$5&amp;"生成成长"),2))/((VLOOKUP($B166,INDIRECT($B$5&amp;"生成成长"),4))/(VLOOKUP(EN$72,INDIRECT($C$5&amp;"生成成长"),5))*(VLOOKUP($B$5,标准坦克设计!$B$24:$U$30,MATCH("对"&amp;LEFT($C$5,2)&amp;"输出",标准坦克设计!$B$23:$U$23,0)))*(VLOOKUP($B166,INDIRECT($B$5&amp;"生成成长"),3))*(VLOOKUP($B$5,标准坦克设计!$B$14:$K$20,9)/30))</f>
        <v>13.871196137834128</v>
      </c>
      <c r="EO166" s="172">
        <f ca="1">(VLOOKUP(EO$72,INDIRECT($C$5&amp;"生成成长"),2))/((VLOOKUP($B166,INDIRECT($B$5&amp;"生成成长"),4))/(VLOOKUP(EO$72,INDIRECT($C$5&amp;"生成成长"),5))*(VLOOKUP($B$5,标准坦克设计!$B$24:$U$30,MATCH("对"&amp;LEFT($C$5,2)&amp;"输出",标准坦克设计!$B$23:$U$23,0)))*(VLOOKUP($B166,INDIRECT($B$5&amp;"生成成长"),3))*(VLOOKUP($B$5,标准坦克设计!$B$14:$K$20,9)/30))</f>
        <v>14.84148859105164</v>
      </c>
      <c r="EP166" s="172">
        <f ca="1">(VLOOKUP(EP$72,INDIRECT($C$5&amp;"生成成长"),2))/((VLOOKUP($B166,INDIRECT($B$5&amp;"生成成长"),4))/(VLOOKUP(EP$72,INDIRECT($C$5&amp;"生成成长"),5))*(VLOOKUP($B$5,标准坦克设计!$B$24:$U$30,MATCH("对"&amp;LEFT($C$5,2)&amp;"输出",标准坦克设计!$B$23:$U$23,0)))*(VLOOKUP($B166,INDIRECT($B$5&amp;"生成成长"),3))*(VLOOKUP($B$5,标准坦克设计!$B$14:$K$20,9)/30))</f>
        <v>15.844579662406087</v>
      </c>
      <c r="EQ166" s="172">
        <f ca="1">(VLOOKUP(EQ$72,INDIRECT($C$5&amp;"生成成长"),2))/((VLOOKUP($B166,INDIRECT($B$5&amp;"生成成长"),4))/(VLOOKUP(EQ$72,INDIRECT($C$5&amp;"生成成长"),5))*(VLOOKUP($B$5,标准坦克设计!$B$24:$U$30,MATCH("对"&amp;LEFT($C$5,2)&amp;"输出",标准坦克设计!$B$23:$U$23,0)))*(VLOOKUP($B166,INDIRECT($B$5&amp;"生成成长"),3))*(VLOOKUP($B$5,标准坦克设计!$B$14:$K$20,9)/30))</f>
        <v>7.0043271176866364</v>
      </c>
      <c r="ER166" s="172">
        <f ca="1">(VLOOKUP(ER$72,INDIRECT($C$5&amp;"生成成长"),2))/((VLOOKUP($B166,INDIRECT($B$5&amp;"生成成长"),4))/(VLOOKUP(ER$72,INDIRECT($C$5&amp;"生成成长"),5))*(VLOOKUP($B$5,标准坦克设计!$B$24:$U$30,MATCH("对"&amp;LEFT($C$5,2)&amp;"输出",标准坦克设计!$B$23:$U$23,0)))*(VLOOKUP($B166,INDIRECT($B$5&amp;"生成成长"),3))*(VLOOKUP($B$5,标准坦克设计!$B$14:$K$20,9)/30))</f>
        <v>7.6394586918173966</v>
      </c>
      <c r="ES166" s="172">
        <f ca="1">(VLOOKUP(ES$72,INDIRECT($C$5&amp;"生成成长"),2))/((VLOOKUP($B166,INDIRECT($B$5&amp;"生成成长"),4))/(VLOOKUP(ES$72,INDIRECT($C$5&amp;"生成成长"),5))*(VLOOKUP($B$5,标准坦克设计!$B$24:$U$30,MATCH("对"&amp;LEFT($C$5,2)&amp;"输出",标准坦克设计!$B$23:$U$23,0)))*(VLOOKUP($B166,INDIRECT($B$5&amp;"生成成长"),3))*(VLOOKUP($B$5,标准坦克设计!$B$14:$K$20,9)/30))</f>
        <v>8.3021502159104426</v>
      </c>
      <c r="ET166" s="172">
        <f ca="1">(VLOOKUP(ET$72,INDIRECT($C$5&amp;"生成成长"),2))/((VLOOKUP($B166,INDIRECT($B$5&amp;"生成成长"),4))/(VLOOKUP(ET$72,INDIRECT($C$5&amp;"生成成长"),5))*(VLOOKUP($B$5,标准坦克设计!$B$24:$U$30,MATCH("对"&amp;LEFT($C$5,2)&amp;"输出",标准坦克设计!$B$23:$U$23,0)))*(VLOOKUP($B166,INDIRECT($B$5&amp;"生成成长"),3))*(VLOOKUP($B$5,标准坦克设计!$B$14:$K$20,9)/30))</f>
        <v>8.9924016899657673</v>
      </c>
      <c r="EU166" s="172">
        <f ca="1">(VLOOKUP(EU$72,INDIRECT($C$5&amp;"生成成长"),2))/((VLOOKUP($B166,INDIRECT($B$5&amp;"生成成长"),4))/(VLOOKUP(EU$72,INDIRECT($C$5&amp;"生成成长"),5))*(VLOOKUP($B$5,标准坦克设计!$B$24:$U$30,MATCH("对"&amp;LEFT($C$5,2)&amp;"输出",标准坦克设计!$B$23:$U$23,0)))*(VLOOKUP($B166,INDIRECT($B$5&amp;"生成成长"),3))*(VLOOKUP($B$5,标准坦克设计!$B$14:$K$20,9)/30))</f>
        <v>9.7102131139833734</v>
      </c>
      <c r="EV166" s="172">
        <f ca="1">(VLOOKUP(EV$72,INDIRECT($C$5&amp;"生成成长"),2))/((VLOOKUP($B166,INDIRECT($B$5&amp;"生成成长"),4))/(VLOOKUP(EV$72,INDIRECT($C$5&amp;"生成成长"),5))*(VLOOKUP($B$5,标准坦克设计!$B$24:$U$30,MATCH("对"&amp;LEFT($C$5,2)&amp;"输出",标准坦克设计!$B$23:$U$23,0)))*(VLOOKUP($B166,INDIRECT($B$5&amp;"生成成长"),3))*(VLOOKUP($B$5,标准坦克设计!$B$14:$K$20,9)/30))</f>
        <v>10.455584487963261</v>
      </c>
      <c r="EW166" s="172">
        <f ca="1">(VLOOKUP(EW$72,INDIRECT($C$5&amp;"生成成长"),2))/((VLOOKUP($B166,INDIRECT($B$5&amp;"生成成长"),4))/(VLOOKUP(EW$72,INDIRECT($C$5&amp;"生成成长"),5))*(VLOOKUP($B$5,标准坦克设计!$B$24:$U$30,MATCH("对"&amp;LEFT($C$5,2)&amp;"输出",标准坦克设计!$B$23:$U$23,0)))*(VLOOKUP($B166,INDIRECT($B$5&amp;"生成成长"),3))*(VLOOKUP($B$5,标准坦克设计!$B$14:$K$20,9)/30))</f>
        <v>11.228515811905432</v>
      </c>
      <c r="EX166" s="172">
        <f ca="1">(VLOOKUP(EX$72,INDIRECT($C$5&amp;"生成成长"),2))/((VLOOKUP($B166,INDIRECT($B$5&amp;"生成成长"),4))/(VLOOKUP(EX$72,INDIRECT($C$5&amp;"生成成长"),5))*(VLOOKUP($B$5,标准坦克设计!$B$24:$U$30,MATCH("对"&amp;LEFT($C$5,2)&amp;"输出",标准坦克设计!$B$23:$U$23,0)))*(VLOOKUP($B166,INDIRECT($B$5&amp;"生成成长"),3))*(VLOOKUP($B$5,标准坦克设计!$B$14:$K$20,9)/30))</f>
        <v>12.029007085809882</v>
      </c>
      <c r="EY166" s="172">
        <f ca="1">(VLOOKUP(EY$72,INDIRECT($C$5&amp;"生成成长"),2))/((VLOOKUP($B166,INDIRECT($B$5&amp;"生成成长"),4))/(VLOOKUP(EY$72,INDIRECT($C$5&amp;"生成成长"),5))*(VLOOKUP($B$5,标准坦克设计!$B$24:$U$30,MATCH("对"&amp;LEFT($C$5,2)&amp;"输出",标准坦克设计!$B$23:$U$23,0)))*(VLOOKUP($B166,INDIRECT($B$5&amp;"生成成长"),3))*(VLOOKUP($B$5,标准坦克设计!$B$14:$K$20,9)/30))</f>
        <v>12.857058309676615</v>
      </c>
      <c r="EZ166" s="172">
        <f ca="1">(VLOOKUP(EZ$72,INDIRECT($C$5&amp;"生成成长"),2))/((VLOOKUP($B166,INDIRECT($B$5&amp;"生成成长"),4))/(VLOOKUP(EZ$72,INDIRECT($C$5&amp;"生成成长"),5))*(VLOOKUP($B$5,标准坦克设计!$B$24:$U$30,MATCH("对"&amp;LEFT($C$5,2)&amp;"输出",标准坦克设计!$B$23:$U$23,0)))*(VLOOKUP($B166,INDIRECT($B$5&amp;"生成成长"),3))*(VLOOKUP($B$5,标准坦克设计!$B$14:$K$20,9)/30))</f>
        <v>13.71266948350563</v>
      </c>
      <c r="FA166" s="172">
        <f ca="1">(VLOOKUP(FA$72,INDIRECT($C$5&amp;"生成成长"),2))/((VLOOKUP($B166,INDIRECT($B$5&amp;"生成成长"),4))/(VLOOKUP(FA$72,INDIRECT($C$5&amp;"生成成长"),5))*(VLOOKUP($B$5,标准坦克设计!$B$24:$U$30,MATCH("对"&amp;LEFT($C$5,2)&amp;"输出",标准坦克设计!$B$23:$U$23,0)))*(VLOOKUP($B166,INDIRECT($B$5&amp;"生成成长"),3))*(VLOOKUP($B$5,标准坦克设计!$B$14:$K$20,9)/30))</f>
        <v>14.595840607296926</v>
      </c>
      <c r="FB166" s="172">
        <f ca="1">(VLOOKUP(FB$72,INDIRECT($C$5&amp;"生成成长"),2))/((VLOOKUP($B166,INDIRECT($B$5&amp;"生成成长"),4))/(VLOOKUP(FB$72,INDIRECT($C$5&amp;"生成成长"),5))*(VLOOKUP($B$5,标准坦克设计!$B$24:$U$30,MATCH("对"&amp;LEFT($C$5,2)&amp;"输出",标准坦克设计!$B$23:$U$23,0)))*(VLOOKUP($B166,INDIRECT($B$5&amp;"生成成长"),3))*(VLOOKUP($B$5,标准坦克设计!$B$14:$K$20,9)/30))</f>
        <v>15.506571681050504</v>
      </c>
      <c r="FC166" s="172">
        <f ca="1">(VLOOKUP(FC$72,INDIRECT($C$5&amp;"生成成长"),2))/((VLOOKUP($B166,INDIRECT($B$5&amp;"生成成长"),4))/(VLOOKUP(FC$72,INDIRECT($C$5&amp;"生成成长"),5))*(VLOOKUP($B$5,标准坦克设计!$B$24:$U$30,MATCH("对"&amp;LEFT($C$5,2)&amp;"输出",标准坦克设计!$B$23:$U$23,0)))*(VLOOKUP($B166,INDIRECT($B$5&amp;"生成成长"),3))*(VLOOKUP($B$5,标准坦克设计!$B$14:$K$20,9)/30))</f>
        <v>16.444862704766361</v>
      </c>
      <c r="FD166" s="172">
        <f ca="1">(VLOOKUP(FD$72,INDIRECT($C$5&amp;"生成成长"),2))/((VLOOKUP($B166,INDIRECT($B$5&amp;"生成成长"),4))/(VLOOKUP(FD$72,INDIRECT($C$5&amp;"生成成长"),5))*(VLOOKUP($B$5,标准坦克设计!$B$24:$U$30,MATCH("对"&amp;LEFT($C$5,2)&amp;"输出",标准坦克设计!$B$23:$U$23,0)))*(VLOOKUP($B166,INDIRECT($B$5&amp;"生成成长"),3))*(VLOOKUP($B$5,标准坦克设计!$B$14:$K$20,9)/30))</f>
        <v>17.410713678444502</v>
      </c>
      <c r="FE166" s="172">
        <f ca="1">(VLOOKUP(FE$72,INDIRECT($C$5&amp;"生成成长"),2))/((VLOOKUP($B166,INDIRECT($B$5&amp;"生成成长"),4))/(VLOOKUP(FE$72,INDIRECT($C$5&amp;"生成成长"),5))*(VLOOKUP($B$5,标准坦克设计!$B$24:$U$30,MATCH("对"&amp;LEFT($C$5,2)&amp;"输出",标准坦克设计!$B$23:$U$23,0)))*(VLOOKUP($B166,INDIRECT($B$5&amp;"生成成长"),3))*(VLOOKUP($B$5,标准坦克设计!$B$14:$K$20,9)/30))</f>
        <v>18.58770575637913</v>
      </c>
      <c r="FF166" s="172">
        <f ca="1">(VLOOKUP(FF$72,INDIRECT($C$5&amp;"生成成长"),2))/((VLOOKUP($B166,INDIRECT($B$5&amp;"生成成长"),4))/(VLOOKUP(FF$72,INDIRECT($C$5&amp;"生成成长"),5))*(VLOOKUP($B$5,标准坦克设计!$B$24:$U$30,MATCH("对"&amp;LEFT($C$5,2)&amp;"输出",标准坦克设计!$B$23:$U$23,0)))*(VLOOKUP($B166,INDIRECT($B$5&amp;"生成成长"),3))*(VLOOKUP($B$5,标准坦克设计!$B$14:$K$20,9)/30))</f>
        <v>19.803190656988349</v>
      </c>
      <c r="FG166" s="172">
        <f ca="1">(VLOOKUP(FG$72,INDIRECT($C$5&amp;"生成成长"),2))/((VLOOKUP($B166,INDIRECT($B$5&amp;"生成成长"),4))/(VLOOKUP(FG$72,INDIRECT($C$5&amp;"生成成长"),5))*(VLOOKUP($B$5,标准坦克设计!$B$24:$U$30,MATCH("对"&amp;LEFT($C$5,2)&amp;"输出",标准坦克设计!$B$23:$U$23,0)))*(VLOOKUP($B166,INDIRECT($B$5&amp;"生成成长"),3))*(VLOOKUP($B$5,标准坦克设计!$B$14:$K$20,9)/30))</f>
        <v>21.057168380272163</v>
      </c>
      <c r="FH166" s="172">
        <f ca="1">(VLOOKUP(FH$72,INDIRECT($C$5&amp;"生成成长"),2))/((VLOOKUP($B166,INDIRECT($B$5&amp;"生成成长"),4))/(VLOOKUP(FH$72,INDIRECT($C$5&amp;"生成成长"),5))*(VLOOKUP($B$5,标准坦克设计!$B$24:$U$30,MATCH("对"&amp;LEFT($C$5,2)&amp;"输出",标准坦克设计!$B$23:$U$23,0)))*(VLOOKUP($B166,INDIRECT($B$5&amp;"生成成长"),3))*(VLOOKUP($B$5,标准坦克设计!$B$14:$K$20,9)/30))</f>
        <v>22.349638926230565</v>
      </c>
      <c r="FI166" s="172">
        <f ca="1">(VLOOKUP(FI$72,INDIRECT($C$5&amp;"生成成长"),2))/((VLOOKUP($B166,INDIRECT($B$5&amp;"生成成长"),4))/(VLOOKUP(FI$72,INDIRECT($C$5&amp;"生成成长"),5))*(VLOOKUP($B$5,标准坦克设计!$B$24:$U$30,MATCH("对"&amp;LEFT($C$5,2)&amp;"输出",标准坦克设计!$B$23:$U$23,0)))*(VLOOKUP($B166,INDIRECT($B$5&amp;"生成成长"),3))*(VLOOKUP($B$5,标准坦克设计!$B$14:$K$20,9)/30))</f>
        <v>23.680602294863561</v>
      </c>
      <c r="FJ166" s="172">
        <f ca="1">(VLOOKUP(FJ$72,INDIRECT($C$5&amp;"生成成长"),2))/((VLOOKUP($B166,INDIRECT($B$5&amp;"生成成长"),4))/(VLOOKUP(FJ$72,INDIRECT($C$5&amp;"生成成长"),5))*(VLOOKUP($B$5,标准坦克设计!$B$24:$U$30,MATCH("对"&amp;LEFT($C$5,2)&amp;"输出",标准坦克设计!$B$23:$U$23,0)))*(VLOOKUP($B166,INDIRECT($B$5&amp;"生成成长"),3))*(VLOOKUP($B$5,标准坦克设计!$B$14:$K$20,9)/30))</f>
        <v>25.050058486171149</v>
      </c>
      <c r="FK166" s="172">
        <f ca="1">(VLOOKUP(FK$72,INDIRECT($C$5&amp;"生成成长"),2))/((VLOOKUP($B166,INDIRECT($B$5&amp;"生成成长"),4))/(VLOOKUP(FK$72,INDIRECT($C$5&amp;"生成成长"),5))*(VLOOKUP($B$5,标准坦克设计!$B$24:$U$30,MATCH("对"&amp;LEFT($C$5,2)&amp;"输出",标准坦克设计!$B$23:$U$23,0)))*(VLOOKUP($B166,INDIRECT($B$5&amp;"生成成长"),3))*(VLOOKUP($B$5,标准坦克设计!$B$14:$K$20,9)/30))</f>
        <v>26.458007500153325</v>
      </c>
    </row>
    <row r="167" spans="1:167" x14ac:dyDescent="0.15">
      <c r="A167" s="170" t="str">
        <f t="shared" si="12"/>
        <v>T5中品质5级</v>
      </c>
      <c r="B167" s="171">
        <v>20505</v>
      </c>
      <c r="C167" s="172">
        <f ca="1">(VLOOKUP(C$72,INDIRECT($C$5&amp;"生成成长"),2))/((VLOOKUP($B167,INDIRECT($B$5&amp;"生成成长"),4))/(VLOOKUP(C$72,INDIRECT($C$5&amp;"生成成长"),5))*(VLOOKUP($B$5,标准坦克设计!$B$24:$U$30,MATCH("对"&amp;LEFT($C$5,2)&amp;"输出",标准坦克设计!$B$23:$U$23,0)))*(VLOOKUP($B167,INDIRECT($B$5&amp;"生成成长"),3))*(VLOOKUP($B$5,标准坦克设计!$B$14:$K$20,9)/30))</f>
        <v>1.0513842747726734</v>
      </c>
      <c r="D167" s="172">
        <f ca="1">(VLOOKUP(D$72,INDIRECT($C$5&amp;"生成成长"),2))/((VLOOKUP($B167,INDIRECT($B$5&amp;"生成成长"),4))/(VLOOKUP(D$72,INDIRECT($C$5&amp;"生成成长"),5))*(VLOOKUP($B$5,标准坦克设计!$B$24:$U$30,MATCH("对"&amp;LEFT($C$5,2)&amp;"输出",标准坦克设计!$B$23:$U$23,0)))*(VLOOKUP($B167,INDIRECT($B$5&amp;"生成成长"),3))*(VLOOKUP($B$5,标准坦克设计!$B$14:$K$20,9)/30))</f>
        <v>1.181335371134576</v>
      </c>
      <c r="E167" s="172">
        <f ca="1">(VLOOKUP(E$72,INDIRECT($C$5&amp;"生成成长"),2))/((VLOOKUP($B167,INDIRECT($B$5&amp;"生成成长"),4))/(VLOOKUP(E$72,INDIRECT($C$5&amp;"生成成长"),5))*(VLOOKUP($B$5,标准坦克设计!$B$24:$U$30,MATCH("对"&amp;LEFT($C$5,2)&amp;"输出",标准坦克设计!$B$23:$U$23,0)))*(VLOOKUP($B167,INDIRECT($B$5&amp;"生成成长"),3))*(VLOOKUP($B$5,标准坦克设计!$B$14:$K$20,9)/30))</f>
        <v>1.3188564342748414</v>
      </c>
      <c r="F167" s="172">
        <f ca="1">(VLOOKUP(F$72,INDIRECT($C$5&amp;"生成成长"),2))/((VLOOKUP($B167,INDIRECT($B$5&amp;"生成成长"),4))/(VLOOKUP(F$72,INDIRECT($C$5&amp;"生成成长"),5))*(VLOOKUP($B$5,标准坦克设计!$B$24:$U$30,MATCH("对"&amp;LEFT($C$5,2)&amp;"输出",标准坦克设计!$B$23:$U$23,0)))*(VLOOKUP($B167,INDIRECT($B$5&amp;"生成成长"),3))*(VLOOKUP($B$5,标准坦克设计!$B$14:$K$20,9)/30))</f>
        <v>1.4639474641934702</v>
      </c>
      <c r="G167" s="172">
        <f ca="1">(VLOOKUP(G$72,INDIRECT($C$5&amp;"生成成长"),2))/((VLOOKUP($B167,INDIRECT($B$5&amp;"生成成长"),4))/(VLOOKUP(G$72,INDIRECT($C$5&amp;"生成成长"),5))*(VLOOKUP($B$5,标准坦克设计!$B$24:$U$30,MATCH("对"&amp;LEFT($C$5,2)&amp;"输出",标准坦克设计!$B$23:$U$23,0)))*(VLOOKUP($B167,INDIRECT($B$5&amp;"生成成长"),3))*(VLOOKUP($B$5,标准坦克设计!$B$14:$K$20,9)/30))</f>
        <v>1.6166084608904625</v>
      </c>
      <c r="H167" s="172">
        <f ca="1">(VLOOKUP(H$72,INDIRECT($C$5&amp;"生成成长"),2))/((VLOOKUP($B167,INDIRECT($B$5&amp;"生成成长"),4))/(VLOOKUP(H$72,INDIRECT($C$5&amp;"生成成长"),5))*(VLOOKUP($B$5,标准坦克设计!$B$24:$U$30,MATCH("对"&amp;LEFT($C$5,2)&amp;"输出",标准坦克设计!$B$23:$U$23,0)))*(VLOOKUP($B167,INDIRECT($B$5&amp;"生成成长"),3))*(VLOOKUP($B$5,标准坦克设计!$B$14:$K$20,9)/30))</f>
        <v>1.4147426801341094</v>
      </c>
      <c r="I167" s="172">
        <f ca="1">(VLOOKUP(I$72,INDIRECT($C$5&amp;"生成成长"),2))/((VLOOKUP($B167,INDIRECT($B$5&amp;"生成成长"),4))/(VLOOKUP(I$72,INDIRECT($C$5&amp;"生成成长"),5))*(VLOOKUP($B$5,标准坦克设计!$B$24:$U$30,MATCH("对"&amp;LEFT($C$5,2)&amp;"输出",标准坦克设计!$B$23:$U$23,0)))*(VLOOKUP($B167,INDIRECT($B$5&amp;"生成成长"),3))*(VLOOKUP($B$5,标准坦克设计!$B$14:$K$20,9)/30))</f>
        <v>1.6166084608904625</v>
      </c>
      <c r="J167" s="172">
        <f ca="1">(VLOOKUP(J$72,INDIRECT($C$5&amp;"生成成长"),2))/((VLOOKUP($B167,INDIRECT($B$5&amp;"生成成长"),4))/(VLOOKUP(J$72,INDIRECT($C$5&amp;"生成成长"),5))*(VLOOKUP($B$5,标准坦克设计!$B$24:$U$30,MATCH("对"&amp;LEFT($C$5,2)&amp;"输出",标准坦克设计!$B$23:$U$23,0)))*(VLOOKUP($B167,INDIRECT($B$5&amp;"生成成长"),3))*(VLOOKUP($B$5,标准坦克设计!$B$14:$K$20,9)/30))</f>
        <v>1.8319319603639064</v>
      </c>
      <c r="K167" s="172">
        <f ca="1">(VLOOKUP(K$72,INDIRECT($C$5&amp;"生成成长"),2))/((VLOOKUP($B167,INDIRECT($B$5&amp;"生成成长"),4))/(VLOOKUP(K$72,INDIRECT($C$5&amp;"生成成长"),5))*(VLOOKUP($B$5,标准坦克设计!$B$24:$U$30,MATCH("对"&amp;LEFT($C$5,2)&amp;"输出",标准坦克设计!$B$23:$U$23,0)))*(VLOOKUP($B167,INDIRECT($B$5&amp;"生成成长"),3))*(VLOOKUP($B$5,标准坦克设计!$B$14:$K$20,9)/30))</f>
        <v>2.0607131785544404</v>
      </c>
      <c r="L167" s="172">
        <f ca="1">(VLOOKUP(L$72,INDIRECT($C$5&amp;"生成成长"),2))/((VLOOKUP($B167,INDIRECT($B$5&amp;"生成成长"),4))/(VLOOKUP(L$72,INDIRECT($C$5&amp;"生成成长"),5))*(VLOOKUP($B$5,标准坦克设计!$B$24:$U$30,MATCH("对"&amp;LEFT($C$5,2)&amp;"输出",标准坦克设计!$B$23:$U$23,0)))*(VLOOKUP($B167,INDIRECT($B$5&amp;"生成成长"),3))*(VLOOKUP($B$5,标准坦克设计!$B$14:$K$20,9)/30))</f>
        <v>2.3029521154620634</v>
      </c>
      <c r="M167" s="172">
        <f ca="1">(VLOOKUP(M$72,INDIRECT($C$5&amp;"生成成长"),2))/((VLOOKUP($B167,INDIRECT($B$5&amp;"生成成长"),4))/(VLOOKUP(M$72,INDIRECT($C$5&amp;"生成成长"),5))*(VLOOKUP($B$5,标准坦克设计!$B$24:$U$30,MATCH("对"&amp;LEFT($C$5,2)&amp;"输出",标准坦克设计!$B$23:$U$23,0)))*(VLOOKUP($B167,INDIRECT($B$5&amp;"生成成长"),3))*(VLOOKUP($B$5,标准坦克设计!$B$14:$K$20,9)/30))</f>
        <v>2.5586487710867778</v>
      </c>
      <c r="N167" s="172">
        <f ca="1">(VLOOKUP(N$72,INDIRECT($C$5&amp;"生成成长"),2))/((VLOOKUP($B167,INDIRECT($B$5&amp;"生成成长"),4))/(VLOOKUP(N$72,INDIRECT($C$5&amp;"生成成长"),5))*(VLOOKUP($B$5,标准坦克设计!$B$24:$U$30,MATCH("对"&amp;LEFT($C$5,2)&amp;"输出",标准坦克设计!$B$23:$U$23,0)))*(VLOOKUP($B167,INDIRECT($B$5&amp;"生成成长"),3))*(VLOOKUP($B$5,标准坦克设计!$B$14:$K$20,9)/30))</f>
        <v>2.8278031454285824</v>
      </c>
      <c r="O167" s="172">
        <f ca="1">(VLOOKUP(O$72,INDIRECT($C$5&amp;"生成成长"),2))/((VLOOKUP($B167,INDIRECT($B$5&amp;"生成成长"),4))/(VLOOKUP(O$72,INDIRECT($C$5&amp;"生成成长"),5))*(VLOOKUP($B$5,标准坦克设计!$B$24:$U$30,MATCH("对"&amp;LEFT($C$5,2)&amp;"输出",标准坦克设计!$B$23:$U$23,0)))*(VLOOKUP($B167,INDIRECT($B$5&amp;"生成成长"),3))*(VLOOKUP($B$5,标准坦克设计!$B$14:$K$20,9)/30))</f>
        <v>2.1499757034826397</v>
      </c>
      <c r="P167" s="172">
        <f ca="1">(VLOOKUP(P$72,INDIRECT($C$5&amp;"生成成长"),2))/((VLOOKUP($B167,INDIRECT($B$5&amp;"生成成长"),4))/(VLOOKUP(P$72,INDIRECT($C$5&amp;"生成成长"),5))*(VLOOKUP($B$5,标准坦克设计!$B$24:$U$30,MATCH("对"&amp;LEFT($C$5,2)&amp;"输出",标准坦克设计!$B$23:$U$23,0)))*(VLOOKUP($B167,INDIRECT($B$5&amp;"生成成长"),3))*(VLOOKUP($B$5,标准坦克设计!$B$14:$K$20,9)/30))</f>
        <v>2.4291182284347848</v>
      </c>
      <c r="Q167" s="172">
        <f ca="1">(VLOOKUP(Q$72,INDIRECT($C$5&amp;"生成成长"),2))/((VLOOKUP($B167,INDIRECT($B$5&amp;"生成成长"),4))/(VLOOKUP(Q$72,INDIRECT($C$5&amp;"生成成长"),5))*(VLOOKUP($B$5,标准坦克设计!$B$24:$U$30,MATCH("对"&amp;LEFT($C$5,2)&amp;"输出",标准坦克设计!$B$23:$U$23,0)))*(VLOOKUP($B167,INDIRECT($B$5&amp;"生成成长"),3))*(VLOOKUP($B$5,标准坦克设计!$B$14:$K$20,9)/30))</f>
        <v>2.725293178638247</v>
      </c>
      <c r="R167" s="172">
        <f ca="1">(VLOOKUP(R$72,INDIRECT($C$5&amp;"生成成长"),2))/((VLOOKUP($B167,INDIRECT($B$5&amp;"生成成长"),4))/(VLOOKUP(R$72,INDIRECT($C$5&amp;"生成成长"),5))*(VLOOKUP($B$5,标准坦克设计!$B$24:$U$30,MATCH("对"&amp;LEFT($C$5,2)&amp;"输出",标准坦克设计!$B$23:$U$23,0)))*(VLOOKUP($B167,INDIRECT($B$5&amp;"生成成长"),3))*(VLOOKUP($B$5,标准坦克设计!$B$14:$K$20,9)/30))</f>
        <v>3.0385005540930266</v>
      </c>
      <c r="S167" s="172">
        <f ca="1">(VLOOKUP(S$72,INDIRECT($C$5&amp;"生成成长"),2))/((VLOOKUP($B167,INDIRECT($B$5&amp;"生成成长"),4))/(VLOOKUP(S$72,INDIRECT($C$5&amp;"生成成长"),5))*(VLOOKUP($B$5,标准坦克设计!$B$24:$U$30,MATCH("对"&amp;LEFT($C$5,2)&amp;"输出",标准坦克设计!$B$23:$U$23,0)))*(VLOOKUP($B167,INDIRECT($B$5&amp;"生成成长"),3))*(VLOOKUP($B$5,标准坦克设计!$B$14:$K$20,9)/30))</f>
        <v>3.3687403547991228</v>
      </c>
      <c r="T167" s="172">
        <f ca="1">(VLOOKUP(T$72,INDIRECT($C$5&amp;"生成成长"),2))/((VLOOKUP($B167,INDIRECT($B$5&amp;"生成成长"),4))/(VLOOKUP(T$72,INDIRECT($C$5&amp;"生成成长"),5))*(VLOOKUP($B$5,标准坦克设计!$B$24:$U$30,MATCH("对"&amp;LEFT($C$5,2)&amp;"输出",标准坦克设计!$B$23:$U$23,0)))*(VLOOKUP($B167,INDIRECT($B$5&amp;"生成成长"),3))*(VLOOKUP($B$5,标准坦克设计!$B$14:$K$20,9)/30))</f>
        <v>3.7160125807565372</v>
      </c>
      <c r="U167" s="172">
        <f ca="1">(VLOOKUP(U$72,INDIRECT($C$5&amp;"生成成长"),2))/((VLOOKUP($B167,INDIRECT($B$5&amp;"生成成长"),4))/(VLOOKUP(U$72,INDIRECT($C$5&amp;"生成成长"),5))*(VLOOKUP($B$5,标准坦克设计!$B$24:$U$30,MATCH("对"&amp;LEFT($C$5,2)&amp;"输出",标准坦克设计!$B$23:$U$23,0)))*(VLOOKUP($B167,INDIRECT($B$5&amp;"生成成长"),3))*(VLOOKUP($B$5,标准坦克设计!$B$14:$K$20,9)/30))</f>
        <v>4.0803172319652692</v>
      </c>
      <c r="V167" s="172">
        <f ca="1">(VLOOKUP(V$72,INDIRECT($C$5&amp;"生成成长"),2))/((VLOOKUP($B167,INDIRECT($B$5&amp;"生成成长"),4))/(VLOOKUP(V$72,INDIRECT($C$5&amp;"生成成长"),5))*(VLOOKUP($B$5,标准坦克设计!$B$24:$U$30,MATCH("对"&amp;LEFT($C$5,2)&amp;"输出",标准坦克设计!$B$23:$U$23,0)))*(VLOOKUP($B167,INDIRECT($B$5&amp;"生成成长"),3))*(VLOOKUP($B$5,标准坦克设计!$B$14:$K$20,9)/30))</f>
        <v>4.4616543084253166</v>
      </c>
      <c r="W167" s="172">
        <f ca="1">(VLOOKUP(W$72,INDIRECT($C$5&amp;"生成成长"),2))/((VLOOKUP($B167,INDIRECT($B$5&amp;"生成成长"),4))/(VLOOKUP(W$72,INDIRECT($C$5&amp;"生成成长"),5))*(VLOOKUP($B$5,标准坦克设计!$B$24:$U$30,MATCH("对"&amp;LEFT($C$5,2)&amp;"输出",标准坦克设计!$B$23:$U$23,0)))*(VLOOKUP($B167,INDIRECT($B$5&amp;"生成成长"),3))*(VLOOKUP($B$5,标准坦克设计!$B$14:$K$20,9)/30))</f>
        <v>4.8600238101366831</v>
      </c>
      <c r="X167" s="172">
        <f ca="1">(VLOOKUP(X$72,INDIRECT($C$5&amp;"生成成长"),2))/((VLOOKUP($B167,INDIRECT($B$5&amp;"生成成长"),4))/(VLOOKUP(X$72,INDIRECT($C$5&amp;"生成成长"),5))*(VLOOKUP($B$5,标准坦克设计!$B$24:$U$30,MATCH("对"&amp;LEFT($C$5,2)&amp;"输出",标准坦克设计!$B$23:$U$23,0)))*(VLOOKUP($B167,INDIRECT($B$5&amp;"生成成长"),3))*(VLOOKUP($B$5,标准坦克设计!$B$14:$K$20,9)/30))</f>
        <v>3.5209807977862062</v>
      </c>
      <c r="Y167" s="172">
        <f ca="1">(VLOOKUP(Y$72,INDIRECT($C$5&amp;"生成成长"),2))/((VLOOKUP($B167,INDIRECT($B$5&amp;"生成成长"),4))/(VLOOKUP(Y$72,INDIRECT($C$5&amp;"生成成长"),5))*(VLOOKUP($B$5,标准坦克设计!$B$24:$U$30,MATCH("对"&amp;LEFT($C$5,2)&amp;"输出",标准坦克设计!$B$23:$U$23,0)))*(VLOOKUP($B167,INDIRECT($B$5&amp;"生成成长"),3))*(VLOOKUP($B$5,标准坦克设计!$B$14:$K$20,9)/30))</f>
        <v>3.9163012851007317</v>
      </c>
      <c r="Z167" s="172">
        <f ca="1">(VLOOKUP(Z$72,INDIRECT($C$5&amp;"生成成长"),2))/((VLOOKUP($B167,INDIRECT($B$5&amp;"生成成长"),4))/(VLOOKUP(Z$72,INDIRECT($C$5&amp;"生成成长"),5))*(VLOOKUP($B$5,标准坦克设计!$B$24:$U$30,MATCH("对"&amp;LEFT($C$5,2)&amp;"输出",标准坦克设计!$B$23:$U$23,0)))*(VLOOKUP($B167,INDIRECT($B$5&amp;"生成成长"),3))*(VLOOKUP($B$5,标准坦克设计!$B$14:$K$20,9)/30))</f>
        <v>4.3326494579107111</v>
      </c>
      <c r="AA167" s="172">
        <f ca="1">(VLOOKUP(AA$72,INDIRECT($C$5&amp;"生成成长"),2))/((VLOOKUP($B167,INDIRECT($B$5&amp;"生成成长"),4))/(VLOOKUP(AA$72,INDIRECT($C$5&amp;"生成成长"),5))*(VLOOKUP($B$5,标准坦克设计!$B$24:$U$30,MATCH("对"&amp;LEFT($C$5,2)&amp;"输出",标准坦克设计!$B$23:$U$23,0)))*(VLOOKUP($B167,INDIRECT($B$5&amp;"生成成长"),3))*(VLOOKUP($B$5,标准坦克设计!$B$14:$K$20,9)/30))</f>
        <v>4.7700253162161426</v>
      </c>
      <c r="AB167" s="172">
        <f ca="1">(VLOOKUP(AB$72,INDIRECT($C$5&amp;"生成成长"),2))/((VLOOKUP($B167,INDIRECT($B$5&amp;"生成成长"),4))/(VLOOKUP(AB$72,INDIRECT($C$5&amp;"生成成长"),5))*(VLOOKUP($B$5,标准坦克设计!$B$24:$U$30,MATCH("对"&amp;LEFT($C$5,2)&amp;"输出",标准坦克设计!$B$23:$U$23,0)))*(VLOOKUP($B167,INDIRECT($B$5&amp;"生成成长"),3))*(VLOOKUP($B$5,标准坦克设计!$B$14:$K$20,9)/30))</f>
        <v>5.2284288600170283</v>
      </c>
      <c r="AC167" s="172">
        <f ca="1">(VLOOKUP(AC$72,INDIRECT($C$5&amp;"生成成长"),2))/((VLOOKUP($B167,INDIRECT($B$5&amp;"生成成长"),4))/(VLOOKUP(AC$72,INDIRECT($C$5&amp;"生成成长"),5))*(VLOOKUP($B$5,标准坦克设计!$B$24:$U$30,MATCH("对"&amp;LEFT($C$5,2)&amp;"输出",标准坦克设计!$B$23:$U$23,0)))*(VLOOKUP($B167,INDIRECT($B$5&amp;"生成成长"),3))*(VLOOKUP($B$5,标准坦克设计!$B$14:$K$20,9)/30))</f>
        <v>5.7078600893133675</v>
      </c>
      <c r="AD167" s="172">
        <f ca="1">(VLOOKUP(AD$72,INDIRECT($C$5&amp;"生成成长"),2))/((VLOOKUP($B167,INDIRECT($B$5&amp;"生成成长"),4))/(VLOOKUP(AD$72,INDIRECT($C$5&amp;"生成成长"),5))*(VLOOKUP($B$5,标准坦克设计!$B$24:$U$30,MATCH("对"&amp;LEFT($C$5,2)&amp;"输出",标准坦克设计!$B$23:$U$23,0)))*(VLOOKUP($B167,INDIRECT($B$5&amp;"生成成长"),3))*(VLOOKUP($B$5,标准坦克设计!$B$14:$K$20,9)/30))</f>
        <v>6.2083190041051592</v>
      </c>
      <c r="AE167" s="172">
        <f ca="1">(VLOOKUP(AE$72,INDIRECT($C$5&amp;"生成成长"),2))/((VLOOKUP($B167,INDIRECT($B$5&amp;"生成成长"),4))/(VLOOKUP(AE$72,INDIRECT($C$5&amp;"生成成长"),5))*(VLOOKUP($B$5,标准坦克设计!$B$24:$U$30,MATCH("对"&amp;LEFT($C$5,2)&amp;"输出",标准坦克设计!$B$23:$U$23,0)))*(VLOOKUP($B167,INDIRECT($B$5&amp;"生成成长"),3))*(VLOOKUP($B$5,标准坦克设计!$B$14:$K$20,9)/30))</f>
        <v>6.7298056043924062</v>
      </c>
      <c r="AF167" s="172">
        <f ca="1">(VLOOKUP(AF$72,INDIRECT($C$5&amp;"生成成长"),2))/((VLOOKUP($B167,INDIRECT($B$5&amp;"生成成长"),4))/(VLOOKUP(AF$72,INDIRECT($C$5&amp;"生成成长"),5))*(VLOOKUP($B$5,标准坦克设计!$B$24:$U$30,MATCH("对"&amp;LEFT($C$5,2)&amp;"输出",标准坦克设计!$B$23:$U$23,0)))*(VLOOKUP($B167,INDIRECT($B$5&amp;"生成成长"),3))*(VLOOKUP($B$5,标准坦克设计!$B$14:$K$20,9)/30))</f>
        <v>7.2723198901751065</v>
      </c>
      <c r="AG167" s="172">
        <f ca="1">(VLOOKUP(AG$72,INDIRECT($C$5&amp;"生成成长"),2))/((VLOOKUP($B167,INDIRECT($B$5&amp;"生成成长"),4))/(VLOOKUP(AG$72,INDIRECT($C$5&amp;"生成成长"),5))*(VLOOKUP($B$5,标准坦克设计!$B$24:$U$30,MATCH("对"&amp;LEFT($C$5,2)&amp;"输出",标准坦克设计!$B$23:$U$23,0)))*(VLOOKUP($B167,INDIRECT($B$5&amp;"生成成长"),3))*(VLOOKUP($B$5,标准坦克设计!$B$14:$K$20,9)/30))</f>
        <v>7.8358618614532567</v>
      </c>
      <c r="AH167" s="172">
        <f ca="1">(VLOOKUP(AH$72,INDIRECT($C$5&amp;"生成成长"),2))/((VLOOKUP($B167,INDIRECT($B$5&amp;"生成成长"),4))/(VLOOKUP(AH$72,INDIRECT($C$5&amp;"生成成长"),5))*(VLOOKUP($B$5,标准坦克设计!$B$24:$U$30,MATCH("对"&amp;LEFT($C$5,2)&amp;"输出",标准坦克设计!$B$23:$U$23,0)))*(VLOOKUP($B167,INDIRECT($B$5&amp;"生成成长"),3))*(VLOOKUP($B$5,标准坦克设计!$B$14:$K$20,9)/30))</f>
        <v>8.420431518226863</v>
      </c>
      <c r="AI167" s="172">
        <f ca="1">(VLOOKUP(AI$72,INDIRECT($C$5&amp;"生成成长"),2))/((VLOOKUP($B167,INDIRECT($B$5&amp;"生成成长"),4))/(VLOOKUP(AI$72,INDIRECT($C$5&amp;"生成成长"),5))*(VLOOKUP($B$5,标准坦克设计!$B$24:$U$30,MATCH("对"&amp;LEFT($C$5,2)&amp;"输出",标准坦克设计!$B$23:$U$23,0)))*(VLOOKUP($B167,INDIRECT($B$5&amp;"生成成长"),3))*(VLOOKUP($B$5,标准坦克设计!$B$14:$K$20,9)/30))</f>
        <v>5.955461086022332</v>
      </c>
      <c r="AJ167" s="172">
        <f ca="1">(VLOOKUP(AJ$72,INDIRECT($C$5&amp;"生成成长"),2))/((VLOOKUP($B167,INDIRECT($B$5&amp;"生成成长"),4))/(VLOOKUP(AJ$72,INDIRECT($C$5&amp;"生成成长"),5))*(VLOOKUP($B$5,标准坦克设计!$B$24:$U$30,MATCH("对"&amp;LEFT($C$5,2)&amp;"输出",标准坦克设计!$B$23:$U$23,0)))*(VLOOKUP($B167,INDIRECT($B$5&amp;"生成成长"),3))*(VLOOKUP($B$5,标准坦克设计!$B$14:$K$20,9)/30))</f>
        <v>6.5186876420180528</v>
      </c>
      <c r="AK167" s="172">
        <f ca="1">(VLOOKUP(AK$72,INDIRECT($C$5&amp;"生成成长"),2))/((VLOOKUP($B167,INDIRECT($B$5&amp;"生成成长"),4))/(VLOOKUP(AK$72,INDIRECT($C$5&amp;"生成成长"),5))*(VLOOKUP($B$5,标准坦克设计!$B$24:$U$30,MATCH("对"&amp;LEFT($C$5,2)&amp;"输出",标准坦克设计!$B$23:$U$23,0)))*(VLOOKUP($B167,INDIRECT($B$5&amp;"生成成长"),3))*(VLOOKUP($B$5,标准坦克设计!$B$14:$K$20,9)/30))</f>
        <v>7.1073576974632733</v>
      </c>
      <c r="AL167" s="172">
        <f ca="1">(VLOOKUP(AL$72,INDIRECT($C$5&amp;"生成成长"),2))/((VLOOKUP($B167,INDIRECT($B$5&amp;"生成成长"),4))/(VLOOKUP(AL$72,INDIRECT($C$5&amp;"生成成长"),5))*(VLOOKUP($B$5,标准坦克设计!$B$24:$U$30,MATCH("对"&amp;LEFT($C$5,2)&amp;"输出",标准坦克设计!$B$23:$U$23,0)))*(VLOOKUP($B167,INDIRECT($B$5&amp;"生成成长"),3))*(VLOOKUP($B$5,标准坦克设计!$B$14:$K$20,9)/30))</f>
        <v>7.7214712523579907</v>
      </c>
      <c r="AM167" s="172">
        <f ca="1">(VLOOKUP(AM$72,INDIRECT($C$5&amp;"生成成长"),2))/((VLOOKUP($B167,INDIRECT($B$5&amp;"生成成长"),4))/(VLOOKUP(AM$72,INDIRECT($C$5&amp;"生成成长"),5))*(VLOOKUP($B$5,标准坦克设计!$B$24:$U$30,MATCH("对"&amp;LEFT($C$5,2)&amp;"输出",标准坦克设计!$B$23:$U$23,0)))*(VLOOKUP($B167,INDIRECT($B$5&amp;"生成成长"),3))*(VLOOKUP($B$5,标准坦克设计!$B$14:$K$20,9)/30))</f>
        <v>8.3610283067022078</v>
      </c>
      <c r="AN167" s="172">
        <f ca="1">(VLOOKUP(AN$72,INDIRECT($C$5&amp;"生成成长"),2))/((VLOOKUP($B167,INDIRECT($B$5&amp;"生成成长"),4))/(VLOOKUP(AN$72,INDIRECT($C$5&amp;"生成成长"),5))*(VLOOKUP($B$5,标准坦克设计!$B$24:$U$30,MATCH("对"&amp;LEFT($C$5,2)&amp;"输出",标准坦克设计!$B$23:$U$23,0)))*(VLOOKUP($B167,INDIRECT($B$5&amp;"生成成长"),3))*(VLOOKUP($B$5,标准坦克设计!$B$14:$K$20,9)/30))</f>
        <v>9.0260288604959218</v>
      </c>
      <c r="AO167" s="172">
        <f ca="1">(VLOOKUP(AO$72,INDIRECT($C$5&amp;"生成成长"),2))/((VLOOKUP($B167,INDIRECT($B$5&amp;"生成成长"),4))/(VLOOKUP(AO$72,INDIRECT($C$5&amp;"生成成长"),5))*(VLOOKUP($B$5,标准坦克设计!$B$24:$U$30,MATCH("对"&amp;LEFT($C$5,2)&amp;"输出",标准坦克设计!$B$23:$U$23,0)))*(VLOOKUP($B167,INDIRECT($B$5&amp;"生成成长"),3))*(VLOOKUP($B$5,标准坦克设计!$B$14:$K$20,9)/30))</f>
        <v>9.716472913739139</v>
      </c>
      <c r="AP167" s="172">
        <f ca="1">(VLOOKUP(AP$72,INDIRECT($C$5&amp;"生成成长"),2))/((VLOOKUP($B167,INDIRECT($B$5&amp;"生成成长"),4))/(VLOOKUP(AP$72,INDIRECT($C$5&amp;"生成成长"),5))*(VLOOKUP($B$5,标准坦克设计!$B$24:$U$30,MATCH("对"&amp;LEFT($C$5,2)&amp;"输出",标准坦克设计!$B$23:$U$23,0)))*(VLOOKUP($B167,INDIRECT($B$5&amp;"生成成长"),3))*(VLOOKUP($B$5,标准坦克设计!$B$14:$K$20,9)/30))</f>
        <v>10.432360466431852</v>
      </c>
      <c r="AQ167" s="172">
        <f ca="1">(VLOOKUP(AQ$72,INDIRECT($C$5&amp;"生成成长"),2))/((VLOOKUP($B167,INDIRECT($B$5&amp;"生成成长"),4))/(VLOOKUP(AQ$72,INDIRECT($C$5&amp;"生成成长"),5))*(VLOOKUP($B$5,标准坦克设计!$B$24:$U$30,MATCH("对"&amp;LEFT($C$5,2)&amp;"输出",标准坦克设计!$B$23:$U$23,0)))*(VLOOKUP($B167,INDIRECT($B$5&amp;"生成成长"),3))*(VLOOKUP($B$5,标准坦克设计!$B$14:$K$20,9)/30))</f>
        <v>11.173691518574064</v>
      </c>
      <c r="AR167" s="172">
        <f ca="1">(VLOOKUP(AR$72,INDIRECT($C$5&amp;"生成成长"),2))/((VLOOKUP($B167,INDIRECT($B$5&amp;"生成成长"),4))/(VLOOKUP(AR$72,INDIRECT($C$5&amp;"生成成长"),5))*(VLOOKUP($B$5,标准坦克设计!$B$24:$U$30,MATCH("对"&amp;LEFT($C$5,2)&amp;"输出",标准坦克设计!$B$23:$U$23,0)))*(VLOOKUP($B167,INDIRECT($B$5&amp;"生成成长"),3))*(VLOOKUP($B$5,标准坦克设计!$B$14:$K$20,9)/30))</f>
        <v>11.940466070165774</v>
      </c>
      <c r="AS167" s="172">
        <f ca="1">(VLOOKUP(AS$72,INDIRECT($C$5&amp;"生成成长"),2))/((VLOOKUP($B167,INDIRECT($B$5&amp;"生成成长"),4))/(VLOOKUP(AS$72,INDIRECT($C$5&amp;"生成成长"),5))*(VLOOKUP($B$5,标准坦克设计!$B$24:$U$30,MATCH("对"&amp;LEFT($C$5,2)&amp;"输出",标准坦克设计!$B$23:$U$23,0)))*(VLOOKUP($B167,INDIRECT($B$5&amp;"生成成长"),3))*(VLOOKUP($B$5,标准坦克设计!$B$14:$K$20,9)/30))</f>
        <v>12.732684121206987</v>
      </c>
      <c r="AT167" s="172">
        <f ca="1">(VLOOKUP(AT$72,INDIRECT($C$5&amp;"生成成长"),2))/((VLOOKUP($B167,INDIRECT($B$5&amp;"生成成长"),4))/(VLOOKUP(AT$72,INDIRECT($C$5&amp;"生成成长"),5))*(VLOOKUP($B$5,标准坦克设计!$B$24:$U$30,MATCH("对"&amp;LEFT($C$5,2)&amp;"输出",标准坦克设计!$B$23:$U$23,0)))*(VLOOKUP($B167,INDIRECT($B$5&amp;"生成成长"),3))*(VLOOKUP($B$5,标准坦克设计!$B$14:$K$20,9)/30))</f>
        <v>13.550345671697691</v>
      </c>
      <c r="AU167" s="172">
        <f ca="1">(VLOOKUP(AU$72,INDIRECT($C$5&amp;"生成成长"),2))/((VLOOKUP($B167,INDIRECT($B$5&amp;"生成成长"),4))/(VLOOKUP(AU$72,INDIRECT($C$5&amp;"生成成长"),5))*(VLOOKUP($B$5,标准坦克设计!$B$24:$U$30,MATCH("对"&amp;LEFT($C$5,2)&amp;"输出",标准坦克设计!$B$23:$U$23,0)))*(VLOOKUP($B167,INDIRECT($B$5&amp;"生成成长"),3))*(VLOOKUP($B$5,标准坦克设计!$B$14:$K$20,9)/30))</f>
        <v>14.393450721637903</v>
      </c>
      <c r="AV167" s="172">
        <f ca="1">(VLOOKUP(AV$72,INDIRECT($C$5&amp;"生成成长"),2))/((VLOOKUP($B167,INDIRECT($B$5&amp;"生成成长"),4))/(VLOOKUP(AV$72,INDIRECT($C$5&amp;"生成成长"),5))*(VLOOKUP($B$5,标准坦克设计!$B$24:$U$30,MATCH("对"&amp;LEFT($C$5,2)&amp;"输出",标准坦克设计!$B$23:$U$23,0)))*(VLOOKUP($B167,INDIRECT($B$5&amp;"生成成长"),3))*(VLOOKUP($B$5,标准坦克设计!$B$14:$K$20,9)/30))</f>
        <v>1.4639474641934702</v>
      </c>
      <c r="AW167" s="172">
        <f ca="1">(VLOOKUP(AW$72,INDIRECT($C$5&amp;"生成成长"),2))/((VLOOKUP($B167,INDIRECT($B$5&amp;"生成成长"),4))/(VLOOKUP(AW$72,INDIRECT($C$5&amp;"生成成长"),5))*(VLOOKUP($B$5,标准坦克设计!$B$24:$U$30,MATCH("对"&amp;LEFT($C$5,2)&amp;"输出",标准坦克设计!$B$23:$U$23,0)))*(VLOOKUP($B167,INDIRECT($B$5&amp;"生成成长"),3))*(VLOOKUP($B$5,标准坦克设计!$B$14:$K$20,9)/30))</f>
        <v>1.6691776746290963</v>
      </c>
      <c r="AX167" s="172">
        <f ca="1">(VLOOKUP(AX$72,INDIRECT($C$5&amp;"生成成长"),2))/((VLOOKUP($B167,INDIRECT($B$5&amp;"生成成长"),4))/(VLOOKUP(AX$72,INDIRECT($C$5&amp;"生成成长"),5))*(VLOOKUP($B$5,标准坦克设计!$B$24:$U$30,MATCH("对"&amp;LEFT($C$5,2)&amp;"输出",标准坦克设计!$B$23:$U$23,0)))*(VLOOKUP($B167,INDIRECT($B$5&amp;"生成成长"),3))*(VLOOKUP($B$5,标准坦克设计!$B$14:$K$20,9)/30))</f>
        <v>1.8878656037818127</v>
      </c>
      <c r="AY167" s="172">
        <f ca="1">(VLOOKUP(AY$72,INDIRECT($C$5&amp;"生成成长"),2))/((VLOOKUP($B167,INDIRECT($B$5&amp;"生成成长"),4))/(VLOOKUP(AY$72,INDIRECT($C$5&amp;"生成成长"),5))*(VLOOKUP($B$5,标准坦克设计!$B$24:$U$30,MATCH("对"&amp;LEFT($C$5,2)&amp;"输出",标准坦克设计!$B$23:$U$23,0)))*(VLOOKUP($B167,INDIRECT($B$5&amp;"生成成长"),3))*(VLOOKUP($B$5,标准坦克设计!$B$14:$K$20,9)/30))</f>
        <v>2.1200112516516185</v>
      </c>
      <c r="AZ167" s="172">
        <f ca="1">(VLOOKUP(AZ$72,INDIRECT($C$5&amp;"生成成长"),2))/((VLOOKUP($B167,INDIRECT($B$5&amp;"生成成长"),4))/(VLOOKUP(AZ$72,INDIRECT($C$5&amp;"生成成长"),5))*(VLOOKUP($B$5,标准坦克设计!$B$24:$U$30,MATCH("对"&amp;LEFT($C$5,2)&amp;"输出",标准坦克设计!$B$23:$U$23,0)))*(VLOOKUP($B167,INDIRECT($B$5&amp;"生成成长"),3))*(VLOOKUP($B$5,标准坦克设计!$B$14:$K$20,9)/30))</f>
        <v>2.3656146182385158</v>
      </c>
      <c r="BA167" s="172">
        <f ca="1">(VLOOKUP(BA$72,INDIRECT($C$5&amp;"生成成长"),2))/((VLOOKUP($B167,INDIRECT($B$5&amp;"生成成长"),4))/(VLOOKUP(BA$72,INDIRECT($C$5&amp;"生成成长"),5))*(VLOOKUP($B$5,标准坦克设计!$B$24:$U$30,MATCH("对"&amp;LEFT($C$5,2)&amp;"输出",标准坦克设计!$B$23:$U$23,0)))*(VLOOKUP($B167,INDIRECT($B$5&amp;"生成成长"),3))*(VLOOKUP($B$5,标准坦克设计!$B$14:$K$20,9)/30))</f>
        <v>2.6246757035425023</v>
      </c>
      <c r="BB167" s="172">
        <f ca="1">(VLOOKUP(BB$72,INDIRECT($C$5&amp;"生成成长"),2))/((VLOOKUP($B167,INDIRECT($B$5&amp;"生成成长"),4))/(VLOOKUP(BB$72,INDIRECT($C$5&amp;"生成成长"),5))*(VLOOKUP($B$5,标准坦克设计!$B$24:$U$30,MATCH("对"&amp;LEFT($C$5,2)&amp;"输出",标准坦克设计!$B$23:$U$23,0)))*(VLOOKUP($B167,INDIRECT($B$5&amp;"生成成长"),3))*(VLOOKUP($B$5,标准坦克设计!$B$14:$K$20,9)/30))</f>
        <v>2.8971945075635794</v>
      </c>
      <c r="BC167" s="172">
        <f ca="1">(VLOOKUP(BC$72,INDIRECT($C$5&amp;"生成成长"),2))/((VLOOKUP($B167,INDIRECT($B$5&amp;"生成成长"),4))/(VLOOKUP(BC$72,INDIRECT($C$5&amp;"生成成长"),5))*(VLOOKUP($B$5,标准坦克设计!$B$24:$U$30,MATCH("对"&amp;LEFT($C$5,2)&amp;"输出",标准坦克设计!$B$23:$U$23,0)))*(VLOOKUP($B167,INDIRECT($B$5&amp;"生成成长"),3))*(VLOOKUP($B$5,标准坦克设计!$B$14:$K$20,9)/30))</f>
        <v>3.1831710303017466</v>
      </c>
      <c r="BD167" s="172">
        <f ca="1">(VLOOKUP(BD$72,INDIRECT($C$5&amp;"生成成长"),2))/((VLOOKUP($B167,INDIRECT($B$5&amp;"生成成长"),4))/(VLOOKUP(BD$72,INDIRECT($C$5&amp;"生成成长"),5))*(VLOOKUP($B$5,标准坦克设计!$B$24:$U$30,MATCH("对"&amp;LEFT($C$5,2)&amp;"输出",标准坦克设计!$B$23:$U$23,0)))*(VLOOKUP($B167,INDIRECT($B$5&amp;"生成成长"),3))*(VLOOKUP($B$5,标准坦克设计!$B$14:$K$20,9)/30))</f>
        <v>3.5209807977862062</v>
      </c>
      <c r="BE167" s="172">
        <f ca="1">(VLOOKUP(BE$72,INDIRECT($C$5&amp;"生成成长"),2))/((VLOOKUP($B167,INDIRECT($B$5&amp;"生成成长"),4))/(VLOOKUP(BE$72,INDIRECT($C$5&amp;"生成成长"),5))*(VLOOKUP($B$5,标准坦克设计!$B$24:$U$30,MATCH("对"&amp;LEFT($C$5,2)&amp;"输出",标准坦克设计!$B$23:$U$23,0)))*(VLOOKUP($B167,INDIRECT($B$5&amp;"生成成长"),3))*(VLOOKUP($B$5,标准坦克设计!$B$14:$K$20,9)/30))</f>
        <v>3.8758229905219834</v>
      </c>
      <c r="BF167" s="172">
        <f ca="1">(VLOOKUP(BF$72,INDIRECT($C$5&amp;"生成成长"),2))/((VLOOKUP($B167,INDIRECT($B$5&amp;"生成成长"),4))/(VLOOKUP(BF$72,INDIRECT($C$5&amp;"生成成长"),5))*(VLOOKUP($B$5,标准坦克设计!$B$24:$U$30,MATCH("对"&amp;LEFT($C$5,2)&amp;"输出",标准坦克设计!$B$23:$U$23,0)))*(VLOOKUP($B167,INDIRECT($B$5&amp;"生成成长"),3))*(VLOOKUP($B$5,标准坦克设计!$B$14:$K$20,9)/30))</f>
        <v>4.2476976085090774</v>
      </c>
      <c r="BG167" s="172">
        <f ca="1">(VLOOKUP(BG$72,INDIRECT($C$5&amp;"生成成长"),2))/((VLOOKUP($B167,INDIRECT($B$5&amp;"生成成长"),4))/(VLOOKUP(BG$72,INDIRECT($C$5&amp;"生成成长"),5))*(VLOOKUP($B$5,标准坦克设计!$B$24:$U$30,MATCH("对"&amp;LEFT($C$5,2)&amp;"输出",标准坦克设计!$B$23:$U$23,0)))*(VLOOKUP($B167,INDIRECT($B$5&amp;"生成成长"),3))*(VLOOKUP($B$5,标准坦克设计!$B$14:$K$20,9)/30))</f>
        <v>4.6366046517474899</v>
      </c>
      <c r="BH167" s="172">
        <f ca="1">(VLOOKUP(BH$72,INDIRECT($C$5&amp;"生成成长"),2))/((VLOOKUP($B167,INDIRECT($B$5&amp;"生成成长"),4))/(VLOOKUP(BH$72,INDIRECT($C$5&amp;"生成成长"),5))*(VLOOKUP($B$5,标准坦克设计!$B$24:$U$30,MATCH("对"&amp;LEFT($C$5,2)&amp;"输出",标准坦克设计!$B$23:$U$23,0)))*(VLOOKUP($B167,INDIRECT($B$5&amp;"生成成长"),3))*(VLOOKUP($B$5,标准坦克设计!$B$14:$K$20,9)/30))</f>
        <v>2.2411307201054309</v>
      </c>
      <c r="BI167" s="172">
        <f ca="1">(VLOOKUP(BI$72,INDIRECT($C$5&amp;"生成成长"),2))/((VLOOKUP($B167,INDIRECT($B$5&amp;"生成成长"),4))/(VLOOKUP(BI$72,INDIRECT($C$5&amp;"生成成长"),5))*(VLOOKUP($B$5,标准坦克设计!$B$24:$U$30,MATCH("对"&amp;LEFT($C$5,2)&amp;"输出",标准坦克设计!$B$23:$U$23,0)))*(VLOOKUP($B167,INDIRECT($B$5&amp;"生成成长"),3))*(VLOOKUP($B$5,标准坦克设计!$B$14:$K$20,9)/30))</f>
        <v>2.5259507201413482</v>
      </c>
      <c r="BJ167" s="172">
        <f ca="1">(VLOOKUP(BJ$72,INDIRECT($C$5&amp;"生成成长"),2))/((VLOOKUP($B167,INDIRECT($B$5&amp;"生成成长"),4))/(VLOOKUP(BJ$72,INDIRECT($C$5&amp;"生成成长"),5))*(VLOOKUP($B$5,标准坦克设计!$B$24:$U$30,MATCH("对"&amp;LEFT($C$5,2)&amp;"输出",标准坦克设计!$B$23:$U$23,0)))*(VLOOKUP($B167,INDIRECT($B$5&amp;"生成成长"),3))*(VLOOKUP($B$5,标准坦克设计!$B$14:$K$20,9)/30))</f>
        <v>2.8278031454285824</v>
      </c>
      <c r="BK167" s="172">
        <f ca="1">(VLOOKUP(BK$72,INDIRECT($C$5&amp;"生成成长"),2))/((VLOOKUP($B167,INDIRECT($B$5&amp;"生成成长"),4))/(VLOOKUP(BK$72,INDIRECT($C$5&amp;"生成成长"),5))*(VLOOKUP($B$5,标准坦克设计!$B$24:$U$30,MATCH("对"&amp;LEFT($C$5,2)&amp;"输出",标准坦克设计!$B$23:$U$23,0)))*(VLOOKUP($B167,INDIRECT($B$5&amp;"生成成长"),3))*(VLOOKUP($B$5,标准坦克设计!$B$14:$K$20,9)/30))</f>
        <v>3.1466879959671346</v>
      </c>
      <c r="BL167" s="172">
        <f ca="1">(VLOOKUP(BL$72,INDIRECT($C$5&amp;"生成成长"),2))/((VLOOKUP($B167,INDIRECT($B$5&amp;"生成成长"),4))/(VLOOKUP(BL$72,INDIRECT($C$5&amp;"生成成长"),5))*(VLOOKUP($B$5,标准坦克设计!$B$24:$U$30,MATCH("对"&amp;LEFT($C$5,2)&amp;"输出",标准坦克设计!$B$23:$U$23,0)))*(VLOOKUP($B167,INDIRECT($B$5&amp;"生成成长"),3))*(VLOOKUP($B$5,标准坦克设计!$B$14:$K$20,9)/30))</f>
        <v>3.482605271757004</v>
      </c>
      <c r="BM167" s="172">
        <f ca="1">(VLOOKUP(BM$72,INDIRECT($C$5&amp;"生成成长"),2))/((VLOOKUP($B167,INDIRECT($B$5&amp;"生成成长"),4))/(VLOOKUP(BM$72,INDIRECT($C$5&amp;"生成成长"),5))*(VLOOKUP($B$5,标准坦克设计!$B$24:$U$30,MATCH("对"&amp;LEFT($C$5,2)&amp;"输出",标准坦克设计!$B$23:$U$23,0)))*(VLOOKUP($B167,INDIRECT($B$5&amp;"生成成长"),3))*(VLOOKUP($B$5,标准坦克设计!$B$14:$K$20,9)/30))</f>
        <v>3.8355549727981897</v>
      </c>
      <c r="BN167" s="172">
        <f ca="1">(VLOOKUP(BN$72,INDIRECT($C$5&amp;"生成成长"),2))/((VLOOKUP($B167,INDIRECT($B$5&amp;"生成成长"),4))/(VLOOKUP(BN$72,INDIRECT($C$5&amp;"生成成长"),5))*(VLOOKUP($B$5,标准坦克设计!$B$24:$U$30,MATCH("对"&amp;LEFT($C$5,2)&amp;"输出",标准坦克设计!$B$23:$U$23,0)))*(VLOOKUP($B167,INDIRECT($B$5&amp;"生成成长"),3))*(VLOOKUP($B$5,标准坦克设计!$B$14:$K$20,9)/30))</f>
        <v>4.2055370990906935</v>
      </c>
      <c r="BO167" s="172">
        <f ca="1">(VLOOKUP(BO$72,INDIRECT($C$5&amp;"生成成长"),2))/((VLOOKUP($B167,INDIRECT($B$5&amp;"生成成长"),4))/(VLOOKUP(BO$72,INDIRECT($C$5&amp;"生成成长"),5))*(VLOOKUP($B$5,标准坦克设计!$B$24:$U$30,MATCH("对"&amp;LEFT($C$5,2)&amp;"输出",标准坦克设计!$B$23:$U$23,0)))*(VLOOKUP($B167,INDIRECT($B$5&amp;"生成成长"),3))*(VLOOKUP($B$5,标准坦克设计!$B$14:$K$20,9)/30))</f>
        <v>4.5925516506345145</v>
      </c>
      <c r="BP167" s="172">
        <f ca="1">(VLOOKUP(BP$72,INDIRECT($C$5&amp;"生成成长"),2))/((VLOOKUP($B167,INDIRECT($B$5&amp;"生成成长"),4))/(VLOOKUP(BP$72,INDIRECT($C$5&amp;"生成成长"),5))*(VLOOKUP($B$5,标准坦克设计!$B$24:$U$30,MATCH("对"&amp;LEFT($C$5,2)&amp;"输出",标准坦克设计!$B$23:$U$23,0)))*(VLOOKUP($B167,INDIRECT($B$5&amp;"生成成长"),3))*(VLOOKUP($B$5,标准坦克设计!$B$14:$K$20,9)/30))</f>
        <v>4.9965986274296537</v>
      </c>
      <c r="BQ167" s="172">
        <f ca="1">(VLOOKUP(BQ$72,INDIRECT($C$5&amp;"生成成长"),2))/((VLOOKUP($B167,INDIRECT($B$5&amp;"生成成长"),4))/(VLOOKUP(BQ$72,INDIRECT($C$5&amp;"生成成长"),5))*(VLOOKUP($B$5,标准坦克设计!$B$24:$U$30,MATCH("对"&amp;LEFT($C$5,2)&amp;"输出",标准坦克设计!$B$23:$U$23,0)))*(VLOOKUP($B167,INDIRECT($B$5&amp;"生成成长"),3))*(VLOOKUP($B$5,标准坦克设计!$B$14:$K$20,9)/30))</f>
        <v>5.4176780294761091</v>
      </c>
      <c r="BR167" s="172">
        <f ca="1">(VLOOKUP(BR$72,INDIRECT($C$5&amp;"生成成长"),2))/((VLOOKUP($B167,INDIRECT($B$5&amp;"生成成长"),4))/(VLOOKUP(BR$72,INDIRECT($C$5&amp;"生成成长"),5))*(VLOOKUP($B$5,标准坦克设计!$B$24:$U$30,MATCH("对"&amp;LEFT($C$5,2)&amp;"输出",标准坦克设计!$B$23:$U$23,0)))*(VLOOKUP($B167,INDIRECT($B$5&amp;"生成成长"),3))*(VLOOKUP($B$5,标准坦克设计!$B$14:$K$20,9)/30))</f>
        <v>5.9055203329706298</v>
      </c>
      <c r="BS167" s="172">
        <f ca="1">(VLOOKUP(BS$72,INDIRECT($C$5&amp;"生成成长"),2))/((VLOOKUP($B167,INDIRECT($B$5&amp;"生成成长"),4))/(VLOOKUP(BS$72,INDIRECT($C$5&amp;"生成成长"),5))*(VLOOKUP($B$5,标准坦克设计!$B$24:$U$30,MATCH("对"&amp;LEFT($C$5,2)&amp;"输出",标准坦克设计!$B$23:$U$23,0)))*(VLOOKUP($B167,INDIRECT($B$5&amp;"生成成长"),3))*(VLOOKUP($B$5,标准坦克设计!$B$14:$K$20,9)/30))</f>
        <v>6.4143903219606022</v>
      </c>
      <c r="BT167" s="172">
        <f ca="1">(VLOOKUP(BT$72,INDIRECT($C$5&amp;"生成成长"),2))/((VLOOKUP($B167,INDIRECT($B$5&amp;"生成成长"),4))/(VLOOKUP(BT$72,INDIRECT($C$5&amp;"生成成长"),5))*(VLOOKUP($B$5,标准坦克设计!$B$24:$U$30,MATCH("对"&amp;LEFT($C$5,2)&amp;"输出",标准坦克设计!$B$23:$U$23,0)))*(VLOOKUP($B167,INDIRECT($B$5&amp;"生成成长"),3))*(VLOOKUP($B$5,标准坦克设计!$B$14:$K$20,9)/30))</f>
        <v>6.9442879964460298</v>
      </c>
      <c r="BU167" s="172">
        <f ca="1">(VLOOKUP(BU$72,INDIRECT($C$5&amp;"生成成长"),2))/((VLOOKUP($B167,INDIRECT($B$5&amp;"生成成长"),4))/(VLOOKUP(BU$72,INDIRECT($C$5&amp;"生成成长"),5))*(VLOOKUP($B$5,标准坦克设计!$B$24:$U$30,MATCH("对"&amp;LEFT($C$5,2)&amp;"输出",标准坦克设计!$B$23:$U$23,0)))*(VLOOKUP($B167,INDIRECT($B$5&amp;"生成成长"),3))*(VLOOKUP($B$5,标准坦克设计!$B$14:$K$20,9)/30))</f>
        <v>7.4952133564269117</v>
      </c>
      <c r="BV167" s="172">
        <f ca="1">(VLOOKUP(BV$72,INDIRECT($C$5&amp;"生成成长"),2))/((VLOOKUP($B167,INDIRECT($B$5&amp;"生成成长"),4))/(VLOOKUP(BV$72,INDIRECT($C$5&amp;"生成成长"),5))*(VLOOKUP($B$5,标准坦克设计!$B$24:$U$30,MATCH("对"&amp;LEFT($C$5,2)&amp;"输出",标准坦克设计!$B$23:$U$23,0)))*(VLOOKUP($B167,INDIRECT($B$5&amp;"生成成长"),3))*(VLOOKUP($B$5,标准坦克设计!$B$14:$K$20,9)/30))</f>
        <v>8.067166401903247</v>
      </c>
      <c r="BW167" s="172">
        <f ca="1">(VLOOKUP(BW$72,INDIRECT($C$5&amp;"生成成长"),2))/((VLOOKUP($B167,INDIRECT($B$5&amp;"生成成长"),4))/(VLOOKUP(BW$72,INDIRECT($C$5&amp;"生成成长"),5))*(VLOOKUP($B$5,标准坦克设计!$B$24:$U$30,MATCH("对"&amp;LEFT($C$5,2)&amp;"输出",标准坦克设计!$B$23:$U$23,0)))*(VLOOKUP($B167,INDIRECT($B$5&amp;"生成成长"),3))*(VLOOKUP($B$5,标准坦克设计!$B$14:$K$20,9)/30))</f>
        <v>3.6765856704525626</v>
      </c>
      <c r="BX167" s="172">
        <f ca="1">(VLOOKUP(BX$72,INDIRECT($C$5&amp;"生成成长"),2))/((VLOOKUP($B167,INDIRECT($B$5&amp;"生成成长"),4))/(VLOOKUP(BX$72,INDIRECT($C$5&amp;"生成成长"),5))*(VLOOKUP($B$5,标准坦克设计!$B$24:$U$30,MATCH("对"&amp;LEFT($C$5,2)&amp;"输出",标准坦克设计!$B$23:$U$23,0)))*(VLOOKUP($B167,INDIRECT($B$5&amp;"生成成长"),3))*(VLOOKUP($B$5,标准坦克设计!$B$14:$K$20,9)/30))</f>
        <v>4.0803172319652692</v>
      </c>
      <c r="BY167" s="172">
        <f ca="1">(VLOOKUP(BY$72,INDIRECT($C$5&amp;"生成成长"),2))/((VLOOKUP($B167,INDIRECT($B$5&amp;"生成成长"),4))/(VLOOKUP(BY$72,INDIRECT($C$5&amp;"生成成长"),5))*(VLOOKUP($B$5,标准坦克设计!$B$24:$U$30,MATCH("对"&amp;LEFT($C$5,2)&amp;"输出",标准坦克设计!$B$23:$U$23,0)))*(VLOOKUP($B167,INDIRECT($B$5&amp;"生成成长"),3))*(VLOOKUP($B$5,标准坦克设计!$B$14:$K$20,9)/30))</f>
        <v>4.5050764789734288</v>
      </c>
      <c r="BZ167" s="172">
        <f ca="1">(VLOOKUP(BZ$72,INDIRECT($C$5&amp;"生成成长"),2))/((VLOOKUP($B167,INDIRECT($B$5&amp;"生成成长"),4))/(VLOOKUP(BZ$72,INDIRECT($C$5&amp;"生成成长"),5))*(VLOOKUP($B$5,标准坦克设计!$B$24:$U$30,MATCH("对"&amp;LEFT($C$5,2)&amp;"输出",标准坦克设计!$B$23:$U$23,0)))*(VLOOKUP($B167,INDIRECT($B$5&amp;"生成成长"),3))*(VLOOKUP($B$5,标准坦克设计!$B$14:$K$20,9)/30))</f>
        <v>4.9508634114770418</v>
      </c>
      <c r="CA167" s="172">
        <f ca="1">(VLOOKUP(CA$72,INDIRECT($C$5&amp;"生成成长"),2))/((VLOOKUP($B167,INDIRECT($B$5&amp;"生成成长"),4))/(VLOOKUP(CA$72,INDIRECT($C$5&amp;"生成成长"),5))*(VLOOKUP($B$5,标准坦克设计!$B$24:$U$30,MATCH("对"&amp;LEFT($C$5,2)&amp;"输出",标准坦克设计!$B$23:$U$23,0)))*(VLOOKUP($B167,INDIRECT($B$5&amp;"生成成长"),3))*(VLOOKUP($B$5,标准坦克设计!$B$14:$K$20,9)/30))</f>
        <v>5.4176780294761091</v>
      </c>
      <c r="CB167" s="172">
        <f ca="1">(VLOOKUP(CB$72,INDIRECT($C$5&amp;"生成成长"),2))/((VLOOKUP($B167,INDIRECT($B$5&amp;"生成成长"),4))/(VLOOKUP(CB$72,INDIRECT($C$5&amp;"生成成长"),5))*(VLOOKUP($B$5,标准坦克设计!$B$24:$U$30,MATCH("对"&amp;LEFT($C$5,2)&amp;"输出",标准坦克设计!$B$23:$U$23,0)))*(VLOOKUP($B167,INDIRECT($B$5&amp;"生成成长"),3))*(VLOOKUP($B$5,标准坦克设计!$B$14:$K$20,9)/30))</f>
        <v>5.9055203329706298</v>
      </c>
      <c r="CC167" s="172">
        <f ca="1">(VLOOKUP(CC$72,INDIRECT($C$5&amp;"生成成长"),2))/((VLOOKUP($B167,INDIRECT($B$5&amp;"生成成长"),4))/(VLOOKUP(CC$72,INDIRECT($C$5&amp;"生成成长"),5))*(VLOOKUP($B$5,标准坦克设计!$B$24:$U$30,MATCH("对"&amp;LEFT($C$5,2)&amp;"输出",标准坦克设计!$B$23:$U$23,0)))*(VLOOKUP($B167,INDIRECT($B$5&amp;"生成成长"),3))*(VLOOKUP($B$5,标准坦克设计!$B$14:$K$20,9)/30))</f>
        <v>6.4143903219606022</v>
      </c>
      <c r="CD167" s="172">
        <f ca="1">(VLOOKUP(CD$72,INDIRECT($C$5&amp;"生成成长"),2))/((VLOOKUP($B167,INDIRECT($B$5&amp;"生成成长"),4))/(VLOOKUP(CD$72,INDIRECT($C$5&amp;"生成成长"),5))*(VLOOKUP($B$5,标准坦克设计!$B$24:$U$30,MATCH("对"&amp;LEFT($C$5,2)&amp;"输出",标准坦克设计!$B$23:$U$23,0)))*(VLOOKUP($B167,INDIRECT($B$5&amp;"生成成长"),3))*(VLOOKUP($B$5,标准坦克设计!$B$14:$K$20,9)/30))</f>
        <v>6.9442879964460298</v>
      </c>
      <c r="CE167" s="172">
        <f ca="1">(VLOOKUP(CE$72,INDIRECT($C$5&amp;"生成成长"),2))/((VLOOKUP($B167,INDIRECT($B$5&amp;"生成成长"),4))/(VLOOKUP(CE$72,INDIRECT($C$5&amp;"生成成长"),5))*(VLOOKUP($B$5,标准坦克设计!$B$24:$U$30,MATCH("对"&amp;LEFT($C$5,2)&amp;"输出",标准坦克设计!$B$23:$U$23,0)))*(VLOOKUP($B167,INDIRECT($B$5&amp;"生成成长"),3))*(VLOOKUP($B$5,标准坦克设计!$B$14:$K$20,9)/30))</f>
        <v>7.4952133564269117</v>
      </c>
      <c r="CF167" s="172">
        <f ca="1">(VLOOKUP(CF$72,INDIRECT($C$5&amp;"生成成长"),2))/((VLOOKUP($B167,INDIRECT($B$5&amp;"生成成长"),4))/(VLOOKUP(CF$72,INDIRECT($C$5&amp;"生成成长"),5))*(VLOOKUP($B$5,标准坦克设计!$B$24:$U$30,MATCH("对"&amp;LEFT($C$5,2)&amp;"输出",标准坦克设计!$B$23:$U$23,0)))*(VLOOKUP($B167,INDIRECT($B$5&amp;"生成成长"),3))*(VLOOKUP($B$5,标准坦克设计!$B$14:$K$20,9)/30))</f>
        <v>8.067166401903247</v>
      </c>
      <c r="CG167" s="172">
        <f ca="1">(VLOOKUP(CG$72,INDIRECT($C$5&amp;"生成成长"),2))/((VLOOKUP($B167,INDIRECT($B$5&amp;"生成成长"),4))/(VLOOKUP(CG$72,INDIRECT($C$5&amp;"生成成长"),5))*(VLOOKUP($B$5,标准坦克设计!$B$24:$U$30,MATCH("对"&amp;LEFT($C$5,2)&amp;"输出",标准坦克设计!$B$23:$U$23,0)))*(VLOOKUP($B167,INDIRECT($B$5&amp;"生成成长"),3))*(VLOOKUP($B$5,标准坦克设计!$B$14:$K$20,9)/30))</f>
        <v>8.6601471328750357</v>
      </c>
      <c r="CH167" s="172">
        <f ca="1">(VLOOKUP(CH$72,INDIRECT($C$5&amp;"生成成长"),2))/((VLOOKUP($B167,INDIRECT($B$5&amp;"生成成长"),4))/(VLOOKUP(CH$72,INDIRECT($C$5&amp;"生成成长"),5))*(VLOOKUP($B$5,标准坦克设计!$B$24:$U$30,MATCH("对"&amp;LEFT($C$5,2)&amp;"输出",标准坦克设计!$B$23:$U$23,0)))*(VLOOKUP($B167,INDIRECT($B$5&amp;"生成成长"),3))*(VLOOKUP($B$5,标准坦克设计!$B$14:$K$20,9)/30))</f>
        <v>9.2741555493422752</v>
      </c>
      <c r="CI167" s="172">
        <f ca="1">(VLOOKUP(CI$72,INDIRECT($C$5&amp;"生成成长"),2))/((VLOOKUP($B167,INDIRECT($B$5&amp;"生成成长"),4))/(VLOOKUP(CI$72,INDIRECT($C$5&amp;"生成成长"),5))*(VLOOKUP($B$5,标准坦克设计!$B$24:$U$30,MATCH("对"&amp;LEFT($C$5,2)&amp;"输出",标准坦克设计!$B$23:$U$23,0)))*(VLOOKUP($B167,INDIRECT($B$5&amp;"生成成长"),3))*(VLOOKUP($B$5,标准坦克设计!$B$14:$K$20,9)/30))</f>
        <v>9.9738517842034913</v>
      </c>
      <c r="CJ167" s="172">
        <f ca="1">(VLOOKUP(CJ$72,INDIRECT($C$5&amp;"生成成长"),2))/((VLOOKUP($B167,INDIRECT($B$5&amp;"生成成长"),4))/(VLOOKUP(CJ$72,INDIRECT($C$5&amp;"生成成长"),5))*(VLOOKUP($B$5,标准坦克设计!$B$24:$U$30,MATCH("对"&amp;LEFT($C$5,2)&amp;"输出",标准坦克设计!$B$23:$U$23,0)))*(VLOOKUP($B167,INDIRECT($B$5&amp;"生成成长"),3))*(VLOOKUP($B$5,标准坦克设计!$B$14:$K$20,9)/30))</f>
        <v>10.698991518514202</v>
      </c>
      <c r="CK167" s="172">
        <f ca="1">(VLOOKUP(CK$72,INDIRECT($C$5&amp;"生成成长"),2))/((VLOOKUP($B167,INDIRECT($B$5&amp;"生成成长"),4))/(VLOOKUP(CK$72,INDIRECT($C$5&amp;"生成成长"),5))*(VLOOKUP($B$5,标准坦克设计!$B$24:$U$30,MATCH("对"&amp;LEFT($C$5,2)&amp;"输出",标准坦克设计!$B$23:$U$23,0)))*(VLOOKUP($B167,INDIRECT($B$5&amp;"生成成长"),3))*(VLOOKUP($B$5,标准坦克设计!$B$14:$K$20,9)/30))</f>
        <v>11.449574752274415</v>
      </c>
      <c r="CL167" s="172">
        <f ca="1">(VLOOKUP(CL$72,INDIRECT($C$5&amp;"生成成长"),2))/((VLOOKUP($B167,INDIRECT($B$5&amp;"生成成长"),4))/(VLOOKUP(CL$72,INDIRECT($C$5&amp;"生成成长"),5))*(VLOOKUP($B$5,标准坦克设计!$B$24:$U$30,MATCH("对"&amp;LEFT($C$5,2)&amp;"输出",标准坦克设计!$B$23:$U$23,0)))*(VLOOKUP($B167,INDIRECT($B$5&amp;"生成成长"),3))*(VLOOKUP($B$5,标准坦克设计!$B$14:$K$20,9)/30))</f>
        <v>12.225601485484123</v>
      </c>
      <c r="CM167" s="172">
        <f ca="1">(VLOOKUP(CM$72,INDIRECT($C$5&amp;"生成成长"),2))/((VLOOKUP($B167,INDIRECT($B$5&amp;"生成成长"),4))/(VLOOKUP(CM$72,INDIRECT($C$5&amp;"生成成长"),5))*(VLOOKUP($B$5,标准坦克设计!$B$24:$U$30,MATCH("对"&amp;LEFT($C$5,2)&amp;"输出",标准坦克设计!$B$23:$U$23,0)))*(VLOOKUP($B167,INDIRECT($B$5&amp;"生成成长"),3))*(VLOOKUP($B$5,标准坦克设计!$B$14:$K$20,9)/30))</f>
        <v>13.027071718143334</v>
      </c>
      <c r="CN167" s="172">
        <f ca="1">(VLOOKUP(CN$72,INDIRECT($C$5&amp;"生成成长"),2))/((VLOOKUP($B167,INDIRECT($B$5&amp;"生成成长"),4))/(VLOOKUP(CN$72,INDIRECT($C$5&amp;"生成成长"),5))*(VLOOKUP($B$5,标准坦克设计!$B$24:$U$30,MATCH("对"&amp;LEFT($C$5,2)&amp;"输出",标准坦克设计!$B$23:$U$23,0)))*(VLOOKUP($B167,INDIRECT($B$5&amp;"生成成长"),3))*(VLOOKUP($B$5,标准坦克设计!$B$14:$K$20,9)/30))</f>
        <v>13.85398545025204</v>
      </c>
      <c r="CO167" s="172">
        <f ca="1">(VLOOKUP(CO$72,INDIRECT($C$5&amp;"生成成长"),2))/((VLOOKUP($B167,INDIRECT($B$5&amp;"生成成长"),4))/(VLOOKUP(CO$72,INDIRECT($C$5&amp;"生成成长"),5))*(VLOOKUP($B$5,标准坦克设计!$B$24:$U$30,MATCH("对"&amp;LEFT($C$5,2)&amp;"输出",标准坦克设计!$B$23:$U$23,0)))*(VLOOKUP($B167,INDIRECT($B$5&amp;"生成成长"),3))*(VLOOKUP($B$5,标准坦克设计!$B$14:$K$20,9)/30))</f>
        <v>6.2083190041051592</v>
      </c>
      <c r="CP167" s="172">
        <f ca="1">(VLOOKUP(CP$72,INDIRECT($C$5&amp;"生成成长"),2))/((VLOOKUP($B167,INDIRECT($B$5&amp;"生成成长"),4))/(VLOOKUP(CP$72,INDIRECT($C$5&amp;"生成成长"),5))*(VLOOKUP($B$5,标准坦克设计!$B$24:$U$30,MATCH("对"&amp;LEFT($C$5,2)&amp;"输出",标准坦克设计!$B$23:$U$23,0)))*(VLOOKUP($B167,INDIRECT($B$5&amp;"生成成长"),3))*(VLOOKUP($B$5,标准坦克设计!$B$14:$K$20,9)/30))</f>
        <v>6.7831107871233804</v>
      </c>
      <c r="CQ167" s="172">
        <f ca="1">(VLOOKUP(CQ$72,INDIRECT($C$5&amp;"生成成长"),2))/((VLOOKUP($B167,INDIRECT($B$5&amp;"生成成长"),4))/(VLOOKUP(CQ$72,INDIRECT($C$5&amp;"生成成长"),5))*(VLOOKUP($B$5,标准坦克设计!$B$24:$U$30,MATCH("对"&amp;LEFT($C$5,2)&amp;"输出",标准坦克设计!$B$23:$U$23,0)))*(VLOOKUP($B167,INDIRECT($B$5&amp;"生成成长"),3))*(VLOOKUP($B$5,标准坦克设计!$B$14:$K$20,9)/30))</f>
        <v>7.3833460695910995</v>
      </c>
      <c r="CR167" s="172">
        <f ca="1">(VLOOKUP(CR$72,INDIRECT($C$5&amp;"生成成长"),2))/((VLOOKUP($B167,INDIRECT($B$5&amp;"生成成长"),4))/(VLOOKUP(CR$72,INDIRECT($C$5&amp;"生成成长"),5))*(VLOOKUP($B$5,标准坦克设计!$B$24:$U$30,MATCH("对"&amp;LEFT($C$5,2)&amp;"输出",标准坦克设计!$B$23:$U$23,0)))*(VLOOKUP($B167,INDIRECT($B$5&amp;"生成成长"),3))*(VLOOKUP($B$5,标准坦克设计!$B$14:$K$20,9)/30))</f>
        <v>8.0090248515083164</v>
      </c>
      <c r="CS167" s="172">
        <f ca="1">(VLOOKUP(CS$72,INDIRECT($C$5&amp;"生成成长"),2))/((VLOOKUP($B167,INDIRECT($B$5&amp;"生成成长"),4))/(VLOOKUP(CS$72,INDIRECT($C$5&amp;"生成成长"),5))*(VLOOKUP($B$5,标准坦克设计!$B$24:$U$30,MATCH("对"&amp;LEFT($C$5,2)&amp;"输出",标准坦克设计!$B$23:$U$23,0)))*(VLOOKUP($B167,INDIRECT($B$5&amp;"生成成长"),3))*(VLOOKUP($B$5,标准坦克设计!$B$14:$K$20,9)/30))</f>
        <v>8.6601471328750357</v>
      </c>
      <c r="CT167" s="172">
        <f ca="1">(VLOOKUP(CT$72,INDIRECT($C$5&amp;"生成成长"),2))/((VLOOKUP($B167,INDIRECT($B$5&amp;"生成成长"),4))/(VLOOKUP(CT$72,INDIRECT($C$5&amp;"生成成长"),5))*(VLOOKUP($B$5,标准坦克设计!$B$24:$U$30,MATCH("对"&amp;LEFT($C$5,2)&amp;"输出",标准坦克设计!$B$23:$U$23,0)))*(VLOOKUP($B167,INDIRECT($B$5&amp;"生成成长"),3))*(VLOOKUP($B$5,标准坦克设计!$B$14:$K$20,9)/30))</f>
        <v>9.336712913691251</v>
      </c>
      <c r="CU167" s="172">
        <f ca="1">(VLOOKUP(CU$72,INDIRECT($C$5&amp;"生成成长"),2))/((VLOOKUP($B167,INDIRECT($B$5&amp;"生成成长"),4))/(VLOOKUP(CU$72,INDIRECT($C$5&amp;"生成成长"),5))*(VLOOKUP($B$5,标准坦克设计!$B$24:$U$30,MATCH("对"&amp;LEFT($C$5,2)&amp;"输出",标准坦克设计!$B$23:$U$23,0)))*(VLOOKUP($B167,INDIRECT($B$5&amp;"生成成长"),3))*(VLOOKUP($B$5,标准坦克设计!$B$14:$K$20,9)/30))</f>
        <v>10.038722193956964</v>
      </c>
      <c r="CV167" s="172">
        <f ca="1">(VLOOKUP(CV$72,INDIRECT($C$5&amp;"生成成长"),2))/((VLOOKUP($B167,INDIRECT($B$5&amp;"生成成长"),4))/(VLOOKUP(CV$72,INDIRECT($C$5&amp;"生成成长"),5))*(VLOOKUP($B$5,标准坦克设计!$B$24:$U$30,MATCH("对"&amp;LEFT($C$5,2)&amp;"输出",标准坦克设计!$B$23:$U$23,0)))*(VLOOKUP($B167,INDIRECT($B$5&amp;"生成成长"),3))*(VLOOKUP($B$5,标准坦克设计!$B$14:$K$20,9)/30))</f>
        <v>10.766174973672177</v>
      </c>
      <c r="CW167" s="172">
        <f ca="1">(VLOOKUP(CW$72,INDIRECT($C$5&amp;"生成成长"),2))/((VLOOKUP($B167,INDIRECT($B$5&amp;"生成成长"),4))/(VLOOKUP(CW$72,INDIRECT($C$5&amp;"生成成长"),5))*(VLOOKUP($B$5,标准坦克设计!$B$24:$U$30,MATCH("对"&amp;LEFT($C$5,2)&amp;"输出",标准坦克设计!$B$23:$U$23,0)))*(VLOOKUP($B167,INDIRECT($B$5&amp;"生成成长"),3))*(VLOOKUP($B$5,标准坦克设计!$B$14:$K$20,9)/30))</f>
        <v>11.519071252836888</v>
      </c>
      <c r="CX167" s="172">
        <f ca="1">(VLOOKUP(CX$72,INDIRECT($C$5&amp;"生成成长"),2))/((VLOOKUP($B167,INDIRECT($B$5&amp;"生成成长"),4))/(VLOOKUP(CX$72,INDIRECT($C$5&amp;"生成成长"),5))*(VLOOKUP($B$5,标准坦克设计!$B$24:$U$30,MATCH("对"&amp;LEFT($C$5,2)&amp;"输出",标准坦克设计!$B$23:$U$23,0)))*(VLOOKUP($B167,INDIRECT($B$5&amp;"生成成长"),3))*(VLOOKUP($B$5,标准坦克设计!$B$14:$K$20,9)/30))</f>
        <v>12.297411031451098</v>
      </c>
      <c r="CY167" s="172">
        <f ca="1">(VLOOKUP(CY$72,INDIRECT($C$5&amp;"生成成长"),2))/((VLOOKUP($B167,INDIRECT($B$5&amp;"生成成长"),4))/(VLOOKUP(CY$72,INDIRECT($C$5&amp;"生成成长"),5))*(VLOOKUP($B$5,标准坦克设计!$B$24:$U$30,MATCH("对"&amp;LEFT($C$5,2)&amp;"输出",标准坦克设计!$B$23:$U$23,0)))*(VLOOKUP($B167,INDIRECT($B$5&amp;"生成成长"),3))*(VLOOKUP($B$5,标准坦克设计!$B$14:$K$20,9)/30))</f>
        <v>13.101194309514806</v>
      </c>
      <c r="CZ167" s="172">
        <f ca="1">(VLOOKUP(CZ$72,INDIRECT($C$5&amp;"生成成长"),2))/((VLOOKUP($B167,INDIRECT($B$5&amp;"生成成长"),4))/(VLOOKUP(CZ$72,INDIRECT($C$5&amp;"生成成长"),5))*(VLOOKUP($B$5,标准坦克设计!$B$24:$U$30,MATCH("对"&amp;LEFT($C$5,2)&amp;"输出",标准坦克设计!$B$23:$U$23,0)))*(VLOOKUP($B167,INDIRECT($B$5&amp;"生成成长"),3))*(VLOOKUP($B$5,标准坦克设计!$B$14:$K$20,9)/30))</f>
        <v>13.930421087028016</v>
      </c>
      <c r="DA167" s="172">
        <f ca="1">(VLOOKUP(DA$72,INDIRECT($C$5&amp;"生成成长"),2))/((VLOOKUP($B167,INDIRECT($B$5&amp;"生成成长"),4))/(VLOOKUP(DA$72,INDIRECT($C$5&amp;"生成成长"),5))*(VLOOKUP($B$5,标准坦克设计!$B$24:$U$30,MATCH("对"&amp;LEFT($C$5,2)&amp;"输出",标准坦克设计!$B$23:$U$23,0)))*(VLOOKUP($B167,INDIRECT($B$5&amp;"生成成长"),3))*(VLOOKUP($B$5,标准坦克设计!$B$14:$K$20,9)/30))</f>
        <v>14.78509136399072</v>
      </c>
      <c r="DB167" s="172">
        <f ca="1">(VLOOKUP(DB$72,INDIRECT($C$5&amp;"生成成长"),2))/((VLOOKUP($B167,INDIRECT($B$5&amp;"生成成长"),4))/(VLOOKUP(DB$72,INDIRECT($C$5&amp;"生成成长"),5))*(VLOOKUP($B$5,标准坦克设计!$B$24:$U$30,MATCH("对"&amp;LEFT($C$5,2)&amp;"输出",标准坦克设计!$B$23:$U$23,0)))*(VLOOKUP($B167,INDIRECT($B$5&amp;"生成成长"),3))*(VLOOKUP($B$5,标准坦克设计!$B$14:$K$20,9)/30))</f>
        <v>15.665205140402927</v>
      </c>
      <c r="DC167" s="172">
        <f ca="1">(VLOOKUP(DC$72,INDIRECT($C$5&amp;"生成成长"),2))/((VLOOKUP($B167,INDIRECT($B$5&amp;"生成成长"),4))/(VLOOKUP(DC$72,INDIRECT($C$5&amp;"生成成长"),5))*(VLOOKUP($B$5,标准坦克设计!$B$24:$U$30,MATCH("对"&amp;LEFT($C$5,2)&amp;"输出",标准坦克设计!$B$23:$U$23,0)))*(VLOOKUP($B167,INDIRECT($B$5&amp;"生成成长"),3))*(VLOOKUP($B$5,标准坦克设计!$B$14:$K$20,9)/30))</f>
        <v>16.654347466109058</v>
      </c>
      <c r="DD167" s="172">
        <f ca="1">(VLOOKUP(DD$72,INDIRECT($C$5&amp;"生成成长"),2))/((VLOOKUP($B167,INDIRECT($B$5&amp;"生成成长"),4))/(VLOOKUP(DD$72,INDIRECT($C$5&amp;"生成成长"),5))*(VLOOKUP($B$5,标准坦克设计!$B$24:$U$30,MATCH("对"&amp;LEFT($C$5,2)&amp;"输出",标准坦克设计!$B$23:$U$23,0)))*(VLOOKUP($B167,INDIRECT($B$5&amp;"生成成长"),3))*(VLOOKUP($B$5,标准坦克设计!$B$14:$K$20,9)/30))</f>
        <v>17.673769658928641</v>
      </c>
      <c r="DE167" s="172">
        <f ca="1">(VLOOKUP(DE$72,INDIRECT($C$5&amp;"生成成长"),2))/((VLOOKUP($B167,INDIRECT($B$5&amp;"生成成长"),4))/(VLOOKUP(DE$72,INDIRECT($C$5&amp;"生成成长"),5))*(VLOOKUP($B$5,标准坦克设计!$B$24:$U$30,MATCH("对"&amp;LEFT($C$5,2)&amp;"输出",标准坦克设计!$B$23:$U$23,0)))*(VLOOKUP($B167,INDIRECT($B$5&amp;"生成成长"),3))*(VLOOKUP($B$5,标准坦克设计!$B$14:$K$20,9)/30))</f>
        <v>18.723471718861681</v>
      </c>
      <c r="DF167" s="172">
        <f ca="1">(VLOOKUP(DF$72,INDIRECT($C$5&amp;"生成成长"),2))/((VLOOKUP($B167,INDIRECT($B$5&amp;"生成成长"),4))/(VLOOKUP(DF$72,INDIRECT($C$5&amp;"生成成长"),5))*(VLOOKUP($B$5,标准坦克设计!$B$24:$U$30,MATCH("对"&amp;LEFT($C$5,2)&amp;"输出",标准坦克设计!$B$23:$U$23,0)))*(VLOOKUP($B167,INDIRECT($B$5&amp;"生成成长"),3))*(VLOOKUP($B$5,标准坦克设计!$B$14:$K$20,9)/30))</f>
        <v>19.803453645908167</v>
      </c>
      <c r="DG167" s="172">
        <f ca="1">(VLOOKUP(DG$72,INDIRECT($C$5&amp;"生成成长"),2))/((VLOOKUP($B167,INDIRECT($B$5&amp;"生成成长"),4))/(VLOOKUP(DG$72,INDIRECT($C$5&amp;"生成成长"),5))*(VLOOKUP($B$5,标准坦克设计!$B$24:$U$30,MATCH("对"&amp;LEFT($C$5,2)&amp;"输出",标准坦克设计!$B$23:$U$23,0)))*(VLOOKUP($B167,INDIRECT($B$5&amp;"生成成长"),3))*(VLOOKUP($B$5,标准坦克设计!$B$14:$K$20,9)/30))</f>
        <v>20.913715440068113</v>
      </c>
      <c r="DH167" s="172">
        <f ca="1">(VLOOKUP(DH$72,INDIRECT($C$5&amp;"生成成长"),2))/((VLOOKUP($B167,INDIRECT($B$5&amp;"生成成长"),4))/(VLOOKUP(DH$72,INDIRECT($C$5&amp;"生成成长"),5))*(VLOOKUP($B$5,标准坦克设计!$B$24:$U$30,MATCH("对"&amp;LEFT($C$5,2)&amp;"输出",标准坦克设计!$B$23:$U$23,0)))*(VLOOKUP($B167,INDIRECT($B$5&amp;"生成成长"),3))*(VLOOKUP($B$5,标准坦克设计!$B$14:$K$20,9)/30))</f>
        <v>22.054257101341509</v>
      </c>
      <c r="DI167" s="172">
        <f ca="1">(VLOOKUP(DI$72,INDIRECT($C$5&amp;"生成成长"),2))/((VLOOKUP($B167,INDIRECT($B$5&amp;"生成成长"),4))/(VLOOKUP(DI$72,INDIRECT($C$5&amp;"生成成长"),5))*(VLOOKUP($B$5,标准坦克设计!$B$24:$U$30,MATCH("对"&amp;LEFT($C$5,2)&amp;"输出",标准坦克设计!$B$23:$U$23,0)))*(VLOOKUP($B167,INDIRECT($B$5&amp;"生成成长"),3))*(VLOOKUP($B$5,标准坦克设计!$B$14:$K$20,9)/30))</f>
        <v>23.225078629728358</v>
      </c>
      <c r="DJ167" s="172">
        <f ca="1">(VLOOKUP(DJ$72,INDIRECT($C$5&amp;"生成成长"),2))/((VLOOKUP($B167,INDIRECT($B$5&amp;"生成成长"),4))/(VLOOKUP(DJ$72,INDIRECT($C$5&amp;"生成成长"),5))*(VLOOKUP($B$5,标准坦克设计!$B$24:$U$30,MATCH("对"&amp;LEFT($C$5,2)&amp;"输出",标准坦克设计!$B$23:$U$23,0)))*(VLOOKUP($B167,INDIRECT($B$5&amp;"生成成长"),3))*(VLOOKUP($B$5,标准坦克设计!$B$14:$K$20,9)/30))</f>
        <v>2.3341782284228128</v>
      </c>
      <c r="DK167" s="172">
        <f ca="1">(VLOOKUP(DK$72,INDIRECT($C$5&amp;"生成成长"),2))/((VLOOKUP($B167,INDIRECT($B$5&amp;"生成成长"),4))/(VLOOKUP(DK$72,INDIRECT($C$5&amp;"生成成长"),5))*(VLOOKUP($B$5,标准坦克设计!$B$24:$U$30,MATCH("对"&amp;LEFT($C$5,2)&amp;"输出",标准坦克设计!$B$23:$U$23,0)))*(VLOOKUP($B167,INDIRECT($B$5&amp;"生成成长"),3))*(VLOOKUP($B$5,标准坦克设计!$B$14:$K$20,9)/30))</f>
        <v>2.6246757035425023</v>
      </c>
      <c r="DL167" s="172">
        <f ca="1">(VLOOKUP(DL$72,INDIRECT($C$5&amp;"生成成长"),2))/((VLOOKUP($B167,INDIRECT($B$5&amp;"生成成长"),4))/(VLOOKUP(DL$72,INDIRECT($C$5&amp;"生成成长"),5))*(VLOOKUP($B$5,标准坦克设计!$B$24:$U$30,MATCH("对"&amp;LEFT($C$5,2)&amp;"输出",标准坦克设计!$B$23:$U$23,0)))*(VLOOKUP($B167,INDIRECT($B$5&amp;"生成成长"),3))*(VLOOKUP($B$5,标准坦克设计!$B$14:$K$20,9)/30))</f>
        <v>2.9322056039135092</v>
      </c>
      <c r="DM167" s="172">
        <f ca="1">(VLOOKUP(DM$72,INDIRECT($C$5&amp;"生成成长"),2))/((VLOOKUP($B167,INDIRECT($B$5&amp;"生成成长"),4))/(VLOOKUP(DM$72,INDIRECT($C$5&amp;"生成成长"),5))*(VLOOKUP($B$5,标准坦克设计!$B$24:$U$30,MATCH("对"&amp;LEFT($C$5,2)&amp;"输出",标准坦克设计!$B$23:$U$23,0)))*(VLOOKUP($B167,INDIRECT($B$5&amp;"生成成长"),3))*(VLOOKUP($B$5,标准坦克设计!$B$14:$K$20,9)/30))</f>
        <v>3.2567679295358336</v>
      </c>
      <c r="DN167" s="172">
        <f ca="1">(VLOOKUP(DN$72,INDIRECT($C$5&amp;"生成成长"),2))/((VLOOKUP($B167,INDIRECT($B$5&amp;"生成成长"),4))/(VLOOKUP(DN$72,INDIRECT($C$5&amp;"生成成长"),5))*(VLOOKUP($B$5,标准坦克设计!$B$24:$U$30,MATCH("对"&amp;LEFT($C$5,2)&amp;"输出",标准坦克设计!$B$23:$U$23,0)))*(VLOOKUP($B167,INDIRECT($B$5&amp;"生成成长"),3))*(VLOOKUP($B$5,标准坦克设计!$B$14:$K$20,9)/30))</f>
        <v>3.5983626804094757</v>
      </c>
      <c r="DO167" s="172">
        <f ca="1">(VLOOKUP(DO$72,INDIRECT($C$5&amp;"生成成长"),2))/((VLOOKUP($B167,INDIRECT($B$5&amp;"生成成长"),4))/(VLOOKUP(DO$72,INDIRECT($C$5&amp;"生成成长"),5))*(VLOOKUP($B$5,标准坦克设计!$B$24:$U$30,MATCH("对"&amp;LEFT($C$5,2)&amp;"输出",标准坦克设计!$B$23:$U$23,0)))*(VLOOKUP($B167,INDIRECT($B$5&amp;"生成成长"),3))*(VLOOKUP($B$5,标准坦克设计!$B$14:$K$20,9)/30))</f>
        <v>3.9569898565344341</v>
      </c>
      <c r="DP167" s="172">
        <f ca="1">(VLOOKUP(DP$72,INDIRECT($C$5&amp;"生成成长"),2))/((VLOOKUP($B167,INDIRECT($B$5&amp;"生成成长"),4))/(VLOOKUP(DP$72,INDIRECT($C$5&amp;"生成成长"),5))*(VLOOKUP($B$5,标准坦克设计!$B$24:$U$30,MATCH("对"&amp;LEFT($C$5,2)&amp;"输出",标准坦克设计!$B$23:$U$23,0)))*(VLOOKUP($B167,INDIRECT($B$5&amp;"生成成长"),3))*(VLOOKUP($B$5,标准坦克设计!$B$14:$K$20,9)/30))</f>
        <v>4.3326494579107111</v>
      </c>
      <c r="DQ167" s="172">
        <f ca="1">(VLOOKUP(DQ$72,INDIRECT($C$5&amp;"生成成长"),2))/((VLOOKUP($B167,INDIRECT($B$5&amp;"生成成长"),4))/(VLOOKUP(DQ$72,INDIRECT($C$5&amp;"生成成长"),5))*(VLOOKUP($B$5,标准坦克设计!$B$24:$U$30,MATCH("对"&amp;LEFT($C$5,2)&amp;"输出",标准坦克设计!$B$23:$U$23,0)))*(VLOOKUP($B167,INDIRECT($B$5&amp;"生成成长"),3))*(VLOOKUP($B$5,标准坦克设计!$B$14:$K$20,9)/30))</f>
        <v>4.7253414845383039</v>
      </c>
      <c r="DR167" s="172">
        <f ca="1">(VLOOKUP(DR$72,INDIRECT($C$5&amp;"生成成长"),2))/((VLOOKUP($B167,INDIRECT($B$5&amp;"生成成长"),4))/(VLOOKUP(DR$72,INDIRECT($C$5&amp;"生成成长"),5))*(VLOOKUP($B$5,标准坦克设计!$B$24:$U$30,MATCH("对"&amp;LEFT($C$5,2)&amp;"输出",标准坦克设计!$B$23:$U$23,0)))*(VLOOKUP($B167,INDIRECT($B$5&amp;"生成成长"),3))*(VLOOKUP($B$5,标准坦克设计!$B$14:$K$20,9)/30))</f>
        <v>5.1350659364172149</v>
      </c>
      <c r="DS167" s="172">
        <f ca="1">(VLOOKUP(DS$72,INDIRECT($C$5&amp;"生成成长"),2))/((VLOOKUP($B167,INDIRECT($B$5&amp;"生成成长"),4))/(VLOOKUP(DS$72,INDIRECT($C$5&amp;"生成成长"),5))*(VLOOKUP($B$5,标准坦克设计!$B$24:$U$30,MATCH("对"&amp;LEFT($C$5,2)&amp;"输出",标准坦克设计!$B$23:$U$23,0)))*(VLOOKUP($B167,INDIRECT($B$5&amp;"生成成长"),3))*(VLOOKUP($B$5,标准坦克设计!$B$14:$K$20,9)/30))</f>
        <v>5.561822813547443</v>
      </c>
      <c r="DT167" s="172">
        <f ca="1">(VLOOKUP(DT$72,INDIRECT($C$5&amp;"生成成长"),2))/((VLOOKUP($B167,INDIRECT($B$5&amp;"生成成长"),4))/(VLOOKUP(DT$72,INDIRECT($C$5&amp;"生成成长"),5))*(VLOOKUP($B$5,标准坦克设计!$B$24:$U$30,MATCH("对"&amp;LEFT($C$5,2)&amp;"输出",标准坦克设计!$B$23:$U$23,0)))*(VLOOKUP($B167,INDIRECT($B$5&amp;"生成成长"),3))*(VLOOKUP($B$5,标准坦克设计!$B$14:$K$20,9)/30))</f>
        <v>6.1065450063071651</v>
      </c>
      <c r="DU167" s="172">
        <f ca="1">(VLOOKUP(DU$72,INDIRECT($C$5&amp;"生成成长"),2))/((VLOOKUP($B167,INDIRECT($B$5&amp;"生成成长"),4))/(VLOOKUP(DU$72,INDIRECT($C$5&amp;"生成成长"),5))*(VLOOKUP($B$5,标准坦克设计!$B$24:$U$30,MATCH("对"&amp;LEFT($C$5,2)&amp;"输出",标准坦克设计!$B$23:$U$23,0)))*(VLOOKUP($B167,INDIRECT($B$5&amp;"生成成长"),3))*(VLOOKUP($B$5,标准坦克设计!$B$14:$K$20,9)/30))</f>
        <v>6.6767106985163851</v>
      </c>
      <c r="DV167" s="172">
        <f ca="1">(VLOOKUP(DV$72,INDIRECT($C$5&amp;"生成成长"),2))/((VLOOKUP($B167,INDIRECT($B$5&amp;"生成成长"),4))/(VLOOKUP(DV$72,INDIRECT($C$5&amp;"生成成长"),5))*(VLOOKUP($B$5,标准坦克设计!$B$24:$U$30,MATCH("对"&amp;LEFT($C$5,2)&amp;"输出",标准坦克设计!$B$23:$U$23,0)))*(VLOOKUP($B167,INDIRECT($B$5&amp;"生成成长"),3))*(VLOOKUP($B$5,标准坦克设计!$B$14:$K$20,9)/30))</f>
        <v>7.2723198901751065</v>
      </c>
      <c r="DW167" s="172">
        <f ca="1">(VLOOKUP(DW$72,INDIRECT($C$5&amp;"生成成长"),2))/((VLOOKUP($B167,INDIRECT($B$5&amp;"生成成长"),4))/(VLOOKUP(DW$72,INDIRECT($C$5&amp;"生成成长"),5))*(VLOOKUP($B$5,标准坦克设计!$B$24:$U$30,MATCH("对"&amp;LEFT($C$5,2)&amp;"输出",标准坦克设计!$B$23:$U$23,0)))*(VLOOKUP($B167,INDIRECT($B$5&amp;"生成成长"),3))*(VLOOKUP($B$5,标准坦克设计!$B$14:$K$20,9)/30))</f>
        <v>7.8933725812833222</v>
      </c>
      <c r="DX167" s="172">
        <f ca="1">(VLOOKUP(DX$72,INDIRECT($C$5&amp;"生成成长"),2))/((VLOOKUP($B167,INDIRECT($B$5&amp;"生成成长"),4))/(VLOOKUP(DX$72,INDIRECT($C$5&amp;"生成成长"),5))*(VLOOKUP($B$5,标准坦克设计!$B$24:$U$30,MATCH("对"&amp;LEFT($C$5,2)&amp;"输出",标准坦克设计!$B$23:$U$23,0)))*(VLOOKUP($B167,INDIRECT($B$5&amp;"生成成长"),3))*(VLOOKUP($B$5,标准坦克设计!$B$14:$K$20,9)/30))</f>
        <v>8.5398687718410393</v>
      </c>
      <c r="DY167" s="172">
        <f ca="1">(VLOOKUP(DY$72,INDIRECT($C$5&amp;"生成成长"),2))/((VLOOKUP($B167,INDIRECT($B$5&amp;"生成成长"),4))/(VLOOKUP(DY$72,INDIRECT($C$5&amp;"生成成长"),5))*(VLOOKUP($B$5,标准坦克设计!$B$24:$U$30,MATCH("对"&amp;LEFT($C$5,2)&amp;"输出",标准坦克设计!$B$23:$U$23,0)))*(VLOOKUP($B167,INDIRECT($B$5&amp;"生成成长"),3))*(VLOOKUP($B$5,标准坦克设计!$B$14:$K$20,9)/30))</f>
        <v>3.8355549727981897</v>
      </c>
      <c r="DZ167" s="172">
        <f ca="1">(VLOOKUP(DZ$72,INDIRECT($C$5&amp;"生成成长"),2))/((VLOOKUP($B167,INDIRECT($B$5&amp;"生成成长"),4))/(VLOOKUP(DZ$72,INDIRECT($C$5&amp;"生成成长"),5))*(VLOOKUP($B$5,标准坦克设计!$B$24:$U$30,MATCH("对"&amp;LEFT($C$5,2)&amp;"输出",标准坦克设计!$B$23:$U$23,0)))*(VLOOKUP($B167,INDIRECT($B$5&amp;"生成成长"),3))*(VLOOKUP($B$5,标准坦克设计!$B$14:$K$20,9)/30))</f>
        <v>4.2476976085090774</v>
      </c>
      <c r="EA167" s="172">
        <f ca="1">(VLOOKUP(EA$72,INDIRECT($C$5&amp;"生成成长"),2))/((VLOOKUP($B167,INDIRECT($B$5&amp;"生成成长"),4))/(VLOOKUP(EA$72,INDIRECT($C$5&amp;"生成成长"),5))*(VLOOKUP($B$5,标准坦克设计!$B$24:$U$30,MATCH("对"&amp;LEFT($C$5,2)&amp;"输出",标准坦克设计!$B$23:$U$23,0)))*(VLOOKUP($B167,INDIRECT($B$5&amp;"生成成长"),3))*(VLOOKUP($B$5,标准坦克设计!$B$14:$K$20,9)/30))</f>
        <v>4.6808679297154203</v>
      </c>
      <c r="EB167" s="172">
        <f ca="1">(VLOOKUP(EB$72,INDIRECT($C$5&amp;"生成成长"),2))/((VLOOKUP($B167,INDIRECT($B$5&amp;"生成成长"),4))/(VLOOKUP(EB$72,INDIRECT($C$5&amp;"生成成长"),5))*(VLOOKUP($B$5,标准坦克设计!$B$24:$U$30,MATCH("对"&amp;LEFT($C$5,2)&amp;"输出",标准坦克设计!$B$23:$U$23,0)))*(VLOOKUP($B167,INDIRECT($B$5&amp;"生成成长"),3))*(VLOOKUP($B$5,标准坦克设计!$B$14:$K$20,9)/30))</f>
        <v>5.1350659364172149</v>
      </c>
      <c r="EC167" s="172">
        <f ca="1">(VLOOKUP(EC$72,INDIRECT($C$5&amp;"生成成长"),2))/((VLOOKUP($B167,INDIRECT($B$5&amp;"生成成长"),4))/(VLOOKUP(EC$72,INDIRECT($C$5&amp;"生成成长"),5))*(VLOOKUP($B$5,标准坦克设计!$B$24:$U$30,MATCH("对"&amp;LEFT($C$5,2)&amp;"输出",标准坦克设计!$B$23:$U$23,0)))*(VLOOKUP($B167,INDIRECT($B$5&amp;"生成成长"),3))*(VLOOKUP($B$5,标准坦克设计!$B$14:$K$20,9)/30))</f>
        <v>5.6102916286144628</v>
      </c>
      <c r="ED167" s="172">
        <f ca="1">(VLOOKUP(ED$72,INDIRECT($C$5&amp;"生成成长"),2))/((VLOOKUP($B167,INDIRECT($B$5&amp;"生成成长"),4))/(VLOOKUP(ED$72,INDIRECT($C$5&amp;"生成成长"),5))*(VLOOKUP($B$5,标准坦克设计!$B$24:$U$30,MATCH("对"&amp;LEFT($C$5,2)&amp;"输出",标准坦克设计!$B$23:$U$23,0)))*(VLOOKUP($B167,INDIRECT($B$5&amp;"生成成长"),3))*(VLOOKUP($B$5,标准坦克设计!$B$14:$K$20,9)/30))</f>
        <v>6.1065450063071651</v>
      </c>
      <c r="EE167" s="172">
        <f ca="1">(VLOOKUP(EE$72,INDIRECT($C$5&amp;"生成成长"),2))/((VLOOKUP($B167,INDIRECT($B$5&amp;"生成成长"),4))/(VLOOKUP(EE$72,INDIRECT($C$5&amp;"生成成长"),5))*(VLOOKUP($B$5,标准坦克设计!$B$24:$U$30,MATCH("对"&amp;LEFT($C$5,2)&amp;"输出",标准坦克设计!$B$23:$U$23,0)))*(VLOOKUP($B167,INDIRECT($B$5&amp;"生成成长"),3))*(VLOOKUP($B$5,标准坦克设计!$B$14:$K$20,9)/30))</f>
        <v>6.623826069495319</v>
      </c>
      <c r="EF167" s="172">
        <f ca="1">(VLOOKUP(EF$72,INDIRECT($C$5&amp;"生成成长"),2))/((VLOOKUP($B167,INDIRECT($B$5&amp;"生成成长"),4))/(VLOOKUP(EF$72,INDIRECT($C$5&amp;"生成成长"),5))*(VLOOKUP($B$5,标准坦克设计!$B$24:$U$30,MATCH("对"&amp;LEFT($C$5,2)&amp;"输出",标准坦克设计!$B$23:$U$23,0)))*(VLOOKUP($B167,INDIRECT($B$5&amp;"生成成长"),3))*(VLOOKUP($B$5,标准坦克设计!$B$14:$K$20,9)/30))</f>
        <v>7.1621348181789291</v>
      </c>
      <c r="EG167" s="172">
        <f ca="1">(VLOOKUP(EG$72,INDIRECT($C$5&amp;"生成成长"),2))/((VLOOKUP($B167,INDIRECT($B$5&amp;"生成成长"),4))/(VLOOKUP(EG$72,INDIRECT($C$5&amp;"生成成长"),5))*(VLOOKUP($B$5,标准坦克设计!$B$24:$U$30,MATCH("对"&amp;LEFT($C$5,2)&amp;"输出",标准坦克设计!$B$23:$U$23,0)))*(VLOOKUP($B167,INDIRECT($B$5&amp;"生成成长"),3))*(VLOOKUP($B$5,标准坦克设计!$B$14:$K$20,9)/30))</f>
        <v>7.7214712523579907</v>
      </c>
      <c r="EH167" s="172">
        <f ca="1">(VLOOKUP(EH$72,INDIRECT($C$5&amp;"生成成长"),2))/((VLOOKUP($B167,INDIRECT($B$5&amp;"生成成长"),4))/(VLOOKUP(EH$72,INDIRECT($C$5&amp;"生成成长"),5))*(VLOOKUP($B$5,标准坦克设计!$B$24:$U$30,MATCH("对"&amp;LEFT($C$5,2)&amp;"输出",标准坦克设计!$B$23:$U$23,0)))*(VLOOKUP($B167,INDIRECT($B$5&amp;"生成成长"),3))*(VLOOKUP($B$5,标准坦克设计!$B$14:$K$20,9)/30))</f>
        <v>8.3018353720325067</v>
      </c>
      <c r="EI167" s="172">
        <f ca="1">(VLOOKUP(EI$72,INDIRECT($C$5&amp;"生成成长"),2))/((VLOOKUP($B167,INDIRECT($B$5&amp;"生成成长"),4))/(VLOOKUP(EI$72,INDIRECT($C$5&amp;"生成成长"),5))*(VLOOKUP($B$5,标准坦克设计!$B$24:$U$30,MATCH("对"&amp;LEFT($C$5,2)&amp;"输出",标准坦克设计!$B$23:$U$23,0)))*(VLOOKUP($B167,INDIRECT($B$5&amp;"生成成长"),3))*(VLOOKUP($B$5,标准坦克设计!$B$14:$K$20,9)/30))</f>
        <v>8.903227177202476</v>
      </c>
      <c r="EJ167" s="172">
        <f ca="1">(VLOOKUP(EJ$72,INDIRECT($C$5&amp;"生成成长"),2))/((VLOOKUP($B167,INDIRECT($B$5&amp;"生成成长"),4))/(VLOOKUP(EJ$72,INDIRECT($C$5&amp;"生成成长"),5))*(VLOOKUP($B$5,标准坦克设计!$B$24:$U$30,MATCH("对"&amp;LEFT($C$5,2)&amp;"输出",标准坦克设计!$B$23:$U$23,0)))*(VLOOKUP($B167,INDIRECT($B$5&amp;"生成成长"),3))*(VLOOKUP($B$5,标准坦克设计!$B$14:$K$20,9)/30))</f>
        <v>9.5256466678678997</v>
      </c>
      <c r="EK167" s="172">
        <f ca="1">(VLOOKUP(EK$72,INDIRECT($C$5&amp;"生成成长"),2))/((VLOOKUP($B167,INDIRECT($B$5&amp;"生成成长"),4))/(VLOOKUP(EK$72,INDIRECT($C$5&amp;"生成成长"),5))*(VLOOKUP($B$5,标准坦克设计!$B$24:$U$30,MATCH("对"&amp;LEFT($C$5,2)&amp;"输出",标准坦克设计!$B$23:$U$23,0)))*(VLOOKUP($B167,INDIRECT($B$5&amp;"生成成长"),3))*(VLOOKUP($B$5,标准坦克设计!$B$14:$K$20,9)/30))</f>
        <v>10.300306601520406</v>
      </c>
      <c r="EL167" s="172">
        <f ca="1">(VLOOKUP(EL$72,INDIRECT($C$5&amp;"生成成长"),2))/((VLOOKUP($B167,INDIRECT($B$5&amp;"生成成长"),4))/(VLOOKUP(EL$72,INDIRECT($C$5&amp;"生成成长"),5))*(VLOOKUP($B$5,标准坦克设计!$B$24:$U$30,MATCH("对"&amp;LEFT($C$5,2)&amp;"输出",标准坦克设计!$B$23:$U$23,0)))*(VLOOKUP($B167,INDIRECT($B$5&amp;"生成成长"),3))*(VLOOKUP($B$5,标准坦克设计!$B$14:$K$20,9)/30))</f>
        <v>11.105246402286362</v>
      </c>
      <c r="EM167" s="172">
        <f ca="1">(VLOOKUP(EM$72,INDIRECT($C$5&amp;"生成成长"),2))/((VLOOKUP($B167,INDIRECT($B$5&amp;"生成成长"),4))/(VLOOKUP(EM$72,INDIRECT($C$5&amp;"生成成长"),5))*(VLOOKUP($B$5,标准坦克设计!$B$24:$U$30,MATCH("对"&amp;LEFT($C$5,2)&amp;"输出",标准坦克设计!$B$23:$U$23,0)))*(VLOOKUP($B167,INDIRECT($B$5&amp;"生成成长"),3))*(VLOOKUP($B$5,标准坦克设计!$B$14:$K$20,9)/30))</f>
        <v>11.940466070165774</v>
      </c>
      <c r="EN167" s="172">
        <f ca="1">(VLOOKUP(EN$72,INDIRECT($C$5&amp;"生成成长"),2))/((VLOOKUP($B167,INDIRECT($B$5&amp;"生成成长"),4))/(VLOOKUP(EN$72,INDIRECT($C$5&amp;"生成成长"),5))*(VLOOKUP($B$5,标准坦克设计!$B$24:$U$30,MATCH("对"&amp;LEFT($C$5,2)&amp;"输出",标准坦克设计!$B$23:$U$23,0)))*(VLOOKUP($B167,INDIRECT($B$5&amp;"生成成长"),3))*(VLOOKUP($B$5,标准坦克设计!$B$14:$K$20,9)/30))</f>
        <v>12.80596560515864</v>
      </c>
      <c r="EO167" s="172">
        <f ca="1">(VLOOKUP(EO$72,INDIRECT($C$5&amp;"生成成长"),2))/((VLOOKUP($B167,INDIRECT($B$5&amp;"生成成长"),4))/(VLOOKUP(EO$72,INDIRECT($C$5&amp;"生成成长"),5))*(VLOOKUP($B$5,标准坦克设计!$B$24:$U$30,MATCH("对"&amp;LEFT($C$5,2)&amp;"输出",标准坦克设计!$B$23:$U$23,0)))*(VLOOKUP($B167,INDIRECT($B$5&amp;"生成成长"),3))*(VLOOKUP($B$5,标准坦克设计!$B$14:$K$20,9)/30))</f>
        <v>13.701745007264959</v>
      </c>
      <c r="EP167" s="172">
        <f ca="1">(VLOOKUP(EP$72,INDIRECT($C$5&amp;"生成成长"),2))/((VLOOKUP($B167,INDIRECT($B$5&amp;"生成成长"),4))/(VLOOKUP(EP$72,INDIRECT($C$5&amp;"生成成长"),5))*(VLOOKUP($B$5,标准坦克设计!$B$24:$U$30,MATCH("对"&amp;LEFT($C$5,2)&amp;"输出",标准坦克设计!$B$23:$U$23,0)))*(VLOOKUP($B167,INDIRECT($B$5&amp;"生成成长"),3))*(VLOOKUP($B$5,标准坦克设计!$B$14:$K$20,9)/30))</f>
        <v>14.62780427648473</v>
      </c>
      <c r="EQ167" s="172">
        <f ca="1">(VLOOKUP(EQ$72,INDIRECT($C$5&amp;"生成成长"),2))/((VLOOKUP($B167,INDIRECT($B$5&amp;"生成成长"),4))/(VLOOKUP(EQ$72,INDIRECT($C$5&amp;"生成成长"),5))*(VLOOKUP($B$5,标准坦克设计!$B$24:$U$30,MATCH("对"&amp;LEFT($C$5,2)&amp;"输出",标准坦克设计!$B$23:$U$23,0)))*(VLOOKUP($B167,INDIRECT($B$5&amp;"生成成长"),3))*(VLOOKUP($B$5,标准坦克设计!$B$14:$K$20,9)/30))</f>
        <v>6.46643384356185</v>
      </c>
      <c r="ER167" s="172">
        <f ca="1">(VLOOKUP(ER$72,INDIRECT($C$5&amp;"生成成长"),2))/((VLOOKUP($B167,INDIRECT($B$5&amp;"生成成长"),4))/(VLOOKUP(ER$72,INDIRECT($C$5&amp;"生成成长"),5))*(VLOOKUP($B$5,标准坦克设计!$B$24:$U$30,MATCH("对"&amp;LEFT($C$5,2)&amp;"输出",标准坦克设计!$B$23:$U$23,0)))*(VLOOKUP($B167,INDIRECT($B$5&amp;"生成成长"),3))*(VLOOKUP($B$5,标准坦克设计!$B$14:$K$20,9)/30))</f>
        <v>7.0527908536025716</v>
      </c>
      <c r="ES167" s="172">
        <f ca="1">(VLOOKUP(ES$72,INDIRECT($C$5&amp;"生成成长"),2))/((VLOOKUP($B167,INDIRECT($B$5&amp;"生成成长"),4))/(VLOOKUP(ES$72,INDIRECT($C$5&amp;"生成成长"),5))*(VLOOKUP($B$5,标准坦克设计!$B$24:$U$30,MATCH("对"&amp;LEFT($C$5,2)&amp;"输出",标准坦克设计!$B$23:$U$23,0)))*(VLOOKUP($B167,INDIRECT($B$5&amp;"生成成长"),3))*(VLOOKUP($B$5,标准坦克设计!$B$14:$K$20,9)/30))</f>
        <v>7.6645913630927884</v>
      </c>
      <c r="ET167" s="172">
        <f ca="1">(VLOOKUP(ET$72,INDIRECT($C$5&amp;"生成成长"),2))/((VLOOKUP($B167,INDIRECT($B$5&amp;"生成成长"),4))/(VLOOKUP(ET$72,INDIRECT($C$5&amp;"生成成长"),5))*(VLOOKUP($B$5,标准坦克设计!$B$24:$U$30,MATCH("对"&amp;LEFT($C$5,2)&amp;"输出",标准坦克设计!$B$23:$U$23,0)))*(VLOOKUP($B167,INDIRECT($B$5&amp;"生成成长"),3))*(VLOOKUP($B$5,标准坦克设计!$B$14:$K$20,9)/30))</f>
        <v>8.3018353720325067</v>
      </c>
      <c r="EU167" s="172">
        <f ca="1">(VLOOKUP(EU$72,INDIRECT($C$5&amp;"生成成长"),2))/((VLOOKUP($B167,INDIRECT($B$5&amp;"生成成长"),4))/(VLOOKUP(EU$72,INDIRECT($C$5&amp;"生成成长"),5))*(VLOOKUP($B$5,标准坦克设计!$B$24:$U$30,MATCH("对"&amp;LEFT($C$5,2)&amp;"输出",标准坦克设计!$B$23:$U$23,0)))*(VLOOKUP($B167,INDIRECT($B$5&amp;"生成成长"),3))*(VLOOKUP($B$5,标准坦克设计!$B$14:$K$20,9)/30))</f>
        <v>8.9645228804217236</v>
      </c>
      <c r="EV167" s="172">
        <f ca="1">(VLOOKUP(EV$72,INDIRECT($C$5&amp;"生成成长"),2))/((VLOOKUP($B167,INDIRECT($B$5&amp;"生成成长"),4))/(VLOOKUP(EV$72,INDIRECT($C$5&amp;"生成成长"),5))*(VLOOKUP($B$5,标准坦克设计!$B$24:$U$30,MATCH("对"&amp;LEFT($C$5,2)&amp;"输出",标准坦克设计!$B$23:$U$23,0)))*(VLOOKUP($B167,INDIRECT($B$5&amp;"生成成长"),3))*(VLOOKUP($B$5,标准坦克设计!$B$14:$K$20,9)/30))</f>
        <v>9.6526538882604367</v>
      </c>
      <c r="EW167" s="172">
        <f ca="1">(VLOOKUP(EW$72,INDIRECT($C$5&amp;"生成成长"),2))/((VLOOKUP($B167,INDIRECT($B$5&amp;"生成成长"),4))/(VLOOKUP(EW$72,INDIRECT($C$5&amp;"生成成长"),5))*(VLOOKUP($B$5,标准坦克设计!$B$24:$U$30,MATCH("对"&amp;LEFT($C$5,2)&amp;"输出",标准坦克设计!$B$23:$U$23,0)))*(VLOOKUP($B167,INDIRECT($B$5&amp;"生成成长"),3))*(VLOOKUP($B$5,标准坦克设计!$B$14:$K$20,9)/30))</f>
        <v>10.366228395548653</v>
      </c>
      <c r="EX167" s="172">
        <f ca="1">(VLOOKUP(EX$72,INDIRECT($C$5&amp;"生成成长"),2))/((VLOOKUP($B167,INDIRECT($B$5&amp;"生成成长"),4))/(VLOOKUP(EX$72,INDIRECT($C$5&amp;"生成成长"),5))*(VLOOKUP($B$5,标准坦克设计!$B$24:$U$30,MATCH("对"&amp;LEFT($C$5,2)&amp;"输出",标准坦克设计!$B$23:$U$23,0)))*(VLOOKUP($B167,INDIRECT($B$5&amp;"生成成长"),3))*(VLOOKUP($B$5,标准坦克设计!$B$14:$K$20,9)/30))</f>
        <v>11.105246402286362</v>
      </c>
      <c r="EY167" s="172">
        <f ca="1">(VLOOKUP(EY$72,INDIRECT($C$5&amp;"生成成长"),2))/((VLOOKUP($B167,INDIRECT($B$5&amp;"生成成长"),4))/(VLOOKUP(EY$72,INDIRECT($C$5&amp;"生成成长"),5))*(VLOOKUP($B$5,标准坦克设计!$B$24:$U$30,MATCH("对"&amp;LEFT($C$5,2)&amp;"输出",标准坦克设计!$B$23:$U$23,0)))*(VLOOKUP($B167,INDIRECT($B$5&amp;"生成成长"),3))*(VLOOKUP($B$5,标准坦克设计!$B$14:$K$20,9)/30))</f>
        <v>11.869707908473575</v>
      </c>
      <c r="EZ167" s="172">
        <f ca="1">(VLOOKUP(EZ$72,INDIRECT($C$5&amp;"生成成长"),2))/((VLOOKUP($B167,INDIRECT($B$5&amp;"生成成长"),4))/(VLOOKUP(EZ$72,INDIRECT($C$5&amp;"生成成长"),5))*(VLOOKUP($B$5,标准坦克设计!$B$24:$U$30,MATCH("对"&amp;LEFT($C$5,2)&amp;"输出",标准坦克设计!$B$23:$U$23,0)))*(VLOOKUP($B167,INDIRECT($B$5&amp;"生成成长"),3))*(VLOOKUP($B$5,标准坦克设计!$B$14:$K$20,9)/30))</f>
        <v>12.659612914110284</v>
      </c>
      <c r="FA167" s="172">
        <f ca="1">(VLOOKUP(FA$72,INDIRECT($C$5&amp;"生成成长"),2))/((VLOOKUP($B167,INDIRECT($B$5&amp;"生成成长"),4))/(VLOOKUP(FA$72,INDIRECT($C$5&amp;"生成成长"),5))*(VLOOKUP($B$5,标准坦克设计!$B$24:$U$30,MATCH("对"&amp;LEFT($C$5,2)&amp;"输出",标准坦克设计!$B$23:$U$23,0)))*(VLOOKUP($B167,INDIRECT($B$5&amp;"生成成长"),3))*(VLOOKUP($B$5,标准坦克设计!$B$14:$K$20,9)/30))</f>
        <v>13.474961419196491</v>
      </c>
      <c r="FB167" s="172">
        <f ca="1">(VLOOKUP(FB$72,INDIRECT($C$5&amp;"生成成长"),2))/((VLOOKUP($B167,INDIRECT($B$5&amp;"生成成长"),4))/(VLOOKUP(FB$72,INDIRECT($C$5&amp;"生成成长"),5))*(VLOOKUP($B$5,标准坦克设计!$B$24:$U$30,MATCH("对"&amp;LEFT($C$5,2)&amp;"输出",标准坦克设计!$B$23:$U$23,0)))*(VLOOKUP($B167,INDIRECT($B$5&amp;"生成成长"),3))*(VLOOKUP($B$5,标准坦克设计!$B$14:$K$20,9)/30))</f>
        <v>14.315753423732199</v>
      </c>
      <c r="FC167" s="172">
        <f ca="1">(VLOOKUP(FC$72,INDIRECT($C$5&amp;"生成成长"),2))/((VLOOKUP($B167,INDIRECT($B$5&amp;"生成成长"),4))/(VLOOKUP(FC$72,INDIRECT($C$5&amp;"生成成长"),5))*(VLOOKUP($B$5,标准坦克设计!$B$24:$U$30,MATCH("对"&amp;LEFT($C$5,2)&amp;"输出",标准坦克设计!$B$23:$U$23,0)))*(VLOOKUP($B167,INDIRECT($B$5&amp;"生成成长"),3))*(VLOOKUP($B$5,标准坦克设计!$B$14:$K$20,9)/30))</f>
        <v>15.181988927717404</v>
      </c>
      <c r="FD167" s="172">
        <f ca="1">(VLOOKUP(FD$72,INDIRECT($C$5&amp;"生成成长"),2))/((VLOOKUP($B167,INDIRECT($B$5&amp;"生成成长"),4))/(VLOOKUP(FD$72,INDIRECT($C$5&amp;"生成成长"),5))*(VLOOKUP($B$5,标准坦克设计!$B$24:$U$30,MATCH("对"&amp;LEFT($C$5,2)&amp;"输出",标准坦克设计!$B$23:$U$23,0)))*(VLOOKUP($B167,INDIRECT($B$5&amp;"生成成长"),3))*(VLOOKUP($B$5,标准坦克设计!$B$14:$K$20,9)/30))</f>
        <v>16.073667931152109</v>
      </c>
      <c r="FE167" s="172">
        <f ca="1">(VLOOKUP(FE$72,INDIRECT($C$5&amp;"生成成长"),2))/((VLOOKUP($B167,INDIRECT($B$5&amp;"生成成长"),4))/(VLOOKUP(FE$72,INDIRECT($C$5&amp;"生成成长"),5))*(VLOOKUP($B$5,标准坦克设计!$B$24:$U$30,MATCH("对"&amp;LEFT($C$5,2)&amp;"输出",标准坦克设计!$B$23:$U$23,0)))*(VLOOKUP($B167,INDIRECT($B$5&amp;"生成成长"),3))*(VLOOKUP($B$5,标准坦克设计!$B$14:$K$20,9)/30))</f>
        <v>17.160273579129669</v>
      </c>
      <c r="FF167" s="172">
        <f ca="1">(VLOOKUP(FF$72,INDIRECT($C$5&amp;"生成成长"),2))/((VLOOKUP($B167,INDIRECT($B$5&amp;"生成成长"),4))/(VLOOKUP(FF$72,INDIRECT($C$5&amp;"生成成长"),5))*(VLOOKUP($B$5,标准坦克设计!$B$24:$U$30,MATCH("对"&amp;LEFT($C$5,2)&amp;"输出",标准坦克设计!$B$23:$U$23,0)))*(VLOOKUP($B167,INDIRECT($B$5&amp;"生成成长"),3))*(VLOOKUP($B$5,标准坦克设计!$B$14:$K$20,9)/30))</f>
        <v>18.282416015594539</v>
      </c>
      <c r="FG167" s="172">
        <f ca="1">(VLOOKUP(FG$72,INDIRECT($C$5&amp;"生成成长"),2))/((VLOOKUP($B167,INDIRECT($B$5&amp;"生成成长"),4))/(VLOOKUP(FG$72,INDIRECT($C$5&amp;"生成成长"),5))*(VLOOKUP($B$5,标准坦克设计!$B$24:$U$30,MATCH("对"&amp;LEFT($C$5,2)&amp;"输出",标准坦克设计!$B$23:$U$23,0)))*(VLOOKUP($B167,INDIRECT($B$5&amp;"生成成长"),3))*(VLOOKUP($B$5,标准坦克设计!$B$14:$K$20,9)/30))</f>
        <v>19.440095240546732</v>
      </c>
      <c r="FH167" s="172">
        <f ca="1">(VLOOKUP(FH$72,INDIRECT($C$5&amp;"生成成长"),2))/((VLOOKUP($B167,INDIRECT($B$5&amp;"生成成长"),4))/(VLOOKUP(FH$72,INDIRECT($C$5&amp;"生成成长"),5))*(VLOOKUP($B$5,标准坦克设计!$B$24:$U$30,MATCH("对"&amp;LEFT($C$5,2)&amp;"输出",标准坦克设计!$B$23:$U$23,0)))*(VLOOKUP($B167,INDIRECT($B$5&amp;"生成成长"),3))*(VLOOKUP($B$5,标准坦克设计!$B$14:$K$20,9)/30))</f>
        <v>20.633311253986239</v>
      </c>
      <c r="FI167" s="172">
        <f ca="1">(VLOOKUP(FI$72,INDIRECT($C$5&amp;"生成成长"),2))/((VLOOKUP($B167,INDIRECT($B$5&amp;"生成成长"),4))/(VLOOKUP(FI$72,INDIRECT($C$5&amp;"生成成长"),5))*(VLOOKUP($B$5,标准坦克设计!$B$24:$U$30,MATCH("对"&amp;LEFT($C$5,2)&amp;"输出",标准坦克设计!$B$23:$U$23,0)))*(VLOOKUP($B167,INDIRECT($B$5&amp;"生成成长"),3))*(VLOOKUP($B$5,标准坦克设计!$B$14:$K$20,9)/30))</f>
        <v>21.862064055913063</v>
      </c>
      <c r="FJ167" s="172">
        <f ca="1">(VLOOKUP(FJ$72,INDIRECT($C$5&amp;"生成成长"),2))/((VLOOKUP($B167,INDIRECT($B$5&amp;"生成成长"),4))/(VLOOKUP(FJ$72,INDIRECT($C$5&amp;"生成成长"),5))*(VLOOKUP($B$5,标准坦克设计!$B$24:$U$30,MATCH("对"&amp;LEFT($C$5,2)&amp;"输出",标准坦克设计!$B$23:$U$23,0)))*(VLOOKUP($B167,INDIRECT($B$5&amp;"生成成长"),3))*(VLOOKUP($B$5,标准坦克设计!$B$14:$K$20,9)/30))</f>
        <v>23.1263536463272</v>
      </c>
      <c r="FK167" s="172">
        <f ca="1">(VLOOKUP(FK$72,INDIRECT($C$5&amp;"生成成长"),2))/((VLOOKUP($B167,INDIRECT($B$5&amp;"生成成长"),4))/(VLOOKUP(FK$72,INDIRECT($C$5&amp;"生成成长"),5))*(VLOOKUP($B$5,标准坦克设计!$B$24:$U$30,MATCH("对"&amp;LEFT($C$5,2)&amp;"输出",标准坦克设计!$B$23:$U$23,0)))*(VLOOKUP($B167,INDIRECT($B$5&amp;"生成成长"),3))*(VLOOKUP($B$5,标准坦克设计!$B$14:$K$20,9)/30))</f>
        <v>24.42618002522866</v>
      </c>
    </row>
    <row r="168" spans="1:167" x14ac:dyDescent="0.15">
      <c r="A168" s="170" t="str">
        <f t="shared" si="12"/>
        <v>T5中品质6级</v>
      </c>
      <c r="B168" s="171">
        <v>20506</v>
      </c>
      <c r="C168" s="172">
        <f ca="1">(VLOOKUP(C$72,INDIRECT($C$5&amp;"生成成长"),2))/((VLOOKUP($B168,INDIRECT($B$5&amp;"生成成长"),4))/(VLOOKUP(C$72,INDIRECT($C$5&amp;"生成成长"),5))*(VLOOKUP($B$5,标准坦克设计!$B$24:$U$30,MATCH("对"&amp;LEFT($C$5,2)&amp;"输出",标准坦克设计!$B$23:$U$23,0)))*(VLOOKUP($B168,INDIRECT($B$5&amp;"生成成长"),3))*(VLOOKUP($B$5,标准坦克设计!$B$14:$K$20,9)/30))</f>
        <v>0.97738879162161285</v>
      </c>
      <c r="D168" s="172">
        <f ca="1">(VLOOKUP(D$72,INDIRECT($C$5&amp;"生成成长"),2))/((VLOOKUP($B168,INDIRECT($B$5&amp;"生成成长"),4))/(VLOOKUP(D$72,INDIRECT($C$5&amp;"生成成长"),5))*(VLOOKUP($B$5,标准坦克设计!$B$24:$U$30,MATCH("对"&amp;LEFT($C$5,2)&amp;"输出",标准坦克设计!$B$23:$U$23,0)))*(VLOOKUP($B168,INDIRECT($B$5&amp;"生成成长"),3))*(VLOOKUP($B$5,标准坦克设计!$B$14:$K$20,9)/30))</f>
        <v>1.0981940462660442</v>
      </c>
      <c r="E168" s="172">
        <f ca="1">(VLOOKUP(E$72,INDIRECT($C$5&amp;"生成成长"),2))/((VLOOKUP($B168,INDIRECT($B$5&amp;"生成成长"),4))/(VLOOKUP(E$72,INDIRECT($C$5&amp;"生成成长"),5))*(VLOOKUP($B$5,标准坦克设计!$B$24:$U$30,MATCH("对"&amp;LEFT($C$5,2)&amp;"输出",标准坦克设计!$B$23:$U$23,0)))*(VLOOKUP($B168,INDIRECT($B$5&amp;"生成成长"),3))*(VLOOKUP($B$5,标准坦克设计!$B$14:$K$20,9)/30))</f>
        <v>1.2260365002101512</v>
      </c>
      <c r="F168" s="172">
        <f ca="1">(VLOOKUP(F$72,INDIRECT($C$5&amp;"生成成长"),2))/((VLOOKUP($B168,INDIRECT($B$5&amp;"生成成长"),4))/(VLOOKUP(F$72,INDIRECT($C$5&amp;"生成成长"),5))*(VLOOKUP($B$5,标准坦克设计!$B$24:$U$30,MATCH("对"&amp;LEFT($C$5,2)&amp;"输出",标准坦克设计!$B$23:$U$23,0)))*(VLOOKUP($B168,INDIRECT($B$5&amp;"生成成长"),3))*(VLOOKUP($B$5,标准坦克设计!$B$14:$K$20,9)/30))</f>
        <v>1.3609161534539338</v>
      </c>
      <c r="G168" s="172">
        <f ca="1">(VLOOKUP(G$72,INDIRECT($C$5&amp;"生成成长"),2))/((VLOOKUP($B168,INDIRECT($B$5&amp;"生成成长"),4))/(VLOOKUP(G$72,INDIRECT($C$5&amp;"生成成长"),5))*(VLOOKUP($B$5,标准坦克设计!$B$24:$U$30,MATCH("对"&amp;LEFT($C$5,2)&amp;"输出",标准坦克设计!$B$23:$U$23,0)))*(VLOOKUP($B168,INDIRECT($B$5&amp;"生成成长"),3))*(VLOOKUP($B$5,标准坦克设计!$B$14:$K$20,9)/30))</f>
        <v>1.502833005997392</v>
      </c>
      <c r="H168" s="172">
        <f ca="1">(VLOOKUP(H$72,INDIRECT($C$5&amp;"生成成长"),2))/((VLOOKUP($B168,INDIRECT($B$5&amp;"生成成长"),4))/(VLOOKUP(H$72,INDIRECT($C$5&amp;"生成成长"),5))*(VLOOKUP($B$5,标准坦克设计!$B$24:$U$30,MATCH("对"&amp;LEFT($C$5,2)&amp;"输出",标准坦克设计!$B$23:$U$23,0)))*(VLOOKUP($B168,INDIRECT($B$5&amp;"生成成长"),3))*(VLOOKUP($B$5,标准坦克设计!$B$14:$K$20,9)/30))</f>
        <v>1.3151743580060422</v>
      </c>
      <c r="I168" s="172">
        <f ca="1">(VLOOKUP(I$72,INDIRECT($C$5&amp;"生成成长"),2))/((VLOOKUP($B168,INDIRECT($B$5&amp;"生成成长"),4))/(VLOOKUP(I$72,INDIRECT($C$5&amp;"生成成长"),5))*(VLOOKUP($B$5,标准坦克设计!$B$24:$U$30,MATCH("对"&amp;LEFT($C$5,2)&amp;"输出",标准坦克设计!$B$23:$U$23,0)))*(VLOOKUP($B168,INDIRECT($B$5&amp;"生成成长"),3))*(VLOOKUP($B$5,标准坦克设计!$B$14:$K$20,9)/30))</f>
        <v>1.502833005997392</v>
      </c>
      <c r="J168" s="172">
        <f ca="1">(VLOOKUP(J$72,INDIRECT($C$5&amp;"生成成长"),2))/((VLOOKUP($B168,INDIRECT($B$5&amp;"生成成长"),4))/(VLOOKUP(J$72,INDIRECT($C$5&amp;"生成成长"),5))*(VLOOKUP($B$5,标准坦克设计!$B$24:$U$30,MATCH("对"&amp;LEFT($C$5,2)&amp;"输出",标准坦克设计!$B$23:$U$23,0)))*(VLOOKUP($B168,INDIRECT($B$5&amp;"生成成长"),3))*(VLOOKUP($B$5,标准坦克设计!$B$14:$K$20,9)/30))</f>
        <v>1.703002230521498</v>
      </c>
      <c r="K168" s="172">
        <f ca="1">(VLOOKUP(K$72,INDIRECT($C$5&amp;"生成成长"),2))/((VLOOKUP($B168,INDIRECT($B$5&amp;"生成成长"),4))/(VLOOKUP(K$72,INDIRECT($C$5&amp;"生成成长"),5))*(VLOOKUP($B$5,标准坦克设计!$B$24:$U$30,MATCH("对"&amp;LEFT($C$5,2)&amp;"输出",标准坦克设计!$B$23:$U$23,0)))*(VLOOKUP($B168,INDIRECT($B$5&amp;"生成成长"),3))*(VLOOKUP($B$5,标准坦克设计!$B$14:$K$20,9)/30))</f>
        <v>1.9156820315783614</v>
      </c>
      <c r="L168" s="172">
        <f ca="1">(VLOOKUP(L$72,INDIRECT($C$5&amp;"生成成长"),2))/((VLOOKUP($B168,INDIRECT($B$5&amp;"生成成长"),4))/(VLOOKUP(L$72,INDIRECT($C$5&amp;"生成成长"),5))*(VLOOKUP($B$5,标准坦克设计!$B$24:$U$30,MATCH("对"&amp;LEFT($C$5,2)&amp;"输出",标准坦克设计!$B$23:$U$23,0)))*(VLOOKUP($B168,INDIRECT($B$5&amp;"生成成长"),3))*(VLOOKUP($B$5,标准坦克设计!$B$14:$K$20,9)/30))</f>
        <v>2.1408724091679807</v>
      </c>
      <c r="M168" s="172">
        <f ca="1">(VLOOKUP(M$72,INDIRECT($C$5&amp;"生成成长"),2))/((VLOOKUP($B168,INDIRECT($B$5&amp;"生成成长"),4))/(VLOOKUP(M$72,INDIRECT($C$5&amp;"生成成长"),5))*(VLOOKUP($B$5,标准坦克设计!$B$24:$U$30,MATCH("对"&amp;LEFT($C$5,2)&amp;"输出",标准坦克设计!$B$23:$U$23,0)))*(VLOOKUP($B168,INDIRECT($B$5&amp;"生成成长"),3))*(VLOOKUP($B$5,标准坦克设计!$B$14:$K$20,9)/30))</f>
        <v>2.3785733632903567</v>
      </c>
      <c r="N168" s="172">
        <f ca="1">(VLOOKUP(N$72,INDIRECT($C$5&amp;"生成成长"),2))/((VLOOKUP($B168,INDIRECT($B$5&amp;"生成成长"),4))/(VLOOKUP(N$72,INDIRECT($C$5&amp;"生成成长"),5))*(VLOOKUP($B$5,标准坦克设计!$B$24:$U$30,MATCH("对"&amp;LEFT($C$5,2)&amp;"输出",标准坦克设计!$B$23:$U$23,0)))*(VLOOKUP($B168,INDIRECT($B$5&amp;"生成成长"),3))*(VLOOKUP($B$5,标准坦克设计!$B$14:$K$20,9)/30))</f>
        <v>2.6287848939454896</v>
      </c>
      <c r="O168" s="172">
        <f ca="1">(VLOOKUP(O$72,INDIRECT($C$5&amp;"生成成长"),2))/((VLOOKUP($B168,INDIRECT($B$5&amp;"生成成长"),4))/(VLOOKUP(O$72,INDIRECT($C$5&amp;"生成成长"),5))*(VLOOKUP($B$5,标准坦克设计!$B$24:$U$30,MATCH("对"&amp;LEFT($C$5,2)&amp;"输出",标准坦克设计!$B$23:$U$23,0)))*(VLOOKUP($B168,INDIRECT($B$5&amp;"生成成长"),3))*(VLOOKUP($B$5,标准坦克设计!$B$14:$K$20,9)/30))</f>
        <v>1.998662339987036</v>
      </c>
      <c r="P168" s="172">
        <f ca="1">(VLOOKUP(P$72,INDIRECT($C$5&amp;"生成成长"),2))/((VLOOKUP($B168,INDIRECT($B$5&amp;"生成成长"),4))/(VLOOKUP(P$72,INDIRECT($C$5&amp;"生成成长"),5))*(VLOOKUP($B$5,标准坦克设计!$B$24:$U$30,MATCH("对"&amp;LEFT($C$5,2)&amp;"输出",标准坦克设计!$B$23:$U$23,0)))*(VLOOKUP($B168,INDIRECT($B$5&amp;"生成成长"),3))*(VLOOKUP($B$5,标准坦克设计!$B$14:$K$20,9)/30))</f>
        <v>2.2581590641625744</v>
      </c>
      <c r="Q168" s="172">
        <f ca="1">(VLOOKUP(Q$72,INDIRECT($C$5&amp;"生成成长"),2))/((VLOOKUP($B168,INDIRECT($B$5&amp;"生成成长"),4))/(VLOOKUP(Q$72,INDIRECT($C$5&amp;"生成成长"),5))*(VLOOKUP($B$5,标准坦克设计!$B$24:$U$30,MATCH("对"&amp;LEFT($C$5,2)&amp;"输出",标准坦克设计!$B$23:$U$23,0)))*(VLOOKUP($B168,INDIRECT($B$5&amp;"生成成长"),3))*(VLOOKUP($B$5,标准坦克设计!$B$14:$K$20,9)/30))</f>
        <v>2.5334894867623827</v>
      </c>
      <c r="R168" s="172">
        <f ca="1">(VLOOKUP(R$72,INDIRECT($C$5&amp;"生成成长"),2))/((VLOOKUP($B168,INDIRECT($B$5&amp;"生成成长"),4))/(VLOOKUP(R$72,INDIRECT($C$5&amp;"生成成长"),5))*(VLOOKUP($B$5,标准坦克设计!$B$24:$U$30,MATCH("对"&amp;LEFT($C$5,2)&amp;"输出",标准坦克设计!$B$23:$U$23,0)))*(VLOOKUP($B168,INDIRECT($B$5&amp;"生成成长"),3))*(VLOOKUP($B$5,标准坦克设计!$B$14:$K$20,9)/30))</f>
        <v>2.8246536077864608</v>
      </c>
      <c r="S168" s="172">
        <f ca="1">(VLOOKUP(S$72,INDIRECT($C$5&amp;"生成成长"),2))/((VLOOKUP($B168,INDIRECT($B$5&amp;"生成成长"),4))/(VLOOKUP(S$72,INDIRECT($C$5&amp;"生成成长"),5))*(VLOOKUP($B$5,标准坦克设计!$B$24:$U$30,MATCH("对"&amp;LEFT($C$5,2)&amp;"输出",标准坦克设计!$B$23:$U$23,0)))*(VLOOKUP($B168,INDIRECT($B$5&amp;"生成成长"),3))*(VLOOKUP($B$5,标准坦克设计!$B$14:$K$20,9)/30))</f>
        <v>3.1316514272348099</v>
      </c>
      <c r="T168" s="172">
        <f ca="1">(VLOOKUP(T$72,INDIRECT($C$5&amp;"生成成长"),2))/((VLOOKUP($B168,INDIRECT($B$5&amp;"生成成长"),4))/(VLOOKUP(T$72,INDIRECT($C$5&amp;"生成成长"),5))*(VLOOKUP($B$5,标准坦克设计!$B$24:$U$30,MATCH("对"&amp;LEFT($C$5,2)&amp;"输出",标准坦克设计!$B$23:$U$23,0)))*(VLOOKUP($B168,INDIRECT($B$5&amp;"生成成长"),3))*(VLOOKUP($B$5,标准坦克设计!$B$14:$K$20,9)/30))</f>
        <v>3.4544829451074288</v>
      </c>
      <c r="U168" s="172">
        <f ca="1">(VLOOKUP(U$72,INDIRECT($C$5&amp;"生成成长"),2))/((VLOOKUP($B168,INDIRECT($B$5&amp;"生成成长"),4))/(VLOOKUP(U$72,INDIRECT($C$5&amp;"生成成长"),5))*(VLOOKUP($B$5,标准坦克设计!$B$24:$U$30,MATCH("对"&amp;LEFT($C$5,2)&amp;"输出",标准坦克设计!$B$23:$U$23,0)))*(VLOOKUP($B168,INDIRECT($B$5&amp;"生成成长"),3))*(VLOOKUP($B$5,标准坦克设计!$B$14:$K$20,9)/30))</f>
        <v>3.793148161404317</v>
      </c>
      <c r="V168" s="172">
        <f ca="1">(VLOOKUP(V$72,INDIRECT($C$5&amp;"生成成长"),2))/((VLOOKUP($B168,INDIRECT($B$5&amp;"生成成长"),4))/(VLOOKUP(V$72,INDIRECT($C$5&amp;"生成成长"),5))*(VLOOKUP($B$5,标准坦克设计!$B$24:$U$30,MATCH("对"&amp;LEFT($C$5,2)&amp;"输出",标准坦克设计!$B$23:$U$23,0)))*(VLOOKUP($B168,INDIRECT($B$5&amp;"生成成长"),3))*(VLOOKUP($B$5,标准坦克设计!$B$14:$K$20,9)/30))</f>
        <v>4.1476470761254758</v>
      </c>
      <c r="W168" s="172">
        <f ca="1">(VLOOKUP(W$72,INDIRECT($C$5&amp;"生成成长"),2))/((VLOOKUP($B168,INDIRECT($B$5&amp;"生成成长"),4))/(VLOOKUP(W$72,INDIRECT($C$5&amp;"生成成长"),5))*(VLOOKUP($B$5,标准坦克设计!$B$24:$U$30,MATCH("对"&amp;LEFT($C$5,2)&amp;"输出",标准坦克设计!$B$23:$U$23,0)))*(VLOOKUP($B168,INDIRECT($B$5&amp;"生成成长"),3))*(VLOOKUP($B$5,标准坦克设计!$B$14:$K$20,9)/30))</f>
        <v>4.5179796892709057</v>
      </c>
      <c r="X168" s="172">
        <f ca="1">(VLOOKUP(X$72,INDIRECT($C$5&amp;"生成成长"),2))/((VLOOKUP($B168,INDIRECT($B$5&amp;"生成成长"),4))/(VLOOKUP(X$72,INDIRECT($C$5&amp;"生成成长"),5))*(VLOOKUP($B$5,标准坦克设计!$B$24:$U$30,MATCH("对"&amp;LEFT($C$5,2)&amp;"输出",标准坦克设计!$B$23:$U$23,0)))*(VLOOKUP($B168,INDIRECT($B$5&amp;"生成成长"),3))*(VLOOKUP($B$5,标准坦克设计!$B$14:$K$20,9)/30))</f>
        <v>3.2731773242616189</v>
      </c>
      <c r="Y168" s="172">
        <f ca="1">(VLOOKUP(Y$72,INDIRECT($C$5&amp;"生成成长"),2))/((VLOOKUP($B168,INDIRECT($B$5&amp;"生成成长"),4))/(VLOOKUP(Y$72,INDIRECT($C$5&amp;"生成成长"),5))*(VLOOKUP($B$5,标准坦克设计!$B$24:$U$30,MATCH("对"&amp;LEFT($C$5,2)&amp;"输出",标准坦克设计!$B$23:$U$23,0)))*(VLOOKUP($B168,INDIRECT($B$5&amp;"生成成长"),3))*(VLOOKUP($B$5,标准坦克设计!$B$14:$K$20,9)/30))</f>
        <v>3.6406755099113459</v>
      </c>
      <c r="Z168" s="172">
        <f ca="1">(VLOOKUP(Z$72,INDIRECT($C$5&amp;"生成成长"),2))/((VLOOKUP($B168,INDIRECT($B$5&amp;"生成成长"),4))/(VLOOKUP(Z$72,INDIRECT($C$5&amp;"生成成长"),5))*(VLOOKUP($B$5,标准坦克设计!$B$24:$U$30,MATCH("对"&amp;LEFT($C$5,2)&amp;"输出",标准坦克设计!$B$23:$U$23,0)))*(VLOOKUP($B168,INDIRECT($B$5&amp;"生成成长"),3))*(VLOOKUP($B$5,标准坦克设计!$B$14:$K$20,9)/30))</f>
        <v>4.0277214713935043</v>
      </c>
      <c r="AA168" s="172">
        <f ca="1">(VLOOKUP(AA$72,INDIRECT($C$5&amp;"生成成长"),2))/((VLOOKUP($B168,INDIRECT($B$5&amp;"生成成长"),4))/(VLOOKUP(AA$72,INDIRECT($C$5&amp;"生成成长"),5))*(VLOOKUP($B$5,标准坦克设计!$B$24:$U$30,MATCH("对"&amp;LEFT($C$5,2)&amp;"输出",标准坦克设计!$B$23:$U$23,0)))*(VLOOKUP($B168,INDIRECT($B$5&amp;"生成成长"),3))*(VLOOKUP($B$5,标准坦克设计!$B$14:$K$20,9)/30))</f>
        <v>4.434315208708095</v>
      </c>
      <c r="AB168" s="172">
        <f ca="1">(VLOOKUP(AB$72,INDIRECT($C$5&amp;"生成成长"),2))/((VLOOKUP($B168,INDIRECT($B$5&amp;"生成成长"),4))/(VLOOKUP(AB$72,INDIRECT($C$5&amp;"生成成长"),5))*(VLOOKUP($B$5,标准坦克设计!$B$24:$U$30,MATCH("对"&amp;LEFT($C$5,2)&amp;"输出",标准坦克设计!$B$23:$U$23,0)))*(VLOOKUP($B168,INDIRECT($B$5&amp;"生成成长"),3))*(VLOOKUP($B$5,标准坦克设计!$B$14:$K$20,9)/30))</f>
        <v>4.860456721855118</v>
      </c>
      <c r="AC168" s="172">
        <f ca="1">(VLOOKUP(AC$72,INDIRECT($C$5&amp;"生成成长"),2))/((VLOOKUP($B168,INDIRECT($B$5&amp;"生成成长"),4))/(VLOOKUP(AC$72,INDIRECT($C$5&amp;"生成成长"),5))*(VLOOKUP($B$5,标准坦克设计!$B$24:$U$30,MATCH("对"&amp;LEFT($C$5,2)&amp;"输出",标准坦克设计!$B$23:$U$23,0)))*(VLOOKUP($B168,INDIRECT($B$5&amp;"生成成长"),3))*(VLOOKUP($B$5,标准坦克设计!$B$14:$K$20,9)/30))</f>
        <v>5.3061460108345742</v>
      </c>
      <c r="AD168" s="172">
        <f ca="1">(VLOOKUP(AD$72,INDIRECT($C$5&amp;"生成成长"),2))/((VLOOKUP($B168,INDIRECT($B$5&amp;"生成成长"),4))/(VLOOKUP(AD$72,INDIRECT($C$5&amp;"生成成长"),5))*(VLOOKUP($B$5,标准坦克设计!$B$24:$U$30,MATCH("对"&amp;LEFT($C$5,2)&amp;"输出",标准坦克设计!$B$23:$U$23,0)))*(VLOOKUP($B168,INDIRECT($B$5&amp;"生成成长"),3))*(VLOOKUP($B$5,标准坦克设计!$B$14:$K$20,9)/30))</f>
        <v>5.7713830756464617</v>
      </c>
      <c r="AE168" s="172">
        <f ca="1">(VLOOKUP(AE$72,INDIRECT($C$5&amp;"生成成长"),2))/((VLOOKUP($B168,INDIRECT($B$5&amp;"生成成长"),4))/(VLOOKUP(AE$72,INDIRECT($C$5&amp;"生成成长"),5))*(VLOOKUP($B$5,标准坦克设计!$B$24:$U$30,MATCH("对"&amp;LEFT($C$5,2)&amp;"输出",标准坦克设计!$B$23:$U$23,0)))*(VLOOKUP($B168,INDIRECT($B$5&amp;"生成成长"),3))*(VLOOKUP($B$5,标准坦克设计!$B$14:$K$20,9)/30))</f>
        <v>6.2561679162907806</v>
      </c>
      <c r="AF168" s="172">
        <f ca="1">(VLOOKUP(AF$72,INDIRECT($C$5&amp;"生成成长"),2))/((VLOOKUP($B168,INDIRECT($B$5&amp;"生成成长"),4))/(VLOOKUP(AF$72,INDIRECT($C$5&amp;"生成成长"),5))*(VLOOKUP($B$5,标准坦克设计!$B$24:$U$30,MATCH("对"&amp;LEFT($C$5,2)&amp;"输出",标准坦克设计!$B$23:$U$23,0)))*(VLOOKUP($B168,INDIRECT($B$5&amp;"生成成长"),3))*(VLOOKUP($B$5,标准坦克设计!$B$14:$K$20,9)/30))</f>
        <v>6.7605005327675336</v>
      </c>
      <c r="AG168" s="172">
        <f ca="1">(VLOOKUP(AG$72,INDIRECT($C$5&amp;"生成成长"),2))/((VLOOKUP($B168,INDIRECT($B$5&amp;"生成成长"),4))/(VLOOKUP(AG$72,INDIRECT($C$5&amp;"生成成长"),5))*(VLOOKUP($B$5,标准坦克设计!$B$24:$U$30,MATCH("对"&amp;LEFT($C$5,2)&amp;"输出",标准坦克设计!$B$23:$U$23,0)))*(VLOOKUP($B168,INDIRECT($B$5&amp;"生成成长"),3))*(VLOOKUP($B$5,标准坦克设计!$B$14:$K$20,9)/30))</f>
        <v>7.2843809250767189</v>
      </c>
      <c r="AH168" s="172">
        <f ca="1">(VLOOKUP(AH$72,INDIRECT($C$5&amp;"生成成长"),2))/((VLOOKUP($B168,INDIRECT($B$5&amp;"生成成长"),4))/(VLOOKUP(AH$72,INDIRECT($C$5&amp;"生成成长"),5))*(VLOOKUP($B$5,标准坦克设计!$B$24:$U$30,MATCH("对"&amp;LEFT($C$5,2)&amp;"输出",标准坦克设计!$B$23:$U$23,0)))*(VLOOKUP($B168,INDIRECT($B$5&amp;"生成成长"),3))*(VLOOKUP($B$5,标准坦克设计!$B$14:$K$20,9)/30))</f>
        <v>7.8278090932183355</v>
      </c>
      <c r="AI168" s="172">
        <f ca="1">(VLOOKUP(AI$72,INDIRECT($C$5&amp;"生成成长"),2))/((VLOOKUP($B168,INDIRECT($B$5&amp;"生成成长"),4))/(VLOOKUP(AI$72,INDIRECT($C$5&amp;"生成成长"),5))*(VLOOKUP($B$5,标准坦克设计!$B$24:$U$30,MATCH("对"&amp;LEFT($C$5,2)&amp;"输出",标准坦克设计!$B$23:$U$23,0)))*(VLOOKUP($B168,INDIRECT($B$5&amp;"生成成长"),3))*(VLOOKUP($B$5,标准坦克设计!$B$14:$K$20,9)/30))</f>
        <v>5.5363210712614643</v>
      </c>
      <c r="AJ168" s="172">
        <f ca="1">(VLOOKUP(AJ$72,INDIRECT($C$5&amp;"生成成长"),2))/((VLOOKUP($B168,INDIRECT($B$5&amp;"生成成长"),4))/(VLOOKUP(AJ$72,INDIRECT($C$5&amp;"生成成长"),5))*(VLOOKUP($B$5,标准坦克设计!$B$24:$U$30,MATCH("对"&amp;LEFT($C$5,2)&amp;"输出",标准坦克设计!$B$23:$U$23,0)))*(VLOOKUP($B168,INDIRECT($B$5&amp;"生成成长"),3))*(VLOOKUP($B$5,标准坦克设计!$B$14:$K$20,9)/30))</f>
        <v>6.0599082469331629</v>
      </c>
      <c r="AK168" s="172">
        <f ca="1">(VLOOKUP(AK$72,INDIRECT($C$5&amp;"生成成长"),2))/((VLOOKUP($B168,INDIRECT($B$5&amp;"生成成长"),4))/(VLOOKUP(AK$72,INDIRECT($C$5&amp;"生成成长"),5))*(VLOOKUP($B$5,标准坦克设计!$B$24:$U$30,MATCH("对"&amp;LEFT($C$5,2)&amp;"输出",标准坦克设计!$B$23:$U$23,0)))*(VLOOKUP($B168,INDIRECT($B$5&amp;"生成成长"),3))*(VLOOKUP($B$5,标准坦克设计!$B$14:$K$20,9)/30))</f>
        <v>6.6071482313621024</v>
      </c>
      <c r="AL168" s="172">
        <f ca="1">(VLOOKUP(AL$72,INDIRECT($C$5&amp;"生成成长"),2))/((VLOOKUP($B168,INDIRECT($B$5&amp;"生成成长"),4))/(VLOOKUP(AL$72,INDIRECT($C$5&amp;"生成成长"),5))*(VLOOKUP($B$5,标准坦克设计!$B$24:$U$30,MATCH("对"&amp;LEFT($C$5,2)&amp;"输出",标准坦克设计!$B$23:$U$23,0)))*(VLOOKUP($B168,INDIRECT($B$5&amp;"生成成长"),3))*(VLOOKUP($B$5,标准坦克设计!$B$14:$K$20,9)/30))</f>
        <v>7.1780410245482882</v>
      </c>
      <c r="AM168" s="172">
        <f ca="1">(VLOOKUP(AM$72,INDIRECT($C$5&amp;"生成成长"),2))/((VLOOKUP($B168,INDIRECT($B$5&amp;"生成成长"),4))/(VLOOKUP(AM$72,INDIRECT($C$5&amp;"生成成长"),5))*(VLOOKUP($B$5,标准坦克设计!$B$24:$U$30,MATCH("对"&amp;LEFT($C$5,2)&amp;"输出",标准坦克设计!$B$23:$U$23,0)))*(VLOOKUP($B168,INDIRECT($B$5&amp;"生成成长"),3))*(VLOOKUP($B$5,标准坦克设计!$B$14:$K$20,9)/30))</f>
        <v>7.7725866264917141</v>
      </c>
      <c r="AN168" s="172">
        <f ca="1">(VLOOKUP(AN$72,INDIRECT($C$5&amp;"生成成长"),2))/((VLOOKUP($B168,INDIRECT($B$5&amp;"生成成长"),4))/(VLOOKUP(AN$72,INDIRECT($C$5&amp;"生成成长"),5))*(VLOOKUP($B$5,标准坦克设计!$B$24:$U$30,MATCH("对"&amp;LEFT($C$5,2)&amp;"输出",标准坦克设计!$B$23:$U$23,0)))*(VLOOKUP($B168,INDIRECT($B$5&amp;"生成成长"),3))*(VLOOKUP($B$5,标准坦克设计!$B$14:$K$20,9)/30))</f>
        <v>8.3907850371923853</v>
      </c>
      <c r="AO168" s="172">
        <f ca="1">(VLOOKUP(AO$72,INDIRECT($C$5&amp;"生成成长"),2))/((VLOOKUP($B168,INDIRECT($B$5&amp;"生成成长"),4))/(VLOOKUP(AO$72,INDIRECT($C$5&amp;"生成成长"),5))*(VLOOKUP($B$5,标准坦克设计!$B$24:$U$30,MATCH("对"&amp;LEFT($C$5,2)&amp;"输出",标准坦克设计!$B$23:$U$23,0)))*(VLOOKUP($B168,INDIRECT($B$5&amp;"生成成长"),3))*(VLOOKUP($B$5,标准坦克设计!$B$14:$K$20,9)/30))</f>
        <v>9.0326362566502976</v>
      </c>
      <c r="AP168" s="172">
        <f ca="1">(VLOOKUP(AP$72,INDIRECT($C$5&amp;"生成成长"),2))/((VLOOKUP($B168,INDIRECT($B$5&amp;"生成成长"),4))/(VLOOKUP(AP$72,INDIRECT($C$5&amp;"生成成长"),5))*(VLOOKUP($B$5,标准坦克设计!$B$24:$U$30,MATCH("对"&amp;LEFT($C$5,2)&amp;"输出",标准坦克设计!$B$23:$U$23,0)))*(VLOOKUP($B168,INDIRECT($B$5&amp;"生成成长"),3))*(VLOOKUP($B$5,标准坦克设计!$B$14:$K$20,9)/30))</f>
        <v>9.6981402848654543</v>
      </c>
      <c r="AQ168" s="172">
        <f ca="1">(VLOOKUP(AQ$72,INDIRECT($C$5&amp;"生成成长"),2))/((VLOOKUP($B168,INDIRECT($B$5&amp;"生成成长"),4))/(VLOOKUP(AQ$72,INDIRECT($C$5&amp;"生成成长"),5))*(VLOOKUP($B$5,标准坦克设计!$B$24:$U$30,MATCH("对"&amp;LEFT($C$5,2)&amp;"输出",标准坦克设计!$B$23:$U$23,0)))*(VLOOKUP($B168,INDIRECT($B$5&amp;"生成成长"),3))*(VLOOKUP($B$5,标准坦克设计!$B$14:$K$20,9)/30))</f>
        <v>10.387297121837854</v>
      </c>
      <c r="AR168" s="172">
        <f ca="1">(VLOOKUP(AR$72,INDIRECT($C$5&amp;"生成成长"),2))/((VLOOKUP($B168,INDIRECT($B$5&amp;"生成成长"),4))/(VLOOKUP(AR$72,INDIRECT($C$5&amp;"生成成长"),5))*(VLOOKUP($B$5,标准坦克设计!$B$24:$U$30,MATCH("对"&amp;LEFT($C$5,2)&amp;"输出",标准坦克设计!$B$23:$U$23,0)))*(VLOOKUP($B168,INDIRECT($B$5&amp;"生成成长"),3))*(VLOOKUP($B$5,标准坦克设计!$B$14:$K$20,9)/30))</f>
        <v>11.100106767567494</v>
      </c>
      <c r="AS168" s="172">
        <f ca="1">(VLOOKUP(AS$72,INDIRECT($C$5&amp;"生成成长"),2))/((VLOOKUP($B168,INDIRECT($B$5&amp;"生成成长"),4))/(VLOOKUP(AS$72,INDIRECT($C$5&amp;"生成成长"),5))*(VLOOKUP($B$5,标准坦克设计!$B$24:$U$30,MATCH("对"&amp;LEFT($C$5,2)&amp;"输出",标准坦克设计!$B$23:$U$23,0)))*(VLOOKUP($B168,INDIRECT($B$5&amp;"生成成长"),3))*(VLOOKUP($B$5,标准坦克设计!$B$14:$K$20,9)/30))</f>
        <v>11.836569222054381</v>
      </c>
      <c r="AT168" s="172">
        <f ca="1">(VLOOKUP(AT$72,INDIRECT($C$5&amp;"生成成长"),2))/((VLOOKUP($B168,INDIRECT($B$5&amp;"生成成长"),4))/(VLOOKUP(AT$72,INDIRECT($C$5&amp;"生成成长"),5))*(VLOOKUP($B$5,标准坦克设计!$B$24:$U$30,MATCH("对"&amp;LEFT($C$5,2)&amp;"输出",标准坦克设计!$B$23:$U$23,0)))*(VLOOKUP($B168,INDIRECT($B$5&amp;"生成成长"),3))*(VLOOKUP($B$5,标准坦克设计!$B$14:$K$20,9)/30))</f>
        <v>12.596684485298509</v>
      </c>
      <c r="AU168" s="172">
        <f ca="1">(VLOOKUP(AU$72,INDIRECT($C$5&amp;"生成成长"),2))/((VLOOKUP($B168,INDIRECT($B$5&amp;"生成成长"),4))/(VLOOKUP(AU$72,INDIRECT($C$5&amp;"生成成长"),5))*(VLOOKUP($B$5,标准坦克设计!$B$24:$U$30,MATCH("对"&amp;LEFT($C$5,2)&amp;"输出",标准坦克设计!$B$23:$U$23,0)))*(VLOOKUP($B168,INDIRECT($B$5&amp;"生成成长"),3))*(VLOOKUP($B$5,标准坦克设计!$B$14:$K$20,9)/30))</f>
        <v>13.380452557299879</v>
      </c>
      <c r="AV168" s="172">
        <f ca="1">(VLOOKUP(AV$72,INDIRECT($C$5&amp;"生成成长"),2))/((VLOOKUP($B168,INDIRECT($B$5&amp;"生成成长"),4))/(VLOOKUP(AV$72,INDIRECT($C$5&amp;"生成成长"),5))*(VLOOKUP($B$5,标准坦克设计!$B$24:$U$30,MATCH("对"&amp;LEFT($C$5,2)&amp;"输出",标准坦克设计!$B$23:$U$23,0)))*(VLOOKUP($B168,INDIRECT($B$5&amp;"生成成长"),3))*(VLOOKUP($B$5,标准坦克设计!$B$14:$K$20,9)/30))</f>
        <v>1.3609161534539338</v>
      </c>
      <c r="AW168" s="172">
        <f ca="1">(VLOOKUP(AW$72,INDIRECT($C$5&amp;"生成成长"),2))/((VLOOKUP($B168,INDIRECT($B$5&amp;"生成成长"),4))/(VLOOKUP(AW$72,INDIRECT($C$5&amp;"生成成长"),5))*(VLOOKUP($B$5,标准坦克设计!$B$24:$U$30,MATCH("对"&amp;LEFT($C$5,2)&amp;"输出",标准坦克设计!$B$23:$U$23,0)))*(VLOOKUP($B168,INDIRECT($B$5&amp;"生成成长"),3))*(VLOOKUP($B$5,标准坦克设计!$B$14:$K$20,9)/30))</f>
        <v>1.5517024455784725</v>
      </c>
      <c r="AX168" s="172">
        <f ca="1">(VLOOKUP(AX$72,INDIRECT($C$5&amp;"生成成长"),2))/((VLOOKUP($B168,INDIRECT($B$5&amp;"生成成长"),4))/(VLOOKUP(AX$72,INDIRECT($C$5&amp;"生成成长"),5))*(VLOOKUP($B$5,标准坦克设计!$B$24:$U$30,MATCH("对"&amp;LEFT($C$5,2)&amp;"输出",标准坦克设计!$B$23:$U$23,0)))*(VLOOKUP($B168,INDIRECT($B$5&amp;"生成成长"),3))*(VLOOKUP($B$5,标准坦克设计!$B$14:$K$20,9)/30))</f>
        <v>1.754999314235768</v>
      </c>
      <c r="AY168" s="172">
        <f ca="1">(VLOOKUP(AY$72,INDIRECT($C$5&amp;"生成成长"),2))/((VLOOKUP($B168,INDIRECT($B$5&amp;"生成成长"),4))/(VLOOKUP(AY$72,INDIRECT($C$5&amp;"生成成长"),5))*(VLOOKUP($B$5,标准坦克设计!$B$24:$U$30,MATCH("对"&amp;LEFT($C$5,2)&amp;"输出",标准坦克设计!$B$23:$U$23,0)))*(VLOOKUP($B168,INDIRECT($B$5&amp;"生成成长"),3))*(VLOOKUP($B$5,标准坦克设计!$B$14:$K$20,9)/30))</f>
        <v>1.9708067594258203</v>
      </c>
      <c r="AZ168" s="172">
        <f ca="1">(VLOOKUP(AZ$72,INDIRECT($C$5&amp;"生成成长"),2))/((VLOOKUP($B168,INDIRECT($B$5&amp;"生成成长"),4))/(VLOOKUP(AZ$72,INDIRECT($C$5&amp;"生成成长"),5))*(VLOOKUP($B$5,标准坦克设计!$B$24:$U$30,MATCH("对"&amp;LEFT($C$5,2)&amp;"输出",标准坦克设计!$B$23:$U$23,0)))*(VLOOKUP($B168,INDIRECT($B$5&amp;"生成成长"),3))*(VLOOKUP($B$5,标准坦克设计!$B$14:$K$20,9)/30))</f>
        <v>2.1991247811486292</v>
      </c>
      <c r="BA168" s="172">
        <f ca="1">(VLOOKUP(BA$72,INDIRECT($C$5&amp;"生成成长"),2))/((VLOOKUP($B168,INDIRECT($B$5&amp;"生成成长"),4))/(VLOOKUP(BA$72,INDIRECT($C$5&amp;"生成成长"),5))*(VLOOKUP($B$5,标准坦克设计!$B$24:$U$30,MATCH("对"&amp;LEFT($C$5,2)&amp;"输出",标准坦克设计!$B$23:$U$23,0)))*(VLOOKUP($B168,INDIRECT($B$5&amp;"生成成长"),3))*(VLOOKUP($B$5,标准坦克设计!$B$14:$K$20,9)/30))</f>
        <v>2.4399533794041939</v>
      </c>
      <c r="BB168" s="172">
        <f ca="1">(VLOOKUP(BB$72,INDIRECT($C$5&amp;"生成成长"),2))/((VLOOKUP($B168,INDIRECT($B$5&amp;"生成成长"),4))/(VLOOKUP(BB$72,INDIRECT($C$5&amp;"生成成长"),5))*(VLOOKUP($B$5,标准坦克设计!$B$24:$U$30,MATCH("对"&amp;LEFT($C$5,2)&amp;"输出",标准坦克设计!$B$23:$U$23,0)))*(VLOOKUP($B168,INDIRECT($B$5&amp;"生成成长"),3))*(VLOOKUP($B$5,标准坦克设计!$B$14:$K$20,9)/30))</f>
        <v>2.6932925541925168</v>
      </c>
      <c r="BC168" s="172">
        <f ca="1">(VLOOKUP(BC$72,INDIRECT($C$5&amp;"生成成长"),2))/((VLOOKUP($B168,INDIRECT($B$5&amp;"生成成长"),4))/(VLOOKUP(BC$72,INDIRECT($C$5&amp;"生成成长"),5))*(VLOOKUP($B$5,标准坦克设计!$B$24:$U$30,MATCH("对"&amp;LEFT($C$5,2)&amp;"输出",标准坦克设计!$B$23:$U$23,0)))*(VLOOKUP($B168,INDIRECT($B$5&amp;"生成成长"),3))*(VLOOKUP($B$5,标准坦克设计!$B$14:$K$20,9)/30))</f>
        <v>2.9591423055135953</v>
      </c>
      <c r="BD168" s="172">
        <f ca="1">(VLOOKUP(BD$72,INDIRECT($C$5&amp;"生成成长"),2))/((VLOOKUP($B168,INDIRECT($B$5&amp;"生成成长"),4))/(VLOOKUP(BD$72,INDIRECT($C$5&amp;"生成成长"),5))*(VLOOKUP($B$5,标准坦克设计!$B$24:$U$30,MATCH("对"&amp;LEFT($C$5,2)&amp;"输出",标准坦克设计!$B$23:$U$23,0)))*(VLOOKUP($B168,INDIRECT($B$5&amp;"生成成长"),3))*(VLOOKUP($B$5,标准坦克设计!$B$14:$K$20,9)/30))</f>
        <v>3.2731773242616189</v>
      </c>
      <c r="BE168" s="172">
        <f ca="1">(VLOOKUP(BE$72,INDIRECT($C$5&amp;"生成成长"),2))/((VLOOKUP($B168,INDIRECT($B$5&amp;"生成成长"),4))/(VLOOKUP(BE$72,INDIRECT($C$5&amp;"生成成长"),5))*(VLOOKUP($B$5,标准坦克设计!$B$24:$U$30,MATCH("对"&amp;LEFT($C$5,2)&amp;"输出",标准坦克设计!$B$23:$U$23,0)))*(VLOOKUP($B168,INDIRECT($B$5&amp;"生成成长"),3))*(VLOOKUP($B$5,标准坦克设计!$B$14:$K$20,9)/30))</f>
        <v>3.6030460414339136</v>
      </c>
      <c r="BF168" s="172">
        <f ca="1">(VLOOKUP(BF$72,INDIRECT($C$5&amp;"生成成长"),2))/((VLOOKUP($B168,INDIRECT($B$5&amp;"生成成长"),4))/(VLOOKUP(BF$72,INDIRECT($C$5&amp;"生成成长"),5))*(VLOOKUP($B$5,标准坦克设计!$B$24:$U$30,MATCH("对"&amp;LEFT($C$5,2)&amp;"输出",标准坦克设计!$B$23:$U$23,0)))*(VLOOKUP($B168,INDIRECT($B$5&amp;"生成成长"),3))*(VLOOKUP($B$5,标准坦克设计!$B$14:$K$20,9)/30))</f>
        <v>3.9487484570304785</v>
      </c>
      <c r="BG168" s="172">
        <f ca="1">(VLOOKUP(BG$72,INDIRECT($C$5&amp;"生成成长"),2))/((VLOOKUP($B168,INDIRECT($B$5&amp;"生成成长"),4))/(VLOOKUP(BG$72,INDIRECT($C$5&amp;"生成成长"),5))*(VLOOKUP($B$5,标准坦克设计!$B$24:$U$30,MATCH("对"&amp;LEFT($C$5,2)&amp;"输出",标准坦克设计!$B$23:$U$23,0)))*(VLOOKUP($B168,INDIRECT($B$5&amp;"生成成长"),3))*(VLOOKUP($B$5,标准坦克设计!$B$14:$K$20,9)/30))</f>
        <v>4.3102845710513122</v>
      </c>
      <c r="BH168" s="172">
        <f ca="1">(VLOOKUP(BH$72,INDIRECT($C$5&amp;"生成成长"),2))/((VLOOKUP($B168,INDIRECT($B$5&amp;"生成成长"),4))/(VLOOKUP(BH$72,INDIRECT($C$5&amp;"生成成长"),5))*(VLOOKUP($B$5,标准坦克设计!$B$24:$U$30,MATCH("对"&amp;LEFT($C$5,2)&amp;"输出",标准坦克设计!$B$23:$U$23,0)))*(VLOOKUP($B168,INDIRECT($B$5&amp;"生成成长"),3))*(VLOOKUP($B$5,标准坦克设计!$B$14:$K$20,9)/30))</f>
        <v>2.0834019482206299</v>
      </c>
      <c r="BI168" s="172">
        <f ca="1">(VLOOKUP(BI$72,INDIRECT($C$5&amp;"生成成长"),2))/((VLOOKUP($B168,INDIRECT($B$5&amp;"生成成长"),4))/(VLOOKUP(BI$72,INDIRECT($C$5&amp;"生成成长"),5))*(VLOOKUP($B$5,标准坦克设计!$B$24:$U$30,MATCH("对"&amp;LEFT($C$5,2)&amp;"输出",标准坦克设计!$B$23:$U$23,0)))*(VLOOKUP($B168,INDIRECT($B$5&amp;"生成成长"),3))*(VLOOKUP($B$5,标准坦克设计!$B$14:$K$20,9)/30))</f>
        <v>2.3481765718709249</v>
      </c>
      <c r="BJ168" s="172">
        <f ca="1">(VLOOKUP(BJ$72,INDIRECT($C$5&amp;"生成成长"),2))/((VLOOKUP($B168,INDIRECT($B$5&amp;"生成成长"),4))/(VLOOKUP(BJ$72,INDIRECT($C$5&amp;"生成成长"),5))*(VLOOKUP($B$5,标准坦克设计!$B$24:$U$30,MATCH("对"&amp;LEFT($C$5,2)&amp;"输出",标准坦克设计!$B$23:$U$23,0)))*(VLOOKUP($B168,INDIRECT($B$5&amp;"生成成长"),3))*(VLOOKUP($B$5,标准坦克设计!$B$14:$K$20,9)/30))</f>
        <v>2.6287848939454896</v>
      </c>
      <c r="BK168" s="172">
        <f ca="1">(VLOOKUP(BK$72,INDIRECT($C$5&amp;"生成成长"),2))/((VLOOKUP($B168,INDIRECT($B$5&amp;"生成成长"),4))/(VLOOKUP(BK$72,INDIRECT($C$5&amp;"生成成长"),5))*(VLOOKUP($B$5,标准坦克设计!$B$24:$U$30,MATCH("对"&amp;LEFT($C$5,2)&amp;"输出",标准坦克设计!$B$23:$U$23,0)))*(VLOOKUP($B168,INDIRECT($B$5&amp;"生成成长"),3))*(VLOOKUP($B$5,标准坦克设计!$B$14:$K$20,9)/30))</f>
        <v>2.925226914444325</v>
      </c>
      <c r="BL168" s="172">
        <f ca="1">(VLOOKUP(BL$72,INDIRECT($C$5&amp;"生成成长"),2))/((VLOOKUP($B168,INDIRECT($B$5&amp;"生成成长"),4))/(VLOOKUP(BL$72,INDIRECT($C$5&amp;"生成成长"),5))*(VLOOKUP($B$5,标准坦克设计!$B$24:$U$30,MATCH("对"&amp;LEFT($C$5,2)&amp;"输出",标准坦克设计!$B$23:$U$23,0)))*(VLOOKUP($B168,INDIRECT($B$5&amp;"生成成长"),3))*(VLOOKUP($B$5,标准坦克设计!$B$14:$K$20,9)/30))</f>
        <v>3.2375026333674306</v>
      </c>
      <c r="BM168" s="172">
        <f ca="1">(VLOOKUP(BM$72,INDIRECT($C$5&amp;"生成成长"),2))/((VLOOKUP($B168,INDIRECT($B$5&amp;"生成成长"),4))/(VLOOKUP(BM$72,INDIRECT($C$5&amp;"生成成长"),5))*(VLOOKUP($B$5,标准坦克设计!$B$24:$U$30,MATCH("对"&amp;LEFT($C$5,2)&amp;"输出",标准坦克设计!$B$23:$U$23,0)))*(VLOOKUP($B168,INDIRECT($B$5&amp;"生成成长"),3))*(VLOOKUP($B$5,标准坦克设计!$B$14:$K$20,9)/30))</f>
        <v>3.5656120507148055</v>
      </c>
      <c r="BN168" s="172">
        <f ca="1">(VLOOKUP(BN$72,INDIRECT($C$5&amp;"生成成长"),2))/((VLOOKUP($B168,INDIRECT($B$5&amp;"生成成长"),4))/(VLOOKUP(BN$72,INDIRECT($C$5&amp;"生成成长"),5))*(VLOOKUP($B$5,标准坦克设计!$B$24:$U$30,MATCH("对"&amp;LEFT($C$5,2)&amp;"输出",标准坦克设计!$B$23:$U$23,0)))*(VLOOKUP($B168,INDIRECT($B$5&amp;"生成成长"),3))*(VLOOKUP($B$5,标准坦克设计!$B$14:$K$20,9)/30))</f>
        <v>3.9095551664864514</v>
      </c>
      <c r="BO168" s="172">
        <f ca="1">(VLOOKUP(BO$72,INDIRECT($C$5&amp;"生成成长"),2))/((VLOOKUP($B168,INDIRECT($B$5&amp;"生成成长"),4))/(VLOOKUP(BO$72,INDIRECT($C$5&amp;"生成成长"),5))*(VLOOKUP($B$5,标准坦克设计!$B$24:$U$30,MATCH("对"&amp;LEFT($C$5,2)&amp;"输出",标准坦克设计!$B$23:$U$23,0)))*(VLOOKUP($B168,INDIRECT($B$5&amp;"生成成长"),3))*(VLOOKUP($B$5,标准坦克设计!$B$14:$K$20,9)/30))</f>
        <v>4.2693319806823675</v>
      </c>
      <c r="BP168" s="172">
        <f ca="1">(VLOOKUP(BP$72,INDIRECT($C$5&amp;"生成成长"),2))/((VLOOKUP($B168,INDIRECT($B$5&amp;"生成成长"),4))/(VLOOKUP(BP$72,INDIRECT($C$5&amp;"生成成长"),5))*(VLOOKUP($B$5,标准坦克设计!$B$24:$U$30,MATCH("对"&amp;LEFT($C$5,2)&amp;"输出",标准坦克设计!$B$23:$U$23,0)))*(VLOOKUP($B168,INDIRECT($B$5&amp;"生成成长"),3))*(VLOOKUP($B$5,标准坦克设计!$B$14:$K$20,9)/30))</f>
        <v>4.6449424933025529</v>
      </c>
      <c r="BQ168" s="172">
        <f ca="1">(VLOOKUP(BQ$72,INDIRECT($C$5&amp;"生成成长"),2))/((VLOOKUP($B168,INDIRECT($B$5&amp;"生成成长"),4))/(VLOOKUP(BQ$72,INDIRECT($C$5&amp;"生成成长"),5))*(VLOOKUP($B$5,标准坦克设计!$B$24:$U$30,MATCH("对"&amp;LEFT($C$5,2)&amp;"输出",标准坦克设计!$B$23:$U$23,0)))*(VLOOKUP($B168,INDIRECT($B$5&amp;"生成成长"),3))*(VLOOKUP($B$5,标准坦克设计!$B$14:$K$20,9)/30))</f>
        <v>5.0363867043470094</v>
      </c>
      <c r="BR168" s="172">
        <f ca="1">(VLOOKUP(BR$72,INDIRECT($C$5&amp;"生成成长"),2))/((VLOOKUP($B168,INDIRECT($B$5&amp;"生成成长"),4))/(VLOOKUP(BR$72,INDIRECT($C$5&amp;"生成成长"),5))*(VLOOKUP($B$5,标准坦克设计!$B$24:$U$30,MATCH("对"&amp;LEFT($C$5,2)&amp;"输出",标准坦克设计!$B$23:$U$23,0)))*(VLOOKUP($B168,INDIRECT($B$5&amp;"生成成长"),3))*(VLOOKUP($B$5,标准坦克设计!$B$14:$K$20,9)/30))</f>
        <v>5.4898951036594372</v>
      </c>
      <c r="BS168" s="172">
        <f ca="1">(VLOOKUP(BS$72,INDIRECT($C$5&amp;"生成成长"),2))/((VLOOKUP($B168,INDIRECT($B$5&amp;"生成成长"),4))/(VLOOKUP(BS$72,INDIRECT($C$5&amp;"生成成长"),5))*(VLOOKUP($B$5,标准坦克设计!$B$24:$U$30,MATCH("对"&amp;LEFT($C$5,2)&amp;"输出",标准坦克设计!$B$23:$U$23,0)))*(VLOOKUP($B168,INDIRECT($B$5&amp;"生成成长"),3))*(VLOOKUP($B$5,标准坦克设计!$B$14:$K$20,9)/30))</f>
        <v>5.9629512788042964</v>
      </c>
      <c r="BT168" s="172">
        <f ca="1">(VLOOKUP(BT$72,INDIRECT($C$5&amp;"生成成长"),2))/((VLOOKUP($B168,INDIRECT($B$5&amp;"生成成长"),4))/(VLOOKUP(BT$72,INDIRECT($C$5&amp;"生成成长"),5))*(VLOOKUP($B$5,标准坦克设计!$B$24:$U$30,MATCH("对"&amp;LEFT($C$5,2)&amp;"输出",标准坦克设计!$B$23:$U$23,0)))*(VLOOKUP($B168,INDIRECT($B$5&amp;"生成成长"),3))*(VLOOKUP($B$5,标准坦克设计!$B$14:$K$20,9)/30))</f>
        <v>6.4555552297815906</v>
      </c>
      <c r="BU168" s="172">
        <f ca="1">(VLOOKUP(BU$72,INDIRECT($C$5&amp;"生成成长"),2))/((VLOOKUP($B168,INDIRECT($B$5&amp;"生成成长"),4))/(VLOOKUP(BU$72,INDIRECT($C$5&amp;"生成成长"),5))*(VLOOKUP($B$5,标准坦克设计!$B$24:$U$30,MATCH("对"&amp;LEFT($C$5,2)&amp;"输出",标准坦克设计!$B$23:$U$23,0)))*(VLOOKUP($B168,INDIRECT($B$5&amp;"生成成长"),3))*(VLOOKUP($B$5,标准坦克设计!$B$14:$K$20,9)/30))</f>
        <v>6.9677069565913143</v>
      </c>
      <c r="BV168" s="172">
        <f ca="1">(VLOOKUP(BV$72,INDIRECT($C$5&amp;"生成成长"),2))/((VLOOKUP($B168,INDIRECT($B$5&amp;"生成成长"),4))/(VLOOKUP(BV$72,INDIRECT($C$5&amp;"生成成长"),5))*(VLOOKUP($B$5,标准坦克设计!$B$24:$U$30,MATCH("对"&amp;LEFT($C$5,2)&amp;"输出",标准坦克设计!$B$23:$U$23,0)))*(VLOOKUP($B168,INDIRECT($B$5&amp;"生成成长"),3))*(VLOOKUP($B$5,标准坦克设计!$B$14:$K$20,9)/30))</f>
        <v>7.499406459233473</v>
      </c>
      <c r="BW168" s="172">
        <f ca="1">(VLOOKUP(BW$72,INDIRECT($C$5&amp;"生成成长"),2))/((VLOOKUP($B168,INDIRECT($B$5&amp;"生成成长"),4))/(VLOOKUP(BW$72,INDIRECT($C$5&amp;"生成成长"),5))*(VLOOKUP($B$5,标准坦克设计!$B$24:$U$30,MATCH("对"&amp;LEFT($C$5,2)&amp;"输出",标准坦克设计!$B$23:$U$23,0)))*(VLOOKUP($B168,INDIRECT($B$5&amp;"生成成长"),3))*(VLOOKUP($B$5,标准坦克设计!$B$14:$K$20,9)/30))</f>
        <v>3.4178308654216183</v>
      </c>
      <c r="BX168" s="172">
        <f ca="1">(VLOOKUP(BX$72,INDIRECT($C$5&amp;"生成成长"),2))/((VLOOKUP($B168,INDIRECT($B$5&amp;"生成成长"),4))/(VLOOKUP(BX$72,INDIRECT($C$5&amp;"生成成长"),5))*(VLOOKUP($B$5,标准坦克设计!$B$24:$U$30,MATCH("对"&amp;LEFT($C$5,2)&amp;"输出",标准坦克设计!$B$23:$U$23,0)))*(VLOOKUP($B168,INDIRECT($B$5&amp;"生成成长"),3))*(VLOOKUP($B$5,标准坦克设计!$B$14:$K$20,9)/30))</f>
        <v>3.793148161404317</v>
      </c>
      <c r="BY168" s="172">
        <f ca="1">(VLOOKUP(BY$72,INDIRECT($C$5&amp;"生成成长"),2))/((VLOOKUP($B168,INDIRECT($B$5&amp;"生成成长"),4))/(VLOOKUP(BY$72,INDIRECT($C$5&amp;"生成成长"),5))*(VLOOKUP($B$5,标准坦克设计!$B$24:$U$30,MATCH("对"&amp;LEFT($C$5,2)&amp;"输出",标准坦克设计!$B$23:$U$23,0)))*(VLOOKUP($B168,INDIRECT($B$5&amp;"生成成长"),3))*(VLOOKUP($B$5,标准坦克设计!$B$14:$K$20,9)/30))</f>
        <v>4.1880132332194497</v>
      </c>
      <c r="BZ168" s="172">
        <f ca="1">(VLOOKUP(BZ$72,INDIRECT($C$5&amp;"生成成长"),2))/((VLOOKUP($B168,INDIRECT($B$5&amp;"生成成长"),4))/(VLOOKUP(BZ$72,INDIRECT($C$5&amp;"生成成长"),5))*(VLOOKUP($B$5,标准坦克设计!$B$24:$U$30,MATCH("对"&amp;LEFT($C$5,2)&amp;"输出",标准坦克设计!$B$23:$U$23,0)))*(VLOOKUP($B168,INDIRECT($B$5&amp;"生成成长"),3))*(VLOOKUP($B$5,标准坦克设计!$B$14:$K$20,9)/30))</f>
        <v>4.602426080867013</v>
      </c>
      <c r="CA168" s="172">
        <f ca="1">(VLOOKUP(CA$72,INDIRECT($C$5&amp;"生成成长"),2))/((VLOOKUP($B168,INDIRECT($B$5&amp;"生成成长"),4))/(VLOOKUP(CA$72,INDIRECT($C$5&amp;"生成成长"),5))*(VLOOKUP($B$5,标准坦克设计!$B$24:$U$30,MATCH("对"&amp;LEFT($C$5,2)&amp;"输出",标准坦克设计!$B$23:$U$23,0)))*(VLOOKUP($B168,INDIRECT($B$5&amp;"生成成长"),3))*(VLOOKUP($B$5,标准坦克设计!$B$14:$K$20,9)/30))</f>
        <v>5.0363867043470094</v>
      </c>
      <c r="CB168" s="172">
        <f ca="1">(VLOOKUP(CB$72,INDIRECT($C$5&amp;"生成成长"),2))/((VLOOKUP($B168,INDIRECT($B$5&amp;"生成成长"),4))/(VLOOKUP(CB$72,INDIRECT($C$5&amp;"生成成长"),5))*(VLOOKUP($B$5,标准坦克设计!$B$24:$U$30,MATCH("对"&amp;LEFT($C$5,2)&amp;"输出",标准坦克设计!$B$23:$U$23,0)))*(VLOOKUP($B168,INDIRECT($B$5&amp;"生成成长"),3))*(VLOOKUP($B$5,标准坦克设计!$B$14:$K$20,9)/30))</f>
        <v>5.4898951036594372</v>
      </c>
      <c r="CC168" s="172">
        <f ca="1">(VLOOKUP(CC$72,INDIRECT($C$5&amp;"生成成长"),2))/((VLOOKUP($B168,INDIRECT($B$5&amp;"生成成长"),4))/(VLOOKUP(CC$72,INDIRECT($C$5&amp;"生成成长"),5))*(VLOOKUP($B$5,标准坦克设计!$B$24:$U$30,MATCH("对"&amp;LEFT($C$5,2)&amp;"输出",标准坦克设计!$B$23:$U$23,0)))*(VLOOKUP($B168,INDIRECT($B$5&amp;"生成成长"),3))*(VLOOKUP($B$5,标准坦克设计!$B$14:$K$20,9)/30))</f>
        <v>5.9629512788042964</v>
      </c>
      <c r="CD168" s="172">
        <f ca="1">(VLOOKUP(CD$72,INDIRECT($C$5&amp;"生成成长"),2))/((VLOOKUP($B168,INDIRECT($B$5&amp;"生成成长"),4))/(VLOOKUP(CD$72,INDIRECT($C$5&amp;"生成成长"),5))*(VLOOKUP($B$5,标准坦克设计!$B$24:$U$30,MATCH("对"&amp;LEFT($C$5,2)&amp;"输出",标准坦克设计!$B$23:$U$23,0)))*(VLOOKUP($B168,INDIRECT($B$5&amp;"生成成长"),3))*(VLOOKUP($B$5,标准坦克设计!$B$14:$K$20,9)/30))</f>
        <v>6.4555552297815906</v>
      </c>
      <c r="CE168" s="172">
        <f ca="1">(VLOOKUP(CE$72,INDIRECT($C$5&amp;"生成成长"),2))/((VLOOKUP($B168,INDIRECT($B$5&amp;"生成成长"),4))/(VLOOKUP(CE$72,INDIRECT($C$5&amp;"生成成长"),5))*(VLOOKUP($B$5,标准坦克设计!$B$24:$U$30,MATCH("对"&amp;LEFT($C$5,2)&amp;"输出",标准坦克设计!$B$23:$U$23,0)))*(VLOOKUP($B168,INDIRECT($B$5&amp;"生成成长"),3))*(VLOOKUP($B$5,标准坦克设计!$B$14:$K$20,9)/30))</f>
        <v>6.9677069565913143</v>
      </c>
      <c r="CF168" s="172">
        <f ca="1">(VLOOKUP(CF$72,INDIRECT($C$5&amp;"生成成长"),2))/((VLOOKUP($B168,INDIRECT($B$5&amp;"生成成长"),4))/(VLOOKUP(CF$72,INDIRECT($C$5&amp;"生成成长"),5))*(VLOOKUP($B$5,标准坦克设计!$B$24:$U$30,MATCH("对"&amp;LEFT($C$5,2)&amp;"输出",标准坦克设计!$B$23:$U$23,0)))*(VLOOKUP($B168,INDIRECT($B$5&amp;"生成成长"),3))*(VLOOKUP($B$5,标准坦克设计!$B$14:$K$20,9)/30))</f>
        <v>7.499406459233473</v>
      </c>
      <c r="CG168" s="172">
        <f ca="1">(VLOOKUP(CG$72,INDIRECT($C$5&amp;"生成成长"),2))/((VLOOKUP($B168,INDIRECT($B$5&amp;"生成成长"),4))/(VLOOKUP(CG$72,INDIRECT($C$5&amp;"生成成长"),5))*(VLOOKUP($B$5,标准坦克设计!$B$24:$U$30,MATCH("对"&amp;LEFT($C$5,2)&amp;"输出",标准坦克设计!$B$23:$U$23,0)))*(VLOOKUP($B168,INDIRECT($B$5&amp;"生成成长"),3))*(VLOOKUP($B$5,标准坦克设计!$B$14:$K$20,9)/30))</f>
        <v>8.0506537377080623</v>
      </c>
      <c r="CH168" s="172">
        <f ca="1">(VLOOKUP(CH$72,INDIRECT($C$5&amp;"生成成长"),2))/((VLOOKUP($B168,INDIRECT($B$5&amp;"生成成长"),4))/(VLOOKUP(CH$72,INDIRECT($C$5&amp;"生成成长"),5))*(VLOOKUP($B$5,标准坦克设计!$B$24:$U$30,MATCH("对"&amp;LEFT($C$5,2)&amp;"输出",标准坦克设计!$B$23:$U$23,0)))*(VLOOKUP($B168,INDIRECT($B$5&amp;"生成成长"),3))*(VLOOKUP($B$5,标准坦克设计!$B$14:$K$20,9)/30))</f>
        <v>8.621448792015082</v>
      </c>
      <c r="CI168" s="172">
        <f ca="1">(VLOOKUP(CI$72,INDIRECT($C$5&amp;"生成成长"),2))/((VLOOKUP($B168,INDIRECT($B$5&amp;"生成成长"),4))/(VLOOKUP(CI$72,INDIRECT($C$5&amp;"生成成长"),5))*(VLOOKUP($B$5,标准坦克设计!$B$24:$U$30,MATCH("对"&amp;LEFT($C$5,2)&amp;"输出",标准坦克设计!$B$23:$U$23,0)))*(VLOOKUP($B168,INDIRECT($B$5&amp;"生成成长"),3))*(VLOOKUP($B$5,标准坦克设计!$B$14:$K$20,9)/30))</f>
        <v>9.2719010328392688</v>
      </c>
      <c r="CJ168" s="172">
        <f ca="1">(VLOOKUP(CJ$72,INDIRECT($C$5&amp;"生成成长"),2))/((VLOOKUP($B168,INDIRECT($B$5&amp;"生成成长"),4))/(VLOOKUP(CJ$72,INDIRECT($C$5&amp;"生成成长"),5))*(VLOOKUP($B$5,标准坦克设计!$B$24:$U$30,MATCH("对"&amp;LEFT($C$5,2)&amp;"输出",标准坦克设计!$B$23:$U$23,0)))*(VLOOKUP($B168,INDIRECT($B$5&amp;"生成成长"),3))*(VLOOKUP($B$5,标准坦克设计!$B$14:$K$20,9)/30))</f>
        <v>9.9460060824206931</v>
      </c>
      <c r="CK168" s="172">
        <f ca="1">(VLOOKUP(CK$72,INDIRECT($C$5&amp;"生成成长"),2))/((VLOOKUP($B168,INDIRECT($B$5&amp;"生成成长"),4))/(VLOOKUP(CK$72,INDIRECT($C$5&amp;"生成成长"),5))*(VLOOKUP($B$5,标准坦克设计!$B$24:$U$30,MATCH("对"&amp;LEFT($C$5,2)&amp;"输出",标准坦克设计!$B$23:$U$23,0)))*(VLOOKUP($B168,INDIRECT($B$5&amp;"生成成长"),3))*(VLOOKUP($B$5,标准坦克设计!$B$14:$K$20,9)/30))</f>
        <v>10.643763940759364</v>
      </c>
      <c r="CL168" s="172">
        <f ca="1">(VLOOKUP(CL$72,INDIRECT($C$5&amp;"生成成长"),2))/((VLOOKUP($B168,INDIRECT($B$5&amp;"生成成长"),4))/(VLOOKUP(CL$72,INDIRECT($C$5&amp;"生成成长"),5))*(VLOOKUP($B$5,标准坦克设计!$B$24:$U$30,MATCH("对"&amp;LEFT($C$5,2)&amp;"输出",标准坦克设计!$B$23:$U$23,0)))*(VLOOKUP($B168,INDIRECT($B$5&amp;"生成成长"),3))*(VLOOKUP($B$5,标准坦克设计!$B$14:$K$20,9)/30))</f>
        <v>11.365174607855275</v>
      </c>
      <c r="CM168" s="172">
        <f ca="1">(VLOOKUP(CM$72,INDIRECT($C$5&amp;"生成成长"),2))/((VLOOKUP($B168,INDIRECT($B$5&amp;"生成成长"),4))/(VLOOKUP(CM$72,INDIRECT($C$5&amp;"生成成长"),5))*(VLOOKUP($B$5,标准坦克设计!$B$24:$U$30,MATCH("对"&amp;LEFT($C$5,2)&amp;"输出",标准坦克设计!$B$23:$U$23,0)))*(VLOOKUP($B168,INDIRECT($B$5&amp;"生成成长"),3))*(VLOOKUP($B$5,标准坦克设计!$B$14:$K$20,9)/30))</f>
        <v>12.110238083708431</v>
      </c>
      <c r="CN168" s="172">
        <f ca="1">(VLOOKUP(CN$72,INDIRECT($C$5&amp;"生成成长"),2))/((VLOOKUP($B168,INDIRECT($B$5&amp;"生成成长"),4))/(VLOOKUP(CN$72,INDIRECT($C$5&amp;"生成成长"),5))*(VLOOKUP($B$5,标准坦克设计!$B$24:$U$30,MATCH("对"&amp;LEFT($C$5,2)&amp;"输出",标准坦克设计!$B$23:$U$23,0)))*(VLOOKUP($B168,INDIRECT($B$5&amp;"生成成长"),3))*(VLOOKUP($B$5,标准坦克设计!$B$14:$K$20,9)/30))</f>
        <v>12.878954368318833</v>
      </c>
      <c r="CO168" s="172">
        <f ca="1">(VLOOKUP(CO$72,INDIRECT($C$5&amp;"生成成长"),2))/((VLOOKUP($B168,INDIRECT($B$5&amp;"生成成长"),4))/(VLOOKUP(CO$72,INDIRECT($C$5&amp;"生成成长"),5))*(VLOOKUP($B$5,标准坦克设计!$B$24:$U$30,MATCH("对"&amp;LEFT($C$5,2)&amp;"输出",标准坦克设计!$B$23:$U$23,0)))*(VLOOKUP($B168,INDIRECT($B$5&amp;"生成成长"),3))*(VLOOKUP($B$5,标准坦克设计!$B$14:$K$20,9)/30))</f>
        <v>5.7713830756464617</v>
      </c>
      <c r="CP168" s="172">
        <f ca="1">(VLOOKUP(CP$72,INDIRECT($C$5&amp;"生成成长"),2))/((VLOOKUP($B168,INDIRECT($B$5&amp;"生成成长"),4))/(VLOOKUP(CP$72,INDIRECT($C$5&amp;"生成成长"),5))*(VLOOKUP($B$5,标准坦克设计!$B$24:$U$30,MATCH("对"&amp;LEFT($C$5,2)&amp;"输出",标准坦克设计!$B$23:$U$23,0)))*(VLOOKUP($B168,INDIRECT($B$5&amp;"生成成长"),3))*(VLOOKUP($B$5,标准坦克设计!$B$14:$K$20,9)/30))</f>
        <v>6.3057215280259982</v>
      </c>
      <c r="CQ168" s="172">
        <f ca="1">(VLOOKUP(CQ$72,INDIRECT($C$5&amp;"生成成长"),2))/((VLOOKUP($B168,INDIRECT($B$5&amp;"生成成长"),4))/(VLOOKUP(CQ$72,INDIRECT($C$5&amp;"生成成长"),5))*(VLOOKUP($B$5,标准坦克设计!$B$24:$U$30,MATCH("对"&amp;LEFT($C$5,2)&amp;"输出",标准坦克设计!$B$23:$U$23,0)))*(VLOOKUP($B168,INDIRECT($B$5&amp;"生成成长"),3))*(VLOOKUP($B$5,标准坦克设计!$B$14:$K$20,9)/30))</f>
        <v>6.8637127891627756</v>
      </c>
      <c r="CR168" s="172">
        <f ca="1">(VLOOKUP(CR$72,INDIRECT($C$5&amp;"生成成长"),2))/((VLOOKUP($B168,INDIRECT($B$5&amp;"生成成长"),4))/(VLOOKUP(CR$72,INDIRECT($C$5&amp;"生成成长"),5))*(VLOOKUP($B$5,标准坦克设计!$B$24:$U$30,MATCH("对"&amp;LEFT($C$5,2)&amp;"输出",标准坦克设计!$B$23:$U$23,0)))*(VLOOKUP($B168,INDIRECT($B$5&amp;"生成成长"),3))*(VLOOKUP($B$5,标准坦克设计!$B$14:$K$20,9)/30))</f>
        <v>7.4453568590567993</v>
      </c>
      <c r="CS168" s="172">
        <f ca="1">(VLOOKUP(CS$72,INDIRECT($C$5&amp;"生成成长"),2))/((VLOOKUP($B168,INDIRECT($B$5&amp;"生成成长"),4))/(VLOOKUP(CS$72,INDIRECT($C$5&amp;"生成成长"),5))*(VLOOKUP($B$5,标准坦克设计!$B$24:$U$30,MATCH("对"&amp;LEFT($C$5,2)&amp;"输出",标准坦克设计!$B$23:$U$23,0)))*(VLOOKUP($B168,INDIRECT($B$5&amp;"生成成长"),3))*(VLOOKUP($B$5,标准坦克设计!$B$14:$K$20,9)/30))</f>
        <v>8.0506537377080623</v>
      </c>
      <c r="CT168" s="172">
        <f ca="1">(VLOOKUP(CT$72,INDIRECT($C$5&amp;"生成成长"),2))/((VLOOKUP($B168,INDIRECT($B$5&amp;"生成成长"),4))/(VLOOKUP(CT$72,INDIRECT($C$5&amp;"生成成长"),5))*(VLOOKUP($B$5,标准坦克设计!$B$24:$U$30,MATCH("对"&amp;LEFT($C$5,2)&amp;"输出",标准坦克设计!$B$23:$U$23,0)))*(VLOOKUP($B168,INDIRECT($B$5&amp;"生成成长"),3))*(VLOOKUP($B$5,标准坦克设计!$B$14:$K$20,9)/30))</f>
        <v>8.6796034251165715</v>
      </c>
      <c r="CU168" s="172">
        <f ca="1">(VLOOKUP(CU$72,INDIRECT($C$5&amp;"生成成长"),2))/((VLOOKUP($B168,INDIRECT($B$5&amp;"生成成长"),4))/(VLOOKUP(CU$72,INDIRECT($C$5&amp;"生成成长"),5))*(VLOOKUP($B$5,标准坦克设计!$B$24:$U$30,MATCH("对"&amp;LEFT($C$5,2)&amp;"输出",标准坦克设计!$B$23:$U$23,0)))*(VLOOKUP($B168,INDIRECT($B$5&amp;"生成成长"),3))*(VLOOKUP($B$5,标准坦克设计!$B$14:$K$20,9)/30))</f>
        <v>9.3322059212823216</v>
      </c>
      <c r="CV168" s="172">
        <f ca="1">(VLOOKUP(CV$72,INDIRECT($C$5&amp;"生成成长"),2))/((VLOOKUP($B168,INDIRECT($B$5&amp;"生成成长"),4))/(VLOOKUP(CV$72,INDIRECT($C$5&amp;"生成成长"),5))*(VLOOKUP($B$5,标准坦克设计!$B$24:$U$30,MATCH("对"&amp;LEFT($C$5,2)&amp;"输出",标准坦克设计!$B$23:$U$23,0)))*(VLOOKUP($B168,INDIRECT($B$5&amp;"生成成长"),3))*(VLOOKUP($B$5,标准坦克设计!$B$14:$K$20,9)/30))</f>
        <v>10.008461226205313</v>
      </c>
      <c r="CW168" s="172">
        <f ca="1">(VLOOKUP(CW$72,INDIRECT($C$5&amp;"生成成长"),2))/((VLOOKUP($B168,INDIRECT($B$5&amp;"生成成长"),4))/(VLOOKUP(CW$72,INDIRECT($C$5&amp;"生成成长"),5))*(VLOOKUP($B$5,标准坦克设计!$B$24:$U$30,MATCH("对"&amp;LEFT($C$5,2)&amp;"输出",标准坦克设计!$B$23:$U$23,0)))*(VLOOKUP($B168,INDIRECT($B$5&amp;"生成成长"),3))*(VLOOKUP($B$5,标准坦克设计!$B$14:$K$20,9)/30))</f>
        <v>10.70836933988555</v>
      </c>
      <c r="CX168" s="172">
        <f ca="1">(VLOOKUP(CX$72,INDIRECT($C$5&amp;"生成成长"),2))/((VLOOKUP($B168,INDIRECT($B$5&amp;"生成成长"),4))/(VLOOKUP(CX$72,INDIRECT($C$5&amp;"生成成长"),5))*(VLOOKUP($B$5,标准坦克设计!$B$24:$U$30,MATCH("对"&amp;LEFT($C$5,2)&amp;"输出",标准坦克设计!$B$23:$U$23,0)))*(VLOOKUP($B168,INDIRECT($B$5&amp;"生成成长"),3))*(VLOOKUP($B$5,标准坦克设计!$B$14:$K$20,9)/30))</f>
        <v>11.431930262323032</v>
      </c>
      <c r="CY168" s="172">
        <f ca="1">(VLOOKUP(CY$72,INDIRECT($C$5&amp;"生成成长"),2))/((VLOOKUP($B168,INDIRECT($B$5&amp;"生成成长"),4))/(VLOOKUP(CY$72,INDIRECT($C$5&amp;"生成成长"),5))*(VLOOKUP($B$5,标准坦克设计!$B$24:$U$30,MATCH("对"&amp;LEFT($C$5,2)&amp;"输出",标准坦克设计!$B$23:$U$23,0)))*(VLOOKUP($B168,INDIRECT($B$5&amp;"生成成长"),3))*(VLOOKUP($B$5,标准坦克设计!$B$14:$K$20,9)/30))</f>
        <v>12.179143993517753</v>
      </c>
      <c r="CZ168" s="172">
        <f ca="1">(VLOOKUP(CZ$72,INDIRECT($C$5&amp;"生成成长"),2))/((VLOOKUP($B168,INDIRECT($B$5&amp;"生成成长"),4))/(VLOOKUP(CZ$72,INDIRECT($C$5&amp;"生成成长"),5))*(VLOOKUP($B$5,标准坦克设计!$B$24:$U$30,MATCH("对"&amp;LEFT($C$5,2)&amp;"输出",标准坦克设计!$B$23:$U$23,0)))*(VLOOKUP($B168,INDIRECT($B$5&amp;"生成成长"),3))*(VLOOKUP($B$5,标准坦克设计!$B$14:$K$20,9)/30))</f>
        <v>12.950010533469722</v>
      </c>
      <c r="DA168" s="172">
        <f ca="1">(VLOOKUP(DA$72,INDIRECT($C$5&amp;"生成成长"),2))/((VLOOKUP($B168,INDIRECT($B$5&amp;"生成成长"),4))/(VLOOKUP(DA$72,INDIRECT($C$5&amp;"生成成长"),5))*(VLOOKUP($B$5,标准坦克设计!$B$24:$U$30,MATCH("对"&amp;LEFT($C$5,2)&amp;"输出",标准坦克设计!$B$23:$U$23,0)))*(VLOOKUP($B168,INDIRECT($B$5&amp;"生成成长"),3))*(VLOOKUP($B$5,标准坦克设计!$B$14:$K$20,9)/30))</f>
        <v>13.744529882178929</v>
      </c>
      <c r="DB168" s="172">
        <f ca="1">(VLOOKUP(DB$72,INDIRECT($C$5&amp;"生成成长"),2))/((VLOOKUP($B168,INDIRECT($B$5&amp;"生成成长"),4))/(VLOOKUP(DB$72,INDIRECT($C$5&amp;"生成成长"),5))*(VLOOKUP($B$5,标准坦克设计!$B$24:$U$30,MATCH("对"&amp;LEFT($C$5,2)&amp;"输出",标准坦克设计!$B$23:$U$23,0)))*(VLOOKUP($B168,INDIRECT($B$5&amp;"生成成长"),3))*(VLOOKUP($B$5,标准坦克设计!$B$14:$K$20,9)/30))</f>
        <v>14.562702039645384</v>
      </c>
      <c r="DC168" s="172">
        <f ca="1">(VLOOKUP(DC$72,INDIRECT($C$5&amp;"生成成长"),2))/((VLOOKUP($B168,INDIRECT($B$5&amp;"生成成长"),4))/(VLOOKUP(DC$72,INDIRECT($C$5&amp;"生成成长"),5))*(VLOOKUP($B$5,标准坦克设计!$B$24:$U$30,MATCH("对"&amp;LEFT($C$5,2)&amp;"输出",标准坦克设计!$B$23:$U$23,0)))*(VLOOKUP($B168,INDIRECT($B$5&amp;"生成成长"),3))*(VLOOKUP($B$5,标准坦克设计!$B$14:$K$20,9)/30))</f>
        <v>15.482229414802994</v>
      </c>
      <c r="DD168" s="172">
        <f ca="1">(VLOOKUP(DD$72,INDIRECT($C$5&amp;"生成成长"),2))/((VLOOKUP($B168,INDIRECT($B$5&amp;"生成成长"),4))/(VLOOKUP(DD$72,INDIRECT($C$5&amp;"生成成长"),5))*(VLOOKUP($B$5,标准坦克设计!$B$24:$U$30,MATCH("对"&amp;LEFT($C$5,2)&amp;"输出",标准坦克设计!$B$23:$U$23,0)))*(VLOOKUP($B168,INDIRECT($B$5&amp;"生成成长"),3))*(VLOOKUP($B$5,标准坦克设计!$B$14:$K$20,9)/30))</f>
        <v>16.429905587159315</v>
      </c>
      <c r="DE168" s="172">
        <f ca="1">(VLOOKUP(DE$72,INDIRECT($C$5&amp;"生成成长"),2))/((VLOOKUP($B168,INDIRECT($B$5&amp;"生成成长"),4))/(VLOOKUP(DE$72,INDIRECT($C$5&amp;"生成成长"),5))*(VLOOKUP($B$5,标准坦克设计!$B$24:$U$30,MATCH("对"&amp;LEFT($C$5,2)&amp;"输出",标准坦克设计!$B$23:$U$23,0)))*(VLOOKUP($B168,INDIRECT($B$5&amp;"生成成长"),3))*(VLOOKUP($B$5,标准坦克设计!$B$14:$K$20,9)/30))</f>
        <v>17.405730556714332</v>
      </c>
      <c r="DF168" s="172">
        <f ca="1">(VLOOKUP(DF$72,INDIRECT($C$5&amp;"生成成长"),2))/((VLOOKUP($B168,INDIRECT($B$5&amp;"生成成长"),4))/(VLOOKUP(DF$72,INDIRECT($C$5&amp;"生成成长"),5))*(VLOOKUP($B$5,标准坦克设计!$B$24:$U$30,MATCH("对"&amp;LEFT($C$5,2)&amp;"输出",标准坦克设计!$B$23:$U$23,0)))*(VLOOKUP($B168,INDIRECT($B$5&amp;"生成成长"),3))*(VLOOKUP($B$5,标准坦克设计!$B$14:$K$20,9)/30))</f>
        <v>18.409704323468052</v>
      </c>
      <c r="DG168" s="172">
        <f ca="1">(VLOOKUP(DG$72,INDIRECT($C$5&amp;"生成成长"),2))/((VLOOKUP($B168,INDIRECT($B$5&amp;"生成成长"),4))/(VLOOKUP(DG$72,INDIRECT($C$5&amp;"生成成长"),5))*(VLOOKUP($B$5,标准坦克设计!$B$24:$U$30,MATCH("对"&amp;LEFT($C$5,2)&amp;"输出",标准坦克设计!$B$23:$U$23,0)))*(VLOOKUP($B168,INDIRECT($B$5&amp;"生成成长"),3))*(VLOOKUP($B$5,标准坦克设计!$B$14:$K$20,9)/30))</f>
        <v>19.441826887420472</v>
      </c>
      <c r="DH168" s="172">
        <f ca="1">(VLOOKUP(DH$72,INDIRECT($C$5&amp;"生成成长"),2))/((VLOOKUP($B168,INDIRECT($B$5&amp;"生成成长"),4))/(VLOOKUP(DH$72,INDIRECT($C$5&amp;"生成成长"),5))*(VLOOKUP($B$5,标准坦克设计!$B$24:$U$30,MATCH("对"&amp;LEFT($C$5,2)&amp;"输出",标准坦克设计!$B$23:$U$23,0)))*(VLOOKUP($B168,INDIRECT($B$5&amp;"生成成长"),3))*(VLOOKUP($B$5,标准坦克设计!$B$14:$K$20,9)/30))</f>
        <v>20.502098248571599</v>
      </c>
      <c r="DI168" s="172">
        <f ca="1">(VLOOKUP(DI$72,INDIRECT($C$5&amp;"生成成长"),2))/((VLOOKUP($B168,INDIRECT($B$5&amp;"生成成长"),4))/(VLOOKUP(DI$72,INDIRECT($C$5&amp;"生成成长"),5))*(VLOOKUP($B$5,标准坦克设计!$B$24:$U$30,MATCH("对"&amp;LEFT($C$5,2)&amp;"输出",标准坦克设计!$B$23:$U$23,0)))*(VLOOKUP($B168,INDIRECT($B$5&amp;"生成成长"),3))*(VLOOKUP($B$5,标准坦克设计!$B$14:$K$20,9)/30))</f>
        <v>21.590518406921426</v>
      </c>
      <c r="DJ168" s="172">
        <f ca="1">(VLOOKUP(DJ$72,INDIRECT($C$5&amp;"生成成长"),2))/((VLOOKUP($B168,INDIRECT($B$5&amp;"生成成长"),4))/(VLOOKUP(DJ$72,INDIRECT($C$5&amp;"生成成长"),5))*(VLOOKUP($B$5,标准坦克设计!$B$24:$U$30,MATCH("对"&amp;LEFT($C$5,2)&amp;"输出",标准坦克设计!$B$23:$U$23,0)))*(VLOOKUP($B168,INDIRECT($B$5&amp;"生成成长"),3))*(VLOOKUP($B$5,标准坦克设计!$B$14:$K$20,9)/30))</f>
        <v>2.1699008562791429</v>
      </c>
      <c r="DK168" s="172">
        <f ca="1">(VLOOKUP(DK$72,INDIRECT($C$5&amp;"生成成长"),2))/((VLOOKUP($B168,INDIRECT($B$5&amp;"生成成长"),4))/(VLOOKUP(DK$72,INDIRECT($C$5&amp;"生成成长"),5))*(VLOOKUP($B$5,标准坦克设计!$B$24:$U$30,MATCH("对"&amp;LEFT($C$5,2)&amp;"输出",标准坦克设计!$B$23:$U$23,0)))*(VLOOKUP($B168,INDIRECT($B$5&amp;"生成成长"),3))*(VLOOKUP($B$5,标准坦克设计!$B$14:$K$20,9)/30))</f>
        <v>2.4399533794041939</v>
      </c>
      <c r="DL168" s="172">
        <f ca="1">(VLOOKUP(DL$72,INDIRECT($C$5&amp;"生成成长"),2))/((VLOOKUP($B168,INDIRECT($B$5&amp;"生成成长"),4))/(VLOOKUP(DL$72,INDIRECT($C$5&amp;"生成成长"),5))*(VLOOKUP($B$5,标准坦克设计!$B$24:$U$30,MATCH("对"&amp;LEFT($C$5,2)&amp;"输出",标准坦克设计!$B$23:$U$23,0)))*(VLOOKUP($B168,INDIRECT($B$5&amp;"生成成长"),3))*(VLOOKUP($B$5,标准坦克设计!$B$14:$K$20,9)/30))</f>
        <v>2.725839600953516</v>
      </c>
      <c r="DM168" s="172">
        <f ca="1">(VLOOKUP(DM$72,INDIRECT($C$5&amp;"生成成长"),2))/((VLOOKUP($B168,INDIRECT($B$5&amp;"生成成长"),4))/(VLOOKUP(DM$72,INDIRECT($C$5&amp;"生成成长"),5))*(VLOOKUP($B$5,标准坦克设计!$B$24:$U$30,MATCH("对"&amp;LEFT($C$5,2)&amp;"输出",标准坦克设计!$B$23:$U$23,0)))*(VLOOKUP($B168,INDIRECT($B$5&amp;"生成成长"),3))*(VLOOKUP($B$5,标准坦克设计!$B$14:$K$20,9)/30))</f>
        <v>3.0275595209271078</v>
      </c>
      <c r="DN168" s="172">
        <f ca="1">(VLOOKUP(DN$72,INDIRECT($C$5&amp;"生成成长"),2))/((VLOOKUP($B168,INDIRECT($B$5&amp;"生成成长"),4))/(VLOOKUP(DN$72,INDIRECT($C$5&amp;"生成成长"),5))*(VLOOKUP($B$5,标准坦克设计!$B$24:$U$30,MATCH("对"&amp;LEFT($C$5,2)&amp;"输出",标准坦克设计!$B$23:$U$23,0)))*(VLOOKUP($B168,INDIRECT($B$5&amp;"生成成长"),3))*(VLOOKUP($B$5,标准坦克设计!$B$14:$K$20,9)/30))</f>
        <v>3.3451131393249698</v>
      </c>
      <c r="DO168" s="172">
        <f ca="1">(VLOOKUP(DO$72,INDIRECT($C$5&amp;"生成成长"),2))/((VLOOKUP($B168,INDIRECT($B$5&amp;"生成成长"),4))/(VLOOKUP(DO$72,INDIRECT($C$5&amp;"生成成长"),5))*(VLOOKUP($B$5,标准坦克设计!$B$24:$U$30,MATCH("对"&amp;LEFT($C$5,2)&amp;"输出",标准坦克设计!$B$23:$U$23,0)))*(VLOOKUP($B168,INDIRECT($B$5&amp;"生成成长"),3))*(VLOOKUP($B$5,标准坦克设计!$B$14:$K$20,9)/30))</f>
        <v>3.678500456147102</v>
      </c>
      <c r="DP168" s="172">
        <f ca="1">(VLOOKUP(DP$72,INDIRECT($C$5&amp;"生成成长"),2))/((VLOOKUP($B168,INDIRECT($B$5&amp;"生成成长"),4))/(VLOOKUP(DP$72,INDIRECT($C$5&amp;"生成成长"),5))*(VLOOKUP($B$5,标准坦克设计!$B$24:$U$30,MATCH("对"&amp;LEFT($C$5,2)&amp;"输出",标准坦克设计!$B$23:$U$23,0)))*(VLOOKUP($B168,INDIRECT($B$5&amp;"生成成长"),3))*(VLOOKUP($B$5,标准坦克设计!$B$14:$K$20,9)/30))</f>
        <v>4.0277214713935043</v>
      </c>
      <c r="DQ168" s="172">
        <f ca="1">(VLOOKUP(DQ$72,INDIRECT($C$5&amp;"生成成长"),2))/((VLOOKUP($B168,INDIRECT($B$5&amp;"生成成长"),4))/(VLOOKUP(DQ$72,INDIRECT($C$5&amp;"生成成长"),5))*(VLOOKUP($B$5,标准坦克设计!$B$24:$U$30,MATCH("对"&amp;LEFT($C$5,2)&amp;"输出",标准坦克设计!$B$23:$U$23,0)))*(VLOOKUP($B168,INDIRECT($B$5&amp;"生成成长"),3))*(VLOOKUP($B$5,标准坦克设计!$B$14:$K$20,9)/30))</f>
        <v>4.3927761850641769</v>
      </c>
      <c r="DR168" s="172">
        <f ca="1">(VLOOKUP(DR$72,INDIRECT($C$5&amp;"生成成长"),2))/((VLOOKUP($B168,INDIRECT($B$5&amp;"生成成长"),4))/(VLOOKUP(DR$72,INDIRECT($C$5&amp;"生成成长"),5))*(VLOOKUP($B$5,标准坦克设计!$B$24:$U$30,MATCH("对"&amp;LEFT($C$5,2)&amp;"输出",标准坦克设计!$B$23:$U$23,0)))*(VLOOKUP($B168,INDIRECT($B$5&amp;"生成成长"),3))*(VLOOKUP($B$5,标准坦克设计!$B$14:$K$20,9)/30))</f>
        <v>4.7736645971591187</v>
      </c>
      <c r="DS168" s="172">
        <f ca="1">(VLOOKUP(DS$72,INDIRECT($C$5&amp;"生成成长"),2))/((VLOOKUP($B168,INDIRECT($B$5&amp;"生成成长"),4))/(VLOOKUP(DS$72,INDIRECT($C$5&amp;"生成成长"),5))*(VLOOKUP($B$5,标准坦克设计!$B$24:$U$30,MATCH("对"&amp;LEFT($C$5,2)&amp;"输出",标准坦克设计!$B$23:$U$23,0)))*(VLOOKUP($B168,INDIRECT($B$5&amp;"生成成长"),3))*(VLOOKUP($B$5,标准坦克设计!$B$14:$K$20,9)/30))</f>
        <v>5.1703867076783316</v>
      </c>
      <c r="DT168" s="172">
        <f ca="1">(VLOOKUP(DT$72,INDIRECT($C$5&amp;"生成成长"),2))/((VLOOKUP($B168,INDIRECT($B$5&amp;"生成成长"),4))/(VLOOKUP(DT$72,INDIRECT($C$5&amp;"生成成长"),5))*(VLOOKUP($B$5,标准坦克设计!$B$24:$U$30,MATCH("对"&amp;LEFT($C$5,2)&amp;"输出",标准坦克设计!$B$23:$U$23,0)))*(VLOOKUP($B168,INDIRECT($B$5&amp;"生成成长"),3))*(VLOOKUP($B$5,标准坦克设计!$B$14:$K$20,9)/30))</f>
        <v>5.6767718406174899</v>
      </c>
      <c r="DU168" s="172">
        <f ca="1">(VLOOKUP(DU$72,INDIRECT($C$5&amp;"生成成长"),2))/((VLOOKUP($B168,INDIRECT($B$5&amp;"生成成长"),4))/(VLOOKUP(DU$72,INDIRECT($C$5&amp;"生成成长"),5))*(VLOOKUP($B$5,标准坦克设计!$B$24:$U$30,MATCH("对"&amp;LEFT($C$5,2)&amp;"输出",标准坦克设计!$B$23:$U$23,0)))*(VLOOKUP($B168,INDIRECT($B$5&amp;"生成成长"),3))*(VLOOKUP($B$5,标准坦克设计!$B$14:$K$20,9)/30))</f>
        <v>6.2068097823138899</v>
      </c>
      <c r="DV168" s="172">
        <f ca="1">(VLOOKUP(DV$72,INDIRECT($C$5&amp;"生成成长"),2))/((VLOOKUP($B168,INDIRECT($B$5&amp;"生成成长"),4))/(VLOOKUP(DV$72,INDIRECT($C$5&amp;"生成成长"),5))*(VLOOKUP($B$5,标准坦克设计!$B$24:$U$30,MATCH("对"&amp;LEFT($C$5,2)&amp;"输出",标准坦克设计!$B$23:$U$23,0)))*(VLOOKUP($B168,INDIRECT($B$5&amp;"生成成长"),3))*(VLOOKUP($B$5,标准坦克设计!$B$14:$K$20,9)/30))</f>
        <v>6.7605005327675336</v>
      </c>
      <c r="DW168" s="172">
        <f ca="1">(VLOOKUP(DW$72,INDIRECT($C$5&amp;"生成成长"),2))/((VLOOKUP($B168,INDIRECT($B$5&amp;"生成成长"),4))/(VLOOKUP(DW$72,INDIRECT($C$5&amp;"生成成长"),5))*(VLOOKUP($B$5,标准坦克设计!$B$24:$U$30,MATCH("对"&amp;LEFT($C$5,2)&amp;"输出",标准坦克设计!$B$23:$U$23,0)))*(VLOOKUP($B168,INDIRECT($B$5&amp;"生成成长"),3))*(VLOOKUP($B$5,标准坦克设计!$B$14:$K$20,9)/30))</f>
        <v>7.3378440919784209</v>
      </c>
      <c r="DX168" s="172">
        <f ca="1">(VLOOKUP(DX$72,INDIRECT($C$5&amp;"生成成长"),2))/((VLOOKUP($B168,INDIRECT($B$5&amp;"生成成长"),4))/(VLOOKUP(DX$72,INDIRECT($C$5&amp;"生成成长"),5))*(VLOOKUP($B$5,标准坦克设计!$B$24:$U$30,MATCH("对"&amp;LEFT($C$5,2)&amp;"输出",标准坦克设计!$B$23:$U$23,0)))*(VLOOKUP($B168,INDIRECT($B$5&amp;"生成成长"),3))*(VLOOKUP($B$5,标准坦克设计!$B$14:$K$20,9)/30))</f>
        <v>7.938840459946551</v>
      </c>
      <c r="DY168" s="172">
        <f ca="1">(VLOOKUP(DY$72,INDIRECT($C$5&amp;"生成成长"),2))/((VLOOKUP($B168,INDIRECT($B$5&amp;"生成成长"),4))/(VLOOKUP(DY$72,INDIRECT($C$5&amp;"生成成长"),5))*(VLOOKUP($B$5,标准坦克设计!$B$24:$U$30,MATCH("对"&amp;LEFT($C$5,2)&amp;"输出",标准坦克设计!$B$23:$U$23,0)))*(VLOOKUP($B168,INDIRECT($B$5&amp;"生成成长"),3))*(VLOOKUP($B$5,标准坦克设计!$B$14:$K$20,9)/30))</f>
        <v>3.5656120507148055</v>
      </c>
      <c r="DZ168" s="172">
        <f ca="1">(VLOOKUP(DZ$72,INDIRECT($C$5&amp;"生成成长"),2))/((VLOOKUP($B168,INDIRECT($B$5&amp;"生成成长"),4))/(VLOOKUP(DZ$72,INDIRECT($C$5&amp;"生成成长"),5))*(VLOOKUP($B$5,标准坦克设计!$B$24:$U$30,MATCH("对"&amp;LEFT($C$5,2)&amp;"输出",标准坦克设计!$B$23:$U$23,0)))*(VLOOKUP($B168,INDIRECT($B$5&amp;"生成成长"),3))*(VLOOKUP($B$5,标准坦克设计!$B$14:$K$20,9)/30))</f>
        <v>3.9487484570304785</v>
      </c>
      <c r="EA168" s="172">
        <f ca="1">(VLOOKUP(EA$72,INDIRECT($C$5&amp;"生成成长"),2))/((VLOOKUP($B168,INDIRECT($B$5&amp;"生成成长"),4))/(VLOOKUP(EA$72,INDIRECT($C$5&amp;"生成成长"),5))*(VLOOKUP($B$5,标准坦克设计!$B$24:$U$30,MATCH("对"&amp;LEFT($C$5,2)&amp;"输出",标准坦克设计!$B$23:$U$23,0)))*(VLOOKUP($B168,INDIRECT($B$5&amp;"生成成长"),3))*(VLOOKUP($B$5,标准坦克设计!$B$14:$K$20,9)/30))</f>
        <v>4.3514326391785829</v>
      </c>
      <c r="EB168" s="172">
        <f ca="1">(VLOOKUP(EB$72,INDIRECT($C$5&amp;"生成成长"),2))/((VLOOKUP($B168,INDIRECT($B$5&amp;"生成成长"),4))/(VLOOKUP(EB$72,INDIRECT($C$5&amp;"生成成长"),5))*(VLOOKUP($B$5,标准坦克设计!$B$24:$U$30,MATCH("对"&amp;LEFT($C$5,2)&amp;"输出",标准坦克设计!$B$23:$U$23,0)))*(VLOOKUP($B168,INDIRECT($B$5&amp;"生成成长"),3))*(VLOOKUP($B$5,标准坦克设计!$B$14:$K$20,9)/30))</f>
        <v>4.7736645971591187</v>
      </c>
      <c r="EC168" s="172">
        <f ca="1">(VLOOKUP(EC$72,INDIRECT($C$5&amp;"生成成长"),2))/((VLOOKUP($B168,INDIRECT($B$5&amp;"生成成长"),4))/(VLOOKUP(EC$72,INDIRECT($C$5&amp;"生成成长"),5))*(VLOOKUP($B$5,标准坦克设计!$B$24:$U$30,MATCH("对"&amp;LEFT($C$5,2)&amp;"输出",标准坦克设计!$B$23:$U$23,0)))*(VLOOKUP($B168,INDIRECT($B$5&amp;"生成成长"),3))*(VLOOKUP($B$5,标准坦克设计!$B$14:$K$20,9)/30))</f>
        <v>5.2154443309720877</v>
      </c>
      <c r="ED168" s="172">
        <f ca="1">(VLOOKUP(ED$72,INDIRECT($C$5&amp;"生成成长"),2))/((VLOOKUP($B168,INDIRECT($B$5&amp;"生成成长"),4))/(VLOOKUP(ED$72,INDIRECT($C$5&amp;"生成成长"),5))*(VLOOKUP($B$5,标准坦克设计!$B$24:$U$30,MATCH("对"&amp;LEFT($C$5,2)&amp;"输出",标准坦克设计!$B$23:$U$23,0)))*(VLOOKUP($B168,INDIRECT($B$5&amp;"生成成长"),3))*(VLOOKUP($B$5,标准坦克设计!$B$14:$K$20,9)/30))</f>
        <v>5.6767718406174899</v>
      </c>
      <c r="EE168" s="172">
        <f ca="1">(VLOOKUP(EE$72,INDIRECT($C$5&amp;"生成成长"),2))/((VLOOKUP($B168,INDIRECT($B$5&amp;"生成成长"),4))/(VLOOKUP(EE$72,INDIRECT($C$5&amp;"生成成长"),5))*(VLOOKUP($B$5,标准坦克设计!$B$24:$U$30,MATCH("对"&amp;LEFT($C$5,2)&amp;"输出",标准坦克设计!$B$23:$U$23,0)))*(VLOOKUP($B168,INDIRECT($B$5&amp;"生成成长"),3))*(VLOOKUP($B$5,标准坦克设计!$B$14:$K$20,9)/30))</f>
        <v>6.1576471260953216</v>
      </c>
      <c r="EF168" s="172">
        <f ca="1">(VLOOKUP(EF$72,INDIRECT($C$5&amp;"生成成长"),2))/((VLOOKUP($B168,INDIRECT($B$5&amp;"生成成长"),4))/(VLOOKUP(EF$72,INDIRECT($C$5&amp;"生成成长"),5))*(VLOOKUP($B$5,标准坦克设计!$B$24:$U$30,MATCH("对"&amp;LEFT($C$5,2)&amp;"输出",标准坦克设计!$B$23:$U$23,0)))*(VLOOKUP($B168,INDIRECT($B$5&amp;"生成成长"),3))*(VLOOKUP($B$5,标准坦克设计!$B$14:$K$20,9)/30))</f>
        <v>6.6580701874055874</v>
      </c>
      <c r="EG168" s="172">
        <f ca="1">(VLOOKUP(EG$72,INDIRECT($C$5&amp;"生成成长"),2))/((VLOOKUP($B168,INDIRECT($B$5&amp;"生成成长"),4))/(VLOOKUP(EG$72,INDIRECT($C$5&amp;"生成成长"),5))*(VLOOKUP($B$5,标准坦克设计!$B$24:$U$30,MATCH("对"&amp;LEFT($C$5,2)&amp;"输出",标准坦克设计!$B$23:$U$23,0)))*(VLOOKUP($B168,INDIRECT($B$5&amp;"生成成长"),3))*(VLOOKUP($B$5,标准坦克设计!$B$14:$K$20,9)/30))</f>
        <v>7.1780410245482882</v>
      </c>
      <c r="EH168" s="172">
        <f ca="1">(VLOOKUP(EH$72,INDIRECT($C$5&amp;"生成成长"),2))/((VLOOKUP($B168,INDIRECT($B$5&amp;"生成成长"),4))/(VLOOKUP(EH$72,INDIRECT($C$5&amp;"生成成长"),5))*(VLOOKUP($B$5,标准坦克设计!$B$24:$U$30,MATCH("对"&amp;LEFT($C$5,2)&amp;"输出",标准坦克设计!$B$23:$U$23,0)))*(VLOOKUP($B168,INDIRECT($B$5&amp;"生成成长"),3))*(VLOOKUP($B$5,标准坦克设计!$B$14:$K$20,9)/30))</f>
        <v>7.7175596375234168</v>
      </c>
      <c r="EI168" s="172">
        <f ca="1">(VLOOKUP(EI$72,INDIRECT($C$5&amp;"生成成长"),2))/((VLOOKUP($B168,INDIRECT($B$5&amp;"生成成长"),4))/(VLOOKUP(EI$72,INDIRECT($C$5&amp;"生成成长"),5))*(VLOOKUP($B$5,标准坦克设计!$B$24:$U$30,MATCH("对"&amp;LEFT($C$5,2)&amp;"输出",标准坦克设计!$B$23:$U$23,0)))*(VLOOKUP($B168,INDIRECT($B$5&amp;"生成成长"),3))*(VLOOKUP($B$5,标准坦克设计!$B$14:$K$20,9)/30))</f>
        <v>8.2766260263309785</v>
      </c>
      <c r="EJ168" s="172">
        <f ca="1">(VLOOKUP(EJ$72,INDIRECT($C$5&amp;"生成成长"),2))/((VLOOKUP($B168,INDIRECT($B$5&amp;"生成成长"),4))/(VLOOKUP(EJ$72,INDIRECT($C$5&amp;"生成成长"),5))*(VLOOKUP($B$5,标准坦克设计!$B$24:$U$30,MATCH("对"&amp;LEFT($C$5,2)&amp;"输出",标准坦克设计!$B$23:$U$23,0)))*(VLOOKUP($B168,INDIRECT($B$5&amp;"生成成长"),3))*(VLOOKUP($B$5,标准坦克设计!$B$14:$K$20,9)/30))</f>
        <v>8.8552401909709744</v>
      </c>
      <c r="EK168" s="172">
        <f ca="1">(VLOOKUP(EK$72,INDIRECT($C$5&amp;"生成成长"),2))/((VLOOKUP($B168,INDIRECT($B$5&amp;"生成成长"),4))/(VLOOKUP(EK$72,INDIRECT($C$5&amp;"生成成长"),5))*(VLOOKUP($B$5,标准坦克设计!$B$24:$U$30,MATCH("对"&amp;LEFT($C$5,2)&amp;"输出",标准坦克设计!$B$23:$U$23,0)))*(VLOOKUP($B168,INDIRECT($B$5&amp;"生成成长"),3))*(VLOOKUP($B$5,标准坦克设计!$B$14:$K$20,9)/30))</f>
        <v>9.57538025263778</v>
      </c>
      <c r="EL168" s="172">
        <f ca="1">(VLOOKUP(EL$72,INDIRECT($C$5&amp;"生成成长"),2))/((VLOOKUP($B168,INDIRECT($B$5&amp;"生成成长"),4))/(VLOOKUP(EL$72,INDIRECT($C$5&amp;"生成成长"),5))*(VLOOKUP($B$5,标准坦克设计!$B$24:$U$30,MATCH("对"&amp;LEFT($C$5,2)&amp;"输出",标准坦克设计!$B$23:$U$23,0)))*(VLOOKUP($B168,INDIRECT($B$5&amp;"生成成长"),3))*(VLOOKUP($B$5,标准坦克设计!$B$14:$K$20,9)/30))</f>
        <v>10.323669111503285</v>
      </c>
      <c r="EM168" s="172">
        <f ca="1">(VLOOKUP(EM$72,INDIRECT($C$5&amp;"生成成长"),2))/((VLOOKUP($B168,INDIRECT($B$5&amp;"生成成长"),4))/(VLOOKUP(EM$72,INDIRECT($C$5&amp;"生成成长"),5))*(VLOOKUP($B$5,标准坦克设计!$B$24:$U$30,MATCH("对"&amp;LEFT($C$5,2)&amp;"输出",标准坦克设计!$B$23:$U$23,0)))*(VLOOKUP($B168,INDIRECT($B$5&amp;"生成成长"),3))*(VLOOKUP($B$5,标准坦克设计!$B$14:$K$20,9)/30))</f>
        <v>11.100106767567494</v>
      </c>
      <c r="EN168" s="172">
        <f ca="1">(VLOOKUP(EN$72,INDIRECT($C$5&amp;"生成成长"),2))/((VLOOKUP($B168,INDIRECT($B$5&amp;"生成成长"),4))/(VLOOKUP(EN$72,INDIRECT($C$5&amp;"生成成长"),5))*(VLOOKUP($B$5,标准坦克设计!$B$24:$U$30,MATCH("对"&amp;LEFT($C$5,2)&amp;"输出",标准坦克设计!$B$23:$U$23,0)))*(VLOOKUP($B168,INDIRECT($B$5&amp;"生成成长"),3))*(VLOOKUP($B$5,标准坦克设计!$B$14:$K$20,9)/30))</f>
        <v>11.904693220830408</v>
      </c>
      <c r="EO168" s="172">
        <f ca="1">(VLOOKUP(EO$72,INDIRECT($C$5&amp;"生成成长"),2))/((VLOOKUP($B168,INDIRECT($B$5&amp;"生成成长"),4))/(VLOOKUP(EO$72,INDIRECT($C$5&amp;"生成成长"),5))*(VLOOKUP($B$5,标准坦克设计!$B$24:$U$30,MATCH("对"&amp;LEFT($C$5,2)&amp;"输出",标准坦克设计!$B$23:$U$23,0)))*(VLOOKUP($B168,INDIRECT($B$5&amp;"生成成长"),3))*(VLOOKUP($B$5,标准坦克设计!$B$14:$K$20,9)/30))</f>
        <v>12.737428471292018</v>
      </c>
      <c r="EP168" s="172">
        <f ca="1">(VLOOKUP(EP$72,INDIRECT($C$5&amp;"生成成长"),2))/((VLOOKUP($B168,INDIRECT($B$5&amp;"生成成长"),4))/(VLOOKUP(EP$72,INDIRECT($C$5&amp;"生成成长"),5))*(VLOOKUP($B$5,标准坦克设计!$B$24:$U$30,MATCH("对"&amp;LEFT($C$5,2)&amp;"输出",标准坦克设计!$B$23:$U$23,0)))*(VLOOKUP($B168,INDIRECT($B$5&amp;"生成成长"),3))*(VLOOKUP($B$5,标准坦克设计!$B$14:$K$20,9)/30))</f>
        <v>13.598312518952339</v>
      </c>
      <c r="EQ168" s="172">
        <f ca="1">(VLOOKUP(EQ$72,INDIRECT($C$5&amp;"生成成长"),2))/((VLOOKUP($B168,INDIRECT($B$5&amp;"生成成长"),4))/(VLOOKUP(EQ$72,INDIRECT($C$5&amp;"生成成长"),5))*(VLOOKUP($B$5,标准坦克设计!$B$24:$U$30,MATCH("对"&amp;LEFT($C$5,2)&amp;"输出",标准坦克设计!$B$23:$U$23,0)))*(VLOOKUP($B168,INDIRECT($B$5&amp;"生成成长"),3))*(VLOOKUP($B$5,标准坦克设计!$B$14:$K$20,9)/30))</f>
        <v>6.011332023989568</v>
      </c>
      <c r="ER168" s="172">
        <f ca="1">(VLOOKUP(ER$72,INDIRECT($C$5&amp;"生成成长"),2))/((VLOOKUP($B168,INDIRECT($B$5&amp;"生成成长"),4))/(VLOOKUP(ER$72,INDIRECT($C$5&amp;"生成成长"),5))*(VLOOKUP($B$5,标准坦克设计!$B$24:$U$30,MATCH("对"&amp;LEFT($C$5,2)&amp;"输出",标准坦克设计!$B$23:$U$23,0)))*(VLOOKUP($B168,INDIRECT($B$5&amp;"生成成长"),3))*(VLOOKUP($B$5,标准坦克设计!$B$14:$K$20,9)/30))</f>
        <v>6.5564217530769406</v>
      </c>
      <c r="ES168" s="172">
        <f ca="1">(VLOOKUP(ES$72,INDIRECT($C$5&amp;"生成成长"),2))/((VLOOKUP($B168,INDIRECT($B$5&amp;"生成成长"),4))/(VLOOKUP(ES$72,INDIRECT($C$5&amp;"生成成长"),5))*(VLOOKUP($B$5,标准坦克设计!$B$24:$U$30,MATCH("对"&amp;LEFT($C$5,2)&amp;"输出",标准坦克设计!$B$23:$U$23,0)))*(VLOOKUP($B168,INDIRECT($B$5&amp;"生成成长"),3))*(VLOOKUP($B$5,标准坦克设计!$B$14:$K$20,9)/30))</f>
        <v>7.1251642909215578</v>
      </c>
      <c r="ET168" s="172">
        <f ca="1">(VLOOKUP(ET$72,INDIRECT($C$5&amp;"生成成长"),2))/((VLOOKUP($B168,INDIRECT($B$5&amp;"生成成长"),4))/(VLOOKUP(ET$72,INDIRECT($C$5&amp;"生成成长"),5))*(VLOOKUP($B$5,标准坦克设计!$B$24:$U$30,MATCH("对"&amp;LEFT($C$5,2)&amp;"输出",标准坦克设计!$B$23:$U$23,0)))*(VLOOKUP($B168,INDIRECT($B$5&amp;"生成成长"),3))*(VLOOKUP($B$5,标准坦克设计!$B$14:$K$20,9)/30))</f>
        <v>7.7175596375234168</v>
      </c>
      <c r="EU168" s="172">
        <f ca="1">(VLOOKUP(EU$72,INDIRECT($C$5&amp;"生成成长"),2))/((VLOOKUP($B168,INDIRECT($B$5&amp;"生成成长"),4))/(VLOOKUP(EU$72,INDIRECT($C$5&amp;"生成成长"),5))*(VLOOKUP($B$5,标准坦克设计!$B$24:$U$30,MATCH("对"&amp;LEFT($C$5,2)&amp;"输出",标准坦克设计!$B$23:$U$23,0)))*(VLOOKUP($B168,INDIRECT($B$5&amp;"生成成长"),3))*(VLOOKUP($B$5,标准坦克设计!$B$14:$K$20,9)/30))</f>
        <v>8.3336077928825194</v>
      </c>
      <c r="EV168" s="172">
        <f ca="1">(VLOOKUP(EV$72,INDIRECT($C$5&amp;"生成成长"),2))/((VLOOKUP($B168,INDIRECT($B$5&amp;"生成成长"),4))/(VLOOKUP(EV$72,INDIRECT($C$5&amp;"生成成长"),5))*(VLOOKUP($B$5,标准坦克设计!$B$24:$U$30,MATCH("对"&amp;LEFT($C$5,2)&amp;"输出",标准坦克设计!$B$23:$U$23,0)))*(VLOOKUP($B168,INDIRECT($B$5&amp;"生成成长"),3))*(VLOOKUP($B$5,标准坦克设计!$B$14:$K$20,9)/30))</f>
        <v>8.9733087569988648</v>
      </c>
      <c r="EW168" s="172">
        <f ca="1">(VLOOKUP(EW$72,INDIRECT($C$5&amp;"生成成长"),2))/((VLOOKUP($B168,INDIRECT($B$5&amp;"生成成长"),4))/(VLOOKUP(EW$72,INDIRECT($C$5&amp;"生成成长"),5))*(VLOOKUP($B$5,标准坦克设计!$B$24:$U$30,MATCH("对"&amp;LEFT($C$5,2)&amp;"输出",标准坦克设计!$B$23:$U$23,0)))*(VLOOKUP($B168,INDIRECT($B$5&amp;"生成成长"),3))*(VLOOKUP($B$5,标准坦克设计!$B$14:$K$20,9)/30))</f>
        <v>9.6366625298724546</v>
      </c>
      <c r="EX168" s="172">
        <f ca="1">(VLOOKUP(EX$72,INDIRECT($C$5&amp;"生成成长"),2))/((VLOOKUP($B168,INDIRECT($B$5&amp;"生成成长"),4))/(VLOOKUP(EX$72,INDIRECT($C$5&amp;"生成成长"),5))*(VLOOKUP($B$5,标准坦克设计!$B$24:$U$30,MATCH("对"&amp;LEFT($C$5,2)&amp;"输出",标准坦克设计!$B$23:$U$23,0)))*(VLOOKUP($B168,INDIRECT($B$5&amp;"生成成长"),3))*(VLOOKUP($B$5,标准坦克设计!$B$14:$K$20,9)/30))</f>
        <v>10.323669111503285</v>
      </c>
      <c r="EY168" s="172">
        <f ca="1">(VLOOKUP(EY$72,INDIRECT($C$5&amp;"生成成长"),2))/((VLOOKUP($B168,INDIRECT($B$5&amp;"生成成长"),4))/(VLOOKUP(EY$72,INDIRECT($C$5&amp;"生成成长"),5))*(VLOOKUP($B$5,标准坦克设计!$B$24:$U$30,MATCH("对"&amp;LEFT($C$5,2)&amp;"输出",标准坦克设计!$B$23:$U$23,0)))*(VLOOKUP($B168,INDIRECT($B$5&amp;"生成成长"),3))*(VLOOKUP($B$5,标准坦克设计!$B$14:$K$20,9)/30))</f>
        <v>11.034328501891361</v>
      </c>
      <c r="EZ168" s="172">
        <f ca="1">(VLOOKUP(EZ$72,INDIRECT($C$5&amp;"生成成长"),2))/((VLOOKUP($B168,INDIRECT($B$5&amp;"生成成长"),4))/(VLOOKUP(EZ$72,INDIRECT($C$5&amp;"生成成长"),5))*(VLOOKUP($B$5,标准坦克设计!$B$24:$U$30,MATCH("对"&amp;LEFT($C$5,2)&amp;"输出",标准坦克设计!$B$23:$U$23,0)))*(VLOOKUP($B168,INDIRECT($B$5&amp;"生成成长"),3))*(VLOOKUP($B$5,标准坦克设计!$B$14:$K$20,9)/30))</f>
        <v>11.768640701036679</v>
      </c>
      <c r="FA168" s="172">
        <f ca="1">(VLOOKUP(FA$72,INDIRECT($C$5&amp;"生成成长"),2))/((VLOOKUP($B168,INDIRECT($B$5&amp;"生成成长"),4))/(VLOOKUP(FA$72,INDIRECT($C$5&amp;"生成成长"),5))*(VLOOKUP($B$5,标准坦克设计!$B$24:$U$30,MATCH("对"&amp;LEFT($C$5,2)&amp;"输出",标准坦克设计!$B$23:$U$23,0)))*(VLOOKUP($B168,INDIRECT($B$5&amp;"生成成长"),3))*(VLOOKUP($B$5,标准坦克设计!$B$14:$K$20,9)/30))</f>
        <v>12.52660570893924</v>
      </c>
      <c r="FB168" s="172">
        <f ca="1">(VLOOKUP(FB$72,INDIRECT($C$5&amp;"生成成长"),2))/((VLOOKUP($B168,INDIRECT($B$5&amp;"生成成长"),4))/(VLOOKUP(FB$72,INDIRECT($C$5&amp;"生成成长"),5))*(VLOOKUP($B$5,标准坦克设计!$B$24:$U$30,MATCH("对"&amp;LEFT($C$5,2)&amp;"输出",标准坦克设计!$B$23:$U$23,0)))*(VLOOKUP($B168,INDIRECT($B$5&amp;"生成成长"),3))*(VLOOKUP($B$5,标准坦克设计!$B$14:$K$20,9)/30))</f>
        <v>13.308223525599043</v>
      </c>
      <c r="FC168" s="172">
        <f ca="1">(VLOOKUP(FC$72,INDIRECT($C$5&amp;"生成成长"),2))/((VLOOKUP($B168,INDIRECT($B$5&amp;"生成成长"),4))/(VLOOKUP(FC$72,INDIRECT($C$5&amp;"生成成长"),5))*(VLOOKUP($B$5,标准坦克设计!$B$24:$U$30,MATCH("对"&amp;LEFT($C$5,2)&amp;"输出",标准坦克设计!$B$23:$U$23,0)))*(VLOOKUP($B168,INDIRECT($B$5&amp;"生成成长"),3))*(VLOOKUP($B$5,标准坦克设计!$B$14:$K$20,9)/30))</f>
        <v>14.11349415101609</v>
      </c>
      <c r="FD168" s="172">
        <f ca="1">(VLOOKUP(FD$72,INDIRECT($C$5&amp;"生成成长"),2))/((VLOOKUP($B168,INDIRECT($B$5&amp;"生成成长"),4))/(VLOOKUP(FD$72,INDIRECT($C$5&amp;"生成成长"),5))*(VLOOKUP($B$5,标准坦克设计!$B$24:$U$30,MATCH("对"&amp;LEFT($C$5,2)&amp;"输出",标准坦克设计!$B$23:$U$23,0)))*(VLOOKUP($B168,INDIRECT($B$5&amp;"生成成长"),3))*(VLOOKUP($B$5,标准坦克设计!$B$14:$K$20,9)/30))</f>
        <v>14.942417585190379</v>
      </c>
      <c r="FE168" s="172">
        <f ca="1">(VLOOKUP(FE$72,INDIRECT($C$5&amp;"生成成长"),2))/((VLOOKUP($B168,INDIRECT($B$5&amp;"生成成长"),4))/(VLOOKUP(FE$72,INDIRECT($C$5&amp;"生成成长"),5))*(VLOOKUP($B$5,标准坦克设计!$B$24:$U$30,MATCH("对"&amp;LEFT($C$5,2)&amp;"输出",标准坦克设计!$B$23:$U$23,0)))*(VLOOKUP($B168,INDIRECT($B$5&amp;"生成成长"),3))*(VLOOKUP($B$5,标准坦克设计!$B$14:$K$20,9)/30))</f>
        <v>15.952548901331317</v>
      </c>
      <c r="FF168" s="172">
        <f ca="1">(VLOOKUP(FF$72,INDIRECT($C$5&amp;"生成成长"),2))/((VLOOKUP($B168,INDIRECT($B$5&amp;"生成成长"),4))/(VLOOKUP(FF$72,INDIRECT($C$5&amp;"生成成长"),5))*(VLOOKUP($B$5,标准坦克设计!$B$24:$U$30,MATCH("对"&amp;LEFT($C$5,2)&amp;"输出",标准坦克设计!$B$23:$U$23,0)))*(VLOOKUP($B168,INDIRECT($B$5&amp;"生成成长"),3))*(VLOOKUP($B$5,标准坦克设计!$B$14:$K$20,9)/30))</f>
        <v>16.995715958629063</v>
      </c>
      <c r="FG168" s="172">
        <f ca="1">(VLOOKUP(FG$72,INDIRECT($C$5&amp;"生成成长"),2))/((VLOOKUP($B168,INDIRECT($B$5&amp;"生成成长"),4))/(VLOOKUP(FG$72,INDIRECT($C$5&amp;"生成成长"),5))*(VLOOKUP($B$5,标准坦克设计!$B$24:$U$30,MATCH("对"&amp;LEFT($C$5,2)&amp;"输出",标准坦克设计!$B$23:$U$23,0)))*(VLOOKUP($B168,INDIRECT($B$5&amp;"生成成长"),3))*(VLOOKUP($B$5,标准坦克设计!$B$14:$K$20,9)/30))</f>
        <v>18.071918757083623</v>
      </c>
      <c r="FH168" s="172">
        <f ca="1">(VLOOKUP(FH$72,INDIRECT($C$5&amp;"生成成长"),2))/((VLOOKUP($B168,INDIRECT($B$5&amp;"生成成长"),4))/(VLOOKUP(FH$72,INDIRECT($C$5&amp;"生成成长"),5))*(VLOOKUP($B$5,标准坦克设计!$B$24:$U$30,MATCH("对"&amp;LEFT($C$5,2)&amp;"输出",标准坦克设计!$B$23:$U$23,0)))*(VLOOKUP($B168,INDIRECT($B$5&amp;"生成成长"),3))*(VLOOKUP($B$5,标准坦克设计!$B$14:$K$20,9)/30))</f>
        <v>19.181157296694987</v>
      </c>
      <c r="FI168" s="172">
        <f ca="1">(VLOOKUP(FI$72,INDIRECT($C$5&amp;"生成成长"),2))/((VLOOKUP($B168,INDIRECT($B$5&amp;"生成成长"),4))/(VLOOKUP(FI$72,INDIRECT($C$5&amp;"生成成长"),5))*(VLOOKUP($B$5,标准坦克设计!$B$24:$U$30,MATCH("对"&amp;LEFT($C$5,2)&amp;"输出",标准坦克设计!$B$23:$U$23,0)))*(VLOOKUP($B168,INDIRECT($B$5&amp;"生成成长"),3))*(VLOOKUP($B$5,标准坦克设计!$B$14:$K$20,9)/30))</f>
        <v>20.323431577463168</v>
      </c>
      <c r="FJ168" s="172">
        <f ca="1">(VLOOKUP(FJ$72,INDIRECT($C$5&amp;"生成成长"),2))/((VLOOKUP($B168,INDIRECT($B$5&amp;"生成成长"),4))/(VLOOKUP(FJ$72,INDIRECT($C$5&amp;"生成成长"),5))*(VLOOKUP($B$5,标准坦克设计!$B$24:$U$30,MATCH("对"&amp;LEFT($C$5,2)&amp;"输出",标准坦克设计!$B$23:$U$23,0)))*(VLOOKUP($B168,INDIRECT($B$5&amp;"生成成长"),3))*(VLOOKUP($B$5,标准坦克设计!$B$14:$K$20,9)/30))</f>
        <v>21.498741599388158</v>
      </c>
      <c r="FK168" s="172">
        <f ca="1">(VLOOKUP(FK$72,INDIRECT($C$5&amp;"生成成长"),2))/((VLOOKUP($B168,INDIRECT($B$5&amp;"生成成长"),4))/(VLOOKUP(FK$72,INDIRECT($C$5&amp;"生成成长"),5))*(VLOOKUP($B$5,标准坦克设计!$B$24:$U$30,MATCH("对"&amp;LEFT($C$5,2)&amp;"输出",标准坦克设计!$B$23:$U$23,0)))*(VLOOKUP($B168,INDIRECT($B$5&amp;"生成成长"),3))*(VLOOKUP($B$5,标准坦克设计!$B$14:$K$20,9)/30))</f>
        <v>22.707087362469959</v>
      </c>
    </row>
    <row r="169" spans="1:167" x14ac:dyDescent="0.15">
      <c r="A169" s="170" t="str">
        <f t="shared" si="12"/>
        <v>T5中品质7级</v>
      </c>
      <c r="B169" s="171">
        <v>20507</v>
      </c>
      <c r="C169" s="172">
        <f ca="1">(VLOOKUP(C$72,INDIRECT($C$5&amp;"生成成长"),2))/((VLOOKUP($B169,INDIRECT($B$5&amp;"生成成长"),4))/(VLOOKUP(C$72,INDIRECT($C$5&amp;"生成成长"),5))*(VLOOKUP($B$5,标准坦克设计!$B$24:$U$30,MATCH("对"&amp;LEFT($C$5,2)&amp;"输出",标准坦克设计!$B$23:$U$23,0)))*(VLOOKUP($B169,INDIRECT($B$5&amp;"生成成长"),3))*(VLOOKUP($B$5,标准坦克设计!$B$14:$K$20,9)/30))</f>
        <v>0.9075543089584982</v>
      </c>
      <c r="D169" s="172">
        <f ca="1">(VLOOKUP(D$72,INDIRECT($C$5&amp;"生成成长"),2))/((VLOOKUP($B169,INDIRECT($B$5&amp;"生成成长"),4))/(VLOOKUP(D$72,INDIRECT($C$5&amp;"生成成长"),5))*(VLOOKUP($B$5,标准坦克设计!$B$24:$U$30,MATCH("对"&amp;LEFT($C$5,2)&amp;"输出",标准坦克设计!$B$23:$U$23,0)))*(VLOOKUP($B169,INDIRECT($B$5&amp;"生成成长"),3))*(VLOOKUP($B$5,标准坦克设计!$B$14:$K$20,9)/30))</f>
        <v>1.0197280215457685</v>
      </c>
      <c r="E169" s="172">
        <f ca="1">(VLOOKUP(E$72,INDIRECT($C$5&amp;"生成成长"),2))/((VLOOKUP($B169,INDIRECT($B$5&amp;"生成成长"),4))/(VLOOKUP(E$72,INDIRECT($C$5&amp;"生成成长"),5))*(VLOOKUP($B$5,标准坦克设计!$B$24:$U$30,MATCH("对"&amp;LEFT($C$5,2)&amp;"输出",标准坦克设计!$B$23:$U$23,0)))*(VLOOKUP($B169,INDIRECT($B$5&amp;"生成成长"),3))*(VLOOKUP($B$5,标准坦克设计!$B$14:$K$20,9)/30))</f>
        <v>1.1384361251575401</v>
      </c>
      <c r="F169" s="172">
        <f ca="1">(VLOOKUP(F$72,INDIRECT($C$5&amp;"生成成长"),2))/((VLOOKUP($B169,INDIRECT($B$5&amp;"生成成长"),4))/(VLOOKUP(F$72,INDIRECT($C$5&amp;"生成成长"),5))*(VLOOKUP($B$5,标准坦克设计!$B$24:$U$30,MATCH("对"&amp;LEFT($C$5,2)&amp;"输出",标准坦克设计!$B$23:$U$23,0)))*(VLOOKUP($B169,INDIRECT($B$5&amp;"生成成长"),3))*(VLOOKUP($B$5,标准坦克设计!$B$14:$K$20,9)/30))</f>
        <v>1.2636786197938128</v>
      </c>
      <c r="G169" s="172">
        <f ca="1">(VLOOKUP(G$72,INDIRECT($C$5&amp;"生成成长"),2))/((VLOOKUP($B169,INDIRECT($B$5&amp;"生成成长"),4))/(VLOOKUP(G$72,INDIRECT($C$5&amp;"生成成长"),5))*(VLOOKUP($B$5,标准坦克设计!$B$24:$U$30,MATCH("对"&amp;LEFT($C$5,2)&amp;"输出",标准坦克设计!$B$23:$U$23,0)))*(VLOOKUP($B169,INDIRECT($B$5&amp;"生成成长"),3))*(VLOOKUP($B$5,标准坦克设计!$B$14:$K$20,9)/30))</f>
        <v>1.3954555054545867</v>
      </c>
      <c r="H169" s="172">
        <f ca="1">(VLOOKUP(H$72,INDIRECT($C$5&amp;"生成成长"),2))/((VLOOKUP($B169,INDIRECT($B$5&amp;"生成成长"),4))/(VLOOKUP(H$72,INDIRECT($C$5&amp;"生成成长"),5))*(VLOOKUP($B$5,标准坦克设计!$B$24:$U$30,MATCH("对"&amp;LEFT($C$5,2)&amp;"输出",标准坦克设计!$B$23:$U$23,0)))*(VLOOKUP($B169,INDIRECT($B$5&amp;"生成成长"),3))*(VLOOKUP($B$5,标准坦克设计!$B$14:$K$20,9)/30))</f>
        <v>1.2212050781345549</v>
      </c>
      <c r="I169" s="172">
        <f ca="1">(VLOOKUP(I$72,INDIRECT($C$5&amp;"生成成长"),2))/((VLOOKUP($B169,INDIRECT($B$5&amp;"生成成长"),4))/(VLOOKUP(I$72,INDIRECT($C$5&amp;"生成成长"),5))*(VLOOKUP($B$5,标准坦克设计!$B$24:$U$30,MATCH("对"&amp;LEFT($C$5,2)&amp;"输出",标准坦克设计!$B$23:$U$23,0)))*(VLOOKUP($B169,INDIRECT($B$5&amp;"生成成长"),3))*(VLOOKUP($B$5,标准坦克设计!$B$14:$K$20,9)/30))</f>
        <v>1.3954555054545867</v>
      </c>
      <c r="J169" s="172">
        <f ca="1">(VLOOKUP(J$72,INDIRECT($C$5&amp;"生成成长"),2))/((VLOOKUP($B169,INDIRECT($B$5&amp;"生成成长"),4))/(VLOOKUP(J$72,INDIRECT($C$5&amp;"生成成长"),5))*(VLOOKUP($B$5,标准坦克设计!$B$24:$U$30,MATCH("对"&amp;LEFT($C$5,2)&amp;"输出",标准坦克设计!$B$23:$U$23,0)))*(VLOOKUP($B169,INDIRECT($B$5&amp;"生成成长"),3))*(VLOOKUP($B$5,标准坦克设计!$B$14:$K$20,9)/30))</f>
        <v>1.5813226279292871</v>
      </c>
      <c r="K169" s="172">
        <f ca="1">(VLOOKUP(K$72,INDIRECT($C$5&amp;"生成成长"),2))/((VLOOKUP($B169,INDIRECT($B$5&amp;"生成成长"),4))/(VLOOKUP(K$72,INDIRECT($C$5&amp;"生成成长"),5))*(VLOOKUP($B$5,标准坦克设计!$B$24:$U$30,MATCH("对"&amp;LEFT($C$5,2)&amp;"输出",标准坦克设计!$B$23:$U$23,0)))*(VLOOKUP($B169,INDIRECT($B$5&amp;"生成成长"),3))*(VLOOKUP($B$5,标准坦克设计!$B$14:$K$20,9)/30))</f>
        <v>1.7788064455586561</v>
      </c>
      <c r="L169" s="172">
        <f ca="1">(VLOOKUP(L$72,INDIRECT($C$5&amp;"生成成长"),2))/((VLOOKUP($B169,INDIRECT($B$5&amp;"生成成长"),4))/(VLOOKUP(L$72,INDIRECT($C$5&amp;"生成成长"),5))*(VLOOKUP($B$5,标准坦克设计!$B$24:$U$30,MATCH("对"&amp;LEFT($C$5,2)&amp;"输出",标准坦克设计!$B$23:$U$23,0)))*(VLOOKUP($B169,INDIRECT($B$5&amp;"生成成长"),3))*(VLOOKUP($B$5,标准坦克设计!$B$14:$K$20,9)/30))</f>
        <v>1.9879069583426943</v>
      </c>
      <c r="M169" s="172">
        <f ca="1">(VLOOKUP(M$72,INDIRECT($C$5&amp;"生成成长"),2))/((VLOOKUP($B169,INDIRECT($B$5&amp;"生成成长"),4))/(VLOOKUP(M$72,INDIRECT($C$5&amp;"生成成长"),5))*(VLOOKUP($B$5,标准坦克设计!$B$24:$U$30,MATCH("对"&amp;LEFT($C$5,2)&amp;"输出",标准坦克设计!$B$23:$U$23,0)))*(VLOOKUP($B169,INDIRECT($B$5&amp;"生成成长"),3))*(VLOOKUP($B$5,标准坦克设计!$B$14:$K$20,9)/30))</f>
        <v>2.2086241662814006</v>
      </c>
      <c r="N169" s="172">
        <f ca="1">(VLOOKUP(N$72,INDIRECT($C$5&amp;"生成成长"),2))/((VLOOKUP($B169,INDIRECT($B$5&amp;"生成成长"),4))/(VLOOKUP(N$72,INDIRECT($C$5&amp;"生成成长"),5))*(VLOOKUP($B$5,标准坦克设计!$B$24:$U$30,MATCH("对"&amp;LEFT($C$5,2)&amp;"输出",标准坦克设计!$B$23:$U$23,0)))*(VLOOKUP($B169,INDIRECT($B$5&amp;"生成成长"),3))*(VLOOKUP($B$5,标准坦克设计!$B$14:$K$20,9)/30))</f>
        <v>2.4409580693747768</v>
      </c>
      <c r="O169" s="172">
        <f ca="1">(VLOOKUP(O$72,INDIRECT($C$5&amp;"生成成长"),2))/((VLOOKUP($B169,INDIRECT($B$5&amp;"生成成长"),4))/(VLOOKUP(O$72,INDIRECT($C$5&amp;"生成成长"),5))*(VLOOKUP($B$5,标准坦克设计!$B$24:$U$30,MATCH("对"&amp;LEFT($C$5,2)&amp;"输出",标准坦克设计!$B$23:$U$23,0)))*(VLOOKUP($B169,INDIRECT($B$5&amp;"生成成长"),3))*(VLOOKUP($B$5,标准坦克设计!$B$14:$K$20,9)/30))</f>
        <v>1.8558578063892328</v>
      </c>
      <c r="P169" s="172">
        <f ca="1">(VLOOKUP(P$72,INDIRECT($C$5&amp;"生成成长"),2))/((VLOOKUP($B169,INDIRECT($B$5&amp;"生成成长"),4))/(VLOOKUP(P$72,INDIRECT($C$5&amp;"生成成长"),5))*(VLOOKUP($B$5,标准坦克设计!$B$24:$U$30,MATCH("对"&amp;LEFT($C$5,2)&amp;"输出",标准坦克设计!$B$23:$U$23,0)))*(VLOOKUP($B169,INDIRECT($B$5&amp;"生成成长"),3))*(VLOOKUP($B$5,标准坦克设计!$B$14:$K$20,9)/30))</f>
        <v>2.0968134754177137</v>
      </c>
      <c r="Q169" s="172">
        <f ca="1">(VLOOKUP(Q$72,INDIRECT($C$5&amp;"生成成长"),2))/((VLOOKUP($B169,INDIRECT($B$5&amp;"生成成长"),4))/(VLOOKUP(Q$72,INDIRECT($C$5&amp;"生成成长"),5))*(VLOOKUP($B$5,标准坦克设计!$B$24:$U$30,MATCH("对"&amp;LEFT($C$5,2)&amp;"输出",标准坦克设计!$B$23:$U$23,0)))*(VLOOKUP($B169,INDIRECT($B$5&amp;"生成成长"),3))*(VLOOKUP($B$5,标准坦克设计!$B$14:$K$20,9)/30))</f>
        <v>2.3524715242513232</v>
      </c>
      <c r="R169" s="172">
        <f ca="1">(VLOOKUP(R$72,INDIRECT($C$5&amp;"生成成长"),2))/((VLOOKUP($B169,INDIRECT($B$5&amp;"生成成长"),4))/(VLOOKUP(R$72,INDIRECT($C$5&amp;"生成成长"),5))*(VLOOKUP($B$5,标准坦克设计!$B$24:$U$30,MATCH("对"&amp;LEFT($C$5,2)&amp;"输出",标准坦克设计!$B$23:$U$23,0)))*(VLOOKUP($B169,INDIRECT($B$5&amp;"生成成长"),3))*(VLOOKUP($B$5,标准坦克设计!$B$14:$K$20,9)/30))</f>
        <v>2.6228319528900594</v>
      </c>
      <c r="S169" s="172">
        <f ca="1">(VLOOKUP(S$72,INDIRECT($C$5&amp;"生成成长"),2))/((VLOOKUP($B169,INDIRECT($B$5&amp;"生成成长"),4))/(VLOOKUP(S$72,INDIRECT($C$5&amp;"生成成长"),5))*(VLOOKUP($B$5,标准坦克设计!$B$24:$U$30,MATCH("对"&amp;LEFT($C$5,2)&amp;"输出",标准坦克设计!$B$23:$U$23,0)))*(VLOOKUP($B169,INDIRECT($B$5&amp;"生成成长"),3))*(VLOOKUP($B$5,标准坦克设计!$B$14:$K$20,9)/30))</f>
        <v>2.9078947613339237</v>
      </c>
      <c r="T169" s="172">
        <f ca="1">(VLOOKUP(T$72,INDIRECT($C$5&amp;"生成成长"),2))/((VLOOKUP($B169,INDIRECT($B$5&amp;"生成成长"),4))/(VLOOKUP(T$72,INDIRECT($C$5&amp;"生成成长"),5))*(VLOOKUP($B$5,标准坦克设计!$B$24:$U$30,MATCH("对"&amp;LEFT($C$5,2)&amp;"输出",标准坦克设计!$B$23:$U$23,0)))*(VLOOKUP($B169,INDIRECT($B$5&amp;"生成成长"),3))*(VLOOKUP($B$5,标准坦克设计!$B$14:$K$20,9)/30))</f>
        <v>3.2076599495829159</v>
      </c>
      <c r="U169" s="172">
        <f ca="1">(VLOOKUP(U$72,INDIRECT($C$5&amp;"生成成长"),2))/((VLOOKUP($B169,INDIRECT($B$5&amp;"生成成长"),4))/(VLOOKUP(U$72,INDIRECT($C$5&amp;"生成成长"),5))*(VLOOKUP($B$5,标准坦克设计!$B$24:$U$30,MATCH("对"&amp;LEFT($C$5,2)&amp;"输出",标准坦克设计!$B$23:$U$23,0)))*(VLOOKUP($B169,INDIRECT($B$5&amp;"生成成长"),3))*(VLOOKUP($B$5,标准坦克设计!$B$14:$K$20,9)/30))</f>
        <v>3.5221275176370357</v>
      </c>
      <c r="V169" s="172">
        <f ca="1">(VLOOKUP(V$72,INDIRECT($C$5&amp;"生成成长"),2))/((VLOOKUP($B169,INDIRECT($B$5&amp;"生成成长"),4))/(VLOOKUP(V$72,INDIRECT($C$5&amp;"生成成长"),5))*(VLOOKUP($B$5,标准坦克设计!$B$24:$U$30,MATCH("对"&amp;LEFT($C$5,2)&amp;"输出",标准坦克设计!$B$23:$U$23,0)))*(VLOOKUP($B169,INDIRECT($B$5&amp;"生成成长"),3))*(VLOOKUP($B$5,标准坦克设计!$B$14:$K$20,9)/30))</f>
        <v>3.8512974654962826</v>
      </c>
      <c r="W169" s="172">
        <f ca="1">(VLOOKUP(W$72,INDIRECT($C$5&amp;"生成成长"),2))/((VLOOKUP($B169,INDIRECT($B$5&amp;"生成成长"),4))/(VLOOKUP(W$72,INDIRECT($C$5&amp;"生成成长"),5))*(VLOOKUP($B$5,标准坦克设计!$B$24:$U$30,MATCH("对"&amp;LEFT($C$5,2)&amp;"输出",标准坦克设计!$B$23:$U$23,0)))*(VLOOKUP($B169,INDIRECT($B$5&amp;"生成成长"),3))*(VLOOKUP($B$5,标准坦克设计!$B$14:$K$20,9)/30))</f>
        <v>4.1951697931606571</v>
      </c>
      <c r="X169" s="172">
        <f ca="1">(VLOOKUP(X$72,INDIRECT($C$5&amp;"生成成长"),2))/((VLOOKUP($B169,INDIRECT($B$5&amp;"生成成长"),4))/(VLOOKUP(X$72,INDIRECT($C$5&amp;"生成成长"),5))*(VLOOKUP($B$5,标准坦克设计!$B$24:$U$30,MATCH("对"&amp;LEFT($C$5,2)&amp;"输出",标准坦克设计!$B$23:$U$23,0)))*(VLOOKUP($B169,INDIRECT($B$5&amp;"生成成长"),3))*(VLOOKUP($B$5,标准坦克设计!$B$14:$K$20,9)/30))</f>
        <v>3.0393086252711137</v>
      </c>
      <c r="Y169" s="172">
        <f ca="1">(VLOOKUP(Y$72,INDIRECT($C$5&amp;"生成成长"),2))/((VLOOKUP($B169,INDIRECT($B$5&amp;"生成成长"),4))/(VLOOKUP(Y$72,INDIRECT($C$5&amp;"生成成长"),5))*(VLOOKUP($B$5,标准坦克设计!$B$24:$U$30,MATCH("对"&amp;LEFT($C$5,2)&amp;"输出",标准坦克设计!$B$23:$U$23,0)))*(VLOOKUP($B169,INDIRECT($B$5&amp;"生成成长"),3))*(VLOOKUP($B$5,标准坦克设计!$B$14:$K$20,9)/30))</f>
        <v>3.3805490454395097</v>
      </c>
      <c r="Z169" s="172">
        <f ca="1">(VLOOKUP(Z$72,INDIRECT($C$5&amp;"生成成长"),2))/((VLOOKUP($B169,INDIRECT($B$5&amp;"生成成长"),4))/(VLOOKUP(Z$72,INDIRECT($C$5&amp;"生成成长"),5))*(VLOOKUP($B$5,标准坦克设计!$B$24:$U$30,MATCH("对"&amp;LEFT($C$5,2)&amp;"输出",标准坦克设计!$B$23:$U$23,0)))*(VLOOKUP($B169,INDIRECT($B$5&amp;"生成成长"),3))*(VLOOKUP($B$5,标准坦克设计!$B$14:$K$20,9)/30))</f>
        <v>3.7399405517870745</v>
      </c>
      <c r="AA169" s="172">
        <f ca="1">(VLOOKUP(AA$72,INDIRECT($C$5&amp;"生成成长"),2))/((VLOOKUP($B169,INDIRECT($B$5&amp;"生成成长"),4))/(VLOOKUP(AA$72,INDIRECT($C$5&amp;"生成成长"),5))*(VLOOKUP($B$5,标准坦克设计!$B$24:$U$30,MATCH("对"&amp;LEFT($C$5,2)&amp;"输出",标准坦克设计!$B$23:$U$23,0)))*(VLOOKUP($B169,INDIRECT($B$5&amp;"生成成长"),3))*(VLOOKUP($B$5,标准坦克设计!$B$14:$K$20,9)/30))</f>
        <v>4.1174831443138098</v>
      </c>
      <c r="AB169" s="172">
        <f ca="1">(VLOOKUP(AB$72,INDIRECT($C$5&amp;"生成成长"),2))/((VLOOKUP($B169,INDIRECT($B$5&amp;"生成成长"),4))/(VLOOKUP(AB$72,INDIRECT($C$5&amp;"生成成长"),5))*(VLOOKUP($B$5,标准坦克设计!$B$24:$U$30,MATCH("对"&amp;LEFT($C$5,2)&amp;"输出",标准坦克设计!$B$23:$U$23,0)))*(VLOOKUP($B169,INDIRECT($B$5&amp;"生成成长"),3))*(VLOOKUP($B$5,标准坦克设计!$B$14:$K$20,9)/30))</f>
        <v>4.5131768230197151</v>
      </c>
      <c r="AC169" s="172">
        <f ca="1">(VLOOKUP(AC$72,INDIRECT($C$5&amp;"生成成长"),2))/((VLOOKUP($B169,INDIRECT($B$5&amp;"生成成长"),4))/(VLOOKUP(AC$72,INDIRECT($C$5&amp;"生成成长"),5))*(VLOOKUP($B$5,标准坦克设计!$B$24:$U$30,MATCH("对"&amp;LEFT($C$5,2)&amp;"输出",标准坦克设计!$B$23:$U$23,0)))*(VLOOKUP($B169,INDIRECT($B$5&amp;"生成成长"),3))*(VLOOKUP($B$5,标准坦克设计!$B$14:$K$20,9)/30))</f>
        <v>4.9270215879047914</v>
      </c>
      <c r="AD169" s="172">
        <f ca="1">(VLOOKUP(AD$72,INDIRECT($C$5&amp;"生成成长"),2))/((VLOOKUP($B169,INDIRECT($B$5&amp;"生成成长"),4))/(VLOOKUP(AD$72,INDIRECT($C$5&amp;"生成成长"),5))*(VLOOKUP($B$5,标准坦克设计!$B$24:$U$30,MATCH("对"&amp;LEFT($C$5,2)&amp;"输出",标准坦克设计!$B$23:$U$23,0)))*(VLOOKUP($B169,INDIRECT($B$5&amp;"生成成长"),3))*(VLOOKUP($B$5,标准坦克设计!$B$14:$K$20,9)/30))</f>
        <v>5.3590174389690359</v>
      </c>
      <c r="AE169" s="172">
        <f ca="1">(VLOOKUP(AE$72,INDIRECT($C$5&amp;"生成成长"),2))/((VLOOKUP($B169,INDIRECT($B$5&amp;"生成成长"),4))/(VLOOKUP(AE$72,INDIRECT($C$5&amp;"生成成长"),5))*(VLOOKUP($B$5,标准坦克设计!$B$24:$U$30,MATCH("对"&amp;LEFT($C$5,2)&amp;"输出",标准坦克设计!$B$23:$U$23,0)))*(VLOOKUP($B169,INDIRECT($B$5&amp;"生成成长"),3))*(VLOOKUP($B$5,标准坦克设计!$B$14:$K$20,9)/30))</f>
        <v>5.8091643762124496</v>
      </c>
      <c r="AF169" s="172">
        <f ca="1">(VLOOKUP(AF$72,INDIRECT($C$5&amp;"生成成长"),2))/((VLOOKUP($B169,INDIRECT($B$5&amp;"生成成长"),4))/(VLOOKUP(AF$72,INDIRECT($C$5&amp;"生成成长"),5))*(VLOOKUP($B$5,标准坦克设计!$B$24:$U$30,MATCH("对"&amp;LEFT($C$5,2)&amp;"输出",标准坦克设计!$B$23:$U$23,0)))*(VLOOKUP($B169,INDIRECT($B$5&amp;"生成成长"),3))*(VLOOKUP($B$5,标准坦克设计!$B$14:$K$20,9)/30))</f>
        <v>6.277462399635036</v>
      </c>
      <c r="AG169" s="172">
        <f ca="1">(VLOOKUP(AG$72,INDIRECT($C$5&amp;"生成成长"),2))/((VLOOKUP($B169,INDIRECT($B$5&amp;"生成成长"),4))/(VLOOKUP(AG$72,INDIRECT($C$5&amp;"生成成长"),5))*(VLOOKUP($B$5,标准坦克设计!$B$24:$U$30,MATCH("对"&amp;LEFT($C$5,2)&amp;"输出",标准坦克设计!$B$23:$U$23,0)))*(VLOOKUP($B169,INDIRECT($B$5&amp;"生成成长"),3))*(VLOOKUP($B$5,标准坦克设计!$B$14:$K$20,9)/30))</f>
        <v>6.7639115092367907</v>
      </c>
      <c r="AH169" s="172">
        <f ca="1">(VLOOKUP(AH$72,INDIRECT($C$5&amp;"生成成长"),2))/((VLOOKUP($B169,INDIRECT($B$5&amp;"生成成长"),4))/(VLOOKUP(AH$72,INDIRECT($C$5&amp;"生成成长"),5))*(VLOOKUP($B$5,标准坦克设计!$B$24:$U$30,MATCH("对"&amp;LEFT($C$5,2)&amp;"输出",标准坦克设计!$B$23:$U$23,0)))*(VLOOKUP($B169,INDIRECT($B$5&amp;"生成成长"),3))*(VLOOKUP($B$5,标准坦克设计!$B$14:$K$20,9)/30))</f>
        <v>7.2685117050177146</v>
      </c>
      <c r="AI169" s="172">
        <f ca="1">(VLOOKUP(AI$72,INDIRECT($C$5&amp;"生成成长"),2))/((VLOOKUP($B169,INDIRECT($B$5&amp;"生成成长"),4))/(VLOOKUP(AI$72,INDIRECT($C$5&amp;"生成成长"),5))*(VLOOKUP($B$5,标准坦克设计!$B$24:$U$30,MATCH("对"&amp;LEFT($C$5,2)&amp;"输出",标准坦克设计!$B$23:$U$23,0)))*(VLOOKUP($B169,INDIRECT($B$5&amp;"生成成长"),3))*(VLOOKUP($B$5,标准坦克设计!$B$14:$K$20,9)/30))</f>
        <v>5.1407506276645174</v>
      </c>
      <c r="AJ169" s="172">
        <f ca="1">(VLOOKUP(AJ$72,INDIRECT($C$5&amp;"生成成长"),2))/((VLOOKUP($B169,INDIRECT($B$5&amp;"生成成长"),4))/(VLOOKUP(AJ$72,INDIRECT($C$5&amp;"生成成长"),5))*(VLOOKUP($B$5,标准坦克设计!$B$24:$U$30,MATCH("对"&amp;LEFT($C$5,2)&amp;"输出",标准坦克设计!$B$23:$U$23,0)))*(VLOOKUP($B169,INDIRECT($B$5&amp;"生成成长"),3))*(VLOOKUP($B$5,标准坦克设计!$B$14:$K$20,9)/30))</f>
        <v>5.626927470973583</v>
      </c>
      <c r="AK169" s="172">
        <f ca="1">(VLOOKUP(AK$72,INDIRECT($C$5&amp;"生成成长"),2))/((VLOOKUP($B169,INDIRECT($B$5&amp;"生成成长"),4))/(VLOOKUP(AK$72,INDIRECT($C$5&amp;"生成成长"),5))*(VLOOKUP($B$5,标准坦克设计!$B$24:$U$30,MATCH("对"&amp;LEFT($C$5,2)&amp;"输出",标准坦克设计!$B$23:$U$23,0)))*(VLOOKUP($B169,INDIRECT($B$5&amp;"生成成长"),3))*(VLOOKUP($B$5,标准坦克设计!$B$14:$K$20,9)/30))</f>
        <v>6.1350671285594478</v>
      </c>
      <c r="AL169" s="172">
        <f ca="1">(VLOOKUP(AL$72,INDIRECT($C$5&amp;"生成成长"),2))/((VLOOKUP($B169,INDIRECT($B$5&amp;"生成成长"),4))/(VLOOKUP(AL$72,INDIRECT($C$5&amp;"生成成长"),5))*(VLOOKUP($B$5,标准坦克设计!$B$24:$U$30,MATCH("对"&amp;LEFT($C$5,2)&amp;"输出",标准坦克设计!$B$23:$U$23,0)))*(VLOOKUP($B169,INDIRECT($B$5&amp;"生成成长"),3))*(VLOOKUP($B$5,标准坦克设计!$B$14:$K$20,9)/30))</f>
        <v>6.6651696004221046</v>
      </c>
      <c r="AM169" s="172">
        <f ca="1">(VLOOKUP(AM$72,INDIRECT($C$5&amp;"生成成长"),2))/((VLOOKUP($B169,INDIRECT($B$5&amp;"生成成长"),4))/(VLOOKUP(AM$72,INDIRECT($C$5&amp;"生成成长"),5))*(VLOOKUP($B$5,标准坦克设计!$B$24:$U$30,MATCH("对"&amp;LEFT($C$5,2)&amp;"输出",标准坦克设计!$B$23:$U$23,0)))*(VLOOKUP($B169,INDIRECT($B$5&amp;"生成成长"),3))*(VLOOKUP($B$5,标准坦克设计!$B$14:$K$20,9)/30))</f>
        <v>7.2172348865615605</v>
      </c>
      <c r="AN169" s="172">
        <f ca="1">(VLOOKUP(AN$72,INDIRECT($C$5&amp;"生成成长"),2))/((VLOOKUP($B169,INDIRECT($B$5&amp;"生成成长"),4))/(VLOOKUP(AN$72,INDIRECT($C$5&amp;"生成成长"),5))*(VLOOKUP($B$5,标准坦克设计!$B$24:$U$30,MATCH("对"&amp;LEFT($C$5,2)&amp;"输出",标准坦克设计!$B$23:$U$23,0)))*(VLOOKUP($B169,INDIRECT($B$5&amp;"生成成长"),3))*(VLOOKUP($B$5,标准坦克设计!$B$14:$K$20,9)/30))</f>
        <v>7.7912629869778103</v>
      </c>
      <c r="AO169" s="172">
        <f ca="1">(VLOOKUP(AO$72,INDIRECT($C$5&amp;"生成成长"),2))/((VLOOKUP($B169,INDIRECT($B$5&amp;"生成成长"),4))/(VLOOKUP(AO$72,INDIRECT($C$5&amp;"生成成长"),5))*(VLOOKUP($B$5,标准坦克设计!$B$24:$U$30,MATCH("对"&amp;LEFT($C$5,2)&amp;"输出",标准坦克设计!$B$23:$U$23,0)))*(VLOOKUP($B169,INDIRECT($B$5&amp;"生成成长"),3))*(VLOOKUP($B$5,标准坦克设计!$B$14:$K$20,9)/30))</f>
        <v>8.3872539016708547</v>
      </c>
      <c r="AP169" s="172">
        <f ca="1">(VLOOKUP(AP$72,INDIRECT($C$5&amp;"生成成长"),2))/((VLOOKUP($B169,INDIRECT($B$5&amp;"生成成长"),4))/(VLOOKUP(AP$72,INDIRECT($C$5&amp;"生成成长"),5))*(VLOOKUP($B$5,标准坦克设计!$B$24:$U$30,MATCH("对"&amp;LEFT($C$5,2)&amp;"输出",标准坦克设计!$B$23:$U$23,0)))*(VLOOKUP($B169,INDIRECT($B$5&amp;"生成成长"),3))*(VLOOKUP($B$5,标准坦克设计!$B$14:$K$20,9)/30))</f>
        <v>9.0052076306406974</v>
      </c>
      <c r="AQ169" s="172">
        <f ca="1">(VLOOKUP(AQ$72,INDIRECT($C$5&amp;"生成成长"),2))/((VLOOKUP($B169,INDIRECT($B$5&amp;"生成成长"),4))/(VLOOKUP(AQ$72,INDIRECT($C$5&amp;"生成成长"),5))*(VLOOKUP($B$5,标准坦克设计!$B$24:$U$30,MATCH("对"&amp;LEFT($C$5,2)&amp;"输出",标准坦克设计!$B$23:$U$23,0)))*(VLOOKUP($B169,INDIRECT($B$5&amp;"生成成长"),3))*(VLOOKUP($B$5,标准坦克设计!$B$14:$K$20,9)/30))</f>
        <v>9.6451241738873339</v>
      </c>
      <c r="AR169" s="172">
        <f ca="1">(VLOOKUP(AR$72,INDIRECT($C$5&amp;"生成成长"),2))/((VLOOKUP($B169,INDIRECT($B$5&amp;"生成成长"),4))/(VLOOKUP(AR$72,INDIRECT($C$5&amp;"生成成长"),5))*(VLOOKUP($B$5,标准坦克设计!$B$24:$U$30,MATCH("对"&amp;LEFT($C$5,2)&amp;"输出",标准坦克设计!$B$23:$U$23,0)))*(VLOOKUP($B169,INDIRECT($B$5&amp;"生成成长"),3))*(VLOOKUP($B$5,标准坦克设计!$B$14:$K$20,9)/30))</f>
        <v>10.307003531410768</v>
      </c>
      <c r="AS169" s="172">
        <f ca="1">(VLOOKUP(AS$72,INDIRECT($C$5&amp;"生成成长"),2))/((VLOOKUP($B169,INDIRECT($B$5&amp;"生成成长"),4))/(VLOOKUP(AS$72,INDIRECT($C$5&amp;"生成成长"),5))*(VLOOKUP($B$5,标准坦克设计!$B$24:$U$30,MATCH("对"&amp;LEFT($C$5,2)&amp;"输出",标准坦克设计!$B$23:$U$23,0)))*(VLOOKUP($B169,INDIRECT($B$5&amp;"生成成长"),3))*(VLOOKUP($B$5,标准坦克设计!$B$14:$K$20,9)/30))</f>
        <v>10.990845703210994</v>
      </c>
      <c r="AT169" s="172">
        <f ca="1">(VLOOKUP(AT$72,INDIRECT($C$5&amp;"生成成长"),2))/((VLOOKUP($B169,INDIRECT($B$5&amp;"生成成长"),4))/(VLOOKUP(AT$72,INDIRECT($C$5&amp;"生成成长"),5))*(VLOOKUP($B$5,标准坦克设计!$B$24:$U$30,MATCH("对"&amp;LEFT($C$5,2)&amp;"输出",标准坦克设计!$B$23:$U$23,0)))*(VLOOKUP($B169,INDIRECT($B$5&amp;"生成成长"),3))*(VLOOKUP($B$5,标准坦克设计!$B$14:$K$20,9)/30))</f>
        <v>11.696650689288019</v>
      </c>
      <c r="AU169" s="172">
        <f ca="1">(VLOOKUP(AU$72,INDIRECT($C$5&amp;"生成成长"),2))/((VLOOKUP($B169,INDIRECT($B$5&amp;"生成成长"),4))/(VLOOKUP(AU$72,INDIRECT($C$5&amp;"生成成长"),5))*(VLOOKUP($B$5,标准坦克设计!$B$24:$U$30,MATCH("对"&amp;LEFT($C$5,2)&amp;"输出",标准坦克设计!$B$23:$U$23,0)))*(VLOOKUP($B169,INDIRECT($B$5&amp;"生成成长"),3))*(VLOOKUP($B$5,标准坦克设计!$B$14:$K$20,9)/30))</f>
        <v>12.424418489641839</v>
      </c>
      <c r="AV169" s="172">
        <f ca="1">(VLOOKUP(AV$72,INDIRECT($C$5&amp;"生成成长"),2))/((VLOOKUP($B169,INDIRECT($B$5&amp;"生成成长"),4))/(VLOOKUP(AV$72,INDIRECT($C$5&amp;"生成成长"),5))*(VLOOKUP($B$5,标准坦克设计!$B$24:$U$30,MATCH("对"&amp;LEFT($C$5,2)&amp;"输出",标准坦克设计!$B$23:$U$23,0)))*(VLOOKUP($B169,INDIRECT($B$5&amp;"生成成长"),3))*(VLOOKUP($B$5,标准坦克设计!$B$14:$K$20,9)/30))</f>
        <v>1.2636786197938128</v>
      </c>
      <c r="AW169" s="172">
        <f ca="1">(VLOOKUP(AW$72,INDIRECT($C$5&amp;"生成成长"),2))/((VLOOKUP($B169,INDIRECT($B$5&amp;"生成成长"),4))/(VLOOKUP(AW$72,INDIRECT($C$5&amp;"生成成长"),5))*(VLOOKUP($B$5,标准坦克设计!$B$24:$U$30,MATCH("对"&amp;LEFT($C$5,2)&amp;"输出",标准坦克设计!$B$23:$U$23,0)))*(VLOOKUP($B169,INDIRECT($B$5&amp;"生成成长"),3))*(VLOOKUP($B$5,标准坦克设计!$B$14:$K$20,9)/30))</f>
        <v>1.4408332209025116</v>
      </c>
      <c r="AX169" s="172">
        <f ca="1">(VLOOKUP(AX$72,INDIRECT($C$5&amp;"生成成长"),2))/((VLOOKUP($B169,INDIRECT($B$5&amp;"生成成长"),4))/(VLOOKUP(AX$72,INDIRECT($C$5&amp;"生成成长"),5))*(VLOOKUP($B$5,标准坦克设计!$B$24:$U$30,MATCH("对"&amp;LEFT($C$5,2)&amp;"输出",标准坦克设计!$B$23:$U$23,0)))*(VLOOKUP($B169,INDIRECT($B$5&amp;"生成成长"),3))*(VLOOKUP($B$5,标准坦克设计!$B$14:$K$20,9)/30))</f>
        <v>1.6296045171658791</v>
      </c>
      <c r="AY169" s="172">
        <f ca="1">(VLOOKUP(AY$72,INDIRECT($C$5&amp;"生成成长"),2))/((VLOOKUP($B169,INDIRECT($B$5&amp;"生成成长"),4))/(VLOOKUP(AY$72,INDIRECT($C$5&amp;"生成成长"),5))*(VLOOKUP($B$5,标准坦克设计!$B$24:$U$30,MATCH("对"&amp;LEFT($C$5,2)&amp;"输出",标准坦克设计!$B$23:$U$23,0)))*(VLOOKUP($B169,INDIRECT($B$5&amp;"生成成长"),3))*(VLOOKUP($B$5,标准坦克设计!$B$14:$K$20,9)/30))</f>
        <v>1.8299925085839155</v>
      </c>
      <c r="AZ169" s="172">
        <f ca="1">(VLOOKUP(AZ$72,INDIRECT($C$5&amp;"生成成长"),2))/((VLOOKUP($B169,INDIRECT($B$5&amp;"生成成长"),4))/(VLOOKUP(AZ$72,INDIRECT($C$5&amp;"生成成长"),5))*(VLOOKUP($B$5,标准坦克设计!$B$24:$U$30,MATCH("对"&amp;LEFT($C$5,2)&amp;"输出",标准坦克设计!$B$23:$U$23,0)))*(VLOOKUP($B169,INDIRECT($B$5&amp;"生成成长"),3))*(VLOOKUP($B$5,标准坦克设计!$B$14:$K$20,9)/30))</f>
        <v>2.0419971951566205</v>
      </c>
      <c r="BA169" s="172">
        <f ca="1">(VLOOKUP(BA$72,INDIRECT($C$5&amp;"生成成长"),2))/((VLOOKUP($B169,INDIRECT($B$5&amp;"生成成长"),4))/(VLOOKUP(BA$72,INDIRECT($C$5&amp;"生成成长"),5))*(VLOOKUP($B$5,标准坦克设计!$B$24:$U$30,MATCH("对"&amp;LEFT($C$5,2)&amp;"输出",标准坦克设计!$B$23:$U$23,0)))*(VLOOKUP($B169,INDIRECT($B$5&amp;"生成成长"),3))*(VLOOKUP($B$5,标准坦克设计!$B$14:$K$20,9)/30))</f>
        <v>2.2656185768839943</v>
      </c>
      <c r="BB169" s="172">
        <f ca="1">(VLOOKUP(BB$72,INDIRECT($C$5&amp;"生成成长"),2))/((VLOOKUP($B169,INDIRECT($B$5&amp;"生成成长"),4))/(VLOOKUP(BB$72,INDIRECT($C$5&amp;"生成成长"),5))*(VLOOKUP($B$5,标准坦克设计!$B$24:$U$30,MATCH("对"&amp;LEFT($C$5,2)&amp;"输出",标准坦克设计!$B$23:$U$23,0)))*(VLOOKUP($B169,INDIRECT($B$5&amp;"生成成长"),3))*(VLOOKUP($B$5,标准坦克设计!$B$14:$K$20,9)/30))</f>
        <v>2.5008566537660371</v>
      </c>
      <c r="BC169" s="172">
        <f ca="1">(VLOOKUP(BC$72,INDIRECT($C$5&amp;"生成成长"),2))/((VLOOKUP($B169,INDIRECT($B$5&amp;"生成成长"),4))/(VLOOKUP(BC$72,INDIRECT($C$5&amp;"生成成长"),5))*(VLOOKUP($B$5,标准坦克设计!$B$24:$U$30,MATCH("对"&amp;LEFT($C$5,2)&amp;"输出",标准坦克设计!$B$23:$U$23,0)))*(VLOOKUP($B169,INDIRECT($B$5&amp;"生成成长"),3))*(VLOOKUP($B$5,标准坦克设计!$B$14:$K$20,9)/30))</f>
        <v>2.7477114258027484</v>
      </c>
      <c r="BD169" s="172">
        <f ca="1">(VLOOKUP(BD$72,INDIRECT($C$5&amp;"生成成长"),2))/((VLOOKUP($B169,INDIRECT($B$5&amp;"生成成长"),4))/(VLOOKUP(BD$72,INDIRECT($C$5&amp;"生成成长"),5))*(VLOOKUP($B$5,标准坦克设计!$B$24:$U$30,MATCH("对"&amp;LEFT($C$5,2)&amp;"输出",标准坦克设计!$B$23:$U$23,0)))*(VLOOKUP($B169,INDIRECT($B$5&amp;"生成成长"),3))*(VLOOKUP($B$5,标准坦克设计!$B$14:$K$20,9)/30))</f>
        <v>3.0393086252711137</v>
      </c>
      <c r="BE169" s="172">
        <f ca="1">(VLOOKUP(BE$72,INDIRECT($C$5&amp;"生成成长"),2))/((VLOOKUP($B169,INDIRECT($B$5&amp;"生成成长"),4))/(VLOOKUP(BE$72,INDIRECT($C$5&amp;"生成成长"),5))*(VLOOKUP($B$5,标准坦克设计!$B$24:$U$30,MATCH("对"&amp;LEFT($C$5,2)&amp;"输出",标准坦克设计!$B$23:$U$23,0)))*(VLOOKUP($B169,INDIRECT($B$5&amp;"生成成长"),3))*(VLOOKUP($B$5,标准坦克设计!$B$14:$K$20,9)/30))</f>
        <v>3.3456082045446078</v>
      </c>
      <c r="BF169" s="172">
        <f ca="1">(VLOOKUP(BF$72,INDIRECT($C$5&amp;"生成成长"),2))/((VLOOKUP($B169,INDIRECT($B$5&amp;"生成成长"),4))/(VLOOKUP(BF$72,INDIRECT($C$5&amp;"生成成长"),5))*(VLOOKUP($B$5,标准坦克设计!$B$24:$U$30,MATCH("对"&amp;LEFT($C$5,2)&amp;"输出",标准坦克设计!$B$23:$U$23,0)))*(VLOOKUP($B169,INDIRECT($B$5&amp;"生成成长"),3))*(VLOOKUP($B$5,标准坦克设计!$B$14:$K$20,9)/30))</f>
        <v>3.6666101636232287</v>
      </c>
      <c r="BG169" s="172">
        <f ca="1">(VLOOKUP(BG$72,INDIRECT($C$5&amp;"生成成长"),2))/((VLOOKUP($B169,INDIRECT($B$5&amp;"生成成长"),4))/(VLOOKUP(BG$72,INDIRECT($C$5&amp;"生成成长"),5))*(VLOOKUP($B$5,标准坦克设计!$B$24:$U$30,MATCH("对"&amp;LEFT($C$5,2)&amp;"输出",标准坦克设计!$B$23:$U$23,0)))*(VLOOKUP($B169,INDIRECT($B$5&amp;"生成成长"),3))*(VLOOKUP($B$5,标准坦克设计!$B$14:$K$20,9)/30))</f>
        <v>4.0023145025069757</v>
      </c>
      <c r="BH169" s="172">
        <f ca="1">(VLOOKUP(BH$72,INDIRECT($C$5&amp;"生成成长"),2))/((VLOOKUP($B169,INDIRECT($B$5&amp;"生成成长"),4))/(VLOOKUP(BH$72,INDIRECT($C$5&amp;"生成成长"),5))*(VLOOKUP($B$5,标准坦克设计!$B$24:$U$30,MATCH("对"&amp;LEFT($C$5,2)&amp;"输出",标准坦克设计!$B$23:$U$23,0)))*(VLOOKUP($B169,INDIRECT($B$5&amp;"生成成长"),3))*(VLOOKUP($B$5,标准坦克设计!$B$14:$K$20,9)/30))</f>
        <v>1.934542764975935</v>
      </c>
      <c r="BI169" s="172">
        <f ca="1">(VLOOKUP(BI$72,INDIRECT($C$5&amp;"生成成长"),2))/((VLOOKUP($B169,INDIRECT($B$5&amp;"生成成长"),4))/(VLOOKUP(BI$72,INDIRECT($C$5&amp;"生成成长"),5))*(VLOOKUP($B$5,标准坦克设计!$B$24:$U$30,MATCH("对"&amp;LEFT($C$5,2)&amp;"输出",标准坦克设计!$B$23:$U$23,0)))*(VLOOKUP($B169,INDIRECT($B$5&amp;"生成成长"),3))*(VLOOKUP($B$5,标准坦克设计!$B$14:$K$20,9)/30))</f>
        <v>2.1803992272727917</v>
      </c>
      <c r="BJ169" s="172">
        <f ca="1">(VLOOKUP(BJ$72,INDIRECT($C$5&amp;"生成成长"),2))/((VLOOKUP($B169,INDIRECT($B$5&amp;"生成成长"),4))/(VLOOKUP(BJ$72,INDIRECT($C$5&amp;"生成成长"),5))*(VLOOKUP($B$5,标准坦克设计!$B$24:$U$30,MATCH("对"&amp;LEFT($C$5,2)&amp;"输出",标准坦克设计!$B$23:$U$23,0)))*(VLOOKUP($B169,INDIRECT($B$5&amp;"生成成长"),3))*(VLOOKUP($B$5,标准坦克设计!$B$14:$K$20,9)/30))</f>
        <v>2.4409580693747768</v>
      </c>
      <c r="BK169" s="172">
        <f ca="1">(VLOOKUP(BK$72,INDIRECT($C$5&amp;"生成成长"),2))/((VLOOKUP($B169,INDIRECT($B$5&amp;"生成成长"),4))/(VLOOKUP(BK$72,INDIRECT($C$5&amp;"生成成长"),5))*(VLOOKUP($B$5,标准坦克设计!$B$24:$U$30,MATCH("对"&amp;LEFT($C$5,2)&amp;"输出",标准坦克设计!$B$23:$U$23,0)))*(VLOOKUP($B169,INDIRECT($B$5&amp;"生成成长"),3))*(VLOOKUP($B$5,标准坦克设计!$B$14:$K$20,9)/30))</f>
        <v>2.716219291281889</v>
      </c>
      <c r="BL169" s="172">
        <f ca="1">(VLOOKUP(BL$72,INDIRECT($C$5&amp;"生成成长"),2))/((VLOOKUP($B169,INDIRECT($B$5&amp;"生成成长"),4))/(VLOOKUP(BL$72,INDIRECT($C$5&amp;"生成成长"),5))*(VLOOKUP($B$5,标准坦克设计!$B$24:$U$30,MATCH("对"&amp;LEFT($C$5,2)&amp;"输出",标准坦克设计!$B$23:$U$23,0)))*(VLOOKUP($B169,INDIRECT($B$5&amp;"生成成长"),3))*(VLOOKUP($B$5,标准坦克设计!$B$14:$K$20,9)/30))</f>
        <v>3.0061828929941292</v>
      </c>
      <c r="BM169" s="172">
        <f ca="1">(VLOOKUP(BM$72,INDIRECT($C$5&amp;"生成成长"),2))/((VLOOKUP($B169,INDIRECT($B$5&amp;"生成成长"),4))/(VLOOKUP(BM$72,INDIRECT($C$5&amp;"生成成长"),5))*(VLOOKUP($B$5,标准坦克设计!$B$24:$U$30,MATCH("对"&amp;LEFT($C$5,2)&amp;"输出",标准坦克设计!$B$23:$U$23,0)))*(VLOOKUP($B169,INDIRECT($B$5&amp;"生成成长"),3))*(VLOOKUP($B$5,标准坦克设计!$B$14:$K$20,9)/30))</f>
        <v>3.3108488745114966</v>
      </c>
      <c r="BN169" s="172">
        <f ca="1">(VLOOKUP(BN$72,INDIRECT($C$5&amp;"生成成长"),2))/((VLOOKUP($B169,INDIRECT($B$5&amp;"生成成长"),4))/(VLOOKUP(BN$72,INDIRECT($C$5&amp;"生成成长"),5))*(VLOOKUP($B$5,标准坦克设计!$B$24:$U$30,MATCH("对"&amp;LEFT($C$5,2)&amp;"输出",标准坦克设计!$B$23:$U$23,0)))*(VLOOKUP($B169,INDIRECT($B$5&amp;"生成成长"),3))*(VLOOKUP($B$5,标准坦克设计!$B$14:$K$20,9)/30))</f>
        <v>3.6302172358339928</v>
      </c>
      <c r="BO169" s="172">
        <f ca="1">(VLOOKUP(BO$72,INDIRECT($C$5&amp;"生成成长"),2))/((VLOOKUP($B169,INDIRECT($B$5&amp;"生成成长"),4))/(VLOOKUP(BO$72,INDIRECT($C$5&amp;"生成成长"),5))*(VLOOKUP($B$5,标准坦克设计!$B$24:$U$30,MATCH("对"&amp;LEFT($C$5,2)&amp;"输出",标准坦克设计!$B$23:$U$23,0)))*(VLOOKUP($B169,INDIRECT($B$5&amp;"生成成长"),3))*(VLOOKUP($B$5,标准坦克设计!$B$14:$K$20,9)/30))</f>
        <v>3.9642879769616153</v>
      </c>
      <c r="BP169" s="172">
        <f ca="1">(VLOOKUP(BP$72,INDIRECT($C$5&amp;"生成成长"),2))/((VLOOKUP($B169,INDIRECT($B$5&amp;"生成成长"),4))/(VLOOKUP(BP$72,INDIRECT($C$5&amp;"生成成长"),5))*(VLOOKUP($B$5,标准坦克设计!$B$24:$U$30,MATCH("对"&amp;LEFT($C$5,2)&amp;"输出",标准坦克设计!$B$23:$U$23,0)))*(VLOOKUP($B169,INDIRECT($B$5&amp;"生成成长"),3))*(VLOOKUP($B$5,标准坦克设计!$B$14:$K$20,9)/30))</f>
        <v>4.3130610978943666</v>
      </c>
      <c r="BQ169" s="172">
        <f ca="1">(VLOOKUP(BQ$72,INDIRECT($C$5&amp;"生成成长"),2))/((VLOOKUP($B169,INDIRECT($B$5&amp;"生成成长"),4))/(VLOOKUP(BQ$72,INDIRECT($C$5&amp;"生成成长"),5))*(VLOOKUP($B$5,标准坦克设计!$B$24:$U$30,MATCH("对"&amp;LEFT($C$5,2)&amp;"输出",标准坦克设计!$B$23:$U$23,0)))*(VLOOKUP($B169,INDIRECT($B$5&amp;"生成成长"),3))*(VLOOKUP($B$5,标准坦克设计!$B$14:$K$20,9)/30))</f>
        <v>4.6765365986322456</v>
      </c>
      <c r="BR169" s="172">
        <f ca="1">(VLOOKUP(BR$72,INDIRECT($C$5&amp;"生成成长"),2))/((VLOOKUP($B169,INDIRECT($B$5&amp;"生成成长"),4))/(VLOOKUP(BR$72,INDIRECT($C$5&amp;"生成成长"),5))*(VLOOKUP($B$5,标准坦克设计!$B$24:$U$30,MATCH("对"&amp;LEFT($C$5,2)&amp;"输出",标准坦克设计!$B$23:$U$23,0)))*(VLOOKUP($B169,INDIRECT($B$5&amp;"生成成长"),3))*(VLOOKUP($B$5,标准坦克设计!$B$14:$K$20,9)/30))</f>
        <v>5.0976417979889872</v>
      </c>
      <c r="BS169" s="172">
        <f ca="1">(VLOOKUP(BS$72,INDIRECT($C$5&amp;"生成成长"),2))/((VLOOKUP($B169,INDIRECT($B$5&amp;"生成成长"),4))/(VLOOKUP(BS$72,INDIRECT($C$5&amp;"生成成长"),5))*(VLOOKUP($B$5,标准坦克设计!$B$24:$U$30,MATCH("对"&amp;LEFT($C$5,2)&amp;"输出",标准坦克设计!$B$23:$U$23,0)))*(VLOOKUP($B169,INDIRECT($B$5&amp;"生成成长"),3))*(VLOOKUP($B$5,标准坦克设计!$B$14:$K$20,9)/30))</f>
        <v>5.5368980835249024</v>
      </c>
      <c r="BT169" s="172">
        <f ca="1">(VLOOKUP(BT$72,INDIRECT($C$5&amp;"生成成长"),2))/((VLOOKUP($B169,INDIRECT($B$5&amp;"生成成长"),4))/(VLOOKUP(BT$72,INDIRECT($C$5&amp;"生成成长"),5))*(VLOOKUP($B$5,标准坦克设计!$B$24:$U$30,MATCH("对"&amp;LEFT($C$5,2)&amp;"输出",标准坦克设计!$B$23:$U$23,0)))*(VLOOKUP($B169,INDIRECT($B$5&amp;"生成成长"),3))*(VLOOKUP($B$5,标准坦克设计!$B$14:$K$20,9)/30))</f>
        <v>5.994305455239985</v>
      </c>
      <c r="BU169" s="172">
        <f ca="1">(VLOOKUP(BU$72,INDIRECT($C$5&amp;"生成成长"),2))/((VLOOKUP($B169,INDIRECT($B$5&amp;"生成成长"),4))/(VLOOKUP(BU$72,INDIRECT($C$5&amp;"生成成长"),5))*(VLOOKUP($B$5,标准坦克设计!$B$24:$U$30,MATCH("对"&amp;LEFT($C$5,2)&amp;"输出",标准坦克设计!$B$23:$U$23,0)))*(VLOOKUP($B169,INDIRECT($B$5&amp;"生成成长"),3))*(VLOOKUP($B$5,标准坦克设计!$B$14:$K$20,9)/30))</f>
        <v>6.4698639131342368</v>
      </c>
      <c r="BV169" s="172">
        <f ca="1">(VLOOKUP(BV$72,INDIRECT($C$5&amp;"生成成长"),2))/((VLOOKUP($B169,INDIRECT($B$5&amp;"生成成长"),4))/(VLOOKUP(BV$72,INDIRECT($C$5&amp;"生成成长"),5))*(VLOOKUP($B$5,标准坦克设计!$B$24:$U$30,MATCH("对"&amp;LEFT($C$5,2)&amp;"输出",标准坦克设计!$B$23:$U$23,0)))*(VLOOKUP($B169,INDIRECT($B$5&amp;"生成成长"),3))*(VLOOKUP($B$5,标准坦克设计!$B$14:$K$20,9)/30))</f>
        <v>6.9635734572076586</v>
      </c>
      <c r="BW169" s="172">
        <f ca="1">(VLOOKUP(BW$72,INDIRECT($C$5&amp;"生成成长"),2))/((VLOOKUP($B169,INDIRECT($B$5&amp;"生成成长"),4))/(VLOOKUP(BW$72,INDIRECT($C$5&amp;"生成成长"),5))*(VLOOKUP($B$5,标准坦克设计!$B$24:$U$30,MATCH("对"&amp;LEFT($C$5,2)&amp;"输出",标准坦克设计!$B$23:$U$23,0)))*(VLOOKUP($B169,INDIRECT($B$5&amp;"生成成长"),3))*(VLOOKUP($B$5,标准坦克设计!$B$14:$K$20,9)/30))</f>
        <v>3.1736266629969725</v>
      </c>
      <c r="BX169" s="172">
        <f ca="1">(VLOOKUP(BX$72,INDIRECT($C$5&amp;"生成成长"),2))/((VLOOKUP($B169,INDIRECT($B$5&amp;"生成成长"),4))/(VLOOKUP(BX$72,INDIRECT($C$5&amp;"生成成长"),5))*(VLOOKUP($B$5,标准坦克设计!$B$24:$U$30,MATCH("对"&amp;LEFT($C$5,2)&amp;"输出",标准坦克设计!$B$23:$U$23,0)))*(VLOOKUP($B169,INDIRECT($B$5&amp;"生成成长"),3))*(VLOOKUP($B$5,标准坦克设计!$B$14:$K$20,9)/30))</f>
        <v>3.5221275176370357</v>
      </c>
      <c r="BY169" s="172">
        <f ca="1">(VLOOKUP(BY$72,INDIRECT($C$5&amp;"生成成长"),2))/((VLOOKUP($B169,INDIRECT($B$5&amp;"生成成长"),4))/(VLOOKUP(BY$72,INDIRECT($C$5&amp;"生成成长"),5))*(VLOOKUP($B$5,标准坦克设计!$B$24:$U$30,MATCH("对"&amp;LEFT($C$5,2)&amp;"输出",标准坦克设计!$B$23:$U$23,0)))*(VLOOKUP($B169,INDIRECT($B$5&amp;"生成成长"),3))*(VLOOKUP($B$5,标准坦克设计!$B$14:$K$20,9)/30))</f>
        <v>3.8887794584562689</v>
      </c>
      <c r="BZ169" s="172">
        <f ca="1">(VLOOKUP(BZ$72,INDIRECT($C$5&amp;"生成成长"),2))/((VLOOKUP($B169,INDIRECT($B$5&amp;"生成成长"),4))/(VLOOKUP(BZ$72,INDIRECT($C$5&amp;"生成成长"),5))*(VLOOKUP($B$5,标准坦克设计!$B$24:$U$30,MATCH("对"&amp;LEFT($C$5,2)&amp;"输出",标准坦克设计!$B$23:$U$23,0)))*(VLOOKUP($B169,INDIRECT($B$5&amp;"生成成长"),3))*(VLOOKUP($B$5,标准坦克设计!$B$14:$K$20,9)/30))</f>
        <v>4.2735824854546722</v>
      </c>
      <c r="CA169" s="172">
        <f ca="1">(VLOOKUP(CA$72,INDIRECT($C$5&amp;"生成成长"),2))/((VLOOKUP($B169,INDIRECT($B$5&amp;"生成成长"),4))/(VLOOKUP(CA$72,INDIRECT($C$5&amp;"生成成长"),5))*(VLOOKUP($B$5,标准坦克设计!$B$24:$U$30,MATCH("对"&amp;LEFT($C$5,2)&amp;"输出",标准坦克设计!$B$23:$U$23,0)))*(VLOOKUP($B169,INDIRECT($B$5&amp;"生成成长"),3))*(VLOOKUP($B$5,标准坦克设计!$B$14:$K$20,9)/30))</f>
        <v>4.6765365986322456</v>
      </c>
      <c r="CB169" s="172">
        <f ca="1">(VLOOKUP(CB$72,INDIRECT($C$5&amp;"生成成长"),2))/((VLOOKUP($B169,INDIRECT($B$5&amp;"生成成长"),4))/(VLOOKUP(CB$72,INDIRECT($C$5&amp;"生成成长"),5))*(VLOOKUP($B$5,标准坦克设计!$B$24:$U$30,MATCH("对"&amp;LEFT($C$5,2)&amp;"输出",标准坦克设计!$B$23:$U$23,0)))*(VLOOKUP($B169,INDIRECT($B$5&amp;"生成成长"),3))*(VLOOKUP($B$5,标准坦克设计!$B$14:$K$20,9)/30))</f>
        <v>5.0976417979889872</v>
      </c>
      <c r="CC169" s="172">
        <f ca="1">(VLOOKUP(CC$72,INDIRECT($C$5&amp;"生成成长"),2))/((VLOOKUP($B169,INDIRECT($B$5&amp;"生成成长"),4))/(VLOOKUP(CC$72,INDIRECT($C$5&amp;"生成成长"),5))*(VLOOKUP($B$5,标准坦克设计!$B$24:$U$30,MATCH("对"&amp;LEFT($C$5,2)&amp;"输出",标准坦克设计!$B$23:$U$23,0)))*(VLOOKUP($B169,INDIRECT($B$5&amp;"生成成长"),3))*(VLOOKUP($B$5,标准坦克设计!$B$14:$K$20,9)/30))</f>
        <v>5.5368980835249024</v>
      </c>
      <c r="CD169" s="172">
        <f ca="1">(VLOOKUP(CD$72,INDIRECT($C$5&amp;"生成成长"),2))/((VLOOKUP($B169,INDIRECT($B$5&amp;"生成成长"),4))/(VLOOKUP(CD$72,INDIRECT($C$5&amp;"生成成长"),5))*(VLOOKUP($B$5,标准坦克设计!$B$24:$U$30,MATCH("对"&amp;LEFT($C$5,2)&amp;"输出",标准坦克设计!$B$23:$U$23,0)))*(VLOOKUP($B169,INDIRECT($B$5&amp;"生成成长"),3))*(VLOOKUP($B$5,标准坦克设计!$B$14:$K$20,9)/30))</f>
        <v>5.994305455239985</v>
      </c>
      <c r="CE169" s="172">
        <f ca="1">(VLOOKUP(CE$72,INDIRECT($C$5&amp;"生成成长"),2))/((VLOOKUP($B169,INDIRECT($B$5&amp;"生成成长"),4))/(VLOOKUP(CE$72,INDIRECT($C$5&amp;"生成成长"),5))*(VLOOKUP($B$5,标准坦克设计!$B$24:$U$30,MATCH("对"&amp;LEFT($C$5,2)&amp;"输出",标准坦克设计!$B$23:$U$23,0)))*(VLOOKUP($B169,INDIRECT($B$5&amp;"生成成长"),3))*(VLOOKUP($B$5,标准坦克设计!$B$14:$K$20,9)/30))</f>
        <v>6.4698639131342368</v>
      </c>
      <c r="CF169" s="172">
        <f ca="1">(VLOOKUP(CF$72,INDIRECT($C$5&amp;"生成成长"),2))/((VLOOKUP($B169,INDIRECT($B$5&amp;"生成成长"),4))/(VLOOKUP(CF$72,INDIRECT($C$5&amp;"生成成长"),5))*(VLOOKUP($B$5,标准坦克设计!$B$24:$U$30,MATCH("对"&amp;LEFT($C$5,2)&amp;"输出",标准坦克设计!$B$23:$U$23,0)))*(VLOOKUP($B169,INDIRECT($B$5&amp;"生成成长"),3))*(VLOOKUP($B$5,标准坦克设计!$B$14:$K$20,9)/30))</f>
        <v>6.9635734572076586</v>
      </c>
      <c r="CG169" s="172">
        <f ca="1">(VLOOKUP(CG$72,INDIRECT($C$5&amp;"生成成长"),2))/((VLOOKUP($B169,INDIRECT($B$5&amp;"生成成长"),4))/(VLOOKUP(CG$72,INDIRECT($C$5&amp;"生成成长"),5))*(VLOOKUP($B$5,标准坦克设计!$B$24:$U$30,MATCH("对"&amp;LEFT($C$5,2)&amp;"输出",标准坦克设计!$B$23:$U$23,0)))*(VLOOKUP($B169,INDIRECT($B$5&amp;"生成成长"),3))*(VLOOKUP($B$5,标准坦克设计!$B$14:$K$20,9)/30))</f>
        <v>7.4754340874602523</v>
      </c>
      <c r="CH169" s="172">
        <f ca="1">(VLOOKUP(CH$72,INDIRECT($C$5&amp;"生成成长"),2))/((VLOOKUP($B169,INDIRECT($B$5&amp;"生成成长"),4))/(VLOOKUP(CH$72,INDIRECT($C$5&amp;"生成成长"),5))*(VLOOKUP($B$5,标准坦克设计!$B$24:$U$30,MATCH("对"&amp;LEFT($C$5,2)&amp;"输出",标准坦克设计!$B$23:$U$23,0)))*(VLOOKUP($B169,INDIRECT($B$5&amp;"生成成长"),3))*(VLOOKUP($B$5,标准坦克设计!$B$14:$K$20,9)/30))</f>
        <v>8.005445803892016</v>
      </c>
      <c r="CI169" s="172">
        <f ca="1">(VLOOKUP(CI$72,INDIRECT($C$5&amp;"生成成长"),2))/((VLOOKUP($B169,INDIRECT($B$5&amp;"生成成长"),4))/(VLOOKUP(CI$72,INDIRECT($C$5&amp;"生成成长"),5))*(VLOOKUP($B$5,标准坦克设计!$B$24:$U$30,MATCH("对"&amp;LEFT($C$5,2)&amp;"输出",标准坦克设计!$B$23:$U$23,0)))*(VLOOKUP($B169,INDIRECT($B$5&amp;"生成成长"),3))*(VLOOKUP($B$5,标准坦克设计!$B$14:$K$20,9)/30))</f>
        <v>8.6094231965038972</v>
      </c>
      <c r="CJ169" s="172">
        <f ca="1">(VLOOKUP(CJ$72,INDIRECT($C$5&amp;"生成成长"),2))/((VLOOKUP($B169,INDIRECT($B$5&amp;"生成成长"),4))/(VLOOKUP(CJ$72,INDIRECT($C$5&amp;"生成成长"),5))*(VLOOKUP($B$5,标准坦克设计!$B$24:$U$30,MATCH("对"&amp;LEFT($C$5,2)&amp;"输出",标准坦克设计!$B$23:$U$23,0)))*(VLOOKUP($B169,INDIRECT($B$5&amp;"生成成长"),3))*(VLOOKUP($B$5,标准坦克设计!$B$14:$K$20,9)/30))</f>
        <v>9.2353634033925722</v>
      </c>
      <c r="CK169" s="172">
        <f ca="1">(VLOOKUP(CK$72,INDIRECT($C$5&amp;"生成成长"),2))/((VLOOKUP($B169,INDIRECT($B$5&amp;"生成成长"),4))/(VLOOKUP(CK$72,INDIRECT($C$5&amp;"生成成长"),5))*(VLOOKUP($B$5,标准坦克设计!$B$24:$U$30,MATCH("对"&amp;LEFT($C$5,2)&amp;"输出",标准坦克设计!$B$23:$U$23,0)))*(VLOOKUP($B169,INDIRECT($B$5&amp;"生成成长"),3))*(VLOOKUP($B$5,标准坦克设计!$B$14:$K$20,9)/30))</f>
        <v>9.8832664245580446</v>
      </c>
      <c r="CL169" s="172">
        <f ca="1">(VLOOKUP(CL$72,INDIRECT($C$5&amp;"生成成长"),2))/((VLOOKUP($B169,INDIRECT($B$5&amp;"生成成长"),4))/(VLOOKUP(CL$72,INDIRECT($C$5&amp;"生成成长"),5))*(VLOOKUP($B$5,标准坦克设计!$B$24:$U$30,MATCH("对"&amp;LEFT($C$5,2)&amp;"输出",标准坦克设计!$B$23:$U$23,0)))*(VLOOKUP($B169,INDIRECT($B$5&amp;"生成成长"),3))*(VLOOKUP($B$5,标准坦克设计!$B$14:$K$20,9)/30))</f>
        <v>10.553132260000311</v>
      </c>
      <c r="CM169" s="172">
        <f ca="1">(VLOOKUP(CM$72,INDIRECT($C$5&amp;"生成成长"),2))/((VLOOKUP($B169,INDIRECT($B$5&amp;"生成成长"),4))/(VLOOKUP(CM$72,INDIRECT($C$5&amp;"生成成长"),5))*(VLOOKUP($B$5,标准坦克设计!$B$24:$U$30,MATCH("对"&amp;LEFT($C$5,2)&amp;"输出",标准坦克设计!$B$23:$U$23,0)))*(VLOOKUP($B169,INDIRECT($B$5&amp;"生成成长"),3))*(VLOOKUP($B$5,标准坦克设计!$B$14:$K$20,9)/30))</f>
        <v>11.244960909719374</v>
      </c>
      <c r="CN169" s="172">
        <f ca="1">(VLOOKUP(CN$72,INDIRECT($C$5&amp;"生成成长"),2))/((VLOOKUP($B169,INDIRECT($B$5&amp;"生成成长"),4))/(VLOOKUP(CN$72,INDIRECT($C$5&amp;"生成成长"),5))*(VLOOKUP($B$5,标准坦克设计!$B$24:$U$30,MATCH("对"&amp;LEFT($C$5,2)&amp;"输出",标准坦克设计!$B$23:$U$23,0)))*(VLOOKUP($B169,INDIRECT($B$5&amp;"生成成长"),3))*(VLOOKUP($B$5,标准坦克设计!$B$14:$K$20,9)/30))</f>
        <v>11.958752373715235</v>
      </c>
      <c r="CO169" s="172">
        <f ca="1">(VLOOKUP(CO$72,INDIRECT($C$5&amp;"生成成长"),2))/((VLOOKUP($B169,INDIRECT($B$5&amp;"生成成长"),4))/(VLOOKUP(CO$72,INDIRECT($C$5&amp;"生成成长"),5))*(VLOOKUP($B$5,标准坦克设计!$B$24:$U$30,MATCH("对"&amp;LEFT($C$5,2)&amp;"输出",标准坦克设计!$B$23:$U$23,0)))*(VLOOKUP($B169,INDIRECT($B$5&amp;"生成成长"),3))*(VLOOKUP($B$5,标准坦克设计!$B$14:$K$20,9)/30))</f>
        <v>5.3590174389690359</v>
      </c>
      <c r="CP169" s="172">
        <f ca="1">(VLOOKUP(CP$72,INDIRECT($C$5&amp;"生成成长"),2))/((VLOOKUP($B169,INDIRECT($B$5&amp;"生成成长"),4))/(VLOOKUP(CP$72,INDIRECT($C$5&amp;"生成成长"),5))*(VLOOKUP($B$5,标准坦克设计!$B$24:$U$30,MATCH("对"&amp;LEFT($C$5,2)&amp;"输出",标准坦克设计!$B$23:$U$23,0)))*(VLOOKUP($B169,INDIRECT($B$5&amp;"生成成长"),3))*(VLOOKUP($B$5,标准坦克设计!$B$14:$K$20,9)/30))</f>
        <v>5.855177379676646</v>
      </c>
      <c r="CQ169" s="172">
        <f ca="1">(VLOOKUP(CQ$72,INDIRECT($C$5&amp;"生成成长"),2))/((VLOOKUP($B169,INDIRECT($B$5&amp;"生成成长"),4))/(VLOOKUP(CQ$72,INDIRECT($C$5&amp;"生成成长"),5))*(VLOOKUP($B$5,标准坦克设计!$B$24:$U$30,MATCH("对"&amp;LEFT($C$5,2)&amp;"输出",标准坦克设计!$B$23:$U$23,0)))*(VLOOKUP($B169,INDIRECT($B$5&amp;"生成成长"),3))*(VLOOKUP($B$5,标准坦克设计!$B$14:$K$20,9)/30))</f>
        <v>6.3733001346610534</v>
      </c>
      <c r="CR169" s="172">
        <f ca="1">(VLOOKUP(CR$72,INDIRECT($C$5&amp;"生成成长"),2))/((VLOOKUP($B169,INDIRECT($B$5&amp;"生成成长"),4))/(VLOOKUP(CR$72,INDIRECT($C$5&amp;"生成成长"),5))*(VLOOKUP($B$5,标准坦克设计!$B$24:$U$30,MATCH("对"&amp;LEFT($C$5,2)&amp;"输出",标准坦克设计!$B$23:$U$23,0)))*(VLOOKUP($B169,INDIRECT($B$5&amp;"生成成长"),3))*(VLOOKUP($B$5,标准坦克设计!$B$14:$K$20,9)/30))</f>
        <v>6.9133857039222537</v>
      </c>
      <c r="CS169" s="172">
        <f ca="1">(VLOOKUP(CS$72,INDIRECT($C$5&amp;"生成成长"),2))/((VLOOKUP($B169,INDIRECT($B$5&amp;"生成成长"),4))/(VLOOKUP(CS$72,INDIRECT($C$5&amp;"生成成长"),5))*(VLOOKUP($B$5,标准坦克设计!$B$24:$U$30,MATCH("对"&amp;LEFT($C$5,2)&amp;"输出",标准坦克设计!$B$23:$U$23,0)))*(VLOOKUP($B169,INDIRECT($B$5&amp;"生成成长"),3))*(VLOOKUP($B$5,标准坦克设计!$B$14:$K$20,9)/30))</f>
        <v>7.4754340874602523</v>
      </c>
      <c r="CT169" s="172">
        <f ca="1">(VLOOKUP(CT$72,INDIRECT($C$5&amp;"生成成长"),2))/((VLOOKUP($B169,INDIRECT($B$5&amp;"生成成长"),4))/(VLOOKUP(CT$72,INDIRECT($C$5&amp;"生成成长"),5))*(VLOOKUP($B$5,标准坦克设计!$B$24:$U$30,MATCH("对"&amp;LEFT($C$5,2)&amp;"输出",标准坦克设计!$B$23:$U$23,0)))*(VLOOKUP($B169,INDIRECT($B$5&amp;"生成成长"),3))*(VLOOKUP($B$5,标准坦克设计!$B$14:$K$20,9)/30))</f>
        <v>8.0594452852750482</v>
      </c>
      <c r="CU169" s="172">
        <f ca="1">(VLOOKUP(CU$72,INDIRECT($C$5&amp;"生成成长"),2))/((VLOOKUP($B169,INDIRECT($B$5&amp;"生成成长"),4))/(VLOOKUP(CU$72,INDIRECT($C$5&amp;"生成成长"),5))*(VLOOKUP($B$5,标准坦克设计!$B$24:$U$30,MATCH("对"&amp;LEFT($C$5,2)&amp;"输出",标准坦克设计!$B$23:$U$23,0)))*(VLOOKUP($B169,INDIRECT($B$5&amp;"生成成长"),3))*(VLOOKUP($B$5,标准坦克设计!$B$14:$K$20,9)/30))</f>
        <v>8.6654192973666362</v>
      </c>
      <c r="CV169" s="172">
        <f ca="1">(VLOOKUP(CV$72,INDIRECT($C$5&amp;"生成成长"),2))/((VLOOKUP($B169,INDIRECT($B$5&amp;"生成成长"),4))/(VLOOKUP(CV$72,INDIRECT($C$5&amp;"生成成长"),5))*(VLOOKUP($B$5,标准坦克设计!$B$24:$U$30,MATCH("对"&amp;LEFT($C$5,2)&amp;"输出",标准坦克设计!$B$23:$U$23,0)))*(VLOOKUP($B169,INDIRECT($B$5&amp;"生成成长"),3))*(VLOOKUP($B$5,标准坦克设计!$B$14:$K$20,9)/30))</f>
        <v>9.2933561237350215</v>
      </c>
      <c r="CW169" s="172">
        <f ca="1">(VLOOKUP(CW$72,INDIRECT($C$5&amp;"生成成长"),2))/((VLOOKUP($B169,INDIRECT($B$5&amp;"生成成长"),4))/(VLOOKUP(CW$72,INDIRECT($C$5&amp;"生成成长"),5))*(VLOOKUP($B$5,标准坦克设计!$B$24:$U$30,MATCH("对"&amp;LEFT($C$5,2)&amp;"输出",标准坦克设计!$B$23:$U$23,0)))*(VLOOKUP($B169,INDIRECT($B$5&amp;"生成成长"),3))*(VLOOKUP($B$5,标准坦克设计!$B$14:$K$20,9)/30))</f>
        <v>9.9432557643802006</v>
      </c>
      <c r="CX169" s="172">
        <f ca="1">(VLOOKUP(CX$72,INDIRECT($C$5&amp;"生成成长"),2))/((VLOOKUP($B169,INDIRECT($B$5&amp;"生成成长"),4))/(VLOOKUP(CX$72,INDIRECT($C$5&amp;"生成成长"),5))*(VLOOKUP($B$5,标准坦克设计!$B$24:$U$30,MATCH("对"&amp;LEFT($C$5,2)&amp;"输出",标准坦克设计!$B$23:$U$23,0)))*(VLOOKUP($B169,INDIRECT($B$5&amp;"生成成长"),3))*(VLOOKUP($B$5,标准坦克设计!$B$14:$K$20,9)/30))</f>
        <v>10.615118219302179</v>
      </c>
      <c r="CY169" s="172">
        <f ca="1">(VLOOKUP(CY$72,INDIRECT($C$5&amp;"生成成长"),2))/((VLOOKUP($B169,INDIRECT($B$5&amp;"生成成长"),4))/(VLOOKUP(CY$72,INDIRECT($C$5&amp;"生成成长"),5))*(VLOOKUP($B$5,标准坦克设计!$B$24:$U$30,MATCH("对"&amp;LEFT($C$5,2)&amp;"输出",标准坦克设计!$B$23:$U$23,0)))*(VLOOKUP($B169,INDIRECT($B$5&amp;"生成成长"),3))*(VLOOKUP($B$5,标准坦克设计!$B$14:$K$20,9)/30))</f>
        <v>11.308943488500949</v>
      </c>
      <c r="CZ169" s="172">
        <f ca="1">(VLOOKUP(CZ$72,INDIRECT($C$5&amp;"生成成长"),2))/((VLOOKUP($B169,INDIRECT($B$5&amp;"生成成长"),4))/(VLOOKUP(CZ$72,INDIRECT($C$5&amp;"生成成长"),5))*(VLOOKUP($B$5,标准坦克设计!$B$24:$U$30,MATCH("对"&amp;LEFT($C$5,2)&amp;"输出",标准坦克设计!$B$23:$U$23,0)))*(VLOOKUP($B169,INDIRECT($B$5&amp;"生成成长"),3))*(VLOOKUP($B$5,标准坦克设计!$B$14:$K$20,9)/30))</f>
        <v>12.024731571976517</v>
      </c>
      <c r="DA169" s="172">
        <f ca="1">(VLOOKUP(DA$72,INDIRECT($C$5&amp;"生成成长"),2))/((VLOOKUP($B169,INDIRECT($B$5&amp;"生成成长"),4))/(VLOOKUP(DA$72,INDIRECT($C$5&amp;"生成成长"),5))*(VLOOKUP($B$5,标准坦克设计!$B$24:$U$30,MATCH("对"&amp;LEFT($C$5,2)&amp;"输出",标准坦克设计!$B$23:$U$23,0)))*(VLOOKUP($B169,INDIRECT($B$5&amp;"生成成长"),3))*(VLOOKUP($B$5,标准坦克设计!$B$14:$K$20,9)/30))</f>
        <v>12.762482469728882</v>
      </c>
      <c r="DB169" s="172">
        <f ca="1">(VLOOKUP(DB$72,INDIRECT($C$5&amp;"生成成长"),2))/((VLOOKUP($B169,INDIRECT($B$5&amp;"生成成长"),4))/(VLOOKUP(DB$72,INDIRECT($C$5&amp;"生成成长"),5))*(VLOOKUP($B$5,标准坦克设计!$B$24:$U$30,MATCH("对"&amp;LEFT($C$5,2)&amp;"输出",标准坦克设计!$B$23:$U$23,0)))*(VLOOKUP($B169,INDIRECT($B$5&amp;"生成成长"),3))*(VLOOKUP($B$5,标准坦克设计!$B$14:$K$20,9)/30))</f>
        <v>13.522196181758039</v>
      </c>
      <c r="DC169" s="172">
        <f ca="1">(VLOOKUP(DC$72,INDIRECT($C$5&amp;"生成成长"),2))/((VLOOKUP($B169,INDIRECT($B$5&amp;"生成成长"),4))/(VLOOKUP(DC$72,INDIRECT($C$5&amp;"生成成长"),5))*(VLOOKUP($B$5,标准坦克设计!$B$24:$U$30,MATCH("对"&amp;LEFT($C$5,2)&amp;"输出",标准坦克设计!$B$23:$U$23,0)))*(VLOOKUP($B169,INDIRECT($B$5&amp;"生成成长"),3))*(VLOOKUP($B$5,标准坦克设计!$B$14:$K$20,9)/30))</f>
        <v>14.376023275626192</v>
      </c>
      <c r="DD169" s="172">
        <f ca="1">(VLOOKUP(DD$72,INDIRECT($C$5&amp;"生成成长"),2))/((VLOOKUP($B169,INDIRECT($B$5&amp;"生成成长"),4))/(VLOOKUP(DD$72,INDIRECT($C$5&amp;"生成成长"),5))*(VLOOKUP($B$5,标准坦克设计!$B$24:$U$30,MATCH("对"&amp;LEFT($C$5,2)&amp;"输出",标准坦克设计!$B$23:$U$23,0)))*(VLOOKUP($B169,INDIRECT($B$5&amp;"生成成长"),3))*(VLOOKUP($B$5,标准坦克设计!$B$14:$K$20,9)/30))</f>
        <v>15.255987933592351</v>
      </c>
      <c r="DE169" s="172">
        <f ca="1">(VLOOKUP(DE$72,INDIRECT($C$5&amp;"生成成长"),2))/((VLOOKUP($B169,INDIRECT($B$5&amp;"生成成长"),4))/(VLOOKUP(DE$72,INDIRECT($C$5&amp;"生成成长"),5))*(VLOOKUP($B$5,标准坦克设计!$B$24:$U$30,MATCH("对"&amp;LEFT($C$5,2)&amp;"输出",标准坦克设计!$B$23:$U$23,0)))*(VLOOKUP($B169,INDIRECT($B$5&amp;"生成成长"),3))*(VLOOKUP($B$5,标准坦克设计!$B$14:$K$20,9)/30))</f>
        <v>16.162090155656522</v>
      </c>
      <c r="DF169" s="172">
        <f ca="1">(VLOOKUP(DF$72,INDIRECT($C$5&amp;"生成成长"),2))/((VLOOKUP($B169,INDIRECT($B$5&amp;"生成成长"),4))/(VLOOKUP(DF$72,INDIRECT($C$5&amp;"生成成长"),5))*(VLOOKUP($B$5,标准坦克设计!$B$24:$U$30,MATCH("对"&amp;LEFT($C$5,2)&amp;"输出",标准坦克设计!$B$23:$U$23,0)))*(VLOOKUP($B169,INDIRECT($B$5&amp;"生成成长"),3))*(VLOOKUP($B$5,标准坦克设计!$B$14:$K$20,9)/30))</f>
        <v>17.094329941818689</v>
      </c>
      <c r="DG169" s="172">
        <f ca="1">(VLOOKUP(DG$72,INDIRECT($C$5&amp;"生成成长"),2))/((VLOOKUP($B169,INDIRECT($B$5&amp;"生成成长"),4))/(VLOOKUP(DG$72,INDIRECT($C$5&amp;"生成成长"),5))*(VLOOKUP($B$5,标准坦克设计!$B$24:$U$30,MATCH("对"&amp;LEFT($C$5,2)&amp;"输出",标准坦克设计!$B$23:$U$23,0)))*(VLOOKUP($B169,INDIRECT($B$5&amp;"生成成长"),3))*(VLOOKUP($B$5,标准坦克设计!$B$14:$K$20,9)/30))</f>
        <v>18.05270729207886</v>
      </c>
      <c r="DH169" s="172">
        <f ca="1">(VLOOKUP(DH$72,INDIRECT($C$5&amp;"生成成长"),2))/((VLOOKUP($B169,INDIRECT($B$5&amp;"生成成长"),4))/(VLOOKUP(DH$72,INDIRECT($C$5&amp;"生成成长"),5))*(VLOOKUP($B$5,标准坦克设计!$B$24:$U$30,MATCH("对"&amp;LEFT($C$5,2)&amp;"输出",标准坦克设计!$B$23:$U$23,0)))*(VLOOKUP($B169,INDIRECT($B$5&amp;"生成成长"),3))*(VLOOKUP($B$5,标准坦克设计!$B$14:$K$20,9)/30))</f>
        <v>19.03722220643704</v>
      </c>
      <c r="DI169" s="172">
        <f ca="1">(VLOOKUP(DI$72,INDIRECT($C$5&amp;"生成成长"),2))/((VLOOKUP($B169,INDIRECT($B$5&amp;"生成成长"),4))/(VLOOKUP(DI$72,INDIRECT($C$5&amp;"生成成长"),5))*(VLOOKUP($B$5,标准坦克设计!$B$24:$U$30,MATCH("对"&amp;LEFT($C$5,2)&amp;"输出",标准坦克设计!$B$23:$U$23,0)))*(VLOOKUP($B169,INDIRECT($B$5&amp;"生成成长"),3))*(VLOOKUP($B$5,标准坦克设计!$B$14:$K$20,9)/30))</f>
        <v>20.047874684893223</v>
      </c>
      <c r="DJ169" s="172">
        <f ca="1">(VLOOKUP(DJ$72,INDIRECT($C$5&amp;"生成成长"),2))/((VLOOKUP($B169,INDIRECT($B$5&amp;"生成成长"),4))/(VLOOKUP(DJ$72,INDIRECT($C$5&amp;"生成成长"),5))*(VLOOKUP($B$5,标准坦克设计!$B$24:$U$30,MATCH("对"&amp;LEFT($C$5,2)&amp;"输出",标准坦克设计!$B$23:$U$23,0)))*(VLOOKUP($B169,INDIRECT($B$5&amp;"生成成长"),3))*(VLOOKUP($B$5,标准坦克设计!$B$14:$K$20,9)/30))</f>
        <v>2.0148613213187621</v>
      </c>
      <c r="DK169" s="172">
        <f ca="1">(VLOOKUP(DK$72,INDIRECT($C$5&amp;"生成成长"),2))/((VLOOKUP($B169,INDIRECT($B$5&amp;"生成成长"),4))/(VLOOKUP(DK$72,INDIRECT($C$5&amp;"生成成长"),5))*(VLOOKUP($B$5,标准坦克设计!$B$24:$U$30,MATCH("对"&amp;LEFT($C$5,2)&amp;"输出",标准坦克设计!$B$23:$U$23,0)))*(VLOOKUP($B169,INDIRECT($B$5&amp;"生成成长"),3))*(VLOOKUP($B$5,标准坦克设计!$B$14:$K$20,9)/30))</f>
        <v>2.2656185768839943</v>
      </c>
      <c r="DL169" s="172">
        <f ca="1">(VLOOKUP(DL$72,INDIRECT($C$5&amp;"生成成长"),2))/((VLOOKUP($B169,INDIRECT($B$5&amp;"生成成长"),4))/(VLOOKUP(DL$72,INDIRECT($C$5&amp;"生成成长"),5))*(VLOOKUP($B$5,标准坦克设计!$B$24:$U$30,MATCH("对"&amp;LEFT($C$5,2)&amp;"输出",标准坦克设计!$B$23:$U$23,0)))*(VLOOKUP($B169,INDIRECT($B$5&amp;"生成成长"),3))*(VLOOKUP($B$5,标准坦克设计!$B$14:$K$20,9)/30))</f>
        <v>2.5310782122543554</v>
      </c>
      <c r="DM169" s="172">
        <f ca="1">(VLOOKUP(DM$72,INDIRECT($C$5&amp;"生成成长"),2))/((VLOOKUP($B169,INDIRECT($B$5&amp;"生成成长"),4))/(VLOOKUP(DM$72,INDIRECT($C$5&amp;"生成成长"),5))*(VLOOKUP($B$5,标准坦克设计!$B$24:$U$30,MATCH("对"&amp;LEFT($C$5,2)&amp;"输出",标准坦克设计!$B$23:$U$23,0)))*(VLOOKUP($B169,INDIRECT($B$5&amp;"生成成长"),3))*(VLOOKUP($B$5,标准坦克设计!$B$14:$K$20,9)/30))</f>
        <v>2.8112402274298436</v>
      </c>
      <c r="DN169" s="172">
        <f ca="1">(VLOOKUP(DN$72,INDIRECT($C$5&amp;"生成成长"),2))/((VLOOKUP($B169,INDIRECT($B$5&amp;"生成成长"),4))/(VLOOKUP(DN$72,INDIRECT($C$5&amp;"生成成长"),5))*(VLOOKUP($B$5,标准坦克设计!$B$24:$U$30,MATCH("对"&amp;LEFT($C$5,2)&amp;"输出",标准坦克设计!$B$23:$U$23,0)))*(VLOOKUP($B169,INDIRECT($B$5&amp;"生成成长"),3))*(VLOOKUP($B$5,标准坦克设计!$B$14:$K$20,9)/30))</f>
        <v>3.1061046224104598</v>
      </c>
      <c r="DO169" s="172">
        <f ca="1">(VLOOKUP(DO$72,INDIRECT($C$5&amp;"生成成长"),2))/((VLOOKUP($B169,INDIRECT($B$5&amp;"生成成长"),4))/(VLOOKUP(DO$72,INDIRECT($C$5&amp;"生成成长"),5))*(VLOOKUP($B$5,标准坦克设计!$B$24:$U$30,MATCH("对"&amp;LEFT($C$5,2)&amp;"输出",标准坦克设计!$B$23:$U$23,0)))*(VLOOKUP($B169,INDIRECT($B$5&amp;"生成成长"),3))*(VLOOKUP($B$5,标准坦克设计!$B$14:$K$20,9)/30))</f>
        <v>3.4156713971962041</v>
      </c>
      <c r="DP169" s="172">
        <f ca="1">(VLOOKUP(DP$72,INDIRECT($C$5&amp;"生成成长"),2))/((VLOOKUP($B169,INDIRECT($B$5&amp;"生成成长"),4))/(VLOOKUP(DP$72,INDIRECT($C$5&amp;"生成成长"),5))*(VLOOKUP($B$5,标准坦克设计!$B$24:$U$30,MATCH("对"&amp;LEFT($C$5,2)&amp;"输出",标准坦克设计!$B$23:$U$23,0)))*(VLOOKUP($B169,INDIRECT($B$5&amp;"生成成长"),3))*(VLOOKUP($B$5,标准坦克设计!$B$14:$K$20,9)/30))</f>
        <v>3.7399405517870745</v>
      </c>
      <c r="DQ169" s="172">
        <f ca="1">(VLOOKUP(DQ$72,INDIRECT($C$5&amp;"生成成长"),2))/((VLOOKUP($B169,INDIRECT($B$5&amp;"生成成长"),4))/(VLOOKUP(DQ$72,INDIRECT($C$5&amp;"生成成长"),5))*(VLOOKUP($B$5,标准坦克设计!$B$24:$U$30,MATCH("对"&amp;LEFT($C$5,2)&amp;"输出",标准坦克设计!$B$23:$U$23,0)))*(VLOOKUP($B169,INDIRECT($B$5&amp;"生成成长"),3))*(VLOOKUP($B$5,标准坦克设计!$B$14:$K$20,9)/30))</f>
        <v>4.0789120861830739</v>
      </c>
      <c r="DR169" s="172">
        <f ca="1">(VLOOKUP(DR$72,INDIRECT($C$5&amp;"生成成长"),2))/((VLOOKUP($B169,INDIRECT($B$5&amp;"生成成长"),4))/(VLOOKUP(DR$72,INDIRECT($C$5&amp;"生成成长"),5))*(VLOOKUP($B$5,标准坦克设计!$B$24:$U$30,MATCH("对"&amp;LEFT($C$5,2)&amp;"输出",标准坦克设计!$B$23:$U$23,0)))*(VLOOKUP($B169,INDIRECT($B$5&amp;"生成成长"),3))*(VLOOKUP($B$5,标准坦克设计!$B$14:$K$20,9)/30))</f>
        <v>4.4325860003842008</v>
      </c>
      <c r="DS169" s="172">
        <f ca="1">(VLOOKUP(DS$72,INDIRECT($C$5&amp;"生成成长"),2))/((VLOOKUP($B169,INDIRECT($B$5&amp;"生成成长"),4))/(VLOOKUP(DS$72,INDIRECT($C$5&amp;"生成成长"),5))*(VLOOKUP($B$5,标准坦克设计!$B$24:$U$30,MATCH("对"&amp;LEFT($C$5,2)&amp;"输出",标准坦克设计!$B$23:$U$23,0)))*(VLOOKUP($B169,INDIRECT($B$5&amp;"生成成长"),3))*(VLOOKUP($B$5,标准坦克设计!$B$14:$K$20,9)/30))</f>
        <v>4.8009622943904544</v>
      </c>
      <c r="DT169" s="172">
        <f ca="1">(VLOOKUP(DT$72,INDIRECT($C$5&amp;"生成成长"),2))/((VLOOKUP($B169,INDIRECT($B$5&amp;"生成成长"),4))/(VLOOKUP(DT$72,INDIRECT($C$5&amp;"生成成长"),5))*(VLOOKUP($B$5,标准坦克设计!$B$24:$U$30,MATCH("对"&amp;LEFT($C$5,2)&amp;"输出",标准坦克设计!$B$23:$U$23,0)))*(VLOOKUP($B169,INDIRECT($B$5&amp;"生成成长"),3))*(VLOOKUP($B$5,标准坦克设计!$B$14:$K$20,9)/30))</f>
        <v>5.2711661818618527</v>
      </c>
      <c r="DU169" s="172">
        <f ca="1">(VLOOKUP(DU$72,INDIRECT($C$5&amp;"生成成长"),2))/((VLOOKUP($B169,INDIRECT($B$5&amp;"生成成长"),4))/(VLOOKUP(DU$72,INDIRECT($C$5&amp;"生成成长"),5))*(VLOOKUP($B$5,标准坦克设计!$B$24:$U$30,MATCH("对"&amp;LEFT($C$5,2)&amp;"输出",标准坦克设计!$B$23:$U$23,0)))*(VLOOKUP($B169,INDIRECT($B$5&amp;"生成成长"),3))*(VLOOKUP($B$5,标准坦克设计!$B$14:$K$20,9)/30))</f>
        <v>5.7633328836100466</v>
      </c>
      <c r="DV169" s="172">
        <f ca="1">(VLOOKUP(DV$72,INDIRECT($C$5&amp;"生成成长"),2))/((VLOOKUP($B169,INDIRECT($B$5&amp;"生成成长"),4))/(VLOOKUP(DV$72,INDIRECT($C$5&amp;"生成成长"),5))*(VLOOKUP($B$5,标准坦克设计!$B$24:$U$30,MATCH("对"&amp;LEFT($C$5,2)&amp;"输出",标准坦克设计!$B$23:$U$23,0)))*(VLOOKUP($B169,INDIRECT($B$5&amp;"生成成长"),3))*(VLOOKUP($B$5,标准坦克设计!$B$14:$K$20,9)/30))</f>
        <v>6.277462399635036</v>
      </c>
      <c r="DW169" s="172">
        <f ca="1">(VLOOKUP(DW$72,INDIRECT($C$5&amp;"生成成长"),2))/((VLOOKUP($B169,INDIRECT($B$5&amp;"生成成长"),4))/(VLOOKUP(DW$72,INDIRECT($C$5&amp;"生成成长"),5))*(VLOOKUP($B$5,标准坦克设计!$B$24:$U$30,MATCH("对"&amp;LEFT($C$5,2)&amp;"输出",标准坦克设计!$B$23:$U$23,0)))*(VLOOKUP($B169,INDIRECT($B$5&amp;"生成成长"),3))*(VLOOKUP($B$5,标准坦克设计!$B$14:$K$20,9)/30))</f>
        <v>6.8135547299368211</v>
      </c>
      <c r="DX169" s="172">
        <f ca="1">(VLOOKUP(DX$72,INDIRECT($C$5&amp;"生成成长"),2))/((VLOOKUP($B169,INDIRECT($B$5&amp;"生成成长"),4))/(VLOOKUP(DX$72,INDIRECT($C$5&amp;"生成成长"),5))*(VLOOKUP($B$5,标准坦克设计!$B$24:$U$30,MATCH("对"&amp;LEFT($C$5,2)&amp;"输出",标准坦克设计!$B$23:$U$23,0)))*(VLOOKUP($B169,INDIRECT($B$5&amp;"生成成长"),3))*(VLOOKUP($B$5,标准坦克设计!$B$14:$K$20,9)/30))</f>
        <v>7.3716098745154</v>
      </c>
      <c r="DY169" s="172">
        <f ca="1">(VLOOKUP(DY$72,INDIRECT($C$5&amp;"生成成长"),2))/((VLOOKUP($B169,INDIRECT($B$5&amp;"生成成长"),4))/(VLOOKUP(DY$72,INDIRECT($C$5&amp;"生成成长"),5))*(VLOOKUP($B$5,标准坦克设计!$B$24:$U$30,MATCH("对"&amp;LEFT($C$5,2)&amp;"输出",标准坦克设计!$B$23:$U$23,0)))*(VLOOKUP($B169,INDIRECT($B$5&amp;"生成成长"),3))*(VLOOKUP($B$5,标准坦克设计!$B$14:$K$20,9)/30))</f>
        <v>3.3108488745114966</v>
      </c>
      <c r="DZ169" s="172">
        <f ca="1">(VLOOKUP(DZ$72,INDIRECT($C$5&amp;"生成成长"),2))/((VLOOKUP($B169,INDIRECT($B$5&amp;"生成成长"),4))/(VLOOKUP(DZ$72,INDIRECT($C$5&amp;"生成成长"),5))*(VLOOKUP($B$5,标准坦克设计!$B$24:$U$30,MATCH("对"&amp;LEFT($C$5,2)&amp;"输出",标准坦克设计!$B$23:$U$23,0)))*(VLOOKUP($B169,INDIRECT($B$5&amp;"生成成长"),3))*(VLOOKUP($B$5,标准坦克设计!$B$14:$K$20,9)/30))</f>
        <v>3.6666101636232287</v>
      </c>
      <c r="EA169" s="172">
        <f ca="1">(VLOOKUP(EA$72,INDIRECT($C$5&amp;"生成成长"),2))/((VLOOKUP($B169,INDIRECT($B$5&amp;"生成成长"),4))/(VLOOKUP(EA$72,INDIRECT($C$5&amp;"生成成长"),5))*(VLOOKUP($B$5,标准坦克设计!$B$24:$U$30,MATCH("对"&amp;LEFT($C$5,2)&amp;"输出",标准坦克设计!$B$23:$U$23,0)))*(VLOOKUP($B169,INDIRECT($B$5&amp;"生成成长"),3))*(VLOOKUP($B$5,标准坦克设计!$B$14:$K$20,9)/30))</f>
        <v>4.0405225389141304</v>
      </c>
      <c r="EB169" s="172">
        <f ca="1">(VLOOKUP(EB$72,INDIRECT($C$5&amp;"生成成长"),2))/((VLOOKUP($B169,INDIRECT($B$5&amp;"生成成长"),4))/(VLOOKUP(EB$72,INDIRECT($C$5&amp;"生成成长"),5))*(VLOOKUP($B$5,标准坦克设计!$B$24:$U$30,MATCH("对"&amp;LEFT($C$5,2)&amp;"输出",标准坦克设计!$B$23:$U$23,0)))*(VLOOKUP($B169,INDIRECT($B$5&amp;"生成成长"),3))*(VLOOKUP($B$5,标准坦克设计!$B$14:$K$20,9)/30))</f>
        <v>4.4325860003842008</v>
      </c>
      <c r="EC169" s="172">
        <f ca="1">(VLOOKUP(EC$72,INDIRECT($C$5&amp;"生成成长"),2))/((VLOOKUP($B169,INDIRECT($B$5&amp;"生成成长"),4))/(VLOOKUP(EC$72,INDIRECT($C$5&amp;"生成成长"),5))*(VLOOKUP($B$5,标准坦克设计!$B$24:$U$30,MATCH("对"&amp;LEFT($C$5,2)&amp;"输出",标准坦克设计!$B$23:$U$23,0)))*(VLOOKUP($B169,INDIRECT($B$5&amp;"生成成长"),3))*(VLOOKUP($B$5,标准坦克设计!$B$14:$K$20,9)/30))</f>
        <v>4.8428005480334422</v>
      </c>
      <c r="ED169" s="172">
        <f ca="1">(VLOOKUP(ED$72,INDIRECT($C$5&amp;"生成成长"),2))/((VLOOKUP($B169,INDIRECT($B$5&amp;"生成成长"),4))/(VLOOKUP(ED$72,INDIRECT($C$5&amp;"生成成长"),5))*(VLOOKUP($B$5,标准坦克设计!$B$24:$U$30,MATCH("对"&amp;LEFT($C$5,2)&amp;"输出",标准坦克设计!$B$23:$U$23,0)))*(VLOOKUP($B169,INDIRECT($B$5&amp;"生成成长"),3))*(VLOOKUP($B$5,标准坦克设计!$B$14:$K$20,9)/30))</f>
        <v>5.2711661818618527</v>
      </c>
      <c r="EE169" s="172">
        <f ca="1">(VLOOKUP(EE$72,INDIRECT($C$5&amp;"生成成长"),2))/((VLOOKUP($B169,INDIRECT($B$5&amp;"生成成长"),4))/(VLOOKUP(EE$72,INDIRECT($C$5&amp;"生成成长"),5))*(VLOOKUP($B$5,标准坦克设计!$B$24:$U$30,MATCH("对"&amp;LEFT($C$5,2)&amp;"输出",标准坦克设计!$B$23:$U$23,0)))*(VLOOKUP($B169,INDIRECT($B$5&amp;"生成成长"),3))*(VLOOKUP($B$5,标准坦克设计!$B$14:$K$20,9)/30))</f>
        <v>5.7176829018694342</v>
      </c>
      <c r="EF169" s="172">
        <f ca="1">(VLOOKUP(EF$72,INDIRECT($C$5&amp;"生成成长"),2))/((VLOOKUP($B169,INDIRECT($B$5&amp;"生成成长"),4))/(VLOOKUP(EF$72,INDIRECT($C$5&amp;"生成成长"),5))*(VLOOKUP($B$5,标准坦克设计!$B$24:$U$30,MATCH("对"&amp;LEFT($C$5,2)&amp;"输出",标准坦克设计!$B$23:$U$23,0)))*(VLOOKUP($B169,INDIRECT($B$5&amp;"生成成长"),3))*(VLOOKUP($B$5,标准坦克设计!$B$14:$K$20,9)/30))</f>
        <v>6.1823507080561848</v>
      </c>
      <c r="EG169" s="172">
        <f ca="1">(VLOOKUP(EG$72,INDIRECT($C$5&amp;"生成成长"),2))/((VLOOKUP($B169,INDIRECT($B$5&amp;"生成成长"),4))/(VLOOKUP(EG$72,INDIRECT($C$5&amp;"生成成长"),5))*(VLOOKUP($B$5,标准坦克设计!$B$24:$U$30,MATCH("对"&amp;LEFT($C$5,2)&amp;"输出",标准坦克设计!$B$23:$U$23,0)))*(VLOOKUP($B169,INDIRECT($B$5&amp;"生成成长"),3))*(VLOOKUP($B$5,标准坦克设计!$B$14:$K$20,9)/30))</f>
        <v>6.6651696004221046</v>
      </c>
      <c r="EH169" s="172">
        <f ca="1">(VLOOKUP(EH$72,INDIRECT($C$5&amp;"生成成长"),2))/((VLOOKUP($B169,INDIRECT($B$5&amp;"生成成长"),4))/(VLOOKUP(EH$72,INDIRECT($C$5&amp;"生成成长"),5))*(VLOOKUP($B$5,标准坦克设计!$B$24:$U$30,MATCH("对"&amp;LEFT($C$5,2)&amp;"输出",标准坦克设计!$B$23:$U$23,0)))*(VLOOKUP($B169,INDIRECT($B$5&amp;"生成成长"),3))*(VLOOKUP($B$5,标准坦克设计!$B$14:$K$20,9)/30))</f>
        <v>7.1661395789671971</v>
      </c>
      <c r="EI169" s="172">
        <f ca="1">(VLOOKUP(EI$72,INDIRECT($C$5&amp;"生成成长"),2))/((VLOOKUP($B169,INDIRECT($B$5&amp;"生成成长"),4))/(VLOOKUP(EI$72,INDIRECT($C$5&amp;"生成成长"),5))*(VLOOKUP($B$5,标准坦克设计!$B$24:$U$30,MATCH("对"&amp;LEFT($C$5,2)&amp;"输出",标准坦克设计!$B$23:$U$23,0)))*(VLOOKUP($B169,INDIRECT($B$5&amp;"生成成长"),3))*(VLOOKUP($B$5,标准坦克设计!$B$14:$K$20,9)/30))</f>
        <v>7.685260643691457</v>
      </c>
      <c r="EJ169" s="172">
        <f ca="1">(VLOOKUP(EJ$72,INDIRECT($C$5&amp;"生成成长"),2))/((VLOOKUP($B169,INDIRECT($B$5&amp;"生成成长"),4))/(VLOOKUP(EJ$72,INDIRECT($C$5&amp;"生成成长"),5))*(VLOOKUP($B$5,标准坦克设计!$B$24:$U$30,MATCH("对"&amp;LEFT($C$5,2)&amp;"输出",标准坦克设计!$B$23:$U$23,0)))*(VLOOKUP($B169,INDIRECT($B$5&amp;"生成成长"),3))*(VLOOKUP($B$5,标准坦克设计!$B$14:$K$20,9)/30))</f>
        <v>8.2225327945948887</v>
      </c>
      <c r="EK169" s="172">
        <f ca="1">(VLOOKUP(EK$72,INDIRECT($C$5&amp;"生成成长"),2))/((VLOOKUP($B169,INDIRECT($B$5&amp;"生成成长"),4))/(VLOOKUP(EK$72,INDIRECT($C$5&amp;"生成成长"),5))*(VLOOKUP($B$5,标准坦克设计!$B$24:$U$30,MATCH("对"&amp;LEFT($C$5,2)&amp;"输出",标准坦克设计!$B$23:$U$23,0)))*(VLOOKUP($B169,INDIRECT($B$5&amp;"生成成长"),3))*(VLOOKUP($B$5,标准坦克设计!$B$14:$K$20,9)/30))</f>
        <v>8.8912188094355109</v>
      </c>
      <c r="EL169" s="172">
        <f ca="1">(VLOOKUP(EL$72,INDIRECT($C$5&amp;"生成成长"),2))/((VLOOKUP($B169,INDIRECT($B$5&amp;"生成成长"),4))/(VLOOKUP(EL$72,INDIRECT($C$5&amp;"生成成长"),5))*(VLOOKUP($B$5,标准坦克设计!$B$24:$U$30,MATCH("对"&amp;LEFT($C$5,2)&amp;"输出",标准坦克设计!$B$23:$U$23,0)))*(VLOOKUP($B169,INDIRECT($B$5&amp;"生成成长"),3))*(VLOOKUP($B$5,标准坦克设计!$B$14:$K$20,9)/30))</f>
        <v>9.5860423883741355</v>
      </c>
      <c r="EM169" s="172">
        <f ca="1">(VLOOKUP(EM$72,INDIRECT($C$5&amp;"生成成长"),2))/((VLOOKUP($B169,INDIRECT($B$5&amp;"生成成长"),4))/(VLOOKUP(EM$72,INDIRECT($C$5&amp;"生成成长"),5))*(VLOOKUP($B$5,标准坦克设计!$B$24:$U$30,MATCH("对"&amp;LEFT($C$5,2)&amp;"输出",标准坦克设计!$B$23:$U$23,0)))*(VLOOKUP($B169,INDIRECT($B$5&amp;"生成成长"),3))*(VLOOKUP($B$5,标准坦克设计!$B$14:$K$20,9)/30))</f>
        <v>10.307003531410768</v>
      </c>
      <c r="EN169" s="172">
        <f ca="1">(VLOOKUP(EN$72,INDIRECT($C$5&amp;"生成成长"),2))/((VLOOKUP($B169,INDIRECT($B$5&amp;"生成成长"),4))/(VLOOKUP(EN$72,INDIRECT($C$5&amp;"生成成长"),5))*(VLOOKUP($B$5,标准坦克设计!$B$24:$U$30,MATCH("对"&amp;LEFT($C$5,2)&amp;"输出",标准坦克设计!$B$23:$U$23,0)))*(VLOOKUP($B169,INDIRECT($B$5&amp;"生成成长"),3))*(VLOOKUP($B$5,标准坦克设计!$B$14:$K$20,9)/30))</f>
        <v>11.054102238545404</v>
      </c>
      <c r="EO169" s="172">
        <f ca="1">(VLOOKUP(EO$72,INDIRECT($C$5&amp;"生成成长"),2))/((VLOOKUP($B169,INDIRECT($B$5&amp;"生成成长"),4))/(VLOOKUP(EO$72,INDIRECT($C$5&amp;"生成成长"),5))*(VLOOKUP($B$5,标准坦克设计!$B$24:$U$30,MATCH("对"&amp;LEFT($C$5,2)&amp;"输出",标准坦克设计!$B$23:$U$23,0)))*(VLOOKUP($B169,INDIRECT($B$5&amp;"生成成长"),3))*(VLOOKUP($B$5,标准坦克设计!$B$14:$K$20,9)/30))</f>
        <v>11.827338509778043</v>
      </c>
      <c r="EP169" s="172">
        <f ca="1">(VLOOKUP(EP$72,INDIRECT($C$5&amp;"生成成长"),2))/((VLOOKUP($B169,INDIRECT($B$5&amp;"生成成长"),4))/(VLOOKUP(EP$72,INDIRECT($C$5&amp;"生成成长"),5))*(VLOOKUP($B$5,标准坦克设计!$B$24:$U$30,MATCH("对"&amp;LEFT($C$5,2)&amp;"输出",标准坦克设计!$B$23:$U$23,0)))*(VLOOKUP($B169,INDIRECT($B$5&amp;"生成成长"),3))*(VLOOKUP($B$5,标准坦克设计!$B$14:$K$20,9)/30))</f>
        <v>12.626712345108686</v>
      </c>
      <c r="EQ169" s="172">
        <f ca="1">(VLOOKUP(EQ$72,INDIRECT($C$5&amp;"生成成长"),2))/((VLOOKUP($B169,INDIRECT($B$5&amp;"生成成长"),4))/(VLOOKUP(EQ$72,INDIRECT($C$5&amp;"生成成长"),5))*(VLOOKUP($B$5,标准坦克设计!$B$24:$U$30,MATCH("对"&amp;LEFT($C$5,2)&amp;"输出",标准坦克设计!$B$23:$U$23,0)))*(VLOOKUP($B169,INDIRECT($B$5&amp;"生成成长"),3))*(VLOOKUP($B$5,标准坦克设计!$B$14:$K$20,9)/30))</f>
        <v>5.581822021818347</v>
      </c>
      <c r="ER169" s="172">
        <f ca="1">(VLOOKUP(ER$72,INDIRECT($C$5&amp;"生成成长"),2))/((VLOOKUP($B169,INDIRECT($B$5&amp;"生成成长"),4))/(VLOOKUP(ER$72,INDIRECT($C$5&amp;"生成成长"),5))*(VLOOKUP($B$5,标准坦克设计!$B$24:$U$30,MATCH("对"&amp;LEFT($C$5,2)&amp;"输出",标准坦克设计!$B$23:$U$23,0)))*(VLOOKUP($B169,INDIRECT($B$5&amp;"生成成长"),3))*(VLOOKUP($B$5,标准坦克设计!$B$14:$K$20,9)/30))</f>
        <v>6.0879650599245014</v>
      </c>
      <c r="ES169" s="172">
        <f ca="1">(VLOOKUP(ES$72,INDIRECT($C$5&amp;"生成成长"),2))/((VLOOKUP($B169,INDIRECT($B$5&amp;"生成成长"),4))/(VLOOKUP(ES$72,INDIRECT($C$5&amp;"生成成长"),5))*(VLOOKUP($B$5,标准坦克设计!$B$24:$U$30,MATCH("对"&amp;LEFT($C$5,2)&amp;"输出",标准坦克设计!$B$23:$U$23,0)))*(VLOOKUP($B169,INDIRECT($B$5&amp;"生成成长"),3))*(VLOOKUP($B$5,标准坦克设计!$B$14:$K$20,9)/30))</f>
        <v>6.6160709123074515</v>
      </c>
      <c r="ET169" s="172">
        <f ca="1">(VLOOKUP(ET$72,INDIRECT($C$5&amp;"生成成长"),2))/((VLOOKUP($B169,INDIRECT($B$5&amp;"生成成长"),4))/(VLOOKUP(ET$72,INDIRECT($C$5&amp;"生成成长"),5))*(VLOOKUP($B$5,标准坦克设计!$B$24:$U$30,MATCH("对"&amp;LEFT($C$5,2)&amp;"输出",标准坦克设计!$B$23:$U$23,0)))*(VLOOKUP($B169,INDIRECT($B$5&amp;"生成成长"),3))*(VLOOKUP($B$5,标准坦克设计!$B$14:$K$20,9)/30))</f>
        <v>7.1661395789671971</v>
      </c>
      <c r="EU169" s="172">
        <f ca="1">(VLOOKUP(EU$72,INDIRECT($C$5&amp;"生成成长"),2))/((VLOOKUP($B169,INDIRECT($B$5&amp;"生成成长"),4))/(VLOOKUP(EU$72,INDIRECT($C$5&amp;"生成成长"),5))*(VLOOKUP($B$5,标准坦克设计!$B$24:$U$30,MATCH("对"&amp;LEFT($C$5,2)&amp;"输出",标准坦克设计!$B$23:$U$23,0)))*(VLOOKUP($B169,INDIRECT($B$5&amp;"生成成长"),3))*(VLOOKUP($B$5,标准坦克设计!$B$14:$K$20,9)/30))</f>
        <v>7.7381710599037401</v>
      </c>
      <c r="EV169" s="172">
        <f ca="1">(VLOOKUP(EV$72,INDIRECT($C$5&amp;"生成成长"),2))/((VLOOKUP($B169,INDIRECT($B$5&amp;"生成成长"),4))/(VLOOKUP(EV$72,INDIRECT($C$5&amp;"生成成长"),5))*(VLOOKUP($B$5,标准坦克设计!$B$24:$U$30,MATCH("对"&amp;LEFT($C$5,2)&amp;"输出",标准坦克设计!$B$23:$U$23,0)))*(VLOOKUP($B169,INDIRECT($B$5&amp;"生成成长"),3))*(VLOOKUP($B$5,标准坦克设计!$B$14:$K$20,9)/30))</f>
        <v>8.3321653551170751</v>
      </c>
      <c r="EW169" s="172">
        <f ca="1">(VLOOKUP(EW$72,INDIRECT($C$5&amp;"生成成长"),2))/((VLOOKUP($B169,INDIRECT($B$5&amp;"生成成长"),4))/(VLOOKUP(EW$72,INDIRECT($C$5&amp;"生成成长"),5))*(VLOOKUP($B$5,标准坦克设计!$B$24:$U$30,MATCH("对"&amp;LEFT($C$5,2)&amp;"输出",标准坦克设计!$B$23:$U$23,0)))*(VLOOKUP($B169,INDIRECT($B$5&amp;"生成成长"),3))*(VLOOKUP($B$5,标准坦克设计!$B$14:$K$20,9)/30))</f>
        <v>8.9481224646072075</v>
      </c>
      <c r="EX169" s="172">
        <f ca="1">(VLOOKUP(EX$72,INDIRECT($C$5&amp;"生成成长"),2))/((VLOOKUP($B169,INDIRECT($B$5&amp;"生成成长"),4))/(VLOOKUP(EX$72,INDIRECT($C$5&amp;"生成成长"),5))*(VLOOKUP($B$5,标准坦克设计!$B$24:$U$30,MATCH("对"&amp;LEFT($C$5,2)&amp;"输出",标准坦克设计!$B$23:$U$23,0)))*(VLOOKUP($B169,INDIRECT($B$5&amp;"生成成长"),3))*(VLOOKUP($B$5,标准坦克设计!$B$14:$K$20,9)/30))</f>
        <v>9.5860423883741355</v>
      </c>
      <c r="EY169" s="172">
        <f ca="1">(VLOOKUP(EY$72,INDIRECT($C$5&amp;"生成成长"),2))/((VLOOKUP($B169,INDIRECT($B$5&amp;"生成成长"),4))/(VLOOKUP(EY$72,INDIRECT($C$5&amp;"生成成长"),5))*(VLOOKUP($B$5,标准坦克设计!$B$24:$U$30,MATCH("对"&amp;LEFT($C$5,2)&amp;"输出",标准坦克设计!$B$23:$U$23,0)))*(VLOOKUP($B169,INDIRECT($B$5&amp;"生成成长"),3))*(VLOOKUP($B$5,标准坦克设计!$B$14:$K$20,9)/30))</f>
        <v>10.245925126417863</v>
      </c>
      <c r="EZ169" s="172">
        <f ca="1">(VLOOKUP(EZ$72,INDIRECT($C$5&amp;"生成成长"),2))/((VLOOKUP($B169,INDIRECT($B$5&amp;"生成成长"),4))/(VLOOKUP(EZ$72,INDIRECT($C$5&amp;"生成成长"),5))*(VLOOKUP($B$5,标准坦克设计!$B$24:$U$30,MATCH("对"&amp;LEFT($C$5,2)&amp;"输出",标准坦克设计!$B$23:$U$23,0)))*(VLOOKUP($B169,INDIRECT($B$5&amp;"生成成长"),3))*(VLOOKUP($B$5,标准坦克设计!$B$14:$K$20,9)/30))</f>
        <v>10.92777067873838</v>
      </c>
      <c r="FA169" s="172">
        <f ca="1">(VLOOKUP(FA$72,INDIRECT($C$5&amp;"生成成长"),2))/((VLOOKUP($B169,INDIRECT($B$5&amp;"生成成长"),4))/(VLOOKUP(FA$72,INDIRECT($C$5&amp;"生成成长"),5))*(VLOOKUP($B$5,标准坦克设计!$B$24:$U$30,MATCH("对"&amp;LEFT($C$5,2)&amp;"输出",标准坦克设计!$B$23:$U$23,0)))*(VLOOKUP($B169,INDIRECT($B$5&amp;"生成成长"),3))*(VLOOKUP($B$5,标准坦克设计!$B$14:$K$20,9)/30))</f>
        <v>11.631579045335695</v>
      </c>
      <c r="FB169" s="172">
        <f ca="1">(VLOOKUP(FB$72,INDIRECT($C$5&amp;"生成成长"),2))/((VLOOKUP($B169,INDIRECT($B$5&amp;"生成成长"),4))/(VLOOKUP(FB$72,INDIRECT($C$5&amp;"生成成长"),5))*(VLOOKUP($B$5,标准坦克设计!$B$24:$U$30,MATCH("对"&amp;LEFT($C$5,2)&amp;"输出",标准坦克设计!$B$23:$U$23,0)))*(VLOOKUP($B169,INDIRECT($B$5&amp;"生成成长"),3))*(VLOOKUP($B$5,标准坦克设计!$B$14:$K$20,9)/30))</f>
        <v>12.357350226209808</v>
      </c>
      <c r="FC169" s="172">
        <f ca="1">(VLOOKUP(FC$72,INDIRECT($C$5&amp;"生成成长"),2))/((VLOOKUP($B169,INDIRECT($B$5&amp;"生成成长"),4))/(VLOOKUP(FC$72,INDIRECT($C$5&amp;"生成成长"),5))*(VLOOKUP($B$5,标准坦克设计!$B$24:$U$30,MATCH("对"&amp;LEFT($C$5,2)&amp;"输出",标准坦克设计!$B$23:$U$23,0)))*(VLOOKUP($B169,INDIRECT($B$5&amp;"生成成长"),3))*(VLOOKUP($B$5,标准坦克设计!$B$14:$K$20,9)/30))</f>
        <v>13.105084221360713</v>
      </c>
      <c r="FD169" s="172">
        <f ca="1">(VLOOKUP(FD$72,INDIRECT($C$5&amp;"生成成长"),2))/((VLOOKUP($B169,INDIRECT($B$5&amp;"生成成长"),4))/(VLOOKUP(FD$72,INDIRECT($C$5&amp;"生成成长"),5))*(VLOOKUP($B$5,标准坦克设计!$B$24:$U$30,MATCH("对"&amp;LEFT($C$5,2)&amp;"输出",标准坦克设计!$B$23:$U$23,0)))*(VLOOKUP($B169,INDIRECT($B$5&amp;"生成成长"),3))*(VLOOKUP($B$5,标准坦克设计!$B$14:$K$20,9)/30))</f>
        <v>13.874781030788414</v>
      </c>
      <c r="FE169" s="172">
        <f ca="1">(VLOOKUP(FE$72,INDIRECT($C$5&amp;"生成成长"),2))/((VLOOKUP($B169,INDIRECT($B$5&amp;"生成成长"),4))/(VLOOKUP(FE$72,INDIRECT($C$5&amp;"生成成长"),5))*(VLOOKUP($B$5,标准坦克设计!$B$24:$U$30,MATCH("对"&amp;LEFT($C$5,2)&amp;"输出",标准坦克设计!$B$23:$U$23,0)))*(VLOOKUP($B169,INDIRECT($B$5&amp;"生成成长"),3))*(VLOOKUP($B$5,标准坦克设计!$B$14:$K$20,9)/30))</f>
        <v>14.812738409097024</v>
      </c>
      <c r="FF169" s="172">
        <f ca="1">(VLOOKUP(FF$72,INDIRECT($C$5&amp;"生成成长"),2))/((VLOOKUP($B169,INDIRECT($B$5&amp;"生成成长"),4))/(VLOOKUP(FF$72,INDIRECT($C$5&amp;"生成成长"),5))*(VLOOKUP($B$5,标准坦克设计!$B$24:$U$30,MATCH("对"&amp;LEFT($C$5,2)&amp;"输出",标准坦克设计!$B$23:$U$23,0)))*(VLOOKUP($B169,INDIRECT($B$5&amp;"生成成长"),3))*(VLOOKUP($B$5,标准坦克设计!$B$14:$K$20,9)/30))</f>
        <v>15.781371123048428</v>
      </c>
      <c r="FG169" s="172">
        <f ca="1">(VLOOKUP(FG$72,INDIRECT($C$5&amp;"生成成长"),2))/((VLOOKUP($B169,INDIRECT($B$5&amp;"生成成长"),4))/(VLOOKUP(FG$72,INDIRECT($C$5&amp;"生成成长"),5))*(VLOOKUP($B$5,标准坦克设计!$B$24:$U$30,MATCH("对"&amp;LEFT($C$5,2)&amp;"输出",标准坦克设计!$B$23:$U$23,0)))*(VLOOKUP($B169,INDIRECT($B$5&amp;"生成成长"),3))*(VLOOKUP($B$5,标准坦克设计!$B$14:$K$20,9)/30))</f>
        <v>16.780679172642628</v>
      </c>
      <c r="FH169" s="172">
        <f ca="1">(VLOOKUP(FH$72,INDIRECT($C$5&amp;"生成成长"),2))/((VLOOKUP($B169,INDIRECT($B$5&amp;"生成成长"),4))/(VLOOKUP(FH$72,INDIRECT($C$5&amp;"生成成长"),5))*(VLOOKUP($B$5,标准坦克设计!$B$24:$U$30,MATCH("对"&amp;LEFT($C$5,2)&amp;"输出",标准坦克设计!$B$23:$U$23,0)))*(VLOOKUP($B169,INDIRECT($B$5&amp;"生成成长"),3))*(VLOOKUP($B$5,标准坦克设计!$B$14:$K$20,9)/30))</f>
        <v>17.810662557879628</v>
      </c>
      <c r="FI169" s="172">
        <f ca="1">(VLOOKUP(FI$72,INDIRECT($C$5&amp;"生成成长"),2))/((VLOOKUP($B169,INDIRECT($B$5&amp;"生成成长"),4))/(VLOOKUP(FI$72,INDIRECT($C$5&amp;"生成成长"),5))*(VLOOKUP($B$5,标准坦克设计!$B$24:$U$30,MATCH("对"&amp;LEFT($C$5,2)&amp;"输出",标准坦克设计!$B$23:$U$23,0)))*(VLOOKUP($B169,INDIRECT($B$5&amp;"生成成长"),3))*(VLOOKUP($B$5,标准坦克设计!$B$14:$K$20,9)/30))</f>
        <v>18.871321278759424</v>
      </c>
      <c r="FJ169" s="172">
        <f ca="1">(VLOOKUP(FJ$72,INDIRECT($C$5&amp;"生成成长"),2))/((VLOOKUP($B169,INDIRECT($B$5&amp;"生成成长"),4))/(VLOOKUP(FJ$72,INDIRECT($C$5&amp;"生成成长"),5))*(VLOOKUP($B$5,标准坦克设计!$B$24:$U$30,MATCH("对"&amp;LEFT($C$5,2)&amp;"输出",标准坦克设计!$B$23:$U$23,0)))*(VLOOKUP($B169,INDIRECT($B$5&amp;"生成成长"),3))*(VLOOKUP($B$5,标准坦克设计!$B$14:$K$20,9)/30))</f>
        <v>19.962655335282026</v>
      </c>
      <c r="FK169" s="172">
        <f ca="1">(VLOOKUP(FK$72,INDIRECT($C$5&amp;"生成成长"),2))/((VLOOKUP($B169,INDIRECT($B$5&amp;"生成成长"),4))/(VLOOKUP(FK$72,INDIRECT($C$5&amp;"生成成长"),5))*(VLOOKUP($B$5,标准坦克设计!$B$24:$U$30,MATCH("对"&amp;LEFT($C$5,2)&amp;"输出",标准坦克设计!$B$23:$U$23,0)))*(VLOOKUP($B169,INDIRECT($B$5&amp;"生成成长"),3))*(VLOOKUP($B$5,标准坦克设计!$B$14:$K$20,9)/30))</f>
        <v>21.084664727447411</v>
      </c>
    </row>
    <row r="170" spans="1:167" x14ac:dyDescent="0.15">
      <c r="A170" s="170" t="str">
        <f t="shared" si="12"/>
        <v>T5中品质8级</v>
      </c>
      <c r="B170" s="171">
        <v>20508</v>
      </c>
      <c r="C170" s="172">
        <f ca="1">(VLOOKUP(C$72,INDIRECT($C$5&amp;"生成成长"),2))/((VLOOKUP($B170,INDIRECT($B$5&amp;"生成成长"),4))/(VLOOKUP(C$72,INDIRECT($C$5&amp;"生成成长"),5))*(VLOOKUP($B$5,标准坦克设计!$B$24:$U$30,MATCH("对"&amp;LEFT($C$5,2)&amp;"输出",标准坦克设计!$B$23:$U$23,0)))*(VLOOKUP($B170,INDIRECT($B$5&amp;"生成成长"),3))*(VLOOKUP($B$5,标准坦克设计!$B$14:$K$20,9)/30))</f>
        <v>0.84798585560858064</v>
      </c>
      <c r="D170" s="172">
        <f ca="1">(VLOOKUP(D$72,INDIRECT($C$5&amp;"生成成长"),2))/((VLOOKUP($B170,INDIRECT($B$5&amp;"生成成长"),4))/(VLOOKUP(D$72,INDIRECT($C$5&amp;"生成成长"),5))*(VLOOKUP($B$5,标准坦克设计!$B$24:$U$30,MATCH("对"&amp;LEFT($C$5,2)&amp;"输出",标准坦克设计!$B$23:$U$23,0)))*(VLOOKUP($B170,INDIRECT($B$5&amp;"生成成长"),3))*(VLOOKUP($B$5,标准坦克设计!$B$14:$K$20,9)/30))</f>
        <v>0.95279690736180112</v>
      </c>
      <c r="E170" s="172">
        <f ca="1">(VLOOKUP(E$72,INDIRECT($C$5&amp;"生成成长"),2))/((VLOOKUP($B170,INDIRECT($B$5&amp;"生成成长"),4))/(VLOOKUP(E$72,INDIRECT($C$5&amp;"生成成长"),5))*(VLOOKUP($B$5,标准坦克设计!$B$24:$U$30,MATCH("对"&amp;LEFT($C$5,2)&amp;"输出",标准坦克设计!$B$23:$U$23,0)))*(VLOOKUP($B170,INDIRECT($B$5&amp;"生成成长"),3))*(VLOOKUP($B$5,标准坦克设计!$B$14:$K$20,9)/30))</f>
        <v>1.0637134572754032</v>
      </c>
      <c r="F170" s="172">
        <f ca="1">(VLOOKUP(F$72,INDIRECT($C$5&amp;"生成成长"),2))/((VLOOKUP($B170,INDIRECT($B$5&amp;"生成成长"),4))/(VLOOKUP(F$72,INDIRECT($C$5&amp;"生成成长"),5))*(VLOOKUP($B$5,标准坦克设计!$B$24:$U$30,MATCH("对"&amp;LEFT($C$5,2)&amp;"输出",标准坦克设计!$B$23:$U$23,0)))*(VLOOKUP($B170,INDIRECT($B$5&amp;"生成成长"),3))*(VLOOKUP($B$5,标准坦克设计!$B$14:$K$20,9)/30))</f>
        <v>1.1807355053493875</v>
      </c>
      <c r="G170" s="172">
        <f ca="1">(VLOOKUP(G$72,INDIRECT($C$5&amp;"生成成长"),2))/((VLOOKUP($B170,INDIRECT($B$5&amp;"生成成长"),4))/(VLOOKUP(G$72,INDIRECT($C$5&amp;"生成成长"),5))*(VLOOKUP($B$5,标准坦克设计!$B$24:$U$30,MATCH("对"&amp;LEFT($C$5,2)&amp;"输出",标准坦克设计!$B$23:$U$23,0)))*(VLOOKUP($B170,INDIRECT($B$5&amp;"生成成长"),3))*(VLOOKUP($B$5,标准坦克设计!$B$14:$K$20,9)/30))</f>
        <v>1.3038630515837535</v>
      </c>
      <c r="H170" s="172">
        <f ca="1">(VLOOKUP(H$72,INDIRECT($C$5&amp;"生成成长"),2))/((VLOOKUP($B170,INDIRECT($B$5&amp;"生成成长"),4))/(VLOOKUP(H$72,INDIRECT($C$5&amp;"生成成长"),5))*(VLOOKUP($B$5,标准坦克设计!$B$24:$U$30,MATCH("对"&amp;LEFT($C$5,2)&amp;"输出",标准坦克设计!$B$23:$U$23,0)))*(VLOOKUP($B170,INDIRECT($B$5&amp;"生成成长"),3))*(VLOOKUP($B$5,标准坦克设计!$B$14:$K$20,9)/30))</f>
        <v>1.1410497673069058</v>
      </c>
      <c r="I170" s="172">
        <f ca="1">(VLOOKUP(I$72,INDIRECT($C$5&amp;"生成成长"),2))/((VLOOKUP($B170,INDIRECT($B$5&amp;"生成成长"),4))/(VLOOKUP(I$72,INDIRECT($C$5&amp;"生成成长"),5))*(VLOOKUP($B$5,标准坦克设计!$B$24:$U$30,MATCH("对"&amp;LEFT($C$5,2)&amp;"输出",标准坦克设计!$B$23:$U$23,0)))*(VLOOKUP($B170,INDIRECT($B$5&amp;"生成成长"),3))*(VLOOKUP($B$5,标准坦克设计!$B$14:$K$20,9)/30))</f>
        <v>1.3038630515837535</v>
      </c>
      <c r="J170" s="172">
        <f ca="1">(VLOOKUP(J$72,INDIRECT($C$5&amp;"生成成长"),2))/((VLOOKUP($B170,INDIRECT($B$5&amp;"生成成长"),4))/(VLOOKUP(J$72,INDIRECT($C$5&amp;"生成成长"),5))*(VLOOKUP($B$5,标准坦克设计!$B$24:$U$30,MATCH("对"&amp;LEFT($C$5,2)&amp;"输出",标准坦克设计!$B$23:$U$23,0)))*(VLOOKUP($B170,INDIRECT($B$5&amp;"生成成长"),3))*(VLOOKUP($B$5,标准坦克设计!$B$14:$K$20,9)/30))</f>
        <v>1.4775305548123907</v>
      </c>
      <c r="K170" s="172">
        <f ca="1">(VLOOKUP(K$72,INDIRECT($C$5&amp;"生成成长"),2))/((VLOOKUP($B170,INDIRECT($B$5&amp;"生成成长"),4))/(VLOOKUP(K$72,INDIRECT($C$5&amp;"生成成长"),5))*(VLOOKUP($B$5,标准坦克设计!$B$24:$U$30,MATCH("对"&amp;LEFT($C$5,2)&amp;"输出",标准坦克设计!$B$23:$U$23,0)))*(VLOOKUP($B170,INDIRECT($B$5&amp;"生成成长"),3))*(VLOOKUP($B$5,标准坦克设计!$B$14:$K$20,9)/30))</f>
        <v>1.6620522769928179</v>
      </c>
      <c r="L170" s="172">
        <f ca="1">(VLOOKUP(L$72,INDIRECT($C$5&amp;"生成成长"),2))/((VLOOKUP($B170,INDIRECT($B$5&amp;"生成成长"),4))/(VLOOKUP(L$72,INDIRECT($C$5&amp;"生成成长"),5))*(VLOOKUP($B$5,标准坦克设计!$B$24:$U$30,MATCH("对"&amp;LEFT($C$5,2)&amp;"输出",标准坦克设计!$B$23:$U$23,0)))*(VLOOKUP($B170,INDIRECT($B$5&amp;"生成成长"),3))*(VLOOKUP($B$5,标准坦克设计!$B$14:$K$20,9)/30))</f>
        <v>1.8574282181250343</v>
      </c>
      <c r="M170" s="172">
        <f ca="1">(VLOOKUP(M$72,INDIRECT($C$5&amp;"生成成长"),2))/((VLOOKUP($B170,INDIRECT($B$5&amp;"生成成长"),4))/(VLOOKUP(M$72,INDIRECT($C$5&amp;"生成成长"),5))*(VLOOKUP($B$5,标准坦克设计!$B$24:$U$30,MATCH("对"&amp;LEFT($C$5,2)&amp;"输出",标准坦克设计!$B$23:$U$23,0)))*(VLOOKUP($B170,INDIRECT($B$5&amp;"生成成长"),3))*(VLOOKUP($B$5,标准坦克设计!$B$14:$K$20,9)/30))</f>
        <v>2.0636583782090416</v>
      </c>
      <c r="N170" s="172">
        <f ca="1">(VLOOKUP(N$72,INDIRECT($C$5&amp;"生成成长"),2))/((VLOOKUP($B170,INDIRECT($B$5&amp;"生成成长"),4))/(VLOOKUP(N$72,INDIRECT($C$5&amp;"生成成长"),5))*(VLOOKUP($B$5,标准坦克设计!$B$24:$U$30,MATCH("对"&amp;LEFT($C$5,2)&amp;"输出",标准坦克设计!$B$23:$U$23,0)))*(VLOOKUP($B170,INDIRECT($B$5&amp;"生成成长"),3))*(VLOOKUP($B$5,标准坦克设计!$B$14:$K$20,9)/30))</f>
        <v>2.280742757244838</v>
      </c>
      <c r="O170" s="172">
        <f ca="1">(VLOOKUP(O$72,INDIRECT($C$5&amp;"生成成长"),2))/((VLOOKUP($B170,INDIRECT($B$5&amp;"生成成长"),4))/(VLOOKUP(O$72,INDIRECT($C$5&amp;"生成成长"),5))*(VLOOKUP($B$5,标准坦克设计!$B$24:$U$30,MATCH("对"&amp;LEFT($C$5,2)&amp;"输出",标准坦克设计!$B$23:$U$23,0)))*(VLOOKUP($B170,INDIRECT($B$5&amp;"生成成长"),3))*(VLOOKUP($B$5,标准坦克设计!$B$14:$K$20,9)/30))</f>
        <v>1.7340462761339863</v>
      </c>
      <c r="P170" s="172">
        <f ca="1">(VLOOKUP(P$72,INDIRECT($C$5&amp;"生成成长"),2))/((VLOOKUP($B170,INDIRECT($B$5&amp;"生成成长"),4))/(VLOOKUP(P$72,INDIRECT($C$5&amp;"生成成长"),5))*(VLOOKUP($B$5,标准坦克设计!$B$24:$U$30,MATCH("对"&amp;LEFT($C$5,2)&amp;"输出",标准坦克设计!$B$23:$U$23,0)))*(VLOOKUP($B170,INDIRECT($B$5&amp;"生成成长"),3))*(VLOOKUP($B$5,标准坦克设计!$B$14:$K$20,9)/30))</f>
        <v>1.9591865207980645</v>
      </c>
      <c r="Q170" s="172">
        <f ca="1">(VLOOKUP(Q$72,INDIRECT($C$5&amp;"生成成长"),2))/((VLOOKUP($B170,INDIRECT($B$5&amp;"生成成长"),4))/(VLOOKUP(Q$72,INDIRECT($C$5&amp;"生成成长"),5))*(VLOOKUP($B$5,标准坦克设计!$B$24:$U$30,MATCH("对"&amp;LEFT($C$5,2)&amp;"输出",标准坦克设计!$B$23:$U$23,0)))*(VLOOKUP($B170,INDIRECT($B$5&amp;"生成成长"),3))*(VLOOKUP($B$5,标准坦克设计!$B$14:$K$20,9)/30))</f>
        <v>2.1980641363230013</v>
      </c>
      <c r="R170" s="172">
        <f ca="1">(VLOOKUP(R$72,INDIRECT($C$5&amp;"生成成长"),2))/((VLOOKUP($B170,INDIRECT($B$5&amp;"生成成长"),4))/(VLOOKUP(R$72,INDIRECT($C$5&amp;"生成成长"),5))*(VLOOKUP($B$5,标准坦克设计!$B$24:$U$30,MATCH("对"&amp;LEFT($C$5,2)&amp;"输出",标准坦克设计!$B$23:$U$23,0)))*(VLOOKUP($B170,INDIRECT($B$5&amp;"生成成长"),3))*(VLOOKUP($B$5,标准坦克设计!$B$14:$K$20,9)/30))</f>
        <v>2.4506791227087974</v>
      </c>
      <c r="S170" s="172">
        <f ca="1">(VLOOKUP(S$72,INDIRECT($C$5&amp;"生成成长"),2))/((VLOOKUP($B170,INDIRECT($B$5&amp;"生成成长"),4))/(VLOOKUP(S$72,INDIRECT($C$5&amp;"生成成长"),5))*(VLOOKUP($B$5,标准坦克设计!$B$24:$U$30,MATCH("对"&amp;LEFT($C$5,2)&amp;"输出",标准坦克设计!$B$23:$U$23,0)))*(VLOOKUP($B170,INDIRECT($B$5&amp;"生成成长"),3))*(VLOOKUP($B$5,标准坦克设计!$B$14:$K$20,9)/30))</f>
        <v>2.7170314799554527</v>
      </c>
      <c r="T170" s="172">
        <f ca="1">(VLOOKUP(T$72,INDIRECT($C$5&amp;"生成成长"),2))/((VLOOKUP($B170,INDIRECT($B$5&amp;"生成成长"),4))/(VLOOKUP(T$72,INDIRECT($C$5&amp;"生成成长"),5))*(VLOOKUP($B$5,标准坦克设计!$B$24:$U$30,MATCH("对"&amp;LEFT($C$5,2)&amp;"输出",标准坦克设计!$B$23:$U$23,0)))*(VLOOKUP($B170,INDIRECT($B$5&amp;"生成成长"),3))*(VLOOKUP($B$5,标准坦克设计!$B$14:$K$20,9)/30))</f>
        <v>2.9971212080629668</v>
      </c>
      <c r="U170" s="172">
        <f ca="1">(VLOOKUP(U$72,INDIRECT($C$5&amp;"生成成长"),2))/((VLOOKUP($B170,INDIRECT($B$5&amp;"生成成长"),4))/(VLOOKUP(U$72,INDIRECT($C$5&amp;"生成成长"),5))*(VLOOKUP($B$5,标准坦克设计!$B$24:$U$30,MATCH("对"&amp;LEFT($C$5,2)&amp;"输出",标准坦克设计!$B$23:$U$23,0)))*(VLOOKUP($B170,INDIRECT($B$5&amp;"生成成长"),3))*(VLOOKUP($B$5,标准坦克设计!$B$14:$K$20,9)/30))</f>
        <v>3.2909483070313401</v>
      </c>
      <c r="V170" s="172">
        <f ca="1">(VLOOKUP(V$72,INDIRECT($C$5&amp;"生成成长"),2))/((VLOOKUP($B170,INDIRECT($B$5&amp;"生成成长"),4))/(VLOOKUP(V$72,INDIRECT($C$5&amp;"生成成长"),5))*(VLOOKUP($B$5,标准坦克设计!$B$24:$U$30,MATCH("对"&amp;LEFT($C$5,2)&amp;"输出",标准坦克设计!$B$23:$U$23,0)))*(VLOOKUP($B170,INDIRECT($B$5&amp;"生成成长"),3))*(VLOOKUP($B$5,标准坦克设计!$B$14:$K$20,9)/30))</f>
        <v>3.5985127768605722</v>
      </c>
      <c r="W170" s="172">
        <f ca="1">(VLOOKUP(W$72,INDIRECT($C$5&amp;"生成成长"),2))/((VLOOKUP($B170,INDIRECT($B$5&amp;"生成成长"),4))/(VLOOKUP(W$72,INDIRECT($C$5&amp;"生成成长"),5))*(VLOOKUP($B$5,标准坦克设计!$B$24:$U$30,MATCH("对"&amp;LEFT($C$5,2)&amp;"输出",标准坦克设计!$B$23:$U$23,0)))*(VLOOKUP($B170,INDIRECT($B$5&amp;"生成成长"),3))*(VLOOKUP($B$5,标准坦克设计!$B$14:$K$20,9)/30))</f>
        <v>3.9198146175506636</v>
      </c>
      <c r="X170" s="172">
        <f ca="1">(VLOOKUP(X$72,INDIRECT($C$5&amp;"生成成长"),2))/((VLOOKUP($B170,INDIRECT($B$5&amp;"生成成长"),4))/(VLOOKUP(X$72,INDIRECT($C$5&amp;"生成成长"),5))*(VLOOKUP($B$5,标准坦克设计!$B$24:$U$30,MATCH("对"&amp;LEFT($C$5,2)&amp;"输出",标准坦克设计!$B$23:$U$23,0)))*(VLOOKUP($B170,INDIRECT($B$5&amp;"生成成长"),3))*(VLOOKUP($B$5,标准坦克设计!$B$14:$K$20,9)/30))</f>
        <v>2.8398198318475751</v>
      </c>
      <c r="Y170" s="172">
        <f ca="1">(VLOOKUP(Y$72,INDIRECT($C$5&amp;"生成成长"),2))/((VLOOKUP($B170,INDIRECT($B$5&amp;"生成成长"),4))/(VLOOKUP(Y$72,INDIRECT($C$5&amp;"生成成长"),5))*(VLOOKUP($B$5,标准坦克设计!$B$24:$U$30,MATCH("对"&amp;LEFT($C$5,2)&amp;"输出",标准坦克设计!$B$23:$U$23,0)))*(VLOOKUP($B170,INDIRECT($B$5&amp;"生成成长"),3))*(VLOOKUP($B$5,标准坦克设计!$B$14:$K$20,9)/30))</f>
        <v>3.1586625135564019</v>
      </c>
      <c r="Z170" s="172">
        <f ca="1">(VLOOKUP(Z$72,INDIRECT($C$5&amp;"生成成长"),2))/((VLOOKUP($B170,INDIRECT($B$5&amp;"生成成长"),4))/(VLOOKUP(Z$72,INDIRECT($C$5&amp;"生成成长"),5))*(VLOOKUP($B$5,标准坦克设计!$B$24:$U$30,MATCH("对"&amp;LEFT($C$5,2)&amp;"输出",标准坦克设计!$B$23:$U$23,0)))*(VLOOKUP($B170,INDIRECT($B$5&amp;"生成成长"),3))*(VLOOKUP($B$5,标准坦克设计!$B$14:$K$20,9)/30))</f>
        <v>3.4944649123773996</v>
      </c>
      <c r="AA170" s="172">
        <f ca="1">(VLOOKUP(AA$72,INDIRECT($C$5&amp;"生成成长"),2))/((VLOOKUP($B170,INDIRECT($B$5&amp;"生成成长"),4))/(VLOOKUP(AA$72,INDIRECT($C$5&amp;"生成成长"),5))*(VLOOKUP($B$5,标准坦克设计!$B$24:$U$30,MATCH("对"&amp;LEFT($C$5,2)&amp;"输出",标准坦克设计!$B$23:$U$23,0)))*(VLOOKUP($B170,INDIRECT($B$5&amp;"生成成长"),3))*(VLOOKUP($B$5,标准坦克设计!$B$14:$K$20,9)/30))</f>
        <v>3.8472270283105692</v>
      </c>
      <c r="AB170" s="172">
        <f ca="1">(VLOOKUP(AB$72,INDIRECT($C$5&amp;"生成成长"),2))/((VLOOKUP($B170,INDIRECT($B$5&amp;"生成成长"),4))/(VLOOKUP(AB$72,INDIRECT($C$5&amp;"生成成长"),5))*(VLOOKUP($B$5,标准坦克设计!$B$24:$U$30,MATCH("对"&amp;LEFT($C$5,2)&amp;"输出",标准坦克设计!$B$23:$U$23,0)))*(VLOOKUP($B170,INDIRECT($B$5&amp;"生成成长"),3))*(VLOOKUP($B$5,标准坦克设计!$B$14:$K$20,9)/30))</f>
        <v>4.2169488613559105</v>
      </c>
      <c r="AC170" s="172">
        <f ca="1">(VLOOKUP(AC$72,INDIRECT($C$5&amp;"生成成长"),2))/((VLOOKUP($B170,INDIRECT($B$5&amp;"生成成长"),4))/(VLOOKUP(AC$72,INDIRECT($C$5&amp;"生成成长"),5))*(VLOOKUP($B$5,标准坦克设计!$B$24:$U$30,MATCH("对"&amp;LEFT($C$5,2)&amp;"输出",标准坦克设计!$B$23:$U$23,0)))*(VLOOKUP($B170,INDIRECT($B$5&amp;"生成成长"),3))*(VLOOKUP($B$5,标准坦克设计!$B$14:$K$20,9)/30))</f>
        <v>4.6036304115134223</v>
      </c>
      <c r="AD170" s="172">
        <f ca="1">(VLOOKUP(AD$72,INDIRECT($C$5&amp;"生成成长"),2))/((VLOOKUP($B170,INDIRECT($B$5&amp;"生成成长"),4))/(VLOOKUP(AD$72,INDIRECT($C$5&amp;"生成成长"),5))*(VLOOKUP($B$5,标准坦克设计!$B$24:$U$30,MATCH("对"&amp;LEFT($C$5,2)&amp;"输出",标准坦克设计!$B$23:$U$23,0)))*(VLOOKUP($B170,INDIRECT($B$5&amp;"生成成长"),3))*(VLOOKUP($B$5,标准坦克设计!$B$14:$K$20,9)/30))</f>
        <v>5.0072716787831073</v>
      </c>
      <c r="AE170" s="172">
        <f ca="1">(VLOOKUP(AE$72,INDIRECT($C$5&amp;"生成成长"),2))/((VLOOKUP($B170,INDIRECT($B$5&amp;"生成成长"),4))/(VLOOKUP(AE$72,INDIRECT($C$5&amp;"生成成长"),5))*(VLOOKUP($B$5,标准坦克设计!$B$24:$U$30,MATCH("对"&amp;LEFT($C$5,2)&amp;"输出",标准坦克设计!$B$23:$U$23,0)))*(VLOOKUP($B170,INDIRECT($B$5&amp;"生成成长"),3))*(VLOOKUP($B$5,标准坦克设计!$B$14:$K$20,9)/30))</f>
        <v>5.4278726631649628</v>
      </c>
      <c r="AF170" s="172">
        <f ca="1">(VLOOKUP(AF$72,INDIRECT($C$5&amp;"生成成长"),2))/((VLOOKUP($B170,INDIRECT($B$5&amp;"生成成长"),4))/(VLOOKUP(AF$72,INDIRECT($C$5&amp;"生成成长"),5))*(VLOOKUP($B$5,标准坦克设计!$B$24:$U$30,MATCH("对"&amp;LEFT($C$5,2)&amp;"输出",标准坦克设计!$B$23:$U$23,0)))*(VLOOKUP($B170,INDIRECT($B$5&amp;"生成成长"),3))*(VLOOKUP($B$5,标准坦克设计!$B$14:$K$20,9)/30))</f>
        <v>5.8654333646589905</v>
      </c>
      <c r="AG170" s="172">
        <f ca="1">(VLOOKUP(AG$72,INDIRECT($C$5&amp;"生成成长"),2))/((VLOOKUP($B170,INDIRECT($B$5&amp;"生成成长"),4))/(VLOOKUP(AG$72,INDIRECT($C$5&amp;"生成成长"),5))*(VLOOKUP($B$5,标准坦克设计!$B$24:$U$30,MATCH("对"&amp;LEFT($C$5,2)&amp;"输出",标准坦克设计!$B$23:$U$23,0)))*(VLOOKUP($B170,INDIRECT($B$5&amp;"生成成长"),3))*(VLOOKUP($B$5,标准坦克设计!$B$14:$K$20,9)/30))</f>
        <v>6.3199537832651895</v>
      </c>
      <c r="AH170" s="172">
        <f ca="1">(VLOOKUP(AH$72,INDIRECT($C$5&amp;"生成成长"),2))/((VLOOKUP($B170,INDIRECT($B$5&amp;"生成成长"),4))/(VLOOKUP(AH$72,INDIRECT($C$5&amp;"生成成长"),5))*(VLOOKUP($B$5,标准坦克设计!$B$24:$U$30,MATCH("对"&amp;LEFT($C$5,2)&amp;"输出",标准坦克设计!$B$23:$U$23,0)))*(VLOOKUP($B170,INDIRECT($B$5&amp;"生成成长"),3))*(VLOOKUP($B$5,标准坦克设计!$B$14:$K$20,9)/30))</f>
        <v>6.79143391898356</v>
      </c>
      <c r="AI170" s="172">
        <f ca="1">(VLOOKUP(AI$72,INDIRECT($C$5&amp;"生成成长"),2))/((VLOOKUP($B170,INDIRECT($B$5&amp;"生成成长"),4))/(VLOOKUP(AI$72,INDIRECT($C$5&amp;"生成成长"),5))*(VLOOKUP($B$5,标准坦克设计!$B$24:$U$30,MATCH("对"&amp;LEFT($C$5,2)&amp;"输出",标准坦克设计!$B$23:$U$23,0)))*(VLOOKUP($B170,INDIRECT($B$5&amp;"生成成长"),3))*(VLOOKUP($B$5,标准坦克设计!$B$14:$K$20,9)/30))</f>
        <v>4.8033310805092428</v>
      </c>
      <c r="AJ170" s="172">
        <f ca="1">(VLOOKUP(AJ$72,INDIRECT($C$5&amp;"生成成长"),2))/((VLOOKUP($B170,INDIRECT($B$5&amp;"生成成长"),4))/(VLOOKUP(AJ$72,INDIRECT($C$5&amp;"生成成长"),5))*(VLOOKUP($B$5,标准坦克设计!$B$24:$U$30,MATCH("对"&amp;LEFT($C$5,2)&amp;"输出",标准坦克设计!$B$23:$U$23,0)))*(VLOOKUP($B170,INDIRECT($B$5&amp;"生成成长"),3))*(VLOOKUP($B$5,标准坦克设计!$B$14:$K$20,9)/30))</f>
        <v>5.2575971033587603</v>
      </c>
      <c r="AK170" s="172">
        <f ca="1">(VLOOKUP(AK$72,INDIRECT($C$5&amp;"生成成长"),2))/((VLOOKUP($B170,INDIRECT($B$5&amp;"生成成长"),4))/(VLOOKUP(AK$72,INDIRECT($C$5&amp;"生成成长"),5))*(VLOOKUP($B$5,标准坦克设计!$B$24:$U$30,MATCH("对"&amp;LEFT($C$5,2)&amp;"输出",标准坦克设计!$B$23:$U$23,0)))*(VLOOKUP($B170,INDIRECT($B$5&amp;"生成成长"),3))*(VLOOKUP($B$5,标准坦克设计!$B$14:$K$20,9)/30))</f>
        <v>5.7323843839140034</v>
      </c>
      <c r="AL170" s="172">
        <f ca="1">(VLOOKUP(AL$72,INDIRECT($C$5&amp;"生成成长"),2))/((VLOOKUP($B170,INDIRECT($B$5&amp;"生成成长"),4))/(VLOOKUP(AL$72,INDIRECT($C$5&amp;"生成成长"),5))*(VLOOKUP($B$5,标准坦克设计!$B$24:$U$30,MATCH("对"&amp;LEFT($C$5,2)&amp;"输出",标准坦克设计!$B$23:$U$23,0)))*(VLOOKUP($B170,INDIRECT($B$5&amp;"生成成长"),3))*(VLOOKUP($B$5,标准坦克设计!$B$14:$K$20,9)/30))</f>
        <v>6.2276929221749748</v>
      </c>
      <c r="AM170" s="172">
        <f ca="1">(VLOOKUP(AM$72,INDIRECT($C$5&amp;"生成成长"),2))/((VLOOKUP($B170,INDIRECT($B$5&amp;"生成成长"),4))/(VLOOKUP(AM$72,INDIRECT($C$5&amp;"生成成长"),5))*(VLOOKUP($B$5,标准坦克设计!$B$24:$U$30,MATCH("对"&amp;LEFT($C$5,2)&amp;"输出",标准坦克设计!$B$23:$U$23,0)))*(VLOOKUP($B170,INDIRECT($B$5&amp;"生成成长"),3))*(VLOOKUP($B$5,标准坦克设计!$B$14:$K$20,9)/30))</f>
        <v>6.7435227181416746</v>
      </c>
      <c r="AN170" s="172">
        <f ca="1">(VLOOKUP(AN$72,INDIRECT($C$5&amp;"生成成长"),2))/((VLOOKUP($B170,INDIRECT($B$5&amp;"生成成长"),4))/(VLOOKUP(AN$72,INDIRECT($C$5&amp;"生成成长"),5))*(VLOOKUP($B$5,标准坦克设计!$B$24:$U$30,MATCH("对"&amp;LEFT($C$5,2)&amp;"输出",标准坦克设计!$B$23:$U$23,0)))*(VLOOKUP($B170,INDIRECT($B$5&amp;"生成成长"),3))*(VLOOKUP($B$5,标准坦克设计!$B$14:$K$20,9)/30))</f>
        <v>7.2798737718141027</v>
      </c>
      <c r="AO170" s="172">
        <f ca="1">(VLOOKUP(AO$72,INDIRECT($C$5&amp;"生成成长"),2))/((VLOOKUP($B170,INDIRECT($B$5&amp;"生成成长"),4))/(VLOOKUP(AO$72,INDIRECT($C$5&amp;"生成成长"),5))*(VLOOKUP($B$5,标准坦克设计!$B$24:$U$30,MATCH("对"&amp;LEFT($C$5,2)&amp;"输出",标准坦克设计!$B$23:$U$23,0)))*(VLOOKUP($B170,INDIRECT($B$5&amp;"生成成长"),3))*(VLOOKUP($B$5,标准坦克设计!$B$14:$K$20,9)/30))</f>
        <v>7.8367460831922582</v>
      </c>
      <c r="AP170" s="172">
        <f ca="1">(VLOOKUP(AP$72,INDIRECT($C$5&amp;"生成成长"),2))/((VLOOKUP($B170,INDIRECT($B$5&amp;"生成成长"),4))/(VLOOKUP(AP$72,INDIRECT($C$5&amp;"生成成长"),5))*(VLOOKUP($B$5,标准坦克设计!$B$24:$U$30,MATCH("对"&amp;LEFT($C$5,2)&amp;"输出",标准坦克设计!$B$23:$U$23,0)))*(VLOOKUP($B170,INDIRECT($B$5&amp;"生成成长"),3))*(VLOOKUP($B$5,标准坦克设计!$B$14:$K$20,9)/30))</f>
        <v>8.4141396522761394</v>
      </c>
      <c r="AQ170" s="172">
        <f ca="1">(VLOOKUP(AQ$72,INDIRECT($C$5&amp;"生成成长"),2))/((VLOOKUP($B170,INDIRECT($B$5&amp;"生成成长"),4))/(VLOOKUP(AQ$72,INDIRECT($C$5&amp;"生成成长"),5))*(VLOOKUP($B$5,标准坦克设计!$B$24:$U$30,MATCH("对"&amp;LEFT($C$5,2)&amp;"输出",标准坦克设计!$B$23:$U$23,0)))*(VLOOKUP($B170,INDIRECT($B$5&amp;"生成成长"),3))*(VLOOKUP($B$5,标准坦克设计!$B$14:$K$20,9)/30))</f>
        <v>9.0120544790657515</v>
      </c>
      <c r="AR170" s="172">
        <f ca="1">(VLOOKUP(AR$72,INDIRECT($C$5&amp;"生成成长"),2))/((VLOOKUP($B170,INDIRECT($B$5&amp;"生成成长"),4))/(VLOOKUP(AR$72,INDIRECT($C$5&amp;"生成成长"),5))*(VLOOKUP($B$5,标准坦克设计!$B$24:$U$30,MATCH("对"&amp;LEFT($C$5,2)&amp;"输出",标准坦克设计!$B$23:$U$23,0)))*(VLOOKUP($B170,INDIRECT($B$5&amp;"生成成长"),3))*(VLOOKUP($B$5,标准坦克设计!$B$14:$K$20,9)/30))</f>
        <v>9.6304905635610876</v>
      </c>
      <c r="AS170" s="172">
        <f ca="1">(VLOOKUP(AS$72,INDIRECT($C$5&amp;"生成成长"),2))/((VLOOKUP($B170,INDIRECT($B$5&amp;"生成成长"),4))/(VLOOKUP(AS$72,INDIRECT($C$5&amp;"生成成长"),5))*(VLOOKUP($B$5,标准坦克设计!$B$24:$U$30,MATCH("对"&amp;LEFT($C$5,2)&amp;"输出",标准坦克设计!$B$23:$U$23,0)))*(VLOOKUP($B170,INDIRECT($B$5&amp;"生成成长"),3))*(VLOOKUP($B$5,标准坦克设计!$B$14:$K$20,9)/30))</f>
        <v>10.269447905762155</v>
      </c>
      <c r="AT170" s="172">
        <f ca="1">(VLOOKUP(AT$72,INDIRECT($C$5&amp;"生成成长"),2))/((VLOOKUP($B170,INDIRECT($B$5&amp;"生成成长"),4))/(VLOOKUP(AT$72,INDIRECT($C$5&amp;"生成成长"),5))*(VLOOKUP($B$5,标准坦克设计!$B$24:$U$30,MATCH("对"&amp;LEFT($C$5,2)&amp;"输出",标准坦克设计!$B$23:$U$23,0)))*(VLOOKUP($B170,INDIRECT($B$5&amp;"生成成长"),3))*(VLOOKUP($B$5,标准坦克设计!$B$14:$K$20,9)/30))</f>
        <v>10.928926505668946</v>
      </c>
      <c r="AU170" s="172">
        <f ca="1">(VLOOKUP(AU$72,INDIRECT($C$5&amp;"生成成长"),2))/((VLOOKUP($B170,INDIRECT($B$5&amp;"生成成长"),4))/(VLOOKUP(AU$72,INDIRECT($C$5&amp;"生成成长"),5))*(VLOOKUP($B$5,标准坦克设计!$B$24:$U$30,MATCH("对"&amp;LEFT($C$5,2)&amp;"输出",标准坦克设计!$B$23:$U$23,0)))*(VLOOKUP($B170,INDIRECT($B$5&amp;"生成成长"),3))*(VLOOKUP($B$5,标准坦克设计!$B$14:$K$20,9)/30))</f>
        <v>11.608926363281466</v>
      </c>
      <c r="AV170" s="172">
        <f ca="1">(VLOOKUP(AV$72,INDIRECT($C$5&amp;"生成成长"),2))/((VLOOKUP($B170,INDIRECT($B$5&amp;"生成成长"),4))/(VLOOKUP(AV$72,INDIRECT($C$5&amp;"生成成长"),5))*(VLOOKUP($B$5,标准坦克设计!$B$24:$U$30,MATCH("对"&amp;LEFT($C$5,2)&amp;"输出",标准坦克设计!$B$23:$U$23,0)))*(VLOOKUP($B170,INDIRECT($B$5&amp;"生成成长"),3))*(VLOOKUP($B$5,标准坦克设计!$B$14:$K$20,9)/30))</f>
        <v>1.1807355053493875</v>
      </c>
      <c r="AW170" s="172">
        <f ca="1">(VLOOKUP(AW$72,INDIRECT($C$5&amp;"生成成长"),2))/((VLOOKUP($B170,INDIRECT($B$5&amp;"生成成长"),4))/(VLOOKUP(AW$72,INDIRECT($C$5&amp;"生成成长"),5))*(VLOOKUP($B$5,标准坦克设计!$B$24:$U$30,MATCH("对"&amp;LEFT($C$5,2)&amp;"输出",标准坦克设计!$B$23:$U$23,0)))*(VLOOKUP($B170,INDIRECT($B$5&amp;"生成成长"),3))*(VLOOKUP($B$5,标准坦克设计!$B$14:$K$20,9)/30))</f>
        <v>1.3462623443641826</v>
      </c>
      <c r="AX170" s="172">
        <f ca="1">(VLOOKUP(AX$72,INDIRECT($C$5&amp;"生成成长"),2))/((VLOOKUP($B170,INDIRECT($B$5&amp;"生成成长"),4))/(VLOOKUP(AX$72,INDIRECT($C$5&amp;"生成成长"),5))*(VLOOKUP($B$5,标准坦克设计!$B$24:$U$30,MATCH("对"&amp;LEFT($C$5,2)&amp;"输出",标准坦克设计!$B$23:$U$23,0)))*(VLOOKUP($B170,INDIRECT($B$5&amp;"生成成长"),3))*(VLOOKUP($B$5,标准坦克设计!$B$14:$K$20,9)/30))</f>
        <v>1.5226434023307673</v>
      </c>
      <c r="AY170" s="172">
        <f ca="1">(VLOOKUP(AY$72,INDIRECT($C$5&amp;"生成成长"),2))/((VLOOKUP($B170,INDIRECT($B$5&amp;"生成成长"),4))/(VLOOKUP(AY$72,INDIRECT($C$5&amp;"生成成长"),5))*(VLOOKUP($B$5,标准坦克设计!$B$24:$U$30,MATCH("对"&amp;LEFT($C$5,2)&amp;"输出",标准坦克设计!$B$23:$U$23,0)))*(VLOOKUP($B170,INDIRECT($B$5&amp;"生成成长"),3))*(VLOOKUP($B$5,标准坦克设计!$B$14:$K$20,9)/30))</f>
        <v>1.7098786792491418</v>
      </c>
      <c r="AZ170" s="172">
        <f ca="1">(VLOOKUP(AZ$72,INDIRECT($C$5&amp;"生成成长"),2))/((VLOOKUP($B170,INDIRECT($B$5&amp;"生成成长"),4))/(VLOOKUP(AZ$72,INDIRECT($C$5&amp;"生成成长"),5))*(VLOOKUP($B$5,标准坦克设计!$B$24:$U$30,MATCH("对"&amp;LEFT($C$5,2)&amp;"输出",标准坦克设计!$B$23:$U$23,0)))*(VLOOKUP($B170,INDIRECT($B$5&amp;"生成成长"),3))*(VLOOKUP($B$5,标准坦克设计!$B$14:$K$20,9)/30))</f>
        <v>1.9079681751193065</v>
      </c>
      <c r="BA170" s="172">
        <f ca="1">(VLOOKUP(BA$72,INDIRECT($C$5&amp;"生成成长"),2))/((VLOOKUP($B170,INDIRECT($B$5&amp;"生成成长"),4))/(VLOOKUP(BA$72,INDIRECT($C$5&amp;"生成成长"),5))*(VLOOKUP($B$5,标准坦克设计!$B$24:$U$30,MATCH("对"&amp;LEFT($C$5,2)&amp;"输出",标准坦克设计!$B$23:$U$23,0)))*(VLOOKUP($B170,INDIRECT($B$5&amp;"生成成长"),3))*(VLOOKUP($B$5,标准坦克设计!$B$14:$K$20,9)/30))</f>
        <v>2.1169118899412607</v>
      </c>
      <c r="BB170" s="172">
        <f ca="1">(VLOOKUP(BB$72,INDIRECT($C$5&amp;"生成成长"),2))/((VLOOKUP($B170,INDIRECT($B$5&amp;"生成成长"),4))/(VLOOKUP(BB$72,INDIRECT($C$5&amp;"生成成长"),5))*(VLOOKUP($B$5,标准坦克设计!$B$24:$U$30,MATCH("对"&amp;LEFT($C$5,2)&amp;"输出",标准坦克设计!$B$23:$U$23,0)))*(VLOOKUP($B170,INDIRECT($B$5&amp;"生成成长"),3))*(VLOOKUP($B$5,标准坦克设计!$B$14:$K$20,9)/30))</f>
        <v>2.3367098237150046</v>
      </c>
      <c r="BC170" s="172">
        <f ca="1">(VLOOKUP(BC$72,INDIRECT($C$5&amp;"生成成长"),2))/((VLOOKUP($B170,INDIRECT($B$5&amp;"生成成长"),4))/(VLOOKUP(BC$72,INDIRECT($C$5&amp;"生成成长"),5))*(VLOOKUP($B$5,标准坦克设计!$B$24:$U$30,MATCH("对"&amp;LEFT($C$5,2)&amp;"输出",标准坦克设计!$B$23:$U$23,0)))*(VLOOKUP($B170,INDIRECT($B$5&amp;"生成成长"),3))*(VLOOKUP($B$5,标准坦克设计!$B$14:$K$20,9)/30))</f>
        <v>2.5673619764405387</v>
      </c>
      <c r="BD170" s="172">
        <f ca="1">(VLOOKUP(BD$72,INDIRECT($C$5&amp;"生成成长"),2))/((VLOOKUP($B170,INDIRECT($B$5&amp;"生成成长"),4))/(VLOOKUP(BD$72,INDIRECT($C$5&amp;"生成成长"),5))*(VLOOKUP($B$5,标准坦克设计!$B$24:$U$30,MATCH("对"&amp;LEFT($C$5,2)&amp;"输出",标准坦克设计!$B$23:$U$23,0)))*(VLOOKUP($B170,INDIRECT($B$5&amp;"生成成长"),3))*(VLOOKUP($B$5,标准坦克设计!$B$14:$K$20,9)/30))</f>
        <v>2.8398198318475751</v>
      </c>
      <c r="BE170" s="172">
        <f ca="1">(VLOOKUP(BE$72,INDIRECT($C$5&amp;"生成成长"),2))/((VLOOKUP($B170,INDIRECT($B$5&amp;"生成成长"),4))/(VLOOKUP(BE$72,INDIRECT($C$5&amp;"生成成长"),5))*(VLOOKUP($B$5,标准坦克设计!$B$24:$U$30,MATCH("对"&amp;LEFT($C$5,2)&amp;"输出",标准坦克设计!$B$23:$U$23,0)))*(VLOOKUP($B170,INDIRECT($B$5&amp;"生成成长"),3))*(VLOOKUP($B$5,标准坦克设计!$B$14:$K$20,9)/30))</f>
        <v>3.1260150581154713</v>
      </c>
      <c r="BF170" s="172">
        <f ca="1">(VLOOKUP(BF$72,INDIRECT($C$5&amp;"生成成长"),2))/((VLOOKUP($B170,INDIRECT($B$5&amp;"生成成长"),4))/(VLOOKUP(BF$72,INDIRECT($C$5&amp;"生成成长"),5))*(VLOOKUP($B$5,标准坦克设计!$B$24:$U$30,MATCH("对"&amp;LEFT($C$5,2)&amp;"输出",标准坦克设计!$B$23:$U$23,0)))*(VLOOKUP($B170,INDIRECT($B$5&amp;"生成成长"),3))*(VLOOKUP($B$5,标准坦克设计!$B$14:$K$20,9)/30))</f>
        <v>3.4259476552442254</v>
      </c>
      <c r="BG170" s="172">
        <f ca="1">(VLOOKUP(BG$72,INDIRECT($C$5&amp;"生成成长"),2))/((VLOOKUP($B170,INDIRECT($B$5&amp;"生成成长"),4))/(VLOOKUP(BG$72,INDIRECT($C$5&amp;"生成成长"),5))*(VLOOKUP($B$5,标准坦克设计!$B$24:$U$30,MATCH("对"&amp;LEFT($C$5,2)&amp;"输出",标准坦克设计!$B$23:$U$23,0)))*(VLOOKUP($B170,INDIRECT($B$5&amp;"生成成长"),3))*(VLOOKUP($B$5,标准坦克设计!$B$14:$K$20,9)/30))</f>
        <v>3.7396176232338401</v>
      </c>
      <c r="BH170" s="172">
        <f ca="1">(VLOOKUP(BH$72,INDIRECT($C$5&amp;"生成成长"),2))/((VLOOKUP($B170,INDIRECT($B$5&amp;"生成成长"),4))/(VLOOKUP(BH$72,INDIRECT($C$5&amp;"生成成长"),5))*(VLOOKUP($B$5,标准坦克设计!$B$24:$U$30,MATCH("对"&amp;LEFT($C$5,2)&amp;"输出",标准坦克设计!$B$23:$U$23,0)))*(VLOOKUP($B170,INDIRECT($B$5&amp;"生成成长"),3))*(VLOOKUP($B$5,标准坦克设计!$B$14:$K$20,9)/30))</f>
        <v>1.8075666498152505</v>
      </c>
      <c r="BI170" s="172">
        <f ca="1">(VLOOKUP(BI$72,INDIRECT($C$5&amp;"生成成长"),2))/((VLOOKUP($B170,INDIRECT($B$5&amp;"生成成长"),4))/(VLOOKUP(BI$72,INDIRECT($C$5&amp;"生成成长"),5))*(VLOOKUP($B$5,标准坦克设计!$B$24:$U$30,MATCH("对"&amp;LEFT($C$5,2)&amp;"输出",标准坦克设计!$B$23:$U$23,0)))*(VLOOKUP($B170,INDIRECT($B$5&amp;"生成成长"),3))*(VLOOKUP($B$5,标准坦克设计!$B$14:$K$20,9)/30))</f>
        <v>2.0372860180996146</v>
      </c>
      <c r="BJ170" s="172">
        <f ca="1">(VLOOKUP(BJ$72,INDIRECT($C$5&amp;"生成成长"),2))/((VLOOKUP($B170,INDIRECT($B$5&amp;"生成成长"),4))/(VLOOKUP(BJ$72,INDIRECT($C$5&amp;"生成成长"),5))*(VLOOKUP($B$5,标准坦克设计!$B$24:$U$30,MATCH("对"&amp;LEFT($C$5,2)&amp;"输出",标准坦克设计!$B$23:$U$23,0)))*(VLOOKUP($B170,INDIRECT($B$5&amp;"生成成长"),3))*(VLOOKUP($B$5,标准坦克设计!$B$14:$K$20,9)/30))</f>
        <v>2.280742757244838</v>
      </c>
      <c r="BK170" s="172">
        <f ca="1">(VLOOKUP(BK$72,INDIRECT($C$5&amp;"生成成长"),2))/((VLOOKUP($B170,INDIRECT($B$5&amp;"生成成长"),4))/(VLOOKUP(BK$72,INDIRECT($C$5&amp;"生成成长"),5))*(VLOOKUP($B$5,标准坦克设计!$B$24:$U$30,MATCH("对"&amp;LEFT($C$5,2)&amp;"输出",标准坦克设计!$B$23:$U$23,0)))*(VLOOKUP($B170,INDIRECT($B$5&amp;"生成成长"),3))*(VLOOKUP($B$5,标准坦克设计!$B$14:$K$20,9)/30))</f>
        <v>2.5379368672509202</v>
      </c>
      <c r="BL170" s="172">
        <f ca="1">(VLOOKUP(BL$72,INDIRECT($C$5&amp;"生成成长"),2))/((VLOOKUP($B170,INDIRECT($B$5&amp;"生成成长"),4))/(VLOOKUP(BL$72,INDIRECT($C$5&amp;"生成成长"),5))*(VLOOKUP($B$5,标准坦克设计!$B$24:$U$30,MATCH("对"&amp;LEFT($C$5,2)&amp;"输出",标准坦克设计!$B$23:$U$23,0)))*(VLOOKUP($B170,INDIRECT($B$5&amp;"生成成长"),3))*(VLOOKUP($B$5,标准坦克设计!$B$14:$K$20,9)/30))</f>
        <v>2.808868348117862</v>
      </c>
      <c r="BM170" s="172">
        <f ca="1">(VLOOKUP(BM$72,INDIRECT($C$5&amp;"生成成长"),2))/((VLOOKUP($B170,INDIRECT($B$5&amp;"生成成长"),4))/(VLOOKUP(BM$72,INDIRECT($C$5&amp;"生成成长"),5))*(VLOOKUP($B$5,标准坦克设计!$B$24:$U$30,MATCH("对"&amp;LEFT($C$5,2)&amp;"输出",标准坦克设计!$B$23:$U$23,0)))*(VLOOKUP($B170,INDIRECT($B$5&amp;"生成成长"),3))*(VLOOKUP($B$5,标准坦克设计!$B$14:$K$20,9)/30))</f>
        <v>3.0935371998456627</v>
      </c>
      <c r="BN170" s="172">
        <f ca="1">(VLOOKUP(BN$72,INDIRECT($C$5&amp;"生成成长"),2))/((VLOOKUP($B170,INDIRECT($B$5&amp;"生成成长"),4))/(VLOOKUP(BN$72,INDIRECT($C$5&amp;"生成成长"),5))*(VLOOKUP($B$5,标准坦克设计!$B$24:$U$30,MATCH("对"&amp;LEFT($C$5,2)&amp;"输出",标准坦克设计!$B$23:$U$23,0)))*(VLOOKUP($B170,INDIRECT($B$5&amp;"生成成长"),3))*(VLOOKUP($B$5,标准坦克设计!$B$14:$K$20,9)/30))</f>
        <v>3.3919434224343226</v>
      </c>
      <c r="BO170" s="172">
        <f ca="1">(VLOOKUP(BO$72,INDIRECT($C$5&amp;"生成成长"),2))/((VLOOKUP($B170,INDIRECT($B$5&amp;"生成成长"),4))/(VLOOKUP(BO$72,INDIRECT($C$5&amp;"生成成长"),5))*(VLOOKUP($B$5,标准坦克设计!$B$24:$U$30,MATCH("对"&amp;LEFT($C$5,2)&amp;"输出",标准坦克设计!$B$23:$U$23,0)))*(VLOOKUP($B170,INDIRECT($B$5&amp;"生成成长"),3))*(VLOOKUP($B$5,标准坦克设计!$B$14:$K$20,9)/30))</f>
        <v>3.7040870158838413</v>
      </c>
      <c r="BP170" s="172">
        <f ca="1">(VLOOKUP(BP$72,INDIRECT($C$5&amp;"生成成长"),2))/((VLOOKUP($B170,INDIRECT($B$5&amp;"生成成长"),4))/(VLOOKUP(BP$72,INDIRECT($C$5&amp;"生成成长"),5))*(VLOOKUP($B$5,标准坦克设计!$B$24:$U$30,MATCH("对"&amp;LEFT($C$5,2)&amp;"输出",标准坦克设计!$B$23:$U$23,0)))*(VLOOKUP($B170,INDIRECT($B$5&amp;"生成成长"),3))*(VLOOKUP($B$5,标准坦克设计!$B$14:$K$20,9)/30))</f>
        <v>4.0299679801942174</v>
      </c>
      <c r="BQ170" s="172">
        <f ca="1">(VLOOKUP(BQ$72,INDIRECT($C$5&amp;"生成成长"),2))/((VLOOKUP($B170,INDIRECT($B$5&amp;"生成成长"),4))/(VLOOKUP(BQ$72,INDIRECT($C$5&amp;"生成成长"),5))*(VLOOKUP($B$5,标准坦克设计!$B$24:$U$30,MATCH("对"&amp;LEFT($C$5,2)&amp;"输出",标准坦克设计!$B$23:$U$23,0)))*(VLOOKUP($B170,INDIRECT($B$5&amp;"生成成长"),3))*(VLOOKUP($B$5,标准坦克设计!$B$14:$K$20,9)/30))</f>
        <v>4.3695863153654546</v>
      </c>
      <c r="BR170" s="172">
        <f ca="1">(VLOOKUP(BR$72,INDIRECT($C$5&amp;"生成成长"),2))/((VLOOKUP($B170,INDIRECT($B$5&amp;"生成成长"),4))/(VLOOKUP(BR$72,INDIRECT($C$5&amp;"生成成长"),5))*(VLOOKUP($B$5,标准坦克设计!$B$24:$U$30,MATCH("对"&amp;LEFT($C$5,2)&amp;"输出",标准坦克设计!$B$23:$U$23,0)))*(VLOOKUP($B170,INDIRECT($B$5&amp;"生成成长"),3))*(VLOOKUP($B$5,标准坦克设计!$B$14:$K$20,9)/30))</f>
        <v>4.7630517523678355</v>
      </c>
      <c r="BS170" s="172">
        <f ca="1">(VLOOKUP(BS$72,INDIRECT($C$5&amp;"生成成长"),2))/((VLOOKUP($B170,INDIRECT($B$5&amp;"生成成长"),4))/(VLOOKUP(BS$72,INDIRECT($C$5&amp;"生成成长"),5))*(VLOOKUP($B$5,标准坦克设计!$B$24:$U$30,MATCH("对"&amp;LEFT($C$5,2)&amp;"输出",标准坦克设计!$B$23:$U$23,0)))*(VLOOKUP($B170,INDIRECT($B$5&amp;"生成成长"),3))*(VLOOKUP($B$5,标准坦克设计!$B$14:$K$20,9)/30))</f>
        <v>5.1734769064823887</v>
      </c>
      <c r="BT170" s="172">
        <f ca="1">(VLOOKUP(BT$72,INDIRECT($C$5&amp;"生成成长"),2))/((VLOOKUP($B170,INDIRECT($B$5&amp;"生成成长"),4))/(VLOOKUP(BT$72,INDIRECT($C$5&amp;"生成成长"),5))*(VLOOKUP($B$5,标准坦克设计!$B$24:$U$30,MATCH("对"&amp;LEFT($C$5,2)&amp;"输出",标准坦克设计!$B$23:$U$23,0)))*(VLOOKUP($B170,INDIRECT($B$5&amp;"生成成长"),3))*(VLOOKUP($B$5,标准坦克设计!$B$14:$K$20,9)/30))</f>
        <v>5.6008617777091132</v>
      </c>
      <c r="BU170" s="172">
        <f ca="1">(VLOOKUP(BU$72,INDIRECT($C$5&amp;"生成成长"),2))/((VLOOKUP($B170,INDIRECT($B$5&amp;"生成成长"),4))/(VLOOKUP(BU$72,INDIRECT($C$5&amp;"生成成长"),5))*(VLOOKUP($B$5,标准坦克设计!$B$24:$U$30,MATCH("对"&amp;LEFT($C$5,2)&amp;"输出",标准坦克设计!$B$23:$U$23,0)))*(VLOOKUP($B170,INDIRECT($B$5&amp;"生成成长"),3))*(VLOOKUP($B$5,标准坦克设计!$B$14:$K$20,9)/30))</f>
        <v>6.0452063660480091</v>
      </c>
      <c r="BV170" s="172">
        <f ca="1">(VLOOKUP(BV$72,INDIRECT($C$5&amp;"生成成长"),2))/((VLOOKUP($B170,INDIRECT($B$5&amp;"生成成长"),4))/(VLOOKUP(BV$72,INDIRECT($C$5&amp;"生成成长"),5))*(VLOOKUP($B$5,标准坦克设计!$B$24:$U$30,MATCH("对"&amp;LEFT($C$5,2)&amp;"输出",标准坦克设计!$B$23:$U$23,0)))*(VLOOKUP($B170,INDIRECT($B$5&amp;"生成成长"),3))*(VLOOKUP($B$5,标准坦克设计!$B$14:$K$20,9)/30))</f>
        <v>6.5065106714990772</v>
      </c>
      <c r="BW170" s="172">
        <f ca="1">(VLOOKUP(BW$72,INDIRECT($C$5&amp;"生成成长"),2))/((VLOOKUP($B170,INDIRECT($B$5&amp;"生成成长"),4))/(VLOOKUP(BW$72,INDIRECT($C$5&amp;"生成成长"),5))*(VLOOKUP($B$5,标准坦克设计!$B$24:$U$30,MATCH("对"&amp;LEFT($C$5,2)&amp;"输出",标准坦克设计!$B$23:$U$23,0)))*(VLOOKUP($B170,INDIRECT($B$5&amp;"生成成长"),3))*(VLOOKUP($B$5,标准坦克设计!$B$14:$K$20,9)/30))</f>
        <v>2.9653217384776456</v>
      </c>
      <c r="BX170" s="172">
        <f ca="1">(VLOOKUP(BX$72,INDIRECT($C$5&amp;"生成成长"),2))/((VLOOKUP($B170,INDIRECT($B$5&amp;"生成成长"),4))/(VLOOKUP(BX$72,INDIRECT($C$5&amp;"生成成长"),5))*(VLOOKUP($B$5,标准坦克设计!$B$24:$U$30,MATCH("对"&amp;LEFT($C$5,2)&amp;"输出",标准坦克设计!$B$23:$U$23,0)))*(VLOOKUP($B170,INDIRECT($B$5&amp;"生成成长"),3))*(VLOOKUP($B$5,标准坦克设计!$B$14:$K$20,9)/30))</f>
        <v>3.2909483070313401</v>
      </c>
      <c r="BY170" s="172">
        <f ca="1">(VLOOKUP(BY$72,INDIRECT($C$5&amp;"生成成长"),2))/((VLOOKUP($B170,INDIRECT($B$5&amp;"生成成长"),4))/(VLOOKUP(BY$72,INDIRECT($C$5&amp;"生成成长"),5))*(VLOOKUP($B$5,标准坦克设计!$B$24:$U$30,MATCH("对"&amp;LEFT($C$5,2)&amp;"输出",标准坦克设计!$B$23:$U$23,0)))*(VLOOKUP($B170,INDIRECT($B$5&amp;"生成成长"),3))*(VLOOKUP($B$5,标准坦克设计!$B$14:$K$20,9)/30))</f>
        <v>3.6335345926972065</v>
      </c>
      <c r="BZ170" s="172">
        <f ca="1">(VLOOKUP(BZ$72,INDIRECT($C$5&amp;"生成成长"),2))/((VLOOKUP($B170,INDIRECT($B$5&amp;"生成成长"),4))/(VLOOKUP(BZ$72,INDIRECT($C$5&amp;"生成成长"),5))*(VLOOKUP($B$5,标准坦克设计!$B$24:$U$30,MATCH("对"&amp;LEFT($C$5,2)&amp;"输出",标准坦克设计!$B$23:$U$23,0)))*(VLOOKUP($B170,INDIRECT($B$5&amp;"生成成长"),3))*(VLOOKUP($B$5,标准坦克设计!$B$14:$K$20,9)/30))</f>
        <v>3.9930805954752446</v>
      </c>
      <c r="CA170" s="172">
        <f ca="1">(VLOOKUP(CA$72,INDIRECT($C$5&amp;"生成成长"),2))/((VLOOKUP($B170,INDIRECT($B$5&amp;"生成成长"),4))/(VLOOKUP(CA$72,INDIRECT($C$5&amp;"生成成长"),5))*(VLOOKUP($B$5,标准坦克设计!$B$24:$U$30,MATCH("对"&amp;LEFT($C$5,2)&amp;"输出",标准坦克设计!$B$23:$U$23,0)))*(VLOOKUP($B170,INDIRECT($B$5&amp;"生成成长"),3))*(VLOOKUP($B$5,标准坦克设计!$B$14:$K$20,9)/30))</f>
        <v>4.3695863153654546</v>
      </c>
      <c r="CB170" s="172">
        <f ca="1">(VLOOKUP(CB$72,INDIRECT($C$5&amp;"生成成长"),2))/((VLOOKUP($B170,INDIRECT($B$5&amp;"生成成长"),4))/(VLOOKUP(CB$72,INDIRECT($C$5&amp;"生成成长"),5))*(VLOOKUP($B$5,标准坦克设计!$B$24:$U$30,MATCH("对"&amp;LEFT($C$5,2)&amp;"输出",标准坦克设计!$B$23:$U$23,0)))*(VLOOKUP($B170,INDIRECT($B$5&amp;"生成成长"),3))*(VLOOKUP($B$5,标准坦克设计!$B$14:$K$20,9)/30))</f>
        <v>4.7630517523678355</v>
      </c>
      <c r="CC170" s="172">
        <f ca="1">(VLOOKUP(CC$72,INDIRECT($C$5&amp;"生成成长"),2))/((VLOOKUP($B170,INDIRECT($B$5&amp;"生成成长"),4))/(VLOOKUP(CC$72,INDIRECT($C$5&amp;"生成成长"),5))*(VLOOKUP($B$5,标准坦克设计!$B$24:$U$30,MATCH("对"&amp;LEFT($C$5,2)&amp;"输出",标准坦克设计!$B$23:$U$23,0)))*(VLOOKUP($B170,INDIRECT($B$5&amp;"生成成长"),3))*(VLOOKUP($B$5,标准坦克设计!$B$14:$K$20,9)/30))</f>
        <v>5.1734769064823887</v>
      </c>
      <c r="CD170" s="172">
        <f ca="1">(VLOOKUP(CD$72,INDIRECT($C$5&amp;"生成成长"),2))/((VLOOKUP($B170,INDIRECT($B$5&amp;"生成成长"),4))/(VLOOKUP(CD$72,INDIRECT($C$5&amp;"生成成长"),5))*(VLOOKUP($B$5,标准坦克设计!$B$24:$U$30,MATCH("对"&amp;LEFT($C$5,2)&amp;"输出",标准坦克设计!$B$23:$U$23,0)))*(VLOOKUP($B170,INDIRECT($B$5&amp;"生成成长"),3))*(VLOOKUP($B$5,标准坦克设计!$B$14:$K$20,9)/30))</f>
        <v>5.6008617777091132</v>
      </c>
      <c r="CE170" s="172">
        <f ca="1">(VLOOKUP(CE$72,INDIRECT($C$5&amp;"生成成长"),2))/((VLOOKUP($B170,INDIRECT($B$5&amp;"生成成长"),4))/(VLOOKUP(CE$72,INDIRECT($C$5&amp;"生成成长"),5))*(VLOOKUP($B$5,标准坦克设计!$B$24:$U$30,MATCH("对"&amp;LEFT($C$5,2)&amp;"输出",标准坦克设计!$B$23:$U$23,0)))*(VLOOKUP($B170,INDIRECT($B$5&amp;"生成成长"),3))*(VLOOKUP($B$5,标准坦克设计!$B$14:$K$20,9)/30))</f>
        <v>6.0452063660480091</v>
      </c>
      <c r="CF170" s="172">
        <f ca="1">(VLOOKUP(CF$72,INDIRECT($C$5&amp;"生成成长"),2))/((VLOOKUP($B170,INDIRECT($B$5&amp;"生成成长"),4))/(VLOOKUP(CF$72,INDIRECT($C$5&amp;"生成成长"),5))*(VLOOKUP($B$5,标准坦克设计!$B$24:$U$30,MATCH("对"&amp;LEFT($C$5,2)&amp;"输出",标准坦克设计!$B$23:$U$23,0)))*(VLOOKUP($B170,INDIRECT($B$5&amp;"生成成长"),3))*(VLOOKUP($B$5,标准坦克设计!$B$14:$K$20,9)/30))</f>
        <v>6.5065106714990772</v>
      </c>
      <c r="CG170" s="172">
        <f ca="1">(VLOOKUP(CG$72,INDIRECT($C$5&amp;"生成成长"),2))/((VLOOKUP($B170,INDIRECT($B$5&amp;"生成成长"),4))/(VLOOKUP(CG$72,INDIRECT($C$5&amp;"生成成长"),5))*(VLOOKUP($B$5,标准坦克设计!$B$24:$U$30,MATCH("对"&amp;LEFT($C$5,2)&amp;"输出",标准坦克设计!$B$23:$U$23,0)))*(VLOOKUP($B170,INDIRECT($B$5&amp;"生成成长"),3))*(VLOOKUP($B$5,标准坦克设计!$B$14:$K$20,9)/30))</f>
        <v>6.9847746940623177</v>
      </c>
      <c r="CH170" s="172">
        <f ca="1">(VLOOKUP(CH$72,INDIRECT($C$5&amp;"生成成长"),2))/((VLOOKUP($B170,INDIRECT($B$5&amp;"生成成长"),4))/(VLOOKUP(CH$72,INDIRECT($C$5&amp;"生成成长"),5))*(VLOOKUP($B$5,标准坦克设计!$B$24:$U$30,MATCH("对"&amp;LEFT($C$5,2)&amp;"输出",标准坦克设计!$B$23:$U$23,0)))*(VLOOKUP($B170,INDIRECT($B$5&amp;"生成成长"),3))*(VLOOKUP($B$5,标准坦克设计!$B$14:$K$20,9)/30))</f>
        <v>7.4799984337377277</v>
      </c>
      <c r="CI170" s="172">
        <f ca="1">(VLOOKUP(CI$72,INDIRECT($C$5&amp;"生成成长"),2))/((VLOOKUP($B170,INDIRECT($B$5&amp;"生成成长"),4))/(VLOOKUP(CI$72,INDIRECT($C$5&amp;"生成成长"),5))*(VLOOKUP($B$5,标准坦克设计!$B$24:$U$30,MATCH("对"&amp;LEFT($C$5,2)&amp;"输出",标准坦克设计!$B$23:$U$23,0)))*(VLOOKUP($B170,INDIRECT($B$5&amp;"生成成长"),3))*(VLOOKUP($B$5,标准坦克设计!$B$14:$K$20,9)/30))</f>
        <v>8.0443330206452401</v>
      </c>
      <c r="CJ170" s="172">
        <f ca="1">(VLOOKUP(CJ$72,INDIRECT($C$5&amp;"生成成长"),2))/((VLOOKUP($B170,INDIRECT($B$5&amp;"生成成长"),4))/(VLOOKUP(CJ$72,INDIRECT($C$5&amp;"生成成长"),5))*(VLOOKUP($B$5,标准坦克设计!$B$24:$U$30,MATCH("对"&amp;LEFT($C$5,2)&amp;"输出",标准坦克设计!$B$23:$U$23,0)))*(VLOOKUP($B170,INDIRECT($B$5&amp;"生成成长"),3))*(VLOOKUP($B$5,标准坦克设计!$B$14:$K$20,9)/30))</f>
        <v>8.6291888652584774</v>
      </c>
      <c r="CK170" s="172">
        <f ca="1">(VLOOKUP(CK$72,INDIRECT($C$5&amp;"生成成长"),2))/((VLOOKUP($B170,INDIRECT($B$5&amp;"生成成长"),4))/(VLOOKUP(CK$72,INDIRECT($C$5&amp;"生成成长"),5))*(VLOOKUP($B$5,标准坦克设计!$B$24:$U$30,MATCH("对"&amp;LEFT($C$5,2)&amp;"输出",标准坦克设计!$B$23:$U$23,0)))*(VLOOKUP($B170,INDIRECT($B$5&amp;"生成成长"),3))*(VLOOKUP($B$5,标准坦克设计!$B$14:$K$20,9)/30))</f>
        <v>9.2345659675774403</v>
      </c>
      <c r="CL170" s="172">
        <f ca="1">(VLOOKUP(CL$72,INDIRECT($C$5&amp;"生成成长"),2))/((VLOOKUP($B170,INDIRECT($B$5&amp;"生成成长"),4))/(VLOOKUP(CL$72,INDIRECT($C$5&amp;"生成成长"),5))*(VLOOKUP($B$5,标准坦克设计!$B$24:$U$30,MATCH("对"&amp;LEFT($C$5,2)&amp;"输出",标准坦克设计!$B$23:$U$23,0)))*(VLOOKUP($B170,INDIRECT($B$5&amp;"生成成长"),3))*(VLOOKUP($B$5,标准坦克设计!$B$14:$K$20,9)/30))</f>
        <v>9.8604643276021324</v>
      </c>
      <c r="CM170" s="172">
        <f ca="1">(VLOOKUP(CM$72,INDIRECT($C$5&amp;"生成成长"),2))/((VLOOKUP($B170,INDIRECT($B$5&amp;"生成成长"),4))/(VLOOKUP(CM$72,INDIRECT($C$5&amp;"生成成长"),5))*(VLOOKUP($B$5,标准坦克设计!$B$24:$U$30,MATCH("对"&amp;LEFT($C$5,2)&amp;"输出",标准坦克设计!$B$23:$U$23,0)))*(VLOOKUP($B170,INDIRECT($B$5&amp;"生成成长"),3))*(VLOOKUP($B$5,标准坦克设计!$B$14:$K$20,9)/30))</f>
        <v>10.506883945332556</v>
      </c>
      <c r="CN170" s="172">
        <f ca="1">(VLOOKUP(CN$72,INDIRECT($C$5&amp;"生成成长"),2))/((VLOOKUP($B170,INDIRECT($B$5&amp;"生成成长"),4))/(VLOOKUP(CN$72,INDIRECT($C$5&amp;"生成成长"),5))*(VLOOKUP($B$5,标准坦克设计!$B$24:$U$30,MATCH("对"&amp;LEFT($C$5,2)&amp;"输出",标准坦克设计!$B$23:$U$23,0)))*(VLOOKUP($B170,INDIRECT($B$5&amp;"生成成长"),3))*(VLOOKUP($B$5,标准坦克设计!$B$14:$K$20,9)/30))</f>
        <v>11.173824820768703</v>
      </c>
      <c r="CO170" s="172">
        <f ca="1">(VLOOKUP(CO$72,INDIRECT($C$5&amp;"生成成长"),2))/((VLOOKUP($B170,INDIRECT($B$5&amp;"生成成长"),4))/(VLOOKUP(CO$72,INDIRECT($C$5&amp;"生成成长"),5))*(VLOOKUP($B$5,标准坦克设计!$B$24:$U$30,MATCH("对"&amp;LEFT($C$5,2)&amp;"输出",标准坦克设计!$B$23:$U$23,0)))*(VLOOKUP($B170,INDIRECT($B$5&amp;"生成成长"),3))*(VLOOKUP($B$5,标准坦克设计!$B$14:$K$20,9)/30))</f>
        <v>5.0072716787831073</v>
      </c>
      <c r="CP170" s="172">
        <f ca="1">(VLOOKUP(CP$72,INDIRECT($C$5&amp;"生成成长"),2))/((VLOOKUP($B170,INDIRECT($B$5&amp;"生成成长"),4))/(VLOOKUP(CP$72,INDIRECT($C$5&amp;"生成成长"),5))*(VLOOKUP($B$5,标准坦克设计!$B$24:$U$30,MATCH("对"&amp;LEFT($C$5,2)&amp;"输出",标准坦克设计!$B$23:$U$23,0)))*(VLOOKUP($B170,INDIRECT($B$5&amp;"生成成长"),3))*(VLOOKUP($B$5,标准坦克设计!$B$14:$K$20,9)/30))</f>
        <v>5.4708655460443181</v>
      </c>
      <c r="CQ170" s="172">
        <f ca="1">(VLOOKUP(CQ$72,INDIRECT($C$5&amp;"生成成长"),2))/((VLOOKUP($B170,INDIRECT($B$5&amp;"生成成长"),4))/(VLOOKUP(CQ$72,INDIRECT($C$5&amp;"生成成长"),5))*(VLOOKUP($B$5,标准坦克设计!$B$24:$U$30,MATCH("对"&amp;LEFT($C$5,2)&amp;"输出",标准坦克设计!$B$23:$U$23,0)))*(VLOOKUP($B170,INDIRECT($B$5&amp;"生成成长"),3))*(VLOOKUP($B$5,标准坦克设计!$B$14:$K$20,9)/30))</f>
        <v>5.9549806710112563</v>
      </c>
      <c r="CR170" s="172">
        <f ca="1">(VLOOKUP(CR$72,INDIRECT($C$5&amp;"生成成长"),2))/((VLOOKUP($B170,INDIRECT($B$5&amp;"生成成长"),4))/(VLOOKUP(CR$72,INDIRECT($C$5&amp;"生成成长"),5))*(VLOOKUP($B$5,标准坦克设计!$B$24:$U$30,MATCH("对"&amp;LEFT($C$5,2)&amp;"输出",标准坦克设计!$B$23:$U$23,0)))*(VLOOKUP($B170,INDIRECT($B$5&amp;"生成成长"),3))*(VLOOKUP($B$5,标准坦克设计!$B$14:$K$20,9)/30))</f>
        <v>6.4596170536839237</v>
      </c>
      <c r="CS170" s="172">
        <f ca="1">(VLOOKUP(CS$72,INDIRECT($C$5&amp;"生成成长"),2))/((VLOOKUP($B170,INDIRECT($B$5&amp;"生成成长"),4))/(VLOOKUP(CS$72,INDIRECT($C$5&amp;"生成成长"),5))*(VLOOKUP($B$5,标准坦克设计!$B$24:$U$30,MATCH("对"&amp;LEFT($C$5,2)&amp;"输出",标准坦克设计!$B$23:$U$23,0)))*(VLOOKUP($B170,INDIRECT($B$5&amp;"生成成长"),3))*(VLOOKUP($B$5,标准坦克设计!$B$14:$K$20,9)/30))</f>
        <v>6.9847746940623177</v>
      </c>
      <c r="CT170" s="172">
        <f ca="1">(VLOOKUP(CT$72,INDIRECT($C$5&amp;"生成成长"),2))/((VLOOKUP($B170,INDIRECT($B$5&amp;"生成成长"),4))/(VLOOKUP(CT$72,INDIRECT($C$5&amp;"生成成长"),5))*(VLOOKUP($B$5,标准坦克设计!$B$24:$U$30,MATCH("对"&amp;LEFT($C$5,2)&amp;"输出",标准坦克设计!$B$23:$U$23,0)))*(VLOOKUP($B170,INDIRECT($B$5&amp;"生成成长"),3))*(VLOOKUP($B$5,标准坦克设计!$B$14:$K$20,9)/30))</f>
        <v>7.5304535921464382</v>
      </c>
      <c r="CU170" s="172">
        <f ca="1">(VLOOKUP(CU$72,INDIRECT($C$5&amp;"生成成长"),2))/((VLOOKUP($B170,INDIRECT($B$5&amp;"生成成长"),4))/(VLOOKUP(CU$72,INDIRECT($C$5&amp;"生成成长"),5))*(VLOOKUP($B$5,标准坦克设计!$B$24:$U$30,MATCH("对"&amp;LEFT($C$5,2)&amp;"输出",标准坦克设计!$B$23:$U$23,0)))*(VLOOKUP($B170,INDIRECT($B$5&amp;"生成成长"),3))*(VLOOKUP($B$5,标准坦克设计!$B$14:$K$20,9)/30))</f>
        <v>8.0966537479362888</v>
      </c>
      <c r="CV170" s="172">
        <f ca="1">(VLOOKUP(CV$72,INDIRECT($C$5&amp;"生成成长"),2))/((VLOOKUP($B170,INDIRECT($B$5&amp;"生成成长"),4))/(VLOOKUP(CV$72,INDIRECT($C$5&amp;"生成成长"),5))*(VLOOKUP($B$5,标准坦克设计!$B$24:$U$30,MATCH("对"&amp;LEFT($C$5,2)&amp;"输出",标准坦克设计!$B$23:$U$23,0)))*(VLOOKUP($B170,INDIRECT($B$5&amp;"生成成长"),3))*(VLOOKUP($B$5,标准坦克设计!$B$14:$K$20,9)/30))</f>
        <v>8.6833751614318651</v>
      </c>
      <c r="CW170" s="172">
        <f ca="1">(VLOOKUP(CW$72,INDIRECT($C$5&amp;"生成成长"),2))/((VLOOKUP($B170,INDIRECT($B$5&amp;"生成成长"),4))/(VLOOKUP(CW$72,INDIRECT($C$5&amp;"生成成长"),5))*(VLOOKUP($B$5,标准坦克设计!$B$24:$U$30,MATCH("对"&amp;LEFT($C$5,2)&amp;"输出",标准坦克设计!$B$23:$U$23,0)))*(VLOOKUP($B170,INDIRECT($B$5&amp;"生成成长"),3))*(VLOOKUP($B$5,标准坦克设计!$B$14:$K$20,9)/30))</f>
        <v>9.2906178326331688</v>
      </c>
      <c r="CX170" s="172">
        <f ca="1">(VLOOKUP(CX$72,INDIRECT($C$5&amp;"生成成长"),2))/((VLOOKUP($B170,INDIRECT($B$5&amp;"生成成长"),4))/(VLOOKUP(CX$72,INDIRECT($C$5&amp;"生成成长"),5))*(VLOOKUP($B$5,标准坦克设计!$B$24:$U$30,MATCH("对"&amp;LEFT($C$5,2)&amp;"输出",标准坦克设计!$B$23:$U$23,0)))*(VLOOKUP($B170,INDIRECT($B$5&amp;"生成成长"),3))*(VLOOKUP($B$5,标准坦克设计!$B$14:$K$20,9)/30))</f>
        <v>9.9183817615402017</v>
      </c>
      <c r="CY170" s="172">
        <f ca="1">(VLOOKUP(CY$72,INDIRECT($C$5&amp;"生成成长"),2))/((VLOOKUP($B170,INDIRECT($B$5&amp;"生成成长"),4))/(VLOOKUP(CY$72,INDIRECT($C$5&amp;"生成成长"),5))*(VLOOKUP($B$5,标准坦克设计!$B$24:$U$30,MATCH("对"&amp;LEFT($C$5,2)&amp;"输出",标准坦克设计!$B$23:$U$23,0)))*(VLOOKUP($B170,INDIRECT($B$5&amp;"生成成长"),3))*(VLOOKUP($B$5,标准坦克设计!$B$14:$K$20,9)/30))</f>
        <v>10.56666694815296</v>
      </c>
      <c r="CZ170" s="172">
        <f ca="1">(VLOOKUP(CZ$72,INDIRECT($C$5&amp;"生成成长"),2))/((VLOOKUP($B170,INDIRECT($B$5&amp;"生成成长"),4))/(VLOOKUP(CZ$72,INDIRECT($C$5&amp;"生成成长"),5))*(VLOOKUP($B$5,标准坦克设计!$B$24:$U$30,MATCH("对"&amp;LEFT($C$5,2)&amp;"输出",标准坦克设计!$B$23:$U$23,0)))*(VLOOKUP($B170,INDIRECT($B$5&amp;"生成成长"),3))*(VLOOKUP($B$5,标准坦克设计!$B$14:$K$20,9)/30))</f>
        <v>11.235473392471448</v>
      </c>
      <c r="DA170" s="172">
        <f ca="1">(VLOOKUP(DA$72,INDIRECT($C$5&amp;"生成成长"),2))/((VLOOKUP($B170,INDIRECT($B$5&amp;"生成成长"),4))/(VLOOKUP(DA$72,INDIRECT($C$5&amp;"生成成长"),5))*(VLOOKUP($B$5,标准坦克设计!$B$24:$U$30,MATCH("对"&amp;LEFT($C$5,2)&amp;"输出",标准坦克设计!$B$23:$U$23,0)))*(VLOOKUP($B170,INDIRECT($B$5&amp;"生成成长"),3))*(VLOOKUP($B$5,标准坦克设计!$B$14:$K$20,9)/30))</f>
        <v>11.924801094495663</v>
      </c>
      <c r="DB170" s="172">
        <f ca="1">(VLOOKUP(DB$72,INDIRECT($C$5&amp;"生成成长"),2))/((VLOOKUP($B170,INDIRECT($B$5&amp;"生成成长"),4))/(VLOOKUP(DB$72,INDIRECT($C$5&amp;"生成成长"),5))*(VLOOKUP($B$5,标准坦克设计!$B$24:$U$30,MATCH("对"&amp;LEFT($C$5,2)&amp;"输出",标准坦克设计!$B$23:$U$23,0)))*(VLOOKUP($B170,INDIRECT($B$5&amp;"生成成长"),3))*(VLOOKUP($B$5,标准坦克设计!$B$14:$K$20,9)/30))</f>
        <v>12.634650054225608</v>
      </c>
      <c r="DC170" s="172">
        <f ca="1">(VLOOKUP(DC$72,INDIRECT($C$5&amp;"生成成长"),2))/((VLOOKUP($B170,INDIRECT($B$5&amp;"生成成长"),4))/(VLOOKUP(DC$72,INDIRECT($C$5&amp;"生成成长"),5))*(VLOOKUP($B$5,标准坦克设计!$B$24:$U$30,MATCH("对"&amp;LEFT($C$5,2)&amp;"输出",标准坦克设计!$B$23:$U$23,0)))*(VLOOKUP($B170,INDIRECT($B$5&amp;"生成成长"),3))*(VLOOKUP($B$5,标准坦克设计!$B$14:$K$20,9)/30))</f>
        <v>13.432435147182158</v>
      </c>
      <c r="DD170" s="172">
        <f ca="1">(VLOOKUP(DD$72,INDIRECT($C$5&amp;"生成成长"),2))/((VLOOKUP($B170,INDIRECT($B$5&amp;"生成成长"),4))/(VLOOKUP(DD$72,INDIRECT($C$5&amp;"生成成长"),5))*(VLOOKUP($B$5,标准坦克设计!$B$24:$U$30,MATCH("对"&amp;LEFT($C$5,2)&amp;"输出",标准坦克设计!$B$23:$U$23,0)))*(VLOOKUP($B170,INDIRECT($B$5&amp;"生成成长"),3))*(VLOOKUP($B$5,标准坦克设计!$B$14:$K$20,9)/30))</f>
        <v>14.254642232780236</v>
      </c>
      <c r="DE170" s="172">
        <f ca="1">(VLOOKUP(DE$72,INDIRECT($C$5&amp;"生成成长"),2))/((VLOOKUP($B170,INDIRECT($B$5&amp;"生成成长"),4))/(VLOOKUP(DE$72,INDIRECT($C$5&amp;"生成成长"),5))*(VLOOKUP($B$5,标准坦克设计!$B$24:$U$30,MATCH("对"&amp;LEFT($C$5,2)&amp;"输出",标准坦克设计!$B$23:$U$23,0)))*(VLOOKUP($B170,INDIRECT($B$5&amp;"生成成长"),3))*(VLOOKUP($B$5,标准坦克设计!$B$14:$K$20,9)/30))</f>
        <v>15.101271311019847</v>
      </c>
      <c r="DF170" s="172">
        <f ca="1">(VLOOKUP(DF$72,INDIRECT($C$5&amp;"生成成长"),2))/((VLOOKUP($B170,INDIRECT($B$5&amp;"生成成长"),4))/(VLOOKUP(DF$72,INDIRECT($C$5&amp;"生成成长"),5))*(VLOOKUP($B$5,标准坦克设计!$B$24:$U$30,MATCH("对"&amp;LEFT($C$5,2)&amp;"输出",标准坦克设计!$B$23:$U$23,0)))*(VLOOKUP($B170,INDIRECT($B$5&amp;"生成成长"),3))*(VLOOKUP($B$5,标准坦克设计!$B$14:$K$20,9)/30))</f>
        <v>15.972322381900979</v>
      </c>
      <c r="DG170" s="172">
        <f ca="1">(VLOOKUP(DG$72,INDIRECT($C$5&amp;"生成成长"),2))/((VLOOKUP($B170,INDIRECT($B$5&amp;"生成成长"),4))/(VLOOKUP(DG$72,INDIRECT($C$5&amp;"生成成长"),5))*(VLOOKUP($B$5,标准坦克设计!$B$24:$U$30,MATCH("对"&amp;LEFT($C$5,2)&amp;"输出",标准坦克设计!$B$23:$U$23,0)))*(VLOOKUP($B170,INDIRECT($B$5&amp;"生成成长"),3))*(VLOOKUP($B$5,标准坦克设计!$B$14:$K$20,9)/30))</f>
        <v>16.867795445423642</v>
      </c>
      <c r="DH170" s="172">
        <f ca="1">(VLOOKUP(DH$72,INDIRECT($C$5&amp;"生成成长"),2))/((VLOOKUP($B170,INDIRECT($B$5&amp;"生成成长"),4))/(VLOOKUP(DH$72,INDIRECT($C$5&amp;"生成成长"),5))*(VLOOKUP($B$5,标准坦克设计!$B$24:$U$30,MATCH("对"&amp;LEFT($C$5,2)&amp;"输出",标准坦克设计!$B$23:$U$23,0)))*(VLOOKUP($B170,INDIRECT($B$5&amp;"生成成长"),3))*(VLOOKUP($B$5,标准坦克设计!$B$14:$K$20,9)/30))</f>
        <v>17.787690501587829</v>
      </c>
      <c r="DI170" s="172">
        <f ca="1">(VLOOKUP(DI$72,INDIRECT($C$5&amp;"生成成长"),2))/((VLOOKUP($B170,INDIRECT($B$5&amp;"生成成长"),4))/(VLOOKUP(DI$72,INDIRECT($C$5&amp;"生成成长"),5))*(VLOOKUP($B$5,标准坦克设计!$B$24:$U$30,MATCH("对"&amp;LEFT($C$5,2)&amp;"输出",标准坦克设计!$B$23:$U$23,0)))*(VLOOKUP($B170,INDIRECT($B$5&amp;"生成成长"),3))*(VLOOKUP($B$5,标准坦克设计!$B$14:$K$20,9)/30))</f>
        <v>18.732007550393543</v>
      </c>
      <c r="DJ170" s="172">
        <f ca="1">(VLOOKUP(DJ$72,INDIRECT($C$5&amp;"生成成长"),2))/((VLOOKUP($B170,INDIRECT($B$5&amp;"生成成长"),4))/(VLOOKUP(DJ$72,INDIRECT($C$5&amp;"生成成长"),5))*(VLOOKUP($B$5,标准坦克设计!$B$24:$U$30,MATCH("对"&amp;LEFT($C$5,2)&amp;"输出",标准坦克设计!$B$23:$U$23,0)))*(VLOOKUP($B170,INDIRECT($B$5&amp;"生成成长"),3))*(VLOOKUP($B$5,标准坦克设计!$B$14:$K$20,9)/30))</f>
        <v>1.8826133980366095</v>
      </c>
      <c r="DK170" s="172">
        <f ca="1">(VLOOKUP(DK$72,INDIRECT($C$5&amp;"生成成长"),2))/((VLOOKUP($B170,INDIRECT($B$5&amp;"生成成长"),4))/(VLOOKUP(DK$72,INDIRECT($C$5&amp;"生成成长"),5))*(VLOOKUP($B$5,标准坦克设计!$B$24:$U$30,MATCH("对"&amp;LEFT($C$5,2)&amp;"输出",标准坦克设计!$B$23:$U$23,0)))*(VLOOKUP($B170,INDIRECT($B$5&amp;"生成成长"),3))*(VLOOKUP($B$5,标准坦克设计!$B$14:$K$20,9)/30))</f>
        <v>2.1169118899412607</v>
      </c>
      <c r="DL170" s="172">
        <f ca="1">(VLOOKUP(DL$72,INDIRECT($C$5&amp;"生成成长"),2))/((VLOOKUP($B170,INDIRECT($B$5&amp;"生成成长"),4))/(VLOOKUP(DL$72,INDIRECT($C$5&amp;"生成成长"),5))*(VLOOKUP($B$5,标准坦克设计!$B$24:$U$30,MATCH("对"&amp;LEFT($C$5,2)&amp;"输出",标准坦克设计!$B$23:$U$23,0)))*(VLOOKUP($B170,INDIRECT($B$5&amp;"生成成长"),3))*(VLOOKUP($B$5,标准坦克设计!$B$14:$K$20,9)/30))</f>
        <v>2.3649477527067702</v>
      </c>
      <c r="DM170" s="172">
        <f ca="1">(VLOOKUP(DM$72,INDIRECT($C$5&amp;"生成成长"),2))/((VLOOKUP($B170,INDIRECT($B$5&amp;"生成成长"),4))/(VLOOKUP(DM$72,INDIRECT($C$5&amp;"生成成长"),5))*(VLOOKUP($B$5,标准坦克设计!$B$24:$U$30,MATCH("对"&amp;LEFT($C$5,2)&amp;"输出",标准坦克设计!$B$23:$U$23,0)))*(VLOOKUP($B170,INDIRECT($B$5&amp;"生成成长"),3))*(VLOOKUP($B$5,标准坦克设计!$B$14:$K$20,9)/30))</f>
        <v>2.6267209863331389</v>
      </c>
      <c r="DN170" s="172">
        <f ca="1">(VLOOKUP(DN$72,INDIRECT($C$5&amp;"生成成长"),2))/((VLOOKUP($B170,INDIRECT($B$5&amp;"生成成长"),4))/(VLOOKUP(DN$72,INDIRECT($C$5&amp;"生成成长"),5))*(VLOOKUP($B$5,标准坦克设计!$B$24:$U$30,MATCH("对"&amp;LEFT($C$5,2)&amp;"输出",标准坦克设计!$B$23:$U$23,0)))*(VLOOKUP($B170,INDIRECT($B$5&amp;"生成成长"),3))*(VLOOKUP($B$5,标准坦克设计!$B$14:$K$20,9)/30))</f>
        <v>2.9022315908203664</v>
      </c>
      <c r="DO170" s="172">
        <f ca="1">(VLOOKUP(DO$72,INDIRECT($C$5&amp;"生成成长"),2))/((VLOOKUP($B170,INDIRECT($B$5&amp;"生成成长"),4))/(VLOOKUP(DO$72,INDIRECT($C$5&amp;"生成成长"),5))*(VLOOKUP($B$5,标准坦克设计!$B$24:$U$30,MATCH("对"&amp;LEFT($C$5,2)&amp;"输出",标准坦克设计!$B$23:$U$23,0)))*(VLOOKUP($B170,INDIRECT($B$5&amp;"生成成长"),3))*(VLOOKUP($B$5,标准坦克设计!$B$14:$K$20,9)/30))</f>
        <v>3.1914795661684536</v>
      </c>
      <c r="DP170" s="172">
        <f ca="1">(VLOOKUP(DP$72,INDIRECT($C$5&amp;"生成成长"),2))/((VLOOKUP($B170,INDIRECT($B$5&amp;"生成成长"),4))/(VLOOKUP(DP$72,INDIRECT($C$5&amp;"生成成长"),5))*(VLOOKUP($B$5,标准坦克设计!$B$24:$U$30,MATCH("对"&amp;LEFT($C$5,2)&amp;"输出",标准坦克设计!$B$23:$U$23,0)))*(VLOOKUP($B170,INDIRECT($B$5&amp;"生成成长"),3))*(VLOOKUP($B$5,标准坦克设计!$B$14:$K$20,9)/30))</f>
        <v>3.4944649123773996</v>
      </c>
      <c r="DQ170" s="172">
        <f ca="1">(VLOOKUP(DQ$72,INDIRECT($C$5&amp;"生成成长"),2))/((VLOOKUP($B170,INDIRECT($B$5&amp;"生成成长"),4))/(VLOOKUP(DQ$72,INDIRECT($C$5&amp;"生成成长"),5))*(VLOOKUP($B$5,标准坦克设计!$B$24:$U$30,MATCH("对"&amp;LEFT($C$5,2)&amp;"输出",标准坦克设计!$B$23:$U$23,0)))*(VLOOKUP($B170,INDIRECT($B$5&amp;"生成成长"),3))*(VLOOKUP($B$5,标准坦克设计!$B$14:$K$20,9)/30))</f>
        <v>3.8111876294472045</v>
      </c>
      <c r="DR170" s="172">
        <f ca="1">(VLOOKUP(DR$72,INDIRECT($C$5&amp;"生成成长"),2))/((VLOOKUP($B170,INDIRECT($B$5&amp;"生成成长"),4))/(VLOOKUP(DR$72,INDIRECT($C$5&amp;"生成成长"),5))*(VLOOKUP($B$5,标准坦克设计!$B$24:$U$30,MATCH("对"&amp;LEFT($C$5,2)&amp;"输出",标准坦克设计!$B$23:$U$23,0)))*(VLOOKUP($B170,INDIRECT($B$5&amp;"生成成长"),3))*(VLOOKUP($B$5,标准坦克设计!$B$14:$K$20,9)/30))</f>
        <v>4.1416477173778681</v>
      </c>
      <c r="DS170" s="172">
        <f ca="1">(VLOOKUP(DS$72,INDIRECT($C$5&amp;"生成成长"),2))/((VLOOKUP($B170,INDIRECT($B$5&amp;"生成成长"),4))/(VLOOKUP(DS$72,INDIRECT($C$5&amp;"生成成长"),5))*(VLOOKUP($B$5,标准坦克设计!$B$24:$U$30,MATCH("对"&amp;LEFT($C$5,2)&amp;"输出",标准坦克设计!$B$23:$U$23,0)))*(VLOOKUP($B170,INDIRECT($B$5&amp;"生成成长"),3))*(VLOOKUP($B$5,标准坦克设计!$B$14:$K$20,9)/30))</f>
        <v>4.4858451761693914</v>
      </c>
      <c r="DT170" s="172">
        <f ca="1">(VLOOKUP(DT$72,INDIRECT($C$5&amp;"生成成长"),2))/((VLOOKUP($B170,INDIRECT($B$5&amp;"生成成长"),4))/(VLOOKUP(DT$72,INDIRECT($C$5&amp;"生成成长"),5))*(VLOOKUP($B$5,标准坦克设计!$B$24:$U$30,MATCH("对"&amp;LEFT($C$5,2)&amp;"输出",标准坦克设计!$B$23:$U$23,0)))*(VLOOKUP($B170,INDIRECT($B$5&amp;"生成成长"),3))*(VLOOKUP($B$5,标准坦克设计!$B$14:$K$20,9)/30))</f>
        <v>4.9251866479601967</v>
      </c>
      <c r="DU170" s="172">
        <f ca="1">(VLOOKUP(DU$72,INDIRECT($C$5&amp;"生成成长"),2))/((VLOOKUP($B170,INDIRECT($B$5&amp;"生成成长"),4))/(VLOOKUP(DU$72,INDIRECT($C$5&amp;"生成成长"),5))*(VLOOKUP($B$5,标准坦克设计!$B$24:$U$30,MATCH("对"&amp;LEFT($C$5,2)&amp;"输出",标准坦克设计!$B$23:$U$23,0)))*(VLOOKUP($B170,INDIRECT($B$5&amp;"生成成长"),3))*(VLOOKUP($B$5,标准坦克设计!$B$14:$K$20,9)/30))</f>
        <v>5.3850493774567303</v>
      </c>
      <c r="DV170" s="172">
        <f ca="1">(VLOOKUP(DV$72,INDIRECT($C$5&amp;"生成成长"),2))/((VLOOKUP($B170,INDIRECT($B$5&amp;"生成成长"),4))/(VLOOKUP(DV$72,INDIRECT($C$5&amp;"生成成长"),5))*(VLOOKUP($B$5,标准坦克设计!$B$24:$U$30,MATCH("对"&amp;LEFT($C$5,2)&amp;"输出",标准坦克设计!$B$23:$U$23,0)))*(VLOOKUP($B170,INDIRECT($B$5&amp;"生成成长"),3))*(VLOOKUP($B$5,标准坦克设计!$B$14:$K$20,9)/30))</f>
        <v>5.8654333646589905</v>
      </c>
      <c r="DW170" s="172">
        <f ca="1">(VLOOKUP(DW$72,INDIRECT($C$5&amp;"生成成长"),2))/((VLOOKUP($B170,INDIRECT($B$5&amp;"生成成长"),4))/(VLOOKUP(DW$72,INDIRECT($C$5&amp;"生成成长"),5))*(VLOOKUP($B$5,标准坦克设计!$B$24:$U$30,MATCH("对"&amp;LEFT($C$5,2)&amp;"输出",标准坦克设计!$B$23:$U$23,0)))*(VLOOKUP($B170,INDIRECT($B$5&amp;"生成成长"),3))*(VLOOKUP($B$5,标准坦克设计!$B$14:$K$20,9)/30))</f>
        <v>6.3663386095669789</v>
      </c>
      <c r="DX170" s="172">
        <f ca="1">(VLOOKUP(DX$72,INDIRECT($C$5&amp;"生成成长"),2))/((VLOOKUP($B170,INDIRECT($B$5&amp;"生成成长"),4))/(VLOOKUP(DX$72,INDIRECT($C$5&amp;"生成成长"),5))*(VLOOKUP($B$5,标准坦克设计!$B$24:$U$30,MATCH("对"&amp;LEFT($C$5,2)&amp;"输出",标准坦克设计!$B$23:$U$23,0)))*(VLOOKUP($B170,INDIRECT($B$5&amp;"生成成长"),3))*(VLOOKUP($B$5,标准坦克设计!$B$14:$K$20,9)/30))</f>
        <v>6.8877651121806949</v>
      </c>
      <c r="DY170" s="172">
        <f ca="1">(VLOOKUP(DY$72,INDIRECT($C$5&amp;"生成成长"),2))/((VLOOKUP($B170,INDIRECT($B$5&amp;"生成成长"),4))/(VLOOKUP(DY$72,INDIRECT($C$5&amp;"生成成长"),5))*(VLOOKUP($B$5,标准坦克设计!$B$24:$U$30,MATCH("对"&amp;LEFT($C$5,2)&amp;"输出",标准坦克设计!$B$23:$U$23,0)))*(VLOOKUP($B170,INDIRECT($B$5&amp;"生成成长"),3))*(VLOOKUP($B$5,标准坦克设计!$B$14:$K$20,9)/30))</f>
        <v>3.0935371998456627</v>
      </c>
      <c r="DZ170" s="172">
        <f ca="1">(VLOOKUP(DZ$72,INDIRECT($C$5&amp;"生成成长"),2))/((VLOOKUP($B170,INDIRECT($B$5&amp;"生成成长"),4))/(VLOOKUP(DZ$72,INDIRECT($C$5&amp;"生成成长"),5))*(VLOOKUP($B$5,标准坦克设计!$B$24:$U$30,MATCH("对"&amp;LEFT($C$5,2)&amp;"输出",标准坦克设计!$B$23:$U$23,0)))*(VLOOKUP($B170,INDIRECT($B$5&amp;"生成成长"),3))*(VLOOKUP($B$5,标准坦克设计!$B$14:$K$20,9)/30))</f>
        <v>3.4259476552442254</v>
      </c>
      <c r="EA170" s="172">
        <f ca="1">(VLOOKUP(EA$72,INDIRECT($C$5&amp;"生成成长"),2))/((VLOOKUP($B170,INDIRECT($B$5&amp;"生成成长"),4))/(VLOOKUP(EA$72,INDIRECT($C$5&amp;"生成成长"),5))*(VLOOKUP($B$5,标准坦克设计!$B$24:$U$30,MATCH("对"&amp;LEFT($C$5,2)&amp;"输出",标准坦克设计!$B$23:$U$23,0)))*(VLOOKUP($B170,INDIRECT($B$5&amp;"生成成长"),3))*(VLOOKUP($B$5,标准坦克设计!$B$14:$K$20,9)/30))</f>
        <v>3.7753178277549617</v>
      </c>
      <c r="EB170" s="172">
        <f ca="1">(VLOOKUP(EB$72,INDIRECT($C$5&amp;"生成成长"),2))/((VLOOKUP($B170,INDIRECT($B$5&amp;"生成成长"),4))/(VLOOKUP(EB$72,INDIRECT($C$5&amp;"生成成长"),5))*(VLOOKUP($B$5,标准坦克设计!$B$24:$U$30,MATCH("对"&amp;LEFT($C$5,2)&amp;"输出",标准坦克设计!$B$23:$U$23,0)))*(VLOOKUP($B170,INDIRECT($B$5&amp;"生成成长"),3))*(VLOOKUP($B$5,标准坦克设计!$B$14:$K$20,9)/30))</f>
        <v>4.1416477173778681</v>
      </c>
      <c r="EC170" s="172">
        <f ca="1">(VLOOKUP(EC$72,INDIRECT($C$5&amp;"生成成长"),2))/((VLOOKUP($B170,INDIRECT($B$5&amp;"生成成长"),4))/(VLOOKUP(EC$72,INDIRECT($C$5&amp;"生成成长"),5))*(VLOOKUP($B$5,标准坦克设计!$B$24:$U$30,MATCH("对"&amp;LEFT($C$5,2)&amp;"输出",标准坦克设计!$B$23:$U$23,0)))*(VLOOKUP($B170,INDIRECT($B$5&amp;"生成成长"),3))*(VLOOKUP($B$5,标准坦克设计!$B$14:$K$20,9)/30))</f>
        <v>4.5249373241129467</v>
      </c>
      <c r="ED170" s="172">
        <f ca="1">(VLOOKUP(ED$72,INDIRECT($C$5&amp;"生成成长"),2))/((VLOOKUP($B170,INDIRECT($B$5&amp;"生成成长"),4))/(VLOOKUP(ED$72,INDIRECT($C$5&amp;"生成成长"),5))*(VLOOKUP($B$5,标准坦克设计!$B$24:$U$30,MATCH("对"&amp;LEFT($C$5,2)&amp;"输出",标准坦克设计!$B$23:$U$23,0)))*(VLOOKUP($B170,INDIRECT($B$5&amp;"生成成长"),3))*(VLOOKUP($B$5,标准坦克设计!$B$14:$K$20,9)/30))</f>
        <v>4.9251866479601967</v>
      </c>
      <c r="EE170" s="172">
        <f ca="1">(VLOOKUP(EE$72,INDIRECT($C$5&amp;"生成成长"),2))/((VLOOKUP($B170,INDIRECT($B$5&amp;"生成成长"),4))/(VLOOKUP(EE$72,INDIRECT($C$5&amp;"生成成长"),5))*(VLOOKUP($B$5,标准坦克设计!$B$24:$U$30,MATCH("对"&amp;LEFT($C$5,2)&amp;"输出",标准坦克设计!$B$23:$U$23,0)))*(VLOOKUP($B170,INDIRECT($B$5&amp;"生成成长"),3))*(VLOOKUP($B$5,标准坦克设计!$B$14:$K$20,9)/30))</f>
        <v>5.342395688919618</v>
      </c>
      <c r="EF170" s="172">
        <f ca="1">(VLOOKUP(EF$72,INDIRECT($C$5&amp;"生成成长"),2))/((VLOOKUP($B170,INDIRECT($B$5&amp;"生成成长"),4))/(VLOOKUP(EF$72,INDIRECT($C$5&amp;"生成成长"),5))*(VLOOKUP($B$5,标准坦克设计!$B$24:$U$30,MATCH("对"&amp;LEFT($C$5,2)&amp;"输出",标准坦克设计!$B$23:$U$23,0)))*(VLOOKUP($B170,INDIRECT($B$5&amp;"生成成长"),3))*(VLOOKUP($B$5,标准坦克设计!$B$14:$K$20,9)/30))</f>
        <v>5.7765644469912116</v>
      </c>
      <c r="EG170" s="172">
        <f ca="1">(VLOOKUP(EG$72,INDIRECT($C$5&amp;"生成成长"),2))/((VLOOKUP($B170,INDIRECT($B$5&amp;"生成成长"),4))/(VLOOKUP(EG$72,INDIRECT($C$5&amp;"生成成长"),5))*(VLOOKUP($B$5,标准坦克设计!$B$24:$U$30,MATCH("对"&amp;LEFT($C$5,2)&amp;"输出",标准坦克设计!$B$23:$U$23,0)))*(VLOOKUP($B170,INDIRECT($B$5&amp;"生成成长"),3))*(VLOOKUP($B$5,标准坦克设计!$B$14:$K$20,9)/30))</f>
        <v>6.2276929221749748</v>
      </c>
      <c r="EH170" s="172">
        <f ca="1">(VLOOKUP(EH$72,INDIRECT($C$5&amp;"生成成长"),2))/((VLOOKUP($B170,INDIRECT($B$5&amp;"生成成长"),4))/(VLOOKUP(EH$72,INDIRECT($C$5&amp;"生成成长"),5))*(VLOOKUP($B$5,标准坦克设计!$B$24:$U$30,MATCH("对"&amp;LEFT($C$5,2)&amp;"输出",标准坦克设计!$B$23:$U$23,0)))*(VLOOKUP($B170,INDIRECT($B$5&amp;"生成成长"),3))*(VLOOKUP($B$5,标准坦克设计!$B$14:$K$20,9)/30))</f>
        <v>6.6957811144709121</v>
      </c>
      <c r="EI170" s="172">
        <f ca="1">(VLOOKUP(EI$72,INDIRECT($C$5&amp;"生成成长"),2))/((VLOOKUP($B170,INDIRECT($B$5&amp;"生成成长"),4))/(VLOOKUP(EI$72,INDIRECT($C$5&amp;"生成成长"),5))*(VLOOKUP($B$5,标准坦克设计!$B$24:$U$30,MATCH("对"&amp;LEFT($C$5,2)&amp;"输出",标准坦克设计!$B$23:$U$23,0)))*(VLOOKUP($B170,INDIRECT($B$5&amp;"生成成长"),3))*(VLOOKUP($B$5,标准坦克设计!$B$14:$K$20,9)/30))</f>
        <v>7.1808290238790189</v>
      </c>
      <c r="EJ170" s="172">
        <f ca="1">(VLOOKUP(EJ$72,INDIRECT($C$5&amp;"生成成长"),2))/((VLOOKUP($B170,INDIRECT($B$5&amp;"生成成长"),4))/(VLOOKUP(EJ$72,INDIRECT($C$5&amp;"生成成长"),5))*(VLOOKUP($B$5,标准坦克设计!$B$24:$U$30,MATCH("对"&amp;LEFT($C$5,2)&amp;"输出",标准坦克设计!$B$23:$U$23,0)))*(VLOOKUP($B170,INDIRECT($B$5&amp;"生成成长"),3))*(VLOOKUP($B$5,标准坦克设计!$B$14:$K$20,9)/30))</f>
        <v>7.682836650399298</v>
      </c>
      <c r="EK170" s="172">
        <f ca="1">(VLOOKUP(EK$72,INDIRECT($C$5&amp;"生成成长"),2))/((VLOOKUP($B170,INDIRECT($B$5&amp;"生成成长"),4))/(VLOOKUP(EK$72,INDIRECT($C$5&amp;"生成成长"),5))*(VLOOKUP($B$5,标准坦克设计!$B$24:$U$30,MATCH("对"&amp;LEFT($C$5,2)&amp;"输出",标准坦克设计!$B$23:$U$23,0)))*(VLOOKUP($B170,INDIRECT($B$5&amp;"生成成长"),3))*(VLOOKUP($B$5,标准坦克设计!$B$14:$K$20,9)/30))</f>
        <v>8.3076326288117013</v>
      </c>
      <c r="EL170" s="172">
        <f ca="1">(VLOOKUP(EL$72,INDIRECT($C$5&amp;"生成成长"),2))/((VLOOKUP($B170,INDIRECT($B$5&amp;"生成成长"),4))/(VLOOKUP(EL$72,INDIRECT($C$5&amp;"生成成长"),5))*(VLOOKUP($B$5,标准坦克设计!$B$24:$U$30,MATCH("对"&amp;LEFT($C$5,2)&amp;"输出",标准坦克设计!$B$23:$U$23,0)))*(VLOOKUP($B170,INDIRECT($B$5&amp;"生成成长"),3))*(VLOOKUP($B$5,标准坦克设计!$B$14:$K$20,9)/30))</f>
        <v>8.956850599865632</v>
      </c>
      <c r="EM170" s="172">
        <f ca="1">(VLOOKUP(EM$72,INDIRECT($C$5&amp;"生成成长"),2))/((VLOOKUP($B170,INDIRECT($B$5&amp;"生成成长"),4))/(VLOOKUP(EM$72,INDIRECT($C$5&amp;"生成成长"),5))*(VLOOKUP($B$5,标准坦克设计!$B$24:$U$30,MATCH("对"&amp;LEFT($C$5,2)&amp;"输出",标准坦克设计!$B$23:$U$23,0)))*(VLOOKUP($B170,INDIRECT($B$5&amp;"生成成长"),3))*(VLOOKUP($B$5,标准坦克设计!$B$14:$K$20,9)/30))</f>
        <v>9.6304905635610876</v>
      </c>
      <c r="EN170" s="172">
        <f ca="1">(VLOOKUP(EN$72,INDIRECT($C$5&amp;"生成成长"),2))/((VLOOKUP($B170,INDIRECT($B$5&amp;"生成成长"),4))/(VLOOKUP(EN$72,INDIRECT($C$5&amp;"生成成长"),5))*(VLOOKUP($B$5,标准坦克设计!$B$24:$U$30,MATCH("对"&amp;LEFT($C$5,2)&amp;"输出",标准坦克设计!$B$23:$U$23,0)))*(VLOOKUP($B170,INDIRECT($B$5&amp;"生成成长"),3))*(VLOOKUP($B$5,标准坦克设计!$B$14:$K$20,9)/30))</f>
        <v>10.32855251989807</v>
      </c>
      <c r="EO170" s="172">
        <f ca="1">(VLOOKUP(EO$72,INDIRECT($C$5&amp;"生成成长"),2))/((VLOOKUP($B170,INDIRECT($B$5&amp;"生成成长"),4))/(VLOOKUP(EO$72,INDIRECT($C$5&amp;"生成成长"),5))*(VLOOKUP($B$5,标准坦克设计!$B$24:$U$30,MATCH("对"&amp;LEFT($C$5,2)&amp;"输出",标准坦克设计!$B$23:$U$23,0)))*(VLOOKUP($B170,INDIRECT($B$5&amp;"生成成长"),3))*(VLOOKUP($B$5,标准坦克设计!$B$14:$K$20,9)/30))</f>
        <v>11.05103646887658</v>
      </c>
      <c r="EP170" s="172">
        <f ca="1">(VLOOKUP(EP$72,INDIRECT($C$5&amp;"生成成长"),2))/((VLOOKUP($B170,INDIRECT($B$5&amp;"生成成长"),4))/(VLOOKUP(EP$72,INDIRECT($C$5&amp;"生成成长"),5))*(VLOOKUP($B$5,标准坦克设计!$B$24:$U$30,MATCH("对"&amp;LEFT($C$5,2)&amp;"输出",标准坦克设计!$B$23:$U$23,0)))*(VLOOKUP($B170,INDIRECT($B$5&amp;"生成成长"),3))*(VLOOKUP($B$5,标准坦克设计!$B$14:$K$20,9)/30))</f>
        <v>11.797942410496619</v>
      </c>
      <c r="EQ170" s="172">
        <f ca="1">(VLOOKUP(EQ$72,INDIRECT($C$5&amp;"生成成长"),2))/((VLOOKUP($B170,INDIRECT($B$5&amp;"生成成长"),4))/(VLOOKUP(EQ$72,INDIRECT($C$5&amp;"生成成长"),5))*(VLOOKUP($B$5,标准坦克设计!$B$24:$U$30,MATCH("对"&amp;LEFT($C$5,2)&amp;"输出",标准坦克设计!$B$23:$U$23,0)))*(VLOOKUP($B170,INDIRECT($B$5&amp;"生成成长"),3))*(VLOOKUP($B$5,标准坦克设计!$B$14:$K$20,9)/30))</f>
        <v>5.2154522063350139</v>
      </c>
      <c r="ER170" s="172">
        <f ca="1">(VLOOKUP(ER$72,INDIRECT($C$5&amp;"生成成长"),2))/((VLOOKUP($B170,INDIRECT($B$5&amp;"生成成长"),4))/(VLOOKUP(ER$72,INDIRECT($C$5&amp;"生成成长"),5))*(VLOOKUP($B$5,标准坦克设计!$B$24:$U$30,MATCH("对"&amp;LEFT($C$5,2)&amp;"输出",标准坦克设计!$B$23:$U$23,0)))*(VLOOKUP($B170,INDIRECT($B$5&amp;"生成成长"),3))*(VLOOKUP($B$5,标准坦克设计!$B$14:$K$20,9)/30))</f>
        <v>5.6883739180079189</v>
      </c>
      <c r="ES170" s="172">
        <f ca="1">(VLOOKUP(ES$72,INDIRECT($C$5&amp;"生成成长"),2))/((VLOOKUP($B170,INDIRECT($B$5&amp;"生成成长"),4))/(VLOOKUP(ES$72,INDIRECT($C$5&amp;"生成成长"),5))*(VLOOKUP($B$5,标准坦克设计!$B$24:$U$30,MATCH("对"&amp;LEFT($C$5,2)&amp;"输出",标准坦克设计!$B$23:$U$23,0)))*(VLOOKUP($B170,INDIRECT($B$5&amp;"生成成长"),3))*(VLOOKUP($B$5,标准坦克设计!$B$14:$K$20,9)/30))</f>
        <v>6.1818168873865522</v>
      </c>
      <c r="ET170" s="172">
        <f ca="1">(VLOOKUP(ET$72,INDIRECT($C$5&amp;"生成成长"),2))/((VLOOKUP($B170,INDIRECT($B$5&amp;"生成成长"),4))/(VLOOKUP(ET$72,INDIRECT($C$5&amp;"生成成长"),5))*(VLOOKUP($B$5,标准坦克设计!$B$24:$U$30,MATCH("对"&amp;LEFT($C$5,2)&amp;"输出",标准坦克设计!$B$23:$U$23,0)))*(VLOOKUP($B170,INDIRECT($B$5&amp;"生成成长"),3))*(VLOOKUP($B$5,标准坦克设计!$B$14:$K$20,9)/30))</f>
        <v>6.6957811144709121</v>
      </c>
      <c r="EU170" s="172">
        <f ca="1">(VLOOKUP(EU$72,INDIRECT($C$5&amp;"生成成长"),2))/((VLOOKUP($B170,INDIRECT($B$5&amp;"生成成长"),4))/(VLOOKUP(EU$72,INDIRECT($C$5&amp;"生成成长"),5))*(VLOOKUP($B$5,标准坦克设计!$B$24:$U$30,MATCH("对"&amp;LEFT($C$5,2)&amp;"输出",标准坦克设计!$B$23:$U$23,0)))*(VLOOKUP($B170,INDIRECT($B$5&amp;"生成成长"),3))*(VLOOKUP($B$5,标准坦克设计!$B$14:$K$20,9)/30))</f>
        <v>7.230266599261002</v>
      </c>
      <c r="EV170" s="172">
        <f ca="1">(VLOOKUP(EV$72,INDIRECT($C$5&amp;"生成成长"),2))/((VLOOKUP($B170,INDIRECT($B$5&amp;"生成成长"),4))/(VLOOKUP(EV$72,INDIRECT($C$5&amp;"生成成长"),5))*(VLOOKUP($B$5,标准坦克设计!$B$24:$U$30,MATCH("对"&amp;LEFT($C$5,2)&amp;"输出",标准坦克设计!$B$23:$U$23,0)))*(VLOOKUP($B170,INDIRECT($B$5&amp;"生成成长"),3))*(VLOOKUP($B$5,标准坦克设计!$B$14:$K$20,9)/30))</f>
        <v>7.7852733417568167</v>
      </c>
      <c r="EW170" s="172">
        <f ca="1">(VLOOKUP(EW$72,INDIRECT($C$5&amp;"生成成长"),2))/((VLOOKUP($B170,INDIRECT($B$5&amp;"生成成长"),4))/(VLOOKUP(EW$72,INDIRECT($C$5&amp;"生成成长"),5))*(VLOOKUP($B$5,标准坦克设计!$B$24:$U$30,MATCH("对"&amp;LEFT($C$5,2)&amp;"输出",标准坦克设计!$B$23:$U$23,0)))*(VLOOKUP($B170,INDIRECT($B$5&amp;"生成成长"),3))*(VLOOKUP($B$5,标准坦克设计!$B$14:$K$20,9)/30))</f>
        <v>8.3608013419583607</v>
      </c>
      <c r="EX170" s="172">
        <f ca="1">(VLOOKUP(EX$72,INDIRECT($C$5&amp;"生成成长"),2))/((VLOOKUP($B170,INDIRECT($B$5&amp;"生成成长"),4))/(VLOOKUP(EX$72,INDIRECT($C$5&amp;"生成成长"),5))*(VLOOKUP($B$5,标准坦克设计!$B$24:$U$30,MATCH("对"&amp;LEFT($C$5,2)&amp;"输出",标准坦克设计!$B$23:$U$23,0)))*(VLOOKUP($B170,INDIRECT($B$5&amp;"生成成长"),3))*(VLOOKUP($B$5,标准坦克设计!$B$14:$K$20,9)/30))</f>
        <v>8.956850599865632</v>
      </c>
      <c r="EY170" s="172">
        <f ca="1">(VLOOKUP(EY$72,INDIRECT($C$5&amp;"生成成长"),2))/((VLOOKUP($B170,INDIRECT($B$5&amp;"生成成长"),4))/(VLOOKUP(EY$72,INDIRECT($C$5&amp;"生成成长"),5))*(VLOOKUP($B$5,标准坦克设计!$B$24:$U$30,MATCH("对"&amp;LEFT($C$5,2)&amp;"输出",标准坦克设计!$B$23:$U$23,0)))*(VLOOKUP($B170,INDIRECT($B$5&amp;"生成成长"),3))*(VLOOKUP($B$5,标准坦克设计!$B$14:$K$20,9)/30))</f>
        <v>9.5734211154786326</v>
      </c>
      <c r="EZ170" s="172">
        <f ca="1">(VLOOKUP(EZ$72,INDIRECT($C$5&amp;"生成成长"),2))/((VLOOKUP($B170,INDIRECT($B$5&amp;"生成成长"),4))/(VLOOKUP(EZ$72,INDIRECT($C$5&amp;"生成成长"),5))*(VLOOKUP($B$5,标准坦克设计!$B$24:$U$30,MATCH("对"&amp;LEFT($C$5,2)&amp;"输出",标准坦克设计!$B$23:$U$23,0)))*(VLOOKUP($B170,INDIRECT($B$5&amp;"生成成长"),3))*(VLOOKUP($B$5,标准坦克设计!$B$14:$K$20,9)/30))</f>
        <v>10.210512888797359</v>
      </c>
      <c r="FA170" s="172">
        <f ca="1">(VLOOKUP(FA$72,INDIRECT($C$5&amp;"生成成长"),2))/((VLOOKUP($B170,INDIRECT($B$5&amp;"生成成长"),4))/(VLOOKUP(FA$72,INDIRECT($C$5&amp;"生成成长"),5))*(VLOOKUP($B$5,标准坦克设计!$B$24:$U$30,MATCH("对"&amp;LEFT($C$5,2)&amp;"输出",标准坦克设计!$B$23:$U$23,0)))*(VLOOKUP($B170,INDIRECT($B$5&amp;"生成成长"),3))*(VLOOKUP($B$5,标准坦克设计!$B$14:$K$20,9)/30))</f>
        <v>10.868125919821811</v>
      </c>
      <c r="FB170" s="172">
        <f ca="1">(VLOOKUP(FB$72,INDIRECT($C$5&amp;"生成成长"),2))/((VLOOKUP($B170,INDIRECT($B$5&amp;"生成成长"),4))/(VLOOKUP(FB$72,INDIRECT($C$5&amp;"生成成长"),5))*(VLOOKUP($B$5,标准坦克设计!$B$24:$U$30,MATCH("对"&amp;LEFT($C$5,2)&amp;"输出",标准坦克设计!$B$23:$U$23,0)))*(VLOOKUP($B170,INDIRECT($B$5&amp;"生成成长"),3))*(VLOOKUP($B$5,标准坦克设计!$B$14:$K$20,9)/30))</f>
        <v>11.546260208551992</v>
      </c>
      <c r="FC170" s="172">
        <f ca="1">(VLOOKUP(FC$72,INDIRECT($C$5&amp;"生成成长"),2))/((VLOOKUP($B170,INDIRECT($B$5&amp;"生成成长"),4))/(VLOOKUP(FC$72,INDIRECT($C$5&amp;"生成成长"),5))*(VLOOKUP($B$5,标准坦克设计!$B$24:$U$30,MATCH("对"&amp;LEFT($C$5,2)&amp;"输出",标准坦克设计!$B$23:$U$23,0)))*(VLOOKUP($B170,INDIRECT($B$5&amp;"生成成长"),3))*(VLOOKUP($B$5,标准坦克设计!$B$14:$K$20,9)/30))</f>
        <v>12.244915754987902</v>
      </c>
      <c r="FD170" s="172">
        <f ca="1">(VLOOKUP(FD$72,INDIRECT($C$5&amp;"生成成长"),2))/((VLOOKUP($B170,INDIRECT($B$5&amp;"生成成长"),4))/(VLOOKUP(FD$72,INDIRECT($C$5&amp;"生成成长"),5))*(VLOOKUP($B$5,标准坦克设计!$B$24:$U$30,MATCH("对"&amp;LEFT($C$5,2)&amp;"输出",标准坦克设计!$B$23:$U$23,0)))*(VLOOKUP($B170,INDIRECT($B$5&amp;"生成成长"),3))*(VLOOKUP($B$5,标准坦克设计!$B$14:$K$20,9)/30))</f>
        <v>12.96409255912954</v>
      </c>
      <c r="FE170" s="172">
        <f ca="1">(VLOOKUP(FE$72,INDIRECT($C$5&amp;"生成成长"),2))/((VLOOKUP($B170,INDIRECT($B$5&amp;"生成成长"),4))/(VLOOKUP(FE$72,INDIRECT($C$5&amp;"生成成长"),5))*(VLOOKUP($B$5,标准坦克设计!$B$24:$U$30,MATCH("对"&amp;LEFT($C$5,2)&amp;"输出",标准坦克设计!$B$23:$U$23,0)))*(VLOOKUP($B170,INDIRECT($B$5&amp;"生成成长"),3))*(VLOOKUP($B$5,标准坦克设计!$B$14:$K$20,9)/30))</f>
        <v>13.840485940901008</v>
      </c>
      <c r="FF170" s="172">
        <f ca="1">(VLOOKUP(FF$72,INDIRECT($C$5&amp;"生成成长"),2))/((VLOOKUP($B170,INDIRECT($B$5&amp;"生成成长"),4))/(VLOOKUP(FF$72,INDIRECT($C$5&amp;"生成成长"),5))*(VLOOKUP($B$5,标准坦克设计!$B$24:$U$30,MATCH("对"&amp;LEFT($C$5,2)&amp;"输出",标准坦克设计!$B$23:$U$23,0)))*(VLOOKUP($B170,INDIRECT($B$5&amp;"生成成长"),3))*(VLOOKUP($B$5,标准坦克设计!$B$14:$K$20,9)/30))</f>
        <v>14.745541244592046</v>
      </c>
      <c r="FG170" s="172">
        <f ca="1">(VLOOKUP(FG$72,INDIRECT($C$5&amp;"生成成长"),2))/((VLOOKUP($B170,INDIRECT($B$5&amp;"生成成长"),4))/(VLOOKUP(FG$72,INDIRECT($C$5&amp;"生成成长"),5))*(VLOOKUP($B$5,标准坦克设计!$B$24:$U$30,MATCH("对"&amp;LEFT($C$5,2)&amp;"输出",标准坦克设计!$B$23:$U$23,0)))*(VLOOKUP($B170,INDIRECT($B$5&amp;"生成成长"),3))*(VLOOKUP($B$5,标准坦克设计!$B$14:$K$20,9)/30))</f>
        <v>15.679258470202655</v>
      </c>
      <c r="FH170" s="172">
        <f ca="1">(VLOOKUP(FH$72,INDIRECT($C$5&amp;"生成成长"),2))/((VLOOKUP($B170,INDIRECT($B$5&amp;"生成成长"),4))/(VLOOKUP(FH$72,INDIRECT($C$5&amp;"生成成长"),5))*(VLOOKUP($B$5,标准坦克设计!$B$24:$U$30,MATCH("对"&amp;LEFT($C$5,2)&amp;"输出",标准坦克设计!$B$23:$U$23,0)))*(VLOOKUP($B170,INDIRECT($B$5&amp;"生成成长"),3))*(VLOOKUP($B$5,标准坦克设计!$B$14:$K$20,9)/30))</f>
        <v>16.641637617732833</v>
      </c>
      <c r="FI170" s="172">
        <f ca="1">(VLOOKUP(FI$72,INDIRECT($C$5&amp;"生成成长"),2))/((VLOOKUP($B170,INDIRECT($B$5&amp;"生成成长"),4))/(VLOOKUP(FI$72,INDIRECT($C$5&amp;"生成成长"),5))*(VLOOKUP($B$5,标准坦克设计!$B$24:$U$30,MATCH("对"&amp;LEFT($C$5,2)&amp;"输出",标准坦克设计!$B$23:$U$23,0)))*(VLOOKUP($B170,INDIRECT($B$5&amp;"生成成长"),3))*(VLOOKUP($B$5,标准坦克设计!$B$14:$K$20,9)/30))</f>
        <v>17.63267868718258</v>
      </c>
      <c r="FJ170" s="172">
        <f ca="1">(VLOOKUP(FJ$72,INDIRECT($C$5&amp;"生成成长"),2))/((VLOOKUP($B170,INDIRECT($B$5&amp;"生成成长"),4))/(VLOOKUP(FJ$72,INDIRECT($C$5&amp;"生成成长"),5))*(VLOOKUP($B$5,标准坦克设计!$B$24:$U$30,MATCH("对"&amp;LEFT($C$5,2)&amp;"输出",标准坦克设计!$B$23:$U$23,0)))*(VLOOKUP($B170,INDIRECT($B$5&amp;"生成成长"),3))*(VLOOKUP($B$5,标准坦克设计!$B$14:$K$20,9)/30))</f>
        <v>18.652381678551901</v>
      </c>
      <c r="FK170" s="172">
        <f ca="1">(VLOOKUP(FK$72,INDIRECT($C$5&amp;"生成成长"),2))/((VLOOKUP($B170,INDIRECT($B$5&amp;"生成成长"),4))/(VLOOKUP(FK$72,INDIRECT($C$5&amp;"生成成长"),5))*(VLOOKUP($B$5,标准坦克设计!$B$24:$U$30,MATCH("对"&amp;LEFT($C$5,2)&amp;"输出",标准坦克设计!$B$23:$U$23,0)))*(VLOOKUP($B170,INDIRECT($B$5&amp;"生成成长"),3))*(VLOOKUP($B$5,标准坦克设计!$B$14:$K$20,9)/30))</f>
        <v>19.700746591840787</v>
      </c>
    </row>
    <row r="171" spans="1:167" x14ac:dyDescent="0.15">
      <c r="A171" s="170" t="str">
        <f t="shared" si="12"/>
        <v>T5中品质9级</v>
      </c>
      <c r="B171" s="171">
        <v>20509</v>
      </c>
      <c r="C171" s="172">
        <f ca="1">(VLOOKUP(C$72,INDIRECT($C$5&amp;"生成成长"),2))/((VLOOKUP($B171,INDIRECT($B$5&amp;"生成成长"),4))/(VLOOKUP(C$72,INDIRECT($C$5&amp;"生成成长"),5))*(VLOOKUP($B$5,标准坦克设计!$B$24:$U$30,MATCH("对"&amp;LEFT($C$5,2)&amp;"输出",标准坦克设计!$B$23:$U$23,0)))*(VLOOKUP($B171,INDIRECT($B$5&amp;"生成成长"),3))*(VLOOKUP($B$5,标准坦克设计!$B$14:$K$20,9)/30))</f>
        <v>0.79133960342123322</v>
      </c>
      <c r="D171" s="172">
        <f ca="1">(VLOOKUP(D$72,INDIRECT($C$5&amp;"生成成长"),2))/((VLOOKUP($B171,INDIRECT($B$5&amp;"生成成长"),4))/(VLOOKUP(D$72,INDIRECT($C$5&amp;"生成成长"),5))*(VLOOKUP($B$5,标准坦克设计!$B$24:$U$30,MATCH("对"&amp;LEFT($C$5,2)&amp;"输出",标准坦克设计!$B$23:$U$23,0)))*(VLOOKUP($B171,INDIRECT($B$5&amp;"生成成长"),3))*(VLOOKUP($B$5,标准坦克设计!$B$14:$K$20,9)/30))</f>
        <v>0.88914917840409768</v>
      </c>
      <c r="E171" s="172">
        <f ca="1">(VLOOKUP(E$72,INDIRECT($C$5&amp;"生成成长"),2))/((VLOOKUP($B171,INDIRECT($B$5&amp;"生成成长"),4))/(VLOOKUP(E$72,INDIRECT($C$5&amp;"生成成长"),5))*(VLOOKUP($B$5,标准坦克设计!$B$24:$U$30,MATCH("对"&amp;LEFT($C$5,2)&amp;"输出",标准坦克设计!$B$23:$U$23,0)))*(VLOOKUP($B171,INDIRECT($B$5&amp;"生成成长"),3))*(VLOOKUP($B$5,标准坦克设计!$B$14:$K$20,9)/30))</f>
        <v>0.99265639853159493</v>
      </c>
      <c r="F171" s="172">
        <f ca="1">(VLOOKUP(F$72,INDIRECT($C$5&amp;"生成成长"),2))/((VLOOKUP($B171,INDIRECT($B$5&amp;"生成成长"),4))/(VLOOKUP(F$72,INDIRECT($C$5&amp;"生成成长"),5))*(VLOOKUP($B$5,标准坦克设计!$B$24:$U$30,MATCH("对"&amp;LEFT($C$5,2)&amp;"输出",标准坦克设计!$B$23:$U$23,0)))*(VLOOKUP($B171,INDIRECT($B$5&amp;"生成成长"),3))*(VLOOKUP($B$5,标准坦克设计!$B$14:$K$20,9)/30))</f>
        <v>1.1018612638037251</v>
      </c>
      <c r="G171" s="172">
        <f ca="1">(VLOOKUP(G$72,INDIRECT($C$5&amp;"生成成长"),2))/((VLOOKUP($B171,INDIRECT($B$5&amp;"生成成长"),4))/(VLOOKUP(G$72,INDIRECT($C$5&amp;"生成成长"),5))*(VLOOKUP($B$5,标准坦克设计!$B$24:$U$30,MATCH("对"&amp;LEFT($C$5,2)&amp;"输出",标准坦克设计!$B$23:$U$23,0)))*(VLOOKUP($B171,INDIRECT($B$5&amp;"生成成长"),3))*(VLOOKUP($B$5,标准坦克设计!$B$14:$K$20,9)/30))</f>
        <v>1.216763774220488</v>
      </c>
      <c r="H171" s="172">
        <f ca="1">(VLOOKUP(H$72,INDIRECT($C$5&amp;"生成成长"),2))/((VLOOKUP($B171,INDIRECT($B$5&amp;"生成成长"),4))/(VLOOKUP(H$72,INDIRECT($C$5&amp;"生成成长"),5))*(VLOOKUP($B$5,标准坦克设计!$B$24:$U$30,MATCH("对"&amp;LEFT($C$5,2)&amp;"输出",标准坦克设计!$B$23:$U$23,0)))*(VLOOKUP($B171,INDIRECT($B$5&amp;"生成成长"),3))*(VLOOKUP($B$5,标准坦克设计!$B$14:$K$20,9)/30))</f>
        <v>1.0648265703636115</v>
      </c>
      <c r="I171" s="172">
        <f ca="1">(VLOOKUP(I$72,INDIRECT($C$5&amp;"生成成长"),2))/((VLOOKUP($B171,INDIRECT($B$5&amp;"生成成长"),4))/(VLOOKUP(I$72,INDIRECT($C$5&amp;"生成成长"),5))*(VLOOKUP($B$5,标准坦克设计!$B$24:$U$30,MATCH("对"&amp;LEFT($C$5,2)&amp;"输出",标准坦克设计!$B$23:$U$23,0)))*(VLOOKUP($B171,INDIRECT($B$5&amp;"生成成长"),3))*(VLOOKUP($B$5,标准坦克设计!$B$14:$K$20,9)/30))</f>
        <v>1.216763774220488</v>
      </c>
      <c r="J171" s="172">
        <f ca="1">(VLOOKUP(J$72,INDIRECT($C$5&amp;"生成成长"),2))/((VLOOKUP($B171,INDIRECT($B$5&amp;"生成成长"),4))/(VLOOKUP(J$72,INDIRECT($C$5&amp;"生成成长"),5))*(VLOOKUP($B$5,标准坦克设计!$B$24:$U$30,MATCH("对"&amp;LEFT($C$5,2)&amp;"输出",标准坦克设计!$B$23:$U$23,0)))*(VLOOKUP($B171,INDIRECT($B$5&amp;"生成成长"),3))*(VLOOKUP($B$5,标准坦克设计!$B$14:$K$20,9)/30))</f>
        <v>1.3788301250011565</v>
      </c>
      <c r="K171" s="172">
        <f ca="1">(VLOOKUP(K$72,INDIRECT($C$5&amp;"生成成长"),2))/((VLOOKUP($B171,INDIRECT($B$5&amp;"生成成长"),4))/(VLOOKUP(K$72,INDIRECT($C$5&amp;"生成成长"),5))*(VLOOKUP($B$5,标准坦克设计!$B$24:$U$30,MATCH("对"&amp;LEFT($C$5,2)&amp;"输出",标准坦克设计!$B$23:$U$23,0)))*(VLOOKUP($B171,INDIRECT($B$5&amp;"生成成长"),3))*(VLOOKUP($B$5,标准坦克设计!$B$14:$K$20,9)/30))</f>
        <v>1.5510256227056172</v>
      </c>
      <c r="L171" s="172">
        <f ca="1">(VLOOKUP(L$72,INDIRECT($C$5&amp;"生成成长"),2))/((VLOOKUP($B171,INDIRECT($B$5&amp;"生成成长"),4))/(VLOOKUP(L$72,INDIRECT($C$5&amp;"生成成长"),5))*(VLOOKUP($B$5,标准坦克设计!$B$24:$U$30,MATCH("对"&amp;LEFT($C$5,2)&amp;"输出",标准坦克设计!$B$23:$U$23,0)))*(VLOOKUP($B171,INDIRECT($B$5&amp;"生成成长"),3))*(VLOOKUP($B$5,标准坦克设计!$B$14:$K$20,9)/30))</f>
        <v>1.7333502673338692</v>
      </c>
      <c r="M171" s="172">
        <f ca="1">(VLOOKUP(M$72,INDIRECT($C$5&amp;"生成成长"),2))/((VLOOKUP($B171,INDIRECT($B$5&amp;"生成成长"),4))/(VLOOKUP(M$72,INDIRECT($C$5&amp;"生成成长"),5))*(VLOOKUP($B$5,标准坦克设计!$B$24:$U$30,MATCH("对"&amp;LEFT($C$5,2)&amp;"输出",标准坦克设计!$B$23:$U$23,0)))*(VLOOKUP($B171,INDIRECT($B$5&amp;"生成成长"),3))*(VLOOKUP($B$5,标准坦克设计!$B$14:$K$20,9)/30))</f>
        <v>1.9258040588859131</v>
      </c>
      <c r="N171" s="172">
        <f ca="1">(VLOOKUP(N$72,INDIRECT($C$5&amp;"生成成长"),2))/((VLOOKUP($B171,INDIRECT($B$5&amp;"生成成长"),4))/(VLOOKUP(N$72,INDIRECT($C$5&amp;"生成成长"),5))*(VLOOKUP($B$5,标准坦克设计!$B$24:$U$30,MATCH("对"&amp;LEFT($C$5,2)&amp;"输出",标准坦克设计!$B$23:$U$23,0)))*(VLOOKUP($B171,INDIRECT($B$5&amp;"生成成长"),3))*(VLOOKUP($B$5,标准坦克设计!$B$14:$K$20,9)/30))</f>
        <v>2.1283869973617491</v>
      </c>
      <c r="O171" s="172">
        <f ca="1">(VLOOKUP(O$72,INDIRECT($C$5&amp;"生成成长"),2))/((VLOOKUP($B171,INDIRECT($B$5&amp;"生成成长"),4))/(VLOOKUP(O$72,INDIRECT($C$5&amp;"生成成长"),5))*(VLOOKUP($B$5,标准坦克设计!$B$24:$U$30,MATCH("对"&amp;LEFT($C$5,2)&amp;"输出",标准坦克设计!$B$23:$U$23,0)))*(VLOOKUP($B171,INDIRECT($B$5&amp;"生成成长"),3))*(VLOOKUP($B$5,标准坦克设计!$B$14:$K$20,9)/30))</f>
        <v>1.6182103550360798</v>
      </c>
      <c r="P171" s="172">
        <f ca="1">(VLOOKUP(P$72,INDIRECT($C$5&amp;"生成成长"),2))/((VLOOKUP($B171,INDIRECT($B$5&amp;"生成成长"),4))/(VLOOKUP(P$72,INDIRECT($C$5&amp;"生成成长"),5))*(VLOOKUP($B$5,标准坦克设计!$B$24:$U$30,MATCH("对"&amp;LEFT($C$5,2)&amp;"输出",标准坦克设计!$B$23:$U$23,0)))*(VLOOKUP($B171,INDIRECT($B$5&amp;"生成成长"),3))*(VLOOKUP($B$5,标准坦克设计!$B$14:$K$20,9)/30))</f>
        <v>1.8283110197444172</v>
      </c>
      <c r="Q171" s="172">
        <f ca="1">(VLOOKUP(Q$72,INDIRECT($C$5&amp;"生成成长"),2))/((VLOOKUP($B171,INDIRECT($B$5&amp;"生成成长"),4))/(VLOOKUP(Q$72,INDIRECT($C$5&amp;"生成成长"),5))*(VLOOKUP($B$5,标准坦克设计!$B$24:$U$30,MATCH("对"&amp;LEFT($C$5,2)&amp;"输出",标准坦克设计!$B$23:$U$23,0)))*(VLOOKUP($B171,INDIRECT($B$5&amp;"生成成长"),3))*(VLOOKUP($B$5,标准坦克设计!$B$14:$K$20,9)/30))</f>
        <v>2.0512313860281788</v>
      </c>
      <c r="R171" s="172">
        <f ca="1">(VLOOKUP(R$72,INDIRECT($C$5&amp;"生成成长"),2))/((VLOOKUP($B171,INDIRECT($B$5&amp;"生成成长"),4))/(VLOOKUP(R$72,INDIRECT($C$5&amp;"生成成长"),5))*(VLOOKUP($B$5,标准坦克设计!$B$24:$U$30,MATCH("对"&amp;LEFT($C$5,2)&amp;"输出",标准坦克设计!$B$23:$U$23,0)))*(VLOOKUP($B171,INDIRECT($B$5&amp;"生成成长"),3))*(VLOOKUP($B$5,标准坦克设计!$B$14:$K$20,9)/30))</f>
        <v>2.286971453887364</v>
      </c>
      <c r="S171" s="172">
        <f ca="1">(VLOOKUP(S$72,INDIRECT($C$5&amp;"生成成长"),2))/((VLOOKUP($B171,INDIRECT($B$5&amp;"生成成长"),4))/(VLOOKUP(S$72,INDIRECT($C$5&amp;"生成成长"),5))*(VLOOKUP($B$5,标准坦克设计!$B$24:$U$30,MATCH("对"&amp;LEFT($C$5,2)&amp;"输出",标准坦克设计!$B$23:$U$23,0)))*(VLOOKUP($B171,INDIRECT($B$5&amp;"生成成长"),3))*(VLOOKUP($B$5,标准坦克设计!$B$14:$K$20,9)/30))</f>
        <v>2.5355312233219731</v>
      </c>
      <c r="T171" s="172">
        <f ca="1">(VLOOKUP(T$72,INDIRECT($C$5&amp;"生成成长"),2))/((VLOOKUP($B171,INDIRECT($B$5&amp;"生成成长"),4))/(VLOOKUP(T$72,INDIRECT($C$5&amp;"生成成长"),5))*(VLOOKUP($B$5,标准坦克设计!$B$24:$U$30,MATCH("对"&amp;LEFT($C$5,2)&amp;"输出",标准坦克设计!$B$23:$U$23,0)))*(VLOOKUP($B171,INDIRECT($B$5&amp;"生成成长"),3))*(VLOOKUP($B$5,标准坦克设计!$B$14:$K$20,9)/30))</f>
        <v>2.7969106943320066</v>
      </c>
      <c r="U171" s="172">
        <f ca="1">(VLOOKUP(U$72,INDIRECT($C$5&amp;"生成成长"),2))/((VLOOKUP($B171,INDIRECT($B$5&amp;"生成成长"),4))/(VLOOKUP(U$72,INDIRECT($C$5&amp;"生成成长"),5))*(VLOOKUP($B$5,标准坦克设计!$B$24:$U$30,MATCH("对"&amp;LEFT($C$5,2)&amp;"输出",标准坦克设计!$B$23:$U$23,0)))*(VLOOKUP($B171,INDIRECT($B$5&amp;"生成成长"),3))*(VLOOKUP($B$5,标准坦克设计!$B$14:$K$20,9)/30))</f>
        <v>3.0711098669174643</v>
      </c>
      <c r="V171" s="172">
        <f ca="1">(VLOOKUP(V$72,INDIRECT($C$5&amp;"生成成长"),2))/((VLOOKUP($B171,INDIRECT($B$5&amp;"生成成长"),4))/(VLOOKUP(V$72,INDIRECT($C$5&amp;"生成成长"),5))*(VLOOKUP($B$5,标准坦克设计!$B$24:$U$30,MATCH("对"&amp;LEFT($C$5,2)&amp;"输出",标准坦克设计!$B$23:$U$23,0)))*(VLOOKUP($B171,INDIRECT($B$5&amp;"生成成长"),3))*(VLOOKUP($B$5,标准坦克设计!$B$14:$K$20,9)/30))</f>
        <v>3.3581287410783451</v>
      </c>
      <c r="W171" s="172">
        <f ca="1">(VLOOKUP(W$72,INDIRECT($C$5&amp;"生成成长"),2))/((VLOOKUP($B171,INDIRECT($B$5&amp;"生成成长"),4))/(VLOOKUP(W$72,INDIRECT($C$5&amp;"生成成长"),5))*(VLOOKUP($B$5,标准坦克设计!$B$24:$U$30,MATCH("对"&amp;LEFT($C$5,2)&amp;"输出",标准坦克设计!$B$23:$U$23,0)))*(VLOOKUP($B171,INDIRECT($B$5&amp;"生成成长"),3))*(VLOOKUP($B$5,标准坦克设计!$B$14:$K$20,9)/30))</f>
        <v>3.6579673168146511</v>
      </c>
      <c r="X171" s="172">
        <f ca="1">(VLOOKUP(X$72,INDIRECT($C$5&amp;"生成成长"),2))/((VLOOKUP($B171,INDIRECT($B$5&amp;"生成成长"),4))/(VLOOKUP(X$72,INDIRECT($C$5&amp;"生成成长"),5))*(VLOOKUP($B$5,标准坦克设计!$B$24:$U$30,MATCH("对"&amp;LEFT($C$5,2)&amp;"输出",标准坦克设计!$B$23:$U$23,0)))*(VLOOKUP($B171,INDIRECT($B$5&amp;"生成成长"),3))*(VLOOKUP($B$5,标准坦克设计!$B$14:$K$20,9)/30))</f>
        <v>2.6501171978973681</v>
      </c>
      <c r="Y171" s="172">
        <f ca="1">(VLOOKUP(Y$72,INDIRECT($C$5&amp;"生成成长"),2))/((VLOOKUP($B171,INDIRECT($B$5&amp;"生成成长"),4))/(VLOOKUP(Y$72,INDIRECT($C$5&amp;"生成成长"),5))*(VLOOKUP($B$5,标准坦克设计!$B$24:$U$30,MATCH("对"&amp;LEFT($C$5,2)&amp;"输出",标准坦克设计!$B$23:$U$23,0)))*(VLOOKUP($B171,INDIRECT($B$5&amp;"生成成长"),3))*(VLOOKUP($B$5,标准坦克设计!$B$14:$K$20,9)/30))</f>
        <v>2.9476608887837519</v>
      </c>
      <c r="Z171" s="172">
        <f ca="1">(VLOOKUP(Z$72,INDIRECT($C$5&amp;"生成成长"),2))/((VLOOKUP($B171,INDIRECT($B$5&amp;"生成成长"),4))/(VLOOKUP(Z$72,INDIRECT($C$5&amp;"生成成长"),5))*(VLOOKUP($B$5,标准坦克设计!$B$24:$U$30,MATCH("对"&amp;LEFT($C$5,2)&amp;"输出",标准坦克设计!$B$23:$U$23,0)))*(VLOOKUP($B171,INDIRECT($B$5&amp;"生成成长"),3))*(VLOOKUP($B$5,标准坦克设计!$B$14:$K$20,9)/30))</f>
        <v>3.2610313717385599</v>
      </c>
      <c r="AA171" s="172">
        <f ca="1">(VLOOKUP(AA$72,INDIRECT($C$5&amp;"生成成长"),2))/((VLOOKUP($B171,INDIRECT($B$5&amp;"生成成长"),4))/(VLOOKUP(AA$72,INDIRECT($C$5&amp;"生成成长"),5))*(VLOOKUP($B$5,标准坦克设计!$B$24:$U$30,MATCH("对"&amp;LEFT($C$5,2)&amp;"输出",标准坦克设计!$B$23:$U$23,0)))*(VLOOKUP($B171,INDIRECT($B$5&amp;"生成成长"),3))*(VLOOKUP($B$5,标准坦克设计!$B$14:$K$20,9)/30))</f>
        <v>3.5902286467617928</v>
      </c>
      <c r="AB171" s="172">
        <f ca="1">(VLOOKUP(AB$72,INDIRECT($C$5&amp;"生成成长"),2))/((VLOOKUP($B171,INDIRECT($B$5&amp;"生成成长"),4))/(VLOOKUP(AB$72,INDIRECT($C$5&amp;"生成成长"),5))*(VLOOKUP($B$5,标准坦克设计!$B$24:$U$30,MATCH("对"&amp;LEFT($C$5,2)&amp;"输出",标准坦克设计!$B$23:$U$23,0)))*(VLOOKUP($B171,INDIRECT($B$5&amp;"生成成长"),3))*(VLOOKUP($B$5,标准坦克设计!$B$14:$K$20,9)/30))</f>
        <v>3.9352527138534508</v>
      </c>
      <c r="AC171" s="172">
        <f ca="1">(VLOOKUP(AC$72,INDIRECT($C$5&amp;"生成成长"),2))/((VLOOKUP($B171,INDIRECT($B$5&amp;"生成成长"),4))/(VLOOKUP(AC$72,INDIRECT($C$5&amp;"生成成长"),5))*(VLOOKUP($B$5,标准坦克设计!$B$24:$U$30,MATCH("对"&amp;LEFT($C$5,2)&amp;"输出",标准坦克设计!$B$23:$U$23,0)))*(VLOOKUP($B171,INDIRECT($B$5&amp;"生成成长"),3))*(VLOOKUP($B$5,标准坦克设计!$B$14:$K$20,9)/30))</f>
        <v>4.2961035730135331</v>
      </c>
      <c r="AD171" s="172">
        <f ca="1">(VLOOKUP(AD$72,INDIRECT($C$5&amp;"生成成长"),2))/((VLOOKUP($B171,INDIRECT($B$5&amp;"生成成长"),4))/(VLOOKUP(AD$72,INDIRECT($C$5&amp;"生成成长"),5))*(VLOOKUP($B$5,标准坦克设计!$B$24:$U$30,MATCH("对"&amp;LEFT($C$5,2)&amp;"输出",标准坦克设计!$B$23:$U$23,0)))*(VLOOKUP($B171,INDIRECT($B$5&amp;"生成成长"),3))*(VLOOKUP($B$5,标准坦克设计!$B$14:$K$20,9)/30))</f>
        <v>4.6727812242420397</v>
      </c>
      <c r="AE171" s="172">
        <f ca="1">(VLOOKUP(AE$72,INDIRECT($C$5&amp;"生成成长"),2))/((VLOOKUP($B171,INDIRECT($B$5&amp;"生成成长"),4))/(VLOOKUP(AE$72,INDIRECT($C$5&amp;"生成成长"),5))*(VLOOKUP($B$5,标准坦克设计!$B$24:$U$30,MATCH("对"&amp;LEFT($C$5,2)&amp;"输出",标准坦克设计!$B$23:$U$23,0)))*(VLOOKUP($B171,INDIRECT($B$5&amp;"生成成长"),3))*(VLOOKUP($B$5,标准坦克设计!$B$14:$K$20,9)/30))</f>
        <v>5.0652856675389719</v>
      </c>
      <c r="AF171" s="172">
        <f ca="1">(VLOOKUP(AF$72,INDIRECT($C$5&amp;"生成成长"),2))/((VLOOKUP($B171,INDIRECT($B$5&amp;"生成成长"),4))/(VLOOKUP(AF$72,INDIRECT($C$5&amp;"生成成长"),5))*(VLOOKUP($B$5,标准坦克设计!$B$24:$U$30,MATCH("对"&amp;LEFT($C$5,2)&amp;"输出",标准坦克设计!$B$23:$U$23,0)))*(VLOOKUP($B171,INDIRECT($B$5&amp;"生成成长"),3))*(VLOOKUP($B$5,标准坦克设计!$B$14:$K$20,9)/30))</f>
        <v>5.473616902904328</v>
      </c>
      <c r="AG171" s="172">
        <f ca="1">(VLOOKUP(AG$72,INDIRECT($C$5&amp;"生成成长"),2))/((VLOOKUP($B171,INDIRECT($B$5&amp;"生成成长"),4))/(VLOOKUP(AG$72,INDIRECT($C$5&amp;"生成成长"),5))*(VLOOKUP($B$5,标准坦克设计!$B$24:$U$30,MATCH("对"&amp;LEFT($C$5,2)&amp;"输出",标准坦克设计!$B$23:$U$23,0)))*(VLOOKUP($B171,INDIRECT($B$5&amp;"生成成长"),3))*(VLOOKUP($B$5,标准坦克设计!$B$14:$K$20,9)/30))</f>
        <v>5.8977749303381097</v>
      </c>
      <c r="AH171" s="172">
        <f ca="1">(VLOOKUP(AH$72,INDIRECT($C$5&amp;"生成成长"),2))/((VLOOKUP($B171,INDIRECT($B$5&amp;"生成成长"),4))/(VLOOKUP(AH$72,INDIRECT($C$5&amp;"生成成长"),5))*(VLOOKUP($B$5,标准坦克设计!$B$24:$U$30,MATCH("对"&amp;LEFT($C$5,2)&amp;"输出",标准坦克设计!$B$23:$U$23,0)))*(VLOOKUP($B171,INDIRECT($B$5&amp;"生成成长"),3))*(VLOOKUP($B$5,标准坦克设计!$B$14:$K$20,9)/30))</f>
        <v>6.3377597498403144</v>
      </c>
      <c r="AI171" s="172">
        <f ca="1">(VLOOKUP(AI$72,INDIRECT($C$5&amp;"生成成长"),2))/((VLOOKUP($B171,INDIRECT($B$5&amp;"生成成长"),4))/(VLOOKUP(AI$72,INDIRECT($C$5&amp;"生成成长"),5))*(VLOOKUP($B$5,标准坦克设计!$B$24:$U$30,MATCH("对"&amp;LEFT($C$5,2)&amp;"输出",标准坦克设计!$B$23:$U$23,0)))*(VLOOKUP($B171,INDIRECT($B$5&amp;"生成成长"),3))*(VLOOKUP($B$5,标准坦克设计!$B$14:$K$20,9)/30))</f>
        <v>4.4824640496192343</v>
      </c>
      <c r="AJ171" s="172">
        <f ca="1">(VLOOKUP(AJ$72,INDIRECT($C$5&amp;"生成成长"),2))/((VLOOKUP($B171,INDIRECT($B$5&amp;"生成成长"),4))/(VLOOKUP(AJ$72,INDIRECT($C$5&amp;"生成成长"),5))*(VLOOKUP($B$5,标准坦克设计!$B$24:$U$30,MATCH("对"&amp;LEFT($C$5,2)&amp;"输出",标准坦克设计!$B$23:$U$23,0)))*(VLOOKUP($B171,INDIRECT($B$5&amp;"生成成长"),3))*(VLOOKUP($B$5,标准坦克设计!$B$14:$K$20,9)/30))</f>
        <v>4.9063846751719868</v>
      </c>
      <c r="AK171" s="172">
        <f ca="1">(VLOOKUP(AK$72,INDIRECT($C$5&amp;"生成成长"),2))/((VLOOKUP($B171,INDIRECT($B$5&amp;"生成成长"),4))/(VLOOKUP(AK$72,INDIRECT($C$5&amp;"生成成长"),5))*(VLOOKUP($B$5,标准坦克设计!$B$24:$U$30,MATCH("对"&amp;LEFT($C$5,2)&amp;"输出",标准坦克设计!$B$23:$U$23,0)))*(VLOOKUP($B171,INDIRECT($B$5&amp;"生成成长"),3))*(VLOOKUP($B$5,标准坦克设计!$B$14:$K$20,9)/30))</f>
        <v>5.3494557191275369</v>
      </c>
      <c r="AL171" s="172">
        <f ca="1">(VLOOKUP(AL$72,INDIRECT($C$5&amp;"生成成长"),2))/((VLOOKUP($B171,INDIRECT($B$5&amp;"生成成长"),4))/(VLOOKUP(AL$72,INDIRECT($C$5&amp;"生成成长"),5))*(VLOOKUP($B$5,标准坦克设计!$B$24:$U$30,MATCH("对"&amp;LEFT($C$5,2)&amp;"输出",标准坦克设计!$B$23:$U$23,0)))*(VLOOKUP($B171,INDIRECT($B$5&amp;"生成成长"),3))*(VLOOKUP($B$5,标准坦克设计!$B$14:$K$20,9)/30))</f>
        <v>5.8116771814858792</v>
      </c>
      <c r="AM171" s="172">
        <f ca="1">(VLOOKUP(AM$72,INDIRECT($C$5&amp;"生成成长"),2))/((VLOOKUP($B171,INDIRECT($B$5&amp;"生成成长"),4))/(VLOOKUP(AM$72,INDIRECT($C$5&amp;"生成成长"),5))*(VLOOKUP($B$5,标准坦克设计!$B$24:$U$30,MATCH("对"&amp;LEFT($C$5,2)&amp;"输出",标准坦克设计!$B$23:$U$23,0)))*(VLOOKUP($B171,INDIRECT($B$5&amp;"生成成长"),3))*(VLOOKUP($B$5,标准坦克设计!$B$14:$K$20,9)/30))</f>
        <v>6.2930490622470145</v>
      </c>
      <c r="AN171" s="172">
        <f ca="1">(VLOOKUP(AN$72,INDIRECT($C$5&amp;"生成成长"),2))/((VLOOKUP($B171,INDIRECT($B$5&amp;"生成成长"),4))/(VLOOKUP(AN$72,INDIRECT($C$5&amp;"生成成长"),5))*(VLOOKUP($B$5,标准坦克设计!$B$24:$U$30,MATCH("对"&amp;LEFT($C$5,2)&amp;"输出",标准坦克设计!$B$23:$U$23,0)))*(VLOOKUP($B171,INDIRECT($B$5&amp;"生成成长"),3))*(VLOOKUP($B$5,标准坦克设计!$B$14:$K$20,9)/30))</f>
        <v>6.7935713614109456</v>
      </c>
      <c r="AO171" s="172">
        <f ca="1">(VLOOKUP(AO$72,INDIRECT($C$5&amp;"生成成长"),2))/((VLOOKUP($B171,INDIRECT($B$5&amp;"生成成长"),4))/(VLOOKUP(AO$72,INDIRECT($C$5&amp;"生成成长"),5))*(VLOOKUP($B$5,标准坦克设计!$B$24:$U$30,MATCH("对"&amp;LEFT($C$5,2)&amp;"输出",标准坦克设计!$B$23:$U$23,0)))*(VLOOKUP($B171,INDIRECT($B$5&amp;"生成成长"),3))*(VLOOKUP($B$5,标准坦克设计!$B$14:$K$20,9)/30))</f>
        <v>7.3132440789776689</v>
      </c>
      <c r="AP171" s="172">
        <f ca="1">(VLOOKUP(AP$72,INDIRECT($C$5&amp;"生成成长"),2))/((VLOOKUP($B171,INDIRECT($B$5&amp;"生成成长"),4))/(VLOOKUP(AP$72,INDIRECT($C$5&amp;"生成成长"),5))*(VLOOKUP($B$5,标准坦克设计!$B$24:$U$30,MATCH("对"&amp;LEFT($C$5,2)&amp;"输出",标准坦克设计!$B$23:$U$23,0)))*(VLOOKUP($B171,INDIRECT($B$5&amp;"生成成长"),3))*(VLOOKUP($B$5,标准坦克设计!$B$14:$K$20,9)/30))</f>
        <v>7.8520672149471871</v>
      </c>
      <c r="AQ171" s="172">
        <f ca="1">(VLOOKUP(AQ$72,INDIRECT($C$5&amp;"生成成长"),2))/((VLOOKUP($B171,INDIRECT($B$5&amp;"生成成长"),4))/(VLOOKUP(AQ$72,INDIRECT($C$5&amp;"生成成长"),5))*(VLOOKUP($B$5,标准坦克设计!$B$24:$U$30,MATCH("对"&amp;LEFT($C$5,2)&amp;"输出",标准坦克设计!$B$23:$U$23,0)))*(VLOOKUP($B171,INDIRECT($B$5&amp;"生成成长"),3))*(VLOOKUP($B$5,标准坦克设计!$B$14:$K$20,9)/30))</f>
        <v>8.4100407693194992</v>
      </c>
      <c r="AR171" s="172">
        <f ca="1">(VLOOKUP(AR$72,INDIRECT($C$5&amp;"生成成长"),2))/((VLOOKUP($B171,INDIRECT($B$5&amp;"生成成长"),4))/(VLOOKUP(AR$72,INDIRECT($C$5&amp;"生成成长"),5))*(VLOOKUP($B$5,标准坦克设计!$B$24:$U$30,MATCH("对"&amp;LEFT($C$5,2)&amp;"输出",标准坦克设计!$B$23:$U$23,0)))*(VLOOKUP($B171,INDIRECT($B$5&amp;"生成成长"),3))*(VLOOKUP($B$5,标准坦克设计!$B$14:$K$20,9)/30))</f>
        <v>8.9871647420946026</v>
      </c>
      <c r="AS171" s="172">
        <f ca="1">(VLOOKUP(AS$72,INDIRECT($C$5&amp;"生成成长"),2))/((VLOOKUP($B171,INDIRECT($B$5&amp;"生成成长"),4))/(VLOOKUP(AS$72,INDIRECT($C$5&amp;"生成成长"),5))*(VLOOKUP($B$5,标准坦克设计!$B$24:$U$30,MATCH("对"&amp;LEFT($C$5,2)&amp;"输出",标准坦克设计!$B$23:$U$23,0)))*(VLOOKUP($B171,INDIRECT($B$5&amp;"生成成长"),3))*(VLOOKUP($B$5,标准坦克设计!$B$14:$K$20,9)/30))</f>
        <v>9.5834391332725044</v>
      </c>
      <c r="AT171" s="172">
        <f ca="1">(VLOOKUP(AT$72,INDIRECT($C$5&amp;"生成成长"),2))/((VLOOKUP($B171,INDIRECT($B$5&amp;"生成成长"),4))/(VLOOKUP(AT$72,INDIRECT($C$5&amp;"生成成长"),5))*(VLOOKUP($B$5,标准坦克设计!$B$24:$U$30,MATCH("对"&amp;LEFT($C$5,2)&amp;"输出",标准坦克设计!$B$23:$U$23,0)))*(VLOOKUP($B171,INDIRECT($B$5&amp;"生成成长"),3))*(VLOOKUP($B$5,标准坦克设计!$B$14:$K$20,9)/30))</f>
        <v>10.198863942853196</v>
      </c>
      <c r="AU171" s="172">
        <f ca="1">(VLOOKUP(AU$72,INDIRECT($C$5&amp;"生成成长"),2))/((VLOOKUP($B171,INDIRECT($B$5&amp;"生成成长"),4))/(VLOOKUP(AU$72,INDIRECT($C$5&amp;"生成成长"),5))*(VLOOKUP($B$5,标准坦克设计!$B$24:$U$30,MATCH("对"&amp;LEFT($C$5,2)&amp;"输出",标准坦克设计!$B$23:$U$23,0)))*(VLOOKUP($B171,INDIRECT($B$5&amp;"生成成长"),3))*(VLOOKUP($B$5,标准坦克设计!$B$14:$K$20,9)/30))</f>
        <v>10.833439170836684</v>
      </c>
      <c r="AV171" s="172">
        <f ca="1">(VLOOKUP(AV$72,INDIRECT($C$5&amp;"生成成长"),2))/((VLOOKUP($B171,INDIRECT($B$5&amp;"生成成长"),4))/(VLOOKUP(AV$72,INDIRECT($C$5&amp;"生成成长"),5))*(VLOOKUP($B$5,标准坦克设计!$B$24:$U$30,MATCH("对"&amp;LEFT($C$5,2)&amp;"输出",标准坦克设计!$B$23:$U$23,0)))*(VLOOKUP($B171,INDIRECT($B$5&amp;"生成成长"),3))*(VLOOKUP($B$5,标准坦克设计!$B$14:$K$20,9)/30))</f>
        <v>1.1018612638037251</v>
      </c>
      <c r="AW171" s="172">
        <f ca="1">(VLOOKUP(AW$72,INDIRECT($C$5&amp;"生成成长"),2))/((VLOOKUP($B171,INDIRECT($B$5&amp;"生成成长"),4))/(VLOOKUP(AW$72,INDIRECT($C$5&amp;"生成成长"),5))*(VLOOKUP($B$5,标准坦克设计!$B$24:$U$30,MATCH("对"&amp;LEFT($C$5,2)&amp;"输出",标准坦克设计!$B$23:$U$23,0)))*(VLOOKUP($B171,INDIRECT($B$5&amp;"生成成长"),3))*(VLOOKUP($B$5,标准坦克设计!$B$14:$K$20,9)/30))</f>
        <v>1.2563307543915498</v>
      </c>
      <c r="AX171" s="172">
        <f ca="1">(VLOOKUP(AX$72,INDIRECT($C$5&amp;"生成成长"),2))/((VLOOKUP($B171,INDIRECT($B$5&amp;"生成成长"),4))/(VLOOKUP(AX$72,INDIRECT($C$5&amp;"生成成长"),5))*(VLOOKUP($B$5,标准坦克设计!$B$24:$U$30,MATCH("对"&amp;LEFT($C$5,2)&amp;"输出",标准坦克设计!$B$23:$U$23,0)))*(VLOOKUP($B171,INDIRECT($B$5&amp;"生成成长"),3))*(VLOOKUP($B$5,标准坦克设计!$B$14:$K$20,9)/30))</f>
        <v>1.4209293919031663</v>
      </c>
      <c r="AY171" s="172">
        <f ca="1">(VLOOKUP(AY$72,INDIRECT($C$5&amp;"生成成长"),2))/((VLOOKUP($B171,INDIRECT($B$5&amp;"生成成长"),4))/(VLOOKUP(AY$72,INDIRECT($C$5&amp;"生成成长"),5))*(VLOOKUP($B$5,标准坦克设计!$B$24:$U$30,MATCH("对"&amp;LEFT($C$5,2)&amp;"输出",标准坦克设计!$B$23:$U$23,0)))*(VLOOKUP($B171,INDIRECT($B$5&amp;"生成成长"),3))*(VLOOKUP($B$5,标准坦克设计!$B$14:$K$20,9)/30))</f>
        <v>1.5956571763385747</v>
      </c>
      <c r="AZ171" s="172">
        <f ca="1">(VLOOKUP(AZ$72,INDIRECT($C$5&amp;"生成成长"),2))/((VLOOKUP($B171,INDIRECT($B$5&amp;"生成成长"),4))/(VLOOKUP(AZ$72,INDIRECT($C$5&amp;"生成成长"),5))*(VLOOKUP($B$5,标准坦克设计!$B$24:$U$30,MATCH("对"&amp;LEFT($C$5,2)&amp;"输出",标准坦克设计!$B$23:$U$23,0)))*(VLOOKUP($B171,INDIRECT($B$5&amp;"生成成长"),3))*(VLOOKUP($B$5,标准坦克设计!$B$14:$K$20,9)/30))</f>
        <v>1.7805141076977753</v>
      </c>
      <c r="BA171" s="172">
        <f ca="1">(VLOOKUP(BA$72,INDIRECT($C$5&amp;"生成成长"),2))/((VLOOKUP($B171,INDIRECT($B$5&amp;"生成成长"),4))/(VLOOKUP(BA$72,INDIRECT($C$5&amp;"生成成长"),5))*(VLOOKUP($B$5,标准坦克设计!$B$24:$U$30,MATCH("对"&amp;LEFT($C$5,2)&amp;"输出",标准坦克设计!$B$23:$U$23,0)))*(VLOOKUP($B171,INDIRECT($B$5&amp;"生成成长"),3))*(VLOOKUP($B$5,标准坦克设计!$B$14:$K$20,9)/30))</f>
        <v>1.9755001859807666</v>
      </c>
      <c r="BB171" s="172">
        <f ca="1">(VLOOKUP(BB$72,INDIRECT($C$5&amp;"生成成长"),2))/((VLOOKUP($B171,INDIRECT($B$5&amp;"生成成长"),4))/(VLOOKUP(BB$72,INDIRECT($C$5&amp;"生成成长"),5))*(VLOOKUP($B$5,标准坦克设计!$B$24:$U$30,MATCH("对"&amp;LEFT($C$5,2)&amp;"输出",标准坦克设计!$B$23:$U$23,0)))*(VLOOKUP($B171,INDIRECT($B$5&amp;"生成成长"),3))*(VLOOKUP($B$5,标准坦克设计!$B$14:$K$20,9)/30))</f>
        <v>2.1806154111875502</v>
      </c>
      <c r="BC171" s="172">
        <f ca="1">(VLOOKUP(BC$72,INDIRECT($C$5&amp;"生成成长"),2))/((VLOOKUP($B171,INDIRECT($B$5&amp;"生成成长"),4))/(VLOOKUP(BC$72,INDIRECT($C$5&amp;"生成成长"),5))*(VLOOKUP($B$5,标准坦克设计!$B$24:$U$30,MATCH("对"&amp;LEFT($C$5,2)&amp;"输出",标准坦克设计!$B$23:$U$23,0)))*(VLOOKUP($B171,INDIRECT($B$5&amp;"生成成长"),3))*(VLOOKUP($B$5,标准坦克设计!$B$14:$K$20,9)/30))</f>
        <v>2.3958597833181261</v>
      </c>
      <c r="BD171" s="172">
        <f ca="1">(VLOOKUP(BD$72,INDIRECT($C$5&amp;"生成成长"),2))/((VLOOKUP($B171,INDIRECT($B$5&amp;"生成成长"),4))/(VLOOKUP(BD$72,INDIRECT($C$5&amp;"生成成长"),5))*(VLOOKUP($B$5,标准坦克设计!$B$24:$U$30,MATCH("对"&amp;LEFT($C$5,2)&amp;"输出",标准坦克设计!$B$23:$U$23,0)))*(VLOOKUP($B171,INDIRECT($B$5&amp;"生成成长"),3))*(VLOOKUP($B$5,标准坦克设计!$B$14:$K$20,9)/30))</f>
        <v>2.6501171978973681</v>
      </c>
      <c r="BE171" s="172">
        <f ca="1">(VLOOKUP(BE$72,INDIRECT($C$5&amp;"生成成长"),2))/((VLOOKUP($B171,INDIRECT($B$5&amp;"生成成长"),4))/(VLOOKUP(BE$72,INDIRECT($C$5&amp;"生成成长"),5))*(VLOOKUP($B$5,标准坦克设计!$B$24:$U$30,MATCH("对"&amp;LEFT($C$5,2)&amp;"输出",标准坦克设计!$B$23:$U$23,0)))*(VLOOKUP($B171,INDIRECT($B$5&amp;"生成成长"),3))*(VLOOKUP($B$5,标准坦克设计!$B$14:$K$20,9)/30))</f>
        <v>2.9171943140520344</v>
      </c>
      <c r="BF171" s="172">
        <f ca="1">(VLOOKUP(BF$72,INDIRECT($C$5&amp;"生成成长"),2))/((VLOOKUP($B171,INDIRECT($B$5&amp;"生成成长"),4))/(VLOOKUP(BF$72,INDIRECT($C$5&amp;"生成成长"),5))*(VLOOKUP($B$5,标准坦克设计!$B$24:$U$30,MATCH("对"&amp;LEFT($C$5,2)&amp;"输出",标准坦克设计!$B$23:$U$23,0)))*(VLOOKUP($B171,INDIRECT($B$5&amp;"生成成长"),3))*(VLOOKUP($B$5,标准坦克设计!$B$14:$K$20,9)/30))</f>
        <v>3.1970911317821242</v>
      </c>
      <c r="BG171" s="172">
        <f ca="1">(VLOOKUP(BG$72,INDIRECT($C$5&amp;"生成成长"),2))/((VLOOKUP($B171,INDIRECT($B$5&amp;"生成成长"),4))/(VLOOKUP(BG$72,INDIRECT($C$5&amp;"生成成长"),5))*(VLOOKUP($B$5,标准坦克设计!$B$24:$U$30,MATCH("对"&amp;LEFT($C$5,2)&amp;"输出",标准坦克设计!$B$23:$U$23,0)))*(VLOOKUP($B171,INDIRECT($B$5&amp;"生成成长"),3))*(VLOOKUP($B$5,标准坦克设计!$B$14:$K$20,9)/30))</f>
        <v>3.4898076510876388</v>
      </c>
      <c r="BH171" s="172">
        <f ca="1">(VLOOKUP(BH$72,INDIRECT($C$5&amp;"生成成长"),2))/((VLOOKUP($B171,INDIRECT($B$5&amp;"生成成长"),4))/(VLOOKUP(BH$72,INDIRECT($C$5&amp;"生成成长"),5))*(VLOOKUP($B$5,标准坦克设计!$B$24:$U$30,MATCH("对"&amp;LEFT($C$5,2)&amp;"输出",标准坦克设计!$B$23:$U$23,0)))*(VLOOKUP($B171,INDIRECT($B$5&amp;"生成成长"),3))*(VLOOKUP($B$5,标准坦克设计!$B$14:$K$20,9)/30))</f>
        <v>1.6868194986527005</v>
      </c>
      <c r="BI171" s="172">
        <f ca="1">(VLOOKUP(BI$72,INDIRECT($C$5&amp;"生成成长"),2))/((VLOOKUP($B171,INDIRECT($B$5&amp;"生成成长"),4))/(VLOOKUP(BI$72,INDIRECT($C$5&amp;"生成成长"),5))*(VLOOKUP($B$5,标准坦克设计!$B$24:$U$30,MATCH("对"&amp;LEFT($C$5,2)&amp;"输出",标准坦克设计!$B$23:$U$23,0)))*(VLOOKUP($B171,INDIRECT($B$5&amp;"生成成长"),3))*(VLOOKUP($B$5,标准坦克设计!$B$14:$K$20,9)/30))</f>
        <v>1.9011933972195127</v>
      </c>
      <c r="BJ171" s="172">
        <f ca="1">(VLOOKUP(BJ$72,INDIRECT($C$5&amp;"生成成长"),2))/((VLOOKUP($B171,INDIRECT($B$5&amp;"生成成长"),4))/(VLOOKUP(BJ$72,INDIRECT($C$5&amp;"生成成长"),5))*(VLOOKUP($B$5,标准坦克设计!$B$24:$U$30,MATCH("对"&amp;LEFT($C$5,2)&amp;"输出",标准坦克设计!$B$23:$U$23,0)))*(VLOOKUP($B171,INDIRECT($B$5&amp;"生成成长"),3))*(VLOOKUP($B$5,标准坦克设计!$B$14:$K$20,9)/30))</f>
        <v>2.1283869973617491</v>
      </c>
      <c r="BK171" s="172">
        <f ca="1">(VLOOKUP(BK$72,INDIRECT($C$5&amp;"生成成长"),2))/((VLOOKUP($B171,INDIRECT($B$5&amp;"生成成长"),4))/(VLOOKUP(BK$72,INDIRECT($C$5&amp;"生成成长"),5))*(VLOOKUP($B$5,标准坦克设计!$B$24:$U$30,MATCH("对"&amp;LEFT($C$5,2)&amp;"输出",标准坦克设计!$B$23:$U$23,0)))*(VLOOKUP($B171,INDIRECT($B$5&amp;"生成成长"),3))*(VLOOKUP($B$5,标准坦克设计!$B$14:$K$20,9)/30))</f>
        <v>2.3684002990794091</v>
      </c>
      <c r="BL171" s="172">
        <f ca="1">(VLOOKUP(BL$72,INDIRECT($C$5&amp;"生成成长"),2))/((VLOOKUP($B171,INDIRECT($B$5&amp;"生成成长"),4))/(VLOOKUP(BL$72,INDIRECT($C$5&amp;"生成成长"),5))*(VLOOKUP($B$5,标准坦克设计!$B$24:$U$30,MATCH("对"&amp;LEFT($C$5,2)&amp;"输出",标准坦克设计!$B$23:$U$23,0)))*(VLOOKUP($B171,INDIRECT($B$5&amp;"生成成长"),3))*(VLOOKUP($B$5,标准坦克设计!$B$14:$K$20,9)/30))</f>
        <v>2.6212333023724934</v>
      </c>
      <c r="BM171" s="172">
        <f ca="1">(VLOOKUP(BM$72,INDIRECT($C$5&amp;"生成成长"),2))/((VLOOKUP($B171,INDIRECT($B$5&amp;"生成成长"),4))/(VLOOKUP(BM$72,INDIRECT($C$5&amp;"生成成长"),5))*(VLOOKUP($B$5,标准坦克设计!$B$24:$U$30,MATCH("对"&amp;LEFT($C$5,2)&amp;"输出",标准坦克设计!$B$23:$U$23,0)))*(VLOOKUP($B171,INDIRECT($B$5&amp;"生成成长"),3))*(VLOOKUP($B$5,标准坦克设计!$B$14:$K$20,9)/30))</f>
        <v>2.8868860072410008</v>
      </c>
      <c r="BN171" s="172">
        <f ca="1">(VLOOKUP(BN$72,INDIRECT($C$5&amp;"生成成长"),2))/((VLOOKUP($B171,INDIRECT($B$5&amp;"生成成长"),4))/(VLOOKUP(BN$72,INDIRECT($C$5&amp;"生成成长"),5))*(VLOOKUP($B$5,标准坦克设计!$B$24:$U$30,MATCH("对"&amp;LEFT($C$5,2)&amp;"输出",标准坦克设计!$B$23:$U$23,0)))*(VLOOKUP($B171,INDIRECT($B$5&amp;"生成成长"),3))*(VLOOKUP($B$5,标准坦克设计!$B$14:$K$20,9)/30))</f>
        <v>3.1653584136849329</v>
      </c>
      <c r="BO171" s="172">
        <f ca="1">(VLOOKUP(BO$72,INDIRECT($C$5&amp;"生成成长"),2))/((VLOOKUP($B171,INDIRECT($B$5&amp;"生成成长"),4))/(VLOOKUP(BO$72,INDIRECT($C$5&amp;"生成成长"),5))*(VLOOKUP($B$5,标准坦克设计!$B$24:$U$30,MATCH("对"&amp;LEFT($C$5,2)&amp;"输出",标准坦克设计!$B$23:$U$23,0)))*(VLOOKUP($B171,INDIRECT($B$5&amp;"生成成长"),3))*(VLOOKUP($B$5,标准坦克设计!$B$14:$K$20,9)/30))</f>
        <v>3.4566505217042884</v>
      </c>
      <c r="BP171" s="172">
        <f ca="1">(VLOOKUP(BP$72,INDIRECT($C$5&amp;"生成成长"),2))/((VLOOKUP($B171,INDIRECT($B$5&amp;"生成成长"),4))/(VLOOKUP(BP$72,INDIRECT($C$5&amp;"生成成长"),5))*(VLOOKUP($B$5,标准坦克设计!$B$24:$U$30,MATCH("对"&amp;LEFT($C$5,2)&amp;"输出",标准坦克设计!$B$23:$U$23,0)))*(VLOOKUP($B171,INDIRECT($B$5&amp;"生成成长"),3))*(VLOOKUP($B$5,标准坦克设计!$B$14:$K$20,9)/30))</f>
        <v>3.7607623312990688</v>
      </c>
      <c r="BQ171" s="172">
        <f ca="1">(VLOOKUP(BQ$72,INDIRECT($C$5&amp;"生成成长"),2))/((VLOOKUP($B171,INDIRECT($B$5&amp;"生成成长"),4))/(VLOOKUP(BQ$72,INDIRECT($C$5&amp;"生成成长"),5))*(VLOOKUP($B$5,标准坦克设计!$B$24:$U$30,MATCH("对"&amp;LEFT($C$5,2)&amp;"输出",标准坦克设计!$B$23:$U$23,0)))*(VLOOKUP($B171,INDIRECT($B$5&amp;"生成成长"),3))*(VLOOKUP($B$5,标准坦克设计!$B$14:$K$20,9)/30))</f>
        <v>4.077693842469273</v>
      </c>
      <c r="BR171" s="172">
        <f ca="1">(VLOOKUP(BR$72,INDIRECT($C$5&amp;"生成成长"),2))/((VLOOKUP($B171,INDIRECT($B$5&amp;"生成成长"),4))/(VLOOKUP(BR$72,INDIRECT($C$5&amp;"生成成长"),5))*(VLOOKUP($B$5,标准坦克设计!$B$24:$U$30,MATCH("对"&amp;LEFT($C$5,2)&amp;"输出",标准坦克设计!$B$23:$U$23,0)))*(VLOOKUP($B171,INDIRECT($B$5&amp;"生成成长"),3))*(VLOOKUP($B$5,标准坦克设计!$B$14:$K$20,9)/30))</f>
        <v>4.444875418456725</v>
      </c>
      <c r="BS171" s="172">
        <f ca="1">(VLOOKUP(BS$72,INDIRECT($C$5&amp;"生成成长"),2))/((VLOOKUP($B171,INDIRECT($B$5&amp;"生成成长"),4))/(VLOOKUP(BS$72,INDIRECT($C$5&amp;"生成成长"),5))*(VLOOKUP($B$5,标准坦克设计!$B$24:$U$30,MATCH("对"&amp;LEFT($C$5,2)&amp;"输出",标准坦克设计!$B$23:$U$23,0)))*(VLOOKUP($B171,INDIRECT($B$5&amp;"生成成长"),3))*(VLOOKUP($B$5,标准坦克设计!$B$14:$K$20,9)/30))</f>
        <v>4.8278837865126008</v>
      </c>
      <c r="BT171" s="172">
        <f ca="1">(VLOOKUP(BT$72,INDIRECT($C$5&amp;"生成成长"),2))/((VLOOKUP($B171,INDIRECT($B$5&amp;"生成成长"),4))/(VLOOKUP(BT$72,INDIRECT($C$5&amp;"生成成长"),5))*(VLOOKUP($B$5,标准坦克设计!$B$24:$U$30,MATCH("对"&amp;LEFT($C$5,2)&amp;"输出",标准坦克设计!$B$23:$U$23,0)))*(VLOOKUP($B171,INDIRECT($B$5&amp;"生成成长"),3))*(VLOOKUP($B$5,标准坦克设计!$B$14:$K$20,9)/30))</f>
        <v>5.2267189466369031</v>
      </c>
      <c r="BU171" s="172">
        <f ca="1">(VLOOKUP(BU$72,INDIRECT($C$5&amp;"生成成长"),2))/((VLOOKUP($B171,INDIRECT($B$5&amp;"生成成长"),4))/(VLOOKUP(BU$72,INDIRECT($C$5&amp;"生成成长"),5))*(VLOOKUP($B$5,标准坦克设计!$B$24:$U$30,MATCH("对"&amp;LEFT($C$5,2)&amp;"输出",标准坦克设计!$B$23:$U$23,0)))*(VLOOKUP($B171,INDIRECT($B$5&amp;"生成成长"),3))*(VLOOKUP($B$5,标准坦克设计!$B$14:$K$20,9)/30))</f>
        <v>5.6413808988296301</v>
      </c>
      <c r="BV171" s="172">
        <f ca="1">(VLOOKUP(BV$72,INDIRECT($C$5&amp;"生成成长"),2))/((VLOOKUP($B171,INDIRECT($B$5&amp;"生成成长"),4))/(VLOOKUP(BV$72,INDIRECT($C$5&amp;"生成成长"),5))*(VLOOKUP($B$5,标准坦克设计!$B$24:$U$30,MATCH("对"&amp;LEFT($C$5,2)&amp;"输出",标准坦克设计!$B$23:$U$23,0)))*(VLOOKUP($B171,INDIRECT($B$5&amp;"生成成长"),3))*(VLOOKUP($B$5,标准坦克设计!$B$14:$K$20,9)/30))</f>
        <v>6.0718696430907801</v>
      </c>
      <c r="BW171" s="172">
        <f ca="1">(VLOOKUP(BW$72,INDIRECT($C$5&amp;"生成成长"),2))/((VLOOKUP($B171,INDIRECT($B$5&amp;"生成成长"),4))/(VLOOKUP(BW$72,INDIRECT($C$5&amp;"生成成长"),5))*(VLOOKUP($B$5,标准坦克设计!$B$24:$U$30,MATCH("对"&amp;LEFT($C$5,2)&amp;"输出",标准坦克设计!$B$23:$U$23,0)))*(VLOOKUP($B171,INDIRECT($B$5&amp;"生成成长"),3))*(VLOOKUP($B$5,标准坦克设计!$B$14:$K$20,9)/30))</f>
        <v>2.7672354592037105</v>
      </c>
      <c r="BX171" s="172">
        <f ca="1">(VLOOKUP(BX$72,INDIRECT($C$5&amp;"生成成长"),2))/((VLOOKUP($B171,INDIRECT($B$5&amp;"生成成长"),4))/(VLOOKUP(BX$72,INDIRECT($C$5&amp;"生成成长"),5))*(VLOOKUP($B$5,标准坦克设计!$B$24:$U$30,MATCH("对"&amp;LEFT($C$5,2)&amp;"输出",标准坦克设计!$B$23:$U$23,0)))*(VLOOKUP($B171,INDIRECT($B$5&amp;"生成成长"),3))*(VLOOKUP($B$5,标准坦克设计!$B$14:$K$20,9)/30))</f>
        <v>3.0711098669174643</v>
      </c>
      <c r="BY171" s="172">
        <f ca="1">(VLOOKUP(BY$72,INDIRECT($C$5&amp;"生成成长"),2))/((VLOOKUP($B171,INDIRECT($B$5&amp;"生成成长"),4))/(VLOOKUP(BY$72,INDIRECT($C$5&amp;"生成成长"),5))*(VLOOKUP($B$5,标准坦克设计!$B$24:$U$30,MATCH("对"&amp;LEFT($C$5,2)&amp;"输出",标准坦克设计!$B$23:$U$23,0)))*(VLOOKUP($B171,INDIRECT($B$5&amp;"生成成长"),3))*(VLOOKUP($B$5,标准坦克设计!$B$14:$K$20,9)/30))</f>
        <v>3.3908110666996421</v>
      </c>
      <c r="BZ171" s="172">
        <f ca="1">(VLOOKUP(BZ$72,INDIRECT($C$5&amp;"生成成长"),2))/((VLOOKUP($B171,INDIRECT($B$5&amp;"生成成长"),4))/(VLOOKUP(BZ$72,INDIRECT($C$5&amp;"生成成长"),5))*(VLOOKUP($B$5,标准坦克设计!$B$24:$U$30,MATCH("对"&amp;LEFT($C$5,2)&amp;"输出",标准坦克设计!$B$23:$U$23,0)))*(VLOOKUP($B171,INDIRECT($B$5&amp;"生成成长"),3))*(VLOOKUP($B$5,标准坦克设计!$B$14:$K$20,9)/30))</f>
        <v>3.7263390585502454</v>
      </c>
      <c r="CA171" s="172">
        <f ca="1">(VLOOKUP(CA$72,INDIRECT($C$5&amp;"生成成长"),2))/((VLOOKUP($B171,INDIRECT($B$5&amp;"生成成长"),4))/(VLOOKUP(CA$72,INDIRECT($C$5&amp;"生成成长"),5))*(VLOOKUP($B$5,标准坦克设计!$B$24:$U$30,MATCH("对"&amp;LEFT($C$5,2)&amp;"输出",标准坦克设计!$B$23:$U$23,0)))*(VLOOKUP($B171,INDIRECT($B$5&amp;"生成成长"),3))*(VLOOKUP($B$5,标准坦克设计!$B$14:$K$20,9)/30))</f>
        <v>4.077693842469273</v>
      </c>
      <c r="CB171" s="172">
        <f ca="1">(VLOOKUP(CB$72,INDIRECT($C$5&amp;"生成成长"),2))/((VLOOKUP($B171,INDIRECT($B$5&amp;"生成成长"),4))/(VLOOKUP(CB$72,INDIRECT($C$5&amp;"生成成长"),5))*(VLOOKUP($B$5,标准坦克设计!$B$24:$U$30,MATCH("对"&amp;LEFT($C$5,2)&amp;"输出",标准坦克设计!$B$23:$U$23,0)))*(VLOOKUP($B171,INDIRECT($B$5&amp;"生成成长"),3))*(VLOOKUP($B$5,标准坦克设计!$B$14:$K$20,9)/30))</f>
        <v>4.444875418456725</v>
      </c>
      <c r="CC171" s="172">
        <f ca="1">(VLOOKUP(CC$72,INDIRECT($C$5&amp;"生成成长"),2))/((VLOOKUP($B171,INDIRECT($B$5&amp;"生成成长"),4))/(VLOOKUP(CC$72,INDIRECT($C$5&amp;"生成成长"),5))*(VLOOKUP($B$5,标准坦克设计!$B$24:$U$30,MATCH("对"&amp;LEFT($C$5,2)&amp;"输出",标准坦克设计!$B$23:$U$23,0)))*(VLOOKUP($B171,INDIRECT($B$5&amp;"生成成长"),3))*(VLOOKUP($B$5,标准坦克设计!$B$14:$K$20,9)/30))</f>
        <v>4.8278837865126008</v>
      </c>
      <c r="CD171" s="172">
        <f ca="1">(VLOOKUP(CD$72,INDIRECT($C$5&amp;"生成成长"),2))/((VLOOKUP($B171,INDIRECT($B$5&amp;"生成成长"),4))/(VLOOKUP(CD$72,INDIRECT($C$5&amp;"生成成长"),5))*(VLOOKUP($B$5,标准坦克设计!$B$24:$U$30,MATCH("对"&amp;LEFT($C$5,2)&amp;"输出",标准坦克设计!$B$23:$U$23,0)))*(VLOOKUP($B171,INDIRECT($B$5&amp;"生成成长"),3))*(VLOOKUP($B$5,标准坦克设计!$B$14:$K$20,9)/30))</f>
        <v>5.2267189466369031</v>
      </c>
      <c r="CE171" s="172">
        <f ca="1">(VLOOKUP(CE$72,INDIRECT($C$5&amp;"生成成长"),2))/((VLOOKUP($B171,INDIRECT($B$5&amp;"生成成长"),4))/(VLOOKUP(CE$72,INDIRECT($C$5&amp;"生成成长"),5))*(VLOOKUP($B$5,标准坦克设计!$B$24:$U$30,MATCH("对"&amp;LEFT($C$5,2)&amp;"输出",标准坦克设计!$B$23:$U$23,0)))*(VLOOKUP($B171,INDIRECT($B$5&amp;"生成成长"),3))*(VLOOKUP($B$5,标准坦克设计!$B$14:$K$20,9)/30))</f>
        <v>5.6413808988296301</v>
      </c>
      <c r="CF171" s="172">
        <f ca="1">(VLOOKUP(CF$72,INDIRECT($C$5&amp;"生成成长"),2))/((VLOOKUP($B171,INDIRECT($B$5&amp;"生成成长"),4))/(VLOOKUP(CF$72,INDIRECT($C$5&amp;"生成成长"),5))*(VLOOKUP($B$5,标准坦克设计!$B$24:$U$30,MATCH("对"&amp;LEFT($C$5,2)&amp;"输出",标准坦克设计!$B$23:$U$23,0)))*(VLOOKUP($B171,INDIRECT($B$5&amp;"生成成长"),3))*(VLOOKUP($B$5,标准坦克设计!$B$14:$K$20,9)/30))</f>
        <v>6.0718696430907801</v>
      </c>
      <c r="CG171" s="172">
        <f ca="1">(VLOOKUP(CG$72,INDIRECT($C$5&amp;"生成成长"),2))/((VLOOKUP($B171,INDIRECT($B$5&amp;"生成成长"),4))/(VLOOKUP(CG$72,INDIRECT($C$5&amp;"生成成长"),5))*(VLOOKUP($B$5,标准坦克设计!$B$24:$U$30,MATCH("对"&amp;LEFT($C$5,2)&amp;"输出",标准坦克设计!$B$23:$U$23,0)))*(VLOOKUP($B171,INDIRECT($B$5&amp;"生成成长"),3))*(VLOOKUP($B$5,标准坦克设计!$B$14:$K$20,9)/30))</f>
        <v>6.5181851794203558</v>
      </c>
      <c r="CH171" s="172">
        <f ca="1">(VLOOKUP(CH$72,INDIRECT($C$5&amp;"生成成长"),2))/((VLOOKUP($B171,INDIRECT($B$5&amp;"生成成长"),4))/(VLOOKUP(CH$72,INDIRECT($C$5&amp;"生成成长"),5))*(VLOOKUP($B$5,标准坦克设计!$B$24:$U$30,MATCH("对"&amp;LEFT($C$5,2)&amp;"输出",标准坦克设计!$B$23:$U$23,0)))*(VLOOKUP($B171,INDIRECT($B$5&amp;"生成成长"),3))*(VLOOKUP($B$5,标准坦克设计!$B$14:$K$20,9)/30))</f>
        <v>6.9803275078183562</v>
      </c>
      <c r="CI171" s="172">
        <f ca="1">(VLOOKUP(CI$72,INDIRECT($C$5&amp;"生成成长"),2))/((VLOOKUP($B171,INDIRECT($B$5&amp;"生成成长"),4))/(VLOOKUP(CI$72,INDIRECT($C$5&amp;"生成成长"),5))*(VLOOKUP($B$5,标准坦克设计!$B$24:$U$30,MATCH("对"&amp;LEFT($C$5,2)&amp;"输出",标准坦克设计!$B$23:$U$23,0)))*(VLOOKUP($B171,INDIRECT($B$5&amp;"生成成长"),3))*(VLOOKUP($B$5,标准坦克设计!$B$14:$K$20,9)/30))</f>
        <v>7.5069640138951863</v>
      </c>
      <c r="CJ171" s="172">
        <f ca="1">(VLOOKUP(CJ$72,INDIRECT($C$5&amp;"生成成长"),2))/((VLOOKUP($B171,INDIRECT($B$5&amp;"生成成长"),4))/(VLOOKUP(CJ$72,INDIRECT($C$5&amp;"生成成长"),5))*(VLOOKUP($B$5,标准坦克设计!$B$24:$U$30,MATCH("对"&amp;LEFT($C$5,2)&amp;"输出",标准坦克设计!$B$23:$U$23,0)))*(VLOOKUP($B171,INDIRECT($B$5&amp;"生成成长"),3))*(VLOOKUP($B$5,标准坦克设计!$B$14:$K$20,9)/30))</f>
        <v>8.0527509383748122</v>
      </c>
      <c r="CK171" s="172">
        <f ca="1">(VLOOKUP(CK$72,INDIRECT($C$5&amp;"生成成长"),2))/((VLOOKUP($B171,INDIRECT($B$5&amp;"生成成长"),4))/(VLOOKUP(CK$72,INDIRECT($C$5&amp;"生成成长"),5))*(VLOOKUP($B$5,标准坦克设计!$B$24:$U$30,MATCH("对"&amp;LEFT($C$5,2)&amp;"输出",标准坦克设计!$B$23:$U$23,0)))*(VLOOKUP($B171,INDIRECT($B$5&amp;"生成成长"),3))*(VLOOKUP($B$5,标准坦克设计!$B$14:$K$20,9)/30))</f>
        <v>8.6176882812572302</v>
      </c>
      <c r="CL171" s="172">
        <f ca="1">(VLOOKUP(CL$72,INDIRECT($C$5&amp;"生成成长"),2))/((VLOOKUP($B171,INDIRECT($B$5&amp;"生成成长"),4))/(VLOOKUP(CL$72,INDIRECT($C$5&amp;"生成成长"),5))*(VLOOKUP($B$5,标准坦克设计!$B$24:$U$30,MATCH("对"&amp;LEFT($C$5,2)&amp;"输出",标准坦克设计!$B$23:$U$23,0)))*(VLOOKUP($B171,INDIRECT($B$5&amp;"生成成长"),3))*(VLOOKUP($B$5,标准坦克设计!$B$14:$K$20,9)/30))</f>
        <v>9.2017760425424431</v>
      </c>
      <c r="CM171" s="172">
        <f ca="1">(VLOOKUP(CM$72,INDIRECT($C$5&amp;"生成成长"),2))/((VLOOKUP($B171,INDIRECT($B$5&amp;"生成成长"),4))/(VLOOKUP(CM$72,INDIRECT($C$5&amp;"生成成长"),5))*(VLOOKUP($B$5,标准坦克设计!$B$24:$U$30,MATCH("对"&amp;LEFT($C$5,2)&amp;"输出",标准坦克设计!$B$23:$U$23,0)))*(VLOOKUP($B171,INDIRECT($B$5&amp;"生成成长"),3))*(VLOOKUP($B$5,标准坦克设计!$B$14:$K$20,9)/30))</f>
        <v>9.8050142222304491</v>
      </c>
      <c r="CN171" s="172">
        <f ca="1">(VLOOKUP(CN$72,INDIRECT($C$5&amp;"生成成长"),2))/((VLOOKUP($B171,INDIRECT($B$5&amp;"生成成长"),4))/(VLOOKUP(CN$72,INDIRECT($C$5&amp;"生成成长"),5))*(VLOOKUP($B$5,标准坦克设计!$B$24:$U$30,MATCH("对"&amp;LEFT($C$5,2)&amp;"输出",标准坦克设计!$B$23:$U$23,0)))*(VLOOKUP($B171,INDIRECT($B$5&amp;"生成成长"),3))*(VLOOKUP($B$5,标准坦克设计!$B$14:$K$20,9)/30))</f>
        <v>10.427402820321248</v>
      </c>
      <c r="CO171" s="172">
        <f ca="1">(VLOOKUP(CO$72,INDIRECT($C$5&amp;"生成成长"),2))/((VLOOKUP($B171,INDIRECT($B$5&amp;"生成成长"),4))/(VLOOKUP(CO$72,INDIRECT($C$5&amp;"生成成长"),5))*(VLOOKUP($B$5,标准坦克设计!$B$24:$U$30,MATCH("对"&amp;LEFT($C$5,2)&amp;"输出",标准坦克设计!$B$23:$U$23,0)))*(VLOOKUP($B171,INDIRECT($B$5&amp;"生成成长"),3))*(VLOOKUP($B$5,标准坦克设计!$B$14:$K$20,9)/30))</f>
        <v>4.6727812242420397</v>
      </c>
      <c r="CP171" s="172">
        <f ca="1">(VLOOKUP(CP$72,INDIRECT($C$5&amp;"生成成长"),2))/((VLOOKUP($B171,INDIRECT($B$5&amp;"生成成长"),4))/(VLOOKUP(CP$72,INDIRECT($C$5&amp;"生成成长"),5))*(VLOOKUP($B$5,标准坦克设计!$B$24:$U$30,MATCH("对"&amp;LEFT($C$5,2)&amp;"输出",标准坦克设计!$B$23:$U$23,0)))*(VLOOKUP($B171,INDIRECT($B$5&amp;"生成成长"),3))*(VLOOKUP($B$5,标准坦克设计!$B$14:$K$20,9)/30))</f>
        <v>5.1054065854324282</v>
      </c>
      <c r="CQ171" s="172">
        <f ca="1">(VLOOKUP(CQ$72,INDIRECT($C$5&amp;"生成成长"),2))/((VLOOKUP($B171,INDIRECT($B$5&amp;"生成成长"),4))/(VLOOKUP(CQ$72,INDIRECT($C$5&amp;"生成成长"),5))*(VLOOKUP($B$5,标准坦克设计!$B$24:$U$30,MATCH("对"&amp;LEFT($C$5,2)&amp;"输出",标准坦克设计!$B$23:$U$23,0)))*(VLOOKUP($B171,INDIRECT($B$5&amp;"生成成长"),3))*(VLOOKUP($B$5,标准坦克设计!$B$14:$K$20,9)/30))</f>
        <v>5.5571823650256116</v>
      </c>
      <c r="CR171" s="172">
        <f ca="1">(VLOOKUP(CR$72,INDIRECT($C$5&amp;"生成成长"),2))/((VLOOKUP($B171,INDIRECT($B$5&amp;"生成成长"),4))/(VLOOKUP(CR$72,INDIRECT($C$5&amp;"生成成长"),5))*(VLOOKUP($B$5,标准坦克设计!$B$24:$U$30,MATCH("对"&amp;LEFT($C$5,2)&amp;"输出",标准坦克设计!$B$23:$U$23,0)))*(VLOOKUP($B171,INDIRECT($B$5&amp;"生成成长"),3))*(VLOOKUP($B$5,标准坦克设计!$B$14:$K$20,9)/30))</f>
        <v>6.0281085630215863</v>
      </c>
      <c r="CS171" s="172">
        <f ca="1">(VLOOKUP(CS$72,INDIRECT($C$5&amp;"生成成长"),2))/((VLOOKUP($B171,INDIRECT($B$5&amp;"生成成长"),4))/(VLOOKUP(CS$72,INDIRECT($C$5&amp;"生成成长"),5))*(VLOOKUP($B$5,标准坦克设计!$B$24:$U$30,MATCH("对"&amp;LEFT($C$5,2)&amp;"输出",标准坦克设计!$B$23:$U$23,0)))*(VLOOKUP($B171,INDIRECT($B$5&amp;"生成成长"),3))*(VLOOKUP($B$5,标准坦克设计!$B$14:$K$20,9)/30))</f>
        <v>6.5181851794203558</v>
      </c>
      <c r="CT171" s="172">
        <f ca="1">(VLOOKUP(CT$72,INDIRECT($C$5&amp;"生成成长"),2))/((VLOOKUP($B171,INDIRECT($B$5&amp;"生成成长"),4))/(VLOOKUP(CT$72,INDIRECT($C$5&amp;"生成成长"),5))*(VLOOKUP($B$5,标准坦克设计!$B$24:$U$30,MATCH("对"&amp;LEFT($C$5,2)&amp;"输出",标准坦克设计!$B$23:$U$23,0)))*(VLOOKUP($B171,INDIRECT($B$5&amp;"生成成长"),3))*(VLOOKUP($B$5,标准坦克设计!$B$14:$K$20,9)/30))</f>
        <v>7.0274122142219193</v>
      </c>
      <c r="CU171" s="172">
        <f ca="1">(VLOOKUP(CU$72,INDIRECT($C$5&amp;"生成成长"),2))/((VLOOKUP($B171,INDIRECT($B$5&amp;"生成成长"),4))/(VLOOKUP(CU$72,INDIRECT($C$5&amp;"生成成长"),5))*(VLOOKUP($B$5,标准坦克设计!$B$24:$U$30,MATCH("对"&amp;LEFT($C$5,2)&amp;"输出",标准坦克设计!$B$23:$U$23,0)))*(VLOOKUP($B171,INDIRECT($B$5&amp;"生成成长"),3))*(VLOOKUP($B$5,标准坦克设计!$B$14:$K$20,9)/30))</f>
        <v>7.5557896674262768</v>
      </c>
      <c r="CV171" s="172">
        <f ca="1">(VLOOKUP(CV$72,INDIRECT($C$5&amp;"生成成长"),2))/((VLOOKUP($B171,INDIRECT($B$5&amp;"生成成长"),4))/(VLOOKUP(CV$72,INDIRECT($C$5&amp;"生成成长"),5))*(VLOOKUP($B$5,标准坦克设计!$B$24:$U$30,MATCH("对"&amp;LEFT($C$5,2)&amp;"输出",标准坦克设计!$B$23:$U$23,0)))*(VLOOKUP($B171,INDIRECT($B$5&amp;"生成成长"),3))*(VLOOKUP($B$5,标准坦克设计!$B$14:$K$20,9)/30))</f>
        <v>8.1033175390334282</v>
      </c>
      <c r="CW171" s="172">
        <f ca="1">(VLOOKUP(CW$72,INDIRECT($C$5&amp;"生成成长"),2))/((VLOOKUP($B171,INDIRECT($B$5&amp;"生成成长"),4))/(VLOOKUP(CW$72,INDIRECT($C$5&amp;"生成成长"),5))*(VLOOKUP($B$5,标准坦克设计!$B$24:$U$30,MATCH("对"&amp;LEFT($C$5,2)&amp;"输出",标准坦克设计!$B$23:$U$23,0)))*(VLOOKUP($B171,INDIRECT($B$5&amp;"生成成长"),3))*(VLOOKUP($B$5,标准坦克设计!$B$14:$K$20,9)/30))</f>
        <v>8.6699958290433745</v>
      </c>
      <c r="CX171" s="172">
        <f ca="1">(VLOOKUP(CX$72,INDIRECT($C$5&amp;"生成成长"),2))/((VLOOKUP($B171,INDIRECT($B$5&amp;"生成成长"),4))/(VLOOKUP(CX$72,INDIRECT($C$5&amp;"生成成长"),5))*(VLOOKUP($B$5,标准坦克设计!$B$24:$U$30,MATCH("对"&amp;LEFT($C$5,2)&amp;"输出",标准坦克设计!$B$23:$U$23,0)))*(VLOOKUP($B171,INDIRECT($B$5&amp;"生成成长"),3))*(VLOOKUP($B$5,标准坦克设计!$B$14:$K$20,9)/30))</f>
        <v>9.2558245374561121</v>
      </c>
      <c r="CY171" s="172">
        <f ca="1">(VLOOKUP(CY$72,INDIRECT($C$5&amp;"生成成长"),2))/((VLOOKUP($B171,INDIRECT($B$5&amp;"生成成长"),4))/(VLOOKUP(CY$72,INDIRECT($C$5&amp;"生成成长"),5))*(VLOOKUP($B$5,标准坦克设计!$B$24:$U$30,MATCH("对"&amp;LEFT($C$5,2)&amp;"输出",标准坦克设计!$B$23:$U$23,0)))*(VLOOKUP($B171,INDIRECT($B$5&amp;"生成成长"),3))*(VLOOKUP($B$5,标准坦克设计!$B$14:$K$20,9)/30))</f>
        <v>9.8608036642716463</v>
      </c>
      <c r="CZ171" s="172">
        <f ca="1">(VLOOKUP(CZ$72,INDIRECT($C$5&amp;"生成成长"),2))/((VLOOKUP($B171,INDIRECT($B$5&amp;"生成成长"),4))/(VLOOKUP(CZ$72,INDIRECT($C$5&amp;"生成成长"),5))*(VLOOKUP($B$5,标准坦克设计!$B$24:$U$30,MATCH("对"&amp;LEFT($C$5,2)&amp;"输出",标准坦克设计!$B$23:$U$23,0)))*(VLOOKUP($B171,INDIRECT($B$5&amp;"生成成长"),3))*(VLOOKUP($B$5,标准坦克设计!$B$14:$K$20,9)/30))</f>
        <v>10.484933209489974</v>
      </c>
      <c r="DA171" s="172">
        <f ca="1">(VLOOKUP(DA$72,INDIRECT($C$5&amp;"生成成长"),2))/((VLOOKUP($B171,INDIRECT($B$5&amp;"生成成长"),4))/(VLOOKUP(DA$72,INDIRECT($C$5&amp;"生成成长"),5))*(VLOOKUP($B$5,标准坦克设计!$B$24:$U$30,MATCH("对"&amp;LEFT($C$5,2)&amp;"输出",标准坦克设计!$B$23:$U$23,0)))*(VLOOKUP($B171,INDIRECT($B$5&amp;"生成成长"),3))*(VLOOKUP($B$5,标准坦克设计!$B$14:$K$20,9)/30))</f>
        <v>11.128213173111094</v>
      </c>
      <c r="DB171" s="172">
        <f ca="1">(VLOOKUP(DB$72,INDIRECT($C$5&amp;"生成成长"),2))/((VLOOKUP($B171,INDIRECT($B$5&amp;"生成成长"),4))/(VLOOKUP(DB$72,INDIRECT($C$5&amp;"生成成长"),5))*(VLOOKUP($B$5,标准坦克设计!$B$24:$U$30,MATCH("对"&amp;LEFT($C$5,2)&amp;"输出",标准坦克设计!$B$23:$U$23,0)))*(VLOOKUP($B171,INDIRECT($B$5&amp;"生成成长"),3))*(VLOOKUP($B$5,标准坦克设计!$B$14:$K$20,9)/30))</f>
        <v>11.790643555135008</v>
      </c>
      <c r="DC171" s="172">
        <f ca="1">(VLOOKUP(DC$72,INDIRECT($C$5&amp;"生成成长"),2))/((VLOOKUP($B171,INDIRECT($B$5&amp;"生成成长"),4))/(VLOOKUP(DC$72,INDIRECT($C$5&amp;"生成成长"),5))*(VLOOKUP($B$5,标准坦克设计!$B$24:$U$30,MATCH("对"&amp;LEFT($C$5,2)&amp;"输出",标准坦克设计!$B$23:$U$23,0)))*(VLOOKUP($B171,INDIRECT($B$5&amp;"生成成长"),3))*(VLOOKUP($B$5,标准坦克设计!$B$14:$K$20,9)/30))</f>
        <v>12.535135854033703</v>
      </c>
      <c r="DD171" s="172">
        <f ca="1">(VLOOKUP(DD$72,INDIRECT($C$5&amp;"生成成长"),2))/((VLOOKUP($B171,INDIRECT($B$5&amp;"生成成长"),4))/(VLOOKUP(DD$72,INDIRECT($C$5&amp;"生成成长"),5))*(VLOOKUP($B$5,标准坦克设计!$B$24:$U$30,MATCH("对"&amp;LEFT($C$5,2)&amp;"输出",标准坦克设计!$B$23:$U$23,0)))*(VLOOKUP($B171,INDIRECT($B$5&amp;"生成成长"),3))*(VLOOKUP($B$5,标准坦克设计!$B$14:$K$20,9)/30))</f>
        <v>13.30241873351093</v>
      </c>
      <c r="DE171" s="172">
        <f ca="1">(VLOOKUP(DE$72,INDIRECT($C$5&amp;"生成成长"),2))/((VLOOKUP($B171,INDIRECT($B$5&amp;"生成成长"),4))/(VLOOKUP(DE$72,INDIRECT($C$5&amp;"生成成长"),5))*(VLOOKUP($B$5,标准坦克设计!$B$24:$U$30,MATCH("对"&amp;LEFT($C$5,2)&amp;"输出",标准坦克设计!$B$23:$U$23,0)))*(VLOOKUP($B171,INDIRECT($B$5&amp;"生成成长"),3))*(VLOOKUP($B$5,标准坦克设计!$B$14:$K$20,9)/30))</f>
        <v>14.092492193566688</v>
      </c>
      <c r="DF171" s="172">
        <f ca="1">(VLOOKUP(DF$72,INDIRECT($C$5&amp;"生成成长"),2))/((VLOOKUP($B171,INDIRECT($B$5&amp;"生成成长"),4))/(VLOOKUP(DF$72,INDIRECT($C$5&amp;"生成成长"),5))*(VLOOKUP($B$5,标准坦克设计!$B$24:$U$30,MATCH("对"&amp;LEFT($C$5,2)&amp;"输出",标准坦克设计!$B$23:$U$23,0)))*(VLOOKUP($B171,INDIRECT($B$5&amp;"生成成长"),3))*(VLOOKUP($B$5,标准坦克设计!$B$14:$K$20,9)/30))</f>
        <v>14.905356234200982</v>
      </c>
      <c r="DG171" s="172">
        <f ca="1">(VLOOKUP(DG$72,INDIRECT($C$5&amp;"生成成长"),2))/((VLOOKUP($B171,INDIRECT($B$5&amp;"生成成长"),4))/(VLOOKUP(DG$72,INDIRECT($C$5&amp;"生成成长"),5))*(VLOOKUP($B$5,标准坦克设计!$B$24:$U$30,MATCH("对"&amp;LEFT($C$5,2)&amp;"输出",标准坦克设计!$B$23:$U$23,0)))*(VLOOKUP($B171,INDIRECT($B$5&amp;"生成成长"),3))*(VLOOKUP($B$5,标准坦克设计!$B$14:$K$20,9)/30))</f>
        <v>15.741010855413803</v>
      </c>
      <c r="DH171" s="172">
        <f ca="1">(VLOOKUP(DH$72,INDIRECT($C$5&amp;"生成成长"),2))/((VLOOKUP($B171,INDIRECT($B$5&amp;"生成成长"),4))/(VLOOKUP(DH$72,INDIRECT($C$5&amp;"生成成长"),5))*(VLOOKUP($B$5,标准坦克设计!$B$24:$U$30,MATCH("对"&amp;LEFT($C$5,2)&amp;"输出",标准坦克设计!$B$23:$U$23,0)))*(VLOOKUP($B171,INDIRECT($B$5&amp;"生成成长"),3))*(VLOOKUP($B$5,标准坦克设计!$B$14:$K$20,9)/30))</f>
        <v>16.599456057205156</v>
      </c>
      <c r="DI171" s="172">
        <f ca="1">(VLOOKUP(DI$72,INDIRECT($C$5&amp;"生成成长"),2))/((VLOOKUP($B171,INDIRECT($B$5&amp;"生成成长"),4))/(VLOOKUP(DI$72,INDIRECT($C$5&amp;"生成成长"),5))*(VLOOKUP($B$5,标准坦克设计!$B$24:$U$30,MATCH("对"&amp;LEFT($C$5,2)&amp;"输出",标准坦克设计!$B$23:$U$23,0)))*(VLOOKUP($B171,INDIRECT($B$5&amp;"生成成长"),3))*(VLOOKUP($B$5,标准坦克设计!$B$14:$K$20,9)/30))</f>
        <v>17.480691839575044</v>
      </c>
      <c r="DJ171" s="172">
        <f ca="1">(VLOOKUP(DJ$72,INDIRECT($C$5&amp;"生成成长"),2))/((VLOOKUP($B171,INDIRECT($B$5&amp;"生成成长"),4))/(VLOOKUP(DJ$72,INDIRECT($C$5&amp;"生成成长"),5))*(VLOOKUP($B$5,标准坦克设计!$B$24:$U$30,MATCH("对"&amp;LEFT($C$5,2)&amp;"输出",标准坦克设计!$B$23:$U$23,0)))*(VLOOKUP($B171,INDIRECT($B$5&amp;"生成成长"),3))*(VLOOKUP($B$5,标准坦克设计!$B$14:$K$20,9)/30))</f>
        <v>1.7568530535554798</v>
      </c>
      <c r="DK171" s="172">
        <f ca="1">(VLOOKUP(DK$72,INDIRECT($C$5&amp;"生成成长"),2))/((VLOOKUP($B171,INDIRECT($B$5&amp;"生成成长"),4))/(VLOOKUP(DK$72,INDIRECT($C$5&amp;"生成成长"),5))*(VLOOKUP($B$5,标准坦克设计!$B$24:$U$30,MATCH("对"&amp;LEFT($C$5,2)&amp;"输出",标准坦克设计!$B$23:$U$23,0)))*(VLOOKUP($B171,INDIRECT($B$5&amp;"生成成长"),3))*(VLOOKUP($B$5,标准坦克设计!$B$14:$K$20,9)/30))</f>
        <v>1.9755001859807666</v>
      </c>
      <c r="DL171" s="172">
        <f ca="1">(VLOOKUP(DL$72,INDIRECT($C$5&amp;"生成成长"),2))/((VLOOKUP($B171,INDIRECT($B$5&amp;"生成成长"),4))/(VLOOKUP(DL$72,INDIRECT($C$5&amp;"生成成长"),5))*(VLOOKUP($B$5,标准坦克设计!$B$24:$U$30,MATCH("对"&amp;LEFT($C$5,2)&amp;"输出",标准坦克设计!$B$23:$U$23,0)))*(VLOOKUP($B171,INDIRECT($B$5&amp;"生成成长"),3))*(VLOOKUP($B$5,标准坦克设计!$B$14:$K$20,9)/30))</f>
        <v>2.2069670199814779</v>
      </c>
      <c r="DM171" s="172">
        <f ca="1">(VLOOKUP(DM$72,INDIRECT($C$5&amp;"生成成长"),2))/((VLOOKUP($B171,INDIRECT($B$5&amp;"生成成长"),4))/(VLOOKUP(DM$72,INDIRECT($C$5&amp;"生成成长"),5))*(VLOOKUP($B$5,标准坦克设计!$B$24:$U$30,MATCH("对"&amp;LEFT($C$5,2)&amp;"输出",标准坦克设计!$B$23:$U$23,0)))*(VLOOKUP($B171,INDIRECT($B$5&amp;"生成成长"),3))*(VLOOKUP($B$5,标准坦克设计!$B$14:$K$20,9)/30))</f>
        <v>2.4512535555576123</v>
      </c>
      <c r="DN171" s="172">
        <f ca="1">(VLOOKUP(DN$72,INDIRECT($C$5&amp;"生成成长"),2))/((VLOOKUP($B171,INDIRECT($B$5&amp;"生成成长"),4))/(VLOOKUP(DN$72,INDIRECT($C$5&amp;"生成成长"),5))*(VLOOKUP($B$5,标准坦克设计!$B$24:$U$30,MATCH("对"&amp;LEFT($C$5,2)&amp;"输出",标准坦克设计!$B$23:$U$23,0)))*(VLOOKUP($B171,INDIRECT($B$5&amp;"生成成长"),3))*(VLOOKUP($B$5,标准坦克设计!$B$14:$K$20,9)/30))</f>
        <v>2.7083597927091709</v>
      </c>
      <c r="DO171" s="172">
        <f ca="1">(VLOOKUP(DO$72,INDIRECT($C$5&amp;"生成成长"),2))/((VLOOKUP($B171,INDIRECT($B$5&amp;"生成成长"),4))/(VLOOKUP(DO$72,INDIRECT($C$5&amp;"生成成长"),5))*(VLOOKUP($B$5,标准坦克设计!$B$24:$U$30,MATCH("对"&amp;LEFT($C$5,2)&amp;"输出",标准坦克设计!$B$23:$U$23,0)))*(VLOOKUP($B171,INDIRECT($B$5&amp;"生成成长"),3))*(VLOOKUP($B$5,标准坦克设计!$B$14:$K$20,9)/30))</f>
        <v>2.9782857314361535</v>
      </c>
      <c r="DP171" s="172">
        <f ca="1">(VLOOKUP(DP$72,INDIRECT($C$5&amp;"生成成长"),2))/((VLOOKUP($B171,INDIRECT($B$5&amp;"生成成长"),4))/(VLOOKUP(DP$72,INDIRECT($C$5&amp;"生成成长"),5))*(VLOOKUP($B$5,标准坦克设计!$B$24:$U$30,MATCH("对"&amp;LEFT($C$5,2)&amp;"输出",标准坦克设计!$B$23:$U$23,0)))*(VLOOKUP($B171,INDIRECT($B$5&amp;"生成成长"),3))*(VLOOKUP($B$5,标准坦克设计!$B$14:$K$20,9)/30))</f>
        <v>3.2610313717385599</v>
      </c>
      <c r="DQ171" s="172">
        <f ca="1">(VLOOKUP(DQ$72,INDIRECT($C$5&amp;"生成成长"),2))/((VLOOKUP($B171,INDIRECT($B$5&amp;"生成成长"),4))/(VLOOKUP(DQ$72,INDIRECT($C$5&amp;"生成成长"),5))*(VLOOKUP($B$5,标准坦克设计!$B$24:$U$30,MATCH("对"&amp;LEFT($C$5,2)&amp;"输出",标准坦克设计!$B$23:$U$23,0)))*(VLOOKUP($B171,INDIRECT($B$5&amp;"生成成长"),3))*(VLOOKUP($B$5,标准坦克设计!$B$14:$K$20,9)/30))</f>
        <v>3.5565967136163907</v>
      </c>
      <c r="DR171" s="172">
        <f ca="1">(VLOOKUP(DR$72,INDIRECT($C$5&amp;"生成成长"),2))/((VLOOKUP($B171,INDIRECT($B$5&amp;"生成成长"),4))/(VLOOKUP(DR$72,INDIRECT($C$5&amp;"生成成长"),5))*(VLOOKUP($B$5,标准坦克设计!$B$24:$U$30,MATCH("对"&amp;LEFT($C$5,2)&amp;"输出",标准坦克设计!$B$23:$U$23,0)))*(VLOOKUP($B171,INDIRECT($B$5&amp;"生成成长"),3))*(VLOOKUP($B$5,标准坦克设计!$B$14:$K$20,9)/30))</f>
        <v>3.8649817570696454</v>
      </c>
      <c r="DS171" s="172">
        <f ca="1">(VLOOKUP(DS$72,INDIRECT($C$5&amp;"生成成长"),2))/((VLOOKUP($B171,INDIRECT($B$5&amp;"生成成长"),4))/(VLOOKUP(DS$72,INDIRECT($C$5&amp;"生成成长"),5))*(VLOOKUP($B$5,标准坦克设计!$B$24:$U$30,MATCH("对"&amp;LEFT($C$5,2)&amp;"输出",标准坦克设计!$B$23:$U$23,0)))*(VLOOKUP($B171,INDIRECT($B$5&amp;"生成成长"),3))*(VLOOKUP($B$5,标准坦克设计!$B$14:$K$20,9)/30))</f>
        <v>4.1861865020983249</v>
      </c>
      <c r="DT171" s="172">
        <f ca="1">(VLOOKUP(DT$72,INDIRECT($C$5&amp;"生成成长"),2))/((VLOOKUP($B171,INDIRECT($B$5&amp;"生成成长"),4))/(VLOOKUP(DT$72,INDIRECT($C$5&amp;"生成成长"),5))*(VLOOKUP($B$5,标准坦克设计!$B$24:$U$30,MATCH("对"&amp;LEFT($C$5,2)&amp;"输出",标准坦克设计!$B$23:$U$23,0)))*(VLOOKUP($B171,INDIRECT($B$5&amp;"生成成长"),3))*(VLOOKUP($B$5,标准坦克设计!$B$14:$K$20,9)/30))</f>
        <v>4.5961795506308647</v>
      </c>
      <c r="DU171" s="172">
        <f ca="1">(VLOOKUP(DU$72,INDIRECT($C$5&amp;"生成成长"),2))/((VLOOKUP($B171,INDIRECT($B$5&amp;"生成成长"),4))/(VLOOKUP(DU$72,INDIRECT($C$5&amp;"生成成长"),5))*(VLOOKUP($B$5,标准坦克设计!$B$24:$U$30,MATCH("对"&amp;LEFT($C$5,2)&amp;"输出",标准坦克设计!$B$23:$U$23,0)))*(VLOOKUP($B171,INDIRECT($B$5&amp;"生成成长"),3))*(VLOOKUP($B$5,标准坦克设计!$B$14:$K$20,9)/30))</f>
        <v>5.0253230175661994</v>
      </c>
      <c r="DV171" s="172">
        <f ca="1">(VLOOKUP(DV$72,INDIRECT($C$5&amp;"生成成长"),2))/((VLOOKUP($B171,INDIRECT($B$5&amp;"生成成长"),4))/(VLOOKUP(DV$72,INDIRECT($C$5&amp;"生成成长"),5))*(VLOOKUP($B$5,标准坦克设计!$B$24:$U$30,MATCH("对"&amp;LEFT($C$5,2)&amp;"输出",标准坦克设计!$B$23:$U$23,0)))*(VLOOKUP($B171,INDIRECT($B$5&amp;"生成成长"),3))*(VLOOKUP($B$5,标准坦克设计!$B$14:$K$20,9)/30))</f>
        <v>5.473616902904328</v>
      </c>
      <c r="DW171" s="172">
        <f ca="1">(VLOOKUP(DW$72,INDIRECT($C$5&amp;"生成成长"),2))/((VLOOKUP($B171,INDIRECT($B$5&amp;"生成成长"),4))/(VLOOKUP(DW$72,INDIRECT($C$5&amp;"生成成长"),5))*(VLOOKUP($B$5,标准坦克设计!$B$24:$U$30,MATCH("对"&amp;LEFT($C$5,2)&amp;"输出",标准坦克设计!$B$23:$U$23,0)))*(VLOOKUP($B171,INDIRECT($B$5&amp;"生成成长"),3))*(VLOOKUP($B$5,标准坦克设计!$B$14:$K$20,9)/30))</f>
        <v>5.9410612066452515</v>
      </c>
      <c r="DX171" s="172">
        <f ca="1">(VLOOKUP(DX$72,INDIRECT($C$5&amp;"生成成长"),2))/((VLOOKUP($B171,INDIRECT($B$5&amp;"生成成长"),4))/(VLOOKUP(DX$72,INDIRECT($C$5&amp;"生成成长"),5))*(VLOOKUP($B$5,标准坦克设计!$B$24:$U$30,MATCH("对"&amp;LEFT($C$5,2)&amp;"输出",标准坦克设计!$B$23:$U$23,0)))*(VLOOKUP($B171,INDIRECT($B$5&amp;"生成成长"),3))*(VLOOKUP($B$5,标准坦克设计!$B$14:$K$20,9)/30))</f>
        <v>6.4276559287889672</v>
      </c>
      <c r="DY171" s="172">
        <f ca="1">(VLOOKUP(DY$72,INDIRECT($C$5&amp;"生成成长"),2))/((VLOOKUP($B171,INDIRECT($B$5&amp;"生成成长"),4))/(VLOOKUP(DY$72,INDIRECT($C$5&amp;"生成成长"),5))*(VLOOKUP($B$5,标准坦克设计!$B$24:$U$30,MATCH("对"&amp;LEFT($C$5,2)&amp;"输出",标准坦克设计!$B$23:$U$23,0)))*(VLOOKUP($B171,INDIRECT($B$5&amp;"生成成长"),3))*(VLOOKUP($B$5,标准坦克设计!$B$14:$K$20,9)/30))</f>
        <v>2.8868860072410008</v>
      </c>
      <c r="DZ171" s="172">
        <f ca="1">(VLOOKUP(DZ$72,INDIRECT($C$5&amp;"生成成长"),2))/((VLOOKUP($B171,INDIRECT($B$5&amp;"生成成长"),4))/(VLOOKUP(DZ$72,INDIRECT($C$5&amp;"生成成长"),5))*(VLOOKUP($B$5,标准坦克设计!$B$24:$U$30,MATCH("对"&amp;LEFT($C$5,2)&amp;"输出",标准坦克设计!$B$23:$U$23,0)))*(VLOOKUP($B171,INDIRECT($B$5&amp;"生成成长"),3))*(VLOOKUP($B$5,标准坦克设计!$B$14:$K$20,9)/30))</f>
        <v>3.1970911317821242</v>
      </c>
      <c r="EA171" s="172">
        <f ca="1">(VLOOKUP(EA$72,INDIRECT($C$5&amp;"生成成长"),2))/((VLOOKUP($B171,INDIRECT($B$5&amp;"生成成长"),4))/(VLOOKUP(EA$72,INDIRECT($C$5&amp;"生成成长"),5))*(VLOOKUP($B$5,标准坦克设计!$B$24:$U$30,MATCH("对"&amp;LEFT($C$5,2)&amp;"输出",标准坦克设计!$B$23:$U$23,0)))*(VLOOKUP($B171,INDIRECT($B$5&amp;"生成成长"),3))*(VLOOKUP($B$5,标准坦克设计!$B$14:$K$20,9)/30))</f>
        <v>3.523123048391672</v>
      </c>
      <c r="EB171" s="172">
        <f ca="1">(VLOOKUP(EB$72,INDIRECT($C$5&amp;"生成成长"),2))/((VLOOKUP($B171,INDIRECT($B$5&amp;"生成成长"),4))/(VLOOKUP(EB$72,INDIRECT($C$5&amp;"生成成长"),5))*(VLOOKUP($B$5,标准坦克设计!$B$24:$U$30,MATCH("对"&amp;LEFT($C$5,2)&amp;"输出",标准坦克设计!$B$23:$U$23,0)))*(VLOOKUP($B171,INDIRECT($B$5&amp;"生成成长"),3))*(VLOOKUP($B$5,标准坦克设计!$B$14:$K$20,9)/30))</f>
        <v>3.8649817570696454</v>
      </c>
      <c r="EC171" s="172">
        <f ca="1">(VLOOKUP(EC$72,INDIRECT($C$5&amp;"生成成长"),2))/((VLOOKUP($B171,INDIRECT($B$5&amp;"生成成长"),4))/(VLOOKUP(EC$72,INDIRECT($C$5&amp;"生成成长"),5))*(VLOOKUP($B$5,标准坦克设计!$B$24:$U$30,MATCH("对"&amp;LEFT($C$5,2)&amp;"输出",标准坦克设计!$B$23:$U$23,0)))*(VLOOKUP($B171,INDIRECT($B$5&amp;"生成成长"),3))*(VLOOKUP($B$5,标准坦克设计!$B$14:$K$20,9)/30))</f>
        <v>4.2226672578160427</v>
      </c>
      <c r="ED171" s="172">
        <f ca="1">(VLOOKUP(ED$72,INDIRECT($C$5&amp;"生成成长"),2))/((VLOOKUP($B171,INDIRECT($B$5&amp;"生成成长"),4))/(VLOOKUP(ED$72,INDIRECT($C$5&amp;"生成成长"),5))*(VLOOKUP($B$5,标准坦克设计!$B$24:$U$30,MATCH("对"&amp;LEFT($C$5,2)&amp;"输出",标准坦克设计!$B$23:$U$23,0)))*(VLOOKUP($B171,INDIRECT($B$5&amp;"生成成长"),3))*(VLOOKUP($B$5,标准坦克设计!$B$14:$K$20,9)/30))</f>
        <v>4.5961795506308647</v>
      </c>
      <c r="EE171" s="172">
        <f ca="1">(VLOOKUP(EE$72,INDIRECT($C$5&amp;"生成成长"),2))/((VLOOKUP($B171,INDIRECT($B$5&amp;"生成成长"),4))/(VLOOKUP(EE$72,INDIRECT($C$5&amp;"生成成长"),5))*(VLOOKUP($B$5,标准坦克设计!$B$24:$U$30,MATCH("对"&amp;LEFT($C$5,2)&amp;"输出",标准坦克设计!$B$23:$U$23,0)))*(VLOOKUP($B171,INDIRECT($B$5&amp;"生成成长"),3))*(VLOOKUP($B$5,标准坦克设计!$B$14:$K$20,9)/30))</f>
        <v>4.9855186355141115</v>
      </c>
      <c r="EF171" s="172">
        <f ca="1">(VLOOKUP(EF$72,INDIRECT($C$5&amp;"生成成长"),2))/((VLOOKUP($B171,INDIRECT($B$5&amp;"生成成长"),4))/(VLOOKUP(EF$72,INDIRECT($C$5&amp;"生成成长"),5))*(VLOOKUP($B$5,标准坦克设计!$B$24:$U$30,MATCH("对"&amp;LEFT($C$5,2)&amp;"输出",标准坦克设计!$B$23:$U$23,0)))*(VLOOKUP($B171,INDIRECT($B$5&amp;"生成成长"),3))*(VLOOKUP($B$5,标准坦克设计!$B$14:$K$20,9)/30))</f>
        <v>5.390684512465783</v>
      </c>
      <c r="EG171" s="172">
        <f ca="1">(VLOOKUP(EG$72,INDIRECT($C$5&amp;"生成成长"),2))/((VLOOKUP($B171,INDIRECT($B$5&amp;"生成成长"),4))/(VLOOKUP(EG$72,INDIRECT($C$5&amp;"生成成长"),5))*(VLOOKUP($B$5,标准坦克设计!$B$24:$U$30,MATCH("对"&amp;LEFT($C$5,2)&amp;"输出",标准坦克设计!$B$23:$U$23,0)))*(VLOOKUP($B171,INDIRECT($B$5&amp;"生成成长"),3))*(VLOOKUP($B$5,标准坦克设计!$B$14:$K$20,9)/30))</f>
        <v>5.8116771814858792</v>
      </c>
      <c r="EH171" s="172">
        <f ca="1">(VLOOKUP(EH$72,INDIRECT($C$5&amp;"生成成长"),2))/((VLOOKUP($B171,INDIRECT($B$5&amp;"生成成长"),4))/(VLOOKUP(EH$72,INDIRECT($C$5&amp;"生成成长"),5))*(VLOOKUP($B$5,标准坦克设计!$B$24:$U$30,MATCH("对"&amp;LEFT($C$5,2)&amp;"输出",标准坦克设计!$B$23:$U$23,0)))*(VLOOKUP($B171,INDIRECT($B$5&amp;"生成成长"),3))*(VLOOKUP($B$5,标准坦克设计!$B$14:$K$20,9)/30))</f>
        <v>6.2484966425743984</v>
      </c>
      <c r="EI171" s="172">
        <f ca="1">(VLOOKUP(EI$72,INDIRECT($C$5&amp;"生成成长"),2))/((VLOOKUP($B171,INDIRECT($B$5&amp;"生成成长"),4))/(VLOOKUP(EI$72,INDIRECT($C$5&amp;"生成成长"),5))*(VLOOKUP($B$5,标准坦克设计!$B$24:$U$30,MATCH("对"&amp;LEFT($C$5,2)&amp;"输出",标准坦克设计!$B$23:$U$23,0)))*(VLOOKUP($B171,INDIRECT($B$5&amp;"生成成长"),3))*(VLOOKUP($B$5,标准坦克设计!$B$14:$K$20,9)/30))</f>
        <v>6.7011428957313459</v>
      </c>
      <c r="EJ171" s="172">
        <f ca="1">(VLOOKUP(EJ$72,INDIRECT($C$5&amp;"生成成长"),2))/((VLOOKUP($B171,INDIRECT($B$5&amp;"生成成长"),4))/(VLOOKUP(EJ$72,INDIRECT($C$5&amp;"生成成长"),5))*(VLOOKUP($B$5,标准坦克设计!$B$24:$U$30,MATCH("对"&amp;LEFT($C$5,2)&amp;"输出",标准坦克设计!$B$23:$U$23,0)))*(VLOOKUP($B171,INDIRECT($B$5&amp;"生成成长"),3))*(VLOOKUP($B$5,标准坦克设计!$B$14:$K$20,9)/30))</f>
        <v>7.1696159409567155</v>
      </c>
      <c r="EK171" s="172">
        <f ca="1">(VLOOKUP(EK$72,INDIRECT($C$5&amp;"生成成长"),2))/((VLOOKUP($B171,INDIRECT($B$5&amp;"生成成长"),4))/(VLOOKUP(EK$72,INDIRECT($C$5&amp;"生成成长"),5))*(VLOOKUP($B$5,标准坦克设计!$B$24:$U$30,MATCH("对"&amp;LEFT($C$5,2)&amp;"输出",标准坦克设计!$B$23:$U$23,0)))*(VLOOKUP($B171,INDIRECT($B$5&amp;"生成成长"),3))*(VLOOKUP($B$5,标准坦克设计!$B$14:$K$20,9)/30))</f>
        <v>7.7526749607574796</v>
      </c>
      <c r="EL171" s="172">
        <f ca="1">(VLOOKUP(EL$72,INDIRECT($C$5&amp;"生成成长"),2))/((VLOOKUP($B171,INDIRECT($B$5&amp;"生成成长"),4))/(VLOOKUP(EL$72,INDIRECT($C$5&amp;"生成成长"),5))*(VLOOKUP($B$5,标准坦克设计!$B$24:$U$30,MATCH("对"&amp;LEFT($C$5,2)&amp;"输出",标准坦克设计!$B$23:$U$23,0)))*(VLOOKUP($B171,INDIRECT($B$5&amp;"生成成长"),3))*(VLOOKUP($B$5,标准坦克设计!$B$14:$K$20,9)/30))</f>
        <v>8.3585245611367736</v>
      </c>
      <c r="EM171" s="172">
        <f ca="1">(VLOOKUP(EM$72,INDIRECT($C$5&amp;"生成成长"),2))/((VLOOKUP($B171,INDIRECT($B$5&amp;"生成成长"),4))/(VLOOKUP(EM$72,INDIRECT($C$5&amp;"生成成长"),5))*(VLOOKUP($B$5,标准坦克设计!$B$24:$U$30,MATCH("对"&amp;LEFT($C$5,2)&amp;"输出",标准坦克设计!$B$23:$U$23,0)))*(VLOOKUP($B171,INDIRECT($B$5&amp;"生成成长"),3))*(VLOOKUP($B$5,标准坦克设计!$B$14:$K$20,9)/30))</f>
        <v>8.9871647420946026</v>
      </c>
      <c r="EN171" s="172">
        <f ca="1">(VLOOKUP(EN$72,INDIRECT($C$5&amp;"生成成长"),2))/((VLOOKUP($B171,INDIRECT($B$5&amp;"生成成长"),4))/(VLOOKUP(EN$72,INDIRECT($C$5&amp;"生成成长"),5))*(VLOOKUP($B$5,标准坦克设计!$B$24:$U$30,MATCH("对"&amp;LEFT($C$5,2)&amp;"输出",标准坦克设计!$B$23:$U$23,0)))*(VLOOKUP($B171,INDIRECT($B$5&amp;"生成成长"),3))*(VLOOKUP($B$5,标准坦克设计!$B$14:$K$20,9)/30))</f>
        <v>9.6385955036309632</v>
      </c>
      <c r="EO171" s="172">
        <f ca="1">(VLOOKUP(EO$72,INDIRECT($C$5&amp;"生成成长"),2))/((VLOOKUP($B171,INDIRECT($B$5&amp;"生成成长"),4))/(VLOOKUP(EO$72,INDIRECT($C$5&amp;"生成成长"),5))*(VLOOKUP($B$5,标准坦克设计!$B$24:$U$30,MATCH("对"&amp;LEFT($C$5,2)&amp;"输出",标准坦克设计!$B$23:$U$23,0)))*(VLOOKUP($B171,INDIRECT($B$5&amp;"生成成长"),3))*(VLOOKUP($B$5,标准坦克设计!$B$14:$K$20,9)/30))</f>
        <v>10.312816845745854</v>
      </c>
      <c r="EP171" s="172">
        <f ca="1">(VLOOKUP(EP$72,INDIRECT($C$5&amp;"生成成长"),2))/((VLOOKUP($B171,INDIRECT($B$5&amp;"生成成长"),4))/(VLOOKUP(EP$72,INDIRECT($C$5&amp;"生成成长"),5))*(VLOOKUP($B$5,标准坦克设计!$B$24:$U$30,MATCH("对"&amp;LEFT($C$5,2)&amp;"输出",标准坦克设计!$B$23:$U$23,0)))*(VLOOKUP($B171,INDIRECT($B$5&amp;"生成成长"),3))*(VLOOKUP($B$5,标准坦克设计!$B$14:$K$20,9)/30))</f>
        <v>11.009828768439275</v>
      </c>
      <c r="EQ171" s="172">
        <f ca="1">(VLOOKUP(EQ$72,INDIRECT($C$5&amp;"生成成长"),2))/((VLOOKUP($B171,INDIRECT($B$5&amp;"生成成长"),4))/(VLOOKUP(EQ$72,INDIRECT($C$5&amp;"生成成长"),5))*(VLOOKUP($B$5,标准坦克设计!$B$24:$U$30,MATCH("对"&amp;LEFT($C$5,2)&amp;"输出",标准坦克设计!$B$23:$U$23,0)))*(VLOOKUP($B171,INDIRECT($B$5&amp;"生成成长"),3))*(VLOOKUP($B$5,标准坦克设计!$B$14:$K$20,9)/30))</f>
        <v>4.8670550968819519</v>
      </c>
      <c r="ER171" s="172">
        <f ca="1">(VLOOKUP(ER$72,INDIRECT($C$5&amp;"生成成长"),2))/((VLOOKUP($B171,INDIRECT($B$5&amp;"生成成长"),4))/(VLOOKUP(ER$72,INDIRECT($C$5&amp;"生成成长"),5))*(VLOOKUP($B$5,标准坦克设计!$B$24:$U$30,MATCH("对"&amp;LEFT($C$5,2)&amp;"输出",标准坦克设计!$B$23:$U$23,0)))*(VLOOKUP($B171,INDIRECT($B$5&amp;"生成成长"),3))*(VLOOKUP($B$5,标准坦克设计!$B$14:$K$20,9)/30))</f>
        <v>5.3083851937099746</v>
      </c>
      <c r="ES171" s="172">
        <f ca="1">(VLOOKUP(ES$72,INDIRECT($C$5&amp;"生成成长"),2))/((VLOOKUP($B171,INDIRECT($B$5&amp;"生成成长"),4))/(VLOOKUP(ES$72,INDIRECT($C$5&amp;"生成成长"),5))*(VLOOKUP($B$5,标准坦克设计!$B$24:$U$30,MATCH("对"&amp;LEFT($C$5,2)&amp;"输出",标准坦克设计!$B$23:$U$23,0)))*(VLOOKUP($B171,INDIRECT($B$5&amp;"生成成长"),3))*(VLOOKUP($B$5,标准坦克设计!$B$14:$K$20,9)/30))</f>
        <v>5.7688657089407904</v>
      </c>
      <c r="ET171" s="172">
        <f ca="1">(VLOOKUP(ET$72,INDIRECT($C$5&amp;"生成成长"),2))/((VLOOKUP($B171,INDIRECT($B$5&amp;"生成成长"),4))/(VLOOKUP(ET$72,INDIRECT($C$5&amp;"生成成长"),5))*(VLOOKUP($B$5,标准坦克设计!$B$24:$U$30,MATCH("对"&amp;LEFT($C$5,2)&amp;"输出",标准坦克设计!$B$23:$U$23,0)))*(VLOOKUP($B171,INDIRECT($B$5&amp;"生成成长"),3))*(VLOOKUP($B$5,标准坦克设计!$B$14:$K$20,9)/30))</f>
        <v>6.2484966425743984</v>
      </c>
      <c r="EU171" s="172">
        <f ca="1">(VLOOKUP(EU$72,INDIRECT($C$5&amp;"生成成长"),2))/((VLOOKUP($B171,INDIRECT($B$5&amp;"生成成长"),4))/(VLOOKUP(EU$72,INDIRECT($C$5&amp;"生成成长"),5))*(VLOOKUP($B$5,标准坦克设计!$B$24:$U$30,MATCH("对"&amp;LEFT($C$5,2)&amp;"输出",标准坦克设计!$B$23:$U$23,0)))*(VLOOKUP($B171,INDIRECT($B$5&amp;"生成成长"),3))*(VLOOKUP($B$5,标准坦克设计!$B$14:$K$20,9)/30))</f>
        <v>6.7472779946108021</v>
      </c>
      <c r="EV171" s="172">
        <f ca="1">(VLOOKUP(EV$72,INDIRECT($C$5&amp;"生成成长"),2))/((VLOOKUP($B171,INDIRECT($B$5&amp;"生成成长"),4))/(VLOOKUP(EV$72,INDIRECT($C$5&amp;"生成成长"),5))*(VLOOKUP($B$5,标准坦克设计!$B$24:$U$30,MATCH("对"&amp;LEFT($C$5,2)&amp;"输出",标准坦克设计!$B$23:$U$23,0)))*(VLOOKUP($B171,INDIRECT($B$5&amp;"生成成长"),3))*(VLOOKUP($B$5,标准坦克设计!$B$14:$K$20,9)/30))</f>
        <v>7.2652097650499989</v>
      </c>
      <c r="EW171" s="172">
        <f ca="1">(VLOOKUP(EW$72,INDIRECT($C$5&amp;"生成成长"),2))/((VLOOKUP($B171,INDIRECT($B$5&amp;"生成成长"),4))/(VLOOKUP(EW$72,INDIRECT($C$5&amp;"生成成长"),5))*(VLOOKUP($B$5,标准坦克设计!$B$24:$U$30,MATCH("对"&amp;LEFT($C$5,2)&amp;"输出",标准坦克设计!$B$23:$U$23,0)))*(VLOOKUP($B171,INDIRECT($B$5&amp;"生成成长"),3))*(VLOOKUP($B$5,标准坦克设计!$B$14:$K$20,9)/30))</f>
        <v>7.8022919538919897</v>
      </c>
      <c r="EX171" s="172">
        <f ca="1">(VLOOKUP(EX$72,INDIRECT($C$5&amp;"生成成长"),2))/((VLOOKUP($B171,INDIRECT($B$5&amp;"生成成长"),4))/(VLOOKUP(EX$72,INDIRECT($C$5&amp;"生成成长"),5))*(VLOOKUP($B$5,标准坦克设计!$B$24:$U$30,MATCH("对"&amp;LEFT($C$5,2)&amp;"输出",标准坦克设计!$B$23:$U$23,0)))*(VLOOKUP($B171,INDIRECT($B$5&amp;"生成成长"),3))*(VLOOKUP($B$5,标准坦克设计!$B$14:$K$20,9)/30))</f>
        <v>8.3585245611367736</v>
      </c>
      <c r="EY171" s="172">
        <f ca="1">(VLOOKUP(EY$72,INDIRECT($C$5&amp;"生成成长"),2))/((VLOOKUP($B171,INDIRECT($B$5&amp;"生成成长"),4))/(VLOOKUP(EY$72,INDIRECT($C$5&amp;"生成成长"),5))*(VLOOKUP($B$5,标准坦克设计!$B$24:$U$30,MATCH("对"&amp;LEFT($C$5,2)&amp;"输出",标准坦克设计!$B$23:$U$23,0)))*(VLOOKUP($B171,INDIRECT($B$5&amp;"生成成长"),3))*(VLOOKUP($B$5,标准坦克设计!$B$14:$K$20,9)/30))</f>
        <v>8.933907586784354</v>
      </c>
      <c r="EZ171" s="172">
        <f ca="1">(VLOOKUP(EZ$72,INDIRECT($C$5&amp;"生成成长"),2))/((VLOOKUP($B171,INDIRECT($B$5&amp;"生成成长"),4))/(VLOOKUP(EZ$72,INDIRECT($C$5&amp;"生成成长"),5))*(VLOOKUP($B$5,标准坦克设计!$B$24:$U$30,MATCH("对"&amp;LEFT($C$5,2)&amp;"输出",标准坦克设计!$B$23:$U$23,0)))*(VLOOKUP($B171,INDIRECT($B$5&amp;"生成成长"),3))*(VLOOKUP($B$5,标准坦克设计!$B$14:$K$20,9)/30))</f>
        <v>9.5284410308347276</v>
      </c>
      <c r="FA171" s="172">
        <f ca="1">(VLOOKUP(FA$72,INDIRECT($C$5&amp;"生成成长"),2))/((VLOOKUP($B171,INDIRECT($B$5&amp;"生成成长"),4))/(VLOOKUP(FA$72,INDIRECT($C$5&amp;"生成成长"),5))*(VLOOKUP($B$5,标准坦克设计!$B$24:$U$30,MATCH("对"&amp;LEFT($C$5,2)&amp;"输出",标准坦克设计!$B$23:$U$23,0)))*(VLOOKUP($B171,INDIRECT($B$5&amp;"生成成长"),3))*(VLOOKUP($B$5,标准坦克设计!$B$14:$K$20,9)/30))</f>
        <v>10.142124893287892</v>
      </c>
      <c r="FB171" s="172">
        <f ca="1">(VLOOKUP(FB$72,INDIRECT($C$5&amp;"生成成长"),2))/((VLOOKUP($B171,INDIRECT($B$5&amp;"生成成长"),4))/(VLOOKUP(FB$72,INDIRECT($C$5&amp;"生成成长"),5))*(VLOOKUP($B$5,标准坦克设计!$B$24:$U$30,MATCH("对"&amp;LEFT($C$5,2)&amp;"输出",标准坦克设计!$B$23:$U$23,0)))*(VLOOKUP($B171,INDIRECT($B$5&amp;"生成成长"),3))*(VLOOKUP($B$5,标准坦克设计!$B$14:$K$20,9)/30))</f>
        <v>10.774959174143854</v>
      </c>
      <c r="FC171" s="172">
        <f ca="1">(VLOOKUP(FC$72,INDIRECT($C$5&amp;"生成成长"),2))/((VLOOKUP($B171,INDIRECT($B$5&amp;"生成成长"),4))/(VLOOKUP(FC$72,INDIRECT($C$5&amp;"生成成长"),5))*(VLOOKUP($B$5,标准坦克设计!$B$24:$U$30,MATCH("对"&amp;LEFT($C$5,2)&amp;"输出",标准坦克设计!$B$23:$U$23,0)))*(VLOOKUP($B171,INDIRECT($B$5&amp;"生成成长"),3))*(VLOOKUP($B$5,标准坦克设计!$B$14:$K$20,9)/30))</f>
        <v>11.426943873402609</v>
      </c>
      <c r="FD171" s="172">
        <f ca="1">(VLOOKUP(FD$72,INDIRECT($C$5&amp;"生成成长"),2))/((VLOOKUP($B171,INDIRECT($B$5&amp;"生成成长"),4))/(VLOOKUP(FD$72,INDIRECT($C$5&amp;"生成成长"),5))*(VLOOKUP($B$5,标准坦克设计!$B$24:$U$30,MATCH("对"&amp;LEFT($C$5,2)&amp;"输出",标准坦克设计!$B$23:$U$23,0)))*(VLOOKUP($B171,INDIRECT($B$5&amp;"生成成长"),3))*(VLOOKUP($B$5,标准坦克设计!$B$14:$K$20,9)/30))</f>
        <v>12.098078991064156</v>
      </c>
      <c r="FE171" s="172">
        <f ca="1">(VLOOKUP(FE$72,INDIRECT($C$5&amp;"生成成长"),2))/((VLOOKUP($B171,INDIRECT($B$5&amp;"生成成长"),4))/(VLOOKUP(FE$72,INDIRECT($C$5&amp;"生成成长"),5))*(VLOOKUP($B$5,标准坦克设计!$B$24:$U$30,MATCH("对"&amp;LEFT($C$5,2)&amp;"输出",标准坦克设计!$B$23:$U$23,0)))*(VLOOKUP($B171,INDIRECT($B$5&amp;"生成成长"),3))*(VLOOKUP($B$5,标准坦克设计!$B$14:$K$20,9)/30))</f>
        <v>12.915928471200003</v>
      </c>
      <c r="FF171" s="172">
        <f ca="1">(VLOOKUP(FF$72,INDIRECT($C$5&amp;"生成成长"),2))/((VLOOKUP($B171,INDIRECT($B$5&amp;"生成成长"),4))/(VLOOKUP(FF$72,INDIRECT($C$5&amp;"生成成长"),5))*(VLOOKUP($B$5,标准坦克设计!$B$24:$U$30,MATCH("对"&amp;LEFT($C$5,2)&amp;"输出",标准坦克设计!$B$23:$U$23,0)))*(VLOOKUP($B171,INDIRECT($B$5&amp;"生成成长"),3))*(VLOOKUP($B$5,标准坦克设计!$B$14:$K$20,9)/30))</f>
        <v>13.760525229931483</v>
      </c>
      <c r="FG171" s="172">
        <f ca="1">(VLOOKUP(FG$72,INDIRECT($C$5&amp;"生成成长"),2))/((VLOOKUP($B171,INDIRECT($B$5&amp;"生成成长"),4))/(VLOOKUP(FG$72,INDIRECT($C$5&amp;"生成成长"),5))*(VLOOKUP($B$5,标准坦克设计!$B$24:$U$30,MATCH("对"&amp;LEFT($C$5,2)&amp;"输出",标准坦克设计!$B$23:$U$23,0)))*(VLOOKUP($B171,INDIRECT($B$5&amp;"生成成长"),3))*(VLOOKUP($B$5,标准坦克设计!$B$14:$K$20,9)/30))</f>
        <v>14.631869267258605</v>
      </c>
      <c r="FH171" s="172">
        <f ca="1">(VLOOKUP(FH$72,INDIRECT($C$5&amp;"生成成长"),2))/((VLOOKUP($B171,INDIRECT($B$5&amp;"生成成长"),4))/(VLOOKUP(FH$72,INDIRECT($C$5&amp;"生成成长"),5))*(VLOOKUP($B$5,标准坦克设计!$B$24:$U$30,MATCH("对"&amp;LEFT($C$5,2)&amp;"输出",标准坦克设计!$B$23:$U$23,0)))*(VLOOKUP($B171,INDIRECT($B$5&amp;"生成成长"),3))*(VLOOKUP($B$5,标准坦克设计!$B$14:$K$20,9)/30))</f>
        <v>15.529960583181362</v>
      </c>
      <c r="FI171" s="172">
        <f ca="1">(VLOOKUP(FI$72,INDIRECT($C$5&amp;"生成成长"),2))/((VLOOKUP($B171,INDIRECT($B$5&amp;"生成成长"),4))/(VLOOKUP(FI$72,INDIRECT($C$5&amp;"生成成长"),5))*(VLOOKUP($B$5,标准坦克设计!$B$24:$U$30,MATCH("对"&amp;LEFT($C$5,2)&amp;"输出",标准坦克设计!$B$23:$U$23,0)))*(VLOOKUP($B171,INDIRECT($B$5&amp;"生成成长"),3))*(VLOOKUP($B$5,标准坦克设计!$B$14:$K$20,9)/30))</f>
        <v>16.454799177699755</v>
      </c>
      <c r="FJ171" s="172">
        <f ca="1">(VLOOKUP(FJ$72,INDIRECT($C$5&amp;"生成成长"),2))/((VLOOKUP($B171,INDIRECT($B$5&amp;"生成成长"),4))/(VLOOKUP(FJ$72,INDIRECT($C$5&amp;"生成成长"),5))*(VLOOKUP($B$5,标准坦克设计!$B$24:$U$30,MATCH("对"&amp;LEFT($C$5,2)&amp;"输出",标准坦克设计!$B$23:$U$23,0)))*(VLOOKUP($B171,INDIRECT($B$5&amp;"生成成长"),3))*(VLOOKUP($B$5,标准坦克设计!$B$14:$K$20,9)/30))</f>
        <v>17.406385050813789</v>
      </c>
      <c r="FK171" s="172">
        <f ca="1">(VLOOKUP(FK$72,INDIRECT($C$5&amp;"生成成长"),2))/((VLOOKUP($B171,INDIRECT($B$5&amp;"生成成长"),4))/(VLOOKUP(FK$72,INDIRECT($C$5&amp;"生成成长"),5))*(VLOOKUP($B$5,标准坦克设计!$B$24:$U$30,MATCH("对"&amp;LEFT($C$5,2)&amp;"输出",标准坦克设计!$B$23:$U$23,0)))*(VLOOKUP($B171,INDIRECT($B$5&amp;"生成成长"),3))*(VLOOKUP($B$5,标准坦克设计!$B$14:$K$20,9)/30))</f>
        <v>18.384718202523459</v>
      </c>
    </row>
    <row r="172" spans="1:167" x14ac:dyDescent="0.15">
      <c r="A172" s="170" t="str">
        <f t="shared" si="12"/>
        <v>T5中品质10级</v>
      </c>
      <c r="B172" s="171">
        <v>20510</v>
      </c>
      <c r="C172" s="172">
        <f ca="1">(VLOOKUP(C$72,INDIRECT($C$5&amp;"生成成长"),2))/((VLOOKUP($B172,INDIRECT($B$5&amp;"生成成长"),4))/(VLOOKUP(C$72,INDIRECT($C$5&amp;"生成成长"),5))*(VLOOKUP($B$5,标准坦克设计!$B$24:$U$30,MATCH("对"&amp;LEFT($C$5,2)&amp;"输出",标准坦克设计!$B$23:$U$23,0)))*(VLOOKUP($B172,INDIRECT($B$5&amp;"生成成长"),3))*(VLOOKUP($B$5,标准坦克设计!$B$14:$K$20,9)/30))</f>
        <v>0.74018624862572435</v>
      </c>
      <c r="D172" s="172">
        <f ca="1">(VLOOKUP(D$72,INDIRECT($C$5&amp;"生成成长"),2))/((VLOOKUP($B172,INDIRECT($B$5&amp;"生成成长"),4))/(VLOOKUP(D$72,INDIRECT($C$5&amp;"生成成长"),5))*(VLOOKUP($B$5,标准坦克设计!$B$24:$U$30,MATCH("对"&amp;LEFT($C$5,2)&amp;"输出",标准坦克设计!$B$23:$U$23,0)))*(VLOOKUP($B172,INDIRECT($B$5&amp;"生成成长"),3))*(VLOOKUP($B$5,标准坦克设计!$B$14:$K$20,9)/30))</f>
        <v>0.83167326895586391</v>
      </c>
      <c r="E172" s="172">
        <f ca="1">(VLOOKUP(E$72,INDIRECT($C$5&amp;"生成成长"),2))/((VLOOKUP($B172,INDIRECT($B$5&amp;"生成成长"),4))/(VLOOKUP(E$72,INDIRECT($C$5&amp;"生成成长"),5))*(VLOOKUP($B$5,标准坦克设计!$B$24:$U$30,MATCH("对"&amp;LEFT($C$5,2)&amp;"输出",标准坦克设计!$B$23:$U$23,0)))*(VLOOKUP($B172,INDIRECT($B$5&amp;"生成成长"),3))*(VLOOKUP($B$5,标准坦克设计!$B$14:$K$20,9)/30))</f>
        <v>0.92848963027610876</v>
      </c>
      <c r="F172" s="172">
        <f ca="1">(VLOOKUP(F$72,INDIRECT($C$5&amp;"生成成长"),2))/((VLOOKUP($B172,INDIRECT($B$5&amp;"生成成长"),4))/(VLOOKUP(F$72,INDIRECT($C$5&amp;"生成成长"),5))*(VLOOKUP($B$5,标准坦克设计!$B$24:$U$30,MATCH("对"&amp;LEFT($C$5,2)&amp;"输出",标准坦克设计!$B$23:$U$23,0)))*(VLOOKUP($B172,INDIRECT($B$5&amp;"生成成长"),3))*(VLOOKUP($B$5,标准坦克设计!$B$14:$K$20,9)/30))</f>
        <v>1.0306353325864586</v>
      </c>
      <c r="G172" s="172">
        <f ca="1">(VLOOKUP(G$72,INDIRECT($C$5&amp;"生成成长"),2))/((VLOOKUP($B172,INDIRECT($B$5&amp;"生成成长"),4))/(VLOOKUP(G$72,INDIRECT($C$5&amp;"生成成长"),5))*(VLOOKUP($B$5,标准坦克设计!$B$24:$U$30,MATCH("对"&amp;LEFT($C$5,2)&amp;"输出",标准坦克设计!$B$23:$U$23,0)))*(VLOOKUP($B172,INDIRECT($B$5&amp;"生成成长"),3))*(VLOOKUP($B$5,标准坦克设计!$B$14:$K$20,9)/30))</f>
        <v>1.1381103758869138</v>
      </c>
      <c r="H172" s="172">
        <f ca="1">(VLOOKUP(H$72,INDIRECT($C$5&amp;"生成成长"),2))/((VLOOKUP($B172,INDIRECT($B$5&amp;"生成成长"),4))/(VLOOKUP(H$72,INDIRECT($C$5&amp;"生成成长"),5))*(VLOOKUP($B$5,标准坦克设计!$B$24:$U$30,MATCH("对"&amp;LEFT($C$5,2)&amp;"输出",标准坦克设计!$B$23:$U$23,0)))*(VLOOKUP($B172,INDIRECT($B$5&amp;"生成成长"),3))*(VLOOKUP($B$5,标准坦克设计!$B$14:$K$20,9)/30))</f>
        <v>0.99599461615077467</v>
      </c>
      <c r="I172" s="172">
        <f ca="1">(VLOOKUP(I$72,INDIRECT($C$5&amp;"生成成长"),2))/((VLOOKUP($B172,INDIRECT($B$5&amp;"生成成长"),4))/(VLOOKUP(I$72,INDIRECT($C$5&amp;"生成成长"),5))*(VLOOKUP($B$5,标准坦克设计!$B$24:$U$30,MATCH("对"&amp;LEFT($C$5,2)&amp;"输出",标准坦克设计!$B$23:$U$23,0)))*(VLOOKUP($B172,INDIRECT($B$5&amp;"生成成长"),3))*(VLOOKUP($B$5,标准坦克设计!$B$14:$K$20,9)/30))</f>
        <v>1.1381103758869138</v>
      </c>
      <c r="J172" s="172">
        <f ca="1">(VLOOKUP(J$72,INDIRECT($C$5&amp;"生成成长"),2))/((VLOOKUP($B172,INDIRECT($B$5&amp;"生成成长"),4))/(VLOOKUP(J$72,INDIRECT($C$5&amp;"生成成长"),5))*(VLOOKUP($B$5,标准坦克设计!$B$24:$U$30,MATCH("对"&amp;LEFT($C$5,2)&amp;"输出",标准坦克设计!$B$23:$U$23,0)))*(VLOOKUP($B172,INDIRECT($B$5&amp;"生成成长"),3))*(VLOOKUP($B$5,标准坦克设计!$B$14:$K$20,9)/30))</f>
        <v>1.2897005196054621</v>
      </c>
      <c r="K172" s="172">
        <f ca="1">(VLOOKUP(K$72,INDIRECT($C$5&amp;"生成成长"),2))/((VLOOKUP($B172,INDIRECT($B$5&amp;"生成成长"),4))/(VLOOKUP(K$72,INDIRECT($C$5&amp;"生成成长"),5))*(VLOOKUP($B$5,标准坦克设计!$B$24:$U$30,MATCH("对"&amp;LEFT($C$5,2)&amp;"输出",标准坦克设计!$B$23:$U$23,0)))*(VLOOKUP($B172,INDIRECT($B$5&amp;"生成成长"),3))*(VLOOKUP($B$5,标准坦克设计!$B$14:$K$20,9)/30))</f>
        <v>1.4507650473064195</v>
      </c>
      <c r="L172" s="172">
        <f ca="1">(VLOOKUP(L$72,INDIRECT($C$5&amp;"生成成长"),2))/((VLOOKUP($B172,INDIRECT($B$5&amp;"生成成长"),4))/(VLOOKUP(L$72,INDIRECT($C$5&amp;"生成成长"),5))*(VLOOKUP($B$5,标准坦克设计!$B$24:$U$30,MATCH("对"&amp;LEFT($C$5,2)&amp;"输出",标准坦克设计!$B$23:$U$23,0)))*(VLOOKUP($B172,INDIRECT($B$5&amp;"生成成长"),3))*(VLOOKUP($B$5,标准坦克设计!$B$14:$K$20,9)/30))</f>
        <v>1.6213039589897864</v>
      </c>
      <c r="M172" s="172">
        <f ca="1">(VLOOKUP(M$72,INDIRECT($C$5&amp;"生成成长"),2))/((VLOOKUP($B172,INDIRECT($B$5&amp;"生成成长"),4))/(VLOOKUP(M$72,INDIRECT($C$5&amp;"生成成长"),5))*(VLOOKUP($B$5,标准坦克设计!$B$24:$U$30,MATCH("对"&amp;LEFT($C$5,2)&amp;"输出",标准坦克设计!$B$23:$U$23,0)))*(VLOOKUP($B172,INDIRECT($B$5&amp;"生成成长"),3))*(VLOOKUP($B$5,标准坦克设计!$B$14:$K$20,9)/30))</f>
        <v>1.8013172546555625</v>
      </c>
      <c r="N172" s="172">
        <f ca="1">(VLOOKUP(N$72,INDIRECT($C$5&amp;"生成成长"),2))/((VLOOKUP($B172,INDIRECT($B$5&amp;"生成成长"),4))/(VLOOKUP(N$72,INDIRECT($C$5&amp;"生成成长"),5))*(VLOOKUP($B$5,标准坦克设计!$B$24:$U$30,MATCH("对"&amp;LEFT($C$5,2)&amp;"输出",标准坦克设计!$B$23:$U$23,0)))*(VLOOKUP($B172,INDIRECT($B$5&amp;"生成成长"),3))*(VLOOKUP($B$5,标准坦克设计!$B$14:$K$20,9)/30))</f>
        <v>1.9908049343037482</v>
      </c>
      <c r="O172" s="172">
        <f ca="1">(VLOOKUP(O$72,INDIRECT($C$5&amp;"生成成长"),2))/((VLOOKUP($B172,INDIRECT($B$5&amp;"生成成长"),4))/(VLOOKUP(O$72,INDIRECT($C$5&amp;"生成成长"),5))*(VLOOKUP($B$5,标准坦克设计!$B$24:$U$30,MATCH("对"&amp;LEFT($C$5,2)&amp;"输出",标准坦克设计!$B$23:$U$23,0)))*(VLOOKUP($B172,INDIRECT($B$5&amp;"生成成长"),3))*(VLOOKUP($B$5,标准坦克设计!$B$14:$K$20,9)/30))</f>
        <v>1.5136068598147436</v>
      </c>
      <c r="P172" s="172">
        <f ca="1">(VLOOKUP(P$72,INDIRECT($C$5&amp;"生成成长"),2))/((VLOOKUP($B172,INDIRECT($B$5&amp;"生成成长"),4))/(VLOOKUP(P$72,INDIRECT($C$5&amp;"生成成长"),5))*(VLOOKUP($B$5,标准坦克设计!$B$24:$U$30,MATCH("对"&amp;LEFT($C$5,2)&amp;"输出",标准坦克设计!$B$23:$U$23,0)))*(VLOOKUP($B172,INDIRECT($B$5&amp;"生成成长"),3))*(VLOOKUP($B$5,标准坦克设计!$B$14:$K$20,9)/30))</f>
        <v>1.7101263088248737</v>
      </c>
      <c r="Q172" s="172">
        <f ca="1">(VLOOKUP(Q$72,INDIRECT($C$5&amp;"生成成长"),2))/((VLOOKUP($B172,INDIRECT($B$5&amp;"生成成长"),4))/(VLOOKUP(Q$72,INDIRECT($C$5&amp;"生成成长"),5))*(VLOOKUP($B$5,标准坦克设计!$B$24:$U$30,MATCH("对"&amp;LEFT($C$5,2)&amp;"输出",标准坦克设计!$B$23:$U$23,0)))*(VLOOKUP($B172,INDIRECT($B$5&amp;"生成成长"),3))*(VLOOKUP($B$5,标准坦克设计!$B$14:$K$20,9)/30))</f>
        <v>1.91863677506274</v>
      </c>
      <c r="R172" s="172">
        <f ca="1">(VLOOKUP(R$72,INDIRECT($C$5&amp;"生成成长"),2))/((VLOOKUP($B172,INDIRECT($B$5&amp;"生成成长"),4))/(VLOOKUP(R$72,INDIRECT($C$5&amp;"生成成长"),5))*(VLOOKUP($B$5,标准坦克设计!$B$24:$U$30,MATCH("对"&amp;LEFT($C$5,2)&amp;"输出",标准坦克设计!$B$23:$U$23,0)))*(VLOOKUP($B172,INDIRECT($B$5&amp;"生成成长"),3))*(VLOOKUP($B$5,标准坦克设计!$B$14:$K$20,9)/30))</f>
        <v>2.1391382585283432</v>
      </c>
      <c r="S172" s="172">
        <f ca="1">(VLOOKUP(S$72,INDIRECT($C$5&amp;"生成成长"),2))/((VLOOKUP($B172,INDIRECT($B$5&amp;"生成成长"),4))/(VLOOKUP(S$72,INDIRECT($C$5&amp;"生成成长"),5))*(VLOOKUP($B$5,标准坦克设计!$B$24:$U$30,MATCH("对"&amp;LEFT($C$5,2)&amp;"输出",标准坦克设计!$B$23:$U$23,0)))*(VLOOKUP($B172,INDIRECT($B$5&amp;"生成成长"),3))*(VLOOKUP($B$5,标准坦克设计!$B$14:$K$20,9)/30))</f>
        <v>2.3716307592216834</v>
      </c>
      <c r="T172" s="172">
        <f ca="1">(VLOOKUP(T$72,INDIRECT($C$5&amp;"生成成长"),2))/((VLOOKUP($B172,INDIRECT($B$5&amp;"生成成长"),4))/(VLOOKUP(T$72,INDIRECT($C$5&amp;"生成成长"),5))*(VLOOKUP($B$5,标准坦克设计!$B$24:$U$30,MATCH("对"&amp;LEFT($C$5,2)&amp;"输出",标准坦克设计!$B$23:$U$23,0)))*(VLOOKUP($B172,INDIRECT($B$5&amp;"生成成长"),3))*(VLOOKUP($B$5,标准坦克设计!$B$14:$K$20,9)/30))</f>
        <v>2.6161142771427603</v>
      </c>
      <c r="U172" s="172">
        <f ca="1">(VLOOKUP(U$72,INDIRECT($C$5&amp;"生成成长"),2))/((VLOOKUP($B172,INDIRECT($B$5&amp;"生成成长"),4))/(VLOOKUP(U$72,INDIRECT($C$5&amp;"生成成长"),5))*(VLOOKUP($B$5,标准坦克设计!$B$24:$U$30,MATCH("对"&amp;LEFT($C$5,2)&amp;"输出",标准坦克设计!$B$23:$U$23,0)))*(VLOOKUP($B172,INDIRECT($B$5&amp;"生成成长"),3))*(VLOOKUP($B$5,标准坦克设计!$B$14:$K$20,9)/30))</f>
        <v>2.8725888122915735</v>
      </c>
      <c r="V172" s="172">
        <f ca="1">(VLOOKUP(V$72,INDIRECT($C$5&amp;"生成成长"),2))/((VLOOKUP($B172,INDIRECT($B$5&amp;"生成成长"),4))/(VLOOKUP(V$72,INDIRECT($C$5&amp;"生成成长"),5))*(VLOOKUP($B$5,标准坦克设计!$B$24:$U$30,MATCH("对"&amp;LEFT($C$5,2)&amp;"输出",标准坦克设计!$B$23:$U$23,0)))*(VLOOKUP($B172,INDIRECT($B$5&amp;"生成成长"),3))*(VLOOKUP($B$5,标准坦克设计!$B$14:$K$20,9)/30))</f>
        <v>3.1410543646681237</v>
      </c>
      <c r="W172" s="172">
        <f ca="1">(VLOOKUP(W$72,INDIRECT($C$5&amp;"生成成长"),2))/((VLOOKUP($B172,INDIRECT($B$5&amp;"生成成长"),4))/(VLOOKUP(W$72,INDIRECT($C$5&amp;"生成成长"),5))*(VLOOKUP($B$5,标准坦克设计!$B$24:$U$30,MATCH("对"&amp;LEFT($C$5,2)&amp;"输出",标准坦克设计!$B$23:$U$23,0)))*(VLOOKUP($B172,INDIRECT($B$5&amp;"生成成长"),3))*(VLOOKUP($B$5,标准坦克设计!$B$14:$K$20,9)/30))</f>
        <v>3.4215109342724106</v>
      </c>
      <c r="X172" s="172">
        <f ca="1">(VLOOKUP(X$72,INDIRECT($C$5&amp;"生成成长"),2))/((VLOOKUP($B172,INDIRECT($B$5&amp;"生成成长"),4))/(VLOOKUP(X$72,INDIRECT($C$5&amp;"生成成长"),5))*(VLOOKUP($B$5,标准坦克设计!$B$24:$U$30,MATCH("对"&amp;LEFT($C$5,2)&amp;"输出",标准坦克设计!$B$23:$U$23,0)))*(VLOOKUP($B172,INDIRECT($B$5&amp;"生成成长"),3))*(VLOOKUP($B$5,标准坦克设计!$B$14:$K$20,9)/30))</f>
        <v>2.4788097280226884</v>
      </c>
      <c r="Y172" s="172">
        <f ca="1">(VLOOKUP(Y$72,INDIRECT($C$5&amp;"生成成长"),2))/((VLOOKUP($B172,INDIRECT($B$5&amp;"生成成长"),4))/(VLOOKUP(Y$72,INDIRECT($C$5&amp;"生成成长"),5))*(VLOOKUP($B$5,标准坦克设计!$B$24:$U$30,MATCH("对"&amp;LEFT($C$5,2)&amp;"输出",标准坦克设计!$B$23:$U$23,0)))*(VLOOKUP($B172,INDIRECT($B$5&amp;"生成成长"),3))*(VLOOKUP($B$5,标准坦克设计!$B$14:$K$20,9)/30))</f>
        <v>2.7571197575059609</v>
      </c>
      <c r="Z172" s="172">
        <f ca="1">(VLOOKUP(Z$72,INDIRECT($C$5&amp;"生成成长"),2))/((VLOOKUP($B172,INDIRECT($B$5&amp;"生成成长"),4))/(VLOOKUP(Z$72,INDIRECT($C$5&amp;"生成成长"),5))*(VLOOKUP($B$5,标准坦克设计!$B$24:$U$30,MATCH("对"&amp;LEFT($C$5,2)&amp;"输出",标准坦克设计!$B$23:$U$23,0)))*(VLOOKUP($B172,INDIRECT($B$5&amp;"生成成长"),3))*(VLOOKUP($B$5,标准坦克设计!$B$14:$K$20,9)/30))</f>
        <v>3.0502335119617476</v>
      </c>
      <c r="AA172" s="172">
        <f ca="1">(VLOOKUP(AA$72,INDIRECT($C$5&amp;"生成成长"),2))/((VLOOKUP($B172,INDIRECT($B$5&amp;"生成成长"),4))/(VLOOKUP(AA$72,INDIRECT($C$5&amp;"生成成长"),5))*(VLOOKUP($B$5,标准坦克设计!$B$24:$U$30,MATCH("对"&amp;LEFT($C$5,2)&amp;"输出",标准坦克设计!$B$23:$U$23,0)))*(VLOOKUP($B172,INDIRECT($B$5&amp;"生成成长"),3))*(VLOOKUP($B$5,标准坦克设计!$B$14:$K$20,9)/30))</f>
        <v>3.3581509913900485</v>
      </c>
      <c r="AB172" s="172">
        <f ca="1">(VLOOKUP(AB$72,INDIRECT($C$5&amp;"生成成长"),2))/((VLOOKUP($B172,INDIRECT($B$5&amp;"生成成长"),4))/(VLOOKUP(AB$72,INDIRECT($C$5&amp;"生成成长"),5))*(VLOOKUP($B$5,标准坦克设计!$B$24:$U$30,MATCH("对"&amp;LEFT($C$5,2)&amp;"输出",标准坦克设计!$B$23:$U$23,0)))*(VLOOKUP($B172,INDIRECT($B$5&amp;"生成成长"),3))*(VLOOKUP($B$5,标准坦克设计!$B$14:$K$20,9)/30))</f>
        <v>3.6808721957908643</v>
      </c>
      <c r="AC172" s="172">
        <f ca="1">(VLOOKUP(AC$72,INDIRECT($C$5&amp;"生成成长"),2))/((VLOOKUP($B172,INDIRECT($B$5&amp;"生成成长"),4))/(VLOOKUP(AC$72,INDIRECT($C$5&amp;"生成成长"),5))*(VLOOKUP($B$5,标准坦克设计!$B$24:$U$30,MATCH("对"&amp;LEFT($C$5,2)&amp;"输出",标准坦克设计!$B$23:$U$23,0)))*(VLOOKUP($B172,INDIRECT($B$5&amp;"生成成长"),3))*(VLOOKUP($B$5,标准坦克设计!$B$14:$K$20,9)/30))</f>
        <v>4.0183971251641948</v>
      </c>
      <c r="AD172" s="172">
        <f ca="1">(VLOOKUP(AD$72,INDIRECT($C$5&amp;"生成成长"),2))/((VLOOKUP($B172,INDIRECT($B$5&amp;"生成成长"),4))/(VLOOKUP(AD$72,INDIRECT($C$5&amp;"生成成长"),5))*(VLOOKUP($B$5,标准坦克设计!$B$24:$U$30,MATCH("对"&amp;LEFT($C$5,2)&amp;"输出",标准坦克设计!$B$23:$U$23,0)))*(VLOOKUP($B172,INDIRECT($B$5&amp;"生成成长"),3))*(VLOOKUP($B$5,标准坦克设计!$B$14:$K$20,9)/30))</f>
        <v>4.3707257795100398</v>
      </c>
      <c r="AE172" s="172">
        <f ca="1">(VLOOKUP(AE$72,INDIRECT($C$5&amp;"生成成长"),2))/((VLOOKUP($B172,INDIRECT($B$5&amp;"生成成长"),4))/(VLOOKUP(AE$72,INDIRECT($C$5&amp;"生成成长"),5))*(VLOOKUP($B$5,标准坦克设计!$B$24:$U$30,MATCH("对"&amp;LEFT($C$5,2)&amp;"输出",标准坦克设计!$B$23:$U$23,0)))*(VLOOKUP($B172,INDIRECT($B$5&amp;"生成成长"),3))*(VLOOKUP($B$5,标准坦克设计!$B$14:$K$20,9)/30))</f>
        <v>4.7378581588283994</v>
      </c>
      <c r="AF172" s="172">
        <f ca="1">(VLOOKUP(AF$72,INDIRECT($C$5&amp;"生成成长"),2))/((VLOOKUP($B172,INDIRECT($B$5&amp;"生成成长"),4))/(VLOOKUP(AF$72,INDIRECT($C$5&amp;"生成成长"),5))*(VLOOKUP($B$5,标准坦克设计!$B$24:$U$30,MATCH("对"&amp;LEFT($C$5,2)&amp;"输出",标准坦克设计!$B$23:$U$23,0)))*(VLOOKUP($B172,INDIRECT($B$5&amp;"生成成长"),3))*(VLOOKUP($B$5,标准坦克设计!$B$14:$K$20,9)/30))</f>
        <v>5.1197942631192719</v>
      </c>
      <c r="AG172" s="172">
        <f ca="1">(VLOOKUP(AG$72,INDIRECT($C$5&amp;"生成成长"),2))/((VLOOKUP($B172,INDIRECT($B$5&amp;"生成成长"),4))/(VLOOKUP(AG$72,INDIRECT($C$5&amp;"生成成长"),5))*(VLOOKUP($B$5,标准坦克设计!$B$24:$U$30,MATCH("对"&amp;LEFT($C$5,2)&amp;"输出",标准坦克设计!$B$23:$U$23,0)))*(VLOOKUP($B172,INDIRECT($B$5&amp;"生成成长"),3))*(VLOOKUP($B$5,标准坦克设计!$B$14:$K$20,9)/30))</f>
        <v>5.5165340923826607</v>
      </c>
      <c r="AH172" s="172">
        <f ca="1">(VLOOKUP(AH$72,INDIRECT($C$5&amp;"生成成长"),2))/((VLOOKUP($B172,INDIRECT($B$5&amp;"生成成长"),4))/(VLOOKUP(AH$72,INDIRECT($C$5&amp;"生成成长"),5))*(VLOOKUP($B$5,标准坦克设计!$B$24:$U$30,MATCH("对"&amp;LEFT($C$5,2)&amp;"输出",标准坦克设计!$B$23:$U$23,0)))*(VLOOKUP($B172,INDIRECT($B$5&amp;"生成成长"),3))*(VLOOKUP($B$5,标准坦克设计!$B$14:$K$20,9)/30))</f>
        <v>5.9280776466185641</v>
      </c>
      <c r="AI172" s="172">
        <f ca="1">(VLOOKUP(AI$72,INDIRECT($C$5&amp;"生成成长"),2))/((VLOOKUP($B172,INDIRECT($B$5&amp;"生成成长"),4))/(VLOOKUP(AI$72,INDIRECT($C$5&amp;"生成成长"),5))*(VLOOKUP($B$5,标准坦克设计!$B$24:$U$30,MATCH("对"&amp;LEFT($C$5,2)&amp;"输出",标准坦克设计!$B$23:$U$23,0)))*(VLOOKUP($B172,INDIRECT($B$5&amp;"生成成长"),3))*(VLOOKUP($B$5,标准坦克设计!$B$14:$K$20,9)/30))</f>
        <v>4.1927109867155528</v>
      </c>
      <c r="AJ172" s="172">
        <f ca="1">(VLOOKUP(AJ$72,INDIRECT($C$5&amp;"生成成长"),2))/((VLOOKUP($B172,INDIRECT($B$5&amp;"生成成长"),4))/(VLOOKUP(AJ$72,INDIRECT($C$5&amp;"生成成长"),5))*(VLOOKUP($B$5,标准坦克设计!$B$24:$U$30,MATCH("对"&amp;LEFT($C$5,2)&amp;"输出",标准坦克设计!$B$23:$U$23,0)))*(VLOOKUP($B172,INDIRECT($B$5&amp;"生成成长"),3))*(VLOOKUP($B$5,标准坦克设计!$B$14:$K$20,9)/30))</f>
        <v>4.589228760104354</v>
      </c>
      <c r="AK172" s="172">
        <f ca="1">(VLOOKUP(AK$72,INDIRECT($C$5&amp;"生成成长"),2))/((VLOOKUP($B172,INDIRECT($B$5&amp;"生成成长"),4))/(VLOOKUP(AK$72,INDIRECT($C$5&amp;"生成成长"),5))*(VLOOKUP($B$5,标准坦克设计!$B$24:$U$30,MATCH("对"&amp;LEFT($C$5,2)&amp;"输出",标准坦克设计!$B$23:$U$23,0)))*(VLOOKUP($B172,INDIRECT($B$5&amp;"生成成长"),3))*(VLOOKUP($B$5,标准坦克设计!$B$14:$K$20,9)/30))</f>
        <v>5.0036590407098966</v>
      </c>
      <c r="AL172" s="172">
        <f ca="1">(VLOOKUP(AL$72,INDIRECT($C$5&amp;"生成成长"),2))/((VLOOKUP($B172,INDIRECT($B$5&amp;"生成成长"),4))/(VLOOKUP(AL$72,INDIRECT($C$5&amp;"生成成长"),5))*(VLOOKUP($B$5,标准坦克设计!$B$24:$U$30,MATCH("对"&amp;LEFT($C$5,2)&amp;"输出",标准坦克设计!$B$23:$U$23,0)))*(VLOOKUP($B172,INDIRECT($B$5&amp;"生成成长"),3))*(VLOOKUP($B$5,标准坦克设计!$B$14:$K$20,9)/30))</f>
        <v>5.4360018285321816</v>
      </c>
      <c r="AM172" s="172">
        <f ca="1">(VLOOKUP(AM$72,INDIRECT($C$5&amp;"生成成长"),2))/((VLOOKUP($B172,INDIRECT($B$5&amp;"生成成长"),4))/(VLOOKUP(AM$72,INDIRECT($C$5&amp;"生成成长"),5))*(VLOOKUP($B$5,标准坦克设计!$B$24:$U$30,MATCH("对"&amp;LEFT($C$5,2)&amp;"输出",标准坦克设计!$B$23:$U$23,0)))*(VLOOKUP($B172,INDIRECT($B$5&amp;"生成成长"),3))*(VLOOKUP($B$5,标准坦克设计!$B$14:$K$20,9)/30))</f>
        <v>5.8862571235712098</v>
      </c>
      <c r="AN172" s="172">
        <f ca="1">(VLOOKUP(AN$72,INDIRECT($C$5&amp;"生成成长"),2))/((VLOOKUP($B172,INDIRECT($B$5&amp;"生成成长"),4))/(VLOOKUP(AN$72,INDIRECT($C$5&amp;"生成成长"),5))*(VLOOKUP($B$5,标准坦克设计!$B$24:$U$30,MATCH("对"&amp;LEFT($C$5,2)&amp;"输出",标准坦克设计!$B$23:$U$23,0)))*(VLOOKUP($B172,INDIRECT($B$5&amp;"生成成长"),3))*(VLOOKUP($B$5,标准坦克设计!$B$14:$K$20,9)/30))</f>
        <v>6.3544249258269812</v>
      </c>
      <c r="AO172" s="172">
        <f ca="1">(VLOOKUP(AO$72,INDIRECT($C$5&amp;"生成成长"),2))/((VLOOKUP($B172,INDIRECT($B$5&amp;"生成成长"),4))/(VLOOKUP(AO$72,INDIRECT($C$5&amp;"生成成长"),5))*(VLOOKUP($B$5,标准坦克设计!$B$24:$U$30,MATCH("对"&amp;LEFT($C$5,2)&amp;"输出",标准坦克设计!$B$23:$U$23,0)))*(VLOOKUP($B172,INDIRECT($B$5&amp;"生成成长"),3))*(VLOOKUP($B$5,标准坦克设计!$B$14:$K$20,9)/30))</f>
        <v>6.8405052352994948</v>
      </c>
      <c r="AP172" s="172">
        <f ca="1">(VLOOKUP(AP$72,INDIRECT($C$5&amp;"生成成长"),2))/((VLOOKUP($B172,INDIRECT($B$5&amp;"生成成长"),4))/(VLOOKUP(AP$72,INDIRECT($C$5&amp;"生成成长"),5))*(VLOOKUP($B$5,标准坦克设计!$B$24:$U$30,MATCH("对"&amp;LEFT($C$5,2)&amp;"输出",标准坦克设计!$B$23:$U$23,0)))*(VLOOKUP($B172,INDIRECT($B$5&amp;"生成成长"),3))*(VLOOKUP($B$5,标准坦克设计!$B$14:$K$20,9)/30))</f>
        <v>7.3444980519887508</v>
      </c>
      <c r="AQ172" s="172">
        <f ca="1">(VLOOKUP(AQ$72,INDIRECT($C$5&amp;"生成成长"),2))/((VLOOKUP($B172,INDIRECT($B$5&amp;"生成成长"),4))/(VLOOKUP(AQ$72,INDIRECT($C$5&amp;"生成成长"),5))*(VLOOKUP($B$5,标准坦克设计!$B$24:$U$30,MATCH("对"&amp;LEFT($C$5,2)&amp;"输出",标准坦克设计!$B$23:$U$23,0)))*(VLOOKUP($B172,INDIRECT($B$5&amp;"生成成长"),3))*(VLOOKUP($B$5,标准坦克设计!$B$14:$K$20,9)/30))</f>
        <v>7.8664033758947491</v>
      </c>
      <c r="AR172" s="172">
        <f ca="1">(VLOOKUP(AR$72,INDIRECT($C$5&amp;"生成成长"),2))/((VLOOKUP($B172,INDIRECT($B$5&amp;"生成成长"),4))/(VLOOKUP(AR$72,INDIRECT($C$5&amp;"生成成长"),5))*(VLOOKUP($B$5,标准坦克设计!$B$24:$U$30,MATCH("对"&amp;LEFT($C$5,2)&amp;"输出",标准坦克设计!$B$23:$U$23,0)))*(VLOOKUP($B172,INDIRECT($B$5&amp;"生成成长"),3))*(VLOOKUP($B$5,标准坦克设计!$B$14:$K$20,9)/30))</f>
        <v>8.406221207017488</v>
      </c>
      <c r="AS172" s="172">
        <f ca="1">(VLOOKUP(AS$72,INDIRECT($C$5&amp;"生成成长"),2))/((VLOOKUP($B172,INDIRECT($B$5&amp;"生成成长"),4))/(VLOOKUP(AS$72,INDIRECT($C$5&amp;"生成成长"),5))*(VLOOKUP($B$5,标准坦克设计!$B$24:$U$30,MATCH("对"&amp;LEFT($C$5,2)&amp;"输出",标准坦克设计!$B$23:$U$23,0)))*(VLOOKUP($B172,INDIRECT($B$5&amp;"生成成长"),3))*(VLOOKUP($B$5,标准坦克设计!$B$14:$K$20,9)/30))</f>
        <v>8.9639515453569718</v>
      </c>
      <c r="AT172" s="172">
        <f ca="1">(VLOOKUP(AT$72,INDIRECT($C$5&amp;"生成成长"),2))/((VLOOKUP($B172,INDIRECT($B$5&amp;"生成成长"),4))/(VLOOKUP(AT$72,INDIRECT($C$5&amp;"生成成长"),5))*(VLOOKUP($B$5,标准坦克设计!$B$24:$U$30,MATCH("对"&amp;LEFT($C$5,2)&amp;"输出",标准坦克设计!$B$23:$U$23,0)))*(VLOOKUP($B172,INDIRECT($B$5&amp;"生成成长"),3))*(VLOOKUP($B$5,标准坦克设计!$B$14:$K$20,9)/30))</f>
        <v>9.5395943909131979</v>
      </c>
      <c r="AU172" s="172">
        <f ca="1">(VLOOKUP(AU$72,INDIRECT($C$5&amp;"生成成长"),2))/((VLOOKUP($B172,INDIRECT($B$5&amp;"生成成长"),4))/(VLOOKUP(AU$72,INDIRECT($C$5&amp;"生成成长"),5))*(VLOOKUP($B$5,标准坦克设计!$B$24:$U$30,MATCH("对"&amp;LEFT($C$5,2)&amp;"输出",标准坦克设计!$B$23:$U$23,0)))*(VLOOKUP($B172,INDIRECT($B$5&amp;"生成成长"),3))*(VLOOKUP($B$5,标准坦克设计!$B$14:$K$20,9)/30))</f>
        <v>10.133149743686166</v>
      </c>
      <c r="AV172" s="172">
        <f ca="1">(VLOOKUP(AV$72,INDIRECT($C$5&amp;"生成成长"),2))/((VLOOKUP($B172,INDIRECT($B$5&amp;"生成成长"),4))/(VLOOKUP(AV$72,INDIRECT($C$5&amp;"生成成长"),5))*(VLOOKUP($B$5,标准坦克设计!$B$24:$U$30,MATCH("对"&amp;LEFT($C$5,2)&amp;"输出",标准坦克设计!$B$23:$U$23,0)))*(VLOOKUP($B172,INDIRECT($B$5&amp;"生成成长"),3))*(VLOOKUP($B$5,标准坦克设计!$B$14:$K$20,9)/30))</f>
        <v>1.0306353325864586</v>
      </c>
      <c r="AW172" s="172">
        <f ca="1">(VLOOKUP(AW$72,INDIRECT($C$5&amp;"生成成长"),2))/((VLOOKUP($B172,INDIRECT($B$5&amp;"生成成长"),4))/(VLOOKUP(AW$72,INDIRECT($C$5&amp;"生成成长"),5))*(VLOOKUP($B$5,标准坦克设计!$B$24:$U$30,MATCH("对"&amp;LEFT($C$5,2)&amp;"输出",标准坦克设计!$B$23:$U$23,0)))*(VLOOKUP($B172,INDIRECT($B$5&amp;"生成成长"),3))*(VLOOKUP($B$5,标准坦克设计!$B$14:$K$20,9)/30))</f>
        <v>1.1751196883181998</v>
      </c>
      <c r="AX172" s="172">
        <f ca="1">(VLOOKUP(AX$72,INDIRECT($C$5&amp;"生成成长"),2))/((VLOOKUP($B172,INDIRECT($B$5&amp;"生成成长"),4))/(VLOOKUP(AX$72,INDIRECT($C$5&amp;"生成成长"),5))*(VLOOKUP($B$5,标准坦克设计!$B$24:$U$30,MATCH("对"&amp;LEFT($C$5,2)&amp;"输出",标准坦克设计!$B$23:$U$23,0)))*(VLOOKUP($B172,INDIRECT($B$5&amp;"生成成长"),3))*(VLOOKUP($B$5,标准坦克设计!$B$14:$K$20,9)/30))</f>
        <v>1.3290784280323507</v>
      </c>
      <c r="AY172" s="172">
        <f ca="1">(VLOOKUP(AY$72,INDIRECT($C$5&amp;"生成成长"),2))/((VLOOKUP($B172,INDIRECT($B$5&amp;"生成成长"),4))/(VLOOKUP(AY$72,INDIRECT($C$5&amp;"生成成长"),5))*(VLOOKUP($B$5,标准坦克设计!$B$24:$U$30,MATCH("对"&amp;LEFT($C$5,2)&amp;"输出",标准坦克设计!$B$23:$U$23,0)))*(VLOOKUP($B172,INDIRECT($B$5&amp;"生成成长"),3))*(VLOOKUP($B$5,标准坦克设计!$B$14:$K$20,9)/30))</f>
        <v>1.4925115517289107</v>
      </c>
      <c r="AZ172" s="172">
        <f ca="1">(VLOOKUP(AZ$72,INDIRECT($C$5&amp;"生成成长"),2))/((VLOOKUP($B172,INDIRECT($B$5&amp;"生成成长"),4))/(VLOOKUP(AZ$72,INDIRECT($C$5&amp;"生成成长"),5))*(VLOOKUP($B$5,标准坦克设计!$B$24:$U$30,MATCH("对"&amp;LEFT($C$5,2)&amp;"输出",标准坦克设计!$B$23:$U$23,0)))*(VLOOKUP($B172,INDIRECT($B$5&amp;"生成成长"),3))*(VLOOKUP($B$5,标准坦克设计!$B$14:$K$20,9)/30))</f>
        <v>1.6654190594078799</v>
      </c>
      <c r="BA172" s="172">
        <f ca="1">(VLOOKUP(BA$72,INDIRECT($C$5&amp;"生成成长"),2))/((VLOOKUP($B172,INDIRECT($B$5&amp;"生成成长"),4))/(VLOOKUP(BA$72,INDIRECT($C$5&amp;"生成成长"),5))*(VLOOKUP($B$5,标准坦克设计!$B$24:$U$30,MATCH("对"&amp;LEFT($C$5,2)&amp;"输出",标准坦克设计!$B$23:$U$23,0)))*(VLOOKUP($B172,INDIRECT($B$5&amp;"生成成长"),3))*(VLOOKUP($B$5,标准坦克设计!$B$14:$K$20,9)/30))</f>
        <v>1.8478009510692581</v>
      </c>
      <c r="BB172" s="172">
        <f ca="1">(VLOOKUP(BB$72,INDIRECT($C$5&amp;"生成成长"),2))/((VLOOKUP($B172,INDIRECT($B$5&amp;"生成成长"),4))/(VLOOKUP(BB$72,INDIRECT($C$5&amp;"生成成长"),5))*(VLOOKUP($B$5,标准坦克设计!$B$24:$U$30,MATCH("对"&amp;LEFT($C$5,2)&amp;"输出",标准坦克设计!$B$23:$U$23,0)))*(VLOOKUP($B172,INDIRECT($B$5&amp;"生成成长"),3))*(VLOOKUP($B$5,标准坦克设计!$B$14:$K$20,9)/30))</f>
        <v>2.0396572267130462</v>
      </c>
      <c r="BC172" s="172">
        <f ca="1">(VLOOKUP(BC$72,INDIRECT($C$5&amp;"生成成长"),2))/((VLOOKUP($B172,INDIRECT($B$5&amp;"生成成长"),4))/(VLOOKUP(BC$72,INDIRECT($C$5&amp;"生成成长"),5))*(VLOOKUP($B$5,标准坦克设计!$B$24:$U$30,MATCH("对"&amp;LEFT($C$5,2)&amp;"输出",标准坦克设计!$B$23:$U$23,0)))*(VLOOKUP($B172,INDIRECT($B$5&amp;"生成成长"),3))*(VLOOKUP($B$5,标准坦克设计!$B$14:$K$20,9)/30))</f>
        <v>2.240987886339243</v>
      </c>
      <c r="BD172" s="172">
        <f ca="1">(VLOOKUP(BD$72,INDIRECT($C$5&amp;"生成成长"),2))/((VLOOKUP($B172,INDIRECT($B$5&amp;"生成成长"),4))/(VLOOKUP(BD$72,INDIRECT($C$5&amp;"生成成长"),5))*(VLOOKUP($B$5,标准坦克设计!$B$24:$U$30,MATCH("对"&amp;LEFT($C$5,2)&amp;"输出",标准坦克设计!$B$23:$U$23,0)))*(VLOOKUP($B172,INDIRECT($B$5&amp;"生成成长"),3))*(VLOOKUP($B$5,标准坦克设计!$B$14:$K$20,9)/30))</f>
        <v>2.4788097280226884</v>
      </c>
      <c r="BE172" s="172">
        <f ca="1">(VLOOKUP(BE$72,INDIRECT($C$5&amp;"生成成长"),2))/((VLOOKUP($B172,INDIRECT($B$5&amp;"生成成长"),4))/(VLOOKUP(BE$72,INDIRECT($C$5&amp;"生成成长"),5))*(VLOOKUP($B$5,标准坦克设计!$B$24:$U$30,MATCH("对"&amp;LEFT($C$5,2)&amp;"输出",标准坦克设计!$B$23:$U$23,0)))*(VLOOKUP($B172,INDIRECT($B$5&amp;"生成成长"),3))*(VLOOKUP($B$5,标准坦克设计!$B$14:$K$20,9)/30))</f>
        <v>2.7286225869338705</v>
      </c>
      <c r="BF172" s="172">
        <f ca="1">(VLOOKUP(BF$72,INDIRECT($C$5&amp;"生成成长"),2))/((VLOOKUP($B172,INDIRECT($B$5&amp;"生成成长"),4))/(VLOOKUP(BF$72,INDIRECT($C$5&amp;"生成成长"),5))*(VLOOKUP($B$5,标准坦克设计!$B$24:$U$30,MATCH("对"&amp;LEFT($C$5,2)&amp;"输出",标准坦克设计!$B$23:$U$23,0)))*(VLOOKUP($B172,INDIRECT($B$5&amp;"生成成长"),3))*(VLOOKUP($B$5,标准坦克设计!$B$14:$K$20,9)/30))</f>
        <v>2.9904264630727893</v>
      </c>
      <c r="BG172" s="172">
        <f ca="1">(VLOOKUP(BG$72,INDIRECT($C$5&amp;"生成成长"),2))/((VLOOKUP($B172,INDIRECT($B$5&amp;"生成成长"),4))/(VLOOKUP(BG$72,INDIRECT($C$5&amp;"生成成长"),5))*(VLOOKUP($B$5,标准坦克设计!$B$24:$U$30,MATCH("对"&amp;LEFT($C$5,2)&amp;"输出",标准坦克设计!$B$23:$U$23,0)))*(VLOOKUP($B172,INDIRECT($B$5&amp;"生成成长"),3))*(VLOOKUP($B$5,标准坦克设计!$B$14:$K$20,9)/30))</f>
        <v>3.2642213564394451</v>
      </c>
      <c r="BH172" s="172">
        <f ca="1">(VLOOKUP(BH$72,INDIRECT($C$5&amp;"生成成长"),2))/((VLOOKUP($B172,INDIRECT($B$5&amp;"生成成长"),4))/(VLOOKUP(BH$72,INDIRECT($C$5&amp;"生成成长"),5))*(VLOOKUP($B$5,标准坦克设计!$B$24:$U$30,MATCH("对"&amp;LEFT($C$5,2)&amp;"输出",标准坦克设计!$B$23:$U$23,0)))*(VLOOKUP($B172,INDIRECT($B$5&amp;"生成成长"),3))*(VLOOKUP($B$5,标准坦克设计!$B$14:$K$20,9)/30))</f>
        <v>1.577781007570594</v>
      </c>
      <c r="BI172" s="172">
        <f ca="1">(VLOOKUP(BI$72,INDIRECT($C$5&amp;"生成成长"),2))/((VLOOKUP($B172,INDIRECT($B$5&amp;"生成成长"),4))/(VLOOKUP(BI$72,INDIRECT($C$5&amp;"生成成长"),5))*(VLOOKUP($B$5,标准坦克设计!$B$24:$U$30,MATCH("对"&amp;LEFT($C$5,2)&amp;"输出",标准坦克设计!$B$23:$U$23,0)))*(VLOOKUP($B172,INDIRECT($B$5&amp;"生成成长"),3))*(VLOOKUP($B$5,标准坦克设计!$B$14:$K$20,9)/30))</f>
        <v>1.7782974623233028</v>
      </c>
      <c r="BJ172" s="172">
        <f ca="1">(VLOOKUP(BJ$72,INDIRECT($C$5&amp;"生成成长"),2))/((VLOOKUP($B172,INDIRECT($B$5&amp;"生成成长"),4))/(VLOOKUP(BJ$72,INDIRECT($C$5&amp;"生成成长"),5))*(VLOOKUP($B$5,标准坦克设计!$B$24:$U$30,MATCH("对"&amp;LEFT($C$5,2)&amp;"输出",标准坦克设计!$B$23:$U$23,0)))*(VLOOKUP($B172,INDIRECT($B$5&amp;"生成成长"),3))*(VLOOKUP($B$5,标准坦克设计!$B$14:$K$20,9)/30))</f>
        <v>1.9908049343037482</v>
      </c>
      <c r="BK172" s="172">
        <f ca="1">(VLOOKUP(BK$72,INDIRECT($C$5&amp;"生成成长"),2))/((VLOOKUP($B172,INDIRECT($B$5&amp;"生成成长"),4))/(VLOOKUP(BK$72,INDIRECT($C$5&amp;"生成成长"),5))*(VLOOKUP($B$5,标准坦克设计!$B$24:$U$30,MATCH("对"&amp;LEFT($C$5,2)&amp;"输出",标准坦克设计!$B$23:$U$23,0)))*(VLOOKUP($B172,INDIRECT($B$5&amp;"生成成长"),3))*(VLOOKUP($B$5,标准坦克设计!$B$14:$K$20,9)/30))</f>
        <v>2.2153034235119304</v>
      </c>
      <c r="BL172" s="172">
        <f ca="1">(VLOOKUP(BL$72,INDIRECT($C$5&amp;"生成成长"),2))/((VLOOKUP($B172,INDIRECT($B$5&amp;"生成成长"),4))/(VLOOKUP(BL$72,INDIRECT($C$5&amp;"生成成长"),5))*(VLOOKUP($B$5,标准坦克设计!$B$24:$U$30,MATCH("对"&amp;LEFT($C$5,2)&amp;"输出",标准坦克设计!$B$23:$U$23,0)))*(VLOOKUP($B172,INDIRECT($B$5&amp;"生成成长"),3))*(VLOOKUP($B$5,标准坦克设计!$B$14:$K$20,9)/30))</f>
        <v>2.4517929299478496</v>
      </c>
      <c r="BM172" s="172">
        <f ca="1">(VLOOKUP(BM$72,INDIRECT($C$5&amp;"生成成长"),2))/((VLOOKUP($B172,INDIRECT($B$5&amp;"生成成长"),4))/(VLOOKUP(BM$72,INDIRECT($C$5&amp;"生成成长"),5))*(VLOOKUP($B$5,标准坦克设计!$B$24:$U$30,MATCH("对"&amp;LEFT($C$5,2)&amp;"输出",标准坦克设计!$B$23:$U$23,0)))*(VLOOKUP($B172,INDIRECT($B$5&amp;"生成成长"),3))*(VLOOKUP($B$5,标准坦克设计!$B$14:$K$20,9)/30))</f>
        <v>2.7002734536115049</v>
      </c>
      <c r="BN172" s="172">
        <f ca="1">(VLOOKUP(BN$72,INDIRECT($C$5&amp;"生成成长"),2))/((VLOOKUP($B172,INDIRECT($B$5&amp;"生成成长"),4))/(VLOOKUP(BN$72,INDIRECT($C$5&amp;"生成成长"),5))*(VLOOKUP($B$5,标准坦克设计!$B$24:$U$30,MATCH("对"&amp;LEFT($C$5,2)&amp;"输出",标准坦克设计!$B$23:$U$23,0)))*(VLOOKUP($B172,INDIRECT($B$5&amp;"生成成长"),3))*(VLOOKUP($B$5,标准坦克设计!$B$14:$K$20,9)/30))</f>
        <v>2.9607449945028974</v>
      </c>
      <c r="BO172" s="172">
        <f ca="1">(VLOOKUP(BO$72,INDIRECT($C$5&amp;"生成成长"),2))/((VLOOKUP($B172,INDIRECT($B$5&amp;"生成成长"),4))/(VLOOKUP(BO$72,INDIRECT($C$5&amp;"生成成长"),5))*(VLOOKUP($B$5,标准坦克设计!$B$24:$U$30,MATCH("对"&amp;LEFT($C$5,2)&amp;"输出",标准坦克设计!$B$23:$U$23,0)))*(VLOOKUP($B172,INDIRECT($B$5&amp;"生成成长"),3))*(VLOOKUP($B$5,标准坦克设计!$B$14:$K$20,9)/30))</f>
        <v>3.2332075526220261</v>
      </c>
      <c r="BP172" s="172">
        <f ca="1">(VLOOKUP(BP$72,INDIRECT($C$5&amp;"生成成长"),2))/((VLOOKUP($B172,INDIRECT($B$5&amp;"生成成长"),4))/(VLOOKUP(BP$72,INDIRECT($C$5&amp;"生成成长"),5))*(VLOOKUP($B$5,标准坦克设计!$B$24:$U$30,MATCH("对"&amp;LEFT($C$5,2)&amp;"输出",标准坦克设计!$B$23:$U$23,0)))*(VLOOKUP($B172,INDIRECT($B$5&amp;"生成成长"),3))*(VLOOKUP($B$5,标准坦克设计!$B$14:$K$20,9)/30))</f>
        <v>3.5176611279688923</v>
      </c>
      <c r="BQ172" s="172">
        <f ca="1">(VLOOKUP(BQ$72,INDIRECT($C$5&amp;"生成成长"),2))/((VLOOKUP($B172,INDIRECT($B$5&amp;"生成成长"),4))/(VLOOKUP(BQ$72,INDIRECT($C$5&amp;"生成成长"),5))*(VLOOKUP($B$5,标准坦克设计!$B$24:$U$30,MATCH("对"&amp;LEFT($C$5,2)&amp;"输出",标准坦克设计!$B$23:$U$23,0)))*(VLOOKUP($B172,INDIRECT($B$5&amp;"生成成长"),3))*(VLOOKUP($B$5,标准坦克设计!$B$14:$K$20,9)/30))</f>
        <v>3.8141057205434952</v>
      </c>
      <c r="BR172" s="172">
        <f ca="1">(VLOOKUP(BR$72,INDIRECT($C$5&amp;"生成成长"),2))/((VLOOKUP($B172,INDIRECT($B$5&amp;"生成成长"),4))/(VLOOKUP(BR$72,INDIRECT($C$5&amp;"生成成长"),5))*(VLOOKUP($B$5,标准坦克设计!$B$24:$U$30,MATCH("对"&amp;LEFT($C$5,2)&amp;"输出",标准坦克设计!$B$23:$U$23,0)))*(VLOOKUP($B172,INDIRECT($B$5&amp;"生成成长"),3))*(VLOOKUP($B$5,标准坦克设计!$B$14:$K$20,9)/30))</f>
        <v>4.1575521399058317</v>
      </c>
      <c r="BS172" s="172">
        <f ca="1">(VLOOKUP(BS$72,INDIRECT($C$5&amp;"生成成长"),2))/((VLOOKUP($B172,INDIRECT($B$5&amp;"生成成长"),4))/(VLOOKUP(BS$72,INDIRECT($C$5&amp;"生成成长"),5))*(VLOOKUP($B$5,标准坦克设计!$B$24:$U$30,MATCH("对"&amp;LEFT($C$5,2)&amp;"输出",标准坦克设计!$B$23:$U$23,0)))*(VLOOKUP($B172,INDIRECT($B$5&amp;"生成成长"),3))*(VLOOKUP($B$5,标准坦克设计!$B$14:$K$20,9)/30))</f>
        <v>4.5158022842406815</v>
      </c>
      <c r="BT172" s="172">
        <f ca="1">(VLOOKUP(BT$72,INDIRECT($C$5&amp;"生成成长"),2))/((VLOOKUP($B172,INDIRECT($B$5&amp;"生成成长"),4))/(VLOOKUP(BT$72,INDIRECT($C$5&amp;"生成成长"),5))*(VLOOKUP($B$5,标准坦克设计!$B$24:$U$30,MATCH("对"&amp;LEFT($C$5,2)&amp;"输出",标准坦克设计!$B$23:$U$23,0)))*(VLOOKUP($B172,INDIRECT($B$5&amp;"生成成长"),3))*(VLOOKUP($B$5,标准坦克设计!$B$14:$K$20,9)/30))</f>
        <v>4.8888561535480468</v>
      </c>
      <c r="BU172" s="172">
        <f ca="1">(VLOOKUP(BU$72,INDIRECT($C$5&amp;"生成成长"),2))/((VLOOKUP($B172,INDIRECT($B$5&amp;"生成成长"),4))/(VLOOKUP(BU$72,INDIRECT($C$5&amp;"生成成长"),5))*(VLOOKUP($B$5,标准坦克设计!$B$24:$U$30,MATCH("对"&amp;LEFT($C$5,2)&amp;"输出",标准坦克设计!$B$23:$U$23,0)))*(VLOOKUP($B172,INDIRECT($B$5&amp;"生成成长"),3))*(VLOOKUP($B$5,标准坦克设计!$B$14:$K$20,9)/30))</f>
        <v>5.2767137478279267</v>
      </c>
      <c r="BV172" s="172">
        <f ca="1">(VLOOKUP(BV$72,INDIRECT($C$5&amp;"生成成长"),2))/((VLOOKUP($B172,INDIRECT($B$5&amp;"生成成长"),4))/(VLOOKUP(BV$72,INDIRECT($C$5&amp;"生成成长"),5))*(VLOOKUP($B$5,标准坦克设计!$B$24:$U$30,MATCH("对"&amp;LEFT($C$5,2)&amp;"输出",标准坦克设计!$B$23:$U$23,0)))*(VLOOKUP($B172,INDIRECT($B$5&amp;"生成成长"),3))*(VLOOKUP($B$5,标准坦克设计!$B$14:$K$20,9)/30))</f>
        <v>5.6793750670803211</v>
      </c>
      <c r="BW172" s="172">
        <f ca="1">(VLOOKUP(BW$72,INDIRECT($C$5&amp;"生成成长"),2))/((VLOOKUP($B172,INDIRECT($B$5&amp;"生成成长"),4))/(VLOOKUP(BW$72,INDIRECT($C$5&amp;"生成成长"),5))*(VLOOKUP($B$5,标准坦克设计!$B$24:$U$30,MATCH("对"&amp;LEFT($C$5,2)&amp;"输出",标准坦克设计!$B$23:$U$23,0)))*(VLOOKUP($B172,INDIRECT($B$5&amp;"生成成长"),3))*(VLOOKUP($B$5,标准坦克设计!$B$14:$K$20,9)/30))</f>
        <v>2.5883572928192957</v>
      </c>
      <c r="BX172" s="172">
        <f ca="1">(VLOOKUP(BX$72,INDIRECT($C$5&amp;"生成成长"),2))/((VLOOKUP($B172,INDIRECT($B$5&amp;"生成成长"),4))/(VLOOKUP(BX$72,INDIRECT($C$5&amp;"生成成长"),5))*(VLOOKUP($B$5,标准坦克设计!$B$24:$U$30,MATCH("对"&amp;LEFT($C$5,2)&amp;"输出",标准坦克设计!$B$23:$U$23,0)))*(VLOOKUP($B172,INDIRECT($B$5&amp;"生成成长"),3))*(VLOOKUP($B$5,标准坦克设计!$B$14:$K$20,9)/30))</f>
        <v>2.8725888122915735</v>
      </c>
      <c r="BY172" s="172">
        <f ca="1">(VLOOKUP(BY$72,INDIRECT($C$5&amp;"生成成长"),2))/((VLOOKUP($B172,INDIRECT($B$5&amp;"生成成长"),4))/(VLOOKUP(BY$72,INDIRECT($C$5&amp;"生成成长"),5))*(VLOOKUP($B$5,标准坦克设计!$B$24:$U$30,MATCH("对"&amp;LEFT($C$5,2)&amp;"输出",标准坦克设计!$B$23:$U$23,0)))*(VLOOKUP($B172,INDIRECT($B$5&amp;"生成成长"),3))*(VLOOKUP($B$5,标准坦克设计!$B$14:$K$20,9)/30))</f>
        <v>3.1716240567363663</v>
      </c>
      <c r="BZ172" s="172">
        <f ca="1">(VLOOKUP(BZ$72,INDIRECT($C$5&amp;"生成成长"),2))/((VLOOKUP($B172,INDIRECT($B$5&amp;"生成成长"),4))/(VLOOKUP(BZ$72,INDIRECT($C$5&amp;"生成成长"),5))*(VLOOKUP($B$5,标准坦克设计!$B$24:$U$30,MATCH("对"&amp;LEFT($C$5,2)&amp;"输出",标准坦克设计!$B$23:$U$23,0)))*(VLOOKUP($B172,INDIRECT($B$5&amp;"生成成长"),3))*(VLOOKUP($B$5,标准坦克设计!$B$14:$K$20,9)/30))</f>
        <v>3.4854630261536732</v>
      </c>
      <c r="CA172" s="172">
        <f ca="1">(VLOOKUP(CA$72,INDIRECT($C$5&amp;"生成成长"),2))/((VLOOKUP($B172,INDIRECT($B$5&amp;"生成成长"),4))/(VLOOKUP(CA$72,INDIRECT($C$5&amp;"生成成长"),5))*(VLOOKUP($B$5,标准坦克设计!$B$24:$U$30,MATCH("对"&amp;LEFT($C$5,2)&amp;"输出",标准坦克设计!$B$23:$U$23,0)))*(VLOOKUP($B172,INDIRECT($B$5&amp;"生成成长"),3))*(VLOOKUP($B$5,标准坦克设计!$B$14:$K$20,9)/30))</f>
        <v>3.8141057205434952</v>
      </c>
      <c r="CB172" s="172">
        <f ca="1">(VLOOKUP(CB$72,INDIRECT($C$5&amp;"生成成长"),2))/((VLOOKUP($B172,INDIRECT($B$5&amp;"生成成长"),4))/(VLOOKUP(CB$72,INDIRECT($C$5&amp;"生成成长"),5))*(VLOOKUP($B$5,标准坦克设计!$B$24:$U$30,MATCH("对"&amp;LEFT($C$5,2)&amp;"输出",标准坦克设计!$B$23:$U$23,0)))*(VLOOKUP($B172,INDIRECT($B$5&amp;"生成成长"),3))*(VLOOKUP($B$5,标准坦克设计!$B$14:$K$20,9)/30))</f>
        <v>4.1575521399058317</v>
      </c>
      <c r="CC172" s="172">
        <f ca="1">(VLOOKUP(CC$72,INDIRECT($C$5&amp;"生成成长"),2))/((VLOOKUP($B172,INDIRECT($B$5&amp;"生成成长"),4))/(VLOOKUP(CC$72,INDIRECT($C$5&amp;"生成成长"),5))*(VLOOKUP($B$5,标准坦克设计!$B$24:$U$30,MATCH("对"&amp;LEFT($C$5,2)&amp;"输出",标准坦克设计!$B$23:$U$23,0)))*(VLOOKUP($B172,INDIRECT($B$5&amp;"生成成长"),3))*(VLOOKUP($B$5,标准坦克设计!$B$14:$K$20,9)/30))</f>
        <v>4.5158022842406815</v>
      </c>
      <c r="CD172" s="172">
        <f ca="1">(VLOOKUP(CD$72,INDIRECT($C$5&amp;"生成成长"),2))/((VLOOKUP($B172,INDIRECT($B$5&amp;"生成成长"),4))/(VLOOKUP(CD$72,INDIRECT($C$5&amp;"生成成长"),5))*(VLOOKUP($B$5,标准坦克设计!$B$24:$U$30,MATCH("对"&amp;LEFT($C$5,2)&amp;"输出",标准坦克设计!$B$23:$U$23,0)))*(VLOOKUP($B172,INDIRECT($B$5&amp;"生成成长"),3))*(VLOOKUP($B$5,标准坦克设计!$B$14:$K$20,9)/30))</f>
        <v>4.8888561535480468</v>
      </c>
      <c r="CE172" s="172">
        <f ca="1">(VLOOKUP(CE$72,INDIRECT($C$5&amp;"生成成长"),2))/((VLOOKUP($B172,INDIRECT($B$5&amp;"生成成长"),4))/(VLOOKUP(CE$72,INDIRECT($C$5&amp;"生成成长"),5))*(VLOOKUP($B$5,标准坦克设计!$B$24:$U$30,MATCH("对"&amp;LEFT($C$5,2)&amp;"输出",标准坦克设计!$B$23:$U$23,0)))*(VLOOKUP($B172,INDIRECT($B$5&amp;"生成成长"),3))*(VLOOKUP($B$5,标准坦克设计!$B$14:$K$20,9)/30))</f>
        <v>5.2767137478279267</v>
      </c>
      <c r="CF172" s="172">
        <f ca="1">(VLOOKUP(CF$72,INDIRECT($C$5&amp;"生成成长"),2))/((VLOOKUP($B172,INDIRECT($B$5&amp;"生成成长"),4))/(VLOOKUP(CF$72,INDIRECT($C$5&amp;"生成成长"),5))*(VLOOKUP($B$5,标准坦克设计!$B$24:$U$30,MATCH("对"&amp;LEFT($C$5,2)&amp;"输出",标准坦克设计!$B$23:$U$23,0)))*(VLOOKUP($B172,INDIRECT($B$5&amp;"生成成长"),3))*(VLOOKUP($B$5,标准坦克设计!$B$14:$K$20,9)/30))</f>
        <v>5.6793750670803211</v>
      </c>
      <c r="CG172" s="172">
        <f ca="1">(VLOOKUP(CG$72,INDIRECT($C$5&amp;"生成成长"),2))/((VLOOKUP($B172,INDIRECT($B$5&amp;"生成成长"),4))/(VLOOKUP(CG$72,INDIRECT($C$5&amp;"生成成长"),5))*(VLOOKUP($B$5,标准坦克设计!$B$24:$U$30,MATCH("对"&amp;LEFT($C$5,2)&amp;"输出",标准坦克设计!$B$23:$U$23,0)))*(VLOOKUP($B172,INDIRECT($B$5&amp;"生成成长"),3))*(VLOOKUP($B$5,标准坦克设计!$B$14:$K$20,9)/30))</f>
        <v>6.0968401113052284</v>
      </c>
      <c r="CH172" s="172">
        <f ca="1">(VLOOKUP(CH$72,INDIRECT($C$5&amp;"生成成长"),2))/((VLOOKUP($B172,INDIRECT($B$5&amp;"生成成长"),4))/(VLOOKUP(CH$72,INDIRECT($C$5&amp;"生成成长"),5))*(VLOOKUP($B$5,标准坦克设计!$B$24:$U$30,MATCH("对"&amp;LEFT($C$5,2)&amp;"输出",标准坦克设计!$B$23:$U$23,0)))*(VLOOKUP($B172,INDIRECT($B$5&amp;"生成成长"),3))*(VLOOKUP($B$5,标准坦克设计!$B$14:$K$20,9)/30))</f>
        <v>6.529108880502652</v>
      </c>
      <c r="CI172" s="172">
        <f ca="1">(VLOOKUP(CI$72,INDIRECT($C$5&amp;"生成成长"),2))/((VLOOKUP($B172,INDIRECT($B$5&amp;"生成成长"),4))/(VLOOKUP(CI$72,INDIRECT($C$5&amp;"生成成长"),5))*(VLOOKUP($B$5,标准坦克设计!$B$24:$U$30,MATCH("对"&amp;LEFT($C$5,2)&amp;"输出",标准坦克设计!$B$23:$U$23,0)))*(VLOOKUP($B172,INDIRECT($B$5&amp;"生成成长"),3))*(VLOOKUP($B$5,标准坦克设计!$B$14:$K$20,9)/30))</f>
        <v>7.021702828963071</v>
      </c>
      <c r="CJ172" s="172">
        <f ca="1">(VLOOKUP(CJ$72,INDIRECT($C$5&amp;"生成成长"),2))/((VLOOKUP($B172,INDIRECT($B$5&amp;"生成成长"),4))/(VLOOKUP(CJ$72,INDIRECT($C$5&amp;"生成成长"),5))*(VLOOKUP($B$5,标准坦克设计!$B$24:$U$30,MATCH("对"&amp;LEFT($C$5,2)&amp;"输出",标准坦克设计!$B$23:$U$23,0)))*(VLOOKUP($B172,INDIRECT($B$5&amp;"生成成长"),3))*(VLOOKUP($B$5,标准坦克设计!$B$14:$K$20,9)/30))</f>
        <v>7.5322092846402322</v>
      </c>
      <c r="CK172" s="172">
        <f ca="1">(VLOOKUP(CK$72,INDIRECT($C$5&amp;"生成成长"),2))/((VLOOKUP($B172,INDIRECT($B$5&amp;"生成成长"),4))/(VLOOKUP(CK$72,INDIRECT($C$5&amp;"生成成长"),5))*(VLOOKUP($B$5,标准坦克设计!$B$24:$U$30,MATCH("对"&amp;LEFT($C$5,2)&amp;"输出",标准坦克设计!$B$23:$U$23,0)))*(VLOOKUP($B172,INDIRECT($B$5&amp;"生成成长"),3))*(VLOOKUP($B$5,标准坦克设计!$B$14:$K$20,9)/30))</f>
        <v>8.0606282475341384</v>
      </c>
      <c r="CL172" s="172">
        <f ca="1">(VLOOKUP(CL$72,INDIRECT($C$5&amp;"生成成长"),2))/((VLOOKUP($B172,INDIRECT($B$5&amp;"生成成长"),4))/(VLOOKUP(CL$72,INDIRECT($C$5&amp;"生成成长"),5))*(VLOOKUP($B$5,标准坦克设计!$B$24:$U$30,MATCH("对"&amp;LEFT($C$5,2)&amp;"输出",标准坦克设计!$B$23:$U$23,0)))*(VLOOKUP($B172,INDIRECT($B$5&amp;"生成成长"),3))*(VLOOKUP($B$5,标准坦克设计!$B$14:$K$20,9)/30))</f>
        <v>8.6069597176447843</v>
      </c>
      <c r="CM172" s="172">
        <f ca="1">(VLOOKUP(CM$72,INDIRECT($C$5&amp;"生成成长"),2))/((VLOOKUP($B172,INDIRECT($B$5&amp;"生成成长"),4))/(VLOOKUP(CM$72,INDIRECT($C$5&amp;"生成成长"),5))*(VLOOKUP($B$5,标准坦克设计!$B$24:$U$30,MATCH("对"&amp;LEFT($C$5,2)&amp;"输出",标准坦克设计!$B$23:$U$23,0)))*(VLOOKUP($B172,INDIRECT($B$5&amp;"生成成长"),3))*(VLOOKUP($B$5,标准坦克设计!$B$14:$K$20,9)/30))</f>
        <v>9.1712036949721742</v>
      </c>
      <c r="CN172" s="172">
        <f ca="1">(VLOOKUP(CN$72,INDIRECT($C$5&amp;"生成成长"),2))/((VLOOKUP($B172,INDIRECT($B$5&amp;"生成成长"),4))/(VLOOKUP(CN$72,INDIRECT($C$5&amp;"生成成长"),5))*(VLOOKUP($B$5,标准坦克设计!$B$24:$U$30,MATCH("对"&amp;LEFT($C$5,2)&amp;"输出",标准坦克设计!$B$23:$U$23,0)))*(VLOOKUP($B172,INDIRECT($B$5&amp;"生成成长"),3))*(VLOOKUP($B$5,标准坦克设计!$B$14:$K$20,9)/30))</f>
        <v>9.7533601795163083</v>
      </c>
      <c r="CO172" s="172">
        <f ca="1">(VLOOKUP(CO$72,INDIRECT($C$5&amp;"生成成长"),2))/((VLOOKUP($B172,INDIRECT($B$5&amp;"生成成长"),4))/(VLOOKUP(CO$72,INDIRECT($C$5&amp;"生成成长"),5))*(VLOOKUP($B$5,标准坦克设计!$B$24:$U$30,MATCH("对"&amp;LEFT($C$5,2)&amp;"输出",标准坦克设计!$B$23:$U$23,0)))*(VLOOKUP($B172,INDIRECT($B$5&amp;"生成成长"),3))*(VLOOKUP($B$5,标准坦克设计!$B$14:$K$20,9)/30))</f>
        <v>4.3707257795100398</v>
      </c>
      <c r="CP172" s="172">
        <f ca="1">(VLOOKUP(CP$72,INDIRECT($C$5&amp;"生成成长"),2))/((VLOOKUP($B172,INDIRECT($B$5&amp;"生成成长"),4))/(VLOOKUP(CP$72,INDIRECT($C$5&amp;"生成成长"),5))*(VLOOKUP($B$5,标准坦克设计!$B$24:$U$30,MATCH("对"&amp;LEFT($C$5,2)&amp;"输出",标准坦克设计!$B$23:$U$23,0)))*(VLOOKUP($B172,INDIRECT($B$5&amp;"生成成长"),3))*(VLOOKUP($B$5,标准坦克设计!$B$14:$K$20,9)/30))</f>
        <v>4.7753856016337224</v>
      </c>
      <c r="CQ172" s="172">
        <f ca="1">(VLOOKUP(CQ$72,INDIRECT($C$5&amp;"生成成长"),2))/((VLOOKUP($B172,INDIRECT($B$5&amp;"生成成长"),4))/(VLOOKUP(CQ$72,INDIRECT($C$5&amp;"生成成长"),5))*(VLOOKUP($B$5,标准坦克设计!$B$24:$U$30,MATCH("对"&amp;LEFT($C$5,2)&amp;"输出",标准坦克设计!$B$23:$U$23,0)))*(VLOOKUP($B172,INDIRECT($B$5&amp;"生成成长"),3))*(VLOOKUP($B$5,标准坦克设计!$B$14:$K$20,9)/30))</f>
        <v>5.1979579309741499</v>
      </c>
      <c r="CR172" s="172">
        <f ca="1">(VLOOKUP(CR$72,INDIRECT($C$5&amp;"生成成长"),2))/((VLOOKUP($B172,INDIRECT($B$5&amp;"生成成长"),4))/(VLOOKUP(CR$72,INDIRECT($C$5&amp;"生成成长"),5))*(VLOOKUP($B$5,标准坦克设计!$B$24:$U$30,MATCH("对"&amp;LEFT($C$5,2)&amp;"输出",标准坦克设计!$B$23:$U$23,0)))*(VLOOKUP($B172,INDIRECT($B$5&amp;"生成成长"),3))*(VLOOKUP($B$5,标准坦克设计!$B$14:$K$20,9)/30))</f>
        <v>5.638442767531318</v>
      </c>
      <c r="CS172" s="172">
        <f ca="1">(VLOOKUP(CS$72,INDIRECT($C$5&amp;"生成成长"),2))/((VLOOKUP($B172,INDIRECT($B$5&amp;"生成成长"),4))/(VLOOKUP(CS$72,INDIRECT($C$5&amp;"生成成长"),5))*(VLOOKUP($B$5,标准坦克设计!$B$24:$U$30,MATCH("对"&amp;LEFT($C$5,2)&amp;"输出",标准坦克设计!$B$23:$U$23,0)))*(VLOOKUP($B172,INDIRECT($B$5&amp;"生成成长"),3))*(VLOOKUP($B$5,标准坦克设计!$B$14:$K$20,9)/30))</f>
        <v>6.0968401113052284</v>
      </c>
      <c r="CT172" s="172">
        <f ca="1">(VLOOKUP(CT$72,INDIRECT($C$5&amp;"生成成长"),2))/((VLOOKUP($B172,INDIRECT($B$5&amp;"生成成长"),4))/(VLOOKUP(CT$72,INDIRECT($C$5&amp;"生成成长"),5))*(VLOOKUP($B$5,标准坦克设计!$B$24:$U$30,MATCH("对"&amp;LEFT($C$5,2)&amp;"输出",标准坦克设计!$B$23:$U$23,0)))*(VLOOKUP($B172,INDIRECT($B$5&amp;"生成成长"),3))*(VLOOKUP($B$5,标准坦克设计!$B$14:$K$20,9)/30))</f>
        <v>6.573149962295882</v>
      </c>
      <c r="CU172" s="172">
        <f ca="1">(VLOOKUP(CU$72,INDIRECT($C$5&amp;"生成成长"),2))/((VLOOKUP($B172,INDIRECT($B$5&amp;"生成成长"),4))/(VLOOKUP(CU$72,INDIRECT($C$5&amp;"生成成长"),5))*(VLOOKUP($B$5,标准坦克设计!$B$24:$U$30,MATCH("对"&amp;LEFT($C$5,2)&amp;"输出",标准坦克设计!$B$23:$U$23,0)))*(VLOOKUP($B172,INDIRECT($B$5&amp;"生成成长"),3))*(VLOOKUP($B$5,标准坦克设计!$B$14:$K$20,9)/30))</f>
        <v>7.0673723205032797</v>
      </c>
      <c r="CV172" s="172">
        <f ca="1">(VLOOKUP(CV$72,INDIRECT($C$5&amp;"生成成长"),2))/((VLOOKUP($B172,INDIRECT($B$5&amp;"生成成长"),4))/(VLOOKUP(CV$72,INDIRECT($C$5&amp;"生成成长"),5))*(VLOOKUP($B$5,标准坦克设计!$B$24:$U$30,MATCH("对"&amp;LEFT($C$5,2)&amp;"输出",标准坦克设计!$B$23:$U$23,0)))*(VLOOKUP($B172,INDIRECT($B$5&amp;"生成成长"),3))*(VLOOKUP($B$5,标准坦克设计!$B$14:$K$20,9)/30))</f>
        <v>7.5795071859274161</v>
      </c>
      <c r="CW172" s="172">
        <f ca="1">(VLOOKUP(CW$72,INDIRECT($C$5&amp;"生成成长"),2))/((VLOOKUP($B172,INDIRECT($B$5&amp;"生成成长"),4))/(VLOOKUP(CW$72,INDIRECT($C$5&amp;"生成成长"),5))*(VLOOKUP($B$5,标准坦克设计!$B$24:$U$30,MATCH("对"&amp;LEFT($C$5,2)&amp;"输出",标准坦克设计!$B$23:$U$23,0)))*(VLOOKUP($B172,INDIRECT($B$5&amp;"生成成长"),3))*(VLOOKUP($B$5,标准坦克设计!$B$14:$K$20,9)/30))</f>
        <v>8.1095545585682967</v>
      </c>
      <c r="CX172" s="172">
        <f ca="1">(VLOOKUP(CX$72,INDIRECT($C$5&amp;"生成成长"),2))/((VLOOKUP($B172,INDIRECT($B$5&amp;"生成成长"),4))/(VLOOKUP(CX$72,INDIRECT($C$5&amp;"生成成长"),5))*(VLOOKUP($B$5,标准坦克设计!$B$24:$U$30,MATCH("对"&amp;LEFT($C$5,2)&amp;"输出",标准坦克设计!$B$23:$U$23,0)))*(VLOOKUP($B172,INDIRECT($B$5&amp;"生成成长"),3))*(VLOOKUP($B$5,标准坦克设计!$B$14:$K$20,9)/30))</f>
        <v>8.6575144384259222</v>
      </c>
      <c r="CY172" s="172">
        <f ca="1">(VLOOKUP(CY$72,INDIRECT($C$5&amp;"生成成长"),2))/((VLOOKUP($B172,INDIRECT($B$5&amp;"生成成长"),4))/(VLOOKUP(CY$72,INDIRECT($C$5&amp;"生成成长"),5))*(VLOOKUP($B$5,标准坦克设计!$B$24:$U$30,MATCH("对"&amp;LEFT($C$5,2)&amp;"输出",标准坦克设计!$B$23:$U$23,0)))*(VLOOKUP($B172,INDIRECT($B$5&amp;"生成成长"),3))*(VLOOKUP($B$5,标准坦克设计!$B$14:$K$20,9)/30))</f>
        <v>9.2233868255002882</v>
      </c>
      <c r="CZ172" s="172">
        <f ca="1">(VLOOKUP(CZ$72,INDIRECT($C$5&amp;"生成成长"),2))/((VLOOKUP($B172,INDIRECT($B$5&amp;"生成成长"),4))/(VLOOKUP(CZ$72,INDIRECT($C$5&amp;"生成成长"),5))*(VLOOKUP($B$5,标准坦克设计!$B$24:$U$30,MATCH("对"&amp;LEFT($C$5,2)&amp;"输出",标准坦克设计!$B$23:$U$23,0)))*(VLOOKUP($B172,INDIRECT($B$5&amp;"生成成长"),3))*(VLOOKUP($B$5,标准坦克设计!$B$14:$K$20,9)/30))</f>
        <v>9.8071717197913983</v>
      </c>
      <c r="DA172" s="172">
        <f ca="1">(VLOOKUP(DA$72,INDIRECT($C$5&amp;"生成成长"),2))/((VLOOKUP($B172,INDIRECT($B$5&amp;"生成成长"),4))/(VLOOKUP(DA$72,INDIRECT($C$5&amp;"生成成长"),5))*(VLOOKUP($B$5,标准坦克设计!$B$24:$U$30,MATCH("对"&amp;LEFT($C$5,2)&amp;"输出",标准坦克设计!$B$23:$U$23,0)))*(VLOOKUP($B172,INDIRECT($B$5&amp;"生成成长"),3))*(VLOOKUP($B$5,标准坦克设计!$B$14:$K$20,9)/30))</f>
        <v>10.408869121299247</v>
      </c>
      <c r="DB172" s="172">
        <f ca="1">(VLOOKUP(DB$72,INDIRECT($C$5&amp;"生成成长"),2))/((VLOOKUP($B172,INDIRECT($B$5&amp;"生成成长"),4))/(VLOOKUP(DB$72,INDIRECT($C$5&amp;"生成成长"),5))*(VLOOKUP($B$5,标准坦克设计!$B$24:$U$30,MATCH("对"&amp;LEFT($C$5,2)&amp;"输出",标准坦克设计!$B$23:$U$23,0)))*(VLOOKUP($B172,INDIRECT($B$5&amp;"生成成长"),3))*(VLOOKUP($B$5,标准坦克设计!$B$14:$K$20,9)/30))</f>
        <v>11.028479030023844</v>
      </c>
      <c r="DC172" s="172">
        <f ca="1">(VLOOKUP(DC$72,INDIRECT($C$5&amp;"生成成长"),2))/((VLOOKUP($B172,INDIRECT($B$5&amp;"生成成长"),4))/(VLOOKUP(DC$72,INDIRECT($C$5&amp;"生成成长"),5))*(VLOOKUP($B$5,标准坦克设计!$B$24:$U$30,MATCH("对"&amp;LEFT($C$5,2)&amp;"输出",标准坦克设计!$B$23:$U$23,0)))*(VLOOKUP($B172,INDIRECT($B$5&amp;"生成成长"),3))*(VLOOKUP($B$5,标准坦克设计!$B$14:$K$20,9)/30))</f>
        <v>11.724846252730924</v>
      </c>
      <c r="DD172" s="172">
        <f ca="1">(VLOOKUP(DD$72,INDIRECT($C$5&amp;"生成成长"),2))/((VLOOKUP($B172,INDIRECT($B$5&amp;"生成成长"),4))/(VLOOKUP(DD$72,INDIRECT($C$5&amp;"生成成长"),5))*(VLOOKUP($B$5,标准坦克设计!$B$24:$U$30,MATCH("对"&amp;LEFT($C$5,2)&amp;"输出",标准坦克设计!$B$23:$U$23,0)))*(VLOOKUP($B172,INDIRECT($B$5&amp;"生成成长"),3))*(VLOOKUP($B$5,标准坦克设计!$B$14:$K$20,9)/30))</f>
        <v>12.442530839398428</v>
      </c>
      <c r="DE172" s="172">
        <f ca="1">(VLOOKUP(DE$72,INDIRECT($C$5&amp;"生成成长"),2))/((VLOOKUP($B172,INDIRECT($B$5&amp;"生成成长"),4))/(VLOOKUP(DE$72,INDIRECT($C$5&amp;"生成成长"),5))*(VLOOKUP($B$5,标准坦克设计!$B$24:$U$30,MATCH("对"&amp;LEFT($C$5,2)&amp;"输出",标准坦克设计!$B$23:$U$23,0)))*(VLOOKUP($B172,INDIRECT($B$5&amp;"生成成长"),3))*(VLOOKUP($B$5,标准坦克设计!$B$14:$K$20,9)/30))</f>
        <v>13.181532790026349</v>
      </c>
      <c r="DF172" s="172">
        <f ca="1">(VLOOKUP(DF$72,INDIRECT($C$5&amp;"生成成长"),2))/((VLOOKUP($B172,INDIRECT($B$5&amp;"生成成长"),4))/(VLOOKUP(DF$72,INDIRECT($C$5&amp;"生成成长"),5))*(VLOOKUP($B$5,标准坦克设计!$B$24:$U$30,MATCH("对"&amp;LEFT($C$5,2)&amp;"输出",标准坦克设计!$B$23:$U$23,0)))*(VLOOKUP($B172,INDIRECT($B$5&amp;"生成成长"),3))*(VLOOKUP($B$5,标准坦克设计!$B$14:$K$20,9)/30))</f>
        <v>13.941852104614693</v>
      </c>
      <c r="DG172" s="172">
        <f ca="1">(VLOOKUP(DG$72,INDIRECT($C$5&amp;"生成成长"),2))/((VLOOKUP($B172,INDIRECT($B$5&amp;"生成成长"),4))/(VLOOKUP(DG$72,INDIRECT($C$5&amp;"生成成长"),5))*(VLOOKUP($B$5,标准坦克设计!$B$24:$U$30,MATCH("对"&amp;LEFT($C$5,2)&amp;"输出",标准坦克设计!$B$23:$U$23,0)))*(VLOOKUP($B172,INDIRECT($B$5&amp;"生成成长"),3))*(VLOOKUP($B$5,标准坦克设计!$B$14:$K$20,9)/30))</f>
        <v>14.723488783163457</v>
      </c>
      <c r="DH172" s="172">
        <f ca="1">(VLOOKUP(DH$72,INDIRECT($C$5&amp;"生成成长"),2))/((VLOOKUP($B172,INDIRECT($B$5&amp;"生成成长"),4))/(VLOOKUP(DH$72,INDIRECT($C$5&amp;"生成成长"),5))*(VLOOKUP($B$5,标准坦克设计!$B$24:$U$30,MATCH("对"&amp;LEFT($C$5,2)&amp;"输出",标准坦克设计!$B$23:$U$23,0)))*(VLOOKUP($B172,INDIRECT($B$5&amp;"生成成长"),3))*(VLOOKUP($B$5,标准坦克设计!$B$14:$K$20,9)/30))</f>
        <v>15.526442825672644</v>
      </c>
      <c r="DI172" s="172">
        <f ca="1">(VLOOKUP(DI$72,INDIRECT($C$5&amp;"生成成长"),2))/((VLOOKUP($B172,INDIRECT($B$5&amp;"生成成长"),4))/(VLOOKUP(DI$72,INDIRECT($C$5&amp;"生成成长"),5))*(VLOOKUP($B$5,标准坦克设计!$B$24:$U$30,MATCH("对"&amp;LEFT($C$5,2)&amp;"输出",标准坦克设计!$B$23:$U$23,0)))*(VLOOKUP($B172,INDIRECT($B$5&amp;"生成成长"),3))*(VLOOKUP($B$5,标准坦克设计!$B$14:$K$20,9)/30))</f>
        <v>16.350714232142249</v>
      </c>
      <c r="DJ172" s="172">
        <f ca="1">(VLOOKUP(DJ$72,INDIRECT($C$5&amp;"生成成长"),2))/((VLOOKUP($B172,INDIRECT($B$5&amp;"生成成长"),4))/(VLOOKUP(DJ$72,INDIRECT($C$5&amp;"生成成长"),5))*(VLOOKUP($B$5,标准坦克设计!$B$24:$U$30,MATCH("对"&amp;LEFT($C$5,2)&amp;"输出",标准坦克设计!$B$23:$U$23,0)))*(VLOOKUP($B172,INDIRECT($B$5&amp;"生成成长"),3))*(VLOOKUP($B$5,标准坦克设计!$B$14:$K$20,9)/30))</f>
        <v>1.6432874905739705</v>
      </c>
      <c r="DK172" s="172">
        <f ca="1">(VLOOKUP(DK$72,INDIRECT($C$5&amp;"生成成长"),2))/((VLOOKUP($B172,INDIRECT($B$5&amp;"生成成长"),4))/(VLOOKUP(DK$72,INDIRECT($C$5&amp;"生成成长"),5))*(VLOOKUP($B$5,标准坦克设计!$B$24:$U$30,MATCH("对"&amp;LEFT($C$5,2)&amp;"输出",标准坦克设计!$B$23:$U$23,0)))*(VLOOKUP($B172,INDIRECT($B$5&amp;"生成成长"),3))*(VLOOKUP($B$5,标准坦克设计!$B$14:$K$20,9)/30))</f>
        <v>1.8478009510692581</v>
      </c>
      <c r="DL172" s="172">
        <f ca="1">(VLOOKUP(DL$72,INDIRECT($C$5&amp;"生成成长"),2))/((VLOOKUP($B172,INDIRECT($B$5&amp;"生成成长"),4))/(VLOOKUP(DL$72,INDIRECT($C$5&amp;"生成成长"),5))*(VLOOKUP($B$5,标准坦克设计!$B$24:$U$30,MATCH("对"&amp;LEFT($C$5,2)&amp;"输出",标准坦克设计!$B$23:$U$23,0)))*(VLOOKUP($B172,INDIRECT($B$5&amp;"生成成长"),3))*(VLOOKUP($B$5,标准坦克设计!$B$14:$K$20,9)/30))</f>
        <v>2.0643054287922831</v>
      </c>
      <c r="DM172" s="172">
        <f ca="1">(VLOOKUP(DM$72,INDIRECT($C$5&amp;"生成成长"),2))/((VLOOKUP($B172,INDIRECT($B$5&amp;"生成成长"),4))/(VLOOKUP(DM$72,INDIRECT($C$5&amp;"生成成长"),5))*(VLOOKUP($B$5,标准坦克设计!$B$24:$U$30,MATCH("对"&amp;LEFT($C$5,2)&amp;"输出",标准坦克设计!$B$23:$U$23,0)))*(VLOOKUP($B172,INDIRECT($B$5&amp;"生成成长"),3))*(VLOOKUP($B$5,标准坦克设计!$B$14:$K$20,9)/30))</f>
        <v>2.2928009237430436</v>
      </c>
      <c r="DN172" s="172">
        <f ca="1">(VLOOKUP(DN$72,INDIRECT($C$5&amp;"生成成长"),2))/((VLOOKUP($B172,INDIRECT($B$5&amp;"生成成长"),4))/(VLOOKUP(DN$72,INDIRECT($C$5&amp;"生成成长"),5))*(VLOOKUP($B$5,标准坦克设计!$B$24:$U$30,MATCH("对"&amp;LEFT($C$5,2)&amp;"输出",标准坦克设计!$B$23:$U$23,0)))*(VLOOKUP($B172,INDIRECT($B$5&amp;"生成成长"),3))*(VLOOKUP($B$5,标准坦克设计!$B$14:$K$20,9)/30))</f>
        <v>2.5332874359215416</v>
      </c>
      <c r="DO172" s="172">
        <f ca="1">(VLOOKUP(DO$72,INDIRECT($C$5&amp;"生成成长"),2))/((VLOOKUP($B172,INDIRECT($B$5&amp;"生成成长"),4))/(VLOOKUP(DO$72,INDIRECT($C$5&amp;"生成成长"),5))*(VLOOKUP($B$5,标准坦克设计!$B$24:$U$30,MATCH("对"&amp;LEFT($C$5,2)&amp;"输出",标准坦克设计!$B$23:$U$23,0)))*(VLOOKUP($B172,INDIRECT($B$5&amp;"生成成长"),3))*(VLOOKUP($B$5,标准坦克设计!$B$14:$K$20,9)/30))</f>
        <v>2.7857649653277758</v>
      </c>
      <c r="DP172" s="172">
        <f ca="1">(VLOOKUP(DP$72,INDIRECT($C$5&amp;"生成成长"),2))/((VLOOKUP($B172,INDIRECT($B$5&amp;"生成成长"),4))/(VLOOKUP(DP$72,INDIRECT($C$5&amp;"生成成长"),5))*(VLOOKUP($B$5,标准坦克设计!$B$24:$U$30,MATCH("对"&amp;LEFT($C$5,2)&amp;"输出",标准坦克设计!$B$23:$U$23,0)))*(VLOOKUP($B172,INDIRECT($B$5&amp;"生成成长"),3))*(VLOOKUP($B$5,标准坦克设计!$B$14:$K$20,9)/30))</f>
        <v>3.0502335119617476</v>
      </c>
      <c r="DQ172" s="172">
        <f ca="1">(VLOOKUP(DQ$72,INDIRECT($C$5&amp;"生成成长"),2))/((VLOOKUP($B172,INDIRECT($B$5&amp;"生成成长"),4))/(VLOOKUP(DQ$72,INDIRECT($C$5&amp;"生成成长"),5))*(VLOOKUP($B$5,标准坦克设计!$B$24:$U$30,MATCH("对"&amp;LEFT($C$5,2)&amp;"输出",标准坦克设计!$B$23:$U$23,0)))*(VLOOKUP($B172,INDIRECT($B$5&amp;"生成成长"),3))*(VLOOKUP($B$5,标准坦克设计!$B$14:$K$20,9)/30))</f>
        <v>3.3266930758234556</v>
      </c>
      <c r="DR172" s="172">
        <f ca="1">(VLOOKUP(DR$72,INDIRECT($C$5&amp;"生成成长"),2))/((VLOOKUP($B172,INDIRECT($B$5&amp;"生成成长"),4))/(VLOOKUP(DR$72,INDIRECT($C$5&amp;"生成成长"),5))*(VLOOKUP($B$5,标准坦克设计!$B$24:$U$30,MATCH("对"&amp;LEFT($C$5,2)&amp;"输出",标准坦克设计!$B$23:$U$23,0)))*(VLOOKUP($B172,INDIRECT($B$5&amp;"生成成长"),3))*(VLOOKUP($B$5,标准坦克设计!$B$14:$K$20,9)/30))</f>
        <v>3.6151436569128998</v>
      </c>
      <c r="DS172" s="172">
        <f ca="1">(VLOOKUP(DS$72,INDIRECT($C$5&amp;"生成成长"),2))/((VLOOKUP($B172,INDIRECT($B$5&amp;"生成成长"),4))/(VLOOKUP(DS$72,INDIRECT($C$5&amp;"生成成长"),5))*(VLOOKUP($B$5,标准坦克设计!$B$24:$U$30,MATCH("对"&amp;LEFT($C$5,2)&amp;"输出",标准坦克设计!$B$23:$U$23,0)))*(VLOOKUP($B172,INDIRECT($B$5&amp;"生成成长"),3))*(VLOOKUP($B$5,标准坦克设计!$B$14:$K$20,9)/30))</f>
        <v>3.9155852552300821</v>
      </c>
      <c r="DT172" s="172">
        <f ca="1">(VLOOKUP(DT$72,INDIRECT($C$5&amp;"生成成长"),2))/((VLOOKUP($B172,INDIRECT($B$5&amp;"生成成长"),4))/(VLOOKUP(DT$72,INDIRECT($C$5&amp;"生成成长"),5))*(VLOOKUP($B$5,标准坦克设计!$B$24:$U$30,MATCH("对"&amp;LEFT($C$5,2)&amp;"输出",标准坦克设计!$B$23:$U$23,0)))*(VLOOKUP($B172,INDIRECT($B$5&amp;"生成成长"),3))*(VLOOKUP($B$5,标准坦克设计!$B$14:$K$20,9)/30))</f>
        <v>4.2990757506430697</v>
      </c>
      <c r="DU172" s="172">
        <f ca="1">(VLOOKUP(DU$72,INDIRECT($C$5&amp;"生成成长"),2))/((VLOOKUP($B172,INDIRECT($B$5&amp;"生成成长"),4))/(VLOOKUP(DU$72,INDIRECT($C$5&amp;"生成成长"),5))*(VLOOKUP($B$5,标准坦克设计!$B$24:$U$30,MATCH("对"&amp;LEFT($C$5,2)&amp;"输出",标准坦克设计!$B$23:$U$23,0)))*(VLOOKUP($B172,INDIRECT($B$5&amp;"生成成长"),3))*(VLOOKUP($B$5,标准坦克设计!$B$14:$K$20,9)/30))</f>
        <v>4.7004787532727992</v>
      </c>
      <c r="DV172" s="172">
        <f ca="1">(VLOOKUP(DV$72,INDIRECT($C$5&amp;"生成成长"),2))/((VLOOKUP($B172,INDIRECT($B$5&amp;"生成成长"),4))/(VLOOKUP(DV$72,INDIRECT($C$5&amp;"生成成长"),5))*(VLOOKUP($B$5,标准坦克设计!$B$24:$U$30,MATCH("对"&amp;LEFT($C$5,2)&amp;"输出",标准坦克设计!$B$23:$U$23,0)))*(VLOOKUP($B172,INDIRECT($B$5&amp;"生成成长"),3))*(VLOOKUP($B$5,标准坦克设计!$B$14:$K$20,9)/30))</f>
        <v>5.1197942631192719</v>
      </c>
      <c r="DW172" s="172">
        <f ca="1">(VLOOKUP(DW$72,INDIRECT($C$5&amp;"生成成长"),2))/((VLOOKUP($B172,INDIRECT($B$5&amp;"生成成长"),4))/(VLOOKUP(DW$72,INDIRECT($C$5&amp;"生成成长"),5))*(VLOOKUP($B$5,标准坦克设计!$B$24:$U$30,MATCH("对"&amp;LEFT($C$5,2)&amp;"输出",标准坦克设计!$B$23:$U$23,0)))*(VLOOKUP($B172,INDIRECT($B$5&amp;"生成成长"),3))*(VLOOKUP($B$5,标准坦克设计!$B$14:$K$20,9)/30))</f>
        <v>5.5570222801824887</v>
      </c>
      <c r="DX172" s="172">
        <f ca="1">(VLOOKUP(DX$72,INDIRECT($C$5&amp;"生成成长"),2))/((VLOOKUP($B172,INDIRECT($B$5&amp;"生成成长"),4))/(VLOOKUP(DX$72,INDIRECT($C$5&amp;"生成成长"),5))*(VLOOKUP($B$5,标准坦克设计!$B$24:$U$30,MATCH("对"&amp;LEFT($C$5,2)&amp;"输出",标准坦克设计!$B$23:$U$23,0)))*(VLOOKUP($B172,INDIRECT($B$5&amp;"生成成长"),3))*(VLOOKUP($B$5,标准坦克设计!$B$14:$K$20,9)/30))</f>
        <v>6.0121628044624469</v>
      </c>
      <c r="DY172" s="172">
        <f ca="1">(VLOOKUP(DY$72,INDIRECT($C$5&amp;"生成成长"),2))/((VLOOKUP($B172,INDIRECT($B$5&amp;"生成成长"),4))/(VLOOKUP(DY$72,INDIRECT($C$5&amp;"生成成长"),5))*(VLOOKUP($B$5,标准坦克设计!$B$24:$U$30,MATCH("对"&amp;LEFT($C$5,2)&amp;"输出",标准坦克设计!$B$23:$U$23,0)))*(VLOOKUP($B172,INDIRECT($B$5&amp;"生成成长"),3))*(VLOOKUP($B$5,标准坦克设计!$B$14:$K$20,9)/30))</f>
        <v>2.7002734536115049</v>
      </c>
      <c r="DZ172" s="172">
        <f ca="1">(VLOOKUP(DZ$72,INDIRECT($C$5&amp;"生成成长"),2))/((VLOOKUP($B172,INDIRECT($B$5&amp;"生成成长"),4))/(VLOOKUP(DZ$72,INDIRECT($C$5&amp;"生成成长"),5))*(VLOOKUP($B$5,标准坦克设计!$B$24:$U$30,MATCH("对"&amp;LEFT($C$5,2)&amp;"输出",标准坦克设计!$B$23:$U$23,0)))*(VLOOKUP($B172,INDIRECT($B$5&amp;"生成成长"),3))*(VLOOKUP($B$5,标准坦克设计!$B$14:$K$20,9)/30))</f>
        <v>2.9904264630727893</v>
      </c>
      <c r="EA172" s="172">
        <f ca="1">(VLOOKUP(EA$72,INDIRECT($C$5&amp;"生成成长"),2))/((VLOOKUP($B172,INDIRECT($B$5&amp;"生成成长"),4))/(VLOOKUP(EA$72,INDIRECT($C$5&amp;"生成成长"),5))*(VLOOKUP($B$5,标准坦克设计!$B$24:$U$30,MATCH("对"&amp;LEFT($C$5,2)&amp;"输出",标准坦克设计!$B$23:$U$23,0)))*(VLOOKUP($B172,INDIRECT($B$5&amp;"生成成长"),3))*(VLOOKUP($B$5,标准坦克设计!$B$14:$K$20,9)/30))</f>
        <v>3.2953831975065873</v>
      </c>
      <c r="EB172" s="172">
        <f ca="1">(VLOOKUP(EB$72,INDIRECT($C$5&amp;"生成成长"),2))/((VLOOKUP($B172,INDIRECT($B$5&amp;"生成成长"),4))/(VLOOKUP(EB$72,INDIRECT($C$5&amp;"生成成长"),5))*(VLOOKUP($B$5,标准坦克设计!$B$24:$U$30,MATCH("对"&amp;LEFT($C$5,2)&amp;"输出",标准坦克设计!$B$23:$U$23,0)))*(VLOOKUP($B172,INDIRECT($B$5&amp;"生成成长"),3))*(VLOOKUP($B$5,标准坦克设计!$B$14:$K$20,9)/30))</f>
        <v>3.6151436569128998</v>
      </c>
      <c r="EC172" s="172">
        <f ca="1">(VLOOKUP(EC$72,INDIRECT($C$5&amp;"生成成长"),2))/((VLOOKUP($B172,INDIRECT($B$5&amp;"生成成长"),4))/(VLOOKUP(EC$72,INDIRECT($C$5&amp;"生成成长"),5))*(VLOOKUP($B$5,标准坦克设计!$B$24:$U$30,MATCH("对"&amp;LEFT($C$5,2)&amp;"输出",标准坦克设计!$B$23:$U$23,0)))*(VLOOKUP($B172,INDIRECT($B$5&amp;"生成成长"),3))*(VLOOKUP($B$5,标准坦克设计!$B$14:$K$20,9)/30))</f>
        <v>3.949707841291727</v>
      </c>
      <c r="ED172" s="172">
        <f ca="1">(VLOOKUP(ED$72,INDIRECT($C$5&amp;"生成成长"),2))/((VLOOKUP($B172,INDIRECT($B$5&amp;"生成成长"),4))/(VLOOKUP(ED$72,INDIRECT($C$5&amp;"生成成长"),5))*(VLOOKUP($B$5,标准坦克设计!$B$24:$U$30,MATCH("对"&amp;LEFT($C$5,2)&amp;"输出",标准坦克设计!$B$23:$U$23,0)))*(VLOOKUP($B172,INDIRECT($B$5&amp;"生成成长"),3))*(VLOOKUP($B$5,标准坦克设计!$B$14:$K$20,9)/30))</f>
        <v>4.2990757506430697</v>
      </c>
      <c r="EE172" s="172">
        <f ca="1">(VLOOKUP(EE$72,INDIRECT($C$5&amp;"生成成长"),2))/((VLOOKUP($B172,INDIRECT($B$5&amp;"生成成长"),4))/(VLOOKUP(EE$72,INDIRECT($C$5&amp;"生成成长"),5))*(VLOOKUP($B$5,标准坦克设计!$B$24:$U$30,MATCH("对"&amp;LEFT($C$5,2)&amp;"输出",标准坦克设计!$B$23:$U$23,0)))*(VLOOKUP($B172,INDIRECT($B$5&amp;"生成成长"),3))*(VLOOKUP($B$5,标准坦克设计!$B$14:$K$20,9)/30))</f>
        <v>4.6632473849669269</v>
      </c>
      <c r="EF172" s="172">
        <f ca="1">(VLOOKUP(EF$72,INDIRECT($C$5&amp;"生成成长"),2))/((VLOOKUP($B172,INDIRECT($B$5&amp;"生成成长"),4))/(VLOOKUP(EF$72,INDIRECT($C$5&amp;"生成成长"),5))*(VLOOKUP($B$5,标准坦克设计!$B$24:$U$30,MATCH("对"&amp;LEFT($C$5,2)&amp;"输出",标准坦克设计!$B$23:$U$23,0)))*(VLOOKUP($B172,INDIRECT($B$5&amp;"生成成长"),3))*(VLOOKUP($B$5,标准坦克设计!$B$14:$K$20,9)/30))</f>
        <v>5.042222744263297</v>
      </c>
      <c r="EG172" s="172">
        <f ca="1">(VLOOKUP(EG$72,INDIRECT($C$5&amp;"生成成长"),2))/((VLOOKUP($B172,INDIRECT($B$5&amp;"生成成长"),4))/(VLOOKUP(EG$72,INDIRECT($C$5&amp;"生成成长"),5))*(VLOOKUP($B$5,标准坦克设计!$B$24:$U$30,MATCH("对"&amp;LEFT($C$5,2)&amp;"输出",标准坦克设计!$B$23:$U$23,0)))*(VLOOKUP($B172,INDIRECT($B$5&amp;"生成成长"),3))*(VLOOKUP($B$5,标准坦克设计!$B$14:$K$20,9)/30))</f>
        <v>5.4360018285321816</v>
      </c>
      <c r="EH172" s="172">
        <f ca="1">(VLOOKUP(EH$72,INDIRECT($C$5&amp;"生成成长"),2))/((VLOOKUP($B172,INDIRECT($B$5&amp;"生成成长"),4))/(VLOOKUP(EH$72,INDIRECT($C$5&amp;"生成成长"),5))*(VLOOKUP($B$5,标准坦克设计!$B$24:$U$30,MATCH("对"&amp;LEFT($C$5,2)&amp;"输出",标准坦克设计!$B$23:$U$23,0)))*(VLOOKUP($B172,INDIRECT($B$5&amp;"生成成长"),3))*(VLOOKUP($B$5,标准坦克设计!$B$14:$K$20,9)/30))</f>
        <v>5.8445846377735817</v>
      </c>
      <c r="EI172" s="172">
        <f ca="1">(VLOOKUP(EI$72,INDIRECT($C$5&amp;"生成成长"),2))/((VLOOKUP($B172,INDIRECT($B$5&amp;"生成成长"),4))/(VLOOKUP(EI$72,INDIRECT($C$5&amp;"生成成长"),5))*(VLOOKUP($B$5,标准坦克设计!$B$24:$U$30,MATCH("对"&amp;LEFT($C$5,2)&amp;"输出",标准坦克设计!$B$23:$U$23,0)))*(VLOOKUP($B172,INDIRECT($B$5&amp;"生成成长"),3))*(VLOOKUP($B$5,标准坦克设计!$B$14:$K$20,9)/30))</f>
        <v>6.2679711719874955</v>
      </c>
      <c r="EJ172" s="172">
        <f ca="1">(VLOOKUP(EJ$72,INDIRECT($C$5&amp;"生成成长"),2))/((VLOOKUP($B172,INDIRECT($B$5&amp;"生成成长"),4))/(VLOOKUP(EJ$72,INDIRECT($C$5&amp;"生成成长"),5))*(VLOOKUP($B$5,标准坦克设计!$B$24:$U$30,MATCH("对"&amp;LEFT($C$5,2)&amp;"输出",标准坦克设计!$B$23:$U$23,0)))*(VLOOKUP($B172,INDIRECT($B$5&amp;"生成成长"),3))*(VLOOKUP($B$5,标准坦克设计!$B$14:$K$20,9)/30))</f>
        <v>6.7061614311739257</v>
      </c>
      <c r="EK172" s="172">
        <f ca="1">(VLOOKUP(EK$72,INDIRECT($C$5&amp;"生成成长"),2))/((VLOOKUP($B172,INDIRECT($B$5&amp;"生成成长"),4))/(VLOOKUP(EK$72,INDIRECT($C$5&amp;"生成成长"),5))*(VLOOKUP($B$5,标准坦克设计!$B$24:$U$30,MATCH("对"&amp;LEFT($C$5,2)&amp;"输出",标准坦克设计!$B$23:$U$23,0)))*(VLOOKUP($B172,INDIRECT($B$5&amp;"生成成长"),3))*(VLOOKUP($B$5,标准坦克设计!$B$14:$K$20,9)/30))</f>
        <v>7.2515306591613591</v>
      </c>
      <c r="EL172" s="172">
        <f ca="1">(VLOOKUP(EL$72,INDIRECT($C$5&amp;"生成成长"),2))/((VLOOKUP($B172,INDIRECT($B$5&amp;"生成成长"),4))/(VLOOKUP(EL$72,INDIRECT($C$5&amp;"生成成长"),5))*(VLOOKUP($B$5,标准坦克设计!$B$24:$U$30,MATCH("对"&amp;LEFT($C$5,2)&amp;"输出",标准坦克设计!$B$23:$U$23,0)))*(VLOOKUP($B172,INDIRECT($B$5&amp;"生成成长"),3))*(VLOOKUP($B$5,标准坦克设计!$B$14:$K$20,9)/30))</f>
        <v>7.8182172511092132</v>
      </c>
      <c r="EM172" s="172">
        <f ca="1">(VLOOKUP(EM$72,INDIRECT($C$5&amp;"生成成长"),2))/((VLOOKUP($B172,INDIRECT($B$5&amp;"生成成长"),4))/(VLOOKUP(EM$72,INDIRECT($C$5&amp;"生成成长"),5))*(VLOOKUP($B$5,标准坦克设计!$B$24:$U$30,MATCH("对"&amp;LEFT($C$5,2)&amp;"输出",标准坦克设计!$B$23:$U$23,0)))*(VLOOKUP($B172,INDIRECT($B$5&amp;"生成成长"),3))*(VLOOKUP($B$5,标准坦克设计!$B$14:$K$20,9)/30))</f>
        <v>8.406221207017488</v>
      </c>
      <c r="EN172" s="172">
        <f ca="1">(VLOOKUP(EN$72,INDIRECT($C$5&amp;"生成成长"),2))/((VLOOKUP($B172,INDIRECT($B$5&amp;"生成成长"),4))/(VLOOKUP(EN$72,INDIRECT($C$5&amp;"生成成长"),5))*(VLOOKUP($B$5,标准坦克设计!$B$24:$U$30,MATCH("对"&amp;LEFT($C$5,2)&amp;"输出",标准坦克设计!$B$23:$U$23,0)))*(VLOOKUP($B172,INDIRECT($B$5&amp;"生成成长"),3))*(VLOOKUP($B$5,标准坦克设计!$B$14:$K$20,9)/30))</f>
        <v>9.0155425268861844</v>
      </c>
      <c r="EO172" s="172">
        <f ca="1">(VLOOKUP(EO$72,INDIRECT($C$5&amp;"生成成长"),2))/((VLOOKUP($B172,INDIRECT($B$5&amp;"生成成长"),4))/(VLOOKUP(EO$72,INDIRECT($C$5&amp;"生成成长"),5))*(VLOOKUP($B$5,标准坦克设计!$B$24:$U$30,MATCH("对"&amp;LEFT($C$5,2)&amp;"输出",标准坦克设计!$B$23:$U$23,0)))*(VLOOKUP($B172,INDIRECT($B$5&amp;"生成成长"),3))*(VLOOKUP($B$5,标准坦克设计!$B$14:$K$20,9)/30))</f>
        <v>9.6461812107153033</v>
      </c>
      <c r="EP172" s="172">
        <f ca="1">(VLOOKUP(EP$72,INDIRECT($C$5&amp;"生成成长"),2))/((VLOOKUP($B172,INDIRECT($B$5&amp;"生成成长"),4))/(VLOOKUP(EP$72,INDIRECT($C$5&amp;"生成成长"),5))*(VLOOKUP($B$5,标准坦克设计!$B$24:$U$30,MATCH("对"&amp;LEFT($C$5,2)&amp;"输出",标准坦克设计!$B$23:$U$23,0)))*(VLOOKUP($B172,INDIRECT($B$5&amp;"生成成长"),3))*(VLOOKUP($B$5,标准坦克设计!$B$14:$K$20,9)/30))</f>
        <v>10.298137258504841</v>
      </c>
      <c r="EQ172" s="172">
        <f ca="1">(VLOOKUP(EQ$72,INDIRECT($C$5&amp;"生成成长"),2))/((VLOOKUP($B172,INDIRECT($B$5&amp;"生成成长"),4))/(VLOOKUP(EQ$72,INDIRECT($C$5&amp;"生成成长"),5))*(VLOOKUP($B$5,标准坦克设计!$B$24:$U$30,MATCH("对"&amp;LEFT($C$5,2)&amp;"输出",标准坦克设计!$B$23:$U$23,0)))*(VLOOKUP($B172,INDIRECT($B$5&amp;"生成成长"),3))*(VLOOKUP($B$5,标准坦克设计!$B$14:$K$20,9)/30))</f>
        <v>4.5524415035476551</v>
      </c>
      <c r="ER172" s="172">
        <f ca="1">(VLOOKUP(ER$72,INDIRECT($C$5&amp;"生成成长"),2))/((VLOOKUP($B172,INDIRECT($B$5&amp;"生成成长"),4))/(VLOOKUP(ER$72,INDIRECT($C$5&amp;"生成成长"),5))*(VLOOKUP($B$5,标准坦克设计!$B$24:$U$30,MATCH("对"&amp;LEFT($C$5,2)&amp;"输出",标准坦克设计!$B$23:$U$23,0)))*(VLOOKUP($B172,INDIRECT($B$5&amp;"生成成长"),3))*(VLOOKUP($B$5,标准坦克设计!$B$14:$K$20,9)/30))</f>
        <v>4.9652433744062208</v>
      </c>
      <c r="ES172" s="172">
        <f ca="1">(VLOOKUP(ES$72,INDIRECT($C$5&amp;"生成成长"),2))/((VLOOKUP($B172,INDIRECT($B$5&amp;"生成成长"),4))/(VLOOKUP(ES$72,INDIRECT($C$5&amp;"生成成长"),5))*(VLOOKUP($B$5,标准坦克设计!$B$24:$U$30,MATCH("对"&amp;LEFT($C$5,2)&amp;"输出",标准坦克设计!$B$23:$U$23,0)))*(VLOOKUP($B172,INDIRECT($B$5&amp;"生成成长"),3))*(VLOOKUP($B$5,标准坦克设计!$B$14:$K$20,9)/30))</f>
        <v>5.3959577524815305</v>
      </c>
      <c r="ET172" s="172">
        <f ca="1">(VLOOKUP(ET$72,INDIRECT($C$5&amp;"生成成长"),2))/((VLOOKUP($B172,INDIRECT($B$5&amp;"生成成长"),4))/(VLOOKUP(ET$72,INDIRECT($C$5&amp;"生成成长"),5))*(VLOOKUP($B$5,标准坦克设计!$B$24:$U$30,MATCH("对"&amp;LEFT($C$5,2)&amp;"输出",标准坦克设计!$B$23:$U$23,0)))*(VLOOKUP($B172,INDIRECT($B$5&amp;"生成成长"),3))*(VLOOKUP($B$5,标准坦克设计!$B$14:$K$20,9)/30))</f>
        <v>5.8445846377735817</v>
      </c>
      <c r="EU172" s="172">
        <f ca="1">(VLOOKUP(EU$72,INDIRECT($C$5&amp;"生成成长"),2))/((VLOOKUP($B172,INDIRECT($B$5&amp;"生成成长"),4))/(VLOOKUP(EU$72,INDIRECT($C$5&amp;"生成成长"),5))*(VLOOKUP($B$5,标准坦克设计!$B$24:$U$30,MATCH("对"&amp;LEFT($C$5,2)&amp;"输出",标准坦克设计!$B$23:$U$23,0)))*(VLOOKUP($B172,INDIRECT($B$5&amp;"生成成长"),3))*(VLOOKUP($B$5,标准坦克设计!$B$14:$K$20,9)/30))</f>
        <v>6.3111240302823761</v>
      </c>
      <c r="EV172" s="172">
        <f ca="1">(VLOOKUP(EV$72,INDIRECT($C$5&amp;"生成成长"),2))/((VLOOKUP($B172,INDIRECT($B$5&amp;"生成成长"),4))/(VLOOKUP(EV$72,INDIRECT($C$5&amp;"生成成长"),5))*(VLOOKUP($B$5,标准坦克设计!$B$24:$U$30,MATCH("对"&amp;LEFT($C$5,2)&amp;"输出",标准坦克设计!$B$23:$U$23,0)))*(VLOOKUP($B172,INDIRECT($B$5&amp;"生成成长"),3))*(VLOOKUP($B$5,标准坦克设计!$B$14:$K$20,9)/30))</f>
        <v>6.7955759300079128</v>
      </c>
      <c r="EW172" s="172">
        <f ca="1">(VLOOKUP(EW$72,INDIRECT($C$5&amp;"生成成长"),2))/((VLOOKUP($B172,INDIRECT($B$5&amp;"生成成长"),4))/(VLOOKUP(EW$72,INDIRECT($C$5&amp;"生成成长"),5))*(VLOOKUP($B$5,标准坦克设计!$B$24:$U$30,MATCH("对"&amp;LEFT($C$5,2)&amp;"输出",标准坦克设计!$B$23:$U$23,0)))*(VLOOKUP($B172,INDIRECT($B$5&amp;"生成成长"),3))*(VLOOKUP($B$5,标准坦克设计!$B$14:$K$20,9)/30))</f>
        <v>7.2979403369501927</v>
      </c>
      <c r="EX172" s="172">
        <f ca="1">(VLOOKUP(EX$72,INDIRECT($C$5&amp;"生成成长"),2))/((VLOOKUP($B172,INDIRECT($B$5&amp;"生成成长"),4))/(VLOOKUP(EX$72,INDIRECT($C$5&amp;"生成成长"),5))*(VLOOKUP($B$5,标准坦克设计!$B$24:$U$30,MATCH("对"&amp;LEFT($C$5,2)&amp;"输出",标准坦克设计!$B$23:$U$23,0)))*(VLOOKUP($B172,INDIRECT($B$5&amp;"生成成长"),3))*(VLOOKUP($B$5,标准坦克设计!$B$14:$K$20,9)/30))</f>
        <v>7.8182172511092132</v>
      </c>
      <c r="EY172" s="172">
        <f ca="1">(VLOOKUP(EY$72,INDIRECT($C$5&amp;"生成成长"),2))/((VLOOKUP($B172,INDIRECT($B$5&amp;"生成成长"),4))/(VLOOKUP(EY$72,INDIRECT($C$5&amp;"生成成长"),5))*(VLOOKUP($B$5,标准坦克设计!$B$24:$U$30,MATCH("对"&amp;LEFT($C$5,2)&amp;"输出",标准坦克设计!$B$23:$U$23,0)))*(VLOOKUP($B172,INDIRECT($B$5&amp;"生成成长"),3))*(VLOOKUP($B$5,标准坦克设计!$B$14:$K$20,9)/30))</f>
        <v>8.3564066724849777</v>
      </c>
      <c r="EZ172" s="172">
        <f ca="1">(VLOOKUP(EZ$72,INDIRECT($C$5&amp;"生成成长"),2))/((VLOOKUP($B172,INDIRECT($B$5&amp;"生成成长"),4))/(VLOOKUP(EZ$72,INDIRECT($C$5&amp;"生成成长"),5))*(VLOOKUP($B$5,标准坦克设计!$B$24:$U$30,MATCH("对"&amp;LEFT($C$5,2)&amp;"输出",标准坦克设计!$B$23:$U$23,0)))*(VLOOKUP($B172,INDIRECT($B$5&amp;"生成成长"),3))*(VLOOKUP($B$5,标准坦克设计!$B$14:$K$20,9)/30))</f>
        <v>8.9125086010774837</v>
      </c>
      <c r="FA172" s="172">
        <f ca="1">(VLOOKUP(FA$72,INDIRECT($C$5&amp;"生成成长"),2))/((VLOOKUP($B172,INDIRECT($B$5&amp;"生成成长"),4))/(VLOOKUP(FA$72,INDIRECT($C$5&amp;"生成成长"),5))*(VLOOKUP($B$5,标准坦克设计!$B$24:$U$30,MATCH("对"&amp;LEFT($C$5,2)&amp;"输出",标准坦克设计!$B$23:$U$23,0)))*(VLOOKUP($B172,INDIRECT($B$5&amp;"生成成长"),3))*(VLOOKUP($B$5,标准坦克设计!$B$14:$K$20,9)/30))</f>
        <v>9.4865230368867337</v>
      </c>
      <c r="FB172" s="172">
        <f ca="1">(VLOOKUP(FB$72,INDIRECT($C$5&amp;"生成成长"),2))/((VLOOKUP($B172,INDIRECT($B$5&amp;"生成成长"),4))/(VLOOKUP(FB$72,INDIRECT($C$5&amp;"生成成长"),5))*(VLOOKUP($B$5,标准坦克设计!$B$24:$U$30,MATCH("对"&amp;LEFT($C$5,2)&amp;"输出",标准坦克设计!$B$23:$U$23,0)))*(VLOOKUP($B172,INDIRECT($B$5&amp;"生成成长"),3))*(VLOOKUP($B$5,标准坦克设计!$B$14:$K$20,9)/30))</f>
        <v>10.078449979912724</v>
      </c>
      <c r="FC172" s="172">
        <f ca="1">(VLOOKUP(FC$72,INDIRECT($C$5&amp;"生成成长"),2))/((VLOOKUP($B172,INDIRECT($B$5&amp;"生成成长"),4))/(VLOOKUP(FC$72,INDIRECT($C$5&amp;"生成成长"),5))*(VLOOKUP($B$5,标准坦克设计!$B$24:$U$30,MATCH("对"&amp;LEFT($C$5,2)&amp;"输出",标准坦克设计!$B$23:$U$23,0)))*(VLOOKUP($B172,INDIRECT($B$5&amp;"生成成长"),3))*(VLOOKUP($B$5,标准坦克设计!$B$14:$K$20,9)/30))</f>
        <v>10.688289430155457</v>
      </c>
      <c r="FD172" s="172">
        <f ca="1">(VLOOKUP(FD$72,INDIRECT($C$5&amp;"生成成长"),2))/((VLOOKUP($B172,INDIRECT($B$5&amp;"生成成长"),4))/(VLOOKUP(FD$72,INDIRECT($C$5&amp;"生成成长"),5))*(VLOOKUP($B$5,标准坦克设计!$B$24:$U$30,MATCH("对"&amp;LEFT($C$5,2)&amp;"输出",标准坦克设计!$B$23:$U$23,0)))*(VLOOKUP($B172,INDIRECT($B$5&amp;"生成成长"),3))*(VLOOKUP($B$5,标准坦克设计!$B$14:$K$20,9)/30))</f>
        <v>11.316041387614938</v>
      </c>
      <c r="FE172" s="172">
        <f ca="1">(VLOOKUP(FE$72,INDIRECT($C$5&amp;"生成成长"),2))/((VLOOKUP($B172,INDIRECT($B$5&amp;"生成成长"),4))/(VLOOKUP(FE$72,INDIRECT($C$5&amp;"生成成长"),5))*(VLOOKUP($B$5,标准坦克设计!$B$24:$U$30,MATCH("对"&amp;LEFT($C$5,2)&amp;"输出",标准坦克设计!$B$23:$U$23,0)))*(VLOOKUP($B172,INDIRECT($B$5&amp;"生成成长"),3))*(VLOOKUP($B$5,标准坦克设计!$B$14:$K$20,9)/30))</f>
        <v>12.081023875569622</v>
      </c>
      <c r="FF172" s="172">
        <f ca="1">(VLOOKUP(FF$72,INDIRECT($C$5&amp;"生成成长"),2))/((VLOOKUP($B172,INDIRECT($B$5&amp;"生成成长"),4))/(VLOOKUP(FF$72,INDIRECT($C$5&amp;"生成成长"),5))*(VLOOKUP($B$5,标准坦克设计!$B$24:$U$30,MATCH("对"&amp;LEFT($C$5,2)&amp;"输出",标准坦克设计!$B$23:$U$23,0)))*(VLOOKUP($B172,INDIRECT($B$5&amp;"生成成长"),3))*(VLOOKUP($B$5,标准坦克设计!$B$14:$K$20,9)/30))</f>
        <v>12.871024658727858</v>
      </c>
      <c r="FG172" s="172">
        <f ca="1">(VLOOKUP(FG$72,INDIRECT($C$5&amp;"生成成长"),2))/((VLOOKUP($B172,INDIRECT($B$5&amp;"生成成长"),4))/(VLOOKUP(FG$72,INDIRECT($C$5&amp;"生成成长"),5))*(VLOOKUP($B$5,标准坦克设计!$B$24:$U$30,MATCH("对"&amp;LEFT($C$5,2)&amp;"输出",标准坦克设计!$B$23:$U$23,0)))*(VLOOKUP($B172,INDIRECT($B$5&amp;"生成成长"),3))*(VLOOKUP($B$5,标准坦克设计!$B$14:$K$20,9)/30))</f>
        <v>13.686043737089642</v>
      </c>
      <c r="FH172" s="172">
        <f ca="1">(VLOOKUP(FH$72,INDIRECT($C$5&amp;"生成成长"),2))/((VLOOKUP($B172,INDIRECT($B$5&amp;"生成成长"),4))/(VLOOKUP(FH$72,INDIRECT($C$5&amp;"生成成长"),5))*(VLOOKUP($B$5,标准坦克设计!$B$24:$U$30,MATCH("对"&amp;LEFT($C$5,2)&amp;"输出",标准坦克设计!$B$23:$U$23,0)))*(VLOOKUP($B172,INDIRECT($B$5&amp;"生成成长"),3))*(VLOOKUP($B$5,标准坦克设计!$B$14:$K$20,9)/30))</f>
        <v>14.526081110654978</v>
      </c>
      <c r="FI172" s="172">
        <f ca="1">(VLOOKUP(FI$72,INDIRECT($C$5&amp;"生成成长"),2))/((VLOOKUP($B172,INDIRECT($B$5&amp;"生成成长"),4))/(VLOOKUP(FI$72,INDIRECT($C$5&amp;"生成成长"),5))*(VLOOKUP($B$5,标准坦克设计!$B$24:$U$30,MATCH("对"&amp;LEFT($C$5,2)&amp;"输出",标准坦克设计!$B$23:$U$23,0)))*(VLOOKUP($B172,INDIRECT($B$5&amp;"生成成长"),3))*(VLOOKUP($B$5,标准坦克设计!$B$14:$K$20,9)/30))</f>
        <v>15.39113677942386</v>
      </c>
      <c r="FJ172" s="172">
        <f ca="1">(VLOOKUP(FJ$72,INDIRECT($C$5&amp;"生成成长"),2))/((VLOOKUP($B172,INDIRECT($B$5&amp;"生成成长"),4))/(VLOOKUP(FJ$72,INDIRECT($C$5&amp;"生成成长"),5))*(VLOOKUP($B$5,标准坦克设计!$B$24:$U$30,MATCH("对"&amp;LEFT($C$5,2)&amp;"输出",标准坦克设计!$B$23:$U$23,0)))*(VLOOKUP($B172,INDIRECT($B$5&amp;"生成成长"),3))*(VLOOKUP($B$5,标准坦克设计!$B$14:$K$20,9)/30))</f>
        <v>16.281210743396294</v>
      </c>
      <c r="FK172" s="172">
        <f ca="1">(VLOOKUP(FK$72,INDIRECT($C$5&amp;"生成成长"),2))/((VLOOKUP($B172,INDIRECT($B$5&amp;"生成成长"),4))/(VLOOKUP(FK$72,INDIRECT($C$5&amp;"生成成长"),5))*(VLOOKUP($B$5,标准坦克设计!$B$24:$U$30,MATCH("对"&amp;LEFT($C$5,2)&amp;"输出",标准坦克设计!$B$23:$U$23,0)))*(VLOOKUP($B172,INDIRECT($B$5&amp;"生成成长"),3))*(VLOOKUP($B$5,标准坦克设计!$B$14:$K$20,9)/30))</f>
        <v>17.196303002572279</v>
      </c>
    </row>
    <row r="173" spans="1:167" x14ac:dyDescent="0.15">
      <c r="A173" s="170" t="str">
        <f t="shared" si="12"/>
        <v>T5中品质11级</v>
      </c>
      <c r="B173" s="171">
        <v>20511</v>
      </c>
      <c r="C173" s="172">
        <f ca="1">(VLOOKUP(C$72,INDIRECT($C$5&amp;"生成成长"),2))/((VLOOKUP($B173,INDIRECT($B$5&amp;"生成成长"),4))/(VLOOKUP(C$72,INDIRECT($C$5&amp;"生成成长"),5))*(VLOOKUP($B$5,标准坦克设计!$B$24:$U$30,MATCH("对"&amp;LEFT($C$5,2)&amp;"输出",标准坦克设计!$B$23:$U$23,0)))*(VLOOKUP($B173,INDIRECT($B$5&amp;"生成成长"),3))*(VLOOKUP($B$5,标准坦克设计!$B$14:$K$20,9)/30))</f>
        <v>0.69609786488026615</v>
      </c>
      <c r="D173" s="172">
        <f ca="1">(VLOOKUP(D$72,INDIRECT($C$5&amp;"生成成长"),2))/((VLOOKUP($B173,INDIRECT($B$5&amp;"生成成长"),4))/(VLOOKUP(D$72,INDIRECT($C$5&amp;"生成成长"),5))*(VLOOKUP($B$5,标准坦克设计!$B$24:$U$30,MATCH("对"&amp;LEFT($C$5,2)&amp;"输出",标准坦克设计!$B$23:$U$23,0)))*(VLOOKUP($B173,INDIRECT($B$5&amp;"生成成长"),3))*(VLOOKUP($B$5,标准坦克设计!$B$14:$K$20,9)/30))</f>
        <v>0.7821355609794669</v>
      </c>
      <c r="E173" s="172">
        <f ca="1">(VLOOKUP(E$72,INDIRECT($C$5&amp;"生成成长"),2))/((VLOOKUP($B173,INDIRECT($B$5&amp;"生成成长"),4))/(VLOOKUP(E$72,INDIRECT($C$5&amp;"生成成长"),5))*(VLOOKUP($B$5,标准坦克设计!$B$24:$U$30,MATCH("对"&amp;LEFT($C$5,2)&amp;"输出",标准坦克设计!$B$23:$U$23,0)))*(VLOOKUP($B173,INDIRECT($B$5&amp;"生成成长"),3))*(VLOOKUP($B$5,标准坦克设计!$B$14:$K$20,9)/30))</f>
        <v>0.87318516170580573</v>
      </c>
      <c r="F173" s="172">
        <f ca="1">(VLOOKUP(F$72,INDIRECT($C$5&amp;"生成成长"),2))/((VLOOKUP($B173,INDIRECT($B$5&amp;"生成成长"),4))/(VLOOKUP(F$72,INDIRECT($C$5&amp;"生成成长"),5))*(VLOOKUP($B$5,标准坦克设计!$B$24:$U$30,MATCH("对"&amp;LEFT($C$5,2)&amp;"输出",标准坦克设计!$B$23:$U$23,0)))*(VLOOKUP($B173,INDIRECT($B$5&amp;"生成成长"),3))*(VLOOKUP($B$5,标准坦克设计!$B$14:$K$20,9)/30))</f>
        <v>0.96924666705928264</v>
      </c>
      <c r="G173" s="172">
        <f ca="1">(VLOOKUP(G$72,INDIRECT($C$5&amp;"生成成长"),2))/((VLOOKUP($B173,INDIRECT($B$5&amp;"生成成长"),4))/(VLOOKUP(G$72,INDIRECT($C$5&amp;"生成成长"),5))*(VLOOKUP($B$5,标准坦克设计!$B$24:$U$30,MATCH("对"&amp;LEFT($C$5,2)&amp;"输出",标准坦克设计!$B$23:$U$23,0)))*(VLOOKUP($B173,INDIRECT($B$5&amp;"生成成长"),3))*(VLOOKUP($B$5,标准坦克设计!$B$14:$K$20,9)/30))</f>
        <v>1.0703200770398973</v>
      </c>
      <c r="H173" s="172">
        <f ca="1">(VLOOKUP(H$72,INDIRECT($C$5&amp;"生成成长"),2))/((VLOOKUP($B173,INDIRECT($B$5&amp;"生成成长"),4))/(VLOOKUP(H$72,INDIRECT($C$5&amp;"生成成长"),5))*(VLOOKUP($B$5,标准坦克设计!$B$24:$U$30,MATCH("对"&amp;LEFT($C$5,2)&amp;"输出",标准坦克设计!$B$23:$U$23,0)))*(VLOOKUP($B173,INDIRECT($B$5&amp;"生成成长"),3))*(VLOOKUP($B$5,标准坦克设计!$B$14:$K$20,9)/30))</f>
        <v>0.93666928698288632</v>
      </c>
      <c r="I173" s="172">
        <f ca="1">(VLOOKUP(I$72,INDIRECT($C$5&amp;"生成成长"),2))/((VLOOKUP($B173,INDIRECT($B$5&amp;"生成成长"),4))/(VLOOKUP(I$72,INDIRECT($C$5&amp;"生成成长"),5))*(VLOOKUP($B$5,标准坦克设计!$B$24:$U$30,MATCH("对"&amp;LEFT($C$5,2)&amp;"输出",标准坦克设计!$B$23:$U$23,0)))*(VLOOKUP($B173,INDIRECT($B$5&amp;"生成成长"),3))*(VLOOKUP($B$5,标准坦克设计!$B$14:$K$20,9)/30))</f>
        <v>1.0703200770398973</v>
      </c>
      <c r="J173" s="172">
        <f ca="1">(VLOOKUP(J$72,INDIRECT($C$5&amp;"生成成长"),2))/((VLOOKUP($B173,INDIRECT($B$5&amp;"生成成长"),4))/(VLOOKUP(J$72,INDIRECT($C$5&amp;"生成成长"),5))*(VLOOKUP($B$5,标准坦克设计!$B$24:$U$30,MATCH("对"&amp;LEFT($C$5,2)&amp;"输出",标准坦克设计!$B$23:$U$23,0)))*(VLOOKUP($B173,INDIRECT($B$5&amp;"生成成长"),3))*(VLOOKUP($B$5,标准坦克设计!$B$14:$K$20,9)/30))</f>
        <v>1.2128809197673758</v>
      </c>
      <c r="K173" s="172">
        <f ca="1">(VLOOKUP(K$72,INDIRECT($C$5&amp;"生成成长"),2))/((VLOOKUP($B173,INDIRECT($B$5&amp;"生成成长"),4))/(VLOOKUP(K$72,INDIRECT($C$5&amp;"生成成长"),5))*(VLOOKUP($B$5,标准坦克设计!$B$24:$U$30,MATCH("对"&amp;LEFT($C$5,2)&amp;"输出",标准坦克设计!$B$23:$U$23,0)))*(VLOOKUP($B173,INDIRECT($B$5&amp;"生成成长"),3))*(VLOOKUP($B$5,标准坦克设计!$B$14:$K$20,9)/30))</f>
        <v>1.3643518151653218</v>
      </c>
      <c r="L173" s="172">
        <f ca="1">(VLOOKUP(L$72,INDIRECT($C$5&amp;"生成成长"),2))/((VLOOKUP($B173,INDIRECT($B$5&amp;"生成成长"),4))/(VLOOKUP(L$72,INDIRECT($C$5&amp;"生成成长"),5))*(VLOOKUP($B$5,标准坦克设计!$B$24:$U$30,MATCH("对"&amp;LEFT($C$5,2)&amp;"输出",标准坦克设计!$B$23:$U$23,0)))*(VLOOKUP($B173,INDIRECT($B$5&amp;"生成成长"),3))*(VLOOKUP($B$5,标准坦克设计!$B$14:$K$20,9)/30))</f>
        <v>1.5247327632337351</v>
      </c>
      <c r="M173" s="172">
        <f ca="1">(VLOOKUP(M$72,INDIRECT($C$5&amp;"生成成长"),2))/((VLOOKUP($B173,INDIRECT($B$5&amp;"生成成长"),4))/(VLOOKUP(M$72,INDIRECT($C$5&amp;"生成成长"),5))*(VLOOKUP($B$5,标准坦克设计!$B$24:$U$30,MATCH("对"&amp;LEFT($C$5,2)&amp;"输出",标准坦克设计!$B$23:$U$23,0)))*(VLOOKUP($B173,INDIRECT($B$5&amp;"生成成长"),3))*(VLOOKUP($B$5,标准坦克设计!$B$14:$K$20,9)/30))</f>
        <v>1.6940237639726159</v>
      </c>
      <c r="N173" s="172">
        <f ca="1">(VLOOKUP(N$72,INDIRECT($C$5&amp;"生成成长"),2))/((VLOOKUP($B173,INDIRECT($B$5&amp;"生成成长"),4))/(VLOOKUP(N$72,INDIRECT($C$5&amp;"生成成长"),5))*(VLOOKUP($B$5,标准坦克设计!$B$24:$U$30,MATCH("对"&amp;LEFT($C$5,2)&amp;"输出",标准坦克设计!$B$23:$U$23,0)))*(VLOOKUP($B173,INDIRECT($B$5&amp;"生成成长"),3))*(VLOOKUP($B$5,标准坦克设计!$B$14:$K$20,9)/30))</f>
        <v>1.8722248173819638</v>
      </c>
      <c r="O173" s="172">
        <f ca="1">(VLOOKUP(O$72,INDIRECT($C$5&amp;"生成成长"),2))/((VLOOKUP($B173,INDIRECT($B$5&amp;"生成成长"),4))/(VLOOKUP(O$72,INDIRECT($C$5&amp;"生成成长"),5))*(VLOOKUP($B$5,标准坦克设计!$B$24:$U$30,MATCH("对"&amp;LEFT($C$5,2)&amp;"输出",标准坦克设计!$B$23:$U$23,0)))*(VLOOKUP($B173,INDIRECT($B$5&amp;"生成成长"),3))*(VLOOKUP($B$5,标准坦克设计!$B$14:$K$20,9)/30))</f>
        <v>1.4234505238936563</v>
      </c>
      <c r="P173" s="172">
        <f ca="1">(VLOOKUP(P$72,INDIRECT($C$5&amp;"生成成长"),2))/((VLOOKUP($B173,INDIRECT($B$5&amp;"生成成长"),4))/(VLOOKUP(P$72,INDIRECT($C$5&amp;"生成成长"),5))*(VLOOKUP($B$5,标准坦克设计!$B$24:$U$30,MATCH("对"&amp;LEFT($C$5,2)&amp;"输出",标准坦克设计!$B$23:$U$23,0)))*(VLOOKUP($B173,INDIRECT($B$5&amp;"生成成长"),3))*(VLOOKUP($B$5,标准坦克设计!$B$14:$K$20,9)/30))</f>
        <v>1.6082645070193671</v>
      </c>
      <c r="Q173" s="172">
        <f ca="1">(VLOOKUP(Q$72,INDIRECT($C$5&amp;"生成成长"),2))/((VLOOKUP($B173,INDIRECT($B$5&amp;"生成成长"),4))/(VLOOKUP(Q$72,INDIRECT($C$5&amp;"生成成长"),5))*(VLOOKUP($B$5,标准坦克设计!$B$24:$U$30,MATCH("对"&amp;LEFT($C$5,2)&amp;"输出",标准坦克设计!$B$23:$U$23,0)))*(VLOOKUP($B173,INDIRECT($B$5&amp;"生成成长"),3))*(VLOOKUP($B$5,标准坦克设计!$B$14:$K$20,9)/30))</f>
        <v>1.8043552755561381</v>
      </c>
      <c r="R173" s="172">
        <f ca="1">(VLOOKUP(R$72,INDIRECT($C$5&amp;"生成成长"),2))/((VLOOKUP($B173,INDIRECT($B$5&amp;"生成成长"),4))/(VLOOKUP(R$72,INDIRECT($C$5&amp;"生成成长"),5))*(VLOOKUP($B$5,标准坦克设计!$B$24:$U$30,MATCH("对"&amp;LEFT($C$5,2)&amp;"输出",标准坦克设计!$B$23:$U$23,0)))*(VLOOKUP($B173,INDIRECT($B$5&amp;"生成成长"),3))*(VLOOKUP($B$5,标准坦克设计!$B$14:$K$20,9)/30))</f>
        <v>2.0117228295039689</v>
      </c>
      <c r="S173" s="172">
        <f ca="1">(VLOOKUP(S$72,INDIRECT($C$5&amp;"生成成长"),2))/((VLOOKUP($B173,INDIRECT($B$5&amp;"生成成长"),4))/(VLOOKUP(S$72,INDIRECT($C$5&amp;"生成成长"),5))*(VLOOKUP($B$5,标准坦克设计!$B$24:$U$30,MATCH("对"&amp;LEFT($C$5,2)&amp;"输出",标准坦克设计!$B$23:$U$23,0)))*(VLOOKUP($B173,INDIRECT($B$5&amp;"生成成长"),3))*(VLOOKUP($B$5,标准坦克设计!$B$14:$K$20,9)/30))</f>
        <v>2.2303671688628603</v>
      </c>
      <c r="T173" s="172">
        <f ca="1">(VLOOKUP(T$72,INDIRECT($C$5&amp;"生成成长"),2))/((VLOOKUP($B173,INDIRECT($B$5&amp;"生成成长"),4))/(VLOOKUP(T$72,INDIRECT($C$5&amp;"生成成长"),5))*(VLOOKUP($B$5,标准坦克设计!$B$24:$U$30,MATCH("对"&amp;LEFT($C$5,2)&amp;"输出",标准坦克设计!$B$23:$U$23,0)))*(VLOOKUP($B173,INDIRECT($B$5&amp;"生成成长"),3))*(VLOOKUP($B$5,标准坦克设计!$B$14:$K$20,9)/30))</f>
        <v>2.4602882936328125</v>
      </c>
      <c r="U173" s="172">
        <f ca="1">(VLOOKUP(U$72,INDIRECT($C$5&amp;"生成成长"),2))/((VLOOKUP($B173,INDIRECT($B$5&amp;"生成成长"),4))/(VLOOKUP(U$72,INDIRECT($C$5&amp;"生成成长"),5))*(VLOOKUP($B$5,标准坦克设计!$B$24:$U$30,MATCH("对"&amp;LEFT($C$5,2)&amp;"输出",标准坦克设计!$B$23:$U$23,0)))*(VLOOKUP($B173,INDIRECT($B$5&amp;"生成成长"),3))*(VLOOKUP($B$5,标准坦克设计!$B$14:$K$20,9)/30))</f>
        <v>2.701486203813825</v>
      </c>
      <c r="V173" s="172">
        <f ca="1">(VLOOKUP(V$72,INDIRECT($C$5&amp;"生成成长"),2))/((VLOOKUP($B173,INDIRECT($B$5&amp;"生成成长"),4))/(VLOOKUP(V$72,INDIRECT($C$5&amp;"生成成长"),5))*(VLOOKUP($B$5,标准坦克设计!$B$24:$U$30,MATCH("对"&amp;LEFT($C$5,2)&amp;"输出",标准坦克设计!$B$23:$U$23,0)))*(VLOOKUP($B173,INDIRECT($B$5&amp;"生成成长"),3))*(VLOOKUP($B$5,标准坦克设计!$B$14:$K$20,9)/30))</f>
        <v>2.9539608994058977</v>
      </c>
      <c r="W173" s="172">
        <f ca="1">(VLOOKUP(W$72,INDIRECT($C$5&amp;"生成成长"),2))/((VLOOKUP($B173,INDIRECT($B$5&amp;"生成成长"),4))/(VLOOKUP(W$72,INDIRECT($C$5&amp;"生成成长"),5))*(VLOOKUP($B$5,标准坦克设计!$B$24:$U$30,MATCH("对"&amp;LEFT($C$5,2)&amp;"输出",标准坦克设计!$B$23:$U$23,0)))*(VLOOKUP($B173,INDIRECT($B$5&amp;"生成成长"),3))*(VLOOKUP($B$5,标准坦克设计!$B$14:$K$20,9)/30))</f>
        <v>3.2177123804090302</v>
      </c>
      <c r="X173" s="172">
        <f ca="1">(VLOOKUP(X$72,INDIRECT($C$5&amp;"生成成长"),2))/((VLOOKUP($B173,INDIRECT($B$5&amp;"生成成长"),4))/(VLOOKUP(X$72,INDIRECT($C$5&amp;"生成成长"),5))*(VLOOKUP($B$5,标准坦克设计!$B$24:$U$30,MATCH("对"&amp;LEFT($C$5,2)&amp;"输出",标准坦克设计!$B$23:$U$23,0)))*(VLOOKUP($B173,INDIRECT($B$5&amp;"生成成长"),3))*(VLOOKUP($B$5,标准坦克设计!$B$14:$K$20,9)/30))</f>
        <v>2.3311621396975228</v>
      </c>
      <c r="Y173" s="172">
        <f ca="1">(VLOOKUP(Y$72,INDIRECT($C$5&amp;"生成成长"),2))/((VLOOKUP($B173,INDIRECT($B$5&amp;"生成成长"),4))/(VLOOKUP(Y$72,INDIRECT($C$5&amp;"生成成长"),5))*(VLOOKUP($B$5,标准坦克设计!$B$24:$U$30,MATCH("对"&amp;LEFT($C$5,2)&amp;"输出",标准坦克设计!$B$23:$U$23,0)))*(VLOOKUP($B173,INDIRECT($B$5&amp;"生成成长"),3))*(VLOOKUP($B$5,标准坦克设计!$B$14:$K$20,9)/30))</f>
        <v>2.5928949368925029</v>
      </c>
      <c r="Z173" s="172">
        <f ca="1">(VLOOKUP(Z$72,INDIRECT($C$5&amp;"生成成长"),2))/((VLOOKUP($B173,INDIRECT($B$5&amp;"生成成长"),4))/(VLOOKUP(Z$72,INDIRECT($C$5&amp;"生成成长"),5))*(VLOOKUP($B$5,标准坦克设计!$B$24:$U$30,MATCH("对"&amp;LEFT($C$5,2)&amp;"输出",标准坦克设计!$B$23:$U$23,0)))*(VLOOKUP($B173,INDIRECT($B$5&amp;"生成成长"),3))*(VLOOKUP($B$5,标准坦克设计!$B$14:$K$20,9)/30))</f>
        <v>2.8685496913850885</v>
      </c>
      <c r="AA173" s="172">
        <f ca="1">(VLOOKUP(AA$72,INDIRECT($C$5&amp;"生成成长"),2))/((VLOOKUP($B173,INDIRECT($B$5&amp;"生成成长"),4))/(VLOOKUP(AA$72,INDIRECT($C$5&amp;"生成成长"),5))*(VLOOKUP($B$5,标准坦克设计!$B$24:$U$30,MATCH("对"&amp;LEFT($C$5,2)&amp;"输出",标准坦克设计!$B$23:$U$23,0)))*(VLOOKUP($B173,INDIRECT($B$5&amp;"生成成长"),3))*(VLOOKUP($B$5,标准坦克设计!$B$14:$K$20,9)/30))</f>
        <v>3.1581264031752796</v>
      </c>
      <c r="AB173" s="172">
        <f ca="1">(VLOOKUP(AB$72,INDIRECT($C$5&amp;"生成成长"),2))/((VLOOKUP($B173,INDIRECT($B$5&amp;"生成成长"),4))/(VLOOKUP(AB$72,INDIRECT($C$5&amp;"生成成长"),5))*(VLOOKUP($B$5,标准坦克设计!$B$24:$U$30,MATCH("对"&amp;LEFT($C$5,2)&amp;"输出",标准坦克设计!$B$23:$U$23,0)))*(VLOOKUP($B173,INDIRECT($B$5&amp;"生成成长"),3))*(VLOOKUP($B$5,标准坦克设计!$B$14:$K$20,9)/30))</f>
        <v>3.4616250722630761</v>
      </c>
      <c r="AC173" s="172">
        <f ca="1">(VLOOKUP(AC$72,INDIRECT($C$5&amp;"生成成长"),2))/((VLOOKUP($B173,INDIRECT($B$5&amp;"生成成长"),4))/(VLOOKUP(AC$72,INDIRECT($C$5&amp;"生成成长"),5))*(VLOOKUP($B$5,标准坦克设计!$B$24:$U$30,MATCH("对"&amp;LEFT($C$5,2)&amp;"输出",标准坦克设计!$B$23:$U$23,0)))*(VLOOKUP($B173,INDIRECT($B$5&amp;"生成成长"),3))*(VLOOKUP($B$5,标准坦克设计!$B$14:$K$20,9)/30))</f>
        <v>3.7790456986484773</v>
      </c>
      <c r="AD173" s="172">
        <f ca="1">(VLOOKUP(AD$72,INDIRECT($C$5&amp;"生成成长"),2))/((VLOOKUP($B173,INDIRECT($B$5&amp;"生成成长"),4))/(VLOOKUP(AD$72,INDIRECT($C$5&amp;"生成成长"),5))*(VLOOKUP($B$5,标准坦克设计!$B$24:$U$30,MATCH("对"&amp;LEFT($C$5,2)&amp;"输出",标准坦克设计!$B$23:$U$23,0)))*(VLOOKUP($B173,INDIRECT($B$5&amp;"生成成长"),3))*(VLOOKUP($B$5,标准坦克设计!$B$14:$K$20,9)/30))</f>
        <v>4.1103882823314839</v>
      </c>
      <c r="AE173" s="172">
        <f ca="1">(VLOOKUP(AE$72,INDIRECT($C$5&amp;"生成成长"),2))/((VLOOKUP($B173,INDIRECT($B$5&amp;"生成成长"),4))/(VLOOKUP(AE$72,INDIRECT($C$5&amp;"生成成长"),5))*(VLOOKUP($B$5,标准坦克设计!$B$24:$U$30,MATCH("对"&amp;LEFT($C$5,2)&amp;"输出",标准坦克设计!$B$23:$U$23,0)))*(VLOOKUP($B173,INDIRECT($B$5&amp;"生成成长"),3))*(VLOOKUP($B$5,标准坦克设计!$B$14:$K$20,9)/30))</f>
        <v>4.4556528233120956</v>
      </c>
      <c r="AF173" s="172">
        <f ca="1">(VLOOKUP(AF$72,INDIRECT($C$5&amp;"生成成长"),2))/((VLOOKUP($B173,INDIRECT($B$5&amp;"生成成长"),4))/(VLOOKUP(AF$72,INDIRECT($C$5&amp;"生成成长"),5))*(VLOOKUP($B$5,标准坦克设计!$B$24:$U$30,MATCH("对"&amp;LEFT($C$5,2)&amp;"输出",标准坦克设计!$B$23:$U$23,0)))*(VLOOKUP($B173,INDIRECT($B$5&amp;"生成成长"),3))*(VLOOKUP($B$5,标准坦克设计!$B$14:$K$20,9)/30))</f>
        <v>4.8148393215903127</v>
      </c>
      <c r="AG173" s="172">
        <f ca="1">(VLOOKUP(AG$72,INDIRECT($C$5&amp;"生成成长"),2))/((VLOOKUP($B173,INDIRECT($B$5&amp;"生成成长"),4))/(VLOOKUP(AG$72,INDIRECT($C$5&amp;"生成成长"),5))*(VLOOKUP($B$5,标准坦克设计!$B$24:$U$30,MATCH("对"&amp;LEFT($C$5,2)&amp;"输出",标准坦克设计!$B$23:$U$23,0)))*(VLOOKUP($B173,INDIRECT($B$5&amp;"生成成长"),3))*(VLOOKUP($B$5,标准坦克设计!$B$14:$K$20,9)/30))</f>
        <v>5.1879477771661344</v>
      </c>
      <c r="AH173" s="172">
        <f ca="1">(VLOOKUP(AH$72,INDIRECT($C$5&amp;"生成成长"),2))/((VLOOKUP($B173,INDIRECT($B$5&amp;"生成成长"),4))/(VLOOKUP(AH$72,INDIRECT($C$5&amp;"生成成长"),5))*(VLOOKUP($B$5,标准坦克设计!$B$24:$U$30,MATCH("对"&amp;LEFT($C$5,2)&amp;"输出",标准坦克设计!$B$23:$U$23,0)))*(VLOOKUP($B173,INDIRECT($B$5&amp;"生成成长"),3))*(VLOOKUP($B$5,标准坦克设计!$B$14:$K$20,9)/30))</f>
        <v>5.5749781900395634</v>
      </c>
      <c r="AI173" s="172">
        <f ca="1">(VLOOKUP(AI$72,INDIRECT($C$5&amp;"生成成长"),2))/((VLOOKUP($B173,INDIRECT($B$5&amp;"生成成长"),4))/(VLOOKUP(AI$72,INDIRECT($C$5&amp;"生成成长"),5))*(VLOOKUP($B$5,标准坦克设计!$B$24:$U$30,MATCH("对"&amp;LEFT($C$5,2)&amp;"输出",标准坦克设计!$B$23:$U$23,0)))*(VLOOKUP($B173,INDIRECT($B$5&amp;"生成成长"),3))*(VLOOKUP($B$5,标准坦克设计!$B$14:$K$20,9)/30))</f>
        <v>3.9429767458277798</v>
      </c>
      <c r="AJ173" s="172">
        <f ca="1">(VLOOKUP(AJ$72,INDIRECT($C$5&amp;"生成成长"),2))/((VLOOKUP($B173,INDIRECT($B$5&amp;"生成成长"),4))/(VLOOKUP(AJ$72,INDIRECT($C$5&amp;"生成成长"),5))*(VLOOKUP($B$5,标准坦克设计!$B$24:$U$30,MATCH("对"&amp;LEFT($C$5,2)&amp;"输出",标准坦克设计!$B$23:$U$23,0)))*(VLOOKUP($B173,INDIRECT($B$5&amp;"生成成长"),3))*(VLOOKUP($B$5,标准坦克设计!$B$14:$K$20,9)/30))</f>
        <v>4.315876372044138</v>
      </c>
      <c r="AK173" s="172">
        <f ca="1">(VLOOKUP(AK$72,INDIRECT($C$5&amp;"生成成长"),2))/((VLOOKUP($B173,INDIRECT($B$5&amp;"生成成长"),4))/(VLOOKUP(AK$72,INDIRECT($C$5&amp;"生成成长"),5))*(VLOOKUP($B$5,标准坦克设计!$B$24:$U$30,MATCH("对"&amp;LEFT($C$5,2)&amp;"输出",标准坦克设计!$B$23:$U$23,0)))*(VLOOKUP($B173,INDIRECT($B$5&amp;"生成成长"),3))*(VLOOKUP($B$5,标准坦克设计!$B$14:$K$20,9)/30))</f>
        <v>4.7056215665905983</v>
      </c>
      <c r="AL173" s="172">
        <f ca="1">(VLOOKUP(AL$72,INDIRECT($C$5&amp;"生成成长"),2))/((VLOOKUP($B173,INDIRECT($B$5&amp;"生成成长"),4))/(VLOOKUP(AL$72,INDIRECT($C$5&amp;"生成成长"),5))*(VLOOKUP($B$5,标准坦克设计!$B$24:$U$30,MATCH("对"&amp;LEFT($C$5,2)&amp;"输出",标准坦克设计!$B$23:$U$23,0)))*(VLOOKUP($B173,INDIRECT($B$5&amp;"生成成长"),3))*(VLOOKUP($B$5,标准坦克设计!$B$14:$K$20,9)/30))</f>
        <v>5.1122123294671633</v>
      </c>
      <c r="AM173" s="172">
        <f ca="1">(VLOOKUP(AM$72,INDIRECT($C$5&amp;"生成成长"),2))/((VLOOKUP($B173,INDIRECT($B$5&amp;"生成成长"),4))/(VLOOKUP(AM$72,INDIRECT($C$5&amp;"生成成长"),5))*(VLOOKUP($B$5,标准坦克设计!$B$24:$U$30,MATCH("对"&amp;LEFT($C$5,2)&amp;"输出",标准坦克设计!$B$23:$U$23,0)))*(VLOOKUP($B173,INDIRECT($B$5&amp;"生成成长"),3))*(VLOOKUP($B$5,标准坦克设计!$B$14:$K$20,9)/30))</f>
        <v>5.5356486606738287</v>
      </c>
      <c r="AN173" s="172">
        <f ca="1">(VLOOKUP(AN$72,INDIRECT($C$5&amp;"生成成长"),2))/((VLOOKUP($B173,INDIRECT($B$5&amp;"生成成长"),4))/(VLOOKUP(AN$72,INDIRECT($C$5&amp;"生成成长"),5))*(VLOOKUP($B$5,标准坦克设计!$B$24:$U$30,MATCH("对"&amp;LEFT($C$5,2)&amp;"输出",标准坦克设计!$B$23:$U$23,0)))*(VLOOKUP($B173,INDIRECT($B$5&amp;"生成成长"),3))*(VLOOKUP($B$5,标准坦克设计!$B$14:$K$20,9)/30))</f>
        <v>5.975930560210597</v>
      </c>
      <c r="AO173" s="172">
        <f ca="1">(VLOOKUP(AO$72,INDIRECT($C$5&amp;"生成成长"),2))/((VLOOKUP($B173,INDIRECT($B$5&amp;"生成成长"),4))/(VLOOKUP(AO$72,INDIRECT($C$5&amp;"生成成长"),5))*(VLOOKUP($B$5,标准坦克设计!$B$24:$U$30,MATCH("对"&amp;LEFT($C$5,2)&amp;"输出",标准坦克设计!$B$23:$U$23,0)))*(VLOOKUP($B173,INDIRECT($B$5&amp;"生成成长"),3))*(VLOOKUP($B$5,标准坦克设计!$B$14:$K$20,9)/30))</f>
        <v>6.4330580280774683</v>
      </c>
      <c r="AP173" s="172">
        <f ca="1">(VLOOKUP(AP$72,INDIRECT($C$5&amp;"生成成长"),2))/((VLOOKUP($B173,INDIRECT($B$5&amp;"生成成长"),4))/(VLOOKUP(AP$72,INDIRECT($C$5&amp;"生成成长"),5))*(VLOOKUP($B$5,标准坦克设计!$B$24:$U$30,MATCH("对"&amp;LEFT($C$5,2)&amp;"输出",标准坦克设计!$B$23:$U$23,0)))*(VLOOKUP($B173,INDIRECT($B$5&amp;"生成成长"),3))*(VLOOKUP($B$5,标准坦克设计!$B$14:$K$20,9)/30))</f>
        <v>6.9070310642744408</v>
      </c>
      <c r="AQ173" s="172">
        <f ca="1">(VLOOKUP(AQ$72,INDIRECT($C$5&amp;"生成成长"),2))/((VLOOKUP($B173,INDIRECT($B$5&amp;"生成成长"),4))/(VLOOKUP(AQ$72,INDIRECT($C$5&amp;"生成成长"),5))*(VLOOKUP($B$5,标准坦克设计!$B$24:$U$30,MATCH("对"&amp;LEFT($C$5,2)&amp;"输出",标准坦克设计!$B$23:$U$23,0)))*(VLOOKUP($B173,INDIRECT($B$5&amp;"生成成长"),3))*(VLOOKUP($B$5,标准坦克设计!$B$14:$K$20,9)/30))</f>
        <v>7.3978496688015172</v>
      </c>
      <c r="AR173" s="172">
        <f ca="1">(VLOOKUP(AR$72,INDIRECT($C$5&amp;"生成成长"),2))/((VLOOKUP($B173,INDIRECT($B$5&amp;"生成成长"),4))/(VLOOKUP(AR$72,INDIRECT($C$5&amp;"生成成长"),5))*(VLOOKUP($B$5,标准坦克设计!$B$24:$U$30,MATCH("对"&amp;LEFT($C$5,2)&amp;"输出",标准坦克设计!$B$23:$U$23,0)))*(VLOOKUP($B173,INDIRECT($B$5&amp;"生成成长"),3))*(VLOOKUP($B$5,标准坦克设计!$B$14:$K$20,9)/30))</f>
        <v>7.905513841658693</v>
      </c>
      <c r="AS173" s="172">
        <f ca="1">(VLOOKUP(AS$72,INDIRECT($C$5&amp;"生成成长"),2))/((VLOOKUP($B173,INDIRECT($B$5&amp;"生成成长"),4))/(VLOOKUP(AS$72,INDIRECT($C$5&amp;"生成成长"),5))*(VLOOKUP($B$5,标准坦克设计!$B$24:$U$30,MATCH("对"&amp;LEFT($C$5,2)&amp;"输出",标准坦克设计!$B$23:$U$23,0)))*(VLOOKUP($B173,INDIRECT($B$5&amp;"生成成长"),3))*(VLOOKUP($B$5,标准坦克设计!$B$14:$K$20,9)/30))</f>
        <v>8.4300235828459744</v>
      </c>
      <c r="AT173" s="172">
        <f ca="1">(VLOOKUP(AT$72,INDIRECT($C$5&amp;"生成成长"),2))/((VLOOKUP($B173,INDIRECT($B$5&amp;"生成成长"),4))/(VLOOKUP(AT$72,INDIRECT($C$5&amp;"生成成长"),5))*(VLOOKUP($B$5,标准坦克设计!$B$24:$U$30,MATCH("对"&amp;LEFT($C$5,2)&amp;"输出",标准坦克设计!$B$23:$U$23,0)))*(VLOOKUP($B173,INDIRECT($B$5&amp;"生成成长"),3))*(VLOOKUP($B$5,标准坦克设计!$B$14:$K$20,9)/30))</f>
        <v>8.9713788923633579</v>
      </c>
      <c r="AU173" s="172">
        <f ca="1">(VLOOKUP(AU$72,INDIRECT($C$5&amp;"生成成长"),2))/((VLOOKUP($B173,INDIRECT($B$5&amp;"生成成长"),4))/(VLOOKUP(AU$72,INDIRECT($C$5&amp;"生成成长"),5))*(VLOOKUP($B$5,标准坦克设计!$B$24:$U$30,MATCH("对"&amp;LEFT($C$5,2)&amp;"输出",标准坦克设计!$B$23:$U$23,0)))*(VLOOKUP($B173,INDIRECT($B$5&amp;"生成成长"),3))*(VLOOKUP($B$5,标准坦克设计!$B$14:$K$20,9)/30))</f>
        <v>9.5295797702108427</v>
      </c>
      <c r="AV173" s="172">
        <f ca="1">(VLOOKUP(AV$72,INDIRECT($C$5&amp;"生成成长"),2))/((VLOOKUP($B173,INDIRECT($B$5&amp;"生成成长"),4))/(VLOOKUP(AV$72,INDIRECT($C$5&amp;"生成成长"),5))*(VLOOKUP($B$5,标准坦克设计!$B$24:$U$30,MATCH("对"&amp;LEFT($C$5,2)&amp;"输出",标准坦克设计!$B$23:$U$23,0)))*(VLOOKUP($B173,INDIRECT($B$5&amp;"生成成长"),3))*(VLOOKUP($B$5,标准坦克设计!$B$14:$K$20,9)/30))</f>
        <v>0.96924666705928264</v>
      </c>
      <c r="AW173" s="172">
        <f ca="1">(VLOOKUP(AW$72,INDIRECT($C$5&amp;"生成成长"),2))/((VLOOKUP($B173,INDIRECT($B$5&amp;"生成成长"),4))/(VLOOKUP(AW$72,INDIRECT($C$5&amp;"生成成长"),5))*(VLOOKUP($B$5,标准坦克设计!$B$24:$U$30,MATCH("对"&amp;LEFT($C$5,2)&amp;"输出",标准坦克设计!$B$23:$U$23,0)))*(VLOOKUP($B173,INDIRECT($B$5&amp;"生成成长"),3))*(VLOOKUP($B$5,标准坦克设计!$B$14:$K$20,9)/30))</f>
        <v>1.1051249702839108</v>
      </c>
      <c r="AX173" s="172">
        <f ca="1">(VLOOKUP(AX$72,INDIRECT($C$5&amp;"生成成长"),2))/((VLOOKUP($B173,INDIRECT($B$5&amp;"生成成长"),4))/(VLOOKUP(AX$72,INDIRECT($C$5&amp;"生成成长"),5))*(VLOOKUP($B$5,标准坦克设计!$B$24:$U$30,MATCH("对"&amp;LEFT($C$5,2)&amp;"输出",标准坦克设计!$B$23:$U$23,0)))*(VLOOKUP($B173,INDIRECT($B$5&amp;"生成成长"),3))*(VLOOKUP($B$5,标准坦克设计!$B$14:$K$20,9)/30))</f>
        <v>1.2499133261790059</v>
      </c>
      <c r="AY173" s="172">
        <f ca="1">(VLOOKUP(AY$72,INDIRECT($C$5&amp;"生成成长"),2))/((VLOOKUP($B173,INDIRECT($B$5&amp;"生成成长"),4))/(VLOOKUP(AY$72,INDIRECT($C$5&amp;"生成成长"),5))*(VLOOKUP($B$5,标准坦克设计!$B$24:$U$30,MATCH("对"&amp;LEFT($C$5,2)&amp;"输出",标准坦克设计!$B$23:$U$23,0)))*(VLOOKUP($B173,INDIRECT($B$5&amp;"生成成长"),3))*(VLOOKUP($B$5,标准坦克设计!$B$14:$K$20,9)/30))</f>
        <v>1.4036117347445687</v>
      </c>
      <c r="AZ173" s="172">
        <f ca="1">(VLOOKUP(AZ$72,INDIRECT($C$5&amp;"生成成长"),2))/((VLOOKUP($B173,INDIRECT($B$5&amp;"生成成长"),4))/(VLOOKUP(AZ$72,INDIRECT($C$5&amp;"生成成长"),5))*(VLOOKUP($B$5,标准坦克设计!$B$24:$U$30,MATCH("对"&amp;LEFT($C$5,2)&amp;"输出",标准坦克设计!$B$23:$U$23,0)))*(VLOOKUP($B173,INDIRECT($B$5&amp;"生成成长"),3))*(VLOOKUP($B$5,标准坦克设计!$B$14:$K$20,9)/30))</f>
        <v>1.5662201959805988</v>
      </c>
      <c r="BA173" s="172">
        <f ca="1">(VLOOKUP(BA$72,INDIRECT($C$5&amp;"生成成长"),2))/((VLOOKUP($B173,INDIRECT($B$5&amp;"生成成长"),4))/(VLOOKUP(BA$72,INDIRECT($C$5&amp;"生成成长"),5))*(VLOOKUP($B$5,标准坦克设计!$B$24:$U$30,MATCH("对"&amp;LEFT($C$5,2)&amp;"输出",标准坦克设计!$B$23:$U$23,0)))*(VLOOKUP($B173,INDIRECT($B$5&amp;"生成成长"),3))*(VLOOKUP($B$5,标准坦克设计!$B$14:$K$20,9)/30))</f>
        <v>1.7377387098870962</v>
      </c>
      <c r="BB173" s="172">
        <f ca="1">(VLOOKUP(BB$72,INDIRECT($C$5&amp;"生成成长"),2))/((VLOOKUP($B173,INDIRECT($B$5&amp;"生成成长"),4))/(VLOOKUP(BB$72,INDIRECT($C$5&amp;"生成成长"),5))*(VLOOKUP($B$5,标准坦克设计!$B$24:$U$30,MATCH("对"&amp;LEFT($C$5,2)&amp;"输出",标准坦克设计!$B$23:$U$23,0)))*(VLOOKUP($B173,INDIRECT($B$5&amp;"生成成长"),3))*(VLOOKUP($B$5,标准坦克设计!$B$14:$K$20,9)/30))</f>
        <v>1.9181672764640616</v>
      </c>
      <c r="BC173" s="172">
        <f ca="1">(VLOOKUP(BC$72,INDIRECT($C$5&amp;"生成成长"),2))/((VLOOKUP($B173,INDIRECT($B$5&amp;"生成成长"),4))/(VLOOKUP(BC$72,INDIRECT($C$5&amp;"生成成长"),5))*(VLOOKUP($B$5,标准坦克设计!$B$24:$U$30,MATCH("对"&amp;LEFT($C$5,2)&amp;"输出",标准坦克设计!$B$23:$U$23,0)))*(VLOOKUP($B173,INDIRECT($B$5&amp;"生成成长"),3))*(VLOOKUP($B$5,标准坦克设计!$B$14:$K$20,9)/30))</f>
        <v>2.1075058957114936</v>
      </c>
      <c r="BD173" s="172">
        <f ca="1">(VLOOKUP(BD$72,INDIRECT($C$5&amp;"生成成长"),2))/((VLOOKUP($B173,INDIRECT($B$5&amp;"生成成长"),4))/(VLOOKUP(BD$72,INDIRECT($C$5&amp;"生成成长"),5))*(VLOOKUP($B$5,标准坦克设计!$B$24:$U$30,MATCH("对"&amp;LEFT($C$5,2)&amp;"输出",标准坦克设计!$B$23:$U$23,0)))*(VLOOKUP($B173,INDIRECT($B$5&amp;"生成成长"),3))*(VLOOKUP($B$5,标准坦克设计!$B$14:$K$20,9)/30))</f>
        <v>2.3311621396975228</v>
      </c>
      <c r="BE173" s="172">
        <f ca="1">(VLOOKUP(BE$72,INDIRECT($C$5&amp;"生成成长"),2))/((VLOOKUP($B173,INDIRECT($B$5&amp;"生成成长"),4))/(VLOOKUP(BE$72,INDIRECT($C$5&amp;"生成成长"),5))*(VLOOKUP($B$5,标准坦克设计!$B$24:$U$30,MATCH("对"&amp;LEFT($C$5,2)&amp;"输出",标准坦克设计!$B$23:$U$23,0)))*(VLOOKUP($B173,INDIRECT($B$5&amp;"生成成长"),3))*(VLOOKUP($B$5,标准坦克设计!$B$14:$K$20,9)/30))</f>
        <v>2.5660951690946132</v>
      </c>
      <c r="BF173" s="172">
        <f ca="1">(VLOOKUP(BF$72,INDIRECT($C$5&amp;"生成成长"),2))/((VLOOKUP($B173,INDIRECT($B$5&amp;"生成成长"),4))/(VLOOKUP(BF$72,INDIRECT($C$5&amp;"生成成长"),5))*(VLOOKUP($B$5,标准坦克设计!$B$24:$U$30,MATCH("对"&amp;LEFT($C$5,2)&amp;"输出",标准坦克设计!$B$23:$U$23,0)))*(VLOOKUP($B173,INDIRECT($B$5&amp;"生成成长"),3))*(VLOOKUP($B$5,标准坦克设计!$B$14:$K$20,9)/30))</f>
        <v>2.812304983902763</v>
      </c>
      <c r="BG173" s="172">
        <f ca="1">(VLOOKUP(BG$72,INDIRECT($C$5&amp;"生成成长"),2))/((VLOOKUP($B173,INDIRECT($B$5&amp;"生成成长"),4))/(VLOOKUP(BG$72,INDIRECT($C$5&amp;"生成成长"),5))*(VLOOKUP($B$5,标准坦克设计!$B$24:$U$30,MATCH("对"&amp;LEFT($C$5,2)&amp;"输出",标准坦克设计!$B$23:$U$23,0)))*(VLOOKUP($B173,INDIRECT($B$5&amp;"生成成长"),3))*(VLOOKUP($B$5,标准坦克设计!$B$14:$K$20,9)/30))</f>
        <v>3.0697915841219734</v>
      </c>
      <c r="BH173" s="172">
        <f ca="1">(VLOOKUP(BH$72,INDIRECT($C$5&amp;"生成成长"),2))/((VLOOKUP($B173,INDIRECT($B$5&amp;"生成成长"),4))/(VLOOKUP(BH$72,INDIRECT($C$5&amp;"生成成长"),5))*(VLOOKUP($B$5,标准坦克设计!$B$24:$U$30,MATCH("对"&amp;LEFT($C$5,2)&amp;"输出",标准坦克设计!$B$23:$U$23,0)))*(VLOOKUP($B173,INDIRECT($B$5&amp;"生成成长"),3))*(VLOOKUP($B$5,标准坦克设计!$B$14:$K$20,9)/30))</f>
        <v>1.4838022087787752</v>
      </c>
      <c r="BI173" s="172">
        <f ca="1">(VLOOKUP(BI$72,INDIRECT($C$5&amp;"生成成长"),2))/((VLOOKUP($B173,INDIRECT($B$5&amp;"生成成长"),4))/(VLOOKUP(BI$72,INDIRECT($C$5&amp;"生成成长"),5))*(VLOOKUP($B$5,标准坦克设计!$B$24:$U$30,MATCH("对"&amp;LEFT($C$5,2)&amp;"输出",标准坦克设计!$B$23:$U$23,0)))*(VLOOKUP($B173,INDIRECT($B$5&amp;"生成成长"),3))*(VLOOKUP($B$5,标准坦克设计!$B$14:$K$20,9)/30))</f>
        <v>1.6723751203748392</v>
      </c>
      <c r="BJ173" s="172">
        <f ca="1">(VLOOKUP(BJ$72,INDIRECT($C$5&amp;"生成成长"),2))/((VLOOKUP($B173,INDIRECT($B$5&amp;"生成成长"),4))/(VLOOKUP(BJ$72,INDIRECT($C$5&amp;"生成成长"),5))*(VLOOKUP($B$5,标准坦克设计!$B$24:$U$30,MATCH("对"&amp;LEFT($C$5,2)&amp;"输出",标准坦克设计!$B$23:$U$23,0)))*(VLOOKUP($B173,INDIRECT($B$5&amp;"生成成长"),3))*(VLOOKUP($B$5,标准坦克设计!$B$14:$K$20,9)/30))</f>
        <v>1.8722248173819638</v>
      </c>
      <c r="BK173" s="172">
        <f ca="1">(VLOOKUP(BK$72,INDIRECT($C$5&amp;"生成成长"),2))/((VLOOKUP($B173,INDIRECT($B$5&amp;"生成成长"),4))/(VLOOKUP(BK$72,INDIRECT($C$5&amp;"生成成长"),5))*(VLOOKUP($B$5,标准坦克设计!$B$24:$U$30,MATCH("对"&amp;LEFT($C$5,2)&amp;"输出",标准坦克设计!$B$23:$U$23,0)))*(VLOOKUP($B173,INDIRECT($B$5&amp;"生成成长"),3))*(VLOOKUP($B$5,标准坦克设计!$B$14:$K$20,9)/30))</f>
        <v>2.0833512998001482</v>
      </c>
      <c r="BL173" s="172">
        <f ca="1">(VLOOKUP(BL$72,INDIRECT($C$5&amp;"生成成长"),2))/((VLOOKUP($B173,INDIRECT($B$5&amp;"生成成长"),4))/(VLOOKUP(BL$72,INDIRECT($C$5&amp;"生成成长"),5))*(VLOOKUP($B$5,标准坦克设计!$B$24:$U$30,MATCH("对"&amp;LEFT($C$5,2)&amp;"输出",标准坦克设计!$B$23:$U$23,0)))*(VLOOKUP($B173,INDIRECT($B$5&amp;"生成成长"),3))*(VLOOKUP($B$5,标准坦克设计!$B$14:$K$20,9)/30))</f>
        <v>2.3057545676293936</v>
      </c>
      <c r="BM173" s="172">
        <f ca="1">(VLOOKUP(BM$72,INDIRECT($C$5&amp;"生成成长"),2))/((VLOOKUP($B173,INDIRECT($B$5&amp;"生成成长"),4))/(VLOOKUP(BM$72,INDIRECT($C$5&amp;"生成成长"),5))*(VLOOKUP($B$5,标准坦克设计!$B$24:$U$30,MATCH("对"&amp;LEFT($C$5,2)&amp;"输出",标准坦克设计!$B$23:$U$23,0)))*(VLOOKUP($B173,INDIRECT($B$5&amp;"生成成长"),3))*(VLOOKUP($B$5,标准坦克设计!$B$14:$K$20,9)/30))</f>
        <v>2.5394346208696992</v>
      </c>
      <c r="BN173" s="172">
        <f ca="1">(VLOOKUP(BN$72,INDIRECT($C$5&amp;"生成成长"),2))/((VLOOKUP($B173,INDIRECT($B$5&amp;"生成成长"),4))/(VLOOKUP(BN$72,INDIRECT($C$5&amp;"生成成长"),5))*(VLOOKUP($B$5,标准坦克设计!$B$24:$U$30,MATCH("对"&amp;LEFT($C$5,2)&amp;"输出",标准坦克设计!$B$23:$U$23,0)))*(VLOOKUP($B173,INDIRECT($B$5&amp;"生成成长"),3))*(VLOOKUP($B$5,标准坦克设计!$B$14:$K$20,9)/30))</f>
        <v>2.7843914595210646</v>
      </c>
      <c r="BO173" s="172">
        <f ca="1">(VLOOKUP(BO$72,INDIRECT($C$5&amp;"生成成长"),2))/((VLOOKUP($B173,INDIRECT($B$5&amp;"生成成长"),4))/(VLOOKUP(BO$72,INDIRECT($C$5&amp;"生成成长"),5))*(VLOOKUP($B$5,标准坦克设计!$B$24:$U$30,MATCH("对"&amp;LEFT($C$5,2)&amp;"输出",标准坦克设计!$B$23:$U$23,0)))*(VLOOKUP($B173,INDIRECT($B$5&amp;"生成成长"),3))*(VLOOKUP($B$5,标准坦克设计!$B$14:$K$20,9)/30))</f>
        <v>3.0406250835834907</v>
      </c>
      <c r="BP173" s="172">
        <f ca="1">(VLOOKUP(BP$72,INDIRECT($C$5&amp;"生成成长"),2))/((VLOOKUP($B173,INDIRECT($B$5&amp;"生成成长"),4))/(VLOOKUP(BP$72,INDIRECT($C$5&amp;"生成成长"),5))*(VLOOKUP($B$5,标准坦克设计!$B$24:$U$30,MATCH("对"&amp;LEFT($C$5,2)&amp;"输出",标准坦克设计!$B$23:$U$23,0)))*(VLOOKUP($B173,INDIRECT($B$5&amp;"生成成长"),3))*(VLOOKUP($B$5,标准坦克设计!$B$14:$K$20,9)/30))</f>
        <v>3.3081354930569766</v>
      </c>
      <c r="BQ173" s="172">
        <f ca="1">(VLOOKUP(BQ$72,INDIRECT($C$5&amp;"生成成长"),2))/((VLOOKUP($B173,INDIRECT($B$5&amp;"生成成长"),4))/(VLOOKUP(BQ$72,INDIRECT($C$5&amp;"生成成长"),5))*(VLOOKUP($B$5,标准坦克设计!$B$24:$U$30,MATCH("对"&amp;LEFT($C$5,2)&amp;"输出",标准坦克设计!$B$23:$U$23,0)))*(VLOOKUP($B173,INDIRECT($B$5&amp;"生成成长"),3))*(VLOOKUP($B$5,标准坦克设计!$B$14:$K$20,9)/30))</f>
        <v>3.5869226879415232</v>
      </c>
      <c r="BR173" s="172">
        <f ca="1">(VLOOKUP(BR$72,INDIRECT($C$5&amp;"生成成长"),2))/((VLOOKUP($B173,INDIRECT($B$5&amp;"生成成长"),4))/(VLOOKUP(BR$72,INDIRECT($C$5&amp;"生成成长"),5))*(VLOOKUP($B$5,标准坦克设计!$B$24:$U$30,MATCH("对"&amp;LEFT($C$5,2)&amp;"输出",标准坦克设计!$B$23:$U$23,0)))*(VLOOKUP($B173,INDIRECT($B$5&amp;"生成成长"),3))*(VLOOKUP($B$5,标准坦克设计!$B$14:$K$20,9)/30))</f>
        <v>3.9099120972459667</v>
      </c>
      <c r="BS173" s="172">
        <f ca="1">(VLOOKUP(BS$72,INDIRECT($C$5&amp;"生成成长"),2))/((VLOOKUP($B173,INDIRECT($B$5&amp;"生成成长"),4))/(VLOOKUP(BS$72,INDIRECT($C$5&amp;"生成成长"),5))*(VLOOKUP($B$5,标准坦克设计!$B$24:$U$30,MATCH("对"&amp;LEFT($C$5,2)&amp;"输出",标准坦克设计!$B$23:$U$23,0)))*(VLOOKUP($B173,INDIRECT($B$5&amp;"生成成长"),3))*(VLOOKUP($B$5,标准坦克设计!$B$14:$K$20,9)/30))</f>
        <v>4.2468234638480151</v>
      </c>
      <c r="BT173" s="172">
        <f ca="1">(VLOOKUP(BT$72,INDIRECT($C$5&amp;"生成成长"),2))/((VLOOKUP($B173,INDIRECT($B$5&amp;"生成成长"),4))/(VLOOKUP(BT$72,INDIRECT($C$5&amp;"生成成长"),5))*(VLOOKUP($B$5,标准坦克设计!$B$24:$U$30,MATCH("对"&amp;LEFT($C$5,2)&amp;"输出",标准坦克设计!$B$23:$U$23,0)))*(VLOOKUP($B173,INDIRECT($B$5&amp;"生成成长"),3))*(VLOOKUP($B$5,标准坦克设计!$B$14:$K$20,9)/30))</f>
        <v>4.5976567877476695</v>
      </c>
      <c r="BU173" s="172">
        <f ca="1">(VLOOKUP(BU$72,INDIRECT($C$5&amp;"生成成长"),2))/((VLOOKUP($B173,INDIRECT($B$5&amp;"生成成长"),4))/(VLOOKUP(BU$72,INDIRECT($C$5&amp;"生成成长"),5))*(VLOOKUP($B$5,标准坦克设计!$B$24:$U$30,MATCH("对"&amp;LEFT($C$5,2)&amp;"输出",标准坦克设计!$B$23:$U$23,0)))*(VLOOKUP($B173,INDIRECT($B$5&amp;"生成成长"),3))*(VLOOKUP($B$5,标准坦克设计!$B$14:$K$20,9)/30))</f>
        <v>4.9624120689449303</v>
      </c>
      <c r="BV173" s="172">
        <f ca="1">(VLOOKUP(BV$72,INDIRECT($C$5&amp;"生成成长"),2))/((VLOOKUP($B173,INDIRECT($B$5&amp;"生成成长"),4))/(VLOOKUP(BV$72,INDIRECT($C$5&amp;"生成成长"),5))*(VLOOKUP($B$5,标准坦克设计!$B$24:$U$30,MATCH("对"&amp;LEFT($C$5,2)&amp;"输出",标准坦克设计!$B$23:$U$23,0)))*(VLOOKUP($B173,INDIRECT($B$5&amp;"生成成长"),3))*(VLOOKUP($B$5,标准坦克设计!$B$14:$K$20,9)/30))</f>
        <v>5.3410893074397947</v>
      </c>
      <c r="BW173" s="172">
        <f ca="1">(VLOOKUP(BW$72,INDIRECT($C$5&amp;"生成成长"),2))/((VLOOKUP($B173,INDIRECT($B$5&amp;"生成成长"),4))/(VLOOKUP(BW$72,INDIRECT($C$5&amp;"生成成长"),5))*(VLOOKUP($B$5,标准坦克设计!$B$24:$U$30,MATCH("对"&amp;LEFT($C$5,2)&amp;"输出",标准坦克设计!$B$23:$U$23,0)))*(VLOOKUP($B173,INDIRECT($B$5&amp;"生成成长"),3))*(VLOOKUP($B$5,标准坦克设计!$B$14:$K$20,9)/30))</f>
        <v>2.434184623699803</v>
      </c>
      <c r="BX173" s="172">
        <f ca="1">(VLOOKUP(BX$72,INDIRECT($C$5&amp;"生成成长"),2))/((VLOOKUP($B173,INDIRECT($B$5&amp;"生成成长"),4))/(VLOOKUP(BX$72,INDIRECT($C$5&amp;"生成成长"),5))*(VLOOKUP($B$5,标准坦克设计!$B$24:$U$30,MATCH("对"&amp;LEFT($C$5,2)&amp;"输出",标准坦克设计!$B$23:$U$23,0)))*(VLOOKUP($B173,INDIRECT($B$5&amp;"生成成长"),3))*(VLOOKUP($B$5,标准坦克设计!$B$14:$K$20,9)/30))</f>
        <v>2.701486203813825</v>
      </c>
      <c r="BY173" s="172">
        <f ca="1">(VLOOKUP(BY$72,INDIRECT($C$5&amp;"生成成长"),2))/((VLOOKUP($B173,INDIRECT($B$5&amp;"生成成长"),4))/(VLOOKUP(BY$72,INDIRECT($C$5&amp;"生成成长"),5))*(VLOOKUP($B$5,标准坦克设计!$B$24:$U$30,MATCH("对"&amp;LEFT($C$5,2)&amp;"输出",标准坦克设计!$B$23:$U$23,0)))*(VLOOKUP($B173,INDIRECT($B$5&amp;"生成成长"),3))*(VLOOKUP($B$5,标准坦克设计!$B$14:$K$20,9)/30))</f>
        <v>2.9827097412254524</v>
      </c>
      <c r="BZ173" s="172">
        <f ca="1">(VLOOKUP(BZ$72,INDIRECT($C$5&amp;"生成成长"),2))/((VLOOKUP($B173,INDIRECT($B$5&amp;"生成成长"),4))/(VLOOKUP(BZ$72,INDIRECT($C$5&amp;"生成成长"),5))*(VLOOKUP($B$5,标准坦克设计!$B$24:$U$30,MATCH("对"&amp;LEFT($C$5,2)&amp;"输出",标准坦克设计!$B$23:$U$23,0)))*(VLOOKUP($B173,INDIRECT($B$5&amp;"生成成长"),3))*(VLOOKUP($B$5,标准坦克设计!$B$14:$K$20,9)/30))</f>
        <v>3.2778552359346849</v>
      </c>
      <c r="CA173" s="172">
        <f ca="1">(VLOOKUP(CA$72,INDIRECT($C$5&amp;"生成成长"),2))/((VLOOKUP($B173,INDIRECT($B$5&amp;"生成成长"),4))/(VLOOKUP(CA$72,INDIRECT($C$5&amp;"生成成长"),5))*(VLOOKUP($B$5,标准坦克设计!$B$24:$U$30,MATCH("对"&amp;LEFT($C$5,2)&amp;"输出",标准坦克设计!$B$23:$U$23,0)))*(VLOOKUP($B173,INDIRECT($B$5&amp;"生成成长"),3))*(VLOOKUP($B$5,标准坦克设计!$B$14:$K$20,9)/30))</f>
        <v>3.5869226879415232</v>
      </c>
      <c r="CB173" s="172">
        <f ca="1">(VLOOKUP(CB$72,INDIRECT($C$5&amp;"生成成长"),2))/((VLOOKUP($B173,INDIRECT($B$5&amp;"生成成长"),4))/(VLOOKUP(CB$72,INDIRECT($C$5&amp;"生成成长"),5))*(VLOOKUP($B$5,标准坦克设计!$B$24:$U$30,MATCH("对"&amp;LEFT($C$5,2)&amp;"输出",标准坦克设计!$B$23:$U$23,0)))*(VLOOKUP($B173,INDIRECT($B$5&amp;"生成成长"),3))*(VLOOKUP($B$5,标准坦克设计!$B$14:$K$20,9)/30))</f>
        <v>3.9099120972459667</v>
      </c>
      <c r="CC173" s="172">
        <f ca="1">(VLOOKUP(CC$72,INDIRECT($C$5&amp;"生成成长"),2))/((VLOOKUP($B173,INDIRECT($B$5&amp;"生成成长"),4))/(VLOOKUP(CC$72,INDIRECT($C$5&amp;"生成成长"),5))*(VLOOKUP($B$5,标准坦克设计!$B$24:$U$30,MATCH("对"&amp;LEFT($C$5,2)&amp;"输出",标准坦克设计!$B$23:$U$23,0)))*(VLOOKUP($B173,INDIRECT($B$5&amp;"生成成长"),3))*(VLOOKUP($B$5,标准坦克设计!$B$14:$K$20,9)/30))</f>
        <v>4.2468234638480151</v>
      </c>
      <c r="CD173" s="172">
        <f ca="1">(VLOOKUP(CD$72,INDIRECT($C$5&amp;"生成成长"),2))/((VLOOKUP($B173,INDIRECT($B$5&amp;"生成成长"),4))/(VLOOKUP(CD$72,INDIRECT($C$5&amp;"生成成长"),5))*(VLOOKUP($B$5,标准坦克设计!$B$24:$U$30,MATCH("对"&amp;LEFT($C$5,2)&amp;"输出",标准坦克设计!$B$23:$U$23,0)))*(VLOOKUP($B173,INDIRECT($B$5&amp;"生成成长"),3))*(VLOOKUP($B$5,标准坦克设计!$B$14:$K$20,9)/30))</f>
        <v>4.5976567877476695</v>
      </c>
      <c r="CE173" s="172">
        <f ca="1">(VLOOKUP(CE$72,INDIRECT($C$5&amp;"生成成长"),2))/((VLOOKUP($B173,INDIRECT($B$5&amp;"生成成长"),4))/(VLOOKUP(CE$72,INDIRECT($C$5&amp;"生成成长"),5))*(VLOOKUP($B$5,标准坦克设计!$B$24:$U$30,MATCH("对"&amp;LEFT($C$5,2)&amp;"输出",标准坦克设计!$B$23:$U$23,0)))*(VLOOKUP($B173,INDIRECT($B$5&amp;"生成成长"),3))*(VLOOKUP($B$5,标准坦克设计!$B$14:$K$20,9)/30))</f>
        <v>4.9624120689449303</v>
      </c>
      <c r="CF173" s="172">
        <f ca="1">(VLOOKUP(CF$72,INDIRECT($C$5&amp;"生成成长"),2))/((VLOOKUP($B173,INDIRECT($B$5&amp;"生成成长"),4))/(VLOOKUP(CF$72,INDIRECT($C$5&amp;"生成成长"),5))*(VLOOKUP($B$5,标准坦克设计!$B$24:$U$30,MATCH("对"&amp;LEFT($C$5,2)&amp;"输出",标准坦克设计!$B$23:$U$23,0)))*(VLOOKUP($B173,INDIRECT($B$5&amp;"生成成长"),3))*(VLOOKUP($B$5,标准坦克设计!$B$14:$K$20,9)/30))</f>
        <v>5.3410893074397947</v>
      </c>
      <c r="CG173" s="172">
        <f ca="1">(VLOOKUP(CG$72,INDIRECT($C$5&amp;"生成成长"),2))/((VLOOKUP($B173,INDIRECT($B$5&amp;"生成成长"),4))/(VLOOKUP(CG$72,INDIRECT($C$5&amp;"生成成长"),5))*(VLOOKUP($B$5,标准坦克设计!$B$24:$U$30,MATCH("对"&amp;LEFT($C$5,2)&amp;"输出",标准坦克设计!$B$23:$U$23,0)))*(VLOOKUP($B173,INDIRECT($B$5&amp;"生成成长"),3))*(VLOOKUP($B$5,标准坦克设计!$B$14:$K$20,9)/30))</f>
        <v>5.7336885032322638</v>
      </c>
      <c r="CH173" s="172">
        <f ca="1">(VLOOKUP(CH$72,INDIRECT($C$5&amp;"生成成长"),2))/((VLOOKUP($B173,INDIRECT($B$5&amp;"生成成长"),4))/(VLOOKUP(CH$72,INDIRECT($C$5&amp;"生成成长"),5))*(VLOOKUP($B$5,标准坦克设计!$B$24:$U$30,MATCH("对"&amp;LEFT($C$5,2)&amp;"输出",标准坦克设计!$B$23:$U$23,0)))*(VLOOKUP($B173,INDIRECT($B$5&amp;"生成成长"),3))*(VLOOKUP($B$5,标准坦克设计!$B$14:$K$20,9)/30))</f>
        <v>6.1402096563223401</v>
      </c>
      <c r="CI173" s="172">
        <f ca="1">(VLOOKUP(CI$72,INDIRECT($C$5&amp;"生成成长"),2))/((VLOOKUP($B173,INDIRECT($B$5&amp;"生成成长"),4))/(VLOOKUP(CI$72,INDIRECT($C$5&amp;"生成成长"),5))*(VLOOKUP($B$5,标准坦克设计!$B$24:$U$30,MATCH("对"&amp;LEFT($C$5,2)&amp;"输出",标准坦克设计!$B$23:$U$23,0)))*(VLOOKUP($B173,INDIRECT($B$5&amp;"生成成长"),3))*(VLOOKUP($B$5,标准坦克设计!$B$14:$K$20,9)/30))</f>
        <v>6.603462785400156</v>
      </c>
      <c r="CJ173" s="172">
        <f ca="1">(VLOOKUP(CJ$72,INDIRECT($C$5&amp;"生成成长"),2))/((VLOOKUP($B173,INDIRECT($B$5&amp;"生成成长"),4))/(VLOOKUP(CJ$72,INDIRECT($C$5&amp;"生成成长"),5))*(VLOOKUP($B$5,标准坦克设计!$B$24:$U$30,MATCH("对"&amp;LEFT($C$5,2)&amp;"输出",标准坦克设计!$B$23:$U$23,0)))*(VLOOKUP($B173,INDIRECT($B$5&amp;"生成成长"),3))*(VLOOKUP($B$5,标准坦克设计!$B$14:$K$20,9)/30))</f>
        <v>7.0835614828080766</v>
      </c>
      <c r="CK173" s="172">
        <f ca="1">(VLOOKUP(CK$72,INDIRECT($C$5&amp;"生成成长"),2))/((VLOOKUP($B173,INDIRECT($B$5&amp;"生成成长"),4))/(VLOOKUP(CK$72,INDIRECT($C$5&amp;"生成成长"),5))*(VLOOKUP($B$5,标准坦克设计!$B$24:$U$30,MATCH("对"&amp;LEFT($C$5,2)&amp;"输出",标准坦克设计!$B$23:$U$23,0)))*(VLOOKUP($B173,INDIRECT($B$5&amp;"生成成长"),3))*(VLOOKUP($B$5,标准坦克设计!$B$14:$K$20,9)/30))</f>
        <v>7.5805057485460985</v>
      </c>
      <c r="CL173" s="172">
        <f ca="1">(VLOOKUP(CL$72,INDIRECT($C$5&amp;"生成成长"),2))/((VLOOKUP($B173,INDIRECT($B$5&amp;"生成成长"),4))/(VLOOKUP(CL$72,INDIRECT($C$5&amp;"生成成长"),5))*(VLOOKUP($B$5,标准坦克设计!$B$24:$U$30,MATCH("对"&amp;LEFT($C$5,2)&amp;"输出",标准坦克设计!$B$23:$U$23,0)))*(VLOOKUP($B173,INDIRECT($B$5&amp;"生成成长"),3))*(VLOOKUP($B$5,标准坦克设计!$B$14:$K$20,9)/30))</f>
        <v>8.0942955826142242</v>
      </c>
      <c r="CM173" s="172">
        <f ca="1">(VLOOKUP(CM$72,INDIRECT($C$5&amp;"生成成长"),2))/((VLOOKUP($B173,INDIRECT($B$5&amp;"生成成长"),4))/(VLOOKUP(CM$72,INDIRECT($C$5&amp;"生成成长"),5))*(VLOOKUP($B$5,标准坦克设计!$B$24:$U$30,MATCH("对"&amp;LEFT($C$5,2)&amp;"输出",标准坦克设计!$B$23:$U$23,0)))*(VLOOKUP($B173,INDIRECT($B$5&amp;"生成成长"),3))*(VLOOKUP($B$5,标准坦克设计!$B$14:$K$20,9)/30))</f>
        <v>8.6249309850124476</v>
      </c>
      <c r="CN173" s="172">
        <f ca="1">(VLOOKUP(CN$72,INDIRECT($C$5&amp;"生成成长"),2))/((VLOOKUP($B173,INDIRECT($B$5&amp;"生成成长"),4))/(VLOOKUP(CN$72,INDIRECT($C$5&amp;"生成成长"),5))*(VLOOKUP($B$5,标准坦克设计!$B$24:$U$30,MATCH("对"&amp;LEFT($C$5,2)&amp;"输出",标准坦克设计!$B$23:$U$23,0)))*(VLOOKUP($B173,INDIRECT($B$5&amp;"生成成长"),3))*(VLOOKUP($B$5,标准坦克设计!$B$14:$K$20,9)/30))</f>
        <v>9.1724119557407775</v>
      </c>
      <c r="CO173" s="172">
        <f ca="1">(VLOOKUP(CO$72,INDIRECT($C$5&amp;"生成成长"),2))/((VLOOKUP($B173,INDIRECT($B$5&amp;"生成成长"),4))/(VLOOKUP(CO$72,INDIRECT($C$5&amp;"生成成长"),5))*(VLOOKUP($B$5,标准坦克设计!$B$24:$U$30,MATCH("对"&amp;LEFT($C$5,2)&amp;"输出",标准坦克设计!$B$23:$U$23,0)))*(VLOOKUP($B173,INDIRECT($B$5&amp;"生成成长"),3))*(VLOOKUP($B$5,标准坦克设计!$B$14:$K$20,9)/30))</f>
        <v>4.1103882823314839</v>
      </c>
      <c r="CP173" s="172">
        <f ca="1">(VLOOKUP(CP$72,INDIRECT($C$5&amp;"生成成长"),2))/((VLOOKUP($B173,INDIRECT($B$5&amp;"生成成长"),4))/(VLOOKUP(CP$72,INDIRECT($C$5&amp;"生成成长"),5))*(VLOOKUP($B$5,标准坦克设计!$B$24:$U$30,MATCH("对"&amp;LEFT($C$5,2)&amp;"输出",标准坦克设计!$B$23:$U$23,0)))*(VLOOKUP($B173,INDIRECT($B$5&amp;"生成成长"),3))*(VLOOKUP($B$5,标准坦克设计!$B$14:$K$20,9)/30))</f>
        <v>4.4909449850615255</v>
      </c>
      <c r="CQ173" s="172">
        <f ca="1">(VLOOKUP(CQ$72,INDIRECT($C$5&amp;"生成成长"),2))/((VLOOKUP($B173,INDIRECT($B$5&amp;"生成成长"),4))/(VLOOKUP(CQ$72,INDIRECT($C$5&amp;"生成成长"),5))*(VLOOKUP($B$5,标准坦克设计!$B$24:$U$30,MATCH("对"&amp;LEFT($C$5,2)&amp;"输出",标准坦克设计!$B$23:$U$23,0)))*(VLOOKUP($B173,INDIRECT($B$5&amp;"生成成长"),3))*(VLOOKUP($B$5,标准坦克设计!$B$14:$K$20,9)/30))</f>
        <v>4.8883472561216692</v>
      </c>
      <c r="CR173" s="172">
        <f ca="1">(VLOOKUP(CR$72,INDIRECT($C$5&amp;"生成成长"),2))/((VLOOKUP($B173,INDIRECT($B$5&amp;"生成成长"),4))/(VLOOKUP(CR$72,INDIRECT($C$5&amp;"生成成长"),5))*(VLOOKUP($B$5,标准坦克设计!$B$24:$U$30,MATCH("对"&amp;LEFT($C$5,2)&amp;"输出",标准坦克设计!$B$23:$U$23,0)))*(VLOOKUP($B173,INDIRECT($B$5&amp;"生成成长"),3))*(VLOOKUP($B$5,标准坦克设计!$B$14:$K$20,9)/30))</f>
        <v>5.3025950955119159</v>
      </c>
      <c r="CS173" s="172">
        <f ca="1">(VLOOKUP(CS$72,INDIRECT($C$5&amp;"生成成长"),2))/((VLOOKUP($B173,INDIRECT($B$5&amp;"生成成长"),4))/(VLOOKUP(CS$72,INDIRECT($C$5&amp;"生成成长"),5))*(VLOOKUP($B$5,标准坦克设计!$B$24:$U$30,MATCH("对"&amp;LEFT($C$5,2)&amp;"输出",标准坦克设计!$B$23:$U$23,0)))*(VLOOKUP($B173,INDIRECT($B$5&amp;"生成成长"),3))*(VLOOKUP($B$5,标准坦克设计!$B$14:$K$20,9)/30))</f>
        <v>5.7336885032322638</v>
      </c>
      <c r="CT173" s="172">
        <f ca="1">(VLOOKUP(CT$72,INDIRECT($C$5&amp;"生成成长"),2))/((VLOOKUP($B173,INDIRECT($B$5&amp;"生成成长"),4))/(VLOOKUP(CT$72,INDIRECT($C$5&amp;"生成成长"),5))*(VLOOKUP($B$5,标准坦克设计!$B$24:$U$30,MATCH("对"&amp;LEFT($C$5,2)&amp;"输出",标准坦克设计!$B$23:$U$23,0)))*(VLOOKUP($B173,INDIRECT($B$5&amp;"生成成长"),3))*(VLOOKUP($B$5,标准坦克设计!$B$14:$K$20,9)/30))</f>
        <v>6.1816274792827155</v>
      </c>
      <c r="CU173" s="172">
        <f ca="1">(VLOOKUP(CU$72,INDIRECT($C$5&amp;"生成成长"),2))/((VLOOKUP($B173,INDIRECT($B$5&amp;"生成成长"),4))/(VLOOKUP(CU$72,INDIRECT($C$5&amp;"生成成长"),5))*(VLOOKUP($B$5,标准坦克设计!$B$24:$U$30,MATCH("对"&amp;LEFT($C$5,2)&amp;"输出",标准坦克设计!$B$23:$U$23,0)))*(VLOOKUP($B173,INDIRECT($B$5&amp;"生成成长"),3))*(VLOOKUP($B$5,标准坦克设计!$B$14:$K$20,9)/30))</f>
        <v>6.6464120236632684</v>
      </c>
      <c r="CV173" s="172">
        <f ca="1">(VLOOKUP(CV$72,INDIRECT($C$5&amp;"生成成长"),2))/((VLOOKUP($B173,INDIRECT($B$5&amp;"生成成长"),4))/(VLOOKUP(CV$72,INDIRECT($C$5&amp;"生成成长"),5))*(VLOOKUP($B$5,标准坦克设计!$B$24:$U$30,MATCH("对"&amp;LEFT($C$5,2)&amp;"输出",标准坦克设计!$B$23:$U$23,0)))*(VLOOKUP($B173,INDIRECT($B$5&amp;"生成成长"),3))*(VLOOKUP($B$5,标准坦克设计!$B$14:$K$20,9)/30))</f>
        <v>7.1280421363739253</v>
      </c>
      <c r="CW173" s="172">
        <f ca="1">(VLOOKUP(CW$72,INDIRECT($C$5&amp;"生成成长"),2))/((VLOOKUP($B173,INDIRECT($B$5&amp;"生成成长"),4))/(VLOOKUP(CW$72,INDIRECT($C$5&amp;"生成成长"),5))*(VLOOKUP($B$5,标准坦克设计!$B$24:$U$30,MATCH("对"&amp;LEFT($C$5,2)&amp;"输出",标准坦克设计!$B$23:$U$23,0)))*(VLOOKUP($B173,INDIRECT($B$5&amp;"生成成长"),3))*(VLOOKUP($B$5,标准坦克设计!$B$14:$K$20,9)/30))</f>
        <v>7.6265178174146842</v>
      </c>
      <c r="CX173" s="172">
        <f ca="1">(VLOOKUP(CX$72,INDIRECT($C$5&amp;"生成成长"),2))/((VLOOKUP($B173,INDIRECT($B$5&amp;"生成成长"),4))/(VLOOKUP(CX$72,INDIRECT($C$5&amp;"生成成长"),5))*(VLOOKUP($B$5,标准坦克设计!$B$24:$U$30,MATCH("对"&amp;LEFT($C$5,2)&amp;"输出",标准坦克设计!$B$23:$U$23,0)))*(VLOOKUP($B173,INDIRECT($B$5&amp;"生成成长"),3))*(VLOOKUP($B$5,标准坦克设计!$B$14:$K$20,9)/30))</f>
        <v>8.1418390667855451</v>
      </c>
      <c r="CY173" s="172">
        <f ca="1">(VLOOKUP(CY$72,INDIRECT($C$5&amp;"生成成长"),2))/((VLOOKUP($B173,INDIRECT($B$5&amp;"生成成长"),4))/(VLOOKUP(CY$72,INDIRECT($C$5&amp;"生成成长"),5))*(VLOOKUP($B$5,标准坦克设计!$B$24:$U$30,MATCH("对"&amp;LEFT($C$5,2)&amp;"输出",标准坦克设计!$B$23:$U$23,0)))*(VLOOKUP($B173,INDIRECT($B$5&amp;"生成成长"),3))*(VLOOKUP($B$5,标准坦克设计!$B$14:$K$20,9)/30))</f>
        <v>8.6740058844865082</v>
      </c>
      <c r="CZ173" s="172">
        <f ca="1">(VLOOKUP(CZ$72,INDIRECT($C$5&amp;"生成成长"),2))/((VLOOKUP($B173,INDIRECT($B$5&amp;"生成成长"),4))/(VLOOKUP(CZ$72,INDIRECT($C$5&amp;"生成成长"),5))*(VLOOKUP($B$5,标准坦克设计!$B$24:$U$30,MATCH("对"&amp;LEFT($C$5,2)&amp;"输出",标准坦克设计!$B$23:$U$23,0)))*(VLOOKUP($B173,INDIRECT($B$5&amp;"生成成长"),3))*(VLOOKUP($B$5,标准坦克设计!$B$14:$K$20,9)/30))</f>
        <v>9.2230182705175743</v>
      </c>
      <c r="DA173" s="172">
        <f ca="1">(VLOOKUP(DA$72,INDIRECT($C$5&amp;"生成成长"),2))/((VLOOKUP($B173,INDIRECT($B$5&amp;"生成成长"),4))/(VLOOKUP(DA$72,INDIRECT($C$5&amp;"生成成长"),5))*(VLOOKUP($B$5,标准坦克设计!$B$24:$U$30,MATCH("对"&amp;LEFT($C$5,2)&amp;"输出",标准坦克设计!$B$23:$U$23,0)))*(VLOOKUP($B173,INDIRECT($B$5&amp;"生成成长"),3))*(VLOOKUP($B$5,标准坦克设计!$B$14:$K$20,9)/30))</f>
        <v>9.7888762248787433</v>
      </c>
      <c r="DB173" s="172">
        <f ca="1">(VLOOKUP(DB$72,INDIRECT($C$5&amp;"生成成长"),2))/((VLOOKUP($B173,INDIRECT($B$5&amp;"生成成长"),4))/(VLOOKUP(DB$72,INDIRECT($C$5&amp;"生成成长"),5))*(VLOOKUP($B$5,标准坦克设计!$B$24:$U$30,MATCH("对"&amp;LEFT($C$5,2)&amp;"输出",标准坦克设计!$B$23:$U$23,0)))*(VLOOKUP($B173,INDIRECT($B$5&amp;"生成成长"),3))*(VLOOKUP($B$5,标准坦克设计!$B$14:$K$20,9)/30))</f>
        <v>10.371579747570012</v>
      </c>
      <c r="DC173" s="172">
        <f ca="1">(VLOOKUP(DC$72,INDIRECT($C$5&amp;"生成成长"),2))/((VLOOKUP($B173,INDIRECT($B$5&amp;"生成成长"),4))/(VLOOKUP(DC$72,INDIRECT($C$5&amp;"生成成长"),5))*(VLOOKUP($B$5,标准坦克设计!$B$24:$U$30,MATCH("对"&amp;LEFT($C$5,2)&amp;"输出",标准坦克设计!$B$23:$U$23,0)))*(VLOOKUP($B173,INDIRECT($B$5&amp;"生成成长"),3))*(VLOOKUP($B$5,标准坦克设计!$B$14:$K$20,9)/30))</f>
        <v>11.026468618849368</v>
      </c>
      <c r="DD173" s="172">
        <f ca="1">(VLOOKUP(DD$72,INDIRECT($C$5&amp;"生成成长"),2))/((VLOOKUP($B173,INDIRECT($B$5&amp;"生成成长"),4))/(VLOOKUP(DD$72,INDIRECT($C$5&amp;"生成成长"),5))*(VLOOKUP($B$5,标准坦克设计!$B$24:$U$30,MATCH("对"&amp;LEFT($C$5,2)&amp;"输出",标准坦克设计!$B$23:$U$23,0)))*(VLOOKUP($B173,INDIRECT($B$5&amp;"生成成长"),3))*(VLOOKUP($B$5,标准坦克设计!$B$14:$K$20,9)/30))</f>
        <v>11.701405108637275</v>
      </c>
      <c r="DE173" s="172">
        <f ca="1">(VLOOKUP(DE$72,INDIRECT($C$5&amp;"生成成长"),2))/((VLOOKUP($B173,INDIRECT($B$5&amp;"生成成长"),4))/(VLOOKUP(DE$72,INDIRECT($C$5&amp;"生成成长"),5))*(VLOOKUP($B$5,标准坦克设计!$B$24:$U$30,MATCH("对"&amp;LEFT($C$5,2)&amp;"输出",标准坦克设计!$B$23:$U$23,0)))*(VLOOKUP($B173,INDIRECT($B$5&amp;"生成成长"),3))*(VLOOKUP($B$5,标准坦克设计!$B$14:$K$20,9)/30))</f>
        <v>12.396389216933731</v>
      </c>
      <c r="DF173" s="172">
        <f ca="1">(VLOOKUP(DF$72,INDIRECT($C$5&amp;"生成成长"),2))/((VLOOKUP($B173,INDIRECT($B$5&amp;"生成成长"),4))/(VLOOKUP(DF$72,INDIRECT($C$5&amp;"生成成长"),5))*(VLOOKUP($B$5,标准坦克设计!$B$24:$U$30,MATCH("对"&amp;LEFT($C$5,2)&amp;"输出",标准坦克设计!$B$23:$U$23,0)))*(VLOOKUP($B173,INDIRECT($B$5&amp;"生成成长"),3))*(VLOOKUP($B$5,标准坦克设计!$B$14:$K$20,9)/30))</f>
        <v>13.111420943738739</v>
      </c>
      <c r="DG173" s="172">
        <f ca="1">(VLOOKUP(DG$72,INDIRECT($C$5&amp;"生成成长"),2))/((VLOOKUP($B173,INDIRECT($B$5&amp;"生成成长"),4))/(VLOOKUP(DG$72,INDIRECT($C$5&amp;"生成成长"),5))*(VLOOKUP($B$5,标准坦克设计!$B$24:$U$30,MATCH("对"&amp;LEFT($C$5,2)&amp;"输出",标准坦克设计!$B$23:$U$23,0)))*(VLOOKUP($B173,INDIRECT($B$5&amp;"生成成长"),3))*(VLOOKUP($B$5,标准坦克设计!$B$14:$K$20,9)/30))</f>
        <v>13.846500289052305</v>
      </c>
      <c r="DH173" s="172">
        <f ca="1">(VLOOKUP(DH$72,INDIRECT($C$5&amp;"生成成长"),2))/((VLOOKUP($B173,INDIRECT($B$5&amp;"生成成长"),4))/(VLOOKUP(DH$72,INDIRECT($C$5&amp;"生成成长"),5))*(VLOOKUP($B$5,标准坦克设计!$B$24:$U$30,MATCH("对"&amp;LEFT($C$5,2)&amp;"输出",标准坦克设计!$B$23:$U$23,0)))*(VLOOKUP($B173,INDIRECT($B$5&amp;"生成成长"),3))*(VLOOKUP($B$5,标准坦克设计!$B$14:$K$20,9)/30))</f>
        <v>14.601627252874417</v>
      </c>
      <c r="DI173" s="172">
        <f ca="1">(VLOOKUP(DI$72,INDIRECT($C$5&amp;"生成成长"),2))/((VLOOKUP($B173,INDIRECT($B$5&amp;"生成成长"),4))/(VLOOKUP(DI$72,INDIRECT($C$5&amp;"生成成长"),5))*(VLOOKUP($B$5,标准坦克设计!$B$24:$U$30,MATCH("对"&amp;LEFT($C$5,2)&amp;"输出",标准坦克设计!$B$23:$U$23,0)))*(VLOOKUP($B173,INDIRECT($B$5&amp;"生成成长"),3))*(VLOOKUP($B$5,标准坦克设计!$B$14:$K$20,9)/30))</f>
        <v>15.376801835205079</v>
      </c>
      <c r="DJ173" s="172">
        <f ca="1">(VLOOKUP(DJ$72,INDIRECT($C$5&amp;"生成成长"),2))/((VLOOKUP($B173,INDIRECT($B$5&amp;"生成成长"),4))/(VLOOKUP(DJ$72,INDIRECT($C$5&amp;"生成成长"),5))*(VLOOKUP($B$5,标准坦克设计!$B$24:$U$30,MATCH("对"&amp;LEFT($C$5,2)&amp;"输出",标准坦克设计!$B$23:$U$23,0)))*(VLOOKUP($B173,INDIRECT($B$5&amp;"生成成长"),3))*(VLOOKUP($B$5,标准坦克设计!$B$14:$K$20,9)/30))</f>
        <v>1.5454068698206789</v>
      </c>
      <c r="DK173" s="172">
        <f ca="1">(VLOOKUP(DK$72,INDIRECT($C$5&amp;"生成成长"),2))/((VLOOKUP($B173,INDIRECT($B$5&amp;"生成成长"),4))/(VLOOKUP(DK$72,INDIRECT($C$5&amp;"生成成长"),5))*(VLOOKUP($B$5,标准坦克设计!$B$24:$U$30,MATCH("对"&amp;LEFT($C$5,2)&amp;"输出",标准坦克设计!$B$23:$U$23,0)))*(VLOOKUP($B173,INDIRECT($B$5&amp;"生成成长"),3))*(VLOOKUP($B$5,标准坦克设计!$B$14:$K$20,9)/30))</f>
        <v>1.7377387098870962</v>
      </c>
      <c r="DL173" s="172">
        <f ca="1">(VLOOKUP(DL$72,INDIRECT($C$5&amp;"生成成长"),2))/((VLOOKUP($B173,INDIRECT($B$5&amp;"生成成长"),4))/(VLOOKUP(DL$72,INDIRECT($C$5&amp;"生成成长"),5))*(VLOOKUP($B$5,标准坦克设计!$B$24:$U$30,MATCH("对"&amp;LEFT($C$5,2)&amp;"输出",标准坦克设计!$B$23:$U$23,0)))*(VLOOKUP($B173,INDIRECT($B$5&amp;"生成成长"),3))*(VLOOKUP($B$5,标准坦克设计!$B$14:$K$20,9)/30))</f>
        <v>1.9413473353645743</v>
      </c>
      <c r="DM173" s="172">
        <f ca="1">(VLOOKUP(DM$72,INDIRECT($C$5&amp;"生成成长"),2))/((VLOOKUP($B173,INDIRECT($B$5&amp;"生成成长"),4))/(VLOOKUP(DM$72,INDIRECT($C$5&amp;"生成成长"),5))*(VLOOKUP($B$5,标准坦克设计!$B$24:$U$30,MATCH("对"&amp;LEFT($C$5,2)&amp;"输出",标准坦克设计!$B$23:$U$23,0)))*(VLOOKUP($B173,INDIRECT($B$5&amp;"生成成长"),3))*(VLOOKUP($B$5,标准坦克设计!$B$14:$K$20,9)/30))</f>
        <v>2.1562327462531119</v>
      </c>
      <c r="DN173" s="172">
        <f ca="1">(VLOOKUP(DN$72,INDIRECT($C$5&amp;"生成成长"),2))/((VLOOKUP($B173,INDIRECT($B$5&amp;"生成成长"),4))/(VLOOKUP(DN$72,INDIRECT($C$5&amp;"生成成长"),5))*(VLOOKUP($B$5,标准坦克设计!$B$24:$U$30,MATCH("对"&amp;LEFT($C$5,2)&amp;"输出",标准坦克设计!$B$23:$U$23,0)))*(VLOOKUP($B173,INDIRECT($B$5&amp;"生成成长"),3))*(VLOOKUP($B$5,标准坦克设计!$B$14:$K$20,9)/30))</f>
        <v>2.3823949425527107</v>
      </c>
      <c r="DO173" s="172">
        <f ca="1">(VLOOKUP(DO$72,INDIRECT($C$5&amp;"生成成长"),2))/((VLOOKUP($B173,INDIRECT($B$5&amp;"生成成长"),4))/(VLOOKUP(DO$72,INDIRECT($C$5&amp;"生成成长"),5))*(VLOOKUP($B$5,标准坦克设计!$B$24:$U$30,MATCH("对"&amp;LEFT($C$5,2)&amp;"输出",标准坦克设计!$B$23:$U$23,0)))*(VLOOKUP($B173,INDIRECT($B$5&amp;"生成成长"),3))*(VLOOKUP($B$5,标准坦克设计!$B$14:$K$20,9)/30))</f>
        <v>2.6198339242633701</v>
      </c>
      <c r="DP173" s="172">
        <f ca="1">(VLOOKUP(DP$72,INDIRECT($C$5&amp;"生成成长"),2))/((VLOOKUP($B173,INDIRECT($B$5&amp;"生成成长"),4))/(VLOOKUP(DP$72,INDIRECT($C$5&amp;"生成成长"),5))*(VLOOKUP($B$5,标准坦克设计!$B$24:$U$30,MATCH("对"&amp;LEFT($C$5,2)&amp;"输出",标准坦克设计!$B$23:$U$23,0)))*(VLOOKUP($B173,INDIRECT($B$5&amp;"生成成长"),3))*(VLOOKUP($B$5,标准坦克设计!$B$14:$K$20,9)/30))</f>
        <v>2.8685496913850885</v>
      </c>
      <c r="DQ173" s="172">
        <f ca="1">(VLOOKUP(DQ$72,INDIRECT($C$5&amp;"生成成长"),2))/((VLOOKUP($B173,INDIRECT($B$5&amp;"生成成长"),4))/(VLOOKUP(DQ$72,INDIRECT($C$5&amp;"生成成长"),5))*(VLOOKUP($B$5,标准坦克设计!$B$24:$U$30,MATCH("对"&amp;LEFT($C$5,2)&amp;"输出",标准坦克设计!$B$23:$U$23,0)))*(VLOOKUP($B173,INDIRECT($B$5&amp;"生成成长"),3))*(VLOOKUP($B$5,标准坦克设计!$B$14:$K$20,9)/30))</f>
        <v>3.1285422439178676</v>
      </c>
      <c r="DR173" s="172">
        <f ca="1">(VLOOKUP(DR$72,INDIRECT($C$5&amp;"生成成长"),2))/((VLOOKUP($B173,INDIRECT($B$5&amp;"生成成长"),4))/(VLOOKUP(DR$72,INDIRECT($C$5&amp;"生成成长"),5))*(VLOOKUP($B$5,标准坦克设计!$B$24:$U$30,MATCH("对"&amp;LEFT($C$5,2)&amp;"输出",标准坦克设计!$B$23:$U$23,0)))*(VLOOKUP($B173,INDIRECT($B$5&amp;"生成成长"),3))*(VLOOKUP($B$5,标准坦克设计!$B$14:$K$20,9)/30))</f>
        <v>3.3998115818617078</v>
      </c>
      <c r="DS173" s="172">
        <f ca="1">(VLOOKUP(DS$72,INDIRECT($C$5&amp;"生成成长"),2))/((VLOOKUP($B173,INDIRECT($B$5&amp;"生成成长"),4))/(VLOOKUP(DS$72,INDIRECT($C$5&amp;"生成成长"),5))*(VLOOKUP($B$5,标准坦克设计!$B$24:$U$30,MATCH("对"&amp;LEFT($C$5,2)&amp;"输出",标准坦克设计!$B$23:$U$23,0)))*(VLOOKUP($B173,INDIRECT($B$5&amp;"生成成长"),3))*(VLOOKUP($B$5,标准坦克设计!$B$14:$K$20,9)/30))</f>
        <v>3.6823577052166083</v>
      </c>
      <c r="DT173" s="172">
        <f ca="1">(VLOOKUP(DT$72,INDIRECT($C$5&amp;"生成成长"),2))/((VLOOKUP($B173,INDIRECT($B$5&amp;"生成成长"),4))/(VLOOKUP(DT$72,INDIRECT($C$5&amp;"生成成长"),5))*(VLOOKUP($B$5,标准坦克设计!$B$24:$U$30,MATCH("对"&amp;LEFT($C$5,2)&amp;"输出",标准坦克设计!$B$23:$U$23,0)))*(VLOOKUP($B173,INDIRECT($B$5&amp;"生成成长"),3))*(VLOOKUP($B$5,标准坦克设计!$B$14:$K$20,9)/30))</f>
        <v>4.0430060090110738</v>
      </c>
      <c r="DU173" s="172">
        <f ca="1">(VLOOKUP(DU$72,INDIRECT($C$5&amp;"生成成长"),2))/((VLOOKUP($B173,INDIRECT($B$5&amp;"生成成长"),4))/(VLOOKUP(DU$72,INDIRECT($C$5&amp;"生成成长"),5))*(VLOOKUP($B$5,标准坦克设计!$B$24:$U$30,MATCH("对"&amp;LEFT($C$5,2)&amp;"输出",标准坦克设计!$B$23:$U$23,0)))*(VLOOKUP($B173,INDIRECT($B$5&amp;"生成成长"),3))*(VLOOKUP($B$5,标准坦克设计!$B$14:$K$20,9)/30))</f>
        <v>4.4204998811356431</v>
      </c>
      <c r="DV173" s="172">
        <f ca="1">(VLOOKUP(DV$72,INDIRECT($C$5&amp;"生成成长"),2))/((VLOOKUP($B173,INDIRECT($B$5&amp;"生成成长"),4))/(VLOOKUP(DV$72,INDIRECT($C$5&amp;"生成成长"),5))*(VLOOKUP($B$5,标准坦克设计!$B$24:$U$30,MATCH("对"&amp;LEFT($C$5,2)&amp;"输出",标准坦克设计!$B$23:$U$23,0)))*(VLOOKUP($B173,INDIRECT($B$5&amp;"生成成长"),3))*(VLOOKUP($B$5,标准坦克设计!$B$14:$K$20,9)/30))</f>
        <v>4.8148393215903127</v>
      </c>
      <c r="DW173" s="172">
        <f ca="1">(VLOOKUP(DW$72,INDIRECT($C$5&amp;"生成成长"),2))/((VLOOKUP($B173,INDIRECT($B$5&amp;"生成成长"),4))/(VLOOKUP(DW$72,INDIRECT($C$5&amp;"生成成长"),5))*(VLOOKUP($B$5,标准坦克设计!$B$24:$U$30,MATCH("对"&amp;LEFT($C$5,2)&amp;"输出",标准坦克设计!$B$23:$U$23,0)))*(VLOOKUP($B173,INDIRECT($B$5&amp;"生成成长"),3))*(VLOOKUP($B$5,标准坦克设计!$B$14:$K$20,9)/30))</f>
        <v>5.2260243303750871</v>
      </c>
      <c r="DX173" s="172">
        <f ca="1">(VLOOKUP(DX$72,INDIRECT($C$5&amp;"生成成长"),2))/((VLOOKUP($B173,INDIRECT($B$5&amp;"生成成长"),4))/(VLOOKUP(DX$72,INDIRECT($C$5&amp;"生成成长"),5))*(VLOOKUP($B$5,标准坦克设计!$B$24:$U$30,MATCH("对"&amp;LEFT($C$5,2)&amp;"输出",标准坦克设计!$B$23:$U$23,0)))*(VLOOKUP($B173,INDIRECT($B$5&amp;"生成成长"),3))*(VLOOKUP($B$5,标准坦克设计!$B$14:$K$20,9)/30))</f>
        <v>5.6540549074899609</v>
      </c>
      <c r="DY173" s="172">
        <f ca="1">(VLOOKUP(DY$72,INDIRECT($C$5&amp;"生成成长"),2))/((VLOOKUP($B173,INDIRECT($B$5&amp;"生成成长"),4))/(VLOOKUP(DY$72,INDIRECT($C$5&amp;"生成成长"),5))*(VLOOKUP($B$5,标准坦克设计!$B$24:$U$30,MATCH("对"&amp;LEFT($C$5,2)&amp;"输出",标准坦克设计!$B$23:$U$23,0)))*(VLOOKUP($B173,INDIRECT($B$5&amp;"生成成长"),3))*(VLOOKUP($B$5,标准坦克设计!$B$14:$K$20,9)/30))</f>
        <v>2.5394346208696992</v>
      </c>
      <c r="DZ173" s="172">
        <f ca="1">(VLOOKUP(DZ$72,INDIRECT($C$5&amp;"生成成长"),2))/((VLOOKUP($B173,INDIRECT($B$5&amp;"生成成长"),4))/(VLOOKUP(DZ$72,INDIRECT($C$5&amp;"生成成长"),5))*(VLOOKUP($B$5,标准坦克设计!$B$24:$U$30,MATCH("对"&amp;LEFT($C$5,2)&amp;"输出",标准坦克设计!$B$23:$U$23,0)))*(VLOOKUP($B173,INDIRECT($B$5&amp;"生成成长"),3))*(VLOOKUP($B$5,标准坦克设计!$B$14:$K$20,9)/30))</f>
        <v>2.812304983902763</v>
      </c>
      <c r="EA173" s="172">
        <f ca="1">(VLOOKUP(EA$72,INDIRECT($C$5&amp;"生成成长"),2))/((VLOOKUP($B173,INDIRECT($B$5&amp;"生成成长"),4))/(VLOOKUP(EA$72,INDIRECT($C$5&amp;"生成成长"),5))*(VLOOKUP($B$5,标准坦克设计!$B$24:$U$30,MATCH("对"&amp;LEFT($C$5,2)&amp;"输出",标准坦克设计!$B$23:$U$23,0)))*(VLOOKUP($B173,INDIRECT($B$5&amp;"生成成长"),3))*(VLOOKUP($B$5,标准坦克设计!$B$14:$K$20,9)/30))</f>
        <v>3.0990973042334327</v>
      </c>
      <c r="EB173" s="172">
        <f ca="1">(VLOOKUP(EB$72,INDIRECT($C$5&amp;"生成成长"),2))/((VLOOKUP($B173,INDIRECT($B$5&amp;"生成成长"),4))/(VLOOKUP(EB$72,INDIRECT($C$5&amp;"生成成长"),5))*(VLOOKUP($B$5,标准坦克设计!$B$24:$U$30,MATCH("对"&amp;LEFT($C$5,2)&amp;"输出",标准坦克设计!$B$23:$U$23,0)))*(VLOOKUP($B173,INDIRECT($B$5&amp;"生成成长"),3))*(VLOOKUP($B$5,标准坦克设计!$B$14:$K$20,9)/30))</f>
        <v>3.3998115818617078</v>
      </c>
      <c r="EC173" s="172">
        <f ca="1">(VLOOKUP(EC$72,INDIRECT($C$5&amp;"生成成长"),2))/((VLOOKUP($B173,INDIRECT($B$5&amp;"生成成长"),4))/(VLOOKUP(EC$72,INDIRECT($C$5&amp;"生成成长"),5))*(VLOOKUP($B$5,标准坦克设计!$B$24:$U$30,MATCH("对"&amp;LEFT($C$5,2)&amp;"输出",标准坦克设计!$B$23:$U$23,0)))*(VLOOKUP($B173,INDIRECT($B$5&amp;"生成成长"),3))*(VLOOKUP($B$5,标准坦克设计!$B$14:$K$20,9)/30))</f>
        <v>3.7144478167875876</v>
      </c>
      <c r="ED173" s="172">
        <f ca="1">(VLOOKUP(ED$72,INDIRECT($C$5&amp;"生成成长"),2))/((VLOOKUP($B173,INDIRECT($B$5&amp;"生成成长"),4))/(VLOOKUP(ED$72,INDIRECT($C$5&amp;"生成成长"),5))*(VLOOKUP($B$5,标准坦克设计!$B$24:$U$30,MATCH("对"&amp;LEFT($C$5,2)&amp;"输出",标准坦克设计!$B$23:$U$23,0)))*(VLOOKUP($B173,INDIRECT($B$5&amp;"生成成长"),3))*(VLOOKUP($B$5,标准坦克设计!$B$14:$K$20,9)/30))</f>
        <v>4.0430060090110738</v>
      </c>
      <c r="EE173" s="172">
        <f ca="1">(VLOOKUP(EE$72,INDIRECT($C$5&amp;"生成成长"),2))/((VLOOKUP($B173,INDIRECT($B$5&amp;"生成成长"),4))/(VLOOKUP(EE$72,INDIRECT($C$5&amp;"生成成长"),5))*(VLOOKUP($B$5,标准坦克设计!$B$24:$U$30,MATCH("对"&amp;LEFT($C$5,2)&amp;"输出",标准坦克设计!$B$23:$U$23,0)))*(VLOOKUP($B173,INDIRECT($B$5&amp;"生成成长"),3))*(VLOOKUP($B$5,标准坦克设计!$B$14:$K$20,9)/30))</f>
        <v>4.3854861585321645</v>
      </c>
      <c r="EF173" s="172">
        <f ca="1">(VLOOKUP(EF$72,INDIRECT($C$5&amp;"生成成长"),2))/((VLOOKUP($B173,INDIRECT($B$5&amp;"生成成长"),4))/(VLOOKUP(EF$72,INDIRECT($C$5&amp;"生成成长"),5))*(VLOOKUP($B$5,标准坦克设计!$B$24:$U$30,MATCH("对"&amp;LEFT($C$5,2)&amp;"输出",标准坦克设计!$B$23:$U$23,0)))*(VLOOKUP($B173,INDIRECT($B$5&amp;"生成成长"),3))*(VLOOKUP($B$5,标准坦克设计!$B$14:$K$20,9)/30))</f>
        <v>4.7418882653508598</v>
      </c>
      <c r="EG173" s="172">
        <f ca="1">(VLOOKUP(EG$72,INDIRECT($C$5&amp;"生成成长"),2))/((VLOOKUP($B173,INDIRECT($B$5&amp;"生成成长"),4))/(VLOOKUP(EG$72,INDIRECT($C$5&amp;"生成成长"),5))*(VLOOKUP($B$5,标准坦克设计!$B$24:$U$30,MATCH("对"&amp;LEFT($C$5,2)&amp;"输出",标准坦克设计!$B$23:$U$23,0)))*(VLOOKUP($B173,INDIRECT($B$5&amp;"生成成长"),3))*(VLOOKUP($B$5,标准坦克设计!$B$14:$K$20,9)/30))</f>
        <v>5.1122123294671633</v>
      </c>
      <c r="EH173" s="172">
        <f ca="1">(VLOOKUP(EH$72,INDIRECT($C$5&amp;"生成成长"),2))/((VLOOKUP($B173,INDIRECT($B$5&amp;"生成成长"),4))/(VLOOKUP(EH$72,INDIRECT($C$5&amp;"生成成长"),5))*(VLOOKUP($B$5,标准坦克设计!$B$24:$U$30,MATCH("对"&amp;LEFT($C$5,2)&amp;"输出",标准坦克设计!$B$23:$U$23,0)))*(VLOOKUP($B173,INDIRECT($B$5&amp;"生成成长"),3))*(VLOOKUP($B$5,标准坦克设计!$B$14:$K$20,9)/30))</f>
        <v>5.4964583508810687</v>
      </c>
      <c r="EI173" s="172">
        <f ca="1">(VLOOKUP(EI$72,INDIRECT($C$5&amp;"生成成长"),2))/((VLOOKUP($B173,INDIRECT($B$5&amp;"生成成长"),4))/(VLOOKUP(EI$72,INDIRECT($C$5&amp;"生成成长"),5))*(VLOOKUP($B$5,标准坦克设计!$B$24:$U$30,MATCH("对"&amp;LEFT($C$5,2)&amp;"输出",标准坦克设计!$B$23:$U$23,0)))*(VLOOKUP($B173,INDIRECT($B$5&amp;"生成成长"),3))*(VLOOKUP($B$5,标准坦克设计!$B$14:$K$20,9)/30))</f>
        <v>5.8946263295925814</v>
      </c>
      <c r="EJ173" s="172">
        <f ca="1">(VLOOKUP(EJ$72,INDIRECT($C$5&amp;"生成成长"),2))/((VLOOKUP($B173,INDIRECT($B$5&amp;"生成成长"),4))/(VLOOKUP(EJ$72,INDIRECT($C$5&amp;"生成成长"),5))*(VLOOKUP($B$5,标准坦克设计!$B$24:$U$30,MATCH("对"&amp;LEFT($C$5,2)&amp;"输出",标准坦克设计!$B$23:$U$23,0)))*(VLOOKUP($B173,INDIRECT($B$5&amp;"生成成长"),3))*(VLOOKUP($B$5,标准坦克设计!$B$14:$K$20,9)/30))</f>
        <v>6.3067162656016986</v>
      </c>
      <c r="EK173" s="172">
        <f ca="1">(VLOOKUP(EK$72,INDIRECT($C$5&amp;"生成成长"),2))/((VLOOKUP($B173,INDIRECT($B$5&amp;"生成成长"),4))/(VLOOKUP(EK$72,INDIRECT($C$5&amp;"生成成长"),5))*(VLOOKUP($B$5,标准坦克设计!$B$24:$U$30,MATCH("对"&amp;LEFT($C$5,2)&amp;"输出",标准坦克设计!$B$23:$U$23,0)))*(VLOOKUP($B173,INDIRECT($B$5&amp;"生成成长"),3))*(VLOOKUP($B$5,标准坦克设计!$B$14:$K$20,9)/30))</f>
        <v>6.8196011724454788</v>
      </c>
      <c r="EL173" s="172">
        <f ca="1">(VLOOKUP(EL$72,INDIRECT($C$5&amp;"生成成长"),2))/((VLOOKUP($B173,INDIRECT($B$5&amp;"生成成长"),4))/(VLOOKUP(EL$72,INDIRECT($C$5&amp;"生成成长"),5))*(VLOOKUP($B$5,标准坦克设计!$B$24:$U$30,MATCH("对"&amp;LEFT($C$5,2)&amp;"输出",标准坦克设计!$B$23:$U$23,0)))*(VLOOKUP($B173,INDIRECT($B$5&amp;"生成成长"),3))*(VLOOKUP($B$5,标准坦克设计!$B$14:$K$20,9)/30))</f>
        <v>7.35253369779781</v>
      </c>
      <c r="EM173" s="172">
        <f ca="1">(VLOOKUP(EM$72,INDIRECT($C$5&amp;"生成成长"),2))/((VLOOKUP($B173,INDIRECT($B$5&amp;"生成成长"),4))/(VLOOKUP(EM$72,INDIRECT($C$5&amp;"生成成长"),5))*(VLOOKUP($B$5,标准坦克设计!$B$24:$U$30,MATCH("对"&amp;LEFT($C$5,2)&amp;"输出",标准坦克设计!$B$23:$U$23,0)))*(VLOOKUP($B173,INDIRECT($B$5&amp;"生成成长"),3))*(VLOOKUP($B$5,标准坦克设计!$B$14:$K$20,9)/30))</f>
        <v>7.905513841658693</v>
      </c>
      <c r="EN173" s="172">
        <f ca="1">(VLOOKUP(EN$72,INDIRECT($C$5&amp;"生成成长"),2))/((VLOOKUP($B173,INDIRECT($B$5&amp;"生成成长"),4))/(VLOOKUP(EN$72,INDIRECT($C$5&amp;"生成成长"),5))*(VLOOKUP($B$5,标准坦克设计!$B$24:$U$30,MATCH("对"&amp;LEFT($C$5,2)&amp;"输出",标准坦克设计!$B$23:$U$23,0)))*(VLOOKUP($B173,INDIRECT($B$5&amp;"生成成长"),3))*(VLOOKUP($B$5,标准坦克设计!$B$14:$K$20,9)/30))</f>
        <v>8.4785416040281287</v>
      </c>
      <c r="EO173" s="172">
        <f ca="1">(VLOOKUP(EO$72,INDIRECT($C$5&amp;"生成成长"),2))/((VLOOKUP($B173,INDIRECT($B$5&amp;"生成成长"),4))/(VLOOKUP(EO$72,INDIRECT($C$5&amp;"生成成长"),5))*(VLOOKUP($B$5,标准坦克设计!$B$24:$U$30,MATCH("对"&amp;LEFT($C$5,2)&amp;"输出",标准坦克设计!$B$23:$U$23,0)))*(VLOOKUP($B173,INDIRECT($B$5&amp;"生成成长"),3))*(VLOOKUP($B$5,标准坦克设计!$B$14:$K$20,9)/30))</f>
        <v>9.0716169849061181</v>
      </c>
      <c r="EP173" s="172">
        <f ca="1">(VLOOKUP(EP$72,INDIRECT($C$5&amp;"生成成长"),2))/((VLOOKUP($B173,INDIRECT($B$5&amp;"生成成长"),4))/(VLOOKUP(EP$72,INDIRECT($C$5&amp;"生成成长"),5))*(VLOOKUP($B$5,标准坦克设计!$B$24:$U$30,MATCH("对"&amp;LEFT($C$5,2)&amp;"输出",标准坦克设计!$B$23:$U$23,0)))*(VLOOKUP($B173,INDIRECT($B$5&amp;"生成成长"),3))*(VLOOKUP($B$5,标准坦克设计!$B$14:$K$20,9)/30))</f>
        <v>9.6847399842926549</v>
      </c>
      <c r="EQ173" s="172">
        <f ca="1">(VLOOKUP(EQ$72,INDIRECT($C$5&amp;"生成成长"),2))/((VLOOKUP($B173,INDIRECT($B$5&amp;"生成成长"),4))/(VLOOKUP(EQ$72,INDIRECT($C$5&amp;"生成成长"),5))*(VLOOKUP($B$5,标准坦克设计!$B$24:$U$30,MATCH("对"&amp;LEFT($C$5,2)&amp;"输出",标准坦克设计!$B$23:$U$23,0)))*(VLOOKUP($B173,INDIRECT($B$5&amp;"生成成长"),3))*(VLOOKUP($B$5,标准坦克设计!$B$14:$K$20,9)/30))</f>
        <v>4.2812803081595892</v>
      </c>
      <c r="ER173" s="172">
        <f ca="1">(VLOOKUP(ER$72,INDIRECT($C$5&amp;"生成成长"),2))/((VLOOKUP($B173,INDIRECT($B$5&amp;"生成成长"),4))/(VLOOKUP(ER$72,INDIRECT($C$5&amp;"生成成长"),5))*(VLOOKUP($B$5,标准坦克设计!$B$24:$U$30,MATCH("对"&amp;LEFT($C$5,2)&amp;"输出",标准坦克设计!$B$23:$U$23,0)))*(VLOOKUP($B173,INDIRECT($B$5&amp;"生成成长"),3))*(VLOOKUP($B$5,标准坦克设计!$B$14:$K$20,9)/30))</f>
        <v>4.6694940874033133</v>
      </c>
      <c r="ES173" s="172">
        <f ca="1">(VLOOKUP(ES$72,INDIRECT($C$5&amp;"生成成长"),2))/((VLOOKUP($B173,INDIRECT($B$5&amp;"生成成长"),4))/(VLOOKUP(ES$72,INDIRECT($C$5&amp;"生成成长"),5))*(VLOOKUP($B$5,标准坦克设计!$B$24:$U$30,MATCH("对"&amp;LEFT($C$5,2)&amp;"输出",标准坦克设计!$B$23:$U$23,0)))*(VLOOKUP($B173,INDIRECT($B$5&amp;"生成成长"),3))*(VLOOKUP($B$5,标准坦克设计!$B$14:$K$20,9)/30))</f>
        <v>5.0745534349771404</v>
      </c>
      <c r="ET173" s="172">
        <f ca="1">(VLOOKUP(ET$72,INDIRECT($C$5&amp;"生成成长"),2))/((VLOOKUP($B173,INDIRECT($B$5&amp;"生成成长"),4))/(VLOOKUP(ET$72,INDIRECT($C$5&amp;"生成成长"),5))*(VLOOKUP($B$5,标准坦克设计!$B$24:$U$30,MATCH("对"&amp;LEFT($C$5,2)&amp;"输出",标准坦克设计!$B$23:$U$23,0)))*(VLOOKUP($B173,INDIRECT($B$5&amp;"生成成长"),3))*(VLOOKUP($B$5,标准坦克设计!$B$14:$K$20,9)/30))</f>
        <v>5.4964583508810687</v>
      </c>
      <c r="EU173" s="172">
        <f ca="1">(VLOOKUP(EU$72,INDIRECT($C$5&amp;"生成成长"),2))/((VLOOKUP($B173,INDIRECT($B$5&amp;"生成成长"),4))/(VLOOKUP(EU$72,INDIRECT($C$5&amp;"生成成长"),5))*(VLOOKUP($B$5,标准坦克设计!$B$24:$U$30,MATCH("对"&amp;LEFT($C$5,2)&amp;"输出",标准坦克设计!$B$23:$U$23,0)))*(VLOOKUP($B173,INDIRECT($B$5&amp;"生成成长"),3))*(VLOOKUP($B$5,标准坦克设计!$B$14:$K$20,9)/30))</f>
        <v>5.9352088351151009</v>
      </c>
      <c r="EV173" s="172">
        <f ca="1">(VLOOKUP(EV$72,INDIRECT($C$5&amp;"生成成长"),2))/((VLOOKUP($B173,INDIRECT($B$5&amp;"生成成长"),4))/(VLOOKUP(EV$72,INDIRECT($C$5&amp;"生成成长"),5))*(VLOOKUP($B$5,标准坦克设计!$B$24:$U$30,MATCH("对"&amp;LEFT($C$5,2)&amp;"输出",标准坦克设计!$B$23:$U$23,0)))*(VLOOKUP($B173,INDIRECT($B$5&amp;"生成成长"),3))*(VLOOKUP($B$5,标准坦克设计!$B$14:$K$20,9)/30))</f>
        <v>6.390804887679236</v>
      </c>
      <c r="EW173" s="172">
        <f ca="1">(VLOOKUP(EW$72,INDIRECT($C$5&amp;"生成成长"),2))/((VLOOKUP($B173,INDIRECT($B$5&amp;"生成成长"),4))/(VLOOKUP(EW$72,INDIRECT($C$5&amp;"生成成长"),5))*(VLOOKUP($B$5,标准坦克设计!$B$24:$U$30,MATCH("对"&amp;LEFT($C$5,2)&amp;"输出",标准坦克设计!$B$23:$U$23,0)))*(VLOOKUP($B173,INDIRECT($B$5&amp;"生成成长"),3))*(VLOOKUP($B$5,标准坦克设计!$B$14:$K$20,9)/30))</f>
        <v>6.8632465085734715</v>
      </c>
      <c r="EX173" s="172">
        <f ca="1">(VLOOKUP(EX$72,INDIRECT($C$5&amp;"生成成长"),2))/((VLOOKUP($B173,INDIRECT($B$5&amp;"生成成长"),4))/(VLOOKUP(EX$72,INDIRECT($C$5&amp;"生成成长"),5))*(VLOOKUP($B$5,标准坦克设计!$B$24:$U$30,MATCH("对"&amp;LEFT($C$5,2)&amp;"输出",标准坦克设计!$B$23:$U$23,0)))*(VLOOKUP($B173,INDIRECT($B$5&amp;"生成成长"),3))*(VLOOKUP($B$5,标准坦克设计!$B$14:$K$20,9)/30))</f>
        <v>7.35253369779781</v>
      </c>
      <c r="EY173" s="172">
        <f ca="1">(VLOOKUP(EY$72,INDIRECT($C$5&amp;"生成成长"),2))/((VLOOKUP($B173,INDIRECT($B$5&amp;"生成成长"),4))/(VLOOKUP(EY$72,INDIRECT($C$5&amp;"生成成长"),5))*(VLOOKUP($B$5,标准坦克设计!$B$24:$U$30,MATCH("对"&amp;LEFT($C$5,2)&amp;"输出",标准坦克设计!$B$23:$U$23,0)))*(VLOOKUP($B173,INDIRECT($B$5&amp;"生成成长"),3))*(VLOOKUP($B$5,标准坦克设计!$B$14:$K$20,9)/30))</f>
        <v>7.8586664553522532</v>
      </c>
      <c r="EZ173" s="172">
        <f ca="1">(VLOOKUP(EZ$72,INDIRECT($C$5&amp;"生成成长"),2))/((VLOOKUP($B173,INDIRECT($B$5&amp;"生成成长"),4))/(VLOOKUP(EZ$72,INDIRECT($C$5&amp;"生成成长"),5))*(VLOOKUP($B$5,标准坦克设计!$B$24:$U$30,MATCH("对"&amp;LEFT($C$5,2)&amp;"输出",标准坦克设计!$B$23:$U$23,0)))*(VLOOKUP($B173,INDIRECT($B$5&amp;"生成成长"),3))*(VLOOKUP($B$5,标准坦克设计!$B$14:$K$20,9)/30))</f>
        <v>8.3816447812367976</v>
      </c>
      <c r="FA173" s="172">
        <f ca="1">(VLOOKUP(FA$72,INDIRECT($C$5&amp;"生成成长"),2))/((VLOOKUP($B173,INDIRECT($B$5&amp;"生成成长"),4))/(VLOOKUP(FA$72,INDIRECT($C$5&amp;"生成成长"),5))*(VLOOKUP($B$5,标准坦克设计!$B$24:$U$30,MATCH("对"&amp;LEFT($C$5,2)&amp;"输出",标准坦克设计!$B$23:$U$23,0)))*(VLOOKUP($B173,INDIRECT($B$5&amp;"生成成长"),3))*(VLOOKUP($B$5,标准坦克设计!$B$14:$K$20,9)/30))</f>
        <v>8.9214686754514414</v>
      </c>
      <c r="FB173" s="172">
        <f ca="1">(VLOOKUP(FB$72,INDIRECT($C$5&amp;"生成成长"),2))/((VLOOKUP($B173,INDIRECT($B$5&amp;"生成成长"),4))/(VLOOKUP(FB$72,INDIRECT($C$5&amp;"生成成长"),5))*(VLOOKUP($B$5,标准坦克设计!$B$24:$U$30,MATCH("对"&amp;LEFT($C$5,2)&amp;"输出",标准坦克设计!$B$23:$U$23,0)))*(VLOOKUP($B173,INDIRECT($B$5&amp;"生成成长"),3))*(VLOOKUP($B$5,标准坦克设计!$B$14:$K$20,9)/30))</f>
        <v>9.47813813799619</v>
      </c>
      <c r="FC173" s="172">
        <f ca="1">(VLOOKUP(FC$72,INDIRECT($C$5&amp;"生成成长"),2))/((VLOOKUP($B173,INDIRECT($B$5&amp;"生成成长"),4))/(VLOOKUP(FC$72,INDIRECT($C$5&amp;"生成成长"),5))*(VLOOKUP($B$5,标准坦克设计!$B$24:$U$30,MATCH("对"&amp;LEFT($C$5,2)&amp;"输出",标准坦克设计!$B$23:$U$23,0)))*(VLOOKUP($B173,INDIRECT($B$5&amp;"生成成长"),3))*(VLOOKUP($B$5,标准坦克设计!$B$14:$K$20,9)/30))</f>
        <v>10.051653168871043</v>
      </c>
      <c r="FD173" s="172">
        <f ca="1">(VLOOKUP(FD$72,INDIRECT($C$5&amp;"生成成长"),2))/((VLOOKUP($B173,INDIRECT($B$5&amp;"生成成长"),4))/(VLOOKUP(FD$72,INDIRECT($C$5&amp;"生成成长"),5))*(VLOOKUP($B$5,标准坦克设计!$B$24:$U$30,MATCH("对"&amp;LEFT($C$5,2)&amp;"输出",标准坦克设计!$B$23:$U$23,0)))*(VLOOKUP($B173,INDIRECT($B$5&amp;"生成成长"),3))*(VLOOKUP($B$5,标准坦克设计!$B$14:$K$20,9)/30))</f>
        <v>10.642013768075998</v>
      </c>
      <c r="FE173" s="172">
        <f ca="1">(VLOOKUP(FE$72,INDIRECT($C$5&amp;"生成成长"),2))/((VLOOKUP($B173,INDIRECT($B$5&amp;"生成成长"),4))/(VLOOKUP(FE$72,INDIRECT($C$5&amp;"生成成长"),5))*(VLOOKUP($B$5,标准坦克设计!$B$24:$U$30,MATCH("对"&amp;LEFT($C$5,2)&amp;"输出",标准坦克设计!$B$23:$U$23,0)))*(VLOOKUP($B173,INDIRECT($B$5&amp;"生成成长"),3))*(VLOOKUP($B$5,标准坦克设计!$B$14:$K$20,9)/30))</f>
        <v>11.361430911429752</v>
      </c>
      <c r="FF173" s="172">
        <f ca="1">(VLOOKUP(FF$72,INDIRECT($C$5&amp;"生成成长"),2))/((VLOOKUP($B173,INDIRECT($B$5&amp;"生成成长"),4))/(VLOOKUP(FF$72,INDIRECT($C$5&amp;"生成成长"),5))*(VLOOKUP($B$5,标准坦克设计!$B$24:$U$30,MATCH("对"&amp;LEFT($C$5,2)&amp;"输出",标准坦克设计!$B$23:$U$23,0)))*(VLOOKUP($B173,INDIRECT($B$5&amp;"生成成长"),3))*(VLOOKUP($B$5,标准坦克设计!$B$14:$K$20,9)/30))</f>
        <v>12.104376162616461</v>
      </c>
      <c r="FG173" s="172">
        <f ca="1">(VLOOKUP(FG$72,INDIRECT($C$5&amp;"生成成长"),2))/((VLOOKUP($B173,INDIRECT($B$5&amp;"生成成长"),4))/(VLOOKUP(FG$72,INDIRECT($C$5&amp;"生成成长"),5))*(VLOOKUP($B$5,标准坦克设计!$B$24:$U$30,MATCH("对"&amp;LEFT($C$5,2)&amp;"输出",标准坦克设计!$B$23:$U$23,0)))*(VLOOKUP($B173,INDIRECT($B$5&amp;"生成成长"),3))*(VLOOKUP($B$5,标准坦克设计!$B$14:$K$20,9)/30))</f>
        <v>12.870849521636121</v>
      </c>
      <c r="FH173" s="172">
        <f ca="1">(VLOOKUP(FH$72,INDIRECT($C$5&amp;"生成成长"),2))/((VLOOKUP($B173,INDIRECT($B$5&amp;"生成成长"),4))/(VLOOKUP(FH$72,INDIRECT($C$5&amp;"生成成长"),5))*(VLOOKUP($B$5,标准坦克设计!$B$24:$U$30,MATCH("对"&amp;LEFT($C$5,2)&amp;"输出",标准坦克设计!$B$23:$U$23,0)))*(VLOOKUP($B173,INDIRECT($B$5&amp;"生成成长"),3))*(VLOOKUP($B$5,标准坦克设计!$B$14:$K$20,9)/30))</f>
        <v>13.660850988488734</v>
      </c>
      <c r="FI173" s="172">
        <f ca="1">(VLOOKUP(FI$72,INDIRECT($C$5&amp;"生成成长"),2))/((VLOOKUP($B173,INDIRECT($B$5&amp;"生成成长"),4))/(VLOOKUP(FI$72,INDIRECT($C$5&amp;"生成成长"),5))*(VLOOKUP($B$5,标准坦克设计!$B$24:$U$30,MATCH("对"&amp;LEFT($C$5,2)&amp;"输出",标准坦克设计!$B$23:$U$23,0)))*(VLOOKUP($B173,INDIRECT($B$5&amp;"生成成长"),3))*(VLOOKUP($B$5,标准坦克设计!$B$14:$K$20,9)/30))</f>
        <v>14.474380563174302</v>
      </c>
      <c r="FJ173" s="172">
        <f ca="1">(VLOOKUP(FJ$72,INDIRECT($C$5&amp;"生成成长"),2))/((VLOOKUP($B173,INDIRECT($B$5&amp;"生成成长"),4))/(VLOOKUP(FJ$72,INDIRECT($C$5&amp;"生成成长"),5))*(VLOOKUP($B$5,标准坦克设计!$B$24:$U$30,MATCH("对"&amp;LEFT($C$5,2)&amp;"输出",标准坦克设计!$B$23:$U$23,0)))*(VLOOKUP($B173,INDIRECT($B$5&amp;"生成成长"),3))*(VLOOKUP($B$5,标准坦克设计!$B$14:$K$20,9)/30))</f>
        <v>15.311438245692823</v>
      </c>
      <c r="FK173" s="172">
        <f ca="1">(VLOOKUP(FK$72,INDIRECT($C$5&amp;"生成成长"),2))/((VLOOKUP($B173,INDIRECT($B$5&amp;"生成成长"),4))/(VLOOKUP(FK$72,INDIRECT($C$5&amp;"生成成长"),5))*(VLOOKUP($B$5,标准坦克设计!$B$24:$U$30,MATCH("对"&amp;LEFT($C$5,2)&amp;"输出",标准坦克设计!$B$23:$U$23,0)))*(VLOOKUP($B173,INDIRECT($B$5&amp;"生成成长"),3))*(VLOOKUP($B$5,标准坦克设计!$B$14:$K$20,9)/30))</f>
        <v>16.172024036044295</v>
      </c>
    </row>
    <row r="174" spans="1:167" x14ac:dyDescent="0.15">
      <c r="A174" s="170" t="str">
        <f t="shared" si="12"/>
        <v>T5中品质12级</v>
      </c>
      <c r="B174" s="171">
        <v>20512</v>
      </c>
      <c r="C174" s="172">
        <f ca="1">(VLOOKUP(C$72,INDIRECT($C$5&amp;"生成成长"),2))/((VLOOKUP($B174,INDIRECT($B$5&amp;"生成成长"),4))/(VLOOKUP(C$72,INDIRECT($C$5&amp;"生成成长"),5))*(VLOOKUP($B$5,标准坦克设计!$B$24:$U$30,MATCH("对"&amp;LEFT($C$5,2)&amp;"输出",标准坦克设计!$B$23:$U$23,0)))*(VLOOKUP($B174,INDIRECT($B$5&amp;"生成成长"),3))*(VLOOKUP($B$5,标准坦克设计!$B$14:$K$20,9)/30))</f>
        <v>0.65376661104221689</v>
      </c>
      <c r="D174" s="172">
        <f ca="1">(VLOOKUP(D$72,INDIRECT($C$5&amp;"生成成长"),2))/((VLOOKUP($B174,INDIRECT($B$5&amp;"生成成长"),4))/(VLOOKUP(D$72,INDIRECT($C$5&amp;"生成成长"),5))*(VLOOKUP($B$5,标准坦克设计!$B$24:$U$30,MATCH("对"&amp;LEFT($C$5,2)&amp;"输出",标准坦克设计!$B$23:$U$23,0)))*(VLOOKUP($B174,INDIRECT($B$5&amp;"生成成长"),3))*(VLOOKUP($B$5,标准坦克设计!$B$14:$K$20,9)/30))</f>
        <v>0.73457216416703475</v>
      </c>
      <c r="E174" s="172">
        <f ca="1">(VLOOKUP(E$72,INDIRECT($C$5&amp;"生成成长"),2))/((VLOOKUP($B174,INDIRECT($B$5&amp;"生成成长"),4))/(VLOOKUP(E$72,INDIRECT($C$5&amp;"生成成长"),5))*(VLOOKUP($B$5,标准坦克设计!$B$24:$U$30,MATCH("对"&amp;LEFT($C$5,2)&amp;"输出",标准坦克设计!$B$23:$U$23,0)))*(VLOOKUP($B174,INDIRECT($B$5&amp;"生成成长"),3))*(VLOOKUP($B$5,标准坦克设计!$B$14:$K$20,9)/30))</f>
        <v>0.82008483689135692</v>
      </c>
      <c r="F174" s="172">
        <f ca="1">(VLOOKUP(F$72,INDIRECT($C$5&amp;"生成成长"),2))/((VLOOKUP($B174,INDIRECT($B$5&amp;"生成成长"),4))/(VLOOKUP(F$72,INDIRECT($C$5&amp;"生成成长"),5))*(VLOOKUP($B$5,标准坦克设计!$B$24:$U$30,MATCH("对"&amp;LEFT($C$5,2)&amp;"输出",标准坦克设计!$B$23:$U$23,0)))*(VLOOKUP($B174,INDIRECT($B$5&amp;"生成成长"),3))*(VLOOKUP($B$5,标准坦克设计!$B$14:$K$20,9)/30))</f>
        <v>0.91030462921518274</v>
      </c>
      <c r="G174" s="172">
        <f ca="1">(VLOOKUP(G$72,INDIRECT($C$5&amp;"生成成长"),2))/((VLOOKUP($B174,INDIRECT($B$5&amp;"生成成长"),4))/(VLOOKUP(G$72,INDIRECT($C$5&amp;"生成成长"),5))*(VLOOKUP($B$5,标准坦克设计!$B$24:$U$30,MATCH("对"&amp;LEFT($C$5,2)&amp;"输出",标准坦克设计!$B$23:$U$23,0)))*(VLOOKUP($B174,INDIRECT($B$5&amp;"生成成长"),3))*(VLOOKUP($B$5,标准坦克设计!$B$14:$K$20,9)/30))</f>
        <v>1.0052315411385127</v>
      </c>
      <c r="H174" s="172">
        <f ca="1">(VLOOKUP(H$72,INDIRECT($C$5&amp;"生成成长"),2))/((VLOOKUP($B174,INDIRECT($B$5&amp;"生成成长"),4))/(VLOOKUP(H$72,INDIRECT($C$5&amp;"生成成长"),5))*(VLOOKUP($B$5,标准坦克设计!$B$24:$U$30,MATCH("对"&amp;LEFT($C$5,2)&amp;"输出",标准坦克设计!$B$23:$U$23,0)))*(VLOOKUP($B174,INDIRECT($B$5&amp;"生成成长"),3))*(VLOOKUP($B$5,标准坦克设计!$B$14:$K$20,9)/30))</f>
        <v>0.87970835181840701</v>
      </c>
      <c r="I174" s="172">
        <f ca="1">(VLOOKUP(I$72,INDIRECT($C$5&amp;"生成成长"),2))/((VLOOKUP($B174,INDIRECT($B$5&amp;"生成成长"),4))/(VLOOKUP(I$72,INDIRECT($C$5&amp;"生成成长"),5))*(VLOOKUP($B$5,标准坦克设计!$B$24:$U$30,MATCH("对"&amp;LEFT($C$5,2)&amp;"输出",标准坦克设计!$B$23:$U$23,0)))*(VLOOKUP($B174,INDIRECT($B$5&amp;"生成成长"),3))*(VLOOKUP($B$5,标准坦克设计!$B$14:$K$20,9)/30))</f>
        <v>1.0052315411385127</v>
      </c>
      <c r="J174" s="172">
        <f ca="1">(VLOOKUP(J$72,INDIRECT($C$5&amp;"生成成长"),2))/((VLOOKUP($B174,INDIRECT($B$5&amp;"生成成长"),4))/(VLOOKUP(J$72,INDIRECT($C$5&amp;"生成成长"),5))*(VLOOKUP($B$5,标准坦克设计!$B$24:$U$30,MATCH("对"&amp;LEFT($C$5,2)&amp;"输出",标准坦克设计!$B$23:$U$23,0)))*(VLOOKUP($B174,INDIRECT($B$5&amp;"生成成长"),3))*(VLOOKUP($B$5,标准坦克设计!$B$14:$K$20,9)/30))</f>
        <v>1.1391229430799588</v>
      </c>
      <c r="K174" s="172">
        <f ca="1">(VLOOKUP(K$72,INDIRECT($C$5&amp;"生成成长"),2))/((VLOOKUP($B174,INDIRECT($B$5&amp;"生成成长"),4))/(VLOOKUP(K$72,INDIRECT($C$5&amp;"生成成长"),5))*(VLOOKUP($B$5,标准坦克设计!$B$24:$U$30,MATCH("对"&amp;LEFT($C$5,2)&amp;"输出",标准坦克设计!$B$23:$U$23,0)))*(VLOOKUP($B174,INDIRECT($B$5&amp;"生成成长"),3))*(VLOOKUP($B$5,标准坦克设计!$B$14:$K$20,9)/30))</f>
        <v>1.2813825576427451</v>
      </c>
      <c r="L174" s="172">
        <f ca="1">(VLOOKUP(L$72,INDIRECT($C$5&amp;"生成成长"),2))/((VLOOKUP($B174,INDIRECT($B$5&amp;"生成成长"),4))/(VLOOKUP(L$72,INDIRECT($C$5&amp;"生成成长"),5))*(VLOOKUP($B$5,标准坦克设计!$B$24:$U$30,MATCH("对"&amp;LEFT($C$5,2)&amp;"输出",标准坦克设计!$B$23:$U$23,0)))*(VLOOKUP($B174,INDIRECT($B$5&amp;"生成成长"),3))*(VLOOKUP($B$5,标准坦克设计!$B$14:$K$20,9)/30))</f>
        <v>1.4320103848268717</v>
      </c>
      <c r="M174" s="172">
        <f ca="1">(VLOOKUP(M$72,INDIRECT($C$5&amp;"生成成长"),2))/((VLOOKUP($B174,INDIRECT($B$5&amp;"生成成长"),4))/(VLOOKUP(M$72,INDIRECT($C$5&amp;"生成成长"),5))*(VLOOKUP($B$5,标准坦克设计!$B$24:$U$30,MATCH("对"&amp;LEFT($C$5,2)&amp;"输出",标准坦克设计!$B$23:$U$23,0)))*(VLOOKUP($B174,INDIRECT($B$5&amp;"生成成长"),3))*(VLOOKUP($B$5,标准坦克设计!$B$14:$K$20,9)/30))</f>
        <v>1.591006424632339</v>
      </c>
      <c r="N174" s="172">
        <f ca="1">(VLOOKUP(N$72,INDIRECT($C$5&amp;"生成成长"),2))/((VLOOKUP($B174,INDIRECT($B$5&amp;"生成成长"),4))/(VLOOKUP(N$72,INDIRECT($C$5&amp;"生成成长"),5))*(VLOOKUP($B$5,标准坦克设计!$B$24:$U$30,MATCH("对"&amp;LEFT($C$5,2)&amp;"输出",标准坦克设计!$B$23:$U$23,0)))*(VLOOKUP($B174,INDIRECT($B$5&amp;"生成成长"),3))*(VLOOKUP($B$5,标准坦克设计!$B$14:$K$20,9)/30))</f>
        <v>1.7583706770591463</v>
      </c>
      <c r="O174" s="172">
        <f ca="1">(VLOOKUP(O$72,INDIRECT($C$5&amp;"生成成长"),2))/((VLOOKUP($B174,INDIRECT($B$5&amp;"生成成长"),4))/(VLOOKUP(O$72,INDIRECT($C$5&amp;"生成成长"),5))*(VLOOKUP($B$5,标准坦克设计!$B$24:$U$30,MATCH("对"&amp;LEFT($C$5,2)&amp;"输出",标准坦克设计!$B$23:$U$23,0)))*(VLOOKUP($B174,INDIRECT($B$5&amp;"生成成长"),3))*(VLOOKUP($B$5,标准坦克设计!$B$14:$K$20,9)/30))</f>
        <v>1.3368873429202293</v>
      </c>
      <c r="P174" s="172">
        <f ca="1">(VLOOKUP(P$72,INDIRECT($C$5&amp;"生成成长"),2))/((VLOOKUP($B174,INDIRECT($B$5&amp;"生成成长"),4))/(VLOOKUP(P$72,INDIRECT($C$5&amp;"生成成长"),5))*(VLOOKUP($B$5,标准坦克设计!$B$24:$U$30,MATCH("对"&amp;LEFT($C$5,2)&amp;"输出",标准坦克设计!$B$23:$U$23,0)))*(VLOOKUP($B174,INDIRECT($B$5&amp;"生成成长"),3))*(VLOOKUP($B$5,标准坦克设计!$B$14:$K$20,9)/30))</f>
        <v>1.5104623781519377</v>
      </c>
      <c r="Q174" s="172">
        <f ca="1">(VLOOKUP(Q$72,INDIRECT($C$5&amp;"生成成长"),2))/((VLOOKUP($B174,INDIRECT($B$5&amp;"生成成长"),4))/(VLOOKUP(Q$72,INDIRECT($C$5&amp;"生成成长"),5))*(VLOOKUP($B$5,标准坦克设计!$B$24:$U$30,MATCH("对"&amp;LEFT($C$5,2)&amp;"输出",标准坦克设计!$B$23:$U$23,0)))*(VLOOKUP($B174,INDIRECT($B$5&amp;"生成成长"),3))*(VLOOKUP($B$5,标准坦克设计!$B$14:$K$20,9)/30))</f>
        <v>1.6946284324825307</v>
      </c>
      <c r="R174" s="172">
        <f ca="1">(VLOOKUP(R$72,INDIRECT($C$5&amp;"生成成长"),2))/((VLOOKUP($B174,INDIRECT($B$5&amp;"生成成长"),4))/(VLOOKUP(R$72,INDIRECT($C$5&amp;"生成成长"),5))*(VLOOKUP($B$5,标准坦克设计!$B$24:$U$30,MATCH("对"&amp;LEFT($C$5,2)&amp;"输出",标准坦克设计!$B$23:$U$23,0)))*(VLOOKUP($B174,INDIRECT($B$5&amp;"生成成长"),3))*(VLOOKUP($B$5,标准坦克设计!$B$14:$K$20,9)/30))</f>
        <v>1.8893855059120068</v>
      </c>
      <c r="S174" s="172">
        <f ca="1">(VLOOKUP(S$72,INDIRECT($C$5&amp;"生成成长"),2))/((VLOOKUP($B174,INDIRECT($B$5&amp;"生成成长"),4))/(VLOOKUP(S$72,INDIRECT($C$5&amp;"生成成长"),5))*(VLOOKUP($B$5,标准坦克设计!$B$24:$U$30,MATCH("对"&amp;LEFT($C$5,2)&amp;"输出",标准坦克设计!$B$23:$U$23,0)))*(VLOOKUP($B174,INDIRECT($B$5&amp;"生成成长"),3))*(VLOOKUP($B$5,标准坦克设计!$B$14:$K$20,9)/30))</f>
        <v>2.0947335984403677</v>
      </c>
      <c r="T174" s="172">
        <f ca="1">(VLOOKUP(T$72,INDIRECT($C$5&amp;"生成成长"),2))/((VLOOKUP($B174,INDIRECT($B$5&amp;"生成成长"),4))/(VLOOKUP(T$72,INDIRECT($C$5&amp;"生成成长"),5))*(VLOOKUP($B$5,标准坦克设计!$B$24:$U$30,MATCH("对"&amp;LEFT($C$5,2)&amp;"输出",标准坦克设计!$B$23:$U$23,0)))*(VLOOKUP($B174,INDIRECT($B$5&amp;"生成成长"),3))*(VLOOKUP($B$5,标准坦克设计!$B$14:$K$20,9)/30))</f>
        <v>2.3106727100676112</v>
      </c>
      <c r="U174" s="172">
        <f ca="1">(VLOOKUP(U$72,INDIRECT($C$5&amp;"生成成长"),2))/((VLOOKUP($B174,INDIRECT($B$5&amp;"生成成长"),4))/(VLOOKUP(U$72,INDIRECT($C$5&amp;"生成成长"),5))*(VLOOKUP($B$5,标准坦克设计!$B$24:$U$30,MATCH("对"&amp;LEFT($C$5,2)&amp;"输出",标准坦克设计!$B$23:$U$23,0)))*(VLOOKUP($B174,INDIRECT($B$5&amp;"生成成长"),3))*(VLOOKUP($B$5,标准坦克设计!$B$14:$K$20,9)/30))</f>
        <v>2.5372028407937397</v>
      </c>
      <c r="V174" s="172">
        <f ca="1">(VLOOKUP(V$72,INDIRECT($C$5&amp;"生成成长"),2))/((VLOOKUP($B174,INDIRECT($B$5&amp;"生成成长"),4))/(VLOOKUP(V$72,INDIRECT($C$5&amp;"生成成长"),5))*(VLOOKUP($B$5,标准坦克设计!$B$24:$U$30,MATCH("对"&amp;LEFT($C$5,2)&amp;"输出",标准坦克设计!$B$23:$U$23,0)))*(VLOOKUP($B174,INDIRECT($B$5&amp;"生成成长"),3))*(VLOOKUP($B$5,标准坦克设计!$B$14:$K$20,9)/30))</f>
        <v>2.7743239906187518</v>
      </c>
      <c r="W174" s="172">
        <f ca="1">(VLOOKUP(W$72,INDIRECT($C$5&amp;"生成成长"),2))/((VLOOKUP($B174,INDIRECT($B$5&amp;"生成成长"),4))/(VLOOKUP(W$72,INDIRECT($C$5&amp;"生成成长"),5))*(VLOOKUP($B$5,标准坦克设计!$B$24:$U$30,MATCH("对"&amp;LEFT($C$5,2)&amp;"输出",标准坦克设计!$B$23:$U$23,0)))*(VLOOKUP($B174,INDIRECT($B$5&amp;"生成成长"),3))*(VLOOKUP($B$5,标准坦克设计!$B$14:$K$20,9)/30))</f>
        <v>3.022036159542647</v>
      </c>
      <c r="X174" s="172">
        <f ca="1">(VLOOKUP(X$72,INDIRECT($C$5&amp;"生成成长"),2))/((VLOOKUP($B174,INDIRECT($B$5&amp;"生成成长"),4))/(VLOOKUP(X$72,INDIRECT($C$5&amp;"生成成长"),5))*(VLOOKUP($B$5,标准坦克设计!$B$24:$U$30,MATCH("对"&amp;LEFT($C$5,2)&amp;"输出",标准坦克设计!$B$23:$U$23,0)))*(VLOOKUP($B174,INDIRECT($B$5&amp;"生成成长"),3))*(VLOOKUP($B$5,标准坦克设计!$B$14:$K$20,9)/30))</f>
        <v>2.1893990037192803</v>
      </c>
      <c r="Y174" s="172">
        <f ca="1">(VLOOKUP(Y$72,INDIRECT($C$5&amp;"生成成长"),2))/((VLOOKUP($B174,INDIRECT($B$5&amp;"生成成长"),4))/(VLOOKUP(Y$72,INDIRECT($C$5&amp;"生成成长"),5))*(VLOOKUP($B$5,标准坦克设计!$B$24:$U$30,MATCH("对"&amp;LEFT($C$5,2)&amp;"输出",标准坦克设计!$B$23:$U$23,0)))*(VLOOKUP($B174,INDIRECT($B$5&amp;"生成成长"),3))*(VLOOKUP($B$5,标准坦克设计!$B$14:$K$20,9)/30))</f>
        <v>2.4352152494711534</v>
      </c>
      <c r="Z174" s="172">
        <f ca="1">(VLOOKUP(Z$72,INDIRECT($C$5&amp;"生成成长"),2))/((VLOOKUP($B174,INDIRECT($B$5&amp;"生成成长"),4))/(VLOOKUP(Z$72,INDIRECT($C$5&amp;"生成成长"),5))*(VLOOKUP($B$5,标准坦克设计!$B$24:$U$30,MATCH("对"&amp;LEFT($C$5,2)&amp;"输出",标准坦克设计!$B$23:$U$23,0)))*(VLOOKUP($B174,INDIRECT($B$5&amp;"生成成长"),3))*(VLOOKUP($B$5,标准坦克设计!$B$14:$K$20,9)/30))</f>
        <v>2.6941068274438718</v>
      </c>
      <c r="AA174" s="172">
        <f ca="1">(VLOOKUP(AA$72,INDIRECT($C$5&amp;"生成成长"),2))/((VLOOKUP($B174,INDIRECT($B$5&amp;"生成成长"),4))/(VLOOKUP(AA$72,INDIRECT($C$5&amp;"生成成长"),5))*(VLOOKUP($B$5,标准坦克设计!$B$24:$U$30,MATCH("对"&amp;LEFT($C$5,2)&amp;"输出",标准坦克设计!$B$23:$U$23,0)))*(VLOOKUP($B174,INDIRECT($B$5&amp;"生成成长"),3))*(VLOOKUP($B$5,标准坦克设计!$B$14:$K$20,9)/30))</f>
        <v>2.9660737376374331</v>
      </c>
      <c r="AB174" s="172">
        <f ca="1">(VLOOKUP(AB$72,INDIRECT($C$5&amp;"生成成长"),2))/((VLOOKUP($B174,INDIRECT($B$5&amp;"生成成长"),4))/(VLOOKUP(AB$72,INDIRECT($C$5&amp;"生成成长"),5))*(VLOOKUP($B$5,标准坦克设计!$B$24:$U$30,MATCH("对"&amp;LEFT($C$5,2)&amp;"输出",标准坦克设计!$B$23:$U$23,0)))*(VLOOKUP($B174,INDIRECT($B$5&amp;"生成成长"),3))*(VLOOKUP($B$5,标准坦克设计!$B$14:$K$20,9)/30))</f>
        <v>3.2511159800518401</v>
      </c>
      <c r="AC174" s="172">
        <f ca="1">(VLOOKUP(AC$72,INDIRECT($C$5&amp;"生成成长"),2))/((VLOOKUP($B174,INDIRECT($B$5&amp;"生成成长"),4))/(VLOOKUP(AC$72,INDIRECT($C$5&amp;"生成成长"),5))*(VLOOKUP($B$5,标准坦克设计!$B$24:$U$30,MATCH("对"&amp;LEFT($C$5,2)&amp;"输出",标准坦克设计!$B$23:$U$23,0)))*(VLOOKUP($B174,INDIRECT($B$5&amp;"生成成长"),3))*(VLOOKUP($B$5,标准坦克设计!$B$14:$K$20,9)/30))</f>
        <v>3.549233554687091</v>
      </c>
      <c r="AD174" s="172">
        <f ca="1">(VLOOKUP(AD$72,INDIRECT($C$5&amp;"生成成长"),2))/((VLOOKUP($B174,INDIRECT($B$5&amp;"生成成长"),4))/(VLOOKUP(AD$72,INDIRECT($C$5&amp;"生成成长"),5))*(VLOOKUP($B$5,标准坦克设计!$B$24:$U$30,MATCH("对"&amp;LEFT($C$5,2)&amp;"输出",标准坦克设计!$B$23:$U$23,0)))*(VLOOKUP($B174,INDIRECT($B$5&amp;"生成成长"),3))*(VLOOKUP($B$5,标准坦克设计!$B$14:$K$20,9)/30))</f>
        <v>3.8604264615431858</v>
      </c>
      <c r="AE174" s="172">
        <f ca="1">(VLOOKUP(AE$72,INDIRECT($C$5&amp;"生成成长"),2))/((VLOOKUP($B174,INDIRECT($B$5&amp;"生成成长"),4))/(VLOOKUP(AE$72,INDIRECT($C$5&amp;"生成成长"),5))*(VLOOKUP($B$5,标准坦克设计!$B$24:$U$30,MATCH("对"&amp;LEFT($C$5,2)&amp;"输出",标准坦克设计!$B$23:$U$23,0)))*(VLOOKUP($B174,INDIRECT($B$5&amp;"生成成长"),3))*(VLOOKUP($B$5,标准坦克设计!$B$14:$K$20,9)/30))</f>
        <v>4.1846947006201258</v>
      </c>
      <c r="AF174" s="172">
        <f ca="1">(VLOOKUP(AF$72,INDIRECT($C$5&amp;"生成成长"),2))/((VLOOKUP($B174,INDIRECT($B$5&amp;"生成成长"),4))/(VLOOKUP(AF$72,INDIRECT($C$5&amp;"生成成长"),5))*(VLOOKUP($B$5,标准坦克设计!$B$24:$U$30,MATCH("对"&amp;LEFT($C$5,2)&amp;"输出",标准坦克设计!$B$23:$U$23,0)))*(VLOOKUP($B174,INDIRECT($B$5&amp;"生成成长"),3))*(VLOOKUP($B$5,标准坦克设计!$B$14:$K$20,9)/30))</f>
        <v>4.5220382719179097</v>
      </c>
      <c r="AG174" s="172">
        <f ca="1">(VLOOKUP(AG$72,INDIRECT($C$5&amp;"生成成长"),2))/((VLOOKUP($B174,INDIRECT($B$5&amp;"生成成长"),4))/(VLOOKUP(AG$72,INDIRECT($C$5&amp;"生成成长"),5))*(VLOOKUP($B$5,标准坦克设计!$B$24:$U$30,MATCH("对"&amp;LEFT($C$5,2)&amp;"输出",标准坦克设计!$B$23:$U$23,0)))*(VLOOKUP($B174,INDIRECT($B$5&amp;"生成成长"),3))*(VLOOKUP($B$5,标准坦克设计!$B$14:$K$20,9)/30))</f>
        <v>4.872457175436538</v>
      </c>
      <c r="AH174" s="172">
        <f ca="1">(VLOOKUP(AH$72,INDIRECT($C$5&amp;"生成成长"),2))/((VLOOKUP($B174,INDIRECT($B$5&amp;"生成成长"),4))/(VLOOKUP(AH$72,INDIRECT($C$5&amp;"生成成长"),5))*(VLOOKUP($B$5,标准坦克设计!$B$24:$U$30,MATCH("对"&amp;LEFT($C$5,2)&amp;"输出",标准坦克设计!$B$23:$U$23,0)))*(VLOOKUP($B174,INDIRECT($B$5&amp;"生成成长"),3))*(VLOOKUP($B$5,标准坦克设计!$B$14:$K$20,9)/30))</f>
        <v>5.2359514111760106</v>
      </c>
      <c r="AI174" s="172">
        <f ca="1">(VLOOKUP(AI$72,INDIRECT($C$5&amp;"生成成长"),2))/((VLOOKUP($B174,INDIRECT($B$5&amp;"生成成长"),4))/(VLOOKUP(AI$72,INDIRECT($C$5&amp;"生成成长"),5))*(VLOOKUP($B$5,标准坦克设计!$B$24:$U$30,MATCH("对"&amp;LEFT($C$5,2)&amp;"输出",标准坦克设计!$B$23:$U$23,0)))*(VLOOKUP($B174,INDIRECT($B$5&amp;"生成成长"),3))*(VLOOKUP($B$5,标准坦克设计!$B$14:$K$20,9)/30))</f>
        <v>3.7031955915875341</v>
      </c>
      <c r="AJ174" s="172">
        <f ca="1">(VLOOKUP(AJ$72,INDIRECT($C$5&amp;"生成成长"),2))/((VLOOKUP($B174,INDIRECT($B$5&amp;"生成成长"),4))/(VLOOKUP(AJ$72,INDIRECT($C$5&amp;"生成成长"),5))*(VLOOKUP($B$5,标准坦克设计!$B$24:$U$30,MATCH("对"&amp;LEFT($C$5,2)&amp;"输出",标准坦克设计!$B$23:$U$23,0)))*(VLOOKUP($B174,INDIRECT($B$5&amp;"生成成长"),3))*(VLOOKUP($B$5,标准坦克设计!$B$14:$K$20,9)/30))</f>
        <v>4.053418365122849</v>
      </c>
      <c r="AK174" s="172">
        <f ca="1">(VLOOKUP(AK$72,INDIRECT($C$5&amp;"生成成长"),2))/((VLOOKUP($B174,INDIRECT($B$5&amp;"生成成长"),4))/(VLOOKUP(AK$72,INDIRECT($C$5&amp;"生成成长"),5))*(VLOOKUP($B$5,标准坦克设计!$B$24:$U$30,MATCH("对"&amp;LEFT($C$5,2)&amp;"输出",标准坦克设计!$B$23:$U$23,0)))*(VLOOKUP($B174,INDIRECT($B$5&amp;"生成成长"),3))*(VLOOKUP($B$5,标准坦克设计!$B$14:$K$20,9)/30))</f>
        <v>4.4194622906453871</v>
      </c>
      <c r="AL174" s="172">
        <f ca="1">(VLOOKUP(AL$72,INDIRECT($C$5&amp;"生成成长"),2))/((VLOOKUP($B174,INDIRECT($B$5&amp;"生成成长"),4))/(VLOOKUP(AL$72,INDIRECT($C$5&amp;"生成成长"),5))*(VLOOKUP($B$5,标准坦克设计!$B$24:$U$30,MATCH("对"&amp;LEFT($C$5,2)&amp;"输出",标准坦克设计!$B$23:$U$23,0)))*(VLOOKUP($B174,INDIRECT($B$5&amp;"生成成长"),3))*(VLOOKUP($B$5,标准坦克设计!$B$14:$K$20,9)/30))</f>
        <v>4.8013273681551452</v>
      </c>
      <c r="AM174" s="172">
        <f ca="1">(VLOOKUP(AM$72,INDIRECT($C$5&amp;"生成成长"),2))/((VLOOKUP($B174,INDIRECT($B$5&amp;"生成成长"),4))/(VLOOKUP(AM$72,INDIRECT($C$5&amp;"生成成长"),5))*(VLOOKUP($B$5,标准坦克设计!$B$24:$U$30,MATCH("对"&amp;LEFT($C$5,2)&amp;"输出",标准坦克设计!$B$23:$U$23,0)))*(VLOOKUP($B174,INDIRECT($B$5&amp;"生成成长"),3))*(VLOOKUP($B$5,标准坦克设计!$B$14:$K$20,9)/30))</f>
        <v>5.199013597652125</v>
      </c>
      <c r="AN174" s="172">
        <f ca="1">(VLOOKUP(AN$72,INDIRECT($C$5&amp;"生成成长"),2))/((VLOOKUP($B174,INDIRECT($B$5&amp;"生成成长"),4))/(VLOOKUP(AN$72,INDIRECT($C$5&amp;"生成成长"),5))*(VLOOKUP($B$5,标准坦克设计!$B$24:$U$30,MATCH("对"&amp;LEFT($C$5,2)&amp;"输出",标准坦克设计!$B$23:$U$23,0)))*(VLOOKUP($B174,INDIRECT($B$5&amp;"生成成长"),3))*(VLOOKUP($B$5,标准坦克设计!$B$14:$K$20,9)/30))</f>
        <v>5.6125209791363275</v>
      </c>
      <c r="AO174" s="172">
        <f ca="1">(VLOOKUP(AO$72,INDIRECT($C$5&amp;"生成成长"),2))/((VLOOKUP($B174,INDIRECT($B$5&amp;"生成成长"),4))/(VLOOKUP(AO$72,INDIRECT($C$5&amp;"生成成长"),5))*(VLOOKUP($B$5,标准坦克设计!$B$24:$U$30,MATCH("对"&amp;LEFT($C$5,2)&amp;"输出",标准坦克设计!$B$23:$U$23,0)))*(VLOOKUP($B174,INDIRECT($B$5&amp;"生成成长"),3))*(VLOOKUP($B$5,标准坦克设计!$B$14:$K$20,9)/30))</f>
        <v>6.0418495126077509</v>
      </c>
      <c r="AP174" s="172">
        <f ca="1">(VLOOKUP(AP$72,INDIRECT($C$5&amp;"生成成长"),2))/((VLOOKUP($B174,INDIRECT($B$5&amp;"生成成长"),4))/(VLOOKUP(AP$72,INDIRECT($C$5&amp;"生成成长"),5))*(VLOOKUP($B$5,标准坦克设计!$B$24:$U$30,MATCH("对"&amp;LEFT($C$5,2)&amp;"输出",标准坦克设计!$B$23:$U$23,0)))*(VLOOKUP($B174,INDIRECT($B$5&amp;"生成成长"),3))*(VLOOKUP($B$5,标准坦克设计!$B$14:$K$20,9)/30))</f>
        <v>6.486999198066397</v>
      </c>
      <c r="AQ174" s="172">
        <f ca="1">(VLOOKUP(AQ$72,INDIRECT($C$5&amp;"生成成长"),2))/((VLOOKUP($B174,INDIRECT($B$5&amp;"生成成长"),4))/(VLOOKUP(AQ$72,INDIRECT($C$5&amp;"生成成长"),5))*(VLOOKUP($B$5,标准坦克设计!$B$24:$U$30,MATCH("对"&amp;LEFT($C$5,2)&amp;"输出",标准坦克设计!$B$23:$U$23,0)))*(VLOOKUP($B174,INDIRECT($B$5&amp;"生成成长"),3))*(VLOOKUP($B$5,标准坦克设计!$B$14:$K$20,9)/30))</f>
        <v>6.947970035512264</v>
      </c>
      <c r="AR174" s="172">
        <f ca="1">(VLOOKUP(AR$72,INDIRECT($C$5&amp;"生成成长"),2))/((VLOOKUP($B174,INDIRECT($B$5&amp;"生成成长"),4))/(VLOOKUP(AR$72,INDIRECT($C$5&amp;"生成成长"),5))*(VLOOKUP($B$5,标准坦克设计!$B$24:$U$30,MATCH("对"&amp;LEFT($C$5,2)&amp;"输出",标准坦克设计!$B$23:$U$23,0)))*(VLOOKUP($B174,INDIRECT($B$5&amp;"生成成长"),3))*(VLOOKUP($B$5,标准坦克设计!$B$14:$K$20,9)/30))</f>
        <v>7.4247620249453536</v>
      </c>
      <c r="AS174" s="172">
        <f ca="1">(VLOOKUP(AS$72,INDIRECT($C$5&amp;"生成成长"),2))/((VLOOKUP($B174,INDIRECT($B$5&amp;"生成成长"),4))/(VLOOKUP(AS$72,INDIRECT($C$5&amp;"生成成长"),5))*(VLOOKUP($B$5,标准坦克设计!$B$24:$U$30,MATCH("对"&amp;LEFT($C$5,2)&amp;"输出",标准坦克设计!$B$23:$U$23,0)))*(VLOOKUP($B174,INDIRECT($B$5&amp;"生成成长"),3))*(VLOOKUP($B$5,标准坦克设计!$B$14:$K$20,9)/30))</f>
        <v>7.9173751663656651</v>
      </c>
      <c r="AT174" s="172">
        <f ca="1">(VLOOKUP(AT$72,INDIRECT($C$5&amp;"生成成长"),2))/((VLOOKUP($B174,INDIRECT($B$5&amp;"生成成长"),4))/(VLOOKUP(AT$72,INDIRECT($C$5&amp;"生成成长"),5))*(VLOOKUP($B$5,标准坦克设计!$B$24:$U$30,MATCH("对"&amp;LEFT($C$5,2)&amp;"输出",标准坦克设计!$B$23:$U$23,0)))*(VLOOKUP($B174,INDIRECT($B$5&amp;"生成成长"),3))*(VLOOKUP($B$5,标准坦克设计!$B$14:$K$20,9)/30))</f>
        <v>8.4258094597731947</v>
      </c>
      <c r="AU174" s="172">
        <f ca="1">(VLOOKUP(AU$72,INDIRECT($C$5&amp;"生成成长"),2))/((VLOOKUP($B174,INDIRECT($B$5&amp;"生成成长"),4))/(VLOOKUP(AU$72,INDIRECT($C$5&amp;"生成成长"),5))*(VLOOKUP($B$5,标准坦克设计!$B$24:$U$30,MATCH("对"&amp;LEFT($C$5,2)&amp;"输出",标准坦克设计!$B$23:$U$23,0)))*(VLOOKUP($B174,INDIRECT($B$5&amp;"生成成长"),3))*(VLOOKUP($B$5,标准坦克设计!$B$14:$K$20,9)/30))</f>
        <v>8.9500649051679488</v>
      </c>
      <c r="AV174" s="172">
        <f ca="1">(VLOOKUP(AV$72,INDIRECT($C$5&amp;"生成成长"),2))/((VLOOKUP($B174,INDIRECT($B$5&amp;"生成成长"),4))/(VLOOKUP(AV$72,INDIRECT($C$5&amp;"生成成长"),5))*(VLOOKUP($B$5,标准坦克设计!$B$24:$U$30,MATCH("对"&amp;LEFT($C$5,2)&amp;"输出",标准坦克设计!$B$23:$U$23,0)))*(VLOOKUP($B174,INDIRECT($B$5&amp;"生成成长"),3))*(VLOOKUP($B$5,标准坦克设计!$B$14:$K$20,9)/30))</f>
        <v>0.91030462921518274</v>
      </c>
      <c r="AW174" s="172">
        <f ca="1">(VLOOKUP(AW$72,INDIRECT($C$5&amp;"生成成长"),2))/((VLOOKUP($B174,INDIRECT($B$5&amp;"生成成长"),4))/(VLOOKUP(AW$72,INDIRECT($C$5&amp;"生成成长"),5))*(VLOOKUP($B$5,标准坦克设计!$B$24:$U$30,MATCH("对"&amp;LEFT($C$5,2)&amp;"输出",标准坦克设计!$B$23:$U$23,0)))*(VLOOKUP($B174,INDIRECT($B$5&amp;"生成成长"),3))*(VLOOKUP($B$5,标准坦克设计!$B$14:$K$20,9)/30))</f>
        <v>1.0379198716906235</v>
      </c>
      <c r="AX174" s="172">
        <f ca="1">(VLOOKUP(AX$72,INDIRECT($C$5&amp;"生成成长"),2))/((VLOOKUP($B174,INDIRECT($B$5&amp;"生成成长"),4))/(VLOOKUP(AX$72,INDIRECT($C$5&amp;"生成成长"),5))*(VLOOKUP($B$5,标准坦克设计!$B$24:$U$30,MATCH("对"&amp;LEFT($C$5,2)&amp;"输出",标准坦克设计!$B$23:$U$23,0)))*(VLOOKUP($B174,INDIRECT($B$5&amp;"生成成长"),3))*(VLOOKUP($B$5,标准坦克设计!$B$14:$K$20,9)/30))</f>
        <v>1.1739033267874048</v>
      </c>
      <c r="AY174" s="172">
        <f ca="1">(VLOOKUP(AY$72,INDIRECT($C$5&amp;"生成成长"),2))/((VLOOKUP($B174,INDIRECT($B$5&amp;"生成成长"),4))/(VLOOKUP(AY$72,INDIRECT($C$5&amp;"生成成长"),5))*(VLOOKUP($B$5,标准坦克设计!$B$24:$U$30,MATCH("对"&amp;LEFT($C$5,2)&amp;"输出",标准坦克设计!$B$23:$U$23,0)))*(VLOOKUP($B174,INDIRECT($B$5&amp;"生成成长"),3))*(VLOOKUP($B$5,标准坦克设计!$B$14:$K$20,9)/30))</f>
        <v>1.318254994505526</v>
      </c>
      <c r="AZ174" s="172">
        <f ca="1">(VLOOKUP(AZ$72,INDIRECT($C$5&amp;"生成成长"),2))/((VLOOKUP($B174,INDIRECT($B$5&amp;"生成成长"),4))/(VLOOKUP(AZ$72,INDIRECT($C$5&amp;"生成成长"),5))*(VLOOKUP($B$5,标准坦克设计!$B$24:$U$30,MATCH("对"&amp;LEFT($C$5,2)&amp;"输出",标准坦克设计!$B$23:$U$23,0)))*(VLOOKUP($B174,INDIRECT($B$5&amp;"生成成长"),3))*(VLOOKUP($B$5,标准坦克设计!$B$14:$K$20,9)/30))</f>
        <v>1.470974874844988</v>
      </c>
      <c r="BA174" s="172">
        <f ca="1">(VLOOKUP(BA$72,INDIRECT($C$5&amp;"生成成长"),2))/((VLOOKUP($B174,INDIRECT($B$5&amp;"生成成长"),4))/(VLOOKUP(BA$72,INDIRECT($C$5&amp;"生成成长"),5))*(VLOOKUP($B$5,标准坦克设计!$B$24:$U$30,MATCH("对"&amp;LEFT($C$5,2)&amp;"输出",标准坦克设计!$B$23:$U$23,0)))*(VLOOKUP($B174,INDIRECT($B$5&amp;"生成成长"),3))*(VLOOKUP($B$5,标准坦克设计!$B$14:$K$20,9)/30))</f>
        <v>1.6320629678057903</v>
      </c>
      <c r="BB174" s="172">
        <f ca="1">(VLOOKUP(BB$72,INDIRECT($C$5&amp;"生成成长"),2))/((VLOOKUP($B174,INDIRECT($B$5&amp;"生成成长"),4))/(VLOOKUP(BB$72,INDIRECT($C$5&amp;"生成成长"),5))*(VLOOKUP($B$5,标准坦克设计!$B$24:$U$30,MATCH("对"&amp;LEFT($C$5,2)&amp;"输出",标准坦克设计!$B$23:$U$23,0)))*(VLOOKUP($B174,INDIRECT($B$5&amp;"生成成长"),3))*(VLOOKUP($B$5,标准坦克设计!$B$14:$K$20,9)/30))</f>
        <v>1.8015192733879326</v>
      </c>
      <c r="BC174" s="172">
        <f ca="1">(VLOOKUP(BC$72,INDIRECT($C$5&amp;"生成成长"),2))/((VLOOKUP($B174,INDIRECT($B$5&amp;"生成成长"),4))/(VLOOKUP(BC$72,INDIRECT($C$5&amp;"生成成长"),5))*(VLOOKUP($B$5,标准坦克设计!$B$24:$U$30,MATCH("对"&amp;LEFT($C$5,2)&amp;"输出",标准坦克设计!$B$23:$U$23,0)))*(VLOOKUP($B174,INDIRECT($B$5&amp;"生成成长"),3))*(VLOOKUP($B$5,标准坦克设计!$B$14:$K$20,9)/30))</f>
        <v>1.9793437915914163</v>
      </c>
      <c r="BD174" s="172">
        <f ca="1">(VLOOKUP(BD$72,INDIRECT($C$5&amp;"生成成长"),2))/((VLOOKUP($B174,INDIRECT($B$5&amp;"生成成长"),4))/(VLOOKUP(BD$72,INDIRECT($C$5&amp;"生成成长"),5))*(VLOOKUP($B$5,标准坦克设计!$B$24:$U$30,MATCH("对"&amp;LEFT($C$5,2)&amp;"输出",标准坦克设计!$B$23:$U$23,0)))*(VLOOKUP($B174,INDIRECT($B$5&amp;"生成成长"),3))*(VLOOKUP($B$5,标准坦克设计!$B$14:$K$20,9)/30))</f>
        <v>2.1893990037192803</v>
      </c>
      <c r="BE174" s="172">
        <f ca="1">(VLOOKUP(BE$72,INDIRECT($C$5&amp;"生成成长"),2))/((VLOOKUP($B174,INDIRECT($B$5&amp;"生成成长"),4))/(VLOOKUP(BE$72,INDIRECT($C$5&amp;"生成成长"),5))*(VLOOKUP($B$5,标准坦克设计!$B$24:$U$30,MATCH("对"&amp;LEFT($C$5,2)&amp;"输出",标准坦克设计!$B$23:$U$23,0)))*(VLOOKUP($B174,INDIRECT($B$5&amp;"生成成长"),3))*(VLOOKUP($B$5,标准坦克设计!$B$14:$K$20,9)/30))</f>
        <v>2.4100452349460282</v>
      </c>
      <c r="BF174" s="172">
        <f ca="1">(VLOOKUP(BF$72,INDIRECT($C$5&amp;"生成成长"),2))/((VLOOKUP($B174,INDIRECT($B$5&amp;"生成成长"),4))/(VLOOKUP(BF$72,INDIRECT($C$5&amp;"生成成长"),5))*(VLOOKUP($B$5,标准坦克设计!$B$24:$U$30,MATCH("对"&amp;LEFT($C$5,2)&amp;"输出",标准坦克设计!$B$23:$U$23,0)))*(VLOOKUP($B174,INDIRECT($B$5&amp;"生成成长"),3))*(VLOOKUP($B$5,标准坦克设计!$B$14:$K$20,9)/30))</f>
        <v>2.6412824852716601</v>
      </c>
      <c r="BG174" s="172">
        <f ca="1">(VLOOKUP(BG$72,INDIRECT($C$5&amp;"生成成长"),2))/((VLOOKUP($B174,INDIRECT($B$5&amp;"生成成长"),4))/(VLOOKUP(BG$72,INDIRECT($C$5&amp;"生成成长"),5))*(VLOOKUP($B$5,标准坦克设计!$B$24:$U$30,MATCH("对"&amp;LEFT($C$5,2)&amp;"输出",标准坦克设计!$B$23:$U$23,0)))*(VLOOKUP($B174,INDIRECT($B$5&amp;"生成成长"),3))*(VLOOKUP($B$5,标准坦克设计!$B$14:$K$20,9)/30))</f>
        <v>2.8831107546961765</v>
      </c>
      <c r="BH174" s="172">
        <f ca="1">(VLOOKUP(BH$72,INDIRECT($C$5&amp;"生成成长"),2))/((VLOOKUP($B174,INDIRECT($B$5&amp;"生成成长"),4))/(VLOOKUP(BH$72,INDIRECT($C$5&amp;"生成成长"),5))*(VLOOKUP($B$5,标准坦克设计!$B$24:$U$30,MATCH("对"&amp;LEFT($C$5,2)&amp;"输出",标准坦克设计!$B$23:$U$23,0)))*(VLOOKUP($B174,INDIRECT($B$5&amp;"生成成长"),3))*(VLOOKUP($B$5,标准坦克设计!$B$14:$K$20,9)/30))</f>
        <v>1.3935689080975895</v>
      </c>
      <c r="BI174" s="172">
        <f ca="1">(VLOOKUP(BI$72,INDIRECT($C$5&amp;"生成成长"),2))/((VLOOKUP($B174,INDIRECT($B$5&amp;"生成成长"),4))/(VLOOKUP(BI$72,INDIRECT($C$5&amp;"生成成长"),5))*(VLOOKUP($B$5,标准坦克设计!$B$24:$U$30,MATCH("对"&amp;LEFT($C$5,2)&amp;"输出",标准坦克设计!$B$23:$U$23,0)))*(VLOOKUP($B174,INDIRECT($B$5&amp;"生成成长"),3))*(VLOOKUP($B$5,标准坦克设计!$B$14:$K$20,9)/30))</f>
        <v>1.5706742830289264</v>
      </c>
      <c r="BJ174" s="172">
        <f ca="1">(VLOOKUP(BJ$72,INDIRECT($C$5&amp;"生成成长"),2))/((VLOOKUP($B174,INDIRECT($B$5&amp;"生成成长"),4))/(VLOOKUP(BJ$72,INDIRECT($C$5&amp;"生成成长"),5))*(VLOOKUP($B$5,标准坦克设计!$B$24:$U$30,MATCH("对"&amp;LEFT($C$5,2)&amp;"输出",标准坦克设计!$B$23:$U$23,0)))*(VLOOKUP($B174,INDIRECT($B$5&amp;"生成成长"),3))*(VLOOKUP($B$5,标准坦克设计!$B$14:$K$20,9)/30))</f>
        <v>1.7583706770591463</v>
      </c>
      <c r="BK174" s="172">
        <f ca="1">(VLOOKUP(BK$72,INDIRECT($C$5&amp;"生成成长"),2))/((VLOOKUP($B174,INDIRECT($B$5&amp;"生成成长"),4))/(VLOOKUP(BK$72,INDIRECT($C$5&amp;"生成成长"),5))*(VLOOKUP($B$5,标准坦克设计!$B$24:$U$30,MATCH("对"&amp;LEFT($C$5,2)&amp;"输出",标准坦克设计!$B$23:$U$23,0)))*(VLOOKUP($B174,INDIRECT($B$5&amp;"生成成长"),3))*(VLOOKUP($B$5,标准坦克设计!$B$14:$K$20,9)/30))</f>
        <v>1.9566580901882511</v>
      </c>
      <c r="BL174" s="172">
        <f ca="1">(VLOOKUP(BL$72,INDIRECT($C$5&amp;"生成成长"),2))/((VLOOKUP($B174,INDIRECT($B$5&amp;"生成成长"),4))/(VLOOKUP(BL$72,INDIRECT($C$5&amp;"生成成长"),5))*(VLOOKUP($B$5,标准坦克设计!$B$24:$U$30,MATCH("对"&amp;LEFT($C$5,2)&amp;"输出",标准坦克设计!$B$23:$U$23,0)))*(VLOOKUP($B174,INDIRECT($B$5&amp;"生成成长"),3))*(VLOOKUP($B$5,标准坦克设计!$B$14:$K$20,9)/30))</f>
        <v>2.1655365224162395</v>
      </c>
      <c r="BM174" s="172">
        <f ca="1">(VLOOKUP(BM$72,INDIRECT($C$5&amp;"生成成长"),2))/((VLOOKUP($B174,INDIRECT($B$5&amp;"生成成长"),4))/(VLOOKUP(BM$72,INDIRECT($C$5&amp;"生成成长"),5))*(VLOOKUP($B$5,标准坦克设计!$B$24:$U$30,MATCH("对"&amp;LEFT($C$5,2)&amp;"输出",标准坦克设计!$B$23:$U$23,0)))*(VLOOKUP($B174,INDIRECT($B$5&amp;"生成成长"),3))*(VLOOKUP($B$5,标准坦克设计!$B$14:$K$20,9)/30))</f>
        <v>2.3850059737431111</v>
      </c>
      <c r="BN174" s="172">
        <f ca="1">(VLOOKUP(BN$72,INDIRECT($C$5&amp;"生成成长"),2))/((VLOOKUP($B174,INDIRECT($B$5&amp;"生成成长"),4))/(VLOOKUP(BN$72,INDIRECT($C$5&amp;"生成成长"),5))*(VLOOKUP($B$5,标准坦克设计!$B$24:$U$30,MATCH("对"&amp;LEFT($C$5,2)&amp;"输出",标准坦克设计!$B$23:$U$23,0)))*(VLOOKUP($B174,INDIRECT($B$5&amp;"生成成长"),3))*(VLOOKUP($B$5,标准坦克设计!$B$14:$K$20,9)/30))</f>
        <v>2.6150664441688676</v>
      </c>
      <c r="BO174" s="172">
        <f ca="1">(VLOOKUP(BO$72,INDIRECT($C$5&amp;"生成成长"),2))/((VLOOKUP($B174,INDIRECT($B$5&amp;"生成成长"),4))/(VLOOKUP(BO$72,INDIRECT($C$5&amp;"生成成长"),5))*(VLOOKUP($B$5,标准坦克设计!$B$24:$U$30,MATCH("对"&amp;LEFT($C$5,2)&amp;"输出",标准坦克设计!$B$23:$U$23,0)))*(VLOOKUP($B174,INDIRECT($B$5&amp;"生成成长"),3))*(VLOOKUP($B$5,标准坦克设计!$B$14:$K$20,9)/30))</f>
        <v>2.8557179336935072</v>
      </c>
      <c r="BP174" s="172">
        <f ca="1">(VLOOKUP(BP$72,INDIRECT($C$5&amp;"生成成长"),2))/((VLOOKUP($B174,INDIRECT($B$5&amp;"生成成长"),4))/(VLOOKUP(BP$72,INDIRECT($C$5&amp;"生成成长"),5))*(VLOOKUP($B$5,标准坦克设计!$B$24:$U$30,MATCH("对"&amp;LEFT($C$5,2)&amp;"输出",标准坦克设计!$B$23:$U$23,0)))*(VLOOKUP($B174,INDIRECT($B$5&amp;"生成成长"),3))*(VLOOKUP($B$5,标准坦克设计!$B$14:$K$20,9)/30))</f>
        <v>3.1069604423170309</v>
      </c>
      <c r="BQ174" s="172">
        <f ca="1">(VLOOKUP(BQ$72,INDIRECT($C$5&amp;"生成成长"),2))/((VLOOKUP($B174,INDIRECT($B$5&amp;"生成成长"),4))/(VLOOKUP(BQ$72,INDIRECT($C$5&amp;"生成成长"),5))*(VLOOKUP($B$5,标准坦克设计!$B$24:$U$30,MATCH("对"&amp;LEFT($C$5,2)&amp;"输出",标准坦克设计!$B$23:$U$23,0)))*(VLOOKUP($B174,INDIRECT($B$5&amp;"生成成长"),3))*(VLOOKUP($B$5,标准坦克设计!$B$14:$K$20,9)/30))</f>
        <v>3.3687939700394396</v>
      </c>
      <c r="BR174" s="172">
        <f ca="1">(VLOOKUP(BR$72,INDIRECT($C$5&amp;"生成成长"),2))/((VLOOKUP($B174,INDIRECT($B$5&amp;"生成成长"),4))/(VLOOKUP(BR$72,INDIRECT($C$5&amp;"生成成长"),5))*(VLOOKUP($B$5,标准坦克设计!$B$24:$U$30,MATCH("对"&amp;LEFT($C$5,2)&amp;"输出",标准坦克设计!$B$23:$U$23,0)))*(VLOOKUP($B174,INDIRECT($B$5&amp;"生成成长"),3))*(VLOOKUP($B$5,标准坦克设计!$B$14:$K$20,9)/30))</f>
        <v>3.6721416775630282</v>
      </c>
      <c r="BS174" s="172">
        <f ca="1">(VLOOKUP(BS$72,INDIRECT($C$5&amp;"生成成长"),2))/((VLOOKUP($B174,INDIRECT($B$5&amp;"生成成长"),4))/(VLOOKUP(BS$72,INDIRECT($C$5&amp;"生成成长"),5))*(VLOOKUP($B$5,标准坦克设计!$B$24:$U$30,MATCH("对"&amp;LEFT($C$5,2)&amp;"输出",标准坦克设计!$B$23:$U$23,0)))*(VLOOKUP($B174,INDIRECT($B$5&amp;"生成成长"),3))*(VLOOKUP($B$5,标准坦克设计!$B$14:$K$20,9)/30))</f>
        <v>3.9885647173074612</v>
      </c>
      <c r="BT174" s="172">
        <f ca="1">(VLOOKUP(BT$72,INDIRECT($C$5&amp;"生成成长"),2))/((VLOOKUP($B174,INDIRECT($B$5&amp;"生成成长"),4))/(VLOOKUP(BT$72,INDIRECT($C$5&amp;"生成成长"),5))*(VLOOKUP($B$5,标准坦克设计!$B$24:$U$30,MATCH("对"&amp;LEFT($C$5,2)&amp;"输出",标准坦克设计!$B$23:$U$23,0)))*(VLOOKUP($B174,INDIRECT($B$5&amp;"生成成长"),3))*(VLOOKUP($B$5,标准坦克设计!$B$14:$K$20,9)/30))</f>
        <v>4.3180630892727381</v>
      </c>
      <c r="BU174" s="172">
        <f ca="1">(VLOOKUP(BU$72,INDIRECT($C$5&amp;"生成成长"),2))/((VLOOKUP($B174,INDIRECT($B$5&amp;"生成成长"),4))/(VLOOKUP(BU$72,INDIRECT($C$5&amp;"生成成长"),5))*(VLOOKUP($B$5,标准坦克设计!$B$24:$U$30,MATCH("对"&amp;LEFT($C$5,2)&amp;"输出",标准坦克设计!$B$23:$U$23,0)))*(VLOOKUP($B174,INDIRECT($B$5&amp;"生成成长"),3))*(VLOOKUP($B$5,标准坦克设计!$B$14:$K$20,9)/30))</f>
        <v>4.6606367934588597</v>
      </c>
      <c r="BV174" s="172">
        <f ca="1">(VLOOKUP(BV$72,INDIRECT($C$5&amp;"生成成长"),2))/((VLOOKUP($B174,INDIRECT($B$5&amp;"生成成长"),4))/(VLOOKUP(BV$72,INDIRECT($C$5&amp;"生成成长"),5))*(VLOOKUP($B$5,标准坦克设计!$B$24:$U$30,MATCH("对"&amp;LEFT($C$5,2)&amp;"输出",标准坦克设计!$B$23:$U$23,0)))*(VLOOKUP($B174,INDIRECT($B$5&amp;"生成成长"),3))*(VLOOKUP($B$5,标准坦克设计!$B$14:$K$20,9)/30))</f>
        <v>5.0162858298658257</v>
      </c>
      <c r="BW174" s="172">
        <f ca="1">(VLOOKUP(BW$72,INDIRECT($C$5&amp;"生成成长"),2))/((VLOOKUP($B174,INDIRECT($B$5&amp;"生成成长"),4))/(VLOOKUP(BW$72,INDIRECT($C$5&amp;"生成成长"),5))*(VLOOKUP($B$5,标准坦克设计!$B$24:$U$30,MATCH("对"&amp;LEFT($C$5,2)&amp;"输出",标准坦克设计!$B$23:$U$23,0)))*(VLOOKUP($B174,INDIRECT($B$5&amp;"生成成长"),3))*(VLOOKUP($B$5,标准坦克设计!$B$14:$K$20,9)/30))</f>
        <v>2.286156462153528</v>
      </c>
      <c r="BX174" s="172">
        <f ca="1">(VLOOKUP(BX$72,INDIRECT($C$5&amp;"生成成长"),2))/((VLOOKUP($B174,INDIRECT($B$5&amp;"生成成长"),4))/(VLOOKUP(BX$72,INDIRECT($C$5&amp;"生成成长"),5))*(VLOOKUP($B$5,标准坦克设计!$B$24:$U$30,MATCH("对"&amp;LEFT($C$5,2)&amp;"输出",标准坦克设计!$B$23:$U$23,0)))*(VLOOKUP($B174,INDIRECT($B$5&amp;"生成成长"),3))*(VLOOKUP($B$5,标准坦克设计!$B$14:$K$20,9)/30))</f>
        <v>2.5372028407937397</v>
      </c>
      <c r="BY174" s="172">
        <f ca="1">(VLOOKUP(BY$72,INDIRECT($C$5&amp;"生成成长"),2))/((VLOOKUP($B174,INDIRECT($B$5&amp;"生成成长"),4))/(VLOOKUP(BY$72,INDIRECT($C$5&amp;"生成成长"),5))*(VLOOKUP($B$5,标准坦克设计!$B$24:$U$30,MATCH("对"&amp;LEFT($C$5,2)&amp;"输出",标准坦克设计!$B$23:$U$23,0)))*(VLOOKUP($B174,INDIRECT($B$5&amp;"生成成长"),3))*(VLOOKUP($B$5,标准坦克设计!$B$14:$K$20,9)/30))</f>
        <v>2.8013245516547953</v>
      </c>
      <c r="BZ174" s="172">
        <f ca="1">(VLOOKUP(BZ$72,INDIRECT($C$5&amp;"生成成长"),2))/((VLOOKUP($B174,INDIRECT($B$5&amp;"生成成长"),4))/(VLOOKUP(BZ$72,INDIRECT($C$5&amp;"生成成长"),5))*(VLOOKUP($B$5,标准坦克设计!$B$24:$U$30,MATCH("对"&amp;LEFT($C$5,2)&amp;"输出",标准坦克设计!$B$23:$U$23,0)))*(VLOOKUP($B174,INDIRECT($B$5&amp;"生成成长"),3))*(VLOOKUP($B$5,标准坦克设计!$B$14:$K$20,9)/30))</f>
        <v>3.0785215947366948</v>
      </c>
      <c r="CA174" s="172">
        <f ca="1">(VLOOKUP(CA$72,INDIRECT($C$5&amp;"生成成长"),2))/((VLOOKUP($B174,INDIRECT($B$5&amp;"生成成长"),4))/(VLOOKUP(CA$72,INDIRECT($C$5&amp;"生成成长"),5))*(VLOOKUP($B$5,标准坦克设计!$B$24:$U$30,MATCH("对"&amp;LEFT($C$5,2)&amp;"输出",标准坦克设计!$B$23:$U$23,0)))*(VLOOKUP($B174,INDIRECT($B$5&amp;"生成成长"),3))*(VLOOKUP($B$5,标准坦克设计!$B$14:$K$20,9)/30))</f>
        <v>3.3687939700394396</v>
      </c>
      <c r="CB174" s="172">
        <f ca="1">(VLOOKUP(CB$72,INDIRECT($C$5&amp;"生成成长"),2))/((VLOOKUP($B174,INDIRECT($B$5&amp;"生成成长"),4))/(VLOOKUP(CB$72,INDIRECT($C$5&amp;"生成成长"),5))*(VLOOKUP($B$5,标准坦克设计!$B$24:$U$30,MATCH("对"&amp;LEFT($C$5,2)&amp;"输出",标准坦克设计!$B$23:$U$23,0)))*(VLOOKUP($B174,INDIRECT($B$5&amp;"生成成长"),3))*(VLOOKUP($B$5,标准坦克设计!$B$14:$K$20,9)/30))</f>
        <v>3.6721416775630282</v>
      </c>
      <c r="CC174" s="172">
        <f ca="1">(VLOOKUP(CC$72,INDIRECT($C$5&amp;"生成成长"),2))/((VLOOKUP($B174,INDIRECT($B$5&amp;"生成成长"),4))/(VLOOKUP(CC$72,INDIRECT($C$5&amp;"生成成长"),5))*(VLOOKUP($B$5,标准坦克设计!$B$24:$U$30,MATCH("对"&amp;LEFT($C$5,2)&amp;"输出",标准坦克设计!$B$23:$U$23,0)))*(VLOOKUP($B174,INDIRECT($B$5&amp;"生成成长"),3))*(VLOOKUP($B$5,标准坦克设计!$B$14:$K$20,9)/30))</f>
        <v>3.9885647173074612</v>
      </c>
      <c r="CD174" s="172">
        <f ca="1">(VLOOKUP(CD$72,INDIRECT($C$5&amp;"生成成长"),2))/((VLOOKUP($B174,INDIRECT($B$5&amp;"生成成长"),4))/(VLOOKUP(CD$72,INDIRECT($C$5&amp;"生成成长"),5))*(VLOOKUP($B$5,标准坦克设计!$B$24:$U$30,MATCH("对"&amp;LEFT($C$5,2)&amp;"输出",标准坦克设计!$B$23:$U$23,0)))*(VLOOKUP($B174,INDIRECT($B$5&amp;"生成成长"),3))*(VLOOKUP($B$5,标准坦克设计!$B$14:$K$20,9)/30))</f>
        <v>4.3180630892727381</v>
      </c>
      <c r="CE174" s="172">
        <f ca="1">(VLOOKUP(CE$72,INDIRECT($C$5&amp;"生成成长"),2))/((VLOOKUP($B174,INDIRECT($B$5&amp;"生成成长"),4))/(VLOOKUP(CE$72,INDIRECT($C$5&amp;"生成成长"),5))*(VLOOKUP($B$5,标准坦克设计!$B$24:$U$30,MATCH("对"&amp;LEFT($C$5,2)&amp;"输出",标准坦克设计!$B$23:$U$23,0)))*(VLOOKUP($B174,INDIRECT($B$5&amp;"生成成长"),3))*(VLOOKUP($B$5,标准坦克设计!$B$14:$K$20,9)/30))</f>
        <v>4.6606367934588597</v>
      </c>
      <c r="CF174" s="172">
        <f ca="1">(VLOOKUP(CF$72,INDIRECT($C$5&amp;"生成成长"),2))/((VLOOKUP($B174,INDIRECT($B$5&amp;"生成成长"),4))/(VLOOKUP(CF$72,INDIRECT($C$5&amp;"生成成长"),5))*(VLOOKUP($B$5,标准坦克设计!$B$24:$U$30,MATCH("对"&amp;LEFT($C$5,2)&amp;"输出",标准坦克设计!$B$23:$U$23,0)))*(VLOOKUP($B174,INDIRECT($B$5&amp;"生成成长"),3))*(VLOOKUP($B$5,标准坦克设计!$B$14:$K$20,9)/30))</f>
        <v>5.0162858298658257</v>
      </c>
      <c r="CG174" s="172">
        <f ca="1">(VLOOKUP(CG$72,INDIRECT($C$5&amp;"生成成长"),2))/((VLOOKUP($B174,INDIRECT($B$5&amp;"生成成长"),4))/(VLOOKUP(CG$72,INDIRECT($C$5&amp;"生成成长"),5))*(VLOOKUP($B$5,标准坦克设计!$B$24:$U$30,MATCH("对"&amp;LEFT($C$5,2)&amp;"输出",标准坦克设计!$B$23:$U$23,0)))*(VLOOKUP($B174,INDIRECT($B$5&amp;"生成成长"),3))*(VLOOKUP($B$5,标准坦克设计!$B$14:$K$20,9)/30))</f>
        <v>5.3850101984936369</v>
      </c>
      <c r="CH174" s="172">
        <f ca="1">(VLOOKUP(CH$72,INDIRECT($C$5&amp;"生成成长"),2))/((VLOOKUP($B174,INDIRECT($B$5&amp;"生成成长"),4))/(VLOOKUP(CH$72,INDIRECT($C$5&amp;"生成成长"),5))*(VLOOKUP($B$5,标准坦克设计!$B$24:$U$30,MATCH("对"&amp;LEFT($C$5,2)&amp;"输出",标准坦克设计!$B$23:$U$23,0)))*(VLOOKUP($B174,INDIRECT($B$5&amp;"生成成长"),3))*(VLOOKUP($B$5,标准坦克设计!$B$14:$K$20,9)/30))</f>
        <v>5.7668098993422916</v>
      </c>
      <c r="CI174" s="172">
        <f ca="1">(VLOOKUP(CI$72,INDIRECT($C$5&amp;"生成成长"),2))/((VLOOKUP($B174,INDIRECT($B$5&amp;"生成成长"),4))/(VLOOKUP(CI$72,INDIRECT($C$5&amp;"生成成长"),5))*(VLOOKUP($B$5,标准坦克设计!$B$24:$U$30,MATCH("对"&amp;LEFT($C$5,2)&amp;"输出",标准坦克设计!$B$23:$U$23,0)))*(VLOOKUP($B174,INDIRECT($B$5&amp;"生成成长"),3))*(VLOOKUP($B$5,标准坦克设计!$B$14:$K$20,9)/30))</f>
        <v>6.2018915789908853</v>
      </c>
      <c r="CJ174" s="172">
        <f ca="1">(VLOOKUP(CJ$72,INDIRECT($C$5&amp;"生成成长"),2))/((VLOOKUP($B174,INDIRECT($B$5&amp;"生成成长"),4))/(VLOOKUP(CJ$72,INDIRECT($C$5&amp;"生成成长"),5))*(VLOOKUP($B$5,标准坦克设计!$B$24:$U$30,MATCH("对"&amp;LEFT($C$5,2)&amp;"输出",标准坦克设计!$B$23:$U$23,0)))*(VLOOKUP($B174,INDIRECT($B$5&amp;"生成成长"),3))*(VLOOKUP($B$5,标准坦克设计!$B$14:$K$20,9)/30))</f>
        <v>6.6527944106267043</v>
      </c>
      <c r="CK174" s="172">
        <f ca="1">(VLOOKUP(CK$72,INDIRECT($C$5&amp;"生成成长"),2))/((VLOOKUP($B174,INDIRECT($B$5&amp;"生成成长"),4))/(VLOOKUP(CK$72,INDIRECT($C$5&amp;"生成成长"),5))*(VLOOKUP($B$5,标准坦克设计!$B$24:$U$30,MATCH("对"&amp;LEFT($C$5,2)&amp;"输出",标准坦克设计!$B$23:$U$23,0)))*(VLOOKUP($B174,INDIRECT($B$5&amp;"生成成长"),3))*(VLOOKUP($B$5,标准坦克设计!$B$14:$K$20,9)/30))</f>
        <v>7.1195183942497424</v>
      </c>
      <c r="CL174" s="172">
        <f ca="1">(VLOOKUP(CL$72,INDIRECT($C$5&amp;"生成成长"),2))/((VLOOKUP($B174,INDIRECT($B$5&amp;"生成成长"),4))/(VLOOKUP(CL$72,INDIRECT($C$5&amp;"生成成长"),5))*(VLOOKUP($B$5,标准坦克设计!$B$24:$U$30,MATCH("对"&amp;LEFT($C$5,2)&amp;"输出",标准坦克设计!$B$23:$U$23,0)))*(VLOOKUP($B174,INDIRECT($B$5&amp;"生成成长"),3))*(VLOOKUP($B$5,标准坦克设计!$B$14:$K$20,9)/30))</f>
        <v>7.6020635298600032</v>
      </c>
      <c r="CM174" s="172">
        <f ca="1">(VLOOKUP(CM$72,INDIRECT($C$5&amp;"生成成长"),2))/((VLOOKUP($B174,INDIRECT($B$5&amp;"生成成长"),4))/(VLOOKUP(CM$72,INDIRECT($C$5&amp;"生成成长"),5))*(VLOOKUP($B$5,标准坦克设计!$B$24:$U$30,MATCH("对"&amp;LEFT($C$5,2)&amp;"输出",标准坦克设计!$B$23:$U$23,0)))*(VLOOKUP($B174,INDIRECT($B$5&amp;"生成成长"),3))*(VLOOKUP($B$5,标准坦克设计!$B$14:$K$20,9)/30))</f>
        <v>8.1004298174574831</v>
      </c>
      <c r="CN174" s="172">
        <f ca="1">(VLOOKUP(CN$72,INDIRECT($C$5&amp;"生成成长"),2))/((VLOOKUP($B174,INDIRECT($B$5&amp;"生成成长"),4))/(VLOOKUP(CN$72,INDIRECT($C$5&amp;"生成成长"),5))*(VLOOKUP($B$5,标准坦克设计!$B$24:$U$30,MATCH("对"&amp;LEFT($C$5,2)&amp;"输出",标准坦克设计!$B$23:$U$23,0)))*(VLOOKUP($B174,INDIRECT($B$5&amp;"生成成长"),3))*(VLOOKUP($B$5,标准坦克设计!$B$14:$K$20,9)/30))</f>
        <v>8.6146172570421893</v>
      </c>
      <c r="CO174" s="172">
        <f ca="1">(VLOOKUP(CO$72,INDIRECT($C$5&amp;"生成成长"),2))/((VLOOKUP($B174,INDIRECT($B$5&amp;"生成成长"),4))/(VLOOKUP(CO$72,INDIRECT($C$5&amp;"生成成长"),5))*(VLOOKUP($B$5,标准坦克设计!$B$24:$U$30,MATCH("对"&amp;LEFT($C$5,2)&amp;"输出",标准坦克设计!$B$23:$U$23,0)))*(VLOOKUP($B174,INDIRECT($B$5&amp;"生成成长"),3))*(VLOOKUP($B$5,标准坦克设计!$B$14:$K$20,9)/30))</f>
        <v>3.8604264615431858</v>
      </c>
      <c r="CP174" s="172">
        <f ca="1">(VLOOKUP(CP$72,INDIRECT($C$5&amp;"生成成长"),2))/((VLOOKUP($B174,INDIRECT($B$5&amp;"生成成长"),4))/(VLOOKUP(CP$72,INDIRECT($C$5&amp;"生成成长"),5))*(VLOOKUP($B$5,标准坦克设计!$B$24:$U$30,MATCH("对"&amp;LEFT($C$5,2)&amp;"输出",标准坦克设计!$B$23:$U$23,0)))*(VLOOKUP($B174,INDIRECT($B$5&amp;"生成成长"),3))*(VLOOKUP($B$5,标准坦克设计!$B$14:$K$20,9)/30))</f>
        <v>4.2178406677999662</v>
      </c>
      <c r="CQ174" s="172">
        <f ca="1">(VLOOKUP(CQ$72,INDIRECT($C$5&amp;"生成成长"),2))/((VLOOKUP($B174,INDIRECT($B$5&amp;"生成成长"),4))/(VLOOKUP(CQ$72,INDIRECT($C$5&amp;"生成成长"),5))*(VLOOKUP($B$5,标准坦克设计!$B$24:$U$30,MATCH("对"&amp;LEFT($C$5,2)&amp;"输出",标准坦克设计!$B$23:$U$23,0)))*(VLOOKUP($B174,INDIRECT($B$5&amp;"生成成长"),3))*(VLOOKUP($B$5,标准坦克设计!$B$14:$K$20,9)/30))</f>
        <v>4.591076026043968</v>
      </c>
      <c r="CR174" s="172">
        <f ca="1">(VLOOKUP(CR$72,INDIRECT($C$5&amp;"生成成长"),2))/((VLOOKUP($B174,INDIRECT($B$5&amp;"生成成长"),4))/(VLOOKUP(CR$72,INDIRECT($C$5&amp;"生成成长"),5))*(VLOOKUP($B$5,标准坦克设计!$B$24:$U$30,MATCH("对"&amp;LEFT($C$5,2)&amp;"输出",标准坦克设计!$B$23:$U$23,0)))*(VLOOKUP($B174,INDIRECT($B$5&amp;"生成成长"),3))*(VLOOKUP($B$5,标准坦克设计!$B$14:$K$20,9)/30))</f>
        <v>4.9801325362751907</v>
      </c>
      <c r="CS174" s="172">
        <f ca="1">(VLOOKUP(CS$72,INDIRECT($C$5&amp;"生成成长"),2))/((VLOOKUP($B174,INDIRECT($B$5&amp;"生成成长"),4))/(VLOOKUP(CS$72,INDIRECT($C$5&amp;"生成成长"),5))*(VLOOKUP($B$5,标准坦克设计!$B$24:$U$30,MATCH("对"&amp;LEFT($C$5,2)&amp;"输出",标准坦克设计!$B$23:$U$23,0)))*(VLOOKUP($B174,INDIRECT($B$5&amp;"生成成长"),3))*(VLOOKUP($B$5,标准坦克设计!$B$14:$K$20,9)/30))</f>
        <v>5.3850101984936369</v>
      </c>
      <c r="CT174" s="172">
        <f ca="1">(VLOOKUP(CT$72,INDIRECT($C$5&amp;"生成成长"),2))/((VLOOKUP($B174,INDIRECT($B$5&amp;"生成成长"),4))/(VLOOKUP(CT$72,INDIRECT($C$5&amp;"生成成长"),5))*(VLOOKUP($B$5,标准坦克设计!$B$24:$U$30,MATCH("对"&amp;LEFT($C$5,2)&amp;"输出",标准坦克设计!$B$23:$U$23,0)))*(VLOOKUP($B174,INDIRECT($B$5&amp;"生成成长"),3))*(VLOOKUP($B$5,标准坦克设计!$B$14:$K$20,9)/30))</f>
        <v>5.8057090126993032</v>
      </c>
      <c r="CU174" s="172">
        <f ca="1">(VLOOKUP(CU$72,INDIRECT($C$5&amp;"生成成长"),2))/((VLOOKUP($B174,INDIRECT($B$5&amp;"生成成长"),4))/(VLOOKUP(CU$72,INDIRECT($C$5&amp;"生成成长"),5))*(VLOOKUP($B$5,标准坦克设计!$B$24:$U$30,MATCH("对"&amp;LEFT($C$5,2)&amp;"输出",标准坦克设计!$B$23:$U$23,0)))*(VLOOKUP($B174,INDIRECT($B$5&amp;"生成成长"),3))*(VLOOKUP($B$5,标准坦克设计!$B$14:$K$20,9)/30))</f>
        <v>6.2422289788921921</v>
      </c>
      <c r="CV174" s="172">
        <f ca="1">(VLOOKUP(CV$72,INDIRECT($C$5&amp;"生成成长"),2))/((VLOOKUP($B174,INDIRECT($B$5&amp;"生成成长"),4))/(VLOOKUP(CV$72,INDIRECT($C$5&amp;"生成成长"),5))*(VLOOKUP($B$5,标准坦克设计!$B$24:$U$30,MATCH("对"&amp;LEFT($C$5,2)&amp;"输出",标准坦克设计!$B$23:$U$23,0)))*(VLOOKUP($B174,INDIRECT($B$5&amp;"生成成长"),3))*(VLOOKUP($B$5,标准坦克设计!$B$14:$K$20,9)/30))</f>
        <v>6.6945700970723001</v>
      </c>
      <c r="CW174" s="172">
        <f ca="1">(VLOOKUP(CW$72,INDIRECT($C$5&amp;"生成成长"),2))/((VLOOKUP($B174,INDIRECT($B$5&amp;"生成成长"),4))/(VLOOKUP(CW$72,INDIRECT($C$5&amp;"生成成长"),5))*(VLOOKUP($B$5,标准坦克设计!$B$24:$U$30,MATCH("对"&amp;LEFT($C$5,2)&amp;"输出",标准坦克设计!$B$23:$U$23,0)))*(VLOOKUP($B174,INDIRECT($B$5&amp;"生成成长"),3))*(VLOOKUP($B$5,标准坦克设计!$B$14:$K$20,9)/30))</f>
        <v>7.1627323672396335</v>
      </c>
      <c r="CX174" s="172">
        <f ca="1">(VLOOKUP(CX$72,INDIRECT($C$5&amp;"生成成长"),2))/((VLOOKUP($B174,INDIRECT($B$5&amp;"生成成长"),4))/(VLOOKUP(CX$72,INDIRECT($C$5&amp;"生成成长"),5))*(VLOOKUP($B$5,标准坦克设计!$B$24:$U$30,MATCH("对"&amp;LEFT($C$5,2)&amp;"输出",标准坦克设计!$B$23:$U$23,0)))*(VLOOKUP($B174,INDIRECT($B$5&amp;"生成成长"),3))*(VLOOKUP($B$5,标准坦克设计!$B$14:$K$20,9)/30))</f>
        <v>7.6467157893941859</v>
      </c>
      <c r="CY174" s="172">
        <f ca="1">(VLOOKUP(CY$72,INDIRECT($C$5&amp;"生成成长"),2))/((VLOOKUP($B174,INDIRECT($B$5&amp;"生成成长"),4))/(VLOOKUP(CY$72,INDIRECT($C$5&amp;"生成成长"),5))*(VLOOKUP($B$5,标准坦克设计!$B$24:$U$30,MATCH("对"&amp;LEFT($C$5,2)&amp;"输出",标准坦克设计!$B$23:$U$23,0)))*(VLOOKUP($B174,INDIRECT($B$5&amp;"生成成长"),3))*(VLOOKUP($B$5,标准坦克设计!$B$14:$K$20,9)/30))</f>
        <v>8.1465203635359611</v>
      </c>
      <c r="CZ174" s="172">
        <f ca="1">(VLOOKUP(CZ$72,INDIRECT($C$5&amp;"生成成长"),2))/((VLOOKUP($B174,INDIRECT($B$5&amp;"生成成长"),4))/(VLOOKUP(CZ$72,INDIRECT($C$5&amp;"生成成长"),5))*(VLOOKUP($B$5,标准坦克设计!$B$24:$U$30,MATCH("对"&amp;LEFT($C$5,2)&amp;"输出",标准坦克设计!$B$23:$U$23,0)))*(VLOOKUP($B174,INDIRECT($B$5&amp;"生成成长"),3))*(VLOOKUP($B$5,标准坦克设计!$B$14:$K$20,9)/30))</f>
        <v>8.662146089664958</v>
      </c>
      <c r="DA174" s="172">
        <f ca="1">(VLOOKUP(DA$72,INDIRECT($C$5&amp;"生成成长"),2))/((VLOOKUP($B174,INDIRECT($B$5&amp;"生成成长"),4))/(VLOOKUP(DA$72,INDIRECT($C$5&amp;"生成成长"),5))*(VLOOKUP($B$5,标准坦克设计!$B$24:$U$30,MATCH("对"&amp;LEFT($C$5,2)&amp;"输出",标准坦克设计!$B$23:$U$23,0)))*(VLOOKUP($B174,INDIRECT($B$5&amp;"生成成长"),3))*(VLOOKUP($B$5,标准坦克设计!$B$14:$K$20,9)/30))</f>
        <v>9.193592967781175</v>
      </c>
      <c r="DB174" s="172">
        <f ca="1">(VLOOKUP(DB$72,INDIRECT($C$5&amp;"生成成长"),2))/((VLOOKUP($B174,INDIRECT($B$5&amp;"生成成长"),4))/(VLOOKUP(DB$72,INDIRECT($C$5&amp;"生成成长"),5))*(VLOOKUP($B$5,标准坦克设计!$B$24:$U$30,MATCH("对"&amp;LEFT($C$5,2)&amp;"输出",标准坦克设计!$B$23:$U$23,0)))*(VLOOKUP($B174,INDIRECT($B$5&amp;"生成成长"),3))*(VLOOKUP($B$5,标准坦克设计!$B$14:$K$20,9)/30))</f>
        <v>9.7408609978846137</v>
      </c>
      <c r="DC174" s="172">
        <f ca="1">(VLOOKUP(DC$72,INDIRECT($C$5&amp;"生成成长"),2))/((VLOOKUP($B174,INDIRECT($B$5&amp;"生成成长"),4))/(VLOOKUP(DC$72,INDIRECT($C$5&amp;"生成成长"),5))*(VLOOKUP($B$5,标准坦克设计!$B$24:$U$30,MATCH("对"&amp;LEFT($C$5,2)&amp;"输出",标准坦克设计!$B$23:$U$23,0)))*(VLOOKUP($B174,INDIRECT($B$5&amp;"生成成长"),3))*(VLOOKUP($B$5,标准坦克设计!$B$14:$K$20,9)/30))</f>
        <v>10.355924625553133</v>
      </c>
      <c r="DD174" s="172">
        <f ca="1">(VLOOKUP(DD$72,INDIRECT($C$5&amp;"生成成长"),2))/((VLOOKUP($B174,INDIRECT($B$5&amp;"生成成长"),4))/(VLOOKUP(DD$72,INDIRECT($C$5&amp;"生成成长"),5))*(VLOOKUP($B$5,标准坦克设计!$B$24:$U$30,MATCH("对"&amp;LEFT($C$5,2)&amp;"输出",标准坦克设计!$B$23:$U$23,0)))*(VLOOKUP($B174,INDIRECT($B$5&amp;"生成成长"),3))*(VLOOKUP($B$5,标准坦克设计!$B$14:$K$20,9)/30))</f>
        <v>10.989816731619666</v>
      </c>
      <c r="DE174" s="172">
        <f ca="1">(VLOOKUP(DE$72,INDIRECT($C$5&amp;"生成成长"),2))/((VLOOKUP($B174,INDIRECT($B$5&amp;"生成成长"),4))/(VLOOKUP(DE$72,INDIRECT($C$5&amp;"生成成长"),5))*(VLOOKUP($B$5,标准坦克设计!$B$24:$U$30,MATCH("对"&amp;LEFT($C$5,2)&amp;"输出",标准坦克设计!$B$23:$U$23,0)))*(VLOOKUP($B174,INDIRECT($B$5&amp;"生成成长"),3))*(VLOOKUP($B$5,标准坦克设计!$B$14:$K$20,9)/30))</f>
        <v>11.642537316084216</v>
      </c>
      <c r="DF174" s="172">
        <f ca="1">(VLOOKUP(DF$72,INDIRECT($C$5&amp;"生成成长"),2))/((VLOOKUP($B174,INDIRECT($B$5&amp;"生成成长"),4))/(VLOOKUP(DF$72,INDIRECT($C$5&amp;"生成成长"),5))*(VLOOKUP($B$5,标准坦克设计!$B$24:$U$30,MATCH("对"&amp;LEFT($C$5,2)&amp;"输出",标准坦克设计!$B$23:$U$23,0)))*(VLOOKUP($B174,INDIRECT($B$5&amp;"生成成长"),3))*(VLOOKUP($B$5,标准坦克设计!$B$14:$K$20,9)/30))</f>
        <v>12.314086378946779</v>
      </c>
      <c r="DG174" s="172">
        <f ca="1">(VLOOKUP(DG$72,INDIRECT($C$5&amp;"生成成长"),2))/((VLOOKUP($B174,INDIRECT($B$5&amp;"生成成长"),4))/(VLOOKUP(DG$72,INDIRECT($C$5&amp;"生成成长"),5))*(VLOOKUP($B$5,标准坦克设计!$B$24:$U$30,MATCH("对"&amp;LEFT($C$5,2)&amp;"输出",标准坦克设计!$B$23:$U$23,0)))*(VLOOKUP($B174,INDIRECT($B$5&amp;"生成成长"),3))*(VLOOKUP($B$5,标准坦克设计!$B$14:$K$20,9)/30))</f>
        <v>13.00446392020736</v>
      </c>
      <c r="DH174" s="172">
        <f ca="1">(VLOOKUP(DH$72,INDIRECT($C$5&amp;"生成成长"),2))/((VLOOKUP($B174,INDIRECT($B$5&amp;"生成成长"),4))/(VLOOKUP(DH$72,INDIRECT($C$5&amp;"生成成长"),5))*(VLOOKUP($B$5,标准坦克设计!$B$24:$U$30,MATCH("对"&amp;LEFT($C$5,2)&amp;"输出",标准坦克设计!$B$23:$U$23,0)))*(VLOOKUP($B174,INDIRECT($B$5&amp;"生成成长"),3))*(VLOOKUP($B$5,标准坦克设计!$B$14:$K$20,9)/30))</f>
        <v>13.713669939865957</v>
      </c>
      <c r="DI174" s="172">
        <f ca="1">(VLOOKUP(DI$72,INDIRECT($C$5&amp;"生成成长"),2))/((VLOOKUP($B174,INDIRECT($B$5&amp;"生成成长"),4))/(VLOOKUP(DI$72,INDIRECT($C$5&amp;"生成成长"),5))*(VLOOKUP($B$5,标准坦克设计!$B$24:$U$30,MATCH("对"&amp;LEFT($C$5,2)&amp;"输出",标准坦克设计!$B$23:$U$23,0)))*(VLOOKUP($B174,INDIRECT($B$5&amp;"生成成长"),3))*(VLOOKUP($B$5,标准坦克设计!$B$14:$K$20,9)/30))</f>
        <v>14.441704437922569</v>
      </c>
      <c r="DJ174" s="172">
        <f ca="1">(VLOOKUP(DJ$72,INDIRECT($C$5&amp;"生成成长"),2))/((VLOOKUP($B174,INDIRECT($B$5&amp;"生成成长"),4))/(VLOOKUP(DJ$72,INDIRECT($C$5&amp;"生成成长"),5))*(VLOOKUP($B$5,标准坦克设计!$B$24:$U$30,MATCH("对"&amp;LEFT($C$5,2)&amp;"输出",标准坦克设计!$B$23:$U$23,0)))*(VLOOKUP($B174,INDIRECT($B$5&amp;"生成成长"),3))*(VLOOKUP($B$5,标准坦克设计!$B$14:$K$20,9)/30))</f>
        <v>1.4514272531748258</v>
      </c>
      <c r="DK174" s="172">
        <f ca="1">(VLOOKUP(DK$72,INDIRECT($C$5&amp;"生成成长"),2))/((VLOOKUP($B174,INDIRECT($B$5&amp;"生成成长"),4))/(VLOOKUP(DK$72,INDIRECT($C$5&amp;"生成成长"),5))*(VLOOKUP($B$5,标准坦克设计!$B$24:$U$30,MATCH("对"&amp;LEFT($C$5,2)&amp;"输出",标准坦克设计!$B$23:$U$23,0)))*(VLOOKUP($B174,INDIRECT($B$5&amp;"生成成长"),3))*(VLOOKUP($B$5,标准坦克设计!$B$14:$K$20,9)/30))</f>
        <v>1.6320629678057903</v>
      </c>
      <c r="DL174" s="172">
        <f ca="1">(VLOOKUP(DL$72,INDIRECT($C$5&amp;"生成成长"),2))/((VLOOKUP($B174,INDIRECT($B$5&amp;"生成成长"),4))/(VLOOKUP(DL$72,INDIRECT($C$5&amp;"生成成长"),5))*(VLOOKUP($B$5,标准坦克设计!$B$24:$U$30,MATCH("对"&amp;LEFT($C$5,2)&amp;"输出",标准坦克设计!$B$23:$U$23,0)))*(VLOOKUP($B174,INDIRECT($B$5&amp;"生成成长"),3))*(VLOOKUP($B$5,标准坦克设计!$B$14:$K$20,9)/30))</f>
        <v>1.8232897015356389</v>
      </c>
      <c r="DM174" s="172">
        <f ca="1">(VLOOKUP(DM$72,INDIRECT($C$5&amp;"生成成长"),2))/((VLOOKUP($B174,INDIRECT($B$5&amp;"生成成长"),4))/(VLOOKUP(DM$72,INDIRECT($C$5&amp;"生成成长"),5))*(VLOOKUP($B$5,标准坦克设计!$B$24:$U$30,MATCH("对"&amp;LEFT($C$5,2)&amp;"输出",标准坦克设计!$B$23:$U$23,0)))*(VLOOKUP($B174,INDIRECT($B$5&amp;"生成成长"),3))*(VLOOKUP($B$5,标准坦克设计!$B$14:$K$20,9)/30))</f>
        <v>2.0251074543643708</v>
      </c>
      <c r="DN174" s="172">
        <f ca="1">(VLOOKUP(DN$72,INDIRECT($C$5&amp;"生成成长"),2))/((VLOOKUP($B174,INDIRECT($B$5&amp;"生成成长"),4))/(VLOOKUP(DN$72,INDIRECT($C$5&amp;"生成成长"),5))*(VLOOKUP($B$5,标准坦克设计!$B$24:$U$30,MATCH("对"&amp;LEFT($C$5,2)&amp;"输出",标准坦克设计!$B$23:$U$23,0)))*(VLOOKUP($B174,INDIRECT($B$5&amp;"生成成长"),3))*(VLOOKUP($B$5,标准坦克设计!$B$14:$K$20,9)/30))</f>
        <v>2.2375162262919872</v>
      </c>
      <c r="DO174" s="172">
        <f ca="1">(VLOOKUP(DO$72,INDIRECT($C$5&amp;"生成成长"),2))/((VLOOKUP($B174,INDIRECT($B$5&amp;"生成成长"),4))/(VLOOKUP(DO$72,INDIRECT($C$5&amp;"生成成长"),5))*(VLOOKUP($B$5,标准坦克设计!$B$24:$U$30,MATCH("对"&amp;LEFT($C$5,2)&amp;"输出",标准坦克设计!$B$23:$U$23,0)))*(VLOOKUP($B174,INDIRECT($B$5&amp;"生成成长"),3))*(VLOOKUP($B$5,标准坦克设计!$B$14:$K$20,9)/30))</f>
        <v>2.4605160173184877</v>
      </c>
      <c r="DP174" s="172">
        <f ca="1">(VLOOKUP(DP$72,INDIRECT($C$5&amp;"生成成长"),2))/((VLOOKUP($B174,INDIRECT($B$5&amp;"生成成长"),4))/(VLOOKUP(DP$72,INDIRECT($C$5&amp;"生成成长"),5))*(VLOOKUP($B$5,标准坦克设计!$B$24:$U$30,MATCH("对"&amp;LEFT($C$5,2)&amp;"输出",标准坦克设计!$B$23:$U$23,0)))*(VLOOKUP($B174,INDIRECT($B$5&amp;"生成成长"),3))*(VLOOKUP($B$5,标准坦克设计!$B$14:$K$20,9)/30))</f>
        <v>2.6941068274438718</v>
      </c>
      <c r="DQ174" s="172">
        <f ca="1">(VLOOKUP(DQ$72,INDIRECT($C$5&amp;"生成成长"),2))/((VLOOKUP($B174,INDIRECT($B$5&amp;"生成成长"),4))/(VLOOKUP(DQ$72,INDIRECT($C$5&amp;"生成成长"),5))*(VLOOKUP($B$5,标准坦克设计!$B$24:$U$30,MATCH("对"&amp;LEFT($C$5,2)&amp;"输出",标准坦克设计!$B$23:$U$23,0)))*(VLOOKUP($B174,INDIRECT($B$5&amp;"生成成长"),3))*(VLOOKUP($B$5,标准坦克设计!$B$14:$K$20,9)/30))</f>
        <v>2.938288656668139</v>
      </c>
      <c r="DR174" s="172">
        <f ca="1">(VLOOKUP(DR$72,INDIRECT($C$5&amp;"生成成长"),2))/((VLOOKUP($B174,INDIRECT($B$5&amp;"生成成长"),4))/(VLOOKUP(DR$72,INDIRECT($C$5&amp;"生成成长"),5))*(VLOOKUP($B$5,标准坦克设计!$B$24:$U$30,MATCH("对"&amp;LEFT($C$5,2)&amp;"输出",标准坦克设计!$B$23:$U$23,0)))*(VLOOKUP($B174,INDIRECT($B$5&amp;"生成成长"),3))*(VLOOKUP($B$5,标准坦克设计!$B$14:$K$20,9)/30))</f>
        <v>3.1930615049912925</v>
      </c>
      <c r="DS174" s="172">
        <f ca="1">(VLOOKUP(DS$72,INDIRECT($C$5&amp;"生成成长"),2))/((VLOOKUP($B174,INDIRECT($B$5&amp;"生成成长"),4))/(VLOOKUP(DS$72,INDIRECT($C$5&amp;"生成成长"),5))*(VLOOKUP($B$5,标准坦克设计!$B$24:$U$30,MATCH("对"&amp;LEFT($C$5,2)&amp;"输出",标准坦克设计!$B$23:$U$23,0)))*(VLOOKUP($B174,INDIRECT($B$5&amp;"生成成长"),3))*(VLOOKUP($B$5,标准坦克设计!$B$14:$K$20,9)/30))</f>
        <v>3.4584253724133278</v>
      </c>
      <c r="DT174" s="172">
        <f ca="1">(VLOOKUP(DT$72,INDIRECT($C$5&amp;"生成成长"),2))/((VLOOKUP($B174,INDIRECT($B$5&amp;"生成成长"),4))/(VLOOKUP(DT$72,INDIRECT($C$5&amp;"生成成长"),5))*(VLOOKUP($B$5,标准坦克设计!$B$24:$U$30,MATCH("对"&amp;LEFT($C$5,2)&amp;"输出",标准坦克设计!$B$23:$U$23,0)))*(VLOOKUP($B174,INDIRECT($B$5&amp;"生成成长"),3))*(VLOOKUP($B$5,标准坦克设计!$B$14:$K$20,9)/30))</f>
        <v>3.7971418535942996</v>
      </c>
      <c r="DU174" s="172">
        <f ca="1">(VLOOKUP(DU$72,INDIRECT($C$5&amp;"生成成长"),2))/((VLOOKUP($B174,INDIRECT($B$5&amp;"生成成长"),4))/(VLOOKUP(DU$72,INDIRECT($C$5&amp;"生成成长"),5))*(VLOOKUP($B$5,标准坦克设计!$B$24:$U$30,MATCH("对"&amp;LEFT($C$5,2)&amp;"输出",标准坦克设计!$B$23:$U$23,0)))*(VLOOKUP($B174,INDIRECT($B$5&amp;"生成成长"),3))*(VLOOKUP($B$5,标准坦克设计!$B$14:$K$20,9)/30))</f>
        <v>4.151679486762494</v>
      </c>
      <c r="DV174" s="172">
        <f ca="1">(VLOOKUP(DV$72,INDIRECT($C$5&amp;"生成成长"),2))/((VLOOKUP($B174,INDIRECT($B$5&amp;"生成成长"),4))/(VLOOKUP(DV$72,INDIRECT($C$5&amp;"生成成长"),5))*(VLOOKUP($B$5,标准坦克设计!$B$24:$U$30,MATCH("对"&amp;LEFT($C$5,2)&amp;"输出",标准坦克设计!$B$23:$U$23,0)))*(VLOOKUP($B174,INDIRECT($B$5&amp;"生成成长"),3))*(VLOOKUP($B$5,标准坦克设计!$B$14:$K$20,9)/30))</f>
        <v>4.5220382719179097</v>
      </c>
      <c r="DW174" s="172">
        <f ca="1">(VLOOKUP(DW$72,INDIRECT($C$5&amp;"生成成长"),2))/((VLOOKUP($B174,INDIRECT($B$5&amp;"生成成长"),4))/(VLOOKUP(DW$72,INDIRECT($C$5&amp;"生成成长"),5))*(VLOOKUP($B$5,标准坦克设计!$B$24:$U$30,MATCH("对"&amp;LEFT($C$5,2)&amp;"输出",标准坦克设计!$B$23:$U$23,0)))*(VLOOKUP($B174,INDIRECT($B$5&amp;"生成成长"),3))*(VLOOKUP($B$5,标准坦克设计!$B$14:$K$20,9)/30))</f>
        <v>4.9082182090605473</v>
      </c>
      <c r="DX174" s="172">
        <f ca="1">(VLOOKUP(DX$72,INDIRECT($C$5&amp;"生成成长"),2))/((VLOOKUP($B174,INDIRECT($B$5&amp;"生成成长"),4))/(VLOOKUP(DX$72,INDIRECT($C$5&amp;"生成成长"),5))*(VLOOKUP($B$5,标准坦克设计!$B$24:$U$30,MATCH("对"&amp;LEFT($C$5,2)&amp;"输出",标准坦克设计!$B$23:$U$23,0)))*(VLOOKUP($B174,INDIRECT($B$5&amp;"生成成长"),3))*(VLOOKUP($B$5,标准坦克设计!$B$14:$K$20,9)/30))</f>
        <v>5.3102192981904075</v>
      </c>
      <c r="DY174" s="172">
        <f ca="1">(VLOOKUP(DY$72,INDIRECT($C$5&amp;"生成成长"),2))/((VLOOKUP($B174,INDIRECT($B$5&amp;"生成成长"),4))/(VLOOKUP(DY$72,INDIRECT($C$5&amp;"生成成长"),5))*(VLOOKUP($B$5,标准坦克设计!$B$24:$U$30,MATCH("对"&amp;LEFT($C$5,2)&amp;"输出",标准坦克设计!$B$23:$U$23,0)))*(VLOOKUP($B174,INDIRECT($B$5&amp;"生成成长"),3))*(VLOOKUP($B$5,标准坦克设计!$B$14:$K$20,9)/30))</f>
        <v>2.3850059737431111</v>
      </c>
      <c r="DZ174" s="172">
        <f ca="1">(VLOOKUP(DZ$72,INDIRECT($C$5&amp;"生成成长"),2))/((VLOOKUP($B174,INDIRECT($B$5&amp;"生成成长"),4))/(VLOOKUP(DZ$72,INDIRECT($C$5&amp;"生成成长"),5))*(VLOOKUP($B$5,标准坦克设计!$B$24:$U$30,MATCH("对"&amp;LEFT($C$5,2)&amp;"输出",标准坦克设计!$B$23:$U$23,0)))*(VLOOKUP($B174,INDIRECT($B$5&amp;"生成成长"),3))*(VLOOKUP($B$5,标准坦克设计!$B$14:$K$20,9)/30))</f>
        <v>2.6412824852716601</v>
      </c>
      <c r="EA174" s="172">
        <f ca="1">(VLOOKUP(EA$72,INDIRECT($C$5&amp;"生成成长"),2))/((VLOOKUP($B174,INDIRECT($B$5&amp;"生成成长"),4))/(VLOOKUP(EA$72,INDIRECT($C$5&amp;"生成成长"),5))*(VLOOKUP($B$5,标准坦克设计!$B$24:$U$30,MATCH("对"&amp;LEFT($C$5,2)&amp;"输出",标准坦克设计!$B$23:$U$23,0)))*(VLOOKUP($B174,INDIRECT($B$5&amp;"生成成长"),3))*(VLOOKUP($B$5,标准坦克设计!$B$14:$K$20,9)/30))</f>
        <v>2.9106343290210539</v>
      </c>
      <c r="EB174" s="172">
        <f ca="1">(VLOOKUP(EB$72,INDIRECT($C$5&amp;"生成成长"),2))/((VLOOKUP($B174,INDIRECT($B$5&amp;"生成成长"),4))/(VLOOKUP(EB$72,INDIRECT($C$5&amp;"生成成长"),5))*(VLOOKUP($B$5,标准坦克设计!$B$24:$U$30,MATCH("对"&amp;LEFT($C$5,2)&amp;"输出",标准坦克设计!$B$23:$U$23,0)))*(VLOOKUP($B174,INDIRECT($B$5&amp;"生成成长"),3))*(VLOOKUP($B$5,标准坦克设计!$B$14:$K$20,9)/30))</f>
        <v>3.1930615049912925</v>
      </c>
      <c r="EC174" s="172">
        <f ca="1">(VLOOKUP(EC$72,INDIRECT($C$5&amp;"生成成长"),2))/((VLOOKUP($B174,INDIRECT($B$5&amp;"生成成长"),4))/(VLOOKUP(EC$72,INDIRECT($C$5&amp;"生成成长"),5))*(VLOOKUP($B$5,标准坦克设计!$B$24:$U$30,MATCH("对"&amp;LEFT($C$5,2)&amp;"输出",标准坦克设计!$B$23:$U$23,0)))*(VLOOKUP($B174,INDIRECT($B$5&amp;"生成成长"),3))*(VLOOKUP($B$5,标准坦克设计!$B$14:$K$20,9)/30))</f>
        <v>3.4885640131823736</v>
      </c>
      <c r="ED174" s="172">
        <f ca="1">(VLOOKUP(ED$72,INDIRECT($C$5&amp;"生成成长"),2))/((VLOOKUP($B174,INDIRECT($B$5&amp;"生成成长"),4))/(VLOOKUP(ED$72,INDIRECT($C$5&amp;"生成成长"),5))*(VLOOKUP($B$5,标准坦克设计!$B$24:$U$30,MATCH("对"&amp;LEFT($C$5,2)&amp;"输出",标准坦克设计!$B$23:$U$23,0)))*(VLOOKUP($B174,INDIRECT($B$5&amp;"生成成长"),3))*(VLOOKUP($B$5,标准坦克设计!$B$14:$K$20,9)/30))</f>
        <v>3.7971418535942996</v>
      </c>
      <c r="EE174" s="172">
        <f ca="1">(VLOOKUP(EE$72,INDIRECT($C$5&amp;"生成成长"),2))/((VLOOKUP($B174,INDIRECT($B$5&amp;"生成成长"),4))/(VLOOKUP(EE$72,INDIRECT($C$5&amp;"生成成长"),5))*(VLOOKUP($B$5,标准坦克设计!$B$24:$U$30,MATCH("对"&amp;LEFT($C$5,2)&amp;"输出",标准坦克设计!$B$23:$U$23,0)))*(VLOOKUP($B174,INDIRECT($B$5&amp;"生成成长"),3))*(VLOOKUP($B$5,标准坦克设计!$B$14:$K$20,9)/30))</f>
        <v>4.1187950262270707</v>
      </c>
      <c r="EF174" s="172">
        <f ca="1">(VLOOKUP(EF$72,INDIRECT($C$5&amp;"生成成长"),2))/((VLOOKUP($B174,INDIRECT($B$5&amp;"生成成长"),4))/(VLOOKUP(EF$72,INDIRECT($C$5&amp;"生成成长"),5))*(VLOOKUP($B$5,标准坦克设计!$B$24:$U$30,MATCH("对"&amp;LEFT($C$5,2)&amp;"输出",标准坦克设计!$B$23:$U$23,0)))*(VLOOKUP($B174,INDIRECT($B$5&amp;"生成成长"),3))*(VLOOKUP($B$5,标准坦克设计!$B$14:$K$20,9)/30))</f>
        <v>4.4535235310806858</v>
      </c>
      <c r="EG174" s="172">
        <f ca="1">(VLOOKUP(EG$72,INDIRECT($C$5&amp;"生成成长"),2))/((VLOOKUP($B174,INDIRECT($B$5&amp;"生成成长"),4))/(VLOOKUP(EG$72,INDIRECT($C$5&amp;"生成成长"),5))*(VLOOKUP($B$5,标准坦克设计!$B$24:$U$30,MATCH("对"&amp;LEFT($C$5,2)&amp;"输出",标准坦克设计!$B$23:$U$23,0)))*(VLOOKUP($B174,INDIRECT($B$5&amp;"生成成长"),3))*(VLOOKUP($B$5,标准坦克设计!$B$14:$K$20,9)/30))</f>
        <v>4.8013273681551452</v>
      </c>
      <c r="EH174" s="172">
        <f ca="1">(VLOOKUP(EH$72,INDIRECT($C$5&amp;"生成成长"),2))/((VLOOKUP($B174,INDIRECT($B$5&amp;"生成成长"),4))/(VLOOKUP(EH$72,INDIRECT($C$5&amp;"生成成长"),5))*(VLOOKUP($B$5,标准坦克设计!$B$24:$U$30,MATCH("对"&amp;LEFT($C$5,2)&amp;"输出",标准坦克设计!$B$23:$U$23,0)))*(VLOOKUP($B174,INDIRECT($B$5&amp;"生成成长"),3))*(VLOOKUP($B$5,标准坦克设计!$B$14:$K$20,9)/30))</f>
        <v>5.1622065374504489</v>
      </c>
      <c r="EI174" s="172">
        <f ca="1">(VLOOKUP(EI$72,INDIRECT($C$5&amp;"生成成长"),2))/((VLOOKUP($B174,INDIRECT($B$5&amp;"生成成长"),4))/(VLOOKUP(EI$72,INDIRECT($C$5&amp;"生成成长"),5))*(VLOOKUP($B$5,标准坦克设计!$B$24:$U$30,MATCH("对"&amp;LEFT($C$5,2)&amp;"输出",标准坦克设计!$B$23:$U$23,0)))*(VLOOKUP($B174,INDIRECT($B$5&amp;"生成成长"),3))*(VLOOKUP($B$5,标准坦克设计!$B$14:$K$20,9)/30))</f>
        <v>5.5361610389665969</v>
      </c>
      <c r="EJ174" s="172">
        <f ca="1">(VLOOKUP(EJ$72,INDIRECT($C$5&amp;"生成成长"),2))/((VLOOKUP($B174,INDIRECT($B$5&amp;"生成成长"),4))/(VLOOKUP(EJ$72,INDIRECT($C$5&amp;"生成成长"),5))*(VLOOKUP($B$5,标准坦克设计!$B$24:$U$30,MATCH("对"&amp;LEFT($C$5,2)&amp;"输出",标准坦克设计!$B$23:$U$23,0)))*(VLOOKUP($B174,INDIRECT($B$5&amp;"生成成长"),3))*(VLOOKUP($B$5,标准坦克设计!$B$14:$K$20,9)/30))</f>
        <v>5.9231908727035902</v>
      </c>
      <c r="EK174" s="172">
        <f ca="1">(VLOOKUP(EK$72,INDIRECT($C$5&amp;"生成成长"),2))/((VLOOKUP($B174,INDIRECT($B$5&amp;"生成成长"),4))/(VLOOKUP(EK$72,INDIRECT($C$5&amp;"生成成长"),5))*(VLOOKUP($B$5,标准坦克设计!$B$24:$U$30,MATCH("对"&amp;LEFT($C$5,2)&amp;"输出",标准坦克设计!$B$23:$U$23,0)))*(VLOOKUP($B174,INDIRECT($B$5&amp;"生成成长"),3))*(VLOOKUP($B$5,标准坦克设计!$B$14:$K$20,9)/30))</f>
        <v>6.4048861117194944</v>
      </c>
      <c r="EL174" s="172">
        <f ca="1">(VLOOKUP(EL$72,INDIRECT($C$5&amp;"生成成长"),2))/((VLOOKUP($B174,INDIRECT($B$5&amp;"生成成长"),4))/(VLOOKUP(EL$72,INDIRECT($C$5&amp;"生成成长"),5))*(VLOOKUP($B$5,标准坦克设计!$B$24:$U$30,MATCH("对"&amp;LEFT($C$5,2)&amp;"输出",标准坦克设计!$B$23:$U$23,0)))*(VLOOKUP($B174,INDIRECT($B$5&amp;"生成成长"),3))*(VLOOKUP($B$5,标准坦克设计!$B$14:$K$20,9)/30))</f>
        <v>6.9054098291334141</v>
      </c>
      <c r="EM174" s="172">
        <f ca="1">(VLOOKUP(EM$72,INDIRECT($C$5&amp;"生成成长"),2))/((VLOOKUP($B174,INDIRECT($B$5&amp;"生成成长"),4))/(VLOOKUP(EM$72,INDIRECT($C$5&amp;"生成成长"),5))*(VLOOKUP($B$5,标准坦克设计!$B$24:$U$30,MATCH("对"&amp;LEFT($C$5,2)&amp;"输出",标准坦克设计!$B$23:$U$23,0)))*(VLOOKUP($B174,INDIRECT($B$5&amp;"生成成长"),3))*(VLOOKUP($B$5,标准坦克设计!$B$14:$K$20,9)/30))</f>
        <v>7.4247620249453536</v>
      </c>
      <c r="EN174" s="172">
        <f ca="1">(VLOOKUP(EN$72,INDIRECT($C$5&amp;"生成成长"),2))/((VLOOKUP($B174,INDIRECT($B$5&amp;"生成成长"),4))/(VLOOKUP(EN$72,INDIRECT($C$5&amp;"生成成长"),5))*(VLOOKUP($B$5,标准坦克设计!$B$24:$U$30,MATCH("对"&amp;LEFT($C$5,2)&amp;"输出",标准坦克设计!$B$23:$U$23,0)))*(VLOOKUP($B174,INDIRECT($B$5&amp;"生成成长"),3))*(VLOOKUP($B$5,标准坦克设计!$B$14:$K$20,9)/30))</f>
        <v>7.9629426991553069</v>
      </c>
      <c r="EO174" s="172">
        <f ca="1">(VLOOKUP(EO$72,INDIRECT($C$5&amp;"生成成长"),2))/((VLOOKUP($B174,INDIRECT($B$5&amp;"生成成长"),4))/(VLOOKUP(EO$72,INDIRECT($C$5&amp;"生成成长"),5))*(VLOOKUP($B$5,标准坦克设计!$B$24:$U$30,MATCH("对"&amp;LEFT($C$5,2)&amp;"输出",标准坦克设计!$B$23:$U$23,0)))*(VLOOKUP($B174,INDIRECT($B$5&amp;"生成成长"),3))*(VLOOKUP($B$5,标准坦克设计!$B$14:$K$20,9)/30))</f>
        <v>8.5199518517632757</v>
      </c>
      <c r="EP174" s="172">
        <f ca="1">(VLOOKUP(EP$72,INDIRECT($C$5&amp;"生成成长"),2))/((VLOOKUP($B174,INDIRECT($B$5&amp;"生成成长"),4))/(VLOOKUP(EP$72,INDIRECT($C$5&amp;"生成成长"),5))*(VLOOKUP($B$5,标准坦克设计!$B$24:$U$30,MATCH("对"&amp;LEFT($C$5,2)&amp;"输出",标准坦克设计!$B$23:$U$23,0)))*(VLOOKUP($B174,INDIRECT($B$5&amp;"生成成长"),3))*(VLOOKUP($B$5,标准坦克设计!$B$14:$K$20,9)/30))</f>
        <v>9.0957894827692591</v>
      </c>
      <c r="EQ174" s="172">
        <f ca="1">(VLOOKUP(EQ$72,INDIRECT($C$5&amp;"生成成长"),2))/((VLOOKUP($B174,INDIRECT($B$5&amp;"生成成长"),4))/(VLOOKUP(EQ$72,INDIRECT($C$5&amp;"生成成长"),5))*(VLOOKUP($B$5,标准坦克设计!$B$24:$U$30,MATCH("对"&amp;LEFT($C$5,2)&amp;"输出",标准坦克设计!$B$23:$U$23,0)))*(VLOOKUP($B174,INDIRECT($B$5&amp;"生成成长"),3))*(VLOOKUP($B$5,标准坦克设计!$B$14:$K$20,9)/30))</f>
        <v>4.0209261645540506</v>
      </c>
      <c r="ER174" s="172">
        <f ca="1">(VLOOKUP(ER$72,INDIRECT($C$5&amp;"生成成长"),2))/((VLOOKUP($B174,INDIRECT($B$5&amp;"生成成长"),4))/(VLOOKUP(ER$72,INDIRECT($C$5&amp;"生成成长"),5))*(VLOOKUP($B$5,标准坦克设计!$B$24:$U$30,MATCH("对"&amp;LEFT($C$5,2)&amp;"输出",标准坦克设计!$B$23:$U$23,0)))*(VLOOKUP($B174,INDIRECT($B$5&amp;"生成成长"),3))*(VLOOKUP($B$5,标准坦克设计!$B$14:$K$20,9)/30))</f>
        <v>4.3855318035322943</v>
      </c>
      <c r="ES174" s="172">
        <f ca="1">(VLOOKUP(ES$72,INDIRECT($C$5&amp;"生成成长"),2))/((VLOOKUP($B174,INDIRECT($B$5&amp;"生成成长"),4))/(VLOOKUP(ES$72,INDIRECT($C$5&amp;"生成成长"),5))*(VLOOKUP($B$5,标准坦克设计!$B$24:$U$30,MATCH("对"&amp;LEFT($C$5,2)&amp;"输出",标准坦克设计!$B$23:$U$23,0)))*(VLOOKUP($B174,INDIRECT($B$5&amp;"生成成长"),3))*(VLOOKUP($B$5,标准坦克设计!$B$14:$K$20,9)/30))</f>
        <v>4.7659585944977607</v>
      </c>
      <c r="ET174" s="172">
        <f ca="1">(VLOOKUP(ET$72,INDIRECT($C$5&amp;"生成成长"),2))/((VLOOKUP($B174,INDIRECT($B$5&amp;"生成成长"),4))/(VLOOKUP(ET$72,INDIRECT($C$5&amp;"生成成长"),5))*(VLOOKUP($B$5,标准坦克设计!$B$24:$U$30,MATCH("对"&amp;LEFT($C$5,2)&amp;"输出",标准坦克设计!$B$23:$U$23,0)))*(VLOOKUP($B174,INDIRECT($B$5&amp;"生成成长"),3))*(VLOOKUP($B$5,标准坦克设计!$B$14:$K$20,9)/30))</f>
        <v>5.1622065374504489</v>
      </c>
      <c r="EU174" s="172">
        <f ca="1">(VLOOKUP(EU$72,INDIRECT($C$5&amp;"生成成长"),2))/((VLOOKUP($B174,INDIRECT($B$5&amp;"生成成长"),4))/(VLOOKUP(EU$72,INDIRECT($C$5&amp;"生成成长"),5))*(VLOOKUP($B$5,标准坦克设计!$B$24:$U$30,MATCH("对"&amp;LEFT($C$5,2)&amp;"输出",标准坦克设计!$B$23:$U$23,0)))*(VLOOKUP($B174,INDIRECT($B$5&amp;"生成成长"),3))*(VLOOKUP($B$5,标准坦克设计!$B$14:$K$20,9)/30))</f>
        <v>5.5742756323903579</v>
      </c>
      <c r="EV174" s="172">
        <f ca="1">(VLOOKUP(EV$72,INDIRECT($C$5&amp;"生成成长"),2))/((VLOOKUP($B174,INDIRECT($B$5&amp;"生成成长"),4))/(VLOOKUP(EV$72,INDIRECT($C$5&amp;"生成成长"),5))*(VLOOKUP($B$5,标准坦克设计!$B$24:$U$30,MATCH("对"&amp;LEFT($C$5,2)&amp;"输出",标准坦克设计!$B$23:$U$23,0)))*(VLOOKUP($B174,INDIRECT($B$5&amp;"生成成长"),3))*(VLOOKUP($B$5,标准坦克设计!$B$14:$K$20,9)/30))</f>
        <v>6.0021658793174879</v>
      </c>
      <c r="EW174" s="172">
        <f ca="1">(VLOOKUP(EW$72,INDIRECT($C$5&amp;"生成成长"),2))/((VLOOKUP($B174,INDIRECT($B$5&amp;"生成成长"),4))/(VLOOKUP(EW$72,INDIRECT($C$5&amp;"生成成长"),5))*(VLOOKUP($B$5,标准坦克设计!$B$24:$U$30,MATCH("对"&amp;LEFT($C$5,2)&amp;"输出",标准坦克设计!$B$23:$U$23,0)))*(VLOOKUP($B174,INDIRECT($B$5&amp;"生成成长"),3))*(VLOOKUP($B$5,标准坦克设计!$B$14:$K$20,9)/30))</f>
        <v>6.4458772782318414</v>
      </c>
      <c r="EX174" s="172">
        <f ca="1">(VLOOKUP(EX$72,INDIRECT($C$5&amp;"生成成长"),2))/((VLOOKUP($B174,INDIRECT($B$5&amp;"生成成长"),4))/(VLOOKUP(EX$72,INDIRECT($C$5&amp;"生成成长"),5))*(VLOOKUP($B$5,标准坦克设计!$B$24:$U$30,MATCH("对"&amp;LEFT($C$5,2)&amp;"输出",标准坦克设计!$B$23:$U$23,0)))*(VLOOKUP($B174,INDIRECT($B$5&amp;"生成成长"),3))*(VLOOKUP($B$5,标准坦克设计!$B$14:$K$20,9)/30))</f>
        <v>6.9054098291334141</v>
      </c>
      <c r="EY174" s="172">
        <f ca="1">(VLOOKUP(EY$72,INDIRECT($C$5&amp;"生成成长"),2))/((VLOOKUP($B174,INDIRECT($B$5&amp;"生成成长"),4))/(VLOOKUP(EY$72,INDIRECT($C$5&amp;"生成成长"),5))*(VLOOKUP($B$5,标准坦克设计!$B$24:$U$30,MATCH("对"&amp;LEFT($C$5,2)&amp;"输出",标准坦克设计!$B$23:$U$23,0)))*(VLOOKUP($B174,INDIRECT($B$5&amp;"生成成长"),3))*(VLOOKUP($B$5,标准坦克设计!$B$14:$K$20,9)/30))</f>
        <v>7.380763532022212</v>
      </c>
      <c r="EZ174" s="172">
        <f ca="1">(VLOOKUP(EZ$72,INDIRECT($C$5&amp;"生成成长"),2))/((VLOOKUP($B174,INDIRECT($B$5&amp;"生成成长"),4))/(VLOOKUP(EZ$72,INDIRECT($C$5&amp;"生成成长"),5))*(VLOOKUP($B$5,标准坦克设计!$B$24:$U$30,MATCH("对"&amp;LEFT($C$5,2)&amp;"输出",标准坦克设计!$B$23:$U$23,0)))*(VLOOKUP($B174,INDIRECT($B$5&amp;"生成成长"),3))*(VLOOKUP($B$5,标准坦克设计!$B$14:$K$20,9)/30))</f>
        <v>7.87193838689823</v>
      </c>
      <c r="FA174" s="172">
        <f ca="1">(VLOOKUP(FA$72,INDIRECT($C$5&amp;"生成成长"),2))/((VLOOKUP($B174,INDIRECT($B$5&amp;"生成成长"),4))/(VLOOKUP(FA$72,INDIRECT($C$5&amp;"生成成长"),5))*(VLOOKUP($B$5,标准坦克设计!$B$24:$U$30,MATCH("对"&amp;LEFT($C$5,2)&amp;"输出",标准坦克设计!$B$23:$U$23,0)))*(VLOOKUP($B174,INDIRECT($B$5&amp;"生成成长"),3))*(VLOOKUP($B$5,标准坦克设计!$B$14:$K$20,9)/30))</f>
        <v>8.3789343937614706</v>
      </c>
      <c r="FB174" s="172">
        <f ca="1">(VLOOKUP(FB$72,INDIRECT($C$5&amp;"生成成长"),2))/((VLOOKUP($B174,INDIRECT($B$5&amp;"生成成长"),4))/(VLOOKUP(FB$72,INDIRECT($C$5&amp;"生成成长"),5))*(VLOOKUP($B$5,标准坦克设计!$B$24:$U$30,MATCH("对"&amp;LEFT($C$5,2)&amp;"输出",标准坦克设计!$B$23:$U$23,0)))*(VLOOKUP($B174,INDIRECT($B$5&amp;"生成成长"),3))*(VLOOKUP($B$5,标准坦克设计!$B$14:$K$20,9)/30))</f>
        <v>8.9017515526119286</v>
      </c>
      <c r="FC174" s="172">
        <f ca="1">(VLOOKUP(FC$72,INDIRECT($C$5&amp;"生成成长"),2))/((VLOOKUP($B174,INDIRECT($B$5&amp;"生成成长"),4))/(VLOOKUP(FC$72,INDIRECT($C$5&amp;"生成成长"),5))*(VLOOKUP($B$5,标准坦克设计!$B$24:$U$30,MATCH("对"&amp;LEFT($C$5,2)&amp;"输出",标准坦克设计!$B$23:$U$23,0)))*(VLOOKUP($B174,INDIRECT($B$5&amp;"生成成长"),3))*(VLOOKUP($B$5,标准坦克设计!$B$14:$K$20,9)/30))</f>
        <v>9.440389863449612</v>
      </c>
      <c r="FD174" s="172">
        <f ca="1">(VLOOKUP(FD$72,INDIRECT($C$5&amp;"生成成长"),2))/((VLOOKUP($B174,INDIRECT($B$5&amp;"生成成长"),4))/(VLOOKUP(FD$72,INDIRECT($C$5&amp;"生成成长"),5))*(VLOOKUP($B$5,标准坦克设计!$B$24:$U$30,MATCH("对"&amp;LEFT($C$5,2)&amp;"输出",标准坦克设计!$B$23:$U$23,0)))*(VLOOKUP($B174,INDIRECT($B$5&amp;"生成成长"),3))*(VLOOKUP($B$5,标准坦克设计!$B$14:$K$20,9)/30))</f>
        <v>9.9948493262745153</v>
      </c>
      <c r="FE174" s="172">
        <f ca="1">(VLOOKUP(FE$72,INDIRECT($C$5&amp;"生成成长"),2))/((VLOOKUP($B174,INDIRECT($B$5&amp;"生成成长"),4))/(VLOOKUP(FE$72,INDIRECT($C$5&amp;"生成成长"),5))*(VLOOKUP($B$5,标准坦克设计!$B$24:$U$30,MATCH("对"&amp;LEFT($C$5,2)&amp;"输出",标准坦克设计!$B$23:$U$23,0)))*(VLOOKUP($B174,INDIRECT($B$5&amp;"生成成长"),3))*(VLOOKUP($B$5,标准坦克设计!$B$14:$K$20,9)/30))</f>
        <v>10.670517118786647</v>
      </c>
      <c r="FF174" s="172">
        <f ca="1">(VLOOKUP(FF$72,INDIRECT($C$5&amp;"生成成长"),2))/((VLOOKUP($B174,INDIRECT($B$5&amp;"生成成长"),4))/(VLOOKUP(FF$72,INDIRECT($C$5&amp;"生成成长"),5))*(VLOOKUP($B$5,标准坦克设计!$B$24:$U$30,MATCH("对"&amp;LEFT($C$5,2)&amp;"输出",标准坦克设计!$B$23:$U$23,0)))*(VLOOKUP($B174,INDIRECT($B$5&amp;"生成成长"),3))*(VLOOKUP($B$5,标准坦克设计!$B$14:$K$20,9)/30))</f>
        <v>11.368282222752006</v>
      </c>
      <c r="FG174" s="172">
        <f ca="1">(VLOOKUP(FG$72,INDIRECT($C$5&amp;"生成成长"),2))/((VLOOKUP($B174,INDIRECT($B$5&amp;"生成成长"),4))/(VLOOKUP(FG$72,INDIRECT($C$5&amp;"生成成长"),5))*(VLOOKUP($B$5,标准坦克设计!$B$24:$U$30,MATCH("对"&amp;LEFT($C$5,2)&amp;"输出",标准坦克设计!$B$23:$U$23,0)))*(VLOOKUP($B174,INDIRECT($B$5&amp;"生成成长"),3))*(VLOOKUP($B$5,标准坦克设计!$B$14:$K$20,9)/30))</f>
        <v>12.088144638170588</v>
      </c>
      <c r="FH174" s="172">
        <f ca="1">(VLOOKUP(FH$72,INDIRECT($C$5&amp;"生成成长"),2))/((VLOOKUP($B174,INDIRECT($B$5&amp;"生成成长"),4))/(VLOOKUP(FH$72,INDIRECT($C$5&amp;"生成成长"),5))*(VLOOKUP($B$5,标准坦克设计!$B$24:$U$30,MATCH("对"&amp;LEFT($C$5,2)&amp;"输出",标准坦克设计!$B$23:$U$23,0)))*(VLOOKUP($B174,INDIRECT($B$5&amp;"生成成长"),3))*(VLOOKUP($B$5,标准坦克设计!$B$14:$K$20,9)/30))</f>
        <v>12.830104365042404</v>
      </c>
      <c r="FI174" s="172">
        <f ca="1">(VLOOKUP(FI$72,INDIRECT($C$5&amp;"生成成长"),2))/((VLOOKUP($B174,INDIRECT($B$5&amp;"生成成长"),4))/(VLOOKUP(FI$72,INDIRECT($C$5&amp;"生成成长"),5))*(VLOOKUP($B$5,标准坦克设计!$B$24:$U$30,MATCH("对"&amp;LEFT($C$5,2)&amp;"输出",标准坦克设计!$B$23:$U$23,0)))*(VLOOKUP($B174,INDIRECT($B$5&amp;"生成成长"),3))*(VLOOKUP($B$5,标准坦克设计!$B$14:$K$20,9)/30))</f>
        <v>13.59416140336744</v>
      </c>
      <c r="FJ174" s="172">
        <f ca="1">(VLOOKUP(FJ$72,INDIRECT($C$5&amp;"生成成长"),2))/((VLOOKUP($B174,INDIRECT($B$5&amp;"生成成长"),4))/(VLOOKUP(FJ$72,INDIRECT($C$5&amp;"生成成长"),5))*(VLOOKUP($B$5,标准坦克设计!$B$24:$U$30,MATCH("对"&amp;LEFT($C$5,2)&amp;"输出",标准坦克设计!$B$23:$U$23,0)))*(VLOOKUP($B174,INDIRECT($B$5&amp;"生成成长"),3))*(VLOOKUP($B$5,标准坦克设计!$B$14:$K$20,9)/30))</f>
        <v>14.380315753145707</v>
      </c>
      <c r="FK174" s="172">
        <f ca="1">(VLOOKUP(FK$72,INDIRECT($C$5&amp;"生成成长"),2))/((VLOOKUP($B174,INDIRECT($B$5&amp;"生成成长"),4))/(VLOOKUP(FK$72,INDIRECT($C$5&amp;"生成成长"),5))*(VLOOKUP($B$5,标准坦克设计!$B$24:$U$30,MATCH("对"&amp;LEFT($C$5,2)&amp;"输出",标准坦克设计!$B$23:$U$23,0)))*(VLOOKUP($B174,INDIRECT($B$5&amp;"生成成长"),3))*(VLOOKUP($B$5,标准坦克设计!$B$14:$K$20,9)/30))</f>
        <v>15.188567414377198</v>
      </c>
    </row>
    <row r="175" spans="1:167" x14ac:dyDescent="0.15">
      <c r="A175" s="170" t="str">
        <f t="shared" si="12"/>
        <v>T5中品质13级</v>
      </c>
      <c r="B175" s="171">
        <v>20513</v>
      </c>
      <c r="C175" s="172">
        <f ca="1">(VLOOKUP(C$72,INDIRECT($C$5&amp;"生成成长"),2))/((VLOOKUP($B175,INDIRECT($B$5&amp;"生成成长"),4))/(VLOOKUP(C$72,INDIRECT($C$5&amp;"生成成长"),5))*(VLOOKUP($B$5,标准坦克设计!$B$24:$U$30,MATCH("对"&amp;LEFT($C$5,2)&amp;"输出",标准坦克设计!$B$23:$U$23,0)))*(VLOOKUP($B175,INDIRECT($B$5&amp;"生成成长"),3))*(VLOOKUP($B$5,标准坦克设计!$B$14:$K$20,9)/30))</f>
        <v>0.61707011627762232</v>
      </c>
      <c r="D175" s="172">
        <f ca="1">(VLOOKUP(D$72,INDIRECT($C$5&amp;"生成成长"),2))/((VLOOKUP($B175,INDIRECT($B$5&amp;"生成成长"),4))/(VLOOKUP(D$72,INDIRECT($C$5&amp;"生成成长"),5))*(VLOOKUP($B$5,标准坦克设计!$B$24:$U$30,MATCH("对"&amp;LEFT($C$5,2)&amp;"输出",标准坦克设计!$B$23:$U$23,0)))*(VLOOKUP($B175,INDIRECT($B$5&amp;"生成成长"),3))*(VLOOKUP($B$5,标准坦克设计!$B$14:$K$20,9)/30))</f>
        <v>0.69333998264953645</v>
      </c>
      <c r="E175" s="172">
        <f ca="1">(VLOOKUP(E$72,INDIRECT($C$5&amp;"生成成长"),2))/((VLOOKUP($B175,INDIRECT($B$5&amp;"生成成长"),4))/(VLOOKUP(E$72,INDIRECT($C$5&amp;"生成成长"),5))*(VLOOKUP($B$5,标准坦克设计!$B$24:$U$30,MATCH("对"&amp;LEFT($C$5,2)&amp;"输出",标准坦克设计!$B$23:$U$23,0)))*(VLOOKUP($B175,INDIRECT($B$5&amp;"生成成长"),3))*(VLOOKUP($B$5,标准坦克设计!$B$14:$K$20,9)/30))</f>
        <v>0.77405275385864936</v>
      </c>
      <c r="F175" s="172">
        <f ca="1">(VLOOKUP(F$72,INDIRECT($C$5&amp;"生成成长"),2))/((VLOOKUP($B175,INDIRECT($B$5&amp;"生成成长"),4))/(VLOOKUP(F$72,INDIRECT($C$5&amp;"生成成长"),5))*(VLOOKUP($B$5,标准坦克设计!$B$24:$U$30,MATCH("对"&amp;LEFT($C$5,2)&amp;"输出",标准坦克设计!$B$23:$U$23,0)))*(VLOOKUP($B175,INDIRECT($B$5&amp;"生成成长"),3))*(VLOOKUP($B$5,标准坦克设计!$B$14:$K$20,9)/30))</f>
        <v>0.85920842990496116</v>
      </c>
      <c r="G175" s="172">
        <f ca="1">(VLOOKUP(G$72,INDIRECT($C$5&amp;"生成成长"),2))/((VLOOKUP($B175,INDIRECT($B$5&amp;"生成成长"),4))/(VLOOKUP(G$72,INDIRECT($C$5&amp;"生成成长"),5))*(VLOOKUP($B$5,标准坦克设计!$B$24:$U$30,MATCH("对"&amp;LEFT($C$5,2)&amp;"输出",标准坦克设计!$B$23:$U$23,0)))*(VLOOKUP($B175,INDIRECT($B$5&amp;"生成成长"),3))*(VLOOKUP($B$5,标准坦克设计!$B$14:$K$20,9)/30))</f>
        <v>0.94880701078847185</v>
      </c>
      <c r="H175" s="172">
        <f ca="1">(VLOOKUP(H$72,INDIRECT($C$5&amp;"生成成长"),2))/((VLOOKUP($B175,INDIRECT($B$5&amp;"生成成长"),4))/(VLOOKUP(H$72,INDIRECT($C$5&amp;"生成成长"),5))*(VLOOKUP($B$5,标准坦克设计!$B$24:$U$30,MATCH("对"&amp;LEFT($C$5,2)&amp;"输出",标准坦克设计!$B$23:$U$23,0)))*(VLOOKUP($B175,INDIRECT($B$5&amp;"生成成长"),3))*(VLOOKUP($B$5,标准坦克设计!$B$14:$K$20,9)/30))</f>
        <v>0.83032954846316853</v>
      </c>
      <c r="I175" s="172">
        <f ca="1">(VLOOKUP(I$72,INDIRECT($C$5&amp;"生成成长"),2))/((VLOOKUP($B175,INDIRECT($B$5&amp;"生成成长"),4))/(VLOOKUP(I$72,INDIRECT($C$5&amp;"生成成长"),5))*(VLOOKUP($B$5,标准坦克设计!$B$24:$U$30,MATCH("对"&amp;LEFT($C$5,2)&amp;"输出",标准坦克设计!$B$23:$U$23,0)))*(VLOOKUP($B175,INDIRECT($B$5&amp;"生成成长"),3))*(VLOOKUP($B$5,标准坦克设计!$B$14:$K$20,9)/30))</f>
        <v>0.94880701078847185</v>
      </c>
      <c r="J175" s="172">
        <f ca="1">(VLOOKUP(J$72,INDIRECT($C$5&amp;"生成成长"),2))/((VLOOKUP($B175,INDIRECT($B$5&amp;"生成成长"),4))/(VLOOKUP(J$72,INDIRECT($C$5&amp;"生成成长"),5))*(VLOOKUP($B$5,标准坦克设计!$B$24:$U$30,MATCH("对"&amp;LEFT($C$5,2)&amp;"输出",标准坦克设计!$B$23:$U$23,0)))*(VLOOKUP($B175,INDIRECT($B$5&amp;"生成成长"),3))*(VLOOKUP($B$5,标准坦克设计!$B$14:$K$20,9)/30))</f>
        <v>1.075182970602129</v>
      </c>
      <c r="K175" s="172">
        <f ca="1">(VLOOKUP(K$72,INDIRECT($C$5&amp;"生成成长"),2))/((VLOOKUP($B175,INDIRECT($B$5&amp;"生成成长"),4))/(VLOOKUP(K$72,INDIRECT($C$5&amp;"生成成长"),5))*(VLOOKUP($B$5,标准坦克设计!$B$24:$U$30,MATCH("对"&amp;LEFT($C$5,2)&amp;"输出",标准坦克设计!$B$23:$U$23,0)))*(VLOOKUP($B175,INDIRECT($B$5&amp;"生成成长"),3))*(VLOOKUP($B$5,标准坦克设计!$B$14:$K$20,9)/30))</f>
        <v>1.2094574279041395</v>
      </c>
      <c r="L175" s="172">
        <f ca="1">(VLOOKUP(L$72,INDIRECT($C$5&amp;"生成成长"),2))/((VLOOKUP($B175,INDIRECT($B$5&amp;"生成成长"),4))/(VLOOKUP(L$72,INDIRECT($C$5&amp;"生成成长"),5))*(VLOOKUP($B$5,标准坦克设计!$B$24:$U$30,MATCH("对"&amp;LEFT($C$5,2)&amp;"输出",标准坦克设计!$B$23:$U$23,0)))*(VLOOKUP($B175,INDIRECT($B$5&amp;"生成成长"),3))*(VLOOKUP($B$5,标准坦克设计!$B$14:$K$20,9)/30))</f>
        <v>1.3516303826945038</v>
      </c>
      <c r="M175" s="172">
        <f ca="1">(VLOOKUP(M$72,INDIRECT($C$5&amp;"生成成长"),2))/((VLOOKUP($B175,INDIRECT($B$5&amp;"生成成长"),4))/(VLOOKUP(M$72,INDIRECT($C$5&amp;"生成成长"),5))*(VLOOKUP($B$5,标准坦克设计!$B$24:$U$30,MATCH("对"&amp;LEFT($C$5,2)&amp;"输出",标准坦克设计!$B$23:$U$23,0)))*(VLOOKUP($B175,INDIRECT($B$5&amp;"生成成长"),3))*(VLOOKUP($B$5,标准坦克设计!$B$14:$K$20,9)/30))</f>
        <v>1.5017018349732216</v>
      </c>
      <c r="N175" s="172">
        <f ca="1">(VLOOKUP(N$72,INDIRECT($C$5&amp;"生成成长"),2))/((VLOOKUP($B175,INDIRECT($B$5&amp;"生成成长"),4))/(VLOOKUP(N$72,INDIRECT($C$5&amp;"生成成长"),5))*(VLOOKUP($B$5,标准坦克设计!$B$24:$U$30,MATCH("对"&amp;LEFT($C$5,2)&amp;"输出",标准坦克设计!$B$23:$U$23,0)))*(VLOOKUP($B175,INDIRECT($B$5&amp;"生成成长"),3))*(VLOOKUP($B$5,标准坦克设计!$B$14:$K$20,9)/30))</f>
        <v>1.6596717847402929</v>
      </c>
      <c r="O175" s="172">
        <f ca="1">(VLOOKUP(O$72,INDIRECT($C$5&amp;"生成成长"),2))/((VLOOKUP($B175,INDIRECT($B$5&amp;"生成成长"),4))/(VLOOKUP(O$72,INDIRECT($C$5&amp;"生成成长"),5))*(VLOOKUP($B$5,标准坦克设计!$B$24:$U$30,MATCH("对"&amp;LEFT($C$5,2)&amp;"输出",标准坦克设计!$B$23:$U$23,0)))*(VLOOKUP($B175,INDIRECT($B$5&amp;"生成成长"),3))*(VLOOKUP($B$5,标准坦克设计!$B$14:$K$20,9)/30))</f>
        <v>1.2618466807761097</v>
      </c>
      <c r="P175" s="172">
        <f ca="1">(VLOOKUP(P$72,INDIRECT($C$5&amp;"生成成长"),2))/((VLOOKUP($B175,INDIRECT($B$5&amp;"生成成长"),4))/(VLOOKUP(P$72,INDIRECT($C$5&amp;"生成成长"),5))*(VLOOKUP($B$5,标准坦克设计!$B$24:$U$30,MATCH("对"&amp;LEFT($C$5,2)&amp;"输出",标准坦克设计!$B$23:$U$23,0)))*(VLOOKUP($B175,INDIRECT($B$5&amp;"生成成长"),3))*(VLOOKUP($B$5,标准坦克设计!$B$14:$K$20,9)/30))</f>
        <v>1.4256787966478186</v>
      </c>
      <c r="Q175" s="172">
        <f ca="1">(VLOOKUP(Q$72,INDIRECT($C$5&amp;"生成成长"),2))/((VLOOKUP($B175,INDIRECT($B$5&amp;"生成成长"),4))/(VLOOKUP(Q$72,INDIRECT($C$5&amp;"生成成长"),5))*(VLOOKUP($B$5,标准坦克设计!$B$24:$U$30,MATCH("对"&amp;LEFT($C$5,2)&amp;"输出",标准坦克设计!$B$23:$U$23,0)))*(VLOOKUP($B175,INDIRECT($B$5&amp;"生成成长"),3))*(VLOOKUP($B$5,标准坦克设计!$B$14:$K$20,9)/30))</f>
        <v>1.5995074484032243</v>
      </c>
      <c r="R175" s="172">
        <f ca="1">(VLOOKUP(R$72,INDIRECT($C$5&amp;"生成成长"),2))/((VLOOKUP($B175,INDIRECT($B$5&amp;"生成成长"),4))/(VLOOKUP(R$72,INDIRECT($C$5&amp;"生成成长"),5))*(VLOOKUP($B$5,标准坦克设计!$B$24:$U$30,MATCH("对"&amp;LEFT($C$5,2)&amp;"输出",标准坦克设计!$B$23:$U$23,0)))*(VLOOKUP($B175,INDIRECT($B$5&amp;"生成成长"),3))*(VLOOKUP($B$5,标准坦克设计!$B$14:$K$20,9)/30))</f>
        <v>1.7833326360423283</v>
      </c>
      <c r="S175" s="172">
        <f ca="1">(VLOOKUP(S$72,INDIRECT($C$5&amp;"生成成长"),2))/((VLOOKUP($B175,INDIRECT($B$5&amp;"生成成长"),4))/(VLOOKUP(S$72,INDIRECT($C$5&amp;"生成成长"),5))*(VLOOKUP($B$5,标准坦克设计!$B$24:$U$30,MATCH("对"&amp;LEFT($C$5,2)&amp;"输出",标准坦克设计!$B$23:$U$23,0)))*(VLOOKUP($B175,INDIRECT($B$5&amp;"生成成长"),3))*(VLOOKUP($B$5,标准坦克设计!$B$14:$K$20,9)/30))</f>
        <v>1.9771543595651295</v>
      </c>
      <c r="T175" s="172">
        <f ca="1">(VLOOKUP(T$72,INDIRECT($C$5&amp;"生成成长"),2))/((VLOOKUP($B175,INDIRECT($B$5&amp;"生成成长"),4))/(VLOOKUP(T$72,INDIRECT($C$5&amp;"生成成长"),5))*(VLOOKUP($B$5,标准坦克设计!$B$24:$U$30,MATCH("对"&amp;LEFT($C$5,2)&amp;"输出",标准坦克设计!$B$23:$U$23,0)))*(VLOOKUP($B175,INDIRECT($B$5&amp;"生成成长"),3))*(VLOOKUP($B$5,标准坦克设计!$B$14:$K$20,9)/30))</f>
        <v>2.1809726189716279</v>
      </c>
      <c r="U175" s="172">
        <f ca="1">(VLOOKUP(U$72,INDIRECT($C$5&amp;"生成成长"),2))/((VLOOKUP($B175,INDIRECT($B$5&amp;"生成成长"),4))/(VLOOKUP(U$72,INDIRECT($C$5&amp;"生成成长"),5))*(VLOOKUP($B$5,标准坦克设计!$B$24:$U$30,MATCH("对"&amp;LEFT($C$5,2)&amp;"输出",标准坦克设计!$B$23:$U$23,0)))*(VLOOKUP($B175,INDIRECT($B$5&amp;"生成成长"),3))*(VLOOKUP($B$5,标准坦克设计!$B$14:$K$20,9)/30))</f>
        <v>2.394787414261824</v>
      </c>
      <c r="V175" s="172">
        <f ca="1">(VLOOKUP(V$72,INDIRECT($C$5&amp;"生成成长"),2))/((VLOOKUP($B175,INDIRECT($B$5&amp;"生成成长"),4))/(VLOOKUP(V$72,INDIRECT($C$5&amp;"生成成长"),5))*(VLOOKUP($B$5,标准坦克设计!$B$24:$U$30,MATCH("对"&amp;LEFT($C$5,2)&amp;"输出",标准坦克设计!$B$23:$U$23,0)))*(VLOOKUP($B175,INDIRECT($B$5&amp;"生成成长"),3))*(VLOOKUP($B$5,标准坦克设计!$B$14:$K$20,9)/30))</f>
        <v>2.618598745435718</v>
      </c>
      <c r="W175" s="172">
        <f ca="1">(VLOOKUP(W$72,INDIRECT($C$5&amp;"生成成长"),2))/((VLOOKUP($B175,INDIRECT($B$5&amp;"生成成长"),4))/(VLOOKUP(W$72,INDIRECT($C$5&amp;"生成成长"),5))*(VLOOKUP($B$5,标准坦克设计!$B$24:$U$30,MATCH("对"&amp;LEFT($C$5,2)&amp;"输出",标准坦克设计!$B$23:$U$23,0)))*(VLOOKUP($B175,INDIRECT($B$5&amp;"生成成长"),3))*(VLOOKUP($B$5,标准坦克设计!$B$14:$K$20,9)/30))</f>
        <v>2.8524066124933087</v>
      </c>
      <c r="X175" s="172">
        <f ca="1">(VLOOKUP(X$72,INDIRECT($C$5&amp;"生成成长"),2))/((VLOOKUP($B175,INDIRECT($B$5&amp;"生成成长"),4))/(VLOOKUP(X$72,INDIRECT($C$5&amp;"生成成长"),5))*(VLOOKUP($B$5,标准坦克设计!$B$24:$U$30,MATCH("对"&amp;LEFT($C$5,2)&amp;"输出",标准坦克设计!$B$23:$U$23,0)))*(VLOOKUP($B175,INDIRECT($B$5&amp;"生成成长"),3))*(VLOOKUP($B$5,标准坦克设计!$B$14:$K$20,9)/30))</f>
        <v>2.0665061124021298</v>
      </c>
      <c r="Y175" s="172">
        <f ca="1">(VLOOKUP(Y$72,INDIRECT($C$5&amp;"生成成长"),2))/((VLOOKUP($B175,INDIRECT($B$5&amp;"生成成长"),4))/(VLOOKUP(Y$72,INDIRECT($C$5&amp;"生成成长"),5))*(VLOOKUP($B$5,标准坦克设计!$B$24:$U$30,MATCH("对"&amp;LEFT($C$5,2)&amp;"输出",标准坦克设计!$B$23:$U$23,0)))*(VLOOKUP($B175,INDIRECT($B$5&amp;"生成成长"),3))*(VLOOKUP($B$5,标准坦克设计!$B$14:$K$20,9)/30))</f>
        <v>2.2985244761225152</v>
      </c>
      <c r="Z175" s="172">
        <f ca="1">(VLOOKUP(Z$72,INDIRECT($C$5&amp;"生成成长"),2))/((VLOOKUP($B175,INDIRECT($B$5&amp;"生成成长"),4))/(VLOOKUP(Z$72,INDIRECT($C$5&amp;"生成成长"),5))*(VLOOKUP($B$5,标准坦克设计!$B$24:$U$30,MATCH("对"&amp;LEFT($C$5,2)&amp;"输出",标准坦克设计!$B$23:$U$23,0)))*(VLOOKUP($B175,INDIRECT($B$5&amp;"生成成长"),3))*(VLOOKUP($B$5,标准坦克设计!$B$14:$K$20,9)/30))</f>
        <v>2.5428842421684537</v>
      </c>
      <c r="AA175" s="172">
        <f ca="1">(VLOOKUP(AA$72,INDIRECT($C$5&amp;"生成成长"),2))/((VLOOKUP($B175,INDIRECT($B$5&amp;"生成成长"),4))/(VLOOKUP(AA$72,INDIRECT($C$5&amp;"生成成长"),5))*(VLOOKUP($B$5,标准坦克设计!$B$24:$U$30,MATCH("对"&amp;LEFT($C$5,2)&amp;"输出",标准坦克设计!$B$23:$U$23,0)))*(VLOOKUP($B175,INDIRECT($B$5&amp;"生成成长"),3))*(VLOOKUP($B$5,标准坦克设计!$B$14:$K$20,9)/30))</f>
        <v>2.7995854105399447</v>
      </c>
      <c r="AB175" s="172">
        <f ca="1">(VLOOKUP(AB$72,INDIRECT($C$5&amp;"生成成长"),2))/((VLOOKUP($B175,INDIRECT($B$5&amp;"生成成长"),4))/(VLOOKUP(AB$72,INDIRECT($C$5&amp;"生成成长"),5))*(VLOOKUP($B$5,标准坦克设计!$B$24:$U$30,MATCH("对"&amp;LEFT($C$5,2)&amp;"输出",标准坦克设计!$B$23:$U$23,0)))*(VLOOKUP($B175,INDIRECT($B$5&amp;"生成成长"),3))*(VLOOKUP($B$5,标准坦克设计!$B$14:$K$20,9)/30))</f>
        <v>3.0686279812369879</v>
      </c>
      <c r="AC175" s="172">
        <f ca="1">(VLOOKUP(AC$72,INDIRECT($C$5&amp;"生成成长"),2))/((VLOOKUP($B175,INDIRECT($B$5&amp;"生成成长"),4))/(VLOOKUP(AC$72,INDIRECT($C$5&amp;"生成成长"),5))*(VLOOKUP($B$5,标准坦克设计!$B$24:$U$30,MATCH("对"&amp;LEFT($C$5,2)&amp;"输出",标准坦克设计!$B$23:$U$23,0)))*(VLOOKUP($B175,INDIRECT($B$5&amp;"生成成长"),3))*(VLOOKUP($B$5,标准坦克设计!$B$14:$K$20,9)/30))</f>
        <v>3.3500119542595832</v>
      </c>
      <c r="AD175" s="172">
        <f ca="1">(VLOOKUP(AD$72,INDIRECT($C$5&amp;"生成成长"),2))/((VLOOKUP($B175,INDIRECT($B$5&amp;"生成成长"),4))/(VLOOKUP(AD$72,INDIRECT($C$5&amp;"生成成长"),5))*(VLOOKUP($B$5,标准坦克设计!$B$24:$U$30,MATCH("对"&amp;LEFT($C$5,2)&amp;"输出",标准坦克设计!$B$23:$U$23,0)))*(VLOOKUP($B175,INDIRECT($B$5&amp;"生成成长"),3))*(VLOOKUP($B$5,标准坦克设计!$B$14:$K$20,9)/30))</f>
        <v>3.6437373296077311</v>
      </c>
      <c r="AE175" s="172">
        <f ca="1">(VLOOKUP(AE$72,INDIRECT($C$5&amp;"生成成长"),2))/((VLOOKUP($B175,INDIRECT($B$5&amp;"生成成长"),4))/(VLOOKUP(AE$72,INDIRECT($C$5&amp;"生成成长"),5))*(VLOOKUP($B$5,标准坦克设计!$B$24:$U$30,MATCH("对"&amp;LEFT($C$5,2)&amp;"输出",标准坦克设计!$B$23:$U$23,0)))*(VLOOKUP($B175,INDIRECT($B$5&amp;"生成成长"),3))*(VLOOKUP($B$5,标准坦克设计!$B$14:$K$20,9)/30))</f>
        <v>3.9498041072814325</v>
      </c>
      <c r="AF175" s="172">
        <f ca="1">(VLOOKUP(AF$72,INDIRECT($C$5&amp;"生成成长"),2))/((VLOOKUP($B175,INDIRECT($B$5&amp;"生成成长"),4))/(VLOOKUP(AF$72,INDIRECT($C$5&amp;"生成成长"),5))*(VLOOKUP($B$5,标准坦克设计!$B$24:$U$30,MATCH("对"&amp;LEFT($C$5,2)&amp;"输出",标准坦克设计!$B$23:$U$23,0)))*(VLOOKUP($B175,INDIRECT($B$5&amp;"生成成长"),3))*(VLOOKUP($B$5,标准坦克设计!$B$14:$K$20,9)/30))</f>
        <v>4.2682122872806847</v>
      </c>
      <c r="AG175" s="172">
        <f ca="1">(VLOOKUP(AG$72,INDIRECT($C$5&amp;"生成成长"),2))/((VLOOKUP($B175,INDIRECT($B$5&amp;"生成成长"),4))/(VLOOKUP(AG$72,INDIRECT($C$5&amp;"生成成长"),5))*(VLOOKUP($B$5,标准坦克设计!$B$24:$U$30,MATCH("对"&amp;LEFT($C$5,2)&amp;"输出",标准坦克设计!$B$23:$U$23,0)))*(VLOOKUP($B175,INDIRECT($B$5&amp;"生成成长"),3))*(VLOOKUP($B$5,标准坦克设计!$B$14:$K$20,9)/30))</f>
        <v>4.5989618696054908</v>
      </c>
      <c r="AH175" s="172">
        <f ca="1">(VLOOKUP(AH$72,INDIRECT($C$5&amp;"生成成长"),2))/((VLOOKUP($B175,INDIRECT($B$5&amp;"生成成长"),4))/(VLOOKUP(AH$72,INDIRECT($C$5&amp;"生成成长"),5))*(VLOOKUP($B$5,标准坦克设计!$B$24:$U$30,MATCH("对"&amp;LEFT($C$5,2)&amp;"输出",标准坦克设计!$B$23:$U$23,0)))*(VLOOKUP($B175,INDIRECT($B$5&amp;"生成成长"),3))*(VLOOKUP($B$5,标准坦克设计!$B$14:$K$20,9)/30))</f>
        <v>4.9420528542558495</v>
      </c>
      <c r="AI175" s="172">
        <f ca="1">(VLOOKUP(AI$72,INDIRECT($C$5&amp;"生成成长"),2))/((VLOOKUP($B175,INDIRECT($B$5&amp;"生成成长"),4))/(VLOOKUP(AI$72,INDIRECT($C$5&amp;"生成成长"),5))*(VLOOKUP($B$5,标准坦克设计!$B$24:$U$30,MATCH("对"&amp;LEFT($C$5,2)&amp;"输出",标准坦克设计!$B$23:$U$23,0)))*(VLOOKUP($B175,INDIRECT($B$5&amp;"生成成长"),3))*(VLOOKUP($B$5,标准坦克设计!$B$14:$K$20,9)/30))</f>
        <v>3.4953319666429636</v>
      </c>
      <c r="AJ175" s="172">
        <f ca="1">(VLOOKUP(AJ$72,INDIRECT($C$5&amp;"生成成长"),2))/((VLOOKUP($B175,INDIRECT($B$5&amp;"生成成长"),4))/(VLOOKUP(AJ$72,INDIRECT($C$5&amp;"生成成长"),5))*(VLOOKUP($B$5,标准坦克设计!$B$24:$U$30,MATCH("对"&amp;LEFT($C$5,2)&amp;"输出",标准坦克设计!$B$23:$U$23,0)))*(VLOOKUP($B175,INDIRECT($B$5&amp;"生成成长"),3))*(VLOOKUP($B$5,标准坦克设计!$B$14:$K$20,9)/30))</f>
        <v>3.8258964279328858</v>
      </c>
      <c r="AK175" s="172">
        <f ca="1">(VLOOKUP(AK$72,INDIRECT($C$5&amp;"生成成长"),2))/((VLOOKUP($B175,INDIRECT($B$5&amp;"生成成长"),4))/(VLOOKUP(AK$72,INDIRECT($C$5&amp;"生成成长"),5))*(VLOOKUP($B$5,标准坦克设计!$B$24:$U$30,MATCH("对"&amp;LEFT($C$5,2)&amp;"输出",标准坦克设计!$B$23:$U$23,0)))*(VLOOKUP($B175,INDIRECT($B$5&amp;"生成成长"),3))*(VLOOKUP($B$5,标准坦克设计!$B$14:$K$20,9)/30))</f>
        <v>4.1713939860367271</v>
      </c>
      <c r="AL175" s="172">
        <f ca="1">(VLOOKUP(AL$72,INDIRECT($C$5&amp;"生成成长"),2))/((VLOOKUP($B175,INDIRECT($B$5&amp;"生成成长"),4))/(VLOOKUP(AL$72,INDIRECT($C$5&amp;"生成成长"),5))*(VLOOKUP($B$5,标准坦克设计!$B$24:$U$30,MATCH("对"&amp;LEFT($C$5,2)&amp;"输出",标准坦克设计!$B$23:$U$23,0)))*(VLOOKUP($B175,INDIRECT($B$5&amp;"生成成长"),3))*(VLOOKUP($B$5,标准坦克设计!$B$14:$K$20,9)/30))</f>
        <v>4.5318246409544862</v>
      </c>
      <c r="AM175" s="172">
        <f ca="1">(VLOOKUP(AM$72,INDIRECT($C$5&amp;"生成成长"),2))/((VLOOKUP($B175,INDIRECT($B$5&amp;"生成成长"),4))/(VLOOKUP(AM$72,INDIRECT($C$5&amp;"生成成长"),5))*(VLOOKUP($B$5,标准坦克设计!$B$24:$U$30,MATCH("对"&amp;LEFT($C$5,2)&amp;"输出",标准坦克设计!$B$23:$U$23,0)))*(VLOOKUP($B175,INDIRECT($B$5&amp;"生成成长"),3))*(VLOOKUP($B$5,标准坦克设计!$B$14:$K$20,9)/30))</f>
        <v>4.9071883926861632</v>
      </c>
      <c r="AN175" s="172">
        <f ca="1">(VLOOKUP(AN$72,INDIRECT($C$5&amp;"生成成长"),2))/((VLOOKUP($B175,INDIRECT($B$5&amp;"生成成长"),4))/(VLOOKUP(AN$72,INDIRECT($C$5&amp;"生成成长"),5))*(VLOOKUP($B$5,标准坦克设计!$B$24:$U$30,MATCH("对"&amp;LEFT($C$5,2)&amp;"输出",标准坦克设计!$B$23:$U$23,0)))*(VLOOKUP($B175,INDIRECT($B$5&amp;"生成成长"),3))*(VLOOKUP($B$5,标准坦克设计!$B$14:$K$20,9)/30))</f>
        <v>5.2974852412317599</v>
      </c>
      <c r="AO175" s="172">
        <f ca="1">(VLOOKUP(AO$72,INDIRECT($C$5&amp;"生成成长"),2))/((VLOOKUP($B175,INDIRECT($B$5&amp;"生成成长"),4))/(VLOOKUP(AO$72,INDIRECT($C$5&amp;"生成成长"),5))*(VLOOKUP($B$5,标准坦克设计!$B$24:$U$30,MATCH("对"&amp;LEFT($C$5,2)&amp;"输出",标准坦克设计!$B$23:$U$23,0)))*(VLOOKUP($B175,INDIRECT($B$5&amp;"生成成长"),3))*(VLOOKUP($B$5,标准坦克设计!$B$14:$K$20,9)/30))</f>
        <v>5.7027151865912744</v>
      </c>
      <c r="AP175" s="172">
        <f ca="1">(VLOOKUP(AP$72,INDIRECT($C$5&amp;"生成成长"),2))/((VLOOKUP($B175,INDIRECT($B$5&amp;"生成成长"),4))/(VLOOKUP(AP$72,INDIRECT($C$5&amp;"生成成长"),5))*(VLOOKUP($B$5,标准坦克设计!$B$24:$U$30,MATCH("对"&amp;LEFT($C$5,2)&amp;"输出",标准坦克设计!$B$23:$U$23,0)))*(VLOOKUP($B175,INDIRECT($B$5&amp;"生成成长"),3))*(VLOOKUP($B$5,标准坦克设计!$B$14:$K$20,9)/30))</f>
        <v>6.1228782287647068</v>
      </c>
      <c r="AQ175" s="172">
        <f ca="1">(VLOOKUP(AQ$72,INDIRECT($C$5&amp;"生成成长"),2))/((VLOOKUP($B175,INDIRECT($B$5&amp;"生成成长"),4))/(VLOOKUP(AQ$72,INDIRECT($C$5&amp;"生成成长"),5))*(VLOOKUP($B$5,标准坦克设计!$B$24:$U$30,MATCH("对"&amp;LEFT($C$5,2)&amp;"输出",标准坦克设计!$B$23:$U$23,0)))*(VLOOKUP($B175,INDIRECT($B$5&amp;"生成成长"),3))*(VLOOKUP($B$5,标准坦克设计!$B$14:$K$20,9)/30))</f>
        <v>6.5579743677520579</v>
      </c>
      <c r="AR175" s="172">
        <f ca="1">(VLOOKUP(AR$72,INDIRECT($C$5&amp;"生成成长"),2))/((VLOOKUP($B175,INDIRECT($B$5&amp;"生成成长"),4))/(VLOOKUP(AR$72,INDIRECT($C$5&amp;"生成成长"),5))*(VLOOKUP($B$5,标准坦克设计!$B$24:$U$30,MATCH("对"&amp;LEFT($C$5,2)&amp;"输出",标准坦克设计!$B$23:$U$23,0)))*(VLOOKUP($B175,INDIRECT($B$5&amp;"生成成长"),3))*(VLOOKUP($B$5,标准坦克设计!$B$14:$K$20,9)/30))</f>
        <v>7.0080036035533286</v>
      </c>
      <c r="AS175" s="172">
        <f ca="1">(VLOOKUP(AS$72,INDIRECT($C$5&amp;"生成成长"),2))/((VLOOKUP($B175,INDIRECT($B$5&amp;"生成成长"),4))/(VLOOKUP(AS$72,INDIRECT($C$5&amp;"生成成长"),5))*(VLOOKUP($B$5,标准坦克设计!$B$24:$U$30,MATCH("对"&amp;LEFT($C$5,2)&amp;"输出",标准坦克设计!$B$23:$U$23,0)))*(VLOOKUP($B175,INDIRECT($B$5&amp;"生成成长"),3))*(VLOOKUP($B$5,标准坦克设计!$B$14:$K$20,9)/30))</f>
        <v>7.4729659361685163</v>
      </c>
      <c r="AT175" s="172">
        <f ca="1">(VLOOKUP(AT$72,INDIRECT($C$5&amp;"生成成长"),2))/((VLOOKUP($B175,INDIRECT($B$5&amp;"生成成长"),4))/(VLOOKUP(AT$72,INDIRECT($C$5&amp;"生成成长"),5))*(VLOOKUP($B$5,标准坦克设计!$B$24:$U$30,MATCH("对"&amp;LEFT($C$5,2)&amp;"输出",标准坦克设计!$B$23:$U$23,0)))*(VLOOKUP($B175,INDIRECT($B$5&amp;"生成成长"),3))*(VLOOKUP($B$5,标准坦克设计!$B$14:$K$20,9)/30))</f>
        <v>7.9528613655976246</v>
      </c>
      <c r="AU175" s="172">
        <f ca="1">(VLOOKUP(AU$72,INDIRECT($C$5&amp;"生成成长"),2))/((VLOOKUP($B175,INDIRECT($B$5&amp;"生成成长"),4))/(VLOOKUP(AU$72,INDIRECT($C$5&amp;"生成成长"),5))*(VLOOKUP($B$5,标准坦克设计!$B$24:$U$30,MATCH("对"&amp;LEFT($C$5,2)&amp;"输出",标准坦克设计!$B$23:$U$23,0)))*(VLOOKUP($B175,INDIRECT($B$5&amp;"生成成长"),3))*(VLOOKUP($B$5,标准坦克设计!$B$14:$K$20,9)/30))</f>
        <v>8.4476898918406462</v>
      </c>
      <c r="AV175" s="172">
        <f ca="1">(VLOOKUP(AV$72,INDIRECT($C$5&amp;"生成成长"),2))/((VLOOKUP($B175,INDIRECT($B$5&amp;"生成成长"),4))/(VLOOKUP(AV$72,INDIRECT($C$5&amp;"生成成长"),5))*(VLOOKUP($B$5,标准坦克设计!$B$24:$U$30,MATCH("对"&amp;LEFT($C$5,2)&amp;"输出",标准坦克设计!$B$23:$U$23,0)))*(VLOOKUP($B175,INDIRECT($B$5&amp;"生成成长"),3))*(VLOOKUP($B$5,标准坦克设计!$B$14:$K$20,9)/30))</f>
        <v>0.85920842990496116</v>
      </c>
      <c r="AW175" s="172">
        <f ca="1">(VLOOKUP(AW$72,INDIRECT($C$5&amp;"生成成长"),2))/((VLOOKUP($B175,INDIRECT($B$5&amp;"生成成长"),4))/(VLOOKUP(AW$72,INDIRECT($C$5&amp;"生成成长"),5))*(VLOOKUP($B$5,标准坦克设计!$B$24:$U$30,MATCH("对"&amp;LEFT($C$5,2)&amp;"输出",标准坦克设计!$B$23:$U$23,0)))*(VLOOKUP($B175,INDIRECT($B$5&amp;"生成成长"),3))*(VLOOKUP($B$5,标准坦克设计!$B$14:$K$20,9)/30))</f>
        <v>0.97966051660235309</v>
      </c>
      <c r="AX175" s="172">
        <f ca="1">(VLOOKUP(AX$72,INDIRECT($C$5&amp;"生成成长"),2))/((VLOOKUP($B175,INDIRECT($B$5&amp;"生成成长"),4))/(VLOOKUP(AX$72,INDIRECT($C$5&amp;"生成成长"),5))*(VLOOKUP($B$5,标准坦克设计!$B$24:$U$30,MATCH("对"&amp;LEFT($C$5,2)&amp;"输出",标准坦克设计!$B$23:$U$23,0)))*(VLOOKUP($B175,INDIRECT($B$5&amp;"生成成长"),3))*(VLOOKUP($B$5,标准坦克设计!$B$14:$K$20,9)/30))</f>
        <v>1.1080111007880986</v>
      </c>
      <c r="AY175" s="172">
        <f ca="1">(VLOOKUP(AY$72,INDIRECT($C$5&amp;"生成成长"),2))/((VLOOKUP($B175,INDIRECT($B$5&amp;"生成成长"),4))/(VLOOKUP(AY$72,INDIRECT($C$5&amp;"生成成长"),5))*(VLOOKUP($B$5,标准坦克设计!$B$24:$U$30,MATCH("对"&amp;LEFT($C$5,2)&amp;"输出",标准坦克设计!$B$23:$U$23,0)))*(VLOOKUP($B175,INDIRECT($B$5&amp;"生成成长"),3))*(VLOOKUP($B$5,标准坦克设计!$B$14:$K$20,9)/30))</f>
        <v>1.2442601824621977</v>
      </c>
      <c r="AZ175" s="172">
        <f ca="1">(VLOOKUP(AZ$72,INDIRECT($C$5&amp;"生成成长"),2))/((VLOOKUP($B175,INDIRECT($B$5&amp;"生成成长"),4))/(VLOOKUP(AZ$72,INDIRECT($C$5&amp;"生成成长"),5))*(VLOOKUP($B$5,标准坦克设计!$B$24:$U$30,MATCH("对"&amp;LEFT($C$5,2)&amp;"输出",标准坦克设计!$B$23:$U$23,0)))*(VLOOKUP($B175,INDIRECT($B$5&amp;"生成成长"),3))*(VLOOKUP($B$5,标准坦克设计!$B$14:$K$20,9)/30))</f>
        <v>1.38840776162465</v>
      </c>
      <c r="BA175" s="172">
        <f ca="1">(VLOOKUP(BA$72,INDIRECT($C$5&amp;"生成成长"),2))/((VLOOKUP($B175,INDIRECT($B$5&amp;"生成成长"),4))/(VLOOKUP(BA$72,INDIRECT($C$5&amp;"生成成长"),5))*(VLOOKUP($B$5,标准坦克设计!$B$24:$U$30,MATCH("对"&amp;LEFT($C$5,2)&amp;"输出",标准坦克设计!$B$23:$U$23,0)))*(VLOOKUP($B175,INDIRECT($B$5&amp;"生成成长"),3))*(VLOOKUP($B$5,标准坦克设计!$B$14:$K$20,9)/30))</f>
        <v>1.540453838275456</v>
      </c>
      <c r="BB175" s="172">
        <f ca="1">(VLOOKUP(BB$72,INDIRECT($C$5&amp;"生成成长"),2))/((VLOOKUP($B175,INDIRECT($B$5&amp;"生成成长"),4))/(VLOOKUP(BB$72,INDIRECT($C$5&amp;"生成成长"),5))*(VLOOKUP($B$5,标准坦克设计!$B$24:$U$30,MATCH("对"&amp;LEFT($C$5,2)&amp;"输出",标准坦克设计!$B$23:$U$23,0)))*(VLOOKUP($B175,INDIRECT($B$5&amp;"生成成长"),3))*(VLOOKUP($B$5,标准坦克设计!$B$14:$K$20,9)/30))</f>
        <v>1.7003984124146159</v>
      </c>
      <c r="BC175" s="172">
        <f ca="1">(VLOOKUP(BC$72,INDIRECT($C$5&amp;"生成成长"),2))/((VLOOKUP($B175,INDIRECT($B$5&amp;"生成成长"),4))/(VLOOKUP(BC$72,INDIRECT($C$5&amp;"生成成长"),5))*(VLOOKUP($B$5,标准坦克设计!$B$24:$U$30,MATCH("对"&amp;LEFT($C$5,2)&amp;"输出",标准坦克设计!$B$23:$U$23,0)))*(VLOOKUP($B175,INDIRECT($B$5&amp;"生成成长"),3))*(VLOOKUP($B$5,标准坦克设计!$B$14:$K$20,9)/30))</f>
        <v>1.8682414840421291</v>
      </c>
      <c r="BD175" s="172">
        <f ca="1">(VLOOKUP(BD$72,INDIRECT($C$5&amp;"生成成长"),2))/((VLOOKUP($B175,INDIRECT($B$5&amp;"生成成长"),4))/(VLOOKUP(BD$72,INDIRECT($C$5&amp;"生成成长"),5))*(VLOOKUP($B$5,标准坦克设计!$B$24:$U$30,MATCH("对"&amp;LEFT($C$5,2)&amp;"输出",标准坦克设计!$B$23:$U$23,0)))*(VLOOKUP($B175,INDIRECT($B$5&amp;"生成成长"),3))*(VLOOKUP($B$5,标准坦克设计!$B$14:$K$20,9)/30))</f>
        <v>2.0665061124021298</v>
      </c>
      <c r="BE175" s="172">
        <f ca="1">(VLOOKUP(BE$72,INDIRECT($C$5&amp;"生成成长"),2))/((VLOOKUP($B175,INDIRECT($B$5&amp;"生成成长"),4))/(VLOOKUP(BE$72,INDIRECT($C$5&amp;"生成成长"),5))*(VLOOKUP($B$5,标准坦克设计!$B$24:$U$30,MATCH("对"&amp;LEFT($C$5,2)&amp;"输出",标准坦克设计!$B$23:$U$23,0)))*(VLOOKUP($B175,INDIRECT($B$5&amp;"生成成长"),3))*(VLOOKUP($B$5,标准坦克设计!$B$14:$K$20,9)/30))</f>
        <v>2.2747672766458269</v>
      </c>
      <c r="BF175" s="172">
        <f ca="1">(VLOOKUP(BF$72,INDIRECT($C$5&amp;"生成成长"),2))/((VLOOKUP($B175,INDIRECT($B$5&amp;"生成成长"),4))/(VLOOKUP(BF$72,INDIRECT($C$5&amp;"生成成长"),5))*(VLOOKUP($B$5,标准坦克设计!$B$24:$U$30,MATCH("对"&amp;LEFT($C$5,2)&amp;"输出",标准坦克设计!$B$23:$U$23,0)))*(VLOOKUP($B175,INDIRECT($B$5&amp;"生成成长"),3))*(VLOOKUP($B$5,标准坦克设计!$B$14:$K$20,9)/30))</f>
        <v>2.493024976773222</v>
      </c>
      <c r="BG175" s="172">
        <f ca="1">(VLOOKUP(BG$72,INDIRECT($C$5&amp;"生成成长"),2))/((VLOOKUP($B175,INDIRECT($B$5&amp;"生成成长"),4))/(VLOOKUP(BG$72,INDIRECT($C$5&amp;"生成成长"),5))*(VLOOKUP($B$5,标准坦克设计!$B$24:$U$30,MATCH("对"&amp;LEFT($C$5,2)&amp;"输出",标准坦克设计!$B$23:$U$23,0)))*(VLOOKUP($B175,INDIRECT($B$5&amp;"生成成长"),3))*(VLOOKUP($B$5,标准坦克设计!$B$14:$K$20,9)/30))</f>
        <v>2.7212792127843137</v>
      </c>
      <c r="BH175" s="172">
        <f ca="1">(VLOOKUP(BH$72,INDIRECT($C$5&amp;"生成成长"),2))/((VLOOKUP($B175,INDIRECT($B$5&amp;"生成成长"),4))/(VLOOKUP(BH$72,INDIRECT($C$5&amp;"生成成长"),5))*(VLOOKUP($B$5,标准坦克设计!$B$24:$U$30,MATCH("对"&amp;LEFT($C$5,2)&amp;"输出",标准坦克设计!$B$23:$U$23,0)))*(VLOOKUP($B175,INDIRECT($B$5&amp;"生成成长"),3))*(VLOOKUP($B$5,标准坦克设计!$B$14:$K$20,9)/30))</f>
        <v>1.3153466598573798</v>
      </c>
      <c r="BI175" s="172">
        <f ca="1">(VLOOKUP(BI$72,INDIRECT($C$5&amp;"生成成长"),2))/((VLOOKUP($B175,INDIRECT($B$5&amp;"生成成长"),4))/(VLOOKUP(BI$72,INDIRECT($C$5&amp;"生成成长"),5))*(VLOOKUP($B$5,标准坦克设计!$B$24:$U$30,MATCH("对"&amp;LEFT($C$5,2)&amp;"输出",标准坦克设计!$B$23:$U$23,0)))*(VLOOKUP($B175,INDIRECT($B$5&amp;"生成成长"),3))*(VLOOKUP($B$5,标准坦克设计!$B$14:$K$20,9)/30))</f>
        <v>1.4825109543569877</v>
      </c>
      <c r="BJ175" s="172">
        <f ca="1">(VLOOKUP(BJ$72,INDIRECT($C$5&amp;"生成成长"),2))/((VLOOKUP($B175,INDIRECT($B$5&amp;"生成成长"),4))/(VLOOKUP(BJ$72,INDIRECT($C$5&amp;"生成成长"),5))*(VLOOKUP($B$5,标准坦克设计!$B$24:$U$30,MATCH("对"&amp;LEFT($C$5,2)&amp;"输出",标准坦克设计!$B$23:$U$23,0)))*(VLOOKUP($B175,INDIRECT($B$5&amp;"生成成长"),3))*(VLOOKUP($B$5,标准坦克设计!$B$14:$K$20,9)/30))</f>
        <v>1.6596717847402929</v>
      </c>
      <c r="BK175" s="172">
        <f ca="1">(VLOOKUP(BK$72,INDIRECT($C$5&amp;"生成成长"),2))/((VLOOKUP($B175,INDIRECT($B$5&amp;"生成成长"),4))/(VLOOKUP(BK$72,INDIRECT($C$5&amp;"生成成长"),5))*(VLOOKUP($B$5,标准坦克设计!$B$24:$U$30,MATCH("对"&amp;LEFT($C$5,2)&amp;"输出",标准坦克设计!$B$23:$U$23,0)))*(VLOOKUP($B175,INDIRECT($B$5&amp;"生成成长"),3))*(VLOOKUP($B$5,标准坦克设计!$B$14:$K$20,9)/30))</f>
        <v>1.8468291510072961</v>
      </c>
      <c r="BL175" s="172">
        <f ca="1">(VLOOKUP(BL$72,INDIRECT($C$5&amp;"生成成长"),2))/((VLOOKUP($B175,INDIRECT($B$5&amp;"生成成长"),4))/(VLOOKUP(BL$72,INDIRECT($C$5&amp;"生成成长"),5))*(VLOOKUP($B$5,标准坦克设计!$B$24:$U$30,MATCH("对"&amp;LEFT($C$5,2)&amp;"输出",标准坦克设计!$B$23:$U$23,0)))*(VLOOKUP($B175,INDIRECT($B$5&amp;"生成成长"),3))*(VLOOKUP($B$5,标准坦克设计!$B$14:$K$20,9)/30))</f>
        <v>2.0439830531579961</v>
      </c>
      <c r="BM175" s="172">
        <f ca="1">(VLOOKUP(BM$72,INDIRECT($C$5&amp;"生成成长"),2))/((VLOOKUP($B175,INDIRECT($B$5&amp;"生成成长"),4))/(VLOOKUP(BM$72,INDIRECT($C$5&amp;"生成成长"),5))*(VLOOKUP($B$5,标准坦克设计!$B$24:$U$30,MATCH("对"&amp;LEFT($C$5,2)&amp;"输出",标准坦克设计!$B$23:$U$23,0)))*(VLOOKUP($B175,INDIRECT($B$5&amp;"生成成长"),3))*(VLOOKUP($B$5,标准坦克设计!$B$14:$K$20,9)/30))</f>
        <v>2.2511334911923937</v>
      </c>
      <c r="BN175" s="172">
        <f ca="1">(VLOOKUP(BN$72,INDIRECT($C$5&amp;"生成成长"),2))/((VLOOKUP($B175,INDIRECT($B$5&amp;"生成成长"),4))/(VLOOKUP(BN$72,INDIRECT($C$5&amp;"生成成长"),5))*(VLOOKUP($B$5,标准坦克设计!$B$24:$U$30,MATCH("对"&amp;LEFT($C$5,2)&amp;"输出",标准坦克设计!$B$23:$U$23,0)))*(VLOOKUP($B175,INDIRECT($B$5&amp;"生成成长"),3))*(VLOOKUP($B$5,标准坦克设计!$B$14:$K$20,9)/30))</f>
        <v>2.4682804651104893</v>
      </c>
      <c r="BO175" s="172">
        <f ca="1">(VLOOKUP(BO$72,INDIRECT($C$5&amp;"生成成长"),2))/((VLOOKUP($B175,INDIRECT($B$5&amp;"生成成长"),4))/(VLOOKUP(BO$72,INDIRECT($C$5&amp;"生成成长"),5))*(VLOOKUP($B$5,标准坦克设计!$B$24:$U$30,MATCH("对"&amp;LEFT($C$5,2)&amp;"输出",标准坦克设计!$B$23:$U$23,0)))*(VLOOKUP($B175,INDIRECT($B$5&amp;"生成成长"),3))*(VLOOKUP($B$5,标准坦克设计!$B$14:$K$20,9)/30))</f>
        <v>2.6954239749122819</v>
      </c>
      <c r="BP175" s="172">
        <f ca="1">(VLOOKUP(BP$72,INDIRECT($C$5&amp;"生成成长"),2))/((VLOOKUP($B175,INDIRECT($B$5&amp;"生成成长"),4))/(VLOOKUP(BP$72,INDIRECT($C$5&amp;"生成成长"),5))*(VLOOKUP($B$5,标准坦克设计!$B$24:$U$30,MATCH("对"&amp;LEFT($C$5,2)&amp;"输出",标准坦克设计!$B$23:$U$23,0)))*(VLOOKUP($B175,INDIRECT($B$5&amp;"生成成长"),3))*(VLOOKUP($B$5,标准坦克设计!$B$14:$K$20,9)/30))</f>
        <v>2.9325640205977721</v>
      </c>
      <c r="BQ175" s="172">
        <f ca="1">(VLOOKUP(BQ$72,INDIRECT($C$5&amp;"生成成长"),2))/((VLOOKUP($B175,INDIRECT($B$5&amp;"生成成长"),4))/(VLOOKUP(BQ$72,INDIRECT($C$5&amp;"生成成长"),5))*(VLOOKUP($B$5,标准坦克设计!$B$24:$U$30,MATCH("对"&amp;LEFT($C$5,2)&amp;"输出",标准坦克设计!$B$23:$U$23,0)))*(VLOOKUP($B175,INDIRECT($B$5&amp;"生成成长"),3))*(VLOOKUP($B$5,标准坦克设计!$B$14:$K$20,9)/30))</f>
        <v>3.1797006021669594</v>
      </c>
      <c r="BR175" s="172">
        <f ca="1">(VLOOKUP(BR$72,INDIRECT($C$5&amp;"生成成长"),2))/((VLOOKUP($B175,INDIRECT($B$5&amp;"生成成长"),4))/(VLOOKUP(BR$72,INDIRECT($C$5&amp;"生成成长"),5))*(VLOOKUP($B$5,标准坦克设计!$B$24:$U$30,MATCH("对"&amp;LEFT($C$5,2)&amp;"输出",标准坦克设计!$B$23:$U$23,0)))*(VLOOKUP($B175,INDIRECT($B$5&amp;"生成成长"),3))*(VLOOKUP($B$5,标准坦克设计!$B$14:$K$20,9)/30))</f>
        <v>3.4660211361197764</v>
      </c>
      <c r="BS175" s="172">
        <f ca="1">(VLOOKUP(BS$72,INDIRECT($C$5&amp;"生成成长"),2))/((VLOOKUP($B175,INDIRECT($B$5&amp;"生成成长"),4))/(VLOOKUP(BS$72,INDIRECT($C$5&amp;"生成成长"),5))*(VLOOKUP($B$5,标准坦克设计!$B$24:$U$30,MATCH("对"&amp;LEFT($C$5,2)&amp;"输出",标准坦克设计!$B$23:$U$23,0)))*(VLOOKUP($B175,INDIRECT($B$5&amp;"生成成长"),3))*(VLOOKUP($B$5,标准坦克设计!$B$14:$K$20,9)/30))</f>
        <v>3.7646830723981455</v>
      </c>
      <c r="BT175" s="172">
        <f ca="1">(VLOOKUP(BT$72,INDIRECT($C$5&amp;"生成成长"),2))/((VLOOKUP($B175,INDIRECT($B$5&amp;"生成成长"),4))/(VLOOKUP(BT$72,INDIRECT($C$5&amp;"生成成长"),5))*(VLOOKUP($B$5,标准坦克设计!$B$24:$U$30,MATCH("对"&amp;LEFT($C$5,2)&amp;"输出",标准坦克设计!$B$23:$U$23,0)))*(VLOOKUP($B175,INDIRECT($B$5&amp;"生成成长"),3))*(VLOOKUP($B$5,标准坦克设计!$B$14:$K$20,9)/30))</f>
        <v>4.0756864110020672</v>
      </c>
      <c r="BU175" s="172">
        <f ca="1">(VLOOKUP(BU$72,INDIRECT($C$5&amp;"生成成长"),2))/((VLOOKUP($B175,INDIRECT($B$5&amp;"生成成长"),4))/(VLOOKUP(BU$72,INDIRECT($C$5&amp;"生成成长"),5))*(VLOOKUP($B$5,标准坦克设计!$B$24:$U$30,MATCH("对"&amp;LEFT($C$5,2)&amp;"输出",标准坦克设计!$B$23:$U$23,0)))*(VLOOKUP($B175,INDIRECT($B$5&amp;"生成成长"),3))*(VLOOKUP($B$5,标准坦克设计!$B$14:$K$20,9)/30))</f>
        <v>4.3990311519315419</v>
      </c>
      <c r="BV175" s="172">
        <f ca="1">(VLOOKUP(BV$72,INDIRECT($C$5&amp;"生成成长"),2))/((VLOOKUP($B175,INDIRECT($B$5&amp;"生成成长"),4))/(VLOOKUP(BV$72,INDIRECT($C$5&amp;"生成成长"),5))*(VLOOKUP($B$5,标准坦克设计!$B$24:$U$30,MATCH("对"&amp;LEFT($C$5,2)&amp;"输出",标准坦克设计!$B$23:$U$23,0)))*(VLOOKUP($B175,INDIRECT($B$5&amp;"生成成长"),3))*(VLOOKUP($B$5,标准坦克设计!$B$14:$K$20,9)/30))</f>
        <v>4.7347172951865684</v>
      </c>
      <c r="BW175" s="172">
        <f ca="1">(VLOOKUP(BW$72,INDIRECT($C$5&amp;"生成成长"),2))/((VLOOKUP($B175,INDIRECT($B$5&amp;"生成成长"),4))/(VLOOKUP(BW$72,INDIRECT($C$5&amp;"生成成长"),5))*(VLOOKUP($B$5,标准坦克设计!$B$24:$U$30,MATCH("对"&amp;LEFT($C$5,2)&amp;"输出",标准坦克设计!$B$23:$U$23,0)))*(VLOOKUP($B175,INDIRECT($B$5&amp;"生成成长"),3))*(VLOOKUP($B$5,标准坦克设计!$B$14:$K$20,9)/30))</f>
        <v>2.1578324896112173</v>
      </c>
      <c r="BX175" s="172">
        <f ca="1">(VLOOKUP(BX$72,INDIRECT($C$5&amp;"生成成长"),2))/((VLOOKUP($B175,INDIRECT($B$5&amp;"生成成长"),4))/(VLOOKUP(BX$72,INDIRECT($C$5&amp;"生成成长"),5))*(VLOOKUP($B$5,标准坦克设计!$B$24:$U$30,MATCH("对"&amp;LEFT($C$5,2)&amp;"输出",标准坦克设计!$B$23:$U$23,0)))*(VLOOKUP($B175,INDIRECT($B$5&amp;"生成成长"),3))*(VLOOKUP($B$5,标准坦克设计!$B$14:$K$20,9)/30))</f>
        <v>2.394787414261824</v>
      </c>
      <c r="BY175" s="172">
        <f ca="1">(VLOOKUP(BY$72,INDIRECT($C$5&amp;"生成成长"),2))/((VLOOKUP($B175,INDIRECT($B$5&amp;"生成成长"),4))/(VLOOKUP(BY$72,INDIRECT($C$5&amp;"生成成长"),5))*(VLOOKUP($B$5,标准坦克设计!$B$24:$U$30,MATCH("对"&amp;LEFT($C$5,2)&amp;"输出",标准坦克设计!$B$23:$U$23,0)))*(VLOOKUP($B175,INDIRECT($B$5&amp;"生成成长"),3))*(VLOOKUP($B$5,标准坦克设计!$B$14:$K$20,9)/30))</f>
        <v>2.6440837412379836</v>
      </c>
      <c r="BZ175" s="172">
        <f ca="1">(VLOOKUP(BZ$72,INDIRECT($C$5&amp;"生成成长"),2))/((VLOOKUP($B175,INDIRECT($B$5&amp;"生成成长"),4))/(VLOOKUP(BZ$72,INDIRECT($C$5&amp;"生成成长"),5))*(VLOOKUP($B$5,标准坦克设计!$B$24:$U$30,MATCH("对"&amp;LEFT($C$5,2)&amp;"输出",标准坦克设计!$B$23:$U$23,0)))*(VLOOKUP($B175,INDIRECT($B$5&amp;"生成成长"),3))*(VLOOKUP($B$5,标准坦克设计!$B$14:$K$20,9)/30))</f>
        <v>2.9057214705396963</v>
      </c>
      <c r="CA175" s="172">
        <f ca="1">(VLOOKUP(CA$72,INDIRECT($C$5&amp;"生成成长"),2))/((VLOOKUP($B175,INDIRECT($B$5&amp;"生成成长"),4))/(VLOOKUP(CA$72,INDIRECT($C$5&amp;"生成成长"),5))*(VLOOKUP($B$5,标准坦克设计!$B$24:$U$30,MATCH("对"&amp;LEFT($C$5,2)&amp;"输出",标准坦克设计!$B$23:$U$23,0)))*(VLOOKUP($B175,INDIRECT($B$5&amp;"生成成长"),3))*(VLOOKUP($B$5,标准坦克设计!$B$14:$K$20,9)/30))</f>
        <v>3.1797006021669594</v>
      </c>
      <c r="CB175" s="172">
        <f ca="1">(VLOOKUP(CB$72,INDIRECT($C$5&amp;"生成成长"),2))/((VLOOKUP($B175,INDIRECT($B$5&amp;"生成成长"),4))/(VLOOKUP(CB$72,INDIRECT($C$5&amp;"生成成长"),5))*(VLOOKUP($B$5,标准坦克设计!$B$24:$U$30,MATCH("对"&amp;LEFT($C$5,2)&amp;"输出",标准坦克设计!$B$23:$U$23,0)))*(VLOOKUP($B175,INDIRECT($B$5&amp;"生成成长"),3))*(VLOOKUP($B$5,标准坦克设计!$B$14:$K$20,9)/30))</f>
        <v>3.4660211361197764</v>
      </c>
      <c r="CC175" s="172">
        <f ca="1">(VLOOKUP(CC$72,INDIRECT($C$5&amp;"生成成长"),2))/((VLOOKUP($B175,INDIRECT($B$5&amp;"生成成长"),4))/(VLOOKUP(CC$72,INDIRECT($C$5&amp;"生成成长"),5))*(VLOOKUP($B$5,标准坦克设计!$B$24:$U$30,MATCH("对"&amp;LEFT($C$5,2)&amp;"输出",标准坦克设计!$B$23:$U$23,0)))*(VLOOKUP($B175,INDIRECT($B$5&amp;"生成成长"),3))*(VLOOKUP($B$5,标准坦克设计!$B$14:$K$20,9)/30))</f>
        <v>3.7646830723981455</v>
      </c>
      <c r="CD175" s="172">
        <f ca="1">(VLOOKUP(CD$72,INDIRECT($C$5&amp;"生成成长"),2))/((VLOOKUP($B175,INDIRECT($B$5&amp;"生成成长"),4))/(VLOOKUP(CD$72,INDIRECT($C$5&amp;"生成成长"),5))*(VLOOKUP($B$5,标准坦克设计!$B$24:$U$30,MATCH("对"&amp;LEFT($C$5,2)&amp;"输出",标准坦克设计!$B$23:$U$23,0)))*(VLOOKUP($B175,INDIRECT($B$5&amp;"生成成长"),3))*(VLOOKUP($B$5,标准坦克设计!$B$14:$K$20,9)/30))</f>
        <v>4.0756864110020672</v>
      </c>
      <c r="CE175" s="172">
        <f ca="1">(VLOOKUP(CE$72,INDIRECT($C$5&amp;"生成成长"),2))/((VLOOKUP($B175,INDIRECT($B$5&amp;"生成成长"),4))/(VLOOKUP(CE$72,INDIRECT($C$5&amp;"生成成长"),5))*(VLOOKUP($B$5,标准坦克设计!$B$24:$U$30,MATCH("对"&amp;LEFT($C$5,2)&amp;"输出",标准坦克设计!$B$23:$U$23,0)))*(VLOOKUP($B175,INDIRECT($B$5&amp;"生成成长"),3))*(VLOOKUP($B$5,标准坦克设计!$B$14:$K$20,9)/30))</f>
        <v>4.3990311519315419</v>
      </c>
      <c r="CF175" s="172">
        <f ca="1">(VLOOKUP(CF$72,INDIRECT($C$5&amp;"生成成长"),2))/((VLOOKUP($B175,INDIRECT($B$5&amp;"生成成长"),4))/(VLOOKUP(CF$72,INDIRECT($C$5&amp;"生成成长"),5))*(VLOOKUP($B$5,标准坦克设计!$B$24:$U$30,MATCH("对"&amp;LEFT($C$5,2)&amp;"输出",标准坦克设计!$B$23:$U$23,0)))*(VLOOKUP($B175,INDIRECT($B$5&amp;"生成成长"),3))*(VLOOKUP($B$5,标准坦克设计!$B$14:$K$20,9)/30))</f>
        <v>4.7347172951865684</v>
      </c>
      <c r="CG175" s="172">
        <f ca="1">(VLOOKUP(CG$72,INDIRECT($C$5&amp;"生成成长"),2))/((VLOOKUP($B175,INDIRECT($B$5&amp;"生成成长"),4))/(VLOOKUP(CG$72,INDIRECT($C$5&amp;"生成成长"),5))*(VLOOKUP($B$5,标准坦克设计!$B$24:$U$30,MATCH("对"&amp;LEFT($C$5,2)&amp;"输出",标准坦克设计!$B$23:$U$23,0)))*(VLOOKUP($B175,INDIRECT($B$5&amp;"生成成长"),3))*(VLOOKUP($B$5,标准坦克设计!$B$14:$K$20,9)/30))</f>
        <v>5.0827448407671474</v>
      </c>
      <c r="CH175" s="172">
        <f ca="1">(VLOOKUP(CH$72,INDIRECT($C$5&amp;"生成成长"),2))/((VLOOKUP($B175,INDIRECT($B$5&amp;"生成成长"),4))/(VLOOKUP(CH$72,INDIRECT($C$5&amp;"生成成长"),5))*(VLOOKUP($B$5,标准坦克设计!$B$24:$U$30,MATCH("对"&amp;LEFT($C$5,2)&amp;"输出",标准坦克设计!$B$23:$U$23,0)))*(VLOOKUP($B175,INDIRECT($B$5&amp;"生成成长"),3))*(VLOOKUP($B$5,标准坦克设计!$B$14:$K$20,9)/30))</f>
        <v>5.443113788673279</v>
      </c>
      <c r="CI175" s="172">
        <f ca="1">(VLOOKUP(CI$72,INDIRECT($C$5&amp;"生成成长"),2))/((VLOOKUP($B175,INDIRECT($B$5&amp;"生成成长"),4))/(VLOOKUP(CI$72,INDIRECT($C$5&amp;"生成成长"),5))*(VLOOKUP($B$5,标准坦克设计!$B$24:$U$30,MATCH("对"&amp;LEFT($C$5,2)&amp;"输出",标准坦克设计!$B$23:$U$23,0)))*(VLOOKUP($B175,INDIRECT($B$5&amp;"生成成长"),3))*(VLOOKUP($B$5,标准坦克设计!$B$14:$K$20,9)/30))</f>
        <v>5.853773951056036</v>
      </c>
      <c r="CJ175" s="172">
        <f ca="1">(VLOOKUP(CJ$72,INDIRECT($C$5&amp;"生成成长"),2))/((VLOOKUP($B175,INDIRECT($B$5&amp;"生成成长"),4))/(VLOOKUP(CJ$72,INDIRECT($C$5&amp;"生成成长"),5))*(VLOOKUP($B$5,标准坦克设计!$B$24:$U$30,MATCH("对"&amp;LEFT($C$5,2)&amp;"输出",标准坦克设计!$B$23:$U$23,0)))*(VLOOKUP($B175,INDIRECT($B$5&amp;"生成成长"),3))*(VLOOKUP($B$5,标准坦克设计!$B$14:$K$20,9)/30))</f>
        <v>6.2793672102527109</v>
      </c>
      <c r="CK175" s="172">
        <f ca="1">(VLOOKUP(CK$72,INDIRECT($C$5&amp;"生成成长"),2))/((VLOOKUP($B175,INDIRECT($B$5&amp;"生成成长"),4))/(VLOOKUP(CK$72,INDIRECT($C$5&amp;"生成成长"),5))*(VLOOKUP($B$5,标准坦克设计!$B$24:$U$30,MATCH("对"&amp;LEFT($C$5,2)&amp;"输出",标准坦克设计!$B$23:$U$23,0)))*(VLOOKUP($B175,INDIRECT($B$5&amp;"生成成长"),3))*(VLOOKUP($B$5,标准坦克设计!$B$14:$K$20,9)/30))</f>
        <v>6.7198935662633064</v>
      </c>
      <c r="CL175" s="172">
        <f ca="1">(VLOOKUP(CL$72,INDIRECT($C$5&amp;"生成成长"),2))/((VLOOKUP($B175,INDIRECT($B$5&amp;"生成成长"),4))/(VLOOKUP(CL$72,INDIRECT($C$5&amp;"生成成长"),5))*(VLOOKUP($B$5,标准坦克设计!$B$24:$U$30,MATCH("对"&amp;LEFT($C$5,2)&amp;"输出",标准坦克设计!$B$23:$U$23,0)))*(VLOOKUP($B175,INDIRECT($B$5&amp;"生成成长"),3))*(VLOOKUP($B$5,标准坦克设计!$B$14:$K$20,9)/30))</f>
        <v>7.1753530190878205</v>
      </c>
      <c r="CM175" s="172">
        <f ca="1">(VLOOKUP(CM$72,INDIRECT($C$5&amp;"生成成长"),2))/((VLOOKUP($B175,INDIRECT($B$5&amp;"生成成长"),4))/(VLOOKUP(CM$72,INDIRECT($C$5&amp;"生成成长"),5))*(VLOOKUP($B$5,标准坦克设计!$B$24:$U$30,MATCH("对"&amp;LEFT($C$5,2)&amp;"输出",标准坦克设计!$B$23:$U$23,0)))*(VLOOKUP($B175,INDIRECT($B$5&amp;"生成成长"),3))*(VLOOKUP($B$5,标准坦克设计!$B$14:$K$20,9)/30))</f>
        <v>7.6457455687262508</v>
      </c>
      <c r="CN175" s="172">
        <f ca="1">(VLOOKUP(CN$72,INDIRECT($C$5&amp;"生成成长"),2))/((VLOOKUP($B175,INDIRECT($B$5&amp;"生成成长"),4))/(VLOOKUP(CN$72,INDIRECT($C$5&amp;"生成成长"),5))*(VLOOKUP($B$5,标准坦克设计!$B$24:$U$30,MATCH("对"&amp;LEFT($C$5,2)&amp;"输出",标准坦克设计!$B$23:$U$23,0)))*(VLOOKUP($B175,INDIRECT($B$5&amp;"生成成长"),3))*(VLOOKUP($B$5,标准坦克设计!$B$14:$K$20,9)/30))</f>
        <v>8.1310712151786024</v>
      </c>
      <c r="CO175" s="172">
        <f ca="1">(VLOOKUP(CO$72,INDIRECT($C$5&amp;"生成成长"),2))/((VLOOKUP($B175,INDIRECT($B$5&amp;"生成成长"),4))/(VLOOKUP(CO$72,INDIRECT($C$5&amp;"生成成长"),5))*(VLOOKUP($B$5,标准坦克设计!$B$24:$U$30,MATCH("对"&amp;LEFT($C$5,2)&amp;"输出",标准坦克设计!$B$23:$U$23,0)))*(VLOOKUP($B175,INDIRECT($B$5&amp;"生成成长"),3))*(VLOOKUP($B$5,标准坦克设计!$B$14:$K$20,9)/30))</f>
        <v>3.6437373296077311</v>
      </c>
      <c r="CP175" s="172">
        <f ca="1">(VLOOKUP(CP$72,INDIRECT($C$5&amp;"生成成长"),2))/((VLOOKUP($B175,INDIRECT($B$5&amp;"生成成长"),4))/(VLOOKUP(CP$72,INDIRECT($C$5&amp;"生成成长"),5))*(VLOOKUP($B$5,标准坦克设计!$B$24:$U$30,MATCH("对"&amp;LEFT($C$5,2)&amp;"输出",标准坦克设计!$B$23:$U$23,0)))*(VLOOKUP($B175,INDIRECT($B$5&amp;"生成成长"),3))*(VLOOKUP($B$5,标准坦克设计!$B$14:$K$20,9)/30))</f>
        <v>3.9810895621767077</v>
      </c>
      <c r="CQ175" s="172">
        <f ca="1">(VLOOKUP(CQ$72,INDIRECT($C$5&amp;"生成成长"),2))/((VLOOKUP($B175,INDIRECT($B$5&amp;"生成成长"),4))/(VLOOKUP(CQ$72,INDIRECT($C$5&amp;"生成成长"),5))*(VLOOKUP($B$5,标准坦克设计!$B$24:$U$30,MATCH("对"&amp;LEFT($C$5,2)&amp;"输出",标准坦克设计!$B$23:$U$23,0)))*(VLOOKUP($B175,INDIRECT($B$5&amp;"生成成长"),3))*(VLOOKUP($B$5,标准坦克设计!$B$14:$K$20,9)/30))</f>
        <v>4.3333748915596031</v>
      </c>
      <c r="CR175" s="172">
        <f ca="1">(VLOOKUP(CR$72,INDIRECT($C$5&amp;"生成成长"),2))/((VLOOKUP($B175,INDIRECT($B$5&amp;"生成成长"),4))/(VLOOKUP(CR$72,INDIRECT($C$5&amp;"生成成长"),5))*(VLOOKUP($B$5,标准坦克设计!$B$24:$U$30,MATCH("对"&amp;LEFT($C$5,2)&amp;"输出",标准坦克设计!$B$23:$U$23,0)))*(VLOOKUP($B175,INDIRECT($B$5&amp;"生成成长"),3))*(VLOOKUP($B$5,标准坦克设计!$B$14:$K$20,9)/30))</f>
        <v>4.7005933177564145</v>
      </c>
      <c r="CS175" s="172">
        <f ca="1">(VLOOKUP(CS$72,INDIRECT($C$5&amp;"生成成长"),2))/((VLOOKUP($B175,INDIRECT($B$5&amp;"生成成长"),4))/(VLOOKUP(CS$72,INDIRECT($C$5&amp;"生成成长"),5))*(VLOOKUP($B$5,标准坦克设计!$B$24:$U$30,MATCH("对"&amp;LEFT($C$5,2)&amp;"输出",标准坦克设计!$B$23:$U$23,0)))*(VLOOKUP($B175,INDIRECT($B$5&amp;"生成成长"),3))*(VLOOKUP($B$5,标准坦克设计!$B$14:$K$20,9)/30))</f>
        <v>5.0827448407671474</v>
      </c>
      <c r="CT175" s="172">
        <f ca="1">(VLOOKUP(CT$72,INDIRECT($C$5&amp;"生成成长"),2))/((VLOOKUP($B175,INDIRECT($B$5&amp;"生成成长"),4))/(VLOOKUP(CT$72,INDIRECT($C$5&amp;"生成成长"),5))*(VLOOKUP($B$5,标准坦克设计!$B$24:$U$30,MATCH("对"&amp;LEFT($C$5,2)&amp;"输出",标准坦克设计!$B$23:$U$23,0)))*(VLOOKUP($B175,INDIRECT($B$5&amp;"生成成长"),3))*(VLOOKUP($B$5,标准坦克设计!$B$14:$K$20,9)/30))</f>
        <v>5.4798294605917972</v>
      </c>
      <c r="CU175" s="172">
        <f ca="1">(VLOOKUP(CU$72,INDIRECT($C$5&amp;"生成成长"),2))/((VLOOKUP($B175,INDIRECT($B$5&amp;"生成成长"),4))/(VLOOKUP(CU$72,INDIRECT($C$5&amp;"生成成长"),5))*(VLOOKUP($B$5,标准坦克设计!$B$24:$U$30,MATCH("对"&amp;LEFT($C$5,2)&amp;"输出",标准坦克设计!$B$23:$U$23,0)))*(VLOOKUP($B175,INDIRECT($B$5&amp;"生成成长"),3))*(VLOOKUP($B$5,标准坦克设计!$B$14:$K$20,9)/30))</f>
        <v>5.8918471772303658</v>
      </c>
      <c r="CV175" s="172">
        <f ca="1">(VLOOKUP(CV$72,INDIRECT($C$5&amp;"生成成长"),2))/((VLOOKUP($B175,INDIRECT($B$5&amp;"生成成长"),4))/(VLOOKUP(CV$72,INDIRECT($C$5&amp;"生成成长"),5))*(VLOOKUP($B$5,标准坦克设计!$B$24:$U$30,MATCH("对"&amp;LEFT($C$5,2)&amp;"输出",标准坦克设计!$B$23:$U$23,0)))*(VLOOKUP($B175,INDIRECT($B$5&amp;"生成成长"),3))*(VLOOKUP($B$5,标准坦克设计!$B$14:$K$20,9)/30))</f>
        <v>6.3187979906828522</v>
      </c>
      <c r="CW175" s="172">
        <f ca="1">(VLOOKUP(CW$72,INDIRECT($C$5&amp;"生成成长"),2))/((VLOOKUP($B175,INDIRECT($B$5&amp;"生成成长"),4))/(VLOOKUP(CW$72,INDIRECT($C$5&amp;"生成成长"),5))*(VLOOKUP($B$5,标准坦克设计!$B$24:$U$30,MATCH("对"&amp;LEFT($C$5,2)&amp;"输出",标准坦克设计!$B$23:$U$23,0)))*(VLOOKUP($B175,INDIRECT($B$5&amp;"生成成长"),3))*(VLOOKUP($B$5,标准坦克设计!$B$14:$K$20,9)/30))</f>
        <v>6.7606819009492582</v>
      </c>
      <c r="CX175" s="172">
        <f ca="1">(VLOOKUP(CX$72,INDIRECT($C$5&amp;"生成成长"),2))/((VLOOKUP($B175,INDIRECT($B$5&amp;"生成成长"),4))/(VLOOKUP(CX$72,INDIRECT($C$5&amp;"生成成长"),5))*(VLOOKUP($B$5,标准坦克设计!$B$24:$U$30,MATCH("对"&amp;LEFT($C$5,2)&amp;"输出",标准坦克设计!$B$23:$U$23,0)))*(VLOOKUP($B175,INDIRECT($B$5&amp;"生成成长"),3))*(VLOOKUP($B$5,标准坦克设计!$B$14:$K$20,9)/30))</f>
        <v>7.2174989080295804</v>
      </c>
      <c r="CY175" s="172">
        <f ca="1">(VLOOKUP(CY$72,INDIRECT($C$5&amp;"生成成长"),2))/((VLOOKUP($B175,INDIRECT($B$5&amp;"生成成长"),4))/(VLOOKUP(CY$72,INDIRECT($C$5&amp;"生成成长"),5))*(VLOOKUP($B$5,标准坦克设计!$B$24:$U$30,MATCH("对"&amp;LEFT($C$5,2)&amp;"输出",标准坦克设计!$B$23:$U$23,0)))*(VLOOKUP($B175,INDIRECT($B$5&amp;"生成成长"),3))*(VLOOKUP($B$5,标准坦克设计!$B$14:$K$20,9)/30))</f>
        <v>7.6892490119238239</v>
      </c>
      <c r="CZ175" s="172">
        <f ca="1">(VLOOKUP(CZ$72,INDIRECT($C$5&amp;"生成成长"),2))/((VLOOKUP($B175,INDIRECT($B$5&amp;"生成成长"),4))/(VLOOKUP(CZ$72,INDIRECT($C$5&amp;"生成成长"),5))*(VLOOKUP($B$5,标准坦克设计!$B$24:$U$30,MATCH("对"&amp;LEFT($C$5,2)&amp;"输出",标准坦克设计!$B$23:$U$23,0)))*(VLOOKUP($B175,INDIRECT($B$5&amp;"生成成长"),3))*(VLOOKUP($B$5,标准坦克设计!$B$14:$K$20,9)/30))</f>
        <v>8.1759322126319844</v>
      </c>
      <c r="DA175" s="172">
        <f ca="1">(VLOOKUP(DA$72,INDIRECT($C$5&amp;"生成成长"),2))/((VLOOKUP($B175,INDIRECT($B$5&amp;"生成成长"),4))/(VLOOKUP(DA$72,INDIRECT($C$5&amp;"生成成长"),5))*(VLOOKUP($B$5,标准坦克设计!$B$24:$U$30,MATCH("对"&amp;LEFT($C$5,2)&amp;"输出",标准坦克设计!$B$23:$U$23,0)))*(VLOOKUP($B175,INDIRECT($B$5&amp;"生成成长"),3))*(VLOOKUP($B$5,标准坦克设计!$B$14:$K$20,9)/30))</f>
        <v>8.6775485101540628</v>
      </c>
      <c r="DB175" s="172">
        <f ca="1">(VLOOKUP(DB$72,INDIRECT($C$5&amp;"生成成长"),2))/((VLOOKUP($B175,INDIRECT($B$5&amp;"生成成长"),4))/(VLOOKUP(DB$72,INDIRECT($C$5&amp;"生成成长"),5))*(VLOOKUP($B$5,标准坦克设计!$B$24:$U$30,MATCH("对"&amp;LEFT($C$5,2)&amp;"输出",标准坦克设计!$B$23:$U$23,0)))*(VLOOKUP($B175,INDIRECT($B$5&amp;"生成成长"),3))*(VLOOKUP($B$5,标准坦克设计!$B$14:$K$20,9)/30))</f>
        <v>9.1940979044900608</v>
      </c>
      <c r="DC175" s="172">
        <f ca="1">(VLOOKUP(DC$72,INDIRECT($C$5&amp;"生成成长"),2))/((VLOOKUP($B175,INDIRECT($B$5&amp;"生成成长"),4))/(VLOOKUP(DC$72,INDIRECT($C$5&amp;"生成成长"),5))*(VLOOKUP($B$5,标准坦克设计!$B$24:$U$30,MATCH("对"&amp;LEFT($C$5,2)&amp;"输出",标准坦克设计!$B$23:$U$23,0)))*(VLOOKUP($B175,INDIRECT($B$5&amp;"生成成长"),3))*(VLOOKUP($B$5,标准坦克设计!$B$14:$K$20,9)/30))</f>
        <v>9.7746374698840466</v>
      </c>
      <c r="DD175" s="172">
        <f ca="1">(VLOOKUP(DD$72,INDIRECT($C$5&amp;"生成成长"),2))/((VLOOKUP($B175,INDIRECT($B$5&amp;"生成成长"),4))/(VLOOKUP(DD$72,INDIRECT($C$5&amp;"生成成长"),5))*(VLOOKUP($B$5,标准坦克设计!$B$24:$U$30,MATCH("对"&amp;LEFT($C$5,2)&amp;"输出",标准坦克设计!$B$23:$U$23,0)))*(VLOOKUP($B175,INDIRECT($B$5&amp;"生成成长"),3))*(VLOOKUP($B$5,标准坦克设计!$B$14:$K$20,9)/30))</f>
        <v>10.37294865462683</v>
      </c>
      <c r="DE175" s="172">
        <f ca="1">(VLOOKUP(DE$72,INDIRECT($C$5&amp;"生成成长"),2))/((VLOOKUP($B175,INDIRECT($B$5&amp;"生成成长"),4))/(VLOOKUP(DE$72,INDIRECT($C$5&amp;"生成成长"),5))*(VLOOKUP($B$5,标准坦克设计!$B$24:$U$30,MATCH("对"&amp;LEFT($C$5,2)&amp;"输出",标准坦克设计!$B$23:$U$23,0)))*(VLOOKUP($B175,INDIRECT($B$5&amp;"生成成长"),3))*(VLOOKUP($B$5,标准坦克设计!$B$14:$K$20,9)/30))</f>
        <v>10.989031458718408</v>
      </c>
      <c r="DF175" s="172">
        <f ca="1">(VLOOKUP(DF$72,INDIRECT($C$5&amp;"生成成长"),2))/((VLOOKUP($B175,INDIRECT($B$5&amp;"生成成长"),4))/(VLOOKUP(DF$72,INDIRECT($C$5&amp;"生成成长"),5))*(VLOOKUP($B$5,标准坦克设计!$B$24:$U$30,MATCH("对"&amp;LEFT($C$5,2)&amp;"输出",标准坦克设计!$B$23:$U$23,0)))*(VLOOKUP($B175,INDIRECT($B$5&amp;"生成成长"),3))*(VLOOKUP($B$5,标准坦克设计!$B$14:$K$20,9)/30))</f>
        <v>11.622885882158785</v>
      </c>
      <c r="DG175" s="172">
        <f ca="1">(VLOOKUP(DG$72,INDIRECT($C$5&amp;"生成成长"),2))/((VLOOKUP($B175,INDIRECT($B$5&amp;"生成成长"),4))/(VLOOKUP(DG$72,INDIRECT($C$5&amp;"生成成长"),5))*(VLOOKUP($B$5,标准坦克设计!$B$24:$U$30,MATCH("对"&amp;LEFT($C$5,2)&amp;"输出",标准坦克设计!$B$23:$U$23,0)))*(VLOOKUP($B175,INDIRECT($B$5&amp;"生成成长"),3))*(VLOOKUP($B$5,标准坦克设计!$B$14:$K$20,9)/30))</f>
        <v>12.274511924947952</v>
      </c>
      <c r="DH175" s="172">
        <f ca="1">(VLOOKUP(DH$72,INDIRECT($C$5&amp;"生成成长"),2))/((VLOOKUP($B175,INDIRECT($B$5&amp;"生成成长"),4))/(VLOOKUP(DH$72,INDIRECT($C$5&amp;"生成成长"),5))*(VLOOKUP($B$5,标准坦克设计!$B$24:$U$30,MATCH("对"&amp;LEFT($C$5,2)&amp;"输出",标准坦克设计!$B$23:$U$23,0)))*(VLOOKUP($B175,INDIRECT($B$5&amp;"生成成长"),3))*(VLOOKUP($B$5,标准坦克设计!$B$14:$K$20,9)/30))</f>
        <v>12.943909587085916</v>
      </c>
      <c r="DI175" s="172">
        <f ca="1">(VLOOKUP(DI$72,INDIRECT($C$5&amp;"生成成长"),2))/((VLOOKUP($B175,INDIRECT($B$5&amp;"生成成长"),4))/(VLOOKUP(DI$72,INDIRECT($C$5&amp;"生成成长"),5))*(VLOOKUP($B$5,标准坦克设计!$B$24:$U$30,MATCH("对"&amp;LEFT($C$5,2)&amp;"输出",标准坦克设计!$B$23:$U$23,0)))*(VLOOKUP($B175,INDIRECT($B$5&amp;"生成成长"),3))*(VLOOKUP($B$5,标准坦克设计!$B$14:$K$20,9)/30))</f>
        <v>13.631078868572677</v>
      </c>
      <c r="DJ175" s="172">
        <f ca="1">(VLOOKUP(DJ$72,INDIRECT($C$5&amp;"生成成长"),2))/((VLOOKUP($B175,INDIRECT($B$5&amp;"生成成长"),4))/(VLOOKUP(DJ$72,INDIRECT($C$5&amp;"生成成长"),5))*(VLOOKUP($B$5,标准坦克设计!$B$24:$U$30,MATCH("对"&amp;LEFT($C$5,2)&amp;"输出",标准坦克设计!$B$23:$U$23,0)))*(VLOOKUP($B175,INDIRECT($B$5&amp;"生成成长"),3))*(VLOOKUP($B$5,标准坦克设计!$B$14:$K$20,9)/30))</f>
        <v>1.3699573651479493</v>
      </c>
      <c r="DK175" s="172">
        <f ca="1">(VLOOKUP(DK$72,INDIRECT($C$5&amp;"生成成长"),2))/((VLOOKUP($B175,INDIRECT($B$5&amp;"生成成长"),4))/(VLOOKUP(DK$72,INDIRECT($C$5&amp;"生成成长"),5))*(VLOOKUP($B$5,标准坦克设计!$B$24:$U$30,MATCH("对"&amp;LEFT($C$5,2)&amp;"输出",标准坦克设计!$B$23:$U$23,0)))*(VLOOKUP($B175,INDIRECT($B$5&amp;"生成成长"),3))*(VLOOKUP($B$5,标准坦克设计!$B$14:$K$20,9)/30))</f>
        <v>1.540453838275456</v>
      </c>
      <c r="DL175" s="172">
        <f ca="1">(VLOOKUP(DL$72,INDIRECT($C$5&amp;"生成成长"),2))/((VLOOKUP($B175,INDIRECT($B$5&amp;"生成成长"),4))/(VLOOKUP(DL$72,INDIRECT($C$5&amp;"生成成长"),5))*(VLOOKUP($B$5,标准坦克设计!$B$24:$U$30,MATCH("对"&amp;LEFT($C$5,2)&amp;"输出",标准坦克设计!$B$23:$U$23,0)))*(VLOOKUP($B175,INDIRECT($B$5&amp;"生成成长"),3))*(VLOOKUP($B$5,标准坦克设计!$B$14:$K$20,9)/30))</f>
        <v>1.7209468472866607</v>
      </c>
      <c r="DM175" s="172">
        <f ca="1">(VLOOKUP(DM$72,INDIRECT($C$5&amp;"生成成长"),2))/((VLOOKUP($B175,INDIRECT($B$5&amp;"生成成长"),4))/(VLOOKUP(DM$72,INDIRECT($C$5&amp;"生成成长"),5))*(VLOOKUP($B$5,标准坦克设计!$B$24:$U$30,MATCH("对"&amp;LEFT($C$5,2)&amp;"输出",标准坦克设计!$B$23:$U$23,0)))*(VLOOKUP($B175,INDIRECT($B$5&amp;"生成成长"),3))*(VLOOKUP($B$5,标准坦克设计!$B$14:$K$20,9)/30))</f>
        <v>1.9114363921815627</v>
      </c>
      <c r="DN175" s="172">
        <f ca="1">(VLOOKUP(DN$72,INDIRECT($C$5&amp;"生成成长"),2))/((VLOOKUP($B175,INDIRECT($B$5&amp;"生成成长"),4))/(VLOOKUP(DN$72,INDIRECT($C$5&amp;"生成成长"),5))*(VLOOKUP($B$5,标准坦克设计!$B$24:$U$30,MATCH("对"&amp;LEFT($C$5,2)&amp;"输出",标准坦克设计!$B$23:$U$23,0)))*(VLOOKUP($B175,INDIRECT($B$5&amp;"生成成长"),3))*(VLOOKUP($B$5,标准坦克设计!$B$14:$K$20,9)/30))</f>
        <v>2.1119224729601616</v>
      </c>
      <c r="DO175" s="172">
        <f ca="1">(VLOOKUP(DO$72,INDIRECT($C$5&amp;"生成成长"),2))/((VLOOKUP($B175,INDIRECT($B$5&amp;"生成成长"),4))/(VLOOKUP(DO$72,INDIRECT($C$5&amp;"生成成长"),5))*(VLOOKUP($B$5,标准坦克设计!$B$24:$U$30,MATCH("对"&amp;LEFT($C$5,2)&amp;"输出",标准坦克设计!$B$23:$U$23,0)))*(VLOOKUP($B175,INDIRECT($B$5&amp;"生成成长"),3))*(VLOOKUP($B$5,标准坦克设计!$B$14:$K$20,9)/30))</f>
        <v>2.3224050896224591</v>
      </c>
      <c r="DP175" s="172">
        <f ca="1">(VLOOKUP(DP$72,INDIRECT($C$5&amp;"生成成长"),2))/((VLOOKUP($B175,INDIRECT($B$5&amp;"生成成长"),4))/(VLOOKUP(DP$72,INDIRECT($C$5&amp;"生成成长"),5))*(VLOOKUP($B$5,标准坦克设计!$B$24:$U$30,MATCH("对"&amp;LEFT($C$5,2)&amp;"输出",标准坦克设计!$B$23:$U$23,0)))*(VLOOKUP($B175,INDIRECT($B$5&amp;"生成成长"),3))*(VLOOKUP($B$5,标准坦克设计!$B$14:$K$20,9)/30))</f>
        <v>2.5428842421684537</v>
      </c>
      <c r="DQ175" s="172">
        <f ca="1">(VLOOKUP(DQ$72,INDIRECT($C$5&amp;"生成成长"),2))/((VLOOKUP($B175,INDIRECT($B$5&amp;"生成成长"),4))/(VLOOKUP(DQ$72,INDIRECT($C$5&amp;"生成成长"),5))*(VLOOKUP($B$5,标准坦克设计!$B$24:$U$30,MATCH("对"&amp;LEFT($C$5,2)&amp;"输出",标准坦克设计!$B$23:$U$23,0)))*(VLOOKUP($B175,INDIRECT($B$5&amp;"生成成长"),3))*(VLOOKUP($B$5,标准坦克设计!$B$14:$K$20,9)/30))</f>
        <v>2.7733599305981458</v>
      </c>
      <c r="DR175" s="172">
        <f ca="1">(VLOOKUP(DR$72,INDIRECT($C$5&amp;"生成成长"),2))/((VLOOKUP($B175,INDIRECT($B$5&amp;"生成成长"),4))/(VLOOKUP(DR$72,INDIRECT($C$5&amp;"生成成长"),5))*(VLOOKUP($B$5,标准坦克设计!$B$24:$U$30,MATCH("对"&amp;LEFT($C$5,2)&amp;"输出",标准坦克设计!$B$23:$U$23,0)))*(VLOOKUP($B175,INDIRECT($B$5&amp;"生成成长"),3))*(VLOOKUP($B$5,标准坦克设计!$B$14:$K$20,9)/30))</f>
        <v>3.013832154911535</v>
      </c>
      <c r="DS175" s="172">
        <f ca="1">(VLOOKUP(DS$72,INDIRECT($C$5&amp;"生成成长"),2))/((VLOOKUP($B175,INDIRECT($B$5&amp;"生成成长"),4))/(VLOOKUP(DS$72,INDIRECT($C$5&amp;"生成成长"),5))*(VLOOKUP($B$5,标准坦克设计!$B$24:$U$30,MATCH("对"&amp;LEFT($C$5,2)&amp;"输出",标准坦克设计!$B$23:$U$23,0)))*(VLOOKUP($B175,INDIRECT($B$5&amp;"生成成长"),3))*(VLOOKUP($B$5,标准坦克设计!$B$14:$K$20,9)/30))</f>
        <v>3.2643009151086217</v>
      </c>
      <c r="DT175" s="172">
        <f ca="1">(VLOOKUP(DT$72,INDIRECT($C$5&amp;"生成成长"),2))/((VLOOKUP($B175,INDIRECT($B$5&amp;"生成成长"),4))/(VLOOKUP(DT$72,INDIRECT($C$5&amp;"生成成长"),5))*(VLOOKUP($B$5,标准坦克设计!$B$24:$U$30,MATCH("对"&amp;LEFT($C$5,2)&amp;"输出",标准坦克设计!$B$23:$U$23,0)))*(VLOOKUP($B175,INDIRECT($B$5&amp;"生成成长"),3))*(VLOOKUP($B$5,标准坦克设计!$B$14:$K$20,9)/30))</f>
        <v>3.5840049423520579</v>
      </c>
      <c r="DU175" s="172">
        <f ca="1">(VLOOKUP(DU$72,INDIRECT($C$5&amp;"生成成长"),2))/((VLOOKUP($B175,INDIRECT($B$5&amp;"生成成长"),4))/(VLOOKUP(DU$72,INDIRECT($C$5&amp;"生成成长"),5))*(VLOOKUP($B$5,标准坦克设计!$B$24:$U$30,MATCH("对"&amp;LEFT($C$5,2)&amp;"输出",标准坦克设计!$B$23:$U$23,0)))*(VLOOKUP($B175,INDIRECT($B$5&amp;"生成成长"),3))*(VLOOKUP($B$5,标准坦克设计!$B$14:$K$20,9)/30))</f>
        <v>3.9186420664094124</v>
      </c>
      <c r="DV175" s="172">
        <f ca="1">(VLOOKUP(DV$72,INDIRECT($C$5&amp;"生成成长"),2))/((VLOOKUP($B175,INDIRECT($B$5&amp;"生成成长"),4))/(VLOOKUP(DV$72,INDIRECT($C$5&amp;"生成成长"),5))*(VLOOKUP($B$5,标准坦克设计!$B$24:$U$30,MATCH("对"&amp;LEFT($C$5,2)&amp;"输出",标准坦克设计!$B$23:$U$23,0)))*(VLOOKUP($B175,INDIRECT($B$5&amp;"生成成长"),3))*(VLOOKUP($B$5,标准坦克设计!$B$14:$K$20,9)/30))</f>
        <v>4.2682122872806847</v>
      </c>
      <c r="DW175" s="172">
        <f ca="1">(VLOOKUP(DW$72,INDIRECT($C$5&amp;"生成成长"),2))/((VLOOKUP($B175,INDIRECT($B$5&amp;"生成成长"),4))/(VLOOKUP(DW$72,INDIRECT($C$5&amp;"生成成长"),5))*(VLOOKUP($B$5,标准坦克设计!$B$24:$U$30,MATCH("对"&amp;LEFT($C$5,2)&amp;"输出",标准坦克设计!$B$23:$U$23,0)))*(VLOOKUP($B175,INDIRECT($B$5&amp;"生成成长"),3))*(VLOOKUP($B$5,标准坦克设计!$B$14:$K$20,9)/30))</f>
        <v>4.6327156049658766</v>
      </c>
      <c r="DX175" s="172">
        <f ca="1">(VLOOKUP(DX$72,INDIRECT($C$5&amp;"生成成长"),2))/((VLOOKUP($B175,INDIRECT($B$5&amp;"生成成长"),4))/(VLOOKUP(DX$72,INDIRECT($C$5&amp;"生成成长"),5))*(VLOOKUP($B$5,标准坦克设计!$B$24:$U$30,MATCH("对"&amp;LEFT($C$5,2)&amp;"输出",标准坦克设计!$B$23:$U$23,0)))*(VLOOKUP($B175,INDIRECT($B$5&amp;"生成成长"),3))*(VLOOKUP($B$5,标准坦克设计!$B$14:$K$20,9)/30))</f>
        <v>5.0121520194649865</v>
      </c>
      <c r="DY175" s="172">
        <f ca="1">(VLOOKUP(DY$72,INDIRECT($C$5&amp;"生成成长"),2))/((VLOOKUP($B175,INDIRECT($B$5&amp;"生成成长"),4))/(VLOOKUP(DY$72,INDIRECT($C$5&amp;"生成成长"),5))*(VLOOKUP($B$5,标准坦克设计!$B$24:$U$30,MATCH("对"&amp;LEFT($C$5,2)&amp;"输出",标准坦克设计!$B$23:$U$23,0)))*(VLOOKUP($B175,INDIRECT($B$5&amp;"生成成长"),3))*(VLOOKUP($B$5,标准坦克设计!$B$14:$K$20,9)/30))</f>
        <v>2.2511334911923937</v>
      </c>
      <c r="DZ175" s="172">
        <f ca="1">(VLOOKUP(DZ$72,INDIRECT($C$5&amp;"生成成长"),2))/((VLOOKUP($B175,INDIRECT($B$5&amp;"生成成长"),4))/(VLOOKUP(DZ$72,INDIRECT($C$5&amp;"生成成长"),5))*(VLOOKUP($B$5,标准坦克设计!$B$24:$U$30,MATCH("对"&amp;LEFT($C$5,2)&amp;"输出",标准坦克设计!$B$23:$U$23,0)))*(VLOOKUP($B175,INDIRECT($B$5&amp;"生成成长"),3))*(VLOOKUP($B$5,标准坦克设计!$B$14:$K$20,9)/30))</f>
        <v>2.493024976773222</v>
      </c>
      <c r="EA175" s="172">
        <f ca="1">(VLOOKUP(EA$72,INDIRECT($C$5&amp;"生成成长"),2))/((VLOOKUP($B175,INDIRECT($B$5&amp;"生成成长"),4))/(VLOOKUP(EA$72,INDIRECT($C$5&amp;"生成成长"),5))*(VLOOKUP($B$5,标准坦克设计!$B$24:$U$30,MATCH("对"&amp;LEFT($C$5,2)&amp;"输出",标准坦克设计!$B$23:$U$23,0)))*(VLOOKUP($B175,INDIRECT($B$5&amp;"生成成长"),3))*(VLOOKUP($B$5,标准坦克设计!$B$14:$K$20,9)/30))</f>
        <v>2.747257864679602</v>
      </c>
      <c r="EB175" s="172">
        <f ca="1">(VLOOKUP(EB$72,INDIRECT($C$5&amp;"生成成长"),2))/((VLOOKUP($B175,INDIRECT($B$5&amp;"生成成长"),4))/(VLOOKUP(EB$72,INDIRECT($C$5&amp;"生成成长"),5))*(VLOOKUP($B$5,标准坦克设计!$B$24:$U$30,MATCH("对"&amp;LEFT($C$5,2)&amp;"输出",标准坦克设计!$B$23:$U$23,0)))*(VLOOKUP($B175,INDIRECT($B$5&amp;"生成成长"),3))*(VLOOKUP($B$5,标准坦克设计!$B$14:$K$20,9)/30))</f>
        <v>3.013832154911535</v>
      </c>
      <c r="EC175" s="172">
        <f ca="1">(VLOOKUP(EC$72,INDIRECT($C$5&amp;"生成成长"),2))/((VLOOKUP($B175,INDIRECT($B$5&amp;"生成成长"),4))/(VLOOKUP(EC$72,INDIRECT($C$5&amp;"生成成长"),5))*(VLOOKUP($B$5,标准坦克设计!$B$24:$U$30,MATCH("对"&amp;LEFT($C$5,2)&amp;"输出",标准坦克设计!$B$23:$U$23,0)))*(VLOOKUP($B175,INDIRECT($B$5&amp;"生成成长"),3))*(VLOOKUP($B$5,标准坦克设计!$B$14:$K$20,9)/30))</f>
        <v>3.2927478474690206</v>
      </c>
      <c r="ED175" s="172">
        <f ca="1">(VLOOKUP(ED$72,INDIRECT($C$5&amp;"生成成长"),2))/((VLOOKUP($B175,INDIRECT($B$5&amp;"生成成长"),4))/(VLOOKUP(ED$72,INDIRECT($C$5&amp;"生成成长"),5))*(VLOOKUP($B$5,标准坦克设计!$B$24:$U$30,MATCH("对"&amp;LEFT($C$5,2)&amp;"输出",标准坦克设计!$B$23:$U$23,0)))*(VLOOKUP($B175,INDIRECT($B$5&amp;"生成成长"),3))*(VLOOKUP($B$5,标准坦克设计!$B$14:$K$20,9)/30))</f>
        <v>3.5840049423520579</v>
      </c>
      <c r="EE175" s="172">
        <f ca="1">(VLOOKUP(EE$72,INDIRECT($C$5&amp;"生成成长"),2))/((VLOOKUP($B175,INDIRECT($B$5&amp;"生成成长"),4))/(VLOOKUP(EE$72,INDIRECT($C$5&amp;"生成成长"),5))*(VLOOKUP($B$5,标准坦克设计!$B$24:$U$30,MATCH("对"&amp;LEFT($C$5,2)&amp;"输出",标准坦克设计!$B$23:$U$23,0)))*(VLOOKUP($B175,INDIRECT($B$5&amp;"生成成长"),3))*(VLOOKUP($B$5,标准坦克设计!$B$14:$K$20,9)/30))</f>
        <v>3.8876034395606478</v>
      </c>
      <c r="EF175" s="172">
        <f ca="1">(VLOOKUP(EF$72,INDIRECT($C$5&amp;"生成成长"),2))/((VLOOKUP($B175,INDIRECT($B$5&amp;"生成成长"),4))/(VLOOKUP(EF$72,INDIRECT($C$5&amp;"生成成长"),5))*(VLOOKUP($B$5,标准坦克设计!$B$24:$U$30,MATCH("对"&amp;LEFT($C$5,2)&amp;"输出",标准坦克设计!$B$23:$U$23,0)))*(VLOOKUP($B175,INDIRECT($B$5&amp;"生成成长"),3))*(VLOOKUP($B$5,标准坦克设计!$B$14:$K$20,9)/30))</f>
        <v>4.2035433390947912</v>
      </c>
      <c r="EG175" s="172">
        <f ca="1">(VLOOKUP(EG$72,INDIRECT($C$5&amp;"生成成长"),2))/((VLOOKUP($B175,INDIRECT($B$5&amp;"生成成长"),4))/(VLOOKUP(EG$72,INDIRECT($C$5&amp;"生成成长"),5))*(VLOOKUP($B$5,标准坦克设计!$B$24:$U$30,MATCH("对"&amp;LEFT($C$5,2)&amp;"输出",标准坦克设计!$B$23:$U$23,0)))*(VLOOKUP($B175,INDIRECT($B$5&amp;"生成成长"),3))*(VLOOKUP($B$5,标准坦克设计!$B$14:$K$20,9)/30))</f>
        <v>4.5318246409544862</v>
      </c>
      <c r="EH175" s="172">
        <f ca="1">(VLOOKUP(EH$72,INDIRECT($C$5&amp;"生成成长"),2))/((VLOOKUP($B175,INDIRECT($B$5&amp;"生成成长"),4))/(VLOOKUP(EH$72,INDIRECT($C$5&amp;"生成成长"),5))*(VLOOKUP($B$5,标准坦克设计!$B$24:$U$30,MATCH("对"&amp;LEFT($C$5,2)&amp;"输出",标准坦克设计!$B$23:$U$23,0)))*(VLOOKUP($B175,INDIRECT($B$5&amp;"生成成长"),3))*(VLOOKUP($B$5,标准坦克设计!$B$14:$K$20,9)/30))</f>
        <v>4.872447345139733</v>
      </c>
      <c r="EI175" s="172">
        <f ca="1">(VLOOKUP(EI$72,INDIRECT($C$5&amp;"生成成长"),2))/((VLOOKUP($B175,INDIRECT($B$5&amp;"生成成长"),4))/(VLOOKUP(EI$72,INDIRECT($C$5&amp;"生成成长"),5))*(VLOOKUP($B$5,标准坦克设计!$B$24:$U$30,MATCH("对"&amp;LEFT($C$5,2)&amp;"输出",标准坦克设计!$B$23:$U$23,0)))*(VLOOKUP($B175,INDIRECT($B$5&amp;"生成成长"),3))*(VLOOKUP($B$5,标准坦克设计!$B$14:$K$20,9)/30))</f>
        <v>5.2254114516505323</v>
      </c>
      <c r="EJ175" s="172">
        <f ca="1">(VLOOKUP(EJ$72,INDIRECT($C$5&amp;"生成成长"),2))/((VLOOKUP($B175,INDIRECT($B$5&amp;"生成成长"),4))/(VLOOKUP(EJ$72,INDIRECT($C$5&amp;"生成成长"),5))*(VLOOKUP($B$5,标准坦克设计!$B$24:$U$30,MATCH("对"&amp;LEFT($C$5,2)&amp;"输出",标准坦克设计!$B$23:$U$23,0)))*(VLOOKUP($B175,INDIRECT($B$5&amp;"生成成长"),3))*(VLOOKUP($B$5,标准坦克设计!$B$14:$K$20,9)/30))</f>
        <v>5.5907169604868852</v>
      </c>
      <c r="EK175" s="172">
        <f ca="1">(VLOOKUP(EK$72,INDIRECT($C$5&amp;"生成成长"),2))/((VLOOKUP($B175,INDIRECT($B$5&amp;"生成成长"),4))/(VLOOKUP(EK$72,INDIRECT($C$5&amp;"生成成长"),5))*(VLOOKUP($B$5,标准坦克设计!$B$24:$U$30,MATCH("对"&amp;LEFT($C$5,2)&amp;"输出",标准坦克设计!$B$23:$U$23,0)))*(VLOOKUP($B175,INDIRECT($B$5&amp;"生成成长"),3))*(VLOOKUP($B$5,标准坦克设计!$B$14:$K$20,9)/30))</f>
        <v>6.0453742221602376</v>
      </c>
      <c r="EL175" s="172">
        <f ca="1">(VLOOKUP(EL$72,INDIRECT($C$5&amp;"生成成长"),2))/((VLOOKUP($B175,INDIRECT($B$5&amp;"生成成长"),4))/(VLOOKUP(EL$72,INDIRECT($C$5&amp;"生成成长"),5))*(VLOOKUP($B$5,标准坦克设计!$B$24:$U$30,MATCH("对"&amp;LEFT($C$5,2)&amp;"输出",标准坦克设计!$B$23:$U$23,0)))*(VLOOKUP($B175,INDIRECT($B$5&amp;"生成成长"),3))*(VLOOKUP($B$5,标准坦克设计!$B$14:$K$20,9)/30))</f>
        <v>6.5178031031823851</v>
      </c>
      <c r="EM175" s="172">
        <f ca="1">(VLOOKUP(EM$72,INDIRECT($C$5&amp;"生成成长"),2))/((VLOOKUP($B175,INDIRECT($B$5&amp;"生成成长"),4))/(VLOOKUP(EM$72,INDIRECT($C$5&amp;"生成成长"),5))*(VLOOKUP($B$5,标准坦克设计!$B$24:$U$30,MATCH("对"&amp;LEFT($C$5,2)&amp;"输出",标准坦克设计!$B$23:$U$23,0)))*(VLOOKUP($B175,INDIRECT($B$5&amp;"生成成长"),3))*(VLOOKUP($B$5,标准坦克设计!$B$14:$K$20,9)/30))</f>
        <v>7.0080036035533286</v>
      </c>
      <c r="EN175" s="172">
        <f ca="1">(VLOOKUP(EN$72,INDIRECT($C$5&amp;"生成成长"),2))/((VLOOKUP($B175,INDIRECT($B$5&amp;"生成成长"),4))/(VLOOKUP(EN$72,INDIRECT($C$5&amp;"生成成长"),5))*(VLOOKUP($B$5,标准坦克设计!$B$24:$U$30,MATCH("对"&amp;LEFT($C$5,2)&amp;"输出",标准坦克设计!$B$23:$U$23,0)))*(VLOOKUP($B175,INDIRECT($B$5&amp;"生成成长"),3))*(VLOOKUP($B$5,标准坦克设计!$B$14:$K$20,9)/30))</f>
        <v>7.5159757232730673</v>
      </c>
      <c r="EO175" s="172">
        <f ca="1">(VLOOKUP(EO$72,INDIRECT($C$5&amp;"生成成长"),2))/((VLOOKUP($B175,INDIRECT($B$5&amp;"生成成长"),4))/(VLOOKUP(EO$72,INDIRECT($C$5&amp;"生成成长"),5))*(VLOOKUP($B$5,标准坦克设计!$B$24:$U$30,MATCH("对"&amp;LEFT($C$5,2)&amp;"输出",标准坦克设计!$B$23:$U$23,0)))*(VLOOKUP($B175,INDIRECT($B$5&amp;"生成成长"),3))*(VLOOKUP($B$5,标准坦克设计!$B$14:$K$20,9)/30))</f>
        <v>8.0417194623416002</v>
      </c>
      <c r="EP175" s="172">
        <f ca="1">(VLOOKUP(EP$72,INDIRECT($C$5&amp;"生成成长"),2))/((VLOOKUP($B175,INDIRECT($B$5&amp;"生成成长"),4))/(VLOOKUP(EP$72,INDIRECT($C$5&amp;"生成成长"),5))*(VLOOKUP($B$5,标准坦克设计!$B$24:$U$30,MATCH("对"&amp;LEFT($C$5,2)&amp;"输出",标准坦克设计!$B$23:$U$23,0)))*(VLOOKUP($B175,INDIRECT($B$5&amp;"生成成长"),3))*(VLOOKUP($B$5,标准坦克设计!$B$14:$K$20,9)/30))</f>
        <v>8.5852348207589291</v>
      </c>
      <c r="EQ175" s="172">
        <f ca="1">(VLOOKUP(EQ$72,INDIRECT($C$5&amp;"生成成长"),2))/((VLOOKUP($B175,INDIRECT($B$5&amp;"生成成长"),4))/(VLOOKUP(EQ$72,INDIRECT($C$5&amp;"生成成长"),5))*(VLOOKUP($B$5,标准坦克设计!$B$24:$U$30,MATCH("对"&amp;LEFT($C$5,2)&amp;"输出",标准坦克设计!$B$23:$U$23,0)))*(VLOOKUP($B175,INDIRECT($B$5&amp;"生成成长"),3))*(VLOOKUP($B$5,标准坦克设计!$B$14:$K$20,9)/30))</f>
        <v>3.7952280431538874</v>
      </c>
      <c r="ER175" s="172">
        <f ca="1">(VLOOKUP(ER$72,INDIRECT($C$5&amp;"生成成长"),2))/((VLOOKUP($B175,INDIRECT($B$5&amp;"生成成长"),4))/(VLOOKUP(ER$72,INDIRECT($C$5&amp;"生成成长"),5))*(VLOOKUP($B$5,标准坦克设计!$B$24:$U$30,MATCH("对"&amp;LEFT($C$5,2)&amp;"输出",标准坦克设计!$B$23:$U$23,0)))*(VLOOKUP($B175,INDIRECT($B$5&amp;"生成成长"),3))*(VLOOKUP($B$5,标准坦克设计!$B$14:$K$20,9)/30))</f>
        <v>4.1393680470019181</v>
      </c>
      <c r="ES175" s="172">
        <f ca="1">(VLOOKUP(ES$72,INDIRECT($C$5&amp;"生成成长"),2))/((VLOOKUP($B175,INDIRECT($B$5&amp;"生成成长"),4))/(VLOOKUP(ES$72,INDIRECT($C$5&amp;"生成成长"),5))*(VLOOKUP($B$5,标准坦克设计!$B$24:$U$30,MATCH("对"&amp;LEFT($C$5,2)&amp;"输出",标准坦克设计!$B$23:$U$23,0)))*(VLOOKUP($B175,INDIRECT($B$5&amp;"生成成长"),3))*(VLOOKUP($B$5,标准坦克设计!$B$14:$K$20,9)/30))</f>
        <v>4.4984411476638666</v>
      </c>
      <c r="ET175" s="172">
        <f ca="1">(VLOOKUP(ET$72,INDIRECT($C$5&amp;"生成成长"),2))/((VLOOKUP($B175,INDIRECT($B$5&amp;"生成成长"),4))/(VLOOKUP(ET$72,INDIRECT($C$5&amp;"生成成长"),5))*(VLOOKUP($B$5,标准坦克设计!$B$24:$U$30,MATCH("对"&amp;LEFT($C$5,2)&amp;"输出",标准坦克设计!$B$23:$U$23,0)))*(VLOOKUP($B175,INDIRECT($B$5&amp;"生成成长"),3))*(VLOOKUP($B$5,标准坦克设计!$B$14:$K$20,9)/30))</f>
        <v>4.872447345139733</v>
      </c>
      <c r="EU175" s="172">
        <f ca="1">(VLOOKUP(EU$72,INDIRECT($C$5&amp;"生成成长"),2))/((VLOOKUP($B175,INDIRECT($B$5&amp;"生成成长"),4))/(VLOOKUP(EU$72,INDIRECT($C$5&amp;"生成成长"),5))*(VLOOKUP($B$5,标准坦克设计!$B$24:$U$30,MATCH("对"&amp;LEFT($C$5,2)&amp;"输出",标准坦克设计!$B$23:$U$23,0)))*(VLOOKUP($B175,INDIRECT($B$5&amp;"生成成长"),3))*(VLOOKUP($B$5,标准坦克设计!$B$14:$K$20,9)/30))</f>
        <v>5.261386639429519</v>
      </c>
      <c r="EV175" s="172">
        <f ca="1">(VLOOKUP(EV$72,INDIRECT($C$5&amp;"生成成长"),2))/((VLOOKUP($B175,INDIRECT($B$5&amp;"生成成长"),4))/(VLOOKUP(EV$72,INDIRECT($C$5&amp;"生成成长"),5))*(VLOOKUP($B$5,标准坦克设计!$B$24:$U$30,MATCH("对"&amp;LEFT($C$5,2)&amp;"输出",标准坦克设计!$B$23:$U$23,0)))*(VLOOKUP($B175,INDIRECT($B$5&amp;"生成成长"),3))*(VLOOKUP($B$5,标准坦克设计!$B$14:$K$20,9)/30))</f>
        <v>5.665259030533222</v>
      </c>
      <c r="EW175" s="172">
        <f ca="1">(VLOOKUP(EW$72,INDIRECT($C$5&amp;"生成成长"),2))/((VLOOKUP($B175,INDIRECT($B$5&amp;"生成成长"),4))/(VLOOKUP(EW$72,INDIRECT($C$5&amp;"生成成长"),5))*(VLOOKUP($B$5,标准坦克设计!$B$24:$U$30,MATCH("对"&amp;LEFT($C$5,2)&amp;"输出",标准坦克设计!$B$23:$U$23,0)))*(VLOOKUP($B175,INDIRECT($B$5&amp;"生成成长"),3))*(VLOOKUP($B$5,标准坦克设计!$B$14:$K$20,9)/30))</f>
        <v>6.0840645184508437</v>
      </c>
      <c r="EX175" s="172">
        <f ca="1">(VLOOKUP(EX$72,INDIRECT($C$5&amp;"生成成长"),2))/((VLOOKUP($B175,INDIRECT($B$5&amp;"生成成长"),4))/(VLOOKUP(EX$72,INDIRECT($C$5&amp;"生成成长"),5))*(VLOOKUP($B$5,标准坦克设计!$B$24:$U$30,MATCH("对"&amp;LEFT($C$5,2)&amp;"输出",标准坦克设计!$B$23:$U$23,0)))*(VLOOKUP($B175,INDIRECT($B$5&amp;"生成成长"),3))*(VLOOKUP($B$5,标准坦克设计!$B$14:$K$20,9)/30))</f>
        <v>6.5178031031823851</v>
      </c>
      <c r="EY175" s="172">
        <f ca="1">(VLOOKUP(EY$72,INDIRECT($C$5&amp;"生成成长"),2))/((VLOOKUP($B175,INDIRECT($B$5&amp;"生成成长"),4))/(VLOOKUP(EY$72,INDIRECT($C$5&amp;"生成成长"),5))*(VLOOKUP($B$5,标准坦克设计!$B$24:$U$30,MATCH("对"&amp;LEFT($C$5,2)&amp;"输出",标准坦克设计!$B$23:$U$23,0)))*(VLOOKUP($B175,INDIRECT($B$5&amp;"生成成长"),3))*(VLOOKUP($B$5,标准坦克设计!$B$14:$K$20,9)/30))</f>
        <v>6.9664747847278443</v>
      </c>
      <c r="EZ175" s="172">
        <f ca="1">(VLOOKUP(EZ$72,INDIRECT($C$5&amp;"生成成长"),2))/((VLOOKUP($B175,INDIRECT($B$5&amp;"生成成长"),4))/(VLOOKUP(EZ$72,INDIRECT($C$5&amp;"生成成长"),5))*(VLOOKUP($B$5,标准坦克设计!$B$24:$U$30,MATCH("对"&amp;LEFT($C$5,2)&amp;"输出",标准坦克设计!$B$23:$U$23,0)))*(VLOOKUP($B175,INDIRECT($B$5&amp;"生成成长"),3))*(VLOOKUP($B$5,标准坦克设计!$B$14:$K$20,9)/30))</f>
        <v>7.4300795630872214</v>
      </c>
      <c r="FA175" s="172">
        <f ca="1">(VLOOKUP(FA$72,INDIRECT($C$5&amp;"生成成长"),2))/((VLOOKUP($B175,INDIRECT($B$5&amp;"生成成长"),4))/(VLOOKUP(FA$72,INDIRECT($C$5&amp;"生成成长"),5))*(VLOOKUP($B$5,标准坦克设计!$B$24:$U$30,MATCH("对"&amp;LEFT($C$5,2)&amp;"输出",标准坦克设计!$B$23:$U$23,0)))*(VLOOKUP($B175,INDIRECT($B$5&amp;"生成成长"),3))*(VLOOKUP($B$5,标准坦克设计!$B$14:$K$20,9)/30))</f>
        <v>7.9086174382605181</v>
      </c>
      <c r="FB175" s="172">
        <f ca="1">(VLOOKUP(FB$72,INDIRECT($C$5&amp;"生成成长"),2))/((VLOOKUP($B175,INDIRECT($B$5&amp;"生成成长"),4))/(VLOOKUP(FB$72,INDIRECT($C$5&amp;"生成成长"),5))*(VLOOKUP($B$5,标准坦克设计!$B$24:$U$30,MATCH("对"&amp;LEFT($C$5,2)&amp;"输出",标准坦克设计!$B$23:$U$23,0)))*(VLOOKUP($B175,INDIRECT($B$5&amp;"生成成长"),3))*(VLOOKUP($B$5,标准坦克设计!$B$14:$K$20,9)/30))</f>
        <v>8.4020884102477318</v>
      </c>
      <c r="FC175" s="172">
        <f ca="1">(VLOOKUP(FC$72,INDIRECT($C$5&amp;"生成成长"),2))/((VLOOKUP($B175,INDIRECT($B$5&amp;"生成成长"),4))/(VLOOKUP(FC$72,INDIRECT($C$5&amp;"生成成长"),5))*(VLOOKUP($B$5,标准坦克设计!$B$24:$U$30,MATCH("对"&amp;LEFT($C$5,2)&amp;"输出",标准坦克设计!$B$23:$U$23,0)))*(VLOOKUP($B175,INDIRECT($B$5&amp;"生成成长"),3))*(VLOOKUP($B$5,标准坦克设计!$B$14:$K$20,9)/30))</f>
        <v>8.9104924790488678</v>
      </c>
      <c r="FD175" s="172">
        <f ca="1">(VLOOKUP(FD$72,INDIRECT($C$5&amp;"生成成长"),2))/((VLOOKUP($B175,INDIRECT($B$5&amp;"生成成长"),4))/(VLOOKUP(FD$72,INDIRECT($C$5&amp;"生成成长"),5))*(VLOOKUP($B$5,标准坦克设计!$B$24:$U$30,MATCH("对"&amp;LEFT($C$5,2)&amp;"输出",标准坦克设计!$B$23:$U$23,0)))*(VLOOKUP($B175,INDIRECT($B$5&amp;"生成成长"),3))*(VLOOKUP($B$5,标准坦克设计!$B$14:$K$20,9)/30))</f>
        <v>9.433829644663918</v>
      </c>
      <c r="FE175" s="172">
        <f ca="1">(VLOOKUP(FE$72,INDIRECT($C$5&amp;"生成成长"),2))/((VLOOKUP($B175,INDIRECT($B$5&amp;"生成成长"),4))/(VLOOKUP(FE$72,INDIRECT($C$5&amp;"生成成长"),5))*(VLOOKUP($B$5,标准坦克设计!$B$24:$U$30,MATCH("对"&amp;LEFT($C$5,2)&amp;"输出",标准坦克设计!$B$23:$U$23,0)))*(VLOOKUP($B175,INDIRECT($B$5&amp;"生成成长"),3))*(VLOOKUP($B$5,标准坦克设计!$B$14:$K$20,9)/30))</f>
        <v>10.071571609836838</v>
      </c>
      <c r="FF175" s="172">
        <f ca="1">(VLOOKUP(FF$72,INDIRECT($C$5&amp;"生成成长"),2))/((VLOOKUP($B175,INDIRECT($B$5&amp;"生成成长"),4))/(VLOOKUP(FF$72,INDIRECT($C$5&amp;"生成成长"),5))*(VLOOKUP($B$5,标准坦克设计!$B$24:$U$30,MATCH("对"&amp;LEFT($C$5,2)&amp;"输出",标准坦克设计!$B$23:$U$23,0)))*(VLOOKUP($B175,INDIRECT($B$5&amp;"生成成长"),3))*(VLOOKUP($B$5,标准坦克设计!$B$14:$K$20,9)/30))</f>
        <v>10.730170544939947</v>
      </c>
      <c r="FG175" s="172">
        <f ca="1">(VLOOKUP(FG$72,INDIRECT($C$5&amp;"生成成长"),2))/((VLOOKUP($B175,INDIRECT($B$5&amp;"生成成长"),4))/(VLOOKUP(FG$72,INDIRECT($C$5&amp;"生成成长"),5))*(VLOOKUP($B$5,标准坦克设计!$B$24:$U$30,MATCH("对"&amp;LEFT($C$5,2)&amp;"输出",标准坦克设计!$B$23:$U$23,0)))*(VLOOKUP($B175,INDIRECT($B$5&amp;"生成成长"),3))*(VLOOKUP($B$5,标准坦克设计!$B$14:$K$20,9)/30))</f>
        <v>11.409626449973235</v>
      </c>
      <c r="FH175" s="172">
        <f ca="1">(VLOOKUP(FH$72,INDIRECT($C$5&amp;"生成成长"),2))/((VLOOKUP($B175,INDIRECT($B$5&amp;"生成成长"),4))/(VLOOKUP(FH$72,INDIRECT($C$5&amp;"生成成长"),5))*(VLOOKUP($B$5,标准坦克设计!$B$24:$U$30,MATCH("对"&amp;LEFT($C$5,2)&amp;"输出",标准坦克设计!$B$23:$U$23,0)))*(VLOOKUP($B175,INDIRECT($B$5&amp;"生成成长"),3))*(VLOOKUP($B$5,标准坦克设计!$B$14:$K$20,9)/30))</f>
        <v>12.109939324936709</v>
      </c>
      <c r="FI175" s="172">
        <f ca="1">(VLOOKUP(FI$72,INDIRECT($C$5&amp;"生成成长"),2))/((VLOOKUP($B175,INDIRECT($B$5&amp;"生成成长"),4))/(VLOOKUP(FI$72,INDIRECT($C$5&amp;"生成成长"),5))*(VLOOKUP($B$5,标准坦克设计!$B$24:$U$30,MATCH("对"&amp;LEFT($C$5,2)&amp;"输出",标准坦克设计!$B$23:$U$23,0)))*(VLOOKUP($B175,INDIRECT($B$5&amp;"生成成长"),3))*(VLOOKUP($B$5,标准坦克设计!$B$14:$K$20,9)/30))</f>
        <v>12.831109169830366</v>
      </c>
      <c r="FJ175" s="172">
        <f ca="1">(VLOOKUP(FJ$72,INDIRECT($C$5&amp;"生成成长"),2))/((VLOOKUP($B175,INDIRECT($B$5&amp;"生成成长"),4))/(VLOOKUP(FJ$72,INDIRECT($C$5&amp;"生成成长"),5))*(VLOOKUP($B$5,标准坦克设计!$B$24:$U$30,MATCH("对"&amp;LEFT($C$5,2)&amp;"输出",标准坦克设计!$B$23:$U$23,0)))*(VLOOKUP($B175,INDIRECT($B$5&amp;"生成成长"),3))*(VLOOKUP($B$5,标准坦克设计!$B$14:$K$20,9)/30))</f>
        <v>13.573135984654208</v>
      </c>
      <c r="FK175" s="172">
        <f ca="1">(VLOOKUP(FK$72,INDIRECT($C$5&amp;"生成成长"),2))/((VLOOKUP($B175,INDIRECT($B$5&amp;"生成成长"),4))/(VLOOKUP(FK$72,INDIRECT($C$5&amp;"生成成长"),5))*(VLOOKUP($B$5,标准坦克设计!$B$24:$U$30,MATCH("对"&amp;LEFT($C$5,2)&amp;"输出",标准坦克设计!$B$23:$U$23,0)))*(VLOOKUP($B175,INDIRECT($B$5&amp;"生成成长"),3))*(VLOOKUP($B$5,标准坦克设计!$B$14:$K$20,9)/30))</f>
        <v>14.336019769408232</v>
      </c>
    </row>
    <row r="176" spans="1:167" x14ac:dyDescent="0.15">
      <c r="A176" s="170" t="str">
        <f t="shared" si="12"/>
        <v>T5中品质14级</v>
      </c>
      <c r="B176" s="171">
        <v>20514</v>
      </c>
      <c r="C176" s="172">
        <f ca="1">(VLOOKUP(C$72,INDIRECT($C$5&amp;"生成成长"),2))/((VLOOKUP($B176,INDIRECT($B$5&amp;"生成成长"),4))/(VLOOKUP(C$72,INDIRECT($C$5&amp;"生成成长"),5))*(VLOOKUP($B$5,标准坦克设计!$B$24:$U$30,MATCH("对"&amp;LEFT($C$5,2)&amp;"输出",标准坦克设计!$B$23:$U$23,0)))*(VLOOKUP($B176,INDIRECT($B$5&amp;"生成成长"),3))*(VLOOKUP($B$5,标准坦克设计!$B$14:$K$20,9)/30))</f>
        <v>0.58164339466860449</v>
      </c>
      <c r="D176" s="172">
        <f ca="1">(VLOOKUP(D$72,INDIRECT($C$5&amp;"生成成长"),2))/((VLOOKUP($B176,INDIRECT($B$5&amp;"生成成长"),4))/(VLOOKUP(D$72,INDIRECT($C$5&amp;"生成成长"),5))*(VLOOKUP($B$5,标准坦克设计!$B$24:$U$30,MATCH("对"&amp;LEFT($C$5,2)&amp;"输出",标准坦克设计!$B$23:$U$23,0)))*(VLOOKUP($B176,INDIRECT($B$5&amp;"生成成长"),3))*(VLOOKUP($B$5,标准坦克设计!$B$14:$K$20,9)/30))</f>
        <v>0.65353451824964404</v>
      </c>
      <c r="E176" s="172">
        <f ca="1">(VLOOKUP(E$72,INDIRECT($C$5&amp;"生成成长"),2))/((VLOOKUP($B176,INDIRECT($B$5&amp;"生成成长"),4))/(VLOOKUP(E$72,INDIRECT($C$5&amp;"生成成长"),5))*(VLOOKUP($B$5,标准坦克设计!$B$24:$U$30,MATCH("对"&amp;LEFT($C$5,2)&amp;"输出",标准坦克设计!$B$23:$U$23,0)))*(VLOOKUP($B176,INDIRECT($B$5&amp;"生成成长"),3))*(VLOOKUP($B$5,标准坦克设计!$B$14:$K$20,9)/30))</f>
        <v>0.72961347427229728</v>
      </c>
      <c r="F176" s="172">
        <f ca="1">(VLOOKUP(F$72,INDIRECT($C$5&amp;"生成成长"),2))/((VLOOKUP($B176,INDIRECT($B$5&amp;"生成成长"),4))/(VLOOKUP(F$72,INDIRECT($C$5&amp;"生成成长"),5))*(VLOOKUP($B$5,标准坦克设计!$B$24:$U$30,MATCH("对"&amp;LEFT($C$5,2)&amp;"输出",标准坦克设计!$B$23:$U$23,0)))*(VLOOKUP($B176,INDIRECT($B$5&amp;"生成成长"),3))*(VLOOKUP($B$5,标准坦克设计!$B$14:$K$20,9)/30))</f>
        <v>0.80988026273656466</v>
      </c>
      <c r="G176" s="172">
        <f ca="1">(VLOOKUP(G$72,INDIRECT($C$5&amp;"生成成长"),2))/((VLOOKUP($B176,INDIRECT($B$5&amp;"生成成长"),4))/(VLOOKUP(G$72,INDIRECT($C$5&amp;"生成成长"),5))*(VLOOKUP($B$5,标准坦克设计!$B$24:$U$30,MATCH("对"&amp;LEFT($C$5,2)&amp;"输出",标准坦克设计!$B$23:$U$23,0)))*(VLOOKUP($B176,INDIRECT($B$5&amp;"生成成长"),3))*(VLOOKUP($B$5,标准坦克设计!$B$14:$K$20,9)/30))</f>
        <v>0.89433488364244629</v>
      </c>
      <c r="H176" s="172">
        <f ca="1">(VLOOKUP(H$72,INDIRECT($C$5&amp;"生成成长"),2))/((VLOOKUP($B176,INDIRECT($B$5&amp;"生成成长"),4))/(VLOOKUP(H$72,INDIRECT($C$5&amp;"生成成长"),5))*(VLOOKUP($B$5,标准坦克设计!$B$24:$U$30,MATCH("对"&amp;LEFT($C$5,2)&amp;"输出",标准坦克设计!$B$23:$U$23,0)))*(VLOOKUP($B176,INDIRECT($B$5&amp;"生成成长"),3))*(VLOOKUP($B$5,标准坦克设计!$B$14:$K$20,9)/30))</f>
        <v>0.78265935186607405</v>
      </c>
      <c r="I176" s="172">
        <f ca="1">(VLOOKUP(I$72,INDIRECT($C$5&amp;"生成成长"),2))/((VLOOKUP($B176,INDIRECT($B$5&amp;"生成成长"),4))/(VLOOKUP(I$72,INDIRECT($C$5&amp;"生成成长"),5))*(VLOOKUP($B$5,标准坦克设计!$B$24:$U$30,MATCH("对"&amp;LEFT($C$5,2)&amp;"输出",标准坦克设计!$B$23:$U$23,0)))*(VLOOKUP($B176,INDIRECT($B$5&amp;"生成成长"),3))*(VLOOKUP($B$5,标准坦克设计!$B$14:$K$20,9)/30))</f>
        <v>0.89433488364244629</v>
      </c>
      <c r="J176" s="172">
        <f ca="1">(VLOOKUP(J$72,INDIRECT($C$5&amp;"生成成长"),2))/((VLOOKUP($B176,INDIRECT($B$5&amp;"生成成长"),4))/(VLOOKUP(J$72,INDIRECT($C$5&amp;"生成成长"),5))*(VLOOKUP($B$5,标准坦克设计!$B$24:$U$30,MATCH("对"&amp;LEFT($C$5,2)&amp;"输出",标准坦克设计!$B$23:$U$23,0)))*(VLOOKUP($B176,INDIRECT($B$5&amp;"生成成长"),3))*(VLOOKUP($B$5,标准坦克设计!$B$14:$K$20,9)/30))</f>
        <v>1.0134554508705762</v>
      </c>
      <c r="K176" s="172">
        <f ca="1">(VLOOKUP(K$72,INDIRECT($C$5&amp;"生成成长"),2))/((VLOOKUP($B176,INDIRECT($B$5&amp;"生成成长"),4))/(VLOOKUP(K$72,INDIRECT($C$5&amp;"生成成长"),5))*(VLOOKUP($B$5,标准坦克设计!$B$24:$U$30,MATCH("对"&amp;LEFT($C$5,2)&amp;"输出",标准坦克设计!$B$23:$U$23,0)))*(VLOOKUP($B176,INDIRECT($B$5&amp;"生成成长"),3))*(VLOOKUP($B$5,标准坦克设计!$B$14:$K$20,9)/30))</f>
        <v>1.1400210535504649</v>
      </c>
      <c r="L176" s="172">
        <f ca="1">(VLOOKUP(L$72,INDIRECT($C$5&amp;"生成成长"),2))/((VLOOKUP($B176,INDIRECT($B$5&amp;"生成成长"),4))/(VLOOKUP(L$72,INDIRECT($C$5&amp;"生成成长"),5))*(VLOOKUP($B$5,标准坦克设计!$B$24:$U$30,MATCH("对"&amp;LEFT($C$5,2)&amp;"输出",标准坦克设计!$B$23:$U$23,0)))*(VLOOKUP($B176,INDIRECT($B$5&amp;"生成成长"),3))*(VLOOKUP($B$5,标准坦克设计!$B$14:$K$20,9)/30))</f>
        <v>1.2740316916821111</v>
      </c>
      <c r="M176" s="172">
        <f ca="1">(VLOOKUP(M$72,INDIRECT($C$5&amp;"生成成长"),2))/((VLOOKUP($B176,INDIRECT($B$5&amp;"生成成长"),4))/(VLOOKUP(M$72,INDIRECT($C$5&amp;"生成成长"),5))*(VLOOKUP($B$5,标准坦克设计!$B$24:$U$30,MATCH("对"&amp;LEFT($C$5,2)&amp;"输出",标准坦克设计!$B$23:$U$23,0)))*(VLOOKUP($B176,INDIRECT($B$5&amp;"生成成长"),3))*(VLOOKUP($B$5,标准坦克设计!$B$14:$K$20,9)/30))</f>
        <v>1.4154873652655158</v>
      </c>
      <c r="N176" s="172">
        <f ca="1">(VLOOKUP(N$72,INDIRECT($C$5&amp;"生成成长"),2))/((VLOOKUP($B176,INDIRECT($B$5&amp;"生成成长"),4))/(VLOOKUP(N$72,INDIRECT($C$5&amp;"生成成长"),5))*(VLOOKUP($B$5,标准坦克设计!$B$24:$U$30,MATCH("对"&amp;LEFT($C$5,2)&amp;"输出",标准坦克设计!$B$23:$U$23,0)))*(VLOOKUP($B176,INDIRECT($B$5&amp;"生成成长"),3))*(VLOOKUP($B$5,标准坦克设计!$B$14:$K$20,9)/30))</f>
        <v>1.5643880743006786</v>
      </c>
      <c r="O176" s="172">
        <f ca="1">(VLOOKUP(O$72,INDIRECT($C$5&amp;"生成成长"),2))/((VLOOKUP($B176,INDIRECT($B$5&amp;"生成成长"),4))/(VLOOKUP(O$72,INDIRECT($C$5&amp;"生成成长"),5))*(VLOOKUP($B$5,标准坦克设计!$B$24:$U$30,MATCH("对"&amp;LEFT($C$5,2)&amp;"输出",标准坦克设计!$B$23:$U$23,0)))*(VLOOKUP($B176,INDIRECT($B$5&amp;"生成成长"),3))*(VLOOKUP($B$5,标准坦克设计!$B$14:$K$20,9)/30))</f>
        <v>1.1894025777578294</v>
      </c>
      <c r="P176" s="172">
        <f ca="1">(VLOOKUP(P$72,INDIRECT($C$5&amp;"生成成长"),2))/((VLOOKUP($B176,INDIRECT($B$5&amp;"生成成长"),4))/(VLOOKUP(P$72,INDIRECT($C$5&amp;"生成成长"),5))*(VLOOKUP($B$5,标准坦克设计!$B$24:$U$30,MATCH("对"&amp;LEFT($C$5,2)&amp;"输出",标准坦克设计!$B$23:$U$23,0)))*(VLOOKUP($B176,INDIRECT($B$5&amp;"生成成长"),3))*(VLOOKUP($B$5,标准坦克设计!$B$14:$K$20,9)/30))</f>
        <v>1.3438288990423439</v>
      </c>
      <c r="Q176" s="172">
        <f ca="1">(VLOOKUP(Q$72,INDIRECT($C$5&amp;"生成成长"),2))/((VLOOKUP($B176,INDIRECT($B$5&amp;"生成成长"),4))/(VLOOKUP(Q$72,INDIRECT($C$5&amp;"生成成长"),5))*(VLOOKUP($B$5,标准坦克设计!$B$24:$U$30,MATCH("对"&amp;LEFT($C$5,2)&amp;"输出",标准坦克设计!$B$23:$U$23,0)))*(VLOOKUP($B176,INDIRECT($B$5&amp;"生成成长"),3))*(VLOOKUP($B$5,标准坦克设计!$B$14:$K$20,9)/30))</f>
        <v>1.5076778433204896</v>
      </c>
      <c r="R176" s="172">
        <f ca="1">(VLOOKUP(R$72,INDIRECT($C$5&amp;"生成成长"),2))/((VLOOKUP($B176,INDIRECT($B$5&amp;"生成成长"),4))/(VLOOKUP(R$72,INDIRECT($C$5&amp;"生成成长"),5))*(VLOOKUP($B$5,标准坦克设计!$B$24:$U$30,MATCH("对"&amp;LEFT($C$5,2)&amp;"输出",标准坦克设计!$B$23:$U$23,0)))*(VLOOKUP($B176,INDIRECT($B$5&amp;"生成成长"),3))*(VLOOKUP($B$5,标准坦克设计!$B$14:$K$20,9)/30))</f>
        <v>1.6809494105922669</v>
      </c>
      <c r="S176" s="172">
        <f ca="1">(VLOOKUP(S$72,INDIRECT($C$5&amp;"生成成长"),2))/((VLOOKUP($B176,INDIRECT($B$5&amp;"生成成长"),4))/(VLOOKUP(S$72,INDIRECT($C$5&amp;"生成成长"),5))*(VLOOKUP($B$5,标准坦克设计!$B$24:$U$30,MATCH("对"&amp;LEFT($C$5,2)&amp;"输出",标准坦克设计!$B$23:$U$23,0)))*(VLOOKUP($B176,INDIRECT($B$5&amp;"生成成长"),3))*(VLOOKUP($B$5,标准坦克设计!$B$14:$K$20,9)/30))</f>
        <v>1.8636436008576756</v>
      </c>
      <c r="T176" s="172">
        <f ca="1">(VLOOKUP(T$72,INDIRECT($C$5&amp;"生成成长"),2))/((VLOOKUP($B176,INDIRECT($B$5&amp;"生成成长"),4))/(VLOOKUP(T$72,INDIRECT($C$5&amp;"生成成长"),5))*(VLOOKUP($B$5,标准坦克设计!$B$24:$U$30,MATCH("对"&amp;LEFT($C$5,2)&amp;"输出",标准坦克设计!$B$23:$U$23,0)))*(VLOOKUP($B176,INDIRECT($B$5&amp;"生成成长"),3))*(VLOOKUP($B$5,标准坦克设计!$B$14:$K$20,9)/30))</f>
        <v>2.0557604141167154</v>
      </c>
      <c r="U176" s="172">
        <f ca="1">(VLOOKUP(U$72,INDIRECT($C$5&amp;"生成成长"),2))/((VLOOKUP($B176,INDIRECT($B$5&amp;"生成成长"),4))/(VLOOKUP(U$72,INDIRECT($C$5&amp;"生成成长"),5))*(VLOOKUP($B$5,标准坦克设计!$B$24:$U$30,MATCH("对"&amp;LEFT($C$5,2)&amp;"输出",标准坦克设计!$B$23:$U$23,0)))*(VLOOKUP($B176,INDIRECT($B$5&amp;"生成成长"),3))*(VLOOKUP($B$5,标准坦克设计!$B$14:$K$20,9)/30))</f>
        <v>2.2572998503693871</v>
      </c>
      <c r="V176" s="172">
        <f ca="1">(VLOOKUP(V$72,INDIRECT($C$5&amp;"生成成长"),2))/((VLOOKUP($B176,INDIRECT($B$5&amp;"生成成长"),4))/(VLOOKUP(V$72,INDIRECT($C$5&amp;"生成成长"),5))*(VLOOKUP($B$5,标准坦克设计!$B$24:$U$30,MATCH("对"&amp;LEFT($C$5,2)&amp;"输出",标准坦克设计!$B$23:$U$23,0)))*(VLOOKUP($B176,INDIRECT($B$5&amp;"生成成长"),3))*(VLOOKUP($B$5,标准坦克设计!$B$14:$K$20,9)/30))</f>
        <v>2.4682619096156899</v>
      </c>
      <c r="W176" s="172">
        <f ca="1">(VLOOKUP(W$72,INDIRECT($C$5&amp;"生成成长"),2))/((VLOOKUP($B176,INDIRECT($B$5&amp;"生成成长"),4))/(VLOOKUP(W$72,INDIRECT($C$5&amp;"生成成长"),5))*(VLOOKUP($B$5,标准坦克设计!$B$24:$U$30,MATCH("对"&amp;LEFT($C$5,2)&amp;"输出",标准坦克设计!$B$23:$U$23,0)))*(VLOOKUP($B176,INDIRECT($B$5&amp;"生成成长"),3))*(VLOOKUP($B$5,标准坦克设计!$B$14:$K$20,9)/30))</f>
        <v>2.6886465918556244</v>
      </c>
      <c r="X176" s="172">
        <f ca="1">(VLOOKUP(X$72,INDIRECT($C$5&amp;"生成成长"),2))/((VLOOKUP($B176,INDIRECT($B$5&amp;"生成成长"),4))/(VLOOKUP(X$72,INDIRECT($C$5&amp;"生成成长"),5))*(VLOOKUP($B$5,标准坦克设计!$B$24:$U$30,MATCH("对"&amp;LEFT($C$5,2)&amp;"输出",标准坦克设计!$B$23:$U$23,0)))*(VLOOKUP($B176,INDIRECT($B$5&amp;"生成成长"),3))*(VLOOKUP($B$5,标准坦克设计!$B$14:$K$20,9)/30))</f>
        <v>1.9478655644056893</v>
      </c>
      <c r="Y176" s="172">
        <f ca="1">(VLOOKUP(Y$72,INDIRECT($C$5&amp;"生成成长"),2))/((VLOOKUP($B176,INDIRECT($B$5&amp;"生成成长"),4))/(VLOOKUP(Y$72,INDIRECT($C$5&amp;"生成成长"),5))*(VLOOKUP($B$5,标准坦克设计!$B$24:$U$30,MATCH("对"&amp;LEFT($C$5,2)&amp;"输出",标准坦克设计!$B$23:$U$23,0)))*(VLOOKUP($B176,INDIRECT($B$5&amp;"生成成长"),3))*(VLOOKUP($B$5,标准坦克设计!$B$14:$K$20,9)/30))</f>
        <v>2.1665634808010847</v>
      </c>
      <c r="Z176" s="172">
        <f ca="1">(VLOOKUP(Z$72,INDIRECT($C$5&amp;"生成成长"),2))/((VLOOKUP($B176,INDIRECT($B$5&amp;"生成成长"),4))/(VLOOKUP(Z$72,INDIRECT($C$5&amp;"生成成长"),5))*(VLOOKUP($B$5,标准坦克设计!$B$24:$U$30,MATCH("对"&amp;LEFT($C$5,2)&amp;"输出",标准坦克设计!$B$23:$U$23,0)))*(VLOOKUP($B176,INDIRECT($B$5&amp;"生成成长"),3))*(VLOOKUP($B$5,标准坦克设计!$B$14:$K$20,9)/30))</f>
        <v>2.3968942650898524</v>
      </c>
      <c r="AA176" s="172">
        <f ca="1">(VLOOKUP(AA$72,INDIRECT($C$5&amp;"生成成长"),2))/((VLOOKUP($B176,INDIRECT($B$5&amp;"生成成长"),4))/(VLOOKUP(AA$72,INDIRECT($C$5&amp;"生成成长"),5))*(VLOOKUP($B$5,标准坦克设计!$B$24:$U$30,MATCH("对"&amp;LEFT($C$5,2)&amp;"输出",标准坦克设计!$B$23:$U$23,0)))*(VLOOKUP($B176,INDIRECT($B$5&amp;"生成成长"),3))*(VLOOKUP($B$5,标准坦克设计!$B$14:$K$20,9)/30))</f>
        <v>2.638857917271991</v>
      </c>
      <c r="AB176" s="172">
        <f ca="1">(VLOOKUP(AB$72,INDIRECT($C$5&amp;"生成成长"),2))/((VLOOKUP($B176,INDIRECT($B$5&amp;"生成成长"),4))/(VLOOKUP(AB$72,INDIRECT($C$5&amp;"生成成长"),5))*(VLOOKUP($B$5,标准坦克设计!$B$24:$U$30,MATCH("对"&amp;LEFT($C$5,2)&amp;"输出",标准坦克设计!$B$23:$U$23,0)))*(VLOOKUP($B176,INDIRECT($B$5&amp;"生成成长"),3))*(VLOOKUP($B$5,标准坦克设计!$B$14:$K$20,9)/30))</f>
        <v>2.8924544373475034</v>
      </c>
      <c r="AC176" s="172">
        <f ca="1">(VLOOKUP(AC$72,INDIRECT($C$5&amp;"生成成长"),2))/((VLOOKUP($B176,INDIRECT($B$5&amp;"生成成长"),4))/(VLOOKUP(AC$72,INDIRECT($C$5&amp;"生成成长"),5))*(VLOOKUP($B$5,标准坦克设计!$B$24:$U$30,MATCH("对"&amp;LEFT($C$5,2)&amp;"输出",标准坦克设计!$B$23:$U$23,0)))*(VLOOKUP($B176,INDIRECT($B$5&amp;"生成成长"),3))*(VLOOKUP($B$5,标准坦克设计!$B$14:$K$20,9)/30))</f>
        <v>3.1576838253163868</v>
      </c>
      <c r="AD176" s="172">
        <f ca="1">(VLOOKUP(AD$72,INDIRECT($C$5&amp;"生成成长"),2))/((VLOOKUP($B176,INDIRECT($B$5&amp;"生成成长"),4))/(VLOOKUP(AD$72,INDIRECT($C$5&amp;"生成成长"),5))*(VLOOKUP($B$5,标准坦克设计!$B$24:$U$30,MATCH("对"&amp;LEFT($C$5,2)&amp;"输出",标准坦克设计!$B$23:$U$23,0)))*(VLOOKUP($B176,INDIRECT($B$5&amp;"生成成长"),3))*(VLOOKUP($B$5,标准坦克设计!$B$14:$K$20,9)/30))</f>
        <v>3.4345460811786426</v>
      </c>
      <c r="AE176" s="172">
        <f ca="1">(VLOOKUP(AE$72,INDIRECT($C$5&amp;"生成成长"),2))/((VLOOKUP($B176,INDIRECT($B$5&amp;"生成成长"),4))/(VLOOKUP(AE$72,INDIRECT($C$5&amp;"生成成长"),5))*(VLOOKUP($B$5,标准坦克设计!$B$24:$U$30,MATCH("对"&amp;LEFT($C$5,2)&amp;"输出",标准坦克设计!$B$23:$U$23,0)))*(VLOOKUP($B176,INDIRECT($B$5&amp;"生成成长"),3))*(VLOOKUP($B$5,标准坦克设计!$B$14:$K$20,9)/30))</f>
        <v>3.7230412049342694</v>
      </c>
      <c r="AF176" s="172">
        <f ca="1">(VLOOKUP(AF$72,INDIRECT($C$5&amp;"生成成长"),2))/((VLOOKUP($B176,INDIRECT($B$5&amp;"生成成长"),4))/(VLOOKUP(AF$72,INDIRECT($C$5&amp;"生成成长"),5))*(VLOOKUP($B$5,标准坦克设计!$B$24:$U$30,MATCH("对"&amp;LEFT($C$5,2)&amp;"输出",标准坦克设计!$B$23:$U$23,0)))*(VLOOKUP($B176,INDIRECT($B$5&amp;"生成成长"),3))*(VLOOKUP($B$5,标准坦克设计!$B$14:$K$20,9)/30))</f>
        <v>4.0231691965832699</v>
      </c>
      <c r="AG176" s="172">
        <f ca="1">(VLOOKUP(AG$72,INDIRECT($C$5&amp;"生成成长"),2))/((VLOOKUP($B176,INDIRECT($B$5&amp;"生成成长"),4))/(VLOOKUP(AG$72,INDIRECT($C$5&amp;"生成成长"),5))*(VLOOKUP($B$5,标准坦克设计!$B$24:$U$30,MATCH("对"&amp;LEFT($C$5,2)&amp;"输出",标准坦克设计!$B$23:$U$23,0)))*(VLOOKUP($B176,INDIRECT($B$5&amp;"生成成长"),3))*(VLOOKUP($B$5,标准坦克设计!$B$14:$K$20,9)/30))</f>
        <v>4.3349300561256419</v>
      </c>
      <c r="AH176" s="172">
        <f ca="1">(VLOOKUP(AH$72,INDIRECT($C$5&amp;"生成成长"),2))/((VLOOKUP($B176,INDIRECT($B$5&amp;"生成成长"),4))/(VLOOKUP(AH$72,INDIRECT($C$5&amp;"生成成长"),5))*(VLOOKUP($B$5,标准坦克设计!$B$24:$U$30,MATCH("对"&amp;LEFT($C$5,2)&amp;"输出",标准坦克设计!$B$23:$U$23,0)))*(VLOOKUP($B176,INDIRECT($B$5&amp;"生成成长"),3))*(VLOOKUP($B$5,标准坦克设计!$B$14:$K$20,9)/30))</f>
        <v>4.6583237835613858</v>
      </c>
      <c r="AI176" s="172">
        <f ca="1">(VLOOKUP(AI$72,INDIRECT($C$5&amp;"生成成长"),2))/((VLOOKUP($B176,INDIRECT($B$5&amp;"生成成长"),4))/(VLOOKUP(AI$72,INDIRECT($C$5&amp;"生成成长"),5))*(VLOOKUP($B$5,标准坦克设计!$B$24:$U$30,MATCH("对"&amp;LEFT($C$5,2)&amp;"输出",标准坦克设计!$B$23:$U$23,0)))*(VLOOKUP($B176,INDIRECT($B$5&amp;"生成成长"),3))*(VLOOKUP($B$5,标准坦克设计!$B$14:$K$20,9)/30))</f>
        <v>3.294660844760843</v>
      </c>
      <c r="AJ176" s="172">
        <f ca="1">(VLOOKUP(AJ$72,INDIRECT($C$5&amp;"生成成长"),2))/((VLOOKUP($B176,INDIRECT($B$5&amp;"生成成长"),4))/(VLOOKUP(AJ$72,INDIRECT($C$5&amp;"生成成长"),5))*(VLOOKUP($B$5,标准坦克设计!$B$24:$U$30,MATCH("对"&amp;LEFT($C$5,2)&amp;"输出",标准坦克设计!$B$23:$U$23,0)))*(VLOOKUP($B176,INDIRECT($B$5&amp;"生成成长"),3))*(VLOOKUP($B$5,标准坦克设计!$B$14:$K$20,9)/30))</f>
        <v>3.6062472112848147</v>
      </c>
      <c r="AK176" s="172">
        <f ca="1">(VLOOKUP(AK$72,INDIRECT($C$5&amp;"生成成长"),2))/((VLOOKUP($B176,INDIRECT($B$5&amp;"生成成长"),4))/(VLOOKUP(AK$72,INDIRECT($C$5&amp;"生成成长"),5))*(VLOOKUP($B$5,标准坦克设计!$B$24:$U$30,MATCH("对"&amp;LEFT($C$5,2)&amp;"输出",标准坦克设计!$B$23:$U$23,0)))*(VLOOKUP($B176,INDIRECT($B$5&amp;"生成成长"),3))*(VLOOKUP($B$5,标准坦克设计!$B$14:$K$20,9)/30))</f>
        <v>3.931909347959766</v>
      </c>
      <c r="AL176" s="172">
        <f ca="1">(VLOOKUP(AL$72,INDIRECT($C$5&amp;"生成成长"),2))/((VLOOKUP($B176,INDIRECT($B$5&amp;"生成成长"),4))/(VLOOKUP(AL$72,INDIRECT($C$5&amp;"生成成长"),5))*(VLOOKUP($B$5,标准坦克设计!$B$24:$U$30,MATCH("对"&amp;LEFT($C$5,2)&amp;"输出",标准坦克设计!$B$23:$U$23,0)))*(VLOOKUP($B176,INDIRECT($B$5&amp;"生成成长"),3))*(VLOOKUP($B$5,标准坦克设计!$B$14:$K$20,9)/30))</f>
        <v>4.2716472547856972</v>
      </c>
      <c r="AM176" s="172">
        <f ca="1">(VLOOKUP(AM$72,INDIRECT($C$5&amp;"生成成长"),2))/((VLOOKUP($B176,INDIRECT($B$5&amp;"生成成长"),4))/(VLOOKUP(AM$72,INDIRECT($C$5&amp;"生成成长"),5))*(VLOOKUP($B$5,标准坦克设计!$B$24:$U$30,MATCH("对"&amp;LEFT($C$5,2)&amp;"输出",标准坦克设计!$B$23:$U$23,0)))*(VLOOKUP($B176,INDIRECT($B$5&amp;"生成成长"),3))*(VLOOKUP($B$5,标准坦克设计!$B$14:$K$20,9)/30))</f>
        <v>4.6254609317626096</v>
      </c>
      <c r="AN176" s="172">
        <f ca="1">(VLOOKUP(AN$72,INDIRECT($C$5&amp;"生成成长"),2))/((VLOOKUP($B176,INDIRECT($B$5&amp;"生成成长"),4))/(VLOOKUP(AN$72,INDIRECT($C$5&amp;"生成成长"),5))*(VLOOKUP($B$5,标准坦克设计!$B$24:$U$30,MATCH("对"&amp;LEFT($C$5,2)&amp;"输出",标准坦克设计!$B$23:$U$23,0)))*(VLOOKUP($B176,INDIRECT($B$5&amp;"生成成长"),3))*(VLOOKUP($B$5,标准坦克设计!$B$14:$K$20,9)/30))</f>
        <v>4.9933503788905025</v>
      </c>
      <c r="AO176" s="172">
        <f ca="1">(VLOOKUP(AO$72,INDIRECT($C$5&amp;"生成成长"),2))/((VLOOKUP($B176,INDIRECT($B$5&amp;"生成成长"),4))/(VLOOKUP(AO$72,INDIRECT($C$5&amp;"生成成长"),5))*(VLOOKUP($B$5,标准坦克设计!$B$24:$U$30,MATCH("对"&amp;LEFT($C$5,2)&amp;"输出",标准坦克设计!$B$23:$U$23,0)))*(VLOOKUP($B176,INDIRECT($B$5&amp;"生成成长"),3))*(VLOOKUP($B$5,标准坦克设计!$B$14:$K$20,9)/30))</f>
        <v>5.3753155961693757</v>
      </c>
      <c r="AP176" s="172">
        <f ca="1">(VLOOKUP(AP$72,INDIRECT($C$5&amp;"生成成长"),2))/((VLOOKUP($B176,INDIRECT($B$5&amp;"生成成长"),4))/(VLOOKUP(AP$72,INDIRECT($C$5&amp;"生成成长"),5))*(VLOOKUP($B$5,标准坦克设计!$B$24:$U$30,MATCH("对"&amp;LEFT($C$5,2)&amp;"输出",标准坦克设计!$B$23:$U$23,0)))*(VLOOKUP($B176,INDIRECT($B$5&amp;"生成成长"),3))*(VLOOKUP($B$5,标准坦克设计!$B$14:$K$20,9)/30))</f>
        <v>5.7713565835992275</v>
      </c>
      <c r="AQ176" s="172">
        <f ca="1">(VLOOKUP(AQ$72,INDIRECT($C$5&amp;"生成成长"),2))/((VLOOKUP($B176,INDIRECT($B$5&amp;"生成成长"),4))/(VLOOKUP(AQ$72,INDIRECT($C$5&amp;"生成成长"),5))*(VLOOKUP($B$5,标准坦克设计!$B$24:$U$30,MATCH("对"&amp;LEFT($C$5,2)&amp;"输出",标准坦克设计!$B$23:$U$23,0)))*(VLOOKUP($B176,INDIRECT($B$5&amp;"生成成长"),3))*(VLOOKUP($B$5,标准坦克设计!$B$14:$K$20,9)/30))</f>
        <v>6.1814733411800606</v>
      </c>
      <c r="AR176" s="172">
        <f ca="1">(VLOOKUP(AR$72,INDIRECT($C$5&amp;"生成成长"),2))/((VLOOKUP($B176,INDIRECT($B$5&amp;"生成成长"),4))/(VLOOKUP(AR$72,INDIRECT($C$5&amp;"生成成长"),5))*(VLOOKUP($B$5,标准坦克设计!$B$24:$U$30,MATCH("对"&amp;LEFT($C$5,2)&amp;"输出",标准坦克设计!$B$23:$U$23,0)))*(VLOOKUP($B176,INDIRECT($B$5&amp;"生成成长"),3))*(VLOOKUP($B$5,标准坦克设计!$B$14:$K$20,9)/30))</f>
        <v>6.6056658689118741</v>
      </c>
      <c r="AS176" s="172">
        <f ca="1">(VLOOKUP(AS$72,INDIRECT($C$5&amp;"生成成长"),2))/((VLOOKUP($B176,INDIRECT($B$5&amp;"生成成长"),4))/(VLOOKUP(AS$72,INDIRECT($C$5&amp;"生成成长"),5))*(VLOOKUP($B$5,标准坦克设计!$B$24:$U$30,MATCH("对"&amp;LEFT($C$5,2)&amp;"输出",标准坦克设计!$B$23:$U$23,0)))*(VLOOKUP($B176,INDIRECT($B$5&amp;"生成成长"),3))*(VLOOKUP($B$5,标准坦克设计!$B$14:$K$20,9)/30))</f>
        <v>7.0439341667946671</v>
      </c>
      <c r="AT176" s="172">
        <f ca="1">(VLOOKUP(AT$72,INDIRECT($C$5&amp;"生成成长"),2))/((VLOOKUP($B176,INDIRECT($B$5&amp;"生成成长"),4))/(VLOOKUP(AT$72,INDIRECT($C$5&amp;"生成成长"),5))*(VLOOKUP($B$5,标准坦克设计!$B$24:$U$30,MATCH("对"&amp;LEFT($C$5,2)&amp;"输出",标准坦克设计!$B$23:$U$23,0)))*(VLOOKUP($B176,INDIRECT($B$5&amp;"生成成长"),3))*(VLOOKUP($B$5,标准坦克设计!$B$14:$K$20,9)/30))</f>
        <v>7.4962782348284405</v>
      </c>
      <c r="AU176" s="172">
        <f ca="1">(VLOOKUP(AU$72,INDIRECT($C$5&amp;"生成成长"),2))/((VLOOKUP($B176,INDIRECT($B$5&amp;"生成成长"),4))/(VLOOKUP(AU$72,INDIRECT($C$5&amp;"生成成长"),5))*(VLOOKUP($B$5,标准坦克设计!$B$24:$U$30,MATCH("对"&amp;LEFT($C$5,2)&amp;"输出",标准坦克设计!$B$23:$U$23,0)))*(VLOOKUP($B176,INDIRECT($B$5&amp;"生成成长"),3))*(VLOOKUP($B$5,标准坦克设计!$B$14:$K$20,9)/30))</f>
        <v>7.9626980730131951</v>
      </c>
      <c r="AV176" s="172">
        <f ca="1">(VLOOKUP(AV$72,INDIRECT($C$5&amp;"生成成长"),2))/((VLOOKUP($B176,INDIRECT($B$5&amp;"生成成长"),4))/(VLOOKUP(AV$72,INDIRECT($C$5&amp;"生成成长"),5))*(VLOOKUP($B$5,标准坦克设计!$B$24:$U$30,MATCH("对"&amp;LEFT($C$5,2)&amp;"输出",标准坦克设计!$B$23:$U$23,0)))*(VLOOKUP($B176,INDIRECT($B$5&amp;"生成成长"),3))*(VLOOKUP($B$5,标准坦克设计!$B$14:$K$20,9)/30))</f>
        <v>0.80988026273656466</v>
      </c>
      <c r="AW176" s="172">
        <f ca="1">(VLOOKUP(AW$72,INDIRECT($C$5&amp;"生成成长"),2))/((VLOOKUP($B176,INDIRECT($B$5&amp;"生成成长"),4))/(VLOOKUP(AW$72,INDIRECT($C$5&amp;"生成成长"),5))*(VLOOKUP($B$5,标准坦克设计!$B$24:$U$30,MATCH("对"&amp;LEFT($C$5,2)&amp;"输出",标准坦克设计!$B$23:$U$23,0)))*(VLOOKUP($B176,INDIRECT($B$5&amp;"生成成长"),3))*(VLOOKUP($B$5,标准坦克设计!$B$14:$K$20,9)/30))</f>
        <v>0.92341705337587654</v>
      </c>
      <c r="AX176" s="172">
        <f ca="1">(VLOOKUP(AX$72,INDIRECT($C$5&amp;"生成成长"),2))/((VLOOKUP($B176,INDIRECT($B$5&amp;"生成成长"),4))/(VLOOKUP(AX$72,INDIRECT($C$5&amp;"生成成长"),5))*(VLOOKUP($B$5,标准坦克设计!$B$24:$U$30,MATCH("对"&amp;LEFT($C$5,2)&amp;"输出",标准坦克设计!$B$23:$U$23,0)))*(VLOOKUP($B176,INDIRECT($B$5&amp;"生成成长"),3))*(VLOOKUP($B$5,标准坦克设计!$B$14:$K$20,9)/30))</f>
        <v>1.0443988794669461</v>
      </c>
      <c r="AY176" s="172">
        <f ca="1">(VLOOKUP(AY$72,INDIRECT($C$5&amp;"生成成长"),2))/((VLOOKUP($B176,INDIRECT($B$5&amp;"生成成长"),4))/(VLOOKUP(AY$72,INDIRECT($C$5&amp;"生成成长"),5))*(VLOOKUP($B$5,标准坦克设计!$B$24:$U$30,MATCH("对"&amp;LEFT($C$5,2)&amp;"输出",标准坦克设计!$B$23:$U$23,0)))*(VLOOKUP($B176,INDIRECT($B$5&amp;"生成成长"),3))*(VLOOKUP($B$5,标准坦克设计!$B$14:$K$20,9)/30))</f>
        <v>1.1728257410097742</v>
      </c>
      <c r="AZ176" s="172">
        <f ca="1">(VLOOKUP(AZ$72,INDIRECT($C$5&amp;"生成成长"),2))/((VLOOKUP($B176,INDIRECT($B$5&amp;"生成成长"),4))/(VLOOKUP(AZ$72,INDIRECT($C$5&amp;"生成成长"),5))*(VLOOKUP($B$5,标准坦克设计!$B$24:$U$30,MATCH("对"&amp;LEFT($C$5,2)&amp;"输出",标准坦克设计!$B$23:$U$23,0)))*(VLOOKUP($B176,INDIRECT($B$5&amp;"生成成长"),3))*(VLOOKUP($B$5,标准坦克设计!$B$14:$K$20,9)/30))</f>
        <v>1.3086976380043598</v>
      </c>
      <c r="BA176" s="172">
        <f ca="1">(VLOOKUP(BA$72,INDIRECT($C$5&amp;"生成成长"),2))/((VLOOKUP($B176,INDIRECT($B$5&amp;"生成成长"),4))/(VLOOKUP(BA$72,INDIRECT($C$5&amp;"生成成长"),5))*(VLOOKUP($B$5,标准坦克设计!$B$24:$U$30,MATCH("对"&amp;LEFT($C$5,2)&amp;"输出",标准坦克设计!$B$23:$U$23,0)))*(VLOOKUP($B176,INDIRECT($B$5&amp;"生成成长"),3))*(VLOOKUP($B$5,标准坦克设计!$B$14:$K$20,9)/30))</f>
        <v>1.4520145704507039</v>
      </c>
      <c r="BB176" s="172">
        <f ca="1">(VLOOKUP(BB$72,INDIRECT($C$5&amp;"生成成长"),2))/((VLOOKUP($B176,INDIRECT($B$5&amp;"生成成长"),4))/(VLOOKUP(BB$72,INDIRECT($C$5&amp;"生成成长"),5))*(VLOOKUP($B$5,标准坦克设计!$B$24:$U$30,MATCH("对"&amp;LEFT($C$5,2)&amp;"输出",标准坦克设计!$B$23:$U$23,0)))*(VLOOKUP($B176,INDIRECT($B$5&amp;"生成成长"),3))*(VLOOKUP($B$5,标准坦克设计!$B$14:$K$20,9)/30))</f>
        <v>1.6027765383488066</v>
      </c>
      <c r="BC176" s="172">
        <f ca="1">(VLOOKUP(BC$72,INDIRECT($C$5&amp;"生成成长"),2))/((VLOOKUP($B176,INDIRECT($B$5&amp;"生成成长"),4))/(VLOOKUP(BC$72,INDIRECT($C$5&amp;"生成成长"),5))*(VLOOKUP($B$5,标准坦克设计!$B$24:$U$30,MATCH("对"&amp;LEFT($C$5,2)&amp;"输出",标准坦克设计!$B$23:$U$23,0)))*(VLOOKUP($B176,INDIRECT($B$5&amp;"生成成长"),3))*(VLOOKUP($B$5,标准坦克设计!$B$14:$K$20,9)/30))</f>
        <v>1.7609835416986668</v>
      </c>
      <c r="BD176" s="172">
        <f ca="1">(VLOOKUP(BD$72,INDIRECT($C$5&amp;"生成成长"),2))/((VLOOKUP($B176,INDIRECT($B$5&amp;"生成成长"),4))/(VLOOKUP(BD$72,INDIRECT($C$5&amp;"生成成长"),5))*(VLOOKUP($B$5,标准坦克设计!$B$24:$U$30,MATCH("对"&amp;LEFT($C$5,2)&amp;"输出",标准坦克设计!$B$23:$U$23,0)))*(VLOOKUP($B176,INDIRECT($B$5&amp;"生成成长"),3))*(VLOOKUP($B$5,标准坦克设计!$B$14:$K$20,9)/30))</f>
        <v>1.9478655644056893</v>
      </c>
      <c r="BE176" s="172">
        <f ca="1">(VLOOKUP(BE$72,INDIRECT($C$5&amp;"生成成长"),2))/((VLOOKUP($B176,INDIRECT($B$5&amp;"生成成长"),4))/(VLOOKUP(BE$72,INDIRECT($C$5&amp;"生成成长"),5))*(VLOOKUP($B$5,标准坦克设计!$B$24:$U$30,MATCH("对"&amp;LEFT($C$5,2)&amp;"输出",标准坦克设计!$B$23:$U$23,0)))*(VLOOKUP($B176,INDIRECT($B$5&amp;"生成成长"),3))*(VLOOKUP($B$5,标准坦克设计!$B$14:$K$20,9)/30))</f>
        <v>2.1441702101063433</v>
      </c>
      <c r="BF176" s="172">
        <f ca="1">(VLOOKUP(BF$72,INDIRECT($C$5&amp;"生成成长"),2))/((VLOOKUP($B176,INDIRECT($B$5&amp;"生成成长"),4))/(VLOOKUP(BF$72,INDIRECT($C$5&amp;"生成成长"),5))*(VLOOKUP($B$5,标准坦克设计!$B$24:$U$30,MATCH("对"&amp;LEFT($C$5,2)&amp;"输出",标准坦克设计!$B$23:$U$23,0)))*(VLOOKUP($B176,INDIRECT($B$5&amp;"生成成长"),3))*(VLOOKUP($B$5,标准坦克设计!$B$14:$K$20,9)/30))</f>
        <v>2.3498974788006288</v>
      </c>
      <c r="BG176" s="172">
        <f ca="1">(VLOOKUP(BG$72,INDIRECT($C$5&amp;"生成成长"),2))/((VLOOKUP($B176,INDIRECT($B$5&amp;"生成成长"),4))/(VLOOKUP(BG$72,INDIRECT($C$5&amp;"生成成长"),5))*(VLOOKUP($B$5,标准坦克设计!$B$24:$U$30,MATCH("对"&amp;LEFT($C$5,2)&amp;"输出",标准坦克设计!$B$23:$U$23,0)))*(VLOOKUP($B176,INDIRECT($B$5&amp;"生成成长"),3))*(VLOOKUP($B$5,标准坦克设计!$B$14:$K$20,9)/30))</f>
        <v>2.5650473704885459</v>
      </c>
      <c r="BH176" s="172">
        <f ca="1">(VLOOKUP(BH$72,INDIRECT($C$5&amp;"生成成长"),2))/((VLOOKUP($B176,INDIRECT($B$5&amp;"生成成长"),4))/(VLOOKUP(BH$72,INDIRECT($C$5&amp;"生成成长"),5))*(VLOOKUP($B$5,标准坦克设计!$B$24:$U$30,MATCH("对"&amp;LEFT($C$5,2)&amp;"输出",标准坦克设计!$B$23:$U$23,0)))*(VLOOKUP($B176,INDIRECT($B$5&amp;"生成成长"),3))*(VLOOKUP($B$5,标准坦克设计!$B$14:$K$20,9)/30))</f>
        <v>1.2398310600755973</v>
      </c>
      <c r="BI176" s="172">
        <f ca="1">(VLOOKUP(BI$72,INDIRECT($C$5&amp;"生成成长"),2))/((VLOOKUP($B176,INDIRECT($B$5&amp;"生成成长"),4))/(VLOOKUP(BI$72,INDIRECT($C$5&amp;"生成成长"),5))*(VLOOKUP($B$5,标准坦克设计!$B$24:$U$30,MATCH("对"&amp;LEFT($C$5,2)&amp;"输出",标准坦克设计!$B$23:$U$23,0)))*(VLOOKUP($B176,INDIRECT($B$5&amp;"生成成长"),3))*(VLOOKUP($B$5,标准坦克设计!$B$14:$K$20,9)/30))</f>
        <v>1.3973982556913223</v>
      </c>
      <c r="BJ176" s="172">
        <f ca="1">(VLOOKUP(BJ$72,INDIRECT($C$5&amp;"生成成长"),2))/((VLOOKUP($B176,INDIRECT($B$5&amp;"生成成长"),4))/(VLOOKUP(BJ$72,INDIRECT($C$5&amp;"生成成长"),5))*(VLOOKUP($B$5,标准坦克设计!$B$24:$U$30,MATCH("对"&amp;LEFT($C$5,2)&amp;"输出",标准坦克设计!$B$23:$U$23,0)))*(VLOOKUP($B176,INDIRECT($B$5&amp;"生成成长"),3))*(VLOOKUP($B$5,标准坦克设计!$B$14:$K$20,9)/30))</f>
        <v>1.5643880743006786</v>
      </c>
      <c r="BK176" s="172">
        <f ca="1">(VLOOKUP(BK$72,INDIRECT($C$5&amp;"生成成长"),2))/((VLOOKUP($B176,INDIRECT($B$5&amp;"生成成长"),4))/(VLOOKUP(BK$72,INDIRECT($C$5&amp;"生成成长"),5))*(VLOOKUP($B$5,标准坦克设计!$B$24:$U$30,MATCH("对"&amp;LEFT($C$5,2)&amp;"输出",标准坦克设计!$B$23:$U$23,0)))*(VLOOKUP($B176,INDIRECT($B$5&amp;"生成成长"),3))*(VLOOKUP($B$5,标准坦克设计!$B$14:$K$20,9)/30))</f>
        <v>1.7408005159036664</v>
      </c>
      <c r="BL176" s="172">
        <f ca="1">(VLOOKUP(BL$72,INDIRECT($C$5&amp;"生成成长"),2))/((VLOOKUP($B176,INDIRECT($B$5&amp;"生成成长"),4))/(VLOOKUP(BL$72,INDIRECT($C$5&amp;"生成成长"),5))*(VLOOKUP($B$5,标准坦克设计!$B$24:$U$30,MATCH("对"&amp;LEFT($C$5,2)&amp;"输出",标准坦克设计!$B$23:$U$23,0)))*(VLOOKUP($B176,INDIRECT($B$5&amp;"生成成长"),3))*(VLOOKUP($B$5,标准坦克设计!$B$14:$K$20,9)/30))</f>
        <v>1.9266355805002853</v>
      </c>
      <c r="BM176" s="172">
        <f ca="1">(VLOOKUP(BM$72,INDIRECT($C$5&amp;"生成成长"),2))/((VLOOKUP($B176,INDIRECT($B$5&amp;"生成成长"),4))/(VLOOKUP(BM$72,INDIRECT($C$5&amp;"生成成长"),5))*(VLOOKUP($B$5,标准坦克设计!$B$24:$U$30,MATCH("对"&amp;LEFT($C$5,2)&amp;"输出",标准坦克设计!$B$23:$U$23,0)))*(VLOOKUP($B176,INDIRECT($B$5&amp;"生成成长"),3))*(VLOOKUP($B$5,标准坦克设计!$B$14:$K$20,9)/30))</f>
        <v>2.1218932680905365</v>
      </c>
      <c r="BN176" s="172">
        <f ca="1">(VLOOKUP(BN$72,INDIRECT($C$5&amp;"生成成长"),2))/((VLOOKUP($B176,INDIRECT($B$5&amp;"生成成长"),4))/(VLOOKUP(BN$72,INDIRECT($C$5&amp;"生成成长"),5))*(VLOOKUP($B$5,标准坦克设计!$B$24:$U$30,MATCH("对"&amp;LEFT($C$5,2)&amp;"输出",标准坦克设计!$B$23:$U$23,0)))*(VLOOKUP($B176,INDIRECT($B$5&amp;"生成成长"),3))*(VLOOKUP($B$5,标准坦克设计!$B$14:$K$20,9)/30))</f>
        <v>2.3265735786744179</v>
      </c>
      <c r="BO176" s="172">
        <f ca="1">(VLOOKUP(BO$72,INDIRECT($C$5&amp;"生成成长"),2))/((VLOOKUP($B176,INDIRECT($B$5&amp;"生成成长"),4))/(VLOOKUP(BO$72,INDIRECT($C$5&amp;"生成成长"),5))*(VLOOKUP($B$5,标准坦克设计!$B$24:$U$30,MATCH("对"&amp;LEFT($C$5,2)&amp;"输出",标准坦克设计!$B$23:$U$23,0)))*(VLOOKUP($B176,INDIRECT($B$5&amp;"生成成长"),3))*(VLOOKUP($B$5,标准坦克设计!$B$14:$K$20,9)/30))</f>
        <v>2.5406765122519306</v>
      </c>
      <c r="BP176" s="172">
        <f ca="1">(VLOOKUP(BP$72,INDIRECT($C$5&amp;"生成成长"),2))/((VLOOKUP($B176,INDIRECT($B$5&amp;"生成成长"),4))/(VLOOKUP(BP$72,INDIRECT($C$5&amp;"生成成长"),5))*(VLOOKUP($B$5,标准坦克设计!$B$24:$U$30,MATCH("对"&amp;LEFT($C$5,2)&amp;"输出",标准坦克设计!$B$23:$U$23,0)))*(VLOOKUP($B176,INDIRECT($B$5&amp;"生成成长"),3))*(VLOOKUP($B$5,标准坦克设计!$B$14:$K$20,9)/30))</f>
        <v>2.7642020688230753</v>
      </c>
      <c r="BQ176" s="172">
        <f ca="1">(VLOOKUP(BQ$72,INDIRECT($C$5&amp;"生成成长"),2))/((VLOOKUP($B176,INDIRECT($B$5&amp;"生成成长"),4))/(VLOOKUP(BQ$72,INDIRECT($C$5&amp;"生成成长"),5))*(VLOOKUP($B$5,标准坦克设计!$B$24:$U$30,MATCH("对"&amp;LEFT($C$5,2)&amp;"输出",标准坦克设计!$B$23:$U$23,0)))*(VLOOKUP($B176,INDIRECT($B$5&amp;"生成成长"),3))*(VLOOKUP($B$5,标准坦克设计!$B$14:$K$20,9)/30))</f>
        <v>2.997150248387852</v>
      </c>
      <c r="BR176" s="172">
        <f ca="1">(VLOOKUP(BR$72,INDIRECT($C$5&amp;"生成成长"),2))/((VLOOKUP($B176,INDIRECT($B$5&amp;"生成成长"),4))/(VLOOKUP(BR$72,INDIRECT($C$5&amp;"生成成长"),5))*(VLOOKUP($B$5,标准坦克设计!$B$24:$U$30,MATCH("对"&amp;LEFT($C$5,2)&amp;"输出",标准坦克设计!$B$23:$U$23,0)))*(VLOOKUP($B176,INDIRECT($B$5&amp;"生成成长"),3))*(VLOOKUP($B$5,标准坦克设计!$B$14:$K$20,9)/30))</f>
        <v>3.2670327835140842</v>
      </c>
      <c r="BS176" s="172">
        <f ca="1">(VLOOKUP(BS$72,INDIRECT($C$5&amp;"生成成长"),2))/((VLOOKUP($B176,INDIRECT($B$5&amp;"生成成长"),4))/(VLOOKUP(BS$72,INDIRECT($C$5&amp;"生成成长"),5))*(VLOOKUP($B$5,标准坦克设计!$B$24:$U$30,MATCH("对"&amp;LEFT($C$5,2)&amp;"输出",标准坦克设计!$B$23:$U$23,0)))*(VLOOKUP($B176,INDIRECT($B$5&amp;"生成成长"),3))*(VLOOKUP($B$5,标准坦克设计!$B$14:$K$20,9)/30))</f>
        <v>3.5485481865336888</v>
      </c>
      <c r="BT176" s="172">
        <f ca="1">(VLOOKUP(BT$72,INDIRECT($C$5&amp;"生成成长"),2))/((VLOOKUP($B176,INDIRECT($B$5&amp;"生成成长"),4))/(VLOOKUP(BT$72,INDIRECT($C$5&amp;"生成成长"),5))*(VLOOKUP($B$5,标准坦克设计!$B$24:$U$30,MATCH("对"&amp;LEFT($C$5,2)&amp;"输出",标准坦克设计!$B$23:$U$23,0)))*(VLOOKUP($B176,INDIRECT($B$5&amp;"生成成长"),3))*(VLOOKUP($B$5,标准坦克设计!$B$14:$K$20,9)/30))</f>
        <v>3.8416964574466657</v>
      </c>
      <c r="BU176" s="172">
        <f ca="1">(VLOOKUP(BU$72,INDIRECT($C$5&amp;"生成成长"),2))/((VLOOKUP($B176,INDIRECT($B$5&amp;"生成成长"),4))/(VLOOKUP(BU$72,INDIRECT($C$5&amp;"生成成长"),5))*(VLOOKUP($B$5,标准坦克设计!$B$24:$U$30,MATCH("对"&amp;LEFT($C$5,2)&amp;"输出",标准坦克设计!$B$23:$U$23,0)))*(VLOOKUP($B176,INDIRECT($B$5&amp;"生成成长"),3))*(VLOOKUP($B$5,标准坦克设计!$B$14:$K$20,9)/30))</f>
        <v>4.146477596253014</v>
      </c>
      <c r="BV176" s="172">
        <f ca="1">(VLOOKUP(BV$72,INDIRECT($C$5&amp;"生成成长"),2))/((VLOOKUP($B176,INDIRECT($B$5&amp;"生成成长"),4))/(VLOOKUP(BV$72,INDIRECT($C$5&amp;"生成成长"),5))*(VLOOKUP($B$5,标准坦克设计!$B$24:$U$30,MATCH("对"&amp;LEFT($C$5,2)&amp;"输出",标准坦克设计!$B$23:$U$23,0)))*(VLOOKUP($B176,INDIRECT($B$5&amp;"生成成长"),3))*(VLOOKUP($B$5,标准坦克设计!$B$14:$K$20,9)/30))</f>
        <v>4.4628916029527348</v>
      </c>
      <c r="BW176" s="172">
        <f ca="1">(VLOOKUP(BW$72,INDIRECT($C$5&amp;"生成成长"),2))/((VLOOKUP($B176,INDIRECT($B$5&amp;"生成成长"),4))/(VLOOKUP(BW$72,INDIRECT($C$5&amp;"生成成长"),5))*(VLOOKUP($B$5,标准坦克设计!$B$24:$U$30,MATCH("对"&amp;LEFT($C$5,2)&amp;"输出",标准坦克设计!$B$23:$U$23,0)))*(VLOOKUP($B176,INDIRECT($B$5&amp;"生成成长"),3))*(VLOOKUP($B$5,标准坦克设计!$B$14:$K$20,9)/30))</f>
        <v>2.0339487868166435</v>
      </c>
      <c r="BX176" s="172">
        <f ca="1">(VLOOKUP(BX$72,INDIRECT($C$5&amp;"生成成长"),2))/((VLOOKUP($B176,INDIRECT($B$5&amp;"生成成长"),4))/(VLOOKUP(BX$72,INDIRECT($C$5&amp;"生成成长"),5))*(VLOOKUP($B$5,标准坦克设计!$B$24:$U$30,MATCH("对"&amp;LEFT($C$5,2)&amp;"输出",标准坦克设计!$B$23:$U$23,0)))*(VLOOKUP($B176,INDIRECT($B$5&amp;"生成成长"),3))*(VLOOKUP($B$5,标准坦克设计!$B$14:$K$20,9)/30))</f>
        <v>2.2572998503693871</v>
      </c>
      <c r="BY176" s="172">
        <f ca="1">(VLOOKUP(BY$72,INDIRECT($C$5&amp;"生成成长"),2))/((VLOOKUP($B176,INDIRECT($B$5&amp;"生成成长"),4))/(VLOOKUP(BY$72,INDIRECT($C$5&amp;"生成成长"),5))*(VLOOKUP($B$5,标准坦克设计!$B$24:$U$30,MATCH("对"&amp;LEFT($C$5,2)&amp;"输出",标准坦克设计!$B$23:$U$23,0)))*(VLOOKUP($B176,INDIRECT($B$5&amp;"生成成长"),3))*(VLOOKUP($B$5,标准坦克设计!$B$14:$K$20,9)/30))</f>
        <v>2.492283781815503</v>
      </c>
      <c r="BZ176" s="172">
        <f ca="1">(VLOOKUP(BZ$72,INDIRECT($C$5&amp;"生成成长"),2))/((VLOOKUP($B176,INDIRECT($B$5&amp;"生成成长"),4))/(VLOOKUP(BZ$72,INDIRECT($C$5&amp;"生成成长"),5))*(VLOOKUP($B$5,标准坦克设计!$B$24:$U$30,MATCH("对"&amp;LEFT($C$5,2)&amp;"输出",标准坦克设计!$B$23:$U$23,0)))*(VLOOKUP($B176,INDIRECT($B$5&amp;"生成成长"),3))*(VLOOKUP($B$5,标准坦克设计!$B$14:$K$20,9)/30))</f>
        <v>2.7389005811549914</v>
      </c>
      <c r="CA176" s="172">
        <f ca="1">(VLOOKUP(CA$72,INDIRECT($C$5&amp;"生成成长"),2))/((VLOOKUP($B176,INDIRECT($B$5&amp;"生成成长"),4))/(VLOOKUP(CA$72,INDIRECT($C$5&amp;"生成成长"),5))*(VLOOKUP($B$5,标准坦克设计!$B$24:$U$30,MATCH("对"&amp;LEFT($C$5,2)&amp;"输出",标准坦克设计!$B$23:$U$23,0)))*(VLOOKUP($B176,INDIRECT($B$5&amp;"生成成长"),3))*(VLOOKUP($B$5,标准坦克设计!$B$14:$K$20,9)/30))</f>
        <v>2.997150248387852</v>
      </c>
      <c r="CB176" s="172">
        <f ca="1">(VLOOKUP(CB$72,INDIRECT($C$5&amp;"生成成长"),2))/((VLOOKUP($B176,INDIRECT($B$5&amp;"生成成长"),4))/(VLOOKUP(CB$72,INDIRECT($C$5&amp;"生成成长"),5))*(VLOOKUP($B$5,标准坦克设计!$B$24:$U$30,MATCH("对"&amp;LEFT($C$5,2)&amp;"输出",标准坦克设计!$B$23:$U$23,0)))*(VLOOKUP($B176,INDIRECT($B$5&amp;"生成成长"),3))*(VLOOKUP($B$5,标准坦克设计!$B$14:$K$20,9)/30))</f>
        <v>3.2670327835140842</v>
      </c>
      <c r="CC176" s="172">
        <f ca="1">(VLOOKUP(CC$72,INDIRECT($C$5&amp;"生成成长"),2))/((VLOOKUP($B176,INDIRECT($B$5&amp;"生成成长"),4))/(VLOOKUP(CC$72,INDIRECT($C$5&amp;"生成成长"),5))*(VLOOKUP($B$5,标准坦克设计!$B$24:$U$30,MATCH("对"&amp;LEFT($C$5,2)&amp;"输出",标准坦克设计!$B$23:$U$23,0)))*(VLOOKUP($B176,INDIRECT($B$5&amp;"生成成长"),3))*(VLOOKUP($B$5,标准坦克设计!$B$14:$K$20,9)/30))</f>
        <v>3.5485481865336888</v>
      </c>
      <c r="CD176" s="172">
        <f ca="1">(VLOOKUP(CD$72,INDIRECT($C$5&amp;"生成成长"),2))/((VLOOKUP($B176,INDIRECT($B$5&amp;"生成成长"),4))/(VLOOKUP(CD$72,INDIRECT($C$5&amp;"生成成长"),5))*(VLOOKUP($B$5,标准坦克设计!$B$24:$U$30,MATCH("对"&amp;LEFT($C$5,2)&amp;"输出",标准坦克设计!$B$23:$U$23,0)))*(VLOOKUP($B176,INDIRECT($B$5&amp;"生成成长"),3))*(VLOOKUP($B$5,标准坦克设计!$B$14:$K$20,9)/30))</f>
        <v>3.8416964574466657</v>
      </c>
      <c r="CE176" s="172">
        <f ca="1">(VLOOKUP(CE$72,INDIRECT($C$5&amp;"生成成长"),2))/((VLOOKUP($B176,INDIRECT($B$5&amp;"生成成长"),4))/(VLOOKUP(CE$72,INDIRECT($C$5&amp;"生成成长"),5))*(VLOOKUP($B$5,标准坦克设计!$B$24:$U$30,MATCH("对"&amp;LEFT($C$5,2)&amp;"输出",标准坦克设计!$B$23:$U$23,0)))*(VLOOKUP($B176,INDIRECT($B$5&amp;"生成成长"),3))*(VLOOKUP($B$5,标准坦克设计!$B$14:$K$20,9)/30))</f>
        <v>4.146477596253014</v>
      </c>
      <c r="CF176" s="172">
        <f ca="1">(VLOOKUP(CF$72,INDIRECT($C$5&amp;"生成成长"),2))/((VLOOKUP($B176,INDIRECT($B$5&amp;"生成成长"),4))/(VLOOKUP(CF$72,INDIRECT($C$5&amp;"生成成长"),5))*(VLOOKUP($B$5,标准坦克设计!$B$24:$U$30,MATCH("对"&amp;LEFT($C$5,2)&amp;"输出",标准坦克设计!$B$23:$U$23,0)))*(VLOOKUP($B176,INDIRECT($B$5&amp;"生成成长"),3))*(VLOOKUP($B$5,标准坦克设计!$B$14:$K$20,9)/30))</f>
        <v>4.4628916029527348</v>
      </c>
      <c r="CG176" s="172">
        <f ca="1">(VLOOKUP(CG$72,INDIRECT($C$5&amp;"生成成长"),2))/((VLOOKUP($B176,INDIRECT($B$5&amp;"生成成长"),4))/(VLOOKUP(CG$72,INDIRECT($C$5&amp;"生成成长"),5))*(VLOOKUP($B$5,标准坦克设计!$B$24:$U$30,MATCH("对"&amp;LEFT($C$5,2)&amp;"输出",标准坦克设计!$B$23:$U$23,0)))*(VLOOKUP($B176,INDIRECT($B$5&amp;"生成成长"),3))*(VLOOKUP($B$5,标准坦克设计!$B$14:$K$20,9)/30))</f>
        <v>4.7909384775458284</v>
      </c>
      <c r="CH176" s="172">
        <f ca="1">(VLOOKUP(CH$72,INDIRECT($C$5&amp;"生成成长"),2))/((VLOOKUP($B176,INDIRECT($B$5&amp;"生成成长"),4))/(VLOOKUP(CH$72,INDIRECT($C$5&amp;"生成成长"),5))*(VLOOKUP($B$5,标准坦克设计!$B$24:$U$30,MATCH("对"&amp;LEFT($C$5,2)&amp;"输出",标准坦克设计!$B$23:$U$23,0)))*(VLOOKUP($B176,INDIRECT($B$5&amp;"生成成长"),3))*(VLOOKUP($B$5,标准坦克设计!$B$14:$K$20,9)/30))</f>
        <v>5.130618220032293</v>
      </c>
      <c r="CI176" s="172">
        <f ca="1">(VLOOKUP(CI$72,INDIRECT($C$5&amp;"生成成长"),2))/((VLOOKUP($B176,INDIRECT($B$5&amp;"生成成长"),4))/(VLOOKUP(CI$72,INDIRECT($C$5&amp;"生成成长"),5))*(VLOOKUP($B$5,标准坦克设计!$B$24:$U$30,MATCH("对"&amp;LEFT($C$5,2)&amp;"输出",标准坦克设计!$B$23:$U$23,0)))*(VLOOKUP($B176,INDIRECT($B$5&amp;"生成成长"),3))*(VLOOKUP($B$5,标准坦克设计!$B$14:$K$20,9)/30))</f>
        <v>5.5177018991842495</v>
      </c>
      <c r="CJ176" s="172">
        <f ca="1">(VLOOKUP(CJ$72,INDIRECT($C$5&amp;"生成成长"),2))/((VLOOKUP($B176,INDIRECT($B$5&amp;"生成成长"),4))/(VLOOKUP(CJ$72,INDIRECT($C$5&amp;"生成成长"),5))*(VLOOKUP($B$5,标准坦克设计!$B$24:$U$30,MATCH("对"&amp;LEFT($C$5,2)&amp;"输出",标准坦克设计!$B$23:$U$23,0)))*(VLOOKUP($B176,INDIRECT($B$5&amp;"生成成长"),3))*(VLOOKUP($B$5,标准坦克设计!$B$14:$K$20,9)/30))</f>
        <v>5.9188613484871855</v>
      </c>
      <c r="CK176" s="172">
        <f ca="1">(VLOOKUP(CK$72,INDIRECT($C$5&amp;"生成成长"),2))/((VLOOKUP($B176,INDIRECT($B$5&amp;"生成成长"),4))/(VLOOKUP(CK$72,INDIRECT($C$5&amp;"生成成长"),5))*(VLOOKUP($B$5,标准坦克设计!$B$24:$U$30,MATCH("对"&amp;LEFT($C$5,2)&amp;"输出",标准坦克设计!$B$23:$U$23,0)))*(VLOOKUP($B176,INDIRECT($B$5&amp;"生成成长"),3))*(VLOOKUP($B$5,标准坦克设计!$B$14:$K$20,9)/30))</f>
        <v>6.3340965679411019</v>
      </c>
      <c r="CL176" s="172">
        <f ca="1">(VLOOKUP(CL$72,INDIRECT($C$5&amp;"生成成长"),2))/((VLOOKUP($B176,INDIRECT($B$5&amp;"生成成长"),4))/(VLOOKUP(CL$72,INDIRECT($C$5&amp;"生成成长"),5))*(VLOOKUP($B$5,标准坦克设计!$B$24:$U$30,MATCH("对"&amp;LEFT($C$5,2)&amp;"输出",标准坦克设计!$B$23:$U$23,0)))*(VLOOKUP($B176,INDIRECT($B$5&amp;"生成成长"),3))*(VLOOKUP($B$5,标准坦克设计!$B$14:$K$20,9)/30))</f>
        <v>6.7634075575459995</v>
      </c>
      <c r="CM176" s="172">
        <f ca="1">(VLOOKUP(CM$72,INDIRECT($C$5&amp;"生成成长"),2))/((VLOOKUP($B176,INDIRECT($B$5&amp;"生成成长"),4))/(VLOOKUP(CM$72,INDIRECT($C$5&amp;"生成成长"),5))*(VLOOKUP($B$5,标准坦克设计!$B$24:$U$30,MATCH("对"&amp;LEFT($C$5,2)&amp;"输出",标准坦克设计!$B$23:$U$23,0)))*(VLOOKUP($B176,INDIRECT($B$5&amp;"生成成长"),3))*(VLOOKUP($B$5,标准坦克设计!$B$14:$K$20,9)/30))</f>
        <v>7.2067943173018767</v>
      </c>
      <c r="CN176" s="172">
        <f ca="1">(VLOOKUP(CN$72,INDIRECT($C$5&amp;"生成成长"),2))/((VLOOKUP($B176,INDIRECT($B$5&amp;"生成成长"),4))/(VLOOKUP(CN$72,INDIRECT($C$5&amp;"生成成长"),5))*(VLOOKUP($B$5,标准坦克设计!$B$24:$U$30,MATCH("对"&amp;LEFT($C$5,2)&amp;"输出",标准坦克设计!$B$23:$U$23,0)))*(VLOOKUP($B176,INDIRECT($B$5&amp;"生成成长"),3))*(VLOOKUP($B$5,标准坦克设计!$B$14:$K$20,9)/30))</f>
        <v>7.6642568472087333</v>
      </c>
      <c r="CO176" s="172">
        <f ca="1">(VLOOKUP(CO$72,INDIRECT($C$5&amp;"生成成长"),2))/((VLOOKUP($B176,INDIRECT($B$5&amp;"生成成长"),4))/(VLOOKUP(CO$72,INDIRECT($C$5&amp;"生成成长"),5))*(VLOOKUP($B$5,标准坦克设计!$B$24:$U$30,MATCH("对"&amp;LEFT($C$5,2)&amp;"输出",标准坦克设计!$B$23:$U$23,0)))*(VLOOKUP($B176,INDIRECT($B$5&amp;"生成成长"),3))*(VLOOKUP($B$5,标准坦克设计!$B$14:$K$20,9)/30))</f>
        <v>3.4345460811786426</v>
      </c>
      <c r="CP176" s="172">
        <f ca="1">(VLOOKUP(CP$72,INDIRECT($C$5&amp;"生成成长"),2))/((VLOOKUP($B176,INDIRECT($B$5&amp;"生成成长"),4))/(VLOOKUP(CP$72,INDIRECT($C$5&amp;"生成成长"),5))*(VLOOKUP($B$5,标准坦克设计!$B$24:$U$30,MATCH("对"&amp;LEFT($C$5,2)&amp;"输出",标准坦克设计!$B$23:$U$23,0)))*(VLOOKUP($B176,INDIRECT($B$5&amp;"生成成长"),3))*(VLOOKUP($B$5,标准坦克设计!$B$14:$K$20,9)/30))</f>
        <v>3.7525305250439689</v>
      </c>
      <c r="CQ176" s="172">
        <f ca="1">(VLOOKUP(CQ$72,INDIRECT($C$5&amp;"生成成长"),2))/((VLOOKUP($B176,INDIRECT($B$5&amp;"生成成长"),4))/(VLOOKUP(CQ$72,INDIRECT($C$5&amp;"生成成长"),5))*(VLOOKUP($B$5,标准坦克设计!$B$24:$U$30,MATCH("对"&amp;LEFT($C$5,2)&amp;"输出",标准坦克设计!$B$23:$U$23,0)))*(VLOOKUP($B176,INDIRECT($B$5&amp;"生成成长"),3))*(VLOOKUP($B$5,标准坦克设计!$B$14:$K$20,9)/30))</f>
        <v>4.0845907390602756</v>
      </c>
      <c r="CR176" s="172">
        <f ca="1">(VLOOKUP(CR$72,INDIRECT($C$5&amp;"生成成长"),2))/((VLOOKUP($B176,INDIRECT($B$5&amp;"生成成长"),4))/(VLOOKUP(CR$72,INDIRECT($C$5&amp;"生成成长"),5))*(VLOOKUP($B$5,标准坦克设计!$B$24:$U$30,MATCH("对"&amp;LEFT($C$5,2)&amp;"输出",标准坦克设计!$B$23:$U$23,0)))*(VLOOKUP($B176,INDIRECT($B$5&amp;"生成成长"),3))*(VLOOKUP($B$5,标准坦克设计!$B$14:$K$20,9)/30))</f>
        <v>4.4307267232275604</v>
      </c>
      <c r="CS176" s="172">
        <f ca="1">(VLOOKUP(CS$72,INDIRECT($C$5&amp;"生成成长"),2))/((VLOOKUP($B176,INDIRECT($B$5&amp;"生成成长"),4))/(VLOOKUP(CS$72,INDIRECT($C$5&amp;"生成成长"),5))*(VLOOKUP($B$5,标准坦克设计!$B$24:$U$30,MATCH("对"&amp;LEFT($C$5,2)&amp;"输出",标准坦克设计!$B$23:$U$23,0)))*(VLOOKUP($B176,INDIRECT($B$5&amp;"生成成长"),3))*(VLOOKUP($B$5,标准坦克设计!$B$14:$K$20,9)/30))</f>
        <v>4.7909384775458284</v>
      </c>
      <c r="CT176" s="172">
        <f ca="1">(VLOOKUP(CT$72,INDIRECT($C$5&amp;"生成成长"),2))/((VLOOKUP($B176,INDIRECT($B$5&amp;"生成成长"),4))/(VLOOKUP(CT$72,INDIRECT($C$5&amp;"生成成长"),5))*(VLOOKUP($B$5,标准坦克设计!$B$24:$U$30,MATCH("对"&amp;LEFT($C$5,2)&amp;"输出",标准坦克设计!$B$23:$U$23,0)))*(VLOOKUP($B176,INDIRECT($B$5&amp;"生成成长"),3))*(VLOOKUP($B$5,标准坦克设计!$B$14:$K$20,9)/30))</f>
        <v>5.1652260020150749</v>
      </c>
      <c r="CU176" s="172">
        <f ca="1">(VLOOKUP(CU$72,INDIRECT($C$5&amp;"生成成长"),2))/((VLOOKUP($B176,INDIRECT($B$5&amp;"生成成长"),4))/(VLOOKUP(CU$72,INDIRECT($C$5&amp;"生成成长"),5))*(VLOOKUP($B$5,标准坦克设计!$B$24:$U$30,MATCH("对"&amp;LEFT($C$5,2)&amp;"输出",标准坦克设计!$B$23:$U$23,0)))*(VLOOKUP($B176,INDIRECT($B$5&amp;"生成成长"),3))*(VLOOKUP($B$5,标准坦克设计!$B$14:$K$20,9)/30))</f>
        <v>5.5535892966353027</v>
      </c>
      <c r="CV176" s="172">
        <f ca="1">(VLOOKUP(CV$72,INDIRECT($C$5&amp;"生成成长"),2))/((VLOOKUP($B176,INDIRECT($B$5&amp;"生成成长"),4))/(VLOOKUP(CV$72,INDIRECT($C$5&amp;"生成成长"),5))*(VLOOKUP($B$5,标准坦克设计!$B$24:$U$30,MATCH("对"&amp;LEFT($C$5,2)&amp;"输出",标准坦克设计!$B$23:$U$23,0)))*(VLOOKUP($B176,INDIRECT($B$5&amp;"生成成长"),3))*(VLOOKUP($B$5,标准坦克设计!$B$14:$K$20,9)/30))</f>
        <v>5.956028361406509</v>
      </c>
      <c r="CW176" s="172">
        <f ca="1">(VLOOKUP(CW$72,INDIRECT($C$5&amp;"生成成长"),2))/((VLOOKUP($B176,INDIRECT($B$5&amp;"生成成长"),4))/(VLOOKUP(CW$72,INDIRECT($C$5&amp;"生成成长"),5))*(VLOOKUP($B$5,标准坦克设计!$B$24:$U$30,MATCH("对"&amp;LEFT($C$5,2)&amp;"输出",标准坦克设计!$B$23:$U$23,0)))*(VLOOKUP($B176,INDIRECT($B$5&amp;"生成成长"),3))*(VLOOKUP($B$5,标准坦克设计!$B$14:$K$20,9)/30))</f>
        <v>6.3725431963286967</v>
      </c>
      <c r="CX176" s="172">
        <f ca="1">(VLOOKUP(CX$72,INDIRECT($C$5&amp;"生成成长"),2))/((VLOOKUP($B176,INDIRECT($B$5&amp;"生成成长"),4))/(VLOOKUP(CX$72,INDIRECT($C$5&amp;"生成成长"),5))*(VLOOKUP($B$5,标准坦克设计!$B$24:$U$30,MATCH("对"&amp;LEFT($C$5,2)&amp;"输出",标准坦克设计!$B$23:$U$23,0)))*(VLOOKUP($B176,INDIRECT($B$5&amp;"生成成长"),3))*(VLOOKUP($B$5,标准坦克设计!$B$14:$K$20,9)/30))</f>
        <v>6.8031338014018647</v>
      </c>
      <c r="CY176" s="172">
        <f ca="1">(VLOOKUP(CY$72,INDIRECT($C$5&amp;"生成成长"),2))/((VLOOKUP($B176,INDIRECT($B$5&amp;"生成成长"),4))/(VLOOKUP(CY$72,INDIRECT($C$5&amp;"生成成长"),5))*(VLOOKUP($B$5,标准坦克设计!$B$24:$U$30,MATCH("对"&amp;LEFT($C$5,2)&amp;"输出",标准坦克设计!$B$23:$U$23,0)))*(VLOOKUP($B176,INDIRECT($B$5&amp;"生成成长"),3))*(VLOOKUP($B$5,标准坦克设计!$B$14:$K$20,9)/30))</f>
        <v>7.2478001766260132</v>
      </c>
      <c r="CZ176" s="172">
        <f ca="1">(VLOOKUP(CZ$72,INDIRECT($C$5&amp;"生成成长"),2))/((VLOOKUP($B176,INDIRECT($B$5&amp;"生成成长"),4))/(VLOOKUP(CZ$72,INDIRECT($C$5&amp;"生成成长"),5))*(VLOOKUP($B$5,标准坦克设计!$B$24:$U$30,MATCH("对"&amp;LEFT($C$5,2)&amp;"输出",标准坦克设计!$B$23:$U$23,0)))*(VLOOKUP($B176,INDIRECT($B$5&amp;"生成成长"),3))*(VLOOKUP($B$5,标准坦克设计!$B$14:$K$20,9)/30))</f>
        <v>7.7065423220011411</v>
      </c>
      <c r="DA176" s="172">
        <f ca="1">(VLOOKUP(DA$72,INDIRECT($C$5&amp;"生成成长"),2))/((VLOOKUP($B176,INDIRECT($B$5&amp;"生成成长"),4))/(VLOOKUP(DA$72,INDIRECT($C$5&amp;"生成成长"),5))*(VLOOKUP($B$5,标准坦克设计!$B$24:$U$30,MATCH("对"&amp;LEFT($C$5,2)&amp;"输出",标准坦克设计!$B$23:$U$23,0)))*(VLOOKUP($B176,INDIRECT($B$5&amp;"生成成长"),3))*(VLOOKUP($B$5,标准坦克设计!$B$14:$K$20,9)/30))</f>
        <v>8.1793602375272485</v>
      </c>
      <c r="DB176" s="172">
        <f ca="1">(VLOOKUP(DB$72,INDIRECT($C$5&amp;"生成成长"),2))/((VLOOKUP($B176,INDIRECT($B$5&amp;"生成成长"),4))/(VLOOKUP(DB$72,INDIRECT($C$5&amp;"生成成长"),5))*(VLOOKUP($B$5,标准坦克设计!$B$24:$U$30,MATCH("对"&amp;LEFT($C$5,2)&amp;"输出",标准坦克设计!$B$23:$U$23,0)))*(VLOOKUP($B176,INDIRECT($B$5&amp;"生成成长"),3))*(VLOOKUP($B$5,标准坦克设计!$B$14:$K$20,9)/30))</f>
        <v>8.666253923204339</v>
      </c>
      <c r="DC176" s="172">
        <f ca="1">(VLOOKUP(DC$72,INDIRECT($C$5&amp;"生成成长"),2))/((VLOOKUP($B176,INDIRECT($B$5&amp;"生成成长"),4))/(VLOOKUP(DC$72,INDIRECT($C$5&amp;"生成成长"),5))*(VLOOKUP($B$5,标准坦克设计!$B$24:$U$30,MATCH("对"&amp;LEFT($C$5,2)&amp;"输出",标准坦克设计!$B$23:$U$23,0)))*(VLOOKUP($B176,INDIRECT($B$5&amp;"生成成长"),3))*(VLOOKUP($B$5,标准坦克设计!$B$14:$K$20,9)/30))</f>
        <v>9.213464028908561</v>
      </c>
      <c r="DD176" s="172">
        <f ca="1">(VLOOKUP(DD$72,INDIRECT($C$5&amp;"生成成长"),2))/((VLOOKUP($B176,INDIRECT($B$5&amp;"生成成长"),4))/(VLOOKUP(DD$72,INDIRECT($C$5&amp;"生成成长"),5))*(VLOOKUP($B$5,标准坦克设计!$B$24:$U$30,MATCH("对"&amp;LEFT($C$5,2)&amp;"输出",标准坦克设计!$B$23:$U$23,0)))*(VLOOKUP($B176,INDIRECT($B$5&amp;"生成成长"),3))*(VLOOKUP($B$5,标准坦克设计!$B$14:$K$20,9)/30))</f>
        <v>9.7774254643792418</v>
      </c>
      <c r="DE176" s="172">
        <f ca="1">(VLOOKUP(DE$72,INDIRECT($C$5&amp;"生成成长"),2))/((VLOOKUP($B176,INDIRECT($B$5&amp;"生成成长"),4))/(VLOOKUP(DE$72,INDIRECT($C$5&amp;"生成成长"),5))*(VLOOKUP($B$5,标准坦克设计!$B$24:$U$30,MATCH("对"&amp;LEFT($C$5,2)&amp;"输出",标准坦克设计!$B$23:$U$23,0)))*(VLOOKUP($B176,INDIRECT($B$5&amp;"生成成长"),3))*(VLOOKUP($B$5,标准坦克设计!$B$14:$K$20,9)/30))</f>
        <v>10.358138229616376</v>
      </c>
      <c r="DF176" s="172">
        <f ca="1">(VLOOKUP(DF$72,INDIRECT($C$5&amp;"生成成长"),2))/((VLOOKUP($B176,INDIRECT($B$5&amp;"生成成长"),4))/(VLOOKUP(DF$72,INDIRECT($C$5&amp;"生成成长"),5))*(VLOOKUP($B$5,标准坦克设计!$B$24:$U$30,MATCH("对"&amp;LEFT($C$5,2)&amp;"输出",标准坦克设计!$B$23:$U$23,0)))*(VLOOKUP($B176,INDIRECT($B$5&amp;"生成成长"),3))*(VLOOKUP($B$5,标准坦克设计!$B$14:$K$20,9)/30))</f>
        <v>10.955602324619965</v>
      </c>
      <c r="DG176" s="172">
        <f ca="1">(VLOOKUP(DG$72,INDIRECT($C$5&amp;"生成成长"),2))/((VLOOKUP($B176,INDIRECT($B$5&amp;"生成成长"),4))/(VLOOKUP(DG$72,INDIRECT($C$5&amp;"生成成长"),5))*(VLOOKUP($B$5,标准坦克设计!$B$24:$U$30,MATCH("对"&amp;LEFT($C$5,2)&amp;"输出",标准坦克设计!$B$23:$U$23,0)))*(VLOOKUP($B176,INDIRECT($B$5&amp;"生成成长"),3))*(VLOOKUP($B$5,标准坦克设计!$B$14:$K$20,9)/30))</f>
        <v>11.569817749390014</v>
      </c>
      <c r="DH176" s="172">
        <f ca="1">(VLOOKUP(DH$72,INDIRECT($C$5&amp;"生成成长"),2))/((VLOOKUP($B176,INDIRECT($B$5&amp;"生成成长"),4))/(VLOOKUP(DH$72,INDIRECT($C$5&amp;"生成成长"),5))*(VLOOKUP($B$5,标准坦克设计!$B$24:$U$30,MATCH("对"&amp;LEFT($C$5,2)&amp;"输出",标准坦克设计!$B$23:$U$23,0)))*(VLOOKUP($B176,INDIRECT($B$5&amp;"生成成长"),3))*(VLOOKUP($B$5,标准坦克设计!$B$14:$K$20,9)/30))</f>
        <v>12.200784503926513</v>
      </c>
      <c r="DI176" s="172">
        <f ca="1">(VLOOKUP(DI$72,INDIRECT($C$5&amp;"生成成长"),2))/((VLOOKUP($B176,INDIRECT($B$5&amp;"生成成长"),4))/(VLOOKUP(DI$72,INDIRECT($C$5&amp;"生成成长"),5))*(VLOOKUP($B$5,标准坦克设计!$B$24:$U$30,MATCH("对"&amp;LEFT($C$5,2)&amp;"输出",标准坦克设计!$B$23:$U$23,0)))*(VLOOKUP($B176,INDIRECT($B$5&amp;"生成成长"),3))*(VLOOKUP($B$5,标准坦克设计!$B$14:$K$20,9)/30))</f>
        <v>12.848502588229474</v>
      </c>
      <c r="DJ176" s="172">
        <f ca="1">(VLOOKUP(DJ$72,INDIRECT($C$5&amp;"生成成长"),2))/((VLOOKUP($B176,INDIRECT($B$5&amp;"生成成长"),4))/(VLOOKUP(DJ$72,INDIRECT($C$5&amp;"生成成长"),5))*(VLOOKUP($B$5,标准坦克设计!$B$24:$U$30,MATCH("对"&amp;LEFT($C$5,2)&amp;"输出",标准坦克设计!$B$23:$U$23,0)))*(VLOOKUP($B176,INDIRECT($B$5&amp;"生成成长"),3))*(VLOOKUP($B$5,标准坦克设计!$B$14:$K$20,9)/30))</f>
        <v>1.2913065005037687</v>
      </c>
      <c r="DK176" s="172">
        <f ca="1">(VLOOKUP(DK$72,INDIRECT($C$5&amp;"生成成长"),2))/((VLOOKUP($B176,INDIRECT($B$5&amp;"生成成长"),4))/(VLOOKUP(DK$72,INDIRECT($C$5&amp;"生成成长"),5))*(VLOOKUP($B$5,标准坦克设计!$B$24:$U$30,MATCH("对"&amp;LEFT($C$5,2)&amp;"输出",标准坦克设计!$B$23:$U$23,0)))*(VLOOKUP($B176,INDIRECT($B$5&amp;"生成成长"),3))*(VLOOKUP($B$5,标准坦克设计!$B$14:$K$20,9)/30))</f>
        <v>1.4520145704507039</v>
      </c>
      <c r="DL176" s="172">
        <f ca="1">(VLOOKUP(DL$72,INDIRECT($C$5&amp;"生成成长"),2))/((VLOOKUP($B176,INDIRECT($B$5&amp;"生成成长"),4))/(VLOOKUP(DL$72,INDIRECT($C$5&amp;"生成成长"),5))*(VLOOKUP($B$5,标准坦克设计!$B$24:$U$30,MATCH("对"&amp;LEFT($C$5,2)&amp;"输出",标准坦克设计!$B$23:$U$23,0)))*(VLOOKUP($B176,INDIRECT($B$5&amp;"生成成长"),3))*(VLOOKUP($B$5,标准坦克设计!$B$14:$K$20,9)/30))</f>
        <v>1.6221452633912712</v>
      </c>
      <c r="DM176" s="172">
        <f ca="1">(VLOOKUP(DM$72,INDIRECT($C$5&amp;"生成成长"),2))/((VLOOKUP($B176,INDIRECT($B$5&amp;"生成成长"),4))/(VLOOKUP(DM$72,INDIRECT($C$5&amp;"生成成长"),5))*(VLOOKUP($B$5,标准坦克设计!$B$24:$U$30,MATCH("对"&amp;LEFT($C$5,2)&amp;"输出",标准坦克设计!$B$23:$U$23,0)))*(VLOOKUP($B176,INDIRECT($B$5&amp;"生成成长"),3))*(VLOOKUP($B$5,标准坦克设计!$B$14:$K$20,9)/30))</f>
        <v>1.8016985793254692</v>
      </c>
      <c r="DN176" s="172">
        <f ca="1">(VLOOKUP(DN$72,INDIRECT($C$5&amp;"生成成长"),2))/((VLOOKUP($B176,INDIRECT($B$5&amp;"生成成长"),4))/(VLOOKUP(DN$72,INDIRECT($C$5&amp;"生成成长"),5))*(VLOOKUP($B$5,标准坦克设计!$B$24:$U$30,MATCH("对"&amp;LEFT($C$5,2)&amp;"输出",标准坦克设计!$B$23:$U$23,0)))*(VLOOKUP($B176,INDIRECT($B$5&amp;"生成成长"),3))*(VLOOKUP($B$5,标准坦克设计!$B$14:$K$20,9)/30))</f>
        <v>1.9906745182532988</v>
      </c>
      <c r="DO176" s="172">
        <f ca="1">(VLOOKUP(DO$72,INDIRECT($C$5&amp;"生成成长"),2))/((VLOOKUP($B176,INDIRECT($B$5&amp;"生成成长"),4))/(VLOOKUP(DO$72,INDIRECT($C$5&amp;"生成成长"),5))*(VLOOKUP($B$5,标准坦克设计!$B$24:$U$30,MATCH("对"&amp;LEFT($C$5,2)&amp;"输出",标准坦克设计!$B$23:$U$23,0)))*(VLOOKUP($B176,INDIRECT($B$5&amp;"生成成长"),3))*(VLOOKUP($B$5,标准坦克设计!$B$14:$K$20,9)/30))</f>
        <v>2.1890730801747598</v>
      </c>
      <c r="DP176" s="172">
        <f ca="1">(VLOOKUP(DP$72,INDIRECT($C$5&amp;"生成成长"),2))/((VLOOKUP($B176,INDIRECT($B$5&amp;"生成成长"),4))/(VLOOKUP(DP$72,INDIRECT($C$5&amp;"生成成长"),5))*(VLOOKUP($B$5,标准坦克设计!$B$24:$U$30,MATCH("对"&amp;LEFT($C$5,2)&amp;"输出",标准坦克设计!$B$23:$U$23,0)))*(VLOOKUP($B176,INDIRECT($B$5&amp;"生成成长"),3))*(VLOOKUP($B$5,标准坦克设计!$B$14:$K$20,9)/30))</f>
        <v>2.3968942650898524</v>
      </c>
      <c r="DQ176" s="172">
        <f ca="1">(VLOOKUP(DQ$72,INDIRECT($C$5&amp;"生成成长"),2))/((VLOOKUP($B176,INDIRECT($B$5&amp;"生成成长"),4))/(VLOOKUP(DQ$72,INDIRECT($C$5&amp;"生成成长"),5))*(VLOOKUP($B$5,标准坦克设计!$B$24:$U$30,MATCH("对"&amp;LEFT($C$5,2)&amp;"输出",标准坦克设计!$B$23:$U$23,0)))*(VLOOKUP($B176,INDIRECT($B$5&amp;"生成成长"),3))*(VLOOKUP($B$5,标准坦克设计!$B$14:$K$20,9)/30))</f>
        <v>2.6141380729985761</v>
      </c>
      <c r="DR176" s="172">
        <f ca="1">(VLOOKUP(DR$72,INDIRECT($C$5&amp;"生成成长"),2))/((VLOOKUP($B176,INDIRECT($B$5&amp;"生成成长"),4))/(VLOOKUP(DR$72,INDIRECT($C$5&amp;"生成成长"),5))*(VLOOKUP($B$5,标准坦克设计!$B$24:$U$30,MATCH("对"&amp;LEFT($C$5,2)&amp;"输出",标准坦克设计!$B$23:$U$23,0)))*(VLOOKUP($B176,INDIRECT($B$5&amp;"生成成长"),3))*(VLOOKUP($B$5,标准坦克设计!$B$14:$K$20,9)/30))</f>
        <v>2.8408045039009306</v>
      </c>
      <c r="DS176" s="172">
        <f ca="1">(VLOOKUP(DS$72,INDIRECT($C$5&amp;"生成成长"),2))/((VLOOKUP($B176,INDIRECT($B$5&amp;"生成成长"),4))/(VLOOKUP(DS$72,INDIRECT($C$5&amp;"生成成长"),5))*(VLOOKUP($B$5,标准坦克设计!$B$24:$U$30,MATCH("对"&amp;LEFT($C$5,2)&amp;"输出",标准坦克设计!$B$23:$U$23,0)))*(VLOOKUP($B176,INDIRECT($B$5&amp;"生成成长"),3))*(VLOOKUP($B$5,标准坦克设计!$B$14:$K$20,9)/30))</f>
        <v>3.0768935577969176</v>
      </c>
      <c r="DT176" s="172">
        <f ca="1">(VLOOKUP(DT$72,INDIRECT($C$5&amp;"生成成长"),2))/((VLOOKUP($B176,INDIRECT($B$5&amp;"生成成长"),4))/(VLOOKUP(DT$72,INDIRECT($C$5&amp;"生成成长"),5))*(VLOOKUP($B$5,标准坦克设计!$B$24:$U$30,MATCH("对"&amp;LEFT($C$5,2)&amp;"输出",标准坦克设计!$B$23:$U$23,0)))*(VLOOKUP($B176,INDIRECT($B$5&amp;"生成成长"),3))*(VLOOKUP($B$5,标准坦克设计!$B$14:$K$20,9)/30))</f>
        <v>3.378243000574721</v>
      </c>
      <c r="DU176" s="172">
        <f ca="1">(VLOOKUP(DU$72,INDIRECT($C$5&amp;"生成成长"),2))/((VLOOKUP($B176,INDIRECT($B$5&amp;"生成成长"),4))/(VLOOKUP(DU$72,INDIRECT($C$5&amp;"生成成长"),5))*(VLOOKUP($B$5,标准坦克设计!$B$24:$U$30,MATCH("对"&amp;LEFT($C$5,2)&amp;"输出",标准坦克设计!$B$23:$U$23,0)))*(VLOOKUP($B176,INDIRECT($B$5&amp;"生成成长"),3))*(VLOOKUP($B$5,标准坦克设计!$B$14:$K$20,9)/30))</f>
        <v>3.6936682135035062</v>
      </c>
      <c r="DV176" s="172">
        <f ca="1">(VLOOKUP(DV$72,INDIRECT($C$5&amp;"生成成长"),2))/((VLOOKUP($B176,INDIRECT($B$5&amp;"生成成长"),4))/(VLOOKUP(DV$72,INDIRECT($C$5&amp;"生成成长"),5))*(VLOOKUP($B$5,标准坦克设计!$B$24:$U$30,MATCH("对"&amp;LEFT($C$5,2)&amp;"输出",标准坦克设计!$B$23:$U$23,0)))*(VLOOKUP($B176,INDIRECT($B$5&amp;"生成成长"),3))*(VLOOKUP($B$5,标准坦克设计!$B$14:$K$20,9)/30))</f>
        <v>4.0231691965832699</v>
      </c>
      <c r="DW176" s="172">
        <f ca="1">(VLOOKUP(DW$72,INDIRECT($C$5&amp;"生成成长"),2))/((VLOOKUP($B176,INDIRECT($B$5&amp;"生成成长"),4))/(VLOOKUP(DW$72,INDIRECT($C$5&amp;"生成成长"),5))*(VLOOKUP($B$5,标准坦克设计!$B$24:$U$30,MATCH("对"&amp;LEFT($C$5,2)&amp;"输出",标准坦克设计!$B$23:$U$23,0)))*(VLOOKUP($B176,INDIRECT($B$5&amp;"生成成长"),3))*(VLOOKUP($B$5,标准坦克设计!$B$14:$K$20,9)/30))</f>
        <v>4.3667459498140149</v>
      </c>
      <c r="DX176" s="172">
        <f ca="1">(VLOOKUP(DX$72,INDIRECT($C$5&amp;"生成成长"),2))/((VLOOKUP($B176,INDIRECT($B$5&amp;"生成成长"),4))/(VLOOKUP(DX$72,INDIRECT($C$5&amp;"生成成长"),5))*(VLOOKUP($B$5,标准坦克设计!$B$24:$U$30,MATCH("对"&amp;LEFT($C$5,2)&amp;"输出",标准坦克设计!$B$23:$U$23,0)))*(VLOOKUP($B176,INDIRECT($B$5&amp;"生成成长"),3))*(VLOOKUP($B$5,标准坦克设计!$B$14:$K$20,9)/30))</f>
        <v>4.7243984731957402</v>
      </c>
      <c r="DY176" s="172">
        <f ca="1">(VLOOKUP(DY$72,INDIRECT($C$5&amp;"生成成长"),2))/((VLOOKUP($B176,INDIRECT($B$5&amp;"生成成长"),4))/(VLOOKUP(DY$72,INDIRECT($C$5&amp;"生成成长"),5))*(VLOOKUP($B$5,标准坦克设计!$B$24:$U$30,MATCH("对"&amp;LEFT($C$5,2)&amp;"输出",标准坦克设计!$B$23:$U$23,0)))*(VLOOKUP($B176,INDIRECT($B$5&amp;"生成成长"),3))*(VLOOKUP($B$5,标准坦克设计!$B$14:$K$20,9)/30))</f>
        <v>2.1218932680905365</v>
      </c>
      <c r="DZ176" s="172">
        <f ca="1">(VLOOKUP(DZ$72,INDIRECT($C$5&amp;"生成成长"),2))/((VLOOKUP($B176,INDIRECT($B$5&amp;"生成成长"),4))/(VLOOKUP(DZ$72,INDIRECT($C$5&amp;"生成成长"),5))*(VLOOKUP($B$5,标准坦克设计!$B$24:$U$30,MATCH("对"&amp;LEFT($C$5,2)&amp;"输出",标准坦克设计!$B$23:$U$23,0)))*(VLOOKUP($B176,INDIRECT($B$5&amp;"生成成长"),3))*(VLOOKUP($B$5,标准坦克设计!$B$14:$K$20,9)/30))</f>
        <v>2.3498974788006288</v>
      </c>
      <c r="EA176" s="172">
        <f ca="1">(VLOOKUP(EA$72,INDIRECT($C$5&amp;"生成成长"),2))/((VLOOKUP($B176,INDIRECT($B$5&amp;"生成成长"),4))/(VLOOKUP(EA$72,INDIRECT($C$5&amp;"生成成长"),5))*(VLOOKUP($B$5,标准坦克设计!$B$24:$U$30,MATCH("对"&amp;LEFT($C$5,2)&amp;"输出",标准坦克设计!$B$23:$U$23,0)))*(VLOOKUP($B176,INDIRECT($B$5&amp;"生成成长"),3))*(VLOOKUP($B$5,标准坦克设计!$B$14:$K$20,9)/30))</f>
        <v>2.589534557404094</v>
      </c>
      <c r="EB176" s="172">
        <f ca="1">(VLOOKUP(EB$72,INDIRECT($C$5&amp;"生成成长"),2))/((VLOOKUP($B176,INDIRECT($B$5&amp;"生成成长"),4))/(VLOOKUP(EB$72,INDIRECT($C$5&amp;"生成成长"),5))*(VLOOKUP($B$5,标准坦克设计!$B$24:$U$30,MATCH("对"&amp;LEFT($C$5,2)&amp;"输出",标准坦克设计!$B$23:$U$23,0)))*(VLOOKUP($B176,INDIRECT($B$5&amp;"生成成长"),3))*(VLOOKUP($B$5,标准坦克设计!$B$14:$K$20,9)/30))</f>
        <v>2.8408045039009306</v>
      </c>
      <c r="EC176" s="172">
        <f ca="1">(VLOOKUP(EC$72,INDIRECT($C$5&amp;"生成成长"),2))/((VLOOKUP($B176,INDIRECT($B$5&amp;"生成成长"),4))/(VLOOKUP(EC$72,INDIRECT($C$5&amp;"生成成长"),5))*(VLOOKUP($B$5,标准坦克设计!$B$24:$U$30,MATCH("对"&amp;LEFT($C$5,2)&amp;"输出",标准坦克设计!$B$23:$U$23,0)))*(VLOOKUP($B176,INDIRECT($B$5&amp;"生成成长"),3))*(VLOOKUP($B$5,标准坦克设计!$B$14:$K$20,9)/30))</f>
        <v>3.1037073182911397</v>
      </c>
      <c r="ED176" s="172">
        <f ca="1">(VLOOKUP(ED$72,INDIRECT($C$5&amp;"生成成长"),2))/((VLOOKUP($B176,INDIRECT($B$5&amp;"生成成长"),4))/(VLOOKUP(ED$72,INDIRECT($C$5&amp;"生成成长"),5))*(VLOOKUP($B$5,标准坦克设计!$B$24:$U$30,MATCH("对"&amp;LEFT($C$5,2)&amp;"输出",标准坦克设计!$B$23:$U$23,0)))*(VLOOKUP($B176,INDIRECT($B$5&amp;"生成成长"),3))*(VLOOKUP($B$5,标准坦克设计!$B$14:$K$20,9)/30))</f>
        <v>3.378243000574721</v>
      </c>
      <c r="EE176" s="172">
        <f ca="1">(VLOOKUP(EE$72,INDIRECT($C$5&amp;"生成成长"),2))/((VLOOKUP($B176,INDIRECT($B$5&amp;"生成成长"),4))/(VLOOKUP(EE$72,INDIRECT($C$5&amp;"生成成长"),5))*(VLOOKUP($B$5,标准坦克设计!$B$24:$U$30,MATCH("对"&amp;LEFT($C$5,2)&amp;"输出",标准坦克设计!$B$23:$U$23,0)))*(VLOOKUP($B176,INDIRECT($B$5&amp;"生成成长"),3))*(VLOOKUP($B$5,标准坦克设计!$B$14:$K$20,9)/30))</f>
        <v>3.6644115507516752</v>
      </c>
      <c r="EF176" s="172">
        <f ca="1">(VLOOKUP(EF$72,INDIRECT($C$5&amp;"生成成长"),2))/((VLOOKUP($B176,INDIRECT($B$5&amp;"生成成长"),4))/(VLOOKUP(EF$72,INDIRECT($C$5&amp;"生成成长"),5))*(VLOOKUP($B$5,标准坦克设计!$B$24:$U$30,MATCH("对"&amp;LEFT($C$5,2)&amp;"输出",标准坦克设计!$B$23:$U$23,0)))*(VLOOKUP($B176,INDIRECT($B$5&amp;"生成成长"),3))*(VLOOKUP($B$5,标准坦克设计!$B$14:$K$20,9)/30))</f>
        <v>3.9622129688220005</v>
      </c>
      <c r="EG176" s="172">
        <f ca="1">(VLOOKUP(EG$72,INDIRECT($C$5&amp;"生成成长"),2))/((VLOOKUP($B176,INDIRECT($B$5&amp;"生成成长"),4))/(VLOOKUP(EG$72,INDIRECT($C$5&amp;"生成成长"),5))*(VLOOKUP($B$5,标准坦克设计!$B$24:$U$30,MATCH("对"&amp;LEFT($C$5,2)&amp;"输出",标准坦克设计!$B$23:$U$23,0)))*(VLOOKUP($B176,INDIRECT($B$5&amp;"生成成长"),3))*(VLOOKUP($B$5,标准坦克设计!$B$14:$K$20,9)/30))</f>
        <v>4.2716472547856972</v>
      </c>
      <c r="EH176" s="172">
        <f ca="1">(VLOOKUP(EH$72,INDIRECT($C$5&amp;"生成成长"),2))/((VLOOKUP($B176,INDIRECT($B$5&amp;"生成成长"),4))/(VLOOKUP(EH$72,INDIRECT($C$5&amp;"生成成长"),5))*(VLOOKUP($B$5,标准坦克设计!$B$24:$U$30,MATCH("对"&amp;LEFT($C$5,2)&amp;"输出",标准坦克设计!$B$23:$U$23,0)))*(VLOOKUP($B176,INDIRECT($B$5&amp;"生成成长"),3))*(VLOOKUP($B$5,标准坦克设计!$B$14:$K$20,9)/30))</f>
        <v>4.5927144086427676</v>
      </c>
      <c r="EI176" s="172">
        <f ca="1">(VLOOKUP(EI$72,INDIRECT($C$5&amp;"生成成长"),2))/((VLOOKUP($B176,INDIRECT($B$5&amp;"生成成长"),4))/(VLOOKUP(EI$72,INDIRECT($C$5&amp;"生成成长"),5))*(VLOOKUP($B$5,标准坦克设计!$B$24:$U$30,MATCH("对"&amp;LEFT($C$5,2)&amp;"输出",标准坦克设计!$B$23:$U$23,0)))*(VLOOKUP($B176,INDIRECT($B$5&amp;"生成成长"),3))*(VLOOKUP($B$5,标准坦克设计!$B$14:$K$20,9)/30))</f>
        <v>4.925414430393209</v>
      </c>
      <c r="EJ176" s="172">
        <f ca="1">(VLOOKUP(EJ$72,INDIRECT($C$5&amp;"生成成长"),2))/((VLOOKUP($B176,INDIRECT($B$5&amp;"生成成长"),4))/(VLOOKUP(EJ$72,INDIRECT($C$5&amp;"生成成长"),5))*(VLOOKUP($B$5,标准坦克设计!$B$24:$U$30,MATCH("对"&amp;LEFT($C$5,2)&amp;"输出",标准坦克设计!$B$23:$U$23,0)))*(VLOOKUP($B176,INDIRECT($B$5&amp;"生成成长"),3))*(VLOOKUP($B$5,标准坦克设计!$B$14:$K$20,9)/30))</f>
        <v>5.2697473200370233</v>
      </c>
      <c r="EK176" s="172">
        <f ca="1">(VLOOKUP(EK$72,INDIRECT($C$5&amp;"生成成长"),2))/((VLOOKUP($B176,INDIRECT($B$5&amp;"生成成长"),4))/(VLOOKUP(EK$72,INDIRECT($C$5&amp;"生成成长"),5))*(VLOOKUP($B$5,标准坦克设计!$B$24:$U$30,MATCH("对"&amp;LEFT($C$5,2)&amp;"输出",标准坦克设计!$B$23:$U$23,0)))*(VLOOKUP($B176,INDIRECT($B$5&amp;"生成成长"),3))*(VLOOKUP($B$5,标准坦克设计!$B$14:$K$20,9)/30))</f>
        <v>5.6983021732288508</v>
      </c>
      <c r="EL176" s="172">
        <f ca="1">(VLOOKUP(EL$72,INDIRECT($C$5&amp;"生成成长"),2))/((VLOOKUP($B176,INDIRECT($B$5&amp;"生成成长"),4))/(VLOOKUP(EL$72,INDIRECT($C$5&amp;"生成成长"),5))*(VLOOKUP($B$5,标准坦克设计!$B$24:$U$30,MATCH("对"&amp;LEFT($C$5,2)&amp;"输出",标准坦克设计!$B$23:$U$23,0)))*(VLOOKUP($B176,INDIRECT($B$5&amp;"生成成长"),3))*(VLOOKUP($B$5,标准坦克设计!$B$14:$K$20,9)/30))</f>
        <v>6.1436083561871353</v>
      </c>
      <c r="EM176" s="172">
        <f ca="1">(VLOOKUP(EM$72,INDIRECT($C$5&amp;"生成成长"),2))/((VLOOKUP($B176,INDIRECT($B$5&amp;"生成成长"),4))/(VLOOKUP(EM$72,INDIRECT($C$5&amp;"生成成长"),5))*(VLOOKUP($B$5,标准坦克设计!$B$24:$U$30,MATCH("对"&amp;LEFT($C$5,2)&amp;"输出",标准坦克设计!$B$23:$U$23,0)))*(VLOOKUP($B176,INDIRECT($B$5&amp;"生成成长"),3))*(VLOOKUP($B$5,标准坦克设计!$B$14:$K$20,9)/30))</f>
        <v>6.6056658689118741</v>
      </c>
      <c r="EN176" s="172">
        <f ca="1">(VLOOKUP(EN$72,INDIRECT($C$5&amp;"生成成长"),2))/((VLOOKUP($B176,INDIRECT($B$5&amp;"生成成长"),4))/(VLOOKUP(EN$72,INDIRECT($C$5&amp;"生成成长"),5))*(VLOOKUP($B$5,标准坦克设计!$B$24:$U$30,MATCH("对"&amp;LEFT($C$5,2)&amp;"输出",标准坦克设计!$B$23:$U$23,0)))*(VLOOKUP($B176,INDIRECT($B$5&amp;"生成成长"),3))*(VLOOKUP($B$5,标准坦克设计!$B$14:$K$20,9)/30))</f>
        <v>7.0844747114030682</v>
      </c>
      <c r="EO176" s="172">
        <f ca="1">(VLOOKUP(EO$72,INDIRECT($C$5&amp;"生成成长"),2))/((VLOOKUP($B176,INDIRECT($B$5&amp;"生成成长"),4))/(VLOOKUP(EO$72,INDIRECT($C$5&amp;"生成成长"),5))*(VLOOKUP($B$5,标准坦克设计!$B$24:$U$30,MATCH("对"&amp;LEFT($C$5,2)&amp;"输出",标准坦克设计!$B$23:$U$23,0)))*(VLOOKUP($B176,INDIRECT($B$5&amp;"生成成长"),3))*(VLOOKUP($B$5,标准坦克设计!$B$14:$K$20,9)/30))</f>
        <v>7.5800348836607201</v>
      </c>
      <c r="EP176" s="172">
        <f ca="1">(VLOOKUP(EP$72,INDIRECT($C$5&amp;"生成成长"),2))/((VLOOKUP($B176,INDIRECT($B$5&amp;"生成成长"),4))/(VLOOKUP(EP$72,INDIRECT($C$5&amp;"生成成长"),5))*(VLOOKUP($B$5,标准坦克设计!$B$24:$U$30,MATCH("对"&amp;LEFT($C$5,2)&amp;"输出",标准坦克设计!$B$23:$U$23,0)))*(VLOOKUP($B176,INDIRECT($B$5&amp;"生成成长"),3))*(VLOOKUP($B$5,标准坦克设计!$B$14:$K$20,9)/30))</f>
        <v>8.0923463856848272</v>
      </c>
      <c r="EQ176" s="172">
        <f ca="1">(VLOOKUP(EQ$72,INDIRECT($C$5&amp;"生成成长"),2))/((VLOOKUP($B176,INDIRECT($B$5&amp;"生成成长"),4))/(VLOOKUP(EQ$72,INDIRECT($C$5&amp;"生成成长"),5))*(VLOOKUP($B$5,标准坦克设计!$B$24:$U$30,MATCH("对"&amp;LEFT($C$5,2)&amp;"输出",标准坦克设计!$B$23:$U$23,0)))*(VLOOKUP($B176,INDIRECT($B$5&amp;"生成成长"),3))*(VLOOKUP($B$5,标准坦克设计!$B$14:$K$20,9)/30))</f>
        <v>3.5773395345697852</v>
      </c>
      <c r="ER176" s="172">
        <f ca="1">(VLOOKUP(ER$72,INDIRECT($C$5&amp;"生成成长"),2))/((VLOOKUP($B176,INDIRECT($B$5&amp;"生成成长"),4))/(VLOOKUP(ER$72,INDIRECT($C$5&amp;"生成成长"),5))*(VLOOKUP($B$5,标准坦克设计!$B$24:$U$30,MATCH("对"&amp;LEFT($C$5,2)&amp;"输出",标准坦克设计!$B$23:$U$23,0)))*(VLOOKUP($B176,INDIRECT($B$5&amp;"生成成长"),3))*(VLOOKUP($B$5,标准坦克设计!$B$14:$K$20,9)/30))</f>
        <v>3.9017220557764651</v>
      </c>
      <c r="ES176" s="172">
        <f ca="1">(VLOOKUP(ES$72,INDIRECT($C$5&amp;"生成成长"),2))/((VLOOKUP($B176,INDIRECT($B$5&amp;"生成成长"),4))/(VLOOKUP(ES$72,INDIRECT($C$5&amp;"生成成长"),5))*(VLOOKUP($B$5,标准坦克设计!$B$24:$U$30,MATCH("对"&amp;LEFT($C$5,2)&amp;"输出",标准坦克设计!$B$23:$U$23,0)))*(VLOOKUP($B176,INDIRECT($B$5&amp;"生成成长"),3))*(VLOOKUP($B$5,标准坦克设计!$B$14:$K$20,9)/30))</f>
        <v>4.2401803471341264</v>
      </c>
      <c r="ET176" s="172">
        <f ca="1">(VLOOKUP(ET$72,INDIRECT($C$5&amp;"生成成长"),2))/((VLOOKUP($B176,INDIRECT($B$5&amp;"生成成长"),4))/(VLOOKUP(ET$72,INDIRECT($C$5&amp;"生成成长"),5))*(VLOOKUP($B$5,标准坦克设计!$B$24:$U$30,MATCH("对"&amp;LEFT($C$5,2)&amp;"输出",标准坦克设计!$B$23:$U$23,0)))*(VLOOKUP($B176,INDIRECT($B$5&amp;"生成成长"),3))*(VLOOKUP($B$5,标准坦克设计!$B$14:$K$20,9)/30))</f>
        <v>4.5927144086427676</v>
      </c>
      <c r="EU176" s="172">
        <f ca="1">(VLOOKUP(EU$72,INDIRECT($C$5&amp;"生成成长"),2))/((VLOOKUP($B176,INDIRECT($B$5&amp;"生成成长"),4))/(VLOOKUP(EU$72,INDIRECT($C$5&amp;"生成成长"),5))*(VLOOKUP($B$5,标准坦克设计!$B$24:$U$30,MATCH("对"&amp;LEFT($C$5,2)&amp;"输出",标准坦克设计!$B$23:$U$23,0)))*(VLOOKUP($B176,INDIRECT($B$5&amp;"生成成长"),3))*(VLOOKUP($B$5,标准坦克设计!$B$14:$K$20,9)/30))</f>
        <v>4.9593242403023892</v>
      </c>
      <c r="EV176" s="172">
        <f ca="1">(VLOOKUP(EV$72,INDIRECT($C$5&amp;"生成成长"),2))/((VLOOKUP($B176,INDIRECT($B$5&amp;"生成成长"),4))/(VLOOKUP(EV$72,INDIRECT($C$5&amp;"生成成长"),5))*(VLOOKUP($B$5,标准坦克设计!$B$24:$U$30,MATCH("对"&amp;LEFT($C$5,2)&amp;"输出",标准坦克设计!$B$23:$U$23,0)))*(VLOOKUP($B176,INDIRECT($B$5&amp;"生成成长"),3))*(VLOOKUP($B$5,标准坦克设计!$B$14:$K$20,9)/30))</f>
        <v>5.3400098421129902</v>
      </c>
      <c r="EW176" s="172">
        <f ca="1">(VLOOKUP(EW$72,INDIRECT($C$5&amp;"生成成长"),2))/((VLOOKUP($B176,INDIRECT($B$5&amp;"生成成长"),4))/(VLOOKUP(EW$72,INDIRECT($C$5&amp;"生成成长"),5))*(VLOOKUP($B$5,标准坦克设计!$B$24:$U$30,MATCH("对"&amp;LEFT($C$5,2)&amp;"输出",标准坦克设计!$B$23:$U$23,0)))*(VLOOKUP($B176,INDIRECT($B$5&amp;"生成成长"),3))*(VLOOKUP($B$5,标准坦克设计!$B$14:$K$20,9)/30))</f>
        <v>5.7347712140745726</v>
      </c>
      <c r="EX176" s="172">
        <f ca="1">(VLOOKUP(EX$72,INDIRECT($C$5&amp;"生成成长"),2))/((VLOOKUP($B176,INDIRECT($B$5&amp;"生成成长"),4))/(VLOOKUP(EX$72,INDIRECT($C$5&amp;"生成成长"),5))*(VLOOKUP($B$5,标准坦克设计!$B$24:$U$30,MATCH("对"&amp;LEFT($C$5,2)&amp;"输出",标准坦克设计!$B$23:$U$23,0)))*(VLOOKUP($B176,INDIRECT($B$5&amp;"生成成长"),3))*(VLOOKUP($B$5,标准坦克设计!$B$14:$K$20,9)/30))</f>
        <v>6.1436083561871353</v>
      </c>
      <c r="EY176" s="172">
        <f ca="1">(VLOOKUP(EY$72,INDIRECT($C$5&amp;"生成成长"),2))/((VLOOKUP($B176,INDIRECT($B$5&amp;"生成成长"),4))/(VLOOKUP(EY$72,INDIRECT($C$5&amp;"生成成长"),5))*(VLOOKUP($B$5,标准坦克设计!$B$24:$U$30,MATCH("对"&amp;LEFT($C$5,2)&amp;"输出",标准坦克设计!$B$23:$U$23,0)))*(VLOOKUP($B176,INDIRECT($B$5&amp;"生成成长"),3))*(VLOOKUP($B$5,标准坦克设计!$B$14:$K$20,9)/30))</f>
        <v>6.5665212684506775</v>
      </c>
      <c r="EZ176" s="172">
        <f ca="1">(VLOOKUP(EZ$72,INDIRECT($C$5&amp;"生成成长"),2))/((VLOOKUP($B176,INDIRECT($B$5&amp;"生成成长"),4))/(VLOOKUP(EZ$72,INDIRECT($C$5&amp;"生成成长"),5))*(VLOOKUP($B$5,标准坦克设计!$B$24:$U$30,MATCH("对"&amp;LEFT($C$5,2)&amp;"输出",标准坦克设计!$B$23:$U$23,0)))*(VLOOKUP($B176,INDIRECT($B$5&amp;"生成成长"),3))*(VLOOKUP($B$5,标准坦克设计!$B$14:$K$20,9)/30))</f>
        <v>7.0035099508651992</v>
      </c>
      <c r="FA176" s="172">
        <f ca="1">(VLOOKUP(FA$72,INDIRECT($C$5&amp;"生成成长"),2))/((VLOOKUP($B176,INDIRECT($B$5&amp;"生成成长"),4))/(VLOOKUP(FA$72,INDIRECT($C$5&amp;"生成成长"),5))*(VLOOKUP($B$5,标准坦克设计!$B$24:$U$30,MATCH("对"&amp;LEFT($C$5,2)&amp;"输出",标准坦克设计!$B$23:$U$23,0)))*(VLOOKUP($B176,INDIRECT($B$5&amp;"生成成长"),3))*(VLOOKUP($B$5,标准坦克设计!$B$14:$K$20,9)/30))</f>
        <v>7.4545744034307022</v>
      </c>
      <c r="FB176" s="172">
        <f ca="1">(VLOOKUP(FB$72,INDIRECT($C$5&amp;"生成成长"),2))/((VLOOKUP($B176,INDIRECT($B$5&amp;"生成成长"),4))/(VLOOKUP(FB$72,INDIRECT($C$5&amp;"生成成长"),5))*(VLOOKUP($B$5,标准坦克设计!$B$24:$U$30,MATCH("对"&amp;LEFT($C$5,2)&amp;"输出",标准坦克设计!$B$23:$U$23,0)))*(VLOOKUP($B176,INDIRECT($B$5&amp;"生成成长"),3))*(VLOOKUP($B$5,标准坦克设计!$B$14:$K$20,9)/30))</f>
        <v>7.9197146261471865</v>
      </c>
      <c r="FC176" s="172">
        <f ca="1">(VLOOKUP(FC$72,INDIRECT($C$5&amp;"生成成长"),2))/((VLOOKUP($B176,INDIRECT($B$5&amp;"生成成长"),4))/(VLOOKUP(FC$72,INDIRECT($C$5&amp;"生成成长"),5))*(VLOOKUP($B$5,标准坦克设计!$B$24:$U$30,MATCH("对"&amp;LEFT($C$5,2)&amp;"输出",标准坦克设计!$B$23:$U$23,0)))*(VLOOKUP($B176,INDIRECT($B$5&amp;"生成成长"),3))*(VLOOKUP($B$5,标准坦克设计!$B$14:$K$20,9)/30))</f>
        <v>8.3989306190146475</v>
      </c>
      <c r="FD176" s="172">
        <f ca="1">(VLOOKUP(FD$72,INDIRECT($C$5&amp;"生成成长"),2))/((VLOOKUP($B176,INDIRECT($B$5&amp;"生成成长"),4))/(VLOOKUP(FD$72,INDIRECT($C$5&amp;"生成成长"),5))*(VLOOKUP($B$5,标准坦克设计!$B$24:$U$30,MATCH("对"&amp;LEFT($C$5,2)&amp;"输出",标准坦克设计!$B$23:$U$23,0)))*(VLOOKUP($B176,INDIRECT($B$5&amp;"生成成长"),3))*(VLOOKUP($B$5,标准坦克设计!$B$14:$K$20,9)/30))</f>
        <v>8.8922223820330935</v>
      </c>
      <c r="FE176" s="172">
        <f ca="1">(VLOOKUP(FE$72,INDIRECT($C$5&amp;"生成成长"),2))/((VLOOKUP($B176,INDIRECT($B$5&amp;"生成成长"),4))/(VLOOKUP(FE$72,INDIRECT($C$5&amp;"生成成长"),5))*(VLOOKUP($B$5,标准坦克设计!$B$24:$U$30,MATCH("对"&amp;LEFT($C$5,2)&amp;"输出",标准坦克设计!$B$23:$U$23,0)))*(VLOOKUP($B176,INDIRECT($B$5&amp;"生成成长"),3))*(VLOOKUP($B$5,标准坦克设计!$B$14:$K$20,9)/30))</f>
        <v>9.4933508304230934</v>
      </c>
      <c r="FF176" s="172">
        <f ca="1">(VLOOKUP(FF$72,INDIRECT($C$5&amp;"生成成长"),2))/((VLOOKUP($B176,INDIRECT($B$5&amp;"生成成长"),4))/(VLOOKUP(FF$72,INDIRECT($C$5&amp;"生成成长"),5))*(VLOOKUP($B$5,标准坦克设计!$B$24:$U$30,MATCH("对"&amp;LEFT($C$5,2)&amp;"输出",标准坦克设计!$B$23:$U$23,0)))*(VLOOKUP($B176,INDIRECT($B$5&amp;"生成成长"),3))*(VLOOKUP($B$5,标准坦克设计!$B$14:$K$20,9)/30))</f>
        <v>10.114138825552896</v>
      </c>
      <c r="FG176" s="172">
        <f ca="1">(VLOOKUP(FG$72,INDIRECT($C$5&amp;"生成成长"),2))/((VLOOKUP($B176,INDIRECT($B$5&amp;"生成成长"),4))/(VLOOKUP(FG$72,INDIRECT($C$5&amp;"生成成长"),5))*(VLOOKUP($B$5,标准坦克设计!$B$24:$U$30,MATCH("对"&amp;LEFT($C$5,2)&amp;"输出",标准坦克设计!$B$23:$U$23,0)))*(VLOOKUP($B176,INDIRECT($B$5&amp;"生成成长"),3))*(VLOOKUP($B$5,标准坦克设计!$B$14:$K$20,9)/30))</f>
        <v>10.754586367422498</v>
      </c>
      <c r="FH176" s="172">
        <f ca="1">(VLOOKUP(FH$72,INDIRECT($C$5&amp;"生成成长"),2))/((VLOOKUP($B176,INDIRECT($B$5&amp;"生成成长"),4))/(VLOOKUP(FH$72,INDIRECT($C$5&amp;"生成成长"),5))*(VLOOKUP($B$5,标准坦克设计!$B$24:$U$30,MATCH("对"&amp;LEFT($C$5,2)&amp;"输出",标准坦克设计!$B$23:$U$23,0)))*(VLOOKUP($B176,INDIRECT($B$5&amp;"生成成长"),3))*(VLOOKUP($B$5,标准坦克设计!$B$14:$K$20,9)/30))</f>
        <v>11.414693456031896</v>
      </c>
      <c r="FI176" s="172">
        <f ca="1">(VLOOKUP(FI$72,INDIRECT($C$5&amp;"生成成长"),2))/((VLOOKUP($B176,INDIRECT($B$5&amp;"生成成长"),4))/(VLOOKUP(FI$72,INDIRECT($C$5&amp;"生成成长"),5))*(VLOOKUP($B$5,标准坦克设计!$B$24:$U$30,MATCH("对"&amp;LEFT($C$5,2)&amp;"输出",标准坦克设计!$B$23:$U$23,0)))*(VLOOKUP($B176,INDIRECT($B$5&amp;"生成成长"),3))*(VLOOKUP($B$5,标准坦克设计!$B$14:$K$20,9)/30))</f>
        <v>12.094460091381093</v>
      </c>
      <c r="FJ176" s="172">
        <f ca="1">(VLOOKUP(FJ$72,INDIRECT($C$5&amp;"生成成长"),2))/((VLOOKUP($B176,INDIRECT($B$5&amp;"生成成长"),4))/(VLOOKUP(FJ$72,INDIRECT($C$5&amp;"生成成长"),5))*(VLOOKUP($B$5,标准坦克设计!$B$24:$U$30,MATCH("对"&amp;LEFT($C$5,2)&amp;"输出",标准坦克设计!$B$23:$U$23,0)))*(VLOOKUP($B176,INDIRECT($B$5&amp;"生成成长"),3))*(VLOOKUP($B$5,标准坦克设计!$B$14:$K$20,9)/30))</f>
        <v>12.79388627347009</v>
      </c>
      <c r="FK176" s="172">
        <f ca="1">(VLOOKUP(FK$72,INDIRECT($C$5&amp;"生成成长"),2))/((VLOOKUP($B176,INDIRECT($B$5&amp;"生成成长"),4))/(VLOOKUP(FK$72,INDIRECT($C$5&amp;"生成成长"),5))*(VLOOKUP($B$5,标准坦克设计!$B$24:$U$30,MATCH("对"&amp;LEFT($C$5,2)&amp;"输出",标准坦克设计!$B$23:$U$23,0)))*(VLOOKUP($B176,INDIRECT($B$5&amp;"生成成长"),3))*(VLOOKUP($B$5,标准坦克设计!$B$14:$K$20,9)/30))</f>
        <v>13.512972002298884</v>
      </c>
    </row>
    <row r="177" spans="1:167" x14ac:dyDescent="0.15">
      <c r="A177" s="170" t="str">
        <f t="shared" si="12"/>
        <v>T5中品质15级</v>
      </c>
      <c r="B177" s="171">
        <v>20515</v>
      </c>
      <c r="C177" s="172">
        <f ca="1">(VLOOKUP(C$72,INDIRECT($C$5&amp;"生成成长"),2))/((VLOOKUP($B177,INDIRECT($B$5&amp;"生成成长"),4))/(VLOOKUP(C$72,INDIRECT($C$5&amp;"生成成长"),5))*(VLOOKUP($B$5,标准坦克设计!$B$24:$U$30,MATCH("对"&amp;LEFT($C$5,2)&amp;"输出",标准坦克设计!$B$23:$U$23,0)))*(VLOOKUP($B177,INDIRECT($B$5&amp;"生成成长"),3))*(VLOOKUP($B$5,标准坦克设计!$B$14:$K$20,9)/30))</f>
        <v>0.54780275448731608</v>
      </c>
      <c r="D177" s="172">
        <f ca="1">(VLOOKUP(D$72,INDIRECT($C$5&amp;"生成成长"),2))/((VLOOKUP($B177,INDIRECT($B$5&amp;"生成成长"),4))/(VLOOKUP(D$72,INDIRECT($C$5&amp;"生成成长"),5))*(VLOOKUP($B$5,标准坦克设计!$B$24:$U$30,MATCH("对"&amp;LEFT($C$5,2)&amp;"输出",标准坦克设计!$B$23:$U$23,0)))*(VLOOKUP($B177,INDIRECT($B$5&amp;"生成成长"),3))*(VLOOKUP($B$5,标准坦克设计!$B$14:$K$20,9)/30))</f>
        <v>0.6155111749419484</v>
      </c>
      <c r="E177" s="172">
        <f ca="1">(VLOOKUP(E$72,INDIRECT($C$5&amp;"生成成长"),2))/((VLOOKUP($B177,INDIRECT($B$5&amp;"生成成长"),4))/(VLOOKUP(E$72,INDIRECT($C$5&amp;"生成成长"),5))*(VLOOKUP($B$5,标准坦克设计!$B$24:$U$30,MATCH("对"&amp;LEFT($C$5,2)&amp;"输出",标准坦克设计!$B$23:$U$23,0)))*(VLOOKUP($B177,INDIRECT($B$5&amp;"生成成长"),3))*(VLOOKUP($B$5,标准坦克设计!$B$14:$K$20,9)/30))</f>
        <v>0.68716377522888938</v>
      </c>
      <c r="F177" s="172">
        <f ca="1">(VLOOKUP(F$72,INDIRECT($C$5&amp;"生成成长"),2))/((VLOOKUP($B177,INDIRECT($B$5&amp;"生成成长"),4))/(VLOOKUP(F$72,INDIRECT($C$5&amp;"生成成长"),5))*(VLOOKUP($B$5,标准坦克设计!$B$24:$U$30,MATCH("对"&amp;LEFT($C$5,2)&amp;"输出",标准坦克设计!$B$23:$U$23,0)))*(VLOOKUP($B177,INDIRECT($B$5&amp;"生成成长"),3))*(VLOOKUP($B$5,标准坦克设计!$B$14:$K$20,9)/30))</f>
        <v>0.76276055534813891</v>
      </c>
      <c r="G177" s="172">
        <f ca="1">(VLOOKUP(G$72,INDIRECT($C$5&amp;"生成成长"),2))/((VLOOKUP($B177,INDIRECT($B$5&amp;"生成成长"),4))/(VLOOKUP(G$72,INDIRECT($C$5&amp;"生成成长"),5))*(VLOOKUP($B$5,标准坦克设计!$B$24:$U$30,MATCH("对"&amp;LEFT($C$5,2)&amp;"输出",标准坦克设计!$B$23:$U$23,0)))*(VLOOKUP($B177,INDIRECT($B$5&amp;"生成成长"),3))*(VLOOKUP($B$5,标准坦克设计!$B$14:$K$20,9)/30))</f>
        <v>0.84230151529969732</v>
      </c>
      <c r="H177" s="172">
        <f ca="1">(VLOOKUP(H$72,INDIRECT($C$5&amp;"生成成长"),2))/((VLOOKUP($B177,INDIRECT($B$5&amp;"生成成长"),4))/(VLOOKUP(H$72,INDIRECT($C$5&amp;"生成成长"),5))*(VLOOKUP($B$5,标准坦克设计!$B$24:$U$30,MATCH("对"&amp;LEFT($C$5,2)&amp;"输出",标准坦克设计!$B$23:$U$23,0)))*(VLOOKUP($B177,INDIRECT($B$5&amp;"生成成长"),3))*(VLOOKUP($B$5,标准坦克设计!$B$14:$K$20,9)/30))</f>
        <v>0.73712338643813258</v>
      </c>
      <c r="I177" s="172">
        <f ca="1">(VLOOKUP(I$72,INDIRECT($C$5&amp;"生成成长"),2))/((VLOOKUP($B177,INDIRECT($B$5&amp;"生成成长"),4))/(VLOOKUP(I$72,INDIRECT($C$5&amp;"生成成长"),5))*(VLOOKUP($B$5,标准坦克设计!$B$24:$U$30,MATCH("对"&amp;LEFT($C$5,2)&amp;"输出",标准坦克设计!$B$23:$U$23,0)))*(VLOOKUP($B177,INDIRECT($B$5&amp;"生成成长"),3))*(VLOOKUP($B$5,标准坦克设计!$B$14:$K$20,9)/30))</f>
        <v>0.84230151529969732</v>
      </c>
      <c r="J177" s="172">
        <f ca="1">(VLOOKUP(J$72,INDIRECT($C$5&amp;"生成成长"),2))/((VLOOKUP($B177,INDIRECT($B$5&amp;"生成成长"),4))/(VLOOKUP(J$72,INDIRECT($C$5&amp;"生成成长"),5))*(VLOOKUP($B$5,标准坦克设计!$B$24:$U$30,MATCH("对"&amp;LEFT($C$5,2)&amp;"输出",标准坦克设计!$B$23:$U$23,0)))*(VLOOKUP($B177,INDIRECT($B$5&amp;"生成成长"),3))*(VLOOKUP($B$5,标准坦克设计!$B$14:$K$20,9)/30))</f>
        <v>0.95449151941869959</v>
      </c>
      <c r="K177" s="172">
        <f ca="1">(VLOOKUP(K$72,INDIRECT($C$5&amp;"生成成长"),2))/((VLOOKUP($B177,INDIRECT($B$5&amp;"生成成长"),4))/(VLOOKUP(K$72,INDIRECT($C$5&amp;"生成成长"),5))*(VLOOKUP($B$5,标准坦克设计!$B$24:$U$30,MATCH("对"&amp;LEFT($C$5,2)&amp;"输出",标准坦克设计!$B$23:$U$23,0)))*(VLOOKUP($B177,INDIRECT($B$5&amp;"生成成长"),3))*(VLOOKUP($B$5,标准坦克设计!$B$14:$K$20,9)/30))</f>
        <v>1.0736933987951394</v>
      </c>
      <c r="L177" s="172">
        <f ca="1">(VLOOKUP(L$72,INDIRECT($C$5&amp;"生成成长"),2))/((VLOOKUP($B177,INDIRECT($B$5&amp;"生成成长"),4))/(VLOOKUP(L$72,INDIRECT($C$5&amp;"生成成长"),5))*(VLOOKUP($B$5,标准坦克设计!$B$24:$U$30,MATCH("对"&amp;LEFT($C$5,2)&amp;"输出",标准坦克设计!$B$23:$U$23,0)))*(VLOOKUP($B177,INDIRECT($B$5&amp;"生成成长"),3))*(VLOOKUP($B$5,标准坦克设计!$B$14:$K$20,9)/30))</f>
        <v>1.1999071534290173</v>
      </c>
      <c r="M177" s="172">
        <f ca="1">(VLOOKUP(M$72,INDIRECT($C$5&amp;"生成成长"),2))/((VLOOKUP($B177,INDIRECT($B$5&amp;"生成成长"),4))/(VLOOKUP(M$72,INDIRECT($C$5&amp;"生成成长"),5))*(VLOOKUP($B$5,标准坦克设计!$B$24:$U$30,MATCH("对"&amp;LEFT($C$5,2)&amp;"输出",标准坦克设计!$B$23:$U$23,0)))*(VLOOKUP($B177,INDIRECT($B$5&amp;"生成成长"),3))*(VLOOKUP($B$5,标准坦克设计!$B$14:$K$20,9)/30))</f>
        <v>1.3331327833203324</v>
      </c>
      <c r="N177" s="172">
        <f ca="1">(VLOOKUP(N$72,INDIRECT($C$5&amp;"生成成长"),2))/((VLOOKUP($B177,INDIRECT($B$5&amp;"生成成长"),4))/(VLOOKUP(N$72,INDIRECT($C$5&amp;"生成成长"),5))*(VLOOKUP($B$5,标准坦克设计!$B$24:$U$30,MATCH("对"&amp;LEFT($C$5,2)&amp;"输出",标准坦克设计!$B$23:$U$23,0)))*(VLOOKUP($B177,INDIRECT($B$5&amp;"生成成长"),3))*(VLOOKUP($B$5,标准坦克设计!$B$14:$K$20,9)/30))</f>
        <v>1.4733702884690854</v>
      </c>
      <c r="O177" s="172">
        <f ca="1">(VLOOKUP(O$72,INDIRECT($C$5&amp;"生成成长"),2))/((VLOOKUP($B177,INDIRECT($B$5&amp;"生成成长"),4))/(VLOOKUP(O$72,INDIRECT($C$5&amp;"生成成长"),5))*(VLOOKUP($B$5,标准坦克设计!$B$24:$U$30,MATCH("对"&amp;LEFT($C$5,2)&amp;"输出",标准坦克设计!$B$23:$U$23,0)))*(VLOOKUP($B177,INDIRECT($B$5&amp;"生成成长"),3))*(VLOOKUP($B$5,标准坦克设计!$B$14:$K$20,9)/30))</f>
        <v>1.1202018526511126</v>
      </c>
      <c r="P177" s="172">
        <f ca="1">(VLOOKUP(P$72,INDIRECT($C$5&amp;"生成成长"),2))/((VLOOKUP($B177,INDIRECT($B$5&amp;"生成成长"),4))/(VLOOKUP(P$72,INDIRECT($C$5&amp;"生成成长"),5))*(VLOOKUP($B$5,标准坦克设计!$B$24:$U$30,MATCH("对"&amp;LEFT($C$5,2)&amp;"输出",标准坦克设计!$B$23:$U$23,0)))*(VLOOKUP($B177,INDIRECT($B$5&amp;"生成成长"),3))*(VLOOKUP($B$5,标准坦克设计!$B$14:$K$20,9)/30))</f>
        <v>1.265643483967495</v>
      </c>
      <c r="Q177" s="172">
        <f ca="1">(VLOOKUP(Q$72,INDIRECT($C$5&amp;"生成成长"),2))/((VLOOKUP($B177,INDIRECT($B$5&amp;"生成成长"),4))/(VLOOKUP(Q$72,INDIRECT($C$5&amp;"生成成长"),5))*(VLOOKUP($B$5,标准坦克设计!$B$24:$U$30,MATCH("对"&amp;LEFT($C$5,2)&amp;"输出",标准坦克设计!$B$23:$U$23,0)))*(VLOOKUP($B177,INDIRECT($B$5&amp;"生成成长"),3))*(VLOOKUP($B$5,标准坦克设计!$B$14:$K$20,9)/30))</f>
        <v>1.4199595199065722</v>
      </c>
      <c r="R177" s="172">
        <f ca="1">(VLOOKUP(R$72,INDIRECT($C$5&amp;"生成成长"),2))/((VLOOKUP($B177,INDIRECT($B$5&amp;"生成成长"),4))/(VLOOKUP(R$72,INDIRECT($C$5&amp;"生成成长"),5))*(VLOOKUP($B$5,标准坦克设计!$B$24:$U$30,MATCH("对"&amp;LEFT($C$5,2)&amp;"输出",标准坦克设计!$B$23:$U$23,0)))*(VLOOKUP($B177,INDIRECT($B$5&amp;"生成成长"),3))*(VLOOKUP($B$5,标准坦克设计!$B$14:$K$20,9)/30))</f>
        <v>1.5831499604683434</v>
      </c>
      <c r="S177" s="172">
        <f ca="1">(VLOOKUP(S$72,INDIRECT($C$5&amp;"生成成长"),2))/((VLOOKUP($B177,INDIRECT($B$5&amp;"生成成长"),4))/(VLOOKUP(S$72,INDIRECT($C$5&amp;"生成成长"),5))*(VLOOKUP($B$5,标准坦克设计!$B$24:$U$30,MATCH("对"&amp;LEFT($C$5,2)&amp;"输出",标准坦克设计!$B$23:$U$23,0)))*(VLOOKUP($B177,INDIRECT($B$5&amp;"生成成长"),3))*(VLOOKUP($B$5,标准坦克设计!$B$14:$K$20,9)/30))</f>
        <v>1.7552148056528092</v>
      </c>
      <c r="T177" s="172">
        <f ca="1">(VLOOKUP(T$72,INDIRECT($C$5&amp;"生成成长"),2))/((VLOOKUP($B177,INDIRECT($B$5&amp;"生成成长"),4))/(VLOOKUP(T$72,INDIRECT($C$5&amp;"生成成长"),5))*(VLOOKUP($B$5,标准坦克设计!$B$24:$U$30,MATCH("对"&amp;LEFT($C$5,2)&amp;"输出",标准坦克设计!$B$23:$U$23,0)))*(VLOOKUP($B177,INDIRECT($B$5&amp;"生成成长"),3))*(VLOOKUP($B$5,标准坦克设计!$B$14:$K$20,9)/30))</f>
        <v>1.9361540554599699</v>
      </c>
      <c r="U177" s="172">
        <f ca="1">(VLOOKUP(U$72,INDIRECT($C$5&amp;"生成成长"),2))/((VLOOKUP($B177,INDIRECT($B$5&amp;"生成成长"),4))/(VLOOKUP(U$72,INDIRECT($C$5&amp;"生成成长"),5))*(VLOOKUP($B$5,标准坦克设计!$B$24:$U$30,MATCH("对"&amp;LEFT($C$5,2)&amp;"输出",标准坦克设计!$B$23:$U$23,0)))*(VLOOKUP($B177,INDIRECT($B$5&amp;"生成成长"),3))*(VLOOKUP($B$5,标准坦克设计!$B$14:$K$20,9)/30))</f>
        <v>2.1259677098898249</v>
      </c>
      <c r="V177" s="172">
        <f ca="1">(VLOOKUP(V$72,INDIRECT($C$5&amp;"生成成长"),2))/((VLOOKUP($B177,INDIRECT($B$5&amp;"生成成长"),4))/(VLOOKUP(V$72,INDIRECT($C$5&amp;"生成成长"),5))*(VLOOKUP($B$5,标准坦克设计!$B$24:$U$30,MATCH("对"&amp;LEFT($C$5,2)&amp;"输出",标准坦克设计!$B$23:$U$23,0)))*(VLOOKUP($B177,INDIRECT($B$5&amp;"生成成长"),3))*(VLOOKUP($B$5,标准坦克设计!$B$14:$K$20,9)/30))</f>
        <v>2.3246557689423741</v>
      </c>
      <c r="W177" s="172">
        <f ca="1">(VLOOKUP(W$72,INDIRECT($C$5&amp;"生成成长"),2))/((VLOOKUP($B177,INDIRECT($B$5&amp;"生成成长"),4))/(VLOOKUP(W$72,INDIRECT($C$5&amp;"生成成长"),5))*(VLOOKUP($B$5,标准坦克设计!$B$24:$U$30,MATCH("对"&amp;LEFT($C$5,2)&amp;"输出",标准坦克设计!$B$23:$U$23,0)))*(VLOOKUP($B177,INDIRECT($B$5&amp;"生成成长"),3))*(VLOOKUP($B$5,标准坦克设计!$B$14:$K$20,9)/30))</f>
        <v>2.5322182326176184</v>
      </c>
      <c r="X177" s="172">
        <f ca="1">(VLOOKUP(X$72,INDIRECT($C$5&amp;"生成成长"),2))/((VLOOKUP($B177,INDIRECT($B$5&amp;"生成成长"),4))/(VLOOKUP(X$72,INDIRECT($C$5&amp;"生成成长"),5))*(VLOOKUP($B$5,标准坦克设计!$B$24:$U$30,MATCH("对"&amp;LEFT($C$5,2)&amp;"输出",标准坦克设计!$B$23:$U$23,0)))*(VLOOKUP($B177,INDIRECT($B$5&amp;"生成成长"),3))*(VLOOKUP($B$5,标准坦克设计!$B$14:$K$20,9)/30))</f>
        <v>1.8345366445025726</v>
      </c>
      <c r="Y177" s="172">
        <f ca="1">(VLOOKUP(Y$72,INDIRECT($C$5&amp;"生成成长"),2))/((VLOOKUP($B177,INDIRECT($B$5&amp;"生成成长"),4))/(VLOOKUP(Y$72,INDIRECT($C$5&amp;"生成成长"),5))*(VLOOKUP($B$5,标准坦克设计!$B$24:$U$30,MATCH("对"&amp;LEFT($C$5,2)&amp;"输出",标准坦克设计!$B$23:$U$23,0)))*(VLOOKUP($B177,INDIRECT($B$5&amp;"生成成长"),3))*(VLOOKUP($B$5,标准坦克设计!$B$14:$K$20,9)/30))</f>
        <v>2.0405104801898033</v>
      </c>
      <c r="Z177" s="172">
        <f ca="1">(VLOOKUP(Z$72,INDIRECT($C$5&amp;"生成成长"),2))/((VLOOKUP($B177,INDIRECT($B$5&amp;"生成成长"),4))/(VLOOKUP(Z$72,INDIRECT($C$5&amp;"生成成长"),5))*(VLOOKUP($B$5,标准坦克设计!$B$24:$U$30,MATCH("对"&amp;LEFT($C$5,2)&amp;"输出",标准坦克设计!$B$23:$U$23,0)))*(VLOOKUP($B177,INDIRECT($B$5&amp;"生成成长"),3))*(VLOOKUP($B$5,标准坦克设计!$B$14:$K$20,9)/30))</f>
        <v>2.2574403709667807</v>
      </c>
      <c r="AA177" s="172">
        <f ca="1">(VLOOKUP(AA$72,INDIRECT($C$5&amp;"生成成长"),2))/((VLOOKUP($B177,INDIRECT($B$5&amp;"生成成长"),4))/(VLOOKUP(AA$72,INDIRECT($C$5&amp;"生成成长"),5))*(VLOOKUP($B$5,标准坦克设计!$B$24:$U$30,MATCH("对"&amp;LEFT($C$5,2)&amp;"输出",标准坦克设计!$B$23:$U$23,0)))*(VLOOKUP($B177,INDIRECT($B$5&amp;"生成成长"),3))*(VLOOKUP($B$5,标准坦克设计!$B$14:$K$20,9)/30))</f>
        <v>2.485326316833504</v>
      </c>
      <c r="AB177" s="172">
        <f ca="1">(VLOOKUP(AB$72,INDIRECT($C$5&amp;"生成成长"),2))/((VLOOKUP($B177,INDIRECT($B$5&amp;"生成成长"),4))/(VLOOKUP(AB$72,INDIRECT($C$5&amp;"生成成长"),5))*(VLOOKUP($B$5,标准坦克设计!$B$24:$U$30,MATCH("对"&amp;LEFT($C$5,2)&amp;"输出",标准坦克设计!$B$23:$U$23,0)))*(VLOOKUP($B177,INDIRECT($B$5&amp;"生成成长"),3))*(VLOOKUP($B$5,标准坦克设计!$B$14:$K$20,9)/30))</f>
        <v>2.724168317789974</v>
      </c>
      <c r="AC177" s="172">
        <f ca="1">(VLOOKUP(AC$72,INDIRECT($C$5&amp;"生成成长"),2))/((VLOOKUP($B177,INDIRECT($B$5&amp;"生成成长"),4))/(VLOOKUP(AC$72,INDIRECT($C$5&amp;"生成成长"),5))*(VLOOKUP($B$5,标准坦克设计!$B$24:$U$30,MATCH("对"&amp;LEFT($C$5,2)&amp;"输出",标准坦克设计!$B$23:$U$23,0)))*(VLOOKUP($B177,INDIRECT($B$5&amp;"生成成长"),3))*(VLOOKUP($B$5,标准坦克设计!$B$14:$K$20,9)/30))</f>
        <v>2.9739663738361899</v>
      </c>
      <c r="AD177" s="172">
        <f ca="1">(VLOOKUP(AD$72,INDIRECT($C$5&amp;"生成成长"),2))/((VLOOKUP($B177,INDIRECT($B$5&amp;"生成成长"),4))/(VLOOKUP(AD$72,INDIRECT($C$5&amp;"生成成长"),5))*(VLOOKUP($B$5,标准坦克设计!$B$24:$U$30,MATCH("对"&amp;LEFT($C$5,2)&amp;"输出",标准坦克设计!$B$23:$U$23,0)))*(VLOOKUP($B177,INDIRECT($B$5&amp;"生成成长"),3))*(VLOOKUP($B$5,标准坦克设计!$B$14:$K$20,9)/30))</f>
        <v>3.2347204849721525</v>
      </c>
      <c r="AE177" s="172">
        <f ca="1">(VLOOKUP(AE$72,INDIRECT($C$5&amp;"生成成长"),2))/((VLOOKUP($B177,INDIRECT($B$5&amp;"生成成长"),4))/(VLOOKUP(AE$72,INDIRECT($C$5&amp;"生成成长"),5))*(VLOOKUP($B$5,标准坦克设计!$B$24:$U$30,MATCH("对"&amp;LEFT($C$5,2)&amp;"输出",标准坦克设计!$B$23:$U$23,0)))*(VLOOKUP($B177,INDIRECT($B$5&amp;"生成成长"),3))*(VLOOKUP($B$5,标准坦克设计!$B$14:$K$20,9)/30))</f>
        <v>3.5064306511978618</v>
      </c>
      <c r="AF177" s="172">
        <f ca="1">(VLOOKUP(AF$72,INDIRECT($C$5&amp;"生成成长"),2))/((VLOOKUP($B177,INDIRECT($B$5&amp;"生成成长"),4))/(VLOOKUP(AF$72,INDIRECT($C$5&amp;"生成成长"),5))*(VLOOKUP($B$5,标准坦克设计!$B$24:$U$30,MATCH("对"&amp;LEFT($C$5,2)&amp;"输出",标准坦克设计!$B$23:$U$23,0)))*(VLOOKUP($B177,INDIRECT($B$5&amp;"生成成长"),3))*(VLOOKUP($B$5,标准坦克设计!$B$14:$K$20,9)/30))</f>
        <v>3.7890968725133165</v>
      </c>
      <c r="AG177" s="172">
        <f ca="1">(VLOOKUP(AG$72,INDIRECT($C$5&amp;"生成成长"),2))/((VLOOKUP($B177,INDIRECT($B$5&amp;"生成成长"),4))/(VLOOKUP(AG$72,INDIRECT($C$5&amp;"生成成长"),5))*(VLOOKUP($B$5,标准坦克设计!$B$24:$U$30,MATCH("对"&amp;LEFT($C$5,2)&amp;"输出",标准坦克设计!$B$23:$U$23,0)))*(VLOOKUP($B177,INDIRECT($B$5&amp;"生成成长"),3))*(VLOOKUP($B$5,标准坦克设计!$B$14:$K$20,9)/30))</f>
        <v>4.0827191489185184</v>
      </c>
      <c r="AH177" s="172">
        <f ca="1">(VLOOKUP(AH$72,INDIRECT($C$5&amp;"生成成长"),2))/((VLOOKUP($B177,INDIRECT($B$5&amp;"生成成长"),4))/(VLOOKUP(AH$72,INDIRECT($C$5&amp;"生成成长"),5))*(VLOOKUP($B$5,标准坦克设计!$B$24:$U$30,MATCH("对"&amp;LEFT($C$5,2)&amp;"输出",标准坦克设计!$B$23:$U$23,0)))*(VLOOKUP($B177,INDIRECT($B$5&amp;"生成成长"),3))*(VLOOKUP($B$5,标准坦克设计!$B$14:$K$20,9)/30))</f>
        <v>4.3872974804134657</v>
      </c>
      <c r="AI177" s="172">
        <f ca="1">(VLOOKUP(AI$72,INDIRECT($C$5&amp;"生成成长"),2))/((VLOOKUP($B177,INDIRECT($B$5&amp;"生成成长"),4))/(VLOOKUP(AI$72,INDIRECT($C$5&amp;"生成成长"),5))*(VLOOKUP($B$5,标准坦克设计!$B$24:$U$30,MATCH("对"&amp;LEFT($C$5,2)&amp;"输出",标准坦克设计!$B$23:$U$23,0)))*(VLOOKUP($B177,INDIRECT($B$5&amp;"生成成长"),3))*(VLOOKUP($B$5,标准坦克设计!$B$14:$K$20,9)/30))</f>
        <v>3.1029739225179531</v>
      </c>
      <c r="AJ177" s="172">
        <f ca="1">(VLOOKUP(AJ$72,INDIRECT($C$5&amp;"生成成长"),2))/((VLOOKUP($B177,INDIRECT($B$5&amp;"生成成长"),4))/(VLOOKUP(AJ$72,INDIRECT($C$5&amp;"生成成长"),5))*(VLOOKUP($B$5,标准坦克设计!$B$24:$U$30,MATCH("对"&amp;LEFT($C$5,2)&amp;"输出",标准坦克设计!$B$23:$U$23,0)))*(VLOOKUP($B177,INDIRECT($B$5&amp;"生成成长"),3))*(VLOOKUP($B$5,标准坦克设计!$B$14:$K$20,9)/30))</f>
        <v>3.3964318580968085</v>
      </c>
      <c r="AK177" s="172">
        <f ca="1">(VLOOKUP(AK$72,INDIRECT($C$5&amp;"生成成长"),2))/((VLOOKUP($B177,INDIRECT($B$5&amp;"生成成长"),4))/(VLOOKUP(AK$72,INDIRECT($C$5&amp;"生成成长"),5))*(VLOOKUP($B$5,标准坦克设计!$B$24:$U$30,MATCH("对"&amp;LEFT($C$5,2)&amp;"输出",标准坦克设计!$B$23:$U$23,0)))*(VLOOKUP($B177,INDIRECT($B$5&amp;"生成成长"),3))*(VLOOKUP($B$5,标准坦克设计!$B$14:$K$20,9)/30))</f>
        <v>3.7031466203342571</v>
      </c>
      <c r="AL177" s="172">
        <f ca="1">(VLOOKUP(AL$72,INDIRECT($C$5&amp;"生成成长"),2))/((VLOOKUP($B177,INDIRECT($B$5&amp;"生成成长"),4))/(VLOOKUP(AL$72,INDIRECT($C$5&amp;"生成成长"),5))*(VLOOKUP($B$5,标准坦克设计!$B$24:$U$30,MATCH("对"&amp;LEFT($C$5,2)&amp;"输出",标准坦克设计!$B$23:$U$23,0)))*(VLOOKUP($B177,INDIRECT($B$5&amp;"生成成长"),3))*(VLOOKUP($B$5,标准坦克设计!$B$14:$K$20,9)/30))</f>
        <v>4.0231182092302973</v>
      </c>
      <c r="AM177" s="172">
        <f ca="1">(VLOOKUP(AM$72,INDIRECT($C$5&amp;"生成成长"),2))/((VLOOKUP($B177,INDIRECT($B$5&amp;"生成成长"),4))/(VLOOKUP(AM$72,INDIRECT($C$5&amp;"生成成长"),5))*(VLOOKUP($B$5,标准坦克设计!$B$24:$U$30,MATCH("对"&amp;LEFT($C$5,2)&amp;"输出",标准坦克设计!$B$23:$U$23,0)))*(VLOOKUP($B177,INDIRECT($B$5&amp;"生成成长"),3))*(VLOOKUP($B$5,标准坦克设计!$B$14:$K$20,9)/30))</f>
        <v>4.3563466247849325</v>
      </c>
      <c r="AN177" s="172">
        <f ca="1">(VLOOKUP(AN$72,INDIRECT($C$5&amp;"生成成长"),2))/((VLOOKUP($B177,INDIRECT($B$5&amp;"生成成长"),4))/(VLOOKUP(AN$72,INDIRECT($C$5&amp;"生成成长"),5))*(VLOOKUP($B$5,标准坦克设计!$B$24:$U$30,MATCH("对"&amp;LEFT($C$5,2)&amp;"输出",标准坦克设计!$B$23:$U$23,0)))*(VLOOKUP($B177,INDIRECT($B$5&amp;"生成成长"),3))*(VLOOKUP($B$5,标准坦克设计!$B$14:$K$20,9)/30))</f>
        <v>4.7028318669981601</v>
      </c>
      <c r="AO177" s="172">
        <f ca="1">(VLOOKUP(AO$72,INDIRECT($C$5&amp;"生成成长"),2))/((VLOOKUP($B177,INDIRECT($B$5&amp;"生成成长"),4))/(VLOOKUP(AO$72,INDIRECT($C$5&amp;"生成成长"),5))*(VLOOKUP($B$5,标准坦克设计!$B$24:$U$30,MATCH("对"&amp;LEFT($C$5,2)&amp;"输出",标准坦克设计!$B$23:$U$23,0)))*(VLOOKUP($B177,INDIRECT($B$5&amp;"生成成长"),3))*(VLOOKUP($B$5,标准坦克设计!$B$14:$K$20,9)/30))</f>
        <v>5.0625739358699802</v>
      </c>
      <c r="AP177" s="172">
        <f ca="1">(VLOOKUP(AP$72,INDIRECT($C$5&amp;"生成成长"),2))/((VLOOKUP($B177,INDIRECT($B$5&amp;"生成成长"),4))/(VLOOKUP(AP$72,INDIRECT($C$5&amp;"生成成长"),5))*(VLOOKUP($B$5,标准坦克设计!$B$24:$U$30,MATCH("对"&amp;LEFT($C$5,2)&amp;"输出",标准坦克设计!$B$23:$U$23,0)))*(VLOOKUP($B177,INDIRECT($B$5&amp;"生成成长"),3))*(VLOOKUP($B$5,标准坦克设计!$B$14:$K$20,9)/30))</f>
        <v>5.4355728314003935</v>
      </c>
      <c r="AQ177" s="172">
        <f ca="1">(VLOOKUP(AQ$72,INDIRECT($C$5&amp;"生成成长"),2))/((VLOOKUP($B177,INDIRECT($B$5&amp;"生成成长"),4))/(VLOOKUP(AQ$72,INDIRECT($C$5&amp;"生成成长"),5))*(VLOOKUP($B$5,标准坦克设计!$B$24:$U$30,MATCH("对"&amp;LEFT($C$5,2)&amp;"输出",标准坦克设计!$B$23:$U$23,0)))*(VLOOKUP($B177,INDIRECT($B$5&amp;"生成成长"),3))*(VLOOKUP($B$5,标准坦克设计!$B$14:$K$20,9)/30))</f>
        <v>5.8218285535894001</v>
      </c>
      <c r="AR177" s="172">
        <f ca="1">(VLOOKUP(AR$72,INDIRECT($C$5&amp;"生成成长"),2))/((VLOOKUP($B177,INDIRECT($B$5&amp;"生成成长"),4))/(VLOOKUP(AR$72,INDIRECT($C$5&amp;"生成成长"),5))*(VLOOKUP($B$5,标准坦克设计!$B$24:$U$30,MATCH("对"&amp;LEFT($C$5,2)&amp;"输出",标准坦克设计!$B$23:$U$23,0)))*(VLOOKUP($B177,INDIRECT($B$5&amp;"生成成长"),3))*(VLOOKUP($B$5,标准坦克设计!$B$14:$K$20,9)/30))</f>
        <v>6.221341102437</v>
      </c>
      <c r="AS177" s="172">
        <f ca="1">(VLOOKUP(AS$72,INDIRECT($C$5&amp;"生成成长"),2))/((VLOOKUP($B177,INDIRECT($B$5&amp;"生成成长"),4))/(VLOOKUP(AS$72,INDIRECT($C$5&amp;"生成成长"),5))*(VLOOKUP($B$5,标准坦克设计!$B$24:$U$30,MATCH("对"&amp;LEFT($C$5,2)&amp;"输出",标准坦克设计!$B$23:$U$23,0)))*(VLOOKUP($B177,INDIRECT($B$5&amp;"生成成长"),3))*(VLOOKUP($B$5,标准坦克设计!$B$14:$K$20,9)/30))</f>
        <v>6.6341104779431923</v>
      </c>
      <c r="AT177" s="172">
        <f ca="1">(VLOOKUP(AT$72,INDIRECT($C$5&amp;"生成成长"),2))/((VLOOKUP($B177,INDIRECT($B$5&amp;"生成成长"),4))/(VLOOKUP(AT$72,INDIRECT($C$5&amp;"生成成长"),5))*(VLOOKUP($B$5,标准坦克设计!$B$24:$U$30,MATCH("对"&amp;LEFT($C$5,2)&amp;"输出",标准坦克设计!$B$23:$U$23,0)))*(VLOOKUP($B177,INDIRECT($B$5&amp;"生成成长"),3))*(VLOOKUP($B$5,标准坦克设计!$B$14:$K$20,9)/30))</f>
        <v>7.0601366801079788</v>
      </c>
      <c r="AU177" s="172">
        <f ca="1">(VLOOKUP(AU$72,INDIRECT($C$5&amp;"生成成长"),2))/((VLOOKUP($B177,INDIRECT($B$5&amp;"生成成长"),4))/(VLOOKUP(AU$72,INDIRECT($C$5&amp;"生成成长"),5))*(VLOOKUP($B$5,标准坦克设计!$B$24:$U$30,MATCH("对"&amp;LEFT($C$5,2)&amp;"输出",标准坦克设计!$B$23:$U$23,0)))*(VLOOKUP($B177,INDIRECT($B$5&amp;"生成成长"),3))*(VLOOKUP($B$5,标准坦克设计!$B$14:$K$20,9)/30))</f>
        <v>7.4994197089313577</v>
      </c>
      <c r="AV177" s="172">
        <f ca="1">(VLOOKUP(AV$72,INDIRECT($C$5&amp;"生成成长"),2))/((VLOOKUP($B177,INDIRECT($B$5&amp;"生成成长"),4))/(VLOOKUP(AV$72,INDIRECT($C$5&amp;"生成成长"),5))*(VLOOKUP($B$5,标准坦克设计!$B$24:$U$30,MATCH("对"&amp;LEFT($C$5,2)&amp;"输出",标准坦克设计!$B$23:$U$23,0)))*(VLOOKUP($B177,INDIRECT($B$5&amp;"生成成长"),3))*(VLOOKUP($B$5,标准坦克设计!$B$14:$K$20,9)/30))</f>
        <v>0.76276055534813891</v>
      </c>
      <c r="AW177" s="172">
        <f ca="1">(VLOOKUP(AW$72,INDIRECT($C$5&amp;"生成成长"),2))/((VLOOKUP($B177,INDIRECT($B$5&amp;"生成成长"),4))/(VLOOKUP(AW$72,INDIRECT($C$5&amp;"生成成长"),5))*(VLOOKUP($B$5,标准坦克设计!$B$24:$U$30,MATCH("对"&amp;LEFT($C$5,2)&amp;"输出",标准坦克设计!$B$23:$U$23,0)))*(VLOOKUP($B177,INDIRECT($B$5&amp;"生成成长"),3))*(VLOOKUP($B$5,标准坦克设计!$B$14:$K$20,9)/30))</f>
        <v>0.86969165302406304</v>
      </c>
      <c r="AX177" s="172">
        <f ca="1">(VLOOKUP(AX$72,INDIRECT($C$5&amp;"生成成长"),2))/((VLOOKUP($B177,INDIRECT($B$5&amp;"生成成长"),4))/(VLOOKUP(AX$72,INDIRECT($C$5&amp;"生成成长"),5))*(VLOOKUP($B$5,标准坦克设计!$B$24:$U$30,MATCH("对"&amp;LEFT($C$5,2)&amp;"输出",标准坦克设计!$B$23:$U$23,0)))*(VLOOKUP($B177,INDIRECT($B$5&amp;"生成成长"),3))*(VLOOKUP($B$5,标准坦克设计!$B$14:$K$20,9)/30))</f>
        <v>0.98363462595742468</v>
      </c>
      <c r="AY177" s="172">
        <f ca="1">(VLOOKUP(AY$72,INDIRECT($C$5&amp;"生成成长"),2))/((VLOOKUP($B177,INDIRECT($B$5&amp;"生成成长"),4))/(VLOOKUP(AY$72,INDIRECT($C$5&amp;"生成成长"),5))*(VLOOKUP($B$5,标准坦克设计!$B$24:$U$30,MATCH("对"&amp;LEFT($C$5,2)&amp;"输出",标准坦克设计!$B$23:$U$23,0)))*(VLOOKUP($B177,INDIRECT($B$5&amp;"生成成长"),3))*(VLOOKUP($B$5,标准坦克设计!$B$14:$K$20,9)/30))</f>
        <v>1.1045894741482241</v>
      </c>
      <c r="AZ177" s="172">
        <f ca="1">(VLOOKUP(AZ$72,INDIRECT($C$5&amp;"生成成长"),2))/((VLOOKUP($B177,INDIRECT($B$5&amp;"生成成长"),4))/(VLOOKUP(AZ$72,INDIRECT($C$5&amp;"生成成长"),5))*(VLOOKUP($B$5,标准坦克设计!$B$24:$U$30,MATCH("对"&amp;LEFT($C$5,2)&amp;"输出",标准坦克设计!$B$23:$U$23,0)))*(VLOOKUP($B177,INDIRECT($B$5&amp;"生成成长"),3))*(VLOOKUP($B$5,标准坦克设计!$B$14:$K$20,9)/30))</f>
        <v>1.2325561975964612</v>
      </c>
      <c r="BA177" s="172">
        <f ca="1">(VLOOKUP(BA$72,INDIRECT($C$5&amp;"生成成长"),2))/((VLOOKUP($B177,INDIRECT($B$5&amp;"生成成长"),4))/(VLOOKUP(BA$72,INDIRECT($C$5&amp;"生成成长"),5))*(VLOOKUP($B$5,标准坦克设计!$B$24:$U$30,MATCH("对"&amp;LEFT($C$5,2)&amp;"输出",标准坦克设计!$B$23:$U$23,0)))*(VLOOKUP($B177,INDIRECT($B$5&amp;"生成成长"),3))*(VLOOKUP($B$5,标准坦克设计!$B$14:$K$20,9)/30))</f>
        <v>1.3675347963021358</v>
      </c>
      <c r="BB177" s="172">
        <f ca="1">(VLOOKUP(BB$72,INDIRECT($C$5&amp;"生成成长"),2))/((VLOOKUP($B177,INDIRECT($B$5&amp;"生成成长"),4))/(VLOOKUP(BB$72,INDIRECT($C$5&amp;"生成成长"),5))*(VLOOKUP($B$5,标准坦克设计!$B$24:$U$30,MATCH("对"&amp;LEFT($C$5,2)&amp;"输出",标准坦克设计!$B$23:$U$23,0)))*(VLOOKUP($B177,INDIRECT($B$5&amp;"生成成长"),3))*(VLOOKUP($B$5,标准坦克设计!$B$14:$K$20,9)/30))</f>
        <v>1.5095252702652482</v>
      </c>
      <c r="BC177" s="172">
        <f ca="1">(VLOOKUP(BC$72,INDIRECT($C$5&amp;"生成成长"),2))/((VLOOKUP($B177,INDIRECT($B$5&amp;"生成成长"),4))/(VLOOKUP(BC$72,INDIRECT($C$5&amp;"生成成长"),5))*(VLOOKUP($B$5,标准坦克设计!$B$24:$U$30,MATCH("对"&amp;LEFT($C$5,2)&amp;"输出",标准坦克设计!$B$23:$U$23,0)))*(VLOOKUP($B177,INDIRECT($B$5&amp;"生成成长"),3))*(VLOOKUP($B$5,标准坦克设计!$B$14:$K$20,9)/30))</f>
        <v>1.6585276194857981</v>
      </c>
      <c r="BD177" s="172">
        <f ca="1">(VLOOKUP(BD$72,INDIRECT($C$5&amp;"生成成长"),2))/((VLOOKUP($B177,INDIRECT($B$5&amp;"生成成长"),4))/(VLOOKUP(BD$72,INDIRECT($C$5&amp;"生成成长"),5))*(VLOOKUP($B$5,标准坦克设计!$B$24:$U$30,MATCH("对"&amp;LEFT($C$5,2)&amp;"输出",标准坦克设计!$B$23:$U$23,0)))*(VLOOKUP($B177,INDIRECT($B$5&amp;"生成成长"),3))*(VLOOKUP($B$5,标准坦克设计!$B$14:$K$20,9)/30))</f>
        <v>1.8345366445025726</v>
      </c>
      <c r="BE177" s="172">
        <f ca="1">(VLOOKUP(BE$72,INDIRECT($C$5&amp;"生成成长"),2))/((VLOOKUP($B177,INDIRECT($B$5&amp;"生成成长"),4))/(VLOOKUP(BE$72,INDIRECT($C$5&amp;"生成成长"),5))*(VLOOKUP($B$5,标准坦克设计!$B$24:$U$30,MATCH("对"&amp;LEFT($C$5,2)&amp;"输出",标准坦克设计!$B$23:$U$23,0)))*(VLOOKUP($B177,INDIRECT($B$5&amp;"生成成长"),3))*(VLOOKUP($B$5,标准坦克设计!$B$14:$K$20,9)/30))</f>
        <v>2.0194200741420421</v>
      </c>
      <c r="BF177" s="172">
        <f ca="1">(VLOOKUP(BF$72,INDIRECT($C$5&amp;"生成成长"),2))/((VLOOKUP($B177,INDIRECT($B$5&amp;"生成成长"),4))/(VLOOKUP(BF$72,INDIRECT($C$5&amp;"生成成长"),5))*(VLOOKUP($B$5,标准坦克设计!$B$24:$U$30,MATCH("对"&amp;LEFT($C$5,2)&amp;"输出",标准坦克设计!$B$23:$U$23,0)))*(VLOOKUP($B177,INDIRECT($B$5&amp;"生成成长"),3))*(VLOOKUP($B$5,标准坦克设计!$B$14:$K$20,9)/30))</f>
        <v>2.2131779084042056</v>
      </c>
      <c r="BG177" s="172">
        <f ca="1">(VLOOKUP(BG$72,INDIRECT($C$5&amp;"生成成长"),2))/((VLOOKUP($B177,INDIRECT($B$5&amp;"生成成长"),4))/(VLOOKUP(BG$72,INDIRECT($C$5&amp;"生成成长"),5))*(VLOOKUP($B$5,标准坦克设计!$B$24:$U$30,MATCH("对"&amp;LEFT($C$5,2)&amp;"输出",标准坦克设计!$B$23:$U$23,0)))*(VLOOKUP($B177,INDIRECT($B$5&amp;"生成成长"),3))*(VLOOKUP($B$5,标准坦克设计!$B$14:$K$20,9)/30))</f>
        <v>2.4158101472890636</v>
      </c>
      <c r="BH177" s="172">
        <f ca="1">(VLOOKUP(BH$72,INDIRECT($C$5&amp;"生成成长"),2))/((VLOOKUP($B177,INDIRECT($B$5&amp;"生成成长"),4))/(VLOOKUP(BH$72,INDIRECT($C$5&amp;"生成成长"),5))*(VLOOKUP($B$5,标准坦克设计!$B$24:$U$30,MATCH("对"&amp;LEFT($C$5,2)&amp;"输出",标准坦克设计!$B$23:$U$23,0)))*(VLOOKUP($B177,INDIRECT($B$5&amp;"生成成长"),3))*(VLOOKUP($B$5,标准坦克设计!$B$14:$K$20,9)/30))</f>
        <v>1.167696351465163</v>
      </c>
      <c r="BI177" s="172">
        <f ca="1">(VLOOKUP(BI$72,INDIRECT($C$5&amp;"生成成长"),2))/((VLOOKUP($B177,INDIRECT($B$5&amp;"生成成长"),4))/(VLOOKUP(BI$72,INDIRECT($C$5&amp;"生成成长"),5))*(VLOOKUP($B$5,标准坦克设计!$B$24:$U$30,MATCH("对"&amp;LEFT($C$5,2)&amp;"输出",标准坦克设计!$B$23:$U$23,0)))*(VLOOKUP($B177,INDIRECT($B$5&amp;"生成成长"),3))*(VLOOKUP($B$5,标准坦克设计!$B$14:$K$20,9)/30))</f>
        <v>1.3160961176557771</v>
      </c>
      <c r="BJ177" s="172">
        <f ca="1">(VLOOKUP(BJ$72,INDIRECT($C$5&amp;"生成成长"),2))/((VLOOKUP($B177,INDIRECT($B$5&amp;"生成成长"),4))/(VLOOKUP(BJ$72,INDIRECT($C$5&amp;"生成成长"),5))*(VLOOKUP($B$5,标准坦克设计!$B$24:$U$30,MATCH("对"&amp;LEFT($C$5,2)&amp;"输出",标准坦克设计!$B$23:$U$23,0)))*(VLOOKUP($B177,INDIRECT($B$5&amp;"生成成长"),3))*(VLOOKUP($B$5,标准坦克设计!$B$14:$K$20,9)/30))</f>
        <v>1.4733702884690854</v>
      </c>
      <c r="BK177" s="172">
        <f ca="1">(VLOOKUP(BK$72,INDIRECT($C$5&amp;"生成成长"),2))/((VLOOKUP($B177,INDIRECT($B$5&amp;"生成成长"),4))/(VLOOKUP(BK$72,INDIRECT($C$5&amp;"生成成长"),5))*(VLOOKUP($B$5,标准坦克设计!$B$24:$U$30,MATCH("对"&amp;LEFT($C$5,2)&amp;"输出",标准坦克设计!$B$23:$U$23,0)))*(VLOOKUP($B177,INDIRECT($B$5&amp;"生成成长"),3))*(VLOOKUP($B$5,标准坦克设计!$B$14:$K$20,9)/30))</f>
        <v>1.6395188639050882</v>
      </c>
      <c r="BL177" s="172">
        <f ca="1">(VLOOKUP(BL$72,INDIRECT($C$5&amp;"生成成长"),2))/((VLOOKUP($B177,INDIRECT($B$5&amp;"生成成长"),4))/(VLOOKUP(BL$72,INDIRECT($C$5&amp;"生成成长"),5))*(VLOOKUP($B$5,标准坦克设计!$B$24:$U$30,MATCH("对"&amp;LEFT($C$5,2)&amp;"输出",标准坦克设计!$B$23:$U$23,0)))*(VLOOKUP($B177,INDIRECT($B$5&amp;"生成成长"),3))*(VLOOKUP($B$5,标准坦克设计!$B$14:$K$20,9)/30))</f>
        <v>1.8145418439637859</v>
      </c>
      <c r="BM177" s="172">
        <f ca="1">(VLOOKUP(BM$72,INDIRECT($C$5&amp;"生成成长"),2))/((VLOOKUP($B177,INDIRECT($B$5&amp;"生成成长"),4))/(VLOOKUP(BM$72,INDIRECT($C$5&amp;"生成成长"),5))*(VLOOKUP($B$5,标准坦克设计!$B$24:$U$30,MATCH("对"&amp;LEFT($C$5,2)&amp;"输出",标准坦克设计!$B$23:$U$23,0)))*(VLOOKUP($B177,INDIRECT($B$5&amp;"生成成长"),3))*(VLOOKUP($B$5,标准坦克设计!$B$14:$K$20,9)/30))</f>
        <v>1.998439228645178</v>
      </c>
      <c r="BN177" s="172">
        <f ca="1">(VLOOKUP(BN$72,INDIRECT($C$5&amp;"生成成长"),2))/((VLOOKUP($B177,INDIRECT($B$5&amp;"生成成长"),4))/(VLOOKUP(BN$72,INDIRECT($C$5&amp;"生成成长"),5))*(VLOOKUP($B$5,标准坦克设计!$B$24:$U$30,MATCH("对"&amp;LEFT($C$5,2)&amp;"输出",标准坦克设计!$B$23:$U$23,0)))*(VLOOKUP($B177,INDIRECT($B$5&amp;"生成成长"),3))*(VLOOKUP($B$5,标准坦克设计!$B$14:$K$20,9)/30))</f>
        <v>2.1912110179492643</v>
      </c>
      <c r="BO177" s="172">
        <f ca="1">(VLOOKUP(BO$72,INDIRECT($C$5&amp;"生成成长"),2))/((VLOOKUP($B177,INDIRECT($B$5&amp;"生成成长"),4))/(VLOOKUP(BO$72,INDIRECT($C$5&amp;"生成成长"),5))*(VLOOKUP($B$5,标准坦克设计!$B$24:$U$30,MATCH("对"&amp;LEFT($C$5,2)&amp;"输出",标准坦克设计!$B$23:$U$23,0)))*(VLOOKUP($B177,INDIRECT($B$5&amp;"生成成长"),3))*(VLOOKUP($B$5,标准坦克设计!$B$14:$K$20,9)/30))</f>
        <v>2.3928572118760454</v>
      </c>
      <c r="BP177" s="172">
        <f ca="1">(VLOOKUP(BP$72,INDIRECT($C$5&amp;"生成成长"),2))/((VLOOKUP($B177,INDIRECT($B$5&amp;"生成成长"),4))/(VLOOKUP(BP$72,INDIRECT($C$5&amp;"生成成长"),5))*(VLOOKUP($B$5,标准坦克设计!$B$24:$U$30,MATCH("对"&amp;LEFT($C$5,2)&amp;"输出",标准坦克设计!$B$23:$U$23,0)))*(VLOOKUP($B177,INDIRECT($B$5&amp;"生成成长"),3))*(VLOOKUP($B$5,标准坦克设计!$B$14:$K$20,9)/30))</f>
        <v>2.6033778104255214</v>
      </c>
      <c r="BQ177" s="172">
        <f ca="1">(VLOOKUP(BQ$72,INDIRECT($C$5&amp;"生成成长"),2))/((VLOOKUP($B177,INDIRECT($B$5&amp;"生成成长"),4))/(VLOOKUP(BQ$72,INDIRECT($C$5&amp;"生成成长"),5))*(VLOOKUP($B$5,标准坦克设计!$B$24:$U$30,MATCH("对"&amp;LEFT($C$5,2)&amp;"输出",标准坦克设计!$B$23:$U$23,0)))*(VLOOKUP($B177,INDIRECT($B$5&amp;"生成成长"),3))*(VLOOKUP($B$5,标准坦克设计!$B$14:$K$20,9)/30))</f>
        <v>2.8227728135976915</v>
      </c>
      <c r="BR177" s="172">
        <f ca="1">(VLOOKUP(BR$72,INDIRECT($C$5&amp;"生成成长"),2))/((VLOOKUP($B177,INDIRECT($B$5&amp;"生成成长"),4))/(VLOOKUP(BR$72,INDIRECT($C$5&amp;"生成成长"),5))*(VLOOKUP($B$5,标准坦克设计!$B$24:$U$30,MATCH("对"&amp;LEFT($C$5,2)&amp;"输出",标准坦克设计!$B$23:$U$23,0)))*(VLOOKUP($B177,INDIRECT($B$5&amp;"生成成长"),3))*(VLOOKUP($B$5,标准坦克设计!$B$14:$K$20,9)/30))</f>
        <v>3.0769532916798057</v>
      </c>
      <c r="BS177" s="172">
        <f ca="1">(VLOOKUP(BS$72,INDIRECT($C$5&amp;"生成成长"),2))/((VLOOKUP($B177,INDIRECT($B$5&amp;"生成成长"),4))/(VLOOKUP(BS$72,INDIRECT($C$5&amp;"生成成长"),5))*(VLOOKUP($B$5,标准坦克设计!$B$24:$U$30,MATCH("对"&amp;LEFT($C$5,2)&amp;"输出",标准坦克设计!$B$23:$U$23,0)))*(VLOOKUP($B177,INDIRECT($B$5&amp;"生成成长"),3))*(VLOOKUP($B$5,标准坦克设计!$B$14:$K$20,9)/30))</f>
        <v>3.3420898248516666</v>
      </c>
      <c r="BT177" s="172">
        <f ca="1">(VLOOKUP(BT$72,INDIRECT($C$5&amp;"生成成长"),2))/((VLOOKUP($B177,INDIRECT($B$5&amp;"生成成长"),4))/(VLOOKUP(BT$72,INDIRECT($C$5&amp;"生成成长"),5))*(VLOOKUP($B$5,标准坦克设计!$B$24:$U$30,MATCH("对"&amp;LEFT($C$5,2)&amp;"输出",标准坦克设计!$B$23:$U$23,0)))*(VLOOKUP($B177,INDIRECT($B$5&amp;"生成成长"),3))*(VLOOKUP($B$5,标准坦克设计!$B$14:$K$20,9)/30))</f>
        <v>3.6181824131132738</v>
      </c>
      <c r="BU177" s="172">
        <f ca="1">(VLOOKUP(BU$72,INDIRECT($C$5&amp;"生成成长"),2))/((VLOOKUP($B177,INDIRECT($B$5&amp;"生成成长"),4))/(VLOOKUP(BU$72,INDIRECT($C$5&amp;"生成成长"),5))*(VLOOKUP($B$5,标准坦克设计!$B$24:$U$30,MATCH("对"&amp;LEFT($C$5,2)&amp;"输出",标准坦克设计!$B$23:$U$23,0)))*(VLOOKUP($B177,INDIRECT($B$5&amp;"生成成长"),3))*(VLOOKUP($B$5,标准坦克设计!$B$14:$K$20,9)/30))</f>
        <v>3.9052310564646273</v>
      </c>
      <c r="BV177" s="172">
        <f ca="1">(VLOOKUP(BV$72,INDIRECT($C$5&amp;"生成成长"),2))/((VLOOKUP($B177,INDIRECT($B$5&amp;"生成成长"),4))/(VLOOKUP(BV$72,INDIRECT($C$5&amp;"生成成长"),5))*(VLOOKUP($B$5,标准坦克设计!$B$24:$U$30,MATCH("对"&amp;LEFT($C$5,2)&amp;"输出",标准坦克设计!$B$23:$U$23,0)))*(VLOOKUP($B177,INDIRECT($B$5&amp;"生成成长"),3))*(VLOOKUP($B$5,标准坦克设计!$B$14:$K$20,9)/30))</f>
        <v>4.2032357549057275</v>
      </c>
      <c r="BW177" s="172">
        <f ca="1">(VLOOKUP(BW$72,INDIRECT($C$5&amp;"生成成长"),2))/((VLOOKUP($B177,INDIRECT($B$5&amp;"生成成长"),4))/(VLOOKUP(BW$72,INDIRECT($C$5&amp;"生成成长"),5))*(VLOOKUP($B$5,标准坦克设计!$B$24:$U$30,MATCH("对"&amp;LEFT($C$5,2)&amp;"输出",标准坦克设计!$B$23:$U$23,0)))*(VLOOKUP($B177,INDIRECT($B$5&amp;"生成成长"),3))*(VLOOKUP($B$5,标准坦克设计!$B$14:$K$20,9)/30))</f>
        <v>1.9156114521666954</v>
      </c>
      <c r="BX177" s="172">
        <f ca="1">(VLOOKUP(BX$72,INDIRECT($C$5&amp;"生成成长"),2))/((VLOOKUP($B177,INDIRECT($B$5&amp;"生成成长"),4))/(VLOOKUP(BX$72,INDIRECT($C$5&amp;"生成成长"),5))*(VLOOKUP($B$5,标准坦克设计!$B$24:$U$30,MATCH("对"&amp;LEFT($C$5,2)&amp;"输出",标准坦克设计!$B$23:$U$23,0)))*(VLOOKUP($B177,INDIRECT($B$5&amp;"生成成长"),3))*(VLOOKUP($B$5,标准坦克设计!$B$14:$K$20,9)/30))</f>
        <v>2.1259677098898249</v>
      </c>
      <c r="BY177" s="172">
        <f ca="1">(VLOOKUP(BY$72,INDIRECT($C$5&amp;"生成成长"),2))/((VLOOKUP($B177,INDIRECT($B$5&amp;"生成成长"),4))/(VLOOKUP(BY$72,INDIRECT($C$5&amp;"生成成长"),5))*(VLOOKUP($B$5,标准坦克设计!$B$24:$U$30,MATCH("对"&amp;LEFT($C$5,2)&amp;"输出",标准坦克设计!$B$23:$U$23,0)))*(VLOOKUP($B177,INDIRECT($B$5&amp;"生成成长"),3))*(VLOOKUP($B$5,标准坦克设计!$B$14:$K$20,9)/30))</f>
        <v>2.3472800227027006</v>
      </c>
      <c r="BZ177" s="172">
        <f ca="1">(VLOOKUP(BZ$72,INDIRECT($C$5&amp;"生成成长"),2))/((VLOOKUP($B177,INDIRECT($B$5&amp;"生成成长"),4))/(VLOOKUP(BZ$72,INDIRECT($C$5&amp;"生成成长"),5))*(VLOOKUP($B$5,标准坦克设计!$B$24:$U$30,MATCH("对"&amp;LEFT($C$5,2)&amp;"输出",标准坦克设计!$B$23:$U$23,0)))*(VLOOKUP($B177,INDIRECT($B$5&amp;"生成成长"),3))*(VLOOKUP($B$5,标准坦克设计!$B$14:$K$20,9)/30))</f>
        <v>2.5795483906053227</v>
      </c>
      <c r="CA177" s="172">
        <f ca="1">(VLOOKUP(CA$72,INDIRECT($C$5&amp;"生成成长"),2))/((VLOOKUP($B177,INDIRECT($B$5&amp;"生成成长"),4))/(VLOOKUP(CA$72,INDIRECT($C$5&amp;"生成成长"),5))*(VLOOKUP($B$5,标准坦克设计!$B$24:$U$30,MATCH("对"&amp;LEFT($C$5,2)&amp;"输出",标准坦克设计!$B$23:$U$23,0)))*(VLOOKUP($B177,INDIRECT($B$5&amp;"生成成长"),3))*(VLOOKUP($B$5,标准坦克设计!$B$14:$K$20,9)/30))</f>
        <v>2.8227728135976915</v>
      </c>
      <c r="CB177" s="172">
        <f ca="1">(VLOOKUP(CB$72,INDIRECT($C$5&amp;"生成成长"),2))/((VLOOKUP($B177,INDIRECT($B$5&amp;"生成成长"),4))/(VLOOKUP(CB$72,INDIRECT($C$5&amp;"生成成长"),5))*(VLOOKUP($B$5,标准坦克设计!$B$24:$U$30,MATCH("对"&amp;LEFT($C$5,2)&amp;"输出",标准坦克设计!$B$23:$U$23,0)))*(VLOOKUP($B177,INDIRECT($B$5&amp;"生成成长"),3))*(VLOOKUP($B$5,标准坦克设计!$B$14:$K$20,9)/30))</f>
        <v>3.0769532916798057</v>
      </c>
      <c r="CC177" s="172">
        <f ca="1">(VLOOKUP(CC$72,INDIRECT($C$5&amp;"生成成长"),2))/((VLOOKUP($B177,INDIRECT($B$5&amp;"生成成长"),4))/(VLOOKUP(CC$72,INDIRECT($C$5&amp;"生成成长"),5))*(VLOOKUP($B$5,标准坦克设计!$B$24:$U$30,MATCH("对"&amp;LEFT($C$5,2)&amp;"输出",标准坦克设计!$B$23:$U$23,0)))*(VLOOKUP($B177,INDIRECT($B$5&amp;"生成成长"),3))*(VLOOKUP($B$5,标准坦克设计!$B$14:$K$20,9)/30))</f>
        <v>3.3420898248516666</v>
      </c>
      <c r="CD177" s="172">
        <f ca="1">(VLOOKUP(CD$72,INDIRECT($C$5&amp;"生成成长"),2))/((VLOOKUP($B177,INDIRECT($B$5&amp;"生成成长"),4))/(VLOOKUP(CD$72,INDIRECT($C$5&amp;"生成成长"),5))*(VLOOKUP($B$5,标准坦克设计!$B$24:$U$30,MATCH("对"&amp;LEFT($C$5,2)&amp;"输出",标准坦克设计!$B$23:$U$23,0)))*(VLOOKUP($B177,INDIRECT($B$5&amp;"生成成长"),3))*(VLOOKUP($B$5,标准坦克设计!$B$14:$K$20,9)/30))</f>
        <v>3.6181824131132738</v>
      </c>
      <c r="CE177" s="172">
        <f ca="1">(VLOOKUP(CE$72,INDIRECT($C$5&amp;"生成成长"),2))/((VLOOKUP($B177,INDIRECT($B$5&amp;"生成成长"),4))/(VLOOKUP(CE$72,INDIRECT($C$5&amp;"生成成长"),5))*(VLOOKUP($B$5,标准坦克设计!$B$24:$U$30,MATCH("对"&amp;LEFT($C$5,2)&amp;"输出",标准坦克设计!$B$23:$U$23,0)))*(VLOOKUP($B177,INDIRECT($B$5&amp;"生成成长"),3))*(VLOOKUP($B$5,标准坦克设计!$B$14:$K$20,9)/30))</f>
        <v>3.9052310564646273</v>
      </c>
      <c r="CF177" s="172">
        <f ca="1">(VLOOKUP(CF$72,INDIRECT($C$5&amp;"生成成长"),2))/((VLOOKUP($B177,INDIRECT($B$5&amp;"生成成长"),4))/(VLOOKUP(CF$72,INDIRECT($C$5&amp;"生成成长"),5))*(VLOOKUP($B$5,标准坦克设计!$B$24:$U$30,MATCH("对"&amp;LEFT($C$5,2)&amp;"输出",标准坦克设计!$B$23:$U$23,0)))*(VLOOKUP($B177,INDIRECT($B$5&amp;"生成成长"),3))*(VLOOKUP($B$5,标准坦克设计!$B$14:$K$20,9)/30))</f>
        <v>4.2032357549057275</v>
      </c>
      <c r="CG177" s="172">
        <f ca="1">(VLOOKUP(CG$72,INDIRECT($C$5&amp;"生成成长"),2))/((VLOOKUP($B177,INDIRECT($B$5&amp;"生成成长"),4))/(VLOOKUP(CG$72,INDIRECT($C$5&amp;"生成成长"),5))*(VLOOKUP($B$5,标准坦克设计!$B$24:$U$30,MATCH("对"&amp;LEFT($C$5,2)&amp;"输出",标准坦克设计!$B$23:$U$23,0)))*(VLOOKUP($B177,INDIRECT($B$5&amp;"生成成长"),3))*(VLOOKUP($B$5,标准坦克设计!$B$14:$K$20,9)/30))</f>
        <v>4.512196508436574</v>
      </c>
      <c r="CH177" s="172">
        <f ca="1">(VLOOKUP(CH$72,INDIRECT($C$5&amp;"生成成长"),2))/((VLOOKUP($B177,INDIRECT($B$5&amp;"生成成长"),4))/(VLOOKUP(CH$72,INDIRECT($C$5&amp;"生成成长"),5))*(VLOOKUP($B$5,标准坦克设计!$B$24:$U$30,MATCH("对"&amp;LEFT($C$5,2)&amp;"输出",标准坦克设计!$B$23:$U$23,0)))*(VLOOKUP($B177,INDIRECT($B$5&amp;"生成成长"),3))*(VLOOKUP($B$5,标准坦克设计!$B$14:$K$20,9)/30))</f>
        <v>4.8321133170571668</v>
      </c>
      <c r="CI177" s="172">
        <f ca="1">(VLOOKUP(CI$72,INDIRECT($C$5&amp;"生成成长"),2))/((VLOOKUP($B177,INDIRECT($B$5&amp;"生成成长"),4))/(VLOOKUP(CI$72,INDIRECT($C$5&amp;"生成成长"),5))*(VLOOKUP($B$5,标准坦克设计!$B$24:$U$30,MATCH("对"&amp;LEFT($C$5,2)&amp;"输出",标准坦克设计!$B$23:$U$23,0)))*(VLOOKUP($B177,INDIRECT($B$5&amp;"生成成长"),3))*(VLOOKUP($B$5,标准坦克设计!$B$14:$K$20,9)/30))</f>
        <v>5.1966760501684757</v>
      </c>
      <c r="CJ177" s="172">
        <f ca="1">(VLOOKUP(CJ$72,INDIRECT($C$5&amp;"生成成长"),2))/((VLOOKUP($B177,INDIRECT($B$5&amp;"生成成长"),4))/(VLOOKUP(CJ$72,INDIRECT($C$5&amp;"生成成长"),5))*(VLOOKUP($B$5,标准坦克设计!$B$24:$U$30,MATCH("对"&amp;LEFT($C$5,2)&amp;"输出",标准坦克设计!$B$23:$U$23,0)))*(VLOOKUP($B177,INDIRECT($B$5&amp;"生成成长"),3))*(VLOOKUP($B$5,标准坦克设计!$B$14:$K$20,9)/30))</f>
        <v>5.5744956099383778</v>
      </c>
      <c r="CK177" s="172">
        <f ca="1">(VLOOKUP(CK$72,INDIRECT($C$5&amp;"生成成长"),2))/((VLOOKUP($B177,INDIRECT($B$5&amp;"生成成长"),4))/(VLOOKUP(CK$72,INDIRECT($C$5&amp;"生成成长"),5))*(VLOOKUP($B$5,标准坦克设计!$B$24:$U$30,MATCH("对"&amp;LEFT($C$5,2)&amp;"输出",标准坦克设计!$B$23:$U$23,0)))*(VLOOKUP($B177,INDIRECT($B$5&amp;"生成成长"),3))*(VLOOKUP($B$5,标准坦克设计!$B$14:$K$20,9)/30))</f>
        <v>5.9655719963668714</v>
      </c>
      <c r="CL177" s="172">
        <f ca="1">(VLOOKUP(CL$72,INDIRECT($C$5&amp;"生成成长"),2))/((VLOOKUP($B177,INDIRECT($B$5&amp;"生成成长"),4))/(VLOOKUP(CL$72,INDIRECT($C$5&amp;"生成成长"),5))*(VLOOKUP($B$5,标准坦克设计!$B$24:$U$30,MATCH("对"&amp;LEFT($C$5,2)&amp;"输出",标准坦克设计!$B$23:$U$23,0)))*(VLOOKUP($B177,INDIRECT($B$5&amp;"生成成长"),3))*(VLOOKUP($B$5,标准坦克设计!$B$14:$K$20,9)/30))</f>
        <v>6.3699052094539592</v>
      </c>
      <c r="CM177" s="172">
        <f ca="1">(VLOOKUP(CM$72,INDIRECT($C$5&amp;"生成成长"),2))/((VLOOKUP($B177,INDIRECT($B$5&amp;"生成成长"),4))/(VLOOKUP(CM$72,INDIRECT($C$5&amp;"生成成长"),5))*(VLOOKUP($B$5,标准坦克设计!$B$24:$U$30,MATCH("对"&amp;LEFT($C$5,2)&amp;"输出",标准坦克设计!$B$23:$U$23,0)))*(VLOOKUP($B177,INDIRECT($B$5&amp;"生成成长"),3))*(VLOOKUP($B$5,标准坦克设计!$B$14:$K$20,9)/30))</f>
        <v>6.7874952491996403</v>
      </c>
      <c r="CN177" s="172">
        <f ca="1">(VLOOKUP(CN$72,INDIRECT($C$5&amp;"生成成长"),2))/((VLOOKUP($B177,INDIRECT($B$5&amp;"生成成长"),4))/(VLOOKUP(CN$72,INDIRECT($C$5&amp;"生成成长"),5))*(VLOOKUP($B$5,标准坦克设计!$B$24:$U$30,MATCH("对"&amp;LEFT($C$5,2)&amp;"输出",标准坦克设计!$B$23:$U$23,0)))*(VLOOKUP($B177,INDIRECT($B$5&amp;"生成成长"),3))*(VLOOKUP($B$5,标准坦克设计!$B$14:$K$20,9)/30))</f>
        <v>7.2183421156039147</v>
      </c>
      <c r="CO177" s="172">
        <f ca="1">(VLOOKUP(CO$72,INDIRECT($C$5&amp;"生成成长"),2))/((VLOOKUP($B177,INDIRECT($B$5&amp;"生成成长"),4))/(VLOOKUP(CO$72,INDIRECT($C$5&amp;"生成成长"),5))*(VLOOKUP($B$5,标准坦克设计!$B$24:$U$30,MATCH("对"&amp;LEFT($C$5,2)&amp;"输出",标准坦克设计!$B$23:$U$23,0)))*(VLOOKUP($B177,INDIRECT($B$5&amp;"生成成长"),3))*(VLOOKUP($B$5,标准坦克设计!$B$14:$K$20,9)/30))</f>
        <v>3.2347204849721525</v>
      </c>
      <c r="CP177" s="172">
        <f ca="1">(VLOOKUP(CP$72,INDIRECT($C$5&amp;"生成成长"),2))/((VLOOKUP($B177,INDIRECT($B$5&amp;"生成成长"),4))/(VLOOKUP(CP$72,INDIRECT($C$5&amp;"生成成长"),5))*(VLOOKUP($B$5,标准坦克设计!$B$24:$U$30,MATCH("对"&amp;LEFT($C$5,2)&amp;"输出",标准坦克设计!$B$23:$U$23,0)))*(VLOOKUP($B177,INDIRECT($B$5&amp;"生成成长"),3))*(VLOOKUP($B$5,标准坦克设计!$B$14:$K$20,9)/30))</f>
        <v>3.5342042508503679</v>
      </c>
      <c r="CQ177" s="172">
        <f ca="1">(VLOOKUP(CQ$72,INDIRECT($C$5&amp;"生成成长"),2))/((VLOOKUP($B177,INDIRECT($B$5&amp;"生成成长"),4))/(VLOOKUP(CQ$72,INDIRECT($C$5&amp;"生成成长"),5))*(VLOOKUP($B$5,标准坦克设计!$B$24:$U$30,MATCH("对"&amp;LEFT($C$5,2)&amp;"输出",标准坦克设计!$B$23:$U$23,0)))*(VLOOKUP($B177,INDIRECT($B$5&amp;"生成成长"),3))*(VLOOKUP($B$5,标准坦克设计!$B$14:$K$20,9)/30))</f>
        <v>3.8469448433871762</v>
      </c>
      <c r="CR177" s="172">
        <f ca="1">(VLOOKUP(CR$72,INDIRECT($C$5&amp;"生成成长"),2))/((VLOOKUP($B177,INDIRECT($B$5&amp;"生成成长"),4))/(VLOOKUP(CR$72,INDIRECT($C$5&amp;"生成成长"),5))*(VLOOKUP($B$5,标准坦克设计!$B$24:$U$30,MATCH("对"&amp;LEFT($C$5,2)&amp;"输出",标准坦克设计!$B$23:$U$23,0)))*(VLOOKUP($B177,INDIRECT($B$5&amp;"生成成长"),3))*(VLOOKUP($B$5,标准坦克设计!$B$14:$K$20,9)/30))</f>
        <v>4.1729422625825796</v>
      </c>
      <c r="CS177" s="172">
        <f ca="1">(VLOOKUP(CS$72,INDIRECT($C$5&amp;"生成成长"),2))/((VLOOKUP($B177,INDIRECT($B$5&amp;"生成成长"),4))/(VLOOKUP(CS$72,INDIRECT($C$5&amp;"生成成长"),5))*(VLOOKUP($B$5,标准坦克设计!$B$24:$U$30,MATCH("对"&amp;LEFT($C$5,2)&amp;"输出",标准坦克设计!$B$23:$U$23,0)))*(VLOOKUP($B177,INDIRECT($B$5&amp;"生成成长"),3))*(VLOOKUP($B$5,标准坦克设计!$B$14:$K$20,9)/30))</f>
        <v>4.512196508436574</v>
      </c>
      <c r="CT177" s="172">
        <f ca="1">(VLOOKUP(CT$72,INDIRECT($C$5&amp;"生成成长"),2))/((VLOOKUP($B177,INDIRECT($B$5&amp;"生成成长"),4))/(VLOOKUP(CT$72,INDIRECT($C$5&amp;"生成成长"),5))*(VLOOKUP($B$5,标准坦克设计!$B$24:$U$30,MATCH("对"&amp;LEFT($C$5,2)&amp;"输出",标准坦克设计!$B$23:$U$23,0)))*(VLOOKUP($B177,INDIRECT($B$5&amp;"生成成长"),3))*(VLOOKUP($B$5,标准坦克设计!$B$14:$K$20,9)/30))</f>
        <v>4.8647075809491627</v>
      </c>
      <c r="CU177" s="172">
        <f ca="1">(VLOOKUP(CU$72,INDIRECT($C$5&amp;"生成成长"),2))/((VLOOKUP($B177,INDIRECT($B$5&amp;"生成成长"),4))/(VLOOKUP(CU$72,INDIRECT($C$5&amp;"生成成长"),5))*(VLOOKUP($B$5,标准坦克设计!$B$24:$U$30,MATCH("对"&amp;LEFT($C$5,2)&amp;"输出",标准坦克设计!$B$23:$U$23,0)))*(VLOOKUP($B177,INDIRECT($B$5&amp;"生成成长"),3))*(VLOOKUP($B$5,标准坦克设计!$B$14:$K$20,9)/30))</f>
        <v>5.2304754801203428</v>
      </c>
      <c r="CV177" s="172">
        <f ca="1">(VLOOKUP(CV$72,INDIRECT($C$5&amp;"生成成长"),2))/((VLOOKUP($B177,INDIRECT($B$5&amp;"生成成长"),4))/(VLOOKUP(CV$72,INDIRECT($C$5&amp;"生成成长"),5))*(VLOOKUP($B$5,标准坦克设计!$B$24:$U$30,MATCH("对"&amp;LEFT($C$5,2)&amp;"输出",标准坦克设计!$B$23:$U$23,0)))*(VLOOKUP($B177,INDIRECT($B$5&amp;"生成成长"),3))*(VLOOKUP($B$5,标准坦克设计!$B$14:$K$20,9)/30))</f>
        <v>5.6095002059501171</v>
      </c>
      <c r="CW177" s="172">
        <f ca="1">(VLOOKUP(CW$72,INDIRECT($C$5&amp;"生成成长"),2))/((VLOOKUP($B177,INDIRECT($B$5&amp;"生成成长"),4))/(VLOOKUP(CW$72,INDIRECT($C$5&amp;"生成成长"),5))*(VLOOKUP($B$5,标准坦克设计!$B$24:$U$30,MATCH("对"&amp;LEFT($C$5,2)&amp;"输出",标准坦克设计!$B$23:$U$23,0)))*(VLOOKUP($B177,INDIRECT($B$5&amp;"生成成长"),3))*(VLOOKUP($B$5,标准坦克设计!$B$14:$K$20,9)/30))</f>
        <v>6.0017817584384838</v>
      </c>
      <c r="CX177" s="172">
        <f ca="1">(VLOOKUP(CX$72,INDIRECT($C$5&amp;"生成成长"),2))/((VLOOKUP($B177,INDIRECT($B$5&amp;"生成成长"),4))/(VLOOKUP(CX$72,INDIRECT($C$5&amp;"生成成长"),5))*(VLOOKUP($B$5,标准坦克设计!$B$24:$U$30,MATCH("对"&amp;LEFT($C$5,2)&amp;"输出",标准坦克设计!$B$23:$U$23,0)))*(VLOOKUP($B177,INDIRECT($B$5&amp;"生成成长"),3))*(VLOOKUP($B$5,标准坦克设计!$B$14:$K$20,9)/30))</f>
        <v>6.4073201375854438</v>
      </c>
      <c r="CY177" s="172">
        <f ca="1">(VLOOKUP(CY$72,INDIRECT($C$5&amp;"生成成长"),2))/((VLOOKUP($B177,INDIRECT($B$5&amp;"生成成长"),4))/(VLOOKUP(CY$72,INDIRECT($C$5&amp;"生成成长"),5))*(VLOOKUP($B$5,标准坦克设计!$B$24:$U$30,MATCH("对"&amp;LEFT($C$5,2)&amp;"输出",标准坦克设计!$B$23:$U$23,0)))*(VLOOKUP($B177,INDIRECT($B$5&amp;"生成成长"),3))*(VLOOKUP($B$5,标准坦克设计!$B$14:$K$20,9)/30))</f>
        <v>6.826115343390998</v>
      </c>
      <c r="CZ177" s="172">
        <f ca="1">(VLOOKUP(CZ$72,INDIRECT($C$5&amp;"生成成长"),2))/((VLOOKUP($B177,INDIRECT($B$5&amp;"生成成长"),4))/(VLOOKUP(CZ$72,INDIRECT($C$5&amp;"生成成长"),5))*(VLOOKUP($B$5,标准坦克设计!$B$24:$U$30,MATCH("对"&amp;LEFT($C$5,2)&amp;"输出",标准坦克设计!$B$23:$U$23,0)))*(VLOOKUP($B177,INDIRECT($B$5&amp;"生成成长"),3))*(VLOOKUP($B$5,标准坦克设计!$B$14:$K$20,9)/30))</f>
        <v>7.2581673758551437</v>
      </c>
      <c r="DA177" s="172">
        <f ca="1">(VLOOKUP(DA$72,INDIRECT($C$5&amp;"生成成长"),2))/((VLOOKUP($B177,INDIRECT($B$5&amp;"生成成长"),4))/(VLOOKUP(DA$72,INDIRECT($C$5&amp;"生成成长"),5))*(VLOOKUP($B$5,标准坦克设计!$B$24:$U$30,MATCH("对"&amp;LEFT($C$5,2)&amp;"输出",标准坦克设计!$B$23:$U$23,0)))*(VLOOKUP($B177,INDIRECT($B$5&amp;"生成成长"),3))*(VLOOKUP($B$5,标准坦克设计!$B$14:$K$20,9)/30))</f>
        <v>7.7034762349778827</v>
      </c>
      <c r="DB177" s="172">
        <f ca="1">(VLOOKUP(DB$72,INDIRECT($C$5&amp;"生成成长"),2))/((VLOOKUP($B177,INDIRECT($B$5&amp;"生成成长"),4))/(VLOOKUP(DB$72,INDIRECT($C$5&amp;"生成成长"),5))*(VLOOKUP($B$5,标准坦克设计!$B$24:$U$30,MATCH("对"&amp;LEFT($C$5,2)&amp;"输出",标准坦克设计!$B$23:$U$23,0)))*(VLOOKUP($B177,INDIRECT($B$5&amp;"生成成长"),3))*(VLOOKUP($B$5,标准坦克设计!$B$14:$K$20,9)/30))</f>
        <v>8.1620419207592132</v>
      </c>
      <c r="DC177" s="172">
        <f ca="1">(VLOOKUP(DC$72,INDIRECT($C$5&amp;"生成成长"),2))/((VLOOKUP($B177,INDIRECT($B$5&amp;"生成成长"),4))/(VLOOKUP(DC$72,INDIRECT($C$5&amp;"生成成长"),5))*(VLOOKUP($B$5,标准坦克设计!$B$24:$U$30,MATCH("对"&amp;LEFT($C$5,2)&amp;"输出",标准坦克设计!$B$23:$U$23,0)))*(VLOOKUP($B177,INDIRECT($B$5&amp;"生成成长"),3))*(VLOOKUP($B$5,标准坦克设计!$B$14:$K$20,9)/30))</f>
        <v>8.67741475218088</v>
      </c>
      <c r="DD177" s="172">
        <f ca="1">(VLOOKUP(DD$72,INDIRECT($C$5&amp;"生成成长"),2))/((VLOOKUP($B177,INDIRECT($B$5&amp;"生成成长"),4))/(VLOOKUP(DD$72,INDIRECT($C$5&amp;"生成成长"),5))*(VLOOKUP($B$5,标准坦克设计!$B$24:$U$30,MATCH("对"&amp;LEFT($C$5,2)&amp;"输出",标准坦克设计!$B$23:$U$23,0)))*(VLOOKUP($B177,INDIRECT($B$5&amp;"生成成长"),3))*(VLOOKUP($B$5,标准坦克设计!$B$14:$K$20,9)/30))</f>
        <v>9.2085643029317819</v>
      </c>
      <c r="DE177" s="172">
        <f ca="1">(VLOOKUP(DE$72,INDIRECT($C$5&amp;"生成成长"),2))/((VLOOKUP($B177,INDIRECT($B$5&amp;"生成成长"),4))/(VLOOKUP(DE$72,INDIRECT($C$5&amp;"生成成长"),5))*(VLOOKUP($B$5,标准坦克设计!$B$24:$U$30,MATCH("对"&amp;LEFT($C$5,2)&amp;"输出",标准坦克设计!$B$23:$U$23,0)))*(VLOOKUP($B177,INDIRECT($B$5&amp;"生成成长"),3))*(VLOOKUP($B$5,标准坦克设计!$B$14:$K$20,9)/30))</f>
        <v>9.7554905730119188</v>
      </c>
      <c r="DF177" s="172">
        <f ca="1">(VLOOKUP(DF$72,INDIRECT($C$5&amp;"生成成长"),2))/((VLOOKUP($B177,INDIRECT($B$5&amp;"生成成长"),4))/(VLOOKUP(DF$72,INDIRECT($C$5&amp;"生成成长"),5))*(VLOOKUP($B$5,标准坦克设计!$B$24:$U$30,MATCH("对"&amp;LEFT($C$5,2)&amp;"输出",标准坦克设计!$B$23:$U$23,0)))*(VLOOKUP($B177,INDIRECT($B$5&amp;"生成成长"),3))*(VLOOKUP($B$5,标准坦克设计!$B$14:$K$20,9)/30))</f>
        <v>10.318193562421291</v>
      </c>
      <c r="DG177" s="172">
        <f ca="1">(VLOOKUP(DG$72,INDIRECT($C$5&amp;"生成成长"),2))/((VLOOKUP($B177,INDIRECT($B$5&amp;"生成成长"),4))/(VLOOKUP(DG$72,INDIRECT($C$5&amp;"生成成长"),5))*(VLOOKUP($B$5,标准坦克设计!$B$24:$U$30,MATCH("对"&amp;LEFT($C$5,2)&amp;"输出",标准坦克设计!$B$23:$U$23,0)))*(VLOOKUP($B177,INDIRECT($B$5&amp;"生成成长"),3))*(VLOOKUP($B$5,标准坦克设计!$B$14:$K$20,9)/30))</f>
        <v>10.896673271159896</v>
      </c>
      <c r="DH177" s="172">
        <f ca="1">(VLOOKUP(DH$72,INDIRECT($C$5&amp;"生成成长"),2))/((VLOOKUP($B177,INDIRECT($B$5&amp;"生成成长"),4))/(VLOOKUP(DH$72,INDIRECT($C$5&amp;"生成成长"),5))*(VLOOKUP($B$5,标准坦克设计!$B$24:$U$30,MATCH("对"&amp;LEFT($C$5,2)&amp;"输出",标准坦克设计!$B$23:$U$23,0)))*(VLOOKUP($B177,INDIRECT($B$5&amp;"生成成长"),3))*(VLOOKUP($B$5,标准坦克设计!$B$14:$K$20,9)/30))</f>
        <v>11.490929699227737</v>
      </c>
      <c r="DI177" s="172">
        <f ca="1">(VLOOKUP(DI$72,INDIRECT($C$5&amp;"生成成长"),2))/((VLOOKUP($B177,INDIRECT($B$5&amp;"生成成长"),4))/(VLOOKUP(DI$72,INDIRECT($C$5&amp;"生成成长"),5))*(VLOOKUP($B$5,标准坦克设计!$B$24:$U$30,MATCH("对"&amp;LEFT($C$5,2)&amp;"输出",标准坦克设计!$B$23:$U$23,0)))*(VLOOKUP($B177,INDIRECT($B$5&amp;"生成成长"),3))*(VLOOKUP($B$5,标准坦克设计!$B$14:$K$20,9)/30))</f>
        <v>12.100962846624814</v>
      </c>
      <c r="DJ177" s="172">
        <f ca="1">(VLOOKUP(DJ$72,INDIRECT($C$5&amp;"生成成长"),2))/((VLOOKUP($B177,INDIRECT($B$5&amp;"生成成长"),4))/(VLOOKUP(DJ$72,INDIRECT($C$5&amp;"生成成长"),5))*(VLOOKUP($B$5,标准坦克设计!$B$24:$U$30,MATCH("对"&amp;LEFT($C$5,2)&amp;"输出",标准坦克设计!$B$23:$U$23,0)))*(VLOOKUP($B177,INDIRECT($B$5&amp;"生成成长"),3))*(VLOOKUP($B$5,标准坦克设计!$B$14:$K$20,9)/30))</f>
        <v>1.2161768952372907</v>
      </c>
      <c r="DK177" s="172">
        <f ca="1">(VLOOKUP(DK$72,INDIRECT($C$5&amp;"生成成长"),2))/((VLOOKUP($B177,INDIRECT($B$5&amp;"生成成长"),4))/(VLOOKUP(DK$72,INDIRECT($C$5&amp;"生成成长"),5))*(VLOOKUP($B$5,标准坦克设计!$B$24:$U$30,MATCH("对"&amp;LEFT($C$5,2)&amp;"输出",标准坦克设计!$B$23:$U$23,0)))*(VLOOKUP($B177,INDIRECT($B$5&amp;"生成成长"),3))*(VLOOKUP($B$5,标准坦克设计!$B$14:$K$20,9)/30))</f>
        <v>1.3675347963021358</v>
      </c>
      <c r="DL177" s="172">
        <f ca="1">(VLOOKUP(DL$72,INDIRECT($C$5&amp;"生成成长"),2))/((VLOOKUP($B177,INDIRECT($B$5&amp;"生成成长"),4))/(VLOOKUP(DL$72,INDIRECT($C$5&amp;"生成成长"),5))*(VLOOKUP($B$5,标准坦克设计!$B$24:$U$30,MATCH("对"&amp;LEFT($C$5,2)&amp;"输出",标准坦克设计!$B$23:$U$23,0)))*(VLOOKUP($B177,INDIRECT($B$5&amp;"生成成长"),3))*(VLOOKUP($B$5,标准坦克设计!$B$14:$K$20,9)/30))</f>
        <v>1.5277671019896757</v>
      </c>
      <c r="DM177" s="172">
        <f ca="1">(VLOOKUP(DM$72,INDIRECT($C$5&amp;"生成成长"),2))/((VLOOKUP($B177,INDIRECT($B$5&amp;"生成成长"),4))/(VLOOKUP(DM$72,INDIRECT($C$5&amp;"生成成长"),5))*(VLOOKUP($B$5,标准坦克设计!$B$24:$U$30,MATCH("对"&amp;LEFT($C$5,2)&amp;"输出",标准坦克设计!$B$23:$U$23,0)))*(VLOOKUP($B177,INDIRECT($B$5&amp;"生成成长"),3))*(VLOOKUP($B$5,标准坦克设计!$B$14:$K$20,9)/30))</f>
        <v>1.6968738122999101</v>
      </c>
      <c r="DN177" s="172">
        <f ca="1">(VLOOKUP(DN$72,INDIRECT($C$5&amp;"生成成长"),2))/((VLOOKUP($B177,INDIRECT($B$5&amp;"生成成长"),4))/(VLOOKUP(DN$72,INDIRECT($C$5&amp;"生成成长"),5))*(VLOOKUP($B$5,标准坦克设计!$B$24:$U$30,MATCH("对"&amp;LEFT($C$5,2)&amp;"输出",标准坦克设计!$B$23:$U$23,0)))*(VLOOKUP($B177,INDIRECT($B$5&amp;"生成成长"),3))*(VLOOKUP($B$5,标准坦克设计!$B$14:$K$20,9)/30))</f>
        <v>1.8748549272328394</v>
      </c>
      <c r="DO177" s="172">
        <f ca="1">(VLOOKUP(DO$72,INDIRECT($C$5&amp;"生成成长"),2))/((VLOOKUP($B177,INDIRECT($B$5&amp;"生成成长"),4))/(VLOOKUP(DO$72,INDIRECT($C$5&amp;"生成成长"),5))*(VLOOKUP($B$5,标准坦克设计!$B$24:$U$30,MATCH("对"&amp;LEFT($C$5,2)&amp;"输出",标准坦克设计!$B$23:$U$23,0)))*(VLOOKUP($B177,INDIRECT($B$5&amp;"生成成长"),3))*(VLOOKUP($B$5,标准坦克设计!$B$14:$K$20,9)/30))</f>
        <v>2.0617104467884628</v>
      </c>
      <c r="DP177" s="172">
        <f ca="1">(VLOOKUP(DP$72,INDIRECT($C$5&amp;"生成成长"),2))/((VLOOKUP($B177,INDIRECT($B$5&amp;"生成成长"),4))/(VLOOKUP(DP$72,INDIRECT($C$5&amp;"生成成长"),5))*(VLOOKUP($B$5,标准坦克设计!$B$24:$U$30,MATCH("对"&amp;LEFT($C$5,2)&amp;"输出",标准坦克设计!$B$23:$U$23,0)))*(VLOOKUP($B177,INDIRECT($B$5&amp;"生成成长"),3))*(VLOOKUP($B$5,标准坦克设计!$B$14:$K$20,9)/30))</f>
        <v>2.2574403709667807</v>
      </c>
      <c r="DQ177" s="172">
        <f ca="1">(VLOOKUP(DQ$72,INDIRECT($C$5&amp;"生成成长"),2))/((VLOOKUP($B177,INDIRECT($B$5&amp;"生成成长"),4))/(VLOOKUP(DQ$72,INDIRECT($C$5&amp;"生成成长"),5))*(VLOOKUP($B$5,标准坦克设计!$B$24:$U$30,MATCH("对"&amp;LEFT($C$5,2)&amp;"输出",标准坦克设计!$B$23:$U$23,0)))*(VLOOKUP($B177,INDIRECT($B$5&amp;"生成成长"),3))*(VLOOKUP($B$5,标准坦克设计!$B$14:$K$20,9)/30))</f>
        <v>2.4620446997677936</v>
      </c>
      <c r="DR177" s="172">
        <f ca="1">(VLOOKUP(DR$72,INDIRECT($C$5&amp;"生成成长"),2))/((VLOOKUP($B177,INDIRECT($B$5&amp;"生成成长"),4))/(VLOOKUP(DR$72,INDIRECT($C$5&amp;"生成成长"),5))*(VLOOKUP($B$5,标准坦克设计!$B$24:$U$30,MATCH("对"&amp;LEFT($C$5,2)&amp;"输出",标准坦克设计!$B$23:$U$23,0)))*(VLOOKUP($B177,INDIRECT($B$5&amp;"生成成长"),3))*(VLOOKUP($B$5,标准坦克设计!$B$14:$K$20,9)/30))</f>
        <v>2.6755234331915005</v>
      </c>
      <c r="DS177" s="172">
        <f ca="1">(VLOOKUP(DS$72,INDIRECT($C$5&amp;"生成成长"),2))/((VLOOKUP($B177,INDIRECT($B$5&amp;"生成成长"),4))/(VLOOKUP(DS$72,INDIRECT($C$5&amp;"生成成长"),5))*(VLOOKUP($B$5,标准坦克设计!$B$24:$U$30,MATCH("对"&amp;LEFT($C$5,2)&amp;"输出",标准坦克设计!$B$23:$U$23,0)))*(VLOOKUP($B177,INDIRECT($B$5&amp;"生成成长"),3))*(VLOOKUP($B$5,标准坦克设计!$B$14:$K$20,9)/30))</f>
        <v>2.897876571237902</v>
      </c>
      <c r="DT177" s="172">
        <f ca="1">(VLOOKUP(DT$72,INDIRECT($C$5&amp;"生成成长"),2))/((VLOOKUP($B177,INDIRECT($B$5&amp;"生成成长"),4))/(VLOOKUP(DT$72,INDIRECT($C$5&amp;"生成成长"),5))*(VLOOKUP($B$5,标准坦克设计!$B$24:$U$30,MATCH("对"&amp;LEFT($C$5,2)&amp;"输出",标准坦克设计!$B$23:$U$23,0)))*(VLOOKUP($B177,INDIRECT($B$5&amp;"生成成长"),3))*(VLOOKUP($B$5,标准坦克设计!$B$14:$K$20,9)/30))</f>
        <v>3.1816931783377806</v>
      </c>
      <c r="DU177" s="172">
        <f ca="1">(VLOOKUP(DU$72,INDIRECT($C$5&amp;"生成成长"),2))/((VLOOKUP($B177,INDIRECT($B$5&amp;"生成成长"),4))/(VLOOKUP(DU$72,INDIRECT($C$5&amp;"生成成长"),5))*(VLOOKUP($B$5,标准坦克设计!$B$24:$U$30,MATCH("对"&amp;LEFT($C$5,2)&amp;"输出",标准坦克设计!$B$23:$U$23,0)))*(VLOOKUP($B177,INDIRECT($B$5&amp;"生成成长"),3))*(VLOOKUP($B$5,标准坦克设计!$B$14:$K$20,9)/30))</f>
        <v>3.4787666120962522</v>
      </c>
      <c r="DV177" s="172">
        <f ca="1">(VLOOKUP(DV$72,INDIRECT($C$5&amp;"生成成长"),2))/((VLOOKUP($B177,INDIRECT($B$5&amp;"生成成长"),4))/(VLOOKUP(DV$72,INDIRECT($C$5&amp;"生成成长"),5))*(VLOOKUP($B$5,标准坦克设计!$B$24:$U$30,MATCH("对"&amp;LEFT($C$5,2)&amp;"输出",标准坦克设计!$B$23:$U$23,0)))*(VLOOKUP($B177,INDIRECT($B$5&amp;"生成成长"),3))*(VLOOKUP($B$5,标准坦克设计!$B$14:$K$20,9)/30))</f>
        <v>3.7890968725133165</v>
      </c>
      <c r="DW177" s="172">
        <f ca="1">(VLOOKUP(DW$72,INDIRECT($C$5&amp;"生成成长"),2))/((VLOOKUP($B177,INDIRECT($B$5&amp;"生成成长"),4))/(VLOOKUP(DW$72,INDIRECT($C$5&amp;"生成成长"),5))*(VLOOKUP($B$5,标准坦克设计!$B$24:$U$30,MATCH("对"&amp;LEFT($C$5,2)&amp;"输出",标准坦克设计!$B$23:$U$23,0)))*(VLOOKUP($B177,INDIRECT($B$5&amp;"生成成长"),3))*(VLOOKUP($B$5,标准坦克设计!$B$14:$K$20,9)/30))</f>
        <v>4.1126839595889741</v>
      </c>
      <c r="DX177" s="172">
        <f ca="1">(VLOOKUP(DX$72,INDIRECT($C$5&amp;"生成成长"),2))/((VLOOKUP($B177,INDIRECT($B$5&amp;"生成成长"),4))/(VLOOKUP(DX$72,INDIRECT($C$5&amp;"生成成长"),5))*(VLOOKUP($B$5,标准坦克设计!$B$24:$U$30,MATCH("对"&amp;LEFT($C$5,2)&amp;"输出",标准坦克设计!$B$23:$U$23,0)))*(VLOOKUP($B177,INDIRECT($B$5&amp;"生成成长"),3))*(VLOOKUP($B$5,标准坦克设计!$B$14:$K$20,9)/30))</f>
        <v>4.4495278733232251</v>
      </c>
      <c r="DY177" s="172">
        <f ca="1">(VLOOKUP(DY$72,INDIRECT($C$5&amp;"生成成长"),2))/((VLOOKUP($B177,INDIRECT($B$5&amp;"生成成长"),4))/(VLOOKUP(DY$72,INDIRECT($C$5&amp;"生成成长"),5))*(VLOOKUP($B$5,标准坦克设计!$B$24:$U$30,MATCH("对"&amp;LEFT($C$5,2)&amp;"输出",标准坦克设计!$B$23:$U$23,0)))*(VLOOKUP($B177,INDIRECT($B$5&amp;"生成成长"),3))*(VLOOKUP($B$5,标准坦克设计!$B$14:$K$20,9)/30))</f>
        <v>1.998439228645178</v>
      </c>
      <c r="DZ177" s="172">
        <f ca="1">(VLOOKUP(DZ$72,INDIRECT($C$5&amp;"生成成长"),2))/((VLOOKUP($B177,INDIRECT($B$5&amp;"生成成长"),4))/(VLOOKUP(DZ$72,INDIRECT($C$5&amp;"生成成长"),5))*(VLOOKUP($B$5,标准坦克设计!$B$24:$U$30,MATCH("对"&amp;LEFT($C$5,2)&amp;"输出",标准坦克设计!$B$23:$U$23,0)))*(VLOOKUP($B177,INDIRECT($B$5&amp;"生成成长"),3))*(VLOOKUP($B$5,标准坦克设计!$B$14:$K$20,9)/30))</f>
        <v>2.2131779084042056</v>
      </c>
      <c r="EA177" s="172">
        <f ca="1">(VLOOKUP(EA$72,INDIRECT($C$5&amp;"生成成长"),2))/((VLOOKUP($B177,INDIRECT($B$5&amp;"生成成长"),4))/(VLOOKUP(EA$72,INDIRECT($C$5&amp;"生成成长"),5))*(VLOOKUP($B$5,标准坦克设计!$B$24:$U$30,MATCH("对"&amp;LEFT($C$5,2)&amp;"输出",标准坦克设计!$B$23:$U$23,0)))*(VLOOKUP($B177,INDIRECT($B$5&amp;"生成成长"),3))*(VLOOKUP($B$5,标准坦克设计!$B$14:$K$20,9)/30))</f>
        <v>2.4388726432529797</v>
      </c>
      <c r="EB177" s="172">
        <f ca="1">(VLOOKUP(EB$72,INDIRECT($C$5&amp;"生成成长"),2))/((VLOOKUP($B177,INDIRECT($B$5&amp;"生成成长"),4))/(VLOOKUP(EB$72,INDIRECT($C$5&amp;"生成成长"),5))*(VLOOKUP($B$5,标准坦克设计!$B$24:$U$30,MATCH("对"&amp;LEFT($C$5,2)&amp;"输出",标准坦克设计!$B$23:$U$23,0)))*(VLOOKUP($B177,INDIRECT($B$5&amp;"生成成长"),3))*(VLOOKUP($B$5,标准坦克设计!$B$14:$K$20,9)/30))</f>
        <v>2.6755234331915005</v>
      </c>
      <c r="EC177" s="172">
        <f ca="1">(VLOOKUP(EC$72,INDIRECT($C$5&amp;"生成成长"),2))/((VLOOKUP($B177,INDIRECT($B$5&amp;"生成成长"),4))/(VLOOKUP(EC$72,INDIRECT($C$5&amp;"生成成长"),5))*(VLOOKUP($B$5,标准坦克设计!$B$24:$U$30,MATCH("对"&amp;LEFT($C$5,2)&amp;"输出",标准坦克设计!$B$23:$U$23,0)))*(VLOOKUP($B177,INDIRECT($B$5&amp;"生成成长"),3))*(VLOOKUP($B$5,标准坦克设计!$B$14:$K$20,9)/30))</f>
        <v>2.9231302782197677</v>
      </c>
      <c r="ED177" s="172">
        <f ca="1">(VLOOKUP(ED$72,INDIRECT($C$5&amp;"生成成长"),2))/((VLOOKUP($B177,INDIRECT($B$5&amp;"生成成长"),4))/(VLOOKUP(ED$72,INDIRECT($C$5&amp;"生成成长"),5))*(VLOOKUP($B$5,标准坦克设计!$B$24:$U$30,MATCH("对"&amp;LEFT($C$5,2)&amp;"输出",标准坦克设计!$B$23:$U$23,0)))*(VLOOKUP($B177,INDIRECT($B$5&amp;"生成成长"),3))*(VLOOKUP($B$5,标准坦克设计!$B$14:$K$20,9)/30))</f>
        <v>3.1816931783377806</v>
      </c>
      <c r="EE177" s="172">
        <f ca="1">(VLOOKUP(EE$72,INDIRECT($C$5&amp;"生成成长"),2))/((VLOOKUP($B177,INDIRECT($B$5&amp;"生成成长"),4))/(VLOOKUP(EE$72,INDIRECT($C$5&amp;"生成成长"),5))*(VLOOKUP($B$5,标准坦克设计!$B$24:$U$30,MATCH("对"&amp;LEFT($C$5,2)&amp;"输出",标准坦克设计!$B$23:$U$23,0)))*(VLOOKUP($B177,INDIRECT($B$5&amp;"生成成长"),3))*(VLOOKUP($B$5,标准坦克设计!$B$14:$K$20,9)/30))</f>
        <v>3.4512121335455408</v>
      </c>
      <c r="EF177" s="172">
        <f ca="1">(VLOOKUP(EF$72,INDIRECT($C$5&amp;"生成成长"),2))/((VLOOKUP($B177,INDIRECT($B$5&amp;"生成成长"),4))/(VLOOKUP(EF$72,INDIRECT($C$5&amp;"生成成长"),5))*(VLOOKUP($B$5,标准坦克设计!$B$24:$U$30,MATCH("对"&amp;LEFT($C$5,2)&amp;"输出",标准坦克设计!$B$23:$U$23,0)))*(VLOOKUP($B177,INDIRECT($B$5&amp;"生成成长"),3))*(VLOOKUP($B$5,标准坦克设计!$B$14:$K$20,9)/30))</f>
        <v>3.7316871438430459</v>
      </c>
      <c r="EG177" s="172">
        <f ca="1">(VLOOKUP(EG$72,INDIRECT($C$5&amp;"生成成长"),2))/((VLOOKUP($B177,INDIRECT($B$5&amp;"生成成长"),4))/(VLOOKUP(EG$72,INDIRECT($C$5&amp;"生成成长"),5))*(VLOOKUP($B$5,标准坦克设计!$B$24:$U$30,MATCH("对"&amp;LEFT($C$5,2)&amp;"输出",标准坦克设计!$B$23:$U$23,0)))*(VLOOKUP($B177,INDIRECT($B$5&amp;"生成成长"),3))*(VLOOKUP($B$5,标准坦克设计!$B$14:$K$20,9)/30))</f>
        <v>4.0231182092302973</v>
      </c>
      <c r="EH177" s="172">
        <f ca="1">(VLOOKUP(EH$72,INDIRECT($C$5&amp;"生成成长"),2))/((VLOOKUP($B177,INDIRECT($B$5&amp;"生成成长"),4))/(VLOOKUP(EH$72,INDIRECT($C$5&amp;"生成成长"),5))*(VLOOKUP($B$5,标准坦克设计!$B$24:$U$30,MATCH("对"&amp;LEFT($C$5,2)&amp;"输出",标准坦克设计!$B$23:$U$23,0)))*(VLOOKUP($B177,INDIRECT($B$5&amp;"生成成长"),3))*(VLOOKUP($B$5,标准坦克设计!$B$14:$K$20,9)/30))</f>
        <v>4.3255053297072958</v>
      </c>
      <c r="EI177" s="172">
        <f ca="1">(VLOOKUP(EI$72,INDIRECT($C$5&amp;"生成成长"),2))/((VLOOKUP($B177,INDIRECT($B$5&amp;"生成成长"),4))/(VLOOKUP(EI$72,INDIRECT($C$5&amp;"生成成长"),5))*(VLOOKUP($B$5,标准坦克设计!$B$24:$U$30,MATCH("对"&amp;LEFT($C$5,2)&amp;"输出",标准坦克设计!$B$23:$U$23,0)))*(VLOOKUP($B177,INDIRECT($B$5&amp;"生成成长"),3))*(VLOOKUP($B$5,标准坦克设计!$B$14:$K$20,9)/30))</f>
        <v>4.6388485052740416</v>
      </c>
      <c r="EJ177" s="172">
        <f ca="1">(VLOOKUP(EJ$72,INDIRECT($C$5&amp;"生成成长"),2))/((VLOOKUP($B177,INDIRECT($B$5&amp;"生成成长"),4))/(VLOOKUP(EJ$72,INDIRECT($C$5&amp;"生成成长"),5))*(VLOOKUP($B$5,标准坦克设计!$B$24:$U$30,MATCH("对"&amp;LEFT($C$5,2)&amp;"输出",标准坦克设计!$B$23:$U$23,0)))*(VLOOKUP($B177,INDIRECT($B$5&amp;"生成成长"),3))*(VLOOKUP($B$5,标准坦克设计!$B$14:$K$20,9)/30))</f>
        <v>4.9631477359305327</v>
      </c>
      <c r="EK177" s="172">
        <f ca="1">(VLOOKUP(EK$72,INDIRECT($C$5&amp;"生成成长"),2))/((VLOOKUP($B177,INDIRECT($B$5&amp;"生成成长"),4))/(VLOOKUP(EK$72,INDIRECT($C$5&amp;"生成成长"),5))*(VLOOKUP($B$5,标准坦克设计!$B$24:$U$30,MATCH("对"&amp;LEFT($C$5,2)&amp;"输出",标准坦克设计!$B$23:$U$23,0)))*(VLOOKUP($B177,INDIRECT($B$5&amp;"生成成长"),3))*(VLOOKUP($B$5,标准坦克设计!$B$14:$K$20,9)/30))</f>
        <v>5.366768805436787</v>
      </c>
      <c r="EL177" s="172">
        <f ca="1">(VLOOKUP(EL$72,INDIRECT($C$5&amp;"生成成长"),2))/((VLOOKUP($B177,INDIRECT($B$5&amp;"生成成长"),4))/(VLOOKUP(EL$72,INDIRECT($C$5&amp;"生成成长"),5))*(VLOOKUP($B$5,标准坦克设计!$B$24:$U$30,MATCH("对"&amp;LEFT($C$5,2)&amp;"输出",标准坦克设计!$B$23:$U$23,0)))*(VLOOKUP($B177,INDIRECT($B$5&amp;"生成成长"),3))*(VLOOKUP($B$5,标准坦克设计!$B$14:$K$20,9)/30))</f>
        <v>5.7861665942722755</v>
      </c>
      <c r="EM177" s="172">
        <f ca="1">(VLOOKUP(EM$72,INDIRECT($C$5&amp;"生成成长"),2))/((VLOOKUP($B177,INDIRECT($B$5&amp;"生成成长"),4))/(VLOOKUP(EM$72,INDIRECT($C$5&amp;"生成成长"),5))*(VLOOKUP($B$5,标准坦克设计!$B$24:$U$30,MATCH("对"&amp;LEFT($C$5,2)&amp;"输出",标准坦克设计!$B$23:$U$23,0)))*(VLOOKUP($B177,INDIRECT($B$5&amp;"生成成长"),3))*(VLOOKUP($B$5,标准坦克设计!$B$14:$K$20,9)/30))</f>
        <v>6.221341102437</v>
      </c>
      <c r="EN177" s="172">
        <f ca="1">(VLOOKUP(EN$72,INDIRECT($C$5&amp;"生成成长"),2))/((VLOOKUP($B177,INDIRECT($B$5&amp;"生成成长"),4))/(VLOOKUP(EN$72,INDIRECT($C$5&amp;"生成成长"),5))*(VLOOKUP($B$5,标准坦克设计!$B$24:$U$30,MATCH("对"&amp;LEFT($C$5,2)&amp;"输出",标准坦克设计!$B$23:$U$23,0)))*(VLOOKUP($B177,INDIRECT($B$5&amp;"生成成长"),3))*(VLOOKUP($B$5,标准坦克设计!$B$14:$K$20,9)/30))</f>
        <v>6.6722923299309587</v>
      </c>
      <c r="EO177" s="172">
        <f ca="1">(VLOOKUP(EO$72,INDIRECT($C$5&amp;"生成成长"),2))/((VLOOKUP($B177,INDIRECT($B$5&amp;"生成成长"),4))/(VLOOKUP(EO$72,INDIRECT($C$5&amp;"生成成长"),5))*(VLOOKUP($B$5,标准坦克设计!$B$24:$U$30,MATCH("对"&amp;LEFT($C$5,2)&amp;"输出",标准坦克设计!$B$23:$U$23,0)))*(VLOOKUP($B177,INDIRECT($B$5&amp;"生成成长"),3))*(VLOOKUP($B$5,标准坦克设计!$B$14:$K$20,9)/30))</f>
        <v>7.1390202767541515</v>
      </c>
      <c r="EP177" s="172">
        <f ca="1">(VLOOKUP(EP$72,INDIRECT($C$5&amp;"生成成长"),2))/((VLOOKUP($B177,INDIRECT($B$5&amp;"生成成长"),4))/(VLOOKUP(EP$72,INDIRECT($C$5&amp;"生成成长"),5))*(VLOOKUP($B$5,标准坦克设计!$B$24:$U$30,MATCH("对"&amp;LEFT($C$5,2)&amp;"输出",标准坦克设计!$B$23:$U$23,0)))*(VLOOKUP($B177,INDIRECT($B$5&amp;"生成成长"),3))*(VLOOKUP($B$5,标准坦克设计!$B$14:$K$20,9)/30))</f>
        <v>7.6215249429065794</v>
      </c>
      <c r="EQ177" s="172">
        <f ca="1">(VLOOKUP(EQ$72,INDIRECT($C$5&amp;"生成成长"),2))/((VLOOKUP($B177,INDIRECT($B$5&amp;"生成成长"),4))/(VLOOKUP(EQ$72,INDIRECT($C$5&amp;"生成成长"),5))*(VLOOKUP($B$5,标准坦克设计!$B$24:$U$30,MATCH("对"&amp;LEFT($C$5,2)&amp;"输出",标准坦克设计!$B$23:$U$23,0)))*(VLOOKUP($B177,INDIRECT($B$5&amp;"生成成长"),3))*(VLOOKUP($B$5,标准坦克设计!$B$14:$K$20,9)/30))</f>
        <v>3.3692060611987893</v>
      </c>
      <c r="ER177" s="172">
        <f ca="1">(VLOOKUP(ER$72,INDIRECT($C$5&amp;"生成成长"),2))/((VLOOKUP($B177,INDIRECT($B$5&amp;"生成成长"),4))/(VLOOKUP(ER$72,INDIRECT($C$5&amp;"生成成长"),5))*(VLOOKUP($B$5,标准坦克设计!$B$24:$U$30,MATCH("对"&amp;LEFT($C$5,2)&amp;"输出",标准坦克设计!$B$23:$U$23,0)))*(VLOOKUP($B177,INDIRECT($B$5&amp;"生成成长"),3))*(VLOOKUP($B$5,标准坦克设计!$B$14:$K$20,9)/30))</f>
        <v>3.6747156573763649</v>
      </c>
      <c r="ES177" s="172">
        <f ca="1">(VLOOKUP(ES$72,INDIRECT($C$5&amp;"生成成长"),2))/((VLOOKUP($B177,INDIRECT($B$5&amp;"生成成长"),4))/(VLOOKUP(ES$72,INDIRECT($C$5&amp;"生成成长"),5))*(VLOOKUP($B$5,标准坦克设计!$B$24:$U$30,MATCH("对"&amp;LEFT($C$5,2)&amp;"输出",标准坦克设计!$B$23:$U$23,0)))*(VLOOKUP($B177,INDIRECT($B$5&amp;"生成成长"),3))*(VLOOKUP($B$5,标准坦克设计!$B$14:$K$20,9)/30))</f>
        <v>3.9934820802125337</v>
      </c>
      <c r="ET177" s="172">
        <f ca="1">(VLOOKUP(ET$72,INDIRECT($C$5&amp;"生成成长"),2))/((VLOOKUP($B177,INDIRECT($B$5&amp;"生成成长"),4))/(VLOOKUP(ET$72,INDIRECT($C$5&amp;"生成成长"),5))*(VLOOKUP($B$5,标准坦克设计!$B$24:$U$30,MATCH("对"&amp;LEFT($C$5,2)&amp;"输出",标准坦克设计!$B$23:$U$23,0)))*(VLOOKUP($B177,INDIRECT($B$5&amp;"生成成长"),3))*(VLOOKUP($B$5,标准坦克设计!$B$14:$K$20,9)/30))</f>
        <v>4.3255053297072958</v>
      </c>
      <c r="EU177" s="172">
        <f ca="1">(VLOOKUP(EU$72,INDIRECT($C$5&amp;"生成成长"),2))/((VLOOKUP($B177,INDIRECT($B$5&amp;"生成成长"),4))/(VLOOKUP(EU$72,INDIRECT($C$5&amp;"生成成长"),5))*(VLOOKUP($B$5,标准坦克设计!$B$24:$U$30,MATCH("对"&amp;LEFT($C$5,2)&amp;"输出",标准坦克设计!$B$23:$U$23,0)))*(VLOOKUP($B177,INDIRECT($B$5&amp;"生成成长"),3))*(VLOOKUP($B$5,标准坦克设计!$B$14:$K$20,9)/30))</f>
        <v>4.6707854058606522</v>
      </c>
      <c r="EV177" s="172">
        <f ca="1">(VLOOKUP(EV$72,INDIRECT($C$5&amp;"生成成长"),2))/((VLOOKUP($B177,INDIRECT($B$5&amp;"生成成长"),4))/(VLOOKUP(EV$72,INDIRECT($C$5&amp;"生成成长"),5))*(VLOOKUP($B$5,标准坦克设计!$B$24:$U$30,MATCH("对"&amp;LEFT($C$5,2)&amp;"输出",标准坦克设计!$B$23:$U$23,0)))*(VLOOKUP($B177,INDIRECT($B$5&amp;"生成成长"),3))*(VLOOKUP($B$5,标准坦克设计!$B$14:$K$20,9)/30))</f>
        <v>5.0293223086726</v>
      </c>
      <c r="EW177" s="172">
        <f ca="1">(VLOOKUP(EW$72,INDIRECT($C$5&amp;"生成成长"),2))/((VLOOKUP($B177,INDIRECT($B$5&amp;"生成成长"),4))/(VLOOKUP(EW$72,INDIRECT($C$5&amp;"生成成长"),5))*(VLOOKUP($B$5,标准坦克设计!$B$24:$U$30,MATCH("对"&amp;LEFT($C$5,2)&amp;"输出",标准坦克设计!$B$23:$U$23,0)))*(VLOOKUP($B177,INDIRECT($B$5&amp;"生成成长"),3))*(VLOOKUP($B$5,标准坦克设计!$B$14:$K$20,9)/30))</f>
        <v>5.4011160381431411</v>
      </c>
      <c r="EX177" s="172">
        <f ca="1">(VLOOKUP(EX$72,INDIRECT($C$5&amp;"生成成长"),2))/((VLOOKUP($B177,INDIRECT($B$5&amp;"生成成长"),4))/(VLOOKUP(EX$72,INDIRECT($C$5&amp;"生成成长"),5))*(VLOOKUP($B$5,标准坦克设计!$B$24:$U$30,MATCH("对"&amp;LEFT($C$5,2)&amp;"输出",标准坦克设计!$B$23:$U$23,0)))*(VLOOKUP($B177,INDIRECT($B$5&amp;"生成成长"),3))*(VLOOKUP($B$5,标准坦克设计!$B$14:$K$20,9)/30))</f>
        <v>5.7861665942722755</v>
      </c>
      <c r="EY177" s="172">
        <f ca="1">(VLOOKUP(EY$72,INDIRECT($C$5&amp;"生成成长"),2))/((VLOOKUP($B177,INDIRECT($B$5&amp;"生成成长"),4))/(VLOOKUP(EY$72,INDIRECT($C$5&amp;"生成成长"),5))*(VLOOKUP($B$5,标准坦克设计!$B$24:$U$30,MATCH("对"&amp;LEFT($C$5,2)&amp;"输出",标准坦克设计!$B$23:$U$23,0)))*(VLOOKUP($B177,INDIRECT($B$5&amp;"生成成长"),3))*(VLOOKUP($B$5,标准坦克设计!$B$14:$K$20,9)/30))</f>
        <v>6.1844739770600041</v>
      </c>
      <c r="EZ177" s="172">
        <f ca="1">(VLOOKUP(EZ$72,INDIRECT($C$5&amp;"生成成长"),2))/((VLOOKUP($B177,INDIRECT($B$5&amp;"生成成长"),4))/(VLOOKUP(EZ$72,INDIRECT($C$5&amp;"生成成长"),5))*(VLOOKUP($B$5,标准坦克设计!$B$24:$U$30,MATCH("对"&amp;LEFT($C$5,2)&amp;"输出",标准坦克设计!$B$23:$U$23,0)))*(VLOOKUP($B177,INDIRECT($B$5&amp;"生成成长"),3))*(VLOOKUP($B$5,标准坦克设计!$B$14:$K$20,9)/30))</f>
        <v>6.5960381865063242</v>
      </c>
      <c r="FA177" s="172">
        <f ca="1">(VLOOKUP(FA$72,INDIRECT($C$5&amp;"生成成长"),2))/((VLOOKUP($B177,INDIRECT($B$5&amp;"生成成长"),4))/(VLOOKUP(FA$72,INDIRECT($C$5&amp;"生成成长"),5))*(VLOOKUP($B$5,标准坦克设计!$B$24:$U$30,MATCH("对"&amp;LEFT($C$5,2)&amp;"输出",标准坦克设计!$B$23:$U$23,0)))*(VLOOKUP($B177,INDIRECT($B$5&amp;"生成成长"),3))*(VLOOKUP($B$5,标准坦克设计!$B$14:$K$20,9)/30))</f>
        <v>7.0208592226112367</v>
      </c>
      <c r="FB177" s="172">
        <f ca="1">(VLOOKUP(FB$72,INDIRECT($C$5&amp;"生成成长"),2))/((VLOOKUP($B177,INDIRECT($B$5&amp;"生成成长"),4))/(VLOOKUP(FB$72,INDIRECT($C$5&amp;"生成成长"),5))*(VLOOKUP($B$5,标准坦克设计!$B$24:$U$30,MATCH("对"&amp;LEFT($C$5,2)&amp;"输出",标准坦克设计!$B$23:$U$23,0)))*(VLOOKUP($B177,INDIRECT($B$5&amp;"生成成长"),3))*(VLOOKUP($B$5,标准坦克设计!$B$14:$K$20,9)/30))</f>
        <v>7.4589370853747434</v>
      </c>
      <c r="FC177" s="172">
        <f ca="1">(VLOOKUP(FC$72,INDIRECT($C$5&amp;"生成成长"),2))/((VLOOKUP($B177,INDIRECT($B$5&amp;"生成成长"),4))/(VLOOKUP(FC$72,INDIRECT($C$5&amp;"生成成长"),5))*(VLOOKUP($B$5,标准坦克设计!$B$24:$U$30,MATCH("对"&amp;LEFT($C$5,2)&amp;"输出",标准坦克设计!$B$23:$U$23,0)))*(VLOOKUP($B177,INDIRECT($B$5&amp;"生成成长"),3))*(VLOOKUP($B$5,标准坦克设计!$B$14:$K$20,9)/30))</f>
        <v>7.9102717747968452</v>
      </c>
      <c r="FD177" s="172">
        <f ca="1">(VLOOKUP(FD$72,INDIRECT($C$5&amp;"生成成长"),2))/((VLOOKUP($B177,INDIRECT($B$5&amp;"生成成长"),4))/(VLOOKUP(FD$72,INDIRECT($C$5&amp;"生成成长"),5))*(VLOOKUP($B$5,标准坦克设计!$B$24:$U$30,MATCH("对"&amp;LEFT($C$5,2)&amp;"输出",标准坦克设计!$B$23:$U$23,0)))*(VLOOKUP($B177,INDIRECT($B$5&amp;"生成成长"),3))*(VLOOKUP($B$5,标准坦克设计!$B$14:$K$20,9)/30))</f>
        <v>8.3748632908775367</v>
      </c>
      <c r="FE177" s="172">
        <f ca="1">(VLOOKUP(FE$72,INDIRECT($C$5&amp;"生成成长"),2))/((VLOOKUP($B177,INDIRECT($B$5&amp;"生成成长"),4))/(VLOOKUP(FE$72,INDIRECT($C$5&amp;"生成成长"),5))*(VLOOKUP($B$5,标准坦克设计!$B$24:$U$30,MATCH("对"&amp;LEFT($C$5,2)&amp;"输出",标准坦克设计!$B$23:$U$23,0)))*(VLOOKUP($B177,INDIRECT($B$5&amp;"生成成长"),3))*(VLOOKUP($B$5,标准坦克设计!$B$14:$K$20,9)/30))</f>
        <v>8.9410174376401788</v>
      </c>
      <c r="FF177" s="172">
        <f ca="1">(VLOOKUP(FF$72,INDIRECT($C$5&amp;"生成成长"),2))/((VLOOKUP($B177,INDIRECT($B$5&amp;"生成成长"),4))/(VLOOKUP(FF$72,INDIRECT($C$5&amp;"生成成长"),5))*(VLOOKUP($B$5,标准坦克设计!$B$24:$U$30,MATCH("对"&amp;LEFT($C$5,2)&amp;"输出",标准坦克设计!$B$23:$U$23,0)))*(VLOOKUP($B177,INDIRECT($B$5&amp;"生成成长"),3))*(VLOOKUP($B$5,标准坦克设计!$B$14:$K$20,9)/30))</f>
        <v>9.5256873175044916</v>
      </c>
      <c r="FG177" s="172">
        <f ca="1">(VLOOKUP(FG$72,INDIRECT($C$5&amp;"生成成长"),2))/((VLOOKUP($B177,INDIRECT($B$5&amp;"生成成长"),4))/(VLOOKUP(FG$72,INDIRECT($C$5&amp;"生成成长"),5))*(VLOOKUP($B$5,标准坦克设计!$B$24:$U$30,MATCH("对"&amp;LEFT($C$5,2)&amp;"输出",标准坦克设计!$B$23:$U$23,0)))*(VLOOKUP($B177,INDIRECT($B$5&amp;"生成成长"),3))*(VLOOKUP($B$5,标准坦克设计!$B$14:$K$20,9)/30))</f>
        <v>10.128872930470473</v>
      </c>
      <c r="FH177" s="172">
        <f ca="1">(VLOOKUP(FH$72,INDIRECT($C$5&amp;"生成成长"),2))/((VLOOKUP($B177,INDIRECT($B$5&amp;"生成成长"),4))/(VLOOKUP(FH$72,INDIRECT($C$5&amp;"生成成长"),5))*(VLOOKUP($B$5,标准坦克设计!$B$24:$U$30,MATCH("对"&amp;LEFT($C$5,2)&amp;"输出",标准坦克设计!$B$23:$U$23,0)))*(VLOOKUP($B177,INDIRECT($B$5&amp;"生成成长"),3))*(VLOOKUP($B$5,标准坦克设计!$B$14:$K$20,9)/30))</f>
        <v>10.750574276538131</v>
      </c>
      <c r="FI177" s="172">
        <f ca="1">(VLOOKUP(FI$72,INDIRECT($C$5&amp;"生成成长"),2))/((VLOOKUP($B177,INDIRECT($B$5&amp;"生成成长"),4))/(VLOOKUP(FI$72,INDIRECT($C$5&amp;"生成成长"),5))*(VLOOKUP($B$5,标准坦克设计!$B$24:$U$30,MATCH("对"&amp;LEFT($C$5,2)&amp;"输出",标准坦克设计!$B$23:$U$23,0)))*(VLOOKUP($B177,INDIRECT($B$5&amp;"生成成长"),3))*(VLOOKUP($B$5,标准坦克设计!$B$14:$K$20,9)/30))</f>
        <v>11.390791355707456</v>
      </c>
      <c r="FJ177" s="172">
        <f ca="1">(VLOOKUP(FJ$72,INDIRECT($C$5&amp;"生成成长"),2))/((VLOOKUP($B177,INDIRECT($B$5&amp;"生成成长"),4))/(VLOOKUP(FJ$72,INDIRECT($C$5&amp;"生成成长"),5))*(VLOOKUP($B$5,标准坦克设计!$B$24:$U$30,MATCH("对"&amp;LEFT($C$5,2)&amp;"输出",标准坦克设计!$B$23:$U$23,0)))*(VLOOKUP($B177,INDIRECT($B$5&amp;"生成成长"),3))*(VLOOKUP($B$5,标准坦克设计!$B$14:$K$20,9)/30))</f>
        <v>12.049524167978454</v>
      </c>
      <c r="FK177" s="172">
        <f ca="1">(VLOOKUP(FK$72,INDIRECT($C$5&amp;"生成成长"),2))/((VLOOKUP($B177,INDIRECT($B$5&amp;"生成成长"),4))/(VLOOKUP(FK$72,INDIRECT($C$5&amp;"生成成长"),5))*(VLOOKUP($B$5,标准坦克设计!$B$24:$U$30,MATCH("对"&amp;LEFT($C$5,2)&amp;"输出",标准坦克设计!$B$23:$U$23,0)))*(VLOOKUP($B177,INDIRECT($B$5&amp;"生成成长"),3))*(VLOOKUP($B$5,标准坦克设计!$B$14:$K$20,9)/30))</f>
        <v>12.726772713351123</v>
      </c>
    </row>
    <row r="178" spans="1:167" x14ac:dyDescent="0.15">
      <c r="A178" s="170" t="str">
        <f t="shared" si="12"/>
        <v>T5中品质16级</v>
      </c>
      <c r="B178" s="171">
        <v>20516</v>
      </c>
      <c r="C178" s="172">
        <f ca="1">(VLOOKUP(C$72,INDIRECT($C$5&amp;"生成成长"),2))/((VLOOKUP($B178,INDIRECT($B$5&amp;"生成成长"),4))/(VLOOKUP(C$72,INDIRECT($C$5&amp;"生成成长"),5))*(VLOOKUP($B$5,标准坦克设计!$B$24:$U$30,MATCH("对"&amp;LEFT($C$5,2)&amp;"输出",标准坦克设计!$B$23:$U$23,0)))*(VLOOKUP($B178,INDIRECT($B$5&amp;"生成成长"),3))*(VLOOKUP($B$5,标准坦克设计!$B$14:$K$20,9)/30))</f>
        <v>0.51538444841797737</v>
      </c>
      <c r="D178" s="172">
        <f ca="1">(VLOOKUP(D$72,INDIRECT($C$5&amp;"生成成长"),2))/((VLOOKUP($B178,INDIRECT($B$5&amp;"生成成长"),4))/(VLOOKUP(D$72,INDIRECT($C$5&amp;"生成成长"),5))*(VLOOKUP($B$5,标准坦克设计!$B$24:$U$30,MATCH("对"&amp;LEFT($C$5,2)&amp;"输出",标准坦克设计!$B$23:$U$23,0)))*(VLOOKUP($B178,INDIRECT($B$5&amp;"生成成长"),3))*(VLOOKUP($B$5,标准坦克设计!$B$14:$K$20,9)/30))</f>
        <v>0.57908596624243913</v>
      </c>
      <c r="E178" s="172">
        <f ca="1">(VLOOKUP(E$72,INDIRECT($C$5&amp;"生成成长"),2))/((VLOOKUP($B178,INDIRECT($B$5&amp;"生成成长"),4))/(VLOOKUP(E$72,INDIRECT($C$5&amp;"生成成长"),5))*(VLOOKUP($B$5,标准坦克设计!$B$24:$U$30,MATCH("对"&amp;LEFT($C$5,2)&amp;"输出",标准坦克设计!$B$23:$U$23,0)))*(VLOOKUP($B178,INDIRECT($B$5&amp;"生成成长"),3))*(VLOOKUP($B$5,标准坦克设计!$B$14:$K$20,9)/30))</f>
        <v>0.64649825209551059</v>
      </c>
      <c r="F178" s="172">
        <f ca="1">(VLOOKUP(F$72,INDIRECT($C$5&amp;"生成成长"),2))/((VLOOKUP($B178,INDIRECT($B$5&amp;"生成成长"),4))/(VLOOKUP(F$72,INDIRECT($C$5&amp;"生成成长"),5))*(VLOOKUP($B$5,标准坦克设计!$B$24:$U$30,MATCH("对"&amp;LEFT($C$5,2)&amp;"输出",标准坦克设计!$B$23:$U$23,0)))*(VLOOKUP($B178,INDIRECT($B$5&amp;"生成成长"),3))*(VLOOKUP($B$5,标准坦克设计!$B$14:$K$20,9)/30))</f>
        <v>0.71762130597719143</v>
      </c>
      <c r="G178" s="172">
        <f ca="1">(VLOOKUP(G$72,INDIRECT($C$5&amp;"生成成长"),2))/((VLOOKUP($B178,INDIRECT($B$5&amp;"生成成长"),4))/(VLOOKUP(G$72,INDIRECT($C$5&amp;"生成成长"),5))*(VLOOKUP($B$5,标准坦克设计!$B$24:$U$30,MATCH("对"&amp;LEFT($C$5,2)&amp;"输出",标准坦克设计!$B$23:$U$23,0)))*(VLOOKUP($B178,INDIRECT($B$5&amp;"生成成长"),3))*(VLOOKUP($B$5,标准坦克设计!$B$14:$K$20,9)/30))</f>
        <v>0.79245512788748163</v>
      </c>
      <c r="H178" s="172">
        <f ca="1">(VLOOKUP(H$72,INDIRECT($C$5&amp;"生成成长"),2))/((VLOOKUP($B178,INDIRECT($B$5&amp;"生成成长"),4))/(VLOOKUP(H$72,INDIRECT($C$5&amp;"生成成长"),5))*(VLOOKUP($B$5,标准坦克设计!$B$24:$U$30,MATCH("对"&amp;LEFT($C$5,2)&amp;"输出",标准坦克设计!$B$23:$U$23,0)))*(VLOOKUP($B178,INDIRECT($B$5&amp;"生成成长"),3))*(VLOOKUP($B$5,标准坦克设计!$B$14:$K$20,9)/30))</f>
        <v>0.69350131379123003</v>
      </c>
      <c r="I178" s="172">
        <f ca="1">(VLOOKUP(I$72,INDIRECT($C$5&amp;"生成成长"),2))/((VLOOKUP($B178,INDIRECT($B$5&amp;"生成成长"),4))/(VLOOKUP(I$72,INDIRECT($C$5&amp;"生成成长"),5))*(VLOOKUP($B$5,标准坦克设计!$B$24:$U$30,MATCH("对"&amp;LEFT($C$5,2)&amp;"输出",标准坦克设计!$B$23:$U$23,0)))*(VLOOKUP($B178,INDIRECT($B$5&amp;"生成成长"),3))*(VLOOKUP($B$5,标准坦克设计!$B$14:$K$20,9)/30))</f>
        <v>0.79245512788748163</v>
      </c>
      <c r="J178" s="172">
        <f ca="1">(VLOOKUP(J$72,INDIRECT($C$5&amp;"生成成长"),2))/((VLOOKUP($B178,INDIRECT($B$5&amp;"生成成长"),4))/(VLOOKUP(J$72,INDIRECT($C$5&amp;"生成成长"),5))*(VLOOKUP($B$5,标准坦克设计!$B$24:$U$30,MATCH("对"&amp;LEFT($C$5,2)&amp;"输出",标准坦克设计!$B$23:$U$23,0)))*(VLOOKUP($B178,INDIRECT($B$5&amp;"生成成长"),3))*(VLOOKUP($B$5,标准坦克设计!$B$14:$K$20,9)/30))</f>
        <v>0.89800586292348361</v>
      </c>
      <c r="K178" s="172">
        <f ca="1">(VLOOKUP(K$72,INDIRECT($C$5&amp;"生成成长"),2))/((VLOOKUP($B178,INDIRECT($B$5&amp;"生成成长"),4))/(VLOOKUP(K$72,INDIRECT($C$5&amp;"生成成长"),5))*(VLOOKUP($B$5,标准坦克设计!$B$24:$U$30,MATCH("对"&amp;LEFT($C$5,2)&amp;"输出",标准坦克设计!$B$23:$U$23,0)))*(VLOOKUP($B178,INDIRECT($B$5&amp;"生成成长"),3))*(VLOOKUP($B$5,标准坦克设计!$B$14:$K$20,9)/30))</f>
        <v>1.0101535188992354</v>
      </c>
      <c r="L178" s="172">
        <f ca="1">(VLOOKUP(L$72,INDIRECT($C$5&amp;"生成成长"),2))/((VLOOKUP($B178,INDIRECT($B$5&amp;"生成成长"),4))/(VLOOKUP(L$72,INDIRECT($C$5&amp;"生成成长"),5))*(VLOOKUP($B$5,标准坦克设计!$B$24:$U$30,MATCH("对"&amp;LEFT($C$5,2)&amp;"输出",标准坦克设计!$B$23:$U$23,0)))*(VLOOKUP($B178,INDIRECT($B$5&amp;"生成成长"),3))*(VLOOKUP($B$5,标准坦克设计!$B$14:$K$20,9)/30))</f>
        <v>1.1288980958147372</v>
      </c>
      <c r="M178" s="172">
        <f ca="1">(VLOOKUP(M$72,INDIRECT($C$5&amp;"生成成长"),2))/((VLOOKUP($B178,INDIRECT($B$5&amp;"生成成长"),4))/(VLOOKUP(M$72,INDIRECT($C$5&amp;"生成成长"),5))*(VLOOKUP($B$5,标准坦克设计!$B$24:$U$30,MATCH("对"&amp;LEFT($C$5,2)&amp;"输出",标准坦克设计!$B$23:$U$23,0)))*(VLOOKUP($B178,INDIRECT($B$5&amp;"生成成长"),3))*(VLOOKUP($B$5,标准坦克设计!$B$14:$K$20,9)/30))</f>
        <v>1.2542395936699893</v>
      </c>
      <c r="N178" s="172">
        <f ca="1">(VLOOKUP(N$72,INDIRECT($C$5&amp;"生成成长"),2))/((VLOOKUP($B178,INDIRECT($B$5&amp;"生成成长"),4))/(VLOOKUP(N$72,INDIRECT($C$5&amp;"生成成长"),5))*(VLOOKUP($B$5,标准坦克设计!$B$24:$U$30,MATCH("对"&amp;LEFT($C$5,2)&amp;"输出",标准坦克设计!$B$23:$U$23,0)))*(VLOOKUP($B178,INDIRECT($B$5&amp;"生成成长"),3))*(VLOOKUP($B$5,标准坦克设计!$B$14:$K$20,9)/30))</f>
        <v>1.3861780124649912</v>
      </c>
      <c r="O178" s="172">
        <f ca="1">(VLOOKUP(O$72,INDIRECT($C$5&amp;"生成成长"),2))/((VLOOKUP($B178,INDIRECT($B$5&amp;"生成成长"),4))/(VLOOKUP(O$72,INDIRECT($C$5&amp;"生成成长"),5))*(VLOOKUP($B$5,标准坦克设计!$B$24:$U$30,MATCH("对"&amp;LEFT($C$5,2)&amp;"输出",标准坦克设计!$B$23:$U$23,0)))*(VLOOKUP($B178,INDIRECT($B$5&amp;"生成成长"),3))*(VLOOKUP($B$5,标准坦克设计!$B$14:$K$20,9)/30))</f>
        <v>1.0539096585699215</v>
      </c>
      <c r="P178" s="172">
        <f ca="1">(VLOOKUP(P$72,INDIRECT($C$5&amp;"生成成长"),2))/((VLOOKUP($B178,INDIRECT($B$5&amp;"生成成长"),4))/(VLOOKUP(P$72,INDIRECT($C$5&amp;"生成成长"),5))*(VLOOKUP($B$5,标准坦克设计!$B$24:$U$30,MATCH("对"&amp;LEFT($C$5,2)&amp;"输出",标准坦克设计!$B$23:$U$23,0)))*(VLOOKUP($B178,INDIRECT($B$5&amp;"生成成长"),3))*(VLOOKUP($B$5,标准坦克设计!$B$14:$K$20,9)/30))</f>
        <v>1.1907442296248947</v>
      </c>
      <c r="Q178" s="172">
        <f ca="1">(VLOOKUP(Q$72,INDIRECT($C$5&amp;"生成成长"),2))/((VLOOKUP($B178,INDIRECT($B$5&amp;"生成成长"),4))/(VLOOKUP(Q$72,INDIRECT($C$5&amp;"生成成长"),5))*(VLOOKUP($B$5,标准坦克设计!$B$24:$U$30,MATCH("对"&amp;LEFT($C$5,2)&amp;"输出",标准坦克设计!$B$23:$U$23,0)))*(VLOOKUP($B178,INDIRECT($B$5&amp;"生成成长"),3))*(VLOOKUP($B$5,标准坦克设计!$B$14:$K$20,9)/30))</f>
        <v>1.3359280287442385</v>
      </c>
      <c r="R178" s="172">
        <f ca="1">(VLOOKUP(R$72,INDIRECT($C$5&amp;"生成成长"),2))/((VLOOKUP($B178,INDIRECT($B$5&amp;"生成成长"),4))/(VLOOKUP(R$72,INDIRECT($C$5&amp;"生成成长"),5))*(VLOOKUP($B$5,标准坦克设计!$B$24:$U$30,MATCH("对"&amp;LEFT($C$5,2)&amp;"输出",标准坦克设计!$B$23:$U$23,0)))*(VLOOKUP($B178,INDIRECT($B$5&amp;"生成成长"),3))*(VLOOKUP($B$5,标准坦克设计!$B$14:$K$20,9)/30))</f>
        <v>1.4894610559279542</v>
      </c>
      <c r="S178" s="172">
        <f ca="1">(VLOOKUP(S$72,INDIRECT($C$5&amp;"生成成长"),2))/((VLOOKUP($B178,INDIRECT($B$5&amp;"生成成长"),4))/(VLOOKUP(S$72,INDIRECT($C$5&amp;"生成成长"),5))*(VLOOKUP($B$5,标准坦克设计!$B$24:$U$30,MATCH("对"&amp;LEFT($C$5,2)&amp;"输出",标准坦克设计!$B$23:$U$23,0)))*(VLOOKUP($B178,INDIRECT($B$5&amp;"生成成长"),3))*(VLOOKUP($B$5,标准坦克设计!$B$14:$K$20,9)/30))</f>
        <v>1.6513433111760407</v>
      </c>
      <c r="T178" s="172">
        <f ca="1">(VLOOKUP(T$72,INDIRECT($C$5&amp;"生成成长"),2))/((VLOOKUP($B178,INDIRECT($B$5&amp;"生成成长"),4))/(VLOOKUP(T$72,INDIRECT($C$5&amp;"生成成长"),5))*(VLOOKUP($B$5,标准坦克设计!$B$24:$U$30,MATCH("对"&amp;LEFT($C$5,2)&amp;"输出",标准坦克设计!$B$23:$U$23,0)))*(VLOOKUP($B178,INDIRECT($B$5&amp;"生成成长"),3))*(VLOOKUP($B$5,标准坦克设计!$B$14:$K$20,9)/30))</f>
        <v>1.8215747944884986</v>
      </c>
      <c r="U178" s="172">
        <f ca="1">(VLOOKUP(U$72,INDIRECT($C$5&amp;"生成成长"),2))/((VLOOKUP($B178,INDIRECT($B$5&amp;"生成成长"),4))/(VLOOKUP(U$72,INDIRECT($C$5&amp;"生成成长"),5))*(VLOOKUP($B$5,标准坦克设计!$B$24:$U$30,MATCH("对"&amp;LEFT($C$5,2)&amp;"输出",标准坦克设计!$B$23:$U$23,0)))*(VLOOKUP($B178,INDIRECT($B$5&amp;"生成成长"),3))*(VLOOKUP($B$5,标准坦克设计!$B$14:$K$20,9)/30))</f>
        <v>2.0001555058653278</v>
      </c>
      <c r="V178" s="172">
        <f ca="1">(VLOOKUP(V$72,INDIRECT($C$5&amp;"生成成长"),2))/((VLOOKUP($B178,INDIRECT($B$5&amp;"生成成长"),4))/(VLOOKUP(V$72,INDIRECT($C$5&amp;"生成成长"),5))*(VLOOKUP($B$5,标准坦克设计!$B$24:$U$30,MATCH("对"&amp;LEFT($C$5,2)&amp;"输出",标准坦克设计!$B$23:$U$23,0)))*(VLOOKUP($B178,INDIRECT($B$5&amp;"生成成长"),3))*(VLOOKUP($B$5,标准坦克设计!$B$14:$K$20,9)/30))</f>
        <v>2.1870854453065278</v>
      </c>
      <c r="W178" s="172">
        <f ca="1">(VLOOKUP(W$72,INDIRECT($C$5&amp;"生成成长"),2))/((VLOOKUP($B178,INDIRECT($B$5&amp;"生成成长"),4))/(VLOOKUP(W$72,INDIRECT($C$5&amp;"生成成长"),5))*(VLOOKUP($B$5,标准坦克设计!$B$24:$U$30,MATCH("对"&amp;LEFT($C$5,2)&amp;"输出",标准坦克设计!$B$23:$U$23,0)))*(VLOOKUP($B178,INDIRECT($B$5&amp;"生成成长"),3))*(VLOOKUP($B$5,标准坦克设计!$B$14:$K$20,9)/30))</f>
        <v>2.3823646128120997</v>
      </c>
      <c r="X178" s="172">
        <f ca="1">(VLOOKUP(X$72,INDIRECT($C$5&amp;"生成成长"),2))/((VLOOKUP($B178,INDIRECT($B$5&amp;"生成成长"),4))/(VLOOKUP(X$72,INDIRECT($C$5&amp;"生成成长"),5))*(VLOOKUP($B$5,标准坦克设计!$B$24:$U$30,MATCH("对"&amp;LEFT($C$5,2)&amp;"输出",标准坦克设计!$B$23:$U$23,0)))*(VLOOKUP($B178,INDIRECT($B$5&amp;"生成成长"),3))*(VLOOKUP($B$5,标准坦克设计!$B$14:$K$20,9)/30))</f>
        <v>1.725970979306964</v>
      </c>
      <c r="Y178" s="172">
        <f ca="1">(VLOOKUP(Y$72,INDIRECT($C$5&amp;"生成成长"),2))/((VLOOKUP($B178,INDIRECT($B$5&amp;"生成成长"),4))/(VLOOKUP(Y$72,INDIRECT($C$5&amp;"生成成长"),5))*(VLOOKUP($B$5,标准坦克设计!$B$24:$U$30,MATCH("对"&amp;LEFT($C$5,2)&amp;"输出",标准坦克设计!$B$23:$U$23,0)))*(VLOOKUP($B178,INDIRECT($B$5&amp;"生成成长"),3))*(VLOOKUP($B$5,标准坦克设计!$B$14:$K$20,9)/30))</f>
        <v>1.9197555319121233</v>
      </c>
      <c r="Z178" s="172">
        <f ca="1">(VLOOKUP(Z$72,INDIRECT($C$5&amp;"生成成长"),2))/((VLOOKUP($B178,INDIRECT($B$5&amp;"生成成长"),4))/(VLOOKUP(Z$72,INDIRECT($C$5&amp;"生成成长"),5))*(VLOOKUP($B$5,标准坦克设计!$B$24:$U$30,MATCH("对"&amp;LEFT($C$5,2)&amp;"输出",标准坦克设计!$B$23:$U$23,0)))*(VLOOKUP($B178,INDIRECT($B$5&amp;"生成成长"),3))*(VLOOKUP($B$5,标准坦克设计!$B$14:$K$20,9)/30))</f>
        <v>2.1238477734856422</v>
      </c>
      <c r="AA178" s="172">
        <f ca="1">(VLOOKUP(AA$72,INDIRECT($C$5&amp;"生成成长"),2))/((VLOOKUP($B178,INDIRECT($B$5&amp;"生成成长"),4))/(VLOOKUP(AA$72,INDIRECT($C$5&amp;"生成成长"),5))*(VLOOKUP($B$5,标准坦克设计!$B$24:$U$30,MATCH("对"&amp;LEFT($C$5,2)&amp;"输出",标准坦克设计!$B$23:$U$23,0)))*(VLOOKUP($B178,INDIRECT($B$5&amp;"生成成长"),3))*(VLOOKUP($B$5,标准坦克设计!$B$14:$K$20,9)/30))</f>
        <v>2.3382477040275207</v>
      </c>
      <c r="AB178" s="172">
        <f ca="1">(VLOOKUP(AB$72,INDIRECT($C$5&amp;"生成成长"),2))/((VLOOKUP($B178,INDIRECT($B$5&amp;"生成成长"),4))/(VLOOKUP(AB$72,INDIRECT($C$5&amp;"生成成长"),5))*(VLOOKUP($B$5,标准坦克设计!$B$24:$U$30,MATCH("对"&amp;LEFT($C$5,2)&amp;"输出",标准坦克设计!$B$23:$U$23,0)))*(VLOOKUP($B178,INDIRECT($B$5&amp;"生成成长"),3))*(VLOOKUP($B$5,标准坦克设计!$B$14:$K$20,9)/30))</f>
        <v>2.5629553235377593</v>
      </c>
      <c r="AC178" s="172">
        <f ca="1">(VLOOKUP(AC$72,INDIRECT($C$5&amp;"生成成长"),2))/((VLOOKUP($B178,INDIRECT($B$5&amp;"生成成长"),4))/(VLOOKUP(AC$72,INDIRECT($C$5&amp;"生成成长"),5))*(VLOOKUP($B$5,标准坦克设计!$B$24:$U$30,MATCH("对"&amp;LEFT($C$5,2)&amp;"输出",标准坦克设计!$B$23:$U$23,0)))*(VLOOKUP($B178,INDIRECT($B$5&amp;"生成成长"),3))*(VLOOKUP($B$5,标准坦克设计!$B$14:$K$20,9)/30))</f>
        <v>2.797970632016356</v>
      </c>
      <c r="AD178" s="172">
        <f ca="1">(VLOOKUP(AD$72,INDIRECT($C$5&amp;"生成成长"),2))/((VLOOKUP($B178,INDIRECT($B$5&amp;"生成成长"),4))/(VLOOKUP(AD$72,INDIRECT($C$5&amp;"生成成长"),5))*(VLOOKUP($B$5,标准坦克设计!$B$24:$U$30,MATCH("对"&amp;LEFT($C$5,2)&amp;"输出",标准坦克设计!$B$23:$U$23,0)))*(VLOOKUP($B178,INDIRECT($B$5&amp;"生成成长"),3))*(VLOOKUP($B$5,标准坦克设计!$B$14:$K$20,9)/30))</f>
        <v>3.0432936294633133</v>
      </c>
      <c r="AE178" s="172">
        <f ca="1">(VLOOKUP(AE$72,INDIRECT($C$5&amp;"生成成长"),2))/((VLOOKUP($B178,INDIRECT($B$5&amp;"生成成长"),4))/(VLOOKUP(AE$72,INDIRECT($C$5&amp;"生成成长"),5))*(VLOOKUP($B$5,标准坦克设计!$B$24:$U$30,MATCH("对"&amp;LEFT($C$5,2)&amp;"输出",标准坦克设计!$B$23:$U$23,0)))*(VLOOKUP($B178,INDIRECT($B$5&amp;"生成成长"),3))*(VLOOKUP($B$5,标准坦克设计!$B$14:$K$20,9)/30))</f>
        <v>3.2989243158786308</v>
      </c>
      <c r="AF178" s="172">
        <f ca="1">(VLOOKUP(AF$72,INDIRECT($C$5&amp;"生成成长"),2))/((VLOOKUP($B178,INDIRECT($B$5&amp;"生成成长"),4))/(VLOOKUP(AF$72,INDIRECT($C$5&amp;"生成成长"),5))*(VLOOKUP($B$5,标准坦克设计!$B$24:$U$30,MATCH("对"&amp;LEFT($C$5,2)&amp;"输出",标准坦克设计!$B$23:$U$23,0)))*(VLOOKUP($B178,INDIRECT($B$5&amp;"生成成长"),3))*(VLOOKUP($B$5,标准坦克设计!$B$14:$K$20,9)/30))</f>
        <v>3.5648626912623058</v>
      </c>
      <c r="AG178" s="172">
        <f ca="1">(VLOOKUP(AG$72,INDIRECT($C$5&amp;"生成成长"),2))/((VLOOKUP($B178,INDIRECT($B$5&amp;"生成成长"),4))/(VLOOKUP(AG$72,INDIRECT($C$5&amp;"生成成长"),5))*(VLOOKUP($B$5,标准坦克设计!$B$24:$U$30,MATCH("对"&amp;LEFT($C$5,2)&amp;"输出",标准坦克设计!$B$23:$U$23,0)))*(VLOOKUP($B178,INDIRECT($B$5&amp;"生成成长"),3))*(VLOOKUP($B$5,标准坦克设计!$B$14:$K$20,9)/30))</f>
        <v>3.8411087556143424</v>
      </c>
      <c r="AH178" s="172">
        <f ca="1">(VLOOKUP(AH$72,INDIRECT($C$5&amp;"生成成长"),2))/((VLOOKUP($B178,INDIRECT($B$5&amp;"生成成长"),4))/(VLOOKUP(AH$72,INDIRECT($C$5&amp;"生成成长"),5))*(VLOOKUP($B$5,标准坦克设计!$B$24:$U$30,MATCH("对"&amp;LEFT($C$5,2)&amp;"输出",标准坦克设计!$B$23:$U$23,0)))*(VLOOKUP($B178,INDIRECT($B$5&amp;"生成成长"),3))*(VLOOKUP($B$5,标准坦克设计!$B$14:$K$20,9)/30))</f>
        <v>4.127662508934737</v>
      </c>
      <c r="AI178" s="172">
        <f ca="1">(VLOOKUP(AI$72,INDIRECT($C$5&amp;"生成成长"),2))/((VLOOKUP($B178,INDIRECT($B$5&amp;"生成成长"),4))/(VLOOKUP(AI$72,INDIRECT($C$5&amp;"生成成长"),5))*(VLOOKUP($B$5,标准坦克设计!$B$24:$U$30,MATCH("对"&amp;LEFT($C$5,2)&amp;"输出",标准坦克设计!$B$23:$U$23,0)))*(VLOOKUP($B178,INDIRECT($B$5&amp;"生成成长"),3))*(VLOOKUP($B$5,标准坦克设计!$B$14:$K$20,9)/30))</f>
        <v>2.9193436696187902</v>
      </c>
      <c r="AJ178" s="172">
        <f ca="1">(VLOOKUP(AJ$72,INDIRECT($C$5&amp;"生成成长"),2))/((VLOOKUP($B178,INDIRECT($B$5&amp;"生成成长"),4))/(VLOOKUP(AJ$72,INDIRECT($C$5&amp;"生成成长"),5))*(VLOOKUP($B$5,标准坦克设计!$B$24:$U$30,MATCH("对"&amp;LEFT($C$5,2)&amp;"输出",标准坦克设计!$B$23:$U$23,0)))*(VLOOKUP($B178,INDIRECT($B$5&amp;"生成成长"),3))*(VLOOKUP($B$5,标准坦克设计!$B$14:$K$20,9)/30))</f>
        <v>3.1954351186363006</v>
      </c>
      <c r="AK178" s="172">
        <f ca="1">(VLOOKUP(AK$72,INDIRECT($C$5&amp;"生成成长"),2))/((VLOOKUP($B178,INDIRECT($B$5&amp;"生成成长"),4))/(VLOOKUP(AK$72,INDIRECT($C$5&amp;"生成成长"),5))*(VLOOKUP($B$5,标准坦克设计!$B$24:$U$30,MATCH("对"&amp;LEFT($C$5,2)&amp;"输出",标准坦克设计!$B$23:$U$23,0)))*(VLOOKUP($B178,INDIRECT($B$5&amp;"生成成长"),3))*(VLOOKUP($B$5,标准坦克设计!$B$14:$K$20,9)/30))</f>
        <v>3.4839988713055261</v>
      </c>
      <c r="AL178" s="172">
        <f ca="1">(VLOOKUP(AL$72,INDIRECT($C$5&amp;"生成成长"),2))/((VLOOKUP($B178,INDIRECT($B$5&amp;"生成成长"),4))/(VLOOKUP(AL$72,INDIRECT($C$5&amp;"生成成长"),5))*(VLOOKUP($B$5,标准坦克设计!$B$24:$U$30,MATCH("对"&amp;LEFT($C$5,2)&amp;"输出",标准坦克设计!$B$23:$U$23,0)))*(VLOOKUP($B178,INDIRECT($B$5&amp;"生成成长"),3))*(VLOOKUP($B$5,标准坦克设计!$B$14:$K$20,9)/30))</f>
        <v>3.7850349276264663</v>
      </c>
      <c r="AM178" s="172">
        <f ca="1">(VLOOKUP(AM$72,INDIRECT($C$5&amp;"生成成长"),2))/((VLOOKUP($B178,INDIRECT($B$5&amp;"生成成长"),4))/(VLOOKUP(AM$72,INDIRECT($C$5&amp;"生成成长"),5))*(VLOOKUP($B$5,标准坦克设计!$B$24:$U$30,MATCH("对"&amp;LEFT($C$5,2)&amp;"输出",标准坦克设计!$B$23:$U$23,0)))*(VLOOKUP($B178,INDIRECT($B$5&amp;"生成成长"),3))*(VLOOKUP($B$5,标准坦克设计!$B$14:$K$20,9)/30))</f>
        <v>4.0985432875991217</v>
      </c>
      <c r="AN178" s="172">
        <f ca="1">(VLOOKUP(AN$72,INDIRECT($C$5&amp;"生成成长"),2))/((VLOOKUP($B178,INDIRECT($B$5&amp;"生成成长"),4))/(VLOOKUP(AN$72,INDIRECT($C$5&amp;"生成成长"),5))*(VLOOKUP($B$5,标准坦克设计!$B$24:$U$30,MATCH("对"&amp;LEFT($C$5,2)&amp;"输出",标准坦克设计!$B$23:$U$23,0)))*(VLOOKUP($B178,INDIRECT($B$5&amp;"生成成长"),3))*(VLOOKUP($B$5,标准坦克设计!$B$14:$K$20,9)/30))</f>
        <v>4.4245239512234935</v>
      </c>
      <c r="AO178" s="172">
        <f ca="1">(VLOOKUP(AO$72,INDIRECT($C$5&amp;"生成成长"),2))/((VLOOKUP($B178,INDIRECT($B$5&amp;"生成成长"),4))/(VLOOKUP(AO$72,INDIRECT($C$5&amp;"生成成长"),5))*(VLOOKUP($B$5,标准坦克设计!$B$24:$U$30,MATCH("对"&amp;LEFT($C$5,2)&amp;"输出",标准坦克设计!$B$23:$U$23,0)))*(VLOOKUP($B178,INDIRECT($B$5&amp;"生成成长"),3))*(VLOOKUP($B$5,标准坦克设计!$B$14:$K$20,9)/30))</f>
        <v>4.7629769184995787</v>
      </c>
      <c r="AP178" s="172">
        <f ca="1">(VLOOKUP(AP$72,INDIRECT($C$5&amp;"生成成长"),2))/((VLOOKUP($B178,INDIRECT($B$5&amp;"生成成长"),4))/(VLOOKUP(AP$72,INDIRECT($C$5&amp;"生成成长"),5))*(VLOOKUP($B$5,标准坦克设计!$B$24:$U$30,MATCH("对"&amp;LEFT($C$5,2)&amp;"输出",标准坦克设计!$B$23:$U$23,0)))*(VLOOKUP($B178,INDIRECT($B$5&amp;"生成成长"),3))*(VLOOKUP($B$5,标准坦克设计!$B$14:$K$20,9)/30))</f>
        <v>5.1139021894273791</v>
      </c>
      <c r="AQ178" s="172">
        <f ca="1">(VLOOKUP(AQ$72,INDIRECT($C$5&amp;"生成成长"),2))/((VLOOKUP($B178,INDIRECT($B$5&amp;"生成成长"),4))/(VLOOKUP(AQ$72,INDIRECT($C$5&amp;"生成成长"),5))*(VLOOKUP($B$5,标准坦克设计!$B$24:$U$30,MATCH("对"&amp;LEFT($C$5,2)&amp;"输出",标准坦克设计!$B$23:$U$23,0)))*(VLOOKUP($B178,INDIRECT($B$5&amp;"生成成长"),3))*(VLOOKUP($B$5,标准坦克设计!$B$14:$K$20,9)/30))</f>
        <v>5.4772997640068937</v>
      </c>
      <c r="AR178" s="172">
        <f ca="1">(VLOOKUP(AR$72,INDIRECT($C$5&amp;"生成成长"),2))/((VLOOKUP($B178,INDIRECT($B$5&amp;"生成成长"),4))/(VLOOKUP(AR$72,INDIRECT($C$5&amp;"生成成长"),5))*(VLOOKUP($B$5,标准坦克设计!$B$24:$U$30,MATCH("对"&amp;LEFT($C$5,2)&amp;"输出",标准坦克设计!$B$23:$U$23,0)))*(VLOOKUP($B178,INDIRECT($B$5&amp;"生成成长"),3))*(VLOOKUP($B$5,标准坦克设计!$B$14:$K$20,9)/30))</f>
        <v>5.8531696422381252</v>
      </c>
      <c r="AS178" s="172">
        <f ca="1">(VLOOKUP(AS$72,INDIRECT($C$5&amp;"生成成长"),2))/((VLOOKUP($B178,INDIRECT($B$5&amp;"生成成长"),4))/(VLOOKUP(AS$72,INDIRECT($C$5&amp;"生成成长"),5))*(VLOOKUP($B$5,标准坦克设计!$B$24:$U$30,MATCH("对"&amp;LEFT($C$5,2)&amp;"输出",标准坦克设计!$B$23:$U$23,0)))*(VLOOKUP($B178,INDIRECT($B$5&amp;"生成成长"),3))*(VLOOKUP($B$5,标准坦克设计!$B$14:$K$20,9)/30))</f>
        <v>6.2415118241210719</v>
      </c>
      <c r="AT178" s="172">
        <f ca="1">(VLOOKUP(AT$72,INDIRECT($C$5&amp;"生成成长"),2))/((VLOOKUP($B178,INDIRECT($B$5&amp;"生成成长"),4))/(VLOOKUP(AT$72,INDIRECT($C$5&amp;"生成成长"),5))*(VLOOKUP($B$5,标准坦克设计!$B$24:$U$30,MATCH("对"&amp;LEFT($C$5,2)&amp;"输出",标准坦克设计!$B$23:$U$23,0)))*(VLOOKUP($B178,INDIRECT($B$5&amp;"生成成长"),3))*(VLOOKUP($B$5,标准坦克设计!$B$14:$K$20,9)/30))</f>
        <v>6.642326309655731</v>
      </c>
      <c r="AU178" s="172">
        <f ca="1">(VLOOKUP(AU$72,INDIRECT($C$5&amp;"生成成长"),2))/((VLOOKUP($B178,INDIRECT($B$5&amp;"生成成长"),4))/(VLOOKUP(AU$72,INDIRECT($C$5&amp;"生成成长"),5))*(VLOOKUP($B$5,标准坦克设计!$B$24:$U$30,MATCH("对"&amp;LEFT($C$5,2)&amp;"输出",标准坦克设计!$B$23:$U$23,0)))*(VLOOKUP($B178,INDIRECT($B$5&amp;"生成成长"),3))*(VLOOKUP($B$5,标准坦克设计!$B$14:$K$20,9)/30))</f>
        <v>7.055613098842108</v>
      </c>
      <c r="AV178" s="172">
        <f ca="1">(VLOOKUP(AV$72,INDIRECT($C$5&amp;"生成成长"),2))/((VLOOKUP($B178,INDIRECT($B$5&amp;"生成成长"),4))/(VLOOKUP(AV$72,INDIRECT($C$5&amp;"生成成长"),5))*(VLOOKUP($B$5,标准坦克设计!$B$24:$U$30,MATCH("对"&amp;LEFT($C$5,2)&amp;"输出",标准坦克设计!$B$23:$U$23,0)))*(VLOOKUP($B178,INDIRECT($B$5&amp;"生成成长"),3))*(VLOOKUP($B$5,标准坦克设计!$B$14:$K$20,9)/30))</f>
        <v>0.71762130597719143</v>
      </c>
      <c r="AW178" s="172">
        <f ca="1">(VLOOKUP(AW$72,INDIRECT($C$5&amp;"生成成长"),2))/((VLOOKUP($B178,INDIRECT($B$5&amp;"生成成长"),4))/(VLOOKUP(AW$72,INDIRECT($C$5&amp;"生成成长"),5))*(VLOOKUP($B$5,标准坦克设计!$B$24:$U$30,MATCH("对"&amp;LEFT($C$5,2)&amp;"输出",标准坦克设计!$B$23:$U$23,0)))*(VLOOKUP($B178,INDIRECT($B$5&amp;"生成成长"),3))*(VLOOKUP($B$5,标准坦克设计!$B$14:$K$20,9)/30))</f>
        <v>0.81822435030838048</v>
      </c>
      <c r="AX178" s="172">
        <f ca="1">(VLOOKUP(AX$72,INDIRECT($C$5&amp;"生成成长"),2))/((VLOOKUP($B178,INDIRECT($B$5&amp;"生成成长"),4))/(VLOOKUP(AX$72,INDIRECT($C$5&amp;"生成成长"),5))*(VLOOKUP($B$5,标准坦克设计!$B$24:$U$30,MATCH("对"&amp;LEFT($C$5,2)&amp;"输出",标准坦克设计!$B$23:$U$23,0)))*(VLOOKUP($B178,INDIRECT($B$5&amp;"生成成长"),3))*(VLOOKUP($B$5,标准坦克设计!$B$14:$K$20,9)/30))</f>
        <v>0.92542431557931981</v>
      </c>
      <c r="AY178" s="172">
        <f ca="1">(VLOOKUP(AY$72,INDIRECT($C$5&amp;"生成成长"),2))/((VLOOKUP($B178,INDIRECT($B$5&amp;"生成成长"),4))/(VLOOKUP(AY$72,INDIRECT($C$5&amp;"生成成长"),5))*(VLOOKUP($B$5,标准坦克设计!$B$24:$U$30,MATCH("对"&amp;LEFT($C$5,2)&amp;"输出",标准坦克设计!$B$23:$U$23,0)))*(VLOOKUP($B178,INDIRECT($B$5&amp;"生成成长"),3))*(VLOOKUP($B$5,标准坦克设计!$B$14:$K$20,9)/30))</f>
        <v>1.0392212017900091</v>
      </c>
      <c r="AZ178" s="172">
        <f ca="1">(VLOOKUP(AZ$72,INDIRECT($C$5&amp;"生成成长"),2))/((VLOOKUP($B178,INDIRECT($B$5&amp;"生成成长"),4))/(VLOOKUP(AZ$72,INDIRECT($C$5&amp;"生成成长"),5))*(VLOOKUP($B$5,标准坦克设计!$B$24:$U$30,MATCH("对"&amp;LEFT($C$5,2)&amp;"输出",标准坦克设计!$B$23:$U$23,0)))*(VLOOKUP($B178,INDIRECT($B$5&amp;"生成成长"),3))*(VLOOKUP($B$5,标准坦克设计!$B$14:$K$20,9)/30))</f>
        <v>1.1596150089404489</v>
      </c>
      <c r="BA178" s="172">
        <f ca="1">(VLOOKUP(BA$72,INDIRECT($C$5&amp;"生成成长"),2))/((VLOOKUP($B178,INDIRECT($B$5&amp;"生成成长"),4))/(VLOOKUP(BA$72,INDIRECT($C$5&amp;"生成成长"),5))*(VLOOKUP($B$5,标准坦克设计!$B$24:$U$30,MATCH("对"&amp;LEFT($C$5,2)&amp;"输出",标准坦克设计!$B$23:$U$23,0)))*(VLOOKUP($B178,INDIRECT($B$5&amp;"生成成长"),3))*(VLOOKUP($B$5,标准坦克设计!$B$14:$K$20,9)/30))</f>
        <v>1.2866057370306383</v>
      </c>
      <c r="BB178" s="172">
        <f ca="1">(VLOOKUP(BB$72,INDIRECT($C$5&amp;"生成成长"),2))/((VLOOKUP($B178,INDIRECT($B$5&amp;"生成成长"),4))/(VLOOKUP(BB$72,INDIRECT($C$5&amp;"生成成长"),5))*(VLOOKUP($B$5,标准坦克设计!$B$24:$U$30,MATCH("对"&amp;LEFT($C$5,2)&amp;"输出",标准坦克设计!$B$23:$U$23,0)))*(VLOOKUP($B178,INDIRECT($B$5&amp;"生成成长"),3))*(VLOOKUP($B$5,标准坦克设计!$B$14:$K$20,9)/30))</f>
        <v>1.420193386060578</v>
      </c>
      <c r="BC178" s="172">
        <f ca="1">(VLOOKUP(BC$72,INDIRECT($C$5&amp;"生成成长"),2))/((VLOOKUP($B178,INDIRECT($B$5&amp;"生成成长"),4))/(VLOOKUP(BC$72,INDIRECT($C$5&amp;"生成成长"),5))*(VLOOKUP($B$5,标准坦克设计!$B$24:$U$30,MATCH("对"&amp;LEFT($C$5,2)&amp;"输出",标准坦克设计!$B$23:$U$23,0)))*(VLOOKUP($B178,INDIRECT($B$5&amp;"生成成长"),3))*(VLOOKUP($B$5,标准坦克设计!$B$14:$K$20,9)/30))</f>
        <v>1.560377956030268</v>
      </c>
      <c r="BD178" s="172">
        <f ca="1">(VLOOKUP(BD$72,INDIRECT($C$5&amp;"生成成长"),2))/((VLOOKUP($B178,INDIRECT($B$5&amp;"生成成长"),4))/(VLOOKUP(BD$72,INDIRECT($C$5&amp;"生成成长"),5))*(VLOOKUP($B$5,标准坦克设计!$B$24:$U$30,MATCH("对"&amp;LEFT($C$5,2)&amp;"输出",标准坦克设计!$B$23:$U$23,0)))*(VLOOKUP($B178,INDIRECT($B$5&amp;"生成成长"),3))*(VLOOKUP($B$5,标准坦克设计!$B$14:$K$20,9)/30))</f>
        <v>1.725970979306964</v>
      </c>
      <c r="BE178" s="172">
        <f ca="1">(VLOOKUP(BE$72,INDIRECT($C$5&amp;"生成成长"),2))/((VLOOKUP($B178,INDIRECT($B$5&amp;"生成成长"),4))/(VLOOKUP(BE$72,INDIRECT($C$5&amp;"生成成长"),5))*(VLOOKUP($B$5,标准坦克设计!$B$24:$U$30,MATCH("对"&amp;LEFT($C$5,2)&amp;"输出",标准坦克设计!$B$23:$U$23,0)))*(VLOOKUP($B178,INDIRECT($B$5&amp;"生成成长"),3))*(VLOOKUP($B$5,标准坦克设计!$B$14:$K$20,9)/30))</f>
        <v>1.8999132306480313</v>
      </c>
      <c r="BF178" s="172">
        <f ca="1">(VLOOKUP(BF$72,INDIRECT($C$5&amp;"生成成长"),2))/((VLOOKUP($B178,INDIRECT($B$5&amp;"生成成长"),4))/(VLOOKUP(BF$72,INDIRECT($C$5&amp;"生成成长"),5))*(VLOOKUP($B$5,标准坦克设计!$B$24:$U$30,MATCH("对"&amp;LEFT($C$5,2)&amp;"输出",标准坦克设计!$B$23:$U$23,0)))*(VLOOKUP($B178,INDIRECT($B$5&amp;"生成成长"),3))*(VLOOKUP($B$5,标准坦克设计!$B$14:$K$20,9)/30))</f>
        <v>2.0822047100534697</v>
      </c>
      <c r="BG178" s="172">
        <f ca="1">(VLOOKUP(BG$72,INDIRECT($C$5&amp;"生成成长"),2))/((VLOOKUP($B178,INDIRECT($B$5&amp;"生成成长"),4))/(VLOOKUP(BG$72,INDIRECT($C$5&amp;"生成成长"),5))*(VLOOKUP($B$5,标准坦克设计!$B$24:$U$30,MATCH("对"&amp;LEFT($C$5,2)&amp;"输出",标准坦克设计!$B$23:$U$23,0)))*(VLOOKUP($B178,INDIRECT($B$5&amp;"生成成长"),3))*(VLOOKUP($B$5,标准坦克设计!$B$14:$K$20,9)/30))</f>
        <v>2.2728454175232793</v>
      </c>
      <c r="BH178" s="172">
        <f ca="1">(VLOOKUP(BH$72,INDIRECT($C$5&amp;"生成成长"),2))/((VLOOKUP($B178,INDIRECT($B$5&amp;"生成成长"),4))/(VLOOKUP(BH$72,INDIRECT($C$5&amp;"生成成长"),5))*(VLOOKUP($B$5,标准坦克设计!$B$24:$U$30,MATCH("对"&amp;LEFT($C$5,2)&amp;"输出",标准坦克设计!$B$23:$U$23,0)))*(VLOOKUP($B178,INDIRECT($B$5&amp;"生成成长"),3))*(VLOOKUP($B$5,标准坦克设计!$B$14:$K$20,9)/30))</f>
        <v>1.0985934902477601</v>
      </c>
      <c r="BI178" s="172">
        <f ca="1">(VLOOKUP(BI$72,INDIRECT($C$5&amp;"生成成长"),2))/((VLOOKUP($B178,INDIRECT($B$5&amp;"生成成长"),4))/(VLOOKUP(BI$72,INDIRECT($C$5&amp;"生成成长"),5))*(VLOOKUP($B$5,标准坦克设计!$B$24:$U$30,MATCH("对"&amp;LEFT($C$5,2)&amp;"输出",标准坦克设计!$B$23:$U$23,0)))*(VLOOKUP($B178,INDIRECT($B$5&amp;"生成成长"),3))*(VLOOKUP($B$5,标准坦克设计!$B$14:$K$20,9)/30))</f>
        <v>1.2382111373241902</v>
      </c>
      <c r="BJ178" s="172">
        <f ca="1">(VLOOKUP(BJ$72,INDIRECT($C$5&amp;"生成成长"),2))/((VLOOKUP($B178,INDIRECT($B$5&amp;"生成成长"),4))/(VLOOKUP(BJ$72,INDIRECT($C$5&amp;"生成成长"),5))*(VLOOKUP($B$5,标准坦克设计!$B$24:$U$30,MATCH("对"&amp;LEFT($C$5,2)&amp;"输出",标准坦克设计!$B$23:$U$23,0)))*(VLOOKUP($B178,INDIRECT($B$5&amp;"生成成长"),3))*(VLOOKUP($B$5,标准坦克设计!$B$14:$K$20,9)/30))</f>
        <v>1.3861780124649912</v>
      </c>
      <c r="BK178" s="172">
        <f ca="1">(VLOOKUP(BK$72,INDIRECT($C$5&amp;"生成成长"),2))/((VLOOKUP($B178,INDIRECT($B$5&amp;"生成成长"),4))/(VLOOKUP(BK$72,INDIRECT($C$5&amp;"生成成长"),5))*(VLOOKUP($B$5,标准坦克设计!$B$24:$U$30,MATCH("对"&amp;LEFT($C$5,2)&amp;"输出",标准坦克设计!$B$23:$U$23,0)))*(VLOOKUP($B178,INDIRECT($B$5&amp;"生成成长"),3))*(VLOOKUP($B$5,标准坦克设计!$B$14:$K$20,9)/30))</f>
        <v>1.5424941156701641</v>
      </c>
      <c r="BL178" s="172">
        <f ca="1">(VLOOKUP(BL$72,INDIRECT($C$5&amp;"生成成长"),2))/((VLOOKUP($B178,INDIRECT($B$5&amp;"生成成长"),4))/(VLOOKUP(BL$72,INDIRECT($C$5&amp;"生成成长"),5))*(VLOOKUP($B$5,标准坦克设计!$B$24:$U$30,MATCH("对"&amp;LEFT($C$5,2)&amp;"输出",标准坦克设计!$B$23:$U$23,0)))*(VLOOKUP($B178,INDIRECT($B$5&amp;"生成成长"),3))*(VLOOKUP($B$5,标准坦克设计!$B$14:$K$20,9)/30))</f>
        <v>1.7071594469397076</v>
      </c>
      <c r="BM178" s="172">
        <f ca="1">(VLOOKUP(BM$72,INDIRECT($C$5&amp;"生成成长"),2))/((VLOOKUP($B178,INDIRECT($B$5&amp;"生成成长"),4))/(VLOOKUP(BM$72,INDIRECT($C$5&amp;"生成成长"),5))*(VLOOKUP($B$5,标准坦克设计!$B$24:$U$30,MATCH("对"&amp;LEFT($C$5,2)&amp;"输出",标准坦克设计!$B$23:$U$23,0)))*(VLOOKUP($B178,INDIRECT($B$5&amp;"生成成长"),3))*(VLOOKUP($B$5,标准坦克设计!$B$14:$K$20,9)/30))</f>
        <v>1.8801740062736225</v>
      </c>
      <c r="BN178" s="172">
        <f ca="1">(VLOOKUP(BN$72,INDIRECT($C$5&amp;"生成成长"),2))/((VLOOKUP($B178,INDIRECT($B$5&amp;"生成成长"),4))/(VLOOKUP(BN$72,INDIRECT($C$5&amp;"生成成长"),5))*(VLOOKUP($B$5,标准坦克设计!$B$24:$U$30,MATCH("对"&amp;LEFT($C$5,2)&amp;"输出",标准坦克设计!$B$23:$U$23,0)))*(VLOOKUP($B178,INDIRECT($B$5&amp;"生成成长"),3))*(VLOOKUP($B$5,标准坦克设计!$B$14:$K$20,9)/30))</f>
        <v>2.0615377936719095</v>
      </c>
      <c r="BO178" s="172">
        <f ca="1">(VLOOKUP(BO$72,INDIRECT($C$5&amp;"生成成长"),2))/((VLOOKUP($B178,INDIRECT($B$5&amp;"生成成长"),4))/(VLOOKUP(BO$72,INDIRECT($C$5&amp;"生成成长"),5))*(VLOOKUP($B$5,标准坦克设计!$B$24:$U$30,MATCH("对"&amp;LEFT($C$5,2)&amp;"输出",标准坦克设计!$B$23:$U$23,0)))*(VLOOKUP($B178,INDIRECT($B$5&amp;"生成成长"),3))*(VLOOKUP($B$5,标准坦克设计!$B$14:$K$20,9)/30))</f>
        <v>2.2512508091345662</v>
      </c>
      <c r="BP178" s="172">
        <f ca="1">(VLOOKUP(BP$72,INDIRECT($C$5&amp;"生成成长"),2))/((VLOOKUP($B178,INDIRECT($B$5&amp;"生成成长"),4))/(VLOOKUP(BP$72,INDIRECT($C$5&amp;"生成成长"),5))*(VLOOKUP($B$5,标准坦克设计!$B$24:$U$30,MATCH("对"&amp;LEFT($C$5,2)&amp;"输出",标准坦克设计!$B$23:$U$23,0)))*(VLOOKUP($B178,INDIRECT($B$5&amp;"生成成长"),3))*(VLOOKUP($B$5,标准坦克设计!$B$14:$K$20,9)/30))</f>
        <v>2.4493130526615943</v>
      </c>
      <c r="BQ178" s="172">
        <f ca="1">(VLOOKUP(BQ$72,INDIRECT($C$5&amp;"生成成长"),2))/((VLOOKUP($B178,INDIRECT($B$5&amp;"生成成长"),4))/(VLOOKUP(BQ$72,INDIRECT($C$5&amp;"生成成长"),5))*(VLOOKUP($B$5,标准坦克设计!$B$24:$U$30,MATCH("对"&amp;LEFT($C$5,2)&amp;"输出",标准坦克设计!$B$23:$U$23,0)))*(VLOOKUP($B178,INDIRECT($B$5&amp;"生成成长"),3))*(VLOOKUP($B$5,标准坦克设计!$B$14:$K$20,9)/30))</f>
        <v>2.6557245242529945</v>
      </c>
      <c r="BR178" s="172">
        <f ca="1">(VLOOKUP(BR$72,INDIRECT($C$5&amp;"生成成长"),2))/((VLOOKUP($B178,INDIRECT($B$5&amp;"生成成长"),4))/(VLOOKUP(BR$72,INDIRECT($C$5&amp;"生成成长"),5))*(VLOOKUP($B$5,标准坦克设计!$B$24:$U$30,MATCH("对"&amp;LEFT($C$5,2)&amp;"输出",标准坦克设计!$B$23:$U$23,0)))*(VLOOKUP($B178,INDIRECT($B$5&amp;"生成成长"),3))*(VLOOKUP($B$5,标准坦克设计!$B$14:$K$20,9)/30))</f>
        <v>2.8948629083189354</v>
      </c>
      <c r="BS178" s="172">
        <f ca="1">(VLOOKUP(BS$72,INDIRECT($C$5&amp;"生成成长"),2))/((VLOOKUP($B178,INDIRECT($B$5&amp;"生成成长"),4))/(VLOOKUP(BS$72,INDIRECT($C$5&amp;"生成成长"),5))*(VLOOKUP($B$5,标准坦克设计!$B$24:$U$30,MATCH("对"&amp;LEFT($C$5,2)&amp;"输出",标准坦克设计!$B$23:$U$23,0)))*(VLOOKUP($B178,INDIRECT($B$5&amp;"生成成长"),3))*(VLOOKUP($B$5,标准坦克设计!$B$14:$K$20,9)/30))</f>
        <v>3.1443089813532374</v>
      </c>
      <c r="BT178" s="172">
        <f ca="1">(VLOOKUP(BT$72,INDIRECT($C$5&amp;"生成成长"),2))/((VLOOKUP($B178,INDIRECT($B$5&amp;"生成成长"),4))/(VLOOKUP(BT$72,INDIRECT($C$5&amp;"生成成长"),5))*(VLOOKUP($B$5,标准坦克设计!$B$24:$U$30,MATCH("对"&amp;LEFT($C$5,2)&amp;"输出",标准坦克设计!$B$23:$U$23,0)))*(VLOOKUP($B178,INDIRECT($B$5&amp;"生成成长"),3))*(VLOOKUP($B$5,标准坦克设计!$B$14:$K$20,9)/30))</f>
        <v>3.4040627433558974</v>
      </c>
      <c r="BU178" s="172">
        <f ca="1">(VLOOKUP(BU$72,INDIRECT($C$5&amp;"生成成长"),2))/((VLOOKUP($B178,INDIRECT($B$5&amp;"生成成长"),4))/(VLOOKUP(BU$72,INDIRECT($C$5&amp;"生成成长"),5))*(VLOOKUP($B$5,标准坦克设计!$B$24:$U$30,MATCH("对"&amp;LEFT($C$5,2)&amp;"输出",标准坦克设计!$B$23:$U$23,0)))*(VLOOKUP($B178,INDIRECT($B$5&amp;"生成成长"),3))*(VLOOKUP($B$5,标准坦克设计!$B$14:$K$20,9)/30))</f>
        <v>3.6741241943269172</v>
      </c>
      <c r="BV178" s="172">
        <f ca="1">(VLOOKUP(BV$72,INDIRECT($C$5&amp;"生成成长"),2))/((VLOOKUP($B178,INDIRECT($B$5&amp;"生成成长"),4))/(VLOOKUP(BV$72,INDIRECT($C$5&amp;"生成成长"),5))*(VLOOKUP($B$5,标准坦克设计!$B$24:$U$30,MATCH("对"&amp;LEFT($C$5,2)&amp;"输出",标准坦克设计!$B$23:$U$23,0)))*(VLOOKUP($B178,INDIRECT($B$5&amp;"生成成长"),3))*(VLOOKUP($B$5,标准坦克设计!$B$14:$K$20,9)/30))</f>
        <v>3.9544933342662971</v>
      </c>
      <c r="BW178" s="172">
        <f ca="1">(VLOOKUP(BW$72,INDIRECT($C$5&amp;"生成成长"),2))/((VLOOKUP($B178,INDIRECT($B$5&amp;"生成成长"),4))/(VLOOKUP(BW$72,INDIRECT($C$5&amp;"生成成长"),5))*(VLOOKUP($B$5,标准坦克设计!$B$24:$U$30,MATCH("对"&amp;LEFT($C$5,2)&amp;"输出",标准坦克设计!$B$23:$U$23,0)))*(VLOOKUP($B178,INDIRECT($B$5&amp;"生成成长"),3))*(VLOOKUP($B$5,标准坦克设计!$B$14:$K$20,9)/30))</f>
        <v>1.8022478776728248</v>
      </c>
      <c r="BX178" s="172">
        <f ca="1">(VLOOKUP(BX$72,INDIRECT($C$5&amp;"生成成长"),2))/((VLOOKUP($B178,INDIRECT($B$5&amp;"生成成长"),4))/(VLOOKUP(BX$72,INDIRECT($C$5&amp;"生成成长"),5))*(VLOOKUP($B$5,标准坦克设计!$B$24:$U$30,MATCH("对"&amp;LEFT($C$5,2)&amp;"输出",标准坦克设计!$B$23:$U$23,0)))*(VLOOKUP($B178,INDIRECT($B$5&amp;"生成成长"),3))*(VLOOKUP($B$5,标准坦克设计!$B$14:$K$20,9)/30))</f>
        <v>2.0001555058653278</v>
      </c>
      <c r="BY178" s="172">
        <f ca="1">(VLOOKUP(BY$72,INDIRECT($C$5&amp;"生成成长"),2))/((VLOOKUP($B178,INDIRECT($B$5&amp;"生成成长"),4))/(VLOOKUP(BY$72,INDIRECT($C$5&amp;"生成成长"),5))*(VLOOKUP($B$5,标准坦克设计!$B$24:$U$30,MATCH("对"&amp;LEFT($C$5,2)&amp;"输出",标准坦克设计!$B$23:$U$23,0)))*(VLOOKUP($B178,INDIRECT($B$5&amp;"生成成长"),3))*(VLOOKUP($B$5,标准坦克设计!$B$14:$K$20,9)/30))</f>
        <v>2.2083708230261907</v>
      </c>
      <c r="BZ178" s="172">
        <f ca="1">(VLOOKUP(BZ$72,INDIRECT($C$5&amp;"生成成长"),2))/((VLOOKUP($B178,INDIRECT($B$5&amp;"生成成长"),4))/(VLOOKUP(BZ$72,INDIRECT($C$5&amp;"生成成长"),5))*(VLOOKUP($B$5,标准坦克设计!$B$24:$U$30,MATCH("对"&amp;LEFT($C$5,2)&amp;"输出",标准坦克设计!$B$23:$U$23,0)))*(VLOOKUP($B178,INDIRECT($B$5&amp;"生成成长"),3))*(VLOOKUP($B$5,标准坦克设计!$B$14:$K$20,9)/30))</f>
        <v>2.426893829155413</v>
      </c>
      <c r="CA178" s="172">
        <f ca="1">(VLOOKUP(CA$72,INDIRECT($C$5&amp;"生成成长"),2))/((VLOOKUP($B178,INDIRECT($B$5&amp;"生成成长"),4))/(VLOOKUP(CA$72,INDIRECT($C$5&amp;"生成成长"),5))*(VLOOKUP($B$5,标准坦克设计!$B$24:$U$30,MATCH("对"&amp;LEFT($C$5,2)&amp;"输出",标准坦克设计!$B$23:$U$23,0)))*(VLOOKUP($B178,INDIRECT($B$5&amp;"生成成长"),3))*(VLOOKUP($B$5,标准坦克设计!$B$14:$K$20,9)/30))</f>
        <v>2.6557245242529945</v>
      </c>
      <c r="CB178" s="172">
        <f ca="1">(VLOOKUP(CB$72,INDIRECT($C$5&amp;"生成成长"),2))/((VLOOKUP($B178,INDIRECT($B$5&amp;"生成成长"),4))/(VLOOKUP(CB$72,INDIRECT($C$5&amp;"生成成长"),5))*(VLOOKUP($B$5,标准坦克设计!$B$24:$U$30,MATCH("对"&amp;LEFT($C$5,2)&amp;"输出",标准坦克设计!$B$23:$U$23,0)))*(VLOOKUP($B178,INDIRECT($B$5&amp;"生成成长"),3))*(VLOOKUP($B$5,标准坦克设计!$B$14:$K$20,9)/30))</f>
        <v>2.8948629083189354</v>
      </c>
      <c r="CC178" s="172">
        <f ca="1">(VLOOKUP(CC$72,INDIRECT($C$5&amp;"生成成长"),2))/((VLOOKUP($B178,INDIRECT($B$5&amp;"生成成长"),4))/(VLOOKUP(CC$72,INDIRECT($C$5&amp;"生成成长"),5))*(VLOOKUP($B$5,标准坦克设计!$B$24:$U$30,MATCH("对"&amp;LEFT($C$5,2)&amp;"输出",标准坦克设计!$B$23:$U$23,0)))*(VLOOKUP($B178,INDIRECT($B$5&amp;"生成成长"),3))*(VLOOKUP($B$5,标准坦克设计!$B$14:$K$20,9)/30))</f>
        <v>3.1443089813532374</v>
      </c>
      <c r="CD178" s="172">
        <f ca="1">(VLOOKUP(CD$72,INDIRECT($C$5&amp;"生成成长"),2))/((VLOOKUP($B178,INDIRECT($B$5&amp;"生成成长"),4))/(VLOOKUP(CD$72,INDIRECT($C$5&amp;"生成成长"),5))*(VLOOKUP($B$5,标准坦克设计!$B$24:$U$30,MATCH("对"&amp;LEFT($C$5,2)&amp;"输出",标准坦克设计!$B$23:$U$23,0)))*(VLOOKUP($B178,INDIRECT($B$5&amp;"生成成长"),3))*(VLOOKUP($B$5,标准坦克设计!$B$14:$K$20,9)/30))</f>
        <v>3.4040627433558974</v>
      </c>
      <c r="CE178" s="172">
        <f ca="1">(VLOOKUP(CE$72,INDIRECT($C$5&amp;"生成成长"),2))/((VLOOKUP($B178,INDIRECT($B$5&amp;"生成成长"),4))/(VLOOKUP(CE$72,INDIRECT($C$5&amp;"生成成长"),5))*(VLOOKUP($B$5,标准坦克设计!$B$24:$U$30,MATCH("对"&amp;LEFT($C$5,2)&amp;"输出",标准坦克设计!$B$23:$U$23,0)))*(VLOOKUP($B178,INDIRECT($B$5&amp;"生成成长"),3))*(VLOOKUP($B$5,标准坦克设计!$B$14:$K$20,9)/30))</f>
        <v>3.6741241943269172</v>
      </c>
      <c r="CF178" s="172">
        <f ca="1">(VLOOKUP(CF$72,INDIRECT($C$5&amp;"生成成长"),2))/((VLOOKUP($B178,INDIRECT($B$5&amp;"生成成长"),4))/(VLOOKUP(CF$72,INDIRECT($C$5&amp;"生成成长"),5))*(VLOOKUP($B$5,标准坦克设计!$B$24:$U$30,MATCH("对"&amp;LEFT($C$5,2)&amp;"输出",标准坦克设计!$B$23:$U$23,0)))*(VLOOKUP($B178,INDIRECT($B$5&amp;"生成成长"),3))*(VLOOKUP($B$5,标准坦克设计!$B$14:$K$20,9)/30))</f>
        <v>3.9544933342662971</v>
      </c>
      <c r="CG178" s="172">
        <f ca="1">(VLOOKUP(CG$72,INDIRECT($C$5&amp;"生成成长"),2))/((VLOOKUP($B178,INDIRECT($B$5&amp;"生成成长"),4))/(VLOOKUP(CG$72,INDIRECT($C$5&amp;"生成成长"),5))*(VLOOKUP($B$5,标准坦克设计!$B$24:$U$30,MATCH("对"&amp;LEFT($C$5,2)&amp;"输出",标准坦克设计!$B$23:$U$23,0)))*(VLOOKUP($B178,INDIRECT($B$5&amp;"生成成长"),3))*(VLOOKUP($B$5,标准坦克设计!$B$14:$K$20,9)/30))</f>
        <v>4.2451701631740368</v>
      </c>
      <c r="CH178" s="172">
        <f ca="1">(VLOOKUP(CH$72,INDIRECT($C$5&amp;"生成成长"),2))/((VLOOKUP($B178,INDIRECT($B$5&amp;"生成成长"),4))/(VLOOKUP(CH$72,INDIRECT($C$5&amp;"生成成长"),5))*(VLOOKUP($B$5,标准坦克设计!$B$24:$U$30,MATCH("对"&amp;LEFT($C$5,2)&amp;"输出",标准坦克设计!$B$23:$U$23,0)))*(VLOOKUP($B178,INDIRECT($B$5&amp;"生成成长"),3))*(VLOOKUP($B$5,标准坦克设计!$B$14:$K$20,9)/30))</f>
        <v>4.546154681050135</v>
      </c>
      <c r="CI178" s="172">
        <f ca="1">(VLOOKUP(CI$72,INDIRECT($C$5&amp;"生成成长"),2))/((VLOOKUP($B178,INDIRECT($B$5&amp;"生成成长"),4))/(VLOOKUP(CI$72,INDIRECT($C$5&amp;"生成成长"),5))*(VLOOKUP($B$5,标准坦克设计!$B$24:$U$30,MATCH("对"&amp;LEFT($C$5,2)&amp;"输出",标准坦克设计!$B$23:$U$23,0)))*(VLOOKUP($B178,INDIRECT($B$5&amp;"生成成长"),3))*(VLOOKUP($B$5,标准坦克设计!$B$14:$K$20,9)/30))</f>
        <v>4.8891430314722992</v>
      </c>
      <c r="CJ178" s="172">
        <f ca="1">(VLOOKUP(CJ$72,INDIRECT($C$5&amp;"生成成长"),2))/((VLOOKUP($B178,INDIRECT($B$5&amp;"生成成长"),4))/(VLOOKUP(CJ$72,INDIRECT($C$5&amp;"生成成长"),5))*(VLOOKUP($B$5,标准坦克设计!$B$24:$U$30,MATCH("对"&amp;LEFT($C$5,2)&amp;"输出",标准坦克设计!$B$23:$U$23,0)))*(VLOOKUP($B178,INDIRECT($B$5&amp;"生成成长"),3))*(VLOOKUP($B$5,标准坦克设计!$B$14:$K$20,9)/30))</f>
        <v>5.2446036855461768</v>
      </c>
      <c r="CK178" s="172">
        <f ca="1">(VLOOKUP(CK$72,INDIRECT($C$5&amp;"生成成长"),2))/((VLOOKUP($B178,INDIRECT($B$5&amp;"生成成长"),4))/(VLOOKUP(CK$72,INDIRECT($C$5&amp;"生成成长"),5))*(VLOOKUP($B$5,标准坦克设计!$B$24:$U$30,MATCH("对"&amp;LEFT($C$5,2)&amp;"输出",标准坦克设计!$B$23:$U$23,0)))*(VLOOKUP($B178,INDIRECT($B$5&amp;"生成成长"),3))*(VLOOKUP($B$5,标准坦克设计!$B$14:$K$20,9)/30))</f>
        <v>5.6125366432717714</v>
      </c>
      <c r="CL178" s="172">
        <f ca="1">(VLOOKUP(CL$72,INDIRECT($C$5&amp;"生成成长"),2))/((VLOOKUP($B178,INDIRECT($B$5&amp;"生成成长"),4))/(VLOOKUP(CL$72,INDIRECT($C$5&amp;"生成成长"),5))*(VLOOKUP($B$5,标准坦克设计!$B$24:$U$30,MATCH("对"&amp;LEFT($C$5,2)&amp;"输出",标准坦克设计!$B$23:$U$23,0)))*(VLOOKUP($B178,INDIRECT($B$5&amp;"生成成长"),3))*(VLOOKUP($B$5,标准坦克设计!$B$14:$K$20,9)/30))</f>
        <v>5.9929419046490793</v>
      </c>
      <c r="CM178" s="172">
        <f ca="1">(VLOOKUP(CM$72,INDIRECT($C$5&amp;"生成成长"),2))/((VLOOKUP($B178,INDIRECT($B$5&amp;"生成成长"),4))/(VLOOKUP(CM$72,INDIRECT($C$5&amp;"生成成长"),5))*(VLOOKUP($B$5,标准坦克设计!$B$24:$U$30,MATCH("对"&amp;LEFT($C$5,2)&amp;"输出",标准坦克设计!$B$23:$U$23,0)))*(VLOOKUP($B178,INDIRECT($B$5&amp;"生成成长"),3))*(VLOOKUP($B$5,标准坦克设计!$B$14:$K$20,9)/30))</f>
        <v>6.3858194696781041</v>
      </c>
      <c r="CN178" s="172">
        <f ca="1">(VLOOKUP(CN$72,INDIRECT($C$5&amp;"生成成长"),2))/((VLOOKUP($B178,INDIRECT($B$5&amp;"生成成长"),4))/(VLOOKUP(CN$72,INDIRECT($C$5&amp;"生成成长"),5))*(VLOOKUP($B$5,标准坦克设计!$B$24:$U$30,MATCH("对"&amp;LEFT($C$5,2)&amp;"输出",标准坦克设计!$B$23:$U$23,0)))*(VLOOKUP($B178,INDIRECT($B$5&amp;"生成成长"),3))*(VLOOKUP($B$5,标准坦克设计!$B$14:$K$20,9)/30))</f>
        <v>6.7911693383588432</v>
      </c>
      <c r="CO178" s="172">
        <f ca="1">(VLOOKUP(CO$72,INDIRECT($C$5&amp;"生成成长"),2))/((VLOOKUP($B178,INDIRECT($B$5&amp;"生成成长"),4))/(VLOOKUP(CO$72,INDIRECT($C$5&amp;"生成成长"),5))*(VLOOKUP($B$5,标准坦克设计!$B$24:$U$30,MATCH("对"&amp;LEFT($C$5,2)&amp;"输出",标准坦克设计!$B$23:$U$23,0)))*(VLOOKUP($B178,INDIRECT($B$5&amp;"生成成长"),3))*(VLOOKUP($B$5,标准坦克设计!$B$14:$K$20,9)/30))</f>
        <v>3.0432936294633133</v>
      </c>
      <c r="CP178" s="172">
        <f ca="1">(VLOOKUP(CP$72,INDIRECT($C$5&amp;"生成成长"),2))/((VLOOKUP($B178,INDIRECT($B$5&amp;"生成成长"),4))/(VLOOKUP(CP$72,INDIRECT($C$5&amp;"生成成长"),5))*(VLOOKUP($B$5,标准坦克设计!$B$24:$U$30,MATCH("对"&amp;LEFT($C$5,2)&amp;"输出",标准坦克设计!$B$23:$U$23,0)))*(VLOOKUP($B178,INDIRECT($B$5&amp;"生成成长"),3))*(VLOOKUP($B$5,标准坦克设计!$B$14:$K$20,9)/30))</f>
        <v>3.325054307413422</v>
      </c>
      <c r="CQ178" s="172">
        <f ca="1">(VLOOKUP(CQ$72,INDIRECT($C$5&amp;"生成成长"),2))/((VLOOKUP($B178,INDIRECT($B$5&amp;"生成成长"),4))/(VLOOKUP(CQ$72,INDIRECT($C$5&amp;"生成成长"),5))*(VLOOKUP($B$5,标准坦克设计!$B$24:$U$30,MATCH("对"&amp;LEFT($C$5,2)&amp;"输出",标准坦克设计!$B$23:$U$23,0)))*(VLOOKUP($B178,INDIRECT($B$5&amp;"生成成长"),3))*(VLOOKUP($B$5,标准坦克设计!$B$14:$K$20,9)/30))</f>
        <v>3.6192872890152445</v>
      </c>
      <c r="CR178" s="172">
        <f ca="1">(VLOOKUP(CR$72,INDIRECT($C$5&amp;"生成成长"),2))/((VLOOKUP($B178,INDIRECT($B$5&amp;"生成成长"),4))/(VLOOKUP(CR$72,INDIRECT($C$5&amp;"生成成长"),5))*(VLOOKUP($B$5,标准坦克设计!$B$24:$U$30,MATCH("对"&amp;LEFT($C$5,2)&amp;"输出",标准坦克设计!$B$23:$U$23,0)))*(VLOOKUP($B178,INDIRECT($B$5&amp;"生成成长"),3))*(VLOOKUP($B$5,标准坦克设计!$B$14:$K$20,9)/30))</f>
        <v>3.9259925742687836</v>
      </c>
      <c r="CS178" s="172">
        <f ca="1">(VLOOKUP(CS$72,INDIRECT($C$5&amp;"生成成长"),2))/((VLOOKUP($B178,INDIRECT($B$5&amp;"生成成长"),4))/(VLOOKUP(CS$72,INDIRECT($C$5&amp;"生成成长"),5))*(VLOOKUP($B$5,标准坦克设计!$B$24:$U$30,MATCH("对"&amp;LEFT($C$5,2)&amp;"输出",标准坦克设计!$B$23:$U$23,0)))*(VLOOKUP($B178,INDIRECT($B$5&amp;"生成成长"),3))*(VLOOKUP($B$5,标准坦克设计!$B$14:$K$20,9)/30))</f>
        <v>4.2451701631740368</v>
      </c>
      <c r="CT178" s="172">
        <f ca="1">(VLOOKUP(CT$72,INDIRECT($C$5&amp;"生成成长"),2))/((VLOOKUP($B178,INDIRECT($B$5&amp;"生成成长"),4))/(VLOOKUP(CT$72,INDIRECT($C$5&amp;"生成成长"),5))*(VLOOKUP($B$5,标准坦克设计!$B$24:$U$30,MATCH("对"&amp;LEFT($C$5,2)&amp;"输出",标准坦克设计!$B$23:$U$23,0)))*(VLOOKUP($B178,INDIRECT($B$5&amp;"生成成长"),3))*(VLOOKUP($B$5,标准坦克设计!$B$14:$K$20,9)/30))</f>
        <v>4.5768200557310044</v>
      </c>
      <c r="CU178" s="172">
        <f ca="1">(VLOOKUP(CU$72,INDIRECT($C$5&amp;"生成成长"),2))/((VLOOKUP($B178,INDIRECT($B$5&amp;"生成成长"),4))/(VLOOKUP(CU$72,INDIRECT($C$5&amp;"生成成长"),5))*(VLOOKUP($B$5,标准坦克设计!$B$24:$U$30,MATCH("对"&amp;LEFT($C$5,2)&amp;"输出",标准坦克设计!$B$23:$U$23,0)))*(VLOOKUP($B178,INDIRECT($B$5&amp;"生成成长"),3))*(VLOOKUP($B$5,标准坦克设计!$B$14:$K$20,9)/30))</f>
        <v>4.9209422519396879</v>
      </c>
      <c r="CV178" s="172">
        <f ca="1">(VLOOKUP(CV$72,INDIRECT($C$5&amp;"生成成长"),2))/((VLOOKUP($B178,INDIRECT($B$5&amp;"生成成长"),4))/(VLOOKUP(CV$72,INDIRECT($C$5&amp;"生成成长"),5))*(VLOOKUP($B$5,标准坦克设计!$B$24:$U$30,MATCH("对"&amp;LEFT($C$5,2)&amp;"输出",标准坦克设计!$B$23:$U$23,0)))*(VLOOKUP($B178,INDIRECT($B$5&amp;"生成成长"),3))*(VLOOKUP($B$5,标准坦克设计!$B$14:$K$20,9)/30))</f>
        <v>5.2775367518000866</v>
      </c>
      <c r="CW178" s="172">
        <f ca="1">(VLOOKUP(CW$72,INDIRECT($C$5&amp;"生成成长"),2))/((VLOOKUP($B178,INDIRECT($B$5&amp;"生成成长"),4))/(VLOOKUP(CW$72,INDIRECT($C$5&amp;"生成成长"),5))*(VLOOKUP($B$5,标准坦克设计!$B$24:$U$30,MATCH("对"&amp;LEFT($C$5,2)&amp;"输出",标准坦克设计!$B$23:$U$23,0)))*(VLOOKUP($B178,INDIRECT($B$5&amp;"生成成长"),3))*(VLOOKUP($B$5,标准坦克设计!$B$14:$K$20,9)/30))</f>
        <v>5.6466035553121996</v>
      </c>
      <c r="CX178" s="172">
        <f ca="1">(VLOOKUP(CX$72,INDIRECT($C$5&amp;"生成成长"),2))/((VLOOKUP($B178,INDIRECT($B$5&amp;"生成成长"),4))/(VLOOKUP(CX$72,INDIRECT($C$5&amp;"生成成长"),5))*(VLOOKUP($B$5,标准坦克设计!$B$24:$U$30,MATCH("对"&amp;LEFT($C$5,2)&amp;"输出",标准坦克设计!$B$23:$U$23,0)))*(VLOOKUP($B178,INDIRECT($B$5&amp;"生成成长"),3))*(VLOOKUP($B$5,标准坦克设计!$B$14:$K$20,9)/30))</f>
        <v>6.0281426624760295</v>
      </c>
      <c r="CY178" s="172">
        <f ca="1">(VLOOKUP(CY$72,INDIRECT($C$5&amp;"生成成长"),2))/((VLOOKUP($B178,INDIRECT($B$5&amp;"生成成长"),4))/(VLOOKUP(CY$72,INDIRECT($C$5&amp;"生成成长"),5))*(VLOOKUP($B$5,标准坦克设计!$B$24:$U$30,MATCH("对"&amp;LEFT($C$5,2)&amp;"输出",标准坦克设计!$B$23:$U$23,0)))*(VLOOKUP($B178,INDIRECT($B$5&amp;"生成成长"),3))*(VLOOKUP($B$5,标准坦克设计!$B$14:$K$20,9)/30))</f>
        <v>6.4221540732915718</v>
      </c>
      <c r="CZ178" s="172">
        <f ca="1">(VLOOKUP(CZ$72,INDIRECT($C$5&amp;"生成成长"),2))/((VLOOKUP($B178,INDIRECT($B$5&amp;"生成成长"),4))/(VLOOKUP(CZ$72,INDIRECT($C$5&amp;"生成成长"),5))*(VLOOKUP($B$5,标准坦克设计!$B$24:$U$30,MATCH("对"&amp;LEFT($C$5,2)&amp;"输出",标准坦克设计!$B$23:$U$23,0)))*(VLOOKUP($B178,INDIRECT($B$5&amp;"生成成长"),3))*(VLOOKUP($B$5,标准坦克设计!$B$14:$K$20,9)/30))</f>
        <v>6.8286377877588302</v>
      </c>
      <c r="DA178" s="172">
        <f ca="1">(VLOOKUP(DA$72,INDIRECT($C$5&amp;"生成成长"),2))/((VLOOKUP($B178,INDIRECT($B$5&amp;"生成成长"),4))/(VLOOKUP(DA$72,INDIRECT($C$5&amp;"生成成长"),5))*(VLOOKUP($B$5,标准坦克设计!$B$24:$U$30,MATCH("对"&amp;LEFT($C$5,2)&amp;"输出",标准坦克设计!$B$23:$U$23,0)))*(VLOOKUP($B178,INDIRECT($B$5&amp;"生成成长"),3))*(VLOOKUP($B$5,标准坦克设计!$B$14:$K$20,9)/30))</f>
        <v>7.2475938058778047</v>
      </c>
      <c r="DB178" s="172">
        <f ca="1">(VLOOKUP(DB$72,INDIRECT($C$5&amp;"生成成长"),2))/((VLOOKUP($B178,INDIRECT($B$5&amp;"生成成长"),4))/(VLOOKUP(DB$72,INDIRECT($C$5&amp;"生成成长"),5))*(VLOOKUP($B$5,标准坦克设计!$B$24:$U$30,MATCH("对"&amp;LEFT($C$5,2)&amp;"输出",标准坦克设计!$B$23:$U$23,0)))*(VLOOKUP($B178,INDIRECT($B$5&amp;"生成成长"),3))*(VLOOKUP($B$5,标准坦克设计!$B$14:$K$20,9)/30))</f>
        <v>7.6790221276484933</v>
      </c>
      <c r="DC178" s="172">
        <f ca="1">(VLOOKUP(DC$72,INDIRECT($C$5&amp;"生成成长"),2))/((VLOOKUP($B178,INDIRECT($B$5&amp;"生成成长"),4))/(VLOOKUP(DC$72,INDIRECT($C$5&amp;"生成成长"),5))*(VLOOKUP($B$5,标准坦克设计!$B$24:$U$30,MATCH("对"&amp;LEFT($C$5,2)&amp;"输出",标准坦克设计!$B$23:$U$23,0)))*(VLOOKUP($B178,INDIRECT($B$5&amp;"生成成长"),3))*(VLOOKUP($B$5,标准坦克设计!$B$14:$K$20,9)/30))</f>
        <v>8.1638958167201263</v>
      </c>
      <c r="DD178" s="172">
        <f ca="1">(VLOOKUP(DD$72,INDIRECT($C$5&amp;"生成成长"),2))/((VLOOKUP($B178,INDIRECT($B$5&amp;"生成成长"),4))/(VLOOKUP(DD$72,INDIRECT($C$5&amp;"生成成长"),5))*(VLOOKUP($B$5,标准坦克设计!$B$24:$U$30,MATCH("对"&amp;LEFT($C$5,2)&amp;"输出",标准坦克设计!$B$23:$U$23,0)))*(VLOOKUP($B178,INDIRECT($B$5&amp;"生成成长"),3))*(VLOOKUP($B$5,标准坦克设计!$B$14:$K$20,9)/30))</f>
        <v>8.6636125779061963</v>
      </c>
      <c r="DE178" s="172">
        <f ca="1">(VLOOKUP(DE$72,INDIRECT($C$5&amp;"生成成长"),2))/((VLOOKUP($B178,INDIRECT($B$5&amp;"生成成长"),4))/(VLOOKUP(DE$72,INDIRECT($C$5&amp;"生成成长"),5))*(VLOOKUP($B$5,标准坦克设计!$B$24:$U$30,MATCH("对"&amp;LEFT($C$5,2)&amp;"输出",标准坦克设计!$B$23:$U$23,0)))*(VLOOKUP($B178,INDIRECT($B$5&amp;"生成成长"),3))*(VLOOKUP($B$5,标准坦克设计!$B$14:$K$20,9)/30))</f>
        <v>9.1781724112067042</v>
      </c>
      <c r="DF178" s="172">
        <f ca="1">(VLOOKUP(DF$72,INDIRECT($C$5&amp;"生成成长"),2))/((VLOOKUP($B178,INDIRECT($B$5&amp;"生成成长"),4))/(VLOOKUP(DF$72,INDIRECT($C$5&amp;"生成成长"),5))*(VLOOKUP($B$5,标准坦克设计!$B$24:$U$30,MATCH("对"&amp;LEFT($C$5,2)&amp;"输出",标准坦克设计!$B$23:$U$23,0)))*(VLOOKUP($B178,INDIRECT($B$5&amp;"生成成长"),3))*(VLOOKUP($B$5,标准坦克设计!$B$14:$K$20,9)/30))</f>
        <v>9.7075753166216519</v>
      </c>
      <c r="DG178" s="172">
        <f ca="1">(VLOOKUP(DG$72,INDIRECT($C$5&amp;"生成成长"),2))/((VLOOKUP($B178,INDIRECT($B$5&amp;"生成成长"),4))/(VLOOKUP(DG$72,INDIRECT($C$5&amp;"生成成长"),5))*(VLOOKUP($B$5,标准坦克设计!$B$24:$U$30,MATCH("对"&amp;LEFT($C$5,2)&amp;"输出",标准坦克设计!$B$23:$U$23,0)))*(VLOOKUP($B178,INDIRECT($B$5&amp;"生成成长"),3))*(VLOOKUP($B$5,标准坦克设计!$B$14:$K$20,9)/30))</f>
        <v>10.251821294151037</v>
      </c>
      <c r="DH178" s="172">
        <f ca="1">(VLOOKUP(DH$72,INDIRECT($C$5&amp;"生成成长"),2))/((VLOOKUP($B178,INDIRECT($B$5&amp;"生成成长"),4))/(VLOOKUP(DH$72,INDIRECT($C$5&amp;"生成成长"),5))*(VLOOKUP($B$5,标准坦克设计!$B$24:$U$30,MATCH("对"&amp;LEFT($C$5,2)&amp;"输出",标准坦克设计!$B$23:$U$23,0)))*(VLOOKUP($B178,INDIRECT($B$5&amp;"生成成长"),3))*(VLOOKUP($B$5,标准坦克设计!$B$14:$K$20,9)/30))</f>
        <v>10.810910343794855</v>
      </c>
      <c r="DI178" s="172">
        <f ca="1">(VLOOKUP(DI$72,INDIRECT($C$5&amp;"生成成长"),2))/((VLOOKUP($B178,INDIRECT($B$5&amp;"生成成长"),4))/(VLOOKUP(DI$72,INDIRECT($C$5&amp;"生成成长"),5))*(VLOOKUP($B$5,标准坦克设计!$B$24:$U$30,MATCH("对"&amp;LEFT($C$5,2)&amp;"输出",标准坦克设计!$B$23:$U$23,0)))*(VLOOKUP($B178,INDIRECT($B$5&amp;"生成成长"),3))*(VLOOKUP($B$5,标准坦克设计!$B$14:$K$20,9)/30))</f>
        <v>11.384842465553115</v>
      </c>
      <c r="DJ178" s="172">
        <f ca="1">(VLOOKUP(DJ$72,INDIRECT($C$5&amp;"生成成长"),2))/((VLOOKUP($B178,INDIRECT($B$5&amp;"生成成长"),4))/(VLOOKUP(DJ$72,INDIRECT($C$5&amp;"生成成长"),5))*(VLOOKUP($B$5,标准坦克设计!$B$24:$U$30,MATCH("对"&amp;LEFT($C$5,2)&amp;"输出",标准坦克设计!$B$23:$U$23,0)))*(VLOOKUP($B178,INDIRECT($B$5&amp;"生成成长"),3))*(VLOOKUP($B$5,标准坦克设计!$B$14:$K$20,9)/30))</f>
        <v>1.1442050139327511</v>
      </c>
      <c r="DK178" s="172">
        <f ca="1">(VLOOKUP(DK$72,INDIRECT($C$5&amp;"生成成长"),2))/((VLOOKUP($B178,INDIRECT($B$5&amp;"生成成长"),4))/(VLOOKUP(DK$72,INDIRECT($C$5&amp;"生成成长"),5))*(VLOOKUP($B$5,标准坦克设计!$B$24:$U$30,MATCH("对"&amp;LEFT($C$5,2)&amp;"输出",标准坦克设计!$B$23:$U$23,0)))*(VLOOKUP($B178,INDIRECT($B$5&amp;"生成成长"),3))*(VLOOKUP($B$5,标准坦克设计!$B$14:$K$20,9)/30))</f>
        <v>1.2866057370306383</v>
      </c>
      <c r="DL178" s="172">
        <f ca="1">(VLOOKUP(DL$72,INDIRECT($C$5&amp;"生成成长"),2))/((VLOOKUP($B178,INDIRECT($B$5&amp;"生成成长"),4))/(VLOOKUP(DL$72,INDIRECT($C$5&amp;"生成成长"),5))*(VLOOKUP($B$5,标准坦克设计!$B$24:$U$30,MATCH("对"&amp;LEFT($C$5,2)&amp;"输出",标准坦克设计!$B$23:$U$23,0)))*(VLOOKUP($B178,INDIRECT($B$5&amp;"生成成长"),3))*(VLOOKUP($B$5,标准坦克设计!$B$14:$K$20,9)/30))</f>
        <v>1.4373556881928966</v>
      </c>
      <c r="DM178" s="172">
        <f ca="1">(VLOOKUP(DM$72,INDIRECT($C$5&amp;"生成成长"),2))/((VLOOKUP($B178,INDIRECT($B$5&amp;"生成成长"),4))/(VLOOKUP(DM$72,INDIRECT($C$5&amp;"生成成长"),5))*(VLOOKUP($B$5,标准坦克设计!$B$24:$U$30,MATCH("对"&amp;LEFT($C$5,2)&amp;"输出",标准坦克设计!$B$23:$U$23,0)))*(VLOOKUP($B178,INDIRECT($B$5&amp;"生成成长"),3))*(VLOOKUP($B$5,标准坦克设计!$B$14:$K$20,9)/30))</f>
        <v>1.596454867419526</v>
      </c>
      <c r="DN178" s="172">
        <f ca="1">(VLOOKUP(DN$72,INDIRECT($C$5&amp;"生成成长"),2))/((VLOOKUP($B178,INDIRECT($B$5&amp;"生成成长"),4))/(VLOOKUP(DN$72,INDIRECT($C$5&amp;"生成成长"),5))*(VLOOKUP($B$5,标准坦克设计!$B$24:$U$30,MATCH("对"&amp;LEFT($C$5,2)&amp;"输出",标准坦克设计!$B$23:$U$23,0)))*(VLOOKUP($B178,INDIRECT($B$5&amp;"生成成长"),3))*(VLOOKUP($B$5,标准坦克设计!$B$14:$K$20,9)/30))</f>
        <v>1.763903274710527</v>
      </c>
      <c r="DO178" s="172">
        <f ca="1">(VLOOKUP(DO$72,INDIRECT($C$5&amp;"生成成长"),2))/((VLOOKUP($B178,INDIRECT($B$5&amp;"生成成长"),4))/(VLOOKUP(DO$72,INDIRECT($C$5&amp;"生成成长"),5))*(VLOOKUP($B$5,标准坦克设计!$B$24:$U$30,MATCH("对"&amp;LEFT($C$5,2)&amp;"输出",标准坦克设计!$B$23:$U$23,0)))*(VLOOKUP($B178,INDIRECT($B$5&amp;"生成成长"),3))*(VLOOKUP($B$5,标准坦克设计!$B$14:$K$20,9)/30))</f>
        <v>1.9397009100658991</v>
      </c>
      <c r="DP178" s="172">
        <f ca="1">(VLOOKUP(DP$72,INDIRECT($C$5&amp;"生成成长"),2))/((VLOOKUP($B178,INDIRECT($B$5&amp;"生成成长"),4))/(VLOOKUP(DP$72,INDIRECT($C$5&amp;"生成成长"),5))*(VLOOKUP($B$5,标准坦克设计!$B$24:$U$30,MATCH("对"&amp;LEFT($C$5,2)&amp;"输出",标准坦克设计!$B$23:$U$23,0)))*(VLOOKUP($B178,INDIRECT($B$5&amp;"生成成长"),3))*(VLOOKUP($B$5,标准坦克设计!$B$14:$K$20,9)/30))</f>
        <v>2.1238477734856422</v>
      </c>
      <c r="DQ178" s="172">
        <f ca="1">(VLOOKUP(DQ$72,INDIRECT($C$5&amp;"生成成长"),2))/((VLOOKUP($B178,INDIRECT($B$5&amp;"生成成长"),4))/(VLOOKUP(DQ$72,INDIRECT($C$5&amp;"生成成长"),5))*(VLOOKUP($B$5,标准坦克设计!$B$24:$U$30,MATCH("对"&amp;LEFT($C$5,2)&amp;"输出",标准坦克设计!$B$23:$U$23,0)))*(VLOOKUP($B178,INDIRECT($B$5&amp;"生成成长"),3))*(VLOOKUP($B$5,标准坦克设计!$B$14:$K$20,9)/30))</f>
        <v>2.3163438649697565</v>
      </c>
      <c r="DR178" s="172">
        <f ca="1">(VLOOKUP(DR$72,INDIRECT($C$5&amp;"生成成长"),2))/((VLOOKUP($B178,INDIRECT($B$5&amp;"生成成长"),4))/(VLOOKUP(DR$72,INDIRECT($C$5&amp;"生成成长"),5))*(VLOOKUP($B$5,标准坦克设计!$B$24:$U$30,MATCH("对"&amp;LEFT($C$5,2)&amp;"输出",标准坦克设计!$B$23:$U$23,0)))*(VLOOKUP($B178,INDIRECT($B$5&amp;"生成成长"),3))*(VLOOKUP($B$5,标准坦克设计!$B$14:$K$20,9)/30))</f>
        <v>2.5171891845182421</v>
      </c>
      <c r="DS178" s="172">
        <f ca="1">(VLOOKUP(DS$72,INDIRECT($C$5&amp;"生成成长"),2))/((VLOOKUP($B178,INDIRECT($B$5&amp;"生成成长"),4))/(VLOOKUP(DS$72,INDIRECT($C$5&amp;"生成成长"),5))*(VLOOKUP($B$5,标准坦克设计!$B$24:$U$30,MATCH("对"&amp;LEFT($C$5,2)&amp;"输出",标准坦克设计!$B$23:$U$23,0)))*(VLOOKUP($B178,INDIRECT($B$5&amp;"生成成长"),3))*(VLOOKUP($B$5,标准坦克设计!$B$14:$K$20,9)/30))</f>
        <v>2.7263837321311</v>
      </c>
      <c r="DT178" s="172">
        <f ca="1">(VLOOKUP(DT$72,INDIRECT($C$5&amp;"生成成长"),2))/((VLOOKUP($B178,INDIRECT($B$5&amp;"生成成长"),4))/(VLOOKUP(DT$72,INDIRECT($C$5&amp;"生成成长"),5))*(VLOOKUP($B$5,标准坦克设计!$B$24:$U$30,MATCH("对"&amp;LEFT($C$5,2)&amp;"输出",标准坦克设计!$B$23:$U$23,0)))*(VLOOKUP($B178,INDIRECT($B$5&amp;"生成成长"),3))*(VLOOKUP($B$5,标准坦克设计!$B$14:$K$20,9)/30))</f>
        <v>2.9934044148564531</v>
      </c>
      <c r="DU178" s="172">
        <f ca="1">(VLOOKUP(DU$72,INDIRECT($C$5&amp;"生成成长"),2))/((VLOOKUP($B178,INDIRECT($B$5&amp;"生成成长"),4))/(VLOOKUP(DU$72,INDIRECT($C$5&amp;"生成成长"),5))*(VLOOKUP($B$5,标准坦克设计!$B$24:$U$30,MATCH("对"&amp;LEFT($C$5,2)&amp;"输出",标准坦克设计!$B$23:$U$23,0)))*(VLOOKUP($B178,INDIRECT($B$5&amp;"生成成长"),3))*(VLOOKUP($B$5,标准坦克设计!$B$14:$K$20,9)/30))</f>
        <v>3.2728974012335219</v>
      </c>
      <c r="DV178" s="172">
        <f ca="1">(VLOOKUP(DV$72,INDIRECT($C$5&amp;"生成成长"),2))/((VLOOKUP($B178,INDIRECT($B$5&amp;"生成成长"),4))/(VLOOKUP(DV$72,INDIRECT($C$5&amp;"生成成长"),5))*(VLOOKUP($B$5,标准坦克设计!$B$24:$U$30,MATCH("对"&amp;LEFT($C$5,2)&amp;"输出",标准坦克设计!$B$23:$U$23,0)))*(VLOOKUP($B178,INDIRECT($B$5&amp;"生成成长"),3))*(VLOOKUP($B$5,标准坦克设计!$B$14:$K$20,9)/30))</f>
        <v>3.5648626912623058</v>
      </c>
      <c r="DW178" s="172">
        <f ca="1">(VLOOKUP(DW$72,INDIRECT($C$5&amp;"生成成长"),2))/((VLOOKUP($B178,INDIRECT($B$5&amp;"生成成长"),4))/(VLOOKUP(DW$72,INDIRECT($C$5&amp;"生成成长"),5))*(VLOOKUP($B$5,标准坦克设计!$B$24:$U$30,MATCH("对"&amp;LEFT($C$5,2)&amp;"输出",标准坦克设计!$B$23:$U$23,0)))*(VLOOKUP($B178,INDIRECT($B$5&amp;"生成成长"),3))*(VLOOKUP($B$5,标准坦克设计!$B$14:$K$20,9)/30))</f>
        <v>3.8693002849428049</v>
      </c>
      <c r="DX178" s="172">
        <f ca="1">(VLOOKUP(DX$72,INDIRECT($C$5&amp;"生成成长"),2))/((VLOOKUP($B178,INDIRECT($B$5&amp;"生成成长"),4))/(VLOOKUP(DX$72,INDIRECT($C$5&amp;"生成成长"),5))*(VLOOKUP($B$5,标准坦克设计!$B$24:$U$30,MATCH("对"&amp;LEFT($C$5,2)&amp;"输出",标准坦克设计!$B$23:$U$23,0)))*(VLOOKUP($B178,INDIRECT($B$5&amp;"生成成长"),3))*(VLOOKUP($B$5,标准坦克设计!$B$14:$K$20,9)/30))</f>
        <v>4.1862101822750191</v>
      </c>
      <c r="DY178" s="172">
        <f ca="1">(VLOOKUP(DY$72,INDIRECT($C$5&amp;"生成成长"),2))/((VLOOKUP($B178,INDIRECT($B$5&amp;"生成成长"),4))/(VLOOKUP(DY$72,INDIRECT($C$5&amp;"生成成长"),5))*(VLOOKUP($B$5,标准坦克设计!$B$24:$U$30,MATCH("对"&amp;LEFT($C$5,2)&amp;"输出",标准坦克设计!$B$23:$U$23,0)))*(VLOOKUP($B178,INDIRECT($B$5&amp;"生成成长"),3))*(VLOOKUP($B$5,标准坦克设计!$B$14:$K$20,9)/30))</f>
        <v>1.8801740062736225</v>
      </c>
      <c r="DZ178" s="172">
        <f ca="1">(VLOOKUP(DZ$72,INDIRECT($C$5&amp;"生成成长"),2))/((VLOOKUP($B178,INDIRECT($B$5&amp;"生成成长"),4))/(VLOOKUP(DZ$72,INDIRECT($C$5&amp;"生成成长"),5))*(VLOOKUP($B$5,标准坦克设计!$B$24:$U$30,MATCH("对"&amp;LEFT($C$5,2)&amp;"输出",标准坦克设计!$B$23:$U$23,0)))*(VLOOKUP($B178,INDIRECT($B$5&amp;"生成成长"),3))*(VLOOKUP($B$5,标准坦克设计!$B$14:$K$20,9)/30))</f>
        <v>2.0822047100534697</v>
      </c>
      <c r="EA178" s="172">
        <f ca="1">(VLOOKUP(EA$72,INDIRECT($C$5&amp;"生成成长"),2))/((VLOOKUP($B178,INDIRECT($B$5&amp;"生成成长"),4))/(VLOOKUP(EA$72,INDIRECT($C$5&amp;"生成成长"),5))*(VLOOKUP($B$5,标准坦克设计!$B$24:$U$30,MATCH("对"&amp;LEFT($C$5,2)&amp;"输出",标准坦克设计!$B$23:$U$23,0)))*(VLOOKUP($B178,INDIRECT($B$5&amp;"生成成长"),3))*(VLOOKUP($B$5,标准坦克设计!$B$14:$K$20,9)/30))</f>
        <v>2.2945431028016761</v>
      </c>
      <c r="EB178" s="172">
        <f ca="1">(VLOOKUP(EB$72,INDIRECT($C$5&amp;"生成成长"),2))/((VLOOKUP($B178,INDIRECT($B$5&amp;"生成成长"),4))/(VLOOKUP(EB$72,INDIRECT($C$5&amp;"生成成长"),5))*(VLOOKUP($B$5,标准坦克设计!$B$24:$U$30,MATCH("对"&amp;LEFT($C$5,2)&amp;"输出",标准坦克设计!$B$23:$U$23,0)))*(VLOOKUP($B178,INDIRECT($B$5&amp;"生成成长"),3))*(VLOOKUP($B$5,标准坦克设计!$B$14:$K$20,9)/30))</f>
        <v>2.5171891845182421</v>
      </c>
      <c r="EC178" s="172">
        <f ca="1">(VLOOKUP(EC$72,INDIRECT($C$5&amp;"生成成长"),2))/((VLOOKUP($B178,INDIRECT($B$5&amp;"生成成长"),4))/(VLOOKUP(EC$72,INDIRECT($C$5&amp;"生成成长"),5))*(VLOOKUP($B$5,标准坦克设计!$B$24:$U$30,MATCH("对"&amp;LEFT($C$5,2)&amp;"输出",标准坦克设计!$B$23:$U$23,0)))*(VLOOKUP($B178,INDIRECT($B$5&amp;"生成成长"),3))*(VLOOKUP($B$5,标准坦克设计!$B$14:$K$20,9)/30))</f>
        <v>2.750142955203168</v>
      </c>
      <c r="ED178" s="172">
        <f ca="1">(VLOOKUP(ED$72,INDIRECT($C$5&amp;"生成成长"),2))/((VLOOKUP($B178,INDIRECT($B$5&amp;"生成成长"),4))/(VLOOKUP(ED$72,INDIRECT($C$5&amp;"生成成长"),5))*(VLOOKUP($B$5,标准坦克设计!$B$24:$U$30,MATCH("对"&amp;LEFT($C$5,2)&amp;"输出",标准坦克设计!$B$23:$U$23,0)))*(VLOOKUP($B178,INDIRECT($B$5&amp;"生成成长"),3))*(VLOOKUP($B$5,标准坦克设计!$B$14:$K$20,9)/30))</f>
        <v>2.9934044148564531</v>
      </c>
      <c r="EE178" s="172">
        <f ca="1">(VLOOKUP(EE$72,INDIRECT($C$5&amp;"生成成长"),2))/((VLOOKUP($B178,INDIRECT($B$5&amp;"生成成长"),4))/(VLOOKUP(EE$72,INDIRECT($C$5&amp;"生成成长"),5))*(VLOOKUP($B$5,标准坦克设计!$B$24:$U$30,MATCH("对"&amp;LEFT($C$5,2)&amp;"输出",标准坦克设计!$B$23:$U$23,0)))*(VLOOKUP($B178,INDIRECT($B$5&amp;"生成成长"),3))*(VLOOKUP($B$5,标准坦克设计!$B$14:$K$20,9)/30))</f>
        <v>3.2469735634780981</v>
      </c>
      <c r="EF178" s="172">
        <f ca="1">(VLOOKUP(EF$72,INDIRECT($C$5&amp;"生成成长"),2))/((VLOOKUP($B178,INDIRECT($B$5&amp;"生成成长"),4))/(VLOOKUP(EF$72,INDIRECT($C$5&amp;"生成成长"),5))*(VLOOKUP($B$5,标准坦克设计!$B$24:$U$30,MATCH("对"&amp;LEFT($C$5,2)&amp;"输出",标准坦克设计!$B$23:$U$23,0)))*(VLOOKUP($B178,INDIRECT($B$5&amp;"生成成长"),3))*(VLOOKUP($B$5,标准坦克设计!$B$14:$K$20,9)/30))</f>
        <v>3.5108504010681023</v>
      </c>
      <c r="EG178" s="172">
        <f ca="1">(VLOOKUP(EG$72,INDIRECT($C$5&amp;"生成成长"),2))/((VLOOKUP($B178,INDIRECT($B$5&amp;"生成成长"),4))/(VLOOKUP(EG$72,INDIRECT($C$5&amp;"生成成长"),5))*(VLOOKUP($B$5,标准坦克设计!$B$24:$U$30,MATCH("对"&amp;LEFT($C$5,2)&amp;"输出",标准坦克设计!$B$23:$U$23,0)))*(VLOOKUP($B178,INDIRECT($B$5&amp;"生成成长"),3))*(VLOOKUP($B$5,标准坦克设计!$B$14:$K$20,9)/30))</f>
        <v>3.7850349276264663</v>
      </c>
      <c r="EH178" s="172">
        <f ca="1">(VLOOKUP(EH$72,INDIRECT($C$5&amp;"生成成长"),2))/((VLOOKUP($B178,INDIRECT($B$5&amp;"生成成长"),4))/(VLOOKUP(EH$72,INDIRECT($C$5&amp;"生成成长"),5))*(VLOOKUP($B$5,标准坦克设计!$B$24:$U$30,MATCH("对"&amp;LEFT($C$5,2)&amp;"输出",标准坦克设计!$B$23:$U$23,0)))*(VLOOKUP($B178,INDIRECT($B$5&amp;"生成成长"),3))*(VLOOKUP($B$5,标准坦克设计!$B$14:$K$20,9)/30))</f>
        <v>4.0695271431531896</v>
      </c>
      <c r="EI178" s="172">
        <f ca="1">(VLOOKUP(EI$72,INDIRECT($C$5&amp;"生成成长"),2))/((VLOOKUP($B178,INDIRECT($B$5&amp;"生成成长"),4))/(VLOOKUP(EI$72,INDIRECT($C$5&amp;"生成成长"),5))*(VLOOKUP($B$5,标准坦克设计!$B$24:$U$30,MATCH("对"&amp;LEFT($C$5,2)&amp;"输出",标准坦克设计!$B$23:$U$23,0)))*(VLOOKUP($B178,INDIRECT($B$5&amp;"生成成长"),3))*(VLOOKUP($B$5,标准坦克设计!$B$14:$K$20,9)/30))</f>
        <v>4.3643270476482732</v>
      </c>
      <c r="EJ178" s="172">
        <f ca="1">(VLOOKUP(EJ$72,INDIRECT($C$5&amp;"生成成长"),2))/((VLOOKUP($B178,INDIRECT($B$5&amp;"生成成长"),4))/(VLOOKUP(EJ$72,INDIRECT($C$5&amp;"生成成长"),5))*(VLOOKUP($B$5,标准坦克设计!$B$24:$U$30,MATCH("对"&amp;LEFT($C$5,2)&amp;"输出",标准坦克设计!$B$23:$U$23,0)))*(VLOOKUP($B178,INDIRECT($B$5&amp;"生成成长"),3))*(VLOOKUP($B$5,标准坦克设计!$B$14:$K$20,9)/30))</f>
        <v>4.6694346411117156</v>
      </c>
      <c r="EK178" s="172">
        <f ca="1">(VLOOKUP(EK$72,INDIRECT($C$5&amp;"生成成长"),2))/((VLOOKUP($B178,INDIRECT($B$5&amp;"生成成长"),4))/(VLOOKUP(EK$72,INDIRECT($C$5&amp;"生成成长"),5))*(VLOOKUP($B$5,标准坦克设计!$B$24:$U$30,MATCH("对"&amp;LEFT($C$5,2)&amp;"输出",标准坦克设计!$B$23:$U$23,0)))*(VLOOKUP($B178,INDIRECT($B$5&amp;"生成成长"),3))*(VLOOKUP($B$5,标准坦克设计!$B$14:$K$20,9)/30))</f>
        <v>5.0491699027060815</v>
      </c>
      <c r="EL178" s="172">
        <f ca="1">(VLOOKUP(EL$72,INDIRECT($C$5&amp;"生成成长"),2))/((VLOOKUP($B178,INDIRECT($B$5&amp;"生成成长"),4))/(VLOOKUP(EL$72,INDIRECT($C$5&amp;"生成成长"),5))*(VLOOKUP($B$5,标准坦克设计!$B$24:$U$30,MATCH("对"&amp;LEFT($C$5,2)&amp;"输出",标准坦克设计!$B$23:$U$23,0)))*(VLOOKUP($B178,INDIRECT($B$5&amp;"生成成长"),3))*(VLOOKUP($B$5,标准坦克设计!$B$14:$K$20,9)/30))</f>
        <v>5.4437482364148844</v>
      </c>
      <c r="EM178" s="172">
        <f ca="1">(VLOOKUP(EM$72,INDIRECT($C$5&amp;"生成成长"),2))/((VLOOKUP($B178,INDIRECT($B$5&amp;"生成成长"),4))/(VLOOKUP(EM$72,INDIRECT($C$5&amp;"生成成长"),5))*(VLOOKUP($B$5,标准坦克设计!$B$24:$U$30,MATCH("对"&amp;LEFT($C$5,2)&amp;"输出",标准坦克设计!$B$23:$U$23,0)))*(VLOOKUP($B178,INDIRECT($B$5&amp;"生成成长"),3))*(VLOOKUP($B$5,标准坦克设计!$B$14:$K$20,9)/30))</f>
        <v>5.8531696422381252</v>
      </c>
      <c r="EN178" s="172">
        <f ca="1">(VLOOKUP(EN$72,INDIRECT($C$5&amp;"生成成长"),2))/((VLOOKUP($B178,INDIRECT($B$5&amp;"生成成长"),4))/(VLOOKUP(EN$72,INDIRECT($C$5&amp;"生成成长"),5))*(VLOOKUP($B$5,标准坦克设计!$B$24:$U$30,MATCH("对"&amp;LEFT($C$5,2)&amp;"输出",标准坦克设计!$B$23:$U$23,0)))*(VLOOKUP($B178,INDIRECT($B$5&amp;"生成成长"),3))*(VLOOKUP($B$5,标准坦克设计!$B$14:$K$20,9)/30))</f>
        <v>6.277434120175803</v>
      </c>
      <c r="EO178" s="172">
        <f ca="1">(VLOOKUP(EO$72,INDIRECT($C$5&amp;"生成成长"),2))/((VLOOKUP($B178,INDIRECT($B$5&amp;"生成成长"),4))/(VLOOKUP(EO$72,INDIRECT($C$5&amp;"生成成长"),5))*(VLOOKUP($B$5,标准坦克设计!$B$24:$U$30,MATCH("对"&amp;LEFT($C$5,2)&amp;"输出",标准坦克设计!$B$23:$U$23,0)))*(VLOOKUP($B178,INDIRECT($B$5&amp;"生成成长"),3))*(VLOOKUP($B$5,标准坦克设计!$B$14:$K$20,9)/30))</f>
        <v>6.7165416702279206</v>
      </c>
      <c r="EP178" s="172">
        <f ca="1">(VLOOKUP(EP$72,INDIRECT($C$5&amp;"生成成长"),2))/((VLOOKUP($B178,INDIRECT($B$5&amp;"生成成长"),4))/(VLOOKUP(EP$72,INDIRECT($C$5&amp;"生成成长"),5))*(VLOOKUP($B$5,标准坦克设计!$B$24:$U$30,MATCH("对"&amp;LEFT($C$5,2)&amp;"输出",标准坦克设计!$B$23:$U$23,0)))*(VLOOKUP($B178,INDIRECT($B$5&amp;"生成成长"),3))*(VLOOKUP($B$5,标准坦克设计!$B$14:$K$20,9)/30))</f>
        <v>7.1704922923944734</v>
      </c>
      <c r="EQ178" s="172">
        <f ca="1">(VLOOKUP(EQ$72,INDIRECT($C$5&amp;"生成成长"),2))/((VLOOKUP($B178,INDIRECT($B$5&amp;"生成成长"),4))/(VLOOKUP(EQ$72,INDIRECT($C$5&amp;"生成成长"),5))*(VLOOKUP($B$5,标准坦克设计!$B$24:$U$30,MATCH("对"&amp;LEFT($C$5,2)&amp;"输出",标准坦克设计!$B$23:$U$23,0)))*(VLOOKUP($B178,INDIRECT($B$5&amp;"生成成长"),3))*(VLOOKUP($B$5,标准坦克设计!$B$14:$K$20,9)/30))</f>
        <v>3.1698205115499265</v>
      </c>
      <c r="ER178" s="172">
        <f ca="1">(VLOOKUP(ER$72,INDIRECT($C$5&amp;"生成成长"),2))/((VLOOKUP($B178,INDIRECT($B$5&amp;"生成成长"),4))/(VLOOKUP(ER$72,INDIRECT($C$5&amp;"生成成长"),5))*(VLOOKUP($B$5,标准坦克设计!$B$24:$U$30,MATCH("对"&amp;LEFT($C$5,2)&amp;"输出",标准坦克设计!$B$23:$U$23,0)))*(VLOOKUP($B178,INDIRECT($B$5&amp;"生成成长"),3))*(VLOOKUP($B$5,标准坦克设计!$B$14:$K$20,9)/30))</f>
        <v>3.4572504184326327</v>
      </c>
      <c r="ES178" s="172">
        <f ca="1">(VLOOKUP(ES$72,INDIRECT($C$5&amp;"生成成长"),2))/((VLOOKUP($B178,INDIRECT($B$5&amp;"生成成长"),4))/(VLOOKUP(ES$72,INDIRECT($C$5&amp;"生成成长"),5))*(VLOOKUP($B$5,标准坦克设计!$B$24:$U$30,MATCH("对"&amp;LEFT($C$5,2)&amp;"输出",标准坦克设计!$B$23:$U$23,0)))*(VLOOKUP($B178,INDIRECT($B$5&amp;"生成成长"),3))*(VLOOKUP($B$5,标准坦克设计!$B$14:$K$20,9)/30))</f>
        <v>3.7571526289670532</v>
      </c>
      <c r="ET178" s="172">
        <f ca="1">(VLOOKUP(ET$72,INDIRECT($C$5&amp;"生成成长"),2))/((VLOOKUP($B178,INDIRECT($B$5&amp;"生成成长"),4))/(VLOOKUP(ET$72,INDIRECT($C$5&amp;"生成成长"),5))*(VLOOKUP($B$5,标准坦克设计!$B$24:$U$30,MATCH("对"&amp;LEFT($C$5,2)&amp;"输出",标准坦克设计!$B$23:$U$23,0)))*(VLOOKUP($B178,INDIRECT($B$5&amp;"生成成长"),3))*(VLOOKUP($B$5,标准坦克设计!$B$14:$K$20,9)/30))</f>
        <v>4.0695271431531896</v>
      </c>
      <c r="EU178" s="172">
        <f ca="1">(VLOOKUP(EU$72,INDIRECT($C$5&amp;"生成成长"),2))/((VLOOKUP($B178,INDIRECT($B$5&amp;"生成成长"),4))/(VLOOKUP(EU$72,INDIRECT($C$5&amp;"生成成长"),5))*(VLOOKUP($B$5,标准坦克设计!$B$24:$U$30,MATCH("对"&amp;LEFT($C$5,2)&amp;"输出",标准坦克设计!$B$23:$U$23,0)))*(VLOOKUP($B178,INDIRECT($B$5&amp;"生成成长"),3))*(VLOOKUP($B$5,标准坦克设计!$B$14:$K$20,9)/30))</f>
        <v>4.3943739609910404</v>
      </c>
      <c r="EV178" s="172">
        <f ca="1">(VLOOKUP(EV$72,INDIRECT($C$5&amp;"生成成长"),2))/((VLOOKUP($B178,INDIRECT($B$5&amp;"生成成长"),4))/(VLOOKUP(EV$72,INDIRECT($C$5&amp;"生成成长"),5))*(VLOOKUP($B$5,标准坦克设计!$B$24:$U$30,MATCH("对"&amp;LEFT($C$5,2)&amp;"输出",标准坦克设计!$B$23:$U$23,0)))*(VLOOKUP($B178,INDIRECT($B$5&amp;"生成成长"),3))*(VLOOKUP($B$5,标准坦克设计!$B$14:$K$20,9)/30))</f>
        <v>4.7316930824806072</v>
      </c>
      <c r="EW178" s="172">
        <f ca="1">(VLOOKUP(EW$72,INDIRECT($C$5&amp;"生成成长"),2))/((VLOOKUP($B178,INDIRECT($B$5&amp;"生成成长"),4))/(VLOOKUP(EW$72,INDIRECT($C$5&amp;"生成成长"),5))*(VLOOKUP($B$5,标准坦克设计!$B$24:$U$30,MATCH("对"&amp;LEFT($C$5,2)&amp;"输出",标准坦克设计!$B$23:$U$23,0)))*(VLOOKUP($B178,INDIRECT($B$5&amp;"生成成长"),3))*(VLOOKUP($B$5,标准坦克设计!$B$14:$K$20,9)/30))</f>
        <v>5.0814845076218891</v>
      </c>
      <c r="EX178" s="172">
        <f ca="1">(VLOOKUP(EX$72,INDIRECT($C$5&amp;"生成成长"),2))/((VLOOKUP($B178,INDIRECT($B$5&amp;"生成成长"),4))/(VLOOKUP(EX$72,INDIRECT($C$5&amp;"生成成长"),5))*(VLOOKUP($B$5,标准坦克设计!$B$24:$U$30,MATCH("对"&amp;LEFT($C$5,2)&amp;"输出",标准坦克设计!$B$23:$U$23,0)))*(VLOOKUP($B178,INDIRECT($B$5&amp;"生成成长"),3))*(VLOOKUP($B$5,标准坦克设计!$B$14:$K$20,9)/30))</f>
        <v>5.4437482364148844</v>
      </c>
      <c r="EY178" s="172">
        <f ca="1">(VLOOKUP(EY$72,INDIRECT($C$5&amp;"生成成长"),2))/((VLOOKUP($B178,INDIRECT($B$5&amp;"生成成长"),4))/(VLOOKUP(EY$72,INDIRECT($C$5&amp;"生成成长"),5))*(VLOOKUP($B$5,标准坦克设计!$B$24:$U$30,MATCH("对"&amp;LEFT($C$5,2)&amp;"输出",标准坦克设计!$B$23:$U$23,0)))*(VLOOKUP($B178,INDIRECT($B$5&amp;"生成成长"),3))*(VLOOKUP($B$5,标准坦克设计!$B$14:$K$20,9)/30))</f>
        <v>5.8184842688595948</v>
      </c>
      <c r="EZ178" s="172">
        <f ca="1">(VLOOKUP(EZ$72,INDIRECT($C$5&amp;"生成成长"),2))/((VLOOKUP($B178,INDIRECT($B$5&amp;"生成成长"),4))/(VLOOKUP(EZ$72,INDIRECT($C$5&amp;"生成成长"),5))*(VLOOKUP($B$5,标准坦克设计!$B$24:$U$30,MATCH("对"&amp;LEFT($C$5,2)&amp;"输出",标准坦克设计!$B$23:$U$23,0)))*(VLOOKUP($B178,INDIRECT($B$5&amp;"生成成长"),3))*(VLOOKUP($B$5,标准坦克设计!$B$14:$K$20,9)/30))</f>
        <v>6.2056926049560222</v>
      </c>
      <c r="FA178" s="172">
        <f ca="1">(VLOOKUP(FA$72,INDIRECT($C$5&amp;"生成成长"),2))/((VLOOKUP($B178,INDIRECT($B$5&amp;"生成成长"),4))/(VLOOKUP(FA$72,INDIRECT($C$5&amp;"生成成长"),5))*(VLOOKUP($B$5,标准坦克设计!$B$24:$U$30,MATCH("对"&amp;LEFT($C$5,2)&amp;"输出",标准坦克设计!$B$23:$U$23,0)))*(VLOOKUP($B178,INDIRECT($B$5&amp;"生成成长"),3))*(VLOOKUP($B$5,标准坦克设计!$B$14:$K$20,9)/30))</f>
        <v>6.6053732447041629</v>
      </c>
      <c r="FB178" s="172">
        <f ca="1">(VLOOKUP(FB$72,INDIRECT($C$5&amp;"生成成长"),2))/((VLOOKUP($B178,INDIRECT($B$5&amp;"生成成长"),4))/(VLOOKUP(FB$72,INDIRECT($C$5&amp;"生成成长"),5))*(VLOOKUP($B$5,标准坦克设计!$B$24:$U$30,MATCH("对"&amp;LEFT($C$5,2)&amp;"输出",标准坦克设计!$B$23:$U$23,0)))*(VLOOKUP($B178,INDIRECT($B$5&amp;"生成成长"),3))*(VLOOKUP($B$5,标准坦克设计!$B$14:$K$20,9)/30))</f>
        <v>7.0175261881040187</v>
      </c>
      <c r="FC178" s="172">
        <f ca="1">(VLOOKUP(FC$72,INDIRECT($C$5&amp;"生成成长"),2))/((VLOOKUP($B178,INDIRECT($B$5&amp;"生成成长"),4))/(VLOOKUP(FC$72,INDIRECT($C$5&amp;"生成成长"),5))*(VLOOKUP($B$5,标准坦克设计!$B$24:$U$30,MATCH("对"&amp;LEFT($C$5,2)&amp;"输出",标准坦克设计!$B$23:$U$23,0)))*(VLOOKUP($B178,INDIRECT($B$5&amp;"生成成长"),3))*(VLOOKUP($B$5,标准坦克设计!$B$14:$K$20,9)/30))</f>
        <v>7.4421514351555906</v>
      </c>
      <c r="FD178" s="172">
        <f ca="1">(VLOOKUP(FD$72,INDIRECT($C$5&amp;"生成成长"),2))/((VLOOKUP($B178,INDIRECT($B$5&amp;"生成成长"),4))/(VLOOKUP(FD$72,INDIRECT($C$5&amp;"生成成长"),5))*(VLOOKUP($B$5,标准坦克设计!$B$24:$U$30,MATCH("对"&amp;LEFT($C$5,2)&amp;"输出",标准坦克设计!$B$23:$U$23,0)))*(VLOOKUP($B178,INDIRECT($B$5&amp;"生成成长"),3))*(VLOOKUP($B$5,标准坦克设计!$B$14:$K$20,9)/30))</f>
        <v>7.8792489858588759</v>
      </c>
      <c r="FE178" s="172">
        <f ca="1">(VLOOKUP(FE$72,INDIRECT($C$5&amp;"生成成长"),2))/((VLOOKUP($B178,INDIRECT($B$5&amp;"生成成长"),4))/(VLOOKUP(FE$72,INDIRECT($C$5&amp;"生成成长"),5))*(VLOOKUP($B$5,标准坦克设计!$B$24:$U$30,MATCH("对"&amp;LEFT($C$5,2)&amp;"输出",标准坦克设计!$B$23:$U$23,0)))*(VLOOKUP($B178,INDIRECT($B$5&amp;"生成成长"),3))*(VLOOKUP($B$5,标准坦克设计!$B$14:$K$20,9)/30))</f>
        <v>8.4118988132988566</v>
      </c>
      <c r="FF178" s="172">
        <f ca="1">(VLOOKUP(FF$72,INDIRECT($C$5&amp;"生成成长"),2))/((VLOOKUP($B178,INDIRECT($B$5&amp;"生成成长"),4))/(VLOOKUP(FF$72,INDIRECT($C$5&amp;"生成成长"),5))*(VLOOKUP($B$5,标准坦克设计!$B$24:$U$30,MATCH("对"&amp;LEFT($C$5,2)&amp;"输出",标准坦克设计!$B$23:$U$23,0)))*(VLOOKUP($B178,INDIRECT($B$5&amp;"生成成长"),3))*(VLOOKUP($B$5,标准坦克设计!$B$14:$K$20,9)/30))</f>
        <v>8.9619686350953636</v>
      </c>
      <c r="FG178" s="172">
        <f ca="1">(VLOOKUP(FG$72,INDIRECT($C$5&amp;"生成成长"),2))/((VLOOKUP($B178,INDIRECT($B$5&amp;"生成成长"),4))/(VLOOKUP(FG$72,INDIRECT($C$5&amp;"生成成长"),5))*(VLOOKUP($B$5,标准坦克设计!$B$24:$U$30,MATCH("对"&amp;LEFT($C$5,2)&amp;"输出",标准坦克设计!$B$23:$U$23,0)))*(VLOOKUP($B178,INDIRECT($B$5&amp;"生成成长"),3))*(VLOOKUP($B$5,标准坦克设计!$B$14:$K$20,9)/30))</f>
        <v>9.5294584512483986</v>
      </c>
      <c r="FH178" s="172">
        <f ca="1">(VLOOKUP(FH$72,INDIRECT($C$5&amp;"生成成长"),2))/((VLOOKUP($B178,INDIRECT($B$5&amp;"生成成长"),4))/(VLOOKUP(FH$72,INDIRECT($C$5&amp;"生成成长"),5))*(VLOOKUP($B$5,标准坦克设计!$B$24:$U$30,MATCH("对"&amp;LEFT($C$5,2)&amp;"输出",标准坦克设计!$B$23:$U$23,0)))*(VLOOKUP($B178,INDIRECT($B$5&amp;"生成成长"),3))*(VLOOKUP($B$5,标准坦克设计!$B$14:$K$20,9)/30))</f>
        <v>10.11436826175796</v>
      </c>
      <c r="FI178" s="172">
        <f ca="1">(VLOOKUP(FI$72,INDIRECT($C$5&amp;"生成成长"),2))/((VLOOKUP($B178,INDIRECT($B$5&amp;"生成成长"),4))/(VLOOKUP(FI$72,INDIRECT($C$5&amp;"生成成长"),5))*(VLOOKUP($B$5,标准坦克设计!$B$24:$U$30,MATCH("对"&amp;LEFT($C$5,2)&amp;"输出",标准坦克设计!$B$23:$U$23,0)))*(VLOOKUP($B178,INDIRECT($B$5&amp;"生成成长"),3))*(VLOOKUP($B$5,标准坦克设计!$B$14:$K$20,9)/30))</f>
        <v>10.716698066624049</v>
      </c>
      <c r="FJ178" s="172">
        <f ca="1">(VLOOKUP(FJ$72,INDIRECT($C$5&amp;"生成成长"),2))/((VLOOKUP($B178,INDIRECT($B$5&amp;"生成成长"),4))/(VLOOKUP(FJ$72,INDIRECT($C$5&amp;"生成成长"),5))*(VLOOKUP($B$5,标准坦克设计!$B$24:$U$30,MATCH("对"&amp;LEFT($C$5,2)&amp;"输出",标准坦克设计!$B$23:$U$23,0)))*(VLOOKUP($B178,INDIRECT($B$5&amp;"生成成长"),3))*(VLOOKUP($B$5,标准坦克设计!$B$14:$K$20,9)/30))</f>
        <v>11.336447865846667</v>
      </c>
      <c r="FK178" s="172">
        <f ca="1">(VLOOKUP(FK$72,INDIRECT($C$5&amp;"生成成长"),2))/((VLOOKUP($B178,INDIRECT($B$5&amp;"生成成长"),4))/(VLOOKUP(FK$72,INDIRECT($C$5&amp;"生成成长"),5))*(VLOOKUP($B$5,标准坦克设计!$B$24:$U$30,MATCH("对"&amp;LEFT($C$5,2)&amp;"输出",标准坦克设计!$B$23:$U$23,0)))*(VLOOKUP($B178,INDIRECT($B$5&amp;"生成成长"),3))*(VLOOKUP($B$5,标准坦克设计!$B$14:$K$20,9)/30))</f>
        <v>11.973617659425813</v>
      </c>
    </row>
    <row r="179" spans="1:167" x14ac:dyDescent="0.15">
      <c r="A179" s="170" t="str">
        <f t="shared" si="12"/>
        <v>T5中品质17级</v>
      </c>
      <c r="B179" s="171">
        <v>20517</v>
      </c>
      <c r="C179" s="172">
        <f ca="1">(VLOOKUP(C$72,INDIRECT($C$5&amp;"生成成长"),2))/((VLOOKUP($B179,INDIRECT($B$5&amp;"生成成长"),4))/(VLOOKUP(C$72,INDIRECT($C$5&amp;"生成成长"),5))*(VLOOKUP($B$5,标准坦克设计!$B$24:$U$30,MATCH("对"&amp;LEFT($C$5,2)&amp;"输出",标准坦克设计!$B$23:$U$23,0)))*(VLOOKUP($B179,INDIRECT($B$5&amp;"生成成长"),3))*(VLOOKUP($B$5,标准坦克设计!$B$14:$K$20,9)/30))</f>
        <v>0.48708512542414689</v>
      </c>
      <c r="D179" s="172">
        <f ca="1">(VLOOKUP(D$72,INDIRECT($C$5&amp;"生成成长"),2))/((VLOOKUP($B179,INDIRECT($B$5&amp;"生成成长"),4))/(VLOOKUP(D$72,INDIRECT($C$5&amp;"生成成长"),5))*(VLOOKUP($B$5,标准坦克设计!$B$24:$U$30,MATCH("对"&amp;LEFT($C$5,2)&amp;"输出",标准坦克设计!$B$23:$U$23,0)))*(VLOOKUP($B179,INDIRECT($B$5&amp;"生成成长"),3))*(VLOOKUP($B$5,标准坦克设计!$B$14:$K$20,9)/30))</f>
        <v>0.54728884692657154</v>
      </c>
      <c r="E179" s="172">
        <f ca="1">(VLOOKUP(E$72,INDIRECT($C$5&amp;"生成成长"),2))/((VLOOKUP($B179,INDIRECT($B$5&amp;"生成成长"),4))/(VLOOKUP(E$72,INDIRECT($C$5&amp;"生成成长"),5))*(VLOOKUP($B$5,标准坦克设计!$B$24:$U$30,MATCH("对"&amp;LEFT($C$5,2)&amp;"输出",标准坦克设计!$B$23:$U$23,0)))*(VLOOKUP($B179,INDIRECT($B$5&amp;"生成成长"),3))*(VLOOKUP($B$5,标准坦克设计!$B$14:$K$20,9)/30))</f>
        <v>0.61099958133204979</v>
      </c>
      <c r="F179" s="172">
        <f ca="1">(VLOOKUP(F$72,INDIRECT($C$5&amp;"生成成长"),2))/((VLOOKUP($B179,INDIRECT($B$5&amp;"生成成长"),4))/(VLOOKUP(F$72,INDIRECT($C$5&amp;"生成成长"),5))*(VLOOKUP($B$5,标准坦克设计!$B$24:$U$30,MATCH("对"&amp;LEFT($C$5,2)&amp;"输出",标准坦克设计!$B$23:$U$23,0)))*(VLOOKUP($B179,INDIRECT($B$5&amp;"生成成长"),3))*(VLOOKUP($B$5,标准坦克设计!$B$14:$K$20,9)/30))</f>
        <v>0.67821732864058215</v>
      </c>
      <c r="G179" s="172">
        <f ca="1">(VLOOKUP(G$72,INDIRECT($C$5&amp;"生成成长"),2))/((VLOOKUP($B179,INDIRECT($B$5&amp;"生成成长"),4))/(VLOOKUP(G$72,INDIRECT($C$5&amp;"生成成长"),5))*(VLOOKUP($B$5,标准坦克设计!$B$24:$U$30,MATCH("对"&amp;LEFT($C$5,2)&amp;"输出",标准坦克设计!$B$23:$U$23,0)))*(VLOOKUP($B179,INDIRECT($B$5&amp;"生成成长"),3))*(VLOOKUP($B$5,标准坦克设计!$B$14:$K$20,9)/30))</f>
        <v>0.74894208885216806</v>
      </c>
      <c r="H179" s="172">
        <f ca="1">(VLOOKUP(H$72,INDIRECT($C$5&amp;"生成成长"),2))/((VLOOKUP($B179,INDIRECT($B$5&amp;"生成成长"),4))/(VLOOKUP(H$72,INDIRECT($C$5&amp;"生成成长"),5))*(VLOOKUP($B$5,标准坦克设计!$B$24:$U$30,MATCH("对"&amp;LEFT($C$5,2)&amp;"输出",标准坦克设计!$B$23:$U$23,0)))*(VLOOKUP($B179,INDIRECT($B$5&amp;"生成成长"),3))*(VLOOKUP($B$5,标准坦克设计!$B$14:$K$20,9)/30))</f>
        <v>0.65542174477073212</v>
      </c>
      <c r="I179" s="172">
        <f ca="1">(VLOOKUP(I$72,INDIRECT($C$5&amp;"生成成长"),2))/((VLOOKUP($B179,INDIRECT($B$5&amp;"生成成长"),4))/(VLOOKUP(I$72,INDIRECT($C$5&amp;"生成成长"),5))*(VLOOKUP($B$5,标准坦克设计!$B$24:$U$30,MATCH("对"&amp;LEFT($C$5,2)&amp;"输出",标准坦克设计!$B$23:$U$23,0)))*(VLOOKUP($B179,INDIRECT($B$5&amp;"生成成长"),3))*(VLOOKUP($B$5,标准坦克设计!$B$14:$K$20,9)/30))</f>
        <v>0.74894208885216806</v>
      </c>
      <c r="J179" s="172">
        <f ca="1">(VLOOKUP(J$72,INDIRECT($C$5&amp;"生成成长"),2))/((VLOOKUP($B179,INDIRECT($B$5&amp;"生成成长"),4))/(VLOOKUP(J$72,INDIRECT($C$5&amp;"生成成长"),5))*(VLOOKUP($B$5,标准坦克设计!$B$24:$U$30,MATCH("对"&amp;LEFT($C$5,2)&amp;"输出",标准坦克设计!$B$23:$U$23,0)))*(VLOOKUP($B179,INDIRECT($B$5&amp;"生成成长"),3))*(VLOOKUP($B$5,标准坦克设计!$B$14:$K$20,9)/30))</f>
        <v>0.84869712253903351</v>
      </c>
      <c r="K179" s="172">
        <f ca="1">(VLOOKUP(K$72,INDIRECT($C$5&amp;"生成成长"),2))/((VLOOKUP($B179,INDIRECT($B$5&amp;"生成成长"),4))/(VLOOKUP(K$72,INDIRECT($C$5&amp;"生成成长"),5))*(VLOOKUP($B$5,标准坦克设计!$B$24:$U$30,MATCH("对"&amp;LEFT($C$5,2)&amp;"输出",标准坦克设计!$B$23:$U$23,0)))*(VLOOKUP($B179,INDIRECT($B$5&amp;"生成成长"),3))*(VLOOKUP($B$5,标准坦克设计!$B$14:$K$20,9)/30))</f>
        <v>0.95468684583132779</v>
      </c>
      <c r="L179" s="172">
        <f ca="1">(VLOOKUP(L$72,INDIRECT($C$5&amp;"生成成长"),2))/((VLOOKUP($B179,INDIRECT($B$5&amp;"生成成长"),4))/(VLOOKUP(L$72,INDIRECT($C$5&amp;"生成成长"),5))*(VLOOKUP($B$5,标准坦克设计!$B$24:$U$30,MATCH("对"&amp;LEFT($C$5,2)&amp;"输出",标准坦克设计!$B$23:$U$23,0)))*(VLOOKUP($B179,INDIRECT($B$5&amp;"生成成长"),3))*(VLOOKUP($B$5,标准坦克设计!$B$14:$K$20,9)/30))</f>
        <v>1.0669112587290512</v>
      </c>
      <c r="M179" s="172">
        <f ca="1">(VLOOKUP(M$72,INDIRECT($C$5&amp;"生成成长"),2))/((VLOOKUP($B179,INDIRECT($B$5&amp;"生成成长"),4))/(VLOOKUP(M$72,INDIRECT($C$5&amp;"生成成长"),5))*(VLOOKUP($B$5,标准坦克设计!$B$24:$U$30,MATCH("对"&amp;LEFT($C$5,2)&amp;"输出",标准坦克设计!$B$23:$U$23,0)))*(VLOOKUP($B179,INDIRECT($B$5&amp;"生成成长"),3))*(VLOOKUP($B$5,标准坦克设计!$B$14:$K$20,9)/30))</f>
        <v>1.1853703612322037</v>
      </c>
      <c r="N179" s="172">
        <f ca="1">(VLOOKUP(N$72,INDIRECT($C$5&amp;"生成成长"),2))/((VLOOKUP($B179,INDIRECT($B$5&amp;"生成成长"),4))/(VLOOKUP(N$72,INDIRECT($C$5&amp;"生成成长"),5))*(VLOOKUP($B$5,标准坦克设计!$B$24:$U$30,MATCH("对"&amp;LEFT($C$5,2)&amp;"输出",标准坦克设计!$B$23:$U$23,0)))*(VLOOKUP($B179,INDIRECT($B$5&amp;"生成成长"),3))*(VLOOKUP($B$5,标准坦克设计!$B$14:$K$20,9)/30))</f>
        <v>1.3100641533407853</v>
      </c>
      <c r="O179" s="172">
        <f ca="1">(VLOOKUP(O$72,INDIRECT($C$5&amp;"生成成长"),2))/((VLOOKUP($B179,INDIRECT($B$5&amp;"生成成长"),4))/(VLOOKUP(O$72,INDIRECT($C$5&amp;"生成成长"),5))*(VLOOKUP($B$5,标准坦克设计!$B$24:$U$30,MATCH("对"&amp;LEFT($C$5,2)&amp;"输出",标准坦克设计!$B$23:$U$23,0)))*(VLOOKUP($B179,INDIRECT($B$5&amp;"生成成长"),3))*(VLOOKUP($B$5,标准坦克设计!$B$14:$K$20,9)/30))</f>
        <v>0.99604037297983794</v>
      </c>
      <c r="P179" s="172">
        <f ca="1">(VLOOKUP(P$72,INDIRECT($C$5&amp;"生成成长"),2))/((VLOOKUP($B179,INDIRECT($B$5&amp;"生成成长"),4))/(VLOOKUP(P$72,INDIRECT($C$5&amp;"生成成长"),5))*(VLOOKUP($B$5,标准坦克设计!$B$24:$U$30,MATCH("对"&amp;LEFT($C$5,2)&amp;"输出",标准坦克设计!$B$23:$U$23,0)))*(VLOOKUP($B179,INDIRECT($B$5&amp;"生成成长"),3))*(VLOOKUP($B$5,标准坦克设计!$B$14:$K$20,9)/30))</f>
        <v>1.1253614737799489</v>
      </c>
      <c r="Q179" s="172">
        <f ca="1">(VLOOKUP(Q$72,INDIRECT($C$5&amp;"生成成长"),2))/((VLOOKUP($B179,INDIRECT($B$5&amp;"生成成长"),4))/(VLOOKUP(Q$72,INDIRECT($C$5&amp;"生成成长"),5))*(VLOOKUP($B$5,标准坦克设计!$B$24:$U$30,MATCH("对"&amp;LEFT($C$5,2)&amp;"输出",标准坦克设计!$B$23:$U$23,0)))*(VLOOKUP($B179,INDIRECT($B$5&amp;"生成成长"),3))*(VLOOKUP($B$5,标准坦克设计!$B$14:$K$20,9)/30))</f>
        <v>1.2625733536119312</v>
      </c>
      <c r="R179" s="172">
        <f ca="1">(VLOOKUP(R$72,INDIRECT($C$5&amp;"生成成长"),2))/((VLOOKUP($B179,INDIRECT($B$5&amp;"生成成长"),4))/(VLOOKUP(R$72,INDIRECT($C$5&amp;"生成成长"),5))*(VLOOKUP($B$5,标准坦克设计!$B$24:$U$30,MATCH("对"&amp;LEFT($C$5,2)&amp;"输出",标准坦克设计!$B$23:$U$23,0)))*(VLOOKUP($B179,INDIRECT($B$5&amp;"生成成长"),3))*(VLOOKUP($B$5,标准坦克设计!$B$14:$K$20,9)/30))</f>
        <v>1.4076760124757843</v>
      </c>
      <c r="S179" s="172">
        <f ca="1">(VLOOKUP(S$72,INDIRECT($C$5&amp;"生成成长"),2))/((VLOOKUP($B179,INDIRECT($B$5&amp;"生成成长"),4))/(VLOOKUP(S$72,INDIRECT($C$5&amp;"生成成长"),5))*(VLOOKUP($B$5,标准坦克设计!$B$24:$U$30,MATCH("对"&amp;LEFT($C$5,2)&amp;"输出",标准坦克设计!$B$23:$U$23,0)))*(VLOOKUP($B179,INDIRECT($B$5&amp;"生成成长"),3))*(VLOOKUP($B$5,标准坦克设计!$B$14:$K$20,9)/30))</f>
        <v>1.5606694503715091</v>
      </c>
      <c r="T179" s="172">
        <f ca="1">(VLOOKUP(T$72,INDIRECT($C$5&amp;"生成成长"),2))/((VLOOKUP($B179,INDIRECT($B$5&amp;"生成成长"),4))/(VLOOKUP(T$72,INDIRECT($C$5&amp;"生成成长"),5))*(VLOOKUP($B$5,标准坦克设计!$B$24:$U$30,MATCH("对"&amp;LEFT($C$5,2)&amp;"输出",标准坦克设计!$B$23:$U$23,0)))*(VLOOKUP($B179,INDIRECT($B$5&amp;"生成成长"),3))*(VLOOKUP($B$5,标准坦克设计!$B$14:$K$20,9)/30))</f>
        <v>1.7215536672991045</v>
      </c>
      <c r="U179" s="172">
        <f ca="1">(VLOOKUP(U$72,INDIRECT($C$5&amp;"生成成长"),2))/((VLOOKUP($B179,INDIRECT($B$5&amp;"生成成长"),4))/(VLOOKUP(U$72,INDIRECT($C$5&amp;"生成成长"),5))*(VLOOKUP($B$5,标准坦克设计!$B$24:$U$30,MATCH("对"&amp;LEFT($C$5,2)&amp;"输出",标准坦克设计!$B$23:$U$23,0)))*(VLOOKUP($B179,INDIRECT($B$5&amp;"生成成长"),3))*(VLOOKUP($B$5,标准坦克设计!$B$14:$K$20,9)/30))</f>
        <v>1.8903286632585714</v>
      </c>
      <c r="V179" s="172">
        <f ca="1">(VLOOKUP(V$72,INDIRECT($C$5&amp;"生成成长"),2))/((VLOOKUP($B179,INDIRECT($B$5&amp;"生成成长"),4))/(VLOOKUP(V$72,INDIRECT($C$5&amp;"生成成长"),5))*(VLOOKUP($B$5,标准坦克设计!$B$24:$U$30,MATCH("对"&amp;LEFT($C$5,2)&amp;"输出",标准坦克设计!$B$23:$U$23,0)))*(VLOOKUP($B179,INDIRECT($B$5&amp;"生成成长"),3))*(VLOOKUP($B$5,标准坦克设计!$B$14:$K$20,9)/30))</f>
        <v>2.0669944382499099</v>
      </c>
      <c r="W179" s="172">
        <f ca="1">(VLOOKUP(W$72,INDIRECT($C$5&amp;"生成成长"),2))/((VLOOKUP($B179,INDIRECT($B$5&amp;"生成成长"),4))/(VLOOKUP(W$72,INDIRECT($C$5&amp;"生成成长"),5))*(VLOOKUP($B$5,标准坦克设计!$B$24:$U$30,MATCH("对"&amp;LEFT($C$5,2)&amp;"输出",标准坦克设计!$B$23:$U$23,0)))*(VLOOKUP($B179,INDIRECT($B$5&amp;"生成成长"),3))*(VLOOKUP($B$5,标准坦克设计!$B$14:$K$20,9)/30))</f>
        <v>2.2515509922731192</v>
      </c>
      <c r="X179" s="172">
        <f ca="1">(VLOOKUP(X$72,INDIRECT($C$5&amp;"生成成长"),2))/((VLOOKUP($B179,INDIRECT($B$5&amp;"生成成长"),4))/(VLOOKUP(X$72,INDIRECT($C$5&amp;"生成成长"),5))*(VLOOKUP($B$5,标准坦克设计!$B$24:$U$30,MATCH("对"&amp;LEFT($C$5,2)&amp;"输出",标准坦克设计!$B$23:$U$23,0)))*(VLOOKUP($B179,INDIRECT($B$5&amp;"生成成长"),3))*(VLOOKUP($B$5,标准坦克设计!$B$14:$K$20,9)/30))</f>
        <v>1.6311993765329253</v>
      </c>
      <c r="Y179" s="172">
        <f ca="1">(VLOOKUP(Y$72,INDIRECT($C$5&amp;"生成成长"),2))/((VLOOKUP($B179,INDIRECT($B$5&amp;"生成成长"),4))/(VLOOKUP(Y$72,INDIRECT($C$5&amp;"生成成长"),5))*(VLOOKUP($B$5,标准坦克设计!$B$24:$U$30,MATCH("对"&amp;LEFT($C$5,2)&amp;"输出",标准坦克设计!$B$23:$U$23,0)))*(VLOOKUP($B179,INDIRECT($B$5&amp;"生成成长"),3))*(VLOOKUP($B$5,标准坦克设计!$B$14:$K$20,9)/30))</f>
        <v>1.8143433836924046</v>
      </c>
      <c r="Z179" s="172">
        <f ca="1">(VLOOKUP(Z$72,INDIRECT($C$5&amp;"生成成长"),2))/((VLOOKUP($B179,INDIRECT($B$5&amp;"生成成长"),4))/(VLOOKUP(Z$72,INDIRECT($C$5&amp;"生成成长"),5))*(VLOOKUP($B$5,标准坦克设计!$B$24:$U$30,MATCH("对"&amp;LEFT($C$5,2)&amp;"输出",标准坦克设计!$B$23:$U$23,0)))*(VLOOKUP($B179,INDIRECT($B$5&amp;"生成成长"),3))*(VLOOKUP($B$5,标准坦克设计!$B$14:$K$20,9)/30))</f>
        <v>2.0072290933603671</v>
      </c>
      <c r="AA179" s="172">
        <f ca="1">(VLOOKUP(AA$72,INDIRECT($C$5&amp;"生成成长"),2))/((VLOOKUP($B179,INDIRECT($B$5&amp;"生成成长"),4))/(VLOOKUP(AA$72,INDIRECT($C$5&amp;"生成成长"),5))*(VLOOKUP($B$5,标准坦克设计!$B$24:$U$30,MATCH("对"&amp;LEFT($C$5,2)&amp;"输出",标准坦克设计!$B$23:$U$23,0)))*(VLOOKUP($B179,INDIRECT($B$5&amp;"生成成长"),3))*(VLOOKUP($B$5,标准坦克设计!$B$14:$K$20,9)/30))</f>
        <v>2.2098565055368122</v>
      </c>
      <c r="AB179" s="172">
        <f ca="1">(VLOOKUP(AB$72,INDIRECT($C$5&amp;"生成成长"),2))/((VLOOKUP($B179,INDIRECT($B$5&amp;"生成成长"),4))/(VLOOKUP(AB$72,INDIRECT($C$5&amp;"生成成长"),5))*(VLOOKUP($B$5,标准坦克设计!$B$24:$U$30,MATCH("对"&amp;LEFT($C$5,2)&amp;"输出",标准坦克设计!$B$23:$U$23,0)))*(VLOOKUP($B179,INDIRECT($B$5&amp;"生成成长"),3))*(VLOOKUP($B$5,标准坦克设计!$B$14:$K$20,9)/30))</f>
        <v>2.4222256202217403</v>
      </c>
      <c r="AC179" s="172">
        <f ca="1">(VLOOKUP(AC$72,INDIRECT($C$5&amp;"生成成长"),2))/((VLOOKUP($B179,INDIRECT($B$5&amp;"生成成长"),4))/(VLOOKUP(AC$72,INDIRECT($C$5&amp;"生成成长"),5))*(VLOOKUP($B$5,标准坦克设计!$B$24:$U$30,MATCH("对"&amp;LEFT($C$5,2)&amp;"输出",标准坦克设计!$B$23:$U$23,0)))*(VLOOKUP($B179,INDIRECT($B$5&amp;"生成成长"),3))*(VLOOKUP($B$5,标准坦克设计!$B$14:$K$20,9)/30))</f>
        <v>2.6443364374151508</v>
      </c>
      <c r="AD179" s="172">
        <f ca="1">(VLOOKUP(AD$72,INDIRECT($C$5&amp;"生成成长"),2))/((VLOOKUP($B179,INDIRECT($B$5&amp;"生成成长"),4))/(VLOOKUP(AD$72,INDIRECT($C$5&amp;"生成成长"),5))*(VLOOKUP($B$5,标准坦克设计!$B$24:$U$30,MATCH("对"&amp;LEFT($C$5,2)&amp;"输出",标准坦克设计!$B$23:$U$23,0)))*(VLOOKUP($B179,INDIRECT($B$5&amp;"生成成长"),3))*(VLOOKUP($B$5,标准坦克设计!$B$14:$K$20,9)/30))</f>
        <v>2.8761889571170447</v>
      </c>
      <c r="AE179" s="172">
        <f ca="1">(VLOOKUP(AE$72,INDIRECT($C$5&amp;"生成成长"),2))/((VLOOKUP($B179,INDIRECT($B$5&amp;"生成成长"),4))/(VLOOKUP(AE$72,INDIRECT($C$5&amp;"生成成长"),5))*(VLOOKUP($B$5,标准坦克设计!$B$24:$U$30,MATCH("对"&amp;LEFT($C$5,2)&amp;"输出",标准坦克设计!$B$23:$U$23,0)))*(VLOOKUP($B179,INDIRECT($B$5&amp;"生成成长"),3))*(VLOOKUP($B$5,标准坦克设计!$B$14:$K$20,9)/30))</f>
        <v>3.1177831793274224</v>
      </c>
      <c r="AF179" s="172">
        <f ca="1">(VLOOKUP(AF$72,INDIRECT($C$5&amp;"生成成长"),2))/((VLOOKUP($B179,INDIRECT($B$5&amp;"生成成长"),4))/(VLOOKUP(AF$72,INDIRECT($C$5&amp;"生成成长"),5))*(VLOOKUP($B$5,标准坦克设计!$B$24:$U$30,MATCH("对"&amp;LEFT($C$5,2)&amp;"输出",标准坦克设计!$B$23:$U$23,0)))*(VLOOKUP($B179,INDIRECT($B$5&amp;"生成成长"),3))*(VLOOKUP($B$5,标准坦克设计!$B$14:$K$20,9)/30))</f>
        <v>3.3691191040462822</v>
      </c>
      <c r="AG179" s="172">
        <f ca="1">(VLOOKUP(AG$72,INDIRECT($C$5&amp;"生成成长"),2))/((VLOOKUP($B179,INDIRECT($B$5&amp;"生成成长"),4))/(VLOOKUP(AG$72,INDIRECT($C$5&amp;"生成成长"),5))*(VLOOKUP($B$5,标准坦克设计!$B$24:$U$30,MATCH("对"&amp;LEFT($C$5,2)&amp;"输出",标准坦克设计!$B$23:$U$23,0)))*(VLOOKUP($B179,INDIRECT($B$5&amp;"生成成长"),3))*(VLOOKUP($B$5,标准坦克设计!$B$14:$K$20,9)/30))</f>
        <v>3.6301967312736236</v>
      </c>
      <c r="AH179" s="172">
        <f ca="1">(VLOOKUP(AH$72,INDIRECT($C$5&amp;"生成成长"),2))/((VLOOKUP($B179,INDIRECT($B$5&amp;"生成成长"),4))/(VLOOKUP(AH$72,INDIRECT($C$5&amp;"生成成长"),5))*(VLOOKUP($B$5,标准坦克设计!$B$24:$U$30,MATCH("对"&amp;LEFT($C$5,2)&amp;"输出",标准坦克设计!$B$23:$U$23,0)))*(VLOOKUP($B179,INDIRECT($B$5&amp;"生成成长"),3))*(VLOOKUP($B$5,标准坦克设计!$B$14:$K$20,9)/30))</f>
        <v>3.9010160610094498</v>
      </c>
      <c r="AI179" s="172">
        <f ca="1">(VLOOKUP(AI$72,INDIRECT($C$5&amp;"生成成长"),2))/((VLOOKUP($B179,INDIRECT($B$5&amp;"生成成长"),4))/(VLOOKUP(AI$72,INDIRECT($C$5&amp;"生成成长"),5))*(VLOOKUP($B$5,标准坦克设计!$B$24:$U$30,MATCH("对"&amp;LEFT($C$5,2)&amp;"输出",标准坦克设计!$B$23:$U$23,0)))*(VLOOKUP($B179,INDIRECT($B$5&amp;"生成成长"),3))*(VLOOKUP($B$5,标准坦克设计!$B$14:$K$20,9)/30))</f>
        <v>2.7590449844525375</v>
      </c>
      <c r="AJ179" s="172">
        <f ca="1">(VLOOKUP(AJ$72,INDIRECT($C$5&amp;"生成成长"),2))/((VLOOKUP($B179,INDIRECT($B$5&amp;"生成成长"),4))/(VLOOKUP(AJ$72,INDIRECT($C$5&amp;"生成成长"),5))*(VLOOKUP($B$5,标准坦克设计!$B$24:$U$30,MATCH("对"&amp;LEFT($C$5,2)&amp;"输出",标准坦克设计!$B$23:$U$23,0)))*(VLOOKUP($B179,INDIRECT($B$5&amp;"生成成长"),3))*(VLOOKUP($B$5,标准坦克设计!$B$14:$K$20,9)/30))</f>
        <v>3.0199764861422529</v>
      </c>
      <c r="AK179" s="172">
        <f ca="1">(VLOOKUP(AK$72,INDIRECT($C$5&amp;"生成成长"),2))/((VLOOKUP($B179,INDIRECT($B$5&amp;"生成成长"),4))/(VLOOKUP(AK$72,INDIRECT($C$5&amp;"生成成长"),5))*(VLOOKUP($B$5,标准坦克设计!$B$24:$U$30,MATCH("对"&amp;LEFT($C$5,2)&amp;"输出",标准坦克设计!$B$23:$U$23,0)))*(VLOOKUP($B179,INDIRECT($B$5&amp;"生成成长"),3))*(VLOOKUP($B$5,标准坦克设计!$B$14:$K$20,9)/30))</f>
        <v>3.2926954478672328</v>
      </c>
      <c r="AL179" s="172">
        <f ca="1">(VLOOKUP(AL$72,INDIRECT($C$5&amp;"生成成长"),2))/((VLOOKUP($B179,INDIRECT($B$5&amp;"生成成长"),4))/(VLOOKUP(AL$72,INDIRECT($C$5&amp;"生成成长"),5))*(VLOOKUP($B$5,标准坦克设计!$B$24:$U$30,MATCH("对"&amp;LEFT($C$5,2)&amp;"输出",标准坦克设计!$B$23:$U$23,0)))*(VLOOKUP($B179,INDIRECT($B$5&amp;"生成成长"),3))*(VLOOKUP($B$5,标准坦克设计!$B$14:$K$20,9)/30))</f>
        <v>3.5772018696274772</v>
      </c>
      <c r="AM179" s="172">
        <f ca="1">(VLOOKUP(AM$72,INDIRECT($C$5&amp;"生成成长"),2))/((VLOOKUP($B179,INDIRECT($B$5&amp;"生成成长"),4))/(VLOOKUP(AM$72,INDIRECT($C$5&amp;"生成成长"),5))*(VLOOKUP($B$5,标准坦克设计!$B$24:$U$30,MATCH("对"&amp;LEFT($C$5,2)&amp;"输出",标准坦克设计!$B$23:$U$23,0)))*(VLOOKUP($B179,INDIRECT($B$5&amp;"生成成长"),3))*(VLOOKUP($B$5,标准坦克设计!$B$14:$K$20,9)/30))</f>
        <v>3.8734957514229853</v>
      </c>
      <c r="AN179" s="172">
        <f ca="1">(VLOOKUP(AN$72,INDIRECT($C$5&amp;"生成成长"),2))/((VLOOKUP($B179,INDIRECT($B$5&amp;"生成成长"),4))/(VLOOKUP(AN$72,INDIRECT($C$5&amp;"生成成长"),5))*(VLOOKUP($B$5,标准坦克设计!$B$24:$U$30,MATCH("对"&amp;LEFT($C$5,2)&amp;"输出",标准坦克设计!$B$23:$U$23,0)))*(VLOOKUP($B179,INDIRECT($B$5&amp;"生成成长"),3))*(VLOOKUP($B$5,标准坦克设计!$B$14:$K$20,9)/30))</f>
        <v>4.1815770932537584</v>
      </c>
      <c r="AO179" s="172">
        <f ca="1">(VLOOKUP(AO$72,INDIRECT($C$5&amp;"生成成长"),2))/((VLOOKUP($B179,INDIRECT($B$5&amp;"生成成长"),4))/(VLOOKUP(AO$72,INDIRECT($C$5&amp;"生成成长"),5))*(VLOOKUP($B$5,标准坦克设计!$B$24:$U$30,MATCH("对"&amp;LEFT($C$5,2)&amp;"输出",标准坦克设计!$B$23:$U$23,0)))*(VLOOKUP($B179,INDIRECT($B$5&amp;"生成成长"),3))*(VLOOKUP($B$5,标准坦克设计!$B$14:$K$20,9)/30))</f>
        <v>4.5014458951197955</v>
      </c>
      <c r="AP179" s="172">
        <f ca="1">(VLOOKUP(AP$72,INDIRECT($C$5&amp;"生成成长"),2))/((VLOOKUP($B179,INDIRECT($B$5&amp;"生成成长"),4))/(VLOOKUP(AP$72,INDIRECT($C$5&amp;"生成成长"),5))*(VLOOKUP($B$5,标准坦克设计!$B$24:$U$30,MATCH("对"&amp;LEFT($C$5,2)&amp;"输出",标准坦克设计!$B$23:$U$23,0)))*(VLOOKUP($B179,INDIRECT($B$5&amp;"生成成长"),3))*(VLOOKUP($B$5,标准坦克设计!$B$14:$K$20,9)/30))</f>
        <v>4.8331021570210977</v>
      </c>
      <c r="AQ179" s="172">
        <f ca="1">(VLOOKUP(AQ$72,INDIRECT($C$5&amp;"生成成长"),2))/((VLOOKUP($B179,INDIRECT($B$5&amp;"生成成长"),4))/(VLOOKUP(AQ$72,INDIRECT($C$5&amp;"生成成长"),5))*(VLOOKUP($B$5,标准坦克设计!$B$24:$U$30,MATCH("对"&amp;LEFT($C$5,2)&amp;"输出",标准坦克设计!$B$23:$U$23,0)))*(VLOOKUP($B179,INDIRECT($B$5&amp;"生成成长"),3))*(VLOOKUP($B$5,标准坦克设计!$B$14:$K$20,9)/30))</f>
        <v>5.176545878957663</v>
      </c>
      <c r="AR179" s="172">
        <f ca="1">(VLOOKUP(AR$72,INDIRECT($C$5&amp;"生成成长"),2))/((VLOOKUP($B179,INDIRECT($B$5&amp;"生成成长"),4))/(VLOOKUP(AR$72,INDIRECT($C$5&amp;"生成成长"),5))*(VLOOKUP($B$5,标准坦克设计!$B$24:$U$30,MATCH("对"&amp;LEFT($C$5,2)&amp;"输出",标准坦克设计!$B$23:$U$23,0)))*(VLOOKUP($B179,INDIRECT($B$5&amp;"生成成长"),3))*(VLOOKUP($B$5,标准坦克设计!$B$14:$K$20,9)/30))</f>
        <v>5.5317770609294934</v>
      </c>
      <c r="AS179" s="172">
        <f ca="1">(VLOOKUP(AS$72,INDIRECT($C$5&amp;"生成成长"),2))/((VLOOKUP($B179,INDIRECT($B$5&amp;"生成成长"),4))/(VLOOKUP(AS$72,INDIRECT($C$5&amp;"生成成长"),5))*(VLOOKUP($B$5,标准坦克设计!$B$24:$U$30,MATCH("对"&amp;LEFT($C$5,2)&amp;"输出",标准坦克设计!$B$23:$U$23,0)))*(VLOOKUP($B179,INDIRECT($B$5&amp;"生成成长"),3))*(VLOOKUP($B$5,标准坦克设计!$B$14:$K$20,9)/30))</f>
        <v>5.8987957029365878</v>
      </c>
      <c r="AT179" s="172">
        <f ca="1">(VLOOKUP(AT$72,INDIRECT($C$5&amp;"生成成长"),2))/((VLOOKUP($B179,INDIRECT($B$5&amp;"生成成长"),4))/(VLOOKUP(AT$72,INDIRECT($C$5&amp;"生成成长"),5))*(VLOOKUP($B$5,标准坦克设计!$B$24:$U$30,MATCH("对"&amp;LEFT($C$5,2)&amp;"输出",标准坦克设计!$B$23:$U$23,0)))*(VLOOKUP($B179,INDIRECT($B$5&amp;"生成成长"),3))*(VLOOKUP($B$5,标准坦克设计!$B$14:$K$20,9)/30))</f>
        <v>6.2776018049789473</v>
      </c>
      <c r="AU179" s="172">
        <f ca="1">(VLOOKUP(AU$72,INDIRECT($C$5&amp;"生成成长"),2))/((VLOOKUP($B179,INDIRECT($B$5&amp;"生成成长"),4))/(VLOOKUP(AU$72,INDIRECT($C$5&amp;"生成成长"),5))*(VLOOKUP($B$5,标准坦克设计!$B$24:$U$30,MATCH("对"&amp;LEFT($C$5,2)&amp;"输出",标准坦克设计!$B$23:$U$23,0)))*(VLOOKUP($B179,INDIRECT($B$5&amp;"生成成长"),3))*(VLOOKUP($B$5,标准坦克设计!$B$14:$K$20,9)/30))</f>
        <v>6.6681953670565708</v>
      </c>
      <c r="AV179" s="172">
        <f ca="1">(VLOOKUP(AV$72,INDIRECT($C$5&amp;"生成成长"),2))/((VLOOKUP($B179,INDIRECT($B$5&amp;"生成成长"),4))/(VLOOKUP(AV$72,INDIRECT($C$5&amp;"生成成长"),5))*(VLOOKUP($B$5,标准坦克设计!$B$24:$U$30,MATCH("对"&amp;LEFT($C$5,2)&amp;"输出",标准坦克设计!$B$23:$U$23,0)))*(VLOOKUP($B179,INDIRECT($B$5&amp;"生成成长"),3))*(VLOOKUP($B$5,标准坦克设计!$B$14:$K$20,9)/30))</f>
        <v>0.67821732864058215</v>
      </c>
      <c r="AW179" s="172">
        <f ca="1">(VLOOKUP(AW$72,INDIRECT($C$5&amp;"生成成长"),2))/((VLOOKUP($B179,INDIRECT($B$5&amp;"生成成长"),4))/(VLOOKUP(AW$72,INDIRECT($C$5&amp;"生成成长"),5))*(VLOOKUP($B$5,标准坦克设计!$B$24:$U$30,MATCH("对"&amp;LEFT($C$5,2)&amp;"输出",标准坦克设计!$B$23:$U$23,0)))*(VLOOKUP($B179,INDIRECT($B$5&amp;"生成成长"),3))*(VLOOKUP($B$5,标准坦克设计!$B$14:$K$20,9)/30))</f>
        <v>0.77329634512337564</v>
      </c>
      <c r="AX179" s="172">
        <f ca="1">(VLOOKUP(AX$72,INDIRECT($C$5&amp;"生成成长"),2))/((VLOOKUP($B179,INDIRECT($B$5&amp;"生成成长"),4))/(VLOOKUP(AX$72,INDIRECT($C$5&amp;"生成成长"),5))*(VLOOKUP($B$5,标准坦克设计!$B$24:$U$30,MATCH("对"&amp;LEFT($C$5,2)&amp;"输出",标准坦克设计!$B$23:$U$23,0)))*(VLOOKUP($B179,INDIRECT($B$5&amp;"生成成长"),3))*(VLOOKUP($B$5,标准坦克设计!$B$14:$K$20,9)/30))</f>
        <v>0.87461005121159807</v>
      </c>
      <c r="AY179" s="172">
        <f ca="1">(VLOOKUP(AY$72,INDIRECT($C$5&amp;"生成成长"),2))/((VLOOKUP($B179,INDIRECT($B$5&amp;"生成成长"),4))/(VLOOKUP(AY$72,INDIRECT($C$5&amp;"生成成长"),5))*(VLOOKUP($B$5,标准坦克设计!$B$24:$U$30,MATCH("对"&amp;LEFT($C$5,2)&amp;"输出",标准坦克设计!$B$23:$U$23,0)))*(VLOOKUP($B179,INDIRECT($B$5&amp;"生成成长"),3))*(VLOOKUP($B$5,标准坦克设计!$B$14:$K$20,9)/30))</f>
        <v>0.98215844690524967</v>
      </c>
      <c r="AZ179" s="172">
        <f ca="1">(VLOOKUP(AZ$72,INDIRECT($C$5&amp;"生成成长"),2))/((VLOOKUP($B179,INDIRECT($B$5&amp;"生成成长"),4))/(VLOOKUP(AZ$72,INDIRECT($C$5&amp;"生成成长"),5))*(VLOOKUP($B$5,标准坦克设计!$B$24:$U$30,MATCH("对"&amp;LEFT($C$5,2)&amp;"输出",标准坦克设计!$B$23:$U$23,0)))*(VLOOKUP($B179,INDIRECT($B$5&amp;"生成成长"),3))*(VLOOKUP($B$5,标准坦克设计!$B$14:$K$20,9)/30))</f>
        <v>1.0959415322043302</v>
      </c>
      <c r="BA179" s="172">
        <f ca="1">(VLOOKUP(BA$72,INDIRECT($C$5&amp;"生成成长"),2))/((VLOOKUP($B179,INDIRECT($B$5&amp;"生成成长"),4))/(VLOOKUP(BA$72,INDIRECT($C$5&amp;"生成成长"),5))*(VLOOKUP($B$5,标准坦克设计!$B$24:$U$30,MATCH("对"&amp;LEFT($C$5,2)&amp;"输出",标准坦克设计!$B$23:$U$23,0)))*(VLOOKUP($B179,INDIRECT($B$5&amp;"生成成长"),3))*(VLOOKUP($B$5,标准坦克设计!$B$14:$K$20,9)/30))</f>
        <v>1.2159593071088404</v>
      </c>
      <c r="BB179" s="172">
        <f ca="1">(VLOOKUP(BB$72,INDIRECT($C$5&amp;"生成成长"),2))/((VLOOKUP($B179,INDIRECT($B$5&amp;"生成成长"),4))/(VLOOKUP(BB$72,INDIRECT($C$5&amp;"生成成长"),5))*(VLOOKUP($B$5,标准坦克设计!$B$24:$U$30,MATCH("对"&amp;LEFT($C$5,2)&amp;"输出",标准坦克设计!$B$23:$U$23,0)))*(VLOOKUP($B179,INDIRECT($B$5&amp;"生成成长"),3))*(VLOOKUP($B$5,标准坦克设计!$B$14:$K$20,9)/30))</f>
        <v>1.3422117716187789</v>
      </c>
      <c r="BC179" s="172">
        <f ca="1">(VLOOKUP(BC$72,INDIRECT($C$5&amp;"生成成长"),2))/((VLOOKUP($B179,INDIRECT($B$5&amp;"生成成长"),4))/(VLOOKUP(BC$72,INDIRECT($C$5&amp;"生成成长"),5))*(VLOOKUP($B$5,标准坦克设计!$B$24:$U$30,MATCH("对"&amp;LEFT($C$5,2)&amp;"输出",标准坦克设计!$B$23:$U$23,0)))*(VLOOKUP($B179,INDIRECT($B$5&amp;"生成成长"),3))*(VLOOKUP($B$5,标准坦克设计!$B$14:$K$20,9)/30))</f>
        <v>1.474698925734147</v>
      </c>
      <c r="BD179" s="172">
        <f ca="1">(VLOOKUP(BD$72,INDIRECT($C$5&amp;"生成成长"),2))/((VLOOKUP($B179,INDIRECT($B$5&amp;"生成成长"),4))/(VLOOKUP(BD$72,INDIRECT($C$5&amp;"生成成长"),5))*(VLOOKUP($B$5,标准坦克设计!$B$24:$U$30,MATCH("对"&amp;LEFT($C$5,2)&amp;"输出",标准坦克设计!$B$23:$U$23,0)))*(VLOOKUP($B179,INDIRECT($B$5&amp;"生成成长"),3))*(VLOOKUP($B$5,标准坦克设计!$B$14:$K$20,9)/30))</f>
        <v>1.6311993765329253</v>
      </c>
      <c r="BE179" s="172">
        <f ca="1">(VLOOKUP(BE$72,INDIRECT($C$5&amp;"生成成长"),2))/((VLOOKUP($B179,INDIRECT($B$5&amp;"生成成长"),4))/(VLOOKUP(BE$72,INDIRECT($C$5&amp;"生成成长"),5))*(VLOOKUP($B$5,标准坦克设计!$B$24:$U$30,MATCH("对"&amp;LEFT($C$5,2)&amp;"输出",标准坦克设计!$B$23:$U$23,0)))*(VLOOKUP($B179,INDIRECT($B$5&amp;"生成成长"),3))*(VLOOKUP($B$5,标准坦克设计!$B$14:$K$20,9)/30))</f>
        <v>1.7955906063635751</v>
      </c>
      <c r="BF179" s="172">
        <f ca="1">(VLOOKUP(BF$72,INDIRECT($C$5&amp;"生成成长"),2))/((VLOOKUP($B179,INDIRECT($B$5&amp;"生成成长"),4))/(VLOOKUP(BF$72,INDIRECT($C$5&amp;"生成成长"),5))*(VLOOKUP($B$5,标准坦克设计!$B$24:$U$30,MATCH("对"&amp;LEFT($C$5,2)&amp;"输出",标准坦克设计!$B$23:$U$23,0)))*(VLOOKUP($B179,INDIRECT($B$5&amp;"生成成长"),3))*(VLOOKUP($B$5,标准坦克设计!$B$14:$K$20,9)/30))</f>
        <v>1.9678726152260955</v>
      </c>
      <c r="BG179" s="172">
        <f ca="1">(VLOOKUP(BG$72,INDIRECT($C$5&amp;"生成成长"),2))/((VLOOKUP($B179,INDIRECT($B$5&amp;"生成成长"),4))/(VLOOKUP(BG$72,INDIRECT($C$5&amp;"生成成长"),5))*(VLOOKUP($B$5,标准坦克设计!$B$24:$U$30,MATCH("对"&amp;LEFT($C$5,2)&amp;"输出",标准坦克设计!$B$23:$U$23,0)))*(VLOOKUP($B179,INDIRECT($B$5&amp;"生成成长"),3))*(VLOOKUP($B$5,标准坦克设计!$B$14:$K$20,9)/30))</f>
        <v>2.1480454031204879</v>
      </c>
      <c r="BH179" s="172">
        <f ca="1">(VLOOKUP(BH$72,INDIRECT($C$5&amp;"生成成长"),2))/((VLOOKUP($B179,INDIRECT($B$5&amp;"生成成长"),4))/(VLOOKUP(BH$72,INDIRECT($C$5&amp;"生成成长"),5))*(VLOOKUP($B$5,标准坦克设计!$B$24:$U$30,MATCH("对"&amp;LEFT($C$5,2)&amp;"输出",标准坦克设计!$B$23:$U$23,0)))*(VLOOKUP($B179,INDIRECT($B$5&amp;"生成成长"),3))*(VLOOKUP($B$5,标准坦克设计!$B$14:$K$20,9)/30))</f>
        <v>1.0382706533541115</v>
      </c>
      <c r="BI179" s="172">
        <f ca="1">(VLOOKUP(BI$72,INDIRECT($C$5&amp;"生成成长"),2))/((VLOOKUP($B179,INDIRECT($B$5&amp;"生成成长"),4))/(VLOOKUP(BI$72,INDIRECT($C$5&amp;"生成成长"),5))*(VLOOKUP($B$5,标准坦克设计!$B$24:$U$30,MATCH("对"&amp;LEFT($C$5,2)&amp;"输出",标准坦克设计!$B$23:$U$23,0)))*(VLOOKUP($B179,INDIRECT($B$5&amp;"生成成长"),3))*(VLOOKUP($B$5,标准坦克设计!$B$14:$K$20,9)/30))</f>
        <v>1.1702220138315129</v>
      </c>
      <c r="BJ179" s="172">
        <f ca="1">(VLOOKUP(BJ$72,INDIRECT($C$5&amp;"生成成长"),2))/((VLOOKUP($B179,INDIRECT($B$5&amp;"生成成长"),4))/(VLOOKUP(BJ$72,INDIRECT($C$5&amp;"生成成长"),5))*(VLOOKUP($B$5,标准坦克设计!$B$24:$U$30,MATCH("对"&amp;LEFT($C$5,2)&amp;"输出",标准坦克设计!$B$23:$U$23,0)))*(VLOOKUP($B179,INDIRECT($B$5&amp;"生成成长"),3))*(VLOOKUP($B$5,标准坦克设计!$B$14:$K$20,9)/30))</f>
        <v>1.3100641533407853</v>
      </c>
      <c r="BK179" s="172">
        <f ca="1">(VLOOKUP(BK$72,INDIRECT($C$5&amp;"生成成长"),2))/((VLOOKUP($B179,INDIRECT($B$5&amp;"生成成长"),4))/(VLOOKUP(BK$72,INDIRECT($C$5&amp;"生成成长"),5))*(VLOOKUP($B$5,标准坦克设计!$B$24:$U$30,MATCH("对"&amp;LEFT($C$5,2)&amp;"输出",标准坦克设计!$B$23:$U$23,0)))*(VLOOKUP($B179,INDIRECT($B$5&amp;"生成成长"),3))*(VLOOKUP($B$5,标准坦克设计!$B$14:$K$20,9)/30))</f>
        <v>1.4577970718819293</v>
      </c>
      <c r="BL179" s="172">
        <f ca="1">(VLOOKUP(BL$72,INDIRECT($C$5&amp;"生成成长"),2))/((VLOOKUP($B179,INDIRECT($B$5&amp;"生成成长"),4))/(VLOOKUP(BL$72,INDIRECT($C$5&amp;"生成成长"),5))*(VLOOKUP($B$5,标准坦克设计!$B$24:$U$30,MATCH("对"&amp;LEFT($C$5,2)&amp;"输出",标准坦克设计!$B$23:$U$23,0)))*(VLOOKUP($B179,INDIRECT($B$5&amp;"生成成长"),3))*(VLOOKUP($B$5,标准坦克设计!$B$14:$K$20,9)/30))</f>
        <v>1.6134207694549441</v>
      </c>
      <c r="BM179" s="172">
        <f ca="1">(VLOOKUP(BM$72,INDIRECT($C$5&amp;"生成成长"),2))/((VLOOKUP($B179,INDIRECT($B$5&amp;"生成成长"),4))/(VLOOKUP(BM$72,INDIRECT($C$5&amp;"生成成长"),5))*(VLOOKUP($B$5,标准坦克设计!$B$24:$U$30,MATCH("对"&amp;LEFT($C$5,2)&amp;"输出",标准坦克设计!$B$23:$U$23,0)))*(VLOOKUP($B179,INDIRECT($B$5&amp;"生成成长"),3))*(VLOOKUP($B$5,标准坦克设计!$B$14:$K$20,9)/30))</f>
        <v>1.77693524605983</v>
      </c>
      <c r="BN179" s="172">
        <f ca="1">(VLOOKUP(BN$72,INDIRECT($C$5&amp;"生成成长"),2))/((VLOOKUP($B179,INDIRECT($B$5&amp;"生成成长"),4))/(VLOOKUP(BN$72,INDIRECT($C$5&amp;"生成成长"),5))*(VLOOKUP($B$5,标准坦克设计!$B$24:$U$30,MATCH("对"&amp;LEFT($C$5,2)&amp;"输出",标准坦克设计!$B$23:$U$23,0)))*(VLOOKUP($B179,INDIRECT($B$5&amp;"生成成长"),3))*(VLOOKUP($B$5,标准坦克设计!$B$14:$K$20,9)/30))</f>
        <v>1.9483405016965876</v>
      </c>
      <c r="BO179" s="172">
        <f ca="1">(VLOOKUP(BO$72,INDIRECT($C$5&amp;"生成成长"),2))/((VLOOKUP($B179,INDIRECT($B$5&amp;"生成成长"),4))/(VLOOKUP(BO$72,INDIRECT($C$5&amp;"生成成长"),5))*(VLOOKUP($B$5,标准坦克设计!$B$24:$U$30,MATCH("对"&amp;LEFT($C$5,2)&amp;"输出",标准坦克设计!$B$23:$U$23,0)))*(VLOOKUP($B179,INDIRECT($B$5&amp;"生成成长"),3))*(VLOOKUP($B$5,标准坦克设计!$B$14:$K$20,9)/30))</f>
        <v>2.1276365363652157</v>
      </c>
      <c r="BP179" s="172">
        <f ca="1">(VLOOKUP(BP$72,INDIRECT($C$5&amp;"生成成长"),2))/((VLOOKUP($B179,INDIRECT($B$5&amp;"生成成长"),4))/(VLOOKUP(BP$72,INDIRECT($C$5&amp;"生成成长"),5))*(VLOOKUP($B$5,标准坦克设计!$B$24:$U$30,MATCH("对"&amp;LEFT($C$5,2)&amp;"输出",标准坦克设计!$B$23:$U$23,0)))*(VLOOKUP($B179,INDIRECT($B$5&amp;"生成成长"),3))*(VLOOKUP($B$5,标准坦克设计!$B$14:$K$20,9)/30))</f>
        <v>2.3148233500657156</v>
      </c>
      <c r="BQ179" s="172">
        <f ca="1">(VLOOKUP(BQ$72,INDIRECT($C$5&amp;"生成成长"),2))/((VLOOKUP($B179,INDIRECT($B$5&amp;"生成成长"),4))/(VLOOKUP(BQ$72,INDIRECT($C$5&amp;"生成成长"),5))*(VLOOKUP($B$5,标准坦克设计!$B$24:$U$30,MATCH("对"&amp;LEFT($C$5,2)&amp;"输出",标准坦克设计!$B$23:$U$23,0)))*(VLOOKUP($B179,INDIRECT($B$5&amp;"生成成长"),3))*(VLOOKUP($B$5,标准坦克设计!$B$14:$K$20,9)/30))</f>
        <v>2.5099009427980863</v>
      </c>
      <c r="BR179" s="172">
        <f ca="1">(VLOOKUP(BR$72,INDIRECT($C$5&amp;"生成成长"),2))/((VLOOKUP($B179,INDIRECT($B$5&amp;"生成成长"),4))/(VLOOKUP(BR$72,INDIRECT($C$5&amp;"生成成长"),5))*(VLOOKUP($B$5,标准坦克设计!$B$24:$U$30,MATCH("对"&amp;LEFT($C$5,2)&amp;"输出",标准坦克设计!$B$23:$U$23,0)))*(VLOOKUP($B179,INDIRECT($B$5&amp;"生成成长"),3))*(VLOOKUP($B$5,标准坦克设计!$B$14:$K$20,9)/30))</f>
        <v>2.7359084409948906</v>
      </c>
      <c r="BS179" s="172">
        <f ca="1">(VLOOKUP(BS$72,INDIRECT($C$5&amp;"生成成长"),2))/((VLOOKUP($B179,INDIRECT($B$5&amp;"生成成长"),4))/(VLOOKUP(BS$72,INDIRECT($C$5&amp;"生成成长"),5))*(VLOOKUP($B$5,标准坦克设计!$B$24:$U$30,MATCH("对"&amp;LEFT($C$5,2)&amp;"输出",标准坦克设计!$B$23:$U$23,0)))*(VLOOKUP($B179,INDIRECT($B$5&amp;"生成成长"),3))*(VLOOKUP($B$5,标准坦克设计!$B$14:$K$20,9)/30))</f>
        <v>2.9716576417001774</v>
      </c>
      <c r="BT179" s="172">
        <f ca="1">(VLOOKUP(BT$72,INDIRECT($C$5&amp;"生成成长"),2))/((VLOOKUP($B179,INDIRECT($B$5&amp;"生成成长"),4))/(VLOOKUP(BT$72,INDIRECT($C$5&amp;"生成成长"),5))*(VLOOKUP($B$5,标准坦克设计!$B$24:$U$30,MATCH("对"&amp;LEFT($C$5,2)&amp;"输出",标准坦克设计!$B$23:$U$23,0)))*(VLOOKUP($B179,INDIRECT($B$5&amp;"生成成长"),3))*(VLOOKUP($B$5,标准坦克设计!$B$14:$K$20,9)/30))</f>
        <v>3.2171485449139476</v>
      </c>
      <c r="BU179" s="172">
        <f ca="1">(VLOOKUP(BU$72,INDIRECT($C$5&amp;"生成成长"),2))/((VLOOKUP($B179,INDIRECT($B$5&amp;"生成成长"),4))/(VLOOKUP(BU$72,INDIRECT($C$5&amp;"生成成长"),5))*(VLOOKUP($B$5,标准坦克设计!$B$24:$U$30,MATCH("对"&amp;LEFT($C$5,2)&amp;"输出",标准坦克设计!$B$23:$U$23,0)))*(VLOOKUP($B179,INDIRECT($B$5&amp;"生成成长"),3))*(VLOOKUP($B$5,标准坦克设计!$B$14:$K$20,9)/30))</f>
        <v>3.4723811506362003</v>
      </c>
      <c r="BV179" s="172">
        <f ca="1">(VLOOKUP(BV$72,INDIRECT($C$5&amp;"生成成长"),2))/((VLOOKUP($B179,INDIRECT($B$5&amp;"生成成长"),4))/(VLOOKUP(BV$72,INDIRECT($C$5&amp;"生成成长"),5))*(VLOOKUP($B$5,标准坦克设计!$B$24:$U$30,MATCH("对"&amp;LEFT($C$5,2)&amp;"输出",标准坦克设计!$B$23:$U$23,0)))*(VLOOKUP($B179,INDIRECT($B$5&amp;"生成成长"),3))*(VLOOKUP($B$5,标准坦克设计!$B$14:$K$20,9)/30))</f>
        <v>3.7373554588669369</v>
      </c>
      <c r="BW179" s="172">
        <f ca="1">(VLOOKUP(BW$72,INDIRECT($C$5&amp;"生成成长"),2))/((VLOOKUP($B179,INDIRECT($B$5&amp;"生成成长"),4))/(VLOOKUP(BW$72,INDIRECT($C$5&amp;"生成成长"),5))*(VLOOKUP($B$5,标准坦克设计!$B$24:$U$30,MATCH("对"&amp;LEFT($C$5,2)&amp;"输出",标准坦克设计!$B$23:$U$23,0)))*(VLOOKUP($B179,INDIRECT($B$5&amp;"生成成长"),3))*(VLOOKUP($B$5,标准坦克设计!$B$14:$K$20,9)/30))</f>
        <v>1.7032879750956991</v>
      </c>
      <c r="BX179" s="172">
        <f ca="1">(VLOOKUP(BX$72,INDIRECT($C$5&amp;"生成成长"),2))/((VLOOKUP($B179,INDIRECT($B$5&amp;"生成成长"),4))/(VLOOKUP(BX$72,INDIRECT($C$5&amp;"生成成长"),5))*(VLOOKUP($B$5,标准坦克设计!$B$24:$U$30,MATCH("对"&amp;LEFT($C$5,2)&amp;"输出",标准坦克设计!$B$23:$U$23,0)))*(VLOOKUP($B179,INDIRECT($B$5&amp;"生成成长"),3))*(VLOOKUP($B$5,标准坦克设计!$B$14:$K$20,9)/30))</f>
        <v>1.8903286632585714</v>
      </c>
      <c r="BY179" s="172">
        <f ca="1">(VLOOKUP(BY$72,INDIRECT($C$5&amp;"生成成长"),2))/((VLOOKUP($B179,INDIRECT($B$5&amp;"生成成长"),4))/(VLOOKUP(BY$72,INDIRECT($C$5&amp;"生成成长"),5))*(VLOOKUP($B$5,标准坦克设计!$B$24:$U$30,MATCH("对"&amp;LEFT($C$5,2)&amp;"输出",标准坦克设计!$B$23:$U$23,0)))*(VLOOKUP($B179,INDIRECT($B$5&amp;"生成成长"),3))*(VLOOKUP($B$5,标准坦克设计!$B$14:$K$20,9)/30))</f>
        <v>2.0871110539299269</v>
      </c>
      <c r="BZ179" s="172">
        <f ca="1">(VLOOKUP(BZ$72,INDIRECT($C$5&amp;"生成成长"),2))/((VLOOKUP($B179,INDIRECT($B$5&amp;"生成成长"),4))/(VLOOKUP(BZ$72,INDIRECT($C$5&amp;"生成成长"),5))*(VLOOKUP($B$5,标准坦克设计!$B$24:$U$30,MATCH("对"&amp;LEFT($C$5,2)&amp;"输出",标准坦克设计!$B$23:$U$23,0)))*(VLOOKUP($B179,INDIRECT($B$5&amp;"生成成长"),3))*(VLOOKUP($B$5,标准坦克设计!$B$14:$K$20,9)/30))</f>
        <v>2.2936351471097649</v>
      </c>
      <c r="CA179" s="172">
        <f ca="1">(VLOOKUP(CA$72,INDIRECT($C$5&amp;"生成成长"),2))/((VLOOKUP($B179,INDIRECT($B$5&amp;"生成成长"),4))/(VLOOKUP(CA$72,INDIRECT($C$5&amp;"生成成长"),5))*(VLOOKUP($B$5,标准坦克设计!$B$24:$U$30,MATCH("对"&amp;LEFT($C$5,2)&amp;"输出",标准坦克设计!$B$23:$U$23,0)))*(VLOOKUP($B179,INDIRECT($B$5&amp;"生成成长"),3))*(VLOOKUP($B$5,标准坦克设计!$B$14:$K$20,9)/30))</f>
        <v>2.5099009427980863</v>
      </c>
      <c r="CB179" s="172">
        <f ca="1">(VLOOKUP(CB$72,INDIRECT($C$5&amp;"生成成长"),2))/((VLOOKUP($B179,INDIRECT($B$5&amp;"生成成长"),4))/(VLOOKUP(CB$72,INDIRECT($C$5&amp;"生成成长"),5))*(VLOOKUP($B$5,标准坦克设计!$B$24:$U$30,MATCH("对"&amp;LEFT($C$5,2)&amp;"输出",标准坦克设计!$B$23:$U$23,0)))*(VLOOKUP($B179,INDIRECT($B$5&amp;"生成成长"),3))*(VLOOKUP($B$5,标准坦克设计!$B$14:$K$20,9)/30))</f>
        <v>2.7359084409948906</v>
      </c>
      <c r="CC179" s="172">
        <f ca="1">(VLOOKUP(CC$72,INDIRECT($C$5&amp;"生成成长"),2))/((VLOOKUP($B179,INDIRECT($B$5&amp;"生成成长"),4))/(VLOOKUP(CC$72,INDIRECT($C$5&amp;"生成成长"),5))*(VLOOKUP($B$5,标准坦克设计!$B$24:$U$30,MATCH("对"&amp;LEFT($C$5,2)&amp;"输出",标准坦克设计!$B$23:$U$23,0)))*(VLOOKUP($B179,INDIRECT($B$5&amp;"生成成长"),3))*(VLOOKUP($B$5,标准坦克设计!$B$14:$K$20,9)/30))</f>
        <v>2.9716576417001774</v>
      </c>
      <c r="CD179" s="172">
        <f ca="1">(VLOOKUP(CD$72,INDIRECT($C$5&amp;"生成成长"),2))/((VLOOKUP($B179,INDIRECT($B$5&amp;"生成成长"),4))/(VLOOKUP(CD$72,INDIRECT($C$5&amp;"生成成长"),5))*(VLOOKUP($B$5,标准坦克设计!$B$24:$U$30,MATCH("对"&amp;LEFT($C$5,2)&amp;"输出",标准坦克设计!$B$23:$U$23,0)))*(VLOOKUP($B179,INDIRECT($B$5&amp;"生成成长"),3))*(VLOOKUP($B$5,标准坦克设计!$B$14:$K$20,9)/30))</f>
        <v>3.2171485449139476</v>
      </c>
      <c r="CE179" s="172">
        <f ca="1">(VLOOKUP(CE$72,INDIRECT($C$5&amp;"生成成长"),2))/((VLOOKUP($B179,INDIRECT($B$5&amp;"生成成长"),4))/(VLOOKUP(CE$72,INDIRECT($C$5&amp;"生成成长"),5))*(VLOOKUP($B$5,标准坦克设计!$B$24:$U$30,MATCH("对"&amp;LEFT($C$5,2)&amp;"输出",标准坦克设计!$B$23:$U$23,0)))*(VLOOKUP($B179,INDIRECT($B$5&amp;"生成成长"),3))*(VLOOKUP($B$5,标准坦克设计!$B$14:$K$20,9)/30))</f>
        <v>3.4723811506362003</v>
      </c>
      <c r="CF179" s="172">
        <f ca="1">(VLOOKUP(CF$72,INDIRECT($C$5&amp;"生成成长"),2))/((VLOOKUP($B179,INDIRECT($B$5&amp;"生成成长"),4))/(VLOOKUP(CF$72,INDIRECT($C$5&amp;"生成成长"),5))*(VLOOKUP($B$5,标准坦克设计!$B$24:$U$30,MATCH("对"&amp;LEFT($C$5,2)&amp;"输出",标准坦克设计!$B$23:$U$23,0)))*(VLOOKUP($B179,INDIRECT($B$5&amp;"生成成长"),3))*(VLOOKUP($B$5,标准坦克设计!$B$14:$K$20,9)/30))</f>
        <v>3.7373554588669369</v>
      </c>
      <c r="CG179" s="172">
        <f ca="1">(VLOOKUP(CG$72,INDIRECT($C$5&amp;"生成成长"),2))/((VLOOKUP($B179,INDIRECT($B$5&amp;"生成成长"),4))/(VLOOKUP(CG$72,INDIRECT($C$5&amp;"生成成长"),5))*(VLOOKUP($B$5,标准坦克设计!$B$24:$U$30,MATCH("对"&amp;LEFT($C$5,2)&amp;"输出",标准坦克设计!$B$23:$U$23,0)))*(VLOOKUP($B179,INDIRECT($B$5&amp;"生成成长"),3))*(VLOOKUP($B$5,标准坦克设计!$B$14:$K$20,9)/30))</f>
        <v>4.0120714696061555</v>
      </c>
      <c r="CH179" s="172">
        <f ca="1">(VLOOKUP(CH$72,INDIRECT($C$5&amp;"生成成长"),2))/((VLOOKUP($B179,INDIRECT($B$5&amp;"生成成长"),4))/(VLOOKUP(CH$72,INDIRECT($C$5&amp;"生成成长"),5))*(VLOOKUP($B$5,标准坦克设计!$B$24:$U$30,MATCH("对"&amp;LEFT($C$5,2)&amp;"输出",标准坦克设计!$B$23:$U$23,0)))*(VLOOKUP($B179,INDIRECT($B$5&amp;"生成成长"),3))*(VLOOKUP($B$5,标准坦克设计!$B$14:$K$20,9)/30))</f>
        <v>4.296529182853857</v>
      </c>
      <c r="CI179" s="172">
        <f ca="1">(VLOOKUP(CI$72,INDIRECT($C$5&amp;"生成成长"),2))/((VLOOKUP($B179,INDIRECT($B$5&amp;"生成成长"),4))/(VLOOKUP(CI$72,INDIRECT($C$5&amp;"生成成长"),5))*(VLOOKUP($B$5,标准坦克设计!$B$24:$U$30,MATCH("对"&amp;LEFT($C$5,2)&amp;"输出",标准坦克设计!$B$23:$U$23,0)))*(VLOOKUP($B179,INDIRECT($B$5&amp;"生成成长"),3))*(VLOOKUP($B$5,标准坦克设计!$B$14:$K$20,9)/30))</f>
        <v>4.6206843338236272</v>
      </c>
      <c r="CJ179" s="172">
        <f ca="1">(VLOOKUP(CJ$72,INDIRECT($C$5&amp;"生成成长"),2))/((VLOOKUP($B179,INDIRECT($B$5&amp;"生成成长"),4))/(VLOOKUP(CJ$72,INDIRECT($C$5&amp;"生成成长"),5))*(VLOOKUP($B$5,标准坦克设计!$B$24:$U$30,MATCH("对"&amp;LEFT($C$5,2)&amp;"输出",标准坦克设计!$B$23:$U$23,0)))*(VLOOKUP($B179,INDIRECT($B$5&amp;"生成成长"),3))*(VLOOKUP($B$5,标准坦克设计!$B$14:$K$20,9)/30))</f>
        <v>4.9566269448286615</v>
      </c>
      <c r="CK179" s="172">
        <f ca="1">(VLOOKUP(CK$72,INDIRECT($C$5&amp;"生成成长"),2))/((VLOOKUP($B179,INDIRECT($B$5&amp;"生成成长"),4))/(VLOOKUP(CK$72,INDIRECT($C$5&amp;"生成成长"),5))*(VLOOKUP($B$5,标准坦克设计!$B$24:$U$30,MATCH("对"&amp;LEFT($C$5,2)&amp;"输出",标准坦克设计!$B$23:$U$23,0)))*(VLOOKUP($B179,INDIRECT($B$5&amp;"生成成长"),3))*(VLOOKUP($B$5,标准坦克设计!$B$14:$K$20,9)/30))</f>
        <v>5.304357015868959</v>
      </c>
      <c r="CL179" s="172">
        <f ca="1">(VLOOKUP(CL$72,INDIRECT($C$5&amp;"生成成长"),2))/((VLOOKUP($B179,INDIRECT($B$5&amp;"生成成长"),4))/(VLOOKUP(CL$72,INDIRECT($C$5&amp;"生成成长"),5))*(VLOOKUP($B$5,标准坦克设计!$B$24:$U$30,MATCH("对"&amp;LEFT($C$5,2)&amp;"输出",标准坦克设计!$B$23:$U$23,0)))*(VLOOKUP($B179,INDIRECT($B$5&amp;"生成成长"),3))*(VLOOKUP($B$5,标准坦克设计!$B$14:$K$20,9)/30))</f>
        <v>5.6638745469445224</v>
      </c>
      <c r="CM179" s="172">
        <f ca="1">(VLOOKUP(CM$72,INDIRECT($C$5&amp;"生成成长"),2))/((VLOOKUP($B179,INDIRECT($B$5&amp;"生成成长"),4))/(VLOOKUP(CM$72,INDIRECT($C$5&amp;"生成成长"),5))*(VLOOKUP($B$5,标准坦克设计!$B$24:$U$30,MATCH("对"&amp;LEFT($C$5,2)&amp;"输出",标准坦克设计!$B$23:$U$23,0)))*(VLOOKUP($B179,INDIRECT($B$5&amp;"生成成长"),3))*(VLOOKUP($B$5,标准坦克设计!$B$14:$K$20,9)/30))</f>
        <v>6.0351795380553499</v>
      </c>
      <c r="CN179" s="172">
        <f ca="1">(VLOOKUP(CN$72,INDIRECT($C$5&amp;"生成成长"),2))/((VLOOKUP($B179,INDIRECT($B$5&amp;"生成成长"),4))/(VLOOKUP(CN$72,INDIRECT($C$5&amp;"生成成长"),5))*(VLOOKUP($B$5,标准坦克设计!$B$24:$U$30,MATCH("对"&amp;LEFT($C$5,2)&amp;"输出",标准坦克设计!$B$23:$U$23,0)))*(VLOOKUP($B179,INDIRECT($B$5&amp;"生成成长"),3))*(VLOOKUP($B$5,标准坦克设计!$B$14:$K$20,9)/30))</f>
        <v>6.4182719892014406</v>
      </c>
      <c r="CO179" s="172">
        <f ca="1">(VLOOKUP(CO$72,INDIRECT($C$5&amp;"生成成长"),2))/((VLOOKUP($B179,INDIRECT($B$5&amp;"生成成长"),4))/(VLOOKUP(CO$72,INDIRECT($C$5&amp;"生成成长"),5))*(VLOOKUP($B$5,标准坦克设计!$B$24:$U$30,MATCH("对"&amp;LEFT($C$5,2)&amp;"输出",标准坦克设计!$B$23:$U$23,0)))*(VLOOKUP($B179,INDIRECT($B$5&amp;"生成成长"),3))*(VLOOKUP($B$5,标准坦克设计!$B$14:$K$20,9)/30))</f>
        <v>2.8761889571170447</v>
      </c>
      <c r="CP179" s="172">
        <f ca="1">(VLOOKUP(CP$72,INDIRECT($C$5&amp;"生成成长"),2))/((VLOOKUP($B179,INDIRECT($B$5&amp;"生成成长"),4))/(VLOOKUP(CP$72,INDIRECT($C$5&amp;"生成成长"),5))*(VLOOKUP($B$5,标准坦克设计!$B$24:$U$30,MATCH("对"&amp;LEFT($C$5,2)&amp;"输出",标准坦克设计!$B$23:$U$23,0)))*(VLOOKUP($B179,INDIRECT($B$5&amp;"生成成长"),3))*(VLOOKUP($B$5,标准坦克设计!$B$14:$K$20,9)/30))</f>
        <v>3.1424783951864259</v>
      </c>
      <c r="CQ179" s="172">
        <f ca="1">(VLOOKUP(CQ$72,INDIRECT($C$5&amp;"生成成长"),2))/((VLOOKUP($B179,INDIRECT($B$5&amp;"生成成长"),4))/(VLOOKUP(CQ$72,INDIRECT($C$5&amp;"生成成长"),5))*(VLOOKUP($B$5,标准坦克设计!$B$24:$U$30,MATCH("对"&amp;LEFT($C$5,2)&amp;"输出",标准坦克设计!$B$23:$U$23,0)))*(VLOOKUP($B179,INDIRECT($B$5&amp;"生成成长"),3))*(VLOOKUP($B$5,标准坦克设计!$B$14:$K$20,9)/30))</f>
        <v>3.4205552932910717</v>
      </c>
      <c r="CR179" s="172">
        <f ca="1">(VLOOKUP(CR$72,INDIRECT($C$5&amp;"生成成长"),2))/((VLOOKUP($B179,INDIRECT($B$5&amp;"生成成长"),4))/(VLOOKUP(CR$72,INDIRECT($C$5&amp;"生成成长"),5))*(VLOOKUP($B$5,标准坦克设计!$B$24:$U$30,MATCH("对"&amp;LEFT($C$5,2)&amp;"输出",标准坦克设计!$B$23:$U$23,0)))*(VLOOKUP($B179,INDIRECT($B$5&amp;"生成成长"),3))*(VLOOKUP($B$5,标准坦克设计!$B$14:$K$20,9)/30))</f>
        <v>3.7104196514309815</v>
      </c>
      <c r="CS179" s="172">
        <f ca="1">(VLOOKUP(CS$72,INDIRECT($C$5&amp;"生成成长"),2))/((VLOOKUP($B179,INDIRECT($B$5&amp;"生成成长"),4))/(VLOOKUP(CS$72,INDIRECT($C$5&amp;"生成成长"),5))*(VLOOKUP($B$5,标准坦克设计!$B$24:$U$30,MATCH("对"&amp;LEFT($C$5,2)&amp;"输出",标准坦克设计!$B$23:$U$23,0)))*(VLOOKUP($B179,INDIRECT($B$5&amp;"生成成长"),3))*(VLOOKUP($B$5,标准坦克设计!$B$14:$K$20,9)/30))</f>
        <v>4.0120714696061555</v>
      </c>
      <c r="CT179" s="172">
        <f ca="1">(VLOOKUP(CT$72,INDIRECT($C$5&amp;"生成成长"),2))/((VLOOKUP($B179,INDIRECT($B$5&amp;"生成成长"),4))/(VLOOKUP(CT$72,INDIRECT($C$5&amp;"生成成长"),5))*(VLOOKUP($B$5,标准坦克设计!$B$24:$U$30,MATCH("对"&amp;LEFT($C$5,2)&amp;"输出",标准坦克设计!$B$23:$U$23,0)))*(VLOOKUP($B179,INDIRECT($B$5&amp;"生成成长"),3))*(VLOOKUP($B$5,标准坦克设计!$B$14:$K$20,9)/30))</f>
        <v>4.3255107478165939</v>
      </c>
      <c r="CU179" s="172">
        <f ca="1">(VLOOKUP(CU$72,INDIRECT($C$5&amp;"生成成长"),2))/((VLOOKUP($B179,INDIRECT($B$5&amp;"生成成长"),4))/(VLOOKUP(CU$72,INDIRECT($C$5&amp;"生成成长"),5))*(VLOOKUP($B$5,标准坦克设计!$B$24:$U$30,MATCH("对"&amp;LEFT($C$5,2)&amp;"输出",标准坦克设计!$B$23:$U$23,0)))*(VLOOKUP($B179,INDIRECT($B$5&amp;"生成成长"),3))*(VLOOKUP($B$5,标准坦克设计!$B$14:$K$20,9)/30))</f>
        <v>4.6507374860622965</v>
      </c>
      <c r="CV179" s="172">
        <f ca="1">(VLOOKUP(CV$72,INDIRECT($C$5&amp;"生成成长"),2))/((VLOOKUP($B179,INDIRECT($B$5&amp;"生成成长"),4))/(VLOOKUP(CV$72,INDIRECT($C$5&amp;"生成成长"),5))*(VLOOKUP($B$5,标准坦克设计!$B$24:$U$30,MATCH("对"&amp;LEFT($C$5,2)&amp;"输出",标准坦克设计!$B$23:$U$23,0)))*(VLOOKUP($B179,INDIRECT($B$5&amp;"生成成长"),3))*(VLOOKUP($B$5,标准坦克设计!$B$14:$K$20,9)/30))</f>
        <v>4.9877516843432632</v>
      </c>
      <c r="CW179" s="172">
        <f ca="1">(VLOOKUP(CW$72,INDIRECT($C$5&amp;"生成成长"),2))/((VLOOKUP($B179,INDIRECT($B$5&amp;"生成成长"),4))/(VLOOKUP(CW$72,INDIRECT($C$5&amp;"生成成长"),5))*(VLOOKUP($B$5,标准坦克设计!$B$24:$U$30,MATCH("对"&amp;LEFT($C$5,2)&amp;"输出",标准坦克设计!$B$23:$U$23,0)))*(VLOOKUP($B179,INDIRECT($B$5&amp;"生成成长"),3))*(VLOOKUP($B$5,标准坦克设计!$B$14:$K$20,9)/30))</f>
        <v>5.3365533426594949</v>
      </c>
      <c r="CX179" s="172">
        <f ca="1">(VLOOKUP(CX$72,INDIRECT($C$5&amp;"生成成长"),2))/((VLOOKUP($B179,INDIRECT($B$5&amp;"生成成长"),4))/(VLOOKUP(CX$72,INDIRECT($C$5&amp;"生成成长"),5))*(VLOOKUP($B$5,标准坦克设计!$B$24:$U$30,MATCH("对"&amp;LEFT($C$5,2)&amp;"输出",标准坦克设计!$B$23:$U$23,0)))*(VLOOKUP($B179,INDIRECT($B$5&amp;"生成成长"),3))*(VLOOKUP($B$5,标准坦克设计!$B$14:$K$20,9)/30))</f>
        <v>5.6971424610109915</v>
      </c>
      <c r="CY179" s="172">
        <f ca="1">(VLOOKUP(CY$72,INDIRECT($C$5&amp;"生成成长"),2))/((VLOOKUP($B179,INDIRECT($B$5&amp;"生成成长"),4))/(VLOOKUP(CY$72,INDIRECT($C$5&amp;"生成成长"),5))*(VLOOKUP($B$5,标准坦克设计!$B$24:$U$30,MATCH("对"&amp;LEFT($C$5,2)&amp;"输出",标准坦克设计!$B$23:$U$23,0)))*(VLOOKUP($B179,INDIRECT($B$5&amp;"生成成长"),3))*(VLOOKUP($B$5,标准坦克设计!$B$14:$K$20,9)/30))</f>
        <v>6.0695190393977514</v>
      </c>
      <c r="CZ179" s="172">
        <f ca="1">(VLOOKUP(CZ$72,INDIRECT($C$5&amp;"生成成长"),2))/((VLOOKUP($B179,INDIRECT($B$5&amp;"生成成长"),4))/(VLOOKUP(CZ$72,INDIRECT($C$5&amp;"生成成长"),5))*(VLOOKUP($B$5,标准坦克设计!$B$24:$U$30,MATCH("对"&amp;LEFT($C$5,2)&amp;"输出",标准坦克设计!$B$23:$U$23,0)))*(VLOOKUP($B179,INDIRECT($B$5&amp;"生成成长"),3))*(VLOOKUP($B$5,标准坦克设计!$B$14:$K$20,9)/30))</f>
        <v>6.4536830778197762</v>
      </c>
      <c r="DA179" s="172">
        <f ca="1">(VLOOKUP(DA$72,INDIRECT($C$5&amp;"生成成长"),2))/((VLOOKUP($B179,INDIRECT($B$5&amp;"生成成长"),4))/(VLOOKUP(DA$72,INDIRECT($C$5&amp;"生成成长"),5))*(VLOOKUP($B$5,标准坦克设计!$B$24:$U$30,MATCH("对"&amp;LEFT($C$5,2)&amp;"输出",标准坦克设计!$B$23:$U$23,0)))*(VLOOKUP($B179,INDIRECT($B$5&amp;"生成成长"),3))*(VLOOKUP($B$5,标准坦克设计!$B$14:$K$20,9)/30))</f>
        <v>6.8496345762770661</v>
      </c>
      <c r="DB179" s="172">
        <f ca="1">(VLOOKUP(DB$72,INDIRECT($C$5&amp;"生成成长"),2))/((VLOOKUP($B179,INDIRECT($B$5&amp;"生成成长"),4))/(VLOOKUP(DB$72,INDIRECT($C$5&amp;"生成成长"),5))*(VLOOKUP($B$5,标准坦克设计!$B$24:$U$30,MATCH("对"&amp;LEFT($C$5,2)&amp;"输出",标准坦克设计!$B$23:$U$23,0)))*(VLOOKUP($B179,INDIRECT($B$5&amp;"生成成长"),3))*(VLOOKUP($B$5,标准坦克设计!$B$14:$K$20,9)/30))</f>
        <v>7.2573735347696182</v>
      </c>
      <c r="DC179" s="172">
        <f ca="1">(VLOOKUP(DC$72,INDIRECT($C$5&amp;"生成成长"),2))/((VLOOKUP($B179,INDIRECT($B$5&amp;"生成成长"),4))/(VLOOKUP(DC$72,INDIRECT($C$5&amp;"生成成长"),5))*(VLOOKUP($B$5,标准坦克设计!$B$24:$U$30,MATCH("对"&amp;LEFT($C$5,2)&amp;"输出",标准坦克设计!$B$23:$U$23,0)))*(VLOOKUP($B179,INDIRECT($B$5&amp;"生成成长"),3))*(VLOOKUP($B$5,标准坦克设计!$B$14:$K$20,9)/30))</f>
        <v>7.7156232207686557</v>
      </c>
      <c r="DD179" s="172">
        <f ca="1">(VLOOKUP(DD$72,INDIRECT($C$5&amp;"生成成长"),2))/((VLOOKUP($B179,INDIRECT($B$5&amp;"生成成长"),4))/(VLOOKUP(DD$72,INDIRECT($C$5&amp;"生成成长"),5))*(VLOOKUP($B$5,标准坦克设计!$B$24:$U$30,MATCH("对"&amp;LEFT($C$5,2)&amp;"输出",标准坦克设计!$B$23:$U$23,0)))*(VLOOKUP($B179,INDIRECT($B$5&amp;"生成成长"),3))*(VLOOKUP($B$5,标准坦克设计!$B$14:$K$20,9)/30))</f>
        <v>8.1879009583799096</v>
      </c>
      <c r="DE179" s="172">
        <f ca="1">(VLOOKUP(DE$72,INDIRECT($C$5&amp;"生成成长"),2))/((VLOOKUP($B179,INDIRECT($B$5&amp;"生成成长"),4))/(VLOOKUP(DE$72,INDIRECT($C$5&amp;"生成成长"),5))*(VLOOKUP($B$5,标准坦克设计!$B$24:$U$30,MATCH("对"&amp;LEFT($C$5,2)&amp;"输出",标准坦克设计!$B$23:$U$23,0)))*(VLOOKUP($B179,INDIRECT($B$5&amp;"生成成长"),3))*(VLOOKUP($B$5,标准坦克设计!$B$14:$K$20,9)/30))</f>
        <v>8.6742067476033782</v>
      </c>
      <c r="DF179" s="172">
        <f ca="1">(VLOOKUP(DF$72,INDIRECT($C$5&amp;"生成成长"),2))/((VLOOKUP($B179,INDIRECT($B$5&amp;"生成成长"),4))/(VLOOKUP(DF$72,INDIRECT($C$5&amp;"生成成长"),5))*(VLOOKUP($B$5,标准坦克设计!$B$24:$U$30,MATCH("对"&amp;LEFT($C$5,2)&amp;"输出",标准坦克设计!$B$23:$U$23,0)))*(VLOOKUP($B179,INDIRECT($B$5&amp;"生成成长"),3))*(VLOOKUP($B$5,标准坦克设计!$B$14:$K$20,9)/30))</f>
        <v>9.1745405884390596</v>
      </c>
      <c r="DG179" s="172">
        <f ca="1">(VLOOKUP(DG$72,INDIRECT($C$5&amp;"生成成长"),2))/((VLOOKUP($B179,INDIRECT($B$5&amp;"生成成长"),4))/(VLOOKUP(DG$72,INDIRECT($C$5&amp;"生成成长"),5))*(VLOOKUP($B$5,标准坦克设计!$B$24:$U$30,MATCH("对"&amp;LEFT($C$5,2)&amp;"输出",标准坦克设计!$B$23:$U$23,0)))*(VLOOKUP($B179,INDIRECT($B$5&amp;"生成成长"),3))*(VLOOKUP($B$5,标准坦克设计!$B$14:$K$20,9)/30))</f>
        <v>9.688902480886961</v>
      </c>
      <c r="DH179" s="172">
        <f ca="1">(VLOOKUP(DH$72,INDIRECT($C$5&amp;"生成成长"),2))/((VLOOKUP($B179,INDIRECT($B$5&amp;"生成成长"),4))/(VLOOKUP(DH$72,INDIRECT($C$5&amp;"生成成长"),5))*(VLOOKUP($B$5,标准坦克设计!$B$24:$U$30,MATCH("对"&amp;LEFT($C$5,2)&amp;"输出",标准坦克设计!$B$23:$U$23,0)))*(VLOOKUP($B179,INDIRECT($B$5&amp;"生成成长"),3))*(VLOOKUP($B$5,标准坦克设计!$B$14:$K$20,9)/30))</f>
        <v>10.217292424947072</v>
      </c>
      <c r="DI179" s="172">
        <f ca="1">(VLOOKUP(DI$72,INDIRECT($C$5&amp;"生成成长"),2))/((VLOOKUP($B179,INDIRECT($B$5&amp;"生成成长"),4))/(VLOOKUP(DI$72,INDIRECT($C$5&amp;"生成成长"),5))*(VLOOKUP($B$5,标准坦克设计!$B$24:$U$30,MATCH("对"&amp;LEFT($C$5,2)&amp;"输出",标准坦克设计!$B$23:$U$23,0)))*(VLOOKUP($B179,INDIRECT($B$5&amp;"生成成长"),3))*(VLOOKUP($B$5,标准坦克设计!$B$14:$K$20,9)/30))</f>
        <v>10.759710420619406</v>
      </c>
      <c r="DJ179" s="172">
        <f ca="1">(VLOOKUP(DJ$72,INDIRECT($C$5&amp;"生成成长"),2))/((VLOOKUP($B179,INDIRECT($B$5&amp;"生成成长"),4))/(VLOOKUP(DJ$72,INDIRECT($C$5&amp;"生成成长"),5))*(VLOOKUP($B$5,标准坦克设计!$B$24:$U$30,MATCH("对"&amp;LEFT($C$5,2)&amp;"输出",标准坦克设计!$B$23:$U$23,0)))*(VLOOKUP($B179,INDIRECT($B$5&amp;"生成成长"),3))*(VLOOKUP($B$5,标准坦克设计!$B$14:$K$20,9)/30))</f>
        <v>1.0813776869541485</v>
      </c>
      <c r="DK179" s="172">
        <f ca="1">(VLOOKUP(DK$72,INDIRECT($C$5&amp;"生成成长"),2))/((VLOOKUP($B179,INDIRECT($B$5&amp;"生成成长"),4))/(VLOOKUP(DK$72,INDIRECT($C$5&amp;"生成成长"),5))*(VLOOKUP($B$5,标准坦克设计!$B$24:$U$30,MATCH("对"&amp;LEFT($C$5,2)&amp;"输出",标准坦克设计!$B$23:$U$23,0)))*(VLOOKUP($B179,INDIRECT($B$5&amp;"生成成长"),3))*(VLOOKUP($B$5,标准坦克设计!$B$14:$K$20,9)/30))</f>
        <v>1.2159593071088404</v>
      </c>
      <c r="DL179" s="172">
        <f ca="1">(VLOOKUP(DL$72,INDIRECT($C$5&amp;"生成成长"),2))/((VLOOKUP($B179,INDIRECT($B$5&amp;"生成成长"),4))/(VLOOKUP(DL$72,INDIRECT($C$5&amp;"生成成长"),5))*(VLOOKUP($B$5,标准坦克设计!$B$24:$U$30,MATCH("对"&amp;LEFT($C$5,2)&amp;"输出",标准坦克设计!$B$23:$U$23,0)))*(VLOOKUP($B179,INDIRECT($B$5&amp;"生成成长"),3))*(VLOOKUP($B$5,标准坦克设计!$B$14:$K$20,9)/30))</f>
        <v>1.3584317062954032</v>
      </c>
      <c r="DM179" s="172">
        <f ca="1">(VLOOKUP(DM$72,INDIRECT($C$5&amp;"生成成长"),2))/((VLOOKUP($B179,INDIRECT($B$5&amp;"生成成长"),4))/(VLOOKUP(DM$72,INDIRECT($C$5&amp;"生成成长"),5))*(VLOOKUP($B$5,标准坦克设计!$B$24:$U$30,MATCH("对"&amp;LEFT($C$5,2)&amp;"输出",标准坦克设计!$B$23:$U$23,0)))*(VLOOKUP($B179,INDIRECT($B$5&amp;"生成成长"),3))*(VLOOKUP($B$5,标准坦克设计!$B$14:$K$20,9)/30))</f>
        <v>1.5087948845138375</v>
      </c>
      <c r="DN179" s="172">
        <f ca="1">(VLOOKUP(DN$72,INDIRECT($C$5&amp;"生成成长"),2))/((VLOOKUP($B179,INDIRECT($B$5&amp;"生成成长"),4))/(VLOOKUP(DN$72,INDIRECT($C$5&amp;"生成成长"),5))*(VLOOKUP($B$5,标准坦克设计!$B$24:$U$30,MATCH("对"&amp;LEFT($C$5,2)&amp;"输出",标准坦克设计!$B$23:$U$23,0)))*(VLOOKUP($B179,INDIRECT($B$5&amp;"生成成长"),3))*(VLOOKUP($B$5,标准坦克设计!$B$14:$K$20,9)/30))</f>
        <v>1.6670488417641427</v>
      </c>
      <c r="DO179" s="172">
        <f ca="1">(VLOOKUP(DO$72,INDIRECT($C$5&amp;"生成成长"),2))/((VLOOKUP($B179,INDIRECT($B$5&amp;"生成成长"),4))/(VLOOKUP(DO$72,INDIRECT($C$5&amp;"生成成长"),5))*(VLOOKUP($B$5,标准坦克设计!$B$24:$U$30,MATCH("对"&amp;LEFT($C$5,2)&amp;"输出",标准坦克设计!$B$23:$U$23,0)))*(VLOOKUP($B179,INDIRECT($B$5&amp;"生成成长"),3))*(VLOOKUP($B$5,标准坦克设计!$B$14:$K$20,9)/30))</f>
        <v>1.8331935780463191</v>
      </c>
      <c r="DP179" s="172">
        <f ca="1">(VLOOKUP(DP$72,INDIRECT($C$5&amp;"生成成长"),2))/((VLOOKUP($B179,INDIRECT($B$5&amp;"生成成长"),4))/(VLOOKUP(DP$72,INDIRECT($C$5&amp;"生成成长"),5))*(VLOOKUP($B$5,标准坦克设计!$B$24:$U$30,MATCH("对"&amp;LEFT($C$5,2)&amp;"输出",标准坦克设计!$B$23:$U$23,0)))*(VLOOKUP($B179,INDIRECT($B$5&amp;"生成成长"),3))*(VLOOKUP($B$5,标准坦克设计!$B$14:$K$20,9)/30))</f>
        <v>2.0072290933603671</v>
      </c>
      <c r="DQ179" s="172">
        <f ca="1">(VLOOKUP(DQ$72,INDIRECT($C$5&amp;"生成成长"),2))/((VLOOKUP($B179,INDIRECT($B$5&amp;"生成成长"),4))/(VLOOKUP(DQ$72,INDIRECT($C$5&amp;"生成成长"),5))*(VLOOKUP($B$5,标准坦克设计!$B$24:$U$30,MATCH("对"&amp;LEFT($C$5,2)&amp;"输出",标准坦克设计!$B$23:$U$23,0)))*(VLOOKUP($B179,INDIRECT($B$5&amp;"生成成长"),3))*(VLOOKUP($B$5,标准坦克设计!$B$14:$K$20,9)/30))</f>
        <v>2.1891553877062861</v>
      </c>
      <c r="DR179" s="172">
        <f ca="1">(VLOOKUP(DR$72,INDIRECT($C$5&amp;"生成成长"),2))/((VLOOKUP($B179,INDIRECT($B$5&amp;"生成成长"),4))/(VLOOKUP(DR$72,INDIRECT($C$5&amp;"生成成长"),5))*(VLOOKUP($B$5,标准坦克设计!$B$24:$U$30,MATCH("对"&amp;LEFT($C$5,2)&amp;"输出",标准坦克设计!$B$23:$U$23,0)))*(VLOOKUP($B179,INDIRECT($B$5&amp;"生成成长"),3))*(VLOOKUP($B$5,标准坦克设计!$B$14:$K$20,9)/30))</f>
        <v>2.3789724610840759</v>
      </c>
      <c r="DS179" s="172">
        <f ca="1">(VLOOKUP(DS$72,INDIRECT($C$5&amp;"生成成长"),2))/((VLOOKUP($B179,INDIRECT($B$5&amp;"生成成长"),4))/(VLOOKUP(DS$72,INDIRECT($C$5&amp;"生成成长"),5))*(VLOOKUP($B$5,标准坦克设计!$B$24:$U$30,MATCH("对"&amp;LEFT($C$5,2)&amp;"输出",标准坦克设计!$B$23:$U$23,0)))*(VLOOKUP($B179,INDIRECT($B$5&amp;"生成成长"),3))*(VLOOKUP($B$5,标准坦克设计!$B$14:$K$20,9)/30))</f>
        <v>2.5766803134937368</v>
      </c>
      <c r="DT179" s="172">
        <f ca="1">(VLOOKUP(DT$72,INDIRECT($C$5&amp;"生成成长"),2))/((VLOOKUP($B179,INDIRECT($B$5&amp;"生成成长"),4))/(VLOOKUP(DT$72,INDIRECT($C$5&amp;"生成成长"),5))*(VLOOKUP($B$5,标准坦克设计!$B$24:$U$30,MATCH("对"&amp;LEFT($C$5,2)&amp;"输出",标准坦克设计!$B$23:$U$23,0)))*(VLOOKUP($B179,INDIRECT($B$5&amp;"生成成长"),3))*(VLOOKUP($B$5,标准坦克设计!$B$14:$K$20,9)/30))</f>
        <v>2.829039116975987</v>
      </c>
      <c r="DU179" s="172">
        <f ca="1">(VLOOKUP(DU$72,INDIRECT($C$5&amp;"生成成长"),2))/((VLOOKUP($B179,INDIRECT($B$5&amp;"生成成长"),4))/(VLOOKUP(DU$72,INDIRECT($C$5&amp;"生成成长"),5))*(VLOOKUP($B$5,标准坦克设计!$B$24:$U$30,MATCH("对"&amp;LEFT($C$5,2)&amp;"输出",标准坦克设计!$B$23:$U$23,0)))*(VLOOKUP($B179,INDIRECT($B$5&amp;"生成成长"),3))*(VLOOKUP($B$5,标准坦克设计!$B$14:$K$20,9)/30))</f>
        <v>3.0931853804935026</v>
      </c>
      <c r="DV179" s="172">
        <f ca="1">(VLOOKUP(DV$72,INDIRECT($C$5&amp;"生成成长"),2))/((VLOOKUP($B179,INDIRECT($B$5&amp;"生成成长"),4))/(VLOOKUP(DV$72,INDIRECT($C$5&amp;"生成成长"),5))*(VLOOKUP($B$5,标准坦克设计!$B$24:$U$30,MATCH("对"&amp;LEFT($C$5,2)&amp;"输出",标准坦克设计!$B$23:$U$23,0)))*(VLOOKUP($B179,INDIRECT($B$5&amp;"生成成长"),3))*(VLOOKUP($B$5,标准坦克设计!$B$14:$K$20,9)/30))</f>
        <v>3.3691191040462822</v>
      </c>
      <c r="DW179" s="172">
        <f ca="1">(VLOOKUP(DW$72,INDIRECT($C$5&amp;"生成成长"),2))/((VLOOKUP($B179,INDIRECT($B$5&amp;"生成成长"),4))/(VLOOKUP(DW$72,INDIRECT($C$5&amp;"生成成长"),5))*(VLOOKUP($B$5,标准坦克设计!$B$24:$U$30,MATCH("对"&amp;LEFT($C$5,2)&amp;"输出",标准坦克设计!$B$23:$U$23,0)))*(VLOOKUP($B179,INDIRECT($B$5&amp;"生成成长"),3))*(VLOOKUP($B$5,标准坦克设计!$B$14:$K$20,9)/30))</f>
        <v>3.6568402876343251</v>
      </c>
      <c r="DX179" s="172">
        <f ca="1">(VLOOKUP(DX$72,INDIRECT($C$5&amp;"生成成长"),2))/((VLOOKUP($B179,INDIRECT($B$5&amp;"生成成长"),4))/(VLOOKUP(DX$72,INDIRECT($C$5&amp;"生成成长"),5))*(VLOOKUP($B$5,标准坦克设计!$B$24:$U$30,MATCH("对"&amp;LEFT($C$5,2)&amp;"输出",标准坦克设计!$B$23:$U$23,0)))*(VLOOKUP($B179,INDIRECT($B$5&amp;"生成成长"),3))*(VLOOKUP($B$5,标准坦克设计!$B$14:$K$20,9)/30))</f>
        <v>3.9563489312576339</v>
      </c>
      <c r="DY179" s="172">
        <f ca="1">(VLOOKUP(DY$72,INDIRECT($C$5&amp;"生成成长"),2))/((VLOOKUP($B179,INDIRECT($B$5&amp;"生成成长"),4))/(VLOOKUP(DY$72,INDIRECT($C$5&amp;"生成成长"),5))*(VLOOKUP($B$5,标准坦克设计!$B$24:$U$30,MATCH("对"&amp;LEFT($C$5,2)&amp;"输出",标准坦克设计!$B$23:$U$23,0)))*(VLOOKUP($B179,INDIRECT($B$5&amp;"生成成长"),3))*(VLOOKUP($B$5,标准坦克设计!$B$14:$K$20,9)/30))</f>
        <v>1.77693524605983</v>
      </c>
      <c r="DZ179" s="172">
        <f ca="1">(VLOOKUP(DZ$72,INDIRECT($C$5&amp;"生成成长"),2))/((VLOOKUP($B179,INDIRECT($B$5&amp;"生成成长"),4))/(VLOOKUP(DZ$72,INDIRECT($C$5&amp;"生成成长"),5))*(VLOOKUP($B$5,标准坦克设计!$B$24:$U$30,MATCH("对"&amp;LEFT($C$5,2)&amp;"输出",标准坦克设计!$B$23:$U$23,0)))*(VLOOKUP($B179,INDIRECT($B$5&amp;"生成成长"),3))*(VLOOKUP($B$5,标准坦克设计!$B$14:$K$20,9)/30))</f>
        <v>1.9678726152260955</v>
      </c>
      <c r="EA179" s="172">
        <f ca="1">(VLOOKUP(EA$72,INDIRECT($C$5&amp;"生成成长"),2))/((VLOOKUP($B179,INDIRECT($B$5&amp;"生成成长"),4))/(VLOOKUP(EA$72,INDIRECT($C$5&amp;"生成成长"),5))*(VLOOKUP($B$5,标准坦克设计!$B$24:$U$30,MATCH("对"&amp;LEFT($C$5,2)&amp;"输出",标准坦克设计!$B$23:$U$23,0)))*(VLOOKUP($B179,INDIRECT($B$5&amp;"生成成长"),3))*(VLOOKUP($B$5,标准坦克设计!$B$14:$K$20,9)/30))</f>
        <v>2.1685516869008445</v>
      </c>
      <c r="EB179" s="172">
        <f ca="1">(VLOOKUP(EB$72,INDIRECT($C$5&amp;"生成成长"),2))/((VLOOKUP($B179,INDIRECT($B$5&amp;"生成成长"),4))/(VLOOKUP(EB$72,INDIRECT($C$5&amp;"生成成长"),5))*(VLOOKUP($B$5,标准坦克设计!$B$24:$U$30,MATCH("对"&amp;LEFT($C$5,2)&amp;"输出",标准坦克设计!$B$23:$U$23,0)))*(VLOOKUP($B179,INDIRECT($B$5&amp;"生成成长"),3))*(VLOOKUP($B$5,标准坦克设计!$B$14:$K$20,9)/30))</f>
        <v>2.3789724610840759</v>
      </c>
      <c r="EC179" s="172">
        <f ca="1">(VLOOKUP(EC$72,INDIRECT($C$5&amp;"生成成长"),2))/((VLOOKUP($B179,INDIRECT($B$5&amp;"生成成长"),4))/(VLOOKUP(EC$72,INDIRECT($C$5&amp;"生成成长"),5))*(VLOOKUP($B$5,标准坦克设计!$B$24:$U$30,MATCH("对"&amp;LEFT($C$5,2)&amp;"输出",标准坦克设计!$B$23:$U$23,0)))*(VLOOKUP($B179,INDIRECT($B$5&amp;"生成成长"),3))*(VLOOKUP($B$5,标准坦克设计!$B$14:$K$20,9)/30))</f>
        <v>2.5991349377757902</v>
      </c>
      <c r="ED179" s="172">
        <f ca="1">(VLOOKUP(ED$72,INDIRECT($C$5&amp;"生成成长"),2))/((VLOOKUP($B179,INDIRECT($B$5&amp;"生成成长"),4))/(VLOOKUP(ED$72,INDIRECT($C$5&amp;"生成成长"),5))*(VLOOKUP($B$5,标准坦克设计!$B$24:$U$30,MATCH("对"&amp;LEFT($C$5,2)&amp;"输出",标准坦克设计!$B$23:$U$23,0)))*(VLOOKUP($B179,INDIRECT($B$5&amp;"生成成长"),3))*(VLOOKUP($B$5,标准坦克设计!$B$14:$K$20,9)/30))</f>
        <v>2.829039116975987</v>
      </c>
      <c r="EE179" s="172">
        <f ca="1">(VLOOKUP(EE$72,INDIRECT($C$5&amp;"生成成长"),2))/((VLOOKUP($B179,INDIRECT($B$5&amp;"生成成长"),4))/(VLOOKUP(EE$72,INDIRECT($C$5&amp;"生成成长"),5))*(VLOOKUP($B$5,标准坦克设计!$B$24:$U$30,MATCH("对"&amp;LEFT($C$5,2)&amp;"输出",标准坦克设计!$B$23:$U$23,0)))*(VLOOKUP($B179,INDIRECT($B$5&amp;"生成成长"),3))*(VLOOKUP($B$5,标准坦克设计!$B$14:$K$20,9)/30))</f>
        <v>3.0686849986846672</v>
      </c>
      <c r="EF179" s="172">
        <f ca="1">(VLOOKUP(EF$72,INDIRECT($C$5&amp;"生成成长"),2))/((VLOOKUP($B179,INDIRECT($B$5&amp;"生成成长"),4))/(VLOOKUP(EF$72,INDIRECT($C$5&amp;"生成成长"),5))*(VLOOKUP($B$5,标准坦克设计!$B$24:$U$30,MATCH("对"&amp;LEFT($C$5,2)&amp;"输出",标准坦克设计!$B$23:$U$23,0)))*(VLOOKUP($B179,INDIRECT($B$5&amp;"生成成长"),3))*(VLOOKUP($B$5,标准坦克设计!$B$14:$K$20,9)/30))</f>
        <v>3.3180725829018307</v>
      </c>
      <c r="EG179" s="172">
        <f ca="1">(VLOOKUP(EG$72,INDIRECT($C$5&amp;"生成成长"),2))/((VLOOKUP($B179,INDIRECT($B$5&amp;"生成成长"),4))/(VLOOKUP(EG$72,INDIRECT($C$5&amp;"生成成长"),5))*(VLOOKUP($B$5,标准坦克设计!$B$24:$U$30,MATCH("对"&amp;LEFT($C$5,2)&amp;"输出",标准坦克设计!$B$23:$U$23,0)))*(VLOOKUP($B179,INDIRECT($B$5&amp;"生成成长"),3))*(VLOOKUP($B$5,标准坦克设计!$B$14:$K$20,9)/30))</f>
        <v>3.5772018696274772</v>
      </c>
      <c r="EH179" s="172">
        <f ca="1">(VLOOKUP(EH$72,INDIRECT($C$5&amp;"生成成长"),2))/((VLOOKUP($B179,INDIRECT($B$5&amp;"生成成长"),4))/(VLOOKUP(EH$72,INDIRECT($C$5&amp;"生成成长"),5))*(VLOOKUP($B$5,标准坦克设计!$B$24:$U$30,MATCH("对"&amp;LEFT($C$5,2)&amp;"输出",标准坦克设计!$B$23:$U$23,0)))*(VLOOKUP($B179,INDIRECT($B$5&amp;"生成成长"),3))*(VLOOKUP($B$5,标准坦克设计!$B$14:$K$20,9)/30))</f>
        <v>3.8460728588616062</v>
      </c>
      <c r="EI179" s="172">
        <f ca="1">(VLOOKUP(EI$72,INDIRECT($C$5&amp;"生成成长"),2))/((VLOOKUP($B179,INDIRECT($B$5&amp;"生成成长"),4))/(VLOOKUP(EI$72,INDIRECT($C$5&amp;"生成成长"),5))*(VLOOKUP($B$5,标准坦克设计!$B$24:$U$30,MATCH("对"&amp;LEFT($C$5,2)&amp;"输出",标准坦克设计!$B$23:$U$23,0)))*(VLOOKUP($B179,INDIRECT($B$5&amp;"生成成长"),3))*(VLOOKUP($B$5,标准坦克设计!$B$14:$K$20,9)/30))</f>
        <v>4.1246855506042186</v>
      </c>
      <c r="EJ179" s="172">
        <f ca="1">(VLOOKUP(EJ$72,INDIRECT($C$5&amp;"生成成长"),2))/((VLOOKUP($B179,INDIRECT($B$5&amp;"生成成长"),4))/(VLOOKUP(EJ$72,INDIRECT($C$5&amp;"生成成长"),5))*(VLOOKUP($B$5,标准坦克设计!$B$24:$U$30,MATCH("对"&amp;LEFT($C$5,2)&amp;"输出",标准坦克设计!$B$23:$U$23,0)))*(VLOOKUP($B179,INDIRECT($B$5&amp;"生成成长"),3))*(VLOOKUP($B$5,标准坦克设计!$B$14:$K$20,9)/30))</f>
        <v>4.4130399448553126</v>
      </c>
      <c r="EK179" s="172">
        <f ca="1">(VLOOKUP(EK$72,INDIRECT($C$5&amp;"生成成长"),2))/((VLOOKUP($B179,INDIRECT($B$5&amp;"生成成长"),4))/(VLOOKUP(EK$72,INDIRECT($C$5&amp;"生成成长"),5))*(VLOOKUP($B$5,标准坦克设计!$B$24:$U$30,MATCH("对"&amp;LEFT($C$5,2)&amp;"输出",标准坦克设计!$B$23:$U$23,0)))*(VLOOKUP($B179,INDIRECT($B$5&amp;"生成成长"),3))*(VLOOKUP($B$5,标准坦克设计!$B$14:$K$20,9)/30))</f>
        <v>4.771924265267824</v>
      </c>
      <c r="EL179" s="172">
        <f ca="1">(VLOOKUP(EL$72,INDIRECT($C$5&amp;"生成成长"),2))/((VLOOKUP($B179,INDIRECT($B$5&amp;"生成成长"),4))/(VLOOKUP(EL$72,INDIRECT($C$5&amp;"生成成长"),5))*(VLOOKUP($B$5,标准坦克设计!$B$24:$U$30,MATCH("对"&amp;LEFT($C$5,2)&amp;"输出",标准坦克设计!$B$23:$U$23,0)))*(VLOOKUP($B179,INDIRECT($B$5&amp;"生成成长"),3))*(VLOOKUP($B$5,标准坦克设计!$B$14:$K$20,9)/30))</f>
        <v>5.1448366372925509</v>
      </c>
      <c r="EM179" s="172">
        <f ca="1">(VLOOKUP(EM$72,INDIRECT($C$5&amp;"生成成长"),2))/((VLOOKUP($B179,INDIRECT($B$5&amp;"生成成长"),4))/(VLOOKUP(EM$72,INDIRECT($C$5&amp;"生成成长"),5))*(VLOOKUP($B$5,标准坦克设计!$B$24:$U$30,MATCH("对"&amp;LEFT($C$5,2)&amp;"输出",标准坦克设计!$B$23:$U$23,0)))*(VLOOKUP($B179,INDIRECT($B$5&amp;"生成成长"),3))*(VLOOKUP($B$5,标准坦克设计!$B$14:$K$20,9)/30))</f>
        <v>5.5317770609294934</v>
      </c>
      <c r="EN179" s="172">
        <f ca="1">(VLOOKUP(EN$72,INDIRECT($C$5&amp;"生成成长"),2))/((VLOOKUP($B179,INDIRECT($B$5&amp;"生成成长"),4))/(VLOOKUP(EN$72,INDIRECT($C$5&amp;"生成成长"),5))*(VLOOKUP($B$5,标准坦克设计!$B$24:$U$30,MATCH("对"&amp;LEFT($C$5,2)&amp;"输出",标准坦克设计!$B$23:$U$23,0)))*(VLOOKUP($B179,INDIRECT($B$5&amp;"生成成长"),3))*(VLOOKUP($B$5,标准坦克设计!$B$14:$K$20,9)/30))</f>
        <v>5.9327455361786514</v>
      </c>
      <c r="EO179" s="172">
        <f ca="1">(VLOOKUP(EO$72,INDIRECT($C$5&amp;"生成成长"),2))/((VLOOKUP($B179,INDIRECT($B$5&amp;"生成成长"),4))/(VLOOKUP(EO$72,INDIRECT($C$5&amp;"生成成长"),5))*(VLOOKUP($B$5,标准坦克设计!$B$24:$U$30,MATCH("对"&amp;LEFT($C$5,2)&amp;"输出",标准坦克设计!$B$23:$U$23,0)))*(VLOOKUP($B179,INDIRECT($B$5&amp;"生成成长"),3))*(VLOOKUP($B$5,标准坦克设计!$B$14:$K$20,9)/30))</f>
        <v>6.347742063040025</v>
      </c>
      <c r="EP179" s="172">
        <f ca="1">(VLOOKUP(EP$72,INDIRECT($C$5&amp;"生成成长"),2))/((VLOOKUP($B179,INDIRECT($B$5&amp;"生成成长"),4))/(VLOOKUP(EP$72,INDIRECT($C$5&amp;"生成成长"),5))*(VLOOKUP($B$5,标准坦克设计!$B$24:$U$30,MATCH("对"&amp;LEFT($C$5,2)&amp;"输出",标准坦克设计!$B$23:$U$23,0)))*(VLOOKUP($B179,INDIRECT($B$5&amp;"生成成长"),3))*(VLOOKUP($B$5,标准坦克设计!$B$14:$K$20,9)/30))</f>
        <v>6.7767666415136114</v>
      </c>
      <c r="EQ179" s="172">
        <f ca="1">(VLOOKUP(EQ$72,INDIRECT($C$5&amp;"生成成长"),2))/((VLOOKUP($B179,INDIRECT($B$5&amp;"生成成长"),4))/(VLOOKUP(EQ$72,INDIRECT($C$5&amp;"生成成长"),5))*(VLOOKUP($B$5,标准坦克设计!$B$24:$U$30,MATCH("对"&amp;LEFT($C$5,2)&amp;"输出",标准坦克设计!$B$23:$U$23,0)))*(VLOOKUP($B179,INDIRECT($B$5&amp;"生成成长"),3))*(VLOOKUP($B$5,标准坦克设计!$B$14:$K$20,9)/30))</f>
        <v>2.9957683554086723</v>
      </c>
      <c r="ER179" s="172">
        <f ca="1">(VLOOKUP(ER$72,INDIRECT($C$5&amp;"生成成长"),2))/((VLOOKUP($B179,INDIRECT($B$5&amp;"生成成长"),4))/(VLOOKUP(ER$72,INDIRECT($C$5&amp;"生成成长"),5))*(VLOOKUP($B$5,标准坦克设计!$B$24:$U$30,MATCH("对"&amp;LEFT($C$5,2)&amp;"输出",标准坦克设计!$B$23:$U$23,0)))*(VLOOKUP($B179,INDIRECT($B$5&amp;"生成成长"),3))*(VLOOKUP($B$5,标准坦克设计!$B$14:$K$20,9)/30))</f>
        <v>3.2674157298577193</v>
      </c>
      <c r="ES179" s="172">
        <f ca="1">(VLOOKUP(ES$72,INDIRECT($C$5&amp;"生成成长"),2))/((VLOOKUP($B179,INDIRECT($B$5&amp;"生成成长"),4))/(VLOOKUP(ES$72,INDIRECT($C$5&amp;"生成成长"),5))*(VLOOKUP($B$5,标准坦克设计!$B$24:$U$30,MATCH("对"&amp;LEFT($C$5,2)&amp;"输出",标准坦克设计!$B$23:$U$23,0)))*(VLOOKUP($B179,INDIRECT($B$5&amp;"生成成长"),3))*(VLOOKUP($B$5,标准坦克设计!$B$14:$K$20,9)/30))</f>
        <v>3.5508505643420309</v>
      </c>
      <c r="ET179" s="172">
        <f ca="1">(VLOOKUP(ET$72,INDIRECT($C$5&amp;"生成成长"),2))/((VLOOKUP($B179,INDIRECT($B$5&amp;"生成成长"),4))/(VLOOKUP(ET$72,INDIRECT($C$5&amp;"生成成长"),5))*(VLOOKUP($B$5,标准坦克设计!$B$24:$U$30,MATCH("对"&amp;LEFT($C$5,2)&amp;"输出",标准坦克设计!$B$23:$U$23,0)))*(VLOOKUP($B179,INDIRECT($B$5&amp;"生成成长"),3))*(VLOOKUP($B$5,标准坦克设计!$B$14:$K$20,9)/30))</f>
        <v>3.8460728588616062</v>
      </c>
      <c r="EU179" s="172">
        <f ca="1">(VLOOKUP(EU$72,INDIRECT($C$5&amp;"生成成长"),2))/((VLOOKUP($B179,INDIRECT($B$5&amp;"生成成长"),4))/(VLOOKUP(EU$72,INDIRECT($C$5&amp;"生成成长"),5))*(VLOOKUP($B$5,标准坦克设计!$B$24:$U$30,MATCH("对"&amp;LEFT($C$5,2)&amp;"输出",标准坦克设计!$B$23:$U$23,0)))*(VLOOKUP($B179,INDIRECT($B$5&amp;"生成成长"),3))*(VLOOKUP($B$5,标准坦克设计!$B$14:$K$20,9)/30))</f>
        <v>4.153082613416446</v>
      </c>
      <c r="EV179" s="172">
        <f ca="1">(VLOOKUP(EV$72,INDIRECT($C$5&amp;"生成成长"),2))/((VLOOKUP($B179,INDIRECT($B$5&amp;"生成成长"),4))/(VLOOKUP(EV$72,INDIRECT($C$5&amp;"生成成长"),5))*(VLOOKUP($B$5,标准坦克设计!$B$24:$U$30,MATCH("对"&amp;LEFT($C$5,2)&amp;"输出",标准坦克设计!$B$23:$U$23,0)))*(VLOOKUP($B179,INDIRECT($B$5&amp;"生成成长"),3))*(VLOOKUP($B$5,标准坦克设计!$B$14:$K$20,9)/30))</f>
        <v>4.4718798280065499</v>
      </c>
      <c r="EW179" s="172">
        <f ca="1">(VLOOKUP(EW$72,INDIRECT($C$5&amp;"生成成长"),2))/((VLOOKUP($B179,INDIRECT($B$5&amp;"生成成长"),4))/(VLOOKUP(EW$72,INDIRECT($C$5&amp;"生成成长"),5))*(VLOOKUP($B$5,标准坦克设计!$B$24:$U$30,MATCH("对"&amp;LEFT($C$5,2)&amp;"输出",标准坦克设计!$B$23:$U$23,0)))*(VLOOKUP($B179,INDIRECT($B$5&amp;"生成成长"),3))*(VLOOKUP($B$5,标准坦克设计!$B$14:$K$20,9)/30))</f>
        <v>4.8024645026319179</v>
      </c>
      <c r="EX179" s="172">
        <f ca="1">(VLOOKUP(EX$72,INDIRECT($C$5&amp;"生成成长"),2))/((VLOOKUP($B179,INDIRECT($B$5&amp;"生成成长"),4))/(VLOOKUP(EX$72,INDIRECT($C$5&amp;"生成成长"),5))*(VLOOKUP($B$5,标准坦克设计!$B$24:$U$30,MATCH("对"&amp;LEFT($C$5,2)&amp;"输出",标准坦克设计!$B$23:$U$23,0)))*(VLOOKUP($B179,INDIRECT($B$5&amp;"生成成长"),3))*(VLOOKUP($B$5,标准坦克设计!$B$14:$K$20,9)/30))</f>
        <v>5.1448366372925509</v>
      </c>
      <c r="EY179" s="172">
        <f ca="1">(VLOOKUP(EY$72,INDIRECT($C$5&amp;"生成成长"),2))/((VLOOKUP($B179,INDIRECT($B$5&amp;"生成成长"),4))/(VLOOKUP(EY$72,INDIRECT($C$5&amp;"生成成长"),5))*(VLOOKUP($B$5,标准坦克设计!$B$24:$U$30,MATCH("对"&amp;LEFT($C$5,2)&amp;"输出",标准坦克设计!$B$23:$U$23,0)))*(VLOOKUP($B179,INDIRECT($B$5&amp;"生成成长"),3))*(VLOOKUP($B$5,标准坦克设计!$B$14:$K$20,9)/30))</f>
        <v>5.498996231988448</v>
      </c>
      <c r="EZ179" s="172">
        <f ca="1">(VLOOKUP(EZ$72,INDIRECT($C$5&amp;"生成成长"),2))/((VLOOKUP($B179,INDIRECT($B$5&amp;"生成成长"),4))/(VLOOKUP(EZ$72,INDIRECT($C$5&amp;"生成成长"),5))*(VLOOKUP($B$5,标准坦克设计!$B$24:$U$30,MATCH("对"&amp;LEFT($C$5,2)&amp;"输出",标准坦克设计!$B$23:$U$23,0)))*(VLOOKUP($B179,INDIRECT($B$5&amp;"生成成长"),3))*(VLOOKUP($B$5,标准坦克设计!$B$14:$K$20,9)/30))</f>
        <v>5.8649432867196092</v>
      </c>
      <c r="FA179" s="172">
        <f ca="1">(VLOOKUP(FA$72,INDIRECT($C$5&amp;"生成成长"),2))/((VLOOKUP($B179,INDIRECT($B$5&amp;"生成成长"),4))/(VLOOKUP(FA$72,INDIRECT($C$5&amp;"生成成长"),5))*(VLOOKUP($B$5,标准坦克设计!$B$24:$U$30,MATCH("对"&amp;LEFT($C$5,2)&amp;"输出",标准坦克设计!$B$23:$U$23,0)))*(VLOOKUP($B179,INDIRECT($B$5&amp;"生成成长"),3))*(VLOOKUP($B$5,标准坦克设计!$B$14:$K$20,9)/30))</f>
        <v>6.2426778014860362</v>
      </c>
      <c r="FB179" s="172">
        <f ca="1">(VLOOKUP(FB$72,INDIRECT($C$5&amp;"生成成长"),2))/((VLOOKUP($B179,INDIRECT($B$5&amp;"生成成长"),4))/(VLOOKUP(FB$72,INDIRECT($C$5&amp;"生成成长"),5))*(VLOOKUP($B$5,标准坦克设计!$B$24:$U$30,MATCH("对"&amp;LEFT($C$5,2)&amp;"输出",标准坦克设计!$B$23:$U$23,0)))*(VLOOKUP($B179,INDIRECT($B$5&amp;"生成成长"),3))*(VLOOKUP($B$5,标准坦克设计!$B$14:$K$20,9)/30))</f>
        <v>6.6321997762877256</v>
      </c>
      <c r="FC179" s="172">
        <f ca="1">(VLOOKUP(FC$72,INDIRECT($C$5&amp;"生成成长"),2))/((VLOOKUP($B179,INDIRECT($B$5&amp;"生成成长"),4))/(VLOOKUP(FC$72,INDIRECT($C$5&amp;"生成成长"),5))*(VLOOKUP($B$5,标准坦克设计!$B$24:$U$30,MATCH("对"&amp;LEFT($C$5,2)&amp;"输出",标准坦克设计!$B$23:$U$23,0)))*(VLOOKUP($B179,INDIRECT($B$5&amp;"生成成长"),3))*(VLOOKUP($B$5,标准坦克设计!$B$14:$K$20,9)/30))</f>
        <v>7.0335092111246809</v>
      </c>
      <c r="FD179" s="172">
        <f ca="1">(VLOOKUP(FD$72,INDIRECT($C$5&amp;"生成成长"),2))/((VLOOKUP($B179,INDIRECT($B$5&amp;"生成成长"),4))/(VLOOKUP(FD$72,INDIRECT($C$5&amp;"生成成长"),5))*(VLOOKUP($B$5,标准坦克设计!$B$24:$U$30,MATCH("对"&amp;LEFT($C$5,2)&amp;"输出",标准坦克设计!$B$23:$U$23,0)))*(VLOOKUP($B179,INDIRECT($B$5&amp;"生成成长"),3))*(VLOOKUP($B$5,标准坦克设计!$B$14:$K$20,9)/30))</f>
        <v>7.4466061059969011</v>
      </c>
      <c r="FE179" s="172">
        <f ca="1">(VLOOKUP(FE$72,INDIRECT($C$5&amp;"生成成长"),2))/((VLOOKUP($B179,INDIRECT($B$5&amp;"生成成长"),4))/(VLOOKUP(FE$72,INDIRECT($C$5&amp;"生成成长"),5))*(VLOOKUP($B$5,标准坦克设计!$B$24:$U$30,MATCH("对"&amp;LEFT($C$5,2)&amp;"输出",标准坦克设计!$B$23:$U$23,0)))*(VLOOKUP($B179,INDIRECT($B$5&amp;"生成成长"),3))*(VLOOKUP($B$5,标准坦克设计!$B$14:$K$20,9)/30))</f>
        <v>7.9500085831227558</v>
      </c>
      <c r="FF179" s="172">
        <f ca="1">(VLOOKUP(FF$72,INDIRECT($C$5&amp;"生成成长"),2))/((VLOOKUP($B179,INDIRECT($B$5&amp;"生成成长"),4))/(VLOOKUP(FF$72,INDIRECT($C$5&amp;"生成成长"),5))*(VLOOKUP($B$5,标准坦克设计!$B$24:$U$30,MATCH("对"&amp;LEFT($C$5,2)&amp;"输出",标准坦克设计!$B$23:$U$23,0)))*(VLOOKUP($B179,INDIRECT($B$5&amp;"生成成长"),3))*(VLOOKUP($B$5,标准坦克设计!$B$14:$K$20,9)/30))</f>
        <v>8.4698745374879483</v>
      </c>
      <c r="FG179" s="172">
        <f ca="1">(VLOOKUP(FG$72,INDIRECT($C$5&amp;"生成成长"),2))/((VLOOKUP($B179,INDIRECT($B$5&amp;"生成成长"),4))/(VLOOKUP(FG$72,INDIRECT($C$5&amp;"生成成长"),5))*(VLOOKUP($B$5,标准坦克设计!$B$24:$U$30,MATCH("对"&amp;LEFT($C$5,2)&amp;"输出",标准坦克设计!$B$23:$U$23,0)))*(VLOOKUP($B179,INDIRECT($B$5&amp;"生成成长"),3))*(VLOOKUP($B$5,标准坦克设计!$B$14:$K$20,9)/30))</f>
        <v>9.0062039690924767</v>
      </c>
      <c r="FH179" s="172">
        <f ca="1">(VLOOKUP(FH$72,INDIRECT($C$5&amp;"生成成长"),2))/((VLOOKUP($B179,INDIRECT($B$5&amp;"生成成长"),4))/(VLOOKUP(FH$72,INDIRECT($C$5&amp;"生成成长"),5))*(VLOOKUP($B$5,标准坦克设计!$B$24:$U$30,MATCH("对"&amp;LEFT($C$5,2)&amp;"输出",标准坦克设计!$B$23:$U$23,0)))*(VLOOKUP($B179,INDIRECT($B$5&amp;"生成成长"),3))*(VLOOKUP($B$5,标准坦克设计!$B$14:$K$20,9)/30))</f>
        <v>9.5589968779363392</v>
      </c>
      <c r="FI179" s="172">
        <f ca="1">(VLOOKUP(FI$72,INDIRECT($C$5&amp;"生成成长"),2))/((VLOOKUP($B179,INDIRECT($B$5&amp;"生成成长"),4))/(VLOOKUP(FI$72,INDIRECT($C$5&amp;"生成成长"),5))*(VLOOKUP($B$5,标准坦克设计!$B$24:$U$30,MATCH("对"&amp;LEFT($C$5,2)&amp;"输出",标准坦克设计!$B$23:$U$23,0)))*(VLOOKUP($B179,INDIRECT($B$5&amp;"生成成长"),3))*(VLOOKUP($B$5,标准坦克设计!$B$14:$K$20,9)/30))</f>
        <v>10.12825326401954</v>
      </c>
      <c r="FJ179" s="172">
        <f ca="1">(VLOOKUP(FJ$72,INDIRECT($C$5&amp;"生成成长"),2))/((VLOOKUP($B179,INDIRECT($B$5&amp;"生成成长"),4))/(VLOOKUP(FJ$72,INDIRECT($C$5&amp;"生成成长"),5))*(VLOOKUP($B$5,标准坦克设计!$B$24:$U$30,MATCH("对"&amp;LEFT($C$5,2)&amp;"输出",标准坦克设计!$B$23:$U$23,0)))*(VLOOKUP($B179,INDIRECT($B$5&amp;"生成成长"),3))*(VLOOKUP($B$5,标准坦克设计!$B$14:$K$20,9)/30))</f>
        <v>10.713973127342078</v>
      </c>
      <c r="FK179" s="172">
        <f ca="1">(VLOOKUP(FK$72,INDIRECT($C$5&amp;"生成成长"),2))/((VLOOKUP($B179,INDIRECT($B$5&amp;"生成成长"),4))/(VLOOKUP(FK$72,INDIRECT($C$5&amp;"生成成长"),5))*(VLOOKUP($B$5,标准坦克设计!$B$24:$U$30,MATCH("对"&amp;LEFT($C$5,2)&amp;"输出",标准坦克设计!$B$23:$U$23,0)))*(VLOOKUP($B179,INDIRECT($B$5&amp;"生成成长"),3))*(VLOOKUP($B$5,标准坦克设计!$B$14:$K$20,9)/30))</f>
        <v>11.316156467903948</v>
      </c>
    </row>
    <row r="180" spans="1:167" x14ac:dyDescent="0.15">
      <c r="A180" s="170" t="str">
        <f t="shared" si="12"/>
        <v>T5中品质18级</v>
      </c>
      <c r="B180" s="171">
        <v>20518</v>
      </c>
      <c r="C180" s="172">
        <f ca="1">(VLOOKUP(C$72,INDIRECT($C$5&amp;"生成成长"),2))/((VLOOKUP($B180,INDIRECT($B$5&amp;"生成成长"),4))/(VLOOKUP(C$72,INDIRECT($C$5&amp;"生成成长"),5))*(VLOOKUP($B$5,标准坦克设计!$B$24:$U$30,MATCH("对"&amp;LEFT($C$5,2)&amp;"输出",标准坦克设计!$B$23:$U$23,0)))*(VLOOKUP($B180,INDIRECT($B$5&amp;"生成成长"),3))*(VLOOKUP($B$5,标准坦克设计!$B$14:$K$20,9)/30))</f>
        <v>0.45983481892899408</v>
      </c>
      <c r="D180" s="172">
        <f ca="1">(VLOOKUP(D$72,INDIRECT($C$5&amp;"生成成长"),2))/((VLOOKUP($B180,INDIRECT($B$5&amp;"生成成长"),4))/(VLOOKUP(D$72,INDIRECT($C$5&amp;"生成成长"),5))*(VLOOKUP($B$5,标准坦克设计!$B$24:$U$30,MATCH("对"&amp;LEFT($C$5,2)&amp;"输出",标准坦克设计!$B$23:$U$23,0)))*(VLOOKUP($B180,INDIRECT($B$5&amp;"生成成长"),3))*(VLOOKUP($B$5,标准坦克设计!$B$14:$K$20,9)/30))</f>
        <v>0.51667040254861762</v>
      </c>
      <c r="E180" s="172">
        <f ca="1">(VLOOKUP(E$72,INDIRECT($C$5&amp;"生成成长"),2))/((VLOOKUP($B180,INDIRECT($B$5&amp;"生成成长"),4))/(VLOOKUP(E$72,INDIRECT($C$5&amp;"生成成长"),5))*(VLOOKUP($B$5,标准坦克设计!$B$24:$U$30,MATCH("对"&amp;LEFT($C$5,2)&amp;"输出",标准坦克设计!$B$23:$U$23,0)))*(VLOOKUP($B180,INDIRECT($B$5&amp;"生成成长"),3))*(VLOOKUP($B$5,标准坦克设计!$B$14:$K$20,9)/30))</f>
        <v>0.57681679686453002</v>
      </c>
      <c r="F180" s="172">
        <f ca="1">(VLOOKUP(F$72,INDIRECT($C$5&amp;"生成成长"),2))/((VLOOKUP($B180,INDIRECT($B$5&amp;"生成成长"),4))/(VLOOKUP(F$72,INDIRECT($C$5&amp;"生成成长"),5))*(VLOOKUP($B$5,标准坦克设计!$B$24:$U$30,MATCH("对"&amp;LEFT($C$5,2)&amp;"输出",标准坦克设计!$B$23:$U$23,0)))*(VLOOKUP($B180,INDIRECT($B$5&amp;"生成成长"),3))*(VLOOKUP($B$5,标准坦克设计!$B$14:$K$20,9)/30))</f>
        <v>0.64027400187673122</v>
      </c>
      <c r="G180" s="172">
        <f ca="1">(VLOOKUP(G$72,INDIRECT($C$5&amp;"生成成长"),2))/((VLOOKUP($B180,INDIRECT($B$5&amp;"生成成长"),4))/(VLOOKUP(G$72,INDIRECT($C$5&amp;"生成成长"),5))*(VLOOKUP($B$5,标准坦克设计!$B$24:$U$30,MATCH("对"&amp;LEFT($C$5,2)&amp;"输出",标准坦克设计!$B$23:$U$23,0)))*(VLOOKUP($B180,INDIRECT($B$5&amp;"生成成长"),3))*(VLOOKUP($B$5,标准坦克设计!$B$14:$K$20,9)/30))</f>
        <v>0.70704201758522112</v>
      </c>
      <c r="H180" s="172">
        <f ca="1">(VLOOKUP(H$72,INDIRECT($C$5&amp;"生成成长"),2))/((VLOOKUP($B180,INDIRECT($B$5&amp;"生成成长"),4))/(VLOOKUP(H$72,INDIRECT($C$5&amp;"生成成长"),5))*(VLOOKUP($B$5,标准坦克设计!$B$24:$U$30,MATCH("对"&amp;LEFT($C$5,2)&amp;"输出",标准坦克设计!$B$23:$U$23,0)))*(VLOOKUP($B180,INDIRECT($B$5&amp;"生成成长"),3))*(VLOOKUP($B$5,标准坦克设计!$B$14:$K$20,9)/30))</f>
        <v>0.6187537323508544</v>
      </c>
      <c r="I180" s="172">
        <f ca="1">(VLOOKUP(I$72,INDIRECT($C$5&amp;"生成成长"),2))/((VLOOKUP($B180,INDIRECT($B$5&amp;"生成成长"),4))/(VLOOKUP(I$72,INDIRECT($C$5&amp;"生成成长"),5))*(VLOOKUP($B$5,标准坦克设计!$B$24:$U$30,MATCH("对"&amp;LEFT($C$5,2)&amp;"输出",标准坦克设计!$B$23:$U$23,0)))*(VLOOKUP($B180,INDIRECT($B$5&amp;"生成成长"),3))*(VLOOKUP($B$5,标准坦克设计!$B$14:$K$20,9)/30))</f>
        <v>0.70704201758522112</v>
      </c>
      <c r="J180" s="172">
        <f ca="1">(VLOOKUP(J$72,INDIRECT($C$5&amp;"生成成长"),2))/((VLOOKUP($B180,INDIRECT($B$5&amp;"生成成长"),4))/(VLOOKUP(J$72,INDIRECT($C$5&amp;"生成成长"),5))*(VLOOKUP($B$5,标准坦克设计!$B$24:$U$30,MATCH("对"&amp;LEFT($C$5,2)&amp;"输出",标准坦克设计!$B$23:$U$23,0)))*(VLOOKUP($B180,INDIRECT($B$5&amp;"生成成长"),3))*(VLOOKUP($B$5,标准坦克设计!$B$14:$K$20,9)/30))</f>
        <v>0.80121618850187915</v>
      </c>
      <c r="K180" s="172">
        <f ca="1">(VLOOKUP(K$72,INDIRECT($C$5&amp;"生成成长"),2))/((VLOOKUP($B180,INDIRECT($B$5&amp;"生成成长"),4))/(VLOOKUP(K$72,INDIRECT($C$5&amp;"生成成长"),5))*(VLOOKUP($B$5,标准坦克设计!$B$24:$U$30,MATCH("对"&amp;LEFT($C$5,2)&amp;"输出",标准坦克设计!$B$23:$U$23,0)))*(VLOOKUP($B180,INDIRECT($B$5&amp;"生成成长"),3))*(VLOOKUP($B$5,标准坦克设计!$B$14:$K$20,9)/30))</f>
        <v>0.90127624510082816</v>
      </c>
      <c r="L180" s="172">
        <f ca="1">(VLOOKUP(L$72,INDIRECT($C$5&amp;"生成成长"),2))/((VLOOKUP($B180,INDIRECT($B$5&amp;"生成成长"),4))/(VLOOKUP(L$72,INDIRECT($C$5&amp;"生成成长"),5))*(VLOOKUP($B$5,标准坦克设计!$B$24:$U$30,MATCH("对"&amp;LEFT($C$5,2)&amp;"输出",标准坦克设计!$B$23:$U$23,0)))*(VLOOKUP($B180,INDIRECT($B$5&amp;"生成成长"),3))*(VLOOKUP($B$5,标准坦克设计!$B$14:$K$20,9)/30))</f>
        <v>1.0072221873820686</v>
      </c>
      <c r="M180" s="172">
        <f ca="1">(VLOOKUP(M$72,INDIRECT($C$5&amp;"生成成长"),2))/((VLOOKUP($B180,INDIRECT($B$5&amp;"生成成长"),4))/(VLOOKUP(M$72,INDIRECT($C$5&amp;"生成成长"),5))*(VLOOKUP($B$5,标准坦克设计!$B$24:$U$30,MATCH("对"&amp;LEFT($C$5,2)&amp;"输出",标准坦克设计!$B$23:$U$23,0)))*(VLOOKUP($B180,INDIRECT($B$5&amp;"生成成长"),3))*(VLOOKUP($B$5,标准坦克设计!$B$14:$K$20,9)/30))</f>
        <v>1.1190540153455999</v>
      </c>
      <c r="N180" s="172">
        <f ca="1">(VLOOKUP(N$72,INDIRECT($C$5&amp;"生成成长"),2))/((VLOOKUP($B180,INDIRECT($B$5&amp;"生成成长"),4))/(VLOOKUP(N$72,INDIRECT($C$5&amp;"生成成长"),5))*(VLOOKUP($B$5,标准坦克设计!$B$24:$U$30,MATCH("对"&amp;LEFT($C$5,2)&amp;"输出",标准坦克设计!$B$23:$U$23,0)))*(VLOOKUP($B180,INDIRECT($B$5&amp;"生成成长"),3))*(VLOOKUP($B$5,标准坦克设计!$B$14:$K$20,9)/30))</f>
        <v>1.236771728991422</v>
      </c>
      <c r="O180" s="172">
        <f ca="1">(VLOOKUP(O$72,INDIRECT($C$5&amp;"生成成长"),2))/((VLOOKUP($B180,INDIRECT($B$5&amp;"生成成长"),4))/(VLOOKUP(O$72,INDIRECT($C$5&amp;"生成成长"),5))*(VLOOKUP($B$5,标准坦克设计!$B$24:$U$30,MATCH("对"&amp;LEFT($C$5,2)&amp;"输出",标准坦克设计!$B$23:$U$23,0)))*(VLOOKUP($B180,INDIRECT($B$5&amp;"生成成长"),3))*(VLOOKUP($B$5,标准坦克设计!$B$14:$K$20,9)/30))</f>
        <v>0.94031622122789971</v>
      </c>
      <c r="P180" s="172">
        <f ca="1">(VLOOKUP(P$72,INDIRECT($C$5&amp;"生成成长"),2))/((VLOOKUP($B180,INDIRECT($B$5&amp;"生成成长"),4))/(VLOOKUP(P$72,INDIRECT($C$5&amp;"生成成长"),5))*(VLOOKUP($B$5,标准坦克设计!$B$24:$U$30,MATCH("对"&amp;LEFT($C$5,2)&amp;"输出",标准坦克设计!$B$23:$U$23,0)))*(VLOOKUP($B180,INDIRECT($B$5&amp;"生成成长"),3))*(VLOOKUP($B$5,标准坦克设计!$B$14:$K$20,9)/30))</f>
        <v>1.0624023656535477</v>
      </c>
      <c r="Q180" s="172">
        <f ca="1">(VLOOKUP(Q$72,INDIRECT($C$5&amp;"生成成长"),2))/((VLOOKUP($B180,INDIRECT($B$5&amp;"生成成长"),4))/(VLOOKUP(Q$72,INDIRECT($C$5&amp;"生成成长"),5))*(VLOOKUP($B$5,标准坦克设计!$B$24:$U$30,MATCH("对"&amp;LEFT($C$5,2)&amp;"输出",标准坦克设计!$B$23:$U$23,0)))*(VLOOKUP($B180,INDIRECT($B$5&amp;"生成成长"),3))*(VLOOKUP($B$5,标准坦克设计!$B$14:$K$20,9)/30))</f>
        <v>1.1919378341458453</v>
      </c>
      <c r="R180" s="172">
        <f ca="1">(VLOOKUP(R$72,INDIRECT($C$5&amp;"生成成长"),2))/((VLOOKUP($B180,INDIRECT($B$5&amp;"生成成长"),4))/(VLOOKUP(R$72,INDIRECT($C$5&amp;"生成成长"),5))*(VLOOKUP($B$5,标准坦克设计!$B$24:$U$30,MATCH("对"&amp;LEFT($C$5,2)&amp;"输出",标准坦克设计!$B$23:$U$23,0)))*(VLOOKUP($B180,INDIRECT($B$5&amp;"生成成长"),3))*(VLOOKUP($B$5,标准坦克设计!$B$14:$K$20,9)/30))</f>
        <v>1.3289226267047927</v>
      </c>
      <c r="S180" s="172">
        <f ca="1">(VLOOKUP(S$72,INDIRECT($C$5&amp;"生成成长"),2))/((VLOOKUP($B180,INDIRECT($B$5&amp;"生成成长"),4))/(VLOOKUP(S$72,INDIRECT($C$5&amp;"生成成长"),5))*(VLOOKUP($B$5,标准坦克设计!$B$24:$U$30,MATCH("对"&amp;LEFT($C$5,2)&amp;"输出",标准坦克设计!$B$23:$U$23,0)))*(VLOOKUP($B180,INDIRECT($B$5&amp;"生成成长"),3))*(VLOOKUP($B$5,标准坦克设计!$B$14:$K$20,9)/30))</f>
        <v>1.4733567433303894</v>
      </c>
      <c r="T180" s="172">
        <f ca="1">(VLOOKUP(T$72,INDIRECT($C$5&amp;"生成成长"),2))/((VLOOKUP($B180,INDIRECT($B$5&amp;"生成成长"),4))/(VLOOKUP(T$72,INDIRECT($C$5&amp;"生成成长"),5))*(VLOOKUP($B$5,标准坦克设计!$B$24:$U$30,MATCH("对"&amp;LEFT($C$5,2)&amp;"输出",标准坦克设计!$B$23:$U$23,0)))*(VLOOKUP($B180,INDIRECT($B$5&amp;"生成成长"),3))*(VLOOKUP($B$5,标准坦克设计!$B$14:$K$20,9)/30))</f>
        <v>1.625240184022636</v>
      </c>
      <c r="U180" s="172">
        <f ca="1">(VLOOKUP(U$72,INDIRECT($C$5&amp;"生成成长"),2))/((VLOOKUP($B180,INDIRECT($B$5&amp;"生成成长"),4))/(VLOOKUP(U$72,INDIRECT($C$5&amp;"生成成长"),5))*(VLOOKUP($B$5,标准坦克设计!$B$24:$U$30,MATCH("对"&amp;LEFT($C$5,2)&amp;"输出",标准坦克设计!$B$23:$U$23,0)))*(VLOOKUP($B180,INDIRECT($B$5&amp;"生成成长"),3))*(VLOOKUP($B$5,标准坦克设计!$B$14:$K$20,9)/30))</f>
        <v>1.7845729487815327</v>
      </c>
      <c r="V180" s="172">
        <f ca="1">(VLOOKUP(V$72,INDIRECT($C$5&amp;"生成成长"),2))/((VLOOKUP($B180,INDIRECT($B$5&amp;"生成成长"),4))/(VLOOKUP(V$72,INDIRECT($C$5&amp;"生成成长"),5))*(VLOOKUP($B$5,标准坦克设计!$B$24:$U$30,MATCH("对"&amp;LEFT($C$5,2)&amp;"输出",标准坦克设计!$B$23:$U$23,0)))*(VLOOKUP($B180,INDIRECT($B$5&amp;"生成成长"),3))*(VLOOKUP($B$5,标准坦克设计!$B$14:$K$20,9)/30))</f>
        <v>1.951355037607079</v>
      </c>
      <c r="W180" s="172">
        <f ca="1">(VLOOKUP(W$72,INDIRECT($C$5&amp;"生成成长"),2))/((VLOOKUP($B180,INDIRECT($B$5&amp;"生成成长"),4))/(VLOOKUP(W$72,INDIRECT($C$5&amp;"生成成长"),5))*(VLOOKUP($B$5,标准坦克设计!$B$24:$U$30,MATCH("对"&amp;LEFT($C$5,2)&amp;"输出",标准坦克设计!$B$23:$U$23,0)))*(VLOOKUP($B180,INDIRECT($B$5&amp;"生成成长"),3))*(VLOOKUP($B$5,标准坦克设计!$B$14:$K$20,9)/30))</f>
        <v>2.125586450499275</v>
      </c>
      <c r="X180" s="172">
        <f ca="1">(VLOOKUP(X$72,INDIRECT($C$5&amp;"生成成长"),2))/((VLOOKUP($B180,INDIRECT($B$5&amp;"生成成长"),4))/(VLOOKUP(X$72,INDIRECT($C$5&amp;"生成成长"),5))*(VLOOKUP($B$5,标准坦克设计!$B$24:$U$30,MATCH("对"&amp;LEFT($C$5,2)&amp;"输出",标准坦克设计!$B$23:$U$23,0)))*(VLOOKUP($B180,INDIRECT($B$5&amp;"生成成长"),3))*(VLOOKUP($B$5,标准坦克设计!$B$14:$K$20,9)/30))</f>
        <v>1.5399408251113078</v>
      </c>
      <c r="Y180" s="172">
        <f ca="1">(VLOOKUP(Y$72,INDIRECT($C$5&amp;"生成成长"),2))/((VLOOKUP($B180,INDIRECT($B$5&amp;"生成成长"),4))/(VLOOKUP(Y$72,INDIRECT($C$5&amp;"生成成长"),5))*(VLOOKUP($B$5,标准坦克设计!$B$24:$U$30,MATCH("对"&amp;LEFT($C$5,2)&amp;"输出",标准坦克设计!$B$23:$U$23,0)))*(VLOOKUP($B180,INDIRECT($B$5&amp;"生成成长"),3))*(VLOOKUP($B$5,标准坦克设计!$B$14:$K$20,9)/30))</f>
        <v>1.7128387170286095</v>
      </c>
      <c r="Z180" s="172">
        <f ca="1">(VLOOKUP(Z$72,INDIRECT($C$5&amp;"生成成长"),2))/((VLOOKUP($B180,INDIRECT($B$5&amp;"生成成长"),4))/(VLOOKUP(Z$72,INDIRECT($C$5&amp;"生成成长"),5))*(VLOOKUP($B$5,标准坦克设计!$B$24:$U$30,MATCH("对"&amp;LEFT($C$5,2)&amp;"输出",标准坦克设计!$B$23:$U$23,0)))*(VLOOKUP($B180,INDIRECT($B$5&amp;"生成成长"),3))*(VLOOKUP($B$5,标准坦克设计!$B$14:$K$20,9)/30))</f>
        <v>1.8949333053244914</v>
      </c>
      <c r="AA180" s="172">
        <f ca="1">(VLOOKUP(AA$72,INDIRECT($C$5&amp;"生成成长"),2))/((VLOOKUP($B180,INDIRECT($B$5&amp;"生成成长"),4))/(VLOOKUP(AA$72,INDIRECT($C$5&amp;"生成成长"),5))*(VLOOKUP($B$5,标准坦克设计!$B$24:$U$30,MATCH("对"&amp;LEFT($C$5,2)&amp;"输出",标准坦克设计!$B$23:$U$23,0)))*(VLOOKUP($B180,INDIRECT($B$5&amp;"生成成长"),3))*(VLOOKUP($B$5,标准坦克设计!$B$14:$K$20,9)/30))</f>
        <v>2.0862245899989529</v>
      </c>
      <c r="AB180" s="172">
        <f ca="1">(VLOOKUP(AB$72,INDIRECT($C$5&amp;"生成成长"),2))/((VLOOKUP($B180,INDIRECT($B$5&amp;"生成成长"),4))/(VLOOKUP(AB$72,INDIRECT($C$5&amp;"生成成长"),5))*(VLOOKUP($B$5,标准坦克设计!$B$24:$U$30,MATCH("对"&amp;LEFT($C$5,2)&amp;"输出",标准坦克设计!$B$23:$U$23,0)))*(VLOOKUP($B180,INDIRECT($B$5&amp;"生成成长"),3))*(VLOOKUP($B$5,标准坦克设计!$B$14:$K$20,9)/30))</f>
        <v>2.2867125710519942</v>
      </c>
      <c r="AC180" s="172">
        <f ca="1">(VLOOKUP(AC$72,INDIRECT($C$5&amp;"生成成长"),2))/((VLOOKUP($B180,INDIRECT($B$5&amp;"生成成长"),4))/(VLOOKUP(AC$72,INDIRECT($C$5&amp;"生成成长"),5))*(VLOOKUP($B$5,标准坦克设计!$B$24:$U$30,MATCH("对"&amp;LEFT($C$5,2)&amp;"输出",标准坦克设计!$B$23:$U$23,0)))*(VLOOKUP($B180,INDIRECT($B$5&amp;"生成成长"),3))*(VLOOKUP($B$5,标准坦克设计!$B$14:$K$20,9)/30))</f>
        <v>2.4963972484836159</v>
      </c>
      <c r="AD180" s="172">
        <f ca="1">(VLOOKUP(AD$72,INDIRECT($C$5&amp;"生成成长"),2))/((VLOOKUP($B180,INDIRECT($B$5&amp;"生成成长"),4))/(VLOOKUP(AD$72,INDIRECT($C$5&amp;"生成成长"),5))*(VLOOKUP($B$5,标准坦克设计!$B$24:$U$30,MATCH("对"&amp;LEFT($C$5,2)&amp;"输出",标准坦克设计!$B$23:$U$23,0)))*(VLOOKUP($B180,INDIRECT($B$5&amp;"生成成长"),3))*(VLOOKUP($B$5,标准坦克设计!$B$14:$K$20,9)/30))</f>
        <v>2.7152786222938166</v>
      </c>
      <c r="AE180" s="172">
        <f ca="1">(VLOOKUP(AE$72,INDIRECT($C$5&amp;"生成成长"),2))/((VLOOKUP($B180,INDIRECT($B$5&amp;"生成成长"),4))/(VLOOKUP(AE$72,INDIRECT($C$5&amp;"生成成长"),5))*(VLOOKUP($B$5,标准坦克设计!$B$24:$U$30,MATCH("对"&amp;LEFT($C$5,2)&amp;"输出",标准坦克设计!$B$23:$U$23,0)))*(VLOOKUP($B180,INDIRECT($B$5&amp;"生成成长"),3))*(VLOOKUP($B$5,标准坦克设计!$B$14:$K$20,9)/30))</f>
        <v>2.9433566924825976</v>
      </c>
      <c r="AF180" s="172">
        <f ca="1">(VLOOKUP(AF$72,INDIRECT($C$5&amp;"生成成长"),2))/((VLOOKUP($B180,INDIRECT($B$5&amp;"生成成长"),4))/(VLOOKUP(AF$72,INDIRECT($C$5&amp;"生成成长"),5))*(VLOOKUP($B$5,标准坦克设计!$B$24:$U$30,MATCH("对"&amp;LEFT($C$5,2)&amp;"输出",标准坦克设计!$B$23:$U$23,0)))*(VLOOKUP($B180,INDIRECT($B$5&amp;"生成成长"),3))*(VLOOKUP($B$5,标准坦克设计!$B$14:$K$20,9)/30))</f>
        <v>3.1806314590499585</v>
      </c>
      <c r="AG180" s="172">
        <f ca="1">(VLOOKUP(AG$72,INDIRECT($C$5&amp;"生成成长"),2))/((VLOOKUP($B180,INDIRECT($B$5&amp;"生成成长"),4))/(VLOOKUP(AG$72,INDIRECT($C$5&amp;"生成成长"),5))*(VLOOKUP($B$5,标准坦克设计!$B$24:$U$30,MATCH("对"&amp;LEFT($C$5,2)&amp;"输出",标准坦克设计!$B$23:$U$23,0)))*(VLOOKUP($B180,INDIRECT($B$5&amp;"生成成长"),3))*(VLOOKUP($B$5,标准坦克设计!$B$14:$K$20,9)/30))</f>
        <v>3.4271029219958993</v>
      </c>
      <c r="AH180" s="172">
        <f ca="1">(VLOOKUP(AH$72,INDIRECT($C$5&amp;"生成成长"),2))/((VLOOKUP($B180,INDIRECT($B$5&amp;"生成成长"),4))/(VLOOKUP(AH$72,INDIRECT($C$5&amp;"生成成长"),5))*(VLOOKUP($B$5,标准坦克设计!$B$24:$U$30,MATCH("对"&amp;LEFT($C$5,2)&amp;"输出",标准坦克设计!$B$23:$U$23,0)))*(VLOOKUP($B180,INDIRECT($B$5&amp;"生成成长"),3))*(VLOOKUP($B$5,标准坦克设计!$B$14:$K$20,9)/30))</f>
        <v>3.6827710813204204</v>
      </c>
      <c r="AI180" s="172">
        <f ca="1">(VLOOKUP(AI$72,INDIRECT($C$5&amp;"生成成长"),2))/((VLOOKUP($B180,INDIRECT($B$5&amp;"生成成长"),4))/(VLOOKUP(AI$72,INDIRECT($C$5&amp;"生成成长"),5))*(VLOOKUP($B$5,标准坦克设计!$B$24:$U$30,MATCH("对"&amp;LEFT($C$5,2)&amp;"输出",标准坦克设计!$B$23:$U$23,0)))*(VLOOKUP($B180,INDIRECT($B$5&amp;"生成成长"),3))*(VLOOKUP($B$5,标准坦克设计!$B$14:$K$20,9)/30))</f>
        <v>2.6046883483413934</v>
      </c>
      <c r="AJ180" s="172">
        <f ca="1">(VLOOKUP(AJ$72,INDIRECT($C$5&amp;"生成成长"),2))/((VLOOKUP($B180,INDIRECT($B$5&amp;"生成成长"),4))/(VLOOKUP(AJ$72,INDIRECT($C$5&amp;"生成成长"),5))*(VLOOKUP($B$5,标准坦克设计!$B$24:$U$30,MATCH("对"&amp;LEFT($C$5,2)&amp;"输出",标准坦克设计!$B$23:$U$23,0)))*(VLOOKUP($B180,INDIRECT($B$5&amp;"生成成长"),3))*(VLOOKUP($B$5,标准坦克设计!$B$14:$K$20,9)/30))</f>
        <v>2.8510218608416555</v>
      </c>
      <c r="AK180" s="172">
        <f ca="1">(VLOOKUP(AK$72,INDIRECT($C$5&amp;"生成成长"),2))/((VLOOKUP($B180,INDIRECT($B$5&amp;"生成成长"),4))/(VLOOKUP(AK$72,INDIRECT($C$5&amp;"生成成长"),5))*(VLOOKUP($B$5,标准坦克设计!$B$24:$U$30,MATCH("对"&amp;LEFT($C$5,2)&amp;"输出",标准坦克设计!$B$23:$U$23,0)))*(VLOOKUP($B180,INDIRECT($B$5&amp;"生成成长"),3))*(VLOOKUP($B$5,标准坦克设计!$B$14:$K$20,9)/30))</f>
        <v>3.1084833759599997</v>
      </c>
      <c r="AL180" s="172">
        <f ca="1">(VLOOKUP(AL$72,INDIRECT($C$5&amp;"生成成长"),2))/((VLOOKUP($B180,INDIRECT($B$5&amp;"生成成长"),4))/(VLOOKUP(AL$72,INDIRECT($C$5&amp;"生成成长"),5))*(VLOOKUP($B$5,标准坦克设计!$B$24:$U$30,MATCH("对"&amp;LEFT($C$5,2)&amp;"输出",标准坦克设计!$B$23:$U$23,0)))*(VLOOKUP($B180,INDIRECT($B$5&amp;"生成成长"),3))*(VLOOKUP($B$5,标准坦克设计!$B$14:$K$20,9)/30))</f>
        <v>3.3770728936964245</v>
      </c>
      <c r="AM180" s="172">
        <f ca="1">(VLOOKUP(AM$72,INDIRECT($C$5&amp;"生成成长"),2))/((VLOOKUP($B180,INDIRECT($B$5&amp;"生成成长"),4))/(VLOOKUP(AM$72,INDIRECT($C$5&amp;"生成成长"),5))*(VLOOKUP($B$5,标准坦克设计!$B$24:$U$30,MATCH("对"&amp;LEFT($C$5,2)&amp;"输出",标准坦克设计!$B$23:$U$23,0)))*(VLOOKUP($B180,INDIRECT($B$5&amp;"生成成长"),3))*(VLOOKUP($B$5,标准坦克设计!$B$14:$K$20,9)/30))</f>
        <v>3.6567904140509322</v>
      </c>
      <c r="AN180" s="172">
        <f ca="1">(VLOOKUP(AN$72,INDIRECT($C$5&amp;"生成成长"),2))/((VLOOKUP($B180,INDIRECT($B$5&amp;"生成成长"),4))/(VLOOKUP(AN$72,INDIRECT($C$5&amp;"生成成长"),5))*(VLOOKUP($B$5,标准坦克设计!$B$24:$U$30,MATCH("对"&amp;LEFT($C$5,2)&amp;"输出",标准坦克设计!$B$23:$U$23,0)))*(VLOOKUP($B180,INDIRECT($B$5&amp;"生成成长"),3))*(VLOOKUP($B$5,标准坦克设计!$B$14:$K$20,9)/30))</f>
        <v>3.9476359370235201</v>
      </c>
      <c r="AO180" s="172">
        <f ca="1">(VLOOKUP(AO$72,INDIRECT($C$5&amp;"生成成长"),2))/((VLOOKUP($B180,INDIRECT($B$5&amp;"生成成长"),4))/(VLOOKUP(AO$72,INDIRECT($C$5&amp;"生成成长"),5))*(VLOOKUP($B$5,标准坦克设计!$B$24:$U$30,MATCH("对"&amp;LEFT($C$5,2)&amp;"输出",标准坦克设计!$B$23:$U$23,0)))*(VLOOKUP($B180,INDIRECT($B$5&amp;"生成成长"),3))*(VLOOKUP($B$5,标准坦克设计!$B$14:$K$20,9)/30))</f>
        <v>4.2496094626141909</v>
      </c>
      <c r="AP180" s="172">
        <f ca="1">(VLOOKUP(AP$72,INDIRECT($C$5&amp;"生成成长"),2))/((VLOOKUP($B180,INDIRECT($B$5&amp;"生成成长"),4))/(VLOOKUP(AP$72,INDIRECT($C$5&amp;"生成成长"),5))*(VLOOKUP($B$5,标准坦克设计!$B$24:$U$30,MATCH("对"&amp;LEFT($C$5,2)&amp;"输出",标准坦克设计!$B$23:$U$23,0)))*(VLOOKUP($B180,INDIRECT($B$5&amp;"生成成长"),3))*(VLOOKUP($B$5,标准坦克设计!$B$14:$K$20,9)/30))</f>
        <v>4.5627109908229428</v>
      </c>
      <c r="AQ180" s="172">
        <f ca="1">(VLOOKUP(AQ$72,INDIRECT($C$5&amp;"生成成长"),2))/((VLOOKUP($B180,INDIRECT($B$5&amp;"生成成长"),4))/(VLOOKUP(AQ$72,INDIRECT($C$5&amp;"生成成长"),5))*(VLOOKUP($B$5,标准坦克设计!$B$24:$U$30,MATCH("对"&amp;LEFT($C$5,2)&amp;"输出",标准坦克设计!$B$23:$U$23,0)))*(VLOOKUP($B180,INDIRECT($B$5&amp;"生成成长"),3))*(VLOOKUP($B$5,标准坦克设计!$B$14:$K$20,9)/30))</f>
        <v>4.8869405216497759</v>
      </c>
      <c r="AR180" s="172">
        <f ca="1">(VLOOKUP(AR$72,INDIRECT($C$5&amp;"生成成长"),2))/((VLOOKUP($B180,INDIRECT($B$5&amp;"生成成长"),4))/(VLOOKUP(AR$72,INDIRECT($C$5&amp;"生成成长"),5))*(VLOOKUP($B$5,标准坦克设计!$B$24:$U$30,MATCH("对"&amp;LEFT($C$5,2)&amp;"输出",标准坦克设计!$B$23:$U$23,0)))*(VLOOKUP($B180,INDIRECT($B$5&amp;"生成成长"),3))*(VLOOKUP($B$5,标准坦克设计!$B$14:$K$20,9)/30))</f>
        <v>5.2222980550946918</v>
      </c>
      <c r="AS180" s="172">
        <f ca="1">(VLOOKUP(AS$72,INDIRECT($C$5&amp;"生成成长"),2))/((VLOOKUP($B180,INDIRECT($B$5&amp;"生成成长"),4))/(VLOOKUP(AS$72,INDIRECT($C$5&amp;"生成成长"),5))*(VLOOKUP($B$5,标准坦克设计!$B$24:$U$30,MATCH("对"&amp;LEFT($C$5,2)&amp;"输出",标准坦克设计!$B$23:$U$23,0)))*(VLOOKUP($B180,INDIRECT($B$5&amp;"生成成长"),3))*(VLOOKUP($B$5,标准坦克设计!$B$14:$K$20,9)/30))</f>
        <v>5.568783591157688</v>
      </c>
      <c r="AT180" s="172">
        <f ca="1">(VLOOKUP(AT$72,INDIRECT($C$5&amp;"生成成长"),2))/((VLOOKUP($B180,INDIRECT($B$5&amp;"生成成长"),4))/(VLOOKUP(AT$72,INDIRECT($C$5&amp;"生成成长"),5))*(VLOOKUP($B$5,标准坦克设计!$B$24:$U$30,MATCH("对"&amp;LEFT($C$5,2)&amp;"输出",标准坦克设计!$B$23:$U$23,0)))*(VLOOKUP($B180,INDIRECT($B$5&amp;"生成成长"),3))*(VLOOKUP($B$5,标准坦克设计!$B$14:$K$20,9)/30))</f>
        <v>5.926397129838767</v>
      </c>
      <c r="AU180" s="172">
        <f ca="1">(VLOOKUP(AU$72,INDIRECT($C$5&amp;"生成成长"),2))/((VLOOKUP($B180,INDIRECT($B$5&amp;"生成成长"),4))/(VLOOKUP(AU$72,INDIRECT($C$5&amp;"生成成长"),5))*(VLOOKUP($B$5,标准坦克设计!$B$24:$U$30,MATCH("对"&amp;LEFT($C$5,2)&amp;"输出",标准坦克设计!$B$23:$U$23,0)))*(VLOOKUP($B180,INDIRECT($B$5&amp;"生成成长"),3))*(VLOOKUP($B$5,标准坦克设计!$B$14:$K$20,9)/30))</f>
        <v>6.2951386711379289</v>
      </c>
      <c r="AV180" s="172">
        <f ca="1">(VLOOKUP(AV$72,INDIRECT($C$5&amp;"生成成长"),2))/((VLOOKUP($B180,INDIRECT($B$5&amp;"生成成长"),4))/(VLOOKUP(AV$72,INDIRECT($C$5&amp;"生成成长"),5))*(VLOOKUP($B$5,标准坦克设计!$B$24:$U$30,MATCH("对"&amp;LEFT($C$5,2)&amp;"输出",标准坦克设计!$B$23:$U$23,0)))*(VLOOKUP($B180,INDIRECT($B$5&amp;"生成成长"),3))*(VLOOKUP($B$5,标准坦克设计!$B$14:$K$20,9)/30))</f>
        <v>0.64027400187673122</v>
      </c>
      <c r="AW180" s="172">
        <f ca="1">(VLOOKUP(AW$72,INDIRECT($C$5&amp;"生成成长"),2))/((VLOOKUP($B180,INDIRECT($B$5&amp;"生成成长"),4))/(VLOOKUP(AW$72,INDIRECT($C$5&amp;"生成成长"),5))*(VLOOKUP($B$5,标准坦克设计!$B$24:$U$30,MATCH("对"&amp;LEFT($C$5,2)&amp;"输出",标准坦克设计!$B$23:$U$23,0)))*(VLOOKUP($B180,INDIRECT($B$5&amp;"生成成长"),3))*(VLOOKUP($B$5,标准坦克设计!$B$14:$K$20,9)/30))</f>
        <v>0.73003375853167085</v>
      </c>
      <c r="AX180" s="172">
        <f ca="1">(VLOOKUP(AX$72,INDIRECT($C$5&amp;"生成成长"),2))/((VLOOKUP($B180,INDIRECT($B$5&amp;"生成成长"),4))/(VLOOKUP(AX$72,INDIRECT($C$5&amp;"生成成长"),5))*(VLOOKUP($B$5,标准坦克设计!$B$24:$U$30,MATCH("对"&amp;LEFT($C$5,2)&amp;"输出",标准坦克设计!$B$23:$U$23,0)))*(VLOOKUP($B180,INDIRECT($B$5&amp;"生成成长"),3))*(VLOOKUP($B$5,标准坦克设计!$B$14:$K$20,9)/30))</f>
        <v>0.82567940086890157</v>
      </c>
      <c r="AY180" s="172">
        <f ca="1">(VLOOKUP(AY$72,INDIRECT($C$5&amp;"生成成长"),2))/((VLOOKUP($B180,INDIRECT($B$5&amp;"生成成长"),4))/(VLOOKUP(AY$72,INDIRECT($C$5&amp;"生成成长"),5))*(VLOOKUP($B$5,标准坦克设计!$B$24:$U$30,MATCH("对"&amp;LEFT($C$5,2)&amp;"输出",标准坦克设计!$B$23:$U$23,0)))*(VLOOKUP($B180,INDIRECT($B$5&amp;"生成成长"),3))*(VLOOKUP($B$5,标准坦克设计!$B$14:$K$20,9)/30))</f>
        <v>0.92721092888842349</v>
      </c>
      <c r="AZ180" s="172">
        <f ca="1">(VLOOKUP(AZ$72,INDIRECT($C$5&amp;"生成成长"),2))/((VLOOKUP($B180,INDIRECT($B$5&amp;"生成成长"),4))/(VLOOKUP(AZ$72,INDIRECT($C$5&amp;"生成成长"),5))*(VLOOKUP($B$5,标准坦克设计!$B$24:$U$30,MATCH("对"&amp;LEFT($C$5,2)&amp;"输出",标准坦克设计!$B$23:$U$23,0)))*(VLOOKUP($B180,INDIRECT($B$5&amp;"生成成长"),3))*(VLOOKUP($B$5,标准坦克设计!$B$14:$K$20,9)/30))</f>
        <v>1.0346283425902363</v>
      </c>
      <c r="BA180" s="172">
        <f ca="1">(VLOOKUP(BA$72,INDIRECT($C$5&amp;"生成成长"),2))/((VLOOKUP($B180,INDIRECT($B$5&amp;"生成成长"),4))/(VLOOKUP(BA$72,INDIRECT($C$5&amp;"生成成长"),5))*(VLOOKUP($B$5,标准坦克设计!$B$24:$U$30,MATCH("对"&amp;LEFT($C$5,2)&amp;"输出",标准坦克设计!$B$23:$U$23,0)))*(VLOOKUP($B180,INDIRECT($B$5&amp;"生成成长"),3))*(VLOOKUP($B$5,标准坦克设计!$B$14:$K$20,9)/30))</f>
        <v>1.1479316419743406</v>
      </c>
      <c r="BB180" s="172">
        <f ca="1">(VLOOKUP(BB$72,INDIRECT($C$5&amp;"生成成长"),2))/((VLOOKUP($B180,INDIRECT($B$5&amp;"生成成长"),4))/(VLOOKUP(BB$72,INDIRECT($C$5&amp;"生成成长"),5))*(VLOOKUP($B$5,标准坦克设计!$B$24:$U$30,MATCH("对"&amp;LEFT($C$5,2)&amp;"输出",标准坦克设计!$B$23:$U$23,0)))*(VLOOKUP($B180,INDIRECT($B$5&amp;"生成成长"),3))*(VLOOKUP($B$5,标准坦克设计!$B$14:$K$20,9)/30))</f>
        <v>1.2671208270407357</v>
      </c>
      <c r="BC180" s="172">
        <f ca="1">(VLOOKUP(BC$72,INDIRECT($C$5&amp;"生成成长"),2))/((VLOOKUP($B180,INDIRECT($B$5&amp;"生成成长"),4))/(VLOOKUP(BC$72,INDIRECT($C$5&amp;"生成成长"),5))*(VLOOKUP($B$5,标准坦克设计!$B$24:$U$30,MATCH("对"&amp;LEFT($C$5,2)&amp;"输出",标准坦克设计!$B$23:$U$23,0)))*(VLOOKUP($B180,INDIRECT($B$5&amp;"生成成长"),3))*(VLOOKUP($B$5,标准坦克设计!$B$14:$K$20,9)/30))</f>
        <v>1.392195897789422</v>
      </c>
      <c r="BD180" s="172">
        <f ca="1">(VLOOKUP(BD$72,INDIRECT($C$5&amp;"生成成长"),2))/((VLOOKUP($B180,INDIRECT($B$5&amp;"生成成长"),4))/(VLOOKUP(BD$72,INDIRECT($C$5&amp;"生成成长"),5))*(VLOOKUP($B$5,标准坦克设计!$B$24:$U$30,MATCH("对"&amp;LEFT($C$5,2)&amp;"输出",标准坦克设计!$B$23:$U$23,0)))*(VLOOKUP($B180,INDIRECT($B$5&amp;"生成成长"),3))*(VLOOKUP($B$5,标准坦克设计!$B$14:$K$20,9)/30))</f>
        <v>1.5399408251113078</v>
      </c>
      <c r="BE180" s="172">
        <f ca="1">(VLOOKUP(BE$72,INDIRECT($C$5&amp;"生成成长"),2))/((VLOOKUP($B180,INDIRECT($B$5&amp;"生成成长"),4))/(VLOOKUP(BE$72,INDIRECT($C$5&amp;"生成成长"),5))*(VLOOKUP($B$5,标准坦克设计!$B$24:$U$30,MATCH("对"&amp;LEFT($C$5,2)&amp;"输出",标准坦克设计!$B$23:$U$23,0)))*(VLOOKUP($B180,INDIRECT($B$5&amp;"生成成长"),3))*(VLOOKUP($B$5,标准坦克设计!$B$14:$K$20,9)/30))</f>
        <v>1.6951350764998439</v>
      </c>
      <c r="BF180" s="172">
        <f ca="1">(VLOOKUP(BF$72,INDIRECT($C$5&amp;"生成成长"),2))/((VLOOKUP($B180,INDIRECT($B$5&amp;"生成成长"),4))/(VLOOKUP(BF$72,INDIRECT($C$5&amp;"生成成长"),5))*(VLOOKUP($B$5,标准坦克设计!$B$24:$U$30,MATCH("对"&amp;LEFT($C$5,2)&amp;"输出",标准坦克设计!$B$23:$U$23,0)))*(VLOOKUP($B180,INDIRECT($B$5&amp;"生成成长"),3))*(VLOOKUP($B$5,标准坦克设计!$B$14:$K$20,9)/30))</f>
        <v>1.8577786519550286</v>
      </c>
      <c r="BG180" s="172">
        <f ca="1">(VLOOKUP(BG$72,INDIRECT($C$5&amp;"生成成长"),2))/((VLOOKUP($B180,INDIRECT($B$5&amp;"生成成长"),4))/(VLOOKUP(BG$72,INDIRECT($C$5&amp;"生成成长"),5))*(VLOOKUP($B$5,标准坦克设计!$B$24:$U$30,MATCH("对"&amp;LEFT($C$5,2)&amp;"输出",标准坦克设计!$B$23:$U$23,0)))*(VLOOKUP($B180,INDIRECT($B$5&amp;"生成成长"),3))*(VLOOKUP($B$5,标准坦克设计!$B$14:$K$20,9)/30))</f>
        <v>2.027871551476863</v>
      </c>
      <c r="BH180" s="172">
        <f ca="1">(VLOOKUP(BH$72,INDIRECT($C$5&amp;"生成成长"),2))/((VLOOKUP($B180,INDIRECT($B$5&amp;"生成成长"),4))/(VLOOKUP(BH$72,INDIRECT($C$5&amp;"生成成长"),5))*(VLOOKUP($B$5,标准坦克设计!$B$24:$U$30,MATCH("对"&amp;LEFT($C$5,2)&amp;"输出",标准坦克设计!$B$23:$U$23,0)))*(VLOOKUP($B180,INDIRECT($B$5&amp;"生成成长"),3))*(VLOOKUP($B$5,标准坦克设计!$B$14:$K$20,9)/30))</f>
        <v>0.98018390002904354</v>
      </c>
      <c r="BI180" s="172">
        <f ca="1">(VLOOKUP(BI$72,INDIRECT($C$5&amp;"生成成长"),2))/((VLOOKUP($B180,INDIRECT($B$5&amp;"生成成长"),4))/(VLOOKUP(BI$72,INDIRECT($C$5&amp;"生成成长"),5))*(VLOOKUP($B$5,标准坦克设计!$B$24:$U$30,MATCH("对"&amp;LEFT($C$5,2)&amp;"输出",标准坦克设计!$B$23:$U$23,0)))*(VLOOKUP($B180,INDIRECT($B$5&amp;"生成成长"),3))*(VLOOKUP($B$5,标准坦克设计!$B$14:$K$20,9)/30))</f>
        <v>1.1047531524769083</v>
      </c>
      <c r="BJ180" s="172">
        <f ca="1">(VLOOKUP(BJ$72,INDIRECT($C$5&amp;"生成成长"),2))/((VLOOKUP($B180,INDIRECT($B$5&amp;"生成成长"),4))/(VLOOKUP(BJ$72,INDIRECT($C$5&amp;"生成成长"),5))*(VLOOKUP($B$5,标准坦克设计!$B$24:$U$30,MATCH("对"&amp;LEFT($C$5,2)&amp;"输出",标准坦克设计!$B$23:$U$23,0)))*(VLOOKUP($B180,INDIRECT($B$5&amp;"生成成长"),3))*(VLOOKUP($B$5,标准坦克设计!$B$14:$K$20,9)/30))</f>
        <v>1.236771728991422</v>
      </c>
      <c r="BK180" s="172">
        <f ca="1">(VLOOKUP(BK$72,INDIRECT($C$5&amp;"生成成长"),2))/((VLOOKUP($B180,INDIRECT($B$5&amp;"生成成长"),4))/(VLOOKUP(BK$72,INDIRECT($C$5&amp;"生成成长"),5))*(VLOOKUP($B$5,标准坦克设计!$B$24:$U$30,MATCH("对"&amp;LEFT($C$5,2)&amp;"输出",标准坦克设计!$B$23:$U$23,0)))*(VLOOKUP($B180,INDIRECT($B$5&amp;"生成成长"),3))*(VLOOKUP($B$5,标准坦克设计!$B$14:$K$20,9)/30))</f>
        <v>1.3762396295725861</v>
      </c>
      <c r="BL180" s="172">
        <f ca="1">(VLOOKUP(BL$72,INDIRECT($C$5&amp;"生成成长"),2))/((VLOOKUP($B180,INDIRECT($B$5&amp;"生成成长"),4))/(VLOOKUP(BL$72,INDIRECT($C$5&amp;"生成成长"),5))*(VLOOKUP($B$5,标准坦克设计!$B$24:$U$30,MATCH("对"&amp;LEFT($C$5,2)&amp;"输出",标准坦克设计!$B$23:$U$23,0)))*(VLOOKUP($B180,INDIRECT($B$5&amp;"生成成长"),3))*(VLOOKUP($B$5,标准坦克设计!$B$14:$K$20,9)/30))</f>
        <v>1.5231568542203999</v>
      </c>
      <c r="BM180" s="172">
        <f ca="1">(VLOOKUP(BM$72,INDIRECT($C$5&amp;"生成成长"),2))/((VLOOKUP($B180,INDIRECT($B$5&amp;"生成成长"),4))/(VLOOKUP(BM$72,INDIRECT($C$5&amp;"生成成长"),5))*(VLOOKUP($B$5,标准坦克设计!$B$24:$U$30,MATCH("对"&amp;LEFT($C$5,2)&amp;"输出",标准坦克设计!$B$23:$U$23,0)))*(VLOOKUP($B180,INDIRECT($B$5&amp;"生成成长"),3))*(VLOOKUP($B$5,标准坦克设计!$B$14:$K$20,9)/30))</f>
        <v>1.6775234029348631</v>
      </c>
      <c r="BN180" s="172">
        <f ca="1">(VLOOKUP(BN$72,INDIRECT($C$5&amp;"生成成长"),2))/((VLOOKUP($B180,INDIRECT($B$5&amp;"生成成长"),4))/(VLOOKUP(BN$72,INDIRECT($C$5&amp;"生成成长"),5))*(VLOOKUP($B$5,标准坦克设计!$B$24:$U$30,MATCH("对"&amp;LEFT($C$5,2)&amp;"输出",标准坦克设计!$B$23:$U$23,0)))*(VLOOKUP($B180,INDIRECT($B$5&amp;"生成成长"),3))*(VLOOKUP($B$5,标准坦克设计!$B$14:$K$20,9)/30))</f>
        <v>1.8393392757159763</v>
      </c>
      <c r="BO180" s="172">
        <f ca="1">(VLOOKUP(BO$72,INDIRECT($C$5&amp;"生成成长"),2))/((VLOOKUP($B180,INDIRECT($B$5&amp;"生成成长"),4))/(VLOOKUP(BO$72,INDIRECT($C$5&amp;"生成成长"),5))*(VLOOKUP($B$5,标准坦克设计!$B$24:$U$30,MATCH("对"&amp;LEFT($C$5,2)&amp;"输出",标准坦克设计!$B$23:$U$23,0)))*(VLOOKUP($B180,INDIRECT($B$5&amp;"生成成长"),3))*(VLOOKUP($B$5,标准坦克设计!$B$14:$K$20,9)/30))</f>
        <v>2.0086044725637389</v>
      </c>
      <c r="BP180" s="172">
        <f ca="1">(VLOOKUP(BP$72,INDIRECT($C$5&amp;"生成成长"),2))/((VLOOKUP($B180,INDIRECT($B$5&amp;"生成成长"),4))/(VLOOKUP(BP$72,INDIRECT($C$5&amp;"生成成长"),5))*(VLOOKUP($B$5,标准坦克设计!$B$24:$U$30,MATCH("对"&amp;LEFT($C$5,2)&amp;"输出",标准坦克设计!$B$23:$U$23,0)))*(VLOOKUP($B180,INDIRECT($B$5&amp;"生成成长"),3))*(VLOOKUP($B$5,标准坦克设计!$B$14:$K$20,9)/30))</f>
        <v>2.185318993478151</v>
      </c>
      <c r="BQ180" s="172">
        <f ca="1">(VLOOKUP(BQ$72,INDIRECT($C$5&amp;"生成成长"),2))/((VLOOKUP($B180,INDIRECT($B$5&amp;"生成成长"),4))/(VLOOKUP(BQ$72,INDIRECT($C$5&amp;"生成成长"),5))*(VLOOKUP($B$5,标准坦克设计!$B$24:$U$30,MATCH("对"&amp;LEFT($C$5,2)&amp;"输出",标准坦克设计!$B$23:$U$23,0)))*(VLOOKUP($B180,INDIRECT($B$5&amp;"生成成长"),3))*(VLOOKUP($B$5,标准坦克设计!$B$14:$K$20,9)/30))</f>
        <v>2.3694828384592137</v>
      </c>
      <c r="BR180" s="172">
        <f ca="1">(VLOOKUP(BR$72,INDIRECT($C$5&amp;"生成成长"),2))/((VLOOKUP($B180,INDIRECT($B$5&amp;"生成成长"),4))/(VLOOKUP(BR$72,INDIRECT($C$5&amp;"生成成长"),5))*(VLOOKUP($B$5,标准坦克设计!$B$24:$U$30,MATCH("对"&amp;LEFT($C$5,2)&amp;"输出",标准坦克设计!$B$23:$U$23,0)))*(VLOOKUP($B180,INDIRECT($B$5&amp;"生成成长"),3))*(VLOOKUP($B$5,标准坦克设计!$B$14:$K$20,9)/30))</f>
        <v>2.5828461944422658</v>
      </c>
      <c r="BS180" s="172">
        <f ca="1">(VLOOKUP(BS$72,INDIRECT($C$5&amp;"生成成长"),2))/((VLOOKUP($B180,INDIRECT($B$5&amp;"生成成长"),4))/(VLOOKUP(BS$72,INDIRECT($C$5&amp;"生成成长"),5))*(VLOOKUP($B$5,标准坦克设计!$B$24:$U$30,MATCH("对"&amp;LEFT($C$5,2)&amp;"输出",标准坦克设计!$B$23:$U$23,0)))*(VLOOKUP($B180,INDIRECT($B$5&amp;"生成成长"),3))*(VLOOKUP($B$5,标准坦克设计!$B$14:$K$20,9)/30))</f>
        <v>2.8054062468038992</v>
      </c>
      <c r="BT180" s="172">
        <f ca="1">(VLOOKUP(BT$72,INDIRECT($C$5&amp;"生成成长"),2))/((VLOOKUP($B180,INDIRECT($B$5&amp;"生成成长"),4))/(VLOOKUP(BT$72,INDIRECT($C$5&amp;"生成成长"),5))*(VLOOKUP($B$5,标准坦克设计!$B$24:$U$30,MATCH("对"&amp;LEFT($C$5,2)&amp;"输出",标准坦克设计!$B$23:$U$23,0)))*(VLOOKUP($B180,INDIRECT($B$5&amp;"生成成长"),3))*(VLOOKUP($B$5,标准坦克设计!$B$14:$K$20,9)/30))</f>
        <v>3.037162995544112</v>
      </c>
      <c r="BU180" s="172">
        <f ca="1">(VLOOKUP(BU$72,INDIRECT($C$5&amp;"生成成长"),2))/((VLOOKUP($B180,INDIRECT($B$5&amp;"生成成长"),4))/(VLOOKUP(BU$72,INDIRECT($C$5&amp;"生成成长"),5))*(VLOOKUP($B$5,标准坦克设计!$B$24:$U$30,MATCH("对"&amp;LEFT($C$5,2)&amp;"输出",标准坦克设计!$B$23:$U$23,0)))*(VLOOKUP($B180,INDIRECT($B$5&amp;"生成成长"),3))*(VLOOKUP($B$5,标准坦克设计!$B$14:$K$20,9)/30))</f>
        <v>3.2781164406629055</v>
      </c>
      <c r="BV180" s="172">
        <f ca="1">(VLOOKUP(BV$72,INDIRECT($C$5&amp;"生成成长"),2))/((VLOOKUP($B180,INDIRECT($B$5&amp;"生成成长"),4))/(VLOOKUP(BV$72,INDIRECT($C$5&amp;"生成成长"),5))*(VLOOKUP($B$5,标准坦克设计!$B$24:$U$30,MATCH("对"&amp;LEFT($C$5,2)&amp;"输出",标准坦克设计!$B$23:$U$23,0)))*(VLOOKUP($B180,INDIRECT($B$5&amp;"生成成长"),3))*(VLOOKUP($B$5,标准坦克设计!$B$14:$K$20,9)/30))</f>
        <v>3.5282665821602781</v>
      </c>
      <c r="BW180" s="172">
        <f ca="1">(VLOOKUP(BW$72,INDIRECT($C$5&amp;"生成成长"),2))/((VLOOKUP($B180,INDIRECT($B$5&amp;"生成成长"),4))/(VLOOKUP(BW$72,INDIRECT($C$5&amp;"生成成长"),5))*(VLOOKUP($B$5,标准坦克设计!$B$24:$U$30,MATCH("对"&amp;LEFT($C$5,2)&amp;"输出",标准坦克设计!$B$23:$U$23,0)))*(VLOOKUP($B180,INDIRECT($B$5&amp;"生成成长"),3))*(VLOOKUP($B$5,标准坦克设计!$B$14:$K$20,9)/30))</f>
        <v>1.6079963783127991</v>
      </c>
      <c r="BX180" s="172">
        <f ca="1">(VLOOKUP(BX$72,INDIRECT($C$5&amp;"生成成长"),2))/((VLOOKUP($B180,INDIRECT($B$5&amp;"生成成长"),4))/(VLOOKUP(BX$72,INDIRECT($C$5&amp;"生成成长"),5))*(VLOOKUP($B$5,标准坦克设计!$B$24:$U$30,MATCH("对"&amp;LEFT($C$5,2)&amp;"输出",标准坦克设计!$B$23:$U$23,0)))*(VLOOKUP($B180,INDIRECT($B$5&amp;"生成成长"),3))*(VLOOKUP($B$5,标准坦克设计!$B$14:$K$20,9)/30))</f>
        <v>1.7845729487815327</v>
      </c>
      <c r="BY180" s="172">
        <f ca="1">(VLOOKUP(BY$72,INDIRECT($C$5&amp;"生成成长"),2))/((VLOOKUP($B180,INDIRECT($B$5&amp;"生成成长"),4))/(VLOOKUP(BY$72,INDIRECT($C$5&amp;"生成成长"),5))*(VLOOKUP($B$5,标准坦克设计!$B$24:$U$30,MATCH("对"&amp;LEFT($C$5,2)&amp;"输出",标准坦克设计!$B$23:$U$23,0)))*(VLOOKUP($B180,INDIRECT($B$5&amp;"生成成长"),3))*(VLOOKUP($B$5,标准坦克设计!$B$14:$K$20,9)/30))</f>
        <v>1.9703462156288463</v>
      </c>
      <c r="BZ180" s="172">
        <f ca="1">(VLOOKUP(BZ$72,INDIRECT($C$5&amp;"生成成长"),2))/((VLOOKUP($B180,INDIRECT($B$5&amp;"生成成长"),4))/(VLOOKUP(BZ$72,INDIRECT($C$5&amp;"生成成长"),5))*(VLOOKUP($B$5,标准坦克设计!$B$24:$U$30,MATCH("对"&amp;LEFT($C$5,2)&amp;"输出",标准坦克设计!$B$23:$U$23,0)))*(VLOOKUP($B180,INDIRECT($B$5&amp;"生成成长"),3))*(VLOOKUP($B$5,标准坦克设计!$B$14:$K$20,9)/30))</f>
        <v>2.1653161788547397</v>
      </c>
      <c r="CA180" s="172">
        <f ca="1">(VLOOKUP(CA$72,INDIRECT($C$5&amp;"生成成长"),2))/((VLOOKUP($B180,INDIRECT($B$5&amp;"生成成长"),4))/(VLOOKUP(CA$72,INDIRECT($C$5&amp;"生成成长"),5))*(VLOOKUP($B$5,标准坦克设计!$B$24:$U$30,MATCH("对"&amp;LEFT($C$5,2)&amp;"输出",标准坦克设计!$B$23:$U$23,0)))*(VLOOKUP($B180,INDIRECT($B$5&amp;"生成成长"),3))*(VLOOKUP($B$5,标准坦克设计!$B$14:$K$20,9)/30))</f>
        <v>2.3694828384592137</v>
      </c>
      <c r="CB180" s="172">
        <f ca="1">(VLOOKUP(CB$72,INDIRECT($C$5&amp;"生成成长"),2))/((VLOOKUP($B180,INDIRECT($B$5&amp;"生成成长"),4))/(VLOOKUP(CB$72,INDIRECT($C$5&amp;"生成成长"),5))*(VLOOKUP($B$5,标准坦克设计!$B$24:$U$30,MATCH("对"&amp;LEFT($C$5,2)&amp;"输出",标准坦克设计!$B$23:$U$23,0)))*(VLOOKUP($B180,INDIRECT($B$5&amp;"生成成长"),3))*(VLOOKUP($B$5,标准坦克设计!$B$14:$K$20,9)/30))</f>
        <v>2.5828461944422658</v>
      </c>
      <c r="CC180" s="172">
        <f ca="1">(VLOOKUP(CC$72,INDIRECT($C$5&amp;"生成成长"),2))/((VLOOKUP($B180,INDIRECT($B$5&amp;"生成成长"),4))/(VLOOKUP(CC$72,INDIRECT($C$5&amp;"生成成长"),5))*(VLOOKUP($B$5,标准坦克设计!$B$24:$U$30,MATCH("对"&amp;LEFT($C$5,2)&amp;"输出",标准坦克设计!$B$23:$U$23,0)))*(VLOOKUP($B180,INDIRECT($B$5&amp;"生成成长"),3))*(VLOOKUP($B$5,标准坦克设计!$B$14:$K$20,9)/30))</f>
        <v>2.8054062468038992</v>
      </c>
      <c r="CD180" s="172">
        <f ca="1">(VLOOKUP(CD$72,INDIRECT($C$5&amp;"生成成长"),2))/((VLOOKUP($B180,INDIRECT($B$5&amp;"生成成长"),4))/(VLOOKUP(CD$72,INDIRECT($C$5&amp;"生成成长"),5))*(VLOOKUP($B$5,标准坦克设计!$B$24:$U$30,MATCH("对"&amp;LEFT($C$5,2)&amp;"输出",标准坦克设计!$B$23:$U$23,0)))*(VLOOKUP($B180,INDIRECT($B$5&amp;"生成成长"),3))*(VLOOKUP($B$5,标准坦克设计!$B$14:$K$20,9)/30))</f>
        <v>3.037162995544112</v>
      </c>
      <c r="CE180" s="172">
        <f ca="1">(VLOOKUP(CE$72,INDIRECT($C$5&amp;"生成成长"),2))/((VLOOKUP($B180,INDIRECT($B$5&amp;"生成成长"),4))/(VLOOKUP(CE$72,INDIRECT($C$5&amp;"生成成长"),5))*(VLOOKUP($B$5,标准坦克设计!$B$24:$U$30,MATCH("对"&amp;LEFT($C$5,2)&amp;"输出",标准坦克设计!$B$23:$U$23,0)))*(VLOOKUP($B180,INDIRECT($B$5&amp;"生成成长"),3))*(VLOOKUP($B$5,标准坦克设计!$B$14:$K$20,9)/30))</f>
        <v>3.2781164406629055</v>
      </c>
      <c r="CF180" s="172">
        <f ca="1">(VLOOKUP(CF$72,INDIRECT($C$5&amp;"生成成长"),2))/((VLOOKUP($B180,INDIRECT($B$5&amp;"生成成长"),4))/(VLOOKUP(CF$72,INDIRECT($C$5&amp;"生成成长"),5))*(VLOOKUP($B$5,标准坦克设计!$B$24:$U$30,MATCH("对"&amp;LEFT($C$5,2)&amp;"输出",标准坦克设计!$B$23:$U$23,0)))*(VLOOKUP($B180,INDIRECT($B$5&amp;"生成成长"),3))*(VLOOKUP($B$5,标准坦克设计!$B$14:$K$20,9)/30))</f>
        <v>3.5282665821602781</v>
      </c>
      <c r="CG180" s="172">
        <f ca="1">(VLOOKUP(CG$72,INDIRECT($C$5&amp;"生成成长"),2))/((VLOOKUP($B180,INDIRECT($B$5&amp;"生成成长"),4))/(VLOOKUP(CG$72,INDIRECT($C$5&amp;"生成成长"),5))*(VLOOKUP($B$5,标准坦克设计!$B$24:$U$30,MATCH("对"&amp;LEFT($C$5,2)&amp;"输出",标准坦克设计!$B$23:$U$23,0)))*(VLOOKUP($B180,INDIRECT($B$5&amp;"生成成长"),3))*(VLOOKUP($B$5,标准坦克设计!$B$14:$K$20,9)/30))</f>
        <v>3.7876134200362301</v>
      </c>
      <c r="CH180" s="172">
        <f ca="1">(VLOOKUP(CH$72,INDIRECT($C$5&amp;"生成成长"),2))/((VLOOKUP($B180,INDIRECT($B$5&amp;"生成成长"),4))/(VLOOKUP(CH$72,INDIRECT($C$5&amp;"生成成长"),5))*(VLOOKUP($B$5,标准坦克设计!$B$24:$U$30,MATCH("对"&amp;LEFT($C$5,2)&amp;"输出",标准坦克设计!$B$23:$U$23,0)))*(VLOOKUP($B180,INDIRECT($B$5&amp;"生成成长"),3))*(VLOOKUP($B$5,标准坦克设计!$B$14:$K$20,9)/30))</f>
        <v>4.0561569542907625</v>
      </c>
      <c r="CI180" s="172">
        <f ca="1">(VLOOKUP(CI$72,INDIRECT($C$5&amp;"生成成长"),2))/((VLOOKUP($B180,INDIRECT($B$5&amp;"生成成长"),4))/(VLOOKUP(CI$72,INDIRECT($C$5&amp;"生成成长"),5))*(VLOOKUP($B$5,标准坦克设计!$B$24:$U$30,MATCH("对"&amp;LEFT($C$5,2)&amp;"输出",标准坦克设计!$B$23:$U$23,0)))*(VLOOKUP($B180,INDIRECT($B$5&amp;"生成成长"),3))*(VLOOKUP($B$5,标准坦克设计!$B$14:$K$20,9)/30))</f>
        <v>4.3621770262880082</v>
      </c>
      <c r="CJ180" s="172">
        <f ca="1">(VLOOKUP(CJ$72,INDIRECT($C$5&amp;"生成成长"),2))/((VLOOKUP($B180,INDIRECT($B$5&amp;"生成成长"),4))/(VLOOKUP(CJ$72,INDIRECT($C$5&amp;"生成成长"),5))*(VLOOKUP($B$5,标准坦克设计!$B$24:$U$30,MATCH("对"&amp;LEFT($C$5,2)&amp;"输出",标准坦克设计!$B$23:$U$23,0)))*(VLOOKUP($B180,INDIRECT($B$5&amp;"生成成长"),3))*(VLOOKUP($B$5,标准坦克设计!$B$14:$K$20,9)/30))</f>
        <v>4.6793251009033359</v>
      </c>
      <c r="CK180" s="172">
        <f ca="1">(VLOOKUP(CK$72,INDIRECT($C$5&amp;"生成成长"),2))/((VLOOKUP($B180,INDIRECT($B$5&amp;"生成成长"),4))/(VLOOKUP(CK$72,INDIRECT($C$5&amp;"生成成长"),5))*(VLOOKUP($B$5,标准坦克设计!$B$24:$U$30,MATCH("对"&amp;LEFT($C$5,2)&amp;"输出",标准坦克设计!$B$23:$U$23,0)))*(VLOOKUP($B180,INDIRECT($B$5&amp;"生成成长"),3))*(VLOOKUP($B$5,标准坦克设计!$B$14:$K$20,9)/30))</f>
        <v>5.0076011781367447</v>
      </c>
      <c r="CL180" s="172">
        <f ca="1">(VLOOKUP(CL$72,INDIRECT($C$5&amp;"生成成长"),2))/((VLOOKUP($B180,INDIRECT($B$5&amp;"生成成长"),4))/(VLOOKUP(CL$72,INDIRECT($C$5&amp;"生成成长"),5))*(VLOOKUP($B$5,标准坦克设计!$B$24:$U$30,MATCH("对"&amp;LEFT($C$5,2)&amp;"输出",标准坦克设计!$B$23:$U$23,0)))*(VLOOKUP($B180,INDIRECT($B$5&amp;"生成成长"),3))*(VLOOKUP($B$5,标准坦克设计!$B$14:$K$20,9)/30))</f>
        <v>5.3470052579882354</v>
      </c>
      <c r="CM180" s="172">
        <f ca="1">(VLOOKUP(CM$72,INDIRECT($C$5&amp;"生成成长"),2))/((VLOOKUP($B180,INDIRECT($B$5&amp;"生成成长"),4))/(VLOOKUP(CM$72,INDIRECT($C$5&amp;"生成成长"),5))*(VLOOKUP($B$5,标准坦克设计!$B$24:$U$30,MATCH("对"&amp;LEFT($C$5,2)&amp;"输出",标准坦克设计!$B$23:$U$23,0)))*(VLOOKUP($B180,INDIRECT($B$5&amp;"生成成长"),3))*(VLOOKUP($B$5,标准坦克设计!$B$14:$K$20,9)/30))</f>
        <v>5.6975373404578082</v>
      </c>
      <c r="CN180" s="172">
        <f ca="1">(VLOOKUP(CN$72,INDIRECT($C$5&amp;"生成成长"),2))/((VLOOKUP($B180,INDIRECT($B$5&amp;"生成成长"),4))/(VLOOKUP(CN$72,INDIRECT($C$5&amp;"生成成长"),5))*(VLOOKUP($B$5,标准坦克设计!$B$24:$U$30,MATCH("对"&amp;LEFT($C$5,2)&amp;"输出",标准坦克设计!$B$23:$U$23,0)))*(VLOOKUP($B180,INDIRECT($B$5&amp;"生成成长"),3))*(VLOOKUP($B$5,标准坦克设计!$B$14:$K$20,9)/30))</f>
        <v>6.0591974255454595</v>
      </c>
      <c r="CO180" s="172">
        <f ca="1">(VLOOKUP(CO$72,INDIRECT($C$5&amp;"生成成长"),2))/((VLOOKUP($B180,INDIRECT($B$5&amp;"生成成长"),4))/(VLOOKUP(CO$72,INDIRECT($C$5&amp;"生成成长"),5))*(VLOOKUP($B$5,标准坦克设计!$B$24:$U$30,MATCH("对"&amp;LEFT($C$5,2)&amp;"输出",标准坦克设计!$B$23:$U$23,0)))*(VLOOKUP($B180,INDIRECT($B$5&amp;"生成成长"),3))*(VLOOKUP($B$5,标准坦克设计!$B$14:$K$20,9)/30))</f>
        <v>2.7152786222938166</v>
      </c>
      <c r="CP180" s="172">
        <f ca="1">(VLOOKUP(CP$72,INDIRECT($C$5&amp;"生成成长"),2))/((VLOOKUP($B180,INDIRECT($B$5&amp;"生成成长"),4))/(VLOOKUP(CP$72,INDIRECT($C$5&amp;"生成成长"),5))*(VLOOKUP($B$5,标准坦克设计!$B$24:$U$30,MATCH("对"&amp;LEFT($C$5,2)&amp;"输出",标准坦克设计!$B$23:$U$23,0)))*(VLOOKUP($B180,INDIRECT($B$5&amp;"生成成长"),3))*(VLOOKUP($B$5,标准坦克设计!$B$14:$K$20,9)/30))</f>
        <v>2.966670317802298</v>
      </c>
      <c r="CQ180" s="172">
        <f ca="1">(VLOOKUP(CQ$72,INDIRECT($C$5&amp;"生成成长"),2))/((VLOOKUP($B180,INDIRECT($B$5&amp;"生成成长"),4))/(VLOOKUP(CQ$72,INDIRECT($C$5&amp;"生成成长"),5))*(VLOOKUP($B$5,标准坦克设计!$B$24:$U$30,MATCH("对"&amp;LEFT($C$5,2)&amp;"输出",标准坦克设计!$B$23:$U$23,0)))*(VLOOKUP($B180,INDIRECT($B$5&amp;"生成成长"),3))*(VLOOKUP($B$5,标准坦克设计!$B$14:$K$20,9)/30))</f>
        <v>3.22919001592886</v>
      </c>
      <c r="CR180" s="172">
        <f ca="1">(VLOOKUP(CR$72,INDIRECT($C$5&amp;"生成成长"),2))/((VLOOKUP($B180,INDIRECT($B$5&amp;"生成成长"),4))/(VLOOKUP(CR$72,INDIRECT($C$5&amp;"生成成长"),5))*(VLOOKUP($B$5,标准坦克设计!$B$24:$U$30,MATCH("对"&amp;LEFT($C$5,2)&amp;"输出",标准坦克设计!$B$23:$U$23,0)))*(VLOOKUP($B180,INDIRECT($B$5&amp;"生成成长"),3))*(VLOOKUP($B$5,标准坦克设计!$B$14:$K$20,9)/30))</f>
        <v>3.5028377166735041</v>
      </c>
      <c r="CS180" s="172">
        <f ca="1">(VLOOKUP(CS$72,INDIRECT($C$5&amp;"生成成长"),2))/((VLOOKUP($B180,INDIRECT($B$5&amp;"生成成长"),4))/(VLOOKUP(CS$72,INDIRECT($C$5&amp;"生成成长"),5))*(VLOOKUP($B$5,标准坦克设计!$B$24:$U$30,MATCH("对"&amp;LEFT($C$5,2)&amp;"输出",标准坦克设计!$B$23:$U$23,0)))*(VLOOKUP($B180,INDIRECT($B$5&amp;"生成成长"),3))*(VLOOKUP($B$5,标准坦克设计!$B$14:$K$20,9)/30))</f>
        <v>3.7876134200362301</v>
      </c>
      <c r="CT180" s="172">
        <f ca="1">(VLOOKUP(CT$72,INDIRECT($C$5&amp;"生成成长"),2))/((VLOOKUP($B180,INDIRECT($B$5&amp;"生成成长"),4))/(VLOOKUP(CT$72,INDIRECT($C$5&amp;"生成成长"),5))*(VLOOKUP($B$5,标准坦克设计!$B$24:$U$30,MATCH("对"&amp;LEFT($C$5,2)&amp;"输出",标准坦克设计!$B$23:$U$23,0)))*(VLOOKUP($B180,INDIRECT($B$5&amp;"生成成长"),3))*(VLOOKUP($B$5,标准坦克设计!$B$14:$K$20,9)/30))</f>
        <v>4.0835171260170382</v>
      </c>
      <c r="CU180" s="172">
        <f ca="1">(VLOOKUP(CU$72,INDIRECT($C$5&amp;"生成成长"),2))/((VLOOKUP($B180,INDIRECT($B$5&amp;"生成成长"),4))/(VLOOKUP(CU$72,INDIRECT($C$5&amp;"生成成长"),5))*(VLOOKUP($B$5,标准坦克设计!$B$24:$U$30,MATCH("对"&amp;LEFT($C$5,2)&amp;"输出",标准坦克设计!$B$23:$U$23,0)))*(VLOOKUP($B180,INDIRECT($B$5&amp;"生成成长"),3))*(VLOOKUP($B$5,标准坦克设计!$B$14:$K$20,9)/30))</f>
        <v>4.3905488346159283</v>
      </c>
      <c r="CV180" s="172">
        <f ca="1">(VLOOKUP(CV$72,INDIRECT($C$5&amp;"生成成长"),2))/((VLOOKUP($B180,INDIRECT($B$5&amp;"生成成长"),4))/(VLOOKUP(CV$72,INDIRECT($C$5&amp;"生成成长"),5))*(VLOOKUP($B$5,标准坦克设计!$B$24:$U$30,MATCH("对"&amp;LEFT($C$5,2)&amp;"输出",标准坦克设计!$B$23:$U$23,0)))*(VLOOKUP($B180,INDIRECT($B$5&amp;"生成成长"),3))*(VLOOKUP($B$5,标准坦克设计!$B$14:$K$20,9)/30))</f>
        <v>4.7087085458328986</v>
      </c>
      <c r="CW180" s="172">
        <f ca="1">(VLOOKUP(CW$72,INDIRECT($C$5&amp;"生成成长"),2))/((VLOOKUP($B180,INDIRECT($B$5&amp;"生成成长"),4))/(VLOOKUP(CW$72,INDIRECT($C$5&amp;"生成成长"),5))*(VLOOKUP($B$5,标准坦克设计!$B$24:$U$30,MATCH("对"&amp;LEFT($C$5,2)&amp;"输出",标准坦克设计!$B$23:$U$23,0)))*(VLOOKUP($B180,INDIRECT($B$5&amp;"生成成长"),3))*(VLOOKUP($B$5,标准坦克设计!$B$14:$K$20,9)/30))</f>
        <v>5.0379962596679517</v>
      </c>
      <c r="CX180" s="172">
        <f ca="1">(VLOOKUP(CX$72,INDIRECT($C$5&amp;"生成成长"),2))/((VLOOKUP($B180,INDIRECT($B$5&amp;"生成成长"),4))/(VLOOKUP(CX$72,INDIRECT($C$5&amp;"生成成长"),5))*(VLOOKUP($B$5,标准坦克设计!$B$24:$U$30,MATCH("对"&amp;LEFT($C$5,2)&amp;"输出",标准坦克设计!$B$23:$U$23,0)))*(VLOOKUP($B180,INDIRECT($B$5&amp;"生成成长"),3))*(VLOOKUP($B$5,标准坦克设计!$B$14:$K$20,9)/30))</f>
        <v>5.3784119761210842</v>
      </c>
      <c r="CY180" s="172">
        <f ca="1">(VLOOKUP(CY$72,INDIRECT($C$5&amp;"生成成长"),2))/((VLOOKUP($B180,INDIRECT($B$5&amp;"生成成长"),4))/(VLOOKUP(CY$72,INDIRECT($C$5&amp;"生成成长"),5))*(VLOOKUP($B$5,标准坦克设计!$B$24:$U$30,MATCH("对"&amp;LEFT($C$5,2)&amp;"输出",标准坦克设计!$B$23:$U$23,0)))*(VLOOKUP($B180,INDIRECT($B$5&amp;"生成成长"),3))*(VLOOKUP($B$5,标准坦克设计!$B$14:$K$20,9)/30))</f>
        <v>5.7299556951923005</v>
      </c>
      <c r="CZ180" s="172">
        <f ca="1">(VLOOKUP(CZ$72,INDIRECT($C$5&amp;"生成成长"),2))/((VLOOKUP($B180,INDIRECT($B$5&amp;"生成成长"),4))/(VLOOKUP(CZ$72,INDIRECT($C$5&amp;"生成成长"),5))*(VLOOKUP($B$5,标准坦克设计!$B$24:$U$30,MATCH("对"&amp;LEFT($C$5,2)&amp;"输出",标准坦克设计!$B$23:$U$23,0)))*(VLOOKUP($B180,INDIRECT($B$5&amp;"生成成长"),3))*(VLOOKUP($B$5,标准坦克设计!$B$14:$K$20,9)/30))</f>
        <v>6.0926274168815997</v>
      </c>
      <c r="DA180" s="172">
        <f ca="1">(VLOOKUP(DA$72,INDIRECT($C$5&amp;"生成成长"),2))/((VLOOKUP($B180,INDIRECT($B$5&amp;"生成成长"),4))/(VLOOKUP(DA$72,INDIRECT($C$5&amp;"生成成长"),5))*(VLOOKUP($B$5,标准坦克设计!$B$24:$U$30,MATCH("对"&amp;LEFT($C$5,2)&amp;"输出",标准坦克设计!$B$23:$U$23,0)))*(VLOOKUP($B180,INDIRECT($B$5&amp;"生成成长"),3))*(VLOOKUP($B$5,标准坦克设计!$B$14:$K$20,9)/30))</f>
        <v>6.4664271411889773</v>
      </c>
      <c r="DB180" s="172">
        <f ca="1">(VLOOKUP(DB$72,INDIRECT($C$5&amp;"生成成长"),2))/((VLOOKUP($B180,INDIRECT($B$5&amp;"生成成长"),4))/(VLOOKUP(DB$72,INDIRECT($C$5&amp;"生成成长"),5))*(VLOOKUP($B$5,标准坦克设计!$B$24:$U$30,MATCH("对"&amp;LEFT($C$5,2)&amp;"输出",标准坦克设计!$B$23:$U$23,0)))*(VLOOKUP($B180,INDIRECT($B$5&amp;"生成成长"),3))*(VLOOKUP($B$5,标准坦克设计!$B$14:$K$20,9)/30))</f>
        <v>6.8513548681144378</v>
      </c>
      <c r="DC180" s="172">
        <f ca="1">(VLOOKUP(DC$72,INDIRECT($C$5&amp;"生成成长"),2))/((VLOOKUP($B180,INDIRECT($B$5&amp;"生成成长"),4))/(VLOOKUP(DC$72,INDIRECT($C$5&amp;"生成成长"),5))*(VLOOKUP($B$5,标准坦克设计!$B$24:$U$30,MATCH("对"&amp;LEFT($C$5,2)&amp;"输出",标准坦克设计!$B$23:$U$23,0)))*(VLOOKUP($B180,INDIRECT($B$5&amp;"生成成长"),3))*(VLOOKUP($B$5,标准坦克设计!$B$14:$K$20,9)/30))</f>
        <v>7.2839674657628368</v>
      </c>
      <c r="DD180" s="172">
        <f ca="1">(VLOOKUP(DD$72,INDIRECT($C$5&amp;"生成成长"),2))/((VLOOKUP($B180,INDIRECT($B$5&amp;"生成成长"),4))/(VLOOKUP(DD$72,INDIRECT($C$5&amp;"生成成长"),5))*(VLOOKUP($B$5,标准坦克设计!$B$24:$U$30,MATCH("对"&amp;LEFT($C$5,2)&amp;"输出",标准坦克设计!$B$23:$U$23,0)))*(VLOOKUP($B180,INDIRECT($B$5&amp;"生成成长"),3))*(VLOOKUP($B$5,标准坦克设计!$B$14:$K$20,9)/30))</f>
        <v>7.7298233061963888</v>
      </c>
      <c r="DE180" s="172">
        <f ca="1">(VLOOKUP(DE$72,INDIRECT($C$5&amp;"生成成长"),2))/((VLOOKUP($B180,INDIRECT($B$5&amp;"生成成长"),4))/(VLOOKUP(DE$72,INDIRECT($C$5&amp;"生成成长"),5))*(VLOOKUP($B$5,标准坦克设计!$B$24:$U$30,MATCH("对"&amp;LEFT($C$5,2)&amp;"输出",标准坦克设计!$B$23:$U$23,0)))*(VLOOKUP($B180,INDIRECT($B$5&amp;"生成成长"),3))*(VLOOKUP($B$5,标准坦克设计!$B$14:$K$20,9)/30))</f>
        <v>8.1889223894150973</v>
      </c>
      <c r="DF180" s="172">
        <f ca="1">(VLOOKUP(DF$72,INDIRECT($C$5&amp;"生成成长"),2))/((VLOOKUP($B180,INDIRECT($B$5&amp;"生成成长"),4))/(VLOOKUP(DF$72,INDIRECT($C$5&amp;"生成成长"),5))*(VLOOKUP($B$5,标准坦克设计!$B$24:$U$30,MATCH("对"&amp;LEFT($C$5,2)&amp;"输出",标准坦克设计!$B$23:$U$23,0)))*(VLOOKUP($B180,INDIRECT($B$5&amp;"生成成长"),3))*(VLOOKUP($B$5,标准坦克设计!$B$14:$K$20,9)/30))</f>
        <v>8.6612647154189588</v>
      </c>
      <c r="DG180" s="172">
        <f ca="1">(VLOOKUP(DG$72,INDIRECT($C$5&amp;"生成成长"),2))/((VLOOKUP($B180,INDIRECT($B$5&amp;"生成成长"),4))/(VLOOKUP(DG$72,INDIRECT($C$5&amp;"生成成长"),5))*(VLOOKUP($B$5,标准坦克设计!$B$24:$U$30,MATCH("对"&amp;LEFT($C$5,2)&amp;"输出",标准坦克设计!$B$23:$U$23,0)))*(VLOOKUP($B180,INDIRECT($B$5&amp;"生成成长"),3))*(VLOOKUP($B$5,标准坦克设计!$B$14:$K$20,9)/30))</f>
        <v>9.1468502842079769</v>
      </c>
      <c r="DH180" s="172">
        <f ca="1">(VLOOKUP(DH$72,INDIRECT($C$5&amp;"生成成长"),2))/((VLOOKUP($B180,INDIRECT($B$5&amp;"生成成长"),4))/(VLOOKUP(DH$72,INDIRECT($C$5&amp;"生成成长"),5))*(VLOOKUP($B$5,标准坦克设计!$B$24:$U$30,MATCH("对"&amp;LEFT($C$5,2)&amp;"输出",标准坦克设计!$B$23:$U$23,0)))*(VLOOKUP($B180,INDIRECT($B$5&amp;"生成成长"),3))*(VLOOKUP($B$5,标准坦克设计!$B$14:$K$20,9)/30))</f>
        <v>9.6456790957821497</v>
      </c>
      <c r="DI180" s="172">
        <f ca="1">(VLOOKUP(DI$72,INDIRECT($C$5&amp;"生成成长"),2))/((VLOOKUP($B180,INDIRECT($B$5&amp;"生成成长"),4))/(VLOOKUP(DI$72,INDIRECT($C$5&amp;"生成成长"),5))*(VLOOKUP($B$5,标准坦克设计!$B$24:$U$30,MATCH("对"&amp;LEFT($C$5,2)&amp;"输出",标准坦克设计!$B$23:$U$23,0)))*(VLOOKUP($B180,INDIRECT($B$5&amp;"生成成长"),3))*(VLOOKUP($B$5,标准坦克设计!$B$14:$K$20,9)/30))</f>
        <v>10.157751150141477</v>
      </c>
      <c r="DJ180" s="172">
        <f ca="1">(VLOOKUP(DJ$72,INDIRECT($C$5&amp;"生成成长"),2))/((VLOOKUP($B180,INDIRECT($B$5&amp;"生成成长"),4))/(VLOOKUP(DJ$72,INDIRECT($C$5&amp;"生成成长"),5))*(VLOOKUP($B$5,标准坦克设计!$B$24:$U$30,MATCH("对"&amp;LEFT($C$5,2)&amp;"输出",标准坦克设计!$B$23:$U$23,0)))*(VLOOKUP($B180,INDIRECT($B$5&amp;"生成成长"),3))*(VLOOKUP($B$5,标准坦克设计!$B$14:$K$20,9)/30))</f>
        <v>1.0208792815042596</v>
      </c>
      <c r="DK180" s="172">
        <f ca="1">(VLOOKUP(DK$72,INDIRECT($C$5&amp;"生成成长"),2))/((VLOOKUP($B180,INDIRECT($B$5&amp;"生成成长"),4))/(VLOOKUP(DK$72,INDIRECT($C$5&amp;"生成成长"),5))*(VLOOKUP($B$5,标准坦克设计!$B$24:$U$30,MATCH("对"&amp;LEFT($C$5,2)&amp;"输出",标准坦克设计!$B$23:$U$23,0)))*(VLOOKUP($B180,INDIRECT($B$5&amp;"生成成长"),3))*(VLOOKUP($B$5,标准坦克设计!$B$14:$K$20,9)/30))</f>
        <v>1.1479316419743406</v>
      </c>
      <c r="DL180" s="172">
        <f ca="1">(VLOOKUP(DL$72,INDIRECT($C$5&amp;"生成成长"),2))/((VLOOKUP($B180,INDIRECT($B$5&amp;"生成成长"),4))/(VLOOKUP(DL$72,INDIRECT($C$5&amp;"生成成长"),5))*(VLOOKUP($B$5,标准坦克设计!$B$24:$U$30,MATCH("对"&amp;LEFT($C$5,2)&amp;"输出",标准坦克设计!$B$23:$U$23,0)))*(VLOOKUP($B180,INDIRECT($B$5&amp;"生成成长"),3))*(VLOOKUP($B$5,标准坦克设计!$B$14:$K$20,9)/30))</f>
        <v>1.2824333265110714</v>
      </c>
      <c r="DM180" s="172">
        <f ca="1">(VLOOKUP(DM$72,INDIRECT($C$5&amp;"生成成长"),2))/((VLOOKUP($B180,INDIRECT($B$5&amp;"生成成长"),4))/(VLOOKUP(DM$72,INDIRECT($C$5&amp;"生成成长"),5))*(VLOOKUP($B$5,标准坦克设计!$B$24:$U$30,MATCH("对"&amp;LEFT($C$5,2)&amp;"输出",标准坦克设计!$B$23:$U$23,0)))*(VLOOKUP($B180,INDIRECT($B$5&amp;"生成成长"),3))*(VLOOKUP($B$5,标准坦克设计!$B$14:$K$20,9)/30))</f>
        <v>1.4243843351144521</v>
      </c>
      <c r="DN180" s="172">
        <f ca="1">(VLOOKUP(DN$72,INDIRECT($C$5&amp;"生成成长"),2))/((VLOOKUP($B180,INDIRECT($B$5&amp;"生成成长"),4))/(VLOOKUP(DN$72,INDIRECT($C$5&amp;"生成成长"),5))*(VLOOKUP($B$5,标准坦克设计!$B$24:$U$30,MATCH("对"&amp;LEFT($C$5,2)&amp;"输出",标准坦克设计!$B$23:$U$23,0)))*(VLOOKUP($B180,INDIRECT($B$5&amp;"生成成长"),3))*(VLOOKUP($B$5,标准坦克设计!$B$14:$K$20,9)/30))</f>
        <v>1.5737846677844822</v>
      </c>
      <c r="DO180" s="172">
        <f ca="1">(VLOOKUP(DO$72,INDIRECT($C$5&amp;"生成成长"),2))/((VLOOKUP($B180,INDIRECT($B$5&amp;"生成成长"),4))/(VLOOKUP(DO$72,INDIRECT($C$5&amp;"生成成长"),5))*(VLOOKUP($B$5,标准坦克设计!$B$24:$U$30,MATCH("对"&amp;LEFT($C$5,2)&amp;"输出",标准坦克设计!$B$23:$U$23,0)))*(VLOOKUP($B180,INDIRECT($B$5&amp;"生成成长"),3))*(VLOOKUP($B$5,标准坦克设计!$B$14:$K$20,9)/30))</f>
        <v>1.7306343245211617</v>
      </c>
      <c r="DP180" s="172">
        <f ca="1">(VLOOKUP(DP$72,INDIRECT($C$5&amp;"生成成长"),2))/((VLOOKUP($B180,INDIRECT($B$5&amp;"生成成长"),4))/(VLOOKUP(DP$72,INDIRECT($C$5&amp;"生成成长"),5))*(VLOOKUP($B$5,标准坦克设计!$B$24:$U$30,MATCH("对"&amp;LEFT($C$5,2)&amp;"输出",标准坦克设计!$B$23:$U$23,0)))*(VLOOKUP($B180,INDIRECT($B$5&amp;"生成成长"),3))*(VLOOKUP($B$5,标准坦克设计!$B$14:$K$20,9)/30))</f>
        <v>1.8949333053244914</v>
      </c>
      <c r="DQ180" s="172">
        <f ca="1">(VLOOKUP(DQ$72,INDIRECT($C$5&amp;"生成成长"),2))/((VLOOKUP($B180,INDIRECT($B$5&amp;"生成成长"),4))/(VLOOKUP(DQ$72,INDIRECT($C$5&amp;"生成成长"),5))*(VLOOKUP($B$5,标准坦克设计!$B$24:$U$30,MATCH("对"&amp;LEFT($C$5,2)&amp;"输出",标准坦克设计!$B$23:$U$23,0)))*(VLOOKUP($B180,INDIRECT($B$5&amp;"生成成长"),3))*(VLOOKUP($B$5,标准坦克设计!$B$14:$K$20,9)/30))</f>
        <v>2.0666816101944705</v>
      </c>
      <c r="DR180" s="172">
        <f ca="1">(VLOOKUP(DR$72,INDIRECT($C$5&amp;"生成成长"),2))/((VLOOKUP($B180,INDIRECT($B$5&amp;"生成成长"),4))/(VLOOKUP(DR$72,INDIRECT($C$5&amp;"生成成长"),5))*(VLOOKUP($B$5,标准坦克设计!$B$24:$U$30,MATCH("对"&amp;LEFT($C$5,2)&amp;"输出",标准坦克设计!$B$23:$U$23,0)))*(VLOOKUP($B180,INDIRECT($B$5&amp;"生成成长"),3))*(VLOOKUP($B$5,标准坦克设计!$B$14:$K$20,9)/30))</f>
        <v>2.2458792391310993</v>
      </c>
      <c r="DS180" s="172">
        <f ca="1">(VLOOKUP(DS$72,INDIRECT($C$5&amp;"生成成长"),2))/((VLOOKUP($B180,INDIRECT($B$5&amp;"生成成长"),4))/(VLOOKUP(DS$72,INDIRECT($C$5&amp;"生成成长"),5))*(VLOOKUP($B$5,标准坦克设计!$B$24:$U$30,MATCH("对"&amp;LEFT($C$5,2)&amp;"输出",标准坦克设计!$B$23:$U$23,0)))*(VLOOKUP($B180,INDIRECT($B$5&amp;"生成成长"),3))*(VLOOKUP($B$5,标准坦克设计!$B$14:$K$20,9)/30))</f>
        <v>2.4325261921343784</v>
      </c>
      <c r="DT180" s="172">
        <f ca="1">(VLOOKUP(DT$72,INDIRECT($C$5&amp;"生成成长"),2))/((VLOOKUP($B180,INDIRECT($B$5&amp;"生成成长"),4))/(VLOOKUP(DT$72,INDIRECT($C$5&amp;"生成成长"),5))*(VLOOKUP($B$5,标准坦克设计!$B$24:$U$30,MATCH("对"&amp;LEFT($C$5,2)&amp;"输出",标准坦克设计!$B$23:$U$23,0)))*(VLOOKUP($B180,INDIRECT($B$5&amp;"生成成长"),3))*(VLOOKUP($B$5,标准坦克设计!$B$14:$K$20,9)/30))</f>
        <v>2.6707666118214903</v>
      </c>
      <c r="DU180" s="172">
        <f ca="1">(VLOOKUP(DU$72,INDIRECT($C$5&amp;"生成成长"),2))/((VLOOKUP($B180,INDIRECT($B$5&amp;"生成成长"),4))/(VLOOKUP(DU$72,INDIRECT($C$5&amp;"生成成长"),5))*(VLOOKUP($B$5,标准坦克设计!$B$24:$U$30,MATCH("对"&amp;LEFT($C$5,2)&amp;"输出",标准坦克设计!$B$23:$U$23,0)))*(VLOOKUP($B180,INDIRECT($B$5&amp;"生成成长"),3))*(VLOOKUP($B$5,标准坦克设计!$B$14:$K$20,9)/30))</f>
        <v>2.9201350341266834</v>
      </c>
      <c r="DV180" s="172">
        <f ca="1">(VLOOKUP(DV$72,INDIRECT($C$5&amp;"生成成长"),2))/((VLOOKUP($B180,INDIRECT($B$5&amp;"生成成长"),4))/(VLOOKUP(DV$72,INDIRECT($C$5&amp;"生成成长"),5))*(VLOOKUP($B$5,标准坦克设计!$B$24:$U$30,MATCH("对"&amp;LEFT($C$5,2)&amp;"输出",标准坦克设计!$B$23:$U$23,0)))*(VLOOKUP($B180,INDIRECT($B$5&amp;"生成成长"),3))*(VLOOKUP($B$5,标准坦克设计!$B$14:$K$20,9)/30))</f>
        <v>3.1806314590499585</v>
      </c>
      <c r="DW180" s="172">
        <f ca="1">(VLOOKUP(DW$72,INDIRECT($C$5&amp;"生成成长"),2))/((VLOOKUP($B180,INDIRECT($B$5&amp;"生成成长"),4))/(VLOOKUP(DW$72,INDIRECT($C$5&amp;"生成成长"),5))*(VLOOKUP($B$5,标准坦克设计!$B$24:$U$30,MATCH("对"&amp;LEFT($C$5,2)&amp;"输出",标准坦克设计!$B$23:$U$23,0)))*(VLOOKUP($B180,INDIRECT($B$5&amp;"生成成长"),3))*(VLOOKUP($B$5,标准坦克设计!$B$14:$K$20,9)/30))</f>
        <v>3.4522558865913155</v>
      </c>
      <c r="DX180" s="172">
        <f ca="1">(VLOOKUP(DX$72,INDIRECT($C$5&amp;"生成成长"),2))/((VLOOKUP($B180,INDIRECT($B$5&amp;"生成成长"),4))/(VLOOKUP(DX$72,INDIRECT($C$5&amp;"生成成长"),5))*(VLOOKUP($B$5,标准坦克设计!$B$24:$U$30,MATCH("对"&amp;LEFT($C$5,2)&amp;"输出",标准坦克设计!$B$23:$U$23,0)))*(VLOOKUP($B180,INDIRECT($B$5&amp;"生成成长"),3))*(VLOOKUP($B$5,标准坦克设计!$B$14:$K$20,9)/30))</f>
        <v>3.7350083167507537</v>
      </c>
      <c r="DY180" s="172">
        <f ca="1">(VLOOKUP(DY$72,INDIRECT($C$5&amp;"生成成长"),2))/((VLOOKUP($B180,INDIRECT($B$5&amp;"生成成长"),4))/(VLOOKUP(DY$72,INDIRECT($C$5&amp;"生成成长"),5))*(VLOOKUP($B$5,标准坦克设计!$B$24:$U$30,MATCH("对"&amp;LEFT($C$5,2)&amp;"输出",标准坦克设计!$B$23:$U$23,0)))*(VLOOKUP($B180,INDIRECT($B$5&amp;"生成成长"),3))*(VLOOKUP($B$5,标准坦克设计!$B$14:$K$20,9)/30))</f>
        <v>1.6775234029348631</v>
      </c>
      <c r="DZ180" s="172">
        <f ca="1">(VLOOKUP(DZ$72,INDIRECT($C$5&amp;"生成成长"),2))/((VLOOKUP($B180,INDIRECT($B$5&amp;"生成成长"),4))/(VLOOKUP(DZ$72,INDIRECT($C$5&amp;"生成成长"),5))*(VLOOKUP($B$5,标准坦克设计!$B$24:$U$30,MATCH("对"&amp;LEFT($C$5,2)&amp;"输出",标准坦克设计!$B$23:$U$23,0)))*(VLOOKUP($B180,INDIRECT($B$5&amp;"生成成长"),3))*(VLOOKUP($B$5,标准坦克设计!$B$14:$K$20,9)/30))</f>
        <v>1.8577786519550286</v>
      </c>
      <c r="EA180" s="172">
        <f ca="1">(VLOOKUP(EA$72,INDIRECT($C$5&amp;"生成成长"),2))/((VLOOKUP($B180,INDIRECT($B$5&amp;"生成成长"),4))/(VLOOKUP(EA$72,INDIRECT($C$5&amp;"生成成长"),5))*(VLOOKUP($B$5,标准坦克设计!$B$24:$U$30,MATCH("对"&amp;LEFT($C$5,2)&amp;"输出",标准坦克设计!$B$23:$U$23,0)))*(VLOOKUP($B180,INDIRECT($B$5&amp;"生成成长"),3))*(VLOOKUP($B$5,标准坦克设计!$B$14:$K$20,9)/30))</f>
        <v>2.0472305973537743</v>
      </c>
      <c r="EB180" s="172">
        <f ca="1">(VLOOKUP(EB$72,INDIRECT($C$5&amp;"生成成长"),2))/((VLOOKUP($B180,INDIRECT($B$5&amp;"生成成长"),4))/(VLOOKUP(EB$72,INDIRECT($C$5&amp;"生成成长"),5))*(VLOOKUP($B$5,标准坦克设计!$B$24:$U$30,MATCH("对"&amp;LEFT($C$5,2)&amp;"输出",标准坦克设计!$B$23:$U$23,0)))*(VLOOKUP($B180,INDIRECT($B$5&amp;"生成成长"),3))*(VLOOKUP($B$5,标准坦克设计!$B$14:$K$20,9)/30))</f>
        <v>2.2458792391310993</v>
      </c>
      <c r="EC180" s="172">
        <f ca="1">(VLOOKUP(EC$72,INDIRECT($C$5&amp;"生成成长"),2))/((VLOOKUP($B180,INDIRECT($B$5&amp;"生成成长"),4))/(VLOOKUP(EC$72,INDIRECT($C$5&amp;"生成成长"),5))*(VLOOKUP($B$5,标准坦克设计!$B$24:$U$30,MATCH("对"&amp;LEFT($C$5,2)&amp;"输出",标准坦克设计!$B$23:$U$23,0)))*(VLOOKUP($B180,INDIRECT($B$5&amp;"生成成长"),3))*(VLOOKUP($B$5,标准坦克设计!$B$14:$K$20,9)/30))</f>
        <v>2.4537245772870047</v>
      </c>
      <c r="ED180" s="172">
        <f ca="1">(VLOOKUP(ED$72,INDIRECT($C$5&amp;"生成成长"),2))/((VLOOKUP($B180,INDIRECT($B$5&amp;"生成成长"),4))/(VLOOKUP(ED$72,INDIRECT($C$5&amp;"生成成长"),5))*(VLOOKUP($B$5,标准坦克设计!$B$24:$U$30,MATCH("对"&amp;LEFT($C$5,2)&amp;"输出",标准坦克设计!$B$23:$U$23,0)))*(VLOOKUP($B180,INDIRECT($B$5&amp;"生成成长"),3))*(VLOOKUP($B$5,标准坦克设计!$B$14:$K$20,9)/30))</f>
        <v>2.6707666118214903</v>
      </c>
      <c r="EE180" s="172">
        <f ca="1">(VLOOKUP(EE$72,INDIRECT($C$5&amp;"生成成长"),2))/((VLOOKUP($B180,INDIRECT($B$5&amp;"生成成长"),4))/(VLOOKUP(EE$72,INDIRECT($C$5&amp;"生成成长"),5))*(VLOOKUP($B$5,标准坦克设计!$B$24:$U$30,MATCH("对"&amp;LEFT($C$5,2)&amp;"输出",标准坦克设计!$B$23:$U$23,0)))*(VLOOKUP($B180,INDIRECT($B$5&amp;"生成成长"),3))*(VLOOKUP($B$5,标准坦克设计!$B$14:$K$20,9)/30))</f>
        <v>2.897005342734555</v>
      </c>
      <c r="EF180" s="172">
        <f ca="1">(VLOOKUP(EF$72,INDIRECT($C$5&amp;"生成成长"),2))/((VLOOKUP($B180,INDIRECT($B$5&amp;"生成成长"),4))/(VLOOKUP(EF$72,INDIRECT($C$5&amp;"生成成长"),5))*(VLOOKUP($B$5,标准坦克设计!$B$24:$U$30,MATCH("对"&amp;LEFT($C$5,2)&amp;"输出",标准坦克设计!$B$23:$U$23,0)))*(VLOOKUP($B180,INDIRECT($B$5&amp;"生成成长"),3))*(VLOOKUP($B$5,标准坦克设计!$B$14:$K$20,9)/30))</f>
        <v>3.1324407700261996</v>
      </c>
      <c r="EG180" s="172">
        <f ca="1">(VLOOKUP(EG$72,INDIRECT($C$5&amp;"生成成长"),2))/((VLOOKUP($B180,INDIRECT($B$5&amp;"生成成长"),4))/(VLOOKUP(EG$72,INDIRECT($C$5&amp;"生成成长"),5))*(VLOOKUP($B$5,标准坦克设计!$B$24:$U$30,MATCH("对"&amp;LEFT($C$5,2)&amp;"输出",标准坦克设计!$B$23:$U$23,0)))*(VLOOKUP($B180,INDIRECT($B$5&amp;"生成成长"),3))*(VLOOKUP($B$5,标准坦克设计!$B$14:$K$20,9)/30))</f>
        <v>3.3770728936964245</v>
      </c>
      <c r="EH180" s="172">
        <f ca="1">(VLOOKUP(EH$72,INDIRECT($C$5&amp;"生成成长"),2))/((VLOOKUP($B180,INDIRECT($B$5&amp;"生成成长"),4))/(VLOOKUP(EH$72,INDIRECT($C$5&amp;"生成成长"),5))*(VLOOKUP($B$5,标准坦克设计!$B$24:$U$30,MATCH("对"&amp;LEFT($C$5,2)&amp;"输出",标准坦克设计!$B$23:$U$23,0)))*(VLOOKUP($B180,INDIRECT($B$5&amp;"生成成长"),3))*(VLOOKUP($B$5,标准坦克设计!$B$14:$K$20,9)/30))</f>
        <v>3.6309017137452302</v>
      </c>
      <c r="EI180" s="172">
        <f ca="1">(VLOOKUP(EI$72,INDIRECT($C$5&amp;"生成成长"),2))/((VLOOKUP($B180,INDIRECT($B$5&amp;"生成成长"),4))/(VLOOKUP(EI$72,INDIRECT($C$5&amp;"生成成长"),5))*(VLOOKUP($B$5,标准坦克设计!$B$24:$U$30,MATCH("对"&amp;LEFT($C$5,2)&amp;"输出",标准坦克设计!$B$23:$U$23,0)))*(VLOOKUP($B180,INDIRECT($B$5&amp;"生成成长"),3))*(VLOOKUP($B$5,标准坦克设计!$B$14:$K$20,9)/30))</f>
        <v>3.893927230172614</v>
      </c>
      <c r="EJ180" s="172">
        <f ca="1">(VLOOKUP(EJ$72,INDIRECT($C$5&amp;"生成成长"),2))/((VLOOKUP($B180,INDIRECT($B$5&amp;"生成成长"),4))/(VLOOKUP(EJ$72,INDIRECT($C$5&amp;"生成成长"),5))*(VLOOKUP($B$5,标准坦克设计!$B$24:$U$30,MATCH("对"&amp;LEFT($C$5,2)&amp;"输出",标准坦克设计!$B$23:$U$23,0)))*(VLOOKUP($B180,INDIRECT($B$5&amp;"生成成长"),3))*(VLOOKUP($B$5,标准坦克设计!$B$14:$K$20,9)/30))</f>
        <v>4.166149442978579</v>
      </c>
      <c r="EK180" s="172">
        <f ca="1">(VLOOKUP(EK$72,INDIRECT($C$5&amp;"生成成长"),2))/((VLOOKUP($B180,INDIRECT($B$5&amp;"生成成长"),4))/(VLOOKUP(EK$72,INDIRECT($C$5&amp;"生成成长"),5))*(VLOOKUP($B$5,标准坦克设计!$B$24:$U$30,MATCH("对"&amp;LEFT($C$5,2)&amp;"输出",标准坦克设计!$B$23:$U$23,0)))*(VLOOKUP($B180,INDIRECT($B$5&amp;"生成成长"),3))*(VLOOKUP($B$5,标准坦克设计!$B$14:$K$20,9)/30))</f>
        <v>4.504955737565461</v>
      </c>
      <c r="EL180" s="172">
        <f ca="1">(VLOOKUP(EL$72,INDIRECT($C$5&amp;"生成成长"),2))/((VLOOKUP($B180,INDIRECT($B$5&amp;"生成成长"),4))/(VLOOKUP(EL$72,INDIRECT($C$5&amp;"生成成长"),5))*(VLOOKUP($B$5,标准坦克设计!$B$24:$U$30,MATCH("对"&amp;LEFT($C$5,2)&amp;"输出",标准坦克设计!$B$23:$U$23,0)))*(VLOOKUP($B180,INDIRECT($B$5&amp;"生成成长"),3))*(VLOOKUP($B$5,标准坦克设计!$B$14:$K$20,9)/30))</f>
        <v>4.8570052749374986</v>
      </c>
      <c r="EM180" s="172">
        <f ca="1">(VLOOKUP(EM$72,INDIRECT($C$5&amp;"生成成长"),2))/((VLOOKUP($B180,INDIRECT($B$5&amp;"生成成长"),4))/(VLOOKUP(EM$72,INDIRECT($C$5&amp;"生成成长"),5))*(VLOOKUP($B$5,标准坦克设计!$B$24:$U$30,MATCH("对"&amp;LEFT($C$5,2)&amp;"输出",标准坦克设计!$B$23:$U$23,0)))*(VLOOKUP($B180,INDIRECT($B$5&amp;"生成成长"),3))*(VLOOKUP($B$5,标准坦克设计!$B$14:$K$20,9)/30))</f>
        <v>5.2222980550946918</v>
      </c>
      <c r="EN180" s="172">
        <f ca="1">(VLOOKUP(EN$72,INDIRECT($C$5&amp;"生成成长"),2))/((VLOOKUP($B180,INDIRECT($B$5&amp;"生成成长"),4))/(VLOOKUP(EN$72,INDIRECT($C$5&amp;"生成成长"),5))*(VLOOKUP($B$5,标准坦克设计!$B$24:$U$30,MATCH("对"&amp;LEFT($C$5,2)&amp;"输出",标准坦克设计!$B$23:$U$23,0)))*(VLOOKUP($B180,INDIRECT($B$5&amp;"生成成长"),3))*(VLOOKUP($B$5,标准坦克设计!$B$14:$K$20,9)/30))</f>
        <v>5.6008340780370398</v>
      </c>
      <c r="EO180" s="172">
        <f ca="1">(VLOOKUP(EO$72,INDIRECT($C$5&amp;"生成成长"),2))/((VLOOKUP($B180,INDIRECT($B$5&amp;"生成成长"),4))/(VLOOKUP(EO$72,INDIRECT($C$5&amp;"生成成长"),5))*(VLOOKUP($B$5,标准坦克设计!$B$24:$U$30,MATCH("对"&amp;LEFT($C$5,2)&amp;"输出",标准坦克设计!$B$23:$U$23,0)))*(VLOOKUP($B180,INDIRECT($B$5&amp;"生成成长"),3))*(VLOOKUP($B$5,标准坦克设计!$B$14:$K$20,9)/30))</f>
        <v>5.9926133437645417</v>
      </c>
      <c r="EP180" s="172">
        <f ca="1">(VLOOKUP(EP$72,INDIRECT($C$5&amp;"生成成长"),2))/((VLOOKUP($B180,INDIRECT($B$5&amp;"生成成长"),4))/(VLOOKUP(EP$72,INDIRECT($C$5&amp;"生成成长"),5))*(VLOOKUP($B$5,标准坦克设计!$B$24:$U$30,MATCH("对"&amp;LEFT($C$5,2)&amp;"输出",标准坦克设计!$B$23:$U$23,0)))*(VLOOKUP($B180,INDIRECT($B$5&amp;"生成成长"),3))*(VLOOKUP($B$5,标准坦克设计!$B$14:$K$20,9)/30))</f>
        <v>6.3976358522771992</v>
      </c>
      <c r="EQ180" s="172">
        <f ca="1">(VLOOKUP(EQ$72,INDIRECT($C$5&amp;"生成成长"),2))/((VLOOKUP($B180,INDIRECT($B$5&amp;"生成成长"),4))/(VLOOKUP(EQ$72,INDIRECT($C$5&amp;"生成成长"),5))*(VLOOKUP($B$5,标准坦克设计!$B$24:$U$30,MATCH("对"&amp;LEFT($C$5,2)&amp;"输出",标准坦克设计!$B$23:$U$23,0)))*(VLOOKUP($B180,INDIRECT($B$5&amp;"生成成长"),3))*(VLOOKUP($B$5,标准坦克设计!$B$14:$K$20,9)/30))</f>
        <v>2.8281680703408845</v>
      </c>
      <c r="ER180" s="172">
        <f ca="1">(VLOOKUP(ER$72,INDIRECT($C$5&amp;"生成成长"),2))/((VLOOKUP($B180,INDIRECT($B$5&amp;"生成成长"),4))/(VLOOKUP(ER$72,INDIRECT($C$5&amp;"生成成长"),5))*(VLOOKUP($B$5,标准坦克设计!$B$24:$U$30,MATCH("对"&amp;LEFT($C$5,2)&amp;"输出",标准坦克设计!$B$23:$U$23,0)))*(VLOOKUP($B180,INDIRECT($B$5&amp;"生成成长"),3))*(VLOOKUP($B$5,标准坦克设计!$B$14:$K$20,9)/30))</f>
        <v>3.0846179488575847</v>
      </c>
      <c r="ES180" s="172">
        <f ca="1">(VLOOKUP(ES$72,INDIRECT($C$5&amp;"生成成长"),2))/((VLOOKUP($B180,INDIRECT($B$5&amp;"生成成长"),4))/(VLOOKUP(ES$72,INDIRECT($C$5&amp;"生成成长"),5))*(VLOOKUP($B$5,标准坦克设计!$B$24:$U$30,MATCH("对"&amp;LEFT($C$5,2)&amp;"输出",标准坦克设计!$B$23:$U$23,0)))*(VLOOKUP($B180,INDIRECT($B$5&amp;"生成成长"),3))*(VLOOKUP($B$5,标准坦克设计!$B$14:$K$20,9)/30))</f>
        <v>3.3521958299923664</v>
      </c>
      <c r="ET180" s="172">
        <f ca="1">(VLOOKUP(ET$72,INDIRECT($C$5&amp;"生成成长"),2))/((VLOOKUP($B180,INDIRECT($B$5&amp;"生成成长"),4))/(VLOOKUP(ET$72,INDIRECT($C$5&amp;"生成成长"),5))*(VLOOKUP($B$5,标准坦克设计!$B$24:$U$30,MATCH("对"&amp;LEFT($C$5,2)&amp;"输出",标准坦克设计!$B$23:$U$23,0)))*(VLOOKUP($B180,INDIRECT($B$5&amp;"生成成长"),3))*(VLOOKUP($B$5,标准坦克设计!$B$14:$K$20,9)/30))</f>
        <v>3.6309017137452302</v>
      </c>
      <c r="EU180" s="172">
        <f ca="1">(VLOOKUP(EU$72,INDIRECT($C$5&amp;"生成成长"),2))/((VLOOKUP($B180,INDIRECT($B$5&amp;"生成成长"),4))/(VLOOKUP(EU$72,INDIRECT($C$5&amp;"生成成长"),5))*(VLOOKUP($B$5,标准坦克设计!$B$24:$U$30,MATCH("对"&amp;LEFT($C$5,2)&amp;"输出",标准坦克设计!$B$23:$U$23,0)))*(VLOOKUP($B180,INDIRECT($B$5&amp;"生成成长"),3))*(VLOOKUP($B$5,标准坦克设计!$B$14:$K$20,9)/30))</f>
        <v>3.9207356001161742</v>
      </c>
      <c r="EV180" s="172">
        <f ca="1">(VLOOKUP(EV$72,INDIRECT($C$5&amp;"生成成长"),2))/((VLOOKUP($B180,INDIRECT($B$5&amp;"生成成长"),4))/(VLOOKUP(EV$72,INDIRECT($C$5&amp;"生成成长"),5))*(VLOOKUP($B$5,标准坦克设计!$B$24:$U$30,MATCH("对"&amp;LEFT($C$5,2)&amp;"输出",标准坦克设计!$B$23:$U$23,0)))*(VLOOKUP($B180,INDIRECT($B$5&amp;"生成成长"),3))*(VLOOKUP($B$5,标准坦克设计!$B$14:$K$20,9)/30))</f>
        <v>4.2216974891052006</v>
      </c>
      <c r="EW180" s="172">
        <f ca="1">(VLOOKUP(EW$72,INDIRECT($C$5&amp;"生成成长"),2))/((VLOOKUP($B180,INDIRECT($B$5&amp;"生成成长"),4))/(VLOOKUP(EW$72,INDIRECT($C$5&amp;"生成成长"),5))*(VLOOKUP($B$5,标准坦克设计!$B$24:$U$30,MATCH("对"&amp;LEFT($C$5,2)&amp;"输出",标准坦克设计!$B$23:$U$23,0)))*(VLOOKUP($B180,INDIRECT($B$5&amp;"生成成长"),3))*(VLOOKUP($B$5,标准坦克设计!$B$14:$K$20,9)/30))</f>
        <v>4.533787380712309</v>
      </c>
      <c r="EX180" s="172">
        <f ca="1">(VLOOKUP(EX$72,INDIRECT($C$5&amp;"生成成长"),2))/((VLOOKUP($B180,INDIRECT($B$5&amp;"生成成长"),4))/(VLOOKUP(EX$72,INDIRECT($C$5&amp;"生成成长"),5))*(VLOOKUP($B$5,标准坦克设计!$B$24:$U$30,MATCH("对"&amp;LEFT($C$5,2)&amp;"输出",标准坦克设计!$B$23:$U$23,0)))*(VLOOKUP($B180,INDIRECT($B$5&amp;"生成成长"),3))*(VLOOKUP($B$5,标准坦克设计!$B$14:$K$20,9)/30))</f>
        <v>4.8570052749374986</v>
      </c>
      <c r="EY180" s="172">
        <f ca="1">(VLOOKUP(EY$72,INDIRECT($C$5&amp;"生成成长"),2))/((VLOOKUP($B180,INDIRECT($B$5&amp;"生成成长"),4))/(VLOOKUP(EY$72,INDIRECT($C$5&amp;"生成成长"),5))*(VLOOKUP($B$5,标准坦克设计!$B$24:$U$30,MATCH("对"&amp;LEFT($C$5,2)&amp;"输出",标准坦克设计!$B$23:$U$23,0)))*(VLOOKUP($B180,INDIRECT($B$5&amp;"生成成长"),3))*(VLOOKUP($B$5,标准坦克设计!$B$14:$K$20,9)/30))</f>
        <v>5.1913511717807701</v>
      </c>
      <c r="EZ180" s="172">
        <f ca="1">(VLOOKUP(EZ$72,INDIRECT($C$5&amp;"生成成长"),2))/((VLOOKUP($B180,INDIRECT($B$5&amp;"生成成长"),4))/(VLOOKUP(EZ$72,INDIRECT($C$5&amp;"生成成长"),5))*(VLOOKUP($B$5,标准坦克设计!$B$24:$U$30,MATCH("对"&amp;LEFT($C$5,2)&amp;"输出",标准坦克设计!$B$23:$U$23,0)))*(VLOOKUP($B180,INDIRECT($B$5&amp;"生成成长"),3))*(VLOOKUP($B$5,标准坦克设计!$B$14:$K$20,9)/30))</f>
        <v>5.5368250712421245</v>
      </c>
      <c r="FA180" s="172">
        <f ca="1">(VLOOKUP(FA$72,INDIRECT($C$5&amp;"生成成长"),2))/((VLOOKUP($B180,INDIRECT($B$5&amp;"生成成长"),4))/(VLOOKUP(FA$72,INDIRECT($C$5&amp;"生成成长"),5))*(VLOOKUP($B$5,标准坦克设计!$B$24:$U$30,MATCH("对"&amp;LEFT($C$5,2)&amp;"输出",标准坦克设计!$B$23:$U$23,0)))*(VLOOKUP($B180,INDIRECT($B$5&amp;"生成成长"),3))*(VLOOKUP($B$5,标准坦克设计!$B$14:$K$20,9)/30))</f>
        <v>5.8934269733215574</v>
      </c>
      <c r="FB180" s="172">
        <f ca="1">(VLOOKUP(FB$72,INDIRECT($C$5&amp;"生成成长"),2))/((VLOOKUP($B180,INDIRECT($B$5&amp;"生成成长"),4))/(VLOOKUP(FB$72,INDIRECT($C$5&amp;"生成成长"),5))*(VLOOKUP($B$5,标准坦克设计!$B$24:$U$30,MATCH("对"&amp;LEFT($C$5,2)&amp;"输出",标准坦克设计!$B$23:$U$23,0)))*(VLOOKUP($B180,INDIRECT($B$5&amp;"生成成长"),3))*(VLOOKUP($B$5,标准坦克设计!$B$14:$K$20,9)/30))</f>
        <v>6.2611568780190758</v>
      </c>
      <c r="FC180" s="172">
        <f ca="1">(VLOOKUP(FC$72,INDIRECT($C$5&amp;"生成成长"),2))/((VLOOKUP($B180,INDIRECT($B$5&amp;"生成成长"),4))/(VLOOKUP(FC$72,INDIRECT($C$5&amp;"生成成长"),5))*(VLOOKUP($B$5,标准坦克设计!$B$24:$U$30,MATCH("对"&amp;LEFT($C$5,2)&amp;"输出",标准坦克设计!$B$23:$U$23,0)))*(VLOOKUP($B180,INDIRECT($B$5&amp;"生成成长"),3))*(VLOOKUP($B$5,标准坦克设计!$B$14:$K$20,9)/30))</f>
        <v>6.6400147853346727</v>
      </c>
      <c r="FD180" s="172">
        <f ca="1">(VLOOKUP(FD$72,INDIRECT($C$5&amp;"生成成长"),2))/((VLOOKUP($B180,INDIRECT($B$5&amp;"生成成长"),4))/(VLOOKUP(FD$72,INDIRECT($C$5&amp;"生成成长"),5))*(VLOOKUP($B$5,标准坦克设计!$B$24:$U$30,MATCH("对"&amp;LEFT($C$5,2)&amp;"输出",标准坦克设计!$B$23:$U$23,0)))*(VLOOKUP($B180,INDIRECT($B$5&amp;"生成成长"),3))*(VLOOKUP($B$5,标准坦克设计!$B$14:$K$20,9)/30))</f>
        <v>7.0300006952683534</v>
      </c>
      <c r="FE180" s="172">
        <f ca="1">(VLOOKUP(FE$72,INDIRECT($C$5&amp;"生成成长"),2))/((VLOOKUP($B180,INDIRECT($B$5&amp;"生成成长"),4))/(VLOOKUP(FE$72,INDIRECT($C$5&amp;"生成成长"),5))*(VLOOKUP($B$5,标准坦克设计!$B$24:$U$30,MATCH("对"&amp;LEFT($C$5,2)&amp;"输出",标准坦克设计!$B$23:$U$23,0)))*(VLOOKUP($B180,INDIRECT($B$5&amp;"生成成长"),3))*(VLOOKUP($B$5,标准坦克设计!$B$14:$K$20,9)/30))</f>
        <v>7.505239980631468</v>
      </c>
      <c r="FF180" s="172">
        <f ca="1">(VLOOKUP(FF$72,INDIRECT($C$5&amp;"生成成长"),2))/((VLOOKUP($B180,INDIRECT($B$5&amp;"生成成长"),4))/(VLOOKUP(FF$72,INDIRECT($C$5&amp;"生成成长"),5))*(VLOOKUP($B$5,标准坦克设计!$B$24:$U$30,MATCH("对"&amp;LEFT($C$5,2)&amp;"输出",标准坦克设计!$B$23:$U$23,0)))*(VLOOKUP($B180,INDIRECT($B$5&amp;"生成成长"),3))*(VLOOKUP($B$5,标准坦克设计!$B$14:$K$20,9)/30))</f>
        <v>7.9960216828743835</v>
      </c>
      <c r="FG180" s="172">
        <f ca="1">(VLOOKUP(FG$72,INDIRECT($C$5&amp;"生成成长"),2))/((VLOOKUP($B180,INDIRECT($B$5&amp;"生成成长"),4))/(VLOOKUP(FG$72,INDIRECT($C$5&amp;"生成成长"),5))*(VLOOKUP($B$5,标准坦克设计!$B$24:$U$30,MATCH("对"&amp;LEFT($C$5,2)&amp;"输出",标准坦克设计!$B$23:$U$23,0)))*(VLOOKUP($B180,INDIRECT($B$5&amp;"生成成长"),3))*(VLOOKUP($B$5,标准坦克设计!$B$14:$K$20,9)/30))</f>
        <v>8.5023458019970999</v>
      </c>
      <c r="FH180" s="172">
        <f ca="1">(VLOOKUP(FH$72,INDIRECT($C$5&amp;"生成成长"),2))/((VLOOKUP($B180,INDIRECT($B$5&amp;"生成成长"),4))/(VLOOKUP(FH$72,INDIRECT($C$5&amp;"生成成长"),5))*(VLOOKUP($B$5,标准坦克设计!$B$24:$U$30,MATCH("对"&amp;LEFT($C$5,2)&amp;"输出",标准坦克设计!$B$23:$U$23,0)))*(VLOOKUP($B180,INDIRECT($B$5&amp;"生成成长"),3))*(VLOOKUP($B$5,标准坦克设计!$B$14:$K$20,9)/30))</f>
        <v>9.0242123379996144</v>
      </c>
      <c r="FI180" s="172">
        <f ca="1">(VLOOKUP(FI$72,INDIRECT($C$5&amp;"生成成长"),2))/((VLOOKUP($B180,INDIRECT($B$5&amp;"生成成长"),4))/(VLOOKUP(FI$72,INDIRECT($C$5&amp;"生成成长"),5))*(VLOOKUP($B$5,标准坦克设计!$B$24:$U$30,MATCH("对"&amp;LEFT($C$5,2)&amp;"输出",标准坦克设计!$B$23:$U$23,0)))*(VLOOKUP($B180,INDIRECT($B$5&amp;"生成成长"),3))*(VLOOKUP($B$5,标准坦克设计!$B$14:$K$20,9)/30))</f>
        <v>9.5616212908819289</v>
      </c>
      <c r="FJ180" s="172">
        <f ca="1">(VLOOKUP(FJ$72,INDIRECT($C$5&amp;"生成成长"),2))/((VLOOKUP($B180,INDIRECT($B$5&amp;"生成成长"),4))/(VLOOKUP(FJ$72,INDIRECT($C$5&amp;"生成成长"),5))*(VLOOKUP($B$5,标准坦克设计!$B$24:$U$30,MATCH("对"&amp;LEFT($C$5,2)&amp;"输出",标准坦克设计!$B$23:$U$23,0)))*(VLOOKUP($B180,INDIRECT($B$5&amp;"生成成长"),3))*(VLOOKUP($B$5,标准坦克设计!$B$14:$K$20,9)/30))</f>
        <v>10.114572660644045</v>
      </c>
      <c r="FK180" s="172">
        <f ca="1">(VLOOKUP(FK$72,INDIRECT($C$5&amp;"生成成长"),2))/((VLOOKUP($B180,INDIRECT($B$5&amp;"生成成长"),4))/(VLOOKUP(FK$72,INDIRECT($C$5&amp;"生成成长"),5))*(VLOOKUP($B$5,标准坦克设计!$B$24:$U$30,MATCH("对"&amp;LEFT($C$5,2)&amp;"输出",标准坦克设计!$B$23:$U$23,0)))*(VLOOKUP($B180,INDIRECT($B$5&amp;"生成成长"),3))*(VLOOKUP($B$5,标准坦克设计!$B$14:$K$20,9)/30))</f>
        <v>10.683066447285961</v>
      </c>
    </row>
    <row r="181" spans="1:167" x14ac:dyDescent="0.15">
      <c r="A181" s="170" t="str">
        <f t="shared" si="12"/>
        <v>T5中品质19级</v>
      </c>
      <c r="B181" s="171">
        <v>20519</v>
      </c>
      <c r="C181" s="172">
        <f ca="1">(VLOOKUP(C$72,INDIRECT($C$5&amp;"生成成长"),2))/((VLOOKUP($B181,INDIRECT($B$5&amp;"生成成长"),4))/(VLOOKUP(C$72,INDIRECT($C$5&amp;"生成成长"),5))*(VLOOKUP($B$5,标准坦克设计!$B$24:$U$30,MATCH("对"&amp;LEFT($C$5,2)&amp;"输出",标准坦克设计!$B$23:$U$23,0)))*(VLOOKUP($B181,INDIRECT($B$5&amp;"生成成长"),3))*(VLOOKUP($B$5,标准坦克设计!$B$14:$K$20,9)/30))</f>
        <v>0.43593004088425941</v>
      </c>
      <c r="D181" s="172">
        <f ca="1">(VLOOKUP(D$72,INDIRECT($C$5&amp;"生成成长"),2))/((VLOOKUP($B181,INDIRECT($B$5&amp;"生成成长"),4))/(VLOOKUP(D$72,INDIRECT($C$5&amp;"生成成长"),5))*(VLOOKUP($B$5,标准坦克设计!$B$24:$U$30,MATCH("对"&amp;LEFT($C$5,2)&amp;"输出",标准坦克设计!$B$23:$U$23,0)))*(VLOOKUP($B181,INDIRECT($B$5&amp;"生成成长"),3))*(VLOOKUP($B$5,标准坦克设计!$B$14:$K$20,9)/30))</f>
        <v>0.48981099393755384</v>
      </c>
      <c r="E181" s="172">
        <f ca="1">(VLOOKUP(E$72,INDIRECT($C$5&amp;"生成成长"),2))/((VLOOKUP($B181,INDIRECT($B$5&amp;"生成成长"),4))/(VLOOKUP(E$72,INDIRECT($C$5&amp;"生成成长"),5))*(VLOOKUP($B$5,标准坦克设计!$B$24:$U$30,MATCH("对"&amp;LEFT($C$5,2)&amp;"输出",标准坦克设计!$B$23:$U$23,0)))*(VLOOKUP($B181,INDIRECT($B$5&amp;"生成成长"),3))*(VLOOKUP($B$5,标准坦克设计!$B$14:$K$20,9)/30))</f>
        <v>0.54683064328521502</v>
      </c>
      <c r="F181" s="172">
        <f ca="1">(VLOOKUP(F$72,INDIRECT($C$5&amp;"生成成长"),2))/((VLOOKUP($B181,INDIRECT($B$5&amp;"生成成长"),4))/(VLOOKUP(F$72,INDIRECT($C$5&amp;"生成成长"),5))*(VLOOKUP($B$5,标准坦克设计!$B$24:$U$30,MATCH("对"&amp;LEFT($C$5,2)&amp;"输出",标准坦克设计!$B$23:$U$23,0)))*(VLOOKUP($B181,INDIRECT($B$5&amp;"生成成长"),3))*(VLOOKUP($B$5,标准坦克设计!$B$14:$K$20,9)/30))</f>
        <v>0.60698898892724285</v>
      </c>
      <c r="G181" s="172">
        <f ca="1">(VLOOKUP(G$72,INDIRECT($C$5&amp;"生成成长"),2))/((VLOOKUP($B181,INDIRECT($B$5&amp;"生成成长"),4))/(VLOOKUP(G$72,INDIRECT($C$5&amp;"生成成长"),5))*(VLOOKUP($B$5,标准坦克设计!$B$24:$U$30,MATCH("对"&amp;LEFT($C$5,2)&amp;"输出",标准坦克设计!$B$23:$U$23,0)))*(VLOOKUP($B181,INDIRECT($B$5&amp;"生成成长"),3))*(VLOOKUP($B$5,标准坦克设计!$B$14:$K$20,9)/30))</f>
        <v>0.67028603086363736</v>
      </c>
      <c r="H181" s="172">
        <f ca="1">(VLOOKUP(H$72,INDIRECT($C$5&amp;"生成成长"),2))/((VLOOKUP($B181,INDIRECT($B$5&amp;"生成成长"),4))/(VLOOKUP(H$72,INDIRECT($C$5&amp;"生成成长"),5))*(VLOOKUP($B$5,标准坦克设计!$B$24:$U$30,MATCH("对"&amp;LEFT($C$5,2)&amp;"输出",标准坦克设计!$B$23:$U$23,0)))*(VLOOKUP($B181,INDIRECT($B$5&amp;"生成成长"),3))*(VLOOKUP($B$5,标准坦克设计!$B$14:$K$20,9)/30))</f>
        <v>0.58658746301385956</v>
      </c>
      <c r="I181" s="172">
        <f ca="1">(VLOOKUP(I$72,INDIRECT($C$5&amp;"生成成长"),2))/((VLOOKUP($B181,INDIRECT($B$5&amp;"生成成长"),4))/(VLOOKUP(I$72,INDIRECT($C$5&amp;"生成成长"),5))*(VLOOKUP($B$5,标准坦克设计!$B$24:$U$30,MATCH("对"&amp;LEFT($C$5,2)&amp;"输出",标准坦克设计!$B$23:$U$23,0)))*(VLOOKUP($B181,INDIRECT($B$5&amp;"生成成长"),3))*(VLOOKUP($B$5,标准坦克设计!$B$14:$K$20,9)/30))</f>
        <v>0.67028603086363736</v>
      </c>
      <c r="J181" s="172">
        <f ca="1">(VLOOKUP(J$72,INDIRECT($C$5&amp;"生成成长"),2))/((VLOOKUP($B181,INDIRECT($B$5&amp;"生成成长"),4))/(VLOOKUP(J$72,INDIRECT($C$5&amp;"生成成长"),5))*(VLOOKUP($B$5,标准坦克设计!$B$24:$U$30,MATCH("对"&amp;LEFT($C$5,2)&amp;"输出",标准坦克设计!$B$23:$U$23,0)))*(VLOOKUP($B181,INDIRECT($B$5&amp;"生成成长"),3))*(VLOOKUP($B$5,标准坦克设计!$B$14:$K$20,9)/30))</f>
        <v>0.75956450323673363</v>
      </c>
      <c r="K181" s="172">
        <f ca="1">(VLOOKUP(K$72,INDIRECT($C$5&amp;"生成成长"),2))/((VLOOKUP($B181,INDIRECT($B$5&amp;"生成成长"),4))/(VLOOKUP(K$72,INDIRECT($C$5&amp;"生成成长"),5))*(VLOOKUP($B$5,标准坦克设计!$B$24:$U$30,MATCH("对"&amp;LEFT($C$5,2)&amp;"输出",标准坦克设计!$B$23:$U$23,0)))*(VLOOKUP($B181,INDIRECT($B$5&amp;"生成成长"),3))*(VLOOKUP($B$5,标准坦克设计!$B$14:$K$20,9)/30))</f>
        <v>0.8544228801331486</v>
      </c>
      <c r="L181" s="172">
        <f ca="1">(VLOOKUP(L$72,INDIRECT($C$5&amp;"生成成长"),2))/((VLOOKUP($B181,INDIRECT($B$5&amp;"生成成长"),4))/(VLOOKUP(L$72,INDIRECT($C$5&amp;"生成成长"),5))*(VLOOKUP($B$5,标准坦克设计!$B$24:$U$30,MATCH("对"&amp;LEFT($C$5,2)&amp;"输出",标准坦克设计!$B$23:$U$23,0)))*(VLOOKUP($B181,INDIRECT($B$5&amp;"生成成长"),3))*(VLOOKUP($B$5,标准坦克设计!$B$14:$K$20,9)/30))</f>
        <v>0.95486116155288181</v>
      </c>
      <c r="M181" s="172">
        <f ca="1">(VLOOKUP(M$72,INDIRECT($C$5&amp;"生成成长"),2))/((VLOOKUP($B181,INDIRECT($B$5&amp;"生成成长"),4))/(VLOOKUP(M$72,INDIRECT($C$5&amp;"生成成长"),5))*(VLOOKUP($B$5,标准坦克设计!$B$24:$U$30,MATCH("对"&amp;LEFT($C$5,2)&amp;"输出",标准坦克设计!$B$23:$U$23,0)))*(VLOOKUP($B181,INDIRECT($B$5&amp;"生成成长"),3))*(VLOOKUP($B$5,标准坦克设计!$B$14:$K$20,9)/30))</f>
        <v>1.0608793474959337</v>
      </c>
      <c r="N181" s="172">
        <f ca="1">(VLOOKUP(N$72,INDIRECT($C$5&amp;"生成成长"),2))/((VLOOKUP($B181,INDIRECT($B$5&amp;"生成成长"),4))/(VLOOKUP(N$72,INDIRECT($C$5&amp;"生成成长"),5))*(VLOOKUP($B$5,标准坦克设计!$B$24:$U$30,MATCH("对"&amp;LEFT($C$5,2)&amp;"输出",标准坦克设计!$B$23:$U$23,0)))*(VLOOKUP($B181,INDIRECT($B$5&amp;"生成成长"),3))*(VLOOKUP($B$5,标准坦克设计!$B$14:$K$20,9)/30))</f>
        <v>1.172477437962304</v>
      </c>
      <c r="O181" s="172">
        <f ca="1">(VLOOKUP(O$72,INDIRECT($C$5&amp;"生成成长"),2))/((VLOOKUP($B181,INDIRECT($B$5&amp;"生成成长"),4))/(VLOOKUP(O$72,INDIRECT($C$5&amp;"生成成长"),5))*(VLOOKUP($B$5,标准坦克设计!$B$24:$U$30,MATCH("对"&amp;LEFT($C$5,2)&amp;"输出",标准坦克设计!$B$23:$U$23,0)))*(VLOOKUP($B181,INDIRECT($B$5&amp;"生成成长"),3))*(VLOOKUP($B$5,标准坦克设计!$B$14:$K$20,9)/30))</f>
        <v>0.89143334060422208</v>
      </c>
      <c r="P181" s="172">
        <f ca="1">(VLOOKUP(P$72,INDIRECT($C$5&amp;"生成成长"),2))/((VLOOKUP($B181,INDIRECT($B$5&amp;"生成成长"),4))/(VLOOKUP(P$72,INDIRECT($C$5&amp;"生成成长"),5))*(VLOOKUP($B$5,标准坦克设计!$B$24:$U$30,MATCH("对"&amp;LEFT($C$5,2)&amp;"输出",标准坦克设计!$B$23:$U$23,0)))*(VLOOKUP($B181,INDIRECT($B$5&amp;"生成成长"),3))*(VLOOKUP($B$5,标准坦克设计!$B$14:$K$20,9)/30))</f>
        <v>1.0071727664589929</v>
      </c>
      <c r="Q181" s="172">
        <f ca="1">(VLOOKUP(Q$72,INDIRECT($C$5&amp;"生成成长"),2))/((VLOOKUP($B181,INDIRECT($B$5&amp;"生成成长"),4))/(VLOOKUP(Q$72,INDIRECT($C$5&amp;"生成成长"),5))*(VLOOKUP($B$5,标准坦克设计!$B$24:$U$30,MATCH("对"&amp;LEFT($C$5,2)&amp;"输出",标准坦克设计!$B$23:$U$23,0)))*(VLOOKUP($B181,INDIRECT($B$5&amp;"生成成长"),3))*(VLOOKUP($B$5,标准坦克设计!$B$14:$K$20,9)/30))</f>
        <v>1.1299742589760888</v>
      </c>
      <c r="R181" s="172">
        <f ca="1">(VLOOKUP(R$72,INDIRECT($C$5&amp;"生成成长"),2))/((VLOOKUP($B181,INDIRECT($B$5&amp;"生成成长"),4))/(VLOOKUP(R$72,INDIRECT($C$5&amp;"生成成长"),5))*(VLOOKUP($B$5,标准坦克设计!$B$24:$U$30,MATCH("对"&amp;LEFT($C$5,2)&amp;"输出",标准坦克设计!$B$23:$U$23,0)))*(VLOOKUP($B181,INDIRECT($B$5&amp;"生成成长"),3))*(VLOOKUP($B$5,标准坦克设计!$B$14:$K$20,9)/30))</f>
        <v>1.2598378181555097</v>
      </c>
      <c r="S181" s="172">
        <f ca="1">(VLOOKUP(S$72,INDIRECT($C$5&amp;"生成成长"),2))/((VLOOKUP($B181,INDIRECT($B$5&amp;"生成成长"),4))/(VLOOKUP(S$72,INDIRECT($C$5&amp;"生成成长"),5))*(VLOOKUP($B$5,标准坦克设计!$B$24:$U$30,MATCH("对"&amp;LEFT($C$5,2)&amp;"输出",标准坦克设计!$B$23:$U$23,0)))*(VLOOKUP($B181,INDIRECT($B$5&amp;"生成成长"),3))*(VLOOKUP($B$5,标准坦克设计!$B$14:$K$20,9)/30))</f>
        <v>1.3967634439972556</v>
      </c>
      <c r="T181" s="172">
        <f ca="1">(VLOOKUP(T$72,INDIRECT($C$5&amp;"生成成长"),2))/((VLOOKUP($B181,INDIRECT($B$5&amp;"生成成长"),4))/(VLOOKUP(T$72,INDIRECT($C$5&amp;"生成成长"),5))*(VLOOKUP($B$5,标准坦克设计!$B$24:$U$30,MATCH("对"&amp;LEFT($C$5,2)&amp;"输出",标准坦克设计!$B$23:$U$23,0)))*(VLOOKUP($B181,INDIRECT($B$5&amp;"生成成长"),3))*(VLOOKUP($B$5,标准坦克设计!$B$14:$K$20,9)/30))</f>
        <v>1.5407511365013267</v>
      </c>
      <c r="U181" s="172">
        <f ca="1">(VLOOKUP(U$72,INDIRECT($C$5&amp;"生成成长"),2))/((VLOOKUP($B181,INDIRECT($B$5&amp;"生成成长"),4))/(VLOOKUP(U$72,INDIRECT($C$5&amp;"生成成长"),5))*(VLOOKUP($B$5,标准坦克设计!$B$24:$U$30,MATCH("对"&amp;LEFT($C$5,2)&amp;"输出",标准坦克设计!$B$23:$U$23,0)))*(VLOOKUP($B181,INDIRECT($B$5&amp;"生成成长"),3))*(VLOOKUP($B$5,标准坦克设计!$B$14:$K$20,9)/30))</f>
        <v>1.6918008956677222</v>
      </c>
      <c r="V181" s="172">
        <f ca="1">(VLOOKUP(V$72,INDIRECT($C$5&amp;"生成成长"),2))/((VLOOKUP($B181,INDIRECT($B$5&amp;"生成成长"),4))/(VLOOKUP(V$72,INDIRECT($C$5&amp;"生成成长"),5))*(VLOOKUP($B$5,标准坦克设计!$B$24:$U$30,MATCH("对"&amp;LEFT($C$5,2)&amp;"输出",标准坦克设计!$B$23:$U$23,0)))*(VLOOKUP($B181,INDIRECT($B$5&amp;"生成成长"),3))*(VLOOKUP($B$5,标准坦克设计!$B$14:$K$20,9)/30))</f>
        <v>1.849912721496443</v>
      </c>
      <c r="W181" s="172">
        <f ca="1">(VLOOKUP(W$72,INDIRECT($C$5&amp;"生成成长"),2))/((VLOOKUP($B181,INDIRECT($B$5&amp;"生成成长"),4))/(VLOOKUP(W$72,INDIRECT($C$5&amp;"生成成长"),5))*(VLOOKUP($B$5,标准坦克设计!$B$24:$U$30,MATCH("对"&amp;LEFT($C$5,2)&amp;"输出",标准坦克设计!$B$23:$U$23,0)))*(VLOOKUP($B181,INDIRECT($B$5&amp;"生成成长"),3))*(VLOOKUP($B$5,标准坦克设计!$B$14:$K$20,9)/30))</f>
        <v>2.015086613987489</v>
      </c>
      <c r="X181" s="172">
        <f ca="1">(VLOOKUP(X$72,INDIRECT($C$5&amp;"生成成长"),2))/((VLOOKUP($B181,INDIRECT($B$5&amp;"生成成长"),4))/(VLOOKUP(X$72,INDIRECT($C$5&amp;"生成成长"),5))*(VLOOKUP($B$5,标准坦克设计!$B$24:$U$30,MATCH("对"&amp;LEFT($C$5,2)&amp;"输出",标准坦克设计!$B$23:$U$23,0)))*(VLOOKUP($B181,INDIRECT($B$5&amp;"生成成长"),3))*(VLOOKUP($B$5,标准坦克设计!$B$14:$K$20,9)/30))</f>
        <v>1.4598861139172965</v>
      </c>
      <c r="Y181" s="172">
        <f ca="1">(VLOOKUP(Y$72,INDIRECT($C$5&amp;"生成成长"),2))/((VLOOKUP($B181,INDIRECT($B$5&amp;"生成成长"),4))/(VLOOKUP(Y$72,INDIRECT($C$5&amp;"生成成长"),5))*(VLOOKUP($B$5,标准坦克设计!$B$24:$U$30,MATCH("对"&amp;LEFT($C$5,2)&amp;"输出",标准坦克设计!$B$23:$U$23,0)))*(VLOOKUP($B181,INDIRECT($B$5&amp;"生成成长"),3))*(VLOOKUP($B$5,标准坦克设计!$B$14:$K$20,9)/30))</f>
        <v>1.6237958092897777</v>
      </c>
      <c r="Z181" s="172">
        <f ca="1">(VLOOKUP(Z$72,INDIRECT($C$5&amp;"生成成长"),2))/((VLOOKUP($B181,INDIRECT($B$5&amp;"生成成长"),4))/(VLOOKUP(Z$72,INDIRECT($C$5&amp;"生成成长"),5))*(VLOOKUP($B$5,标准坦克设计!$B$24:$U$30,MATCH("对"&amp;LEFT($C$5,2)&amp;"输出",标准坦克设计!$B$23:$U$23,0)))*(VLOOKUP($B181,INDIRECT($B$5&amp;"生成成长"),3))*(VLOOKUP($B$5,标准坦克设计!$B$14:$K$20,9)/30))</f>
        <v>1.7964241054799446</v>
      </c>
      <c r="AA181" s="172">
        <f ca="1">(VLOOKUP(AA$72,INDIRECT($C$5&amp;"生成成长"),2))/((VLOOKUP($B181,INDIRECT($B$5&amp;"生成成长"),4))/(VLOOKUP(AA$72,INDIRECT($C$5&amp;"生成成长"),5))*(VLOOKUP($B$5,标准坦克设计!$B$24:$U$30,MATCH("对"&amp;LEFT($C$5,2)&amp;"输出",标准坦克设计!$B$23:$U$23,0)))*(VLOOKUP($B181,INDIRECT($B$5&amp;"生成成长"),3))*(VLOOKUP($B$5,标准坦克设计!$B$14:$K$20,9)/30))</f>
        <v>1.9777710024877968</v>
      </c>
      <c r="AB181" s="172">
        <f ca="1">(VLOOKUP(AB$72,INDIRECT($C$5&amp;"生成成长"),2))/((VLOOKUP($B181,INDIRECT($B$5&amp;"生成成长"),4))/(VLOOKUP(AB$72,INDIRECT($C$5&amp;"生成成长"),5))*(VLOOKUP($B$5,标准坦克设计!$B$24:$U$30,MATCH("对"&amp;LEFT($C$5,2)&amp;"输出",标准坦克设计!$B$23:$U$23,0)))*(VLOOKUP($B181,INDIRECT($B$5&amp;"生成成长"),3))*(VLOOKUP($B$5,标准坦克设计!$B$14:$K$20,9)/30))</f>
        <v>2.1678365003133333</v>
      </c>
      <c r="AC181" s="172">
        <f ca="1">(VLOOKUP(AC$72,INDIRECT($C$5&amp;"生成成长"),2))/((VLOOKUP($B181,INDIRECT($B$5&amp;"生成成长"),4))/(VLOOKUP(AC$72,INDIRECT($C$5&amp;"生成成长"),5))*(VLOOKUP($B$5,标准坦克设计!$B$24:$U$30,MATCH("对"&amp;LEFT($C$5,2)&amp;"输出",标准坦克设计!$B$23:$U$23,0)))*(VLOOKUP($B181,INDIRECT($B$5&amp;"生成成长"),3))*(VLOOKUP($B$5,标准坦克设计!$B$14:$K$20,9)/30))</f>
        <v>2.3666205989565556</v>
      </c>
      <c r="AD181" s="172">
        <f ca="1">(VLOOKUP(AD$72,INDIRECT($C$5&amp;"生成成长"),2))/((VLOOKUP($B181,INDIRECT($B$5&amp;"生成成长"),4))/(VLOOKUP(AD$72,INDIRECT($C$5&amp;"生成成长"),5))*(VLOOKUP($B$5,标准坦克设计!$B$24:$U$30,MATCH("对"&amp;LEFT($C$5,2)&amp;"输出",标准坦克设计!$B$23:$U$23,0)))*(VLOOKUP($B181,INDIRECT($B$5&amp;"生成成长"),3))*(VLOOKUP($B$5,标准坦克设计!$B$14:$K$20,9)/30))</f>
        <v>2.5741232984174633</v>
      </c>
      <c r="AE181" s="172">
        <f ca="1">(VLOOKUP(AE$72,INDIRECT($C$5&amp;"生成成长"),2))/((VLOOKUP($B181,INDIRECT($B$5&amp;"生成成长"),4))/(VLOOKUP(AE$72,INDIRECT($C$5&amp;"生成成长"),5))*(VLOOKUP($B$5,标准坦克设计!$B$24:$U$30,MATCH("对"&amp;LEFT($C$5,2)&amp;"输出",标准坦克设计!$B$23:$U$23,0)))*(VLOOKUP($B181,INDIRECT($B$5&amp;"生成成长"),3))*(VLOOKUP($B$5,标准坦克设计!$B$14:$K$20,9)/30))</f>
        <v>2.790344598696056</v>
      </c>
      <c r="AF181" s="172">
        <f ca="1">(VLOOKUP(AF$72,INDIRECT($C$5&amp;"生成成长"),2))/((VLOOKUP($B181,INDIRECT($B$5&amp;"生成成长"),4))/(VLOOKUP(AF$72,INDIRECT($C$5&amp;"生成成长"),5))*(VLOOKUP($B$5,标准坦克设计!$B$24:$U$30,MATCH("对"&amp;LEFT($C$5,2)&amp;"输出",标准坦克设计!$B$23:$U$23,0)))*(VLOOKUP($B181,INDIRECT($B$5&amp;"生成成长"),3))*(VLOOKUP($B$5,标准坦克设计!$B$14:$K$20,9)/30))</f>
        <v>3.015284499792334</v>
      </c>
      <c r="AG181" s="172">
        <f ca="1">(VLOOKUP(AG$72,INDIRECT($C$5&amp;"生成成长"),2))/((VLOOKUP($B181,INDIRECT($B$5&amp;"生成成长"),4))/(VLOOKUP(AG$72,INDIRECT($C$5&amp;"生成成长"),5))*(VLOOKUP($B$5,标准坦克设计!$B$24:$U$30,MATCH("对"&amp;LEFT($C$5,2)&amp;"输出",标准坦克设计!$B$23:$U$23,0)))*(VLOOKUP($B181,INDIRECT($B$5&amp;"生成成长"),3))*(VLOOKUP($B$5,标准坦克设计!$B$14:$K$20,9)/30))</f>
        <v>3.2489430017062966</v>
      </c>
      <c r="AH181" s="172">
        <f ca="1">(VLOOKUP(AH$72,INDIRECT($C$5&amp;"生成成长"),2))/((VLOOKUP($B181,INDIRECT($B$5&amp;"生成成长"),4))/(VLOOKUP(AH$72,INDIRECT($C$5&amp;"生成成长"),5))*(VLOOKUP($B$5,标准坦克设计!$B$24:$U$30,MATCH("对"&amp;LEFT($C$5,2)&amp;"输出",标准坦克设计!$B$23:$U$23,0)))*(VLOOKUP($B181,INDIRECT($B$5&amp;"生成成长"),3))*(VLOOKUP($B$5,标准坦克设计!$B$14:$K$20,9)/30))</f>
        <v>3.4913201044379445</v>
      </c>
      <c r="AI181" s="172">
        <f ca="1">(VLOOKUP(AI$72,INDIRECT($C$5&amp;"生成成长"),2))/((VLOOKUP($B181,INDIRECT($B$5&amp;"生成成长"),4))/(VLOOKUP(AI$72,INDIRECT($C$5&amp;"生成成长"),5))*(VLOOKUP($B$5,标准坦克设计!$B$24:$U$30,MATCH("对"&amp;LEFT($C$5,2)&amp;"输出",标准坦克设计!$B$23:$U$23,0)))*(VLOOKUP($B181,INDIRECT($B$5&amp;"生成成长"),3))*(VLOOKUP($B$5,标准坦克设计!$B$14:$K$20,9)/30))</f>
        <v>2.469282123584799</v>
      </c>
      <c r="AJ181" s="172">
        <f ca="1">(VLOOKUP(AJ$72,INDIRECT($C$5&amp;"生成成长"),2))/((VLOOKUP($B181,INDIRECT($B$5&amp;"生成成长"),4))/(VLOOKUP(AJ$72,INDIRECT($C$5&amp;"生成成长"),5))*(VLOOKUP($B$5,标准坦克设计!$B$24:$U$30,MATCH("对"&amp;LEFT($C$5,2)&amp;"输出",标准坦克设计!$B$23:$U$23,0)))*(VLOOKUP($B181,INDIRECT($B$5&amp;"生成成长"),3))*(VLOOKUP($B$5,标准坦克设计!$B$14:$K$20,9)/30))</f>
        <v>2.7028098464864967</v>
      </c>
      <c r="AK181" s="172">
        <f ca="1">(VLOOKUP(AK$72,INDIRECT($C$5&amp;"生成成长"),2))/((VLOOKUP($B181,INDIRECT($B$5&amp;"生成成长"),4))/(VLOOKUP(AK$72,INDIRECT($C$5&amp;"生成成长"),5))*(VLOOKUP($B$5,标准坦克设计!$B$24:$U$30,MATCH("对"&amp;LEFT($C$5,2)&amp;"输出",标准坦克设计!$B$23:$U$23,0)))*(VLOOKUP($B181,INDIRECT($B$5&amp;"生成成长"),3))*(VLOOKUP($B$5,标准坦克设计!$B$14:$K$20,9)/30))</f>
        <v>2.9468870763775938</v>
      </c>
      <c r="AL181" s="172">
        <f ca="1">(VLOOKUP(AL$72,INDIRECT($C$5&amp;"生成成长"),2))/((VLOOKUP($B181,INDIRECT($B$5&amp;"生成成长"),4))/(VLOOKUP(AL$72,INDIRECT($C$5&amp;"生成成长"),5))*(VLOOKUP($B$5,标准坦克设计!$B$24:$U$30,MATCH("对"&amp;LEFT($C$5,2)&amp;"输出",标准坦克设计!$B$23:$U$23,0)))*(VLOOKUP($B181,INDIRECT($B$5&amp;"生成成长"),3))*(VLOOKUP($B$5,标准坦克设计!$B$14:$K$20,9)/30))</f>
        <v>3.2015138132580896</v>
      </c>
      <c r="AM181" s="172">
        <f ca="1">(VLOOKUP(AM$72,INDIRECT($C$5&amp;"生成成长"),2))/((VLOOKUP($B181,INDIRECT($B$5&amp;"生成成长"),4))/(VLOOKUP(AM$72,INDIRECT($C$5&amp;"生成成长"),5))*(VLOOKUP($B$5,标准坦克设计!$B$24:$U$30,MATCH("对"&amp;LEFT($C$5,2)&amp;"输出",标准坦克设计!$B$23:$U$23,0)))*(VLOOKUP($B181,INDIRECT($B$5&amp;"生成成长"),3))*(VLOOKUP($B$5,标准坦克设计!$B$14:$K$20,9)/30))</f>
        <v>3.4666900571279848</v>
      </c>
      <c r="AN181" s="172">
        <f ca="1">(VLOOKUP(AN$72,INDIRECT($C$5&amp;"生成成长"),2))/((VLOOKUP($B181,INDIRECT($B$5&amp;"生成成长"),4))/(VLOOKUP(AN$72,INDIRECT($C$5&amp;"生成成长"),5))*(VLOOKUP($B$5,标准坦克设计!$B$24:$U$30,MATCH("对"&amp;LEFT($C$5,2)&amp;"输出",标准坦克设计!$B$23:$U$23,0)))*(VLOOKUP($B181,INDIRECT($B$5&amp;"生成成长"),3))*(VLOOKUP($B$5,标准坦克设计!$B$14:$K$20,9)/30))</f>
        <v>3.7424158079872787</v>
      </c>
      <c r="AO181" s="172">
        <f ca="1">(VLOOKUP(AO$72,INDIRECT($C$5&amp;"生成成长"),2))/((VLOOKUP($B181,INDIRECT($B$5&amp;"生成成长"),4))/(VLOOKUP(AO$72,INDIRECT($C$5&amp;"生成成长"),5))*(VLOOKUP($B$5,标准坦克设计!$B$24:$U$30,MATCH("对"&amp;LEFT($C$5,2)&amp;"输出",标准坦克设计!$B$23:$U$23,0)))*(VLOOKUP($B181,INDIRECT($B$5&amp;"生成成长"),3))*(VLOOKUP($B$5,标准坦克设计!$B$14:$K$20,9)/30))</f>
        <v>4.0286910658359716</v>
      </c>
      <c r="AP181" s="172">
        <f ca="1">(VLOOKUP(AP$72,INDIRECT($C$5&amp;"生成成长"),2))/((VLOOKUP($B181,INDIRECT($B$5&amp;"生成成长"),4))/(VLOOKUP(AP$72,INDIRECT($C$5&amp;"生成成长"),5))*(VLOOKUP($B$5,标准坦克设计!$B$24:$U$30,MATCH("对"&amp;LEFT($C$5,2)&amp;"输出",标准坦克设计!$B$23:$U$23,0)))*(VLOOKUP($B181,INDIRECT($B$5&amp;"生成成长"),3))*(VLOOKUP($B$5,标准坦克设计!$B$14:$K$20,9)/30))</f>
        <v>4.325515830674064</v>
      </c>
      <c r="AQ181" s="172">
        <f ca="1">(VLOOKUP(AQ$72,INDIRECT($C$5&amp;"生成成长"),2))/((VLOOKUP($B181,INDIRECT($B$5&amp;"生成成长"),4))/(VLOOKUP(AQ$72,INDIRECT($C$5&amp;"生成成长"),5))*(VLOOKUP($B$5,标准坦克设计!$B$24:$U$30,MATCH("对"&amp;LEFT($C$5,2)&amp;"输出",标准坦克设计!$B$23:$U$23,0)))*(VLOOKUP($B181,INDIRECT($B$5&amp;"生成成长"),3))*(VLOOKUP($B$5,标准坦克设计!$B$14:$K$20,9)/30))</f>
        <v>4.6328901025015545</v>
      </c>
      <c r="AR181" s="172">
        <f ca="1">(VLOOKUP(AR$72,INDIRECT($C$5&amp;"生成成长"),2))/((VLOOKUP($B181,INDIRECT($B$5&amp;"生成成长"),4))/(VLOOKUP(AR$72,INDIRECT($C$5&amp;"生成成长"),5))*(VLOOKUP($B$5,标准坦克设计!$B$24:$U$30,MATCH("对"&amp;LEFT($C$5,2)&amp;"输出",标准坦克设计!$B$23:$U$23,0)))*(VLOOKUP($B181,INDIRECT($B$5&amp;"生成成长"),3))*(VLOOKUP($B$5,标准坦克设计!$B$14:$K$20,9)/30))</f>
        <v>4.950813881318445</v>
      </c>
      <c r="AS181" s="172">
        <f ca="1">(VLOOKUP(AS$72,INDIRECT($C$5&amp;"生成成长"),2))/((VLOOKUP($B181,INDIRECT($B$5&amp;"生成成长"),4))/(VLOOKUP(AS$72,INDIRECT($C$5&amp;"生成成长"),5))*(VLOOKUP($B$5,标准坦克设计!$B$24:$U$30,MATCH("对"&amp;LEFT($C$5,2)&amp;"输出",标准坦克设计!$B$23:$U$23,0)))*(VLOOKUP($B181,INDIRECT($B$5&amp;"生成成长"),3))*(VLOOKUP($B$5,标准坦克设计!$B$14:$K$20,9)/30))</f>
        <v>5.2792871671247337</v>
      </c>
      <c r="AT181" s="172">
        <f ca="1">(VLOOKUP(AT$72,INDIRECT($C$5&amp;"生成成长"),2))/((VLOOKUP($B181,INDIRECT($B$5&amp;"生成成长"),4))/(VLOOKUP(AT$72,INDIRECT($C$5&amp;"生成成长"),5))*(VLOOKUP($B$5,标准坦克设计!$B$24:$U$30,MATCH("对"&amp;LEFT($C$5,2)&amp;"输出",标准坦克设计!$B$23:$U$23,0)))*(VLOOKUP($B181,INDIRECT($B$5&amp;"生成成长"),3))*(VLOOKUP($B$5,标准坦克设计!$B$14:$K$20,9)/30))</f>
        <v>5.618309959920424</v>
      </c>
      <c r="AU181" s="172">
        <f ca="1">(VLOOKUP(AU$72,INDIRECT($C$5&amp;"生成成长"),2))/((VLOOKUP($B181,INDIRECT($B$5&amp;"生成成长"),4))/(VLOOKUP(AU$72,INDIRECT($C$5&amp;"生成成长"),5))*(VLOOKUP($B$5,标准坦克设计!$B$24:$U$30,MATCH("对"&amp;LEFT($C$5,2)&amp;"输出",标准坦克设计!$B$23:$U$23,0)))*(VLOOKUP($B181,INDIRECT($B$5&amp;"生成成长"),3))*(VLOOKUP($B$5,标准坦克设计!$B$14:$K$20,9)/30))</f>
        <v>5.9678822597055126</v>
      </c>
      <c r="AV181" s="172">
        <f ca="1">(VLOOKUP(AV$72,INDIRECT($C$5&amp;"生成成长"),2))/((VLOOKUP($B181,INDIRECT($B$5&amp;"生成成长"),4))/(VLOOKUP(AV$72,INDIRECT($C$5&amp;"生成成长"),5))*(VLOOKUP($B$5,标准坦克设计!$B$24:$U$30,MATCH("对"&amp;LEFT($C$5,2)&amp;"输出",标准坦克设计!$B$23:$U$23,0)))*(VLOOKUP($B181,INDIRECT($B$5&amp;"生成成长"),3))*(VLOOKUP($B$5,标准坦克设计!$B$14:$K$20,9)/30))</f>
        <v>0.60698898892724285</v>
      </c>
      <c r="AW181" s="172">
        <f ca="1">(VLOOKUP(AW$72,INDIRECT($C$5&amp;"生成成长"),2))/((VLOOKUP($B181,INDIRECT($B$5&amp;"生成成长"),4))/(VLOOKUP(AW$72,INDIRECT($C$5&amp;"生成成长"),5))*(VLOOKUP($B$5,标准坦克设计!$B$24:$U$30,MATCH("对"&amp;LEFT($C$5,2)&amp;"输出",标准坦克设计!$B$23:$U$23,0)))*(VLOOKUP($B181,INDIRECT($B$5&amp;"生成成长"),3))*(VLOOKUP($B$5,标准坦克设计!$B$14:$K$20,9)/30))</f>
        <v>0.69208253290785027</v>
      </c>
      <c r="AX181" s="172">
        <f ca="1">(VLOOKUP(AX$72,INDIRECT($C$5&amp;"生成成长"),2))/((VLOOKUP($B181,INDIRECT($B$5&amp;"生成成长"),4))/(VLOOKUP(AX$72,INDIRECT($C$5&amp;"生成成长"),5))*(VLOOKUP($B$5,标准坦克设计!$B$24:$U$30,MATCH("对"&amp;LEFT($C$5,2)&amp;"输出",标准坦克设计!$B$23:$U$23,0)))*(VLOOKUP($B181,INDIRECT($B$5&amp;"生成成长"),3))*(VLOOKUP($B$5,标准坦克设计!$B$14:$K$20,9)/30))</f>
        <v>0.78275598141177616</v>
      </c>
      <c r="AY181" s="172">
        <f ca="1">(VLOOKUP(AY$72,INDIRECT($C$5&amp;"生成成长"),2))/((VLOOKUP($B181,INDIRECT($B$5&amp;"生成成长"),4))/(VLOOKUP(AY$72,INDIRECT($C$5&amp;"生成成长"),5))*(VLOOKUP($B$5,标准坦克设计!$B$24:$U$30,MATCH("对"&amp;LEFT($C$5,2)&amp;"输出",标准坦克设计!$B$23:$U$23,0)))*(VLOOKUP($B181,INDIRECT($B$5&amp;"生成成长"),3))*(VLOOKUP($B$5,标准坦克设计!$B$14:$K$20,9)/30))</f>
        <v>0.87900933443902063</v>
      </c>
      <c r="AZ181" s="172">
        <f ca="1">(VLOOKUP(AZ$72,INDIRECT($C$5&amp;"生成成长"),2))/((VLOOKUP($B181,INDIRECT($B$5&amp;"生成成长"),4))/(VLOOKUP(AZ$72,INDIRECT($C$5&amp;"生成成长"),5))*(VLOOKUP($B$5,标准坦克设计!$B$24:$U$30,MATCH("对"&amp;LEFT($C$5,2)&amp;"输出",标准坦克设计!$B$23:$U$23,0)))*(VLOOKUP($B181,INDIRECT($B$5&amp;"生成成长"),3))*(VLOOKUP($B$5,标准坦克设计!$B$14:$K$20,9)/30))</f>
        <v>0.98084259198958379</v>
      </c>
      <c r="BA181" s="172">
        <f ca="1">(VLOOKUP(BA$72,INDIRECT($C$5&amp;"生成成长"),2))/((VLOOKUP($B181,INDIRECT($B$5&amp;"生成成长"),4))/(VLOOKUP(BA$72,INDIRECT($C$5&amp;"生成成长"),5))*(VLOOKUP($B$5,标准坦克设计!$B$24:$U$30,MATCH("对"&amp;LEFT($C$5,2)&amp;"输出",标准坦克设计!$B$23:$U$23,0)))*(VLOOKUP($B181,INDIRECT($B$5&amp;"生成成长"),3))*(VLOOKUP($B$5,标准坦克设计!$B$14:$K$20,9)/30))</f>
        <v>1.0882557540634652</v>
      </c>
      <c r="BB181" s="172">
        <f ca="1">(VLOOKUP(BB$72,INDIRECT($C$5&amp;"生成成长"),2))/((VLOOKUP($B181,INDIRECT($B$5&amp;"生成成长"),4))/(VLOOKUP(BB$72,INDIRECT($C$5&amp;"生成成长"),5))*(VLOOKUP($B$5,标准坦克设计!$B$24:$U$30,MATCH("对"&amp;LEFT($C$5,2)&amp;"输出",标准坦克设计!$B$23:$U$23,0)))*(VLOOKUP($B181,INDIRECT($B$5&amp;"生成成长"),3))*(VLOOKUP($B$5,标准坦克设计!$B$14:$K$20,9)/30))</f>
        <v>1.2012488206606653</v>
      </c>
      <c r="BC181" s="172">
        <f ca="1">(VLOOKUP(BC$72,INDIRECT($C$5&amp;"生成成长"),2))/((VLOOKUP($B181,INDIRECT($B$5&amp;"生成成长"),4))/(VLOOKUP(BC$72,INDIRECT($C$5&amp;"生成成长"),5))*(VLOOKUP($B$5,标准坦克设计!$B$24:$U$30,MATCH("对"&amp;LEFT($C$5,2)&amp;"输出",标准坦克设计!$B$23:$U$23,0)))*(VLOOKUP($B181,INDIRECT($B$5&amp;"生成成长"),3))*(VLOOKUP($B$5,标准坦克设计!$B$14:$K$20,9)/30))</f>
        <v>1.3198217917811834</v>
      </c>
      <c r="BD181" s="172">
        <f ca="1">(VLOOKUP(BD$72,INDIRECT($C$5&amp;"生成成长"),2))/((VLOOKUP($B181,INDIRECT($B$5&amp;"生成成长"),4))/(VLOOKUP(BD$72,INDIRECT($C$5&amp;"生成成长"),5))*(VLOOKUP($B$5,标准坦克设计!$B$24:$U$30,MATCH("对"&amp;LEFT($C$5,2)&amp;"输出",标准坦克设计!$B$23:$U$23,0)))*(VLOOKUP($B181,INDIRECT($B$5&amp;"生成成长"),3))*(VLOOKUP($B$5,标准坦克设计!$B$14:$K$20,9)/30))</f>
        <v>1.4598861139172965</v>
      </c>
      <c r="BE181" s="172">
        <f ca="1">(VLOOKUP(BE$72,INDIRECT($C$5&amp;"生成成长"),2))/((VLOOKUP($B181,INDIRECT($B$5&amp;"生成成长"),4))/(VLOOKUP(BE$72,INDIRECT($C$5&amp;"生成成长"),5))*(VLOOKUP($B$5,标准坦克设计!$B$24:$U$30,MATCH("对"&amp;LEFT($C$5,2)&amp;"输出",标准坦克设计!$B$23:$U$23,0)))*(VLOOKUP($B181,INDIRECT($B$5&amp;"生成成长"),3))*(VLOOKUP($B$5,标准坦克设计!$B$14:$K$20,9)/30))</f>
        <v>1.6070125027157343</v>
      </c>
      <c r="BF181" s="172">
        <f ca="1">(VLOOKUP(BF$72,INDIRECT($C$5&amp;"生成成长"),2))/((VLOOKUP($B181,INDIRECT($B$5&amp;"生成成长"),4))/(VLOOKUP(BF$72,INDIRECT($C$5&amp;"生成成长"),5))*(VLOOKUP($B$5,标准坦克设计!$B$24:$U$30,MATCH("对"&amp;LEFT($C$5,2)&amp;"输出",标准坦克设计!$B$23:$U$23,0)))*(VLOOKUP($B181,INDIRECT($B$5&amp;"生成成长"),3))*(VLOOKUP($B$5,标准坦克设计!$B$14:$K$20,9)/30))</f>
        <v>1.7612009581764967</v>
      </c>
      <c r="BG181" s="172">
        <f ca="1">(VLOOKUP(BG$72,INDIRECT($C$5&amp;"生成成长"),2))/((VLOOKUP($B181,INDIRECT($B$5&amp;"生成成长"),4))/(VLOOKUP(BG$72,INDIRECT($C$5&amp;"生成成长"),5))*(VLOOKUP($B$5,标准坦克设计!$B$24:$U$30,MATCH("对"&amp;LEFT($C$5,2)&amp;"输出",标准坦克设计!$B$23:$U$23,0)))*(VLOOKUP($B181,INDIRECT($B$5&amp;"生成成长"),3))*(VLOOKUP($B$5,标准坦克设计!$B$14:$K$20,9)/30))</f>
        <v>1.922451480299584</v>
      </c>
      <c r="BH181" s="172">
        <f ca="1">(VLOOKUP(BH$72,INDIRECT($C$5&amp;"生成成长"),2))/((VLOOKUP($B181,INDIRECT($B$5&amp;"生成成长"),4))/(VLOOKUP(BH$72,INDIRECT($C$5&amp;"生成成长"),5))*(VLOOKUP($B$5,标准坦克设计!$B$24:$U$30,MATCH("对"&amp;LEFT($C$5,2)&amp;"输出",标准坦克设计!$B$23:$U$23,0)))*(VLOOKUP($B181,INDIRECT($B$5&amp;"生成成长"),3))*(VLOOKUP($B$5,标准坦克设计!$B$14:$K$20,9)/30))</f>
        <v>0.92922847514888718</v>
      </c>
      <c r="BI181" s="172">
        <f ca="1">(VLOOKUP(BI$72,INDIRECT($C$5&amp;"生成成长"),2))/((VLOOKUP($B181,INDIRECT($B$5&amp;"生成成长"),4))/(VLOOKUP(BI$72,INDIRECT($C$5&amp;"生成成长"),5))*(VLOOKUP($B$5,标准坦克设计!$B$24:$U$30,MATCH("对"&amp;LEFT($C$5,2)&amp;"输出",标准坦克设计!$B$23:$U$23,0)))*(VLOOKUP($B181,INDIRECT($B$5&amp;"生成成长"),3))*(VLOOKUP($B$5,标准坦克设计!$B$14:$K$20,9)/30))</f>
        <v>1.0473219232244333</v>
      </c>
      <c r="BJ181" s="172">
        <f ca="1">(VLOOKUP(BJ$72,INDIRECT($C$5&amp;"生成成长"),2))/((VLOOKUP($B181,INDIRECT($B$5&amp;"生成成长"),4))/(VLOOKUP(BJ$72,INDIRECT($C$5&amp;"生成成长"),5))*(VLOOKUP($B$5,标准坦克设计!$B$24:$U$30,MATCH("对"&amp;LEFT($C$5,2)&amp;"输出",标准坦克设计!$B$23:$U$23,0)))*(VLOOKUP($B181,INDIRECT($B$5&amp;"生成成长"),3))*(VLOOKUP($B$5,标准坦克设计!$B$14:$K$20,9)/30))</f>
        <v>1.172477437962304</v>
      </c>
      <c r="BK181" s="172">
        <f ca="1">(VLOOKUP(BK$72,INDIRECT($C$5&amp;"生成成长"),2))/((VLOOKUP($B181,INDIRECT($B$5&amp;"生成成长"),4))/(VLOOKUP(BK$72,INDIRECT($C$5&amp;"生成成长"),5))*(VLOOKUP($B$5,标准坦克设计!$B$24:$U$30,MATCH("对"&amp;LEFT($C$5,2)&amp;"输出",标准坦克设计!$B$23:$U$23,0)))*(VLOOKUP($B181,INDIRECT($B$5&amp;"生成成长"),3))*(VLOOKUP($B$5,标准坦克设计!$B$14:$K$20,9)/30))</f>
        <v>1.3046950193625002</v>
      </c>
      <c r="BL181" s="172">
        <f ca="1">(VLOOKUP(BL$72,INDIRECT($C$5&amp;"生成成长"),2))/((VLOOKUP($B181,INDIRECT($B$5&amp;"生成成长"),4))/(VLOOKUP(BL$72,INDIRECT($C$5&amp;"生成成长"),5))*(VLOOKUP($B$5,标准坦克设计!$B$24:$U$30,MATCH("对"&amp;LEFT($C$5,2)&amp;"输出",标准坦克设计!$B$23:$U$23,0)))*(VLOOKUP($B181,INDIRECT($B$5&amp;"生成成长"),3))*(VLOOKUP($B$5,标准坦克设计!$B$14:$K$20,9)/30))</f>
        <v>1.4439746674250209</v>
      </c>
      <c r="BM181" s="172">
        <f ca="1">(VLOOKUP(BM$72,INDIRECT($C$5&amp;"生成成长"),2))/((VLOOKUP($B181,INDIRECT($B$5&amp;"生成成长"),4))/(VLOOKUP(BM$72,INDIRECT($C$5&amp;"生成成长"),5))*(VLOOKUP($B$5,标准坦克设计!$B$24:$U$30,MATCH("对"&amp;LEFT($C$5,2)&amp;"输出",标准坦克设计!$B$23:$U$23,0)))*(VLOOKUP($B181,INDIRECT($B$5&amp;"生成成长"),3))*(VLOOKUP($B$5,标准坦克设计!$B$14:$K$20,9)/30))</f>
        <v>1.5903163821498669</v>
      </c>
      <c r="BN181" s="172">
        <f ca="1">(VLOOKUP(BN$72,INDIRECT($C$5&amp;"生成成长"),2))/((VLOOKUP($B181,INDIRECT($B$5&amp;"生成成长"),4))/(VLOOKUP(BN$72,INDIRECT($C$5&amp;"生成成长"),5))*(VLOOKUP($B$5,标准坦克设计!$B$24:$U$30,MATCH("对"&amp;LEFT($C$5,2)&amp;"输出",标准坦克设计!$B$23:$U$23,0)))*(VLOOKUP($B181,INDIRECT($B$5&amp;"生成成长"),3))*(VLOOKUP($B$5,标准坦克设计!$B$14:$K$20,9)/30))</f>
        <v>1.7437201635370376</v>
      </c>
      <c r="BO181" s="172">
        <f ca="1">(VLOOKUP(BO$72,INDIRECT($C$5&amp;"生成成长"),2))/((VLOOKUP($B181,INDIRECT($B$5&amp;"生成成长"),4))/(VLOOKUP(BO$72,INDIRECT($C$5&amp;"生成成长"),5))*(VLOOKUP($B$5,标准坦克设计!$B$24:$U$30,MATCH("对"&amp;LEFT($C$5,2)&amp;"输出",标准坦克设计!$B$23:$U$23,0)))*(VLOOKUP($B181,INDIRECT($B$5&amp;"生成成长"),3))*(VLOOKUP($B$5,标准坦克设计!$B$14:$K$20,9)/30))</f>
        <v>1.9041860115865337</v>
      </c>
      <c r="BP181" s="172">
        <f ca="1">(VLOOKUP(BP$72,INDIRECT($C$5&amp;"生成成长"),2))/((VLOOKUP($B181,INDIRECT($B$5&amp;"生成成长"),4))/(VLOOKUP(BP$72,INDIRECT($C$5&amp;"生成成长"),5))*(VLOOKUP($B$5,标准坦克设计!$B$24:$U$30,MATCH("对"&amp;LEFT($C$5,2)&amp;"输出",标准坦克设计!$B$23:$U$23,0)))*(VLOOKUP($B181,INDIRECT($B$5&amp;"生成成长"),3))*(VLOOKUP($B$5,标准坦克设计!$B$14:$K$20,9)/30))</f>
        <v>2.0717139262983544</v>
      </c>
      <c r="BQ181" s="172">
        <f ca="1">(VLOOKUP(BQ$72,INDIRECT($C$5&amp;"生成成长"),2))/((VLOOKUP($B181,INDIRECT($B$5&amp;"生成成长"),4))/(VLOOKUP(BQ$72,INDIRECT($C$5&amp;"生成成长"),5))*(VLOOKUP($B$5,标准坦克设计!$B$24:$U$30,MATCH("对"&amp;LEFT($C$5,2)&amp;"输出",标准坦克设计!$B$23:$U$23,0)))*(VLOOKUP($B181,INDIRECT($B$5&amp;"生成成长"),3))*(VLOOKUP($B$5,标准坦克设计!$B$14:$K$20,9)/30))</f>
        <v>2.2463039076725004</v>
      </c>
      <c r="BR181" s="172">
        <f ca="1">(VLOOKUP(BR$72,INDIRECT($C$5&amp;"生成成长"),2))/((VLOOKUP($B181,INDIRECT($B$5&amp;"生成成长"),4))/(VLOOKUP(BR$72,INDIRECT($C$5&amp;"生成成长"),5))*(VLOOKUP($B$5,标准坦克设计!$B$24:$U$30,MATCH("对"&amp;LEFT($C$5,2)&amp;"输出",标准坦克设计!$B$23:$U$23,0)))*(VLOOKUP($B181,INDIRECT($B$5&amp;"生成成长"),3))*(VLOOKUP($B$5,标准坦克设计!$B$14:$K$20,9)/30))</f>
        <v>2.4485754466427965</v>
      </c>
      <c r="BS181" s="172">
        <f ca="1">(VLOOKUP(BS$72,INDIRECT($C$5&amp;"生成成长"),2))/((VLOOKUP($B181,INDIRECT($B$5&amp;"生成成长"),4))/(VLOOKUP(BS$72,INDIRECT($C$5&amp;"生成成长"),5))*(VLOOKUP($B$5,标准坦克设计!$B$24:$U$30,MATCH("对"&amp;LEFT($C$5,2)&amp;"输出",标准坦克设计!$B$23:$U$23,0)))*(VLOOKUP($B181,INDIRECT($B$5&amp;"生成成长"),3))*(VLOOKUP($B$5,标准坦克设计!$B$14:$K$20,9)/30))</f>
        <v>2.6595655864307783</v>
      </c>
      <c r="BT181" s="172">
        <f ca="1">(VLOOKUP(BT$72,INDIRECT($C$5&amp;"生成成长"),2))/((VLOOKUP($B181,INDIRECT($B$5&amp;"生成成长"),4))/(VLOOKUP(BT$72,INDIRECT($C$5&amp;"生成成长"),5))*(VLOOKUP($B$5,标准坦克设计!$B$24:$U$30,MATCH("对"&amp;LEFT($C$5,2)&amp;"输出",标准坦克设计!$B$23:$U$23,0)))*(VLOOKUP($B181,INDIRECT($B$5&amp;"生成成长"),3))*(VLOOKUP($B$5,标准坦克设计!$B$14:$K$20,9)/30))</f>
        <v>2.8792743270364447</v>
      </c>
      <c r="BU181" s="172">
        <f ca="1">(VLOOKUP(BU$72,INDIRECT($C$5&amp;"生成成长"),2))/((VLOOKUP($B181,INDIRECT($B$5&amp;"生成成长"),4))/(VLOOKUP(BU$72,INDIRECT($C$5&amp;"生成成长"),5))*(VLOOKUP($B$5,标准坦克设计!$B$24:$U$30,MATCH("对"&amp;LEFT($C$5,2)&amp;"输出",标准坦克设计!$B$23:$U$23,0)))*(VLOOKUP($B181,INDIRECT($B$5&amp;"生成成长"),3))*(VLOOKUP($B$5,标准坦克设计!$B$14:$K$20,9)/30))</f>
        <v>3.1077016684597969</v>
      </c>
      <c r="BV181" s="172">
        <f ca="1">(VLOOKUP(BV$72,INDIRECT($C$5&amp;"生成成长"),2))/((VLOOKUP($B181,INDIRECT($B$5&amp;"生成成长"),4))/(VLOOKUP(BV$72,INDIRECT($C$5&amp;"生成成长"),5))*(VLOOKUP($B$5,标准坦克设计!$B$24:$U$30,MATCH("对"&amp;LEFT($C$5,2)&amp;"输出",标准坦克设计!$B$23:$U$23,0)))*(VLOOKUP($B181,INDIRECT($B$5&amp;"生成成长"),3))*(VLOOKUP($B$5,标准坦克设计!$B$14:$K$20,9)/30))</f>
        <v>3.3448476107008336</v>
      </c>
      <c r="BW181" s="172">
        <f ca="1">(VLOOKUP(BW$72,INDIRECT($C$5&amp;"生成成长"),2))/((VLOOKUP($B181,INDIRECT($B$5&amp;"生成成长"),4))/(VLOOKUP(BW$72,INDIRECT($C$5&amp;"生成成长"),5))*(VLOOKUP($B$5,标准坦克设计!$B$24:$U$30,MATCH("对"&amp;LEFT($C$5,2)&amp;"输出",标准坦克设计!$B$23:$U$23,0)))*(VLOOKUP($B181,INDIRECT($B$5&amp;"生成成长"),3))*(VLOOKUP($B$5,标准坦克设计!$B$14:$K$20,9)/30))</f>
        <v>1.5244037599681663</v>
      </c>
      <c r="BX181" s="172">
        <f ca="1">(VLOOKUP(BX$72,INDIRECT($C$5&amp;"生成成长"),2))/((VLOOKUP($B181,INDIRECT($B$5&amp;"生成成长"),4))/(VLOOKUP(BX$72,INDIRECT($C$5&amp;"生成成长"),5))*(VLOOKUP($B$5,标准坦克设计!$B$24:$U$30,MATCH("对"&amp;LEFT($C$5,2)&amp;"输出",标准坦克设计!$B$23:$U$23,0)))*(VLOOKUP($B181,INDIRECT($B$5&amp;"生成成长"),3))*(VLOOKUP($B$5,标准坦克设计!$B$14:$K$20,9)/30))</f>
        <v>1.6918008956677222</v>
      </c>
      <c r="BY181" s="172">
        <f ca="1">(VLOOKUP(BY$72,INDIRECT($C$5&amp;"生成成长"),2))/((VLOOKUP($B181,INDIRECT($B$5&amp;"生成成长"),4))/(VLOOKUP(BY$72,INDIRECT($C$5&amp;"生成成长"),5))*(VLOOKUP($B$5,标准坦克设计!$B$24:$U$30,MATCH("对"&amp;LEFT($C$5,2)&amp;"输出",标准坦克设计!$B$23:$U$23,0)))*(VLOOKUP($B181,INDIRECT($B$5&amp;"生成成长"),3))*(VLOOKUP($B$5,标准坦克设计!$B$14:$K$20,9)/30))</f>
        <v>1.8679166321849636</v>
      </c>
      <c r="BZ181" s="172">
        <f ca="1">(VLOOKUP(BZ$72,INDIRECT($C$5&amp;"生成成长"),2))/((VLOOKUP($B181,INDIRECT($B$5&amp;"生成成长"),4))/(VLOOKUP(BZ$72,INDIRECT($C$5&amp;"生成成长"),5))*(VLOOKUP($B$5,标准坦克设计!$B$24:$U$30,MATCH("对"&amp;LEFT($C$5,2)&amp;"输出",标准坦克设计!$B$23:$U$23,0)))*(VLOOKUP($B181,INDIRECT($B$5&amp;"生成成长"),3))*(VLOOKUP($B$5,标准坦克设计!$B$14:$K$20,9)/30))</f>
        <v>2.0527509695198889</v>
      </c>
      <c r="CA181" s="172">
        <f ca="1">(VLOOKUP(CA$72,INDIRECT($C$5&amp;"生成成长"),2))/((VLOOKUP($B181,INDIRECT($B$5&amp;"生成成长"),4))/(VLOOKUP(CA$72,INDIRECT($C$5&amp;"生成成长"),5))*(VLOOKUP($B$5,标准坦克设计!$B$24:$U$30,MATCH("对"&amp;LEFT($C$5,2)&amp;"输出",标准坦克设计!$B$23:$U$23,0)))*(VLOOKUP($B181,INDIRECT($B$5&amp;"生成成长"),3))*(VLOOKUP($B$5,标准坦克设计!$B$14:$K$20,9)/30))</f>
        <v>2.2463039076725004</v>
      </c>
      <c r="CB181" s="172">
        <f ca="1">(VLOOKUP(CB$72,INDIRECT($C$5&amp;"生成成长"),2))/((VLOOKUP($B181,INDIRECT($B$5&amp;"生成成长"),4))/(VLOOKUP(CB$72,INDIRECT($C$5&amp;"生成成长"),5))*(VLOOKUP($B$5,标准坦克设计!$B$24:$U$30,MATCH("对"&amp;LEFT($C$5,2)&amp;"输出",标准坦克设计!$B$23:$U$23,0)))*(VLOOKUP($B181,INDIRECT($B$5&amp;"生成成长"),3))*(VLOOKUP($B$5,标准坦克设计!$B$14:$K$20,9)/30))</f>
        <v>2.4485754466427965</v>
      </c>
      <c r="CC181" s="172">
        <f ca="1">(VLOOKUP(CC$72,INDIRECT($C$5&amp;"生成成长"),2))/((VLOOKUP($B181,INDIRECT($B$5&amp;"生成成长"),4))/(VLOOKUP(CC$72,INDIRECT($C$5&amp;"生成成长"),5))*(VLOOKUP($B$5,标准坦克设计!$B$24:$U$30,MATCH("对"&amp;LEFT($C$5,2)&amp;"输出",标准坦克设计!$B$23:$U$23,0)))*(VLOOKUP($B181,INDIRECT($B$5&amp;"生成成长"),3))*(VLOOKUP($B$5,标准坦克设计!$B$14:$K$20,9)/30))</f>
        <v>2.6595655864307783</v>
      </c>
      <c r="CD181" s="172">
        <f ca="1">(VLOOKUP(CD$72,INDIRECT($C$5&amp;"生成成长"),2))/((VLOOKUP($B181,INDIRECT($B$5&amp;"生成成长"),4))/(VLOOKUP(CD$72,INDIRECT($C$5&amp;"生成成长"),5))*(VLOOKUP($B$5,标准坦克设计!$B$24:$U$30,MATCH("对"&amp;LEFT($C$5,2)&amp;"输出",标准坦克设计!$B$23:$U$23,0)))*(VLOOKUP($B181,INDIRECT($B$5&amp;"生成成长"),3))*(VLOOKUP($B$5,标准坦克设计!$B$14:$K$20,9)/30))</f>
        <v>2.8792743270364447</v>
      </c>
      <c r="CE181" s="172">
        <f ca="1">(VLOOKUP(CE$72,INDIRECT($C$5&amp;"生成成长"),2))/((VLOOKUP($B181,INDIRECT($B$5&amp;"生成成长"),4))/(VLOOKUP(CE$72,INDIRECT($C$5&amp;"生成成长"),5))*(VLOOKUP($B$5,标准坦克设计!$B$24:$U$30,MATCH("对"&amp;LEFT($C$5,2)&amp;"输出",标准坦克设计!$B$23:$U$23,0)))*(VLOOKUP($B181,INDIRECT($B$5&amp;"生成成长"),3))*(VLOOKUP($B$5,标准坦克设计!$B$14:$K$20,9)/30))</f>
        <v>3.1077016684597969</v>
      </c>
      <c r="CF181" s="172">
        <f ca="1">(VLOOKUP(CF$72,INDIRECT($C$5&amp;"生成成长"),2))/((VLOOKUP($B181,INDIRECT($B$5&amp;"生成成长"),4))/(VLOOKUP(CF$72,INDIRECT($C$5&amp;"生成成长"),5))*(VLOOKUP($B$5,标准坦克设计!$B$24:$U$30,MATCH("对"&amp;LEFT($C$5,2)&amp;"输出",标准坦克设计!$B$23:$U$23,0)))*(VLOOKUP($B181,INDIRECT($B$5&amp;"生成成长"),3))*(VLOOKUP($B$5,标准坦克设计!$B$14:$K$20,9)/30))</f>
        <v>3.3448476107008336</v>
      </c>
      <c r="CG181" s="172">
        <f ca="1">(VLOOKUP(CG$72,INDIRECT($C$5&amp;"生成成长"),2))/((VLOOKUP($B181,INDIRECT($B$5&amp;"生成成长"),4))/(VLOOKUP(CG$72,INDIRECT($C$5&amp;"生成成长"),5))*(VLOOKUP($B$5,标准坦克设计!$B$24:$U$30,MATCH("对"&amp;LEFT($C$5,2)&amp;"输出",标准坦克设计!$B$23:$U$23,0)))*(VLOOKUP($B181,INDIRECT($B$5&amp;"生成成长"),3))*(VLOOKUP($B$5,标准坦克设计!$B$14:$K$20,9)/30))</f>
        <v>3.5907121537595565</v>
      </c>
      <c r="CH181" s="172">
        <f ca="1">(VLOOKUP(CH$72,INDIRECT($C$5&amp;"生成成长"),2))/((VLOOKUP($B181,INDIRECT($B$5&amp;"生成成长"),4))/(VLOOKUP(CH$72,INDIRECT($C$5&amp;"生成成长"),5))*(VLOOKUP($B$5,标准坦克设计!$B$24:$U$30,MATCH("对"&amp;LEFT($C$5,2)&amp;"输出",标准坦克设计!$B$23:$U$23,0)))*(VLOOKUP($B181,INDIRECT($B$5&amp;"生成成长"),3))*(VLOOKUP($B$5,标准坦克设计!$B$14:$K$20,9)/30))</f>
        <v>3.8452952976359636</v>
      </c>
      <c r="CI181" s="172">
        <f ca="1">(VLOOKUP(CI$72,INDIRECT($C$5&amp;"生成成长"),2))/((VLOOKUP($B181,INDIRECT($B$5&amp;"生成成长"),4))/(VLOOKUP(CI$72,INDIRECT($C$5&amp;"生成成长"),5))*(VLOOKUP($B$5,标准坦克设计!$B$24:$U$30,MATCH("对"&amp;LEFT($C$5,2)&amp;"输出",标准坦克设计!$B$23:$U$23,0)))*(VLOOKUP($B181,INDIRECT($B$5&amp;"生成成长"),3))*(VLOOKUP($B$5,标准坦克设计!$B$14:$K$20,9)/30))</f>
        <v>4.1354067398444387</v>
      </c>
      <c r="CJ181" s="172">
        <f ca="1">(VLOOKUP(CJ$72,INDIRECT($C$5&amp;"生成成长"),2))/((VLOOKUP($B181,INDIRECT($B$5&amp;"生成成长"),4))/(VLOOKUP(CJ$72,INDIRECT($C$5&amp;"生成成长"),5))*(VLOOKUP($B$5,标准坦克设计!$B$24:$U$30,MATCH("对"&amp;LEFT($C$5,2)&amp;"输出",标准坦克设计!$B$23:$U$23,0)))*(VLOOKUP($B181,INDIRECT($B$5&amp;"生成成长"),3))*(VLOOKUP($B$5,标准坦克设计!$B$14:$K$20,9)/30))</f>
        <v>4.4360676890423125</v>
      </c>
      <c r="CK181" s="172">
        <f ca="1">(VLOOKUP(CK$72,INDIRECT($C$5&amp;"生成成长"),2))/((VLOOKUP($B181,INDIRECT($B$5&amp;"生成成长"),4))/(VLOOKUP(CK$72,INDIRECT($C$5&amp;"生成成长"),5))*(VLOOKUP($B$5,标准坦克设计!$B$24:$U$30,MATCH("对"&amp;LEFT($C$5,2)&amp;"输出",标准坦克设计!$B$23:$U$23,0)))*(VLOOKUP($B181,INDIRECT($B$5&amp;"生成成长"),3))*(VLOOKUP($B$5,标准坦克设计!$B$14:$K$20,9)/30))</f>
        <v>4.7472781452295845</v>
      </c>
      <c r="CL181" s="172">
        <f ca="1">(VLOOKUP(CL$72,INDIRECT($C$5&amp;"生成成长"),2))/((VLOOKUP($B181,INDIRECT($B$5&amp;"生成成长"),4))/(VLOOKUP(CL$72,INDIRECT($C$5&amp;"生成成长"),5))*(VLOOKUP($B$5,标准坦克设计!$B$24:$U$30,MATCH("对"&amp;LEFT($C$5,2)&amp;"输出",标准坦克设计!$B$23:$U$23,0)))*(VLOOKUP($B181,INDIRECT($B$5&amp;"生成成长"),3))*(VLOOKUP($B$5,标准坦克设计!$B$14:$K$20,9)/30))</f>
        <v>5.0690381084062581</v>
      </c>
      <c r="CM181" s="172">
        <f ca="1">(VLOOKUP(CM$72,INDIRECT($C$5&amp;"生成成长"),2))/((VLOOKUP($B181,INDIRECT($B$5&amp;"生成成长"),4))/(VLOOKUP(CM$72,INDIRECT($C$5&amp;"生成成长"),5))*(VLOOKUP($B$5,标准坦克设计!$B$24:$U$30,MATCH("对"&amp;LEFT($C$5,2)&amp;"输出",标准坦克设计!$B$23:$U$23,0)))*(VLOOKUP($B181,INDIRECT($B$5&amp;"生成成长"),3))*(VLOOKUP($B$5,标准坦克设计!$B$14:$K$20,9)/30))</f>
        <v>5.4013475785723282</v>
      </c>
      <c r="CN181" s="172">
        <f ca="1">(VLOOKUP(CN$72,INDIRECT($C$5&amp;"生成成长"),2))/((VLOOKUP($B181,INDIRECT($B$5&amp;"生成成长"),4))/(VLOOKUP(CN$72,INDIRECT($C$5&amp;"生成成长"),5))*(VLOOKUP($B$5,标准坦克设计!$B$24:$U$30,MATCH("对"&amp;LEFT($C$5,2)&amp;"输出",标准坦克设计!$B$23:$U$23,0)))*(VLOOKUP($B181,INDIRECT($B$5&amp;"生成成长"),3))*(VLOOKUP($B$5,标准坦克设计!$B$14:$K$20,9)/30))</f>
        <v>5.7442065557277973</v>
      </c>
      <c r="CO181" s="172">
        <f ca="1">(VLOOKUP(CO$72,INDIRECT($C$5&amp;"生成成长"),2))/((VLOOKUP($B181,INDIRECT($B$5&amp;"生成成长"),4))/(VLOOKUP(CO$72,INDIRECT($C$5&amp;"生成成长"),5))*(VLOOKUP($B$5,标准坦克设计!$B$24:$U$30,MATCH("对"&amp;LEFT($C$5,2)&amp;"输出",标准坦克设计!$B$23:$U$23,0)))*(VLOOKUP($B181,INDIRECT($B$5&amp;"生成成长"),3))*(VLOOKUP($B$5,标准坦克设计!$B$14:$K$20,9)/30))</f>
        <v>2.5741232984174633</v>
      </c>
      <c r="CP181" s="172">
        <f ca="1">(VLOOKUP(CP$72,INDIRECT($C$5&amp;"生成成长"),2))/((VLOOKUP($B181,INDIRECT($B$5&amp;"生成成长"),4))/(VLOOKUP(CP$72,INDIRECT($C$5&amp;"生成成长"),5))*(VLOOKUP($B$5,标准坦克设计!$B$24:$U$30,MATCH("对"&amp;LEFT($C$5,2)&amp;"输出",标准坦克设计!$B$23:$U$23,0)))*(VLOOKUP($B181,INDIRECT($B$5&amp;"生成成长"),3))*(VLOOKUP($B$5,标准坦克设计!$B$14:$K$20,9)/30))</f>
        <v>2.812446251768888</v>
      </c>
      <c r="CQ181" s="172">
        <f ca="1">(VLOOKUP(CQ$72,INDIRECT($C$5&amp;"生成成长"),2))/((VLOOKUP($B181,INDIRECT($B$5&amp;"生成成长"),4))/(VLOOKUP(CQ$72,INDIRECT($C$5&amp;"生成成长"),5))*(VLOOKUP($B$5,标准坦克设计!$B$24:$U$30,MATCH("对"&amp;LEFT($C$5,2)&amp;"输出",标准坦克设计!$B$23:$U$23,0)))*(VLOOKUP($B181,INDIRECT($B$5&amp;"生成成长"),3))*(VLOOKUP($B$5,标准坦克设计!$B$14:$K$20,9)/30))</f>
        <v>3.0613187121097116</v>
      </c>
      <c r="CR181" s="172">
        <f ca="1">(VLOOKUP(CR$72,INDIRECT($C$5&amp;"生成成长"),2))/((VLOOKUP($B181,INDIRECT($B$5&amp;"生成成长"),4))/(VLOOKUP(CR$72,INDIRECT($C$5&amp;"生成成长"),5))*(VLOOKUP($B$5,标准坦克设计!$B$24:$U$30,MATCH("对"&amp;LEFT($C$5,2)&amp;"输出",标准坦克设计!$B$23:$U$23,0)))*(VLOOKUP($B181,INDIRECT($B$5&amp;"生成成长"),3))*(VLOOKUP($B$5,标准坦克设计!$B$14:$K$20,9)/30))</f>
        <v>3.3207406794399339</v>
      </c>
      <c r="CS181" s="172">
        <f ca="1">(VLOOKUP(CS$72,INDIRECT($C$5&amp;"生成成长"),2))/((VLOOKUP($B181,INDIRECT($B$5&amp;"生成成长"),4))/(VLOOKUP(CS$72,INDIRECT($C$5&amp;"生成成长"),5))*(VLOOKUP($B$5,标准坦克设计!$B$24:$U$30,MATCH("对"&amp;LEFT($C$5,2)&amp;"输出",标准坦克设计!$B$23:$U$23,0)))*(VLOOKUP($B181,INDIRECT($B$5&amp;"生成成长"),3))*(VLOOKUP($B$5,标准坦克设计!$B$14:$K$20,9)/30))</f>
        <v>3.5907121537595565</v>
      </c>
      <c r="CT181" s="172">
        <f ca="1">(VLOOKUP(CT$72,INDIRECT($C$5&amp;"生成成长"),2))/((VLOOKUP($B181,INDIRECT($B$5&amp;"生成成长"),4))/(VLOOKUP(CT$72,INDIRECT($C$5&amp;"生成成长"),5))*(VLOOKUP($B$5,标准坦克设计!$B$24:$U$30,MATCH("对"&amp;LEFT($C$5,2)&amp;"输出",标准坦克设计!$B$23:$U$23,0)))*(VLOOKUP($B181,INDIRECT($B$5&amp;"生成成长"),3))*(VLOOKUP($B$5,标准坦克设计!$B$14:$K$20,9)/30))</f>
        <v>3.8712331350685774</v>
      </c>
      <c r="CU181" s="172">
        <f ca="1">(VLOOKUP(CU$72,INDIRECT($C$5&amp;"生成成长"),2))/((VLOOKUP($B181,INDIRECT($B$5&amp;"生成成长"),4))/(VLOOKUP(CU$72,INDIRECT($C$5&amp;"生成成长"),5))*(VLOOKUP($B$5,标准坦克设计!$B$24:$U$30,MATCH("对"&amp;LEFT($C$5,2)&amp;"输出",标准坦克设计!$B$23:$U$23,0)))*(VLOOKUP($B181,INDIRECT($B$5&amp;"生成成长"),3))*(VLOOKUP($B$5,标准坦克设计!$B$14:$K$20,9)/30))</f>
        <v>4.1623036233669977</v>
      </c>
      <c r="CV181" s="172">
        <f ca="1">(VLOOKUP(CV$72,INDIRECT($C$5&amp;"生成成长"),2))/((VLOOKUP($B181,INDIRECT($B$5&amp;"生成成长"),4))/(VLOOKUP(CV$72,INDIRECT($C$5&amp;"生成成长"),5))*(VLOOKUP($B$5,标准坦克设计!$B$24:$U$30,MATCH("对"&amp;LEFT($C$5,2)&amp;"输出",标准坦克设计!$B$23:$U$23,0)))*(VLOOKUP($B181,INDIRECT($B$5&amp;"生成成长"),3))*(VLOOKUP($B$5,标准坦克设计!$B$14:$K$20,9)/30))</f>
        <v>4.4639236186548166</v>
      </c>
      <c r="CW181" s="172">
        <f ca="1">(VLOOKUP(CW$72,INDIRECT($C$5&amp;"生成成长"),2))/((VLOOKUP($B181,INDIRECT($B$5&amp;"生成成长"),4))/(VLOOKUP(CW$72,INDIRECT($C$5&amp;"生成成长"),5))*(VLOOKUP($B$5,标准坦克设计!$B$24:$U$30,MATCH("对"&amp;LEFT($C$5,2)&amp;"输出",标准坦克设计!$B$23:$U$23,0)))*(VLOOKUP($B181,INDIRECT($B$5&amp;"生成成长"),3))*(VLOOKUP($B$5,标准坦克设计!$B$14:$K$20,9)/30))</f>
        <v>4.7760931209320336</v>
      </c>
      <c r="CX181" s="172">
        <f ca="1">(VLOOKUP(CX$72,INDIRECT($C$5&amp;"生成成长"),2))/((VLOOKUP($B181,INDIRECT($B$5&amp;"生成成长"),4))/(VLOOKUP(CX$72,INDIRECT($C$5&amp;"生成成长"),5))*(VLOOKUP($B$5,标准坦克设计!$B$24:$U$30,MATCH("对"&amp;LEFT($C$5,2)&amp;"输出",标准坦克设计!$B$23:$U$23,0)))*(VLOOKUP($B181,INDIRECT($B$5&amp;"生成成长"),3))*(VLOOKUP($B$5,标准坦克设计!$B$14:$K$20,9)/30))</f>
        <v>5.0988121301986524</v>
      </c>
      <c r="CY181" s="172">
        <f ca="1">(VLOOKUP(CY$72,INDIRECT($C$5&amp;"生成成长"),2))/((VLOOKUP($B181,INDIRECT($B$5&amp;"生成成长"),4))/(VLOOKUP(CY$72,INDIRECT($C$5&amp;"生成成长"),5))*(VLOOKUP($B$5,标准坦克设计!$B$24:$U$30,MATCH("对"&amp;LEFT($C$5,2)&amp;"输出",标准坦克设计!$B$23:$U$23,0)))*(VLOOKUP($B181,INDIRECT($B$5&amp;"生成成长"),3))*(VLOOKUP($B$5,标准坦克设计!$B$14:$K$20,9)/30))</f>
        <v>5.4320806464546676</v>
      </c>
      <c r="CZ181" s="172">
        <f ca="1">(VLOOKUP(CZ$72,INDIRECT($C$5&amp;"生成成长"),2))/((VLOOKUP($B181,INDIRECT($B$5&amp;"生成成长"),4))/(VLOOKUP(CZ$72,INDIRECT($C$5&amp;"生成成长"),5))*(VLOOKUP($B$5,标准坦克设计!$B$24:$U$30,MATCH("对"&amp;LEFT($C$5,2)&amp;"输出",标准坦克设计!$B$23:$U$23,0)))*(VLOOKUP($B181,INDIRECT($B$5&amp;"生成成长"),3))*(VLOOKUP($B$5,标准坦克设计!$B$14:$K$20,9)/30))</f>
        <v>5.7758986697000836</v>
      </c>
      <c r="DA181" s="172">
        <f ca="1">(VLOOKUP(DA$72,INDIRECT($C$5&amp;"生成成长"),2))/((VLOOKUP($B181,INDIRECT($B$5&amp;"生成成长"),4))/(VLOOKUP(DA$72,INDIRECT($C$5&amp;"生成成长"),5))*(VLOOKUP($B$5,标准坦克设计!$B$24:$U$30,MATCH("对"&amp;LEFT($C$5,2)&amp;"输出",标准坦克设计!$B$23:$U$23,0)))*(VLOOKUP($B181,INDIRECT($B$5&amp;"生成成长"),3))*(VLOOKUP($B$5,标准坦克设计!$B$14:$K$20,9)/30))</f>
        <v>6.1302661999348969</v>
      </c>
      <c r="DB181" s="172">
        <f ca="1">(VLOOKUP(DB$72,INDIRECT($C$5&amp;"生成成长"),2))/((VLOOKUP($B181,INDIRECT($B$5&amp;"生成成长"),4))/(VLOOKUP(DB$72,INDIRECT($C$5&amp;"生成成长"),5))*(VLOOKUP($B$5,标准坦克设计!$B$24:$U$30,MATCH("对"&amp;LEFT($C$5,2)&amp;"输出",标准坦克设计!$B$23:$U$23,0)))*(VLOOKUP($B181,INDIRECT($B$5&amp;"生成成长"),3))*(VLOOKUP($B$5,标准坦克设计!$B$14:$K$20,9)/30))</f>
        <v>6.4951832371591109</v>
      </c>
      <c r="DC181" s="172">
        <f ca="1">(VLOOKUP(DC$72,INDIRECT($C$5&amp;"生成成长"),2))/((VLOOKUP($B181,INDIRECT($B$5&amp;"生成成长"),4))/(VLOOKUP(DC$72,INDIRECT($C$5&amp;"生成成长"),5))*(VLOOKUP($B$5,标准坦克设计!$B$24:$U$30,MATCH("对"&amp;LEFT($C$5,2)&amp;"输出",标准坦克设计!$B$23:$U$23,0)))*(VLOOKUP($B181,INDIRECT($B$5&amp;"生成成长"),3))*(VLOOKUP($B$5,标准坦克设计!$B$14:$K$20,9)/30))</f>
        <v>6.9053062196230224</v>
      </c>
      <c r="DD181" s="172">
        <f ca="1">(VLOOKUP(DD$72,INDIRECT($C$5&amp;"生成成长"),2))/((VLOOKUP($B181,INDIRECT($B$5&amp;"生成成长"),4))/(VLOOKUP(DD$72,INDIRECT($C$5&amp;"生成成长"),5))*(VLOOKUP($B$5,标准坦克设计!$B$24:$U$30,MATCH("对"&amp;LEFT($C$5,2)&amp;"输出",标准坦克设计!$B$23:$U$23,0)))*(VLOOKUP($B181,INDIRECT($B$5&amp;"生成成长"),3))*(VLOOKUP($B$5,标准坦克设计!$B$14:$K$20,9)/30))</f>
        <v>7.3279839872644015</v>
      </c>
      <c r="DE181" s="172">
        <f ca="1">(VLOOKUP(DE$72,INDIRECT($C$5&amp;"生成成长"),2))/((VLOOKUP($B181,INDIRECT($B$5&amp;"生成成长"),4))/(VLOOKUP(DE$72,INDIRECT($C$5&amp;"生成成长"),5))*(VLOOKUP($B$5,标准坦克设计!$B$24:$U$30,MATCH("对"&amp;LEFT($C$5,2)&amp;"输出",标准坦克设计!$B$23:$U$23,0)))*(VLOOKUP($B181,INDIRECT($B$5&amp;"生成成长"),3))*(VLOOKUP($B$5,标准坦克设计!$B$14:$K$20,9)/30))</f>
        <v>7.7632165400832456</v>
      </c>
      <c r="DF181" s="172">
        <f ca="1">(VLOOKUP(DF$72,INDIRECT($C$5&amp;"生成成长"),2))/((VLOOKUP($B181,INDIRECT($B$5&amp;"生成成长"),4))/(VLOOKUP(DF$72,INDIRECT($C$5&amp;"生成成长"),5))*(VLOOKUP($B$5,标准坦克设计!$B$24:$U$30,MATCH("对"&amp;LEFT($C$5,2)&amp;"输出",标准坦克设计!$B$23:$U$23,0)))*(VLOOKUP($B181,INDIRECT($B$5&amp;"生成成长"),3))*(VLOOKUP($B$5,标准坦克设计!$B$14:$K$20,9)/30))</f>
        <v>8.2110038780795556</v>
      </c>
      <c r="DG181" s="172">
        <f ca="1">(VLOOKUP(DG$72,INDIRECT($C$5&amp;"生成成长"),2))/((VLOOKUP($B181,INDIRECT($B$5&amp;"生成成长"),4))/(VLOOKUP(DG$72,INDIRECT($C$5&amp;"生成成长"),5))*(VLOOKUP($B$5,标准坦克设计!$B$24:$U$30,MATCH("对"&amp;LEFT($C$5,2)&amp;"输出",标准坦克设计!$B$23:$U$23,0)))*(VLOOKUP($B181,INDIRECT($B$5&amp;"生成成长"),3))*(VLOOKUP($B$5,标准坦克设计!$B$14:$K$20,9)/30))</f>
        <v>8.6713460012533332</v>
      </c>
      <c r="DH181" s="172">
        <f ca="1">(VLOOKUP(DH$72,INDIRECT($C$5&amp;"生成成长"),2))/((VLOOKUP($B181,INDIRECT($B$5&amp;"生成成长"),4))/(VLOOKUP(DH$72,INDIRECT($C$5&amp;"生成成长"),5))*(VLOOKUP($B$5,标准坦克设计!$B$24:$U$30,MATCH("对"&amp;LEFT($C$5,2)&amp;"输出",标准坦克设计!$B$23:$U$23,0)))*(VLOOKUP($B181,INDIRECT($B$5&amp;"生成成长"),3))*(VLOOKUP($B$5,标准坦克设计!$B$14:$K$20,9)/30))</f>
        <v>9.1442429096045803</v>
      </c>
      <c r="DI181" s="172">
        <f ca="1">(VLOOKUP(DI$72,INDIRECT($C$5&amp;"生成成长"),2))/((VLOOKUP($B181,INDIRECT($B$5&amp;"生成成长"),4))/(VLOOKUP(DI$72,INDIRECT($C$5&amp;"生成成长"),5))*(VLOOKUP($B$5,标准坦克设计!$B$24:$U$30,MATCH("对"&amp;LEFT($C$5,2)&amp;"输出",标准坦克设计!$B$23:$U$23,0)))*(VLOOKUP($B181,INDIRECT($B$5&amp;"生成成长"),3))*(VLOOKUP($B$5,标准坦克设计!$B$14:$K$20,9)/30))</f>
        <v>9.6296946031332897</v>
      </c>
      <c r="DJ181" s="172">
        <f ca="1">(VLOOKUP(DJ$72,INDIRECT($C$5&amp;"生成成长"),2))/((VLOOKUP($B181,INDIRECT($B$5&amp;"生成成长"),4))/(VLOOKUP(DJ$72,INDIRECT($C$5&amp;"生成成长"),5))*(VLOOKUP($B$5,标准坦克设计!$B$24:$U$30,MATCH("对"&amp;LEFT($C$5,2)&amp;"输出",标准坦克设计!$B$23:$U$23,0)))*(VLOOKUP($B181,INDIRECT($B$5&amp;"生成成长"),3))*(VLOOKUP($B$5,标准坦克设计!$B$14:$K$20,9)/30))</f>
        <v>0.96780828376714434</v>
      </c>
      <c r="DK181" s="172">
        <f ca="1">(VLOOKUP(DK$72,INDIRECT($C$5&amp;"生成成长"),2))/((VLOOKUP($B181,INDIRECT($B$5&amp;"生成成长"),4))/(VLOOKUP(DK$72,INDIRECT($C$5&amp;"生成成长"),5))*(VLOOKUP($B$5,标准坦克设计!$B$24:$U$30,MATCH("对"&amp;LEFT($C$5,2)&amp;"输出",标准坦克设计!$B$23:$U$23,0)))*(VLOOKUP($B181,INDIRECT($B$5&amp;"生成成长"),3))*(VLOOKUP($B$5,标准坦克设计!$B$14:$K$20,9)/30))</f>
        <v>1.0882557540634652</v>
      </c>
      <c r="DL181" s="172">
        <f ca="1">(VLOOKUP(DL$72,INDIRECT($C$5&amp;"生成成长"),2))/((VLOOKUP($B181,INDIRECT($B$5&amp;"生成成长"),4))/(VLOOKUP(DL$72,INDIRECT($C$5&amp;"生成成长"),5))*(VLOOKUP($B$5,标准坦克设计!$B$24:$U$30,MATCH("对"&amp;LEFT($C$5,2)&amp;"输出",标准坦克设计!$B$23:$U$23,0)))*(VLOOKUP($B181,INDIRECT($B$5&amp;"生成成长"),3))*(VLOOKUP($B$5,标准坦克设计!$B$14:$K$20,9)/30))</f>
        <v>1.2157652910221108</v>
      </c>
      <c r="DM181" s="172">
        <f ca="1">(VLOOKUP(DM$72,INDIRECT($C$5&amp;"生成成长"),2))/((VLOOKUP($B181,INDIRECT($B$5&amp;"生成成长"),4))/(VLOOKUP(DM$72,INDIRECT($C$5&amp;"生成成长"),5))*(VLOOKUP($B$5,标准坦克设计!$B$24:$U$30,MATCH("对"&amp;LEFT($C$5,2)&amp;"输出",标准坦克设计!$B$23:$U$23,0)))*(VLOOKUP($B181,INDIRECT($B$5&amp;"生成成长"),3))*(VLOOKUP($B$5,标准坦克设计!$B$14:$K$20,9)/30))</f>
        <v>1.350336894643082</v>
      </c>
      <c r="DN181" s="172">
        <f ca="1">(VLOOKUP(DN$72,INDIRECT($C$5&amp;"生成成长"),2))/((VLOOKUP($B181,INDIRECT($B$5&amp;"生成成长"),4))/(VLOOKUP(DN$72,INDIRECT($C$5&amp;"生成成长"),5))*(VLOOKUP($B$5,标准坦克设计!$B$24:$U$30,MATCH("对"&amp;LEFT($C$5,2)&amp;"输出",标准坦克设计!$B$23:$U$23,0)))*(VLOOKUP($B181,INDIRECT($B$5&amp;"生成成长"),3))*(VLOOKUP($B$5,标准坦克设计!$B$14:$K$20,9)/30))</f>
        <v>1.4919705649263781</v>
      </c>
      <c r="DO181" s="172">
        <f ca="1">(VLOOKUP(DO$72,INDIRECT($C$5&amp;"生成成长"),2))/((VLOOKUP($B181,INDIRECT($B$5&amp;"生成成长"),4))/(VLOOKUP(DO$72,INDIRECT($C$5&amp;"生成成长"),5))*(VLOOKUP($B$5,标准坦克设计!$B$24:$U$30,MATCH("对"&amp;LEFT($C$5,2)&amp;"输出",标准坦克设计!$B$23:$U$23,0)))*(VLOOKUP($B181,INDIRECT($B$5&amp;"生成成长"),3))*(VLOOKUP($B$5,标准坦克设计!$B$14:$K$20,9)/30))</f>
        <v>1.6406663018719991</v>
      </c>
      <c r="DP181" s="172">
        <f ca="1">(VLOOKUP(DP$72,INDIRECT($C$5&amp;"生成成长"),2))/((VLOOKUP($B181,INDIRECT($B$5&amp;"生成成长"),4))/(VLOOKUP(DP$72,INDIRECT($C$5&amp;"生成成长"),5))*(VLOOKUP($B$5,标准坦克设计!$B$24:$U$30,MATCH("对"&amp;LEFT($C$5,2)&amp;"输出",标准坦克设计!$B$23:$U$23,0)))*(VLOOKUP($B181,INDIRECT($B$5&amp;"生成成长"),3))*(VLOOKUP($B$5,标准坦克设计!$B$14:$K$20,9)/30))</f>
        <v>1.7964241054799446</v>
      </c>
      <c r="DQ181" s="172">
        <f ca="1">(VLOOKUP(DQ$72,INDIRECT($C$5&amp;"生成成长"),2))/((VLOOKUP($B181,INDIRECT($B$5&amp;"生成成长"),4))/(VLOOKUP(DQ$72,INDIRECT($C$5&amp;"生成成长"),5))*(VLOOKUP($B$5,标准坦克设计!$B$24:$U$30,MATCH("对"&amp;LEFT($C$5,2)&amp;"输出",标准坦克设计!$B$23:$U$23,0)))*(VLOOKUP($B181,INDIRECT($B$5&amp;"生成成长"),3))*(VLOOKUP($B$5,标准坦克设计!$B$14:$K$20,9)/30))</f>
        <v>1.9592439757502154</v>
      </c>
      <c r="DR181" s="172">
        <f ca="1">(VLOOKUP(DR$72,INDIRECT($C$5&amp;"生成成长"),2))/((VLOOKUP($B181,INDIRECT($B$5&amp;"生成成长"),4))/(VLOOKUP(DR$72,INDIRECT($C$5&amp;"生成成长"),5))*(VLOOKUP($B$5,标准坦克设计!$B$24:$U$30,MATCH("对"&amp;LEFT($C$5,2)&amp;"输出",标准坦克设计!$B$23:$U$23,0)))*(VLOOKUP($B181,INDIRECT($B$5&amp;"生成成长"),3))*(VLOOKUP($B$5,标准坦克设计!$B$14:$K$20,9)/30))</f>
        <v>2.1291259126828113</v>
      </c>
      <c r="DS181" s="172">
        <f ca="1">(VLOOKUP(DS$72,INDIRECT($C$5&amp;"生成成长"),2))/((VLOOKUP($B181,INDIRECT($B$5&amp;"生成成长"),4))/(VLOOKUP(DS$72,INDIRECT($C$5&amp;"生成成长"),5))*(VLOOKUP($B$5,标准坦克设计!$B$24:$U$30,MATCH("对"&amp;LEFT($C$5,2)&amp;"输出",标准坦克设计!$B$23:$U$23,0)))*(VLOOKUP($B181,INDIRECT($B$5&amp;"生成成长"),3))*(VLOOKUP($B$5,标准坦克设计!$B$14:$K$20,9)/30))</f>
        <v>2.3060699162777323</v>
      </c>
      <c r="DT181" s="172">
        <f ca="1">(VLOOKUP(DT$72,INDIRECT($C$5&amp;"生成成长"),2))/((VLOOKUP($B181,INDIRECT($B$5&amp;"生成成长"),4))/(VLOOKUP(DT$72,INDIRECT($C$5&amp;"生成成长"),5))*(VLOOKUP($B$5,标准坦克设计!$B$24:$U$30,MATCH("对"&amp;LEFT($C$5,2)&amp;"输出",标准坦克设计!$B$23:$U$23,0)))*(VLOOKUP($B181,INDIRECT($B$5&amp;"生成成长"),3))*(VLOOKUP($B$5,标准坦克设计!$B$14:$K$20,9)/30))</f>
        <v>2.5319252704598667</v>
      </c>
      <c r="DU181" s="172">
        <f ca="1">(VLOOKUP(DU$72,INDIRECT($C$5&amp;"生成成长"),2))/((VLOOKUP($B181,INDIRECT($B$5&amp;"生成成长"),4))/(VLOOKUP(DU$72,INDIRECT($C$5&amp;"生成成长"),5))*(VLOOKUP($B$5,标准坦克设计!$B$24:$U$30,MATCH("对"&amp;LEFT($C$5,2)&amp;"输出",标准坦克设计!$B$23:$U$23,0)))*(VLOOKUP($B181,INDIRECT($B$5&amp;"生成成长"),3))*(VLOOKUP($B$5,标准坦克设计!$B$14:$K$20,9)/30))</f>
        <v>2.7683301316314011</v>
      </c>
      <c r="DV181" s="172">
        <f ca="1">(VLOOKUP(DV$72,INDIRECT($C$5&amp;"生成成长"),2))/((VLOOKUP($B181,INDIRECT($B$5&amp;"生成成长"),4))/(VLOOKUP(DV$72,INDIRECT($C$5&amp;"生成成长"),5))*(VLOOKUP($B$5,标准坦克设计!$B$24:$U$30,MATCH("对"&amp;LEFT($C$5,2)&amp;"输出",标准坦克设计!$B$23:$U$23,0)))*(VLOOKUP($B181,INDIRECT($B$5&amp;"生成成长"),3))*(VLOOKUP($B$5,标准坦克设计!$B$14:$K$20,9)/30))</f>
        <v>3.015284499792334</v>
      </c>
      <c r="DW181" s="172">
        <f ca="1">(VLOOKUP(DW$72,INDIRECT($C$5&amp;"生成成长"),2))/((VLOOKUP($B181,INDIRECT($B$5&amp;"生成成长"),4))/(VLOOKUP(DW$72,INDIRECT($C$5&amp;"生成成长"),5))*(VLOOKUP($B$5,标准坦克设计!$B$24:$U$30,MATCH("对"&amp;LEFT($C$5,2)&amp;"输出",标准坦克设计!$B$23:$U$23,0)))*(VLOOKUP($B181,INDIRECT($B$5&amp;"生成成长"),3))*(VLOOKUP($B$5,标准坦克设计!$B$14:$K$20,9)/30))</f>
        <v>3.2727883749426661</v>
      </c>
      <c r="DX181" s="172">
        <f ca="1">(VLOOKUP(DX$72,INDIRECT($C$5&amp;"生成成长"),2))/((VLOOKUP($B181,INDIRECT($B$5&amp;"生成成长"),4))/(VLOOKUP(DX$72,INDIRECT($C$5&amp;"生成成长"),5))*(VLOOKUP($B$5,标准坦克设计!$B$24:$U$30,MATCH("对"&amp;LEFT($C$5,2)&amp;"输出",标准坦克设计!$B$23:$U$23,0)))*(VLOOKUP($B181,INDIRECT($B$5&amp;"生成成长"),3))*(VLOOKUP($B$5,标准坦克设计!$B$14:$K$20,9)/30))</f>
        <v>3.5408417570823971</v>
      </c>
      <c r="DY181" s="172">
        <f ca="1">(VLOOKUP(DY$72,INDIRECT($C$5&amp;"生成成长"),2))/((VLOOKUP($B181,INDIRECT($B$5&amp;"生成成长"),4))/(VLOOKUP(DY$72,INDIRECT($C$5&amp;"生成成长"),5))*(VLOOKUP($B$5,标准坦克设计!$B$24:$U$30,MATCH("对"&amp;LEFT($C$5,2)&amp;"输出",标准坦克设计!$B$23:$U$23,0)))*(VLOOKUP($B181,INDIRECT($B$5&amp;"生成成长"),3))*(VLOOKUP($B$5,标准坦克设计!$B$14:$K$20,9)/30))</f>
        <v>1.5903163821498669</v>
      </c>
      <c r="DZ181" s="172">
        <f ca="1">(VLOOKUP(DZ$72,INDIRECT($C$5&amp;"生成成长"),2))/((VLOOKUP($B181,INDIRECT($B$5&amp;"生成成长"),4))/(VLOOKUP(DZ$72,INDIRECT($C$5&amp;"生成成长"),5))*(VLOOKUP($B$5,标准坦克设计!$B$24:$U$30,MATCH("对"&amp;LEFT($C$5,2)&amp;"输出",标准坦克设计!$B$23:$U$23,0)))*(VLOOKUP($B181,INDIRECT($B$5&amp;"生成成长"),3))*(VLOOKUP($B$5,标准坦克设计!$B$14:$K$20,9)/30))</f>
        <v>1.7612009581764967</v>
      </c>
      <c r="EA181" s="172">
        <f ca="1">(VLOOKUP(EA$72,INDIRECT($C$5&amp;"生成成长"),2))/((VLOOKUP($B181,INDIRECT($B$5&amp;"生成成长"),4))/(VLOOKUP(EA$72,INDIRECT($C$5&amp;"生成成长"),5))*(VLOOKUP($B$5,标准坦克设计!$B$24:$U$30,MATCH("对"&amp;LEFT($C$5,2)&amp;"输出",标准坦克设计!$B$23:$U$23,0)))*(VLOOKUP($B181,INDIRECT($B$5&amp;"生成成长"),3))*(VLOOKUP($B$5,标准坦克设计!$B$14:$K$20,9)/30))</f>
        <v>1.9408041350208114</v>
      </c>
      <c r="EB181" s="172">
        <f ca="1">(VLOOKUP(EB$72,INDIRECT($C$5&amp;"生成成长"),2))/((VLOOKUP($B181,INDIRECT($B$5&amp;"生成成长"),4))/(VLOOKUP(EB$72,INDIRECT($C$5&amp;"生成成长"),5))*(VLOOKUP($B$5,标准坦克设计!$B$24:$U$30,MATCH("对"&amp;LEFT($C$5,2)&amp;"输出",标准坦克设计!$B$23:$U$23,0)))*(VLOOKUP($B181,INDIRECT($B$5&amp;"生成成长"),3))*(VLOOKUP($B$5,标准坦克设计!$B$14:$K$20,9)/30))</f>
        <v>2.1291259126828113</v>
      </c>
      <c r="EC181" s="172">
        <f ca="1">(VLOOKUP(EC$72,INDIRECT($C$5&amp;"生成成长"),2))/((VLOOKUP($B181,INDIRECT($B$5&amp;"生成成长"),4))/(VLOOKUP(EC$72,INDIRECT($C$5&amp;"生成成长"),5))*(VLOOKUP($B$5,标准坦克设计!$B$24:$U$30,MATCH("对"&amp;LEFT($C$5,2)&amp;"输出",标准坦克设计!$B$23:$U$23,0)))*(VLOOKUP($B181,INDIRECT($B$5&amp;"生成成长"),3))*(VLOOKUP($B$5,标准坦克设计!$B$14:$K$20,9)/30))</f>
        <v>2.326166291162497</v>
      </c>
      <c r="ED181" s="172">
        <f ca="1">(VLOOKUP(ED$72,INDIRECT($C$5&amp;"生成成长"),2))/((VLOOKUP($B181,INDIRECT($B$5&amp;"生成成长"),4))/(VLOOKUP(ED$72,INDIRECT($C$5&amp;"生成成长"),5))*(VLOOKUP($B$5,标准坦克设计!$B$24:$U$30,MATCH("对"&amp;LEFT($C$5,2)&amp;"输出",标准坦克设计!$B$23:$U$23,0)))*(VLOOKUP($B181,INDIRECT($B$5&amp;"生成成长"),3))*(VLOOKUP($B$5,标准坦克设计!$B$14:$K$20,9)/30))</f>
        <v>2.5319252704598667</v>
      </c>
      <c r="EE181" s="172">
        <f ca="1">(VLOOKUP(EE$72,INDIRECT($C$5&amp;"生成成长"),2))/((VLOOKUP($B181,INDIRECT($B$5&amp;"生成成长"),4))/(VLOOKUP(EE$72,INDIRECT($C$5&amp;"生成成长"),5))*(VLOOKUP($B$5,标准坦克设计!$B$24:$U$30,MATCH("对"&amp;LEFT($C$5,2)&amp;"输出",标准坦克设计!$B$23:$U$23,0)))*(VLOOKUP($B181,INDIRECT($B$5&amp;"生成成长"),3))*(VLOOKUP($B$5,标准坦克设计!$B$14:$K$20,9)/30))</f>
        <v>2.7464028505749232</v>
      </c>
      <c r="EF181" s="172">
        <f ca="1">(VLOOKUP(EF$72,INDIRECT($C$5&amp;"生成成长"),2))/((VLOOKUP($B181,INDIRECT($B$5&amp;"生成成长"),4))/(VLOOKUP(EF$72,INDIRECT($C$5&amp;"生成成长"),5))*(VLOOKUP($B$5,标准坦克设计!$B$24:$U$30,MATCH("对"&amp;LEFT($C$5,2)&amp;"输出",标准坦克设计!$B$23:$U$23,0)))*(VLOOKUP($B181,INDIRECT($B$5&amp;"生成成长"),3))*(VLOOKUP($B$5,标准坦克设计!$B$14:$K$20,9)/30))</f>
        <v>2.9695990315076637</v>
      </c>
      <c r="EG181" s="172">
        <f ca="1">(VLOOKUP(EG$72,INDIRECT($C$5&amp;"生成成长"),2))/((VLOOKUP($B181,INDIRECT($B$5&amp;"生成成长"),4))/(VLOOKUP(EG$72,INDIRECT($C$5&amp;"生成成长"),5))*(VLOOKUP($B$5,标准坦克设计!$B$24:$U$30,MATCH("对"&amp;LEFT($C$5,2)&amp;"输出",标准坦克设计!$B$23:$U$23,0)))*(VLOOKUP($B181,INDIRECT($B$5&amp;"生成成长"),3))*(VLOOKUP($B$5,标准坦克设计!$B$14:$K$20,9)/30))</f>
        <v>3.2015138132580896</v>
      </c>
      <c r="EH181" s="172">
        <f ca="1">(VLOOKUP(EH$72,INDIRECT($C$5&amp;"生成成长"),2))/((VLOOKUP($B181,INDIRECT($B$5&amp;"生成成长"),4))/(VLOOKUP(EH$72,INDIRECT($C$5&amp;"生成成长"),5))*(VLOOKUP($B$5,标准坦克设计!$B$24:$U$30,MATCH("对"&amp;LEFT($C$5,2)&amp;"输出",标准坦克设计!$B$23:$U$23,0)))*(VLOOKUP($B181,INDIRECT($B$5&amp;"生成成长"),3))*(VLOOKUP($B$5,标准坦克设计!$B$14:$K$20,9)/30))</f>
        <v>3.4421471958262009</v>
      </c>
      <c r="EI181" s="172">
        <f ca="1">(VLOOKUP(EI$72,INDIRECT($C$5&amp;"生成成长"),2))/((VLOOKUP($B181,INDIRECT($B$5&amp;"生成成长"),4))/(VLOOKUP(EI$72,INDIRECT($C$5&amp;"生成成长"),5))*(VLOOKUP($B$5,标准坦克设计!$B$24:$U$30,MATCH("对"&amp;LEFT($C$5,2)&amp;"输出",标准坦克设计!$B$23:$U$23,0)))*(VLOOKUP($B181,INDIRECT($B$5&amp;"生成成长"),3))*(VLOOKUP($B$5,标准坦克设计!$B$14:$K$20,9)/30))</f>
        <v>3.6914991792119967</v>
      </c>
      <c r="EJ181" s="172">
        <f ca="1">(VLOOKUP(EJ$72,INDIRECT($C$5&amp;"生成成长"),2))/((VLOOKUP($B181,INDIRECT($B$5&amp;"生成成长"),4))/(VLOOKUP(EJ$72,INDIRECT($C$5&amp;"生成成长"),5))*(VLOOKUP($B$5,标准坦克设计!$B$24:$U$30,MATCH("对"&amp;LEFT($C$5,2)&amp;"输出",标准坦克设计!$B$23:$U$23,0)))*(VLOOKUP($B181,INDIRECT($B$5&amp;"生成成长"),3))*(VLOOKUP($B$5,标准坦克设计!$B$14:$K$20,9)/30))</f>
        <v>3.9495697634154783</v>
      </c>
      <c r="EK181" s="172">
        <f ca="1">(VLOOKUP(EK$72,INDIRECT($C$5&amp;"生成成长"),2))/((VLOOKUP($B181,INDIRECT($B$5&amp;"生成成长"),4))/(VLOOKUP(EK$72,INDIRECT($C$5&amp;"生成成长"),5))*(VLOOKUP($B$5,标准坦克设计!$B$24:$U$30,MATCH("对"&amp;LEFT($C$5,2)&amp;"输出",标准坦克设计!$B$23:$U$23,0)))*(VLOOKUP($B181,INDIRECT($B$5&amp;"生成成长"),3))*(VLOOKUP($B$5,标准坦克设计!$B$14:$K$20,9)/30))</f>
        <v>4.270763017539001</v>
      </c>
      <c r="EL181" s="172">
        <f ca="1">(VLOOKUP(EL$72,INDIRECT($C$5&amp;"生成成长"),2))/((VLOOKUP($B181,INDIRECT($B$5&amp;"生成成长"),4))/(VLOOKUP(EL$72,INDIRECT($C$5&amp;"生成成长"),5))*(VLOOKUP($B$5,标准坦克设计!$B$24:$U$30,MATCH("对"&amp;LEFT($C$5,2)&amp;"输出",标准坦克设计!$B$23:$U$23,0)))*(VLOOKUP($B181,INDIRECT($B$5&amp;"生成成长"),3))*(VLOOKUP($B$5,标准坦克设计!$B$14:$K$20,9)/30))</f>
        <v>4.6045110568399901</v>
      </c>
      <c r="EM181" s="172">
        <f ca="1">(VLOOKUP(EM$72,INDIRECT($C$5&amp;"生成成长"),2))/((VLOOKUP($B181,INDIRECT($B$5&amp;"生成成长"),4))/(VLOOKUP(EM$72,INDIRECT($C$5&amp;"生成成长"),5))*(VLOOKUP($B$5,标准坦克设计!$B$24:$U$30,MATCH("对"&amp;LEFT($C$5,2)&amp;"输出",标准坦克设计!$B$23:$U$23,0)))*(VLOOKUP($B181,INDIRECT($B$5&amp;"生成成长"),3))*(VLOOKUP($B$5,标准坦克设计!$B$14:$K$20,9)/30))</f>
        <v>4.950813881318445</v>
      </c>
      <c r="EN181" s="172">
        <f ca="1">(VLOOKUP(EN$72,INDIRECT($C$5&amp;"生成成长"),2))/((VLOOKUP($B181,INDIRECT($B$5&amp;"生成成长"),4))/(VLOOKUP(EN$72,INDIRECT($C$5&amp;"生成成长"),5))*(VLOOKUP($B$5,标准坦克设计!$B$24:$U$30,MATCH("对"&amp;LEFT($C$5,2)&amp;"输出",标准坦克设计!$B$23:$U$23,0)))*(VLOOKUP($B181,INDIRECT($B$5&amp;"生成成长"),3))*(VLOOKUP($B$5,标准坦克设计!$B$14:$K$20,9)/30))</f>
        <v>5.3096714909743685</v>
      </c>
      <c r="EO181" s="172">
        <f ca="1">(VLOOKUP(EO$72,INDIRECT($C$5&amp;"生成成长"),2))/((VLOOKUP($B181,INDIRECT($B$5&amp;"生成成长"),4))/(VLOOKUP(EO$72,INDIRECT($C$5&amp;"生成成长"),5))*(VLOOKUP($B$5,标准坦克设计!$B$24:$U$30,MATCH("对"&amp;LEFT($C$5,2)&amp;"输出",标准坦克设计!$B$23:$U$23,0)))*(VLOOKUP($B181,INDIRECT($B$5&amp;"生成成长"),3))*(VLOOKUP($B$5,标准坦克设计!$B$14:$K$20,9)/30))</f>
        <v>5.681083885807757</v>
      </c>
      <c r="EP181" s="172">
        <f ca="1">(VLOOKUP(EP$72,INDIRECT($C$5&amp;"生成成长"),2))/((VLOOKUP($B181,INDIRECT($B$5&amp;"生成成长"),4))/(VLOOKUP(EP$72,INDIRECT($C$5&amp;"生成成长"),5))*(VLOOKUP($B$5,标准坦克设计!$B$24:$U$30,MATCH("对"&amp;LEFT($C$5,2)&amp;"输出",标准坦克设计!$B$23:$U$23,0)))*(VLOOKUP($B181,INDIRECT($B$5&amp;"生成成长"),3))*(VLOOKUP($B$5,标准坦克设计!$B$14:$K$20,9)/30))</f>
        <v>6.0650510658186132</v>
      </c>
      <c r="EQ181" s="172">
        <f ca="1">(VLOOKUP(EQ$72,INDIRECT($C$5&amp;"生成成长"),2))/((VLOOKUP($B181,INDIRECT($B$5&amp;"生成成长"),4))/(VLOOKUP(EQ$72,INDIRECT($C$5&amp;"生成成长"),5))*(VLOOKUP($B$5,标准坦克设计!$B$24:$U$30,MATCH("对"&amp;LEFT($C$5,2)&amp;"输出",标准坦克设计!$B$23:$U$23,0)))*(VLOOKUP($B181,INDIRECT($B$5&amp;"生成成长"),3))*(VLOOKUP($B$5,标准坦克设计!$B$14:$K$20,9)/30))</f>
        <v>2.6811441234545494</v>
      </c>
      <c r="ER181" s="172">
        <f ca="1">(VLOOKUP(ER$72,INDIRECT($C$5&amp;"生成成长"),2))/((VLOOKUP($B181,INDIRECT($B$5&amp;"生成成长"),4))/(VLOOKUP(ER$72,INDIRECT($C$5&amp;"生成成长"),5))*(VLOOKUP($B$5,标准坦克设计!$B$24:$U$30,MATCH("对"&amp;LEFT($C$5,2)&amp;"输出",标准坦克设计!$B$23:$U$23,0)))*(VLOOKUP($B181,INDIRECT($B$5&amp;"生成成长"),3))*(VLOOKUP($B$5,标准坦克设计!$B$14:$K$20,9)/30))</f>
        <v>2.9242623072557001</v>
      </c>
      <c r="ES181" s="172">
        <f ca="1">(VLOOKUP(ES$72,INDIRECT($C$5&amp;"生成成长"),2))/((VLOOKUP($B181,INDIRECT($B$5&amp;"生成成长"),4))/(VLOOKUP(ES$72,INDIRECT($C$5&amp;"生成成长"),5))*(VLOOKUP($B$5,标准坦克设计!$B$24:$U$30,MATCH("对"&amp;LEFT($C$5,2)&amp;"输出",标准坦克设计!$B$23:$U$23,0)))*(VLOOKUP($B181,INDIRECT($B$5&amp;"生成成长"),3))*(VLOOKUP($B$5,标准坦克设计!$B$14:$K$20,9)/30))</f>
        <v>3.1779299980462516</v>
      </c>
      <c r="ET181" s="172">
        <f ca="1">(VLOOKUP(ET$72,INDIRECT($C$5&amp;"生成成长"),2))/((VLOOKUP($B181,INDIRECT($B$5&amp;"生成成长"),4))/(VLOOKUP(ET$72,INDIRECT($C$5&amp;"生成成长"),5))*(VLOOKUP($B$5,标准坦克设计!$B$24:$U$30,MATCH("对"&amp;LEFT($C$5,2)&amp;"输出",标准坦克设计!$B$23:$U$23,0)))*(VLOOKUP($B181,INDIRECT($B$5&amp;"生成成长"),3))*(VLOOKUP($B$5,标准坦克设计!$B$14:$K$20,9)/30))</f>
        <v>3.4421471958262009</v>
      </c>
      <c r="EU181" s="172">
        <f ca="1">(VLOOKUP(EU$72,INDIRECT($C$5&amp;"生成成长"),2))/((VLOOKUP($B181,INDIRECT($B$5&amp;"生成成长"),4))/(VLOOKUP(EU$72,INDIRECT($C$5&amp;"生成成长"),5))*(VLOOKUP($B$5,标准坦克设计!$B$24:$U$30,MATCH("对"&amp;LEFT($C$5,2)&amp;"输出",标准坦克设计!$B$23:$U$23,0)))*(VLOOKUP($B181,INDIRECT($B$5&amp;"生成成长"),3))*(VLOOKUP($B$5,标准坦克设计!$B$14:$K$20,9)/30))</f>
        <v>3.7169139005955487</v>
      </c>
      <c r="EV181" s="172">
        <f ca="1">(VLOOKUP(EV$72,INDIRECT($C$5&amp;"生成成长"),2))/((VLOOKUP($B181,INDIRECT($B$5&amp;"生成成长"),4))/(VLOOKUP(EV$72,INDIRECT($C$5&amp;"生成成长"),5))*(VLOOKUP($B$5,标准坦克设计!$B$24:$U$30,MATCH("对"&amp;LEFT($C$5,2)&amp;"输出",标准坦克设计!$B$23:$U$23,0)))*(VLOOKUP($B181,INDIRECT($B$5&amp;"生成成长"),3))*(VLOOKUP($B$5,标准坦克设计!$B$14:$K$20,9)/30))</f>
        <v>4.0022301123542965</v>
      </c>
      <c r="EW181" s="172">
        <f ca="1">(VLOOKUP(EW$72,INDIRECT($C$5&amp;"生成成长"),2))/((VLOOKUP($B181,INDIRECT($B$5&amp;"生成成长"),4))/(VLOOKUP(EW$72,INDIRECT($C$5&amp;"生成成长"),5))*(VLOOKUP($B$5,标准坦克设计!$B$24:$U$30,MATCH("对"&amp;LEFT($C$5,2)&amp;"输出",标准坦克设计!$B$23:$U$23,0)))*(VLOOKUP($B181,INDIRECT($B$5&amp;"生成成长"),3))*(VLOOKUP($B$5,标准坦克设计!$B$14:$K$20,9)/30))</f>
        <v>4.2980958311024438</v>
      </c>
      <c r="EX181" s="172">
        <f ca="1">(VLOOKUP(EX$72,INDIRECT($C$5&amp;"生成成长"),2))/((VLOOKUP($B181,INDIRECT($B$5&amp;"生成成长"),4))/(VLOOKUP(EX$72,INDIRECT($C$5&amp;"生成成长"),5))*(VLOOKUP($B$5,标准坦克设计!$B$24:$U$30,MATCH("对"&amp;LEFT($C$5,2)&amp;"输出",标准坦克设计!$B$23:$U$23,0)))*(VLOOKUP($B181,INDIRECT($B$5&amp;"生成成长"),3))*(VLOOKUP($B$5,标准坦克设计!$B$14:$K$20,9)/30))</f>
        <v>4.6045110568399901</v>
      </c>
      <c r="EY181" s="172">
        <f ca="1">(VLOOKUP(EY$72,INDIRECT($C$5&amp;"生成成长"),2))/((VLOOKUP($B181,INDIRECT($B$5&amp;"生成成长"),4))/(VLOOKUP(EY$72,INDIRECT($C$5&amp;"生成成长"),5))*(VLOOKUP($B$5,标准坦克设计!$B$24:$U$30,MATCH("对"&amp;LEFT($C$5,2)&amp;"输出",标准坦克设计!$B$23:$U$23,0)))*(VLOOKUP($B181,INDIRECT($B$5&amp;"生成成长"),3))*(VLOOKUP($B$5,标准坦克设计!$B$14:$K$20,9)/30))</f>
        <v>4.9214757895669345</v>
      </c>
      <c r="EZ181" s="172">
        <f ca="1">(VLOOKUP(EZ$72,INDIRECT($C$5&amp;"生成成长"),2))/((VLOOKUP($B181,INDIRECT($B$5&amp;"生成成长"),4))/(VLOOKUP(EZ$72,INDIRECT($C$5&amp;"生成成长"),5))*(VLOOKUP($B$5,标准坦克设计!$B$24:$U$30,MATCH("对"&amp;LEFT($C$5,2)&amp;"输出",标准坦克设计!$B$23:$U$23,0)))*(VLOOKUP($B181,INDIRECT($B$5&amp;"生成成长"),3))*(VLOOKUP($B$5,标准坦克设计!$B$14:$K$20,9)/30))</f>
        <v>5.2489900292832798</v>
      </c>
      <c r="FA181" s="172">
        <f ca="1">(VLOOKUP(FA$72,INDIRECT($C$5&amp;"生成成长"),2))/((VLOOKUP($B181,INDIRECT($B$5&amp;"生成成长"),4))/(VLOOKUP(FA$72,INDIRECT($C$5&amp;"生成成长"),5))*(VLOOKUP($B$5,标准坦克设计!$B$24:$U$30,MATCH("对"&amp;LEFT($C$5,2)&amp;"输出",标准坦克设计!$B$23:$U$23,0)))*(VLOOKUP($B181,INDIRECT($B$5&amp;"生成成长"),3))*(VLOOKUP($B$5,标准坦克设计!$B$14:$K$20,9)/30))</f>
        <v>5.5870537759890224</v>
      </c>
      <c r="FB181" s="172">
        <f ca="1">(VLOOKUP(FB$72,INDIRECT($C$5&amp;"生成成长"),2))/((VLOOKUP($B181,INDIRECT($B$5&amp;"生成成长"),4))/(VLOOKUP(FB$72,INDIRECT($C$5&amp;"生成成长"),5))*(VLOOKUP($B$5,标准坦克设计!$B$24:$U$30,MATCH("对"&amp;LEFT($C$5,2)&amp;"输出",标准坦克设计!$B$23:$U$23,0)))*(VLOOKUP($B181,INDIRECT($B$5&amp;"生成成长"),3))*(VLOOKUP($B$5,标准坦克设计!$B$14:$K$20,9)/30))</f>
        <v>5.9356670296841649</v>
      </c>
      <c r="FC181" s="172">
        <f ca="1">(VLOOKUP(FC$72,INDIRECT($C$5&amp;"生成成长"),2))/((VLOOKUP($B181,INDIRECT($B$5&amp;"生成成长"),4))/(VLOOKUP(FC$72,INDIRECT($C$5&amp;"生成成长"),5))*(VLOOKUP($B$5,标准坦克设计!$B$24:$U$30,MATCH("对"&amp;LEFT($C$5,2)&amp;"输出",标准坦克设计!$B$23:$U$23,0)))*(VLOOKUP($B181,INDIRECT($B$5&amp;"生成成长"),3))*(VLOOKUP($B$5,标准坦克设计!$B$14:$K$20,9)/30))</f>
        <v>6.2948297903687056</v>
      </c>
      <c r="FD181" s="172">
        <f ca="1">(VLOOKUP(FD$72,INDIRECT($C$5&amp;"生成成长"),2))/((VLOOKUP($B181,INDIRECT($B$5&amp;"生成成长"),4))/(VLOOKUP(FD$72,INDIRECT($C$5&amp;"生成成长"),5))*(VLOOKUP($B$5,标准坦克设计!$B$24:$U$30,MATCH("对"&amp;LEFT($C$5,2)&amp;"输出",标准坦克设计!$B$23:$U$23,0)))*(VLOOKUP($B181,INDIRECT($B$5&amp;"生成成长"),3))*(VLOOKUP($B$5,标准坦克设计!$B$14:$K$20,9)/30))</f>
        <v>6.6645420580426453</v>
      </c>
      <c r="FE181" s="172">
        <f ca="1">(VLOOKUP(FE$72,INDIRECT($C$5&amp;"生成成长"),2))/((VLOOKUP($B181,INDIRECT($B$5&amp;"生成成长"),4))/(VLOOKUP(FE$72,INDIRECT($C$5&amp;"生成成长"),5))*(VLOOKUP($B$5,标准坦克设计!$B$24:$U$30,MATCH("对"&amp;LEFT($C$5,2)&amp;"输出",标准坦克设计!$B$23:$U$23,0)))*(VLOOKUP($B181,INDIRECT($B$5&amp;"生成成长"),3))*(VLOOKUP($B$5,标准坦克设计!$B$14:$K$20,9)/30))</f>
        <v>7.1150757552965285</v>
      </c>
      <c r="FF181" s="172">
        <f ca="1">(VLOOKUP(FF$72,INDIRECT($C$5&amp;"生成成长"),2))/((VLOOKUP($B181,INDIRECT($B$5&amp;"生成成长"),4))/(VLOOKUP(FF$72,INDIRECT($C$5&amp;"生成成长"),5))*(VLOOKUP($B$5,标准坦克设计!$B$24:$U$30,MATCH("对"&amp;LEFT($C$5,2)&amp;"输出",标准坦克设计!$B$23:$U$23,0)))*(VLOOKUP($B181,INDIRECT($B$5&amp;"生成成长"),3))*(VLOOKUP($B$5,标准坦克设计!$B$14:$K$20,9)/30))</f>
        <v>7.5803438879322984</v>
      </c>
      <c r="FG181" s="172">
        <f ca="1">(VLOOKUP(FG$72,INDIRECT($C$5&amp;"生成成长"),2))/((VLOOKUP($B181,INDIRECT($B$5&amp;"生成成长"),4))/(VLOOKUP(FG$72,INDIRECT($C$5&amp;"生成成长"),5))*(VLOOKUP($B$5,标准坦克设计!$B$24:$U$30,MATCH("对"&amp;LEFT($C$5,2)&amp;"输出",标准坦克设计!$B$23:$U$23,0)))*(VLOOKUP($B181,INDIRECT($B$5&amp;"生成成长"),3))*(VLOOKUP($B$5,标准坦克设计!$B$14:$K$20,9)/30))</f>
        <v>8.060346455949956</v>
      </c>
      <c r="FH181" s="172">
        <f ca="1">(VLOOKUP(FH$72,INDIRECT($C$5&amp;"生成成长"),2))/((VLOOKUP($B181,INDIRECT($B$5&amp;"生成成长"),4))/(VLOOKUP(FH$72,INDIRECT($C$5&amp;"生成成长"),5))*(VLOOKUP($B$5,标准坦克设计!$B$24:$U$30,MATCH("对"&amp;LEFT($C$5,2)&amp;"输出",标准坦克设计!$B$23:$U$23,0)))*(VLOOKUP($B181,INDIRECT($B$5&amp;"生成成长"),3))*(VLOOKUP($B$5,标准坦克设计!$B$14:$K$20,9)/30))</f>
        <v>8.5550834593495022</v>
      </c>
      <c r="FI181" s="172">
        <f ca="1">(VLOOKUP(FI$72,INDIRECT($C$5&amp;"生成成长"),2))/((VLOOKUP($B181,INDIRECT($B$5&amp;"生成成长"),4))/(VLOOKUP(FI$72,INDIRECT($C$5&amp;"生成成长"),5))*(VLOOKUP($B$5,标准坦克设计!$B$24:$U$30,MATCH("对"&amp;LEFT($C$5,2)&amp;"输出",标准坦克设计!$B$23:$U$23,0)))*(VLOOKUP($B181,INDIRECT($B$5&amp;"生成成长"),3))*(VLOOKUP($B$5,标准坦克设计!$B$14:$K$20,9)/30))</f>
        <v>9.0645548981309361</v>
      </c>
      <c r="FJ181" s="172">
        <f ca="1">(VLOOKUP(FJ$72,INDIRECT($C$5&amp;"生成成长"),2))/((VLOOKUP($B181,INDIRECT($B$5&amp;"生成成长"),4))/(VLOOKUP(FJ$72,INDIRECT($C$5&amp;"生成成长"),5))*(VLOOKUP($B$5,标准坦克设计!$B$24:$U$30,MATCH("对"&amp;LEFT($C$5,2)&amp;"输出",标准坦克设计!$B$23:$U$23,0)))*(VLOOKUP($B181,INDIRECT($B$5&amp;"生成成长"),3))*(VLOOKUP($B$5,标准坦克设计!$B$14:$K$20,9)/30))</f>
        <v>9.5887607722942594</v>
      </c>
      <c r="FK181" s="172">
        <f ca="1">(VLOOKUP(FK$72,INDIRECT($C$5&amp;"生成成长"),2))/((VLOOKUP($B181,INDIRECT($B$5&amp;"生成成长"),4))/(VLOOKUP(FK$72,INDIRECT($C$5&amp;"生成成长"),5))*(VLOOKUP($B$5,标准坦克设计!$B$24:$U$30,MATCH("对"&amp;LEFT($C$5,2)&amp;"输出",标准坦克设计!$B$23:$U$23,0)))*(VLOOKUP($B181,INDIRECT($B$5&amp;"生成成长"),3))*(VLOOKUP($B$5,标准坦克设计!$B$14:$K$20,9)/30))</f>
        <v>10.127701081839467</v>
      </c>
    </row>
    <row r="182" spans="1:167" x14ac:dyDescent="0.15">
      <c r="A182" s="170" t="str">
        <f t="shared" si="12"/>
        <v>T5中品质20级</v>
      </c>
      <c r="B182" s="171">
        <v>20520</v>
      </c>
      <c r="C182" s="172">
        <f ca="1">(VLOOKUP(C$72,INDIRECT($C$5&amp;"生成成长"),2))/((VLOOKUP($B182,INDIRECT($B$5&amp;"生成成长"),4))/(VLOOKUP(C$72,INDIRECT($C$5&amp;"生成成长"),5))*(VLOOKUP($B$5,标准坦克设计!$B$24:$U$30,MATCH("对"&amp;LEFT($C$5,2)&amp;"输出",标准坦克设计!$B$23:$U$23,0)))*(VLOOKUP($B182,INDIRECT($B$5&amp;"生成成长"),3))*(VLOOKUP($B$5,标准坦克设计!$B$14:$K$20,9)/30))</f>
        <v>0.41280505693786496</v>
      </c>
      <c r="D182" s="172">
        <f ca="1">(VLOOKUP(D$72,INDIRECT($C$5&amp;"生成成长"),2))/((VLOOKUP($B182,INDIRECT($B$5&amp;"生成成长"),4))/(VLOOKUP(D$72,INDIRECT($C$5&amp;"生成成长"),5))*(VLOOKUP($B$5,标准坦克设计!$B$24:$U$30,MATCH("对"&amp;LEFT($C$5,2)&amp;"输出",标准坦克设计!$B$23:$U$23,0)))*(VLOOKUP($B182,INDIRECT($B$5&amp;"生成成长"),3))*(VLOOKUP($B$5,标准坦克设计!$B$14:$K$20,9)/30))</f>
        <v>0.46382776197538517</v>
      </c>
      <c r="E182" s="172">
        <f ca="1">(VLOOKUP(E$72,INDIRECT($C$5&amp;"生成成长"),2))/((VLOOKUP($B182,INDIRECT($B$5&amp;"生成成长"),4))/(VLOOKUP(E$72,INDIRECT($C$5&amp;"生成成长"),5))*(VLOOKUP($B$5,标准坦克设计!$B$24:$U$30,MATCH("对"&amp;LEFT($C$5,2)&amp;"输出",标准坦克设计!$B$23:$U$23,0)))*(VLOOKUP($B182,INDIRECT($B$5&amp;"生成成长"),3))*(VLOOKUP($B$5,标准坦克设计!$B$14:$K$20,9)/30))</f>
        <v>0.51782266342285777</v>
      </c>
      <c r="F182" s="172">
        <f ca="1">(VLOOKUP(F$72,INDIRECT($C$5&amp;"生成成长"),2))/((VLOOKUP($B182,INDIRECT($B$5&amp;"生成成长"),4))/(VLOOKUP(F$72,INDIRECT($C$5&amp;"生成成长"),5))*(VLOOKUP($B$5,标准坦克设计!$B$24:$U$30,MATCH("对"&amp;LEFT($C$5,2)&amp;"输出",标准坦克设计!$B$23:$U$23,0)))*(VLOOKUP($B182,INDIRECT($B$5&amp;"生成成长"),3))*(VLOOKUP($B$5,标准坦克设计!$B$14:$K$20,9)/30))</f>
        <v>0.57478976128028325</v>
      </c>
      <c r="G182" s="172">
        <f ca="1">(VLOOKUP(G$72,INDIRECT($C$5&amp;"生成成长"),2))/((VLOOKUP($B182,INDIRECT($B$5&amp;"生成成长"),4))/(VLOOKUP(G$72,INDIRECT($C$5&amp;"生成成长"),5))*(VLOOKUP($B$5,标准坦克设计!$B$24:$U$30,MATCH("对"&amp;LEFT($C$5,2)&amp;"输出",标准坦克设计!$B$23:$U$23,0)))*(VLOOKUP($B182,INDIRECT($B$5&amp;"生成成长"),3))*(VLOOKUP($B$5,标准坦克设计!$B$14:$K$20,9)/30))</f>
        <v>0.63472905554766124</v>
      </c>
      <c r="H182" s="172">
        <f ca="1">(VLOOKUP(H$72,INDIRECT($C$5&amp;"生成成长"),2))/((VLOOKUP($B182,INDIRECT($B$5&amp;"生成成长"),4))/(VLOOKUP(H$72,INDIRECT($C$5&amp;"生成成长"),5))*(VLOOKUP($B$5,标准坦克设计!$B$24:$U$30,MATCH("对"&amp;LEFT($C$5,2)&amp;"输出",标准坦克设计!$B$23:$U$23,0)))*(VLOOKUP($B182,INDIRECT($B$5&amp;"生成成长"),3))*(VLOOKUP($B$5,标准坦克设计!$B$14:$K$20,9)/30))</f>
        <v>0.55547048461559112</v>
      </c>
      <c r="I182" s="172">
        <f ca="1">(VLOOKUP(I$72,INDIRECT($C$5&amp;"生成成长"),2))/((VLOOKUP($B182,INDIRECT($B$5&amp;"生成成长"),4))/(VLOOKUP(I$72,INDIRECT($C$5&amp;"生成成长"),5))*(VLOOKUP($B$5,标准坦克设计!$B$24:$U$30,MATCH("对"&amp;LEFT($C$5,2)&amp;"输出",标准坦克设计!$B$23:$U$23,0)))*(VLOOKUP($B182,INDIRECT($B$5&amp;"生成成长"),3))*(VLOOKUP($B$5,标准坦克设计!$B$14:$K$20,9)/30))</f>
        <v>0.63472905554766124</v>
      </c>
      <c r="J182" s="172">
        <f ca="1">(VLOOKUP(J$72,INDIRECT($C$5&amp;"生成成长"),2))/((VLOOKUP($B182,INDIRECT($B$5&amp;"生成成长"),4))/(VLOOKUP(J$72,INDIRECT($C$5&amp;"生成成长"),5))*(VLOOKUP($B$5,标准坦克设计!$B$24:$U$30,MATCH("对"&amp;LEFT($C$5,2)&amp;"输出",标准坦克设计!$B$23:$U$23,0)))*(VLOOKUP($B182,INDIRECT($B$5&amp;"生成成长"),3))*(VLOOKUP($B$5,标准坦克设计!$B$14:$K$20,9)/30))</f>
        <v>0.71927153120853593</v>
      </c>
      <c r="K182" s="172">
        <f ca="1">(VLOOKUP(K$72,INDIRECT($C$5&amp;"生成成长"),2))/((VLOOKUP($B182,INDIRECT($B$5&amp;"生成成长"),4))/(VLOOKUP(K$72,INDIRECT($C$5&amp;"生成成长"),5))*(VLOOKUP($B$5,标准坦克设计!$B$24:$U$30,MATCH("对"&amp;LEFT($C$5,2)&amp;"输出",标准坦克设计!$B$23:$U$23,0)))*(VLOOKUP($B182,INDIRECT($B$5&amp;"生成成长"),3))*(VLOOKUP($B$5,标准坦克设计!$B$14:$K$20,9)/30))</f>
        <v>0.80909791159821542</v>
      </c>
      <c r="L182" s="172">
        <f ca="1">(VLOOKUP(L$72,INDIRECT($C$5&amp;"生成成长"),2))/((VLOOKUP($B182,INDIRECT($B$5&amp;"生成成长"),4))/(VLOOKUP(L$72,INDIRECT($C$5&amp;"生成成长"),5))*(VLOOKUP($B$5,标准坦克设计!$B$24:$U$30,MATCH("对"&amp;LEFT($C$5,2)&amp;"输出",标准坦克设计!$B$23:$U$23,0)))*(VLOOKUP($B182,INDIRECT($B$5&amp;"生成成长"),3))*(VLOOKUP($B$5,标准坦克设计!$B$14:$K$20,9)/30))</f>
        <v>0.9042081967166995</v>
      </c>
      <c r="M182" s="172">
        <f ca="1">(VLOOKUP(M$72,INDIRECT($C$5&amp;"生成成长"),2))/((VLOOKUP($B182,INDIRECT($B$5&amp;"生成成长"),4))/(VLOOKUP(M$72,INDIRECT($C$5&amp;"生成成长"),5))*(VLOOKUP($B$5,标准坦克设计!$B$24:$U$30,MATCH("对"&amp;LEFT($C$5,2)&amp;"输出",标准坦克设计!$B$23:$U$23,0)))*(VLOOKUP($B182,INDIRECT($B$5&amp;"生成成长"),3))*(VLOOKUP($B$5,标准坦克设计!$B$14:$K$20,9)/30))</f>
        <v>1.0046023865639884</v>
      </c>
      <c r="N182" s="172">
        <f ca="1">(VLOOKUP(N$72,INDIRECT($C$5&amp;"生成成长"),2))/((VLOOKUP($B182,INDIRECT($B$5&amp;"生成成长"),4))/(VLOOKUP(N$72,INDIRECT($C$5&amp;"生成成长"),5))*(VLOOKUP($B$5,标准坦克设计!$B$24:$U$30,MATCH("对"&amp;LEFT($C$5,2)&amp;"输出",标准坦克设计!$B$23:$U$23,0)))*(VLOOKUP($B182,INDIRECT($B$5&amp;"生成成长"),3))*(VLOOKUP($B$5,标准坦克设计!$B$14:$K$20,9)/30))</f>
        <v>1.1102804811400817</v>
      </c>
      <c r="O182" s="172">
        <f ca="1">(VLOOKUP(O$72,INDIRECT($C$5&amp;"生成成长"),2))/((VLOOKUP($B182,INDIRECT($B$5&amp;"生成成长"),4))/(VLOOKUP(O$72,INDIRECT($C$5&amp;"生成成长"),5))*(VLOOKUP($B$5,标准坦克设计!$B$24:$U$30,MATCH("对"&amp;LEFT($C$5,2)&amp;"输出",标准坦克设计!$B$23:$U$23,0)))*(VLOOKUP($B182,INDIRECT($B$5&amp;"生成成长"),3))*(VLOOKUP($B$5,标准坦克设计!$B$14:$K$20,9)/30))</f>
        <v>0.84414506093224007</v>
      </c>
      <c r="P182" s="172">
        <f ca="1">(VLOOKUP(P$72,INDIRECT($C$5&amp;"生成成长"),2))/((VLOOKUP($B182,INDIRECT($B$5&amp;"生成成长"),4))/(VLOOKUP(P$72,INDIRECT($C$5&amp;"生成成长"),5))*(VLOOKUP($B$5,标准坦克设计!$B$24:$U$30,MATCH("对"&amp;LEFT($C$5,2)&amp;"输出",标准坦克设计!$B$23:$U$23,0)))*(VLOOKUP($B182,INDIRECT($B$5&amp;"生成成长"),3))*(VLOOKUP($B$5,标准坦克设计!$B$14:$K$20,9)/30))</f>
        <v>0.95374480354924329</v>
      </c>
      <c r="Q182" s="172">
        <f ca="1">(VLOOKUP(Q$72,INDIRECT($C$5&amp;"生成成长"),2))/((VLOOKUP($B182,INDIRECT($B$5&amp;"生成成长"),4))/(VLOOKUP(Q$72,INDIRECT($C$5&amp;"生成成长"),5))*(VLOOKUP($B$5,标准坦克设计!$B$24:$U$30,MATCH("对"&amp;LEFT($C$5,2)&amp;"输出",标准坦克设计!$B$23:$U$23,0)))*(VLOOKUP($B182,INDIRECT($B$5&amp;"生成成长"),3))*(VLOOKUP($B$5,标准坦克设计!$B$14:$K$20,9)/30))</f>
        <v>1.0700319880886398</v>
      </c>
      <c r="R182" s="172">
        <f ca="1">(VLOOKUP(R$72,INDIRECT($C$5&amp;"生成成长"),2))/((VLOOKUP($B182,INDIRECT($B$5&amp;"生成成长"),4))/(VLOOKUP(R$72,INDIRECT($C$5&amp;"生成成长"),5))*(VLOOKUP($B$5,标准坦克设计!$B$24:$U$30,MATCH("对"&amp;LEFT($C$5,2)&amp;"输出",标准坦克设计!$B$23:$U$23,0)))*(VLOOKUP($B182,INDIRECT($B$5&amp;"生成成长"),3))*(VLOOKUP($B$5,标准坦克设计!$B$14:$K$20,9)/30))</f>
        <v>1.1930066145504297</v>
      </c>
      <c r="S182" s="172">
        <f ca="1">(VLOOKUP(S$72,INDIRECT($C$5&amp;"生成成长"),2))/((VLOOKUP($B182,INDIRECT($B$5&amp;"生成成长"),4))/(VLOOKUP(S$72,INDIRECT($C$5&amp;"生成成长"),5))*(VLOOKUP($B$5,标准坦克设计!$B$24:$U$30,MATCH("对"&amp;LEFT($C$5,2)&amp;"输出",标准坦克设计!$B$23:$U$23,0)))*(VLOOKUP($B182,INDIRECT($B$5&amp;"生成成长"),3))*(VLOOKUP($B$5,标准坦克设计!$B$14:$K$20,9)/30))</f>
        <v>1.3226686829346133</v>
      </c>
      <c r="T182" s="172">
        <f ca="1">(VLOOKUP(T$72,INDIRECT($C$5&amp;"生成成长"),2))/((VLOOKUP($B182,INDIRECT($B$5&amp;"生成成长"),4))/(VLOOKUP(T$72,INDIRECT($C$5&amp;"生成成长"),5))*(VLOOKUP($B$5,标准坦克设计!$B$24:$U$30,MATCH("对"&amp;LEFT($C$5,2)&amp;"输出",标准坦克设计!$B$23:$U$23,0)))*(VLOOKUP($B182,INDIRECT($B$5&amp;"生成成长"),3))*(VLOOKUP($B$5,标准坦克设计!$B$14:$K$20,9)/30))</f>
        <v>1.4590181932411899</v>
      </c>
      <c r="U182" s="172">
        <f ca="1">(VLOOKUP(U$72,INDIRECT($C$5&amp;"生成成长"),2))/((VLOOKUP($B182,INDIRECT($B$5&amp;"生成成长"),4))/(VLOOKUP(U$72,INDIRECT($C$5&amp;"生成成长"),5))*(VLOOKUP($B$5,标准坦克设计!$B$24:$U$30,MATCH("对"&amp;LEFT($C$5,2)&amp;"输出",标准坦克设计!$B$23:$U$23,0)))*(VLOOKUP($B182,INDIRECT($B$5&amp;"生成成长"),3))*(VLOOKUP($B$5,标准坦克设计!$B$14:$K$20,9)/30))</f>
        <v>1.6020551454701599</v>
      </c>
      <c r="V182" s="172">
        <f ca="1">(VLOOKUP(V$72,INDIRECT($C$5&amp;"生成成长"),2))/((VLOOKUP($B182,INDIRECT($B$5&amp;"生成成长"),4))/(VLOOKUP(V$72,INDIRECT($C$5&amp;"生成成长"),5))*(VLOOKUP($B$5,标准坦克设计!$B$24:$U$30,MATCH("对"&amp;LEFT($C$5,2)&amp;"输出",标准坦克设计!$B$23:$U$23,0)))*(VLOOKUP($B182,INDIRECT($B$5&amp;"生成成长"),3))*(VLOOKUP($B$5,标准坦克设计!$B$14:$K$20,9)/30))</f>
        <v>1.7517795396215239</v>
      </c>
      <c r="W182" s="172">
        <f ca="1">(VLOOKUP(W$72,INDIRECT($C$5&amp;"生成成长"),2))/((VLOOKUP($B182,INDIRECT($B$5&amp;"生成成长"),4))/(VLOOKUP(W$72,INDIRECT($C$5&amp;"生成成长"),5))*(VLOOKUP($B$5,标准坦克设计!$B$24:$U$30,MATCH("对"&amp;LEFT($C$5,2)&amp;"输出",标准坦克设计!$B$23:$U$23,0)))*(VLOOKUP($B182,INDIRECT($B$5&amp;"生成成长"),3))*(VLOOKUP($B$5,标准坦克设计!$B$14:$K$20,9)/30))</f>
        <v>1.9081913756952809</v>
      </c>
      <c r="X182" s="172">
        <f ca="1">(VLOOKUP(X$72,INDIRECT($C$5&amp;"生成成长"),2))/((VLOOKUP($B182,INDIRECT($B$5&amp;"生成成长"),4))/(VLOOKUP(X$72,INDIRECT($C$5&amp;"生成成长"),5))*(VLOOKUP($B$5,标准坦克设计!$B$24:$U$30,MATCH("对"&amp;LEFT($C$5,2)&amp;"输出",标准坦克设计!$B$23:$U$23,0)))*(VLOOKUP($B182,INDIRECT($B$5&amp;"生成成长"),3))*(VLOOKUP($B$5,标准坦克设计!$B$14:$K$20,9)/30))</f>
        <v>1.3824428551792161</v>
      </c>
      <c r="Y182" s="172">
        <f ca="1">(VLOOKUP(Y$72,INDIRECT($C$5&amp;"生成成长"),2))/((VLOOKUP($B182,INDIRECT($B$5&amp;"生成成长"),4))/(VLOOKUP(Y$72,INDIRECT($C$5&amp;"生成成长"),5))*(VLOOKUP($B$5,标准坦克设计!$B$24:$U$30,MATCH("对"&amp;LEFT($C$5,2)&amp;"输出",标准坦克设计!$B$23:$U$23,0)))*(VLOOKUP($B182,INDIRECT($B$5&amp;"生成成长"),3))*(VLOOKUP($B$5,标准坦克设计!$B$14:$K$20,9)/30))</f>
        <v>1.5376575565878532</v>
      </c>
      <c r="Z182" s="172">
        <f ca="1">(VLOOKUP(Z$72,INDIRECT($C$5&amp;"生成成长"),2))/((VLOOKUP($B182,INDIRECT($B$5&amp;"生成成长"),4))/(VLOOKUP(Z$72,INDIRECT($C$5&amp;"生成成长"),5))*(VLOOKUP($B$5,标准坦克设计!$B$24:$U$30,MATCH("对"&amp;LEFT($C$5,2)&amp;"输出",标准坦克设计!$B$23:$U$23,0)))*(VLOOKUP($B182,INDIRECT($B$5&amp;"生成成长"),3))*(VLOOKUP($B$5,标准坦克设计!$B$14:$K$20,9)/30))</f>
        <v>1.701128359135248</v>
      </c>
      <c r="AA182" s="172">
        <f ca="1">(VLOOKUP(AA$72,INDIRECT($C$5&amp;"生成成长"),2))/((VLOOKUP($B182,INDIRECT($B$5&amp;"生成成长"),4))/(VLOOKUP(AA$72,INDIRECT($C$5&amp;"生成成长"),5))*(VLOOKUP($B$5,标准坦克设计!$B$24:$U$30,MATCH("对"&amp;LEFT($C$5,2)&amp;"输出",标准坦克设计!$B$23:$U$23,0)))*(VLOOKUP($B182,INDIRECT($B$5&amp;"生成成长"),3))*(VLOOKUP($B$5,标准坦克设计!$B$14:$K$20,9)/30))</f>
        <v>1.8728552628213997</v>
      </c>
      <c r="AB182" s="172">
        <f ca="1">(VLOOKUP(AB$72,INDIRECT($C$5&amp;"生成成长"),2))/((VLOOKUP($B182,INDIRECT($B$5&amp;"生成成长"),4))/(VLOOKUP(AB$72,INDIRECT($C$5&amp;"生成成长"),5))*(VLOOKUP($B$5,标准坦克设计!$B$24:$U$30,MATCH("对"&amp;LEFT($C$5,2)&amp;"输出",标准坦克设计!$B$23:$U$23,0)))*(VLOOKUP($B182,INDIRECT($B$5&amp;"生成成长"),3))*(VLOOKUP($B$5,标准坦克设计!$B$14:$K$20,9)/30))</f>
        <v>2.0528382676463086</v>
      </c>
      <c r="AC182" s="172">
        <f ca="1">(VLOOKUP(AC$72,INDIRECT($C$5&amp;"生成成长"),2))/((VLOOKUP($B182,INDIRECT($B$5&amp;"生成成长"),4))/(VLOOKUP(AC$72,INDIRECT($C$5&amp;"生成成长"),5))*(VLOOKUP($B$5,标准坦克设计!$B$24:$U$30,MATCH("对"&amp;LEFT($C$5,2)&amp;"输出",标准坦克设计!$B$23:$U$23,0)))*(VLOOKUP($B182,INDIRECT($B$5&amp;"生成成长"),3))*(VLOOKUP($B$5,标准坦克设计!$B$14:$K$20,9)/30))</f>
        <v>2.2410773736099752</v>
      </c>
      <c r="AD182" s="172">
        <f ca="1">(VLOOKUP(AD$72,INDIRECT($C$5&amp;"生成成长"),2))/((VLOOKUP($B182,INDIRECT($B$5&amp;"生成成长"),4))/(VLOOKUP(AD$72,INDIRECT($C$5&amp;"生成成长"),5))*(VLOOKUP($B$5,标准坦克设计!$B$24:$U$30,MATCH("对"&amp;LEFT($C$5,2)&amp;"输出",标准坦克设计!$B$23:$U$23,0)))*(VLOOKUP($B182,INDIRECT($B$5&amp;"生成成长"),3))*(VLOOKUP($B$5,标准坦克设计!$B$14:$K$20,9)/30))</f>
        <v>2.4375725807123989</v>
      </c>
      <c r="AE182" s="172">
        <f ca="1">(VLOOKUP(AE$72,INDIRECT($C$5&amp;"生成成长"),2))/((VLOOKUP($B182,INDIRECT($B$5&amp;"生成成长"),4))/(VLOOKUP(AE$72,INDIRECT($C$5&amp;"生成成长"),5))*(VLOOKUP($B$5,标准坦克设计!$B$24:$U$30,MATCH("对"&amp;LEFT($C$5,2)&amp;"输出",标准坦克设计!$B$23:$U$23,0)))*(VLOOKUP($B182,INDIRECT($B$5&amp;"生成成长"),3))*(VLOOKUP($B$5,标准坦克设计!$B$14:$K$20,9)/30))</f>
        <v>2.6423238889535803</v>
      </c>
      <c r="AF182" s="172">
        <f ca="1">(VLOOKUP(AF$72,INDIRECT($C$5&amp;"生成成长"),2))/((VLOOKUP($B182,INDIRECT($B$5&amp;"生成成长"),4))/(VLOOKUP(AF$72,INDIRECT($C$5&amp;"生成成长"),5))*(VLOOKUP($B$5,标准坦克设计!$B$24:$U$30,MATCH("对"&amp;LEFT($C$5,2)&amp;"输出",标准坦克设计!$B$23:$U$23,0)))*(VLOOKUP($B182,INDIRECT($B$5&amp;"生成成长"),3))*(VLOOKUP($B$5,标准坦克设计!$B$14:$K$20,9)/30))</f>
        <v>2.8553312983335184</v>
      </c>
      <c r="AG182" s="172">
        <f ca="1">(VLOOKUP(AG$72,INDIRECT($C$5&amp;"生成成长"),2))/((VLOOKUP($B182,INDIRECT($B$5&amp;"生成成长"),4))/(VLOOKUP(AG$72,INDIRECT($C$5&amp;"生成成长"),5))*(VLOOKUP($B$5,标准坦克设计!$B$24:$U$30,MATCH("对"&amp;LEFT($C$5,2)&amp;"输出",标准坦克设计!$B$23:$U$23,0)))*(VLOOKUP($B182,INDIRECT($B$5&amp;"生成成长"),3))*(VLOOKUP($B$5,标准坦克设计!$B$14:$K$20,9)/30))</f>
        <v>3.0765948088522137</v>
      </c>
      <c r="AH182" s="172">
        <f ca="1">(VLOOKUP(AH$72,INDIRECT($C$5&amp;"生成成长"),2))/((VLOOKUP($B182,INDIRECT($B$5&amp;"生成成长"),4))/(VLOOKUP(AH$72,INDIRECT($C$5&amp;"生成成长"),5))*(VLOOKUP($B$5,标准坦克设计!$B$24:$U$30,MATCH("对"&amp;LEFT($C$5,2)&amp;"输出",标准坦克设计!$B$23:$U$23,0)))*(VLOOKUP($B182,INDIRECT($B$5&amp;"生成成长"),3))*(VLOOKUP($B$5,标准坦克设计!$B$14:$K$20,9)/30))</f>
        <v>3.3061144205096666</v>
      </c>
      <c r="AI182" s="172">
        <f ca="1">(VLOOKUP(AI$72,INDIRECT($C$5&amp;"生成成长"),2))/((VLOOKUP($B182,INDIRECT($B$5&amp;"生成成长"),4))/(VLOOKUP(AI$72,INDIRECT($C$5&amp;"生成成长"),5))*(VLOOKUP($B$5,标准坦克设计!$B$24:$U$30,MATCH("对"&amp;LEFT($C$5,2)&amp;"输出",标准坦克设计!$B$23:$U$23,0)))*(VLOOKUP($B182,INDIRECT($B$5&amp;"生成成长"),3))*(VLOOKUP($B$5,标准坦克设计!$B$14:$K$20,9)/30))</f>
        <v>2.3382929645188426</v>
      </c>
      <c r="AJ182" s="172">
        <f ca="1">(VLOOKUP(AJ$72,INDIRECT($C$5&amp;"生成成长"),2))/((VLOOKUP($B182,INDIRECT($B$5&amp;"生成成长"),4))/(VLOOKUP(AJ$72,INDIRECT($C$5&amp;"生成成长"),5))*(VLOOKUP($B$5,标准坦克设计!$B$24:$U$30,MATCH("对"&amp;LEFT($C$5,2)&amp;"输出",标准坦克设计!$B$23:$U$23,0)))*(VLOOKUP($B182,INDIRECT($B$5&amp;"生成成长"),3))*(VLOOKUP($B$5,标准坦克设计!$B$14:$K$20,9)/30))</f>
        <v>2.5594326335204567</v>
      </c>
      <c r="AK182" s="172">
        <f ca="1">(VLOOKUP(AK$72,INDIRECT($C$5&amp;"生成成长"),2))/((VLOOKUP($B182,INDIRECT($B$5&amp;"生成成长"),4))/(VLOOKUP(AK$72,INDIRECT($C$5&amp;"生成成长"),5))*(VLOOKUP($B$5,标准坦克设计!$B$24:$U$30,MATCH("对"&amp;LEFT($C$5,2)&amp;"输出",标准坦克设计!$B$23:$U$23,0)))*(VLOOKUP($B182,INDIRECT($B$5&amp;"生成成长"),3))*(VLOOKUP($B$5,标准坦克设计!$B$14:$K$20,9)/30))</f>
        <v>2.7905621848999673</v>
      </c>
      <c r="AL182" s="172">
        <f ca="1">(VLOOKUP(AL$72,INDIRECT($C$5&amp;"生成成长"),2))/((VLOOKUP($B182,INDIRECT($B$5&amp;"生成成长"),4))/(VLOOKUP(AL$72,INDIRECT($C$5&amp;"生成成长"),5))*(VLOOKUP($B$5,标准坦克设计!$B$24:$U$30,MATCH("对"&amp;LEFT($C$5,2)&amp;"输出",标准坦克设计!$B$23:$U$23,0)))*(VLOOKUP($B182,INDIRECT($B$5&amp;"生成成长"),3))*(VLOOKUP($B$5,标准坦克设计!$B$14:$K$20,9)/30))</f>
        <v>3.0316816186573736</v>
      </c>
      <c r="AM182" s="172">
        <f ca="1">(VLOOKUP(AM$72,INDIRECT($C$5&amp;"生成成长"),2))/((VLOOKUP($B182,INDIRECT($B$5&amp;"生成成长"),4))/(VLOOKUP(AM$72,INDIRECT($C$5&amp;"生成成长"),5))*(VLOOKUP($B$5,标准坦克设计!$B$24:$U$30,MATCH("对"&amp;LEFT($C$5,2)&amp;"输出",标准坦克设计!$B$23:$U$23,0)))*(VLOOKUP($B182,INDIRECT($B$5&amp;"生成成长"),3))*(VLOOKUP($B$5,标准坦克设计!$B$14:$K$20,9)/30))</f>
        <v>3.2827909347926774</v>
      </c>
      <c r="AN182" s="172">
        <f ca="1">(VLOOKUP(AN$72,INDIRECT($C$5&amp;"生成成长"),2))/((VLOOKUP($B182,INDIRECT($B$5&amp;"生成成长"),4))/(VLOOKUP(AN$72,INDIRECT($C$5&amp;"生成成长"),5))*(VLOOKUP($B$5,标准坦克设计!$B$24:$U$30,MATCH("对"&amp;LEFT($C$5,2)&amp;"输出",标准坦克设计!$B$23:$U$23,0)))*(VLOOKUP($B182,INDIRECT($B$5&amp;"生成成长"),3))*(VLOOKUP($B$5,标准坦克设计!$B$14:$K$20,9)/30))</f>
        <v>3.5438901333058777</v>
      </c>
      <c r="AO182" s="172">
        <f ca="1">(VLOOKUP(AO$72,INDIRECT($C$5&amp;"生成成长"),2))/((VLOOKUP($B182,INDIRECT($B$5&amp;"生成成长"),4))/(VLOOKUP(AO$72,INDIRECT($C$5&amp;"生成成长"),5))*(VLOOKUP($B$5,标准坦克设计!$B$24:$U$30,MATCH("对"&amp;LEFT($C$5,2)&amp;"输出",标准坦克设计!$B$23:$U$23,0)))*(VLOOKUP($B182,INDIRECT($B$5&amp;"生成成长"),3))*(VLOOKUP($B$5,标准坦克设计!$B$14:$K$20,9)/30))</f>
        <v>3.8149792141969732</v>
      </c>
      <c r="AP182" s="172">
        <f ca="1">(VLOOKUP(AP$72,INDIRECT($C$5&amp;"生成成长"),2))/((VLOOKUP($B182,INDIRECT($B$5&amp;"生成成长"),4))/(VLOOKUP(AP$72,INDIRECT($C$5&amp;"生成成长"),5))*(VLOOKUP($B$5,标准坦克设计!$B$24:$U$30,MATCH("对"&amp;LEFT($C$5,2)&amp;"输出",标准坦克设计!$B$23:$U$23,0)))*(VLOOKUP($B182,INDIRECT($B$5&amp;"生成成长"),3))*(VLOOKUP($B$5,标准坦克设计!$B$14:$K$20,9)/30))</f>
        <v>4.0960581774659657</v>
      </c>
      <c r="AQ182" s="172">
        <f ca="1">(VLOOKUP(AQ$72,INDIRECT($C$5&amp;"生成成长"),2))/((VLOOKUP($B182,INDIRECT($B$5&amp;"生成成长"),4))/(VLOOKUP(AQ$72,INDIRECT($C$5&amp;"生成成长"),5))*(VLOOKUP($B$5,标准坦克设计!$B$24:$U$30,MATCH("对"&amp;LEFT($C$5,2)&amp;"输出",标准坦克设计!$B$23:$U$23,0)))*(VLOOKUP($B182,INDIRECT($B$5&amp;"生成成长"),3))*(VLOOKUP($B$5,标准坦克设计!$B$14:$K$20,9)/30))</f>
        <v>4.3871270231128534</v>
      </c>
      <c r="AR182" s="172">
        <f ca="1">(VLOOKUP(AR$72,INDIRECT($C$5&amp;"生成成长"),2))/((VLOOKUP($B182,INDIRECT($B$5&amp;"生成成长"),4))/(VLOOKUP(AR$72,INDIRECT($C$5&amp;"生成成长"),5))*(VLOOKUP($B$5,标准坦克设计!$B$24:$U$30,MATCH("对"&amp;LEFT($C$5,2)&amp;"输出",标准坦克设计!$B$23:$U$23,0)))*(VLOOKUP($B182,INDIRECT($B$5&amp;"生成成长"),3))*(VLOOKUP($B$5,标准坦克设计!$B$14:$K$20,9)/30))</f>
        <v>4.688185751137639</v>
      </c>
      <c r="AS182" s="172">
        <f ca="1">(VLOOKUP(AS$72,INDIRECT($C$5&amp;"生成成长"),2))/((VLOOKUP($B182,INDIRECT($B$5&amp;"生成成长"),4))/(VLOOKUP(AS$72,INDIRECT($C$5&amp;"生成成长"),5))*(VLOOKUP($B$5,标准坦克设计!$B$24:$U$30,MATCH("对"&amp;LEFT($C$5,2)&amp;"输出",标准坦克设计!$B$23:$U$23,0)))*(VLOOKUP($B182,INDIRECT($B$5&amp;"生成成长"),3))*(VLOOKUP($B$5,标准坦克设计!$B$14:$K$20,9)/30))</f>
        <v>4.9992343615403199</v>
      </c>
      <c r="AT182" s="172">
        <f ca="1">(VLOOKUP(AT$72,INDIRECT($C$5&amp;"生成成长"),2))/((VLOOKUP($B182,INDIRECT($B$5&amp;"生成成长"),4))/(VLOOKUP(AT$72,INDIRECT($C$5&amp;"生成成长"),5))*(VLOOKUP($B$5,标准坦克设计!$B$24:$U$30,MATCH("对"&amp;LEFT($C$5,2)&amp;"输出",标准坦克设计!$B$23:$U$23,0)))*(VLOOKUP($B182,INDIRECT($B$5&amp;"生成成长"),3))*(VLOOKUP($B$5,标准坦克设计!$B$14:$K$20,9)/30))</f>
        <v>5.3202728543208968</v>
      </c>
      <c r="AU182" s="172">
        <f ca="1">(VLOOKUP(AU$72,INDIRECT($C$5&amp;"生成成长"),2))/((VLOOKUP($B182,INDIRECT($B$5&amp;"生成成长"),4))/(VLOOKUP(AU$72,INDIRECT($C$5&amp;"生成成长"),5))*(VLOOKUP($B$5,标准坦克设计!$B$24:$U$30,MATCH("对"&amp;LEFT($C$5,2)&amp;"输出",标准坦克设计!$B$23:$U$23,0)))*(VLOOKUP($B182,INDIRECT($B$5&amp;"生成成长"),3))*(VLOOKUP($B$5,标准坦克设计!$B$14:$K$20,9)/30))</f>
        <v>5.6513012294793716</v>
      </c>
      <c r="AV182" s="172">
        <f ca="1">(VLOOKUP(AV$72,INDIRECT($C$5&amp;"生成成长"),2))/((VLOOKUP($B182,INDIRECT($B$5&amp;"生成成长"),4))/(VLOOKUP(AV$72,INDIRECT($C$5&amp;"生成成长"),5))*(VLOOKUP($B$5,标准坦克设计!$B$24:$U$30,MATCH("对"&amp;LEFT($C$5,2)&amp;"输出",标准坦克设计!$B$23:$U$23,0)))*(VLOOKUP($B182,INDIRECT($B$5&amp;"生成成长"),3))*(VLOOKUP($B$5,标准坦克设计!$B$14:$K$20,9)/30))</f>
        <v>0.57478976128028325</v>
      </c>
      <c r="AW182" s="172">
        <f ca="1">(VLOOKUP(AW$72,INDIRECT($C$5&amp;"生成成长"),2))/((VLOOKUP($B182,INDIRECT($B$5&amp;"生成成长"),4))/(VLOOKUP(AW$72,INDIRECT($C$5&amp;"生成成长"),5))*(VLOOKUP($B$5,标准坦克设计!$B$24:$U$30,MATCH("对"&amp;LEFT($C$5,2)&amp;"输出",标准坦克设计!$B$23:$U$23,0)))*(VLOOKUP($B182,INDIRECT($B$5&amp;"生成成长"),3))*(VLOOKUP($B$5,标准坦克设计!$B$14:$K$20,9)/30))</f>
        <v>0.65536930839455432</v>
      </c>
      <c r="AX182" s="172">
        <f ca="1">(VLOOKUP(AX$72,INDIRECT($C$5&amp;"生成成长"),2))/((VLOOKUP($B182,INDIRECT($B$5&amp;"生成成长"),4))/(VLOOKUP(AX$72,INDIRECT($C$5&amp;"生成成长"),5))*(VLOOKUP($B$5,标准坦克设计!$B$24:$U$30,MATCH("对"&amp;LEFT($C$5,2)&amp;"输出",标准坦克设计!$B$23:$U$23,0)))*(VLOOKUP($B182,INDIRECT($B$5&amp;"生成成长"),3))*(VLOOKUP($B$5,标准坦克设计!$B$14:$K$20,9)/30))</f>
        <v>0.74123276023763041</v>
      </c>
      <c r="AY182" s="172">
        <f ca="1">(VLOOKUP(AY$72,INDIRECT($C$5&amp;"生成成长"),2))/((VLOOKUP($B182,INDIRECT($B$5&amp;"生成成长"),4))/(VLOOKUP(AY$72,INDIRECT($C$5&amp;"生成成长"),5))*(VLOOKUP($B$5,标准坦克设计!$B$24:$U$30,MATCH("对"&amp;LEFT($C$5,2)&amp;"输出",标准坦克设计!$B$23:$U$23,0)))*(VLOOKUP($B182,INDIRECT($B$5&amp;"生成成长"),3))*(VLOOKUP($B$5,标准坦克设计!$B$14:$K$20,9)/30))</f>
        <v>0.83238011680951085</v>
      </c>
      <c r="AZ182" s="172">
        <f ca="1">(VLOOKUP(AZ$72,INDIRECT($C$5&amp;"生成成长"),2))/((VLOOKUP($B182,INDIRECT($B$5&amp;"生成成长"),4))/(VLOOKUP(AZ$72,INDIRECT($C$5&amp;"生成成长"),5))*(VLOOKUP($B$5,标准坦克设计!$B$24:$U$30,MATCH("对"&amp;LEFT($C$5,2)&amp;"输出",标准坦克设计!$B$23:$U$23,0)))*(VLOOKUP($B182,INDIRECT($B$5&amp;"生成成长"),3))*(VLOOKUP($B$5,标准坦克设计!$B$14:$K$20,9)/30))</f>
        <v>0.92881137811019621</v>
      </c>
      <c r="BA182" s="172">
        <f ca="1">(VLOOKUP(BA$72,INDIRECT($C$5&amp;"生成成长"),2))/((VLOOKUP($B182,INDIRECT($B$5&amp;"生成成长"),4))/(VLOOKUP(BA$72,INDIRECT($C$5&amp;"生成成长"),5))*(VLOOKUP($B$5,标准坦克设计!$B$24:$U$30,MATCH("对"&amp;LEFT($C$5,2)&amp;"输出",标准坦克设计!$B$23:$U$23,0)))*(VLOOKUP($B182,INDIRECT($B$5&amp;"生成成长"),3))*(VLOOKUP($B$5,标准坦克设计!$B$14:$K$20,9)/30))</f>
        <v>1.030526544139686</v>
      </c>
      <c r="BB182" s="172">
        <f ca="1">(VLOOKUP(BB$72,INDIRECT($C$5&amp;"生成成长"),2))/((VLOOKUP($B182,INDIRECT($B$5&amp;"生成成长"),4))/(VLOOKUP(BB$72,INDIRECT($C$5&amp;"生成成长"),5))*(VLOOKUP($B$5,标准坦克设计!$B$24:$U$30,MATCH("对"&amp;LEFT($C$5,2)&amp;"输出",标准坦克设计!$B$23:$U$23,0)))*(VLOOKUP($B182,INDIRECT($B$5&amp;"生成成长"),3))*(VLOOKUP($B$5,标准坦克设计!$B$14:$K$20,9)/30))</f>
        <v>1.1375256148979809</v>
      </c>
      <c r="BC182" s="172">
        <f ca="1">(VLOOKUP(BC$72,INDIRECT($C$5&amp;"生成成长"),2))/((VLOOKUP($B182,INDIRECT($B$5&amp;"生成成长"),4))/(VLOOKUP(BC$72,INDIRECT($C$5&amp;"生成成长"),5))*(VLOOKUP($B$5,标准坦克设计!$B$24:$U$30,MATCH("对"&amp;LEFT($C$5,2)&amp;"输出",标准坦克设计!$B$23:$U$23,0)))*(VLOOKUP($B182,INDIRECT($B$5&amp;"生成成长"),3))*(VLOOKUP($B$5,标准坦克设计!$B$14:$K$20,9)/30))</f>
        <v>1.24980859038508</v>
      </c>
      <c r="BD182" s="172">
        <f ca="1">(VLOOKUP(BD$72,INDIRECT($C$5&amp;"生成成长"),2))/((VLOOKUP($B182,INDIRECT($B$5&amp;"生成成长"),4))/(VLOOKUP(BD$72,INDIRECT($C$5&amp;"生成成长"),5))*(VLOOKUP($B$5,标准坦克设计!$B$24:$U$30,MATCH("对"&amp;LEFT($C$5,2)&amp;"输出",标准坦克设计!$B$23:$U$23,0)))*(VLOOKUP($B182,INDIRECT($B$5&amp;"生成成长"),3))*(VLOOKUP($B$5,标准坦克设计!$B$14:$K$20,9)/30))</f>
        <v>1.3824428551792161</v>
      </c>
      <c r="BE182" s="172">
        <f ca="1">(VLOOKUP(BE$72,INDIRECT($C$5&amp;"生成成长"),2))/((VLOOKUP($B182,INDIRECT($B$5&amp;"生成成长"),4))/(VLOOKUP(BE$72,INDIRECT($C$5&amp;"生成成长"),5))*(VLOOKUP($B$5,标准坦克设计!$B$24:$U$30,MATCH("对"&amp;LEFT($C$5,2)&amp;"输出",标准坦克设计!$B$23:$U$23,0)))*(VLOOKUP($B182,INDIRECT($B$5&amp;"生成成长"),3))*(VLOOKUP($B$5,标准坦克设计!$B$14:$K$20,9)/30))</f>
        <v>1.5217645618957454</v>
      </c>
      <c r="BF182" s="172">
        <f ca="1">(VLOOKUP(BF$72,INDIRECT($C$5&amp;"生成成长"),2))/((VLOOKUP($B182,INDIRECT($B$5&amp;"生成成长"),4))/(VLOOKUP(BF$72,INDIRECT($C$5&amp;"生成成长"),5))*(VLOOKUP($B$5,标准坦克设计!$B$24:$U$30,MATCH("对"&amp;LEFT($C$5,2)&amp;"输出",标准坦克设计!$B$23:$U$23,0)))*(VLOOKUP($B182,INDIRECT($B$5&amp;"生成成长"),3))*(VLOOKUP($B$5,标准坦克设计!$B$14:$K$20,9)/30))</f>
        <v>1.6677737105346682</v>
      </c>
      <c r="BG182" s="172">
        <f ca="1">(VLOOKUP(BG$72,INDIRECT($C$5&amp;"生成成长"),2))/((VLOOKUP($B182,INDIRECT($B$5&amp;"生成成长"),4))/(VLOOKUP(BG$72,INDIRECT($C$5&amp;"生成成长"),5))*(VLOOKUP($B$5,标准坦克设计!$B$24:$U$30,MATCH("对"&amp;LEFT($C$5,2)&amp;"输出",标准坦克设计!$B$23:$U$23,0)))*(VLOOKUP($B182,INDIRECT($B$5&amp;"生成成长"),3))*(VLOOKUP($B$5,标准坦克设计!$B$14:$K$20,9)/30))</f>
        <v>1.8204703010959848</v>
      </c>
      <c r="BH182" s="172">
        <f ca="1">(VLOOKUP(BH$72,INDIRECT($C$5&amp;"生成成长"),2))/((VLOOKUP($B182,INDIRECT($B$5&amp;"生成成长"),4))/(VLOOKUP(BH$72,INDIRECT($C$5&amp;"生成成长"),5))*(VLOOKUP($B$5,标准坦克设计!$B$24:$U$30,MATCH("对"&amp;LEFT($C$5,2)&amp;"输出",标准坦克设计!$B$23:$U$23,0)))*(VLOOKUP($B182,INDIRECT($B$5&amp;"生成成长"),3))*(VLOOKUP($B$5,标准坦克设计!$B$14:$K$20,9)/30))</f>
        <v>0.87993525936875294</v>
      </c>
      <c r="BI182" s="172">
        <f ca="1">(VLOOKUP(BI$72,INDIRECT($C$5&amp;"生成成长"),2))/((VLOOKUP($B182,INDIRECT($B$5&amp;"生成成长"),4))/(VLOOKUP(BI$72,INDIRECT($C$5&amp;"生成成长"),5))*(VLOOKUP($B$5,标准坦克设计!$B$24:$U$30,MATCH("对"&amp;LEFT($C$5,2)&amp;"输出",标准坦克设计!$B$23:$U$23,0)))*(VLOOKUP($B182,INDIRECT($B$5&amp;"生成成长"),3))*(VLOOKUP($B$5,标准坦克设计!$B$14:$K$20,9)/30))</f>
        <v>0.99176414929322054</v>
      </c>
      <c r="BJ182" s="172">
        <f ca="1">(VLOOKUP(BJ$72,INDIRECT($C$5&amp;"生成成长"),2))/((VLOOKUP($B182,INDIRECT($B$5&amp;"生成成长"),4))/(VLOOKUP(BJ$72,INDIRECT($C$5&amp;"生成成长"),5))*(VLOOKUP($B$5,标准坦克设计!$B$24:$U$30,MATCH("对"&amp;LEFT($C$5,2)&amp;"输出",标准坦克设计!$B$23:$U$23,0)))*(VLOOKUP($B182,INDIRECT($B$5&amp;"生成成长"),3))*(VLOOKUP($B$5,标准坦克设计!$B$14:$K$20,9)/30))</f>
        <v>1.1102804811400817</v>
      </c>
      <c r="BK182" s="172">
        <f ca="1">(VLOOKUP(BK$72,INDIRECT($C$5&amp;"生成成长"),2))/((VLOOKUP($B182,INDIRECT($B$5&amp;"生成成长"),4))/(VLOOKUP(BK$72,INDIRECT($C$5&amp;"生成成长"),5))*(VLOOKUP($B$5,标准坦克设计!$B$24:$U$30,MATCH("对"&amp;LEFT($C$5,2)&amp;"输出",标准坦克设计!$B$23:$U$23,0)))*(VLOOKUP($B182,INDIRECT($B$5&amp;"生成成长"),3))*(VLOOKUP($B$5,标准坦克设计!$B$14:$K$20,9)/30))</f>
        <v>1.2354842549093359</v>
      </c>
      <c r="BL182" s="172">
        <f ca="1">(VLOOKUP(BL$72,INDIRECT($C$5&amp;"生成成长"),2))/((VLOOKUP($B182,INDIRECT($B$5&amp;"生成成长"),4))/(VLOOKUP(BL$72,INDIRECT($C$5&amp;"生成成长"),5))*(VLOOKUP($B$5,标准坦克设计!$B$24:$U$30,MATCH("对"&amp;LEFT($C$5,2)&amp;"输出",标准坦克设计!$B$23:$U$23,0)))*(VLOOKUP($B182,INDIRECT($B$5&amp;"生成成长"),3))*(VLOOKUP($B$5,标准坦克设计!$B$14:$K$20,9)/30))</f>
        <v>1.367375470600984</v>
      </c>
      <c r="BM182" s="172">
        <f ca="1">(VLOOKUP(BM$72,INDIRECT($C$5&amp;"生成成长"),2))/((VLOOKUP($B182,INDIRECT($B$5&amp;"生成成长"),4))/(VLOOKUP(BM$72,INDIRECT($C$5&amp;"生成成长"),5))*(VLOOKUP($B$5,标准坦克设计!$B$24:$U$30,MATCH("对"&amp;LEFT($C$5,2)&amp;"输出",标准坦克设计!$B$23:$U$23,0)))*(VLOOKUP($B182,INDIRECT($B$5&amp;"生成成长"),3))*(VLOOKUP($B$5,标准坦克设计!$B$14:$K$20,9)/30))</f>
        <v>1.5059541282150251</v>
      </c>
      <c r="BN182" s="172">
        <f ca="1">(VLOOKUP(BN$72,INDIRECT($C$5&amp;"生成成长"),2))/((VLOOKUP($B182,INDIRECT($B$5&amp;"生成成长"),4))/(VLOOKUP(BN$72,INDIRECT($C$5&amp;"生成成长"),5))*(VLOOKUP($B$5,标准坦克设计!$B$24:$U$30,MATCH("对"&amp;LEFT($C$5,2)&amp;"输出",标准坦克设计!$B$23:$U$23,0)))*(VLOOKUP($B182,INDIRECT($B$5&amp;"生成成长"),3))*(VLOOKUP($B$5,标准坦克设计!$B$14:$K$20,9)/30))</f>
        <v>1.6512202277514598</v>
      </c>
      <c r="BO182" s="172">
        <f ca="1">(VLOOKUP(BO$72,INDIRECT($C$5&amp;"生成成长"),2))/((VLOOKUP($B182,INDIRECT($B$5&amp;"生成成长"),4))/(VLOOKUP(BO$72,INDIRECT($C$5&amp;"生成成长"),5))*(VLOOKUP($B$5,标准坦克设计!$B$24:$U$30,MATCH("对"&amp;LEFT($C$5,2)&amp;"输出",标准坦克设计!$B$23:$U$23,0)))*(VLOOKUP($B182,INDIRECT($B$5&amp;"生成成长"),3))*(VLOOKUP($B$5,标准坦克设计!$B$14:$K$20,9)/30))</f>
        <v>1.803173769210288</v>
      </c>
      <c r="BP182" s="172">
        <f ca="1">(VLOOKUP(BP$72,INDIRECT($C$5&amp;"生成成长"),2))/((VLOOKUP($B182,INDIRECT($B$5&amp;"生成成长"),4))/(VLOOKUP(BP$72,INDIRECT($C$5&amp;"生成成长"),5))*(VLOOKUP($B$5,标准坦克设计!$B$24:$U$30,MATCH("对"&amp;LEFT($C$5,2)&amp;"输出",标准坦克设计!$B$23:$U$23,0)))*(VLOOKUP($B182,INDIRECT($B$5&amp;"生成成长"),3))*(VLOOKUP($B$5,标准坦克设计!$B$14:$K$20,9)/30))</f>
        <v>1.9618147525915093</v>
      </c>
      <c r="BQ182" s="172">
        <f ca="1">(VLOOKUP(BQ$72,INDIRECT($C$5&amp;"生成成长"),2))/((VLOOKUP($B182,INDIRECT($B$5&amp;"生成成长"),4))/(VLOOKUP(BQ$72,INDIRECT($C$5&amp;"生成成长"),5))*(VLOOKUP($B$5,标准坦克设计!$B$24:$U$30,MATCH("对"&amp;LEFT($C$5,2)&amp;"输出",标准坦克设计!$B$23:$U$23,0)))*(VLOOKUP($B182,INDIRECT($B$5&amp;"生成成长"),3))*(VLOOKUP($B$5,标准坦克设计!$B$14:$K$20,9)/30))</f>
        <v>2.1271431778951242</v>
      </c>
      <c r="BR182" s="172">
        <f ca="1">(VLOOKUP(BR$72,INDIRECT($C$5&amp;"生成成长"),2))/((VLOOKUP($B182,INDIRECT($B$5&amp;"生成成长"),4))/(VLOOKUP(BR$72,INDIRECT($C$5&amp;"生成成长"),5))*(VLOOKUP($B$5,标准坦克设计!$B$24:$U$30,MATCH("对"&amp;LEFT($C$5,2)&amp;"输出",标准坦克设计!$B$23:$U$23,0)))*(VLOOKUP($B182,INDIRECT($B$5&amp;"生成成长"),3))*(VLOOKUP($B$5,标准坦克设计!$B$14:$K$20,9)/30))</f>
        <v>2.3186847243142941</v>
      </c>
      <c r="BS182" s="172">
        <f ca="1">(VLOOKUP(BS$72,INDIRECT($C$5&amp;"生成成长"),2))/((VLOOKUP($B182,INDIRECT($B$5&amp;"生成成长"),4))/(VLOOKUP(BS$72,INDIRECT($C$5&amp;"生成成长"),5))*(VLOOKUP($B$5,标准坦克设计!$B$24:$U$30,MATCH("对"&amp;LEFT($C$5,2)&amp;"输出",标准坦克设计!$B$23:$U$23,0)))*(VLOOKUP($B182,INDIRECT($B$5&amp;"生成成长"),3))*(VLOOKUP($B$5,标准坦克设计!$B$14:$K$20,9)/30))</f>
        <v>2.5184823718722202</v>
      </c>
      <c r="BT182" s="172">
        <f ca="1">(VLOOKUP(BT$72,INDIRECT($C$5&amp;"生成成长"),2))/((VLOOKUP($B182,INDIRECT($B$5&amp;"生成成长"),4))/(VLOOKUP(BT$72,INDIRECT($C$5&amp;"生成成长"),5))*(VLOOKUP($B$5,标准坦克设计!$B$24:$U$30,MATCH("对"&amp;LEFT($C$5,2)&amp;"输出",标准坦克设计!$B$23:$U$23,0)))*(VLOOKUP($B182,INDIRECT($B$5&amp;"生成成长"),3))*(VLOOKUP($B$5,标准坦克设计!$B$14:$K$20,9)/30))</f>
        <v>2.726536120568904</v>
      </c>
      <c r="BU182" s="172">
        <f ca="1">(VLOOKUP(BU$72,INDIRECT($C$5&amp;"生成成长"),2))/((VLOOKUP($B182,INDIRECT($B$5&amp;"生成成长"),4))/(VLOOKUP(BU$72,INDIRECT($C$5&amp;"生成成长"),5))*(VLOOKUP($B$5,标准坦克设计!$B$24:$U$30,MATCH("对"&amp;LEFT($C$5,2)&amp;"输出",标准坦克设计!$B$23:$U$23,0)))*(VLOOKUP($B182,INDIRECT($B$5&amp;"生成成长"),3))*(VLOOKUP($B$5,标准坦克设计!$B$14:$K$20,9)/30))</f>
        <v>2.9428459704043459</v>
      </c>
      <c r="BV182" s="172">
        <f ca="1">(VLOOKUP(BV$72,INDIRECT($C$5&amp;"生成成长"),2))/((VLOOKUP($B182,INDIRECT($B$5&amp;"生成成长"),4))/(VLOOKUP(BV$72,INDIRECT($C$5&amp;"生成成长"),5))*(VLOOKUP($B$5,标准坦克设计!$B$24:$U$30,MATCH("对"&amp;LEFT($C$5,2)&amp;"输出",标准坦克设计!$B$23:$U$23,0)))*(VLOOKUP($B182,INDIRECT($B$5&amp;"生成成长"),3))*(VLOOKUP($B$5,标准坦克设计!$B$14:$K$20,9)/30))</f>
        <v>3.1674119213785441</v>
      </c>
      <c r="BW182" s="172">
        <f ca="1">(VLOOKUP(BW$72,INDIRECT($C$5&amp;"生成成长"),2))/((VLOOKUP($B182,INDIRECT($B$5&amp;"生成成长"),4))/(VLOOKUP(BW$72,INDIRECT($C$5&amp;"生成成长"),5))*(VLOOKUP($B$5,标准坦克设计!$B$24:$U$30,MATCH("对"&amp;LEFT($C$5,2)&amp;"输出",标准坦克设计!$B$23:$U$23,0)))*(VLOOKUP($B182,INDIRECT($B$5&amp;"生成成长"),3))*(VLOOKUP($B$5,标准坦克设计!$B$14:$K$20,9)/30))</f>
        <v>1.4435380036060199</v>
      </c>
      <c r="BX182" s="172">
        <f ca="1">(VLOOKUP(BX$72,INDIRECT($C$5&amp;"生成成长"),2))/((VLOOKUP($B182,INDIRECT($B$5&amp;"生成成长"),4))/(VLOOKUP(BX$72,INDIRECT($C$5&amp;"生成成长"),5))*(VLOOKUP($B$5,标准坦克设计!$B$24:$U$30,MATCH("对"&amp;LEFT($C$5,2)&amp;"输出",标准坦克设计!$B$23:$U$23,0)))*(VLOOKUP($B182,INDIRECT($B$5&amp;"生成成长"),3))*(VLOOKUP($B$5,标准坦克设计!$B$14:$K$20,9)/30))</f>
        <v>1.6020551454701599</v>
      </c>
      <c r="BY182" s="172">
        <f ca="1">(VLOOKUP(BY$72,INDIRECT($C$5&amp;"生成成长"),2))/((VLOOKUP($B182,INDIRECT($B$5&amp;"生成成长"),4))/(VLOOKUP(BY$72,INDIRECT($C$5&amp;"生成成长"),5))*(VLOOKUP($B$5,标准坦克设计!$B$24:$U$30,MATCH("对"&amp;LEFT($C$5,2)&amp;"输出",标准坦克设计!$B$23:$U$23,0)))*(VLOOKUP($B182,INDIRECT($B$5&amp;"生成成长"),3))*(VLOOKUP($B$5,标准坦克设计!$B$14:$K$20,9)/30))</f>
        <v>1.7688283884730576</v>
      </c>
      <c r="BZ182" s="172">
        <f ca="1">(VLOOKUP(BZ$72,INDIRECT($C$5&amp;"生成成长"),2))/((VLOOKUP($B182,INDIRECT($B$5&amp;"生成成长"),4))/(VLOOKUP(BZ$72,INDIRECT($C$5&amp;"生成成长"),5))*(VLOOKUP($B$5,标准坦克设计!$B$24:$U$30,MATCH("对"&amp;LEFT($C$5,2)&amp;"输出",标准坦克设计!$B$23:$U$23,0)))*(VLOOKUP($B182,INDIRECT($B$5&amp;"生成成长"),3))*(VLOOKUP($B$5,标准坦克设计!$B$14:$K$20,9)/30))</f>
        <v>1.9438577326147122</v>
      </c>
      <c r="CA182" s="172">
        <f ca="1">(VLOOKUP(CA$72,INDIRECT($C$5&amp;"生成成长"),2))/((VLOOKUP($B182,INDIRECT($B$5&amp;"生成成长"),4))/(VLOOKUP(CA$72,INDIRECT($C$5&amp;"生成成长"),5))*(VLOOKUP($B$5,标准坦克设计!$B$24:$U$30,MATCH("对"&amp;LEFT($C$5,2)&amp;"输出",标准坦克设计!$B$23:$U$23,0)))*(VLOOKUP($B182,INDIRECT($B$5&amp;"生成成长"),3))*(VLOOKUP($B$5,标准坦克设计!$B$14:$K$20,9)/30))</f>
        <v>2.1271431778951242</v>
      </c>
      <c r="CB182" s="172">
        <f ca="1">(VLOOKUP(CB$72,INDIRECT($C$5&amp;"生成成长"),2))/((VLOOKUP($B182,INDIRECT($B$5&amp;"生成成长"),4))/(VLOOKUP(CB$72,INDIRECT($C$5&amp;"生成成长"),5))*(VLOOKUP($B$5,标准坦克设计!$B$24:$U$30,MATCH("对"&amp;LEFT($C$5,2)&amp;"输出",标准坦克设计!$B$23:$U$23,0)))*(VLOOKUP($B182,INDIRECT($B$5&amp;"生成成长"),3))*(VLOOKUP($B$5,标准坦克设计!$B$14:$K$20,9)/30))</f>
        <v>2.3186847243142941</v>
      </c>
      <c r="CC182" s="172">
        <f ca="1">(VLOOKUP(CC$72,INDIRECT($C$5&amp;"生成成长"),2))/((VLOOKUP($B182,INDIRECT($B$5&amp;"生成成长"),4))/(VLOOKUP(CC$72,INDIRECT($C$5&amp;"生成成长"),5))*(VLOOKUP($B$5,标准坦克设计!$B$24:$U$30,MATCH("对"&amp;LEFT($C$5,2)&amp;"输出",标准坦克设计!$B$23:$U$23,0)))*(VLOOKUP($B182,INDIRECT($B$5&amp;"生成成长"),3))*(VLOOKUP($B$5,标准坦克设计!$B$14:$K$20,9)/30))</f>
        <v>2.5184823718722202</v>
      </c>
      <c r="CD182" s="172">
        <f ca="1">(VLOOKUP(CD$72,INDIRECT($C$5&amp;"生成成长"),2))/((VLOOKUP($B182,INDIRECT($B$5&amp;"生成成长"),4))/(VLOOKUP(CD$72,INDIRECT($C$5&amp;"生成成长"),5))*(VLOOKUP($B$5,标准坦克设计!$B$24:$U$30,MATCH("对"&amp;LEFT($C$5,2)&amp;"输出",标准坦克设计!$B$23:$U$23,0)))*(VLOOKUP($B182,INDIRECT($B$5&amp;"生成成长"),3))*(VLOOKUP($B$5,标准坦克设计!$B$14:$K$20,9)/30))</f>
        <v>2.726536120568904</v>
      </c>
      <c r="CE182" s="172">
        <f ca="1">(VLOOKUP(CE$72,INDIRECT($C$5&amp;"生成成长"),2))/((VLOOKUP($B182,INDIRECT($B$5&amp;"生成成长"),4))/(VLOOKUP(CE$72,INDIRECT($C$5&amp;"生成成长"),5))*(VLOOKUP($B$5,标准坦克设计!$B$24:$U$30,MATCH("对"&amp;LEFT($C$5,2)&amp;"输出",标准坦克设计!$B$23:$U$23,0)))*(VLOOKUP($B182,INDIRECT($B$5&amp;"生成成长"),3))*(VLOOKUP($B$5,标准坦克设计!$B$14:$K$20,9)/30))</f>
        <v>2.9428459704043459</v>
      </c>
      <c r="CF182" s="172">
        <f ca="1">(VLOOKUP(CF$72,INDIRECT($C$5&amp;"生成成长"),2))/((VLOOKUP($B182,INDIRECT($B$5&amp;"生成成长"),4))/(VLOOKUP(CF$72,INDIRECT($C$5&amp;"生成成长"),5))*(VLOOKUP($B$5,标准坦克设计!$B$24:$U$30,MATCH("对"&amp;LEFT($C$5,2)&amp;"输出",标准坦克设计!$B$23:$U$23,0)))*(VLOOKUP($B182,INDIRECT($B$5&amp;"生成成长"),3))*(VLOOKUP($B$5,标准坦克设计!$B$14:$K$20,9)/30))</f>
        <v>3.1674119213785441</v>
      </c>
      <c r="CG182" s="172">
        <f ca="1">(VLOOKUP(CG$72,INDIRECT($C$5&amp;"生成成长"),2))/((VLOOKUP($B182,INDIRECT($B$5&amp;"生成成长"),4))/(VLOOKUP(CG$72,INDIRECT($C$5&amp;"生成成长"),5))*(VLOOKUP($B$5,标准坦克设计!$B$24:$U$30,MATCH("对"&amp;LEFT($C$5,2)&amp;"输出",标准坦克设计!$B$23:$U$23,0)))*(VLOOKUP($B182,INDIRECT($B$5&amp;"生成成长"),3))*(VLOOKUP($B$5,标准坦克设计!$B$14:$K$20,9)/30))</f>
        <v>3.4002339734914995</v>
      </c>
      <c r="CH182" s="172">
        <f ca="1">(VLOOKUP(CH$72,INDIRECT($C$5&amp;"生成成长"),2))/((VLOOKUP($B182,INDIRECT($B$5&amp;"生成成长"),4))/(VLOOKUP(CH$72,INDIRECT($C$5&amp;"生成成长"),5))*(VLOOKUP($B$5,标准坦克设计!$B$24:$U$30,MATCH("对"&amp;LEFT($C$5,2)&amp;"输出",标准坦克设计!$B$23:$U$23,0)))*(VLOOKUP($B182,INDIRECT($B$5&amp;"生成成长"),3))*(VLOOKUP($B$5,标准坦克设计!$B$14:$K$20,9)/30))</f>
        <v>3.6413121267432125</v>
      </c>
      <c r="CI182" s="172">
        <f ca="1">(VLOOKUP(CI$72,INDIRECT($C$5&amp;"生成成长"),2))/((VLOOKUP($B182,INDIRECT($B$5&amp;"生成成长"),4))/(VLOOKUP(CI$72,INDIRECT($C$5&amp;"生成成长"),5))*(VLOOKUP($B$5,标准坦克设计!$B$24:$U$30,MATCH("对"&amp;LEFT($C$5,2)&amp;"输出",标准坦克设计!$B$23:$U$23,0)))*(VLOOKUP($B182,INDIRECT($B$5&amp;"生成成长"),3))*(VLOOKUP($B$5,标准坦克设计!$B$14:$K$20,9)/30))</f>
        <v>3.9160338921353621</v>
      </c>
      <c r="CJ182" s="172">
        <f ca="1">(VLOOKUP(CJ$72,INDIRECT($C$5&amp;"生成成长"),2))/((VLOOKUP($B182,INDIRECT($B$5&amp;"生成成长"),4))/(VLOOKUP(CJ$72,INDIRECT($C$5&amp;"生成成长"),5))*(VLOOKUP($B$5,标准坦克设计!$B$24:$U$30,MATCH("对"&amp;LEFT($C$5,2)&amp;"输出",标准坦克设计!$B$23:$U$23,0)))*(VLOOKUP($B182,INDIRECT($B$5&amp;"生成成长"),3))*(VLOOKUP($B$5,标准坦克设计!$B$14:$K$20,9)/30))</f>
        <v>4.2007455399054088</v>
      </c>
      <c r="CK182" s="172">
        <f ca="1">(VLOOKUP(CK$72,INDIRECT($C$5&amp;"生成成长"),2))/((VLOOKUP($B182,INDIRECT($B$5&amp;"生成成长"),4))/(VLOOKUP(CK$72,INDIRECT($C$5&amp;"生成成长"),5))*(VLOOKUP($B$5,标准坦克设计!$B$24:$U$30,MATCH("对"&amp;LEFT($C$5,2)&amp;"输出",标准坦克设计!$B$23:$U$23,0)))*(VLOOKUP($B182,INDIRECT($B$5&amp;"生成成长"),3))*(VLOOKUP($B$5,标准坦克设计!$B$14:$K$20,9)/30))</f>
        <v>4.4954470700533493</v>
      </c>
      <c r="CL182" s="172">
        <f ca="1">(VLOOKUP(CL$72,INDIRECT($C$5&amp;"生成成长"),2))/((VLOOKUP($B182,INDIRECT($B$5&amp;"生成成长"),4))/(VLOOKUP(CL$72,INDIRECT($C$5&amp;"生成成长"),5))*(VLOOKUP($B$5,标准坦克设计!$B$24:$U$30,MATCH("对"&amp;LEFT($C$5,2)&amp;"输出",标准坦克设计!$B$23:$U$23,0)))*(VLOOKUP($B182,INDIRECT($B$5&amp;"生成成长"),3))*(VLOOKUP($B$5,标准坦克设计!$B$14:$K$20,9)/30))</f>
        <v>4.8001384825791886</v>
      </c>
      <c r="CM182" s="172">
        <f ca="1">(VLOOKUP(CM$72,INDIRECT($C$5&amp;"生成成长"),2))/((VLOOKUP($B182,INDIRECT($B$5&amp;"生成成长"),4))/(VLOOKUP(CM$72,INDIRECT($C$5&amp;"生成成长"),5))*(VLOOKUP($B$5,标准坦克设计!$B$24:$U$30,MATCH("对"&amp;LEFT($C$5,2)&amp;"输出",标准坦克设计!$B$23:$U$23,0)))*(VLOOKUP($B182,INDIRECT($B$5&amp;"生成成长"),3))*(VLOOKUP($B$5,标准坦克设计!$B$14:$K$20,9)/30))</f>
        <v>5.1148197774829232</v>
      </c>
      <c r="CN182" s="172">
        <f ca="1">(VLOOKUP(CN$72,INDIRECT($C$5&amp;"生成成长"),2))/((VLOOKUP($B182,INDIRECT($B$5&amp;"生成成长"),4))/(VLOOKUP(CN$72,INDIRECT($C$5&amp;"生成成长"),5))*(VLOOKUP($B$5,标准坦克设计!$B$24:$U$30,MATCH("对"&amp;LEFT($C$5,2)&amp;"输出",标准坦克设计!$B$23:$U$23,0)))*(VLOOKUP($B182,INDIRECT($B$5&amp;"生成成长"),3))*(VLOOKUP($B$5,标准坦克设计!$B$14:$K$20,9)/30))</f>
        <v>5.4394909547645529</v>
      </c>
      <c r="CO182" s="172">
        <f ca="1">(VLOOKUP(CO$72,INDIRECT($C$5&amp;"生成成长"),2))/((VLOOKUP($B182,INDIRECT($B$5&amp;"生成成长"),4))/(VLOOKUP(CO$72,INDIRECT($C$5&amp;"生成成长"),5))*(VLOOKUP($B$5,标准坦克设计!$B$24:$U$30,MATCH("对"&amp;LEFT($C$5,2)&amp;"输出",标准坦克设计!$B$23:$U$23,0)))*(VLOOKUP($B182,INDIRECT($B$5&amp;"生成成长"),3))*(VLOOKUP($B$5,标准坦克设计!$B$14:$K$20,9)/30))</f>
        <v>2.4375725807123989</v>
      </c>
      <c r="CP182" s="172">
        <f ca="1">(VLOOKUP(CP$72,INDIRECT($C$5&amp;"生成成长"),2))/((VLOOKUP($B182,INDIRECT($B$5&amp;"生成成长"),4))/(VLOOKUP(CP$72,INDIRECT($C$5&amp;"生成成长"),5))*(VLOOKUP($B$5,标准坦克设计!$B$24:$U$30,MATCH("对"&amp;LEFT($C$5,2)&amp;"输出",标准坦克设计!$B$23:$U$23,0)))*(VLOOKUP($B182,INDIRECT($B$5&amp;"生成成长"),3))*(VLOOKUP($B$5,标准坦克设计!$B$14:$K$20,9)/30))</f>
        <v>2.6632531053403299</v>
      </c>
      <c r="CQ182" s="172">
        <f ca="1">(VLOOKUP(CQ$72,INDIRECT($C$5&amp;"生成成长"),2))/((VLOOKUP($B182,INDIRECT($B$5&amp;"生成成长"),4))/(VLOOKUP(CQ$72,INDIRECT($C$5&amp;"生成成长"),5))*(VLOOKUP($B$5,标准坦克设计!$B$24:$U$30,MATCH("对"&amp;LEFT($C$5,2)&amp;"输出",标准坦克设计!$B$23:$U$23,0)))*(VLOOKUP($B182,INDIRECT($B$5&amp;"生成成长"),3))*(VLOOKUP($B$5,标准坦克设计!$B$14:$K$20,9)/30))</f>
        <v>2.8989235123461565</v>
      </c>
      <c r="CR182" s="172">
        <f ca="1">(VLOOKUP(CR$72,INDIRECT($C$5&amp;"生成成长"),2))/((VLOOKUP($B182,INDIRECT($B$5&amp;"生成成长"),4))/(VLOOKUP(CR$72,INDIRECT($C$5&amp;"生成成长"),5))*(VLOOKUP($B$5,标准坦克设计!$B$24:$U$30,MATCH("对"&amp;LEFT($C$5,2)&amp;"输出",标准坦克设计!$B$23:$U$23,0)))*(VLOOKUP($B182,INDIRECT($B$5&amp;"生成成长"),3))*(VLOOKUP($B$5,标准坦克设计!$B$14:$K$20,9)/30))</f>
        <v>3.1445838017298797</v>
      </c>
      <c r="CS182" s="172">
        <f ca="1">(VLOOKUP(CS$72,INDIRECT($C$5&amp;"生成成长"),2))/((VLOOKUP($B182,INDIRECT($B$5&amp;"生成成长"),4))/(VLOOKUP(CS$72,INDIRECT($C$5&amp;"生成成长"),5))*(VLOOKUP($B$5,标准坦克设计!$B$24:$U$30,MATCH("对"&amp;LEFT($C$5,2)&amp;"输出",标准坦克设计!$B$23:$U$23,0)))*(VLOOKUP($B182,INDIRECT($B$5&amp;"生成成长"),3))*(VLOOKUP($B$5,标准坦克设计!$B$14:$K$20,9)/30))</f>
        <v>3.4002339734914995</v>
      </c>
      <c r="CT182" s="172">
        <f ca="1">(VLOOKUP(CT$72,INDIRECT($C$5&amp;"生成成长"),2))/((VLOOKUP($B182,INDIRECT($B$5&amp;"生成成长"),4))/(VLOOKUP(CT$72,INDIRECT($C$5&amp;"生成成长"),5))*(VLOOKUP($B$5,标准坦克设计!$B$24:$U$30,MATCH("对"&amp;LEFT($C$5,2)&amp;"输出",标准坦克设计!$B$23:$U$23,0)))*(VLOOKUP($B182,INDIRECT($B$5&amp;"生成成长"),3))*(VLOOKUP($B$5,标准坦克设计!$B$14:$K$20,9)/30))</f>
        <v>3.6658740276310162</v>
      </c>
      <c r="CU182" s="172">
        <f ca="1">(VLOOKUP(CU$72,INDIRECT($C$5&amp;"生成成长"),2))/((VLOOKUP($B182,INDIRECT($B$5&amp;"生成成长"),4))/(VLOOKUP(CU$72,INDIRECT($C$5&amp;"生成成长"),5))*(VLOOKUP($B$5,标准坦克设计!$B$24:$U$30,MATCH("对"&amp;LEFT($C$5,2)&amp;"输出",标准坦克设计!$B$23:$U$23,0)))*(VLOOKUP($B182,INDIRECT($B$5&amp;"生成成长"),3))*(VLOOKUP($B$5,标准坦克设计!$B$14:$K$20,9)/30))</f>
        <v>3.9415039641484286</v>
      </c>
      <c r="CV182" s="172">
        <f ca="1">(VLOOKUP(CV$72,INDIRECT($C$5&amp;"生成成长"),2))/((VLOOKUP($B182,INDIRECT($B$5&amp;"生成成长"),4))/(VLOOKUP(CV$72,INDIRECT($C$5&amp;"生成成长"),5))*(VLOOKUP($B$5,标准坦克设计!$B$24:$U$30,MATCH("对"&amp;LEFT($C$5,2)&amp;"输出",标准坦克设计!$B$23:$U$23,0)))*(VLOOKUP($B182,INDIRECT($B$5&amp;"生成成长"),3))*(VLOOKUP($B$5,标准坦克设计!$B$14:$K$20,9)/30))</f>
        <v>4.2271237830437371</v>
      </c>
      <c r="CW182" s="172">
        <f ca="1">(VLOOKUP(CW$72,INDIRECT($C$5&amp;"生成成长"),2))/((VLOOKUP($B182,INDIRECT($B$5&amp;"生成成长"),4))/(VLOOKUP(CW$72,INDIRECT($C$5&amp;"生成成长"),5))*(VLOOKUP($B$5,标准坦克设计!$B$24:$U$30,MATCH("对"&amp;LEFT($C$5,2)&amp;"输出",标准坦克设计!$B$23:$U$23,0)))*(VLOOKUP($B182,INDIRECT($B$5&amp;"生成成长"),3))*(VLOOKUP($B$5,标准坦克设计!$B$14:$K$20,9)/30))</f>
        <v>4.5227334843169427</v>
      </c>
      <c r="CX182" s="172">
        <f ca="1">(VLOOKUP(CX$72,INDIRECT($C$5&amp;"生成成长"),2))/((VLOOKUP($B182,INDIRECT($B$5&amp;"生成成长"),4))/(VLOOKUP(CX$72,INDIRECT($C$5&amp;"生成成长"),5))*(VLOOKUP($B$5,标准坦克设计!$B$24:$U$30,MATCH("对"&amp;LEFT($C$5,2)&amp;"输出",标准坦克设计!$B$23:$U$23,0)))*(VLOOKUP($B182,INDIRECT($B$5&amp;"生成成长"),3))*(VLOOKUP($B$5,标准坦克设计!$B$14:$K$20,9)/30))</f>
        <v>4.8283330679680425</v>
      </c>
      <c r="CY182" s="172">
        <f ca="1">(VLOOKUP(CY$72,INDIRECT($C$5&amp;"生成成长"),2))/((VLOOKUP($B182,INDIRECT($B$5&amp;"生成成长"),4))/(VLOOKUP(CY$72,INDIRECT($C$5&amp;"生成成长"),5))*(VLOOKUP($B$5,标准坦克设计!$B$24:$U$30,MATCH("对"&amp;LEFT($C$5,2)&amp;"输出",标准坦克设计!$B$23:$U$23,0)))*(VLOOKUP($B182,INDIRECT($B$5&amp;"生成成长"),3))*(VLOOKUP($B$5,标准坦克设计!$B$14:$K$20,9)/30))</f>
        <v>5.1439225339970411</v>
      </c>
      <c r="CZ182" s="172">
        <f ca="1">(VLOOKUP(CZ$72,INDIRECT($C$5&amp;"生成成长"),2))/((VLOOKUP($B182,INDIRECT($B$5&amp;"生成成长"),4))/(VLOOKUP(CZ$72,INDIRECT($C$5&amp;"生成成长"),5))*(VLOOKUP($B$5,标准坦克设计!$B$24:$U$30,MATCH("对"&amp;LEFT($C$5,2)&amp;"输出",标准坦克设计!$B$23:$U$23,0)))*(VLOOKUP($B182,INDIRECT($B$5&amp;"生成成长"),3))*(VLOOKUP($B$5,标准坦克设计!$B$14:$K$20,9)/30))</f>
        <v>5.4695018824039359</v>
      </c>
      <c r="DA182" s="172">
        <f ca="1">(VLOOKUP(DA$72,INDIRECT($C$5&amp;"生成成长"),2))/((VLOOKUP($B182,INDIRECT($B$5&amp;"生成成长"),4))/(VLOOKUP(DA$72,INDIRECT($C$5&amp;"生成成长"),5))*(VLOOKUP($B$5,标准坦克设计!$B$24:$U$30,MATCH("对"&amp;LEFT($C$5,2)&amp;"输出",标准坦克设计!$B$23:$U$23,0)))*(VLOOKUP($B182,INDIRECT($B$5&amp;"生成成长"),3))*(VLOOKUP($B$5,标准坦克设计!$B$14:$K$20,9)/30))</f>
        <v>5.8050711131887258</v>
      </c>
      <c r="DB182" s="172">
        <f ca="1">(VLOOKUP(DB$72,INDIRECT($C$5&amp;"生成成长"),2))/((VLOOKUP($B182,INDIRECT($B$5&amp;"生成成长"),4))/(VLOOKUP(DB$72,INDIRECT($C$5&amp;"生成成长"),5))*(VLOOKUP($B$5,标准坦克设计!$B$24:$U$30,MATCH("对"&amp;LEFT($C$5,2)&amp;"输出",标准坦克设计!$B$23:$U$23,0)))*(VLOOKUP($B182,INDIRECT($B$5&amp;"生成成长"),3))*(VLOOKUP($B$5,标准坦克设计!$B$14:$K$20,9)/30))</f>
        <v>6.1506302263514128</v>
      </c>
      <c r="DC182" s="172">
        <f ca="1">(VLOOKUP(DC$72,INDIRECT($C$5&amp;"生成成长"),2))/((VLOOKUP($B182,INDIRECT($B$5&amp;"生成成长"),4))/(VLOOKUP(DC$72,INDIRECT($C$5&amp;"生成成长"),5))*(VLOOKUP($B$5,标准坦克设计!$B$24:$U$30,MATCH("对"&amp;LEFT($C$5,2)&amp;"输出",标准坦克设计!$B$23:$U$23,0)))*(VLOOKUP($B182,INDIRECT($B$5&amp;"生成成长"),3))*(VLOOKUP($B$5,标准坦克设计!$B$14:$K$20,9)/30))</f>
        <v>6.5389972239185576</v>
      </c>
      <c r="DD182" s="172">
        <f ca="1">(VLOOKUP(DD$72,INDIRECT($C$5&amp;"生成成长"),2))/((VLOOKUP($B182,INDIRECT($B$5&amp;"生成成长"),4))/(VLOOKUP(DD$72,INDIRECT($C$5&amp;"生成成长"),5))*(VLOOKUP($B$5,标准坦克设计!$B$24:$U$30,MATCH("对"&amp;LEFT($C$5,2)&amp;"输出",标准坦克设计!$B$23:$U$23,0)))*(VLOOKUP($B182,INDIRECT($B$5&amp;"生成成长"),3))*(VLOOKUP($B$5,标准坦克设计!$B$14:$K$20,9)/30))</f>
        <v>6.9392530071255099</v>
      </c>
      <c r="DE182" s="172">
        <f ca="1">(VLOOKUP(DE$72,INDIRECT($C$5&amp;"生成成长"),2))/((VLOOKUP($B182,INDIRECT($B$5&amp;"生成成长"),4))/(VLOOKUP(DE$72,INDIRECT($C$5&amp;"生成成长"),5))*(VLOOKUP($B$5,标准坦克设计!$B$24:$U$30,MATCH("对"&amp;LEFT($C$5,2)&amp;"输出",标准坦克设计!$B$23:$U$23,0)))*(VLOOKUP($B182,INDIRECT($B$5&amp;"生成成长"),3))*(VLOOKUP($B$5,标准坦克设计!$B$14:$K$20,9)/30))</f>
        <v>7.3513975759722747</v>
      </c>
      <c r="DF182" s="172">
        <f ca="1">(VLOOKUP(DF$72,INDIRECT($C$5&amp;"生成成长"),2))/((VLOOKUP($B182,INDIRECT($B$5&amp;"生成成长"),4))/(VLOOKUP(DF$72,INDIRECT($C$5&amp;"生成成长"),5))*(VLOOKUP($B$5,标准坦克设计!$B$24:$U$30,MATCH("对"&amp;LEFT($C$5,2)&amp;"输出",标准坦克设计!$B$23:$U$23,0)))*(VLOOKUP($B182,INDIRECT($B$5&amp;"生成成长"),3))*(VLOOKUP($B$5,标准坦克设计!$B$14:$K$20,9)/30))</f>
        <v>7.7754309304588487</v>
      </c>
      <c r="DG182" s="172">
        <f ca="1">(VLOOKUP(DG$72,INDIRECT($C$5&amp;"生成成长"),2))/((VLOOKUP($B182,INDIRECT($B$5&amp;"生成成长"),4))/(VLOOKUP(DG$72,INDIRECT($C$5&amp;"生成成长"),5))*(VLOOKUP($B$5,标准坦克设计!$B$24:$U$30,MATCH("对"&amp;LEFT($C$5,2)&amp;"输出",标准坦克设计!$B$23:$U$23,0)))*(VLOOKUP($B182,INDIRECT($B$5&amp;"生成成长"),3))*(VLOOKUP($B$5,标准坦克设计!$B$14:$K$20,9)/30))</f>
        <v>8.2113530705852344</v>
      </c>
      <c r="DH182" s="172">
        <f ca="1">(VLOOKUP(DH$72,INDIRECT($C$5&amp;"生成成长"),2))/((VLOOKUP($B182,INDIRECT($B$5&amp;"生成成长"),4))/(VLOOKUP(DH$72,INDIRECT($C$5&amp;"生成成长"),5))*(VLOOKUP($B$5,标准坦克设计!$B$24:$U$30,MATCH("对"&amp;LEFT($C$5,2)&amp;"输出",标准坦克设计!$B$23:$U$23,0)))*(VLOOKUP($B182,INDIRECT($B$5&amp;"生成成长"),3))*(VLOOKUP($B$5,标准坦克设计!$B$14:$K$20,9)/30))</f>
        <v>8.6591639963514311</v>
      </c>
      <c r="DI182" s="172">
        <f ca="1">(VLOOKUP(DI$72,INDIRECT($C$5&amp;"生成成长"),2))/((VLOOKUP($B182,INDIRECT($B$5&amp;"生成成长"),4))/(VLOOKUP(DI$72,INDIRECT($C$5&amp;"生成成长"),5))*(VLOOKUP($B$5,标准坦克设计!$B$24:$U$30,MATCH("对"&amp;LEFT($C$5,2)&amp;"输出",标准坦克设计!$B$23:$U$23,0)))*(VLOOKUP($B182,INDIRECT($B$5&amp;"生成成长"),3))*(VLOOKUP($B$5,标准坦克设计!$B$14:$K$20,9)/30))</f>
        <v>9.1188637077574359</v>
      </c>
      <c r="DJ182" s="172">
        <f ca="1">(VLOOKUP(DJ$72,INDIRECT($C$5&amp;"生成成长"),2))/((VLOOKUP($B182,INDIRECT($B$5&amp;"生成成长"),4))/(VLOOKUP(DJ$72,INDIRECT($C$5&amp;"生成成长"),5))*(VLOOKUP($B$5,标准坦克设计!$B$24:$U$30,MATCH("对"&amp;LEFT($C$5,2)&amp;"输出",标准坦克设计!$B$23:$U$23,0)))*(VLOOKUP($B182,INDIRECT($B$5&amp;"生成成长"),3))*(VLOOKUP($B$5,标准坦克设计!$B$14:$K$20,9)/30))</f>
        <v>0.91646850690775405</v>
      </c>
      <c r="DK182" s="172">
        <f ca="1">(VLOOKUP(DK$72,INDIRECT($C$5&amp;"生成成长"),2))/((VLOOKUP($B182,INDIRECT($B$5&amp;"生成成长"),4))/(VLOOKUP(DK$72,INDIRECT($C$5&amp;"生成成长"),5))*(VLOOKUP($B$5,标准坦克设计!$B$24:$U$30,MATCH("对"&amp;LEFT($C$5,2)&amp;"输出",标准坦克设计!$B$23:$U$23,0)))*(VLOOKUP($B182,INDIRECT($B$5&amp;"生成成长"),3))*(VLOOKUP($B$5,标准坦克设计!$B$14:$K$20,9)/30))</f>
        <v>1.030526544139686</v>
      </c>
      <c r="DL182" s="172">
        <f ca="1">(VLOOKUP(DL$72,INDIRECT($C$5&amp;"生成成长"),2))/((VLOOKUP($B182,INDIRECT($B$5&amp;"生成成长"),4))/(VLOOKUP(DL$72,INDIRECT($C$5&amp;"生成成长"),5))*(VLOOKUP($B$5,标准坦克设计!$B$24:$U$30,MATCH("对"&amp;LEFT($C$5,2)&amp;"输出",标准坦克设计!$B$23:$U$23,0)))*(VLOOKUP($B182,INDIRECT($B$5&amp;"生成成长"),3))*(VLOOKUP($B$5,标准坦克设计!$B$14:$K$20,9)/30))</f>
        <v>1.1512720232940117</v>
      </c>
      <c r="DM182" s="172">
        <f ca="1">(VLOOKUP(DM$72,INDIRECT($C$5&amp;"生成成长"),2))/((VLOOKUP($B182,INDIRECT($B$5&amp;"生成成长"),4))/(VLOOKUP(DM$72,INDIRECT($C$5&amp;"生成成长"),5))*(VLOOKUP($B$5,标准坦克设计!$B$24:$U$30,MATCH("对"&amp;LEFT($C$5,2)&amp;"输出",标准坦克设计!$B$23:$U$23,0)))*(VLOOKUP($B182,INDIRECT($B$5&amp;"生成成长"),3))*(VLOOKUP($B$5,标准坦克设计!$B$14:$K$20,9)/30))</f>
        <v>1.2787049443707308</v>
      </c>
      <c r="DN182" s="172">
        <f ca="1">(VLOOKUP(DN$72,INDIRECT($C$5&amp;"生成成长"),2))/((VLOOKUP($B182,INDIRECT($B$5&amp;"生成成长"),4))/(VLOOKUP(DN$72,INDIRECT($C$5&amp;"生成成长"),5))*(VLOOKUP($B$5,标准坦克设计!$B$24:$U$30,MATCH("对"&amp;LEFT($C$5,2)&amp;"输出",标准坦克设计!$B$23:$U$23,0)))*(VLOOKUP($B182,INDIRECT($B$5&amp;"生成成长"),3))*(VLOOKUP($B$5,标准坦克设计!$B$14:$K$20,9)/30))</f>
        <v>1.4128253073698429</v>
      </c>
      <c r="DO182" s="172">
        <f ca="1">(VLOOKUP(DO$72,INDIRECT($C$5&amp;"生成成长"),2))/((VLOOKUP($B182,INDIRECT($B$5&amp;"生成成长"),4))/(VLOOKUP(DO$72,INDIRECT($C$5&amp;"生成成长"),5))*(VLOOKUP($B$5,标准坦克设计!$B$24:$U$30,MATCH("对"&amp;LEFT($C$5,2)&amp;"输出",标准坦克设计!$B$23:$U$23,0)))*(VLOOKUP($B182,INDIRECT($B$5&amp;"生成成长"),3))*(VLOOKUP($B$5,标准坦克设计!$B$14:$K$20,9)/30))</f>
        <v>1.5536331122913485</v>
      </c>
      <c r="DP182" s="172">
        <f ca="1">(VLOOKUP(DP$72,INDIRECT($C$5&amp;"生成成长"),2))/((VLOOKUP($B182,INDIRECT($B$5&amp;"生成成长"),4))/(VLOOKUP(DP$72,INDIRECT($C$5&amp;"生成成长"),5))*(VLOOKUP($B$5,标准坦克设计!$B$24:$U$30,MATCH("对"&amp;LEFT($C$5,2)&amp;"输出",标准坦克设计!$B$23:$U$23,0)))*(VLOOKUP($B182,INDIRECT($B$5&amp;"生成成长"),3))*(VLOOKUP($B$5,标准坦克设计!$B$14:$K$20,9)/30))</f>
        <v>1.701128359135248</v>
      </c>
      <c r="DQ182" s="172">
        <f ca="1">(VLOOKUP(DQ$72,INDIRECT($C$5&amp;"生成成长"),2))/((VLOOKUP($B182,INDIRECT($B$5&amp;"生成成长"),4))/(VLOOKUP(DQ$72,INDIRECT($C$5&amp;"生成成长"),5))*(VLOOKUP($B$5,标准坦克设计!$B$24:$U$30,MATCH("对"&amp;LEFT($C$5,2)&amp;"输出",标准坦克设计!$B$23:$U$23,0)))*(VLOOKUP($B182,INDIRECT($B$5&amp;"生成成长"),3))*(VLOOKUP($B$5,标准坦克设计!$B$14:$K$20,9)/30))</f>
        <v>1.8553110479015407</v>
      </c>
      <c r="DR182" s="172">
        <f ca="1">(VLOOKUP(DR$72,INDIRECT($C$5&amp;"生成成长"),2))/((VLOOKUP($B182,INDIRECT($B$5&amp;"生成成长"),4))/(VLOOKUP(DR$72,INDIRECT($C$5&amp;"生成成长"),5))*(VLOOKUP($B$5,标准坦克设计!$B$24:$U$30,MATCH("对"&amp;LEFT($C$5,2)&amp;"输出",标准坦克设计!$B$23:$U$23,0)))*(VLOOKUP($B182,INDIRECT($B$5&amp;"生成成长"),3))*(VLOOKUP($B$5,标准坦克设计!$B$14:$K$20,9)/30))</f>
        <v>2.0161811785902262</v>
      </c>
      <c r="DS182" s="172">
        <f ca="1">(VLOOKUP(DS$72,INDIRECT($C$5&amp;"生成成长"),2))/((VLOOKUP($B182,INDIRECT($B$5&amp;"生成成长"),4))/(VLOOKUP(DS$72,INDIRECT($C$5&amp;"生成成长"),5))*(VLOOKUP($B$5,标准坦克设计!$B$24:$U$30,MATCH("对"&amp;LEFT($C$5,2)&amp;"输出",标准坦克设计!$B$23:$U$23,0)))*(VLOOKUP($B182,INDIRECT($B$5&amp;"生成成长"),3))*(VLOOKUP($B$5,标准坦克设计!$B$14:$K$20,9)/30))</f>
        <v>2.1837387512013056</v>
      </c>
      <c r="DT182" s="172">
        <f ca="1">(VLOOKUP(DT$72,INDIRECT($C$5&amp;"生成成长"),2))/((VLOOKUP($B182,INDIRECT($B$5&amp;"生成成长"),4))/(VLOOKUP(DT$72,INDIRECT($C$5&amp;"生成成长"),5))*(VLOOKUP($B$5,标准坦克设计!$B$24:$U$30,MATCH("对"&amp;LEFT($C$5,2)&amp;"输出",标准坦克设计!$B$23:$U$23,0)))*(VLOOKUP($B182,INDIRECT($B$5&amp;"生成成长"),3))*(VLOOKUP($B$5,标准坦克设计!$B$14:$K$20,9)/30))</f>
        <v>2.3976130512008136</v>
      </c>
      <c r="DU182" s="172">
        <f ca="1">(VLOOKUP(DU$72,INDIRECT($C$5&amp;"生成成长"),2))/((VLOOKUP($B182,INDIRECT($B$5&amp;"生成成长"),4))/(VLOOKUP(DU$72,INDIRECT($C$5&amp;"生成成长"),5))*(VLOOKUP($B$5,标准坦克设计!$B$24:$U$30,MATCH("对"&amp;LEFT($C$5,2)&amp;"输出",标准坦克设计!$B$23:$U$23,0)))*(VLOOKUP($B182,INDIRECT($B$5&amp;"生成成长"),3))*(VLOOKUP($B$5,标准坦克设计!$B$14:$K$20,9)/30))</f>
        <v>2.6214772335782173</v>
      </c>
      <c r="DV182" s="172">
        <f ca="1">(VLOOKUP(DV$72,INDIRECT($C$5&amp;"生成成长"),2))/((VLOOKUP($B182,INDIRECT($B$5&amp;"生成成长"),4))/(VLOOKUP(DV$72,INDIRECT($C$5&amp;"生成成长"),5))*(VLOOKUP($B$5,标准坦克设计!$B$24:$U$30,MATCH("对"&amp;LEFT($C$5,2)&amp;"输出",标准坦克设计!$B$23:$U$23,0)))*(VLOOKUP($B182,INDIRECT($B$5&amp;"生成成长"),3))*(VLOOKUP($B$5,标准坦克设计!$B$14:$K$20,9)/30))</f>
        <v>2.8553312983335184</v>
      </c>
      <c r="DW182" s="172">
        <f ca="1">(VLOOKUP(DW$72,INDIRECT($C$5&amp;"生成成长"),2))/((VLOOKUP($B182,INDIRECT($B$5&amp;"生成成长"),4))/(VLOOKUP(DW$72,INDIRECT($C$5&amp;"生成成长"),5))*(VLOOKUP($B$5,标准坦克设计!$B$24:$U$30,MATCH("对"&amp;LEFT($C$5,2)&amp;"输出",标准坦克设计!$B$23:$U$23,0)))*(VLOOKUP($B182,INDIRECT($B$5&amp;"生成成长"),3))*(VLOOKUP($B$5,标准坦克设计!$B$14:$K$20,9)/30))</f>
        <v>3.0991752454667152</v>
      </c>
      <c r="DX182" s="172">
        <f ca="1">(VLOOKUP(DX$72,INDIRECT($C$5&amp;"生成成长"),2))/((VLOOKUP($B182,INDIRECT($B$5&amp;"生成成长"),4))/(VLOOKUP(DX$72,INDIRECT($C$5&amp;"生成成长"),5))*(VLOOKUP($B$5,标准坦克设计!$B$24:$U$30,MATCH("对"&amp;LEFT($C$5,2)&amp;"输出",标准坦克设计!$B$23:$U$23,0)))*(VLOOKUP($B182,INDIRECT($B$5&amp;"生成成长"),3))*(VLOOKUP($B$5,标准坦克设计!$B$14:$K$20,9)/30))</f>
        <v>3.3530090749778081</v>
      </c>
      <c r="DY182" s="172">
        <f ca="1">(VLOOKUP(DY$72,INDIRECT($C$5&amp;"生成成长"),2))/((VLOOKUP($B182,INDIRECT($B$5&amp;"生成成长"),4))/(VLOOKUP(DY$72,INDIRECT($C$5&amp;"生成成长"),5))*(VLOOKUP($B$5,标准坦克设计!$B$24:$U$30,MATCH("对"&amp;LEFT($C$5,2)&amp;"输出",标准坦克设计!$B$23:$U$23,0)))*(VLOOKUP($B182,INDIRECT($B$5&amp;"生成成长"),3))*(VLOOKUP($B$5,标准坦克设计!$B$14:$K$20,9)/30))</f>
        <v>1.5059541282150251</v>
      </c>
      <c r="DZ182" s="172">
        <f ca="1">(VLOOKUP(DZ$72,INDIRECT($C$5&amp;"生成成长"),2))/((VLOOKUP($B182,INDIRECT($B$5&amp;"生成成长"),4))/(VLOOKUP(DZ$72,INDIRECT($C$5&amp;"生成成长"),5))*(VLOOKUP($B$5,标准坦克设计!$B$24:$U$30,MATCH("对"&amp;LEFT($C$5,2)&amp;"输出",标准坦克设计!$B$23:$U$23,0)))*(VLOOKUP($B182,INDIRECT($B$5&amp;"生成成长"),3))*(VLOOKUP($B$5,标准坦克设计!$B$14:$K$20,9)/30))</f>
        <v>1.6677737105346682</v>
      </c>
      <c r="EA182" s="172">
        <f ca="1">(VLOOKUP(EA$72,INDIRECT($C$5&amp;"生成成长"),2))/((VLOOKUP($B182,INDIRECT($B$5&amp;"生成成长"),4))/(VLOOKUP(EA$72,INDIRECT($C$5&amp;"生成成长"),5))*(VLOOKUP($B$5,标准坦克设计!$B$24:$U$30,MATCH("对"&amp;LEFT($C$5,2)&amp;"输出",标准坦克设计!$B$23:$U$23,0)))*(VLOOKUP($B182,INDIRECT($B$5&amp;"生成成长"),3))*(VLOOKUP($B$5,标准坦克设计!$B$14:$K$20,9)/30))</f>
        <v>1.8378493939930687</v>
      </c>
      <c r="EB182" s="172">
        <f ca="1">(VLOOKUP(EB$72,INDIRECT($C$5&amp;"生成成长"),2))/((VLOOKUP($B182,INDIRECT($B$5&amp;"生成成长"),4))/(VLOOKUP(EB$72,INDIRECT($C$5&amp;"生成成长"),5))*(VLOOKUP($B$5,标准坦克设计!$B$24:$U$30,MATCH("对"&amp;LEFT($C$5,2)&amp;"输出",标准坦克设计!$B$23:$U$23,0)))*(VLOOKUP($B182,INDIRECT($B$5&amp;"生成成长"),3))*(VLOOKUP($B$5,标准坦克设计!$B$14:$K$20,9)/30))</f>
        <v>2.0161811785902262</v>
      </c>
      <c r="EC182" s="172">
        <f ca="1">(VLOOKUP(EC$72,INDIRECT($C$5&amp;"生成成长"),2))/((VLOOKUP($B182,INDIRECT($B$5&amp;"生成成长"),4))/(VLOOKUP(EC$72,INDIRECT($C$5&amp;"生成成长"),5))*(VLOOKUP($B$5,标准坦克设计!$B$24:$U$30,MATCH("对"&amp;LEFT($C$5,2)&amp;"输出",标准坦克设计!$B$23:$U$23,0)))*(VLOOKUP($B182,INDIRECT($B$5&amp;"生成成长"),3))*(VLOOKUP($B$5,标准坦克设计!$B$14:$K$20,9)/30))</f>
        <v>2.2027690643261413</v>
      </c>
      <c r="ED182" s="172">
        <f ca="1">(VLOOKUP(ED$72,INDIRECT($C$5&amp;"生成成长"),2))/((VLOOKUP($B182,INDIRECT($B$5&amp;"生成成长"),4))/(VLOOKUP(ED$72,INDIRECT($C$5&amp;"生成成长"),5))*(VLOOKUP($B$5,标准坦克设计!$B$24:$U$30,MATCH("对"&amp;LEFT($C$5,2)&amp;"输出",标准坦克设计!$B$23:$U$23,0)))*(VLOOKUP($B182,INDIRECT($B$5&amp;"生成成长"),3))*(VLOOKUP($B$5,标准坦克设计!$B$14:$K$20,9)/30))</f>
        <v>2.3976130512008136</v>
      </c>
      <c r="EE182" s="172">
        <f ca="1">(VLOOKUP(EE$72,INDIRECT($C$5&amp;"生成成长"),2))/((VLOOKUP($B182,INDIRECT($B$5&amp;"生成成长"),4))/(VLOOKUP(EE$72,INDIRECT($C$5&amp;"生成成长"),5))*(VLOOKUP($B$5,标准坦克设计!$B$24:$U$30,MATCH("对"&amp;LEFT($C$5,2)&amp;"输出",标准坦克设计!$B$23:$U$23,0)))*(VLOOKUP($B182,INDIRECT($B$5&amp;"生成成长"),3))*(VLOOKUP($B$5,标准坦克设计!$B$14:$K$20,9)/30))</f>
        <v>2.6007131392142435</v>
      </c>
      <c r="EF182" s="172">
        <f ca="1">(VLOOKUP(EF$72,INDIRECT($C$5&amp;"生成成长"),2))/((VLOOKUP($B182,INDIRECT($B$5&amp;"生成成长"),4))/(VLOOKUP(EF$72,INDIRECT($C$5&amp;"生成成长"),5))*(VLOOKUP($B$5,标准坦克设计!$B$24:$U$30,MATCH("对"&amp;LEFT($C$5,2)&amp;"输出",标准坦克设计!$B$23:$U$23,0)))*(VLOOKUP($B182,INDIRECT($B$5&amp;"生成成长"),3))*(VLOOKUP($B$5,标准坦克设计!$B$14:$K$20,9)/30))</f>
        <v>2.8120693283664302</v>
      </c>
      <c r="EG182" s="172">
        <f ca="1">(VLOOKUP(EG$72,INDIRECT($C$5&amp;"生成成长"),2))/((VLOOKUP($B182,INDIRECT($B$5&amp;"生成成长"),4))/(VLOOKUP(EG$72,INDIRECT($C$5&amp;"生成成长"),5))*(VLOOKUP($B$5,标准坦克设计!$B$24:$U$30,MATCH("对"&amp;LEFT($C$5,2)&amp;"输出",标准坦克设计!$B$23:$U$23,0)))*(VLOOKUP($B182,INDIRECT($B$5&amp;"生成成长"),3))*(VLOOKUP($B$5,标准坦克设计!$B$14:$K$20,9)/30))</f>
        <v>3.0316816186573736</v>
      </c>
      <c r="EH182" s="172">
        <f ca="1">(VLOOKUP(EH$72,INDIRECT($C$5&amp;"生成成长"),2))/((VLOOKUP($B182,INDIRECT($B$5&amp;"生成成长"),4))/(VLOOKUP(EH$72,INDIRECT($C$5&amp;"生成成长"),5))*(VLOOKUP($B$5,标准坦克设计!$B$24:$U$30,MATCH("对"&amp;LEFT($C$5,2)&amp;"输出",标准坦克设计!$B$23:$U$23,0)))*(VLOOKUP($B182,INDIRECT($B$5&amp;"生成成长"),3))*(VLOOKUP($B$5,标准坦克设计!$B$14:$K$20,9)/30))</f>
        <v>3.2595500100870756</v>
      </c>
      <c r="EI182" s="172">
        <f ca="1">(VLOOKUP(EI$72,INDIRECT($C$5&amp;"生成成长"),2))/((VLOOKUP($B182,INDIRECT($B$5&amp;"生成成长"),4))/(VLOOKUP(EI$72,INDIRECT($C$5&amp;"生成成长"),5))*(VLOOKUP($B$5,标准坦克设计!$B$24:$U$30,MATCH("对"&amp;LEFT($C$5,2)&amp;"输出",标准坦克设计!$B$23:$U$23,0)))*(VLOOKUP($B182,INDIRECT($B$5&amp;"生成成长"),3))*(VLOOKUP($B$5,标准坦克设计!$B$14:$K$20,9)/30))</f>
        <v>3.4956745026555347</v>
      </c>
      <c r="EJ182" s="172">
        <f ca="1">(VLOOKUP(EJ$72,INDIRECT($C$5&amp;"生成成长"),2))/((VLOOKUP($B182,INDIRECT($B$5&amp;"生成成长"),4))/(VLOOKUP(EJ$72,INDIRECT($C$5&amp;"生成成长"),5))*(VLOOKUP($B$5,标准坦克设计!$B$24:$U$30,MATCH("对"&amp;LEFT($C$5,2)&amp;"输出",标准坦克设计!$B$23:$U$23,0)))*(VLOOKUP($B182,INDIRECT($B$5&amp;"生成成长"),3))*(VLOOKUP($B$5,标准坦克设计!$B$14:$K$20,9)/30))</f>
        <v>3.740055096362751</v>
      </c>
      <c r="EK182" s="172">
        <f ca="1">(VLOOKUP(EK$72,INDIRECT($C$5&amp;"生成成长"),2))/((VLOOKUP($B182,INDIRECT($B$5&amp;"生成成长"),4))/(VLOOKUP(EK$72,INDIRECT($C$5&amp;"生成成长"),5))*(VLOOKUP($B$5,标准坦克设计!$B$24:$U$30,MATCH("对"&amp;LEFT($C$5,2)&amp;"输出",标准坦克设计!$B$23:$U$23,0)))*(VLOOKUP($B182,INDIRECT($B$5&amp;"生成成长"),3))*(VLOOKUP($B$5,标准坦克设计!$B$14:$K$20,9)/30))</f>
        <v>4.0442098623145695</v>
      </c>
      <c r="EL182" s="172">
        <f ca="1">(VLOOKUP(EL$72,INDIRECT($C$5&amp;"生成成长"),2))/((VLOOKUP($B182,INDIRECT($B$5&amp;"生成成长"),4))/(VLOOKUP(EL$72,INDIRECT($C$5&amp;"生成成长"),5))*(VLOOKUP($B$5,标准坦克设计!$B$24:$U$30,MATCH("对"&amp;LEFT($C$5,2)&amp;"输出",标准坦克设计!$B$23:$U$23,0)))*(VLOOKUP($B182,INDIRECT($B$5&amp;"生成成长"),3))*(VLOOKUP($B$5,标准坦克设计!$B$14:$K$20,9)/30))</f>
        <v>4.3602534139061984</v>
      </c>
      <c r="EM182" s="172">
        <f ca="1">(VLOOKUP(EM$72,INDIRECT($C$5&amp;"生成成长"),2))/((VLOOKUP($B182,INDIRECT($B$5&amp;"生成成长"),4))/(VLOOKUP(EM$72,INDIRECT($C$5&amp;"生成成长"),5))*(VLOOKUP($B$5,标准坦克设计!$B$24:$U$30,MATCH("对"&amp;LEFT($C$5,2)&amp;"输出",标准坦克设计!$B$23:$U$23,0)))*(VLOOKUP($B182,INDIRECT($B$5&amp;"生成成长"),3))*(VLOOKUP($B$5,标准坦克设计!$B$14:$K$20,9)/30))</f>
        <v>4.688185751137639</v>
      </c>
      <c r="EN182" s="172">
        <f ca="1">(VLOOKUP(EN$72,INDIRECT($C$5&amp;"生成成长"),2))/((VLOOKUP($B182,INDIRECT($B$5&amp;"生成成长"),4))/(VLOOKUP(EN$72,INDIRECT($C$5&amp;"生成成长"),5))*(VLOOKUP($B$5,标准坦克设计!$B$24:$U$30,MATCH("对"&amp;LEFT($C$5,2)&amp;"输出",标准坦克设计!$B$23:$U$23,0)))*(VLOOKUP($B182,INDIRECT($B$5&amp;"生成成长"),3))*(VLOOKUP($B$5,标准坦克设计!$B$14:$K$20,9)/30))</f>
        <v>5.0280068740088888</v>
      </c>
      <c r="EO182" s="172">
        <f ca="1">(VLOOKUP(EO$72,INDIRECT($C$5&amp;"生成成长"),2))/((VLOOKUP($B182,INDIRECT($B$5&amp;"生成成长"),4))/(VLOOKUP(EO$72,INDIRECT($C$5&amp;"生成成长"),5))*(VLOOKUP($B$5,标准坦克设计!$B$24:$U$30,MATCH("对"&amp;LEFT($C$5,2)&amp;"输出",标准坦克设计!$B$23:$U$23,0)))*(VLOOKUP($B182,INDIRECT($B$5&amp;"生成成长"),3))*(VLOOKUP($B$5,标准坦克设计!$B$14:$K$20,9)/30))</f>
        <v>5.3797167825199494</v>
      </c>
      <c r="EP182" s="172">
        <f ca="1">(VLOOKUP(EP$72,INDIRECT($C$5&amp;"生成成长"),2))/((VLOOKUP($B182,INDIRECT($B$5&amp;"生成成长"),4))/(VLOOKUP(EP$72,INDIRECT($C$5&amp;"生成成长"),5))*(VLOOKUP($B$5,标准坦克设计!$B$24:$U$30,MATCH("对"&amp;LEFT($C$5,2)&amp;"输出",标准坦克设计!$B$23:$U$23,0)))*(VLOOKUP($B182,INDIRECT($B$5&amp;"生成成长"),3))*(VLOOKUP($B$5,标准坦克设计!$B$14:$K$20,9)/30))</f>
        <v>5.7433154766708219</v>
      </c>
      <c r="EQ182" s="172">
        <f ca="1">(VLOOKUP(EQ$72,INDIRECT($C$5&amp;"生成成长"),2))/((VLOOKUP($B182,INDIRECT($B$5&amp;"生成成长"),4))/(VLOOKUP(EQ$72,INDIRECT($C$5&amp;"生成成长"),5))*(VLOOKUP($B$5,标准坦克设计!$B$24:$U$30,MATCH("对"&amp;LEFT($C$5,2)&amp;"输出",标准坦克设计!$B$23:$U$23,0)))*(VLOOKUP($B182,INDIRECT($B$5&amp;"生成成长"),3))*(VLOOKUP($B$5,标准坦克设计!$B$14:$K$20,9)/30))</f>
        <v>2.5389162221906449</v>
      </c>
      <c r="ER182" s="172">
        <f ca="1">(VLOOKUP(ER$72,INDIRECT($C$5&amp;"生成成长"),2))/((VLOOKUP($B182,INDIRECT($B$5&amp;"生成成长"),4))/(VLOOKUP(ER$72,INDIRECT($C$5&amp;"生成成长"),5))*(VLOOKUP($B$5,标准坦克设计!$B$24:$U$30,MATCH("对"&amp;LEFT($C$5,2)&amp;"输出",标准坦克设计!$B$23:$U$23,0)))*(VLOOKUP($B182,INDIRECT($B$5&amp;"生成成长"),3))*(VLOOKUP($B$5,标准坦克设计!$B$14:$K$20,9)/30))</f>
        <v>2.7691376024448919</v>
      </c>
      <c r="ES182" s="172">
        <f ca="1">(VLOOKUP(ES$72,INDIRECT($C$5&amp;"生成成长"),2))/((VLOOKUP($B182,INDIRECT($B$5&amp;"生成成长"),4))/(VLOOKUP(ES$72,INDIRECT($C$5&amp;"生成成长"),5))*(VLOOKUP($B$5,标准坦克设计!$B$24:$U$30,MATCH("对"&amp;LEFT($C$5,2)&amp;"输出",标准坦克设计!$B$23:$U$23,0)))*(VLOOKUP($B182,INDIRECT($B$5&amp;"生成成长"),3))*(VLOOKUP($B$5,标准坦克设计!$B$14:$K$20,9)/30))</f>
        <v>3.0093488650770355</v>
      </c>
      <c r="ET182" s="172">
        <f ca="1">(VLOOKUP(ET$72,INDIRECT($C$5&amp;"生成成长"),2))/((VLOOKUP($B182,INDIRECT($B$5&amp;"生成成长"),4))/(VLOOKUP(ET$72,INDIRECT($C$5&amp;"生成成长"),5))*(VLOOKUP($B$5,标准坦克设计!$B$24:$U$30,MATCH("对"&amp;LEFT($C$5,2)&amp;"输出",标准坦克设计!$B$23:$U$23,0)))*(VLOOKUP($B182,INDIRECT($B$5&amp;"生成成长"),3))*(VLOOKUP($B$5,标准坦克设计!$B$14:$K$20,9)/30))</f>
        <v>3.2595500100870756</v>
      </c>
      <c r="EU182" s="172">
        <f ca="1">(VLOOKUP(EU$72,INDIRECT($C$5&amp;"生成成长"),2))/((VLOOKUP($B182,INDIRECT($B$5&amp;"生成成长"),4))/(VLOOKUP(EU$72,INDIRECT($C$5&amp;"生成成长"),5))*(VLOOKUP($B$5,标准坦克设计!$B$24:$U$30,MATCH("对"&amp;LEFT($C$5,2)&amp;"输出",标准坦克设计!$B$23:$U$23,0)))*(VLOOKUP($B182,INDIRECT($B$5&amp;"生成成长"),3))*(VLOOKUP($B$5,标准坦克设计!$B$14:$K$20,9)/30))</f>
        <v>3.5197410374750118</v>
      </c>
      <c r="EV182" s="172">
        <f ca="1">(VLOOKUP(EV$72,INDIRECT($C$5&amp;"生成成长"),2))/((VLOOKUP($B182,INDIRECT($B$5&amp;"生成成长"),4))/(VLOOKUP(EV$72,INDIRECT($C$5&amp;"生成成长"),5))*(VLOOKUP($B$5,标准坦克设计!$B$24:$U$30,MATCH("对"&amp;LEFT($C$5,2)&amp;"输出",标准坦克设计!$B$23:$U$23,0)))*(VLOOKUP($B182,INDIRECT($B$5&amp;"生成成长"),3))*(VLOOKUP($B$5,标准坦克设计!$B$14:$K$20,9)/30))</f>
        <v>3.7899219472408445</v>
      </c>
      <c r="EW182" s="172">
        <f ca="1">(VLOOKUP(EW$72,INDIRECT($C$5&amp;"生成成长"),2))/((VLOOKUP($B182,INDIRECT($B$5&amp;"生成成长"),4))/(VLOOKUP(EW$72,INDIRECT($C$5&amp;"生成成长"),5))*(VLOOKUP($B$5,标准坦克设计!$B$24:$U$30,MATCH("对"&amp;LEFT($C$5,2)&amp;"输出",标准坦克设计!$B$23:$U$23,0)))*(VLOOKUP($B182,INDIRECT($B$5&amp;"生成成长"),3))*(VLOOKUP($B$5,标准坦克设计!$B$14:$K$20,9)/30))</f>
        <v>4.0700927393845738</v>
      </c>
      <c r="EX182" s="172">
        <f ca="1">(VLOOKUP(EX$72,INDIRECT($C$5&amp;"生成成长"),2))/((VLOOKUP($B182,INDIRECT($B$5&amp;"生成成长"),4))/(VLOOKUP(EX$72,INDIRECT($C$5&amp;"生成成长"),5))*(VLOOKUP($B$5,标准坦克设计!$B$24:$U$30,MATCH("对"&amp;LEFT($C$5,2)&amp;"输出",标准坦克设计!$B$23:$U$23,0)))*(VLOOKUP($B182,INDIRECT($B$5&amp;"生成成长"),3))*(VLOOKUP($B$5,标准坦克设计!$B$14:$K$20,9)/30))</f>
        <v>4.3602534139061984</v>
      </c>
      <c r="EY182" s="172">
        <f ca="1">(VLOOKUP(EY$72,INDIRECT($C$5&amp;"生成成长"),2))/((VLOOKUP($B182,INDIRECT($B$5&amp;"生成成长"),4))/(VLOOKUP(EY$72,INDIRECT($C$5&amp;"生成成长"),5))*(VLOOKUP($B$5,标准坦克设计!$B$24:$U$30,MATCH("对"&amp;LEFT($C$5,2)&amp;"输出",标准坦克设计!$B$23:$U$23,0)))*(VLOOKUP($B182,INDIRECT($B$5&amp;"生成成长"),3))*(VLOOKUP($B$5,标准坦克设计!$B$14:$K$20,9)/30))</f>
        <v>4.6604039708057208</v>
      </c>
      <c r="EZ182" s="172">
        <f ca="1">(VLOOKUP(EZ$72,INDIRECT($C$5&amp;"生成成长"),2))/((VLOOKUP($B182,INDIRECT($B$5&amp;"生成成长"),4))/(VLOOKUP(EZ$72,INDIRECT($C$5&amp;"生成成长"),5))*(VLOOKUP($B$5,标准坦克设计!$B$24:$U$30,MATCH("对"&amp;LEFT($C$5,2)&amp;"输出",标准坦克设计!$B$23:$U$23,0)))*(VLOOKUP($B182,INDIRECT($B$5&amp;"生成成长"),3))*(VLOOKUP($B$5,标准坦克设计!$B$14:$K$20,9)/30))</f>
        <v>4.9705444100831384</v>
      </c>
      <c r="FA182" s="172">
        <f ca="1">(VLOOKUP(FA$72,INDIRECT($C$5&amp;"生成成长"),2))/((VLOOKUP($B182,INDIRECT($B$5&amp;"生成成长"),4))/(VLOOKUP(FA$72,INDIRECT($C$5&amp;"生成成长"),5))*(VLOOKUP($B$5,标准坦克设计!$B$24:$U$30,MATCH("对"&amp;LEFT($C$5,2)&amp;"输出",标准坦克设计!$B$23:$U$23,0)))*(VLOOKUP($B182,INDIRECT($B$5&amp;"生成成长"),3))*(VLOOKUP($B$5,标准坦克设计!$B$14:$K$20,9)/30))</f>
        <v>5.290674731738453</v>
      </c>
      <c r="FB182" s="172">
        <f ca="1">(VLOOKUP(FB$72,INDIRECT($C$5&amp;"生成成长"),2))/((VLOOKUP($B182,INDIRECT($B$5&amp;"生成成长"),4))/(VLOOKUP(FB$72,INDIRECT($C$5&amp;"生成成长"),5))*(VLOOKUP($B$5,标准坦克设计!$B$24:$U$30,MATCH("对"&amp;LEFT($C$5,2)&amp;"输出",标准坦克设计!$B$23:$U$23,0)))*(VLOOKUP($B182,INDIRECT($B$5&amp;"生成成长"),3))*(VLOOKUP($B$5,标准坦克设计!$B$14:$K$20,9)/30))</f>
        <v>5.6207949357716629</v>
      </c>
      <c r="FC182" s="172">
        <f ca="1">(VLOOKUP(FC$72,INDIRECT($C$5&amp;"生成成长"),2))/((VLOOKUP($B182,INDIRECT($B$5&amp;"生成成长"),4))/(VLOOKUP(FC$72,INDIRECT($C$5&amp;"生成成长"),5))*(VLOOKUP($B$5,标准坦克设计!$B$24:$U$30,MATCH("对"&amp;LEFT($C$5,2)&amp;"输出",标准坦克设计!$B$23:$U$23,0)))*(VLOOKUP($B182,INDIRECT($B$5&amp;"生成成长"),3))*(VLOOKUP($B$5,标准坦克设计!$B$14:$K$20,9)/30))</f>
        <v>5.9609050221827697</v>
      </c>
      <c r="FD182" s="172">
        <f ca="1">(VLOOKUP(FD$72,INDIRECT($C$5&amp;"生成成长"),2))/((VLOOKUP($B182,INDIRECT($B$5&amp;"生成成长"),4))/(VLOOKUP(FD$72,INDIRECT($C$5&amp;"生成成长"),5))*(VLOOKUP($B$5,标准坦克设计!$B$24:$U$30,MATCH("对"&amp;LEFT($C$5,2)&amp;"输出",标准坦克设计!$B$23:$U$23,0)))*(VLOOKUP($B182,INDIRECT($B$5&amp;"生成成长"),3))*(VLOOKUP($B$5,标准坦克设计!$B$14:$K$20,9)/30))</f>
        <v>6.3110049909717745</v>
      </c>
      <c r="FE182" s="172">
        <f ca="1">(VLOOKUP(FE$72,INDIRECT($C$5&amp;"生成成长"),2))/((VLOOKUP($B182,INDIRECT($B$5&amp;"生成成长"),4))/(VLOOKUP(FE$72,INDIRECT($C$5&amp;"生成成长"),5))*(VLOOKUP($B$5,标准坦克设计!$B$24:$U$30,MATCH("对"&amp;LEFT($C$5,2)&amp;"输出",标准坦克设计!$B$23:$U$23,0)))*(VLOOKUP($B182,INDIRECT($B$5&amp;"生成成长"),3))*(VLOOKUP($B$5,标准坦克设计!$B$14:$K$20,9)/30))</f>
        <v>6.7376390173170568</v>
      </c>
      <c r="FF182" s="172">
        <f ca="1">(VLOOKUP(FF$72,INDIRECT($C$5&amp;"生成成长"),2))/((VLOOKUP($B182,INDIRECT($B$5&amp;"生成成长"),4))/(VLOOKUP(FF$72,INDIRECT($C$5&amp;"生成成长"),5))*(VLOOKUP($B$5,标准坦克设计!$B$24:$U$30,MATCH("对"&amp;LEFT($C$5,2)&amp;"输出",标准坦克设计!$B$23:$U$23,0)))*(VLOOKUP($B182,INDIRECT($B$5&amp;"生成成长"),3))*(VLOOKUP($B$5,标准坦克设计!$B$14:$K$20,9)/30))</f>
        <v>7.1782258545868398</v>
      </c>
      <c r="FG182" s="172">
        <f ca="1">(VLOOKUP(FG$72,INDIRECT($C$5&amp;"生成成长"),2))/((VLOOKUP($B182,INDIRECT($B$5&amp;"生成成长"),4))/(VLOOKUP(FG$72,INDIRECT($C$5&amp;"生成成长"),5))*(VLOOKUP($B$5,标准坦克设计!$B$24:$U$30,MATCH("对"&amp;LEFT($C$5,2)&amp;"输出",标准坦克设计!$B$23:$U$23,0)))*(VLOOKUP($B182,INDIRECT($B$5&amp;"生成成长"),3))*(VLOOKUP($B$5,标准坦克设计!$B$14:$K$20,9)/30))</f>
        <v>7.6327655027811234</v>
      </c>
      <c r="FH182" s="172">
        <f ca="1">(VLOOKUP(FH$72,INDIRECT($C$5&amp;"生成成长"),2))/((VLOOKUP($B182,INDIRECT($B$5&amp;"生成成长"),4))/(VLOOKUP(FH$72,INDIRECT($C$5&amp;"生成成长"),5))*(VLOOKUP($B$5,标准坦克设计!$B$24:$U$30,MATCH("对"&amp;LEFT($C$5,2)&amp;"输出",标准坦克设计!$B$23:$U$23,0)))*(VLOOKUP($B182,INDIRECT($B$5&amp;"生成成长"),3))*(VLOOKUP($B$5,标准坦克设计!$B$14:$K$20,9)/30))</f>
        <v>8.1012579618999077</v>
      </c>
      <c r="FI182" s="172">
        <f ca="1">(VLOOKUP(FI$72,INDIRECT($C$5&amp;"生成成长"),2))/((VLOOKUP($B182,INDIRECT($B$5&amp;"生成成长"),4))/(VLOOKUP(FI$72,INDIRECT($C$5&amp;"生成成长"),5))*(VLOOKUP($B$5,标准坦克设计!$B$24:$U$30,MATCH("对"&amp;LEFT($C$5,2)&amp;"输出",标准坦克设计!$B$23:$U$23,0)))*(VLOOKUP($B182,INDIRECT($B$5&amp;"生成成长"),3))*(VLOOKUP($B$5,标准坦克设计!$B$14:$K$20,9)/30))</f>
        <v>8.5837032319431916</v>
      </c>
      <c r="FJ182" s="172">
        <f ca="1">(VLOOKUP(FJ$72,INDIRECT($C$5&amp;"生成成长"),2))/((VLOOKUP($B182,INDIRECT($B$5&amp;"生成成长"),4))/(VLOOKUP(FJ$72,INDIRECT($C$5&amp;"生成成长"),5))*(VLOOKUP($B$5,标准坦克设计!$B$24:$U$30,MATCH("对"&amp;LEFT($C$5,2)&amp;"输出",标准坦克设计!$B$23:$U$23,0)))*(VLOOKUP($B182,INDIRECT($B$5&amp;"生成成长"),3))*(VLOOKUP($B$5,标准坦克设计!$B$14:$K$20,9)/30))</f>
        <v>9.0801013129109709</v>
      </c>
      <c r="FK182" s="172">
        <f ca="1">(VLOOKUP(FK$72,INDIRECT($C$5&amp;"生成成长"),2))/((VLOOKUP($B182,INDIRECT($B$5&amp;"生成成长"),4))/(VLOOKUP(FK$72,INDIRECT($C$5&amp;"生成成长"),5))*(VLOOKUP($B$5,标准坦克设计!$B$24:$U$30,MATCH("对"&amp;LEFT($C$5,2)&amp;"输出",标准坦克设计!$B$23:$U$23,0)))*(VLOOKUP($B182,INDIRECT($B$5&amp;"生成成长"),3))*(VLOOKUP($B$5,标准坦克设计!$B$14:$K$20,9)/30))</f>
        <v>9.5904522048032543</v>
      </c>
    </row>
    <row r="183" spans="1:167" x14ac:dyDescent="0.15">
      <c r="A183" s="170" t="str">
        <f t="shared" si="12"/>
        <v>T5中品质21级</v>
      </c>
      <c r="B183" s="171">
        <v>20521</v>
      </c>
      <c r="C183" s="172">
        <f ca="1">(VLOOKUP(C$72,INDIRECT($C$5&amp;"生成成长"),2))/((VLOOKUP($B183,INDIRECT($B$5&amp;"生成成长"),4))/(VLOOKUP(C$72,INDIRECT($C$5&amp;"生成成长"),5))*(VLOOKUP($B$5,标准坦克设计!$B$24:$U$30,MATCH("对"&amp;LEFT($C$5,2)&amp;"输出",标准坦克设计!$B$23:$U$23,0)))*(VLOOKUP($B183,INDIRECT($B$5&amp;"生成成长"),3))*(VLOOKUP($B$5,标准坦克设计!$B$14:$K$20,9)/30))</f>
        <v>0.39243001464360044</v>
      </c>
      <c r="D183" s="172">
        <f ca="1">(VLOOKUP(D$72,INDIRECT($C$5&amp;"生成成长"),2))/((VLOOKUP($B183,INDIRECT($B$5&amp;"生成成长"),4))/(VLOOKUP(D$72,INDIRECT($C$5&amp;"生成成长"),5))*(VLOOKUP($B$5,标准坦克设计!$B$24:$U$30,MATCH("对"&amp;LEFT($C$5,2)&amp;"输出",标准坦克设计!$B$23:$U$23,0)))*(VLOOKUP($B183,INDIRECT($B$5&amp;"生成成长"),3))*(VLOOKUP($B$5,标准坦克设计!$B$14:$K$20,9)/30))</f>
        <v>0.4409343644535495</v>
      </c>
      <c r="E183" s="172">
        <f ca="1">(VLOOKUP(E$72,INDIRECT($C$5&amp;"生成成长"),2))/((VLOOKUP($B183,INDIRECT($B$5&amp;"生成成长"),4))/(VLOOKUP(E$72,INDIRECT($C$5&amp;"生成成长"),5))*(VLOOKUP($B$5,标准坦克设计!$B$24:$U$30,MATCH("对"&amp;LEFT($C$5,2)&amp;"输出",标准坦克设计!$B$23:$U$23,0)))*(VLOOKUP($B183,INDIRECT($B$5&amp;"生成成长"),3))*(VLOOKUP($B$5,标准坦克设计!$B$14:$K$20,9)/30))</f>
        <v>0.49226421036893253</v>
      </c>
      <c r="F183" s="172">
        <f ca="1">(VLOOKUP(F$72,INDIRECT($C$5&amp;"生成成长"),2))/((VLOOKUP($B183,INDIRECT($B$5&amp;"生成成长"),4))/(VLOOKUP(F$72,INDIRECT($C$5&amp;"生成成长"),5))*(VLOOKUP($B$5,标准坦克设计!$B$24:$U$30,MATCH("对"&amp;LEFT($C$5,2)&amp;"输出",标准坦克设计!$B$23:$U$23,0)))*(VLOOKUP($B183,INDIRECT($B$5&amp;"生成成长"),3))*(VLOOKUP($B$5,标准坦克设计!$B$14:$K$20,9)/30))</f>
        <v>0.54641955238974937</v>
      </c>
      <c r="G183" s="172">
        <f ca="1">(VLOOKUP(G$72,INDIRECT($C$5&amp;"生成成长"),2))/((VLOOKUP($B183,INDIRECT($B$5&amp;"生成成长"),4))/(VLOOKUP(G$72,INDIRECT($C$5&amp;"生成成长"),5))*(VLOOKUP($B$5,标准坦克设计!$B$24:$U$30,MATCH("对"&amp;LEFT($C$5,2)&amp;"输出",标准坦克设计!$B$23:$U$23,0)))*(VLOOKUP($B183,INDIRECT($B$5&amp;"生成成长"),3))*(VLOOKUP($B$5,标准坦克设计!$B$14:$K$20,9)/30))</f>
        <v>0.60340039051600003</v>
      </c>
      <c r="H183" s="172">
        <f ca="1">(VLOOKUP(H$72,INDIRECT($C$5&amp;"生成成长"),2))/((VLOOKUP($B183,INDIRECT($B$5&amp;"生成成长"),4))/(VLOOKUP(H$72,INDIRECT($C$5&amp;"生成成长"),5))*(VLOOKUP($B$5,标准坦克设计!$B$24:$U$30,MATCH("对"&amp;LEFT($C$5,2)&amp;"输出",标准坦克设计!$B$23:$U$23,0)))*(VLOOKUP($B183,INDIRECT($B$5&amp;"生成成长"),3))*(VLOOKUP($B$5,标准坦克设计!$B$14:$K$20,9)/30))</f>
        <v>0.52805382770442888</v>
      </c>
      <c r="I183" s="172">
        <f ca="1">(VLOOKUP(I$72,INDIRECT($C$5&amp;"生成成长"),2))/((VLOOKUP($B183,INDIRECT($B$5&amp;"生成成长"),4))/(VLOOKUP(I$72,INDIRECT($C$5&amp;"生成成长"),5))*(VLOOKUP($B$5,标准坦克设计!$B$24:$U$30,MATCH("对"&amp;LEFT($C$5,2)&amp;"输出",标准坦克设计!$B$23:$U$23,0)))*(VLOOKUP($B183,INDIRECT($B$5&amp;"生成成长"),3))*(VLOOKUP($B$5,标准坦克设计!$B$14:$K$20,9)/30))</f>
        <v>0.60340039051600003</v>
      </c>
      <c r="J183" s="172">
        <f ca="1">(VLOOKUP(J$72,INDIRECT($C$5&amp;"生成成长"),2))/((VLOOKUP($B183,INDIRECT($B$5&amp;"生成成长"),4))/(VLOOKUP(J$72,INDIRECT($C$5&amp;"生成成长"),5))*(VLOOKUP($B$5,标准坦克设计!$B$24:$U$30,MATCH("对"&amp;LEFT($C$5,2)&amp;"输出",标准坦克设计!$B$23:$U$23,0)))*(VLOOKUP($B183,INDIRECT($B$5&amp;"生成成长"),3))*(VLOOKUP($B$5,标准坦克设计!$B$14:$K$20,9)/30))</f>
        <v>0.68377005751500941</v>
      </c>
      <c r="K183" s="172">
        <f ca="1">(VLOOKUP(K$72,INDIRECT($C$5&amp;"生成成长"),2))/((VLOOKUP($B183,INDIRECT($B$5&amp;"生成成长"),4))/(VLOOKUP(K$72,INDIRECT($C$5&amp;"生成成长"),5))*(VLOOKUP($B$5,标准坦克设计!$B$24:$U$30,MATCH("对"&amp;LEFT($C$5,2)&amp;"输出",标准坦克设计!$B$23:$U$23,0)))*(VLOOKUP($B183,INDIRECT($B$5&amp;"生成成长"),3))*(VLOOKUP($B$5,标准坦克设计!$B$14:$K$20,9)/30))</f>
        <v>0.76916282870145691</v>
      </c>
      <c r="L183" s="172">
        <f ca="1">(VLOOKUP(L$72,INDIRECT($C$5&amp;"生成成长"),2))/((VLOOKUP($B183,INDIRECT($B$5&amp;"生成成长"),4))/(VLOOKUP(L$72,INDIRECT($C$5&amp;"生成成长"),5))*(VLOOKUP($B$5,标准坦克设计!$B$24:$U$30,MATCH("对"&amp;LEFT($C$5,2)&amp;"输出",标准坦克设计!$B$23:$U$23,0)))*(VLOOKUP($B183,INDIRECT($B$5&amp;"生成成长"),3))*(VLOOKUP($B$5,标准坦克设计!$B$14:$K$20,9)/30))</f>
        <v>0.85957870407534243</v>
      </c>
      <c r="M183" s="172">
        <f ca="1">(VLOOKUP(M$72,INDIRECT($C$5&amp;"生成成长"),2))/((VLOOKUP($B183,INDIRECT($B$5&amp;"生成成长"),4))/(VLOOKUP(M$72,INDIRECT($C$5&amp;"生成成长"),5))*(VLOOKUP($B$5,标准坦克设计!$B$24:$U$30,MATCH("对"&amp;LEFT($C$5,2)&amp;"输出",标准坦克设计!$B$23:$U$23,0)))*(VLOOKUP($B183,INDIRECT($B$5&amp;"生成成长"),3))*(VLOOKUP($B$5,标准坦克设计!$B$14:$K$20,9)/30))</f>
        <v>0.95501768363666617</v>
      </c>
      <c r="N183" s="172">
        <f ca="1">(VLOOKUP(N$72,INDIRECT($C$5&amp;"生成成长"),2))/((VLOOKUP($B183,INDIRECT($B$5&amp;"生成成长"),4))/(VLOOKUP(N$72,INDIRECT($C$5&amp;"生成成长"),5))*(VLOOKUP($B$5,标准坦克设计!$B$24:$U$30,MATCH("对"&amp;LEFT($C$5,2)&amp;"输出",标准坦克设计!$B$23:$U$23,0)))*(VLOOKUP($B183,INDIRECT($B$5&amp;"生成成长"),3))*(VLOOKUP($B$5,标准坦克设计!$B$14:$K$20,9)/30))</f>
        <v>1.0554797673854279</v>
      </c>
      <c r="O183" s="172">
        <f ca="1">(VLOOKUP(O$72,INDIRECT($C$5&amp;"生成成长"),2))/((VLOOKUP($B183,INDIRECT($B$5&amp;"生成成长"),4))/(VLOOKUP(O$72,INDIRECT($C$5&amp;"生成成长"),5))*(VLOOKUP($B$5,标准坦克设计!$B$24:$U$30,MATCH("对"&amp;LEFT($C$5,2)&amp;"输出",标准坦克设计!$B$23:$U$23,0)))*(VLOOKUP($B183,INDIRECT($B$5&amp;"生成成长"),3))*(VLOOKUP($B$5,标准坦克设计!$B$14:$K$20,9)/30))</f>
        <v>0.80248013694469877</v>
      </c>
      <c r="P183" s="172">
        <f ca="1">(VLOOKUP(P$72,INDIRECT($C$5&amp;"生成成长"),2))/((VLOOKUP($B183,INDIRECT($B$5&amp;"生成成长"),4))/(VLOOKUP(P$72,INDIRECT($C$5&amp;"生成成长"),5))*(VLOOKUP($B$5,标准坦克设计!$B$24:$U$30,MATCH("对"&amp;LEFT($C$5,2)&amp;"输出",标准坦克设计!$B$23:$U$23,0)))*(VLOOKUP($B183,INDIRECT($B$5&amp;"生成成长"),3))*(VLOOKUP($B$5,标准坦克设计!$B$14:$K$20,9)/30))</f>
        <v>0.90667030583257469</v>
      </c>
      <c r="Q183" s="172">
        <f ca="1">(VLOOKUP(Q$72,INDIRECT($C$5&amp;"生成成长"),2))/((VLOOKUP($B183,INDIRECT($B$5&amp;"生成成长"),4))/(VLOOKUP(Q$72,INDIRECT($C$5&amp;"生成成长"),5))*(VLOOKUP($B$5,标准坦克设计!$B$24:$U$30,MATCH("对"&amp;LEFT($C$5,2)&amp;"输出",标准坦克设计!$B$23:$U$23,0)))*(VLOOKUP($B183,INDIRECT($B$5&amp;"生成成长"),3))*(VLOOKUP($B$5,标准坦克设计!$B$14:$K$20,9)/30))</f>
        <v>1.0172178409576769</v>
      </c>
      <c r="R183" s="172">
        <f ca="1">(VLOOKUP(R$72,INDIRECT($C$5&amp;"生成成长"),2))/((VLOOKUP($B183,INDIRECT($B$5&amp;"生成成长"),4))/(VLOOKUP(R$72,INDIRECT($C$5&amp;"生成成长"),5))*(VLOOKUP($B$5,标准坦克设计!$B$24:$U$30,MATCH("对"&amp;LEFT($C$5,2)&amp;"输出",标准坦克设计!$B$23:$U$23,0)))*(VLOOKUP($B183,INDIRECT($B$5&amp;"生成成长"),3))*(VLOOKUP($B$5,标准坦克设计!$B$14:$K$20,9)/30))</f>
        <v>1.1341227423200055</v>
      </c>
      <c r="S183" s="172">
        <f ca="1">(VLOOKUP(S$72,INDIRECT($C$5&amp;"生成成长"),2))/((VLOOKUP($B183,INDIRECT($B$5&amp;"生成成长"),4))/(VLOOKUP(S$72,INDIRECT($C$5&amp;"生成成长"),5))*(VLOOKUP($B$5,标准坦克设计!$B$24:$U$30,MATCH("对"&amp;LEFT($C$5,2)&amp;"输出",标准坦克设计!$B$23:$U$23,0)))*(VLOOKUP($B183,INDIRECT($B$5&amp;"生成成长"),3))*(VLOOKUP($B$5,标准坦克设计!$B$14:$K$20,9)/30))</f>
        <v>1.2573850099195603</v>
      </c>
      <c r="T183" s="172">
        <f ca="1">(VLOOKUP(T$72,INDIRECT($C$5&amp;"生成成长"),2))/((VLOOKUP($B183,INDIRECT($B$5&amp;"生成成长"),4))/(VLOOKUP(T$72,INDIRECT($C$5&amp;"生成成长"),5))*(VLOOKUP($B$5,标准坦克设计!$B$24:$U$30,MATCH("对"&amp;LEFT($C$5,2)&amp;"输出",标准坦克设计!$B$23:$U$23,0)))*(VLOOKUP($B183,INDIRECT($B$5&amp;"生成成长"),3))*(VLOOKUP($B$5,标准坦克设计!$B$14:$K$20,9)/30))</f>
        <v>1.3870046437563417</v>
      </c>
      <c r="U183" s="172">
        <f ca="1">(VLOOKUP(U$72,INDIRECT($C$5&amp;"生成成长"),2))/((VLOOKUP($B183,INDIRECT($B$5&amp;"生成成长"),4))/(VLOOKUP(U$72,INDIRECT($C$5&amp;"生成成长"),5))*(VLOOKUP($B$5,标准坦克设计!$B$24:$U$30,MATCH("对"&amp;LEFT($C$5,2)&amp;"输出",标准坦克设计!$B$23:$U$23,0)))*(VLOOKUP($B183,INDIRECT($B$5&amp;"生成成长"),3))*(VLOOKUP($B$5,标准坦克设计!$B$14:$K$20,9)/30))</f>
        <v>1.5229816438303492</v>
      </c>
      <c r="V183" s="172">
        <f ca="1">(VLOOKUP(V$72,INDIRECT($C$5&amp;"生成成长"),2))/((VLOOKUP($B183,INDIRECT($B$5&amp;"生成成长"),4))/(VLOOKUP(V$72,INDIRECT($C$5&amp;"生成成长"),5))*(VLOOKUP($B$5,标准坦克设计!$B$24:$U$30,MATCH("对"&amp;LEFT($C$5,2)&amp;"输出",标准坦克设计!$B$23:$U$23,0)))*(VLOOKUP($B183,INDIRECT($B$5&amp;"生成成长"),3))*(VLOOKUP($B$5,标准坦克设计!$B$14:$K$20,9)/30))</f>
        <v>1.6653160101415829</v>
      </c>
      <c r="W183" s="172">
        <f ca="1">(VLOOKUP(W$72,INDIRECT($C$5&amp;"生成成长"),2))/((VLOOKUP($B183,INDIRECT($B$5&amp;"生成成长"),4))/(VLOOKUP(W$72,INDIRECT($C$5&amp;"生成成长"),5))*(VLOOKUP($B$5,标准坦克设计!$B$24:$U$30,MATCH("对"&amp;LEFT($C$5,2)&amp;"输出",标准坦克设计!$B$23:$U$23,0)))*(VLOOKUP($B183,INDIRECT($B$5&amp;"生成成长"),3))*(VLOOKUP($B$5,标准坦克设计!$B$14:$K$20,9)/30))</f>
        <v>1.8140077426900434</v>
      </c>
      <c r="X183" s="172">
        <f ca="1">(VLOOKUP(X$72,INDIRECT($C$5&amp;"生成成长"),2))/((VLOOKUP($B183,INDIRECT($B$5&amp;"生成成长"),4))/(VLOOKUP(X$72,INDIRECT($C$5&amp;"生成成长"),5))*(VLOOKUP($B$5,标准坦克设计!$B$24:$U$30,MATCH("对"&amp;LEFT($C$5,2)&amp;"输出",标准坦克设计!$B$23:$U$23,0)))*(VLOOKUP($B183,INDIRECT($B$5&amp;"生成成长"),3))*(VLOOKUP($B$5,标准坦克设计!$B$14:$K$20,9)/30))</f>
        <v>1.3142088760399535</v>
      </c>
      <c r="Y183" s="172">
        <f ca="1">(VLOOKUP(Y$72,INDIRECT($C$5&amp;"生成成长"),2))/((VLOOKUP($B183,INDIRECT($B$5&amp;"生成成长"),4))/(VLOOKUP(Y$72,INDIRECT($C$5&amp;"生成成长"),5))*(VLOOKUP($B$5,标准坦克设计!$B$24:$U$30,MATCH("对"&amp;LEFT($C$5,2)&amp;"输出",标准坦克设计!$B$23:$U$23,0)))*(VLOOKUP($B183,INDIRECT($B$5&amp;"生成成长"),3))*(VLOOKUP($B$5,标准坦克设计!$B$14:$K$20,9)/30))</f>
        <v>1.4617625615459477</v>
      </c>
      <c r="Z183" s="172">
        <f ca="1">(VLOOKUP(Z$72,INDIRECT($C$5&amp;"生成成长"),2))/((VLOOKUP($B183,INDIRECT($B$5&amp;"生成成长"),4))/(VLOOKUP(Z$72,INDIRECT($C$5&amp;"生成成长"),5))*(VLOOKUP($B$5,标准坦克设计!$B$24:$U$30,MATCH("对"&amp;LEFT($C$5,2)&amp;"输出",标准坦克设计!$B$23:$U$23,0)))*(VLOOKUP($B183,INDIRECT($B$5&amp;"生成成长"),3))*(VLOOKUP($B$5,标准坦克设计!$B$14:$K$20,9)/30))</f>
        <v>1.6171648473448132</v>
      </c>
      <c r="AA183" s="172">
        <f ca="1">(VLOOKUP(AA$72,INDIRECT($C$5&amp;"生成成长"),2))/((VLOOKUP($B183,INDIRECT($B$5&amp;"生成成长"),4))/(VLOOKUP(AA$72,INDIRECT($C$5&amp;"生成成长"),5))*(VLOOKUP($B$5,标准坦克设计!$B$24:$U$30,MATCH("对"&amp;LEFT($C$5,2)&amp;"输出",标准坦克设计!$B$23:$U$23,0)))*(VLOOKUP($B183,INDIRECT($B$5&amp;"生成成长"),3))*(VLOOKUP($B$5,标准坦克设计!$B$14:$K$20,9)/30))</f>
        <v>1.7804157334365511</v>
      </c>
      <c r="AB183" s="172">
        <f ca="1">(VLOOKUP(AB$72,INDIRECT($C$5&amp;"生成成长"),2))/((VLOOKUP($B183,INDIRECT($B$5&amp;"生成成长"),4))/(VLOOKUP(AB$72,INDIRECT($C$5&amp;"生成成长"),5))*(VLOOKUP($B$5,标准坦克设计!$B$24:$U$30,MATCH("对"&amp;LEFT($C$5,2)&amp;"输出",标准坦克设计!$B$23:$U$23,0)))*(VLOOKUP($B183,INDIRECT($B$5&amp;"生成成长"),3))*(VLOOKUP($B$5,标准坦克设计!$B$14:$K$20,9)/30))</f>
        <v>1.9515152198211612</v>
      </c>
      <c r="AC183" s="172">
        <f ca="1">(VLOOKUP(AC$72,INDIRECT($C$5&amp;"生成成长"),2))/((VLOOKUP($B183,INDIRECT($B$5&amp;"生成成长"),4))/(VLOOKUP(AC$72,INDIRECT($C$5&amp;"生成成长"),5))*(VLOOKUP($B$5,标准坦克设计!$B$24:$U$30,MATCH("对"&amp;LEFT($C$5,2)&amp;"输出",标准坦克设计!$B$23:$U$23,0)))*(VLOOKUP($B183,INDIRECT($B$5&amp;"生成成长"),3))*(VLOOKUP($B$5,标准坦克设计!$B$14:$K$20,9)/30))</f>
        <v>2.1304633064986431</v>
      </c>
      <c r="AD183" s="172">
        <f ca="1">(VLOOKUP(AD$72,INDIRECT($C$5&amp;"生成成长"),2))/((VLOOKUP($B183,INDIRECT($B$5&amp;"生成成长"),4))/(VLOOKUP(AD$72,INDIRECT($C$5&amp;"生成成长"),5))*(VLOOKUP($B$5,标准坦克设计!$B$24:$U$30,MATCH("对"&amp;LEFT($C$5,2)&amp;"输出",标准坦克设计!$B$23:$U$23,0)))*(VLOOKUP($B183,INDIRECT($B$5&amp;"生成成长"),3))*(VLOOKUP($B$5,标准坦克设计!$B$14:$K$20,9)/30))</f>
        <v>2.3172599934689968</v>
      </c>
      <c r="AE183" s="172">
        <f ca="1">(VLOOKUP(AE$72,INDIRECT($C$5&amp;"生成成长"),2))/((VLOOKUP($B183,INDIRECT($B$5&amp;"生成成长"),4))/(VLOOKUP(AE$72,INDIRECT($C$5&amp;"生成成长"),5))*(VLOOKUP($B$5,标准坦克设计!$B$24:$U$30,MATCH("对"&amp;LEFT($C$5,2)&amp;"输出",标准坦克设计!$B$23:$U$23,0)))*(VLOOKUP($B183,INDIRECT($B$5&amp;"生成成长"),3))*(VLOOKUP($B$5,标准坦克设计!$B$14:$K$20,9)/30))</f>
        <v>2.5119052807322224</v>
      </c>
      <c r="AF183" s="172">
        <f ca="1">(VLOOKUP(AF$72,INDIRECT($C$5&amp;"生成成长"),2))/((VLOOKUP($B183,INDIRECT($B$5&amp;"生成成长"),4))/(VLOOKUP(AF$72,INDIRECT($C$5&amp;"生成成长"),5))*(VLOOKUP($B$5,标准坦克设计!$B$24:$U$30,MATCH("对"&amp;LEFT($C$5,2)&amp;"输出",标准坦克设计!$B$23:$U$23,0)))*(VLOOKUP($B183,INDIRECT($B$5&amp;"生成成长"),3))*(VLOOKUP($B$5,标准坦克设计!$B$14:$K$20,9)/30))</f>
        <v>2.71439916828832</v>
      </c>
      <c r="AG183" s="172">
        <f ca="1">(VLOOKUP(AG$72,INDIRECT($C$5&amp;"生成成长"),2))/((VLOOKUP($B183,INDIRECT($B$5&amp;"生成成长"),4))/(VLOOKUP(AG$72,INDIRECT($C$5&amp;"生成成长"),5))*(VLOOKUP($B$5,标准坦克设计!$B$24:$U$30,MATCH("对"&amp;LEFT($C$5,2)&amp;"输出",标准坦克设计!$B$23:$U$23,0)))*(VLOOKUP($B183,INDIRECT($B$5&amp;"生成成长"),3))*(VLOOKUP($B$5,标准坦克设计!$B$14:$K$20,9)/30))</f>
        <v>2.9247416561372903</v>
      </c>
      <c r="AH183" s="172">
        <f ca="1">(VLOOKUP(AH$72,INDIRECT($C$5&amp;"生成成长"),2))/((VLOOKUP($B183,INDIRECT($B$5&amp;"生成成长"),4))/(VLOOKUP(AH$72,INDIRECT($C$5&amp;"生成成长"),5))*(VLOOKUP($B$5,标准坦克设计!$B$24:$U$30,MATCH("对"&amp;LEFT($C$5,2)&amp;"输出",标准坦克设计!$B$23:$U$23,0)))*(VLOOKUP($B183,INDIRECT($B$5&amp;"生成成长"),3))*(VLOOKUP($B$5,标准坦克设计!$B$14:$K$20,9)/30))</f>
        <v>3.1429327442791322</v>
      </c>
      <c r="AI183" s="172">
        <f ca="1">(VLOOKUP(AI$72,INDIRECT($C$5&amp;"生成成长"),2))/((VLOOKUP($B183,INDIRECT($B$5&amp;"生成成长"),4))/(VLOOKUP(AI$72,INDIRECT($C$5&amp;"生成成长"),5))*(VLOOKUP($B$5,标准坦克设计!$B$24:$U$30,MATCH("对"&amp;LEFT($C$5,2)&amp;"输出",标准坦克设计!$B$23:$U$23,0)))*(VLOOKUP($B183,INDIRECT($B$5&amp;"生成成长"),3))*(VLOOKUP($B$5,标准坦克设计!$B$14:$K$20,9)/30))</f>
        <v>2.2228805749472103</v>
      </c>
      <c r="AJ183" s="172">
        <f ca="1">(VLOOKUP(AJ$72,INDIRECT($C$5&amp;"生成成长"),2))/((VLOOKUP($B183,INDIRECT($B$5&amp;"生成成长"),4))/(VLOOKUP(AJ$72,INDIRECT($C$5&amp;"生成成长"),5))*(VLOOKUP($B$5,标准坦克设计!$B$24:$U$30,MATCH("对"&amp;LEFT($C$5,2)&amp;"输出",标准坦克设计!$B$23:$U$23,0)))*(VLOOKUP($B183,INDIRECT($B$5&amp;"生成成长"),3))*(VLOOKUP($B$5,标准坦克设计!$B$14:$K$20,9)/30))</f>
        <v>2.4331053337917874</v>
      </c>
      <c r="AK183" s="172">
        <f ca="1">(VLOOKUP(AK$72,INDIRECT($C$5&amp;"生成成长"),2))/((VLOOKUP($B183,INDIRECT($B$5&amp;"生成成长"),4))/(VLOOKUP(AK$72,INDIRECT($C$5&amp;"生成成长"),5))*(VLOOKUP($B$5,标准坦克设计!$B$24:$U$30,MATCH("对"&amp;LEFT($C$5,2)&amp;"输出",标准坦克设计!$B$23:$U$23,0)))*(VLOOKUP($B183,INDIRECT($B$5&amp;"生成成长"),3))*(VLOOKUP($B$5,标准坦克设计!$B$14:$K$20,9)/30))</f>
        <v>2.6528268989907393</v>
      </c>
      <c r="AL183" s="172">
        <f ca="1">(VLOOKUP(AL$72,INDIRECT($C$5&amp;"生成成长"),2))/((VLOOKUP($B183,INDIRECT($B$5&amp;"生成成长"),4))/(VLOOKUP(AL$72,INDIRECT($C$5&amp;"生成成长"),5))*(VLOOKUP($B$5,标准坦克设计!$B$24:$U$30,MATCH("对"&amp;LEFT($C$5,2)&amp;"输出",标准坦克设计!$B$23:$U$23,0)))*(VLOOKUP($B183,INDIRECT($B$5&amp;"生成成长"),3))*(VLOOKUP($B$5,标准坦克设计!$B$14:$K$20,9)/30))</f>
        <v>2.8820452705440665</v>
      </c>
      <c r="AM183" s="172">
        <f ca="1">(VLOOKUP(AM$72,INDIRECT($C$5&amp;"生成成长"),2))/((VLOOKUP($B183,INDIRECT($B$5&amp;"生成成长"),4))/(VLOOKUP(AM$72,INDIRECT($C$5&amp;"生成成长"),5))*(VLOOKUP($B$5,标准坦克设计!$B$24:$U$30,MATCH("对"&amp;LEFT($C$5,2)&amp;"输出",标准坦克设计!$B$23:$U$23,0)))*(VLOOKUP($B183,INDIRECT($B$5&amp;"生成成长"),3))*(VLOOKUP($B$5,标准坦克设计!$B$14:$K$20,9)/30))</f>
        <v>3.1207604484517688</v>
      </c>
      <c r="AN183" s="172">
        <f ca="1">(VLOOKUP(AN$72,INDIRECT($C$5&amp;"生成成长"),2))/((VLOOKUP($B183,INDIRECT($B$5&amp;"生成成长"),4))/(VLOOKUP(AN$72,INDIRECT($C$5&amp;"生成成长"),5))*(VLOOKUP($B$5,标准坦克设计!$B$24:$U$30,MATCH("对"&amp;LEFT($C$5,2)&amp;"输出",标准坦克设计!$B$23:$U$23,0)))*(VLOOKUP($B183,INDIRECT($B$5&amp;"生成成长"),3))*(VLOOKUP($B$5,标准坦克设计!$B$14:$K$20,9)/30))</f>
        <v>3.3689724327138459</v>
      </c>
      <c r="AO183" s="172">
        <f ca="1">(VLOOKUP(AO$72,INDIRECT($C$5&amp;"生成成长"),2))/((VLOOKUP($B183,INDIRECT($B$5&amp;"生成成长"),4))/(VLOOKUP(AO$72,INDIRECT($C$5&amp;"生成成长"),5))*(VLOOKUP($B$5,标准坦克设计!$B$24:$U$30,MATCH("对"&amp;LEFT($C$5,2)&amp;"输出",标准坦克设计!$B$23:$U$23,0)))*(VLOOKUP($B183,INDIRECT($B$5&amp;"生成成长"),3))*(VLOOKUP($B$5,标准坦克设计!$B$14:$K$20,9)/30))</f>
        <v>3.6266812233302987</v>
      </c>
      <c r="AP183" s="172">
        <f ca="1">(VLOOKUP(AP$72,INDIRECT($C$5&amp;"生成成长"),2))/((VLOOKUP($B183,INDIRECT($B$5&amp;"生成成长"),4))/(VLOOKUP(AP$72,INDIRECT($C$5&amp;"生成成长"),5))*(VLOOKUP($B$5,标准坦克设计!$B$24:$U$30,MATCH("对"&amp;LEFT($C$5,2)&amp;"输出",标准坦克设计!$B$23:$U$23,0)))*(VLOOKUP($B183,INDIRECT($B$5&amp;"生成成长"),3))*(VLOOKUP($B$5,标准坦克设计!$B$14:$K$20,9)/30))</f>
        <v>3.8938868203011254</v>
      </c>
      <c r="AQ183" s="172">
        <f ca="1">(VLOOKUP(AQ$72,INDIRECT($C$5&amp;"生成成长"),2))/((VLOOKUP($B183,INDIRECT($B$5&amp;"生成成长"),4))/(VLOOKUP(AQ$72,INDIRECT($C$5&amp;"生成成长"),5))*(VLOOKUP($B$5,标准坦克设计!$B$24:$U$30,MATCH("对"&amp;LEFT($C$5,2)&amp;"输出",标准坦克设计!$B$23:$U$23,0)))*(VLOOKUP($B183,INDIRECT($B$5&amp;"生成成长"),3))*(VLOOKUP($B$5,标准坦克设计!$B$14:$K$20,9)/30))</f>
        <v>4.1705892236263287</v>
      </c>
      <c r="AR183" s="172">
        <f ca="1">(VLOOKUP(AR$72,INDIRECT($C$5&amp;"生成成长"),2))/((VLOOKUP($B183,INDIRECT($B$5&amp;"生成成长"),4))/(VLOOKUP(AR$72,INDIRECT($C$5&amp;"生成成长"),5))*(VLOOKUP($B$5,标准坦克设计!$B$24:$U$30,MATCH("对"&amp;LEFT($C$5,2)&amp;"输出",标准坦克设计!$B$23:$U$23,0)))*(VLOOKUP($B183,INDIRECT($B$5&amp;"生成成长"),3))*(VLOOKUP($B$5,标准坦克设计!$B$14:$K$20,9)/30))</f>
        <v>4.4567884333059062</v>
      </c>
      <c r="AS183" s="172">
        <f ca="1">(VLOOKUP(AS$72,INDIRECT($C$5&amp;"生成成长"),2))/((VLOOKUP($B183,INDIRECT($B$5&amp;"生成成长"),4))/(VLOOKUP(AS$72,INDIRECT($C$5&amp;"生成成长"),5))*(VLOOKUP($B$5,标准坦克设计!$B$24:$U$30,MATCH("对"&amp;LEFT($C$5,2)&amp;"输出",标准坦克设计!$B$23:$U$23,0)))*(VLOOKUP($B183,INDIRECT($B$5&amp;"生成成长"),3))*(VLOOKUP($B$5,标准坦克设计!$B$14:$K$20,9)/30))</f>
        <v>4.7524844493398586</v>
      </c>
      <c r="AT183" s="172">
        <f ca="1">(VLOOKUP(AT$72,INDIRECT($C$5&amp;"生成成长"),2))/((VLOOKUP($B183,INDIRECT($B$5&amp;"生成成长"),4))/(VLOOKUP(AT$72,INDIRECT($C$5&amp;"生成成长"),5))*(VLOOKUP($B$5,标准坦克设计!$B$24:$U$30,MATCH("对"&amp;LEFT($C$5,2)&amp;"输出",标准坦克设计!$B$23:$U$23,0)))*(VLOOKUP($B183,INDIRECT($B$5&amp;"生成成长"),3))*(VLOOKUP($B$5,标准坦克设计!$B$14:$K$20,9)/30))</f>
        <v>5.0576772717281875</v>
      </c>
      <c r="AU183" s="172">
        <f ca="1">(VLOOKUP(AU$72,INDIRECT($C$5&amp;"生成成长"),2))/((VLOOKUP($B183,INDIRECT($B$5&amp;"生成成长"),4))/(VLOOKUP(AU$72,INDIRECT($C$5&amp;"生成成长"),5))*(VLOOKUP($B$5,标准坦克设计!$B$24:$U$30,MATCH("对"&amp;LEFT($C$5,2)&amp;"输出",标准坦克设计!$B$23:$U$23,0)))*(VLOOKUP($B183,INDIRECT($B$5&amp;"生成成长"),3))*(VLOOKUP($B$5,标准坦克设计!$B$14:$K$20,9)/30))</f>
        <v>5.3723669004708912</v>
      </c>
      <c r="AV183" s="172">
        <f ca="1">(VLOOKUP(AV$72,INDIRECT($C$5&amp;"生成成长"),2))/((VLOOKUP($B183,INDIRECT($B$5&amp;"生成成长"),4))/(VLOOKUP(AV$72,INDIRECT($C$5&amp;"生成成长"),5))*(VLOOKUP($B$5,标准坦克设计!$B$24:$U$30,MATCH("对"&amp;LEFT($C$5,2)&amp;"输出",标准坦克设计!$B$23:$U$23,0)))*(VLOOKUP($B183,INDIRECT($B$5&amp;"生成成长"),3))*(VLOOKUP($B$5,标准坦克设计!$B$14:$K$20,9)/30))</f>
        <v>0.54641955238974937</v>
      </c>
      <c r="AW183" s="172">
        <f ca="1">(VLOOKUP(AW$72,INDIRECT($C$5&amp;"生成成长"),2))/((VLOOKUP($B183,INDIRECT($B$5&amp;"生成成长"),4))/(VLOOKUP(AW$72,INDIRECT($C$5&amp;"生成成长"),5))*(VLOOKUP($B$5,标准坦克设计!$B$24:$U$30,MATCH("对"&amp;LEFT($C$5,2)&amp;"输出",标准坦克设计!$B$23:$U$23,0)))*(VLOOKUP($B183,INDIRECT($B$5&amp;"生成成长"),3))*(VLOOKUP($B$5,标准坦克设计!$B$14:$K$20,9)/30))</f>
        <v>0.62302189124818019</v>
      </c>
      <c r="AX183" s="172">
        <f ca="1">(VLOOKUP(AX$72,INDIRECT($C$5&amp;"生成成长"),2))/((VLOOKUP($B183,INDIRECT($B$5&amp;"生成成长"),4))/(VLOOKUP(AX$72,INDIRECT($C$5&amp;"生成成长"),5))*(VLOOKUP($B$5,标准坦克设计!$B$24:$U$30,MATCH("对"&amp;LEFT($C$5,2)&amp;"输出",标准坦克设计!$B$23:$U$23,0)))*(VLOOKUP($B183,INDIRECT($B$5&amp;"生成成长"),3))*(VLOOKUP($B$5,标准坦克设计!$B$14:$K$20,9)/30))</f>
        <v>0.70464733429404902</v>
      </c>
      <c r="AY183" s="172">
        <f ca="1">(VLOOKUP(AY$72,INDIRECT($C$5&amp;"生成成长"),2))/((VLOOKUP($B183,INDIRECT($B$5&amp;"生成成长"),4))/(VLOOKUP(AY$72,INDIRECT($C$5&amp;"生成成长"),5))*(VLOOKUP($B$5,标准坦克设计!$B$24:$U$30,MATCH("对"&amp;LEFT($C$5,2)&amp;"输出",标准坦克设计!$B$23:$U$23,0)))*(VLOOKUP($B183,INDIRECT($B$5&amp;"生成成长"),3))*(VLOOKUP($B$5,标准坦克设计!$B$14:$K$20,9)/30))</f>
        <v>0.79129588152735597</v>
      </c>
      <c r="AZ183" s="172">
        <f ca="1">(VLOOKUP(AZ$72,INDIRECT($C$5&amp;"生成成长"),2))/((VLOOKUP($B183,INDIRECT($B$5&amp;"生成成长"),4))/(VLOOKUP(AZ$72,INDIRECT($C$5&amp;"生成成长"),5))*(VLOOKUP($B$5,标准坦克设计!$B$24:$U$30,MATCH("对"&amp;LEFT($C$5,2)&amp;"输出",标准坦克设计!$B$23:$U$23,0)))*(VLOOKUP($B183,INDIRECT($B$5&amp;"生成成长"),3))*(VLOOKUP($B$5,标准坦克设计!$B$14:$K$20,9)/30))</f>
        <v>0.88296753294810126</v>
      </c>
      <c r="BA183" s="172">
        <f ca="1">(VLOOKUP(BA$72,INDIRECT($C$5&amp;"生成成长"),2))/((VLOOKUP($B183,INDIRECT($B$5&amp;"生成成长"),4))/(VLOOKUP(BA$72,INDIRECT($C$5&amp;"生成成长"),5))*(VLOOKUP($B$5,标准坦克设计!$B$24:$U$30,MATCH("对"&amp;LEFT($C$5,2)&amp;"输出",标准坦克设计!$B$23:$U$23,0)))*(VLOOKUP($B183,INDIRECT($B$5&amp;"生成成长"),3))*(VLOOKUP($B$5,标准坦克设计!$B$14:$K$20,9)/30))</f>
        <v>0.97966228855628446</v>
      </c>
      <c r="BB183" s="172">
        <f ca="1">(VLOOKUP(BB$72,INDIRECT($C$5&amp;"生成成长"),2))/((VLOOKUP($B183,INDIRECT($B$5&amp;"生成成长"),4))/(VLOOKUP(BB$72,INDIRECT($C$5&amp;"生成成长"),5))*(VLOOKUP($B$5,标准坦克设计!$B$24:$U$30,MATCH("对"&amp;LEFT($C$5,2)&amp;"输出",标准坦克设计!$B$23:$U$23,0)))*(VLOOKUP($B183,INDIRECT($B$5&amp;"生成成长"),3))*(VLOOKUP($B$5,标准坦克设计!$B$14:$K$20,9)/30))</f>
        <v>1.0813801483519054</v>
      </c>
      <c r="BC183" s="172">
        <f ca="1">(VLOOKUP(BC$72,INDIRECT($C$5&amp;"生成成长"),2))/((VLOOKUP($B183,INDIRECT($B$5&amp;"生成成长"),4))/(VLOOKUP(BC$72,INDIRECT($C$5&amp;"生成成长"),5))*(VLOOKUP($B$5,标准坦克设计!$B$24:$U$30,MATCH("对"&amp;LEFT($C$5,2)&amp;"输出",标准坦克设计!$B$23:$U$23,0)))*(VLOOKUP($B183,INDIRECT($B$5&amp;"生成成长"),3))*(VLOOKUP($B$5,标准坦克设计!$B$14:$K$20,9)/30))</f>
        <v>1.1881211123349646</v>
      </c>
      <c r="BD183" s="172">
        <f ca="1">(VLOOKUP(BD$72,INDIRECT($C$5&amp;"生成成长"),2))/((VLOOKUP($B183,INDIRECT($B$5&amp;"生成成长"),4))/(VLOOKUP(BD$72,INDIRECT($C$5&amp;"生成成长"),5))*(VLOOKUP($B$5,标准坦克设计!$B$24:$U$30,MATCH("对"&amp;LEFT($C$5,2)&amp;"输出",标准坦克设计!$B$23:$U$23,0)))*(VLOOKUP($B183,INDIRECT($B$5&amp;"生成成长"),3))*(VLOOKUP($B$5,标准坦克设计!$B$14:$K$20,9)/30))</f>
        <v>1.3142088760399535</v>
      </c>
      <c r="BE183" s="172">
        <f ca="1">(VLOOKUP(BE$72,INDIRECT($C$5&amp;"生成成长"),2))/((VLOOKUP($B183,INDIRECT($B$5&amp;"生成成长"),4))/(VLOOKUP(BE$72,INDIRECT($C$5&amp;"生成成长"),5))*(VLOOKUP($B$5,标准坦克设计!$B$24:$U$30,MATCH("对"&amp;LEFT($C$5,2)&amp;"输出",标准坦克设计!$B$23:$U$23,0)))*(VLOOKUP($B183,INDIRECT($B$5&amp;"生成成长"),3))*(VLOOKUP($B$5,标准坦克设计!$B$14:$K$20,9)/30))</f>
        <v>1.4466540059821689</v>
      </c>
      <c r="BF183" s="172">
        <f ca="1">(VLOOKUP(BF$72,INDIRECT($C$5&amp;"生成成长"),2))/((VLOOKUP($B183,INDIRECT($B$5&amp;"生成成长"),4))/(VLOOKUP(BF$72,INDIRECT($C$5&amp;"生成成长"),5))*(VLOOKUP($B$5,标准坦克设计!$B$24:$U$30,MATCH("对"&amp;LEFT($C$5,2)&amp;"输出",标准坦克设计!$B$23:$U$23,0)))*(VLOOKUP($B183,INDIRECT($B$5&amp;"生成成长"),3))*(VLOOKUP($B$5,标准坦克设计!$B$14:$K$20,9)/30))</f>
        <v>1.5854565021616105</v>
      </c>
      <c r="BG183" s="172">
        <f ca="1">(VLOOKUP(BG$72,INDIRECT($C$5&amp;"生成成长"),2))/((VLOOKUP($B183,INDIRECT($B$5&amp;"生成成长"),4))/(VLOOKUP(BG$72,INDIRECT($C$5&amp;"生成成长"),5))*(VLOOKUP($B$5,标准坦克设计!$B$24:$U$30,MATCH("对"&amp;LEFT($C$5,2)&amp;"输出",标准坦克设计!$B$23:$U$23,0)))*(VLOOKUP($B183,INDIRECT($B$5&amp;"生成成长"),3))*(VLOOKUP($B$5,标准坦克设计!$B$14:$K$20,9)/30))</f>
        <v>1.7306163645782782</v>
      </c>
      <c r="BH183" s="172">
        <f ca="1">(VLOOKUP(BH$72,INDIRECT($C$5&amp;"生成成长"),2))/((VLOOKUP($B183,INDIRECT($B$5&amp;"生成成长"),4))/(VLOOKUP(BH$72,INDIRECT($C$5&amp;"生成成长"),5))*(VLOOKUP($B$5,标准坦克设计!$B$24:$U$30,MATCH("对"&amp;LEFT($C$5,2)&amp;"输出",标准坦克设计!$B$23:$U$23,0)))*(VLOOKUP($B183,INDIRECT($B$5&amp;"生成成长"),3))*(VLOOKUP($B$5,标准坦克设计!$B$14:$K$20,9)/30))</f>
        <v>0.83650381921429884</v>
      </c>
      <c r="BI183" s="172">
        <f ca="1">(VLOOKUP(BI$72,INDIRECT($C$5&amp;"生成成长"),2))/((VLOOKUP($B183,INDIRECT($B$5&amp;"生成成长"),4))/(VLOOKUP(BI$72,INDIRECT($C$5&amp;"生成成长"),5))*(VLOOKUP($B$5,标准坦克设计!$B$24:$U$30,MATCH("对"&amp;LEFT($C$5,2)&amp;"输出",标准坦克设计!$B$23:$U$23,0)))*(VLOOKUP($B183,INDIRECT($B$5&amp;"生成成长"),3))*(VLOOKUP($B$5,标准坦克设计!$B$14:$K$20,9)/30))</f>
        <v>0.94281311018125014</v>
      </c>
      <c r="BJ183" s="172">
        <f ca="1">(VLOOKUP(BJ$72,INDIRECT($C$5&amp;"生成成长"),2))/((VLOOKUP($B183,INDIRECT($B$5&amp;"生成成长"),4))/(VLOOKUP(BJ$72,INDIRECT($C$5&amp;"生成成长"),5))*(VLOOKUP($B$5,标准坦克设计!$B$24:$U$30,MATCH("对"&amp;LEFT($C$5,2)&amp;"输出",标准坦克设计!$B$23:$U$23,0)))*(VLOOKUP($B183,INDIRECT($B$5&amp;"生成成长"),3))*(VLOOKUP($B$5,标准坦克设计!$B$14:$K$20,9)/30))</f>
        <v>1.0554797673854279</v>
      </c>
      <c r="BK183" s="172">
        <f ca="1">(VLOOKUP(BK$72,INDIRECT($C$5&amp;"生成成长"),2))/((VLOOKUP($B183,INDIRECT($B$5&amp;"生成成长"),4))/(VLOOKUP(BK$72,INDIRECT($C$5&amp;"生成成长"),5))*(VLOOKUP($B$5,标准坦克设计!$B$24:$U$30,MATCH("对"&amp;LEFT($C$5,2)&amp;"输出",标准坦克设计!$B$23:$U$23,0)))*(VLOOKUP($B183,INDIRECT($B$5&amp;"生成成长"),3))*(VLOOKUP($B$5,标准坦克设计!$B$14:$K$20,9)/30))</f>
        <v>1.1745037908268321</v>
      </c>
      <c r="BL183" s="172">
        <f ca="1">(VLOOKUP(BL$72,INDIRECT($C$5&amp;"生成成长"),2))/((VLOOKUP($B183,INDIRECT($B$5&amp;"生成成长"),4))/(VLOOKUP(BL$72,INDIRECT($C$5&amp;"生成成长"),5))*(VLOOKUP($B$5,标准坦克设计!$B$24:$U$30,MATCH("对"&amp;LEFT($C$5,2)&amp;"输出",标准坦克设计!$B$23:$U$23,0)))*(VLOOKUP($B183,INDIRECT($B$5&amp;"生成成长"),3))*(VLOOKUP($B$5,标准坦克设计!$B$14:$K$20,9)/30))</f>
        <v>1.2998851805054623</v>
      </c>
      <c r="BM183" s="172">
        <f ca="1">(VLOOKUP(BM$72,INDIRECT($C$5&amp;"生成成长"),2))/((VLOOKUP($B183,INDIRECT($B$5&amp;"生成成长"),4))/(VLOOKUP(BM$72,INDIRECT($C$5&amp;"生成成长"),5))*(VLOOKUP($B$5,标准坦克设计!$B$24:$U$30,MATCH("对"&amp;LEFT($C$5,2)&amp;"输出",标准坦克设计!$B$23:$U$23,0)))*(VLOOKUP($B183,INDIRECT($B$5&amp;"生成成长"),3))*(VLOOKUP($B$5,标准坦克设计!$B$14:$K$20,9)/30))</f>
        <v>1.4316239364213188</v>
      </c>
      <c r="BN183" s="172">
        <f ca="1">(VLOOKUP(BN$72,INDIRECT($C$5&amp;"生成成长"),2))/((VLOOKUP($B183,INDIRECT($B$5&amp;"生成成长"),4))/(VLOOKUP(BN$72,INDIRECT($C$5&amp;"生成成长"),5))*(VLOOKUP($B$5,标准坦克设计!$B$24:$U$30,MATCH("对"&amp;LEFT($C$5,2)&amp;"输出",标准坦克设计!$B$23:$U$23,0)))*(VLOOKUP($B183,INDIRECT($B$5&amp;"生成成长"),3))*(VLOOKUP($B$5,标准坦克设计!$B$14:$K$20,9)/30))</f>
        <v>1.5697200585744018</v>
      </c>
      <c r="BO183" s="172">
        <f ca="1">(VLOOKUP(BO$72,INDIRECT($C$5&amp;"生成成长"),2))/((VLOOKUP($B183,INDIRECT($B$5&amp;"生成成长"),4))/(VLOOKUP(BO$72,INDIRECT($C$5&amp;"生成成长"),5))*(VLOOKUP($B$5,标准坦克设计!$B$24:$U$30,MATCH("对"&amp;LEFT($C$5,2)&amp;"输出",标准坦克设计!$B$23:$U$23,0)))*(VLOOKUP($B183,INDIRECT($B$5&amp;"生成成长"),3))*(VLOOKUP($B$5,标准坦克设计!$B$14:$K$20,9)/30))</f>
        <v>1.7141735469647112</v>
      </c>
      <c r="BP183" s="172">
        <f ca="1">(VLOOKUP(BP$72,INDIRECT($C$5&amp;"生成成长"),2))/((VLOOKUP($B183,INDIRECT($B$5&amp;"生成成长"),4))/(VLOOKUP(BP$72,INDIRECT($C$5&amp;"生成成长"),5))*(VLOOKUP($B$5,标准坦克设计!$B$24:$U$30,MATCH("对"&amp;LEFT($C$5,2)&amp;"输出",标准坦克设计!$B$23:$U$23,0)))*(VLOOKUP($B183,INDIRECT($B$5&amp;"生成成长"),3))*(VLOOKUP($B$5,标准坦克设计!$B$14:$K$20,9)/30))</f>
        <v>1.8649844015922468</v>
      </c>
      <c r="BQ183" s="172">
        <f ca="1">(VLOOKUP(BQ$72,INDIRECT($C$5&amp;"生成成长"),2))/((VLOOKUP($B183,INDIRECT($B$5&amp;"生成成长"),4))/(VLOOKUP(BQ$72,INDIRECT($C$5&amp;"生成成长"),5))*(VLOOKUP($B$5,标准坦克设计!$B$24:$U$30,MATCH("对"&amp;LEFT($C$5,2)&amp;"输出",标准坦克设计!$B$23:$U$23,0)))*(VLOOKUP($B183,INDIRECT($B$5&amp;"生成成长"),3))*(VLOOKUP($B$5,标准坦克设计!$B$14:$K$20,9)/30))</f>
        <v>2.0221526224570092</v>
      </c>
      <c r="BR183" s="172">
        <f ca="1">(VLOOKUP(BR$72,INDIRECT($C$5&amp;"生成成长"),2))/((VLOOKUP($B183,INDIRECT($B$5&amp;"生成成长"),4))/(VLOOKUP(BR$72,INDIRECT($C$5&amp;"生成成长"),5))*(VLOOKUP($B$5,标准坦克设计!$B$24:$U$30,MATCH("对"&amp;LEFT($C$5,2)&amp;"输出",标准坦克设计!$B$23:$U$23,0)))*(VLOOKUP($B183,INDIRECT($B$5&amp;"生成成长"),3))*(VLOOKUP($B$5,标准坦克设计!$B$14:$K$20,9)/30))</f>
        <v>2.2042401492516395</v>
      </c>
      <c r="BS183" s="172">
        <f ca="1">(VLOOKUP(BS$72,INDIRECT($C$5&amp;"生成成长"),2))/((VLOOKUP($B183,INDIRECT($B$5&amp;"生成成长"),4))/(VLOOKUP(BS$72,INDIRECT($C$5&amp;"生成成长"),5))*(VLOOKUP($B$5,标准坦克设计!$B$24:$U$30,MATCH("对"&amp;LEFT($C$5,2)&amp;"输出",标准坦克设计!$B$23:$U$23,0)))*(VLOOKUP($B183,INDIRECT($B$5&amp;"生成成长"),3))*(VLOOKUP($B$5,标准坦克设计!$B$14:$K$20,9)/30))</f>
        <v>2.3941762763391421</v>
      </c>
      <c r="BT183" s="172">
        <f ca="1">(VLOOKUP(BT$72,INDIRECT($C$5&amp;"生成成长"),2))/((VLOOKUP($B183,INDIRECT($B$5&amp;"生成成长"),4))/(VLOOKUP(BT$72,INDIRECT($C$5&amp;"生成成长"),5))*(VLOOKUP($B$5,标准坦克设计!$B$24:$U$30,MATCH("对"&amp;LEFT($C$5,2)&amp;"输出",标准坦克设计!$B$23:$U$23,0)))*(VLOOKUP($B183,INDIRECT($B$5&amp;"生成成长"),3))*(VLOOKUP($B$5,标准坦克设计!$B$14:$K$20,9)/30))</f>
        <v>2.5919610037195167</v>
      </c>
      <c r="BU183" s="172">
        <f ca="1">(VLOOKUP(BU$72,INDIRECT($C$5&amp;"生成成长"),2))/((VLOOKUP($B183,INDIRECT($B$5&amp;"生成成长"),4))/(VLOOKUP(BU$72,INDIRECT($C$5&amp;"生成成长"),5))*(VLOOKUP($B$5,标准坦克设计!$B$24:$U$30,MATCH("对"&amp;LEFT($C$5,2)&amp;"输出",标准坦克设计!$B$23:$U$23,0)))*(VLOOKUP($B183,INDIRECT($B$5&amp;"生成成长"),3))*(VLOOKUP($B$5,标准坦克设计!$B$14:$K$20,9)/30))</f>
        <v>2.7975943313927631</v>
      </c>
      <c r="BV183" s="172">
        <f ca="1">(VLOOKUP(BV$72,INDIRECT($C$5&amp;"生成成长"),2))/((VLOOKUP($B183,INDIRECT($B$5&amp;"生成成长"),4))/(VLOOKUP(BV$72,INDIRECT($C$5&amp;"生成成长"),5))*(VLOOKUP($B$5,标准坦克设计!$B$24:$U$30,MATCH("对"&amp;LEFT($C$5,2)&amp;"输出",标准坦克设计!$B$23:$U$23,0)))*(VLOOKUP($B183,INDIRECT($B$5&amp;"生成成长"),3))*(VLOOKUP($B$5,标准坦克设计!$B$14:$K$20,9)/30))</f>
        <v>3.0110762593588825</v>
      </c>
      <c r="BW183" s="172">
        <f ca="1">(VLOOKUP(BW$72,INDIRECT($C$5&amp;"生成成长"),2))/((VLOOKUP($B183,INDIRECT($B$5&amp;"生成成长"),4))/(VLOOKUP(BW$72,INDIRECT($C$5&amp;"生成成长"),5))*(VLOOKUP($B$5,标准坦克设计!$B$24:$U$30,MATCH("对"&amp;LEFT($C$5,2)&amp;"输出",标准坦克设计!$B$23:$U$23,0)))*(VLOOKUP($B183,INDIRECT($B$5&amp;"生成成长"),3))*(VLOOKUP($B$5,标准坦克设计!$B$14:$K$20,9)/30))</f>
        <v>1.3722885182072069</v>
      </c>
      <c r="BX183" s="172">
        <f ca="1">(VLOOKUP(BX$72,INDIRECT($C$5&amp;"生成成长"),2))/((VLOOKUP($B183,INDIRECT($B$5&amp;"生成成长"),4))/(VLOOKUP(BX$72,INDIRECT($C$5&amp;"生成成长"),5))*(VLOOKUP($B$5,标准坦克设计!$B$24:$U$30,MATCH("对"&amp;LEFT($C$5,2)&amp;"输出",标准坦克设计!$B$23:$U$23,0)))*(VLOOKUP($B183,INDIRECT($B$5&amp;"生成成长"),3))*(VLOOKUP($B$5,标准坦克设计!$B$14:$K$20,9)/30))</f>
        <v>1.5229816438303492</v>
      </c>
      <c r="BY183" s="172">
        <f ca="1">(VLOOKUP(BY$72,INDIRECT($C$5&amp;"生成成长"),2))/((VLOOKUP($B183,INDIRECT($B$5&amp;"生成成长"),4))/(VLOOKUP(BY$72,INDIRECT($C$5&amp;"生成成长"),5))*(VLOOKUP($B$5,标准坦克设计!$B$24:$U$30,MATCH("对"&amp;LEFT($C$5,2)&amp;"输出",标准坦克设计!$B$23:$U$23,0)))*(VLOOKUP($B183,INDIRECT($B$5&amp;"生成成长"),3))*(VLOOKUP($B$5,标准坦克设计!$B$14:$K$20,9)/30))</f>
        <v>1.6815233697463638</v>
      </c>
      <c r="BZ183" s="172">
        <f ca="1">(VLOOKUP(BZ$72,INDIRECT($C$5&amp;"生成成长"),2))/((VLOOKUP($B183,INDIRECT($B$5&amp;"生成成长"),4))/(VLOOKUP(BZ$72,INDIRECT($C$5&amp;"生成成长"),5))*(VLOOKUP($B$5,标准坦克设计!$B$24:$U$30,MATCH("对"&amp;LEFT($C$5,2)&amp;"输出",标准坦克设计!$B$23:$U$23,0)))*(VLOOKUP($B183,INDIRECT($B$5&amp;"生成成长"),3))*(VLOOKUP($B$5,标准坦克设计!$B$14:$K$20,9)/30))</f>
        <v>1.84791369595525</v>
      </c>
      <c r="CA183" s="172">
        <f ca="1">(VLOOKUP(CA$72,INDIRECT($C$5&amp;"生成成长"),2))/((VLOOKUP($B183,INDIRECT($B$5&amp;"生成成长"),4))/(VLOOKUP(CA$72,INDIRECT($C$5&amp;"生成成长"),5))*(VLOOKUP($B$5,标准坦克设计!$B$24:$U$30,MATCH("对"&amp;LEFT($C$5,2)&amp;"输出",标准坦克设计!$B$23:$U$23,0)))*(VLOOKUP($B183,INDIRECT($B$5&amp;"生成成长"),3))*(VLOOKUP($B$5,标准坦克设计!$B$14:$K$20,9)/30))</f>
        <v>2.0221526224570092</v>
      </c>
      <c r="CB183" s="172">
        <f ca="1">(VLOOKUP(CB$72,INDIRECT($C$5&amp;"生成成长"),2))/((VLOOKUP($B183,INDIRECT($B$5&amp;"生成成长"),4))/(VLOOKUP(CB$72,INDIRECT($C$5&amp;"生成成长"),5))*(VLOOKUP($B$5,标准坦克设计!$B$24:$U$30,MATCH("对"&amp;LEFT($C$5,2)&amp;"输出",标准坦克设计!$B$23:$U$23,0)))*(VLOOKUP($B183,INDIRECT($B$5&amp;"生成成长"),3))*(VLOOKUP($B$5,标准坦克设计!$B$14:$K$20,9)/30))</f>
        <v>2.2042401492516395</v>
      </c>
      <c r="CC183" s="172">
        <f ca="1">(VLOOKUP(CC$72,INDIRECT($C$5&amp;"生成成长"),2))/((VLOOKUP($B183,INDIRECT($B$5&amp;"生成成长"),4))/(VLOOKUP(CC$72,INDIRECT($C$5&amp;"生成成长"),5))*(VLOOKUP($B$5,标准坦克设计!$B$24:$U$30,MATCH("对"&amp;LEFT($C$5,2)&amp;"输出",标准坦克设计!$B$23:$U$23,0)))*(VLOOKUP($B183,INDIRECT($B$5&amp;"生成成长"),3))*(VLOOKUP($B$5,标准坦克设计!$B$14:$K$20,9)/30))</f>
        <v>2.3941762763391421</v>
      </c>
      <c r="CD183" s="172">
        <f ca="1">(VLOOKUP(CD$72,INDIRECT($C$5&amp;"生成成长"),2))/((VLOOKUP($B183,INDIRECT($B$5&amp;"生成成长"),4))/(VLOOKUP(CD$72,INDIRECT($C$5&amp;"生成成长"),5))*(VLOOKUP($B$5,标准坦克设计!$B$24:$U$30,MATCH("对"&amp;LEFT($C$5,2)&amp;"输出",标准坦克设计!$B$23:$U$23,0)))*(VLOOKUP($B183,INDIRECT($B$5&amp;"生成成长"),3))*(VLOOKUP($B$5,标准坦克设计!$B$14:$K$20,9)/30))</f>
        <v>2.5919610037195167</v>
      </c>
      <c r="CE183" s="172">
        <f ca="1">(VLOOKUP(CE$72,INDIRECT($C$5&amp;"生成成长"),2))/((VLOOKUP($B183,INDIRECT($B$5&amp;"生成成长"),4))/(VLOOKUP(CE$72,INDIRECT($C$5&amp;"生成成长"),5))*(VLOOKUP($B$5,标准坦克设计!$B$24:$U$30,MATCH("对"&amp;LEFT($C$5,2)&amp;"输出",标准坦克设计!$B$23:$U$23,0)))*(VLOOKUP($B183,INDIRECT($B$5&amp;"生成成长"),3))*(VLOOKUP($B$5,标准坦克设计!$B$14:$K$20,9)/30))</f>
        <v>2.7975943313927631</v>
      </c>
      <c r="CF183" s="172">
        <f ca="1">(VLOOKUP(CF$72,INDIRECT($C$5&amp;"生成成长"),2))/((VLOOKUP($B183,INDIRECT($B$5&amp;"生成成长"),4))/(VLOOKUP(CF$72,INDIRECT($C$5&amp;"生成成长"),5))*(VLOOKUP($B$5,标准坦克设计!$B$24:$U$30,MATCH("对"&amp;LEFT($C$5,2)&amp;"输出",标准坦克设计!$B$23:$U$23,0)))*(VLOOKUP($B183,INDIRECT($B$5&amp;"生成成长"),3))*(VLOOKUP($B$5,标准坦克设计!$B$14:$K$20,9)/30))</f>
        <v>3.0110762593588825</v>
      </c>
      <c r="CG183" s="172">
        <f ca="1">(VLOOKUP(CG$72,INDIRECT($C$5&amp;"生成成长"),2))/((VLOOKUP($B183,INDIRECT($B$5&amp;"生成成长"),4))/(VLOOKUP(CG$72,INDIRECT($C$5&amp;"生成成长"),5))*(VLOOKUP($B$5,标准坦克设计!$B$24:$U$30,MATCH("对"&amp;LEFT($C$5,2)&amp;"输出",标准坦克设计!$B$23:$U$23,0)))*(VLOOKUP($B183,INDIRECT($B$5&amp;"生成成长"),3))*(VLOOKUP($B$5,标准坦克设计!$B$14:$K$20,9)/30))</f>
        <v>3.2324067876178728</v>
      </c>
      <c r="CH183" s="172">
        <f ca="1">(VLOOKUP(CH$72,INDIRECT($C$5&amp;"生成成长"),2))/((VLOOKUP($B183,INDIRECT($B$5&amp;"生成成长"),4))/(VLOOKUP(CH$72,INDIRECT($C$5&amp;"生成成长"),5))*(VLOOKUP($B$5,标准坦克设计!$B$24:$U$30,MATCH("对"&amp;LEFT($C$5,2)&amp;"输出",标准坦克设计!$B$23:$U$23,0)))*(VLOOKUP($B183,INDIRECT($B$5&amp;"生成成长"),3))*(VLOOKUP($B$5,标准坦克设计!$B$14:$K$20,9)/30))</f>
        <v>3.4615859161697355</v>
      </c>
      <c r="CI183" s="172">
        <f ca="1">(VLOOKUP(CI$72,INDIRECT($C$5&amp;"生成成长"),2))/((VLOOKUP($B183,INDIRECT($B$5&amp;"生成成长"),4))/(VLOOKUP(CI$72,INDIRECT($C$5&amp;"生成成长"),5))*(VLOOKUP($B$5,标准坦克设计!$B$24:$U$30,MATCH("对"&amp;LEFT($C$5,2)&amp;"输出",标准坦克设计!$B$23:$U$23,0)))*(VLOOKUP($B183,INDIRECT($B$5&amp;"生成成长"),3))*(VLOOKUP($B$5,标准坦克设计!$B$14:$K$20,9)/30))</f>
        <v>3.7227480909150521</v>
      </c>
      <c r="CJ183" s="172">
        <f ca="1">(VLOOKUP(CJ$72,INDIRECT($C$5&amp;"生成成长"),2))/((VLOOKUP($B183,INDIRECT($B$5&amp;"生成成长"),4))/(VLOOKUP(CJ$72,INDIRECT($C$5&amp;"生成成长"),5))*(VLOOKUP($B$5,标准坦克设计!$B$24:$U$30,MATCH("对"&amp;LEFT($C$5,2)&amp;"输出",标准坦克设计!$B$23:$U$23,0)))*(VLOOKUP($B183,INDIRECT($B$5&amp;"生成成长"),3))*(VLOOKUP($B$5,标准坦克设计!$B$14:$K$20,9)/30))</f>
        <v>3.9934070720147425</v>
      </c>
      <c r="CK183" s="172">
        <f ca="1">(VLOOKUP(CK$72,INDIRECT($C$5&amp;"生成成长"),2))/((VLOOKUP($B183,INDIRECT($B$5&amp;"生成成长"),4))/(VLOOKUP(CK$72,INDIRECT($C$5&amp;"生成成长"),5))*(VLOOKUP($B$5,标准坦克设计!$B$24:$U$30,MATCH("对"&amp;LEFT($C$5,2)&amp;"输出",标准坦克设计!$B$23:$U$23,0)))*(VLOOKUP($B183,INDIRECT($B$5&amp;"生成成长"),3))*(VLOOKUP($B$5,标准坦克设计!$B$14:$K$20,9)/30))</f>
        <v>4.2735628594688091</v>
      </c>
      <c r="CL183" s="172">
        <f ca="1">(VLOOKUP(CL$72,INDIRECT($C$5&amp;"生成成长"),2))/((VLOOKUP($B183,INDIRECT($B$5&amp;"生成成长"),4))/(VLOOKUP(CL$72,INDIRECT($C$5&amp;"生成成长"),5))*(VLOOKUP($B$5,标准坦克设计!$B$24:$U$30,MATCH("对"&amp;LEFT($C$5,2)&amp;"输出",标准坦克设计!$B$23:$U$23,0)))*(VLOOKUP($B183,INDIRECT($B$5&amp;"生成成长"),3))*(VLOOKUP($B$5,标准坦克设计!$B$14:$K$20,9)/30))</f>
        <v>4.5632154532772509</v>
      </c>
      <c r="CM183" s="172">
        <f ca="1">(VLOOKUP(CM$72,INDIRECT($C$5&amp;"生成成长"),2))/((VLOOKUP($B183,INDIRECT($B$5&amp;"生成成长"),4))/(VLOOKUP(CM$72,INDIRECT($C$5&amp;"生成成长"),5))*(VLOOKUP($B$5,标准坦克设计!$B$24:$U$30,MATCH("对"&amp;LEFT($C$5,2)&amp;"输出",标准坦克设计!$B$23:$U$23,0)))*(VLOOKUP($B183,INDIRECT($B$5&amp;"生成成长"),3))*(VLOOKUP($B$5,标准坦克设计!$B$14:$K$20,9)/30))</f>
        <v>4.8623648534400683</v>
      </c>
      <c r="CN183" s="172">
        <f ca="1">(VLOOKUP(CN$72,INDIRECT($C$5&amp;"生成成长"),2))/((VLOOKUP($B183,INDIRECT($B$5&amp;"生成成长"),4))/(VLOOKUP(CN$72,INDIRECT($C$5&amp;"生成成长"),5))*(VLOOKUP($B$5,标准坦克设计!$B$24:$U$30,MATCH("对"&amp;LEFT($C$5,2)&amp;"输出",标准坦克设计!$B$23:$U$23,0)))*(VLOOKUP($B183,INDIRECT($B$5&amp;"生成成长"),3))*(VLOOKUP($B$5,标准坦克设计!$B$14:$K$20,9)/30))</f>
        <v>5.1710110599572587</v>
      </c>
      <c r="CO183" s="172">
        <f ca="1">(VLOOKUP(CO$72,INDIRECT($C$5&amp;"生成成长"),2))/((VLOOKUP($B183,INDIRECT($B$5&amp;"生成成长"),4))/(VLOOKUP(CO$72,INDIRECT($C$5&amp;"生成成长"),5))*(VLOOKUP($B$5,标准坦克设计!$B$24:$U$30,MATCH("对"&amp;LEFT($C$5,2)&amp;"输出",标准坦克设计!$B$23:$U$23,0)))*(VLOOKUP($B183,INDIRECT($B$5&amp;"生成成长"),3))*(VLOOKUP($B$5,标准坦克设计!$B$14:$K$20,9)/30))</f>
        <v>2.3172599934689968</v>
      </c>
      <c r="CP183" s="172">
        <f ca="1">(VLOOKUP(CP$72,INDIRECT($C$5&amp;"生成成长"),2))/((VLOOKUP($B183,INDIRECT($B$5&amp;"生成成长"),4))/(VLOOKUP(CP$72,INDIRECT($C$5&amp;"生成成长"),5))*(VLOOKUP($B$5,标准坦克设计!$B$24:$U$30,MATCH("对"&amp;LEFT($C$5,2)&amp;"输出",标准坦克设计!$B$23:$U$23,0)))*(VLOOKUP($B183,INDIRECT($B$5&amp;"生成成长"),3))*(VLOOKUP($B$5,标准坦克设计!$B$14:$K$20,9)/30))</f>
        <v>2.5318014824746533</v>
      </c>
      <c r="CQ183" s="172">
        <f ca="1">(VLOOKUP(CQ$72,INDIRECT($C$5&amp;"生成成长"),2))/((VLOOKUP($B183,INDIRECT($B$5&amp;"生成成长"),4))/(VLOOKUP(CQ$72,INDIRECT($C$5&amp;"生成成长"),5))*(VLOOKUP($B$5,标准坦克设计!$B$24:$U$30,MATCH("对"&amp;LEFT($C$5,2)&amp;"输出",标准坦克设计!$B$23:$U$23,0)))*(VLOOKUP($B183,INDIRECT($B$5&amp;"生成成长"),3))*(VLOOKUP($B$5,标准坦克设计!$B$14:$K$20,9)/30))</f>
        <v>2.7558397778346841</v>
      </c>
      <c r="CR183" s="172">
        <f ca="1">(VLOOKUP(CR$72,INDIRECT($C$5&amp;"生成成长"),2))/((VLOOKUP($B183,INDIRECT($B$5&amp;"生成成长"),4))/(VLOOKUP(CR$72,INDIRECT($C$5&amp;"生成成长"),5))*(VLOOKUP($B$5,标准坦克设计!$B$24:$U$30,MATCH("对"&amp;LEFT($C$5,2)&amp;"输出",标准坦克设计!$B$23:$U$23,0)))*(VLOOKUP($B183,INDIRECT($B$5&amp;"生成成长"),3))*(VLOOKUP($B$5,标准坦克设计!$B$14:$K$20,9)/30))</f>
        <v>2.9893748795490915</v>
      </c>
      <c r="CS183" s="172">
        <f ca="1">(VLOOKUP(CS$72,INDIRECT($C$5&amp;"生成成长"),2))/((VLOOKUP($B183,INDIRECT($B$5&amp;"生成成长"),4))/(VLOOKUP(CS$72,INDIRECT($C$5&amp;"生成成长"),5))*(VLOOKUP($B$5,标准坦克设计!$B$24:$U$30,MATCH("对"&amp;LEFT($C$5,2)&amp;"输出",标准坦克设计!$B$23:$U$23,0)))*(VLOOKUP($B183,INDIRECT($B$5&amp;"生成成长"),3))*(VLOOKUP($B$5,标准坦克设计!$B$14:$K$20,9)/30))</f>
        <v>3.2324067876178728</v>
      </c>
      <c r="CT183" s="172">
        <f ca="1">(VLOOKUP(CT$72,INDIRECT($C$5&amp;"生成成长"),2))/((VLOOKUP($B183,INDIRECT($B$5&amp;"生成成长"),4))/(VLOOKUP(CT$72,INDIRECT($C$5&amp;"生成成长"),5))*(VLOOKUP($B$5,标准坦克设计!$B$24:$U$30,MATCH("对"&amp;LEFT($C$5,2)&amp;"输出",标准坦克设计!$B$23:$U$23,0)))*(VLOOKUP($B183,INDIRECT($B$5&amp;"生成成长"),3))*(VLOOKUP($B$5,标准坦克设计!$B$14:$K$20,9)/30))</f>
        <v>3.4849355020410302</v>
      </c>
      <c r="CU183" s="172">
        <f ca="1">(VLOOKUP(CU$72,INDIRECT($C$5&amp;"生成成长"),2))/((VLOOKUP($B183,INDIRECT($B$5&amp;"生成成长"),4))/(VLOOKUP(CU$72,INDIRECT($C$5&amp;"生成成长"),5))*(VLOOKUP($B$5,标准坦克设计!$B$24:$U$30,MATCH("对"&amp;LEFT($C$5,2)&amp;"输出",标准坦克设计!$B$23:$U$23,0)))*(VLOOKUP($B183,INDIRECT($B$5&amp;"生成成长"),3))*(VLOOKUP($B$5,标准坦克设计!$B$14:$K$20,9)/30))</f>
        <v>3.7469610228185619</v>
      </c>
      <c r="CV183" s="172">
        <f ca="1">(VLOOKUP(CV$72,INDIRECT($C$5&amp;"生成成长"),2))/((VLOOKUP($B183,INDIRECT($B$5&amp;"生成成长"),4))/(VLOOKUP(CV$72,INDIRECT($C$5&amp;"生成成长"),5))*(VLOOKUP($B$5,标准坦克设计!$B$24:$U$30,MATCH("对"&amp;LEFT($C$5,2)&amp;"输出",标准坦克设计!$B$23:$U$23,0)))*(VLOOKUP($B183,INDIRECT($B$5&amp;"生成成长"),3))*(VLOOKUP($B$5,标准坦克设计!$B$14:$K$20,9)/30))</f>
        <v>4.0184833499504693</v>
      </c>
      <c r="CW183" s="172">
        <f ca="1">(VLOOKUP(CW$72,INDIRECT($C$5&amp;"生成成长"),2))/((VLOOKUP($B183,INDIRECT($B$5&amp;"生成成长"),4))/(VLOOKUP(CW$72,INDIRECT($C$5&amp;"生成成长"),5))*(VLOOKUP($B$5,标准坦克设计!$B$24:$U$30,MATCH("对"&amp;LEFT($C$5,2)&amp;"输出",标准坦克设计!$B$23:$U$23,0)))*(VLOOKUP($B183,INDIRECT($B$5&amp;"生成成长"),3))*(VLOOKUP($B$5,标准坦克设计!$B$14:$K$20,9)/30))</f>
        <v>4.2995024834367515</v>
      </c>
      <c r="CX183" s="172">
        <f ca="1">(VLOOKUP(CX$72,INDIRECT($C$5&amp;"生成成长"),2))/((VLOOKUP($B183,INDIRECT($B$5&amp;"生成成长"),4))/(VLOOKUP(CX$72,INDIRECT($C$5&amp;"生成成长"),5))*(VLOOKUP($B$5,标准坦克设计!$B$24:$U$30,MATCH("对"&amp;LEFT($C$5,2)&amp;"输出",标准坦克设计!$B$23:$U$23,0)))*(VLOOKUP($B183,INDIRECT($B$5&amp;"生成成长"),3))*(VLOOKUP($B$5,标准坦克设计!$B$14:$K$20,9)/30))</f>
        <v>4.5900184232774084</v>
      </c>
      <c r="CY183" s="172">
        <f ca="1">(VLOOKUP(CY$72,INDIRECT($C$5&amp;"生成成长"),2))/((VLOOKUP($B183,INDIRECT($B$5&amp;"生成成长"),4))/(VLOOKUP(CY$72,INDIRECT($C$5&amp;"生成成长"),5))*(VLOOKUP($B$5,标准坦克设计!$B$24:$U$30,MATCH("对"&amp;LEFT($C$5,2)&amp;"输出",标准坦克设计!$B$23:$U$23,0)))*(VLOOKUP($B183,INDIRECT($B$5&amp;"生成成长"),3))*(VLOOKUP($B$5,标准坦克设计!$B$14:$K$20,9)/30))</f>
        <v>4.890031169472441</v>
      </c>
      <c r="CZ183" s="172">
        <f ca="1">(VLOOKUP(CZ$72,INDIRECT($C$5&amp;"生成成长"),2))/((VLOOKUP($B183,INDIRECT($B$5&amp;"生成成长"),4))/(VLOOKUP(CZ$72,INDIRECT($C$5&amp;"生成成长"),5))*(VLOOKUP($B$5,标准坦克设计!$B$24:$U$30,MATCH("对"&amp;LEFT($C$5,2)&amp;"输出",标准坦克设计!$B$23:$U$23,0)))*(VLOOKUP($B183,INDIRECT($B$5&amp;"生成成长"),3))*(VLOOKUP($B$5,标准坦克设计!$B$14:$K$20,9)/30))</f>
        <v>5.1995407220218492</v>
      </c>
      <c r="DA183" s="172">
        <f ca="1">(VLOOKUP(DA$72,INDIRECT($C$5&amp;"生成成长"),2))/((VLOOKUP($B183,INDIRECT($B$5&amp;"生成成长"),4))/(VLOOKUP(DA$72,INDIRECT($C$5&amp;"生成成长"),5))*(VLOOKUP($B$5,标准坦克设计!$B$24:$U$30,MATCH("对"&amp;LEFT($C$5,2)&amp;"输出",标准坦克设计!$B$23:$U$23,0)))*(VLOOKUP($B183,INDIRECT($B$5&amp;"生成成长"),3))*(VLOOKUP($B$5,标准坦克设计!$B$14:$K$20,9)/30))</f>
        <v>5.5185470809256323</v>
      </c>
      <c r="DB183" s="172">
        <f ca="1">(VLOOKUP(DB$72,INDIRECT($C$5&amp;"生成成长"),2))/((VLOOKUP($B183,INDIRECT($B$5&amp;"生成成长"),4))/(VLOOKUP(DB$72,INDIRECT($C$5&amp;"生成成长"),5))*(VLOOKUP($B$5,标准坦克设计!$B$24:$U$30,MATCH("对"&amp;LEFT($C$5,2)&amp;"输出",标准坦克设计!$B$23:$U$23,0)))*(VLOOKUP($B183,INDIRECT($B$5&amp;"生成成长"),3))*(VLOOKUP($B$5,标准坦克设计!$B$14:$K$20,9)/30))</f>
        <v>5.847050246183791</v>
      </c>
      <c r="DC183" s="172">
        <f ca="1">(VLOOKUP(DC$72,INDIRECT($C$5&amp;"生成成长"),2))/((VLOOKUP($B183,INDIRECT($B$5&amp;"生成成长"),4))/(VLOOKUP(DC$72,INDIRECT($C$5&amp;"生成成长"),5))*(VLOOKUP($B$5,标准坦克设计!$B$24:$U$30,MATCH("对"&amp;LEFT($C$5,2)&amp;"输出",标准坦克设计!$B$23:$U$23,0)))*(VLOOKUP($B183,INDIRECT($B$5&amp;"生成成长"),3))*(VLOOKUP($B$5,标准坦克设计!$B$14:$K$20,9)/30))</f>
        <v>6.2162484039604893</v>
      </c>
      <c r="DD183" s="172">
        <f ca="1">(VLOOKUP(DD$72,INDIRECT($C$5&amp;"生成成长"),2))/((VLOOKUP($B183,INDIRECT($B$5&amp;"生成成长"),4))/(VLOOKUP(DD$72,INDIRECT($C$5&amp;"生成成长"),5))*(VLOOKUP($B$5,标准坦克设计!$B$24:$U$30,MATCH("对"&amp;LEFT($C$5,2)&amp;"输出",标准坦克设计!$B$23:$U$23,0)))*(VLOOKUP($B183,INDIRECT($B$5&amp;"生成成长"),3))*(VLOOKUP($B$5,标准坦克设计!$B$14:$K$20,9)/30))</f>
        <v>6.5967485461589241</v>
      </c>
      <c r="DE183" s="172">
        <f ca="1">(VLOOKUP(DE$72,INDIRECT($C$5&amp;"生成成长"),2))/((VLOOKUP($B183,INDIRECT($B$5&amp;"生成成长"),4))/(VLOOKUP(DE$72,INDIRECT($C$5&amp;"生成成长"),5))*(VLOOKUP($B$5,标准坦克设计!$B$24:$U$30,MATCH("对"&amp;LEFT($C$5,2)&amp;"输出",标准坦克设计!$B$23:$U$23,0)))*(VLOOKUP($B183,INDIRECT($B$5&amp;"生成成长"),3))*(VLOOKUP($B$5,标准坦克设计!$B$14:$K$20,9)/30))</f>
        <v>6.9885506727790956</v>
      </c>
      <c r="DF183" s="172">
        <f ca="1">(VLOOKUP(DF$72,INDIRECT($C$5&amp;"生成成长"),2))/((VLOOKUP($B183,INDIRECT($B$5&amp;"生成成长"),4))/(VLOOKUP(DF$72,INDIRECT($C$5&amp;"生成成长"),5))*(VLOOKUP($B$5,标准坦克设计!$B$24:$U$30,MATCH("对"&amp;LEFT($C$5,2)&amp;"输出",标准坦克设计!$B$23:$U$23,0)))*(VLOOKUP($B183,INDIRECT($B$5&amp;"生成成长"),3))*(VLOOKUP($B$5,标准坦克设计!$B$14:$K$20,9)/30))</f>
        <v>7.3916547838210001</v>
      </c>
      <c r="DG183" s="172">
        <f ca="1">(VLOOKUP(DG$72,INDIRECT($C$5&amp;"生成成长"),2))/((VLOOKUP($B183,INDIRECT($B$5&amp;"生成成长"),4))/(VLOOKUP(DG$72,INDIRECT($C$5&amp;"生成成长"),5))*(VLOOKUP($B$5,标准坦克设计!$B$24:$U$30,MATCH("对"&amp;LEFT($C$5,2)&amp;"输出",标准坦克设计!$B$23:$U$23,0)))*(VLOOKUP($B183,INDIRECT($B$5&amp;"生成成长"),3))*(VLOOKUP($B$5,标准坦克设计!$B$14:$K$20,9)/30))</f>
        <v>7.8060608792846446</v>
      </c>
      <c r="DH183" s="172">
        <f ca="1">(VLOOKUP(DH$72,INDIRECT($C$5&amp;"生成成长"),2))/((VLOOKUP($B183,INDIRECT($B$5&amp;"生成成长"),4))/(VLOOKUP(DH$72,INDIRECT($C$5&amp;"生成成长"),5))*(VLOOKUP($B$5,标准坦克设计!$B$24:$U$30,MATCH("对"&amp;LEFT($C$5,2)&amp;"输出",标准坦克设计!$B$23:$U$23,0)))*(VLOOKUP($B183,INDIRECT($B$5&amp;"生成成长"),3))*(VLOOKUP($B$5,标准坦克设计!$B$14:$K$20,9)/30))</f>
        <v>8.2317689591700205</v>
      </c>
      <c r="DI183" s="172">
        <f ca="1">(VLOOKUP(DI$72,INDIRECT($C$5&amp;"生成成长"),2))/((VLOOKUP($B183,INDIRECT($B$5&amp;"生成成长"),4))/(VLOOKUP(DI$72,INDIRECT($C$5&amp;"生成成长"),5))*(VLOOKUP($B$5,标准坦克设计!$B$24:$U$30,MATCH("对"&amp;LEFT($C$5,2)&amp;"输出",标准坦克设计!$B$23:$U$23,0)))*(VLOOKUP($B183,INDIRECT($B$5&amp;"生成成长"),3))*(VLOOKUP($B$5,标准坦克设计!$B$14:$K$20,9)/30))</f>
        <v>8.6687790234771338</v>
      </c>
      <c r="DJ183" s="172">
        <f ca="1">(VLOOKUP(DJ$72,INDIRECT($C$5&amp;"生成成长"),2))/((VLOOKUP($B183,INDIRECT($B$5&amp;"生成成长"),4))/(VLOOKUP(DJ$72,INDIRECT($C$5&amp;"生成成长"),5))*(VLOOKUP($B$5,标准坦克设计!$B$24:$U$30,MATCH("对"&amp;LEFT($C$5,2)&amp;"输出",标准坦克设计!$B$23:$U$23,0)))*(VLOOKUP($B183,INDIRECT($B$5&amp;"生成成长"),3))*(VLOOKUP($B$5,标准坦克设计!$B$14:$K$20,9)/30))</f>
        <v>0.87123387551025755</v>
      </c>
      <c r="DK183" s="172">
        <f ca="1">(VLOOKUP(DK$72,INDIRECT($C$5&amp;"生成成长"),2))/((VLOOKUP($B183,INDIRECT($B$5&amp;"生成成长"),4))/(VLOOKUP(DK$72,INDIRECT($C$5&amp;"生成成长"),5))*(VLOOKUP($B$5,标准坦克设计!$B$24:$U$30,MATCH("对"&amp;LEFT($C$5,2)&amp;"输出",标准坦克设计!$B$23:$U$23,0)))*(VLOOKUP($B183,INDIRECT($B$5&amp;"生成成长"),3))*(VLOOKUP($B$5,标准坦克设计!$B$14:$K$20,9)/30))</f>
        <v>0.97966228855628446</v>
      </c>
      <c r="DL183" s="172">
        <f ca="1">(VLOOKUP(DL$72,INDIRECT($C$5&amp;"生成成长"),2))/((VLOOKUP($B183,INDIRECT($B$5&amp;"生成成长"),4))/(VLOOKUP(DL$72,INDIRECT($C$5&amp;"生成成长"),5))*(VLOOKUP($B$5,标准坦克设计!$B$24:$U$30,MATCH("对"&amp;LEFT($C$5,2)&amp;"输出",标准坦克设计!$B$23:$U$23,0)))*(VLOOKUP($B183,INDIRECT($B$5&amp;"生成成长"),3))*(VLOOKUP($B$5,标准坦克设计!$B$14:$K$20,9)/30))</f>
        <v>1.0944480678395372</v>
      </c>
      <c r="DM183" s="172">
        <f ca="1">(VLOOKUP(DM$72,INDIRECT($C$5&amp;"生成成长"),2))/((VLOOKUP($B183,INDIRECT($B$5&amp;"生成成长"),4))/(VLOOKUP(DM$72,INDIRECT($C$5&amp;"生成成长"),5))*(VLOOKUP($B$5,标准坦克设计!$B$24:$U$30,MATCH("对"&amp;LEFT($C$5,2)&amp;"输出",标准坦克设计!$B$23:$U$23,0)))*(VLOOKUP($B183,INDIRECT($B$5&amp;"生成成长"),3))*(VLOOKUP($B$5,标准坦克设计!$B$14:$K$20,9)/30))</f>
        <v>1.2155912133600171</v>
      </c>
      <c r="DN183" s="172">
        <f ca="1">(VLOOKUP(DN$72,INDIRECT($C$5&amp;"生成成长"),2))/((VLOOKUP($B183,INDIRECT($B$5&amp;"生成成长"),4))/(VLOOKUP(DN$72,INDIRECT($C$5&amp;"生成成长"),5))*(VLOOKUP($B$5,标准坦克设计!$B$24:$U$30,MATCH("对"&amp;LEFT($C$5,2)&amp;"输出",标准坦克设计!$B$23:$U$23,0)))*(VLOOKUP($B183,INDIRECT($B$5&amp;"生成成长"),3))*(VLOOKUP($B$5,标准坦克设计!$B$14:$K$20,9)/30))</f>
        <v>1.3430917251177228</v>
      </c>
      <c r="DO183" s="172">
        <f ca="1">(VLOOKUP(DO$72,INDIRECT($C$5&amp;"生成成长"),2))/((VLOOKUP($B183,INDIRECT($B$5&amp;"生成成长"),4))/(VLOOKUP(DO$72,INDIRECT($C$5&amp;"生成成长"),5))*(VLOOKUP($B$5,标准坦克设计!$B$24:$U$30,MATCH("对"&amp;LEFT($C$5,2)&amp;"输出",标准坦克设计!$B$23:$U$23,0)))*(VLOOKUP($B183,INDIRECT($B$5&amp;"生成成长"),3))*(VLOOKUP($B$5,标准坦克设计!$B$14:$K$20,9)/30))</f>
        <v>1.476949603112655</v>
      </c>
      <c r="DP183" s="172">
        <f ca="1">(VLOOKUP(DP$72,INDIRECT($C$5&amp;"生成成长"),2))/((VLOOKUP($B183,INDIRECT($B$5&amp;"生成成长"),4))/(VLOOKUP(DP$72,INDIRECT($C$5&amp;"生成成长"),5))*(VLOOKUP($B$5,标准坦克设计!$B$24:$U$30,MATCH("对"&amp;LEFT($C$5,2)&amp;"输出",标准坦克设计!$B$23:$U$23,0)))*(VLOOKUP($B183,INDIRECT($B$5&amp;"生成成长"),3))*(VLOOKUP($B$5,标准坦克设计!$B$14:$K$20,9)/30))</f>
        <v>1.6171648473448132</v>
      </c>
      <c r="DQ183" s="172">
        <f ca="1">(VLOOKUP(DQ$72,INDIRECT($C$5&amp;"生成成长"),2))/((VLOOKUP($B183,INDIRECT($B$5&amp;"生成成长"),4))/(VLOOKUP(DQ$72,INDIRECT($C$5&amp;"生成成长"),5))*(VLOOKUP($B$5,标准坦克设计!$B$24:$U$30,MATCH("对"&amp;LEFT($C$5,2)&amp;"输出",标准坦克设计!$B$23:$U$23,0)))*(VLOOKUP($B183,INDIRECT($B$5&amp;"生成成长"),3))*(VLOOKUP($B$5,标准坦克设计!$B$14:$K$20,9)/30))</f>
        <v>1.763737457814198</v>
      </c>
      <c r="DR183" s="172">
        <f ca="1">(VLOOKUP(DR$72,INDIRECT($C$5&amp;"生成成长"),2))/((VLOOKUP($B183,INDIRECT($B$5&amp;"生成成长"),4))/(VLOOKUP(DR$72,INDIRECT($C$5&amp;"生成成长"),5))*(VLOOKUP($B$5,标准坦克设计!$B$24:$U$30,MATCH("对"&amp;LEFT($C$5,2)&amp;"输出",标准坦克设计!$B$23:$U$23,0)))*(VLOOKUP($B183,INDIRECT($B$5&amp;"生成成长"),3))*(VLOOKUP($B$5,标准坦克设计!$B$14:$K$20,9)/30))</f>
        <v>1.9166674345208095</v>
      </c>
      <c r="DS183" s="172">
        <f ca="1">(VLOOKUP(DS$72,INDIRECT($C$5&amp;"生成成长"),2))/((VLOOKUP($B183,INDIRECT($B$5&amp;"生成成长"),4))/(VLOOKUP(DS$72,INDIRECT($C$5&amp;"生成成长"),5))*(VLOOKUP($B$5,标准坦克设计!$B$24:$U$30,MATCH("对"&amp;LEFT($C$5,2)&amp;"输出",标准坦克设计!$B$23:$U$23,0)))*(VLOOKUP($B183,INDIRECT($B$5&amp;"生成成长"),3))*(VLOOKUP($B$5,标准坦克设计!$B$14:$K$20,9)/30))</f>
        <v>2.0759547774646467</v>
      </c>
      <c r="DT183" s="172">
        <f ca="1">(VLOOKUP(DT$72,INDIRECT($C$5&amp;"生成成长"),2))/((VLOOKUP($B183,INDIRECT($B$5&amp;"生成成长"),4))/(VLOOKUP(DT$72,INDIRECT($C$5&amp;"生成成长"),5))*(VLOOKUP($B$5,标准坦克设计!$B$24:$U$30,MATCH("对"&amp;LEFT($C$5,2)&amp;"输出",标准坦克设计!$B$23:$U$23,0)))*(VLOOKUP($B183,INDIRECT($B$5&amp;"生成成长"),3))*(VLOOKUP($B$5,标准坦克设计!$B$14:$K$20,9)/30))</f>
        <v>2.2792727680514964</v>
      </c>
      <c r="DU183" s="172">
        <f ca="1">(VLOOKUP(DU$72,INDIRECT($C$5&amp;"生成成长"),2))/((VLOOKUP($B183,INDIRECT($B$5&amp;"生成成长"),4))/(VLOOKUP(DU$72,INDIRECT($C$5&amp;"生成成长"),5))*(VLOOKUP($B$5,标准坦克设计!$B$24:$U$30,MATCH("对"&amp;LEFT($C$5,2)&amp;"输出",标准坦克设计!$B$23:$U$23,0)))*(VLOOKUP($B183,INDIRECT($B$5&amp;"生成成长"),3))*(VLOOKUP($B$5,标准坦克设计!$B$14:$K$20,9)/30))</f>
        <v>2.4920875649927208</v>
      </c>
      <c r="DV183" s="172">
        <f ca="1">(VLOOKUP(DV$72,INDIRECT($C$5&amp;"生成成长"),2))/((VLOOKUP($B183,INDIRECT($B$5&amp;"生成成长"),4))/(VLOOKUP(DV$72,INDIRECT($C$5&amp;"生成成长"),5))*(VLOOKUP($B$5,标准坦克设计!$B$24:$U$30,MATCH("对"&amp;LEFT($C$5,2)&amp;"输出",标准坦克设计!$B$23:$U$23,0)))*(VLOOKUP($B183,INDIRECT($B$5&amp;"生成成长"),3))*(VLOOKUP($B$5,标准坦克设计!$B$14:$K$20,9)/30))</f>
        <v>2.71439916828832</v>
      </c>
      <c r="DW183" s="172">
        <f ca="1">(VLOOKUP(DW$72,INDIRECT($C$5&amp;"生成成长"),2))/((VLOOKUP($B183,INDIRECT($B$5&amp;"生成成长"),4))/(VLOOKUP(DW$72,INDIRECT($C$5&amp;"生成成长"),5))*(VLOOKUP($B$5,标准坦克设计!$B$24:$U$30,MATCH("对"&amp;LEFT($C$5,2)&amp;"输出",标准坦克设计!$B$23:$U$23,0)))*(VLOOKUP($B183,INDIRECT($B$5&amp;"生成成长"),3))*(VLOOKUP($B$5,标准坦克设计!$B$14:$K$20,9)/30))</f>
        <v>2.9462075779382952</v>
      </c>
      <c r="DX183" s="172">
        <f ca="1">(VLOOKUP(DX$72,INDIRECT($C$5&amp;"生成成长"),2))/((VLOOKUP($B183,INDIRECT($B$5&amp;"生成成长"),4))/(VLOOKUP(DX$72,INDIRECT($C$5&amp;"生成成长"),5))*(VLOOKUP($B$5,标准坦克设计!$B$24:$U$30,MATCH("对"&amp;LEFT($C$5,2)&amp;"输出",标准坦克设计!$B$23:$U$23,0)))*(VLOOKUP($B183,INDIRECT($B$5&amp;"生成成长"),3))*(VLOOKUP($B$5,标准坦克设计!$B$14:$K$20,9)/30))</f>
        <v>3.1875127939426449</v>
      </c>
      <c r="DY183" s="172">
        <f ca="1">(VLOOKUP(DY$72,INDIRECT($C$5&amp;"生成成长"),2))/((VLOOKUP($B183,INDIRECT($B$5&amp;"生成成长"),4))/(VLOOKUP(DY$72,INDIRECT($C$5&amp;"生成成长"),5))*(VLOOKUP($B$5,标准坦克设计!$B$24:$U$30,MATCH("对"&amp;LEFT($C$5,2)&amp;"输出",标准坦克设计!$B$23:$U$23,0)))*(VLOOKUP($B183,INDIRECT($B$5&amp;"生成成长"),3))*(VLOOKUP($B$5,标准坦克设计!$B$14:$K$20,9)/30))</f>
        <v>1.4316239364213188</v>
      </c>
      <c r="DZ183" s="172">
        <f ca="1">(VLOOKUP(DZ$72,INDIRECT($C$5&amp;"生成成长"),2))/((VLOOKUP($B183,INDIRECT($B$5&amp;"生成成长"),4))/(VLOOKUP(DZ$72,INDIRECT($C$5&amp;"生成成长"),5))*(VLOOKUP($B$5,标准坦克设计!$B$24:$U$30,MATCH("对"&amp;LEFT($C$5,2)&amp;"输出",标准坦克设计!$B$23:$U$23,0)))*(VLOOKUP($B183,INDIRECT($B$5&amp;"生成成长"),3))*(VLOOKUP($B$5,标准坦克设计!$B$14:$K$20,9)/30))</f>
        <v>1.5854565021616105</v>
      </c>
      <c r="EA183" s="172">
        <f ca="1">(VLOOKUP(EA$72,INDIRECT($C$5&amp;"生成成长"),2))/((VLOOKUP($B183,INDIRECT($B$5&amp;"生成成长"),4))/(VLOOKUP(EA$72,INDIRECT($C$5&amp;"生成成长"),5))*(VLOOKUP($B$5,标准坦克设计!$B$24:$U$30,MATCH("对"&amp;LEFT($C$5,2)&amp;"输出",标准坦克设计!$B$23:$U$23,0)))*(VLOOKUP($B183,INDIRECT($B$5&amp;"生成成长"),3))*(VLOOKUP($B$5,标准坦克设计!$B$14:$K$20,9)/30))</f>
        <v>1.7471376681947739</v>
      </c>
      <c r="EB183" s="172">
        <f ca="1">(VLOOKUP(EB$72,INDIRECT($C$5&amp;"生成成长"),2))/((VLOOKUP($B183,INDIRECT($B$5&amp;"生成成长"),4))/(VLOOKUP(EB$72,INDIRECT($C$5&amp;"生成成长"),5))*(VLOOKUP($B$5,标准坦克设计!$B$24:$U$30,MATCH("对"&amp;LEFT($C$5,2)&amp;"输出",标准坦克设计!$B$23:$U$23,0)))*(VLOOKUP($B183,INDIRECT($B$5&amp;"生成成长"),3))*(VLOOKUP($B$5,标准坦克设计!$B$14:$K$20,9)/30))</f>
        <v>1.9166674345208095</v>
      </c>
      <c r="EC183" s="172">
        <f ca="1">(VLOOKUP(EC$72,INDIRECT($C$5&amp;"生成成长"),2))/((VLOOKUP($B183,INDIRECT($B$5&amp;"生成成长"),4))/(VLOOKUP(EC$72,INDIRECT($C$5&amp;"生成成长"),5))*(VLOOKUP($B$5,标准坦克设计!$B$24:$U$30,MATCH("对"&amp;LEFT($C$5,2)&amp;"输出",标准坦克设计!$B$23:$U$23,0)))*(VLOOKUP($B183,INDIRECT($B$5&amp;"生成成长"),3))*(VLOOKUP($B$5,标准坦克设计!$B$14:$K$20,9)/30))</f>
        <v>2.0940458011397163</v>
      </c>
      <c r="ED183" s="172">
        <f ca="1">(VLOOKUP(ED$72,INDIRECT($C$5&amp;"生成成长"),2))/((VLOOKUP($B183,INDIRECT($B$5&amp;"生成成长"),4))/(VLOOKUP(ED$72,INDIRECT($C$5&amp;"生成成长"),5))*(VLOOKUP($B$5,标准坦克设计!$B$24:$U$30,MATCH("对"&amp;LEFT($C$5,2)&amp;"输出",标准坦克设计!$B$23:$U$23,0)))*(VLOOKUP($B183,INDIRECT($B$5&amp;"生成成长"),3))*(VLOOKUP($B$5,标准坦克设计!$B$14:$K$20,9)/30))</f>
        <v>2.2792727680514964</v>
      </c>
      <c r="EE183" s="172">
        <f ca="1">(VLOOKUP(EE$72,INDIRECT($C$5&amp;"生成成长"),2))/((VLOOKUP($B183,INDIRECT($B$5&amp;"生成成长"),4))/(VLOOKUP(EE$72,INDIRECT($C$5&amp;"生成成长"),5))*(VLOOKUP($B$5,标准坦克设计!$B$24:$U$30,MATCH("对"&amp;LEFT($C$5,2)&amp;"输出",标准坦克设计!$B$23:$U$23,0)))*(VLOOKUP($B183,INDIRECT($B$5&amp;"生成成长"),3))*(VLOOKUP($B$5,标准坦克设计!$B$14:$K$20,9)/30))</f>
        <v>2.4723483352561475</v>
      </c>
      <c r="EF183" s="172">
        <f ca="1">(VLOOKUP(EF$72,INDIRECT($C$5&amp;"生成成长"),2))/((VLOOKUP($B183,INDIRECT($B$5&amp;"生成成长"),4))/(VLOOKUP(EF$72,INDIRECT($C$5&amp;"生成成长"),5))*(VLOOKUP($B$5,标准坦克设计!$B$24:$U$30,MATCH("对"&amp;LEFT($C$5,2)&amp;"输出",标准坦克设计!$B$23:$U$23,0)))*(VLOOKUP($B183,INDIRECT($B$5&amp;"生成成长"),3))*(VLOOKUP($B$5,标准坦克设计!$B$14:$K$20,9)/30))</f>
        <v>2.673272502753671</v>
      </c>
      <c r="EG183" s="172">
        <f ca="1">(VLOOKUP(EG$72,INDIRECT($C$5&amp;"生成成长"),2))/((VLOOKUP($B183,INDIRECT($B$5&amp;"生成成长"),4))/(VLOOKUP(EG$72,INDIRECT($C$5&amp;"生成成长"),5))*(VLOOKUP($B$5,标准坦克设计!$B$24:$U$30,MATCH("对"&amp;LEFT($C$5,2)&amp;"输出",标准坦克设计!$B$23:$U$23,0)))*(VLOOKUP($B183,INDIRECT($B$5&amp;"生成成长"),3))*(VLOOKUP($B$5,标准坦克设计!$B$14:$K$20,9)/30))</f>
        <v>2.8820452705440665</v>
      </c>
      <c r="EH183" s="172">
        <f ca="1">(VLOOKUP(EH$72,INDIRECT($C$5&amp;"生成成长"),2))/((VLOOKUP($B183,INDIRECT($B$5&amp;"生成成长"),4))/(VLOOKUP(EH$72,INDIRECT($C$5&amp;"生成成长"),5))*(VLOOKUP($B$5,标准坦克设计!$B$24:$U$30,MATCH("对"&amp;LEFT($C$5,2)&amp;"输出",标准坦克设计!$B$23:$U$23,0)))*(VLOOKUP($B183,INDIRECT($B$5&amp;"生成成长"),3))*(VLOOKUP($B$5,标准坦克设计!$B$14:$K$20,9)/30))</f>
        <v>3.0986666386273338</v>
      </c>
      <c r="EI183" s="172">
        <f ca="1">(VLOOKUP(EI$72,INDIRECT($C$5&amp;"生成成长"),2))/((VLOOKUP($B183,INDIRECT($B$5&amp;"生成成长"),4))/(VLOOKUP(EI$72,INDIRECT($C$5&amp;"生成成长"),5))*(VLOOKUP($B$5,标准坦克设计!$B$24:$U$30,MATCH("对"&amp;LEFT($C$5,2)&amp;"输出",标准坦克设计!$B$23:$U$23,0)))*(VLOOKUP($B183,INDIRECT($B$5&amp;"生成成长"),3))*(VLOOKUP($B$5,标准坦克设计!$B$14:$K$20,9)/30))</f>
        <v>3.3231366070034731</v>
      </c>
      <c r="EJ183" s="172">
        <f ca="1">(VLOOKUP(EJ$72,INDIRECT($C$5&amp;"生成成长"),2))/((VLOOKUP($B183,INDIRECT($B$5&amp;"生成成长"),4))/(VLOOKUP(EJ$72,INDIRECT($C$5&amp;"生成成长"),5))*(VLOOKUP($B$5,标准坦克设计!$B$24:$U$30,MATCH("对"&amp;LEFT($C$5,2)&amp;"输出",标准坦克设计!$B$23:$U$23,0)))*(VLOOKUP($B183,INDIRECT($B$5&amp;"生成成长"),3))*(VLOOKUP($B$5,标准坦克设计!$B$14:$K$20,9)/30))</f>
        <v>3.5554551756724844</v>
      </c>
      <c r="EK183" s="172">
        <f ca="1">(VLOOKUP(EK$72,INDIRECT($C$5&amp;"生成成长"),2))/((VLOOKUP($B183,INDIRECT($B$5&amp;"生成成长"),4))/(VLOOKUP(EK$72,INDIRECT($C$5&amp;"生成成长"),5))*(VLOOKUP($B$5,标准坦克设计!$B$24:$U$30,MATCH("对"&amp;LEFT($C$5,2)&amp;"输出",标准坦克设计!$B$23:$U$23,0)))*(VLOOKUP($B183,INDIRECT($B$5&amp;"生成成长"),3))*(VLOOKUP($B$5,标准坦克设计!$B$14:$K$20,9)/30))</f>
        <v>3.8445976104618897</v>
      </c>
      <c r="EL183" s="172">
        <f ca="1">(VLOOKUP(EL$72,INDIRECT($C$5&amp;"生成成长"),2))/((VLOOKUP($B183,INDIRECT($B$5&amp;"生成成长"),4))/(VLOOKUP(EL$72,INDIRECT($C$5&amp;"生成成长"),5))*(VLOOKUP($B$5,标准坦克设计!$B$24:$U$30,MATCH("对"&amp;LEFT($C$5,2)&amp;"输出",标准坦克设计!$B$23:$U$23,0)))*(VLOOKUP($B183,INDIRECT($B$5&amp;"生成成长"),3))*(VLOOKUP($B$5,标准坦克设计!$B$14:$K$20,9)/30))</f>
        <v>4.1450420296730304</v>
      </c>
      <c r="EM183" s="172">
        <f ca="1">(VLOOKUP(EM$72,INDIRECT($C$5&amp;"生成成长"),2))/((VLOOKUP($B183,INDIRECT($B$5&amp;"生成成长"),4))/(VLOOKUP(EM$72,INDIRECT($C$5&amp;"生成成长"),5))*(VLOOKUP($B$5,标准坦克设计!$B$24:$U$30,MATCH("对"&amp;LEFT($C$5,2)&amp;"输出",标准坦克设计!$B$23:$U$23,0)))*(VLOOKUP($B183,INDIRECT($B$5&amp;"生成成长"),3))*(VLOOKUP($B$5,标准坦克设计!$B$14:$K$20,9)/30))</f>
        <v>4.4567884333059062</v>
      </c>
      <c r="EN183" s="172">
        <f ca="1">(VLOOKUP(EN$72,INDIRECT($C$5&amp;"生成成长"),2))/((VLOOKUP($B183,INDIRECT($B$5&amp;"生成成长"),4))/(VLOOKUP(EN$72,INDIRECT($C$5&amp;"生成成长"),5))*(VLOOKUP($B$5,标准坦克设计!$B$24:$U$30,MATCH("对"&amp;LEFT($C$5,2)&amp;"输出",标准坦克设计!$B$23:$U$23,0)))*(VLOOKUP($B183,INDIRECT($B$5&amp;"生成成长"),3))*(VLOOKUP($B$5,标准坦克设计!$B$14:$K$20,9)/30))</f>
        <v>4.7798368213605187</v>
      </c>
      <c r="EO183" s="172">
        <f ca="1">(VLOOKUP(EO$72,INDIRECT($C$5&amp;"生成成长"),2))/((VLOOKUP($B183,INDIRECT($B$5&amp;"生成成长"),4))/(VLOOKUP(EO$72,INDIRECT($C$5&amp;"生成成长"),5))*(VLOOKUP($B$5,标准坦克设计!$B$24:$U$30,MATCH("对"&amp;LEFT($C$5,2)&amp;"输出",标准坦克设计!$B$23:$U$23,0)))*(VLOOKUP($B183,INDIRECT($B$5&amp;"生成成长"),3))*(VLOOKUP($B$5,标准坦克设计!$B$14:$K$20,9)/30))</f>
        <v>5.1141871938368668</v>
      </c>
      <c r="EP183" s="172">
        <f ca="1">(VLOOKUP(EP$72,INDIRECT($C$5&amp;"生成成长"),2))/((VLOOKUP($B183,INDIRECT($B$5&amp;"生成成长"),4))/(VLOOKUP(EP$72,INDIRECT($C$5&amp;"生成成长"),5))*(VLOOKUP($B$5,标准坦克设计!$B$24:$U$30,MATCH("对"&amp;LEFT($C$5,2)&amp;"输出",标准坦克设计!$B$23:$U$23,0)))*(VLOOKUP($B183,INDIRECT($B$5&amp;"生成成长"),3))*(VLOOKUP($B$5,标准坦克设计!$B$14:$K$20,9)/30))</f>
        <v>5.4598395507349498</v>
      </c>
      <c r="EQ183" s="172">
        <f ca="1">(VLOOKUP(EQ$72,INDIRECT($C$5&amp;"生成成长"),2))/((VLOOKUP($B183,INDIRECT($B$5&amp;"生成成长"),4))/(VLOOKUP(EQ$72,INDIRECT($C$5&amp;"生成成长"),5))*(VLOOKUP($B$5,标准坦克设计!$B$24:$U$30,MATCH("对"&amp;LEFT($C$5,2)&amp;"输出",标准坦克设计!$B$23:$U$23,0)))*(VLOOKUP($B183,INDIRECT($B$5&amp;"生成成长"),3))*(VLOOKUP($B$5,标准坦克设计!$B$14:$K$20,9)/30))</f>
        <v>2.4136015620640001</v>
      </c>
      <c r="ER183" s="172">
        <f ca="1">(VLOOKUP(ER$72,INDIRECT($C$5&amp;"生成成长"),2))/((VLOOKUP($B183,INDIRECT($B$5&amp;"生成成长"),4))/(VLOOKUP(ER$72,INDIRECT($C$5&amp;"生成成长"),5))*(VLOOKUP($B$5,标准坦克设计!$B$24:$U$30,MATCH("对"&amp;LEFT($C$5,2)&amp;"输出",标准坦克设计!$B$23:$U$23,0)))*(VLOOKUP($B183,INDIRECT($B$5&amp;"生成成长"),3))*(VLOOKUP($B$5,标准坦克设计!$B$14:$K$20,9)/30))</f>
        <v>2.6324597812307364</v>
      </c>
      <c r="ES183" s="172">
        <f ca="1">(VLOOKUP(ES$72,INDIRECT($C$5&amp;"生成成长"),2))/((VLOOKUP($B183,INDIRECT($B$5&amp;"生成成长"),4))/(VLOOKUP(ES$72,INDIRECT($C$5&amp;"生成成长"),5))*(VLOOKUP($B$5,标准坦克设计!$B$24:$U$30,MATCH("对"&amp;LEFT($C$5,2)&amp;"输出",标准坦克设计!$B$23:$U$23,0)))*(VLOOKUP($B183,INDIRECT($B$5&amp;"生成成长"),3))*(VLOOKUP($B$5,标准坦克设计!$B$14:$K$20,9)/30))</f>
        <v>2.8608148067518471</v>
      </c>
      <c r="ET183" s="172">
        <f ca="1">(VLOOKUP(ET$72,INDIRECT($C$5&amp;"生成成长"),2))/((VLOOKUP($B183,INDIRECT($B$5&amp;"生成成长"),4))/(VLOOKUP(ET$72,INDIRECT($C$5&amp;"生成成长"),5))*(VLOOKUP($B$5,标准坦克设计!$B$24:$U$30,MATCH("对"&amp;LEFT($C$5,2)&amp;"输出",标准坦克设计!$B$23:$U$23,0)))*(VLOOKUP($B183,INDIRECT($B$5&amp;"生成成长"),3))*(VLOOKUP($B$5,标准坦克设计!$B$14:$K$20,9)/30))</f>
        <v>3.0986666386273338</v>
      </c>
      <c r="EU183" s="172">
        <f ca="1">(VLOOKUP(EU$72,INDIRECT($C$5&amp;"生成成长"),2))/((VLOOKUP($B183,INDIRECT($B$5&amp;"生成成长"),4))/(VLOOKUP(EU$72,INDIRECT($C$5&amp;"生成成长"),5))*(VLOOKUP($B$5,标准坦克设计!$B$24:$U$30,MATCH("对"&amp;LEFT($C$5,2)&amp;"输出",标准坦克设计!$B$23:$U$23,0)))*(VLOOKUP($B183,INDIRECT($B$5&amp;"生成成长"),3))*(VLOOKUP($B$5,标准坦克设计!$B$14:$K$20,9)/30))</f>
        <v>3.3460152768571954</v>
      </c>
      <c r="EV183" s="172">
        <f ca="1">(VLOOKUP(EV$72,INDIRECT($C$5&amp;"生成成长"),2))/((VLOOKUP($B183,INDIRECT($B$5&amp;"生成成长"),4))/(VLOOKUP(EV$72,INDIRECT($C$5&amp;"生成成长"),5))*(VLOOKUP($B$5,标准坦克设计!$B$24:$U$30,MATCH("对"&amp;LEFT($C$5,2)&amp;"输出",标准坦克设计!$B$23:$U$23,0)))*(VLOOKUP($B183,INDIRECT($B$5&amp;"生成成长"),3))*(VLOOKUP($B$5,标准坦克设计!$B$14:$K$20,9)/30))</f>
        <v>3.6028607214414317</v>
      </c>
      <c r="EW183" s="172">
        <f ca="1">(VLOOKUP(EW$72,INDIRECT($C$5&amp;"生成成长"),2))/((VLOOKUP($B183,INDIRECT($B$5&amp;"生成成长"),4))/(VLOOKUP(EW$72,INDIRECT($C$5&amp;"生成成长"),5))*(VLOOKUP($B$5,标准坦克设计!$B$24:$U$30,MATCH("对"&amp;LEFT($C$5,2)&amp;"输出",标准坦克设计!$B$23:$U$23,0)))*(VLOOKUP($B183,INDIRECT($B$5&amp;"生成成长"),3))*(VLOOKUP($B$5,标准坦克设计!$B$14:$K$20,9)/30))</f>
        <v>3.8692029723800436</v>
      </c>
      <c r="EX183" s="172">
        <f ca="1">(VLOOKUP(EX$72,INDIRECT($C$5&amp;"生成成长"),2))/((VLOOKUP($B183,INDIRECT($B$5&amp;"生成成长"),4))/(VLOOKUP(EX$72,INDIRECT($C$5&amp;"生成成长"),5))*(VLOOKUP($B$5,标准坦克设计!$B$24:$U$30,MATCH("对"&amp;LEFT($C$5,2)&amp;"输出",标准坦克设计!$B$23:$U$23,0)))*(VLOOKUP($B183,INDIRECT($B$5&amp;"生成成长"),3))*(VLOOKUP($B$5,标准坦克设计!$B$14:$K$20,9)/30))</f>
        <v>4.1450420296730304</v>
      </c>
      <c r="EY183" s="172">
        <f ca="1">(VLOOKUP(EY$72,INDIRECT($C$5&amp;"生成成长"),2))/((VLOOKUP($B183,INDIRECT($B$5&amp;"生成成长"),4))/(VLOOKUP(EY$72,INDIRECT($C$5&amp;"生成成长"),5))*(VLOOKUP($B$5,标准坦克设计!$B$24:$U$30,MATCH("对"&amp;LEFT($C$5,2)&amp;"输出",标准坦克设计!$B$23:$U$23,0)))*(VLOOKUP($B183,INDIRECT($B$5&amp;"生成成长"),3))*(VLOOKUP($B$5,标准坦克设计!$B$14:$K$20,9)/30))</f>
        <v>4.4303778933203928</v>
      </c>
      <c r="EZ183" s="172">
        <f ca="1">(VLOOKUP(EZ$72,INDIRECT($C$5&amp;"生成成长"),2))/((VLOOKUP($B183,INDIRECT($B$5&amp;"生成成长"),4))/(VLOOKUP(EZ$72,INDIRECT($C$5&amp;"生成成长"),5))*(VLOOKUP($B$5,标准坦克设计!$B$24:$U$30,MATCH("对"&amp;LEFT($C$5,2)&amp;"输出",标准坦克设计!$B$23:$U$23,0)))*(VLOOKUP($B183,INDIRECT($B$5&amp;"生成成长"),3))*(VLOOKUP($B$5,标准坦克设计!$B$14:$K$20,9)/30))</f>
        <v>4.7252105633221282</v>
      </c>
      <c r="FA183" s="172">
        <f ca="1">(VLOOKUP(FA$72,INDIRECT($C$5&amp;"生成成长"),2))/((VLOOKUP($B183,INDIRECT($B$5&amp;"生成成长"),4))/(VLOOKUP(FA$72,INDIRECT($C$5&amp;"生成成长"),5))*(VLOOKUP($B$5,标准坦克设计!$B$24:$U$30,MATCH("对"&amp;LEFT($C$5,2)&amp;"输出",标准坦克设计!$B$23:$U$23,0)))*(VLOOKUP($B183,INDIRECT($B$5&amp;"生成成长"),3))*(VLOOKUP($B$5,标准坦克设计!$B$14:$K$20,9)/30))</f>
        <v>5.029540039678241</v>
      </c>
      <c r="FB183" s="172">
        <f ca="1">(VLOOKUP(FB$72,INDIRECT($C$5&amp;"生成成长"),2))/((VLOOKUP($B183,INDIRECT($B$5&amp;"生成成长"),4))/(VLOOKUP(FB$72,INDIRECT($C$5&amp;"生成成长"),5))*(VLOOKUP($B$5,标准坦克设计!$B$24:$U$30,MATCH("对"&amp;LEFT($C$5,2)&amp;"输出",标准坦克设计!$B$23:$U$23,0)))*(VLOOKUP($B183,INDIRECT($B$5&amp;"生成成长"),3))*(VLOOKUP($B$5,标准坦克设计!$B$14:$K$20,9)/30))</f>
        <v>5.3433663223887287</v>
      </c>
      <c r="FC183" s="172">
        <f ca="1">(VLOOKUP(FC$72,INDIRECT($C$5&amp;"生成成长"),2))/((VLOOKUP($B183,INDIRECT($B$5&amp;"生成成长"),4))/(VLOOKUP(FC$72,INDIRECT($C$5&amp;"生成成长"),5))*(VLOOKUP($B$5,标准坦克设计!$B$24:$U$30,MATCH("对"&amp;LEFT($C$5,2)&amp;"输出",标准坦克设计!$B$23:$U$23,0)))*(VLOOKUP($B183,INDIRECT($B$5&amp;"生成成长"),3))*(VLOOKUP($B$5,标准坦克设计!$B$14:$K$20,9)/30))</f>
        <v>5.6666894114535911</v>
      </c>
      <c r="FD183" s="172">
        <f ca="1">(VLOOKUP(FD$72,INDIRECT($C$5&amp;"生成成长"),2))/((VLOOKUP($B183,INDIRECT($B$5&amp;"生成成长"),4))/(VLOOKUP(FD$72,INDIRECT($C$5&amp;"生成成长"),5))*(VLOOKUP($B$5,标准坦克设计!$B$24:$U$30,MATCH("对"&amp;LEFT($C$5,2)&amp;"输出",标准坦克设计!$B$23:$U$23,0)))*(VLOOKUP($B183,INDIRECT($B$5&amp;"生成成长"),3))*(VLOOKUP($B$5,标准坦克设计!$B$14:$K$20,9)/30))</f>
        <v>5.9995093068728291</v>
      </c>
      <c r="FE183" s="172">
        <f ca="1">(VLOOKUP(FE$72,INDIRECT($C$5&amp;"生成成长"),2))/((VLOOKUP($B183,INDIRECT($B$5&amp;"生成成长"),4))/(VLOOKUP(FE$72,INDIRECT($C$5&amp;"生成成长"),5))*(VLOOKUP($B$5,标准坦克设计!$B$24:$U$30,MATCH("对"&amp;LEFT($C$5,2)&amp;"输出",标准坦克设计!$B$23:$U$23,0)))*(VLOOKUP($B183,INDIRECT($B$5&amp;"生成成长"),3))*(VLOOKUP($B$5,标准坦克设计!$B$14:$K$20,9)/30))</f>
        <v>6.4050857270069903</v>
      </c>
      <c r="FF183" s="172">
        <f ca="1">(VLOOKUP(FF$72,INDIRECT($C$5&amp;"生成成长"),2))/((VLOOKUP($B183,INDIRECT($B$5&amp;"生成成长"),4))/(VLOOKUP(FF$72,INDIRECT($C$5&amp;"生成成长"),5))*(VLOOKUP($B$5,标准坦克设计!$B$24:$U$30,MATCH("对"&amp;LEFT($C$5,2)&amp;"输出",标准坦克设计!$B$23:$U$23,0)))*(VLOOKUP($B183,INDIRECT($B$5&amp;"生成成长"),3))*(VLOOKUP($B$5,标准坦克设计!$B$14:$K$20,9)/30))</f>
        <v>6.8239262816361039</v>
      </c>
      <c r="FG183" s="172">
        <f ca="1">(VLOOKUP(FG$72,INDIRECT($C$5&amp;"生成成长"),2))/((VLOOKUP($B183,INDIRECT($B$5&amp;"生成成长"),4))/(VLOOKUP(FG$72,INDIRECT($C$5&amp;"生成成长"),5))*(VLOOKUP($B$5,标准坦克设计!$B$24:$U$30,MATCH("对"&amp;LEFT($C$5,2)&amp;"输出",标准坦克设计!$B$23:$U$23,0)))*(VLOOKUP($B183,INDIRECT($B$5&amp;"生成成长"),3))*(VLOOKUP($B$5,标准坦克设计!$B$14:$K$20,9)/30))</f>
        <v>7.2560309707601736</v>
      </c>
      <c r="FH183" s="172">
        <f ca="1">(VLOOKUP(FH$72,INDIRECT($C$5&amp;"生成成长"),2))/((VLOOKUP($B183,INDIRECT($B$5&amp;"生成成长"),4))/(VLOOKUP(FH$72,INDIRECT($C$5&amp;"生成成长"),5))*(VLOOKUP($B$5,标准坦克设计!$B$24:$U$30,MATCH("对"&amp;LEFT($C$5,2)&amp;"输出",标准坦克设计!$B$23:$U$23,0)))*(VLOOKUP($B183,INDIRECT($B$5&amp;"生成成长"),3))*(VLOOKUP($B$5,标准坦克设计!$B$14:$K$20,9)/30))</f>
        <v>7.7013997943791948</v>
      </c>
      <c r="FI183" s="172">
        <f ca="1">(VLOOKUP(FI$72,INDIRECT($C$5&amp;"生成成长"),2))/((VLOOKUP($B183,INDIRECT($B$5&amp;"生成成长"),4))/(VLOOKUP(FI$72,INDIRECT($C$5&amp;"生成成长"),5))*(VLOOKUP($B$5,标准坦克设计!$B$24:$U$30,MATCH("对"&amp;LEFT($C$5,2)&amp;"输出",标准坦克设计!$B$23:$U$23,0)))*(VLOOKUP($B183,INDIRECT($B$5&amp;"生成成长"),3))*(VLOOKUP($B$5,标准坦克设计!$B$14:$K$20,9)/30))</f>
        <v>8.1600327524931728</v>
      </c>
      <c r="FJ183" s="172">
        <f ca="1">(VLOOKUP(FJ$72,INDIRECT($C$5&amp;"生成成长"),2))/((VLOOKUP($B183,INDIRECT($B$5&amp;"生成成长"),4))/(VLOOKUP(FJ$72,INDIRECT($C$5&amp;"生成成长"),5))*(VLOOKUP($B$5,标准坦克设计!$B$24:$U$30,MATCH("对"&amp;LEFT($C$5,2)&amp;"输出",标准坦克设计!$B$23:$U$23,0)))*(VLOOKUP($B183,INDIRECT($B$5&amp;"生成成长"),3))*(VLOOKUP($B$5,标准坦克设计!$B$14:$K$20,9)/30))</f>
        <v>8.6319298451021016</v>
      </c>
      <c r="FK183" s="172">
        <f ca="1">(VLOOKUP(FK$72,INDIRECT($C$5&amp;"生成成长"),2))/((VLOOKUP($B183,INDIRECT($B$5&amp;"生成成长"),4))/(VLOOKUP(FK$72,INDIRECT($C$5&amp;"生成成长"),5))*(VLOOKUP($B$5,标准坦克设计!$B$24:$U$30,MATCH("对"&amp;LEFT($C$5,2)&amp;"输出",标准坦克设计!$B$23:$U$23,0)))*(VLOOKUP($B183,INDIRECT($B$5&amp;"生成成长"),3))*(VLOOKUP($B$5,标准坦克设计!$B$14:$K$20,9)/30))</f>
        <v>9.1170910722059855</v>
      </c>
    </row>
    <row r="184" spans="1:167" x14ac:dyDescent="0.15">
      <c r="A184" s="170" t="str">
        <f t="shared" si="12"/>
        <v>T3高品质1级</v>
      </c>
      <c r="B184" s="171">
        <v>30301</v>
      </c>
      <c r="C184" s="172">
        <f ca="1">(VLOOKUP(C$72,INDIRECT($C$5&amp;"生成成长"),2))/((VLOOKUP($B184,INDIRECT($B$5&amp;"生成成长"),4))/(VLOOKUP(C$72,INDIRECT($C$5&amp;"生成成长"),5))*(VLOOKUP($B$5,标准坦克设计!$B$24:$U$30,MATCH("对"&amp;LEFT($C$5,2)&amp;"输出",标准坦克设计!$B$23:$U$23,0)))*(VLOOKUP($B184,INDIRECT($B$5&amp;"生成成长"),3))*(VLOOKUP($B$5,标准坦克设计!$B$14:$K$20,9)/30))</f>
        <v>3.894518415846119</v>
      </c>
      <c r="D184" s="172">
        <f ca="1">(VLOOKUP(D$72,INDIRECT($C$5&amp;"生成成长"),2))/((VLOOKUP($B184,INDIRECT($B$5&amp;"生成成长"),4))/(VLOOKUP(D$72,INDIRECT($C$5&amp;"生成成长"),5))*(VLOOKUP($B$5,标准坦克设计!$B$24:$U$30,MATCH("对"&amp;LEFT($C$5,2)&amp;"输出",标准坦克设计!$B$23:$U$23,0)))*(VLOOKUP($B184,INDIRECT($B$5&amp;"生成成长"),3))*(VLOOKUP($B$5,标准坦克设计!$B$14:$K$20,9)/30))</f>
        <v>4.375880892044699</v>
      </c>
      <c r="E184" s="172">
        <f ca="1">(VLOOKUP(E$72,INDIRECT($C$5&amp;"生成成长"),2))/((VLOOKUP($B184,INDIRECT($B$5&amp;"生成成长"),4))/(VLOOKUP(E$72,INDIRECT($C$5&amp;"生成成长"),5))*(VLOOKUP($B$5,标准坦克设计!$B$24:$U$30,MATCH("对"&amp;LEFT($C$5,2)&amp;"输出",标准坦克设计!$B$23:$U$23,0)))*(VLOOKUP($B184,INDIRECT($B$5&amp;"生成成长"),3))*(VLOOKUP($B$5,标准坦克设计!$B$14:$K$20,9)/30))</f>
        <v>4.8852839008373721</v>
      </c>
      <c r="F184" s="172">
        <f ca="1">(VLOOKUP(F$72,INDIRECT($C$5&amp;"生成成长"),2))/((VLOOKUP($B184,INDIRECT($B$5&amp;"生成成长"),4))/(VLOOKUP(F$72,INDIRECT($C$5&amp;"生成成长"),5))*(VLOOKUP($B$5,标准坦克设计!$B$24:$U$30,MATCH("对"&amp;LEFT($C$5,2)&amp;"输出",标准坦克设计!$B$23:$U$23,0)))*(VLOOKUP($B184,INDIRECT($B$5&amp;"生成成长"),3))*(VLOOKUP($B$5,标准坦克设计!$B$14:$K$20,9)/30))</f>
        <v>5.4227274422241365</v>
      </c>
      <c r="G184" s="172">
        <f ca="1">(VLOOKUP(G$72,INDIRECT($C$5&amp;"生成成长"),2))/((VLOOKUP($B184,INDIRECT($B$5&amp;"生成成长"),4))/(VLOOKUP(G$72,INDIRECT($C$5&amp;"生成成长"),5))*(VLOOKUP($B$5,标准坦克设计!$B$24:$U$30,MATCH("对"&amp;LEFT($C$5,2)&amp;"输出",标准坦克设计!$B$23:$U$23,0)))*(VLOOKUP($B184,INDIRECT($B$5&amp;"生成成长"),3))*(VLOOKUP($B$5,标准坦克设计!$B$14:$K$20,9)/30))</f>
        <v>5.9882115162049923</v>
      </c>
      <c r="H184" s="172">
        <f ca="1">(VLOOKUP(H$72,INDIRECT($C$5&amp;"生成成长"),2))/((VLOOKUP($B184,INDIRECT($B$5&amp;"生成成长"),4))/(VLOOKUP(H$72,INDIRECT($C$5&amp;"生成成长"),5))*(VLOOKUP($B$5,标准坦克设计!$B$24:$U$30,MATCH("对"&amp;LEFT($C$5,2)&amp;"输出",标准坦克设计!$B$23:$U$23,0)))*(VLOOKUP($B184,INDIRECT($B$5&amp;"生成成长"),3))*(VLOOKUP($B$5,标准坦克设计!$B$14:$K$20,9)/30))</f>
        <v>5.2404639803625379</v>
      </c>
      <c r="I184" s="172">
        <f ca="1">(VLOOKUP(I$72,INDIRECT($C$5&amp;"生成成长"),2))/((VLOOKUP($B184,INDIRECT($B$5&amp;"生成成长"),4))/(VLOOKUP(I$72,INDIRECT($C$5&amp;"生成成长"),5))*(VLOOKUP($B$5,标准坦克设计!$B$24:$U$30,MATCH("对"&amp;LEFT($C$5,2)&amp;"输出",标准坦克设计!$B$23:$U$23,0)))*(VLOOKUP($B184,INDIRECT($B$5&amp;"生成成长"),3))*(VLOOKUP($B$5,标准坦克设计!$B$14:$K$20,9)/30))</f>
        <v>5.9882115162049923</v>
      </c>
      <c r="J184" s="172">
        <f ca="1">(VLOOKUP(J$72,INDIRECT($C$5&amp;"生成成长"),2))/((VLOOKUP($B184,INDIRECT($B$5&amp;"生成成长"),4))/(VLOOKUP(J$72,INDIRECT($C$5&amp;"生成成长"),5))*(VLOOKUP($B$5,标准坦克设计!$B$24:$U$30,MATCH("对"&amp;LEFT($C$5,2)&amp;"输出",标准坦克设计!$B$23:$U$23,0)))*(VLOOKUP($B184,INDIRECT($B$5&amp;"生成成长"),3))*(VLOOKUP($B$5,标准坦克设计!$B$14:$K$20,9)/30))</f>
        <v>6.7858088877702762</v>
      </c>
      <c r="K184" s="172">
        <f ca="1">(VLOOKUP(K$72,INDIRECT($C$5&amp;"生成成长"),2))/((VLOOKUP($B184,INDIRECT($B$5&amp;"生成成长"),4))/(VLOOKUP(K$72,INDIRECT($C$5&amp;"生成成长"),5))*(VLOOKUP($B$5,标准坦克设计!$B$24:$U$30,MATCH("对"&amp;LEFT($C$5,2)&amp;"输出",标准坦克设计!$B$23:$U$23,0)))*(VLOOKUP($B184,INDIRECT($B$5&amp;"生成成长"),3))*(VLOOKUP($B$5,标准坦克设计!$B$14:$K$20,9)/30))</f>
        <v>7.6332560950583925</v>
      </c>
      <c r="L184" s="172">
        <f ca="1">(VLOOKUP(L$72,INDIRECT($C$5&amp;"生成成长"),2))/((VLOOKUP($B184,INDIRECT($B$5&amp;"生成成长"),4))/(VLOOKUP(L$72,INDIRECT($C$5&amp;"生成成长"),5))*(VLOOKUP($B$5,标准坦克设计!$B$24:$U$30,MATCH("对"&amp;LEFT($C$5,2)&amp;"输出",标准坦克设计!$B$23:$U$23,0)))*(VLOOKUP($B184,INDIRECT($B$5&amp;"生成成长"),3))*(VLOOKUP($B$5,标准坦克设计!$B$14:$K$20,9)/30))</f>
        <v>8.5305531380693385</v>
      </c>
      <c r="M184" s="172">
        <f ca="1">(VLOOKUP(M$72,INDIRECT($C$5&amp;"生成成长"),2))/((VLOOKUP($B184,INDIRECT($B$5&amp;"生成成长"),4))/(VLOOKUP(M$72,INDIRECT($C$5&amp;"生成成长"),5))*(VLOOKUP($B$5,标准坦克设计!$B$24:$U$30,MATCH("对"&amp;LEFT($C$5,2)&amp;"输出",标准坦克设计!$B$23:$U$23,0)))*(VLOOKUP($B184,INDIRECT($B$5&amp;"生成成长"),3))*(VLOOKUP($B$5,标准坦克设计!$B$14:$K$20,9)/30))</f>
        <v>9.477700016803114</v>
      </c>
      <c r="N184" s="172">
        <f ca="1">(VLOOKUP(N$72,INDIRECT($C$5&amp;"生成成长"),2))/((VLOOKUP($B184,INDIRECT($B$5&amp;"生成成长"),4))/(VLOOKUP(N$72,INDIRECT($C$5&amp;"生成成长"),5))*(VLOOKUP($B$5,标准坦克设计!$B$24:$U$30,MATCH("对"&amp;LEFT($C$5,2)&amp;"输出",标准坦克设计!$B$23:$U$23,0)))*(VLOOKUP($B184,INDIRECT($B$5&amp;"生成成长"),3))*(VLOOKUP($B$5,标准坦克设计!$B$14:$K$20,9)/30))</f>
        <v>10.474696731259719</v>
      </c>
      <c r="O184" s="172">
        <f ca="1">(VLOOKUP(O$72,INDIRECT($C$5&amp;"生成成长"),2))/((VLOOKUP($B184,INDIRECT($B$5&amp;"生成成长"),4))/(VLOOKUP(O$72,INDIRECT($C$5&amp;"生成成长"),5))*(VLOOKUP($B$5,标准坦克设计!$B$24:$U$30,MATCH("对"&amp;LEFT($C$5,2)&amp;"输出",标准坦克设计!$B$23:$U$23,0)))*(VLOOKUP($B184,INDIRECT($B$5&amp;"生成成长"),3))*(VLOOKUP($B$5,标准坦克设计!$B$14:$K$20,9)/30))</f>
        <v>7.9639007085637274</v>
      </c>
      <c r="P184" s="172">
        <f ca="1">(VLOOKUP(P$72,INDIRECT($C$5&amp;"生成成长"),2))/((VLOOKUP($B184,INDIRECT($B$5&amp;"生成成长"),4))/(VLOOKUP(P$72,INDIRECT($C$5&amp;"生成成长"),5))*(VLOOKUP($B$5,标准坦克设计!$B$24:$U$30,MATCH("对"&amp;LEFT($C$5,2)&amp;"输出",标准坦克设计!$B$23:$U$23,0)))*(VLOOKUP($B184,INDIRECT($B$5&amp;"生成成长"),3))*(VLOOKUP($B$5,标准坦克设计!$B$14:$K$20,9)/30))</f>
        <v>8.9978953479708732</v>
      </c>
      <c r="Q184" s="172">
        <f ca="1">(VLOOKUP(Q$72,INDIRECT($C$5&amp;"生成成长"),2))/((VLOOKUP($B184,INDIRECT($B$5&amp;"生成成长"),4))/(VLOOKUP(Q$72,INDIRECT($C$5&amp;"生成成长"),5))*(VLOOKUP($B$5,标准坦克设计!$B$24:$U$30,MATCH("对"&amp;LEFT($C$5,2)&amp;"输出",标准坦克设计!$B$23:$U$23,0)))*(VLOOKUP($B184,INDIRECT($B$5&amp;"生成成长"),3))*(VLOOKUP($B$5,标准坦克设计!$B$14:$K$20,9)/30))</f>
        <v>10.094981185714726</v>
      </c>
      <c r="R184" s="172">
        <f ca="1">(VLOOKUP(R$72,INDIRECT($C$5&amp;"生成成长"),2))/((VLOOKUP($B184,INDIRECT($B$5&amp;"生成成长"),4))/(VLOOKUP(R$72,INDIRECT($C$5&amp;"生成成长"),5))*(VLOOKUP($B$5,标准坦克设计!$B$24:$U$30,MATCH("对"&amp;LEFT($C$5,2)&amp;"输出",标准坦克设计!$B$23:$U$23,0)))*(VLOOKUP($B184,INDIRECT($B$5&amp;"生成成长"),3))*(VLOOKUP($B$5,标准坦克设计!$B$14:$K$20,9)/30))</f>
        <v>11.255158221795284</v>
      </c>
      <c r="S184" s="172">
        <f ca="1">(VLOOKUP(S$72,INDIRECT($C$5&amp;"生成成长"),2))/((VLOOKUP($B184,INDIRECT($B$5&amp;"生成成长"),4))/(VLOOKUP(S$72,INDIRECT($C$5&amp;"生成成长"),5))*(VLOOKUP($B$5,标准坦克设计!$B$24:$U$30,MATCH("对"&amp;LEFT($C$5,2)&amp;"输出",标准坦克设计!$B$23:$U$23,0)))*(VLOOKUP($B184,INDIRECT($B$5&amp;"生成成长"),3))*(VLOOKUP($B$5,标准坦克设计!$B$14:$K$20,9)/30))</f>
        <v>12.478426456212551</v>
      </c>
      <c r="T184" s="172">
        <f ca="1">(VLOOKUP(T$72,INDIRECT($C$5&amp;"生成成长"),2))/((VLOOKUP($B184,INDIRECT($B$5&amp;"生成成长"),4))/(VLOOKUP(T$72,INDIRECT($C$5&amp;"生成成长"),5))*(VLOOKUP($B$5,标准坦克设计!$B$24:$U$30,MATCH("对"&amp;LEFT($C$5,2)&amp;"输出",标准坦克设计!$B$23:$U$23,0)))*(VLOOKUP($B184,INDIRECT($B$5&amp;"生成成长"),3))*(VLOOKUP($B$5,标准坦克设计!$B$14:$K$20,9)/30))</f>
        <v>13.764785888966523</v>
      </c>
      <c r="U184" s="172">
        <f ca="1">(VLOOKUP(U$72,INDIRECT($C$5&amp;"生成成长"),2))/((VLOOKUP($B184,INDIRECT($B$5&amp;"生成成长"),4))/(VLOOKUP(U$72,INDIRECT($C$5&amp;"生成成长"),5))*(VLOOKUP($B$5,标准坦克设计!$B$24:$U$30,MATCH("对"&amp;LEFT($C$5,2)&amp;"输出",标准坦克设计!$B$23:$U$23,0)))*(VLOOKUP($B184,INDIRECT($B$5&amp;"生成成长"),3))*(VLOOKUP($B$5,标准坦克设计!$B$14:$K$20,9)/30))</f>
        <v>15.114236520057203</v>
      </c>
      <c r="V184" s="172">
        <f ca="1">(VLOOKUP(V$72,INDIRECT($C$5&amp;"生成成长"),2))/((VLOOKUP($B184,INDIRECT($B$5&amp;"生成成长"),4))/(VLOOKUP(V$72,INDIRECT($C$5&amp;"生成成长"),5))*(VLOOKUP($B$5,标准坦克设计!$B$24:$U$30,MATCH("对"&amp;LEFT($C$5,2)&amp;"输出",标准坦克设计!$B$23:$U$23,0)))*(VLOOKUP($B184,INDIRECT($B$5&amp;"生成成长"),3))*(VLOOKUP($B$5,标准坦克设计!$B$14:$K$20,9)/30))</f>
        <v>16.526778349484591</v>
      </c>
      <c r="W184" s="172">
        <f ca="1">(VLOOKUP(W$72,INDIRECT($C$5&amp;"生成成长"),2))/((VLOOKUP($B184,INDIRECT($B$5&amp;"生成成长"),4))/(VLOOKUP(W$72,INDIRECT($C$5&amp;"生成成长"),5))*(VLOOKUP($B$5,标准坦克设计!$B$24:$U$30,MATCH("对"&amp;LEFT($C$5,2)&amp;"输出",标准坦克设计!$B$23:$U$23,0)))*(VLOOKUP($B184,INDIRECT($B$5&amp;"生成成长"),3))*(VLOOKUP($B$5,标准坦克设计!$B$14:$K$20,9)/30))</f>
        <v>18.002411377248684</v>
      </c>
      <c r="X184" s="172">
        <f ca="1">(VLOOKUP(X$72,INDIRECT($C$5&amp;"生成成长"),2))/((VLOOKUP($B184,INDIRECT($B$5&amp;"生成成长"),4))/(VLOOKUP(X$72,INDIRECT($C$5&amp;"生成成长"),5))*(VLOOKUP($B$5,标准坦克设计!$B$24:$U$30,MATCH("对"&amp;LEFT($C$5,2)&amp;"输出",标准坦克设计!$B$23:$U$23,0)))*(VLOOKUP($B184,INDIRECT($B$5&amp;"生成成长"),3))*(VLOOKUP($B$5,标准坦克设计!$B$14:$K$20,9)/30))</f>
        <v>13.042352722827065</v>
      </c>
      <c r="Y184" s="172">
        <f ca="1">(VLOOKUP(Y$72,INDIRECT($C$5&amp;"生成成长"),2))/((VLOOKUP($B184,INDIRECT($B$5&amp;"生成成长"),4))/(VLOOKUP(Y$72,INDIRECT($C$5&amp;"生成成长"),5))*(VLOOKUP($B$5,标准坦克设计!$B$24:$U$30,MATCH("对"&amp;LEFT($C$5,2)&amp;"输出",标准坦克设计!$B$23:$U$23,0)))*(VLOOKUP($B184,INDIRECT($B$5&amp;"生成成长"),3))*(VLOOKUP($B$5,标准坦克设计!$B$14:$K$20,9)/30))</f>
        <v>14.506691647185209</v>
      </c>
      <c r="Z184" s="172">
        <f ca="1">(VLOOKUP(Z$72,INDIRECT($C$5&amp;"生成成长"),2))/((VLOOKUP($B184,INDIRECT($B$5&amp;"生成成长"),4))/(VLOOKUP(Z$72,INDIRECT($C$5&amp;"生成成长"),5))*(VLOOKUP($B$5,标准坦克设计!$B$24:$U$30,MATCH("对"&amp;LEFT($C$5,2)&amp;"输出",标准坦克设计!$B$23:$U$23,0)))*(VLOOKUP($B184,INDIRECT($B$5&amp;"生成成长"),3))*(VLOOKUP($B$5,标准坦克设计!$B$14:$K$20,9)/30))</f>
        <v>16.04892093986027</v>
      </c>
      <c r="AA184" s="172">
        <f ca="1">(VLOOKUP(AA$72,INDIRECT($C$5&amp;"生成成长"),2))/((VLOOKUP($B184,INDIRECT($B$5&amp;"生成成长"),4))/(VLOOKUP(AA$72,INDIRECT($C$5&amp;"生成成长"),5))*(VLOOKUP($B$5,标准坦克设计!$B$24:$U$30,MATCH("对"&amp;LEFT($C$5,2)&amp;"输出",标准坦克设计!$B$23:$U$23,0)))*(VLOOKUP($B184,INDIRECT($B$5&amp;"生成成长"),3))*(VLOOKUP($B$5,标准坦克设计!$B$14:$K$20,9)/30))</f>
        <v>17.669040600852259</v>
      </c>
      <c r="AB184" s="172">
        <f ca="1">(VLOOKUP(AB$72,INDIRECT($C$5&amp;"生成成长"),2))/((VLOOKUP($B184,INDIRECT($B$5&amp;"生成成长"),4))/(VLOOKUP(AB$72,INDIRECT($C$5&amp;"生成成长"),5))*(VLOOKUP($B$5,标准坦克设计!$B$24:$U$30,MATCH("对"&amp;LEFT($C$5,2)&amp;"输出",标准坦克设计!$B$23:$U$23,0)))*(VLOOKUP($B184,INDIRECT($B$5&amp;"生成成长"),3))*(VLOOKUP($B$5,标准坦克设计!$B$14:$K$20,9)/30))</f>
        <v>19.367050630161163</v>
      </c>
      <c r="AC184" s="172">
        <f ca="1">(VLOOKUP(AC$72,INDIRECT($C$5&amp;"生成成长"),2))/((VLOOKUP($B184,INDIRECT($B$5&amp;"生成成长"),4))/(VLOOKUP(AC$72,INDIRECT($C$5&amp;"生成成长"),5))*(VLOOKUP($B$5,标准坦克设计!$B$24:$U$30,MATCH("对"&amp;LEFT($C$5,2)&amp;"输出",标准坦克设计!$B$23:$U$23,0)))*(VLOOKUP($B184,INDIRECT($B$5&amp;"生成成长"),3))*(VLOOKUP($B$5,标准坦克设计!$B$14:$K$20,9)/30))</f>
        <v>21.142951027786992</v>
      </c>
      <c r="AD184" s="172">
        <f ca="1">(VLOOKUP(AD$72,INDIRECT($C$5&amp;"生成成长"),2))/((VLOOKUP($B184,INDIRECT($B$5&amp;"生成成长"),4))/(VLOOKUP(AD$72,INDIRECT($C$5&amp;"生成成长"),5))*(VLOOKUP($B$5,标准坦克设计!$B$24:$U$30,MATCH("对"&amp;LEFT($C$5,2)&amp;"输出",标准坦克设计!$B$23:$U$23,0)))*(VLOOKUP($B184,INDIRECT($B$5&amp;"生成成长"),3))*(VLOOKUP($B$5,标准坦克设计!$B$14:$K$20,9)/30))</f>
        <v>22.996741793729747</v>
      </c>
      <c r="AE184" s="172">
        <f ca="1">(VLOOKUP(AE$72,INDIRECT($C$5&amp;"生成成长"),2))/((VLOOKUP($B184,INDIRECT($B$5&amp;"生成成长"),4))/(VLOOKUP(AE$72,INDIRECT($C$5&amp;"生成成长"),5))*(VLOOKUP($B$5,标准坦克设计!$B$24:$U$30,MATCH("对"&amp;LEFT($C$5,2)&amp;"输出",标准坦克设计!$B$23:$U$23,0)))*(VLOOKUP($B184,INDIRECT($B$5&amp;"生成成长"),3))*(VLOOKUP($B$5,标准坦克设计!$B$14:$K$20,9)/30))</f>
        <v>24.92842292798942</v>
      </c>
      <c r="AF184" s="172">
        <f ca="1">(VLOOKUP(AF$72,INDIRECT($C$5&amp;"生成成长"),2))/((VLOOKUP($B184,INDIRECT($B$5&amp;"生成成长"),4))/(VLOOKUP(AF$72,INDIRECT($C$5&amp;"生成成长"),5))*(VLOOKUP($B$5,标准坦克设计!$B$24:$U$30,MATCH("对"&amp;LEFT($C$5,2)&amp;"输出",标准坦克设计!$B$23:$U$23,0)))*(VLOOKUP($B184,INDIRECT($B$5&amp;"生成成长"),3))*(VLOOKUP($B$5,标准坦克设计!$B$14:$K$20,9)/30))</f>
        <v>26.937994430566022</v>
      </c>
      <c r="AG184" s="172">
        <f ca="1">(VLOOKUP(AG$72,INDIRECT($C$5&amp;"生成成长"),2))/((VLOOKUP($B184,INDIRECT($B$5&amp;"生成成长"),4))/(VLOOKUP(AG$72,INDIRECT($C$5&amp;"生成成长"),5))*(VLOOKUP($B$5,标准坦克设计!$B$24:$U$30,MATCH("对"&amp;LEFT($C$5,2)&amp;"输出",标准坦克设计!$B$23:$U$23,0)))*(VLOOKUP($B184,INDIRECT($B$5&amp;"生成成长"),3))*(VLOOKUP($B$5,标准坦克设计!$B$14:$K$20,9)/30))</f>
        <v>29.025456301459542</v>
      </c>
      <c r="AH184" s="172">
        <f ca="1">(VLOOKUP(AH$72,INDIRECT($C$5&amp;"生成成长"),2))/((VLOOKUP($B184,INDIRECT($B$5&amp;"生成成长"),4))/(VLOOKUP(AH$72,INDIRECT($C$5&amp;"生成成长"),5))*(VLOOKUP($B$5,标准坦克设计!$B$24:$U$30,MATCH("对"&amp;LEFT($C$5,2)&amp;"输出",标准坦克设计!$B$23:$U$23,0)))*(VLOOKUP($B184,INDIRECT($B$5&amp;"生成成长"),3))*(VLOOKUP($B$5,标准坦克设计!$B$14:$K$20,9)/30))</f>
        <v>31.190808540669984</v>
      </c>
      <c r="AI184" s="172">
        <f ca="1">(VLOOKUP(AI$72,INDIRECT($C$5&amp;"生成成长"),2))/((VLOOKUP($B184,INDIRECT($B$5&amp;"生成成长"),4))/(VLOOKUP(AI$72,INDIRECT($C$5&amp;"生成成长"),5))*(VLOOKUP($B$5,标准坦克设计!$B$24:$U$30,MATCH("对"&amp;LEFT($C$5,2)&amp;"输出",标准坦克设计!$B$23:$U$23,0)))*(VLOOKUP($B184,INDIRECT($B$5&amp;"生成成长"),3))*(VLOOKUP($B$5,标准坦克设计!$B$14:$K$20,9)/30))</f>
        <v>22.060110114718757</v>
      </c>
      <c r="AJ184" s="172">
        <f ca="1">(VLOOKUP(AJ$72,INDIRECT($C$5&amp;"生成成长"),2))/((VLOOKUP($B184,INDIRECT($B$5&amp;"生成成长"),4))/(VLOOKUP(AJ$72,INDIRECT($C$5&amp;"生成成长"),5))*(VLOOKUP($B$5,标准坦克设计!$B$24:$U$30,MATCH("对"&amp;LEFT($C$5,2)&amp;"输出",标准坦克设计!$B$23:$U$23,0)))*(VLOOKUP($B184,INDIRECT($B$5&amp;"生成成长"),3))*(VLOOKUP($B$5,标准坦克设计!$B$14:$K$20,9)/30))</f>
        <v>24.146403630087523</v>
      </c>
      <c r="AK184" s="172">
        <f ca="1">(VLOOKUP(AK$72,INDIRECT($C$5&amp;"生成成长"),2))/((VLOOKUP($B184,INDIRECT($B$5&amp;"生成成长"),4))/(VLOOKUP(AK$72,INDIRECT($C$5&amp;"生成成长"),5))*(VLOOKUP($B$5,标准坦克设计!$B$24:$U$30,MATCH("对"&amp;LEFT($C$5,2)&amp;"输出",标准坦克设计!$B$23:$U$23,0)))*(VLOOKUP($B184,INDIRECT($B$5&amp;"生成成长"),3))*(VLOOKUP($B$5,标准坦克设计!$B$14:$K$20,9)/30))</f>
        <v>26.326944491119761</v>
      </c>
      <c r="AL184" s="172">
        <f ca="1">(VLOOKUP(AL$72,INDIRECT($C$5&amp;"生成成长"),2))/((VLOOKUP($B184,INDIRECT($B$5&amp;"生成成长"),4))/(VLOOKUP(AL$72,INDIRECT($C$5&amp;"生成成长"),5))*(VLOOKUP($B$5,标准坦克设计!$B$24:$U$30,MATCH("对"&amp;LEFT($C$5,2)&amp;"输出",标准坦克设计!$B$23:$U$23,0)))*(VLOOKUP($B184,INDIRECT($B$5&amp;"生成成长"),3))*(VLOOKUP($B$5,标准坦克设计!$B$14:$K$20,9)/30))</f>
        <v>28.601732697815482</v>
      </c>
      <c r="AM184" s="172">
        <f ca="1">(VLOOKUP(AM$72,INDIRECT($C$5&amp;"生成成长"),2))/((VLOOKUP($B184,INDIRECT($B$5&amp;"生成成长"),4))/(VLOOKUP(AM$72,INDIRECT($C$5&amp;"生成成长"),5))*(VLOOKUP($B$5,标准坦克设计!$B$24:$U$30,MATCH("对"&amp;LEFT($C$5,2)&amp;"输出",标准坦克设计!$B$23:$U$23,0)))*(VLOOKUP($B184,INDIRECT($B$5&amp;"生成成长"),3))*(VLOOKUP($B$5,标准坦克设计!$B$14:$K$20,9)/30))</f>
        <v>30.970768250174675</v>
      </c>
      <c r="AN184" s="172">
        <f ca="1">(VLOOKUP(AN$72,INDIRECT($C$5&amp;"生成成长"),2))/((VLOOKUP($B184,INDIRECT($B$5&amp;"生成成长"),4))/(VLOOKUP(AN$72,INDIRECT($C$5&amp;"生成成长"),5))*(VLOOKUP($B$5,标准坦克设计!$B$24:$U$30,MATCH("对"&amp;LEFT($C$5,2)&amp;"输出",标准坦克设计!$B$23:$U$23,0)))*(VLOOKUP($B184,INDIRECT($B$5&amp;"生成成长"),3))*(VLOOKUP($B$5,标准坦克设计!$B$14:$K$20,9)/30))</f>
        <v>33.434051148197348</v>
      </c>
      <c r="AO184" s="172">
        <f ca="1">(VLOOKUP(AO$72,INDIRECT($C$5&amp;"生成成长"),2))/((VLOOKUP($B184,INDIRECT($B$5&amp;"生成成长"),4))/(VLOOKUP(AO$72,INDIRECT($C$5&amp;"生成成长"),5))*(VLOOKUP($B$5,标准坦克设计!$B$24:$U$30,MATCH("对"&amp;LEFT($C$5,2)&amp;"输出",标准坦克设计!$B$23:$U$23,0)))*(VLOOKUP($B184,INDIRECT($B$5&amp;"生成成长"),3))*(VLOOKUP($B$5,标准坦克设计!$B$14:$K$20,9)/30))</f>
        <v>35.991581391883493</v>
      </c>
      <c r="AP184" s="172">
        <f ca="1">(VLOOKUP(AP$72,INDIRECT($C$5&amp;"生成成长"),2))/((VLOOKUP($B184,INDIRECT($B$5&amp;"生成成长"),4))/(VLOOKUP(AP$72,INDIRECT($C$5&amp;"生成成长"),5))*(VLOOKUP($B$5,标准坦克设计!$B$24:$U$30,MATCH("对"&amp;LEFT($C$5,2)&amp;"输出",标准坦克设计!$B$23:$U$23,0)))*(VLOOKUP($B184,INDIRECT($B$5&amp;"生成成长"),3))*(VLOOKUP($B$5,标准坦克设计!$B$14:$K$20,9)/30))</f>
        <v>38.643358981233114</v>
      </c>
      <c r="AQ184" s="172">
        <f ca="1">(VLOOKUP(AQ$72,INDIRECT($C$5&amp;"生成成长"),2))/((VLOOKUP($B184,INDIRECT($B$5&amp;"生成成长"),4))/(VLOOKUP(AQ$72,INDIRECT($C$5&amp;"生成成长"),5))*(VLOOKUP($B$5,标准坦克设计!$B$24:$U$30,MATCH("对"&amp;LEFT($C$5,2)&amp;"输出",标准坦克设计!$B$23:$U$23,0)))*(VLOOKUP($B184,INDIRECT($B$5&amp;"生成成长"),3))*(VLOOKUP($B$5,标准坦克设计!$B$14:$K$20,9)/30))</f>
        <v>41.389383916246217</v>
      </c>
      <c r="AR184" s="172">
        <f ca="1">(VLOOKUP(AR$72,INDIRECT($C$5&amp;"生成成长"),2))/((VLOOKUP($B184,INDIRECT($B$5&amp;"生成成长"),4))/(VLOOKUP(AR$72,INDIRECT($C$5&amp;"生成成长"),5))*(VLOOKUP($B$5,标准坦克设计!$B$24:$U$30,MATCH("对"&amp;LEFT($C$5,2)&amp;"输出",标准坦克设计!$B$23:$U$23,0)))*(VLOOKUP($B184,INDIRECT($B$5&amp;"生成成长"),3))*(VLOOKUP($B$5,标准坦克设计!$B$14:$K$20,9)/30))</f>
        <v>44.229656196922789</v>
      </c>
      <c r="AS184" s="172">
        <f ca="1">(VLOOKUP(AS$72,INDIRECT($C$5&amp;"生成成长"),2))/((VLOOKUP($B184,INDIRECT($B$5&amp;"生成成长"),4))/(VLOOKUP(AS$72,INDIRECT($C$5&amp;"生成成长"),5))*(VLOOKUP($B$5,标准坦克设计!$B$24:$U$30,MATCH("对"&amp;LEFT($C$5,2)&amp;"输出",标准坦克设计!$B$23:$U$23,0)))*(VLOOKUP($B184,INDIRECT($B$5&amp;"生成成长"),3))*(VLOOKUP($B$5,标准坦克设计!$B$14:$K$20,9)/30))</f>
        <v>47.164175823262845</v>
      </c>
      <c r="AT184" s="172">
        <f ca="1">(VLOOKUP(AT$72,INDIRECT($C$5&amp;"生成成长"),2))/((VLOOKUP($B184,INDIRECT($B$5&amp;"生成成长"),4))/(VLOOKUP(AT$72,INDIRECT($C$5&amp;"生成成长"),5))*(VLOOKUP($B$5,标准坦克设计!$B$24:$U$30,MATCH("对"&amp;LEFT($C$5,2)&amp;"输出",标准坦克设计!$B$23:$U$23,0)))*(VLOOKUP($B184,INDIRECT($B$5&amp;"生成成长"),3))*(VLOOKUP($B$5,标准坦克设计!$B$14:$K$20,9)/30))</f>
        <v>50.192942795266362</v>
      </c>
      <c r="AU184" s="172">
        <f ca="1">(VLOOKUP(AU$72,INDIRECT($C$5&amp;"生成成长"),2))/((VLOOKUP($B184,INDIRECT($B$5&amp;"生成成长"),4))/(VLOOKUP(AU$72,INDIRECT($C$5&amp;"生成成长"),5))*(VLOOKUP($B$5,标准坦克设计!$B$24:$U$30,MATCH("对"&amp;LEFT($C$5,2)&amp;"输出",标准坦克设计!$B$23:$U$23,0)))*(VLOOKUP($B184,INDIRECT($B$5&amp;"生成成长"),3))*(VLOOKUP($B$5,标准坦克设计!$B$14:$K$20,9)/30))</f>
        <v>53.315957112933368</v>
      </c>
      <c r="AV184" s="172">
        <f ca="1">(VLOOKUP(AV$72,INDIRECT($C$5&amp;"生成成长"),2))/((VLOOKUP($B184,INDIRECT($B$5&amp;"生成成长"),4))/(VLOOKUP(AV$72,INDIRECT($C$5&amp;"生成成长"),5))*(VLOOKUP($B$5,标准坦克设计!$B$24:$U$30,MATCH("对"&amp;LEFT($C$5,2)&amp;"输出",标准坦克设计!$B$23:$U$23,0)))*(VLOOKUP($B184,INDIRECT($B$5&amp;"生成成长"),3))*(VLOOKUP($B$5,标准坦克设计!$B$14:$K$20,9)/30))</f>
        <v>5.4227274422241365</v>
      </c>
      <c r="AW184" s="172">
        <f ca="1">(VLOOKUP(AW$72,INDIRECT($C$5&amp;"生成成长"),2))/((VLOOKUP($B184,INDIRECT($B$5&amp;"生成成长"),4))/(VLOOKUP(AW$72,INDIRECT($C$5&amp;"生成成长"),5))*(VLOOKUP($B$5,标准坦克设计!$B$24:$U$30,MATCH("对"&amp;LEFT($C$5,2)&amp;"输出",标准坦克设计!$B$23:$U$23,0)))*(VLOOKUP($B184,INDIRECT($B$5&amp;"生成成长"),3))*(VLOOKUP($B$5,标准坦克设计!$B$14:$K$20,9)/30))</f>
        <v>6.1829374369972978</v>
      </c>
      <c r="AX184" s="172">
        <f ca="1">(VLOOKUP(AX$72,INDIRECT($C$5&amp;"生成成长"),2))/((VLOOKUP($B184,INDIRECT($B$5&amp;"生成成长"),4))/(VLOOKUP(AX$72,INDIRECT($C$5&amp;"生成成长"),5))*(VLOOKUP($B$5,标准坦克设计!$B$24:$U$30,MATCH("对"&amp;LEFT($C$5,2)&amp;"输出",标准坦克设计!$B$23:$U$23,0)))*(VLOOKUP($B184,INDIRECT($B$5&amp;"生成成长"),3))*(VLOOKUP($B$5,标准坦克设计!$B$14:$K$20,9)/30))</f>
        <v>6.9929972674932905</v>
      </c>
      <c r="AY184" s="172">
        <f ca="1">(VLOOKUP(AY$72,INDIRECT($C$5&amp;"生成成长"),2))/((VLOOKUP($B184,INDIRECT($B$5&amp;"生成成长"),4))/(VLOOKUP(AY$72,INDIRECT($C$5&amp;"生成成长"),5))*(VLOOKUP($B$5,标准坦克设计!$B$24:$U$30,MATCH("对"&amp;LEFT($C$5,2)&amp;"输出",标准坦克设计!$B$23:$U$23,0)))*(VLOOKUP($B184,INDIRECT($B$5&amp;"生成成长"),3))*(VLOOKUP($B$5,标准坦克设计!$B$14:$K$20,9)/30))</f>
        <v>7.8529069337121138</v>
      </c>
      <c r="AZ184" s="172">
        <f ca="1">(VLOOKUP(AZ$72,INDIRECT($C$5&amp;"生成成长"),2))/((VLOOKUP($B184,INDIRECT($B$5&amp;"生成成长"),4))/(VLOOKUP(AZ$72,INDIRECT($C$5&amp;"生成成长"),5))*(VLOOKUP($B$5,标准坦克设计!$B$24:$U$30,MATCH("对"&amp;LEFT($C$5,2)&amp;"输出",标准坦克设计!$B$23:$U$23,0)))*(VLOOKUP($B184,INDIRECT($B$5&amp;"生成成长"),3))*(VLOOKUP($B$5,标准坦克设计!$B$14:$K$20,9)/30))</f>
        <v>8.7626664356537685</v>
      </c>
      <c r="BA184" s="172">
        <f ca="1">(VLOOKUP(BA$72,INDIRECT($C$5&amp;"生成成长"),2))/((VLOOKUP($B184,INDIRECT($B$5&amp;"生成成长"),4))/(VLOOKUP(BA$72,INDIRECT($C$5&amp;"生成成长"),5))*(VLOOKUP($B$5,标准坦克设计!$B$24:$U$30,MATCH("对"&amp;LEFT($C$5,2)&amp;"输出",标准坦克设计!$B$23:$U$23,0)))*(VLOOKUP($B184,INDIRECT($B$5&amp;"生成成长"),3))*(VLOOKUP($B$5,标准坦克设计!$B$14:$K$20,9)/30))</f>
        <v>9.7222757733182501</v>
      </c>
      <c r="BB184" s="172">
        <f ca="1">(VLOOKUP(BB$72,INDIRECT($C$5&amp;"生成成长"),2))/((VLOOKUP($B184,INDIRECT($B$5&amp;"生成成长"),4))/(VLOOKUP(BB$72,INDIRECT($C$5&amp;"生成成长"),5))*(VLOOKUP($B$5,标准坦克设计!$B$24:$U$30,MATCH("对"&amp;LEFT($C$5,2)&amp;"输出",标准坦克设计!$B$23:$U$23,0)))*(VLOOKUP($B184,INDIRECT($B$5&amp;"生成成长"),3))*(VLOOKUP($B$5,标准坦克设计!$B$14:$K$20,9)/30))</f>
        <v>10.731734946705568</v>
      </c>
      <c r="BC184" s="172">
        <f ca="1">(VLOOKUP(BC$72,INDIRECT($C$5&amp;"生成成长"),2))/((VLOOKUP($B184,INDIRECT($B$5&amp;"生成成长"),4))/(VLOOKUP(BC$72,INDIRECT($C$5&amp;"生成成长"),5))*(VLOOKUP($B$5,标准坦克设计!$B$24:$U$30,MATCH("对"&amp;LEFT($C$5,2)&amp;"输出",标准坦克设计!$B$23:$U$23,0)))*(VLOOKUP($B184,INDIRECT($B$5&amp;"生成成长"),3))*(VLOOKUP($B$5,标准坦克设计!$B$14:$K$20,9)/30))</f>
        <v>11.791043955815711</v>
      </c>
      <c r="BD184" s="172">
        <f ca="1">(VLOOKUP(BD$72,INDIRECT($C$5&amp;"生成成长"),2))/((VLOOKUP($B184,INDIRECT($B$5&amp;"生成成长"),4))/(VLOOKUP(BD$72,INDIRECT($C$5&amp;"生成成长"),5))*(VLOOKUP($B$5,标准坦克设计!$B$24:$U$30,MATCH("对"&amp;LEFT($C$5,2)&amp;"输出",标准坦克设计!$B$23:$U$23,0)))*(VLOOKUP($B184,INDIRECT($B$5&amp;"生成成长"),3))*(VLOOKUP($B$5,标准坦克设计!$B$14:$K$20,9)/30))</f>
        <v>13.042352722827065</v>
      </c>
      <c r="BE184" s="172">
        <f ca="1">(VLOOKUP(BE$72,INDIRECT($C$5&amp;"生成成长"),2))/((VLOOKUP($B184,INDIRECT($B$5&amp;"生成成长"),4))/(VLOOKUP(BE$72,INDIRECT($C$5&amp;"生成成长"),5))*(VLOOKUP($B$5,标准坦克设计!$B$24:$U$30,MATCH("对"&amp;LEFT($C$5,2)&amp;"输出",标准坦克设计!$B$23:$U$23,0)))*(VLOOKUP($B184,INDIRECT($B$5&amp;"生成成长"),3))*(VLOOKUP($B$5,标准坦克设计!$B$14:$K$20,9)/30))</f>
        <v>14.356752688175135</v>
      </c>
      <c r="BF184" s="172">
        <f ca="1">(VLOOKUP(BF$72,INDIRECT($C$5&amp;"生成成长"),2))/((VLOOKUP($B184,INDIRECT($B$5&amp;"生成成长"),4))/(VLOOKUP(BF$72,INDIRECT($C$5&amp;"生成成长"),5))*(VLOOKUP($B$5,标准坦克设计!$B$24:$U$30,MATCH("对"&amp;LEFT($C$5,2)&amp;"输出",标准坦克设计!$B$23:$U$23,0)))*(VLOOKUP($B184,INDIRECT($B$5&amp;"生成成长"),3))*(VLOOKUP($B$5,标准坦克设计!$B$14:$K$20,9)/30))</f>
        <v>15.734243851859906</v>
      </c>
      <c r="BG184" s="172">
        <f ca="1">(VLOOKUP(BG$72,INDIRECT($C$5&amp;"生成成长"),2))/((VLOOKUP($B184,INDIRECT($B$5&amp;"生成成长"),4))/(VLOOKUP(BG$72,INDIRECT($C$5&amp;"生成成长"),5))*(VLOOKUP($B$5,标准坦克设计!$B$24:$U$30,MATCH("对"&amp;LEFT($C$5,2)&amp;"输出",标准坦克设计!$B$23:$U$23,0)))*(VLOOKUP($B184,INDIRECT($B$5&amp;"生成成长"),3))*(VLOOKUP($B$5,标准坦克设计!$B$14:$K$20,9)/30))</f>
        <v>17.174826213881381</v>
      </c>
      <c r="BH184" s="172">
        <f ca="1">(VLOOKUP(BH$72,INDIRECT($C$5&amp;"生成成长"),2))/((VLOOKUP($B184,INDIRECT($B$5&amp;"生成成长"),4))/(VLOOKUP(BH$72,INDIRECT($C$5&amp;"生成成长"),5))*(VLOOKUP($B$5,标准坦克设计!$B$24:$U$30,MATCH("对"&amp;LEFT($C$5,2)&amp;"输出",标准坦克设计!$B$23:$U$23,0)))*(VLOOKUP($B184,INDIRECT($B$5&amp;"生成成长"),3))*(VLOOKUP($B$5,标准坦克设计!$B$14:$K$20,9)/30))</f>
        <v>8.301555455217585</v>
      </c>
      <c r="BI184" s="172">
        <f ca="1">(VLOOKUP(BI$72,INDIRECT($C$5&amp;"生成成长"),2))/((VLOOKUP($B184,INDIRECT($B$5&amp;"生成成长"),4))/(VLOOKUP(BI$72,INDIRECT($C$5&amp;"生成成长"),5))*(VLOOKUP($B$5,标准坦克设计!$B$24:$U$30,MATCH("对"&amp;LEFT($C$5,2)&amp;"输出",标准坦克设计!$B$23:$U$23,0)))*(VLOOKUP($B184,INDIRECT($B$5&amp;"生成成长"),3))*(VLOOKUP($B$5,标准坦克设计!$B$14:$K$20,9)/30))</f>
        <v>9.3565804940703003</v>
      </c>
      <c r="BJ184" s="172">
        <f ca="1">(VLOOKUP(BJ$72,INDIRECT($C$5&amp;"生成成长"),2))/((VLOOKUP($B184,INDIRECT($B$5&amp;"生成成长"),4))/(VLOOKUP(BJ$72,INDIRECT($C$5&amp;"生成成长"),5))*(VLOOKUP($B$5,标准坦克设计!$B$24:$U$30,MATCH("对"&amp;LEFT($C$5,2)&amp;"输出",标准坦克设计!$B$23:$U$23,0)))*(VLOOKUP($B184,INDIRECT($B$5&amp;"生成成长"),3))*(VLOOKUP($B$5,标准坦克设计!$B$14:$K$20,9)/30))</f>
        <v>10.474696731259719</v>
      </c>
      <c r="BK184" s="172">
        <f ca="1">(VLOOKUP(BK$72,INDIRECT($C$5&amp;"生成成长"),2))/((VLOOKUP($B184,INDIRECT($B$5&amp;"生成成长"),4))/(VLOOKUP(BK$72,INDIRECT($C$5&amp;"生成成长"),5))*(VLOOKUP($B$5,标准坦克设计!$B$24:$U$30,MATCH("对"&amp;LEFT($C$5,2)&amp;"输出",标准坦克设计!$B$23:$U$23,0)))*(VLOOKUP($B184,INDIRECT($B$5&amp;"生成成长"),3))*(VLOOKUP($B$5,标准坦克设计!$B$14:$K$20,9)/30))</f>
        <v>11.655904166785851</v>
      </c>
      <c r="BL184" s="172">
        <f ca="1">(VLOOKUP(BL$72,INDIRECT($C$5&amp;"生成成长"),2))/((VLOOKUP($B184,INDIRECT($B$5&amp;"生成成长"),4))/(VLOOKUP(BL$72,INDIRECT($C$5&amp;"生成成长"),5))*(VLOOKUP($B$5,标准坦克设计!$B$24:$U$30,MATCH("对"&amp;LEFT($C$5,2)&amp;"输出",标准坦克设计!$B$23:$U$23,0)))*(VLOOKUP($B184,INDIRECT($B$5&amp;"生成成长"),3))*(VLOOKUP($B$5,标准坦克设计!$B$14:$K$20,9)/30))</f>
        <v>12.900202800648687</v>
      </c>
      <c r="BM184" s="172">
        <f ca="1">(VLOOKUP(BM$72,INDIRECT($C$5&amp;"生成成长"),2))/((VLOOKUP($B184,INDIRECT($B$5&amp;"生成成长"),4))/(VLOOKUP(BM$72,INDIRECT($C$5&amp;"生成成长"),5))*(VLOOKUP($B$5,标准坦克设计!$B$24:$U$30,MATCH("对"&amp;LEFT($C$5,2)&amp;"输出",标准坦克设计!$B$23:$U$23,0)))*(VLOOKUP($B184,INDIRECT($B$5&amp;"生成成长"),3))*(VLOOKUP($B$5,标准坦克设计!$B$14:$K$20,9)/30))</f>
        <v>14.207592632848225</v>
      </c>
      <c r="BN184" s="172">
        <f ca="1">(VLOOKUP(BN$72,INDIRECT($C$5&amp;"生成成长"),2))/((VLOOKUP($B184,INDIRECT($B$5&amp;"生成成长"),4))/(VLOOKUP(BN$72,INDIRECT($C$5&amp;"生成成长"),5))*(VLOOKUP($B$5,标准坦克设计!$B$24:$U$30,MATCH("对"&amp;LEFT($C$5,2)&amp;"输出",标准坦克设计!$B$23:$U$23,0)))*(VLOOKUP($B184,INDIRECT($B$5&amp;"生成成长"),3))*(VLOOKUP($B$5,标准坦克设计!$B$14:$K$20,9)/30))</f>
        <v>15.578073663384476</v>
      </c>
      <c r="BO184" s="172">
        <f ca="1">(VLOOKUP(BO$72,INDIRECT($C$5&amp;"生成成长"),2))/((VLOOKUP($B184,INDIRECT($B$5&amp;"生成成长"),4))/(VLOOKUP(BO$72,INDIRECT($C$5&amp;"生成成长"),5))*(VLOOKUP($B$5,标准坦克设计!$B$24:$U$30,MATCH("对"&amp;LEFT($C$5,2)&amp;"输出",标准坦克设计!$B$23:$U$23,0)))*(VLOOKUP($B184,INDIRECT($B$5&amp;"生成成长"),3))*(VLOOKUP($B$5,标准坦克设计!$B$14:$K$20,9)/30))</f>
        <v>17.011645892257434</v>
      </c>
      <c r="BP184" s="172">
        <f ca="1">(VLOOKUP(BP$72,INDIRECT($C$5&amp;"生成成长"),2))/((VLOOKUP($B184,INDIRECT($B$5&amp;"生成成长"),4))/(VLOOKUP(BP$72,INDIRECT($C$5&amp;"生成成长"),5))*(VLOOKUP($B$5,标准坦克设计!$B$24:$U$30,MATCH("对"&amp;LEFT($C$5,2)&amp;"输出",标准坦克设计!$B$23:$U$23,0)))*(VLOOKUP($B184,INDIRECT($B$5&amp;"生成成长"),3))*(VLOOKUP($B$5,标准坦克设计!$B$14:$K$20,9)/30))</f>
        <v>18.508309319467095</v>
      </c>
      <c r="BQ184" s="172">
        <f ca="1">(VLOOKUP(BQ$72,INDIRECT($C$5&amp;"生成成长"),2))/((VLOOKUP($B184,INDIRECT($B$5&amp;"生成成长"),4))/(VLOOKUP(BQ$72,INDIRECT($C$5&amp;"生成成长"),5))*(VLOOKUP($B$5,标准坦克设计!$B$24:$U$30,MATCH("对"&amp;LEFT($C$5,2)&amp;"输出",标准坦克设计!$B$23:$U$23,0)))*(VLOOKUP($B184,INDIRECT($B$5&amp;"生成成长"),3))*(VLOOKUP($B$5,标准坦克设计!$B$14:$K$20,9)/30))</f>
        <v>20.068063945013467</v>
      </c>
      <c r="BR184" s="172">
        <f ca="1">(VLOOKUP(BR$72,INDIRECT($C$5&amp;"生成成长"),2))/((VLOOKUP($B184,INDIRECT($B$5&amp;"生成成长"),4))/(VLOOKUP(BR$72,INDIRECT($C$5&amp;"生成成长"),5))*(VLOOKUP($B$5,标准坦克设计!$B$24:$U$30,MATCH("对"&amp;LEFT($C$5,2)&amp;"输出",标准坦克设计!$B$23:$U$23,0)))*(VLOOKUP($B184,INDIRECT($B$5&amp;"生成成长"),3))*(VLOOKUP($B$5,标准坦克设计!$B$14:$K$20,9)/30))</f>
        <v>21.875120489966069</v>
      </c>
      <c r="BS184" s="172">
        <f ca="1">(VLOOKUP(BS$72,INDIRECT($C$5&amp;"生成成长"),2))/((VLOOKUP($B184,INDIRECT($B$5&amp;"生成成长"),4))/(VLOOKUP(BS$72,INDIRECT($C$5&amp;"生成成长"),5))*(VLOOKUP($B$5,标准坦克设计!$B$24:$U$30,MATCH("对"&amp;LEFT($C$5,2)&amp;"输出",标准坦克设计!$B$23:$U$23,0)))*(VLOOKUP($B184,INDIRECT($B$5&amp;"生成成长"),3))*(VLOOKUP($B$5,标准坦克设计!$B$14:$K$20,9)/30))</f>
        <v>23.760067403235585</v>
      </c>
      <c r="BT184" s="172">
        <f ca="1">(VLOOKUP(BT$72,INDIRECT($C$5&amp;"生成成长"),2))/((VLOOKUP($B184,INDIRECT($B$5&amp;"生成成长"),4))/(VLOOKUP(BT$72,INDIRECT($C$5&amp;"生成成长"),5))*(VLOOKUP($B$5,标准坦克设计!$B$24:$U$30,MATCH("对"&amp;LEFT($C$5,2)&amp;"输出",标准坦克设计!$B$23:$U$23,0)))*(VLOOKUP($B184,INDIRECT($B$5&amp;"生成成长"),3))*(VLOOKUP($B$5,标准坦克设计!$B$14:$K$20,9)/30))</f>
        <v>25.72290468482203</v>
      </c>
      <c r="BU184" s="172">
        <f ca="1">(VLOOKUP(BU$72,INDIRECT($C$5&amp;"生成成长"),2))/((VLOOKUP($B184,INDIRECT($B$5&amp;"生成成长"),4))/(VLOOKUP(BU$72,INDIRECT($C$5&amp;"生成成长"),5))*(VLOOKUP($B$5,标准坦克设计!$B$24:$U$30,MATCH("对"&amp;LEFT($C$5,2)&amp;"输出",标准坦克设计!$B$23:$U$23,0)))*(VLOOKUP($B184,INDIRECT($B$5&amp;"生成成长"),3))*(VLOOKUP($B$5,标准坦克设计!$B$14:$K$20,9)/30))</f>
        <v>27.763632334725397</v>
      </c>
      <c r="BV184" s="172">
        <f ca="1">(VLOOKUP(BV$72,INDIRECT($C$5&amp;"生成成长"),2))/((VLOOKUP($B184,INDIRECT($B$5&amp;"生成成长"),4))/(VLOOKUP(BV$72,INDIRECT($C$5&amp;"生成成长"),5))*(VLOOKUP($B$5,标准坦克设计!$B$24:$U$30,MATCH("对"&amp;LEFT($C$5,2)&amp;"输出",标准坦克设计!$B$23:$U$23,0)))*(VLOOKUP($B184,INDIRECT($B$5&amp;"生成成长"),3))*(VLOOKUP($B$5,标准坦克设计!$B$14:$K$20,9)/30))</f>
        <v>29.882250352945682</v>
      </c>
      <c r="BW184" s="172">
        <f ca="1">(VLOOKUP(BW$72,INDIRECT($C$5&amp;"生成成长"),2))/((VLOOKUP($B184,INDIRECT($B$5&amp;"生成成长"),4))/(VLOOKUP(BW$72,INDIRECT($C$5&amp;"生成成长"),5))*(VLOOKUP($B$5,标准坦克设计!$B$24:$U$30,MATCH("对"&amp;LEFT($C$5,2)&amp;"输出",标准坦克设计!$B$23:$U$23,0)))*(VLOOKUP($B184,INDIRECT($B$5&amp;"生成成长"),3))*(VLOOKUP($B$5,标准坦克设计!$B$14:$K$20,9)/30))</f>
        <v>13.618741448372294</v>
      </c>
      <c r="BX184" s="172">
        <f ca="1">(VLOOKUP(BX$72,INDIRECT($C$5&amp;"生成成长"),2))/((VLOOKUP($B184,INDIRECT($B$5&amp;"生成成长"),4))/(VLOOKUP(BX$72,INDIRECT($C$5&amp;"生成成长"),5))*(VLOOKUP($B$5,标准坦克设计!$B$24:$U$30,MATCH("对"&amp;LEFT($C$5,2)&amp;"输出",标准坦克设计!$B$23:$U$23,0)))*(VLOOKUP($B184,INDIRECT($B$5&amp;"生成成长"),3))*(VLOOKUP($B$5,标准坦克设计!$B$14:$K$20,9)/30))</f>
        <v>15.114236520057203</v>
      </c>
      <c r="BY184" s="172">
        <f ca="1">(VLOOKUP(BY$72,INDIRECT($C$5&amp;"生成成长"),2))/((VLOOKUP($B184,INDIRECT($B$5&amp;"生成成长"),4))/(VLOOKUP(BY$72,INDIRECT($C$5&amp;"生成成长"),5))*(VLOOKUP($B$5,标准坦克设计!$B$24:$U$30,MATCH("对"&amp;LEFT($C$5,2)&amp;"输出",标准坦克设计!$B$23:$U$23,0)))*(VLOOKUP($B184,INDIRECT($B$5&amp;"生成成长"),3))*(VLOOKUP($B$5,标准坦克设计!$B$14:$K$20,9)/30))</f>
        <v>16.687621960059037</v>
      </c>
      <c r="BZ184" s="172">
        <f ca="1">(VLOOKUP(BZ$72,INDIRECT($C$5&amp;"生成成长"),2))/((VLOOKUP($B184,INDIRECT($B$5&amp;"生成成长"),4))/(VLOOKUP(BZ$72,INDIRECT($C$5&amp;"生成成长"),5))*(VLOOKUP($B$5,标准坦克设计!$B$24:$U$30,MATCH("对"&amp;LEFT($C$5,2)&amp;"输出",标准坦克设计!$B$23:$U$23,0)))*(VLOOKUP($B184,INDIRECT($B$5&amp;"生成成长"),3))*(VLOOKUP($B$5,标准坦克设计!$B$14:$K$20,9)/30))</f>
        <v>18.338897768377787</v>
      </c>
      <c r="CA184" s="172">
        <f ca="1">(VLOOKUP(CA$72,INDIRECT($C$5&amp;"生成成长"),2))/((VLOOKUP($B184,INDIRECT($B$5&amp;"生成成长"),4))/(VLOOKUP(CA$72,INDIRECT($C$5&amp;"生成成长"),5))*(VLOOKUP($B$5,标准坦克设计!$B$24:$U$30,MATCH("对"&amp;LEFT($C$5,2)&amp;"输出",标准坦克设计!$B$23:$U$23,0)))*(VLOOKUP($B184,INDIRECT($B$5&amp;"生成成长"),3))*(VLOOKUP($B$5,标准坦克设计!$B$14:$K$20,9)/30))</f>
        <v>20.068063945013467</v>
      </c>
      <c r="CB184" s="172">
        <f ca="1">(VLOOKUP(CB$72,INDIRECT($C$5&amp;"生成成长"),2))/((VLOOKUP($B184,INDIRECT($B$5&amp;"生成成长"),4))/(VLOOKUP(CB$72,INDIRECT($C$5&amp;"生成成长"),5))*(VLOOKUP($B$5,标准坦克设计!$B$24:$U$30,MATCH("对"&amp;LEFT($C$5,2)&amp;"输出",标准坦克设计!$B$23:$U$23,0)))*(VLOOKUP($B184,INDIRECT($B$5&amp;"生成成长"),3))*(VLOOKUP($B$5,标准坦克设计!$B$14:$K$20,9)/30))</f>
        <v>21.875120489966069</v>
      </c>
      <c r="CC184" s="172">
        <f ca="1">(VLOOKUP(CC$72,INDIRECT($C$5&amp;"生成成长"),2))/((VLOOKUP($B184,INDIRECT($B$5&amp;"生成成长"),4))/(VLOOKUP(CC$72,INDIRECT($C$5&amp;"生成成长"),5))*(VLOOKUP($B$5,标准坦克设计!$B$24:$U$30,MATCH("对"&amp;LEFT($C$5,2)&amp;"输出",标准坦克设计!$B$23:$U$23,0)))*(VLOOKUP($B184,INDIRECT($B$5&amp;"生成成长"),3))*(VLOOKUP($B$5,标准坦克设计!$B$14:$K$20,9)/30))</f>
        <v>23.760067403235585</v>
      </c>
      <c r="CD184" s="172">
        <f ca="1">(VLOOKUP(CD$72,INDIRECT($C$5&amp;"生成成长"),2))/((VLOOKUP($B184,INDIRECT($B$5&amp;"生成成长"),4))/(VLOOKUP(CD$72,INDIRECT($C$5&amp;"生成成长"),5))*(VLOOKUP($B$5,标准坦克设计!$B$24:$U$30,MATCH("对"&amp;LEFT($C$5,2)&amp;"输出",标准坦克设计!$B$23:$U$23,0)))*(VLOOKUP($B184,INDIRECT($B$5&amp;"生成成长"),3))*(VLOOKUP($B$5,标准坦克设计!$B$14:$K$20,9)/30))</f>
        <v>25.72290468482203</v>
      </c>
      <c r="CE184" s="172">
        <f ca="1">(VLOOKUP(CE$72,INDIRECT($C$5&amp;"生成成长"),2))/((VLOOKUP($B184,INDIRECT($B$5&amp;"生成成长"),4))/(VLOOKUP(CE$72,INDIRECT($C$5&amp;"生成成长"),5))*(VLOOKUP($B$5,标准坦克设计!$B$24:$U$30,MATCH("对"&amp;LEFT($C$5,2)&amp;"输出",标准坦克设计!$B$23:$U$23,0)))*(VLOOKUP($B184,INDIRECT($B$5&amp;"生成成长"),3))*(VLOOKUP($B$5,标准坦克设计!$B$14:$K$20,9)/30))</f>
        <v>27.763632334725397</v>
      </c>
      <c r="CF184" s="172">
        <f ca="1">(VLOOKUP(CF$72,INDIRECT($C$5&amp;"生成成长"),2))/((VLOOKUP($B184,INDIRECT($B$5&amp;"生成成长"),4))/(VLOOKUP(CF$72,INDIRECT($C$5&amp;"生成成长"),5))*(VLOOKUP($B$5,标准坦克设计!$B$24:$U$30,MATCH("对"&amp;LEFT($C$5,2)&amp;"输出",标准坦克设计!$B$23:$U$23,0)))*(VLOOKUP($B184,INDIRECT($B$5&amp;"生成成长"),3))*(VLOOKUP($B$5,标准坦克设计!$B$14:$K$20,9)/30))</f>
        <v>29.882250352945682</v>
      </c>
      <c r="CG184" s="172">
        <f ca="1">(VLOOKUP(CG$72,INDIRECT($C$5&amp;"生成成长"),2))/((VLOOKUP($B184,INDIRECT($B$5&amp;"生成成长"),4))/(VLOOKUP(CG$72,INDIRECT($C$5&amp;"生成成长"),5))*(VLOOKUP($B$5,标准坦克设计!$B$24:$U$30,MATCH("对"&amp;LEFT($C$5,2)&amp;"输出",标准坦克设计!$B$23:$U$23,0)))*(VLOOKUP($B184,INDIRECT($B$5&amp;"生成成长"),3))*(VLOOKUP($B$5,标准坦克设计!$B$14:$K$20,9)/30))</f>
        <v>32.0787587394829</v>
      </c>
      <c r="CH184" s="172">
        <f ca="1">(VLOOKUP(CH$72,INDIRECT($C$5&amp;"生成成长"),2))/((VLOOKUP($B184,INDIRECT($B$5&amp;"生成成长"),4))/(VLOOKUP(CH$72,INDIRECT($C$5&amp;"生成成长"),5))*(VLOOKUP($B$5,标准坦克设计!$B$24:$U$30,MATCH("对"&amp;LEFT($C$5,2)&amp;"输出",标准坦克设计!$B$23:$U$23,0)))*(VLOOKUP($B184,INDIRECT($B$5&amp;"生成成长"),3))*(VLOOKUP($B$5,标准坦克设计!$B$14:$K$20,9)/30))</f>
        <v>34.353157494337026</v>
      </c>
      <c r="CI184" s="172">
        <f ca="1">(VLOOKUP(CI$72,INDIRECT($C$5&amp;"生成成长"),2))/((VLOOKUP($B184,INDIRECT($B$5&amp;"生成成长"),4))/(VLOOKUP(CI$72,INDIRECT($C$5&amp;"生成成长"),5))*(VLOOKUP($B$5,标准坦克设计!$B$24:$U$30,MATCH("对"&amp;LEFT($C$5,2)&amp;"输出",标准坦克设计!$B$23:$U$23,0)))*(VLOOKUP($B184,INDIRECT($B$5&amp;"生成成长"),3))*(VLOOKUP($B$5,标准坦克设计!$B$14:$K$20,9)/30))</f>
        <v>36.944959500082618</v>
      </c>
      <c r="CJ184" s="172">
        <f ca="1">(VLOOKUP(CJ$72,INDIRECT($C$5&amp;"生成成长"),2))/((VLOOKUP($B184,INDIRECT($B$5&amp;"生成成长"),4))/(VLOOKUP(CJ$72,INDIRECT($C$5&amp;"生成成长"),5))*(VLOOKUP($B$5,标准坦克设计!$B$24:$U$30,MATCH("对"&amp;LEFT($C$5,2)&amp;"输出",标准坦克设计!$B$23:$U$23,0)))*(VLOOKUP($B184,INDIRECT($B$5&amp;"生成成长"),3))*(VLOOKUP($B$5,标准坦克设计!$B$14:$K$20,9)/30))</f>
        <v>39.631008851491693</v>
      </c>
      <c r="CK184" s="172">
        <f ca="1">(VLOOKUP(CK$72,INDIRECT($C$5&amp;"生成成长"),2))/((VLOOKUP($B184,INDIRECT($B$5&amp;"生成成长"),4))/(VLOOKUP(CK$72,INDIRECT($C$5&amp;"生成成长"),5))*(VLOOKUP($B$5,标准坦克设计!$B$24:$U$30,MATCH("对"&amp;LEFT($C$5,2)&amp;"输出",标准坦克设计!$B$23:$U$23,0)))*(VLOOKUP($B184,INDIRECT($B$5&amp;"生成成长"),3))*(VLOOKUP($B$5,标准坦克设计!$B$14:$K$20,9)/30))</f>
        <v>42.411305548564236</v>
      </c>
      <c r="CL184" s="172">
        <f ca="1">(VLOOKUP(CL$72,INDIRECT($C$5&amp;"生成成长"),2))/((VLOOKUP($B184,INDIRECT($B$5&amp;"生成成长"),4))/(VLOOKUP(CL$72,INDIRECT($C$5&amp;"生成成长"),5))*(VLOOKUP($B$5,标准坦克设计!$B$24:$U$30,MATCH("对"&amp;LEFT($C$5,2)&amp;"输出",标准坦克设计!$B$23:$U$23,0)))*(VLOOKUP($B184,INDIRECT($B$5&amp;"生成成长"),3))*(VLOOKUP($B$5,标准坦克设计!$B$14:$K$20,9)/30))</f>
        <v>45.285849591300249</v>
      </c>
      <c r="CM184" s="172">
        <f ca="1">(VLOOKUP(CM$72,INDIRECT($C$5&amp;"生成成长"),2))/((VLOOKUP($B184,INDIRECT($B$5&amp;"生成成长"),4))/(VLOOKUP(CM$72,INDIRECT($C$5&amp;"生成成长"),5))*(VLOOKUP($B$5,标准坦克设计!$B$24:$U$30,MATCH("对"&amp;LEFT($C$5,2)&amp;"输出",标准坦克设计!$B$23:$U$23,0)))*(VLOOKUP($B184,INDIRECT($B$5&amp;"生成成长"),3))*(VLOOKUP($B$5,标准坦克设计!$B$14:$K$20,9)/30))</f>
        <v>48.254640979699758</v>
      </c>
      <c r="CN184" s="172">
        <f ca="1">(VLOOKUP(CN$72,INDIRECT($C$5&amp;"生成成长"),2))/((VLOOKUP($B184,INDIRECT($B$5&amp;"生成成长"),4))/(VLOOKUP(CN$72,INDIRECT($C$5&amp;"生成成长"),5))*(VLOOKUP($B$5,标准坦克设计!$B$24:$U$30,MATCH("对"&amp;LEFT($C$5,2)&amp;"输出",标准坦克设计!$B$23:$U$23,0)))*(VLOOKUP($B184,INDIRECT($B$5&amp;"生成成长"),3))*(VLOOKUP($B$5,标准坦克设计!$B$14:$K$20,9)/30))</f>
        <v>51.317679713762736</v>
      </c>
      <c r="CO184" s="172">
        <f ca="1">(VLOOKUP(CO$72,INDIRECT($C$5&amp;"生成成长"),2))/((VLOOKUP($B184,INDIRECT($B$5&amp;"生成成长"),4))/(VLOOKUP(CO$72,INDIRECT($C$5&amp;"生成成长"),5))*(VLOOKUP($B$5,标准坦克设计!$B$24:$U$30,MATCH("对"&amp;LEFT($C$5,2)&amp;"输出",标准坦克设计!$B$23:$U$23,0)))*(VLOOKUP($B184,INDIRECT($B$5&amp;"生成成长"),3))*(VLOOKUP($B$5,标准坦克设计!$B$14:$K$20,9)/30))</f>
        <v>22.996741793729747</v>
      </c>
      <c r="CP184" s="172">
        <f ca="1">(VLOOKUP(CP$72,INDIRECT($C$5&amp;"生成成长"),2))/((VLOOKUP($B184,INDIRECT($B$5&amp;"生成成长"),4))/(VLOOKUP(CP$72,INDIRECT($C$5&amp;"生成成长"),5))*(VLOOKUP($B$5,标准坦克设计!$B$24:$U$30,MATCH("对"&amp;LEFT($C$5,2)&amp;"输出",标准坦克设计!$B$23:$U$23,0)))*(VLOOKUP($B184,INDIRECT($B$5&amp;"生成成长"),3))*(VLOOKUP($B$5,标准坦克设计!$B$14:$K$20,9)/30))</f>
        <v>25.125875011672822</v>
      </c>
      <c r="CQ184" s="172">
        <f ca="1">(VLOOKUP(CQ$72,INDIRECT($C$5&amp;"生成成长"),2))/((VLOOKUP($B184,INDIRECT($B$5&amp;"生成成长"),4))/(VLOOKUP(CQ$72,INDIRECT($C$5&amp;"生成成长"),5))*(VLOOKUP($B$5,标准坦克设计!$B$24:$U$30,MATCH("对"&amp;LEFT($C$5,2)&amp;"输出",标准坦克设计!$B$23:$U$23,0)))*(VLOOKUP($B184,INDIRECT($B$5&amp;"生成成长"),3))*(VLOOKUP($B$5,标准坦克设计!$B$14:$K$20,9)/30))</f>
        <v>27.349255575279365</v>
      </c>
      <c r="CR184" s="172">
        <f ca="1">(VLOOKUP(CR$72,INDIRECT($C$5&amp;"生成成长"),2))/((VLOOKUP($B184,INDIRECT($B$5&amp;"生成成长"),4))/(VLOOKUP(CR$72,INDIRECT($C$5&amp;"生成成长"),5))*(VLOOKUP($B$5,标准坦克设计!$B$24:$U$30,MATCH("对"&amp;LEFT($C$5,2)&amp;"输出",标准坦克设计!$B$23:$U$23,0)))*(VLOOKUP($B184,INDIRECT($B$5&amp;"生成成长"),3))*(VLOOKUP($B$5,标准坦克设计!$B$14:$K$20,9)/30))</f>
        <v>29.666883484549402</v>
      </c>
      <c r="CS184" s="172">
        <f ca="1">(VLOOKUP(CS$72,INDIRECT($C$5&amp;"生成成长"),2))/((VLOOKUP($B184,INDIRECT($B$5&amp;"生成成长"),4))/(VLOOKUP(CS$72,INDIRECT($C$5&amp;"生成成长"),5))*(VLOOKUP($B$5,标准坦克设计!$B$24:$U$30,MATCH("对"&amp;LEFT($C$5,2)&amp;"输出",标准坦克设计!$B$23:$U$23,0)))*(VLOOKUP($B184,INDIRECT($B$5&amp;"生成成长"),3))*(VLOOKUP($B$5,标准坦克设计!$B$14:$K$20,9)/30))</f>
        <v>32.0787587394829</v>
      </c>
      <c r="CT184" s="172">
        <f ca="1">(VLOOKUP(CT$72,INDIRECT($C$5&amp;"生成成长"),2))/((VLOOKUP($B184,INDIRECT($B$5&amp;"生成成长"),4))/(VLOOKUP(CT$72,INDIRECT($C$5&amp;"生成成长"),5))*(VLOOKUP($B$5,标准坦克设计!$B$24:$U$30,MATCH("对"&amp;LEFT($C$5,2)&amp;"输出",标准坦克设计!$B$23:$U$23,0)))*(VLOOKUP($B184,INDIRECT($B$5&amp;"生成成长"),3))*(VLOOKUP($B$5,标准坦克设计!$B$14:$K$20,9)/30))</f>
        <v>34.584881340079875</v>
      </c>
      <c r="CU184" s="172">
        <f ca="1">(VLOOKUP(CU$72,INDIRECT($C$5&amp;"生成成长"),2))/((VLOOKUP($B184,INDIRECT($B$5&amp;"生成成长"),4))/(VLOOKUP(CU$72,INDIRECT($C$5&amp;"生成成长"),5))*(VLOOKUP($B$5,标准坦克设计!$B$24:$U$30,MATCH("对"&amp;LEFT($C$5,2)&amp;"输出",标准坦克设计!$B$23:$U$23,0)))*(VLOOKUP($B184,INDIRECT($B$5&amp;"生成成长"),3))*(VLOOKUP($B$5,标准坦克设计!$B$14:$K$20,9)/30))</f>
        <v>37.185251286340332</v>
      </c>
      <c r="CV184" s="172">
        <f ca="1">(VLOOKUP(CV$72,INDIRECT($C$5&amp;"生成成长"),2))/((VLOOKUP($B184,INDIRECT($B$5&amp;"生成成长"),4))/(VLOOKUP(CV$72,INDIRECT($C$5&amp;"生成成长"),5))*(VLOOKUP($B$5,标准坦克设计!$B$24:$U$30,MATCH("对"&amp;LEFT($C$5,2)&amp;"输出",标准坦克设计!$B$23:$U$23,0)))*(VLOOKUP($B184,INDIRECT($B$5&amp;"生成成长"),3))*(VLOOKUP($B$5,标准坦克设计!$B$14:$K$20,9)/30))</f>
        <v>39.879868578264258</v>
      </c>
      <c r="CW184" s="172">
        <f ca="1">(VLOOKUP(CW$72,INDIRECT($C$5&amp;"生成成长"),2))/((VLOOKUP($B184,INDIRECT($B$5&amp;"生成成长"),4))/(VLOOKUP(CW$72,INDIRECT($C$5&amp;"生成成长"),5))*(VLOOKUP($B$5,标准坦克设计!$B$24:$U$30,MATCH("对"&amp;LEFT($C$5,2)&amp;"输出",标准坦克设计!$B$23:$U$23,0)))*(VLOOKUP($B184,INDIRECT($B$5&amp;"生成成长"),3))*(VLOOKUP($B$5,标准坦克设计!$B$14:$K$20,9)/30))</f>
        <v>42.668733215851653</v>
      </c>
      <c r="CX184" s="172">
        <f ca="1">(VLOOKUP(CX$72,INDIRECT($C$5&amp;"生成成长"),2))/((VLOOKUP($B184,INDIRECT($B$5&amp;"生成成长"),4))/(VLOOKUP(CX$72,INDIRECT($C$5&amp;"生成成长"),5))*(VLOOKUP($B$5,标准坦克设计!$B$24:$U$30,MATCH("对"&amp;LEFT($C$5,2)&amp;"输出",标准坦克设计!$B$23:$U$23,0)))*(VLOOKUP($B184,INDIRECT($B$5&amp;"生成成长"),3))*(VLOOKUP($B$5,标准坦克设计!$B$14:$K$20,9)/30))</f>
        <v>45.551845199102551</v>
      </c>
      <c r="CY184" s="172">
        <f ca="1">(VLOOKUP(CY$72,INDIRECT($C$5&amp;"生成成长"),2))/((VLOOKUP($B184,INDIRECT($B$5&amp;"生成成长"),4))/(VLOOKUP(CY$72,INDIRECT($C$5&amp;"生成成长"),5))*(VLOOKUP($B$5,标准坦克设计!$B$24:$U$30,MATCH("对"&amp;LEFT($C$5,2)&amp;"输出",标准坦克设计!$B$23:$U$23,0)))*(VLOOKUP($B184,INDIRECT($B$5&amp;"生成成长"),3))*(VLOOKUP($B$5,标准坦克设计!$B$14:$K$20,9)/30))</f>
        <v>48.529204528016898</v>
      </c>
      <c r="CZ184" s="172">
        <f ca="1">(VLOOKUP(CZ$72,INDIRECT($C$5&amp;"生成成长"),2))/((VLOOKUP($B184,INDIRECT($B$5&amp;"生成成长"),4))/(VLOOKUP(CZ$72,INDIRECT($C$5&amp;"生成成长"),5))*(VLOOKUP($B$5,标准坦克设计!$B$24:$U$30,MATCH("对"&amp;LEFT($C$5,2)&amp;"输出",标准坦克设计!$B$23:$U$23,0)))*(VLOOKUP($B184,INDIRECT($B$5&amp;"生成成长"),3))*(VLOOKUP($B$5,标准坦克设计!$B$14:$K$20,9)/30))</f>
        <v>51.600811202594748</v>
      </c>
      <c r="DA184" s="172">
        <f ca="1">(VLOOKUP(DA$72,INDIRECT($C$5&amp;"生成成长"),2))/((VLOOKUP($B184,INDIRECT($B$5&amp;"生成成长"),4))/(VLOOKUP(DA$72,INDIRECT($C$5&amp;"生成成长"),5))*(VLOOKUP($B$5,标准坦克设计!$B$24:$U$30,MATCH("对"&amp;LEFT($C$5,2)&amp;"输出",标准坦克设计!$B$23:$U$23,0)))*(VLOOKUP($B184,INDIRECT($B$5&amp;"生成成长"),3))*(VLOOKUP($B$5,标准坦克设计!$B$14:$K$20,9)/30))</f>
        <v>54.766665222836053</v>
      </c>
      <c r="DB184" s="172">
        <f ca="1">(VLOOKUP(DB$72,INDIRECT($C$5&amp;"生成成长"),2))/((VLOOKUP($B184,INDIRECT($B$5&amp;"生成成长"),4))/(VLOOKUP(DB$72,INDIRECT($C$5&amp;"生成成长"),5))*(VLOOKUP($B$5,标准坦克设计!$B$24:$U$30,MATCH("对"&amp;LEFT($C$5,2)&amp;"输出",标准坦克设计!$B$23:$U$23,0)))*(VLOOKUP($B184,INDIRECT($B$5&amp;"生成成长"),3))*(VLOOKUP($B$5,标准坦克设计!$B$14:$K$20,9)/30))</f>
        <v>58.026766588740834</v>
      </c>
      <c r="DC184" s="172">
        <f ca="1">(VLOOKUP(DC$72,INDIRECT($C$5&amp;"生成成长"),2))/((VLOOKUP($B184,INDIRECT($B$5&amp;"生成成长"),4))/(VLOOKUP(DC$72,INDIRECT($C$5&amp;"生成成长"),5))*(VLOOKUP($B$5,标准坦克设计!$B$24:$U$30,MATCH("对"&amp;LEFT($C$5,2)&amp;"输出",标准坦克设计!$B$23:$U$23,0)))*(VLOOKUP($B184,INDIRECT($B$5&amp;"生成成长"),3))*(VLOOKUP($B$5,标准坦克设计!$B$14:$K$20,9)/30))</f>
        <v>61.690729514368854</v>
      </c>
      <c r="DD184" s="172">
        <f ca="1">(VLOOKUP(DD$72,INDIRECT($C$5&amp;"生成成长"),2))/((VLOOKUP($B184,INDIRECT($B$5&amp;"生成成长"),4))/(VLOOKUP(DD$72,INDIRECT($C$5&amp;"生成成长"),5))*(VLOOKUP($B$5,标准坦克设计!$B$24:$U$30,MATCH("对"&amp;LEFT($C$5,2)&amp;"输出",标准坦克设计!$B$23:$U$23,0)))*(VLOOKUP($B184,INDIRECT($B$5&amp;"生成成长"),3))*(VLOOKUP($B$5,标准坦克设计!$B$14:$K$20,9)/30))</f>
        <v>65.466854570373258</v>
      </c>
      <c r="DE184" s="172">
        <f ca="1">(VLOOKUP(DE$72,INDIRECT($C$5&amp;"生成成长"),2))/((VLOOKUP($B184,INDIRECT($B$5&amp;"生成成长"),4))/(VLOOKUP(DE$72,INDIRECT($C$5&amp;"生成成长"),5))*(VLOOKUP($B$5,标准坦克设计!$B$24:$U$30,MATCH("对"&amp;LEFT($C$5,2)&amp;"输出",标准坦克设计!$B$23:$U$23,0)))*(VLOOKUP($B184,INDIRECT($B$5&amp;"生成成长"),3))*(VLOOKUP($B$5,标准坦克设计!$B$14:$K$20,9)/30))</f>
        <v>69.355141756754023</v>
      </c>
      <c r="DF184" s="172">
        <f ca="1">(VLOOKUP(DF$72,INDIRECT($C$5&amp;"生成成长"),2))/((VLOOKUP($B184,INDIRECT($B$5&amp;"生成成长"),4))/(VLOOKUP(DF$72,INDIRECT($C$5&amp;"生成成长"),5))*(VLOOKUP($B$5,标准坦克设计!$B$24:$U$30,MATCH("对"&amp;LEFT($C$5,2)&amp;"输出",标准坦克设计!$B$23:$U$23,0)))*(VLOOKUP($B184,INDIRECT($B$5&amp;"生成成长"),3))*(VLOOKUP($B$5,标准坦克设计!$B$14:$K$20,9)/30))</f>
        <v>73.35559107351115</v>
      </c>
      <c r="DG184" s="172">
        <f ca="1">(VLOOKUP(DG$72,INDIRECT($C$5&amp;"生成成长"),2))/((VLOOKUP($B184,INDIRECT($B$5&amp;"生成成长"),4))/(VLOOKUP(DG$72,INDIRECT($C$5&amp;"生成成长"),5))*(VLOOKUP($B$5,标准坦克设计!$B$24:$U$30,MATCH("对"&amp;LEFT($C$5,2)&amp;"输出",标准坦克设计!$B$23:$U$23,0)))*(VLOOKUP($B184,INDIRECT($B$5&amp;"生成成长"),3))*(VLOOKUP($B$5,标准坦克设计!$B$14:$K$20,9)/30))</f>
        <v>77.468202520644653</v>
      </c>
      <c r="DH184" s="172">
        <f ca="1">(VLOOKUP(DH$72,INDIRECT($C$5&amp;"生成成长"),2))/((VLOOKUP($B184,INDIRECT($B$5&amp;"生成成长"),4))/(VLOOKUP(DH$72,INDIRECT($C$5&amp;"生成成长"),5))*(VLOOKUP($B$5,标准坦克设计!$B$24:$U$30,MATCH("对"&amp;LEFT($C$5,2)&amp;"输出",标准坦克设计!$B$23:$U$23,0)))*(VLOOKUP($B184,INDIRECT($B$5&amp;"生成成长"),3))*(VLOOKUP($B$5,标准坦克设计!$B$14:$K$20,9)/30))</f>
        <v>81.692976098154531</v>
      </c>
      <c r="DI184" s="172">
        <f ca="1">(VLOOKUP(DI$72,INDIRECT($C$5&amp;"生成成长"),2))/((VLOOKUP($B184,INDIRECT($B$5&amp;"生成成长"),4))/(VLOOKUP(DI$72,INDIRECT($C$5&amp;"生成成长"),5))*(VLOOKUP($B$5,标准坦克设计!$B$24:$U$30,MATCH("对"&amp;LEFT($C$5,2)&amp;"输出",标准坦克设计!$B$23:$U$23,0)))*(VLOOKUP($B184,INDIRECT($B$5&amp;"生成成长"),3))*(VLOOKUP($B$5,标准坦克设计!$B$14:$K$20,9)/30))</f>
        <v>86.029911806040758</v>
      </c>
      <c r="DJ184" s="172">
        <f ca="1">(VLOOKUP(DJ$72,INDIRECT($C$5&amp;"生成成长"),2))/((VLOOKUP($B184,INDIRECT($B$5&amp;"生成成长"),4))/(VLOOKUP(DJ$72,INDIRECT($C$5&amp;"生成成长"),5))*(VLOOKUP($B$5,标准坦克设计!$B$24:$U$30,MATCH("对"&amp;LEFT($C$5,2)&amp;"输出",标准坦克设计!$B$23:$U$23,0)))*(VLOOKUP($B184,INDIRECT($B$5&amp;"生成成长"),3))*(VLOOKUP($B$5,标准坦克设计!$B$14:$K$20,9)/30))</f>
        <v>8.6462203350199687</v>
      </c>
      <c r="DK184" s="172">
        <f ca="1">(VLOOKUP(DK$72,INDIRECT($C$5&amp;"生成成长"),2))/((VLOOKUP($B184,INDIRECT($B$5&amp;"生成成长"),4))/(VLOOKUP(DK$72,INDIRECT($C$5&amp;"生成成长"),5))*(VLOOKUP($B$5,标准坦克设计!$B$24:$U$30,MATCH("对"&amp;LEFT($C$5,2)&amp;"输出",标准坦克设计!$B$23:$U$23,0)))*(VLOOKUP($B184,INDIRECT($B$5&amp;"生成成长"),3))*(VLOOKUP($B$5,标准坦克设计!$B$14:$K$20,9)/30))</f>
        <v>9.7222757733182501</v>
      </c>
      <c r="DL184" s="172">
        <f ca="1">(VLOOKUP(DL$72,INDIRECT($C$5&amp;"生成成长"),2))/((VLOOKUP($B184,INDIRECT($B$5&amp;"生成成长"),4))/(VLOOKUP(DL$72,INDIRECT($C$5&amp;"生成成长"),5))*(VLOOKUP($B$5,标准坦克设计!$B$24:$U$30,MATCH("对"&amp;LEFT($C$5,2)&amp;"输出",标准坦克设计!$B$23:$U$23,0)))*(VLOOKUP($B184,INDIRECT($B$5&amp;"生成成长"),3))*(VLOOKUP($B$5,标准坦克设计!$B$14:$K$20,9)/30))</f>
        <v>10.86142240995324</v>
      </c>
      <c r="DM184" s="172">
        <f ca="1">(VLOOKUP(DM$72,INDIRECT($C$5&amp;"生成成长"),2))/((VLOOKUP($B184,INDIRECT($B$5&amp;"生成成长"),4))/(VLOOKUP(DM$72,INDIRECT($C$5&amp;"生成成长"),5))*(VLOOKUP($B$5,标准坦克设计!$B$24:$U$30,MATCH("对"&amp;LEFT($C$5,2)&amp;"输出",标准坦克设计!$B$23:$U$23,0)))*(VLOOKUP($B184,INDIRECT($B$5&amp;"生成成长"),3))*(VLOOKUP($B$5,标准坦克设计!$B$14:$K$20,9)/30))</f>
        <v>12.063660244924939</v>
      </c>
      <c r="DN184" s="172">
        <f ca="1">(VLOOKUP(DN$72,INDIRECT($C$5&amp;"生成成长"),2))/((VLOOKUP($B184,INDIRECT($B$5&amp;"生成成长"),4))/(VLOOKUP(DN$72,INDIRECT($C$5&amp;"生成成长"),5))*(VLOOKUP($B$5,标准坦克设计!$B$24:$U$30,MATCH("对"&amp;LEFT($C$5,2)&amp;"输出",标准坦克设计!$B$23:$U$23,0)))*(VLOOKUP($B184,INDIRECT($B$5&amp;"生成成长"),3))*(VLOOKUP($B$5,标准坦克设计!$B$14:$K$20,9)/30))</f>
        <v>13.328989278233342</v>
      </c>
      <c r="DO184" s="172">
        <f ca="1">(VLOOKUP(DO$72,INDIRECT($C$5&amp;"生成成长"),2))/((VLOOKUP($B184,INDIRECT($B$5&amp;"生成成长"),4))/(VLOOKUP(DO$72,INDIRECT($C$5&amp;"生成成长"),5))*(VLOOKUP($B$5,标准坦克设计!$B$24:$U$30,MATCH("对"&amp;LEFT($C$5,2)&amp;"输出",标准坦克设计!$B$23:$U$23,0)))*(VLOOKUP($B184,INDIRECT($B$5&amp;"生成成长"),3))*(VLOOKUP($B$5,标准坦克设计!$B$14:$K$20,9)/30))</f>
        <v>14.657409509878452</v>
      </c>
      <c r="DP184" s="172">
        <f ca="1">(VLOOKUP(DP$72,INDIRECT($C$5&amp;"生成成长"),2))/((VLOOKUP($B184,INDIRECT($B$5&amp;"生成成长"),4))/(VLOOKUP(DP$72,INDIRECT($C$5&amp;"生成成长"),5))*(VLOOKUP($B$5,标准坦克设计!$B$24:$U$30,MATCH("对"&amp;LEFT($C$5,2)&amp;"输出",标准坦克设计!$B$23:$U$23,0)))*(VLOOKUP($B184,INDIRECT($B$5&amp;"生成成长"),3))*(VLOOKUP($B$5,标准坦克设计!$B$14:$K$20,9)/30))</f>
        <v>16.04892093986027</v>
      </c>
      <c r="DQ184" s="172">
        <f ca="1">(VLOOKUP(DQ$72,INDIRECT($C$5&amp;"生成成长"),2))/((VLOOKUP($B184,INDIRECT($B$5&amp;"生成成长"),4))/(VLOOKUP(DQ$72,INDIRECT($C$5&amp;"生成成长"),5))*(VLOOKUP($B$5,标准坦克设计!$B$24:$U$30,MATCH("对"&amp;LEFT($C$5,2)&amp;"输出",标准坦克设计!$B$23:$U$23,0)))*(VLOOKUP($B184,INDIRECT($B$5&amp;"生成成长"),3))*(VLOOKUP($B$5,标准坦克设计!$B$14:$K$20,9)/30))</f>
        <v>17.503523568178796</v>
      </c>
      <c r="DR184" s="172">
        <f ca="1">(VLOOKUP(DR$72,INDIRECT($C$5&amp;"生成成长"),2))/((VLOOKUP($B184,INDIRECT($B$5&amp;"生成成长"),4))/(VLOOKUP(DR$72,INDIRECT($C$5&amp;"生成成长"),5))*(VLOOKUP($B$5,标准坦克设计!$B$24:$U$30,MATCH("对"&amp;LEFT($C$5,2)&amp;"输出",标准坦克设计!$B$23:$U$23,0)))*(VLOOKUP($B184,INDIRECT($B$5&amp;"生成成长"),3))*(VLOOKUP($B$5,标准坦克设计!$B$14:$K$20,9)/30))</f>
        <v>19.021217394834029</v>
      </c>
      <c r="DS184" s="172">
        <f ca="1">(VLOOKUP(DS$72,INDIRECT($C$5&amp;"生成成长"),2))/((VLOOKUP($B184,INDIRECT($B$5&amp;"生成成长"),4))/(VLOOKUP(DS$72,INDIRECT($C$5&amp;"生成成长"),5))*(VLOOKUP($B$5,标准坦克设计!$B$24:$U$30,MATCH("对"&amp;LEFT($C$5,2)&amp;"输出",标准坦克设计!$B$23:$U$23,0)))*(VLOOKUP($B184,INDIRECT($B$5&amp;"生成成长"),3))*(VLOOKUP($B$5,标准坦克设计!$B$14:$K$20,9)/30))</f>
        <v>20.602002419825965</v>
      </c>
      <c r="DT184" s="172">
        <f ca="1">(VLOOKUP(DT$72,INDIRECT($C$5&amp;"生成成长"),2))/((VLOOKUP($B184,INDIRECT($B$5&amp;"生成成长"),4))/(VLOOKUP(DT$72,INDIRECT($C$5&amp;"生成成长"),5))*(VLOOKUP($B$5,标准坦克设计!$B$24:$U$30,MATCH("对"&amp;LEFT($C$5,2)&amp;"输出",标准坦克设计!$B$23:$U$23,0)))*(VLOOKUP($B184,INDIRECT($B$5&amp;"生成成长"),3))*(VLOOKUP($B$5,标准坦克设计!$B$14:$K$20,9)/30))</f>
        <v>22.61975241107584</v>
      </c>
      <c r="DU184" s="172">
        <f ca="1">(VLOOKUP(DU$72,INDIRECT($C$5&amp;"生成成长"),2))/((VLOOKUP($B184,INDIRECT($B$5&amp;"生成成长"),4))/(VLOOKUP(DU$72,INDIRECT($C$5&amp;"生成成长"),5))*(VLOOKUP($B$5,标准坦克设计!$B$24:$U$30,MATCH("对"&amp;LEFT($C$5,2)&amp;"输出",标准坦克设计!$B$23:$U$23,0)))*(VLOOKUP($B184,INDIRECT($B$5&amp;"生成成长"),3))*(VLOOKUP($B$5,标准坦克设计!$B$14:$K$20,9)/30))</f>
        <v>24.731749747989191</v>
      </c>
      <c r="DV184" s="172">
        <f ca="1">(VLOOKUP(DV$72,INDIRECT($C$5&amp;"生成成长"),2))/((VLOOKUP($B184,INDIRECT($B$5&amp;"生成成长"),4))/(VLOOKUP(DV$72,INDIRECT($C$5&amp;"生成成长"),5))*(VLOOKUP($B$5,标准坦克设计!$B$24:$U$30,MATCH("对"&amp;LEFT($C$5,2)&amp;"输出",标准坦克设计!$B$23:$U$23,0)))*(VLOOKUP($B184,INDIRECT($B$5&amp;"生成成长"),3))*(VLOOKUP($B$5,标准坦克设计!$B$14:$K$20,9)/30))</f>
        <v>26.937994430566022</v>
      </c>
      <c r="DW184" s="172">
        <f ca="1">(VLOOKUP(DW$72,INDIRECT($C$5&amp;"生成成长"),2))/((VLOOKUP($B184,INDIRECT($B$5&amp;"生成成长"),4))/(VLOOKUP(DW$72,INDIRECT($C$5&amp;"生成成长"),5))*(VLOOKUP($B$5,标准坦克设计!$B$24:$U$30,MATCH("对"&amp;LEFT($C$5,2)&amp;"输出",标准坦克设计!$B$23:$U$23,0)))*(VLOOKUP($B184,INDIRECT($B$5&amp;"生成成长"),3))*(VLOOKUP($B$5,标准坦克设计!$B$14:$K$20,9)/30))</f>
        <v>29.238486458806321</v>
      </c>
      <c r="DX184" s="172">
        <f ca="1">(VLOOKUP(DX$72,INDIRECT($C$5&amp;"生成成长"),2))/((VLOOKUP($B184,INDIRECT($B$5&amp;"生成成长"),4))/(VLOOKUP(DX$72,INDIRECT($C$5&amp;"生成成长"),5))*(VLOOKUP($B$5,标准坦克设计!$B$24:$U$30,MATCH("对"&amp;LEFT($C$5,2)&amp;"输出",标准坦克设计!$B$23:$U$23,0)))*(VLOOKUP($B184,INDIRECT($B$5&amp;"生成成长"),3))*(VLOOKUP($B$5,标准坦克设计!$B$14:$K$20,9)/30))</f>
        <v>31.633225832710107</v>
      </c>
      <c r="DY184" s="172">
        <f ca="1">(VLOOKUP(DY$72,INDIRECT($C$5&amp;"生成成长"),2))/((VLOOKUP($B184,INDIRECT($B$5&amp;"生成成长"),4))/(VLOOKUP(DY$72,INDIRECT($C$5&amp;"生成成长"),5))*(VLOOKUP($B$5,标准坦克设计!$B$24:$U$30,MATCH("对"&amp;LEFT($C$5,2)&amp;"输出",标准坦克设计!$B$23:$U$23,0)))*(VLOOKUP($B184,INDIRECT($B$5&amp;"生成成长"),3))*(VLOOKUP($B$5,标准坦克设计!$B$14:$K$20,9)/30))</f>
        <v>14.207592632848225</v>
      </c>
      <c r="DZ184" s="172">
        <f ca="1">(VLOOKUP(DZ$72,INDIRECT($C$5&amp;"生成成长"),2))/((VLOOKUP($B184,INDIRECT($B$5&amp;"生成成长"),4))/(VLOOKUP(DZ$72,INDIRECT($C$5&amp;"生成成长"),5))*(VLOOKUP($B$5,标准坦克设计!$B$24:$U$30,MATCH("对"&amp;LEFT($C$5,2)&amp;"输出",标准坦克设计!$B$23:$U$23,0)))*(VLOOKUP($B184,INDIRECT($B$5&amp;"生成成长"),3))*(VLOOKUP($B$5,标准坦克设计!$B$14:$K$20,9)/30))</f>
        <v>15.734243851859906</v>
      </c>
      <c r="EA184" s="172">
        <f ca="1">(VLOOKUP(EA$72,INDIRECT($C$5&amp;"生成成长"),2))/((VLOOKUP($B184,INDIRECT($B$5&amp;"生成成长"),4))/(VLOOKUP(EA$72,INDIRECT($C$5&amp;"生成成长"),5))*(VLOOKUP($B$5,标准坦克设计!$B$24:$U$30,MATCH("对"&amp;LEFT($C$5,2)&amp;"输出",标准坦克设计!$B$23:$U$23,0)))*(VLOOKUP($B184,INDIRECT($B$5&amp;"生成成长"),3))*(VLOOKUP($B$5,标准坦克设计!$B$14:$K$20,9)/30))</f>
        <v>17.338785439188506</v>
      </c>
      <c r="EB184" s="172">
        <f ca="1">(VLOOKUP(EB$72,INDIRECT($C$5&amp;"生成成长"),2))/((VLOOKUP($B184,INDIRECT($B$5&amp;"生成成长"),4))/(VLOOKUP(EB$72,INDIRECT($C$5&amp;"生成成长"),5))*(VLOOKUP($B$5,标准坦克设计!$B$24:$U$30,MATCH("对"&amp;LEFT($C$5,2)&amp;"输出",标准坦克设计!$B$23:$U$23,0)))*(VLOOKUP($B184,INDIRECT($B$5&amp;"生成成长"),3))*(VLOOKUP($B$5,标准坦克设计!$B$14:$K$20,9)/30))</f>
        <v>19.021217394834029</v>
      </c>
      <c r="EC184" s="172">
        <f ca="1">(VLOOKUP(EC$72,INDIRECT($C$5&amp;"生成成长"),2))/((VLOOKUP($B184,INDIRECT($B$5&amp;"生成成长"),4))/(VLOOKUP(EC$72,INDIRECT($C$5&amp;"生成成长"),5))*(VLOOKUP($B$5,标准坦克设计!$B$24:$U$30,MATCH("对"&amp;LEFT($C$5,2)&amp;"输出",标准坦克设计!$B$23:$U$23,0)))*(VLOOKUP($B184,INDIRECT($B$5&amp;"生成成长"),3))*(VLOOKUP($B$5,标准坦克设计!$B$14:$K$20,9)/30))</f>
        <v>20.781539718796473</v>
      </c>
      <c r="ED184" s="172">
        <f ca="1">(VLOOKUP(ED$72,INDIRECT($C$5&amp;"生成成长"),2))/((VLOOKUP($B184,INDIRECT($B$5&amp;"生成成长"),4))/(VLOOKUP(ED$72,INDIRECT($C$5&amp;"生成成长"),5))*(VLOOKUP($B$5,标准坦克设计!$B$24:$U$30,MATCH("对"&amp;LEFT($C$5,2)&amp;"输出",标准坦克设计!$B$23:$U$23,0)))*(VLOOKUP($B184,INDIRECT($B$5&amp;"生成成长"),3))*(VLOOKUP($B$5,标准坦克设计!$B$14:$K$20,9)/30))</f>
        <v>22.61975241107584</v>
      </c>
      <c r="EE184" s="172">
        <f ca="1">(VLOOKUP(EE$72,INDIRECT($C$5&amp;"生成成长"),2))/((VLOOKUP($B184,INDIRECT($B$5&amp;"生成成长"),4))/(VLOOKUP(EE$72,INDIRECT($C$5&amp;"生成成长"),5))*(VLOOKUP($B$5,标准坦克设计!$B$24:$U$30,MATCH("对"&amp;LEFT($C$5,2)&amp;"输出",标准坦克设计!$B$23:$U$23,0)))*(VLOOKUP($B184,INDIRECT($B$5&amp;"生成成长"),3))*(VLOOKUP($B$5,标准坦克设计!$B$14:$K$20,9)/30))</f>
        <v>24.535855471672132</v>
      </c>
      <c r="EF184" s="172">
        <f ca="1">(VLOOKUP(EF$72,INDIRECT($C$5&amp;"生成成长"),2))/((VLOOKUP($B184,INDIRECT($B$5&amp;"生成成长"),4))/(VLOOKUP(EF$72,INDIRECT($C$5&amp;"生成成长"),5))*(VLOOKUP($B$5,标准坦克设计!$B$24:$U$30,MATCH("对"&amp;LEFT($C$5,2)&amp;"输出",标准坦克设计!$B$23:$U$23,0)))*(VLOOKUP($B184,INDIRECT($B$5&amp;"生成成长"),3))*(VLOOKUP($B$5,标准坦克设计!$B$14:$K$20,9)/30))</f>
        <v>26.529848900585339</v>
      </c>
      <c r="EG184" s="172">
        <f ca="1">(VLOOKUP(EG$72,INDIRECT($C$5&amp;"生成成长"),2))/((VLOOKUP($B184,INDIRECT($B$5&amp;"生成成长"),4))/(VLOOKUP(EG$72,INDIRECT($C$5&amp;"生成成长"),5))*(VLOOKUP($B$5,标准坦克设计!$B$24:$U$30,MATCH("对"&amp;LEFT($C$5,2)&amp;"输出",标准坦克设计!$B$23:$U$23,0)))*(VLOOKUP($B184,INDIRECT($B$5&amp;"生成成长"),3))*(VLOOKUP($B$5,标准坦克设计!$B$14:$K$20,9)/30))</f>
        <v>28.601732697815482</v>
      </c>
      <c r="EH184" s="172">
        <f ca="1">(VLOOKUP(EH$72,INDIRECT($C$5&amp;"生成成长"),2))/((VLOOKUP($B184,INDIRECT($B$5&amp;"生成成长"),4))/(VLOOKUP(EH$72,INDIRECT($C$5&amp;"生成成长"),5))*(VLOOKUP($B$5,标准坦克设计!$B$24:$U$30,MATCH("对"&amp;LEFT($C$5,2)&amp;"输出",标准坦克设计!$B$23:$U$23,0)))*(VLOOKUP($B184,INDIRECT($B$5&amp;"生成成长"),3))*(VLOOKUP($B$5,标准坦克设计!$B$14:$K$20,9)/30))</f>
        <v>30.75150686336254</v>
      </c>
      <c r="EI184" s="172">
        <f ca="1">(VLOOKUP(EI$72,INDIRECT($C$5&amp;"生成成长"),2))/((VLOOKUP($B184,INDIRECT($B$5&amp;"生成成长"),4))/(VLOOKUP(EI$72,INDIRECT($C$5&amp;"生成成长"),5))*(VLOOKUP($B$5,标准坦克设计!$B$24:$U$30,MATCH("对"&amp;LEFT($C$5,2)&amp;"输出",标准坦克设计!$B$23:$U$23,0)))*(VLOOKUP($B184,INDIRECT($B$5&amp;"生成成长"),3))*(VLOOKUP($B$5,标准坦克设计!$B$14:$K$20,9)/30))</f>
        <v>32.979171397226516</v>
      </c>
      <c r="EJ184" s="172">
        <f ca="1">(VLOOKUP(EJ$72,INDIRECT($C$5&amp;"生成成长"),2))/((VLOOKUP($B184,INDIRECT($B$5&amp;"生成成长"),4))/(VLOOKUP(EJ$72,INDIRECT($C$5&amp;"生成成长"),5))*(VLOOKUP($B$5,标准坦克设计!$B$24:$U$30,MATCH("对"&amp;LEFT($C$5,2)&amp;"输出",标准坦克设计!$B$23:$U$23,0)))*(VLOOKUP($B184,INDIRECT($B$5&amp;"生成成长"),3))*(VLOOKUP($B$5,标准坦克设计!$B$14:$K$20,9)/30))</f>
        <v>35.284726299407424</v>
      </c>
      <c r="EK184" s="172">
        <f ca="1">(VLOOKUP(EK$72,INDIRECT($C$5&amp;"生成成长"),2))/((VLOOKUP($B184,INDIRECT($B$5&amp;"生成成长"),4))/(VLOOKUP(EK$72,INDIRECT($C$5&amp;"生成成长"),5))*(VLOOKUP($B$5,标准坦克设计!$B$24:$U$30,MATCH("对"&amp;LEFT($C$5,2)&amp;"输出",标准坦克设计!$B$23:$U$23,0)))*(VLOOKUP($B184,INDIRECT($B$5&amp;"生成成长"),3))*(VLOOKUP($B$5,标准坦克设计!$B$14:$K$20,9)/30))</f>
        <v>38.154207468202848</v>
      </c>
      <c r="EL184" s="172">
        <f ca="1">(VLOOKUP(EL$72,INDIRECT($C$5&amp;"生成成长"),2))/((VLOOKUP($B184,INDIRECT($B$5&amp;"生成成长"),4))/(VLOOKUP(EL$72,INDIRECT($C$5&amp;"生成成长"),5))*(VLOOKUP($B$5,标准坦克设计!$B$24:$U$30,MATCH("对"&amp;LEFT($C$5,2)&amp;"输出",标准坦克设计!$B$23:$U$23,0)))*(VLOOKUP($B184,INDIRECT($B$5&amp;"生成成长"),3))*(VLOOKUP($B$5,标准坦克设计!$B$14:$K$20,9)/30))</f>
        <v>41.135850767374635</v>
      </c>
      <c r="EM184" s="172">
        <f ca="1">(VLOOKUP(EM$72,INDIRECT($C$5&amp;"生成成长"),2))/((VLOOKUP($B184,INDIRECT($B$5&amp;"生成成长"),4))/(VLOOKUP(EM$72,INDIRECT($C$5&amp;"生成成长"),5))*(VLOOKUP($B$5,标准坦克设计!$B$24:$U$30,MATCH("对"&amp;LEFT($C$5,2)&amp;"输出",标准坦克设计!$B$23:$U$23,0)))*(VLOOKUP($B184,INDIRECT($B$5&amp;"生成成长"),3))*(VLOOKUP($B$5,标准坦克设计!$B$14:$K$20,9)/30))</f>
        <v>44.229656196922789</v>
      </c>
      <c r="EN184" s="172">
        <f ca="1">(VLOOKUP(EN$72,INDIRECT($C$5&amp;"生成成长"),2))/((VLOOKUP($B184,INDIRECT($B$5&amp;"生成成长"),4))/(VLOOKUP(EN$72,INDIRECT($C$5&amp;"生成成长"),5))*(VLOOKUP($B$5,标准坦克设计!$B$24:$U$30,MATCH("对"&amp;LEFT($C$5,2)&amp;"输出",标准坦克设计!$B$23:$U$23,0)))*(VLOOKUP($B184,INDIRECT($B$5&amp;"生成成长"),3))*(VLOOKUP($B$5,标准坦克设计!$B$14:$K$20,9)/30))</f>
        <v>47.43562375684732</v>
      </c>
      <c r="EO184" s="172">
        <f ca="1">(VLOOKUP(EO$72,INDIRECT($C$5&amp;"生成成长"),2))/((VLOOKUP($B184,INDIRECT($B$5&amp;"生成成长"),4))/(VLOOKUP(EO$72,INDIRECT($C$5&amp;"生成成长"),5))*(VLOOKUP($B$5,标准坦克设计!$B$24:$U$30,MATCH("对"&amp;LEFT($C$5,2)&amp;"输出",标准坦克设计!$B$23:$U$23,0)))*(VLOOKUP($B184,INDIRECT($B$5&amp;"生成成长"),3))*(VLOOKUP($B$5,标准坦克设计!$B$14:$K$20,9)/30))</f>
        <v>50.753753447148199</v>
      </c>
      <c r="EP184" s="172">
        <f ca="1">(VLOOKUP(EP$72,INDIRECT($C$5&amp;"生成成长"),2))/((VLOOKUP($B184,INDIRECT($B$5&amp;"生成成长"),4))/(VLOOKUP(EP$72,INDIRECT($C$5&amp;"生成成长"),5))*(VLOOKUP($B$5,标准坦克设计!$B$24:$U$30,MATCH("对"&amp;LEFT($C$5,2)&amp;"输出",标准坦克设计!$B$23:$U$23,0)))*(VLOOKUP($B184,INDIRECT($B$5&amp;"生成成长"),3))*(VLOOKUP($B$5,标准坦克设计!$B$14:$K$20,9)/30))</f>
        <v>54.184045267825468</v>
      </c>
      <c r="EQ184" s="172">
        <f ca="1">(VLOOKUP(EQ$72,INDIRECT($C$5&amp;"生成成长"),2))/((VLOOKUP($B184,INDIRECT($B$5&amp;"生成成长"),4))/(VLOOKUP(EQ$72,INDIRECT($C$5&amp;"生成成长"),5))*(VLOOKUP($B$5,标准坦克设计!$B$24:$U$30,MATCH("对"&amp;LEFT($C$5,2)&amp;"输出",标准坦克设计!$B$23:$U$23,0)))*(VLOOKUP($B184,INDIRECT($B$5&amp;"生成成长"),3))*(VLOOKUP($B$5,标准坦克设计!$B$14:$K$20,9)/30))</f>
        <v>23.952846064819969</v>
      </c>
      <c r="ER184" s="172">
        <f ca="1">(VLOOKUP(ER$72,INDIRECT($C$5&amp;"生成成长"),2))/((VLOOKUP($B184,INDIRECT($B$5&amp;"生成成长"),4))/(VLOOKUP(ER$72,INDIRECT($C$5&amp;"生成成长"),5))*(VLOOKUP($B$5,标准坦克设计!$B$24:$U$30,MATCH("对"&amp;LEFT($C$5,2)&amp;"输出",标准坦克设计!$B$23:$U$23,0)))*(VLOOKUP($B184,INDIRECT($B$5&amp;"生成成长"),3))*(VLOOKUP($B$5,标准坦克设计!$B$14:$K$20,9)/30))</f>
        <v>26.124818985337349</v>
      </c>
      <c r="ES184" s="172">
        <f ca="1">(VLOOKUP(ES$72,INDIRECT($C$5&amp;"生成成长"),2))/((VLOOKUP($B184,INDIRECT($B$5&amp;"生成成长"),4))/(VLOOKUP(ES$72,INDIRECT($C$5&amp;"生成成长"),5))*(VLOOKUP($B$5,标准坦克设计!$B$24:$U$30,MATCH("对"&amp;LEFT($C$5,2)&amp;"输出",标准坦克设计!$B$23:$U$23,0)))*(VLOOKUP($B184,INDIRECT($B$5&amp;"生成成长"),3))*(VLOOKUP($B$5,标准坦克设计!$B$14:$K$20,9)/30))</f>
        <v>28.391039251518205</v>
      </c>
      <c r="ET184" s="172">
        <f ca="1">(VLOOKUP(ET$72,INDIRECT($C$5&amp;"生成成长"),2))/((VLOOKUP($B184,INDIRECT($B$5&amp;"生成成长"),4))/(VLOOKUP(ET$72,INDIRECT($C$5&amp;"生成成长"),5))*(VLOOKUP($B$5,标准坦克设计!$B$24:$U$30,MATCH("对"&amp;LEFT($C$5,2)&amp;"输出",标准坦克设计!$B$23:$U$23,0)))*(VLOOKUP($B184,INDIRECT($B$5&amp;"生成成长"),3))*(VLOOKUP($B$5,标准坦克设计!$B$14:$K$20,9)/30))</f>
        <v>30.75150686336254</v>
      </c>
      <c r="EU184" s="172">
        <f ca="1">(VLOOKUP(EU$72,INDIRECT($C$5&amp;"生成成长"),2))/((VLOOKUP($B184,INDIRECT($B$5&amp;"生成成长"),4))/(VLOOKUP(EU$72,INDIRECT($C$5&amp;"生成成长"),5))*(VLOOKUP($B$5,标准坦克设计!$B$24:$U$30,MATCH("对"&amp;LEFT($C$5,2)&amp;"输出",标准坦克设计!$B$23:$U$23,0)))*(VLOOKUP($B184,INDIRECT($B$5&amp;"生成成长"),3))*(VLOOKUP($B$5,标准坦克设计!$B$14:$K$20,9)/30))</f>
        <v>33.20622182087034</v>
      </c>
      <c r="EV184" s="172">
        <f ca="1">(VLOOKUP(EV$72,INDIRECT($C$5&amp;"生成成长"),2))/((VLOOKUP($B184,INDIRECT($B$5&amp;"生成成长"),4))/(VLOOKUP(EV$72,INDIRECT($C$5&amp;"生成成长"),5))*(VLOOKUP($B$5,标准坦克设计!$B$24:$U$30,MATCH("对"&amp;LEFT($C$5,2)&amp;"输出",标准坦克设计!$B$23:$U$23,0)))*(VLOOKUP($B184,INDIRECT($B$5&amp;"生成成长"),3))*(VLOOKUP($B$5,标准坦克设计!$B$14:$K$20,9)/30))</f>
        <v>35.755184124041634</v>
      </c>
      <c r="EW184" s="172">
        <f ca="1">(VLOOKUP(EW$72,INDIRECT($C$5&amp;"生成成长"),2))/((VLOOKUP($B184,INDIRECT($B$5&amp;"生成成长"),4))/(VLOOKUP(EW$72,INDIRECT($C$5&amp;"生成成长"),5))*(VLOOKUP($B$5,标准坦克设计!$B$24:$U$30,MATCH("对"&amp;LEFT($C$5,2)&amp;"输出",标准坦克设计!$B$23:$U$23,0)))*(VLOOKUP($B184,INDIRECT($B$5&amp;"生成成长"),3))*(VLOOKUP($B$5,标准坦克设计!$B$14:$K$20,9)/30))</f>
        <v>38.398393772876403</v>
      </c>
      <c r="EX184" s="172">
        <f ca="1">(VLOOKUP(EX$72,INDIRECT($C$5&amp;"生成成长"),2))/((VLOOKUP($B184,INDIRECT($B$5&amp;"生成成长"),4))/(VLOOKUP(EX$72,INDIRECT($C$5&amp;"生成成长"),5))*(VLOOKUP($B$5,标准坦克设计!$B$24:$U$30,MATCH("对"&amp;LEFT($C$5,2)&amp;"输出",标准坦克设计!$B$23:$U$23,0)))*(VLOOKUP($B184,INDIRECT($B$5&amp;"生成成长"),3))*(VLOOKUP($B$5,标准坦克设计!$B$14:$K$20,9)/30))</f>
        <v>41.135850767374635</v>
      </c>
      <c r="EY184" s="172">
        <f ca="1">(VLOOKUP(EY$72,INDIRECT($C$5&amp;"生成成长"),2))/((VLOOKUP($B184,INDIRECT($B$5&amp;"生成成长"),4))/(VLOOKUP(EY$72,INDIRECT($C$5&amp;"生成成长"),5))*(VLOOKUP($B$5,标准坦克设计!$B$24:$U$30,MATCH("对"&amp;LEFT($C$5,2)&amp;"输出",标准坦克设计!$B$23:$U$23,0)))*(VLOOKUP($B184,INDIRECT($B$5&amp;"生成成长"),3))*(VLOOKUP($B$5,标准坦克设计!$B$14:$K$20,9)/30))</f>
        <v>43.967555107536349</v>
      </c>
      <c r="EZ184" s="172">
        <f ca="1">(VLOOKUP(EZ$72,INDIRECT($C$5&amp;"生成成长"),2))/((VLOOKUP($B184,INDIRECT($B$5&amp;"生成成长"),4))/(VLOOKUP(EZ$72,INDIRECT($C$5&amp;"生成成长"),5))*(VLOOKUP($B$5,标准坦克设计!$B$24:$U$30,MATCH("对"&amp;LEFT($C$5,2)&amp;"输出",标准坦克设计!$B$23:$U$23,0)))*(VLOOKUP($B184,INDIRECT($B$5&amp;"生成成长"),3))*(VLOOKUP($B$5,标准坦克设计!$B$14:$K$20,9)/30))</f>
        <v>46.893506793361539</v>
      </c>
      <c r="FA184" s="172">
        <f ca="1">(VLOOKUP(FA$72,INDIRECT($C$5&amp;"生成成长"),2))/((VLOOKUP($B184,INDIRECT($B$5&amp;"生成成长"),4))/(VLOOKUP(FA$72,INDIRECT($C$5&amp;"生成成长"),5))*(VLOOKUP($B$5,标准坦克设计!$B$24:$U$30,MATCH("对"&amp;LEFT($C$5,2)&amp;"输出",标准坦克设计!$B$23:$U$23,0)))*(VLOOKUP($B184,INDIRECT($B$5&amp;"生成成长"),3))*(VLOOKUP($B$5,标准坦克设计!$B$14:$K$20,9)/30))</f>
        <v>49.913705824850204</v>
      </c>
      <c r="FB184" s="172">
        <f ca="1">(VLOOKUP(FB$72,INDIRECT($C$5&amp;"生成成长"),2))/((VLOOKUP($B184,INDIRECT($B$5&amp;"生成成长"),4))/(VLOOKUP(FB$72,INDIRECT($C$5&amp;"生成成长"),5))*(VLOOKUP($B$5,标准坦克设计!$B$24:$U$30,MATCH("对"&amp;LEFT($C$5,2)&amp;"输出",标准坦克设计!$B$23:$U$23,0)))*(VLOOKUP($B184,INDIRECT($B$5&amp;"生成成长"),3))*(VLOOKUP($B$5,标准坦克设计!$B$14:$K$20,9)/30))</f>
        <v>53.028152202002339</v>
      </c>
      <c r="FC184" s="172">
        <f ca="1">(VLOOKUP(FC$72,INDIRECT($C$5&amp;"生成成长"),2))/((VLOOKUP($B184,INDIRECT($B$5&amp;"生成成长"),4))/(VLOOKUP(FC$72,INDIRECT($C$5&amp;"生成成长"),5))*(VLOOKUP($B$5,标准坦克设计!$B$24:$U$30,MATCH("对"&amp;LEFT($C$5,2)&amp;"输出",标准坦克设计!$B$23:$U$23,0)))*(VLOOKUP($B184,INDIRECT($B$5&amp;"生成成长"),3))*(VLOOKUP($B$5,标准坦克设计!$B$14:$K$20,9)/30))</f>
        <v>56.236845924817956</v>
      </c>
      <c r="FD184" s="172">
        <f ca="1">(VLOOKUP(FD$72,INDIRECT($C$5&amp;"生成成长"),2))/((VLOOKUP($B184,INDIRECT($B$5&amp;"生成成长"),4))/(VLOOKUP(FD$72,INDIRECT($C$5&amp;"生成成长"),5))*(VLOOKUP($B$5,标准坦克设计!$B$24:$U$30,MATCH("对"&amp;LEFT($C$5,2)&amp;"输出",标准坦克设计!$B$23:$U$23,0)))*(VLOOKUP($B184,INDIRECT($B$5&amp;"生成成长"),3))*(VLOOKUP($B$5,标准坦克设计!$B$14:$K$20,9)/30))</f>
        <v>59.539786993297042</v>
      </c>
      <c r="FE184" s="172">
        <f ca="1">(VLOOKUP(FE$72,INDIRECT($C$5&amp;"生成成长"),2))/((VLOOKUP($B184,INDIRECT($B$5&amp;"生成成长"),4))/(VLOOKUP(FE$72,INDIRECT($C$5&amp;"生成成长"),5))*(VLOOKUP($B$5,标准坦克设计!$B$24:$U$30,MATCH("对"&amp;LEFT($C$5,2)&amp;"输出",标准坦克设计!$B$23:$U$23,0)))*(VLOOKUP($B184,INDIRECT($B$5&amp;"生成成长"),3))*(VLOOKUP($B$5,标准坦克设计!$B$14:$K$20,9)/30))</f>
        <v>63.564771776074018</v>
      </c>
      <c r="FF184" s="172">
        <f ca="1">(VLOOKUP(FF$72,INDIRECT($C$5&amp;"生成成长"),2))/((VLOOKUP($B184,INDIRECT($B$5&amp;"生成成长"),4))/(VLOOKUP(FF$72,INDIRECT($C$5&amp;"生成成长"),5))*(VLOOKUP($B$5,标准坦克设计!$B$24:$U$30,MATCH("对"&amp;LEFT($C$5,2)&amp;"输出",标准坦克设计!$B$23:$U$23,0)))*(VLOOKUP($B184,INDIRECT($B$5&amp;"生成成长"),3))*(VLOOKUP($B$5,标准坦克设计!$B$14:$K$20,9)/30))</f>
        <v>67.721391281306566</v>
      </c>
      <c r="FG184" s="172">
        <f ca="1">(VLOOKUP(FG$72,INDIRECT($C$5&amp;"生成成长"),2))/((VLOOKUP($B184,INDIRECT($B$5&amp;"生成成长"),4))/(VLOOKUP(FG$72,INDIRECT($C$5&amp;"生成成长"),5))*(VLOOKUP($B$5,标准坦克设计!$B$24:$U$30,MATCH("对"&amp;LEFT($C$5,2)&amp;"输出",标准坦克设计!$B$23:$U$23,0)))*(VLOOKUP($B184,INDIRECT($B$5&amp;"生成成长"),3))*(VLOOKUP($B$5,标准坦克设计!$B$14:$K$20,9)/30))</f>
        <v>72.009645508994737</v>
      </c>
      <c r="FH184" s="172">
        <f ca="1">(VLOOKUP(FH$72,INDIRECT($C$5&amp;"生成成长"),2))/((VLOOKUP($B184,INDIRECT($B$5&amp;"生成成长"),4))/(VLOOKUP(FH$72,INDIRECT($C$5&amp;"生成成长"),5))*(VLOOKUP($B$5,标准坦克设计!$B$24:$U$30,MATCH("对"&amp;LEFT($C$5,2)&amp;"输出",标准坦克设计!$B$23:$U$23,0)))*(VLOOKUP($B184,INDIRECT($B$5&amp;"生成成长"),3))*(VLOOKUP($B$5,标准坦克设计!$B$14:$K$20,9)/30))</f>
        <v>76.429534459138509</v>
      </c>
      <c r="FI184" s="172">
        <f ca="1">(VLOOKUP(FI$72,INDIRECT($C$5&amp;"生成成长"),2))/((VLOOKUP($B184,INDIRECT($B$5&amp;"生成成长"),4))/(VLOOKUP(FI$72,INDIRECT($C$5&amp;"生成成长"),5))*(VLOOKUP($B$5,标准坦克设计!$B$24:$U$30,MATCH("对"&amp;LEFT($C$5,2)&amp;"输出",标准坦克设计!$B$23:$U$23,0)))*(VLOOKUP($B184,INDIRECT($B$5&amp;"生成成长"),3))*(VLOOKUP($B$5,标准坦克设计!$B$14:$K$20,9)/30))</f>
        <v>80.981058131737854</v>
      </c>
      <c r="FJ184" s="172">
        <f ca="1">(VLOOKUP(FJ$72,INDIRECT($C$5&amp;"生成成长"),2))/((VLOOKUP($B184,INDIRECT($B$5&amp;"生成成长"),4))/(VLOOKUP(FJ$72,INDIRECT($C$5&amp;"生成成长"),5))*(VLOOKUP($B$5,标准坦克设计!$B$24:$U$30,MATCH("对"&amp;LEFT($C$5,2)&amp;"输出",标准坦克设计!$B$23:$U$23,0)))*(VLOOKUP($B184,INDIRECT($B$5&amp;"生成成长"),3))*(VLOOKUP($B$5,标准坦克设计!$B$14:$K$20,9)/30))</f>
        <v>85.664216526792799</v>
      </c>
      <c r="FK184" s="172">
        <f ca="1">(VLOOKUP(FK$72,INDIRECT($C$5&amp;"生成成长"),2))/((VLOOKUP($B184,INDIRECT($B$5&amp;"生成成长"),4))/(VLOOKUP(FK$72,INDIRECT($C$5&amp;"生成成长"),5))*(VLOOKUP($B$5,标准坦克设计!$B$24:$U$30,MATCH("对"&amp;LEFT($C$5,2)&amp;"输出",标准坦克设计!$B$23:$U$23,0)))*(VLOOKUP($B184,INDIRECT($B$5&amp;"生成成长"),3))*(VLOOKUP($B$5,标准坦克设计!$B$14:$K$20,9)/30))</f>
        <v>90.47900964430336</v>
      </c>
    </row>
    <row r="185" spans="1:167" x14ac:dyDescent="0.15">
      <c r="A185" s="170" t="str">
        <f t="shared" si="12"/>
        <v>T3高品质2级</v>
      </c>
      <c r="B185" s="171">
        <v>30302</v>
      </c>
      <c r="C185" s="172">
        <f ca="1">(VLOOKUP(C$72,INDIRECT($C$5&amp;"生成成长"),2))/((VLOOKUP($B185,INDIRECT($B$5&amp;"生成成长"),4))/(VLOOKUP(C$72,INDIRECT($C$5&amp;"生成成长"),5))*(VLOOKUP($B$5,标准坦克设计!$B$24:$U$30,MATCH("对"&amp;LEFT($C$5,2)&amp;"输出",标准坦克设计!$B$23:$U$23,0)))*(VLOOKUP($B185,INDIRECT($B$5&amp;"生成成长"),3))*(VLOOKUP($B$5,标准坦克设计!$B$14:$K$20,9)/30))</f>
        <v>3.4850236401616614</v>
      </c>
      <c r="D185" s="172">
        <f ca="1">(VLOOKUP(D$72,INDIRECT($C$5&amp;"生成成长"),2))/((VLOOKUP($B185,INDIRECT($B$5&amp;"生成成长"),4))/(VLOOKUP(D$72,INDIRECT($C$5&amp;"生成成长"),5))*(VLOOKUP($B$5,标准坦克设计!$B$24:$U$30,MATCH("对"&amp;LEFT($C$5,2)&amp;"输出",标准坦克设计!$B$23:$U$23,0)))*(VLOOKUP($B185,INDIRECT($B$5&amp;"生成成长"),3))*(VLOOKUP($B$5,标准坦克设计!$B$14:$K$20,9)/30))</f>
        <v>3.9157725620856429</v>
      </c>
      <c r="E185" s="172">
        <f ca="1">(VLOOKUP(E$72,INDIRECT($C$5&amp;"生成成长"),2))/((VLOOKUP($B185,INDIRECT($B$5&amp;"生成成长"),4))/(VLOOKUP(E$72,INDIRECT($C$5&amp;"生成成长"),5))*(VLOOKUP($B$5,标准坦克设计!$B$24:$U$30,MATCH("对"&amp;LEFT($C$5,2)&amp;"输出",标准坦克设计!$B$23:$U$23,0)))*(VLOOKUP($B185,INDIRECT($B$5&amp;"生成成长"),3))*(VLOOKUP($B$5,标准坦克设计!$B$14:$K$20,9)/30))</f>
        <v>4.3716136542187884</v>
      </c>
      <c r="F185" s="172">
        <f ca="1">(VLOOKUP(F$72,INDIRECT($C$5&amp;"生成成长"),2))/((VLOOKUP($B185,INDIRECT($B$5&amp;"生成成长"),4))/(VLOOKUP(F$72,INDIRECT($C$5&amp;"生成成长"),5))*(VLOOKUP($B$5,标准坦克设计!$B$24:$U$30,MATCH("对"&amp;LEFT($C$5,2)&amp;"输出",标准坦克设计!$B$23:$U$23,0)))*(VLOOKUP($B185,INDIRECT($B$5&amp;"生成成长"),3))*(VLOOKUP($B$5,标准坦克设计!$B$14:$K$20,9)/30))</f>
        <v>4.8525469165610966</v>
      </c>
      <c r="G185" s="172">
        <f ca="1">(VLOOKUP(G$72,INDIRECT($C$5&amp;"生成成长"),2))/((VLOOKUP($B185,INDIRECT($B$5&amp;"生成成长"),4))/(VLOOKUP(G$72,INDIRECT($C$5&amp;"生成成长"),5))*(VLOOKUP($B$5,标准坦克设计!$B$24:$U$30,MATCH("对"&amp;LEFT($C$5,2)&amp;"输出",标准坦克设计!$B$23:$U$23,0)))*(VLOOKUP($B185,INDIRECT($B$5&amp;"生成成长"),3))*(VLOOKUP($B$5,标准坦克设计!$B$14:$K$20,9)/30))</f>
        <v>5.3585723491125705</v>
      </c>
      <c r="H185" s="172">
        <f ca="1">(VLOOKUP(H$72,INDIRECT($C$5&amp;"生成成长"),2))/((VLOOKUP($B185,INDIRECT($B$5&amp;"生成成长"),4))/(VLOOKUP(H$72,INDIRECT($C$5&amp;"生成成长"),5))*(VLOOKUP($B$5,标准坦克设计!$B$24:$U$30,MATCH("对"&amp;LEFT($C$5,2)&amp;"输出",标准坦克设计!$B$23:$U$23,0)))*(VLOOKUP($B185,INDIRECT($B$5&amp;"生成成长"),3))*(VLOOKUP($B$5,标准坦克设计!$B$14:$K$20,9)/30))</f>
        <v>4.689447810201532</v>
      </c>
      <c r="I185" s="172">
        <f ca="1">(VLOOKUP(I$72,INDIRECT($C$5&amp;"生成成长"),2))/((VLOOKUP($B185,INDIRECT($B$5&amp;"生成成长"),4))/(VLOOKUP(I$72,INDIRECT($C$5&amp;"生成成长"),5))*(VLOOKUP($B$5,标准坦克设计!$B$24:$U$30,MATCH("对"&amp;LEFT($C$5,2)&amp;"输出",标准坦克设计!$B$23:$U$23,0)))*(VLOOKUP($B185,INDIRECT($B$5&amp;"生成成长"),3))*(VLOOKUP($B$5,标准坦克设计!$B$14:$K$20,9)/30))</f>
        <v>5.3585723491125705</v>
      </c>
      <c r="J185" s="172">
        <f ca="1">(VLOOKUP(J$72,INDIRECT($C$5&amp;"生成成长"),2))/((VLOOKUP($B185,INDIRECT($B$5&amp;"生成成长"),4))/(VLOOKUP(J$72,INDIRECT($C$5&amp;"生成成长"),5))*(VLOOKUP($B$5,标准坦克设计!$B$24:$U$30,MATCH("对"&amp;LEFT($C$5,2)&amp;"输出",标准坦克设计!$B$23:$U$23,0)))*(VLOOKUP($B185,INDIRECT($B$5&amp;"生成成长"),3))*(VLOOKUP($B$5,标准坦克设计!$B$14:$K$20,9)/30))</f>
        <v>6.0723051906176782</v>
      </c>
      <c r="K185" s="172">
        <f ca="1">(VLOOKUP(K$72,INDIRECT($C$5&amp;"生成成长"),2))/((VLOOKUP($B185,INDIRECT($B$5&amp;"生成成长"),4))/(VLOOKUP(K$72,INDIRECT($C$5&amp;"生成成长"),5))*(VLOOKUP($B$5,标准坦克设计!$B$24:$U$30,MATCH("对"&amp;LEFT($C$5,2)&amp;"输出",标准坦克设计!$B$23:$U$23,0)))*(VLOOKUP($B185,INDIRECT($B$5&amp;"生成成长"),3))*(VLOOKUP($B$5,标准坦克设计!$B$14:$K$20,9)/30))</f>
        <v>6.8306463347168567</v>
      </c>
      <c r="L185" s="172">
        <f ca="1">(VLOOKUP(L$72,INDIRECT($C$5&amp;"生成成长"),2))/((VLOOKUP($B185,INDIRECT($B$5&amp;"生成成长"),4))/(VLOOKUP(L$72,INDIRECT($C$5&amp;"生成成长"),5))*(VLOOKUP($B$5,标准坦克设计!$B$24:$U$30,MATCH("对"&amp;LEFT($C$5,2)&amp;"输出",标准坦克设计!$B$23:$U$23,0)))*(VLOOKUP($B185,INDIRECT($B$5&amp;"生成成长"),3))*(VLOOKUP($B$5,标准坦克设计!$B$14:$K$20,9)/30))</f>
        <v>7.6335957814101034</v>
      </c>
      <c r="M185" s="172">
        <f ca="1">(VLOOKUP(M$72,INDIRECT($C$5&amp;"生成成长"),2))/((VLOOKUP($B185,INDIRECT($B$5&amp;"生成成长"),4))/(VLOOKUP(M$72,INDIRECT($C$5&amp;"生成成长"),5))*(VLOOKUP($B$5,标准坦克设计!$B$24:$U$30,MATCH("对"&amp;LEFT($C$5,2)&amp;"输出",标准坦克设计!$B$23:$U$23,0)))*(VLOOKUP($B185,INDIRECT($B$5&amp;"生成成长"),3))*(VLOOKUP($B$5,标准坦克设计!$B$14:$K$20,9)/30))</f>
        <v>8.4811535306974175</v>
      </c>
      <c r="N185" s="172">
        <f ca="1">(VLOOKUP(N$72,INDIRECT($C$5&amp;"生成成长"),2))/((VLOOKUP($B185,INDIRECT($B$5&amp;"生成成长"),4))/(VLOOKUP(N$72,INDIRECT($C$5&amp;"生成成长"),5))*(VLOOKUP($B$5,标准坦克设计!$B$24:$U$30,MATCH("对"&amp;LEFT($C$5,2)&amp;"输出",标准坦克设计!$B$23:$U$23,0)))*(VLOOKUP($B185,INDIRECT($B$5&amp;"生成成长"),3))*(VLOOKUP($B$5,标准坦克设计!$B$14:$K$20,9)/30))</f>
        <v>9.3733195825788052</v>
      </c>
      <c r="O185" s="172">
        <f ca="1">(VLOOKUP(O$72,INDIRECT($C$5&amp;"生成成长"),2))/((VLOOKUP($B185,INDIRECT($B$5&amp;"生成成长"),4))/(VLOOKUP(O$72,INDIRECT($C$5&amp;"生成成长"),5))*(VLOOKUP($B$5,标准坦克设计!$B$24:$U$30,MATCH("对"&amp;LEFT($C$5,2)&amp;"输出",标准坦克设计!$B$23:$U$23,0)))*(VLOOKUP($B185,INDIRECT($B$5&amp;"生成成长"),3))*(VLOOKUP($B$5,标准坦克设计!$B$14:$K$20,9)/30))</f>
        <v>7.1265248417665825</v>
      </c>
      <c r="P185" s="172">
        <f ca="1">(VLOOKUP(P$72,INDIRECT($C$5&amp;"生成成长"),2))/((VLOOKUP($B185,INDIRECT($B$5&amp;"生成成长"),4))/(VLOOKUP(P$72,INDIRECT($C$5&amp;"生成成长"),5))*(VLOOKUP($B$5,标准坦克设计!$B$24:$U$30,MATCH("对"&amp;LEFT($C$5,2)&amp;"输出",标准坦克设计!$B$23:$U$23,0)))*(VLOOKUP($B185,INDIRECT($B$5&amp;"生成成长"),3))*(VLOOKUP($B$5,标准坦克设计!$B$14:$K$20,9)/30))</f>
        <v>8.0517986182295029</v>
      </c>
      <c r="Q185" s="172">
        <f ca="1">(VLOOKUP(Q$72,INDIRECT($C$5&amp;"生成成长"),2))/((VLOOKUP($B185,INDIRECT($B$5&amp;"生成成长"),4))/(VLOOKUP(Q$72,INDIRECT($C$5&amp;"生成成长"),5))*(VLOOKUP($B$5,标准坦克设计!$B$24:$U$30,MATCH("对"&amp;LEFT($C$5,2)&amp;"输出",标准坦克设计!$B$23:$U$23,0)))*(VLOOKUP($B185,INDIRECT($B$5&amp;"生成成长"),3))*(VLOOKUP($B$5,标准坦克设计!$B$14:$K$20,9)/30))</f>
        <v>9.033529777663043</v>
      </c>
      <c r="R185" s="172">
        <f ca="1">(VLOOKUP(R$72,INDIRECT($C$5&amp;"生成成长"),2))/((VLOOKUP($B185,INDIRECT($B$5&amp;"生成成长"),4))/(VLOOKUP(R$72,INDIRECT($C$5&amp;"生成成长"),5))*(VLOOKUP($B$5,标准坦克设计!$B$24:$U$30,MATCH("对"&amp;LEFT($C$5,2)&amp;"输出",标准坦克设计!$B$23:$U$23,0)))*(VLOOKUP($B185,INDIRECT($B$5&amp;"生成成长"),3))*(VLOOKUP($B$5,标准坦克设计!$B$14:$K$20,9)/30))</f>
        <v>10.071718320067202</v>
      </c>
      <c r="S185" s="172">
        <f ca="1">(VLOOKUP(S$72,INDIRECT($C$5&amp;"生成成长"),2))/((VLOOKUP($B185,INDIRECT($B$5&amp;"生成成长"),4))/(VLOOKUP(S$72,INDIRECT($C$5&amp;"生成成长"),5))*(VLOOKUP($B$5,标准坦克设计!$B$24:$U$30,MATCH("对"&amp;LEFT($C$5,2)&amp;"输出",标准坦克设计!$B$23:$U$23,0)))*(VLOOKUP($B185,INDIRECT($B$5&amp;"生成成长"),3))*(VLOOKUP($B$5,标准坦克设计!$B$14:$K$20,9)/30))</f>
        <v>11.166364245441981</v>
      </c>
      <c r="T185" s="172">
        <f ca="1">(VLOOKUP(T$72,INDIRECT($C$5&amp;"生成成长"),2))/((VLOOKUP($B185,INDIRECT($B$5&amp;"生成成长"),4))/(VLOOKUP(T$72,INDIRECT($C$5&amp;"生成成长"),5))*(VLOOKUP($B$5,标准坦克设计!$B$24:$U$30,MATCH("对"&amp;LEFT($C$5,2)&amp;"输出",标准坦克设计!$B$23:$U$23,0)))*(VLOOKUP($B185,INDIRECT($B$5&amp;"生成成长"),3))*(VLOOKUP($B$5,标准坦克设计!$B$14:$K$20,9)/30))</f>
        <v>12.317467553787374</v>
      </c>
      <c r="U185" s="172">
        <f ca="1">(VLOOKUP(U$72,INDIRECT($C$5&amp;"生成成长"),2))/((VLOOKUP($B185,INDIRECT($B$5&amp;"生成成长"),4))/(VLOOKUP(U$72,INDIRECT($C$5&amp;"生成成长"),5))*(VLOOKUP($B$5,标准坦克设计!$B$24:$U$30,MATCH("对"&amp;LEFT($C$5,2)&amp;"输出",标准坦克设计!$B$23:$U$23,0)))*(VLOOKUP($B185,INDIRECT($B$5&amp;"生成成长"),3))*(VLOOKUP($B$5,标准坦克设计!$B$14:$K$20,9)/30))</f>
        <v>13.525028245103391</v>
      </c>
      <c r="V185" s="172">
        <f ca="1">(VLOOKUP(V$72,INDIRECT($C$5&amp;"生成成长"),2))/((VLOOKUP($B185,INDIRECT($B$5&amp;"生成成长"),4))/(VLOOKUP(V$72,INDIRECT($C$5&amp;"生成成长"),5))*(VLOOKUP($B$5,标准坦克设计!$B$24:$U$30,MATCH("对"&amp;LEFT($C$5,2)&amp;"输出",标准坦克设计!$B$23:$U$23,0)))*(VLOOKUP($B185,INDIRECT($B$5&amp;"生成成长"),3))*(VLOOKUP($B$5,标准坦克设计!$B$14:$K$20,9)/30))</f>
        <v>14.789046319390028</v>
      </c>
      <c r="W185" s="172">
        <f ca="1">(VLOOKUP(W$72,INDIRECT($C$5&amp;"生成成长"),2))/((VLOOKUP($B185,INDIRECT($B$5&amp;"生成成长"),4))/(VLOOKUP(W$72,INDIRECT($C$5&amp;"生成成长"),5))*(VLOOKUP($B$5,标准坦克设计!$B$24:$U$30,MATCH("对"&amp;LEFT($C$5,2)&amp;"输出",标准坦克设计!$B$23:$U$23,0)))*(VLOOKUP($B185,INDIRECT($B$5&amp;"生成成长"),3))*(VLOOKUP($B$5,标准坦克设计!$B$14:$K$20,9)/30))</f>
        <v>16.109521776647277</v>
      </c>
      <c r="X185" s="172">
        <f ca="1">(VLOOKUP(X$72,INDIRECT($C$5&amp;"生成成长"),2))/((VLOOKUP($B185,INDIRECT($B$5&amp;"生成成长"),4))/(VLOOKUP(X$72,INDIRECT($C$5&amp;"生成成长"),5))*(VLOOKUP($B$5,标准坦克设计!$B$24:$U$30,MATCH("对"&amp;LEFT($C$5,2)&amp;"输出",标准坦克设计!$B$23:$U$23,0)))*(VLOOKUP($B185,INDIRECT($B$5&amp;"生成成长"),3))*(VLOOKUP($B$5,标准坦克设计!$B$14:$K$20,9)/30))</f>
        <v>11.670995668537389</v>
      </c>
      <c r="Y185" s="172">
        <f ca="1">(VLOOKUP(Y$72,INDIRECT($C$5&amp;"生成成长"),2))/((VLOOKUP($B185,INDIRECT($B$5&amp;"生成成长"),4))/(VLOOKUP(Y$72,INDIRECT($C$5&amp;"生成成长"),5))*(VLOOKUP($B$5,标准坦克设计!$B$24:$U$30,MATCH("对"&amp;LEFT($C$5,2)&amp;"输出",标准坦克设计!$B$23:$U$23,0)))*(VLOOKUP($B185,INDIRECT($B$5&amp;"生成成长"),3))*(VLOOKUP($B$5,标准坦克设计!$B$14:$K$20,9)/30))</f>
        <v>12.981364557238173</v>
      </c>
      <c r="Z185" s="172">
        <f ca="1">(VLOOKUP(Z$72,INDIRECT($C$5&amp;"生成成长"),2))/((VLOOKUP($B185,INDIRECT($B$5&amp;"生成成长"),4))/(VLOOKUP(Z$72,INDIRECT($C$5&amp;"生成成长"),5))*(VLOOKUP($B$5,标准坦克设计!$B$24:$U$30,MATCH("对"&amp;LEFT($C$5,2)&amp;"输出",标准坦克设计!$B$23:$U$23,0)))*(VLOOKUP($B185,INDIRECT($B$5&amp;"生成成长"),3))*(VLOOKUP($B$5,标准坦克设计!$B$14:$K$20,9)/30))</f>
        <v>14.36143391874219</v>
      </c>
      <c r="AA185" s="172">
        <f ca="1">(VLOOKUP(AA$72,INDIRECT($C$5&amp;"生成成长"),2))/((VLOOKUP($B185,INDIRECT($B$5&amp;"生成成长"),4))/(VLOOKUP(AA$72,INDIRECT($C$5&amp;"生成成长"),5))*(VLOOKUP($B$5,标准坦克设计!$B$24:$U$30,MATCH("对"&amp;LEFT($C$5,2)&amp;"输出",标准坦克设计!$B$23:$U$23,0)))*(VLOOKUP($B185,INDIRECT($B$5&amp;"生成成长"),3))*(VLOOKUP($B$5,标准坦克设计!$B$14:$K$20,9)/30))</f>
        <v>15.81120375304944</v>
      </c>
      <c r="AB185" s="172">
        <f ca="1">(VLOOKUP(AB$72,INDIRECT($C$5&amp;"生成成长"),2))/((VLOOKUP($B185,INDIRECT($B$5&amp;"生成成长"),4))/(VLOOKUP(AB$72,INDIRECT($C$5&amp;"生成成长"),5))*(VLOOKUP($B$5,标准坦克设计!$B$24:$U$30,MATCH("对"&amp;LEFT($C$5,2)&amp;"输出",标准坦克设计!$B$23:$U$23,0)))*(VLOOKUP($B185,INDIRECT($B$5&amp;"生成成长"),3))*(VLOOKUP($B$5,标准坦克设计!$B$14:$K$20,9)/30))</f>
        <v>17.330674060159925</v>
      </c>
      <c r="AC185" s="172">
        <f ca="1">(VLOOKUP(AC$72,INDIRECT($C$5&amp;"生成成长"),2))/((VLOOKUP($B185,INDIRECT($B$5&amp;"生成成长"),4))/(VLOOKUP(AC$72,INDIRECT($C$5&amp;"生成成长"),5))*(VLOOKUP($B$5,标准坦克设计!$B$24:$U$30,MATCH("对"&amp;LEFT($C$5,2)&amp;"输出",标准坦克设计!$B$23:$U$23,0)))*(VLOOKUP($B185,INDIRECT($B$5&amp;"生成成长"),3))*(VLOOKUP($B$5,标准坦克设计!$B$14:$K$20,9)/30))</f>
        <v>18.919844840073644</v>
      </c>
      <c r="AD185" s="172">
        <f ca="1">(VLOOKUP(AD$72,INDIRECT($C$5&amp;"生成成长"),2))/((VLOOKUP($B185,INDIRECT($B$5&amp;"生成成长"),4))/(VLOOKUP(AD$72,INDIRECT($C$5&amp;"生成成长"),5))*(VLOOKUP($B$5,标准坦克设计!$B$24:$U$30,MATCH("对"&amp;LEFT($C$5,2)&amp;"输出",标准坦克设计!$B$23:$U$23,0)))*(VLOOKUP($B185,INDIRECT($B$5&amp;"生成成长"),3))*(VLOOKUP($B$5,标准坦克设计!$B$14:$K$20,9)/30))</f>
        <v>20.578716092790593</v>
      </c>
      <c r="AE185" s="172">
        <f ca="1">(VLOOKUP(AE$72,INDIRECT($C$5&amp;"生成成长"),2))/((VLOOKUP($B185,INDIRECT($B$5&amp;"生成成长"),4))/(VLOOKUP(AE$72,INDIRECT($C$5&amp;"生成成长"),5))*(VLOOKUP($B$5,标准坦克设计!$B$24:$U$30,MATCH("对"&amp;LEFT($C$5,2)&amp;"输出",标准坦克设计!$B$23:$U$23,0)))*(VLOOKUP($B185,INDIRECT($B$5&amp;"生成成长"),3))*(VLOOKUP($B$5,标准坦克设计!$B$14:$K$20,9)/30))</f>
        <v>22.30728781831078</v>
      </c>
      <c r="AF185" s="172">
        <f ca="1">(VLOOKUP(AF$72,INDIRECT($C$5&amp;"生成成长"),2))/((VLOOKUP($B185,INDIRECT($B$5&amp;"生成成长"),4))/(VLOOKUP(AF$72,INDIRECT($C$5&amp;"生成成长"),5))*(VLOOKUP($B$5,标准坦克设计!$B$24:$U$30,MATCH("对"&amp;LEFT($C$5,2)&amp;"输出",标准坦克设计!$B$23:$U$23,0)))*(VLOOKUP($B185,INDIRECT($B$5&amp;"生成成长"),3))*(VLOOKUP($B$5,标准坦克设计!$B$14:$K$20,9)/30))</f>
        <v>24.105560016634193</v>
      </c>
      <c r="AG185" s="172">
        <f ca="1">(VLOOKUP(AG$72,INDIRECT($C$5&amp;"生成成长"),2))/((VLOOKUP($B185,INDIRECT($B$5&amp;"生成成长"),4))/(VLOOKUP(AG$72,INDIRECT($C$5&amp;"生成成长"),5))*(VLOOKUP($B$5,标准坦克设计!$B$24:$U$30,MATCH("对"&amp;LEFT($C$5,2)&amp;"输出",标准坦克设计!$B$23:$U$23,0)))*(VLOOKUP($B185,INDIRECT($B$5&amp;"生成成长"),3))*(VLOOKUP($B$5,标准坦克设计!$B$14:$K$20,9)/30))</f>
        <v>25.973532687760841</v>
      </c>
      <c r="AH185" s="172">
        <f ca="1">(VLOOKUP(AH$72,INDIRECT($C$5&amp;"生成成长"),2))/((VLOOKUP($B185,INDIRECT($B$5&amp;"生成成长"),4))/(VLOOKUP(AH$72,INDIRECT($C$5&amp;"生成成长"),5))*(VLOOKUP($B$5,标准坦克设计!$B$24:$U$30,MATCH("对"&amp;LEFT($C$5,2)&amp;"输出",标准坦克设计!$B$23:$U$23,0)))*(VLOOKUP($B185,INDIRECT($B$5&amp;"生成成长"),3))*(VLOOKUP($B$5,标准坦克设计!$B$14:$K$20,9)/30))</f>
        <v>27.911205831690729</v>
      </c>
      <c r="AI185" s="172">
        <f ca="1">(VLOOKUP(AI$72,INDIRECT($C$5&amp;"生成成长"),2))/((VLOOKUP($B185,INDIRECT($B$5&amp;"生成成长"),4))/(VLOOKUP(AI$72,INDIRECT($C$5&amp;"生成成长"),5))*(VLOOKUP($B$5,标准坦克设计!$B$24:$U$30,MATCH("对"&amp;LEFT($C$5,2)&amp;"输出",标准坦克设计!$B$23:$U$23,0)))*(VLOOKUP($B185,INDIRECT($B$5&amp;"生成成长"),3))*(VLOOKUP($B$5,标准坦克设计!$B$14:$K$20,9)/30))</f>
        <v>19.740567907331712</v>
      </c>
      <c r="AJ185" s="172">
        <f ca="1">(VLOOKUP(AJ$72,INDIRECT($C$5&amp;"生成成长"),2))/((VLOOKUP($B185,INDIRECT($B$5&amp;"生成成长"),4))/(VLOOKUP(AJ$72,INDIRECT($C$5&amp;"生成成长"),5))*(VLOOKUP($B$5,标准坦克设计!$B$24:$U$30,MATCH("对"&amp;LEFT($C$5,2)&amp;"输出",标准坦克设计!$B$23:$U$23,0)))*(VLOOKUP($B185,INDIRECT($B$5&amp;"生成成长"),3))*(VLOOKUP($B$5,标准坦克设计!$B$14:$K$20,9)/30))</f>
        <v>21.607495071366316</v>
      </c>
      <c r="AK185" s="172">
        <f ca="1">(VLOOKUP(AK$72,INDIRECT($C$5&amp;"生成成长"),2))/((VLOOKUP($B185,INDIRECT($B$5&amp;"生成成长"),4))/(VLOOKUP(AK$72,INDIRECT($C$5&amp;"生成成长"),5))*(VLOOKUP($B$5,标准坦克设计!$B$24:$U$30,MATCH("对"&amp;LEFT($C$5,2)&amp;"输出",标准坦克设计!$B$23:$U$23,0)))*(VLOOKUP($B185,INDIRECT($B$5&amp;"生成成长"),3))*(VLOOKUP($B$5,标准坦克设计!$B$14:$K$20,9)/30))</f>
        <v>23.558759807492834</v>
      </c>
      <c r="AL185" s="172">
        <f ca="1">(VLOOKUP(AL$72,INDIRECT($C$5&amp;"生成成长"),2))/((VLOOKUP($B185,INDIRECT($B$5&amp;"生成成长"),4))/(VLOOKUP(AL$72,INDIRECT($C$5&amp;"生成成长"),5))*(VLOOKUP($B$5,标准坦克设计!$B$24:$U$30,MATCH("对"&amp;LEFT($C$5,2)&amp;"输出",标准坦克设计!$B$23:$U$23,0)))*(VLOOKUP($B185,INDIRECT($B$5&amp;"生成成长"),3))*(VLOOKUP($B$5,标准坦克设计!$B$14:$K$20,9)/30))</f>
        <v>25.59436211571126</v>
      </c>
      <c r="AM185" s="172">
        <f ca="1">(VLOOKUP(AM$72,INDIRECT($C$5&amp;"生成成长"),2))/((VLOOKUP($B185,INDIRECT($B$5&amp;"生成成长"),4))/(VLOOKUP(AM$72,INDIRECT($C$5&amp;"生成成长"),5))*(VLOOKUP($B$5,标准坦克设计!$B$24:$U$30,MATCH("对"&amp;LEFT($C$5,2)&amp;"输出",标准坦克设计!$B$23:$U$23,0)))*(VLOOKUP($B185,INDIRECT($B$5&amp;"生成成长"),3))*(VLOOKUP($B$5,标准坦克设计!$B$14:$K$20,9)/30))</f>
        <v>27.714301996021593</v>
      </c>
      <c r="AN185" s="172">
        <f ca="1">(VLOOKUP(AN$72,INDIRECT($C$5&amp;"生成成长"),2))/((VLOOKUP($B185,INDIRECT($B$5&amp;"生成成长"),4))/(VLOOKUP(AN$72,INDIRECT($C$5&amp;"生成成长"),5))*(VLOOKUP($B$5,标准坦克设计!$B$24:$U$30,MATCH("对"&amp;LEFT($C$5,2)&amp;"输出",标准坦克设计!$B$23:$U$23,0)))*(VLOOKUP($B185,INDIRECT($B$5&amp;"生成成长"),3))*(VLOOKUP($B$5,标准坦克设计!$B$14:$K$20,9)/30))</f>
        <v>29.918579448423845</v>
      </c>
      <c r="AO185" s="172">
        <f ca="1">(VLOOKUP(AO$72,INDIRECT($C$5&amp;"生成成长"),2))/((VLOOKUP($B185,INDIRECT($B$5&amp;"生成成长"),4))/(VLOOKUP(AO$72,INDIRECT($C$5&amp;"生成成长"),5))*(VLOOKUP($B$5,标准坦克设计!$B$24:$U$30,MATCH("对"&amp;LEFT($C$5,2)&amp;"输出",标准坦克设计!$B$23:$U$23,0)))*(VLOOKUP($B185,INDIRECT($B$5&amp;"生成成长"),3))*(VLOOKUP($B$5,标准坦克设计!$B$14:$K$20,9)/30))</f>
        <v>32.207194472918012</v>
      </c>
      <c r="AP185" s="172">
        <f ca="1">(VLOOKUP(AP$72,INDIRECT($C$5&amp;"生成成长"),2))/((VLOOKUP($B185,INDIRECT($B$5&amp;"生成成长"),4))/(VLOOKUP(AP$72,INDIRECT($C$5&amp;"生成成长"),5))*(VLOOKUP($B$5,标准坦克设计!$B$24:$U$30,MATCH("对"&amp;LEFT($C$5,2)&amp;"输出",标准坦克设计!$B$23:$U$23,0)))*(VLOOKUP($B185,INDIRECT($B$5&amp;"生成成长"),3))*(VLOOKUP($B$5,标准坦克设计!$B$14:$K$20,9)/30))</f>
        <v>34.580147069504086</v>
      </c>
      <c r="AQ185" s="172">
        <f ca="1">(VLOOKUP(AQ$72,INDIRECT($C$5&amp;"生成成长"),2))/((VLOOKUP($B185,INDIRECT($B$5&amp;"生成成长"),4))/(VLOOKUP(AQ$72,INDIRECT($C$5&amp;"生成成长"),5))*(VLOOKUP($B$5,标准坦克设计!$B$24:$U$30,MATCH("对"&amp;LEFT($C$5,2)&amp;"输出",标准坦克设计!$B$23:$U$23,0)))*(VLOOKUP($B185,INDIRECT($B$5&amp;"生成成长"),3))*(VLOOKUP($B$5,标准坦克设计!$B$14:$K$20,9)/30))</f>
        <v>37.037437238182072</v>
      </c>
      <c r="AR185" s="172">
        <f ca="1">(VLOOKUP(AR$72,INDIRECT($C$5&amp;"生成成长"),2))/((VLOOKUP($B185,INDIRECT($B$5&amp;"生成成长"),4))/(VLOOKUP(AR$72,INDIRECT($C$5&amp;"生成成长"),5))*(VLOOKUP($B$5,标准坦克设计!$B$24:$U$30,MATCH("对"&amp;LEFT($C$5,2)&amp;"输出",标准坦克设计!$B$23:$U$23,0)))*(VLOOKUP($B185,INDIRECT($B$5&amp;"生成成长"),3))*(VLOOKUP($B$5,标准坦克设计!$B$14:$K$20,9)/30))</f>
        <v>39.579064978951969</v>
      </c>
      <c r="AS185" s="172">
        <f ca="1">(VLOOKUP(AS$72,INDIRECT($C$5&amp;"生成成长"),2))/((VLOOKUP($B185,INDIRECT($B$5&amp;"生成成长"),4))/(VLOOKUP(AS$72,INDIRECT($C$5&amp;"生成成长"),5))*(VLOOKUP($B$5,标准坦克设计!$B$24:$U$30,MATCH("对"&amp;LEFT($C$5,2)&amp;"输出",标准坦克设计!$B$23:$U$23,0)))*(VLOOKUP($B185,INDIRECT($B$5&amp;"生成成长"),3))*(VLOOKUP($B$5,标准坦克设计!$B$14:$K$20,9)/30))</f>
        <v>42.205030291813785</v>
      </c>
      <c r="AT185" s="172">
        <f ca="1">(VLOOKUP(AT$72,INDIRECT($C$5&amp;"生成成长"),2))/((VLOOKUP($B185,INDIRECT($B$5&amp;"生成成长"),4))/(VLOOKUP(AT$72,INDIRECT($C$5&amp;"生成成长"),5))*(VLOOKUP($B$5,标准坦克设计!$B$24:$U$30,MATCH("对"&amp;LEFT($C$5,2)&amp;"输出",标准坦克设计!$B$23:$U$23,0)))*(VLOOKUP($B185,INDIRECT($B$5&amp;"生成成长"),3))*(VLOOKUP($B$5,标准坦克设计!$B$14:$K$20,9)/30))</f>
        <v>44.915333176767504</v>
      </c>
      <c r="AU185" s="172">
        <f ca="1">(VLOOKUP(AU$72,INDIRECT($C$5&amp;"生成成长"),2))/((VLOOKUP($B185,INDIRECT($B$5&amp;"生成成长"),4))/(VLOOKUP(AU$72,INDIRECT($C$5&amp;"生成成长"),5))*(VLOOKUP($B$5,标准坦克设计!$B$24:$U$30,MATCH("对"&amp;LEFT($C$5,2)&amp;"输出",标准坦克设计!$B$23:$U$23,0)))*(VLOOKUP($B185,INDIRECT($B$5&amp;"生成成长"),3))*(VLOOKUP($B$5,标准坦克设计!$B$14:$K$20,9)/30))</f>
        <v>47.709973633813142</v>
      </c>
      <c r="AV185" s="172">
        <f ca="1">(VLOOKUP(AV$72,INDIRECT($C$5&amp;"生成成长"),2))/((VLOOKUP($B185,INDIRECT($B$5&amp;"生成成长"),4))/(VLOOKUP(AV$72,INDIRECT($C$5&amp;"生成成长"),5))*(VLOOKUP($B$5,标准坦克设计!$B$24:$U$30,MATCH("对"&amp;LEFT($C$5,2)&amp;"输出",标准坦克设计!$B$23:$U$23,0)))*(VLOOKUP($B185,INDIRECT($B$5&amp;"生成成长"),3))*(VLOOKUP($B$5,标准坦克设计!$B$14:$K$20,9)/30))</f>
        <v>4.8525469165610966</v>
      </c>
      <c r="AW185" s="172">
        <f ca="1">(VLOOKUP(AW$72,INDIRECT($C$5&amp;"生成成长"),2))/((VLOOKUP($B185,INDIRECT($B$5&amp;"生成成长"),4))/(VLOOKUP(AW$72,INDIRECT($C$5&amp;"生成成长"),5))*(VLOOKUP($B$5,标准坦克设计!$B$24:$U$30,MATCH("对"&amp;LEFT($C$5,2)&amp;"输出",标准坦克设计!$B$23:$U$23,0)))*(VLOOKUP($B185,INDIRECT($B$5&amp;"生成成长"),3))*(VLOOKUP($B$5,标准坦克设计!$B$14:$K$20,9)/30))</f>
        <v>5.5328235311206528</v>
      </c>
      <c r="AX185" s="172">
        <f ca="1">(VLOOKUP(AX$72,INDIRECT($C$5&amp;"生成成长"),2))/((VLOOKUP($B185,INDIRECT($B$5&amp;"生成成长"),4))/(VLOOKUP(AX$72,INDIRECT($C$5&amp;"生成成长"),5))*(VLOOKUP($B$5,标准坦克设计!$B$24:$U$30,MATCH("对"&amp;LEFT($C$5,2)&amp;"输出",标准坦克设计!$B$23:$U$23,0)))*(VLOOKUP($B185,INDIRECT($B$5&amp;"生成成长"),3))*(VLOOKUP($B$5,标准坦克设计!$B$14:$K$20,9)/30))</f>
        <v>6.2577084482742791</v>
      </c>
      <c r="AY185" s="172">
        <f ca="1">(VLOOKUP(AY$72,INDIRECT($C$5&amp;"生成成长"),2))/((VLOOKUP($B185,INDIRECT($B$5&amp;"生成成长"),4))/(VLOOKUP(AY$72,INDIRECT($C$5&amp;"生成成长"),5))*(VLOOKUP($B$5,标准坦克设计!$B$24:$U$30,MATCH("对"&amp;LEFT($C$5,2)&amp;"输出",标准坦克设计!$B$23:$U$23,0)))*(VLOOKUP($B185,INDIRECT($B$5&amp;"生成成长"),3))*(VLOOKUP($B$5,标准坦克设计!$B$14:$K$20,9)/30))</f>
        <v>7.0272016680219735</v>
      </c>
      <c r="AZ185" s="172">
        <f ca="1">(VLOOKUP(AZ$72,INDIRECT($C$5&amp;"生成成长"),2))/((VLOOKUP($B185,INDIRECT($B$5&amp;"生成成长"),4))/(VLOOKUP(AZ$72,INDIRECT($C$5&amp;"生成成长"),5))*(VLOOKUP($B$5,标准坦克设计!$B$24:$U$30,MATCH("对"&amp;LEFT($C$5,2)&amp;"输出",标准坦克设计!$B$23:$U$23,0)))*(VLOOKUP($B185,INDIRECT($B$5&amp;"生成成长"),3))*(VLOOKUP($B$5,标准坦克设计!$B$14:$K$20,9)/30))</f>
        <v>7.8413031903637389</v>
      </c>
      <c r="BA185" s="172">
        <f ca="1">(VLOOKUP(BA$72,INDIRECT($C$5&amp;"生成成长"),2))/((VLOOKUP($B185,INDIRECT($B$5&amp;"生成成长"),4))/(VLOOKUP(BA$72,INDIRECT($C$5&amp;"生成成长"),5))*(VLOOKUP($B$5,标准坦克设计!$B$24:$U$30,MATCH("对"&amp;LEFT($C$5,2)&amp;"输出",标准坦克设计!$B$23:$U$23,0)))*(VLOOKUP($B185,INDIRECT($B$5&amp;"生成成长"),3))*(VLOOKUP($B$5,标准坦克设计!$B$14:$K$20,9)/30))</f>
        <v>8.7000130152995698</v>
      </c>
      <c r="BB185" s="172">
        <f ca="1">(VLOOKUP(BB$72,INDIRECT($C$5&amp;"生成成长"),2))/((VLOOKUP($B185,INDIRECT($B$5&amp;"生成成长"),4))/(VLOOKUP(BB$72,INDIRECT($C$5&amp;"生成成长"),5))*(VLOOKUP($B$5,标准坦克设计!$B$24:$U$30,MATCH("对"&amp;LEFT($C$5,2)&amp;"输出",标准坦克设计!$B$23:$U$23,0)))*(VLOOKUP($B185,INDIRECT($B$5&amp;"生成成长"),3))*(VLOOKUP($B$5,标准坦克设计!$B$14:$K$20,9)/30))</f>
        <v>9.6033311428294734</v>
      </c>
      <c r="BC185" s="172">
        <f ca="1">(VLOOKUP(BC$72,INDIRECT($C$5&amp;"生成成长"),2))/((VLOOKUP($B185,INDIRECT($B$5&amp;"生成成长"),4))/(VLOOKUP(BC$72,INDIRECT($C$5&amp;"生成成长"),5))*(VLOOKUP($B$5,标准坦克设计!$B$24:$U$30,MATCH("对"&amp;LEFT($C$5,2)&amp;"输出",标准坦克设计!$B$23:$U$23,0)))*(VLOOKUP($B185,INDIRECT($B$5&amp;"生成成长"),3))*(VLOOKUP($B$5,标准坦克设计!$B$14:$K$20,9)/30))</f>
        <v>10.551257572953446</v>
      </c>
      <c r="BD185" s="172">
        <f ca="1">(VLOOKUP(BD$72,INDIRECT($C$5&amp;"生成成长"),2))/((VLOOKUP($B185,INDIRECT($B$5&amp;"生成成长"),4))/(VLOOKUP(BD$72,INDIRECT($C$5&amp;"生成成长"),5))*(VLOOKUP($B$5,标准坦克设计!$B$24:$U$30,MATCH("对"&amp;LEFT($C$5,2)&amp;"输出",标准坦克设计!$B$23:$U$23,0)))*(VLOOKUP($B185,INDIRECT($B$5&amp;"生成成长"),3))*(VLOOKUP($B$5,标准坦克设计!$B$14:$K$20,9)/30))</f>
        <v>11.670995668537389</v>
      </c>
      <c r="BE185" s="172">
        <f ca="1">(VLOOKUP(BE$72,INDIRECT($C$5&amp;"生成成长"),2))/((VLOOKUP($B185,INDIRECT($B$5&amp;"生成成长"),4))/(VLOOKUP(BE$72,INDIRECT($C$5&amp;"生成成长"),5))*(VLOOKUP($B$5,标准坦克设计!$B$24:$U$30,MATCH("对"&amp;LEFT($C$5,2)&amp;"输出",标准坦克设计!$B$23:$U$23,0)))*(VLOOKUP($B185,INDIRECT($B$5&amp;"生成成长"),3))*(VLOOKUP($B$5,标准坦克设计!$B$14:$K$20,9)/30))</f>
        <v>12.847191147091948</v>
      </c>
      <c r="BF185" s="172">
        <f ca="1">(VLOOKUP(BF$72,INDIRECT($C$5&amp;"生成成长"),2))/((VLOOKUP($B185,INDIRECT($B$5&amp;"生成成长"),4))/(VLOOKUP(BF$72,INDIRECT($C$5&amp;"生成成长"),5))*(VLOOKUP($B$5,标准坦克设计!$B$24:$U$30,MATCH("对"&amp;LEFT($C$5,2)&amp;"输出",标准坦克设计!$B$23:$U$23,0)))*(VLOOKUP($B185,INDIRECT($B$5&amp;"生成成长"),3))*(VLOOKUP($B$5,标准坦克设计!$B$14:$K$20,9)/30))</f>
        <v>14.079844008617126</v>
      </c>
      <c r="BG185" s="172">
        <f ca="1">(VLOOKUP(BG$72,INDIRECT($C$5&amp;"生成成长"),2))/((VLOOKUP($B185,INDIRECT($B$5&amp;"生成成长"),4))/(VLOOKUP(BG$72,INDIRECT($C$5&amp;"生成成长"),5))*(VLOOKUP($B$5,标准坦克设计!$B$24:$U$30,MATCH("对"&amp;LEFT($C$5,2)&amp;"输出",标准坦克设计!$B$23:$U$23,0)))*(VLOOKUP($B185,INDIRECT($B$5&amp;"生成成长"),3))*(VLOOKUP($B$5,标准坦克设计!$B$14:$K$20,9)/30))</f>
        <v>15.368954253112927</v>
      </c>
      <c r="BH185" s="172">
        <f ca="1">(VLOOKUP(BH$72,INDIRECT($C$5&amp;"生成成长"),2))/((VLOOKUP($B185,INDIRECT($B$5&amp;"生成成长"),4))/(VLOOKUP(BH$72,INDIRECT($C$5&amp;"生成成长"),5))*(VLOOKUP($B$5,标准坦克设计!$B$24:$U$30,MATCH("对"&amp;LEFT($C$5,2)&amp;"输出",标准坦克设计!$B$23:$U$23,0)))*(VLOOKUP($B185,INDIRECT($B$5&amp;"生成成长"),3))*(VLOOKUP($B$5,标准坦克设计!$B$14:$K$20,9)/30))</f>
        <v>7.4286763913685965</v>
      </c>
      <c r="BI185" s="172">
        <f ca="1">(VLOOKUP(BI$72,INDIRECT($C$5&amp;"生成成长"),2))/((VLOOKUP($B185,INDIRECT($B$5&amp;"生成成长"),4))/(VLOOKUP(BI$72,INDIRECT($C$5&amp;"生成成长"),5))*(VLOOKUP($B$5,标准坦克设计!$B$24:$U$30,MATCH("对"&amp;LEFT($C$5,2)&amp;"输出",标准坦克设计!$B$23:$U$23,0)))*(VLOOKUP($B185,INDIRECT($B$5&amp;"生成成长"),3))*(VLOOKUP($B$5,标准坦克设计!$B$14:$K$20,9)/30))</f>
        <v>8.372769295488391</v>
      </c>
      <c r="BJ185" s="172">
        <f ca="1">(VLOOKUP(BJ$72,INDIRECT($C$5&amp;"生成成长"),2))/((VLOOKUP($B185,INDIRECT($B$5&amp;"生成成长"),4))/(VLOOKUP(BJ$72,INDIRECT($C$5&amp;"生成成长"),5))*(VLOOKUP($B$5,标准坦克设计!$B$24:$U$30,MATCH("对"&amp;LEFT($C$5,2)&amp;"输出",标准坦克设计!$B$23:$U$23,0)))*(VLOOKUP($B185,INDIRECT($B$5&amp;"生成成长"),3))*(VLOOKUP($B$5,标准坦克设计!$B$14:$K$20,9)/30))</f>
        <v>9.3733195825788052</v>
      </c>
      <c r="BK185" s="172">
        <f ca="1">(VLOOKUP(BK$72,INDIRECT($C$5&amp;"生成成长"),2))/((VLOOKUP($B185,INDIRECT($B$5&amp;"生成成长"),4))/(VLOOKUP(BK$72,INDIRECT($C$5&amp;"生成成长"),5))*(VLOOKUP($B$5,标准坦克设计!$B$24:$U$30,MATCH("对"&amp;LEFT($C$5,2)&amp;"输出",标准坦克设计!$B$23:$U$23,0)))*(VLOOKUP($B185,INDIRECT($B$5&amp;"生成成长"),3))*(VLOOKUP($B$5,标准坦克设计!$B$14:$K$20,9)/30))</f>
        <v>10.430327252639836</v>
      </c>
      <c r="BL185" s="172">
        <f ca="1">(VLOOKUP(BL$72,INDIRECT($C$5&amp;"生成成长"),2))/((VLOOKUP($B185,INDIRECT($B$5&amp;"生成成长"),4))/(VLOOKUP(BL$72,INDIRECT($C$5&amp;"生成成长"),5))*(VLOOKUP($B$5,标准坦克设计!$B$24:$U$30,MATCH("对"&amp;LEFT($C$5,2)&amp;"输出",标准坦克设计!$B$23:$U$23,0)))*(VLOOKUP($B185,INDIRECT($B$5&amp;"生成成长"),3))*(VLOOKUP($B$5,标准坦克设计!$B$14:$K$20,9)/30))</f>
        <v>11.54379230567149</v>
      </c>
      <c r="BM185" s="172">
        <f ca="1">(VLOOKUP(BM$72,INDIRECT($C$5&amp;"生成成长"),2))/((VLOOKUP($B185,INDIRECT($B$5&amp;"生成成长"),4))/(VLOOKUP(BM$72,INDIRECT($C$5&amp;"生成成长"),5))*(VLOOKUP($B$5,标准坦克设计!$B$24:$U$30,MATCH("对"&amp;LEFT($C$5,2)&amp;"输出",标准坦克设计!$B$23:$U$23,0)))*(VLOOKUP($B185,INDIRECT($B$5&amp;"生成成长"),3))*(VLOOKUP($B$5,标准坦克设计!$B$14:$K$20,9)/30))</f>
        <v>12.713714741673755</v>
      </c>
      <c r="BN185" s="172">
        <f ca="1">(VLOOKUP(BN$72,INDIRECT($C$5&amp;"生成成长"),2))/((VLOOKUP($B185,INDIRECT($B$5&amp;"生成成长"),4))/(VLOOKUP(BN$72,INDIRECT($C$5&amp;"生成成长"),5))*(VLOOKUP($B$5,标准坦克设计!$B$24:$U$30,MATCH("对"&amp;LEFT($C$5,2)&amp;"输出",标准坦克设计!$B$23:$U$23,0)))*(VLOOKUP($B185,INDIRECT($B$5&amp;"生成成长"),3))*(VLOOKUP($B$5,标准坦克设计!$B$14:$K$20,9)/30))</f>
        <v>13.940094560646646</v>
      </c>
      <c r="BO185" s="172">
        <f ca="1">(VLOOKUP(BO$72,INDIRECT($C$5&amp;"生成成长"),2))/((VLOOKUP($B185,INDIRECT($B$5&amp;"生成成长"),4))/(VLOOKUP(BO$72,INDIRECT($C$5&amp;"生成成长"),5))*(VLOOKUP($B$5,标准坦克设计!$B$24:$U$30,MATCH("对"&amp;LEFT($C$5,2)&amp;"输出",标准坦克设计!$B$23:$U$23,0)))*(VLOOKUP($B185,INDIRECT($B$5&amp;"生成成长"),3))*(VLOOKUP($B$5,标准坦克设计!$B$14:$K$20,9)/30))</f>
        <v>15.222931762590155</v>
      </c>
      <c r="BP185" s="172">
        <f ca="1">(VLOOKUP(BP$72,INDIRECT($C$5&amp;"生成成长"),2))/((VLOOKUP($B185,INDIRECT($B$5&amp;"生成成长"),4))/(VLOOKUP(BP$72,INDIRECT($C$5&amp;"生成成长"),5))*(VLOOKUP($B$5,标准坦克设计!$B$24:$U$30,MATCH("对"&amp;LEFT($C$5,2)&amp;"输出",标准坦克设计!$B$23:$U$23,0)))*(VLOOKUP($B185,INDIRECT($B$5&amp;"生成成长"),3))*(VLOOKUP($B$5,标准坦克设计!$B$14:$K$20,9)/30))</f>
        <v>16.562226347504279</v>
      </c>
      <c r="BQ185" s="172">
        <f ca="1">(VLOOKUP(BQ$72,INDIRECT($C$5&amp;"生成成长"),2))/((VLOOKUP($B185,INDIRECT($B$5&amp;"生成成长"),4))/(VLOOKUP(BQ$72,INDIRECT($C$5&amp;"生成成长"),5))*(VLOOKUP($B$5,标准坦克设计!$B$24:$U$30,MATCH("对"&amp;LEFT($C$5,2)&amp;"输出",标准坦克设计!$B$23:$U$23,0)))*(VLOOKUP($B185,INDIRECT($B$5&amp;"生成成长"),3))*(VLOOKUP($B$5,标准坦克设计!$B$14:$K$20,9)/30))</f>
        <v>17.957978315389024</v>
      </c>
      <c r="BR185" s="172">
        <f ca="1">(VLOOKUP(BR$72,INDIRECT($C$5&amp;"生成成长"),2))/((VLOOKUP($B185,INDIRECT($B$5&amp;"生成成长"),4))/(VLOOKUP(BR$72,INDIRECT($C$5&amp;"生成成长"),5))*(VLOOKUP($B$5,标准坦克设计!$B$24:$U$30,MATCH("对"&amp;LEFT($C$5,2)&amp;"输出",标准坦克设计!$B$23:$U$23,0)))*(VLOOKUP($B185,INDIRECT($B$5&amp;"生成成长"),3))*(VLOOKUP($B$5,标准坦克设计!$B$14:$K$20,9)/30))</f>
        <v>19.575029284424037</v>
      </c>
      <c r="BS185" s="172">
        <f ca="1">(VLOOKUP(BS$72,INDIRECT($C$5&amp;"生成成长"),2))/((VLOOKUP($B185,INDIRECT($B$5&amp;"生成成长"),4))/(VLOOKUP(BS$72,INDIRECT($C$5&amp;"生成成长"),5))*(VLOOKUP($B$5,标准坦克设计!$B$24:$U$30,MATCH("对"&amp;LEFT($C$5,2)&amp;"输出",标准坦克设计!$B$23:$U$23,0)))*(VLOOKUP($B185,INDIRECT($B$5&amp;"生成成长"),3))*(VLOOKUP($B$5,标准坦克设计!$B$14:$K$20,9)/30))</f>
        <v>21.261780726262277</v>
      </c>
      <c r="BT185" s="172">
        <f ca="1">(VLOOKUP(BT$72,INDIRECT($C$5&amp;"生成成长"),2))/((VLOOKUP($B185,INDIRECT($B$5&amp;"生成成长"),4))/(VLOOKUP(BT$72,INDIRECT($C$5&amp;"生成成长"),5))*(VLOOKUP($B$5,标准坦克设计!$B$24:$U$30,MATCH("对"&amp;LEFT($C$5,2)&amp;"输出",标准坦克设计!$B$23:$U$23,0)))*(VLOOKUP($B185,INDIRECT($B$5&amp;"生成成长"),3))*(VLOOKUP($B$5,标准坦克设计!$B$14:$K$20,9)/30))</f>
        <v>23.018232640903754</v>
      </c>
      <c r="BU185" s="172">
        <f ca="1">(VLOOKUP(BU$72,INDIRECT($C$5&amp;"生成成长"),2))/((VLOOKUP($B185,INDIRECT($B$5&amp;"生成成长"),4))/(VLOOKUP(BU$72,INDIRECT($C$5&amp;"生成成长"),5))*(VLOOKUP($B$5,标准坦克设计!$B$24:$U$30,MATCH("对"&amp;LEFT($C$5,2)&amp;"输出",标准坦克设计!$B$23:$U$23,0)))*(VLOOKUP($B185,INDIRECT($B$5&amp;"生成成长"),3))*(VLOOKUP($B$5,标准坦克设计!$B$14:$K$20,9)/30))</f>
        <v>24.844385028348462</v>
      </c>
      <c r="BV185" s="172">
        <f ca="1">(VLOOKUP(BV$72,INDIRECT($C$5&amp;"生成成长"),2))/((VLOOKUP($B185,INDIRECT($B$5&amp;"生成成长"),4))/(VLOOKUP(BV$72,INDIRECT($C$5&amp;"生成成长"),5))*(VLOOKUP($B$5,标准坦克设计!$B$24:$U$30,MATCH("对"&amp;LEFT($C$5,2)&amp;"输出",标准坦克设计!$B$23:$U$23,0)))*(VLOOKUP($B185,INDIRECT($B$5&amp;"生成成长"),3))*(VLOOKUP($B$5,标准坦克设计!$B$14:$K$20,9)/30))</f>
        <v>26.740237888596411</v>
      </c>
      <c r="BW185" s="172">
        <f ca="1">(VLOOKUP(BW$72,INDIRECT($C$5&amp;"生成成长"),2))/((VLOOKUP($B185,INDIRECT($B$5&amp;"生成成长"),4))/(VLOOKUP(BW$72,INDIRECT($C$5&amp;"生成成长"),5))*(VLOOKUP($B$5,标准坦克设计!$B$24:$U$30,MATCH("对"&amp;LEFT($C$5,2)&amp;"输出",标准坦克设计!$B$23:$U$23,0)))*(VLOOKUP($B185,INDIRECT($B$5&amp;"生成成长"),3))*(VLOOKUP($B$5,标准坦克设计!$B$14:$K$20,9)/30))</f>
        <v>12.186779167281312</v>
      </c>
      <c r="BX185" s="172">
        <f ca="1">(VLOOKUP(BX$72,INDIRECT($C$5&amp;"生成成长"),2))/((VLOOKUP($B185,INDIRECT($B$5&amp;"生成成长"),4))/(VLOOKUP(BX$72,INDIRECT($C$5&amp;"生成成长"),5))*(VLOOKUP($B$5,标准坦克设计!$B$24:$U$30,MATCH("对"&amp;LEFT($C$5,2)&amp;"输出",标准坦克设计!$B$23:$U$23,0)))*(VLOOKUP($B185,INDIRECT($B$5&amp;"生成成长"),3))*(VLOOKUP($B$5,标准坦克设计!$B$14:$K$20,9)/30))</f>
        <v>13.525028245103391</v>
      </c>
      <c r="BY185" s="172">
        <f ca="1">(VLOOKUP(BY$72,INDIRECT($C$5&amp;"生成成长"),2))/((VLOOKUP($B185,INDIRECT($B$5&amp;"生成成长"),4))/(VLOOKUP(BY$72,INDIRECT($C$5&amp;"生成成长"),5))*(VLOOKUP($B$5,标准坦克设计!$B$24:$U$30,MATCH("对"&amp;LEFT($C$5,2)&amp;"输出",标准坦克设计!$B$23:$U$23,0)))*(VLOOKUP($B185,INDIRECT($B$5&amp;"生成成长"),3))*(VLOOKUP($B$5,标准坦克设计!$B$14:$K$20,9)/30))</f>
        <v>14.932977795728704</v>
      </c>
      <c r="BZ185" s="172">
        <f ca="1">(VLOOKUP(BZ$72,INDIRECT($C$5&amp;"生成成长"),2))/((VLOOKUP($B185,INDIRECT($B$5&amp;"生成成长"),4))/(VLOOKUP(BZ$72,INDIRECT($C$5&amp;"生成成长"),5))*(VLOOKUP($B$5,标准坦克设计!$B$24:$U$30,MATCH("对"&amp;LEFT($C$5,2)&amp;"输出",标准坦克设计!$B$23:$U$23,0)))*(VLOOKUP($B185,INDIRECT($B$5&amp;"生成成长"),3))*(VLOOKUP($B$5,标准坦克设计!$B$14:$K$20,9)/30))</f>
        <v>16.410627819157245</v>
      </c>
      <c r="CA185" s="172">
        <f ca="1">(VLOOKUP(CA$72,INDIRECT($C$5&amp;"生成成长"),2))/((VLOOKUP($B185,INDIRECT($B$5&amp;"生成成长"),4))/(VLOOKUP(CA$72,INDIRECT($C$5&amp;"生成成长"),5))*(VLOOKUP($B$5,标准坦克设计!$B$24:$U$30,MATCH("对"&amp;LEFT($C$5,2)&amp;"输出",标准坦克设计!$B$23:$U$23,0)))*(VLOOKUP($B185,INDIRECT($B$5&amp;"生成成长"),3))*(VLOOKUP($B$5,标准坦克设计!$B$14:$K$20,9)/30))</f>
        <v>17.957978315389024</v>
      </c>
      <c r="CB185" s="172">
        <f ca="1">(VLOOKUP(CB$72,INDIRECT($C$5&amp;"生成成长"),2))/((VLOOKUP($B185,INDIRECT($B$5&amp;"生成成长"),4))/(VLOOKUP(CB$72,INDIRECT($C$5&amp;"生成成长"),5))*(VLOOKUP($B$5,标准坦克设计!$B$24:$U$30,MATCH("对"&amp;LEFT($C$5,2)&amp;"输出",标准坦克设计!$B$23:$U$23,0)))*(VLOOKUP($B185,INDIRECT($B$5&amp;"生成成长"),3))*(VLOOKUP($B$5,标准坦克设计!$B$14:$K$20,9)/30))</f>
        <v>19.575029284424037</v>
      </c>
      <c r="CC185" s="172">
        <f ca="1">(VLOOKUP(CC$72,INDIRECT($C$5&amp;"生成成长"),2))/((VLOOKUP($B185,INDIRECT($B$5&amp;"生成成长"),4))/(VLOOKUP(CC$72,INDIRECT($C$5&amp;"生成成长"),5))*(VLOOKUP($B$5,标准坦克设计!$B$24:$U$30,MATCH("对"&amp;LEFT($C$5,2)&amp;"输出",标准坦克设计!$B$23:$U$23,0)))*(VLOOKUP($B185,INDIRECT($B$5&amp;"生成成长"),3))*(VLOOKUP($B$5,标准坦克设计!$B$14:$K$20,9)/30))</f>
        <v>21.261780726262277</v>
      </c>
      <c r="CD185" s="172">
        <f ca="1">(VLOOKUP(CD$72,INDIRECT($C$5&amp;"生成成长"),2))/((VLOOKUP($B185,INDIRECT($B$5&amp;"生成成长"),4))/(VLOOKUP(CD$72,INDIRECT($C$5&amp;"生成成长"),5))*(VLOOKUP($B$5,标准坦克设计!$B$24:$U$30,MATCH("对"&amp;LEFT($C$5,2)&amp;"输出",标准坦克设计!$B$23:$U$23,0)))*(VLOOKUP($B185,INDIRECT($B$5&amp;"生成成长"),3))*(VLOOKUP($B$5,标准坦克设计!$B$14:$K$20,9)/30))</f>
        <v>23.018232640903754</v>
      </c>
      <c r="CE185" s="172">
        <f ca="1">(VLOOKUP(CE$72,INDIRECT($C$5&amp;"生成成长"),2))/((VLOOKUP($B185,INDIRECT($B$5&amp;"生成成长"),4))/(VLOOKUP(CE$72,INDIRECT($C$5&amp;"生成成长"),5))*(VLOOKUP($B$5,标准坦克设计!$B$24:$U$30,MATCH("对"&amp;LEFT($C$5,2)&amp;"输出",标准坦克设计!$B$23:$U$23,0)))*(VLOOKUP($B185,INDIRECT($B$5&amp;"生成成长"),3))*(VLOOKUP($B$5,标准坦克设计!$B$14:$K$20,9)/30))</f>
        <v>24.844385028348462</v>
      </c>
      <c r="CF185" s="172">
        <f ca="1">(VLOOKUP(CF$72,INDIRECT($C$5&amp;"生成成长"),2))/((VLOOKUP($B185,INDIRECT($B$5&amp;"生成成长"),4))/(VLOOKUP(CF$72,INDIRECT($C$5&amp;"生成成长"),5))*(VLOOKUP($B$5,标准坦克设计!$B$24:$U$30,MATCH("对"&amp;LEFT($C$5,2)&amp;"输出",标准坦克设计!$B$23:$U$23,0)))*(VLOOKUP($B185,INDIRECT($B$5&amp;"生成成长"),3))*(VLOOKUP($B$5,标准坦克设计!$B$14:$K$20,9)/30))</f>
        <v>26.740237888596411</v>
      </c>
      <c r="CG185" s="172">
        <f ca="1">(VLOOKUP(CG$72,INDIRECT($C$5&amp;"生成成长"),2))/((VLOOKUP($B185,INDIRECT($B$5&amp;"生成成长"),4))/(VLOOKUP(CG$72,INDIRECT($C$5&amp;"生成成长"),5))*(VLOOKUP($B$5,标准坦克设计!$B$24:$U$30,MATCH("对"&amp;LEFT($C$5,2)&amp;"输出",标准坦克设计!$B$23:$U$23,0)))*(VLOOKUP($B185,INDIRECT($B$5&amp;"生成成长"),3))*(VLOOKUP($B$5,标准坦克设计!$B$14:$K$20,9)/30))</f>
        <v>28.705791221647587</v>
      </c>
      <c r="CH185" s="172">
        <f ca="1">(VLOOKUP(CH$72,INDIRECT($C$5&amp;"生成成长"),2))/((VLOOKUP($B185,INDIRECT($B$5&amp;"生成成长"),4))/(VLOOKUP(CH$72,INDIRECT($C$5&amp;"生成成长"),5))*(VLOOKUP($B$5,标准坦克设计!$B$24:$U$30,MATCH("对"&amp;LEFT($C$5,2)&amp;"输出",标准坦克设计!$B$23:$U$23,0)))*(VLOOKUP($B185,INDIRECT($B$5&amp;"生成成长"),3))*(VLOOKUP($B$5,标准坦克设计!$B$14:$K$20,9)/30))</f>
        <v>30.741045027502</v>
      </c>
      <c r="CI185" s="172">
        <f ca="1">(VLOOKUP(CI$72,INDIRECT($C$5&amp;"生成成长"),2))/((VLOOKUP($B185,INDIRECT($B$5&amp;"生成成长"),4))/(VLOOKUP(CI$72,INDIRECT($C$5&amp;"生成成长"),5))*(VLOOKUP($B$5,标准坦克设计!$B$24:$U$30,MATCH("对"&amp;LEFT($C$5,2)&amp;"输出",标准坦克设计!$B$23:$U$23,0)))*(VLOOKUP($B185,INDIRECT($B$5&amp;"生成成长"),3))*(VLOOKUP($B$5,标准坦克设计!$B$14:$K$20,9)/30))</f>
        <v>33.060328260029586</v>
      </c>
      <c r="CJ185" s="172">
        <f ca="1">(VLOOKUP(CJ$72,INDIRECT($C$5&amp;"生成成长"),2))/((VLOOKUP($B185,INDIRECT($B$5&amp;"生成成长"),4))/(VLOOKUP(CJ$72,INDIRECT($C$5&amp;"生成成长"),5))*(VLOOKUP($B$5,标准坦克设计!$B$24:$U$30,MATCH("对"&amp;LEFT($C$5,2)&amp;"输出",标准坦克设计!$B$23:$U$23,0)))*(VLOOKUP($B185,INDIRECT($B$5&amp;"生成成长"),3))*(VLOOKUP($B$5,标准坦克设计!$B$14:$K$20,9)/30))</f>
        <v>35.463949064649078</v>
      </c>
      <c r="CK185" s="172">
        <f ca="1">(VLOOKUP(CK$72,INDIRECT($C$5&amp;"生成成长"),2))/((VLOOKUP($B185,INDIRECT($B$5&amp;"生成成长"),4))/(VLOOKUP(CK$72,INDIRECT($C$5&amp;"生成成长"),5))*(VLOOKUP($B$5,标准坦克设计!$B$24:$U$30,MATCH("对"&amp;LEFT($C$5,2)&amp;"输出",标准坦克设计!$B$23:$U$23,0)))*(VLOOKUP($B185,INDIRECT($B$5&amp;"生成成长"),3))*(VLOOKUP($B$5,标准坦克设计!$B$14:$K$20,9)/30))</f>
        <v>37.951907441360497</v>
      </c>
      <c r="CL185" s="172">
        <f ca="1">(VLOOKUP(CL$72,INDIRECT($C$5&amp;"生成成长"),2))/((VLOOKUP($B185,INDIRECT($B$5&amp;"生成成长"),4))/(VLOOKUP(CL$72,INDIRECT($C$5&amp;"生成成长"),5))*(VLOOKUP($B$5,标准坦克设计!$B$24:$U$30,MATCH("对"&amp;LEFT($C$5,2)&amp;"输出",标准坦克设计!$B$23:$U$23,0)))*(VLOOKUP($B185,INDIRECT($B$5&amp;"生成成长"),3))*(VLOOKUP($B$5,标准坦克设计!$B$14:$K$20,9)/30))</f>
        <v>40.524203390163819</v>
      </c>
      <c r="CM185" s="172">
        <f ca="1">(VLOOKUP(CM$72,INDIRECT($C$5&amp;"生成成长"),2))/((VLOOKUP($B185,INDIRECT($B$5&amp;"生成成长"),4))/(VLOOKUP(CM$72,INDIRECT($C$5&amp;"生成成长"),5))*(VLOOKUP($B$5,标准坦克设计!$B$24:$U$30,MATCH("对"&amp;LEFT($C$5,2)&amp;"输出",标准坦克设计!$B$23:$U$23,0)))*(VLOOKUP($B185,INDIRECT($B$5&amp;"生成成长"),3))*(VLOOKUP($B$5,标准坦克设计!$B$14:$K$20,9)/30))</f>
        <v>43.180836911059046</v>
      </c>
      <c r="CN185" s="172">
        <f ca="1">(VLOOKUP(CN$72,INDIRECT($C$5&amp;"生成成长"),2))/((VLOOKUP($B185,INDIRECT($B$5&amp;"生成成长"),4))/(VLOOKUP(CN$72,INDIRECT($C$5&amp;"生成成长"),5))*(VLOOKUP($B$5,标准坦克设计!$B$24:$U$30,MATCH("对"&amp;LEFT($C$5,2)&amp;"输出",标准坦克设计!$B$23:$U$23,0)))*(VLOOKUP($B185,INDIRECT($B$5&amp;"生成成长"),3))*(VLOOKUP($B$5,标准坦克设计!$B$14:$K$20,9)/30))</f>
        <v>45.921808004046191</v>
      </c>
      <c r="CO185" s="172">
        <f ca="1">(VLOOKUP(CO$72,INDIRECT($C$5&amp;"生成成长"),2))/((VLOOKUP($B185,INDIRECT($B$5&amp;"生成成长"),4))/(VLOOKUP(CO$72,INDIRECT($C$5&amp;"生成成长"),5))*(VLOOKUP($B$5,标准坦克设计!$B$24:$U$30,MATCH("对"&amp;LEFT($C$5,2)&amp;"输出",标准坦克设计!$B$23:$U$23,0)))*(VLOOKUP($B185,INDIRECT($B$5&amp;"生成成长"),3))*(VLOOKUP($B$5,标准坦克设计!$B$14:$K$20,9)/30))</f>
        <v>20.578716092790593</v>
      </c>
      <c r="CP185" s="172">
        <f ca="1">(VLOOKUP(CP$72,INDIRECT($C$5&amp;"生成成长"),2))/((VLOOKUP($B185,INDIRECT($B$5&amp;"生成成长"),4))/(VLOOKUP(CP$72,INDIRECT($C$5&amp;"生成成长"),5))*(VLOOKUP($B$5,标准坦克设计!$B$24:$U$30,MATCH("对"&amp;LEFT($C$5,2)&amp;"输出",标准坦克设计!$B$23:$U$23,0)))*(VLOOKUP($B185,INDIRECT($B$5&amp;"生成成长"),3))*(VLOOKUP($B$5,标准坦克设计!$B$14:$K$20,9)/30))</f>
        <v>22.483978516866969</v>
      </c>
      <c r="CQ185" s="172">
        <f ca="1">(VLOOKUP(CQ$72,INDIRECT($C$5&amp;"生成成长"),2))/((VLOOKUP($B185,INDIRECT($B$5&amp;"生成成长"),4))/(VLOOKUP(CQ$72,INDIRECT($C$5&amp;"生成成长"),5))*(VLOOKUP($B$5,标准坦克设计!$B$24:$U$30,MATCH("对"&amp;LEFT($C$5,2)&amp;"输出",标准坦克设计!$B$23:$U$23,0)))*(VLOOKUP($B185,INDIRECT($B$5&amp;"生成成长"),3))*(VLOOKUP($B$5,标准坦克设计!$B$14:$K$20,9)/30))</f>
        <v>24.473578513035267</v>
      </c>
      <c r="CR185" s="172">
        <f ca="1">(VLOOKUP(CR$72,INDIRECT($C$5&amp;"生成成长"),2))/((VLOOKUP($B185,INDIRECT($B$5&amp;"生成成长"),4))/(VLOOKUP(CR$72,INDIRECT($C$5&amp;"生成成长"),5))*(VLOOKUP($B$5,标准坦克设计!$B$24:$U$30,MATCH("对"&amp;LEFT($C$5,2)&amp;"输出",标准坦克设计!$B$23:$U$23,0)))*(VLOOKUP($B185,INDIRECT($B$5&amp;"生成成长"),3))*(VLOOKUP($B$5,标准坦克设计!$B$14:$K$20,9)/30))</f>
        <v>26.547516081295473</v>
      </c>
      <c r="CS185" s="172">
        <f ca="1">(VLOOKUP(CS$72,INDIRECT($C$5&amp;"生成成长"),2))/((VLOOKUP($B185,INDIRECT($B$5&amp;"生成成长"),4))/(VLOOKUP(CS$72,INDIRECT($C$5&amp;"生成成长"),5))*(VLOOKUP($B$5,标准坦克设计!$B$24:$U$30,MATCH("对"&amp;LEFT($C$5,2)&amp;"输出",标准坦克设计!$B$23:$U$23,0)))*(VLOOKUP($B185,INDIRECT($B$5&amp;"生成成长"),3))*(VLOOKUP($B$5,标准坦克设计!$B$14:$K$20,9)/30))</f>
        <v>28.705791221647587</v>
      </c>
      <c r="CT185" s="172">
        <f ca="1">(VLOOKUP(CT$72,INDIRECT($C$5&amp;"生成成长"),2))/((VLOOKUP($B185,INDIRECT($B$5&amp;"生成成长"),4))/(VLOOKUP(CT$72,INDIRECT($C$5&amp;"生成成长"),5))*(VLOOKUP($B$5,标准坦克设计!$B$24:$U$30,MATCH("对"&amp;LEFT($C$5,2)&amp;"输出",标准坦克设计!$B$23:$U$23,0)))*(VLOOKUP($B185,INDIRECT($B$5&amp;"生成成长"),3))*(VLOOKUP($B$5,标准坦克设计!$B$14:$K$20,9)/30))</f>
        <v>30.948403934091612</v>
      </c>
      <c r="CU185" s="172">
        <f ca="1">(VLOOKUP(CU$72,INDIRECT($C$5&amp;"生成成长"),2))/((VLOOKUP($B185,INDIRECT($B$5&amp;"生成成长"),4))/(VLOOKUP(CU$72,INDIRECT($C$5&amp;"生成成长"),5))*(VLOOKUP($B$5,标准坦克设计!$B$24:$U$30,MATCH("对"&amp;LEFT($C$5,2)&amp;"输出",标准坦克设计!$B$23:$U$23,0)))*(VLOOKUP($B185,INDIRECT($B$5&amp;"生成成长"),3))*(VLOOKUP($B$5,标准坦克设计!$B$14:$K$20,9)/30))</f>
        <v>33.275354218627555</v>
      </c>
      <c r="CV185" s="172">
        <f ca="1">(VLOOKUP(CV$72,INDIRECT($C$5&amp;"生成成长"),2))/((VLOOKUP($B185,INDIRECT($B$5&amp;"生成成长"),4))/(VLOOKUP(CV$72,INDIRECT($C$5&amp;"生成成长"),5))*(VLOOKUP($B$5,标准坦克设计!$B$24:$U$30,MATCH("对"&amp;LEFT($C$5,2)&amp;"输出",标准坦克设计!$B$23:$U$23,0)))*(VLOOKUP($B185,INDIRECT($B$5&amp;"生成成长"),3))*(VLOOKUP($B$5,标准坦克设计!$B$14:$K$20,9)/30))</f>
        <v>35.686642075255406</v>
      </c>
      <c r="CW185" s="172">
        <f ca="1">(VLOOKUP(CW$72,INDIRECT($C$5&amp;"生成成长"),2))/((VLOOKUP($B185,INDIRECT($B$5&amp;"生成成长"),4))/(VLOOKUP(CW$72,INDIRECT($C$5&amp;"生成成长"),5))*(VLOOKUP($B$5,标准坦克设计!$B$24:$U$30,MATCH("对"&amp;LEFT($C$5,2)&amp;"输出",标准坦克设计!$B$23:$U$23,0)))*(VLOOKUP($B185,INDIRECT($B$5&amp;"生成成长"),3))*(VLOOKUP($B$5,标准坦克设计!$B$14:$K$20,9)/30))</f>
        <v>38.182267503975176</v>
      </c>
      <c r="CX185" s="172">
        <f ca="1">(VLOOKUP(CX$72,INDIRECT($C$5&amp;"生成成长"),2))/((VLOOKUP($B185,INDIRECT($B$5&amp;"生成成长"),4))/(VLOOKUP(CX$72,INDIRECT($C$5&amp;"生成成长"),5))*(VLOOKUP($B$5,标准坦克设计!$B$24:$U$30,MATCH("对"&amp;LEFT($C$5,2)&amp;"输出",标准坦克设计!$B$23:$U$23,0)))*(VLOOKUP($B185,INDIRECT($B$5&amp;"生成成长"),3))*(VLOOKUP($B$5,标准坦克设计!$B$14:$K$20,9)/30))</f>
        <v>40.762230504786856</v>
      </c>
      <c r="CY185" s="172">
        <f ca="1">(VLOOKUP(CY$72,INDIRECT($C$5&amp;"生成成长"),2))/((VLOOKUP($B185,INDIRECT($B$5&amp;"生成成长"),4))/(VLOOKUP(CY$72,INDIRECT($C$5&amp;"生成成长"),5))*(VLOOKUP($B$5,标准坦克设计!$B$24:$U$30,MATCH("对"&amp;LEFT($C$5,2)&amp;"输出",标准坦克设计!$B$23:$U$23,0)))*(VLOOKUP($B185,INDIRECT($B$5&amp;"生成成长"),3))*(VLOOKUP($B$5,标准坦克设计!$B$14:$K$20,9)/30))</f>
        <v>43.426531077690449</v>
      </c>
      <c r="CZ185" s="172">
        <f ca="1">(VLOOKUP(CZ$72,INDIRECT($C$5&amp;"生成成长"),2))/((VLOOKUP($B185,INDIRECT($B$5&amp;"生成成长"),4))/(VLOOKUP(CZ$72,INDIRECT($C$5&amp;"生成成长"),5))*(VLOOKUP($B$5,标准坦克设计!$B$24:$U$30,MATCH("对"&amp;LEFT($C$5,2)&amp;"输出",标准坦克设计!$B$23:$U$23,0)))*(VLOOKUP($B185,INDIRECT($B$5&amp;"生成成长"),3))*(VLOOKUP($B$5,标准坦克设计!$B$14:$K$20,9)/30))</f>
        <v>46.175169222685959</v>
      </c>
      <c r="DA185" s="172">
        <f ca="1">(VLOOKUP(DA$72,INDIRECT($C$5&amp;"生成成长"),2))/((VLOOKUP($B185,INDIRECT($B$5&amp;"生成成长"),4))/(VLOOKUP(DA$72,INDIRECT($C$5&amp;"生成成长"),5))*(VLOOKUP($B$5,标准坦克设计!$B$24:$U$30,MATCH("对"&amp;LEFT($C$5,2)&amp;"输出",标准坦克设计!$B$23:$U$23,0)))*(VLOOKUP($B185,INDIRECT($B$5&amp;"生成成长"),3))*(VLOOKUP($B$5,标准坦克设计!$B$14:$K$20,9)/30))</f>
        <v>49.008144939773366</v>
      </c>
      <c r="DB185" s="172">
        <f ca="1">(VLOOKUP(DB$72,INDIRECT($C$5&amp;"生成成长"),2))/((VLOOKUP($B185,INDIRECT($B$5&amp;"生成成长"),4))/(VLOOKUP(DB$72,INDIRECT($C$5&amp;"生成成长"),5))*(VLOOKUP($B$5,标准坦克设计!$B$24:$U$30,MATCH("对"&amp;LEFT($C$5,2)&amp;"输出",标准坦克设计!$B$23:$U$23,0)))*(VLOOKUP($B185,INDIRECT($B$5&amp;"生成成长"),3))*(VLOOKUP($B$5,标准坦克设计!$B$14:$K$20,9)/30))</f>
        <v>51.925458228952692</v>
      </c>
      <c r="DC185" s="172">
        <f ca="1">(VLOOKUP(DC$72,INDIRECT($C$5&amp;"生成成长"),2))/((VLOOKUP($B185,INDIRECT($B$5&amp;"生成成长"),4))/(VLOOKUP(DC$72,INDIRECT($C$5&amp;"生成成长"),5))*(VLOOKUP($B$5,标准坦克设计!$B$24:$U$30,MATCH("对"&amp;LEFT($C$5,2)&amp;"输出",标准坦克设计!$B$23:$U$23,0)))*(VLOOKUP($B185,INDIRECT($B$5&amp;"生成成长"),3))*(VLOOKUP($B$5,标准坦克设计!$B$14:$K$20,9)/30))</f>
        <v>55.204168469616789</v>
      </c>
      <c r="DD185" s="172">
        <f ca="1">(VLOOKUP(DD$72,INDIRECT($C$5&amp;"生成成长"),2))/((VLOOKUP($B185,INDIRECT($B$5&amp;"生成成长"),4))/(VLOOKUP(DD$72,INDIRECT($C$5&amp;"生成成长"),5))*(VLOOKUP($B$5,标准坦克设计!$B$24:$U$30,MATCH("对"&amp;LEFT($C$5,2)&amp;"输出",标准坦克设计!$B$23:$U$23,0)))*(VLOOKUP($B185,INDIRECT($B$5&amp;"生成成长"),3))*(VLOOKUP($B$5,标准坦克设计!$B$14:$K$20,9)/30))</f>
        <v>58.583247391117531</v>
      </c>
      <c r="DE185" s="172">
        <f ca="1">(VLOOKUP(DE$72,INDIRECT($C$5&amp;"生成成长"),2))/((VLOOKUP($B185,INDIRECT($B$5&amp;"生成成长"),4))/(VLOOKUP(DE$72,INDIRECT($C$5&amp;"生成成长"),5))*(VLOOKUP($B$5,标准坦克设计!$B$24:$U$30,MATCH("对"&amp;LEFT($C$5,2)&amp;"输出",标准坦克设计!$B$23:$U$23,0)))*(VLOOKUP($B185,INDIRECT($B$5&amp;"生成成长"),3))*(VLOOKUP($B$5,标准坦克设计!$B$14:$K$20,9)/30))</f>
        <v>62.062694993454933</v>
      </c>
      <c r="DF185" s="172">
        <f ca="1">(VLOOKUP(DF$72,INDIRECT($C$5&amp;"生成成长"),2))/((VLOOKUP($B185,INDIRECT($B$5&amp;"生成成长"),4))/(VLOOKUP(DF$72,INDIRECT($C$5&amp;"生成成长"),5))*(VLOOKUP($B$5,标准坦克设计!$B$24:$U$30,MATCH("对"&amp;LEFT($C$5,2)&amp;"输出",标准坦克设计!$B$23:$U$23,0)))*(VLOOKUP($B185,INDIRECT($B$5&amp;"生成成长"),3))*(VLOOKUP($B$5,标准坦克设计!$B$14:$K$20,9)/30))</f>
        <v>65.64251127662898</v>
      </c>
      <c r="DG185" s="172">
        <f ca="1">(VLOOKUP(DG$72,INDIRECT($C$5&amp;"生成成长"),2))/((VLOOKUP($B185,INDIRECT($B$5&amp;"生成成长"),4))/(VLOOKUP(DG$72,INDIRECT($C$5&amp;"生成成长"),5))*(VLOOKUP($B$5,标准坦克设计!$B$24:$U$30,MATCH("对"&amp;LEFT($C$5,2)&amp;"输出",标准坦克设计!$B$23:$U$23,0)))*(VLOOKUP($B185,INDIRECT($B$5&amp;"生成成长"),3))*(VLOOKUP($B$5,标准坦克设计!$B$14:$K$20,9)/30))</f>
        <v>69.322696240639701</v>
      </c>
      <c r="DH185" s="172">
        <f ca="1">(VLOOKUP(DH$72,INDIRECT($C$5&amp;"生成成长"),2))/((VLOOKUP($B185,INDIRECT($B$5&amp;"生成成长"),4))/(VLOOKUP(DH$72,INDIRECT($C$5&amp;"生成成长"),5))*(VLOOKUP($B$5,标准坦克设计!$B$24:$U$30,MATCH("对"&amp;LEFT($C$5,2)&amp;"输出",标准坦克设计!$B$23:$U$23,0)))*(VLOOKUP($B185,INDIRECT($B$5&amp;"生成成长"),3))*(VLOOKUP($B$5,标准坦克设计!$B$14:$K$20,9)/30))</f>
        <v>73.103249885487074</v>
      </c>
      <c r="DI185" s="172">
        <f ca="1">(VLOOKUP(DI$72,INDIRECT($C$5&amp;"生成成长"),2))/((VLOOKUP($B185,INDIRECT($B$5&amp;"生成成长"),4))/(VLOOKUP(DI$72,INDIRECT($C$5&amp;"生成成长"),5))*(VLOOKUP($B$5,标准坦克设计!$B$24:$U$30,MATCH("对"&amp;LEFT($C$5,2)&amp;"输出",标准坦克设计!$B$23:$U$23,0)))*(VLOOKUP($B185,INDIRECT($B$5&amp;"生成成长"),3))*(VLOOKUP($B$5,标准坦克设计!$B$14:$K$20,9)/30))</f>
        <v>76.984172211171099</v>
      </c>
      <c r="DJ185" s="172">
        <f ca="1">(VLOOKUP(DJ$72,INDIRECT($C$5&amp;"生成成长"),2))/((VLOOKUP($B185,INDIRECT($B$5&amp;"生成成长"),4))/(VLOOKUP(DJ$72,INDIRECT($C$5&amp;"生成成长"),5))*(VLOOKUP($B$5,标准坦克设计!$B$24:$U$30,MATCH("对"&amp;LEFT($C$5,2)&amp;"输出",标准坦克设计!$B$23:$U$23,0)))*(VLOOKUP($B185,INDIRECT($B$5&amp;"生成成长"),3))*(VLOOKUP($B$5,标准坦克设计!$B$14:$K$20,9)/30))</f>
        <v>7.737100983522903</v>
      </c>
      <c r="DK185" s="172">
        <f ca="1">(VLOOKUP(DK$72,INDIRECT($C$5&amp;"生成成长"),2))/((VLOOKUP($B185,INDIRECT($B$5&amp;"生成成长"),4))/(VLOOKUP(DK$72,INDIRECT($C$5&amp;"生成成长"),5))*(VLOOKUP($B$5,标准坦克设计!$B$24:$U$30,MATCH("对"&amp;LEFT($C$5,2)&amp;"输出",标准坦克设计!$B$23:$U$23,0)))*(VLOOKUP($B185,INDIRECT($B$5&amp;"生成成长"),3))*(VLOOKUP($B$5,标准坦克设计!$B$14:$K$20,9)/30))</f>
        <v>8.7000130152995698</v>
      </c>
      <c r="DL185" s="172">
        <f ca="1">(VLOOKUP(DL$72,INDIRECT($C$5&amp;"生成成长"),2))/((VLOOKUP($B185,INDIRECT($B$5&amp;"生成成长"),4))/(VLOOKUP(DL$72,INDIRECT($C$5&amp;"生成成长"),5))*(VLOOKUP($B$5,标准坦克设计!$B$24:$U$30,MATCH("对"&amp;LEFT($C$5,2)&amp;"输出",标准坦克设计!$B$23:$U$23,0)))*(VLOOKUP($B185,INDIRECT($B$5&amp;"生成成长"),3))*(VLOOKUP($B$5,标准坦克设计!$B$14:$K$20,9)/30))</f>
        <v>9.7193824300468581</v>
      </c>
      <c r="DM185" s="172">
        <f ca="1">(VLOOKUP(DM$72,INDIRECT($C$5&amp;"生成成长"),2))/((VLOOKUP($B185,INDIRECT($B$5&amp;"生成成长"),4))/(VLOOKUP(DM$72,INDIRECT($C$5&amp;"生成成长"),5))*(VLOOKUP($B$5,标准坦克设计!$B$24:$U$30,MATCH("对"&amp;LEFT($C$5,2)&amp;"输出",标准坦克设计!$B$23:$U$23,0)))*(VLOOKUP($B185,INDIRECT($B$5&amp;"生成成长"),3))*(VLOOKUP($B$5,标准坦克设计!$B$14:$K$20,9)/30))</f>
        <v>10.795209227764762</v>
      </c>
      <c r="DN185" s="172">
        <f ca="1">(VLOOKUP(DN$72,INDIRECT($C$5&amp;"生成成长"),2))/((VLOOKUP($B185,INDIRECT($B$5&amp;"生成成长"),4))/(VLOOKUP(DN$72,INDIRECT($C$5&amp;"生成成长"),5))*(VLOOKUP($B$5,标准坦克设计!$B$24:$U$30,MATCH("对"&amp;LEFT($C$5,2)&amp;"输出",标准坦克设计!$B$23:$U$23,0)))*(VLOOKUP($B185,INDIRECT($B$5&amp;"生成成长"),3))*(VLOOKUP($B$5,标准坦克设计!$B$14:$K$20,9)/30))</f>
        <v>11.927493408453286</v>
      </c>
      <c r="DO185" s="172">
        <f ca="1">(VLOOKUP(DO$72,INDIRECT($C$5&amp;"生成成长"),2))/((VLOOKUP($B185,INDIRECT($B$5&amp;"生成成长"),4))/(VLOOKUP(DO$72,INDIRECT($C$5&amp;"生成成长"),5))*(VLOOKUP($B$5,标准坦克设计!$B$24:$U$30,MATCH("对"&amp;LEFT($C$5,2)&amp;"输出",标准坦克设计!$B$23:$U$23,0)))*(VLOOKUP($B185,INDIRECT($B$5&amp;"生成成长"),3))*(VLOOKUP($B$5,标准坦克设计!$B$14:$K$20,9)/30))</f>
        <v>13.116234972112428</v>
      </c>
      <c r="DP185" s="172">
        <f ca="1">(VLOOKUP(DP$72,INDIRECT($C$5&amp;"生成成长"),2))/((VLOOKUP($B185,INDIRECT($B$5&amp;"生成成长"),4))/(VLOOKUP(DP$72,INDIRECT($C$5&amp;"生成成长"),5))*(VLOOKUP($B$5,标准坦克设计!$B$24:$U$30,MATCH("对"&amp;LEFT($C$5,2)&amp;"输出",标准坦克设计!$B$23:$U$23,0)))*(VLOOKUP($B185,INDIRECT($B$5&amp;"生成成长"),3))*(VLOOKUP($B$5,标准坦克设计!$B$14:$K$20,9)/30))</f>
        <v>14.36143391874219</v>
      </c>
      <c r="DQ185" s="172">
        <f ca="1">(VLOOKUP(DQ$72,INDIRECT($C$5&amp;"生成成长"),2))/((VLOOKUP($B185,INDIRECT($B$5&amp;"生成成长"),4))/(VLOOKUP(DQ$72,INDIRECT($C$5&amp;"生成成长"),5))*(VLOOKUP($B$5,标准坦克设计!$B$24:$U$30,MATCH("对"&amp;LEFT($C$5,2)&amp;"输出",标准坦克设计!$B$23:$U$23,0)))*(VLOOKUP($B185,INDIRECT($B$5&amp;"生成成长"),3))*(VLOOKUP($B$5,标准坦克设计!$B$14:$K$20,9)/30))</f>
        <v>15.663090248342572</v>
      </c>
      <c r="DR185" s="172">
        <f ca="1">(VLOOKUP(DR$72,INDIRECT($C$5&amp;"生成成长"),2))/((VLOOKUP($B185,INDIRECT($B$5&amp;"生成成长"),4))/(VLOOKUP(DR$72,INDIRECT($C$5&amp;"生成成长"),5))*(VLOOKUP($B$5,标准坦克设计!$B$24:$U$30,MATCH("对"&amp;LEFT($C$5,2)&amp;"输出",标准坦克设计!$B$23:$U$23,0)))*(VLOOKUP($B185,INDIRECT($B$5&amp;"生成成长"),3))*(VLOOKUP($B$5,标准坦克设计!$B$14:$K$20,9)/30))</f>
        <v>17.021203960913571</v>
      </c>
      <c r="DS185" s="172">
        <f ca="1">(VLOOKUP(DS$72,INDIRECT($C$5&amp;"生成成长"),2))/((VLOOKUP($B185,INDIRECT($B$5&amp;"生成成长"),4))/(VLOOKUP(DS$72,INDIRECT($C$5&amp;"生成成长"),5))*(VLOOKUP($B$5,标准坦克设计!$B$24:$U$30,MATCH("对"&amp;LEFT($C$5,2)&amp;"输出",标准坦克设计!$B$23:$U$23,0)))*(VLOOKUP($B185,INDIRECT($B$5&amp;"生成成长"),3))*(VLOOKUP($B$5,标准坦克设计!$B$14:$K$20,9)/30))</f>
        <v>18.435775056455189</v>
      </c>
      <c r="DT185" s="172">
        <f ca="1">(VLOOKUP(DT$72,INDIRECT($C$5&amp;"生成成长"),2))/((VLOOKUP($B185,INDIRECT($B$5&amp;"生成成长"),4))/(VLOOKUP(DT$72,INDIRECT($C$5&amp;"生成成长"),5))*(VLOOKUP($B$5,标准坦克设计!$B$24:$U$30,MATCH("对"&amp;LEFT($C$5,2)&amp;"输出",标准坦克设计!$B$23:$U$23,0)))*(VLOOKUP($B185,INDIRECT($B$5&amp;"生成成长"),3))*(VLOOKUP($B$5,标准坦克设计!$B$14:$K$20,9)/30))</f>
        <v>20.241365804422944</v>
      </c>
      <c r="DU185" s="172">
        <f ca="1">(VLOOKUP(DU$72,INDIRECT($C$5&amp;"生成成长"),2))/((VLOOKUP($B185,INDIRECT($B$5&amp;"生成成长"),4))/(VLOOKUP(DU$72,INDIRECT($C$5&amp;"生成成长"),5))*(VLOOKUP($B$5,标准坦克设计!$B$24:$U$30,MATCH("对"&amp;LEFT($C$5,2)&amp;"输出",标准坦克设计!$B$23:$U$23,0)))*(VLOOKUP($B185,INDIRECT($B$5&amp;"生成成长"),3))*(VLOOKUP($B$5,标准坦克设计!$B$14:$K$20,9)/30))</f>
        <v>22.131294124482611</v>
      </c>
      <c r="DV185" s="172">
        <f ca="1">(VLOOKUP(DV$72,INDIRECT($C$5&amp;"生成成长"),2))/((VLOOKUP($B185,INDIRECT($B$5&amp;"生成成长"),4))/(VLOOKUP(DV$72,INDIRECT($C$5&amp;"生成成长"),5))*(VLOOKUP($B$5,标准坦克设计!$B$24:$U$30,MATCH("对"&amp;LEFT($C$5,2)&amp;"输出",标准坦克设计!$B$23:$U$23,0)))*(VLOOKUP($B185,INDIRECT($B$5&amp;"生成成长"),3))*(VLOOKUP($B$5,标准坦克设计!$B$14:$K$20,9)/30))</f>
        <v>24.105560016634193</v>
      </c>
      <c r="DW185" s="172">
        <f ca="1">(VLOOKUP(DW$72,INDIRECT($C$5&amp;"生成成长"),2))/((VLOOKUP($B185,INDIRECT($B$5&amp;"生成成长"),4))/(VLOOKUP(DW$72,INDIRECT($C$5&amp;"生成成长"),5))*(VLOOKUP($B$5,标准坦克设计!$B$24:$U$30,MATCH("对"&amp;LEFT($C$5,2)&amp;"输出",标准坦克设计!$B$23:$U$23,0)))*(VLOOKUP($B185,INDIRECT($B$5&amp;"生成成长"),3))*(VLOOKUP($B$5,标准坦克设计!$B$14:$K$20,9)/30))</f>
        <v>26.164163480877694</v>
      </c>
      <c r="DX185" s="172">
        <f ca="1">(VLOOKUP(DX$72,INDIRECT($C$5&amp;"生成成长"),2))/((VLOOKUP($B185,INDIRECT($B$5&amp;"生成成长"),4))/(VLOOKUP(DX$72,INDIRECT($C$5&amp;"生成成长"),5))*(VLOOKUP($B$5,标准坦克设计!$B$24:$U$30,MATCH("对"&amp;LEFT($C$5,2)&amp;"输出",标准坦克设计!$B$23:$U$23,0)))*(VLOOKUP($B185,INDIRECT($B$5&amp;"生成成长"),3))*(VLOOKUP($B$5,标准坦克设计!$B$14:$K$20,9)/30))</f>
        <v>28.307104517213094</v>
      </c>
      <c r="DY185" s="172">
        <f ca="1">(VLOOKUP(DY$72,INDIRECT($C$5&amp;"生成成长"),2))/((VLOOKUP($B185,INDIRECT($B$5&amp;"生成成长"),4))/(VLOOKUP(DY$72,INDIRECT($C$5&amp;"生成成长"),5))*(VLOOKUP($B$5,标准坦克设计!$B$24:$U$30,MATCH("对"&amp;LEFT($C$5,2)&amp;"输出",标准坦克设计!$B$23:$U$23,0)))*(VLOOKUP($B185,INDIRECT($B$5&amp;"生成成长"),3))*(VLOOKUP($B$5,标准坦克设计!$B$14:$K$20,9)/30))</f>
        <v>12.713714741673755</v>
      </c>
      <c r="DZ185" s="172">
        <f ca="1">(VLOOKUP(DZ$72,INDIRECT($C$5&amp;"生成成长"),2))/((VLOOKUP($B185,INDIRECT($B$5&amp;"生成成长"),4))/(VLOOKUP(DZ$72,INDIRECT($C$5&amp;"生成成长"),5))*(VLOOKUP($B$5,标准坦克设计!$B$24:$U$30,MATCH("对"&amp;LEFT($C$5,2)&amp;"输出",标准坦克设计!$B$23:$U$23,0)))*(VLOOKUP($B185,INDIRECT($B$5&amp;"生成成长"),3))*(VLOOKUP($B$5,标准坦克设计!$B$14:$K$20,9)/30))</f>
        <v>14.079844008617126</v>
      </c>
      <c r="EA185" s="172">
        <f ca="1">(VLOOKUP(EA$72,INDIRECT($C$5&amp;"生成成长"),2))/((VLOOKUP($B185,INDIRECT($B$5&amp;"生成成长"),4))/(VLOOKUP(EA$72,INDIRECT($C$5&amp;"生成成长"),5))*(VLOOKUP($B$5,标准坦克设计!$B$24:$U$30,MATCH("对"&amp;LEFT($C$5,2)&amp;"输出",标准坦克设计!$B$23:$U$23,0)))*(VLOOKUP($B185,INDIRECT($B$5&amp;"生成成长"),3))*(VLOOKUP($B$5,标准坦克设计!$B$14:$K$20,9)/30))</f>
        <v>15.515673748363733</v>
      </c>
      <c r="EB185" s="172">
        <f ca="1">(VLOOKUP(EB$72,INDIRECT($C$5&amp;"生成成长"),2))/((VLOOKUP($B185,INDIRECT($B$5&amp;"生成成长"),4))/(VLOOKUP(EB$72,INDIRECT($C$5&amp;"生成成长"),5))*(VLOOKUP($B$5,标准坦克设计!$B$24:$U$30,MATCH("对"&amp;LEFT($C$5,2)&amp;"输出",标准坦克设计!$B$23:$U$23,0)))*(VLOOKUP($B185,INDIRECT($B$5&amp;"生成成长"),3))*(VLOOKUP($B$5,标准坦克设计!$B$14:$K$20,9)/30))</f>
        <v>17.021203960913571</v>
      </c>
      <c r="EC185" s="172">
        <f ca="1">(VLOOKUP(EC$72,INDIRECT($C$5&amp;"生成成长"),2))/((VLOOKUP($B185,INDIRECT($B$5&amp;"生成成长"),4))/(VLOOKUP(EC$72,INDIRECT($C$5&amp;"生成成长"),5))*(VLOOKUP($B$5,标准坦克设计!$B$24:$U$30,MATCH("对"&amp;LEFT($C$5,2)&amp;"输出",标准坦克设计!$B$23:$U$23,0)))*(VLOOKUP($B185,INDIRECT($B$5&amp;"生成成长"),3))*(VLOOKUP($B$5,标准坦克设计!$B$14:$K$20,9)/30))</f>
        <v>18.596434646266641</v>
      </c>
      <c r="ED185" s="172">
        <f ca="1">(VLOOKUP(ED$72,INDIRECT($C$5&amp;"生成成长"),2))/((VLOOKUP($B185,INDIRECT($B$5&amp;"生成成长"),4))/(VLOOKUP(ED$72,INDIRECT($C$5&amp;"生成成长"),5))*(VLOOKUP($B$5,标准坦克设计!$B$24:$U$30,MATCH("对"&amp;LEFT($C$5,2)&amp;"输出",标准坦克设计!$B$23:$U$23,0)))*(VLOOKUP($B185,INDIRECT($B$5&amp;"生成成长"),3))*(VLOOKUP($B$5,标准坦克设计!$B$14:$K$20,9)/30))</f>
        <v>20.241365804422944</v>
      </c>
      <c r="EE185" s="172">
        <f ca="1">(VLOOKUP(EE$72,INDIRECT($C$5&amp;"生成成长"),2))/((VLOOKUP($B185,INDIRECT($B$5&amp;"生成成长"),4))/(VLOOKUP(EE$72,INDIRECT($C$5&amp;"生成成长"),5))*(VLOOKUP($B$5,标准坦克设计!$B$24:$U$30,MATCH("对"&amp;LEFT($C$5,2)&amp;"输出",标准坦克设计!$B$23:$U$23,0)))*(VLOOKUP($B185,INDIRECT($B$5&amp;"生成成长"),3))*(VLOOKUP($B$5,标准坦克设计!$B$14:$K$20,9)/30))</f>
        <v>21.955997435382482</v>
      </c>
      <c r="EF185" s="172">
        <f ca="1">(VLOOKUP(EF$72,INDIRECT($C$5&amp;"生成成长"),2))/((VLOOKUP($B185,INDIRECT($B$5&amp;"生成成长"),4))/(VLOOKUP(EF$72,INDIRECT($C$5&amp;"生成成长"),5))*(VLOOKUP($B$5,标准坦克设计!$B$24:$U$30,MATCH("对"&amp;LEFT($C$5,2)&amp;"输出",标准坦克设计!$B$23:$U$23,0)))*(VLOOKUP($B185,INDIRECT($B$5&amp;"生成成长"),3))*(VLOOKUP($B$5,标准坦克设计!$B$14:$K$20,9)/30))</f>
        <v>23.740329539145254</v>
      </c>
      <c r="EG185" s="172">
        <f ca="1">(VLOOKUP(EG$72,INDIRECT($C$5&amp;"生成成长"),2))/((VLOOKUP($B185,INDIRECT($B$5&amp;"生成成长"),4))/(VLOOKUP(EG$72,INDIRECT($C$5&amp;"生成成长"),5))*(VLOOKUP($B$5,标准坦克设计!$B$24:$U$30,MATCH("对"&amp;LEFT($C$5,2)&amp;"输出",标准坦克设计!$B$23:$U$23,0)))*(VLOOKUP($B185,INDIRECT($B$5&amp;"生成成长"),3))*(VLOOKUP($B$5,标准坦克设计!$B$14:$K$20,9)/30))</f>
        <v>25.59436211571126</v>
      </c>
      <c r="EH185" s="172">
        <f ca="1">(VLOOKUP(EH$72,INDIRECT($C$5&amp;"生成成长"),2))/((VLOOKUP($B185,INDIRECT($B$5&amp;"生成成长"),4))/(VLOOKUP(EH$72,INDIRECT($C$5&amp;"生成成长"),5))*(VLOOKUP($B$5,标准坦克设计!$B$24:$U$30,MATCH("对"&amp;LEFT($C$5,2)&amp;"输出",标准坦克设计!$B$23:$U$23,0)))*(VLOOKUP($B185,INDIRECT($B$5&amp;"生成成长"),3))*(VLOOKUP($B$5,标准坦克设计!$B$14:$K$20,9)/30))</f>
        <v>27.518095165080489</v>
      </c>
      <c r="EI185" s="172">
        <f ca="1">(VLOOKUP(EI$72,INDIRECT($C$5&amp;"生成成长"),2))/((VLOOKUP($B185,INDIRECT($B$5&amp;"生成成长"),4))/(VLOOKUP(EI$72,INDIRECT($C$5&amp;"生成成长"),5))*(VLOOKUP($B$5,标准坦克设计!$B$24:$U$30,MATCH("对"&amp;LEFT($C$5,2)&amp;"输出",标准坦克设计!$B$23:$U$23,0)))*(VLOOKUP($B185,INDIRECT($B$5&amp;"生成成长"),3))*(VLOOKUP($B$5,标准坦克设计!$B$14:$K$20,9)/30))</f>
        <v>29.511528687252969</v>
      </c>
      <c r="EJ185" s="172">
        <f ca="1">(VLOOKUP(EJ$72,INDIRECT($C$5&amp;"生成成长"),2))/((VLOOKUP($B185,INDIRECT($B$5&amp;"生成成长"),4))/(VLOOKUP(EJ$72,INDIRECT($C$5&amp;"生成成长"),5))*(VLOOKUP($B$5,标准坦克设计!$B$24:$U$30,MATCH("对"&amp;LEFT($C$5,2)&amp;"输出",标准坦克设计!$B$23:$U$23,0)))*(VLOOKUP($B185,INDIRECT($B$5&amp;"生成成长"),3))*(VLOOKUP($B$5,标准坦克设计!$B$14:$K$20,9)/30))</f>
        <v>31.574662682228674</v>
      </c>
      <c r="EK185" s="172">
        <f ca="1">(VLOOKUP(EK$72,INDIRECT($C$5&amp;"生成成长"),2))/((VLOOKUP($B185,INDIRECT($B$5&amp;"生成成长"),4))/(VLOOKUP(EK$72,INDIRECT($C$5&amp;"生成成长"),5))*(VLOOKUP($B$5,标准坦克设计!$B$24:$U$30,MATCH("对"&amp;LEFT($C$5,2)&amp;"输出",标准坦克设计!$B$23:$U$23,0)))*(VLOOKUP($B185,INDIRECT($B$5&amp;"生成成长"),3))*(VLOOKUP($B$5,标准坦克设计!$B$14:$K$20,9)/30))</f>
        <v>34.142428100299774</v>
      </c>
      <c r="EL185" s="172">
        <f ca="1">(VLOOKUP(EL$72,INDIRECT($C$5&amp;"生成成长"),2))/((VLOOKUP($B185,INDIRECT($B$5&amp;"生成成长"),4))/(VLOOKUP(EL$72,INDIRECT($C$5&amp;"生成成长"),5))*(VLOOKUP($B$5,标准坦克设计!$B$24:$U$30,MATCH("对"&amp;LEFT($C$5,2)&amp;"输出",标准坦克设计!$B$23:$U$23,0)))*(VLOOKUP($B185,INDIRECT($B$5&amp;"生成成长"),3))*(VLOOKUP($B$5,标准坦克设计!$B$14:$K$20,9)/30))</f>
        <v>36.810562199207553</v>
      </c>
      <c r="EM185" s="172">
        <f ca="1">(VLOOKUP(EM$72,INDIRECT($C$5&amp;"生成成长"),2))/((VLOOKUP($B185,INDIRECT($B$5&amp;"生成成长"),4))/(VLOOKUP(EM$72,INDIRECT($C$5&amp;"生成成长"),5))*(VLOOKUP($B$5,标准坦克设计!$B$24:$U$30,MATCH("对"&amp;LEFT($C$5,2)&amp;"输出",标准坦克设计!$B$23:$U$23,0)))*(VLOOKUP($B185,INDIRECT($B$5&amp;"生成成长"),3))*(VLOOKUP($B$5,标准坦克设计!$B$14:$K$20,9)/30))</f>
        <v>39.579064978951969</v>
      </c>
      <c r="EN185" s="172">
        <f ca="1">(VLOOKUP(EN$72,INDIRECT($C$5&amp;"生成成长"),2))/((VLOOKUP($B185,INDIRECT($B$5&amp;"生成成长"),4))/(VLOOKUP(EN$72,INDIRECT($C$5&amp;"生成成长"),5))*(VLOOKUP($B$5,标准坦克设计!$B$24:$U$30,MATCH("对"&amp;LEFT($C$5,2)&amp;"输出",标准坦克设计!$B$23:$U$23,0)))*(VLOOKUP($B185,INDIRECT($B$5&amp;"生成成长"),3))*(VLOOKUP($B$5,标准坦克设计!$B$14:$K$20,9)/30))</f>
        <v>42.447936439533059</v>
      </c>
      <c r="EO185" s="172">
        <f ca="1">(VLOOKUP(EO$72,INDIRECT($C$5&amp;"生成成长"),2))/((VLOOKUP($B185,INDIRECT($B$5&amp;"生成成长"),4))/(VLOOKUP(EO$72,INDIRECT($C$5&amp;"生成成长"),5))*(VLOOKUP($B$5,标准坦克设计!$B$24:$U$30,MATCH("对"&amp;LEFT($C$5,2)&amp;"输出",标准坦克设计!$B$23:$U$23,0)))*(VLOOKUP($B185,INDIRECT($B$5&amp;"生成成长"),3))*(VLOOKUP($B$5,标准坦克设计!$B$14:$K$20,9)/30))</f>
        <v>45.417176580950787</v>
      </c>
      <c r="EP185" s="172">
        <f ca="1">(VLOOKUP(EP$72,INDIRECT($C$5&amp;"生成成长"),2))/((VLOOKUP($B185,INDIRECT($B$5&amp;"生成成长"),4))/(VLOOKUP(EP$72,INDIRECT($C$5&amp;"生成成长"),5))*(VLOOKUP($B$5,标准坦克设计!$B$24:$U$30,MATCH("对"&amp;LEFT($C$5,2)&amp;"输出",标准坦克设计!$B$23:$U$23,0)))*(VLOOKUP($B185,INDIRECT($B$5&amp;"生成成长"),3))*(VLOOKUP($B$5,标准坦克设计!$B$14:$K$20,9)/30))</f>
        <v>48.486785403205175</v>
      </c>
      <c r="EQ185" s="172">
        <f ca="1">(VLOOKUP(EQ$72,INDIRECT($C$5&amp;"生成成长"),2))/((VLOOKUP($B185,INDIRECT($B$5&amp;"生成成长"),4))/(VLOOKUP(EQ$72,INDIRECT($C$5&amp;"生成成长"),5))*(VLOOKUP($B$5,标准坦克设计!$B$24:$U$30,MATCH("对"&amp;LEFT($C$5,2)&amp;"输出",标准坦克设计!$B$23:$U$23,0)))*(VLOOKUP($B185,INDIRECT($B$5&amp;"生成成长"),3))*(VLOOKUP($B$5,标准坦克设计!$B$14:$K$20,9)/30))</f>
        <v>21.434289396450282</v>
      </c>
      <c r="ER185" s="172">
        <f ca="1">(VLOOKUP(ER$72,INDIRECT($C$5&amp;"生成成长"),2))/((VLOOKUP($B185,INDIRECT($B$5&amp;"生成成长"),4))/(VLOOKUP(ER$72,INDIRECT($C$5&amp;"生成成长"),5))*(VLOOKUP($B$5,标准坦克设计!$B$24:$U$30,MATCH("对"&amp;LEFT($C$5,2)&amp;"输出",标准坦克设计!$B$23:$U$23,0)))*(VLOOKUP($B185,INDIRECT($B$5&amp;"生成成长"),3))*(VLOOKUP($B$5,标准坦克设计!$B$14:$K$20,9)/30))</f>
        <v>23.377887080568442</v>
      </c>
      <c r="ES185" s="172">
        <f ca="1">(VLOOKUP(ES$72,INDIRECT($C$5&amp;"生成成长"),2))/((VLOOKUP($B185,INDIRECT($B$5&amp;"生成成长"),4))/(VLOOKUP(ES$72,INDIRECT($C$5&amp;"生成成长"),5))*(VLOOKUP($B$5,标准坦克设计!$B$24:$U$30,MATCH("对"&amp;LEFT($C$5,2)&amp;"输出",标准坦克设计!$B$23:$U$23,0)))*(VLOOKUP($B185,INDIRECT($B$5&amp;"生成成长"),3))*(VLOOKUP($B$5,标准坦克设计!$B$14:$K$20,9)/30))</f>
        <v>25.405822336778513</v>
      </c>
      <c r="ET185" s="172">
        <f ca="1">(VLOOKUP(ET$72,INDIRECT($C$5&amp;"生成成长"),2))/((VLOOKUP($B185,INDIRECT($B$5&amp;"生成成长"),4))/(VLOOKUP(ET$72,INDIRECT($C$5&amp;"生成成长"),5))*(VLOOKUP($B$5,标准坦克设计!$B$24:$U$30,MATCH("对"&amp;LEFT($C$5,2)&amp;"输出",标准坦克设计!$B$23:$U$23,0)))*(VLOOKUP($B185,INDIRECT($B$5&amp;"生成成长"),3))*(VLOOKUP($B$5,标准坦克设计!$B$14:$K$20,9)/30))</f>
        <v>27.518095165080489</v>
      </c>
      <c r="EU185" s="172">
        <f ca="1">(VLOOKUP(EU$72,INDIRECT($C$5&amp;"生成成长"),2))/((VLOOKUP($B185,INDIRECT($B$5&amp;"生成成长"),4))/(VLOOKUP(EU$72,INDIRECT($C$5&amp;"生成成长"),5))*(VLOOKUP($B$5,标准坦克设计!$B$24:$U$30,MATCH("对"&amp;LEFT($C$5,2)&amp;"输出",标准坦克设计!$B$23:$U$23,0)))*(VLOOKUP($B185,INDIRECT($B$5&amp;"生成成长"),3))*(VLOOKUP($B$5,标准坦克设计!$B$14:$K$20,9)/30))</f>
        <v>29.714705565474386</v>
      </c>
      <c r="EV185" s="172">
        <f ca="1">(VLOOKUP(EV$72,INDIRECT($C$5&amp;"生成成长"),2))/((VLOOKUP($B185,INDIRECT($B$5&amp;"生成成长"),4))/(VLOOKUP(EV$72,INDIRECT($C$5&amp;"生成成长"),5))*(VLOOKUP($B$5,标准坦克设计!$B$24:$U$30,MATCH("对"&amp;LEFT($C$5,2)&amp;"输出",标准坦克设计!$B$23:$U$23,0)))*(VLOOKUP($B185,INDIRECT($B$5&amp;"生成成长"),3))*(VLOOKUP($B$5,标准坦克设计!$B$14:$K$20,9)/30))</f>
        <v>31.995653537960202</v>
      </c>
      <c r="EW185" s="172">
        <f ca="1">(VLOOKUP(EW$72,INDIRECT($C$5&amp;"生成成长"),2))/((VLOOKUP($B185,INDIRECT($B$5&amp;"生成成长"),4))/(VLOOKUP(EW$72,INDIRECT($C$5&amp;"生成成长"),5))*(VLOOKUP($B$5,标准坦克设计!$B$24:$U$30,MATCH("对"&amp;LEFT($C$5,2)&amp;"输出",标准坦克设计!$B$23:$U$23,0)))*(VLOOKUP($B185,INDIRECT($B$5&amp;"生成成长"),3))*(VLOOKUP($B$5,标准坦克设计!$B$14:$K$20,9)/30))</f>
        <v>34.360939082537918</v>
      </c>
      <c r="EX185" s="172">
        <f ca="1">(VLOOKUP(EX$72,INDIRECT($C$5&amp;"生成成长"),2))/((VLOOKUP($B185,INDIRECT($B$5&amp;"生成成长"),4))/(VLOOKUP(EX$72,INDIRECT($C$5&amp;"生成成长"),5))*(VLOOKUP($B$5,标准坦克设计!$B$24:$U$30,MATCH("对"&amp;LEFT($C$5,2)&amp;"输出",标准坦克设计!$B$23:$U$23,0)))*(VLOOKUP($B185,INDIRECT($B$5&amp;"生成成长"),3))*(VLOOKUP($B$5,标准坦克设计!$B$14:$K$20,9)/30))</f>
        <v>36.810562199207553</v>
      </c>
      <c r="EY185" s="172">
        <f ca="1">(VLOOKUP(EY$72,INDIRECT($C$5&amp;"生成成长"),2))/((VLOOKUP($B185,INDIRECT($B$5&amp;"生成成长"),4))/(VLOOKUP(EY$72,INDIRECT($C$5&amp;"生成成长"),5))*(VLOOKUP($B$5,标准坦克设计!$B$24:$U$30,MATCH("对"&amp;LEFT($C$5,2)&amp;"输出",标准坦克设计!$B$23:$U$23,0)))*(VLOOKUP($B185,INDIRECT($B$5&amp;"生成成长"),3))*(VLOOKUP($B$5,标准坦克设计!$B$14:$K$20,9)/30))</f>
        <v>39.344522887969099</v>
      </c>
      <c r="EZ185" s="172">
        <f ca="1">(VLOOKUP(EZ$72,INDIRECT($C$5&amp;"生成成长"),2))/((VLOOKUP($B185,INDIRECT($B$5&amp;"生成成长"),4))/(VLOOKUP(EZ$72,INDIRECT($C$5&amp;"生成成长"),5))*(VLOOKUP($B$5,标准坦克设计!$B$24:$U$30,MATCH("对"&amp;LEFT($C$5,2)&amp;"输出",标准坦克设计!$B$23:$U$23,0)))*(VLOOKUP($B185,INDIRECT($B$5&amp;"生成成长"),3))*(VLOOKUP($B$5,标准坦克设计!$B$14:$K$20,9)/30))</f>
        <v>41.962821148822549</v>
      </c>
      <c r="FA185" s="172">
        <f ca="1">(VLOOKUP(FA$72,INDIRECT($C$5&amp;"生成成长"),2))/((VLOOKUP($B185,INDIRECT($B$5&amp;"生成成长"),4))/(VLOOKUP(FA$72,INDIRECT($C$5&amp;"生成成长"),5))*(VLOOKUP($B$5,标准坦克设计!$B$24:$U$30,MATCH("对"&amp;LEFT($C$5,2)&amp;"输出",标准坦克设计!$B$23:$U$23,0)))*(VLOOKUP($B185,INDIRECT($B$5&amp;"生成成长"),3))*(VLOOKUP($B$5,标准坦克设计!$B$14:$K$20,9)/30))</f>
        <v>44.665456981767925</v>
      </c>
      <c r="FB185" s="172">
        <f ca="1">(VLOOKUP(FB$72,INDIRECT($C$5&amp;"生成成长"),2))/((VLOOKUP($B185,INDIRECT($B$5&amp;"生成成长"),4))/(VLOOKUP(FB$72,INDIRECT($C$5&amp;"生成成长"),5))*(VLOOKUP($B$5,标准坦克设计!$B$24:$U$30,MATCH("对"&amp;LEFT($C$5,2)&amp;"输出",标准坦克设计!$B$23:$U$23,0)))*(VLOOKUP($B185,INDIRECT($B$5&amp;"生成成长"),3))*(VLOOKUP($B$5,标准坦克设计!$B$14:$K$20,9)/30))</f>
        <v>47.452430386805204</v>
      </c>
      <c r="FC185" s="172">
        <f ca="1">(VLOOKUP(FC$72,INDIRECT($C$5&amp;"生成成长"),2))/((VLOOKUP($B185,INDIRECT($B$5&amp;"生成成长"),4))/(VLOOKUP(FC$72,INDIRECT($C$5&amp;"生成成长"),5))*(VLOOKUP($B$5,标准坦克设计!$B$24:$U$30,MATCH("对"&amp;LEFT($C$5,2)&amp;"输出",标准坦克设计!$B$23:$U$23,0)))*(VLOOKUP($B185,INDIRECT($B$5&amp;"生成成长"),3))*(VLOOKUP($B$5,标准坦克设计!$B$14:$K$20,9)/30))</f>
        <v>50.323741363934396</v>
      </c>
      <c r="FD185" s="172">
        <f ca="1">(VLOOKUP(FD$72,INDIRECT($C$5&amp;"生成成长"),2))/((VLOOKUP($B185,INDIRECT($B$5&amp;"生成成长"),4))/(VLOOKUP(FD$72,INDIRECT($C$5&amp;"生成成长"),5))*(VLOOKUP($B$5,标准坦克设计!$B$24:$U$30,MATCH("对"&amp;LEFT($C$5,2)&amp;"输出",标准坦克设计!$B$23:$U$23,0)))*(VLOOKUP($B185,INDIRECT($B$5&amp;"生成成长"),3))*(VLOOKUP($B$5,标准坦克设计!$B$14:$K$20,9)/30))</f>
        <v>53.279389913155484</v>
      </c>
      <c r="FE185" s="172">
        <f ca="1">(VLOOKUP(FE$72,INDIRECT($C$5&amp;"生成成长"),2))/((VLOOKUP($B185,INDIRECT($B$5&amp;"生成成长"),4))/(VLOOKUP(FE$72,INDIRECT($C$5&amp;"生成成长"),5))*(VLOOKUP($B$5,标准坦克设计!$B$24:$U$30,MATCH("对"&amp;LEFT($C$5,2)&amp;"输出",标准坦克设计!$B$23:$U$23,0)))*(VLOOKUP($B185,INDIRECT($B$5&amp;"生成成长"),3))*(VLOOKUP($B$5,标准坦克设计!$B$14:$K$20,9)/30))</f>
        <v>56.881161845262568</v>
      </c>
      <c r="FF185" s="172">
        <f ca="1">(VLOOKUP(FF$72,INDIRECT($C$5&amp;"生成成长"),2))/((VLOOKUP($B185,INDIRECT($B$5&amp;"生成成长"),4))/(VLOOKUP(FF$72,INDIRECT($C$5&amp;"生成成长"),5))*(VLOOKUP($B$5,标准坦克设计!$B$24:$U$30,MATCH("对"&amp;LEFT($C$5,2)&amp;"输出",标准坦克设计!$B$23:$U$23,0)))*(VLOOKUP($B185,INDIRECT($B$5&amp;"生成成长"),3))*(VLOOKUP($B$5,标准坦克设计!$B$14:$K$20,9)/30))</f>
        <v>60.600727576407124</v>
      </c>
      <c r="FG185" s="172">
        <f ca="1">(VLOOKUP(FG$72,INDIRECT($C$5&amp;"生成成长"),2))/((VLOOKUP($B185,INDIRECT($B$5&amp;"生成成长"),4))/(VLOOKUP(FG$72,INDIRECT($C$5&amp;"生成成长"),5))*(VLOOKUP($B$5,标准坦克设计!$B$24:$U$30,MATCH("对"&amp;LEFT($C$5,2)&amp;"输出",标准坦克设计!$B$23:$U$23,0)))*(VLOOKUP($B185,INDIRECT($B$5&amp;"生成成长"),3))*(VLOOKUP($B$5,标准坦克设计!$B$14:$K$20,9)/30))</f>
        <v>64.438087106589109</v>
      </c>
      <c r="FH185" s="172">
        <f ca="1">(VLOOKUP(FH$72,INDIRECT($C$5&amp;"生成成长"),2))/((VLOOKUP($B185,INDIRECT($B$5&amp;"生成成长"),4))/(VLOOKUP(FH$72,INDIRECT($C$5&amp;"生成成长"),5))*(VLOOKUP($B$5,标准坦克设计!$B$24:$U$30,MATCH("对"&amp;LEFT($C$5,2)&amp;"输出",标准坦克设计!$B$23:$U$23,0)))*(VLOOKUP($B185,INDIRECT($B$5&amp;"生成成长"),3))*(VLOOKUP($B$5,标准坦克设计!$B$14:$K$20,9)/30))</f>
        <v>68.393240435808579</v>
      </c>
      <c r="FI185" s="172">
        <f ca="1">(VLOOKUP(FI$72,INDIRECT($C$5&amp;"生成成长"),2))/((VLOOKUP($B185,INDIRECT($B$5&amp;"生成成长"),4))/(VLOOKUP(FI$72,INDIRECT($C$5&amp;"生成成长"),5))*(VLOOKUP($B$5,标准坦克设计!$B$24:$U$30,MATCH("对"&amp;LEFT($C$5,2)&amp;"输出",标准坦克设计!$B$23:$U$23,0)))*(VLOOKUP($B185,INDIRECT($B$5&amp;"生成成长"),3))*(VLOOKUP($B$5,标准坦克设计!$B$14:$K$20,9)/30))</f>
        <v>72.466187564065521</v>
      </c>
      <c r="FJ185" s="172">
        <f ca="1">(VLOOKUP(FJ$72,INDIRECT($C$5&amp;"生成成长"),2))/((VLOOKUP($B185,INDIRECT($B$5&amp;"生成成长"),4))/(VLOOKUP(FJ$72,INDIRECT($C$5&amp;"生成成长"),5))*(VLOOKUP($B$5,标准坦克设计!$B$24:$U$30,MATCH("对"&amp;LEFT($C$5,2)&amp;"输出",标准坦克设计!$B$23:$U$23,0)))*(VLOOKUP($B185,INDIRECT($B$5&amp;"生成成长"),3))*(VLOOKUP($B$5,标准坦克设计!$B$14:$K$20,9)/30))</f>
        <v>76.656928491359906</v>
      </c>
      <c r="FK185" s="172">
        <f ca="1">(VLOOKUP(FK$72,INDIRECT($C$5&amp;"生成成长"),2))/((VLOOKUP($B185,INDIRECT($B$5&amp;"生成成长"),4))/(VLOOKUP(FK$72,INDIRECT($C$5&amp;"生成成长"),5))*(VLOOKUP($B$5,标准坦克设计!$B$24:$U$30,MATCH("对"&amp;LEFT($C$5,2)&amp;"输出",标准坦克设计!$B$23:$U$23,0)))*(VLOOKUP($B185,INDIRECT($B$5&amp;"生成成长"),3))*(VLOOKUP($B$5,标准坦克设计!$B$14:$K$20,9)/30))</f>
        <v>80.965463217691777</v>
      </c>
    </row>
    <row r="186" spans="1:167" x14ac:dyDescent="0.15">
      <c r="A186" s="170" t="str">
        <f t="shared" si="12"/>
        <v>T3高品质3级</v>
      </c>
      <c r="B186" s="171">
        <v>30303</v>
      </c>
      <c r="C186" s="172">
        <f ca="1">(VLOOKUP(C$72,INDIRECT($C$5&amp;"生成成长"),2))/((VLOOKUP($B186,INDIRECT($B$5&amp;"生成成长"),4))/(VLOOKUP(C$72,INDIRECT($C$5&amp;"生成成长"),5))*(VLOOKUP($B$5,标准坦克设计!$B$24:$U$30,MATCH("对"&amp;LEFT($C$5,2)&amp;"输出",标准坦克设计!$B$23:$U$23,0)))*(VLOOKUP($B186,INDIRECT($B$5&amp;"生成成长"),3))*(VLOOKUP($B$5,标准坦克设计!$B$14:$K$20,9)/30))</f>
        <v>3.1152930710278479</v>
      </c>
      <c r="D186" s="172">
        <f ca="1">(VLOOKUP(D$72,INDIRECT($C$5&amp;"生成成长"),2))/((VLOOKUP($B186,INDIRECT($B$5&amp;"生成成长"),4))/(VLOOKUP(D$72,INDIRECT($C$5&amp;"生成成长"),5))*(VLOOKUP($B$5,标准坦克设计!$B$24:$U$30,MATCH("对"&amp;LEFT($C$5,2)&amp;"输出",标准坦克设计!$B$23:$U$23,0)))*(VLOOKUP($B186,INDIRECT($B$5&amp;"生成成长"),3))*(VLOOKUP($B$5,标准坦克设计!$B$14:$K$20,9)/30))</f>
        <v>3.5003432946068891</v>
      </c>
      <c r="E186" s="172">
        <f ca="1">(VLOOKUP(E$72,INDIRECT($C$5&amp;"生成成长"),2))/((VLOOKUP($B186,INDIRECT($B$5&amp;"生成成长"),4))/(VLOOKUP(E$72,INDIRECT($C$5&amp;"生成成长"),5))*(VLOOKUP($B$5,标准坦克设计!$B$24:$U$30,MATCH("对"&amp;LEFT($C$5,2)&amp;"输出",标准坦克设计!$B$23:$U$23,0)))*(VLOOKUP($B186,INDIRECT($B$5&amp;"生成成长"),3))*(VLOOKUP($B$5,标准坦克设计!$B$14:$K$20,9)/30))</f>
        <v>3.9078236282973311</v>
      </c>
      <c r="F186" s="172">
        <f ca="1">(VLOOKUP(F$72,INDIRECT($C$5&amp;"生成成长"),2))/((VLOOKUP($B186,INDIRECT($B$5&amp;"生成成长"),4))/(VLOOKUP(F$72,INDIRECT($C$5&amp;"生成成长"),5))*(VLOOKUP($B$5,标准坦克设计!$B$24:$U$30,MATCH("对"&amp;LEFT($C$5,2)&amp;"输出",标准坦克设计!$B$23:$U$23,0)))*(VLOOKUP($B186,INDIRECT($B$5&amp;"生成成长"),3))*(VLOOKUP($B$5,标准坦克设计!$B$14:$K$20,9)/30))</f>
        <v>4.3377340720991748</v>
      </c>
      <c r="G186" s="172">
        <f ca="1">(VLOOKUP(G$72,INDIRECT($C$5&amp;"生成成长"),2))/((VLOOKUP($B186,INDIRECT($B$5&amp;"生成成长"),4))/(VLOOKUP(G$72,INDIRECT($C$5&amp;"生成成长"),5))*(VLOOKUP($B$5,标准坦克设计!$B$24:$U$30,MATCH("对"&amp;LEFT($C$5,2)&amp;"输出",标准坦克设计!$B$23:$U$23,0)))*(VLOOKUP($B186,INDIRECT($B$5&amp;"生成成长"),3))*(VLOOKUP($B$5,标准坦克设计!$B$14:$K$20,9)/30))</f>
        <v>4.7900746260124185</v>
      </c>
      <c r="H186" s="172">
        <f ca="1">(VLOOKUP(H$72,INDIRECT($C$5&amp;"生成成长"),2))/((VLOOKUP($B186,INDIRECT($B$5&amp;"生成成长"),4))/(VLOOKUP(H$72,INDIRECT($C$5&amp;"生成成长"),5))*(VLOOKUP($B$5,标准坦克设计!$B$24:$U$30,MATCH("对"&amp;LEFT($C$5,2)&amp;"输出",标准坦克设计!$B$23:$U$23,0)))*(VLOOKUP($B186,INDIRECT($B$5&amp;"生成成长"),3))*(VLOOKUP($B$5,标准坦克设计!$B$14:$K$20,9)/30))</f>
        <v>4.1919383563750703</v>
      </c>
      <c r="I186" s="172">
        <f ca="1">(VLOOKUP(I$72,INDIRECT($C$5&amp;"生成成长"),2))/((VLOOKUP($B186,INDIRECT($B$5&amp;"生成成长"),4))/(VLOOKUP(I$72,INDIRECT($C$5&amp;"生成成长"),5))*(VLOOKUP($B$5,标准坦克设计!$B$24:$U$30,MATCH("对"&amp;LEFT($C$5,2)&amp;"输出",标准坦克设计!$B$23:$U$23,0)))*(VLOOKUP($B186,INDIRECT($B$5&amp;"生成成长"),3))*(VLOOKUP($B$5,标准坦克设计!$B$14:$K$20,9)/30))</f>
        <v>4.7900746260124185</v>
      </c>
      <c r="J186" s="172">
        <f ca="1">(VLOOKUP(J$72,INDIRECT($C$5&amp;"生成成长"),2))/((VLOOKUP($B186,INDIRECT($B$5&amp;"生成成长"),4))/(VLOOKUP(J$72,INDIRECT($C$5&amp;"生成成长"),5))*(VLOOKUP($B$5,标准坦克设计!$B$24:$U$30,MATCH("对"&amp;LEFT($C$5,2)&amp;"输出",标准坦克设计!$B$23:$U$23,0)))*(VLOOKUP($B186,INDIRECT($B$5&amp;"生成成长"),3))*(VLOOKUP($B$5,标准坦克设计!$B$14:$K$20,9)/30))</f>
        <v>5.4280866469589206</v>
      </c>
      <c r="K186" s="172">
        <f ca="1">(VLOOKUP(K$72,INDIRECT($C$5&amp;"生成成长"),2))/((VLOOKUP($B186,INDIRECT($B$5&amp;"生成成长"),4))/(VLOOKUP(K$72,INDIRECT($C$5&amp;"生成成长"),5))*(VLOOKUP($B$5,标准坦克设计!$B$24:$U$30,MATCH("对"&amp;LEFT($C$5,2)&amp;"输出",标准坦克设计!$B$23:$U$23,0)))*(VLOOKUP($B186,INDIRECT($B$5&amp;"生成成长"),3))*(VLOOKUP($B$5,标准坦克设计!$B$14:$K$20,9)/30))</f>
        <v>6.1059744192145819</v>
      </c>
      <c r="L186" s="172">
        <f ca="1">(VLOOKUP(L$72,INDIRECT($C$5&amp;"生成成长"),2))/((VLOOKUP($B186,INDIRECT($B$5&amp;"生成成长"),4))/(VLOOKUP(L$72,INDIRECT($C$5&amp;"生成成长"),5))*(VLOOKUP($B$5,标准坦克设计!$B$24:$U$30,MATCH("对"&amp;LEFT($C$5,2)&amp;"输出",标准坦克设计!$B$23:$U$23,0)))*(VLOOKUP($B186,INDIRECT($B$5&amp;"生成成长"),3))*(VLOOKUP($B$5,标准坦克设计!$B$14:$K$20,9)/30))</f>
        <v>6.8237379427793972</v>
      </c>
      <c r="M186" s="172">
        <f ca="1">(VLOOKUP(M$72,INDIRECT($C$5&amp;"生成成长"),2))/((VLOOKUP($B186,INDIRECT($B$5&amp;"生成成长"),4))/(VLOOKUP(M$72,INDIRECT($C$5&amp;"生成成长"),5))*(VLOOKUP($B$5,标准坦克设计!$B$24:$U$30,MATCH("对"&amp;LEFT($C$5,2)&amp;"输出",标准坦克设计!$B$23:$U$23,0)))*(VLOOKUP($B186,INDIRECT($B$5&amp;"生成成长"),3))*(VLOOKUP($B$5,标准坦克设计!$B$14:$K$20,9)/30))</f>
        <v>7.5813772176533698</v>
      </c>
      <c r="N186" s="172">
        <f ca="1">(VLOOKUP(N$72,INDIRECT($C$5&amp;"生成成长"),2))/((VLOOKUP($B186,INDIRECT($B$5&amp;"生成成长"),4))/(VLOOKUP(N$72,INDIRECT($C$5&amp;"生成成长"),5))*(VLOOKUP($B$5,标准坦克设计!$B$24:$U$30,MATCH("对"&amp;LEFT($C$5,2)&amp;"输出",标准坦克设计!$B$23:$U$23,0)))*(VLOOKUP($B186,INDIRECT($B$5&amp;"生成成长"),3))*(VLOOKUP($B$5,标准坦克设计!$B$14:$K$20,9)/30))</f>
        <v>8.3788922438364981</v>
      </c>
      <c r="O186" s="172">
        <f ca="1">(VLOOKUP(O$72,INDIRECT($C$5&amp;"生成成长"),2))/((VLOOKUP($B186,INDIRECT($B$5&amp;"生成成长"),4))/(VLOOKUP(O$72,INDIRECT($C$5&amp;"生成成长"),5))*(VLOOKUP($B$5,标准坦克设计!$B$24:$U$30,MATCH("对"&amp;LEFT($C$5,2)&amp;"输出",标准坦克设计!$B$23:$U$23,0)))*(VLOOKUP($B186,INDIRECT($B$5&amp;"生成成长"),3))*(VLOOKUP($B$5,标准坦克设计!$B$14:$K$20,9)/30))</f>
        <v>6.3704628009448436</v>
      </c>
      <c r="P186" s="172">
        <f ca="1">(VLOOKUP(P$72,INDIRECT($C$5&amp;"生成成长"),2))/((VLOOKUP($B186,INDIRECT($B$5&amp;"生成成长"),4))/(VLOOKUP(P$72,INDIRECT($C$5&amp;"生成成长"),5))*(VLOOKUP($B$5,标准坦克设计!$B$24:$U$30,MATCH("对"&amp;LEFT($C$5,2)&amp;"输出",标准坦克设计!$B$23:$U$23,0)))*(VLOOKUP($B186,INDIRECT($B$5&amp;"生成成长"),3))*(VLOOKUP($B$5,标准坦克设计!$B$14:$K$20,9)/30))</f>
        <v>7.1975731113027379</v>
      </c>
      <c r="Q186" s="172">
        <f ca="1">(VLOOKUP(Q$72,INDIRECT($C$5&amp;"生成成长"),2))/((VLOOKUP($B186,INDIRECT($B$5&amp;"生成成长"),4))/(VLOOKUP(Q$72,INDIRECT($C$5&amp;"生成成长"),5))*(VLOOKUP($B$5,标准坦克设计!$B$24:$U$30,MATCH("对"&amp;LEFT($C$5,2)&amp;"输出",标准坦克设计!$B$23:$U$23,0)))*(VLOOKUP($B186,INDIRECT($B$5&amp;"生成成长"),3))*(VLOOKUP($B$5,标准坦克设计!$B$14:$K$20,9)/30))</f>
        <v>8.0751511694112814</v>
      </c>
      <c r="R186" s="172">
        <f ca="1">(VLOOKUP(R$72,INDIRECT($C$5&amp;"生成成长"),2))/((VLOOKUP($B186,INDIRECT($B$5&amp;"生成成长"),4))/(VLOOKUP(R$72,INDIRECT($C$5&amp;"生成成长"),5))*(VLOOKUP($B$5,标准坦克设计!$B$24:$U$30,MATCH("对"&amp;LEFT($C$5,2)&amp;"输出",标准坦克设计!$B$23:$U$23,0)))*(VLOOKUP($B186,INDIRECT($B$5&amp;"生成成长"),3))*(VLOOKUP($B$5,标准坦克设计!$B$14:$K$20,9)/30))</f>
        <v>9.0031969752704786</v>
      </c>
      <c r="S186" s="172">
        <f ca="1">(VLOOKUP(S$72,INDIRECT($C$5&amp;"生成成长"),2))/((VLOOKUP($B186,INDIRECT($B$5&amp;"生成成长"),4))/(VLOOKUP(S$72,INDIRECT($C$5&amp;"生成成长"),5))*(VLOOKUP($B$5,标准坦克设计!$B$24:$U$30,MATCH("对"&amp;LEFT($C$5,2)&amp;"输出",标准坦克设计!$B$23:$U$23,0)))*(VLOOKUP($B186,INDIRECT($B$5&amp;"生成成长"),3))*(VLOOKUP($B$5,标准坦克设计!$B$14:$K$20,9)/30))</f>
        <v>9.9817105288803258</v>
      </c>
      <c r="T186" s="172">
        <f ca="1">(VLOOKUP(T$72,INDIRECT($C$5&amp;"生成成长"),2))/((VLOOKUP($B186,INDIRECT($B$5&amp;"生成成长"),4))/(VLOOKUP(T$72,INDIRECT($C$5&amp;"生成成长"),5))*(VLOOKUP($B$5,标准坦克设计!$B$24:$U$30,MATCH("对"&amp;LEFT($C$5,2)&amp;"输出",标准坦克设计!$B$23:$U$23,0)))*(VLOOKUP($B186,INDIRECT($B$5&amp;"生成成长"),3))*(VLOOKUP($B$5,标准坦克设计!$B$14:$K$20,9)/30))</f>
        <v>11.010691830240821</v>
      </c>
      <c r="U186" s="172">
        <f ca="1">(VLOOKUP(U$72,INDIRECT($C$5&amp;"生成成长"),2))/((VLOOKUP($B186,INDIRECT($B$5&amp;"生成成长"),4))/(VLOOKUP(U$72,INDIRECT($C$5&amp;"生成成长"),5))*(VLOOKUP($B$5,标准坦克设计!$B$24:$U$30,MATCH("对"&amp;LEFT($C$5,2)&amp;"输出",标准坦克设计!$B$23:$U$23,0)))*(VLOOKUP($B186,INDIRECT($B$5&amp;"生成成长"),3))*(VLOOKUP($B$5,标准坦克设计!$B$14:$K$20,9)/30))</f>
        <v>12.090140879351971</v>
      </c>
      <c r="V186" s="172">
        <f ca="1">(VLOOKUP(V$72,INDIRECT($C$5&amp;"生成成长"),2))/((VLOOKUP($B186,INDIRECT($B$5&amp;"生成成长"),4))/(VLOOKUP(V$72,INDIRECT($C$5&amp;"生成成长"),5))*(VLOOKUP($B$5,标准坦克设计!$B$24:$U$30,MATCH("对"&amp;LEFT($C$5,2)&amp;"输出",标准坦克设计!$B$23:$U$23,0)))*(VLOOKUP($B186,INDIRECT($B$5&amp;"生成成长"),3))*(VLOOKUP($B$5,标准坦克设计!$B$14:$K$20,9)/30))</f>
        <v>13.220057676213774</v>
      </c>
      <c r="W186" s="172">
        <f ca="1">(VLOOKUP(W$72,INDIRECT($C$5&amp;"生成成长"),2))/((VLOOKUP($B186,INDIRECT($B$5&amp;"生成成长"),4))/(VLOOKUP(W$72,INDIRECT($C$5&amp;"生成成长"),5))*(VLOOKUP($B$5,标准坦克设计!$B$24:$U$30,MATCH("对"&amp;LEFT($C$5,2)&amp;"输出",标准坦克设计!$B$23:$U$23,0)))*(VLOOKUP($B186,INDIRECT($B$5&amp;"生成成长"),3))*(VLOOKUP($B$5,标准坦克设计!$B$14:$K$20,9)/30))</f>
        <v>14.400442220826223</v>
      </c>
      <c r="X186" s="172">
        <f ca="1">(VLOOKUP(X$72,INDIRECT($C$5&amp;"生成成长"),2))/((VLOOKUP($B186,INDIRECT($B$5&amp;"生成成长"),4))/(VLOOKUP(X$72,INDIRECT($C$5&amp;"生成成长"),5))*(VLOOKUP($B$5,标准坦克设计!$B$24:$U$30,MATCH("对"&amp;LEFT($C$5,2)&amp;"输出",标准坦克设计!$B$23:$U$23,0)))*(VLOOKUP($B186,INDIRECT($B$5&amp;"生成成长"),3))*(VLOOKUP($B$5,标准坦克设计!$B$14:$K$20,9)/30))</f>
        <v>10.432804965565156</v>
      </c>
      <c r="Y186" s="172">
        <f ca="1">(VLOOKUP(Y$72,INDIRECT($C$5&amp;"生成成长"),2))/((VLOOKUP($B186,INDIRECT($B$5&amp;"生成成长"),4))/(VLOOKUP(Y$72,INDIRECT($C$5&amp;"生成成长"),5))*(VLOOKUP($B$5,标准坦克设计!$B$24:$U$30,MATCH("对"&amp;LEFT($C$5,2)&amp;"输出",标准坦克设计!$B$23:$U$23,0)))*(VLOOKUP($B186,INDIRECT($B$5&amp;"生成成长"),3))*(VLOOKUP($B$5,标准坦克设计!$B$14:$K$20,9)/30))</f>
        <v>11.604155160271629</v>
      </c>
      <c r="Z186" s="172">
        <f ca="1">(VLOOKUP(Z$72,INDIRECT($C$5&amp;"生成成长"),2))/((VLOOKUP($B186,INDIRECT($B$5&amp;"生成成长"),4))/(VLOOKUP(Z$72,INDIRECT($C$5&amp;"生成成长"),5))*(VLOOKUP($B$5,标准坦克设计!$B$24:$U$30,MATCH("对"&amp;LEFT($C$5,2)&amp;"输出",标准坦克设计!$B$23:$U$23,0)))*(VLOOKUP($B186,INDIRECT($B$5&amp;"生成成长"),3))*(VLOOKUP($B$5,标准坦克设计!$B$14:$K$20,9)/30))</f>
        <v>12.837811216398656</v>
      </c>
      <c r="AA186" s="172">
        <f ca="1">(VLOOKUP(AA$72,INDIRECT($C$5&amp;"生成成长"),2))/((VLOOKUP($B186,INDIRECT($B$5&amp;"生成成长"),4))/(VLOOKUP(AA$72,INDIRECT($C$5&amp;"生成成长"),5))*(VLOOKUP($B$5,标准坦克设计!$B$24:$U$30,MATCH("对"&amp;LEFT($C$5,2)&amp;"输出",标准坦克设计!$B$23:$U$23,0)))*(VLOOKUP($B186,INDIRECT($B$5&amp;"生成成长"),3))*(VLOOKUP($B$5,标准坦克设计!$B$14:$K$20,9)/30))</f>
        <v>14.13377313394624</v>
      </c>
      <c r="AB186" s="172">
        <f ca="1">(VLOOKUP(AB$72,INDIRECT($C$5&amp;"生成成长"),2))/((VLOOKUP($B186,INDIRECT($B$5&amp;"生成成长"),4))/(VLOOKUP(AB$72,INDIRECT($C$5&amp;"生成成长"),5))*(VLOOKUP($B$5,标准坦克设计!$B$24:$U$30,MATCH("对"&amp;LEFT($C$5,2)&amp;"输出",标准坦克设计!$B$23:$U$23,0)))*(VLOOKUP($B186,INDIRECT($B$5&amp;"生成成长"),3))*(VLOOKUP($B$5,标准坦克设计!$B$14:$K$20,9)/30))</f>
        <v>15.492040912914378</v>
      </c>
      <c r="AC186" s="172">
        <f ca="1">(VLOOKUP(AC$72,INDIRECT($C$5&amp;"生成成长"),2))/((VLOOKUP($B186,INDIRECT($B$5&amp;"生成成长"),4))/(VLOOKUP(AC$72,INDIRECT($C$5&amp;"生成成长"),5))*(VLOOKUP($B$5,标准坦克设计!$B$24:$U$30,MATCH("对"&amp;LEFT($C$5,2)&amp;"输出",标准坦克设计!$B$23:$U$23,0)))*(VLOOKUP($B186,INDIRECT($B$5&amp;"生成成长"),3))*(VLOOKUP($B$5,标准坦克设计!$B$14:$K$20,9)/30))</f>
        <v>16.912614553303079</v>
      </c>
      <c r="AD186" s="172">
        <f ca="1">(VLOOKUP(AD$72,INDIRECT($C$5&amp;"生成成长"),2))/((VLOOKUP($B186,INDIRECT($B$5&amp;"生成成长"),4))/(VLOOKUP(AD$72,INDIRECT($C$5&amp;"生成成长"),5))*(VLOOKUP($B$5,标准坦克设计!$B$24:$U$30,MATCH("对"&amp;LEFT($C$5,2)&amp;"输出",标准坦克设计!$B$23:$U$23,0)))*(VLOOKUP($B186,INDIRECT($B$5&amp;"生成成长"),3))*(VLOOKUP($B$5,标准坦克设计!$B$14:$K$20,9)/30))</f>
        <v>18.395494055112337</v>
      </c>
      <c r="AE186" s="172">
        <f ca="1">(VLOOKUP(AE$72,INDIRECT($C$5&amp;"生成成长"),2))/((VLOOKUP($B186,INDIRECT($B$5&amp;"生成成长"),4))/(VLOOKUP(AE$72,INDIRECT($C$5&amp;"生成成长"),5))*(VLOOKUP($B$5,标准坦克设计!$B$24:$U$30,MATCH("对"&amp;LEFT($C$5,2)&amp;"输出",标准坦克设计!$B$23:$U$23,0)))*(VLOOKUP($B186,INDIRECT($B$5&amp;"生成成长"),3))*(VLOOKUP($B$5,标准坦克设计!$B$14:$K$20,9)/30))</f>
        <v>19.94067941834215</v>
      </c>
      <c r="AF186" s="172">
        <f ca="1">(VLOOKUP(AF$72,INDIRECT($C$5&amp;"生成成长"),2))/((VLOOKUP($B186,INDIRECT($B$5&amp;"生成成长"),4))/(VLOOKUP(AF$72,INDIRECT($C$5&amp;"生成成长"),5))*(VLOOKUP($B$5,标准坦克设计!$B$24:$U$30,MATCH("对"&amp;LEFT($C$5,2)&amp;"输出",标准坦克设计!$B$23:$U$23,0)))*(VLOOKUP($B186,INDIRECT($B$5&amp;"生成成长"),3))*(VLOOKUP($B$5,标准坦克设计!$B$14:$K$20,9)/30))</f>
        <v>21.548170642992517</v>
      </c>
      <c r="AG186" s="172">
        <f ca="1">(VLOOKUP(AG$72,INDIRECT($C$5&amp;"生成成长"),2))/((VLOOKUP($B186,INDIRECT($B$5&amp;"生成成长"),4))/(VLOOKUP(AG$72,INDIRECT($C$5&amp;"生成成长"),5))*(VLOOKUP($B$5,标准坦克设计!$B$24:$U$30,MATCH("对"&amp;LEFT($C$5,2)&amp;"输出",标准坦克设计!$B$23:$U$23,0)))*(VLOOKUP($B186,INDIRECT($B$5&amp;"生成成长"),3))*(VLOOKUP($B$5,标准坦克设计!$B$14:$K$20,9)/30))</f>
        <v>23.217967729063439</v>
      </c>
      <c r="AH186" s="172">
        <f ca="1">(VLOOKUP(AH$72,INDIRECT($C$5&amp;"生成成长"),2))/((VLOOKUP($B186,INDIRECT($B$5&amp;"生成成长"),4))/(VLOOKUP(AH$72,INDIRECT($C$5&amp;"生成成长"),5))*(VLOOKUP($B$5,标准坦克设计!$B$24:$U$30,MATCH("对"&amp;LEFT($C$5,2)&amp;"输出",标准坦克设计!$B$23:$U$23,0)))*(VLOOKUP($B186,INDIRECT($B$5&amp;"生成成长"),3))*(VLOOKUP($B$5,标准坦克设计!$B$14:$K$20,9)/30))</f>
        <v>24.950070676554926</v>
      </c>
      <c r="AI186" s="172">
        <f ca="1">(VLOOKUP(AI$72,INDIRECT($C$5&amp;"生成成长"),2))/((VLOOKUP($B186,INDIRECT($B$5&amp;"生成成长"),4))/(VLOOKUP(AI$72,INDIRECT($C$5&amp;"生成成长"),5))*(VLOOKUP($B$5,标准坦克设计!$B$24:$U$30,MATCH("对"&amp;LEFT($C$5,2)&amp;"输出",标准坦克设计!$B$23:$U$23,0)))*(VLOOKUP($B186,INDIRECT($B$5&amp;"生成成长"),3))*(VLOOKUP($B$5,标准坦克设计!$B$14:$K$20,9)/30))</f>
        <v>17.646266071530142</v>
      </c>
      <c r="AJ186" s="172">
        <f ca="1">(VLOOKUP(AJ$72,INDIRECT($C$5&amp;"生成成长"),2))/((VLOOKUP($B186,INDIRECT($B$5&amp;"生成成长"),4))/(VLOOKUP(AJ$72,INDIRECT($C$5&amp;"生成成长"),5))*(VLOOKUP($B$5,标准坦克设计!$B$24:$U$30,MATCH("对"&amp;LEFT($C$5,2)&amp;"输出",标准坦克设计!$B$23:$U$23,0)))*(VLOOKUP($B186,INDIRECT($B$5&amp;"生成成长"),3))*(VLOOKUP($B$5,标准坦克设计!$B$14:$K$20,9)/30))</f>
        <v>19.315128569679754</v>
      </c>
      <c r="AK186" s="172">
        <f ca="1">(VLOOKUP(AK$72,INDIRECT($C$5&amp;"生成成长"),2))/((VLOOKUP($B186,INDIRECT($B$5&amp;"生成成长"),4))/(VLOOKUP(AK$72,INDIRECT($C$5&amp;"生成成长"),5))*(VLOOKUP($B$5,标准坦克设计!$B$24:$U$30,MATCH("对"&amp;LEFT($C$5,2)&amp;"输出",标准坦克设计!$B$23:$U$23,0)))*(VLOOKUP($B186,INDIRECT($B$5&amp;"生成成长"),3))*(VLOOKUP($B$5,标准坦克设计!$B$14:$K$20,9)/30))</f>
        <v>21.059381160148245</v>
      </c>
      <c r="AL186" s="172">
        <f ca="1">(VLOOKUP(AL$72,INDIRECT($C$5&amp;"生成成长"),2))/((VLOOKUP($B186,INDIRECT($B$5&amp;"生成成长"),4))/(VLOOKUP(AL$72,INDIRECT($C$5&amp;"生成成长"),5))*(VLOOKUP($B$5,标准坦克设计!$B$24:$U$30,MATCH("对"&amp;LEFT($C$5,2)&amp;"输出",标准坦克设计!$B$23:$U$23,0)))*(VLOOKUP($B186,INDIRECT($B$5&amp;"生成成长"),3))*(VLOOKUP($B$5,标准坦克设计!$B$14:$K$20,9)/30))</f>
        <v>22.879023842935613</v>
      </c>
      <c r="AM186" s="172">
        <f ca="1">(VLOOKUP(AM$72,INDIRECT($C$5&amp;"生成成长"),2))/((VLOOKUP($B186,INDIRECT($B$5&amp;"生成成长"),4))/(VLOOKUP(AM$72,INDIRECT($C$5&amp;"生成成长"),5))*(VLOOKUP($B$5,标准坦克设计!$B$24:$U$30,MATCH("对"&amp;LEFT($C$5,2)&amp;"输出",标准坦克设计!$B$23:$U$23,0)))*(VLOOKUP($B186,INDIRECT($B$5&amp;"生成成长"),3))*(VLOOKUP($B$5,标准坦克设计!$B$14:$K$20,9)/30))</f>
        <v>24.77405661804185</v>
      </c>
      <c r="AN186" s="172">
        <f ca="1">(VLOOKUP(AN$72,INDIRECT($C$5&amp;"生成成长"),2))/((VLOOKUP($B186,INDIRECT($B$5&amp;"生成成长"),4))/(VLOOKUP(AN$72,INDIRECT($C$5&amp;"生成成长"),5))*(VLOOKUP($B$5,标准坦克设计!$B$24:$U$30,MATCH("对"&amp;LEFT($C$5,2)&amp;"输出",标准坦克设计!$B$23:$U$23,0)))*(VLOOKUP($B186,INDIRECT($B$5&amp;"生成成长"),3))*(VLOOKUP($B$5,标准坦克设计!$B$14:$K$20,9)/30))</f>
        <v>26.744479485466961</v>
      </c>
      <c r="AO186" s="172">
        <f ca="1">(VLOOKUP(AO$72,INDIRECT($C$5&amp;"生成成长"),2))/((VLOOKUP($B186,INDIRECT($B$5&amp;"生成成长"),4))/(VLOOKUP(AO$72,INDIRECT($C$5&amp;"生成成长"),5))*(VLOOKUP($B$5,标准坦克设计!$B$24:$U$30,MATCH("对"&amp;LEFT($C$5,2)&amp;"输出",标准坦克设计!$B$23:$U$23,0)))*(VLOOKUP($B186,INDIRECT($B$5&amp;"生成成长"),3))*(VLOOKUP($B$5,标准坦克设计!$B$14:$K$20,9)/30))</f>
        <v>28.790292445210952</v>
      </c>
      <c r="AP186" s="172">
        <f ca="1">(VLOOKUP(AP$72,INDIRECT($C$5&amp;"生成成长"),2))/((VLOOKUP($B186,INDIRECT($B$5&amp;"生成成长"),4))/(VLOOKUP(AP$72,INDIRECT($C$5&amp;"生成成长"),5))*(VLOOKUP($B$5,标准坦克设计!$B$24:$U$30,MATCH("对"&amp;LEFT($C$5,2)&amp;"输出",标准坦克设计!$B$23:$U$23,0)))*(VLOOKUP($B186,INDIRECT($B$5&amp;"生成成长"),3))*(VLOOKUP($B$5,标准坦克设计!$B$14:$K$20,9)/30))</f>
        <v>30.911495497273819</v>
      </c>
      <c r="AQ186" s="172">
        <f ca="1">(VLOOKUP(AQ$72,INDIRECT($C$5&amp;"生成成长"),2))/((VLOOKUP($B186,INDIRECT($B$5&amp;"生成成长"),4))/(VLOOKUP(AQ$72,INDIRECT($C$5&amp;"生成成长"),5))*(VLOOKUP($B$5,标准坦克设计!$B$24:$U$30,MATCH("对"&amp;LEFT($C$5,2)&amp;"输出",标准坦克设计!$B$23:$U$23,0)))*(VLOOKUP($B186,INDIRECT($B$5&amp;"生成成长"),3))*(VLOOKUP($B$5,标准坦克设计!$B$14:$K$20,9)/30))</f>
        <v>33.108088641655549</v>
      </c>
      <c r="AR186" s="172">
        <f ca="1">(VLOOKUP(AR$72,INDIRECT($C$5&amp;"生成成长"),2))/((VLOOKUP($B186,INDIRECT($B$5&amp;"生成成长"),4))/(VLOOKUP(AR$72,INDIRECT($C$5&amp;"生成成长"),5))*(VLOOKUP($B$5,标准坦克设计!$B$24:$U$30,MATCH("对"&amp;LEFT($C$5,2)&amp;"输出",标准坦克设计!$B$23:$U$23,0)))*(VLOOKUP($B186,INDIRECT($B$5&amp;"生成成长"),3))*(VLOOKUP($B$5,标准坦克设计!$B$14:$K$20,9)/30))</f>
        <v>35.380071878356155</v>
      </c>
      <c r="AS186" s="172">
        <f ca="1">(VLOOKUP(AS$72,INDIRECT($C$5&amp;"生成成长"),2))/((VLOOKUP($B186,INDIRECT($B$5&amp;"生成成长"),4))/(VLOOKUP(AS$72,INDIRECT($C$5&amp;"生成成长"),5))*(VLOOKUP($B$5,标准坦克设计!$B$24:$U$30,MATCH("对"&amp;LEFT($C$5,2)&amp;"输出",标准坦克设计!$B$23:$U$23,0)))*(VLOOKUP($B186,INDIRECT($B$5&amp;"生成成长"),3))*(VLOOKUP($B$5,标准坦克设计!$B$14:$K$20,9)/30))</f>
        <v>37.727445207375638</v>
      </c>
      <c r="AT186" s="172">
        <f ca="1">(VLOOKUP(AT$72,INDIRECT($C$5&amp;"生成成长"),2))/((VLOOKUP($B186,INDIRECT($B$5&amp;"生成成长"),4))/(VLOOKUP(AT$72,INDIRECT($C$5&amp;"生成成长"),5))*(VLOOKUP($B$5,标准坦克设计!$B$24:$U$30,MATCH("对"&amp;LEFT($C$5,2)&amp;"输出",标准坦克设计!$B$23:$U$23,0)))*(VLOOKUP($B186,INDIRECT($B$5&amp;"生成成长"),3))*(VLOOKUP($B$5,标准坦克设计!$B$14:$K$20,9)/30))</f>
        <v>40.150208628713997</v>
      </c>
      <c r="AU186" s="172">
        <f ca="1">(VLOOKUP(AU$72,INDIRECT($C$5&amp;"生成成长"),2))/((VLOOKUP($B186,INDIRECT($B$5&amp;"生成成长"),4))/(VLOOKUP(AU$72,INDIRECT($C$5&amp;"生成成长"),5))*(VLOOKUP($B$5,标准坦克设计!$B$24:$U$30,MATCH("对"&amp;LEFT($C$5,2)&amp;"输出",标准坦克设计!$B$23:$U$23,0)))*(VLOOKUP($B186,INDIRECT($B$5&amp;"生成成长"),3))*(VLOOKUP($B$5,标准坦克设计!$B$14:$K$20,9)/30))</f>
        <v>42.648362142371226</v>
      </c>
      <c r="AV186" s="172">
        <f ca="1">(VLOOKUP(AV$72,INDIRECT($C$5&amp;"生成成长"),2))/((VLOOKUP($B186,INDIRECT($B$5&amp;"生成成长"),4))/(VLOOKUP(AV$72,INDIRECT($C$5&amp;"生成成长"),5))*(VLOOKUP($B$5,标准坦克设计!$B$24:$U$30,MATCH("对"&amp;LEFT($C$5,2)&amp;"输出",标准坦克设计!$B$23:$U$23,0)))*(VLOOKUP($B186,INDIRECT($B$5&amp;"生成成长"),3))*(VLOOKUP($B$5,标准坦克设计!$B$14:$K$20,9)/30))</f>
        <v>4.3377340720991748</v>
      </c>
      <c r="AW186" s="172">
        <f ca="1">(VLOOKUP(AW$72,INDIRECT($C$5&amp;"生成成长"),2))/((VLOOKUP($B186,INDIRECT($B$5&amp;"生成成长"),4))/(VLOOKUP(AW$72,INDIRECT($C$5&amp;"生成成长"),5))*(VLOOKUP($B$5,标准坦克设计!$B$24:$U$30,MATCH("对"&amp;LEFT($C$5,2)&amp;"输出",标准坦克设计!$B$23:$U$23,0)))*(VLOOKUP($B186,INDIRECT($B$5&amp;"生成成长"),3))*(VLOOKUP($B$5,标准坦克设计!$B$14:$K$20,9)/30))</f>
        <v>4.9458392795638106</v>
      </c>
      <c r="AX186" s="172">
        <f ca="1">(VLOOKUP(AX$72,INDIRECT($C$5&amp;"生成成长"),2))/((VLOOKUP($B186,INDIRECT($B$5&amp;"生成成长"),4))/(VLOOKUP(AX$72,INDIRECT($C$5&amp;"生成成长"),5))*(VLOOKUP($B$5,标准坦克设计!$B$24:$U$30,MATCH("对"&amp;LEFT($C$5,2)&amp;"输出",标准坦克设计!$B$23:$U$23,0)))*(VLOOKUP($B186,INDIRECT($B$5&amp;"生成成长"),3))*(VLOOKUP($B$5,标准坦克设计!$B$14:$K$20,9)/30))</f>
        <v>5.593820238337603</v>
      </c>
      <c r="AY186" s="172">
        <f ca="1">(VLOOKUP(AY$72,INDIRECT($C$5&amp;"生成成长"),2))/((VLOOKUP($B186,INDIRECT($B$5&amp;"生成成长"),4))/(VLOOKUP(AY$72,INDIRECT($C$5&amp;"生成成长"),5))*(VLOOKUP($B$5,标准坦克设计!$B$24:$U$30,MATCH("对"&amp;LEFT($C$5,2)&amp;"输出",标准坦克设计!$B$23:$U$23,0)))*(VLOOKUP($B186,INDIRECT($B$5&amp;"生成成长"),3))*(VLOOKUP($B$5,标准坦克设计!$B$14:$K$20,9)/30))</f>
        <v>6.281676948420551</v>
      </c>
      <c r="AZ186" s="172">
        <f ca="1">(VLOOKUP(AZ$72,INDIRECT($C$5&amp;"生成成长"),2))/((VLOOKUP($B186,INDIRECT($B$5&amp;"生成成长"),4))/(VLOOKUP(AZ$72,INDIRECT($C$5&amp;"生成成长"),5))*(VLOOKUP($B$5,标准坦克设计!$B$24:$U$30,MATCH("对"&amp;LEFT($C$5,2)&amp;"输出",标准坦克设计!$B$23:$U$23,0)))*(VLOOKUP($B186,INDIRECT($B$5&amp;"生成成长"),3))*(VLOOKUP($B$5,标准坦克设计!$B$14:$K$20,9)/30))</f>
        <v>7.0094094098126556</v>
      </c>
      <c r="BA186" s="172">
        <f ca="1">(VLOOKUP(BA$72,INDIRECT($C$5&amp;"生成成长"),2))/((VLOOKUP($B186,INDIRECT($B$5&amp;"生成成长"),4))/(VLOOKUP(BA$72,INDIRECT($C$5&amp;"生成成长"),5))*(VLOOKUP($B$5,标准坦克设计!$B$24:$U$30,MATCH("对"&amp;LEFT($C$5,2)&amp;"输出",标准坦克设计!$B$23:$U$23,0)))*(VLOOKUP($B186,INDIRECT($B$5&amp;"生成成长"),3))*(VLOOKUP($B$5,标准坦克设计!$B$14:$K$20,9)/30))</f>
        <v>7.7770176225139167</v>
      </c>
      <c r="BB186" s="172">
        <f ca="1">(VLOOKUP(BB$72,INDIRECT($C$5&amp;"生成成长"),2))/((VLOOKUP($B186,INDIRECT($B$5&amp;"生成成长"),4))/(VLOOKUP(BB$72,INDIRECT($C$5&amp;"生成成长"),5))*(VLOOKUP($B$5,标准坦克设计!$B$24:$U$30,MATCH("对"&amp;LEFT($C$5,2)&amp;"输出",标准坦克设计!$B$23:$U$23,0)))*(VLOOKUP($B186,INDIRECT($B$5&amp;"生成成长"),3))*(VLOOKUP($B$5,标准坦克设计!$B$14:$K$20,9)/30))</f>
        <v>8.5845015865243361</v>
      </c>
      <c r="BC186" s="172">
        <f ca="1">(VLOOKUP(BC$72,INDIRECT($C$5&amp;"生成成长"),2))/((VLOOKUP($B186,INDIRECT($B$5&amp;"生成成长"),4))/(VLOOKUP(BC$72,INDIRECT($C$5&amp;"生成成长"),5))*(VLOOKUP($B$5,标准坦克设计!$B$24:$U$30,MATCH("对"&amp;LEFT($C$5,2)&amp;"输出",标准坦克设计!$B$23:$U$23,0)))*(VLOOKUP($B186,INDIRECT($B$5&amp;"生成成长"),3))*(VLOOKUP($B$5,标准坦克设计!$B$14:$K$20,9)/30))</f>
        <v>9.4318613018439095</v>
      </c>
      <c r="BD186" s="172">
        <f ca="1">(VLOOKUP(BD$72,INDIRECT($C$5&amp;"生成成长"),2))/((VLOOKUP($B186,INDIRECT($B$5&amp;"生成成长"),4))/(VLOOKUP(BD$72,INDIRECT($C$5&amp;"生成成长"),5))*(VLOOKUP($B$5,标准坦克设计!$B$24:$U$30,MATCH("对"&amp;LEFT($C$5,2)&amp;"输出",标准坦克设计!$B$23:$U$23,0)))*(VLOOKUP($B186,INDIRECT($B$5&amp;"生成成长"),3))*(VLOOKUP($B$5,标准坦克设计!$B$14:$K$20,9)/30))</f>
        <v>10.432804965565156</v>
      </c>
      <c r="BE186" s="172">
        <f ca="1">(VLOOKUP(BE$72,INDIRECT($C$5&amp;"生成成长"),2))/((VLOOKUP($B186,INDIRECT($B$5&amp;"生成成长"),4))/(VLOOKUP(BE$72,INDIRECT($C$5&amp;"生成成长"),5))*(VLOOKUP($B$5,标准坦克设计!$B$24:$U$30,MATCH("对"&amp;LEFT($C$5,2)&amp;"输出",标准坦克设计!$B$23:$U$23,0)))*(VLOOKUP($B186,INDIRECT($B$5&amp;"生成成长"),3))*(VLOOKUP($B$5,标准坦克设计!$B$14:$K$20,9)/30))</f>
        <v>11.484216377037056</v>
      </c>
      <c r="BF186" s="172">
        <f ca="1">(VLOOKUP(BF$72,INDIRECT($C$5&amp;"生成成长"),2))/((VLOOKUP($B186,INDIRECT($B$5&amp;"生成成长"),4))/(VLOOKUP(BF$72,INDIRECT($C$5&amp;"生成成长"),5))*(VLOOKUP($B$5,标准坦克设计!$B$24:$U$30,MATCH("对"&amp;LEFT($C$5,2)&amp;"输出",标准坦克设计!$B$23:$U$23,0)))*(VLOOKUP($B186,INDIRECT($B$5&amp;"生成成长"),3))*(VLOOKUP($B$5,标准坦克设计!$B$14:$K$20,9)/30))</f>
        <v>12.586095536259606</v>
      </c>
      <c r="BG186" s="172">
        <f ca="1">(VLOOKUP(BG$72,INDIRECT($C$5&amp;"生成成长"),2))/((VLOOKUP($B186,INDIRECT($B$5&amp;"生成成长"),4))/(VLOOKUP(BG$72,INDIRECT($C$5&amp;"生成成长"),5))*(VLOOKUP($B$5,标准坦克设计!$B$24:$U$30,MATCH("对"&amp;LEFT($C$5,2)&amp;"输出",标准坦克设计!$B$23:$U$23,0)))*(VLOOKUP($B186,INDIRECT($B$5&amp;"生成成长"),3))*(VLOOKUP($B$5,标准坦克设计!$B$14:$K$20,9)/30))</f>
        <v>13.738442443232806</v>
      </c>
      <c r="BH186" s="172">
        <f ca="1">(VLOOKUP(BH$72,INDIRECT($C$5&amp;"生成成长"),2))/((VLOOKUP($B186,INDIRECT($B$5&amp;"生成成长"),4))/(VLOOKUP(BH$72,INDIRECT($C$5&amp;"生成成长"),5))*(VLOOKUP($B$5,标准坦克设计!$B$24:$U$30,MATCH("对"&amp;LEFT($C$5,2)&amp;"输出",标准坦克设计!$B$23:$U$23,0)))*(VLOOKUP($B186,INDIRECT($B$5&amp;"生成成长"),3))*(VLOOKUP($B$5,标准坦克设计!$B$14:$K$20,9)/30))</f>
        <v>6.64055871020296</v>
      </c>
      <c r="BI186" s="172">
        <f ca="1">(VLOOKUP(BI$72,INDIRECT($C$5&amp;"生成成长"),2))/((VLOOKUP($B186,INDIRECT($B$5&amp;"生成成长"),4))/(VLOOKUP(BI$72,INDIRECT($C$5&amp;"生成成长"),5))*(VLOOKUP($B$5,标准坦克设计!$B$24:$U$30,MATCH("对"&amp;LEFT($C$5,2)&amp;"输出",标准坦克设计!$B$23:$U$23,0)))*(VLOOKUP($B186,INDIRECT($B$5&amp;"生成成长"),3))*(VLOOKUP($B$5,标准坦克设计!$B$14:$K$20,9)/30))</f>
        <v>7.484491603144404</v>
      </c>
      <c r="BJ186" s="172">
        <f ca="1">(VLOOKUP(BJ$72,INDIRECT($C$5&amp;"生成成长"),2))/((VLOOKUP($B186,INDIRECT($B$5&amp;"生成成长"),4))/(VLOOKUP(BJ$72,INDIRECT($C$5&amp;"生成成长"),5))*(VLOOKUP($B$5,标准坦克设计!$B$24:$U$30,MATCH("对"&amp;LEFT($C$5,2)&amp;"输出",标准坦克设计!$B$23:$U$23,0)))*(VLOOKUP($B186,INDIRECT($B$5&amp;"生成成长"),3))*(VLOOKUP($B$5,标准坦克设计!$B$14:$K$20,9)/30))</f>
        <v>8.3788922438364981</v>
      </c>
      <c r="BK186" s="172">
        <f ca="1">(VLOOKUP(BK$72,INDIRECT($C$5&amp;"生成成长"),2))/((VLOOKUP($B186,INDIRECT($B$5&amp;"生成成长"),4))/(VLOOKUP(BK$72,INDIRECT($C$5&amp;"生成成长"),5))*(VLOOKUP($B$5,标准坦克设计!$B$24:$U$30,MATCH("对"&amp;LEFT($C$5,2)&amp;"输出",标准坦克设计!$B$23:$U$23,0)))*(VLOOKUP($B186,INDIRECT($B$5&amp;"生成成长"),3))*(VLOOKUP($B$5,标准坦克设计!$B$14:$K$20,9)/30))</f>
        <v>9.3237606322792459</v>
      </c>
      <c r="BL186" s="172">
        <f ca="1">(VLOOKUP(BL$72,INDIRECT($C$5&amp;"生成成长"),2))/((VLOOKUP($B186,INDIRECT($B$5&amp;"生成成长"),4))/(VLOOKUP(BL$72,INDIRECT($C$5&amp;"生成成长"),5))*(VLOOKUP($B$5,标准坦克设计!$B$24:$U$30,MATCH("对"&amp;LEFT($C$5,2)&amp;"输出",标准坦克设计!$B$23:$U$23,0)))*(VLOOKUP($B186,INDIRECT($B$5&amp;"生成成长"),3))*(VLOOKUP($B$5,标准坦克设计!$B$14:$K$20,9)/30))</f>
        <v>10.31909676847264</v>
      </c>
      <c r="BM186" s="172">
        <f ca="1">(VLOOKUP(BM$72,INDIRECT($C$5&amp;"生成成长"),2))/((VLOOKUP($B186,INDIRECT($B$5&amp;"生成成长"),4))/(VLOOKUP(BM$72,INDIRECT($C$5&amp;"生成成长"),5))*(VLOOKUP($B$5,标准坦克设计!$B$24:$U$30,MATCH("对"&amp;LEFT($C$5,2)&amp;"输出",标准坦克设计!$B$23:$U$23,0)))*(VLOOKUP($B186,INDIRECT($B$5&amp;"生成成长"),3))*(VLOOKUP($B$5,标准坦克设计!$B$14:$K$20,9)/30))</f>
        <v>11.364900652416688</v>
      </c>
      <c r="BN186" s="172">
        <f ca="1">(VLOOKUP(BN$72,INDIRECT($C$5&amp;"生成成长"),2))/((VLOOKUP($B186,INDIRECT($B$5&amp;"生成成长"),4))/(VLOOKUP(BN$72,INDIRECT($C$5&amp;"生成成长"),5))*(VLOOKUP($B$5,标准坦克设计!$B$24:$U$30,MATCH("对"&amp;LEFT($C$5,2)&amp;"输出",标准坦克设计!$B$23:$U$23,0)))*(VLOOKUP($B186,INDIRECT($B$5&amp;"生成成长"),3))*(VLOOKUP($B$5,标准坦克设计!$B$14:$K$20,9)/30))</f>
        <v>12.461172284111392</v>
      </c>
      <c r="BO186" s="172">
        <f ca="1">(VLOOKUP(BO$72,INDIRECT($C$5&amp;"生成成长"),2))/((VLOOKUP($B186,INDIRECT($B$5&amp;"生成成长"),4))/(VLOOKUP(BO$72,INDIRECT($C$5&amp;"生成成长"),5))*(VLOOKUP($B$5,标准坦克设计!$B$24:$U$30,MATCH("对"&amp;LEFT($C$5,2)&amp;"输出",标准坦克设计!$B$23:$U$23,0)))*(VLOOKUP($B186,INDIRECT($B$5&amp;"生成成长"),3))*(VLOOKUP($B$5,标准坦克设计!$B$14:$K$20,9)/30))</f>
        <v>13.607911663556742</v>
      </c>
      <c r="BP186" s="172">
        <f ca="1">(VLOOKUP(BP$72,INDIRECT($C$5&amp;"生成成长"),2))/((VLOOKUP($B186,INDIRECT($B$5&amp;"生成成长"),4))/(VLOOKUP(BP$72,INDIRECT($C$5&amp;"生成成长"),5))*(VLOOKUP($B$5,标准坦克设计!$B$24:$U$30,MATCH("对"&amp;LEFT($C$5,2)&amp;"输出",标准坦克设计!$B$23:$U$23,0)))*(VLOOKUP($B186,INDIRECT($B$5&amp;"生成成长"),3))*(VLOOKUP($B$5,标准坦克设计!$B$14:$K$20,9)/30))</f>
        <v>14.805118790752742</v>
      </c>
      <c r="BQ186" s="172">
        <f ca="1">(VLOOKUP(BQ$72,INDIRECT($C$5&amp;"生成成长"),2))/((VLOOKUP($B186,INDIRECT($B$5&amp;"生成成长"),4))/(VLOOKUP(BQ$72,INDIRECT($C$5&amp;"生成成长"),5))*(VLOOKUP($B$5,标准坦克设计!$B$24:$U$30,MATCH("对"&amp;LEFT($C$5,2)&amp;"输出",标准坦克设计!$B$23:$U$23,0)))*(VLOOKUP($B186,INDIRECT($B$5&amp;"生成成长"),3))*(VLOOKUP($B$5,标准坦克设计!$B$14:$K$20,9)/30))</f>
        <v>16.052793665699397</v>
      </c>
      <c r="BR186" s="172">
        <f ca="1">(VLOOKUP(BR$72,INDIRECT($C$5&amp;"生成成长"),2))/((VLOOKUP($B186,INDIRECT($B$5&amp;"生成成长"),4))/(VLOOKUP(BR$72,INDIRECT($C$5&amp;"生成成长"),5))*(VLOOKUP($B$5,标准坦克设计!$B$24:$U$30,MATCH("对"&amp;LEFT($C$5,2)&amp;"输出",标准坦克设计!$B$23:$U$23,0)))*(VLOOKUP($B186,INDIRECT($B$5&amp;"生成成长"),3))*(VLOOKUP($B$5,标准坦克设计!$B$14:$K$20,9)/30))</f>
        <v>17.498289650656314</v>
      </c>
      <c r="BS186" s="172">
        <f ca="1">(VLOOKUP(BS$72,INDIRECT($C$5&amp;"生成成长"),2))/((VLOOKUP($B186,INDIRECT($B$5&amp;"生成成长"),4))/(VLOOKUP(BS$72,INDIRECT($C$5&amp;"生成成长"),5))*(VLOOKUP($B$5,标准坦克设计!$B$24:$U$30,MATCH("对"&amp;LEFT($C$5,2)&amp;"输出",标准坦克设计!$B$23:$U$23,0)))*(VLOOKUP($B186,INDIRECT($B$5&amp;"生成成长"),3))*(VLOOKUP($B$5,标准坦克设计!$B$14:$K$20,9)/30))</f>
        <v>19.00609149703379</v>
      </c>
      <c r="BT186" s="172">
        <f ca="1">(VLOOKUP(BT$72,INDIRECT($C$5&amp;"生成成长"),2))/((VLOOKUP($B186,INDIRECT($B$5&amp;"生成成长"),4))/(VLOOKUP(BT$72,INDIRECT($C$5&amp;"生成成长"),5))*(VLOOKUP($B$5,标准坦克设计!$B$24:$U$30,MATCH("对"&amp;LEFT($C$5,2)&amp;"输出",标准坦克设计!$B$23:$U$23,0)))*(VLOOKUP($B186,INDIRECT($B$5&amp;"生成成长"),3))*(VLOOKUP($B$5,标准坦克设计!$B$14:$K$20,9)/30))</f>
        <v>20.576199204831827</v>
      </c>
      <c r="BU186" s="172">
        <f ca="1">(VLOOKUP(BU$72,INDIRECT($C$5&amp;"生成成长"),2))/((VLOOKUP($B186,INDIRECT($B$5&amp;"生成成长"),4))/(VLOOKUP(BU$72,INDIRECT($C$5&amp;"生成成长"),5))*(VLOOKUP($B$5,标准坦克设计!$B$24:$U$30,MATCH("对"&amp;LEFT($C$5,2)&amp;"输出",标准坦克设计!$B$23:$U$23,0)))*(VLOOKUP($B186,INDIRECT($B$5&amp;"生成成长"),3))*(VLOOKUP($B$5,标准坦克设计!$B$14:$K$20,9)/30))</f>
        <v>22.208612774050422</v>
      </c>
      <c r="BV186" s="172">
        <f ca="1">(VLOOKUP(BV$72,INDIRECT($C$5&amp;"生成成长"),2))/((VLOOKUP($B186,INDIRECT($B$5&amp;"生成成长"),4))/(VLOOKUP(BV$72,INDIRECT($C$5&amp;"生成成长"),5))*(VLOOKUP($B$5,标准坦克设计!$B$24:$U$30,MATCH("对"&amp;LEFT($C$5,2)&amp;"输出",标准坦克设计!$B$23:$U$23,0)))*(VLOOKUP($B186,INDIRECT($B$5&amp;"生成成长"),3))*(VLOOKUP($B$5,标准坦克设计!$B$14:$K$20,9)/30))</f>
        <v>23.903332204689569</v>
      </c>
      <c r="BW186" s="172">
        <f ca="1">(VLOOKUP(BW$72,INDIRECT($C$5&amp;"生成成长"),2))/((VLOOKUP($B186,INDIRECT($B$5&amp;"生成成长"),4))/(VLOOKUP(BW$72,INDIRECT($C$5&amp;"生成成长"),5))*(VLOOKUP($B$5,标准坦克设计!$B$24:$U$30,MATCH("对"&amp;LEFT($C$5,2)&amp;"输出",标准坦克设计!$B$23:$U$23,0)))*(VLOOKUP($B186,INDIRECT($B$5&amp;"生成成长"),3))*(VLOOKUP($B$5,标准坦克设计!$B$14:$K$20,9)/30))</f>
        <v>10.89386834007728</v>
      </c>
      <c r="BX186" s="172">
        <f ca="1">(VLOOKUP(BX$72,INDIRECT($C$5&amp;"生成成长"),2))/((VLOOKUP($B186,INDIRECT($B$5&amp;"生成成长"),4))/(VLOOKUP(BX$72,INDIRECT($C$5&amp;"生成成长"),5))*(VLOOKUP($B$5,标准坦克设计!$B$24:$U$30,MATCH("对"&amp;LEFT($C$5,2)&amp;"输出",标准坦克设计!$B$23:$U$23,0)))*(VLOOKUP($B186,INDIRECT($B$5&amp;"生成成长"),3))*(VLOOKUP($B$5,标准坦克设计!$B$14:$K$20,9)/30))</f>
        <v>12.090140879351971</v>
      </c>
      <c r="BY186" s="172">
        <f ca="1">(VLOOKUP(BY$72,INDIRECT($C$5&amp;"生成成长"),2))/((VLOOKUP($B186,INDIRECT($B$5&amp;"生成成长"),4))/(VLOOKUP(BY$72,INDIRECT($C$5&amp;"生成成长"),5))*(VLOOKUP($B$5,标准坦克设计!$B$24:$U$30,MATCH("对"&amp;LEFT($C$5,2)&amp;"输出",标准坦克设计!$B$23:$U$23,0)))*(VLOOKUP($B186,INDIRECT($B$5&amp;"生成成长"),3))*(VLOOKUP($B$5,标准坦克设计!$B$14:$K$20,9)/30))</f>
        <v>13.348719280047222</v>
      </c>
      <c r="BZ186" s="172">
        <f ca="1">(VLOOKUP(BZ$72,INDIRECT($C$5&amp;"生成成长"),2))/((VLOOKUP($B186,INDIRECT($B$5&amp;"生成成长"),4))/(VLOOKUP(BZ$72,INDIRECT($C$5&amp;"生成成长"),5))*(VLOOKUP($B$5,标准坦克设计!$B$24:$U$30,MATCH("对"&amp;LEFT($C$5,2)&amp;"输出",标准坦克设计!$B$23:$U$23,0)))*(VLOOKUP($B186,INDIRECT($B$5&amp;"生成成长"),3))*(VLOOKUP($B$5,标准坦克设计!$B$14:$K$20,9)/30))</f>
        <v>14.669603542163031</v>
      </c>
      <c r="CA186" s="172">
        <f ca="1">(VLOOKUP(CA$72,INDIRECT($C$5&amp;"生成成长"),2))/((VLOOKUP($B186,INDIRECT($B$5&amp;"生成成长"),4))/(VLOOKUP(CA$72,INDIRECT($C$5&amp;"生成成长"),5))*(VLOOKUP($B$5,标准坦克设计!$B$24:$U$30,MATCH("对"&amp;LEFT($C$5,2)&amp;"输出",标准坦克设计!$B$23:$U$23,0)))*(VLOOKUP($B186,INDIRECT($B$5&amp;"生成成长"),3))*(VLOOKUP($B$5,标准坦克设计!$B$14:$K$20,9)/30))</f>
        <v>16.052793665699397</v>
      </c>
      <c r="CB186" s="172">
        <f ca="1">(VLOOKUP(CB$72,INDIRECT($C$5&amp;"生成成长"),2))/((VLOOKUP($B186,INDIRECT($B$5&amp;"生成成长"),4))/(VLOOKUP(CB$72,INDIRECT($C$5&amp;"生成成长"),5))*(VLOOKUP($B$5,标准坦克设计!$B$24:$U$30,MATCH("对"&amp;LEFT($C$5,2)&amp;"输出",标准坦克设计!$B$23:$U$23,0)))*(VLOOKUP($B186,INDIRECT($B$5&amp;"生成成长"),3))*(VLOOKUP($B$5,标准坦克设计!$B$14:$K$20,9)/30))</f>
        <v>17.498289650656314</v>
      </c>
      <c r="CC186" s="172">
        <f ca="1">(VLOOKUP(CC$72,INDIRECT($C$5&amp;"生成成长"),2))/((VLOOKUP($B186,INDIRECT($B$5&amp;"生成成长"),4))/(VLOOKUP(CC$72,INDIRECT($C$5&amp;"生成成长"),5))*(VLOOKUP($B$5,标准坦克设计!$B$24:$U$30,MATCH("对"&amp;LEFT($C$5,2)&amp;"输出",标准坦克设计!$B$23:$U$23,0)))*(VLOOKUP($B186,INDIRECT($B$5&amp;"生成成长"),3))*(VLOOKUP($B$5,标准坦克设计!$B$14:$K$20,9)/30))</f>
        <v>19.00609149703379</v>
      </c>
      <c r="CD186" s="172">
        <f ca="1">(VLOOKUP(CD$72,INDIRECT($C$5&amp;"生成成长"),2))/((VLOOKUP($B186,INDIRECT($B$5&amp;"生成成长"),4))/(VLOOKUP(CD$72,INDIRECT($C$5&amp;"生成成长"),5))*(VLOOKUP($B$5,标准坦克设计!$B$24:$U$30,MATCH("对"&amp;LEFT($C$5,2)&amp;"输出",标准坦克设计!$B$23:$U$23,0)))*(VLOOKUP($B186,INDIRECT($B$5&amp;"生成成长"),3))*(VLOOKUP($B$5,标准坦克设计!$B$14:$K$20,9)/30))</f>
        <v>20.576199204831827</v>
      </c>
      <c r="CE186" s="172">
        <f ca="1">(VLOOKUP(CE$72,INDIRECT($C$5&amp;"生成成长"),2))/((VLOOKUP($B186,INDIRECT($B$5&amp;"生成成长"),4))/(VLOOKUP(CE$72,INDIRECT($C$5&amp;"生成成长"),5))*(VLOOKUP($B$5,标准坦克设计!$B$24:$U$30,MATCH("对"&amp;LEFT($C$5,2)&amp;"输出",标准坦克设计!$B$23:$U$23,0)))*(VLOOKUP($B186,INDIRECT($B$5&amp;"生成成长"),3))*(VLOOKUP($B$5,标准坦克设计!$B$14:$K$20,9)/30))</f>
        <v>22.208612774050422</v>
      </c>
      <c r="CF186" s="172">
        <f ca="1">(VLOOKUP(CF$72,INDIRECT($C$5&amp;"生成成长"),2))/((VLOOKUP($B186,INDIRECT($B$5&amp;"生成成长"),4))/(VLOOKUP(CF$72,INDIRECT($C$5&amp;"生成成长"),5))*(VLOOKUP($B$5,标准坦克设计!$B$24:$U$30,MATCH("对"&amp;LEFT($C$5,2)&amp;"输出",标准坦克设计!$B$23:$U$23,0)))*(VLOOKUP($B186,INDIRECT($B$5&amp;"生成成长"),3))*(VLOOKUP($B$5,标准坦克设计!$B$14:$K$20,9)/30))</f>
        <v>23.903332204689569</v>
      </c>
      <c r="CG186" s="172">
        <f ca="1">(VLOOKUP(CG$72,INDIRECT($C$5&amp;"生成成长"),2))/((VLOOKUP($B186,INDIRECT($B$5&amp;"生成成长"),4))/(VLOOKUP(CG$72,INDIRECT($C$5&amp;"生成成长"),5))*(VLOOKUP($B$5,标准坦克设计!$B$24:$U$30,MATCH("对"&amp;LEFT($C$5,2)&amp;"输出",标准坦克设计!$B$23:$U$23,0)))*(VLOOKUP($B186,INDIRECT($B$5&amp;"生成成长"),3))*(VLOOKUP($B$5,标准坦克设计!$B$14:$K$20,9)/30))</f>
        <v>25.660357496749274</v>
      </c>
      <c r="CH186" s="172">
        <f ca="1">(VLOOKUP(CH$72,INDIRECT($C$5&amp;"生成成长"),2))/((VLOOKUP($B186,INDIRECT($B$5&amp;"生成成长"),4))/(VLOOKUP(CH$72,INDIRECT($C$5&amp;"生成成长"),5))*(VLOOKUP($B$5,标准坦克设计!$B$24:$U$30,MATCH("对"&amp;LEFT($C$5,2)&amp;"输出",标准坦克设计!$B$23:$U$23,0)))*(VLOOKUP($B186,INDIRECT($B$5&amp;"生成成长"),3))*(VLOOKUP($B$5,标准坦克设计!$B$14:$K$20,9)/30))</f>
        <v>27.479688650229534</v>
      </c>
      <c r="CI186" s="172">
        <f ca="1">(VLOOKUP(CI$72,INDIRECT($C$5&amp;"生成成长"),2))/((VLOOKUP($B186,INDIRECT($B$5&amp;"生成成长"),4))/(VLOOKUP(CI$72,INDIRECT($C$5&amp;"生成成长"),5))*(VLOOKUP($B$5,标准坦克设计!$B$24:$U$30,MATCH("对"&amp;LEFT($C$5,2)&amp;"输出",标准坦克设计!$B$23:$U$23,0)))*(VLOOKUP($B186,INDIRECT($B$5&amp;"生成成长"),3))*(VLOOKUP($B$5,标准坦克设计!$B$14:$K$20,9)/30))</f>
        <v>29.552916188998569</v>
      </c>
      <c r="CJ186" s="172">
        <f ca="1">(VLOOKUP(CJ$72,INDIRECT($C$5&amp;"生成成长"),2))/((VLOOKUP($B186,INDIRECT($B$5&amp;"生成成长"),4))/(VLOOKUP(CJ$72,INDIRECT($C$5&amp;"生成成长"),5))*(VLOOKUP($B$5,标准坦克设计!$B$24:$U$30,MATCH("对"&amp;LEFT($C$5,2)&amp;"输出",标准坦克设计!$B$23:$U$23,0)))*(VLOOKUP($B186,INDIRECT($B$5&amp;"生成成长"),3))*(VLOOKUP($B$5,标准坦克设计!$B$14:$K$20,9)/30))</f>
        <v>31.701533820086482</v>
      </c>
      <c r="CK186" s="172">
        <f ca="1">(VLOOKUP(CK$72,INDIRECT($C$5&amp;"生成成长"),2))/((VLOOKUP($B186,INDIRECT($B$5&amp;"生成成长"),4))/(VLOOKUP(CK$72,INDIRECT($C$5&amp;"生成成长"),5))*(VLOOKUP($B$5,标准坦克设计!$B$24:$U$30,MATCH("对"&amp;LEFT($C$5,2)&amp;"输出",标准坦克设计!$B$23:$U$23,0)))*(VLOOKUP($B186,INDIRECT($B$5&amp;"生成成长"),3))*(VLOOKUP($B$5,标准坦克设计!$B$14:$K$20,9)/30))</f>
        <v>33.925541543493253</v>
      </c>
      <c r="CL186" s="172">
        <f ca="1">(VLOOKUP(CL$72,INDIRECT($C$5&amp;"生成成长"),2))/((VLOOKUP($B186,INDIRECT($B$5&amp;"生成成长"),4))/(VLOOKUP(CL$72,INDIRECT($C$5&amp;"生成成长"),5))*(VLOOKUP($B$5,标准坦克设计!$B$24:$U$30,MATCH("对"&amp;LEFT($C$5,2)&amp;"输出",标准坦克设计!$B$23:$U$23,0)))*(VLOOKUP($B186,INDIRECT($B$5&amp;"生成成长"),3))*(VLOOKUP($B$5,标准坦克设计!$B$14:$K$20,9)/30))</f>
        <v>36.224939359218908</v>
      </c>
      <c r="CM186" s="172">
        <f ca="1">(VLOOKUP(CM$72,INDIRECT($C$5&amp;"生成成长"),2))/((VLOOKUP($B186,INDIRECT($B$5&amp;"生成成长"),4))/(VLOOKUP(CM$72,INDIRECT($C$5&amp;"生成成长"),5))*(VLOOKUP($B$5,标准坦克设计!$B$24:$U$30,MATCH("对"&amp;LEFT($C$5,2)&amp;"输出",标准坦克设计!$B$23:$U$23,0)))*(VLOOKUP($B186,INDIRECT($B$5&amp;"生成成长"),3))*(VLOOKUP($B$5,标准坦克设计!$B$14:$K$20,9)/30))</f>
        <v>38.59972726726344</v>
      </c>
      <c r="CN186" s="172">
        <f ca="1">(VLOOKUP(CN$72,INDIRECT($C$5&amp;"生成成长"),2))/((VLOOKUP($B186,INDIRECT($B$5&amp;"生成成长"),4))/(VLOOKUP(CN$72,INDIRECT($C$5&amp;"生成成长"),5))*(VLOOKUP($B$5,标准坦克设计!$B$24:$U$30,MATCH("对"&amp;LEFT($C$5,2)&amp;"输出",标准坦克设计!$B$23:$U$23,0)))*(VLOOKUP($B186,INDIRECT($B$5&amp;"生成成长"),3))*(VLOOKUP($B$5,标准坦克设计!$B$14:$K$20,9)/30))</f>
        <v>41.049905267626848</v>
      </c>
      <c r="CO186" s="172">
        <f ca="1">(VLOOKUP(CO$72,INDIRECT($C$5&amp;"生成成长"),2))/((VLOOKUP($B186,INDIRECT($B$5&amp;"生成成长"),4))/(VLOOKUP(CO$72,INDIRECT($C$5&amp;"生成成长"),5))*(VLOOKUP($B$5,标准坦克设计!$B$24:$U$30,MATCH("对"&amp;LEFT($C$5,2)&amp;"输出",标准坦克设计!$B$23:$U$23,0)))*(VLOOKUP($B186,INDIRECT($B$5&amp;"生成成长"),3))*(VLOOKUP($B$5,标准坦克设计!$B$14:$K$20,9)/30))</f>
        <v>18.395494055112337</v>
      </c>
      <c r="CP186" s="172">
        <f ca="1">(VLOOKUP(CP$72,INDIRECT($C$5&amp;"生成成长"),2))/((VLOOKUP($B186,INDIRECT($B$5&amp;"生成成长"),4))/(VLOOKUP(CP$72,INDIRECT($C$5&amp;"生成成长"),5))*(VLOOKUP($B$5,标准坦克设计!$B$24:$U$30,MATCH("对"&amp;LEFT($C$5,2)&amp;"输出",标准坦克设计!$B$23:$U$23,0)))*(VLOOKUP($B186,INDIRECT($B$5&amp;"生成成长"),3))*(VLOOKUP($B$5,标准坦克设计!$B$14:$K$20,9)/30))</f>
        <v>20.098624777043256</v>
      </c>
      <c r="CQ186" s="172">
        <f ca="1">(VLOOKUP(CQ$72,INDIRECT($C$5&amp;"生成成长"),2))/((VLOOKUP($B186,INDIRECT($B$5&amp;"生成成长"),4))/(VLOOKUP(CQ$72,INDIRECT($C$5&amp;"生成成长"),5))*(VLOOKUP($B$5,标准坦克设计!$B$24:$U$30,MATCH("对"&amp;LEFT($C$5,2)&amp;"输出",标准坦克设计!$B$23:$U$23,0)))*(VLOOKUP($B186,INDIRECT($B$5&amp;"生成成长"),3))*(VLOOKUP($B$5,标准坦克设计!$B$14:$K$20,9)/30))</f>
        <v>21.877145591293058</v>
      </c>
      <c r="CR186" s="172">
        <f ca="1">(VLOOKUP(CR$72,INDIRECT($C$5&amp;"生成成长"),2))/((VLOOKUP($B186,INDIRECT($B$5&amp;"生成成长"),4))/(VLOOKUP(CR$72,INDIRECT($C$5&amp;"生成成长"),5))*(VLOOKUP($B$5,标准坦克设计!$B$24:$U$30,MATCH("对"&amp;LEFT($C$5,2)&amp;"输出",标准坦克设计!$B$23:$U$23,0)))*(VLOOKUP($B186,INDIRECT($B$5&amp;"生成成长"),3))*(VLOOKUP($B$5,标准坦克设计!$B$14:$K$20,9)/30))</f>
        <v>23.731056497861729</v>
      </c>
      <c r="CS186" s="172">
        <f ca="1">(VLOOKUP(CS$72,INDIRECT($C$5&amp;"生成成长"),2))/((VLOOKUP($B186,INDIRECT($B$5&amp;"生成成长"),4))/(VLOOKUP(CS$72,INDIRECT($C$5&amp;"生成成长"),5))*(VLOOKUP($B$5,标准坦克设计!$B$24:$U$30,MATCH("对"&amp;LEFT($C$5,2)&amp;"输出",标准坦克设计!$B$23:$U$23,0)))*(VLOOKUP($B186,INDIRECT($B$5&amp;"生成成长"),3))*(VLOOKUP($B$5,标准坦克设计!$B$14:$K$20,9)/30))</f>
        <v>25.660357496749274</v>
      </c>
      <c r="CT186" s="172">
        <f ca="1">(VLOOKUP(CT$72,INDIRECT($C$5&amp;"生成成长"),2))/((VLOOKUP($B186,INDIRECT($B$5&amp;"生成成长"),4))/(VLOOKUP(CT$72,INDIRECT($C$5&amp;"生成成长"),5))*(VLOOKUP($B$5,标准坦克设计!$B$24:$U$30,MATCH("对"&amp;LEFT($C$5,2)&amp;"输出",标准坦克设计!$B$23:$U$23,0)))*(VLOOKUP($B186,INDIRECT($B$5&amp;"生成成长"),3))*(VLOOKUP($B$5,标准坦克设计!$B$14:$K$20,9)/30))</f>
        <v>27.665048587955695</v>
      </c>
      <c r="CU186" s="172">
        <f ca="1">(VLOOKUP(CU$72,INDIRECT($C$5&amp;"生成成长"),2))/((VLOOKUP($B186,INDIRECT($B$5&amp;"生成成长"),4))/(VLOOKUP(CU$72,INDIRECT($C$5&amp;"生成成长"),5))*(VLOOKUP($B$5,标准坦克设计!$B$24:$U$30,MATCH("对"&amp;LEFT($C$5,2)&amp;"输出",标准坦克设计!$B$23:$U$23,0)))*(VLOOKUP($B186,INDIRECT($B$5&amp;"生成成长"),3))*(VLOOKUP($B$5,标准坦克设计!$B$14:$K$20,9)/30))</f>
        <v>29.745129771480986</v>
      </c>
      <c r="CV186" s="172">
        <f ca="1">(VLOOKUP(CV$72,INDIRECT($C$5&amp;"生成成长"),2))/((VLOOKUP($B186,INDIRECT($B$5&amp;"生成成长"),4))/(VLOOKUP(CV$72,INDIRECT($C$5&amp;"生成成长"),5))*(VLOOKUP($B$5,标准坦克设计!$B$24:$U$30,MATCH("对"&amp;LEFT($C$5,2)&amp;"输出",标准坦克设计!$B$23:$U$23,0)))*(VLOOKUP($B186,INDIRECT($B$5&amp;"生成成长"),3))*(VLOOKUP($B$5,标准坦克设计!$B$14:$K$20,9)/30))</f>
        <v>31.900601047325157</v>
      </c>
      <c r="CW186" s="172">
        <f ca="1">(VLOOKUP(CW$72,INDIRECT($C$5&amp;"生成成长"),2))/((VLOOKUP($B186,INDIRECT($B$5&amp;"生成成长"),4))/(VLOOKUP(CW$72,INDIRECT($C$5&amp;"生成成长"),5))*(VLOOKUP($B$5,标准坦克设计!$B$24:$U$30,MATCH("对"&amp;LEFT($C$5,2)&amp;"输出",标准坦克设计!$B$23:$U$23,0)))*(VLOOKUP($B186,INDIRECT($B$5&amp;"生成成长"),3))*(VLOOKUP($B$5,标准坦克设计!$B$14:$K$20,9)/30))</f>
        <v>34.131462415488194</v>
      </c>
      <c r="CX186" s="172">
        <f ca="1">(VLOOKUP(CX$72,INDIRECT($C$5&amp;"生成成长"),2))/((VLOOKUP($B186,INDIRECT($B$5&amp;"生成成长"),4))/(VLOOKUP(CX$72,INDIRECT($C$5&amp;"生成成长"),5))*(VLOOKUP($B$5,标准坦克设计!$B$24:$U$30,MATCH("对"&amp;LEFT($C$5,2)&amp;"输出",标准坦克设计!$B$23:$U$23,0)))*(VLOOKUP($B186,INDIRECT($B$5&amp;"生成成长"),3))*(VLOOKUP($B$5,标准坦克设计!$B$14:$K$20,9)/30))</f>
        <v>36.437713875970111</v>
      </c>
      <c r="CY186" s="172">
        <f ca="1">(VLOOKUP(CY$72,INDIRECT($C$5&amp;"生成成长"),2))/((VLOOKUP($B186,INDIRECT($B$5&amp;"生成成长"),4))/(VLOOKUP(CY$72,INDIRECT($C$5&amp;"生成成长"),5))*(VLOOKUP($B$5,标准坦克设计!$B$24:$U$30,MATCH("对"&amp;LEFT($C$5,2)&amp;"输出",标准坦克设计!$B$23:$U$23,0)))*(VLOOKUP($B186,INDIRECT($B$5&amp;"生成成长"),3))*(VLOOKUP($B$5,标准坦克设计!$B$14:$K$20,9)/30))</f>
        <v>38.819355428770905</v>
      </c>
      <c r="CZ186" s="172">
        <f ca="1">(VLOOKUP(CZ$72,INDIRECT($C$5&amp;"生成成长"),2))/((VLOOKUP($B186,INDIRECT($B$5&amp;"生成成长"),4))/(VLOOKUP(CZ$72,INDIRECT($C$5&amp;"生成成长"),5))*(VLOOKUP($B$5,标准坦克设计!$B$24:$U$30,MATCH("对"&amp;LEFT($C$5,2)&amp;"输出",标准坦克设计!$B$23:$U$23,0)))*(VLOOKUP($B186,INDIRECT($B$5&amp;"生成成长"),3))*(VLOOKUP($B$5,标准坦克设计!$B$14:$K$20,9)/30))</f>
        <v>41.276387073890561</v>
      </c>
      <c r="DA186" s="172">
        <f ca="1">(VLOOKUP(DA$72,INDIRECT($C$5&amp;"生成成长"),2))/((VLOOKUP($B186,INDIRECT($B$5&amp;"生成成长"),4))/(VLOOKUP(DA$72,INDIRECT($C$5&amp;"生成成长"),5))*(VLOOKUP($B$5,标准坦克设计!$B$24:$U$30,MATCH("对"&amp;LEFT($C$5,2)&amp;"输出",标准坦克设计!$B$23:$U$23,0)))*(VLOOKUP($B186,INDIRECT($B$5&amp;"生成成长"),3))*(VLOOKUP($B$5,标准坦克设计!$B$14:$K$20,9)/30))</f>
        <v>43.808808811329101</v>
      </c>
      <c r="DB186" s="172">
        <f ca="1">(VLOOKUP(DB$72,INDIRECT($C$5&amp;"生成成长"),2))/((VLOOKUP($B186,INDIRECT($B$5&amp;"生成成长"),4))/(VLOOKUP(DB$72,INDIRECT($C$5&amp;"生成成长"),5))*(VLOOKUP($B$5,标准坦克设计!$B$24:$U$30,MATCH("对"&amp;LEFT($C$5,2)&amp;"输出",标准坦克设计!$B$23:$U$23,0)))*(VLOOKUP($B186,INDIRECT($B$5&amp;"生成成长"),3))*(VLOOKUP($B$5,标准坦克设计!$B$14:$K$20,9)/30))</f>
        <v>46.416620641086517</v>
      </c>
      <c r="DC186" s="172">
        <f ca="1">(VLOOKUP(DC$72,INDIRECT($C$5&amp;"生成成长"),2))/((VLOOKUP($B186,INDIRECT($B$5&amp;"生成成长"),4))/(VLOOKUP(DC$72,INDIRECT($C$5&amp;"生成成长"),5))*(VLOOKUP($B$5,标准坦克设计!$B$24:$U$30,MATCH("对"&amp;LEFT($C$5,2)&amp;"输出",标准坦克设计!$B$23:$U$23,0)))*(VLOOKUP($B186,INDIRECT($B$5&amp;"生成成长"),3))*(VLOOKUP($B$5,标准坦克设计!$B$14:$K$20,9)/30))</f>
        <v>49.347488362309512</v>
      </c>
      <c r="DD186" s="172">
        <f ca="1">(VLOOKUP(DD$72,INDIRECT($C$5&amp;"生成成长"),2))/((VLOOKUP($B186,INDIRECT($B$5&amp;"生成成长"),4))/(VLOOKUP(DD$72,INDIRECT($C$5&amp;"生成成长"),5))*(VLOOKUP($B$5,标准坦克设计!$B$24:$U$30,MATCH("对"&amp;LEFT($C$5,2)&amp;"输出",标准坦克设计!$B$23:$U$23,0)))*(VLOOKUP($B186,INDIRECT($B$5&amp;"生成成长"),3))*(VLOOKUP($B$5,标准坦克设计!$B$14:$K$20,9)/30))</f>
        <v>52.368076523978118</v>
      </c>
      <c r="DE186" s="172">
        <f ca="1">(VLOOKUP(DE$72,INDIRECT($C$5&amp;"生成成长"),2))/((VLOOKUP($B186,INDIRECT($B$5&amp;"生成成长"),4))/(VLOOKUP(DE$72,INDIRECT($C$5&amp;"生成成长"),5))*(VLOOKUP($B$5,标准坦克设计!$B$24:$U$30,MATCH("对"&amp;LEFT($C$5,2)&amp;"输出",标准坦克设计!$B$23:$U$23,0)))*(VLOOKUP($B186,INDIRECT($B$5&amp;"生成成长"),3))*(VLOOKUP($B$5,标准坦克设计!$B$14:$K$20,9)/30))</f>
        <v>55.47838512609232</v>
      </c>
      <c r="DF186" s="172">
        <f ca="1">(VLOOKUP(DF$72,INDIRECT($C$5&amp;"生成成长"),2))/((VLOOKUP($B186,INDIRECT($B$5&amp;"生成成长"),4))/(VLOOKUP(DF$72,INDIRECT($C$5&amp;"生成成长"),5))*(VLOOKUP($B$5,标准坦克设计!$B$24:$U$30,MATCH("对"&amp;LEFT($C$5,2)&amp;"输出",标准坦克设计!$B$23:$U$23,0)))*(VLOOKUP($B186,INDIRECT($B$5&amp;"生成成长"),3))*(VLOOKUP($B$5,标准坦克设计!$B$14:$K$20,9)/30))</f>
        <v>58.678414168652125</v>
      </c>
      <c r="DG186" s="172">
        <f ca="1">(VLOOKUP(DG$72,INDIRECT($C$5&amp;"生成成长"),2))/((VLOOKUP($B186,INDIRECT($B$5&amp;"生成成长"),4))/(VLOOKUP(DG$72,INDIRECT($C$5&amp;"生成成长"),5))*(VLOOKUP($B$5,标准坦克设计!$B$24:$U$30,MATCH("对"&amp;LEFT($C$5,2)&amp;"输出",标准坦克设计!$B$23:$U$23,0)))*(VLOOKUP($B186,INDIRECT($B$5&amp;"生成成长"),3))*(VLOOKUP($B$5,标准坦克设计!$B$14:$K$20,9)/30))</f>
        <v>61.968163651657513</v>
      </c>
      <c r="DH186" s="172">
        <f ca="1">(VLOOKUP(DH$72,INDIRECT($C$5&amp;"生成成长"),2))/((VLOOKUP($B186,INDIRECT($B$5&amp;"生成成长"),4))/(VLOOKUP(DH$72,INDIRECT($C$5&amp;"生成成长"),5))*(VLOOKUP($B$5,标准坦克设计!$B$24:$U$30,MATCH("对"&amp;LEFT($C$5,2)&amp;"输出",标准坦克设计!$B$23:$U$23,0)))*(VLOOKUP($B186,INDIRECT($B$5&amp;"生成成长"),3))*(VLOOKUP($B$5,标准坦克设计!$B$14:$K$20,9)/30))</f>
        <v>65.347633575108532</v>
      </c>
      <c r="DI186" s="172">
        <f ca="1">(VLOOKUP(DI$72,INDIRECT($C$5&amp;"生成成长"),2))/((VLOOKUP($B186,INDIRECT($B$5&amp;"生成成长"),4))/(VLOOKUP(DI$72,INDIRECT($C$5&amp;"生成成长"),5))*(VLOOKUP($B$5,标准坦克设计!$B$24:$U$30,MATCH("对"&amp;LEFT($C$5,2)&amp;"输出",标准坦克设计!$B$23:$U$23,0)))*(VLOOKUP($B186,INDIRECT($B$5&amp;"生成成长"),3))*(VLOOKUP($B$5,标准坦克设计!$B$14:$K$20,9)/30))</f>
        <v>68.816823939005147</v>
      </c>
      <c r="DJ186" s="172">
        <f ca="1">(VLOOKUP(DJ$72,INDIRECT($C$5&amp;"生成成长"),2))/((VLOOKUP($B186,INDIRECT($B$5&amp;"生成成长"),4))/(VLOOKUP(DJ$72,INDIRECT($C$5&amp;"生成成长"),5))*(VLOOKUP($B$5,标准坦克设计!$B$24:$U$30,MATCH("对"&amp;LEFT($C$5,2)&amp;"输出",标准坦克设计!$B$23:$U$23,0)))*(VLOOKUP($B186,INDIRECT($B$5&amp;"生成成长"),3))*(VLOOKUP($B$5,标准坦克设计!$B$14:$K$20,9)/30))</f>
        <v>6.9162621469889238</v>
      </c>
      <c r="DK186" s="172">
        <f ca="1">(VLOOKUP(DK$72,INDIRECT($C$5&amp;"生成成长"),2))/((VLOOKUP($B186,INDIRECT($B$5&amp;"生成成长"),4))/(VLOOKUP(DK$72,INDIRECT($C$5&amp;"生成成长"),5))*(VLOOKUP($B$5,标准坦克设计!$B$24:$U$30,MATCH("对"&amp;LEFT($C$5,2)&amp;"输出",标准坦克设计!$B$23:$U$23,0)))*(VLOOKUP($B186,INDIRECT($B$5&amp;"生成成长"),3))*(VLOOKUP($B$5,标准坦克设计!$B$14:$K$20,9)/30))</f>
        <v>7.7770176225139167</v>
      </c>
      <c r="DL186" s="172">
        <f ca="1">(VLOOKUP(DL$72,INDIRECT($C$5&amp;"生成成长"),2))/((VLOOKUP($B186,INDIRECT($B$5&amp;"生成成长"),4))/(VLOOKUP(DL$72,INDIRECT($C$5&amp;"生成成长"),5))*(VLOOKUP($B$5,标准坦克设计!$B$24:$U$30,MATCH("对"&amp;LEFT($C$5,2)&amp;"输出",标准坦克设计!$B$23:$U$23,0)))*(VLOOKUP($B186,INDIRECT($B$5&amp;"生成成长"),3))*(VLOOKUP($B$5,标准坦克设计!$B$14:$K$20,9)/30))</f>
        <v>8.6882408457895632</v>
      </c>
      <c r="DM186" s="172">
        <f ca="1">(VLOOKUP(DM$72,INDIRECT($C$5&amp;"生成成长"),2))/((VLOOKUP($B186,INDIRECT($B$5&amp;"生成成长"),4))/(VLOOKUP(DM$72,INDIRECT($C$5&amp;"生成成长"),5))*(VLOOKUP($B$5,标准坦克设计!$B$24:$U$30,MATCH("对"&amp;LEFT($C$5,2)&amp;"输出",标准坦克设计!$B$23:$U$23,0)))*(VLOOKUP($B186,INDIRECT($B$5&amp;"生成成长"),3))*(VLOOKUP($B$5,标准坦克设计!$B$14:$K$20,9)/30))</f>
        <v>9.6499318168158599</v>
      </c>
      <c r="DN186" s="172">
        <f ca="1">(VLOOKUP(DN$72,INDIRECT($C$5&amp;"生成成长"),2))/((VLOOKUP($B186,INDIRECT($B$5&amp;"生成成长"),4))/(VLOOKUP(DN$72,INDIRECT($C$5&amp;"生成成长"),5))*(VLOOKUP($B$5,标准坦克设计!$B$24:$U$30,MATCH("对"&amp;LEFT($C$5,2)&amp;"输出",标准坦克设计!$B$23:$U$23,0)))*(VLOOKUP($B186,INDIRECT($B$5&amp;"生成成长"),3))*(VLOOKUP($B$5,标准坦克设计!$B$14:$K$20,9)/30))</f>
        <v>10.662090535592807</v>
      </c>
      <c r="DO186" s="172">
        <f ca="1">(VLOOKUP(DO$72,INDIRECT($C$5&amp;"生成成长"),2))/((VLOOKUP($B186,INDIRECT($B$5&amp;"生成成长"),4))/(VLOOKUP(DO$72,INDIRECT($C$5&amp;"生成成长"),5))*(VLOOKUP($B$5,标准坦克设计!$B$24:$U$30,MATCH("对"&amp;LEFT($C$5,2)&amp;"输出",标准坦克设计!$B$23:$U$23,0)))*(VLOOKUP($B186,INDIRECT($B$5&amp;"生成成长"),3))*(VLOOKUP($B$5,标准坦克设计!$B$14:$K$20,9)/30))</f>
        <v>11.724717002120407</v>
      </c>
      <c r="DP186" s="172">
        <f ca="1">(VLOOKUP(DP$72,INDIRECT($C$5&amp;"生成成长"),2))/((VLOOKUP($B186,INDIRECT($B$5&amp;"生成成长"),4))/(VLOOKUP(DP$72,INDIRECT($C$5&amp;"生成成长"),5))*(VLOOKUP($B$5,标准坦克设计!$B$24:$U$30,MATCH("对"&amp;LEFT($C$5,2)&amp;"输出",标准坦克设计!$B$23:$U$23,0)))*(VLOOKUP($B186,INDIRECT($B$5&amp;"生成成长"),3))*(VLOOKUP($B$5,标准坦克设计!$B$14:$K$20,9)/30))</f>
        <v>12.837811216398656</v>
      </c>
      <c r="DQ186" s="172">
        <f ca="1">(VLOOKUP(DQ$72,INDIRECT($C$5&amp;"生成成长"),2))/((VLOOKUP($B186,INDIRECT($B$5&amp;"生成成长"),4))/(VLOOKUP(DQ$72,INDIRECT($C$5&amp;"生成成长"),5))*(VLOOKUP($B$5,标准坦克设计!$B$24:$U$30,MATCH("对"&amp;LEFT($C$5,2)&amp;"输出",标准坦克设计!$B$23:$U$23,0)))*(VLOOKUP($B186,INDIRECT($B$5&amp;"生成成长"),3))*(VLOOKUP($B$5,标准坦克设计!$B$14:$K$20,9)/30))</f>
        <v>14.001373178427556</v>
      </c>
      <c r="DR186" s="172">
        <f ca="1">(VLOOKUP(DR$72,INDIRECT($C$5&amp;"生成成长"),2))/((VLOOKUP($B186,INDIRECT($B$5&amp;"生成成长"),4))/(VLOOKUP(DR$72,INDIRECT($C$5&amp;"生成成长"),5))*(VLOOKUP($B$5,标准坦克设计!$B$24:$U$30,MATCH("对"&amp;LEFT($C$5,2)&amp;"输出",标准坦克设计!$B$23:$U$23,0)))*(VLOOKUP($B186,INDIRECT($B$5&amp;"生成成长"),3))*(VLOOKUP($B$5,标准坦克设计!$B$14:$K$20,9)/30))</f>
        <v>15.215402888207107</v>
      </c>
      <c r="DS186" s="172">
        <f ca="1">(VLOOKUP(DS$72,INDIRECT($C$5&amp;"生成成长"),2))/((VLOOKUP($B186,INDIRECT($B$5&amp;"生成成长"),4))/(VLOOKUP(DS$72,INDIRECT($C$5&amp;"生成成长"),5))*(VLOOKUP($B$5,标准坦克设计!$B$24:$U$30,MATCH("对"&amp;LEFT($C$5,2)&amp;"输出",标准坦克设计!$B$23:$U$23,0)))*(VLOOKUP($B186,INDIRECT($B$5&amp;"生成成长"),3))*(VLOOKUP($B$5,标准坦克设计!$B$14:$K$20,9)/30))</f>
        <v>16.479900345737313</v>
      </c>
      <c r="DT186" s="172">
        <f ca="1">(VLOOKUP(DT$72,INDIRECT($C$5&amp;"生成成长"),2))/((VLOOKUP($B186,INDIRECT($B$5&amp;"生成成长"),4))/(VLOOKUP(DT$72,INDIRECT($C$5&amp;"生成成长"),5))*(VLOOKUP($B$5,标准坦克设计!$B$24:$U$30,MATCH("对"&amp;LEFT($C$5,2)&amp;"输出",标准坦克设计!$B$23:$U$23,0)))*(VLOOKUP($B186,INDIRECT($B$5&amp;"生成成长"),3))*(VLOOKUP($B$5,标准坦克设计!$B$14:$K$20,9)/30))</f>
        <v>18.093933685836841</v>
      </c>
      <c r="DU186" s="172">
        <f ca="1">(VLOOKUP(DU$72,INDIRECT($C$5&amp;"生成成长"),2))/((VLOOKUP($B186,INDIRECT($B$5&amp;"生成成长"),4))/(VLOOKUP(DU$72,INDIRECT($C$5&amp;"生成成长"),5))*(VLOOKUP($B$5,标准坦克设计!$B$24:$U$30,MATCH("对"&amp;LEFT($C$5,2)&amp;"输出",标准坦克设计!$B$23:$U$23,0)))*(VLOOKUP($B186,INDIRECT($B$5&amp;"生成成长"),3))*(VLOOKUP($B$5,标准坦克设计!$B$14:$K$20,9)/30))</f>
        <v>19.783357118255243</v>
      </c>
      <c r="DV186" s="172">
        <f ca="1">(VLOOKUP(DV$72,INDIRECT($C$5&amp;"生成成长"),2))/((VLOOKUP($B186,INDIRECT($B$5&amp;"生成成长"),4))/(VLOOKUP(DV$72,INDIRECT($C$5&amp;"生成成长"),5))*(VLOOKUP($B$5,标准坦克设计!$B$24:$U$30,MATCH("对"&amp;LEFT($C$5,2)&amp;"输出",标准坦克设计!$B$23:$U$23,0)))*(VLOOKUP($B186,INDIRECT($B$5&amp;"生成成长"),3))*(VLOOKUP($B$5,标准坦克设计!$B$14:$K$20,9)/30))</f>
        <v>21.548170642992517</v>
      </c>
      <c r="DW186" s="172">
        <f ca="1">(VLOOKUP(DW$72,INDIRECT($C$5&amp;"生成成长"),2))/((VLOOKUP($B186,INDIRECT($B$5&amp;"生成成长"),4))/(VLOOKUP(DW$72,INDIRECT($C$5&amp;"生成成长"),5))*(VLOOKUP($B$5,标准坦克设计!$B$24:$U$30,MATCH("对"&amp;LEFT($C$5,2)&amp;"输出",标准坦克设计!$B$23:$U$23,0)))*(VLOOKUP($B186,INDIRECT($B$5&amp;"生成成长"),3))*(VLOOKUP($B$5,标准坦克设计!$B$14:$K$20,9)/30))</f>
        <v>23.388374260048668</v>
      </c>
      <c r="DX186" s="172">
        <f ca="1">(VLOOKUP(DX$72,INDIRECT($C$5&amp;"生成成长"),2))/((VLOOKUP($B186,INDIRECT($B$5&amp;"生成成长"),4))/(VLOOKUP(DX$72,INDIRECT($C$5&amp;"生成成长"),5))*(VLOOKUP($B$5,标准坦克设计!$B$24:$U$30,MATCH("对"&amp;LEFT($C$5,2)&amp;"输出",标准坦克设计!$B$23:$U$23,0)))*(VLOOKUP($B186,INDIRECT($B$5&amp;"生成成长"),3))*(VLOOKUP($B$5,标准坦克设计!$B$14:$K$20,9)/30))</f>
        <v>25.303967969423692</v>
      </c>
      <c r="DY186" s="172">
        <f ca="1">(VLOOKUP(DY$72,INDIRECT($C$5&amp;"生成成长"),2))/((VLOOKUP($B186,INDIRECT($B$5&amp;"生成成长"),4))/(VLOOKUP(DY$72,INDIRECT($C$5&amp;"生成成长"),5))*(VLOOKUP($B$5,标准坦克设计!$B$24:$U$30,MATCH("对"&amp;LEFT($C$5,2)&amp;"输出",标准坦克设计!$B$23:$U$23,0)))*(VLOOKUP($B186,INDIRECT($B$5&amp;"生成成长"),3))*(VLOOKUP($B$5,标准坦克设计!$B$14:$K$20,9)/30))</f>
        <v>11.364900652416688</v>
      </c>
      <c r="DZ186" s="172">
        <f ca="1">(VLOOKUP(DZ$72,INDIRECT($C$5&amp;"生成成长"),2))/((VLOOKUP($B186,INDIRECT($B$5&amp;"生成成长"),4))/(VLOOKUP(DZ$72,INDIRECT($C$5&amp;"生成成长"),5))*(VLOOKUP($B$5,标准坦克设计!$B$24:$U$30,MATCH("对"&amp;LEFT($C$5,2)&amp;"输出",标准坦克设计!$B$23:$U$23,0)))*(VLOOKUP($B186,INDIRECT($B$5&amp;"生成成长"),3))*(VLOOKUP($B$5,标准坦克设计!$B$14:$K$20,9)/30))</f>
        <v>12.586095536259606</v>
      </c>
      <c r="EA186" s="172">
        <f ca="1">(VLOOKUP(EA$72,INDIRECT($C$5&amp;"生成成长"),2))/((VLOOKUP($B186,INDIRECT($B$5&amp;"生成成长"),4))/(VLOOKUP(EA$72,INDIRECT($C$5&amp;"生成成长"),5))*(VLOOKUP($B$5,标准坦克设计!$B$24:$U$30,MATCH("对"&amp;LEFT($C$5,2)&amp;"输出",标准坦克设计!$B$23:$U$23,0)))*(VLOOKUP($B186,INDIRECT($B$5&amp;"生成成长"),3))*(VLOOKUP($B$5,标准坦克设计!$B$14:$K$20,9)/30))</f>
        <v>13.86959628152308</v>
      </c>
      <c r="EB186" s="172">
        <f ca="1">(VLOOKUP(EB$72,INDIRECT($C$5&amp;"生成成长"),2))/((VLOOKUP($B186,INDIRECT($B$5&amp;"生成成长"),4))/(VLOOKUP(EB$72,INDIRECT($C$5&amp;"生成成长"),5))*(VLOOKUP($B$5,标准坦克设计!$B$24:$U$30,MATCH("对"&amp;LEFT($C$5,2)&amp;"输出",标准坦克设计!$B$23:$U$23,0)))*(VLOOKUP($B186,INDIRECT($B$5&amp;"生成成长"),3))*(VLOOKUP($B$5,标准坦克设计!$B$14:$K$20,9)/30))</f>
        <v>15.215402888207107</v>
      </c>
      <c r="EC186" s="172">
        <f ca="1">(VLOOKUP(EC$72,INDIRECT($C$5&amp;"生成成长"),2))/((VLOOKUP($B186,INDIRECT($B$5&amp;"生成成长"),4))/(VLOOKUP(EC$72,INDIRECT($C$5&amp;"生成成长"),5))*(VLOOKUP($B$5,标准坦克设计!$B$24:$U$30,MATCH("对"&amp;LEFT($C$5,2)&amp;"输出",标准坦克设计!$B$23:$U$23,0)))*(VLOOKUP($B186,INDIRECT($B$5&amp;"生成成长"),3))*(VLOOKUP($B$5,标准坦克设计!$B$14:$K$20,9)/30))</f>
        <v>16.623515356311696</v>
      </c>
      <c r="ED186" s="172">
        <f ca="1">(VLOOKUP(ED$72,INDIRECT($C$5&amp;"生成成长"),2))/((VLOOKUP($B186,INDIRECT($B$5&amp;"生成成长"),4))/(VLOOKUP(ED$72,INDIRECT($C$5&amp;"生成成长"),5))*(VLOOKUP($B$5,标准坦克设计!$B$24:$U$30,MATCH("对"&amp;LEFT($C$5,2)&amp;"输出",标准坦克设计!$B$23:$U$23,0)))*(VLOOKUP($B186,INDIRECT($B$5&amp;"生成成长"),3))*(VLOOKUP($B$5,标准坦克设计!$B$14:$K$20,9)/30))</f>
        <v>18.093933685836841</v>
      </c>
      <c r="EE186" s="172">
        <f ca="1">(VLOOKUP(EE$72,INDIRECT($C$5&amp;"生成成长"),2))/((VLOOKUP($B186,INDIRECT($B$5&amp;"生成成长"),4))/(VLOOKUP(EE$72,INDIRECT($C$5&amp;"生成成长"),5))*(VLOOKUP($B$5,标准坦克设计!$B$24:$U$30,MATCH("对"&amp;LEFT($C$5,2)&amp;"输出",标准坦克设计!$B$23:$U$23,0)))*(VLOOKUP($B186,INDIRECT($B$5&amp;"生成成长"),3))*(VLOOKUP($B$5,标准坦克设计!$B$14:$K$20,9)/30))</f>
        <v>19.626657876782541</v>
      </c>
      <c r="EF186" s="172">
        <f ca="1">(VLOOKUP(EF$72,INDIRECT($C$5&amp;"生成成长"),2))/((VLOOKUP($B186,INDIRECT($B$5&amp;"生成成长"),4))/(VLOOKUP(EF$72,INDIRECT($C$5&amp;"生成成长"),5))*(VLOOKUP($B$5,标准坦克设计!$B$24:$U$30,MATCH("对"&amp;LEFT($C$5,2)&amp;"输出",标准坦克设计!$B$23:$U$23,0)))*(VLOOKUP($B186,INDIRECT($B$5&amp;"生成成长"),3))*(VLOOKUP($B$5,标准坦克设计!$B$14:$K$20,9)/30))</f>
        <v>21.2216879291488</v>
      </c>
      <c r="EG186" s="172">
        <f ca="1">(VLOOKUP(EG$72,INDIRECT($C$5&amp;"生成成长"),2))/((VLOOKUP($B186,INDIRECT($B$5&amp;"生成成长"),4))/(VLOOKUP(EG$72,INDIRECT($C$5&amp;"生成成长"),5))*(VLOOKUP($B$5,标准坦克设计!$B$24:$U$30,MATCH("对"&amp;LEFT($C$5,2)&amp;"输出",标准坦克设计!$B$23:$U$23,0)))*(VLOOKUP($B186,INDIRECT($B$5&amp;"生成成长"),3))*(VLOOKUP($B$5,标准坦克设计!$B$14:$K$20,9)/30))</f>
        <v>22.879023842935613</v>
      </c>
      <c r="EH186" s="172">
        <f ca="1">(VLOOKUP(EH$72,INDIRECT($C$5&amp;"生成成长"),2))/((VLOOKUP($B186,INDIRECT($B$5&amp;"生成成长"),4))/(VLOOKUP(EH$72,INDIRECT($C$5&amp;"生成成长"),5))*(VLOOKUP($B$5,标准坦克设计!$B$24:$U$30,MATCH("对"&amp;LEFT($C$5,2)&amp;"输出",标准坦克设计!$B$23:$U$23,0)))*(VLOOKUP($B186,INDIRECT($B$5&amp;"生成成长"),3))*(VLOOKUP($B$5,标准坦克设计!$B$14:$K$20,9)/30))</f>
        <v>24.598665618142988</v>
      </c>
      <c r="EI186" s="172">
        <f ca="1">(VLOOKUP(EI$72,INDIRECT($C$5&amp;"生成成长"),2))/((VLOOKUP($B186,INDIRECT($B$5&amp;"生成成长"),4))/(VLOOKUP(EI$72,INDIRECT($C$5&amp;"生成成长"),5))*(VLOOKUP($B$5,标准坦克设计!$B$24:$U$30,MATCH("对"&amp;LEFT($C$5,2)&amp;"输出",标准坦克设计!$B$23:$U$23,0)))*(VLOOKUP($B186,INDIRECT($B$5&amp;"生成成长"),3))*(VLOOKUP($B$5,标准坦克设计!$B$14:$K$20,9)/30))</f>
        <v>26.380613254770914</v>
      </c>
      <c r="EJ186" s="172">
        <f ca="1">(VLOOKUP(EJ$72,INDIRECT($C$5&amp;"生成成长"),2))/((VLOOKUP($B186,INDIRECT($B$5&amp;"生成成长"),4))/(VLOOKUP(EJ$72,INDIRECT($C$5&amp;"生成成长"),5))*(VLOOKUP($B$5,标准坦克设计!$B$24:$U$30,MATCH("对"&amp;LEFT($C$5,2)&amp;"输出",标准坦克设计!$B$23:$U$23,0)))*(VLOOKUP($B186,INDIRECT($B$5&amp;"生成成长"),3))*(VLOOKUP($B$5,标准坦克设计!$B$14:$K$20,9)/30))</f>
        <v>28.224866752819398</v>
      </c>
      <c r="EK186" s="172">
        <f ca="1">(VLOOKUP(EK$72,INDIRECT($C$5&amp;"生成成长"),2))/((VLOOKUP($B186,INDIRECT($B$5&amp;"生成成长"),4))/(VLOOKUP(EK$72,INDIRECT($C$5&amp;"生成成长"),5))*(VLOOKUP($B$5,标准坦克设计!$B$24:$U$30,MATCH("对"&amp;LEFT($C$5,2)&amp;"输出",标准坦克设计!$B$23:$U$23,0)))*(VLOOKUP($B186,INDIRECT($B$5&amp;"生成成长"),3))*(VLOOKUP($B$5,标准坦克设计!$B$14:$K$20,9)/30))</f>
        <v>30.520214687552713</v>
      </c>
      <c r="EL186" s="172">
        <f ca="1">(VLOOKUP(EL$72,INDIRECT($C$5&amp;"生成成长"),2))/((VLOOKUP($B186,INDIRECT($B$5&amp;"生成成长"),4))/(VLOOKUP(EL$72,INDIRECT($C$5&amp;"生成成长"),5))*(VLOOKUP($B$5,标准坦克设计!$B$24:$U$30,MATCH("对"&amp;LEFT($C$5,2)&amp;"输出",标准坦克设计!$B$23:$U$23,0)))*(VLOOKUP($B186,INDIRECT($B$5&amp;"生成成长"),3))*(VLOOKUP($B$5,标准坦克设计!$B$14:$K$20,9)/30))</f>
        <v>32.905283062731634</v>
      </c>
      <c r="EM186" s="172">
        <f ca="1">(VLOOKUP(EM$72,INDIRECT($C$5&amp;"生成成长"),2))/((VLOOKUP($B186,INDIRECT($B$5&amp;"生成成长"),4))/(VLOOKUP(EM$72,INDIRECT($C$5&amp;"生成成长"),5))*(VLOOKUP($B$5,标准坦克设计!$B$24:$U$30,MATCH("对"&amp;LEFT($C$5,2)&amp;"输出",标准坦克设计!$B$23:$U$23,0)))*(VLOOKUP($B186,INDIRECT($B$5&amp;"生成成长"),3))*(VLOOKUP($B$5,标准坦克设计!$B$14:$K$20,9)/30))</f>
        <v>35.380071878356155</v>
      </c>
      <c r="EN186" s="172">
        <f ca="1">(VLOOKUP(EN$72,INDIRECT($C$5&amp;"生成成长"),2))/((VLOOKUP($B186,INDIRECT($B$5&amp;"生成成长"),4))/(VLOOKUP(EN$72,INDIRECT($C$5&amp;"生成成长"),5))*(VLOOKUP($B$5,标准坦克设计!$B$24:$U$30,MATCH("对"&amp;LEFT($C$5,2)&amp;"输出",标准坦克设计!$B$23:$U$23,0)))*(VLOOKUP($B186,INDIRECT($B$5&amp;"生成成长"),3))*(VLOOKUP($B$5,标准坦克设计!$B$14:$K$20,9)/30))</f>
        <v>37.944581134426286</v>
      </c>
      <c r="EO186" s="172">
        <f ca="1">(VLOOKUP(EO$72,INDIRECT($C$5&amp;"生成成长"),2))/((VLOOKUP($B186,INDIRECT($B$5&amp;"生成成长"),4))/(VLOOKUP(EO$72,INDIRECT($C$5&amp;"生成成长"),5))*(VLOOKUP($B$5,标准坦克设计!$B$24:$U$30,MATCH("对"&amp;LEFT($C$5,2)&amp;"输出",标准坦克设计!$B$23:$U$23,0)))*(VLOOKUP($B186,INDIRECT($B$5&amp;"生成成长"),3))*(VLOOKUP($B$5,标准坦克设计!$B$14:$K$20,9)/30))</f>
        <v>40.598810830942007</v>
      </c>
      <c r="EP186" s="172">
        <f ca="1">(VLOOKUP(EP$72,INDIRECT($C$5&amp;"生成成长"),2))/((VLOOKUP($B186,INDIRECT($B$5&amp;"生成成长"),4))/(VLOOKUP(EP$72,INDIRECT($C$5&amp;"生成成长"),5))*(VLOOKUP($B$5,标准坦克设计!$B$24:$U$30,MATCH("对"&amp;LEFT($C$5,2)&amp;"输出",标准坦克设计!$B$23:$U$23,0)))*(VLOOKUP($B186,INDIRECT($B$5&amp;"生成成长"),3))*(VLOOKUP($B$5,标准坦克设计!$B$14:$K$20,9)/30))</f>
        <v>43.342760967903338</v>
      </c>
      <c r="EQ186" s="172">
        <f ca="1">(VLOOKUP(EQ$72,INDIRECT($C$5&amp;"生成成长"),2))/((VLOOKUP($B186,INDIRECT($B$5&amp;"生成成长"),4))/(VLOOKUP(EQ$72,INDIRECT($C$5&amp;"生成成长"),5))*(VLOOKUP($B$5,标准坦克设计!$B$24:$U$30,MATCH("对"&amp;LEFT($C$5,2)&amp;"输出",标准坦克设计!$B$23:$U$23,0)))*(VLOOKUP($B186,INDIRECT($B$5&amp;"生成成长"),3))*(VLOOKUP($B$5,标准坦克设计!$B$14:$K$20,9)/30))</f>
        <v>19.160298504049674</v>
      </c>
      <c r="ER186" s="172">
        <f ca="1">(VLOOKUP(ER$72,INDIRECT($C$5&amp;"生成成长"),2))/((VLOOKUP($B186,INDIRECT($B$5&amp;"生成成长"),4))/(VLOOKUP(ER$72,INDIRECT($C$5&amp;"生成成长"),5))*(VLOOKUP($B$5,标准坦克设计!$B$24:$U$30,MATCH("对"&amp;LEFT($C$5,2)&amp;"输出",标准坦克设计!$B$23:$U$23,0)))*(VLOOKUP($B186,INDIRECT($B$5&amp;"生成成长"),3))*(VLOOKUP($B$5,标准坦克设计!$B$14:$K$20,9)/30))</f>
        <v>20.8976974497619</v>
      </c>
      <c r="ES186" s="172">
        <f ca="1">(VLOOKUP(ES$72,INDIRECT($C$5&amp;"生成成长"),2))/((VLOOKUP($B186,INDIRECT($B$5&amp;"生成成长"),4))/(VLOOKUP(ES$72,INDIRECT($C$5&amp;"生成成长"),5))*(VLOOKUP($B$5,标准坦克设计!$B$24:$U$30,MATCH("对"&amp;LEFT($C$5,2)&amp;"输出",标准坦克设计!$B$23:$U$23,0)))*(VLOOKUP($B186,INDIRECT($B$5&amp;"生成成长"),3))*(VLOOKUP($B$5,标准坦克设计!$B$14:$K$20,9)/30))</f>
        <v>22.710486487793009</v>
      </c>
      <c r="ET186" s="172">
        <f ca="1">(VLOOKUP(ET$72,INDIRECT($C$5&amp;"生成成长"),2))/((VLOOKUP($B186,INDIRECT($B$5&amp;"生成成长"),4))/(VLOOKUP(ET$72,INDIRECT($C$5&amp;"生成成长"),5))*(VLOOKUP($B$5,标准坦克设计!$B$24:$U$30,MATCH("对"&amp;LEFT($C$5,2)&amp;"输出",标准坦克设计!$B$23:$U$23,0)))*(VLOOKUP($B186,INDIRECT($B$5&amp;"生成成长"),3))*(VLOOKUP($B$5,标准坦克设计!$B$14:$K$20,9)/30))</f>
        <v>24.598665618142988</v>
      </c>
      <c r="EU186" s="172">
        <f ca="1">(VLOOKUP(EU$72,INDIRECT($C$5&amp;"生成成长"),2))/((VLOOKUP($B186,INDIRECT($B$5&amp;"生成成长"),4))/(VLOOKUP(EU$72,INDIRECT($C$5&amp;"生成成长"),5))*(VLOOKUP($B$5,标准坦克设计!$B$24:$U$30,MATCH("对"&amp;LEFT($C$5,2)&amp;"输出",标准坦克设计!$B$23:$U$23,0)))*(VLOOKUP($B186,INDIRECT($B$5&amp;"生成成长"),3))*(VLOOKUP($B$5,标准坦克设计!$B$14:$K$20,9)/30))</f>
        <v>26.56223484081184</v>
      </c>
      <c r="EV186" s="172">
        <f ca="1">(VLOOKUP(EV$72,INDIRECT($C$5&amp;"生成成长"),2))/((VLOOKUP($B186,INDIRECT($B$5&amp;"生成成长"),4))/(VLOOKUP(EV$72,INDIRECT($C$5&amp;"生成成长"),5))*(VLOOKUP($B$5,标准坦克设计!$B$24:$U$30,MATCH("对"&amp;LEFT($C$5,2)&amp;"输出",标准坦克设计!$B$23:$U$23,0)))*(VLOOKUP($B186,INDIRECT($B$5&amp;"生成成长"),3))*(VLOOKUP($B$5,标准坦克设计!$B$14:$K$20,9)/30))</f>
        <v>28.601194155799565</v>
      </c>
      <c r="EW186" s="172">
        <f ca="1">(VLOOKUP(EW$72,INDIRECT($C$5&amp;"生成成长"),2))/((VLOOKUP($B186,INDIRECT($B$5&amp;"生成成长"),4))/(VLOOKUP(EW$72,INDIRECT($C$5&amp;"生成成长"),5))*(VLOOKUP($B$5,标准坦克设计!$B$24:$U$30,MATCH("对"&amp;LEFT($C$5,2)&amp;"输出",标准坦克设计!$B$23:$U$23,0)))*(VLOOKUP($B186,INDIRECT($B$5&amp;"生成成长"),3))*(VLOOKUP($B$5,标准坦克设计!$B$14:$K$20,9)/30))</f>
        <v>30.715543563106159</v>
      </c>
      <c r="EX186" s="172">
        <f ca="1">(VLOOKUP(EX$72,INDIRECT($C$5&amp;"生成成长"),2))/((VLOOKUP($B186,INDIRECT($B$5&amp;"生成成长"),4))/(VLOOKUP(EX$72,INDIRECT($C$5&amp;"生成成长"),5))*(VLOOKUP($B$5,标准坦克设计!$B$24:$U$30,MATCH("对"&amp;LEFT($C$5,2)&amp;"输出",标准坦克设计!$B$23:$U$23,0)))*(VLOOKUP($B186,INDIRECT($B$5&amp;"生成成长"),3))*(VLOOKUP($B$5,标准坦克设计!$B$14:$K$20,9)/30))</f>
        <v>32.905283062731634</v>
      </c>
      <c r="EY186" s="172">
        <f ca="1">(VLOOKUP(EY$72,INDIRECT($C$5&amp;"生成成长"),2))/((VLOOKUP($B186,INDIRECT($B$5&amp;"生成成长"),4))/(VLOOKUP(EY$72,INDIRECT($C$5&amp;"生成成长"),5))*(VLOOKUP($B$5,标准坦克设计!$B$24:$U$30,MATCH("对"&amp;LEFT($C$5,2)&amp;"输出",标准坦克设计!$B$23:$U$23,0)))*(VLOOKUP($B186,INDIRECT($B$5&amp;"生成成长"),3))*(VLOOKUP($B$5,标准坦克设计!$B$14:$K$20,9)/30))</f>
        <v>35.170412654675985</v>
      </c>
      <c r="EZ186" s="172">
        <f ca="1">(VLOOKUP(EZ$72,INDIRECT($C$5&amp;"生成成长"),2))/((VLOOKUP($B186,INDIRECT($B$5&amp;"生成成长"),4))/(VLOOKUP(EZ$72,INDIRECT($C$5&amp;"生成成长"),5))*(VLOOKUP($B$5,标准坦克设计!$B$24:$U$30,MATCH("对"&amp;LEFT($C$5,2)&amp;"输出",标准坦克设计!$B$23:$U$23,0)))*(VLOOKUP($B186,INDIRECT($B$5&amp;"生成成长"),3))*(VLOOKUP($B$5,标准坦克设计!$B$14:$K$20,9)/30))</f>
        <v>37.510932338939206</v>
      </c>
      <c r="FA186" s="172">
        <f ca="1">(VLOOKUP(FA$72,INDIRECT($C$5&amp;"生成成长"),2))/((VLOOKUP($B186,INDIRECT($B$5&amp;"生成成长"),4))/(VLOOKUP(FA$72,INDIRECT($C$5&amp;"生成成长"),5))*(VLOOKUP($B$5,标准坦克设计!$B$24:$U$30,MATCH("对"&amp;LEFT($C$5,2)&amp;"输出",标准坦克设计!$B$23:$U$23,0)))*(VLOOKUP($B186,INDIRECT($B$5&amp;"生成成长"),3))*(VLOOKUP($B$5,标准坦克设计!$B$14:$K$20,9)/30))</f>
        <v>39.926842115521303</v>
      </c>
      <c r="FB186" s="172">
        <f ca="1">(VLOOKUP(FB$72,INDIRECT($C$5&amp;"生成成长"),2))/((VLOOKUP($B186,INDIRECT($B$5&amp;"生成成长"),4))/(VLOOKUP(FB$72,INDIRECT($C$5&amp;"生成成长"),5))*(VLOOKUP($B$5,标准坦克设计!$B$24:$U$30,MATCH("对"&amp;LEFT($C$5,2)&amp;"输出",标准坦克设计!$B$23:$U$23,0)))*(VLOOKUP($B186,INDIRECT($B$5&amp;"生成成长"),3))*(VLOOKUP($B$5,标准坦克设计!$B$14:$K$20,9)/30))</f>
        <v>42.41814198442227</v>
      </c>
      <c r="FC186" s="172">
        <f ca="1">(VLOOKUP(FC$72,INDIRECT($C$5&amp;"生成成长"),2))/((VLOOKUP($B186,INDIRECT($B$5&amp;"生成成长"),4))/(VLOOKUP(FC$72,INDIRECT($C$5&amp;"生成成长"),5))*(VLOOKUP($B$5,标准坦克设计!$B$24:$U$30,MATCH("对"&amp;LEFT($C$5,2)&amp;"输出",标准坦克设计!$B$23:$U$23,0)))*(VLOOKUP($B186,INDIRECT($B$5&amp;"生成成长"),3))*(VLOOKUP($B$5,标准坦克设计!$B$14:$K$20,9)/30))</f>
        <v>44.984831945642114</v>
      </c>
      <c r="FD186" s="172">
        <f ca="1">(VLOOKUP(FD$72,INDIRECT($C$5&amp;"生成成长"),2))/((VLOOKUP($B186,INDIRECT($B$5&amp;"生成成长"),4))/(VLOOKUP(FD$72,INDIRECT($C$5&amp;"生成成长"),5))*(VLOOKUP($B$5,标准坦克设计!$B$24:$U$30,MATCH("对"&amp;LEFT($C$5,2)&amp;"输出",标准坦克设计!$B$23:$U$23,0)))*(VLOOKUP($B186,INDIRECT($B$5&amp;"生成成长"),3))*(VLOOKUP($B$5,标准坦克设计!$B$14:$K$20,9)/30))</f>
        <v>47.626911999180827</v>
      </c>
      <c r="FE186" s="172">
        <f ca="1">(VLOOKUP(FE$72,INDIRECT($C$5&amp;"生成成长"),2))/((VLOOKUP($B186,INDIRECT($B$5&amp;"生成成长"),4))/(VLOOKUP(FE$72,INDIRECT($C$5&amp;"生成成长"),5))*(VLOOKUP($B$5,标准坦克设计!$B$24:$U$30,MATCH("对"&amp;LEFT($C$5,2)&amp;"输出",标准坦克设计!$B$23:$U$23,0)))*(VLOOKUP($B186,INDIRECT($B$5&amp;"生成成长"),3))*(VLOOKUP($B$5,标准坦克设计!$B$14:$K$20,9)/30))</f>
        <v>50.846567388088111</v>
      </c>
      <c r="FF186" s="172">
        <f ca="1">(VLOOKUP(FF$72,INDIRECT($C$5&amp;"生成成长"),2))/((VLOOKUP($B186,INDIRECT($B$5&amp;"生成成长"),4))/(VLOOKUP(FF$72,INDIRECT($C$5&amp;"生成成长"),5))*(VLOOKUP($B$5,标准坦克设计!$B$24:$U$30,MATCH("对"&amp;LEFT($C$5,2)&amp;"输出",标准坦克设计!$B$23:$U$23,0)))*(VLOOKUP($B186,INDIRECT($B$5&amp;"生成成长"),3))*(VLOOKUP($B$5,标准坦克设计!$B$14:$K$20,9)/30))</f>
        <v>54.171519682796131</v>
      </c>
      <c r="FG186" s="172">
        <f ca="1">(VLOOKUP(FG$72,INDIRECT($C$5&amp;"生成成长"),2))/((VLOOKUP($B186,INDIRECT($B$5&amp;"生成成长"),4))/(VLOOKUP(FG$72,INDIRECT($C$5&amp;"生成成长"),5))*(VLOOKUP($B$5,标准坦克设计!$B$24:$U$30,MATCH("对"&amp;LEFT($C$5,2)&amp;"输出",标准坦克设计!$B$23:$U$23,0)))*(VLOOKUP($B186,INDIRECT($B$5&amp;"生成成长"),3))*(VLOOKUP($B$5,标准坦克设计!$B$14:$K$20,9)/30))</f>
        <v>57.601768883304892</v>
      </c>
      <c r="FH186" s="172">
        <f ca="1">(VLOOKUP(FH$72,INDIRECT($C$5&amp;"生成成长"),2))/((VLOOKUP($B186,INDIRECT($B$5&amp;"生成成长"),4))/(VLOOKUP(FH$72,INDIRECT($C$5&amp;"生成成长"),5))*(VLOOKUP($B$5,标准坦克设计!$B$24:$U$30,MATCH("对"&amp;LEFT($C$5,2)&amp;"输出",标准坦克设计!$B$23:$U$23,0)))*(VLOOKUP($B186,INDIRECT($B$5&amp;"生成成长"),3))*(VLOOKUP($B$5,标准坦克设计!$B$14:$K$20,9)/30))</f>
        <v>61.137314989614396</v>
      </c>
      <c r="FI186" s="172">
        <f ca="1">(VLOOKUP(FI$72,INDIRECT($C$5&amp;"生成成长"),2))/((VLOOKUP($B186,INDIRECT($B$5&amp;"生成成长"),4))/(VLOOKUP(FI$72,INDIRECT($C$5&amp;"生成成长"),5))*(VLOOKUP($B$5,标准坦克设计!$B$24:$U$30,MATCH("对"&amp;LEFT($C$5,2)&amp;"输出",标准坦克设计!$B$23:$U$23,0)))*(VLOOKUP($B186,INDIRECT($B$5&amp;"生成成长"),3))*(VLOOKUP($B$5,标准坦克设计!$B$14:$K$20,9)/30))</f>
        <v>64.778158001724648</v>
      </c>
      <c r="FJ186" s="172">
        <f ca="1">(VLOOKUP(FJ$72,INDIRECT($C$5&amp;"生成成长"),2))/((VLOOKUP($B186,INDIRECT($B$5&amp;"生成成长"),4))/(VLOOKUP(FJ$72,INDIRECT($C$5&amp;"生成成长"),5))*(VLOOKUP($B$5,标准坦克设计!$B$24:$U$30,MATCH("对"&amp;LEFT($C$5,2)&amp;"输出",标准坦克设计!$B$23:$U$23,0)))*(VLOOKUP($B186,INDIRECT($B$5&amp;"生成成长"),3))*(VLOOKUP($B$5,标准坦克设计!$B$14:$K$20,9)/30))</f>
        <v>68.524297919635629</v>
      </c>
      <c r="FK186" s="172">
        <f ca="1">(VLOOKUP(FK$72,INDIRECT($C$5&amp;"生成成长"),2))/((VLOOKUP($B186,INDIRECT($B$5&amp;"生成成长"),4))/(VLOOKUP(FK$72,INDIRECT($C$5&amp;"生成成长"),5))*(VLOOKUP($B$5,标准坦克设计!$B$24:$U$30,MATCH("对"&amp;LEFT($C$5,2)&amp;"输出",标准坦克设计!$B$23:$U$23,0)))*(VLOOKUP($B186,INDIRECT($B$5&amp;"生成成长"),3))*(VLOOKUP($B$5,标准坦克设计!$B$14:$K$20,9)/30))</f>
        <v>72.375734743347365</v>
      </c>
    </row>
    <row r="187" spans="1:167" x14ac:dyDescent="0.15">
      <c r="A187" s="170" t="str">
        <f t="shared" si="12"/>
        <v>T3高品质4级</v>
      </c>
      <c r="B187" s="171">
        <v>30304</v>
      </c>
      <c r="C187" s="172">
        <f ca="1">(VLOOKUP(C$72,INDIRECT($C$5&amp;"生成成长"),2))/((VLOOKUP($B187,INDIRECT($B$5&amp;"生成成长"),4))/(VLOOKUP(C$72,INDIRECT($C$5&amp;"生成成长"),5))*(VLOOKUP($B$5,标准坦克设计!$B$24:$U$30,MATCH("对"&amp;LEFT($C$5,2)&amp;"输出",标准坦克设计!$B$23:$U$23,0)))*(VLOOKUP($B187,INDIRECT($B$5&amp;"生成成长"),3))*(VLOOKUP($B$5,标准坦克设计!$B$14:$K$20,9)/30))</f>
        <v>2.8014268313628685</v>
      </c>
      <c r="D187" s="172">
        <f ca="1">(VLOOKUP(D$72,INDIRECT($C$5&amp;"生成成长"),2))/((VLOOKUP($B187,INDIRECT($B$5&amp;"生成成长"),4))/(VLOOKUP(D$72,INDIRECT($C$5&amp;"生成成长"),5))*(VLOOKUP($B$5,标准坦克设计!$B$24:$U$30,MATCH("对"&amp;LEFT($C$5,2)&amp;"输出",标准坦克设计!$B$23:$U$23,0)))*(VLOOKUP($B187,INDIRECT($B$5&amp;"生成成长"),3))*(VLOOKUP($B$5,标准坦克设计!$B$14:$K$20,9)/30))</f>
        <v>3.147683187719319</v>
      </c>
      <c r="E187" s="172">
        <f ca="1">(VLOOKUP(E$72,INDIRECT($C$5&amp;"生成成长"),2))/((VLOOKUP($B187,INDIRECT($B$5&amp;"生成成长"),4))/(VLOOKUP(E$72,INDIRECT($C$5&amp;"生成成长"),5))*(VLOOKUP($B$5,标准坦克设计!$B$24:$U$30,MATCH("对"&amp;LEFT($C$5,2)&amp;"输出",标准坦克设计!$B$23:$U$23,0)))*(VLOOKUP($B187,INDIRECT($B$5&amp;"生成成长"),3))*(VLOOKUP($B$5,标准坦克设计!$B$14:$K$20,9)/30))</f>
        <v>3.5141098172615819</v>
      </c>
      <c r="F187" s="172">
        <f ca="1">(VLOOKUP(F$72,INDIRECT($C$5&amp;"生成成长"),2))/((VLOOKUP($B187,INDIRECT($B$5&amp;"生成成长"),4))/(VLOOKUP(F$72,INDIRECT($C$5&amp;"生成成长"),5))*(VLOOKUP($B$5,标准坦克设计!$B$24:$U$30,MATCH("对"&amp;LEFT($C$5,2)&amp;"输出",标准坦克设计!$B$23:$U$23,0)))*(VLOOKUP($B187,INDIRECT($B$5&amp;"生成成长"),3))*(VLOOKUP($B$5,标准坦克设计!$B$14:$K$20,9)/30))</f>
        <v>3.9007067199896581</v>
      </c>
      <c r="G187" s="172">
        <f ca="1">(VLOOKUP(G$72,INDIRECT($C$5&amp;"生成成长"),2))/((VLOOKUP($B187,INDIRECT($B$5&amp;"生成成长"),4))/(VLOOKUP(G$72,INDIRECT($C$5&amp;"生成成长"),5))*(VLOOKUP($B$5,标准坦克设计!$B$24:$U$30,MATCH("对"&amp;LEFT($C$5,2)&amp;"输出",标准坦克设计!$B$23:$U$23,0)))*(VLOOKUP($B187,INDIRECT($B$5&amp;"生成成长"),3))*(VLOOKUP($B$5,标准坦克设计!$B$14:$K$20,9)/30))</f>
        <v>4.3074738959035468</v>
      </c>
      <c r="H187" s="172">
        <f ca="1">(VLOOKUP(H$72,INDIRECT($C$5&amp;"生成成长"),2))/((VLOOKUP($B187,INDIRECT($B$5&amp;"生成成长"),4))/(VLOOKUP(H$72,INDIRECT($C$5&amp;"生成成长"),5))*(VLOOKUP($B$5,标准坦克设计!$B$24:$U$30,MATCH("对"&amp;LEFT($C$5,2)&amp;"输出",标准坦克设计!$B$23:$U$23,0)))*(VLOOKUP($B187,INDIRECT($B$5&amp;"生成成长"),3))*(VLOOKUP($B$5,标准坦克设计!$B$14:$K$20,9)/30))</f>
        <v>3.7695999442818757</v>
      </c>
      <c r="I187" s="172">
        <f ca="1">(VLOOKUP(I$72,INDIRECT($C$5&amp;"生成成长"),2))/((VLOOKUP($B187,INDIRECT($B$5&amp;"生成成长"),4))/(VLOOKUP(I$72,INDIRECT($C$5&amp;"生成成长"),5))*(VLOOKUP($B$5,标准坦克设计!$B$24:$U$30,MATCH("对"&amp;LEFT($C$5,2)&amp;"输出",标准坦克设计!$B$23:$U$23,0)))*(VLOOKUP($B187,INDIRECT($B$5&amp;"生成成长"),3))*(VLOOKUP($B$5,标准坦克设计!$B$14:$K$20,9)/30))</f>
        <v>4.3074738959035468</v>
      </c>
      <c r="J187" s="172">
        <f ca="1">(VLOOKUP(J$72,INDIRECT($C$5&amp;"生成成长"),2))/((VLOOKUP($B187,INDIRECT($B$5&amp;"生成成长"),4))/(VLOOKUP(J$72,INDIRECT($C$5&amp;"生成成长"),5))*(VLOOKUP($B$5,标准坦克设计!$B$24:$U$30,MATCH("对"&amp;LEFT($C$5,2)&amp;"输出",标准坦克设计!$B$23:$U$23,0)))*(VLOOKUP($B187,INDIRECT($B$5&amp;"生成成长"),3))*(VLOOKUP($B$5,标准坦克设计!$B$14:$K$20,9)/30))</f>
        <v>4.8812061109666622</v>
      </c>
      <c r="K187" s="172">
        <f ca="1">(VLOOKUP(K$72,INDIRECT($C$5&amp;"生成成长"),2))/((VLOOKUP($B187,INDIRECT($B$5&amp;"生成成长"),4))/(VLOOKUP(K$72,INDIRECT($C$5&amp;"生成成长"),5))*(VLOOKUP($B$5,标准坦克设计!$B$24:$U$30,MATCH("对"&amp;LEFT($C$5,2)&amp;"输出",标准坦克设计!$B$23:$U$23,0)))*(VLOOKUP($B187,INDIRECT($B$5&amp;"生成成长"),3))*(VLOOKUP($B$5,标准坦克设计!$B$14:$K$20,9)/30))</f>
        <v>5.4907965894712216</v>
      </c>
      <c r="L187" s="172">
        <f ca="1">(VLOOKUP(L$72,INDIRECT($C$5&amp;"生成成长"),2))/((VLOOKUP($B187,INDIRECT($B$5&amp;"生成成长"),4))/(VLOOKUP(L$72,INDIRECT($C$5&amp;"生成成长"),5))*(VLOOKUP($B$5,标准坦克设计!$B$24:$U$30,MATCH("对"&amp;LEFT($C$5,2)&amp;"输出",标准坦克设计!$B$23:$U$23,0)))*(VLOOKUP($B187,INDIRECT($B$5&amp;"生成成长"),3))*(VLOOKUP($B$5,标准坦克设计!$B$14:$K$20,9)/30))</f>
        <v>6.1362453314172267</v>
      </c>
      <c r="M187" s="172">
        <f ca="1">(VLOOKUP(M$72,INDIRECT($C$5&amp;"生成成长"),2))/((VLOOKUP($B187,INDIRECT($B$5&amp;"生成成长"),4))/(VLOOKUP(M$72,INDIRECT($C$5&amp;"生成成长"),5))*(VLOOKUP($B$5,标准坦克设计!$B$24:$U$30,MATCH("对"&amp;LEFT($C$5,2)&amp;"输出",标准坦克设计!$B$23:$U$23,0)))*(VLOOKUP($B187,INDIRECT($B$5&amp;"生成成长"),3))*(VLOOKUP($B$5,标准坦克设计!$B$14:$K$20,9)/30))</f>
        <v>6.8175523368046766</v>
      </c>
      <c r="N187" s="172">
        <f ca="1">(VLOOKUP(N$72,INDIRECT($C$5&amp;"生成成长"),2))/((VLOOKUP($B187,INDIRECT($B$5&amp;"生成成长"),4))/(VLOOKUP(N$72,INDIRECT($C$5&amp;"生成成长"),5))*(VLOOKUP($B$5,标准坦克设计!$B$24:$U$30,MATCH("对"&amp;LEFT($C$5,2)&amp;"输出",标准坦克设计!$B$23:$U$23,0)))*(VLOOKUP($B187,INDIRECT($B$5&amp;"生成成长"),3))*(VLOOKUP($B$5,标准坦克设计!$B$14:$K$20,9)/30))</f>
        <v>7.5347176056335705</v>
      </c>
      <c r="O187" s="172">
        <f ca="1">(VLOOKUP(O$72,INDIRECT($C$5&amp;"生成成长"),2))/((VLOOKUP($B187,INDIRECT($B$5&amp;"生成成长"),4))/(VLOOKUP(O$72,INDIRECT($C$5&amp;"生成成长"),5))*(VLOOKUP($B$5,标准坦克设计!$B$24:$U$30,MATCH("对"&amp;LEFT($C$5,2)&amp;"输出",标准坦克设计!$B$23:$U$23,0)))*(VLOOKUP($B187,INDIRECT($B$5&amp;"生成成长"),3))*(VLOOKUP($B$5,标准坦克设计!$B$14:$K$20,9)/30))</f>
        <v>5.7286377274539291</v>
      </c>
      <c r="P187" s="172">
        <f ca="1">(VLOOKUP(P$72,INDIRECT($C$5&amp;"生成成长"),2))/((VLOOKUP($B187,INDIRECT($B$5&amp;"生成成长"),4))/(VLOOKUP(P$72,INDIRECT($C$5&amp;"生成成长"),5))*(VLOOKUP($B$5,标准坦克设计!$B$24:$U$30,MATCH("对"&amp;LEFT($C$5,2)&amp;"输出",标准坦克设计!$B$23:$U$23,0)))*(VLOOKUP($B187,INDIRECT($B$5&amp;"生成成长"),3))*(VLOOKUP($B$5,标准坦克设计!$B$14:$K$20,9)/30))</f>
        <v>6.4724165511807712</v>
      </c>
      <c r="Q187" s="172">
        <f ca="1">(VLOOKUP(Q$72,INDIRECT($C$5&amp;"生成成长"),2))/((VLOOKUP($B187,INDIRECT($B$5&amp;"生成成长"),4))/(VLOOKUP(Q$72,INDIRECT($C$5&amp;"生成成长"),5))*(VLOOKUP($B$5,标准坦克设计!$B$24:$U$30,MATCH("对"&amp;LEFT($C$5,2)&amp;"输出",标准坦克设计!$B$23:$U$23,0)))*(VLOOKUP($B187,INDIRECT($B$5&amp;"生成成长"),3))*(VLOOKUP($B$5,标准坦克设计!$B$14:$K$20,9)/30))</f>
        <v>7.2615784895756912</v>
      </c>
      <c r="R187" s="172">
        <f ca="1">(VLOOKUP(R$72,INDIRECT($C$5&amp;"生成成长"),2))/((VLOOKUP($B187,INDIRECT($B$5&amp;"生成成长"),4))/(VLOOKUP(R$72,INDIRECT($C$5&amp;"生成成长"),5))*(VLOOKUP($B$5,标准坦克设计!$B$24:$U$30,MATCH("对"&amp;LEFT($C$5,2)&amp;"输出",标准坦克设计!$B$23:$U$23,0)))*(VLOOKUP($B187,INDIRECT($B$5&amp;"生成成长"),3))*(VLOOKUP($B$5,标准坦克设计!$B$14:$K$20,9)/30))</f>
        <v>8.0961235426386882</v>
      </c>
      <c r="S187" s="172">
        <f ca="1">(VLOOKUP(S$72,INDIRECT($C$5&amp;"生成成长"),2))/((VLOOKUP($B187,INDIRECT($B$5&amp;"生成成长"),4))/(VLOOKUP(S$72,INDIRECT($C$5&amp;"生成成长"),5))*(VLOOKUP($B$5,标准坦克设计!$B$24:$U$30,MATCH("对"&amp;LEFT($C$5,2)&amp;"输出",标准坦克设计!$B$23:$U$23,0)))*(VLOOKUP($B187,INDIRECT($B$5&amp;"生成成长"),3))*(VLOOKUP($B$5,标准坦克设计!$B$14:$K$20,9)/30))</f>
        <v>8.9760517103697683</v>
      </c>
      <c r="T187" s="172">
        <f ca="1">(VLOOKUP(T$72,INDIRECT($C$5&amp;"生成成长"),2))/((VLOOKUP($B187,INDIRECT($B$5&amp;"生成成长"),4))/(VLOOKUP(T$72,INDIRECT($C$5&amp;"生成成长"),5))*(VLOOKUP($B$5,标准坦克设计!$B$24:$U$30,MATCH("对"&amp;LEFT($C$5,2)&amp;"输出",标准坦克设计!$B$23:$U$23,0)))*(VLOOKUP($B187,INDIRECT($B$5&amp;"生成成长"),3))*(VLOOKUP($B$5,标准坦克设计!$B$14:$K$20,9)/30))</f>
        <v>9.901362992768922</v>
      </c>
      <c r="U187" s="172">
        <f ca="1">(VLOOKUP(U$72,INDIRECT($C$5&amp;"生成成长"),2))/((VLOOKUP($B187,INDIRECT($B$5&amp;"生成成长"),4))/(VLOOKUP(U$72,INDIRECT($C$5&amp;"生成成长"),5))*(VLOOKUP($B$5,标准坦克设计!$B$24:$U$30,MATCH("对"&amp;LEFT($C$5,2)&amp;"输出",标准坦克设计!$B$23:$U$23,0)))*(VLOOKUP($B187,INDIRECT($B$5&amp;"生成成长"),3))*(VLOOKUP($B$5,标准坦克设计!$B$14:$K$20,9)/30))</f>
        <v>10.872057389836158</v>
      </c>
      <c r="V187" s="172">
        <f ca="1">(VLOOKUP(V$72,INDIRECT($C$5&amp;"生成成长"),2))/((VLOOKUP($B187,INDIRECT($B$5&amp;"生成成长"),4))/(VLOOKUP(V$72,INDIRECT($C$5&amp;"生成成长"),5))*(VLOOKUP($B$5,标准坦克设计!$B$24:$U$30,MATCH("对"&amp;LEFT($C$5,2)&amp;"输出",标准坦克设计!$B$23:$U$23,0)))*(VLOOKUP($B187,INDIRECT($B$5&amp;"生成成长"),3))*(VLOOKUP($B$5,标准坦克设计!$B$14:$K$20,9)/30))</f>
        <v>11.888134901571467</v>
      </c>
      <c r="W187" s="172">
        <f ca="1">(VLOOKUP(W$72,INDIRECT($C$5&amp;"生成成长"),2))/((VLOOKUP($B187,INDIRECT($B$5&amp;"生成成长"),4))/(VLOOKUP(W$72,INDIRECT($C$5&amp;"生成成长"),5))*(VLOOKUP($B$5,标准坦克设计!$B$24:$U$30,MATCH("对"&amp;LEFT($C$5,2)&amp;"输出",标准坦克设计!$B$23:$U$23,0)))*(VLOOKUP($B187,INDIRECT($B$5&amp;"生成成长"),3))*(VLOOKUP($B$5,标准坦克设计!$B$14:$K$20,9)/30))</f>
        <v>12.949595527974859</v>
      </c>
      <c r="X187" s="172">
        <f ca="1">(VLOOKUP(X$72,INDIRECT($C$5&amp;"生成成长"),2))/((VLOOKUP($B187,INDIRECT($B$5&amp;"生成成长"),4))/(VLOOKUP(X$72,INDIRECT($C$5&amp;"生成成长"),5))*(VLOOKUP($B$5,标准坦克设计!$B$24:$U$30,MATCH("对"&amp;LEFT($C$5,2)&amp;"输出",标准坦克设计!$B$23:$U$23,0)))*(VLOOKUP($B187,INDIRECT($B$5&amp;"生成成长"),3))*(VLOOKUP($B$5,标准坦克设计!$B$14:$K$20,9)/30))</f>
        <v>9.3816983155511107</v>
      </c>
      <c r="Y187" s="172">
        <f ca="1">(VLOOKUP(Y$72,INDIRECT($C$5&amp;"生成成长"),2))/((VLOOKUP($B187,INDIRECT($B$5&amp;"生成成长"),4))/(VLOOKUP(Y$72,INDIRECT($C$5&amp;"生成成长"),5))*(VLOOKUP($B$5,标准坦克设计!$B$24:$U$30,MATCH("对"&amp;LEFT($C$5,2)&amp;"输出",标准坦克设计!$B$23:$U$23,0)))*(VLOOKUP($B187,INDIRECT($B$5&amp;"生成成长"),3))*(VLOOKUP($B$5,标准坦克设计!$B$14:$K$20,9)/30))</f>
        <v>10.435034804143548</v>
      </c>
      <c r="Z187" s="172">
        <f ca="1">(VLOOKUP(Z$72,INDIRECT($C$5&amp;"生成成长"),2))/((VLOOKUP($B187,INDIRECT($B$5&amp;"生成成长"),4))/(VLOOKUP(Z$72,INDIRECT($C$5&amp;"生成成长"),5))*(VLOOKUP($B$5,标准坦克设计!$B$24:$U$30,MATCH("对"&amp;LEFT($C$5,2)&amp;"输出",标准坦克设计!$B$23:$U$23,0)))*(VLOOKUP($B187,INDIRECT($B$5&amp;"生成成长"),3))*(VLOOKUP($B$5,标准坦克设计!$B$14:$K$20,9)/30))</f>
        <v>11.544399829363245</v>
      </c>
      <c r="AA187" s="172">
        <f ca="1">(VLOOKUP(AA$72,INDIRECT($C$5&amp;"生成成长"),2))/((VLOOKUP($B187,INDIRECT($B$5&amp;"生成成长"),4))/(VLOOKUP(AA$72,INDIRECT($C$5&amp;"生成成长"),5))*(VLOOKUP($B$5,标准坦克设计!$B$24:$U$30,MATCH("对"&amp;LEFT($C$5,2)&amp;"输出",标准坦克设计!$B$23:$U$23,0)))*(VLOOKUP($B187,INDIRECT($B$5&amp;"生成成长"),3))*(VLOOKUP($B$5,标准坦克设计!$B$14:$K$20,9)/30))</f>
        <v>12.709793391210196</v>
      </c>
      <c r="AB187" s="172">
        <f ca="1">(VLOOKUP(AB$72,INDIRECT($C$5&amp;"生成成长"),2))/((VLOOKUP($B187,INDIRECT($B$5&amp;"生成成长"),4))/(VLOOKUP(AB$72,INDIRECT($C$5&amp;"生成成长"),5))*(VLOOKUP($B$5,标准坦克设计!$B$24:$U$30,MATCH("对"&amp;LEFT($C$5,2)&amp;"输出",标准坦克设计!$B$23:$U$23,0)))*(VLOOKUP($B187,INDIRECT($B$5&amp;"生成成长"),3))*(VLOOKUP($B$5,标准坦克设计!$B$14:$K$20,9)/30))</f>
        <v>13.93121548968441</v>
      </c>
      <c r="AC187" s="172">
        <f ca="1">(VLOOKUP(AC$72,INDIRECT($C$5&amp;"生成成长"),2))/((VLOOKUP($B187,INDIRECT($B$5&amp;"生成成长"),4))/(VLOOKUP(AC$72,INDIRECT($C$5&amp;"生成成长"),5))*(VLOOKUP($B$5,标准坦克设计!$B$24:$U$30,MATCH("对"&amp;LEFT($C$5,2)&amp;"输出",标准坦克设计!$B$23:$U$23,0)))*(VLOOKUP($B187,INDIRECT($B$5&amp;"生成成长"),3))*(VLOOKUP($B$5,标准坦克设计!$B$14:$K$20,9)/30))</f>
        <v>15.208666124785875</v>
      </c>
      <c r="AD187" s="172">
        <f ca="1">(VLOOKUP(AD$72,INDIRECT($C$5&amp;"生成成长"),2))/((VLOOKUP($B187,INDIRECT($B$5&amp;"生成成长"),4))/(VLOOKUP(AD$72,INDIRECT($C$5&amp;"生成成长"),5))*(VLOOKUP($B$5,标准坦克设计!$B$24:$U$30,MATCH("对"&amp;LEFT($C$5,2)&amp;"输出",标准坦克设计!$B$23:$U$23,0)))*(VLOOKUP($B187,INDIRECT($B$5&amp;"生成成长"),3))*(VLOOKUP($B$5,标准坦克设计!$B$14:$K$20,9)/30))</f>
        <v>16.542145296514601</v>
      </c>
      <c r="AE187" s="172">
        <f ca="1">(VLOOKUP(AE$72,INDIRECT($C$5&amp;"生成成长"),2))/((VLOOKUP($B187,INDIRECT($B$5&amp;"生成成长"),4))/(VLOOKUP(AE$72,INDIRECT($C$5&amp;"生成成长"),5))*(VLOOKUP($B$5,标准坦克设计!$B$24:$U$30,MATCH("对"&amp;LEFT($C$5,2)&amp;"输出",标准坦克设计!$B$23:$U$23,0)))*(VLOOKUP($B187,INDIRECT($B$5&amp;"生成成长"),3))*(VLOOKUP($B$5,标准坦克设计!$B$14:$K$20,9)/30))</f>
        <v>17.93165300487059</v>
      </c>
      <c r="AF187" s="172">
        <f ca="1">(VLOOKUP(AF$72,INDIRECT($C$5&amp;"生成成长"),2))/((VLOOKUP($B187,INDIRECT($B$5&amp;"生成成长"),4))/(VLOOKUP(AF$72,INDIRECT($C$5&amp;"生成成长"),5))*(VLOOKUP($B$5,标准坦克设计!$B$24:$U$30,MATCH("对"&amp;LEFT($C$5,2)&amp;"输出",标准坦克设计!$B$23:$U$23,0)))*(VLOOKUP($B187,INDIRECT($B$5&amp;"生成成长"),3))*(VLOOKUP($B$5,标准坦克设计!$B$14:$K$20,9)/30))</f>
        <v>19.377189249853824</v>
      </c>
      <c r="AG187" s="172">
        <f ca="1">(VLOOKUP(AG$72,INDIRECT($C$5&amp;"生成成长"),2))/((VLOOKUP($B187,INDIRECT($B$5&amp;"生成成长"),4))/(VLOOKUP(AG$72,INDIRECT($C$5&amp;"生成成长"),5))*(VLOOKUP($B$5,标准坦克设计!$B$24:$U$30,MATCH("对"&amp;LEFT($C$5,2)&amp;"输出",标准坦克设计!$B$23:$U$23,0)))*(VLOOKUP($B187,INDIRECT($B$5&amp;"生成成长"),3))*(VLOOKUP($B$5,标准坦克设计!$B$14:$K$20,9)/30))</f>
        <v>20.878754031464322</v>
      </c>
      <c r="AH187" s="172">
        <f ca="1">(VLOOKUP(AH$72,INDIRECT($C$5&amp;"生成成长"),2))/((VLOOKUP($B187,INDIRECT($B$5&amp;"生成成长"),4))/(VLOOKUP(AH$72,INDIRECT($C$5&amp;"生成成长"),5))*(VLOOKUP($B$5,标准坦克设计!$B$24:$U$30,MATCH("对"&amp;LEFT($C$5,2)&amp;"输出",标准坦克设计!$B$23:$U$23,0)))*(VLOOKUP($B187,INDIRECT($B$5&amp;"生成成长"),3))*(VLOOKUP($B$5,标准坦克设计!$B$14:$K$20,9)/30))</f>
        <v>22.436347349702078</v>
      </c>
      <c r="AI187" s="172">
        <f ca="1">(VLOOKUP(AI$72,INDIRECT($C$5&amp;"生成成长"),2))/((VLOOKUP($B187,INDIRECT($B$5&amp;"生成成长"),4))/(VLOOKUP(AI$72,INDIRECT($C$5&amp;"生成成长"),5))*(VLOOKUP($B$5,标准坦克设计!$B$24:$U$30,MATCH("对"&amp;LEFT($C$5,2)&amp;"输出",标准坦克设计!$B$23:$U$23,0)))*(VLOOKUP($B187,INDIRECT($B$5&amp;"生成成长"),3))*(VLOOKUP($B$5,标准坦克设计!$B$14:$K$20,9)/30))</f>
        <v>15.868402143571831</v>
      </c>
      <c r="AJ187" s="172">
        <f ca="1">(VLOOKUP(AJ$72,INDIRECT($C$5&amp;"生成成长"),2))/((VLOOKUP($B187,INDIRECT($B$5&amp;"生成成长"),4))/(VLOOKUP(AJ$72,INDIRECT($C$5&amp;"生成成长"),5))*(VLOOKUP($B$5,标准坦克设计!$B$24:$U$30,MATCH("对"&amp;LEFT($C$5,2)&amp;"输出",标准坦克设计!$B$23:$U$23,0)))*(VLOOKUP($B187,INDIRECT($B$5&amp;"生成成长"),3))*(VLOOKUP($B$5,标准坦克设计!$B$14:$K$20,9)/30))</f>
        <v>17.369126497132921</v>
      </c>
      <c r="AK187" s="172">
        <f ca="1">(VLOOKUP(AK$72,INDIRECT($C$5&amp;"生成成长"),2))/((VLOOKUP($B187,INDIRECT($B$5&amp;"生成成长"),4))/(VLOOKUP(AK$72,INDIRECT($C$5&amp;"生成成长"),5))*(VLOOKUP($B$5,标准坦克设计!$B$24:$U$30,MATCH("对"&amp;LEFT($C$5,2)&amp;"输出",标准坦克设计!$B$23:$U$23,0)))*(VLOOKUP($B187,INDIRECT($B$5&amp;"生成成长"),3))*(VLOOKUP($B$5,标准坦克设计!$B$14:$K$20,9)/30))</f>
        <v>18.937645380012992</v>
      </c>
      <c r="AL187" s="172">
        <f ca="1">(VLOOKUP(AL$72,INDIRECT($C$5&amp;"生成成长"),2))/((VLOOKUP($B187,INDIRECT($B$5&amp;"生成成长"),4))/(VLOOKUP(AL$72,INDIRECT($C$5&amp;"生成成长"),5))*(VLOOKUP($B$5,标准坦克设计!$B$24:$U$30,MATCH("对"&amp;LEFT($C$5,2)&amp;"输出",标准坦克设计!$B$23:$U$23,0)))*(VLOOKUP($B187,INDIRECT($B$5&amp;"生成成长"),3))*(VLOOKUP($B$5,标准坦克设计!$B$14:$K$20,9)/30))</f>
        <v>20.573958792212043</v>
      </c>
      <c r="AM187" s="172">
        <f ca="1">(VLOOKUP(AM$72,INDIRECT($C$5&amp;"生成成长"),2))/((VLOOKUP($B187,INDIRECT($B$5&amp;"生成成长"),4))/(VLOOKUP(AM$72,INDIRECT($C$5&amp;"生成成长"),5))*(VLOOKUP($B$5,标准坦克设计!$B$24:$U$30,MATCH("对"&amp;LEFT($C$5,2)&amp;"输出",标准坦克设计!$B$23:$U$23,0)))*(VLOOKUP($B187,INDIRECT($B$5&amp;"生成成长"),3))*(VLOOKUP($B$5,标准坦克设计!$B$14:$K$20,9)/30))</f>
        <v>22.278066733730075</v>
      </c>
      <c r="AN187" s="172">
        <f ca="1">(VLOOKUP(AN$72,INDIRECT($C$5&amp;"生成成长"),2))/((VLOOKUP($B187,INDIRECT($B$5&amp;"生成成长"),4))/(VLOOKUP(AN$72,INDIRECT($C$5&amp;"生成成长"),5))*(VLOOKUP($B$5,标准坦克设计!$B$24:$U$30,MATCH("对"&amp;LEFT($C$5,2)&amp;"输出",标准坦克设计!$B$23:$U$23,0)))*(VLOOKUP($B187,INDIRECT($B$5&amp;"生成成长"),3))*(VLOOKUP($B$5,标准坦克设计!$B$14:$K$20,9)/30))</f>
        <v>24.049969204567084</v>
      </c>
      <c r="AO187" s="172">
        <f ca="1">(VLOOKUP(AO$72,INDIRECT($C$5&amp;"生成成长"),2))/((VLOOKUP($B187,INDIRECT($B$5&amp;"生成成长"),4))/(VLOOKUP(AO$72,INDIRECT($C$5&amp;"生成成长"),5))*(VLOOKUP($B$5,标准坦克设计!$B$24:$U$30,MATCH("对"&amp;LEFT($C$5,2)&amp;"输出",标准坦克设计!$B$23:$U$23,0)))*(VLOOKUP($B187,INDIRECT($B$5&amp;"生成成长"),3))*(VLOOKUP($B$5,标准坦克设计!$B$14:$K$20,9)/30))</f>
        <v>25.889666204723085</v>
      </c>
      <c r="AP187" s="172">
        <f ca="1">(VLOOKUP(AP$72,INDIRECT($C$5&amp;"生成成长"),2))/((VLOOKUP($B187,INDIRECT($B$5&amp;"生成成长"),4))/(VLOOKUP(AP$72,INDIRECT($C$5&amp;"生成成长"),5))*(VLOOKUP($B$5,标准坦克设计!$B$24:$U$30,MATCH("对"&amp;LEFT($C$5,2)&amp;"输出",标准坦克设计!$B$23:$U$23,0)))*(VLOOKUP($B187,INDIRECT($B$5&amp;"生成成长"),3))*(VLOOKUP($B$5,标准坦克设计!$B$14:$K$20,9)/30))</f>
        <v>27.797157734198063</v>
      </c>
      <c r="AQ187" s="172">
        <f ca="1">(VLOOKUP(AQ$72,INDIRECT($C$5&amp;"生成成长"),2))/((VLOOKUP($B187,INDIRECT($B$5&amp;"生成成长"),4))/(VLOOKUP(AQ$72,INDIRECT($C$5&amp;"生成成长"),5))*(VLOOKUP($B$5,标准坦克设计!$B$24:$U$30,MATCH("对"&amp;LEFT($C$5,2)&amp;"输出",标准坦克设计!$B$23:$U$23,0)))*(VLOOKUP($B187,INDIRECT($B$5&amp;"生成成长"),3))*(VLOOKUP($B$5,标准坦克设计!$B$14:$K$20,9)/30))</f>
        <v>29.772443792992021</v>
      </c>
      <c r="AR187" s="172">
        <f ca="1">(VLOOKUP(AR$72,INDIRECT($C$5&amp;"生成成长"),2))/((VLOOKUP($B187,INDIRECT($B$5&amp;"生成成长"),4))/(VLOOKUP(AR$72,INDIRECT($C$5&amp;"生成成长"),5))*(VLOOKUP($B$5,标准坦克设计!$B$24:$U$30,MATCH("对"&amp;LEFT($C$5,2)&amp;"输出",标准坦克设计!$B$23:$U$23,0)))*(VLOOKUP($B187,INDIRECT($B$5&amp;"生成成长"),3))*(VLOOKUP($B$5,标准坦克设计!$B$14:$K$20,9)/30))</f>
        <v>31.815524381104961</v>
      </c>
      <c r="AS187" s="172">
        <f ca="1">(VLOOKUP(AS$72,INDIRECT($C$5&amp;"生成成长"),2))/((VLOOKUP($B187,INDIRECT($B$5&amp;"生成成长"),4))/(VLOOKUP(AS$72,INDIRECT($C$5&amp;"生成成长"),5))*(VLOOKUP($B$5,标准坦克设计!$B$24:$U$30,MATCH("对"&amp;LEFT($C$5,2)&amp;"输出",标准坦克设计!$B$23:$U$23,0)))*(VLOOKUP($B187,INDIRECT($B$5&amp;"生成成长"),3))*(VLOOKUP($B$5,标准坦克设计!$B$14:$K$20,9)/30))</f>
        <v>33.926399498536881</v>
      </c>
      <c r="AT187" s="172">
        <f ca="1">(VLOOKUP(AT$72,INDIRECT($C$5&amp;"生成成长"),2))/((VLOOKUP($B187,INDIRECT($B$5&amp;"生成成长"),4))/(VLOOKUP(AT$72,INDIRECT($C$5&amp;"生成成长"),5))*(VLOOKUP($B$5,标准坦克设计!$B$24:$U$30,MATCH("对"&amp;LEFT($C$5,2)&amp;"输出",标准坦克设计!$B$23:$U$23,0)))*(VLOOKUP($B187,INDIRECT($B$5&amp;"生成成长"),3))*(VLOOKUP($B$5,标准坦克设计!$B$14:$K$20,9)/30))</f>
        <v>36.105069145287786</v>
      </c>
      <c r="AU187" s="172">
        <f ca="1">(VLOOKUP(AU$72,INDIRECT($C$5&amp;"生成成长"),2))/((VLOOKUP($B187,INDIRECT($B$5&amp;"生成成长"),4))/(VLOOKUP(AU$72,INDIRECT($C$5&amp;"生成成长"),5))*(VLOOKUP($B$5,标准坦克设计!$B$24:$U$30,MATCH("对"&amp;LEFT($C$5,2)&amp;"输出",标准坦克设计!$B$23:$U$23,0)))*(VLOOKUP($B187,INDIRECT($B$5&amp;"生成成长"),3))*(VLOOKUP($B$5,标准坦克设计!$B$14:$K$20,9)/30))</f>
        <v>38.351533321357671</v>
      </c>
      <c r="AV187" s="172">
        <f ca="1">(VLOOKUP(AV$72,INDIRECT($C$5&amp;"生成成长"),2))/((VLOOKUP($B187,INDIRECT($B$5&amp;"生成成长"),4))/(VLOOKUP(AV$72,INDIRECT($C$5&amp;"生成成长"),5))*(VLOOKUP($B$5,标准坦克设计!$B$24:$U$30,MATCH("对"&amp;LEFT($C$5,2)&amp;"输出",标准坦克设计!$B$23:$U$23,0)))*(VLOOKUP($B187,INDIRECT($B$5&amp;"生成成长"),3))*(VLOOKUP($B$5,标准坦克设计!$B$14:$K$20,9)/30))</f>
        <v>3.9007067199896581</v>
      </c>
      <c r="AW187" s="172">
        <f ca="1">(VLOOKUP(AW$72,INDIRECT($C$5&amp;"生成成长"),2))/((VLOOKUP($B187,INDIRECT($B$5&amp;"生成成长"),4))/(VLOOKUP(AW$72,INDIRECT($C$5&amp;"生成成长"),5))*(VLOOKUP($B$5,标准坦克设计!$B$24:$U$30,MATCH("对"&amp;LEFT($C$5,2)&amp;"输出",标准坦克设计!$B$23:$U$23,0)))*(VLOOKUP($B187,INDIRECT($B$5&amp;"生成成长"),3))*(VLOOKUP($B$5,标准坦克设计!$B$14:$K$20,9)/30))</f>
        <v>4.4475452374716902</v>
      </c>
      <c r="AX187" s="172">
        <f ca="1">(VLOOKUP(AX$72,INDIRECT($C$5&amp;"生成成长"),2))/((VLOOKUP($B187,INDIRECT($B$5&amp;"生成成长"),4))/(VLOOKUP(AX$72,INDIRECT($C$5&amp;"生成成长"),5))*(VLOOKUP($B$5,标准坦克设计!$B$24:$U$30,MATCH("对"&amp;LEFT($C$5,2)&amp;"输出",标准坦克设计!$B$23:$U$23,0)))*(VLOOKUP($B187,INDIRECT($B$5&amp;"生成成长"),3))*(VLOOKUP($B$5,标准坦克设计!$B$14:$K$20,9)/30))</f>
        <v>5.0302420183951657</v>
      </c>
      <c r="AY187" s="172">
        <f ca="1">(VLOOKUP(AY$72,INDIRECT($C$5&amp;"生成成长"),2))/((VLOOKUP($B187,INDIRECT($B$5&amp;"生成成长"),4))/(VLOOKUP(AY$72,INDIRECT($C$5&amp;"生成成长"),5))*(VLOOKUP($B$5,标准坦克设计!$B$24:$U$30,MATCH("对"&amp;LEFT($C$5,2)&amp;"输出",标准坦克设计!$B$23:$U$23,0)))*(VLOOKUP($B187,INDIRECT($B$5&amp;"生成成长"),3))*(VLOOKUP($B$5,标准坦克设计!$B$14:$K$20,9)/30))</f>
        <v>5.6487970627600887</v>
      </c>
      <c r="AZ187" s="172">
        <f ca="1">(VLOOKUP(AZ$72,INDIRECT($C$5&amp;"生成成长"),2))/((VLOOKUP($B187,INDIRECT($B$5&amp;"生成成长"),4))/(VLOOKUP(AZ$72,INDIRECT($C$5&amp;"生成成长"),5))*(VLOOKUP($B$5,标准坦克设计!$B$24:$U$30,MATCH("对"&amp;LEFT($C$5,2)&amp;"输出",标准坦克设计!$B$23:$U$23,0)))*(VLOOKUP($B187,INDIRECT($B$5&amp;"生成成长"),3))*(VLOOKUP($B$5,标准坦克设计!$B$14:$K$20,9)/30))</f>
        <v>6.3032103705664539</v>
      </c>
      <c r="BA187" s="172">
        <f ca="1">(VLOOKUP(BA$72,INDIRECT($C$5&amp;"生成成长"),2))/((VLOOKUP($B187,INDIRECT($B$5&amp;"生成成长"),4))/(VLOOKUP(BA$72,INDIRECT($C$5&amp;"生成成长"),5))*(VLOOKUP($B$5,标准坦克设计!$B$24:$U$30,MATCH("对"&amp;LEFT($C$5,2)&amp;"输出",标准坦克设计!$B$23:$U$23,0)))*(VLOOKUP($B187,INDIRECT($B$5&amp;"生成成长"),3))*(VLOOKUP($B$5,标准坦克设计!$B$14:$K$20,9)/30))</f>
        <v>6.993481941814264</v>
      </c>
      <c r="BB187" s="172">
        <f ca="1">(VLOOKUP(BB$72,INDIRECT($C$5&amp;"生成成长"),2))/((VLOOKUP($B187,INDIRECT($B$5&amp;"生成成长"),4))/(VLOOKUP(BB$72,INDIRECT($C$5&amp;"生成成长"),5))*(VLOOKUP($B$5,标准坦克设计!$B$24:$U$30,MATCH("对"&amp;LEFT($C$5,2)&amp;"输出",标准坦克设计!$B$23:$U$23,0)))*(VLOOKUP($B187,INDIRECT($B$5&amp;"生成成长"),3))*(VLOOKUP($B$5,标准坦克设计!$B$14:$K$20,9)/30))</f>
        <v>7.7196117765035188</v>
      </c>
      <c r="BC187" s="172">
        <f ca="1">(VLOOKUP(BC$72,INDIRECT($C$5&amp;"生成成长"),2))/((VLOOKUP($B187,INDIRECT($B$5&amp;"生成成长"),4))/(VLOOKUP(BC$72,INDIRECT($C$5&amp;"生成成长"),5))*(VLOOKUP($B$5,标准坦克设计!$B$24:$U$30,MATCH("对"&amp;LEFT($C$5,2)&amp;"输出",标准坦克设计!$B$23:$U$23,0)))*(VLOOKUP($B187,INDIRECT($B$5&amp;"生成成长"),3))*(VLOOKUP($B$5,标准坦克设计!$B$14:$K$20,9)/30))</f>
        <v>8.4815998746342203</v>
      </c>
      <c r="BD187" s="172">
        <f ca="1">(VLOOKUP(BD$72,INDIRECT($C$5&amp;"生成成长"),2))/((VLOOKUP($B187,INDIRECT($B$5&amp;"生成成长"),4))/(VLOOKUP(BD$72,INDIRECT($C$5&amp;"生成成长"),5))*(VLOOKUP($B$5,标准坦克设计!$B$24:$U$30,MATCH("对"&amp;LEFT($C$5,2)&amp;"输出",标准坦克设计!$B$23:$U$23,0)))*(VLOOKUP($B187,INDIRECT($B$5&amp;"生成成长"),3))*(VLOOKUP($B$5,标准坦克设计!$B$14:$K$20,9)/30))</f>
        <v>9.3816983155511107</v>
      </c>
      <c r="BE187" s="172">
        <f ca="1">(VLOOKUP(BE$72,INDIRECT($C$5&amp;"生成成长"),2))/((VLOOKUP($B187,INDIRECT($B$5&amp;"生成成长"),4))/(VLOOKUP(BE$72,INDIRECT($C$5&amp;"生成成长"),5))*(VLOOKUP($B$5,标准坦克设计!$B$24:$U$30,MATCH("对"&amp;LEFT($C$5,2)&amp;"输出",标准坦克设计!$B$23:$U$23,0)))*(VLOOKUP($B187,INDIRECT($B$5&amp;"生成成长"),3))*(VLOOKUP($B$5,标准坦克设计!$B$14:$K$20,9)/30))</f>
        <v>10.32717987113608</v>
      </c>
      <c r="BF187" s="172">
        <f ca="1">(VLOOKUP(BF$72,INDIRECT($C$5&amp;"生成成长"),2))/((VLOOKUP($B187,INDIRECT($B$5&amp;"生成成长"),4))/(VLOOKUP(BF$72,INDIRECT($C$5&amp;"生成成长"),5))*(VLOOKUP($B$5,标准坦克设计!$B$24:$U$30,MATCH("对"&amp;LEFT($C$5,2)&amp;"输出",标准坦克设计!$B$23:$U$23,0)))*(VLOOKUP($B187,INDIRECT($B$5&amp;"生成成长"),3))*(VLOOKUP($B$5,标准坦克设计!$B$14:$K$20,9)/30))</f>
        <v>11.318044541389124</v>
      </c>
      <c r="BG187" s="172">
        <f ca="1">(VLOOKUP(BG$72,INDIRECT($C$5&amp;"生成成长"),2))/((VLOOKUP($B187,INDIRECT($B$5&amp;"生成成长"),4))/(VLOOKUP(BG$72,INDIRECT($C$5&amp;"生成成长"),5))*(VLOOKUP($B$5,标准坦克设计!$B$24:$U$30,MATCH("对"&amp;LEFT($C$5,2)&amp;"输出",标准坦克设计!$B$23:$U$23,0)))*(VLOOKUP($B187,INDIRECT($B$5&amp;"生成成长"),3))*(VLOOKUP($B$5,标准坦克设计!$B$14:$K$20,9)/30))</f>
        <v>12.354292326310249</v>
      </c>
      <c r="BH187" s="172">
        <f ca="1">(VLOOKUP(BH$72,INDIRECT($C$5&amp;"生成成长"),2))/((VLOOKUP($B187,INDIRECT($B$5&amp;"生成成长"),4))/(VLOOKUP(BH$72,INDIRECT($C$5&amp;"生成成长"),5))*(VLOOKUP($B$5,标准坦克设计!$B$24:$U$30,MATCH("对"&amp;LEFT($C$5,2)&amp;"输出",标准坦克设计!$B$23:$U$23,0)))*(VLOOKUP($B187,INDIRECT($B$5&amp;"生成成长"),3))*(VLOOKUP($B$5,标准坦克设计!$B$14:$K$20,9)/30))</f>
        <v>5.9715214337330904</v>
      </c>
      <c r="BI187" s="172">
        <f ca="1">(VLOOKUP(BI$72,INDIRECT($C$5&amp;"生成成长"),2))/((VLOOKUP($B187,INDIRECT($B$5&amp;"生成成长"),4))/(VLOOKUP(BI$72,INDIRECT($C$5&amp;"生成成长"),5))*(VLOOKUP($B$5,标准坦克设计!$B$24:$U$30,MATCH("对"&amp;LEFT($C$5,2)&amp;"输出",标准坦克设计!$B$23:$U$23,0)))*(VLOOKUP($B187,INDIRECT($B$5&amp;"生成成长"),3))*(VLOOKUP($B$5,标准坦克设计!$B$14:$K$20,9)/30))</f>
        <v>6.7304279623492915</v>
      </c>
      <c r="BJ187" s="172">
        <f ca="1">(VLOOKUP(BJ$72,INDIRECT($C$5&amp;"生成成长"),2))/((VLOOKUP($B187,INDIRECT($B$5&amp;"生成成长"),4))/(VLOOKUP(BJ$72,INDIRECT($C$5&amp;"生成成长"),5))*(VLOOKUP($B$5,标准坦克设计!$B$24:$U$30,MATCH("对"&amp;LEFT($C$5,2)&amp;"输出",标准坦克设计!$B$23:$U$23,0)))*(VLOOKUP($B187,INDIRECT($B$5&amp;"生成成长"),3))*(VLOOKUP($B$5,标准坦克设计!$B$14:$K$20,9)/30))</f>
        <v>7.5347176056335705</v>
      </c>
      <c r="BK187" s="172">
        <f ca="1">(VLOOKUP(BK$72,INDIRECT($C$5&amp;"生成成长"),2))/((VLOOKUP($B187,INDIRECT($B$5&amp;"生成成长"),4))/(VLOOKUP(BK$72,INDIRECT($C$5&amp;"生成成长"),5))*(VLOOKUP($B$5,标准坦克设计!$B$24:$U$30,MATCH("对"&amp;LEFT($C$5,2)&amp;"输出",标准坦克设计!$B$23:$U$23,0)))*(VLOOKUP($B187,INDIRECT($B$5&amp;"生成成长"),3))*(VLOOKUP($B$5,标准坦克设计!$B$14:$K$20,9)/30))</f>
        <v>8.3843903635859292</v>
      </c>
      <c r="BL187" s="172">
        <f ca="1">(VLOOKUP(BL$72,INDIRECT($C$5&amp;"生成成长"),2))/((VLOOKUP($B187,INDIRECT($B$5&amp;"生成成长"),4))/(VLOOKUP(BL$72,INDIRECT($C$5&amp;"生成成长"),5))*(VLOOKUP($B$5,标准坦克设计!$B$24:$U$30,MATCH("对"&amp;LEFT($C$5,2)&amp;"输出",标准坦克设计!$B$23:$U$23,0)))*(VLOOKUP($B187,INDIRECT($B$5&amp;"生成成长"),3))*(VLOOKUP($B$5,标准坦克设计!$B$14:$K$20,9)/30))</f>
        <v>9.2794462362063665</v>
      </c>
      <c r="BM187" s="172">
        <f ca="1">(VLOOKUP(BM$72,INDIRECT($C$5&amp;"生成成长"),2))/((VLOOKUP($B187,INDIRECT($B$5&amp;"生成成长"),4))/(VLOOKUP(BM$72,INDIRECT($C$5&amp;"生成成长"),5))*(VLOOKUP($B$5,标准坦克设计!$B$24:$U$30,MATCH("对"&amp;LEFT($C$5,2)&amp;"输出",标准坦克设计!$B$23:$U$23,0)))*(VLOOKUP($B187,INDIRECT($B$5&amp;"生成成长"),3))*(VLOOKUP($B$5,标准坦克设计!$B$14:$K$20,9)/30))</f>
        <v>10.219885223494883</v>
      </c>
      <c r="BN187" s="172">
        <f ca="1">(VLOOKUP(BN$72,INDIRECT($C$5&amp;"生成成长"),2))/((VLOOKUP($B187,INDIRECT($B$5&amp;"生成成长"),4))/(VLOOKUP(BN$72,INDIRECT($C$5&amp;"生成成长"),5))*(VLOOKUP($B$5,标准坦克设计!$B$24:$U$30,MATCH("对"&amp;LEFT($C$5,2)&amp;"输出",标准坦克设计!$B$23:$U$23,0)))*(VLOOKUP($B187,INDIRECT($B$5&amp;"生成成长"),3))*(VLOOKUP($B$5,标准坦克设计!$B$14:$K$20,9)/30))</f>
        <v>11.205707325451474</v>
      </c>
      <c r="BO187" s="172">
        <f ca="1">(VLOOKUP(BO$72,INDIRECT($C$5&amp;"生成成长"),2))/((VLOOKUP($B187,INDIRECT($B$5&amp;"生成成长"),4))/(VLOOKUP(BO$72,INDIRECT($C$5&amp;"生成成长"),5))*(VLOOKUP($B$5,标准坦克设计!$B$24:$U$30,MATCH("对"&amp;LEFT($C$5,2)&amp;"输出",标准坦克设计!$B$23:$U$23,0)))*(VLOOKUP($B187,INDIRECT($B$5&amp;"生成成长"),3))*(VLOOKUP($B$5,标准坦克设计!$B$14:$K$20,9)/30))</f>
        <v>12.236912542076144</v>
      </c>
      <c r="BP187" s="172">
        <f ca="1">(VLOOKUP(BP$72,INDIRECT($C$5&amp;"生成成长"),2))/((VLOOKUP($B187,INDIRECT($B$5&amp;"生成成长"),4))/(VLOOKUP(BP$72,INDIRECT($C$5&amp;"生成成长"),5))*(VLOOKUP($B$5,标准坦克设计!$B$24:$U$30,MATCH("对"&amp;LEFT($C$5,2)&amp;"输出",标准坦克设计!$B$23:$U$23,0)))*(VLOOKUP($B187,INDIRECT($B$5&amp;"生成成长"),3))*(VLOOKUP($B$5,标准坦克设计!$B$14:$K$20,9)/30))</f>
        <v>13.313500873368897</v>
      </c>
      <c r="BQ187" s="172">
        <f ca="1">(VLOOKUP(BQ$72,INDIRECT($C$5&amp;"生成成长"),2))/((VLOOKUP($B187,INDIRECT($B$5&amp;"生成成长"),4))/(VLOOKUP(BQ$72,INDIRECT($C$5&amp;"生成成长"),5))*(VLOOKUP($B$5,标准坦克设计!$B$24:$U$30,MATCH("对"&amp;LEFT($C$5,2)&amp;"输出",标准坦克设计!$B$23:$U$23,0)))*(VLOOKUP($B187,INDIRECT($B$5&amp;"生成成长"),3))*(VLOOKUP($B$5,标准坦克设计!$B$14:$K$20,9)/30))</f>
        <v>14.435472319329724</v>
      </c>
      <c r="BR187" s="172">
        <f ca="1">(VLOOKUP(BR$72,INDIRECT($C$5&amp;"生成成长"),2))/((VLOOKUP($B187,INDIRECT($B$5&amp;"生成成长"),4))/(VLOOKUP(BR$72,INDIRECT($C$5&amp;"生成成长"),5))*(VLOOKUP($B$5,标准坦克设计!$B$24:$U$30,MATCH("对"&amp;LEFT($C$5,2)&amp;"输出",标准坦克设计!$B$23:$U$23,0)))*(VLOOKUP($B187,INDIRECT($B$5&amp;"生成成长"),3))*(VLOOKUP($B$5,标准坦克设计!$B$14:$K$20,9)/30))</f>
        <v>15.735334369082098</v>
      </c>
      <c r="BS187" s="172">
        <f ca="1">(VLOOKUP(BS$72,INDIRECT($C$5&amp;"生成成长"),2))/((VLOOKUP($B187,INDIRECT($B$5&amp;"生成成长"),4))/(VLOOKUP(BS$72,INDIRECT($C$5&amp;"生成成长"),5))*(VLOOKUP($B$5,标准坦克设计!$B$24:$U$30,MATCH("对"&amp;LEFT($C$5,2)&amp;"输出",标准坦克设计!$B$23:$U$23,0)))*(VLOOKUP($B187,INDIRECT($B$5&amp;"生成成长"),3))*(VLOOKUP($B$5,标准坦克设计!$B$14:$K$20,9)/30))</f>
        <v>17.091224955461726</v>
      </c>
      <c r="BT187" s="172">
        <f ca="1">(VLOOKUP(BT$72,INDIRECT($C$5&amp;"生成成长"),2))/((VLOOKUP($B187,INDIRECT($B$5&amp;"生成成长"),4))/(VLOOKUP(BT$72,INDIRECT($C$5&amp;"生成成长"),5))*(VLOOKUP($B$5,标准坦克设计!$B$24:$U$30,MATCH("对"&amp;LEFT($C$5,2)&amp;"输出",标准坦克设计!$B$23:$U$23,0)))*(VLOOKUP($B187,INDIRECT($B$5&amp;"生成成长"),3))*(VLOOKUP($B$5,标准坦克设计!$B$14:$K$20,9)/30))</f>
        <v>18.503144078468608</v>
      </c>
      <c r="BU187" s="172">
        <f ca="1">(VLOOKUP(BU$72,INDIRECT($C$5&amp;"生成成长"),2))/((VLOOKUP($B187,INDIRECT($B$5&amp;"生成成长"),4))/(VLOOKUP(BU$72,INDIRECT($C$5&amp;"生成成长"),5))*(VLOOKUP($B$5,标准坦克设计!$B$24:$U$30,MATCH("对"&amp;LEFT($C$5,2)&amp;"输出",标准坦克设计!$B$23:$U$23,0)))*(VLOOKUP($B187,INDIRECT($B$5&amp;"生成成长"),3))*(VLOOKUP($B$5,标准坦克设计!$B$14:$K$20,9)/30))</f>
        <v>19.971091738102754</v>
      </c>
      <c r="BV187" s="172">
        <f ca="1">(VLOOKUP(BV$72,INDIRECT($C$5&amp;"生成成长"),2))/((VLOOKUP($B187,INDIRECT($B$5&amp;"生成成长"),4))/(VLOOKUP(BV$72,INDIRECT($C$5&amp;"生成成长"),5))*(VLOOKUP($B$5,标准坦克设计!$B$24:$U$30,MATCH("对"&amp;LEFT($C$5,2)&amp;"输出",标准坦克设计!$B$23:$U$23,0)))*(VLOOKUP($B187,INDIRECT($B$5&amp;"生成成长"),3))*(VLOOKUP($B$5,标准坦克设计!$B$14:$K$20,9)/30))</f>
        <v>21.495067934364151</v>
      </c>
      <c r="BW187" s="172">
        <f ca="1">(VLOOKUP(BW$72,INDIRECT($C$5&amp;"生成成长"),2))/((VLOOKUP($B187,INDIRECT($B$5&amp;"生成成长"),4))/(VLOOKUP(BW$72,INDIRECT($C$5&amp;"生成成长"),5))*(VLOOKUP($B$5,标准坦克设计!$B$24:$U$30,MATCH("对"&amp;LEFT($C$5,2)&amp;"输出",标准坦克设计!$B$23:$U$23,0)))*(VLOOKUP($B187,INDIRECT($B$5&amp;"生成成长"),3))*(VLOOKUP($B$5,标准坦克设计!$B$14:$K$20,9)/30))</f>
        <v>9.7963094865928131</v>
      </c>
      <c r="BX187" s="172">
        <f ca="1">(VLOOKUP(BX$72,INDIRECT($C$5&amp;"生成成长"),2))/((VLOOKUP($B187,INDIRECT($B$5&amp;"生成成长"),4))/(VLOOKUP(BX$72,INDIRECT($C$5&amp;"生成成长"),5))*(VLOOKUP($B$5,标准坦克设计!$B$24:$U$30,MATCH("对"&amp;LEFT($C$5,2)&amp;"输出",标准坦克设计!$B$23:$U$23,0)))*(VLOOKUP($B187,INDIRECT($B$5&amp;"生成成长"),3))*(VLOOKUP($B$5,标准坦克设计!$B$14:$K$20,9)/30))</f>
        <v>10.872057389836158</v>
      </c>
      <c r="BY187" s="172">
        <f ca="1">(VLOOKUP(BY$72,INDIRECT($C$5&amp;"生成成长"),2))/((VLOOKUP($B187,INDIRECT($B$5&amp;"生成成长"),4))/(VLOOKUP(BY$72,INDIRECT($C$5&amp;"生成成长"),5))*(VLOOKUP($B$5,标准坦克设计!$B$24:$U$30,MATCH("对"&amp;LEFT($C$5,2)&amp;"输出",标准坦克设计!$B$23:$U$23,0)))*(VLOOKUP($B187,INDIRECT($B$5&amp;"生成成长"),3))*(VLOOKUP($B$5,标准坦克设计!$B$14:$K$20,9)/30))</f>
        <v>12.003833829706752</v>
      </c>
      <c r="BZ187" s="172">
        <f ca="1">(VLOOKUP(BZ$72,INDIRECT($C$5&amp;"生成成长"),2))/((VLOOKUP($B187,INDIRECT($B$5&amp;"生成成长"),4))/(VLOOKUP(BZ$72,INDIRECT($C$5&amp;"生成成长"),5))*(VLOOKUP($B$5,标准坦克设计!$B$24:$U$30,MATCH("对"&amp;LEFT($C$5,2)&amp;"输出",标准坦克设计!$B$23:$U$23,0)))*(VLOOKUP($B187,INDIRECT($B$5&amp;"生成成长"),3))*(VLOOKUP($B$5,标准坦克设计!$B$14:$K$20,9)/30))</f>
        <v>13.191638806204612</v>
      </c>
      <c r="CA187" s="172">
        <f ca="1">(VLOOKUP(CA$72,INDIRECT($C$5&amp;"生成成长"),2))/((VLOOKUP($B187,INDIRECT($B$5&amp;"生成成长"),4))/(VLOOKUP(CA$72,INDIRECT($C$5&amp;"生成成长"),5))*(VLOOKUP($B$5,标准坦克设计!$B$24:$U$30,MATCH("对"&amp;LEFT($C$5,2)&amp;"输出",标准坦克设计!$B$23:$U$23,0)))*(VLOOKUP($B187,INDIRECT($B$5&amp;"生成成长"),3))*(VLOOKUP($B$5,标准坦克设计!$B$14:$K$20,9)/30))</f>
        <v>14.435472319329724</v>
      </c>
      <c r="CB187" s="172">
        <f ca="1">(VLOOKUP(CB$72,INDIRECT($C$5&amp;"生成成长"),2))/((VLOOKUP($B187,INDIRECT($B$5&amp;"生成成长"),4))/(VLOOKUP(CB$72,INDIRECT($C$5&amp;"生成成长"),5))*(VLOOKUP($B$5,标准坦克设计!$B$24:$U$30,MATCH("对"&amp;LEFT($C$5,2)&amp;"输出",标准坦克设计!$B$23:$U$23,0)))*(VLOOKUP($B187,INDIRECT($B$5&amp;"生成成长"),3))*(VLOOKUP($B$5,标准坦克设计!$B$14:$K$20,9)/30))</f>
        <v>15.735334369082098</v>
      </c>
      <c r="CC187" s="172">
        <f ca="1">(VLOOKUP(CC$72,INDIRECT($C$5&amp;"生成成长"),2))/((VLOOKUP($B187,INDIRECT($B$5&amp;"生成成长"),4))/(VLOOKUP(CC$72,INDIRECT($C$5&amp;"生成成长"),5))*(VLOOKUP($B$5,标准坦克设计!$B$24:$U$30,MATCH("对"&amp;LEFT($C$5,2)&amp;"输出",标准坦克设计!$B$23:$U$23,0)))*(VLOOKUP($B187,INDIRECT($B$5&amp;"生成成长"),3))*(VLOOKUP($B$5,标准坦克设计!$B$14:$K$20,9)/30))</f>
        <v>17.091224955461726</v>
      </c>
      <c r="CD187" s="172">
        <f ca="1">(VLOOKUP(CD$72,INDIRECT($C$5&amp;"生成成长"),2))/((VLOOKUP($B187,INDIRECT($B$5&amp;"生成成长"),4))/(VLOOKUP(CD$72,INDIRECT($C$5&amp;"生成成长"),5))*(VLOOKUP($B$5,标准坦克设计!$B$24:$U$30,MATCH("对"&amp;LEFT($C$5,2)&amp;"输出",标准坦克设计!$B$23:$U$23,0)))*(VLOOKUP($B187,INDIRECT($B$5&amp;"生成成长"),3))*(VLOOKUP($B$5,标准坦克设计!$B$14:$K$20,9)/30))</f>
        <v>18.503144078468608</v>
      </c>
      <c r="CE187" s="172">
        <f ca="1">(VLOOKUP(CE$72,INDIRECT($C$5&amp;"生成成长"),2))/((VLOOKUP($B187,INDIRECT($B$5&amp;"生成成长"),4))/(VLOOKUP(CE$72,INDIRECT($C$5&amp;"生成成长"),5))*(VLOOKUP($B$5,标准坦克设计!$B$24:$U$30,MATCH("对"&amp;LEFT($C$5,2)&amp;"输出",标准坦克设计!$B$23:$U$23,0)))*(VLOOKUP($B187,INDIRECT($B$5&amp;"生成成长"),3))*(VLOOKUP($B$5,标准坦克设计!$B$14:$K$20,9)/30))</f>
        <v>19.971091738102754</v>
      </c>
      <c r="CF187" s="172">
        <f ca="1">(VLOOKUP(CF$72,INDIRECT($C$5&amp;"生成成长"),2))/((VLOOKUP($B187,INDIRECT($B$5&amp;"生成成长"),4))/(VLOOKUP(CF$72,INDIRECT($C$5&amp;"生成成长"),5))*(VLOOKUP($B$5,标准坦克设计!$B$24:$U$30,MATCH("对"&amp;LEFT($C$5,2)&amp;"输出",标准坦克设计!$B$23:$U$23,0)))*(VLOOKUP($B187,INDIRECT($B$5&amp;"生成成长"),3))*(VLOOKUP($B$5,标准坦克设计!$B$14:$K$20,9)/30))</f>
        <v>21.495067934364151</v>
      </c>
      <c r="CG187" s="172">
        <f ca="1">(VLOOKUP(CG$72,INDIRECT($C$5&amp;"生成成长"),2))/((VLOOKUP($B187,INDIRECT($B$5&amp;"生成成长"),4))/(VLOOKUP(CG$72,INDIRECT($C$5&amp;"生成成长"),5))*(VLOOKUP($B$5,标准坦克设计!$B$24:$U$30,MATCH("对"&amp;LEFT($C$5,2)&amp;"输出",标准坦克设计!$B$23:$U$23,0)))*(VLOOKUP($B187,INDIRECT($B$5&amp;"生成成长"),3))*(VLOOKUP($B$5,标准坦克设计!$B$14:$K$20,9)/30))</f>
        <v>23.075072667252812</v>
      </c>
      <c r="CH187" s="172">
        <f ca="1">(VLOOKUP(CH$72,INDIRECT($C$5&amp;"生成成长"),2))/((VLOOKUP($B187,INDIRECT($B$5&amp;"生成成长"),4))/(VLOOKUP(CH$72,INDIRECT($C$5&amp;"生成成长"),5))*(VLOOKUP($B$5,标准坦克设计!$B$24:$U$30,MATCH("对"&amp;LEFT($C$5,2)&amp;"输出",标准坦克设计!$B$23:$U$23,0)))*(VLOOKUP($B187,INDIRECT($B$5&amp;"生成成长"),3))*(VLOOKUP($B$5,标准坦克设计!$B$14:$K$20,9)/30))</f>
        <v>24.711105936768728</v>
      </c>
      <c r="CI187" s="172">
        <f ca="1">(VLOOKUP(CI$72,INDIRECT($C$5&amp;"生成成长"),2))/((VLOOKUP($B187,INDIRECT($B$5&amp;"生成成长"),4))/(VLOOKUP(CI$72,INDIRECT($C$5&amp;"生成成长"),5))*(VLOOKUP($B$5,标准坦克设计!$B$24:$U$30,MATCH("对"&amp;LEFT($C$5,2)&amp;"输出",标准坦克设计!$B$23:$U$23,0)))*(VLOOKUP($B187,INDIRECT($B$5&amp;"生成成长"),3))*(VLOOKUP($B$5,标准坦克设计!$B$14:$K$20,9)/30))</f>
        <v>26.575455493040721</v>
      </c>
      <c r="CJ187" s="172">
        <f ca="1">(VLOOKUP(CJ$72,INDIRECT($C$5&amp;"生成成长"),2))/((VLOOKUP($B187,INDIRECT($B$5&amp;"生成成长"),4))/(VLOOKUP(CJ$72,INDIRECT($C$5&amp;"生成成长"),5))*(VLOOKUP($B$5,标准坦克设计!$B$24:$U$30,MATCH("对"&amp;LEFT($C$5,2)&amp;"输出",标准坦克设计!$B$23:$U$23,0)))*(VLOOKUP($B187,INDIRECT($B$5&amp;"生成成长"),3))*(VLOOKUP($B$5,标准坦克设计!$B$14:$K$20,9)/30))</f>
        <v>28.507599578631687</v>
      </c>
      <c r="CK187" s="172">
        <f ca="1">(VLOOKUP(CK$72,INDIRECT($C$5&amp;"生成成长"),2))/((VLOOKUP($B187,INDIRECT($B$5&amp;"生成成长"),4))/(VLOOKUP(CK$72,INDIRECT($C$5&amp;"生成成长"),5))*(VLOOKUP($B$5,标准坦克设计!$B$24:$U$30,MATCH("对"&amp;LEFT($C$5,2)&amp;"输出",标准坦克设计!$B$23:$U$23,0)))*(VLOOKUP($B187,INDIRECT($B$5&amp;"生成成长"),3))*(VLOOKUP($B$5,标准坦克设计!$B$14:$K$20,9)/30))</f>
        <v>30.507538193541645</v>
      </c>
      <c r="CL187" s="172">
        <f ca="1">(VLOOKUP(CL$72,INDIRECT($C$5&amp;"生成成长"),2))/((VLOOKUP($B187,INDIRECT($B$5&amp;"生成成长"),4))/(VLOOKUP(CL$72,INDIRECT($C$5&amp;"生成成长"),5))*(VLOOKUP($B$5,标准坦克设计!$B$24:$U$30,MATCH("对"&amp;LEFT($C$5,2)&amp;"输出",标准坦克设计!$B$23:$U$23,0)))*(VLOOKUP($B187,INDIRECT($B$5&amp;"生成成长"),3))*(VLOOKUP($B$5,标准坦克设计!$B$14:$K$20,9)/30))</f>
        <v>32.575271337770573</v>
      </c>
      <c r="CM187" s="172">
        <f ca="1">(VLOOKUP(CM$72,INDIRECT($C$5&amp;"生成成长"),2))/((VLOOKUP($B187,INDIRECT($B$5&amp;"生成成长"),4))/(VLOOKUP(CM$72,INDIRECT($C$5&amp;"生成成长"),5))*(VLOOKUP($B$5,标准坦克设计!$B$24:$U$30,MATCH("对"&amp;LEFT($C$5,2)&amp;"输出",标准坦克设计!$B$23:$U$23,0)))*(VLOOKUP($B187,INDIRECT($B$5&amp;"生成成长"),3))*(VLOOKUP($B$5,标准坦克设计!$B$14:$K$20,9)/30))</f>
        <v>34.710799011318485</v>
      </c>
      <c r="CN187" s="172">
        <f ca="1">(VLOOKUP(CN$72,INDIRECT($C$5&amp;"生成成长"),2))/((VLOOKUP($B187,INDIRECT($B$5&amp;"生成成长"),4))/(VLOOKUP(CN$72,INDIRECT($C$5&amp;"生成成长"),5))*(VLOOKUP($B$5,标准坦克设计!$B$24:$U$30,MATCH("对"&amp;LEFT($C$5,2)&amp;"输出",标准坦克设计!$B$23:$U$23,0)))*(VLOOKUP($B187,INDIRECT($B$5&amp;"生成成长"),3))*(VLOOKUP($B$5,标准坦克设计!$B$14:$K$20,9)/30))</f>
        <v>36.914121214185379</v>
      </c>
      <c r="CO187" s="172">
        <f ca="1">(VLOOKUP(CO$72,INDIRECT($C$5&amp;"生成成长"),2))/((VLOOKUP($B187,INDIRECT($B$5&amp;"生成成长"),4))/(VLOOKUP(CO$72,INDIRECT($C$5&amp;"生成成长"),5))*(VLOOKUP($B$5,标准坦克设计!$B$24:$U$30,MATCH("对"&amp;LEFT($C$5,2)&amp;"输出",标准坦克设计!$B$23:$U$23,0)))*(VLOOKUP($B187,INDIRECT($B$5&amp;"生成成长"),3))*(VLOOKUP($B$5,标准坦克设计!$B$14:$K$20,9)/30))</f>
        <v>16.542145296514601</v>
      </c>
      <c r="CP187" s="172">
        <f ca="1">(VLOOKUP(CP$72,INDIRECT($C$5&amp;"生成成长"),2))/((VLOOKUP($B187,INDIRECT($B$5&amp;"生成成长"),4))/(VLOOKUP(CP$72,INDIRECT($C$5&amp;"生成成长"),5))*(VLOOKUP($B$5,标准坦克设计!$B$24:$U$30,MATCH("对"&amp;LEFT($C$5,2)&amp;"输出",标准坦克设计!$B$23:$U$23,0)))*(VLOOKUP($B187,INDIRECT($B$5&amp;"生成成长"),3))*(VLOOKUP($B$5,标准坦克设计!$B$14:$K$20,9)/30))</f>
        <v>18.073685345220682</v>
      </c>
      <c r="CQ187" s="172">
        <f ca="1">(VLOOKUP(CQ$72,INDIRECT($C$5&amp;"生成成长"),2))/((VLOOKUP($B187,INDIRECT($B$5&amp;"生成成长"),4))/(VLOOKUP(CQ$72,INDIRECT($C$5&amp;"生成成长"),5))*(VLOOKUP($B$5,标准坦克设计!$B$24:$U$30,MATCH("对"&amp;LEFT($C$5,2)&amp;"输出",标准坦克设计!$B$23:$U$23,0)))*(VLOOKUP($B187,INDIRECT($B$5&amp;"生成成长"),3))*(VLOOKUP($B$5,标准坦克设计!$B$14:$K$20,9)/30))</f>
        <v>19.673019923245747</v>
      </c>
      <c r="CR187" s="172">
        <f ca="1">(VLOOKUP(CR$72,INDIRECT($C$5&amp;"生成成长"),2))/((VLOOKUP($B187,INDIRECT($B$5&amp;"生成成长"),4))/(VLOOKUP(CR$72,INDIRECT($C$5&amp;"生成成长"),5))*(VLOOKUP($B$5,标准坦克设计!$B$24:$U$30,MATCH("对"&amp;LEFT($C$5,2)&amp;"输出",标准坦克设计!$B$23:$U$23,0)))*(VLOOKUP($B187,INDIRECT($B$5&amp;"生成成长"),3))*(VLOOKUP($B$5,标准坦克设计!$B$14:$K$20,9)/30))</f>
        <v>21.340149030589789</v>
      </c>
      <c r="CS187" s="172">
        <f ca="1">(VLOOKUP(CS$72,INDIRECT($C$5&amp;"生成成长"),2))/((VLOOKUP($B187,INDIRECT($B$5&amp;"生成成长"),4))/(VLOOKUP(CS$72,INDIRECT($C$5&amp;"生成成长"),5))*(VLOOKUP($B$5,标准坦克设计!$B$24:$U$30,MATCH("对"&amp;LEFT($C$5,2)&amp;"输出",标准坦克设计!$B$23:$U$23,0)))*(VLOOKUP($B187,INDIRECT($B$5&amp;"生成成长"),3))*(VLOOKUP($B$5,标准坦克设计!$B$14:$K$20,9)/30))</f>
        <v>23.075072667252812</v>
      </c>
      <c r="CT187" s="172">
        <f ca="1">(VLOOKUP(CT$72,INDIRECT($C$5&amp;"生成成长"),2))/((VLOOKUP($B187,INDIRECT($B$5&amp;"生成成长"),4))/(VLOOKUP(CT$72,INDIRECT($C$5&amp;"生成成长"),5))*(VLOOKUP($B$5,标准坦克设计!$B$24:$U$30,MATCH("对"&amp;LEFT($C$5,2)&amp;"输出",标准坦克设计!$B$23:$U$23,0)))*(VLOOKUP($B187,INDIRECT($B$5&amp;"生成成长"),3))*(VLOOKUP($B$5,标准坦克设计!$B$14:$K$20,9)/30))</f>
        <v>24.877790833234815</v>
      </c>
      <c r="CU187" s="172">
        <f ca="1">(VLOOKUP(CU$72,INDIRECT($C$5&amp;"生成成长"),2))/((VLOOKUP($B187,INDIRECT($B$5&amp;"生成成长"),4))/(VLOOKUP(CU$72,INDIRECT($C$5&amp;"生成成长"),5))*(VLOOKUP($B$5,标准坦克设计!$B$24:$U$30,MATCH("对"&amp;LEFT($C$5,2)&amp;"输出",标准坦克设计!$B$23:$U$23,0)))*(VLOOKUP($B187,INDIRECT($B$5&amp;"生成成长"),3))*(VLOOKUP($B$5,标准坦克设计!$B$14:$K$20,9)/30))</f>
        <v>26.748303528535807</v>
      </c>
      <c r="CV187" s="172">
        <f ca="1">(VLOOKUP(CV$72,INDIRECT($C$5&amp;"生成成长"),2))/((VLOOKUP($B187,INDIRECT($B$5&amp;"生成成长"),4))/(VLOOKUP(CV$72,INDIRECT($C$5&amp;"生成成长"),5))*(VLOOKUP($B$5,标准坦克设计!$B$24:$U$30,MATCH("对"&amp;LEFT($C$5,2)&amp;"输出",标准坦克设计!$B$23:$U$23,0)))*(VLOOKUP($B187,INDIRECT($B$5&amp;"生成成长"),3))*(VLOOKUP($B$5,标准坦克设计!$B$14:$K$20,9)/30))</f>
        <v>28.686610753155772</v>
      </c>
      <c r="CW187" s="172">
        <f ca="1">(VLOOKUP(CW$72,INDIRECT($C$5&amp;"生成成长"),2))/((VLOOKUP($B187,INDIRECT($B$5&amp;"生成成长"),4))/(VLOOKUP(CW$72,INDIRECT($C$5&amp;"生成成长"),5))*(VLOOKUP($B$5,标准坦克设计!$B$24:$U$30,MATCH("对"&amp;LEFT($C$5,2)&amp;"输出",标准坦克设计!$B$23:$U$23,0)))*(VLOOKUP($B187,INDIRECT($B$5&amp;"生成成长"),3))*(VLOOKUP($B$5,标准坦克设计!$B$14:$K$20,9)/30))</f>
        <v>30.692712507094726</v>
      </c>
      <c r="CX187" s="172">
        <f ca="1">(VLOOKUP(CX$72,INDIRECT($C$5&amp;"生成成长"),2))/((VLOOKUP($B187,INDIRECT($B$5&amp;"生成成长"),4))/(VLOOKUP(CX$72,INDIRECT($C$5&amp;"生成成长"),5))*(VLOOKUP($B$5,标准坦克设计!$B$24:$U$30,MATCH("对"&amp;LEFT($C$5,2)&amp;"输出",标准坦克设计!$B$23:$U$23,0)))*(VLOOKUP($B187,INDIRECT($B$5&amp;"生成成长"),3))*(VLOOKUP($B$5,标准坦克设计!$B$14:$K$20,9)/30))</f>
        <v>32.766608790352663</v>
      </c>
      <c r="CY187" s="172">
        <f ca="1">(VLOOKUP(CY$72,INDIRECT($C$5&amp;"生成成长"),2))/((VLOOKUP($B187,INDIRECT($B$5&amp;"生成成长"),4))/(VLOOKUP(CY$72,INDIRECT($C$5&amp;"生成成长"),5))*(VLOOKUP($B$5,标准坦克设计!$B$24:$U$30,MATCH("对"&amp;LEFT($C$5,2)&amp;"输出",标准坦克设计!$B$23:$U$23,0)))*(VLOOKUP($B187,INDIRECT($B$5&amp;"生成成长"),3))*(VLOOKUP($B$5,标准坦克设计!$B$14:$K$20,9)/30))</f>
        <v>34.908299602929567</v>
      </c>
      <c r="CZ187" s="172">
        <f ca="1">(VLOOKUP(CZ$72,INDIRECT($C$5&amp;"生成成长"),2))/((VLOOKUP($B187,INDIRECT($B$5&amp;"生成成长"),4))/(VLOOKUP(CZ$72,INDIRECT($C$5&amp;"生成成长"),5))*(VLOOKUP($B$5,标准坦克设计!$B$24:$U$30,MATCH("对"&amp;LEFT($C$5,2)&amp;"输出",标准坦克设计!$B$23:$U$23,0)))*(VLOOKUP($B187,INDIRECT($B$5&amp;"生成成长"),3))*(VLOOKUP($B$5,标准坦克设计!$B$14:$K$20,9)/30))</f>
        <v>37.117784944825466</v>
      </c>
      <c r="DA187" s="172">
        <f ca="1">(VLOOKUP(DA$72,INDIRECT($C$5&amp;"生成成长"),2))/((VLOOKUP($B187,INDIRECT($B$5&amp;"生成成长"),4))/(VLOOKUP(DA$72,INDIRECT($C$5&amp;"生成成长"),5))*(VLOOKUP($B$5,标准坦克设计!$B$24:$U$30,MATCH("对"&amp;LEFT($C$5,2)&amp;"输出",标准坦克设计!$B$23:$U$23,0)))*(VLOOKUP($B187,INDIRECT($B$5&amp;"生成成长"),3))*(VLOOKUP($B$5,标准坦克设计!$B$14:$K$20,9)/30))</f>
        <v>39.395064816040339</v>
      </c>
      <c r="DB187" s="172">
        <f ca="1">(VLOOKUP(DB$72,INDIRECT($C$5&amp;"生成成长"),2))/((VLOOKUP($B187,INDIRECT($B$5&amp;"生成成长"),4))/(VLOOKUP(DB$72,INDIRECT($C$5&amp;"生成成长"),5))*(VLOOKUP($B$5,标准坦克设计!$B$24:$U$30,MATCH("对"&amp;LEFT($C$5,2)&amp;"输出",标准坦克设计!$B$23:$U$23,0)))*(VLOOKUP($B187,INDIRECT($B$5&amp;"生成成长"),3))*(VLOOKUP($B$5,标准坦克设计!$B$14:$K$20,9)/30))</f>
        <v>41.740139216574192</v>
      </c>
      <c r="DC187" s="172">
        <f ca="1">(VLOOKUP(DC$72,INDIRECT($C$5&amp;"生成成长"),2))/((VLOOKUP($B187,INDIRECT($B$5&amp;"生成成长"),4))/(VLOOKUP(DC$72,INDIRECT($C$5&amp;"生成成长"),5))*(VLOOKUP($B$5,标准坦克设计!$B$24:$U$30,MATCH("对"&amp;LEFT($C$5,2)&amp;"输出",标准坦克设计!$B$23:$U$23,0)))*(VLOOKUP($B187,INDIRECT($B$5&amp;"生成成长"),3))*(VLOOKUP($B$5,标准坦克设计!$B$14:$K$20,9)/30))</f>
        <v>44.375721579520381</v>
      </c>
      <c r="DD187" s="172">
        <f ca="1">(VLOOKUP(DD$72,INDIRECT($C$5&amp;"生成成长"),2))/((VLOOKUP($B187,INDIRECT($B$5&amp;"生成成长"),4))/(VLOOKUP(DD$72,INDIRECT($C$5&amp;"生成成长"),5))*(VLOOKUP($B$5,标准坦克设计!$B$24:$U$30,MATCH("对"&amp;LEFT($C$5,2)&amp;"输出",标准坦克设计!$B$23:$U$23,0)))*(VLOOKUP($B187,INDIRECT($B$5&amp;"生成成长"),3))*(VLOOKUP($B$5,标准坦克设计!$B$14:$K$20,9)/30))</f>
        <v>47.091985035209809</v>
      </c>
      <c r="DE187" s="172">
        <f ca="1">(VLOOKUP(DE$72,INDIRECT($C$5&amp;"生成成长"),2))/((VLOOKUP($B187,INDIRECT($B$5&amp;"生成成长"),4))/(VLOOKUP(DE$72,INDIRECT($C$5&amp;"生成成长"),5))*(VLOOKUP($B$5,标准坦克设计!$B$24:$U$30,MATCH("对"&amp;LEFT($C$5,2)&amp;"输出",标准坦克设计!$B$23:$U$23,0)))*(VLOOKUP($B187,INDIRECT($B$5&amp;"生成成长"),3))*(VLOOKUP($B$5,标准坦克设计!$B$14:$K$20,9)/30))</f>
        <v>49.888929583642508</v>
      </c>
      <c r="DF187" s="172">
        <f ca="1">(VLOOKUP(DF$72,INDIRECT($C$5&amp;"生成成长"),2))/((VLOOKUP($B187,INDIRECT($B$5&amp;"生成成长"),4))/(VLOOKUP(DF$72,INDIRECT($C$5&amp;"生成成长"),5))*(VLOOKUP($B$5,标准坦克设计!$B$24:$U$30,MATCH("对"&amp;LEFT($C$5,2)&amp;"输出",标准坦克设计!$B$23:$U$23,0)))*(VLOOKUP($B187,INDIRECT($B$5&amp;"生成成长"),3))*(VLOOKUP($B$5,标准坦克设计!$B$14:$K$20,9)/30))</f>
        <v>52.766555224818447</v>
      </c>
      <c r="DG187" s="172">
        <f ca="1">(VLOOKUP(DG$72,INDIRECT($C$5&amp;"生成成长"),2))/((VLOOKUP($B187,INDIRECT($B$5&amp;"生成成长"),4))/(VLOOKUP(DG$72,INDIRECT($C$5&amp;"生成成长"),5))*(VLOOKUP($B$5,标准坦克设计!$B$24:$U$30,MATCH("对"&amp;LEFT($C$5,2)&amp;"输出",标准坦克设计!$B$23:$U$23,0)))*(VLOOKUP($B187,INDIRECT($B$5&amp;"生成成长"),3))*(VLOOKUP($B$5,标准坦克设计!$B$14:$K$20,9)/30))</f>
        <v>55.724861958737641</v>
      </c>
      <c r="DH187" s="172">
        <f ca="1">(VLOOKUP(DH$72,INDIRECT($C$5&amp;"生成成长"),2))/((VLOOKUP($B187,INDIRECT($B$5&amp;"生成成长"),4))/(VLOOKUP(DH$72,INDIRECT($C$5&amp;"生成成长"),5))*(VLOOKUP($B$5,标准坦克设计!$B$24:$U$30,MATCH("对"&amp;LEFT($C$5,2)&amp;"输出",标准坦克设计!$B$23:$U$23,0)))*(VLOOKUP($B187,INDIRECT($B$5&amp;"生成成长"),3))*(VLOOKUP($B$5,标准坦克设计!$B$14:$K$20,9)/30))</f>
        <v>58.763849785400076</v>
      </c>
      <c r="DI187" s="172">
        <f ca="1">(VLOOKUP(DI$72,INDIRECT($C$5&amp;"生成成长"),2))/((VLOOKUP($B187,INDIRECT($B$5&amp;"生成成长"),4))/(VLOOKUP(DI$72,INDIRECT($C$5&amp;"生成成长"),5))*(VLOOKUP($B$5,标准坦克设计!$B$24:$U$30,MATCH("对"&amp;LEFT($C$5,2)&amp;"输出",标准坦克设计!$B$23:$U$23,0)))*(VLOOKUP($B187,INDIRECT($B$5&amp;"生成成长"),3))*(VLOOKUP($B$5,标准坦克设计!$B$14:$K$20,9)/30))</f>
        <v>61.883518704805766</v>
      </c>
      <c r="DJ187" s="172">
        <f ca="1">(VLOOKUP(DJ$72,INDIRECT($C$5&amp;"生成成长"),2))/((VLOOKUP($B187,INDIRECT($B$5&amp;"生成成长"),4))/(VLOOKUP(DJ$72,INDIRECT($C$5&amp;"生成成长"),5))*(VLOOKUP($B$5,标准坦克设计!$B$24:$U$30,MATCH("对"&amp;LEFT($C$5,2)&amp;"输出",标准坦克设计!$B$23:$U$23,0)))*(VLOOKUP($B187,INDIRECT($B$5&amp;"生成成长"),3))*(VLOOKUP($B$5,标准坦克设计!$B$14:$K$20,9)/30))</f>
        <v>6.2194477083087039</v>
      </c>
      <c r="DK187" s="172">
        <f ca="1">(VLOOKUP(DK$72,INDIRECT($C$5&amp;"生成成长"),2))/((VLOOKUP($B187,INDIRECT($B$5&amp;"生成成长"),4))/(VLOOKUP(DK$72,INDIRECT($C$5&amp;"生成成长"),5))*(VLOOKUP($B$5,标准坦克设计!$B$24:$U$30,MATCH("对"&amp;LEFT($C$5,2)&amp;"输出",标准坦克设计!$B$23:$U$23,0)))*(VLOOKUP($B187,INDIRECT($B$5&amp;"生成成长"),3))*(VLOOKUP($B$5,标准坦克设计!$B$14:$K$20,9)/30))</f>
        <v>6.993481941814264</v>
      </c>
      <c r="DL187" s="172">
        <f ca="1">(VLOOKUP(DL$72,INDIRECT($C$5&amp;"生成成长"),2))/((VLOOKUP($B187,INDIRECT($B$5&amp;"生成成长"),4))/(VLOOKUP(DL$72,INDIRECT($C$5&amp;"生成成长"),5))*(VLOOKUP($B$5,标准坦克设计!$B$24:$U$30,MATCH("对"&amp;LEFT($C$5,2)&amp;"输出",标准坦克设计!$B$23:$U$23,0)))*(VLOOKUP($B187,INDIRECT($B$5&amp;"生成成长"),3))*(VLOOKUP($B$5,标准坦克设计!$B$14:$K$20,9)/30))</f>
        <v>7.8128992899879028</v>
      </c>
      <c r="DM187" s="172">
        <f ca="1">(VLOOKUP(DM$72,INDIRECT($C$5&amp;"生成成长"),2))/((VLOOKUP($B187,INDIRECT($B$5&amp;"生成成长"),4))/(VLOOKUP(DM$72,INDIRECT($C$5&amp;"生成成长"),5))*(VLOOKUP($B$5,标准坦克设计!$B$24:$U$30,MATCH("对"&amp;LEFT($C$5,2)&amp;"输出",标准坦克设计!$B$23:$U$23,0)))*(VLOOKUP($B187,INDIRECT($B$5&amp;"生成成长"),3))*(VLOOKUP($B$5,标准坦克设计!$B$14:$K$20,9)/30))</f>
        <v>8.6776997528296214</v>
      </c>
      <c r="DN187" s="172">
        <f ca="1">(VLOOKUP(DN$72,INDIRECT($C$5&amp;"生成成长"),2))/((VLOOKUP($B187,INDIRECT($B$5&amp;"生成成长"),4))/(VLOOKUP(DN$72,INDIRECT($C$5&amp;"生成成长"),5))*(VLOOKUP($B$5,标准坦克设计!$B$24:$U$30,MATCH("对"&amp;LEFT($C$5,2)&amp;"输出",标准坦克设计!$B$23:$U$23,0)))*(VLOOKUP($B187,INDIRECT($B$5&amp;"生成成长"),3))*(VLOOKUP($B$5,标准坦克设计!$B$14:$K$20,9)/30))</f>
        <v>9.5878833303394178</v>
      </c>
      <c r="DO187" s="172">
        <f ca="1">(VLOOKUP(DO$72,INDIRECT($C$5&amp;"生成成长"),2))/((VLOOKUP($B187,INDIRECT($B$5&amp;"生成成长"),4))/(VLOOKUP(DO$72,INDIRECT($C$5&amp;"生成成长"),5))*(VLOOKUP($B$5,标准坦克设计!$B$24:$U$30,MATCH("对"&amp;LEFT($C$5,2)&amp;"输出",标准坦克设计!$B$23:$U$23,0)))*(VLOOKUP($B187,INDIRECT($B$5&amp;"生成成长"),3))*(VLOOKUP($B$5,标准坦克设计!$B$14:$K$20,9)/30))</f>
        <v>10.543450022517291</v>
      </c>
      <c r="DP187" s="172">
        <f ca="1">(VLOOKUP(DP$72,INDIRECT($C$5&amp;"生成成长"),2))/((VLOOKUP($B187,INDIRECT($B$5&amp;"生成成长"),4))/(VLOOKUP(DP$72,INDIRECT($C$5&amp;"生成成长"),5))*(VLOOKUP($B$5,标准坦克设计!$B$24:$U$30,MATCH("对"&amp;LEFT($C$5,2)&amp;"输出",标准坦克设计!$B$23:$U$23,0)))*(VLOOKUP($B187,INDIRECT($B$5&amp;"生成成长"),3))*(VLOOKUP($B$5,标准坦克设计!$B$14:$K$20,9)/30))</f>
        <v>11.544399829363245</v>
      </c>
      <c r="DQ187" s="172">
        <f ca="1">(VLOOKUP(DQ$72,INDIRECT($C$5&amp;"生成成长"),2))/((VLOOKUP($B187,INDIRECT($B$5&amp;"生成成长"),4))/(VLOOKUP(DQ$72,INDIRECT($C$5&amp;"生成成长"),5))*(VLOOKUP($B$5,标准坦克设计!$B$24:$U$30,MATCH("对"&amp;LEFT($C$5,2)&amp;"输出",标准坦克设计!$B$23:$U$23,0)))*(VLOOKUP($B187,INDIRECT($B$5&amp;"生成成长"),3))*(VLOOKUP($B$5,标准坦克设计!$B$14:$K$20,9)/30))</f>
        <v>12.590732750877276</v>
      </c>
      <c r="DR187" s="172">
        <f ca="1">(VLOOKUP(DR$72,INDIRECT($C$5&amp;"生成成长"),2))/((VLOOKUP($B187,INDIRECT($B$5&amp;"生成成长"),4))/(VLOOKUP(DR$72,INDIRECT($C$5&amp;"生成成长"),5))*(VLOOKUP($B$5,标准坦克设计!$B$24:$U$30,MATCH("对"&amp;LEFT($C$5,2)&amp;"输出",标准坦克设计!$B$23:$U$23,0)))*(VLOOKUP($B187,INDIRECT($B$5&amp;"生成成长"),3))*(VLOOKUP($B$5,标准坦克设计!$B$14:$K$20,9)/30))</f>
        <v>13.682448787059386</v>
      </c>
      <c r="DS187" s="172">
        <f ca="1">(VLOOKUP(DS$72,INDIRECT($C$5&amp;"生成成长"),2))/((VLOOKUP($B187,INDIRECT($B$5&amp;"生成成长"),4))/(VLOOKUP(DS$72,INDIRECT($C$5&amp;"生成成长"),5))*(VLOOKUP($B$5,标准坦克设计!$B$24:$U$30,MATCH("对"&amp;LEFT($C$5,2)&amp;"输出",标准坦克设计!$B$23:$U$23,0)))*(VLOOKUP($B187,INDIRECT($B$5&amp;"生成成长"),3))*(VLOOKUP($B$5,标准坦克设计!$B$14:$K$20,9)/30))</f>
        <v>14.819547937909572</v>
      </c>
      <c r="DT187" s="172">
        <f ca="1">(VLOOKUP(DT$72,INDIRECT($C$5&amp;"生成成长"),2))/((VLOOKUP($B187,INDIRECT($B$5&amp;"生成成长"),4))/(VLOOKUP(DT$72,INDIRECT($C$5&amp;"生成成长"),5))*(VLOOKUP($B$5,标准坦克设计!$B$24:$U$30,MATCH("对"&amp;LEFT($C$5,2)&amp;"输出",标准坦克设计!$B$23:$U$23,0)))*(VLOOKUP($B187,INDIRECT($B$5&amp;"生成成长"),3))*(VLOOKUP($B$5,标准坦克设计!$B$14:$K$20,9)/30))</f>
        <v>16.270967179238678</v>
      </c>
      <c r="DU187" s="172">
        <f ca="1">(VLOOKUP(DU$72,INDIRECT($C$5&amp;"生成成长"),2))/((VLOOKUP($B187,INDIRECT($B$5&amp;"生成成长"),4))/(VLOOKUP(DU$72,INDIRECT($C$5&amp;"生成成长"),5))*(VLOOKUP($B$5,标准坦克设计!$B$24:$U$30,MATCH("对"&amp;LEFT($C$5,2)&amp;"输出",标准坦克设计!$B$23:$U$23,0)))*(VLOOKUP($B187,INDIRECT($B$5&amp;"生成成长"),3))*(VLOOKUP($B$5,标准坦克设计!$B$14:$K$20,9)/30))</f>
        <v>17.790180949886761</v>
      </c>
      <c r="DV187" s="172">
        <f ca="1">(VLOOKUP(DV$72,INDIRECT($C$5&amp;"生成成长"),2))/((VLOOKUP($B187,INDIRECT($B$5&amp;"生成成长"),4))/(VLOOKUP(DV$72,INDIRECT($C$5&amp;"生成成长"),5))*(VLOOKUP($B$5,标准坦克设计!$B$24:$U$30,MATCH("对"&amp;LEFT($C$5,2)&amp;"输出",标准坦克设计!$B$23:$U$23,0)))*(VLOOKUP($B187,INDIRECT($B$5&amp;"生成成长"),3))*(VLOOKUP($B$5,标准坦克设计!$B$14:$K$20,9)/30))</f>
        <v>19.377189249853824</v>
      </c>
      <c r="DW187" s="172">
        <f ca="1">(VLOOKUP(DW$72,INDIRECT($C$5&amp;"生成成长"),2))/((VLOOKUP($B187,INDIRECT($B$5&amp;"生成成长"),4))/(VLOOKUP(DW$72,INDIRECT($C$5&amp;"生成成长"),5))*(VLOOKUP($B$5,标准坦克设计!$B$24:$U$30,MATCH("对"&amp;LEFT($C$5,2)&amp;"输出",标准坦克设计!$B$23:$U$23,0)))*(VLOOKUP($B187,INDIRECT($B$5&amp;"生成成长"),3))*(VLOOKUP($B$5,标准坦克设计!$B$14:$K$20,9)/30))</f>
        <v>21.031992079139872</v>
      </c>
      <c r="DX187" s="172">
        <f ca="1">(VLOOKUP(DX$72,INDIRECT($C$5&amp;"生成成长"),2))/((VLOOKUP($B187,INDIRECT($B$5&amp;"生成成长"),4))/(VLOOKUP(DX$72,INDIRECT($C$5&amp;"生成成长"),5))*(VLOOKUP($B$5,标准坦克设计!$B$24:$U$30,MATCH("对"&amp;LEFT($C$5,2)&amp;"输出",标准坦克设计!$B$23:$U$23,0)))*(VLOOKUP($B187,INDIRECT($B$5&amp;"生成成长"),3))*(VLOOKUP($B$5,标准坦克设计!$B$14:$K$20,9)/30))</f>
        <v>22.754589437744897</v>
      </c>
      <c r="DY187" s="172">
        <f ca="1">(VLOOKUP(DY$72,INDIRECT($C$5&amp;"生成成长"),2))/((VLOOKUP($B187,INDIRECT($B$5&amp;"生成成长"),4))/(VLOOKUP(DY$72,INDIRECT($C$5&amp;"生成成长"),5))*(VLOOKUP($B$5,标准坦克设计!$B$24:$U$30,MATCH("对"&amp;LEFT($C$5,2)&amp;"输出",标准坦克设计!$B$23:$U$23,0)))*(VLOOKUP($B187,INDIRECT($B$5&amp;"生成成长"),3))*(VLOOKUP($B$5,标准坦克设计!$B$14:$K$20,9)/30))</f>
        <v>10.219885223494883</v>
      </c>
      <c r="DZ187" s="172">
        <f ca="1">(VLOOKUP(DZ$72,INDIRECT($C$5&amp;"生成成长"),2))/((VLOOKUP($B187,INDIRECT($B$5&amp;"生成成长"),4))/(VLOOKUP(DZ$72,INDIRECT($C$5&amp;"生成成长"),5))*(VLOOKUP($B$5,标准坦克设计!$B$24:$U$30,MATCH("对"&amp;LEFT($C$5,2)&amp;"输出",标准坦克设计!$B$23:$U$23,0)))*(VLOOKUP($B187,INDIRECT($B$5&amp;"生成成长"),3))*(VLOOKUP($B$5,标准坦克设计!$B$14:$K$20,9)/30))</f>
        <v>11.318044541389124</v>
      </c>
      <c r="EA187" s="172">
        <f ca="1">(VLOOKUP(EA$72,INDIRECT($C$5&amp;"生成成长"),2))/((VLOOKUP($B187,INDIRECT($B$5&amp;"生成成长"),4))/(VLOOKUP(EA$72,INDIRECT($C$5&amp;"生成成长"),5))*(VLOOKUP($B$5,标准坦克设计!$B$24:$U$30,MATCH("对"&amp;LEFT($C$5,2)&amp;"输出",标准坦克设计!$B$23:$U$23,0)))*(VLOOKUP($B187,INDIRECT($B$5&amp;"生成成长"),3))*(VLOOKUP($B$5,标准坦克设计!$B$14:$K$20,9)/30))</f>
        <v>12.472232395910627</v>
      </c>
      <c r="EB187" s="172">
        <f ca="1">(VLOOKUP(EB$72,INDIRECT($C$5&amp;"生成成长"),2))/((VLOOKUP($B187,INDIRECT($B$5&amp;"生成成长"),4))/(VLOOKUP(EB$72,INDIRECT($C$5&amp;"生成成长"),5))*(VLOOKUP($B$5,标准坦克设计!$B$24:$U$30,MATCH("对"&amp;LEFT($C$5,2)&amp;"输出",标准坦克设计!$B$23:$U$23,0)))*(VLOOKUP($B187,INDIRECT($B$5&amp;"生成成长"),3))*(VLOOKUP($B$5,标准坦克设计!$B$14:$K$20,9)/30))</f>
        <v>13.682448787059386</v>
      </c>
      <c r="EC187" s="172">
        <f ca="1">(VLOOKUP(EC$72,INDIRECT($C$5&amp;"生成成长"),2))/((VLOOKUP($B187,INDIRECT($B$5&amp;"生成成长"),4))/(VLOOKUP(EC$72,INDIRECT($C$5&amp;"生成成长"),5))*(VLOOKUP($B$5,标准坦克设计!$B$24:$U$30,MATCH("对"&amp;LEFT($C$5,2)&amp;"输出",标准坦克设计!$B$23:$U$23,0)))*(VLOOKUP($B187,INDIRECT($B$5&amp;"生成成长"),3))*(VLOOKUP($B$5,标准坦克设计!$B$14:$K$20,9)/30))</f>
        <v>14.948693714835402</v>
      </c>
      <c r="ED187" s="172">
        <f ca="1">(VLOOKUP(ED$72,INDIRECT($C$5&amp;"生成成长"),2))/((VLOOKUP($B187,INDIRECT($B$5&amp;"生成成长"),4))/(VLOOKUP(ED$72,INDIRECT($C$5&amp;"生成成长"),5))*(VLOOKUP($B$5,标准坦克设计!$B$24:$U$30,MATCH("对"&amp;LEFT($C$5,2)&amp;"输出",标准坦克设计!$B$23:$U$23,0)))*(VLOOKUP($B187,INDIRECT($B$5&amp;"生成成长"),3))*(VLOOKUP($B$5,标准坦克设计!$B$14:$K$20,9)/30))</f>
        <v>16.270967179238678</v>
      </c>
      <c r="EE187" s="172">
        <f ca="1">(VLOOKUP(EE$72,INDIRECT($C$5&amp;"生成成长"),2))/((VLOOKUP($B187,INDIRECT($B$5&amp;"生成成长"),4))/(VLOOKUP(EE$72,INDIRECT($C$5&amp;"生成成长"),5))*(VLOOKUP($B$5,标准坦克设计!$B$24:$U$30,MATCH("对"&amp;LEFT($C$5,2)&amp;"输出",标准坦克设计!$B$23:$U$23,0)))*(VLOOKUP($B187,INDIRECT($B$5&amp;"生成成长"),3))*(VLOOKUP($B$5,标准坦克设计!$B$14:$K$20,9)/30))</f>
        <v>17.649269180269208</v>
      </c>
      <c r="EF187" s="172">
        <f ca="1">(VLOOKUP(EF$72,INDIRECT($C$5&amp;"生成成长"),2))/((VLOOKUP($B187,INDIRECT($B$5&amp;"生成成长"),4))/(VLOOKUP(EF$72,INDIRECT($C$5&amp;"生成成长"),5))*(VLOOKUP($B$5,标准坦克设计!$B$24:$U$30,MATCH("对"&amp;LEFT($C$5,2)&amp;"输出",标准坦克设计!$B$23:$U$23,0)))*(VLOOKUP($B187,INDIRECT($B$5&amp;"生成成长"),3))*(VLOOKUP($B$5,标准坦克设计!$B$14:$K$20,9)/30))</f>
        <v>19.083599717926994</v>
      </c>
      <c r="EG187" s="172">
        <f ca="1">(VLOOKUP(EG$72,INDIRECT($C$5&amp;"生成成长"),2))/((VLOOKUP($B187,INDIRECT($B$5&amp;"生成成长"),4))/(VLOOKUP(EG$72,INDIRECT($C$5&amp;"生成成长"),5))*(VLOOKUP($B$5,标准坦克设计!$B$24:$U$30,MATCH("对"&amp;LEFT($C$5,2)&amp;"输出",标准坦克设计!$B$23:$U$23,0)))*(VLOOKUP($B187,INDIRECT($B$5&amp;"生成成长"),3))*(VLOOKUP($B$5,标准坦克设计!$B$14:$K$20,9)/30))</f>
        <v>20.573958792212043</v>
      </c>
      <c r="EH187" s="172">
        <f ca="1">(VLOOKUP(EH$72,INDIRECT($C$5&amp;"生成成长"),2))/((VLOOKUP($B187,INDIRECT($B$5&amp;"生成成长"),4))/(VLOOKUP(EH$72,INDIRECT($C$5&amp;"生成成长"),5))*(VLOOKUP($B$5,标准坦克设计!$B$24:$U$30,MATCH("对"&amp;LEFT($C$5,2)&amp;"输出",标准坦克设计!$B$23:$U$23,0)))*(VLOOKUP($B187,INDIRECT($B$5&amp;"生成成长"),3))*(VLOOKUP($B$5,标准坦克设计!$B$14:$K$20,9)/30))</f>
        <v>22.120346403124344</v>
      </c>
      <c r="EI187" s="172">
        <f ca="1">(VLOOKUP(EI$72,INDIRECT($C$5&amp;"生成成长"),2))/((VLOOKUP($B187,INDIRECT($B$5&amp;"生成成长"),4))/(VLOOKUP(EI$72,INDIRECT($C$5&amp;"生成成长"),5))*(VLOOKUP($B$5,标准坦克设计!$B$24:$U$30,MATCH("对"&amp;LEFT($C$5,2)&amp;"输出",标准坦克设计!$B$23:$U$23,0)))*(VLOOKUP($B187,INDIRECT($B$5&amp;"生成成长"),3))*(VLOOKUP($B$5,标准坦克设计!$B$14:$K$20,9)/30))</f>
        <v>23.722762550663909</v>
      </c>
      <c r="EJ187" s="172">
        <f ca="1">(VLOOKUP(EJ$72,INDIRECT($C$5&amp;"生成成长"),2))/((VLOOKUP($B187,INDIRECT($B$5&amp;"生成成长"),4))/(VLOOKUP(EJ$72,INDIRECT($C$5&amp;"生成成长"),5))*(VLOOKUP($B$5,标准坦克设计!$B$24:$U$30,MATCH("对"&amp;LEFT($C$5,2)&amp;"输出",标准坦克设计!$B$23:$U$23,0)))*(VLOOKUP($B187,INDIRECT($B$5&amp;"生成成长"),3))*(VLOOKUP($B$5,标准坦克设计!$B$14:$K$20,9)/30))</f>
        <v>25.381207234830722</v>
      </c>
      <c r="EK187" s="172">
        <f ca="1">(VLOOKUP(EK$72,INDIRECT($C$5&amp;"生成成长"),2))/((VLOOKUP($B187,INDIRECT($B$5&amp;"生成成长"),4))/(VLOOKUP(EK$72,INDIRECT($C$5&amp;"生成成长"),5))*(VLOOKUP($B$5,标准坦克设计!$B$24:$U$30,MATCH("对"&amp;LEFT($C$5,2)&amp;"输出",标准坦克设计!$B$23:$U$23,0)))*(VLOOKUP($B187,INDIRECT($B$5&amp;"生成成长"),3))*(VLOOKUP($B$5,标准坦克设计!$B$14:$K$20,9)/30))</f>
        <v>27.445298524178888</v>
      </c>
      <c r="EL187" s="172">
        <f ca="1">(VLOOKUP(EL$72,INDIRECT($C$5&amp;"生成成长"),2))/((VLOOKUP($B187,INDIRECT($B$5&amp;"生成成长"),4))/(VLOOKUP(EL$72,INDIRECT($C$5&amp;"生成成长"),5))*(VLOOKUP($B$5,标准坦克设计!$B$24:$U$30,MATCH("对"&amp;LEFT($C$5,2)&amp;"输出",标准坦克设计!$B$23:$U$23,0)))*(VLOOKUP($B187,INDIRECT($B$5&amp;"生成成长"),3))*(VLOOKUP($B$5,标准坦克设计!$B$14:$K$20,9)/30))</f>
        <v>29.590070906270295</v>
      </c>
      <c r="EM187" s="172">
        <f ca="1">(VLOOKUP(EM$72,INDIRECT($C$5&amp;"生成成长"),2))/((VLOOKUP($B187,INDIRECT($B$5&amp;"生成成长"),4))/(VLOOKUP(EM$72,INDIRECT($C$5&amp;"生成成长"),5))*(VLOOKUP($B$5,标准坦克设计!$B$24:$U$30,MATCH("对"&amp;LEFT($C$5,2)&amp;"输出",标准坦克设计!$B$23:$U$23,0)))*(VLOOKUP($B187,INDIRECT($B$5&amp;"生成成长"),3))*(VLOOKUP($B$5,标准坦克设计!$B$14:$K$20,9)/30))</f>
        <v>31.815524381104961</v>
      </c>
      <c r="EN187" s="172">
        <f ca="1">(VLOOKUP(EN$72,INDIRECT($C$5&amp;"生成成长"),2))/((VLOOKUP($B187,INDIRECT($B$5&amp;"生成成长"),4))/(VLOOKUP(EN$72,INDIRECT($C$5&amp;"生成成长"),5))*(VLOOKUP($B$5,标准坦克设计!$B$24:$U$30,MATCH("对"&amp;LEFT($C$5,2)&amp;"输出",标准坦克设计!$B$23:$U$23,0)))*(VLOOKUP($B187,INDIRECT($B$5&amp;"生成成长"),3))*(VLOOKUP($B$5,标准坦克设计!$B$14:$K$20,9)/30))</f>
        <v>34.121658948682871</v>
      </c>
      <c r="EO187" s="172">
        <f ca="1">(VLOOKUP(EO$72,INDIRECT($C$5&amp;"生成成长"),2))/((VLOOKUP($B187,INDIRECT($B$5&amp;"生成成长"),4))/(VLOOKUP(EO$72,INDIRECT($C$5&amp;"生成成长"),5))*(VLOOKUP($B$5,标准坦克设计!$B$24:$U$30,MATCH("对"&amp;LEFT($C$5,2)&amp;"输出",标准坦克设计!$B$23:$U$23,0)))*(VLOOKUP($B187,INDIRECT($B$5&amp;"生成成长"),3))*(VLOOKUP($B$5,标准坦克设计!$B$14:$K$20,9)/30))</f>
        <v>36.50847460900404</v>
      </c>
      <c r="EP187" s="172">
        <f ca="1">(VLOOKUP(EP$72,INDIRECT($C$5&amp;"生成成长"),2))/((VLOOKUP($B187,INDIRECT($B$5&amp;"生成成长"),4))/(VLOOKUP(EP$72,INDIRECT($C$5&amp;"生成成长"),5))*(VLOOKUP($B$5,标准坦克设计!$B$24:$U$30,MATCH("对"&amp;LEFT($C$5,2)&amp;"输出",标准坦克设计!$B$23:$U$23,0)))*(VLOOKUP($B187,INDIRECT($B$5&amp;"生成成长"),3))*(VLOOKUP($B$5,标准坦克设计!$B$14:$K$20,9)/30))</f>
        <v>38.975971362068449</v>
      </c>
      <c r="EQ187" s="172">
        <f ca="1">(VLOOKUP(EQ$72,INDIRECT($C$5&amp;"生成成长"),2))/((VLOOKUP($B187,INDIRECT($B$5&amp;"生成成长"),4))/(VLOOKUP(EQ$72,INDIRECT($C$5&amp;"生成成长"),5))*(VLOOKUP($B$5,标准坦克设计!$B$24:$U$30,MATCH("对"&amp;LEFT($C$5,2)&amp;"输出",标准坦克设计!$B$23:$U$23,0)))*(VLOOKUP($B187,INDIRECT($B$5&amp;"生成成长"),3))*(VLOOKUP($B$5,标准坦克设计!$B$14:$K$20,9)/30))</f>
        <v>17.229895583614187</v>
      </c>
      <c r="ER187" s="172">
        <f ca="1">(VLOOKUP(ER$72,INDIRECT($C$5&amp;"生成成长"),2))/((VLOOKUP($B187,INDIRECT($B$5&amp;"生成成长"),4))/(VLOOKUP(ER$72,INDIRECT($C$5&amp;"生成成长"),5))*(VLOOKUP($B$5,标准坦克设计!$B$24:$U$30,MATCH("对"&amp;LEFT($C$5,2)&amp;"输出",标准坦克设计!$B$23:$U$23,0)))*(VLOOKUP($B187,INDIRECT($B$5&amp;"生成成长"),3))*(VLOOKUP($B$5,标准坦克设计!$B$14:$K$20,9)/30))</f>
        <v>18.792251327465259</v>
      </c>
      <c r="ES187" s="172">
        <f ca="1">(VLOOKUP(ES$72,INDIRECT($C$5&amp;"生成成长"),2))/((VLOOKUP($B187,INDIRECT($B$5&amp;"生成成长"),4))/(VLOOKUP(ES$72,INDIRECT($C$5&amp;"生成成长"),5))*(VLOOKUP($B$5,标准坦克设计!$B$24:$U$30,MATCH("对"&amp;LEFT($C$5,2)&amp;"输出",标准坦克设计!$B$23:$U$23,0)))*(VLOOKUP($B187,INDIRECT($B$5&amp;"生成成长"),3))*(VLOOKUP($B$5,标准坦克设计!$B$14:$K$20,9)/30))</f>
        <v>20.422401600635311</v>
      </c>
      <c r="ET187" s="172">
        <f ca="1">(VLOOKUP(ET$72,INDIRECT($C$5&amp;"生成成长"),2))/((VLOOKUP($B187,INDIRECT($B$5&amp;"生成成长"),4))/(VLOOKUP(ET$72,INDIRECT($C$5&amp;"生成成长"),5))*(VLOOKUP($B$5,标准坦克设计!$B$24:$U$30,MATCH("对"&amp;LEFT($C$5,2)&amp;"输出",标准坦克设计!$B$23:$U$23,0)))*(VLOOKUP($B187,INDIRECT($B$5&amp;"生成成长"),3))*(VLOOKUP($B$5,标准坦克设计!$B$14:$K$20,9)/30))</f>
        <v>22.120346403124344</v>
      </c>
      <c r="EU187" s="172">
        <f ca="1">(VLOOKUP(EU$72,INDIRECT($C$5&amp;"生成成长"),2))/((VLOOKUP($B187,INDIRECT($B$5&amp;"生成成长"),4))/(VLOOKUP(EU$72,INDIRECT($C$5&amp;"生成成长"),5))*(VLOOKUP($B$5,标准坦克设计!$B$24:$U$30,MATCH("对"&amp;LEFT($C$5,2)&amp;"输出",标准坦克设计!$B$23:$U$23,0)))*(VLOOKUP($B187,INDIRECT($B$5&amp;"生成成长"),3))*(VLOOKUP($B$5,标准坦克设计!$B$14:$K$20,9)/30))</f>
        <v>23.886085734932362</v>
      </c>
      <c r="EV187" s="172">
        <f ca="1">(VLOOKUP(EV$72,INDIRECT($C$5&amp;"生成成长"),2))/((VLOOKUP($B187,INDIRECT($B$5&amp;"生成成长"),4))/(VLOOKUP(EV$72,INDIRECT($C$5&amp;"生成成长"),5))*(VLOOKUP($B$5,标准坦克设计!$B$24:$U$30,MATCH("对"&amp;LEFT($C$5,2)&amp;"输出",标准坦克设计!$B$23:$U$23,0)))*(VLOOKUP($B187,INDIRECT($B$5&amp;"生成成长"),3))*(VLOOKUP($B$5,标准坦克设计!$B$14:$K$20,9)/30))</f>
        <v>25.71961959605936</v>
      </c>
      <c r="EW187" s="172">
        <f ca="1">(VLOOKUP(EW$72,INDIRECT($C$5&amp;"生成成长"),2))/((VLOOKUP($B187,INDIRECT($B$5&amp;"生成成长"),4))/(VLOOKUP(EW$72,INDIRECT($C$5&amp;"生成成长"),5))*(VLOOKUP($B$5,标准坦克设计!$B$24:$U$30,MATCH("对"&amp;LEFT($C$5,2)&amp;"输出",标准坦克设计!$B$23:$U$23,0)))*(VLOOKUP($B187,INDIRECT($B$5&amp;"生成成长"),3))*(VLOOKUP($B$5,标准坦克设计!$B$14:$K$20,9)/30))</f>
        <v>27.620947986505335</v>
      </c>
      <c r="EX187" s="172">
        <f ca="1">(VLOOKUP(EX$72,INDIRECT($C$5&amp;"生成成长"),2))/((VLOOKUP($B187,INDIRECT($B$5&amp;"生成成长"),4))/(VLOOKUP(EX$72,INDIRECT($C$5&amp;"生成成长"),5))*(VLOOKUP($B$5,标准坦克设计!$B$24:$U$30,MATCH("对"&amp;LEFT($C$5,2)&amp;"输出",标准坦克设计!$B$23:$U$23,0)))*(VLOOKUP($B187,INDIRECT($B$5&amp;"生成成长"),3))*(VLOOKUP($B$5,标准坦克设计!$B$14:$K$20,9)/30))</f>
        <v>29.590070906270295</v>
      </c>
      <c r="EY187" s="172">
        <f ca="1">(VLOOKUP(EY$72,INDIRECT($C$5&amp;"生成成长"),2))/((VLOOKUP($B187,INDIRECT($B$5&amp;"生成成长"),4))/(VLOOKUP(EY$72,INDIRECT($C$5&amp;"生成成长"),5))*(VLOOKUP($B$5,标准坦克设计!$B$24:$U$30,MATCH("对"&amp;LEFT($C$5,2)&amp;"输出",标准坦克设计!$B$23:$U$23,0)))*(VLOOKUP($B187,INDIRECT($B$5&amp;"生成成长"),3))*(VLOOKUP($B$5,标准坦克设计!$B$14:$K$20,9)/30))</f>
        <v>31.626988355354239</v>
      </c>
      <c r="EZ187" s="172">
        <f ca="1">(VLOOKUP(EZ$72,INDIRECT($C$5&amp;"生成成长"),2))/((VLOOKUP($B187,INDIRECT($B$5&amp;"生成成长"),4))/(VLOOKUP(EZ$72,INDIRECT($C$5&amp;"生成成长"),5))*(VLOOKUP($B$5,标准坦克设计!$B$24:$U$30,MATCH("对"&amp;LEFT($C$5,2)&amp;"输出",标准坦克设计!$B$23:$U$23,0)))*(VLOOKUP($B187,INDIRECT($B$5&amp;"生成成长"),3))*(VLOOKUP($B$5,标准坦克设计!$B$14:$K$20,9)/30))</f>
        <v>33.731700333757161</v>
      </c>
      <c r="FA187" s="172">
        <f ca="1">(VLOOKUP(FA$72,INDIRECT($C$5&amp;"生成成长"),2))/((VLOOKUP($B187,INDIRECT($B$5&amp;"生成成长"),4))/(VLOOKUP(FA$72,INDIRECT($C$5&amp;"生成成长"),5))*(VLOOKUP($B$5,标准坦克设计!$B$24:$U$30,MATCH("对"&amp;LEFT($C$5,2)&amp;"输出",标准坦克设计!$B$23:$U$23,0)))*(VLOOKUP($B187,INDIRECT($B$5&amp;"生成成长"),3))*(VLOOKUP($B$5,标准坦克设计!$B$14:$K$20,9)/30))</f>
        <v>35.904206841479073</v>
      </c>
      <c r="FB187" s="172">
        <f ca="1">(VLOOKUP(FB$72,INDIRECT($C$5&amp;"生成成长"),2))/((VLOOKUP($B187,INDIRECT($B$5&amp;"生成成长"),4))/(VLOOKUP(FB$72,INDIRECT($C$5&amp;"生成成长"),5))*(VLOOKUP($B$5,标准坦克设计!$B$24:$U$30,MATCH("对"&amp;LEFT($C$5,2)&amp;"输出",标准坦克设计!$B$23:$U$23,0)))*(VLOOKUP($B187,INDIRECT($B$5&amp;"生成成长"),3))*(VLOOKUP($B$5,标准坦克设计!$B$14:$K$20,9)/30))</f>
        <v>38.144507878519953</v>
      </c>
      <c r="FC187" s="172">
        <f ca="1">(VLOOKUP(FC$72,INDIRECT($C$5&amp;"生成成长"),2))/((VLOOKUP($B187,INDIRECT($B$5&amp;"生成成长"),4))/(VLOOKUP(FC$72,INDIRECT($C$5&amp;"生成成长"),5))*(VLOOKUP($B$5,标准坦克设计!$B$24:$U$30,MATCH("对"&amp;LEFT($C$5,2)&amp;"输出",标准坦克设计!$B$23:$U$23,0)))*(VLOOKUP($B187,INDIRECT($B$5&amp;"生成成长"),3))*(VLOOKUP($B$5,标准坦克设计!$B$14:$K$20,9)/30))</f>
        <v>40.452603444879827</v>
      </c>
      <c r="FD187" s="172">
        <f ca="1">(VLOOKUP(FD$72,INDIRECT($C$5&amp;"生成成长"),2))/((VLOOKUP($B187,INDIRECT($B$5&amp;"生成成长"),4))/(VLOOKUP(FD$72,INDIRECT($C$5&amp;"生成成长"),5))*(VLOOKUP($B$5,标准坦克设计!$B$24:$U$30,MATCH("对"&amp;LEFT($C$5,2)&amp;"输出",标准坦克设计!$B$23:$U$23,0)))*(VLOOKUP($B187,INDIRECT($B$5&amp;"生成成长"),3))*(VLOOKUP($B$5,标准坦克设计!$B$14:$K$20,9)/30))</f>
        <v>42.828493540558675</v>
      </c>
      <c r="FE187" s="172">
        <f ca="1">(VLOOKUP(FE$72,INDIRECT($C$5&amp;"生成成长"),2))/((VLOOKUP($B187,INDIRECT($B$5&amp;"生成成长"),4))/(VLOOKUP(FE$72,INDIRECT($C$5&amp;"生成成长"),5))*(VLOOKUP($B$5,标准坦克设计!$B$24:$U$30,MATCH("对"&amp;LEFT($C$5,2)&amp;"输出",标准坦克设计!$B$23:$U$23,0)))*(VLOOKUP($B187,INDIRECT($B$5&amp;"生成成长"),3))*(VLOOKUP($B$5,标准坦克设计!$B$14:$K$20,9)/30))</f>
        <v>45.723768170772189</v>
      </c>
      <c r="FF187" s="172">
        <f ca="1">(VLOOKUP(FF$72,INDIRECT($C$5&amp;"生成成长"),2))/((VLOOKUP($B187,INDIRECT($B$5&amp;"生成成长"),4))/(VLOOKUP(FF$72,INDIRECT($C$5&amp;"生成成长"),5))*(VLOOKUP($B$5,标准坦克设计!$B$24:$U$30,MATCH("对"&amp;LEFT($C$5,2)&amp;"输出",标准坦克设计!$B$23:$U$23,0)))*(VLOOKUP($B187,INDIRECT($B$5&amp;"生成成长"),3))*(VLOOKUP($B$5,标准坦克设计!$B$14:$K$20,9)/30))</f>
        <v>48.713731027885785</v>
      </c>
      <c r="FG187" s="172">
        <f ca="1">(VLOOKUP(FG$72,INDIRECT($C$5&amp;"生成成长"),2))/((VLOOKUP($B187,INDIRECT($B$5&amp;"生成成长"),4))/(VLOOKUP(FG$72,INDIRECT($C$5&amp;"生成成长"),5))*(VLOOKUP($B$5,标准坦克设计!$B$24:$U$30,MATCH("对"&amp;LEFT($C$5,2)&amp;"输出",标准坦克设计!$B$23:$U$23,0)))*(VLOOKUP($B187,INDIRECT($B$5&amp;"生成成长"),3))*(VLOOKUP($B$5,标准坦克设计!$B$14:$K$20,9)/30))</f>
        <v>51.798382111899436</v>
      </c>
      <c r="FH187" s="172">
        <f ca="1">(VLOOKUP(FH$72,INDIRECT($C$5&amp;"生成成长"),2))/((VLOOKUP($B187,INDIRECT($B$5&amp;"生成成长"),4))/(VLOOKUP(FH$72,INDIRECT($C$5&amp;"生成成长"),5))*(VLOOKUP($B$5,标准坦克设计!$B$24:$U$30,MATCH("对"&amp;LEFT($C$5,2)&amp;"输出",标准坦克设计!$B$23:$U$23,0)))*(VLOOKUP($B187,INDIRECT($B$5&amp;"生成成长"),3))*(VLOOKUP($B$5,标准坦克设计!$B$14:$K$20,9)/30))</f>
        <v>54.977721422813161</v>
      </c>
      <c r="FI187" s="172">
        <f ca="1">(VLOOKUP(FI$72,INDIRECT($C$5&amp;"生成成长"),2))/((VLOOKUP($B187,INDIRECT($B$5&amp;"生成成长"),4))/(VLOOKUP(FI$72,INDIRECT($C$5&amp;"生成成长"),5))*(VLOOKUP($B$5,标准坦克设计!$B$24:$U$30,MATCH("对"&amp;LEFT($C$5,2)&amp;"输出",标准坦克设计!$B$23:$U$23,0)))*(VLOOKUP($B187,INDIRECT($B$5&amp;"生成成长"),3))*(VLOOKUP($B$5,标准坦克设计!$B$14:$K$20,9)/30))</f>
        <v>58.251748960626948</v>
      </c>
      <c r="FJ187" s="172">
        <f ca="1">(VLOOKUP(FJ$72,INDIRECT($C$5&amp;"生成成长"),2))/((VLOOKUP($B187,INDIRECT($B$5&amp;"生成成长"),4))/(VLOOKUP(FJ$72,INDIRECT($C$5&amp;"生成成长"),5))*(VLOOKUP($B$5,标准坦克设计!$B$24:$U$30,MATCH("对"&amp;LEFT($C$5,2)&amp;"输出",标准坦克设计!$B$23:$U$23,0)))*(VLOOKUP($B187,INDIRECT($B$5&amp;"生成成长"),3))*(VLOOKUP($B$5,标准坦克设计!$B$14:$K$20,9)/30))</f>
        <v>61.620464725340788</v>
      </c>
      <c r="FK187" s="172">
        <f ca="1">(VLOOKUP(FK$72,INDIRECT($C$5&amp;"生成成长"),2))/((VLOOKUP($B187,INDIRECT($B$5&amp;"生成成长"),4))/(VLOOKUP(FK$72,INDIRECT($C$5&amp;"生成成长"),5))*(VLOOKUP($B$5,标准坦克设计!$B$24:$U$30,MATCH("对"&amp;LEFT($C$5,2)&amp;"输出",标准坦克设计!$B$23:$U$23,0)))*(VLOOKUP($B187,INDIRECT($B$5&amp;"生成成长"),3))*(VLOOKUP($B$5,标准坦克设计!$B$14:$K$20,9)/30))</f>
        <v>65.083868716954711</v>
      </c>
    </row>
    <row r="188" spans="1:167" x14ac:dyDescent="0.15">
      <c r="A188" s="170" t="str">
        <f t="shared" si="12"/>
        <v>T3高品质5级</v>
      </c>
      <c r="B188" s="171">
        <v>30305</v>
      </c>
      <c r="C188" s="172">
        <f ca="1">(VLOOKUP(C$72,INDIRECT($C$5&amp;"生成成长"),2))/((VLOOKUP($B188,INDIRECT($B$5&amp;"生成成长"),4))/(VLOOKUP(C$72,INDIRECT($C$5&amp;"生成成长"),5))*(VLOOKUP($B$5,标准坦克设计!$B$24:$U$30,MATCH("对"&amp;LEFT($C$5,2)&amp;"输出",标准坦克设计!$B$23:$U$23,0)))*(VLOOKUP($B188,INDIRECT($B$5&amp;"生成成长"),3))*(VLOOKUP($B$5,标准坦克设计!$B$14:$K$20,9)/30))</f>
        <v>2.5327118252455705</v>
      </c>
      <c r="D188" s="172">
        <f ca="1">(VLOOKUP(D$72,INDIRECT($C$5&amp;"生成成长"),2))/((VLOOKUP($B188,INDIRECT($B$5&amp;"生成成长"),4))/(VLOOKUP(D$72,INDIRECT($C$5&amp;"生成成长"),5))*(VLOOKUP($B$5,标准坦克设计!$B$24:$U$30,MATCH("对"&amp;LEFT($C$5,2)&amp;"输出",标准坦克设计!$B$23:$U$23,0)))*(VLOOKUP($B188,INDIRECT($B$5&amp;"生成成长"),3))*(VLOOKUP($B$5,标准坦克设计!$B$14:$K$20,9)/30))</f>
        <v>2.8457550068459239</v>
      </c>
      <c r="E188" s="172">
        <f ca="1">(VLOOKUP(E$72,INDIRECT($C$5&amp;"生成成长"),2))/((VLOOKUP($B188,INDIRECT($B$5&amp;"生成成长"),4))/(VLOOKUP(E$72,INDIRECT($C$5&amp;"生成成长"),5))*(VLOOKUP($B$5,标准坦克设计!$B$24:$U$30,MATCH("对"&amp;LEFT($C$5,2)&amp;"输出",标准坦克设计!$B$23:$U$23,0)))*(VLOOKUP($B188,INDIRECT($B$5&amp;"生成成长"),3))*(VLOOKUP($B$5,标准坦克设计!$B$14:$K$20,9)/30))</f>
        <v>3.1770337135880435</v>
      </c>
      <c r="F188" s="172">
        <f ca="1">(VLOOKUP(F$72,INDIRECT($C$5&amp;"生成成长"),2))/((VLOOKUP($B188,INDIRECT($B$5&amp;"生成成长"),4))/(VLOOKUP(F$72,INDIRECT($C$5&amp;"生成成长"),5))*(VLOOKUP($B$5,标准坦克设计!$B$24:$U$30,MATCH("对"&amp;LEFT($C$5,2)&amp;"输出",标准坦克设计!$B$23:$U$23,0)))*(VLOOKUP($B188,INDIRECT($B$5&amp;"生成成长"),3))*(VLOOKUP($B$5,标准坦克设计!$B$14:$K$20,9)/30))</f>
        <v>3.5265479454719326</v>
      </c>
      <c r="G188" s="172">
        <f ca="1">(VLOOKUP(G$72,INDIRECT($C$5&amp;"生成成长"),2))/((VLOOKUP($B188,INDIRECT($B$5&amp;"生成成长"),4))/(VLOOKUP(G$72,INDIRECT($C$5&amp;"生成成长"),5))*(VLOOKUP($B$5,标准坦克设计!$B$24:$U$30,MATCH("对"&amp;LEFT($C$5,2)&amp;"输出",标准坦克设计!$B$23:$U$23,0)))*(VLOOKUP($B188,INDIRECT($B$5&amp;"生成成长"),3))*(VLOOKUP($B$5,标准坦克设计!$B$14:$K$20,9)/30))</f>
        <v>3.8942977024975893</v>
      </c>
      <c r="H188" s="172">
        <f ca="1">(VLOOKUP(H$72,INDIRECT($C$5&amp;"生成成长"),2))/((VLOOKUP($B188,INDIRECT($B$5&amp;"生成成长"),4))/(VLOOKUP(H$72,INDIRECT($C$5&amp;"生成成长"),5))*(VLOOKUP($B$5,标准坦克设计!$B$24:$U$30,MATCH("对"&amp;LEFT($C$5,2)&amp;"输出",标准坦克设计!$B$23:$U$23,0)))*(VLOOKUP($B188,INDIRECT($B$5&amp;"生成成长"),3))*(VLOOKUP($B$5,标准坦克设计!$B$14:$K$20,9)/30))</f>
        <v>3.4080170320504397</v>
      </c>
      <c r="I188" s="172">
        <f ca="1">(VLOOKUP(I$72,INDIRECT($C$5&amp;"生成成长"),2))/((VLOOKUP($B188,INDIRECT($B$5&amp;"生成成长"),4))/(VLOOKUP(I$72,INDIRECT($C$5&amp;"生成成长"),5))*(VLOOKUP($B$5,标准坦克设计!$B$24:$U$30,MATCH("对"&amp;LEFT($C$5,2)&amp;"输出",标准坦克设计!$B$23:$U$23,0)))*(VLOOKUP($B188,INDIRECT($B$5&amp;"生成成长"),3))*(VLOOKUP($B$5,标准坦克设计!$B$14:$K$20,9)/30))</f>
        <v>3.8942977024975893</v>
      </c>
      <c r="J188" s="172">
        <f ca="1">(VLOOKUP(J$72,INDIRECT($C$5&amp;"生成成长"),2))/((VLOOKUP($B188,INDIRECT($B$5&amp;"生成成长"),4))/(VLOOKUP(J$72,INDIRECT($C$5&amp;"生成成长"),5))*(VLOOKUP($B$5,标准坦克设计!$B$24:$U$30,MATCH("对"&amp;LEFT($C$5,2)&amp;"输出",标准坦克设计!$B$23:$U$23,0)))*(VLOOKUP($B188,INDIRECT($B$5&amp;"生成成长"),3))*(VLOOKUP($B$5,标准坦克设计!$B$14:$K$20,9)/30))</f>
        <v>4.4129970843078823</v>
      </c>
      <c r="K188" s="172">
        <f ca="1">(VLOOKUP(K$72,INDIRECT($C$5&amp;"生成成长"),2))/((VLOOKUP($B188,INDIRECT($B$5&amp;"生成成长"),4))/(VLOOKUP(K$72,INDIRECT($C$5&amp;"生成成长"),5))*(VLOOKUP($B$5,标准坦克设计!$B$24:$U$30,MATCH("对"&amp;LEFT($C$5,2)&amp;"输出",标准坦克设计!$B$23:$U$23,0)))*(VLOOKUP($B188,INDIRECT($B$5&amp;"生成成长"),3))*(VLOOKUP($B$5,标准坦克设计!$B$14:$K$20,9)/30))</f>
        <v>4.9641151774813181</v>
      </c>
      <c r="L188" s="172">
        <f ca="1">(VLOOKUP(L$72,INDIRECT($C$5&amp;"生成成长"),2))/((VLOOKUP($B188,INDIRECT($B$5&amp;"生成成长"),4))/(VLOOKUP(L$72,INDIRECT($C$5&amp;"生成成长"),5))*(VLOOKUP($B$5,标准坦克设计!$B$24:$U$30,MATCH("对"&amp;LEFT($C$5,2)&amp;"输出",标准坦克设计!$B$23:$U$23,0)))*(VLOOKUP($B188,INDIRECT($B$5&amp;"生成成长"),3))*(VLOOKUP($B$5,标准坦克设计!$B$14:$K$20,9)/30))</f>
        <v>5.5476519820178982</v>
      </c>
      <c r="M188" s="172">
        <f ca="1">(VLOOKUP(M$72,INDIRECT($C$5&amp;"生成成长"),2))/((VLOOKUP($B188,INDIRECT($B$5&amp;"生成成长"),4))/(VLOOKUP(M$72,INDIRECT($C$5&amp;"生成成长"),5))*(VLOOKUP($B$5,标准坦克设计!$B$24:$U$30,MATCH("对"&amp;LEFT($C$5,2)&amp;"输出",标准坦克设计!$B$23:$U$23,0)))*(VLOOKUP($B188,INDIRECT($B$5&amp;"生成成长"),3))*(VLOOKUP($B$5,标准坦克设计!$B$14:$K$20,9)/30))</f>
        <v>6.1636074979176207</v>
      </c>
      <c r="N188" s="172">
        <f ca="1">(VLOOKUP(N$72,INDIRECT($C$5&amp;"生成成长"),2))/((VLOOKUP($B188,INDIRECT($B$5&amp;"生成成长"),4))/(VLOOKUP(N$72,INDIRECT($C$5&amp;"生成成长"),5))*(VLOOKUP($B$5,标准坦克设计!$B$24:$U$30,MATCH("对"&amp;LEFT($C$5,2)&amp;"输出",标准坦克设计!$B$23:$U$23,0)))*(VLOOKUP($B188,INDIRECT($B$5&amp;"生成成长"),3))*(VLOOKUP($B$5,标准坦克设计!$B$14:$K$20,9)/30))</f>
        <v>6.8119817251804857</v>
      </c>
      <c r="O188" s="172">
        <f ca="1">(VLOOKUP(O$72,INDIRECT($C$5&amp;"生成成长"),2))/((VLOOKUP($B188,INDIRECT($B$5&amp;"生成成长"),4))/(VLOOKUP(O$72,INDIRECT($C$5&amp;"生成成长"),5))*(VLOOKUP($B$5,标准坦克设计!$B$24:$U$30,MATCH("对"&amp;LEFT($C$5,2)&amp;"输出",标准坦克设计!$B$23:$U$23,0)))*(VLOOKUP($B188,INDIRECT($B$5&amp;"生成成长"),3))*(VLOOKUP($B$5,标准坦克设计!$B$14:$K$20,9)/30))</f>
        <v>5.1791424114446674</v>
      </c>
      <c r="P188" s="172">
        <f ca="1">(VLOOKUP(P$72,INDIRECT($C$5&amp;"生成成长"),2))/((VLOOKUP($B188,INDIRECT($B$5&amp;"生成成长"),4))/(VLOOKUP(P$72,INDIRECT($C$5&amp;"生成成长"),5))*(VLOOKUP($B$5,标准坦克设计!$B$24:$U$30,MATCH("对"&amp;LEFT($C$5,2)&amp;"输出",标准坦克设计!$B$23:$U$23,0)))*(VLOOKUP($B188,INDIRECT($B$5&amp;"生成成长"),3))*(VLOOKUP($B$5,标准坦克设计!$B$14:$K$20,9)/30))</f>
        <v>5.8515774010473667</v>
      </c>
      <c r="Q188" s="172">
        <f ca="1">(VLOOKUP(Q$72,INDIRECT($C$5&amp;"生成成长"),2))/((VLOOKUP($B188,INDIRECT($B$5&amp;"生成成长"),4))/(VLOOKUP(Q$72,INDIRECT($C$5&amp;"生成成长"),5))*(VLOOKUP($B$5,标准坦克设计!$B$24:$U$30,MATCH("对"&amp;LEFT($C$5,2)&amp;"输出",标准坦克设计!$B$23:$U$23,0)))*(VLOOKUP($B188,INDIRECT($B$5&amp;"生成成长"),3))*(VLOOKUP($B$5,标准坦克设计!$B$14:$K$20,9)/30))</f>
        <v>6.5650423222190444</v>
      </c>
      <c r="R188" s="172">
        <f ca="1">(VLOOKUP(R$72,INDIRECT($C$5&amp;"生成成长"),2))/((VLOOKUP($B188,INDIRECT($B$5&amp;"生成成长"),4))/(VLOOKUP(R$72,INDIRECT($C$5&amp;"生成成长"),5))*(VLOOKUP($B$5,标准坦克设计!$B$24:$U$30,MATCH("对"&amp;LEFT($C$5,2)&amp;"输出",标准坦克设计!$B$23:$U$23,0)))*(VLOOKUP($B188,INDIRECT($B$5&amp;"生成成长"),3))*(VLOOKUP($B$5,标准坦克设计!$B$14:$K$20,9)/30))</f>
        <v>7.3195371749596996</v>
      </c>
      <c r="S188" s="172">
        <f ca="1">(VLOOKUP(S$72,INDIRECT($C$5&amp;"生成成长"),2))/((VLOOKUP($B188,INDIRECT($B$5&amp;"生成成长"),4))/(VLOOKUP(S$72,INDIRECT($C$5&amp;"生成成长"),5))*(VLOOKUP($B$5,标准坦克设计!$B$24:$U$30,MATCH("对"&amp;LEFT($C$5,2)&amp;"输出",标准坦克设计!$B$23:$U$23,0)))*(VLOOKUP($B188,INDIRECT($B$5&amp;"生成成长"),3))*(VLOOKUP($B$5,标准坦克设计!$B$14:$K$20,9)/30))</f>
        <v>8.1150619592693332</v>
      </c>
      <c r="T188" s="172">
        <f ca="1">(VLOOKUP(T$72,INDIRECT($C$5&amp;"生成成长"),2))/((VLOOKUP($B188,INDIRECT($B$5&amp;"生成成长"),4))/(VLOOKUP(T$72,INDIRECT($C$5&amp;"生成成长"),5))*(VLOOKUP($B$5,标准坦克设计!$B$24:$U$30,MATCH("对"&amp;LEFT($C$5,2)&amp;"输出",标准坦克设计!$B$23:$U$23,0)))*(VLOOKUP($B188,INDIRECT($B$5&amp;"生成成长"),3))*(VLOOKUP($B$5,标准坦克设计!$B$14:$K$20,9)/30))</f>
        <v>8.951616675147946</v>
      </c>
      <c r="U188" s="172">
        <f ca="1">(VLOOKUP(U$72,INDIRECT($C$5&amp;"生成成长"),2))/((VLOOKUP($B188,INDIRECT($B$5&amp;"生成成长"),4))/(VLOOKUP(U$72,INDIRECT($C$5&amp;"生成成长"),5))*(VLOOKUP($B$5,标准坦克设计!$B$24:$U$30,MATCH("对"&amp;LEFT($C$5,2)&amp;"输出",标准坦克设计!$B$23:$U$23,0)))*(VLOOKUP($B188,INDIRECT($B$5&amp;"生成成长"),3))*(VLOOKUP($B$5,标准坦克设计!$B$14:$K$20,9)/30))</f>
        <v>9.8292013225955355</v>
      </c>
      <c r="V188" s="172">
        <f ca="1">(VLOOKUP(V$72,INDIRECT($C$5&amp;"生成成长"),2))/((VLOOKUP($B188,INDIRECT($B$5&amp;"生成成长"),4))/(VLOOKUP(V$72,INDIRECT($C$5&amp;"生成成长"),5))*(VLOOKUP($B$5,标准坦克设计!$B$24:$U$30,MATCH("对"&amp;LEFT($C$5,2)&amp;"输出",标准坦克设计!$B$23:$U$23,0)))*(VLOOKUP($B188,INDIRECT($B$5&amp;"生成成长"),3))*(VLOOKUP($B$5,标准坦克设计!$B$14:$K$20,9)/30))</f>
        <v>10.747815901612103</v>
      </c>
      <c r="W188" s="172">
        <f ca="1">(VLOOKUP(W$72,INDIRECT($C$5&amp;"生成成长"),2))/((VLOOKUP($B188,INDIRECT($B$5&amp;"生成成长"),4))/(VLOOKUP(W$72,INDIRECT($C$5&amp;"生成成长"),5))*(VLOOKUP($B$5,标准坦克设计!$B$24:$U$30,MATCH("对"&amp;LEFT($C$5,2)&amp;"输出",标准坦克设计!$B$23:$U$23,0)))*(VLOOKUP($B188,INDIRECT($B$5&amp;"生成成长"),3))*(VLOOKUP($B$5,标准坦克设计!$B$14:$K$20,9)/30))</f>
        <v>11.707460412197651</v>
      </c>
      <c r="X188" s="172">
        <f ca="1">(VLOOKUP(X$72,INDIRECT($C$5&amp;"生成成长"),2))/((VLOOKUP($B188,INDIRECT($B$5&amp;"生成成长"),4))/(VLOOKUP(X$72,INDIRECT($C$5&amp;"生成成长"),5))*(VLOOKUP($B$5,标准坦克设计!$B$24:$U$30,MATCH("对"&amp;LEFT($C$5,2)&amp;"输出",标准坦克设计!$B$23:$U$23,0)))*(VLOOKUP($B188,INDIRECT($B$5&amp;"生成成长"),3))*(VLOOKUP($B$5,标准坦克设计!$B$14:$K$20,9)/30))</f>
        <v>8.4817986315648923</v>
      </c>
      <c r="Y188" s="172">
        <f ca="1">(VLOOKUP(Y$72,INDIRECT($C$5&amp;"生成成长"),2))/((VLOOKUP($B188,INDIRECT($B$5&amp;"生成成长"),4))/(VLOOKUP(Y$72,INDIRECT($C$5&amp;"生成成长"),5))*(VLOOKUP($B$5,标准坦克设计!$B$24:$U$30,MATCH("对"&amp;LEFT($C$5,2)&amp;"输出",标准坦克设计!$B$23:$U$23,0)))*(VLOOKUP($B188,INDIRECT($B$5&amp;"生成成长"),3))*(VLOOKUP($B$5,标准坦克设计!$B$14:$K$20,9)/30))</f>
        <v>9.4340982778572258</v>
      </c>
      <c r="Z188" s="172">
        <f ca="1">(VLOOKUP(Z$72,INDIRECT($C$5&amp;"生成成长"),2))/((VLOOKUP($B188,INDIRECT($B$5&amp;"生成成长"),4))/(VLOOKUP(Z$72,INDIRECT($C$5&amp;"生成成长"),5))*(VLOOKUP($B$5,标准坦克设计!$B$24:$U$30,MATCH("对"&amp;LEFT($C$5,2)&amp;"输出",标准坦克设计!$B$23:$U$23,0)))*(VLOOKUP($B188,INDIRECT($B$5&amp;"生成成长"),3))*(VLOOKUP($B$5,标准坦克设计!$B$14:$K$20,9)/30))</f>
        <v>10.437052160654471</v>
      </c>
      <c r="AA188" s="172">
        <f ca="1">(VLOOKUP(AA$72,INDIRECT($C$5&amp;"生成成长"),2))/((VLOOKUP($B188,INDIRECT($B$5&amp;"生成成长"),4))/(VLOOKUP(AA$72,INDIRECT($C$5&amp;"生成成长"),5))*(VLOOKUP($B$5,标准坦克设计!$B$24:$U$30,MATCH("对"&amp;LEFT($C$5,2)&amp;"输出",标准坦克设计!$B$23:$U$23,0)))*(VLOOKUP($B188,INDIRECT($B$5&amp;"生成成长"),3))*(VLOOKUP($B$5,标准坦克设计!$B$14:$K$20,9)/30))</f>
        <v>11.49066027995663</v>
      </c>
      <c r="AB188" s="172">
        <f ca="1">(VLOOKUP(AB$72,INDIRECT($C$5&amp;"生成成长"),2))/((VLOOKUP($B188,INDIRECT($B$5&amp;"生成成长"),4))/(VLOOKUP(AB$72,INDIRECT($C$5&amp;"生成成长"),5))*(VLOOKUP($B$5,标准坦克设计!$B$24:$U$30,MATCH("对"&amp;LEFT($C$5,2)&amp;"输出",标准坦克设计!$B$23:$U$23,0)))*(VLOOKUP($B188,INDIRECT($B$5&amp;"生成成长"),3))*(VLOOKUP($B$5,标准坦克设计!$B$14:$K$20,9)/30))</f>
        <v>12.594922635763698</v>
      </c>
      <c r="AC188" s="172">
        <f ca="1">(VLOOKUP(AC$72,INDIRECT($C$5&amp;"生成成长"),2))/((VLOOKUP($B188,INDIRECT($B$5&amp;"生成成长"),4))/(VLOOKUP(AC$72,INDIRECT($C$5&amp;"生成成长"),5))*(VLOOKUP($B$5,标准坦克设计!$B$24:$U$30,MATCH("对"&amp;LEFT($C$5,2)&amp;"输出",标准坦克设计!$B$23:$U$23,0)))*(VLOOKUP($B188,INDIRECT($B$5&amp;"生成成长"),3))*(VLOOKUP($B$5,标准坦克设计!$B$14:$K$20,9)/30))</f>
        <v>13.749839228075679</v>
      </c>
      <c r="AD188" s="172">
        <f ca="1">(VLOOKUP(AD$72,INDIRECT($C$5&amp;"生成成长"),2))/((VLOOKUP($B188,INDIRECT($B$5&amp;"生成成长"),4))/(VLOOKUP(AD$72,INDIRECT($C$5&amp;"生成成长"),5))*(VLOOKUP($B$5,标准坦克设计!$B$24:$U$30,MATCH("对"&amp;LEFT($C$5,2)&amp;"输出",标准坦克设计!$B$23:$U$23,0)))*(VLOOKUP($B188,INDIRECT($B$5&amp;"生成成长"),3))*(VLOOKUP($B$5,标准坦克设计!$B$14:$K$20,9)/30))</f>
        <v>14.955410056892571</v>
      </c>
      <c r="AE188" s="172">
        <f ca="1">(VLOOKUP(AE$72,INDIRECT($C$5&amp;"生成成长"),2))/((VLOOKUP($B188,INDIRECT($B$5&amp;"生成成长"),4))/(VLOOKUP(AE$72,INDIRECT($C$5&amp;"生成成长"),5))*(VLOOKUP($B$5,标准坦克设计!$B$24:$U$30,MATCH("对"&amp;LEFT($C$5,2)&amp;"输出",标准坦克设计!$B$23:$U$23,0)))*(VLOOKUP($B188,INDIRECT($B$5&amp;"生成成长"),3))*(VLOOKUP($B$5,标准坦克设计!$B$14:$K$20,9)/30))</f>
        <v>16.211635122214371</v>
      </c>
      <c r="AF188" s="172">
        <f ca="1">(VLOOKUP(AF$72,INDIRECT($C$5&amp;"生成成长"),2))/((VLOOKUP($B188,INDIRECT($B$5&amp;"生成成长"),4))/(VLOOKUP(AF$72,INDIRECT($C$5&amp;"生成成长"),5))*(VLOOKUP($B$5,标准坦克设计!$B$24:$U$30,MATCH("对"&amp;LEFT($C$5,2)&amp;"输出",标准坦克设计!$B$23:$U$23,0)))*(VLOOKUP($B188,INDIRECT($B$5&amp;"生成成长"),3))*(VLOOKUP($B$5,标准坦克设计!$B$14:$K$20,9)/30))</f>
        <v>17.51851442404109</v>
      </c>
      <c r="AG188" s="172">
        <f ca="1">(VLOOKUP(AG$72,INDIRECT($C$5&amp;"生成成长"),2))/((VLOOKUP($B188,INDIRECT($B$5&amp;"生成成长"),4))/(VLOOKUP(AG$72,INDIRECT($C$5&amp;"生成成长"),5))*(VLOOKUP($B$5,标准坦克设计!$B$24:$U$30,MATCH("对"&amp;LEFT($C$5,2)&amp;"输出",标准坦克设计!$B$23:$U$23,0)))*(VLOOKUP($B188,INDIRECT($B$5&amp;"生成成长"),3))*(VLOOKUP($B$5,标准坦克设计!$B$14:$K$20,9)/30))</f>
        <v>18.876047962372713</v>
      </c>
      <c r="AH188" s="172">
        <f ca="1">(VLOOKUP(AH$72,INDIRECT($C$5&amp;"生成成长"),2))/((VLOOKUP($B188,INDIRECT($B$5&amp;"生成成长"),4))/(VLOOKUP(AH$72,INDIRECT($C$5&amp;"生成成长"),5))*(VLOOKUP($B$5,标准坦克设计!$B$24:$U$30,MATCH("对"&amp;LEFT($C$5,2)&amp;"输出",标准坦克设计!$B$23:$U$23,0)))*(VLOOKUP($B188,INDIRECT($B$5&amp;"生成成长"),3))*(VLOOKUP($B$5,标准坦克设计!$B$14:$K$20,9)/30))</f>
        <v>20.284235737209251</v>
      </c>
      <c r="AI188" s="172">
        <f ca="1">(VLOOKUP(AI$72,INDIRECT($C$5&amp;"生成成长"),2))/((VLOOKUP($B188,INDIRECT($B$5&amp;"生成成长"),4))/(VLOOKUP(AI$72,INDIRECT($C$5&amp;"生成成长"),5))*(VLOOKUP($B$5,标准坦克设计!$B$24:$U$30,MATCH("对"&amp;LEFT($C$5,2)&amp;"输出",标准坦克设计!$B$23:$U$23,0)))*(VLOOKUP($B188,INDIRECT($B$5&amp;"生成成长"),3))*(VLOOKUP($B$5,标准坦克设计!$B$14:$K$20,9)/30))</f>
        <v>14.346292862921008</v>
      </c>
      <c r="AJ188" s="172">
        <f ca="1">(VLOOKUP(AJ$72,INDIRECT($C$5&amp;"生成成长"),2))/((VLOOKUP($B188,INDIRECT($B$5&amp;"生成成长"),4))/(VLOOKUP(AJ$72,INDIRECT($C$5&amp;"生成成长"),5))*(VLOOKUP($B$5,标准坦克设计!$B$24:$U$30,MATCH("对"&amp;LEFT($C$5,2)&amp;"输出",标准坦克设计!$B$23:$U$23,0)))*(VLOOKUP($B188,INDIRECT($B$5&amp;"生成成长"),3))*(VLOOKUP($B$5,标准坦克设计!$B$14:$K$20,9)/30))</f>
        <v>15.703066587705063</v>
      </c>
      <c r="AK188" s="172">
        <f ca="1">(VLOOKUP(AK$72,INDIRECT($C$5&amp;"生成成长"),2))/((VLOOKUP($B188,INDIRECT($B$5&amp;"生成成长"),4))/(VLOOKUP(AK$72,INDIRECT($C$5&amp;"生成成长"),5))*(VLOOKUP($B$5,标准坦克设计!$B$24:$U$30,MATCH("对"&amp;LEFT($C$5,2)&amp;"输出",标准坦克设计!$B$23:$U$23,0)))*(VLOOKUP($B188,INDIRECT($B$5&amp;"生成成长"),3))*(VLOOKUP($B$5,标准坦克设计!$B$14:$K$20,9)/30))</f>
        <v>17.121131938660056</v>
      </c>
      <c r="AL188" s="172">
        <f ca="1">(VLOOKUP(AL$72,INDIRECT($C$5&amp;"生成成长"),2))/((VLOOKUP($B188,INDIRECT($B$5&amp;"生成成长"),4))/(VLOOKUP(AL$72,INDIRECT($C$5&amp;"生成成长"),5))*(VLOOKUP($B$5,标准坦克设计!$B$24:$U$30,MATCH("对"&amp;LEFT($C$5,2)&amp;"输出",标准坦克设计!$B$23:$U$23,0)))*(VLOOKUP($B188,INDIRECT($B$5&amp;"生成成长"),3))*(VLOOKUP($B$5,标准坦克设计!$B$14:$K$20,9)/30))</f>
        <v>18.600488915785995</v>
      </c>
      <c r="AM188" s="172">
        <f ca="1">(VLOOKUP(AM$72,INDIRECT($C$5&amp;"生成成长"),2))/((VLOOKUP($B188,INDIRECT($B$5&amp;"生成成长"),4))/(VLOOKUP(AM$72,INDIRECT($C$5&amp;"生成成长"),5))*(VLOOKUP($B$5,标准坦克设计!$B$24:$U$30,MATCH("对"&amp;LEFT($C$5,2)&amp;"输出",标准坦克设计!$B$23:$U$23,0)))*(VLOOKUP($B188,INDIRECT($B$5&amp;"生成成长"),3))*(VLOOKUP($B$5,标准坦克设计!$B$14:$K$20,9)/30))</f>
        <v>20.141137519082875</v>
      </c>
      <c r="AN188" s="172">
        <f ca="1">(VLOOKUP(AN$72,INDIRECT($C$5&amp;"生成成长"),2))/((VLOOKUP($B188,INDIRECT($B$5&amp;"生成成长"),4))/(VLOOKUP(AN$72,INDIRECT($C$5&amp;"生成成长"),5))*(VLOOKUP($B$5,标准坦克设计!$B$24:$U$30,MATCH("对"&amp;LEFT($C$5,2)&amp;"输出",标准坦克设计!$B$23:$U$23,0)))*(VLOOKUP($B188,INDIRECT($B$5&amp;"生成成长"),3))*(VLOOKUP($B$5,标准坦克设计!$B$14:$K$20,9)/30))</f>
        <v>21.7430777485507</v>
      </c>
      <c r="AO188" s="172">
        <f ca="1">(VLOOKUP(AO$72,INDIRECT($C$5&amp;"生成成长"),2))/((VLOOKUP($B188,INDIRECT($B$5&amp;"生成成长"),4))/(VLOOKUP(AO$72,INDIRECT($C$5&amp;"生成成长"),5))*(VLOOKUP($B$5,标准坦克设计!$B$24:$U$30,MATCH("对"&amp;LEFT($C$5,2)&amp;"输出",标准坦克设计!$B$23:$U$23,0)))*(VLOOKUP($B188,INDIRECT($B$5&amp;"生成成长"),3))*(VLOOKUP($B$5,标准坦克设计!$B$14:$K$20,9)/30))</f>
        <v>23.406309604189467</v>
      </c>
      <c r="AP188" s="172">
        <f ca="1">(VLOOKUP(AP$72,INDIRECT($C$5&amp;"生成成长"),2))/((VLOOKUP($B188,INDIRECT($B$5&amp;"生成成长"),4))/(VLOOKUP(AP$72,INDIRECT($C$5&amp;"生成成长"),5))*(VLOOKUP($B$5,标准坦克设计!$B$24:$U$30,MATCH("对"&amp;LEFT($C$5,2)&amp;"输出",标准坦克设计!$B$23:$U$23,0)))*(VLOOKUP($B188,INDIRECT($B$5&amp;"生成成长"),3))*(VLOOKUP($B$5,标准坦克设计!$B$14:$K$20,9)/30))</f>
        <v>25.130833085999175</v>
      </c>
      <c r="AQ188" s="172">
        <f ca="1">(VLOOKUP(AQ$72,INDIRECT($C$5&amp;"生成成长"),2))/((VLOOKUP($B188,INDIRECT($B$5&amp;"生成成长"),4))/(VLOOKUP(AQ$72,INDIRECT($C$5&amp;"生成成长"),5))*(VLOOKUP($B$5,标准坦克设计!$B$24:$U$30,MATCH("对"&amp;LEFT($C$5,2)&amp;"输出",标准坦克设计!$B$23:$U$23,0)))*(VLOOKUP($B188,INDIRECT($B$5&amp;"生成成长"),3))*(VLOOKUP($B$5,标准坦克设计!$B$14:$K$20,9)/30))</f>
        <v>26.916648193979825</v>
      </c>
      <c r="AR188" s="172">
        <f ca="1">(VLOOKUP(AR$72,INDIRECT($C$5&amp;"生成成长"),2))/((VLOOKUP($B188,INDIRECT($B$5&amp;"生成成长"),4))/(VLOOKUP(AR$72,INDIRECT($C$5&amp;"生成成长"),5))*(VLOOKUP($B$5,标准坦克设计!$B$24:$U$30,MATCH("对"&amp;LEFT($C$5,2)&amp;"输出",标准坦克设计!$B$23:$U$23,0)))*(VLOOKUP($B188,INDIRECT($B$5&amp;"生成成长"),3))*(VLOOKUP($B$5,标准坦克设计!$B$14:$K$20,9)/30))</f>
        <v>28.763754928131423</v>
      </c>
      <c r="AS188" s="172">
        <f ca="1">(VLOOKUP(AS$72,INDIRECT($C$5&amp;"生成成长"),2))/((VLOOKUP($B188,INDIRECT($B$5&amp;"生成成长"),4))/(VLOOKUP(AS$72,INDIRECT($C$5&amp;"生成成长"),5))*(VLOOKUP($B$5,标准坦克设计!$B$24:$U$30,MATCH("对"&amp;LEFT($C$5,2)&amp;"输出",标准坦克设计!$B$23:$U$23,0)))*(VLOOKUP($B188,INDIRECT($B$5&amp;"生成成长"),3))*(VLOOKUP($B$5,标准坦克设计!$B$14:$K$20,9)/30))</f>
        <v>30.672153288453956</v>
      </c>
      <c r="AT188" s="172">
        <f ca="1">(VLOOKUP(AT$72,INDIRECT($C$5&amp;"生成成长"),2))/((VLOOKUP($B188,INDIRECT($B$5&amp;"生成成长"),4))/(VLOOKUP(AT$72,INDIRECT($C$5&amp;"生成成长"),5))*(VLOOKUP($B$5,标准坦克设计!$B$24:$U$30,MATCH("对"&amp;LEFT($C$5,2)&amp;"输出",标准坦克设计!$B$23:$U$23,0)))*(VLOOKUP($B188,INDIRECT($B$5&amp;"生成成长"),3))*(VLOOKUP($B$5,标准坦克设计!$B$14:$K$20,9)/30))</f>
        <v>32.641843274947441</v>
      </c>
      <c r="AU188" s="172">
        <f ca="1">(VLOOKUP(AU$72,INDIRECT($C$5&amp;"生成成长"),2))/((VLOOKUP($B188,INDIRECT($B$5&amp;"生成成长"),4))/(VLOOKUP(AU$72,INDIRECT($C$5&amp;"生成成长"),5))*(VLOOKUP($B$5,标准坦克设计!$B$24:$U$30,MATCH("对"&amp;LEFT($C$5,2)&amp;"输出",标准坦克设计!$B$23:$U$23,0)))*(VLOOKUP($B188,INDIRECT($B$5&amp;"生成成长"),3))*(VLOOKUP($B$5,标准坦克设计!$B$14:$K$20,9)/30))</f>
        <v>34.672824887611867</v>
      </c>
      <c r="AV188" s="172">
        <f ca="1">(VLOOKUP(AV$72,INDIRECT($C$5&amp;"生成成长"),2))/((VLOOKUP($B188,INDIRECT($B$5&amp;"生成成长"),4))/(VLOOKUP(AV$72,INDIRECT($C$5&amp;"生成成长"),5))*(VLOOKUP($B$5,标准坦克设计!$B$24:$U$30,MATCH("对"&amp;LEFT($C$5,2)&amp;"输出",标准坦克设计!$B$23:$U$23,0)))*(VLOOKUP($B188,INDIRECT($B$5&amp;"生成成长"),3))*(VLOOKUP($B$5,标准坦克设计!$B$14:$K$20,9)/30))</f>
        <v>3.5265479454719326</v>
      </c>
      <c r="AW188" s="172">
        <f ca="1">(VLOOKUP(AW$72,INDIRECT($C$5&amp;"生成成长"),2))/((VLOOKUP($B188,INDIRECT($B$5&amp;"生成成长"),4))/(VLOOKUP(AW$72,INDIRECT($C$5&amp;"生成成长"),5))*(VLOOKUP($B$5,标准坦克设计!$B$24:$U$30,MATCH("对"&amp;LEFT($C$5,2)&amp;"输出",标准坦克设计!$B$23:$U$23,0)))*(VLOOKUP($B188,INDIRECT($B$5&amp;"生成成长"),3))*(VLOOKUP($B$5,标准坦克设计!$B$14:$K$20,9)/30))</f>
        <v>4.0209332937598683</v>
      </c>
      <c r="AX188" s="172">
        <f ca="1">(VLOOKUP(AX$72,INDIRECT($C$5&amp;"生成成长"),2))/((VLOOKUP($B188,INDIRECT($B$5&amp;"生成成长"),4))/(VLOOKUP(AX$72,INDIRECT($C$5&amp;"生成成长"),5))*(VLOOKUP($B$5,标准坦克设计!$B$24:$U$30,MATCH("对"&amp;LEFT($C$5,2)&amp;"输出",标准坦克设计!$B$23:$U$23,0)))*(VLOOKUP($B188,INDIRECT($B$5&amp;"生成成长"),3))*(VLOOKUP($B$5,标准坦克设计!$B$14:$K$20,9)/30))</f>
        <v>4.5477373534109464</v>
      </c>
      <c r="AY188" s="172">
        <f ca="1">(VLOOKUP(AY$72,INDIRECT($C$5&amp;"生成成长"),2))/((VLOOKUP($B188,INDIRECT($B$5&amp;"生成成长"),4))/(VLOOKUP(AY$72,INDIRECT($C$5&amp;"生成成长"),5))*(VLOOKUP($B$5,标准坦克设计!$B$24:$U$30,MATCH("对"&amp;LEFT($C$5,2)&amp;"输出",标准坦克设计!$B$23:$U$23,0)))*(VLOOKUP($B188,INDIRECT($B$5&amp;"生成成长"),3))*(VLOOKUP($B$5,标准坦克设计!$B$14:$K$20,9)/30))</f>
        <v>5.1069601244251688</v>
      </c>
      <c r="AZ188" s="172">
        <f ca="1">(VLOOKUP(AZ$72,INDIRECT($C$5&amp;"生成成长"),2))/((VLOOKUP($B188,INDIRECT($B$5&amp;"生成成长"),4))/(VLOOKUP(AZ$72,INDIRECT($C$5&amp;"生成成长"),5))*(VLOOKUP($B$5,标准坦克设计!$B$24:$U$30,MATCH("对"&amp;LEFT($C$5,2)&amp;"输出",标准坦克设计!$B$23:$U$23,0)))*(VLOOKUP($B188,INDIRECT($B$5&amp;"生成成长"),3))*(VLOOKUP($B$5,标准坦克设计!$B$14:$K$20,9)/30))</f>
        <v>5.6986016068025336</v>
      </c>
      <c r="BA188" s="172">
        <f ca="1">(VLOOKUP(BA$72,INDIRECT($C$5&amp;"生成成长"),2))/((VLOOKUP($B188,INDIRECT($B$5&amp;"生成成长"),4))/(VLOOKUP(BA$72,INDIRECT($C$5&amp;"生成成长"),5))*(VLOOKUP($B$5,标准坦克设计!$B$24:$U$30,MATCH("对"&amp;LEFT($C$5,2)&amp;"输出",标准坦克设计!$B$23:$U$23,0)))*(VLOOKUP($B188,INDIRECT($B$5&amp;"生成成长"),3))*(VLOOKUP($B$5,标准坦克设计!$B$14:$K$20,9)/30))</f>
        <v>6.3226618005430435</v>
      </c>
      <c r="BB188" s="172">
        <f ca="1">(VLOOKUP(BB$72,INDIRECT($C$5&amp;"生成成长"),2))/((VLOOKUP($B188,INDIRECT($B$5&amp;"生成成长"),4))/(VLOOKUP(BB$72,INDIRECT($C$5&amp;"生成成长"),5))*(VLOOKUP($B$5,标准坦克设计!$B$24:$U$30,MATCH("对"&amp;LEFT($C$5,2)&amp;"输出",标准坦克设计!$B$23:$U$23,0)))*(VLOOKUP($B188,INDIRECT($B$5&amp;"生成成长"),3))*(VLOOKUP($B$5,标准坦克设计!$B$14:$K$20,9)/30))</f>
        <v>6.9791407056466941</v>
      </c>
      <c r="BC188" s="172">
        <f ca="1">(VLOOKUP(BC$72,INDIRECT($C$5&amp;"生成成长"),2))/((VLOOKUP($B188,INDIRECT($B$5&amp;"生成成长"),4))/(VLOOKUP(BC$72,INDIRECT($C$5&amp;"生成成长"),5))*(VLOOKUP($B$5,标准坦克设计!$B$24:$U$30,MATCH("对"&amp;LEFT($C$5,2)&amp;"输出",标准坦克设计!$B$23:$U$23,0)))*(VLOOKUP($B188,INDIRECT($B$5&amp;"生成成长"),3))*(VLOOKUP($B$5,标准坦克设计!$B$14:$K$20,9)/30))</f>
        <v>7.6680383221134889</v>
      </c>
      <c r="BD188" s="172">
        <f ca="1">(VLOOKUP(BD$72,INDIRECT($C$5&amp;"生成成长"),2))/((VLOOKUP($B188,INDIRECT($B$5&amp;"生成成长"),4))/(VLOOKUP(BD$72,INDIRECT($C$5&amp;"生成成长"),5))*(VLOOKUP($B$5,标准坦克设计!$B$24:$U$30,MATCH("对"&amp;LEFT($C$5,2)&amp;"输出",标准坦克设计!$B$23:$U$23,0)))*(VLOOKUP($B188,INDIRECT($B$5&amp;"生成成长"),3))*(VLOOKUP($B$5,标准坦克设计!$B$14:$K$20,9)/30))</f>
        <v>8.4817986315648923</v>
      </c>
      <c r="BE188" s="172">
        <f ca="1">(VLOOKUP(BE$72,INDIRECT($C$5&amp;"生成成长"),2))/((VLOOKUP($B188,INDIRECT($B$5&amp;"生成成长"),4))/(VLOOKUP(BE$72,INDIRECT($C$5&amp;"生成成长"),5))*(VLOOKUP($B$5,标准坦克设计!$B$24:$U$30,MATCH("对"&amp;LEFT($C$5,2)&amp;"输出",标准坦克设计!$B$23:$U$23,0)))*(VLOOKUP($B188,INDIRECT($B$5&amp;"生成成长"),3))*(VLOOKUP($B$5,标准坦克设计!$B$14:$K$20,9)/30))</f>
        <v>9.3365888725852724</v>
      </c>
      <c r="BF188" s="172">
        <f ca="1">(VLOOKUP(BF$72,INDIRECT($C$5&amp;"生成成长"),2))/((VLOOKUP($B188,INDIRECT($B$5&amp;"生成成长"),4))/(VLOOKUP(BF$72,INDIRECT($C$5&amp;"生成成长"),5))*(VLOOKUP($B$5,标准坦克设计!$B$24:$U$30,MATCH("对"&amp;LEFT($C$5,2)&amp;"输出",标准坦克设计!$B$23:$U$23,0)))*(VLOOKUP($B188,INDIRECT($B$5&amp;"生成成长"),3))*(VLOOKUP($B$5,标准坦克设计!$B$14:$K$20,9)/30))</f>
        <v>10.232409045174631</v>
      </c>
      <c r="BG188" s="172">
        <f ca="1">(VLOOKUP(BG$72,INDIRECT($C$5&amp;"生成成长"),2))/((VLOOKUP($B188,INDIRECT($B$5&amp;"生成成长"),4))/(VLOOKUP(BG$72,INDIRECT($C$5&amp;"生成成长"),5))*(VLOOKUP($B$5,标准坦克设计!$B$24:$U$30,MATCH("对"&amp;LEFT($C$5,2)&amp;"输出",标准坦克设计!$B$23:$U$23,0)))*(VLOOKUP($B188,INDIRECT($B$5&amp;"生成成长"),3))*(VLOOKUP($B$5,标准坦克设计!$B$14:$K$20,9)/30))</f>
        <v>11.169259149332968</v>
      </c>
      <c r="BH188" s="172">
        <f ca="1">(VLOOKUP(BH$72,INDIRECT($C$5&amp;"生成成长"),2))/((VLOOKUP($B188,INDIRECT($B$5&amp;"生成成长"),4))/(VLOOKUP(BH$72,INDIRECT($C$5&amp;"生成成长"),5))*(VLOOKUP($B$5,标准坦克设计!$B$24:$U$30,MATCH("对"&amp;LEFT($C$5,2)&amp;"输出",标准坦克设计!$B$23:$U$23,0)))*(VLOOKUP($B188,INDIRECT($B$5&amp;"生成成长"),3))*(VLOOKUP($B$5,标准坦克设计!$B$14:$K$20,9)/30))</f>
        <v>5.3987285266934588</v>
      </c>
      <c r="BI188" s="172">
        <f ca="1">(VLOOKUP(BI$72,INDIRECT($C$5&amp;"生成成长"),2))/((VLOOKUP($B188,INDIRECT($B$5&amp;"生成成长"),4))/(VLOOKUP(BI$72,INDIRECT($C$5&amp;"生成成长"),5))*(VLOOKUP($B$5,标准坦克设计!$B$24:$U$30,MATCH("对"&amp;LEFT($C$5,2)&amp;"输出",标准坦克设计!$B$23:$U$23,0)))*(VLOOKUP($B188,INDIRECT($B$5&amp;"生成成长"),3))*(VLOOKUP($B$5,标准坦克设计!$B$14:$K$20,9)/30))</f>
        <v>6.0848401601524831</v>
      </c>
      <c r="BJ188" s="172">
        <f ca="1">(VLOOKUP(BJ$72,INDIRECT($C$5&amp;"生成成长"),2))/((VLOOKUP($B188,INDIRECT($B$5&amp;"生成成长"),4))/(VLOOKUP(BJ$72,INDIRECT($C$5&amp;"生成成长"),5))*(VLOOKUP($B$5,标准坦克设计!$B$24:$U$30,MATCH("对"&amp;LEFT($C$5,2)&amp;"输出",标准坦克设计!$B$23:$U$23,0)))*(VLOOKUP($B188,INDIRECT($B$5&amp;"生成成长"),3))*(VLOOKUP($B$5,标准坦克设计!$B$14:$K$20,9)/30))</f>
        <v>6.8119817251804857</v>
      </c>
      <c r="BK188" s="172">
        <f ca="1">(VLOOKUP(BK$72,INDIRECT($C$5&amp;"生成成长"),2))/((VLOOKUP($B188,INDIRECT($B$5&amp;"生成成长"),4))/(VLOOKUP(BK$72,INDIRECT($C$5&amp;"生成成长"),5))*(VLOOKUP($B$5,标准坦克设计!$B$24:$U$30,MATCH("对"&amp;LEFT($C$5,2)&amp;"输出",标准坦克设计!$B$23:$U$23,0)))*(VLOOKUP($B188,INDIRECT($B$5&amp;"生成成长"),3))*(VLOOKUP($B$5,标准坦克设计!$B$14:$K$20,9)/30))</f>
        <v>7.5801532217774685</v>
      </c>
      <c r="BL188" s="172">
        <f ca="1">(VLOOKUP(BL$72,INDIRECT($C$5&amp;"生成成长"),2))/((VLOOKUP($B188,INDIRECT($B$5&amp;"生成成长"),4))/(VLOOKUP(BL$72,INDIRECT($C$5&amp;"生成成长"),5))*(VLOOKUP($B$5,标准坦克设计!$B$24:$U$30,MATCH("对"&amp;LEFT($C$5,2)&amp;"输出",标准坦克设计!$B$23:$U$23,0)))*(VLOOKUP($B188,INDIRECT($B$5&amp;"生成成长"),3))*(VLOOKUP($B$5,标准坦克设计!$B$14:$K$20,9)/30))</f>
        <v>8.3893546499434297</v>
      </c>
      <c r="BM188" s="172">
        <f ca="1">(VLOOKUP(BM$72,INDIRECT($C$5&amp;"生成成长"),2))/((VLOOKUP($B188,INDIRECT($B$5&amp;"生成成长"),4))/(VLOOKUP(BM$72,INDIRECT($C$5&amp;"生成成长"),5))*(VLOOKUP($B$5,标准坦克设计!$B$24:$U$30,MATCH("对"&amp;LEFT($C$5,2)&amp;"输出",标准坦克设计!$B$23:$U$23,0)))*(VLOOKUP($B188,INDIRECT($B$5&amp;"生成成长"),3))*(VLOOKUP($B$5,标准坦克设计!$B$14:$K$20,9)/30))</f>
        <v>9.2395860096783657</v>
      </c>
      <c r="BN188" s="172">
        <f ca="1">(VLOOKUP(BN$72,INDIRECT($C$5&amp;"生成成长"),2))/((VLOOKUP($B188,INDIRECT($B$5&amp;"生成成长"),4))/(VLOOKUP(BN$72,INDIRECT($C$5&amp;"生成成长"),5))*(VLOOKUP($B$5,标准坦克设计!$B$24:$U$30,MATCH("对"&amp;LEFT($C$5,2)&amp;"输出",标准坦克设计!$B$23:$U$23,0)))*(VLOOKUP($B188,INDIRECT($B$5&amp;"生成成长"),3))*(VLOOKUP($B$5,标准坦克设计!$B$14:$K$20,9)/30))</f>
        <v>10.130847300982282</v>
      </c>
      <c r="BO188" s="172">
        <f ca="1">(VLOOKUP(BO$72,INDIRECT($C$5&amp;"生成成长"),2))/((VLOOKUP($B188,INDIRECT($B$5&amp;"生成成长"),4))/(VLOOKUP(BO$72,INDIRECT($C$5&amp;"生成成长"),5))*(VLOOKUP($B$5,标准坦克设计!$B$24:$U$30,MATCH("对"&amp;LEFT($C$5,2)&amp;"输出",标准坦克设计!$B$23:$U$23,0)))*(VLOOKUP($B188,INDIRECT($B$5&amp;"生成成长"),3))*(VLOOKUP($B$5,标准坦克设计!$B$14:$K$20,9)/30))</f>
        <v>11.063138523855176</v>
      </c>
      <c r="BP188" s="172">
        <f ca="1">(VLOOKUP(BP$72,INDIRECT($C$5&amp;"生成成长"),2))/((VLOOKUP($B188,INDIRECT($B$5&amp;"生成成长"),4))/(VLOOKUP(BP$72,INDIRECT($C$5&amp;"生成成长"),5))*(VLOOKUP($B$5,标准坦克设计!$B$24:$U$30,MATCH("对"&amp;LEFT($C$5,2)&amp;"输出",标准坦克设计!$B$23:$U$23,0)))*(VLOOKUP($B188,INDIRECT($B$5&amp;"生成成长"),3))*(VLOOKUP($B$5,标准坦克设计!$B$14:$K$20,9)/30))</f>
        <v>12.036459678297049</v>
      </c>
      <c r="BQ188" s="172">
        <f ca="1">(VLOOKUP(BQ$72,INDIRECT($C$5&amp;"生成成长"),2))/((VLOOKUP($B188,INDIRECT($B$5&amp;"生成成长"),4))/(VLOOKUP(BQ$72,INDIRECT($C$5&amp;"生成成长"),5))*(VLOOKUP($B$5,标准坦克设计!$B$24:$U$30,MATCH("对"&amp;LEFT($C$5,2)&amp;"输出",标准坦克设计!$B$23:$U$23,0)))*(VLOOKUP($B188,INDIRECT($B$5&amp;"生成成长"),3))*(VLOOKUP($B$5,标准坦克设计!$B$14:$K$20,9)/30))</f>
        <v>13.050810764307901</v>
      </c>
      <c r="BR188" s="172">
        <f ca="1">(VLOOKUP(BR$72,INDIRECT($C$5&amp;"生成成长"),2))/((VLOOKUP($B188,INDIRECT($B$5&amp;"生成成长"),4))/(VLOOKUP(BR$72,INDIRECT($C$5&amp;"生成成长"),5))*(VLOOKUP($B$5,标准坦克设计!$B$24:$U$30,MATCH("对"&amp;LEFT($C$5,2)&amp;"输出",标准坦克设计!$B$23:$U$23,0)))*(VLOOKUP($B188,INDIRECT($B$5&amp;"生成成长"),3))*(VLOOKUP($B$5,标准坦克设计!$B$14:$K$20,9)/30))</f>
        <v>14.225989051221843</v>
      </c>
      <c r="BS188" s="172">
        <f ca="1">(VLOOKUP(BS$72,INDIRECT($C$5&amp;"生成成长"),2))/((VLOOKUP($B188,INDIRECT($B$5&amp;"生成成长"),4))/(VLOOKUP(BS$72,INDIRECT($C$5&amp;"生成成长"),5))*(VLOOKUP($B$5,标准坦克设计!$B$24:$U$30,MATCH("对"&amp;LEFT($C$5,2)&amp;"输出",标准坦克设计!$B$23:$U$23,0)))*(VLOOKUP($B188,INDIRECT($B$5&amp;"生成成长"),3))*(VLOOKUP($B$5,标准坦克设计!$B$14:$K$20,9)/30))</f>
        <v>15.4518215746407</v>
      </c>
      <c r="BT188" s="172">
        <f ca="1">(VLOOKUP(BT$72,INDIRECT($C$5&amp;"生成成长"),2))/((VLOOKUP($B188,INDIRECT($B$5&amp;"生成成长"),4))/(VLOOKUP(BT$72,INDIRECT($C$5&amp;"生成成长"),5))*(VLOOKUP($B$5,标准坦克设计!$B$24:$U$30,MATCH("对"&amp;LEFT($C$5,2)&amp;"输出",标准坦克设计!$B$23:$U$23,0)))*(VLOOKUP($B188,INDIRECT($B$5&amp;"生成成长"),3))*(VLOOKUP($B$5,标准坦克设计!$B$14:$K$20,9)/30))</f>
        <v>16.728308334564471</v>
      </c>
      <c r="BU188" s="172">
        <f ca="1">(VLOOKUP(BU$72,INDIRECT($C$5&amp;"生成成长"),2))/((VLOOKUP($B188,INDIRECT($B$5&amp;"生成成长"),4))/(VLOOKUP(BU$72,INDIRECT($C$5&amp;"生成成长"),5))*(VLOOKUP($B$5,标准坦克设计!$B$24:$U$30,MATCH("对"&amp;LEFT($C$5,2)&amp;"输出",标准坦克设计!$B$23:$U$23,0)))*(VLOOKUP($B188,INDIRECT($B$5&amp;"生成成长"),3))*(VLOOKUP($B$5,标准坦克设计!$B$14:$K$20,9)/30))</f>
        <v>18.055449330993149</v>
      </c>
      <c r="BV188" s="172">
        <f ca="1">(VLOOKUP(BV$72,INDIRECT($C$5&amp;"生成成长"),2))/((VLOOKUP($B188,INDIRECT($B$5&amp;"生成成长"),4))/(VLOOKUP(BV$72,INDIRECT($C$5&amp;"生成成长"),5))*(VLOOKUP($B$5,标准坦克设计!$B$24:$U$30,MATCH("对"&amp;LEFT($C$5,2)&amp;"输出",标准坦克设计!$B$23:$U$23,0)))*(VLOOKUP($B188,INDIRECT($B$5&amp;"生成成长"),3))*(VLOOKUP($B$5,标准坦克设计!$B$14:$K$20,9)/30))</f>
        <v>19.433244563926738</v>
      </c>
      <c r="BW188" s="172">
        <f ca="1">(VLOOKUP(BW$72,INDIRECT($C$5&amp;"生成成长"),2))/((VLOOKUP($B188,INDIRECT($B$5&amp;"生成成长"),4))/(VLOOKUP(BW$72,INDIRECT($C$5&amp;"生成成长"),5))*(VLOOKUP($B$5,标准坦克设计!$B$24:$U$30,MATCH("对"&amp;LEFT($C$5,2)&amp;"输出",标准坦克设计!$B$23:$U$23,0)))*(VLOOKUP($B188,INDIRECT($B$5&amp;"生成成长"),3))*(VLOOKUP($B$5,标准坦克设计!$B$14:$K$20,9)/30))</f>
        <v>8.8566399817012353</v>
      </c>
      <c r="BX188" s="172">
        <f ca="1">(VLOOKUP(BX$72,INDIRECT($C$5&amp;"生成成长"),2))/((VLOOKUP($B188,INDIRECT($B$5&amp;"生成成长"),4))/(VLOOKUP(BX$72,INDIRECT($C$5&amp;"生成成长"),5))*(VLOOKUP($B$5,标准坦克设计!$B$24:$U$30,MATCH("对"&amp;LEFT($C$5,2)&amp;"输出",标准坦克设计!$B$23:$U$23,0)))*(VLOOKUP($B188,INDIRECT($B$5&amp;"生成成长"),3))*(VLOOKUP($B$5,标准坦克设计!$B$14:$K$20,9)/30))</f>
        <v>9.8292013225955355</v>
      </c>
      <c r="BY188" s="172">
        <f ca="1">(VLOOKUP(BY$72,INDIRECT($C$5&amp;"生成成长"),2))/((VLOOKUP($B188,INDIRECT($B$5&amp;"生成成长"),4))/(VLOOKUP(BY$72,INDIRECT($C$5&amp;"生成成长"),5))*(VLOOKUP($B$5,标准坦克设计!$B$24:$U$30,MATCH("对"&amp;LEFT($C$5,2)&amp;"输出",标准坦克设计!$B$23:$U$23,0)))*(VLOOKUP($B188,INDIRECT($B$5&amp;"生成成长"),3))*(VLOOKUP($B$5,标准坦克设计!$B$14:$K$20,9)/30))</f>
        <v>10.852416899994745</v>
      </c>
      <c r="BZ188" s="172">
        <f ca="1">(VLOOKUP(BZ$72,INDIRECT($C$5&amp;"生成成长"),2))/((VLOOKUP($B188,INDIRECT($B$5&amp;"生成成长"),4))/(VLOOKUP(BZ$72,INDIRECT($C$5&amp;"生成成长"),5))*(VLOOKUP($B$5,标准坦克设计!$B$24:$U$30,MATCH("对"&amp;LEFT($C$5,2)&amp;"输出",标准坦克设计!$B$23:$U$23,0)))*(VLOOKUP($B188,INDIRECT($B$5&amp;"生成成长"),3))*(VLOOKUP($B$5,标准坦克设计!$B$14:$K$20,9)/30))</f>
        <v>11.926286713898868</v>
      </c>
      <c r="CA188" s="172">
        <f ca="1">(VLOOKUP(CA$72,INDIRECT($C$5&amp;"生成成长"),2))/((VLOOKUP($B188,INDIRECT($B$5&amp;"生成成长"),4))/(VLOOKUP(CA$72,INDIRECT($C$5&amp;"生成成长"),5))*(VLOOKUP($B$5,标准坦克设计!$B$24:$U$30,MATCH("对"&amp;LEFT($C$5,2)&amp;"输出",标准坦克设计!$B$23:$U$23,0)))*(VLOOKUP($B188,INDIRECT($B$5&amp;"生成成长"),3))*(VLOOKUP($B$5,标准坦克设计!$B$14:$K$20,9)/30))</f>
        <v>13.050810764307901</v>
      </c>
      <c r="CB188" s="172">
        <f ca="1">(VLOOKUP(CB$72,INDIRECT($C$5&amp;"生成成长"),2))/((VLOOKUP($B188,INDIRECT($B$5&amp;"生成成长"),4))/(VLOOKUP(CB$72,INDIRECT($C$5&amp;"生成成长"),5))*(VLOOKUP($B$5,标准坦克设计!$B$24:$U$30,MATCH("对"&amp;LEFT($C$5,2)&amp;"输出",标准坦克设计!$B$23:$U$23,0)))*(VLOOKUP($B188,INDIRECT($B$5&amp;"生成成长"),3))*(VLOOKUP($B$5,标准坦克设计!$B$14:$K$20,9)/30))</f>
        <v>14.225989051221843</v>
      </c>
      <c r="CC188" s="172">
        <f ca="1">(VLOOKUP(CC$72,INDIRECT($C$5&amp;"生成成长"),2))/((VLOOKUP($B188,INDIRECT($B$5&amp;"生成成长"),4))/(VLOOKUP(CC$72,INDIRECT($C$5&amp;"生成成长"),5))*(VLOOKUP($B$5,标准坦克设计!$B$24:$U$30,MATCH("对"&amp;LEFT($C$5,2)&amp;"输出",标准坦克设计!$B$23:$U$23,0)))*(VLOOKUP($B188,INDIRECT($B$5&amp;"生成成长"),3))*(VLOOKUP($B$5,标准坦克设计!$B$14:$K$20,9)/30))</f>
        <v>15.4518215746407</v>
      </c>
      <c r="CD188" s="172">
        <f ca="1">(VLOOKUP(CD$72,INDIRECT($C$5&amp;"生成成长"),2))/((VLOOKUP($B188,INDIRECT($B$5&amp;"生成成长"),4))/(VLOOKUP(CD$72,INDIRECT($C$5&amp;"生成成长"),5))*(VLOOKUP($B$5,标准坦克设计!$B$24:$U$30,MATCH("对"&amp;LEFT($C$5,2)&amp;"输出",标准坦克设计!$B$23:$U$23,0)))*(VLOOKUP($B188,INDIRECT($B$5&amp;"生成成长"),3))*(VLOOKUP($B$5,标准坦克设计!$B$14:$K$20,9)/30))</f>
        <v>16.728308334564471</v>
      </c>
      <c r="CE188" s="172">
        <f ca="1">(VLOOKUP(CE$72,INDIRECT($C$5&amp;"生成成长"),2))/((VLOOKUP($B188,INDIRECT($B$5&amp;"生成成长"),4))/(VLOOKUP(CE$72,INDIRECT($C$5&amp;"生成成长"),5))*(VLOOKUP($B$5,标准坦克设计!$B$24:$U$30,MATCH("对"&amp;LEFT($C$5,2)&amp;"输出",标准坦克设计!$B$23:$U$23,0)))*(VLOOKUP($B188,INDIRECT($B$5&amp;"生成成长"),3))*(VLOOKUP($B$5,标准坦克设计!$B$14:$K$20,9)/30))</f>
        <v>18.055449330993149</v>
      </c>
      <c r="CF188" s="172">
        <f ca="1">(VLOOKUP(CF$72,INDIRECT($C$5&amp;"生成成长"),2))/((VLOOKUP($B188,INDIRECT($B$5&amp;"生成成长"),4))/(VLOOKUP(CF$72,INDIRECT($C$5&amp;"生成成长"),5))*(VLOOKUP($B$5,标准坦克设计!$B$24:$U$30,MATCH("对"&amp;LEFT($C$5,2)&amp;"输出",标准坦克设计!$B$23:$U$23,0)))*(VLOOKUP($B188,INDIRECT($B$5&amp;"生成成长"),3))*(VLOOKUP($B$5,标准坦克设计!$B$14:$K$20,9)/30))</f>
        <v>19.433244563926738</v>
      </c>
      <c r="CG188" s="172">
        <f ca="1">(VLOOKUP(CG$72,INDIRECT($C$5&amp;"生成成长"),2))/((VLOOKUP($B188,INDIRECT($B$5&amp;"生成成长"),4))/(VLOOKUP(CG$72,INDIRECT($C$5&amp;"生成成长"),5))*(VLOOKUP($B$5,标准坦克设计!$B$24:$U$30,MATCH("对"&amp;LEFT($C$5,2)&amp;"输出",标准坦克设计!$B$23:$U$23,0)))*(VLOOKUP($B188,INDIRECT($B$5&amp;"生成成长"),3))*(VLOOKUP($B$5,标准坦克设计!$B$14:$K$20,9)/30))</f>
        <v>20.861694033365239</v>
      </c>
      <c r="CH188" s="172">
        <f ca="1">(VLOOKUP(CH$72,INDIRECT($C$5&amp;"生成成长"),2))/((VLOOKUP($B188,INDIRECT($B$5&amp;"生成成长"),4))/(VLOOKUP(CH$72,INDIRECT($C$5&amp;"生成成长"),5))*(VLOOKUP($B$5,标准坦克设计!$B$24:$U$30,MATCH("对"&amp;LEFT($C$5,2)&amp;"输出",标准坦克设计!$B$23:$U$23,0)))*(VLOOKUP($B188,INDIRECT($B$5&amp;"生成成长"),3))*(VLOOKUP($B$5,标准坦克设计!$B$14:$K$20,9)/30))</f>
        <v>22.340797739308652</v>
      </c>
      <c r="CI188" s="172">
        <f ca="1">(VLOOKUP(CI$72,INDIRECT($C$5&amp;"生成成长"),2))/((VLOOKUP($B188,INDIRECT($B$5&amp;"生成成长"),4))/(VLOOKUP(CI$72,INDIRECT($C$5&amp;"生成成长"),5))*(VLOOKUP($B$5,标准坦克设计!$B$24:$U$30,MATCH("对"&amp;LEFT($C$5,2)&amp;"输出",标准坦克设计!$B$23:$U$23,0)))*(VLOOKUP($B188,INDIRECT($B$5&amp;"生成成长"),3))*(VLOOKUP($B$5,标准坦克设计!$B$14:$K$20,9)/30))</f>
        <v>24.026317459009583</v>
      </c>
      <c r="CJ188" s="172">
        <f ca="1">(VLOOKUP(CJ$72,INDIRECT($C$5&amp;"生成成长"),2))/((VLOOKUP($B188,INDIRECT($B$5&amp;"生成成长"),4))/(VLOOKUP(CJ$72,INDIRECT($C$5&amp;"生成成长"),5))*(VLOOKUP($B$5,标准坦克设计!$B$24:$U$30,MATCH("对"&amp;LEFT($C$5,2)&amp;"输出",标准坦克设计!$B$23:$U$23,0)))*(VLOOKUP($B188,INDIRECT($B$5&amp;"生成成长"),3))*(VLOOKUP($B$5,标准坦克设计!$B$14:$K$20,9)/30))</f>
        <v>25.773128804881448</v>
      </c>
      <c r="CK188" s="172">
        <f ca="1">(VLOOKUP(CK$72,INDIRECT($C$5&amp;"生成成长"),2))/((VLOOKUP($B188,INDIRECT($B$5&amp;"生成成长"),4))/(VLOOKUP(CK$72,INDIRECT($C$5&amp;"生成成长"),5))*(VLOOKUP($B$5,标准坦克设计!$B$24:$U$30,MATCH("对"&amp;LEFT($C$5,2)&amp;"输出",标准坦克设计!$B$23:$U$23,0)))*(VLOOKUP($B188,INDIRECT($B$5&amp;"生成成长"),3))*(VLOOKUP($B$5,标准坦克设计!$B$14:$K$20,9)/30))</f>
        <v>27.581231776924266</v>
      </c>
      <c r="CL188" s="172">
        <f ca="1">(VLOOKUP(CL$72,INDIRECT($C$5&amp;"生成成长"),2))/((VLOOKUP($B188,INDIRECT($B$5&amp;"生成成长"),4))/(VLOOKUP(CL$72,INDIRECT($C$5&amp;"生成成长"),5))*(VLOOKUP($B$5,标准坦克设计!$B$24:$U$30,MATCH("对"&amp;LEFT($C$5,2)&amp;"输出",标准坦克设计!$B$23:$U$23,0)))*(VLOOKUP($B188,INDIRECT($B$5&amp;"生成成长"),3))*(VLOOKUP($B$5,标准坦克设计!$B$14:$K$20,9)/30))</f>
        <v>29.450626375138018</v>
      </c>
      <c r="CM188" s="172">
        <f ca="1">(VLOOKUP(CM$72,INDIRECT($C$5&amp;"生成成长"),2))/((VLOOKUP($B188,INDIRECT($B$5&amp;"生成成长"),4))/(VLOOKUP(CM$72,INDIRECT($C$5&amp;"生成成长"),5))*(VLOOKUP($B$5,标准坦克设计!$B$24:$U$30,MATCH("对"&amp;LEFT($C$5,2)&amp;"输出",标准坦克设计!$B$23:$U$23,0)))*(VLOOKUP($B188,INDIRECT($B$5&amp;"生成成长"),3))*(VLOOKUP($B$5,标准坦克设计!$B$14:$K$20,9)/30))</f>
        <v>31.381312599522722</v>
      </c>
      <c r="CN188" s="172">
        <f ca="1">(VLOOKUP(CN$72,INDIRECT($C$5&amp;"生成成长"),2))/((VLOOKUP($B188,INDIRECT($B$5&amp;"生成成长"),4))/(VLOOKUP(CN$72,INDIRECT($C$5&amp;"生成成长"),5))*(VLOOKUP($B$5,标准坦克设计!$B$24:$U$30,MATCH("对"&amp;LEFT($C$5,2)&amp;"输出",标准坦克设计!$B$23:$U$23,0)))*(VLOOKUP($B188,INDIRECT($B$5&amp;"生成成长"),3))*(VLOOKUP($B$5,标准坦克设计!$B$14:$K$20,9)/30))</f>
        <v>33.373290450078365</v>
      </c>
      <c r="CO188" s="172">
        <f ca="1">(VLOOKUP(CO$72,INDIRECT($C$5&amp;"生成成长"),2))/((VLOOKUP($B188,INDIRECT($B$5&amp;"生成成长"),4))/(VLOOKUP(CO$72,INDIRECT($C$5&amp;"生成成长"),5))*(VLOOKUP($B$5,标准坦克设计!$B$24:$U$30,MATCH("对"&amp;LEFT($C$5,2)&amp;"输出",标准坦克设计!$B$23:$U$23,0)))*(VLOOKUP($B188,INDIRECT($B$5&amp;"生成成长"),3))*(VLOOKUP($B$5,标准坦克设计!$B$14:$K$20,9)/30))</f>
        <v>14.955410056892571</v>
      </c>
      <c r="CP188" s="172">
        <f ca="1">(VLOOKUP(CP$72,INDIRECT($C$5&amp;"生成成长"),2))/((VLOOKUP($B188,INDIRECT($B$5&amp;"生成成长"),4))/(VLOOKUP(CP$72,INDIRECT($C$5&amp;"生成成长"),5))*(VLOOKUP($B$5,标准坦克设计!$B$24:$U$30,MATCH("对"&amp;LEFT($C$5,2)&amp;"输出",标准坦克设计!$B$23:$U$23,0)))*(VLOOKUP($B188,INDIRECT($B$5&amp;"生成成长"),3))*(VLOOKUP($B$5,标准坦克设计!$B$14:$K$20,9)/30))</f>
        <v>16.340043611754322</v>
      </c>
      <c r="CQ188" s="172">
        <f ca="1">(VLOOKUP(CQ$72,INDIRECT($C$5&amp;"生成成长"),2))/((VLOOKUP($B188,INDIRECT($B$5&amp;"生成成长"),4))/(VLOOKUP(CQ$72,INDIRECT($C$5&amp;"生成成长"),5))*(VLOOKUP($B$5,标准坦克设计!$B$24:$U$30,MATCH("对"&amp;LEFT($C$5,2)&amp;"输出",标准坦克设计!$B$23:$U$23,0)))*(VLOOKUP($B188,INDIRECT($B$5&amp;"生成成长"),3))*(VLOOKUP($B$5,标准坦克设计!$B$14:$K$20,9)/30))</f>
        <v>17.78596879278702</v>
      </c>
      <c r="CR188" s="172">
        <f ca="1">(VLOOKUP(CR$72,INDIRECT($C$5&amp;"生成成长"),2))/((VLOOKUP($B188,INDIRECT($B$5&amp;"生成成长"),4))/(VLOOKUP(CR$72,INDIRECT($C$5&amp;"生成成长"),5))*(VLOOKUP($B$5,标准坦克设计!$B$24:$U$30,MATCH("对"&amp;LEFT($C$5,2)&amp;"输出",标准坦克设计!$B$23:$U$23,0)))*(VLOOKUP($B188,INDIRECT($B$5&amp;"生成成长"),3))*(VLOOKUP($B$5,标准坦克设计!$B$14:$K$20,9)/30))</f>
        <v>19.293185599990661</v>
      </c>
      <c r="CS188" s="172">
        <f ca="1">(VLOOKUP(CS$72,INDIRECT($C$5&amp;"生成成长"),2))/((VLOOKUP($B188,INDIRECT($B$5&amp;"生成成长"),4))/(VLOOKUP(CS$72,INDIRECT($C$5&amp;"生成成长"),5))*(VLOOKUP($B$5,标准坦克设计!$B$24:$U$30,MATCH("对"&amp;LEFT($C$5,2)&amp;"输出",标准坦克设计!$B$23:$U$23,0)))*(VLOOKUP($B188,INDIRECT($B$5&amp;"生成成长"),3))*(VLOOKUP($B$5,标准坦克设计!$B$14:$K$20,9)/30))</f>
        <v>20.861694033365239</v>
      </c>
      <c r="CT188" s="172">
        <f ca="1">(VLOOKUP(CT$72,INDIRECT($C$5&amp;"生成成长"),2))/((VLOOKUP($B188,INDIRECT($B$5&amp;"生成成长"),4))/(VLOOKUP(CT$72,INDIRECT($C$5&amp;"生成成长"),5))*(VLOOKUP($B$5,标准坦克设计!$B$24:$U$30,MATCH("对"&amp;LEFT($C$5,2)&amp;"输出",标准坦克设计!$B$23:$U$23,0)))*(VLOOKUP($B188,INDIRECT($B$5&amp;"生成成长"),3))*(VLOOKUP($B$5,标准坦克设计!$B$14:$K$20,9)/30))</f>
        <v>22.491494092910767</v>
      </c>
      <c r="CU188" s="172">
        <f ca="1">(VLOOKUP(CU$72,INDIRECT($C$5&amp;"生成成长"),2))/((VLOOKUP($B188,INDIRECT($B$5&amp;"生成成长"),4))/(VLOOKUP(CU$72,INDIRECT($C$5&amp;"生成成长"),5))*(VLOOKUP($B$5,标准坦克设计!$B$24:$U$30,MATCH("对"&amp;LEFT($C$5,2)&amp;"输出",标准坦克设计!$B$23:$U$23,0)))*(VLOOKUP($B188,INDIRECT($B$5&amp;"生成成长"),3))*(VLOOKUP($B$5,标准坦克设计!$B$14:$K$20,9)/30))</f>
        <v>24.182585778627235</v>
      </c>
      <c r="CV188" s="172">
        <f ca="1">(VLOOKUP(CV$72,INDIRECT($C$5&amp;"生成成长"),2))/((VLOOKUP($B188,INDIRECT($B$5&amp;"生成成长"),4))/(VLOOKUP(CV$72,INDIRECT($C$5&amp;"生成成长"),5))*(VLOOKUP($B$5,标准坦克设计!$B$24:$U$30,MATCH("对"&amp;LEFT($C$5,2)&amp;"输出",标准坦克设计!$B$23:$U$23,0)))*(VLOOKUP($B188,INDIRECT($B$5&amp;"生成成长"),3))*(VLOOKUP($B$5,标准坦克设计!$B$14:$K$20,9)/30))</f>
        <v>25.934969090514638</v>
      </c>
      <c r="CW188" s="172">
        <f ca="1">(VLOOKUP(CW$72,INDIRECT($C$5&amp;"生成成长"),2))/((VLOOKUP($B188,INDIRECT($B$5&amp;"生成成长"),4))/(VLOOKUP(CW$72,INDIRECT($C$5&amp;"生成成长"),5))*(VLOOKUP($B$5,标准坦克设计!$B$24:$U$30,MATCH("对"&amp;LEFT($C$5,2)&amp;"输出",标准坦克设计!$B$23:$U$23,0)))*(VLOOKUP($B188,INDIRECT($B$5&amp;"生成成长"),3))*(VLOOKUP($B$5,标准坦克设计!$B$14:$K$20,9)/30))</f>
        <v>27.748644028572993</v>
      </c>
      <c r="CX188" s="172">
        <f ca="1">(VLOOKUP(CX$72,INDIRECT($C$5&amp;"生成成长"),2))/((VLOOKUP($B188,INDIRECT($B$5&amp;"生成成长"),4))/(VLOOKUP(CX$72,INDIRECT($C$5&amp;"生成成长"),5))*(VLOOKUP($B$5,标准坦克设计!$B$24:$U$30,MATCH("对"&amp;LEFT($C$5,2)&amp;"输出",标准坦克设计!$B$23:$U$23,0)))*(VLOOKUP($B188,INDIRECT($B$5&amp;"生成成长"),3))*(VLOOKUP($B$5,标准坦克设计!$B$14:$K$20,9)/30))</f>
        <v>29.62361059280229</v>
      </c>
      <c r="CY188" s="172">
        <f ca="1">(VLOOKUP(CY$72,INDIRECT($C$5&amp;"生成成长"),2))/((VLOOKUP($B188,INDIRECT($B$5&amp;"生成成长"),4))/(VLOOKUP(CY$72,INDIRECT($C$5&amp;"生成成长"),5))*(VLOOKUP($B$5,标准坦克设计!$B$24:$U$30,MATCH("对"&amp;LEFT($C$5,2)&amp;"输出",标准坦克设计!$B$23:$U$23,0)))*(VLOOKUP($B188,INDIRECT($B$5&amp;"生成成长"),3))*(VLOOKUP($B$5,标准坦克设计!$B$14:$K$20,9)/30))</f>
        <v>31.559868783202525</v>
      </c>
      <c r="CZ188" s="172">
        <f ca="1">(VLOOKUP(CZ$72,INDIRECT($C$5&amp;"生成成长"),2))/((VLOOKUP($B188,INDIRECT($B$5&amp;"生成成长"),4))/(VLOOKUP(CZ$72,INDIRECT($C$5&amp;"生成成长"),5))*(VLOOKUP($B$5,标准坦克设计!$B$24:$U$30,MATCH("对"&amp;LEFT($C$5,2)&amp;"输出",标准坦克设计!$B$23:$U$23,0)))*(VLOOKUP($B188,INDIRECT($B$5&amp;"生成成长"),3))*(VLOOKUP($B$5,标准坦克设计!$B$14:$K$20,9)/30))</f>
        <v>33.557418599773719</v>
      </c>
      <c r="DA188" s="172">
        <f ca="1">(VLOOKUP(DA$72,INDIRECT($C$5&amp;"生成成长"),2))/((VLOOKUP($B188,INDIRECT($B$5&amp;"生成成长"),4))/(VLOOKUP(DA$72,INDIRECT($C$5&amp;"生成成长"),5))*(VLOOKUP($B$5,标准坦克设计!$B$24:$U$30,MATCH("对"&amp;LEFT($C$5,2)&amp;"输出",标准坦克设计!$B$23:$U$23,0)))*(VLOOKUP($B188,INDIRECT($B$5&amp;"生成成长"),3))*(VLOOKUP($B$5,标准坦克设计!$B$14:$K$20,9)/30))</f>
        <v>35.616260042515833</v>
      </c>
      <c r="DB188" s="172">
        <f ca="1">(VLOOKUP(DB$72,INDIRECT($C$5&amp;"生成成长"),2))/((VLOOKUP($B188,INDIRECT($B$5&amp;"生成成长"),4))/(VLOOKUP(DB$72,INDIRECT($C$5&amp;"生成成长"),5))*(VLOOKUP($B$5,标准坦克设计!$B$24:$U$30,MATCH("对"&amp;LEFT($C$5,2)&amp;"输出",标准坦克设计!$B$23:$U$23,0)))*(VLOOKUP($B188,INDIRECT($B$5&amp;"生成成长"),3))*(VLOOKUP($B$5,标准坦克设计!$B$14:$K$20,9)/30))</f>
        <v>37.736393111428903</v>
      </c>
      <c r="DC188" s="172">
        <f ca="1">(VLOOKUP(DC$72,INDIRECT($C$5&amp;"生成成长"),2))/((VLOOKUP($B188,INDIRECT($B$5&amp;"生成成长"),4))/(VLOOKUP(DC$72,INDIRECT($C$5&amp;"生成成长"),5))*(VLOOKUP($B$5,标准坦克设计!$B$24:$U$30,MATCH("对"&amp;LEFT($C$5,2)&amp;"输出",标准坦克设计!$B$23:$U$23,0)))*(VLOOKUP($B188,INDIRECT($B$5&amp;"生成成长"),3))*(VLOOKUP($B$5,标准坦克设计!$B$14:$K$20,9)/30))</f>
        <v>40.119168396619941</v>
      </c>
      <c r="DD188" s="172">
        <f ca="1">(VLOOKUP(DD$72,INDIRECT($C$5&amp;"生成成长"),2))/((VLOOKUP($B188,INDIRECT($B$5&amp;"生成成长"),4))/(VLOOKUP(DD$72,INDIRECT($C$5&amp;"生成成长"),5))*(VLOOKUP($B$5,标准坦克设计!$B$24:$U$30,MATCH("对"&amp;LEFT($C$5,2)&amp;"输出",标准坦克设计!$B$23:$U$23,0)))*(VLOOKUP($B188,INDIRECT($B$5&amp;"生成成长"),3))*(VLOOKUP($B$5,标准坦克设计!$B$14:$K$20,9)/30))</f>
        <v>42.574885782378047</v>
      </c>
      <c r="DE188" s="172">
        <f ca="1">(VLOOKUP(DE$72,INDIRECT($C$5&amp;"生成成长"),2))/((VLOOKUP($B188,INDIRECT($B$5&amp;"生成成长"),4))/(VLOOKUP(DE$72,INDIRECT($C$5&amp;"生成成长"),5))*(VLOOKUP($B$5,标准坦克设计!$B$24:$U$30,MATCH("对"&amp;LEFT($C$5,2)&amp;"输出",标准坦克设计!$B$23:$U$23,0)))*(VLOOKUP($B188,INDIRECT($B$5&amp;"生成成长"),3))*(VLOOKUP($B$5,标准坦克设计!$B$14:$K$20,9)/30))</f>
        <v>45.103545268703222</v>
      </c>
      <c r="DF188" s="172">
        <f ca="1">(VLOOKUP(DF$72,INDIRECT($C$5&amp;"生成成长"),2))/((VLOOKUP($B188,INDIRECT($B$5&amp;"生成成长"),4))/(VLOOKUP(DF$72,INDIRECT($C$5&amp;"生成成长"),5))*(VLOOKUP($B$5,标准坦克设计!$B$24:$U$30,MATCH("对"&amp;LEFT($C$5,2)&amp;"输出",标准坦克设计!$B$23:$U$23,0)))*(VLOOKUP($B188,INDIRECT($B$5&amp;"生成成长"),3))*(VLOOKUP($B$5,标准坦克设计!$B$14:$K$20,9)/30))</f>
        <v>47.705146855595473</v>
      </c>
      <c r="DG188" s="172">
        <f ca="1">(VLOOKUP(DG$72,INDIRECT($C$5&amp;"生成成长"),2))/((VLOOKUP($B188,INDIRECT($B$5&amp;"生成成长"),4))/(VLOOKUP(DG$72,INDIRECT($C$5&amp;"生成成长"),5))*(VLOOKUP($B$5,标准坦克设计!$B$24:$U$30,MATCH("对"&amp;LEFT($C$5,2)&amp;"输出",标准坦克设计!$B$23:$U$23,0)))*(VLOOKUP($B188,INDIRECT($B$5&amp;"生成成长"),3))*(VLOOKUP($B$5,标准坦克设计!$B$14:$K$20,9)/30))</f>
        <v>50.379690543054792</v>
      </c>
      <c r="DH188" s="172">
        <f ca="1">(VLOOKUP(DH$72,INDIRECT($C$5&amp;"生成成长"),2))/((VLOOKUP($B188,INDIRECT($B$5&amp;"生成成长"),4))/(VLOOKUP(DH$72,INDIRECT($C$5&amp;"生成成长"),5))*(VLOOKUP($B$5,标准坦克设计!$B$24:$U$30,MATCH("对"&amp;LEFT($C$5,2)&amp;"输出",标准坦克设计!$B$23:$U$23,0)))*(VLOOKUP($B188,INDIRECT($B$5&amp;"生成成长"),3))*(VLOOKUP($B$5,标准坦克设计!$B$14:$K$20,9)/30))</f>
        <v>53.127176331081188</v>
      </c>
      <c r="DI188" s="172">
        <f ca="1">(VLOOKUP(DI$72,INDIRECT($C$5&amp;"生成成长"),2))/((VLOOKUP($B188,INDIRECT($B$5&amp;"生成成长"),4))/(VLOOKUP(DI$72,INDIRECT($C$5&amp;"生成成长"),5))*(VLOOKUP($B$5,标准坦克设计!$B$24:$U$30,MATCH("对"&amp;LEFT($C$5,2)&amp;"输出",标准坦克设计!$B$23:$U$23,0)))*(VLOOKUP($B188,INDIRECT($B$5&amp;"生成成长"),3))*(VLOOKUP($B$5,标准坦克设计!$B$14:$K$20,9)/30))</f>
        <v>55.947604219674652</v>
      </c>
      <c r="DJ188" s="172">
        <f ca="1">(VLOOKUP(DJ$72,INDIRECT($C$5&amp;"生成成长"),2))/((VLOOKUP($B188,INDIRECT($B$5&amp;"生成成长"),4))/(VLOOKUP(DJ$72,INDIRECT($C$5&amp;"生成成长"),5))*(VLOOKUP($B$5,标准坦克设计!$B$24:$U$30,MATCH("对"&amp;LEFT($C$5,2)&amp;"输出",标准坦克设计!$B$23:$U$23,0)))*(VLOOKUP($B188,INDIRECT($B$5&amp;"生成成长"),3))*(VLOOKUP($B$5,标准坦克设计!$B$14:$K$20,9)/30))</f>
        <v>5.6228735232276916</v>
      </c>
      <c r="DK188" s="172">
        <f ca="1">(VLOOKUP(DK$72,INDIRECT($C$5&amp;"生成成长"),2))/((VLOOKUP($B188,INDIRECT($B$5&amp;"生成成长"),4))/(VLOOKUP(DK$72,INDIRECT($C$5&amp;"生成成长"),5))*(VLOOKUP($B$5,标准坦克设计!$B$24:$U$30,MATCH("对"&amp;LEFT($C$5,2)&amp;"输出",标准坦克设计!$B$23:$U$23,0)))*(VLOOKUP($B188,INDIRECT($B$5&amp;"生成成长"),3))*(VLOOKUP($B$5,标准坦克设计!$B$14:$K$20,9)/30))</f>
        <v>6.3226618005430435</v>
      </c>
      <c r="DL188" s="172">
        <f ca="1">(VLOOKUP(DL$72,INDIRECT($C$5&amp;"生成成长"),2))/((VLOOKUP($B188,INDIRECT($B$5&amp;"生成成长"),4))/(VLOOKUP(DL$72,INDIRECT($C$5&amp;"生成成长"),5))*(VLOOKUP($B$5,标准坦克设计!$B$24:$U$30,MATCH("对"&amp;LEFT($C$5,2)&amp;"输出",标准坦克设计!$B$23:$U$23,0)))*(VLOOKUP($B188,INDIRECT($B$5&amp;"生成成长"),3))*(VLOOKUP($B$5,标准坦克设计!$B$14:$K$20,9)/30))</f>
        <v>7.063480009427372</v>
      </c>
      <c r="DM188" s="172">
        <f ca="1">(VLOOKUP(DM$72,INDIRECT($C$5&amp;"生成成长"),2))/((VLOOKUP($B188,INDIRECT($B$5&amp;"生成成长"),4))/(VLOOKUP(DM$72,INDIRECT($C$5&amp;"生成成长"),5))*(VLOOKUP($B$5,标准坦克设计!$B$24:$U$30,MATCH("对"&amp;LEFT($C$5,2)&amp;"输出",标准坦克设计!$B$23:$U$23,0)))*(VLOOKUP($B188,INDIRECT($B$5&amp;"生成成长"),3))*(VLOOKUP($B$5,标准坦克设计!$B$14:$K$20,9)/30))</f>
        <v>7.8453281498806806</v>
      </c>
      <c r="DN188" s="172">
        <f ca="1">(VLOOKUP(DN$72,INDIRECT($C$5&amp;"生成成长"),2))/((VLOOKUP($B188,INDIRECT($B$5&amp;"生成成长"),4))/(VLOOKUP(DN$72,INDIRECT($C$5&amp;"生成成长"),5))*(VLOOKUP($B$5,标准坦克设计!$B$24:$U$30,MATCH("对"&amp;LEFT($C$5,2)&amp;"输出",标准坦克设计!$B$23:$U$23,0)))*(VLOOKUP($B188,INDIRECT($B$5&amp;"生成成长"),3))*(VLOOKUP($B$5,标准坦克设计!$B$14:$K$20,9)/30))</f>
        <v>8.6682062219029667</v>
      </c>
      <c r="DO188" s="172">
        <f ca="1">(VLOOKUP(DO$72,INDIRECT($C$5&amp;"生成成长"),2))/((VLOOKUP($B188,INDIRECT($B$5&amp;"生成成长"),4))/(VLOOKUP(DO$72,INDIRECT($C$5&amp;"生成成长"),5))*(VLOOKUP($B$5,标准坦克设计!$B$24:$U$30,MATCH("对"&amp;LEFT($C$5,2)&amp;"输出",标准坦克设计!$B$23:$U$23,0)))*(VLOOKUP($B188,INDIRECT($B$5&amp;"生成成长"),3))*(VLOOKUP($B$5,标准坦克设计!$B$14:$K$20,9)/30))</f>
        <v>9.5321142254942295</v>
      </c>
      <c r="DP188" s="172">
        <f ca="1">(VLOOKUP(DP$72,INDIRECT($C$5&amp;"生成成长"),2))/((VLOOKUP($B188,INDIRECT($B$5&amp;"生成成长"),4))/(VLOOKUP(DP$72,INDIRECT($C$5&amp;"生成成长"),5))*(VLOOKUP($B$5,标准坦克设计!$B$24:$U$30,MATCH("对"&amp;LEFT($C$5,2)&amp;"输出",标准坦克设计!$B$23:$U$23,0)))*(VLOOKUP($B188,INDIRECT($B$5&amp;"生成成长"),3))*(VLOOKUP($B$5,标准坦克设计!$B$14:$K$20,9)/30))</f>
        <v>10.437052160654471</v>
      </c>
      <c r="DQ188" s="172">
        <f ca="1">(VLOOKUP(DQ$72,INDIRECT($C$5&amp;"生成成长"),2))/((VLOOKUP($B188,INDIRECT($B$5&amp;"生成成长"),4))/(VLOOKUP(DQ$72,INDIRECT($C$5&amp;"生成成长"),5))*(VLOOKUP($B$5,标准坦克设计!$B$24:$U$30,MATCH("对"&amp;LEFT($C$5,2)&amp;"输出",标准坦克设计!$B$23:$U$23,0)))*(VLOOKUP($B188,INDIRECT($B$5&amp;"生成成长"),3))*(VLOOKUP($B$5,标准坦克设计!$B$14:$K$20,9)/30))</f>
        <v>11.383020027383695</v>
      </c>
      <c r="DR188" s="172">
        <f ca="1">(VLOOKUP(DR$72,INDIRECT($C$5&amp;"生成成长"),2))/((VLOOKUP($B188,INDIRECT($B$5&amp;"生成成长"),4))/(VLOOKUP(DR$72,INDIRECT($C$5&amp;"生成成长"),5))*(VLOOKUP($B$5,标准坦克设计!$B$24:$U$30,MATCH("对"&amp;LEFT($C$5,2)&amp;"输出",标准坦克设计!$B$23:$U$23,0)))*(VLOOKUP($B188,INDIRECT($B$5&amp;"生成成长"),3))*(VLOOKUP($B$5,标准坦克设计!$B$14:$K$20,9)/30))</f>
        <v>12.370017825681892</v>
      </c>
      <c r="DS188" s="172">
        <f ca="1">(VLOOKUP(DS$72,INDIRECT($C$5&amp;"生成成长"),2))/((VLOOKUP($B188,INDIRECT($B$5&amp;"生成成长"),4))/(VLOOKUP(DS$72,INDIRECT($C$5&amp;"生成成长"),5))*(VLOOKUP($B$5,标准坦克设计!$B$24:$U$30,MATCH("对"&amp;LEFT($C$5,2)&amp;"输出",标准坦克设计!$B$23:$U$23,0)))*(VLOOKUP($B188,INDIRECT($B$5&amp;"生成成长"),3))*(VLOOKUP($B$5,标准坦克设计!$B$14:$K$20,9)/30))</f>
        <v>13.39804555554907</v>
      </c>
      <c r="DT188" s="172">
        <f ca="1">(VLOOKUP(DT$72,INDIRECT($C$5&amp;"生成成长"),2))/((VLOOKUP($B188,INDIRECT($B$5&amp;"生成成长"),4))/(VLOOKUP(DT$72,INDIRECT($C$5&amp;"生成成长"),5))*(VLOOKUP($B$5,标准坦克设计!$B$24:$U$30,MATCH("对"&amp;LEFT($C$5,2)&amp;"输出",标准坦克设计!$B$23:$U$23,0)))*(VLOOKUP($B188,INDIRECT($B$5&amp;"生成成长"),3))*(VLOOKUP($B$5,标准坦克设计!$B$14:$K$20,9)/30))</f>
        <v>14.710243552208798</v>
      </c>
      <c r="DU188" s="172">
        <f ca="1">(VLOOKUP(DU$72,INDIRECT($C$5&amp;"生成成长"),2))/((VLOOKUP($B188,INDIRECT($B$5&amp;"生成成长"),4))/(VLOOKUP(DU$72,INDIRECT($C$5&amp;"生成成长"),5))*(VLOOKUP($B$5,标准坦克设计!$B$24:$U$30,MATCH("对"&amp;LEFT($C$5,2)&amp;"输出",标准坦克设计!$B$23:$U$23,0)))*(VLOOKUP($B188,INDIRECT($B$5&amp;"生成成长"),3))*(VLOOKUP($B$5,标准坦克设计!$B$14:$K$20,9)/30))</f>
        <v>16.083733175039473</v>
      </c>
      <c r="DV188" s="172">
        <f ca="1">(VLOOKUP(DV$72,INDIRECT($C$5&amp;"生成成长"),2))/((VLOOKUP($B188,INDIRECT($B$5&amp;"生成成长"),4))/(VLOOKUP(DV$72,INDIRECT($C$5&amp;"生成成长"),5))*(VLOOKUP($B$5,标准坦克设计!$B$24:$U$30,MATCH("对"&amp;LEFT($C$5,2)&amp;"输出",标准坦克设计!$B$23:$U$23,0)))*(VLOOKUP($B188,INDIRECT($B$5&amp;"生成成长"),3))*(VLOOKUP($B$5,标准坦克设计!$B$14:$K$20,9)/30))</f>
        <v>17.51851442404109</v>
      </c>
      <c r="DW188" s="172">
        <f ca="1">(VLOOKUP(DW$72,INDIRECT($C$5&amp;"生成成长"),2))/((VLOOKUP($B188,INDIRECT($B$5&amp;"生成成长"),4))/(VLOOKUP(DW$72,INDIRECT($C$5&amp;"生成成长"),5))*(VLOOKUP($B$5,标准坦克设计!$B$24:$U$30,MATCH("对"&amp;LEFT($C$5,2)&amp;"输出",标准坦克设计!$B$23:$U$23,0)))*(VLOOKUP($B188,INDIRECT($B$5&amp;"生成成长"),3))*(VLOOKUP($B$5,标准坦克设计!$B$14:$K$20,9)/30))</f>
        <v>19.014587299213645</v>
      </c>
      <c r="DX188" s="172">
        <f ca="1">(VLOOKUP(DX$72,INDIRECT($C$5&amp;"生成成长"),2))/((VLOOKUP($B188,INDIRECT($B$5&amp;"生成成长"),4))/(VLOOKUP(DX$72,INDIRECT($C$5&amp;"生成成长"),5))*(VLOOKUP($B$5,标准坦克设计!$B$24:$U$30,MATCH("对"&amp;LEFT($C$5,2)&amp;"输出",标准坦克设计!$B$23:$U$23,0)))*(VLOOKUP($B188,INDIRECT($B$5&amp;"生成成长"),3))*(VLOOKUP($B$5,标准坦克设计!$B$14:$K$20,9)/30))</f>
        <v>20.571951800557148</v>
      </c>
      <c r="DY188" s="172">
        <f ca="1">(VLOOKUP(DY$72,INDIRECT($C$5&amp;"生成成长"),2))/((VLOOKUP($B188,INDIRECT($B$5&amp;"生成成长"),4))/(VLOOKUP(DY$72,INDIRECT($C$5&amp;"生成成长"),5))*(VLOOKUP($B$5,标准坦克设计!$B$24:$U$30,MATCH("对"&amp;LEFT($C$5,2)&amp;"输出",标准坦克设计!$B$23:$U$23,0)))*(VLOOKUP($B188,INDIRECT($B$5&amp;"生成成长"),3))*(VLOOKUP($B$5,标准坦克设计!$B$14:$K$20,9)/30))</f>
        <v>9.2395860096783657</v>
      </c>
      <c r="DZ188" s="172">
        <f ca="1">(VLOOKUP(DZ$72,INDIRECT($C$5&amp;"生成成长"),2))/((VLOOKUP($B188,INDIRECT($B$5&amp;"生成成长"),4))/(VLOOKUP(DZ$72,INDIRECT($C$5&amp;"生成成长"),5))*(VLOOKUP($B$5,标准坦克设计!$B$24:$U$30,MATCH("对"&amp;LEFT($C$5,2)&amp;"输出",标准坦克设计!$B$23:$U$23,0)))*(VLOOKUP($B188,INDIRECT($B$5&amp;"生成成长"),3))*(VLOOKUP($B$5,标准坦克设计!$B$14:$K$20,9)/30))</f>
        <v>10.232409045174631</v>
      </c>
      <c r="EA188" s="172">
        <f ca="1">(VLOOKUP(EA$72,INDIRECT($C$5&amp;"生成成长"),2))/((VLOOKUP($B188,INDIRECT($B$5&amp;"生成成长"),4))/(VLOOKUP(EA$72,INDIRECT($C$5&amp;"生成成长"),5))*(VLOOKUP($B$5,标准坦克设计!$B$24:$U$30,MATCH("对"&amp;LEFT($C$5,2)&amp;"输出",标准坦克设计!$B$23:$U$23,0)))*(VLOOKUP($B188,INDIRECT($B$5&amp;"生成成长"),3))*(VLOOKUP($B$5,标准坦克设计!$B$14:$K$20,9)/30))</f>
        <v>11.275886317175805</v>
      </c>
      <c r="EB188" s="172">
        <f ca="1">(VLOOKUP(EB$72,INDIRECT($C$5&amp;"生成成长"),2))/((VLOOKUP($B188,INDIRECT($B$5&amp;"生成成长"),4))/(VLOOKUP(EB$72,INDIRECT($C$5&amp;"生成成长"),5))*(VLOOKUP($B$5,标准坦克设计!$B$24:$U$30,MATCH("对"&amp;LEFT($C$5,2)&amp;"输出",标准坦克设计!$B$23:$U$23,0)))*(VLOOKUP($B188,INDIRECT($B$5&amp;"生成成长"),3))*(VLOOKUP($B$5,标准坦克设计!$B$14:$K$20,9)/30))</f>
        <v>12.370017825681892</v>
      </c>
      <c r="EC188" s="172">
        <f ca="1">(VLOOKUP(EC$72,INDIRECT($C$5&amp;"生成成长"),2))/((VLOOKUP($B188,INDIRECT($B$5&amp;"生成成长"),4))/(VLOOKUP(EC$72,INDIRECT($C$5&amp;"生成成长"),5))*(VLOOKUP($B$5,标准坦克设计!$B$24:$U$30,MATCH("对"&amp;LEFT($C$5,2)&amp;"输出",标准坦克设计!$B$23:$U$23,0)))*(VLOOKUP($B188,INDIRECT($B$5&amp;"生成成长"),3))*(VLOOKUP($B$5,标准坦克设计!$B$14:$K$20,9)/30))</f>
        <v>13.514803570692891</v>
      </c>
      <c r="ED188" s="172">
        <f ca="1">(VLOOKUP(ED$72,INDIRECT($C$5&amp;"生成成长"),2))/((VLOOKUP($B188,INDIRECT($B$5&amp;"生成成长"),4))/(VLOOKUP(ED$72,INDIRECT($C$5&amp;"生成成长"),5))*(VLOOKUP($B$5,标准坦克设计!$B$24:$U$30,MATCH("对"&amp;LEFT($C$5,2)&amp;"输出",标准坦克设计!$B$23:$U$23,0)))*(VLOOKUP($B188,INDIRECT($B$5&amp;"生成成长"),3))*(VLOOKUP($B$5,标准坦克设计!$B$14:$K$20,9)/30))</f>
        <v>14.710243552208798</v>
      </c>
      <c r="EE188" s="172">
        <f ca="1">(VLOOKUP(EE$72,INDIRECT($C$5&amp;"生成成长"),2))/((VLOOKUP($B188,INDIRECT($B$5&amp;"生成成长"),4))/(VLOOKUP(EE$72,INDIRECT($C$5&amp;"生成成长"),5))*(VLOOKUP($B$5,标准坦克设计!$B$24:$U$30,MATCH("对"&amp;LEFT($C$5,2)&amp;"输出",标准坦克设计!$B$23:$U$23,0)))*(VLOOKUP($B188,INDIRECT($B$5&amp;"生成成长"),3))*(VLOOKUP($B$5,标准坦克设计!$B$14:$K$20,9)/30))</f>
        <v>15.956337770229622</v>
      </c>
      <c r="EF188" s="172">
        <f ca="1">(VLOOKUP(EF$72,INDIRECT($C$5&amp;"生成成长"),2))/((VLOOKUP($B188,INDIRECT($B$5&amp;"生成成长"),4))/(VLOOKUP(EF$72,INDIRECT($C$5&amp;"生成成长"),5))*(VLOOKUP($B$5,标准坦克设计!$B$24:$U$30,MATCH("对"&amp;LEFT($C$5,2)&amp;"输出",标准坦克设计!$B$23:$U$23,0)))*(VLOOKUP($B188,INDIRECT($B$5&amp;"生成成长"),3))*(VLOOKUP($B$5,标准坦克设计!$B$14:$K$20,9)/30))</f>
        <v>17.25308622475535</v>
      </c>
      <c r="EG188" s="172">
        <f ca="1">(VLOOKUP(EG$72,INDIRECT($C$5&amp;"生成成长"),2))/((VLOOKUP($B188,INDIRECT($B$5&amp;"生成成长"),4))/(VLOOKUP(EG$72,INDIRECT($C$5&amp;"生成成长"),5))*(VLOOKUP($B$5,标准坦克设计!$B$24:$U$30,MATCH("对"&amp;LEFT($C$5,2)&amp;"输出",标准坦克设计!$B$23:$U$23,0)))*(VLOOKUP($B188,INDIRECT($B$5&amp;"生成成长"),3))*(VLOOKUP($B$5,标准坦克设计!$B$14:$K$20,9)/30))</f>
        <v>18.600488915785995</v>
      </c>
      <c r="EH188" s="172">
        <f ca="1">(VLOOKUP(EH$72,INDIRECT($C$5&amp;"生成成长"),2))/((VLOOKUP($B188,INDIRECT($B$5&amp;"生成成长"),4))/(VLOOKUP(EH$72,INDIRECT($C$5&amp;"生成成长"),5))*(VLOOKUP($B$5,标准坦克设计!$B$24:$U$30,MATCH("对"&amp;LEFT($C$5,2)&amp;"输出",标准坦克设计!$B$23:$U$23,0)))*(VLOOKUP($B188,INDIRECT($B$5&amp;"生成成长"),3))*(VLOOKUP($B$5,标准坦克设计!$B$14:$K$20,9)/30))</f>
        <v>19.998545843321551</v>
      </c>
      <c r="EI188" s="172">
        <f ca="1">(VLOOKUP(EI$72,INDIRECT($C$5&amp;"生成成长"),2))/((VLOOKUP($B188,INDIRECT($B$5&amp;"生成成长"),4))/(VLOOKUP(EI$72,INDIRECT($C$5&amp;"生成成长"),5))*(VLOOKUP($B$5,标准坦克设计!$B$24:$U$30,MATCH("对"&amp;LEFT($C$5,2)&amp;"输出",标准坦克设计!$B$23:$U$23,0)))*(VLOOKUP($B188,INDIRECT($B$5&amp;"生成成长"),3))*(VLOOKUP($B$5,标准坦克设计!$B$14:$K$20,9)/30))</f>
        <v>21.447257007362015</v>
      </c>
      <c r="EJ188" s="172">
        <f ca="1">(VLOOKUP(EJ$72,INDIRECT($C$5&amp;"生成成长"),2))/((VLOOKUP($B188,INDIRECT($B$5&amp;"生成成长"),4))/(VLOOKUP(EJ$72,INDIRECT($C$5&amp;"生成成长"),5))*(VLOOKUP($B$5,标准坦克设计!$B$24:$U$30,MATCH("对"&amp;LEFT($C$5,2)&amp;"输出",标准坦克设计!$B$23:$U$23,0)))*(VLOOKUP($B188,INDIRECT($B$5&amp;"生成成长"),3))*(VLOOKUP($B$5,标准坦克设计!$B$14:$K$20,9)/30))</f>
        <v>22.946622407907398</v>
      </c>
      <c r="EK188" s="172">
        <f ca="1">(VLOOKUP(EK$72,INDIRECT($C$5&amp;"生成成长"),2))/((VLOOKUP($B188,INDIRECT($B$5&amp;"生成成长"),4))/(VLOOKUP(EK$72,INDIRECT($C$5&amp;"生成成长"),5))*(VLOOKUP($B$5,标准坦克设计!$B$24:$U$30,MATCH("对"&amp;LEFT($C$5,2)&amp;"输出",标准坦克设计!$B$23:$U$23,0)))*(VLOOKUP($B188,INDIRECT($B$5&amp;"生成成长"),3))*(VLOOKUP($B$5,标准坦克设计!$B$14:$K$20,9)/30))</f>
        <v>24.812724480748329</v>
      </c>
      <c r="EL188" s="172">
        <f ca="1">(VLOOKUP(EL$72,INDIRECT($C$5&amp;"生成成长"),2))/((VLOOKUP($B188,INDIRECT($B$5&amp;"生成成长"),4))/(VLOOKUP(EL$72,INDIRECT($C$5&amp;"生成成长"),5))*(VLOOKUP($B$5,标准坦克设计!$B$24:$U$30,MATCH("对"&amp;LEFT($C$5,2)&amp;"输出",标准坦克设计!$B$23:$U$23,0)))*(VLOOKUP($B188,INDIRECT($B$5&amp;"生成成长"),3))*(VLOOKUP($B$5,标准坦克设计!$B$14:$K$20,9)/30))</f>
        <v>26.751768654156344</v>
      </c>
      <c r="EM188" s="172">
        <f ca="1">(VLOOKUP(EM$72,INDIRECT($C$5&amp;"生成成长"),2))/((VLOOKUP($B188,INDIRECT($B$5&amp;"生成成长"),4))/(VLOOKUP(EM$72,INDIRECT($C$5&amp;"生成成长"),5))*(VLOOKUP($B$5,标准坦克设计!$B$24:$U$30,MATCH("对"&amp;LEFT($C$5,2)&amp;"输出",标准坦克设计!$B$23:$U$23,0)))*(VLOOKUP($B188,INDIRECT($B$5&amp;"生成成长"),3))*(VLOOKUP($B$5,标准坦克设计!$B$14:$K$20,9)/30))</f>
        <v>28.763754928131423</v>
      </c>
      <c r="EN188" s="172">
        <f ca="1">(VLOOKUP(EN$72,INDIRECT($C$5&amp;"生成成长"),2))/((VLOOKUP($B188,INDIRECT($B$5&amp;"生成成长"),4))/(VLOOKUP(EN$72,INDIRECT($C$5&amp;"生成成长"),5))*(VLOOKUP($B$5,标准坦克设计!$B$24:$U$30,MATCH("对"&amp;LEFT($C$5,2)&amp;"输出",标准坦克设计!$B$23:$U$23,0)))*(VLOOKUP($B188,INDIRECT($B$5&amp;"生成成长"),3))*(VLOOKUP($B$5,标准坦克设计!$B$14:$K$20,9)/30))</f>
        <v>30.848683302673575</v>
      </c>
      <c r="EO188" s="172">
        <f ca="1">(VLOOKUP(EO$72,INDIRECT($C$5&amp;"生成成长"),2))/((VLOOKUP($B188,INDIRECT($B$5&amp;"生成成长"),4))/(VLOOKUP(EO$72,INDIRECT($C$5&amp;"生成成长"),5))*(VLOOKUP($B$5,标准坦克设计!$B$24:$U$30,MATCH("对"&amp;LEFT($C$5,2)&amp;"输出",标准坦克设计!$B$23:$U$23,0)))*(VLOOKUP($B188,INDIRECT($B$5&amp;"生成成长"),3))*(VLOOKUP($B$5,标准坦克设计!$B$14:$K$20,9)/30))</f>
        <v>33.006553777782798</v>
      </c>
      <c r="EP188" s="172">
        <f ca="1">(VLOOKUP(EP$72,INDIRECT($C$5&amp;"生成成长"),2))/((VLOOKUP($B188,INDIRECT($B$5&amp;"生成成长"),4))/(VLOOKUP(EP$72,INDIRECT($C$5&amp;"生成成长"),5))*(VLOOKUP($B$5,标准坦克设计!$B$24:$U$30,MATCH("对"&amp;LEFT($C$5,2)&amp;"输出",标准坦克设计!$B$23:$U$23,0)))*(VLOOKUP($B188,INDIRECT($B$5&amp;"生成成长"),3))*(VLOOKUP($B$5,标准坦克设计!$B$14:$K$20,9)/30))</f>
        <v>35.237366353459102</v>
      </c>
      <c r="EQ188" s="172">
        <f ca="1">(VLOOKUP(EQ$72,INDIRECT($C$5&amp;"生成成长"),2))/((VLOOKUP($B188,INDIRECT($B$5&amp;"生成成长"),4))/(VLOOKUP(EQ$72,INDIRECT($C$5&amp;"生成成长"),5))*(VLOOKUP($B$5,标准坦克设计!$B$24:$U$30,MATCH("对"&amp;LEFT($C$5,2)&amp;"输出",标准坦克设计!$B$23:$U$23,0)))*(VLOOKUP($B188,INDIRECT($B$5&amp;"生成成长"),3))*(VLOOKUP($B$5,标准坦克设计!$B$14:$K$20,9)/30))</f>
        <v>15.577190809990357</v>
      </c>
      <c r="ER188" s="172">
        <f ca="1">(VLOOKUP(ER$72,INDIRECT($C$5&amp;"生成成长"),2))/((VLOOKUP($B188,INDIRECT($B$5&amp;"生成成长"),4))/(VLOOKUP(ER$72,INDIRECT($C$5&amp;"生成成长"),5))*(VLOOKUP($B$5,标准坦克设计!$B$24:$U$30,MATCH("对"&amp;LEFT($C$5,2)&amp;"输出",标准坦克设计!$B$23:$U$23,0)))*(VLOOKUP($B188,INDIRECT($B$5&amp;"生成成长"),3))*(VLOOKUP($B$5,标准坦克设计!$B$14:$K$20,9)/30))</f>
        <v>16.989684194929815</v>
      </c>
      <c r="ES188" s="172">
        <f ca="1">(VLOOKUP(ES$72,INDIRECT($C$5&amp;"生成成长"),2))/((VLOOKUP($B188,INDIRECT($B$5&amp;"生成成长"),4))/(VLOOKUP(ES$72,INDIRECT($C$5&amp;"生成成长"),5))*(VLOOKUP($B$5,标准坦克设计!$B$24:$U$30,MATCH("对"&amp;LEFT($C$5,2)&amp;"输出",标准坦克设计!$B$23:$U$23,0)))*(VLOOKUP($B188,INDIRECT($B$5&amp;"生成成长"),3))*(VLOOKUP($B$5,标准坦克设计!$B$14:$K$20,9)/30))</f>
        <v>18.463469206040209</v>
      </c>
      <c r="ET188" s="172">
        <f ca="1">(VLOOKUP(ET$72,INDIRECT($C$5&amp;"生成成长"),2))/((VLOOKUP($B188,INDIRECT($B$5&amp;"生成成长"),4))/(VLOOKUP(ET$72,INDIRECT($C$5&amp;"生成成长"),5))*(VLOOKUP($B$5,标准坦克设计!$B$24:$U$30,MATCH("对"&amp;LEFT($C$5,2)&amp;"输出",标准坦克设计!$B$23:$U$23,0)))*(VLOOKUP($B188,INDIRECT($B$5&amp;"生成成长"),3))*(VLOOKUP($B$5,标准坦克设计!$B$14:$K$20,9)/30))</f>
        <v>19.998545843321551</v>
      </c>
      <c r="EU188" s="172">
        <f ca="1">(VLOOKUP(EU$72,INDIRECT($C$5&amp;"生成成长"),2))/((VLOOKUP($B188,INDIRECT($B$5&amp;"生成成长"),4))/(VLOOKUP(EU$72,INDIRECT($C$5&amp;"生成成长"),5))*(VLOOKUP($B$5,标准坦克设计!$B$24:$U$30,MATCH("对"&amp;LEFT($C$5,2)&amp;"输出",标准坦克设计!$B$23:$U$23,0)))*(VLOOKUP($B188,INDIRECT($B$5&amp;"生成成长"),3))*(VLOOKUP($B$5,标准坦克设计!$B$14:$K$20,9)/30))</f>
        <v>21.594914106773835</v>
      </c>
      <c r="EV188" s="172">
        <f ca="1">(VLOOKUP(EV$72,INDIRECT($C$5&amp;"生成成长"),2))/((VLOOKUP($B188,INDIRECT($B$5&amp;"生成成长"),4))/(VLOOKUP(EV$72,INDIRECT($C$5&amp;"生成成长"),5))*(VLOOKUP($B$5,标准坦克设计!$B$24:$U$30,MATCH("对"&amp;LEFT($C$5,2)&amp;"输出",标准坦克设计!$B$23:$U$23,0)))*(VLOOKUP($B188,INDIRECT($B$5&amp;"生成成长"),3))*(VLOOKUP($B$5,标准坦克设计!$B$14:$K$20,9)/30))</f>
        <v>23.252573996397061</v>
      </c>
      <c r="EW188" s="172">
        <f ca="1">(VLOOKUP(EW$72,INDIRECT($C$5&amp;"生成成长"),2))/((VLOOKUP($B188,INDIRECT($B$5&amp;"生成成长"),4))/(VLOOKUP(EW$72,INDIRECT($C$5&amp;"生成成长"),5))*(VLOOKUP($B$5,标准坦克设计!$B$24:$U$30,MATCH("对"&amp;LEFT($C$5,2)&amp;"输出",标准坦克设计!$B$23:$U$23,0)))*(VLOOKUP($B188,INDIRECT($B$5&amp;"生成成长"),3))*(VLOOKUP($B$5,标准坦克设计!$B$14:$K$20,9)/30))</f>
        <v>24.971525512191235</v>
      </c>
      <c r="EX188" s="172">
        <f ca="1">(VLOOKUP(EX$72,INDIRECT($C$5&amp;"生成成长"),2))/((VLOOKUP($B188,INDIRECT($B$5&amp;"生成成长"),4))/(VLOOKUP(EX$72,INDIRECT($C$5&amp;"生成成长"),5))*(VLOOKUP($B$5,标准坦克设计!$B$24:$U$30,MATCH("对"&amp;LEFT($C$5,2)&amp;"输出",标准坦克设计!$B$23:$U$23,0)))*(VLOOKUP($B188,INDIRECT($B$5&amp;"生成成长"),3))*(VLOOKUP($B$5,标准坦克设计!$B$14:$K$20,9)/30))</f>
        <v>26.751768654156344</v>
      </c>
      <c r="EY188" s="172">
        <f ca="1">(VLOOKUP(EY$72,INDIRECT($C$5&amp;"生成成长"),2))/((VLOOKUP($B188,INDIRECT($B$5&amp;"生成成长"),4))/(VLOOKUP(EY$72,INDIRECT($C$5&amp;"生成成长"),5))*(VLOOKUP($B$5,标准坦克设计!$B$24:$U$30,MATCH("对"&amp;LEFT($C$5,2)&amp;"输出",标准坦克设计!$B$23:$U$23,0)))*(VLOOKUP($B188,INDIRECT($B$5&amp;"生成成长"),3))*(VLOOKUP($B$5,标准坦克设计!$B$14:$K$20,9)/30))</f>
        <v>28.59330342229239</v>
      </c>
      <c r="EZ188" s="172">
        <f ca="1">(VLOOKUP(EZ$72,INDIRECT($C$5&amp;"生成成长"),2))/((VLOOKUP($B188,INDIRECT($B$5&amp;"生成成长"),4))/(VLOOKUP(EZ$72,INDIRECT($C$5&amp;"生成成长"),5))*(VLOOKUP($B$5,标准坦克设计!$B$24:$U$30,MATCH("对"&amp;LEFT($C$5,2)&amp;"输出",标准坦克设计!$B$23:$U$23,0)))*(VLOOKUP($B188,INDIRECT($B$5&amp;"生成成长"),3))*(VLOOKUP($B$5,标准坦克设计!$B$14:$K$20,9)/30))</f>
        <v>30.496129816599392</v>
      </c>
      <c r="FA188" s="172">
        <f ca="1">(VLOOKUP(FA$72,INDIRECT($C$5&amp;"生成成长"),2))/((VLOOKUP($B188,INDIRECT($B$5&amp;"生成成长"),4))/(VLOOKUP(FA$72,INDIRECT($C$5&amp;"生成成长"),5))*(VLOOKUP($B$5,标准坦克设计!$B$24:$U$30,MATCH("对"&amp;LEFT($C$5,2)&amp;"输出",标准坦克设计!$B$23:$U$23,0)))*(VLOOKUP($B188,INDIRECT($B$5&amp;"生成成长"),3))*(VLOOKUP($B$5,标准坦克设计!$B$14:$K$20,9)/30))</f>
        <v>32.460247837077333</v>
      </c>
      <c r="FB188" s="172">
        <f ca="1">(VLOOKUP(FB$72,INDIRECT($C$5&amp;"生成成长"),2))/((VLOOKUP($B188,INDIRECT($B$5&amp;"生成成长"),4))/(VLOOKUP(FB$72,INDIRECT($C$5&amp;"生成成长"),5))*(VLOOKUP($B$5,标准坦克设计!$B$24:$U$30,MATCH("对"&amp;LEFT($C$5,2)&amp;"输出",标准坦克设计!$B$23:$U$23,0)))*(VLOOKUP($B188,INDIRECT($B$5&amp;"生成成长"),3))*(VLOOKUP($B$5,标准坦克设计!$B$14:$K$20,9)/30))</f>
        <v>34.485657483726214</v>
      </c>
      <c r="FC188" s="172">
        <f ca="1">(VLOOKUP(FC$72,INDIRECT($C$5&amp;"生成成长"),2))/((VLOOKUP($B188,INDIRECT($B$5&amp;"生成成长"),4))/(VLOOKUP(FC$72,INDIRECT($C$5&amp;"生成成长"),5))*(VLOOKUP($B$5,标准坦克设计!$B$24:$U$30,MATCH("对"&amp;LEFT($C$5,2)&amp;"输出",标准坦克设计!$B$23:$U$23,0)))*(VLOOKUP($B188,INDIRECT($B$5&amp;"生成成长"),3))*(VLOOKUP($B$5,标准坦克设计!$B$14:$K$20,9)/30))</f>
        <v>36.572358756546038</v>
      </c>
      <c r="FD188" s="172">
        <f ca="1">(VLOOKUP(FD$72,INDIRECT($C$5&amp;"生成成长"),2))/((VLOOKUP($B188,INDIRECT($B$5&amp;"生成成长"),4))/(VLOOKUP(FD$72,INDIRECT($C$5&amp;"生成成长"),5))*(VLOOKUP($B$5,标准坦克设计!$B$24:$U$30,MATCH("对"&amp;LEFT($C$5,2)&amp;"输出",标准坦克设计!$B$23:$U$23,0)))*(VLOOKUP($B188,INDIRECT($B$5&amp;"生成成长"),3))*(VLOOKUP($B$5,标准坦克设计!$B$14:$K$20,9)/30))</f>
        <v>38.72035165553681</v>
      </c>
      <c r="FE188" s="172">
        <f ca="1">(VLOOKUP(FE$72,INDIRECT($C$5&amp;"生成成长"),2))/((VLOOKUP($B188,INDIRECT($B$5&amp;"生成成长"),4))/(VLOOKUP(FE$72,INDIRECT($C$5&amp;"生成成长"),5))*(VLOOKUP($B$5,标准坦克设计!$B$24:$U$30,MATCH("对"&amp;LEFT($C$5,2)&amp;"输出",标准坦克设计!$B$23:$U$23,0)))*(VLOOKUP($B188,INDIRECT($B$5&amp;"生成成长"),3))*(VLOOKUP($B$5,标准坦克设计!$B$14:$K$20,9)/30))</f>
        <v>41.337909326928106</v>
      </c>
      <c r="FF188" s="172">
        <f ca="1">(VLOOKUP(FF$72,INDIRECT($C$5&amp;"生成成长"),2))/((VLOOKUP($B188,INDIRECT($B$5&amp;"生成成长"),4))/(VLOOKUP(FF$72,INDIRECT($C$5&amp;"生成成长"),5))*(VLOOKUP($B$5,标准坦克设计!$B$24:$U$30,MATCH("对"&amp;LEFT($C$5,2)&amp;"输出",标准坦克设计!$B$23:$U$23,0)))*(VLOOKUP($B188,INDIRECT($B$5&amp;"生成成长"),3))*(VLOOKUP($B$5,标准坦克设计!$B$14:$K$20,9)/30))</f>
        <v>44.041072658012695</v>
      </c>
      <c r="FG188" s="172">
        <f ca="1">(VLOOKUP(FG$72,INDIRECT($C$5&amp;"生成成长"),2))/((VLOOKUP($B188,INDIRECT($B$5&amp;"生成成长"),4))/(VLOOKUP(FG$72,INDIRECT($C$5&amp;"生成成长"),5))*(VLOOKUP($B$5,标准坦克设计!$B$24:$U$30,MATCH("对"&amp;LEFT($C$5,2)&amp;"输出",标准坦克设计!$B$23:$U$23,0)))*(VLOOKUP($B188,INDIRECT($B$5&amp;"生成成长"),3))*(VLOOKUP($B$5,标准坦克设计!$B$14:$K$20,9)/30))</f>
        <v>46.829841648790605</v>
      </c>
      <c r="FH188" s="172">
        <f ca="1">(VLOOKUP(FH$72,INDIRECT($C$5&amp;"生成成长"),2))/((VLOOKUP($B188,INDIRECT($B$5&amp;"生成成长"),4))/(VLOOKUP(FH$72,INDIRECT($C$5&amp;"生成成长"),5))*(VLOOKUP($B$5,标准坦克设计!$B$24:$U$30,MATCH("对"&amp;LEFT($C$5,2)&amp;"输出",标准坦克设计!$B$23:$U$23,0)))*(VLOOKUP($B188,INDIRECT($B$5&amp;"生成成长"),3))*(VLOOKUP($B$5,标准坦克设计!$B$14:$K$20,9)/30))</f>
        <v>49.704216299261802</v>
      </c>
      <c r="FI188" s="172">
        <f ca="1">(VLOOKUP(FI$72,INDIRECT($C$5&amp;"生成成长"),2))/((VLOOKUP($B188,INDIRECT($B$5&amp;"生成成长"),4))/(VLOOKUP(FI$72,INDIRECT($C$5&amp;"生成成长"),5))*(VLOOKUP($B$5,标准坦克设计!$B$24:$U$30,MATCH("对"&amp;LEFT($C$5,2)&amp;"输出",标准坦克设计!$B$23:$U$23,0)))*(VLOOKUP($B188,INDIRECT($B$5&amp;"生成成长"),3))*(VLOOKUP($B$5,标准坦克设计!$B$14:$K$20,9)/30))</f>
        <v>52.664196609426298</v>
      </c>
      <c r="FJ188" s="172">
        <f ca="1">(VLOOKUP(FJ$72,INDIRECT($C$5&amp;"生成成长"),2))/((VLOOKUP($B188,INDIRECT($B$5&amp;"生成成长"),4))/(VLOOKUP(FJ$72,INDIRECT($C$5&amp;"生成成长"),5))*(VLOOKUP($B$5,标准坦克设计!$B$24:$U$30,MATCH("对"&amp;LEFT($C$5,2)&amp;"输出",标准坦克设计!$B$23:$U$23,0)))*(VLOOKUP($B188,INDIRECT($B$5&amp;"生成成长"),3))*(VLOOKUP($B$5,标准坦克设计!$B$14:$K$20,9)/30))</f>
        <v>55.709782579284095</v>
      </c>
      <c r="FK188" s="172">
        <f ca="1">(VLOOKUP(FK$72,INDIRECT($C$5&amp;"生成成长"),2))/((VLOOKUP($B188,INDIRECT($B$5&amp;"生成成长"),4))/(VLOOKUP(FK$72,INDIRECT($C$5&amp;"生成成长"),5))*(VLOOKUP($B$5,标准坦克设计!$B$24:$U$30,MATCH("对"&amp;LEFT($C$5,2)&amp;"输出",标准坦克设计!$B$23:$U$23,0)))*(VLOOKUP($B188,INDIRECT($B$5&amp;"生成成长"),3))*(VLOOKUP($B$5,标准坦克设计!$B$14:$K$20,9)/30))</f>
        <v>58.840974208835192</v>
      </c>
    </row>
    <row r="189" spans="1:167" x14ac:dyDescent="0.15">
      <c r="A189" s="170" t="str">
        <f t="shared" si="12"/>
        <v>T3高品质6级</v>
      </c>
      <c r="B189" s="171">
        <v>30306</v>
      </c>
      <c r="C189" s="172">
        <f ca="1">(VLOOKUP(C$72,INDIRECT($C$5&amp;"生成成长"),2))/((VLOOKUP($B189,INDIRECT($B$5&amp;"生成成长"),4))/(VLOOKUP(C$72,INDIRECT($C$5&amp;"生成成长"),5))*(VLOOKUP($B$5,标准坦克设计!$B$24:$U$30,MATCH("对"&amp;LEFT($C$5,2)&amp;"输出",标准坦克设计!$B$23:$U$23,0)))*(VLOOKUP($B189,INDIRECT($B$5&amp;"生成成长"),3))*(VLOOKUP($B$5,标准坦克设计!$B$14:$K$20,9)/30))</f>
        <v>2.3008851862056767</v>
      </c>
      <c r="D189" s="172">
        <f ca="1">(VLOOKUP(D$72,INDIRECT($C$5&amp;"生成成长"),2))/((VLOOKUP($B189,INDIRECT($B$5&amp;"生成成长"),4))/(VLOOKUP(D$72,INDIRECT($C$5&amp;"生成成长"),5))*(VLOOKUP($B$5,标准坦克设计!$B$24:$U$30,MATCH("对"&amp;LEFT($C$5,2)&amp;"输出",标准坦克设计!$B$23:$U$23,0)))*(VLOOKUP($B189,INDIRECT($B$5&amp;"生成成长"),3))*(VLOOKUP($B$5,标准坦克设计!$B$14:$K$20,9)/30))</f>
        <v>2.5852745952206986</v>
      </c>
      <c r="E189" s="172">
        <f ca="1">(VLOOKUP(E$72,INDIRECT($C$5&amp;"生成成长"),2))/((VLOOKUP($B189,INDIRECT($B$5&amp;"生成成长"),4))/(VLOOKUP(E$72,INDIRECT($C$5&amp;"生成成长"),5))*(VLOOKUP($B$5,标准坦克设计!$B$24:$U$30,MATCH("对"&amp;LEFT($C$5,2)&amp;"输出",标准坦克设计!$B$23:$U$23,0)))*(VLOOKUP($B189,INDIRECT($B$5&amp;"生成成长"),3))*(VLOOKUP($B$5,标准坦克设计!$B$14:$K$20,9)/30))</f>
        <v>2.8862303775764011</v>
      </c>
      <c r="F189" s="172">
        <f ca="1">(VLOOKUP(F$72,INDIRECT($C$5&amp;"生成成长"),2))/((VLOOKUP($B189,INDIRECT($B$5&amp;"生成成长"),4))/(VLOOKUP(F$72,INDIRECT($C$5&amp;"生成成长"),5))*(VLOOKUP($B$5,标准坦克设计!$B$24:$U$30,MATCH("对"&amp;LEFT($C$5,2)&amp;"输出",标准坦克设计!$B$23:$U$23,0)))*(VLOOKUP($B189,INDIRECT($B$5&amp;"生成成长"),3))*(VLOOKUP($B$5,标准坦克设计!$B$14:$K$20,9)/30))</f>
        <v>3.2037525332727843</v>
      </c>
      <c r="G189" s="172">
        <f ca="1">(VLOOKUP(G$72,INDIRECT($C$5&amp;"生成成长"),2))/((VLOOKUP($B189,INDIRECT($B$5&amp;"生成成长"),4))/(VLOOKUP(G$72,INDIRECT($C$5&amp;"生成成长"),5))*(VLOOKUP($B$5,标准坦克设计!$B$24:$U$30,MATCH("对"&amp;LEFT($C$5,2)&amp;"输出",标准坦克设计!$B$23:$U$23,0)))*(VLOOKUP($B189,INDIRECT($B$5&amp;"生成成长"),3))*(VLOOKUP($B$5,标准坦克设计!$B$14:$K$20,9)/30))</f>
        <v>3.5378410623098491</v>
      </c>
      <c r="H189" s="172">
        <f ca="1">(VLOOKUP(H$72,INDIRECT($C$5&amp;"生成成长"),2))/((VLOOKUP($B189,INDIRECT($B$5&amp;"生成成长"),4))/(VLOOKUP(H$72,INDIRECT($C$5&amp;"生成成长"),5))*(VLOOKUP($B$5,标准坦克设计!$B$24:$U$30,MATCH("对"&amp;LEFT($C$5,2)&amp;"输出",标准坦克设计!$B$23:$U$23,0)))*(VLOOKUP($B189,INDIRECT($B$5&amp;"生成成长"),3))*(VLOOKUP($B$5,标准坦克设计!$B$14:$K$20,9)/30))</f>
        <v>3.0960711065583593</v>
      </c>
      <c r="I189" s="172">
        <f ca="1">(VLOOKUP(I$72,INDIRECT($C$5&amp;"生成成长"),2))/((VLOOKUP($B189,INDIRECT($B$5&amp;"生成成长"),4))/(VLOOKUP(I$72,INDIRECT($C$5&amp;"生成成长"),5))*(VLOOKUP($B$5,标准坦克设计!$B$24:$U$30,MATCH("对"&amp;LEFT($C$5,2)&amp;"输出",标准坦克设计!$B$23:$U$23,0)))*(VLOOKUP($B189,INDIRECT($B$5&amp;"生成成长"),3))*(VLOOKUP($B$5,标准坦克设计!$B$14:$K$20,9)/30))</f>
        <v>3.5378410623098491</v>
      </c>
      <c r="J189" s="172">
        <f ca="1">(VLOOKUP(J$72,INDIRECT($C$5&amp;"生成成长"),2))/((VLOOKUP($B189,INDIRECT($B$5&amp;"生成成长"),4))/(VLOOKUP(J$72,INDIRECT($C$5&amp;"生成成长"),5))*(VLOOKUP($B$5,标准坦克设计!$B$24:$U$30,MATCH("对"&amp;LEFT($C$5,2)&amp;"输出",标准坦克设计!$B$23:$U$23,0)))*(VLOOKUP($B189,INDIRECT($B$5&amp;"生成成长"),3))*(VLOOKUP($B$5,标准坦克设计!$B$14:$K$20,9)/30))</f>
        <v>4.0090623484447709</v>
      </c>
      <c r="K189" s="172">
        <f ca="1">(VLOOKUP(K$72,INDIRECT($C$5&amp;"生成成长"),2))/((VLOOKUP($B189,INDIRECT($B$5&amp;"生成成长"),4))/(VLOOKUP(K$72,INDIRECT($C$5&amp;"生成成长"),5))*(VLOOKUP($B$5,标准坦克设计!$B$24:$U$30,MATCH("对"&amp;LEFT($C$5,2)&amp;"输出",标准坦克设计!$B$23:$U$23,0)))*(VLOOKUP($B189,INDIRECT($B$5&amp;"生成成长"),3))*(VLOOKUP($B$5,标准坦克设计!$B$14:$K$20,9)/30))</f>
        <v>4.5097349649631271</v>
      </c>
      <c r="L189" s="172">
        <f ca="1">(VLOOKUP(L$72,INDIRECT($C$5&amp;"生成成长"),2))/((VLOOKUP($B189,INDIRECT($B$5&amp;"生成成长"),4))/(VLOOKUP(L$72,INDIRECT($C$5&amp;"生成成长"),5))*(VLOOKUP($B$5,标准坦克设计!$B$24:$U$30,MATCH("对"&amp;LEFT($C$5,2)&amp;"输出",标准坦克设计!$B$23:$U$23,0)))*(VLOOKUP($B189,INDIRECT($B$5&amp;"生成成长"),3))*(VLOOKUP($B$5,标准坦克设计!$B$14:$K$20,9)/30))</f>
        <v>5.0398589118649149</v>
      </c>
      <c r="M189" s="172">
        <f ca="1">(VLOOKUP(M$72,INDIRECT($C$5&amp;"生成成长"),2))/((VLOOKUP($B189,INDIRECT($B$5&amp;"生成成长"),4))/(VLOOKUP(M$72,INDIRECT($C$5&amp;"生成成长"),5))*(VLOOKUP($B$5,标准坦克设计!$B$24:$U$30,MATCH("对"&amp;LEFT($C$5,2)&amp;"输出",标准坦克设计!$B$23:$U$23,0)))*(VLOOKUP($B189,INDIRECT($B$5&amp;"生成成长"),3))*(VLOOKUP($B$5,标准坦克设计!$B$14:$K$20,9)/30))</f>
        <v>5.5994341891501351</v>
      </c>
      <c r="N189" s="172">
        <f ca="1">(VLOOKUP(N$72,INDIRECT($C$5&amp;"生成成长"),2))/((VLOOKUP($B189,INDIRECT($B$5&amp;"生成成长"),4))/(VLOOKUP(N$72,INDIRECT($C$5&amp;"生成成长"),5))*(VLOOKUP($B$5,标准坦克设计!$B$24:$U$30,MATCH("对"&amp;LEFT($C$5,2)&amp;"输出",标准坦克设计!$B$23:$U$23,0)))*(VLOOKUP($B189,INDIRECT($B$5&amp;"生成成长"),3))*(VLOOKUP($B$5,标准坦克设计!$B$14:$K$20,9)/30))</f>
        <v>6.1884607968187888</v>
      </c>
      <c r="O189" s="172">
        <f ca="1">(VLOOKUP(O$72,INDIRECT($C$5&amp;"生成成长"),2))/((VLOOKUP($B189,INDIRECT($B$5&amp;"生成成长"),4))/(VLOOKUP(O$72,INDIRECT($C$5&amp;"生成成长"),5))*(VLOOKUP($B$5,标准坦克设计!$B$24:$U$30,MATCH("对"&amp;LEFT($C$5,2)&amp;"输出",标准坦克设计!$B$23:$U$23,0)))*(VLOOKUP($B189,INDIRECT($B$5&amp;"生成成长"),3))*(VLOOKUP($B$5,标准坦克设计!$B$14:$K$20,9)/30))</f>
        <v>4.7050801172719883</v>
      </c>
      <c r="P189" s="172">
        <f ca="1">(VLOOKUP(P$72,INDIRECT($C$5&amp;"生成成长"),2))/((VLOOKUP($B189,INDIRECT($B$5&amp;"生成成长"),4))/(VLOOKUP(P$72,INDIRECT($C$5&amp;"生成成长"),5))*(VLOOKUP($B$5,标准坦克设计!$B$24:$U$30,MATCH("对"&amp;LEFT($C$5,2)&amp;"输出",标准坦克设计!$B$23:$U$23,0)))*(VLOOKUP($B189,INDIRECT($B$5&amp;"生成成长"),3))*(VLOOKUP($B$5,标准坦克设计!$B$14:$K$20,9)/30))</f>
        <v>5.3159651342095948</v>
      </c>
      <c r="Q189" s="172">
        <f ca="1">(VLOOKUP(Q$72,INDIRECT($C$5&amp;"生成成长"),2))/((VLOOKUP($B189,INDIRECT($B$5&amp;"生成成长"),4))/(VLOOKUP(Q$72,INDIRECT($C$5&amp;"生成成长"),5))*(VLOOKUP($B$5,标准坦克设计!$B$24:$U$30,MATCH("对"&amp;LEFT($C$5,2)&amp;"输出",标准坦克设计!$B$23:$U$23,0)))*(VLOOKUP($B189,INDIRECT($B$5&amp;"生成成长"),3))*(VLOOKUP($B$5,标准坦克设计!$B$14:$K$20,9)/30))</f>
        <v>5.9641244911637346</v>
      </c>
      <c r="R189" s="172">
        <f ca="1">(VLOOKUP(R$72,INDIRECT($C$5&amp;"生成成长"),2))/((VLOOKUP($B189,INDIRECT($B$5&amp;"生成成长"),4))/(VLOOKUP(R$72,INDIRECT($C$5&amp;"生成成长"),5))*(VLOOKUP($B$5,标准坦克设计!$B$24:$U$30,MATCH("对"&amp;LEFT($C$5,2)&amp;"输出",标准坦克设计!$B$23:$U$23,0)))*(VLOOKUP($B189,INDIRECT($B$5&amp;"生成成长"),3))*(VLOOKUP($B$5,标准坦克设计!$B$14:$K$20,9)/30))</f>
        <v>6.6495581881344057</v>
      </c>
      <c r="S189" s="172">
        <f ca="1">(VLOOKUP(S$72,INDIRECT($C$5&amp;"生成成长"),2))/((VLOOKUP($B189,INDIRECT($B$5&amp;"生成成长"),4))/(VLOOKUP(S$72,INDIRECT($C$5&amp;"生成成长"),5))*(VLOOKUP($B$5,标准坦克设计!$B$24:$U$30,MATCH("对"&amp;LEFT($C$5,2)&amp;"输出",标准坦克设计!$B$23:$U$23,0)))*(VLOOKUP($B189,INDIRECT($B$5&amp;"生成成长"),3))*(VLOOKUP($B$5,标准坦克设计!$B$14:$K$20,9)/30))</f>
        <v>7.3722662251216091</v>
      </c>
      <c r="T189" s="172">
        <f ca="1">(VLOOKUP(T$72,INDIRECT($C$5&amp;"生成成长"),2))/((VLOOKUP($B189,INDIRECT($B$5&amp;"生成成长"),4))/(VLOOKUP(T$72,INDIRECT($C$5&amp;"生成成长"),5))*(VLOOKUP($B$5,标准坦克设计!$B$24:$U$30,MATCH("对"&amp;LEFT($C$5,2)&amp;"输出",标准坦克设计!$B$23:$U$23,0)))*(VLOOKUP($B189,INDIRECT($B$5&amp;"生成成长"),3))*(VLOOKUP($B$5,标准坦克设计!$B$14:$K$20,9)/30))</f>
        <v>8.1322486021253457</v>
      </c>
      <c r="U189" s="172">
        <f ca="1">(VLOOKUP(U$72,INDIRECT($C$5&amp;"生成成长"),2))/((VLOOKUP($B189,INDIRECT($B$5&amp;"生成成长"),4))/(VLOOKUP(U$72,INDIRECT($C$5&amp;"生成成长"),5))*(VLOOKUP($B$5,标准坦克设计!$B$24:$U$30,MATCH("对"&amp;LEFT($C$5,2)&amp;"输出",标准坦克设计!$B$23:$U$23,0)))*(VLOOKUP($B189,INDIRECT($B$5&amp;"生成成长"),3))*(VLOOKUP($B$5,标准坦克设计!$B$14:$K$20,9)/30))</f>
        <v>8.929505319145612</v>
      </c>
      <c r="V189" s="172">
        <f ca="1">(VLOOKUP(V$72,INDIRECT($C$5&amp;"生成成长"),2))/((VLOOKUP($B189,INDIRECT($B$5&amp;"生成成长"),4))/(VLOOKUP(V$72,INDIRECT($C$5&amp;"生成成长"),5))*(VLOOKUP($B$5,标准坦克设计!$B$24:$U$30,MATCH("对"&amp;LEFT($C$5,2)&amp;"输出",标准坦克设计!$B$23:$U$23,0)))*(VLOOKUP($B189,INDIRECT($B$5&amp;"生成成长"),3))*(VLOOKUP($B$5,标准坦克设计!$B$14:$K$20,9)/30))</f>
        <v>9.7640363761824105</v>
      </c>
      <c r="W189" s="172">
        <f ca="1">(VLOOKUP(W$72,INDIRECT($C$5&amp;"生成成长"),2))/((VLOOKUP($B189,INDIRECT($B$5&amp;"生成成长"),4))/(VLOOKUP(W$72,INDIRECT($C$5&amp;"生成成长"),5))*(VLOOKUP($B$5,标准坦克设计!$B$24:$U$30,MATCH("对"&amp;LEFT($C$5,2)&amp;"输出",标准坦克设计!$B$23:$U$23,0)))*(VLOOKUP($B189,INDIRECT($B$5&amp;"生成成长"),3))*(VLOOKUP($B$5,标准坦克设计!$B$14:$K$20,9)/30))</f>
        <v>10.635841773235741</v>
      </c>
      <c r="X189" s="172">
        <f ca="1">(VLOOKUP(X$72,INDIRECT($C$5&amp;"生成成长"),2))/((VLOOKUP($B189,INDIRECT($B$5&amp;"生成成长"),4))/(VLOOKUP(X$72,INDIRECT($C$5&amp;"生成成长"),5))*(VLOOKUP($B$5,标准坦克设计!$B$24:$U$30,MATCH("对"&amp;LEFT($C$5,2)&amp;"输出",标准坦克设计!$B$23:$U$23,0)))*(VLOOKUP($B189,INDIRECT($B$5&amp;"生成成长"),3))*(VLOOKUP($B$5,标准坦克设计!$B$14:$K$20,9)/30))</f>
        <v>7.705434400084191</v>
      </c>
      <c r="Y189" s="172">
        <f ca="1">(VLOOKUP(Y$72,INDIRECT($C$5&amp;"生成成长"),2))/((VLOOKUP($B189,INDIRECT($B$5&amp;"生成成长"),4))/(VLOOKUP(Y$72,INDIRECT($C$5&amp;"生成成长"),5))*(VLOOKUP($B$5,标准坦克设计!$B$24:$U$30,MATCH("对"&amp;LEFT($C$5,2)&amp;"输出",标准坦克设计!$B$23:$U$23,0)))*(VLOOKUP($B189,INDIRECT($B$5&amp;"生成成长"),3))*(VLOOKUP($B$5,标准坦克设计!$B$14:$K$20,9)/30))</f>
        <v>8.5705672300975255</v>
      </c>
      <c r="Z189" s="172">
        <f ca="1">(VLOOKUP(Z$72,INDIRECT($C$5&amp;"生成成长"),2))/((VLOOKUP($B189,INDIRECT($B$5&amp;"生成成长"),4))/(VLOOKUP(Z$72,INDIRECT($C$5&amp;"生成成长"),5))*(VLOOKUP($B$5,标准坦克设计!$B$24:$U$30,MATCH("对"&amp;LEFT($C$5,2)&amp;"输出",标准坦克设计!$B$23:$U$23,0)))*(VLOOKUP($B189,INDIRECT($B$5&amp;"生成成长"),3))*(VLOOKUP($B$5,标准坦克设计!$B$14:$K$20,9)/30))</f>
        <v>9.4817177638349737</v>
      </c>
      <c r="AA189" s="172">
        <f ca="1">(VLOOKUP(AA$72,INDIRECT($C$5&amp;"生成成长"),2))/((VLOOKUP($B189,INDIRECT($B$5&amp;"生成成长"),4))/(VLOOKUP(AA$72,INDIRECT($C$5&amp;"生成成长"),5))*(VLOOKUP($B$5,标准坦克设计!$B$24:$U$30,MATCH("对"&amp;LEFT($C$5,2)&amp;"输出",标准坦克设计!$B$23:$U$23,0)))*(VLOOKUP($B189,INDIRECT($B$5&amp;"生成成长"),3))*(VLOOKUP($B$5,标准坦克设计!$B$14:$K$20,9)/30))</f>
        <v>10.438886001296535</v>
      </c>
      <c r="AB189" s="172">
        <f ca="1">(VLOOKUP(AB$72,INDIRECT($C$5&amp;"生成成长"),2))/((VLOOKUP($B189,INDIRECT($B$5&amp;"生成成长"),4))/(VLOOKUP(AB$72,INDIRECT($C$5&amp;"生成成长"),5))*(VLOOKUP($B$5,标准坦克设计!$B$24:$U$30,MATCH("对"&amp;LEFT($C$5,2)&amp;"输出",标准坦克设计!$B$23:$U$23,0)))*(VLOOKUP($B189,INDIRECT($B$5&amp;"生成成长"),3))*(VLOOKUP($B$5,标准坦克设计!$B$14:$K$20,9)/30))</f>
        <v>11.442071942482212</v>
      </c>
      <c r="AC189" s="172">
        <f ca="1">(VLOOKUP(AC$72,INDIRECT($C$5&amp;"生成成长"),2))/((VLOOKUP($B189,INDIRECT($B$5&amp;"生成成长"),4))/(VLOOKUP(AC$72,INDIRECT($C$5&amp;"生成成长"),5))*(VLOOKUP($B$5,标准坦克设计!$B$24:$U$30,MATCH("对"&amp;LEFT($C$5,2)&amp;"输出",标准坦克设计!$B$23:$U$23,0)))*(VLOOKUP($B189,INDIRECT($B$5&amp;"生成成长"),3))*(VLOOKUP($B$5,标准坦克设计!$B$14:$K$20,9)/30))</f>
        <v>12.491275587392</v>
      </c>
      <c r="AD189" s="172">
        <f ca="1">(VLOOKUP(AD$72,INDIRECT($C$5&amp;"生成成长"),2))/((VLOOKUP($B189,INDIRECT($B$5&amp;"生成成长"),4))/(VLOOKUP(AD$72,INDIRECT($C$5&amp;"生成成长"),5))*(VLOOKUP($B$5,标准坦克设计!$B$24:$U$30,MATCH("对"&amp;LEFT($C$5,2)&amp;"输出",标准坦克设计!$B$23:$U$23,0)))*(VLOOKUP($B189,INDIRECT($B$5&amp;"生成成长"),3))*(VLOOKUP($B$5,标准坦克设计!$B$14:$K$20,9)/30))</f>
        <v>13.586496936025901</v>
      </c>
      <c r="AE189" s="172">
        <f ca="1">(VLOOKUP(AE$72,INDIRECT($C$5&amp;"生成成长"),2))/((VLOOKUP($B189,INDIRECT($B$5&amp;"生成成长"),4))/(VLOOKUP(AE$72,INDIRECT($C$5&amp;"生成成长"),5))*(VLOOKUP($B$5,标准坦克设计!$B$24:$U$30,MATCH("对"&amp;LEFT($C$5,2)&amp;"输出",标准坦克设计!$B$23:$U$23,0)))*(VLOOKUP($B189,INDIRECT($B$5&amp;"生成成长"),3))*(VLOOKUP($B$5,标准坦克设计!$B$14:$K$20,9)/30))</f>
        <v>14.727735988383916</v>
      </c>
      <c r="AF189" s="172">
        <f ca="1">(VLOOKUP(AF$72,INDIRECT($C$5&amp;"生成成长"),2))/((VLOOKUP($B189,INDIRECT($B$5&amp;"生成成长"),4))/(VLOOKUP(AF$72,INDIRECT($C$5&amp;"生成成长"),5))*(VLOOKUP($B$5,标准坦克设计!$B$24:$U$30,MATCH("对"&amp;LEFT($C$5,2)&amp;"输出",标准坦克设计!$B$23:$U$23,0)))*(VLOOKUP($B189,INDIRECT($B$5&amp;"生成成长"),3))*(VLOOKUP($B$5,标准坦克设计!$B$14:$K$20,9)/30))</f>
        <v>15.914992744466048</v>
      </c>
      <c r="AG189" s="172">
        <f ca="1">(VLOOKUP(AG$72,INDIRECT($C$5&amp;"生成成长"),2))/((VLOOKUP($B189,INDIRECT($B$5&amp;"生成成长"),4))/(VLOOKUP(AG$72,INDIRECT($C$5&amp;"生成成长"),5))*(VLOOKUP($B$5,标准坦克设计!$B$24:$U$30,MATCH("对"&amp;LEFT($C$5,2)&amp;"输出",标准坦克设计!$B$23:$U$23,0)))*(VLOOKUP($B189,INDIRECT($B$5&amp;"生成成长"),3))*(VLOOKUP($B$5,标准坦克设计!$B$14:$K$20,9)/30))</f>
        <v>17.148267204272287</v>
      </c>
      <c r="AH189" s="172">
        <f ca="1">(VLOOKUP(AH$72,INDIRECT($C$5&amp;"生成成长"),2))/((VLOOKUP($B189,INDIRECT($B$5&amp;"生成成长"),4))/(VLOOKUP(AH$72,INDIRECT($C$5&amp;"生成成长"),5))*(VLOOKUP($B$5,标准坦克设计!$B$24:$U$30,MATCH("对"&amp;LEFT($C$5,2)&amp;"输出",标准坦克设计!$B$23:$U$23,0)))*(VLOOKUP($B189,INDIRECT($B$5&amp;"生成成长"),3))*(VLOOKUP($B$5,标准坦克设计!$B$14:$K$20,9)/30))</f>
        <v>18.427559367802647</v>
      </c>
      <c r="AI189" s="172">
        <f ca="1">(VLOOKUP(AI$72,INDIRECT($C$5&amp;"生成成长"),2))/((VLOOKUP($B189,INDIRECT($B$5&amp;"生成成长"),4))/(VLOOKUP(AI$72,INDIRECT($C$5&amp;"生成成长"),5))*(VLOOKUP($B$5,标准坦克设计!$B$24:$U$30,MATCH("对"&amp;LEFT($C$5,2)&amp;"输出",标准坦克设计!$B$23:$U$23,0)))*(VLOOKUP($B189,INDIRECT($B$5&amp;"生成成长"),3))*(VLOOKUP($B$5,标准坦克设计!$B$14:$K$20,9)/30))</f>
        <v>13.033134048743436</v>
      </c>
      <c r="AJ189" s="172">
        <f ca="1">(VLOOKUP(AJ$72,INDIRECT($C$5&amp;"生成成长"),2))/((VLOOKUP($B189,INDIRECT($B$5&amp;"生成成长"),4))/(VLOOKUP(AJ$72,INDIRECT($C$5&amp;"生成成长"),5))*(VLOOKUP($B$5,标准坦克设计!$B$24:$U$30,MATCH("对"&amp;LEFT($C$5,2)&amp;"输出",标准坦克设计!$B$23:$U$23,0)))*(VLOOKUP($B189,INDIRECT($B$5&amp;"生成成长"),3))*(VLOOKUP($B$5,标准坦克设计!$B$14:$K$20,9)/30))</f>
        <v>14.265718242993815</v>
      </c>
      <c r="AK189" s="172">
        <f ca="1">(VLOOKUP(AK$72,INDIRECT($C$5&amp;"生成成长"),2))/((VLOOKUP($B189,INDIRECT($B$5&amp;"生成成长"),4))/(VLOOKUP(AK$72,INDIRECT($C$5&amp;"生成成长"),5))*(VLOOKUP($B$5,标准坦克设计!$B$24:$U$30,MATCH("对"&amp;LEFT($C$5,2)&amp;"输出",标准坦克设计!$B$23:$U$23,0)))*(VLOOKUP($B189,INDIRECT($B$5&amp;"生成成长"),3))*(VLOOKUP($B$5,标准坦克设计!$B$14:$K$20,9)/30))</f>
        <v>15.553983858750376</v>
      </c>
      <c r="AL189" s="172">
        <f ca="1">(VLOOKUP(AL$72,INDIRECT($C$5&amp;"生成成长"),2))/((VLOOKUP($B189,INDIRECT($B$5&amp;"生成成长"),4))/(VLOOKUP(AL$72,INDIRECT($C$5&amp;"生成成长"),5))*(VLOOKUP($B$5,标准坦克设计!$B$24:$U$30,MATCH("对"&amp;LEFT($C$5,2)&amp;"输出",标准坦克设计!$B$23:$U$23,0)))*(VLOOKUP($B189,INDIRECT($B$5&amp;"生成成长"),3))*(VLOOKUP($B$5,标准坦克设计!$B$14:$K$20,9)/30))</f>
        <v>16.897930896013115</v>
      </c>
      <c r="AM189" s="172">
        <f ca="1">(VLOOKUP(AM$72,INDIRECT($C$5&amp;"生成成长"),2))/((VLOOKUP($B189,INDIRECT($B$5&amp;"生成成长"),4))/(VLOOKUP(AM$72,INDIRECT($C$5&amp;"生成成长"),5))*(VLOOKUP($B$5,标准坦克设计!$B$24:$U$30,MATCH("对"&amp;LEFT($C$5,2)&amp;"输出",标准坦克设计!$B$23:$U$23,0)))*(VLOOKUP($B189,INDIRECT($B$5&amp;"生成成长"),3))*(VLOOKUP($B$5,标准坦克设计!$B$14:$K$20,9)/30))</f>
        <v>18.297559354782027</v>
      </c>
      <c r="AN189" s="172">
        <f ca="1">(VLOOKUP(AN$72,INDIRECT($C$5&amp;"生成成长"),2))/((VLOOKUP($B189,INDIRECT($B$5&amp;"生成成长"),4))/(VLOOKUP(AN$72,INDIRECT($C$5&amp;"生成成长"),5))*(VLOOKUP($B$5,标准坦克设计!$B$24:$U$30,MATCH("对"&amp;LEFT($C$5,2)&amp;"输出",标准坦克设计!$B$23:$U$23,0)))*(VLOOKUP($B189,INDIRECT($B$5&amp;"生成成长"),3))*(VLOOKUP($B$5,标准坦克设计!$B$14:$K$20,9)/30))</f>
        <v>19.752869235057116</v>
      </c>
      <c r="AO189" s="172">
        <f ca="1">(VLOOKUP(AO$72,INDIRECT($C$5&amp;"生成成长"),2))/((VLOOKUP($B189,INDIRECT($B$5&amp;"生成成长"),4))/(VLOOKUP(AO$72,INDIRECT($C$5&amp;"生成成长"),5))*(VLOOKUP($B$5,标准坦克设计!$B$24:$U$30,MATCH("对"&amp;LEFT($C$5,2)&amp;"输出",标准坦克设计!$B$23:$U$23,0)))*(VLOOKUP($B189,INDIRECT($B$5&amp;"生成成长"),3))*(VLOOKUP($B$5,标准坦克设计!$B$14:$K$20,9)/30))</f>
        <v>21.263860536838379</v>
      </c>
      <c r="AP189" s="172">
        <f ca="1">(VLOOKUP(AP$72,INDIRECT($C$5&amp;"生成成长"),2))/((VLOOKUP($B189,INDIRECT($B$5&amp;"生成成长"),4))/(VLOOKUP(AP$72,INDIRECT($C$5&amp;"生成成长"),5))*(VLOOKUP($B$5,标准坦克设计!$B$24:$U$30,MATCH("对"&amp;LEFT($C$5,2)&amp;"输出",标准坦克设计!$B$23:$U$23,0)))*(VLOOKUP($B189,INDIRECT($B$5&amp;"生成成长"),3))*(VLOOKUP($B$5,标准坦克设计!$B$14:$K$20,9)/30))</f>
        <v>22.830533260125829</v>
      </c>
      <c r="AQ189" s="172">
        <f ca="1">(VLOOKUP(AQ$72,INDIRECT($C$5&amp;"生成成长"),2))/((VLOOKUP($B189,INDIRECT($B$5&amp;"生成成长"),4))/(VLOOKUP(AQ$72,INDIRECT($C$5&amp;"生成成长"),5))*(VLOOKUP($B$5,标准坦克设计!$B$24:$U$30,MATCH("对"&amp;LEFT($C$5,2)&amp;"输出",标准坦克设计!$B$23:$U$23,0)))*(VLOOKUP($B189,INDIRECT($B$5&amp;"生成成长"),3))*(VLOOKUP($B$5,标准坦克设计!$B$14:$K$20,9)/30))</f>
        <v>24.452887404919451</v>
      </c>
      <c r="AR189" s="172">
        <f ca="1">(VLOOKUP(AR$72,INDIRECT($C$5&amp;"生成成长"),2))/((VLOOKUP($B189,INDIRECT($B$5&amp;"生成成长"),4))/(VLOOKUP(AR$72,INDIRECT($C$5&amp;"生成成长"),5))*(VLOOKUP($B$5,标准坦克设计!$B$24:$U$30,MATCH("对"&amp;LEFT($C$5,2)&amp;"输出",标准坦克设计!$B$23:$U$23,0)))*(VLOOKUP($B189,INDIRECT($B$5&amp;"生成成长"),3))*(VLOOKUP($B$5,标准坦克设计!$B$14:$K$20,9)/30))</f>
        <v>26.130922971219256</v>
      </c>
      <c r="AS189" s="172">
        <f ca="1">(VLOOKUP(AS$72,INDIRECT($C$5&amp;"生成成长"),2))/((VLOOKUP($B189,INDIRECT($B$5&amp;"生成成长"),4))/(VLOOKUP(AS$72,INDIRECT($C$5&amp;"生成成长"),5))*(VLOOKUP($B$5,标准坦克设计!$B$24:$U$30,MATCH("对"&amp;LEFT($C$5,2)&amp;"输出",标准坦克设计!$B$23:$U$23,0)))*(VLOOKUP($B189,INDIRECT($B$5&amp;"生成成长"),3))*(VLOOKUP($B$5,标准坦克设计!$B$14:$K$20,9)/30))</f>
        <v>27.864639959025229</v>
      </c>
      <c r="AT189" s="172">
        <f ca="1">(VLOOKUP(AT$72,INDIRECT($C$5&amp;"生成成长"),2))/((VLOOKUP($B189,INDIRECT($B$5&amp;"生成成长"),4))/(VLOOKUP(AT$72,INDIRECT($C$5&amp;"生成成长"),5))*(VLOOKUP($B$5,标准坦克设计!$B$24:$U$30,MATCH("对"&amp;LEFT($C$5,2)&amp;"输出",标准坦克设计!$B$23:$U$23,0)))*(VLOOKUP($B189,INDIRECT($B$5&amp;"生成成长"),3))*(VLOOKUP($B$5,标准坦克设计!$B$14:$K$20,9)/30))</f>
        <v>29.654038368337385</v>
      </c>
      <c r="AU189" s="172">
        <f ca="1">(VLOOKUP(AU$72,INDIRECT($C$5&amp;"生成成长"),2))/((VLOOKUP($B189,INDIRECT($B$5&amp;"生成成长"),4))/(VLOOKUP(AU$72,INDIRECT($C$5&amp;"生成成长"),5))*(VLOOKUP($B$5,标准坦克设计!$B$24:$U$30,MATCH("对"&amp;LEFT($C$5,2)&amp;"输出",标准坦克设计!$B$23:$U$23,0)))*(VLOOKUP($B189,INDIRECT($B$5&amp;"生成成长"),3))*(VLOOKUP($B$5,标准坦克设计!$B$14:$K$20,9)/30))</f>
        <v>31.499118199155713</v>
      </c>
      <c r="AV189" s="172">
        <f ca="1">(VLOOKUP(AV$72,INDIRECT($C$5&amp;"生成成长"),2))/((VLOOKUP($B189,INDIRECT($B$5&amp;"生成成长"),4))/(VLOOKUP(AV$72,INDIRECT($C$5&amp;"生成成长"),5))*(VLOOKUP($B$5,标准坦克设计!$B$24:$U$30,MATCH("对"&amp;LEFT($C$5,2)&amp;"输出",标准坦克设计!$B$23:$U$23,0)))*(VLOOKUP($B189,INDIRECT($B$5&amp;"生成成长"),3))*(VLOOKUP($B$5,标准坦克设计!$B$14:$K$20,9)/30))</f>
        <v>3.2037525332727843</v>
      </c>
      <c r="AW189" s="172">
        <f ca="1">(VLOOKUP(AW$72,INDIRECT($C$5&amp;"生成成长"),2))/((VLOOKUP($B189,INDIRECT($B$5&amp;"生成成长"),4))/(VLOOKUP(AW$72,INDIRECT($C$5&amp;"生成成长"),5))*(VLOOKUP($B$5,标准坦克设计!$B$24:$U$30,MATCH("对"&amp;LEFT($C$5,2)&amp;"输出",标准坦克设计!$B$23:$U$23,0)))*(VLOOKUP($B189,INDIRECT($B$5&amp;"生成成长"),3))*(VLOOKUP($B$5,标准坦克设计!$B$14:$K$20,9)/30))</f>
        <v>3.6528853216201322</v>
      </c>
      <c r="AX189" s="172">
        <f ca="1">(VLOOKUP(AX$72,INDIRECT($C$5&amp;"生成成长"),2))/((VLOOKUP($B189,INDIRECT($B$5&amp;"生成成长"),4))/(VLOOKUP(AX$72,INDIRECT($C$5&amp;"生成成长"),5))*(VLOOKUP($B$5,标准坦克设计!$B$24:$U$30,MATCH("对"&amp;LEFT($C$5,2)&amp;"输出",标准坦克设计!$B$23:$U$23,0)))*(VLOOKUP($B189,INDIRECT($B$5&amp;"生成成长"),3))*(VLOOKUP($B$5,标准坦克设计!$B$14:$K$20,9)/30))</f>
        <v>4.131469440350914</v>
      </c>
      <c r="AY189" s="172">
        <f ca="1">(VLOOKUP(AY$72,INDIRECT($C$5&amp;"生成成长"),2))/((VLOOKUP($B189,INDIRECT($B$5&amp;"生成成长"),4))/(VLOOKUP(AY$72,INDIRECT($C$5&amp;"生成成长"),5))*(VLOOKUP($B$5,标准坦克设计!$B$24:$U$30,MATCH("对"&amp;LEFT($C$5,2)&amp;"输出",标准坦克设计!$B$23:$U$23,0)))*(VLOOKUP($B189,INDIRECT($B$5&amp;"生成成长"),3))*(VLOOKUP($B$5,标准坦克设计!$B$14:$K$20,9)/30))</f>
        <v>4.639504889465127</v>
      </c>
      <c r="AZ189" s="172">
        <f ca="1">(VLOOKUP(AZ$72,INDIRECT($C$5&amp;"生成成长"),2))/((VLOOKUP($B189,INDIRECT($B$5&amp;"生成成长"),4))/(VLOOKUP(AZ$72,INDIRECT($C$5&amp;"生成成长"),5))*(VLOOKUP($B$5,标准坦克设计!$B$24:$U$30,MATCH("对"&amp;LEFT($C$5,2)&amp;"输出",标准坦克设计!$B$23:$U$23,0)))*(VLOOKUP($B189,INDIRECT($B$5&amp;"生成成长"),3))*(VLOOKUP($B$5,标准坦克设计!$B$14:$K$20,9)/30))</f>
        <v>5.1769916689627742</v>
      </c>
      <c r="BA189" s="172">
        <f ca="1">(VLOOKUP(BA$72,INDIRECT($C$5&amp;"生成成长"),2))/((VLOOKUP($B189,INDIRECT($B$5&amp;"生成成长"),4))/(VLOOKUP(BA$72,INDIRECT($C$5&amp;"生成成长"),5))*(VLOOKUP($B$5,标准坦克设计!$B$24:$U$30,MATCH("对"&amp;LEFT($C$5,2)&amp;"输出",标准坦克设计!$B$23:$U$23,0)))*(VLOOKUP($B189,INDIRECT($B$5&amp;"生成成长"),3))*(VLOOKUP($B$5,标准坦克设计!$B$14:$K$20,9)/30))</f>
        <v>5.7439297788438521</v>
      </c>
      <c r="BB189" s="172">
        <f ca="1">(VLOOKUP(BB$72,INDIRECT($C$5&amp;"生成成长"),2))/((VLOOKUP($B189,INDIRECT($B$5&amp;"生成成长"),4))/(VLOOKUP(BB$72,INDIRECT($C$5&amp;"生成成长"),5))*(VLOOKUP($B$5,标准坦克设计!$B$24:$U$30,MATCH("对"&amp;LEFT($C$5,2)&amp;"输出",标准坦克设计!$B$23:$U$23,0)))*(VLOOKUP($B189,INDIRECT($B$5&amp;"生成成长"),3))*(VLOOKUP($B$5,标准坦克设计!$B$14:$K$20,9)/30))</f>
        <v>6.3403192191083635</v>
      </c>
      <c r="BC189" s="172">
        <f ca="1">(VLOOKUP(BC$72,INDIRECT($C$5&amp;"生成成长"),2))/((VLOOKUP($B189,INDIRECT($B$5&amp;"生成成长"),4))/(VLOOKUP(BC$72,INDIRECT($C$5&amp;"生成成长"),5))*(VLOOKUP($B$5,标准坦克设计!$B$24:$U$30,MATCH("对"&amp;LEFT($C$5,2)&amp;"输出",标准坦克设计!$B$23:$U$23,0)))*(VLOOKUP($B189,INDIRECT($B$5&amp;"生成成长"),3))*(VLOOKUP($B$5,标准坦克设计!$B$14:$K$20,9)/30))</f>
        <v>6.9661599897563073</v>
      </c>
      <c r="BD189" s="172">
        <f ca="1">(VLOOKUP(BD$72,INDIRECT($C$5&amp;"生成成长"),2))/((VLOOKUP($B189,INDIRECT($B$5&amp;"生成成长"),4))/(VLOOKUP(BD$72,INDIRECT($C$5&amp;"生成成长"),5))*(VLOOKUP($B$5,标准坦克设计!$B$24:$U$30,MATCH("对"&amp;LEFT($C$5,2)&amp;"输出",标准坦克设计!$B$23:$U$23,0)))*(VLOOKUP($B189,INDIRECT($B$5&amp;"生成成长"),3))*(VLOOKUP($B$5,标准坦克设计!$B$14:$K$20,9)/30))</f>
        <v>7.705434400084191</v>
      </c>
      <c r="BE189" s="172">
        <f ca="1">(VLOOKUP(BE$72,INDIRECT($C$5&amp;"生成成长"),2))/((VLOOKUP($B189,INDIRECT($B$5&amp;"生成成长"),4))/(VLOOKUP(BE$72,INDIRECT($C$5&amp;"生成成长"),5))*(VLOOKUP($B$5,标准坦克设计!$B$24:$U$30,MATCH("对"&amp;LEFT($C$5,2)&amp;"输出",标准坦克设计!$B$23:$U$23,0)))*(VLOOKUP($B189,INDIRECT($B$5&amp;"生成成长"),3))*(VLOOKUP($B$5,标准坦克设计!$B$14:$K$20,9)/30))</f>
        <v>8.4819831504286061</v>
      </c>
      <c r="BF189" s="172">
        <f ca="1">(VLOOKUP(BF$72,INDIRECT($C$5&amp;"生成成长"),2))/((VLOOKUP($B189,INDIRECT($B$5&amp;"生成成长"),4))/(VLOOKUP(BF$72,INDIRECT($C$5&amp;"生成成长"),5))*(VLOOKUP($B$5,标准坦克设计!$B$24:$U$30,MATCH("对"&amp;LEFT($C$5,2)&amp;"输出",标准坦克设计!$B$23:$U$23,0)))*(VLOOKUP($B189,INDIRECT($B$5&amp;"生成成长"),3))*(VLOOKUP($B$5,标准坦克设计!$B$14:$K$20,9)/30))</f>
        <v>9.2958062407895543</v>
      </c>
      <c r="BG189" s="172">
        <f ca="1">(VLOOKUP(BG$72,INDIRECT($C$5&amp;"生成成长"),2))/((VLOOKUP($B189,INDIRECT($B$5&amp;"生成成长"),4))/(VLOOKUP(BG$72,INDIRECT($C$5&amp;"生成成长"),5))*(VLOOKUP($B$5,标准坦克设计!$B$24:$U$30,MATCH("对"&amp;LEFT($C$5,2)&amp;"输出",标准坦克设计!$B$23:$U$23,0)))*(VLOOKUP($B189,INDIRECT($B$5&amp;"生成成长"),3))*(VLOOKUP($B$5,标准坦克设计!$B$14:$K$20,9)/30))</f>
        <v>10.146903671167035</v>
      </c>
      <c r="BH189" s="172">
        <f ca="1">(VLOOKUP(BH$72,INDIRECT($C$5&amp;"生成成长"),2))/((VLOOKUP($B189,INDIRECT($B$5&amp;"生成成长"),4))/(VLOOKUP(BH$72,INDIRECT($C$5&amp;"生成成长"),5))*(VLOOKUP($B$5,标准坦克设计!$B$24:$U$30,MATCH("对"&amp;LEFT($C$5,2)&amp;"输出",标准坦克设计!$B$23:$U$23,0)))*(VLOOKUP($B189,INDIRECT($B$5&amp;"生成成长"),3))*(VLOOKUP($B$5,标准坦克设计!$B$14:$K$20,9)/30))</f>
        <v>4.9045668629160204</v>
      </c>
      <c r="BI189" s="172">
        <f ca="1">(VLOOKUP(BI$72,INDIRECT($C$5&amp;"生成成长"),2))/((VLOOKUP($B189,INDIRECT($B$5&amp;"生成成长"),4))/(VLOOKUP(BI$72,INDIRECT($C$5&amp;"生成成长"),5))*(VLOOKUP($B$5,标准坦克设计!$B$24:$U$30,MATCH("对"&amp;LEFT($C$5,2)&amp;"输出",标准坦克设计!$B$23:$U$23,0)))*(VLOOKUP($B189,INDIRECT($B$5&amp;"生成成长"),3))*(VLOOKUP($B$5,标准坦克设计!$B$14:$K$20,9)/30))</f>
        <v>5.5278766598591389</v>
      </c>
      <c r="BJ189" s="172">
        <f ca="1">(VLOOKUP(BJ$72,INDIRECT($C$5&amp;"生成成长"),2))/((VLOOKUP($B189,INDIRECT($B$5&amp;"生成成长"),4))/(VLOOKUP(BJ$72,INDIRECT($C$5&amp;"生成成长"),5))*(VLOOKUP($B$5,标准坦克设计!$B$24:$U$30,MATCH("对"&amp;LEFT($C$5,2)&amp;"输出",标准坦克设计!$B$23:$U$23,0)))*(VLOOKUP($B189,INDIRECT($B$5&amp;"生成成长"),3))*(VLOOKUP($B$5,标准坦克设计!$B$14:$K$20,9)/30))</f>
        <v>6.1884607968187888</v>
      </c>
      <c r="BK189" s="172">
        <f ca="1">(VLOOKUP(BK$72,INDIRECT($C$5&amp;"生成成长"),2))/((VLOOKUP($B189,INDIRECT($B$5&amp;"生成成长"),4))/(VLOOKUP(BK$72,INDIRECT($C$5&amp;"生成成长"),5))*(VLOOKUP($B$5,标准坦克设计!$B$24:$U$30,MATCH("对"&amp;LEFT($C$5,2)&amp;"输出",标准坦克设计!$B$23:$U$23,0)))*(VLOOKUP($B189,INDIRECT($B$5&amp;"生成成长"),3))*(VLOOKUP($B$5,标准坦克设计!$B$14:$K$20,9)/30))</f>
        <v>6.886319273794971</v>
      </c>
      <c r="BL189" s="172">
        <f ca="1">(VLOOKUP(BL$72,INDIRECT($C$5&amp;"生成成长"),2))/((VLOOKUP($B189,INDIRECT($B$5&amp;"生成成长"),4))/(VLOOKUP(BL$72,INDIRECT($C$5&amp;"生成成长"),5))*(VLOOKUP($B$5,标准坦克设计!$B$24:$U$30,MATCH("对"&amp;LEFT($C$5,2)&amp;"输出",标准坦克设计!$B$23:$U$23,0)))*(VLOOKUP($B189,INDIRECT($B$5&amp;"生成成长"),3))*(VLOOKUP($B$5,标准坦克设计!$B$14:$K$20,9)/30))</f>
        <v>7.6214520907876837</v>
      </c>
      <c r="BM189" s="172">
        <f ca="1">(VLOOKUP(BM$72,INDIRECT($C$5&amp;"生成成长"),2))/((VLOOKUP($B189,INDIRECT($B$5&amp;"生成成长"),4))/(VLOOKUP(BM$72,INDIRECT($C$5&amp;"生成成长"),5))*(VLOOKUP($B$5,标准坦克设计!$B$24:$U$30,MATCH("对"&amp;LEFT($C$5,2)&amp;"输出",标准坦克设计!$B$23:$U$23,0)))*(VLOOKUP($B189,INDIRECT($B$5&amp;"生成成长"),3))*(VLOOKUP($B$5,标准坦克设计!$B$14:$K$20,9)/30))</f>
        <v>8.3938592477969287</v>
      </c>
      <c r="BN189" s="172">
        <f ca="1">(VLOOKUP(BN$72,INDIRECT($C$5&amp;"生成成长"),2))/((VLOOKUP($B189,INDIRECT($B$5&amp;"生成成长"),4))/(VLOOKUP(BN$72,INDIRECT($C$5&amp;"生成成长"),5))*(VLOOKUP($B$5,标准坦克设计!$B$24:$U$30,MATCH("对"&amp;LEFT($C$5,2)&amp;"输出",标准坦克设计!$B$23:$U$23,0)))*(VLOOKUP($B189,INDIRECT($B$5&amp;"生成成长"),3))*(VLOOKUP($B$5,标准坦克设计!$B$14:$K$20,9)/30))</f>
        <v>9.2035407448227069</v>
      </c>
      <c r="BO189" s="172">
        <f ca="1">(VLOOKUP(BO$72,INDIRECT($C$5&amp;"生成成长"),2))/((VLOOKUP($B189,INDIRECT($B$5&amp;"生成成长"),4))/(VLOOKUP(BO$72,INDIRECT($C$5&amp;"生成成长"),5))*(VLOOKUP($B$5,标准坦克设计!$B$24:$U$30,MATCH("对"&amp;LEFT($C$5,2)&amp;"输出",标准坦克设计!$B$23:$U$23,0)))*(VLOOKUP($B189,INDIRECT($B$5&amp;"生成成长"),3))*(VLOOKUP($B$5,标准坦克设计!$B$14:$K$20,9)/30))</f>
        <v>10.050496581865017</v>
      </c>
      <c r="BP189" s="172">
        <f ca="1">(VLOOKUP(BP$72,INDIRECT($C$5&amp;"生成成长"),2))/((VLOOKUP($B189,INDIRECT($B$5&amp;"生成成长"),4))/(VLOOKUP(BP$72,INDIRECT($C$5&amp;"生成成长"),5))*(VLOOKUP($B$5,标准坦克设计!$B$24:$U$30,MATCH("对"&amp;LEFT($C$5,2)&amp;"输出",标准坦克设计!$B$23:$U$23,0)))*(VLOOKUP($B189,INDIRECT($B$5&amp;"生成成长"),3))*(VLOOKUP($B$5,标准坦克设计!$B$14:$K$20,9)/30))</f>
        <v>10.93472675892386</v>
      </c>
      <c r="BQ189" s="172">
        <f ca="1">(VLOOKUP(BQ$72,INDIRECT($C$5&amp;"生成成长"),2))/((VLOOKUP($B189,INDIRECT($B$5&amp;"生成成长"),4))/(VLOOKUP(BQ$72,INDIRECT($C$5&amp;"生成成长"),5))*(VLOOKUP($B$5,标准坦克设计!$B$24:$U$30,MATCH("对"&amp;LEFT($C$5,2)&amp;"输出",标准坦克设计!$B$23:$U$23,0)))*(VLOOKUP($B189,INDIRECT($B$5&amp;"生成成长"),3))*(VLOOKUP($B$5,标准坦克设计!$B$14:$K$20,9)/30))</f>
        <v>11.856231275999233</v>
      </c>
      <c r="BR189" s="172">
        <f ca="1">(VLOOKUP(BR$72,INDIRECT($C$5&amp;"生成成长"),2))/((VLOOKUP($B189,INDIRECT($B$5&amp;"生成成长"),4))/(VLOOKUP(BR$72,INDIRECT($C$5&amp;"生成成长"),5))*(VLOOKUP($B$5,标准坦克设计!$B$24:$U$30,MATCH("对"&amp;LEFT($C$5,2)&amp;"输出",标准坦克设计!$B$23:$U$23,0)))*(VLOOKUP($B189,INDIRECT($B$5&amp;"生成成长"),3))*(VLOOKUP($B$5,标准坦克设计!$B$14:$K$20,9)/30))</f>
        <v>12.923842002398665</v>
      </c>
      <c r="BS189" s="172">
        <f ca="1">(VLOOKUP(BS$72,INDIRECT($C$5&amp;"生成成长"),2))/((VLOOKUP($B189,INDIRECT($B$5&amp;"生成成长"),4))/(VLOOKUP(BS$72,INDIRECT($C$5&amp;"生成成长"),5))*(VLOOKUP($B$5,标准坦克设计!$B$24:$U$30,MATCH("对"&amp;LEFT($C$5,2)&amp;"输出",标准坦克设计!$B$23:$U$23,0)))*(VLOOKUP($B189,INDIRECT($B$5&amp;"生成成长"),3))*(VLOOKUP($B$5,标准坦克设计!$B$14:$K$20,9)/30))</f>
        <v>14.037470432522213</v>
      </c>
      <c r="BT189" s="172">
        <f ca="1">(VLOOKUP(BT$72,INDIRECT($C$5&amp;"生成成长"),2))/((VLOOKUP($B189,INDIRECT($B$5&amp;"生成成长"),4))/(VLOOKUP(BT$72,INDIRECT($C$5&amp;"生成成长"),5))*(VLOOKUP($B$5,标准坦克设计!$B$24:$U$30,MATCH("对"&amp;LEFT($C$5,2)&amp;"输出",标准坦克设计!$B$23:$U$23,0)))*(VLOOKUP($B189,INDIRECT($B$5&amp;"生成成长"),3))*(VLOOKUP($B$5,标准坦克设计!$B$14:$K$20,9)/30))</f>
        <v>15.197116566369873</v>
      </c>
      <c r="BU189" s="172">
        <f ca="1">(VLOOKUP(BU$72,INDIRECT($C$5&amp;"生成成长"),2))/((VLOOKUP($B189,INDIRECT($B$5&amp;"生成成长"),4))/(VLOOKUP(BU$72,INDIRECT($C$5&amp;"生成成长"),5))*(VLOOKUP($B$5,标准坦克设计!$B$24:$U$30,MATCH("对"&amp;LEFT($C$5,2)&amp;"输出",标准坦克设计!$B$23:$U$23,0)))*(VLOOKUP($B189,INDIRECT($B$5&amp;"生成成长"),3))*(VLOOKUP($B$5,标准坦克设计!$B$14:$K$20,9)/30))</f>
        <v>16.402780403941652</v>
      </c>
      <c r="BV189" s="172">
        <f ca="1">(VLOOKUP(BV$72,INDIRECT($C$5&amp;"生成成长"),2))/((VLOOKUP($B189,INDIRECT($B$5&amp;"生成成长"),4))/(VLOOKUP(BV$72,INDIRECT($C$5&amp;"生成成长"),5))*(VLOOKUP($B$5,标准坦克设计!$B$24:$U$30,MATCH("对"&amp;LEFT($C$5,2)&amp;"输出",标准坦克设计!$B$23:$U$23,0)))*(VLOOKUP($B189,INDIRECT($B$5&amp;"生成成长"),3))*(VLOOKUP($B$5,标准坦克设计!$B$14:$K$20,9)/30))</f>
        <v>17.654461945237539</v>
      </c>
      <c r="BW189" s="172">
        <f ca="1">(VLOOKUP(BW$72,INDIRECT($C$5&amp;"生成成长"),2))/((VLOOKUP($B189,INDIRECT($B$5&amp;"生成成长"),4))/(VLOOKUP(BW$72,INDIRECT($C$5&amp;"生成成长"),5))*(VLOOKUP($B$5,标准坦克设计!$B$24:$U$30,MATCH("对"&amp;LEFT($C$5,2)&amp;"输出",标准坦克设计!$B$23:$U$23,0)))*(VLOOKUP($B189,INDIRECT($B$5&amp;"生成成长"),3))*(VLOOKUP($B$5,标准坦克设计!$B$14:$K$20,9)/30))</f>
        <v>8.0459654076426332</v>
      </c>
      <c r="BX189" s="172">
        <f ca="1">(VLOOKUP(BX$72,INDIRECT($C$5&amp;"生成成长"),2))/((VLOOKUP($B189,INDIRECT($B$5&amp;"生成成长"),4))/(VLOOKUP(BX$72,INDIRECT($C$5&amp;"生成成长"),5))*(VLOOKUP($B$5,标准坦克设计!$B$24:$U$30,MATCH("对"&amp;LEFT($C$5,2)&amp;"输出",标准坦克设计!$B$23:$U$23,0)))*(VLOOKUP($B189,INDIRECT($B$5&amp;"生成成长"),3))*(VLOOKUP($B$5,标准坦克设计!$B$14:$K$20,9)/30))</f>
        <v>8.929505319145612</v>
      </c>
      <c r="BY189" s="172">
        <f ca="1">(VLOOKUP(BY$72,INDIRECT($C$5&amp;"生成成长"),2))/((VLOOKUP($B189,INDIRECT($B$5&amp;"生成成长"),4))/(VLOOKUP(BY$72,INDIRECT($C$5&amp;"生成成长"),5))*(VLOOKUP($B$5,标准坦克设计!$B$24:$U$30,MATCH("对"&amp;LEFT($C$5,2)&amp;"输出",标准坦克设计!$B$23:$U$23,0)))*(VLOOKUP($B189,INDIRECT($B$5&amp;"生成成长"),3))*(VLOOKUP($B$5,标准坦克设计!$B$14:$K$20,9)/30))</f>
        <v>9.859062934372707</v>
      </c>
      <c r="BZ189" s="172">
        <f ca="1">(VLOOKUP(BZ$72,INDIRECT($C$5&amp;"生成成长"),2))/((VLOOKUP($B189,INDIRECT($B$5&amp;"生成成长"),4))/(VLOOKUP(BZ$72,INDIRECT($C$5&amp;"生成成长"),5))*(VLOOKUP($B$5,标准坦克设计!$B$24:$U$30,MATCH("对"&amp;LEFT($C$5,2)&amp;"输出",标准坦克设计!$B$23:$U$23,0)))*(VLOOKUP($B189,INDIRECT($B$5&amp;"生成成长"),3))*(VLOOKUP($B$5,标准坦克设计!$B$14:$K$20,9)/30))</f>
        <v>10.834638253323911</v>
      </c>
      <c r="CA189" s="172">
        <f ca="1">(VLOOKUP(CA$72,INDIRECT($C$5&amp;"生成成长"),2))/((VLOOKUP($B189,INDIRECT($B$5&amp;"生成成长"),4))/(VLOOKUP(CA$72,INDIRECT($C$5&amp;"生成成长"),5))*(VLOOKUP($B$5,标准坦克设计!$B$24:$U$30,MATCH("对"&amp;LEFT($C$5,2)&amp;"输出",标准坦克设计!$B$23:$U$23,0)))*(VLOOKUP($B189,INDIRECT($B$5&amp;"生成成长"),3))*(VLOOKUP($B$5,标准坦克设计!$B$14:$K$20,9)/30))</f>
        <v>11.856231275999233</v>
      </c>
      <c r="CB189" s="172">
        <f ca="1">(VLOOKUP(CB$72,INDIRECT($C$5&amp;"生成成长"),2))/((VLOOKUP($B189,INDIRECT($B$5&amp;"生成成长"),4))/(VLOOKUP(CB$72,INDIRECT($C$5&amp;"生成成长"),5))*(VLOOKUP($B$5,标准坦克设计!$B$24:$U$30,MATCH("对"&amp;LEFT($C$5,2)&amp;"输出",标准坦克设计!$B$23:$U$23,0)))*(VLOOKUP($B189,INDIRECT($B$5&amp;"生成成长"),3))*(VLOOKUP($B$5,标准坦克设计!$B$14:$K$20,9)/30))</f>
        <v>12.923842002398665</v>
      </c>
      <c r="CC189" s="172">
        <f ca="1">(VLOOKUP(CC$72,INDIRECT($C$5&amp;"生成成长"),2))/((VLOOKUP($B189,INDIRECT($B$5&amp;"生成成长"),4))/(VLOOKUP(CC$72,INDIRECT($C$5&amp;"生成成长"),5))*(VLOOKUP($B$5,标准坦克设计!$B$24:$U$30,MATCH("对"&amp;LEFT($C$5,2)&amp;"输出",标准坦克设计!$B$23:$U$23,0)))*(VLOOKUP($B189,INDIRECT($B$5&amp;"生成成长"),3))*(VLOOKUP($B$5,标准坦克设计!$B$14:$K$20,9)/30))</f>
        <v>14.037470432522213</v>
      </c>
      <c r="CD189" s="172">
        <f ca="1">(VLOOKUP(CD$72,INDIRECT($C$5&amp;"生成成长"),2))/((VLOOKUP($B189,INDIRECT($B$5&amp;"生成成长"),4))/(VLOOKUP(CD$72,INDIRECT($C$5&amp;"生成成长"),5))*(VLOOKUP($B$5,标准坦克设计!$B$24:$U$30,MATCH("对"&amp;LEFT($C$5,2)&amp;"输出",标准坦克设计!$B$23:$U$23,0)))*(VLOOKUP($B189,INDIRECT($B$5&amp;"生成成长"),3))*(VLOOKUP($B$5,标准坦克设计!$B$14:$K$20,9)/30))</f>
        <v>15.197116566369873</v>
      </c>
      <c r="CE189" s="172">
        <f ca="1">(VLOOKUP(CE$72,INDIRECT($C$5&amp;"生成成长"),2))/((VLOOKUP($B189,INDIRECT($B$5&amp;"生成成长"),4))/(VLOOKUP(CE$72,INDIRECT($C$5&amp;"生成成长"),5))*(VLOOKUP($B$5,标准坦克设计!$B$24:$U$30,MATCH("对"&amp;LEFT($C$5,2)&amp;"输出",标准坦克设计!$B$23:$U$23,0)))*(VLOOKUP($B189,INDIRECT($B$5&amp;"生成成长"),3))*(VLOOKUP($B$5,标准坦克设计!$B$14:$K$20,9)/30))</f>
        <v>16.402780403941652</v>
      </c>
      <c r="CF189" s="172">
        <f ca="1">(VLOOKUP(CF$72,INDIRECT($C$5&amp;"生成成长"),2))/((VLOOKUP($B189,INDIRECT($B$5&amp;"生成成长"),4))/(VLOOKUP(CF$72,INDIRECT($C$5&amp;"生成成长"),5))*(VLOOKUP($B$5,标准坦克设计!$B$24:$U$30,MATCH("对"&amp;LEFT($C$5,2)&amp;"输出",标准坦克设计!$B$23:$U$23,0)))*(VLOOKUP($B189,INDIRECT($B$5&amp;"生成成长"),3))*(VLOOKUP($B$5,标准坦克设计!$B$14:$K$20,9)/30))</f>
        <v>17.654461945237539</v>
      </c>
      <c r="CG189" s="172">
        <f ca="1">(VLOOKUP(CG$72,INDIRECT($C$5&amp;"生成成长"),2))/((VLOOKUP($B189,INDIRECT($B$5&amp;"生成成长"),4))/(VLOOKUP(CG$72,INDIRECT($C$5&amp;"生成成长"),5))*(VLOOKUP($B$5,标准坦克设计!$B$24:$U$30,MATCH("对"&amp;LEFT($C$5,2)&amp;"输出",标准坦克设计!$B$23:$U$23,0)))*(VLOOKUP($B189,INDIRECT($B$5&amp;"生成成长"),3))*(VLOOKUP($B$5,标准坦克设计!$B$14:$K$20,9)/30))</f>
        <v>18.952161190257542</v>
      </c>
      <c r="CH189" s="172">
        <f ca="1">(VLOOKUP(CH$72,INDIRECT($C$5&amp;"生成成长"),2))/((VLOOKUP($B189,INDIRECT($B$5&amp;"生成成长"),4))/(VLOOKUP(CH$72,INDIRECT($C$5&amp;"生成成长"),5))*(VLOOKUP($B$5,标准坦克设计!$B$24:$U$30,MATCH("对"&amp;LEFT($C$5,2)&amp;"输出",标准坦克设计!$B$23:$U$23,0)))*(VLOOKUP($B189,INDIRECT($B$5&amp;"生成成长"),3))*(VLOOKUP($B$5,标准坦克设计!$B$14:$K$20,9)/30))</f>
        <v>20.295878139001655</v>
      </c>
      <c r="CI189" s="172">
        <f ca="1">(VLOOKUP(CI$72,INDIRECT($C$5&amp;"生成成长"),2))/((VLOOKUP($B189,INDIRECT($B$5&amp;"生成成长"),4))/(VLOOKUP(CI$72,INDIRECT($C$5&amp;"生成成长"),5))*(VLOOKUP($B$5,标准坦克设计!$B$24:$U$30,MATCH("对"&amp;LEFT($C$5,2)&amp;"输出",标准坦克设计!$B$23:$U$23,0)))*(VLOOKUP($B189,INDIRECT($B$5&amp;"生成成长"),3))*(VLOOKUP($B$5,标准坦克设计!$B$14:$K$20,9)/30))</f>
        <v>21.827117230421532</v>
      </c>
      <c r="CJ189" s="172">
        <f ca="1">(VLOOKUP(CJ$72,INDIRECT($C$5&amp;"生成成长"),2))/((VLOOKUP($B189,INDIRECT($B$5&amp;"生成成长"),4))/(VLOOKUP(CJ$72,INDIRECT($C$5&amp;"生成成长"),5))*(VLOOKUP($B$5,标准坦克设计!$B$24:$U$30,MATCH("对"&amp;LEFT($C$5,2)&amp;"输出",标准坦克设计!$B$23:$U$23,0)))*(VLOOKUP($B189,INDIRECT($B$5&amp;"生成成长"),3))*(VLOOKUP($B$5,标准坦克设计!$B$14:$K$20,9)/30))</f>
        <v>23.414037743347588</v>
      </c>
      <c r="CK189" s="172">
        <f ca="1">(VLOOKUP(CK$72,INDIRECT($C$5&amp;"生成成长"),2))/((VLOOKUP($B189,INDIRECT($B$5&amp;"生成成长"),4))/(VLOOKUP(CK$72,INDIRECT($C$5&amp;"生成成长"),5))*(VLOOKUP($B$5,标准坦克设计!$B$24:$U$30,MATCH("对"&amp;LEFT($C$5,2)&amp;"输出",标准坦克设计!$B$23:$U$23,0)))*(VLOOKUP($B189,INDIRECT($B$5&amp;"生成成长"),3))*(VLOOKUP($B$5,标准坦克设计!$B$14:$K$20,9)/30))</f>
        <v>25.05663967777982</v>
      </c>
      <c r="CL189" s="172">
        <f ca="1">(VLOOKUP(CL$72,INDIRECT($C$5&amp;"生成成长"),2))/((VLOOKUP($B189,INDIRECT($B$5&amp;"生成成长"),4))/(VLOOKUP(CL$72,INDIRECT($C$5&amp;"生成成长"),5))*(VLOOKUP($B$5,标准坦克设计!$B$24:$U$30,MATCH("对"&amp;LEFT($C$5,2)&amp;"输出",标准坦克设计!$B$23:$U$23,0)))*(VLOOKUP($B189,INDIRECT($B$5&amp;"生成成长"),3))*(VLOOKUP($B$5,标准坦克设计!$B$14:$K$20,9)/30))</f>
        <v>26.754923033718232</v>
      </c>
      <c r="CM189" s="172">
        <f ca="1">(VLOOKUP(CM$72,INDIRECT($C$5&amp;"生成成长"),2))/((VLOOKUP($B189,INDIRECT($B$5&amp;"生成成长"),4))/(VLOOKUP(CM$72,INDIRECT($C$5&amp;"生成成长"),5))*(VLOOKUP($B$5,标准坦克设计!$B$24:$U$30,MATCH("对"&amp;LEFT($C$5,2)&amp;"输出",标准坦克设计!$B$23:$U$23,0)))*(VLOOKUP($B189,INDIRECT($B$5&amp;"生成成长"),3))*(VLOOKUP($B$5,标准坦克设计!$B$14:$K$20,9)/30))</f>
        <v>28.508887811162818</v>
      </c>
      <c r="CN189" s="172">
        <f ca="1">(VLOOKUP(CN$72,INDIRECT($C$5&amp;"生成成长"),2))/((VLOOKUP($B189,INDIRECT($B$5&amp;"生成成长"),4))/(VLOOKUP(CN$72,INDIRECT($C$5&amp;"生成成长"),5))*(VLOOKUP($B$5,标准坦克设计!$B$24:$U$30,MATCH("对"&amp;LEFT($C$5,2)&amp;"输出",标准坦克设计!$B$23:$U$23,0)))*(VLOOKUP($B189,INDIRECT($B$5&amp;"生成成长"),3))*(VLOOKUP($B$5,标准坦克设计!$B$14:$K$20,9)/30))</f>
        <v>30.318534010113588</v>
      </c>
      <c r="CO189" s="172">
        <f ca="1">(VLOOKUP(CO$72,INDIRECT($C$5&amp;"生成成长"),2))/((VLOOKUP($B189,INDIRECT($B$5&amp;"生成成长"),4))/(VLOOKUP(CO$72,INDIRECT($C$5&amp;"生成成长"),5))*(VLOOKUP($B$5,标准坦克设计!$B$24:$U$30,MATCH("对"&amp;LEFT($C$5,2)&amp;"输出",标准坦克设计!$B$23:$U$23,0)))*(VLOOKUP($B189,INDIRECT($B$5&amp;"生成成长"),3))*(VLOOKUP($B$5,标准坦克设计!$B$14:$K$20,9)/30))</f>
        <v>13.586496936025901</v>
      </c>
      <c r="CP189" s="172">
        <f ca="1">(VLOOKUP(CP$72,INDIRECT($C$5&amp;"生成成长"),2))/((VLOOKUP($B189,INDIRECT($B$5&amp;"生成成长"),4))/(VLOOKUP(CP$72,INDIRECT($C$5&amp;"生成成长"),5))*(VLOOKUP($B$5,标准坦克设计!$B$24:$U$30,MATCH("对"&amp;LEFT($C$5,2)&amp;"输出",标准坦克设计!$B$23:$U$23,0)))*(VLOOKUP($B189,INDIRECT($B$5&amp;"生成成长"),3))*(VLOOKUP($B$5,标准坦克设计!$B$14:$K$20,9)/30))</f>
        <v>14.844390867324547</v>
      </c>
      <c r="CQ189" s="172">
        <f ca="1">(VLOOKUP(CQ$72,INDIRECT($C$5&amp;"生成成长"),2))/((VLOOKUP($B189,INDIRECT($B$5&amp;"生成成长"),4))/(VLOOKUP(CQ$72,INDIRECT($C$5&amp;"生成成长"),5))*(VLOOKUP($B$5,标准坦克设计!$B$24:$U$30,MATCH("对"&amp;LEFT($C$5,2)&amp;"输出",标准坦克设计!$B$23:$U$23,0)))*(VLOOKUP($B189,INDIRECT($B$5&amp;"生成成长"),3))*(VLOOKUP($B$5,标准坦克设计!$B$14:$K$20,9)/30))</f>
        <v>16.157966220129367</v>
      </c>
      <c r="CR189" s="172">
        <f ca="1">(VLOOKUP(CR$72,INDIRECT($C$5&amp;"生成成长"),2))/((VLOOKUP($B189,INDIRECT($B$5&amp;"生成成长"),4))/(VLOOKUP(CR$72,INDIRECT($C$5&amp;"生成成长"),5))*(VLOOKUP($B$5,标准坦克设计!$B$24:$U$30,MATCH("对"&amp;LEFT($C$5,2)&amp;"输出",标准坦克设计!$B$23:$U$23,0)))*(VLOOKUP($B189,INDIRECT($B$5&amp;"生成成长"),3))*(VLOOKUP($B$5,标准坦克设计!$B$14:$K$20,9)/30))</f>
        <v>17.527222994440365</v>
      </c>
      <c r="CS189" s="172">
        <f ca="1">(VLOOKUP(CS$72,INDIRECT($C$5&amp;"生成成长"),2))/((VLOOKUP($B189,INDIRECT($B$5&amp;"生成成长"),4))/(VLOOKUP(CS$72,INDIRECT($C$5&amp;"生成成长"),5))*(VLOOKUP($B$5,标准坦克设计!$B$24:$U$30,MATCH("对"&amp;LEFT($C$5,2)&amp;"输出",标准坦克设计!$B$23:$U$23,0)))*(VLOOKUP($B189,INDIRECT($B$5&amp;"生成成长"),3))*(VLOOKUP($B$5,标准坦克设计!$B$14:$K$20,9)/30))</f>
        <v>18.952161190257542</v>
      </c>
      <c r="CT189" s="172">
        <f ca="1">(VLOOKUP(CT$72,INDIRECT($C$5&amp;"生成成长"),2))/((VLOOKUP($B189,INDIRECT($B$5&amp;"生成成长"),4))/(VLOOKUP(CT$72,INDIRECT($C$5&amp;"生成成长"),5))*(VLOOKUP($B$5,标准坦克设计!$B$24:$U$30,MATCH("对"&amp;LEFT($C$5,2)&amp;"输出",标准坦克设计!$B$23:$U$23,0)))*(VLOOKUP($B189,INDIRECT($B$5&amp;"生成成长"),3))*(VLOOKUP($B$5,标准坦克设计!$B$14:$K$20,9)/30))</f>
        <v>20.432780807580897</v>
      </c>
      <c r="CU189" s="172">
        <f ca="1">(VLOOKUP(CU$72,INDIRECT($C$5&amp;"生成成长"),2))/((VLOOKUP($B189,INDIRECT($B$5&amp;"生成成长"),4))/(VLOOKUP(CU$72,INDIRECT($C$5&amp;"生成成长"),5))*(VLOOKUP($B$5,标准坦克设计!$B$24:$U$30,MATCH("对"&amp;LEFT($C$5,2)&amp;"输出",标准坦克设计!$B$23:$U$23,0)))*(VLOOKUP($B189,INDIRECT($B$5&amp;"生成成长"),3))*(VLOOKUP($B$5,标准坦克设计!$B$14:$K$20,9)/30))</f>
        <v>21.969081846410422</v>
      </c>
      <c r="CV189" s="172">
        <f ca="1">(VLOOKUP(CV$72,INDIRECT($C$5&amp;"生成成长"),2))/((VLOOKUP($B189,INDIRECT($B$5&amp;"生成成长"),4))/(VLOOKUP(CV$72,INDIRECT($C$5&amp;"生成成长"),5))*(VLOOKUP($B$5,标准坦克设计!$B$24:$U$30,MATCH("对"&amp;LEFT($C$5,2)&amp;"输出",标准坦克设计!$B$23:$U$23,0)))*(VLOOKUP($B189,INDIRECT($B$5&amp;"生成成长"),3))*(VLOOKUP($B$5,标准坦克设计!$B$14:$K$20,9)/30))</f>
        <v>23.561064306746136</v>
      </c>
      <c r="CW189" s="172">
        <f ca="1">(VLOOKUP(CW$72,INDIRECT($C$5&amp;"生成成长"),2))/((VLOOKUP($B189,INDIRECT($B$5&amp;"生成成长"),4))/(VLOOKUP(CW$72,INDIRECT($C$5&amp;"生成成长"),5))*(VLOOKUP($B$5,标准坦克设计!$B$24:$U$30,MATCH("对"&amp;LEFT($C$5,2)&amp;"输出",标准坦克设计!$B$23:$U$23,0)))*(VLOOKUP($B189,INDIRECT($B$5&amp;"生成成长"),3))*(VLOOKUP($B$5,标准坦克设计!$B$14:$K$20,9)/30))</f>
        <v>25.208728188588015</v>
      </c>
      <c r="CX189" s="172">
        <f ca="1">(VLOOKUP(CX$72,INDIRECT($C$5&amp;"生成成长"),2))/((VLOOKUP($B189,INDIRECT($B$5&amp;"生成成长"),4))/(VLOOKUP(CX$72,INDIRECT($C$5&amp;"生成成长"),5))*(VLOOKUP($B$5,标准坦克设计!$B$24:$U$30,MATCH("对"&amp;LEFT($C$5,2)&amp;"输出",标准坦克设计!$B$23:$U$23,0)))*(VLOOKUP($B189,INDIRECT($B$5&amp;"生成成长"),3))*(VLOOKUP($B$5,标准坦克设计!$B$14:$K$20,9)/30))</f>
        <v>26.912073491936077</v>
      </c>
      <c r="CY189" s="172">
        <f ca="1">(VLOOKUP(CY$72,INDIRECT($C$5&amp;"生成成长"),2))/((VLOOKUP($B189,INDIRECT($B$5&amp;"生成成长"),4))/(VLOOKUP(CY$72,INDIRECT($C$5&amp;"生成成长"),5))*(VLOOKUP($B$5,标准坦克设计!$B$24:$U$30,MATCH("对"&amp;LEFT($C$5,2)&amp;"输出",标准坦克设计!$B$23:$U$23,0)))*(VLOOKUP($B189,INDIRECT($B$5&amp;"生成成长"),3))*(VLOOKUP($B$5,标准坦克设计!$B$14:$K$20,9)/30))</f>
        <v>28.671100216790315</v>
      </c>
      <c r="CZ189" s="172">
        <f ca="1">(VLOOKUP(CZ$72,INDIRECT($C$5&amp;"生成成长"),2))/((VLOOKUP($B189,INDIRECT($B$5&amp;"生成成长"),4))/(VLOOKUP(CZ$72,INDIRECT($C$5&amp;"生成成长"),5))*(VLOOKUP($B$5,标准坦克设计!$B$24:$U$30,MATCH("对"&amp;LEFT($C$5,2)&amp;"输出",标准坦克设计!$B$23:$U$23,0)))*(VLOOKUP($B189,INDIRECT($B$5&amp;"生成成长"),3))*(VLOOKUP($B$5,标准坦克设计!$B$14:$K$20,9)/30))</f>
        <v>30.485808363150735</v>
      </c>
      <c r="DA189" s="172">
        <f ca="1">(VLOOKUP(DA$72,INDIRECT($C$5&amp;"生成成长"),2))/((VLOOKUP($B189,INDIRECT($B$5&amp;"生成成长"),4))/(VLOOKUP(DA$72,INDIRECT($C$5&amp;"生成成长"),5))*(VLOOKUP($B$5,标准坦克设计!$B$24:$U$30,MATCH("对"&amp;LEFT($C$5,2)&amp;"输出",标准坦克设计!$B$23:$U$23,0)))*(VLOOKUP($B189,INDIRECT($B$5&amp;"生成成长"),3))*(VLOOKUP($B$5,标准坦克设计!$B$14:$K$20,9)/30))</f>
        <v>32.356197931017334</v>
      </c>
      <c r="DB189" s="172">
        <f ca="1">(VLOOKUP(DB$72,INDIRECT($C$5&amp;"生成成长"),2))/((VLOOKUP($B189,INDIRECT($B$5&amp;"生成成长"),4))/(VLOOKUP(DB$72,INDIRECT($C$5&amp;"生成成长"),5))*(VLOOKUP($B$5,标准坦克设计!$B$24:$U$30,MATCH("对"&amp;LEFT($C$5,2)&amp;"输出",标准坦克设计!$B$23:$U$23,0)))*(VLOOKUP($B189,INDIRECT($B$5&amp;"生成成长"),3))*(VLOOKUP($B$5,标准坦克设计!$B$14:$K$20,9)/30))</f>
        <v>34.282268920390102</v>
      </c>
      <c r="DC189" s="172">
        <f ca="1">(VLOOKUP(DC$72,INDIRECT($C$5&amp;"生成成长"),2))/((VLOOKUP($B189,INDIRECT($B$5&amp;"生成成长"),4))/(VLOOKUP(DC$72,INDIRECT($C$5&amp;"生成成长"),5))*(VLOOKUP($B$5,标准坦克设计!$B$24:$U$30,MATCH("对"&amp;LEFT($C$5,2)&amp;"输出",标准坦克设计!$B$23:$U$23,0)))*(VLOOKUP($B189,INDIRECT($B$5&amp;"生成成长"),3))*(VLOOKUP($B$5,标准坦克设计!$B$14:$K$20,9)/30))</f>
        <v>36.446941703572406</v>
      </c>
      <c r="DD189" s="172">
        <f ca="1">(VLOOKUP(DD$72,INDIRECT($C$5&amp;"生成成长"),2))/((VLOOKUP($B189,INDIRECT($B$5&amp;"生成成长"),4))/(VLOOKUP(DD$72,INDIRECT($C$5&amp;"生成成长"),5))*(VLOOKUP($B$5,标准坦克设计!$B$24:$U$30,MATCH("对"&amp;LEFT($C$5,2)&amp;"输出",标准坦克设计!$B$23:$U$23,0)))*(VLOOKUP($B189,INDIRECT($B$5&amp;"生成成长"),3))*(VLOOKUP($B$5,标准坦克设计!$B$14:$K$20,9)/30))</f>
        <v>38.677879980117424</v>
      </c>
      <c r="DE189" s="172">
        <f ca="1">(VLOOKUP(DE$72,INDIRECT($C$5&amp;"生成成长"),2))/((VLOOKUP($B189,INDIRECT($B$5&amp;"生成成长"),4))/(VLOOKUP(DE$72,INDIRECT($C$5&amp;"生成成长"),5))*(VLOOKUP($B$5,标准坦克设计!$B$24:$U$30,MATCH("对"&amp;LEFT($C$5,2)&amp;"输出",标准坦克设计!$B$23:$U$23,0)))*(VLOOKUP($B189,INDIRECT($B$5&amp;"生成成长"),3))*(VLOOKUP($B$5,标准坦克设计!$B$14:$K$20,9)/30))</f>
        <v>40.975083750025178</v>
      </c>
      <c r="DF189" s="172">
        <f ca="1">(VLOOKUP(DF$72,INDIRECT($C$5&amp;"生成成长"),2))/((VLOOKUP($B189,INDIRECT($B$5&amp;"生成成长"),4))/(VLOOKUP(DF$72,INDIRECT($C$5&amp;"生成成长"),5))*(VLOOKUP($B$5,标准坦克设计!$B$24:$U$30,MATCH("对"&amp;LEFT($C$5,2)&amp;"输出",标准坦克设计!$B$23:$U$23,0)))*(VLOOKUP($B189,INDIRECT($B$5&amp;"生成成长"),3))*(VLOOKUP($B$5,标准坦克设计!$B$14:$K$20,9)/30))</f>
        <v>43.338553013295645</v>
      </c>
      <c r="DG189" s="172">
        <f ca="1">(VLOOKUP(DG$72,INDIRECT($C$5&amp;"生成成长"),2))/((VLOOKUP($B189,INDIRECT($B$5&amp;"生成成长"),4))/(VLOOKUP(DG$72,INDIRECT($C$5&amp;"生成成长"),5))*(VLOOKUP($B$5,标准坦克设计!$B$24:$U$30,MATCH("对"&amp;LEFT($C$5,2)&amp;"输出",标准坦克设计!$B$23:$U$23,0)))*(VLOOKUP($B189,INDIRECT($B$5&amp;"生成成长"),3))*(VLOOKUP($B$5,标准坦克设计!$B$14:$K$20,9)/30))</f>
        <v>45.768287769928847</v>
      </c>
      <c r="DH189" s="172">
        <f ca="1">(VLOOKUP(DH$72,INDIRECT($C$5&amp;"生成成长"),2))/((VLOOKUP($B189,INDIRECT($B$5&amp;"生成成长"),4))/(VLOOKUP(DH$72,INDIRECT($C$5&amp;"生成成长"),5))*(VLOOKUP($B$5,标准坦克设计!$B$24:$U$30,MATCH("对"&amp;LEFT($C$5,2)&amp;"输出",标准坦克设计!$B$23:$U$23,0)))*(VLOOKUP($B189,INDIRECT($B$5&amp;"生成成长"),3))*(VLOOKUP($B$5,标准坦克设计!$B$14:$K$20,9)/30))</f>
        <v>48.264288019924756</v>
      </c>
      <c r="DI189" s="172">
        <f ca="1">(VLOOKUP(DI$72,INDIRECT($C$5&amp;"生成成长"),2))/((VLOOKUP($B189,INDIRECT($B$5&amp;"生成成长"),4))/(VLOOKUP(DI$72,INDIRECT($C$5&amp;"生成成长"),5))*(VLOOKUP($B$5,标准坦克设计!$B$24:$U$30,MATCH("对"&amp;LEFT($C$5,2)&amp;"输出",标准坦克设计!$B$23:$U$23,0)))*(VLOOKUP($B189,INDIRECT($B$5&amp;"生成成长"),3))*(VLOOKUP($B$5,标准坦克设计!$B$14:$K$20,9)/30))</f>
        <v>50.8265537632834</v>
      </c>
      <c r="DJ189" s="172">
        <f ca="1">(VLOOKUP(DJ$72,INDIRECT($C$5&amp;"生成成长"),2))/((VLOOKUP($B189,INDIRECT($B$5&amp;"生成成长"),4))/(VLOOKUP(DJ$72,INDIRECT($C$5&amp;"生成成长"),5))*(VLOOKUP($B$5,标准坦克设计!$B$24:$U$30,MATCH("对"&amp;LEFT($C$5,2)&amp;"输出",标准坦克设计!$B$23:$U$23,0)))*(VLOOKUP($B189,INDIRECT($B$5&amp;"生成成长"),3))*(VLOOKUP($B$5,标准坦克设计!$B$14:$K$20,9)/30))</f>
        <v>5.1081952018952244</v>
      </c>
      <c r="DK189" s="172">
        <f ca="1">(VLOOKUP(DK$72,INDIRECT($C$5&amp;"生成成长"),2))/((VLOOKUP($B189,INDIRECT($B$5&amp;"生成成长"),4))/(VLOOKUP(DK$72,INDIRECT($C$5&amp;"生成成长"),5))*(VLOOKUP($B$5,标准坦克设计!$B$24:$U$30,MATCH("对"&amp;LEFT($C$5,2)&amp;"输出",标准坦克设计!$B$23:$U$23,0)))*(VLOOKUP($B189,INDIRECT($B$5&amp;"生成成长"),3))*(VLOOKUP($B$5,标准坦克设计!$B$14:$K$20,9)/30))</f>
        <v>5.7439297788438521</v>
      </c>
      <c r="DL189" s="172">
        <f ca="1">(VLOOKUP(DL$72,INDIRECT($C$5&amp;"生成成长"),2))/((VLOOKUP($B189,INDIRECT($B$5&amp;"生成成长"),4))/(VLOOKUP(DL$72,INDIRECT($C$5&amp;"生成成长"),5))*(VLOOKUP($B$5,标准坦克设计!$B$24:$U$30,MATCH("对"&amp;LEFT($C$5,2)&amp;"输出",标准坦克设计!$B$23:$U$23,0)))*(VLOOKUP($B189,INDIRECT($B$5&amp;"生成成长"),3))*(VLOOKUP($B$5,标准坦克设计!$B$14:$K$20,9)/30))</f>
        <v>6.4169386958090122</v>
      </c>
      <c r="DM189" s="172">
        <f ca="1">(VLOOKUP(DM$72,INDIRECT($C$5&amp;"生成成长"),2))/((VLOOKUP($B189,INDIRECT($B$5&amp;"生成成长"),4))/(VLOOKUP(DM$72,INDIRECT($C$5&amp;"生成成长"),5))*(VLOOKUP($B$5,标准坦克设计!$B$24:$U$30,MATCH("对"&amp;LEFT($C$5,2)&amp;"输出",标准坦克设计!$B$23:$U$23,0)))*(VLOOKUP($B189,INDIRECT($B$5&amp;"生成成长"),3))*(VLOOKUP($B$5,标准坦克设计!$B$14:$K$20,9)/30))</f>
        <v>7.1272219527907046</v>
      </c>
      <c r="DN189" s="172">
        <f ca="1">(VLOOKUP(DN$72,INDIRECT($C$5&amp;"生成成长"),2))/((VLOOKUP($B189,INDIRECT($B$5&amp;"生成成长"),4))/(VLOOKUP(DN$72,INDIRECT($C$5&amp;"生成成长"),5))*(VLOOKUP($B$5,标准坦克设计!$B$24:$U$30,MATCH("对"&amp;LEFT($C$5,2)&amp;"输出",标准坦克设计!$B$23:$U$23,0)))*(VLOOKUP($B189,INDIRECT($B$5&amp;"生成成长"),3))*(VLOOKUP($B$5,标准坦克设计!$B$14:$K$20,9)/30))</f>
        <v>7.8747795497889284</v>
      </c>
      <c r="DO189" s="172">
        <f ca="1">(VLOOKUP(DO$72,INDIRECT($C$5&amp;"生成成长"),2))/((VLOOKUP($B189,INDIRECT($B$5&amp;"生成成长"),4))/(VLOOKUP(DO$72,INDIRECT($C$5&amp;"生成成长"),5))*(VLOOKUP($B$5,标准坦克设计!$B$24:$U$30,MATCH("对"&amp;LEFT($C$5,2)&amp;"输出",标准坦克设计!$B$23:$U$23,0)))*(VLOOKUP($B189,INDIRECT($B$5&amp;"生成成长"),3))*(VLOOKUP($B$5,标准坦克设计!$B$14:$K$20,9)/30))</f>
        <v>8.6596114868036853</v>
      </c>
      <c r="DP189" s="172">
        <f ca="1">(VLOOKUP(DP$72,INDIRECT($C$5&amp;"生成成长"),2))/((VLOOKUP($B189,INDIRECT($B$5&amp;"生成成长"),4))/(VLOOKUP(DP$72,INDIRECT($C$5&amp;"生成成长"),5))*(VLOOKUP($B$5,标准坦克设计!$B$24:$U$30,MATCH("对"&amp;LEFT($C$5,2)&amp;"输出",标准坦克设计!$B$23:$U$23,0)))*(VLOOKUP($B189,INDIRECT($B$5&amp;"生成成长"),3))*(VLOOKUP($B$5,标准坦克设计!$B$14:$K$20,9)/30))</f>
        <v>9.4817177638349737</v>
      </c>
      <c r="DQ189" s="172">
        <f ca="1">(VLOOKUP(DQ$72,INDIRECT($C$5&amp;"生成成长"),2))/((VLOOKUP($B189,INDIRECT($B$5&amp;"生成成长"),4))/(VLOOKUP(DQ$72,INDIRECT($C$5&amp;"生成成长"),5))*(VLOOKUP($B$5,标准坦克设计!$B$24:$U$30,MATCH("对"&amp;LEFT($C$5,2)&amp;"输出",标准坦克设计!$B$23:$U$23,0)))*(VLOOKUP($B189,INDIRECT($B$5&amp;"生成成长"),3))*(VLOOKUP($B$5,标准坦克设计!$B$14:$K$20,9)/30))</f>
        <v>10.341098380882794</v>
      </c>
      <c r="DR189" s="172">
        <f ca="1">(VLOOKUP(DR$72,INDIRECT($C$5&amp;"生成成长"),2))/((VLOOKUP($B189,INDIRECT($B$5&amp;"生成成长"),4))/(VLOOKUP(DR$72,INDIRECT($C$5&amp;"生成成长"),5))*(VLOOKUP($B$5,标准坦克设计!$B$24:$U$30,MATCH("对"&amp;LEFT($C$5,2)&amp;"输出",标准坦克设计!$B$23:$U$23,0)))*(VLOOKUP($B189,INDIRECT($B$5&amp;"生成成长"),3))*(VLOOKUP($B$5,标准坦克设计!$B$14:$K$20,9)/30))</f>
        <v>11.237753337947147</v>
      </c>
      <c r="DS189" s="172">
        <f ca="1">(VLOOKUP(DS$72,INDIRECT($C$5&amp;"生成成长"),2))/((VLOOKUP($B189,INDIRECT($B$5&amp;"生成成长"),4))/(VLOOKUP(DS$72,INDIRECT($C$5&amp;"生成成长"),5))*(VLOOKUP($B$5,标准坦克设计!$B$24:$U$30,MATCH("对"&amp;LEFT($C$5,2)&amp;"输出",标准坦克设计!$B$23:$U$23,0)))*(VLOOKUP($B189,INDIRECT($B$5&amp;"生成成长"),3))*(VLOOKUP($B$5,标准坦克设计!$B$14:$K$20,9)/30))</f>
        <v>12.171682635028029</v>
      </c>
      <c r="DT189" s="172">
        <f ca="1">(VLOOKUP(DT$72,INDIRECT($C$5&amp;"生成成长"),2))/((VLOOKUP($B189,INDIRECT($B$5&amp;"生成成长"),4))/(VLOOKUP(DT$72,INDIRECT($C$5&amp;"生成成长"),5))*(VLOOKUP($B$5,标准坦克设计!$B$24:$U$30,MATCH("对"&amp;LEFT($C$5,2)&amp;"输出",标准坦克设计!$B$23:$U$23,0)))*(VLOOKUP($B189,INDIRECT($B$5&amp;"生成成长"),3))*(VLOOKUP($B$5,标准坦克设计!$B$14:$K$20,9)/30))</f>
        <v>13.363771250001193</v>
      </c>
      <c r="DU189" s="172">
        <f ca="1">(VLOOKUP(DU$72,INDIRECT($C$5&amp;"生成成长"),2))/((VLOOKUP($B189,INDIRECT($B$5&amp;"生成成长"),4))/(VLOOKUP(DU$72,INDIRECT($C$5&amp;"生成成长"),5))*(VLOOKUP($B$5,标准坦克设计!$B$24:$U$30,MATCH("对"&amp;LEFT($C$5,2)&amp;"输出",标准坦克设计!$B$23:$U$23,0)))*(VLOOKUP($B189,INDIRECT($B$5&amp;"生成成长"),3))*(VLOOKUP($B$5,标准坦克设计!$B$14:$K$20,9)/30))</f>
        <v>14.611541286480529</v>
      </c>
      <c r="DV189" s="172">
        <f ca="1">(VLOOKUP(DV$72,INDIRECT($C$5&amp;"生成成长"),2))/((VLOOKUP($B189,INDIRECT($B$5&amp;"生成成长"),4))/(VLOOKUP(DV$72,INDIRECT($C$5&amp;"生成成长"),5))*(VLOOKUP($B$5,标准坦克设计!$B$24:$U$30,MATCH("对"&amp;LEFT($C$5,2)&amp;"输出",标准坦克设计!$B$23:$U$23,0)))*(VLOOKUP($B189,INDIRECT($B$5&amp;"生成成长"),3))*(VLOOKUP($B$5,标准坦克设计!$B$14:$K$20,9)/30))</f>
        <v>15.914992744466048</v>
      </c>
      <c r="DW189" s="172">
        <f ca="1">(VLOOKUP(DW$72,INDIRECT($C$5&amp;"生成成长"),2))/((VLOOKUP($B189,INDIRECT($B$5&amp;"生成成长"),4))/(VLOOKUP(DW$72,INDIRECT($C$5&amp;"生成成长"),5))*(VLOOKUP($B$5,标准坦克设计!$B$24:$U$30,MATCH("对"&amp;LEFT($C$5,2)&amp;"输出",标准坦克设计!$B$23:$U$23,0)))*(VLOOKUP($B189,INDIRECT($B$5&amp;"生成成长"),3))*(VLOOKUP($B$5,标准坦克设计!$B$14:$K$20,9)/30))</f>
        <v>17.27412562395774</v>
      </c>
      <c r="DX189" s="172">
        <f ca="1">(VLOOKUP(DX$72,INDIRECT($C$5&amp;"生成成长"),2))/((VLOOKUP($B189,INDIRECT($B$5&amp;"生成成长"),4))/(VLOOKUP(DX$72,INDIRECT($C$5&amp;"生成成长"),5))*(VLOOKUP($B$5,标准坦克设计!$B$24:$U$30,MATCH("对"&amp;LEFT($C$5,2)&amp;"输出",标准坦克设计!$B$23:$U$23,0)))*(VLOOKUP($B189,INDIRECT($B$5&amp;"生成成长"),3))*(VLOOKUP($B$5,标准坦克设计!$B$14:$K$20,9)/30))</f>
        <v>18.688939924955612</v>
      </c>
      <c r="DY189" s="172">
        <f ca="1">(VLOOKUP(DY$72,INDIRECT($C$5&amp;"生成成长"),2))/((VLOOKUP($B189,INDIRECT($B$5&amp;"生成成长"),4))/(VLOOKUP(DY$72,INDIRECT($C$5&amp;"生成成长"),5))*(VLOOKUP($B$5,标准坦克设计!$B$24:$U$30,MATCH("对"&amp;LEFT($C$5,2)&amp;"输出",标准坦克设计!$B$23:$U$23,0)))*(VLOOKUP($B189,INDIRECT($B$5&amp;"生成成长"),3))*(VLOOKUP($B$5,标准坦克设计!$B$14:$K$20,9)/30))</f>
        <v>8.3938592477969287</v>
      </c>
      <c r="DZ189" s="172">
        <f ca="1">(VLOOKUP(DZ$72,INDIRECT($C$5&amp;"生成成长"),2))/((VLOOKUP($B189,INDIRECT($B$5&amp;"生成成长"),4))/(VLOOKUP(DZ$72,INDIRECT($C$5&amp;"生成成长"),5))*(VLOOKUP($B$5,标准坦克设计!$B$24:$U$30,MATCH("对"&amp;LEFT($C$5,2)&amp;"输出",标准坦克设计!$B$23:$U$23,0)))*(VLOOKUP($B189,INDIRECT($B$5&amp;"生成成长"),3))*(VLOOKUP($B$5,标准坦克设计!$B$14:$K$20,9)/30))</f>
        <v>9.2958062407895543</v>
      </c>
      <c r="EA189" s="172">
        <f ca="1">(VLOOKUP(EA$72,INDIRECT($C$5&amp;"生成成长"),2))/((VLOOKUP($B189,INDIRECT($B$5&amp;"生成成长"),4))/(VLOOKUP(EA$72,INDIRECT($C$5&amp;"生成成长"),5))*(VLOOKUP($B$5,标准坦克设计!$B$24:$U$30,MATCH("对"&amp;LEFT($C$5,2)&amp;"输出",标准坦克设计!$B$23:$U$23,0)))*(VLOOKUP($B189,INDIRECT($B$5&amp;"生成成长"),3))*(VLOOKUP($B$5,标准坦克设计!$B$14:$K$20,9)/30))</f>
        <v>10.243770937506294</v>
      </c>
      <c r="EB189" s="172">
        <f ca="1">(VLOOKUP(EB$72,INDIRECT($C$5&amp;"生成成长"),2))/((VLOOKUP($B189,INDIRECT($B$5&amp;"生成成长"),4))/(VLOOKUP(EB$72,INDIRECT($C$5&amp;"生成成长"),5))*(VLOOKUP($B$5,标准坦克设计!$B$24:$U$30,MATCH("对"&amp;LEFT($C$5,2)&amp;"输出",标准坦克设计!$B$23:$U$23,0)))*(VLOOKUP($B189,INDIRECT($B$5&amp;"生成成长"),3))*(VLOOKUP($B$5,标准坦克设计!$B$14:$K$20,9)/30))</f>
        <v>11.237753337947147</v>
      </c>
      <c r="EC189" s="172">
        <f ca="1">(VLOOKUP(EC$72,INDIRECT($C$5&amp;"生成成长"),2))/((VLOOKUP($B189,INDIRECT($B$5&amp;"生成成长"),4))/(VLOOKUP(EC$72,INDIRECT($C$5&amp;"生成成长"),5))*(VLOOKUP($B$5,标准坦克设计!$B$24:$U$30,MATCH("对"&amp;LEFT($C$5,2)&amp;"输出",标准坦克设计!$B$23:$U$23,0)))*(VLOOKUP($B189,INDIRECT($B$5&amp;"生成成长"),3))*(VLOOKUP($B$5,标准坦克设计!$B$14:$K$20,9)/30))</f>
        <v>12.277753442112113</v>
      </c>
      <c r="ED189" s="172">
        <f ca="1">(VLOOKUP(ED$72,INDIRECT($C$5&amp;"生成成长"),2))/((VLOOKUP($B189,INDIRECT($B$5&amp;"生成成长"),4))/(VLOOKUP(ED$72,INDIRECT($C$5&amp;"生成成长"),5))*(VLOOKUP($B$5,标准坦克设计!$B$24:$U$30,MATCH("对"&amp;LEFT($C$5,2)&amp;"输出",标准坦克设计!$B$23:$U$23,0)))*(VLOOKUP($B189,INDIRECT($B$5&amp;"生成成长"),3))*(VLOOKUP($B$5,标准坦克设计!$B$14:$K$20,9)/30))</f>
        <v>13.363771250001193</v>
      </c>
      <c r="EE189" s="172">
        <f ca="1">(VLOOKUP(EE$72,INDIRECT($C$5&amp;"生成成长"),2))/((VLOOKUP($B189,INDIRECT($B$5&amp;"生成成长"),4))/(VLOOKUP(EE$72,INDIRECT($C$5&amp;"生成成长"),5))*(VLOOKUP($B$5,标准坦克设计!$B$24:$U$30,MATCH("对"&amp;LEFT($C$5,2)&amp;"输出",标准坦克设计!$B$23:$U$23,0)))*(VLOOKUP($B189,INDIRECT($B$5&amp;"生成成长"),3))*(VLOOKUP($B$5,标准坦克设计!$B$14:$K$20,9)/30))</f>
        <v>14.495806761614386</v>
      </c>
      <c r="EF189" s="172">
        <f ca="1">(VLOOKUP(EF$72,INDIRECT($C$5&amp;"生成成长"),2))/((VLOOKUP($B189,INDIRECT($B$5&amp;"生成成长"),4))/(VLOOKUP(EF$72,INDIRECT($C$5&amp;"生成成长"),5))*(VLOOKUP($B$5,标准坦克设计!$B$24:$U$30,MATCH("对"&amp;LEFT($C$5,2)&amp;"输出",标准坦克设计!$B$23:$U$23,0)))*(VLOOKUP($B189,INDIRECT($B$5&amp;"生成成长"),3))*(VLOOKUP($B$5,标准坦克设计!$B$14:$K$20,9)/30))</f>
        <v>15.673859976951691</v>
      </c>
      <c r="EG189" s="172">
        <f ca="1">(VLOOKUP(EG$72,INDIRECT($C$5&amp;"生成成长"),2))/((VLOOKUP($B189,INDIRECT($B$5&amp;"生成成长"),4))/(VLOOKUP(EG$72,INDIRECT($C$5&amp;"生成成长"),5))*(VLOOKUP($B$5,标准坦克设计!$B$24:$U$30,MATCH("对"&amp;LEFT($C$5,2)&amp;"输出",标准坦克设计!$B$23:$U$23,0)))*(VLOOKUP($B189,INDIRECT($B$5&amp;"生成成长"),3))*(VLOOKUP($B$5,标准坦克设计!$B$14:$K$20,9)/30))</f>
        <v>16.897930896013115</v>
      </c>
      <c r="EH189" s="172">
        <f ca="1">(VLOOKUP(EH$72,INDIRECT($C$5&amp;"生成成长"),2))/((VLOOKUP($B189,INDIRECT($B$5&amp;"生成成长"),4))/(VLOOKUP(EH$72,INDIRECT($C$5&amp;"生成成长"),5))*(VLOOKUP($B$5,标准坦克设计!$B$24:$U$30,MATCH("对"&amp;LEFT($C$5,2)&amp;"输出",标准坦克设计!$B$23:$U$23,0)))*(VLOOKUP($B189,INDIRECT($B$5&amp;"生成成长"),3))*(VLOOKUP($B$5,标准坦克设计!$B$14:$K$20,9)/30))</f>
        <v>18.168019518798644</v>
      </c>
      <c r="EI189" s="172">
        <f ca="1">(VLOOKUP(EI$72,INDIRECT($C$5&amp;"生成成长"),2))/((VLOOKUP($B189,INDIRECT($B$5&amp;"生成成长"),4))/(VLOOKUP(EI$72,INDIRECT($C$5&amp;"生成成长"),5))*(VLOOKUP($B$5,标准坦克设计!$B$24:$U$30,MATCH("对"&amp;LEFT($C$5,2)&amp;"输出",标准坦克设计!$B$23:$U$23,0)))*(VLOOKUP($B189,INDIRECT($B$5&amp;"生成成长"),3))*(VLOOKUP($B$5,标准坦克设计!$B$14:$K$20,9)/30))</f>
        <v>19.484125845308292</v>
      </c>
      <c r="EJ189" s="172">
        <f ca="1">(VLOOKUP(EJ$72,INDIRECT($C$5&amp;"生成成长"),2))/((VLOOKUP($B189,INDIRECT($B$5&amp;"生成成长"),4))/(VLOOKUP(EJ$72,INDIRECT($C$5&amp;"生成成长"),5))*(VLOOKUP($B$5,标准坦克设计!$B$24:$U$30,MATCH("对"&amp;LEFT($C$5,2)&amp;"输出",标准坦克设计!$B$23:$U$23,0)))*(VLOOKUP($B189,INDIRECT($B$5&amp;"生成成长"),3))*(VLOOKUP($B$5,标准坦克设计!$B$14:$K$20,9)/30))</f>
        <v>20.846249875542053</v>
      </c>
      <c r="EK189" s="172">
        <f ca="1">(VLOOKUP(EK$72,INDIRECT($C$5&amp;"生成成长"),2))/((VLOOKUP($B189,INDIRECT($B$5&amp;"生成成长"),4))/(VLOOKUP(EK$72,INDIRECT($C$5&amp;"生成成长"),5))*(VLOOKUP($B$5,标准坦克设计!$B$24:$U$30,MATCH("对"&amp;LEFT($C$5,2)&amp;"输出",标准坦克设计!$B$23:$U$23,0)))*(VLOOKUP($B189,INDIRECT($B$5&amp;"生成成长"),3))*(VLOOKUP($B$5,标准坦克设计!$B$14:$K$20,9)/30))</f>
        <v>22.541542080738399</v>
      </c>
      <c r="EL189" s="172">
        <f ca="1">(VLOOKUP(EL$72,INDIRECT($C$5&amp;"生成成长"),2))/((VLOOKUP($B189,INDIRECT($B$5&amp;"生成成长"),4))/(VLOOKUP(EL$72,INDIRECT($C$5&amp;"生成成长"),5))*(VLOOKUP($B$5,标准坦克设计!$B$24:$U$30,MATCH("对"&amp;LEFT($C$5,2)&amp;"输出",标准坦克设计!$B$23:$U$23,0)))*(VLOOKUP($B189,INDIRECT($B$5&amp;"生成成长"),3))*(VLOOKUP($B$5,标准坦克设计!$B$14:$K$20,9)/30))</f>
        <v>24.303099779297465</v>
      </c>
      <c r="EM189" s="172">
        <f ca="1">(VLOOKUP(EM$72,INDIRECT($C$5&amp;"生成成长"),2))/((VLOOKUP($B189,INDIRECT($B$5&amp;"生成成长"),4))/(VLOOKUP(EM$72,INDIRECT($C$5&amp;"生成成长"),5))*(VLOOKUP($B$5,标准坦克设计!$B$24:$U$30,MATCH("对"&amp;LEFT($C$5,2)&amp;"输出",标准坦克设计!$B$23:$U$23,0)))*(VLOOKUP($B189,INDIRECT($B$5&amp;"生成成长"),3))*(VLOOKUP($B$5,标准坦克设计!$B$14:$K$20,9)/30))</f>
        <v>26.130922971219256</v>
      </c>
      <c r="EN189" s="172">
        <f ca="1">(VLOOKUP(EN$72,INDIRECT($C$5&amp;"生成成长"),2))/((VLOOKUP($B189,INDIRECT($B$5&amp;"生成成长"),4))/(VLOOKUP(EN$72,INDIRECT($C$5&amp;"生成成长"),5))*(VLOOKUP($B$5,标准坦克设计!$B$24:$U$30,MATCH("对"&amp;LEFT($C$5,2)&amp;"输出",标准坦克设计!$B$23:$U$23,0)))*(VLOOKUP($B189,INDIRECT($B$5&amp;"生成成长"),3))*(VLOOKUP($B$5,标准坦克设计!$B$14:$K$20,9)/30))</f>
        <v>28.025011656503761</v>
      </c>
      <c r="EO189" s="172">
        <f ca="1">(VLOOKUP(EO$72,INDIRECT($C$5&amp;"生成成长"),2))/((VLOOKUP($B189,INDIRECT($B$5&amp;"生成成长"),4))/(VLOOKUP(EO$72,INDIRECT($C$5&amp;"生成成长"),5))*(VLOOKUP($B$5,标准坦克设计!$B$24:$U$30,MATCH("对"&amp;LEFT($C$5,2)&amp;"输出",标准坦克设计!$B$23:$U$23,0)))*(VLOOKUP($B189,INDIRECT($B$5&amp;"生成成长"),3))*(VLOOKUP($B$5,标准坦克设计!$B$14:$K$20,9)/30))</f>
        <v>29.985365835151004</v>
      </c>
      <c r="EP189" s="172">
        <f ca="1">(VLOOKUP(EP$72,INDIRECT($C$5&amp;"生成成长"),2))/((VLOOKUP($B189,INDIRECT($B$5&amp;"生成成长"),4))/(VLOOKUP(EP$72,INDIRECT($C$5&amp;"生成成长"),5))*(VLOOKUP($B$5,标准坦克设计!$B$24:$U$30,MATCH("对"&amp;LEFT($C$5,2)&amp;"输出",标准坦克设计!$B$23:$U$23,0)))*(VLOOKUP($B189,INDIRECT($B$5&amp;"生成成长"),3))*(VLOOKUP($B$5,标准坦克设计!$B$14:$K$20,9)/30))</f>
        <v>32.011985507160965</v>
      </c>
      <c r="EQ189" s="172">
        <f ca="1">(VLOOKUP(EQ$72,INDIRECT($C$5&amp;"生成成长"),2))/((VLOOKUP($B189,INDIRECT($B$5&amp;"生成成长"),4))/(VLOOKUP(EQ$72,INDIRECT($C$5&amp;"生成成长"),5))*(VLOOKUP($B$5,标准坦克设计!$B$24:$U$30,MATCH("对"&amp;LEFT($C$5,2)&amp;"输出",标准坦克设计!$B$23:$U$23,0)))*(VLOOKUP($B189,INDIRECT($B$5&amp;"生成成长"),3))*(VLOOKUP($B$5,标准坦克设计!$B$14:$K$20,9)/30))</f>
        <v>14.151364249239396</v>
      </c>
      <c r="ER189" s="172">
        <f ca="1">(VLOOKUP(ER$72,INDIRECT($C$5&amp;"生成成长"),2))/((VLOOKUP($B189,INDIRECT($B$5&amp;"生成成长"),4))/(VLOOKUP(ER$72,INDIRECT($C$5&amp;"生成成长"),5))*(VLOOKUP($B$5,标准坦克设计!$B$24:$U$30,MATCH("对"&amp;LEFT($C$5,2)&amp;"输出",标准坦克设计!$B$23:$U$23,0)))*(VLOOKUP($B189,INDIRECT($B$5&amp;"生成成长"),3))*(VLOOKUP($B$5,标准坦克设计!$B$14:$K$20,9)/30))</f>
        <v>15.434567917586302</v>
      </c>
      <c r="ES189" s="172">
        <f ca="1">(VLOOKUP(ES$72,INDIRECT($C$5&amp;"生成成长"),2))/((VLOOKUP($B189,INDIRECT($B$5&amp;"生成成长"),4))/(VLOOKUP(ES$72,INDIRECT($C$5&amp;"生成成长"),5))*(VLOOKUP($B$5,标准坦克设计!$B$24:$U$30,MATCH("对"&amp;LEFT($C$5,2)&amp;"输出",标准坦克设计!$B$23:$U$23,0)))*(VLOOKUP($B189,INDIRECT($B$5&amp;"生成成长"),3))*(VLOOKUP($B$5,标准坦克设计!$B$14:$K$20,9)/30))</f>
        <v>16.773453007439386</v>
      </c>
      <c r="ET189" s="172">
        <f ca="1">(VLOOKUP(ET$72,INDIRECT($C$5&amp;"生成成长"),2))/((VLOOKUP($B189,INDIRECT($B$5&amp;"生成成长"),4))/(VLOOKUP(ET$72,INDIRECT($C$5&amp;"生成成长"),5))*(VLOOKUP($B$5,标准坦克设计!$B$24:$U$30,MATCH("对"&amp;LEFT($C$5,2)&amp;"输出",标准坦克设计!$B$23:$U$23,0)))*(VLOOKUP($B189,INDIRECT($B$5&amp;"生成成长"),3))*(VLOOKUP($B$5,标准坦克设计!$B$14:$K$20,9)/30))</f>
        <v>18.168019518798644</v>
      </c>
      <c r="EU189" s="172">
        <f ca="1">(VLOOKUP(EU$72,INDIRECT($C$5&amp;"生成成长"),2))/((VLOOKUP($B189,INDIRECT($B$5&amp;"生成成长"),4))/(VLOOKUP(EU$72,INDIRECT($C$5&amp;"生成成长"),5))*(VLOOKUP($B$5,标准坦克设计!$B$24:$U$30,MATCH("对"&amp;LEFT($C$5,2)&amp;"输出",标准坦克设计!$B$23:$U$23,0)))*(VLOOKUP($B189,INDIRECT($B$5&amp;"生成成长"),3))*(VLOOKUP($B$5,标准坦克设计!$B$14:$K$20,9)/30))</f>
        <v>19.618267451664082</v>
      </c>
      <c r="EV189" s="172">
        <f ca="1">(VLOOKUP(EV$72,INDIRECT($C$5&amp;"生成成长"),2))/((VLOOKUP($B189,INDIRECT($B$5&amp;"生成成长"),4))/(VLOOKUP(EV$72,INDIRECT($C$5&amp;"生成成长"),5))*(VLOOKUP($B$5,标准坦克设计!$B$24:$U$30,MATCH("对"&amp;LEFT($C$5,2)&amp;"输出",标准坦克设计!$B$23:$U$23,0)))*(VLOOKUP($B189,INDIRECT($B$5&amp;"生成成长"),3))*(VLOOKUP($B$5,标准坦克设计!$B$14:$K$20,9)/30))</f>
        <v>21.124196806035702</v>
      </c>
      <c r="EW189" s="172">
        <f ca="1">(VLOOKUP(EW$72,INDIRECT($C$5&amp;"生成成长"),2))/((VLOOKUP($B189,INDIRECT($B$5&amp;"生成成长"),4))/(VLOOKUP(EW$72,INDIRECT($C$5&amp;"生成成长"),5))*(VLOOKUP($B$5,标准坦克设计!$B$24:$U$30,MATCH("对"&amp;LEFT($C$5,2)&amp;"输出",标准坦克设计!$B$23:$U$23,0)))*(VLOOKUP($B189,INDIRECT($B$5&amp;"生成成长"),3))*(VLOOKUP($B$5,标准坦克设计!$B$14:$K$20,9)/30))</f>
        <v>22.685807581913494</v>
      </c>
      <c r="EX189" s="172">
        <f ca="1">(VLOOKUP(EX$72,INDIRECT($C$5&amp;"生成成长"),2))/((VLOOKUP($B189,INDIRECT($B$5&amp;"生成成长"),4))/(VLOOKUP(EX$72,INDIRECT($C$5&amp;"生成成长"),5))*(VLOOKUP($B$5,标准坦克设计!$B$24:$U$30,MATCH("对"&amp;LEFT($C$5,2)&amp;"输出",标准坦克设计!$B$23:$U$23,0)))*(VLOOKUP($B189,INDIRECT($B$5&amp;"生成成长"),3))*(VLOOKUP($B$5,标准坦克设计!$B$14:$K$20,9)/30))</f>
        <v>24.303099779297465</v>
      </c>
      <c r="EY189" s="172">
        <f ca="1">(VLOOKUP(EY$72,INDIRECT($C$5&amp;"生成成长"),2))/((VLOOKUP($B189,INDIRECT($B$5&amp;"生成成长"),4))/(VLOOKUP(EY$72,INDIRECT($C$5&amp;"生成成长"),5))*(VLOOKUP($B$5,标准坦克设计!$B$24:$U$30,MATCH("对"&amp;LEFT($C$5,2)&amp;"输出",标准坦克设计!$B$23:$U$23,0)))*(VLOOKUP($B189,INDIRECT($B$5&amp;"生成成长"),3))*(VLOOKUP($B$5,标准坦克设计!$B$14:$K$20,9)/30))</f>
        <v>25.976073398187612</v>
      </c>
      <c r="EZ189" s="172">
        <f ca="1">(VLOOKUP(EZ$72,INDIRECT($C$5&amp;"生成成长"),2))/((VLOOKUP($B189,INDIRECT($B$5&amp;"生成成长"),4))/(VLOOKUP(EZ$72,INDIRECT($C$5&amp;"生成成长"),5))*(VLOOKUP($B$5,标准坦克设计!$B$24:$U$30,MATCH("对"&amp;LEFT($C$5,2)&amp;"输出",标准坦克设计!$B$23:$U$23,0)))*(VLOOKUP($B189,INDIRECT($B$5&amp;"生成成长"),3))*(VLOOKUP($B$5,标准坦克设计!$B$14:$K$20,9)/30))</f>
        <v>27.704728438583935</v>
      </c>
      <c r="FA189" s="172">
        <f ca="1">(VLOOKUP(FA$72,INDIRECT($C$5&amp;"生成成长"),2))/((VLOOKUP($B189,INDIRECT($B$5&amp;"生成成长"),4))/(VLOOKUP(FA$72,INDIRECT($C$5&amp;"生成成长"),5))*(VLOOKUP($B$5,标准坦克设计!$B$24:$U$30,MATCH("对"&amp;LEFT($C$5,2)&amp;"输出",标准坦克设计!$B$23:$U$23,0)))*(VLOOKUP($B189,INDIRECT($B$5&amp;"生成成长"),3))*(VLOOKUP($B$5,标准坦克设计!$B$14:$K$20,9)/30))</f>
        <v>29.489064900486436</v>
      </c>
      <c r="FB189" s="172">
        <f ca="1">(VLOOKUP(FB$72,INDIRECT($C$5&amp;"生成成长"),2))/((VLOOKUP($B189,INDIRECT($B$5&amp;"生成成长"),4))/(VLOOKUP(FB$72,INDIRECT($C$5&amp;"生成成长"),5))*(VLOOKUP($B$5,标准坦克设计!$B$24:$U$30,MATCH("对"&amp;LEFT($C$5,2)&amp;"输出",标准坦克设计!$B$23:$U$23,0)))*(VLOOKUP($B189,INDIRECT($B$5&amp;"生成成长"),3))*(VLOOKUP($B$5,标准坦克设计!$B$14:$K$20,9)/30))</f>
        <v>31.329082783895117</v>
      </c>
      <c r="FC189" s="172">
        <f ca="1">(VLOOKUP(FC$72,INDIRECT($C$5&amp;"生成成长"),2))/((VLOOKUP($B189,INDIRECT($B$5&amp;"生成成长"),4))/(VLOOKUP(FC$72,INDIRECT($C$5&amp;"生成成长"),5))*(VLOOKUP($B$5,标准坦克设计!$B$24:$U$30,MATCH("对"&amp;LEFT($C$5,2)&amp;"输出",标准坦克设计!$B$23:$U$23,0)))*(VLOOKUP($B189,INDIRECT($B$5&amp;"生成成长"),3))*(VLOOKUP($B$5,标准坦克设计!$B$14:$K$20,9)/30))</f>
        <v>33.224782088809974</v>
      </c>
      <c r="FD189" s="172">
        <f ca="1">(VLOOKUP(FD$72,INDIRECT($C$5&amp;"生成成长"),2))/((VLOOKUP($B189,INDIRECT($B$5&amp;"生成成长"),4))/(VLOOKUP(FD$72,INDIRECT($C$5&amp;"生成成长"),5))*(VLOOKUP($B$5,标准坦克设计!$B$24:$U$30,MATCH("对"&amp;LEFT($C$5,2)&amp;"输出",标准坦克设计!$B$23:$U$23,0)))*(VLOOKUP($B189,INDIRECT($B$5&amp;"生成成长"),3))*(VLOOKUP($B$5,标准坦克设计!$B$14:$K$20,9)/30))</f>
        <v>35.176162815231002</v>
      </c>
      <c r="FE189" s="172">
        <f ca="1">(VLOOKUP(FE$72,INDIRECT($C$5&amp;"生成成长"),2))/((VLOOKUP($B189,INDIRECT($B$5&amp;"生成成长"),4))/(VLOOKUP(FE$72,INDIRECT($C$5&amp;"生成成长"),5))*(VLOOKUP($B$5,标准坦克设计!$B$24:$U$30,MATCH("对"&amp;LEFT($C$5,2)&amp;"输出",标准坦克设计!$B$23:$U$23,0)))*(VLOOKUP($B189,INDIRECT($B$5&amp;"生成成长"),3))*(VLOOKUP($B$5,标准坦克设计!$B$14:$K$20,9)/30))</f>
        <v>37.554127655174575</v>
      </c>
      <c r="FF189" s="172">
        <f ca="1">(VLOOKUP(FF$72,INDIRECT($C$5&amp;"生成成长"),2))/((VLOOKUP($B189,INDIRECT($B$5&amp;"生成成长"),4))/(VLOOKUP(FF$72,INDIRECT($C$5&amp;"生成成长"),5))*(VLOOKUP($B$5,标准坦克设计!$B$24:$U$30,MATCH("对"&amp;LEFT($C$5,2)&amp;"输出",标准坦克设计!$B$23:$U$23,0)))*(VLOOKUP($B189,INDIRECT($B$5&amp;"生成成长"),3))*(VLOOKUP($B$5,标准坦克设计!$B$14:$K$20,9)/30))</f>
        <v>40.009862414411899</v>
      </c>
      <c r="FG189" s="172">
        <f ca="1">(VLOOKUP(FG$72,INDIRECT($C$5&amp;"生成成长"),2))/((VLOOKUP($B189,INDIRECT($B$5&amp;"生成成长"),4))/(VLOOKUP(FG$72,INDIRECT($C$5&amp;"生成成长"),5))*(VLOOKUP($B$5,标准坦克设计!$B$24:$U$30,MATCH("对"&amp;LEFT($C$5,2)&amp;"输出",标准坦克设计!$B$23:$U$23,0)))*(VLOOKUP($B189,INDIRECT($B$5&amp;"生成成长"),3))*(VLOOKUP($B$5,标准坦克设计!$B$14:$K$20,9)/30))</f>
        <v>42.543367092942965</v>
      </c>
      <c r="FH189" s="172">
        <f ca="1">(VLOOKUP(FH$72,INDIRECT($C$5&amp;"生成成长"),2))/((VLOOKUP($B189,INDIRECT($B$5&amp;"生成成长"),4))/(VLOOKUP(FH$72,INDIRECT($C$5&amp;"生成成长"),5))*(VLOOKUP($B$5,标准坦克设计!$B$24:$U$30,MATCH("对"&amp;LEFT($C$5,2)&amp;"输出",标准坦克设计!$B$23:$U$23,0)))*(VLOOKUP($B189,INDIRECT($B$5&amp;"生成成长"),3))*(VLOOKUP($B$5,标准坦克设计!$B$14:$K$20,9)/30))</f>
        <v>45.154641690767782</v>
      </c>
      <c r="FI189" s="172">
        <f ca="1">(VLOOKUP(FI$72,INDIRECT($C$5&amp;"生成成长"),2))/((VLOOKUP($B189,INDIRECT($B$5&amp;"生成成长"),4))/(VLOOKUP(FI$72,INDIRECT($C$5&amp;"生成成长"),5))*(VLOOKUP($B$5,标准坦克设计!$B$24:$U$30,MATCH("对"&amp;LEFT($C$5,2)&amp;"输出",标准坦克设计!$B$23:$U$23,0)))*(VLOOKUP($B189,INDIRECT($B$5&amp;"生成成长"),3))*(VLOOKUP($B$5,标准坦克设计!$B$14:$K$20,9)/30))</f>
        <v>47.843686207886364</v>
      </c>
      <c r="FJ189" s="172">
        <f ca="1">(VLOOKUP(FJ$72,INDIRECT($C$5&amp;"生成成长"),2))/((VLOOKUP($B189,INDIRECT($B$5&amp;"生成成长"),4))/(VLOOKUP(FJ$72,INDIRECT($C$5&amp;"生成成长"),5))*(VLOOKUP($B$5,标准坦克设计!$B$24:$U$30,MATCH("对"&amp;LEFT($C$5,2)&amp;"输出",标准坦克设计!$B$23:$U$23,0)))*(VLOOKUP($B189,INDIRECT($B$5&amp;"生成成长"),3))*(VLOOKUP($B$5,标准坦克设计!$B$14:$K$20,9)/30))</f>
        <v>50.610500644298682</v>
      </c>
      <c r="FK189" s="172">
        <f ca="1">(VLOOKUP(FK$72,INDIRECT($C$5&amp;"生成成长"),2))/((VLOOKUP($B189,INDIRECT($B$5&amp;"生成成长"),4))/(VLOOKUP(FK$72,INDIRECT($C$5&amp;"生成成长"),5))*(VLOOKUP($B$5,标准坦克设计!$B$24:$U$30,MATCH("对"&amp;LEFT($C$5,2)&amp;"输出",标准坦克设计!$B$23:$U$23,0)))*(VLOOKUP($B189,INDIRECT($B$5&amp;"生成成长"),3))*(VLOOKUP($B$5,标准坦克设计!$B$14:$K$20,9)/30))</f>
        <v>53.455085000004772</v>
      </c>
    </row>
    <row r="190" spans="1:167" x14ac:dyDescent="0.15">
      <c r="A190" s="170" t="str">
        <f t="shared" si="12"/>
        <v>T3高品质7级</v>
      </c>
      <c r="B190" s="171">
        <v>30307</v>
      </c>
      <c r="C190" s="172">
        <f ca="1">(VLOOKUP(C$72,INDIRECT($C$5&amp;"生成成长"),2))/((VLOOKUP($B190,INDIRECT($B$5&amp;"生成成长"),4))/(VLOOKUP(C$72,INDIRECT($C$5&amp;"生成成长"),5))*(VLOOKUP($B$5,标准坦克设计!$B$24:$U$30,MATCH("对"&amp;LEFT($C$5,2)&amp;"输出",标准坦克设计!$B$23:$U$23,0)))*(VLOOKUP($B190,INDIRECT($B$5&amp;"生成成长"),3))*(VLOOKUP($B$5,标准坦克设计!$B$14:$K$20,9)/30))</f>
        <v>2.0994912948412048</v>
      </c>
      <c r="D190" s="172">
        <f ca="1">(VLOOKUP(D$72,INDIRECT($C$5&amp;"生成成长"),2))/((VLOOKUP($B190,INDIRECT($B$5&amp;"生成成长"),4))/(VLOOKUP(D$72,INDIRECT($C$5&amp;"生成成长"),5))*(VLOOKUP($B$5,标准坦克设计!$B$24:$U$30,MATCH("对"&amp;LEFT($C$5,2)&amp;"输出",标准坦克设计!$B$23:$U$23,0)))*(VLOOKUP($B190,INDIRECT($B$5&amp;"生成成长"),3))*(VLOOKUP($B$5,标准坦克设计!$B$14:$K$20,9)/30))</f>
        <v>2.3589884188835777</v>
      </c>
      <c r="E190" s="172">
        <f ca="1">(VLOOKUP(E$72,INDIRECT($C$5&amp;"生成成长"),2))/((VLOOKUP($B190,INDIRECT($B$5&amp;"生成成长"),4))/(VLOOKUP(E$72,INDIRECT($C$5&amp;"生成成长"),5))*(VLOOKUP($B$5,标准坦克设计!$B$24:$U$30,MATCH("对"&amp;LEFT($C$5,2)&amp;"输出",标准坦克设计!$B$23:$U$23,0)))*(VLOOKUP($B190,INDIRECT($B$5&amp;"生成成长"),3))*(VLOOKUP($B$5,标准坦克设计!$B$14:$K$20,9)/30))</f>
        <v>2.6336018802488068</v>
      </c>
      <c r="F190" s="172">
        <f ca="1">(VLOOKUP(F$72,INDIRECT($C$5&amp;"生成成长"),2))/((VLOOKUP($B190,INDIRECT($B$5&amp;"生成成长"),4))/(VLOOKUP(F$72,INDIRECT($C$5&amp;"生成成长"),5))*(VLOOKUP($B$5,标准坦克设计!$B$24:$U$30,MATCH("对"&amp;LEFT($C$5,2)&amp;"输出",标准坦克设计!$B$23:$U$23,0)))*(VLOOKUP($B190,INDIRECT($B$5&amp;"生成成长"),3))*(VLOOKUP($B$5,标准坦克设计!$B$14:$K$20,9)/30))</f>
        <v>2.9233316789368931</v>
      </c>
      <c r="G190" s="172">
        <f ca="1">(VLOOKUP(G$72,INDIRECT($C$5&amp;"生成成长"),2))/((VLOOKUP($B190,INDIRECT($B$5&amp;"生成成长"),4))/(VLOOKUP(G$72,INDIRECT($C$5&amp;"生成成长"),5))*(VLOOKUP($B$5,标准坦克设计!$B$24:$U$30,MATCH("对"&amp;LEFT($C$5,2)&amp;"输出",标准坦克设计!$B$23:$U$23,0)))*(VLOOKUP($B190,INDIRECT($B$5&amp;"生成成长"),3))*(VLOOKUP($B$5,标准坦克设计!$B$14:$K$20,9)/30))</f>
        <v>3.228177814947836</v>
      </c>
      <c r="H190" s="172">
        <f ca="1">(VLOOKUP(H$72,INDIRECT($C$5&amp;"生成成长"),2))/((VLOOKUP($B190,INDIRECT($B$5&amp;"生成成长"),4))/(VLOOKUP(H$72,INDIRECT($C$5&amp;"生成成长"),5))*(VLOOKUP($B$5,标准坦克设计!$B$24:$U$30,MATCH("对"&amp;LEFT($C$5,2)&amp;"输出",标准坦克设计!$B$23:$U$23,0)))*(VLOOKUP($B190,INDIRECT($B$5&amp;"生成成长"),3))*(VLOOKUP($B$5,标准坦克设计!$B$14:$K$20,9)/30))</f>
        <v>2.8250754863383243</v>
      </c>
      <c r="I190" s="172">
        <f ca="1">(VLOOKUP(I$72,INDIRECT($C$5&amp;"生成成长"),2))/((VLOOKUP($B190,INDIRECT($B$5&amp;"生成成长"),4))/(VLOOKUP(I$72,INDIRECT($C$5&amp;"生成成长"),5))*(VLOOKUP($B$5,标准坦克设计!$B$24:$U$30,MATCH("对"&amp;LEFT($C$5,2)&amp;"输出",标准坦克设计!$B$23:$U$23,0)))*(VLOOKUP($B190,INDIRECT($B$5&amp;"生成成长"),3))*(VLOOKUP($B$5,标准坦克设计!$B$14:$K$20,9)/30))</f>
        <v>3.228177814947836</v>
      </c>
      <c r="J190" s="172">
        <f ca="1">(VLOOKUP(J$72,INDIRECT($C$5&amp;"生成成长"),2))/((VLOOKUP($B190,INDIRECT($B$5&amp;"生成成长"),4))/(VLOOKUP(J$72,INDIRECT($C$5&amp;"生成成长"),5))*(VLOOKUP($B$5,标准坦克设计!$B$24:$U$30,MATCH("对"&amp;LEFT($C$5,2)&amp;"输出",标准坦克设计!$B$23:$U$23,0)))*(VLOOKUP($B190,INDIRECT($B$5&amp;"生成成长"),3))*(VLOOKUP($B$5,标准坦克设计!$B$14:$K$20,9)/30))</f>
        <v>3.6581536321313157</v>
      </c>
      <c r="K190" s="172">
        <f ca="1">(VLOOKUP(K$72,INDIRECT($C$5&amp;"生成成长"),2))/((VLOOKUP($B190,INDIRECT($B$5&amp;"生成成长"),4))/(VLOOKUP(K$72,INDIRECT($C$5&amp;"生成成长"),5))*(VLOOKUP($B$5,标准坦克设计!$B$24:$U$30,MATCH("对"&amp;LEFT($C$5,2)&amp;"输出",标准坦克设计!$B$23:$U$23,0)))*(VLOOKUP($B190,INDIRECT($B$5&amp;"生成成长"),3))*(VLOOKUP($B$5,标准坦克设计!$B$14:$K$20,9)/30))</f>
        <v>4.1150029378887618</v>
      </c>
      <c r="L190" s="172">
        <f ca="1">(VLOOKUP(L$72,INDIRECT($C$5&amp;"生成成长"),2))/((VLOOKUP($B190,INDIRECT($B$5&amp;"生成成长"),4))/(VLOOKUP(L$72,INDIRECT($C$5&amp;"生成成长"),5))*(VLOOKUP($B$5,标准坦克设计!$B$24:$U$30,MATCH("对"&amp;LEFT($C$5,2)&amp;"输出",标准坦克设计!$B$23:$U$23,0)))*(VLOOKUP($B190,INDIRECT($B$5&amp;"生成成长"),3))*(VLOOKUP($B$5,标准坦克设计!$B$14:$K$20,9)/30))</f>
        <v>4.5987257322201742</v>
      </c>
      <c r="M190" s="172">
        <f ca="1">(VLOOKUP(M$72,INDIRECT($C$5&amp;"生成成长"),2))/((VLOOKUP($B190,INDIRECT($B$5&amp;"生成成长"),4))/(VLOOKUP(M$72,INDIRECT($C$5&amp;"生成成长"),5))*(VLOOKUP($B$5,标准坦克设计!$B$24:$U$30,MATCH("对"&amp;LEFT($C$5,2)&amp;"输出",标准坦克设计!$B$23:$U$23,0)))*(VLOOKUP($B190,INDIRECT($B$5&amp;"生成成长"),3))*(VLOOKUP($B$5,标准坦克设计!$B$14:$K$20,9)/30))</f>
        <v>5.1093220151255556</v>
      </c>
      <c r="N190" s="172">
        <f ca="1">(VLOOKUP(N$72,INDIRECT($C$5&amp;"生成成长"),2))/((VLOOKUP($B190,INDIRECT($B$5&amp;"生成成长"),4))/(VLOOKUP(N$72,INDIRECT($C$5&amp;"生成成长"),5))*(VLOOKUP($B$5,标准坦克设计!$B$24:$U$30,MATCH("对"&amp;LEFT($C$5,2)&amp;"输出",标准坦克设计!$B$23:$U$23,0)))*(VLOOKUP($B190,INDIRECT($B$5&amp;"生成成长"),3))*(VLOOKUP($B$5,标准坦克设计!$B$14:$K$20,9)/30))</f>
        <v>5.6467917866049042</v>
      </c>
      <c r="O190" s="172">
        <f ca="1">(VLOOKUP(O$72,INDIRECT($C$5&amp;"生成成长"),2))/((VLOOKUP($B190,INDIRECT($B$5&amp;"生成成长"),4))/(VLOOKUP(O$72,INDIRECT($C$5&amp;"生成成长"),5))*(VLOOKUP($B$5,标准坦克设计!$B$24:$U$30,MATCH("对"&amp;LEFT($C$5,2)&amp;"输出",标准坦克设计!$B$23:$U$23,0)))*(VLOOKUP($B190,INDIRECT($B$5&amp;"生成成长"),3))*(VLOOKUP($B$5,标准坦克设计!$B$14:$K$20,9)/30))</f>
        <v>4.2932497488207799</v>
      </c>
      <c r="P190" s="172">
        <f ca="1">(VLOOKUP(P$72,INDIRECT($C$5&amp;"生成成长"),2))/((VLOOKUP($B190,INDIRECT($B$5&amp;"生成成长"),4))/(VLOOKUP(P$72,INDIRECT($C$5&amp;"生成成长"),5))*(VLOOKUP($B$5,标准坦克设计!$B$24:$U$30,MATCH("对"&amp;LEFT($C$5,2)&amp;"输出",标准坦克设计!$B$23:$U$23,0)))*(VLOOKUP($B190,INDIRECT($B$5&amp;"生成成长"),3))*(VLOOKUP($B$5,标准坦克设计!$B$14:$K$20,9)/30))</f>
        <v>4.8506646876011192</v>
      </c>
      <c r="Q190" s="172">
        <f ca="1">(VLOOKUP(Q$72,INDIRECT($C$5&amp;"生成成长"),2))/((VLOOKUP($B190,INDIRECT($B$5&amp;"生成成长"),4))/(VLOOKUP(Q$72,INDIRECT($C$5&amp;"生成成长"),5))*(VLOOKUP($B$5,标准坦克设计!$B$24:$U$30,MATCH("对"&amp;LEFT($C$5,2)&amp;"输出",标准坦克设计!$B$23:$U$23,0)))*(VLOOKUP($B190,INDIRECT($B$5&amp;"生成成长"),3))*(VLOOKUP($B$5,标准坦克设计!$B$14:$K$20,9)/30))</f>
        <v>5.4420913853578856</v>
      </c>
      <c r="R190" s="172">
        <f ca="1">(VLOOKUP(R$72,INDIRECT($C$5&amp;"生成成长"),2))/((VLOOKUP($B190,INDIRECT($B$5&amp;"生成成长"),4))/(VLOOKUP(R$72,INDIRECT($C$5&amp;"生成成长"),5))*(VLOOKUP($B$5,标准坦克设计!$B$24:$U$30,MATCH("对"&amp;LEFT($C$5,2)&amp;"输出",标准坦克设计!$B$23:$U$23,0)))*(VLOOKUP($B190,INDIRECT($B$5&amp;"生成成长"),3))*(VLOOKUP($B$5,标准坦克设计!$B$14:$K$20,9)/30))</f>
        <v>6.0675298420910817</v>
      </c>
      <c r="S190" s="172">
        <f ca="1">(VLOOKUP(S$72,INDIRECT($C$5&amp;"生成成长"),2))/((VLOOKUP($B190,INDIRECT($B$5&amp;"生成成长"),4))/(VLOOKUP(S$72,INDIRECT($C$5&amp;"生成成长"),5))*(VLOOKUP($B$5,标准坦克设计!$B$24:$U$30,MATCH("对"&amp;LEFT($C$5,2)&amp;"输出",标准坦克设计!$B$23:$U$23,0)))*(VLOOKUP($B190,INDIRECT($B$5&amp;"生成成长"),3))*(VLOOKUP($B$5,标准坦克设计!$B$14:$K$20,9)/30))</f>
        <v>6.7269800578007031</v>
      </c>
      <c r="T190" s="172">
        <f ca="1">(VLOOKUP(T$72,INDIRECT($C$5&amp;"生成成长"),2))/((VLOOKUP($B190,INDIRECT($B$5&amp;"生成成长"),4))/(VLOOKUP(T$72,INDIRECT($C$5&amp;"生成成长"),5))*(VLOOKUP($B$5,标准坦克设计!$B$24:$U$30,MATCH("对"&amp;LEFT($C$5,2)&amp;"输出",标准坦克设计!$B$23:$U$23,0)))*(VLOOKUP($B190,INDIRECT($B$5&amp;"生成成长"),3))*(VLOOKUP($B$5,标准坦克设计!$B$14:$K$20,9)/30))</f>
        <v>7.4204420324867533</v>
      </c>
      <c r="U190" s="172">
        <f ca="1">(VLOOKUP(U$72,INDIRECT($C$5&amp;"生成成长"),2))/((VLOOKUP($B190,INDIRECT($B$5&amp;"生成成长"),4))/(VLOOKUP(U$72,INDIRECT($C$5&amp;"生成成长"),5))*(VLOOKUP($B$5,标准坦克设计!$B$24:$U$30,MATCH("对"&amp;LEFT($C$5,2)&amp;"输出",标准坦克设计!$B$23:$U$23,0)))*(VLOOKUP($B190,INDIRECT($B$5&amp;"生成成长"),3))*(VLOOKUP($B$5,标准坦克设计!$B$14:$K$20,9)/30))</f>
        <v>8.1479157661492305</v>
      </c>
      <c r="V190" s="172">
        <f ca="1">(VLOOKUP(V$72,INDIRECT($C$5&amp;"生成成长"),2))/((VLOOKUP($B190,INDIRECT($B$5&amp;"生成成长"),4))/(VLOOKUP(V$72,INDIRECT($C$5&amp;"生成成长"),5))*(VLOOKUP($B$5,标准坦克设计!$B$24:$U$30,MATCH("对"&amp;LEFT($C$5,2)&amp;"输出",标准坦克设计!$B$23:$U$23,0)))*(VLOOKUP($B190,INDIRECT($B$5&amp;"生成成长"),3))*(VLOOKUP($B$5,标准坦克设计!$B$14:$K$20,9)/30))</f>
        <v>8.9094012587881366</v>
      </c>
      <c r="W190" s="172">
        <f ca="1">(VLOOKUP(W$72,INDIRECT($C$5&amp;"生成成长"),2))/((VLOOKUP($B190,INDIRECT($B$5&amp;"生成成长"),4))/(VLOOKUP(W$72,INDIRECT($C$5&amp;"生成成长"),5))*(VLOOKUP($B$5,标准坦克设计!$B$24:$U$30,MATCH("对"&amp;LEFT($C$5,2)&amp;"输出",标准坦克设计!$B$23:$U$23,0)))*(VLOOKUP($B190,INDIRECT($B$5&amp;"生成成长"),3))*(VLOOKUP($B$5,标准坦克设计!$B$14:$K$20,9)/30))</f>
        <v>9.7048985104034688</v>
      </c>
      <c r="X190" s="172">
        <f ca="1">(VLOOKUP(X$72,INDIRECT($C$5&amp;"生成成长"),2))/((VLOOKUP($B190,INDIRECT($B$5&amp;"生成成长"),4))/(VLOOKUP(X$72,INDIRECT($C$5&amp;"生成成长"),5))*(VLOOKUP($B$5,标准坦克设计!$B$24:$U$30,MATCH("对"&amp;LEFT($C$5,2)&amp;"输出",标准坦克设计!$B$23:$U$23,0)))*(VLOOKUP($B190,INDIRECT($B$5&amp;"生成成长"),3))*(VLOOKUP($B$5,标准坦克设计!$B$14:$K$20,9)/30))</f>
        <v>7.0309863972937103</v>
      </c>
      <c r="Y190" s="172">
        <f ca="1">(VLOOKUP(Y$72,INDIRECT($C$5&amp;"生成成长"),2))/((VLOOKUP($B190,INDIRECT($B$5&amp;"生成成长"),4))/(VLOOKUP(Y$72,INDIRECT($C$5&amp;"生成成长"),5))*(VLOOKUP($B$5,标准坦克设计!$B$24:$U$30,MATCH("对"&amp;LEFT($C$5,2)&amp;"输出",标准坦克设计!$B$23:$U$23,0)))*(VLOOKUP($B190,INDIRECT($B$5&amp;"生成成长"),3))*(VLOOKUP($B$5,标准坦克设计!$B$14:$K$20,9)/30))</f>
        <v>7.820395124154004</v>
      </c>
      <c r="Z190" s="172">
        <f ca="1">(VLOOKUP(Z$72,INDIRECT($C$5&amp;"生成成长"),2))/((VLOOKUP($B190,INDIRECT($B$5&amp;"生成成长"),4))/(VLOOKUP(Z$72,INDIRECT($C$5&amp;"生成成长"),5))*(VLOOKUP($B$5,标准坦克设计!$B$24:$U$30,MATCH("对"&amp;LEFT($C$5,2)&amp;"输出",标准坦克设计!$B$23:$U$23,0)))*(VLOOKUP($B190,INDIRECT($B$5&amp;"生成成长"),3))*(VLOOKUP($B$5,标准坦克设计!$B$14:$K$20,9)/30))</f>
        <v>8.6517936769111188</v>
      </c>
      <c r="AA190" s="172">
        <f ca="1">(VLOOKUP(AA$72,INDIRECT($C$5&amp;"生成成长"),2))/((VLOOKUP($B190,INDIRECT($B$5&amp;"生成成长"),4))/(VLOOKUP(AA$72,INDIRECT($C$5&amp;"生成成长"),5))*(VLOOKUP($B$5,标准坦克设计!$B$24:$U$30,MATCH("对"&amp;LEFT($C$5,2)&amp;"输出",标准坦克设计!$B$23:$U$23,0)))*(VLOOKUP($B190,INDIRECT($B$5&amp;"生成成长"),3))*(VLOOKUP($B$5,标准坦克设计!$B$14:$K$20,9)/30))</f>
        <v>9.525182055565061</v>
      </c>
      <c r="AB190" s="172">
        <f ca="1">(VLOOKUP(AB$72,INDIRECT($C$5&amp;"生成成长"),2))/((VLOOKUP($B190,INDIRECT($B$5&amp;"生成成长"),4))/(VLOOKUP(AB$72,INDIRECT($C$5&amp;"生成成长"),5))*(VLOOKUP($B$5,标准坦克设计!$B$24:$U$30,MATCH("对"&amp;LEFT($C$5,2)&amp;"输出",标准坦克设计!$B$23:$U$23,0)))*(VLOOKUP($B190,INDIRECT($B$5&amp;"生成成长"),3))*(VLOOKUP($B$5,标准坦克设计!$B$14:$K$20,9)/30))</f>
        <v>10.440560260115827</v>
      </c>
      <c r="AC190" s="172">
        <f ca="1">(VLOOKUP(AC$72,INDIRECT($C$5&amp;"生成成长"),2))/((VLOOKUP($B190,INDIRECT($B$5&amp;"生成成长"),4))/(VLOOKUP(AC$72,INDIRECT($C$5&amp;"生成成长"),5))*(VLOOKUP($B$5,标准坦克设计!$B$24:$U$30,MATCH("对"&amp;LEFT($C$5,2)&amp;"输出",标准坦克设计!$B$23:$U$23,0)))*(VLOOKUP($B190,INDIRECT($B$5&amp;"生成成长"),3))*(VLOOKUP($B$5,标准坦克设计!$B$14:$K$20,9)/30))</f>
        <v>11.397928290563415</v>
      </c>
      <c r="AD190" s="172">
        <f ca="1">(VLOOKUP(AD$72,INDIRECT($C$5&amp;"生成成长"),2))/((VLOOKUP($B190,INDIRECT($B$5&amp;"生成成长"),4))/(VLOOKUP(AD$72,INDIRECT($C$5&amp;"生成成长"),5))*(VLOOKUP($B$5,标准坦克设计!$B$24:$U$30,MATCH("对"&amp;LEFT($C$5,2)&amp;"输出",标准坦克设计!$B$23:$U$23,0)))*(VLOOKUP($B190,INDIRECT($B$5&amp;"生成成长"),3))*(VLOOKUP($B$5,标准坦克设计!$B$14:$K$20,9)/30))</f>
        <v>12.397286146907831</v>
      </c>
      <c r="AE190" s="172">
        <f ca="1">(VLOOKUP(AE$72,INDIRECT($C$5&amp;"生成成长"),2))/((VLOOKUP($B190,INDIRECT($B$5&amp;"生成成长"),4))/(VLOOKUP(AE$72,INDIRECT($C$5&amp;"生成成长"),5))*(VLOOKUP($B$5,标准坦克设计!$B$24:$U$30,MATCH("对"&amp;LEFT($C$5,2)&amp;"输出",标准坦克设计!$B$23:$U$23,0)))*(VLOOKUP($B190,INDIRECT($B$5&amp;"生成成长"),3))*(VLOOKUP($B$5,标准坦克设计!$B$14:$K$20,9)/30))</f>
        <v>13.438633829149065</v>
      </c>
      <c r="AF190" s="172">
        <f ca="1">(VLOOKUP(AF$72,INDIRECT($C$5&amp;"生成成长"),2))/((VLOOKUP($B190,INDIRECT($B$5&amp;"生成成长"),4))/(VLOOKUP(AF$72,INDIRECT($C$5&amp;"生成成长"),5))*(VLOOKUP($B$5,标准坦克设计!$B$24:$U$30,MATCH("对"&amp;LEFT($C$5,2)&amp;"输出",标准坦克设计!$B$23:$U$23,0)))*(VLOOKUP($B190,INDIRECT($B$5&amp;"生成成长"),3))*(VLOOKUP($B$5,标准坦克设计!$B$14:$K$20,9)/30))</f>
        <v>14.521971337287129</v>
      </c>
      <c r="AG190" s="172">
        <f ca="1">(VLOOKUP(AG$72,INDIRECT($C$5&amp;"生成成长"),2))/((VLOOKUP($B190,INDIRECT($B$5&amp;"生成成长"),4))/(VLOOKUP(AG$72,INDIRECT($C$5&amp;"生成成长"),5))*(VLOOKUP($B$5,标准坦克设计!$B$24:$U$30,MATCH("对"&amp;LEFT($C$5,2)&amp;"输出",标准坦克设计!$B$23:$U$23,0)))*(VLOOKUP($B190,INDIRECT($B$5&amp;"生成成长"),3))*(VLOOKUP($B$5,标准坦克设计!$B$14:$K$20,9)/30))</f>
        <v>15.647298671322011</v>
      </c>
      <c r="AH190" s="172">
        <f ca="1">(VLOOKUP(AH$72,INDIRECT($C$5&amp;"生成成长"),2))/((VLOOKUP($B190,INDIRECT($B$5&amp;"生成成长"),4))/(VLOOKUP(AH$72,INDIRECT($C$5&amp;"生成成长"),5))*(VLOOKUP($B$5,标准坦克设计!$B$24:$U$30,MATCH("对"&amp;LEFT($C$5,2)&amp;"输出",标准坦克设计!$B$23:$U$23,0)))*(VLOOKUP($B190,INDIRECT($B$5&amp;"生成成长"),3))*(VLOOKUP($B$5,标准坦克设计!$B$14:$K$20,9)/30))</f>
        <v>16.814615831253725</v>
      </c>
      <c r="AI190" s="172">
        <f ca="1">(VLOOKUP(AI$72,INDIRECT($C$5&amp;"生成成长"),2))/((VLOOKUP($B190,INDIRECT($B$5&amp;"生成成长"),4))/(VLOOKUP(AI$72,INDIRECT($C$5&amp;"生成成长"),5))*(VLOOKUP($B$5,标准坦克设计!$B$24:$U$30,MATCH("对"&amp;LEFT($C$5,2)&amp;"输出",标准坦克设计!$B$23:$U$23,0)))*(VLOOKUP($B190,INDIRECT($B$5&amp;"生成成长"),3))*(VLOOKUP($B$5,标准坦克设计!$B$14:$K$20,9)/30))</f>
        <v>11.89235849049852</v>
      </c>
      <c r="AJ190" s="172">
        <f ca="1">(VLOOKUP(AJ$72,INDIRECT($C$5&amp;"生成成长"),2))/((VLOOKUP($B190,INDIRECT($B$5&amp;"生成成长"),4))/(VLOOKUP(AJ$72,INDIRECT($C$5&amp;"生成成长"),5))*(VLOOKUP($B$5,标准坦克设计!$B$24:$U$30,MATCH("对"&amp;LEFT($C$5,2)&amp;"输出",标准坦克设计!$B$23:$U$23,0)))*(VLOOKUP($B190,INDIRECT($B$5&amp;"生成成长"),3))*(VLOOKUP($B$5,标准坦克设计!$B$14:$K$20,9)/30))</f>
        <v>13.017055977144951</v>
      </c>
      <c r="AK190" s="172">
        <f ca="1">(VLOOKUP(AK$72,INDIRECT($C$5&amp;"生成成长"),2))/((VLOOKUP($B190,INDIRECT($B$5&amp;"生成成长"),4))/(VLOOKUP(AK$72,INDIRECT($C$5&amp;"生成成长"),5))*(VLOOKUP($B$5,标准坦克设计!$B$24:$U$30,MATCH("对"&amp;LEFT($C$5,2)&amp;"输出",标准坦克设计!$B$23:$U$23,0)))*(VLOOKUP($B190,INDIRECT($B$5&amp;"生成成长"),3))*(VLOOKUP($B$5,标准坦克设计!$B$14:$K$20,9)/30))</f>
        <v>14.192561153126544</v>
      </c>
      <c r="AL190" s="172">
        <f ca="1">(VLOOKUP(AL$72,INDIRECT($C$5&amp;"生成成长"),2))/((VLOOKUP($B190,INDIRECT($B$5&amp;"生成成长"),4))/(VLOOKUP(AL$72,INDIRECT($C$5&amp;"生成成长"),5))*(VLOOKUP($B$5,标准坦克设计!$B$24:$U$30,MATCH("对"&amp;LEFT($C$5,2)&amp;"输出",标准坦克设计!$B$23:$U$23,0)))*(VLOOKUP($B190,INDIRECT($B$5&amp;"生成成长"),3))*(VLOOKUP($B$5,标准坦克设计!$B$14:$K$20,9)/30))</f>
        <v>15.418874018443294</v>
      </c>
      <c r="AM190" s="172">
        <f ca="1">(VLOOKUP(AM$72,INDIRECT($C$5&amp;"生成成长"),2))/((VLOOKUP($B190,INDIRECT($B$5&amp;"生成成长"),4))/(VLOOKUP(AM$72,INDIRECT($C$5&amp;"生成成长"),5))*(VLOOKUP($B$5,标准坦克设计!$B$24:$U$30,MATCH("对"&amp;LEFT($C$5,2)&amp;"输出",标准坦克设计!$B$23:$U$23,0)))*(VLOOKUP($B190,INDIRECT($B$5&amp;"生成成长"),3))*(VLOOKUP($B$5,标准坦克设计!$B$14:$K$20,9)/30))</f>
        <v>16.695994573095195</v>
      </c>
      <c r="AN190" s="172">
        <f ca="1">(VLOOKUP(AN$72,INDIRECT($C$5&amp;"生成成长"),2))/((VLOOKUP($B190,INDIRECT($B$5&amp;"生成成长"),4))/(VLOOKUP(AN$72,INDIRECT($C$5&amp;"生成成长"),5))*(VLOOKUP($B$5,标准坦克设计!$B$24:$U$30,MATCH("对"&amp;LEFT($C$5,2)&amp;"输出",标准坦克设计!$B$23:$U$23,0)))*(VLOOKUP($B190,INDIRECT($B$5&amp;"生成成长"),3))*(VLOOKUP($B$5,标准坦克设计!$B$14:$K$20,9)/30))</f>
        <v>18.023922817082259</v>
      </c>
      <c r="AO190" s="172">
        <f ca="1">(VLOOKUP(AO$72,INDIRECT($C$5&amp;"生成成长"),2))/((VLOOKUP($B190,INDIRECT($B$5&amp;"生成成长"),4))/(VLOOKUP(AO$72,INDIRECT($C$5&amp;"生成成长"),5))*(VLOOKUP($B$5,标准坦克设计!$B$24:$U$30,MATCH("对"&amp;LEFT($C$5,2)&amp;"输出",标准坦克设计!$B$23:$U$23,0)))*(VLOOKUP($B190,INDIRECT($B$5&amp;"生成成长"),3))*(VLOOKUP($B$5,标准坦克设计!$B$14:$K$20,9)/30))</f>
        <v>19.402658750404477</v>
      </c>
      <c r="AP190" s="172">
        <f ca="1">(VLOOKUP(AP$72,INDIRECT($C$5&amp;"生成成长"),2))/((VLOOKUP($B190,INDIRECT($B$5&amp;"生成成长"),4))/(VLOOKUP(AP$72,INDIRECT($C$5&amp;"生成成长"),5))*(VLOOKUP($B$5,标准坦克设计!$B$24:$U$30,MATCH("对"&amp;LEFT($C$5,2)&amp;"输出",标准坦克设计!$B$23:$U$23,0)))*(VLOOKUP($B190,INDIRECT($B$5&amp;"生成成长"),3))*(VLOOKUP($B$5,标准坦克设计!$B$14:$K$20,9)/30))</f>
        <v>20.83220237306185</v>
      </c>
      <c r="AQ190" s="172">
        <f ca="1">(VLOOKUP(AQ$72,INDIRECT($C$5&amp;"生成成长"),2))/((VLOOKUP($B190,INDIRECT($B$5&amp;"生成成长"),4))/(VLOOKUP(AQ$72,INDIRECT($C$5&amp;"生成成长"),5))*(VLOOKUP($B$5,标准坦克设计!$B$24:$U$30,MATCH("对"&amp;LEFT($C$5,2)&amp;"输出",标准坦克设计!$B$23:$U$23,0)))*(VLOOKUP($B190,INDIRECT($B$5&amp;"生成成长"),3))*(VLOOKUP($B$5,标准坦克设计!$B$14:$K$20,9)/30))</f>
        <v>22.312553685054382</v>
      </c>
      <c r="AR190" s="172">
        <f ca="1">(VLOOKUP(AR$72,INDIRECT($C$5&amp;"生成成长"),2))/((VLOOKUP($B190,INDIRECT($B$5&amp;"生成成长"),4))/(VLOOKUP(AR$72,INDIRECT($C$5&amp;"生成成长"),5))*(VLOOKUP($B$5,标准坦克设计!$B$24:$U$30,MATCH("对"&amp;LEFT($C$5,2)&amp;"输出",标准坦克设计!$B$23:$U$23,0)))*(VLOOKUP($B190,INDIRECT($B$5&amp;"生成成长"),3))*(VLOOKUP($B$5,标准坦克设计!$B$14:$K$20,9)/30))</f>
        <v>23.843712686382077</v>
      </c>
      <c r="AS190" s="172">
        <f ca="1">(VLOOKUP(AS$72,INDIRECT($C$5&amp;"生成成长"),2))/((VLOOKUP($B190,INDIRECT($B$5&amp;"生成成长"),4))/(VLOOKUP(AS$72,INDIRECT($C$5&amp;"生成成长"),5))*(VLOOKUP($B$5,标准坦克设计!$B$24:$U$30,MATCH("对"&amp;LEFT($C$5,2)&amp;"输出",标准坦克设计!$B$23:$U$23,0)))*(VLOOKUP($B190,INDIRECT($B$5&amp;"生成成长"),3))*(VLOOKUP($B$5,标准坦克设计!$B$14:$K$20,9)/30))</f>
        <v>25.425679377044926</v>
      </c>
      <c r="AT190" s="172">
        <f ca="1">(VLOOKUP(AT$72,INDIRECT($C$5&amp;"生成成长"),2))/((VLOOKUP($B190,INDIRECT($B$5&amp;"生成成长"),4))/(VLOOKUP(AT$72,INDIRECT($C$5&amp;"生成成长"),5))*(VLOOKUP($B$5,标准坦克设计!$B$24:$U$30,MATCH("对"&amp;LEFT($C$5,2)&amp;"输出",标准坦克设计!$B$23:$U$23,0)))*(VLOOKUP($B190,INDIRECT($B$5&amp;"生成成长"),3))*(VLOOKUP($B$5,标准坦克设计!$B$14:$K$20,9)/30))</f>
        <v>27.05845375704293</v>
      </c>
      <c r="AU190" s="172">
        <f ca="1">(VLOOKUP(AU$72,INDIRECT($C$5&amp;"生成成长"),2))/((VLOOKUP($B190,INDIRECT($B$5&amp;"生成成长"),4))/(VLOOKUP(AU$72,INDIRECT($C$5&amp;"生成成长"),5))*(VLOOKUP($B$5,标准坦克设计!$B$24:$U$30,MATCH("对"&amp;LEFT($C$5,2)&amp;"输出",标准坦克设计!$B$23:$U$23,0)))*(VLOOKUP($B190,INDIRECT($B$5&amp;"生成成长"),3))*(VLOOKUP($B$5,标准坦克设计!$B$14:$K$20,9)/30))</f>
        <v>28.742035826376092</v>
      </c>
      <c r="AV190" s="172">
        <f ca="1">(VLOOKUP(AV$72,INDIRECT($C$5&amp;"生成成长"),2))/((VLOOKUP($B190,INDIRECT($B$5&amp;"生成成长"),4))/(VLOOKUP(AV$72,INDIRECT($C$5&amp;"生成成长"),5))*(VLOOKUP($B$5,标准坦克设计!$B$24:$U$30,MATCH("对"&amp;LEFT($C$5,2)&amp;"输出",标准坦克设计!$B$23:$U$23,0)))*(VLOOKUP($B190,INDIRECT($B$5&amp;"生成成长"),3))*(VLOOKUP($B$5,标准坦克设计!$B$14:$K$20,9)/30))</f>
        <v>2.9233316789368931</v>
      </c>
      <c r="AW190" s="172">
        <f ca="1">(VLOOKUP(AW$72,INDIRECT($C$5&amp;"生成成长"),2))/((VLOOKUP($B190,INDIRECT($B$5&amp;"生成成长"),4))/(VLOOKUP(AW$72,INDIRECT($C$5&amp;"生成成长"),5))*(VLOOKUP($B$5,标准坦克设计!$B$24:$U$30,MATCH("对"&amp;LEFT($C$5,2)&amp;"输出",标准坦克设计!$B$23:$U$23,0)))*(VLOOKUP($B190,INDIRECT($B$5&amp;"生成成长"),3))*(VLOOKUP($B$5,标准坦克设计!$B$14:$K$20,9)/30))</f>
        <v>3.3331523796898965</v>
      </c>
      <c r="AX190" s="172">
        <f ca="1">(VLOOKUP(AX$72,INDIRECT($C$5&amp;"生成成长"),2))/((VLOOKUP($B190,INDIRECT($B$5&amp;"生成成长"),4))/(VLOOKUP(AX$72,INDIRECT($C$5&amp;"生成成长"),5))*(VLOOKUP($B$5,标准坦克设计!$B$24:$U$30,MATCH("对"&amp;LEFT($C$5,2)&amp;"输出",标准坦克设计!$B$23:$U$23,0)))*(VLOOKUP($B190,INDIRECT($B$5&amp;"生成成长"),3))*(VLOOKUP($B$5,标准坦克设计!$B$14:$K$20,9)/30))</f>
        <v>3.7698465690168663</v>
      </c>
      <c r="AY190" s="172">
        <f ca="1">(VLOOKUP(AY$72,INDIRECT($C$5&amp;"生成成长"),2))/((VLOOKUP($B190,INDIRECT($B$5&amp;"生成成长"),4))/(VLOOKUP(AY$72,INDIRECT($C$5&amp;"生成成长"),5))*(VLOOKUP($B$5,标准坦克设计!$B$24:$U$30,MATCH("对"&amp;LEFT($C$5,2)&amp;"输出",标准坦克设计!$B$23:$U$23,0)))*(VLOOKUP($B190,INDIRECT($B$5&amp;"生成成长"),3))*(VLOOKUP($B$5,标准坦克设计!$B$14:$K$20,9)/30))</f>
        <v>4.2334142469178051</v>
      </c>
      <c r="AZ190" s="172">
        <f ca="1">(VLOOKUP(AZ$72,INDIRECT($C$5&amp;"生成成长"),2))/((VLOOKUP($B190,INDIRECT($B$5&amp;"生成成长"),4))/(VLOOKUP(AZ$72,INDIRECT($C$5&amp;"生成成长"),5))*(VLOOKUP($B$5,标准坦克设计!$B$24:$U$30,MATCH("对"&amp;LEFT($C$5,2)&amp;"输出",标准坦克设计!$B$23:$U$23,0)))*(VLOOKUP($B190,INDIRECT($B$5&amp;"生成成长"),3))*(VLOOKUP($B$5,标准坦克设计!$B$14:$K$20,9)/30))</f>
        <v>4.7238554133927106</v>
      </c>
      <c r="BA190" s="172">
        <f ca="1">(VLOOKUP(BA$72,INDIRECT($C$5&amp;"生成成长"),2))/((VLOOKUP($B190,INDIRECT($B$5&amp;"生成成长"),4))/(VLOOKUP(BA$72,INDIRECT($C$5&amp;"生成成长"),5))*(VLOOKUP($B$5,标准坦克设计!$B$24:$U$30,MATCH("对"&amp;LEFT($C$5,2)&amp;"输出",标准坦克设计!$B$23:$U$23,0)))*(VLOOKUP($B190,INDIRECT($B$5&amp;"生成成长"),3))*(VLOOKUP($B$5,标准坦克设计!$B$14:$K$20,9)/30))</f>
        <v>5.2411700684415825</v>
      </c>
      <c r="BB190" s="172">
        <f ca="1">(VLOOKUP(BB$72,INDIRECT($C$5&amp;"生成成长"),2))/((VLOOKUP($B190,INDIRECT($B$5&amp;"生成成长"),4))/(VLOOKUP(BB$72,INDIRECT($C$5&amp;"生成成长"),5))*(VLOOKUP($B$5,标准坦克设计!$B$24:$U$30,MATCH("对"&amp;LEFT($C$5,2)&amp;"输出",标准坦克设计!$B$23:$U$23,0)))*(VLOOKUP($B190,INDIRECT($B$5&amp;"生成成长"),3))*(VLOOKUP($B$5,标准坦克设计!$B$14:$K$20,9)/30))</f>
        <v>5.7853582120644234</v>
      </c>
      <c r="BC190" s="172">
        <f ca="1">(VLOOKUP(BC$72,INDIRECT($C$5&amp;"生成成长"),2))/((VLOOKUP($B190,INDIRECT($B$5&amp;"生成成长"),4))/(VLOOKUP(BC$72,INDIRECT($C$5&amp;"生成成长"),5))*(VLOOKUP($B$5,标准坦克设计!$B$24:$U$30,MATCH("对"&amp;LEFT($C$5,2)&amp;"输出",标准坦克设计!$B$23:$U$23,0)))*(VLOOKUP($B190,INDIRECT($B$5&amp;"生成成长"),3))*(VLOOKUP($B$5,标准坦克设计!$B$14:$K$20,9)/30))</f>
        <v>6.3564198442612314</v>
      </c>
      <c r="BD190" s="172">
        <f ca="1">(VLOOKUP(BD$72,INDIRECT($C$5&amp;"生成成长"),2))/((VLOOKUP($B190,INDIRECT($B$5&amp;"生成成长"),4))/(VLOOKUP(BD$72,INDIRECT($C$5&amp;"生成成长"),5))*(VLOOKUP($B$5,标准坦克设计!$B$24:$U$30,MATCH("对"&amp;LEFT($C$5,2)&amp;"输出",标准坦克设计!$B$23:$U$23,0)))*(VLOOKUP($B190,INDIRECT($B$5&amp;"生成成长"),3))*(VLOOKUP($B$5,标准坦克设计!$B$14:$K$20,9)/30))</f>
        <v>7.0309863972937103</v>
      </c>
      <c r="BE190" s="172">
        <f ca="1">(VLOOKUP(BE$72,INDIRECT($C$5&amp;"生成成长"),2))/((VLOOKUP($B190,INDIRECT($B$5&amp;"生成成长"),4))/(VLOOKUP(BE$72,INDIRECT($C$5&amp;"生成成长"),5))*(VLOOKUP($B$5,标准坦克设计!$B$24:$U$30,MATCH("对"&amp;LEFT($C$5,2)&amp;"输出",标准坦克设计!$B$23:$U$23,0)))*(VLOOKUP($B190,INDIRECT($B$5&amp;"生成成长"),3))*(VLOOKUP($B$5,标准坦克设计!$B$14:$K$20,9)/30))</f>
        <v>7.7395647093026163</v>
      </c>
      <c r="BF190" s="172">
        <f ca="1">(VLOOKUP(BF$72,INDIRECT($C$5&amp;"生成成长"),2))/((VLOOKUP($B190,INDIRECT($B$5&amp;"生成成长"),4))/(VLOOKUP(BF$72,INDIRECT($C$5&amp;"生成成长"),5))*(VLOOKUP($B$5,标准坦克设计!$B$24:$U$30,MATCH("对"&amp;LEFT($C$5,2)&amp;"输出",标准坦克设计!$B$23:$U$23,0)))*(VLOOKUP($B190,INDIRECT($B$5&amp;"生成成长"),3))*(VLOOKUP($B$5,标准坦克设计!$B$14:$K$20,9)/30))</f>
        <v>8.4821547802879511</v>
      </c>
      <c r="BG190" s="172">
        <f ca="1">(VLOOKUP(BG$72,INDIRECT($C$5&amp;"生成成长"),2))/((VLOOKUP($B190,INDIRECT($B$5&amp;"生成成长"),4))/(VLOOKUP(BG$72,INDIRECT($C$5&amp;"生成成长"),5))*(VLOOKUP($B$5,标准坦克设计!$B$24:$U$30,MATCH("对"&amp;LEFT($C$5,2)&amp;"输出",标准坦克设计!$B$23:$U$23,0)))*(VLOOKUP($B190,INDIRECT($B$5&amp;"生成成长"),3))*(VLOOKUP($B$5,标准坦克设计!$B$14:$K$20,9)/30))</f>
        <v>9.2587566102497121</v>
      </c>
      <c r="BH190" s="172">
        <f ca="1">(VLOOKUP(BH$72,INDIRECT($C$5&amp;"生成成长"),2))/((VLOOKUP($B190,INDIRECT($B$5&amp;"生成成长"),4))/(VLOOKUP(BH$72,INDIRECT($C$5&amp;"生成成长"),5))*(VLOOKUP($B$5,标准坦克设计!$B$24:$U$30,MATCH("对"&amp;LEFT($C$5,2)&amp;"输出",标准坦克设计!$B$23:$U$23,0)))*(VLOOKUP($B190,INDIRECT($B$5&amp;"生成成长"),3))*(VLOOKUP($B$5,标准坦克设计!$B$14:$K$20,9)/30))</f>
        <v>4.4752756440835109</v>
      </c>
      <c r="BI190" s="172">
        <f ca="1">(VLOOKUP(BI$72,INDIRECT($C$5&amp;"生成成长"),2))/((VLOOKUP($B190,INDIRECT($B$5&amp;"生成成长"),4))/(VLOOKUP(BI$72,INDIRECT($C$5&amp;"生成成长"),5))*(VLOOKUP($B$5,标准坦克设计!$B$24:$U$30,MATCH("对"&amp;LEFT($C$5,2)&amp;"输出",标准坦克设计!$B$23:$U$23,0)))*(VLOOKUP($B190,INDIRECT($B$5&amp;"生成成长"),3))*(VLOOKUP($B$5,标准坦克设计!$B$14:$K$20,9)/30))</f>
        <v>5.0440278358559949</v>
      </c>
      <c r="BJ190" s="172">
        <f ca="1">(VLOOKUP(BJ$72,INDIRECT($C$5&amp;"生成成长"),2))/((VLOOKUP($B190,INDIRECT($B$5&amp;"生成成长"),4))/(VLOOKUP(BJ$72,INDIRECT($C$5&amp;"生成成长"),5))*(VLOOKUP($B$5,标准坦克设计!$B$24:$U$30,MATCH("对"&amp;LEFT($C$5,2)&amp;"输出",标准坦克设计!$B$23:$U$23,0)))*(VLOOKUP($B190,INDIRECT($B$5&amp;"生成成长"),3))*(VLOOKUP($B$5,标准坦克设计!$B$14:$K$20,9)/30))</f>
        <v>5.6467917866049042</v>
      </c>
      <c r="BK190" s="172">
        <f ca="1">(VLOOKUP(BK$72,INDIRECT($C$5&amp;"生成成长"),2))/((VLOOKUP($B190,INDIRECT($B$5&amp;"生成成长"),4))/(VLOOKUP(BK$72,INDIRECT($C$5&amp;"生成成长"),5))*(VLOOKUP($B$5,标准坦克设计!$B$24:$U$30,MATCH("对"&amp;LEFT($C$5,2)&amp;"输出",标准坦克设计!$B$23:$U$23,0)))*(VLOOKUP($B190,INDIRECT($B$5&amp;"生成成长"),3))*(VLOOKUP($B$5,标准坦克设计!$B$14:$K$20,9)/30))</f>
        <v>6.2835674963302415</v>
      </c>
      <c r="BL190" s="172">
        <f ca="1">(VLOOKUP(BL$72,INDIRECT($C$5&amp;"生成成长"),2))/((VLOOKUP($B190,INDIRECT($B$5&amp;"生成成长"),4))/(VLOOKUP(BL$72,INDIRECT($C$5&amp;"生成成长"),5))*(VLOOKUP($B$5,标准坦克设计!$B$24:$U$30,MATCH("对"&amp;LEFT($C$5,2)&amp;"输出",标准坦克设计!$B$23:$U$23,0)))*(VLOOKUP($B190,INDIRECT($B$5&amp;"生成成长"),3))*(VLOOKUP($B$5,标准坦克设计!$B$14:$K$20,9)/30))</f>
        <v>6.9543549650320058</v>
      </c>
      <c r="BM190" s="172">
        <f ca="1">(VLOOKUP(BM$72,INDIRECT($C$5&amp;"生成成长"),2))/((VLOOKUP($B190,INDIRECT($B$5&amp;"生成成长"),4))/(VLOOKUP(BM$72,INDIRECT($C$5&amp;"生成成长"),5))*(VLOOKUP($B$5,标准坦克设计!$B$24:$U$30,MATCH("对"&amp;LEFT($C$5,2)&amp;"输出",标准坦克设计!$B$23:$U$23,0)))*(VLOOKUP($B190,INDIRECT($B$5&amp;"生成成长"),3))*(VLOOKUP($B$5,标准坦克设计!$B$14:$K$20,9)/30))</f>
        <v>7.659154192710198</v>
      </c>
      <c r="BN190" s="172">
        <f ca="1">(VLOOKUP(BN$72,INDIRECT($C$5&amp;"生成成长"),2))/((VLOOKUP($B190,INDIRECT($B$5&amp;"生成成长"),4))/(VLOOKUP(BN$72,INDIRECT($C$5&amp;"生成成长"),5))*(VLOOKUP($B$5,标准坦克设计!$B$24:$U$30,MATCH("对"&amp;LEFT($C$5,2)&amp;"输出",标准坦克设计!$B$23:$U$23,0)))*(VLOOKUP($B190,INDIRECT($B$5&amp;"生成成长"),3))*(VLOOKUP($B$5,标准坦克设计!$B$14:$K$20,9)/30))</f>
        <v>8.3979651793648191</v>
      </c>
      <c r="BO190" s="172">
        <f ca="1">(VLOOKUP(BO$72,INDIRECT($C$5&amp;"生成成长"),2))/((VLOOKUP($B190,INDIRECT($B$5&amp;"生成成长"),4))/(VLOOKUP(BO$72,INDIRECT($C$5&amp;"生成成长"),5))*(VLOOKUP($B$5,标准坦克设计!$B$24:$U$30,MATCH("对"&amp;LEFT($C$5,2)&amp;"输出",标准坦克设计!$B$23:$U$23,0)))*(VLOOKUP($B190,INDIRECT($B$5&amp;"生成成长"),3))*(VLOOKUP($B$5,标准坦克设计!$B$14:$K$20,9)/30))</f>
        <v>9.1707879249958655</v>
      </c>
      <c r="BP190" s="172">
        <f ca="1">(VLOOKUP(BP$72,INDIRECT($C$5&amp;"生成成长"),2))/((VLOOKUP($B190,INDIRECT($B$5&amp;"生成成长"),4))/(VLOOKUP(BP$72,INDIRECT($C$5&amp;"生成成长"),5))*(VLOOKUP($B$5,标准坦克设计!$B$24:$U$30,MATCH("对"&amp;LEFT($C$5,2)&amp;"输出",标准坦克设计!$B$23:$U$23,0)))*(VLOOKUP($B190,INDIRECT($B$5&amp;"生成成长"),3))*(VLOOKUP($B$5,标准坦克设计!$B$14:$K$20,9)/30))</f>
        <v>9.9776224296033398</v>
      </c>
      <c r="BQ190" s="172">
        <f ca="1">(VLOOKUP(BQ$72,INDIRECT($C$5&amp;"生成成长"),2))/((VLOOKUP($B190,INDIRECT($B$5&amp;"生成成长"),4))/(VLOOKUP(BQ$72,INDIRECT($C$5&amp;"生成成长"),5))*(VLOOKUP($B$5,标准坦克设计!$B$24:$U$30,MATCH("对"&amp;LEFT($C$5,2)&amp;"输出",标准坦克设计!$B$23:$U$23,0)))*(VLOOKUP($B190,INDIRECT($B$5&amp;"生成成长"),3))*(VLOOKUP($B$5,标准坦克设计!$B$14:$K$20,9)/30))</f>
        <v>10.818468693187244</v>
      </c>
      <c r="BR190" s="172">
        <f ca="1">(VLOOKUP(BR$72,INDIRECT($C$5&amp;"生成成长"),2))/((VLOOKUP($B190,INDIRECT($B$5&amp;"生成成长"),4))/(VLOOKUP(BR$72,INDIRECT($C$5&amp;"生成成长"),5))*(VLOOKUP($B$5,标准坦克设计!$B$24:$U$30,MATCH("对"&amp;LEFT($C$5,2)&amp;"输出",标准坦克设计!$B$23:$U$23,0)))*(VLOOKUP($B190,INDIRECT($B$5&amp;"生成成长"),3))*(VLOOKUP($B$5,标准坦克设计!$B$14:$K$20,9)/30))</f>
        <v>11.792632653993564</v>
      </c>
      <c r="BS190" s="172">
        <f ca="1">(VLOOKUP(BS$72,INDIRECT($C$5&amp;"生成成长"),2))/((VLOOKUP($B190,INDIRECT($B$5&amp;"生成成长"),4))/(VLOOKUP(BS$72,INDIRECT($C$5&amp;"生成成长"),5))*(VLOOKUP($B$5,标准坦克设计!$B$24:$U$30,MATCH("对"&amp;LEFT($C$5,2)&amp;"输出",标准坦克设计!$B$23:$U$23,0)))*(VLOOKUP($B190,INDIRECT($B$5&amp;"生成成长"),3))*(VLOOKUP($B$5,标准坦克设计!$B$14:$K$20,9)/30))</f>
        <v>12.808786440696709</v>
      </c>
      <c r="BT190" s="172">
        <f ca="1">(VLOOKUP(BT$72,INDIRECT($C$5&amp;"生成成长"),2))/((VLOOKUP($B190,INDIRECT($B$5&amp;"生成成长"),4))/(VLOOKUP(BT$72,INDIRECT($C$5&amp;"生成成长"),5))*(VLOOKUP($B$5,标准坦克设计!$B$24:$U$30,MATCH("对"&amp;LEFT($C$5,2)&amp;"输出",标准坦克设计!$B$23:$U$23,0)))*(VLOOKUP($B190,INDIRECT($B$5&amp;"生成成长"),3))*(VLOOKUP($B$5,标准坦克设计!$B$14:$K$20,9)/30))</f>
        <v>13.866930053296672</v>
      </c>
      <c r="BU190" s="172">
        <f ca="1">(VLOOKUP(BU$72,INDIRECT($C$5&amp;"生成成长"),2))/((VLOOKUP($B190,INDIRECT($B$5&amp;"生成成长"),4))/(VLOOKUP(BU$72,INDIRECT($C$5&amp;"生成成长"),5))*(VLOOKUP($B$5,标准坦克设计!$B$24:$U$30,MATCH("对"&amp;LEFT($C$5,2)&amp;"输出",标准坦克设计!$B$23:$U$23,0)))*(VLOOKUP($B190,INDIRECT($B$5&amp;"生成成长"),3))*(VLOOKUP($B$5,标准坦克设计!$B$14:$K$20,9)/30))</f>
        <v>14.967063491793464</v>
      </c>
      <c r="BV190" s="172">
        <f ca="1">(VLOOKUP(BV$72,INDIRECT($C$5&amp;"生成成长"),2))/((VLOOKUP($B190,INDIRECT($B$5&amp;"生成成长"),4))/(VLOOKUP(BV$72,INDIRECT($C$5&amp;"生成成长"),5))*(VLOOKUP($B$5,标准坦克设计!$B$24:$U$30,MATCH("对"&amp;LEFT($C$5,2)&amp;"输出",标准坦克设计!$B$23:$U$23,0)))*(VLOOKUP($B190,INDIRECT($B$5&amp;"生成成长"),3))*(VLOOKUP($B$5,标准坦克设计!$B$14:$K$20,9)/30))</f>
        <v>16.109186756187079</v>
      </c>
      <c r="BW190" s="172">
        <f ca="1">(VLOOKUP(BW$72,INDIRECT($C$5&amp;"生成成长"),2))/((VLOOKUP($B190,INDIRECT($B$5&amp;"生成成长"),4))/(VLOOKUP(BW$72,INDIRECT($C$5&amp;"生成成长"),5))*(VLOOKUP($B$5,标准坦克设计!$B$24:$U$30,MATCH("对"&amp;LEFT($C$5,2)&amp;"输出",标准坦克设计!$B$23:$U$23,0)))*(VLOOKUP($B190,INDIRECT($B$5&amp;"生成成长"),3))*(VLOOKUP($B$5,标准坦克设计!$B$14:$K$20,9)/30))</f>
        <v>7.341711108930209</v>
      </c>
      <c r="BX190" s="172">
        <f ca="1">(VLOOKUP(BX$72,INDIRECT($C$5&amp;"生成成长"),2))/((VLOOKUP($B190,INDIRECT($B$5&amp;"生成成长"),4))/(VLOOKUP(BX$72,INDIRECT($C$5&amp;"生成成长"),5))*(VLOOKUP($B$5,标准坦克设计!$B$24:$U$30,MATCH("对"&amp;LEFT($C$5,2)&amp;"输出",标准坦克设计!$B$23:$U$23,0)))*(VLOOKUP($B190,INDIRECT($B$5&amp;"生成成长"),3))*(VLOOKUP($B$5,标准坦克设计!$B$14:$K$20,9)/30))</f>
        <v>8.1479157661492305</v>
      </c>
      <c r="BY190" s="172">
        <f ca="1">(VLOOKUP(BY$72,INDIRECT($C$5&amp;"生成成长"),2))/((VLOOKUP($B190,INDIRECT($B$5&amp;"生成成长"),4))/(VLOOKUP(BY$72,INDIRECT($C$5&amp;"生成成长"),5))*(VLOOKUP($B$5,标准坦克设计!$B$24:$U$30,MATCH("对"&amp;LEFT($C$5,2)&amp;"输出",标准坦克设计!$B$23:$U$23,0)))*(VLOOKUP($B190,INDIRECT($B$5&amp;"生成成长"),3))*(VLOOKUP($B$5,标准坦克设计!$B$14:$K$20,9)/30))</f>
        <v>8.9961102492650777</v>
      </c>
      <c r="BZ190" s="172">
        <f ca="1">(VLOOKUP(BZ$72,INDIRECT($C$5&amp;"生成成长"),2))/((VLOOKUP($B190,INDIRECT($B$5&amp;"生成成长"),4))/(VLOOKUP(BZ$72,INDIRECT($C$5&amp;"生成成长"),5))*(VLOOKUP($B$5,标准坦克设计!$B$24:$U$30,MATCH("对"&amp;LEFT($C$5,2)&amp;"输出",标准坦克设计!$B$23:$U$23,0)))*(VLOOKUP($B190,INDIRECT($B$5&amp;"生成成长"),3))*(VLOOKUP($B$5,标准坦克设计!$B$14:$K$20,9)/30))</f>
        <v>9.8862945582777471</v>
      </c>
      <c r="CA190" s="172">
        <f ca="1">(VLOOKUP(CA$72,INDIRECT($C$5&amp;"生成成长"),2))/((VLOOKUP($B190,INDIRECT($B$5&amp;"生成成长"),4))/(VLOOKUP(CA$72,INDIRECT($C$5&amp;"生成成长"),5))*(VLOOKUP($B$5,标准坦克设计!$B$24:$U$30,MATCH("对"&amp;LEFT($C$5,2)&amp;"输出",标准坦克设计!$B$23:$U$23,0)))*(VLOOKUP($B190,INDIRECT($B$5&amp;"生成成长"),3))*(VLOOKUP($B$5,标准坦克设计!$B$14:$K$20,9)/30))</f>
        <v>10.818468693187244</v>
      </c>
      <c r="CB190" s="172">
        <f ca="1">(VLOOKUP(CB$72,INDIRECT($C$5&amp;"生成成长"),2))/((VLOOKUP($B190,INDIRECT($B$5&amp;"生成成长"),4))/(VLOOKUP(CB$72,INDIRECT($C$5&amp;"生成成长"),5))*(VLOOKUP($B$5,标准坦克设计!$B$24:$U$30,MATCH("对"&amp;LEFT($C$5,2)&amp;"输出",标准坦克设计!$B$23:$U$23,0)))*(VLOOKUP($B190,INDIRECT($B$5&amp;"生成成长"),3))*(VLOOKUP($B$5,标准坦克设计!$B$14:$K$20,9)/30))</f>
        <v>11.792632653993564</v>
      </c>
      <c r="CC190" s="172">
        <f ca="1">(VLOOKUP(CC$72,INDIRECT($C$5&amp;"生成成长"),2))/((VLOOKUP($B190,INDIRECT($B$5&amp;"生成成长"),4))/(VLOOKUP(CC$72,INDIRECT($C$5&amp;"生成成长"),5))*(VLOOKUP($B$5,标准坦克设计!$B$24:$U$30,MATCH("对"&amp;LEFT($C$5,2)&amp;"输出",标准坦克设计!$B$23:$U$23,0)))*(VLOOKUP($B190,INDIRECT($B$5&amp;"生成成长"),3))*(VLOOKUP($B$5,标准坦克设计!$B$14:$K$20,9)/30))</f>
        <v>12.808786440696709</v>
      </c>
      <c r="CD190" s="172">
        <f ca="1">(VLOOKUP(CD$72,INDIRECT($C$5&amp;"生成成长"),2))/((VLOOKUP($B190,INDIRECT($B$5&amp;"生成成长"),4))/(VLOOKUP(CD$72,INDIRECT($C$5&amp;"生成成长"),5))*(VLOOKUP($B$5,标准坦克设计!$B$24:$U$30,MATCH("对"&amp;LEFT($C$5,2)&amp;"输出",标准坦克设计!$B$23:$U$23,0)))*(VLOOKUP($B190,INDIRECT($B$5&amp;"生成成长"),3))*(VLOOKUP($B$5,标准坦克设计!$B$14:$K$20,9)/30))</f>
        <v>13.866930053296672</v>
      </c>
      <c r="CE190" s="172">
        <f ca="1">(VLOOKUP(CE$72,INDIRECT($C$5&amp;"生成成长"),2))/((VLOOKUP($B190,INDIRECT($B$5&amp;"生成成长"),4))/(VLOOKUP(CE$72,INDIRECT($C$5&amp;"生成成长"),5))*(VLOOKUP($B$5,标准坦克设计!$B$24:$U$30,MATCH("对"&amp;LEFT($C$5,2)&amp;"输出",标准坦克设计!$B$23:$U$23,0)))*(VLOOKUP($B190,INDIRECT($B$5&amp;"生成成长"),3))*(VLOOKUP($B$5,标准坦克设计!$B$14:$K$20,9)/30))</f>
        <v>14.967063491793464</v>
      </c>
      <c r="CF190" s="172">
        <f ca="1">(VLOOKUP(CF$72,INDIRECT($C$5&amp;"生成成长"),2))/((VLOOKUP($B190,INDIRECT($B$5&amp;"生成成长"),4))/(VLOOKUP(CF$72,INDIRECT($C$5&amp;"生成成长"),5))*(VLOOKUP($B$5,标准坦克设计!$B$24:$U$30,MATCH("对"&amp;LEFT($C$5,2)&amp;"输出",标准坦克设计!$B$23:$U$23,0)))*(VLOOKUP($B190,INDIRECT($B$5&amp;"生成成长"),3))*(VLOOKUP($B$5,标准坦克设计!$B$14:$K$20,9)/30))</f>
        <v>16.109186756187079</v>
      </c>
      <c r="CG190" s="172">
        <f ca="1">(VLOOKUP(CG$72,INDIRECT($C$5&amp;"生成成长"),2))/((VLOOKUP($B190,INDIRECT($B$5&amp;"生成成长"),4))/(VLOOKUP(CG$72,INDIRECT($C$5&amp;"生成成长"),5))*(VLOOKUP($B$5,标准坦克设计!$B$24:$U$30,MATCH("对"&amp;LEFT($C$5,2)&amp;"输出",标准坦克设计!$B$23:$U$23,0)))*(VLOOKUP($B190,INDIRECT($B$5&amp;"生成成长"),3))*(VLOOKUP($B$5,标准坦克设计!$B$14:$K$20,9)/30))</f>
        <v>17.293299846477517</v>
      </c>
      <c r="CH190" s="172">
        <f ca="1">(VLOOKUP(CH$72,INDIRECT($C$5&amp;"生成成长"),2))/((VLOOKUP($B190,INDIRECT($B$5&amp;"生成成长"),4))/(VLOOKUP(CH$72,INDIRECT($C$5&amp;"生成成长"),5))*(VLOOKUP($B$5,标准坦克设计!$B$24:$U$30,MATCH("对"&amp;LEFT($C$5,2)&amp;"输出",标准坦克设计!$B$23:$U$23,0)))*(VLOOKUP($B190,INDIRECT($B$5&amp;"生成成长"),3))*(VLOOKUP($B$5,标准坦克设计!$B$14:$K$20,9)/30))</f>
        <v>18.519402762664782</v>
      </c>
      <c r="CI190" s="172">
        <f ca="1">(VLOOKUP(CI$72,INDIRECT($C$5&amp;"生成成长"),2))/((VLOOKUP($B190,INDIRECT($B$5&amp;"生成成长"),4))/(VLOOKUP(CI$72,INDIRECT($C$5&amp;"生成成长"),5))*(VLOOKUP($B$5,标准坦克设计!$B$24:$U$30,MATCH("对"&amp;LEFT($C$5,2)&amp;"输出",标准坦克设计!$B$23:$U$23,0)))*(VLOOKUP($B190,INDIRECT($B$5&amp;"生成成长"),3))*(VLOOKUP($B$5,标准坦克设计!$B$14:$K$20,9)/30))</f>
        <v>19.916614219381607</v>
      </c>
      <c r="CJ190" s="172">
        <f ca="1">(VLOOKUP(CJ$72,INDIRECT($C$5&amp;"生成成长"),2))/((VLOOKUP($B190,INDIRECT($B$5&amp;"生成成长"),4))/(VLOOKUP(CJ$72,INDIRECT($C$5&amp;"生成成长"),5))*(VLOOKUP($B$5,标准坦克设计!$B$24:$U$30,MATCH("对"&amp;LEFT($C$5,2)&amp;"输出",标准坦克设计!$B$23:$U$23,0)))*(VLOOKUP($B190,INDIRECT($B$5&amp;"生成成长"),3))*(VLOOKUP($B$5,标准坦克设计!$B$14:$K$20,9)/30))</f>
        <v>21.364633365433583</v>
      </c>
      <c r="CK190" s="172">
        <f ca="1">(VLOOKUP(CK$72,INDIRECT($C$5&amp;"生成成长"),2))/((VLOOKUP($B190,INDIRECT($B$5&amp;"生成成长"),4))/(VLOOKUP(CK$72,INDIRECT($C$5&amp;"生成成长"),5))*(VLOOKUP($B$5,标准坦克设计!$B$24:$U$30,MATCH("对"&amp;LEFT($C$5,2)&amp;"输出",标准坦克设计!$B$23:$U$23,0)))*(VLOOKUP($B190,INDIRECT($B$5&amp;"生成成长"),3))*(VLOOKUP($B$5,标准坦克设计!$B$14:$K$20,9)/30))</f>
        <v>22.863460200820722</v>
      </c>
      <c r="CL190" s="172">
        <f ca="1">(VLOOKUP(CL$72,INDIRECT($C$5&amp;"生成成长"),2))/((VLOOKUP($B190,INDIRECT($B$5&amp;"生成成长"),4))/(VLOOKUP(CL$72,INDIRECT($C$5&amp;"生成成长"),5))*(VLOOKUP($B$5,标准坦克设计!$B$24:$U$30,MATCH("对"&amp;LEFT($C$5,2)&amp;"输出",标准坦克设计!$B$23:$U$23,0)))*(VLOOKUP($B190,INDIRECT($B$5&amp;"生成成长"),3))*(VLOOKUP($B$5,标准坦克设计!$B$14:$K$20,9)/30))</f>
        <v>24.413094725543008</v>
      </c>
      <c r="CM190" s="172">
        <f ca="1">(VLOOKUP(CM$72,INDIRECT($C$5&amp;"生成成长"),2))/((VLOOKUP($B190,INDIRECT($B$5&amp;"生成成长"),4))/(VLOOKUP(CM$72,INDIRECT($C$5&amp;"生成成长"),5))*(VLOOKUP($B$5,标准坦克设计!$B$24:$U$30,MATCH("对"&amp;LEFT($C$5,2)&amp;"输出",标准坦克设计!$B$23:$U$23,0)))*(VLOOKUP($B190,INDIRECT($B$5&amp;"生成成长"),3))*(VLOOKUP($B$5,标准坦克设计!$B$14:$K$20,9)/30))</f>
        <v>26.013536939600463</v>
      </c>
      <c r="CN190" s="172">
        <f ca="1">(VLOOKUP(CN$72,INDIRECT($C$5&amp;"生成成长"),2))/((VLOOKUP($B190,INDIRECT($B$5&amp;"生成成长"),4))/(VLOOKUP(CN$72,INDIRECT($C$5&amp;"生成成长"),5))*(VLOOKUP($B$5,标准坦克设计!$B$24:$U$30,MATCH("对"&amp;LEFT($C$5,2)&amp;"输出",标准坦克设计!$B$23:$U$23,0)))*(VLOOKUP($B190,INDIRECT($B$5&amp;"生成成长"),3))*(VLOOKUP($B$5,标准坦克设计!$B$14:$K$20,9)/30))</f>
        <v>27.66478684299307</v>
      </c>
      <c r="CO190" s="172">
        <f ca="1">(VLOOKUP(CO$72,INDIRECT($C$5&amp;"生成成长"),2))/((VLOOKUP($B190,INDIRECT($B$5&amp;"生成成长"),4))/(VLOOKUP(CO$72,INDIRECT($C$5&amp;"生成成长"),5))*(VLOOKUP($B$5,标准坦克设计!$B$24:$U$30,MATCH("对"&amp;LEFT($C$5,2)&amp;"输出",标准坦克设计!$B$23:$U$23,0)))*(VLOOKUP($B190,INDIRECT($B$5&amp;"生成成长"),3))*(VLOOKUP($B$5,标准坦克设计!$B$14:$K$20,9)/30))</f>
        <v>12.397286146907831</v>
      </c>
      <c r="CP190" s="172">
        <f ca="1">(VLOOKUP(CP$72,INDIRECT($C$5&amp;"生成成长"),2))/((VLOOKUP($B190,INDIRECT($B$5&amp;"生成成长"),4))/(VLOOKUP(CP$72,INDIRECT($C$5&amp;"生成成长"),5))*(VLOOKUP($B$5,标准坦克设计!$B$24:$U$30,MATCH("对"&amp;LEFT($C$5,2)&amp;"输出",标准坦克设计!$B$23:$U$23,0)))*(VLOOKUP($B190,INDIRECT($B$5&amp;"生成成长"),3))*(VLOOKUP($B$5,标准坦克设计!$B$14:$K$20,9)/30))</f>
        <v>13.545078037797516</v>
      </c>
      <c r="CQ190" s="172">
        <f ca="1">(VLOOKUP(CQ$72,INDIRECT($C$5&amp;"生成成长"),2))/((VLOOKUP($B190,INDIRECT($B$5&amp;"生成成长"),4))/(VLOOKUP(CQ$72,INDIRECT($C$5&amp;"生成成长"),5))*(VLOOKUP($B$5,标准坦克设计!$B$24:$U$30,MATCH("对"&amp;LEFT($C$5,2)&amp;"输出",标准坦克设计!$B$23:$U$23,0)))*(VLOOKUP($B190,INDIRECT($B$5&amp;"生成成长"),3))*(VLOOKUP($B$5,标准坦克设计!$B$14:$K$20,9)/30))</f>
        <v>14.743677618022359</v>
      </c>
      <c r="CR190" s="172">
        <f ca="1">(VLOOKUP(CR$72,INDIRECT($C$5&amp;"生成成长"),2))/((VLOOKUP($B190,INDIRECT($B$5&amp;"生成成长"),4))/(VLOOKUP(CR$72,INDIRECT($C$5&amp;"生成成长"),5))*(VLOOKUP($B$5,标准坦克设计!$B$24:$U$30,MATCH("对"&amp;LEFT($C$5,2)&amp;"输出",标准坦克设计!$B$23:$U$23,0)))*(VLOOKUP($B190,INDIRECT($B$5&amp;"生成成长"),3))*(VLOOKUP($B$5,标准坦克设计!$B$14:$K$20,9)/30))</f>
        <v>15.993084887582357</v>
      </c>
      <c r="CS190" s="172">
        <f ca="1">(VLOOKUP(CS$72,INDIRECT($C$5&amp;"生成成长"),2))/((VLOOKUP($B190,INDIRECT($B$5&amp;"生成成长"),4))/(VLOOKUP(CS$72,INDIRECT($C$5&amp;"生成成长"),5))*(VLOOKUP($B$5,标准坦克设计!$B$24:$U$30,MATCH("对"&amp;LEFT($C$5,2)&amp;"输出",标准坦克设计!$B$23:$U$23,0)))*(VLOOKUP($B190,INDIRECT($B$5&amp;"生成成长"),3))*(VLOOKUP($B$5,标准坦克设计!$B$14:$K$20,9)/30))</f>
        <v>17.293299846477517</v>
      </c>
      <c r="CT190" s="172">
        <f ca="1">(VLOOKUP(CT$72,INDIRECT($C$5&amp;"生成成长"),2))/((VLOOKUP($B190,INDIRECT($B$5&amp;"生成成长"),4))/(VLOOKUP(CT$72,INDIRECT($C$5&amp;"生成成长"),5))*(VLOOKUP($B$5,标准坦克设计!$B$24:$U$30,MATCH("对"&amp;LEFT($C$5,2)&amp;"输出",标准坦克设计!$B$23:$U$23,0)))*(VLOOKUP($B190,INDIRECT($B$5&amp;"生成成长"),3))*(VLOOKUP($B$5,标准坦克设计!$B$14:$K$20,9)/30))</f>
        <v>18.644322494707833</v>
      </c>
      <c r="CU190" s="172">
        <f ca="1">(VLOOKUP(CU$72,INDIRECT($C$5&amp;"生成成长"),2))/((VLOOKUP($B190,INDIRECT($B$5&amp;"生成成长"),4))/(VLOOKUP(CU$72,INDIRECT($C$5&amp;"生成成长"),5))*(VLOOKUP($B$5,标准坦克设计!$B$24:$U$30,MATCH("对"&amp;LEFT($C$5,2)&amp;"输出",标准坦克设计!$B$23:$U$23,0)))*(VLOOKUP($B190,INDIRECT($B$5&amp;"生成成长"),3))*(VLOOKUP($B$5,标准坦克设计!$B$14:$K$20,9)/30))</f>
        <v>20.046152832273307</v>
      </c>
      <c r="CV190" s="172">
        <f ca="1">(VLOOKUP(CV$72,INDIRECT($C$5&amp;"生成成长"),2))/((VLOOKUP($B190,INDIRECT($B$5&amp;"生成成长"),4))/(VLOOKUP(CV$72,INDIRECT($C$5&amp;"生成成长"),5))*(VLOOKUP($B$5,标准坦克设计!$B$24:$U$30,MATCH("对"&amp;LEFT($C$5,2)&amp;"输出",标准坦克设计!$B$23:$U$23,0)))*(VLOOKUP($B190,INDIRECT($B$5&amp;"生成成长"),3))*(VLOOKUP($B$5,标准坦克设计!$B$14:$K$20,9)/30))</f>
        <v>21.49879085917393</v>
      </c>
      <c r="CW190" s="172">
        <f ca="1">(VLOOKUP(CW$72,INDIRECT($C$5&amp;"生成成长"),2))/((VLOOKUP($B190,INDIRECT($B$5&amp;"生成成长"),4))/(VLOOKUP(CW$72,INDIRECT($C$5&amp;"生成成长"),5))*(VLOOKUP($B$5,标准坦克设计!$B$24:$U$30,MATCH("对"&amp;LEFT($C$5,2)&amp;"输出",标准坦克设计!$B$23:$U$23,0)))*(VLOOKUP($B190,INDIRECT($B$5&amp;"生成成长"),3))*(VLOOKUP($B$5,标准坦克设计!$B$14:$K$20,9)/30))</f>
        <v>23.002236575409722</v>
      </c>
      <c r="CX190" s="172">
        <f ca="1">(VLOOKUP(CX$72,INDIRECT($C$5&amp;"生成成长"),2))/((VLOOKUP($B190,INDIRECT($B$5&amp;"生成成长"),4))/(VLOOKUP(CX$72,INDIRECT($C$5&amp;"生成成长"),5))*(VLOOKUP($B$5,标准坦克设计!$B$24:$U$30,MATCH("对"&amp;LEFT($C$5,2)&amp;"输出",标准坦克设计!$B$23:$U$23,0)))*(VLOOKUP($B190,INDIRECT($B$5&amp;"生成成长"),3))*(VLOOKUP($B$5,标准坦克设计!$B$14:$K$20,9)/30))</f>
        <v>24.556489980980665</v>
      </c>
      <c r="CY190" s="172">
        <f ca="1">(VLOOKUP(CY$72,INDIRECT($C$5&amp;"生成成长"),2))/((VLOOKUP($B190,INDIRECT($B$5&amp;"生成成长"),4))/(VLOOKUP(CY$72,INDIRECT($C$5&amp;"生成成长"),5))*(VLOOKUP($B$5,标准坦克设计!$B$24:$U$30,MATCH("对"&amp;LEFT($C$5,2)&amp;"输出",标准坦克设计!$B$23:$U$23,0)))*(VLOOKUP($B190,INDIRECT($B$5&amp;"生成成长"),3))*(VLOOKUP($B$5,标准坦克设计!$B$14:$K$20,9)/30))</f>
        <v>26.161551075886766</v>
      </c>
      <c r="CZ190" s="172">
        <f ca="1">(VLOOKUP(CZ$72,INDIRECT($C$5&amp;"生成成长"),2))/((VLOOKUP($B190,INDIRECT($B$5&amp;"生成成长"),4))/(VLOOKUP(CZ$72,INDIRECT($C$5&amp;"生成成长"),5))*(VLOOKUP($B$5,标准坦克设计!$B$24:$U$30,MATCH("对"&amp;LEFT($C$5,2)&amp;"输出",标准坦克设计!$B$23:$U$23,0)))*(VLOOKUP($B190,INDIRECT($B$5&amp;"生成成长"),3))*(VLOOKUP($B$5,标准坦克设计!$B$14:$K$20,9)/30))</f>
        <v>27.817419860128023</v>
      </c>
      <c r="DA190" s="172">
        <f ca="1">(VLOOKUP(DA$72,INDIRECT($C$5&amp;"生成成长"),2))/((VLOOKUP($B190,INDIRECT($B$5&amp;"生成成长"),4))/(VLOOKUP(DA$72,INDIRECT($C$5&amp;"生成成长"),5))*(VLOOKUP($B$5,标准坦克设计!$B$24:$U$30,MATCH("对"&amp;LEFT($C$5,2)&amp;"输出",标准坦克设计!$B$23:$U$23,0)))*(VLOOKUP($B190,INDIRECT($B$5&amp;"生成成长"),3))*(VLOOKUP($B$5,标准坦克设计!$B$14:$K$20,9)/30))</f>
        <v>29.524096333704438</v>
      </c>
      <c r="DB190" s="172">
        <f ca="1">(VLOOKUP(DB$72,INDIRECT($C$5&amp;"生成成长"),2))/((VLOOKUP($B190,INDIRECT($B$5&amp;"生成成长"),4))/(VLOOKUP(DB$72,INDIRECT($C$5&amp;"生成成长"),5))*(VLOOKUP($B$5,标准坦克设计!$B$24:$U$30,MATCH("对"&amp;LEFT($C$5,2)&amp;"输出",标准坦克设计!$B$23:$U$23,0)))*(VLOOKUP($B190,INDIRECT($B$5&amp;"生成成长"),3))*(VLOOKUP($B$5,标准坦克设计!$B$14:$K$20,9)/30))</f>
        <v>31.281580496616016</v>
      </c>
      <c r="DC190" s="172">
        <f ca="1">(VLOOKUP(DC$72,INDIRECT($C$5&amp;"生成成长"),2))/((VLOOKUP($B190,INDIRECT($B$5&amp;"生成成长"),4))/(VLOOKUP(DC$72,INDIRECT($C$5&amp;"生成成长"),5))*(VLOOKUP($B$5,标准坦克设计!$B$24:$U$30,MATCH("对"&amp;LEFT($C$5,2)&amp;"输出",标准坦克设计!$B$23:$U$23,0)))*(VLOOKUP($B190,INDIRECT($B$5&amp;"生成成长"),3))*(VLOOKUP($B$5,标准坦克设计!$B$14:$K$20,9)/30))</f>
        <v>33.256781906802608</v>
      </c>
      <c r="DD190" s="172">
        <f ca="1">(VLOOKUP(DD$72,INDIRECT($C$5&amp;"生成成长"),2))/((VLOOKUP($B190,INDIRECT($B$5&amp;"生成成长"),4))/(VLOOKUP(DD$72,INDIRECT($C$5&amp;"生成成长"),5))*(VLOOKUP($B$5,标准坦克设计!$B$24:$U$30,MATCH("对"&amp;LEFT($C$5,2)&amp;"输出",标准坦克设计!$B$23:$U$23,0)))*(VLOOKUP($B190,INDIRECT($B$5&amp;"生成成长"),3))*(VLOOKUP($B$5,标准坦克设计!$B$14:$K$20,9)/30))</f>
        <v>35.292448666280656</v>
      </c>
      <c r="DE190" s="172">
        <f ca="1">(VLOOKUP(DE$72,INDIRECT($C$5&amp;"生成成长"),2))/((VLOOKUP($B190,INDIRECT($B$5&amp;"生成成长"),4))/(VLOOKUP(DE$72,INDIRECT($C$5&amp;"生成成长"),5))*(VLOOKUP($B$5,标准坦克设计!$B$24:$U$30,MATCH("对"&amp;LEFT($C$5,2)&amp;"输出",标准坦克设计!$B$23:$U$23,0)))*(VLOOKUP($B190,INDIRECT($B$5&amp;"生成成长"),3))*(VLOOKUP($B$5,标准坦克设计!$B$14:$K$20,9)/30))</f>
        <v>37.388580775050102</v>
      </c>
      <c r="DF190" s="172">
        <f ca="1">(VLOOKUP(DF$72,INDIRECT($C$5&amp;"生成成长"),2))/((VLOOKUP($B190,INDIRECT($B$5&amp;"生成成长"),4))/(VLOOKUP(DF$72,INDIRECT($C$5&amp;"生成成长"),5))*(VLOOKUP($B$5,标准坦克设计!$B$24:$U$30,MATCH("对"&amp;LEFT($C$5,2)&amp;"输出",标准坦克设计!$B$23:$U$23,0)))*(VLOOKUP($B190,INDIRECT($B$5&amp;"生成成长"),3))*(VLOOKUP($B$5,标准坦克设计!$B$14:$K$20,9)/30))</f>
        <v>39.545178233110988</v>
      </c>
      <c r="DG190" s="172">
        <f ca="1">(VLOOKUP(DG$72,INDIRECT($C$5&amp;"生成成长"),2))/((VLOOKUP($B190,INDIRECT($B$5&amp;"生成成长"),4))/(VLOOKUP(DG$72,INDIRECT($C$5&amp;"生成成长"),5))*(VLOOKUP($B$5,标准坦克设计!$B$24:$U$30,MATCH("对"&amp;LEFT($C$5,2)&amp;"输出",标准坦克设计!$B$23:$U$23,0)))*(VLOOKUP($B190,INDIRECT($B$5&amp;"生成成长"),3))*(VLOOKUP($B$5,标准坦克设计!$B$14:$K$20,9)/30))</f>
        <v>41.762241040463309</v>
      </c>
      <c r="DH190" s="172">
        <f ca="1">(VLOOKUP(DH$72,INDIRECT($C$5&amp;"生成成长"),2))/((VLOOKUP($B190,INDIRECT($B$5&amp;"生成成长"),4))/(VLOOKUP(DH$72,INDIRECT($C$5&amp;"生成成长"),5))*(VLOOKUP($B$5,标准坦克设计!$B$24:$U$30,MATCH("对"&amp;LEFT($C$5,2)&amp;"输出",标准坦克设计!$B$23:$U$23,0)))*(VLOOKUP($B190,INDIRECT($B$5&amp;"生成成长"),3))*(VLOOKUP($B$5,标准坦克设计!$B$14:$K$20,9)/30))</f>
        <v>44.039769197107049</v>
      </c>
      <c r="DI190" s="172">
        <f ca="1">(VLOOKUP(DI$72,INDIRECT($C$5&amp;"生成成长"),2))/((VLOOKUP($B190,INDIRECT($B$5&amp;"生成成长"),4))/(VLOOKUP(DI$72,INDIRECT($C$5&amp;"生成成长"),5))*(VLOOKUP($B$5,标准坦克设计!$B$24:$U$30,MATCH("对"&amp;LEFT($C$5,2)&amp;"输出",标准坦克设计!$B$23:$U$23,0)))*(VLOOKUP($B190,INDIRECT($B$5&amp;"生成成长"),3))*(VLOOKUP($B$5,标准坦克设计!$B$14:$K$20,9)/30))</f>
        <v>46.377762703042208</v>
      </c>
      <c r="DJ190" s="172">
        <f ca="1">(VLOOKUP(DJ$72,INDIRECT($C$5&amp;"生成成长"),2))/((VLOOKUP($B190,INDIRECT($B$5&amp;"生成成长"),4))/(VLOOKUP(DJ$72,INDIRECT($C$5&amp;"生成成长"),5))*(VLOOKUP($B$5,标准坦克设计!$B$24:$U$30,MATCH("对"&amp;LEFT($C$5,2)&amp;"输出",标准坦克设计!$B$23:$U$23,0)))*(VLOOKUP($B190,INDIRECT($B$5&amp;"生成成长"),3))*(VLOOKUP($B$5,标准坦克设计!$B$14:$K$20,9)/30))</f>
        <v>4.6610806236769582</v>
      </c>
      <c r="DK190" s="172">
        <f ca="1">(VLOOKUP(DK$72,INDIRECT($C$5&amp;"生成成长"),2))/((VLOOKUP($B190,INDIRECT($B$5&amp;"生成成长"),4))/(VLOOKUP(DK$72,INDIRECT($C$5&amp;"生成成长"),5))*(VLOOKUP($B$5,标准坦克设计!$B$24:$U$30,MATCH("对"&amp;LEFT($C$5,2)&amp;"输出",标准坦克设计!$B$23:$U$23,0)))*(VLOOKUP($B190,INDIRECT($B$5&amp;"生成成长"),3))*(VLOOKUP($B$5,标准坦克设计!$B$14:$K$20,9)/30))</f>
        <v>5.2411700684415825</v>
      </c>
      <c r="DL190" s="172">
        <f ca="1">(VLOOKUP(DL$72,INDIRECT($C$5&amp;"生成成长"),2))/((VLOOKUP($B190,INDIRECT($B$5&amp;"生成成长"),4))/(VLOOKUP(DL$72,INDIRECT($C$5&amp;"生成成长"),5))*(VLOOKUP($B$5,标准坦克设计!$B$24:$U$30,MATCH("对"&amp;LEFT($C$5,2)&amp;"输出",标准坦克设计!$B$23:$U$23,0)))*(VLOOKUP($B190,INDIRECT($B$5&amp;"生成成长"),3))*(VLOOKUP($B$5,标准坦克设计!$B$14:$K$20,9)/30))</f>
        <v>5.8552712721826357</v>
      </c>
      <c r="DM190" s="172">
        <f ca="1">(VLOOKUP(DM$72,INDIRECT($C$5&amp;"生成成长"),2))/((VLOOKUP($B190,INDIRECT($B$5&amp;"生成成长"),4))/(VLOOKUP(DM$72,INDIRECT($C$5&amp;"生成成长"),5))*(VLOOKUP($B$5,标准坦克设计!$B$24:$U$30,MATCH("对"&amp;LEFT($C$5,2)&amp;"输出",标准坦克设计!$B$23:$U$23,0)))*(VLOOKUP($B190,INDIRECT($B$5&amp;"生成成长"),3))*(VLOOKUP($B$5,标准坦克设计!$B$14:$K$20,9)/30))</f>
        <v>6.5033842349001159</v>
      </c>
      <c r="DN190" s="172">
        <f ca="1">(VLOOKUP(DN$72,INDIRECT($C$5&amp;"生成成长"),2))/((VLOOKUP($B190,INDIRECT($B$5&amp;"生成成长"),4))/(VLOOKUP(DN$72,INDIRECT($C$5&amp;"生成成长"),5))*(VLOOKUP($B$5,标准坦克设计!$B$24:$U$30,MATCH("对"&amp;LEFT($C$5,2)&amp;"输出",标准坦克设计!$B$23:$U$23,0)))*(VLOOKUP($B190,INDIRECT($B$5&amp;"生成成长"),3))*(VLOOKUP($B$5,标准坦克设计!$B$14:$K$20,9)/30))</f>
        <v>7.1855089565940231</v>
      </c>
      <c r="DO190" s="172">
        <f ca="1">(VLOOKUP(DO$72,INDIRECT($C$5&amp;"生成成长"),2))/((VLOOKUP($B190,INDIRECT($B$5&amp;"生成成长"),4))/(VLOOKUP(DO$72,INDIRECT($C$5&amp;"生成成长"),5))*(VLOOKUP($B$5,标准坦克设计!$B$24:$U$30,MATCH("对"&amp;LEFT($C$5,2)&amp;"输出",标准坦克设计!$B$23:$U$23,0)))*(VLOOKUP($B190,INDIRECT($B$5&amp;"生成成长"),3))*(VLOOKUP($B$5,标准坦克设计!$B$14:$K$20,9)/30))</f>
        <v>7.9016454372643565</v>
      </c>
      <c r="DP190" s="172">
        <f ca="1">(VLOOKUP(DP$72,INDIRECT($C$5&amp;"生成成长"),2))/((VLOOKUP($B190,INDIRECT($B$5&amp;"生成成长"),4))/(VLOOKUP(DP$72,INDIRECT($C$5&amp;"生成成长"),5))*(VLOOKUP($B$5,标准坦克设计!$B$24:$U$30,MATCH("对"&amp;LEFT($C$5,2)&amp;"输出",标准坦克设计!$B$23:$U$23,0)))*(VLOOKUP($B190,INDIRECT($B$5&amp;"生成成长"),3))*(VLOOKUP($B$5,标准坦克设计!$B$14:$K$20,9)/30))</f>
        <v>8.6517936769111188</v>
      </c>
      <c r="DQ190" s="172">
        <f ca="1">(VLOOKUP(DQ$72,INDIRECT($C$5&amp;"生成成长"),2))/((VLOOKUP($B190,INDIRECT($B$5&amp;"生成成长"),4))/(VLOOKUP(DQ$72,INDIRECT($C$5&amp;"生成成长"),5))*(VLOOKUP($B$5,标准坦克设计!$B$24:$U$30,MATCH("对"&amp;LEFT($C$5,2)&amp;"输出",标准坦克设计!$B$23:$U$23,0)))*(VLOOKUP($B190,INDIRECT($B$5&amp;"生成成长"),3))*(VLOOKUP($B$5,标准坦克设计!$B$14:$K$20,9)/30))</f>
        <v>9.4359536755343107</v>
      </c>
      <c r="DR190" s="172">
        <f ca="1">(VLOOKUP(DR$72,INDIRECT($C$5&amp;"生成成长"),2))/((VLOOKUP($B190,INDIRECT($B$5&amp;"生成成长"),4))/(VLOOKUP(DR$72,INDIRECT($C$5&amp;"生成成长"),5))*(VLOOKUP($B$5,标准坦克设计!$B$24:$U$30,MATCH("对"&amp;LEFT($C$5,2)&amp;"输出",标准坦克设计!$B$23:$U$23,0)))*(VLOOKUP($B190,INDIRECT($B$5&amp;"生成成长"),3))*(VLOOKUP($B$5,标准坦克设计!$B$14:$K$20,9)/30))</f>
        <v>10.254125433133929</v>
      </c>
      <c r="DS190" s="172">
        <f ca="1">(VLOOKUP(DS$72,INDIRECT($C$5&amp;"生成成长"),2))/((VLOOKUP($B190,INDIRECT($B$5&amp;"生成成长"),4))/(VLOOKUP(DS$72,INDIRECT($C$5&amp;"生成成长"),5))*(VLOOKUP($B$5,标准坦克设计!$B$24:$U$30,MATCH("对"&amp;LEFT($C$5,2)&amp;"输出",标准坦克设计!$B$23:$U$23,0)))*(VLOOKUP($B190,INDIRECT($B$5&amp;"生成成长"),3))*(VLOOKUP($B$5,标准坦克设计!$B$14:$K$20,9)/30))</f>
        <v>11.106308949709971</v>
      </c>
      <c r="DT190" s="172">
        <f ca="1">(VLOOKUP(DT$72,INDIRECT($C$5&amp;"生成成长"),2))/((VLOOKUP($B190,INDIRECT($B$5&amp;"生成成长"),4))/(VLOOKUP(DT$72,INDIRECT($C$5&amp;"生成成长"),5))*(VLOOKUP($B$5,标准坦克设计!$B$24:$U$30,MATCH("对"&amp;LEFT($C$5,2)&amp;"输出",标准坦克设计!$B$23:$U$23,0)))*(VLOOKUP($B190,INDIRECT($B$5&amp;"生成成长"),3))*(VLOOKUP($B$5,标准坦克设计!$B$14:$K$20,9)/30))</f>
        <v>12.194055389567199</v>
      </c>
      <c r="DU190" s="172">
        <f ca="1">(VLOOKUP(DU$72,INDIRECT($C$5&amp;"生成成长"),2))/((VLOOKUP($B190,INDIRECT($B$5&amp;"生成成长"),4))/(VLOOKUP(DU$72,INDIRECT($C$5&amp;"生成成长"),5))*(VLOOKUP($B$5,标准坦克设计!$B$24:$U$30,MATCH("对"&amp;LEFT($C$5,2)&amp;"输出",标准坦克设计!$B$23:$U$23,0)))*(VLOOKUP($B190,INDIRECT($B$5&amp;"生成成长"),3))*(VLOOKUP($B$5,标准坦克设计!$B$14:$K$20,9)/30))</f>
        <v>13.332609518759586</v>
      </c>
      <c r="DV190" s="172">
        <f ca="1">(VLOOKUP(DV$72,INDIRECT($C$5&amp;"生成成长"),2))/((VLOOKUP($B190,INDIRECT($B$5&amp;"生成成长"),4))/(VLOOKUP(DV$72,INDIRECT($C$5&amp;"生成成长"),5))*(VLOOKUP($B$5,标准坦克设计!$B$24:$U$30,MATCH("对"&amp;LEFT($C$5,2)&amp;"输出",标准坦克设计!$B$23:$U$23,0)))*(VLOOKUP($B190,INDIRECT($B$5&amp;"生成成长"),3))*(VLOOKUP($B$5,标准坦克设计!$B$14:$K$20,9)/30))</f>
        <v>14.521971337287129</v>
      </c>
      <c r="DW190" s="172">
        <f ca="1">(VLOOKUP(DW$72,INDIRECT($C$5&amp;"生成成长"),2))/((VLOOKUP($B190,INDIRECT($B$5&amp;"生成成长"),4))/(VLOOKUP(DW$72,INDIRECT($C$5&amp;"生成成长"),5))*(VLOOKUP($B$5,标准坦克设计!$B$24:$U$30,MATCH("对"&amp;LEFT($C$5,2)&amp;"输出",标准坦克设计!$B$23:$U$23,0)))*(VLOOKUP($B190,INDIRECT($B$5&amp;"生成成长"),3))*(VLOOKUP($B$5,标准坦克设计!$B$14:$K$20,9)/30))</f>
        <v>15.76214084514983</v>
      </c>
      <c r="DX190" s="172">
        <f ca="1">(VLOOKUP(DX$72,INDIRECT($C$5&amp;"生成成长"),2))/((VLOOKUP($B190,INDIRECT($B$5&amp;"生成成长"),4))/(VLOOKUP(DX$72,INDIRECT($C$5&amp;"生成成长"),5))*(VLOOKUP($B$5,标准坦克设计!$B$24:$U$30,MATCH("对"&amp;LEFT($C$5,2)&amp;"输出",标准坦克设计!$B$23:$U$23,0)))*(VLOOKUP($B190,INDIRECT($B$5&amp;"生成成长"),3))*(VLOOKUP($B$5,标准坦克设计!$B$14:$K$20,9)/30))</f>
        <v>17.053118042347684</v>
      </c>
      <c r="DY190" s="172">
        <f ca="1">(VLOOKUP(DY$72,INDIRECT($C$5&amp;"生成成长"),2))/((VLOOKUP($B190,INDIRECT($B$5&amp;"生成成长"),4))/(VLOOKUP(DY$72,INDIRECT($C$5&amp;"生成成长"),5))*(VLOOKUP($B$5,标准坦克设计!$B$24:$U$30,MATCH("对"&amp;LEFT($C$5,2)&amp;"输出",标准坦克设计!$B$23:$U$23,0)))*(VLOOKUP($B190,INDIRECT($B$5&amp;"生成成长"),3))*(VLOOKUP($B$5,标准坦克设计!$B$14:$K$20,9)/30))</f>
        <v>7.659154192710198</v>
      </c>
      <c r="DZ190" s="172">
        <f ca="1">(VLOOKUP(DZ$72,INDIRECT($C$5&amp;"生成成长"),2))/((VLOOKUP($B190,INDIRECT($B$5&amp;"生成成长"),4))/(VLOOKUP(DZ$72,INDIRECT($C$5&amp;"生成成长"),5))*(VLOOKUP($B$5,标准坦克设计!$B$24:$U$30,MATCH("对"&amp;LEFT($C$5,2)&amp;"输出",标准坦克设计!$B$23:$U$23,0)))*(VLOOKUP($B190,INDIRECT($B$5&amp;"生成成长"),3))*(VLOOKUP($B$5,标准坦克设计!$B$14:$K$20,9)/30))</f>
        <v>8.4821547802879511</v>
      </c>
      <c r="EA190" s="172">
        <f ca="1">(VLOOKUP(EA$72,INDIRECT($C$5&amp;"生成成长"),2))/((VLOOKUP($B190,INDIRECT($B$5&amp;"生成成长"),4))/(VLOOKUP(EA$72,INDIRECT($C$5&amp;"生成成长"),5))*(VLOOKUP($B$5,标准坦克设计!$B$24:$U$30,MATCH("对"&amp;LEFT($C$5,2)&amp;"输出",标准坦克设计!$B$23:$U$23,0)))*(VLOOKUP($B190,INDIRECT($B$5&amp;"生成成长"),3))*(VLOOKUP($B$5,标准坦克设计!$B$14:$K$20,9)/30))</f>
        <v>9.3471451937625254</v>
      </c>
      <c r="EB190" s="172">
        <f ca="1">(VLOOKUP(EB$72,INDIRECT($C$5&amp;"生成成长"),2))/((VLOOKUP($B190,INDIRECT($B$5&amp;"生成成长"),4))/(VLOOKUP(EB$72,INDIRECT($C$5&amp;"生成成长"),5))*(VLOOKUP($B$5,标准坦克设计!$B$24:$U$30,MATCH("对"&amp;LEFT($C$5,2)&amp;"输出",标准坦克设计!$B$23:$U$23,0)))*(VLOOKUP($B190,INDIRECT($B$5&amp;"生成成长"),3))*(VLOOKUP($B$5,标准坦克设计!$B$14:$K$20,9)/30))</f>
        <v>10.254125433133929</v>
      </c>
      <c r="EC190" s="172">
        <f ca="1">(VLOOKUP(EC$72,INDIRECT($C$5&amp;"生成成长"),2))/((VLOOKUP($B190,INDIRECT($B$5&amp;"生成成长"),4))/(VLOOKUP(EC$72,INDIRECT($C$5&amp;"生成成长"),5))*(VLOOKUP($B$5,标准坦克设计!$B$24:$U$30,MATCH("对"&amp;LEFT($C$5,2)&amp;"输出",标准坦克设计!$B$23:$U$23,0)))*(VLOOKUP($B190,INDIRECT($B$5&amp;"生成成长"),3))*(VLOOKUP($B$5,标准坦克设计!$B$14:$K$20,9)/30))</f>
        <v>11.203095498402149</v>
      </c>
      <c r="ED190" s="172">
        <f ca="1">(VLOOKUP(ED$72,INDIRECT($C$5&amp;"生成成长"),2))/((VLOOKUP($B190,INDIRECT($B$5&amp;"生成成长"),4))/(VLOOKUP(ED$72,INDIRECT($C$5&amp;"生成成长"),5))*(VLOOKUP($B$5,标准坦克设计!$B$24:$U$30,MATCH("对"&amp;LEFT($C$5,2)&amp;"输出",标准坦克设计!$B$23:$U$23,0)))*(VLOOKUP($B190,INDIRECT($B$5&amp;"生成成长"),3))*(VLOOKUP($B$5,标准坦克设计!$B$14:$K$20,9)/30))</f>
        <v>12.194055389567199</v>
      </c>
      <c r="EE190" s="172">
        <f ca="1">(VLOOKUP(EE$72,INDIRECT($C$5&amp;"生成成长"),2))/((VLOOKUP($B190,INDIRECT($B$5&amp;"生成成长"),4))/(VLOOKUP(EE$72,INDIRECT($C$5&amp;"生成成长"),5))*(VLOOKUP($B$5,标准坦克设计!$B$24:$U$30,MATCH("对"&amp;LEFT($C$5,2)&amp;"输出",标准坦克设计!$B$23:$U$23,0)))*(VLOOKUP($B190,INDIRECT($B$5&amp;"生成成长"),3))*(VLOOKUP($B$5,标准坦克设计!$B$14:$K$20,9)/30))</f>
        <v>13.227005106629074</v>
      </c>
      <c r="EF190" s="172">
        <f ca="1">(VLOOKUP(EF$72,INDIRECT($C$5&amp;"生成成长"),2))/((VLOOKUP($B190,INDIRECT($B$5&amp;"生成成长"),4))/(VLOOKUP(EF$72,INDIRECT($C$5&amp;"生成成长"),5))*(VLOOKUP($B$5,标准坦克设计!$B$24:$U$30,MATCH("对"&amp;LEFT($C$5,2)&amp;"输出",标准坦克设计!$B$23:$U$23,0)))*(VLOOKUP($B190,INDIRECT($B$5&amp;"生成成长"),3))*(VLOOKUP($B$5,标准坦克设计!$B$14:$K$20,9)/30))</f>
        <v>14.301944649587769</v>
      </c>
      <c r="EG190" s="172">
        <f ca="1">(VLOOKUP(EG$72,INDIRECT($C$5&amp;"生成成长"),2))/((VLOOKUP($B190,INDIRECT($B$5&amp;"生成成长"),4))/(VLOOKUP(EG$72,INDIRECT($C$5&amp;"生成成长"),5))*(VLOOKUP($B$5,标准坦克设计!$B$24:$U$30,MATCH("对"&amp;LEFT($C$5,2)&amp;"输出",标准坦克设计!$B$23:$U$23,0)))*(VLOOKUP($B190,INDIRECT($B$5&amp;"生成成长"),3))*(VLOOKUP($B$5,标准坦克设计!$B$14:$K$20,9)/30))</f>
        <v>15.418874018443294</v>
      </c>
      <c r="EH190" s="172">
        <f ca="1">(VLOOKUP(EH$72,INDIRECT($C$5&amp;"生成成长"),2))/((VLOOKUP($B190,INDIRECT($B$5&amp;"生成成长"),4))/(VLOOKUP(EH$72,INDIRECT($C$5&amp;"生成成长"),5))*(VLOOKUP($B$5,标准坦克设计!$B$24:$U$30,MATCH("对"&amp;LEFT($C$5,2)&amp;"输出",标准坦克设计!$B$23:$U$23,0)))*(VLOOKUP($B190,INDIRECT($B$5&amp;"生成成长"),3))*(VLOOKUP($B$5,标准坦克设计!$B$14:$K$20,9)/30))</f>
        <v>16.577793213195633</v>
      </c>
      <c r="EI190" s="172">
        <f ca="1">(VLOOKUP(EI$72,INDIRECT($C$5&amp;"生成成长"),2))/((VLOOKUP($B190,INDIRECT($B$5&amp;"生成成长"),4))/(VLOOKUP(EI$72,INDIRECT($C$5&amp;"生成成长"),5))*(VLOOKUP($B$5,标准坦克设计!$B$24:$U$30,MATCH("对"&amp;LEFT($C$5,2)&amp;"输出",标准坦克设计!$B$23:$U$23,0)))*(VLOOKUP($B190,INDIRECT($B$5&amp;"生成成长"),3))*(VLOOKUP($B$5,标准坦克设计!$B$14:$K$20,9)/30))</f>
        <v>17.778702233844808</v>
      </c>
      <c r="EJ190" s="172">
        <f ca="1">(VLOOKUP(EJ$72,INDIRECT($C$5&amp;"生成成长"),2))/((VLOOKUP($B190,INDIRECT($B$5&amp;"生成成长"),4))/(VLOOKUP(EJ$72,INDIRECT($C$5&amp;"生成成长"),5))*(VLOOKUP($B$5,标准坦克设计!$B$24:$U$30,MATCH("对"&amp;LEFT($C$5,2)&amp;"输出",标准坦克设计!$B$23:$U$23,0)))*(VLOOKUP($B190,INDIRECT($B$5&amp;"生成成长"),3))*(VLOOKUP($B$5,标准坦克设计!$B$14:$K$20,9)/30))</f>
        <v>19.021601080390798</v>
      </c>
      <c r="EK190" s="172">
        <f ca="1">(VLOOKUP(EK$72,INDIRECT($C$5&amp;"生成成长"),2))/((VLOOKUP($B190,INDIRECT($B$5&amp;"生成成长"),4))/(VLOOKUP(EK$72,INDIRECT($C$5&amp;"生成成长"),5))*(VLOOKUP($B$5,标准坦克设计!$B$24:$U$30,MATCH("对"&amp;LEFT($C$5,2)&amp;"输出",标准坦克设计!$B$23:$U$23,0)))*(VLOOKUP($B190,INDIRECT($B$5&amp;"生成成长"),3))*(VLOOKUP($B$5,标准坦克设计!$B$14:$K$20,9)/30))</f>
        <v>20.5685062664298</v>
      </c>
      <c r="EL190" s="172">
        <f ca="1">(VLOOKUP(EL$72,INDIRECT($C$5&amp;"生成成长"),2))/((VLOOKUP($B190,INDIRECT($B$5&amp;"生成成长"),4))/(VLOOKUP(EL$72,INDIRECT($C$5&amp;"生成成长"),5))*(VLOOKUP($B$5,标准坦克设计!$B$24:$U$30,MATCH("对"&amp;LEFT($C$5,2)&amp;"输出",标准坦克设计!$B$23:$U$23,0)))*(VLOOKUP($B190,INDIRECT($B$5&amp;"生成成长"),3))*(VLOOKUP($B$5,标准坦克设计!$B$14:$K$20,9)/30))</f>
        <v>22.175876801760225</v>
      </c>
      <c r="EM190" s="172">
        <f ca="1">(VLOOKUP(EM$72,INDIRECT($C$5&amp;"生成成长"),2))/((VLOOKUP($B190,INDIRECT($B$5&amp;"生成成长"),4))/(VLOOKUP(EM$72,INDIRECT($C$5&amp;"生成成长"),5))*(VLOOKUP($B$5,标准坦克设计!$B$24:$U$30,MATCH("对"&amp;LEFT($C$5,2)&amp;"输出",标准坦克设计!$B$23:$U$23,0)))*(VLOOKUP($B190,INDIRECT($B$5&amp;"生成成长"),3))*(VLOOKUP($B$5,标准坦克设计!$B$14:$K$20,9)/30))</f>
        <v>23.843712686382077</v>
      </c>
      <c r="EN190" s="172">
        <f ca="1">(VLOOKUP(EN$72,INDIRECT($C$5&amp;"生成成长"),2))/((VLOOKUP($B190,INDIRECT($B$5&amp;"生成成长"),4))/(VLOOKUP(EN$72,INDIRECT($C$5&amp;"生成成长"),5))*(VLOOKUP($B$5,标准坦克设计!$B$24:$U$30,MATCH("对"&amp;LEFT($C$5,2)&amp;"输出",标准坦克设计!$B$23:$U$23,0)))*(VLOOKUP($B190,INDIRECT($B$5&amp;"生成成长"),3))*(VLOOKUP($B$5,标准坦克设计!$B$14:$K$20,9)/30))</f>
        <v>25.572013920295358</v>
      </c>
      <c r="EO190" s="172">
        <f ca="1">(VLOOKUP(EO$72,INDIRECT($C$5&amp;"生成成长"),2))/((VLOOKUP($B190,INDIRECT($B$5&amp;"生成成长"),4))/(VLOOKUP(EO$72,INDIRECT($C$5&amp;"生成成长"),5))*(VLOOKUP($B$5,标准坦克设计!$B$24:$U$30,MATCH("对"&amp;LEFT($C$5,2)&amp;"输出",标准坦克设计!$B$23:$U$23,0)))*(VLOOKUP($B190,INDIRECT($B$5&amp;"生成成长"),3))*(VLOOKUP($B$5,标准坦克设计!$B$14:$K$20,9)/30))</f>
        <v>27.360780503500067</v>
      </c>
      <c r="EP190" s="172">
        <f ca="1">(VLOOKUP(EP$72,INDIRECT($C$5&amp;"生成成长"),2))/((VLOOKUP($B190,INDIRECT($B$5&amp;"生成成长"),4))/(VLOOKUP(EP$72,INDIRECT($C$5&amp;"生成成长"),5))*(VLOOKUP($B$5,标准坦克设计!$B$24:$U$30,MATCH("对"&amp;LEFT($C$5,2)&amp;"输出",标准坦克设计!$B$23:$U$23,0)))*(VLOOKUP($B190,INDIRECT($B$5&amp;"生成成长"),3))*(VLOOKUP($B$5,标准坦克设计!$B$14:$K$20,9)/30))</f>
        <v>29.210012435996195</v>
      </c>
      <c r="EQ190" s="172">
        <f ca="1">(VLOOKUP(EQ$72,INDIRECT($C$5&amp;"生成成长"),2))/((VLOOKUP($B190,INDIRECT($B$5&amp;"生成成长"),4))/(VLOOKUP(EQ$72,INDIRECT($C$5&amp;"生成成长"),5))*(VLOOKUP($B$5,标准坦克设计!$B$24:$U$30,MATCH("对"&amp;LEFT($C$5,2)&amp;"输出",标准坦克设计!$B$23:$U$23,0)))*(VLOOKUP($B190,INDIRECT($B$5&amp;"生成成长"),3))*(VLOOKUP($B$5,标准坦克设计!$B$14:$K$20,9)/30))</f>
        <v>12.912711259791344</v>
      </c>
      <c r="ER190" s="172">
        <f ca="1">(VLOOKUP(ER$72,INDIRECT($C$5&amp;"生成成长"),2))/((VLOOKUP($B190,INDIRECT($B$5&amp;"生成成长"),4))/(VLOOKUP(ER$72,INDIRECT($C$5&amp;"生成成长"),5))*(VLOOKUP($B$5,标准坦克设计!$B$24:$U$30,MATCH("对"&amp;LEFT($C$5,2)&amp;"输出",标准坦克设计!$B$23:$U$23,0)))*(VLOOKUP($B190,INDIRECT($B$5&amp;"生成成长"),3))*(VLOOKUP($B$5,标准坦克设计!$B$14:$K$20,9)/30))</f>
        <v>14.083597554924284</v>
      </c>
      <c r="ES190" s="172">
        <f ca="1">(VLOOKUP(ES$72,INDIRECT($C$5&amp;"生成成长"),2))/((VLOOKUP($B190,INDIRECT($B$5&amp;"生成成长"),4))/(VLOOKUP(ES$72,INDIRECT($C$5&amp;"生成成长"),5))*(VLOOKUP($B$5,标准坦克设计!$B$24:$U$30,MATCH("对"&amp;LEFT($C$5,2)&amp;"输出",标准坦克设计!$B$23:$U$23,0)))*(VLOOKUP($B190,INDIRECT($B$5&amp;"生成成长"),3))*(VLOOKUP($B$5,标准坦克设计!$B$14:$K$20,9)/30))</f>
        <v>15.305291539392382</v>
      </c>
      <c r="ET190" s="172">
        <f ca="1">(VLOOKUP(ET$72,INDIRECT($C$5&amp;"生成成长"),2))/((VLOOKUP($B190,INDIRECT($B$5&amp;"生成成长"),4))/(VLOOKUP(ET$72,INDIRECT($C$5&amp;"生成成长"),5))*(VLOOKUP($B$5,标准坦克设计!$B$24:$U$30,MATCH("对"&amp;LEFT($C$5,2)&amp;"输出",标准坦克设计!$B$23:$U$23,0)))*(VLOOKUP($B190,INDIRECT($B$5&amp;"生成成长"),3))*(VLOOKUP($B$5,标准坦克设计!$B$14:$K$20,9)/30))</f>
        <v>16.577793213195633</v>
      </c>
      <c r="EU190" s="172">
        <f ca="1">(VLOOKUP(EU$72,INDIRECT($C$5&amp;"生成成长"),2))/((VLOOKUP($B190,INDIRECT($B$5&amp;"生成成长"),4))/(VLOOKUP(EU$72,INDIRECT($C$5&amp;"生成成长"),5))*(VLOOKUP($B$5,标准坦克设计!$B$24:$U$30,MATCH("对"&amp;LEFT($C$5,2)&amp;"输出",标准坦克设计!$B$23:$U$23,0)))*(VLOOKUP($B190,INDIRECT($B$5&amp;"生成成长"),3))*(VLOOKUP($B$5,标准坦克设计!$B$14:$K$20,9)/30))</f>
        <v>17.901102576334043</v>
      </c>
      <c r="EV190" s="172">
        <f ca="1">(VLOOKUP(EV$72,INDIRECT($C$5&amp;"生成成长"),2))/((VLOOKUP($B190,INDIRECT($B$5&amp;"生成成长"),4))/(VLOOKUP(EV$72,INDIRECT($C$5&amp;"生成成长"),5))*(VLOOKUP($B$5,标准坦克设计!$B$24:$U$30,MATCH("对"&amp;LEFT($C$5,2)&amp;"输出",标准坦克设计!$B$23:$U$23,0)))*(VLOOKUP($B190,INDIRECT($B$5&amp;"生成成长"),3))*(VLOOKUP($B$5,标准坦克设计!$B$14:$K$20,9)/30))</f>
        <v>19.275219628807616</v>
      </c>
      <c r="EW190" s="172">
        <f ca="1">(VLOOKUP(EW$72,INDIRECT($C$5&amp;"生成成长"),2))/((VLOOKUP($B190,INDIRECT($B$5&amp;"生成成长"),4))/(VLOOKUP(EW$72,INDIRECT($C$5&amp;"生成成长"),5))*(VLOOKUP($B$5,标准坦克设计!$B$24:$U$30,MATCH("对"&amp;LEFT($C$5,2)&amp;"输出",标准坦克设计!$B$23:$U$23,0)))*(VLOOKUP($B190,INDIRECT($B$5&amp;"生成成长"),3))*(VLOOKUP($B$5,标准坦克设计!$B$14:$K$20,9)/30))</f>
        <v>20.700144370616343</v>
      </c>
      <c r="EX190" s="172">
        <f ca="1">(VLOOKUP(EX$72,INDIRECT($C$5&amp;"生成成长"),2))/((VLOOKUP($B190,INDIRECT($B$5&amp;"生成成长"),4))/(VLOOKUP(EX$72,INDIRECT($C$5&amp;"生成成长"),5))*(VLOOKUP($B$5,标准坦克设计!$B$24:$U$30,MATCH("对"&amp;LEFT($C$5,2)&amp;"输出",标准坦克设计!$B$23:$U$23,0)))*(VLOOKUP($B190,INDIRECT($B$5&amp;"生成成长"),3))*(VLOOKUP($B$5,标准坦克设计!$B$14:$K$20,9)/30))</f>
        <v>22.175876801760225</v>
      </c>
      <c r="EY190" s="172">
        <f ca="1">(VLOOKUP(EY$72,INDIRECT($C$5&amp;"生成成长"),2))/((VLOOKUP($B190,INDIRECT($B$5&amp;"生成成长"),4))/(VLOOKUP(EY$72,INDIRECT($C$5&amp;"生成成长"),5))*(VLOOKUP($B$5,标准坦克设计!$B$24:$U$30,MATCH("对"&amp;LEFT($C$5,2)&amp;"输出",标准坦克设计!$B$23:$U$23,0)))*(VLOOKUP($B190,INDIRECT($B$5&amp;"生成成长"),3))*(VLOOKUP($B$5,标准坦克设计!$B$14:$K$20,9)/30))</f>
        <v>23.702416922239266</v>
      </c>
      <c r="EZ190" s="172">
        <f ca="1">(VLOOKUP(EZ$72,INDIRECT($C$5&amp;"生成成长"),2))/((VLOOKUP($B190,INDIRECT($B$5&amp;"生成成长"),4))/(VLOOKUP(EZ$72,INDIRECT($C$5&amp;"生成成长"),5))*(VLOOKUP($B$5,标准坦克设计!$B$24:$U$30,MATCH("对"&amp;LEFT($C$5,2)&amp;"输出",标准坦克设计!$B$23:$U$23,0)))*(VLOOKUP($B190,INDIRECT($B$5&amp;"生成成长"),3))*(VLOOKUP($B$5,标准坦克设计!$B$14:$K$20,9)/30))</f>
        <v>25.279764732053458</v>
      </c>
      <c r="FA190" s="172">
        <f ca="1">(VLOOKUP(FA$72,INDIRECT($C$5&amp;"生成成长"),2))/((VLOOKUP($B190,INDIRECT($B$5&amp;"生成成长"),4))/(VLOOKUP(FA$72,INDIRECT($C$5&amp;"生成成长"),5))*(VLOOKUP($B$5,标准坦克设计!$B$24:$U$30,MATCH("对"&amp;LEFT($C$5,2)&amp;"输出",标准坦克设计!$B$23:$U$23,0)))*(VLOOKUP($B190,INDIRECT($B$5&amp;"生成成长"),3))*(VLOOKUP($B$5,标准坦克设计!$B$14:$K$20,9)/30))</f>
        <v>26.907920231202812</v>
      </c>
      <c r="FB190" s="172">
        <f ca="1">(VLOOKUP(FB$72,INDIRECT($C$5&amp;"生成成长"),2))/((VLOOKUP($B190,INDIRECT($B$5&amp;"生成成长"),4))/(VLOOKUP(FB$72,INDIRECT($C$5&amp;"生成成长"),5))*(VLOOKUP($B$5,标准坦克设计!$B$24:$U$30,MATCH("对"&amp;LEFT($C$5,2)&amp;"输出",标准坦克设计!$B$23:$U$23,0)))*(VLOOKUP($B190,INDIRECT($B$5&amp;"生成成长"),3))*(VLOOKUP($B$5,标准坦克设计!$B$14:$K$20,9)/30))</f>
        <v>28.586883419687325</v>
      </c>
      <c r="FC190" s="172">
        <f ca="1">(VLOOKUP(FC$72,INDIRECT($C$5&amp;"生成成长"),2))/((VLOOKUP($B190,INDIRECT($B$5&amp;"生成成长"),4))/(VLOOKUP(FC$72,INDIRECT($C$5&amp;"生成成长"),5))*(VLOOKUP($B$5,标准坦克设计!$B$24:$U$30,MATCH("对"&amp;LEFT($C$5,2)&amp;"输出",标准坦克设计!$B$23:$U$23,0)))*(VLOOKUP($B190,INDIRECT($B$5&amp;"生成成长"),3))*(VLOOKUP($B$5,标准坦克设计!$B$14:$K$20,9)/30))</f>
        <v>30.316654297506993</v>
      </c>
      <c r="FD190" s="172">
        <f ca="1">(VLOOKUP(FD$72,INDIRECT($C$5&amp;"生成成长"),2))/((VLOOKUP($B190,INDIRECT($B$5&amp;"生成成长"),4))/(VLOOKUP(FD$72,INDIRECT($C$5&amp;"生成成长"),5))*(VLOOKUP($B$5,标准坦克设计!$B$24:$U$30,MATCH("对"&amp;LEFT($C$5,2)&amp;"输出",标准坦克设计!$B$23:$U$23,0)))*(VLOOKUP($B190,INDIRECT($B$5&amp;"生成成长"),3))*(VLOOKUP($B$5,标准坦克设计!$B$14:$K$20,9)/30))</f>
        <v>32.097232864661812</v>
      </c>
      <c r="FE190" s="172">
        <f ca="1">(VLOOKUP(FE$72,INDIRECT($C$5&amp;"生成成长"),2))/((VLOOKUP($B190,INDIRECT($B$5&amp;"生成成长"),4))/(VLOOKUP(FE$72,INDIRECT($C$5&amp;"生成成长"),5))*(VLOOKUP($B$5,标准坦克设计!$B$24:$U$30,MATCH("对"&amp;LEFT($C$5,2)&amp;"输出",标准坦克设计!$B$23:$U$23,0)))*(VLOOKUP($B190,INDIRECT($B$5&amp;"生成成长"),3))*(VLOOKUP($B$5,标准坦克设计!$B$14:$K$20,9)/30))</f>
        <v>34.267057117880199</v>
      </c>
      <c r="FF190" s="172">
        <f ca="1">(VLOOKUP(FF$72,INDIRECT($C$5&amp;"生成成长"),2))/((VLOOKUP($B190,INDIRECT($B$5&amp;"生成成长"),4))/(VLOOKUP(FF$72,INDIRECT($C$5&amp;"生成成长"),5))*(VLOOKUP($B$5,标准坦克设计!$B$24:$U$30,MATCH("对"&amp;LEFT($C$5,2)&amp;"输出",标准坦克设计!$B$23:$U$23,0)))*(VLOOKUP($B190,INDIRECT($B$5&amp;"生成成长"),3))*(VLOOKUP($B$5,标准坦克设计!$B$14:$K$20,9)/30))</f>
        <v>36.507844176864225</v>
      </c>
      <c r="FG190" s="172">
        <f ca="1">(VLOOKUP(FG$72,INDIRECT($C$5&amp;"生成成长"),2))/((VLOOKUP($B190,INDIRECT($B$5&amp;"生成成长"),4))/(VLOOKUP(FG$72,INDIRECT($C$5&amp;"生成成长"),5))*(VLOOKUP($B$5,标准坦克设计!$B$24:$U$30,MATCH("对"&amp;LEFT($C$5,2)&amp;"输出",标准坦克设计!$B$23:$U$23,0)))*(VLOOKUP($B190,INDIRECT($B$5&amp;"生成成长"),3))*(VLOOKUP($B$5,标准坦克设计!$B$14:$K$20,9)/30))</f>
        <v>38.819594041613875</v>
      </c>
      <c r="FH190" s="172">
        <f ca="1">(VLOOKUP(FH$72,INDIRECT($C$5&amp;"生成成长"),2))/((VLOOKUP($B190,INDIRECT($B$5&amp;"生成成长"),4))/(VLOOKUP(FH$72,INDIRECT($C$5&amp;"生成成长"),5))*(VLOOKUP($B$5,标准坦克设计!$B$24:$U$30,MATCH("对"&amp;LEFT($C$5,2)&amp;"输出",标准坦克设计!$B$23:$U$23,0)))*(VLOOKUP($B190,INDIRECT($B$5&amp;"生成成长"),3))*(VLOOKUP($B$5,标准坦克设计!$B$14:$K$20,9)/30))</f>
        <v>41.20230671212915</v>
      </c>
      <c r="FI190" s="172">
        <f ca="1">(VLOOKUP(FI$72,INDIRECT($C$5&amp;"生成成长"),2))/((VLOOKUP($B190,INDIRECT($B$5&amp;"生成成长"),4))/(VLOOKUP(FI$72,INDIRECT($C$5&amp;"生成成长"),5))*(VLOOKUP($B$5,标准坦克设计!$B$24:$U$30,MATCH("对"&amp;LEFT($C$5,2)&amp;"输出",标准坦克设计!$B$23:$U$23,0)))*(VLOOKUP($B190,INDIRECT($B$5&amp;"生成成长"),3))*(VLOOKUP($B$5,标准坦克设计!$B$14:$K$20,9)/30))</f>
        <v>43.655982188410071</v>
      </c>
      <c r="FJ190" s="172">
        <f ca="1">(VLOOKUP(FJ$72,INDIRECT($C$5&amp;"生成成长"),2))/((VLOOKUP($B190,INDIRECT($B$5&amp;"生成成长"),4))/(VLOOKUP(FJ$72,INDIRECT($C$5&amp;"生成成长"),5))*(VLOOKUP($B$5,标准坦克设计!$B$24:$U$30,MATCH("对"&amp;LEFT($C$5,2)&amp;"输出",标准坦克设计!$B$23:$U$23,0)))*(VLOOKUP($B190,INDIRECT($B$5&amp;"生成成长"),3))*(VLOOKUP($B$5,标准坦克设计!$B$14:$K$20,9)/30))</f>
        <v>46.180620470456631</v>
      </c>
      <c r="FK190" s="172">
        <f ca="1">(VLOOKUP(FK$72,INDIRECT($C$5&amp;"生成成长"),2))/((VLOOKUP($B190,INDIRECT($B$5&amp;"生成成长"),4))/(VLOOKUP(FK$72,INDIRECT($C$5&amp;"生成成长"),5))*(VLOOKUP($B$5,标准坦克设计!$B$24:$U$30,MATCH("对"&amp;LEFT($C$5,2)&amp;"输出",标准坦克设计!$B$23:$U$23,0)))*(VLOOKUP($B190,INDIRECT($B$5&amp;"生成成长"),3))*(VLOOKUP($B$5,标准坦克设计!$B$14:$K$20,9)/30))</f>
        <v>48.776221558268794</v>
      </c>
    </row>
    <row r="191" spans="1:167" x14ac:dyDescent="0.15">
      <c r="A191" s="170" t="str">
        <f t="shared" si="12"/>
        <v>T3高品质8级</v>
      </c>
      <c r="B191" s="171">
        <v>30308</v>
      </c>
      <c r="C191" s="172">
        <f ca="1">(VLOOKUP(C$72,INDIRECT($C$5&amp;"生成成长"),2))/((VLOOKUP($B191,INDIRECT($B$5&amp;"生成成长"),4))/(VLOOKUP(C$72,INDIRECT($C$5&amp;"生成成长"),5))*(VLOOKUP($B$5,标准坦克设计!$B$24:$U$30,MATCH("对"&amp;LEFT($C$5,2)&amp;"输出",标准坦克设计!$B$23:$U$23,0)))*(VLOOKUP($B191,INDIRECT($B$5&amp;"生成成长"),3))*(VLOOKUP($B$5,标准坦克设计!$B$14:$K$20,9)/30))</f>
        <v>1.9338807863755978</v>
      </c>
      <c r="D191" s="172">
        <f ca="1">(VLOOKUP(D$72,INDIRECT($C$5&amp;"生成成长"),2))/((VLOOKUP($B191,INDIRECT($B$5&amp;"生成成长"),4))/(VLOOKUP(D$72,INDIRECT($C$5&amp;"生成成长"),5))*(VLOOKUP($B$5,标准坦克设计!$B$24:$U$30,MATCH("对"&amp;LEFT($C$5,2)&amp;"输出",标准坦克设计!$B$23:$U$23,0)))*(VLOOKUP($B191,INDIRECT($B$5&amp;"生成成长"),3))*(VLOOKUP($B$5,标准坦克设计!$B$14:$K$20,9)/30))</f>
        <v>2.1729084515716219</v>
      </c>
      <c r="E191" s="172">
        <f ca="1">(VLOOKUP(E$72,INDIRECT($C$5&amp;"生成成长"),2))/((VLOOKUP($B191,INDIRECT($B$5&amp;"生成成长"),4))/(VLOOKUP(E$72,INDIRECT($C$5&amp;"生成成长"),5))*(VLOOKUP($B$5,标准坦克设计!$B$24:$U$30,MATCH("对"&amp;LEFT($C$5,2)&amp;"输出",标准坦克设计!$B$23:$U$23,0)))*(VLOOKUP($B191,INDIRECT($B$5&amp;"生成成长"),3))*(VLOOKUP($B$5,标准坦克设计!$B$14:$K$20,9)/30))</f>
        <v>2.4258600584295502</v>
      </c>
      <c r="F191" s="172">
        <f ca="1">(VLOOKUP(F$72,INDIRECT($C$5&amp;"生成成长"),2))/((VLOOKUP($B191,INDIRECT($B$5&amp;"生成成长"),4))/(VLOOKUP(F$72,INDIRECT($C$5&amp;"生成成长"),5))*(VLOOKUP($B$5,标准坦克设计!$B$24:$U$30,MATCH("对"&amp;LEFT($C$5,2)&amp;"输出",标准坦克设计!$B$23:$U$23,0)))*(VLOOKUP($B191,INDIRECT($B$5&amp;"生成成长"),3))*(VLOOKUP($B$5,标准坦克设计!$B$14:$K$20,9)/30))</f>
        <v>2.6927356069493826</v>
      </c>
      <c r="G191" s="172">
        <f ca="1">(VLOOKUP(G$72,INDIRECT($C$5&amp;"生成成长"),2))/((VLOOKUP($B191,INDIRECT($B$5&amp;"生成成长"),4))/(VLOOKUP(G$72,INDIRECT($C$5&amp;"生成成长"),5))*(VLOOKUP($B$5,标准坦克设计!$B$24:$U$30,MATCH("对"&amp;LEFT($C$5,2)&amp;"输出",标准坦克设计!$B$23:$U$23,0)))*(VLOOKUP($B191,INDIRECT($B$5&amp;"生成成长"),3))*(VLOOKUP($B$5,标准坦克设计!$B$14:$K$20,9)/30))</f>
        <v>2.9735350971311192</v>
      </c>
      <c r="H191" s="172">
        <f ca="1">(VLOOKUP(H$72,INDIRECT($C$5&amp;"生成成长"),2))/((VLOOKUP($B191,INDIRECT($B$5&amp;"生成成长"),4))/(VLOOKUP(H$72,INDIRECT($C$5&amp;"生成成长"),5))*(VLOOKUP($B$5,标准坦克设计!$B$24:$U$30,MATCH("对"&amp;LEFT($C$5,2)&amp;"输出",标准坦克设计!$B$23:$U$23,0)))*(VLOOKUP($B191,INDIRECT($B$5&amp;"生成成长"),3))*(VLOOKUP($B$5,标准坦克设计!$B$14:$K$20,9)/30))</f>
        <v>2.6022299861470044</v>
      </c>
      <c r="I191" s="172">
        <f ca="1">(VLOOKUP(I$72,INDIRECT($C$5&amp;"生成成长"),2))/((VLOOKUP($B191,INDIRECT($B$5&amp;"生成成长"),4))/(VLOOKUP(I$72,INDIRECT($C$5&amp;"生成成长"),5))*(VLOOKUP($B$5,标准坦克设计!$B$24:$U$30,MATCH("对"&amp;LEFT($C$5,2)&amp;"输出",标准坦克设计!$B$23:$U$23,0)))*(VLOOKUP($B191,INDIRECT($B$5&amp;"生成成长"),3))*(VLOOKUP($B$5,标准坦克设计!$B$14:$K$20,9)/30))</f>
        <v>2.9735350971311192</v>
      </c>
      <c r="J191" s="172">
        <f ca="1">(VLOOKUP(J$72,INDIRECT($C$5&amp;"生成成长"),2))/((VLOOKUP($B191,INDIRECT($B$5&amp;"生成成长"),4))/(VLOOKUP(J$72,INDIRECT($C$5&amp;"生成成长"),5))*(VLOOKUP($B$5,标准坦克设计!$B$24:$U$30,MATCH("对"&amp;LEFT($C$5,2)&amp;"输出",标准坦克设计!$B$23:$U$23,0)))*(VLOOKUP($B191,INDIRECT($B$5&amp;"生成成长"),3))*(VLOOKUP($B$5,标准坦克设计!$B$14:$K$20,9)/30))</f>
        <v>3.3695938821808422</v>
      </c>
      <c r="K191" s="172">
        <f ca="1">(VLOOKUP(K$72,INDIRECT($C$5&amp;"生成成长"),2))/((VLOOKUP($B191,INDIRECT($B$5&amp;"生成成长"),4))/(VLOOKUP(K$72,INDIRECT($C$5&amp;"生成成长"),5))*(VLOOKUP($B$5,标准坦克设计!$B$24:$U$30,MATCH("对"&amp;LEFT($C$5,2)&amp;"输出",标准坦克设计!$B$23:$U$23,0)))*(VLOOKUP($B191,INDIRECT($B$5&amp;"生成成长"),3))*(VLOOKUP($B$5,标准坦克设计!$B$14:$K$20,9)/30))</f>
        <v>3.7904063412961722</v>
      </c>
      <c r="L191" s="172">
        <f ca="1">(VLOOKUP(L$72,INDIRECT($C$5&amp;"生成成长"),2))/((VLOOKUP($B191,INDIRECT($B$5&amp;"生成成长"),4))/(VLOOKUP(L$72,INDIRECT($C$5&amp;"生成成长"),5))*(VLOOKUP($B$5,标准坦克设计!$B$24:$U$30,MATCH("对"&amp;LEFT($C$5,2)&amp;"输出",标准坦克设计!$B$23:$U$23,0)))*(VLOOKUP($B191,INDIRECT($B$5&amp;"生成成长"),3))*(VLOOKUP($B$5,标准坦克设计!$B$14:$K$20,9)/30))</f>
        <v>4.2359724744771095</v>
      </c>
      <c r="M191" s="172">
        <f ca="1">(VLOOKUP(M$72,INDIRECT($C$5&amp;"生成成长"),2))/((VLOOKUP($B191,INDIRECT($B$5&amp;"生成成长"),4))/(VLOOKUP(M$72,INDIRECT($C$5&amp;"生成成长"),5))*(VLOOKUP($B$5,标准坦克设计!$B$24:$U$30,MATCH("对"&amp;LEFT($C$5,2)&amp;"输出",标准坦克设计!$B$23:$U$23,0)))*(VLOOKUP($B191,INDIRECT($B$5&amp;"生成成长"),3))*(VLOOKUP($B$5,标准坦克设计!$B$14:$K$20,9)/30))</f>
        <v>4.7062922817236545</v>
      </c>
      <c r="N191" s="172">
        <f ca="1">(VLOOKUP(N$72,INDIRECT($C$5&amp;"生成成长"),2))/((VLOOKUP($B191,INDIRECT($B$5&amp;"生成成长"),4))/(VLOOKUP(N$72,INDIRECT($C$5&amp;"生成成长"),5))*(VLOOKUP($B$5,标准坦克设计!$B$24:$U$30,MATCH("对"&amp;LEFT($C$5,2)&amp;"输出",标准坦克设计!$B$23:$U$23,0)))*(VLOOKUP($B191,INDIRECT($B$5&amp;"生成成长"),3))*(VLOOKUP($B$5,标准坦克设计!$B$14:$K$20,9)/30))</f>
        <v>5.2013657630358088</v>
      </c>
      <c r="O191" s="172">
        <f ca="1">(VLOOKUP(O$72,INDIRECT($C$5&amp;"生成成长"),2))/((VLOOKUP($B191,INDIRECT($B$5&amp;"生成成长"),4))/(VLOOKUP(O$72,INDIRECT($C$5&amp;"生成成长"),5))*(VLOOKUP($B$5,标准坦克设计!$B$24:$U$30,MATCH("对"&amp;LEFT($C$5,2)&amp;"输出",标准坦克设计!$B$23:$U$23,0)))*(VLOOKUP($B191,INDIRECT($B$5&amp;"生成成长"),3))*(VLOOKUP($B$5,标准坦克设计!$B$14:$K$20,9)/30))</f>
        <v>3.9545928200594602</v>
      </c>
      <c r="P191" s="172">
        <f ca="1">(VLOOKUP(P$72,INDIRECT($C$5&amp;"生成成长"),2))/((VLOOKUP($B191,INDIRECT($B$5&amp;"生成成长"),4))/(VLOOKUP(P$72,INDIRECT($C$5&amp;"生成成长"),5))*(VLOOKUP($B$5,标准坦克设计!$B$24:$U$30,MATCH("对"&amp;LEFT($C$5,2)&amp;"输出",标准坦克设计!$B$23:$U$23,0)))*(VLOOKUP($B191,INDIRECT($B$5&amp;"生成成长"),3))*(VLOOKUP($B$5,标准坦克设计!$B$14:$K$20,9)/30))</f>
        <v>4.4680381688421811</v>
      </c>
      <c r="Q191" s="172">
        <f ca="1">(VLOOKUP(Q$72,INDIRECT($C$5&amp;"生成成长"),2))/((VLOOKUP($B191,INDIRECT($B$5&amp;"生成成长"),4))/(VLOOKUP(Q$72,INDIRECT($C$5&amp;"生成成长"),5))*(VLOOKUP($B$5,标准坦克设计!$B$24:$U$30,MATCH("对"&amp;LEFT($C$5,2)&amp;"输出",标准坦克设计!$B$23:$U$23,0)))*(VLOOKUP($B191,INDIRECT($B$5&amp;"生成成长"),3))*(VLOOKUP($B$5,标准坦克设计!$B$14:$K$20,9)/30))</f>
        <v>5.0128123863641862</v>
      </c>
      <c r="R191" s="172">
        <f ca="1">(VLOOKUP(R$72,INDIRECT($C$5&amp;"生成成长"),2))/((VLOOKUP($B191,INDIRECT($B$5&amp;"生成成长"),4))/(VLOOKUP(R$72,INDIRECT($C$5&amp;"生成成长"),5))*(VLOOKUP($B$5,标准坦克设计!$B$24:$U$30,MATCH("对"&amp;LEFT($C$5,2)&amp;"输出",标准坦克设计!$B$23:$U$23,0)))*(VLOOKUP($B191,INDIRECT($B$5&amp;"生成成长"),3))*(VLOOKUP($B$5,标准坦克设计!$B$14:$K$20,9)/30))</f>
        <v>5.5889154726254784</v>
      </c>
      <c r="S191" s="172">
        <f ca="1">(VLOOKUP(S$72,INDIRECT($C$5&amp;"生成成长"),2))/((VLOOKUP($B191,INDIRECT($B$5&amp;"生成成长"),4))/(VLOOKUP(S$72,INDIRECT($C$5&amp;"生成成长"),5))*(VLOOKUP($B$5,标准坦克设计!$B$24:$U$30,MATCH("对"&amp;LEFT($C$5,2)&amp;"输出",标准坦克设计!$B$23:$U$23,0)))*(VLOOKUP($B191,INDIRECT($B$5&amp;"生成成长"),3))*(VLOOKUP($B$5,标准坦克设计!$B$14:$K$20,9)/30))</f>
        <v>6.1963474276260531</v>
      </c>
      <c r="T191" s="172">
        <f ca="1">(VLOOKUP(T$72,INDIRECT($C$5&amp;"生成成长"),2))/((VLOOKUP($B191,INDIRECT($B$5&amp;"生成成长"),4))/(VLOOKUP(T$72,INDIRECT($C$5&amp;"生成成长"),5))*(VLOOKUP($B$5,标准坦克设计!$B$24:$U$30,MATCH("对"&amp;LEFT($C$5,2)&amp;"输出",标准坦克设计!$B$23:$U$23,0)))*(VLOOKUP($B191,INDIRECT($B$5&amp;"生成成长"),3))*(VLOOKUP($B$5,标准坦克设计!$B$14:$K$20,9)/30))</f>
        <v>6.8351082513659129</v>
      </c>
      <c r="U191" s="172">
        <f ca="1">(VLOOKUP(U$72,INDIRECT($C$5&amp;"生成成长"),2))/((VLOOKUP($B191,INDIRECT($B$5&amp;"生成成长"),4))/(VLOOKUP(U$72,INDIRECT($C$5&amp;"生成成长"),5))*(VLOOKUP($B$5,标准坦克设计!$B$24:$U$30,MATCH("对"&amp;LEFT($C$5,2)&amp;"输出",标准坦克设计!$B$23:$U$23,0)))*(VLOOKUP($B191,INDIRECT($B$5&amp;"生成成长"),3))*(VLOOKUP($B$5,标准坦克设计!$B$14:$K$20,9)/30))</f>
        <v>7.505197943845058</v>
      </c>
      <c r="V191" s="172">
        <f ca="1">(VLOOKUP(V$72,INDIRECT($C$5&amp;"生成成长"),2))/((VLOOKUP($B191,INDIRECT($B$5&amp;"生成成长"),4))/(VLOOKUP(V$72,INDIRECT($C$5&amp;"生成成长"),5))*(VLOOKUP($B$5,标准坦克设计!$B$24:$U$30,MATCH("对"&amp;LEFT($C$5,2)&amp;"输出",标准坦克设计!$B$23:$U$23,0)))*(VLOOKUP($B191,INDIRECT($B$5&amp;"生成成长"),3))*(VLOOKUP($B$5,标准坦克设计!$B$14:$K$20,9)/30))</f>
        <v>8.2066165050634865</v>
      </c>
      <c r="W191" s="172">
        <f ca="1">(VLOOKUP(W$72,INDIRECT($C$5&amp;"生成成长"),2))/((VLOOKUP($B191,INDIRECT($B$5&amp;"生成成长"),4))/(VLOOKUP(W$72,INDIRECT($C$5&amp;"生成成长"),5))*(VLOOKUP($B$5,标准坦克设计!$B$24:$U$30,MATCH("对"&amp;LEFT($C$5,2)&amp;"输出",标准坦克设计!$B$23:$U$23,0)))*(VLOOKUP($B191,INDIRECT($B$5&amp;"生成成长"),3))*(VLOOKUP($B$5,标准坦克设计!$B$14:$K$20,9)/30))</f>
        <v>8.9393639350212002</v>
      </c>
      <c r="X191" s="172">
        <f ca="1">(VLOOKUP(X$72,INDIRECT($C$5&amp;"生成成长"),2))/((VLOOKUP($B191,INDIRECT($B$5&amp;"生成成长"),4))/(VLOOKUP(X$72,INDIRECT($C$5&amp;"生成成长"),5))*(VLOOKUP($B$5,标准坦克设计!$B$24:$U$30,MATCH("对"&amp;LEFT($C$5,2)&amp;"输出",标准坦克设计!$B$23:$U$23,0)))*(VLOOKUP($B191,INDIRECT($B$5&amp;"生成成长"),3))*(VLOOKUP($B$5,标准坦克设计!$B$14:$K$20,9)/30))</f>
        <v>6.4763733654932407</v>
      </c>
      <c r="Y191" s="172">
        <f ca="1">(VLOOKUP(Y$72,INDIRECT($C$5&amp;"生成成长"),2))/((VLOOKUP($B191,INDIRECT($B$5&amp;"生成成长"),4))/(VLOOKUP(Y$72,INDIRECT($C$5&amp;"生成成长"),5))*(VLOOKUP($B$5,标准坦克设计!$B$24:$U$30,MATCH("对"&amp;LEFT($C$5,2)&amp;"输出",标准坦克设计!$B$23:$U$23,0)))*(VLOOKUP($B191,INDIRECT($B$5&amp;"生成成长"),3))*(VLOOKUP($B$5,标准坦克设计!$B$14:$K$20,9)/30))</f>
        <v>7.2035125411704648</v>
      </c>
      <c r="Z191" s="172">
        <f ca="1">(VLOOKUP(Z$72,INDIRECT($C$5&amp;"生成成长"),2))/((VLOOKUP($B191,INDIRECT($B$5&amp;"生成成长"),4))/(VLOOKUP(Z$72,INDIRECT($C$5&amp;"生成成长"),5))*(VLOOKUP($B$5,标准坦克设计!$B$24:$U$30,MATCH("对"&amp;LEFT($C$5,2)&amp;"输出",标准坦克设计!$B$23:$U$23,0)))*(VLOOKUP($B191,INDIRECT($B$5&amp;"生成成长"),3))*(VLOOKUP($B$5,标准坦克设计!$B$14:$K$20,9)/30))</f>
        <v>7.9693293325752022</v>
      </c>
      <c r="AA191" s="172">
        <f ca="1">(VLOOKUP(AA$72,INDIRECT($C$5&amp;"生成成长"),2))/((VLOOKUP($B191,INDIRECT($B$5&amp;"生成成长"),4))/(VLOOKUP(AA$72,INDIRECT($C$5&amp;"生成成长"),5))*(VLOOKUP($B$5,标准坦克设计!$B$24:$U$30,MATCH("对"&amp;LEFT($C$5,2)&amp;"输出",标准坦克设计!$B$23:$U$23,0)))*(VLOOKUP($B191,INDIRECT($B$5&amp;"生成成长"),3))*(VLOOKUP($B$5,标准坦克设计!$B$14:$K$20,9)/30))</f>
        <v>8.7738237397074492</v>
      </c>
      <c r="AB191" s="172">
        <f ca="1">(VLOOKUP(AB$72,INDIRECT($C$5&amp;"生成成长"),2))/((VLOOKUP($B191,INDIRECT($B$5&amp;"生成成长"),4))/(VLOOKUP(AB$72,INDIRECT($C$5&amp;"生成成长"),5))*(VLOOKUP($B$5,标准坦克设计!$B$24:$U$30,MATCH("对"&amp;LEFT($C$5,2)&amp;"输出",标准坦克设计!$B$23:$U$23,0)))*(VLOOKUP($B191,INDIRECT($B$5&amp;"生成成长"),3))*(VLOOKUP($B$5,标准坦克设计!$B$14:$K$20,9)/30))</f>
        <v>9.6169957625672104</v>
      </c>
      <c r="AC191" s="172">
        <f ca="1">(VLOOKUP(AC$72,INDIRECT($C$5&amp;"生成成长"),2))/((VLOOKUP($B191,INDIRECT($B$5&amp;"生成成长"),4))/(VLOOKUP(AC$72,INDIRECT($C$5&amp;"生成成长"),5))*(VLOOKUP($B$5,标准坦克设计!$B$24:$U$30,MATCH("对"&amp;LEFT($C$5,2)&amp;"输出",标准坦克设计!$B$23:$U$23,0)))*(VLOOKUP($B191,INDIRECT($B$5&amp;"生成成长"),3))*(VLOOKUP($B$5,标准坦克设计!$B$14:$K$20,9)/30))</f>
        <v>10.498845401154485</v>
      </c>
      <c r="AD191" s="172">
        <f ca="1">(VLOOKUP(AD$72,INDIRECT($C$5&amp;"生成成长"),2))/((VLOOKUP($B191,INDIRECT($B$5&amp;"生成成长"),4))/(VLOOKUP(AD$72,INDIRECT($C$5&amp;"生成成长"),5))*(VLOOKUP($B$5,标准坦克设计!$B$24:$U$30,MATCH("对"&amp;LEFT($C$5,2)&amp;"输出",标准坦克设计!$B$23:$U$23,0)))*(VLOOKUP($B191,INDIRECT($B$5&amp;"生成成长"),3))*(VLOOKUP($B$5,标准坦克设计!$B$14:$K$20,9)/30))</f>
        <v>11.419372655469267</v>
      </c>
      <c r="AE191" s="172">
        <f ca="1">(VLOOKUP(AE$72,INDIRECT($C$5&amp;"生成成长"),2))/((VLOOKUP($B191,INDIRECT($B$5&amp;"生成成长"),4))/(VLOOKUP(AE$72,INDIRECT($C$5&amp;"生成成长"),5))*(VLOOKUP($B$5,标准坦克设计!$B$24:$U$30,MATCH("对"&amp;LEFT($C$5,2)&amp;"输出",标准坦克设计!$B$23:$U$23,0)))*(VLOOKUP($B191,INDIRECT($B$5&amp;"生成成长"),3))*(VLOOKUP($B$5,标准坦克设计!$B$14:$K$20,9)/30))</f>
        <v>12.378577525511563</v>
      </c>
      <c r="AF191" s="172">
        <f ca="1">(VLOOKUP(AF$72,INDIRECT($C$5&amp;"生成成长"),2))/((VLOOKUP($B191,INDIRECT($B$5&amp;"生成成长"),4))/(VLOOKUP(AF$72,INDIRECT($C$5&amp;"生成成长"),5))*(VLOOKUP($B$5,标准坦克设计!$B$24:$U$30,MATCH("对"&amp;LEFT($C$5,2)&amp;"输出",标准坦克设计!$B$23:$U$23,0)))*(VLOOKUP($B191,INDIRECT($B$5&amp;"生成成长"),3))*(VLOOKUP($B$5,标准坦克设计!$B$14:$K$20,9)/30))</f>
        <v>13.376460011281372</v>
      </c>
      <c r="AG191" s="172">
        <f ca="1">(VLOOKUP(AG$72,INDIRECT($C$5&amp;"生成成长"),2))/((VLOOKUP($B191,INDIRECT($B$5&amp;"生成成长"),4))/(VLOOKUP(AG$72,INDIRECT($C$5&amp;"生成成长"),5))*(VLOOKUP($B$5,标准坦克设计!$B$24:$U$30,MATCH("对"&amp;LEFT($C$5,2)&amp;"输出",标准坦克设计!$B$23:$U$23,0)))*(VLOOKUP($B191,INDIRECT($B$5&amp;"生成成长"),3))*(VLOOKUP($B$5,标准坦克设计!$B$14:$K$20,9)/30))</f>
        <v>14.413020112778693</v>
      </c>
      <c r="AH191" s="172">
        <f ca="1">(VLOOKUP(AH$72,INDIRECT($C$5&amp;"生成成长"),2))/((VLOOKUP($B191,INDIRECT($B$5&amp;"生成成长"),4))/(VLOOKUP(AH$72,INDIRECT($C$5&amp;"生成成长"),5))*(VLOOKUP($B$5,标准坦克设计!$B$24:$U$30,MATCH("对"&amp;LEFT($C$5,2)&amp;"输出",标准坦克设计!$B$23:$U$23,0)))*(VLOOKUP($B191,INDIRECT($B$5&amp;"生成成长"),3))*(VLOOKUP($B$5,标准坦克设计!$B$14:$K$20,9)/30))</f>
        <v>15.488257830003526</v>
      </c>
      <c r="AI191" s="172">
        <f ca="1">(VLOOKUP(AI$72,INDIRECT($C$5&amp;"生成成长"),2))/((VLOOKUP($B191,INDIRECT($B$5&amp;"生成成长"),4))/(VLOOKUP(AI$72,INDIRECT($C$5&amp;"生成成长"),5))*(VLOOKUP($B$5,标准坦克设计!$B$24:$U$30,MATCH("对"&amp;LEFT($C$5,2)&amp;"输出",标准坦克设计!$B$23:$U$23,0)))*(VLOOKUP($B191,INDIRECT($B$5&amp;"生成成长"),3))*(VLOOKUP($B$5,标准坦克设计!$B$14:$K$20,9)/30))</f>
        <v>10.954274326345935</v>
      </c>
      <c r="AJ191" s="172">
        <f ca="1">(VLOOKUP(AJ$72,INDIRECT($C$5&amp;"生成成长"),2))/((VLOOKUP($B191,INDIRECT($B$5&amp;"生成成长"),4))/(VLOOKUP(AJ$72,INDIRECT($C$5&amp;"生成成长"),5))*(VLOOKUP($B$5,标准坦克设计!$B$24:$U$30,MATCH("对"&amp;LEFT($C$5,2)&amp;"输出",标准坦克设计!$B$23:$U$23,0)))*(VLOOKUP($B191,INDIRECT($B$5&amp;"生成成长"),3))*(VLOOKUP($B$5,标准坦克设计!$B$14:$K$20,9)/30))</f>
        <v>11.990254263607342</v>
      </c>
      <c r="AK191" s="172">
        <f ca="1">(VLOOKUP(AK$72,INDIRECT($C$5&amp;"生成成长"),2))/((VLOOKUP($B191,INDIRECT($B$5&amp;"生成成长"),4))/(VLOOKUP(AK$72,INDIRECT($C$5&amp;"生成成长"),5))*(VLOOKUP($B$5,标准坦克设计!$B$24:$U$30,MATCH("对"&amp;LEFT($C$5,2)&amp;"输出",标准坦克设计!$B$23:$U$23,0)))*(VLOOKUP($B191,INDIRECT($B$5&amp;"生成成长"),3))*(VLOOKUP($B$5,标准坦克设计!$B$14:$K$20,9)/30))</f>
        <v>13.073034115899043</v>
      </c>
      <c r="AL191" s="172">
        <f ca="1">(VLOOKUP(AL$72,INDIRECT($C$5&amp;"生成成长"),2))/((VLOOKUP($B191,INDIRECT($B$5&amp;"生成成长"),4))/(VLOOKUP(AL$72,INDIRECT($C$5&amp;"生成成长"),5))*(VLOOKUP($B$5,标准坦克设计!$B$24:$U$30,MATCH("对"&amp;LEFT($C$5,2)&amp;"输出",标准坦克设计!$B$23:$U$23,0)))*(VLOOKUP($B191,INDIRECT($B$5&amp;"生成成长"),3))*(VLOOKUP($B$5,标准坦克设计!$B$14:$K$20,9)/30))</f>
        <v>14.202613883221028</v>
      </c>
      <c r="AM191" s="172">
        <f ca="1">(VLOOKUP(AM$72,INDIRECT($C$5&amp;"生成成长"),2))/((VLOOKUP($B191,INDIRECT($B$5&amp;"生成成长"),4))/(VLOOKUP(AM$72,INDIRECT($C$5&amp;"生成成长"),5))*(VLOOKUP($B$5,标准坦克设计!$B$24:$U$30,MATCH("对"&amp;LEFT($C$5,2)&amp;"输出",标准坦克设计!$B$23:$U$23,0)))*(VLOOKUP($B191,INDIRECT($B$5&amp;"生成成长"),3))*(VLOOKUP($B$5,标准坦克设计!$B$14:$K$20,9)/30))</f>
        <v>15.378993565573303</v>
      </c>
      <c r="AN191" s="172">
        <f ca="1">(VLOOKUP(AN$72,INDIRECT($C$5&amp;"生成成长"),2))/((VLOOKUP($B191,INDIRECT($B$5&amp;"生成成长"),4))/(VLOOKUP(AN$72,INDIRECT($C$5&amp;"生成成长"),5))*(VLOOKUP($B$5,标准坦克设计!$B$24:$U$30,MATCH("对"&amp;LEFT($C$5,2)&amp;"输出",标准坦克设计!$B$23:$U$23,0)))*(VLOOKUP($B191,INDIRECT($B$5&amp;"生成成长"),3))*(VLOOKUP($B$5,标准坦克设计!$B$14:$K$20,9)/30))</f>
        <v>16.602173162955872</v>
      </c>
      <c r="AO191" s="172">
        <f ca="1">(VLOOKUP(AO$72,INDIRECT($C$5&amp;"生成成长"),2))/((VLOOKUP($B191,INDIRECT($B$5&amp;"生成成长"),4))/(VLOOKUP(AO$72,INDIRECT($C$5&amp;"生成成长"),5))*(VLOOKUP($B$5,标准坦克设计!$B$24:$U$30,MATCH("对"&amp;LEFT($C$5,2)&amp;"输出",标准坦克设计!$B$23:$U$23,0)))*(VLOOKUP($B191,INDIRECT($B$5&amp;"生成成长"),3))*(VLOOKUP($B$5,标准坦克设计!$B$14:$K$20,9)/30))</f>
        <v>17.872152675368724</v>
      </c>
      <c r="AP191" s="172">
        <f ca="1">(VLOOKUP(AP$72,INDIRECT($C$5&amp;"生成成长"),2))/((VLOOKUP($B191,INDIRECT($B$5&amp;"生成成长"),4))/(VLOOKUP(AP$72,INDIRECT($C$5&amp;"生成成长"),5))*(VLOOKUP($B$5,标准坦克设计!$B$24:$U$30,MATCH("对"&amp;LEFT($C$5,2)&amp;"输出",标准坦克设计!$B$23:$U$23,0)))*(VLOOKUP($B191,INDIRECT($B$5&amp;"生成成长"),3))*(VLOOKUP($B$5,标准坦克设计!$B$14:$K$20,9)/30))</f>
        <v>19.188932102811865</v>
      </c>
      <c r="AQ191" s="172">
        <f ca="1">(VLOOKUP(AQ$72,INDIRECT($C$5&amp;"生成成长"),2))/((VLOOKUP($B191,INDIRECT($B$5&amp;"生成成长"),4))/(VLOOKUP(AQ$72,INDIRECT($C$5&amp;"生成成长"),5))*(VLOOKUP($B$5,标准坦克设计!$B$24:$U$30,MATCH("对"&amp;LEFT($C$5,2)&amp;"输出",标准坦克设计!$B$23:$U$23,0)))*(VLOOKUP($B191,INDIRECT($B$5&amp;"生成成长"),3))*(VLOOKUP($B$5,标准坦克设计!$B$14:$K$20,9)/30))</f>
        <v>20.552511445285305</v>
      </c>
      <c r="AR191" s="172">
        <f ca="1">(VLOOKUP(AR$72,INDIRECT($C$5&amp;"生成成长"),2))/((VLOOKUP($B191,INDIRECT($B$5&amp;"生成成长"),4))/(VLOOKUP(AR$72,INDIRECT($C$5&amp;"生成成长"),5))*(VLOOKUP($B$5,标准坦克设计!$B$24:$U$30,MATCH("对"&amp;LEFT($C$5,2)&amp;"输出",标准坦克设计!$B$23:$U$23,0)))*(VLOOKUP($B191,INDIRECT($B$5&amp;"生成成长"),3))*(VLOOKUP($B$5,标准坦克设计!$B$14:$K$20,9)/30))</f>
        <v>21.962890702789029</v>
      </c>
      <c r="AS191" s="172">
        <f ca="1">(VLOOKUP(AS$72,INDIRECT($C$5&amp;"生成成长"),2))/((VLOOKUP($B191,INDIRECT($B$5&amp;"生成成长"),4))/(VLOOKUP(AS$72,INDIRECT($C$5&amp;"生成成长"),5))*(VLOOKUP($B$5,标准坦克设计!$B$24:$U$30,MATCH("对"&amp;LEFT($C$5,2)&amp;"输出",标准坦克设计!$B$23:$U$23,0)))*(VLOOKUP($B191,INDIRECT($B$5&amp;"生成成长"),3))*(VLOOKUP($B$5,标准坦克设计!$B$14:$K$20,9)/30))</f>
        <v>23.420069875323041</v>
      </c>
      <c r="AT191" s="172">
        <f ca="1">(VLOOKUP(AT$72,INDIRECT($C$5&amp;"生成成长"),2))/((VLOOKUP($B191,INDIRECT($B$5&amp;"生成成长"),4))/(VLOOKUP(AT$72,INDIRECT($C$5&amp;"生成成长"),5))*(VLOOKUP($B$5,标准坦克设计!$B$24:$U$30,MATCH("对"&amp;LEFT($C$5,2)&amp;"输出",标准坦克设计!$B$23:$U$23,0)))*(VLOOKUP($B191,INDIRECT($B$5&amp;"生成成长"),3))*(VLOOKUP($B$5,标准坦克设计!$B$14:$K$20,9)/30))</f>
        <v>24.924048962887344</v>
      </c>
      <c r="AU191" s="172">
        <f ca="1">(VLOOKUP(AU$72,INDIRECT($C$5&amp;"生成成长"),2))/((VLOOKUP($B191,INDIRECT($B$5&amp;"生成成长"),4))/(VLOOKUP(AU$72,INDIRECT($C$5&amp;"生成成长"),5))*(VLOOKUP($B$5,标准坦克设计!$B$24:$U$30,MATCH("对"&amp;LEFT($C$5,2)&amp;"输出",标准坦克设计!$B$23:$U$23,0)))*(VLOOKUP($B191,INDIRECT($B$5&amp;"生成成长"),3))*(VLOOKUP($B$5,标准坦克设计!$B$14:$K$20,9)/30))</f>
        <v>26.474827965481932</v>
      </c>
      <c r="AV191" s="172">
        <f ca="1">(VLOOKUP(AV$72,INDIRECT($C$5&amp;"生成成长"),2))/((VLOOKUP($B191,INDIRECT($B$5&amp;"生成成长"),4))/(VLOOKUP(AV$72,INDIRECT($C$5&amp;"生成成长"),5))*(VLOOKUP($B$5,标准坦克设计!$B$24:$U$30,MATCH("对"&amp;LEFT($C$5,2)&amp;"输出",标准坦克设计!$B$23:$U$23,0)))*(VLOOKUP($B191,INDIRECT($B$5&amp;"生成成长"),3))*(VLOOKUP($B$5,标准坦克设计!$B$14:$K$20,9)/30))</f>
        <v>2.6927356069493826</v>
      </c>
      <c r="AW191" s="172">
        <f ca="1">(VLOOKUP(AW$72,INDIRECT($C$5&amp;"生成成长"),2))/((VLOOKUP($B191,INDIRECT($B$5&amp;"生成成长"),4))/(VLOOKUP(AW$72,INDIRECT($C$5&amp;"生成成长"),5))*(VLOOKUP($B$5,标准坦克设计!$B$24:$U$30,MATCH("对"&amp;LEFT($C$5,2)&amp;"输出",标准坦克设计!$B$23:$U$23,0)))*(VLOOKUP($B191,INDIRECT($B$5&amp;"生成成长"),3))*(VLOOKUP($B$5,标准坦克设计!$B$14:$K$20,9)/30))</f>
        <v>3.0702291364498993</v>
      </c>
      <c r="AX191" s="172">
        <f ca="1">(VLOOKUP(AX$72,INDIRECT($C$5&amp;"生成成长"),2))/((VLOOKUP($B191,INDIRECT($B$5&amp;"生成成长"),4))/(VLOOKUP(AX$72,INDIRECT($C$5&amp;"生成成长"),5))*(VLOOKUP($B$5,标准坦克设计!$B$24:$U$30,MATCH("对"&amp;LEFT($C$5,2)&amp;"输出",标准坦克设计!$B$23:$U$23,0)))*(VLOOKUP($B191,INDIRECT($B$5&amp;"生成成长"),3))*(VLOOKUP($B$5,标准坦克设计!$B$14:$K$20,9)/30))</f>
        <v>3.4724763400160241</v>
      </c>
      <c r="AY191" s="172">
        <f ca="1">(VLOOKUP(AY$72,INDIRECT($C$5&amp;"生成成长"),2))/((VLOOKUP($B191,INDIRECT($B$5&amp;"生成成长"),4))/(VLOOKUP(AY$72,INDIRECT($C$5&amp;"生成成长"),5))*(VLOOKUP($B$5,标准坦克设计!$B$24:$U$30,MATCH("对"&amp;LEFT($C$5,2)&amp;"输出",标准坦克设计!$B$23:$U$23,0)))*(VLOOKUP($B191,INDIRECT($B$5&amp;"生成成长"),3))*(VLOOKUP($B$5,标准坦克设计!$B$14:$K$20,9)/30))</f>
        <v>3.899477217647755</v>
      </c>
      <c r="AZ191" s="172">
        <f ca="1">(VLOOKUP(AZ$72,INDIRECT($C$5&amp;"生成成长"),2))/((VLOOKUP($B191,INDIRECT($B$5&amp;"生成成长"),4))/(VLOOKUP(AZ$72,INDIRECT($C$5&amp;"生成成长"),5))*(VLOOKUP($B$5,标准坦克设计!$B$24:$U$30,MATCH("对"&amp;LEFT($C$5,2)&amp;"输出",标准坦克设计!$B$23:$U$23,0)))*(VLOOKUP($B191,INDIRECT($B$5&amp;"生成成长"),3))*(VLOOKUP($B$5,标准坦克设计!$B$14:$K$20,9)/30))</f>
        <v>4.3512317693450955</v>
      </c>
      <c r="BA191" s="172">
        <f ca="1">(VLOOKUP(BA$72,INDIRECT($C$5&amp;"生成成长"),2))/((VLOOKUP($B191,INDIRECT($B$5&amp;"生成成长"),4))/(VLOOKUP(BA$72,INDIRECT($C$5&amp;"生成成长"),5))*(VLOOKUP($B$5,标准坦克设计!$B$24:$U$30,MATCH("对"&amp;LEFT($C$5,2)&amp;"输出",标准坦克设计!$B$23:$U$23,0)))*(VLOOKUP($B191,INDIRECT($B$5&amp;"生成成长"),3))*(VLOOKUP($B$5,标准坦克设计!$B$14:$K$20,9)/30))</f>
        <v>4.8277399951080415</v>
      </c>
      <c r="BB191" s="172">
        <f ca="1">(VLOOKUP(BB$72,INDIRECT($C$5&amp;"生成成长"),2))/((VLOOKUP($B191,INDIRECT($B$5&amp;"生成成长"),4))/(VLOOKUP(BB$72,INDIRECT($C$5&amp;"生成成长"),5))*(VLOOKUP($B$5,标准坦克设计!$B$24:$U$30,MATCH("对"&amp;LEFT($C$5,2)&amp;"输出",标准坦克设计!$B$23:$U$23,0)))*(VLOOKUP($B191,INDIRECT($B$5&amp;"生成成长"),3))*(VLOOKUP($B$5,标准坦克设计!$B$14:$K$20,9)/30))</f>
        <v>5.3290018949365985</v>
      </c>
      <c r="BC191" s="172">
        <f ca="1">(VLOOKUP(BC$72,INDIRECT($C$5&amp;"生成成长"),2))/((VLOOKUP($B191,INDIRECT($B$5&amp;"生成成长"),4))/(VLOOKUP(BC$72,INDIRECT($C$5&amp;"生成成长"),5))*(VLOOKUP($B$5,标准坦克设计!$B$24:$U$30,MATCH("对"&amp;LEFT($C$5,2)&amp;"输出",标准坦克设计!$B$23:$U$23,0)))*(VLOOKUP($B191,INDIRECT($B$5&amp;"生成成长"),3))*(VLOOKUP($B$5,标准坦克设计!$B$14:$K$20,9)/30))</f>
        <v>5.8550174688307601</v>
      </c>
      <c r="BD191" s="172">
        <f ca="1">(VLOOKUP(BD$72,INDIRECT($C$5&amp;"生成成长"),2))/((VLOOKUP($B191,INDIRECT($B$5&amp;"生成成长"),4))/(VLOOKUP(BD$72,INDIRECT($C$5&amp;"生成成长"),5))*(VLOOKUP($B$5,标准坦克设计!$B$24:$U$30,MATCH("对"&amp;LEFT($C$5,2)&amp;"输出",标准坦克设计!$B$23:$U$23,0)))*(VLOOKUP($B191,INDIRECT($B$5&amp;"生成成长"),3))*(VLOOKUP($B$5,标准坦克设计!$B$14:$K$20,9)/30))</f>
        <v>6.4763733654932407</v>
      </c>
      <c r="BE191" s="172">
        <f ca="1">(VLOOKUP(BE$72,INDIRECT($C$5&amp;"生成成长"),2))/((VLOOKUP($B191,INDIRECT($B$5&amp;"生成成长"),4))/(VLOOKUP(BE$72,INDIRECT($C$5&amp;"生成成长"),5))*(VLOOKUP($B$5,标准坦克设计!$B$24:$U$30,MATCH("对"&amp;LEFT($C$5,2)&amp;"输出",标准坦克设计!$B$23:$U$23,0)))*(VLOOKUP($B191,INDIRECT($B$5&amp;"生成成长"),3))*(VLOOKUP($B$5,标准坦克设计!$B$14:$K$20,9)/30))</f>
        <v>7.129058130895003</v>
      </c>
      <c r="BF191" s="172">
        <f ca="1">(VLOOKUP(BF$72,INDIRECT($C$5&amp;"生成成长"),2))/((VLOOKUP($B191,INDIRECT($B$5&amp;"生成成长"),4))/(VLOOKUP(BF$72,INDIRECT($C$5&amp;"生成成长"),5))*(VLOOKUP($B$5,标准坦克设计!$B$24:$U$30,MATCH("对"&amp;LEFT($C$5,2)&amp;"输出",标准坦克设计!$B$23:$U$23,0)))*(VLOOKUP($B191,INDIRECT($B$5&amp;"生成成长"),3))*(VLOOKUP($B$5,标准坦克设计!$B$14:$K$20,9)/30))</f>
        <v>7.8130717650360522</v>
      </c>
      <c r="BG191" s="172">
        <f ca="1">(VLOOKUP(BG$72,INDIRECT($C$5&amp;"生成成长"),2))/((VLOOKUP($B191,INDIRECT($B$5&amp;"生成成长"),4))/(VLOOKUP(BG$72,INDIRECT($C$5&amp;"生成成长"),5))*(VLOOKUP($B$5,标准坦克设计!$B$24:$U$30,MATCH("对"&amp;LEFT($C$5,2)&amp;"输出",标准坦克设计!$B$23:$U$23,0)))*(VLOOKUP($B191,INDIRECT($B$5&amp;"生成成长"),3))*(VLOOKUP($B$5,标准坦克设计!$B$14:$K$20,9)/30))</f>
        <v>8.5284142679163857</v>
      </c>
      <c r="BH191" s="172">
        <f ca="1">(VLOOKUP(BH$72,INDIRECT($C$5&amp;"生成成长"),2))/((VLOOKUP($B191,INDIRECT($B$5&amp;"生成成长"),4))/(VLOOKUP(BH$72,INDIRECT($C$5&amp;"生成成长"),5))*(VLOOKUP($B$5,标准坦克设计!$B$24:$U$30,MATCH("对"&amp;LEFT($C$5,2)&amp;"输出",标准坦克设计!$B$23:$U$23,0)))*(VLOOKUP($B191,INDIRECT($B$5&amp;"生成成长"),3))*(VLOOKUP($B$5,标准坦克设计!$B$14:$K$20,9)/30))</f>
        <v>4.1222602842382248</v>
      </c>
      <c r="BI191" s="172">
        <f ca="1">(VLOOKUP(BI$72,INDIRECT($C$5&amp;"生成成长"),2))/((VLOOKUP($B191,INDIRECT($B$5&amp;"生成成长"),4))/(VLOOKUP(BI$72,INDIRECT($C$5&amp;"生成成长"),5))*(VLOOKUP($B$5,标准坦克设计!$B$24:$U$30,MATCH("对"&amp;LEFT($C$5,2)&amp;"输出",标准坦克设计!$B$23:$U$23,0)))*(VLOOKUP($B191,INDIRECT($B$5&amp;"生成成长"),3))*(VLOOKUP($B$5,标准坦克设计!$B$14:$K$20,9)/30))</f>
        <v>4.6461485892673737</v>
      </c>
      <c r="BJ191" s="172">
        <f ca="1">(VLOOKUP(BJ$72,INDIRECT($C$5&amp;"生成成长"),2))/((VLOOKUP($B191,INDIRECT($B$5&amp;"生成成长"),4))/(VLOOKUP(BJ$72,INDIRECT($C$5&amp;"生成成长"),5))*(VLOOKUP($B$5,标准坦克设计!$B$24:$U$30,MATCH("对"&amp;LEFT($C$5,2)&amp;"输出",标准坦克设计!$B$23:$U$23,0)))*(VLOOKUP($B191,INDIRECT($B$5&amp;"生成成长"),3))*(VLOOKUP($B$5,标准坦克设计!$B$14:$K$20,9)/30))</f>
        <v>5.2013657630358088</v>
      </c>
      <c r="BK191" s="172">
        <f ca="1">(VLOOKUP(BK$72,INDIRECT($C$5&amp;"生成成长"),2))/((VLOOKUP($B191,INDIRECT($B$5&amp;"生成成长"),4))/(VLOOKUP(BK$72,INDIRECT($C$5&amp;"生成成长"),5))*(VLOOKUP($B$5,标准坦克设计!$B$24:$U$30,MATCH("对"&amp;LEFT($C$5,2)&amp;"输出",标准坦克设计!$B$23:$U$23,0)))*(VLOOKUP($B191,INDIRECT($B$5&amp;"生成成长"),3))*(VLOOKUP($B$5,标准坦克设计!$B$14:$K$20,9)/30))</f>
        <v>5.7879118055435264</v>
      </c>
      <c r="BL191" s="172">
        <f ca="1">(VLOOKUP(BL$72,INDIRECT($C$5&amp;"生成成长"),2))/((VLOOKUP($B191,INDIRECT($B$5&amp;"生成成长"),4))/(VLOOKUP(BL$72,INDIRECT($C$5&amp;"生成成长"),5))*(VLOOKUP($B$5,标准坦克设计!$B$24:$U$30,MATCH("对"&amp;LEFT($C$5,2)&amp;"输出",标准坦克设计!$B$23:$U$23,0)))*(VLOOKUP($B191,INDIRECT($B$5&amp;"生成成长"),3))*(VLOOKUP($B$5,标准坦克设计!$B$14:$K$20,9)/30))</f>
        <v>6.40578671679053</v>
      </c>
      <c r="BM191" s="172">
        <f ca="1">(VLOOKUP(BM$72,INDIRECT($C$5&amp;"生成成长"),2))/((VLOOKUP($B191,INDIRECT($B$5&amp;"生成成长"),4))/(VLOOKUP(BM$72,INDIRECT($C$5&amp;"生成成长"),5))*(VLOOKUP($B$5,标准坦克设计!$B$24:$U$30,MATCH("对"&amp;LEFT($C$5,2)&amp;"输出",标准坦克设计!$B$23:$U$23,0)))*(VLOOKUP($B191,INDIRECT($B$5&amp;"生成成长"),3))*(VLOOKUP($B$5,标准坦克设计!$B$14:$K$20,9)/30))</f>
        <v>7.0549904967768189</v>
      </c>
      <c r="BN191" s="172">
        <f ca="1">(VLOOKUP(BN$72,INDIRECT($C$5&amp;"生成成长"),2))/((VLOOKUP($B191,INDIRECT($B$5&amp;"生成成长"),4))/(VLOOKUP(BN$72,INDIRECT($C$5&amp;"生成成长"),5))*(VLOOKUP($B$5,标准坦克设计!$B$24:$U$30,MATCH("对"&amp;LEFT($C$5,2)&amp;"输出",标准坦克设计!$B$23:$U$23,0)))*(VLOOKUP($B191,INDIRECT($B$5&amp;"生成成长"),3))*(VLOOKUP($B$5,标准坦克设计!$B$14:$K$20,9)/30))</f>
        <v>7.7355231455023912</v>
      </c>
      <c r="BO191" s="172">
        <f ca="1">(VLOOKUP(BO$72,INDIRECT($C$5&amp;"生成成长"),2))/((VLOOKUP($B191,INDIRECT($B$5&amp;"生成成长"),4))/(VLOOKUP(BO$72,INDIRECT($C$5&amp;"生成成长"),5))*(VLOOKUP($B$5,标准坦克设计!$B$24:$U$30,MATCH("对"&amp;LEFT($C$5,2)&amp;"输出",标准坦克设计!$B$23:$U$23,0)))*(VLOOKUP($B191,INDIRECT($B$5&amp;"生成成长"),3))*(VLOOKUP($B$5,标准坦克设计!$B$14:$K$20,9)/30))</f>
        <v>8.4473846629672487</v>
      </c>
      <c r="BP191" s="172">
        <f ca="1">(VLOOKUP(BP$72,INDIRECT($C$5&amp;"生成成长"),2))/((VLOOKUP($B191,INDIRECT($B$5&amp;"生成成长"),4))/(VLOOKUP(BP$72,INDIRECT($C$5&amp;"生成成长"),5))*(VLOOKUP($B$5,标准坦克设计!$B$24:$U$30,MATCH("对"&amp;LEFT($C$5,2)&amp;"输出",标准坦克设计!$B$23:$U$23,0)))*(VLOOKUP($B191,INDIRECT($B$5&amp;"生成成长"),3))*(VLOOKUP($B$5,标准坦克设计!$B$14:$K$20,9)/30))</f>
        <v>9.1905750491713913</v>
      </c>
      <c r="BQ191" s="172">
        <f ca="1">(VLOOKUP(BQ$72,INDIRECT($C$5&amp;"生成成长"),2))/((VLOOKUP($B191,INDIRECT($B$5&amp;"生成成长"),4))/(VLOOKUP(BQ$72,INDIRECT($C$5&amp;"生成成长"),5))*(VLOOKUP($B$5,标准坦克设计!$B$24:$U$30,MATCH("对"&amp;LEFT($C$5,2)&amp;"输出",标准坦克设计!$B$23:$U$23,0)))*(VLOOKUP($B191,INDIRECT($B$5&amp;"生成成长"),3))*(VLOOKUP($B$5,标准坦克设计!$B$14:$K$20,9)/30))</f>
        <v>9.9650943041148174</v>
      </c>
      <c r="BR191" s="172">
        <f ca="1">(VLOOKUP(BR$72,INDIRECT($C$5&amp;"生成成长"),2))/((VLOOKUP($B191,INDIRECT($B$5&amp;"生成成长"),4))/(VLOOKUP(BR$72,INDIRECT($C$5&amp;"生成成长"),5))*(VLOOKUP($B$5,标准坦克设计!$B$24:$U$30,MATCH("对"&amp;LEFT($C$5,2)&amp;"输出",标准坦克设计!$B$23:$U$23,0)))*(VLOOKUP($B191,INDIRECT($B$5&amp;"生成成长"),3))*(VLOOKUP($B$5,标准坦克设计!$B$14:$K$20,9)/30))</f>
        <v>10.862414988993098</v>
      </c>
      <c r="BS191" s="172">
        <f ca="1">(VLOOKUP(BS$72,INDIRECT($C$5&amp;"生成成长"),2))/((VLOOKUP($B191,INDIRECT($B$5&amp;"生成成长"),4))/(VLOOKUP(BS$72,INDIRECT($C$5&amp;"生成成长"),5))*(VLOOKUP($B$5,标准坦克设计!$B$24:$U$30,MATCH("对"&amp;LEFT($C$5,2)&amp;"输出",标准坦克设计!$B$23:$U$23,0)))*(VLOOKUP($B191,INDIRECT($B$5&amp;"生成成长"),3))*(VLOOKUP($B$5,标准坦克设计!$B$14:$K$20,9)/30))</f>
        <v>11.798413289598884</v>
      </c>
      <c r="BT191" s="172">
        <f ca="1">(VLOOKUP(BT$72,INDIRECT($C$5&amp;"生成成长"),2))/((VLOOKUP($B191,INDIRECT($B$5&amp;"生成成长"),4))/(VLOOKUP(BT$72,INDIRECT($C$5&amp;"生成成长"),5))*(VLOOKUP($B$5,标准坦克设计!$B$24:$U$30,MATCH("对"&amp;LEFT($C$5,2)&amp;"输出",标准坦克设计!$B$23:$U$23,0)))*(VLOOKUP($B191,INDIRECT($B$5&amp;"生成成长"),3))*(VLOOKUP($B$5,标准坦克设计!$B$14:$K$20,9)/30))</f>
        <v>12.773089205932187</v>
      </c>
      <c r="BU191" s="172">
        <f ca="1">(VLOOKUP(BU$72,INDIRECT($C$5&amp;"生成成长"),2))/((VLOOKUP($B191,INDIRECT($B$5&amp;"生成成长"),4))/(VLOOKUP(BU$72,INDIRECT($C$5&amp;"生成成长"),5))*(VLOOKUP($B$5,标准坦克设计!$B$24:$U$30,MATCH("对"&amp;LEFT($C$5,2)&amp;"输出",标准坦克设计!$B$23:$U$23,0)))*(VLOOKUP($B191,INDIRECT($B$5&amp;"生成成长"),3))*(VLOOKUP($B$5,标准坦克设计!$B$14:$K$20,9)/30))</f>
        <v>13.786442737992997</v>
      </c>
      <c r="BV191" s="172">
        <f ca="1">(VLOOKUP(BV$72,INDIRECT($C$5&amp;"生成成长"),2))/((VLOOKUP($B191,INDIRECT($B$5&amp;"生成成长"),4))/(VLOOKUP(BV$72,INDIRECT($C$5&amp;"生成成长"),5))*(VLOOKUP($B$5,标准坦克设计!$B$24:$U$30,MATCH("对"&amp;LEFT($C$5,2)&amp;"输出",标准坦克设计!$B$23:$U$23,0)))*(VLOOKUP($B191,INDIRECT($B$5&amp;"生成成长"),3))*(VLOOKUP($B$5,标准坦克设计!$B$14:$K$20,9)/30))</f>
        <v>14.838473885781326</v>
      </c>
      <c r="BW191" s="172">
        <f ca="1">(VLOOKUP(BW$72,INDIRECT($C$5&amp;"生成成长"),2))/((VLOOKUP($B191,INDIRECT($B$5&amp;"生成成长"),4))/(VLOOKUP(BW$72,INDIRECT($C$5&amp;"生成成长"),5))*(VLOOKUP($B$5,标准坦克设计!$B$24:$U$30,MATCH("对"&amp;LEFT($C$5,2)&amp;"输出",标准坦克设计!$B$23:$U$23,0)))*(VLOOKUP($B191,INDIRECT($B$5&amp;"生成成长"),3))*(VLOOKUP($B$5,标准坦克设计!$B$14:$K$20,9)/30))</f>
        <v>6.7625877218768284</v>
      </c>
      <c r="BX191" s="172">
        <f ca="1">(VLOOKUP(BX$72,INDIRECT($C$5&amp;"生成成长"),2))/((VLOOKUP($B191,INDIRECT($B$5&amp;"生成成长"),4))/(VLOOKUP(BX$72,INDIRECT($C$5&amp;"生成成长"),5))*(VLOOKUP($B$5,标准坦克设计!$B$24:$U$30,MATCH("对"&amp;LEFT($C$5,2)&amp;"输出",标准坦克设计!$B$23:$U$23,0)))*(VLOOKUP($B191,INDIRECT($B$5&amp;"生成成长"),3))*(VLOOKUP($B$5,标准坦克设计!$B$14:$K$20,9)/30))</f>
        <v>7.505197943845058</v>
      </c>
      <c r="BY191" s="172">
        <f ca="1">(VLOOKUP(BY$72,INDIRECT($C$5&amp;"生成成长"),2))/((VLOOKUP($B191,INDIRECT($B$5&amp;"生成成长"),4))/(VLOOKUP(BY$72,INDIRECT($C$5&amp;"生成成长"),5))*(VLOOKUP($B$5,标准坦克设计!$B$24:$U$30,MATCH("对"&amp;LEFT($C$5,2)&amp;"输出",标准坦克设计!$B$23:$U$23,0)))*(VLOOKUP($B191,INDIRECT($B$5&amp;"生成成长"),3))*(VLOOKUP($B$5,标准坦克设计!$B$14:$K$20,9)/30))</f>
        <v>8.2864857815407991</v>
      </c>
      <c r="BZ191" s="172">
        <f ca="1">(VLOOKUP(BZ$72,INDIRECT($C$5&amp;"生成成长"),2))/((VLOOKUP($B191,INDIRECT($B$5&amp;"生成成长"),4))/(VLOOKUP(BZ$72,INDIRECT($C$5&amp;"生成成长"),5))*(VLOOKUP($B$5,标准坦克设计!$B$24:$U$30,MATCH("对"&amp;LEFT($C$5,2)&amp;"输出",标准坦克设计!$B$23:$U$23,0)))*(VLOOKUP($B191,INDIRECT($B$5&amp;"生成成长"),3))*(VLOOKUP($B$5,标准坦克设计!$B$14:$K$20,9)/30))</f>
        <v>9.1064512349640534</v>
      </c>
      <c r="CA191" s="172">
        <f ca="1">(VLOOKUP(CA$72,INDIRECT($C$5&amp;"生成成长"),2))/((VLOOKUP($B191,INDIRECT($B$5&amp;"生成成长"),4))/(VLOOKUP(CA$72,INDIRECT($C$5&amp;"生成成长"),5))*(VLOOKUP($B$5,标准坦克设计!$B$24:$U$30,MATCH("对"&amp;LEFT($C$5,2)&amp;"输出",标准坦克设计!$B$23:$U$23,0)))*(VLOOKUP($B191,INDIRECT($B$5&amp;"生成成长"),3))*(VLOOKUP($B$5,标准坦克设计!$B$14:$K$20,9)/30))</f>
        <v>9.9650943041148174</v>
      </c>
      <c r="CB191" s="172">
        <f ca="1">(VLOOKUP(CB$72,INDIRECT($C$5&amp;"生成成长"),2))/((VLOOKUP($B191,INDIRECT($B$5&amp;"生成成长"),4))/(VLOOKUP(CB$72,INDIRECT($C$5&amp;"生成成长"),5))*(VLOOKUP($B$5,标准坦克设计!$B$24:$U$30,MATCH("对"&amp;LEFT($C$5,2)&amp;"输出",标准坦克设计!$B$23:$U$23,0)))*(VLOOKUP($B191,INDIRECT($B$5&amp;"生成成长"),3))*(VLOOKUP($B$5,标准坦克设计!$B$14:$K$20,9)/30))</f>
        <v>10.862414988993098</v>
      </c>
      <c r="CC191" s="172">
        <f ca="1">(VLOOKUP(CC$72,INDIRECT($C$5&amp;"生成成长"),2))/((VLOOKUP($B191,INDIRECT($B$5&amp;"生成成长"),4))/(VLOOKUP(CC$72,INDIRECT($C$5&amp;"生成成长"),5))*(VLOOKUP($B$5,标准坦克设计!$B$24:$U$30,MATCH("对"&amp;LEFT($C$5,2)&amp;"输出",标准坦克设计!$B$23:$U$23,0)))*(VLOOKUP($B191,INDIRECT($B$5&amp;"生成成长"),3))*(VLOOKUP($B$5,标准坦克设计!$B$14:$K$20,9)/30))</f>
        <v>11.798413289598884</v>
      </c>
      <c r="CD191" s="172">
        <f ca="1">(VLOOKUP(CD$72,INDIRECT($C$5&amp;"生成成长"),2))/((VLOOKUP($B191,INDIRECT($B$5&amp;"生成成长"),4))/(VLOOKUP(CD$72,INDIRECT($C$5&amp;"生成成长"),5))*(VLOOKUP($B$5,标准坦克设计!$B$24:$U$30,MATCH("对"&amp;LEFT($C$5,2)&amp;"输出",标准坦克设计!$B$23:$U$23,0)))*(VLOOKUP($B191,INDIRECT($B$5&amp;"生成成长"),3))*(VLOOKUP($B$5,标准坦克设计!$B$14:$K$20,9)/30))</f>
        <v>12.773089205932187</v>
      </c>
      <c r="CE191" s="172">
        <f ca="1">(VLOOKUP(CE$72,INDIRECT($C$5&amp;"生成成长"),2))/((VLOOKUP($B191,INDIRECT($B$5&amp;"生成成长"),4))/(VLOOKUP(CE$72,INDIRECT($C$5&amp;"生成成长"),5))*(VLOOKUP($B$5,标准坦克设计!$B$24:$U$30,MATCH("对"&amp;LEFT($C$5,2)&amp;"输出",标准坦克设计!$B$23:$U$23,0)))*(VLOOKUP($B191,INDIRECT($B$5&amp;"生成成长"),3))*(VLOOKUP($B$5,标准坦克设计!$B$14:$K$20,9)/30))</f>
        <v>13.786442737992997</v>
      </c>
      <c r="CF191" s="172">
        <f ca="1">(VLOOKUP(CF$72,INDIRECT($C$5&amp;"生成成长"),2))/((VLOOKUP($B191,INDIRECT($B$5&amp;"生成成长"),4))/(VLOOKUP(CF$72,INDIRECT($C$5&amp;"生成成长"),5))*(VLOOKUP($B$5,标准坦克设计!$B$24:$U$30,MATCH("对"&amp;LEFT($C$5,2)&amp;"输出",标准坦克设计!$B$23:$U$23,0)))*(VLOOKUP($B191,INDIRECT($B$5&amp;"生成成长"),3))*(VLOOKUP($B$5,标准坦克设计!$B$14:$K$20,9)/30))</f>
        <v>14.838473885781326</v>
      </c>
      <c r="CG191" s="172">
        <f ca="1">(VLOOKUP(CG$72,INDIRECT($C$5&amp;"生成成长"),2))/((VLOOKUP($B191,INDIRECT($B$5&amp;"生成成长"),4))/(VLOOKUP(CG$72,INDIRECT($C$5&amp;"生成成长"),5))*(VLOOKUP($B$5,标准坦克设计!$B$24:$U$30,MATCH("对"&amp;LEFT($C$5,2)&amp;"输出",标准坦克设计!$B$23:$U$23,0)))*(VLOOKUP($B191,INDIRECT($B$5&amp;"生成成长"),3))*(VLOOKUP($B$5,标准坦克设计!$B$14:$K$20,9)/30))</f>
        <v>15.929182649297159</v>
      </c>
      <c r="CH191" s="172">
        <f ca="1">(VLOOKUP(CH$72,INDIRECT($C$5&amp;"生成成长"),2))/((VLOOKUP($B191,INDIRECT($B$5&amp;"生成成长"),4))/(VLOOKUP(CH$72,INDIRECT($C$5&amp;"生成成长"),5))*(VLOOKUP($B$5,标准坦克设计!$B$24:$U$30,MATCH("对"&amp;LEFT($C$5,2)&amp;"输出",标准坦克设计!$B$23:$U$23,0)))*(VLOOKUP($B191,INDIRECT($B$5&amp;"生成成长"),3))*(VLOOKUP($B$5,标准坦克设计!$B$14:$K$20,9)/30))</f>
        <v>17.058569028540511</v>
      </c>
      <c r="CI191" s="172">
        <f ca="1">(VLOOKUP(CI$72,INDIRECT($C$5&amp;"生成成长"),2))/((VLOOKUP($B191,INDIRECT($B$5&amp;"生成成长"),4))/(VLOOKUP(CI$72,INDIRECT($C$5&amp;"生成成长"),5))*(VLOOKUP($B$5,标准坦克设计!$B$24:$U$30,MATCH("对"&amp;LEFT($C$5,2)&amp;"输出",标准坦克设计!$B$23:$U$23,0)))*(VLOOKUP($B191,INDIRECT($B$5&amp;"生成成长"),3))*(VLOOKUP($B$5,标准坦克设计!$B$14:$K$20,9)/30))</f>
        <v>18.345566691873469</v>
      </c>
      <c r="CJ191" s="172">
        <f ca="1">(VLOOKUP(CJ$72,INDIRECT($C$5&amp;"生成成长"),2))/((VLOOKUP($B191,INDIRECT($B$5&amp;"生成成长"),4))/(VLOOKUP(CJ$72,INDIRECT($C$5&amp;"生成成长"),5))*(VLOOKUP($B$5,标准坦克设计!$B$24:$U$30,MATCH("对"&amp;LEFT($C$5,2)&amp;"输出",标准坦克设计!$B$23:$U$23,0)))*(VLOOKUP($B191,INDIRECT($B$5&amp;"生成成长"),3))*(VLOOKUP($B$5,标准坦克设计!$B$14:$K$20,9)/30))</f>
        <v>19.679364270236718</v>
      </c>
      <c r="CK191" s="172">
        <f ca="1">(VLOOKUP(CK$72,INDIRECT($C$5&amp;"生成成长"),2))/((VLOOKUP($B191,INDIRECT($B$5&amp;"生成成长"),4))/(VLOOKUP(CK$72,INDIRECT($C$5&amp;"生成成长"),5))*(VLOOKUP($B$5,标准坦克设计!$B$24:$U$30,MATCH("对"&amp;LEFT($C$5,2)&amp;"输出",标准坦克设计!$B$23:$U$23,0)))*(VLOOKUP($B191,INDIRECT($B$5&amp;"生成成长"),3))*(VLOOKUP($B$5,标准坦克设计!$B$14:$K$20,9)/30))</f>
        <v>21.059961763630259</v>
      </c>
      <c r="CL191" s="172">
        <f ca="1">(VLOOKUP(CL$72,INDIRECT($C$5&amp;"生成成长"),2))/((VLOOKUP($B191,INDIRECT($B$5&amp;"生成成长"),4))/(VLOOKUP(CL$72,INDIRECT($C$5&amp;"生成成长"),5))*(VLOOKUP($B$5,标准坦克设计!$B$24:$U$30,MATCH("对"&amp;LEFT($C$5,2)&amp;"输出",标准坦克设计!$B$23:$U$23,0)))*(VLOOKUP($B191,INDIRECT($B$5&amp;"生成成长"),3))*(VLOOKUP($B$5,标准坦克设计!$B$14:$K$20,9)/30))</f>
        <v>22.487359172054092</v>
      </c>
      <c r="CM191" s="172">
        <f ca="1">(VLOOKUP(CM$72,INDIRECT($C$5&amp;"生成成长"),2))/((VLOOKUP($B191,INDIRECT($B$5&amp;"生成成长"),4))/(VLOOKUP(CM$72,INDIRECT($C$5&amp;"生成成长"),5))*(VLOOKUP($B$5,标准坦克设计!$B$24:$U$30,MATCH("对"&amp;LEFT($C$5,2)&amp;"输出",标准坦克设计!$B$23:$U$23,0)))*(VLOOKUP($B191,INDIRECT($B$5&amp;"生成成长"),3))*(VLOOKUP($B$5,标准坦克设计!$B$14:$K$20,9)/30))</f>
        <v>23.961556495508209</v>
      </c>
      <c r="CN191" s="172">
        <f ca="1">(VLOOKUP(CN$72,INDIRECT($C$5&amp;"生成成长"),2))/((VLOOKUP($B191,INDIRECT($B$5&amp;"生成成长"),4))/(VLOOKUP(CN$72,INDIRECT($C$5&amp;"生成成长"),5))*(VLOOKUP($B$5,标准坦克设计!$B$24:$U$30,MATCH("对"&amp;LEFT($C$5,2)&amp;"输出",标准坦克设计!$B$23:$U$23,0)))*(VLOOKUP($B191,INDIRECT($B$5&amp;"生成成长"),3))*(VLOOKUP($B$5,标准坦克设计!$B$14:$K$20,9)/30))</f>
        <v>25.482553733992617</v>
      </c>
      <c r="CO191" s="172">
        <f ca="1">(VLOOKUP(CO$72,INDIRECT($C$5&amp;"生成成长"),2))/((VLOOKUP($B191,INDIRECT($B$5&amp;"生成成长"),4))/(VLOOKUP(CO$72,INDIRECT($C$5&amp;"生成成长"),5))*(VLOOKUP($B$5,标准坦克设计!$B$24:$U$30,MATCH("对"&amp;LEFT($C$5,2)&amp;"输出",标准坦克设计!$B$23:$U$23,0)))*(VLOOKUP($B191,INDIRECT($B$5&amp;"生成成长"),3))*(VLOOKUP($B$5,标准坦克设计!$B$14:$K$20,9)/30))</f>
        <v>11.419372655469267</v>
      </c>
      <c r="CP191" s="172">
        <f ca="1">(VLOOKUP(CP$72,INDIRECT($C$5&amp;"生成成长"),2))/((VLOOKUP($B191,INDIRECT($B$5&amp;"生成成长"),4))/(VLOOKUP(CP$72,INDIRECT($C$5&amp;"生成成长"),5))*(VLOOKUP($B$5,标准坦克设计!$B$24:$U$30,MATCH("对"&amp;LEFT($C$5,2)&amp;"输出",标准坦克设计!$B$23:$U$23,0)))*(VLOOKUP($B191,INDIRECT($B$5&amp;"生成成长"),3))*(VLOOKUP($B$5,标准坦克设计!$B$14:$K$20,9)/30))</f>
        <v>12.476625281380807</v>
      </c>
      <c r="CQ191" s="172">
        <f ca="1">(VLOOKUP(CQ$72,INDIRECT($C$5&amp;"生成成长"),2))/((VLOOKUP($B191,INDIRECT($B$5&amp;"生成成长"),4))/(VLOOKUP(CQ$72,INDIRECT($C$5&amp;"生成成长"),5))*(VLOOKUP($B$5,标准坦克设计!$B$24:$U$30,MATCH("对"&amp;LEFT($C$5,2)&amp;"输出",标准坦克设计!$B$23:$U$23,0)))*(VLOOKUP($B191,INDIRECT($B$5&amp;"生成成长"),3))*(VLOOKUP($B$5,标准坦克设计!$B$14:$K$20,9)/30))</f>
        <v>13.580677822322635</v>
      </c>
      <c r="CR191" s="172">
        <f ca="1">(VLOOKUP(CR$72,INDIRECT($C$5&amp;"生成成长"),2))/((VLOOKUP($B191,INDIRECT($B$5&amp;"生成成长"),4))/(VLOOKUP(CR$72,INDIRECT($C$5&amp;"生成成长"),5))*(VLOOKUP($B$5,标准坦克设计!$B$24:$U$30,MATCH("对"&amp;LEFT($C$5,2)&amp;"输出",标准坦克设计!$B$23:$U$23,0)))*(VLOOKUP($B191,INDIRECT($B$5&amp;"生成成长"),3))*(VLOOKUP($B$5,标准坦克设计!$B$14:$K$20,9)/30))</f>
        <v>14.731530278294755</v>
      </c>
      <c r="CS191" s="172">
        <f ca="1">(VLOOKUP(CS$72,INDIRECT($C$5&amp;"生成成长"),2))/((VLOOKUP($B191,INDIRECT($B$5&amp;"生成成长"),4))/(VLOOKUP(CS$72,INDIRECT($C$5&amp;"生成成长"),5))*(VLOOKUP($B$5,标准坦克设计!$B$24:$U$30,MATCH("对"&amp;LEFT($C$5,2)&amp;"输出",标准坦克设计!$B$23:$U$23,0)))*(VLOOKUP($B191,INDIRECT($B$5&amp;"生成成长"),3))*(VLOOKUP($B$5,标准坦克设计!$B$14:$K$20,9)/30))</f>
        <v>15.929182649297159</v>
      </c>
      <c r="CT191" s="172">
        <f ca="1">(VLOOKUP(CT$72,INDIRECT($C$5&amp;"生成成长"),2))/((VLOOKUP($B191,INDIRECT($B$5&amp;"生成成长"),4))/(VLOOKUP(CT$72,INDIRECT($C$5&amp;"生成成长"),5))*(VLOOKUP($B$5,标准坦克设计!$B$24:$U$30,MATCH("对"&amp;LEFT($C$5,2)&amp;"输出",标准坦克设计!$B$23:$U$23,0)))*(VLOOKUP($B191,INDIRECT($B$5&amp;"生成成长"),3))*(VLOOKUP($B$5,标准坦克设计!$B$14:$K$20,9)/30))</f>
        <v>17.173634935329858</v>
      </c>
      <c r="CU191" s="172">
        <f ca="1">(VLOOKUP(CU$72,INDIRECT($C$5&amp;"生成成长"),2))/((VLOOKUP($B191,INDIRECT($B$5&amp;"生成成长"),4))/(VLOOKUP(CU$72,INDIRECT($C$5&amp;"生成成长"),5))*(VLOOKUP($B$5,标准坦克设计!$B$24:$U$30,MATCH("对"&amp;LEFT($C$5,2)&amp;"输出",标准坦克设计!$B$23:$U$23,0)))*(VLOOKUP($B191,INDIRECT($B$5&amp;"生成成长"),3))*(VLOOKUP($B$5,标准坦克设计!$B$14:$K$20,9)/30))</f>
        <v>18.464887136392846</v>
      </c>
      <c r="CV191" s="172">
        <f ca="1">(VLOOKUP(CV$72,INDIRECT($C$5&amp;"生成成长"),2))/((VLOOKUP($B191,INDIRECT($B$5&amp;"生成成长"),4))/(VLOOKUP(CV$72,INDIRECT($C$5&amp;"生成成长"),5))*(VLOOKUP($B$5,标准坦克设计!$B$24:$U$30,MATCH("对"&amp;LEFT($C$5,2)&amp;"输出",标准坦克设计!$B$23:$U$23,0)))*(VLOOKUP($B191,INDIRECT($B$5&amp;"生成成长"),3))*(VLOOKUP($B$5,标准坦克设计!$B$14:$K$20,9)/30))</f>
        <v>19.802939252486127</v>
      </c>
      <c r="CW191" s="172">
        <f ca="1">(VLOOKUP(CW$72,INDIRECT($C$5&amp;"生成成长"),2))/((VLOOKUP($B191,INDIRECT($B$5&amp;"生成成长"),4))/(VLOOKUP(CW$72,INDIRECT($C$5&amp;"生成成长"),5))*(VLOOKUP($B$5,标准坦克设计!$B$24:$U$30,MATCH("对"&amp;LEFT($C$5,2)&amp;"输出",标准坦克设计!$B$23:$U$23,0)))*(VLOOKUP($B191,INDIRECT($B$5&amp;"生成成长"),3))*(VLOOKUP($B$5,标准坦克设计!$B$14:$K$20,9)/30))</f>
        <v>21.187791283609691</v>
      </c>
      <c r="CX191" s="172">
        <f ca="1">(VLOOKUP(CX$72,INDIRECT($C$5&amp;"生成成长"),2))/((VLOOKUP($B191,INDIRECT($B$5&amp;"生成成长"),4))/(VLOOKUP(CX$72,INDIRECT($C$5&amp;"生成成长"),5))*(VLOOKUP($B$5,标准坦克设计!$B$24:$U$30,MATCH("对"&amp;LEFT($C$5,2)&amp;"输出",标准坦克设计!$B$23:$U$23,0)))*(VLOOKUP($B191,INDIRECT($B$5&amp;"生成成长"),3))*(VLOOKUP($B$5,标准坦克设计!$B$14:$K$20,9)/30))</f>
        <v>22.619443229763544</v>
      </c>
      <c r="CY191" s="172">
        <f ca="1">(VLOOKUP(CY$72,INDIRECT($C$5&amp;"生成成长"),2))/((VLOOKUP($B191,INDIRECT($B$5&amp;"生成成长"),4))/(VLOOKUP(CY$72,INDIRECT($C$5&amp;"生成成长"),5))*(VLOOKUP($B$5,标准坦克设计!$B$24:$U$30,MATCH("对"&amp;LEFT($C$5,2)&amp;"输出",标准坦克设计!$B$23:$U$23,0)))*(VLOOKUP($B191,INDIRECT($B$5&amp;"生成成长"),3))*(VLOOKUP($B$5,标准坦克设计!$B$14:$K$20,9)/30))</f>
        <v>24.097895090947684</v>
      </c>
      <c r="CZ191" s="172">
        <f ca="1">(VLOOKUP(CZ$72,INDIRECT($C$5&amp;"生成成长"),2))/((VLOOKUP($B191,INDIRECT($B$5&amp;"生成成长"),4))/(VLOOKUP(CZ$72,INDIRECT($C$5&amp;"生成成长"),5))*(VLOOKUP($B$5,标准坦克设计!$B$24:$U$30,MATCH("对"&amp;LEFT($C$5,2)&amp;"输出",标准坦克设计!$B$23:$U$23,0)))*(VLOOKUP($B191,INDIRECT($B$5&amp;"生成成长"),3))*(VLOOKUP($B$5,标准坦克设计!$B$14:$K$20,9)/30))</f>
        <v>25.62314686716212</v>
      </c>
      <c r="DA191" s="172">
        <f ca="1">(VLOOKUP(DA$72,INDIRECT($C$5&amp;"生成成长"),2))/((VLOOKUP($B191,INDIRECT($B$5&amp;"生成成长"),4))/(VLOOKUP(DA$72,INDIRECT($C$5&amp;"生成成长"),5))*(VLOOKUP($B$5,标准坦克设计!$B$24:$U$30,MATCH("对"&amp;LEFT($C$5,2)&amp;"输出",标准坦克设计!$B$23:$U$23,0)))*(VLOOKUP($B191,INDIRECT($B$5&amp;"生成成长"),3))*(VLOOKUP($B$5,标准坦克设计!$B$14:$K$20,9)/30))</f>
        <v>27.195198558406844</v>
      </c>
      <c r="DB191" s="172">
        <f ca="1">(VLOOKUP(DB$72,INDIRECT($C$5&amp;"生成成长"),2))/((VLOOKUP($B191,INDIRECT($B$5&amp;"生成成长"),4))/(VLOOKUP(DB$72,INDIRECT($C$5&amp;"生成成长"),5))*(VLOOKUP($B$5,标准坦克设计!$B$24:$U$30,MATCH("对"&amp;LEFT($C$5,2)&amp;"输出",标准坦克设计!$B$23:$U$23,0)))*(VLOOKUP($B191,INDIRECT($B$5&amp;"生成成长"),3))*(VLOOKUP($B$5,标准坦克设计!$B$14:$K$20,9)/30))</f>
        <v>28.814050164681859</v>
      </c>
      <c r="DC191" s="172">
        <f ca="1">(VLOOKUP(DC$72,INDIRECT($C$5&amp;"生成成长"),2))/((VLOOKUP($B191,INDIRECT($B$5&amp;"生成成长"),4))/(VLOOKUP(DC$72,INDIRECT($C$5&amp;"生成成长"),5))*(VLOOKUP($B$5,标准坦克设计!$B$24:$U$30,MATCH("对"&amp;LEFT($C$5,2)&amp;"输出",标准坦克设计!$B$23:$U$23,0)))*(VLOOKUP($B191,INDIRECT($B$5&amp;"生成成长"),3))*(VLOOKUP($B$5,标准坦克设计!$B$14:$K$20,9)/30))</f>
        <v>30.633445208504021</v>
      </c>
      <c r="DD191" s="172">
        <f ca="1">(VLOOKUP(DD$72,INDIRECT($C$5&amp;"生成成长"),2))/((VLOOKUP($B191,INDIRECT($B$5&amp;"生成成长"),4))/(VLOOKUP(DD$72,INDIRECT($C$5&amp;"生成成长"),5))*(VLOOKUP($B$5,标准坦克设计!$B$24:$U$30,MATCH("对"&amp;LEFT($C$5,2)&amp;"输出",标准坦克设计!$B$23:$U$23,0)))*(VLOOKUP($B191,INDIRECT($B$5&amp;"生成成长"),3))*(VLOOKUP($B$5,标准坦克设计!$B$14:$K$20,9)/30))</f>
        <v>32.5085360189738</v>
      </c>
      <c r="DE191" s="172">
        <f ca="1">(VLOOKUP(DE$72,INDIRECT($C$5&amp;"生成成长"),2))/((VLOOKUP($B191,INDIRECT($B$5&amp;"生成成长"),4))/(VLOOKUP(DE$72,INDIRECT($C$5&amp;"生成成长"),5))*(VLOOKUP($B$5,标准坦克设计!$B$24:$U$30,MATCH("对"&amp;LEFT($C$5,2)&amp;"输出",标准坦克设计!$B$23:$U$23,0)))*(VLOOKUP($B191,INDIRECT($B$5&amp;"生成成长"),3))*(VLOOKUP($B$5,标准坦克设计!$B$14:$K$20,9)/30))</f>
        <v>34.439322596091202</v>
      </c>
      <c r="DF191" s="172">
        <f ca="1">(VLOOKUP(DF$72,INDIRECT($C$5&amp;"生成成长"),2))/((VLOOKUP($B191,INDIRECT($B$5&amp;"生成成长"),4))/(VLOOKUP(DF$72,INDIRECT($C$5&amp;"生成成长"),5))*(VLOOKUP($B$5,标准坦克设计!$B$24:$U$30,MATCH("对"&amp;LEFT($C$5,2)&amp;"输出",标准坦克设计!$B$23:$U$23,0)))*(VLOOKUP($B191,INDIRECT($B$5&amp;"生成成长"),3))*(VLOOKUP($B$5,标准坦克设计!$B$14:$K$20,9)/30))</f>
        <v>36.425804939856214</v>
      </c>
      <c r="DG191" s="172">
        <f ca="1">(VLOOKUP(DG$72,INDIRECT($C$5&amp;"生成成长"),2))/((VLOOKUP($B191,INDIRECT($B$5&amp;"生成成长"),4))/(VLOOKUP(DG$72,INDIRECT($C$5&amp;"生成成长"),5))*(VLOOKUP($B$5,标准坦克设计!$B$24:$U$30,MATCH("对"&amp;LEFT($C$5,2)&amp;"输出",标准坦克设计!$B$23:$U$23,0)))*(VLOOKUP($B191,INDIRECT($B$5&amp;"生成成长"),3))*(VLOOKUP($B$5,标准坦克设计!$B$14:$K$20,9)/30))</f>
        <v>38.467983050268842</v>
      </c>
      <c r="DH191" s="172">
        <f ca="1">(VLOOKUP(DH$72,INDIRECT($C$5&amp;"生成成长"),2))/((VLOOKUP($B191,INDIRECT($B$5&amp;"生成成长"),4))/(VLOOKUP(DH$72,INDIRECT($C$5&amp;"生成成长"),5))*(VLOOKUP($B$5,标准坦克设计!$B$24:$U$30,MATCH("对"&amp;LEFT($C$5,2)&amp;"输出",标准坦克设计!$B$23:$U$23,0)))*(VLOOKUP($B191,INDIRECT($B$5&amp;"生成成长"),3))*(VLOOKUP($B$5,标准坦克设计!$B$14:$K$20,9)/30))</f>
        <v>40.565856927329087</v>
      </c>
      <c r="DI191" s="172">
        <f ca="1">(VLOOKUP(DI$72,INDIRECT($C$5&amp;"生成成长"),2))/((VLOOKUP($B191,INDIRECT($B$5&amp;"生成成长"),4))/(VLOOKUP(DI$72,INDIRECT($C$5&amp;"生成成长"),5))*(VLOOKUP($B$5,标准坦克设计!$B$24:$U$30,MATCH("对"&amp;LEFT($C$5,2)&amp;"输出",标准坦克设计!$B$23:$U$23,0)))*(VLOOKUP($B191,INDIRECT($B$5&amp;"生成成长"),3))*(VLOOKUP($B$5,标准坦克设计!$B$14:$K$20,9)/30))</f>
        <v>42.719426571036962</v>
      </c>
      <c r="DJ191" s="172">
        <f ca="1">(VLOOKUP(DJ$72,INDIRECT($C$5&amp;"生成成长"),2))/((VLOOKUP($B191,INDIRECT($B$5&amp;"生成成长"),4))/(VLOOKUP(DJ$72,INDIRECT($C$5&amp;"生成成长"),5))*(VLOOKUP($B$5,标准坦克设计!$B$24:$U$30,MATCH("对"&amp;LEFT($C$5,2)&amp;"输出",标准坦克设计!$B$23:$U$23,0)))*(VLOOKUP($B191,INDIRECT($B$5&amp;"生成成长"),3))*(VLOOKUP($B$5,标准坦克设计!$B$14:$K$20,9)/30))</f>
        <v>4.2934087338324645</v>
      </c>
      <c r="DK191" s="172">
        <f ca="1">(VLOOKUP(DK$72,INDIRECT($C$5&amp;"生成成长"),2))/((VLOOKUP($B191,INDIRECT($B$5&amp;"生成成长"),4))/(VLOOKUP(DK$72,INDIRECT($C$5&amp;"生成成长"),5))*(VLOOKUP($B$5,标准坦克设计!$B$24:$U$30,MATCH("对"&amp;LEFT($C$5,2)&amp;"输出",标准坦克设计!$B$23:$U$23,0)))*(VLOOKUP($B191,INDIRECT($B$5&amp;"生成成长"),3))*(VLOOKUP($B$5,标准坦克设计!$B$14:$K$20,9)/30))</f>
        <v>4.8277399951080415</v>
      </c>
      <c r="DL191" s="172">
        <f ca="1">(VLOOKUP(DL$72,INDIRECT($C$5&amp;"生成成长"),2))/((VLOOKUP($B191,INDIRECT($B$5&amp;"生成成长"),4))/(VLOOKUP(DL$72,INDIRECT($C$5&amp;"生成成长"),5))*(VLOOKUP($B$5,标准坦克设计!$B$24:$U$30,MATCH("对"&amp;LEFT($C$5,2)&amp;"输出",标准坦克设计!$B$23:$U$23,0)))*(VLOOKUP($B191,INDIRECT($B$5&amp;"生成成长"),3))*(VLOOKUP($B$5,标准坦克设计!$B$14:$K$20,9)/30))</f>
        <v>5.3934001251229047</v>
      </c>
      <c r="DM191" s="172">
        <f ca="1">(VLOOKUP(DM$72,INDIRECT($C$5&amp;"生成成长"),2))/((VLOOKUP($B191,INDIRECT($B$5&amp;"生成成长"),4))/(VLOOKUP(DM$72,INDIRECT($C$5&amp;"生成成长"),5))*(VLOOKUP($B$5,标准坦克设计!$B$24:$U$30,MATCH("对"&amp;LEFT($C$5,2)&amp;"输出",标准坦克设计!$B$23:$U$23,0)))*(VLOOKUP($B191,INDIRECT($B$5&amp;"生成成长"),3))*(VLOOKUP($B$5,标准坦克设计!$B$14:$K$20,9)/30))</f>
        <v>5.9903891238770521</v>
      </c>
      <c r="DN191" s="172">
        <f ca="1">(VLOOKUP(DN$72,INDIRECT($C$5&amp;"生成成长"),2))/((VLOOKUP($B191,INDIRECT($B$5&amp;"生成成长"),4))/(VLOOKUP(DN$72,INDIRECT($C$5&amp;"生成成长"),5))*(VLOOKUP($B$5,标准坦克设计!$B$24:$U$30,MATCH("对"&amp;LEFT($C$5,2)&amp;"输出",标准坦克设计!$B$23:$U$23,0)))*(VLOOKUP($B191,INDIRECT($B$5&amp;"生成成长"),3))*(VLOOKUP($B$5,标准坦克设计!$B$14:$K$20,9)/30))</f>
        <v>6.618706991370483</v>
      </c>
      <c r="DO191" s="172">
        <f ca="1">(VLOOKUP(DO$72,INDIRECT($C$5&amp;"生成成长"),2))/((VLOOKUP($B191,INDIRECT($B$5&amp;"生成成长"),4))/(VLOOKUP(DO$72,INDIRECT($C$5&amp;"生成成长"),5))*(VLOOKUP($B$5,标准坦克设计!$B$24:$U$30,MATCH("对"&amp;LEFT($C$5,2)&amp;"输出",标准坦克设计!$B$23:$U$23,0)))*(VLOOKUP($B191,INDIRECT($B$5&amp;"生成成长"),3))*(VLOOKUP($B$5,标准坦克设计!$B$14:$K$20,9)/30))</f>
        <v>7.2783537276032009</v>
      </c>
      <c r="DP191" s="172">
        <f ca="1">(VLOOKUP(DP$72,INDIRECT($C$5&amp;"生成成长"),2))/((VLOOKUP($B191,INDIRECT($B$5&amp;"生成成长"),4))/(VLOOKUP(DP$72,INDIRECT($C$5&amp;"生成成长"),5))*(VLOOKUP($B$5,标准坦克设计!$B$24:$U$30,MATCH("对"&amp;LEFT($C$5,2)&amp;"输出",标准坦克设计!$B$23:$U$23,0)))*(VLOOKUP($B191,INDIRECT($B$5&amp;"生成成长"),3))*(VLOOKUP($B$5,标准坦克设计!$B$14:$K$20,9)/30))</f>
        <v>7.9693293325752022</v>
      </c>
      <c r="DQ191" s="172">
        <f ca="1">(VLOOKUP(DQ$72,INDIRECT($C$5&amp;"生成成长"),2))/((VLOOKUP($B191,INDIRECT($B$5&amp;"生成成长"),4))/(VLOOKUP(DQ$72,INDIRECT($C$5&amp;"生成成长"),5))*(VLOOKUP($B$5,标准坦克设计!$B$24:$U$30,MATCH("对"&amp;LEFT($C$5,2)&amp;"输出",标准坦克设计!$B$23:$U$23,0)))*(VLOOKUP($B191,INDIRECT($B$5&amp;"生成成长"),3))*(VLOOKUP($B$5,标准坦克设计!$B$14:$K$20,9)/30))</f>
        <v>8.6916338062864877</v>
      </c>
      <c r="DR191" s="172">
        <f ca="1">(VLOOKUP(DR$72,INDIRECT($C$5&amp;"生成成长"),2))/((VLOOKUP($B191,INDIRECT($B$5&amp;"生成成长"),4))/(VLOOKUP(DR$72,INDIRECT($C$5&amp;"生成成长"),5))*(VLOOKUP($B$5,标准坦克设计!$B$24:$U$30,MATCH("对"&amp;LEFT($C$5,2)&amp;"输出",标准坦克设计!$B$23:$U$23,0)))*(VLOOKUP($B191,INDIRECT($B$5&amp;"生成成长"),3))*(VLOOKUP($B$5,标准坦克设计!$B$14:$K$20,9)/30))</f>
        <v>9.4452671487370559</v>
      </c>
      <c r="DS191" s="172">
        <f ca="1">(VLOOKUP(DS$72,INDIRECT($C$5&amp;"生成成长"),2))/((VLOOKUP($B191,INDIRECT($B$5&amp;"生成成长"),4))/(VLOOKUP(DS$72,INDIRECT($C$5&amp;"生成成长"),5))*(VLOOKUP($B$5,标准坦克设计!$B$24:$U$30,MATCH("对"&amp;LEFT($C$5,2)&amp;"输出",标准坦克设计!$B$23:$U$23,0)))*(VLOOKUP($B191,INDIRECT($B$5&amp;"生成成长"),3))*(VLOOKUP($B$5,标准坦克设计!$B$14:$K$20,9)/30))</f>
        <v>10.230229359926913</v>
      </c>
      <c r="DT191" s="172">
        <f ca="1">(VLOOKUP(DT$72,INDIRECT($C$5&amp;"生成成长"),2))/((VLOOKUP($B191,INDIRECT($B$5&amp;"生成成长"),4))/(VLOOKUP(DT$72,INDIRECT($C$5&amp;"生成成长"),5))*(VLOOKUP($B$5,标准坦克设计!$B$24:$U$30,MATCH("对"&amp;LEFT($C$5,2)&amp;"输出",标准坦克设计!$B$23:$U$23,0)))*(VLOOKUP($B191,INDIRECT($B$5&amp;"生成成长"),3))*(VLOOKUP($B$5,标准坦克设计!$B$14:$K$20,9)/30))</f>
        <v>11.232172995348112</v>
      </c>
      <c r="DU191" s="172">
        <f ca="1">(VLOOKUP(DU$72,INDIRECT($C$5&amp;"生成成长"),2))/((VLOOKUP($B191,INDIRECT($B$5&amp;"生成成长"),4))/(VLOOKUP(DU$72,INDIRECT($C$5&amp;"生成成长"),5))*(VLOOKUP($B$5,标准坦克设计!$B$24:$U$30,MATCH("对"&amp;LEFT($C$5,2)&amp;"输出",标准坦克设计!$B$23:$U$23,0)))*(VLOOKUP($B191,INDIRECT($B$5&amp;"生成成长"),3))*(VLOOKUP($B$5,标准坦克设计!$B$14:$K$20,9)/30))</f>
        <v>12.280916545799597</v>
      </c>
      <c r="DV191" s="172">
        <f ca="1">(VLOOKUP(DV$72,INDIRECT($C$5&amp;"生成成长"),2))/((VLOOKUP($B191,INDIRECT($B$5&amp;"生成成长"),4))/(VLOOKUP(DV$72,INDIRECT($C$5&amp;"生成成长"),5))*(VLOOKUP($B$5,标准坦克设计!$B$24:$U$30,MATCH("对"&amp;LEFT($C$5,2)&amp;"输出",标准坦克设计!$B$23:$U$23,0)))*(VLOOKUP($B191,INDIRECT($B$5&amp;"生成成长"),3))*(VLOOKUP($B$5,标准坦克设计!$B$14:$K$20,9)/30))</f>
        <v>13.376460011281372</v>
      </c>
      <c r="DW191" s="172">
        <f ca="1">(VLOOKUP(DW$72,INDIRECT($C$5&amp;"生成成长"),2))/((VLOOKUP($B191,INDIRECT($B$5&amp;"生成成长"),4))/(VLOOKUP(DW$72,INDIRECT($C$5&amp;"生成成长"),5))*(VLOOKUP($B$5,标准坦克设计!$B$24:$U$30,MATCH("对"&amp;LEFT($C$5,2)&amp;"输出",标准坦克设计!$B$23:$U$23,0)))*(VLOOKUP($B191,INDIRECT($B$5&amp;"生成成长"),3))*(VLOOKUP($B$5,标准坦克设计!$B$14:$K$20,9)/30))</f>
        <v>14.518803391793435</v>
      </c>
      <c r="DX191" s="172">
        <f ca="1">(VLOOKUP(DX$72,INDIRECT($C$5&amp;"生成成长"),2))/((VLOOKUP($B191,INDIRECT($B$5&amp;"生成成长"),4))/(VLOOKUP(DX$72,INDIRECT($C$5&amp;"生成成长"),5))*(VLOOKUP($B$5,标准坦克设计!$B$24:$U$30,MATCH("对"&amp;LEFT($C$5,2)&amp;"输出",标准坦克设计!$B$23:$U$23,0)))*(VLOOKUP($B191,INDIRECT($B$5&amp;"生成成长"),3))*(VLOOKUP($B$5,标准坦克设计!$B$14:$K$20,9)/30))</f>
        <v>15.707946687335795</v>
      </c>
      <c r="DY191" s="172">
        <f ca="1">(VLOOKUP(DY$72,INDIRECT($C$5&amp;"生成成长"),2))/((VLOOKUP($B191,INDIRECT($B$5&amp;"生成成长"),4))/(VLOOKUP(DY$72,INDIRECT($C$5&amp;"生成成长"),5))*(VLOOKUP($B$5,标准坦克设计!$B$24:$U$30,MATCH("对"&amp;LEFT($C$5,2)&amp;"输出",标准坦克设计!$B$23:$U$23,0)))*(VLOOKUP($B191,INDIRECT($B$5&amp;"生成成长"),3))*(VLOOKUP($B$5,标准坦克设计!$B$14:$K$20,9)/30))</f>
        <v>7.0549904967768189</v>
      </c>
      <c r="DZ191" s="172">
        <f ca="1">(VLOOKUP(DZ$72,INDIRECT($C$5&amp;"生成成长"),2))/((VLOOKUP($B191,INDIRECT($B$5&amp;"生成成长"),4))/(VLOOKUP(DZ$72,INDIRECT($C$5&amp;"生成成长"),5))*(VLOOKUP($B$5,标准坦克设计!$B$24:$U$30,MATCH("对"&amp;LEFT($C$5,2)&amp;"输出",标准坦克设计!$B$23:$U$23,0)))*(VLOOKUP($B191,INDIRECT($B$5&amp;"生成成长"),3))*(VLOOKUP($B$5,标准坦克设计!$B$14:$K$20,9)/30))</f>
        <v>7.8130717650360522</v>
      </c>
      <c r="EA191" s="172">
        <f ca="1">(VLOOKUP(EA$72,INDIRECT($C$5&amp;"生成成长"),2))/((VLOOKUP($B191,INDIRECT($B$5&amp;"生成成长"),4))/(VLOOKUP(EA$72,INDIRECT($C$5&amp;"生成成长"),5))*(VLOOKUP($B$5,标准坦克设计!$B$24:$U$30,MATCH("对"&amp;LEFT($C$5,2)&amp;"输出",标准坦克设计!$B$23:$U$23,0)))*(VLOOKUP($B191,INDIRECT($B$5&amp;"生成成长"),3))*(VLOOKUP($B$5,标准坦克设计!$B$14:$K$20,9)/30))</f>
        <v>8.6098306490228005</v>
      </c>
      <c r="EB191" s="172">
        <f ca="1">(VLOOKUP(EB$72,INDIRECT($C$5&amp;"生成成长"),2))/((VLOOKUP($B191,INDIRECT($B$5&amp;"生成成长"),4))/(VLOOKUP(EB$72,INDIRECT($C$5&amp;"生成成长"),5))*(VLOOKUP($B$5,标准坦克设计!$B$24:$U$30,MATCH("对"&amp;LEFT($C$5,2)&amp;"输出",标准坦克设计!$B$23:$U$23,0)))*(VLOOKUP($B191,INDIRECT($B$5&amp;"生成成长"),3))*(VLOOKUP($B$5,标准坦克设计!$B$14:$K$20,9)/30))</f>
        <v>9.4452671487370559</v>
      </c>
      <c r="EC191" s="172">
        <f ca="1">(VLOOKUP(EC$72,INDIRECT($C$5&amp;"生成成长"),2))/((VLOOKUP($B191,INDIRECT($B$5&amp;"生成成长"),4))/(VLOOKUP(EC$72,INDIRECT($C$5&amp;"生成成长"),5))*(VLOOKUP($B$5,标准坦克设计!$B$24:$U$30,MATCH("对"&amp;LEFT($C$5,2)&amp;"输出",标准坦克设计!$B$23:$U$23,0)))*(VLOOKUP($B191,INDIRECT($B$5&amp;"生成成长"),3))*(VLOOKUP($B$5,标准坦克设计!$B$14:$K$20,9)/30))</f>
        <v>10.319381264178826</v>
      </c>
      <c r="ED191" s="172">
        <f ca="1">(VLOOKUP(ED$72,INDIRECT($C$5&amp;"生成成长"),2))/((VLOOKUP($B191,INDIRECT($B$5&amp;"生成成长"),4))/(VLOOKUP(ED$72,INDIRECT($C$5&amp;"生成成长"),5))*(VLOOKUP($B$5,标准坦克设计!$B$24:$U$30,MATCH("对"&amp;LEFT($C$5,2)&amp;"输出",标准坦克设计!$B$23:$U$23,0)))*(VLOOKUP($B191,INDIRECT($B$5&amp;"生成成长"),3))*(VLOOKUP($B$5,标准坦克设计!$B$14:$K$20,9)/30))</f>
        <v>11.232172995348112</v>
      </c>
      <c r="EE191" s="172">
        <f ca="1">(VLOOKUP(EE$72,INDIRECT($C$5&amp;"生成成长"),2))/((VLOOKUP($B191,INDIRECT($B$5&amp;"生成成长"),4))/(VLOOKUP(EE$72,INDIRECT($C$5&amp;"生成成长"),5))*(VLOOKUP($B$5,标准坦克设计!$B$24:$U$30,MATCH("对"&amp;LEFT($C$5,2)&amp;"输出",标准坦克设计!$B$23:$U$23,0)))*(VLOOKUP($B191,INDIRECT($B$5&amp;"生成成长"),3))*(VLOOKUP($B$5,标准坦克设计!$B$14:$K$20,9)/30))</f>
        <v>12.183642342244905</v>
      </c>
      <c r="EF191" s="172">
        <f ca="1">(VLOOKUP(EF$72,INDIRECT($C$5&amp;"生成成长"),2))/((VLOOKUP($B191,INDIRECT($B$5&amp;"生成成长"),4))/(VLOOKUP(EF$72,INDIRECT($C$5&amp;"生成成长"),5))*(VLOOKUP($B$5,标准坦克设计!$B$24:$U$30,MATCH("对"&amp;LEFT($C$5,2)&amp;"输出",标准坦克设计!$B$23:$U$23,0)))*(VLOOKUP($B191,INDIRECT($B$5&amp;"生成成长"),3))*(VLOOKUP($B$5,标准坦克设计!$B$14:$K$20,9)/30))</f>
        <v>13.17378930486921</v>
      </c>
      <c r="EG191" s="172">
        <f ca="1">(VLOOKUP(EG$72,INDIRECT($C$5&amp;"生成成长"),2))/((VLOOKUP($B191,INDIRECT($B$5&amp;"生成成长"),4))/(VLOOKUP(EG$72,INDIRECT($C$5&amp;"生成成长"),5))*(VLOOKUP($B$5,标准坦克设计!$B$24:$U$30,MATCH("对"&amp;LEFT($C$5,2)&amp;"输出",标准坦克设计!$B$23:$U$23,0)))*(VLOOKUP($B191,INDIRECT($B$5&amp;"生成成长"),3))*(VLOOKUP($B$5,标准坦克设计!$B$14:$K$20,9)/30))</f>
        <v>14.202613883221028</v>
      </c>
      <c r="EH191" s="172">
        <f ca="1">(VLOOKUP(EH$72,INDIRECT($C$5&amp;"生成成长"),2))/((VLOOKUP($B191,INDIRECT($B$5&amp;"生成成长"),4))/(VLOOKUP(EH$72,INDIRECT($C$5&amp;"生成成长"),5))*(VLOOKUP($B$5,标准坦克设计!$B$24:$U$30,MATCH("对"&amp;LEFT($C$5,2)&amp;"输出",标准坦克设计!$B$23:$U$23,0)))*(VLOOKUP($B191,INDIRECT($B$5&amp;"生成成长"),3))*(VLOOKUP($B$5,标准坦克设计!$B$14:$K$20,9)/30))</f>
        <v>15.27011607730036</v>
      </c>
      <c r="EI191" s="172">
        <f ca="1">(VLOOKUP(EI$72,INDIRECT($C$5&amp;"生成成长"),2))/((VLOOKUP($B191,INDIRECT($B$5&amp;"生成成长"),4))/(VLOOKUP(EI$72,INDIRECT($C$5&amp;"生成成长"),5))*(VLOOKUP($B$5,标准坦克设计!$B$24:$U$30,MATCH("对"&amp;LEFT($C$5,2)&amp;"输出",标准坦克设计!$B$23:$U$23,0)))*(VLOOKUP($B191,INDIRECT($B$5&amp;"生成成长"),3))*(VLOOKUP($B$5,标准坦克设计!$B$14:$K$20,9)/30))</f>
        <v>16.376295887107201</v>
      </c>
      <c r="EJ191" s="172">
        <f ca="1">(VLOOKUP(EJ$72,INDIRECT($C$5&amp;"生成成长"),2))/((VLOOKUP($B191,INDIRECT($B$5&amp;"生成成长"),4))/(VLOOKUP(EJ$72,INDIRECT($C$5&amp;"生成成长"),5))*(VLOOKUP($B$5,标准坦克设计!$B$24:$U$30,MATCH("对"&amp;LEFT($C$5,2)&amp;"输出",标准坦克设计!$B$23:$U$23,0)))*(VLOOKUP($B191,INDIRECT($B$5&amp;"生成成长"),3))*(VLOOKUP($B$5,标准坦克设计!$B$14:$K$20,9)/30))</f>
        <v>17.521153312641555</v>
      </c>
      <c r="EK191" s="172">
        <f ca="1">(VLOOKUP(EK$72,INDIRECT($C$5&amp;"生成成长"),2))/((VLOOKUP($B191,INDIRECT($B$5&amp;"生成成长"),4))/(VLOOKUP(EK$72,INDIRECT($C$5&amp;"生成成长"),5))*(VLOOKUP($B$5,标准坦克设计!$B$24:$U$30,MATCH("对"&amp;LEFT($C$5,2)&amp;"输出",标准坦克设计!$B$23:$U$23,0)))*(VLOOKUP($B191,INDIRECT($B$5&amp;"生成成长"),3))*(VLOOKUP($B$5,标准坦克设计!$B$14:$K$20,9)/30))</f>
        <v>18.946036676043096</v>
      </c>
      <c r="EL191" s="172">
        <f ca="1">(VLOOKUP(EL$72,INDIRECT($C$5&amp;"生成成长"),2))/((VLOOKUP($B191,INDIRECT($B$5&amp;"生成成长"),4))/(VLOOKUP(EL$72,INDIRECT($C$5&amp;"生成成长"),5))*(VLOOKUP($B$5,标准坦克设计!$B$24:$U$30,MATCH("对"&amp;LEFT($C$5,2)&amp;"输出",标准坦克设计!$B$23:$U$23,0)))*(VLOOKUP($B191,INDIRECT($B$5&amp;"生成成长"),3))*(VLOOKUP($B$5,标准坦克设计!$B$14:$K$20,9)/30))</f>
        <v>20.426615806092254</v>
      </c>
      <c r="EM191" s="172">
        <f ca="1">(VLOOKUP(EM$72,INDIRECT($C$5&amp;"生成成长"),2))/((VLOOKUP($B191,INDIRECT($B$5&amp;"生成成长"),4))/(VLOOKUP(EM$72,INDIRECT($C$5&amp;"生成成长"),5))*(VLOOKUP($B$5,标准坦克设计!$B$24:$U$30,MATCH("对"&amp;LEFT($C$5,2)&amp;"输出",标准坦克设计!$B$23:$U$23,0)))*(VLOOKUP($B191,INDIRECT($B$5&amp;"生成成长"),3))*(VLOOKUP($B$5,标准坦克设计!$B$14:$K$20,9)/30))</f>
        <v>21.962890702789029</v>
      </c>
      <c r="EN191" s="172">
        <f ca="1">(VLOOKUP(EN$72,INDIRECT($C$5&amp;"生成成长"),2))/((VLOOKUP($B191,INDIRECT($B$5&amp;"生成成长"),4))/(VLOOKUP(EN$72,INDIRECT($C$5&amp;"生成成长"),5))*(VLOOKUP($B$5,标准坦克设计!$B$24:$U$30,MATCH("对"&amp;LEFT($C$5,2)&amp;"输出",标准坦克设计!$B$23:$U$23,0)))*(VLOOKUP($B191,INDIRECT($B$5&amp;"生成成长"),3))*(VLOOKUP($B$5,标准坦克设计!$B$14:$K$20,9)/30))</f>
        <v>23.554861366133423</v>
      </c>
      <c r="EO191" s="172">
        <f ca="1">(VLOOKUP(EO$72,INDIRECT($C$5&amp;"生成成长"),2))/((VLOOKUP($B191,INDIRECT($B$5&amp;"生成成长"),4))/(VLOOKUP(EO$72,INDIRECT($C$5&amp;"生成成长"),5))*(VLOOKUP($B$5,标准坦克设计!$B$24:$U$30,MATCH("对"&amp;LEFT($C$5,2)&amp;"输出",标准坦克设计!$B$23:$U$23,0)))*(VLOOKUP($B191,INDIRECT($B$5&amp;"生成成长"),3))*(VLOOKUP($B$5,标准坦克设计!$B$14:$K$20,9)/30))</f>
        <v>25.202527796125427</v>
      </c>
      <c r="EP191" s="172">
        <f ca="1">(VLOOKUP(EP$72,INDIRECT($C$5&amp;"生成成长"),2))/((VLOOKUP($B191,INDIRECT($B$5&amp;"生成成长"),4))/(VLOOKUP(EP$72,INDIRECT($C$5&amp;"生成成长"),5))*(VLOOKUP($B$5,标准坦克设计!$B$24:$U$30,MATCH("对"&amp;LEFT($C$5,2)&amp;"输出",标准坦克设计!$B$23:$U$23,0)))*(VLOOKUP($B191,INDIRECT($B$5&amp;"生成成长"),3))*(VLOOKUP($B$5,标准坦克设计!$B$14:$K$20,9)/30))</f>
        <v>26.905889992765051</v>
      </c>
      <c r="EQ191" s="172">
        <f ca="1">(VLOOKUP(EQ$72,INDIRECT($C$5&amp;"生成成长"),2))/((VLOOKUP($B191,INDIRECT($B$5&amp;"生成成长"),4))/(VLOOKUP(EQ$72,INDIRECT($C$5&amp;"生成成长"),5))*(VLOOKUP($B$5,标准坦克设计!$B$24:$U$30,MATCH("对"&amp;LEFT($C$5,2)&amp;"输出",标准坦克设计!$B$23:$U$23,0)))*(VLOOKUP($B191,INDIRECT($B$5&amp;"生成成长"),3))*(VLOOKUP($B$5,标准坦克设计!$B$14:$K$20,9)/30))</f>
        <v>11.894140388524477</v>
      </c>
      <c r="ER191" s="172">
        <f ca="1">(VLOOKUP(ER$72,INDIRECT($C$5&amp;"生成成长"),2))/((VLOOKUP($B191,INDIRECT($B$5&amp;"生成成长"),4))/(VLOOKUP(ER$72,INDIRECT($C$5&amp;"生成成长"),5))*(VLOOKUP($B$5,标准坦克设计!$B$24:$U$30,MATCH("对"&amp;LEFT($C$5,2)&amp;"输出",标准坦克设计!$B$23:$U$23,0)))*(VLOOKUP($B191,INDIRECT($B$5&amp;"生成成长"),3))*(VLOOKUP($B$5,标准坦克设计!$B$14:$K$20,9)/30))</f>
        <v>12.97266570308615</v>
      </c>
      <c r="ES191" s="172">
        <f ca="1">(VLOOKUP(ES$72,INDIRECT($C$5&amp;"生成成长"),2))/((VLOOKUP($B191,INDIRECT($B$5&amp;"生成成长"),4))/(VLOOKUP(ES$72,INDIRECT($C$5&amp;"生成成长"),5))*(VLOOKUP($B$5,标准坦克设计!$B$24:$U$30,MATCH("对"&amp;LEFT($C$5,2)&amp;"输出",标准坦克设计!$B$23:$U$23,0)))*(VLOOKUP($B191,INDIRECT($B$5&amp;"生成成长"),3))*(VLOOKUP($B$5,标准坦克设计!$B$14:$K$20,9)/30))</f>
        <v>14.097990932678108</v>
      </c>
      <c r="ET191" s="172">
        <f ca="1">(VLOOKUP(ET$72,INDIRECT($C$5&amp;"生成成长"),2))/((VLOOKUP($B191,INDIRECT($B$5&amp;"生成成长"),4))/(VLOOKUP(ET$72,INDIRECT($C$5&amp;"生成成长"),5))*(VLOOKUP($B$5,标准坦克设计!$B$24:$U$30,MATCH("对"&amp;LEFT($C$5,2)&amp;"输出",标准坦克设计!$B$23:$U$23,0)))*(VLOOKUP($B191,INDIRECT($B$5&amp;"生成成长"),3))*(VLOOKUP($B$5,标准坦克设计!$B$14:$K$20,9)/30))</f>
        <v>15.27011607730036</v>
      </c>
      <c r="EU191" s="172">
        <f ca="1">(VLOOKUP(EU$72,INDIRECT($C$5&amp;"生成成长"),2))/((VLOOKUP($B191,INDIRECT($B$5&amp;"生成成长"),4))/(VLOOKUP(EU$72,INDIRECT($C$5&amp;"生成成长"),5))*(VLOOKUP($B$5,标准坦克设计!$B$24:$U$30,MATCH("对"&amp;LEFT($C$5,2)&amp;"输出",标准坦克设计!$B$23:$U$23,0)))*(VLOOKUP($B191,INDIRECT($B$5&amp;"生成成长"),3))*(VLOOKUP($B$5,标准坦克设计!$B$14:$K$20,9)/30))</f>
        <v>16.489041136952899</v>
      </c>
      <c r="EV191" s="172">
        <f ca="1">(VLOOKUP(EV$72,INDIRECT($C$5&amp;"生成成长"),2))/((VLOOKUP($B191,INDIRECT($B$5&amp;"生成成长"),4))/(VLOOKUP(EV$72,INDIRECT($C$5&amp;"生成成长"),5))*(VLOOKUP($B$5,标准坦克设计!$B$24:$U$30,MATCH("对"&amp;LEFT($C$5,2)&amp;"输出",标准坦克设计!$B$23:$U$23,0)))*(VLOOKUP($B191,INDIRECT($B$5&amp;"生成成长"),3))*(VLOOKUP($B$5,标准坦克设计!$B$14:$K$20,9)/30))</f>
        <v>17.754766111635721</v>
      </c>
      <c r="EW191" s="172">
        <f ca="1">(VLOOKUP(EW$72,INDIRECT($C$5&amp;"生成成长"),2))/((VLOOKUP($B191,INDIRECT($B$5&amp;"生成成长"),4))/(VLOOKUP(EW$72,INDIRECT($C$5&amp;"生成成长"),5))*(VLOOKUP($B$5,标准坦克设计!$B$24:$U$30,MATCH("对"&amp;LEFT($C$5,2)&amp;"输出",标准坦克设计!$B$23:$U$23,0)))*(VLOOKUP($B191,INDIRECT($B$5&amp;"生成成长"),3))*(VLOOKUP($B$5,标准坦克设计!$B$14:$K$20,9)/30))</f>
        <v>19.067291001348842</v>
      </c>
      <c r="EX191" s="172">
        <f ca="1">(VLOOKUP(EX$72,INDIRECT($C$5&amp;"生成成长"),2))/((VLOOKUP($B191,INDIRECT($B$5&amp;"生成成长"),4))/(VLOOKUP(EX$72,INDIRECT($C$5&amp;"生成成长"),5))*(VLOOKUP($B$5,标准坦克设计!$B$24:$U$30,MATCH("对"&amp;LEFT($C$5,2)&amp;"输出",标准坦克设计!$B$23:$U$23,0)))*(VLOOKUP($B191,INDIRECT($B$5&amp;"生成成长"),3))*(VLOOKUP($B$5,标准坦克设计!$B$14:$K$20,9)/30))</f>
        <v>20.426615806092254</v>
      </c>
      <c r="EY191" s="172">
        <f ca="1">(VLOOKUP(EY$72,INDIRECT($C$5&amp;"生成成长"),2))/((VLOOKUP($B191,INDIRECT($B$5&amp;"生成成长"),4))/(VLOOKUP(EY$72,INDIRECT($C$5&amp;"生成成长"),5))*(VLOOKUP($B$5,标准坦克设计!$B$24:$U$30,MATCH("对"&amp;LEFT($C$5,2)&amp;"输出",标准坦克设计!$B$23:$U$23,0)))*(VLOOKUP($B191,INDIRECT($B$5&amp;"生成成长"),3))*(VLOOKUP($B$5,标准坦克设计!$B$14:$K$20,9)/30))</f>
        <v>21.832740525865951</v>
      </c>
      <c r="EZ191" s="172">
        <f ca="1">(VLOOKUP(EZ$72,INDIRECT($C$5&amp;"生成成长"),2))/((VLOOKUP($B191,INDIRECT($B$5&amp;"生成成长"),4))/(VLOOKUP(EZ$72,INDIRECT($C$5&amp;"生成成长"),5))*(VLOOKUP($B$5,标准坦克设计!$B$24:$U$30,MATCH("对"&amp;LEFT($C$5,2)&amp;"输出",标准坦克设计!$B$23:$U$23,0)))*(VLOOKUP($B191,INDIRECT($B$5&amp;"生成成长"),3))*(VLOOKUP($B$5,标准坦克设计!$B$14:$K$20,9)/30))</f>
        <v>23.285665160669943</v>
      </c>
      <c r="FA191" s="172">
        <f ca="1">(VLOOKUP(FA$72,INDIRECT($C$5&amp;"生成成长"),2))/((VLOOKUP($B191,INDIRECT($B$5&amp;"生成成长"),4))/(VLOOKUP(FA$72,INDIRECT($C$5&amp;"生成成长"),5))*(VLOOKUP($B$5,标准坦克设计!$B$24:$U$30,MATCH("对"&amp;LEFT($C$5,2)&amp;"输出",标准坦克设计!$B$23:$U$23,0)))*(VLOOKUP($B191,INDIRECT($B$5&amp;"生成成长"),3))*(VLOOKUP($B$5,标准坦克设计!$B$14:$K$20,9)/30))</f>
        <v>24.785389710504212</v>
      </c>
      <c r="FB191" s="172">
        <f ca="1">(VLOOKUP(FB$72,INDIRECT($C$5&amp;"生成成长"),2))/((VLOOKUP($B191,INDIRECT($B$5&amp;"生成成长"),4))/(VLOOKUP(FB$72,INDIRECT($C$5&amp;"生成成长"),5))*(VLOOKUP($B$5,标准坦克设计!$B$24:$U$30,MATCH("对"&amp;LEFT($C$5,2)&amp;"输出",标准坦克设计!$B$23:$U$23,0)))*(VLOOKUP($B191,INDIRECT($B$5&amp;"生成成长"),3))*(VLOOKUP($B$5,标准坦克设计!$B$14:$K$20,9)/30))</f>
        <v>26.33191417536878</v>
      </c>
      <c r="FC191" s="172">
        <f ca="1">(VLOOKUP(FC$72,INDIRECT($C$5&amp;"生成成长"),2))/((VLOOKUP($B191,INDIRECT($B$5&amp;"生成成长"),4))/(VLOOKUP(FC$72,INDIRECT($C$5&amp;"生成成长"),5))*(VLOOKUP($B$5,标准坦克设计!$B$24:$U$30,MATCH("对"&amp;LEFT($C$5,2)&amp;"输出",标准坦克设计!$B$23:$U$23,0)))*(VLOOKUP($B191,INDIRECT($B$5&amp;"生成成长"),3))*(VLOOKUP($B$5,标准坦克设计!$B$14:$K$20,9)/30))</f>
        <v>27.925238555263636</v>
      </c>
      <c r="FD191" s="172">
        <f ca="1">(VLOOKUP(FD$72,INDIRECT($C$5&amp;"生成成长"),2))/((VLOOKUP($B191,INDIRECT($B$5&amp;"生成成长"),4))/(VLOOKUP(FD$72,INDIRECT($C$5&amp;"生成成长"),5))*(VLOOKUP($B$5,标准坦克设计!$B$24:$U$30,MATCH("对"&amp;LEFT($C$5,2)&amp;"输出",标准坦克设计!$B$23:$U$23,0)))*(VLOOKUP($B191,INDIRECT($B$5&amp;"生成成长"),3))*(VLOOKUP($B$5,标准坦克设计!$B$14:$K$20,9)/30))</f>
        <v>29.565362850188773</v>
      </c>
      <c r="FE191" s="172">
        <f ca="1">(VLOOKUP(FE$72,INDIRECT($C$5&amp;"生成成长"),2))/((VLOOKUP($B191,INDIRECT($B$5&amp;"生成成长"),4))/(VLOOKUP(FE$72,INDIRECT($C$5&amp;"生成成长"),5))*(VLOOKUP($B$5,标准坦克设计!$B$24:$U$30,MATCH("对"&amp;LEFT($C$5,2)&amp;"输出",标准坦克设计!$B$23:$U$23,0)))*(VLOOKUP($B191,INDIRECT($B$5&amp;"生成成长"),3))*(VLOOKUP($B$5,标准坦克设计!$B$14:$K$20,9)/30))</f>
        <v>31.56402864290796</v>
      </c>
      <c r="FF191" s="172">
        <f ca="1">(VLOOKUP(FF$72,INDIRECT($C$5&amp;"生成成长"),2))/((VLOOKUP($B191,INDIRECT($B$5&amp;"生成成长"),4))/(VLOOKUP(FF$72,INDIRECT($C$5&amp;"生成成长"),5))*(VLOOKUP($B$5,标准坦克设计!$B$24:$U$30,MATCH("对"&amp;LEFT($C$5,2)&amp;"输出",标准坦克设计!$B$23:$U$23,0)))*(VLOOKUP($B191,INDIRECT($B$5&amp;"生成成长"),3))*(VLOOKUP($B$5,标准坦克设计!$B$14:$K$20,9)/30))</f>
        <v>33.628059606206641</v>
      </c>
      <c r="FG191" s="172">
        <f ca="1">(VLOOKUP(FG$72,INDIRECT($C$5&amp;"生成成长"),2))/((VLOOKUP($B191,INDIRECT($B$5&amp;"生成成长"),4))/(VLOOKUP(FG$72,INDIRECT($C$5&amp;"生成成长"),5))*(VLOOKUP($B$5,标准坦克设计!$B$24:$U$30,MATCH("对"&amp;LEFT($C$5,2)&amp;"输出",标准坦克设计!$B$23:$U$23,0)))*(VLOOKUP($B191,INDIRECT($B$5&amp;"生成成长"),3))*(VLOOKUP($B$5,标准坦克设计!$B$14:$K$20,9)/30))</f>
        <v>35.757455740084801</v>
      </c>
      <c r="FH191" s="172">
        <f ca="1">(VLOOKUP(FH$72,INDIRECT($C$5&amp;"生成成长"),2))/((VLOOKUP($B191,INDIRECT($B$5&amp;"生成成长"),4))/(VLOOKUP(FH$72,INDIRECT($C$5&amp;"生成成长"),5))*(VLOOKUP($B$5,标准坦克设计!$B$24:$U$30,MATCH("对"&amp;LEFT($C$5,2)&amp;"输出",标准坦克设计!$B$23:$U$23,0)))*(VLOOKUP($B191,INDIRECT($B$5&amp;"生成成长"),3))*(VLOOKUP($B$5,标准坦克设计!$B$14:$K$20,9)/30))</f>
        <v>37.952217044542472</v>
      </c>
      <c r="FI191" s="172">
        <f ca="1">(VLOOKUP(FI$72,INDIRECT($C$5&amp;"生成成长"),2))/((VLOOKUP($B191,INDIRECT($B$5&amp;"生成成长"),4))/(VLOOKUP(FI$72,INDIRECT($C$5&amp;"生成成长"),5))*(VLOOKUP($B$5,标准坦克设计!$B$24:$U$30,MATCH("对"&amp;LEFT($C$5,2)&amp;"输出",标准坦克设计!$B$23:$U$23,0)))*(VLOOKUP($B191,INDIRECT($B$5&amp;"生成成长"),3))*(VLOOKUP($B$5,标准坦克设计!$B$14:$K$20,9)/30))</f>
        <v>40.212343519579626</v>
      </c>
      <c r="FJ191" s="172">
        <f ca="1">(VLOOKUP(FJ$72,INDIRECT($C$5&amp;"生成成长"),2))/((VLOOKUP($B191,INDIRECT($B$5&amp;"生成成长"),4))/(VLOOKUP(FJ$72,INDIRECT($C$5&amp;"生成成长"),5))*(VLOOKUP($B$5,标准坦克设计!$B$24:$U$30,MATCH("对"&amp;LEFT($C$5,2)&amp;"输出",标准坦克设计!$B$23:$U$23,0)))*(VLOOKUP($B191,INDIRECT($B$5&amp;"生成成长"),3))*(VLOOKUP($B$5,标准坦克设计!$B$14:$K$20,9)/30))</f>
        <v>42.537835165196292</v>
      </c>
      <c r="FK191" s="172">
        <f ca="1">(VLOOKUP(FK$72,INDIRECT($C$5&amp;"生成成长"),2))/((VLOOKUP($B191,INDIRECT($B$5&amp;"生成成长"),4))/(VLOOKUP(FK$72,INDIRECT($C$5&amp;"生成成长"),5))*(VLOOKUP($B$5,标准坦克设计!$B$24:$U$30,MATCH("对"&amp;LEFT($C$5,2)&amp;"输出",标准坦克设计!$B$23:$U$23,0)))*(VLOOKUP($B191,INDIRECT($B$5&amp;"生成成长"),3))*(VLOOKUP($B$5,标准坦克设计!$B$14:$K$20,9)/30))</f>
        <v>44.928691981392447</v>
      </c>
    </row>
    <row r="192" spans="1:167" x14ac:dyDescent="0.15">
      <c r="A192" s="170" t="str">
        <f t="shared" si="12"/>
        <v>T3高品质9级</v>
      </c>
      <c r="B192" s="171">
        <v>30309</v>
      </c>
      <c r="C192" s="172">
        <f ca="1">(VLOOKUP(C$72,INDIRECT($C$5&amp;"生成成长"),2))/((VLOOKUP($B192,INDIRECT($B$5&amp;"生成成长"),4))/(VLOOKUP(C$72,INDIRECT($C$5&amp;"生成成长"),5))*(VLOOKUP($B$5,标准坦克设计!$B$24:$U$30,MATCH("对"&amp;LEFT($C$5,2)&amp;"输出",标准坦克设计!$B$23:$U$23,0)))*(VLOOKUP($B192,INDIRECT($B$5&amp;"生成成长"),3))*(VLOOKUP($B$5,标准坦克设计!$B$14:$K$20,9)/30))</f>
        <v>1.7778285660572051</v>
      </c>
      <c r="D192" s="172">
        <f ca="1">(VLOOKUP(D$72,INDIRECT($C$5&amp;"生成成长"),2))/((VLOOKUP($B192,INDIRECT($B$5&amp;"生成成长"),4))/(VLOOKUP(D$72,INDIRECT($C$5&amp;"生成成长"),5))*(VLOOKUP($B$5,标准坦克设计!$B$24:$U$30,MATCH("对"&amp;LEFT($C$5,2)&amp;"输出",标准坦克设计!$B$23:$U$23,0)))*(VLOOKUP($B192,INDIRECT($B$5&amp;"生成成长"),3))*(VLOOKUP($B$5,标准坦克设计!$B$14:$K$20,9)/30))</f>
        <v>1.9975681768218754</v>
      </c>
      <c r="E192" s="172">
        <f ca="1">(VLOOKUP(E$72,INDIRECT($C$5&amp;"生成成长"),2))/((VLOOKUP($B192,INDIRECT($B$5&amp;"生成成长"),4))/(VLOOKUP(E$72,INDIRECT($C$5&amp;"生成成长"),5))*(VLOOKUP($B$5,标准坦克设计!$B$24:$U$30,MATCH("对"&amp;LEFT($C$5,2)&amp;"输出",标准坦克设计!$B$23:$U$23,0)))*(VLOOKUP($B192,INDIRECT($B$5&amp;"生成成长"),3))*(VLOOKUP($B$5,标准坦克设计!$B$14:$K$20,9)/30))</f>
        <v>2.2301081532621581</v>
      </c>
      <c r="F192" s="172">
        <f ca="1">(VLOOKUP(F$72,INDIRECT($C$5&amp;"生成成长"),2))/((VLOOKUP($B192,INDIRECT($B$5&amp;"生成成长"),4))/(VLOOKUP(F$72,INDIRECT($C$5&amp;"生成成长"),5))*(VLOOKUP($B$5,标准坦克设计!$B$24:$U$30,MATCH("对"&amp;LEFT($C$5,2)&amp;"输出",标准坦克设计!$B$23:$U$23,0)))*(VLOOKUP($B192,INDIRECT($B$5&amp;"生成成长"),3))*(VLOOKUP($B$5,标准坦克设计!$B$14:$K$20,9)/30))</f>
        <v>2.475448495378052</v>
      </c>
      <c r="G192" s="172">
        <f ca="1">(VLOOKUP(G$72,INDIRECT($C$5&amp;"生成成长"),2))/((VLOOKUP($B192,INDIRECT($B$5&amp;"生成成长"),4))/(VLOOKUP(G$72,INDIRECT($C$5&amp;"生成成长"),5))*(VLOOKUP($B$5,标准坦克设计!$B$24:$U$30,MATCH("对"&amp;LEFT($C$5,2)&amp;"输出",标准坦克设计!$B$23:$U$23,0)))*(VLOOKUP($B192,INDIRECT($B$5&amp;"生成成长"),3))*(VLOOKUP($B$5,标准坦克设计!$B$14:$K$20,9)/30))</f>
        <v>2.7335892031695583</v>
      </c>
      <c r="H192" s="172">
        <f ca="1">(VLOOKUP(H$72,INDIRECT($C$5&amp;"生成成长"),2))/((VLOOKUP($B192,INDIRECT($B$5&amp;"生成成长"),4))/(VLOOKUP(H$72,INDIRECT($C$5&amp;"生成成长"),5))*(VLOOKUP($B$5,标准坦克设计!$B$24:$U$30,MATCH("对"&amp;LEFT($C$5,2)&amp;"输出",标准坦克设计!$B$23:$U$23,0)))*(VLOOKUP($B192,INDIRECT($B$5&amp;"生成成长"),3))*(VLOOKUP($B$5,标准坦克设计!$B$14:$K$20,9)/30))</f>
        <v>2.3922461184865753</v>
      </c>
      <c r="I192" s="172">
        <f ca="1">(VLOOKUP(I$72,INDIRECT($C$5&amp;"生成成长"),2))/((VLOOKUP($B192,INDIRECT($B$5&amp;"生成成长"),4))/(VLOOKUP(I$72,INDIRECT($C$5&amp;"生成成长"),5))*(VLOOKUP($B$5,标准坦克设计!$B$24:$U$30,MATCH("对"&amp;LEFT($C$5,2)&amp;"输出",标准坦克设计!$B$23:$U$23,0)))*(VLOOKUP($B192,INDIRECT($B$5&amp;"生成成长"),3))*(VLOOKUP($B$5,标准坦克设计!$B$14:$K$20,9)/30))</f>
        <v>2.7335892031695583</v>
      </c>
      <c r="J192" s="172">
        <f ca="1">(VLOOKUP(J$72,INDIRECT($C$5&amp;"生成成长"),2))/((VLOOKUP($B192,INDIRECT($B$5&amp;"生成成长"),4))/(VLOOKUP(J$72,INDIRECT($C$5&amp;"生成成长"),5))*(VLOOKUP($B$5,标准坦克设计!$B$24:$U$30,MATCH("对"&amp;LEFT($C$5,2)&amp;"输出",标准坦克设计!$B$23:$U$23,0)))*(VLOOKUP($B192,INDIRECT($B$5&amp;"生成成长"),3))*(VLOOKUP($B$5,标准坦克设计!$B$14:$K$20,9)/30))</f>
        <v>3.0976884934980737</v>
      </c>
      <c r="K192" s="172">
        <f ca="1">(VLOOKUP(K$72,INDIRECT($C$5&amp;"生成成长"),2))/((VLOOKUP($B192,INDIRECT($B$5&amp;"生成成长"),4))/(VLOOKUP(K$72,INDIRECT($C$5&amp;"生成成长"),5))*(VLOOKUP($B$5,标准坦克设计!$B$24:$U$30,MATCH("对"&amp;LEFT($C$5,2)&amp;"输出",标准坦克设计!$B$23:$U$23,0)))*(VLOOKUP($B192,INDIRECT($B$5&amp;"生成成长"),3))*(VLOOKUP($B$5,标准坦克设计!$B$14:$K$20,9)/30))</f>
        <v>3.4845439894721224</v>
      </c>
      <c r="L192" s="172">
        <f ca="1">(VLOOKUP(L$72,INDIRECT($C$5&amp;"生成成长"),2))/((VLOOKUP($B192,INDIRECT($B$5&amp;"生成成长"),4))/(VLOOKUP(L$72,INDIRECT($C$5&amp;"生成成长"),5))*(VLOOKUP($B$5,标准坦克设计!$B$24:$U$30,MATCH("对"&amp;LEFT($C$5,2)&amp;"输出",标准坦克设计!$B$23:$U$23,0)))*(VLOOKUP($B192,INDIRECT($B$5&amp;"生成成长"),3))*(VLOOKUP($B$5,标准坦克设计!$B$14:$K$20,9)/30))</f>
        <v>3.8941556910917012</v>
      </c>
      <c r="M192" s="172">
        <f ca="1">(VLOOKUP(M$72,INDIRECT($C$5&amp;"生成成长"),2))/((VLOOKUP($B192,INDIRECT($B$5&amp;"生成成长"),4))/(VLOOKUP(M$72,INDIRECT($C$5&amp;"生成成长"),5))*(VLOOKUP($B$5,标准坦克设计!$B$24:$U$30,MATCH("对"&amp;LEFT($C$5,2)&amp;"输出",标准坦克设计!$B$23:$U$23,0)))*(VLOOKUP($B192,INDIRECT($B$5&amp;"生成成长"),3))*(VLOOKUP($B$5,标准坦克设计!$B$14:$K$20,9)/30))</f>
        <v>4.3265235983568147</v>
      </c>
      <c r="N192" s="172">
        <f ca="1">(VLOOKUP(N$72,INDIRECT($C$5&amp;"生成成长"),2))/((VLOOKUP($B192,INDIRECT($B$5&amp;"生成成长"),4))/(VLOOKUP(N$72,INDIRECT($C$5&amp;"生成成长"),5))*(VLOOKUP($B$5,标准坦克设计!$B$24:$U$30,MATCH("对"&amp;LEFT($C$5,2)&amp;"输出",标准坦克设计!$B$23:$U$23,0)))*(VLOOKUP($B192,INDIRECT($B$5&amp;"生成成长"),3))*(VLOOKUP($B$5,标准坦克设计!$B$14:$K$20,9)/30))</f>
        <v>4.7816477112674578</v>
      </c>
      <c r="O192" s="172">
        <f ca="1">(VLOOKUP(O$72,INDIRECT($C$5&amp;"生成成长"),2))/((VLOOKUP($B192,INDIRECT($B$5&amp;"生成成长"),4))/(VLOOKUP(O$72,INDIRECT($C$5&amp;"生成成长"),5))*(VLOOKUP($B$5,标准坦克设计!$B$24:$U$30,MATCH("对"&amp;LEFT($C$5,2)&amp;"输出",标准坦克设计!$B$23:$U$23,0)))*(VLOOKUP($B192,INDIRECT($B$5&amp;"生成成长"),3))*(VLOOKUP($B$5,标准坦克设计!$B$14:$K$20,9)/30))</f>
        <v>3.635481634730378</v>
      </c>
      <c r="P192" s="172">
        <f ca="1">(VLOOKUP(P$72,INDIRECT($C$5&amp;"生成成长"),2))/((VLOOKUP($B192,INDIRECT($B$5&amp;"生成成长"),4))/(VLOOKUP(P$72,INDIRECT($C$5&amp;"生成成长"),5))*(VLOOKUP($B$5,标准坦克设计!$B$24:$U$30,MATCH("对"&amp;LEFT($C$5,2)&amp;"输出",标准坦克设计!$B$23:$U$23,0)))*(VLOOKUP($B192,INDIRECT($B$5&amp;"生成成长"),3))*(VLOOKUP($B$5,标准坦克设计!$B$14:$K$20,9)/30))</f>
        <v>4.1074951190185667</v>
      </c>
      <c r="Q192" s="172">
        <f ca="1">(VLOOKUP(Q$72,INDIRECT($C$5&amp;"生成成长"),2))/((VLOOKUP($B192,INDIRECT($B$5&amp;"生成成长"),4))/(VLOOKUP(Q$72,INDIRECT($C$5&amp;"生成成长"),5))*(VLOOKUP($B$5,标准坦克设计!$B$24:$U$30,MATCH("对"&amp;LEFT($C$5,2)&amp;"输出",标准坦克设计!$B$23:$U$23,0)))*(VLOOKUP($B192,INDIRECT($B$5&amp;"生成成长"),3))*(VLOOKUP($B$5,标准坦克设计!$B$14:$K$20,9)/30))</f>
        <v>4.6083094260768815</v>
      </c>
      <c r="R192" s="172">
        <f ca="1">(VLOOKUP(R$72,INDIRECT($C$5&amp;"生成成长"),2))/((VLOOKUP($B192,INDIRECT($B$5&amp;"生成成长"),4))/(VLOOKUP(R$72,INDIRECT($C$5&amp;"生成成长"),5))*(VLOOKUP($B$5,标准坦克设计!$B$24:$U$30,MATCH("对"&amp;LEFT($C$5,2)&amp;"输出",标准坦克设计!$B$23:$U$23,0)))*(VLOOKUP($B192,INDIRECT($B$5&amp;"生成成长"),3))*(VLOOKUP($B$5,标准坦克设计!$B$14:$K$20,9)/30))</f>
        <v>5.1379245559053226</v>
      </c>
      <c r="S192" s="172">
        <f ca="1">(VLOOKUP(S$72,INDIRECT($C$5&amp;"生成成长"),2))/((VLOOKUP($B192,INDIRECT($B$5&amp;"生成成长"),4))/(VLOOKUP(S$72,INDIRECT($C$5&amp;"生成成长"),5))*(VLOOKUP($B$5,标准坦克设计!$B$24:$U$30,MATCH("对"&amp;LEFT($C$5,2)&amp;"输出",标准坦克设计!$B$23:$U$23,0)))*(VLOOKUP($B192,INDIRECT($B$5&amp;"生成成长"),3))*(VLOOKUP($B$5,标准坦克设计!$B$14:$K$20,9)/30))</f>
        <v>5.6963405085038907</v>
      </c>
      <c r="T192" s="172">
        <f ca="1">(VLOOKUP(T$72,INDIRECT($C$5&amp;"生成成长"),2))/((VLOOKUP($B192,INDIRECT($B$5&amp;"生成成长"),4))/(VLOOKUP(T$72,INDIRECT($C$5&amp;"生成成长"),5))*(VLOOKUP($B$5,标准坦克设计!$B$24:$U$30,MATCH("对"&amp;LEFT($C$5,2)&amp;"输出",标准坦克设计!$B$23:$U$23,0)))*(VLOOKUP($B192,INDIRECT($B$5&amp;"生成成长"),3))*(VLOOKUP($B$5,标准坦克设计!$B$14:$K$20,9)/30))</f>
        <v>6.2835572838725859</v>
      </c>
      <c r="U192" s="172">
        <f ca="1">(VLOOKUP(U$72,INDIRECT($C$5&amp;"生成成长"),2))/((VLOOKUP($B192,INDIRECT($B$5&amp;"生成成长"),4))/(VLOOKUP(U$72,INDIRECT($C$5&amp;"生成成长"),5))*(VLOOKUP($B$5,标准坦克设计!$B$24:$U$30,MATCH("对"&amp;LEFT($C$5,2)&amp;"输出",标准坦克设计!$B$23:$U$23,0)))*(VLOOKUP($B192,INDIRECT($B$5&amp;"生成成长"),3))*(VLOOKUP($B$5,标准坦克设计!$B$14:$K$20,9)/30))</f>
        <v>6.8995748820114073</v>
      </c>
      <c r="V192" s="172">
        <f ca="1">(VLOOKUP(V$72,INDIRECT($C$5&amp;"生成成长"),2))/((VLOOKUP($B192,INDIRECT($B$5&amp;"生成成长"),4))/(VLOOKUP(V$72,INDIRECT($C$5&amp;"生成成长"),5))*(VLOOKUP($B$5,标准坦克设计!$B$24:$U$30,MATCH("对"&amp;LEFT($C$5,2)&amp;"输出",标准坦克设计!$B$23:$U$23,0)))*(VLOOKUP($B192,INDIRECT($B$5&amp;"生成成长"),3))*(VLOOKUP($B$5,标准坦克设计!$B$14:$K$20,9)/30))</f>
        <v>7.5443933029203549</v>
      </c>
      <c r="W192" s="172">
        <f ca="1">(VLOOKUP(W$72,INDIRECT($C$5&amp;"生成成长"),2))/((VLOOKUP($B192,INDIRECT($B$5&amp;"生成成长"),4))/(VLOOKUP(W$72,INDIRECT($C$5&amp;"生成成长"),5))*(VLOOKUP($B$5,标准坦克设计!$B$24:$U$30,MATCH("对"&amp;LEFT($C$5,2)&amp;"输出",标准坦克设计!$B$23:$U$23,0)))*(VLOOKUP($B192,INDIRECT($B$5&amp;"生成成长"),3))*(VLOOKUP($B$5,标准坦克设计!$B$14:$K$20,9)/30))</f>
        <v>8.2180125465994305</v>
      </c>
      <c r="X192" s="172">
        <f ca="1">(VLOOKUP(X$72,INDIRECT($C$5&amp;"生成成长"),2))/((VLOOKUP($B192,INDIRECT($B$5&amp;"生成成长"),4))/(VLOOKUP(X$72,INDIRECT($C$5&amp;"生成成长"),5))*(VLOOKUP($B$5,标准坦克设计!$B$24:$U$30,MATCH("对"&amp;LEFT($C$5,2)&amp;"输出",标准坦克设计!$B$23:$U$23,0)))*(VLOOKUP($B192,INDIRECT($B$5&amp;"生成成长"),3))*(VLOOKUP($B$5,标准坦克设计!$B$14:$K$20,9)/30))</f>
        <v>5.9537700848689736</v>
      </c>
      <c r="Y192" s="172">
        <f ca="1">(VLOOKUP(Y$72,INDIRECT($C$5&amp;"生成成长"),2))/((VLOOKUP($B192,INDIRECT($B$5&amp;"生成成长"),4))/(VLOOKUP(Y$72,INDIRECT($C$5&amp;"生成成长"),5))*(VLOOKUP($B$5,标准坦克设计!$B$24:$U$30,MATCH("对"&amp;LEFT($C$5,2)&amp;"输出",标准坦克设计!$B$23:$U$23,0)))*(VLOOKUP($B192,INDIRECT($B$5&amp;"生成成长"),3))*(VLOOKUP($B$5,标准坦克设计!$B$14:$K$20,9)/30))</f>
        <v>6.6222336257064827</v>
      </c>
      <c r="Z192" s="172">
        <f ca="1">(VLOOKUP(Z$72,INDIRECT($C$5&amp;"生成成长"),2))/((VLOOKUP($B192,INDIRECT($B$5&amp;"生成成长"),4))/(VLOOKUP(Z$72,INDIRECT($C$5&amp;"生成成长"),5))*(VLOOKUP($B$5,标准坦克设计!$B$24:$U$30,MATCH("对"&amp;LEFT($C$5,2)&amp;"输出",标准坦克设计!$B$23:$U$23,0)))*(VLOOKUP($B192,INDIRECT($B$5&amp;"生成成长"),3))*(VLOOKUP($B$5,标准坦克设计!$B$14:$K$20,9)/30))</f>
        <v>7.3262537378651365</v>
      </c>
      <c r="AA192" s="172">
        <f ca="1">(VLOOKUP(AA$72,INDIRECT($C$5&amp;"生成成长"),2))/((VLOOKUP($B192,INDIRECT($B$5&amp;"生成成长"),4))/(VLOOKUP(AA$72,INDIRECT($C$5&amp;"生成成长"),5))*(VLOOKUP($B$5,标准坦克设计!$B$24:$U$30,MATCH("对"&amp;LEFT($C$5,2)&amp;"输出",标准坦克设计!$B$23:$U$23,0)))*(VLOOKUP($B192,INDIRECT($B$5&amp;"生成成长"),3))*(VLOOKUP($B$5,标准坦克设计!$B$14:$K$20,9)/30))</f>
        <v>8.0658304213449341</v>
      </c>
      <c r="AB192" s="172">
        <f ca="1">(VLOOKUP(AB$72,INDIRECT($C$5&amp;"生成成长"),2))/((VLOOKUP($B192,INDIRECT($B$5&amp;"生成成长"),4))/(VLOOKUP(AB$72,INDIRECT($C$5&amp;"生成成长"),5))*(VLOOKUP($B$5,标准坦克设计!$B$24:$U$30,MATCH("对"&amp;LEFT($C$5,2)&amp;"输出",标准坦克设计!$B$23:$U$23,0)))*(VLOOKUP($B192,INDIRECT($B$5&amp;"生成成长"),3))*(VLOOKUP($B$5,标准坦克设计!$B$14:$K$20,9)/30))</f>
        <v>8.8409636761458739</v>
      </c>
      <c r="AC192" s="172">
        <f ca="1">(VLOOKUP(AC$72,INDIRECT($C$5&amp;"生成成长"),2))/((VLOOKUP($B192,INDIRECT($B$5&amp;"生成成长"),4))/(VLOOKUP(AC$72,INDIRECT($C$5&amp;"生成成长"),5))*(VLOOKUP($B$5,标准坦克设计!$B$24:$U$30,MATCH("对"&amp;LEFT($C$5,2)&amp;"输出",标准坦克设计!$B$23:$U$23,0)))*(VLOOKUP($B192,INDIRECT($B$5&amp;"生成成长"),3))*(VLOOKUP($B$5,标准坦克设计!$B$14:$K$20,9)/30))</f>
        <v>9.6516535022679601</v>
      </c>
      <c r="AD192" s="172">
        <f ca="1">(VLOOKUP(AD$72,INDIRECT($C$5&amp;"生成成长"),2))/((VLOOKUP($B192,INDIRECT($B$5&amp;"生成成长"),4))/(VLOOKUP(AD$72,INDIRECT($C$5&amp;"生成成长"),5))*(VLOOKUP($B$5,标准坦克设计!$B$24:$U$30,MATCH("对"&amp;LEFT($C$5,2)&amp;"输出",标准坦克设计!$B$23:$U$23,0)))*(VLOOKUP($B192,INDIRECT($B$5&amp;"生成成长"),3))*(VLOOKUP($B$5,标准坦克设计!$B$14:$K$20,9)/30))</f>
        <v>10.497899899711189</v>
      </c>
      <c r="AE192" s="172">
        <f ca="1">(VLOOKUP(AE$72,INDIRECT($C$5&amp;"生成成长"),2))/((VLOOKUP($B192,INDIRECT($B$5&amp;"生成成长"),4))/(VLOOKUP(AE$72,INDIRECT($C$5&amp;"生成成长"),5))*(VLOOKUP($B$5,标准坦克设计!$B$24:$U$30,MATCH("对"&amp;LEFT($C$5,2)&amp;"输出",标准坦克设计!$B$23:$U$23,0)))*(VLOOKUP($B192,INDIRECT($B$5&amp;"生成成长"),3))*(VLOOKUP($B$5,标准坦克设计!$B$14:$K$20,9)/30))</f>
        <v>11.379702868475563</v>
      </c>
      <c r="AF192" s="172">
        <f ca="1">(VLOOKUP(AF$72,INDIRECT($C$5&amp;"生成成长"),2))/((VLOOKUP($B192,INDIRECT($B$5&amp;"生成成长"),4))/(VLOOKUP(AF$72,INDIRECT($C$5&amp;"生成成长"),5))*(VLOOKUP($B$5,标准坦克设计!$B$24:$U$30,MATCH("对"&amp;LEFT($C$5,2)&amp;"输出",标准坦克设计!$B$23:$U$23,0)))*(VLOOKUP($B192,INDIRECT($B$5&amp;"生成成长"),3))*(VLOOKUP($B$5,标准坦克设计!$B$14:$K$20,9)/30))</f>
        <v>12.297062408561082</v>
      </c>
      <c r="AG192" s="172">
        <f ca="1">(VLOOKUP(AG$72,INDIRECT($C$5&amp;"生成成长"),2))/((VLOOKUP($B192,INDIRECT($B$5&amp;"生成成长"),4))/(VLOOKUP(AG$72,INDIRECT($C$5&amp;"生成成长"),5))*(VLOOKUP($B$5,标准坦克设计!$B$24:$U$30,MATCH("对"&amp;LEFT($C$5,2)&amp;"输出",标准坦克设计!$B$23:$U$23,0)))*(VLOOKUP($B192,INDIRECT($B$5&amp;"生成成长"),3))*(VLOOKUP($B$5,标准坦克设计!$B$14:$K$20,9)/30))</f>
        <v>13.24997851996774</v>
      </c>
      <c r="AH192" s="172">
        <f ca="1">(VLOOKUP(AH$72,INDIRECT($C$5&amp;"生成成长"),2))/((VLOOKUP($B192,INDIRECT($B$5&amp;"生成成长"),4))/(VLOOKUP(AH$72,INDIRECT($C$5&amp;"生成成长"),5))*(VLOOKUP($B$5,标准坦克设计!$B$24:$U$30,MATCH("对"&amp;LEFT($C$5,2)&amp;"输出",标准坦克设计!$B$23:$U$23,0)))*(VLOOKUP($B192,INDIRECT($B$5&amp;"生成成长"),3))*(VLOOKUP($B$5,标准坦克设计!$B$14:$K$20,9)/30))</f>
        <v>14.238451202695551</v>
      </c>
      <c r="AI192" s="172">
        <f ca="1">(VLOOKUP(AI$72,INDIRECT($C$5&amp;"生成成长"),2))/((VLOOKUP($B192,INDIRECT($B$5&amp;"生成成长"),4))/(VLOOKUP(AI$72,INDIRECT($C$5&amp;"生成成长"),5))*(VLOOKUP($B$5,标准坦克设计!$B$24:$U$30,MATCH("对"&amp;LEFT($C$5,2)&amp;"输出",标准坦克设计!$B$23:$U$23,0)))*(VLOOKUP($B192,INDIRECT($B$5&amp;"生成成长"),3))*(VLOOKUP($B$5,标准坦克设计!$B$14:$K$20,9)/30))</f>
        <v>10.070332129574433</v>
      </c>
      <c r="AJ192" s="172">
        <f ca="1">(VLOOKUP(AJ$72,INDIRECT($C$5&amp;"生成成长"),2))/((VLOOKUP($B192,INDIRECT($B$5&amp;"生成成长"),4))/(VLOOKUP(AJ$72,INDIRECT($C$5&amp;"生成成长"),5))*(VLOOKUP($B$5,标准坦克设计!$B$24:$U$30,MATCH("对"&amp;LEFT($C$5,2)&amp;"输出",标准坦克设计!$B$23:$U$23,0)))*(VLOOKUP($B192,INDIRECT($B$5&amp;"生成成长"),3))*(VLOOKUP($B$5,标准坦克设计!$B$14:$K$20,9)/30))</f>
        <v>11.022714892411278</v>
      </c>
      <c r="AK192" s="172">
        <f ca="1">(VLOOKUP(AK$72,INDIRECT($C$5&amp;"生成成长"),2))/((VLOOKUP($B192,INDIRECT($B$5&amp;"生成成长"),4))/(VLOOKUP(AK$72,INDIRECT($C$5&amp;"生成成长"),5))*(VLOOKUP($B$5,标准坦克设计!$B$24:$U$30,MATCH("对"&amp;LEFT($C$5,2)&amp;"输出",标准坦克设计!$B$23:$U$23,0)))*(VLOOKUP($B192,INDIRECT($B$5&amp;"生成成长"),3))*(VLOOKUP($B$5,标准坦克设计!$B$14:$K$20,9)/30))</f>
        <v>12.018121106546708</v>
      </c>
      <c r="AL192" s="172">
        <f ca="1">(VLOOKUP(AL$72,INDIRECT($C$5&amp;"生成成长"),2))/((VLOOKUP($B192,INDIRECT($B$5&amp;"生成成长"),4))/(VLOOKUP(AL$72,INDIRECT($C$5&amp;"生成成长"),5))*(VLOOKUP($B$5,标准坦克设计!$B$24:$U$30,MATCH("对"&amp;LEFT($C$5,2)&amp;"输出",标准坦克设计!$B$23:$U$23,0)))*(VLOOKUP($B192,INDIRECT($B$5&amp;"生成成长"),3))*(VLOOKUP($B$5,标准坦克设计!$B$14:$K$20,9)/30))</f>
        <v>13.056550771980721</v>
      </c>
      <c r="AM192" s="172">
        <f ca="1">(VLOOKUP(AM$72,INDIRECT($C$5&amp;"生成成长"),2))/((VLOOKUP($B192,INDIRECT($B$5&amp;"生成成长"),4))/(VLOOKUP(AM$72,INDIRECT($C$5&amp;"生成成长"),5))*(VLOOKUP($B$5,标准坦克设计!$B$24:$U$30,MATCH("对"&amp;LEFT($C$5,2)&amp;"输出",标准坦克设计!$B$23:$U$23,0)))*(VLOOKUP($B192,INDIRECT($B$5&amp;"生成成长"),3))*(VLOOKUP($B$5,标准坦克设计!$B$14:$K$20,9)/30))</f>
        <v>14.138003888713317</v>
      </c>
      <c r="AN192" s="172">
        <f ca="1">(VLOOKUP(AN$72,INDIRECT($C$5&amp;"生成成长"),2))/((VLOOKUP($B192,INDIRECT($B$5&amp;"生成成长"),4))/(VLOOKUP(AN$72,INDIRECT($C$5&amp;"生成成长"),5))*(VLOOKUP($B$5,标准坦克设计!$B$24:$U$30,MATCH("对"&amp;LEFT($C$5,2)&amp;"输出",标准坦克设计!$B$23:$U$23,0)))*(VLOOKUP($B192,INDIRECT($B$5&amp;"生成成长"),3))*(VLOOKUP($B$5,标准坦克设计!$B$14:$K$20,9)/30))</f>
        <v>15.262480456744498</v>
      </c>
      <c r="AO192" s="172">
        <f ca="1">(VLOOKUP(AO$72,INDIRECT($C$5&amp;"生成成长"),2))/((VLOOKUP($B192,INDIRECT($B$5&amp;"生成成长"),4))/(VLOOKUP(AO$72,INDIRECT($C$5&amp;"生成成长"),5))*(VLOOKUP($B$5,标准坦克设计!$B$24:$U$30,MATCH("对"&amp;LEFT($C$5,2)&amp;"输出",标准坦克设计!$B$23:$U$23,0)))*(VLOOKUP($B192,INDIRECT($B$5&amp;"生成成长"),3))*(VLOOKUP($B$5,标准坦克设计!$B$14:$K$20,9)/30))</f>
        <v>16.429980476074267</v>
      </c>
      <c r="AP192" s="172">
        <f ca="1">(VLOOKUP(AP$72,INDIRECT($C$5&amp;"生成成长"),2))/((VLOOKUP($B192,INDIRECT($B$5&amp;"生成成长"),4))/(VLOOKUP(AP$72,INDIRECT($C$5&amp;"生成成长"),5))*(VLOOKUP($B$5,标准坦克设计!$B$24:$U$30,MATCH("对"&amp;LEFT($C$5,2)&amp;"输出",标准坦克设计!$B$23:$U$23,0)))*(VLOOKUP($B192,INDIRECT($B$5&amp;"生成成长"),3))*(VLOOKUP($B$5,标准坦克设计!$B$14:$K$20,9)/30))</f>
        <v>17.640503946702616</v>
      </c>
      <c r="AQ192" s="172">
        <f ca="1">(VLOOKUP(AQ$72,INDIRECT($C$5&amp;"生成成长"),2))/((VLOOKUP($B192,INDIRECT($B$5&amp;"生成成长"),4))/(VLOOKUP(AQ$72,INDIRECT($C$5&amp;"生成成长"),5))*(VLOOKUP($B$5,标准坦克设计!$B$24:$U$30,MATCH("对"&amp;LEFT($C$5,2)&amp;"输出",标准坦克设计!$B$23:$U$23,0)))*(VLOOKUP($B192,INDIRECT($B$5&amp;"生成成长"),3))*(VLOOKUP($B$5,标准坦克设计!$B$14:$K$20,9)/30))</f>
        <v>18.894050868629552</v>
      </c>
      <c r="AR192" s="172">
        <f ca="1">(VLOOKUP(AR$72,INDIRECT($C$5&amp;"生成成长"),2))/((VLOOKUP($B192,INDIRECT($B$5&amp;"生成成长"),4))/(VLOOKUP(AR$72,INDIRECT($C$5&amp;"生成成长"),5))*(VLOOKUP($B$5,标准坦克设计!$B$24:$U$30,MATCH("对"&amp;LEFT($C$5,2)&amp;"输出",标准坦克设计!$B$23:$U$23,0)))*(VLOOKUP($B192,INDIRECT($B$5&amp;"生成成长"),3))*(VLOOKUP($B$5,标准坦克设计!$B$14:$K$20,9)/30))</f>
        <v>20.190621241855069</v>
      </c>
      <c r="AS192" s="172">
        <f ca="1">(VLOOKUP(AS$72,INDIRECT($C$5&amp;"生成成长"),2))/((VLOOKUP($B192,INDIRECT($B$5&amp;"生成成长"),4))/(VLOOKUP(AS$72,INDIRECT($C$5&amp;"生成成长"),5))*(VLOOKUP($B$5,标准坦克设计!$B$24:$U$30,MATCH("对"&amp;LEFT($C$5,2)&amp;"输出",标准坦克设计!$B$23:$U$23,0)))*(VLOOKUP($B192,INDIRECT($B$5&amp;"生成成长"),3))*(VLOOKUP($B$5,标准坦克设计!$B$14:$K$20,9)/30))</f>
        <v>21.530215066379171</v>
      </c>
      <c r="AT192" s="172">
        <f ca="1">(VLOOKUP(AT$72,INDIRECT($C$5&amp;"生成成长"),2))/((VLOOKUP($B192,INDIRECT($B$5&amp;"生成成长"),4))/(VLOOKUP(AT$72,INDIRECT($C$5&amp;"生成成长"),5))*(VLOOKUP($B$5,标准坦克设计!$B$24:$U$30,MATCH("对"&amp;LEFT($C$5,2)&amp;"输出",标准坦克设计!$B$23:$U$23,0)))*(VLOOKUP($B192,INDIRECT($B$5&amp;"生成成长"),3))*(VLOOKUP($B$5,标准坦克设计!$B$14:$K$20,9)/30))</f>
        <v>22.912832342201863</v>
      </c>
      <c r="AU192" s="172">
        <f ca="1">(VLOOKUP(AU$72,INDIRECT($C$5&amp;"生成成长"),2))/((VLOOKUP($B192,INDIRECT($B$5&amp;"生成成长"),4))/(VLOOKUP(AU$72,INDIRECT($C$5&amp;"生成成长"),5))*(VLOOKUP($B$5,标准坦克设计!$B$24:$U$30,MATCH("对"&amp;LEFT($C$5,2)&amp;"输出",标准坦克设计!$B$23:$U$23,0)))*(VLOOKUP($B192,INDIRECT($B$5&amp;"生成成长"),3))*(VLOOKUP($B$5,标准坦克设计!$B$14:$K$20,9)/30))</f>
        <v>24.338473069323136</v>
      </c>
      <c r="AV192" s="172">
        <f ca="1">(VLOOKUP(AV$72,INDIRECT($C$5&amp;"生成成长"),2))/((VLOOKUP($B192,INDIRECT($B$5&amp;"生成成长"),4))/(VLOOKUP(AV$72,INDIRECT($C$5&amp;"生成成长"),5))*(VLOOKUP($B$5,标准坦克设计!$B$24:$U$30,MATCH("对"&amp;LEFT($C$5,2)&amp;"输出",标准坦克设计!$B$23:$U$23,0)))*(VLOOKUP($B192,INDIRECT($B$5&amp;"生成成长"),3))*(VLOOKUP($B$5,标准坦克设计!$B$14:$K$20,9)/30))</f>
        <v>2.475448495378052</v>
      </c>
      <c r="AW192" s="172">
        <f ca="1">(VLOOKUP(AW$72,INDIRECT($C$5&amp;"生成成长"),2))/((VLOOKUP($B192,INDIRECT($B$5&amp;"生成成长"),4))/(VLOOKUP(AW$72,INDIRECT($C$5&amp;"生成成长"),5))*(VLOOKUP($B$5,标准坦克设计!$B$24:$U$30,MATCH("对"&amp;LEFT($C$5,2)&amp;"输出",标准坦克设计!$B$23:$U$23,0)))*(VLOOKUP($B192,INDIRECT($B$5&amp;"生成成长"),3))*(VLOOKUP($B$5,标准坦克设计!$B$14:$K$20,9)/30))</f>
        <v>2.8224806314724185</v>
      </c>
      <c r="AX192" s="172">
        <f ca="1">(VLOOKUP(AX$72,INDIRECT($C$5&amp;"生成成长"),2))/((VLOOKUP($B192,INDIRECT($B$5&amp;"生成成长"),4))/(VLOOKUP(AX$72,INDIRECT($C$5&amp;"生成成长"),5))*(VLOOKUP($B$5,标准坦克设计!$B$24:$U$30,MATCH("对"&amp;LEFT($C$5,2)&amp;"输出",标准坦克设计!$B$23:$U$23,0)))*(VLOOKUP($B192,INDIRECT($B$5&amp;"生成成长"),3))*(VLOOKUP($B$5,标准坦克设计!$B$14:$K$20,9)/30))</f>
        <v>3.1922689732123168</v>
      </c>
      <c r="AY192" s="172">
        <f ca="1">(VLOOKUP(AY$72,INDIRECT($C$5&amp;"生成成长"),2))/((VLOOKUP($B192,INDIRECT($B$5&amp;"生成成长"),4))/(VLOOKUP(AY$72,INDIRECT($C$5&amp;"生成成长"),5))*(VLOOKUP($B$5,标准坦克设计!$B$24:$U$30,MATCH("对"&amp;LEFT($C$5,2)&amp;"输出",标准坦克设计!$B$23:$U$23,0)))*(VLOOKUP($B192,INDIRECT($B$5&amp;"生成成长"),3))*(VLOOKUP($B$5,标准坦克设计!$B$14:$K$20,9)/30))</f>
        <v>3.5848135205977485</v>
      </c>
      <c r="AZ192" s="172">
        <f ca="1">(VLOOKUP(AZ$72,INDIRECT($C$5&amp;"生成成长"),2))/((VLOOKUP($B192,INDIRECT($B$5&amp;"生成成长"),4))/(VLOOKUP(AZ$72,INDIRECT($C$5&amp;"生成成长"),5))*(VLOOKUP($B$5,标准坦克设计!$B$24:$U$30,MATCH("对"&amp;LEFT($C$5,2)&amp;"输出",标准坦克设计!$B$23:$U$23,0)))*(VLOOKUP($B192,INDIRECT($B$5&amp;"生成成长"),3))*(VLOOKUP($B$5,标准坦克设计!$B$14:$K$20,9)/30))</f>
        <v>4.0001142736287107</v>
      </c>
      <c r="BA192" s="172">
        <f ca="1">(VLOOKUP(BA$72,INDIRECT($C$5&amp;"生成成长"),2))/((VLOOKUP($B192,INDIRECT($B$5&amp;"生成成长"),4))/(VLOOKUP(BA$72,INDIRECT($C$5&amp;"生成成长"),5))*(VLOOKUP($B$5,标准坦克设计!$B$24:$U$30,MATCH("对"&amp;LEFT($C$5,2)&amp;"输出",标准坦克设计!$B$23:$U$23,0)))*(VLOOKUP($B192,INDIRECT($B$5&amp;"生成成长"),3))*(VLOOKUP($B$5,标准坦克设计!$B$14:$K$20,9)/30))</f>
        <v>4.4381712323052067</v>
      </c>
      <c r="BB192" s="172">
        <f ca="1">(VLOOKUP(BB$72,INDIRECT($C$5&amp;"生成成长"),2))/((VLOOKUP($B192,INDIRECT($B$5&amp;"生成成长"),4))/(VLOOKUP(BB$72,INDIRECT($C$5&amp;"生成成长"),5))*(VLOOKUP($B$5,标准坦克设计!$B$24:$U$30,MATCH("对"&amp;LEFT($C$5,2)&amp;"输出",标准坦克设计!$B$23:$U$23,0)))*(VLOOKUP($B192,INDIRECT($B$5&amp;"生成成长"),3))*(VLOOKUP($B$5,标准坦克设计!$B$14:$K$20,9)/30))</f>
        <v>4.8989843966272337</v>
      </c>
      <c r="BC192" s="172">
        <f ca="1">(VLOOKUP(BC$72,INDIRECT($C$5&amp;"生成成长"),2))/((VLOOKUP($B192,INDIRECT($B$5&amp;"生成成长"),4))/(VLOOKUP(BC$72,INDIRECT($C$5&amp;"生成成长"),5))*(VLOOKUP($B$5,标准坦克设计!$B$24:$U$30,MATCH("对"&amp;LEFT($C$5,2)&amp;"输出",标准坦克设计!$B$23:$U$23,0)))*(VLOOKUP($B192,INDIRECT($B$5&amp;"生成成长"),3))*(VLOOKUP($B$5,标准坦克设计!$B$14:$K$20,9)/30))</f>
        <v>5.3825537665947927</v>
      </c>
      <c r="BD192" s="172">
        <f ca="1">(VLOOKUP(BD$72,INDIRECT($C$5&amp;"生成成长"),2))/((VLOOKUP($B192,INDIRECT($B$5&amp;"生成成长"),4))/(VLOOKUP(BD$72,INDIRECT($C$5&amp;"生成成长"),5))*(VLOOKUP($B$5,标准坦克设计!$B$24:$U$30,MATCH("对"&amp;LEFT($C$5,2)&amp;"输出",标准坦克设计!$B$23:$U$23,0)))*(VLOOKUP($B192,INDIRECT($B$5&amp;"生成成长"),3))*(VLOOKUP($B$5,标准坦克设计!$B$14:$K$20,9)/30))</f>
        <v>5.9537700848689736</v>
      </c>
      <c r="BE192" s="172">
        <f ca="1">(VLOOKUP(BE$72,INDIRECT($C$5&amp;"生成成长"),2))/((VLOOKUP($B192,INDIRECT($B$5&amp;"生成成长"),4))/(VLOOKUP(BE$72,INDIRECT($C$5&amp;"生成成长"),5))*(VLOOKUP($B$5,标准坦克设计!$B$24:$U$30,MATCH("对"&amp;LEFT($C$5,2)&amp;"输出",标准坦克设计!$B$23:$U$23,0)))*(VLOOKUP($B192,INDIRECT($B$5&amp;"生成成长"),3))*(VLOOKUP($B$5,标准坦克设计!$B$14:$K$20,9)/30))</f>
        <v>6.5537872259132799</v>
      </c>
      <c r="BF192" s="172">
        <f ca="1">(VLOOKUP(BF$72,INDIRECT($C$5&amp;"生成成长"),2))/((VLOOKUP($B192,INDIRECT($B$5&amp;"生成成长"),4))/(VLOOKUP(BF$72,INDIRECT($C$5&amp;"生成成长"),5))*(VLOOKUP($B$5,标准坦克设计!$B$24:$U$30,MATCH("对"&amp;LEFT($C$5,2)&amp;"输出",标准坦克设计!$B$23:$U$23,0)))*(VLOOKUP($B192,INDIRECT($B$5&amp;"生成成长"),3))*(VLOOKUP($B$5,标准坦克设计!$B$14:$K$20,9)/30))</f>
        <v>7.1826051897277132</v>
      </c>
      <c r="BG192" s="172">
        <f ca="1">(VLOOKUP(BG$72,INDIRECT($C$5&amp;"生成成长"),2))/((VLOOKUP($B192,INDIRECT($B$5&amp;"生成成长"),4))/(VLOOKUP(BG$72,INDIRECT($C$5&amp;"生成成长"),5))*(VLOOKUP($B$5,标准坦克设计!$B$24:$U$30,MATCH("对"&amp;LEFT($C$5,2)&amp;"输出",标准坦克设计!$B$23:$U$23,0)))*(VLOOKUP($B192,INDIRECT($B$5&amp;"生成成长"),3))*(VLOOKUP($B$5,标准坦克设计!$B$14:$K$20,9)/30))</f>
        <v>7.8402239763122736</v>
      </c>
      <c r="BH192" s="172">
        <f ca="1">(VLOOKUP(BH$72,INDIRECT($C$5&amp;"生成成长"),2))/((VLOOKUP($B192,INDIRECT($B$5&amp;"生成成长"),4))/(VLOOKUP(BH$72,INDIRECT($C$5&amp;"生成成长"),5))*(VLOOKUP($B$5,标准坦克设计!$B$24:$U$30,MATCH("对"&amp;LEFT($C$5,2)&amp;"输出",标准坦克设计!$B$23:$U$23,0)))*(VLOOKUP($B192,INDIRECT($B$5&amp;"生成成长"),3))*(VLOOKUP($B$5,标准坦克设计!$B$14:$K$20,9)/30))</f>
        <v>3.7896193714075377</v>
      </c>
      <c r="BI192" s="172">
        <f ca="1">(VLOOKUP(BI$72,INDIRECT($C$5&amp;"生成成长"),2))/((VLOOKUP($B192,INDIRECT($B$5&amp;"生成成长"),4))/(VLOOKUP(BI$72,INDIRECT($C$5&amp;"生成成长"),5))*(VLOOKUP($B$5,标准坦克设计!$B$24:$U$30,MATCH("对"&amp;LEFT($C$5,2)&amp;"输出",标准坦克设计!$B$23:$U$23,0)))*(VLOOKUP($B192,INDIRECT($B$5&amp;"生成成长"),3))*(VLOOKUP($B$5,标准坦克设计!$B$14:$K$20,9)/30))</f>
        <v>4.2712331299524342</v>
      </c>
      <c r="BJ192" s="172">
        <f ca="1">(VLOOKUP(BJ$72,INDIRECT($C$5&amp;"生成成长"),2))/((VLOOKUP($B192,INDIRECT($B$5&amp;"生成成长"),4))/(VLOOKUP(BJ$72,INDIRECT($C$5&amp;"生成成长"),5))*(VLOOKUP($B$5,标准坦克设计!$B$24:$U$30,MATCH("对"&amp;LEFT($C$5,2)&amp;"输出",标准坦克设计!$B$23:$U$23,0)))*(VLOOKUP($B192,INDIRECT($B$5&amp;"生成成长"),3))*(VLOOKUP($B$5,标准坦克设计!$B$14:$K$20,9)/30))</f>
        <v>4.7816477112674578</v>
      </c>
      <c r="BK192" s="172">
        <f ca="1">(VLOOKUP(BK$72,INDIRECT($C$5&amp;"生成成长"),2))/((VLOOKUP($B192,INDIRECT($B$5&amp;"生成成长"),4))/(VLOOKUP(BK$72,INDIRECT($C$5&amp;"生成成长"),5))*(VLOOKUP($B$5,标准坦克设计!$B$24:$U$30,MATCH("对"&amp;LEFT($C$5,2)&amp;"输出",标准坦克设计!$B$23:$U$23,0)))*(VLOOKUP($B192,INDIRECT($B$5&amp;"生成成长"),3))*(VLOOKUP($B$5,标准坦克设计!$B$14:$K$20,9)/30))</f>
        <v>5.3208631153526085</v>
      </c>
      <c r="BL192" s="172">
        <f ca="1">(VLOOKUP(BL$72,INDIRECT($C$5&amp;"生成成长"),2))/((VLOOKUP($B192,INDIRECT($B$5&amp;"生成成长"),4))/(VLOOKUP(BL$72,INDIRECT($C$5&amp;"生成成长"),5))*(VLOOKUP($B$5,标准坦克设计!$B$24:$U$30,MATCH("对"&amp;LEFT($C$5,2)&amp;"输出",标准坦克设计!$B$23:$U$23,0)))*(VLOOKUP($B192,INDIRECT($B$5&amp;"生成成长"),3))*(VLOOKUP($B$5,标准坦克设计!$B$14:$K$20,9)/30))</f>
        <v>5.8888793422078853</v>
      </c>
      <c r="BM192" s="172">
        <f ca="1">(VLOOKUP(BM$72,INDIRECT($C$5&amp;"生成成长"),2))/((VLOOKUP($B192,INDIRECT($B$5&amp;"生成成长"),4))/(VLOOKUP(BM$72,INDIRECT($C$5&amp;"生成成长"),5))*(VLOOKUP($B$5,标准坦克设计!$B$24:$U$30,MATCH("对"&amp;LEFT($C$5,2)&amp;"输出",标准坦克设计!$B$23:$U$23,0)))*(VLOOKUP($B192,INDIRECT($B$5&amp;"生成成长"),3))*(VLOOKUP($B$5,标准坦克设计!$B$14:$K$20,9)/30))</f>
        <v>6.4856963918332893</v>
      </c>
      <c r="BN192" s="172">
        <f ca="1">(VLOOKUP(BN$72,INDIRECT($C$5&amp;"生成成长"),2))/((VLOOKUP($B192,INDIRECT($B$5&amp;"生成成长"),4))/(VLOOKUP(BN$72,INDIRECT($C$5&amp;"生成成长"),5))*(VLOOKUP($B$5,标准坦克设计!$B$24:$U$30,MATCH("对"&amp;LEFT($C$5,2)&amp;"输出",标准坦克设计!$B$23:$U$23,0)))*(VLOOKUP($B192,INDIRECT($B$5&amp;"生成成长"),3))*(VLOOKUP($B$5,标准坦克设计!$B$14:$K$20,9)/30))</f>
        <v>7.1113142642288203</v>
      </c>
      <c r="BO192" s="172">
        <f ca="1">(VLOOKUP(BO$72,INDIRECT($C$5&amp;"生成成长"),2))/((VLOOKUP($B192,INDIRECT($B$5&amp;"生成成长"),4))/(VLOOKUP(BO$72,INDIRECT($C$5&amp;"生成成长"),5))*(VLOOKUP($B$5,标准坦克设计!$B$24:$U$30,MATCH("对"&amp;LEFT($C$5,2)&amp;"输出",标准坦克设计!$B$23:$U$23,0)))*(VLOOKUP($B192,INDIRECT($B$5&amp;"生成成长"),3))*(VLOOKUP($B$5,标准坦克设计!$B$14:$K$20,9)/30))</f>
        <v>7.7657329593944766</v>
      </c>
      <c r="BP192" s="172">
        <f ca="1">(VLOOKUP(BP$72,INDIRECT($C$5&amp;"生成成长"),2))/((VLOOKUP($B192,INDIRECT($B$5&amp;"生成成长"),4))/(VLOOKUP(BP$72,INDIRECT($C$5&amp;"生成成长"),5))*(VLOOKUP($B$5,标准坦克设计!$B$24:$U$30,MATCH("对"&amp;LEFT($C$5,2)&amp;"输出",标准坦克设计!$B$23:$U$23,0)))*(VLOOKUP($B192,INDIRECT($B$5&amp;"生成成长"),3))*(VLOOKUP($B$5,标准坦克设计!$B$14:$K$20,9)/30))</f>
        <v>8.4489524773302609</v>
      </c>
      <c r="BQ192" s="172">
        <f ca="1">(VLOOKUP(BQ$72,INDIRECT($C$5&amp;"生成成长"),2))/((VLOOKUP($B192,INDIRECT($B$5&amp;"生成成长"),4))/(VLOOKUP(BQ$72,INDIRECT($C$5&amp;"生成成长"),5))*(VLOOKUP($B$5,标准坦克设计!$B$24:$U$30,MATCH("对"&amp;LEFT($C$5,2)&amp;"输出",标准坦克设计!$B$23:$U$23,0)))*(VLOOKUP($B192,INDIRECT($B$5&amp;"生成成长"),3))*(VLOOKUP($B$5,标准坦克设计!$B$14:$K$20,9)/30))</f>
        <v>9.1609728180361696</v>
      </c>
      <c r="BR192" s="172">
        <f ca="1">(VLOOKUP(BR$72,INDIRECT($C$5&amp;"生成成长"),2))/((VLOOKUP($B192,INDIRECT($B$5&amp;"生成成长"),4))/(VLOOKUP(BR$72,INDIRECT($C$5&amp;"生成成长"),5))*(VLOOKUP($B$5,标准坦克设计!$B$24:$U$30,MATCH("对"&amp;LEFT($C$5,2)&amp;"输出",标准坦克设计!$B$23:$U$23,0)))*(VLOOKUP($B192,INDIRECT($B$5&amp;"生成成长"),3))*(VLOOKUP($B$5,标准坦克设计!$B$14:$K$20,9)/30))</f>
        <v>9.9858852726867156</v>
      </c>
      <c r="BS192" s="172">
        <f ca="1">(VLOOKUP(BS$72,INDIRECT($C$5&amp;"生成成长"),2))/((VLOOKUP($B192,INDIRECT($B$5&amp;"生成成长"),4))/(VLOOKUP(BS$72,INDIRECT($C$5&amp;"生成成长"),5))*(VLOOKUP($B$5,标准坦克设计!$B$24:$U$30,MATCH("对"&amp;LEFT($C$5,2)&amp;"输出",标准坦克设计!$B$23:$U$23,0)))*(VLOOKUP($B192,INDIRECT($B$5&amp;"生成成长"),3))*(VLOOKUP($B$5,标准坦克设计!$B$14:$K$20,9)/30))</f>
        <v>10.846354298658403</v>
      </c>
      <c r="BT192" s="172">
        <f ca="1">(VLOOKUP(BT$72,INDIRECT($C$5&amp;"生成成长"),2))/((VLOOKUP($B192,INDIRECT($B$5&amp;"生成成长"),4))/(VLOOKUP(BT$72,INDIRECT($C$5&amp;"生成成长"),5))*(VLOOKUP($B$5,标准坦克设计!$B$24:$U$30,MATCH("对"&amp;LEFT($C$5,2)&amp;"输出",标准坦克设计!$B$23:$U$23,0)))*(VLOOKUP($B192,INDIRECT($B$5&amp;"生成成长"),3))*(VLOOKUP($B$5,标准坦克设计!$B$14:$K$20,9)/30))</f>
        <v>11.742379895951231</v>
      </c>
      <c r="BU192" s="172">
        <f ca="1">(VLOOKUP(BU$72,INDIRECT($C$5&amp;"生成成长"),2))/((VLOOKUP($B192,INDIRECT($B$5&amp;"生成成长"),4))/(VLOOKUP(BU$72,INDIRECT($C$5&amp;"生成成长"),5))*(VLOOKUP($B$5,标准坦克设计!$B$24:$U$30,MATCH("对"&amp;LEFT($C$5,2)&amp;"输出",标准坦克设计!$B$23:$U$23,0)))*(VLOOKUP($B192,INDIRECT($B$5&amp;"生成成长"),3))*(VLOOKUP($B$5,标准坦克设计!$B$14:$K$20,9)/30))</f>
        <v>12.673962064565208</v>
      </c>
      <c r="BV192" s="172">
        <f ca="1">(VLOOKUP(BV$72,INDIRECT($C$5&amp;"生成成长"),2))/((VLOOKUP($B192,INDIRECT($B$5&amp;"生成成长"),4))/(VLOOKUP(BV$72,INDIRECT($C$5&amp;"生成成长"),5))*(VLOOKUP($B$5,标准坦克设计!$B$24:$U$30,MATCH("对"&amp;LEFT($C$5,2)&amp;"输出",标准坦克设计!$B$23:$U$23,0)))*(VLOOKUP($B192,INDIRECT($B$5&amp;"生成成长"),3))*(VLOOKUP($B$5,标准坦克设计!$B$14:$K$20,9)/30))</f>
        <v>13.641100804500329</v>
      </c>
      <c r="BW192" s="172">
        <f ca="1">(VLOOKUP(BW$72,INDIRECT($C$5&amp;"生成成长"),2))/((VLOOKUP($B192,INDIRECT($B$5&amp;"生成成长"),4))/(VLOOKUP(BW$72,INDIRECT($C$5&amp;"生成成长"),5))*(VLOOKUP($B$5,标准坦克设计!$B$24:$U$30,MATCH("对"&amp;LEFT($C$5,2)&amp;"输出",标准坦克设计!$B$23:$U$23,0)))*(VLOOKUP($B192,INDIRECT($B$5&amp;"生成成长"),3))*(VLOOKUP($B$5,标准坦克设计!$B$14:$K$20,9)/30))</f>
        <v>6.2168887126454395</v>
      </c>
      <c r="BX192" s="172">
        <f ca="1">(VLOOKUP(BX$72,INDIRECT($C$5&amp;"生成成长"),2))/((VLOOKUP($B192,INDIRECT($B$5&amp;"生成成长"),4))/(VLOOKUP(BX$72,INDIRECT($C$5&amp;"生成成长"),5))*(VLOOKUP($B$5,标准坦克设计!$B$24:$U$30,MATCH("对"&amp;LEFT($C$5,2)&amp;"输出",标准坦克设计!$B$23:$U$23,0)))*(VLOOKUP($B192,INDIRECT($B$5&amp;"生成成长"),3))*(VLOOKUP($B$5,标准坦克设计!$B$14:$K$20,9)/30))</f>
        <v>6.8995748820114073</v>
      </c>
      <c r="BY192" s="172">
        <f ca="1">(VLOOKUP(BY$72,INDIRECT($C$5&amp;"生成成长"),2))/((VLOOKUP($B192,INDIRECT($B$5&amp;"生成成长"),4))/(VLOOKUP(BY$72,INDIRECT($C$5&amp;"生成成长"),5))*(VLOOKUP($B$5,标准坦克设计!$B$24:$U$30,MATCH("对"&amp;LEFT($C$5,2)&amp;"输出",标准坦克设计!$B$23:$U$23,0)))*(VLOOKUP($B192,INDIRECT($B$5&amp;"生成成长"),3))*(VLOOKUP($B$5,标准坦克设计!$B$14:$K$20,9)/30))</f>
        <v>7.6178176226985173</v>
      </c>
      <c r="BZ192" s="172">
        <f ca="1">(VLOOKUP(BZ$72,INDIRECT($C$5&amp;"生成成长"),2))/((VLOOKUP($B192,INDIRECT($B$5&amp;"生成成长"),4))/(VLOOKUP(BZ$72,INDIRECT($C$5&amp;"生成成长"),5))*(VLOOKUP($B$5,标准坦克设计!$B$24:$U$30,MATCH("对"&amp;LEFT($C$5,2)&amp;"输出",标准坦克设计!$B$23:$U$23,0)))*(VLOOKUP($B192,INDIRECT($B$5&amp;"生成成长"),3))*(VLOOKUP($B$5,标准坦克设计!$B$14:$K$20,9)/30))</f>
        <v>8.3716169347067737</v>
      </c>
      <c r="CA192" s="172">
        <f ca="1">(VLOOKUP(CA$72,INDIRECT($C$5&amp;"生成成长"),2))/((VLOOKUP($B192,INDIRECT($B$5&amp;"生成成长"),4))/(VLOOKUP(CA$72,INDIRECT($C$5&amp;"生成成长"),5))*(VLOOKUP($B$5,标准坦克设计!$B$24:$U$30,MATCH("对"&amp;LEFT($C$5,2)&amp;"输出",标准坦克设计!$B$23:$U$23,0)))*(VLOOKUP($B192,INDIRECT($B$5&amp;"生成成长"),3))*(VLOOKUP($B$5,标准坦克设计!$B$14:$K$20,9)/30))</f>
        <v>9.1609728180361696</v>
      </c>
      <c r="CB192" s="172">
        <f ca="1">(VLOOKUP(CB$72,INDIRECT($C$5&amp;"生成成长"),2))/((VLOOKUP($B192,INDIRECT($B$5&amp;"生成成长"),4))/(VLOOKUP(CB$72,INDIRECT($C$5&amp;"生成成长"),5))*(VLOOKUP($B$5,标准坦克设计!$B$24:$U$30,MATCH("对"&amp;LEFT($C$5,2)&amp;"输出",标准坦克设计!$B$23:$U$23,0)))*(VLOOKUP($B192,INDIRECT($B$5&amp;"生成成长"),3))*(VLOOKUP($B$5,标准坦克设计!$B$14:$K$20,9)/30))</f>
        <v>9.9858852726867156</v>
      </c>
      <c r="CC192" s="172">
        <f ca="1">(VLOOKUP(CC$72,INDIRECT($C$5&amp;"生成成长"),2))/((VLOOKUP($B192,INDIRECT($B$5&amp;"生成成长"),4))/(VLOOKUP(CC$72,INDIRECT($C$5&amp;"生成成长"),5))*(VLOOKUP($B$5,标准坦克设计!$B$24:$U$30,MATCH("对"&amp;LEFT($C$5,2)&amp;"输出",标准坦克设计!$B$23:$U$23,0)))*(VLOOKUP($B192,INDIRECT($B$5&amp;"生成成长"),3))*(VLOOKUP($B$5,标准坦克设计!$B$14:$K$20,9)/30))</f>
        <v>10.846354298658403</v>
      </c>
      <c r="CD192" s="172">
        <f ca="1">(VLOOKUP(CD$72,INDIRECT($C$5&amp;"生成成长"),2))/((VLOOKUP($B192,INDIRECT($B$5&amp;"生成成长"),4))/(VLOOKUP(CD$72,INDIRECT($C$5&amp;"生成成长"),5))*(VLOOKUP($B$5,标准坦克设计!$B$24:$U$30,MATCH("对"&amp;LEFT($C$5,2)&amp;"输出",标准坦克设计!$B$23:$U$23,0)))*(VLOOKUP($B192,INDIRECT($B$5&amp;"生成成长"),3))*(VLOOKUP($B$5,标准坦克设计!$B$14:$K$20,9)/30))</f>
        <v>11.742379895951231</v>
      </c>
      <c r="CE192" s="172">
        <f ca="1">(VLOOKUP(CE$72,INDIRECT($C$5&amp;"生成成长"),2))/((VLOOKUP($B192,INDIRECT($B$5&amp;"生成成长"),4))/(VLOOKUP(CE$72,INDIRECT($C$5&amp;"生成成长"),5))*(VLOOKUP($B$5,标准坦克设计!$B$24:$U$30,MATCH("对"&amp;LEFT($C$5,2)&amp;"输出",标准坦克设计!$B$23:$U$23,0)))*(VLOOKUP($B192,INDIRECT($B$5&amp;"生成成长"),3))*(VLOOKUP($B$5,标准坦克设计!$B$14:$K$20,9)/30))</f>
        <v>12.673962064565208</v>
      </c>
      <c r="CF192" s="172">
        <f ca="1">(VLOOKUP(CF$72,INDIRECT($C$5&amp;"生成成长"),2))/((VLOOKUP($B192,INDIRECT($B$5&amp;"生成成长"),4))/(VLOOKUP(CF$72,INDIRECT($C$5&amp;"生成成长"),5))*(VLOOKUP($B$5,标准坦克设计!$B$24:$U$30,MATCH("对"&amp;LEFT($C$5,2)&amp;"输出",标准坦克设计!$B$23:$U$23,0)))*(VLOOKUP($B192,INDIRECT($B$5&amp;"生成成长"),3))*(VLOOKUP($B$5,标准坦克设计!$B$14:$K$20,9)/30))</f>
        <v>13.641100804500329</v>
      </c>
      <c r="CG192" s="172">
        <f ca="1">(VLOOKUP(CG$72,INDIRECT($C$5&amp;"生成成长"),2))/((VLOOKUP($B192,INDIRECT($B$5&amp;"生成成长"),4))/(VLOOKUP(CG$72,INDIRECT($C$5&amp;"生成成长"),5))*(VLOOKUP($B$5,标准坦克设计!$B$24:$U$30,MATCH("对"&amp;LEFT($C$5,2)&amp;"输出",标准坦克设计!$B$23:$U$23,0)))*(VLOOKUP($B192,INDIRECT($B$5&amp;"生成成长"),3))*(VLOOKUP($B$5,标准坦克设计!$B$14:$K$20,9)/30))</f>
        <v>14.643796115756594</v>
      </c>
      <c r="CH192" s="172">
        <f ca="1">(VLOOKUP(CH$72,INDIRECT($C$5&amp;"生成成长"),2))/((VLOOKUP($B192,INDIRECT($B$5&amp;"生成成长"),4))/(VLOOKUP(CH$72,INDIRECT($C$5&amp;"生成成长"),5))*(VLOOKUP($B$5,标准坦克设计!$B$24:$U$30,MATCH("对"&amp;LEFT($C$5,2)&amp;"输出",标准坦克设计!$B$23:$U$23,0)))*(VLOOKUP($B192,INDIRECT($B$5&amp;"生成成长"),3))*(VLOOKUP($B$5,标准坦克设计!$B$14:$K$20,9)/30))</f>
        <v>15.682047998333996</v>
      </c>
      <c r="CI192" s="172">
        <f ca="1">(VLOOKUP(CI$72,INDIRECT($C$5&amp;"生成成长"),2))/((VLOOKUP($B192,INDIRECT($B$5&amp;"生成成长"),4))/(VLOOKUP(CI$72,INDIRECT($C$5&amp;"生成成长"),5))*(VLOOKUP($B$5,标准坦克设计!$B$24:$U$30,MATCH("对"&amp;LEFT($C$5,2)&amp;"输出",标准坦克设计!$B$23:$U$23,0)))*(VLOOKUP($B192,INDIRECT($B$5&amp;"生成成长"),3))*(VLOOKUP($B$5,标准坦克设计!$B$14:$K$20,9)/30))</f>
        <v>16.865192909045067</v>
      </c>
      <c r="CJ192" s="172">
        <f ca="1">(VLOOKUP(CJ$72,INDIRECT($C$5&amp;"生成成长"),2))/((VLOOKUP($B192,INDIRECT($B$5&amp;"生成成长"),4))/(VLOOKUP(CJ$72,INDIRECT($C$5&amp;"生成成长"),5))*(VLOOKUP($B$5,标准坦克设计!$B$24:$U$30,MATCH("对"&amp;LEFT($C$5,2)&amp;"输出",标准坦克设计!$B$23:$U$23,0)))*(VLOOKUP($B192,INDIRECT($B$5&amp;"生成成长"),3))*(VLOOKUP($B$5,标准坦克设计!$B$14:$K$20,9)/30))</f>
        <v>18.091361271054723</v>
      </c>
      <c r="CK192" s="172">
        <f ca="1">(VLOOKUP(CK$72,INDIRECT($C$5&amp;"生成成长"),2))/((VLOOKUP($B192,INDIRECT($B$5&amp;"生成成长"),4))/(VLOOKUP(CK$72,INDIRECT($C$5&amp;"生成成长"),5))*(VLOOKUP($B$5,标准坦克设计!$B$24:$U$30,MATCH("对"&amp;LEFT($C$5,2)&amp;"输出",标准坦克设计!$B$23:$U$23,0)))*(VLOOKUP($B192,INDIRECT($B$5&amp;"生成成长"),3))*(VLOOKUP($B$5,标准坦克设计!$B$14:$K$20,9)/30))</f>
        <v>19.360553084362966</v>
      </c>
      <c r="CL192" s="172">
        <f ca="1">(VLOOKUP(CL$72,INDIRECT($C$5&amp;"生成成长"),2))/((VLOOKUP($B192,INDIRECT($B$5&amp;"生成成长"),4))/(VLOOKUP(CL$72,INDIRECT($C$5&amp;"生成成长"),5))*(VLOOKUP($B$5,标准坦克设计!$B$24:$U$30,MATCH("对"&amp;LEFT($C$5,2)&amp;"输出",标准坦克设计!$B$23:$U$23,0)))*(VLOOKUP($B192,INDIRECT($B$5&amp;"生成成长"),3))*(VLOOKUP($B$5,标准坦克设计!$B$14:$K$20,9)/30))</f>
        <v>20.672768348969786</v>
      </c>
      <c r="CM192" s="172">
        <f ca="1">(VLOOKUP(CM$72,INDIRECT($C$5&amp;"生成成长"),2))/((VLOOKUP($B192,INDIRECT($B$5&amp;"生成成长"),4))/(VLOOKUP(CM$72,INDIRECT($C$5&amp;"生成成长"),5))*(VLOOKUP($B$5,标准坦克设计!$B$24:$U$30,MATCH("对"&amp;LEFT($C$5,2)&amp;"输出",标准坦克设计!$B$23:$U$23,0)))*(VLOOKUP($B192,INDIRECT($B$5&amp;"生成成长"),3))*(VLOOKUP($B$5,标准坦克设计!$B$14:$K$20,9)/30))</f>
        <v>22.028007064875194</v>
      </c>
      <c r="CN192" s="172">
        <f ca="1">(VLOOKUP(CN$72,INDIRECT($C$5&amp;"生成成长"),2))/((VLOOKUP($B192,INDIRECT($B$5&amp;"生成成长"),4))/(VLOOKUP(CN$72,INDIRECT($C$5&amp;"生成成长"),5))*(VLOOKUP($B$5,标准坦克设计!$B$24:$U$30,MATCH("对"&amp;LEFT($C$5,2)&amp;"输出",标准坦克设计!$B$23:$U$23,0)))*(VLOOKUP($B192,INDIRECT($B$5&amp;"生成成长"),3))*(VLOOKUP($B$5,标准坦克设计!$B$14:$K$20,9)/30))</f>
        <v>23.426269232079186</v>
      </c>
      <c r="CO192" s="172">
        <f ca="1">(VLOOKUP(CO$72,INDIRECT($C$5&amp;"生成成长"),2))/((VLOOKUP($B192,INDIRECT($B$5&amp;"生成成长"),4))/(VLOOKUP(CO$72,INDIRECT($C$5&amp;"生成成长"),5))*(VLOOKUP($B$5,标准坦克设计!$B$24:$U$30,MATCH("对"&amp;LEFT($C$5,2)&amp;"输出",标准坦克设计!$B$23:$U$23,0)))*(VLOOKUP($B192,INDIRECT($B$5&amp;"生成成长"),3))*(VLOOKUP($B$5,标准坦克设计!$B$14:$K$20,9)/30))</f>
        <v>10.497899899711189</v>
      </c>
      <c r="CP192" s="172">
        <f ca="1">(VLOOKUP(CP$72,INDIRECT($C$5&amp;"生成成长"),2))/((VLOOKUP($B192,INDIRECT($B$5&amp;"生成成长"),4))/(VLOOKUP(CP$72,INDIRECT($C$5&amp;"生成成长"),5))*(VLOOKUP($B$5,标准坦克设计!$B$24:$U$30,MATCH("对"&amp;LEFT($C$5,2)&amp;"输出",标准坦克设计!$B$23:$U$23,0)))*(VLOOKUP($B192,INDIRECT($B$5&amp;"生成成长"),3))*(VLOOKUP($B$5,标准坦克设计!$B$14:$K$20,9)/30))</f>
        <v>11.469838776774663</v>
      </c>
      <c r="CQ192" s="172">
        <f ca="1">(VLOOKUP(CQ$72,INDIRECT($C$5&amp;"生成成长"),2))/((VLOOKUP($B192,INDIRECT($B$5&amp;"生成成长"),4))/(VLOOKUP(CQ$72,INDIRECT($C$5&amp;"生成成长"),5))*(VLOOKUP($B$5,标准坦克设计!$B$24:$U$30,MATCH("对"&amp;LEFT($C$5,2)&amp;"输出",标准坦克设计!$B$23:$U$23,0)))*(VLOOKUP($B192,INDIRECT($B$5&amp;"生成成长"),3))*(VLOOKUP($B$5,标准坦克设计!$B$14:$K$20,9)/30))</f>
        <v>12.48480110513672</v>
      </c>
      <c r="CR192" s="172">
        <f ca="1">(VLOOKUP(CR$72,INDIRECT($C$5&amp;"生成成长"),2))/((VLOOKUP($B192,INDIRECT($B$5&amp;"生成成长"),4))/(VLOOKUP(CR$72,INDIRECT($C$5&amp;"生成成长"),5))*(VLOOKUP($B$5,标准坦克设计!$B$24:$U$30,MATCH("对"&amp;LEFT($C$5,2)&amp;"输出",标准坦克设计!$B$23:$U$23,0)))*(VLOOKUP($B192,INDIRECT($B$5&amp;"生成成长"),3))*(VLOOKUP($B$5,标准坦克设计!$B$14:$K$20,9)/30))</f>
        <v>13.542786884797367</v>
      </c>
      <c r="CS192" s="172">
        <f ca="1">(VLOOKUP(CS$72,INDIRECT($C$5&amp;"生成成长"),2))/((VLOOKUP($B192,INDIRECT($B$5&amp;"生成成长"),4))/(VLOOKUP(CS$72,INDIRECT($C$5&amp;"生成成长"),5))*(VLOOKUP($B$5,标准坦克设计!$B$24:$U$30,MATCH("对"&amp;LEFT($C$5,2)&amp;"输出",标准坦克设计!$B$23:$U$23,0)))*(VLOOKUP($B192,INDIRECT($B$5&amp;"生成成长"),3))*(VLOOKUP($B$5,标准坦克设计!$B$14:$K$20,9)/30))</f>
        <v>14.643796115756594</v>
      </c>
      <c r="CT192" s="172">
        <f ca="1">(VLOOKUP(CT$72,INDIRECT($C$5&amp;"生成成长"),2))/((VLOOKUP($B192,INDIRECT($B$5&amp;"生成成长"),4))/(VLOOKUP(CT$72,INDIRECT($C$5&amp;"生成成长"),5))*(VLOOKUP($B$5,标准坦克设计!$B$24:$U$30,MATCH("对"&amp;LEFT($C$5,2)&amp;"输出",标准坦克设计!$B$23:$U$23,0)))*(VLOOKUP($B192,INDIRECT($B$5&amp;"生成成长"),3))*(VLOOKUP($B$5,标准坦克设计!$B$14:$K$20,9)/30))</f>
        <v>15.787828798014402</v>
      </c>
      <c r="CU192" s="172">
        <f ca="1">(VLOOKUP(CU$72,INDIRECT($C$5&amp;"生成成长"),2))/((VLOOKUP($B192,INDIRECT($B$5&amp;"生成成长"),4))/(VLOOKUP(CU$72,INDIRECT($C$5&amp;"生成成长"),5))*(VLOOKUP($B$5,标准坦克设计!$B$24:$U$30,MATCH("对"&amp;LEFT($C$5,2)&amp;"输出",标准坦克设计!$B$23:$U$23,0)))*(VLOOKUP($B192,INDIRECT($B$5&amp;"生成成长"),3))*(VLOOKUP($B$5,标准坦克设计!$B$14:$K$20,9)/30))</f>
        <v>16.974884931570799</v>
      </c>
      <c r="CV192" s="172">
        <f ca="1">(VLOOKUP(CV$72,INDIRECT($C$5&amp;"生成成长"),2))/((VLOOKUP($B192,INDIRECT($B$5&amp;"生成成长"),4))/(VLOOKUP(CV$72,INDIRECT($C$5&amp;"生成成长"),5))*(VLOOKUP($B$5,标准坦克设计!$B$24:$U$30,MATCH("对"&amp;LEFT($C$5,2)&amp;"输出",标准坦克设计!$B$23:$U$23,0)))*(VLOOKUP($B192,INDIRECT($B$5&amp;"生成成长"),3))*(VLOOKUP($B$5,标准坦克设计!$B$14:$K$20,9)/30))</f>
        <v>18.204964516425779</v>
      </c>
      <c r="CW192" s="172">
        <f ca="1">(VLOOKUP(CW$72,INDIRECT($C$5&amp;"生成成长"),2))/((VLOOKUP($B192,INDIRECT($B$5&amp;"生成成长"),4))/(VLOOKUP(CW$72,INDIRECT($C$5&amp;"生成成长"),5))*(VLOOKUP($B$5,标准坦克设计!$B$24:$U$30,MATCH("对"&amp;LEFT($C$5,2)&amp;"输出",标准坦克设计!$B$23:$U$23,0)))*(VLOOKUP($B192,INDIRECT($B$5&amp;"生成成长"),3))*(VLOOKUP($B$5,标准坦克设计!$B$14:$K$20,9)/30))</f>
        <v>19.478067552579343</v>
      </c>
      <c r="CX192" s="172">
        <f ca="1">(VLOOKUP(CX$72,INDIRECT($C$5&amp;"生成成长"),2))/((VLOOKUP($B192,INDIRECT($B$5&amp;"生成成长"),4))/(VLOOKUP(CX$72,INDIRECT($C$5&amp;"生成成长"),5))*(VLOOKUP($B$5,标准坦克设计!$B$24:$U$30,MATCH("对"&amp;LEFT($C$5,2)&amp;"输出",标准坦克设计!$B$23:$U$23,0)))*(VLOOKUP($B192,INDIRECT($B$5&amp;"生成成长"),3))*(VLOOKUP($B$5,标准坦克设计!$B$14:$K$20,9)/30))</f>
        <v>20.794194040031492</v>
      </c>
      <c r="CY192" s="172">
        <f ca="1">(VLOOKUP(CY$72,INDIRECT($C$5&amp;"生成成长"),2))/((VLOOKUP($B192,INDIRECT($B$5&amp;"生成成长"),4))/(VLOOKUP(CY$72,INDIRECT($C$5&amp;"生成成长"),5))*(VLOOKUP($B$5,标准坦克设计!$B$24:$U$30,MATCH("对"&amp;LEFT($C$5,2)&amp;"输出",标准坦克设计!$B$23:$U$23,0)))*(VLOOKUP($B192,INDIRECT($B$5&amp;"生成成长"),3))*(VLOOKUP($B$5,标准坦克设计!$B$14:$K$20,9)/30))</f>
        <v>22.153343978782228</v>
      </c>
      <c r="CZ192" s="172">
        <f ca="1">(VLOOKUP(CZ$72,INDIRECT($C$5&amp;"生成成长"),2))/((VLOOKUP($B192,INDIRECT($B$5&amp;"生成成长"),4))/(VLOOKUP(CZ$72,INDIRECT($C$5&amp;"生成成长"),5))*(VLOOKUP($B$5,标准坦克设计!$B$24:$U$30,MATCH("对"&amp;LEFT($C$5,2)&amp;"输出",标准坦克设计!$B$23:$U$23,0)))*(VLOOKUP($B192,INDIRECT($B$5&amp;"生成成长"),3))*(VLOOKUP($B$5,标准坦克设计!$B$14:$K$20,9)/30))</f>
        <v>23.555517368831541</v>
      </c>
      <c r="DA192" s="172">
        <f ca="1">(VLOOKUP(DA$72,INDIRECT($C$5&amp;"生成成长"),2))/((VLOOKUP($B192,INDIRECT($B$5&amp;"生成成长"),4))/(VLOOKUP(DA$72,INDIRECT($C$5&amp;"生成成长"),5))*(VLOOKUP($B$5,标准坦克设计!$B$24:$U$30,MATCH("对"&amp;LEFT($C$5,2)&amp;"输出",标准坦克设计!$B$23:$U$23,0)))*(VLOOKUP($B192,INDIRECT($B$5&amp;"生成成长"),3))*(VLOOKUP($B$5,标准坦克设计!$B$14:$K$20,9)/30))</f>
        <v>25.000714210179442</v>
      </c>
      <c r="DB192" s="172">
        <f ca="1">(VLOOKUP(DB$72,INDIRECT($C$5&amp;"生成成长"),2))/((VLOOKUP($B192,INDIRECT($B$5&amp;"生成成长"),4))/(VLOOKUP(DB$72,INDIRECT($C$5&amp;"生成成长"),5))*(VLOOKUP($B$5,标准坦克设计!$B$24:$U$30,MATCH("对"&amp;LEFT($C$5,2)&amp;"输出",标准坦克设计!$B$23:$U$23,0)))*(VLOOKUP($B192,INDIRECT($B$5&amp;"生成成长"),3))*(VLOOKUP($B$5,标准坦克设计!$B$14:$K$20,9)/30))</f>
        <v>26.488934502825931</v>
      </c>
      <c r="DC192" s="172">
        <f ca="1">(VLOOKUP(DC$72,INDIRECT($C$5&amp;"生成成长"),2))/((VLOOKUP($B192,INDIRECT($B$5&amp;"生成成长"),4))/(VLOOKUP(DC$72,INDIRECT($C$5&amp;"生成成长"),5))*(VLOOKUP($B$5,标准坦克设计!$B$24:$U$30,MATCH("对"&amp;LEFT($C$5,2)&amp;"输出",标准坦克设计!$B$23:$U$23,0)))*(VLOOKUP($B192,INDIRECT($B$5&amp;"生成成长"),3))*(VLOOKUP($B$5,标准坦克设计!$B$14:$K$20,9)/30))</f>
        <v>28.161515617772551</v>
      </c>
      <c r="DD192" s="172">
        <f ca="1">(VLOOKUP(DD$72,INDIRECT($C$5&amp;"生成成长"),2))/((VLOOKUP($B192,INDIRECT($B$5&amp;"生成成长"),4))/(VLOOKUP(DD$72,INDIRECT($C$5&amp;"生成成长"),5))*(VLOOKUP($B$5,标准坦克设计!$B$24:$U$30,MATCH("对"&amp;LEFT($C$5,2)&amp;"输出",标准坦克设计!$B$23:$U$23,0)))*(VLOOKUP($B192,INDIRECT($B$5&amp;"生成成长"),3))*(VLOOKUP($B$5,标准坦克设计!$B$14:$K$20,9)/30))</f>
        <v>29.885298195421612</v>
      </c>
      <c r="DE192" s="172">
        <f ca="1">(VLOOKUP(DE$72,INDIRECT($C$5&amp;"生成成长"),2))/((VLOOKUP($B192,INDIRECT($B$5&amp;"生成成长"),4))/(VLOOKUP(DE$72,INDIRECT($C$5&amp;"生成成长"),5))*(VLOOKUP($B$5,标准坦克设计!$B$24:$U$30,MATCH("对"&amp;LEFT($C$5,2)&amp;"输出",标准坦克设计!$B$23:$U$23,0)))*(VLOOKUP($B192,INDIRECT($B$5&amp;"生成成长"),3))*(VLOOKUP($B$5,标准坦克设计!$B$14:$K$20,9)/30))</f>
        <v>31.660282235773128</v>
      </c>
      <c r="DF192" s="172">
        <f ca="1">(VLOOKUP(DF$72,INDIRECT($C$5&amp;"生成成长"),2))/((VLOOKUP($B192,INDIRECT($B$5&amp;"生成成长"),4))/(VLOOKUP(DF$72,INDIRECT($C$5&amp;"生成成长"),5))*(VLOOKUP($B$5,标准坦克设计!$B$24:$U$30,MATCH("对"&amp;LEFT($C$5,2)&amp;"输出",标准坦克设计!$B$23:$U$23,0)))*(VLOOKUP($B192,INDIRECT($B$5&amp;"生成成长"),3))*(VLOOKUP($B$5,标准坦克设计!$B$14:$K$20,9)/30))</f>
        <v>33.486467738827095</v>
      </c>
      <c r="DG192" s="172">
        <f ca="1">(VLOOKUP(DG$72,INDIRECT($C$5&amp;"生成成长"),2))/((VLOOKUP($B192,INDIRECT($B$5&amp;"生成成长"),4))/(VLOOKUP(DG$72,INDIRECT($C$5&amp;"生成成长"),5))*(VLOOKUP($B$5,标准坦克设计!$B$24:$U$30,MATCH("对"&amp;LEFT($C$5,2)&amp;"输出",标准坦克设计!$B$23:$U$23,0)))*(VLOOKUP($B192,INDIRECT($B$5&amp;"生成成长"),3))*(VLOOKUP($B$5,标准坦克设计!$B$14:$K$20,9)/30))</f>
        <v>35.363854704583495</v>
      </c>
      <c r="DH192" s="172">
        <f ca="1">(VLOOKUP(DH$72,INDIRECT($C$5&amp;"生成成长"),2))/((VLOOKUP($B192,INDIRECT($B$5&amp;"生成成长"),4))/(VLOOKUP(DH$72,INDIRECT($C$5&amp;"生成成长"),5))*(VLOOKUP($B$5,标准坦克设计!$B$24:$U$30,MATCH("对"&amp;LEFT($C$5,2)&amp;"输出",标准坦克设计!$B$23:$U$23,0)))*(VLOOKUP($B192,INDIRECT($B$5&amp;"生成成长"),3))*(VLOOKUP($B$5,标准坦克设计!$B$14:$K$20,9)/30))</f>
        <v>37.292443133042354</v>
      </c>
      <c r="DI192" s="172">
        <f ca="1">(VLOOKUP(DI$72,INDIRECT($C$5&amp;"生成成长"),2))/((VLOOKUP($B192,INDIRECT($B$5&amp;"生成成长"),4))/(VLOOKUP(DI$72,INDIRECT($C$5&amp;"生成成长"),5))*(VLOOKUP($B$5,标准坦克设计!$B$24:$U$30,MATCH("对"&amp;LEFT($C$5,2)&amp;"输出",标准坦克设计!$B$23:$U$23,0)))*(VLOOKUP($B192,INDIRECT($B$5&amp;"生成成长"),3))*(VLOOKUP($B$5,标准坦克设计!$B$14:$K$20,9)/30))</f>
        <v>39.272233024203651</v>
      </c>
      <c r="DJ192" s="172">
        <f ca="1">(VLOOKUP(DJ$72,INDIRECT($C$5&amp;"生成成长"),2))/((VLOOKUP($B192,INDIRECT($B$5&amp;"生成成长"),4))/(VLOOKUP(DJ$72,INDIRECT($C$5&amp;"生成成长"),5))*(VLOOKUP($B$5,标准坦克设计!$B$24:$U$30,MATCH("对"&amp;LEFT($C$5,2)&amp;"输出",标准坦克设计!$B$23:$U$23,0)))*(VLOOKUP($B192,INDIRECT($B$5&amp;"生成成长"),3))*(VLOOKUP($B$5,标准坦克设计!$B$14:$K$20,9)/30))</f>
        <v>3.9469571995036006</v>
      </c>
      <c r="DK192" s="172">
        <f ca="1">(VLOOKUP(DK$72,INDIRECT($C$5&amp;"生成成长"),2))/((VLOOKUP($B192,INDIRECT($B$5&amp;"生成成长"),4))/(VLOOKUP(DK$72,INDIRECT($C$5&amp;"生成成长"),5))*(VLOOKUP($B$5,标准坦克设计!$B$24:$U$30,MATCH("对"&amp;LEFT($C$5,2)&amp;"输出",标准坦克设计!$B$23:$U$23,0)))*(VLOOKUP($B192,INDIRECT($B$5&amp;"生成成长"),3))*(VLOOKUP($B$5,标准坦克设计!$B$14:$K$20,9)/30))</f>
        <v>4.4381712323052067</v>
      </c>
      <c r="DL192" s="172">
        <f ca="1">(VLOOKUP(DL$72,INDIRECT($C$5&amp;"生成成长"),2))/((VLOOKUP($B192,INDIRECT($B$5&amp;"生成成长"),4))/(VLOOKUP(DL$72,INDIRECT($C$5&amp;"生成成长"),5))*(VLOOKUP($B$5,标准坦克设计!$B$24:$U$30,MATCH("对"&amp;LEFT($C$5,2)&amp;"输出",标准坦克设计!$B$23:$U$23,0)))*(VLOOKUP($B192,INDIRECT($B$5&amp;"生成成长"),3))*(VLOOKUP($B$5,标准坦克设计!$B$14:$K$20,9)/30))</f>
        <v>4.9581860878769382</v>
      </c>
      <c r="DM192" s="172">
        <f ca="1">(VLOOKUP(DM$72,INDIRECT($C$5&amp;"生成成长"),2))/((VLOOKUP($B192,INDIRECT($B$5&amp;"生成成长"),4))/(VLOOKUP(DM$72,INDIRECT($C$5&amp;"生成成长"),5))*(VLOOKUP($B$5,标准坦克设计!$B$24:$U$30,MATCH("对"&amp;LEFT($C$5,2)&amp;"输出",标准坦克设计!$B$23:$U$23,0)))*(VLOOKUP($B192,INDIRECT($B$5&amp;"生成成长"),3))*(VLOOKUP($B$5,标准坦克设计!$B$14:$K$20,9)/30))</f>
        <v>5.5070017662187984</v>
      </c>
      <c r="DN192" s="172">
        <f ca="1">(VLOOKUP(DN$72,INDIRECT($C$5&amp;"生成成长"),2))/((VLOOKUP($B192,INDIRECT($B$5&amp;"生成成长"),4))/(VLOOKUP(DN$72,INDIRECT($C$5&amp;"生成成长"),5))*(VLOOKUP($B$5,标准坦克设计!$B$24:$U$30,MATCH("对"&amp;LEFT($C$5,2)&amp;"输出",标准坦克设计!$B$23:$U$23,0)))*(VLOOKUP($B192,INDIRECT($B$5&amp;"生成成长"),3))*(VLOOKUP($B$5,标准坦克设计!$B$14:$K$20,9)/30))</f>
        <v>6.084618267330784</v>
      </c>
      <c r="DO192" s="172">
        <f ca="1">(VLOOKUP(DO$72,INDIRECT($C$5&amp;"生成成长"),2))/((VLOOKUP($B192,INDIRECT($B$5&amp;"生成成长"),4))/(VLOOKUP(DO$72,INDIRECT($C$5&amp;"生成成长"),5))*(VLOOKUP($B$5,标准坦克设计!$B$24:$U$30,MATCH("对"&amp;LEFT($C$5,2)&amp;"输出",标准坦克设计!$B$23:$U$23,0)))*(VLOOKUP($B192,INDIRECT($B$5&amp;"生成成长"),3))*(VLOOKUP($B$5,标准坦克设计!$B$14:$K$20,9)/30))</f>
        <v>6.6910355912128967</v>
      </c>
      <c r="DP192" s="172">
        <f ca="1">(VLOOKUP(DP$72,INDIRECT($C$5&amp;"生成成长"),2))/((VLOOKUP($B192,INDIRECT($B$5&amp;"生成成长"),4))/(VLOOKUP(DP$72,INDIRECT($C$5&amp;"生成成长"),5))*(VLOOKUP($B$5,标准坦克设计!$B$24:$U$30,MATCH("对"&amp;LEFT($C$5,2)&amp;"输出",标准坦克设计!$B$23:$U$23,0)))*(VLOOKUP($B192,INDIRECT($B$5&amp;"生成成长"),3))*(VLOOKUP($B$5,标准坦克设计!$B$14:$K$20,9)/30))</f>
        <v>7.3262537378651365</v>
      </c>
      <c r="DQ192" s="172">
        <f ca="1">(VLOOKUP(DQ$72,INDIRECT($C$5&amp;"生成成长"),2))/((VLOOKUP($B192,INDIRECT($B$5&amp;"生成成长"),4))/(VLOOKUP(DQ$72,INDIRECT($C$5&amp;"生成成长"),5))*(VLOOKUP($B$5,标准坦克设计!$B$24:$U$30,MATCH("对"&amp;LEFT($C$5,2)&amp;"输出",标准坦克设计!$B$23:$U$23,0)))*(VLOOKUP($B192,INDIRECT($B$5&amp;"生成成长"),3))*(VLOOKUP($B$5,标准坦克设计!$B$14:$K$20,9)/30))</f>
        <v>7.9902727072875015</v>
      </c>
      <c r="DR192" s="172">
        <f ca="1">(VLOOKUP(DR$72,INDIRECT($C$5&amp;"生成成长"),2))/((VLOOKUP($B192,INDIRECT($B$5&amp;"生成成长"),4))/(VLOOKUP(DR$72,INDIRECT($C$5&amp;"生成成长"),5))*(VLOOKUP($B$5,标准坦克设计!$B$24:$U$30,MATCH("对"&amp;LEFT($C$5,2)&amp;"输出",标准坦克设计!$B$23:$U$23,0)))*(VLOOKUP($B192,INDIRECT($B$5&amp;"生成成长"),3))*(VLOOKUP($B$5,标准坦克设计!$B$14:$K$20,9)/30))</f>
        <v>8.6830924994799954</v>
      </c>
      <c r="DS192" s="172">
        <f ca="1">(VLOOKUP(DS$72,INDIRECT($C$5&amp;"生成成长"),2))/((VLOOKUP($B192,INDIRECT($B$5&amp;"生成成长"),4))/(VLOOKUP(DS$72,INDIRECT($C$5&amp;"生成成长"),5))*(VLOOKUP($B$5,标准坦克设计!$B$24:$U$30,MATCH("对"&amp;LEFT($C$5,2)&amp;"输出",标准坦克设计!$B$23:$U$23,0)))*(VLOOKUP($B192,INDIRECT($B$5&amp;"生成成长"),3))*(VLOOKUP($B$5,标准坦克设计!$B$14:$K$20,9)/30))</f>
        <v>9.4047131144426146</v>
      </c>
      <c r="DT192" s="172">
        <f ca="1">(VLOOKUP(DT$72,INDIRECT($C$5&amp;"生成成长"),2))/((VLOOKUP($B192,INDIRECT($B$5&amp;"生成成长"),4))/(VLOOKUP(DT$72,INDIRECT($C$5&amp;"生成成长"),5))*(VLOOKUP($B$5,标准坦克设计!$B$24:$U$30,MATCH("对"&amp;LEFT($C$5,2)&amp;"输出",标准坦克设计!$B$23:$U$23,0)))*(VLOOKUP($B192,INDIRECT($B$5&amp;"生成成长"),3))*(VLOOKUP($B$5,标准坦克设计!$B$14:$K$20,9)/30))</f>
        <v>10.325806094516851</v>
      </c>
      <c r="DU192" s="172">
        <f ca="1">(VLOOKUP(DU$72,INDIRECT($C$5&amp;"生成成长"),2))/((VLOOKUP($B192,INDIRECT($B$5&amp;"生成成长"),4))/(VLOOKUP(DU$72,INDIRECT($C$5&amp;"生成成长"),5))*(VLOOKUP($B$5,标准坦克设计!$B$24:$U$30,MATCH("对"&amp;LEFT($C$5,2)&amp;"输出",标准坦克设计!$B$23:$U$23,0)))*(VLOOKUP($B192,INDIRECT($B$5&amp;"生成成长"),3))*(VLOOKUP($B$5,标准坦克设计!$B$14:$K$20,9)/30))</f>
        <v>11.289922525889674</v>
      </c>
      <c r="DV192" s="172">
        <f ca="1">(VLOOKUP(DV$72,INDIRECT($C$5&amp;"生成成长"),2))/((VLOOKUP($B192,INDIRECT($B$5&amp;"生成成长"),4))/(VLOOKUP(DV$72,INDIRECT($C$5&amp;"生成成长"),5))*(VLOOKUP($B$5,标准坦克设计!$B$24:$U$30,MATCH("对"&amp;LEFT($C$5,2)&amp;"输出",标准坦克设计!$B$23:$U$23,0)))*(VLOOKUP($B192,INDIRECT($B$5&amp;"生成成长"),3))*(VLOOKUP($B$5,标准坦克设计!$B$14:$K$20,9)/30))</f>
        <v>12.297062408561082</v>
      </c>
      <c r="DW192" s="172">
        <f ca="1">(VLOOKUP(DW$72,INDIRECT($C$5&amp;"生成成长"),2))/((VLOOKUP($B192,INDIRECT($B$5&amp;"生成成长"),4))/(VLOOKUP(DW$72,INDIRECT($C$5&amp;"生成成长"),5))*(VLOOKUP($B$5,标准坦克设计!$B$24:$U$30,MATCH("对"&amp;LEFT($C$5,2)&amp;"输出",标准坦克设计!$B$23:$U$23,0)))*(VLOOKUP($B192,INDIRECT($B$5&amp;"生成成长"),3))*(VLOOKUP($B$5,标准坦克设计!$B$14:$K$20,9)/30))</f>
        <v>13.347225742531073</v>
      </c>
      <c r="DX192" s="172">
        <f ca="1">(VLOOKUP(DX$72,INDIRECT($C$5&amp;"生成成长"),2))/((VLOOKUP($B192,INDIRECT($B$5&amp;"生成成长"),4))/(VLOOKUP(DX$72,INDIRECT($C$5&amp;"生成成长"),5))*(VLOOKUP($B$5,标准坦克设计!$B$24:$U$30,MATCH("对"&amp;LEFT($C$5,2)&amp;"输出",标准坦克设计!$B$23:$U$23,0)))*(VLOOKUP($B192,INDIRECT($B$5&amp;"生成成长"),3))*(VLOOKUP($B$5,标准坦克设计!$B$14:$K$20,9)/30))</f>
        <v>14.440412527799648</v>
      </c>
      <c r="DY192" s="172">
        <f ca="1">(VLOOKUP(DY$72,INDIRECT($C$5&amp;"生成成长"),2))/((VLOOKUP($B192,INDIRECT($B$5&amp;"生成成长"),4))/(VLOOKUP(DY$72,INDIRECT($C$5&amp;"生成成长"),5))*(VLOOKUP($B$5,标准坦克设计!$B$24:$U$30,MATCH("对"&amp;LEFT($C$5,2)&amp;"输出",标准坦克设计!$B$23:$U$23,0)))*(VLOOKUP($B192,INDIRECT($B$5&amp;"生成成长"),3))*(VLOOKUP($B$5,标准坦克设计!$B$14:$K$20,9)/30))</f>
        <v>6.4856963918332893</v>
      </c>
      <c r="DZ192" s="172">
        <f ca="1">(VLOOKUP(DZ$72,INDIRECT($C$5&amp;"生成成长"),2))/((VLOOKUP($B192,INDIRECT($B$5&amp;"生成成长"),4))/(VLOOKUP(DZ$72,INDIRECT($C$5&amp;"生成成长"),5))*(VLOOKUP($B$5,标准坦克设计!$B$24:$U$30,MATCH("对"&amp;LEFT($C$5,2)&amp;"输出",标准坦克设计!$B$23:$U$23,0)))*(VLOOKUP($B192,INDIRECT($B$5&amp;"生成成长"),3))*(VLOOKUP($B$5,标准坦克设计!$B$14:$K$20,9)/30))</f>
        <v>7.1826051897277132</v>
      </c>
      <c r="EA192" s="172">
        <f ca="1">(VLOOKUP(EA$72,INDIRECT($C$5&amp;"生成成长"),2))/((VLOOKUP($B192,INDIRECT($B$5&amp;"生成成长"),4))/(VLOOKUP(EA$72,INDIRECT($C$5&amp;"生成成长"),5))*(VLOOKUP($B$5,标准坦克设计!$B$24:$U$30,MATCH("对"&amp;LEFT($C$5,2)&amp;"输出",标准坦克设计!$B$23:$U$23,0)))*(VLOOKUP($B192,INDIRECT($B$5&amp;"生成成长"),3))*(VLOOKUP($B$5,标准坦克设计!$B$14:$K$20,9)/30))</f>
        <v>7.9150705589432819</v>
      </c>
      <c r="EB192" s="172">
        <f ca="1">(VLOOKUP(EB$72,INDIRECT($C$5&amp;"生成成长"),2))/((VLOOKUP($B192,INDIRECT($B$5&amp;"生成成长"),4))/(VLOOKUP(EB$72,INDIRECT($C$5&amp;"生成成长"),5))*(VLOOKUP($B$5,标准坦克设计!$B$24:$U$30,MATCH("对"&amp;LEFT($C$5,2)&amp;"输出",标准坦克设计!$B$23:$U$23,0)))*(VLOOKUP($B192,INDIRECT($B$5&amp;"生成成长"),3))*(VLOOKUP($B$5,标准坦克设计!$B$14:$K$20,9)/30))</f>
        <v>8.6830924994799954</v>
      </c>
      <c r="EC192" s="172">
        <f ca="1">(VLOOKUP(EC$72,INDIRECT($C$5&amp;"生成成长"),2))/((VLOOKUP($B192,INDIRECT($B$5&amp;"生成成长"),4))/(VLOOKUP(EC$72,INDIRECT($C$5&amp;"生成成长"),5))*(VLOOKUP($B$5,标准坦克设计!$B$24:$U$30,MATCH("对"&amp;LEFT($C$5,2)&amp;"输出",标准坦克设计!$B$23:$U$23,0)))*(VLOOKUP($B192,INDIRECT($B$5&amp;"生成成长"),3))*(VLOOKUP($B$5,标准坦克设计!$B$14:$K$20,9)/30))</f>
        <v>9.486671011337851</v>
      </c>
      <c r="ED192" s="172">
        <f ca="1">(VLOOKUP(ED$72,INDIRECT($C$5&amp;"生成成长"),2))/((VLOOKUP($B192,INDIRECT($B$5&amp;"生成成长"),4))/(VLOOKUP(ED$72,INDIRECT($C$5&amp;"生成成长"),5))*(VLOOKUP($B$5,标准坦克设计!$B$24:$U$30,MATCH("对"&amp;LEFT($C$5,2)&amp;"输出",标准坦克设计!$B$23:$U$23,0)))*(VLOOKUP($B192,INDIRECT($B$5&amp;"生成成长"),3))*(VLOOKUP($B$5,标准坦克设计!$B$14:$K$20,9)/30))</f>
        <v>10.325806094516851</v>
      </c>
      <c r="EE192" s="172">
        <f ca="1">(VLOOKUP(EE$72,INDIRECT($C$5&amp;"生成成长"),2))/((VLOOKUP($B192,INDIRECT($B$5&amp;"生成成长"),4))/(VLOOKUP(EE$72,INDIRECT($C$5&amp;"生成成长"),5))*(VLOOKUP($B$5,标准坦克设计!$B$24:$U$30,MATCH("对"&amp;LEFT($C$5,2)&amp;"输出",标准坦克设计!$B$23:$U$23,0)))*(VLOOKUP($B192,INDIRECT($B$5&amp;"生成成长"),3))*(VLOOKUP($B$5,标准坦克设计!$B$14:$K$20,9)/30))</f>
        <v>11.200497749016996</v>
      </c>
      <c r="EF192" s="172">
        <f ca="1">(VLOOKUP(EF$72,INDIRECT($C$5&amp;"生成成长"),2))/((VLOOKUP($B192,INDIRECT($B$5&amp;"生成成长"),4))/(VLOOKUP(EF$72,INDIRECT($C$5&amp;"生成成长"),5))*(VLOOKUP($B$5,标准坦克设计!$B$24:$U$30,MATCH("对"&amp;LEFT($C$5,2)&amp;"输出",标准坦克设计!$B$23:$U$23,0)))*(VLOOKUP($B192,INDIRECT($B$5&amp;"生成成长"),3))*(VLOOKUP($B$5,标准坦克设计!$B$14:$K$20,9)/30))</f>
        <v>12.110745974838286</v>
      </c>
      <c r="EG192" s="172">
        <f ca="1">(VLOOKUP(EG$72,INDIRECT($C$5&amp;"生成成长"),2))/((VLOOKUP($B192,INDIRECT($B$5&amp;"生成成长"),4))/(VLOOKUP(EG$72,INDIRECT($C$5&amp;"生成成长"),5))*(VLOOKUP($B$5,标准坦克设计!$B$24:$U$30,MATCH("对"&amp;LEFT($C$5,2)&amp;"输出",标准坦克设计!$B$23:$U$23,0)))*(VLOOKUP($B192,INDIRECT($B$5&amp;"生成成长"),3))*(VLOOKUP($B$5,标准坦克设计!$B$14:$K$20,9)/30))</f>
        <v>13.056550771980721</v>
      </c>
      <c r="EH192" s="172">
        <f ca="1">(VLOOKUP(EH$72,INDIRECT($C$5&amp;"生成成长"),2))/((VLOOKUP($B192,INDIRECT($B$5&amp;"生成成长"),4))/(VLOOKUP(EH$72,INDIRECT($C$5&amp;"生成成长"),5))*(VLOOKUP($B$5,标准坦克设计!$B$24:$U$30,MATCH("对"&amp;LEFT($C$5,2)&amp;"输出",标准坦克设计!$B$23:$U$23,0)))*(VLOOKUP($B192,INDIRECT($B$5&amp;"生成成长"),3))*(VLOOKUP($B$5,标准坦克设计!$B$14:$K$20,9)/30))</f>
        <v>14.037912140444297</v>
      </c>
      <c r="EI192" s="172">
        <f ca="1">(VLOOKUP(EI$72,INDIRECT($C$5&amp;"生成成长"),2))/((VLOOKUP($B192,INDIRECT($B$5&amp;"生成成长"),4))/(VLOOKUP(EI$72,INDIRECT($C$5&amp;"生成成长"),5))*(VLOOKUP($B$5,标准坦克设计!$B$24:$U$30,MATCH("对"&amp;LEFT($C$5,2)&amp;"输出",标准坦克设计!$B$23:$U$23,0)))*(VLOOKUP($B192,INDIRECT($B$5&amp;"生成成长"),3))*(VLOOKUP($B$5,标准坦克设计!$B$14:$K$20,9)/30))</f>
        <v>15.054830080229019</v>
      </c>
      <c r="EJ192" s="172">
        <f ca="1">(VLOOKUP(EJ$72,INDIRECT($C$5&amp;"生成成长"),2))/((VLOOKUP($B192,INDIRECT($B$5&amp;"生成成长"),4))/(VLOOKUP(EJ$72,INDIRECT($C$5&amp;"生成成长"),5))*(VLOOKUP($B$5,标准坦克设计!$B$24:$U$30,MATCH("对"&amp;LEFT($C$5,2)&amp;"输出",标准坦克设计!$B$23:$U$23,0)))*(VLOOKUP($B192,INDIRECT($B$5&amp;"生成成长"),3))*(VLOOKUP($B$5,标准坦克设计!$B$14:$K$20,9)/30))</f>
        <v>16.107304591334881</v>
      </c>
      <c r="EK192" s="172">
        <f ca="1">(VLOOKUP(EK$72,INDIRECT($C$5&amp;"生成成长"),2))/((VLOOKUP($B192,INDIRECT($B$5&amp;"生成成长"),4))/(VLOOKUP(EK$72,INDIRECT($C$5&amp;"生成成长"),5))*(VLOOKUP($B$5,标准坦克设计!$B$24:$U$30,MATCH("对"&amp;LEFT($C$5,2)&amp;"输出",标准坦克设计!$B$23:$U$23,0)))*(VLOOKUP($B192,INDIRECT($B$5&amp;"生成成长"),3))*(VLOOKUP($B$5,标准坦克设计!$B$14:$K$20,9)/30))</f>
        <v>17.417208678805832</v>
      </c>
      <c r="EL192" s="172">
        <f ca="1">(VLOOKUP(EL$72,INDIRECT($C$5&amp;"生成成长"),2))/((VLOOKUP($B192,INDIRECT($B$5&amp;"生成成长"),4))/(VLOOKUP(EL$72,INDIRECT($C$5&amp;"生成成长"),5))*(VLOOKUP($B$5,标准坦克设计!$B$24:$U$30,MATCH("对"&amp;LEFT($C$5,2)&amp;"输出",标准坦克设计!$B$23:$U$23,0)))*(VLOOKUP($B192,INDIRECT($B$5&amp;"生成成长"),3))*(VLOOKUP($B$5,标准坦克设计!$B$14:$K$20,9)/30))</f>
        <v>18.778314228979227</v>
      </c>
      <c r="EM192" s="172">
        <f ca="1">(VLOOKUP(EM$72,INDIRECT($C$5&amp;"生成成长"),2))/((VLOOKUP($B192,INDIRECT($B$5&amp;"生成成长"),4))/(VLOOKUP(EM$72,INDIRECT($C$5&amp;"生成成长"),5))*(VLOOKUP($B$5,标准坦克设计!$B$24:$U$30,MATCH("对"&amp;LEFT($C$5,2)&amp;"输出",标准坦克设计!$B$23:$U$23,0)))*(VLOOKUP($B192,INDIRECT($B$5&amp;"生成成长"),3))*(VLOOKUP($B$5,标准坦克设计!$B$14:$K$20,9)/30))</f>
        <v>20.190621241855069</v>
      </c>
      <c r="EN192" s="172">
        <f ca="1">(VLOOKUP(EN$72,INDIRECT($C$5&amp;"生成成长"),2))/((VLOOKUP($B192,INDIRECT($B$5&amp;"生成成长"),4))/(VLOOKUP(EN$72,INDIRECT($C$5&amp;"生成成长"),5))*(VLOOKUP($B$5,标准坦克设计!$B$24:$U$30,MATCH("对"&amp;LEFT($C$5,2)&amp;"输出",标准坦克设计!$B$23:$U$23,0)))*(VLOOKUP($B192,INDIRECT($B$5&amp;"生成成长"),3))*(VLOOKUP($B$5,标准坦克设计!$B$14:$K$20,9)/30))</f>
        <v>21.65412971743336</v>
      </c>
      <c r="EO192" s="172">
        <f ca="1">(VLOOKUP(EO$72,INDIRECT($C$5&amp;"生成成长"),2))/((VLOOKUP($B192,INDIRECT($B$5&amp;"生成成长"),4))/(VLOOKUP(EO$72,INDIRECT($C$5&amp;"生成成长"),5))*(VLOOKUP($B$5,标准坦克设计!$B$24:$U$30,MATCH("对"&amp;LEFT($C$5,2)&amp;"输出",标准坦克设计!$B$23:$U$23,0)))*(VLOOKUP($B192,INDIRECT($B$5&amp;"生成成长"),3))*(VLOOKUP($B$5,标准坦克设计!$B$14:$K$20,9)/30))</f>
        <v>23.168839655714098</v>
      </c>
      <c r="EP192" s="172">
        <f ca="1">(VLOOKUP(EP$72,INDIRECT($C$5&amp;"生成成长"),2))/((VLOOKUP($B192,INDIRECT($B$5&amp;"生成成长"),4))/(VLOOKUP(EP$72,INDIRECT($C$5&amp;"生成成长"),5))*(VLOOKUP($B$5,标准坦克设计!$B$24:$U$30,MATCH("对"&amp;LEFT($C$5,2)&amp;"输出",标准坦克设计!$B$23:$U$23,0)))*(VLOOKUP($B192,INDIRECT($B$5&amp;"生成成长"),3))*(VLOOKUP($B$5,标准坦克设计!$B$14:$K$20,9)/30))</f>
        <v>24.734751056697284</v>
      </c>
      <c r="EQ192" s="172">
        <f ca="1">(VLOOKUP(EQ$72,INDIRECT($C$5&amp;"生成成长"),2))/((VLOOKUP($B192,INDIRECT($B$5&amp;"生成成长"),4))/(VLOOKUP(EQ$72,INDIRECT($C$5&amp;"生成成长"),5))*(VLOOKUP($B$5,标准坦克设计!$B$24:$U$30,MATCH("对"&amp;LEFT($C$5,2)&amp;"输出",标准坦克设计!$B$23:$U$23,0)))*(VLOOKUP($B192,INDIRECT($B$5&amp;"生成成长"),3))*(VLOOKUP($B$5,标准坦克设计!$B$14:$K$20,9)/30))</f>
        <v>10.934356812678233</v>
      </c>
      <c r="ER192" s="172">
        <f ca="1">(VLOOKUP(ER$72,INDIRECT($C$5&amp;"生成成长"),2))/((VLOOKUP($B192,INDIRECT($B$5&amp;"生成成长"),4))/(VLOOKUP(ER$72,INDIRECT($C$5&amp;"生成成长"),5))*(VLOOKUP($B$5,标准坦克设计!$B$24:$U$30,MATCH("对"&amp;LEFT($C$5,2)&amp;"输出",标准坦克设计!$B$23:$U$23,0)))*(VLOOKUP($B192,INDIRECT($B$5&amp;"生成成长"),3))*(VLOOKUP($B$5,标准坦克设计!$B$14:$K$20,9)/30))</f>
        <v>11.925851803968337</v>
      </c>
      <c r="ES192" s="172">
        <f ca="1">(VLOOKUP(ES$72,INDIRECT($C$5&amp;"生成成长"),2))/((VLOOKUP($B192,INDIRECT($B$5&amp;"生成成长"),4))/(VLOOKUP(ES$72,INDIRECT($C$5&amp;"生成成长"),5))*(VLOOKUP($B$5,标准坦克设计!$B$24:$U$30,MATCH("对"&amp;LEFT($C$5,2)&amp;"输出",标准坦克设计!$B$23:$U$23,0)))*(VLOOKUP($B192,INDIRECT($B$5&amp;"生成成长"),3))*(VLOOKUP($B$5,标准坦克设计!$B$14:$K$20,9)/30))</f>
        <v>12.960370246557023</v>
      </c>
      <c r="ET192" s="172">
        <f ca="1">(VLOOKUP(ET$72,INDIRECT($C$5&amp;"生成成长"),2))/((VLOOKUP($B192,INDIRECT($B$5&amp;"生成成长"),4))/(VLOOKUP(ET$72,INDIRECT($C$5&amp;"生成成长"),5))*(VLOOKUP($B$5,标准坦克设计!$B$24:$U$30,MATCH("对"&amp;LEFT($C$5,2)&amp;"输出",标准坦克设计!$B$23:$U$23,0)))*(VLOOKUP($B192,INDIRECT($B$5&amp;"生成成长"),3))*(VLOOKUP($B$5,标准坦克设计!$B$14:$K$20,9)/30))</f>
        <v>14.037912140444297</v>
      </c>
      <c r="EU192" s="172">
        <f ca="1">(VLOOKUP(EU$72,INDIRECT($C$5&amp;"生成成长"),2))/((VLOOKUP($B192,INDIRECT($B$5&amp;"生成成长"),4))/(VLOOKUP(EU$72,INDIRECT($C$5&amp;"生成成长"),5))*(VLOOKUP($B$5,标准坦克设计!$B$24:$U$30,MATCH("对"&amp;LEFT($C$5,2)&amp;"输出",标准坦克设计!$B$23:$U$23,0)))*(VLOOKUP($B192,INDIRECT($B$5&amp;"生成成长"),3))*(VLOOKUP($B$5,标准坦克设计!$B$14:$K$20,9)/30))</f>
        <v>15.158477485630151</v>
      </c>
      <c r="EV192" s="172">
        <f ca="1">(VLOOKUP(EV$72,INDIRECT($C$5&amp;"生成成长"),2))/((VLOOKUP($B192,INDIRECT($B$5&amp;"生成成长"),4))/(VLOOKUP(EV$72,INDIRECT($C$5&amp;"生成成长"),5))*(VLOOKUP($B$5,标准坦克设计!$B$24:$U$30,MATCH("对"&amp;LEFT($C$5,2)&amp;"输出",标准坦克设计!$B$23:$U$23,0)))*(VLOOKUP($B192,INDIRECT($B$5&amp;"生成成长"),3))*(VLOOKUP($B$5,标准坦克设计!$B$14:$K$20,9)/30))</f>
        <v>16.322066282114594</v>
      </c>
      <c r="EW192" s="172">
        <f ca="1">(VLOOKUP(EW$72,INDIRECT($C$5&amp;"生成成长"),2))/((VLOOKUP($B192,INDIRECT($B$5&amp;"生成成长"),4))/(VLOOKUP(EW$72,INDIRECT($C$5&amp;"生成成长"),5))*(VLOOKUP($B$5,标准坦克设计!$B$24:$U$30,MATCH("对"&amp;LEFT($C$5,2)&amp;"输出",标准坦克设计!$B$23:$U$23,0)))*(VLOOKUP($B192,INDIRECT($B$5&amp;"生成成长"),3))*(VLOOKUP($B$5,标准坦克设计!$B$14:$K$20,9)/30))</f>
        <v>17.528678529897615</v>
      </c>
      <c r="EX192" s="172">
        <f ca="1">(VLOOKUP(EX$72,INDIRECT($C$5&amp;"生成成长"),2))/((VLOOKUP($B192,INDIRECT($B$5&amp;"生成成长"),4))/(VLOOKUP(EX$72,INDIRECT($C$5&amp;"生成成长"),5))*(VLOOKUP($B$5,标准坦克设计!$B$24:$U$30,MATCH("对"&amp;LEFT($C$5,2)&amp;"输出",标准坦克设计!$B$23:$U$23,0)))*(VLOOKUP($B192,INDIRECT($B$5&amp;"生成成长"),3))*(VLOOKUP($B$5,标准坦克设计!$B$14:$K$20,9)/30))</f>
        <v>18.778314228979227</v>
      </c>
      <c r="EY192" s="172">
        <f ca="1">(VLOOKUP(EY$72,INDIRECT($C$5&amp;"生成成长"),2))/((VLOOKUP($B192,INDIRECT($B$5&amp;"生成成长"),4))/(VLOOKUP(EY$72,INDIRECT($C$5&amp;"生成成长"),5))*(VLOOKUP($B$5,标准坦克设计!$B$24:$U$30,MATCH("对"&amp;LEFT($C$5,2)&amp;"输出",标准坦克设计!$B$23:$U$23,0)))*(VLOOKUP($B192,INDIRECT($B$5&amp;"生成成长"),3))*(VLOOKUP($B$5,标准坦克设计!$B$14:$K$20,9)/30))</f>
        <v>20.070973379359422</v>
      </c>
      <c r="EZ192" s="172">
        <f ca="1">(VLOOKUP(EZ$72,INDIRECT($C$5&amp;"生成成长"),2))/((VLOOKUP($B192,INDIRECT($B$5&amp;"生成成长"),4))/(VLOOKUP(EZ$72,INDIRECT($C$5&amp;"生成成长"),5))*(VLOOKUP($B$5,标准坦克设计!$B$24:$U$30,MATCH("对"&amp;LEFT($C$5,2)&amp;"输出",标准坦克设计!$B$23:$U$23,0)))*(VLOOKUP($B192,INDIRECT($B$5&amp;"生成成长"),3))*(VLOOKUP($B$5,标准坦克设计!$B$14:$K$20,9)/30))</f>
        <v>21.406655981038202</v>
      </c>
      <c r="FA192" s="172">
        <f ca="1">(VLOOKUP(FA$72,INDIRECT($C$5&amp;"生成成长"),2))/((VLOOKUP($B192,INDIRECT($B$5&amp;"生成成长"),4))/(VLOOKUP(FA$72,INDIRECT($C$5&amp;"生成成长"),5))*(VLOOKUP($B$5,标准坦克设计!$B$24:$U$30,MATCH("对"&amp;LEFT($C$5,2)&amp;"输出",标准坦克设计!$B$23:$U$23,0)))*(VLOOKUP($B192,INDIRECT($B$5&amp;"生成成长"),3))*(VLOOKUP($B$5,标准坦克设计!$B$14:$K$20,9)/30))</f>
        <v>22.785362034015563</v>
      </c>
      <c r="FB192" s="172">
        <f ca="1">(VLOOKUP(FB$72,INDIRECT($C$5&amp;"生成成长"),2))/((VLOOKUP($B192,INDIRECT($B$5&amp;"生成成长"),4))/(VLOOKUP(FB$72,INDIRECT($C$5&amp;"生成成长"),5))*(VLOOKUP($B$5,标准坦克设计!$B$24:$U$30,MATCH("对"&amp;LEFT($C$5,2)&amp;"输出",标准坦克设计!$B$23:$U$23,0)))*(VLOOKUP($B192,INDIRECT($B$5&amp;"生成成长"),3))*(VLOOKUP($B$5,标准坦克设计!$B$14:$K$20,9)/30))</f>
        <v>24.207091538291511</v>
      </c>
      <c r="FC192" s="172">
        <f ca="1">(VLOOKUP(FC$72,INDIRECT($C$5&amp;"生成成长"),2))/((VLOOKUP($B192,INDIRECT($B$5&amp;"生成成长"),4))/(VLOOKUP(FC$72,INDIRECT($C$5&amp;"生成成长"),5))*(VLOOKUP($B$5,标准坦克设计!$B$24:$U$30,MATCH("对"&amp;LEFT($C$5,2)&amp;"输出",标准坦克设计!$B$23:$U$23,0)))*(VLOOKUP($B192,INDIRECT($B$5&amp;"生成成长"),3))*(VLOOKUP($B$5,标准坦克设计!$B$14:$K$20,9)/30))</f>
        <v>25.671844493866043</v>
      </c>
      <c r="FD192" s="172">
        <f ca="1">(VLOOKUP(FD$72,INDIRECT($C$5&amp;"生成成长"),2))/((VLOOKUP($B192,INDIRECT($B$5&amp;"生成成长"),4))/(VLOOKUP(FD$72,INDIRECT($C$5&amp;"生成成长"),5))*(VLOOKUP($B$5,标准坦克设计!$B$24:$U$30,MATCH("对"&amp;LEFT($C$5,2)&amp;"输出",标准坦克设计!$B$23:$U$23,0)))*(VLOOKUP($B192,INDIRECT($B$5&amp;"生成成长"),3))*(VLOOKUP($B$5,标准坦克设计!$B$14:$K$20,9)/30))</f>
        <v>27.179620900739156</v>
      </c>
      <c r="FE192" s="172">
        <f ca="1">(VLOOKUP(FE$72,INDIRECT($C$5&amp;"生成成长"),2))/((VLOOKUP($B192,INDIRECT($B$5&amp;"生成成长"),4))/(VLOOKUP(FE$72,INDIRECT($C$5&amp;"生成成长"),5))*(VLOOKUP($B$5,标准坦克设计!$B$24:$U$30,MATCH("对"&amp;LEFT($C$5,2)&amp;"输出",标准坦克设计!$B$23:$U$23,0)))*(VLOOKUP($B192,INDIRECT($B$5&amp;"生成成长"),3))*(VLOOKUP($B$5,标准坦克设计!$B$14:$K$20,9)/30))</f>
        <v>29.017006723759273</v>
      </c>
      <c r="FF192" s="172">
        <f ca="1">(VLOOKUP(FF$72,INDIRECT($C$5&amp;"生成成长"),2))/((VLOOKUP($B192,INDIRECT($B$5&amp;"生成成长"),4))/(VLOOKUP(FF$72,INDIRECT($C$5&amp;"生成成长"),5))*(VLOOKUP($B$5,标准坦克设计!$B$24:$U$30,MATCH("对"&amp;LEFT($C$5,2)&amp;"输出",标准坦克设计!$B$23:$U$23,0)))*(VLOOKUP($B192,INDIRECT($B$5&amp;"生成成长"),3))*(VLOOKUP($B$5,标准坦克设计!$B$14:$K$20,9)/30))</f>
        <v>30.91448315231213</v>
      </c>
      <c r="FG192" s="172">
        <f ca="1">(VLOOKUP(FG$72,INDIRECT($C$5&amp;"生成成长"),2))/((VLOOKUP($B192,INDIRECT($B$5&amp;"生成成长"),4))/(VLOOKUP(FG$72,INDIRECT($C$5&amp;"生成成长"),5))*(VLOOKUP($B$5,标准坦克设计!$B$24:$U$30,MATCH("对"&amp;LEFT($C$5,2)&amp;"输出",标准坦克设计!$B$23:$U$23,0)))*(VLOOKUP($B192,INDIRECT($B$5&amp;"生成成长"),3))*(VLOOKUP($B$5,标准坦克设计!$B$14:$K$20,9)/30))</f>
        <v>32.872050186397722</v>
      </c>
      <c r="FH192" s="172">
        <f ca="1">(VLOOKUP(FH$72,INDIRECT($C$5&amp;"生成成长"),2))/((VLOOKUP($B192,INDIRECT($B$5&amp;"生成成长"),4))/(VLOOKUP(FH$72,INDIRECT($C$5&amp;"生成成长"),5))*(VLOOKUP($B$5,标准坦克设计!$B$24:$U$30,MATCH("对"&amp;LEFT($C$5,2)&amp;"输出",标准坦克设计!$B$23:$U$23,0)))*(VLOOKUP($B192,INDIRECT($B$5&amp;"生成成长"),3))*(VLOOKUP($B$5,标准坦克设计!$B$14:$K$20,9)/30))</f>
        <v>34.889707826016036</v>
      </c>
      <c r="FI192" s="172">
        <f ca="1">(VLOOKUP(FI$72,INDIRECT($C$5&amp;"生成成长"),2))/((VLOOKUP($B192,INDIRECT($B$5&amp;"生成成长"),4))/(VLOOKUP(FI$72,INDIRECT($C$5&amp;"生成成长"),5))*(VLOOKUP($B$5,标准坦克设计!$B$24:$U$30,MATCH("对"&amp;LEFT($C$5,2)&amp;"输出",标准坦克设计!$B$23:$U$23,0)))*(VLOOKUP($B192,INDIRECT($B$5&amp;"生成成长"),3))*(VLOOKUP($B$5,标准坦克设计!$B$14:$K$20,9)/30))</f>
        <v>36.967456071167092</v>
      </c>
      <c r="FJ192" s="172">
        <f ca="1">(VLOOKUP(FJ$72,INDIRECT($C$5&amp;"生成成长"),2))/((VLOOKUP($B192,INDIRECT($B$5&amp;"生成成长"),4))/(VLOOKUP(FJ$72,INDIRECT($C$5&amp;"生成成长"),5))*(VLOOKUP($B$5,标准坦克设计!$B$24:$U$30,MATCH("对"&amp;LEFT($C$5,2)&amp;"输出",标准坦克设计!$B$23:$U$23,0)))*(VLOOKUP($B192,INDIRECT($B$5&amp;"生成成长"),3))*(VLOOKUP($B$5,标准坦克设计!$B$14:$K$20,9)/30))</f>
        <v>39.105294921850891</v>
      </c>
      <c r="FK192" s="172">
        <f ca="1">(VLOOKUP(FK$72,INDIRECT($C$5&amp;"生成成长"),2))/((VLOOKUP($B192,INDIRECT($B$5&amp;"生成成长"),4))/(VLOOKUP(FK$72,INDIRECT($C$5&amp;"生成成长"),5))*(VLOOKUP($B$5,标准坦克设计!$B$24:$U$30,MATCH("对"&amp;LEFT($C$5,2)&amp;"输出",标准坦克设计!$B$23:$U$23,0)))*(VLOOKUP($B192,INDIRECT($B$5&amp;"生成成长"),3))*(VLOOKUP($B$5,标准坦克设计!$B$14:$K$20,9)/30))</f>
        <v>41.303224378067405</v>
      </c>
    </row>
    <row r="193" spans="1:167" x14ac:dyDescent="0.15">
      <c r="A193" s="170" t="str">
        <f t="shared" si="12"/>
        <v>T3高品质10级</v>
      </c>
      <c r="B193" s="171">
        <v>30310</v>
      </c>
      <c r="C193" s="172">
        <f ca="1">(VLOOKUP(C$72,INDIRECT($C$5&amp;"生成成长"),2))/((VLOOKUP($B193,INDIRECT($B$5&amp;"生成成长"),4))/(VLOOKUP(C$72,INDIRECT($C$5&amp;"生成成长"),5))*(VLOOKUP($B$5,标准坦克设计!$B$24:$U$30,MATCH("对"&amp;LEFT($C$5,2)&amp;"输出",标准坦克设计!$B$23:$U$23,0)))*(VLOOKUP($B193,INDIRECT($B$5&amp;"生成成长"),3))*(VLOOKUP($B$5,标准坦克设计!$B$14:$K$20,9)/30))</f>
        <v>1.6399309068465071</v>
      </c>
      <c r="D193" s="172">
        <f ca="1">(VLOOKUP(D$72,INDIRECT($C$5&amp;"生成成长"),2))/((VLOOKUP($B193,INDIRECT($B$5&amp;"生成成长"),4))/(VLOOKUP(D$72,INDIRECT($C$5&amp;"生成成长"),5))*(VLOOKUP($B$5,标准坦克设计!$B$24:$U$30,MATCH("对"&amp;LEFT($C$5,2)&amp;"输出",标准坦克设计!$B$23:$U$23,0)))*(VLOOKUP($B193,INDIRECT($B$5&amp;"生成成长"),3))*(VLOOKUP($B$5,标准坦克设计!$B$14:$K$20,9)/30))</f>
        <v>1.842626366932735</v>
      </c>
      <c r="E193" s="172">
        <f ca="1">(VLOOKUP(E$72,INDIRECT($C$5&amp;"生成成长"),2))/((VLOOKUP($B193,INDIRECT($B$5&amp;"生成成长"),4))/(VLOOKUP(E$72,INDIRECT($C$5&amp;"生成成长"),5))*(VLOOKUP($B$5,标准坦克设计!$B$24:$U$30,MATCH("对"&amp;LEFT($C$5,2)&amp;"输出",标准坦克设计!$B$23:$U$23,0)))*(VLOOKUP($B193,INDIRECT($B$5&amp;"生成成长"),3))*(VLOOKUP($B$5,标准坦克设计!$B$14:$K$20,9)/30))</f>
        <v>2.0571293295482587</v>
      </c>
      <c r="F193" s="172">
        <f ca="1">(VLOOKUP(F$72,INDIRECT($C$5&amp;"生成成长"),2))/((VLOOKUP($B193,INDIRECT($B$5&amp;"生成成长"),4))/(VLOOKUP(F$72,INDIRECT($C$5&amp;"生成成长"),5))*(VLOOKUP($B$5,标准坦克设计!$B$24:$U$30,MATCH("对"&amp;LEFT($C$5,2)&amp;"输出",标准坦克设计!$B$23:$U$23,0)))*(VLOOKUP($B193,INDIRECT($B$5&amp;"生成成长"),3))*(VLOOKUP($B$5,标准坦克设计!$B$14:$K$20,9)/30))</f>
        <v>2.2834397946930767</v>
      </c>
      <c r="G193" s="172">
        <f ca="1">(VLOOKUP(G$72,INDIRECT($C$5&amp;"生成成长"),2))/((VLOOKUP($B193,INDIRECT($B$5&amp;"生成成长"),4))/(VLOOKUP(G$72,INDIRECT($C$5&amp;"生成成长"),5))*(VLOOKUP($B$5,标准坦克设计!$B$24:$U$30,MATCH("对"&amp;LEFT($C$5,2)&amp;"输出",标准坦克设计!$B$23:$U$23,0)))*(VLOOKUP($B193,INDIRECT($B$5&amp;"生成成长"),3))*(VLOOKUP($B$5,标准坦克设计!$B$14:$K$20,9)/30))</f>
        <v>2.5215577623671894</v>
      </c>
      <c r="H193" s="172">
        <f ca="1">(VLOOKUP(H$72,INDIRECT($C$5&amp;"生成成长"),2))/((VLOOKUP($B193,INDIRECT($B$5&amp;"生成成长"),4))/(VLOOKUP(H$72,INDIRECT($C$5&amp;"生成成长"),5))*(VLOOKUP($B$5,标准坦克设计!$B$24:$U$30,MATCH("对"&amp;LEFT($C$5,2)&amp;"输出",标准坦克设计!$B$23:$U$23,0)))*(VLOOKUP($B193,INDIRECT($B$5&amp;"生成成长"),3))*(VLOOKUP($B$5,标准坦克设计!$B$14:$K$20,9)/30))</f>
        <v>2.2066910282526595</v>
      </c>
      <c r="I193" s="172">
        <f ca="1">(VLOOKUP(I$72,INDIRECT($C$5&amp;"生成成长"),2))/((VLOOKUP($B193,INDIRECT($B$5&amp;"生成成长"),4))/(VLOOKUP(I$72,INDIRECT($C$5&amp;"生成成长"),5))*(VLOOKUP($B$5,标准坦克设计!$B$24:$U$30,MATCH("对"&amp;LEFT($C$5,2)&amp;"输出",标准坦克设计!$B$23:$U$23,0)))*(VLOOKUP($B193,INDIRECT($B$5&amp;"生成成长"),3))*(VLOOKUP($B$5,标准坦克设计!$B$14:$K$20,9)/30))</f>
        <v>2.5215577623671894</v>
      </c>
      <c r="J193" s="172">
        <f ca="1">(VLOOKUP(J$72,INDIRECT($C$5&amp;"生成成长"),2))/((VLOOKUP($B193,INDIRECT($B$5&amp;"生成成长"),4))/(VLOOKUP(J$72,INDIRECT($C$5&amp;"生成成长"),5))*(VLOOKUP($B$5,标准坦克设计!$B$24:$U$30,MATCH("对"&amp;LEFT($C$5,2)&amp;"输出",标准坦克设计!$B$23:$U$23,0)))*(VLOOKUP($B193,INDIRECT($B$5&amp;"生成成长"),3))*(VLOOKUP($B$5,标准坦克设计!$B$14:$K$20,9)/30))</f>
        <v>2.8574156120893539</v>
      </c>
      <c r="K193" s="172">
        <f ca="1">(VLOOKUP(K$72,INDIRECT($C$5&amp;"生成成长"),2))/((VLOOKUP($B193,INDIRECT($B$5&amp;"生成成长"),4))/(VLOOKUP(K$72,INDIRECT($C$5&amp;"生成成长"),5))*(VLOOKUP($B$5,标准坦克设计!$B$24:$U$30,MATCH("对"&amp;LEFT($C$5,2)&amp;"输出",标准坦克设计!$B$23:$U$23,0)))*(VLOOKUP($B193,INDIRECT($B$5&amp;"生成成长"),3))*(VLOOKUP($B$5,标准坦克设计!$B$14:$K$20,9)/30))</f>
        <v>3.2142645774191534</v>
      </c>
      <c r="L193" s="172">
        <f ca="1">(VLOOKUP(L$72,INDIRECT($C$5&amp;"生成成长"),2))/((VLOOKUP($B193,INDIRECT($B$5&amp;"生成成长"),4))/(VLOOKUP(L$72,INDIRECT($C$5&amp;"生成成长"),5))*(VLOOKUP($B$5,标准坦克设计!$B$24:$U$30,MATCH("对"&amp;LEFT($C$5,2)&amp;"输出",标准坦克设计!$B$23:$U$23,0)))*(VLOOKUP($B193,INDIRECT($B$5&amp;"生成成长"),3))*(VLOOKUP($B$5,标准坦克设计!$B$14:$K$20,9)/30))</f>
        <v>3.5921046583565892</v>
      </c>
      <c r="M193" s="172">
        <f ca="1">(VLOOKUP(M$72,INDIRECT($C$5&amp;"生成成长"),2))/((VLOOKUP($B193,INDIRECT($B$5&amp;"生成成长"),4))/(VLOOKUP(M$72,INDIRECT($C$5&amp;"生成成长"),5))*(VLOOKUP($B$5,标准坦克设计!$B$24:$U$30,MATCH("对"&amp;LEFT($C$5,2)&amp;"输出",标准坦克设计!$B$23:$U$23,0)))*(VLOOKUP($B193,INDIRECT($B$5&amp;"生成成长"),3))*(VLOOKUP($B$5,标准坦克设计!$B$14:$K$20,9)/30))</f>
        <v>3.9909358549016587</v>
      </c>
      <c r="N193" s="172">
        <f ca="1">(VLOOKUP(N$72,INDIRECT($C$5&amp;"生成成长"),2))/((VLOOKUP($B193,INDIRECT($B$5&amp;"生成成长"),4))/(VLOOKUP(N$72,INDIRECT($C$5&amp;"生成成长"),5))*(VLOOKUP($B$5,标准坦克设计!$B$24:$U$30,MATCH("对"&amp;LEFT($C$5,2)&amp;"输出",标准坦克设计!$B$23:$U$23,0)))*(VLOOKUP($B193,INDIRECT($B$5&amp;"生成成长"),3))*(VLOOKUP($B$5,标准坦克设计!$B$14:$K$20,9)/30))</f>
        <v>4.4107581670543654</v>
      </c>
      <c r="O193" s="172">
        <f ca="1">(VLOOKUP(O$72,INDIRECT($C$5&amp;"生成成长"),2))/((VLOOKUP($B193,INDIRECT($B$5&amp;"生成成长"),4))/(VLOOKUP(O$72,INDIRECT($C$5&amp;"生成成长"),5))*(VLOOKUP($B$5,标准坦克设计!$B$24:$U$30,MATCH("对"&amp;LEFT($C$5,2)&amp;"输出",标准坦克设计!$B$23:$U$23,0)))*(VLOOKUP($B193,INDIRECT($B$5&amp;"生成成长"),3))*(VLOOKUP($B$5,标准坦克设计!$B$14:$K$20,9)/30))</f>
        <v>3.3534947114104225</v>
      </c>
      <c r="P193" s="172">
        <f ca="1">(VLOOKUP(P$72,INDIRECT($C$5&amp;"生成成长"),2))/((VLOOKUP($B193,INDIRECT($B$5&amp;"生成成长"),4))/(VLOOKUP(P$72,INDIRECT($C$5&amp;"生成成长"),5))*(VLOOKUP($B$5,标准坦克设计!$B$24:$U$30,MATCH("对"&amp;LEFT($C$5,2)&amp;"输出",标准坦克设计!$B$23:$U$23,0)))*(VLOOKUP($B193,INDIRECT($B$5&amp;"生成成长"),3))*(VLOOKUP($B$5,标准坦克设计!$B$14:$K$20,9)/30))</f>
        <v>3.7888963671781704</v>
      </c>
      <c r="Q193" s="172">
        <f ca="1">(VLOOKUP(Q$72,INDIRECT($C$5&amp;"生成成长"),2))/((VLOOKUP($B193,INDIRECT($B$5&amp;"生成成长"),4))/(VLOOKUP(Q$72,INDIRECT($C$5&amp;"生成成长"),5))*(VLOOKUP($B$5,标准坦克设计!$B$24:$U$30,MATCH("对"&amp;LEFT($C$5,2)&amp;"输出",标准坦克设计!$B$23:$U$23,0)))*(VLOOKUP($B193,INDIRECT($B$5&amp;"生成成长"),3))*(VLOOKUP($B$5,标准坦克设计!$B$14:$K$20,9)/30))</f>
        <v>4.2508649036368311</v>
      </c>
      <c r="R193" s="172">
        <f ca="1">(VLOOKUP(R$72,INDIRECT($C$5&amp;"生成成长"),2))/((VLOOKUP($B193,INDIRECT($B$5&amp;"生成成长"),4))/(VLOOKUP(R$72,INDIRECT($C$5&amp;"生成成长"),5))*(VLOOKUP($B$5,标准坦克设计!$B$24:$U$30,MATCH("对"&amp;LEFT($C$5,2)&amp;"输出",标准坦克设计!$B$23:$U$23,0)))*(VLOOKUP($B193,INDIRECT($B$5&amp;"生成成长"),3))*(VLOOKUP($B$5,标准坦克设计!$B$14:$K$20,9)/30))</f>
        <v>4.7394003207864044</v>
      </c>
      <c r="S193" s="172">
        <f ca="1">(VLOOKUP(S$72,INDIRECT($C$5&amp;"生成成长"),2))/((VLOOKUP($B193,INDIRECT($B$5&amp;"生成成长"),4))/(VLOOKUP(S$72,INDIRECT($C$5&amp;"生成成长"),5))*(VLOOKUP($B$5,标准坦克设计!$B$24:$U$30,MATCH("对"&amp;LEFT($C$5,2)&amp;"输出",标准坦克设计!$B$23:$U$23,0)))*(VLOOKUP($B193,INDIRECT($B$5&amp;"生成成长"),3))*(VLOOKUP($B$5,标准坦克设计!$B$14:$K$20,9)/30))</f>
        <v>5.2545026186268924</v>
      </c>
      <c r="T193" s="172">
        <f ca="1">(VLOOKUP(T$72,INDIRECT($C$5&amp;"生成成长"),2))/((VLOOKUP($B193,INDIRECT($B$5&amp;"生成成长"),4))/(VLOOKUP(T$72,INDIRECT($C$5&amp;"生成成长"),5))*(VLOOKUP($B$5,标准坦克设计!$B$24:$U$30,MATCH("对"&amp;LEFT($C$5,2)&amp;"输出",标准坦克设计!$B$23:$U$23,0)))*(VLOOKUP($B193,INDIRECT($B$5&amp;"生成成长"),3))*(VLOOKUP($B$5,标准坦克设计!$B$14:$K$20,9)/30))</f>
        <v>5.7961717971582933</v>
      </c>
      <c r="U193" s="172">
        <f ca="1">(VLOOKUP(U$72,INDIRECT($C$5&amp;"生成成长"),2))/((VLOOKUP($B193,INDIRECT($B$5&amp;"生成成长"),4))/(VLOOKUP(U$72,INDIRECT($C$5&amp;"生成成长"),5))*(VLOOKUP($B$5,标准坦克设计!$B$24:$U$30,MATCH("对"&amp;LEFT($C$5,2)&amp;"输出",标准坦克设计!$B$23:$U$23,0)))*(VLOOKUP($B193,INDIRECT($B$5&amp;"生成成长"),3))*(VLOOKUP($B$5,标准坦克设计!$B$14:$K$20,9)/30))</f>
        <v>6.3644078563806099</v>
      </c>
      <c r="V193" s="172">
        <f ca="1">(VLOOKUP(V$72,INDIRECT($C$5&amp;"生成成长"),2))/((VLOOKUP($B193,INDIRECT($B$5&amp;"生成成长"),4))/(VLOOKUP(V$72,INDIRECT($C$5&amp;"生成成长"),5))*(VLOOKUP($B$5,标准坦克设计!$B$24:$U$30,MATCH("对"&amp;LEFT($C$5,2)&amp;"输出",标准坦克设计!$B$23:$U$23,0)))*(VLOOKUP($B193,INDIRECT($B$5&amp;"生成成长"),3))*(VLOOKUP($B$5,标准坦克设计!$B$14:$K$20,9)/30))</f>
        <v>6.9592107962938377</v>
      </c>
      <c r="W193" s="172">
        <f ca="1">(VLOOKUP(W$72,INDIRECT($C$5&amp;"生成成长"),2))/((VLOOKUP($B193,INDIRECT($B$5&amp;"生成成长"),4))/(VLOOKUP(W$72,INDIRECT($C$5&amp;"生成成长"),5))*(VLOOKUP($B$5,标准坦克设计!$B$24:$U$30,MATCH("对"&amp;LEFT($C$5,2)&amp;"输出",标准坦克设计!$B$23:$U$23,0)))*(VLOOKUP($B193,INDIRECT($B$5&amp;"生成成长"),3))*(VLOOKUP($B$5,标准坦克设计!$B$14:$K$20,9)/30))</f>
        <v>7.5805806168979792</v>
      </c>
      <c r="X193" s="172">
        <f ca="1">(VLOOKUP(X$72,INDIRECT($C$5&amp;"生成成长"),2))/((VLOOKUP($B193,INDIRECT($B$5&amp;"生成成长"),4))/(VLOOKUP(X$72,INDIRECT($C$5&amp;"生成成长"),5))*(VLOOKUP($B$5,标准坦克设计!$B$24:$U$30,MATCH("对"&amp;LEFT($C$5,2)&amp;"输出",标准坦克设计!$B$23:$U$23,0)))*(VLOOKUP($B193,INDIRECT($B$5&amp;"生成成长"),3))*(VLOOKUP($B$5,标准坦克设计!$B$14:$K$20,9)/30))</f>
        <v>5.4919646139382667</v>
      </c>
      <c r="Y193" s="172">
        <f ca="1">(VLOOKUP(Y$72,INDIRECT($C$5&amp;"生成成长"),2))/((VLOOKUP($B193,INDIRECT($B$5&amp;"生成成长"),4))/(VLOOKUP(Y$72,INDIRECT($C$5&amp;"生成成长"),5))*(VLOOKUP($B$5,标准坦克设计!$B$24:$U$30,MATCH("对"&amp;LEFT($C$5,2)&amp;"输出",标准坦克设计!$B$23:$U$23,0)))*(VLOOKUP($B193,INDIRECT($B$5&amp;"生成成长"),3))*(VLOOKUP($B$5,标准坦克设计!$B$14:$K$20,9)/30))</f>
        <v>6.1085786349125533</v>
      </c>
      <c r="Z193" s="172">
        <f ca="1">(VLOOKUP(Z$72,INDIRECT($C$5&amp;"生成成长"),2))/((VLOOKUP($B193,INDIRECT($B$5&amp;"生成成长"),4))/(VLOOKUP(Z$72,INDIRECT($C$5&amp;"生成成长"),5))*(VLOOKUP($B$5,标准坦克设计!$B$24:$U$30,MATCH("对"&amp;LEFT($C$5,2)&amp;"输出",标准坦克设计!$B$23:$U$23,0)))*(VLOOKUP($B193,INDIRECT($B$5&amp;"生成成长"),3))*(VLOOKUP($B$5,标准坦克设计!$B$14:$K$20,9)/30))</f>
        <v>6.7579912740237695</v>
      </c>
      <c r="AA193" s="172">
        <f ca="1">(VLOOKUP(AA$72,INDIRECT($C$5&amp;"生成成长"),2))/((VLOOKUP($B193,INDIRECT($B$5&amp;"生成成长"),4))/(VLOOKUP(AA$72,INDIRECT($C$5&amp;"生成成长"),5))*(VLOOKUP($B$5,标准坦克设计!$B$24:$U$30,MATCH("对"&amp;LEFT($C$5,2)&amp;"输出",标准坦克设计!$B$23:$U$23,0)))*(VLOOKUP($B193,INDIRECT($B$5&amp;"生成成长"),3))*(VLOOKUP($B$5,标准坦克设计!$B$14:$K$20,9)/30))</f>
        <v>7.4402025312719164</v>
      </c>
      <c r="AB193" s="172">
        <f ca="1">(VLOOKUP(AB$72,INDIRECT($C$5&amp;"生成成长"),2))/((VLOOKUP($B193,INDIRECT($B$5&amp;"生成成长"),4))/(VLOOKUP(AB$72,INDIRECT($C$5&amp;"生成成长"),5))*(VLOOKUP($B$5,标准坦克设计!$B$24:$U$30,MATCH("对"&amp;LEFT($C$5,2)&amp;"输出",标准坦克设计!$B$23:$U$23,0)))*(VLOOKUP($B193,INDIRECT($B$5&amp;"生成成长"),3))*(VLOOKUP($B$5,标准坦克设计!$B$14:$K$20,9)/30))</f>
        <v>8.1552124066569949</v>
      </c>
      <c r="AC193" s="172">
        <f ca="1">(VLOOKUP(AC$72,INDIRECT($C$5&amp;"生成成长"),2))/((VLOOKUP($B193,INDIRECT($B$5&amp;"生成成长"),4))/(VLOOKUP(AC$72,INDIRECT($C$5&amp;"生成成长"),5))*(VLOOKUP($B$5,标准坦克设计!$B$24:$U$30,MATCH("对"&amp;LEFT($C$5,2)&amp;"输出",标准坦克设计!$B$23:$U$23,0)))*(VLOOKUP($B193,INDIRECT($B$5&amp;"生成成长"),3))*(VLOOKUP($B$5,标准坦克设计!$B$14:$K$20,9)/30))</f>
        <v>8.903020900179003</v>
      </c>
      <c r="AD193" s="172">
        <f ca="1">(VLOOKUP(AD$72,INDIRECT($C$5&amp;"生成成长"),2))/((VLOOKUP($B193,INDIRECT($B$5&amp;"生成成长"),4))/(VLOOKUP(AD$72,INDIRECT($C$5&amp;"生成成长"),5))*(VLOOKUP($B$5,标准坦克设计!$B$24:$U$30,MATCH("对"&amp;LEFT($C$5,2)&amp;"输出",标准坦克设计!$B$23:$U$23,0)))*(VLOOKUP($B193,INDIRECT($B$5&amp;"生成成长"),3))*(VLOOKUP($B$5,标准坦克设计!$B$14:$K$20,9)/30))</f>
        <v>9.6836280118379392</v>
      </c>
      <c r="AE193" s="172">
        <f ca="1">(VLOOKUP(AE$72,INDIRECT($C$5&amp;"生成成长"),2))/((VLOOKUP($B193,INDIRECT($B$5&amp;"生成成长"),4))/(VLOOKUP(AE$72,INDIRECT($C$5&amp;"生成成长"),5))*(VLOOKUP($B$5,标准坦克设计!$B$24:$U$30,MATCH("对"&amp;LEFT($C$5,2)&amp;"输出",标准坦克设计!$B$23:$U$23,0)))*(VLOOKUP($B193,INDIRECT($B$5&amp;"生成成长"),3))*(VLOOKUP($B$5,标准坦克设计!$B$14:$K$20,9)/30))</f>
        <v>10.497033741633807</v>
      </c>
      <c r="AF193" s="172">
        <f ca="1">(VLOOKUP(AF$72,INDIRECT($C$5&amp;"生成成长"),2))/((VLOOKUP($B193,INDIRECT($B$5&amp;"生成成长"),4))/(VLOOKUP(AF$72,INDIRECT($C$5&amp;"生成成长"),5))*(VLOOKUP($B$5,标准坦克设计!$B$24:$U$30,MATCH("对"&amp;LEFT($C$5,2)&amp;"输出",标准坦克设计!$B$23:$U$23,0)))*(VLOOKUP($B193,INDIRECT($B$5&amp;"生成成长"),3))*(VLOOKUP($B$5,标准坦克设计!$B$14:$K$20,9)/30))</f>
        <v>11.343238089566604</v>
      </c>
      <c r="AG193" s="172">
        <f ca="1">(VLOOKUP(AG$72,INDIRECT($C$5&amp;"生成成长"),2))/((VLOOKUP($B193,INDIRECT($B$5&amp;"生成成长"),4))/(VLOOKUP(AG$72,INDIRECT($C$5&amp;"生成成长"),5))*(VLOOKUP($B$5,标准坦克设计!$B$24:$U$30,MATCH("对"&amp;LEFT($C$5,2)&amp;"输出",标准坦克设计!$B$23:$U$23,0)))*(VLOOKUP($B193,INDIRECT($B$5&amp;"生成成长"),3))*(VLOOKUP($B$5,标准坦克设计!$B$14:$K$20,9)/30))</f>
        <v>12.222241055636331</v>
      </c>
      <c r="AH193" s="172">
        <f ca="1">(VLOOKUP(AH$72,INDIRECT($C$5&amp;"生成成长"),2))/((VLOOKUP($B193,INDIRECT($B$5&amp;"生成成长"),4))/(VLOOKUP(AH$72,INDIRECT($C$5&amp;"生成成长"),5))*(VLOOKUP($B$5,标准坦克设计!$B$24:$U$30,MATCH("对"&amp;LEFT($C$5,2)&amp;"输出",标准坦克设计!$B$23:$U$23,0)))*(VLOOKUP($B193,INDIRECT($B$5&amp;"生成成长"),3))*(VLOOKUP($B$5,标准坦克设计!$B$14:$K$20,9)/30))</f>
        <v>13.13404263984299</v>
      </c>
      <c r="AI193" s="172">
        <f ca="1">(VLOOKUP(AI$72,INDIRECT($C$5&amp;"生成成长"),2))/((VLOOKUP($B193,INDIRECT($B$5&amp;"生成成长"),4))/(VLOOKUP(AI$72,INDIRECT($C$5&amp;"生成成长"),5))*(VLOOKUP($B$5,标准坦克设计!$B$24:$U$30,MATCH("对"&amp;LEFT($C$5,2)&amp;"输出",标准坦克设计!$B$23:$U$23,0)))*(VLOOKUP($B193,INDIRECT($B$5&amp;"生成成长"),3))*(VLOOKUP($B$5,标准坦克设计!$B$14:$K$20,9)/30))</f>
        <v>9.2892246287413549</v>
      </c>
      <c r="AJ193" s="172">
        <f ca="1">(VLOOKUP(AJ$72,INDIRECT($C$5&amp;"生成成长"),2))/((VLOOKUP($B193,INDIRECT($B$5&amp;"生成成长"),4))/(VLOOKUP(AJ$72,INDIRECT($C$5&amp;"生成成长"),5))*(VLOOKUP($B$5,标准坦克设计!$B$24:$U$30,MATCH("对"&amp;LEFT($C$5,2)&amp;"输出",标准坦克设计!$B$23:$U$23,0)))*(VLOOKUP($B193,INDIRECT($B$5&amp;"生成成长"),3))*(VLOOKUP($B$5,标准坦克设计!$B$14:$K$20,9)/30))</f>
        <v>10.167735615539028</v>
      </c>
      <c r="AK193" s="172">
        <f ca="1">(VLOOKUP(AK$72,INDIRECT($C$5&amp;"生成成长"),2))/((VLOOKUP($B193,INDIRECT($B$5&amp;"生成成长"),4))/(VLOOKUP(AK$72,INDIRECT($C$5&amp;"生成成长"),5))*(VLOOKUP($B$5,标准坦克设计!$B$24:$U$30,MATCH("对"&amp;LEFT($C$5,2)&amp;"输出",标准坦克设计!$B$23:$U$23,0)))*(VLOOKUP($B193,INDIRECT($B$5&amp;"生成成长"),3))*(VLOOKUP($B$5,标准坦克设计!$B$14:$K$20,9)/30))</f>
        <v>11.085932930282388</v>
      </c>
      <c r="AL193" s="172">
        <f ca="1">(VLOOKUP(AL$72,INDIRECT($C$5&amp;"生成成长"),2))/((VLOOKUP($B193,INDIRECT($B$5&amp;"生成成长"),4))/(VLOOKUP(AL$72,INDIRECT($C$5&amp;"生成成长"),5))*(VLOOKUP($B$5,标准坦克设计!$B$24:$U$30,MATCH("对"&amp;LEFT($C$5,2)&amp;"输出",标准坦克设计!$B$23:$U$23,0)))*(VLOOKUP($B193,INDIRECT($B$5&amp;"生成成长"),3))*(VLOOKUP($B$5,标准坦克设计!$B$14:$K$20,9)/30))</f>
        <v>12.043816572971432</v>
      </c>
      <c r="AM193" s="172">
        <f ca="1">(VLOOKUP(AM$72,INDIRECT($C$5&amp;"生成成长"),2))/((VLOOKUP($B193,INDIRECT($B$5&amp;"生成成长"),4))/(VLOOKUP(AM$72,INDIRECT($C$5&amp;"生成成长"),5))*(VLOOKUP($B$5,标准坦克设计!$B$24:$U$30,MATCH("对"&amp;LEFT($C$5,2)&amp;"输出",标准坦克设计!$B$23:$U$23,0)))*(VLOOKUP($B193,INDIRECT($B$5&amp;"生成成长"),3))*(VLOOKUP($B$5,标准坦克设计!$B$14:$K$20,9)/30))</f>
        <v>13.041386543606162</v>
      </c>
      <c r="AN193" s="172">
        <f ca="1">(VLOOKUP(AN$72,INDIRECT($C$5&amp;"生成成长"),2))/((VLOOKUP($B193,INDIRECT($B$5&amp;"生成成长"),4))/(VLOOKUP(AN$72,INDIRECT($C$5&amp;"生成成长"),5))*(VLOOKUP($B$5,标准坦克设计!$B$24:$U$30,MATCH("对"&amp;LEFT($C$5,2)&amp;"输出",标准坦克设计!$B$23:$U$23,0)))*(VLOOKUP($B193,INDIRECT($B$5&amp;"生成成长"),3))*(VLOOKUP($B$5,标准坦克设计!$B$14:$K$20,9)/30))</f>
        <v>14.07864284218658</v>
      </c>
      <c r="AO193" s="172">
        <f ca="1">(VLOOKUP(AO$72,INDIRECT($C$5&amp;"生成成长"),2))/((VLOOKUP($B193,INDIRECT($B$5&amp;"生成成长"),4))/(VLOOKUP(AO$72,INDIRECT($C$5&amp;"生成成长"),5))*(VLOOKUP($B$5,标准坦克设计!$B$24:$U$30,MATCH("对"&amp;LEFT($C$5,2)&amp;"输出",标准坦克设计!$B$23:$U$23,0)))*(VLOOKUP($B193,INDIRECT($B$5&amp;"生成成长"),3))*(VLOOKUP($B$5,标准坦克设计!$B$14:$K$20,9)/30))</f>
        <v>15.155585468712681</v>
      </c>
      <c r="AP193" s="172">
        <f ca="1">(VLOOKUP(AP$72,INDIRECT($C$5&amp;"生成成长"),2))/((VLOOKUP($B193,INDIRECT($B$5&amp;"生成成长"),4))/(VLOOKUP(AP$72,INDIRECT($C$5&amp;"生成成长"),5))*(VLOOKUP($B$5,标准坦克设计!$B$24:$U$30,MATCH("对"&amp;LEFT($C$5,2)&amp;"输出",标准坦克设计!$B$23:$U$23,0)))*(VLOOKUP($B193,INDIRECT($B$5&amp;"生成成长"),3))*(VLOOKUP($B$5,标准坦克设计!$B$14:$K$20,9)/30))</f>
        <v>16.272214423184465</v>
      </c>
      <c r="AQ193" s="172">
        <f ca="1">(VLOOKUP(AQ$72,INDIRECT($C$5&amp;"生成成长"),2))/((VLOOKUP($B193,INDIRECT($B$5&amp;"生成成长"),4))/(VLOOKUP(AQ$72,INDIRECT($C$5&amp;"生成成长"),5))*(VLOOKUP($B$5,标准坦克设计!$B$24:$U$30,MATCH("对"&amp;LEFT($C$5,2)&amp;"输出",标准坦克设计!$B$23:$U$23,0)))*(VLOOKUP($B193,INDIRECT($B$5&amp;"生成成长"),3))*(VLOOKUP($B$5,标准坦克设计!$B$14:$K$20,9)/30))</f>
        <v>17.428529705601935</v>
      </c>
      <c r="AR193" s="172">
        <f ca="1">(VLOOKUP(AR$72,INDIRECT($C$5&amp;"生成成长"),2))/((VLOOKUP($B193,INDIRECT($B$5&amp;"生成成长"),4))/(VLOOKUP(AR$72,INDIRECT($C$5&amp;"生成成长"),5))*(VLOOKUP($B$5,标准坦克设计!$B$24:$U$30,MATCH("对"&amp;LEFT($C$5,2)&amp;"输出",标准坦克设计!$B$23:$U$23,0)))*(VLOOKUP($B193,INDIRECT($B$5&amp;"生成成长"),3))*(VLOOKUP($B$5,标准坦克设计!$B$14:$K$20,9)/30))</f>
        <v>18.624531315965097</v>
      </c>
      <c r="AS193" s="172">
        <f ca="1">(VLOOKUP(AS$72,INDIRECT($C$5&amp;"生成成长"),2))/((VLOOKUP($B193,INDIRECT($B$5&amp;"生成成长"),4))/(VLOOKUP(AS$72,INDIRECT($C$5&amp;"生成成长"),5))*(VLOOKUP($B$5,标准坦克设计!$B$24:$U$30,MATCH("对"&amp;LEFT($C$5,2)&amp;"输出",标准坦克设计!$B$23:$U$23,0)))*(VLOOKUP($B193,INDIRECT($B$5&amp;"生成成长"),3))*(VLOOKUP($B$5,标准坦克设计!$B$14:$K$20,9)/30))</f>
        <v>19.860219254273936</v>
      </c>
      <c r="AT193" s="172">
        <f ca="1">(VLOOKUP(AT$72,INDIRECT($C$5&amp;"生成成长"),2))/((VLOOKUP($B193,INDIRECT($B$5&amp;"生成成长"),4))/(VLOOKUP(AT$72,INDIRECT($C$5&amp;"生成成长"),5))*(VLOOKUP($B$5,标准坦克设计!$B$24:$U$30,MATCH("对"&amp;LEFT($C$5,2)&amp;"输出",标准坦克设计!$B$23:$U$23,0)))*(VLOOKUP($B193,INDIRECT($B$5&amp;"生成成长"),3))*(VLOOKUP($B$5,标准坦克设计!$B$14:$K$20,9)/30))</f>
        <v>21.13559352052847</v>
      </c>
      <c r="AU193" s="172">
        <f ca="1">(VLOOKUP(AU$72,INDIRECT($C$5&amp;"生成成长"),2))/((VLOOKUP($B193,INDIRECT($B$5&amp;"生成成长"),4))/(VLOOKUP(AU$72,INDIRECT($C$5&amp;"生成成长"),5))*(VLOOKUP($B$5,标准坦克设计!$B$24:$U$30,MATCH("对"&amp;LEFT($C$5,2)&amp;"输出",标准坦克设计!$B$23:$U$23,0)))*(VLOOKUP($B193,INDIRECT($B$5&amp;"生成成长"),3))*(VLOOKUP($B$5,标准坦克设计!$B$14:$K$20,9)/30))</f>
        <v>22.450654114728678</v>
      </c>
      <c r="AV193" s="172">
        <f ca="1">(VLOOKUP(AV$72,INDIRECT($C$5&amp;"生成成长"),2))/((VLOOKUP($B193,INDIRECT($B$5&amp;"生成成长"),4))/(VLOOKUP(AV$72,INDIRECT($C$5&amp;"生成成长"),5))*(VLOOKUP($B$5,标准坦克设计!$B$24:$U$30,MATCH("对"&amp;LEFT($C$5,2)&amp;"输出",标准坦克设计!$B$23:$U$23,0)))*(VLOOKUP($B193,INDIRECT($B$5&amp;"生成成长"),3))*(VLOOKUP($B$5,标准坦克设计!$B$14:$K$20,9)/30))</f>
        <v>2.2834397946930767</v>
      </c>
      <c r="AW193" s="172">
        <f ca="1">(VLOOKUP(AW$72,INDIRECT($C$5&amp;"生成成长"),2))/((VLOOKUP($B193,INDIRECT($B$5&amp;"生成成长"),4))/(VLOOKUP(AW$72,INDIRECT($C$5&amp;"生成成长"),5))*(VLOOKUP($B$5,标准坦克设计!$B$24:$U$30,MATCH("对"&amp;LEFT($C$5,2)&amp;"输出",标准坦克设计!$B$23:$U$23,0)))*(VLOOKUP($B193,INDIRECT($B$5&amp;"生成成长"),3))*(VLOOKUP($B$5,标准坦克设计!$B$14:$K$20,9)/30))</f>
        <v>2.6035543077095147</v>
      </c>
      <c r="AX193" s="172">
        <f ca="1">(VLOOKUP(AX$72,INDIRECT($C$5&amp;"生成成长"),2))/((VLOOKUP($B193,INDIRECT($B$5&amp;"生成成长"),4))/(VLOOKUP(AX$72,INDIRECT($C$5&amp;"生成成长"),5))*(VLOOKUP($B$5,标准坦克设计!$B$24:$U$30,MATCH("对"&amp;LEFT($C$5,2)&amp;"输出",标准坦克设计!$B$23:$U$23,0)))*(VLOOKUP($B193,INDIRECT($B$5&amp;"生成成长"),3))*(VLOOKUP($B$5,标准坦克设计!$B$14:$K$20,9)/30))</f>
        <v>2.9446599363335881</v>
      </c>
      <c r="AY193" s="172">
        <f ca="1">(VLOOKUP(AY$72,INDIRECT($C$5&amp;"生成成长"),2))/((VLOOKUP($B193,INDIRECT($B$5&amp;"生成成长"),4))/(VLOOKUP(AY$72,INDIRECT($C$5&amp;"生成成长"),5))*(VLOOKUP($B$5,标准坦克设计!$B$24:$U$30,MATCH("对"&amp;LEFT($C$5,2)&amp;"输出",标准坦克设计!$B$23:$U$23,0)))*(VLOOKUP($B193,INDIRECT($B$5&amp;"生成成长"),3))*(VLOOKUP($B$5,标准坦克设计!$B$14:$K$20,9)/30))</f>
        <v>3.3067566805652966</v>
      </c>
      <c r="AZ193" s="172">
        <f ca="1">(VLOOKUP(AZ$72,INDIRECT($C$5&amp;"生成成长"),2))/((VLOOKUP($B193,INDIRECT($B$5&amp;"生成成长"),4))/(VLOOKUP(AZ$72,INDIRECT($C$5&amp;"生成成长"),5))*(VLOOKUP($B$5,标准坦克设计!$B$24:$U$30,MATCH("对"&amp;LEFT($C$5,2)&amp;"输出",标准坦克设计!$B$23:$U$23,0)))*(VLOOKUP($B193,INDIRECT($B$5&amp;"生成成长"),3))*(VLOOKUP($B$5,标准坦克设计!$B$14:$K$20,9)/30))</f>
        <v>3.6898445404046405</v>
      </c>
      <c r="BA193" s="172">
        <f ca="1">(VLOOKUP(BA$72,INDIRECT($C$5&amp;"生成成长"),2))/((VLOOKUP($B193,INDIRECT($B$5&amp;"生成成长"),4))/(VLOOKUP(BA$72,INDIRECT($C$5&amp;"生成成长"),5))*(VLOOKUP($B$5,标准坦克设计!$B$24:$U$30,MATCH("对"&amp;LEFT($C$5,2)&amp;"输出",标准坦克设计!$B$23:$U$23,0)))*(VLOOKUP($B193,INDIRECT($B$5&amp;"生成成长"),3))*(VLOOKUP($B$5,标准坦克设计!$B$14:$K$20,9)/30))</f>
        <v>4.0939235158516203</v>
      </c>
      <c r="BB193" s="172">
        <f ca="1">(VLOOKUP(BB$72,INDIRECT($C$5&amp;"生成成长"),2))/((VLOOKUP($B193,INDIRECT($B$5&amp;"生成成长"),4))/(VLOOKUP(BB$72,INDIRECT($C$5&amp;"生成成长"),5))*(VLOOKUP($B$5,标准坦克设计!$B$24:$U$30,MATCH("对"&amp;LEFT($C$5,2)&amp;"输出",标准坦克设计!$B$23:$U$23,0)))*(VLOOKUP($B193,INDIRECT($B$5&amp;"生成成长"),3))*(VLOOKUP($B$5,标准坦克设计!$B$14:$K$20,9)/30))</f>
        <v>4.5189936069062346</v>
      </c>
      <c r="BC193" s="172">
        <f ca="1">(VLOOKUP(BC$72,INDIRECT($C$5&amp;"生成成长"),2))/((VLOOKUP($B193,INDIRECT($B$5&amp;"生成成长"),4))/(VLOOKUP(BC$72,INDIRECT($C$5&amp;"生成成长"),5))*(VLOOKUP($B$5,标准坦克设计!$B$24:$U$30,MATCH("对"&amp;LEFT($C$5,2)&amp;"输出",标准坦克设计!$B$23:$U$23,0)))*(VLOOKUP($B193,INDIRECT($B$5&amp;"生成成长"),3))*(VLOOKUP($B$5,标准坦克设计!$B$14:$K$20,9)/30))</f>
        <v>4.965054813568484</v>
      </c>
      <c r="BD193" s="172">
        <f ca="1">(VLOOKUP(BD$72,INDIRECT($C$5&amp;"生成成长"),2))/((VLOOKUP($B193,INDIRECT($B$5&amp;"生成成长"),4))/(VLOOKUP(BD$72,INDIRECT($C$5&amp;"生成成长"),5))*(VLOOKUP($B$5,标准坦克设计!$B$24:$U$30,MATCH("对"&amp;LEFT($C$5,2)&amp;"输出",标准坦克设计!$B$23:$U$23,0)))*(VLOOKUP($B193,INDIRECT($B$5&amp;"生成成长"),3))*(VLOOKUP($B$5,标准坦克设计!$B$14:$K$20,9)/30))</f>
        <v>5.4919646139382667</v>
      </c>
      <c r="BE193" s="172">
        <f ca="1">(VLOOKUP(BE$72,INDIRECT($C$5&amp;"生成成长"),2))/((VLOOKUP($B193,INDIRECT($B$5&amp;"生成成长"),4))/(VLOOKUP(BE$72,INDIRECT($C$5&amp;"生成成长"),5))*(VLOOKUP($B$5,标准坦克设计!$B$24:$U$30,MATCH("对"&amp;LEFT($C$5,2)&amp;"输出",标准坦克设计!$B$23:$U$23,0)))*(VLOOKUP($B193,INDIRECT($B$5&amp;"生成成长"),3))*(VLOOKUP($B$5,标准坦克设计!$B$14:$K$20,9)/30))</f>
        <v>6.0454412949989624</v>
      </c>
      <c r="BF193" s="172">
        <f ca="1">(VLOOKUP(BF$72,INDIRECT($C$5&amp;"生成成长"),2))/((VLOOKUP($B193,INDIRECT($B$5&amp;"生成成长"),4))/(VLOOKUP(BF$72,INDIRECT($C$5&amp;"生成成长"),5))*(VLOOKUP($B$5,标准坦克设计!$B$24:$U$30,MATCH("对"&amp;LEFT($C$5,2)&amp;"输出",标准坦克设计!$B$23:$U$23,0)))*(VLOOKUP($B193,INDIRECT($B$5&amp;"生成成长"),3))*(VLOOKUP($B$5,标准坦克设计!$B$14:$K$20,9)/30))</f>
        <v>6.6254848567505737</v>
      </c>
      <c r="BG193" s="172">
        <f ca="1">(VLOOKUP(BG$72,INDIRECT($C$5&amp;"生成成长"),2))/((VLOOKUP($B193,INDIRECT($B$5&amp;"生成成长"),4))/(VLOOKUP(BG$72,INDIRECT($C$5&amp;"生成成长"),5))*(VLOOKUP($B$5,标准坦克设计!$B$24:$U$30,MATCH("对"&amp;LEFT($C$5,2)&amp;"输出",标准坦克设计!$B$23:$U$23,0)))*(VLOOKUP($B193,INDIRECT($B$5&amp;"生成成长"),3))*(VLOOKUP($B$5,标准坦克设计!$B$14:$K$20,9)/30))</f>
        <v>7.2320952991930954</v>
      </c>
      <c r="BH193" s="172">
        <f ca="1">(VLOOKUP(BH$72,INDIRECT($C$5&amp;"生成成长"),2))/((VLOOKUP($B193,INDIRECT($B$5&amp;"生成成长"),4))/(VLOOKUP(BH$72,INDIRECT($C$5&amp;"生成成长"),5))*(VLOOKUP($B$5,标准坦克设计!$B$24:$U$30,MATCH("对"&amp;LEFT($C$5,2)&amp;"输出",标准坦克设计!$B$23:$U$23,0)))*(VLOOKUP($B193,INDIRECT($B$5&amp;"生成成长"),3))*(VLOOKUP($B$5,标准坦克设计!$B$14:$K$20,9)/30))</f>
        <v>3.4956767210340138</v>
      </c>
      <c r="BI193" s="172">
        <f ca="1">(VLOOKUP(BI$72,INDIRECT($C$5&amp;"生成成长"),2))/((VLOOKUP($B193,INDIRECT($B$5&amp;"生成成长"),4))/(VLOOKUP(BI$72,INDIRECT($C$5&amp;"生成成长"),5))*(VLOOKUP($B$5,标准坦克设计!$B$24:$U$30,MATCH("对"&amp;LEFT($C$5,2)&amp;"输出",标准坦克设计!$B$23:$U$23,0)))*(VLOOKUP($B193,INDIRECT($B$5&amp;"生成成长"),3))*(VLOOKUP($B$5,标准坦克设计!$B$14:$K$20,9)/30))</f>
        <v>3.9399340036987334</v>
      </c>
      <c r="BJ193" s="172">
        <f ca="1">(VLOOKUP(BJ$72,INDIRECT($C$5&amp;"生成成长"),2))/((VLOOKUP($B193,INDIRECT($B$5&amp;"生成成长"),4))/(VLOOKUP(BJ$72,INDIRECT($C$5&amp;"生成成长"),5))*(VLOOKUP($B$5,标准坦克设计!$B$24:$U$30,MATCH("对"&amp;LEFT($C$5,2)&amp;"输出",标准坦克设计!$B$23:$U$23,0)))*(VLOOKUP($B193,INDIRECT($B$5&amp;"生成成长"),3))*(VLOOKUP($B$5,标准坦克设计!$B$14:$K$20,9)/30))</f>
        <v>4.4107581670543654</v>
      </c>
      <c r="BK193" s="172">
        <f ca="1">(VLOOKUP(BK$72,INDIRECT($C$5&amp;"生成成长"),2))/((VLOOKUP($B193,INDIRECT($B$5&amp;"生成成长"),4))/(VLOOKUP(BK$72,INDIRECT($C$5&amp;"生成成长"),5))*(VLOOKUP($B$5,标准坦克设计!$B$24:$U$30,MATCH("对"&amp;LEFT($C$5,2)&amp;"输出",标准坦克设计!$B$23:$U$23,0)))*(VLOOKUP($B193,INDIRECT($B$5&amp;"生成成长"),3))*(VLOOKUP($B$5,标准坦克设计!$B$14:$K$20,9)/30))</f>
        <v>4.9081492111009108</v>
      </c>
      <c r="BL193" s="172">
        <f ca="1">(VLOOKUP(BL$72,INDIRECT($C$5&amp;"生成成长"),2))/((VLOOKUP($B193,INDIRECT($B$5&amp;"生成成长"),4))/(VLOOKUP(BL$72,INDIRECT($C$5&amp;"生成成长"),5))*(VLOOKUP($B$5,标准坦克设计!$B$24:$U$30,MATCH("对"&amp;LEFT($C$5,2)&amp;"输出",标准坦克设计!$B$23:$U$23,0)))*(VLOOKUP($B193,INDIRECT($B$5&amp;"生成成长"),3))*(VLOOKUP($B$5,标准坦克设计!$B$14:$K$20,9)/30))</f>
        <v>5.4321071358383692</v>
      </c>
      <c r="BM193" s="172">
        <f ca="1">(VLOOKUP(BM$72,INDIRECT($C$5&amp;"生成成长"),2))/((VLOOKUP($B193,INDIRECT($B$5&amp;"生成成长"),4))/(VLOOKUP(BM$72,INDIRECT($C$5&amp;"生成成长"),5))*(VLOOKUP($B$5,标准坦克设计!$B$24:$U$30,MATCH("对"&amp;LEFT($C$5,2)&amp;"输出",标准坦克设计!$B$23:$U$23,0)))*(VLOOKUP($B193,INDIRECT($B$5&amp;"生成成长"),3))*(VLOOKUP($B$5,标准坦克设计!$B$14:$K$20,9)/30))</f>
        <v>5.9826319412667424</v>
      </c>
      <c r="BN193" s="172">
        <f ca="1">(VLOOKUP(BN$72,INDIRECT($C$5&amp;"生成成长"),2))/((VLOOKUP($B193,INDIRECT($B$5&amp;"生成成长"),4))/(VLOOKUP(BN$72,INDIRECT($C$5&amp;"生成成长"),5))*(VLOOKUP($B$5,标准坦克设计!$B$24:$U$30,MATCH("对"&amp;LEFT($C$5,2)&amp;"输出",标准坦克设计!$B$23:$U$23,0)))*(VLOOKUP($B193,INDIRECT($B$5&amp;"生成成长"),3))*(VLOOKUP($B$5,标准坦克设计!$B$14:$K$20,9)/30))</f>
        <v>6.5597236273860284</v>
      </c>
      <c r="BO193" s="172">
        <f ca="1">(VLOOKUP(BO$72,INDIRECT($C$5&amp;"生成成长"),2))/((VLOOKUP($B193,INDIRECT($B$5&amp;"生成成长"),4))/(VLOOKUP(BO$72,INDIRECT($C$5&amp;"生成成长"),5))*(VLOOKUP($B$5,标准坦克设计!$B$24:$U$30,MATCH("对"&amp;LEFT($C$5,2)&amp;"输出",标准坦克设计!$B$23:$U$23,0)))*(VLOOKUP($B193,INDIRECT($B$5&amp;"生成成长"),3))*(VLOOKUP($B$5,标准坦克设计!$B$14:$K$20,9)/30))</f>
        <v>7.1633821941962257</v>
      </c>
      <c r="BP193" s="172">
        <f ca="1">(VLOOKUP(BP$72,INDIRECT($C$5&amp;"生成成长"),2))/((VLOOKUP($B193,INDIRECT($B$5&amp;"生成成长"),4))/(VLOOKUP(BP$72,INDIRECT($C$5&amp;"生成成长"),5))*(VLOOKUP($B$5,标准坦克设计!$B$24:$U$30,MATCH("对"&amp;LEFT($C$5,2)&amp;"输出",标准坦克设计!$B$23:$U$23,0)))*(VLOOKUP($B193,INDIRECT($B$5&amp;"生成成长"),3))*(VLOOKUP($B$5,标准坦克设计!$B$14:$K$20,9)/30))</f>
        <v>7.7936076416973403</v>
      </c>
      <c r="BQ193" s="172">
        <f ca="1">(VLOOKUP(BQ$72,INDIRECT($C$5&amp;"生成成长"),2))/((VLOOKUP($B193,INDIRECT($B$5&amp;"生成成长"),4))/(VLOOKUP(BQ$72,INDIRECT($C$5&amp;"生成成长"),5))*(VLOOKUP($B$5,标准坦克设计!$B$24:$U$30,MATCH("对"&amp;LEFT($C$5,2)&amp;"输出",标准坦克设计!$B$23:$U$23,0)))*(VLOOKUP($B193,INDIRECT($B$5&amp;"生成成长"),3))*(VLOOKUP($B$5,标准坦克设计!$B$14:$K$20,9)/30))</f>
        <v>8.4503999698893644</v>
      </c>
      <c r="BR193" s="172">
        <f ca="1">(VLOOKUP(BR$72,INDIRECT($C$5&amp;"生成成长"),2))/((VLOOKUP($B193,INDIRECT($B$5&amp;"生成成长"),4))/(VLOOKUP(BR$72,INDIRECT($C$5&amp;"生成成长"),5))*(VLOOKUP($B$5,标准坦克设计!$B$24:$U$30,MATCH("对"&amp;LEFT($C$5,2)&amp;"输出",标准坦克设计!$B$23:$U$23,0)))*(VLOOKUP($B193,INDIRECT($B$5&amp;"生成成长"),3))*(VLOOKUP($B$5,标准坦克设计!$B$14:$K$20,9)/30))</f>
        <v>9.2113279106661459</v>
      </c>
      <c r="BS193" s="172">
        <f ca="1">(VLOOKUP(BS$72,INDIRECT($C$5&amp;"生成成长"),2))/((VLOOKUP($B193,INDIRECT($B$5&amp;"生成成长"),4))/(VLOOKUP(BS$72,INDIRECT($C$5&amp;"生成成长"),5))*(VLOOKUP($B$5,标准坦克设计!$B$24:$U$30,MATCH("对"&amp;LEFT($C$5,2)&amp;"输出",标准坦克设计!$B$23:$U$23,0)))*(VLOOKUP($B193,INDIRECT($B$5&amp;"生成成长"),3))*(VLOOKUP($B$5,标准坦克设计!$B$14:$K$20,9)/30))</f>
        <v>10.005054469579854</v>
      </c>
      <c r="BT193" s="172">
        <f ca="1">(VLOOKUP(BT$72,INDIRECT($C$5&amp;"生成成长"),2))/((VLOOKUP($B193,INDIRECT($B$5&amp;"生成成长"),4))/(VLOOKUP(BT$72,INDIRECT($C$5&amp;"生成成长"),5))*(VLOOKUP($B$5,标准坦克设计!$B$24:$U$30,MATCH("对"&amp;LEFT($C$5,2)&amp;"输出",标准坦克设计!$B$23:$U$23,0)))*(VLOOKUP($B193,INDIRECT($B$5&amp;"生成成长"),3))*(VLOOKUP($B$5,标准坦克设计!$B$14:$K$20,9)/30))</f>
        <v>10.831579646630493</v>
      </c>
      <c r="BU193" s="172">
        <f ca="1">(VLOOKUP(BU$72,INDIRECT($C$5&amp;"生成成长"),2))/((VLOOKUP($B193,INDIRECT($B$5&amp;"生成成长"),4))/(VLOOKUP(BU$72,INDIRECT($C$5&amp;"生成成长"),5))*(VLOOKUP($B$5,标准坦克设计!$B$24:$U$30,MATCH("对"&amp;LEFT($C$5,2)&amp;"输出",标准坦克设计!$B$23:$U$23,0)))*(VLOOKUP($B193,INDIRECT($B$5&amp;"生成成长"),3))*(VLOOKUP($B$5,标准坦克设计!$B$14:$K$20,9)/30))</f>
        <v>11.690903441818064</v>
      </c>
      <c r="BV193" s="172">
        <f ca="1">(VLOOKUP(BV$72,INDIRECT($C$5&amp;"生成成长"),2))/((VLOOKUP($B193,INDIRECT($B$5&amp;"生成成长"),4))/(VLOOKUP(BV$72,INDIRECT($C$5&amp;"生成成长"),5))*(VLOOKUP($B$5,标准坦克设计!$B$24:$U$30,MATCH("对"&amp;LEFT($C$5,2)&amp;"输出",标准坦克设计!$B$23:$U$23,0)))*(VLOOKUP($B193,INDIRECT($B$5&amp;"生成成长"),3))*(VLOOKUP($B$5,标准坦克设计!$B$14:$K$20,9)/30))</f>
        <v>12.583025855142562</v>
      </c>
      <c r="BW193" s="172">
        <f ca="1">(VLOOKUP(BW$72,INDIRECT($C$5&amp;"生成成长"),2))/((VLOOKUP($B193,INDIRECT($B$5&amp;"生成成长"),4))/(VLOOKUP(BW$72,INDIRECT($C$5&amp;"生成成长"),5))*(VLOOKUP($B$5,标准坦克设计!$B$24:$U$30,MATCH("对"&amp;LEFT($C$5,2)&amp;"输出",标准坦克设计!$B$23:$U$23,0)))*(VLOOKUP($B193,INDIRECT($B$5&amp;"生成成长"),3))*(VLOOKUP($B$5,标准坦克设计!$B$14:$K$20,9)/30))</f>
        <v>5.7346743881515492</v>
      </c>
      <c r="BX193" s="172">
        <f ca="1">(VLOOKUP(BX$72,INDIRECT($C$5&amp;"生成成长"),2))/((VLOOKUP($B193,INDIRECT($B$5&amp;"生成成长"),4))/(VLOOKUP(BX$72,INDIRECT($C$5&amp;"生成成长"),5))*(VLOOKUP($B$5,标准坦克设计!$B$24:$U$30,MATCH("对"&amp;LEFT($C$5,2)&amp;"输出",标准坦克设计!$B$23:$U$23,0)))*(VLOOKUP($B193,INDIRECT($B$5&amp;"生成成长"),3))*(VLOOKUP($B$5,标准坦克设计!$B$14:$K$20,9)/30))</f>
        <v>6.3644078563806099</v>
      </c>
      <c r="BY193" s="172">
        <f ca="1">(VLOOKUP(BY$72,INDIRECT($C$5&amp;"生成成长"),2))/((VLOOKUP($B193,INDIRECT($B$5&amp;"生成成长"),4))/(VLOOKUP(BY$72,INDIRECT($C$5&amp;"生成成长"),5))*(VLOOKUP($B$5,标准坦克设计!$B$24:$U$30,MATCH("对"&amp;LEFT($C$5,2)&amp;"输出",标准坦克设计!$B$23:$U$23,0)))*(VLOOKUP($B193,INDIRECT($B$5&amp;"生成成长"),3))*(VLOOKUP($B$5,标准坦克设计!$B$14:$K$20,9)/30))</f>
        <v>7.0269399427465977</v>
      </c>
      <c r="BZ193" s="172">
        <f ca="1">(VLOOKUP(BZ$72,INDIRECT($C$5&amp;"生成成长"),2))/((VLOOKUP($B193,INDIRECT($B$5&amp;"生成成长"),4))/(VLOOKUP(BZ$72,INDIRECT($C$5&amp;"生成成长"),5))*(VLOOKUP($B$5,标准坦克设计!$B$24:$U$30,MATCH("对"&amp;LEFT($C$5,2)&amp;"输出",标准坦克设计!$B$23:$U$23,0)))*(VLOOKUP($B193,INDIRECT($B$5&amp;"生成成长"),3))*(VLOOKUP($B$5,标准坦克设计!$B$14:$K$20,9)/30))</f>
        <v>7.7222706472495171</v>
      </c>
      <c r="CA193" s="172">
        <f ca="1">(VLOOKUP(CA$72,INDIRECT($C$5&amp;"生成成长"),2))/((VLOOKUP($B193,INDIRECT($B$5&amp;"生成成长"),4))/(VLOOKUP(CA$72,INDIRECT($C$5&amp;"生成成长"),5))*(VLOOKUP($B$5,标准坦克设计!$B$24:$U$30,MATCH("对"&amp;LEFT($C$5,2)&amp;"输出",标准坦克设计!$B$23:$U$23,0)))*(VLOOKUP($B193,INDIRECT($B$5&amp;"生成成长"),3))*(VLOOKUP($B$5,标准坦克设计!$B$14:$K$20,9)/30))</f>
        <v>8.4503999698893644</v>
      </c>
      <c r="CB193" s="172">
        <f ca="1">(VLOOKUP(CB$72,INDIRECT($C$5&amp;"生成成长"),2))/((VLOOKUP($B193,INDIRECT($B$5&amp;"生成成长"),4))/(VLOOKUP(CB$72,INDIRECT($C$5&amp;"生成成长"),5))*(VLOOKUP($B$5,标准坦克设计!$B$24:$U$30,MATCH("对"&amp;LEFT($C$5,2)&amp;"输出",标准坦克设计!$B$23:$U$23,0)))*(VLOOKUP($B193,INDIRECT($B$5&amp;"生成成长"),3))*(VLOOKUP($B$5,标准坦克设计!$B$14:$K$20,9)/30))</f>
        <v>9.2113279106661459</v>
      </c>
      <c r="CC193" s="172">
        <f ca="1">(VLOOKUP(CC$72,INDIRECT($C$5&amp;"生成成长"),2))/((VLOOKUP($B193,INDIRECT($B$5&amp;"生成成长"),4))/(VLOOKUP(CC$72,INDIRECT($C$5&amp;"生成成长"),5))*(VLOOKUP($B$5,标准坦克设计!$B$24:$U$30,MATCH("对"&amp;LEFT($C$5,2)&amp;"输出",标准坦克设计!$B$23:$U$23,0)))*(VLOOKUP($B193,INDIRECT($B$5&amp;"生成成长"),3))*(VLOOKUP($B$5,标准坦克设计!$B$14:$K$20,9)/30))</f>
        <v>10.005054469579854</v>
      </c>
      <c r="CD193" s="172">
        <f ca="1">(VLOOKUP(CD$72,INDIRECT($C$5&amp;"生成成长"),2))/((VLOOKUP($B193,INDIRECT($B$5&amp;"生成成长"),4))/(VLOOKUP(CD$72,INDIRECT($C$5&amp;"生成成长"),5))*(VLOOKUP($B$5,标准坦克设计!$B$24:$U$30,MATCH("对"&amp;LEFT($C$5,2)&amp;"输出",标准坦克设计!$B$23:$U$23,0)))*(VLOOKUP($B193,INDIRECT($B$5&amp;"生成成长"),3))*(VLOOKUP($B$5,标准坦克设计!$B$14:$K$20,9)/30))</f>
        <v>10.831579646630493</v>
      </c>
      <c r="CE193" s="172">
        <f ca="1">(VLOOKUP(CE$72,INDIRECT($C$5&amp;"生成成长"),2))/((VLOOKUP($B193,INDIRECT($B$5&amp;"生成成长"),4))/(VLOOKUP(CE$72,INDIRECT($C$5&amp;"生成成长"),5))*(VLOOKUP($B$5,标准坦克设计!$B$24:$U$30,MATCH("对"&amp;LEFT($C$5,2)&amp;"输出",标准坦克设计!$B$23:$U$23,0)))*(VLOOKUP($B193,INDIRECT($B$5&amp;"生成成长"),3))*(VLOOKUP($B$5,标准坦克设计!$B$14:$K$20,9)/30))</f>
        <v>11.690903441818064</v>
      </c>
      <c r="CF193" s="172">
        <f ca="1">(VLOOKUP(CF$72,INDIRECT($C$5&amp;"生成成长"),2))/((VLOOKUP($B193,INDIRECT($B$5&amp;"生成成长"),4))/(VLOOKUP(CF$72,INDIRECT($C$5&amp;"生成成长"),5))*(VLOOKUP($B$5,标准坦克设计!$B$24:$U$30,MATCH("对"&amp;LEFT($C$5,2)&amp;"输出",标准坦克设计!$B$23:$U$23,0)))*(VLOOKUP($B193,INDIRECT($B$5&amp;"生成成长"),3))*(VLOOKUP($B$5,标准坦克设计!$B$14:$K$20,9)/30))</f>
        <v>12.583025855142562</v>
      </c>
      <c r="CG193" s="172">
        <f ca="1">(VLOOKUP(CG$72,INDIRECT($C$5&amp;"生成成长"),2))/((VLOOKUP($B193,INDIRECT($B$5&amp;"生成成长"),4))/(VLOOKUP(CG$72,INDIRECT($C$5&amp;"生成成长"),5))*(VLOOKUP($B$5,标准坦克设计!$B$24:$U$30,MATCH("对"&amp;LEFT($C$5,2)&amp;"输出",标准坦克设计!$B$23:$U$23,0)))*(VLOOKUP($B193,INDIRECT($B$5&amp;"生成成长"),3))*(VLOOKUP($B$5,标准坦克设计!$B$14:$K$20,9)/30))</f>
        <v>13.507946886603994</v>
      </c>
      <c r="CH193" s="172">
        <f ca="1">(VLOOKUP(CH$72,INDIRECT($C$5&amp;"生成成长"),2))/((VLOOKUP($B193,INDIRECT($B$5&amp;"生成成长"),4))/(VLOOKUP(CH$72,INDIRECT($C$5&amp;"生成成长"),5))*(VLOOKUP($B$5,标准坦克设计!$B$24:$U$30,MATCH("对"&amp;LEFT($C$5,2)&amp;"输出",标准坦克设计!$B$23:$U$23,0)))*(VLOOKUP($B193,INDIRECT($B$5&amp;"生成成长"),3))*(VLOOKUP($B$5,标准坦克设计!$B$14:$K$20,9)/30))</f>
        <v>14.465666536202352</v>
      </c>
      <c r="CI193" s="172">
        <f ca="1">(VLOOKUP(CI$72,INDIRECT($C$5&amp;"生成成长"),2))/((VLOOKUP($B193,INDIRECT($B$5&amp;"生成成长"),4))/(VLOOKUP(CI$72,INDIRECT($C$5&amp;"生成成长"),5))*(VLOOKUP($B$5,标准坦克设计!$B$24:$U$30,MATCH("对"&amp;LEFT($C$5,2)&amp;"输出",标准坦克设计!$B$23:$U$23,0)))*(VLOOKUP($B193,INDIRECT($B$5&amp;"生成成长"),3))*(VLOOKUP($B$5,标准坦克设计!$B$14:$K$20,9)/30))</f>
        <v>15.557040554708705</v>
      </c>
      <c r="CJ193" s="172">
        <f ca="1">(VLOOKUP(CJ$72,INDIRECT($C$5&amp;"生成成长"),2))/((VLOOKUP($B193,INDIRECT($B$5&amp;"生成成长"),4))/(VLOOKUP(CJ$72,INDIRECT($C$5&amp;"生成成长"),5))*(VLOOKUP($B$5,标准坦克设计!$B$24:$U$30,MATCH("对"&amp;LEFT($C$5,2)&amp;"输出",标准坦克设计!$B$23:$U$23,0)))*(VLOOKUP($B193,INDIRECT($B$5&amp;"生成成长"),3))*(VLOOKUP($B$5,标准坦克设计!$B$14:$K$20,9)/30))</f>
        <v>16.688100901160741</v>
      </c>
      <c r="CK193" s="172">
        <f ca="1">(VLOOKUP(CK$72,INDIRECT($C$5&amp;"生成成长"),2))/((VLOOKUP($B193,INDIRECT($B$5&amp;"生成成长"),4))/(VLOOKUP(CK$72,INDIRECT($C$5&amp;"生成成长"),5))*(VLOOKUP($B$5,标准坦克设计!$B$24:$U$30,MATCH("对"&amp;LEFT($C$5,2)&amp;"输出",标准坦克设计!$B$23:$U$23,0)))*(VLOOKUP($B193,INDIRECT($B$5&amp;"生成成长"),3))*(VLOOKUP($B$5,标准坦克设计!$B$14:$K$20,9)/30))</f>
        <v>17.85884757555846</v>
      </c>
      <c r="CL193" s="172">
        <f ca="1">(VLOOKUP(CL$72,INDIRECT($C$5&amp;"生成成长"),2))/((VLOOKUP($B193,INDIRECT($B$5&amp;"生成成长"),4))/(VLOOKUP(CL$72,INDIRECT($C$5&amp;"生成成长"),5))*(VLOOKUP($B$5,标准坦克设计!$B$24:$U$30,MATCH("对"&amp;LEFT($C$5,2)&amp;"输出",标准坦克设计!$B$23:$U$23,0)))*(VLOOKUP($B193,INDIRECT($B$5&amp;"生成成长"),3))*(VLOOKUP($B$5,标准坦克设计!$B$14:$K$20,9)/30))</f>
        <v>19.069280577901871</v>
      </c>
      <c r="CM193" s="172">
        <f ca="1">(VLOOKUP(CM$72,INDIRECT($C$5&amp;"生成成长"),2))/((VLOOKUP($B193,INDIRECT($B$5&amp;"生成成长"),4))/(VLOOKUP(CM$72,INDIRECT($C$5&amp;"生成成长"),5))*(VLOOKUP($B$5,标准坦克设计!$B$24:$U$30,MATCH("对"&amp;LEFT($C$5,2)&amp;"输出",标准坦克设计!$B$23:$U$23,0)))*(VLOOKUP($B193,INDIRECT($B$5&amp;"生成成长"),3))*(VLOOKUP($B$5,标准坦克设计!$B$14:$K$20,9)/30))</f>
        <v>20.319399908190956</v>
      </c>
      <c r="CN193" s="172">
        <f ca="1">(VLOOKUP(CN$72,INDIRECT($C$5&amp;"生成成长"),2))/((VLOOKUP($B193,INDIRECT($B$5&amp;"生成成长"),4))/(VLOOKUP(CN$72,INDIRECT($C$5&amp;"生成成长"),5))*(VLOOKUP($B$5,标准坦克设计!$B$24:$U$30,MATCH("对"&amp;LEFT($C$5,2)&amp;"输出",标准坦克设计!$B$23:$U$23,0)))*(VLOOKUP($B193,INDIRECT($B$5&amp;"生成成长"),3))*(VLOOKUP($B$5,标准坦克设计!$B$14:$K$20,9)/30))</f>
        <v>21.609205566425739</v>
      </c>
      <c r="CO193" s="172">
        <f ca="1">(VLOOKUP(CO$72,INDIRECT($C$5&amp;"生成成长"),2))/((VLOOKUP($B193,INDIRECT($B$5&amp;"生成成长"),4))/(VLOOKUP(CO$72,INDIRECT($C$5&amp;"生成成长"),5))*(VLOOKUP($B$5,标准坦克设计!$B$24:$U$30,MATCH("对"&amp;LEFT($C$5,2)&amp;"输出",标准坦克设计!$B$23:$U$23,0)))*(VLOOKUP($B193,INDIRECT($B$5&amp;"生成成长"),3))*(VLOOKUP($B$5,标准坦克设计!$B$14:$K$20,9)/30))</f>
        <v>9.6836280118379392</v>
      </c>
      <c r="CP193" s="172">
        <f ca="1">(VLOOKUP(CP$72,INDIRECT($C$5&amp;"生成成长"),2))/((VLOOKUP($B193,INDIRECT($B$5&amp;"生成成长"),4))/(VLOOKUP(CP$72,INDIRECT($C$5&amp;"生成成长"),5))*(VLOOKUP($B$5,标准坦克设计!$B$24:$U$30,MATCH("对"&amp;LEFT($C$5,2)&amp;"输出",标准坦克设计!$B$23:$U$23,0)))*(VLOOKUP($B193,INDIRECT($B$5&amp;"生成成长"),3))*(VLOOKUP($B$5,标准坦克设计!$B$14:$K$20,9)/30))</f>
        <v>10.580178238610925</v>
      </c>
      <c r="CQ193" s="172">
        <f ca="1">(VLOOKUP(CQ$72,INDIRECT($C$5&amp;"生成成长"),2))/((VLOOKUP($B193,INDIRECT($B$5&amp;"生成成长"),4))/(VLOOKUP(CQ$72,INDIRECT($C$5&amp;"生成成长"),5))*(VLOOKUP($B$5,标准坦克设计!$B$24:$U$30,MATCH("对"&amp;LEFT($C$5,2)&amp;"输出",标准坦克设计!$B$23:$U$23,0)))*(VLOOKUP($B193,INDIRECT($B$5&amp;"生成成长"),3))*(VLOOKUP($B$5,标准坦克设计!$B$14:$K$20,9)/30))</f>
        <v>11.516414793329595</v>
      </c>
      <c r="CR193" s="172">
        <f ca="1">(VLOOKUP(CR$72,INDIRECT($C$5&amp;"生成成长"),2))/((VLOOKUP($B193,INDIRECT($B$5&amp;"生成成长"),4))/(VLOOKUP(CR$72,INDIRECT($C$5&amp;"生成成长"),5))*(VLOOKUP($B$5,标准坦克设计!$B$24:$U$30,MATCH("对"&amp;LEFT($C$5,2)&amp;"输出",标准坦克设计!$B$23:$U$23,0)))*(VLOOKUP($B193,INDIRECT($B$5&amp;"生成成长"),3))*(VLOOKUP($B$5,标准坦克设计!$B$14:$K$20,9)/30))</f>
        <v>12.492337675993952</v>
      </c>
      <c r="CS193" s="172">
        <f ca="1">(VLOOKUP(CS$72,INDIRECT($C$5&amp;"生成成长"),2))/((VLOOKUP($B193,INDIRECT($B$5&amp;"生成成长"),4))/(VLOOKUP(CS$72,INDIRECT($C$5&amp;"生成成长"),5))*(VLOOKUP($B$5,标准坦克设计!$B$24:$U$30,MATCH("对"&amp;LEFT($C$5,2)&amp;"输出",标准坦克设计!$B$23:$U$23,0)))*(VLOOKUP($B193,INDIRECT($B$5&amp;"生成成长"),3))*(VLOOKUP($B$5,标准坦克设计!$B$14:$K$20,9)/30))</f>
        <v>13.507946886603994</v>
      </c>
      <c r="CT193" s="172">
        <f ca="1">(VLOOKUP(CT$72,INDIRECT($C$5&amp;"生成成长"),2))/((VLOOKUP($B193,INDIRECT($B$5&amp;"生成成长"),4))/(VLOOKUP(CT$72,INDIRECT($C$5&amp;"生成成长"),5))*(VLOOKUP($B$5,标准坦克设计!$B$24:$U$30,MATCH("对"&amp;LEFT($C$5,2)&amp;"输出",标准坦克设计!$B$23:$U$23,0)))*(VLOOKUP($B193,INDIRECT($B$5&amp;"生成成长"),3))*(VLOOKUP($B$5,标准坦克设计!$B$14:$K$20,9)/30))</f>
        <v>14.563242425159721</v>
      </c>
      <c r="CU193" s="172">
        <f ca="1">(VLOOKUP(CU$72,INDIRECT($C$5&amp;"生成成长"),2))/((VLOOKUP($B193,INDIRECT($B$5&amp;"生成成长"),4))/(VLOOKUP(CU$72,INDIRECT($C$5&amp;"生成成长"),5))*(VLOOKUP($B$5,标准坦克设计!$B$24:$U$30,MATCH("对"&amp;LEFT($C$5,2)&amp;"输出",标准坦克设计!$B$23:$U$23,0)))*(VLOOKUP($B193,INDIRECT($B$5&amp;"生成成长"),3))*(VLOOKUP($B$5,标准坦克设计!$B$14:$K$20,9)/30))</f>
        <v>15.658224291661133</v>
      </c>
      <c r="CV193" s="172">
        <f ca="1">(VLOOKUP(CV$72,INDIRECT($C$5&amp;"生成成长"),2))/((VLOOKUP($B193,INDIRECT($B$5&amp;"生成成长"),4))/(VLOOKUP(CV$72,INDIRECT($C$5&amp;"生成成长"),5))*(VLOOKUP($B$5,标准坦克设计!$B$24:$U$30,MATCH("对"&amp;LEFT($C$5,2)&amp;"输出",标准坦克设计!$B$23:$U$23,0)))*(VLOOKUP($B193,INDIRECT($B$5&amp;"生成成长"),3))*(VLOOKUP($B$5,标准坦克设计!$B$14:$K$20,9)/30))</f>
        <v>16.792892486108233</v>
      </c>
      <c r="CW193" s="172">
        <f ca="1">(VLOOKUP(CW$72,INDIRECT($C$5&amp;"生成成长"),2))/((VLOOKUP($B193,INDIRECT($B$5&amp;"生成成长"),4))/(VLOOKUP(CW$72,INDIRECT($C$5&amp;"生成成长"),5))*(VLOOKUP($B$5,标准坦克设计!$B$24:$U$30,MATCH("对"&amp;LEFT($C$5,2)&amp;"输出",标准坦克设计!$B$23:$U$23,0)))*(VLOOKUP($B193,INDIRECT($B$5&amp;"生成成长"),3))*(VLOOKUP($B$5,标准坦克设计!$B$14:$K$20,9)/30))</f>
        <v>17.967247008501019</v>
      </c>
      <c r="CX193" s="172">
        <f ca="1">(VLOOKUP(CX$72,INDIRECT($C$5&amp;"生成成长"),2))/((VLOOKUP($B193,INDIRECT($B$5&amp;"生成成长"),4))/(VLOOKUP(CX$72,INDIRECT($C$5&amp;"生成成长"),5))*(VLOOKUP($B$5,标准坦克设计!$B$24:$U$30,MATCH("对"&amp;LEFT($C$5,2)&amp;"输出",标准坦克设计!$B$23:$U$23,0)))*(VLOOKUP($B193,INDIRECT($B$5&amp;"生成成长"),3))*(VLOOKUP($B$5,标准坦克设计!$B$14:$K$20,9)/30))</f>
        <v>19.181287858839482</v>
      </c>
      <c r="CY193" s="172">
        <f ca="1">(VLOOKUP(CY$72,INDIRECT($C$5&amp;"生成成长"),2))/((VLOOKUP($B193,INDIRECT($B$5&amp;"生成成长"),4))/(VLOOKUP(CY$72,INDIRECT($C$5&amp;"生成成长"),5))*(VLOOKUP($B$5,标准坦克设计!$B$24:$U$30,MATCH("对"&amp;LEFT($C$5,2)&amp;"输出",标准坦克设计!$B$23:$U$23,0)))*(VLOOKUP($B193,INDIRECT($B$5&amp;"生成成长"),3))*(VLOOKUP($B$5,标准坦克设计!$B$14:$K$20,9)/30))</f>
        <v>20.435015037123641</v>
      </c>
      <c r="CZ193" s="172">
        <f ca="1">(VLOOKUP(CZ$72,INDIRECT($C$5&amp;"生成成长"),2))/((VLOOKUP($B193,INDIRECT($B$5&amp;"生成成长"),4))/(VLOOKUP(CZ$72,INDIRECT($C$5&amp;"生成成长"),5))*(VLOOKUP($B$5,标准坦克设计!$B$24:$U$30,MATCH("对"&amp;LEFT($C$5,2)&amp;"输出",标准坦克设计!$B$23:$U$23,0)))*(VLOOKUP($B193,INDIRECT($B$5&amp;"生成成长"),3))*(VLOOKUP($B$5,标准坦克设计!$B$14:$K$20,9)/30))</f>
        <v>21.728428543353477</v>
      </c>
      <c r="DA193" s="172">
        <f ca="1">(VLOOKUP(DA$72,INDIRECT($C$5&amp;"生成成长"),2))/((VLOOKUP($B193,INDIRECT($B$5&amp;"生成成长"),4))/(VLOOKUP(DA$72,INDIRECT($C$5&amp;"生成成长"),5))*(VLOOKUP($B$5,标准坦克设计!$B$24:$U$30,MATCH("对"&amp;LEFT($C$5,2)&amp;"输出",标准坦克设计!$B$23:$U$23,0)))*(VLOOKUP($B193,INDIRECT($B$5&amp;"生成成长"),3))*(VLOOKUP($B$5,标准坦克设计!$B$14:$K$20,9)/30))</f>
        <v>23.061528377529005</v>
      </c>
      <c r="DB193" s="172">
        <f ca="1">(VLOOKUP(DB$72,INDIRECT($C$5&amp;"生成成长"),2))/((VLOOKUP($B193,INDIRECT($B$5&amp;"生成成长"),4))/(VLOOKUP(DB$72,INDIRECT($C$5&amp;"生成成长"),5))*(VLOOKUP($B$5,标准坦克设计!$B$24:$U$30,MATCH("对"&amp;LEFT($C$5,2)&amp;"输出",标准坦克设计!$B$23:$U$23,0)))*(VLOOKUP($B193,INDIRECT($B$5&amp;"生成成长"),3))*(VLOOKUP($B$5,标准坦克设计!$B$14:$K$20,9)/30))</f>
        <v>24.434314539650213</v>
      </c>
      <c r="DC193" s="172">
        <f ca="1">(VLOOKUP(DC$72,INDIRECT($C$5&amp;"生成成长"),2))/((VLOOKUP($B193,INDIRECT($B$5&amp;"生成成长"),4))/(VLOOKUP(DC$72,INDIRECT($C$5&amp;"生成成长"),5))*(VLOOKUP($B$5,标准坦克设计!$B$24:$U$30,MATCH("对"&amp;LEFT($C$5,2)&amp;"输出",标准坦克设计!$B$23:$U$23,0)))*(VLOOKUP($B193,INDIRECT($B$5&amp;"生成成长"),3))*(VLOOKUP($B$5,标准坦克设计!$B$14:$K$20,9)/30))</f>
        <v>25.977161536811412</v>
      </c>
      <c r="DD193" s="172">
        <f ca="1">(VLOOKUP(DD$72,INDIRECT($C$5&amp;"生成成长"),2))/((VLOOKUP($B193,INDIRECT($B$5&amp;"生成成长"),4))/(VLOOKUP(DD$72,INDIRECT($C$5&amp;"生成成长"),5))*(VLOOKUP($B$5,标准坦克设计!$B$24:$U$30,MATCH("对"&amp;LEFT($C$5,2)&amp;"输出",标准坦克设计!$B$23:$U$23,0)))*(VLOOKUP($B193,INDIRECT($B$5&amp;"生成成长"),3))*(VLOOKUP($B$5,标准坦克设计!$B$14:$K$20,9)/30))</f>
        <v>27.567238544089783</v>
      </c>
      <c r="DE193" s="172">
        <f ca="1">(VLOOKUP(DE$72,INDIRECT($C$5&amp;"生成成长"),2))/((VLOOKUP($B193,INDIRECT($B$5&amp;"生成成长"),4))/(VLOOKUP(DE$72,INDIRECT($C$5&amp;"生成成长"),5))*(VLOOKUP($B$5,标准坦克设计!$B$24:$U$30,MATCH("对"&amp;LEFT($C$5,2)&amp;"输出",标准坦克设计!$B$23:$U$23,0)))*(VLOOKUP($B193,INDIRECT($B$5&amp;"生成成长"),3))*(VLOOKUP($B$5,标准坦克设计!$B$14:$K$20,9)/30))</f>
        <v>29.20454556148534</v>
      </c>
      <c r="DF193" s="172">
        <f ca="1">(VLOOKUP(DF$72,INDIRECT($C$5&amp;"生成成长"),2))/((VLOOKUP($B193,INDIRECT($B$5&amp;"生成成长"),4))/(VLOOKUP(DF$72,INDIRECT($C$5&amp;"生成成长"),5))*(VLOOKUP($B$5,标准坦克设计!$B$24:$U$30,MATCH("对"&amp;LEFT($C$5,2)&amp;"输出",标准坦克设计!$B$23:$U$23,0)))*(VLOOKUP($B193,INDIRECT($B$5&amp;"生成成长"),3))*(VLOOKUP($B$5,标准坦克设计!$B$14:$K$20,9)/30))</f>
        <v>30.889082588998068</v>
      </c>
      <c r="DG193" s="172">
        <f ca="1">(VLOOKUP(DG$72,INDIRECT($C$5&amp;"生成成长"),2))/((VLOOKUP($B193,INDIRECT($B$5&amp;"生成成长"),4))/(VLOOKUP(DG$72,INDIRECT($C$5&amp;"生成成长"),5))*(VLOOKUP($B$5,标准坦克设计!$B$24:$U$30,MATCH("对"&amp;LEFT($C$5,2)&amp;"输出",标准坦克设计!$B$23:$U$23,0)))*(VLOOKUP($B193,INDIRECT($B$5&amp;"生成成长"),3))*(VLOOKUP($B$5,标准坦克设计!$B$14:$K$20,9)/30))</f>
        <v>32.620849626627979</v>
      </c>
      <c r="DH193" s="172">
        <f ca="1">(VLOOKUP(DH$72,INDIRECT($C$5&amp;"生成成长"),2))/((VLOOKUP($B193,INDIRECT($B$5&amp;"生成成长"),4))/(VLOOKUP(DH$72,INDIRECT($C$5&amp;"生成成长"),5))*(VLOOKUP($B$5,标准坦克设计!$B$24:$U$30,MATCH("对"&amp;LEFT($C$5,2)&amp;"输出",标准坦克设计!$B$23:$U$23,0)))*(VLOOKUP($B193,INDIRECT($B$5&amp;"生成成长"),3))*(VLOOKUP($B$5,标准坦克设计!$B$14:$K$20,9)/30))</f>
        <v>34.39984667437507</v>
      </c>
      <c r="DI193" s="172">
        <f ca="1">(VLOOKUP(DI$72,INDIRECT($C$5&amp;"生成成长"),2))/((VLOOKUP($B193,INDIRECT($B$5&amp;"生成成长"),4))/(VLOOKUP(DI$72,INDIRECT($C$5&amp;"生成成长"),5))*(VLOOKUP($B$5,标准坦克设计!$B$24:$U$30,MATCH("对"&amp;LEFT($C$5,2)&amp;"输出",标准坦克设计!$B$23:$U$23,0)))*(VLOOKUP($B193,INDIRECT($B$5&amp;"生成成长"),3))*(VLOOKUP($B$5,标准坦克设计!$B$14:$K$20,9)/30))</f>
        <v>36.226073732239342</v>
      </c>
      <c r="DJ193" s="172">
        <f ca="1">(VLOOKUP(DJ$72,INDIRECT($C$5&amp;"生成成长"),2))/((VLOOKUP($B193,INDIRECT($B$5&amp;"生成成长"),4))/(VLOOKUP(DJ$72,INDIRECT($C$5&amp;"生成成长"),5))*(VLOOKUP($B$5,标准坦克设计!$B$24:$U$30,MATCH("对"&amp;LEFT($C$5,2)&amp;"输出",标准坦克设计!$B$23:$U$23,0)))*(VLOOKUP($B193,INDIRECT($B$5&amp;"生成成长"),3))*(VLOOKUP($B$5,标准坦克设计!$B$14:$K$20,9)/30))</f>
        <v>3.6408106062899304</v>
      </c>
      <c r="DK193" s="172">
        <f ca="1">(VLOOKUP(DK$72,INDIRECT($C$5&amp;"生成成长"),2))/((VLOOKUP($B193,INDIRECT($B$5&amp;"生成成长"),4))/(VLOOKUP(DK$72,INDIRECT($C$5&amp;"生成成长"),5))*(VLOOKUP($B$5,标准坦克设计!$B$24:$U$30,MATCH("对"&amp;LEFT($C$5,2)&amp;"输出",标准坦克设计!$B$23:$U$23,0)))*(VLOOKUP($B193,INDIRECT($B$5&amp;"生成成长"),3))*(VLOOKUP($B$5,标准坦克设计!$B$14:$K$20,9)/30))</f>
        <v>4.0939235158516203</v>
      </c>
      <c r="DL193" s="172">
        <f ca="1">(VLOOKUP(DL$72,INDIRECT($C$5&amp;"生成成长"),2))/((VLOOKUP($B193,INDIRECT($B$5&amp;"生成成长"),4))/(VLOOKUP(DL$72,INDIRECT($C$5&amp;"生成成长"),5))*(VLOOKUP($B$5,标准坦克设计!$B$24:$U$30,MATCH("对"&amp;LEFT($C$5,2)&amp;"输出",标准坦克设计!$B$23:$U$23,0)))*(VLOOKUP($B193,INDIRECT($B$5&amp;"生成成长"),3))*(VLOOKUP($B$5,标准坦克设计!$B$14:$K$20,9)/30))</f>
        <v>4.5736033061042232</v>
      </c>
      <c r="DM193" s="172">
        <f ca="1">(VLOOKUP(DM$72,INDIRECT($C$5&amp;"生成成长"),2))/((VLOOKUP($B193,INDIRECT($B$5&amp;"生成成长"),4))/(VLOOKUP(DM$72,INDIRECT($C$5&amp;"生成成长"),5))*(VLOOKUP($B$5,标准坦克设计!$B$24:$U$30,MATCH("对"&amp;LEFT($C$5,2)&amp;"输出",标准坦克设计!$B$23:$U$23,0)))*(VLOOKUP($B193,INDIRECT($B$5&amp;"生成成长"),3))*(VLOOKUP($B$5,标准坦克设计!$B$14:$K$20,9)/30))</f>
        <v>5.079849977047739</v>
      </c>
      <c r="DN193" s="172">
        <f ca="1">(VLOOKUP(DN$72,INDIRECT($C$5&amp;"生成成长"),2))/((VLOOKUP($B193,INDIRECT($B$5&amp;"生成成长"),4))/(VLOOKUP(DN$72,INDIRECT($C$5&amp;"生成成长"),5))*(VLOOKUP($B$5,标准坦克设计!$B$24:$U$30,MATCH("对"&amp;LEFT($C$5,2)&amp;"输出",标准坦克设计!$B$23:$U$23,0)))*(VLOOKUP($B193,INDIRECT($B$5&amp;"生成成长"),3))*(VLOOKUP($B$5,标准坦克设计!$B$14:$K$20,9)/30))</f>
        <v>5.6126635286821696</v>
      </c>
      <c r="DO193" s="172">
        <f ca="1">(VLOOKUP(DO$72,INDIRECT($C$5&amp;"生成成长"),2))/((VLOOKUP($B193,INDIRECT($B$5&amp;"生成成长"),4))/(VLOOKUP(DO$72,INDIRECT($C$5&amp;"生成成长"),5))*(VLOOKUP($B$5,标准坦克设计!$B$24:$U$30,MATCH("对"&amp;LEFT($C$5,2)&amp;"输出",标准坦克设计!$B$23:$U$23,0)))*(VLOOKUP($B193,INDIRECT($B$5&amp;"生成成长"),3))*(VLOOKUP($B$5,标准坦克设计!$B$14:$K$20,9)/30))</f>
        <v>6.172043961007514</v>
      </c>
      <c r="DP193" s="172">
        <f ca="1">(VLOOKUP(DP$72,INDIRECT($C$5&amp;"生成成长"),2))/((VLOOKUP($B193,INDIRECT($B$5&amp;"生成成长"),4))/(VLOOKUP(DP$72,INDIRECT($C$5&amp;"生成成长"),5))*(VLOOKUP($B$5,标准坦克设计!$B$24:$U$30,MATCH("对"&amp;LEFT($C$5,2)&amp;"输出",标准坦克设计!$B$23:$U$23,0)))*(VLOOKUP($B193,INDIRECT($B$5&amp;"生成成长"),3))*(VLOOKUP($B$5,标准坦克设计!$B$14:$K$20,9)/30))</f>
        <v>6.7579912740237695</v>
      </c>
      <c r="DQ193" s="172">
        <f ca="1">(VLOOKUP(DQ$72,INDIRECT($C$5&amp;"生成成长"),2))/((VLOOKUP($B193,INDIRECT($B$5&amp;"生成成长"),4))/(VLOOKUP(DQ$72,INDIRECT($C$5&amp;"生成成长"),5))*(VLOOKUP($B$5,标准坦克设计!$B$24:$U$30,MATCH("对"&amp;LEFT($C$5,2)&amp;"输出",标准坦克设计!$B$23:$U$23,0)))*(VLOOKUP($B193,INDIRECT($B$5&amp;"生成成长"),3))*(VLOOKUP($B$5,标准坦克设计!$B$14:$K$20,9)/30))</f>
        <v>7.3705054677309398</v>
      </c>
      <c r="DR193" s="172">
        <f ca="1">(VLOOKUP(DR$72,INDIRECT($C$5&amp;"生成成长"),2))/((VLOOKUP($B193,INDIRECT($B$5&amp;"生成成长"),4))/(VLOOKUP(DR$72,INDIRECT($C$5&amp;"生成成长"),5))*(VLOOKUP($B$5,标准坦克设计!$B$24:$U$30,MATCH("对"&amp;LEFT($C$5,2)&amp;"输出",标准坦克设计!$B$23:$U$23,0)))*(VLOOKUP($B193,INDIRECT($B$5&amp;"生成成长"),3))*(VLOOKUP($B$5,标准坦克设计!$B$14:$K$20,9)/30))</f>
        <v>8.0095865421290231</v>
      </c>
      <c r="DS193" s="172">
        <f ca="1">(VLOOKUP(DS$72,INDIRECT($C$5&amp;"生成成长"),2))/((VLOOKUP($B193,INDIRECT($B$5&amp;"生成成长"),4))/(VLOOKUP(DS$72,INDIRECT($C$5&amp;"生成成长"),5))*(VLOOKUP($B$5,标准坦克设计!$B$24:$U$30,MATCH("对"&amp;LEFT($C$5,2)&amp;"输出",标准坦克设计!$B$23:$U$23,0)))*(VLOOKUP($B193,INDIRECT($B$5&amp;"生成成长"),3))*(VLOOKUP($B$5,标准坦克设计!$B$14:$K$20,9)/30))</f>
        <v>8.6752344972180229</v>
      </c>
      <c r="DT193" s="172">
        <f ca="1">(VLOOKUP(DT$72,INDIRECT($C$5&amp;"生成成长"),2))/((VLOOKUP($B193,INDIRECT($B$5&amp;"生成成长"),4))/(VLOOKUP(DT$72,INDIRECT($C$5&amp;"生成成长"),5))*(VLOOKUP($B$5,标准坦克设计!$B$24:$U$30,MATCH("对"&amp;LEFT($C$5,2)&amp;"输出",标准坦克设计!$B$23:$U$23,0)))*(VLOOKUP($B193,INDIRECT($B$5&amp;"生成成长"),3))*(VLOOKUP($B$5,标准坦克设计!$B$14:$K$20,9)/30))</f>
        <v>9.5248827000551959</v>
      </c>
      <c r="DU193" s="172">
        <f ca="1">(VLOOKUP(DU$72,INDIRECT($C$5&amp;"生成成长"),2))/((VLOOKUP($B193,INDIRECT($B$5&amp;"生成成长"),4))/(VLOOKUP(DU$72,INDIRECT($C$5&amp;"生成成长"),5))*(VLOOKUP($B$5,标准坦克设计!$B$24:$U$30,MATCH("对"&amp;LEFT($C$5,2)&amp;"输出",标准坦克设计!$B$23:$U$23,0)))*(VLOOKUP($B193,INDIRECT($B$5&amp;"生成成长"),3))*(VLOOKUP($B$5,标准坦克设计!$B$14:$K$20,9)/30))</f>
        <v>10.414217230838059</v>
      </c>
      <c r="DV193" s="172">
        <f ca="1">(VLOOKUP(DV$72,INDIRECT($C$5&amp;"生成成长"),2))/((VLOOKUP($B193,INDIRECT($B$5&amp;"生成成长"),4))/(VLOOKUP(DV$72,INDIRECT($C$5&amp;"生成成长"),5))*(VLOOKUP($B$5,标准坦克设计!$B$24:$U$30,MATCH("对"&amp;LEFT($C$5,2)&amp;"输出",标准坦克设计!$B$23:$U$23,0)))*(VLOOKUP($B193,INDIRECT($B$5&amp;"生成成长"),3))*(VLOOKUP($B$5,标准坦克设计!$B$14:$K$20,9)/30))</f>
        <v>11.343238089566604</v>
      </c>
      <c r="DW193" s="172">
        <f ca="1">(VLOOKUP(DW$72,INDIRECT($C$5&amp;"生成成长"),2))/((VLOOKUP($B193,INDIRECT($B$5&amp;"生成成长"),4))/(VLOOKUP(DW$72,INDIRECT($C$5&amp;"生成成长"),5))*(VLOOKUP($B$5,标准坦克设计!$B$24:$U$30,MATCH("对"&amp;LEFT($C$5,2)&amp;"输出",标准坦克设计!$B$23:$U$23,0)))*(VLOOKUP($B193,INDIRECT($B$5&amp;"生成成长"),3))*(VLOOKUP($B$5,标准坦克设计!$B$14:$K$20,9)/30))</f>
        <v>12.311945276240836</v>
      </c>
      <c r="DX193" s="172">
        <f ca="1">(VLOOKUP(DX$72,INDIRECT($C$5&amp;"生成成长"),2))/((VLOOKUP($B193,INDIRECT($B$5&amp;"生成成长"),4))/(VLOOKUP(DX$72,INDIRECT($C$5&amp;"生成成长"),5))*(VLOOKUP($B$5,标准坦克设计!$B$24:$U$30,MATCH("对"&amp;LEFT($C$5,2)&amp;"输出",标准坦克设计!$B$23:$U$23,0)))*(VLOOKUP($B193,INDIRECT($B$5&amp;"生成成长"),3))*(VLOOKUP($B$5,标准坦克设计!$B$14:$K$20,9)/30))</f>
        <v>13.320338790860752</v>
      </c>
      <c r="DY193" s="172">
        <f ca="1">(VLOOKUP(DY$72,INDIRECT($C$5&amp;"生成成长"),2))/((VLOOKUP($B193,INDIRECT($B$5&amp;"生成成长"),4))/(VLOOKUP(DY$72,INDIRECT($C$5&amp;"生成成长"),5))*(VLOOKUP($B$5,标准坦克设计!$B$24:$U$30,MATCH("对"&amp;LEFT($C$5,2)&amp;"输出",标准坦克设计!$B$23:$U$23,0)))*(VLOOKUP($B193,INDIRECT($B$5&amp;"生成成长"),3))*(VLOOKUP($B$5,标准坦克设计!$B$14:$K$20,9)/30))</f>
        <v>5.9826319412667424</v>
      </c>
      <c r="DZ193" s="172">
        <f ca="1">(VLOOKUP(DZ$72,INDIRECT($C$5&amp;"生成成长"),2))/((VLOOKUP($B193,INDIRECT($B$5&amp;"生成成长"),4))/(VLOOKUP(DZ$72,INDIRECT($C$5&amp;"生成成长"),5))*(VLOOKUP($B$5,标准坦克设计!$B$24:$U$30,MATCH("对"&amp;LEFT($C$5,2)&amp;"输出",标准坦克设计!$B$23:$U$23,0)))*(VLOOKUP($B193,INDIRECT($B$5&amp;"生成成长"),3))*(VLOOKUP($B$5,标准坦克设计!$B$14:$K$20,9)/30))</f>
        <v>6.6254848567505737</v>
      </c>
      <c r="EA193" s="172">
        <f ca="1">(VLOOKUP(EA$72,INDIRECT($C$5&amp;"生成成长"),2))/((VLOOKUP($B193,INDIRECT($B$5&amp;"生成成长"),4))/(VLOOKUP(EA$72,INDIRECT($C$5&amp;"生成成长"),5))*(VLOOKUP($B$5,标准坦克设计!$B$24:$U$30,MATCH("对"&amp;LEFT($C$5,2)&amp;"输出",标准坦克设计!$B$23:$U$23,0)))*(VLOOKUP($B193,INDIRECT($B$5&amp;"生成成长"),3))*(VLOOKUP($B$5,标准坦克设计!$B$14:$K$20,9)/30))</f>
        <v>7.3011363903713349</v>
      </c>
      <c r="EB193" s="172">
        <f ca="1">(VLOOKUP(EB$72,INDIRECT($C$5&amp;"生成成长"),2))/((VLOOKUP($B193,INDIRECT($B$5&amp;"生成成长"),4))/(VLOOKUP(EB$72,INDIRECT($C$5&amp;"生成成长"),5))*(VLOOKUP($B$5,标准坦克设计!$B$24:$U$30,MATCH("对"&amp;LEFT($C$5,2)&amp;"输出",标准坦克设计!$B$23:$U$23,0)))*(VLOOKUP($B193,INDIRECT($B$5&amp;"生成成长"),3))*(VLOOKUP($B$5,标准坦克设计!$B$14:$K$20,9)/30))</f>
        <v>8.0095865421290231</v>
      </c>
      <c r="EC193" s="172">
        <f ca="1">(VLOOKUP(EC$72,INDIRECT($C$5&amp;"生成成长"),2))/((VLOOKUP($B193,INDIRECT($B$5&amp;"生成成长"),4))/(VLOOKUP(EC$72,INDIRECT($C$5&amp;"生成成长"),5))*(VLOOKUP($B$5,标准坦克设计!$B$24:$U$30,MATCH("对"&amp;LEFT($C$5,2)&amp;"输出",标准坦克设计!$B$23:$U$23,0)))*(VLOOKUP($B193,INDIRECT($B$5&amp;"生成成长"),3))*(VLOOKUP($B$5,标准坦克设计!$B$14:$K$20,9)/30))</f>
        <v>8.7508353120236464</v>
      </c>
      <c r="ED193" s="172">
        <f ca="1">(VLOOKUP(ED$72,INDIRECT($C$5&amp;"生成成长"),2))/((VLOOKUP($B193,INDIRECT($B$5&amp;"生成成长"),4))/(VLOOKUP(ED$72,INDIRECT($C$5&amp;"生成成长"),5))*(VLOOKUP($B$5,标准坦克设计!$B$24:$U$30,MATCH("对"&amp;LEFT($C$5,2)&amp;"输出",标准坦克设计!$B$23:$U$23,0)))*(VLOOKUP($B193,INDIRECT($B$5&amp;"生成成长"),3))*(VLOOKUP($B$5,标准坦克设计!$B$14:$K$20,9)/30))</f>
        <v>9.5248827000551959</v>
      </c>
      <c r="EE193" s="172">
        <f ca="1">(VLOOKUP(EE$72,INDIRECT($C$5&amp;"生成成长"),2))/((VLOOKUP($B193,INDIRECT($B$5&amp;"生成成长"),4))/(VLOOKUP(EE$72,INDIRECT($C$5&amp;"生成成长"),5))*(VLOOKUP($B$5,标准坦克设计!$B$24:$U$30,MATCH("对"&amp;LEFT($C$5,2)&amp;"输出",标准坦克设计!$B$23:$U$23,0)))*(VLOOKUP($B193,INDIRECT($B$5&amp;"生成成长"),3))*(VLOOKUP($B$5,标准坦克设计!$B$14:$K$20,9)/30))</f>
        <v>10.33172870622368</v>
      </c>
      <c r="EF193" s="172">
        <f ca="1">(VLOOKUP(EF$72,INDIRECT($C$5&amp;"生成成长"),2))/((VLOOKUP($B193,INDIRECT($B$5&amp;"生成成长"),4))/(VLOOKUP(EF$72,INDIRECT($C$5&amp;"生成成长"),5))*(VLOOKUP($B$5,标准坦克设计!$B$24:$U$30,MATCH("对"&amp;LEFT($C$5,2)&amp;"输出",标准坦克设计!$B$23:$U$23,0)))*(VLOOKUP($B193,INDIRECT($B$5&amp;"生成成长"),3))*(VLOOKUP($B$5,标准坦克设计!$B$14:$K$20,9)/30))</f>
        <v>11.171373330529089</v>
      </c>
      <c r="EG193" s="172">
        <f ca="1">(VLOOKUP(EG$72,INDIRECT($C$5&amp;"生成成长"),2))/((VLOOKUP($B193,INDIRECT($B$5&amp;"生成成长"),4))/(VLOOKUP(EG$72,INDIRECT($C$5&amp;"生成成长"),5))*(VLOOKUP($B$5,标准坦克设计!$B$24:$U$30,MATCH("对"&amp;LEFT($C$5,2)&amp;"输出",标准坦克设计!$B$23:$U$23,0)))*(VLOOKUP($B193,INDIRECT($B$5&amp;"生成成长"),3))*(VLOOKUP($B$5,标准坦克设计!$B$14:$K$20,9)/30))</f>
        <v>12.043816572971432</v>
      </c>
      <c r="EH193" s="172">
        <f ca="1">(VLOOKUP(EH$72,INDIRECT($C$5&amp;"生成成长"),2))/((VLOOKUP($B193,INDIRECT($B$5&amp;"生成成长"),4))/(VLOOKUP(EH$72,INDIRECT($C$5&amp;"生成成长"),5))*(VLOOKUP($B$5,标准坦克设计!$B$24:$U$30,MATCH("对"&amp;LEFT($C$5,2)&amp;"输出",标准坦克设计!$B$23:$U$23,0)))*(VLOOKUP($B193,INDIRECT($B$5&amp;"生成成长"),3))*(VLOOKUP($B$5,标准坦克设计!$B$14:$K$20,9)/30))</f>
        <v>12.949058433550702</v>
      </c>
      <c r="EI193" s="172">
        <f ca="1">(VLOOKUP(EI$72,INDIRECT($C$5&amp;"生成成长"),2))/((VLOOKUP($B193,INDIRECT($B$5&amp;"生成成长"),4))/(VLOOKUP(EI$72,INDIRECT($C$5&amp;"生成成长"),5))*(VLOOKUP($B$5,标准坦克设计!$B$24:$U$30,MATCH("对"&amp;LEFT($C$5,2)&amp;"输出",标准坦克设计!$B$23:$U$23,0)))*(VLOOKUP($B193,INDIRECT($B$5&amp;"生成成长"),3))*(VLOOKUP($B$5,标准坦克设计!$B$14:$K$20,9)/30))</f>
        <v>13.887098912266906</v>
      </c>
      <c r="EJ193" s="172">
        <f ca="1">(VLOOKUP(EJ$72,INDIRECT($C$5&amp;"生成成长"),2))/((VLOOKUP($B193,INDIRECT($B$5&amp;"生成成长"),4))/(VLOOKUP(EJ$72,INDIRECT($C$5&amp;"生成成长"),5))*(VLOOKUP($B$5,标准坦克设计!$B$24:$U$30,MATCH("对"&amp;LEFT($C$5,2)&amp;"输出",标准坦克设计!$B$23:$U$23,0)))*(VLOOKUP($B193,INDIRECT($B$5&amp;"生成成长"),3))*(VLOOKUP($B$5,标准坦克设计!$B$14:$K$20,9)/30))</f>
        <v>14.857938009120041</v>
      </c>
      <c r="EK193" s="172">
        <f ca="1">(VLOOKUP(EK$72,INDIRECT($C$5&amp;"生成成长"),2))/((VLOOKUP($B193,INDIRECT($B$5&amp;"生成成长"),4))/(VLOOKUP(EK$72,INDIRECT($C$5&amp;"生成成长"),5))*(VLOOKUP($B$5,标准坦克设计!$B$24:$U$30,MATCH("对"&amp;LEFT($C$5,2)&amp;"输出",标准坦克设计!$B$23:$U$23,0)))*(VLOOKUP($B193,INDIRECT($B$5&amp;"生成成长"),3))*(VLOOKUP($B$5,标准坦克设计!$B$14:$K$20,9)/30))</f>
        <v>16.066239101284545</v>
      </c>
      <c r="EL193" s="172">
        <f ca="1">(VLOOKUP(EL$72,INDIRECT($C$5&amp;"生成成长"),2))/((VLOOKUP($B193,INDIRECT($B$5&amp;"生成成长"),4))/(VLOOKUP(EL$72,INDIRECT($C$5&amp;"生成成长"),5))*(VLOOKUP($B$5,标准坦克设计!$B$24:$U$30,MATCH("对"&amp;LEFT($C$5,2)&amp;"输出",标准坦克设计!$B$23:$U$23,0)))*(VLOOKUP($B193,INDIRECT($B$5&amp;"生成成长"),3))*(VLOOKUP($B$5,标准坦克设计!$B$14:$K$20,9)/30))</f>
        <v>17.321770203566228</v>
      </c>
      <c r="EM193" s="172">
        <f ca="1">(VLOOKUP(EM$72,INDIRECT($C$5&amp;"生成成长"),2))/((VLOOKUP($B193,INDIRECT($B$5&amp;"生成成长"),4))/(VLOOKUP(EM$72,INDIRECT($C$5&amp;"生成成长"),5))*(VLOOKUP($B$5,标准坦克设计!$B$24:$U$30,MATCH("对"&amp;LEFT($C$5,2)&amp;"输出",标准坦克设计!$B$23:$U$23,0)))*(VLOOKUP($B193,INDIRECT($B$5&amp;"生成成长"),3))*(VLOOKUP($B$5,标准坦克设计!$B$14:$K$20,9)/30))</f>
        <v>18.624531315965097</v>
      </c>
      <c r="EN193" s="172">
        <f ca="1">(VLOOKUP(EN$72,INDIRECT($C$5&amp;"生成成长"),2))/((VLOOKUP($B193,INDIRECT($B$5&amp;"生成成长"),4))/(VLOOKUP(EN$72,INDIRECT($C$5&amp;"生成成长"),5))*(VLOOKUP($B$5,标准坦克设计!$B$24:$U$30,MATCH("对"&amp;LEFT($C$5,2)&amp;"输出",标准坦克设计!$B$23:$U$23,0)))*(VLOOKUP($B193,INDIRECT($B$5&amp;"生成成长"),3))*(VLOOKUP($B$5,标准坦克设计!$B$14:$K$20,9)/30))</f>
        <v>19.974522438481138</v>
      </c>
      <c r="EO193" s="172">
        <f ca="1">(VLOOKUP(EO$72,INDIRECT($C$5&amp;"生成成长"),2))/((VLOOKUP($B193,INDIRECT($B$5&amp;"生成成长"),4))/(VLOOKUP(EO$72,INDIRECT($C$5&amp;"生成成长"),5))*(VLOOKUP($B$5,标准坦克设计!$B$24:$U$30,MATCH("对"&amp;LEFT($C$5,2)&amp;"输出",标准坦克设计!$B$23:$U$23,0)))*(VLOOKUP($B193,INDIRECT($B$5&amp;"生成成长"),3))*(VLOOKUP($B$5,标准坦克设计!$B$14:$K$20,9)/30))</f>
        <v>21.371743571114362</v>
      </c>
      <c r="EP193" s="172">
        <f ca="1">(VLOOKUP(EP$72,INDIRECT($C$5&amp;"生成成长"),2))/((VLOOKUP($B193,INDIRECT($B$5&amp;"生成成长"),4))/(VLOOKUP(EP$72,INDIRECT($C$5&amp;"生成成长"),5))*(VLOOKUP($B$5,标准坦克设计!$B$24:$U$30,MATCH("对"&amp;LEFT($C$5,2)&amp;"输出",标准坦克设计!$B$23:$U$23,0)))*(VLOOKUP($B193,INDIRECT($B$5&amp;"生成成长"),3))*(VLOOKUP($B$5,标准坦克设计!$B$14:$K$20,9)/30))</f>
        <v>22.816194713864768</v>
      </c>
      <c r="EQ193" s="172">
        <f ca="1">(VLOOKUP(EQ$72,INDIRECT($C$5&amp;"生成成长"),2))/((VLOOKUP($B193,INDIRECT($B$5&amp;"生成成长"),4))/(VLOOKUP(EQ$72,INDIRECT($C$5&amp;"生成成长"),5))*(VLOOKUP($B$5,标准坦克设计!$B$24:$U$30,MATCH("对"&amp;LEFT($C$5,2)&amp;"输出",标准坦克设计!$B$23:$U$23,0)))*(VLOOKUP($B193,INDIRECT($B$5&amp;"生成成长"),3))*(VLOOKUP($B$5,标准坦克设计!$B$14:$K$20,9)/30))</f>
        <v>10.086231049468758</v>
      </c>
      <c r="ER193" s="172">
        <f ca="1">(VLOOKUP(ER$72,INDIRECT($C$5&amp;"生成成长"),2))/((VLOOKUP($B193,INDIRECT($B$5&amp;"生成成长"),4))/(VLOOKUP(ER$72,INDIRECT($C$5&amp;"生成成长"),5))*(VLOOKUP($B$5,标准坦克设计!$B$24:$U$30,MATCH("对"&amp;LEFT($C$5,2)&amp;"输出",标准坦克设计!$B$23:$U$23,0)))*(VLOOKUP($B193,INDIRECT($B$5&amp;"生成成长"),3))*(VLOOKUP($B$5,标准坦克设计!$B$14:$K$20,9)/30))</f>
        <v>11.000820516217054</v>
      </c>
      <c r="ES193" s="172">
        <f ca="1">(VLOOKUP(ES$72,INDIRECT($C$5&amp;"生成成长"),2))/((VLOOKUP($B193,INDIRECT($B$5&amp;"生成成长"),4))/(VLOOKUP(ES$72,INDIRECT($C$5&amp;"生成成长"),5))*(VLOOKUP($B$5,标准坦克设计!$B$24:$U$30,MATCH("对"&amp;LEFT($C$5,2)&amp;"输出",标准坦克设计!$B$23:$U$23,0)))*(VLOOKUP($B193,INDIRECT($B$5&amp;"生成成长"),3))*(VLOOKUP($B$5,标准坦克设计!$B$14:$K$20,9)/30))</f>
        <v>11.955096310911038</v>
      </c>
      <c r="ET193" s="172">
        <f ca="1">(VLOOKUP(ET$72,INDIRECT($C$5&amp;"生成成长"),2))/((VLOOKUP($B193,INDIRECT($B$5&amp;"生成成长"),4))/(VLOOKUP(ET$72,INDIRECT($C$5&amp;"生成成长"),5))*(VLOOKUP($B$5,标准坦克设计!$B$24:$U$30,MATCH("对"&amp;LEFT($C$5,2)&amp;"输出",标准坦克设计!$B$23:$U$23,0)))*(VLOOKUP($B193,INDIRECT($B$5&amp;"生成成长"),3))*(VLOOKUP($B$5,标准坦克设计!$B$14:$K$20,9)/30))</f>
        <v>12.949058433550702</v>
      </c>
      <c r="EU193" s="172">
        <f ca="1">(VLOOKUP(EU$72,INDIRECT($C$5&amp;"生成成长"),2))/((VLOOKUP($B193,INDIRECT($B$5&amp;"生成成长"),4))/(VLOOKUP(EU$72,INDIRECT($C$5&amp;"生成成长"),5))*(VLOOKUP($B$5,标准坦克设计!$B$24:$U$30,MATCH("对"&amp;LEFT($C$5,2)&amp;"输出",标准坦克设计!$B$23:$U$23,0)))*(VLOOKUP($B193,INDIRECT($B$5&amp;"生成成长"),3))*(VLOOKUP($B$5,标准坦克设计!$B$14:$K$20,9)/30))</f>
        <v>13.982706884136055</v>
      </c>
      <c r="EV193" s="172">
        <f ca="1">(VLOOKUP(EV$72,INDIRECT($C$5&amp;"生成成长"),2))/((VLOOKUP($B193,INDIRECT($B$5&amp;"生成成长"),4))/(VLOOKUP(EV$72,INDIRECT($C$5&amp;"生成成长"),5))*(VLOOKUP($B$5,标准坦克设计!$B$24:$U$30,MATCH("对"&amp;LEFT($C$5,2)&amp;"输出",标准坦克设计!$B$23:$U$23,0)))*(VLOOKUP($B193,INDIRECT($B$5&amp;"生成成长"),3))*(VLOOKUP($B$5,标准坦克设计!$B$14:$K$20,9)/30))</f>
        <v>15.056041662667097</v>
      </c>
      <c r="EW193" s="172">
        <f ca="1">(VLOOKUP(EW$72,INDIRECT($C$5&amp;"生成成长"),2))/((VLOOKUP($B193,INDIRECT($B$5&amp;"生成成长"),4))/(VLOOKUP(EW$72,INDIRECT($C$5&amp;"生成成长"),5))*(VLOOKUP($B$5,标准坦克设计!$B$24:$U$30,MATCH("对"&amp;LEFT($C$5,2)&amp;"输出",标准坦克设计!$B$23:$U$23,0)))*(VLOOKUP($B193,INDIRECT($B$5&amp;"生成成长"),3))*(VLOOKUP($B$5,标准坦克设计!$B$14:$K$20,9)/30))</f>
        <v>16.169062769143821</v>
      </c>
      <c r="EX193" s="172">
        <f ca="1">(VLOOKUP(EX$72,INDIRECT($C$5&amp;"生成成长"),2))/((VLOOKUP($B193,INDIRECT($B$5&amp;"生成成长"),4))/(VLOOKUP(EX$72,INDIRECT($C$5&amp;"生成成长"),5))*(VLOOKUP($B$5,标准坦克设计!$B$24:$U$30,MATCH("对"&amp;LEFT($C$5,2)&amp;"输出",标准坦克设计!$B$23:$U$23,0)))*(VLOOKUP($B193,INDIRECT($B$5&amp;"生成成长"),3))*(VLOOKUP($B$5,标准坦克设计!$B$14:$K$20,9)/30))</f>
        <v>17.321770203566228</v>
      </c>
      <c r="EY193" s="172">
        <f ca="1">(VLOOKUP(EY$72,INDIRECT($C$5&amp;"生成成长"),2))/((VLOOKUP($B193,INDIRECT($B$5&amp;"生成成长"),4))/(VLOOKUP(EY$72,INDIRECT($C$5&amp;"生成成长"),5))*(VLOOKUP($B$5,标准坦克设计!$B$24:$U$30,MATCH("对"&amp;LEFT($C$5,2)&amp;"输出",标准坦克设计!$B$23:$U$23,0)))*(VLOOKUP($B193,INDIRECT($B$5&amp;"生成成长"),3))*(VLOOKUP($B$5,标准坦克设计!$B$14:$K$20,9)/30))</f>
        <v>18.514163965934323</v>
      </c>
      <c r="EZ193" s="172">
        <f ca="1">(VLOOKUP(EZ$72,INDIRECT($C$5&amp;"生成成长"),2))/((VLOOKUP($B193,INDIRECT($B$5&amp;"生成成长"),4))/(VLOOKUP(EZ$72,INDIRECT($C$5&amp;"生成成长"),5))*(VLOOKUP($B$5,标准坦克设计!$B$24:$U$30,MATCH("对"&amp;LEFT($C$5,2)&amp;"输出",标准坦克设计!$B$23:$U$23,0)))*(VLOOKUP($B193,INDIRECT($B$5&amp;"生成成长"),3))*(VLOOKUP($B$5,标准坦克设计!$B$14:$K$20,9)/30))</f>
        <v>19.746244056248102</v>
      </c>
      <c r="FA193" s="172">
        <f ca="1">(VLOOKUP(FA$72,INDIRECT($C$5&amp;"生成成长"),2))/((VLOOKUP($B193,INDIRECT($B$5&amp;"生成成长"),4))/(VLOOKUP(FA$72,INDIRECT($C$5&amp;"生成成长"),5))*(VLOOKUP($B$5,标准坦克设计!$B$24:$U$30,MATCH("对"&amp;LEFT($C$5,2)&amp;"输出",标准坦克设计!$B$23:$U$23,0)))*(VLOOKUP($B193,INDIRECT($B$5&amp;"生成成长"),3))*(VLOOKUP($B$5,标准坦克设计!$B$14:$K$20,9)/30))</f>
        <v>21.01801047450757</v>
      </c>
      <c r="FB193" s="172">
        <f ca="1">(VLOOKUP(FB$72,INDIRECT($C$5&amp;"生成成长"),2))/((VLOOKUP($B193,INDIRECT($B$5&amp;"生成成长"),4))/(VLOOKUP(FB$72,INDIRECT($C$5&amp;"生成成长"),5))*(VLOOKUP($B$5,标准坦克设计!$B$24:$U$30,MATCH("对"&amp;LEFT($C$5,2)&amp;"输出",标准坦克设计!$B$23:$U$23,0)))*(VLOOKUP($B193,INDIRECT($B$5&amp;"生成成长"),3))*(VLOOKUP($B$5,标准坦克设计!$B$14:$K$20,9)/30))</f>
        <v>22.329463220712725</v>
      </c>
      <c r="FC193" s="172">
        <f ca="1">(VLOOKUP(FC$72,INDIRECT($C$5&amp;"生成成长"),2))/((VLOOKUP($B193,INDIRECT($B$5&amp;"生成成长"),4))/(VLOOKUP(FC$72,INDIRECT($C$5&amp;"生成成长"),5))*(VLOOKUP($B$5,标准坦克设计!$B$24:$U$30,MATCH("对"&amp;LEFT($C$5,2)&amp;"输出",标准坦克设计!$B$23:$U$23,0)))*(VLOOKUP($B193,INDIRECT($B$5&amp;"生成成长"),3))*(VLOOKUP($B$5,标准坦克设计!$B$14:$K$20,9)/30))</f>
        <v>23.680602294863558</v>
      </c>
      <c r="FD193" s="172">
        <f ca="1">(VLOOKUP(FD$72,INDIRECT($C$5&amp;"生成成长"),2))/((VLOOKUP($B193,INDIRECT($B$5&amp;"生成成长"),4))/(VLOOKUP(FD$72,INDIRECT($C$5&amp;"生成成长"),5))*(VLOOKUP($B$5,标准坦克设计!$B$24:$U$30,MATCH("对"&amp;LEFT($C$5,2)&amp;"输出",标准坦克设计!$B$23:$U$23,0)))*(VLOOKUP($B193,INDIRECT($B$5&amp;"生成成长"),3))*(VLOOKUP($B$5,标准坦克设计!$B$14:$K$20,9)/30))</f>
        <v>25.071427696960082</v>
      </c>
      <c r="FE193" s="172">
        <f ca="1">(VLOOKUP(FE$72,INDIRECT($C$5&amp;"生成成长"),2))/((VLOOKUP($B193,INDIRECT($B$5&amp;"生成成长"),4))/(VLOOKUP(FE$72,INDIRECT($C$5&amp;"生成成长"),5))*(VLOOKUP($B$5,标准坦克设计!$B$24:$U$30,MATCH("对"&amp;LEFT($C$5,2)&amp;"输出",标准坦克设计!$B$23:$U$23,0)))*(VLOOKUP($B193,INDIRECT($B$5&amp;"生成成长"),3))*(VLOOKUP($B$5,标准坦克设计!$B$14:$K$20,9)/30))</f>
        <v>26.766296289185952</v>
      </c>
      <c r="FF193" s="172">
        <f ca="1">(VLOOKUP(FF$72,INDIRECT($C$5&amp;"生成成长"),2))/((VLOOKUP($B193,INDIRECT($B$5&amp;"生成成长"),4))/(VLOOKUP(FF$72,INDIRECT($C$5&amp;"生成成长"),5))*(VLOOKUP($B$5,标准坦克设计!$B$24:$U$30,MATCH("对"&amp;LEFT($C$5,2)&amp;"输出",标准坦克设计!$B$23:$U$23,0)))*(VLOOKUP($B193,INDIRECT($B$5&amp;"生成成长"),3))*(VLOOKUP($B$5,标准坦克设计!$B$14:$K$20,9)/30))</f>
        <v>28.516594546063224</v>
      </c>
      <c r="FG193" s="172">
        <f ca="1">(VLOOKUP(FG$72,INDIRECT($C$5&amp;"生成成长"),2))/((VLOOKUP($B193,INDIRECT($B$5&amp;"生成成长"),4))/(VLOOKUP(FG$72,INDIRECT($C$5&amp;"生成成长"),5))*(VLOOKUP($B$5,标准坦克设计!$B$24:$U$30,MATCH("对"&amp;LEFT($C$5,2)&amp;"输出",标准坦克设计!$B$23:$U$23,0)))*(VLOOKUP($B193,INDIRECT($B$5&amp;"生成成长"),3))*(VLOOKUP($B$5,标准坦克设计!$B$14:$K$20,9)/30))</f>
        <v>30.322322467591917</v>
      </c>
      <c r="FH193" s="172">
        <f ca="1">(VLOOKUP(FH$72,INDIRECT($C$5&amp;"生成成长"),2))/((VLOOKUP($B193,INDIRECT($B$5&amp;"生成成长"),4))/(VLOOKUP(FH$72,INDIRECT($C$5&amp;"生成成长"),5))*(VLOOKUP($B$5,标准坦克设计!$B$24:$U$30,MATCH("对"&amp;LEFT($C$5,2)&amp;"输出",标准坦克设计!$B$23:$U$23,0)))*(VLOOKUP($B193,INDIRECT($B$5&amp;"生成成长"),3))*(VLOOKUP($B$5,标准坦克设计!$B$14:$K$20,9)/30))</f>
        <v>32.183480053772008</v>
      </c>
      <c r="FI193" s="172">
        <f ca="1">(VLOOKUP(FI$72,INDIRECT($C$5&amp;"生成成长"),2))/((VLOOKUP($B193,INDIRECT($B$5&amp;"生成成长"),4))/(VLOOKUP(FI$72,INDIRECT($C$5&amp;"生成成长"),5))*(VLOOKUP($B$5,标准坦克设计!$B$24:$U$30,MATCH("对"&amp;LEFT($C$5,2)&amp;"输出",标准坦克设计!$B$23:$U$23,0)))*(VLOOKUP($B193,INDIRECT($B$5&amp;"生成成长"),3))*(VLOOKUP($B$5,标准坦克设计!$B$14:$K$20,9)/30))</f>
        <v>34.100067304603527</v>
      </c>
      <c r="FJ193" s="172">
        <f ca="1">(VLOOKUP(FJ$72,INDIRECT($C$5&amp;"生成成长"),2))/((VLOOKUP($B193,INDIRECT($B$5&amp;"生成成长"),4))/(VLOOKUP(FJ$72,INDIRECT($C$5&amp;"生成成长"),5))*(VLOOKUP($B$5,标准坦克设计!$B$24:$U$30,MATCH("对"&amp;LEFT($C$5,2)&amp;"输出",标准坦克设计!$B$23:$U$23,0)))*(VLOOKUP($B193,INDIRECT($B$5&amp;"生成成长"),3))*(VLOOKUP($B$5,标准坦克设计!$B$14:$K$20,9)/30))</f>
        <v>36.072084220086445</v>
      </c>
      <c r="FK193" s="172">
        <f ca="1">(VLOOKUP(FK$72,INDIRECT($C$5&amp;"生成成长"),2))/((VLOOKUP($B193,INDIRECT($B$5&amp;"生成成长"),4))/(VLOOKUP(FK$72,INDIRECT($C$5&amp;"生成成长"),5))*(VLOOKUP($B$5,标准坦克设计!$B$24:$U$30,MATCH("对"&amp;LEFT($C$5,2)&amp;"输出",标准坦克设计!$B$23:$U$23,0)))*(VLOOKUP($B193,INDIRECT($B$5&amp;"生成成长"),3))*(VLOOKUP($B$5,标准坦克设计!$B$14:$K$20,9)/30))</f>
        <v>38.099530800220784</v>
      </c>
    </row>
    <row r="194" spans="1:167" x14ac:dyDescent="0.15">
      <c r="A194" s="170" t="str">
        <f t="shared" si="12"/>
        <v>T3高品质11级</v>
      </c>
      <c r="B194" s="171">
        <v>30311</v>
      </c>
      <c r="C194" s="172">
        <f ca="1">(VLOOKUP(C$72,INDIRECT($C$5&amp;"生成成长"),2))/((VLOOKUP($B194,INDIRECT($B$5&amp;"生成成长"),4))/(VLOOKUP(C$72,INDIRECT($C$5&amp;"生成成长"),5))*(VLOOKUP($B$5,标准坦克设计!$B$24:$U$30,MATCH("对"&amp;LEFT($C$5,2)&amp;"输出",标准坦克设计!$B$23:$U$23,0)))*(VLOOKUP($B194,INDIRECT($B$5&amp;"生成成长"),3))*(VLOOKUP($B$5,标准坦克设计!$B$14:$K$20,9)/30))</f>
        <v>1.4905517035158924</v>
      </c>
      <c r="D194" s="172">
        <f ca="1">(VLOOKUP(D$72,INDIRECT($C$5&amp;"生成成长"),2))/((VLOOKUP($B194,INDIRECT($B$5&amp;"生成成长"),4))/(VLOOKUP(D$72,INDIRECT($C$5&amp;"生成成长"),5))*(VLOOKUP($B$5,标准坦克设计!$B$24:$U$30,MATCH("对"&amp;LEFT($C$5,2)&amp;"输出",标准坦克设计!$B$23:$U$23,0)))*(VLOOKUP($B194,INDIRECT($B$5&amp;"生成成长"),3))*(VLOOKUP($B$5,标准坦克设计!$B$14:$K$20,9)/30))</f>
        <v>1.6747838940704567</v>
      </c>
      <c r="E194" s="172">
        <f ca="1">(VLOOKUP(E$72,INDIRECT($C$5&amp;"生成成长"),2))/((VLOOKUP($B194,INDIRECT($B$5&amp;"生成成长"),4))/(VLOOKUP(E$72,INDIRECT($C$5&amp;"生成成长"),5))*(VLOOKUP($B$5,标准坦克设计!$B$24:$U$30,MATCH("对"&amp;LEFT($C$5,2)&amp;"输出",标准坦克设计!$B$23:$U$23,0)))*(VLOOKUP($B194,INDIRECT($B$5&amp;"生成成长"),3))*(VLOOKUP($B$5,标准坦克设计!$B$14:$K$20,9)/30))</f>
        <v>1.8697480568903355</v>
      </c>
      <c r="F194" s="172">
        <f ca="1">(VLOOKUP(F$72,INDIRECT($C$5&amp;"生成成长"),2))/((VLOOKUP($B194,INDIRECT($B$5&amp;"生成成长"),4))/(VLOOKUP(F$72,INDIRECT($C$5&amp;"生成成长"),5))*(VLOOKUP($B$5,标准坦克设计!$B$24:$U$30,MATCH("对"&amp;LEFT($C$5,2)&amp;"输出",标准坦克设计!$B$23:$U$23,0)))*(VLOOKUP($B194,INDIRECT($B$5&amp;"生成成长"),3))*(VLOOKUP($B$5,标准坦克设计!$B$14:$K$20,9)/30))</f>
        <v>2.0754441919755289</v>
      </c>
      <c r="G194" s="172">
        <f ca="1">(VLOOKUP(G$72,INDIRECT($C$5&amp;"生成成长"),2))/((VLOOKUP($B194,INDIRECT($B$5&amp;"生成成长"),4))/(VLOOKUP(G$72,INDIRECT($C$5&amp;"生成成长"),5))*(VLOOKUP($B$5,标准坦克设计!$B$24:$U$30,MATCH("对"&amp;LEFT($C$5,2)&amp;"输出",标准坦克设计!$B$23:$U$23,0)))*(VLOOKUP($B194,INDIRECT($B$5&amp;"生成成长"),3))*(VLOOKUP($B$5,标准坦克设计!$B$14:$K$20,9)/30))</f>
        <v>2.2918722993260361</v>
      </c>
      <c r="H194" s="172">
        <f ca="1">(VLOOKUP(H$72,INDIRECT($C$5&amp;"生成成长"),2))/((VLOOKUP($B194,INDIRECT($B$5&amp;"生成成长"),4))/(VLOOKUP(H$72,INDIRECT($C$5&amp;"生成成长"),5))*(VLOOKUP($B$5,标准坦克设计!$B$24:$U$30,MATCH("对"&amp;LEFT($C$5,2)&amp;"输出",标准坦克设计!$B$23:$U$23,0)))*(VLOOKUP($B194,INDIRECT($B$5&amp;"生成成长"),3))*(VLOOKUP($B$5,标准坦克设计!$B$14:$K$20,9)/30))</f>
        <v>2.005686372250985</v>
      </c>
      <c r="I194" s="172">
        <f ca="1">(VLOOKUP(I$72,INDIRECT($C$5&amp;"生成成长"),2))/((VLOOKUP($B194,INDIRECT($B$5&amp;"生成成长"),4))/(VLOOKUP(I$72,INDIRECT($C$5&amp;"生成成长"),5))*(VLOOKUP($B$5,标准坦克设计!$B$24:$U$30,MATCH("对"&amp;LEFT($C$5,2)&amp;"输出",标准坦克设计!$B$23:$U$23,0)))*(VLOOKUP($B194,INDIRECT($B$5&amp;"生成成长"),3))*(VLOOKUP($B$5,标准坦克设计!$B$14:$K$20,9)/30))</f>
        <v>2.2918722993260361</v>
      </c>
      <c r="J194" s="172">
        <f ca="1">(VLOOKUP(J$72,INDIRECT($C$5&amp;"生成成长"),2))/((VLOOKUP($B194,INDIRECT($B$5&amp;"生成成长"),4))/(VLOOKUP(J$72,INDIRECT($C$5&amp;"生成成长"),5))*(VLOOKUP($B$5,标准坦克设计!$B$24:$U$30,MATCH("对"&amp;LEFT($C$5,2)&amp;"输出",标准坦克设计!$B$23:$U$23,0)))*(VLOOKUP($B194,INDIRECT($B$5&amp;"生成成长"),3))*(VLOOKUP($B$5,标准坦克设计!$B$14:$K$20,9)/30))</f>
        <v>2.5971372882060915</v>
      </c>
      <c r="K194" s="172">
        <f ca="1">(VLOOKUP(K$72,INDIRECT($C$5&amp;"生成成长"),2))/((VLOOKUP($B194,INDIRECT($B$5&amp;"生成成长"),4))/(VLOOKUP(K$72,INDIRECT($C$5&amp;"生成成长"),5))*(VLOOKUP($B$5,标准坦克设计!$B$24:$U$30,MATCH("对"&amp;LEFT($C$5,2)&amp;"输出",标准坦克设计!$B$23:$U$23,0)))*(VLOOKUP($B194,INDIRECT($B$5&amp;"生成成长"),3))*(VLOOKUP($B$5,标准坦克设计!$B$14:$K$20,9)/30))</f>
        <v>2.9214813388911494</v>
      </c>
      <c r="L194" s="172">
        <f ca="1">(VLOOKUP(L$72,INDIRECT($C$5&amp;"生成成长"),2))/((VLOOKUP($B194,INDIRECT($B$5&amp;"生成成长"),4))/(VLOOKUP(L$72,INDIRECT($C$5&amp;"生成成长"),5))*(VLOOKUP($B$5,标准坦克设计!$B$24:$U$30,MATCH("对"&amp;LEFT($C$5,2)&amp;"输出",标准坦克设计!$B$23:$U$23,0)))*(VLOOKUP($B194,INDIRECT($B$5&amp;"生成成长"),3))*(VLOOKUP($B$5,标准坦克设计!$B$14:$K$20,9)/30))</f>
        <v>3.2649044513812115</v>
      </c>
      <c r="M194" s="172">
        <f ca="1">(VLOOKUP(M$72,INDIRECT($C$5&amp;"生成成长"),2))/((VLOOKUP($B194,INDIRECT($B$5&amp;"生成成长"),4))/(VLOOKUP(M$72,INDIRECT($C$5&amp;"生成成长"),5))*(VLOOKUP($B$5,标准坦克设计!$B$24:$U$30,MATCH("对"&amp;LEFT($C$5,2)&amp;"输出",标准坦克设计!$B$23:$U$23,0)))*(VLOOKUP($B194,INDIRECT($B$5&amp;"生成成长"),3))*(VLOOKUP($B$5,标准坦克设计!$B$14:$K$20,9)/30))</f>
        <v>3.6274066256762758</v>
      </c>
      <c r="N194" s="172">
        <f ca="1">(VLOOKUP(N$72,INDIRECT($C$5&amp;"生成成长"),2))/((VLOOKUP($B194,INDIRECT($B$5&amp;"生成成长"),4))/(VLOOKUP(N$72,INDIRECT($C$5&amp;"生成成长"),5))*(VLOOKUP($B$5,标准坦克设计!$B$24:$U$30,MATCH("对"&amp;LEFT($C$5,2)&amp;"输出",标准坦克设计!$B$23:$U$23,0)))*(VLOOKUP($B194,INDIRECT($B$5&amp;"生成成长"),3))*(VLOOKUP($B$5,标准坦克设计!$B$14:$K$20,9)/30))</f>
        <v>4.0089878617763448</v>
      </c>
      <c r="O194" s="172">
        <f ca="1">(VLOOKUP(O$72,INDIRECT($C$5&amp;"生成成长"),2))/((VLOOKUP($B194,INDIRECT($B$5&amp;"生成成长"),4))/(VLOOKUP(O$72,INDIRECT($C$5&amp;"生成成长"),5))*(VLOOKUP($B$5,标准坦克设计!$B$24:$U$30,MATCH("对"&amp;LEFT($C$5,2)&amp;"输出",标准坦克设计!$B$23:$U$23,0)))*(VLOOKUP($B194,INDIRECT($B$5&amp;"生成成长"),3))*(VLOOKUP($B$5,标准坦克设计!$B$14:$K$20,9)/30))</f>
        <v>3.0480291785196485</v>
      </c>
      <c r="P194" s="172">
        <f ca="1">(VLOOKUP(P$72,INDIRECT($C$5&amp;"生成成长"),2))/((VLOOKUP($B194,INDIRECT($B$5&amp;"生成成长"),4))/(VLOOKUP(P$72,INDIRECT($C$5&amp;"生成成长"),5))*(VLOOKUP($B$5,标准坦克设计!$B$24:$U$30,MATCH("对"&amp;LEFT($C$5,2)&amp;"输出",标准坦克设计!$B$23:$U$23,0)))*(VLOOKUP($B194,INDIRECT($B$5&amp;"生成成长"),3))*(VLOOKUP($B$5,标准坦克设计!$B$14:$K$20,9)/30))</f>
        <v>3.4437706558031183</v>
      </c>
      <c r="Q194" s="172">
        <f ca="1">(VLOOKUP(Q$72,INDIRECT($C$5&amp;"生成成长"),2))/((VLOOKUP($B194,INDIRECT($B$5&amp;"生成成长"),4))/(VLOOKUP(Q$72,INDIRECT($C$5&amp;"生成成长"),5))*(VLOOKUP($B$5,标准坦克设计!$B$24:$U$30,MATCH("对"&amp;LEFT($C$5,2)&amp;"输出",标准坦克设计!$B$23:$U$23,0)))*(VLOOKUP($B194,INDIRECT($B$5&amp;"生成成长"),3))*(VLOOKUP($B$5,标准坦克设计!$B$14:$K$20,9)/30))</f>
        <v>3.8636590706835454</v>
      </c>
      <c r="R194" s="172">
        <f ca="1">(VLOOKUP(R$72,INDIRECT($C$5&amp;"生成成长"),2))/((VLOOKUP($B194,INDIRECT($B$5&amp;"生成成长"),4))/(VLOOKUP(R$72,INDIRECT($C$5&amp;"生成成长"),5))*(VLOOKUP($B$5,标准坦克设计!$B$24:$U$30,MATCH("对"&amp;LEFT($C$5,2)&amp;"输出",标准坦克设计!$B$23:$U$23,0)))*(VLOOKUP($B194,INDIRECT($B$5&amp;"生成成长"),3))*(VLOOKUP($B$5,标准坦克设计!$B$14:$K$20,9)/30))</f>
        <v>4.3076944231609291</v>
      </c>
      <c r="S194" s="172">
        <f ca="1">(VLOOKUP(S$72,INDIRECT($C$5&amp;"生成成长"),2))/((VLOOKUP($B194,INDIRECT($B$5&amp;"生成成长"),4))/(VLOOKUP(S$72,INDIRECT($C$5&amp;"生成成长"),5))*(VLOOKUP($B$5,标准坦克设计!$B$24:$U$30,MATCH("对"&amp;LEFT($C$5,2)&amp;"输出",标准坦克设计!$B$23:$U$23,0)))*(VLOOKUP($B194,INDIRECT($B$5&amp;"生成成长"),3))*(VLOOKUP($B$5,标准坦克设计!$B$14:$K$20,9)/30))</f>
        <v>4.775876713235272</v>
      </c>
      <c r="T194" s="172">
        <f ca="1">(VLOOKUP(T$72,INDIRECT($C$5&amp;"生成成长"),2))/((VLOOKUP($B194,INDIRECT($B$5&amp;"生成成长"),4))/(VLOOKUP(T$72,INDIRECT($C$5&amp;"生成成长"),5))*(VLOOKUP($B$5,标准坦克设计!$B$24:$U$30,MATCH("对"&amp;LEFT($C$5,2)&amp;"输出",标准坦克设计!$B$23:$U$23,0)))*(VLOOKUP($B194,INDIRECT($B$5&amp;"生成成长"),3))*(VLOOKUP($B$5,标准坦克设计!$B$14:$K$20,9)/30))</f>
        <v>5.2682059409065705</v>
      </c>
      <c r="U194" s="172">
        <f ca="1">(VLOOKUP(U$72,INDIRECT($C$5&amp;"生成成长"),2))/((VLOOKUP($B194,INDIRECT($B$5&amp;"生成成长"),4))/(VLOOKUP(U$72,INDIRECT($C$5&amp;"生成成长"),5))*(VLOOKUP($B$5,标准坦克设计!$B$24:$U$30,MATCH("对"&amp;LEFT($C$5,2)&amp;"输出",标准坦克设计!$B$23:$U$23,0)))*(VLOOKUP($B194,INDIRECT($B$5&amp;"生成成长"),3))*(VLOOKUP($B$5,标准坦克设计!$B$14:$K$20,9)/30))</f>
        <v>5.7846821061748273</v>
      </c>
      <c r="V194" s="172">
        <f ca="1">(VLOOKUP(V$72,INDIRECT($C$5&amp;"生成成长"),2))/((VLOOKUP($B194,INDIRECT($B$5&amp;"生成成长"),4))/(VLOOKUP(V$72,INDIRECT($C$5&amp;"生成成长"),5))*(VLOOKUP($B$5,标准坦克设计!$B$24:$U$30,MATCH("对"&amp;LEFT($C$5,2)&amp;"输出",标准坦克设计!$B$23:$U$23,0)))*(VLOOKUP($B194,INDIRECT($B$5&amp;"生成成长"),3))*(VLOOKUP($B$5,标准坦克设计!$B$14:$K$20,9)/30))</f>
        <v>6.3253052090400415</v>
      </c>
      <c r="W194" s="172">
        <f ca="1">(VLOOKUP(W$72,INDIRECT($C$5&amp;"生成成长"),2))/((VLOOKUP($B194,INDIRECT($B$5&amp;"生成成长"),4))/(VLOOKUP(W$72,INDIRECT($C$5&amp;"生成成长"),5))*(VLOOKUP($B$5,标准坦克设计!$B$24:$U$30,MATCH("对"&amp;LEFT($C$5,2)&amp;"输出",标准坦克设计!$B$23:$U$23,0)))*(VLOOKUP($B194,INDIRECT($B$5&amp;"生成成长"),3))*(VLOOKUP($B$5,标准坦克设计!$B$14:$K$20,9)/30))</f>
        <v>6.8900752495022131</v>
      </c>
      <c r="X194" s="172">
        <f ca="1">(VLOOKUP(X$72,INDIRECT($C$5&amp;"生成成长"),2))/((VLOOKUP($B194,INDIRECT($B$5&amp;"生成成长"),4))/(VLOOKUP(X$72,INDIRECT($C$5&amp;"生成成长"),5))*(VLOOKUP($B$5,标准坦克设计!$B$24:$U$30,MATCH("对"&amp;LEFT($C$5,2)&amp;"输出",标准坦克设计!$B$23:$U$23,0)))*(VLOOKUP($B194,INDIRECT($B$5&amp;"生成成长"),3))*(VLOOKUP($B$5,标准坦克设计!$B$14:$K$20,9)/30))</f>
        <v>4.9917085999043724</v>
      </c>
      <c r="Y194" s="172">
        <f ca="1">(VLOOKUP(Y$72,INDIRECT($C$5&amp;"生成成长"),2))/((VLOOKUP($B194,INDIRECT($B$5&amp;"生成成长"),4))/(VLOOKUP(Y$72,INDIRECT($C$5&amp;"生成成长"),5))*(VLOOKUP($B$5,标准坦克设计!$B$24:$U$30,MATCH("对"&amp;LEFT($C$5,2)&amp;"输出",标准坦克设计!$B$23:$U$23,0)))*(VLOOKUP($B194,INDIRECT($B$5&amp;"生成成长"),3))*(VLOOKUP($B$5,标准坦克设计!$B$14:$K$20,9)/30))</f>
        <v>5.5521560404263477</v>
      </c>
      <c r="Z194" s="172">
        <f ca="1">(VLOOKUP(Z$72,INDIRECT($C$5&amp;"生成成长"),2))/((VLOOKUP($B194,INDIRECT($B$5&amp;"生成成长"),4))/(VLOOKUP(Z$72,INDIRECT($C$5&amp;"生成成长"),5))*(VLOOKUP($B$5,标准坦克设计!$B$24:$U$30,MATCH("对"&amp;LEFT($C$5,2)&amp;"输出",标准坦克设计!$B$23:$U$23,0)))*(VLOOKUP($B194,INDIRECT($B$5&amp;"生成成长"),3))*(VLOOKUP($B$5,标准坦克设计!$B$14:$K$20,9)/30))</f>
        <v>6.1424145150186407</v>
      </c>
      <c r="AA194" s="172">
        <f ca="1">(VLOOKUP(AA$72,INDIRECT($C$5&amp;"生成成长"),2))/((VLOOKUP($B194,INDIRECT($B$5&amp;"生成成长"),4))/(VLOOKUP(AA$72,INDIRECT($C$5&amp;"生成成长"),5))*(VLOOKUP($B$5,标准坦克设计!$B$24:$U$30,MATCH("对"&amp;LEFT($C$5,2)&amp;"输出",标准坦克设计!$B$23:$U$23,0)))*(VLOOKUP($B194,INDIRECT($B$5&amp;"生成成长"),3))*(VLOOKUP($B$5,标准坦克设计!$B$14:$K$20,9)/30))</f>
        <v>6.7624840236812531</v>
      </c>
      <c r="AB194" s="172">
        <f ca="1">(VLOOKUP(AB$72,INDIRECT($C$5&amp;"生成成长"),2))/((VLOOKUP($B194,INDIRECT($B$5&amp;"生成成长"),4))/(VLOOKUP(AB$72,INDIRECT($C$5&amp;"生成成长"),5))*(VLOOKUP($B$5,标准坦克设计!$B$24:$U$30,MATCH("对"&amp;LEFT($C$5,2)&amp;"输出",标准坦克设计!$B$23:$U$23,0)))*(VLOOKUP($B194,INDIRECT($B$5&amp;"生成成长"),3))*(VLOOKUP($B$5,标准坦克设计!$B$14:$K$20,9)/30))</f>
        <v>7.4123645664141815</v>
      </c>
      <c r="AC194" s="172">
        <f ca="1">(VLOOKUP(AC$72,INDIRECT($C$5&amp;"生成成长"),2))/((VLOOKUP($B194,INDIRECT($B$5&amp;"生成成长"),4))/(VLOOKUP(AC$72,INDIRECT($C$5&amp;"生成成长"),5))*(VLOOKUP($B$5,标准坦克设计!$B$24:$U$30,MATCH("对"&amp;LEFT($C$5,2)&amp;"输出",标准坦克设计!$B$23:$U$23,0)))*(VLOOKUP($B194,INDIRECT($B$5&amp;"生成成长"),3))*(VLOOKUP($B$5,标准坦克设计!$B$14:$K$20,9)/30))</f>
        <v>8.0920561432174285</v>
      </c>
      <c r="AD194" s="172">
        <f ca="1">(VLOOKUP(AD$72,INDIRECT($C$5&amp;"生成成长"),2))/((VLOOKUP($B194,INDIRECT($B$5&amp;"生成成长"),4))/(VLOOKUP(AD$72,INDIRECT($C$5&amp;"生成成长"),5))*(VLOOKUP($B$5,标准坦克设计!$B$24:$U$30,MATCH("对"&amp;LEFT($C$5,2)&amp;"输出",标准坦克设计!$B$23:$U$23,0)))*(VLOOKUP($B194,INDIRECT($B$5&amp;"生成成长"),3))*(VLOOKUP($B$5,标准坦克设计!$B$14:$K$20,9)/30))</f>
        <v>8.8015587540909923</v>
      </c>
      <c r="AE194" s="172">
        <f ca="1">(VLOOKUP(AE$72,INDIRECT($C$5&amp;"生成成长"),2))/((VLOOKUP($B194,INDIRECT($B$5&amp;"生成成长"),4))/(VLOOKUP(AE$72,INDIRECT($C$5&amp;"生成成长"),5))*(VLOOKUP($B$5,标准坦克设计!$B$24:$U$30,MATCH("对"&amp;LEFT($C$5,2)&amp;"输出",标准坦克设计!$B$23:$U$23,0)))*(VLOOKUP($B194,INDIRECT($B$5&amp;"生成成长"),3))*(VLOOKUP($B$5,标准坦克设计!$B$14:$K$20,9)/30))</f>
        <v>9.5408723990348747</v>
      </c>
      <c r="AF194" s="172">
        <f ca="1">(VLOOKUP(AF$72,INDIRECT($C$5&amp;"生成成长"),2))/((VLOOKUP($B194,INDIRECT($B$5&amp;"生成成长"),4))/(VLOOKUP(AF$72,INDIRECT($C$5&amp;"生成成长"),5))*(VLOOKUP($B$5,标准坦克设计!$B$24:$U$30,MATCH("对"&amp;LEFT($C$5,2)&amp;"输出",标准坦克设计!$B$23:$U$23,0)))*(VLOOKUP($B194,INDIRECT($B$5&amp;"生成成长"),3))*(VLOOKUP($B$5,标准坦克设计!$B$14:$K$20,9)/30))</f>
        <v>10.309997078049078</v>
      </c>
      <c r="AG194" s="172">
        <f ca="1">(VLOOKUP(AG$72,INDIRECT($C$5&amp;"生成成长"),2))/((VLOOKUP($B194,INDIRECT($B$5&amp;"生成成长"),4))/(VLOOKUP(AG$72,INDIRECT($C$5&amp;"生成成长"),5))*(VLOOKUP($B$5,标准坦克设计!$B$24:$U$30,MATCH("对"&amp;LEFT($C$5,2)&amp;"输出",标准坦克设计!$B$23:$U$23,0)))*(VLOOKUP($B194,INDIRECT($B$5&amp;"生成成长"),3))*(VLOOKUP($B$5,标准坦克设计!$B$14:$K$20,9)/30))</f>
        <v>11.108932791133595</v>
      </c>
      <c r="AH194" s="172">
        <f ca="1">(VLOOKUP(AH$72,INDIRECT($C$5&amp;"生成成长"),2))/((VLOOKUP($B194,INDIRECT($B$5&amp;"生成成长"),4))/(VLOOKUP(AH$72,INDIRECT($C$5&amp;"生成成长"),5))*(VLOOKUP($B$5,标准坦克设计!$B$24:$U$30,MATCH("对"&amp;LEFT($C$5,2)&amp;"输出",标准坦克设计!$B$23:$U$23,0)))*(VLOOKUP($B194,INDIRECT($B$5&amp;"生成成长"),3))*(VLOOKUP($B$5,标准坦克设计!$B$14:$K$20,9)/30))</f>
        <v>11.937679538288432</v>
      </c>
      <c r="AI194" s="172">
        <f ca="1">(VLOOKUP(AI$72,INDIRECT($C$5&amp;"生成成长"),2))/((VLOOKUP($B194,INDIRECT($B$5&amp;"生成成长"),4))/(VLOOKUP(AI$72,INDIRECT($C$5&amp;"生成成长"),5))*(VLOOKUP($B$5,标准坦克设计!$B$24:$U$30,MATCH("对"&amp;LEFT($C$5,2)&amp;"输出",标准坦克设计!$B$23:$U$23,0)))*(VLOOKUP($B194,INDIRECT($B$5&amp;"生成成长"),3))*(VLOOKUP($B$5,标准坦克设计!$B$14:$K$20,9)/30))</f>
        <v>8.4430810693954239</v>
      </c>
      <c r="AJ194" s="172">
        <f ca="1">(VLOOKUP(AJ$72,INDIRECT($C$5&amp;"生成成长"),2))/((VLOOKUP($B194,INDIRECT($B$5&amp;"生成成长"),4))/(VLOOKUP(AJ$72,INDIRECT($C$5&amp;"生成成长"),5))*(VLOOKUP($B$5,标准坦克设计!$B$24:$U$30,MATCH("对"&amp;LEFT($C$5,2)&amp;"输出",标准坦克设计!$B$23:$U$23,0)))*(VLOOKUP($B194,INDIRECT($B$5&amp;"生成成长"),3))*(VLOOKUP($B$5,标准坦克设计!$B$14:$K$20,9)/30))</f>
        <v>9.241569616968885</v>
      </c>
      <c r="AK194" s="172">
        <f ca="1">(VLOOKUP(AK$72,INDIRECT($C$5&amp;"生成成长"),2))/((VLOOKUP($B194,INDIRECT($B$5&amp;"生成成长"),4))/(VLOOKUP(AK$72,INDIRECT($C$5&amp;"生成成长"),5))*(VLOOKUP($B$5,标准坦克设计!$B$24:$U$30,MATCH("对"&amp;LEFT($C$5,2)&amp;"输出",标准坦克设计!$B$23:$U$23,0)))*(VLOOKUP($B194,INDIRECT($B$5&amp;"生成成长"),3))*(VLOOKUP($B$5,标准坦克设计!$B$14:$K$20,9)/30))</f>
        <v>10.076129515767432</v>
      </c>
      <c r="AL194" s="172">
        <f ca="1">(VLOOKUP(AL$72,INDIRECT($C$5&amp;"生成成长"),2))/((VLOOKUP($B194,INDIRECT($B$5&amp;"生成成长"),4))/(VLOOKUP(AL$72,INDIRECT($C$5&amp;"生成成长"),5))*(VLOOKUP($B$5,标准坦克设计!$B$24:$U$30,MATCH("对"&amp;LEFT($C$5,2)&amp;"输出",标准坦克设计!$B$23:$U$23,0)))*(VLOOKUP($B194,INDIRECT($B$5&amp;"生成成长"),3))*(VLOOKUP($B$5,标准坦克设计!$B$14:$K$20,9)/30))</f>
        <v>10.946760765791065</v>
      </c>
      <c r="AM194" s="172">
        <f ca="1">(VLOOKUP(AM$72,INDIRECT($C$5&amp;"生成成长"),2))/((VLOOKUP($B194,INDIRECT($B$5&amp;"生成成长"),4))/(VLOOKUP(AM$72,INDIRECT($C$5&amp;"生成成长"),5))*(VLOOKUP($B$5,标准坦克设计!$B$24:$U$30,MATCH("对"&amp;LEFT($C$5,2)&amp;"输出",标准坦克设计!$B$23:$U$23,0)))*(VLOOKUP($B194,INDIRECT($B$5&amp;"生成成长"),3))*(VLOOKUP($B$5,标准坦克设计!$B$14:$K$20,9)/30))</f>
        <v>11.853463367039787</v>
      </c>
      <c r="AN194" s="172">
        <f ca="1">(VLOOKUP(AN$72,INDIRECT($C$5&amp;"生成成长"),2))/((VLOOKUP($B194,INDIRECT($B$5&amp;"生成成长"),4))/(VLOOKUP(AN$72,INDIRECT($C$5&amp;"生成成长"),5))*(VLOOKUP($B$5,标准坦克设计!$B$24:$U$30,MATCH("对"&amp;LEFT($C$5,2)&amp;"输出",标准坦克设计!$B$23:$U$23,0)))*(VLOOKUP($B194,INDIRECT($B$5&amp;"生成成长"),3))*(VLOOKUP($B$5,标准坦克设计!$B$14:$K$20,9)/30))</f>
        <v>12.796237319513585</v>
      </c>
      <c r="AO194" s="172">
        <f ca="1">(VLOOKUP(AO$72,INDIRECT($C$5&amp;"生成成长"),2))/((VLOOKUP($B194,INDIRECT($B$5&amp;"生成成长"),4))/(VLOOKUP(AO$72,INDIRECT($C$5&amp;"生成成长"),5))*(VLOOKUP($B$5,标准坦克设计!$B$24:$U$30,MATCH("对"&amp;LEFT($C$5,2)&amp;"输出",标准坦克设计!$B$23:$U$23,0)))*(VLOOKUP($B194,INDIRECT($B$5&amp;"生成成长"),3))*(VLOOKUP($B$5,标准坦克设计!$B$14:$K$20,9)/30))</f>
        <v>13.775082623212473</v>
      </c>
      <c r="AP194" s="172">
        <f ca="1">(VLOOKUP(AP$72,INDIRECT($C$5&amp;"生成成长"),2))/((VLOOKUP($B194,INDIRECT($B$5&amp;"生成成长"),4))/(VLOOKUP(AP$72,INDIRECT($C$5&amp;"生成成长"),5))*(VLOOKUP($B$5,标准坦克设计!$B$24:$U$30,MATCH("对"&amp;LEFT($C$5,2)&amp;"输出",标准坦克设计!$B$23:$U$23,0)))*(VLOOKUP($B194,INDIRECT($B$5&amp;"生成成长"),3))*(VLOOKUP($B$5,标准坦克设计!$B$14:$K$20,9)/30))</f>
        <v>14.789999278136445</v>
      </c>
      <c r="AQ194" s="172">
        <f ca="1">(VLOOKUP(AQ$72,INDIRECT($C$5&amp;"生成成长"),2))/((VLOOKUP($B194,INDIRECT($B$5&amp;"生成成长"),4))/(VLOOKUP(AQ$72,INDIRECT($C$5&amp;"生成成长"),5))*(VLOOKUP($B$5,标准坦克设计!$B$24:$U$30,MATCH("对"&amp;LEFT($C$5,2)&amp;"输出",标准坦克设计!$B$23:$U$23,0)))*(VLOOKUP($B194,INDIRECT($B$5&amp;"生成成长"),3))*(VLOOKUP($B$5,标准坦克设计!$B$14:$K$20,9)/30))</f>
        <v>15.840987284285502</v>
      </c>
      <c r="AR194" s="172">
        <f ca="1">(VLOOKUP(AR$72,INDIRECT($C$5&amp;"生成成长"),2))/((VLOOKUP($B194,INDIRECT($B$5&amp;"生成成长"),4))/(VLOOKUP(AR$72,INDIRECT($C$5&amp;"生成成长"),5))*(VLOOKUP($B$5,标准坦克设计!$B$24:$U$30,MATCH("对"&amp;LEFT($C$5,2)&amp;"输出",标准坦克设计!$B$23:$U$23,0)))*(VLOOKUP($B194,INDIRECT($B$5&amp;"生成成长"),3))*(VLOOKUP($B$5,标准坦克设计!$B$14:$K$20,9)/30))</f>
        <v>16.928046641659638</v>
      </c>
      <c r="AS194" s="172">
        <f ca="1">(VLOOKUP(AS$72,INDIRECT($C$5&amp;"生成成长"),2))/((VLOOKUP($B194,INDIRECT($B$5&amp;"生成成长"),4))/(VLOOKUP(AS$72,INDIRECT($C$5&amp;"生成成长"),5))*(VLOOKUP($B$5,标准坦克设计!$B$24:$U$30,MATCH("对"&amp;LEFT($C$5,2)&amp;"输出",标准坦克设计!$B$23:$U$23,0)))*(VLOOKUP($B194,INDIRECT($B$5&amp;"生成成长"),3))*(VLOOKUP($B$5,标准坦克设计!$B$14:$K$20,9)/30))</f>
        <v>18.051177350258868</v>
      </c>
      <c r="AT194" s="172">
        <f ca="1">(VLOOKUP(AT$72,INDIRECT($C$5&amp;"生成成长"),2))/((VLOOKUP($B194,INDIRECT($B$5&amp;"生成成长"),4))/(VLOOKUP(AT$72,INDIRECT($C$5&amp;"生成成长"),5))*(VLOOKUP($B$5,标准坦克设计!$B$24:$U$30,MATCH("对"&amp;LEFT($C$5,2)&amp;"输出",标准坦克设计!$B$23:$U$23,0)))*(VLOOKUP($B194,INDIRECT($B$5&amp;"生成成长"),3))*(VLOOKUP($B$5,标准坦克设计!$B$14:$K$20,9)/30))</f>
        <v>19.210379410083178</v>
      </c>
      <c r="AU194" s="172">
        <f ca="1">(VLOOKUP(AU$72,INDIRECT($C$5&amp;"生成成长"),2))/((VLOOKUP($B194,INDIRECT($B$5&amp;"生成成长"),4))/(VLOOKUP(AU$72,INDIRECT($C$5&amp;"生成成长"),5))*(VLOOKUP($B$5,标准坦克设计!$B$24:$U$30,MATCH("对"&amp;LEFT($C$5,2)&amp;"输出",标准坦克设计!$B$23:$U$23,0)))*(VLOOKUP($B194,INDIRECT($B$5&amp;"生成成长"),3))*(VLOOKUP($B$5,标准坦克设计!$B$14:$K$20,9)/30))</f>
        <v>20.405652821132566</v>
      </c>
      <c r="AV194" s="172">
        <f ca="1">(VLOOKUP(AV$72,INDIRECT($C$5&amp;"生成成长"),2))/((VLOOKUP($B194,INDIRECT($B$5&amp;"生成成长"),4))/(VLOOKUP(AV$72,INDIRECT($C$5&amp;"生成成长"),5))*(VLOOKUP($B$5,标准坦克设计!$B$24:$U$30,MATCH("对"&amp;LEFT($C$5,2)&amp;"输出",标准坦克设计!$B$23:$U$23,0)))*(VLOOKUP($B194,INDIRECT($B$5&amp;"生成成长"),3))*(VLOOKUP($B$5,标准坦克设计!$B$14:$K$20,9)/30))</f>
        <v>2.0754441919755289</v>
      </c>
      <c r="AW194" s="172">
        <f ca="1">(VLOOKUP(AW$72,INDIRECT($C$5&amp;"生成成长"),2))/((VLOOKUP($B194,INDIRECT($B$5&amp;"生成成长"),4))/(VLOOKUP(AW$72,INDIRECT($C$5&amp;"生成成长"),5))*(VLOOKUP($B$5,标准坦克设计!$B$24:$U$30,MATCH("对"&amp;LEFT($C$5,2)&amp;"输出",标准坦克设计!$B$23:$U$23,0)))*(VLOOKUP($B194,INDIRECT($B$5&amp;"生成成长"),3))*(VLOOKUP($B$5,标准坦克设计!$B$14:$K$20,9)/30))</f>
        <v>2.3663998845018308</v>
      </c>
      <c r="AX194" s="172">
        <f ca="1">(VLOOKUP(AX$72,INDIRECT($C$5&amp;"生成成长"),2))/((VLOOKUP($B194,INDIRECT($B$5&amp;"生成成长"),4))/(VLOOKUP(AX$72,INDIRECT($C$5&amp;"生成成长"),5))*(VLOOKUP($B$5,标准坦克设计!$B$24:$U$30,MATCH("对"&amp;LEFT($C$5,2)&amp;"输出",标准坦克设计!$B$23:$U$23,0)))*(VLOOKUP($B194,INDIRECT($B$5&amp;"生成成长"),3))*(VLOOKUP($B$5,标准坦克设计!$B$14:$K$20,9)/30))</f>
        <v>2.676434638833137</v>
      </c>
      <c r="AY194" s="172">
        <f ca="1">(VLOOKUP(AY$72,INDIRECT($C$5&amp;"生成成长"),2))/((VLOOKUP($B194,INDIRECT($B$5&amp;"生成成长"),4))/(VLOOKUP(AY$72,INDIRECT($C$5&amp;"生成成长"),5))*(VLOOKUP($B$5,标准坦克设计!$B$24:$U$30,MATCH("对"&amp;LEFT($C$5,2)&amp;"输出",标准坦克设计!$B$23:$U$23,0)))*(VLOOKUP($B194,INDIRECT($B$5&amp;"生成成长"),3))*(VLOOKUP($B$5,标准坦克设计!$B$14:$K$20,9)/30))</f>
        <v>3.0055484549694458</v>
      </c>
      <c r="AZ194" s="172">
        <f ca="1">(VLOOKUP(AZ$72,INDIRECT($C$5&amp;"生成成长"),2))/((VLOOKUP($B194,INDIRECT($B$5&amp;"生成成长"),4))/(VLOOKUP(AZ$72,INDIRECT($C$5&amp;"生成成长"),5))*(VLOOKUP($B$5,标准坦克设计!$B$24:$U$30,MATCH("对"&amp;LEFT($C$5,2)&amp;"输出",标准坦克设计!$B$23:$U$23,0)))*(VLOOKUP($B194,INDIRECT($B$5&amp;"生成成长"),3))*(VLOOKUP($B$5,标准坦克设计!$B$14:$K$20,9)/30))</f>
        <v>3.3537413329107584</v>
      </c>
      <c r="BA194" s="172">
        <f ca="1">(VLOOKUP(BA$72,INDIRECT($C$5&amp;"生成成长"),2))/((VLOOKUP($B194,INDIRECT($B$5&amp;"生成成长"),4))/(VLOOKUP(BA$72,INDIRECT($C$5&amp;"生成成长"),5))*(VLOOKUP($B$5,标准坦克设计!$B$24:$U$30,MATCH("对"&amp;LEFT($C$5,2)&amp;"输出",标准坦克设计!$B$23:$U$23,0)))*(VLOOKUP($B194,INDIRECT($B$5&amp;"生成成长"),3))*(VLOOKUP($B$5,标准坦克设计!$B$14:$K$20,9)/30))</f>
        <v>3.7210132726570744</v>
      </c>
      <c r="BB194" s="172">
        <f ca="1">(VLOOKUP(BB$72,INDIRECT($C$5&amp;"生成成长"),2))/((VLOOKUP($B194,INDIRECT($B$5&amp;"生成成长"),4))/(VLOOKUP(BB$72,INDIRECT($C$5&amp;"生成成长"),5))*(VLOOKUP($B$5,标准坦克设计!$B$24:$U$30,MATCH("对"&amp;LEFT($C$5,2)&amp;"输出",标准坦克设计!$B$23:$U$23,0)))*(VLOOKUP($B194,INDIRECT($B$5&amp;"生成成长"),3))*(VLOOKUP($B$5,标准坦克设计!$B$14:$K$20,9)/30))</f>
        <v>4.1073642742083925</v>
      </c>
      <c r="BC194" s="172">
        <f ca="1">(VLOOKUP(BC$72,INDIRECT($C$5&amp;"生成成长"),2))/((VLOOKUP($B194,INDIRECT($B$5&amp;"生成成长"),4))/(VLOOKUP(BC$72,INDIRECT($C$5&amp;"生成成长"),5))*(VLOOKUP($B$5,标准坦克设计!$B$24:$U$30,MATCH("对"&amp;LEFT($C$5,2)&amp;"输出",标准坦克设计!$B$23:$U$23,0)))*(VLOOKUP($B194,INDIRECT($B$5&amp;"生成成长"),3))*(VLOOKUP($B$5,标准坦克设计!$B$14:$K$20,9)/30))</f>
        <v>4.512794337564717</v>
      </c>
      <c r="BD194" s="172">
        <f ca="1">(VLOOKUP(BD$72,INDIRECT($C$5&amp;"生成成长"),2))/((VLOOKUP($B194,INDIRECT($B$5&amp;"生成成长"),4))/(VLOOKUP(BD$72,INDIRECT($C$5&amp;"生成成长"),5))*(VLOOKUP($B$5,标准坦克设计!$B$24:$U$30,MATCH("对"&amp;LEFT($C$5,2)&amp;"输出",标准坦克设计!$B$23:$U$23,0)))*(VLOOKUP($B194,INDIRECT($B$5&amp;"生成成长"),3))*(VLOOKUP($B$5,标准坦克设计!$B$14:$K$20,9)/30))</f>
        <v>4.9917085999043724</v>
      </c>
      <c r="BE194" s="172">
        <f ca="1">(VLOOKUP(BE$72,INDIRECT($C$5&amp;"生成成长"),2))/((VLOOKUP($B194,INDIRECT($B$5&amp;"生成成长"),4))/(VLOOKUP(BE$72,INDIRECT($C$5&amp;"生成成长"),5))*(VLOOKUP($B$5,标准坦克设计!$B$24:$U$30,MATCH("对"&amp;LEFT($C$5,2)&amp;"输出",标准坦克设计!$B$23:$U$23,0)))*(VLOOKUP($B194,INDIRECT($B$5&amp;"生成成长"),3))*(VLOOKUP($B$5,标准坦克设计!$B$14:$K$20,9)/30))</f>
        <v>5.494769799840987</v>
      </c>
      <c r="BF194" s="172">
        <f ca="1">(VLOOKUP(BF$72,INDIRECT($C$5&amp;"生成成长"),2))/((VLOOKUP($B194,INDIRECT($B$5&amp;"生成成长"),4))/(VLOOKUP(BF$72,INDIRECT($C$5&amp;"生成成长"),5))*(VLOOKUP($B$5,标准坦克设计!$B$24:$U$30,MATCH("对"&amp;LEFT($C$5,2)&amp;"输出",标准坦克设计!$B$23:$U$23,0)))*(VLOOKUP($B194,INDIRECT($B$5&amp;"生成成长"),3))*(VLOOKUP($B$5,标准坦克设计!$B$14:$K$20,9)/30))</f>
        <v>6.0219779373745572</v>
      </c>
      <c r="BG194" s="172">
        <f ca="1">(VLOOKUP(BG$72,INDIRECT($C$5&amp;"生成成长"),2))/((VLOOKUP($B194,INDIRECT($B$5&amp;"生成成长"),4))/(VLOOKUP(BG$72,INDIRECT($C$5&amp;"生成成长"),5))*(VLOOKUP($B$5,标准坦克设计!$B$24:$U$30,MATCH("对"&amp;LEFT($C$5,2)&amp;"输出",标准坦克设计!$B$23:$U$23,0)))*(VLOOKUP($B194,INDIRECT($B$5&amp;"生成成长"),3))*(VLOOKUP($B$5,标准坦克设计!$B$14:$K$20,9)/30))</f>
        <v>6.5733330125050866</v>
      </c>
      <c r="BH194" s="172">
        <f ca="1">(VLOOKUP(BH$72,INDIRECT($C$5&amp;"生成成长"),2))/((VLOOKUP($B194,INDIRECT($B$5&amp;"生成成长"),4))/(VLOOKUP(BH$72,INDIRECT($C$5&amp;"生成成长"),5))*(VLOOKUP($B$5,标准坦克设计!$B$24:$U$30,MATCH("对"&amp;LEFT($C$5,2)&amp;"输出",标准坦克设计!$B$23:$U$23,0)))*(VLOOKUP($B194,INDIRECT($B$5&amp;"生成成长"),3))*(VLOOKUP($B$5,标准坦克设计!$B$14:$K$20,9)/30))</f>
        <v>3.1772600112144764</v>
      </c>
      <c r="BI194" s="172">
        <f ca="1">(VLOOKUP(BI$72,INDIRECT($C$5&amp;"生成成长"),2))/((VLOOKUP($B194,INDIRECT($B$5&amp;"生成成长"),4))/(VLOOKUP(BI$72,INDIRECT($C$5&amp;"生成成长"),5))*(VLOOKUP($B$5,标准坦克设计!$B$24:$U$30,MATCH("对"&amp;LEFT($C$5,2)&amp;"输出",标准坦克设计!$B$23:$U$23,0)))*(VLOOKUP($B194,INDIRECT($B$5&amp;"生成成长"),3))*(VLOOKUP($B$5,标准坦克设计!$B$14:$K$20,9)/30))</f>
        <v>3.5810504676969317</v>
      </c>
      <c r="BJ194" s="172">
        <f ca="1">(VLOOKUP(BJ$72,INDIRECT($C$5&amp;"生成成长"),2))/((VLOOKUP($B194,INDIRECT($B$5&amp;"生成成长"),4))/(VLOOKUP(BJ$72,INDIRECT($C$5&amp;"生成成长"),5))*(VLOOKUP($B$5,标准坦克设计!$B$24:$U$30,MATCH("对"&amp;LEFT($C$5,2)&amp;"输出",标准坦克设计!$B$23:$U$23,0)))*(VLOOKUP($B194,INDIRECT($B$5&amp;"生成成长"),3))*(VLOOKUP($B$5,标准坦克设计!$B$14:$K$20,9)/30))</f>
        <v>4.0089878617763448</v>
      </c>
      <c r="BK194" s="172">
        <f ca="1">(VLOOKUP(BK$72,INDIRECT($C$5&amp;"生成成长"),2))/((VLOOKUP($B194,INDIRECT($B$5&amp;"生成成长"),4))/(VLOOKUP(BK$72,INDIRECT($C$5&amp;"生成成长"),5))*(VLOOKUP($B$5,标准坦克设计!$B$24:$U$30,MATCH("对"&amp;LEFT($C$5,2)&amp;"输出",标准坦克设计!$B$23:$U$23,0)))*(VLOOKUP($B194,INDIRECT($B$5&amp;"生成成长"),3))*(VLOOKUP($B$5,标准坦克设计!$B$14:$K$20,9)/30))</f>
        <v>4.4610721934527149</v>
      </c>
      <c r="BL194" s="172">
        <f ca="1">(VLOOKUP(BL$72,INDIRECT($C$5&amp;"生成成长"),2))/((VLOOKUP($B194,INDIRECT($B$5&amp;"生成成长"),4))/(VLOOKUP(BL$72,INDIRECT($C$5&amp;"生成成长"),5))*(VLOOKUP($B$5,标准坦克设计!$B$24:$U$30,MATCH("对"&amp;LEFT($C$5,2)&amp;"输出",标准坦克设计!$B$23:$U$23,0)))*(VLOOKUP($B194,INDIRECT($B$5&amp;"生成成长"),3))*(VLOOKUP($B$5,标准坦克设计!$B$14:$K$20,9)/30))</f>
        <v>4.9373034627260433</v>
      </c>
      <c r="BM194" s="172">
        <f ca="1">(VLOOKUP(BM$72,INDIRECT($C$5&amp;"生成成长"),2))/((VLOOKUP($B194,INDIRECT($B$5&amp;"生成成长"),4))/(VLOOKUP(BM$72,INDIRECT($C$5&amp;"生成成长"),5))*(VLOOKUP($B$5,标准坦克设计!$B$24:$U$30,MATCH("对"&amp;LEFT($C$5,2)&amp;"输出",标准坦克设计!$B$23:$U$23,0)))*(VLOOKUP($B194,INDIRECT($B$5&amp;"生成成长"),3))*(VLOOKUP($B$5,标准坦克设计!$B$14:$K$20,9)/30))</f>
        <v>5.4376816695963281</v>
      </c>
      <c r="BN194" s="172">
        <f ca="1">(VLOOKUP(BN$72,INDIRECT($C$5&amp;"生成成长"),2))/((VLOOKUP($B194,INDIRECT($B$5&amp;"生成成长"),4))/(VLOOKUP(BN$72,INDIRECT($C$5&amp;"生成成长"),5))*(VLOOKUP($B$5,标准坦克设计!$B$24:$U$30,MATCH("对"&amp;LEFT($C$5,2)&amp;"输出",标准坦克设计!$B$23:$U$23,0)))*(VLOOKUP($B194,INDIRECT($B$5&amp;"生成成长"),3))*(VLOOKUP($B$5,标准坦克设计!$B$14:$K$20,9)/30))</f>
        <v>5.9622068140635696</v>
      </c>
      <c r="BO194" s="172">
        <f ca="1">(VLOOKUP(BO$72,INDIRECT($C$5&amp;"生成成长"),2))/((VLOOKUP($B194,INDIRECT($B$5&amp;"生成成长"),4))/(VLOOKUP(BO$72,INDIRECT($C$5&amp;"生成成长"),5))*(VLOOKUP($B$5,标准坦克设计!$B$24:$U$30,MATCH("对"&amp;LEFT($C$5,2)&amp;"输出",标准坦克设计!$B$23:$U$23,0)))*(VLOOKUP($B194,INDIRECT($B$5&amp;"生成成长"),3))*(VLOOKUP($B$5,标准坦克设计!$B$14:$K$20,9)/30))</f>
        <v>6.510878896127771</v>
      </c>
      <c r="BP194" s="172">
        <f ca="1">(VLOOKUP(BP$72,INDIRECT($C$5&amp;"生成成长"),2))/((VLOOKUP($B194,INDIRECT($B$5&amp;"生成成长"),4))/(VLOOKUP(BP$72,INDIRECT($C$5&amp;"生成成长"),5))*(VLOOKUP($B$5,标准坦克设计!$B$24:$U$30,MATCH("对"&amp;LEFT($C$5,2)&amp;"输出",标准坦克设计!$B$23:$U$23,0)))*(VLOOKUP($B194,INDIRECT($B$5&amp;"生成成长"),3))*(VLOOKUP($B$5,标准坦克设计!$B$14:$K$20,9)/30))</f>
        <v>7.0836979157889282</v>
      </c>
      <c r="BQ194" s="172">
        <f ca="1">(VLOOKUP(BQ$72,INDIRECT($C$5&amp;"生成成长"),2))/((VLOOKUP($B194,INDIRECT($B$5&amp;"生成成长"),4))/(VLOOKUP(BQ$72,INDIRECT($C$5&amp;"生成成长"),5))*(VLOOKUP($B$5,标准坦克设计!$B$24:$U$30,MATCH("对"&amp;LEFT($C$5,2)&amp;"输出",标准坦克设计!$B$23:$U$23,0)))*(VLOOKUP($B194,INDIRECT($B$5&amp;"生成成长"),3))*(VLOOKUP($B$5,标准坦克设计!$B$14:$K$20,9)/30))</f>
        <v>7.6806638730470427</v>
      </c>
      <c r="BR194" s="172">
        <f ca="1">(VLOOKUP(BR$72,INDIRECT($C$5&amp;"生成成长"),2))/((VLOOKUP($B194,INDIRECT($B$5&amp;"生成成长"),4))/(VLOOKUP(BR$72,INDIRECT($C$5&amp;"生成成长"),5))*(VLOOKUP($B$5,标准坦克设计!$B$24:$U$30,MATCH("对"&amp;LEFT($C$5,2)&amp;"输出",标准坦克设计!$B$23:$U$23,0)))*(VLOOKUP($B194,INDIRECT($B$5&amp;"生成成长"),3))*(VLOOKUP($B$5,标准坦克设计!$B$14:$K$20,9)/30))</f>
        <v>8.3722798634784166</v>
      </c>
      <c r="BS194" s="172">
        <f ca="1">(VLOOKUP(BS$72,INDIRECT($C$5&amp;"生成成长"),2))/((VLOOKUP($B194,INDIRECT($B$5&amp;"生成成长"),4))/(VLOOKUP(BS$72,INDIRECT($C$5&amp;"生成成长"),5))*(VLOOKUP($B$5,标准坦克设计!$B$24:$U$30,MATCH("对"&amp;LEFT($C$5,2)&amp;"输出",标准坦克设计!$B$23:$U$23,0)))*(VLOOKUP($B194,INDIRECT($B$5&amp;"生成成长"),3))*(VLOOKUP($B$5,标准坦克设计!$B$14:$K$20,9)/30))</f>
        <v>9.09370688798011</v>
      </c>
      <c r="BT194" s="172">
        <f ca="1">(VLOOKUP(BT$72,INDIRECT($C$5&amp;"生成成长"),2))/((VLOOKUP($B194,INDIRECT($B$5&amp;"生成成长"),4))/(VLOOKUP(BT$72,INDIRECT($C$5&amp;"生成成长"),5))*(VLOOKUP($B$5,标准坦克设计!$B$24:$U$30,MATCH("对"&amp;LEFT($C$5,2)&amp;"输出",标准坦克设计!$B$23:$U$23,0)))*(VLOOKUP($B194,INDIRECT($B$5&amp;"生成成长"),3))*(VLOOKUP($B$5,标准坦克设计!$B$14:$K$20,9)/30))</f>
        <v>9.8449449465521184</v>
      </c>
      <c r="BU194" s="172">
        <f ca="1">(VLOOKUP(BU$72,INDIRECT($C$5&amp;"生成成长"),2))/((VLOOKUP($B194,INDIRECT($B$5&amp;"生成成长"),4))/(VLOOKUP(BU$72,INDIRECT($C$5&amp;"生成成长"),5))*(VLOOKUP($B$5,标准坦克设计!$B$24:$U$30,MATCH("对"&amp;LEFT($C$5,2)&amp;"输出",标准坦克设计!$B$23:$U$23,0)))*(VLOOKUP($B194,INDIRECT($B$5&amp;"生成成长"),3))*(VLOOKUP($B$5,标准坦克设计!$B$14:$K$20,9)/30))</f>
        <v>10.625994039194445</v>
      </c>
      <c r="BV194" s="172">
        <f ca="1">(VLOOKUP(BV$72,INDIRECT($C$5&amp;"生成成长"),2))/((VLOOKUP($B194,INDIRECT($B$5&amp;"生成成长"),4))/(VLOOKUP(BV$72,INDIRECT($C$5&amp;"生成成长"),5))*(VLOOKUP($B$5,标准坦克设计!$B$24:$U$30,MATCH("对"&amp;LEFT($C$5,2)&amp;"输出",标准坦克设计!$B$23:$U$23,0)))*(VLOOKUP($B194,INDIRECT($B$5&amp;"生成成长"),3))*(VLOOKUP($B$5,标准坦克设计!$B$14:$K$20,9)/30))</f>
        <v>11.436854165907091</v>
      </c>
      <c r="BW194" s="172">
        <f ca="1">(VLOOKUP(BW$72,INDIRECT($C$5&amp;"生成成长"),2))/((VLOOKUP($B194,INDIRECT($B$5&amp;"生成成长"),4))/(VLOOKUP(BW$72,INDIRECT($C$5&amp;"生成成长"),5))*(VLOOKUP($B$5,标准坦克设计!$B$24:$U$30,MATCH("对"&amp;LEFT($C$5,2)&amp;"输出",标准坦克设计!$B$23:$U$23,0)))*(VLOOKUP($B194,INDIRECT($B$5&amp;"生成成长"),3))*(VLOOKUP($B$5,标准坦克设计!$B$14:$K$20,9)/30))</f>
        <v>5.2123102520247251</v>
      </c>
      <c r="BX194" s="172">
        <f ca="1">(VLOOKUP(BX$72,INDIRECT($C$5&amp;"生成成长"),2))/((VLOOKUP($B194,INDIRECT($B$5&amp;"生成成长"),4))/(VLOOKUP(BX$72,INDIRECT($C$5&amp;"生成成长"),5))*(VLOOKUP($B$5,标准坦克设计!$B$24:$U$30,MATCH("对"&amp;LEFT($C$5,2)&amp;"输出",标准坦克设计!$B$23:$U$23,0)))*(VLOOKUP($B194,INDIRECT($B$5&amp;"生成成长"),3))*(VLOOKUP($B$5,标准坦克设计!$B$14:$K$20,9)/30))</f>
        <v>5.7846821061748273</v>
      </c>
      <c r="BY194" s="172">
        <f ca="1">(VLOOKUP(BY$72,INDIRECT($C$5&amp;"生成成长"),2))/((VLOOKUP($B194,INDIRECT($B$5&amp;"生成成长"),4))/(VLOOKUP(BY$72,INDIRECT($C$5&amp;"生成成长"),5))*(VLOOKUP($B$5,标准坦克设计!$B$24:$U$30,MATCH("对"&amp;LEFT($C$5,2)&amp;"输出",标准坦克设计!$B$23:$U$23,0)))*(VLOOKUP($B194,INDIRECT($B$5&amp;"生成成长"),3))*(VLOOKUP($B$5,标准坦克设计!$B$14:$K$20,9)/30))</f>
        <v>6.386864994395248</v>
      </c>
      <c r="BZ194" s="172">
        <f ca="1">(VLOOKUP(BZ$72,INDIRECT($C$5&amp;"生成成长"),2))/((VLOOKUP($B194,INDIRECT($B$5&amp;"生成成长"),4))/(VLOOKUP(BZ$72,INDIRECT($C$5&amp;"生成成长"),5))*(VLOOKUP($B$5,标准坦克设计!$B$24:$U$30,MATCH("对"&amp;LEFT($C$5,2)&amp;"输出",标准坦克设计!$B$23:$U$23,0)))*(VLOOKUP($B194,INDIRECT($B$5&amp;"生成成长"),3))*(VLOOKUP($B$5,标准坦克设计!$B$14:$K$20,9)/30))</f>
        <v>7.0188589166859865</v>
      </c>
      <c r="CA194" s="172">
        <f ca="1">(VLOOKUP(CA$72,INDIRECT($C$5&amp;"生成成长"),2))/((VLOOKUP($B194,INDIRECT($B$5&amp;"生成成长"),4))/(VLOOKUP(CA$72,INDIRECT($C$5&amp;"生成成长"),5))*(VLOOKUP($B$5,标准坦克设计!$B$24:$U$30,MATCH("对"&amp;LEFT($C$5,2)&amp;"输出",标准坦克设计!$B$23:$U$23,0)))*(VLOOKUP($B194,INDIRECT($B$5&amp;"生成成长"),3))*(VLOOKUP($B$5,标准坦克设计!$B$14:$K$20,9)/30))</f>
        <v>7.6806638730470427</v>
      </c>
      <c r="CB194" s="172">
        <f ca="1">(VLOOKUP(CB$72,INDIRECT($C$5&amp;"生成成长"),2))/((VLOOKUP($B194,INDIRECT($B$5&amp;"生成成长"),4))/(VLOOKUP(CB$72,INDIRECT($C$5&amp;"生成成长"),5))*(VLOOKUP($B$5,标准坦克设计!$B$24:$U$30,MATCH("对"&amp;LEFT($C$5,2)&amp;"输出",标准坦克设计!$B$23:$U$23,0)))*(VLOOKUP($B194,INDIRECT($B$5&amp;"生成成长"),3))*(VLOOKUP($B$5,标准坦克设计!$B$14:$K$20,9)/30))</f>
        <v>8.3722798634784166</v>
      </c>
      <c r="CC194" s="172">
        <f ca="1">(VLOOKUP(CC$72,INDIRECT($C$5&amp;"生成成长"),2))/((VLOOKUP($B194,INDIRECT($B$5&amp;"生成成长"),4))/(VLOOKUP(CC$72,INDIRECT($C$5&amp;"生成成长"),5))*(VLOOKUP($B$5,标准坦克设计!$B$24:$U$30,MATCH("对"&amp;LEFT($C$5,2)&amp;"输出",标准坦克设计!$B$23:$U$23,0)))*(VLOOKUP($B194,INDIRECT($B$5&amp;"生成成长"),3))*(VLOOKUP($B$5,标准坦克设计!$B$14:$K$20,9)/30))</f>
        <v>9.09370688798011</v>
      </c>
      <c r="CD194" s="172">
        <f ca="1">(VLOOKUP(CD$72,INDIRECT($C$5&amp;"生成成长"),2))/((VLOOKUP($B194,INDIRECT($B$5&amp;"生成成长"),4))/(VLOOKUP(CD$72,INDIRECT($C$5&amp;"生成成长"),5))*(VLOOKUP($B$5,标准坦克设计!$B$24:$U$30,MATCH("对"&amp;LEFT($C$5,2)&amp;"输出",标准坦克设计!$B$23:$U$23,0)))*(VLOOKUP($B194,INDIRECT($B$5&amp;"生成成长"),3))*(VLOOKUP($B$5,标准坦克设计!$B$14:$K$20,9)/30))</f>
        <v>9.8449449465521184</v>
      </c>
      <c r="CE194" s="172">
        <f ca="1">(VLOOKUP(CE$72,INDIRECT($C$5&amp;"生成成长"),2))/((VLOOKUP($B194,INDIRECT($B$5&amp;"生成成长"),4))/(VLOOKUP(CE$72,INDIRECT($C$5&amp;"生成成长"),5))*(VLOOKUP($B$5,标准坦克设计!$B$24:$U$30,MATCH("对"&amp;LEFT($C$5,2)&amp;"输出",标准坦克设计!$B$23:$U$23,0)))*(VLOOKUP($B194,INDIRECT($B$5&amp;"生成成长"),3))*(VLOOKUP($B$5,标准坦克设计!$B$14:$K$20,9)/30))</f>
        <v>10.625994039194445</v>
      </c>
      <c r="CF194" s="172">
        <f ca="1">(VLOOKUP(CF$72,INDIRECT($C$5&amp;"生成成长"),2))/((VLOOKUP($B194,INDIRECT($B$5&amp;"生成成长"),4))/(VLOOKUP(CF$72,INDIRECT($C$5&amp;"生成成长"),5))*(VLOOKUP($B$5,标准坦克设计!$B$24:$U$30,MATCH("对"&amp;LEFT($C$5,2)&amp;"输出",标准坦克设计!$B$23:$U$23,0)))*(VLOOKUP($B194,INDIRECT($B$5&amp;"生成成长"),3))*(VLOOKUP($B$5,标准坦克设计!$B$14:$K$20,9)/30))</f>
        <v>11.436854165907091</v>
      </c>
      <c r="CG194" s="172">
        <f ca="1">(VLOOKUP(CG$72,INDIRECT($C$5&amp;"生成成长"),2))/((VLOOKUP($B194,INDIRECT($B$5&amp;"生成成长"),4))/(VLOOKUP(CG$72,INDIRECT($C$5&amp;"生成成长"),5))*(VLOOKUP($B$5,标准坦克设计!$B$24:$U$30,MATCH("对"&amp;LEFT($C$5,2)&amp;"输出",标准坦克设计!$B$23:$U$23,0)))*(VLOOKUP($B194,INDIRECT($B$5&amp;"生成成长"),3))*(VLOOKUP($B$5,标准坦克设计!$B$14:$K$20,9)/30))</f>
        <v>12.277525326690055</v>
      </c>
      <c r="CH194" s="172">
        <f ca="1">(VLOOKUP(CH$72,INDIRECT($C$5&amp;"生成成长"),2))/((VLOOKUP($B194,INDIRECT($B$5&amp;"生成成长"),4))/(VLOOKUP(CH$72,INDIRECT($C$5&amp;"生成成长"),5))*(VLOOKUP($B$5,标准坦克设计!$B$24:$U$30,MATCH("对"&amp;LEFT($C$5,2)&amp;"输出",标准坦克设计!$B$23:$U$23,0)))*(VLOOKUP($B194,INDIRECT($B$5&amp;"生成成长"),3))*(VLOOKUP($B$5,标准坦克设计!$B$14:$K$20,9)/30))</f>
        <v>13.148007521543336</v>
      </c>
      <c r="CI194" s="172">
        <f ca="1">(VLOOKUP(CI$72,INDIRECT($C$5&amp;"生成成长"),2))/((VLOOKUP($B194,INDIRECT($B$5&amp;"生成成长"),4))/(VLOOKUP(CI$72,INDIRECT($C$5&amp;"生成成长"),5))*(VLOOKUP($B$5,标准坦克设计!$B$24:$U$30,MATCH("对"&amp;LEFT($C$5,2)&amp;"输出",标准坦克设计!$B$23:$U$23,0)))*(VLOOKUP($B194,INDIRECT($B$5&amp;"生成成长"),3))*(VLOOKUP($B$5,标准坦克设计!$B$14:$K$20,9)/30))</f>
        <v>14.139969680233163</v>
      </c>
      <c r="CJ194" s="172">
        <f ca="1">(VLOOKUP(CJ$72,INDIRECT($C$5&amp;"生成成长"),2))/((VLOOKUP($B194,INDIRECT($B$5&amp;"生成成长"),4))/(VLOOKUP(CJ$72,INDIRECT($C$5&amp;"生成成长"),5))*(VLOOKUP($B$5,标准坦克设计!$B$24:$U$30,MATCH("对"&amp;LEFT($C$5,2)&amp;"输出",标准坦克设计!$B$23:$U$23,0)))*(VLOOKUP($B194,INDIRECT($B$5&amp;"生成成长"),3))*(VLOOKUP($B$5,标准坦克设计!$B$14:$K$20,9)/30))</f>
        <v>15.168003190148076</v>
      </c>
      <c r="CK194" s="172">
        <f ca="1">(VLOOKUP(CK$72,INDIRECT($C$5&amp;"生成成长"),2))/((VLOOKUP($B194,INDIRECT($B$5&amp;"生成成长"),4))/(VLOOKUP(CK$72,INDIRECT($C$5&amp;"生成成长"),5))*(VLOOKUP($B$5,标准坦克设计!$B$24:$U$30,MATCH("对"&amp;LEFT($C$5,2)&amp;"输出",标准坦克设计!$B$23:$U$23,0)))*(VLOOKUP($B194,INDIRECT($B$5&amp;"生成成长"),3))*(VLOOKUP($B$5,标准坦克设计!$B$14:$K$20,9)/30))</f>
        <v>16.232108051288069</v>
      </c>
      <c r="CL194" s="172">
        <f ca="1">(VLOOKUP(CL$72,INDIRECT($C$5&amp;"生成成长"),2))/((VLOOKUP($B194,INDIRECT($B$5&amp;"生成成长"),4))/(VLOOKUP(CL$72,INDIRECT($C$5&amp;"生成成长"),5))*(VLOOKUP($B$5,标准坦克设计!$B$24:$U$30,MATCH("对"&amp;LEFT($C$5,2)&amp;"输出",标准坦克设计!$B$23:$U$23,0)))*(VLOOKUP($B194,INDIRECT($B$5&amp;"生成成长"),3))*(VLOOKUP($B$5,标准坦克设计!$B$14:$K$20,9)/30))</f>
        <v>17.33228426365315</v>
      </c>
      <c r="CM194" s="172">
        <f ca="1">(VLOOKUP(CM$72,INDIRECT($C$5&amp;"生成成长"),2))/((VLOOKUP($B194,INDIRECT($B$5&amp;"生成成长"),4))/(VLOOKUP(CM$72,INDIRECT($C$5&amp;"生成成长"),5))*(VLOOKUP($B$5,标准坦克设计!$B$24:$U$30,MATCH("对"&amp;LEFT($C$5,2)&amp;"输出",标准坦克设计!$B$23:$U$23,0)))*(VLOOKUP($B194,INDIRECT($B$5&amp;"生成成长"),3))*(VLOOKUP($B$5,标准坦克设计!$B$14:$K$20,9)/30))</f>
        <v>18.468531827243311</v>
      </c>
      <c r="CN194" s="172">
        <f ca="1">(VLOOKUP(CN$72,INDIRECT($C$5&amp;"生成成长"),2))/((VLOOKUP($B194,INDIRECT($B$5&amp;"生成成长"),4))/(VLOOKUP(CN$72,INDIRECT($C$5&amp;"生成成长"),5))*(VLOOKUP($B$5,标准坦克设计!$B$24:$U$30,MATCH("对"&amp;LEFT($C$5,2)&amp;"输出",标准坦克设计!$B$23:$U$23,0)))*(VLOOKUP($B194,INDIRECT($B$5&amp;"生成成长"),3))*(VLOOKUP($B$5,标准坦克设计!$B$14:$K$20,9)/30))</f>
        <v>19.640850742058564</v>
      </c>
      <c r="CO194" s="172">
        <f ca="1">(VLOOKUP(CO$72,INDIRECT($C$5&amp;"生成成长"),2))/((VLOOKUP($B194,INDIRECT($B$5&amp;"生成成长"),4))/(VLOOKUP(CO$72,INDIRECT($C$5&amp;"生成成长"),5))*(VLOOKUP($B$5,标准坦克设计!$B$24:$U$30,MATCH("对"&amp;LEFT($C$5,2)&amp;"输出",标准坦克设计!$B$23:$U$23,0)))*(VLOOKUP($B194,INDIRECT($B$5&amp;"生成成长"),3))*(VLOOKUP($B$5,标准坦克设计!$B$14:$K$20,9)/30))</f>
        <v>8.8015587540909923</v>
      </c>
      <c r="CP194" s="172">
        <f ca="1">(VLOOKUP(CP$72,INDIRECT($C$5&amp;"生成成长"),2))/((VLOOKUP($B194,INDIRECT($B$5&amp;"生成成长"),4))/(VLOOKUP(CP$72,INDIRECT($C$5&amp;"生成成长"),5))*(VLOOKUP($B$5,标准坦克设计!$B$24:$U$30,MATCH("对"&amp;LEFT($C$5,2)&amp;"输出",标准坦克设计!$B$23:$U$23,0)))*(VLOOKUP($B194,INDIRECT($B$5&amp;"生成成长"),3))*(VLOOKUP($B$5,标准坦克设计!$B$14:$K$20,9)/30))</f>
        <v>9.6164433704031325</v>
      </c>
      <c r="CQ194" s="172">
        <f ca="1">(VLOOKUP(CQ$72,INDIRECT($C$5&amp;"生成成长"),2))/((VLOOKUP($B194,INDIRECT($B$5&amp;"生成成长"),4))/(VLOOKUP(CQ$72,INDIRECT($C$5&amp;"生成成长"),5))*(VLOOKUP($B$5,标准坦克设计!$B$24:$U$30,MATCH("对"&amp;LEFT($C$5,2)&amp;"输出",标准坦克设计!$B$23:$U$23,0)))*(VLOOKUP($B194,INDIRECT($B$5&amp;"生成成长"),3))*(VLOOKUP($B$5,标准坦克设计!$B$14:$K$20,9)/30))</f>
        <v>10.467399337940355</v>
      </c>
      <c r="CR194" s="172">
        <f ca="1">(VLOOKUP(CR$72,INDIRECT($C$5&amp;"生成成长"),2))/((VLOOKUP($B194,INDIRECT($B$5&amp;"生成成长"),4))/(VLOOKUP(CR$72,INDIRECT($C$5&amp;"生成成长"),5))*(VLOOKUP($B$5,标准坦克设计!$B$24:$U$30,MATCH("对"&amp;LEFT($C$5,2)&amp;"输出",标准坦克设计!$B$23:$U$23,0)))*(VLOOKUP($B194,INDIRECT($B$5&amp;"生成成长"),3))*(VLOOKUP($B$5,标准坦克设计!$B$14:$K$20,9)/30))</f>
        <v>11.354426656702664</v>
      </c>
      <c r="CS194" s="172">
        <f ca="1">(VLOOKUP(CS$72,INDIRECT($C$5&amp;"生成成长"),2))/((VLOOKUP($B194,INDIRECT($B$5&amp;"生成成长"),4))/(VLOOKUP(CS$72,INDIRECT($C$5&amp;"生成成长"),5))*(VLOOKUP($B$5,标准坦克设计!$B$24:$U$30,MATCH("对"&amp;LEFT($C$5,2)&amp;"输出",标准坦克设计!$B$23:$U$23,0)))*(VLOOKUP($B194,INDIRECT($B$5&amp;"生成成长"),3))*(VLOOKUP($B$5,标准坦克设计!$B$14:$K$20,9)/30))</f>
        <v>12.277525326690055</v>
      </c>
      <c r="CT194" s="172">
        <f ca="1">(VLOOKUP(CT$72,INDIRECT($C$5&amp;"生成成长"),2))/((VLOOKUP($B194,INDIRECT($B$5&amp;"生成成长"),4))/(VLOOKUP(CT$72,INDIRECT($C$5&amp;"生成成长"),5))*(VLOOKUP($B$5,标准坦克设计!$B$24:$U$30,MATCH("对"&amp;LEFT($C$5,2)&amp;"输出",标准坦克设计!$B$23:$U$23,0)))*(VLOOKUP($B194,INDIRECT($B$5&amp;"生成成长"),3))*(VLOOKUP($B$5,标准坦克设计!$B$14:$K$20,9)/30))</f>
        <v>13.236695347902533</v>
      </c>
      <c r="CU194" s="172">
        <f ca="1">(VLOOKUP(CU$72,INDIRECT($C$5&amp;"生成成长"),2))/((VLOOKUP($B194,INDIRECT($B$5&amp;"生成成长"),4))/(VLOOKUP(CU$72,INDIRECT($C$5&amp;"生成成长"),5))*(VLOOKUP($B$5,标准坦克设计!$B$24:$U$30,MATCH("对"&amp;LEFT($C$5,2)&amp;"输出",标准坦克设计!$B$23:$U$23,0)))*(VLOOKUP($B194,INDIRECT($B$5&amp;"生成成长"),3))*(VLOOKUP($B$5,标准坦克设计!$B$14:$K$20,9)/30))</f>
        <v>14.231936720340094</v>
      </c>
      <c r="CV194" s="172">
        <f ca="1">(VLOOKUP(CV$72,INDIRECT($C$5&amp;"生成成长"),2))/((VLOOKUP($B194,INDIRECT($B$5&amp;"生成成长"),4))/(VLOOKUP(CV$72,INDIRECT($C$5&amp;"生成成长"),5))*(VLOOKUP($B$5,标准坦克设计!$B$24:$U$30,MATCH("对"&amp;LEFT($C$5,2)&amp;"输出",标准坦克设计!$B$23:$U$23,0)))*(VLOOKUP($B194,INDIRECT($B$5&amp;"生成成长"),3))*(VLOOKUP($B$5,标准坦克设计!$B$14:$K$20,9)/30))</f>
        <v>15.263249444002737</v>
      </c>
      <c r="CW194" s="172">
        <f ca="1">(VLOOKUP(CW$72,INDIRECT($C$5&amp;"生成成长"),2))/((VLOOKUP($B194,INDIRECT($B$5&amp;"生成成长"),4))/(VLOOKUP(CW$72,INDIRECT($C$5&amp;"生成成长"),5))*(VLOOKUP($B$5,标准坦克设计!$B$24:$U$30,MATCH("对"&amp;LEFT($C$5,2)&amp;"输出",标准坦克设计!$B$23:$U$23,0)))*(VLOOKUP($B194,INDIRECT($B$5&amp;"生成成长"),3))*(VLOOKUP($B$5,标准坦克设计!$B$14:$K$20,9)/30))</f>
        <v>16.330633518890473</v>
      </c>
      <c r="CX194" s="172">
        <f ca="1">(VLOOKUP(CX$72,INDIRECT($C$5&amp;"生成成长"),2))/((VLOOKUP($B194,INDIRECT($B$5&amp;"生成成长"),4))/(VLOOKUP(CX$72,INDIRECT($C$5&amp;"生成成长"),5))*(VLOOKUP($B$5,标准坦克设计!$B$24:$U$30,MATCH("对"&amp;LEFT($C$5,2)&amp;"输出",标准坦克设计!$B$23:$U$23,0)))*(VLOOKUP($B194,INDIRECT($B$5&amp;"生成成长"),3))*(VLOOKUP($B$5,标准坦克设计!$B$14:$K$20,9)/30))</f>
        <v>17.434088945003285</v>
      </c>
      <c r="CY194" s="172">
        <f ca="1">(VLOOKUP(CY$72,INDIRECT($C$5&amp;"生成成长"),2))/((VLOOKUP($B194,INDIRECT($B$5&amp;"生成成长"),4))/(VLOOKUP(CY$72,INDIRECT($C$5&amp;"生成成长"),5))*(VLOOKUP($B$5,标准坦克设计!$B$24:$U$30,MATCH("对"&amp;LEFT($C$5,2)&amp;"输出",标准坦克设计!$B$23:$U$23,0)))*(VLOOKUP($B194,INDIRECT($B$5&amp;"生成成长"),3))*(VLOOKUP($B$5,标准坦克设计!$B$14:$K$20,9)/30))</f>
        <v>18.573615722341192</v>
      </c>
      <c r="CZ194" s="172">
        <f ca="1">(VLOOKUP(CZ$72,INDIRECT($C$5&amp;"生成成长"),2))/((VLOOKUP($B194,INDIRECT($B$5&amp;"生成成长"),4))/(VLOOKUP(CZ$72,INDIRECT($C$5&amp;"生成成长"),5))*(VLOOKUP($B$5,标准坦克设计!$B$24:$U$30,MATCH("对"&amp;LEFT($C$5,2)&amp;"输出",标准坦克设计!$B$23:$U$23,0)))*(VLOOKUP($B194,INDIRECT($B$5&amp;"生成成长"),3))*(VLOOKUP($B$5,标准坦克设计!$B$14:$K$20,9)/30))</f>
        <v>19.749213850904173</v>
      </c>
      <c r="DA194" s="172">
        <f ca="1">(VLOOKUP(DA$72,INDIRECT($C$5&amp;"生成成长"),2))/((VLOOKUP($B194,INDIRECT($B$5&amp;"生成成长"),4))/(VLOOKUP(DA$72,INDIRECT($C$5&amp;"生成成长"),5))*(VLOOKUP($B$5,标准坦克设计!$B$24:$U$30,MATCH("对"&amp;LEFT($C$5,2)&amp;"输出",标准坦克设计!$B$23:$U$23,0)))*(VLOOKUP($B194,INDIRECT($B$5&amp;"生成成长"),3))*(VLOOKUP($B$5,标准坦克设计!$B$14:$K$20,9)/30))</f>
        <v>20.960883330692241</v>
      </c>
      <c r="DB194" s="172">
        <f ca="1">(VLOOKUP(DB$72,INDIRECT($C$5&amp;"生成成长"),2))/((VLOOKUP($B194,INDIRECT($B$5&amp;"生成成长"),4))/(VLOOKUP(DB$72,INDIRECT($C$5&amp;"生成成长"),5))*(VLOOKUP($B$5,标准坦克设计!$B$24:$U$30,MATCH("对"&amp;LEFT($C$5,2)&amp;"输出",标准坦克设计!$B$23:$U$23,0)))*(VLOOKUP($B194,INDIRECT($B$5&amp;"生成成长"),3))*(VLOOKUP($B$5,标准坦克设计!$B$14:$K$20,9)/30))</f>
        <v>22.208624161705391</v>
      </c>
      <c r="DC194" s="172">
        <f ca="1">(VLOOKUP(DC$72,INDIRECT($C$5&amp;"生成成长"),2))/((VLOOKUP($B194,INDIRECT($B$5&amp;"生成成长"),4))/(VLOOKUP(DC$72,INDIRECT($C$5&amp;"生成成长"),5))*(VLOOKUP($B$5,标准坦克设计!$B$24:$U$30,MATCH("对"&amp;LEFT($C$5,2)&amp;"输出",标准坦克设计!$B$23:$U$23,0)))*(VLOOKUP($B194,INDIRECT($B$5&amp;"生成成长"),3))*(VLOOKUP($B$5,标准坦克设计!$B$14:$K$20,9)/30))</f>
        <v>23.610935204373146</v>
      </c>
      <c r="DD194" s="172">
        <f ca="1">(VLOOKUP(DD$72,INDIRECT($C$5&amp;"生成成长"),2))/((VLOOKUP($B194,INDIRECT($B$5&amp;"生成成长"),4))/(VLOOKUP(DD$72,INDIRECT($C$5&amp;"生成成长"),5))*(VLOOKUP($B$5,标准坦克设计!$B$24:$U$30,MATCH("对"&amp;LEFT($C$5,2)&amp;"输出",标准坦克设计!$B$23:$U$23,0)))*(VLOOKUP($B194,INDIRECT($B$5&amp;"生成成长"),3))*(VLOOKUP($B$5,标准坦克设计!$B$14:$K$20,9)/30))</f>
        <v>25.05617413610215</v>
      </c>
      <c r="DE194" s="172">
        <f ca="1">(VLOOKUP(DE$72,INDIRECT($C$5&amp;"生成成长"),2))/((VLOOKUP($B194,INDIRECT($B$5&amp;"生成成长"),4))/(VLOOKUP(DE$72,INDIRECT($C$5&amp;"生成成长"),5))*(VLOOKUP($B$5,标准坦克设计!$B$24:$U$30,MATCH("对"&amp;LEFT($C$5,2)&amp;"输出",标准坦克设计!$B$23:$U$23,0)))*(VLOOKUP($B194,INDIRECT($B$5&amp;"生成成长"),3))*(VLOOKUP($B$5,标准坦克设计!$B$14:$K$20,9)/30))</f>
        <v>26.54434095689242</v>
      </c>
      <c r="DF194" s="172">
        <f ca="1">(VLOOKUP(DF$72,INDIRECT($C$5&amp;"生成成长"),2))/((VLOOKUP($B194,INDIRECT($B$5&amp;"生成成长"),4))/(VLOOKUP(DF$72,INDIRECT($C$5&amp;"生成成长"),5))*(VLOOKUP($B$5,标准坦克设计!$B$24:$U$30,MATCH("对"&amp;LEFT($C$5,2)&amp;"输出",标准坦克设计!$B$23:$U$23,0)))*(VLOOKUP($B194,INDIRECT($B$5&amp;"生成成长"),3))*(VLOOKUP($B$5,标准坦克设计!$B$14:$K$20,9)/30))</f>
        <v>28.075435666743946</v>
      </c>
      <c r="DG194" s="172">
        <f ca="1">(VLOOKUP(DG$72,INDIRECT($C$5&amp;"生成成长"),2))/((VLOOKUP($B194,INDIRECT($B$5&amp;"生成成长"),4))/(VLOOKUP(DG$72,INDIRECT($C$5&amp;"生成成长"),5))*(VLOOKUP($B$5,标准坦克设计!$B$24:$U$30,MATCH("对"&amp;LEFT($C$5,2)&amp;"输出",标准坦克设计!$B$23:$U$23,0)))*(VLOOKUP($B194,INDIRECT($B$5&amp;"生成成长"),3))*(VLOOKUP($B$5,标准坦克设计!$B$14:$K$20,9)/30))</f>
        <v>29.649458265656726</v>
      </c>
      <c r="DH194" s="172">
        <f ca="1">(VLOOKUP(DH$72,INDIRECT($C$5&amp;"生成成长"),2))/((VLOOKUP($B194,INDIRECT($B$5&amp;"生成成长"),4))/(VLOOKUP(DH$72,INDIRECT($C$5&amp;"生成成长"),5))*(VLOOKUP($B$5,标准坦克设计!$B$24:$U$30,MATCH("对"&amp;LEFT($C$5,2)&amp;"输出",标准坦克设计!$B$23:$U$23,0)))*(VLOOKUP($B194,INDIRECT($B$5&amp;"生成成长"),3))*(VLOOKUP($B$5,标准坦克设计!$B$14:$K$20,9)/30))</f>
        <v>31.266408753630767</v>
      </c>
      <c r="DI194" s="172">
        <f ca="1">(VLOOKUP(DI$72,INDIRECT($C$5&amp;"生成成长"),2))/((VLOOKUP($B194,INDIRECT($B$5&amp;"生成成长"),4))/(VLOOKUP(DI$72,INDIRECT($C$5&amp;"生成成长"),5))*(VLOOKUP($B$5,标准坦克设计!$B$24:$U$30,MATCH("对"&amp;LEFT($C$5,2)&amp;"输出",标准坦克设计!$B$23:$U$23,0)))*(VLOOKUP($B194,INDIRECT($B$5&amp;"生成成长"),3))*(VLOOKUP($B$5,标准坦克设计!$B$14:$K$20,9)/30))</f>
        <v>32.926287130666061</v>
      </c>
      <c r="DJ194" s="172">
        <f ca="1">(VLOOKUP(DJ$72,INDIRECT($C$5&amp;"生成成长"),2))/((VLOOKUP($B194,INDIRECT($B$5&amp;"生成成长"),4))/(VLOOKUP(DJ$72,INDIRECT($C$5&amp;"生成成长"),5))*(VLOOKUP($B$5,标准坦克设计!$B$24:$U$30,MATCH("对"&amp;LEFT($C$5,2)&amp;"输出",标准坦克设计!$B$23:$U$23,0)))*(VLOOKUP($B194,INDIRECT($B$5&amp;"生成成长"),3))*(VLOOKUP($B$5,标准坦克设计!$B$14:$K$20,9)/30))</f>
        <v>3.3091738369756332</v>
      </c>
      <c r="DK194" s="172">
        <f ca="1">(VLOOKUP(DK$72,INDIRECT($C$5&amp;"生成成长"),2))/((VLOOKUP($B194,INDIRECT($B$5&amp;"生成成长"),4))/(VLOOKUP(DK$72,INDIRECT($C$5&amp;"生成成长"),5))*(VLOOKUP($B$5,标准坦克设计!$B$24:$U$30,MATCH("对"&amp;LEFT($C$5,2)&amp;"输出",标准坦克设计!$B$23:$U$23,0)))*(VLOOKUP($B194,INDIRECT($B$5&amp;"生成成长"),3))*(VLOOKUP($B$5,标准坦克设计!$B$14:$K$20,9)/30))</f>
        <v>3.7210132726570744</v>
      </c>
      <c r="DL194" s="172">
        <f ca="1">(VLOOKUP(DL$72,INDIRECT($C$5&amp;"生成成长"),2))/((VLOOKUP($B194,INDIRECT($B$5&amp;"生成成长"),4))/(VLOOKUP(DL$72,INDIRECT($C$5&amp;"生成成长"),5))*(VLOOKUP($B$5,标准坦克设计!$B$24:$U$30,MATCH("对"&amp;LEFT($C$5,2)&amp;"输出",标准坦克设计!$B$23:$U$23,0)))*(VLOOKUP($B194,INDIRECT($B$5&amp;"生成成长"),3))*(VLOOKUP($B$5,标准坦克设计!$B$14:$K$20,9)/30))</f>
        <v>4.1569996459354721</v>
      </c>
      <c r="DM194" s="172">
        <f ca="1">(VLOOKUP(DM$72,INDIRECT($C$5&amp;"生成成长"),2))/((VLOOKUP($B194,INDIRECT($B$5&amp;"生成成长"),4))/(VLOOKUP(DM$72,INDIRECT($C$5&amp;"生成成长"),5))*(VLOOKUP($B$5,标准坦克设计!$B$24:$U$30,MATCH("对"&amp;LEFT($C$5,2)&amp;"输出",标准坦克设计!$B$23:$U$23,0)))*(VLOOKUP($B194,INDIRECT($B$5&amp;"生成成长"),3))*(VLOOKUP($B$5,标准坦克设计!$B$14:$K$20,9)/30))</f>
        <v>4.6171329568108277</v>
      </c>
      <c r="DN194" s="172">
        <f ca="1">(VLOOKUP(DN$72,INDIRECT($C$5&amp;"生成成长"),2))/((VLOOKUP($B194,INDIRECT($B$5&amp;"生成成长"),4))/(VLOOKUP(DN$72,INDIRECT($C$5&amp;"生成成长"),5))*(VLOOKUP($B$5,标准坦克设计!$B$24:$U$30,MATCH("对"&amp;LEFT($C$5,2)&amp;"输出",标准坦克设计!$B$23:$U$23,0)))*(VLOOKUP($B194,INDIRECT($B$5&amp;"生成成长"),3))*(VLOOKUP($B$5,标准坦克设计!$B$14:$K$20,9)/30))</f>
        <v>5.1014132052831416</v>
      </c>
      <c r="DO194" s="172">
        <f ca="1">(VLOOKUP(DO$72,INDIRECT($C$5&amp;"生成成长"),2))/((VLOOKUP($B194,INDIRECT($B$5&amp;"生成成长"),4))/(VLOOKUP(DO$72,INDIRECT($C$5&amp;"生成成长"),5))*(VLOOKUP($B$5,标准坦克设计!$B$24:$U$30,MATCH("对"&amp;LEFT($C$5,2)&amp;"输出",标准坦克设计!$B$23:$U$23,0)))*(VLOOKUP($B194,INDIRECT($B$5&amp;"生成成长"),3))*(VLOOKUP($B$5,标准坦克设计!$B$14:$K$20,9)/30))</f>
        <v>5.6098403913524129</v>
      </c>
      <c r="DP194" s="172">
        <f ca="1">(VLOOKUP(DP$72,INDIRECT($C$5&amp;"生成成长"),2))/((VLOOKUP($B194,INDIRECT($B$5&amp;"生成成长"),4))/(VLOOKUP(DP$72,INDIRECT($C$5&amp;"生成成长"),5))*(VLOOKUP($B$5,标准坦克设计!$B$24:$U$30,MATCH("对"&amp;LEFT($C$5,2)&amp;"输出",标准坦克设计!$B$23:$U$23,0)))*(VLOOKUP($B194,INDIRECT($B$5&amp;"生成成长"),3))*(VLOOKUP($B$5,标准坦克设计!$B$14:$K$20,9)/30))</f>
        <v>6.1424145150186407</v>
      </c>
      <c r="DQ194" s="172">
        <f ca="1">(VLOOKUP(DQ$72,INDIRECT($C$5&amp;"生成成长"),2))/((VLOOKUP($B194,INDIRECT($B$5&amp;"生成成长"),4))/(VLOOKUP(DQ$72,INDIRECT($C$5&amp;"生成成长"),5))*(VLOOKUP($B$5,标准坦克设计!$B$24:$U$30,MATCH("对"&amp;LEFT($C$5,2)&amp;"输出",标准坦克设计!$B$23:$U$23,0)))*(VLOOKUP($B194,INDIRECT($B$5&amp;"生成成长"),3))*(VLOOKUP($B$5,标准坦克设计!$B$14:$K$20,9)/30))</f>
        <v>6.6991355762818268</v>
      </c>
      <c r="DR194" s="172">
        <f ca="1">(VLOOKUP(DR$72,INDIRECT($C$5&amp;"生成成长"),2))/((VLOOKUP($B194,INDIRECT($B$5&amp;"生成成长"),4))/(VLOOKUP(DR$72,INDIRECT($C$5&amp;"生成成长"),5))*(VLOOKUP($B$5,标准坦克设计!$B$24:$U$30,MATCH("对"&amp;LEFT($C$5,2)&amp;"输出",标准坦克设计!$B$23:$U$23,0)))*(VLOOKUP($B194,INDIRECT($B$5&amp;"生成成长"),3))*(VLOOKUP($B$5,标准坦克设计!$B$14:$K$20,9)/30))</f>
        <v>7.2800035751419712</v>
      </c>
      <c r="DS194" s="172">
        <f ca="1">(VLOOKUP(DS$72,INDIRECT($C$5&amp;"生成成长"),2))/((VLOOKUP($B194,INDIRECT($B$5&amp;"生成成长"),4))/(VLOOKUP(DS$72,INDIRECT($C$5&amp;"生成成长"),5))*(VLOOKUP($B$5,标准坦克设计!$B$24:$U$30,MATCH("对"&amp;LEFT($C$5,2)&amp;"输出",标准坦克设计!$B$23:$U$23,0)))*(VLOOKUP($B194,INDIRECT($B$5&amp;"生成成长"),3))*(VLOOKUP($B$5,标准坦克设计!$B$14:$K$20,9)/30))</f>
        <v>7.8850185115990712</v>
      </c>
      <c r="DT194" s="172">
        <f ca="1">(VLOOKUP(DT$72,INDIRECT($C$5&amp;"生成成长"),2))/((VLOOKUP($B194,INDIRECT($B$5&amp;"生成成长"),4))/(VLOOKUP(DT$72,INDIRECT($C$5&amp;"生成成长"),5))*(VLOOKUP($B$5,标准坦克设计!$B$24:$U$30,MATCH("对"&amp;LEFT($C$5,2)&amp;"输出",标准坦克设计!$B$23:$U$23,0)))*(VLOOKUP($B194,INDIRECT($B$5&amp;"生成成长"),3))*(VLOOKUP($B$5,标准坦克设计!$B$14:$K$20,9)/30))</f>
        <v>8.6572733491906551</v>
      </c>
      <c r="DU194" s="172">
        <f ca="1">(VLOOKUP(DU$72,INDIRECT($C$5&amp;"生成成长"),2))/((VLOOKUP($B194,INDIRECT($B$5&amp;"生成成长"),4))/(VLOOKUP(DU$72,INDIRECT($C$5&amp;"生成成长"),5))*(VLOOKUP($B$5,标准坦克设计!$B$24:$U$30,MATCH("对"&amp;LEFT($C$5,2)&amp;"输出",标准坦克设计!$B$23:$U$23,0)))*(VLOOKUP($B194,INDIRECT($B$5&amp;"生成成长"),3))*(VLOOKUP($B$5,标准坦克设计!$B$14:$K$20,9)/30))</f>
        <v>9.4655995380073232</v>
      </c>
      <c r="DV194" s="172">
        <f ca="1">(VLOOKUP(DV$72,INDIRECT($C$5&amp;"生成成长"),2))/((VLOOKUP($B194,INDIRECT($B$5&amp;"生成成长"),4))/(VLOOKUP(DV$72,INDIRECT($C$5&amp;"生成成长"),5))*(VLOOKUP($B$5,标准坦克设计!$B$24:$U$30,MATCH("对"&amp;LEFT($C$5,2)&amp;"输出",标准坦克设计!$B$23:$U$23,0)))*(VLOOKUP($B194,INDIRECT($B$5&amp;"生成成长"),3))*(VLOOKUP($B$5,标准坦克设计!$B$14:$K$20,9)/30))</f>
        <v>10.309997078049078</v>
      </c>
      <c r="DW194" s="172">
        <f ca="1">(VLOOKUP(DW$72,INDIRECT($C$5&amp;"生成成长"),2))/((VLOOKUP($B194,INDIRECT($B$5&amp;"生成成长"),4))/(VLOOKUP(DW$72,INDIRECT($C$5&amp;"生成成长"),5))*(VLOOKUP($B$5,标准坦克设计!$B$24:$U$30,MATCH("对"&amp;LEFT($C$5,2)&amp;"输出",标准坦克设计!$B$23:$U$23,0)))*(VLOOKUP($B194,INDIRECT($B$5&amp;"生成成长"),3))*(VLOOKUP($B$5,标准坦克设计!$B$14:$K$20,9)/30))</f>
        <v>11.190465969315914</v>
      </c>
      <c r="DX194" s="172">
        <f ca="1">(VLOOKUP(DX$72,INDIRECT($C$5&amp;"生成成长"),2))/((VLOOKUP($B194,INDIRECT($B$5&amp;"生成成长"),4))/(VLOOKUP(DX$72,INDIRECT($C$5&amp;"生成成长"),5))*(VLOOKUP($B$5,标准坦克设计!$B$24:$U$30,MATCH("对"&amp;LEFT($C$5,2)&amp;"输出",标准坦克设计!$B$23:$U$23,0)))*(VLOOKUP($B194,INDIRECT($B$5&amp;"生成成长"),3))*(VLOOKUP($B$5,标准坦克设计!$B$14:$K$20,9)/30))</f>
        <v>12.107006211807837</v>
      </c>
      <c r="DY194" s="172">
        <f ca="1">(VLOOKUP(DY$72,INDIRECT($C$5&amp;"生成成长"),2))/((VLOOKUP($B194,INDIRECT($B$5&amp;"生成成长"),4))/(VLOOKUP(DY$72,INDIRECT($C$5&amp;"生成成长"),5))*(VLOOKUP($B$5,标准坦克设计!$B$24:$U$30,MATCH("对"&amp;LEFT($C$5,2)&amp;"输出",标准坦克设计!$B$23:$U$23,0)))*(VLOOKUP($B194,INDIRECT($B$5&amp;"生成成长"),3))*(VLOOKUP($B$5,标准坦克设计!$B$14:$K$20,9)/30))</f>
        <v>5.4376816695963281</v>
      </c>
      <c r="DZ194" s="172">
        <f ca="1">(VLOOKUP(DZ$72,INDIRECT($C$5&amp;"生成成长"),2))/((VLOOKUP($B194,INDIRECT($B$5&amp;"生成成长"),4))/(VLOOKUP(DZ$72,INDIRECT($C$5&amp;"生成成长"),5))*(VLOOKUP($B$5,标准坦克设计!$B$24:$U$30,MATCH("对"&amp;LEFT($C$5,2)&amp;"输出",标准坦克设计!$B$23:$U$23,0)))*(VLOOKUP($B194,INDIRECT($B$5&amp;"生成成长"),3))*(VLOOKUP($B$5,标准坦克设计!$B$14:$K$20,9)/30))</f>
        <v>6.0219779373745572</v>
      </c>
      <c r="EA194" s="172">
        <f ca="1">(VLOOKUP(EA$72,INDIRECT($C$5&amp;"生成成长"),2))/((VLOOKUP($B194,INDIRECT($B$5&amp;"生成成长"),4))/(VLOOKUP(EA$72,INDIRECT($C$5&amp;"生成成长"),5))*(VLOOKUP($B$5,标准坦克设计!$B$24:$U$30,MATCH("对"&amp;LEFT($C$5,2)&amp;"输出",标准坦克设计!$B$23:$U$23,0)))*(VLOOKUP($B194,INDIRECT($B$5&amp;"生成成长"),3))*(VLOOKUP($B$5,标准坦克设计!$B$14:$K$20,9)/30))</f>
        <v>6.6360852392231049</v>
      </c>
      <c r="EB194" s="172">
        <f ca="1">(VLOOKUP(EB$72,INDIRECT($C$5&amp;"生成成长"),2))/((VLOOKUP($B194,INDIRECT($B$5&amp;"生成成长"),4))/(VLOOKUP(EB$72,INDIRECT($C$5&amp;"生成成长"),5))*(VLOOKUP($B$5,标准坦克设计!$B$24:$U$30,MATCH("对"&amp;LEFT($C$5,2)&amp;"输出",标准坦克设计!$B$23:$U$23,0)))*(VLOOKUP($B194,INDIRECT($B$5&amp;"生成成长"),3))*(VLOOKUP($B$5,标准坦克设计!$B$14:$K$20,9)/30))</f>
        <v>7.2800035751419712</v>
      </c>
      <c r="EC194" s="172">
        <f ca="1">(VLOOKUP(EC$72,INDIRECT($C$5&amp;"生成成长"),2))/((VLOOKUP($B194,INDIRECT($B$5&amp;"生成成长"),4))/(VLOOKUP(EC$72,INDIRECT($C$5&amp;"生成成长"),5))*(VLOOKUP($B$5,标准坦克设计!$B$24:$U$30,MATCH("对"&amp;LEFT($C$5,2)&amp;"输出",标准坦克设计!$B$23:$U$23,0)))*(VLOOKUP($B194,INDIRECT($B$5&amp;"生成成长"),3))*(VLOOKUP($B$5,标准坦克设计!$B$14:$K$20,9)/30))</f>
        <v>7.9537329451311543</v>
      </c>
      <c r="ED194" s="172">
        <f ca="1">(VLOOKUP(ED$72,INDIRECT($C$5&amp;"生成成长"),2))/((VLOOKUP($B194,INDIRECT($B$5&amp;"生成成长"),4))/(VLOOKUP(ED$72,INDIRECT($C$5&amp;"生成成长"),5))*(VLOOKUP($B$5,标准坦克设计!$B$24:$U$30,MATCH("对"&amp;LEFT($C$5,2)&amp;"输出",标准坦克设计!$B$23:$U$23,0)))*(VLOOKUP($B194,INDIRECT($B$5&amp;"生成成长"),3))*(VLOOKUP($B$5,标准坦克设计!$B$14:$K$20,9)/30))</f>
        <v>8.6572733491906551</v>
      </c>
      <c r="EE194" s="172">
        <f ca="1">(VLOOKUP(EE$72,INDIRECT($C$5&amp;"生成成长"),2))/((VLOOKUP($B194,INDIRECT($B$5&amp;"生成成长"),4))/(VLOOKUP(EE$72,INDIRECT($C$5&amp;"生成成长"),5))*(VLOOKUP($B$5,标准坦克设计!$B$24:$U$30,MATCH("对"&amp;LEFT($C$5,2)&amp;"输出",标准坦克设计!$B$23:$U$23,0)))*(VLOOKUP($B194,INDIRECT($B$5&amp;"生成成长"),3))*(VLOOKUP($B$5,标准坦克设计!$B$14:$K$20,9)/30))</f>
        <v>9.3906247873204745</v>
      </c>
      <c r="EF194" s="172">
        <f ca="1">(VLOOKUP(EF$72,INDIRECT($C$5&amp;"生成成长"),2))/((VLOOKUP($B194,INDIRECT($B$5&amp;"生成成长"),4))/(VLOOKUP(EF$72,INDIRECT($C$5&amp;"生成成长"),5))*(VLOOKUP($B$5,标准坦克设计!$B$24:$U$30,MATCH("对"&amp;LEFT($C$5,2)&amp;"输出",标准坦克设计!$B$23:$U$23,0)))*(VLOOKUP($B194,INDIRECT($B$5&amp;"生成成长"),3))*(VLOOKUP($B$5,标准坦克设计!$B$14:$K$20,9)/30))</f>
        <v>10.153787259520612</v>
      </c>
      <c r="EG194" s="172">
        <f ca="1">(VLOOKUP(EG$72,INDIRECT($C$5&amp;"生成成长"),2))/((VLOOKUP($B194,INDIRECT($B$5&amp;"生成成长"),4))/(VLOOKUP(EG$72,INDIRECT($C$5&amp;"生成成长"),5))*(VLOOKUP($B$5,标准坦克设计!$B$24:$U$30,MATCH("对"&amp;LEFT($C$5,2)&amp;"输出",标准坦克设计!$B$23:$U$23,0)))*(VLOOKUP($B194,INDIRECT($B$5&amp;"生成成长"),3))*(VLOOKUP($B$5,标准坦克设计!$B$14:$K$20,9)/30))</f>
        <v>10.946760765791065</v>
      </c>
      <c r="EH194" s="172">
        <f ca="1">(VLOOKUP(EH$72,INDIRECT($C$5&amp;"生成成长"),2))/((VLOOKUP($B194,INDIRECT($B$5&amp;"生成成长"),4))/(VLOOKUP(EH$72,INDIRECT($C$5&amp;"生成成长"),5))*(VLOOKUP($B$5,标准坦克设计!$B$24:$U$30,MATCH("对"&amp;LEFT($C$5,2)&amp;"输出",标准坦克设计!$B$23:$U$23,0)))*(VLOOKUP($B194,INDIRECT($B$5&amp;"生成成长"),3))*(VLOOKUP($B$5,标准坦克设计!$B$14:$K$20,9)/30))</f>
        <v>11.769545306131841</v>
      </c>
      <c r="EI194" s="172">
        <f ca="1">(VLOOKUP(EI$72,INDIRECT($C$5&amp;"生成成长"),2))/((VLOOKUP($B194,INDIRECT($B$5&amp;"生成成长"),4))/(VLOOKUP(EI$72,INDIRECT($C$5&amp;"生成成长"),5))*(VLOOKUP($B$5,标准坦克设计!$B$24:$U$30,MATCH("对"&amp;LEFT($C$5,2)&amp;"输出",标准坦克设计!$B$23:$U$23,0)))*(VLOOKUP($B194,INDIRECT($B$5&amp;"生成成长"),3))*(VLOOKUP($B$5,标准坦克设计!$B$14:$K$20,9)/30))</f>
        <v>12.622140880542929</v>
      </c>
      <c r="EJ194" s="172">
        <f ca="1">(VLOOKUP(EJ$72,INDIRECT($C$5&amp;"生成成长"),2))/((VLOOKUP($B194,INDIRECT($B$5&amp;"生成成长"),4))/(VLOOKUP(EJ$72,INDIRECT($C$5&amp;"生成成长"),5))*(VLOOKUP($B$5,标准坦克设计!$B$24:$U$30,MATCH("对"&amp;LEFT($C$5,2)&amp;"输出",标准坦克设计!$B$23:$U$23,0)))*(VLOOKUP($B194,INDIRECT($B$5&amp;"生成成长"),3))*(VLOOKUP($B$5,标准坦克设计!$B$14:$K$20,9)/30))</f>
        <v>13.504547489024338</v>
      </c>
      <c r="EK194" s="172">
        <f ca="1">(VLOOKUP(EK$72,INDIRECT($C$5&amp;"生成成长"),2))/((VLOOKUP($B194,INDIRECT($B$5&amp;"生成成长"),4))/(VLOOKUP(EK$72,INDIRECT($C$5&amp;"生成成长"),5))*(VLOOKUP($B$5,标准坦克设计!$B$24:$U$30,MATCH("对"&amp;LEFT($C$5,2)&amp;"输出",标准坦克设计!$B$23:$U$23,0)))*(VLOOKUP($B194,INDIRECT($B$5&amp;"生成成长"),3))*(VLOOKUP($B$5,标准坦克设计!$B$14:$K$20,9)/30))</f>
        <v>14.602785984174847</v>
      </c>
      <c r="EL194" s="172">
        <f ca="1">(VLOOKUP(EL$72,INDIRECT($C$5&amp;"生成成长"),2))/((VLOOKUP($B194,INDIRECT($B$5&amp;"生成成长"),4))/(VLOOKUP(EL$72,INDIRECT($C$5&amp;"生成成长"),5))*(VLOOKUP($B$5,标准坦克设计!$B$24:$U$30,MATCH("对"&amp;LEFT($C$5,2)&amp;"输出",标准坦克设计!$B$23:$U$23,0)))*(VLOOKUP($B194,INDIRECT($B$5&amp;"生成成长"),3))*(VLOOKUP($B$5,标准坦克设计!$B$14:$K$20,9)/30))</f>
        <v>15.743952368386612</v>
      </c>
      <c r="EM194" s="172">
        <f ca="1">(VLOOKUP(EM$72,INDIRECT($C$5&amp;"生成成长"),2))/((VLOOKUP($B194,INDIRECT($B$5&amp;"生成成长"),4))/(VLOOKUP(EM$72,INDIRECT($C$5&amp;"生成成长"),5))*(VLOOKUP($B$5,标准坦克设计!$B$24:$U$30,MATCH("对"&amp;LEFT($C$5,2)&amp;"输出",标准坦克设计!$B$23:$U$23,0)))*(VLOOKUP($B194,INDIRECT($B$5&amp;"生成成长"),3))*(VLOOKUP($B$5,标准坦克设计!$B$14:$K$20,9)/30))</f>
        <v>16.928046641659638</v>
      </c>
      <c r="EN194" s="172">
        <f ca="1">(VLOOKUP(EN$72,INDIRECT($C$5&amp;"生成成长"),2))/((VLOOKUP($B194,INDIRECT($B$5&amp;"生成成长"),4))/(VLOOKUP(EN$72,INDIRECT($C$5&amp;"生成成长"),5))*(VLOOKUP($B$5,标准坦克设计!$B$24:$U$30,MATCH("对"&amp;LEFT($C$5,2)&amp;"输出",标准坦克设计!$B$23:$U$23,0)))*(VLOOKUP($B194,INDIRECT($B$5&amp;"生成成长"),3))*(VLOOKUP($B$5,标准坦克设计!$B$14:$K$20,9)/30))</f>
        <v>18.155068803993924</v>
      </c>
      <c r="EO194" s="172">
        <f ca="1">(VLOOKUP(EO$72,INDIRECT($C$5&amp;"生成成长"),2))/((VLOOKUP($B194,INDIRECT($B$5&amp;"生成成长"),4))/(VLOOKUP(EO$72,INDIRECT($C$5&amp;"生成成长"),5))*(VLOOKUP($B$5,标准坦克设计!$B$24:$U$30,MATCH("对"&amp;LEFT($C$5,2)&amp;"输出",标准坦克设计!$B$23:$U$23,0)))*(VLOOKUP($B194,INDIRECT($B$5&amp;"生成成长"),3))*(VLOOKUP($B$5,标准坦克设计!$B$14:$K$20,9)/30))</f>
        <v>19.425018855389467</v>
      </c>
      <c r="EP194" s="172">
        <f ca="1">(VLOOKUP(EP$72,INDIRECT($C$5&amp;"生成成长"),2))/((VLOOKUP($B194,INDIRECT($B$5&amp;"生成成长"),4))/(VLOOKUP(EP$72,INDIRECT($C$5&amp;"生成成长"),5))*(VLOOKUP($B$5,标准坦克设计!$B$24:$U$30,MATCH("对"&amp;LEFT($C$5,2)&amp;"输出",标准坦克设计!$B$23:$U$23,0)))*(VLOOKUP($B194,INDIRECT($B$5&amp;"生成成长"),3))*(VLOOKUP($B$5,标准坦克设计!$B$14:$K$20,9)/30))</f>
        <v>20.737896795846261</v>
      </c>
      <c r="EQ194" s="172">
        <f ca="1">(VLOOKUP(EQ$72,INDIRECT($C$5&amp;"生成成长"),2))/((VLOOKUP($B194,INDIRECT($B$5&amp;"生成成长"),4))/(VLOOKUP(EQ$72,INDIRECT($C$5&amp;"生成成长"),5))*(VLOOKUP($B$5,标准坦克设计!$B$24:$U$30,MATCH("对"&amp;LEFT($C$5,2)&amp;"输出",标准坦克设计!$B$23:$U$23,0)))*(VLOOKUP($B194,INDIRECT($B$5&amp;"生成成长"),3))*(VLOOKUP($B$5,标准坦克设计!$B$14:$K$20,9)/30))</f>
        <v>9.1674891973041444</v>
      </c>
      <c r="ER194" s="172">
        <f ca="1">(VLOOKUP(ER$72,INDIRECT($C$5&amp;"生成成长"),2))/((VLOOKUP($B194,INDIRECT($B$5&amp;"生成成长"),4))/(VLOOKUP(ER$72,INDIRECT($C$5&amp;"生成成长"),5))*(VLOOKUP($B$5,标准坦克设计!$B$24:$U$30,MATCH("对"&amp;LEFT($C$5,2)&amp;"输出",标准坦克设计!$B$23:$U$23,0)))*(VLOOKUP($B194,INDIRECT($B$5&amp;"生成成长"),3))*(VLOOKUP($B$5,标准坦克设计!$B$14:$K$20,9)/30))</f>
        <v>9.99876988235496</v>
      </c>
      <c r="ES194" s="172">
        <f ca="1">(VLOOKUP(ES$72,INDIRECT($C$5&amp;"生成成长"),2))/((VLOOKUP($B194,INDIRECT($B$5&amp;"生成成长"),4))/(VLOOKUP(ES$72,INDIRECT($C$5&amp;"生成成长"),5))*(VLOOKUP($B$5,标准坦克设计!$B$24:$U$30,MATCH("对"&amp;LEFT($C$5,2)&amp;"输出",标准坦克设计!$B$23:$U$23,0)))*(VLOOKUP($B194,INDIRECT($B$5&amp;"生成成长"),3))*(VLOOKUP($B$5,标准坦克设计!$B$14:$K$20,9)/30))</f>
        <v>10.866121918630856</v>
      </c>
      <c r="ET194" s="172">
        <f ca="1">(VLOOKUP(ET$72,INDIRECT($C$5&amp;"生成成长"),2))/((VLOOKUP($B194,INDIRECT($B$5&amp;"生成成长"),4))/(VLOOKUP(ET$72,INDIRECT($C$5&amp;"生成成长"),5))*(VLOOKUP($B$5,标准坦克设计!$B$24:$U$30,MATCH("对"&amp;LEFT($C$5,2)&amp;"输出",标准坦克设计!$B$23:$U$23,0)))*(VLOOKUP($B194,INDIRECT($B$5&amp;"生成成长"),3))*(VLOOKUP($B$5,标准坦克设计!$B$14:$K$20,9)/30))</f>
        <v>11.769545306131841</v>
      </c>
      <c r="EU194" s="172">
        <f ca="1">(VLOOKUP(EU$72,INDIRECT($C$5&amp;"生成成长"),2))/((VLOOKUP($B194,INDIRECT($B$5&amp;"生成成长"),4))/(VLOOKUP(EU$72,INDIRECT($C$5&amp;"生成成长"),5))*(VLOOKUP($B$5,标准坦克设计!$B$24:$U$30,MATCH("对"&amp;LEFT($C$5,2)&amp;"输出",标准坦克设计!$B$23:$U$23,0)))*(VLOOKUP($B194,INDIRECT($B$5&amp;"生成成长"),3))*(VLOOKUP($B$5,标准坦克设计!$B$14:$K$20,9)/30))</f>
        <v>12.709040044857906</v>
      </c>
      <c r="EV194" s="172">
        <f ca="1">(VLOOKUP(EV$72,INDIRECT($C$5&amp;"生成成长"),2))/((VLOOKUP($B194,INDIRECT($B$5&amp;"生成成长"),4))/(VLOOKUP(EV$72,INDIRECT($C$5&amp;"生成成长"),5))*(VLOOKUP($B$5,标准坦克设计!$B$24:$U$30,MATCH("对"&amp;LEFT($C$5,2)&amp;"输出",标准坦克设计!$B$23:$U$23,0)))*(VLOOKUP($B194,INDIRECT($B$5&amp;"生成成长"),3))*(VLOOKUP($B$5,标准坦克设计!$B$14:$K$20,9)/30))</f>
        <v>13.68460613480906</v>
      </c>
      <c r="EW194" s="172">
        <f ca="1">(VLOOKUP(EW$72,INDIRECT($C$5&amp;"生成成长"),2))/((VLOOKUP($B194,INDIRECT($B$5&amp;"生成成长"),4))/(VLOOKUP(EW$72,INDIRECT($C$5&amp;"生成成长"),5))*(VLOOKUP($B$5,标准坦克设计!$B$24:$U$30,MATCH("对"&amp;LEFT($C$5,2)&amp;"输出",标准坦克设计!$B$23:$U$23,0)))*(VLOOKUP($B194,INDIRECT($B$5&amp;"生成成长"),3))*(VLOOKUP($B$5,标准坦克设计!$B$14:$K$20,9)/30))</f>
        <v>14.696243575985291</v>
      </c>
      <c r="EX194" s="172">
        <f ca="1">(VLOOKUP(EX$72,INDIRECT($C$5&amp;"生成成长"),2))/((VLOOKUP($B194,INDIRECT($B$5&amp;"生成成长"),4))/(VLOOKUP(EX$72,INDIRECT($C$5&amp;"生成成长"),5))*(VLOOKUP($B$5,标准坦克设计!$B$24:$U$30,MATCH("对"&amp;LEFT($C$5,2)&amp;"输出",标准坦克设计!$B$23:$U$23,0)))*(VLOOKUP($B194,INDIRECT($B$5&amp;"生成成长"),3))*(VLOOKUP($B$5,标准坦克设计!$B$14:$K$20,9)/30))</f>
        <v>15.743952368386612</v>
      </c>
      <c r="EY194" s="172">
        <f ca="1">(VLOOKUP(EY$72,INDIRECT($C$5&amp;"生成成长"),2))/((VLOOKUP($B194,INDIRECT($B$5&amp;"生成成长"),4))/(VLOOKUP(EY$72,INDIRECT($C$5&amp;"生成成长"),5))*(VLOOKUP($B$5,标准坦克设计!$B$24:$U$30,MATCH("对"&amp;LEFT($C$5,2)&amp;"输出",标准坦克设计!$B$23:$U$23,0)))*(VLOOKUP($B194,INDIRECT($B$5&amp;"生成成长"),3))*(VLOOKUP($B$5,标准坦克设计!$B$14:$K$20,9)/30))</f>
        <v>16.827732512013021</v>
      </c>
      <c r="EZ194" s="172">
        <f ca="1">(VLOOKUP(EZ$72,INDIRECT($C$5&amp;"生成成长"),2))/((VLOOKUP($B194,INDIRECT($B$5&amp;"生成成长"),4))/(VLOOKUP(EZ$72,INDIRECT($C$5&amp;"生成成长"),5))*(VLOOKUP($B$5,标准坦克设计!$B$24:$U$30,MATCH("对"&amp;LEFT($C$5,2)&amp;"输出",标准坦克设计!$B$23:$U$23,0)))*(VLOOKUP($B194,INDIRECT($B$5&amp;"生成成长"),3))*(VLOOKUP($B$5,标准坦克设计!$B$14:$K$20,9)/30))</f>
        <v>17.94758400686451</v>
      </c>
      <c r="FA194" s="172">
        <f ca="1">(VLOOKUP(FA$72,INDIRECT($C$5&amp;"生成成长"),2))/((VLOOKUP($B194,INDIRECT($B$5&amp;"生成成长"),4))/(VLOOKUP(FA$72,INDIRECT($C$5&amp;"生成成长"),5))*(VLOOKUP($B$5,标准坦克设计!$B$24:$U$30,MATCH("对"&amp;LEFT($C$5,2)&amp;"输出",标准坦克设计!$B$23:$U$23,0)))*(VLOOKUP($B194,INDIRECT($B$5&amp;"生成成长"),3))*(VLOOKUP($B$5,标准坦克设计!$B$14:$K$20,9)/30))</f>
        <v>19.103506852941088</v>
      </c>
      <c r="FB194" s="172">
        <f ca="1">(VLOOKUP(FB$72,INDIRECT($C$5&amp;"生成成长"),2))/((VLOOKUP($B194,INDIRECT($B$5&amp;"生成成长"),4))/(VLOOKUP(FB$72,INDIRECT($C$5&amp;"生成成长"),5))*(VLOOKUP($B$5,标准坦克设计!$B$24:$U$30,MATCH("对"&amp;LEFT($C$5,2)&amp;"输出",标准坦克设计!$B$23:$U$23,0)))*(VLOOKUP($B194,INDIRECT($B$5&amp;"生成成长"),3))*(VLOOKUP($B$5,标准坦克设计!$B$14:$K$20,9)/30))</f>
        <v>20.295501050242748</v>
      </c>
      <c r="FC194" s="172">
        <f ca="1">(VLOOKUP(FC$72,INDIRECT($C$5&amp;"生成成长"),2))/((VLOOKUP($B194,INDIRECT($B$5&amp;"生成成长"),4))/(VLOOKUP(FC$72,INDIRECT($C$5&amp;"生成成长"),5))*(VLOOKUP($B$5,标准坦克设计!$B$24:$U$30,MATCH("对"&amp;LEFT($C$5,2)&amp;"输出",标准坦克设计!$B$23:$U$23,0)))*(VLOOKUP($B194,INDIRECT($B$5&amp;"生成成长"),3))*(VLOOKUP($B$5,标准坦克设计!$B$14:$K$20,9)/30))</f>
        <v>21.523566598769492</v>
      </c>
      <c r="FD194" s="172">
        <f ca="1">(VLOOKUP(FD$72,INDIRECT($C$5&amp;"生成成长"),2))/((VLOOKUP($B194,INDIRECT($B$5&amp;"生成成长"),4))/(VLOOKUP(FD$72,INDIRECT($C$5&amp;"生成成长"),5))*(VLOOKUP($B$5,标准坦克设计!$B$24:$U$30,MATCH("对"&amp;LEFT($C$5,2)&amp;"输出",标准坦克设计!$B$23:$U$23,0)))*(VLOOKUP($B194,INDIRECT($B$5&amp;"生成成长"),3))*(VLOOKUP($B$5,标准坦克设计!$B$14:$K$20,9)/30))</f>
        <v>22.787703498521317</v>
      </c>
      <c r="FE194" s="172">
        <f ca="1">(VLOOKUP(FE$72,INDIRECT($C$5&amp;"生成成长"),2))/((VLOOKUP($B194,INDIRECT($B$5&amp;"生成成长"),4))/(VLOOKUP(FE$72,INDIRECT($C$5&amp;"生成成长"),5))*(VLOOKUP($B$5,标准坦克设计!$B$24:$U$30,MATCH("对"&amp;LEFT($C$5,2)&amp;"输出",标准坦克设计!$B$23:$U$23,0)))*(VLOOKUP($B194,INDIRECT($B$5&amp;"生成成长"),3))*(VLOOKUP($B$5,标准坦克设计!$B$14:$K$20,9)/30))</f>
        <v>24.32818868410499</v>
      </c>
      <c r="FF194" s="172">
        <f ca="1">(VLOOKUP(FF$72,INDIRECT($C$5&amp;"生成成长"),2))/((VLOOKUP($B194,INDIRECT($B$5&amp;"生成成长"),4))/(VLOOKUP(FF$72,INDIRECT($C$5&amp;"生成成长"),5))*(VLOOKUP($B$5,标准坦克设计!$B$24:$U$30,MATCH("对"&amp;LEFT($C$5,2)&amp;"输出",标准坦克设计!$B$23:$U$23,0)))*(VLOOKUP($B194,INDIRECT($B$5&amp;"生成成长"),3))*(VLOOKUP($B$5,标准坦克设计!$B$14:$K$20,9)/30))</f>
        <v>25.919054517267501</v>
      </c>
      <c r="FG194" s="172">
        <f ca="1">(VLOOKUP(FG$72,INDIRECT($C$5&amp;"生成成长"),2))/((VLOOKUP($B194,INDIRECT($B$5&amp;"生成成长"),4))/(VLOOKUP(FG$72,INDIRECT($C$5&amp;"生成成长"),5))*(VLOOKUP($B$5,标准坦克设计!$B$24:$U$30,MATCH("对"&amp;LEFT($C$5,2)&amp;"输出",标准坦克设计!$B$23:$U$23,0)))*(VLOOKUP($B194,INDIRECT($B$5&amp;"生成成长"),3))*(VLOOKUP($B$5,标准坦克设计!$B$14:$K$20,9)/30))</f>
        <v>27.560300998008852</v>
      </c>
      <c r="FH194" s="172">
        <f ca="1">(VLOOKUP(FH$72,INDIRECT($C$5&amp;"生成成长"),2))/((VLOOKUP($B194,INDIRECT($B$5&amp;"生成成长"),4))/(VLOOKUP(FH$72,INDIRECT($C$5&amp;"生成成长"),5))*(VLOOKUP($B$5,标准坦克设计!$B$24:$U$30,MATCH("对"&amp;LEFT($C$5,2)&amp;"输出",标准坦克设计!$B$23:$U$23,0)))*(VLOOKUP($B194,INDIRECT($B$5&amp;"生成成长"),3))*(VLOOKUP($B$5,标准坦克设计!$B$14:$K$20,9)/30))</f>
        <v>29.251928126329044</v>
      </c>
      <c r="FI194" s="172">
        <f ca="1">(VLOOKUP(FI$72,INDIRECT($C$5&amp;"生成成长"),2))/((VLOOKUP($B194,INDIRECT($B$5&amp;"生成成长"),4))/(VLOOKUP(FI$72,INDIRECT($C$5&amp;"生成成长"),5))*(VLOOKUP($B$5,标准坦克设计!$B$24:$U$30,MATCH("对"&amp;LEFT($C$5,2)&amp;"输出",标准坦克设计!$B$23:$U$23,0)))*(VLOOKUP($B194,INDIRECT($B$5&amp;"生成成长"),3))*(VLOOKUP($B$5,标准坦克设计!$B$14:$K$20,9)/30))</f>
        <v>30.99393590222806</v>
      </c>
      <c r="FJ194" s="172">
        <f ca="1">(VLOOKUP(FJ$72,INDIRECT($C$5&amp;"生成成长"),2))/((VLOOKUP($B194,INDIRECT($B$5&amp;"生成成长"),4))/(VLOOKUP(FJ$72,INDIRECT($C$5&amp;"生成成长"),5))*(VLOOKUP($B$5,标准坦克设计!$B$24:$U$30,MATCH("对"&amp;LEFT($C$5,2)&amp;"输出",标准坦克设计!$B$23:$U$23,0)))*(VLOOKUP($B194,INDIRECT($B$5&amp;"生成成长"),3))*(VLOOKUP($B$5,标准坦克设计!$B$14:$K$20,9)/30))</f>
        <v>32.786324325705927</v>
      </c>
      <c r="FK194" s="172">
        <f ca="1">(VLOOKUP(FK$72,INDIRECT($C$5&amp;"生成成长"),2))/((VLOOKUP($B194,INDIRECT($B$5&amp;"生成成长"),4))/(VLOOKUP(FK$72,INDIRECT($C$5&amp;"生成成长"),5))*(VLOOKUP($B$5,标准坦克设计!$B$24:$U$30,MATCH("对"&amp;LEFT($C$5,2)&amp;"输出",标准坦克设计!$B$23:$U$23,0)))*(VLOOKUP($B194,INDIRECT($B$5&amp;"生成成长"),3))*(VLOOKUP($B$5,标准坦克设计!$B$14:$K$20,9)/30))</f>
        <v>34.62909339676262</v>
      </c>
    </row>
    <row r="195" spans="1:167" x14ac:dyDescent="0.15">
      <c r="A195" s="170" t="str">
        <f t="shared" si="12"/>
        <v>T3高品质12级</v>
      </c>
      <c r="B195" s="171">
        <v>30312</v>
      </c>
      <c r="C195" s="172">
        <f ca="1">(VLOOKUP(C$72,INDIRECT($C$5&amp;"生成成长"),2))/((VLOOKUP($B195,INDIRECT($B$5&amp;"生成成长"),4))/(VLOOKUP(C$72,INDIRECT($C$5&amp;"生成成长"),5))*(VLOOKUP($B$5,标准坦克设计!$B$24:$U$30,MATCH("对"&amp;LEFT($C$5,2)&amp;"输出",标准坦克设计!$B$23:$U$23,0)))*(VLOOKUP($B195,INDIRECT($B$5&amp;"生成成长"),3))*(VLOOKUP($B$5,标准坦克设计!$B$14:$K$20,9)/30))</f>
        <v>1.3669062425697494</v>
      </c>
      <c r="D195" s="172">
        <f ca="1">(VLOOKUP(D$72,INDIRECT($C$5&amp;"生成成长"),2))/((VLOOKUP($B195,INDIRECT($B$5&amp;"生成成长"),4))/(VLOOKUP(D$72,INDIRECT($C$5&amp;"生成成长"),5))*(VLOOKUP($B$5,标准坦克设计!$B$24:$U$30,MATCH("对"&amp;LEFT($C$5,2)&amp;"输出",标准坦克设计!$B$23:$U$23,0)))*(VLOOKUP($B195,INDIRECT($B$5&amp;"生成成长"),3))*(VLOOKUP($B$5,标准坦克设计!$B$14:$K$20,9)/30))</f>
        <v>1.5358558541513705</v>
      </c>
      <c r="E195" s="172">
        <f ca="1">(VLOOKUP(E$72,INDIRECT($C$5&amp;"生成成长"),2))/((VLOOKUP($B195,INDIRECT($B$5&amp;"生成成长"),4))/(VLOOKUP(E$72,INDIRECT($C$5&amp;"生成成长"),5))*(VLOOKUP($B$5,标准坦克设计!$B$24:$U$30,MATCH("对"&amp;LEFT($C$5,2)&amp;"输出",标准坦克设计!$B$23:$U$23,0)))*(VLOOKUP($B195,INDIRECT($B$5&amp;"生成成长"),3))*(VLOOKUP($B$5,标准坦克设计!$B$14:$K$20,9)/30))</f>
        <v>1.7146471906794936</v>
      </c>
      <c r="F195" s="172">
        <f ca="1">(VLOOKUP(F$72,INDIRECT($C$5&amp;"生成成长"),2))/((VLOOKUP($B195,INDIRECT($B$5&amp;"生成成长"),4))/(VLOOKUP(F$72,INDIRECT($C$5&amp;"生成成长"),5))*(VLOOKUP($B$5,标准坦克设计!$B$24:$U$30,MATCH("对"&amp;LEFT($C$5,2)&amp;"输出",标准坦克设计!$B$23:$U$23,0)))*(VLOOKUP($B195,INDIRECT($B$5&amp;"生成成长"),3))*(VLOOKUP($B$5,标准坦克设计!$B$14:$K$20,9)/30))</f>
        <v>1.9032802521541188</v>
      </c>
      <c r="G195" s="172">
        <f ca="1">(VLOOKUP(G$72,INDIRECT($C$5&amp;"生成成长"),2))/((VLOOKUP($B195,INDIRECT($B$5&amp;"生成成长"),4))/(VLOOKUP(G$72,INDIRECT($C$5&amp;"生成成长"),5))*(VLOOKUP($B$5,标准坦克设计!$B$24:$U$30,MATCH("对"&amp;LEFT($C$5,2)&amp;"输出",标准坦克设计!$B$23:$U$23,0)))*(VLOOKUP($B195,INDIRECT($B$5&amp;"生成成长"),3))*(VLOOKUP($B$5,标准坦克设计!$B$14:$K$20,9)/30))</f>
        <v>2.1017550385752464</v>
      </c>
      <c r="H195" s="172">
        <f ca="1">(VLOOKUP(H$72,INDIRECT($C$5&amp;"生成成长"),2))/((VLOOKUP($B195,INDIRECT($B$5&amp;"生成成长"),4))/(VLOOKUP(H$72,INDIRECT($C$5&amp;"生成成长"),5))*(VLOOKUP($B$5,标准坦克设计!$B$24:$U$30,MATCH("对"&amp;LEFT($C$5,2)&amp;"输出",标准坦克设计!$B$23:$U$23,0)))*(VLOOKUP($B195,INDIRECT($B$5&amp;"生成成长"),3))*(VLOOKUP($B$5,标准坦克设计!$B$14:$K$20,9)/30))</f>
        <v>1.8393090400018546</v>
      </c>
      <c r="I195" s="172">
        <f ca="1">(VLOOKUP(I$72,INDIRECT($C$5&amp;"生成成长"),2))/((VLOOKUP($B195,INDIRECT($B$5&amp;"生成成长"),4))/(VLOOKUP(I$72,INDIRECT($C$5&amp;"生成成长"),5))*(VLOOKUP($B$5,标准坦克设计!$B$24:$U$30,MATCH("对"&amp;LEFT($C$5,2)&amp;"输出",标准坦克设计!$B$23:$U$23,0)))*(VLOOKUP($B195,INDIRECT($B$5&amp;"生成成长"),3))*(VLOOKUP($B$5,标准坦克设计!$B$14:$K$20,9)/30))</f>
        <v>2.1017550385752464</v>
      </c>
      <c r="J195" s="172">
        <f ca="1">(VLOOKUP(J$72,INDIRECT($C$5&amp;"生成成长"),2))/((VLOOKUP($B195,INDIRECT($B$5&amp;"生成成长"),4))/(VLOOKUP(J$72,INDIRECT($C$5&amp;"生成成长"),5))*(VLOOKUP($B$5,标准坦克设计!$B$24:$U$30,MATCH("对"&amp;LEFT($C$5,2)&amp;"输出",标准坦克设计!$B$23:$U$23,0)))*(VLOOKUP($B195,INDIRECT($B$5&amp;"生成成长"),3))*(VLOOKUP($B$5,标准坦克设计!$B$14:$K$20,9)/30))</f>
        <v>2.3816974370535311</v>
      </c>
      <c r="K195" s="172">
        <f ca="1">(VLOOKUP(K$72,INDIRECT($C$5&amp;"生成成长"),2))/((VLOOKUP($B195,INDIRECT($B$5&amp;"生成成长"),4))/(VLOOKUP(K$72,INDIRECT($C$5&amp;"生成成长"),5))*(VLOOKUP($B$5,标准坦克设计!$B$24:$U$30,MATCH("对"&amp;LEFT($C$5,2)&amp;"输出",标准坦克设计!$B$23:$U$23,0)))*(VLOOKUP($B195,INDIRECT($B$5&amp;"生成成长"),3))*(VLOOKUP($B$5,标准坦克设计!$B$14:$K$20,9)/30))</f>
        <v>2.6791362354367085</v>
      </c>
      <c r="L195" s="172">
        <f ca="1">(VLOOKUP(L$72,INDIRECT($C$5&amp;"生成成长"),2))/((VLOOKUP($B195,INDIRECT($B$5&amp;"生成成长"),4))/(VLOOKUP(L$72,INDIRECT($C$5&amp;"生成成长"),5))*(VLOOKUP($B$5,标准坦克设计!$B$24:$U$30,MATCH("对"&amp;LEFT($C$5,2)&amp;"输出",标准坦克设计!$B$23:$U$23,0)))*(VLOOKUP($B195,INDIRECT($B$5&amp;"生成成长"),3))*(VLOOKUP($B$5,标准坦克设计!$B$14:$K$20,9)/30))</f>
        <v>2.9940714337247787</v>
      </c>
      <c r="M195" s="172">
        <f ca="1">(VLOOKUP(M$72,INDIRECT($C$5&amp;"生成成长"),2))/((VLOOKUP($B195,INDIRECT($B$5&amp;"生成成长"),4))/(VLOOKUP(M$72,INDIRECT($C$5&amp;"生成成长"),5))*(VLOOKUP($B$5,标准坦克设计!$B$24:$U$30,MATCH("对"&amp;LEFT($C$5,2)&amp;"输出",标准坦克设计!$B$23:$U$23,0)))*(VLOOKUP($B195,INDIRECT($B$5&amp;"生成成长"),3))*(VLOOKUP($B$5,标准坦克设计!$B$14:$K$20,9)/30))</f>
        <v>3.3265030319177415</v>
      </c>
      <c r="N195" s="172">
        <f ca="1">(VLOOKUP(N$72,INDIRECT($C$5&amp;"生成成长"),2))/((VLOOKUP($B195,INDIRECT($B$5&amp;"生成成长"),4))/(VLOOKUP(N$72,INDIRECT($C$5&amp;"生成成长"),5))*(VLOOKUP($B$5,标准坦克设计!$B$24:$U$30,MATCH("对"&amp;LEFT($C$5,2)&amp;"输出",标准坦克设计!$B$23:$U$23,0)))*(VLOOKUP($B195,INDIRECT($B$5&amp;"生成成长"),3))*(VLOOKUP($B$5,标准坦克设计!$B$14:$K$20,9)/30))</f>
        <v>3.6764310300155976</v>
      </c>
      <c r="O195" s="172">
        <f ca="1">(VLOOKUP(O$72,INDIRECT($C$5&amp;"生成成长"),2))/((VLOOKUP($B195,INDIRECT($B$5&amp;"生成成长"),4))/(VLOOKUP(O$72,INDIRECT($C$5&amp;"生成成长"),5))*(VLOOKUP($B$5,标准坦克设计!$B$24:$U$30,MATCH("对"&amp;LEFT($C$5,2)&amp;"输出",标准坦克设计!$B$23:$U$23,0)))*(VLOOKUP($B195,INDIRECT($B$5&amp;"生成成长"),3))*(VLOOKUP($B$5,标准坦克设计!$B$14:$K$20,9)/30))</f>
        <v>2.79518657543088</v>
      </c>
      <c r="P195" s="172">
        <f ca="1">(VLOOKUP(P$72,INDIRECT($C$5&amp;"生成成长"),2))/((VLOOKUP($B195,INDIRECT($B$5&amp;"生成成长"),4))/(VLOOKUP(P$72,INDIRECT($C$5&amp;"生成成长"),5))*(VLOOKUP($B$5,标准坦克设计!$B$24:$U$30,MATCH("对"&amp;LEFT($C$5,2)&amp;"输出",标准坦克设计!$B$23:$U$23,0)))*(VLOOKUP($B195,INDIRECT($B$5&amp;"生成成长"),3))*(VLOOKUP($B$5,标准坦克设计!$B$14:$K$20,9)/30))</f>
        <v>3.1581001828331483</v>
      </c>
      <c r="Q195" s="172">
        <f ca="1">(VLOOKUP(Q$72,INDIRECT($C$5&amp;"生成成长"),2))/((VLOOKUP($B195,INDIRECT($B$5&amp;"生成成长"),4))/(VLOOKUP(Q$72,INDIRECT($C$5&amp;"生成成长"),5))*(VLOOKUP($B$5,标准坦克设计!$B$24:$U$30,MATCH("对"&amp;LEFT($C$5,2)&amp;"输出",标准坦克设计!$B$23:$U$23,0)))*(VLOOKUP($B195,INDIRECT($B$5&amp;"生成成长"),3))*(VLOOKUP($B$5,标准坦克设计!$B$14:$K$20,9)/30))</f>
        <v>3.5431576713650466</v>
      </c>
      <c r="R195" s="172">
        <f ca="1">(VLOOKUP(R$72,INDIRECT($C$5&amp;"生成成长"),2))/((VLOOKUP($B195,INDIRECT($B$5&amp;"生成成长"),4))/(VLOOKUP(R$72,INDIRECT($C$5&amp;"生成成长"),5))*(VLOOKUP($B$5,标准坦克设计!$B$24:$U$30,MATCH("对"&amp;LEFT($C$5,2)&amp;"输出",标准坦克设计!$B$23:$U$23,0)))*(VLOOKUP($B195,INDIRECT($B$5&amp;"生成成长"),3))*(VLOOKUP($B$5,标准坦克设计!$B$14:$K$20,9)/30))</f>
        <v>3.9503590410265752</v>
      </c>
      <c r="S195" s="172">
        <f ca="1">(VLOOKUP(S$72,INDIRECT($C$5&amp;"生成成长"),2))/((VLOOKUP($B195,INDIRECT($B$5&amp;"生成成长"),4))/(VLOOKUP(S$72,INDIRECT($C$5&amp;"生成成长"),5))*(VLOOKUP($B$5,标准坦克设计!$B$24:$U$30,MATCH("对"&amp;LEFT($C$5,2)&amp;"输出",标准坦克设计!$B$23:$U$23,0)))*(VLOOKUP($B195,INDIRECT($B$5&amp;"生成成长"),3))*(VLOOKUP($B$5,标准坦克设计!$B$14:$K$20,9)/30))</f>
        <v>4.3797042918177329</v>
      </c>
      <c r="T195" s="172">
        <f ca="1">(VLOOKUP(T$72,INDIRECT($C$5&amp;"生成成长"),2))/((VLOOKUP($B195,INDIRECT($B$5&amp;"生成成长"),4))/(VLOOKUP(T$72,INDIRECT($C$5&amp;"生成成长"),5))*(VLOOKUP($B$5,标准坦克设计!$B$24:$U$30,MATCH("对"&amp;LEFT($C$5,2)&amp;"输出",标准坦克设计!$B$23:$U$23,0)))*(VLOOKUP($B195,INDIRECT($B$5&amp;"生成成长"),3))*(VLOOKUP($B$5,标准坦克设计!$B$14:$K$20,9)/30))</f>
        <v>4.8311934237385215</v>
      </c>
      <c r="U195" s="172">
        <f ca="1">(VLOOKUP(U$72,INDIRECT($C$5&amp;"生成成长"),2))/((VLOOKUP($B195,INDIRECT($B$5&amp;"生成成长"),4))/(VLOOKUP(U$72,INDIRECT($C$5&amp;"生成成长"),5))*(VLOOKUP($B$5,标准坦克设计!$B$24:$U$30,MATCH("对"&amp;LEFT($C$5,2)&amp;"输出",标准坦克设计!$B$23:$U$23,0)))*(VLOOKUP($B195,INDIRECT($B$5&amp;"生成成长"),3))*(VLOOKUP($B$5,标准坦克设计!$B$14:$K$20,9)/30))</f>
        <v>5.3048264367889395</v>
      </c>
      <c r="V195" s="172">
        <f ca="1">(VLOOKUP(V$72,INDIRECT($C$5&amp;"生成成长"),2))/((VLOOKUP($B195,INDIRECT($B$5&amp;"生成成长"),4))/(VLOOKUP(V$72,INDIRECT($C$5&amp;"生成成长"),5))*(VLOOKUP($B$5,标准坦克设计!$B$24:$U$30,MATCH("对"&amp;LEFT($C$5,2)&amp;"输出",标准坦克设计!$B$23:$U$23,0)))*(VLOOKUP($B195,INDIRECT($B$5&amp;"生成成长"),3))*(VLOOKUP($B$5,标准坦克设计!$B$14:$K$20,9)/30))</f>
        <v>5.8006033309689888</v>
      </c>
      <c r="W195" s="172">
        <f ca="1">(VLOOKUP(W$72,INDIRECT($C$5&amp;"生成成长"),2))/((VLOOKUP($B195,INDIRECT($B$5&amp;"生成成长"),4))/(VLOOKUP(W$72,INDIRECT($C$5&amp;"生成成长"),5))*(VLOOKUP($B$5,标准坦克设计!$B$24:$U$30,MATCH("对"&amp;LEFT($C$5,2)&amp;"输出",标准坦克设计!$B$23:$U$23,0)))*(VLOOKUP($B195,INDIRECT($B$5&amp;"生成成长"),3))*(VLOOKUP($B$5,标准坦克设计!$B$14:$K$20,9)/30))</f>
        <v>6.318524106278665</v>
      </c>
      <c r="X195" s="172">
        <f ca="1">(VLOOKUP(X$72,INDIRECT($C$5&amp;"生成成长"),2))/((VLOOKUP($B195,INDIRECT($B$5&amp;"生成成长"),4))/(VLOOKUP(X$72,INDIRECT($C$5&amp;"生成成长"),5))*(VLOOKUP($B$5,标准坦克设计!$B$24:$U$30,MATCH("对"&amp;LEFT($C$5,2)&amp;"输出",标准坦克设计!$B$23:$U$23,0)))*(VLOOKUP($B195,INDIRECT($B$5&amp;"生成成长"),3))*(VLOOKUP($B$5,标准坦克设计!$B$14:$K$20,9)/30))</f>
        <v>4.577632315741833</v>
      </c>
      <c r="Y195" s="172">
        <f ca="1">(VLOOKUP(Y$72,INDIRECT($C$5&amp;"生成成长"),2))/((VLOOKUP($B195,INDIRECT($B$5&amp;"生成成长"),4))/(VLOOKUP(Y$72,INDIRECT($C$5&amp;"生成成长"),5))*(VLOOKUP($B$5,标准坦克设计!$B$24:$U$30,MATCH("对"&amp;LEFT($C$5,2)&amp;"输出",标准坦克设计!$B$23:$U$23,0)))*(VLOOKUP($B195,INDIRECT($B$5&amp;"生成成长"),3))*(VLOOKUP($B$5,标准坦克设计!$B$14:$K$20,9)/30))</f>
        <v>5.09158906294806</v>
      </c>
      <c r="Z195" s="172">
        <f ca="1">(VLOOKUP(Z$72,INDIRECT($C$5&amp;"生成成长"),2))/((VLOOKUP($B195,INDIRECT($B$5&amp;"生成成长"),4))/(VLOOKUP(Z$72,INDIRECT($C$5&amp;"生成成长"),5))*(VLOOKUP($B$5,标准坦克设计!$B$24:$U$30,MATCH("对"&amp;LEFT($C$5,2)&amp;"输出",标准坦克设计!$B$23:$U$23,0)))*(VLOOKUP($B195,INDIRECT($B$5&amp;"生成成长"),3))*(VLOOKUP($B$5,标准坦克设计!$B$14:$K$20,9)/30))</f>
        <v>5.6328839350056779</v>
      </c>
      <c r="AA195" s="172">
        <f ca="1">(VLOOKUP(AA$72,INDIRECT($C$5&amp;"生成成长"),2))/((VLOOKUP($B195,INDIRECT($B$5&amp;"生成成长"),4))/(VLOOKUP(AA$72,INDIRECT($C$5&amp;"生成成长"),5))*(VLOOKUP($B$5,标准坦克设计!$B$24:$U$30,MATCH("对"&amp;LEFT($C$5,2)&amp;"输出",标准坦克设计!$B$23:$U$23,0)))*(VLOOKUP($B195,INDIRECT($B$5&amp;"生成成长"),3))*(VLOOKUP($B$5,标准坦克设计!$B$14:$K$20,9)/30))</f>
        <v>6.2015169319146946</v>
      </c>
      <c r="AB195" s="172">
        <f ca="1">(VLOOKUP(AB$72,INDIRECT($C$5&amp;"生成成长"),2))/((VLOOKUP($B195,INDIRECT($B$5&amp;"生成成长"),4))/(VLOOKUP(AB$72,INDIRECT($C$5&amp;"生成成长"),5))*(VLOOKUP($B$5,标准坦克设计!$B$24:$U$30,MATCH("对"&amp;LEFT($C$5,2)&amp;"输出",标准坦克设计!$B$23:$U$23,0)))*(VLOOKUP($B195,INDIRECT($B$5&amp;"生成成长"),3))*(VLOOKUP($B$5,标准坦克设计!$B$14:$K$20,9)/30))</f>
        <v>6.7974880536751074</v>
      </c>
      <c r="AC195" s="172">
        <f ca="1">(VLOOKUP(AC$72,INDIRECT($C$5&amp;"生成成长"),2))/((VLOOKUP($B195,INDIRECT($B$5&amp;"生成成长"),4))/(VLOOKUP(AC$72,INDIRECT($C$5&amp;"生成成长"),5))*(VLOOKUP($B$5,标准坦克设计!$B$24:$U$30,MATCH("对"&amp;LEFT($C$5,2)&amp;"输出",标准坦克设计!$B$23:$U$23,0)))*(VLOOKUP($B195,INDIRECT($B$5&amp;"生成成长"),3))*(VLOOKUP($B$5,标准坦克设计!$B$14:$K$20,9)/30))</f>
        <v>7.4207973002869121</v>
      </c>
      <c r="AD195" s="172">
        <f ca="1">(VLOOKUP(AD$72,INDIRECT($C$5&amp;"生成成长"),2))/((VLOOKUP($B195,INDIRECT($B$5&amp;"生成成长"),4))/(VLOOKUP(AD$72,INDIRECT($C$5&amp;"生成成长"),5))*(VLOOKUP($B$5,标准坦克设计!$B$24:$U$30,MATCH("对"&amp;LEFT($C$5,2)&amp;"输出",标准坦克设计!$B$23:$U$23,0)))*(VLOOKUP($B195,INDIRECT($B$5&amp;"生成成长"),3))*(VLOOKUP($B$5,标准坦克设计!$B$14:$K$20,9)/30))</f>
        <v>8.0714446717501147</v>
      </c>
      <c r="AE195" s="172">
        <f ca="1">(VLOOKUP(AE$72,INDIRECT($C$5&amp;"生成成长"),2))/((VLOOKUP($B195,INDIRECT($B$5&amp;"生成成长"),4))/(VLOOKUP(AE$72,INDIRECT($C$5&amp;"生成成长"),5))*(VLOOKUP($B$5,标准坦克设计!$B$24:$U$30,MATCH("对"&amp;LEFT($C$5,2)&amp;"输出",标准坦克设计!$B$23:$U$23,0)))*(VLOOKUP($B195,INDIRECT($B$5&amp;"生成成长"),3))*(VLOOKUP($B$5,标准坦克设计!$B$14:$K$20,9)/30))</f>
        <v>8.7494301680647073</v>
      </c>
      <c r="AF195" s="172">
        <f ca="1">(VLOOKUP(AF$72,INDIRECT($C$5&amp;"生成成长"),2))/((VLOOKUP($B195,INDIRECT($B$5&amp;"生成成长"),4))/(VLOOKUP(AF$72,INDIRECT($C$5&amp;"生成成长"),5))*(VLOOKUP($B$5,标准坦克设计!$B$24:$U$30,MATCH("对"&amp;LEFT($C$5,2)&amp;"输出",标准坦克设计!$B$23:$U$23,0)))*(VLOOKUP($B195,INDIRECT($B$5&amp;"生成成长"),3))*(VLOOKUP($B$5,标准坦克设计!$B$14:$K$20,9)/30))</f>
        <v>9.4547537892306988</v>
      </c>
      <c r="AG195" s="172">
        <f ca="1">(VLOOKUP(AG$72,INDIRECT($C$5&amp;"生成成长"),2))/((VLOOKUP($B195,INDIRECT($B$5&amp;"生成成长"),4))/(VLOOKUP(AG$72,INDIRECT($C$5&amp;"生成成长"),5))*(VLOOKUP($B$5,标准坦克设计!$B$24:$U$30,MATCH("对"&amp;LEFT($C$5,2)&amp;"输出",标准坦克设计!$B$23:$U$23,0)))*(VLOOKUP($B195,INDIRECT($B$5&amp;"生成成长"),3))*(VLOOKUP($B$5,标准坦克设计!$B$14:$K$20,9)/30))</f>
        <v>10.187415535248084</v>
      </c>
      <c r="AH195" s="172">
        <f ca="1">(VLOOKUP(AH$72,INDIRECT($C$5&amp;"生成成长"),2))/((VLOOKUP($B195,INDIRECT($B$5&amp;"生成成长"),4))/(VLOOKUP(AH$72,INDIRECT($C$5&amp;"生成成长"),5))*(VLOOKUP($B$5,标准坦克设计!$B$24:$U$30,MATCH("对"&amp;LEFT($C$5,2)&amp;"输出",标准坦克设计!$B$23:$U$23,0)))*(VLOOKUP($B195,INDIRECT($B$5&amp;"生成成长"),3))*(VLOOKUP($B$5,标准坦克设计!$B$14:$K$20,9)/30))</f>
        <v>10.947415406116864</v>
      </c>
      <c r="AI195" s="172">
        <f ca="1">(VLOOKUP(AI$72,INDIRECT($C$5&amp;"生成成长"),2))/((VLOOKUP($B195,INDIRECT($B$5&amp;"生成成长"),4))/(VLOOKUP(AI$72,INDIRECT($C$5&amp;"生成成长"),5))*(VLOOKUP($B$5,标准坦克设计!$B$24:$U$30,MATCH("对"&amp;LEFT($C$5,2)&amp;"输出",标准坦克设计!$B$23:$U$23,0)))*(VLOOKUP($B195,INDIRECT($B$5&amp;"生成成长"),3))*(VLOOKUP($B$5,标准坦克设计!$B$14:$K$20,9)/30))</f>
        <v>7.7427037204120888</v>
      </c>
      <c r="AJ195" s="172">
        <f ca="1">(VLOOKUP(AJ$72,INDIRECT($C$5&amp;"生成成长"),2))/((VLOOKUP($B195,INDIRECT($B$5&amp;"生成成长"),4))/(VLOOKUP(AJ$72,INDIRECT($C$5&amp;"生成成长"),5))*(VLOOKUP($B$5,标准坦克设计!$B$24:$U$30,MATCH("对"&amp;LEFT($C$5,2)&amp;"输出",标准坦克设计!$B$23:$U$23,0)))*(VLOOKUP($B195,INDIRECT($B$5&amp;"生成成长"),3))*(VLOOKUP($B$5,标准坦克设计!$B$14:$K$20,9)/30))</f>
        <v>8.4749553945567033</v>
      </c>
      <c r="AK195" s="172">
        <f ca="1">(VLOOKUP(AK$72,INDIRECT($C$5&amp;"生成成长"),2))/((VLOOKUP($B195,INDIRECT($B$5&amp;"生成成长"),4))/(VLOOKUP(AK$72,INDIRECT($C$5&amp;"生成成长"),5))*(VLOOKUP($B$5,标准坦克设计!$B$24:$U$30,MATCH("对"&amp;LEFT($C$5,2)&amp;"输出",标准坦克设计!$B$23:$U$23,0)))*(VLOOKUP($B195,INDIRECT($B$5&amp;"生成成长"),3))*(VLOOKUP($B$5,标准坦克设计!$B$14:$K$20,9)/30))</f>
        <v>9.2402861997715053</v>
      </c>
      <c r="AL195" s="172">
        <f ca="1">(VLOOKUP(AL$72,INDIRECT($C$5&amp;"生成成长"),2))/((VLOOKUP($B195,INDIRECT($B$5&amp;"生成成长"),4))/(VLOOKUP(AL$72,INDIRECT($C$5&amp;"生成成长"),5))*(VLOOKUP($B$5,标准坦克设计!$B$24:$U$30,MATCH("对"&amp;LEFT($C$5,2)&amp;"输出",标准坦克设计!$B$23:$U$23,0)))*(VLOOKUP($B195,INDIRECT($B$5&amp;"生成成长"),3))*(VLOOKUP($B$5,标准坦克设计!$B$14:$K$20,9)/30))</f>
        <v>10.038696136056496</v>
      </c>
      <c r="AM195" s="172">
        <f ca="1">(VLOOKUP(AM$72,INDIRECT($C$5&amp;"生成成长"),2))/((VLOOKUP($B195,INDIRECT($B$5&amp;"生成成长"),4))/(VLOOKUP(AM$72,INDIRECT($C$5&amp;"生成成长"),5))*(VLOOKUP($B$5,标准坦克设计!$B$24:$U$30,MATCH("对"&amp;LEFT($C$5,2)&amp;"输出",标准坦克设计!$B$23:$U$23,0)))*(VLOOKUP($B195,INDIRECT($B$5&amp;"生成成长"),3))*(VLOOKUP($B$5,标准坦克设计!$B$14:$K$20,9)/30))</f>
        <v>10.870185203411674</v>
      </c>
      <c r="AN195" s="172">
        <f ca="1">(VLOOKUP(AN$72,INDIRECT($C$5&amp;"生成成长"),2))/((VLOOKUP($B195,INDIRECT($B$5&amp;"生成成长"),4))/(VLOOKUP(AN$72,INDIRECT($C$5&amp;"生成成长"),5))*(VLOOKUP($B$5,标准坦克设计!$B$24:$U$30,MATCH("对"&amp;LEFT($C$5,2)&amp;"输出",标准坦克设计!$B$23:$U$23,0)))*(VLOOKUP($B195,INDIRECT($B$5&amp;"生成成长"),3))*(VLOOKUP($B$5,标准坦克设计!$B$14:$K$20,9)/30))</f>
        <v>11.73475340183704</v>
      </c>
      <c r="AO195" s="172">
        <f ca="1">(VLOOKUP(AO$72,INDIRECT($C$5&amp;"生成成长"),2))/((VLOOKUP($B195,INDIRECT($B$5&amp;"生成成长"),4))/(VLOOKUP(AO$72,INDIRECT($C$5&amp;"生成成长"),5))*(VLOOKUP($B$5,标准坦克设计!$B$24:$U$30,MATCH("对"&amp;LEFT($C$5,2)&amp;"输出",标准坦克设计!$B$23:$U$23,0)))*(VLOOKUP($B195,INDIRECT($B$5&amp;"生成成长"),3))*(VLOOKUP($B$5,标准坦克设计!$B$14:$K$20,9)/30))</f>
        <v>12.632400731332593</v>
      </c>
      <c r="AP195" s="172">
        <f ca="1">(VLOOKUP(AP$72,INDIRECT($C$5&amp;"生成成长"),2))/((VLOOKUP($B195,INDIRECT($B$5&amp;"生成成长"),4))/(VLOOKUP(AP$72,INDIRECT($C$5&amp;"生成成长"),5))*(VLOOKUP($B$5,标准坦克设计!$B$24:$U$30,MATCH("对"&amp;LEFT($C$5,2)&amp;"输出",标准坦克设计!$B$23:$U$23,0)))*(VLOOKUP($B195,INDIRECT($B$5&amp;"生成成长"),3))*(VLOOKUP($B$5,标准坦克设计!$B$14:$K$20,9)/30))</f>
        <v>13.563127191898335</v>
      </c>
      <c r="AQ195" s="172">
        <f ca="1">(VLOOKUP(AQ$72,INDIRECT($C$5&amp;"生成成长"),2))/((VLOOKUP($B195,INDIRECT($B$5&amp;"生成成长"),4))/(VLOOKUP(AQ$72,INDIRECT($C$5&amp;"生成成长"),5))*(VLOOKUP($B$5,标准坦克设计!$B$24:$U$30,MATCH("对"&amp;LEFT($C$5,2)&amp;"输出",标准坦克设计!$B$23:$U$23,0)))*(VLOOKUP($B195,INDIRECT($B$5&amp;"生成成长"),3))*(VLOOKUP($B$5,标准坦克设计!$B$14:$K$20,9)/30))</f>
        <v>14.526932783534265</v>
      </c>
      <c r="AR195" s="172">
        <f ca="1">(VLOOKUP(AR$72,INDIRECT($C$5&amp;"生成成长"),2))/((VLOOKUP($B195,INDIRECT($B$5&amp;"生成成长"),4))/(VLOOKUP(AR$72,INDIRECT($C$5&amp;"生成成长"),5))*(VLOOKUP($B$5,标准坦克设计!$B$24:$U$30,MATCH("对"&amp;LEFT($C$5,2)&amp;"输出",标准坦克设计!$B$23:$U$23,0)))*(VLOOKUP($B195,INDIRECT($B$5&amp;"生成成长"),3))*(VLOOKUP($B$5,标准坦克设计!$B$14:$K$20,9)/30))</f>
        <v>15.523817506240388</v>
      </c>
      <c r="AS195" s="172">
        <f ca="1">(VLOOKUP(AS$72,INDIRECT($C$5&amp;"生成成长"),2))/((VLOOKUP($B195,INDIRECT($B$5&amp;"生成成长"),4))/(VLOOKUP(AS$72,INDIRECT($C$5&amp;"生成成长"),5))*(VLOOKUP($B$5,标准坦克设计!$B$24:$U$30,MATCH("对"&amp;LEFT($C$5,2)&amp;"输出",标准坦克设计!$B$23:$U$23,0)))*(VLOOKUP($B195,INDIRECT($B$5&amp;"生成成长"),3))*(VLOOKUP($B$5,标准坦克设计!$B$14:$K$20,9)/30))</f>
        <v>16.553781360016689</v>
      </c>
      <c r="AT195" s="172">
        <f ca="1">(VLOOKUP(AT$72,INDIRECT($C$5&amp;"生成成长"),2))/((VLOOKUP($B195,INDIRECT($B$5&amp;"生成成长"),4))/(VLOOKUP(AT$72,INDIRECT($C$5&amp;"生成成长"),5))*(VLOOKUP($B$5,标准坦克设计!$B$24:$U$30,MATCH("对"&amp;LEFT($C$5,2)&amp;"输出",标准坦克设计!$B$23:$U$23,0)))*(VLOOKUP($B195,INDIRECT($B$5&amp;"生成成长"),3))*(VLOOKUP($B$5,标准坦克设计!$B$14:$K$20,9)/30))</f>
        <v>17.616824344863186</v>
      </c>
      <c r="AU195" s="172">
        <f ca="1">(VLOOKUP(AU$72,INDIRECT($C$5&amp;"生成成长"),2))/((VLOOKUP($B195,INDIRECT($B$5&amp;"生成成长"),4))/(VLOOKUP(AU$72,INDIRECT($C$5&amp;"生成成长"),5))*(VLOOKUP($B$5,标准坦克设计!$B$24:$U$30,MATCH("对"&amp;LEFT($C$5,2)&amp;"输出",标准坦克设计!$B$23:$U$23,0)))*(VLOOKUP($B195,INDIRECT($B$5&amp;"生成成长"),3))*(VLOOKUP($B$5,标准坦克设计!$B$14:$K$20,9)/30))</f>
        <v>18.712946460779865</v>
      </c>
      <c r="AV195" s="172">
        <f ca="1">(VLOOKUP(AV$72,INDIRECT($C$5&amp;"生成成长"),2))/((VLOOKUP($B195,INDIRECT($B$5&amp;"生成成长"),4))/(VLOOKUP(AV$72,INDIRECT($C$5&amp;"生成成长"),5))*(VLOOKUP($B$5,标准坦克设计!$B$24:$U$30,MATCH("对"&amp;LEFT($C$5,2)&amp;"输出",标准坦克设计!$B$23:$U$23,0)))*(VLOOKUP($B195,INDIRECT($B$5&amp;"生成成长"),3))*(VLOOKUP($B$5,标准坦克设计!$B$14:$K$20,9)/30))</f>
        <v>1.9032802521541188</v>
      </c>
      <c r="AW195" s="172">
        <f ca="1">(VLOOKUP(AW$72,INDIRECT($C$5&amp;"生成成长"),2))/((VLOOKUP($B195,INDIRECT($B$5&amp;"生成成长"),4))/(VLOOKUP(AW$72,INDIRECT($C$5&amp;"生成成长"),5))*(VLOOKUP($B$5,标准坦克设计!$B$24:$U$30,MATCH("对"&amp;LEFT($C$5,2)&amp;"输出",标准坦克设计!$B$23:$U$23,0)))*(VLOOKUP($B195,INDIRECT($B$5&amp;"生成成长"),3))*(VLOOKUP($B$5,标准坦克设计!$B$14:$K$20,9)/30))</f>
        <v>2.1701003507037342</v>
      </c>
      <c r="AX195" s="172">
        <f ca="1">(VLOOKUP(AX$72,INDIRECT($C$5&amp;"生成成长"),2))/((VLOOKUP($B195,INDIRECT($B$5&amp;"生成成长"),4))/(VLOOKUP(AX$72,INDIRECT($C$5&amp;"生成成长"),5))*(VLOOKUP($B$5,标准坦克设计!$B$24:$U$30,MATCH("对"&amp;LEFT($C$5,2)&amp;"输出",标准坦克设计!$B$23:$U$23,0)))*(VLOOKUP($B195,INDIRECT($B$5&amp;"生成成长"),3))*(VLOOKUP($B$5,标准坦克设计!$B$14:$K$20,9)/30))</f>
        <v>2.4544168491582412</v>
      </c>
      <c r="AY195" s="172">
        <f ca="1">(VLOOKUP(AY$72,INDIRECT($C$5&amp;"生成成长"),2))/((VLOOKUP($B195,INDIRECT($B$5&amp;"生成成长"),4))/(VLOOKUP(AY$72,INDIRECT($C$5&amp;"生成成长"),5))*(VLOOKUP($B$5,标准坦克设计!$B$24:$U$30,MATCH("对"&amp;LEFT($C$5,2)&amp;"输出",标准坦克设计!$B$23:$U$23,0)))*(VLOOKUP($B195,INDIRECT($B$5&amp;"生成成长"),3))*(VLOOKUP($B$5,标准坦克设计!$B$14:$K$20,9)/30))</f>
        <v>2.7562297475176423</v>
      </c>
      <c r="AZ195" s="172">
        <f ca="1">(VLOOKUP(AZ$72,INDIRECT($C$5&amp;"生成成长"),2))/((VLOOKUP($B195,INDIRECT($B$5&amp;"生成成长"),4))/(VLOOKUP(AZ$72,INDIRECT($C$5&amp;"生成成长"),5))*(VLOOKUP($B$5,标准坦克设计!$B$24:$U$30,MATCH("对"&amp;LEFT($C$5,2)&amp;"输出",标准坦克设计!$B$23:$U$23,0)))*(VLOOKUP($B195,INDIRECT($B$5&amp;"生成成长"),3))*(VLOOKUP($B$5,标准坦克设计!$B$14:$K$20,9)/30))</f>
        <v>3.0755390457819356</v>
      </c>
      <c r="BA195" s="172">
        <f ca="1">(VLOOKUP(BA$72,INDIRECT($C$5&amp;"生成成长"),2))/((VLOOKUP($B195,INDIRECT($B$5&amp;"生成成长"),4))/(VLOOKUP(BA$72,INDIRECT($C$5&amp;"生成成长"),5))*(VLOOKUP($B$5,标准坦克设计!$B$24:$U$30,MATCH("对"&amp;LEFT($C$5,2)&amp;"输出",标准坦克设计!$B$23:$U$23,0)))*(VLOOKUP($B195,INDIRECT($B$5&amp;"生成成长"),3))*(VLOOKUP($B$5,标准坦克设计!$B$14:$K$20,9)/30))</f>
        <v>3.4123447439511221</v>
      </c>
      <c r="BB195" s="172">
        <f ca="1">(VLOOKUP(BB$72,INDIRECT($C$5&amp;"生成成长"),2))/((VLOOKUP($B195,INDIRECT($B$5&amp;"生成成长"),4))/(VLOOKUP(BB$72,INDIRECT($C$5&amp;"生成成长"),5))*(VLOOKUP($B$5,标准坦克设计!$B$24:$U$30,MATCH("对"&amp;LEFT($C$5,2)&amp;"输出",标准坦克设计!$B$23:$U$23,0)))*(VLOOKUP($B195,INDIRECT($B$5&amp;"生成成长"),3))*(VLOOKUP($B$5,标准坦克设计!$B$14:$K$20,9)/30))</f>
        <v>3.7666468420252013</v>
      </c>
      <c r="BC195" s="172">
        <f ca="1">(VLOOKUP(BC$72,INDIRECT($C$5&amp;"生成成长"),2))/((VLOOKUP($B195,INDIRECT($B$5&amp;"生成成长"),4))/(VLOOKUP(BC$72,INDIRECT($C$5&amp;"生成成长"),5))*(VLOOKUP($B$5,标准坦克设计!$B$24:$U$30,MATCH("对"&amp;LEFT($C$5,2)&amp;"输出",标准坦克设计!$B$23:$U$23,0)))*(VLOOKUP($B195,INDIRECT($B$5&amp;"生成成长"),3))*(VLOOKUP($B$5,标准坦克设计!$B$14:$K$20,9)/30))</f>
        <v>4.1384453400041723</v>
      </c>
      <c r="BD195" s="172">
        <f ca="1">(VLOOKUP(BD$72,INDIRECT($C$5&amp;"生成成长"),2))/((VLOOKUP($B195,INDIRECT($B$5&amp;"生成成长"),4))/(VLOOKUP(BD$72,INDIRECT($C$5&amp;"生成成长"),5))*(VLOOKUP($B$5,标准坦克设计!$B$24:$U$30,MATCH("对"&amp;LEFT($C$5,2)&amp;"输出",标准坦克设计!$B$23:$U$23,0)))*(VLOOKUP($B195,INDIRECT($B$5&amp;"生成成长"),3))*(VLOOKUP($B$5,标准坦克设计!$B$14:$K$20,9)/30))</f>
        <v>4.577632315741833</v>
      </c>
      <c r="BE195" s="172">
        <f ca="1">(VLOOKUP(BE$72,INDIRECT($C$5&amp;"生成成长"),2))/((VLOOKUP($B195,INDIRECT($B$5&amp;"生成成长"),4))/(VLOOKUP(BE$72,INDIRECT($C$5&amp;"生成成长"),5))*(VLOOKUP($B$5,标准坦克设计!$B$24:$U$30,MATCH("对"&amp;LEFT($C$5,2)&amp;"输出",标准坦克设计!$B$23:$U$23,0)))*(VLOOKUP($B195,INDIRECT($B$5&amp;"生成成长"),3))*(VLOOKUP($B$5,标准坦克设计!$B$14:$K$20,9)/30))</f>
        <v>5.0389631726091233</v>
      </c>
      <c r="BF195" s="172">
        <f ca="1">(VLOOKUP(BF$72,INDIRECT($C$5&amp;"生成成长"),2))/((VLOOKUP($B195,INDIRECT($B$5&amp;"生成成长"),4))/(VLOOKUP(BF$72,INDIRECT($C$5&amp;"生成成长"),5))*(VLOOKUP($B$5,标准坦克设计!$B$24:$U$30,MATCH("对"&amp;LEFT($C$5,2)&amp;"输出",标准坦克设计!$B$23:$U$23,0)))*(VLOOKUP($B195,INDIRECT($B$5&amp;"生成成长"),3))*(VLOOKUP($B$5,标准坦克设计!$B$14:$K$20,9)/30))</f>
        <v>5.5224379106060431</v>
      </c>
      <c r="BG195" s="172">
        <f ca="1">(VLOOKUP(BG$72,INDIRECT($C$5&amp;"生成成长"),2))/((VLOOKUP($B195,INDIRECT($B$5&amp;"生成成长"),4))/(VLOOKUP(BG$72,INDIRECT($C$5&amp;"生成成长"),5))*(VLOOKUP($B$5,标准坦克设计!$B$24:$U$30,MATCH("对"&amp;LEFT($C$5,2)&amp;"输出",标准坦克设计!$B$23:$U$23,0)))*(VLOOKUP($B195,INDIRECT($B$5&amp;"生成成长"),3))*(VLOOKUP($B$5,标准坦克设计!$B$14:$K$20,9)/30))</f>
        <v>6.0280565297325941</v>
      </c>
      <c r="BH195" s="172">
        <f ca="1">(VLOOKUP(BH$72,INDIRECT($C$5&amp;"生成成长"),2))/((VLOOKUP($B195,INDIRECT($B$5&amp;"生成成长"),4))/(VLOOKUP(BH$72,INDIRECT($C$5&amp;"生成成长"),5))*(VLOOKUP($B$5,标准坦克设计!$B$24:$U$30,MATCH("对"&amp;LEFT($C$5,2)&amp;"输出",标准坦克设计!$B$23:$U$23,0)))*(VLOOKUP($B195,INDIRECT($B$5&amp;"生成成长"),3))*(VLOOKUP($B$5,标准坦克设计!$B$14:$K$20,9)/30))</f>
        <v>2.9136973466616776</v>
      </c>
      <c r="BI195" s="172">
        <f ca="1">(VLOOKUP(BI$72,INDIRECT($C$5&amp;"生成成长"),2))/((VLOOKUP($B195,INDIRECT($B$5&amp;"生成成长"),4))/(VLOOKUP(BI$72,INDIRECT($C$5&amp;"生成成长"),5))*(VLOOKUP($B$5,标准坦克设计!$B$24:$U$30,MATCH("对"&amp;LEFT($C$5,2)&amp;"输出",标准坦克设计!$B$23:$U$23,0)))*(VLOOKUP($B195,INDIRECT($B$5&amp;"生成成长"),3))*(VLOOKUP($B$5,标准坦克设计!$B$14:$K$20,9)/30))</f>
        <v>3.2839922477738228</v>
      </c>
      <c r="BJ195" s="172">
        <f ca="1">(VLOOKUP(BJ$72,INDIRECT($C$5&amp;"生成成长"),2))/((VLOOKUP($B195,INDIRECT($B$5&amp;"生成成长"),4))/(VLOOKUP(BJ$72,INDIRECT($C$5&amp;"生成成长"),5))*(VLOOKUP($B$5,标准坦克设计!$B$24:$U$30,MATCH("对"&amp;LEFT($C$5,2)&amp;"输出",标准坦克设计!$B$23:$U$23,0)))*(VLOOKUP($B195,INDIRECT($B$5&amp;"生成成长"),3))*(VLOOKUP($B$5,标准坦克设计!$B$14:$K$20,9)/30))</f>
        <v>3.6764310300155976</v>
      </c>
      <c r="BK195" s="172">
        <f ca="1">(VLOOKUP(BK$72,INDIRECT($C$5&amp;"生成成长"),2))/((VLOOKUP($B195,INDIRECT($B$5&amp;"生成成长"),4))/(VLOOKUP(BK$72,INDIRECT($C$5&amp;"生成成长"),5))*(VLOOKUP($B$5,标准坦克设计!$B$24:$U$30,MATCH("对"&amp;LEFT($C$5,2)&amp;"输出",标准坦克设计!$B$23:$U$23,0)))*(VLOOKUP($B195,INDIRECT($B$5&amp;"生成成长"),3))*(VLOOKUP($B$5,标准坦克设计!$B$14:$K$20,9)/30))</f>
        <v>4.0910136933870032</v>
      </c>
      <c r="BL195" s="172">
        <f ca="1">(VLOOKUP(BL$72,INDIRECT($C$5&amp;"生成成长"),2))/((VLOOKUP($B195,INDIRECT($B$5&amp;"生成成长"),4))/(VLOOKUP(BL$72,INDIRECT($C$5&amp;"生成成长"),5))*(VLOOKUP($B$5,标准坦克设计!$B$24:$U$30,MATCH("对"&amp;LEFT($C$5,2)&amp;"输出",标准坦克设计!$B$23:$U$23,0)))*(VLOOKUP($B195,INDIRECT($B$5&amp;"生成成长"),3))*(VLOOKUP($B$5,标准坦克设计!$B$14:$K$20,9)/30))</f>
        <v>4.5277402378880378</v>
      </c>
      <c r="BM195" s="172">
        <f ca="1">(VLOOKUP(BM$72,INDIRECT($C$5&amp;"生成成长"),2))/((VLOOKUP($B195,INDIRECT($B$5&amp;"生成成长"),4))/(VLOOKUP(BM$72,INDIRECT($C$5&amp;"生成成长"),5))*(VLOOKUP($B$5,标准坦克设计!$B$24:$U$30,MATCH("对"&amp;LEFT($C$5,2)&amp;"输出",标准坦克设计!$B$23:$U$23,0)))*(VLOOKUP($B195,INDIRECT($B$5&amp;"生成成长"),3))*(VLOOKUP($B$5,标准坦克设计!$B$14:$K$20,9)/30))</f>
        <v>4.986610663518702</v>
      </c>
      <c r="BN195" s="172">
        <f ca="1">(VLOOKUP(BN$72,INDIRECT($C$5&amp;"生成成长"),2))/((VLOOKUP($B195,INDIRECT($B$5&amp;"生成成长"),4))/(VLOOKUP(BN$72,INDIRECT($C$5&amp;"生成成长"),5))*(VLOOKUP($B$5,标准坦克设计!$B$24:$U$30,MATCH("对"&amp;LEFT($C$5,2)&amp;"输出",标准坦克设计!$B$23:$U$23,0)))*(VLOOKUP($B195,INDIRECT($B$5&amp;"生成成长"),3))*(VLOOKUP($B$5,标准坦克设计!$B$14:$K$20,9)/30))</f>
        <v>5.4676249702789974</v>
      </c>
      <c r="BO195" s="172">
        <f ca="1">(VLOOKUP(BO$72,INDIRECT($C$5&amp;"生成成长"),2))/((VLOOKUP($B195,INDIRECT($B$5&amp;"生成成长"),4))/(VLOOKUP(BO$72,INDIRECT($C$5&amp;"生成成长"),5))*(VLOOKUP($B$5,标准坦克设计!$B$24:$U$30,MATCH("对"&amp;LEFT($C$5,2)&amp;"输出",标准坦克设计!$B$23:$U$23,0)))*(VLOOKUP($B195,INDIRECT($B$5&amp;"生成成长"),3))*(VLOOKUP($B$5,标准坦克设计!$B$14:$K$20,9)/30))</f>
        <v>5.9707831581689215</v>
      </c>
      <c r="BP195" s="172">
        <f ca="1">(VLOOKUP(BP$72,INDIRECT($C$5&amp;"生成成长"),2))/((VLOOKUP($B195,INDIRECT($B$5&amp;"生成成长"),4))/(VLOOKUP(BP$72,INDIRECT($C$5&amp;"生成成长"),5))*(VLOOKUP($B$5,标准坦克设计!$B$24:$U$30,MATCH("对"&amp;LEFT($C$5,2)&amp;"输出",标准坦克设计!$B$23:$U$23,0)))*(VLOOKUP($B195,INDIRECT($B$5&amp;"生成成长"),3))*(VLOOKUP($B$5,标准坦克设计!$B$14:$K$20,9)/30))</f>
        <v>6.4960852271884768</v>
      </c>
      <c r="BQ195" s="172">
        <f ca="1">(VLOOKUP(BQ$72,INDIRECT($C$5&amp;"生成成长"),2))/((VLOOKUP($B195,INDIRECT($B$5&amp;"生成成长"),4))/(VLOOKUP(BQ$72,INDIRECT($C$5&amp;"生成成长"),5))*(VLOOKUP($B$5,标准坦克设计!$B$24:$U$30,MATCH("对"&amp;LEFT($C$5,2)&amp;"输出",标准坦克设计!$B$23:$U$23,0)))*(VLOOKUP($B195,INDIRECT($B$5&amp;"生成成长"),3))*(VLOOKUP($B$5,标准坦克设计!$B$14:$K$20,9)/30))</f>
        <v>7.0435311773376608</v>
      </c>
      <c r="BR195" s="172">
        <f ca="1">(VLOOKUP(BR$72,INDIRECT($C$5&amp;"生成成长"),2))/((VLOOKUP($B195,INDIRECT($B$5&amp;"生成成长"),4))/(VLOOKUP(BR$72,INDIRECT($C$5&amp;"生成成长"),5))*(VLOOKUP($B$5,标准坦克设计!$B$24:$U$30,MATCH("对"&amp;LEFT($C$5,2)&amp;"输出",标准坦克设计!$B$23:$U$23,0)))*(VLOOKUP($B195,INDIRECT($B$5&amp;"生成成长"),3))*(VLOOKUP($B$5,标准坦克设计!$B$14:$K$20,9)/30))</f>
        <v>7.6777756738900251</v>
      </c>
      <c r="BS195" s="172">
        <f ca="1">(VLOOKUP(BS$72,INDIRECT($C$5&amp;"生成成长"),2))/((VLOOKUP($B195,INDIRECT($B$5&amp;"生成成长"),4))/(VLOOKUP(BS$72,INDIRECT($C$5&amp;"生成成长"),5))*(VLOOKUP($B$5,标准坦克设计!$B$24:$U$30,MATCH("对"&amp;LEFT($C$5,2)&amp;"输出",标准坦克设计!$B$23:$U$23,0)))*(VLOOKUP($B195,INDIRECT($B$5&amp;"生成成长"),3))*(VLOOKUP($B$5,标准坦克设计!$B$14:$K$20,9)/30))</f>
        <v>8.339358295293783</v>
      </c>
      <c r="BT195" s="172">
        <f ca="1">(VLOOKUP(BT$72,INDIRECT($C$5&amp;"生成成长"),2))/((VLOOKUP($B195,INDIRECT($B$5&amp;"生成成长"),4))/(VLOOKUP(BT$72,INDIRECT($C$5&amp;"生成成长"),5))*(VLOOKUP($B$5,标准坦克设计!$B$24:$U$30,MATCH("对"&amp;LEFT($C$5,2)&amp;"输出",标准坦克设计!$B$23:$U$23,0)))*(VLOOKUP($B195,INDIRECT($B$5&amp;"生成成长"),3))*(VLOOKUP($B$5,标准坦克设计!$B$14:$K$20,9)/30))</f>
        <v>9.028279041548938</v>
      </c>
      <c r="BU195" s="172">
        <f ca="1">(VLOOKUP(BU$72,INDIRECT($C$5&amp;"生成成长"),2))/((VLOOKUP($B195,INDIRECT($B$5&amp;"生成成长"),4))/(VLOOKUP(BU$72,INDIRECT($C$5&amp;"生成成长"),5))*(VLOOKUP($B$5,标准坦克设计!$B$24:$U$30,MATCH("对"&amp;LEFT($C$5,2)&amp;"输出",标准坦克设计!$B$23:$U$23,0)))*(VLOOKUP($B195,INDIRECT($B$5&amp;"生成成长"),3))*(VLOOKUP($B$5,标准坦克设计!$B$14:$K$20,9)/30))</f>
        <v>9.7445379126554847</v>
      </c>
      <c r="BV195" s="172">
        <f ca="1">(VLOOKUP(BV$72,INDIRECT($C$5&amp;"生成成长"),2))/((VLOOKUP($B195,INDIRECT($B$5&amp;"生成成长"),4))/(VLOOKUP(BV$72,INDIRECT($C$5&amp;"生成成长"),5))*(VLOOKUP($B$5,标准坦克设计!$B$24:$U$30,MATCH("对"&amp;LEFT($C$5,2)&amp;"输出",标准坦克设计!$B$23:$U$23,0)))*(VLOOKUP($B195,INDIRECT($B$5&amp;"生成成长"),3))*(VLOOKUP($B$5,标准坦克设计!$B$14:$K$20,9)/30))</f>
        <v>10.488134908613429</v>
      </c>
      <c r="BW195" s="172">
        <f ca="1">(VLOOKUP(BW$72,INDIRECT($C$5&amp;"生成成长"),2))/((VLOOKUP($B195,INDIRECT($B$5&amp;"生成成长"),4))/(VLOOKUP(BW$72,INDIRECT($C$5&amp;"生成成长"),5))*(VLOOKUP($B$5,标准坦克设计!$B$24:$U$30,MATCH("对"&amp;LEFT($C$5,2)&amp;"输出",标准坦克设计!$B$23:$U$23,0)))*(VLOOKUP($B195,INDIRECT($B$5&amp;"生成成长"),3))*(VLOOKUP($B$5,标准坦克设计!$B$14:$K$20,9)/30))</f>
        <v>4.7799344396421564</v>
      </c>
      <c r="BX195" s="172">
        <f ca="1">(VLOOKUP(BX$72,INDIRECT($C$5&amp;"生成成长"),2))/((VLOOKUP($B195,INDIRECT($B$5&amp;"生成成长"),4))/(VLOOKUP(BX$72,INDIRECT($C$5&amp;"生成成长"),5))*(VLOOKUP($B$5,标准坦克设计!$B$24:$U$30,MATCH("对"&amp;LEFT($C$5,2)&amp;"输出",标准坦克设计!$B$23:$U$23,0)))*(VLOOKUP($B195,INDIRECT($B$5&amp;"生成成长"),3))*(VLOOKUP($B$5,标准坦克设计!$B$14:$K$20,9)/30))</f>
        <v>5.3048264367889395</v>
      </c>
      <c r="BY195" s="172">
        <f ca="1">(VLOOKUP(BY$72,INDIRECT($C$5&amp;"生成成长"),2))/((VLOOKUP($B195,INDIRECT($B$5&amp;"生成成长"),4))/(VLOOKUP(BY$72,INDIRECT($C$5&amp;"生成成长"),5))*(VLOOKUP($B$5,标准坦克设计!$B$24:$U$30,MATCH("对"&amp;LEFT($C$5,2)&amp;"输出",标准坦克设计!$B$23:$U$23,0)))*(VLOOKUP($B195,INDIRECT($B$5&amp;"生成成长"),3))*(VLOOKUP($B$5,标准坦克设计!$B$14:$K$20,9)/30))</f>
        <v>5.8570565587871188</v>
      </c>
      <c r="BZ195" s="172">
        <f ca="1">(VLOOKUP(BZ$72,INDIRECT($C$5&amp;"生成成长"),2))/((VLOOKUP($B195,INDIRECT($B$5&amp;"生成成长"),4))/(VLOOKUP(BZ$72,INDIRECT($C$5&amp;"生成成长"),5))*(VLOOKUP($B$5,标准坦克设计!$B$24:$U$30,MATCH("对"&amp;LEFT($C$5,2)&amp;"输出",标准坦克设计!$B$23:$U$23,0)))*(VLOOKUP($B195,INDIRECT($B$5&amp;"生成成长"),3))*(VLOOKUP($B$5,标准坦克设计!$B$14:$K$20,9)/30))</f>
        <v>6.4366248056366908</v>
      </c>
      <c r="CA195" s="172">
        <f ca="1">(VLOOKUP(CA$72,INDIRECT($C$5&amp;"生成成长"),2))/((VLOOKUP($B195,INDIRECT($B$5&amp;"生成成长"),4))/(VLOOKUP(CA$72,INDIRECT($C$5&amp;"生成成长"),5))*(VLOOKUP($B$5,标准坦克设计!$B$24:$U$30,MATCH("对"&amp;LEFT($C$5,2)&amp;"输出",标准坦克设计!$B$23:$U$23,0)))*(VLOOKUP($B195,INDIRECT($B$5&amp;"生成成长"),3))*(VLOOKUP($B$5,标准坦克设计!$B$14:$K$20,9)/30))</f>
        <v>7.0435311773376608</v>
      </c>
      <c r="CB195" s="172">
        <f ca="1">(VLOOKUP(CB$72,INDIRECT($C$5&amp;"生成成长"),2))/((VLOOKUP($B195,INDIRECT($B$5&amp;"生成成长"),4))/(VLOOKUP(CB$72,INDIRECT($C$5&amp;"生成成长"),5))*(VLOOKUP($B$5,标准坦克设计!$B$24:$U$30,MATCH("对"&amp;LEFT($C$5,2)&amp;"输出",标准坦克设计!$B$23:$U$23,0)))*(VLOOKUP($B195,INDIRECT($B$5&amp;"生成成长"),3))*(VLOOKUP($B$5,标准坦克设计!$B$14:$K$20,9)/30))</f>
        <v>7.6777756738900251</v>
      </c>
      <c r="CC195" s="172">
        <f ca="1">(VLOOKUP(CC$72,INDIRECT($C$5&amp;"生成成长"),2))/((VLOOKUP($B195,INDIRECT($B$5&amp;"生成成长"),4))/(VLOOKUP(CC$72,INDIRECT($C$5&amp;"生成成长"),5))*(VLOOKUP($B$5,标准坦克设计!$B$24:$U$30,MATCH("对"&amp;LEFT($C$5,2)&amp;"输出",标准坦克设计!$B$23:$U$23,0)))*(VLOOKUP($B195,INDIRECT($B$5&amp;"生成成长"),3))*(VLOOKUP($B$5,标准坦克设计!$B$14:$K$20,9)/30))</f>
        <v>8.339358295293783</v>
      </c>
      <c r="CD195" s="172">
        <f ca="1">(VLOOKUP(CD$72,INDIRECT($C$5&amp;"生成成长"),2))/((VLOOKUP($B195,INDIRECT($B$5&amp;"生成成长"),4))/(VLOOKUP(CD$72,INDIRECT($C$5&amp;"生成成长"),5))*(VLOOKUP($B$5,标准坦克设计!$B$24:$U$30,MATCH("对"&amp;LEFT($C$5,2)&amp;"输出",标准坦克设计!$B$23:$U$23,0)))*(VLOOKUP($B195,INDIRECT($B$5&amp;"生成成长"),3))*(VLOOKUP($B$5,标准坦克设计!$B$14:$K$20,9)/30))</f>
        <v>9.028279041548938</v>
      </c>
      <c r="CE195" s="172">
        <f ca="1">(VLOOKUP(CE$72,INDIRECT($C$5&amp;"生成成长"),2))/((VLOOKUP($B195,INDIRECT($B$5&amp;"生成成长"),4))/(VLOOKUP(CE$72,INDIRECT($C$5&amp;"生成成长"),5))*(VLOOKUP($B$5,标准坦克设计!$B$24:$U$30,MATCH("对"&amp;LEFT($C$5,2)&amp;"输出",标准坦克设计!$B$23:$U$23,0)))*(VLOOKUP($B195,INDIRECT($B$5&amp;"生成成长"),3))*(VLOOKUP($B$5,标准坦克设计!$B$14:$K$20,9)/30))</f>
        <v>9.7445379126554847</v>
      </c>
      <c r="CF195" s="172">
        <f ca="1">(VLOOKUP(CF$72,INDIRECT($C$5&amp;"生成成长"),2))/((VLOOKUP($B195,INDIRECT($B$5&amp;"生成成长"),4))/(VLOOKUP(CF$72,INDIRECT($C$5&amp;"生成成长"),5))*(VLOOKUP($B$5,标准坦克设计!$B$24:$U$30,MATCH("对"&amp;LEFT($C$5,2)&amp;"输出",标准坦克设计!$B$23:$U$23,0)))*(VLOOKUP($B195,INDIRECT($B$5&amp;"生成成长"),3))*(VLOOKUP($B$5,标准坦克设计!$B$14:$K$20,9)/30))</f>
        <v>10.488134908613429</v>
      </c>
      <c r="CG195" s="172">
        <f ca="1">(VLOOKUP(CG$72,INDIRECT($C$5&amp;"生成成长"),2))/((VLOOKUP($B195,INDIRECT($B$5&amp;"生成成长"),4))/(VLOOKUP(CG$72,INDIRECT($C$5&amp;"生成成长"),5))*(VLOOKUP($B$5,标准坦克设计!$B$24:$U$30,MATCH("对"&amp;LEFT($C$5,2)&amp;"输出",标准坦克设计!$B$23:$U$23,0)))*(VLOOKUP($B195,INDIRECT($B$5&amp;"生成成长"),3))*(VLOOKUP($B$5,标准坦克设计!$B$14:$K$20,9)/30))</f>
        <v>11.259070029422768</v>
      </c>
      <c r="CH195" s="172">
        <f ca="1">(VLOOKUP(CH$72,INDIRECT($C$5&amp;"生成成长"),2))/((VLOOKUP($B195,INDIRECT($B$5&amp;"生成成长"),4))/(VLOOKUP(CH$72,INDIRECT($C$5&amp;"生成成长"),5))*(VLOOKUP($B$5,标准坦克设计!$B$24:$U$30,MATCH("对"&amp;LEFT($C$5,2)&amp;"输出",标准坦克设计!$B$23:$U$23,0)))*(VLOOKUP($B195,INDIRECT($B$5&amp;"生成成长"),3))*(VLOOKUP($B$5,标准坦克设计!$B$14:$K$20,9)/30))</f>
        <v>12.0573432750835</v>
      </c>
      <c r="CI195" s="172">
        <f ca="1">(VLOOKUP(CI$72,INDIRECT($C$5&amp;"生成成长"),2))/((VLOOKUP($B195,INDIRECT($B$5&amp;"生成成长"),4))/(VLOOKUP(CI$72,INDIRECT($C$5&amp;"生成成长"),5))*(VLOOKUP($B$5,标准坦克设计!$B$24:$U$30,MATCH("对"&amp;LEFT($C$5,2)&amp;"输出",标准坦克设计!$B$23:$U$23,0)))*(VLOOKUP($B195,INDIRECT($B$5&amp;"生成成长"),3))*(VLOOKUP($B$5,标准坦克设计!$B$14:$K$20,9)/30))</f>
        <v>12.967019379513669</v>
      </c>
      <c r="CJ195" s="172">
        <f ca="1">(VLOOKUP(CJ$72,INDIRECT($C$5&amp;"生成成长"),2))/((VLOOKUP($B195,INDIRECT($B$5&amp;"生成成长"),4))/(VLOOKUP(CJ$72,INDIRECT($C$5&amp;"生成成长"),5))*(VLOOKUP($B$5,标准坦克设计!$B$24:$U$30,MATCH("对"&amp;LEFT($C$5,2)&amp;"输出",标准坦克设计!$B$23:$U$23,0)))*(VLOOKUP($B195,INDIRECT($B$5&amp;"生成成长"),3))*(VLOOKUP($B$5,标准坦克设计!$B$14:$K$20,9)/30))</f>
        <v>13.909774615014026</v>
      </c>
      <c r="CK195" s="172">
        <f ca="1">(VLOOKUP(CK$72,INDIRECT($C$5&amp;"生成成长"),2))/((VLOOKUP($B195,INDIRECT($B$5&amp;"生成成长"),4))/(VLOOKUP(CK$72,INDIRECT($C$5&amp;"生成成长"),5))*(VLOOKUP($B$5,标准坦克设计!$B$24:$U$30,MATCH("对"&amp;LEFT($C$5,2)&amp;"输出",标准坦克设计!$B$23:$U$23,0)))*(VLOOKUP($B195,INDIRECT($B$5&amp;"生成成长"),3))*(VLOOKUP($B$5,标准坦克设计!$B$14:$K$20,9)/30))</f>
        <v>14.885608981584568</v>
      </c>
      <c r="CL195" s="172">
        <f ca="1">(VLOOKUP(CL$72,INDIRECT($C$5&amp;"生成成长"),2))/((VLOOKUP($B195,INDIRECT($B$5&amp;"生成成长"),4))/(VLOOKUP(CL$72,INDIRECT($C$5&amp;"生成成长"),5))*(VLOOKUP($B$5,标准坦克设计!$B$24:$U$30,MATCH("对"&amp;LEFT($C$5,2)&amp;"输出",标准坦克设计!$B$23:$U$23,0)))*(VLOOKUP($B195,INDIRECT($B$5&amp;"生成成长"),3))*(VLOOKUP($B$5,标准坦克设计!$B$14:$K$20,9)/30))</f>
        <v>15.894522479225301</v>
      </c>
      <c r="CM195" s="172">
        <f ca="1">(VLOOKUP(CM$72,INDIRECT($C$5&amp;"生成成长"),2))/((VLOOKUP($B195,INDIRECT($B$5&amp;"生成成长"),4))/(VLOOKUP(CM$72,INDIRECT($C$5&amp;"生成成长"),5))*(VLOOKUP($B$5,标准坦克设计!$B$24:$U$30,MATCH("对"&amp;LEFT($C$5,2)&amp;"输出",标准坦克设计!$B$23:$U$23,0)))*(VLOOKUP($B195,INDIRECT($B$5&amp;"生成成长"),3))*(VLOOKUP($B$5,标准坦克设计!$B$14:$K$20,9)/30))</f>
        <v>16.93651510793622</v>
      </c>
      <c r="CN195" s="172">
        <f ca="1">(VLOOKUP(CN$72,INDIRECT($C$5&amp;"生成成长"),2))/((VLOOKUP($B195,INDIRECT($B$5&amp;"生成成长"),4))/(VLOOKUP(CN$72,INDIRECT($C$5&amp;"生成成长"),5))*(VLOOKUP($B$5,标准坦克设计!$B$24:$U$30,MATCH("对"&amp;LEFT($C$5,2)&amp;"输出",标准坦克设计!$B$23:$U$23,0)))*(VLOOKUP($B195,INDIRECT($B$5&amp;"生成成长"),3))*(VLOOKUP($B$5,标准坦克设计!$B$14:$K$20,9)/30))</f>
        <v>18.01158686771733</v>
      </c>
      <c r="CO195" s="172">
        <f ca="1">(VLOOKUP(CO$72,INDIRECT($C$5&amp;"生成成长"),2))/((VLOOKUP($B195,INDIRECT($B$5&amp;"生成成长"),4))/(VLOOKUP(CO$72,INDIRECT($C$5&amp;"生成成长"),5))*(VLOOKUP($B$5,标准坦克设计!$B$24:$U$30,MATCH("对"&amp;LEFT($C$5,2)&amp;"输出",标准坦克设计!$B$23:$U$23,0)))*(VLOOKUP($B195,INDIRECT($B$5&amp;"生成成长"),3))*(VLOOKUP($B$5,标准坦克设计!$B$14:$K$20,9)/30))</f>
        <v>8.0714446717501147</v>
      </c>
      <c r="CP195" s="172">
        <f ca="1">(VLOOKUP(CP$72,INDIRECT($C$5&amp;"生成成长"),2))/((VLOOKUP($B195,INDIRECT($B$5&amp;"生成成长"),4))/(VLOOKUP(CP$72,INDIRECT($C$5&amp;"生成成长"),5))*(VLOOKUP($B$5,标准坦克设计!$B$24:$U$30,MATCH("对"&amp;LEFT($C$5,2)&amp;"输出",标准坦克设计!$B$23:$U$23,0)))*(VLOOKUP($B195,INDIRECT($B$5&amp;"生成成长"),3))*(VLOOKUP($B$5,标准坦克设计!$B$14:$K$20,9)/30))</f>
        <v>8.8187323145629932</v>
      </c>
      <c r="CQ195" s="172">
        <f ca="1">(VLOOKUP(CQ$72,INDIRECT($C$5&amp;"生成成长"),2))/((VLOOKUP($B195,INDIRECT($B$5&amp;"生成成长"),4))/(VLOOKUP(CQ$72,INDIRECT($C$5&amp;"生成成长"),5))*(VLOOKUP($B$5,标准坦克设计!$B$24:$U$30,MATCH("对"&amp;LEFT($C$5,2)&amp;"输出",标准坦克设计!$B$23:$U$23,0)))*(VLOOKUP($B195,INDIRECT($B$5&amp;"生成成长"),3))*(VLOOKUP($B$5,标准坦克设计!$B$14:$K$20,9)/30))</f>
        <v>9.5990990884460636</v>
      </c>
      <c r="CR195" s="172">
        <f ca="1">(VLOOKUP(CR$72,INDIRECT($C$5&amp;"生成成长"),2))/((VLOOKUP($B195,INDIRECT($B$5&amp;"生成成长"),4))/(VLOOKUP(CR$72,INDIRECT($C$5&amp;"生成成长"),5))*(VLOOKUP($B$5,标准坦克设计!$B$24:$U$30,MATCH("对"&amp;LEFT($C$5,2)&amp;"输出",标准坦克设计!$B$23:$U$23,0)))*(VLOOKUP($B195,INDIRECT($B$5&amp;"生成成长"),3))*(VLOOKUP($B$5,标准坦克设计!$B$14:$K$20,9)/30))</f>
        <v>10.412544993399322</v>
      </c>
      <c r="CS195" s="172">
        <f ca="1">(VLOOKUP(CS$72,INDIRECT($C$5&amp;"生成成长"),2))/((VLOOKUP($B195,INDIRECT($B$5&amp;"生成成长"),4))/(VLOOKUP(CS$72,INDIRECT($C$5&amp;"生成成长"),5))*(VLOOKUP($B$5,标准坦克设计!$B$24:$U$30,MATCH("对"&amp;LEFT($C$5,2)&amp;"输出",标准坦克设计!$B$23:$U$23,0)))*(VLOOKUP($B195,INDIRECT($B$5&amp;"生成成长"),3))*(VLOOKUP($B$5,标准坦克设计!$B$14:$K$20,9)/30))</f>
        <v>11.259070029422768</v>
      </c>
      <c r="CT195" s="172">
        <f ca="1">(VLOOKUP(CT$72,INDIRECT($C$5&amp;"生成成长"),2))/((VLOOKUP($B195,INDIRECT($B$5&amp;"生成成长"),4))/(VLOOKUP(CT$72,INDIRECT($C$5&amp;"生成成长"),5))*(VLOOKUP($B$5,标准坦克设计!$B$24:$U$30,MATCH("对"&amp;LEFT($C$5,2)&amp;"输出",标准坦克设计!$B$23:$U$23,0)))*(VLOOKUP($B195,INDIRECT($B$5&amp;"生成成长"),3))*(VLOOKUP($B$5,标准坦克设计!$B$14:$K$20,9)/30))</f>
        <v>12.1386741965164</v>
      </c>
      <c r="CU195" s="172">
        <f ca="1">(VLOOKUP(CU$72,INDIRECT($C$5&amp;"生成成长"),2))/((VLOOKUP($B195,INDIRECT($B$5&amp;"生成成长"),4))/(VLOOKUP(CU$72,INDIRECT($C$5&amp;"生成成长"),5))*(VLOOKUP($B$5,标准坦克设计!$B$24:$U$30,MATCH("对"&amp;LEFT($C$5,2)&amp;"输出",标准坦克设计!$B$23:$U$23,0)))*(VLOOKUP($B195,INDIRECT($B$5&amp;"生成成长"),3))*(VLOOKUP($B$5,标准坦克设计!$B$14:$K$20,9)/30))</f>
        <v>13.051357494680223</v>
      </c>
      <c r="CV195" s="172">
        <f ca="1">(VLOOKUP(CV$72,INDIRECT($C$5&amp;"生成成长"),2))/((VLOOKUP($B195,INDIRECT($B$5&amp;"生成成长"),4))/(VLOOKUP(CV$72,INDIRECT($C$5&amp;"生成成长"),5))*(VLOOKUP($B$5,标准坦克设计!$B$24:$U$30,MATCH("对"&amp;LEFT($C$5,2)&amp;"输出",标准坦克设计!$B$23:$U$23,0)))*(VLOOKUP($B195,INDIRECT($B$5&amp;"生成成长"),3))*(VLOOKUP($B$5,标准坦克设计!$B$14:$K$20,9)/30))</f>
        <v>13.997119923914232</v>
      </c>
      <c r="CW195" s="172">
        <f ca="1">(VLOOKUP(CW$72,INDIRECT($C$5&amp;"生成成长"),2))/((VLOOKUP($B195,INDIRECT($B$5&amp;"生成成长"),4))/(VLOOKUP(CW$72,INDIRECT($C$5&amp;"生成成长"),5))*(VLOOKUP($B$5,标准坦克设计!$B$24:$U$30,MATCH("对"&amp;LEFT($C$5,2)&amp;"输出",标准坦克设计!$B$23:$U$23,0)))*(VLOOKUP($B195,INDIRECT($B$5&amp;"生成成长"),3))*(VLOOKUP($B$5,标准坦克设计!$B$14:$K$20,9)/30))</f>
        <v>14.975961484218429</v>
      </c>
      <c r="CX195" s="172">
        <f ca="1">(VLOOKUP(CX$72,INDIRECT($C$5&amp;"生成成长"),2))/((VLOOKUP($B195,INDIRECT($B$5&amp;"生成成长"),4))/(VLOOKUP(CX$72,INDIRECT($C$5&amp;"生成成长"),5))*(VLOOKUP($B$5,标准坦克设计!$B$24:$U$30,MATCH("对"&amp;LEFT($C$5,2)&amp;"输出",标准坦克设计!$B$23:$U$23,0)))*(VLOOKUP($B195,INDIRECT($B$5&amp;"生成成长"),3))*(VLOOKUP($B$5,标准坦克设计!$B$14:$K$20,9)/30))</f>
        <v>15.987882175592818</v>
      </c>
      <c r="CY195" s="172">
        <f ca="1">(VLOOKUP(CY$72,INDIRECT($C$5&amp;"生成成长"),2))/((VLOOKUP($B195,INDIRECT($B$5&amp;"生成成长"),4))/(VLOOKUP(CY$72,INDIRECT($C$5&amp;"生成成长"),5))*(VLOOKUP($B$5,标准坦克设计!$B$24:$U$30,MATCH("对"&amp;LEFT($C$5,2)&amp;"输出",标准坦克设计!$B$23:$U$23,0)))*(VLOOKUP($B195,INDIRECT($B$5&amp;"生成成长"),3))*(VLOOKUP($B$5,标准坦克设计!$B$14:$K$20,9)/30))</f>
        <v>17.032881998037389</v>
      </c>
      <c r="CZ195" s="172">
        <f ca="1">(VLOOKUP(CZ$72,INDIRECT($C$5&amp;"生成成长"),2))/((VLOOKUP($B195,INDIRECT($B$5&amp;"生成成长"),4))/(VLOOKUP(CZ$72,INDIRECT($C$5&amp;"生成成长"),5))*(VLOOKUP($B$5,标准坦克设计!$B$24:$U$30,MATCH("对"&amp;LEFT($C$5,2)&amp;"输出",标准坦克设计!$B$23:$U$23,0)))*(VLOOKUP($B195,INDIRECT($B$5&amp;"生成成长"),3))*(VLOOKUP($B$5,标准坦克设计!$B$14:$K$20,9)/30))</f>
        <v>18.110960951552151</v>
      </c>
      <c r="DA195" s="172">
        <f ca="1">(VLOOKUP(DA$72,INDIRECT($C$5&amp;"生成成长"),2))/((VLOOKUP($B195,INDIRECT($B$5&amp;"生成成长"),4))/(VLOOKUP(DA$72,INDIRECT($C$5&amp;"生成成长"),5))*(VLOOKUP($B$5,标准坦克设计!$B$24:$U$30,MATCH("对"&amp;LEFT($C$5,2)&amp;"输出",标准坦克设计!$B$23:$U$23,0)))*(VLOOKUP($B195,INDIRECT($B$5&amp;"生成成长"),3))*(VLOOKUP($B$5,标准坦克设计!$B$14:$K$20,9)/30))</f>
        <v>19.222119036137094</v>
      </c>
      <c r="DB195" s="172">
        <f ca="1">(VLOOKUP(DB$72,INDIRECT($C$5&amp;"生成成长"),2))/((VLOOKUP($B195,INDIRECT($B$5&amp;"生成成长"),4))/(VLOOKUP(DB$72,INDIRECT($C$5&amp;"生成成长"),5))*(VLOOKUP($B$5,标准坦克设计!$B$24:$U$30,MATCH("对"&amp;LEFT($C$5,2)&amp;"输出",标准坦克设计!$B$23:$U$23,0)))*(VLOOKUP($B195,INDIRECT($B$5&amp;"生成成长"),3))*(VLOOKUP($B$5,标准坦克设计!$B$14:$K$20,9)/30))</f>
        <v>20.36635625179224</v>
      </c>
      <c r="DC195" s="172">
        <f ca="1">(VLOOKUP(DC$72,INDIRECT($C$5&amp;"生成成长"),2))/((VLOOKUP($B195,INDIRECT($B$5&amp;"生成成长"),4))/(VLOOKUP(DC$72,INDIRECT($C$5&amp;"生成成长"),5))*(VLOOKUP($B$5,标准坦克设计!$B$24:$U$30,MATCH("对"&amp;LEFT($C$5,2)&amp;"输出",标准坦克设计!$B$23:$U$23,0)))*(VLOOKUP($B195,INDIRECT($B$5&amp;"生成成长"),3))*(VLOOKUP($B$5,标准坦克设计!$B$14:$K$20,9)/30))</f>
        <v>21.652341644801862</v>
      </c>
      <c r="DD195" s="172">
        <f ca="1">(VLOOKUP(DD$72,INDIRECT($C$5&amp;"生成成长"),2))/((VLOOKUP($B195,INDIRECT($B$5&amp;"生成成长"),4))/(VLOOKUP(DD$72,INDIRECT($C$5&amp;"生成成长"),5))*(VLOOKUP($B$5,标准坦克设计!$B$24:$U$30,MATCH("对"&amp;LEFT($C$5,2)&amp;"输出",标准坦克设计!$B$23:$U$23,0)))*(VLOOKUP($B195,INDIRECT($B$5&amp;"生成成长"),3))*(VLOOKUP($B$5,标准坦克设计!$B$14:$K$20,9)/30))</f>
        <v>22.977693937597486</v>
      </c>
      <c r="DE195" s="172">
        <f ca="1">(VLOOKUP(DE$72,INDIRECT($C$5&amp;"生成成长"),2))/((VLOOKUP($B195,INDIRECT($B$5&amp;"生成成长"),4))/(VLOOKUP(DE$72,INDIRECT($C$5&amp;"生成成长"),5))*(VLOOKUP($B$5,标准坦克设计!$B$24:$U$30,MATCH("对"&amp;LEFT($C$5,2)&amp;"输出",标准坦克设计!$B$23:$U$23,0)))*(VLOOKUP($B195,INDIRECT($B$5&amp;"生成成长"),3))*(VLOOKUP($B$5,标准坦克设计!$B$14:$K$20,9)/30))</f>
        <v>24.342413130179125</v>
      </c>
      <c r="DF195" s="172">
        <f ca="1">(VLOOKUP(DF$72,INDIRECT($C$5&amp;"生成成长"),2))/((VLOOKUP($B195,INDIRECT($B$5&amp;"生成成长"),4))/(VLOOKUP(DF$72,INDIRECT($C$5&amp;"生成成长"),5))*(VLOOKUP($B$5,标准坦克设计!$B$24:$U$30,MATCH("对"&amp;LEFT($C$5,2)&amp;"输出",标准坦克设计!$B$23:$U$23,0)))*(VLOOKUP($B195,INDIRECT($B$5&amp;"生成成长"),3))*(VLOOKUP($B$5,标准坦克设计!$B$14:$K$20,9)/30))</f>
        <v>25.746499222546763</v>
      </c>
      <c r="DG195" s="172">
        <f ca="1">(VLOOKUP(DG$72,INDIRECT($C$5&amp;"生成成长"),2))/((VLOOKUP($B195,INDIRECT($B$5&amp;"生成成长"),4))/(VLOOKUP(DG$72,INDIRECT($C$5&amp;"生成成长"),5))*(VLOOKUP($B$5,标准坦克设计!$B$24:$U$30,MATCH("对"&amp;LEFT($C$5,2)&amp;"输出",标准坦克设计!$B$23:$U$23,0)))*(VLOOKUP($B195,INDIRECT($B$5&amp;"生成成长"),3))*(VLOOKUP($B$5,标准坦克设计!$B$14:$K$20,9)/30))</f>
        <v>27.18995221470043</v>
      </c>
      <c r="DH195" s="172">
        <f ca="1">(VLOOKUP(DH$72,INDIRECT($C$5&amp;"生成成长"),2))/((VLOOKUP($B195,INDIRECT($B$5&amp;"生成成长"),4))/(VLOOKUP(DH$72,INDIRECT($C$5&amp;"生成成长"),5))*(VLOOKUP($B$5,标准坦克设计!$B$24:$U$30,MATCH("对"&amp;LEFT($C$5,2)&amp;"输出",标准坦克设计!$B$23:$U$23,0)))*(VLOOKUP($B195,INDIRECT($B$5&amp;"生成成长"),3))*(VLOOKUP($B$5,标准坦克设计!$B$14:$K$20,9)/30))</f>
        <v>28.672772106640096</v>
      </c>
      <c r="DI195" s="172">
        <f ca="1">(VLOOKUP(DI$72,INDIRECT($C$5&amp;"生成成长"),2))/((VLOOKUP($B195,INDIRECT($B$5&amp;"生成成长"),4))/(VLOOKUP(DI$72,INDIRECT($C$5&amp;"生成成长"),5))*(VLOOKUP($B$5,标准坦克设计!$B$24:$U$30,MATCH("对"&amp;LEFT($C$5,2)&amp;"输出",标准坦克设计!$B$23:$U$23,0)))*(VLOOKUP($B195,INDIRECT($B$5&amp;"生成成长"),3))*(VLOOKUP($B$5,标准坦克设计!$B$14:$K$20,9)/30))</f>
        <v>30.194958898365766</v>
      </c>
      <c r="DJ195" s="172">
        <f ca="1">(VLOOKUP(DJ$72,INDIRECT($C$5&amp;"生成成长"),2))/((VLOOKUP($B195,INDIRECT($B$5&amp;"生成成长"),4))/(VLOOKUP(DJ$72,INDIRECT($C$5&amp;"生成成长"),5))*(VLOOKUP($B$5,标准坦克设计!$B$24:$U$30,MATCH("对"&amp;LEFT($C$5,2)&amp;"输出",标准坦克设计!$B$23:$U$23,0)))*(VLOOKUP($B195,INDIRECT($B$5&amp;"生成成长"),3))*(VLOOKUP($B$5,标准坦克设计!$B$14:$K$20,9)/30))</f>
        <v>3.0346685491290999</v>
      </c>
      <c r="DK195" s="172">
        <f ca="1">(VLOOKUP(DK$72,INDIRECT($C$5&amp;"生成成长"),2))/((VLOOKUP($B195,INDIRECT($B$5&amp;"生成成长"),4))/(VLOOKUP(DK$72,INDIRECT($C$5&amp;"生成成长"),5))*(VLOOKUP($B$5,标准坦克设计!$B$24:$U$30,MATCH("对"&amp;LEFT($C$5,2)&amp;"输出",标准坦克设计!$B$23:$U$23,0)))*(VLOOKUP($B195,INDIRECT($B$5&amp;"生成成长"),3))*(VLOOKUP($B$5,标准坦克设计!$B$14:$K$20,9)/30))</f>
        <v>3.4123447439511221</v>
      </c>
      <c r="DL195" s="172">
        <f ca="1">(VLOOKUP(DL$72,INDIRECT($C$5&amp;"生成成长"),2))/((VLOOKUP($B195,INDIRECT($B$5&amp;"生成成长"),4))/(VLOOKUP(DL$72,INDIRECT($C$5&amp;"生成成长"),5))*(VLOOKUP($B$5,标准坦克设计!$B$24:$U$30,MATCH("对"&amp;LEFT($C$5,2)&amp;"输出",标准坦克设计!$B$23:$U$23,0)))*(VLOOKUP($B195,INDIRECT($B$5&amp;"生成成长"),3))*(VLOOKUP($B$5,标准坦克设计!$B$14:$K$20,9)/30))</f>
        <v>3.8121648199027738</v>
      </c>
      <c r="DM195" s="172">
        <f ca="1">(VLOOKUP(DM$72,INDIRECT($C$5&amp;"生成成长"),2))/((VLOOKUP($B195,INDIRECT($B$5&amp;"生成成长"),4))/(VLOOKUP(DM$72,INDIRECT($C$5&amp;"生成成长"),5))*(VLOOKUP($B$5,标准坦克设计!$B$24:$U$30,MATCH("对"&amp;LEFT($C$5,2)&amp;"输出",标准坦克设计!$B$23:$U$23,0)))*(VLOOKUP($B195,INDIRECT($B$5&amp;"生成成长"),3))*(VLOOKUP($B$5,标准坦克设计!$B$14:$K$20,9)/30))</f>
        <v>4.234128776984055</v>
      </c>
      <c r="DN195" s="172">
        <f ca="1">(VLOOKUP(DN$72,INDIRECT($C$5&amp;"生成成长"),2))/((VLOOKUP($B195,INDIRECT($B$5&amp;"生成成长"),4))/(VLOOKUP(DN$72,INDIRECT($C$5&amp;"生成成长"),5))*(VLOOKUP($B$5,标准坦克设计!$B$24:$U$30,MATCH("对"&amp;LEFT($C$5,2)&amp;"输出",标准坦克设计!$B$23:$U$23,0)))*(VLOOKUP($B195,INDIRECT($B$5&amp;"生成成长"),3))*(VLOOKUP($B$5,标准坦克设计!$B$14:$K$20,9)/30))</f>
        <v>4.6782366151949661</v>
      </c>
      <c r="DO195" s="172">
        <f ca="1">(VLOOKUP(DO$72,INDIRECT($C$5&amp;"生成成长"),2))/((VLOOKUP($B195,INDIRECT($B$5&amp;"生成成长"),4))/(VLOOKUP(DO$72,INDIRECT($C$5&amp;"生成成长"),5))*(VLOOKUP($B$5,标准坦克设计!$B$24:$U$30,MATCH("对"&amp;LEFT($C$5,2)&amp;"输出",标准坦克设计!$B$23:$U$23,0)))*(VLOOKUP($B195,INDIRECT($B$5&amp;"生成成长"),3))*(VLOOKUP($B$5,标准坦克设计!$B$14:$K$20,9)/30))</f>
        <v>5.1444883345355086</v>
      </c>
      <c r="DP195" s="172">
        <f ca="1">(VLOOKUP(DP$72,INDIRECT($C$5&amp;"生成成长"),2))/((VLOOKUP($B195,INDIRECT($B$5&amp;"生成成长"),4))/(VLOOKUP(DP$72,INDIRECT($C$5&amp;"生成成长"),5))*(VLOOKUP($B$5,标准坦克设计!$B$24:$U$30,MATCH("对"&amp;LEFT($C$5,2)&amp;"输出",标准坦克设计!$B$23:$U$23,0)))*(VLOOKUP($B195,INDIRECT($B$5&amp;"生成成长"),3))*(VLOOKUP($B$5,标准坦克设计!$B$14:$K$20,9)/30))</f>
        <v>5.6328839350056779</v>
      </c>
      <c r="DQ195" s="172">
        <f ca="1">(VLOOKUP(DQ$72,INDIRECT($C$5&amp;"生成成长"),2))/((VLOOKUP($B195,INDIRECT($B$5&amp;"生成成长"),4))/(VLOOKUP(DQ$72,INDIRECT($C$5&amp;"生成成长"),5))*(VLOOKUP($B$5,标准坦克设计!$B$24:$U$30,MATCH("对"&amp;LEFT($C$5,2)&amp;"输出",标准坦克设计!$B$23:$U$23,0)))*(VLOOKUP($B195,INDIRECT($B$5&amp;"生成成长"),3))*(VLOOKUP($B$5,标准坦克设计!$B$14:$K$20,9)/30))</f>
        <v>6.143423416605482</v>
      </c>
      <c r="DR195" s="172">
        <f ca="1">(VLOOKUP(DR$72,INDIRECT($C$5&amp;"生成成长"),2))/((VLOOKUP($B195,INDIRECT($B$5&amp;"生成成长"),4))/(VLOOKUP(DR$72,INDIRECT($C$5&amp;"生成成长"),5))*(VLOOKUP($B$5,标准坦克设计!$B$24:$U$30,MATCH("对"&amp;LEFT($C$5,2)&amp;"输出",标准坦克设计!$B$23:$U$23,0)))*(VLOOKUP($B195,INDIRECT($B$5&amp;"生成成长"),3))*(VLOOKUP($B$5,标准坦克设计!$B$14:$K$20,9)/30))</f>
        <v>6.6761067793349129</v>
      </c>
      <c r="DS195" s="172">
        <f ca="1">(VLOOKUP(DS$72,INDIRECT($C$5&amp;"生成成长"),2))/((VLOOKUP($B195,INDIRECT($B$5&amp;"生成成长"),4))/(VLOOKUP(DS$72,INDIRECT($C$5&amp;"生成成长"),5))*(VLOOKUP($B$5,标准坦克设计!$B$24:$U$30,MATCH("对"&amp;LEFT($C$5,2)&amp;"输出",标准坦克设计!$B$23:$U$23,0)))*(VLOOKUP($B195,INDIRECT($B$5&amp;"生成成长"),3))*(VLOOKUP($B$5,标准坦克设计!$B$14:$K$20,9)/30))</f>
        <v>7.2309340231939734</v>
      </c>
      <c r="DT195" s="172">
        <f ca="1">(VLOOKUP(DT$72,INDIRECT($C$5&amp;"生成成长"),2))/((VLOOKUP($B195,INDIRECT($B$5&amp;"生成成长"),4))/(VLOOKUP(DT$72,INDIRECT($C$5&amp;"生成成长"),5))*(VLOOKUP($B$5,标准坦克设计!$B$24:$U$30,MATCH("对"&amp;LEFT($C$5,2)&amp;"输出",标准坦克设计!$B$23:$U$23,0)))*(VLOOKUP($B195,INDIRECT($B$5&amp;"生成成长"),3))*(VLOOKUP($B$5,标准坦克设计!$B$14:$K$20,9)/30))</f>
        <v>7.9391281474693605</v>
      </c>
      <c r="DU195" s="172">
        <f ca="1">(VLOOKUP(DU$72,INDIRECT($C$5&amp;"生成成长"),2))/((VLOOKUP($B195,INDIRECT($B$5&amp;"生成成长"),4))/(VLOOKUP(DU$72,INDIRECT($C$5&amp;"生成成长"),5))*(VLOOKUP($B$5,标准坦克设计!$B$24:$U$30,MATCH("对"&amp;LEFT($C$5,2)&amp;"输出",标准坦克设计!$B$23:$U$23,0)))*(VLOOKUP($B195,INDIRECT($B$5&amp;"生成成长"),3))*(VLOOKUP($B$5,标准坦克设计!$B$14:$K$20,9)/30))</f>
        <v>8.6804014028149368</v>
      </c>
      <c r="DV195" s="172">
        <f ca="1">(VLOOKUP(DV$72,INDIRECT($C$5&amp;"生成成长"),2))/((VLOOKUP($B195,INDIRECT($B$5&amp;"生成成长"),4))/(VLOOKUP(DV$72,INDIRECT($C$5&amp;"生成成长"),5))*(VLOOKUP($B$5,标准坦克设计!$B$24:$U$30,MATCH("对"&amp;LEFT($C$5,2)&amp;"输出",标准坦克设计!$B$23:$U$23,0)))*(VLOOKUP($B195,INDIRECT($B$5&amp;"生成成长"),3))*(VLOOKUP($B$5,标准坦克设计!$B$14:$K$20,9)/30))</f>
        <v>9.4547537892306988</v>
      </c>
      <c r="DW195" s="172">
        <f ca="1">(VLOOKUP(DW$72,INDIRECT($C$5&amp;"生成成长"),2))/((VLOOKUP($B195,INDIRECT($B$5&amp;"生成成长"),4))/(VLOOKUP(DW$72,INDIRECT($C$5&amp;"生成成长"),5))*(VLOOKUP($B$5,标准坦克设计!$B$24:$U$30,MATCH("对"&amp;LEFT($C$5,2)&amp;"输出",标准坦克设计!$B$23:$U$23,0)))*(VLOOKUP($B195,INDIRECT($B$5&amp;"生成成长"),3))*(VLOOKUP($B$5,标准坦克设计!$B$14:$K$20,9)/30))</f>
        <v>10.262185306716649</v>
      </c>
      <c r="DX195" s="172">
        <f ca="1">(VLOOKUP(DX$72,INDIRECT($C$5&amp;"生成成长"),2))/((VLOOKUP($B195,INDIRECT($B$5&amp;"生成成长"),4))/(VLOOKUP(DX$72,INDIRECT($C$5&amp;"生成成长"),5))*(VLOOKUP($B$5,标准坦克设计!$B$24:$U$30,MATCH("对"&amp;LEFT($C$5,2)&amp;"输出",标准坦克设计!$B$23:$U$23,0)))*(VLOOKUP($B195,INDIRECT($B$5&amp;"生成成长"),3))*(VLOOKUP($B$5,标准坦克设计!$B$14:$K$20,9)/30))</f>
        <v>11.102695955272788</v>
      </c>
      <c r="DY195" s="172">
        <f ca="1">(VLOOKUP(DY$72,INDIRECT($C$5&amp;"生成成长"),2))/((VLOOKUP($B195,INDIRECT($B$5&amp;"生成成长"),4))/(VLOOKUP(DY$72,INDIRECT($C$5&amp;"生成成长"),5))*(VLOOKUP($B$5,标准坦克设计!$B$24:$U$30,MATCH("对"&amp;LEFT($C$5,2)&amp;"输出",标准坦克设计!$B$23:$U$23,0)))*(VLOOKUP($B195,INDIRECT($B$5&amp;"生成成长"),3))*(VLOOKUP($B$5,标准坦克设计!$B$14:$K$20,9)/30))</f>
        <v>4.986610663518702</v>
      </c>
      <c r="DZ195" s="172">
        <f ca="1">(VLOOKUP(DZ$72,INDIRECT($C$5&amp;"生成成长"),2))/((VLOOKUP($B195,INDIRECT($B$5&amp;"生成成长"),4))/(VLOOKUP(DZ$72,INDIRECT($C$5&amp;"生成成长"),5))*(VLOOKUP($B$5,标准坦克设计!$B$24:$U$30,MATCH("对"&amp;LEFT($C$5,2)&amp;"输出",标准坦克设计!$B$23:$U$23,0)))*(VLOOKUP($B195,INDIRECT($B$5&amp;"生成成长"),3))*(VLOOKUP($B$5,标准坦克设计!$B$14:$K$20,9)/30))</f>
        <v>5.5224379106060431</v>
      </c>
      <c r="EA195" s="172">
        <f ca="1">(VLOOKUP(EA$72,INDIRECT($C$5&amp;"生成成长"),2))/((VLOOKUP($B195,INDIRECT($B$5&amp;"生成成长"),4))/(VLOOKUP(EA$72,INDIRECT($C$5&amp;"生成成长"),5))*(VLOOKUP($B$5,标准坦克设计!$B$24:$U$30,MATCH("对"&amp;LEFT($C$5,2)&amp;"输出",标准坦克设计!$B$23:$U$23,0)))*(VLOOKUP($B195,INDIRECT($B$5&amp;"生成成长"),3))*(VLOOKUP($B$5,标准坦克设计!$B$14:$K$20,9)/30))</f>
        <v>6.0856032825447812</v>
      </c>
      <c r="EB195" s="172">
        <f ca="1">(VLOOKUP(EB$72,INDIRECT($C$5&amp;"生成成长"),2))/((VLOOKUP($B195,INDIRECT($B$5&amp;"生成成长"),4))/(VLOOKUP(EB$72,INDIRECT($C$5&amp;"生成成长"),5))*(VLOOKUP($B$5,标准坦克设计!$B$24:$U$30,MATCH("对"&amp;LEFT($C$5,2)&amp;"输出",标准坦克设计!$B$23:$U$23,0)))*(VLOOKUP($B195,INDIRECT($B$5&amp;"生成成长"),3))*(VLOOKUP($B$5,标准坦克设计!$B$14:$K$20,9)/30))</f>
        <v>6.6761067793349129</v>
      </c>
      <c r="EC195" s="172">
        <f ca="1">(VLOOKUP(EC$72,INDIRECT($C$5&amp;"生成成长"),2))/((VLOOKUP($B195,INDIRECT($B$5&amp;"生成成长"),4))/(VLOOKUP(EC$72,INDIRECT($C$5&amp;"生成成长"),5))*(VLOOKUP($B$5,标准坦克设计!$B$24:$U$30,MATCH("对"&amp;LEFT($C$5,2)&amp;"输出",标准坦克设计!$B$23:$U$23,0)))*(VLOOKUP($B195,INDIRECT($B$5&amp;"生成成长"),3))*(VLOOKUP($B$5,标准坦克设计!$B$14:$K$20,9)/30))</f>
        <v>7.293948400976439</v>
      </c>
      <c r="ED195" s="172">
        <f ca="1">(VLOOKUP(ED$72,INDIRECT($C$5&amp;"生成成长"),2))/((VLOOKUP($B195,INDIRECT($B$5&amp;"生成成长"),4))/(VLOOKUP(ED$72,INDIRECT($C$5&amp;"生成成长"),5))*(VLOOKUP($B$5,标准坦克设计!$B$24:$U$30,MATCH("对"&amp;LEFT($C$5,2)&amp;"输出",标准坦克设计!$B$23:$U$23,0)))*(VLOOKUP($B195,INDIRECT($B$5&amp;"生成成长"),3))*(VLOOKUP($B$5,标准坦克设计!$B$14:$K$20,9)/30))</f>
        <v>7.9391281474693605</v>
      </c>
      <c r="EE195" s="172">
        <f ca="1">(VLOOKUP(EE$72,INDIRECT($C$5&amp;"生成成长"),2))/((VLOOKUP($B195,INDIRECT($B$5&amp;"生成成长"),4))/(VLOOKUP(EE$72,INDIRECT($C$5&amp;"生成成长"),5))*(VLOOKUP($B$5,标准坦克设计!$B$24:$U$30,MATCH("对"&amp;LEFT($C$5,2)&amp;"输出",标准坦克设计!$B$23:$U$23,0)))*(VLOOKUP($B195,INDIRECT($B$5&amp;"生成成长"),3))*(VLOOKUP($B$5,标准坦克设计!$B$14:$K$20,9)/30))</f>
        <v>8.6116460188136763</v>
      </c>
      <c r="EF195" s="172">
        <f ca="1">(VLOOKUP(EF$72,INDIRECT($C$5&amp;"生成成长"),2))/((VLOOKUP($B195,INDIRECT($B$5&amp;"生成成长"),4))/(VLOOKUP(EF$72,INDIRECT($C$5&amp;"生成成长"),5))*(VLOOKUP($B$5,标准坦克设计!$B$24:$U$30,MATCH("对"&amp;LEFT($C$5,2)&amp;"输出",标准坦克设计!$B$23:$U$23,0)))*(VLOOKUP($B195,INDIRECT($B$5&amp;"生成成长"),3))*(VLOOKUP($B$5,标准坦克设计!$B$14:$K$20,9)/30))</f>
        <v>9.3115020150093883</v>
      </c>
      <c r="EG195" s="172">
        <f ca="1">(VLOOKUP(EG$72,INDIRECT($C$5&amp;"生成成长"),2))/((VLOOKUP($B195,INDIRECT($B$5&amp;"生成成长"),4))/(VLOOKUP(EG$72,INDIRECT($C$5&amp;"生成成长"),5))*(VLOOKUP($B$5,标准坦克设计!$B$24:$U$30,MATCH("对"&amp;LEFT($C$5,2)&amp;"输出",标准坦克设计!$B$23:$U$23,0)))*(VLOOKUP($B195,INDIRECT($B$5&amp;"生成成长"),3))*(VLOOKUP($B$5,标准坦克设计!$B$14:$K$20,9)/30))</f>
        <v>10.038696136056496</v>
      </c>
      <c r="EH195" s="172">
        <f ca="1">(VLOOKUP(EH$72,INDIRECT($C$5&amp;"生成成长"),2))/((VLOOKUP($B195,INDIRECT($B$5&amp;"生成成长"),4))/(VLOOKUP(EH$72,INDIRECT($C$5&amp;"生成成长"),5))*(VLOOKUP($B$5,标准坦克设计!$B$24:$U$30,MATCH("对"&amp;LEFT($C$5,2)&amp;"输出",标准坦克设计!$B$23:$U$23,0)))*(VLOOKUP($B195,INDIRECT($B$5&amp;"生成成长"),3))*(VLOOKUP($B$5,标准坦克设计!$B$14:$K$20,9)/30))</f>
        <v>10.793228381954997</v>
      </c>
      <c r="EI195" s="172">
        <f ca="1">(VLOOKUP(EI$72,INDIRECT($C$5&amp;"生成成长"),2))/((VLOOKUP($B195,INDIRECT($B$5&amp;"生成成长"),4))/(VLOOKUP(EI$72,INDIRECT($C$5&amp;"生成成长"),5))*(VLOOKUP($B$5,标准坦克设计!$B$24:$U$30,MATCH("对"&amp;LEFT($C$5,2)&amp;"输出",标准坦克设计!$B$23:$U$23,0)))*(VLOOKUP($B195,INDIRECT($B$5&amp;"生成成长"),3))*(VLOOKUP($B$5,标准坦克设计!$B$14:$K$20,9)/30))</f>
        <v>11.575098752704895</v>
      </c>
      <c r="EJ195" s="172">
        <f ca="1">(VLOOKUP(EJ$72,INDIRECT($C$5&amp;"生成成长"),2))/((VLOOKUP($B195,INDIRECT($B$5&amp;"生成成长"),4))/(VLOOKUP(EJ$72,INDIRECT($C$5&amp;"生成成长"),5))*(VLOOKUP($B$5,标准坦克设计!$B$24:$U$30,MATCH("对"&amp;LEFT($C$5,2)&amp;"输出",标准坦克设计!$B$23:$U$23,0)))*(VLOOKUP($B195,INDIRECT($B$5&amp;"生成成长"),3))*(VLOOKUP($B$5,标准坦克设计!$B$14:$K$20,9)/30))</f>
        <v>12.384307248306184</v>
      </c>
      <c r="EK195" s="172">
        <f ca="1">(VLOOKUP(EK$72,INDIRECT($C$5&amp;"生成成长"),2))/((VLOOKUP($B195,INDIRECT($B$5&amp;"生成成长"),4))/(VLOOKUP(EK$72,INDIRECT($C$5&amp;"生成成长"),5))*(VLOOKUP($B$5,标准坦克设计!$B$24:$U$30,MATCH("对"&amp;LEFT($C$5,2)&amp;"输出",标准坦克设计!$B$23:$U$23,0)))*(VLOOKUP($B195,INDIRECT($B$5&amp;"生成成长"),3))*(VLOOKUP($B$5,标准坦克设计!$B$14:$K$20,9)/30))</f>
        <v>13.391443767831577</v>
      </c>
      <c r="EL195" s="172">
        <f ca="1">(VLOOKUP(EL$72,INDIRECT($C$5&amp;"生成成长"),2))/((VLOOKUP($B195,INDIRECT($B$5&amp;"生成成长"),4))/(VLOOKUP(EL$72,INDIRECT($C$5&amp;"生成成长"),5))*(VLOOKUP($B$5,标准坦克设计!$B$24:$U$30,MATCH("对"&amp;LEFT($C$5,2)&amp;"输出",标准坦克设计!$B$23:$U$23,0)))*(VLOOKUP($B195,INDIRECT($B$5&amp;"生成成长"),3))*(VLOOKUP($B$5,标准坦克设计!$B$14:$K$20,9)/30))</f>
        <v>14.437947187142978</v>
      </c>
      <c r="EM195" s="172">
        <f ca="1">(VLOOKUP(EM$72,INDIRECT($C$5&amp;"生成成长"),2))/((VLOOKUP($B195,INDIRECT($B$5&amp;"生成成长"),4))/(VLOOKUP(EM$72,INDIRECT($C$5&amp;"生成成长"),5))*(VLOOKUP($B$5,标准坦克设计!$B$24:$U$30,MATCH("对"&amp;LEFT($C$5,2)&amp;"输出",标准坦克设计!$B$23:$U$23,0)))*(VLOOKUP($B195,INDIRECT($B$5&amp;"生成成长"),3))*(VLOOKUP($B$5,标准坦克设计!$B$14:$K$20,9)/30))</f>
        <v>15.523817506240388</v>
      </c>
      <c r="EN195" s="172">
        <f ca="1">(VLOOKUP(EN$72,INDIRECT($C$5&amp;"生成成长"),2))/((VLOOKUP($B195,INDIRECT($B$5&amp;"生成成长"),4))/(VLOOKUP(EN$72,INDIRECT($C$5&amp;"生成成长"),5))*(VLOOKUP($B$5,标准坦克设计!$B$24:$U$30,MATCH("对"&amp;LEFT($C$5,2)&amp;"输出",标准坦克设计!$B$23:$U$23,0)))*(VLOOKUP($B195,INDIRECT($B$5&amp;"生成成长"),3))*(VLOOKUP($B$5,标准坦克设计!$B$14:$K$20,9)/30))</f>
        <v>16.649054725123804</v>
      </c>
      <c r="EO195" s="172">
        <f ca="1">(VLOOKUP(EO$72,INDIRECT($C$5&amp;"生成成长"),2))/((VLOOKUP($B195,INDIRECT($B$5&amp;"生成成长"),4))/(VLOOKUP(EO$72,INDIRECT($C$5&amp;"生成成长"),5))*(VLOOKUP($B$5,标准坦克设计!$B$24:$U$30,MATCH("对"&amp;LEFT($C$5,2)&amp;"输出",标准坦克设计!$B$23:$U$23,0)))*(VLOOKUP($B195,INDIRECT($B$5&amp;"生成成长"),3))*(VLOOKUP($B$5,标准坦克设计!$B$14:$K$20,9)/30))</f>
        <v>17.813658843793231</v>
      </c>
      <c r="EP195" s="172">
        <f ca="1">(VLOOKUP(EP$72,INDIRECT($C$5&amp;"生成成长"),2))/((VLOOKUP($B195,INDIRECT($B$5&amp;"生成成长"),4))/(VLOOKUP(EP$72,INDIRECT($C$5&amp;"生成成长"),5))*(VLOOKUP($B$5,标准坦克设计!$B$24:$U$30,MATCH("对"&amp;LEFT($C$5,2)&amp;"输出",标准坦克设计!$B$23:$U$23,0)))*(VLOOKUP($B195,INDIRECT($B$5&amp;"生成成长"),3))*(VLOOKUP($B$5,标准坦克设计!$B$14:$K$20,9)/30))</f>
        <v>19.017629862248665</v>
      </c>
      <c r="EQ195" s="172">
        <f ca="1">(VLOOKUP(EQ$72,INDIRECT($C$5&amp;"生成成长"),2))/((VLOOKUP($B195,INDIRECT($B$5&amp;"生成成长"),4))/(VLOOKUP(EQ$72,INDIRECT($C$5&amp;"生成成长"),5))*(VLOOKUP($B$5,标准坦克设计!$B$24:$U$30,MATCH("对"&amp;LEFT($C$5,2)&amp;"输出",标准坦克设计!$B$23:$U$23,0)))*(VLOOKUP($B195,INDIRECT($B$5&amp;"生成成长"),3))*(VLOOKUP($B$5,标准坦克设计!$B$14:$K$20,9)/30))</f>
        <v>8.4070201543009855</v>
      </c>
      <c r="ER195" s="172">
        <f ca="1">(VLOOKUP(ER$72,INDIRECT($C$5&amp;"生成成长"),2))/((VLOOKUP($B195,INDIRECT($B$5&amp;"生成成长"),4))/(VLOOKUP(ER$72,INDIRECT($C$5&amp;"生成成长"),5))*(VLOOKUP($B$5,标准坦克设计!$B$24:$U$30,MATCH("对"&amp;LEFT($C$5,2)&amp;"输出",标准坦克设计!$B$23:$U$23,0)))*(VLOOKUP($B195,INDIRECT($B$5&amp;"生成成长"),3))*(VLOOKUP($B$5,标准坦克设计!$B$14:$K$20,9)/30))</f>
        <v>9.1693437657821359</v>
      </c>
      <c r="ES195" s="172">
        <f ca="1">(VLOOKUP(ES$72,INDIRECT($C$5&amp;"生成成长"),2))/((VLOOKUP($B195,INDIRECT($B$5&amp;"生成成长"),4))/(VLOOKUP(ES$72,INDIRECT($C$5&amp;"生成成长"),5))*(VLOOKUP($B$5,标准坦克设计!$B$24:$U$30,MATCH("对"&amp;LEFT($C$5,2)&amp;"输出",标准坦克设计!$B$23:$U$23,0)))*(VLOOKUP($B195,INDIRECT($B$5&amp;"生成成长"),3))*(VLOOKUP($B$5,标准坦克设计!$B$14:$K$20,9)/30))</f>
        <v>9.9647465083334712</v>
      </c>
      <c r="ET195" s="172">
        <f ca="1">(VLOOKUP(ET$72,INDIRECT($C$5&amp;"生成成长"),2))/((VLOOKUP($B195,INDIRECT($B$5&amp;"生成成长"),4))/(VLOOKUP(ET$72,INDIRECT($C$5&amp;"生成成长"),5))*(VLOOKUP($B$5,标准坦克设计!$B$24:$U$30,MATCH("对"&amp;LEFT($C$5,2)&amp;"输出",标准坦克设计!$B$23:$U$23,0)))*(VLOOKUP($B195,INDIRECT($B$5&amp;"生成成长"),3))*(VLOOKUP($B$5,标准坦克设计!$B$14:$K$20,9)/30))</f>
        <v>10.793228381954997</v>
      </c>
      <c r="EU195" s="172">
        <f ca="1">(VLOOKUP(EU$72,INDIRECT($C$5&amp;"生成成长"),2))/((VLOOKUP($B195,INDIRECT($B$5&amp;"生成成长"),4))/(VLOOKUP(EU$72,INDIRECT($C$5&amp;"生成成长"),5))*(VLOOKUP($B$5,标准坦克设计!$B$24:$U$30,MATCH("对"&amp;LEFT($C$5,2)&amp;"输出",标准坦克设计!$B$23:$U$23,0)))*(VLOOKUP($B195,INDIRECT($B$5&amp;"生成成长"),3))*(VLOOKUP($B$5,标准坦克设计!$B$14:$K$20,9)/30))</f>
        <v>11.65478938664671</v>
      </c>
      <c r="EV195" s="172">
        <f ca="1">(VLOOKUP(EV$72,INDIRECT($C$5&amp;"生成成长"),2))/((VLOOKUP($B195,INDIRECT($B$5&amp;"生成成长"),4))/(VLOOKUP(EV$72,INDIRECT($C$5&amp;"生成成长"),5))*(VLOOKUP($B$5,标准坦克设计!$B$24:$U$30,MATCH("对"&amp;LEFT($C$5,2)&amp;"输出",标准坦克设计!$B$23:$U$23,0)))*(VLOOKUP($B195,INDIRECT($B$5&amp;"生成成长"),3))*(VLOOKUP($B$5,标准坦克设计!$B$14:$K$20,9)/30))</f>
        <v>12.549429522408612</v>
      </c>
      <c r="EW195" s="172">
        <f ca="1">(VLOOKUP(EW$72,INDIRECT($C$5&amp;"生成成长"),2))/((VLOOKUP($B195,INDIRECT($B$5&amp;"生成成长"),4))/(VLOOKUP(EW$72,INDIRECT($C$5&amp;"生成成长"),5))*(VLOOKUP($B$5,标准坦克设计!$B$24:$U$30,MATCH("对"&amp;LEFT($C$5,2)&amp;"输出",标准坦克设计!$B$23:$U$23,0)))*(VLOOKUP($B195,INDIRECT($B$5&amp;"生成成长"),3))*(VLOOKUP($B$5,标准坦克设计!$B$14:$K$20,9)/30))</f>
        <v>13.477148789240697</v>
      </c>
      <c r="EX195" s="172">
        <f ca="1">(VLOOKUP(EX$72,INDIRECT($C$5&amp;"生成成长"),2))/((VLOOKUP($B195,INDIRECT($B$5&amp;"生成成长"),4))/(VLOOKUP(EX$72,INDIRECT($C$5&amp;"生成成长"),5))*(VLOOKUP($B$5,标准坦克设计!$B$24:$U$30,MATCH("对"&amp;LEFT($C$5,2)&amp;"输出",标准坦克设计!$B$23:$U$23,0)))*(VLOOKUP($B195,INDIRECT($B$5&amp;"生成成长"),3))*(VLOOKUP($B$5,标准坦克设计!$B$14:$K$20,9)/30))</f>
        <v>14.437947187142978</v>
      </c>
      <c r="EY195" s="172">
        <f ca="1">(VLOOKUP(EY$72,INDIRECT($C$5&amp;"生成成长"),2))/((VLOOKUP($B195,INDIRECT($B$5&amp;"生成成长"),4))/(VLOOKUP(EY$72,INDIRECT($C$5&amp;"生成成长"),5))*(VLOOKUP($B$5,标准坦克设计!$B$24:$U$30,MATCH("对"&amp;LEFT($C$5,2)&amp;"输出",标准坦克设计!$B$23:$U$23,0)))*(VLOOKUP($B195,INDIRECT($B$5&amp;"生成成长"),3))*(VLOOKUP($B$5,标准坦克设计!$B$14:$K$20,9)/30))</f>
        <v>15.43182471611544</v>
      </c>
      <c r="EZ195" s="172">
        <f ca="1">(VLOOKUP(EZ$72,INDIRECT($C$5&amp;"生成成长"),2))/((VLOOKUP($B195,INDIRECT($B$5&amp;"生成成长"),4))/(VLOOKUP(EZ$72,INDIRECT($C$5&amp;"生成成长"),5))*(VLOOKUP($B$5,标准坦克设计!$B$24:$U$30,MATCH("对"&amp;LEFT($C$5,2)&amp;"输出",标准坦克设计!$B$23:$U$23,0)))*(VLOOKUP($B195,INDIRECT($B$5&amp;"生成成长"),3))*(VLOOKUP($B$5,标准坦克设计!$B$14:$K$20,9)/30))</f>
        <v>16.458781376158093</v>
      </c>
      <c r="FA195" s="172">
        <f ca="1">(VLOOKUP(FA$72,INDIRECT($C$5&amp;"生成成长"),2))/((VLOOKUP($B195,INDIRECT($B$5&amp;"生成成长"),4))/(VLOOKUP(FA$72,INDIRECT($C$5&amp;"生成成长"),5))*(VLOOKUP($B$5,标准坦克设计!$B$24:$U$30,MATCH("对"&amp;LEFT($C$5,2)&amp;"输出",标准坦克设计!$B$23:$U$23,0)))*(VLOOKUP($B195,INDIRECT($B$5&amp;"生成成长"),3))*(VLOOKUP($B$5,标准坦克设计!$B$14:$K$20,9)/30))</f>
        <v>17.518817167270932</v>
      </c>
      <c r="FB195" s="172">
        <f ca="1">(VLOOKUP(FB$72,INDIRECT($C$5&amp;"生成成长"),2))/((VLOOKUP($B195,INDIRECT($B$5&amp;"生成成长"),4))/(VLOOKUP(FB$72,INDIRECT($C$5&amp;"生成成长"),5))*(VLOOKUP($B$5,标准坦克设计!$B$24:$U$30,MATCH("对"&amp;LEFT($C$5,2)&amp;"输出",标准坦克设计!$B$23:$U$23,0)))*(VLOOKUP($B195,INDIRECT($B$5&amp;"生成成长"),3))*(VLOOKUP($B$5,标准坦克设计!$B$14:$K$20,9)/30))</f>
        <v>18.611932089453962</v>
      </c>
      <c r="FC195" s="172">
        <f ca="1">(VLOOKUP(FC$72,INDIRECT($C$5&amp;"生成成长"),2))/((VLOOKUP($B195,INDIRECT($B$5&amp;"生成成长"),4))/(VLOOKUP(FC$72,INDIRECT($C$5&amp;"生成成长"),5))*(VLOOKUP($B$5,标准坦克设计!$B$24:$U$30,MATCH("对"&amp;LEFT($C$5,2)&amp;"输出",标准坦克设计!$B$23:$U$23,0)))*(VLOOKUP($B195,INDIRECT($B$5&amp;"生成成长"),3))*(VLOOKUP($B$5,标准坦克设计!$B$14:$K$20,9)/30))</f>
        <v>19.738126142707181</v>
      </c>
      <c r="FD195" s="172">
        <f ca="1">(VLOOKUP(FD$72,INDIRECT($C$5&amp;"生成成长"),2))/((VLOOKUP($B195,INDIRECT($B$5&amp;"生成成长"),4))/(VLOOKUP(FD$72,INDIRECT($C$5&amp;"生成成长"),5))*(VLOOKUP($B$5,标准坦克设计!$B$24:$U$30,MATCH("对"&amp;LEFT($C$5,2)&amp;"输出",标准坦克设计!$B$23:$U$23,0)))*(VLOOKUP($B195,INDIRECT($B$5&amp;"生成成长"),3))*(VLOOKUP($B$5,标准坦克设计!$B$14:$K$20,9)/30))</f>
        <v>20.897399327030584</v>
      </c>
      <c r="FE195" s="172">
        <f ca="1">(VLOOKUP(FE$72,INDIRECT($C$5&amp;"生成成长"),2))/((VLOOKUP($B195,INDIRECT($B$5&amp;"生成成长"),4))/(VLOOKUP(FE$72,INDIRECT($C$5&amp;"生成成长"),5))*(VLOOKUP($B$5,标准坦克设计!$B$24:$U$30,MATCH("对"&amp;LEFT($C$5,2)&amp;"输出",标准坦克设计!$B$23:$U$23,0)))*(VLOOKUP($B195,INDIRECT($B$5&amp;"生成成长"),3))*(VLOOKUP($B$5,标准坦克设计!$B$14:$K$20,9)/30))</f>
        <v>22.31009692872642</v>
      </c>
      <c r="FF195" s="172">
        <f ca="1">(VLOOKUP(FF$72,INDIRECT($C$5&amp;"生成成长"),2))/((VLOOKUP($B195,INDIRECT($B$5&amp;"生成成长"),4))/(VLOOKUP(FF$72,INDIRECT($C$5&amp;"生成成长"),5))*(VLOOKUP($B$5,标准坦克设计!$B$24:$U$30,MATCH("对"&amp;LEFT($C$5,2)&amp;"输出",标准坦克设计!$B$23:$U$23,0)))*(VLOOKUP($B195,INDIRECT($B$5&amp;"生成成长"),3))*(VLOOKUP($B$5,标准坦克设计!$B$14:$K$20,9)/30))</f>
        <v>23.768995961421112</v>
      </c>
      <c r="FG195" s="172">
        <f ca="1">(VLOOKUP(FG$72,INDIRECT($C$5&amp;"生成成长"),2))/((VLOOKUP($B195,INDIRECT($B$5&amp;"生成成长"),4))/(VLOOKUP(FG$72,INDIRECT($C$5&amp;"生成成长"),5))*(VLOOKUP($B$5,标准坦克设计!$B$24:$U$30,MATCH("对"&amp;LEFT($C$5,2)&amp;"输出",标准坦克设计!$B$23:$U$23,0)))*(VLOOKUP($B195,INDIRECT($B$5&amp;"生成成长"),3))*(VLOOKUP($B$5,标准坦克设计!$B$14:$K$20,9)/30))</f>
        <v>25.27409642511466</v>
      </c>
      <c r="FH195" s="172">
        <f ca="1">(VLOOKUP(FH$72,INDIRECT($C$5&amp;"生成成长"),2))/((VLOOKUP($B195,INDIRECT($B$5&amp;"生成成长"),4))/(VLOOKUP(FH$72,INDIRECT($C$5&amp;"生成成长"),5))*(VLOOKUP($B$5,标准坦克设计!$B$24:$U$30,MATCH("对"&amp;LEFT($C$5,2)&amp;"输出",标准坦克设计!$B$23:$U$23,0)))*(VLOOKUP($B195,INDIRECT($B$5&amp;"生成成长"),3))*(VLOOKUP($B$5,标准坦克设计!$B$14:$K$20,9)/30))</f>
        <v>26.825398319807075</v>
      </c>
      <c r="FI195" s="172">
        <f ca="1">(VLOOKUP(FI$72,INDIRECT($C$5&amp;"生成成长"),2))/((VLOOKUP($B195,INDIRECT($B$5&amp;"生成成长"),4))/(VLOOKUP(FI$72,INDIRECT($C$5&amp;"生成成长"),5))*(VLOOKUP($B$5,标准坦克设计!$B$24:$U$30,MATCH("对"&amp;LEFT($C$5,2)&amp;"输出",标准坦克设计!$B$23:$U$23,0)))*(VLOOKUP($B195,INDIRECT($B$5&amp;"生成成长"),3))*(VLOOKUP($B$5,标准坦克设计!$B$14:$K$20,9)/30))</f>
        <v>28.422901645498335</v>
      </c>
      <c r="FJ195" s="172">
        <f ca="1">(VLOOKUP(FJ$72,INDIRECT($C$5&amp;"生成成长"),2))/((VLOOKUP($B195,INDIRECT($B$5&amp;"生成成长"),4))/(VLOOKUP(FJ$72,INDIRECT($C$5&amp;"生成成长"),5))*(VLOOKUP($B$5,标准坦克设计!$B$24:$U$30,MATCH("对"&amp;LEFT($C$5,2)&amp;"输出",标准坦克设计!$B$23:$U$23,0)))*(VLOOKUP($B195,INDIRECT($B$5&amp;"生成成长"),3))*(VLOOKUP($B$5,标准坦克设计!$B$14:$K$20,9)/30))</f>
        <v>30.066606402188459</v>
      </c>
      <c r="FK195" s="172">
        <f ca="1">(VLOOKUP(FK$72,INDIRECT($C$5&amp;"生成成长"),2))/((VLOOKUP($B195,INDIRECT($B$5&amp;"生成成长"),4))/(VLOOKUP(FK$72,INDIRECT($C$5&amp;"生成成长"),5))*(VLOOKUP($B$5,标准坦克设计!$B$24:$U$30,MATCH("对"&amp;LEFT($C$5,2)&amp;"输出",标准坦克设计!$B$23:$U$23,0)))*(VLOOKUP($B195,INDIRECT($B$5&amp;"生成成长"),3))*(VLOOKUP($B$5,标准坦克设计!$B$14:$K$20,9)/30))</f>
        <v>31.756512589877442</v>
      </c>
    </row>
    <row r="196" spans="1:167" x14ac:dyDescent="0.15">
      <c r="A196" s="170" t="str">
        <f t="shared" si="12"/>
        <v>T3高品质13级</v>
      </c>
      <c r="B196" s="171">
        <v>30313</v>
      </c>
      <c r="C196" s="172">
        <f ca="1">(VLOOKUP(C$72,INDIRECT($C$5&amp;"生成成长"),2))/((VLOOKUP($B196,INDIRECT($B$5&amp;"生成成长"),4))/(VLOOKUP(C$72,INDIRECT($C$5&amp;"生成成长"),5))*(VLOOKUP($B$5,标准坦克设计!$B$24:$U$30,MATCH("对"&amp;LEFT($C$5,2)&amp;"输出",标准坦克设计!$B$23:$U$23,0)))*(VLOOKUP($B196,INDIRECT($B$5&amp;"生成成长"),3))*(VLOOKUP($B$5,标准坦克设计!$B$14:$K$20,9)/30))</f>
        <v>1.2525415796061454</v>
      </c>
      <c r="D196" s="172">
        <f ca="1">(VLOOKUP(D$72,INDIRECT($C$5&amp;"生成成长"),2))/((VLOOKUP($B196,INDIRECT($B$5&amp;"生成成长"),4))/(VLOOKUP(D$72,INDIRECT($C$5&amp;"生成成长"),5))*(VLOOKUP($B$5,标准坦克设计!$B$24:$U$30,MATCH("对"&amp;LEFT($C$5,2)&amp;"输出",标准坦克设计!$B$23:$U$23,0)))*(VLOOKUP($B196,INDIRECT($B$5&amp;"生成成长"),3))*(VLOOKUP($B$5,标准坦克设计!$B$14:$K$20,9)/30))</f>
        <v>1.4073557188454651</v>
      </c>
      <c r="E196" s="172">
        <f ca="1">(VLOOKUP(E$72,INDIRECT($C$5&amp;"生成成长"),2))/((VLOOKUP($B196,INDIRECT($B$5&amp;"生成成长"),4))/(VLOOKUP(E$72,INDIRECT($C$5&amp;"生成成长"),5))*(VLOOKUP($B$5,标准坦克设计!$B$24:$U$30,MATCH("对"&amp;LEFT($C$5,2)&amp;"输出",标准坦克设计!$B$23:$U$23,0)))*(VLOOKUP($B196,INDIRECT($B$5&amp;"生成成长"),3))*(VLOOKUP($B$5,标准坦克设计!$B$14:$K$20,9)/30))</f>
        <v>1.5711881574579489</v>
      </c>
      <c r="F196" s="172">
        <f ca="1">(VLOOKUP(F$72,INDIRECT($C$5&amp;"生成成长"),2))/((VLOOKUP($B196,INDIRECT($B$5&amp;"生成成长"),4))/(VLOOKUP(F$72,INDIRECT($C$5&amp;"生成成长"),5))*(VLOOKUP($B$5,标准坦克设计!$B$24:$U$30,MATCH("对"&amp;LEFT($C$5,2)&amp;"输出",标准坦克设计!$B$23:$U$23,0)))*(VLOOKUP($B196,INDIRECT($B$5&amp;"生成成长"),3))*(VLOOKUP($B$5,标准坦克设计!$B$14:$K$20,9)/30))</f>
        <v>1.744038895443597</v>
      </c>
      <c r="G196" s="172">
        <f ca="1">(VLOOKUP(G$72,INDIRECT($C$5&amp;"生成成长"),2))/((VLOOKUP($B196,INDIRECT($B$5&amp;"生成成长"),4))/(VLOOKUP(G$72,INDIRECT($C$5&amp;"生成成长"),5))*(VLOOKUP($B$5,标准坦克设计!$B$24:$U$30,MATCH("对"&amp;LEFT($C$5,2)&amp;"输出",标准坦克设计!$B$23:$U$23,0)))*(VLOOKUP($B196,INDIRECT($B$5&amp;"生成成长"),3))*(VLOOKUP($B$5,标准坦克设计!$B$14:$K$20,9)/30))</f>
        <v>1.9259079328024091</v>
      </c>
      <c r="H196" s="172">
        <f ca="1">(VLOOKUP(H$72,INDIRECT($C$5&amp;"生成成长"),2))/((VLOOKUP($B196,INDIRECT($B$5&amp;"生成成长"),4))/(VLOOKUP(H$72,INDIRECT($C$5&amp;"生成成长"),5))*(VLOOKUP($B$5,标准坦克设计!$B$24:$U$30,MATCH("对"&amp;LEFT($C$5,2)&amp;"输出",标准坦克设计!$B$23:$U$23,0)))*(VLOOKUP($B196,INDIRECT($B$5&amp;"生成成长"),3))*(VLOOKUP($B$5,标准坦克设计!$B$14:$K$20,9)/30))</f>
        <v>1.6854199495180291</v>
      </c>
      <c r="I196" s="172">
        <f ca="1">(VLOOKUP(I$72,INDIRECT($C$5&amp;"生成成长"),2))/((VLOOKUP($B196,INDIRECT($B$5&amp;"生成成长"),4))/(VLOOKUP(I$72,INDIRECT($C$5&amp;"生成成长"),5))*(VLOOKUP($B$5,标准坦克设计!$B$24:$U$30,MATCH("对"&amp;LEFT($C$5,2)&amp;"输出",标准坦克设计!$B$23:$U$23,0)))*(VLOOKUP($B196,INDIRECT($B$5&amp;"生成成长"),3))*(VLOOKUP($B$5,标准坦克设计!$B$14:$K$20,9)/30))</f>
        <v>1.9259079328024091</v>
      </c>
      <c r="J196" s="172">
        <f ca="1">(VLOOKUP(J$72,INDIRECT($C$5&amp;"生成成长"),2))/((VLOOKUP($B196,INDIRECT($B$5&amp;"生成成长"),4))/(VLOOKUP(J$72,INDIRECT($C$5&amp;"生成成长"),5))*(VLOOKUP($B$5,标准坦克设计!$B$24:$U$30,MATCH("对"&amp;LEFT($C$5,2)&amp;"输出",标准坦克设计!$B$23:$U$23,0)))*(VLOOKUP($B196,INDIRECT($B$5&amp;"生成成长"),3))*(VLOOKUP($B$5,标准坦克设计!$B$14:$K$20,9)/30))</f>
        <v>2.1824284483057479</v>
      </c>
      <c r="K196" s="172">
        <f ca="1">(VLOOKUP(K$72,INDIRECT($C$5&amp;"生成成长"),2))/((VLOOKUP($B196,INDIRECT($B$5&amp;"生成成长"),4))/(VLOOKUP(K$72,INDIRECT($C$5&amp;"生成成长"),5))*(VLOOKUP($B$5,标准坦克设计!$B$24:$U$30,MATCH("对"&amp;LEFT($C$5,2)&amp;"输出",标准坦克设计!$B$23:$U$23,0)))*(VLOOKUP($B196,INDIRECT($B$5&amp;"生成成长"),3))*(VLOOKUP($B$5,标准坦克设计!$B$14:$K$20,9)/30))</f>
        <v>2.4549814960280449</v>
      </c>
      <c r="L196" s="172">
        <f ca="1">(VLOOKUP(L$72,INDIRECT($C$5&amp;"生成成长"),2))/((VLOOKUP($B196,INDIRECT($B$5&amp;"生成成长"),4))/(VLOOKUP(L$72,INDIRECT($C$5&amp;"生成成长"),5))*(VLOOKUP($B$5,标准坦克设计!$B$24:$U$30,MATCH("对"&amp;LEFT($C$5,2)&amp;"输出",标准坦克设计!$B$23:$U$23,0)))*(VLOOKUP($B196,INDIRECT($B$5&amp;"生成成长"),3))*(VLOOKUP($B$5,标准坦克设计!$B$14:$K$20,9)/30))</f>
        <v>2.7435670759693012</v>
      </c>
      <c r="M196" s="172">
        <f ca="1">(VLOOKUP(M$72,INDIRECT($C$5&amp;"生成成长"),2))/((VLOOKUP($B196,INDIRECT($B$5&amp;"生成成长"),4))/(VLOOKUP(M$72,INDIRECT($C$5&amp;"生成成长"),5))*(VLOOKUP($B$5,标准坦克设计!$B$24:$U$30,MATCH("对"&amp;LEFT($C$5,2)&amp;"输出",标准坦克设计!$B$23:$U$23,0)))*(VLOOKUP($B196,INDIRECT($B$5&amp;"生成成长"),3))*(VLOOKUP($B$5,标准坦克设计!$B$14:$K$20,9)/30))</f>
        <v>3.0481851881295161</v>
      </c>
      <c r="N196" s="172">
        <f ca="1">(VLOOKUP(N$72,INDIRECT($C$5&amp;"生成成长"),2))/((VLOOKUP($B196,INDIRECT($B$5&amp;"生成成长"),4))/(VLOOKUP(N$72,INDIRECT($C$5&amp;"生成成长"),5))*(VLOOKUP($B$5,标准坦克设计!$B$24:$U$30,MATCH("对"&amp;LEFT($C$5,2)&amp;"输出",标准坦克设计!$B$23:$U$23,0)))*(VLOOKUP($B196,INDIRECT($B$5&amp;"生成成长"),3))*(VLOOKUP($B$5,标准坦克设计!$B$14:$K$20,9)/30))</f>
        <v>3.3688358325086889</v>
      </c>
      <c r="O196" s="172">
        <f ca="1">(VLOOKUP(O$72,INDIRECT($C$5&amp;"生成成长"),2))/((VLOOKUP($B196,INDIRECT($B$5&amp;"生成成长"),4))/(VLOOKUP(O$72,INDIRECT($C$5&amp;"生成成长"),5))*(VLOOKUP($B$5,标准坦克设计!$B$24:$U$30,MATCH("对"&amp;LEFT($C$5,2)&amp;"输出",标准坦克设计!$B$23:$U$23,0)))*(VLOOKUP($B196,INDIRECT($B$5&amp;"生成成长"),3))*(VLOOKUP($B$5,标准坦克设计!$B$14:$K$20,9)/30))</f>
        <v>2.5613222761366066</v>
      </c>
      <c r="P196" s="172">
        <f ca="1">(VLOOKUP(P$72,INDIRECT($C$5&amp;"生成成长"),2))/((VLOOKUP($B196,INDIRECT($B$5&amp;"生成成长"),4))/(VLOOKUP(P$72,INDIRECT($C$5&amp;"生成成长"),5))*(VLOOKUP($B$5,标准坦克设计!$B$24:$U$30,MATCH("对"&amp;LEFT($C$5,2)&amp;"输出",标准坦克设计!$B$23:$U$23,0)))*(VLOOKUP($B196,INDIRECT($B$5&amp;"生成成长"),3))*(VLOOKUP($B$5,标准坦克设计!$B$14:$K$20,9)/30))</f>
        <v>2.8938720655220385</v>
      </c>
      <c r="Q196" s="172">
        <f ca="1">(VLOOKUP(Q$72,INDIRECT($C$5&amp;"生成成长"),2))/((VLOOKUP($B196,INDIRECT($B$5&amp;"生成成长"),4))/(VLOOKUP(Q$72,INDIRECT($C$5&amp;"生成成长"),5))*(VLOOKUP($B$5,标准坦克设计!$B$24:$U$30,MATCH("对"&amp;LEFT($C$5,2)&amp;"输出",标准坦克设计!$B$23:$U$23,0)))*(VLOOKUP($B196,INDIRECT($B$5&amp;"生成成长"),3))*(VLOOKUP($B$5,标准坦克设计!$B$14:$K$20,9)/30))</f>
        <v>3.2467130284970893</v>
      </c>
      <c r="R196" s="172">
        <f ca="1">(VLOOKUP(R$72,INDIRECT($C$5&amp;"生成成长"),2))/((VLOOKUP($B196,INDIRECT($B$5&amp;"生成成长"),4))/(VLOOKUP(R$72,INDIRECT($C$5&amp;"生成成长"),5))*(VLOOKUP($B$5,标准坦克设计!$B$24:$U$30,MATCH("对"&amp;LEFT($C$5,2)&amp;"输出",标准坦克设计!$B$23:$U$23,0)))*(VLOOKUP($B196,INDIRECT($B$5&amp;"生成成长"),3))*(VLOOKUP($B$5,标准坦克设计!$B$14:$K$20,9)/30))</f>
        <v>3.6198451650617609</v>
      </c>
      <c r="S196" s="172">
        <f ca="1">(VLOOKUP(S$72,INDIRECT($C$5&amp;"生成成长"),2))/((VLOOKUP($B196,INDIRECT($B$5&amp;"生成成长"),4))/(VLOOKUP(S$72,INDIRECT($C$5&amp;"生成成长"),5))*(VLOOKUP($B$5,标准坦克设计!$B$24:$U$30,MATCH("对"&amp;LEFT($C$5,2)&amp;"输出",标准坦克设计!$B$23:$U$23,0)))*(VLOOKUP($B196,INDIRECT($B$5&amp;"生成成长"),3))*(VLOOKUP($B$5,标准坦克设计!$B$14:$K$20,9)/30))</f>
        <v>4.0132684752160506</v>
      </c>
      <c r="T196" s="172">
        <f ca="1">(VLOOKUP(T$72,INDIRECT($C$5&amp;"生成成长"),2))/((VLOOKUP($B196,INDIRECT($B$5&amp;"生成成长"),4))/(VLOOKUP(T$72,INDIRECT($C$5&amp;"生成成长"),5))*(VLOOKUP($B$5,标准坦克设计!$B$24:$U$30,MATCH("对"&amp;LEFT($C$5,2)&amp;"输出",标准坦克设计!$B$23:$U$23,0)))*(VLOOKUP($B196,INDIRECT($B$5&amp;"生成成长"),3))*(VLOOKUP($B$5,标准坦克设计!$B$14:$K$20,9)/30))</f>
        <v>4.4269829589599601</v>
      </c>
      <c r="U196" s="172">
        <f ca="1">(VLOOKUP(U$72,INDIRECT($C$5&amp;"生成成长"),2))/((VLOOKUP($B196,INDIRECT($B$5&amp;"生成成长"),4))/(VLOOKUP(U$72,INDIRECT($C$5&amp;"生成成长"),5))*(VLOOKUP($B$5,标准坦克设计!$B$24:$U$30,MATCH("对"&amp;LEFT($C$5,2)&amp;"输出",标准坦克设计!$B$23:$U$23,0)))*(VLOOKUP($B196,INDIRECT($B$5&amp;"生成成长"),3))*(VLOOKUP($B$5,标准坦克设计!$B$14:$K$20,9)/30))</f>
        <v>4.8609886162934908</v>
      </c>
      <c r="V196" s="172">
        <f ca="1">(VLOOKUP(V$72,INDIRECT($C$5&amp;"生成成长"),2))/((VLOOKUP($B196,INDIRECT($B$5&amp;"生成成长"),4))/(VLOOKUP(V$72,INDIRECT($C$5&amp;"生成成长"),5))*(VLOOKUP($B$5,标准坦克设计!$B$24:$U$30,MATCH("对"&amp;LEFT($C$5,2)&amp;"输出",标准坦克设计!$B$23:$U$23,0)))*(VLOOKUP($B196,INDIRECT($B$5&amp;"生成成长"),3))*(VLOOKUP($B$5,标准坦克设计!$B$14:$K$20,9)/30))</f>
        <v>5.3152854472166382</v>
      </c>
      <c r="W196" s="172">
        <f ca="1">(VLOOKUP(W$72,INDIRECT($C$5&amp;"生成成长"),2))/((VLOOKUP($B196,INDIRECT($B$5&amp;"生成成长"),4))/(VLOOKUP(W$72,INDIRECT($C$5&amp;"生成成长"),5))*(VLOOKUP($B$5,标准坦克设计!$B$24:$U$30,MATCH("对"&amp;LEFT($C$5,2)&amp;"输出",标准坦克设计!$B$23:$U$23,0)))*(VLOOKUP($B196,INDIRECT($B$5&amp;"生成成长"),3))*(VLOOKUP($B$5,标准坦克设计!$B$14:$K$20,9)/30))</f>
        <v>5.7898734517294077</v>
      </c>
      <c r="X196" s="172">
        <f ca="1">(VLOOKUP(X$72,INDIRECT($C$5&amp;"生成成长"),2))/((VLOOKUP($B196,INDIRECT($B$5&amp;"生成成长"),4))/(VLOOKUP(X$72,INDIRECT($C$5&amp;"生成成长"),5))*(VLOOKUP($B$5,标准坦克设计!$B$24:$U$30,MATCH("对"&amp;LEFT($C$5,2)&amp;"输出",标准坦克设计!$B$23:$U$23,0)))*(VLOOKUP($B196,INDIRECT($B$5&amp;"生成成长"),3))*(VLOOKUP($B$5,标准坦克设计!$B$14:$K$20,9)/30))</f>
        <v>4.19463649594302</v>
      </c>
      <c r="Y196" s="172">
        <f ca="1">(VLOOKUP(Y$72,INDIRECT($C$5&amp;"生成成长"),2))/((VLOOKUP($B196,INDIRECT($B$5&amp;"生成成长"),4))/(VLOOKUP(Y$72,INDIRECT($C$5&amp;"生成成长"),5))*(VLOOKUP($B$5,标准坦克设计!$B$24:$U$30,MATCH("对"&amp;LEFT($C$5,2)&amp;"输出",标准坦克设计!$B$23:$U$23,0)))*(VLOOKUP($B196,INDIRECT($B$5&amp;"生成成长"),3))*(VLOOKUP($B$5,标准坦克设计!$B$14:$K$20,9)/30))</f>
        <v>4.6655921298749314</v>
      </c>
      <c r="Z196" s="172">
        <f ca="1">(VLOOKUP(Z$72,INDIRECT($C$5&amp;"生成成长"),2))/((VLOOKUP($B196,INDIRECT($B$5&amp;"生成成长"),4))/(VLOOKUP(Z$72,INDIRECT($C$5&amp;"生成成长"),5))*(VLOOKUP($B$5,标准坦克设计!$B$24:$U$30,MATCH("对"&amp;LEFT($C$5,2)&amp;"输出",标准坦克设计!$B$23:$U$23,0)))*(VLOOKUP($B196,INDIRECT($B$5&amp;"生成成长"),3))*(VLOOKUP($B$5,标准坦克设计!$B$14:$K$20,9)/30))</f>
        <v>5.1615985953989645</v>
      </c>
      <c r="AA196" s="172">
        <f ca="1">(VLOOKUP(AA$72,INDIRECT($C$5&amp;"生成成长"),2))/((VLOOKUP($B196,INDIRECT($B$5&amp;"生成成长"),4))/(VLOOKUP(AA$72,INDIRECT($C$5&amp;"生成成长"),5))*(VLOOKUP($B$5,标准坦克设计!$B$24:$U$30,MATCH("对"&amp;LEFT($C$5,2)&amp;"输出",标准坦克设计!$B$23:$U$23,0)))*(VLOOKUP($B196,INDIRECT($B$5&amp;"生成成长"),3))*(VLOOKUP($B$5,标准坦克设计!$B$14:$K$20,9)/30))</f>
        <v>5.6826558925151218</v>
      </c>
      <c r="AB196" s="172">
        <f ca="1">(VLOOKUP(AB$72,INDIRECT($C$5&amp;"生成成长"),2))/((VLOOKUP($B196,INDIRECT($B$5&amp;"生成成长"),4))/(VLOOKUP(AB$72,INDIRECT($C$5&amp;"生成成长"),5))*(VLOOKUP($B$5,标准坦克设计!$B$24:$U$30,MATCH("对"&amp;LEFT($C$5,2)&amp;"输出",标准坦克设计!$B$23:$U$23,0)))*(VLOOKUP($B196,INDIRECT($B$5&amp;"生成成长"),3))*(VLOOKUP($B$5,标准坦克设计!$B$14:$K$20,9)/30))</f>
        <v>6.2287640212234008</v>
      </c>
      <c r="AC196" s="172">
        <f ca="1">(VLOOKUP(AC$72,INDIRECT($C$5&amp;"生成成长"),2))/((VLOOKUP($B196,INDIRECT($B$5&amp;"生成成长"),4))/(VLOOKUP(AC$72,INDIRECT($C$5&amp;"生成成长"),5))*(VLOOKUP($B$5,标准坦克设计!$B$24:$U$30,MATCH("对"&amp;LEFT($C$5,2)&amp;"输出",标准坦克设计!$B$23:$U$23,0)))*(VLOOKUP($B196,INDIRECT($B$5&amp;"生成成长"),3))*(VLOOKUP($B$5,标准坦克设计!$B$14:$K$20,9)/30))</f>
        <v>6.7999229815238031</v>
      </c>
      <c r="AD196" s="172">
        <f ca="1">(VLOOKUP(AD$72,INDIRECT($C$5&amp;"生成成长"),2))/((VLOOKUP($B196,INDIRECT($B$5&amp;"生成成长"),4))/(VLOOKUP(AD$72,INDIRECT($C$5&amp;"生成成长"),5))*(VLOOKUP($B$5,标准坦克设计!$B$24:$U$30,MATCH("对"&amp;LEFT($C$5,2)&amp;"输出",标准坦克设计!$B$23:$U$23,0)))*(VLOOKUP($B196,INDIRECT($B$5&amp;"生成成长"),3))*(VLOOKUP($B$5,标准坦克设计!$B$14:$K$20,9)/30))</f>
        <v>7.3961327734163289</v>
      </c>
      <c r="AE196" s="172">
        <f ca="1">(VLOOKUP(AE$72,INDIRECT($C$5&amp;"生成成长"),2))/((VLOOKUP($B196,INDIRECT($B$5&amp;"生成成长"),4))/(VLOOKUP(AE$72,INDIRECT($C$5&amp;"生成成长"),5))*(VLOOKUP($B$5,标准坦克设计!$B$24:$U$30,MATCH("对"&amp;LEFT($C$5,2)&amp;"输出",标准坦克设计!$B$23:$U$23,0)))*(VLOOKUP($B196,INDIRECT($B$5&amp;"生成成长"),3))*(VLOOKUP($B$5,标准坦克设计!$B$14:$K$20,9)/30))</f>
        <v>8.0173933969009763</v>
      </c>
      <c r="AF196" s="172">
        <f ca="1">(VLOOKUP(AF$72,INDIRECT($C$5&amp;"生成成长"),2))/((VLOOKUP($B196,INDIRECT($B$5&amp;"生成成长"),4))/(VLOOKUP(AF$72,INDIRECT($C$5&amp;"生成成长"),5))*(VLOOKUP($B$5,标准坦克设计!$B$24:$U$30,MATCH("对"&amp;LEFT($C$5,2)&amp;"输出",标准坦克设计!$B$23:$U$23,0)))*(VLOOKUP($B196,INDIRECT($B$5&amp;"生成成长"),3))*(VLOOKUP($B$5,标准坦克设计!$B$14:$K$20,9)/30))</f>
        <v>8.6637048519777462</v>
      </c>
      <c r="AG196" s="172">
        <f ca="1">(VLOOKUP(AG$72,INDIRECT($C$5&amp;"生成成长"),2))/((VLOOKUP($B196,INDIRECT($B$5&amp;"生成成长"),4))/(VLOOKUP(AG$72,INDIRECT($C$5&amp;"生成成长"),5))*(VLOOKUP($B$5,标准坦克设计!$B$24:$U$30,MATCH("对"&amp;LEFT($C$5,2)&amp;"输出",标准坦克设计!$B$23:$U$23,0)))*(VLOOKUP($B196,INDIRECT($B$5&amp;"生成成长"),3))*(VLOOKUP($B$5,标准坦克设计!$B$14:$K$20,9)/30))</f>
        <v>9.3350671386466413</v>
      </c>
      <c r="AH196" s="172">
        <f ca="1">(VLOOKUP(AH$72,INDIRECT($C$5&amp;"生成成长"),2))/((VLOOKUP($B196,INDIRECT($B$5&amp;"生成成长"),4))/(VLOOKUP(AH$72,INDIRECT($C$5&amp;"生成成长"),5))*(VLOOKUP($B$5,标准坦克设计!$B$24:$U$30,MATCH("对"&amp;LEFT($C$5,2)&amp;"输出",标准坦克设计!$B$23:$U$23,0)))*(VLOOKUP($B196,INDIRECT($B$5&amp;"生成成长"),3))*(VLOOKUP($B$5,标准坦克设计!$B$14:$K$20,9)/30))</f>
        <v>10.031480256907658</v>
      </c>
      <c r="AI196" s="172">
        <f ca="1">(VLOOKUP(AI$72,INDIRECT($C$5&amp;"生成成长"),2))/((VLOOKUP($B196,INDIRECT($B$5&amp;"生成成长"),4))/(VLOOKUP(AI$72,INDIRECT($C$5&amp;"生成成长"),5))*(VLOOKUP($B$5,标准坦克设计!$B$24:$U$30,MATCH("对"&amp;LEFT($C$5,2)&amp;"输出",标准坦克设计!$B$23:$U$23,0)))*(VLOOKUP($B196,INDIRECT($B$5&amp;"生成成长"),3))*(VLOOKUP($B$5,标准坦克设计!$B$14:$K$20,9)/30))</f>
        <v>7.0948965235210517</v>
      </c>
      <c r="AJ196" s="172">
        <f ca="1">(VLOOKUP(AJ$72,INDIRECT($C$5&amp;"生成成长"),2))/((VLOOKUP($B196,INDIRECT($B$5&amp;"生成成长"),4))/(VLOOKUP(AJ$72,INDIRECT($C$5&amp;"生成成长"),5))*(VLOOKUP($B$5,标准坦克设计!$B$24:$U$30,MATCH("对"&amp;LEFT($C$5,2)&amp;"输出",标准坦克设计!$B$23:$U$23,0)))*(VLOOKUP($B196,INDIRECT($B$5&amp;"生成成长"),3))*(VLOOKUP($B$5,标准坦克设计!$B$14:$K$20,9)/30))</f>
        <v>7.7658830477160619</v>
      </c>
      <c r="AK196" s="172">
        <f ca="1">(VLOOKUP(AK$72,INDIRECT($C$5&amp;"生成成长"),2))/((VLOOKUP($B196,INDIRECT($B$5&amp;"生成成长"),4))/(VLOOKUP(AK$72,INDIRECT($C$5&amp;"生成成长"),5))*(VLOOKUP($B$5,标准坦克设计!$B$24:$U$30,MATCH("对"&amp;LEFT($C$5,2)&amp;"输出",标准坦克设计!$B$23:$U$23,0)))*(VLOOKUP($B196,INDIRECT($B$5&amp;"生成成长"),3))*(VLOOKUP($B$5,标准坦克设计!$B$14:$K$20,9)/30))</f>
        <v>8.4671810781375445</v>
      </c>
      <c r="AL196" s="172">
        <f ca="1">(VLOOKUP(AL$72,INDIRECT($C$5&amp;"生成成长"),2))/((VLOOKUP($B196,INDIRECT($B$5&amp;"生成成长"),4))/(VLOOKUP(AL$72,INDIRECT($C$5&amp;"生成成长"),5))*(VLOOKUP($B$5,标准坦克设计!$B$24:$U$30,MATCH("对"&amp;LEFT($C$5,2)&amp;"输出",标准坦克设计!$B$23:$U$23,0)))*(VLOOKUP($B196,INDIRECT($B$5&amp;"生成成长"),3))*(VLOOKUP($B$5,标准坦克设计!$B$14:$K$20,9)/30))</f>
        <v>9.1987906147854925</v>
      </c>
      <c r="AM196" s="172">
        <f ca="1">(VLOOKUP(AM$72,INDIRECT($C$5&amp;"生成成长"),2))/((VLOOKUP($B196,INDIRECT($B$5&amp;"生成成长"),4))/(VLOOKUP(AM$72,INDIRECT($C$5&amp;"生成成长"),5))*(VLOOKUP($B$5,标准坦克设计!$B$24:$U$30,MATCH("对"&amp;LEFT($C$5,2)&amp;"输出",标准坦克设计!$B$23:$U$23,0)))*(VLOOKUP($B196,INDIRECT($B$5&amp;"生成成长"),3))*(VLOOKUP($B$5,标准坦克设计!$B$14:$K$20,9)/30))</f>
        <v>9.9607116576599104</v>
      </c>
      <c r="AN196" s="172">
        <f ca="1">(VLOOKUP(AN$72,INDIRECT($C$5&amp;"生成成长"),2))/((VLOOKUP($B196,INDIRECT($B$5&amp;"生成成长"),4))/(VLOOKUP(AN$72,INDIRECT($C$5&amp;"生成成长"),5))*(VLOOKUP($B$5,标准坦克设计!$B$24:$U$30,MATCH("对"&amp;LEFT($C$5,2)&amp;"输出",标准坦克设计!$B$23:$U$23,0)))*(VLOOKUP($B196,INDIRECT($B$5&amp;"生成成长"),3))*(VLOOKUP($B$5,标准坦克设计!$B$14:$K$20,9)/30))</f>
        <v>10.752944206760796</v>
      </c>
      <c r="AO196" s="172">
        <f ca="1">(VLOOKUP(AO$72,INDIRECT($C$5&amp;"生成成长"),2))/((VLOOKUP($B196,INDIRECT($B$5&amp;"生成成长"),4))/(VLOOKUP(AO$72,INDIRECT($C$5&amp;"生成成长"),5))*(VLOOKUP($B$5,标准坦克设计!$B$24:$U$30,MATCH("对"&amp;LEFT($C$5,2)&amp;"输出",标准坦克设计!$B$23:$U$23,0)))*(VLOOKUP($B196,INDIRECT($B$5&amp;"生成成长"),3))*(VLOOKUP($B$5,标准坦克设计!$B$14:$K$20,9)/30))</f>
        <v>11.575488262088154</v>
      </c>
      <c r="AP196" s="172">
        <f ca="1">(VLOOKUP(AP$72,INDIRECT($C$5&amp;"生成成长"),2))/((VLOOKUP($B196,INDIRECT($B$5&amp;"生成成长"),4))/(VLOOKUP(AP$72,INDIRECT($C$5&amp;"生成成长"),5))*(VLOOKUP($B$5,标准坦克设计!$B$24:$U$30,MATCH("对"&amp;LEFT($C$5,2)&amp;"输出",标准坦克设计!$B$23:$U$23,0)))*(VLOOKUP($B196,INDIRECT($B$5&amp;"生成成长"),3))*(VLOOKUP($B$5,标准坦克设计!$B$14:$K$20,9)/30))</f>
        <v>12.428343823641978</v>
      </c>
      <c r="AQ196" s="172">
        <f ca="1">(VLOOKUP(AQ$72,INDIRECT($C$5&amp;"生成成长"),2))/((VLOOKUP($B196,INDIRECT($B$5&amp;"生成成长"),4))/(VLOOKUP(AQ$72,INDIRECT($C$5&amp;"生成成长"),5))*(VLOOKUP($B$5,标准坦克设计!$B$24:$U$30,MATCH("对"&amp;LEFT($C$5,2)&amp;"输出",标准坦克设计!$B$23:$U$23,0)))*(VLOOKUP($B196,INDIRECT($B$5&amp;"生成成长"),3))*(VLOOKUP($B$5,标准坦克设计!$B$14:$K$20,9)/30))</f>
        <v>13.311510891422271</v>
      </c>
      <c r="AR196" s="172">
        <f ca="1">(VLOOKUP(AR$72,INDIRECT($C$5&amp;"生成成长"),2))/((VLOOKUP($B196,INDIRECT($B$5&amp;"生成成长"),4))/(VLOOKUP(AR$72,INDIRECT($C$5&amp;"生成成长"),5))*(VLOOKUP($B$5,标准坦克设计!$B$24:$U$30,MATCH("对"&amp;LEFT($C$5,2)&amp;"输出",标准坦克设计!$B$23:$U$23,0)))*(VLOOKUP($B196,INDIRECT($B$5&amp;"生成成长"),3))*(VLOOKUP($B$5,标准坦克设计!$B$14:$K$20,9)/30))</f>
        <v>14.224989465429035</v>
      </c>
      <c r="AS196" s="172">
        <f ca="1">(VLOOKUP(AS$72,INDIRECT($C$5&amp;"生成成长"),2))/((VLOOKUP($B196,INDIRECT($B$5&amp;"生成成长"),4))/(VLOOKUP(AS$72,INDIRECT($C$5&amp;"生成成长"),5))*(VLOOKUP($B$5,标准坦克设计!$B$24:$U$30,MATCH("对"&amp;LEFT($C$5,2)&amp;"输出",标准坦克设计!$B$23:$U$23,0)))*(VLOOKUP($B196,INDIRECT($B$5&amp;"生成成长"),3))*(VLOOKUP($B$5,标准坦克设计!$B$14:$K$20,9)/30))</f>
        <v>15.168779545662263</v>
      </c>
      <c r="AT196" s="172">
        <f ca="1">(VLOOKUP(AT$72,INDIRECT($C$5&amp;"生成成长"),2))/((VLOOKUP($B196,INDIRECT($B$5&amp;"生成成长"),4))/(VLOOKUP(AT$72,INDIRECT($C$5&amp;"生成成长"),5))*(VLOOKUP($B$5,标准坦克设计!$B$24:$U$30,MATCH("对"&amp;LEFT($C$5,2)&amp;"输出",标准坦克设计!$B$23:$U$23,0)))*(VLOOKUP($B196,INDIRECT($B$5&amp;"生成成长"),3))*(VLOOKUP($B$5,标准坦克设计!$B$14:$K$20,9)/30))</f>
        <v>16.142881132121961</v>
      </c>
      <c r="AU196" s="172">
        <f ca="1">(VLOOKUP(AU$72,INDIRECT($C$5&amp;"生成成长"),2))/((VLOOKUP($B196,INDIRECT($B$5&amp;"生成成长"),4))/(VLOOKUP(AU$72,INDIRECT($C$5&amp;"生成成长"),5))*(VLOOKUP($B$5,标准坦克设计!$B$24:$U$30,MATCH("对"&amp;LEFT($C$5,2)&amp;"输出",标准坦克设计!$B$23:$U$23,0)))*(VLOOKUP($B196,INDIRECT($B$5&amp;"生成成长"),3))*(VLOOKUP($B$5,标准坦克设计!$B$14:$K$20,9)/30))</f>
        <v>17.147294224808132</v>
      </c>
      <c r="AV196" s="172">
        <f ca="1">(VLOOKUP(AV$72,INDIRECT($C$5&amp;"生成成长"),2))/((VLOOKUP($B196,INDIRECT($B$5&amp;"生成成长"),4))/(VLOOKUP(AV$72,INDIRECT($C$5&amp;"生成成长"),5))*(VLOOKUP($B$5,标准坦克设计!$B$24:$U$30,MATCH("对"&amp;LEFT($C$5,2)&amp;"输出",标准坦克设计!$B$23:$U$23,0)))*(VLOOKUP($B196,INDIRECT($B$5&amp;"生成成长"),3))*(VLOOKUP($B$5,标准坦克设计!$B$14:$K$20,9)/30))</f>
        <v>1.744038895443597</v>
      </c>
      <c r="AW196" s="172">
        <f ca="1">(VLOOKUP(AW$72,INDIRECT($C$5&amp;"生成成长"),2))/((VLOOKUP($B196,INDIRECT($B$5&amp;"生成成长"),4))/(VLOOKUP(AW$72,INDIRECT($C$5&amp;"生成成长"),5))*(VLOOKUP($B$5,标准坦克设计!$B$24:$U$30,MATCH("对"&amp;LEFT($C$5,2)&amp;"输出",标准坦克设计!$B$23:$U$23,0)))*(VLOOKUP($B196,INDIRECT($B$5&amp;"生成成长"),3))*(VLOOKUP($B$5,标准坦克设计!$B$14:$K$20,9)/30))</f>
        <v>1.9885350117827167</v>
      </c>
      <c r="AX196" s="172">
        <f ca="1">(VLOOKUP(AX$72,INDIRECT($C$5&amp;"生成成长"),2))/((VLOOKUP($B196,INDIRECT($B$5&amp;"生成成长"),4))/(VLOOKUP(AX$72,INDIRECT($C$5&amp;"生成成长"),5))*(VLOOKUP($B$5,标准坦克设计!$B$24:$U$30,MATCH("对"&amp;LEFT($C$5,2)&amp;"输出",标准坦克设计!$B$23:$U$23,0)))*(VLOOKUP($B196,INDIRECT($B$5&amp;"生成成长"),3))*(VLOOKUP($B$5,标准坦克设计!$B$14:$K$20,9)/30))</f>
        <v>2.2490636603407945</v>
      </c>
      <c r="AY196" s="172">
        <f ca="1">(VLOOKUP(AY$72,INDIRECT($C$5&amp;"生成成长"),2))/((VLOOKUP($B196,INDIRECT($B$5&amp;"生成成长"),4))/(VLOOKUP(AY$72,INDIRECT($C$5&amp;"生成成长"),5))*(VLOOKUP($B$5,标准坦克设计!$B$24:$U$30,MATCH("对"&amp;LEFT($C$5,2)&amp;"输出",标准坦克设计!$B$23:$U$23,0)))*(VLOOKUP($B196,INDIRECT($B$5&amp;"生成成长"),3))*(VLOOKUP($B$5,标准坦克设计!$B$14:$K$20,9)/30))</f>
        <v>2.5256248411178315</v>
      </c>
      <c r="AZ196" s="172">
        <f ca="1">(VLOOKUP(AZ$72,INDIRECT($C$5&amp;"生成成长"),2))/((VLOOKUP($B196,INDIRECT($B$5&amp;"生成成长"),4))/(VLOOKUP(AZ$72,INDIRECT($C$5&amp;"生成成长"),5))*(VLOOKUP($B$5,标准坦克设计!$B$24:$U$30,MATCH("对"&amp;LEFT($C$5,2)&amp;"输出",标准坦克设计!$B$23:$U$23,0)))*(VLOOKUP($B196,INDIRECT($B$5&amp;"生成成长"),3))*(VLOOKUP($B$5,标准坦克设计!$B$14:$K$20,9)/30))</f>
        <v>2.8182185541138272</v>
      </c>
      <c r="BA196" s="172">
        <f ca="1">(VLOOKUP(BA$72,INDIRECT($C$5&amp;"生成成长"),2))/((VLOOKUP($B196,INDIRECT($B$5&amp;"生成成长"),4))/(VLOOKUP(BA$72,INDIRECT($C$5&amp;"生成成长"),5))*(VLOOKUP($B$5,标准坦克设计!$B$24:$U$30,MATCH("对"&amp;LEFT($C$5,2)&amp;"输出",标准坦克设计!$B$23:$U$23,0)))*(VLOOKUP($B196,INDIRECT($B$5&amp;"生成成长"),3))*(VLOOKUP($B$5,标准坦克设计!$B$14:$K$20,9)/30))</f>
        <v>3.1268447993287811</v>
      </c>
      <c r="BB196" s="172">
        <f ca="1">(VLOOKUP(BB$72,INDIRECT($C$5&amp;"生成成长"),2))/((VLOOKUP($B196,INDIRECT($B$5&amp;"生成成长"),4))/(VLOOKUP(BB$72,INDIRECT($C$5&amp;"生成成长"),5))*(VLOOKUP($B$5,标准坦克设计!$B$24:$U$30,MATCH("对"&amp;LEFT($C$5,2)&amp;"输出",标准坦克设计!$B$23:$U$23,0)))*(VLOOKUP($B196,INDIRECT($B$5&amp;"生成成长"),3))*(VLOOKUP($B$5,标准坦克设计!$B$14:$K$20,9)/30))</f>
        <v>3.4515035767626947</v>
      </c>
      <c r="BC196" s="172">
        <f ca="1">(VLOOKUP(BC$72,INDIRECT($C$5&amp;"生成成长"),2))/((VLOOKUP($B196,INDIRECT($B$5&amp;"生成成长"),4))/(VLOOKUP(BC$72,INDIRECT($C$5&amp;"生成成长"),5))*(VLOOKUP($B$5,标准坦克设计!$B$24:$U$30,MATCH("对"&amp;LEFT($C$5,2)&amp;"输出",标准坦克设计!$B$23:$U$23,0)))*(VLOOKUP($B196,INDIRECT($B$5&amp;"生成成长"),3))*(VLOOKUP($B$5,标准坦克设计!$B$14:$K$20,9)/30))</f>
        <v>3.7921948864155657</v>
      </c>
      <c r="BD196" s="172">
        <f ca="1">(VLOOKUP(BD$72,INDIRECT($C$5&amp;"生成成长"),2))/((VLOOKUP($B196,INDIRECT($B$5&amp;"生成成长"),4))/(VLOOKUP(BD$72,INDIRECT($C$5&amp;"生成成长"),5))*(VLOOKUP($B$5,标准坦克设计!$B$24:$U$30,MATCH("对"&amp;LEFT($C$5,2)&amp;"输出",标准坦克设计!$B$23:$U$23,0)))*(VLOOKUP($B196,INDIRECT($B$5&amp;"生成成长"),3))*(VLOOKUP($B$5,标准坦克设计!$B$14:$K$20,9)/30))</f>
        <v>4.19463649594302</v>
      </c>
      <c r="BE196" s="172">
        <f ca="1">(VLOOKUP(BE$72,INDIRECT($C$5&amp;"生成成长"),2))/((VLOOKUP($B196,INDIRECT($B$5&amp;"生成成长"),4))/(VLOOKUP(BE$72,INDIRECT($C$5&amp;"生成成长"),5))*(VLOOKUP($B$5,标准坦克设计!$B$24:$U$30,MATCH("对"&amp;LEFT($C$5,2)&amp;"输出",标准坦克设计!$B$23:$U$23,0)))*(VLOOKUP($B196,INDIRECT($B$5&amp;"生成成长"),3))*(VLOOKUP($B$5,标准坦克设计!$B$14:$K$20,9)/30))</f>
        <v>4.6173692790600933</v>
      </c>
      <c r="BF196" s="172">
        <f ca="1">(VLOOKUP(BF$72,INDIRECT($C$5&amp;"生成成长"),2))/((VLOOKUP($B196,INDIRECT($B$5&amp;"生成成长"),4))/(VLOOKUP(BF$72,INDIRECT($C$5&amp;"生成成长"),5))*(VLOOKUP($B$5,标准坦克设计!$B$24:$U$30,MATCH("对"&amp;LEFT($C$5,2)&amp;"输出",标准坦克设计!$B$23:$U$23,0)))*(VLOOKUP($B196,INDIRECT($B$5&amp;"生成成长"),3))*(VLOOKUP($B$5,标准坦克设计!$B$14:$K$20,9)/30))</f>
        <v>5.0603932357667887</v>
      </c>
      <c r="BG196" s="172">
        <f ca="1">(VLOOKUP(BG$72,INDIRECT($C$5&amp;"生成成长"),2))/((VLOOKUP($B196,INDIRECT($B$5&amp;"生成成长"),4))/(VLOOKUP(BG$72,INDIRECT($C$5&amp;"生成成长"),5))*(VLOOKUP($B$5,标准坦克设计!$B$24:$U$30,MATCH("对"&amp;LEFT($C$5,2)&amp;"输出",标准坦克设计!$B$23:$U$23,0)))*(VLOOKUP($B196,INDIRECT($B$5&amp;"生成成长"),3))*(VLOOKUP($B$5,标准坦克设计!$B$14:$K$20,9)/30))</f>
        <v>5.5237083660631017</v>
      </c>
      <c r="BH196" s="172">
        <f ca="1">(VLOOKUP(BH$72,INDIRECT($C$5&amp;"生成成长"),2))/((VLOOKUP($B196,INDIRECT($B$5&amp;"生成成长"),4))/(VLOOKUP(BH$72,INDIRECT($C$5&amp;"生成成长"),5))*(VLOOKUP($B$5,标准坦克设计!$B$24:$U$30,MATCH("对"&amp;LEFT($C$5,2)&amp;"输出",标准坦克设计!$B$23:$U$23,0)))*(VLOOKUP($B196,INDIRECT($B$5&amp;"生成成长"),3))*(VLOOKUP($B$5,标准坦克设计!$B$14:$K$20,9)/30))</f>
        <v>2.6699176310884591</v>
      </c>
      <c r="BI196" s="172">
        <f ca="1">(VLOOKUP(BI$72,INDIRECT($C$5&amp;"生成成长"),2))/((VLOOKUP($B196,INDIRECT($B$5&amp;"生成成长"),4))/(VLOOKUP(BI$72,INDIRECT($C$5&amp;"生成成长"),5))*(VLOOKUP($B$5,标准坦克设计!$B$24:$U$30,MATCH("对"&amp;LEFT($C$5,2)&amp;"输出",标准坦克设计!$B$23:$U$23,0)))*(VLOOKUP($B196,INDIRECT($B$5&amp;"生成成长"),3))*(VLOOKUP($B$5,标准坦克设计!$B$14:$K$20,9)/30))</f>
        <v>3.0092311450037643</v>
      </c>
      <c r="BJ196" s="172">
        <f ca="1">(VLOOKUP(BJ$72,INDIRECT($C$5&amp;"生成成长"),2))/((VLOOKUP($B196,INDIRECT($B$5&amp;"生成成长"),4))/(VLOOKUP(BJ$72,INDIRECT($C$5&amp;"生成成长"),5))*(VLOOKUP($B$5,标准坦克设计!$B$24:$U$30,MATCH("对"&amp;LEFT($C$5,2)&amp;"输出",标准坦克设计!$B$23:$U$23,0)))*(VLOOKUP($B196,INDIRECT($B$5&amp;"生成成长"),3))*(VLOOKUP($B$5,标准坦克设计!$B$14:$K$20,9)/30))</f>
        <v>3.3688358325086889</v>
      </c>
      <c r="BK196" s="172">
        <f ca="1">(VLOOKUP(BK$72,INDIRECT($C$5&amp;"生成成长"),2))/((VLOOKUP($B196,INDIRECT($B$5&amp;"生成成长"),4))/(VLOOKUP(BK$72,INDIRECT($C$5&amp;"生成成长"),5))*(VLOOKUP($B$5,标准坦克设计!$B$24:$U$30,MATCH("对"&amp;LEFT($C$5,2)&amp;"输出",标准坦克设计!$B$23:$U$23,0)))*(VLOOKUP($B196,INDIRECT($B$5&amp;"生成成长"),3))*(VLOOKUP($B$5,标准坦克设计!$B$14:$K$20,9)/30))</f>
        <v>3.748731693603232</v>
      </c>
      <c r="BL196" s="172">
        <f ca="1">(VLOOKUP(BL$72,INDIRECT($C$5&amp;"生成成长"),2))/((VLOOKUP($B196,INDIRECT($B$5&amp;"生成成长"),4))/(VLOOKUP(BL$72,INDIRECT($C$5&amp;"生成成长"),5))*(VLOOKUP($B$5,标准坦克设计!$B$24:$U$30,MATCH("对"&amp;LEFT($C$5,2)&amp;"输出",标准坦克设计!$B$23:$U$23,0)))*(VLOOKUP($B196,INDIRECT($B$5&amp;"生成成长"),3))*(VLOOKUP($B$5,标准坦克设计!$B$14:$K$20,9)/30))</f>
        <v>4.1489187282873967</v>
      </c>
      <c r="BM196" s="172">
        <f ca="1">(VLOOKUP(BM$72,INDIRECT($C$5&amp;"生成成长"),2))/((VLOOKUP($B196,INDIRECT($B$5&amp;"生成成长"),4))/(VLOOKUP(BM$72,INDIRECT($C$5&amp;"生成成长"),5))*(VLOOKUP($B$5,标准坦克设计!$B$24:$U$30,MATCH("对"&amp;LEFT($C$5,2)&amp;"输出",标准坦克设计!$B$23:$U$23,0)))*(VLOOKUP($B196,INDIRECT($B$5&amp;"生成成长"),3))*(VLOOKUP($B$5,标准坦克设计!$B$14:$K$20,9)/30))</f>
        <v>4.5693969365611791</v>
      </c>
      <c r="BN196" s="172">
        <f ca="1">(VLOOKUP(BN$72,INDIRECT($C$5&amp;"生成成长"),2))/((VLOOKUP($B196,INDIRECT($B$5&amp;"生成成长"),4))/(VLOOKUP(BN$72,INDIRECT($C$5&amp;"生成成长"),5))*(VLOOKUP($B$5,标准坦克设计!$B$24:$U$30,MATCH("对"&amp;LEFT($C$5,2)&amp;"输出",标准坦克设计!$B$23:$U$23,0)))*(VLOOKUP($B196,INDIRECT($B$5&amp;"生成成长"),3))*(VLOOKUP($B$5,标准坦克设计!$B$14:$K$20,9)/30))</f>
        <v>5.0101663184245817</v>
      </c>
      <c r="BO196" s="172">
        <f ca="1">(VLOOKUP(BO$72,INDIRECT($C$5&amp;"生成成长"),2))/((VLOOKUP($B196,INDIRECT($B$5&amp;"生成成长"),4))/(VLOOKUP(BO$72,INDIRECT($C$5&amp;"生成成长"),5))*(VLOOKUP($B$5,标准坦克设计!$B$24:$U$30,MATCH("对"&amp;LEFT($C$5,2)&amp;"输出",标准坦克设计!$B$23:$U$23,0)))*(VLOOKUP($B196,INDIRECT($B$5&amp;"生成成长"),3))*(VLOOKUP($B$5,标准坦克设计!$B$14:$K$20,9)/30))</f>
        <v>5.4712268738776038</v>
      </c>
      <c r="BP196" s="172">
        <f ca="1">(VLOOKUP(BP$72,INDIRECT($C$5&amp;"生成成长"),2))/((VLOOKUP($B196,INDIRECT($B$5&amp;"生成成长"),4))/(VLOOKUP(BP$72,INDIRECT($C$5&amp;"生成成长"),5))*(VLOOKUP($B$5,标准坦克设计!$B$24:$U$30,MATCH("对"&amp;LEFT($C$5,2)&amp;"输出",标准坦克设计!$B$23:$U$23,0)))*(VLOOKUP($B196,INDIRECT($B$5&amp;"生成成长"),3))*(VLOOKUP($B$5,标准坦克设计!$B$14:$K$20,9)/30))</f>
        <v>5.9525786029202461</v>
      </c>
      <c r="BQ196" s="172">
        <f ca="1">(VLOOKUP(BQ$72,INDIRECT($C$5&amp;"生成成长"),2))/((VLOOKUP($B196,INDIRECT($B$5&amp;"生成成长"),4))/(VLOOKUP(BQ$72,INDIRECT($C$5&amp;"生成成长"),5))*(VLOOKUP($B$5,标准坦克设计!$B$24:$U$30,MATCH("对"&amp;LEFT($C$5,2)&amp;"输出",标准坦克设计!$B$23:$U$23,0)))*(VLOOKUP($B196,INDIRECT($B$5&amp;"生成成长"),3))*(VLOOKUP($B$5,标准坦克设计!$B$14:$K$20,9)/30))</f>
        <v>6.454221505552507</v>
      </c>
      <c r="BR196" s="172">
        <f ca="1">(VLOOKUP(BR$72,INDIRECT($C$5&amp;"生成成长"),2))/((VLOOKUP($B196,INDIRECT($B$5&amp;"生成成长"),4))/(VLOOKUP(BR$72,INDIRECT($C$5&amp;"生成成长"),5))*(VLOOKUP($B$5,标准坦克设计!$B$24:$U$30,MATCH("对"&amp;LEFT($C$5,2)&amp;"输出",标准坦克设计!$B$23:$U$23,0)))*(VLOOKUP($B196,INDIRECT($B$5&amp;"生成成长"),3))*(VLOOKUP($B$5,标准坦克设计!$B$14:$K$20,9)/30))</f>
        <v>7.035400798489758</v>
      </c>
      <c r="BS196" s="172">
        <f ca="1">(VLOOKUP(BS$72,INDIRECT($C$5&amp;"生成成长"),2))/((VLOOKUP($B196,INDIRECT($B$5&amp;"生成成长"),4))/(VLOOKUP(BS$72,INDIRECT($C$5&amp;"生成成长"),5))*(VLOOKUP($B$5,标准坦克设计!$B$24:$U$30,MATCH("对"&amp;LEFT($C$5,2)&amp;"输出",标准坦克设计!$B$23:$U$23,0)))*(VLOOKUP($B196,INDIRECT($B$5&amp;"生成成长"),3))*(VLOOKUP($B$5,标准坦克设计!$B$14:$K$20,9)/30))</f>
        <v>7.6416309230191333</v>
      </c>
      <c r="BT196" s="172">
        <f ca="1">(VLOOKUP(BT$72,INDIRECT($C$5&amp;"生成成长"),2))/((VLOOKUP($B196,INDIRECT($B$5&amp;"生成成长"),4))/(VLOOKUP(BT$72,INDIRECT($C$5&amp;"生成成长"),5))*(VLOOKUP($B$5,标准坦克设计!$B$24:$U$30,MATCH("对"&amp;LEFT($C$5,2)&amp;"输出",标准坦克设计!$B$23:$U$23,0)))*(VLOOKUP($B196,INDIRECT($B$5&amp;"生成成长"),3))*(VLOOKUP($B$5,标准坦克设计!$B$14:$K$20,9)/30))</f>
        <v>8.2729118791406293</v>
      </c>
      <c r="BU196" s="172">
        <f ca="1">(VLOOKUP(BU$72,INDIRECT($C$5&amp;"生成成长"),2))/((VLOOKUP($B196,INDIRECT($B$5&amp;"生成成长"),4))/(VLOOKUP(BU$72,INDIRECT($C$5&amp;"生成成长"),5))*(VLOOKUP($B$5,标准坦克设计!$B$24:$U$30,MATCH("对"&amp;LEFT($C$5,2)&amp;"输出",标准坦克设计!$B$23:$U$23,0)))*(VLOOKUP($B196,INDIRECT($B$5&amp;"生成成长"),3))*(VLOOKUP($B$5,标准坦克设计!$B$14:$K$20,9)/30))</f>
        <v>8.9292436668542514</v>
      </c>
      <c r="BV196" s="172">
        <f ca="1">(VLOOKUP(BV$72,INDIRECT($C$5&amp;"生成成长"),2))/((VLOOKUP($B196,INDIRECT($B$5&amp;"生成成长"),4))/(VLOOKUP(BV$72,INDIRECT($C$5&amp;"生成成长"),5))*(VLOOKUP($B$5,标准坦克设计!$B$24:$U$30,MATCH("对"&amp;LEFT($C$5,2)&amp;"输出",标准坦克设计!$B$23:$U$23,0)))*(VLOOKUP($B196,INDIRECT($B$5&amp;"生成成长"),3))*(VLOOKUP($B$5,标准坦克设计!$B$14:$K$20,9)/30))</f>
        <v>9.6106262861599934</v>
      </c>
      <c r="BW196" s="172">
        <f ca="1">(VLOOKUP(BW$72,INDIRECT($C$5&amp;"生成成长"),2))/((VLOOKUP($B196,INDIRECT($B$5&amp;"生成成长"),4))/(VLOOKUP(BW$72,INDIRECT($C$5&amp;"生成成长"),5))*(VLOOKUP($B$5,标准坦克设计!$B$24:$U$30,MATCH("对"&amp;LEFT($C$5,2)&amp;"输出",标准坦克设计!$B$23:$U$23,0)))*(VLOOKUP($B196,INDIRECT($B$5&amp;"生成成长"),3))*(VLOOKUP($B$5,标准坦克设计!$B$14:$K$20,9)/30))</f>
        <v>4.3800126497247298</v>
      </c>
      <c r="BX196" s="172">
        <f ca="1">(VLOOKUP(BX$72,INDIRECT($C$5&amp;"生成成长"),2))/((VLOOKUP($B196,INDIRECT($B$5&amp;"生成成长"),4))/(VLOOKUP(BX$72,INDIRECT($C$5&amp;"生成成长"),5))*(VLOOKUP($B$5,标准坦克设计!$B$24:$U$30,MATCH("对"&amp;LEFT($C$5,2)&amp;"输出",标准坦克设计!$B$23:$U$23,0)))*(VLOOKUP($B196,INDIRECT($B$5&amp;"生成成长"),3))*(VLOOKUP($B$5,标准坦克设计!$B$14:$K$20,9)/30))</f>
        <v>4.8609886162934908</v>
      </c>
      <c r="BY196" s="172">
        <f ca="1">(VLOOKUP(BY$72,INDIRECT($C$5&amp;"生成成长"),2))/((VLOOKUP($B196,INDIRECT($B$5&amp;"生成成长"),4))/(VLOOKUP(BY$72,INDIRECT($C$5&amp;"生成成长"),5))*(VLOOKUP($B$5,标准坦克设计!$B$24:$U$30,MATCH("对"&amp;LEFT($C$5,2)&amp;"输出",标准坦克设计!$B$23:$U$23,0)))*(VLOOKUP($B196,INDIRECT($B$5&amp;"生成成长"),3))*(VLOOKUP($B$5,标准坦克设计!$B$14:$K$20,9)/30))</f>
        <v>5.3670154144543716</v>
      </c>
      <c r="BZ196" s="172">
        <f ca="1">(VLOOKUP(BZ$72,INDIRECT($C$5&amp;"生成成长"),2))/((VLOOKUP($B196,INDIRECT($B$5&amp;"生成成长"),4))/(VLOOKUP(BZ$72,INDIRECT($C$5&amp;"生成成长"),5))*(VLOOKUP($B$5,标准坦克设计!$B$24:$U$30,MATCH("对"&amp;LEFT($C$5,2)&amp;"输出",标准坦克设计!$B$23:$U$23,0)))*(VLOOKUP($B196,INDIRECT($B$5&amp;"生成成长"),3))*(VLOOKUP($B$5,标准坦克设计!$B$14:$K$20,9)/30))</f>
        <v>5.8980930442073785</v>
      </c>
      <c r="CA196" s="172">
        <f ca="1">(VLOOKUP(CA$72,INDIRECT($C$5&amp;"生成成长"),2))/((VLOOKUP($B196,INDIRECT($B$5&amp;"生成成长"),4))/(VLOOKUP(CA$72,INDIRECT($C$5&amp;"生成成长"),5))*(VLOOKUP($B$5,标准坦克设计!$B$24:$U$30,MATCH("对"&amp;LEFT($C$5,2)&amp;"输出",标准坦克设计!$B$23:$U$23,0)))*(VLOOKUP($B196,INDIRECT($B$5&amp;"生成成长"),3))*(VLOOKUP($B$5,标准坦克设计!$B$14:$K$20,9)/30))</f>
        <v>6.454221505552507</v>
      </c>
      <c r="CB196" s="172">
        <f ca="1">(VLOOKUP(CB$72,INDIRECT($C$5&amp;"生成成长"),2))/((VLOOKUP($B196,INDIRECT($B$5&amp;"生成成长"),4))/(VLOOKUP(CB$72,INDIRECT($C$5&amp;"生成成长"),5))*(VLOOKUP($B$5,标准坦克设计!$B$24:$U$30,MATCH("对"&amp;LEFT($C$5,2)&amp;"输出",标准坦克设计!$B$23:$U$23,0)))*(VLOOKUP($B196,INDIRECT($B$5&amp;"生成成长"),3))*(VLOOKUP($B$5,标准坦克设计!$B$14:$K$20,9)/30))</f>
        <v>7.035400798489758</v>
      </c>
      <c r="CC196" s="172">
        <f ca="1">(VLOOKUP(CC$72,INDIRECT($C$5&amp;"生成成长"),2))/((VLOOKUP($B196,INDIRECT($B$5&amp;"生成成长"),4))/(VLOOKUP(CC$72,INDIRECT($C$5&amp;"生成成长"),5))*(VLOOKUP($B$5,标准坦克设计!$B$24:$U$30,MATCH("对"&amp;LEFT($C$5,2)&amp;"输出",标准坦克设计!$B$23:$U$23,0)))*(VLOOKUP($B196,INDIRECT($B$5&amp;"生成成长"),3))*(VLOOKUP($B$5,标准坦克设计!$B$14:$K$20,9)/30))</f>
        <v>7.6416309230191333</v>
      </c>
      <c r="CD196" s="172">
        <f ca="1">(VLOOKUP(CD$72,INDIRECT($C$5&amp;"生成成长"),2))/((VLOOKUP($B196,INDIRECT($B$5&amp;"生成成长"),4))/(VLOOKUP(CD$72,INDIRECT($C$5&amp;"生成成长"),5))*(VLOOKUP($B$5,标准坦克设计!$B$24:$U$30,MATCH("对"&amp;LEFT($C$5,2)&amp;"输出",标准坦克设计!$B$23:$U$23,0)))*(VLOOKUP($B196,INDIRECT($B$5&amp;"生成成长"),3))*(VLOOKUP($B$5,标准坦克设计!$B$14:$K$20,9)/30))</f>
        <v>8.2729118791406293</v>
      </c>
      <c r="CE196" s="172">
        <f ca="1">(VLOOKUP(CE$72,INDIRECT($C$5&amp;"生成成长"),2))/((VLOOKUP($B196,INDIRECT($B$5&amp;"生成成长"),4))/(VLOOKUP(CE$72,INDIRECT($C$5&amp;"生成成长"),5))*(VLOOKUP($B$5,标准坦克设计!$B$24:$U$30,MATCH("对"&amp;LEFT($C$5,2)&amp;"输出",标准坦克设计!$B$23:$U$23,0)))*(VLOOKUP($B196,INDIRECT($B$5&amp;"生成成长"),3))*(VLOOKUP($B$5,标准坦克设计!$B$14:$K$20,9)/30))</f>
        <v>8.9292436668542514</v>
      </c>
      <c r="CF196" s="172">
        <f ca="1">(VLOOKUP(CF$72,INDIRECT($C$5&amp;"生成成长"),2))/((VLOOKUP($B196,INDIRECT($B$5&amp;"生成成长"),4))/(VLOOKUP(CF$72,INDIRECT($C$5&amp;"生成成长"),5))*(VLOOKUP($B$5,标准坦克设计!$B$24:$U$30,MATCH("对"&amp;LEFT($C$5,2)&amp;"输出",标准坦克设计!$B$23:$U$23,0)))*(VLOOKUP($B196,INDIRECT($B$5&amp;"生成成长"),3))*(VLOOKUP($B$5,标准坦克设计!$B$14:$K$20,9)/30))</f>
        <v>9.6106262861599934</v>
      </c>
      <c r="CG196" s="172">
        <f ca="1">(VLOOKUP(CG$72,INDIRECT($C$5&amp;"生成成长"),2))/((VLOOKUP($B196,INDIRECT($B$5&amp;"生成成长"),4))/(VLOOKUP(CG$72,INDIRECT($C$5&amp;"生成成长"),5))*(VLOOKUP($B$5,标准坦克设计!$B$24:$U$30,MATCH("对"&amp;LEFT($C$5,2)&amp;"输出",标准坦克设计!$B$23:$U$23,0)))*(VLOOKUP($B196,INDIRECT($B$5&amp;"生成成长"),3))*(VLOOKUP($B$5,标准坦克设计!$B$14:$K$20,9)/30))</f>
        <v>10.317059737057859</v>
      </c>
      <c r="CH196" s="172">
        <f ca="1">(VLOOKUP(CH$72,INDIRECT($C$5&amp;"生成成长"),2))/((VLOOKUP($B196,INDIRECT($B$5&amp;"生成成长"),4))/(VLOOKUP(CH$72,INDIRECT($C$5&amp;"生成成长"),5))*(VLOOKUP($B$5,标准坦克设计!$B$24:$U$30,MATCH("对"&amp;LEFT($C$5,2)&amp;"输出",标准坦克设计!$B$23:$U$23,0)))*(VLOOKUP($B196,INDIRECT($B$5&amp;"生成成长"),3))*(VLOOKUP($B$5,标准坦克设计!$B$14:$K$20,9)/30))</f>
        <v>11.048544019547849</v>
      </c>
      <c r="CI196" s="172">
        <f ca="1">(VLOOKUP(CI$72,INDIRECT($C$5&amp;"生成成长"),2))/((VLOOKUP($B196,INDIRECT($B$5&amp;"生成成长"),4))/(VLOOKUP(CI$72,INDIRECT($C$5&amp;"生成成长"),5))*(VLOOKUP($B$5,标准坦克设计!$B$24:$U$30,MATCH("对"&amp;LEFT($C$5,2)&amp;"输出",标准坦克设计!$B$23:$U$23,0)))*(VLOOKUP($B196,INDIRECT($B$5&amp;"生成成长"),3))*(VLOOKUP($B$5,标准坦克设计!$B$14:$K$20,9)/30))</f>
        <v>11.882110440775739</v>
      </c>
      <c r="CJ196" s="172">
        <f ca="1">(VLOOKUP(CJ$72,INDIRECT($C$5&amp;"生成成长"),2))/((VLOOKUP($B196,INDIRECT($B$5&amp;"生成成长"),4))/(VLOOKUP(CJ$72,INDIRECT($C$5&amp;"生成成长"),5))*(VLOOKUP($B$5,标准坦克设计!$B$24:$U$30,MATCH("对"&amp;LEFT($C$5,2)&amp;"输出",标准坦克设计!$B$23:$U$23,0)))*(VLOOKUP($B196,INDIRECT($B$5&amp;"生成成长"),3))*(VLOOKUP($B$5,标准坦克设计!$B$14:$K$20,9)/30))</f>
        <v>12.745988368230098</v>
      </c>
      <c r="CK196" s="172">
        <f ca="1">(VLOOKUP(CK$72,INDIRECT($C$5&amp;"生成成长"),2))/((VLOOKUP($B196,INDIRECT($B$5&amp;"生成成长"),4))/(VLOOKUP(CK$72,INDIRECT($C$5&amp;"生成成长"),5))*(VLOOKUP($B$5,标准坦克设计!$B$24:$U$30,MATCH("对"&amp;LEFT($C$5,2)&amp;"输出",标准坦克设计!$B$23:$U$23,0)))*(VLOOKUP($B196,INDIRECT($B$5&amp;"生成成长"),3))*(VLOOKUP($B$5,标准坦克设计!$B$14:$K$20,9)/30))</f>
        <v>13.640177801910923</v>
      </c>
      <c r="CL196" s="172">
        <f ca="1">(VLOOKUP(CL$72,INDIRECT($C$5&amp;"生成成长"),2))/((VLOOKUP($B196,INDIRECT($B$5&amp;"生成成长"),4))/(VLOOKUP(CL$72,INDIRECT($C$5&amp;"生成成长"),5))*(VLOOKUP($B$5,标准坦克设计!$B$24:$U$30,MATCH("对"&amp;LEFT($C$5,2)&amp;"输出",标准坦克设计!$B$23:$U$23,0)))*(VLOOKUP($B196,INDIRECT($B$5&amp;"生成成长"),3))*(VLOOKUP($B$5,标准坦克设计!$B$14:$K$20,9)/30))</f>
        <v>14.56467874181822</v>
      </c>
      <c r="CM196" s="172">
        <f ca="1">(VLOOKUP(CM$72,INDIRECT($C$5&amp;"生成成长"),2))/((VLOOKUP($B196,INDIRECT($B$5&amp;"生成成长"),4))/(VLOOKUP(CM$72,INDIRECT($C$5&amp;"生成成长"),5))*(VLOOKUP($B$5,标准坦克设计!$B$24:$U$30,MATCH("对"&amp;LEFT($C$5,2)&amp;"输出",标准坦克设计!$B$23:$U$23,0)))*(VLOOKUP($B196,INDIRECT($B$5&amp;"生成成长"),3))*(VLOOKUP($B$5,标准坦克设计!$B$14:$K$20,9)/30))</f>
        <v>15.519491187951983</v>
      </c>
      <c r="CN196" s="172">
        <f ca="1">(VLOOKUP(CN$72,INDIRECT($C$5&amp;"生成成长"),2))/((VLOOKUP($B196,INDIRECT($B$5&amp;"生成成长"),4))/(VLOOKUP(CN$72,INDIRECT($C$5&amp;"生成成长"),5))*(VLOOKUP($B$5,标准坦克设计!$B$24:$U$30,MATCH("对"&amp;LEFT($C$5,2)&amp;"输出",标准坦克设计!$B$23:$U$23,0)))*(VLOOKUP($B196,INDIRECT($B$5&amp;"生成成长"),3))*(VLOOKUP($B$5,标准坦克设计!$B$14:$K$20,9)/30))</f>
        <v>16.504615140312215</v>
      </c>
      <c r="CO196" s="172">
        <f ca="1">(VLOOKUP(CO$72,INDIRECT($C$5&amp;"生成成长"),2))/((VLOOKUP($B196,INDIRECT($B$5&amp;"生成成长"),4))/(VLOOKUP(CO$72,INDIRECT($C$5&amp;"生成成长"),5))*(VLOOKUP($B$5,标准坦克设计!$B$24:$U$30,MATCH("对"&amp;LEFT($C$5,2)&amp;"输出",标准坦克设计!$B$23:$U$23,0)))*(VLOOKUP($B196,INDIRECT($B$5&amp;"生成成长"),3))*(VLOOKUP($B$5,标准坦克设计!$B$14:$K$20,9)/30))</f>
        <v>7.3961327734163289</v>
      </c>
      <c r="CP196" s="172">
        <f ca="1">(VLOOKUP(CP$72,INDIRECT($C$5&amp;"生成成长"),2))/((VLOOKUP($B196,INDIRECT($B$5&amp;"生成成长"),4))/(VLOOKUP(CP$72,INDIRECT($C$5&amp;"生成成长"),5))*(VLOOKUP($B$5,标准坦克设计!$B$24:$U$30,MATCH("对"&amp;LEFT($C$5,2)&amp;"输出",标准坦克设计!$B$23:$U$23,0)))*(VLOOKUP($B196,INDIRECT($B$5&amp;"生成成长"),3))*(VLOOKUP($B$5,标准坦克设计!$B$14:$K$20,9)/30))</f>
        <v>8.0808972549870095</v>
      </c>
      <c r="CQ196" s="172">
        <f ca="1">(VLOOKUP(CQ$72,INDIRECT($C$5&amp;"生成成长"),2))/((VLOOKUP($B196,INDIRECT($B$5&amp;"生成成长"),4))/(VLOOKUP(CQ$72,INDIRECT($C$5&amp;"生成成长"),5))*(VLOOKUP($B$5,标准坦克设计!$B$24:$U$30,MATCH("对"&amp;LEFT($C$5,2)&amp;"输出",标准坦克设计!$B$23:$U$23,0)))*(VLOOKUP($B196,INDIRECT($B$5&amp;"生成成长"),3))*(VLOOKUP($B$5,标准坦克设计!$B$14:$K$20,9)/30))</f>
        <v>8.7959732427841573</v>
      </c>
      <c r="CR196" s="172">
        <f ca="1">(VLOOKUP(CR$72,INDIRECT($C$5&amp;"生成成长"),2))/((VLOOKUP($B196,INDIRECT($B$5&amp;"生成成长"),4))/(VLOOKUP(CR$72,INDIRECT($C$5&amp;"生成成长"),5))*(VLOOKUP($B$5,标准坦克设计!$B$24:$U$30,MATCH("对"&amp;LEFT($C$5,2)&amp;"输出",标准坦克设计!$B$23:$U$23,0)))*(VLOOKUP($B196,INDIRECT($B$5&amp;"生成成长"),3))*(VLOOKUP($B$5,标准坦克设计!$B$14:$K$20,9)/30))</f>
        <v>9.5413607368077713</v>
      </c>
      <c r="CS196" s="172">
        <f ca="1">(VLOOKUP(CS$72,INDIRECT($C$5&amp;"生成成长"),2))/((VLOOKUP($B196,INDIRECT($B$5&amp;"生成成长"),4))/(VLOOKUP(CS$72,INDIRECT($C$5&amp;"生成成长"),5))*(VLOOKUP($B$5,标准坦克设计!$B$24:$U$30,MATCH("对"&amp;LEFT($C$5,2)&amp;"输出",标准坦克设计!$B$23:$U$23,0)))*(VLOOKUP($B196,INDIRECT($B$5&amp;"生成成长"),3))*(VLOOKUP($B$5,标准坦克设计!$B$14:$K$20,9)/30))</f>
        <v>10.317059737057859</v>
      </c>
      <c r="CT196" s="172">
        <f ca="1">(VLOOKUP(CT$72,INDIRECT($C$5&amp;"生成成长"),2))/((VLOOKUP($B196,INDIRECT($B$5&amp;"生成成长"),4))/(VLOOKUP(CT$72,INDIRECT($C$5&amp;"生成成长"),5))*(VLOOKUP($B$5,标准坦克设计!$B$24:$U$30,MATCH("对"&amp;LEFT($C$5,2)&amp;"输出",标准坦克设计!$B$23:$U$23,0)))*(VLOOKUP($B196,INDIRECT($B$5&amp;"生成成长"),3))*(VLOOKUP($B$5,标准坦克设计!$B$14:$K$20,9)/30))</f>
        <v>11.123070243534416</v>
      </c>
      <c r="CU196" s="172">
        <f ca="1">(VLOOKUP(CU$72,INDIRECT($C$5&amp;"生成成长"),2))/((VLOOKUP($B196,INDIRECT($B$5&amp;"生成成长"),4))/(VLOOKUP(CU$72,INDIRECT($C$5&amp;"生成成长"),5))*(VLOOKUP($B$5,标准坦克设计!$B$24:$U$30,MATCH("对"&amp;LEFT($C$5,2)&amp;"输出",标准坦克设计!$B$23:$U$23,0)))*(VLOOKUP($B196,INDIRECT($B$5&amp;"生成成长"),3))*(VLOOKUP($B$5,标准坦克设计!$B$14:$K$20,9)/30))</f>
        <v>11.959392256237438</v>
      </c>
      <c r="CV196" s="172">
        <f ca="1">(VLOOKUP(CV$72,INDIRECT($C$5&amp;"生成成长"),2))/((VLOOKUP($B196,INDIRECT($B$5&amp;"生成成长"),4))/(VLOOKUP(CV$72,INDIRECT($C$5&amp;"生成成长"),5))*(VLOOKUP($B$5,标准坦克设计!$B$24:$U$30,MATCH("对"&amp;LEFT($C$5,2)&amp;"输出",标准坦克设计!$B$23:$U$23,0)))*(VLOOKUP($B196,INDIRECT($B$5&amp;"生成成长"),3))*(VLOOKUP($B$5,标准坦克设计!$B$14:$K$20,9)/30))</f>
        <v>12.826025775166928</v>
      </c>
      <c r="CW196" s="172">
        <f ca="1">(VLOOKUP(CW$72,INDIRECT($C$5&amp;"生成成长"),2))/((VLOOKUP($B196,INDIRECT($B$5&amp;"生成成长"),4))/(VLOOKUP(CW$72,INDIRECT($C$5&amp;"生成成长"),5))*(VLOOKUP($B$5,标准坦克设计!$B$24:$U$30,MATCH("对"&amp;LEFT($C$5,2)&amp;"输出",标准坦克设计!$B$23:$U$23,0)))*(VLOOKUP($B196,INDIRECT($B$5&amp;"生成成长"),3))*(VLOOKUP($B$5,标准坦克设计!$B$14:$K$20,9)/30))</f>
        <v>13.722970800322891</v>
      </c>
      <c r="CX196" s="172">
        <f ca="1">(VLOOKUP(CX$72,INDIRECT($C$5&amp;"生成成长"),2))/((VLOOKUP($B196,INDIRECT($B$5&amp;"生成成长"),4))/(VLOOKUP(CX$72,INDIRECT($C$5&amp;"生成成长"),5))*(VLOOKUP($B$5,标准坦克设计!$B$24:$U$30,MATCH("对"&amp;LEFT($C$5,2)&amp;"输出",标准坦克设计!$B$23:$U$23,0)))*(VLOOKUP($B196,INDIRECT($B$5&amp;"生成成长"),3))*(VLOOKUP($B$5,标准坦克设计!$B$14:$K$20,9)/30))</f>
        <v>14.650227331705318</v>
      </c>
      <c r="CY196" s="172">
        <f ca="1">(VLOOKUP(CY$72,INDIRECT($C$5&amp;"生成成长"),2))/((VLOOKUP($B196,INDIRECT($B$5&amp;"生成成长"),4))/(VLOOKUP(CY$72,INDIRECT($C$5&amp;"生成成长"),5))*(VLOOKUP($B$5,标准坦克设计!$B$24:$U$30,MATCH("对"&amp;LEFT($C$5,2)&amp;"输出",标准坦克设计!$B$23:$U$23,0)))*(VLOOKUP($B196,INDIRECT($B$5&amp;"生成成长"),3))*(VLOOKUP($B$5,标准坦克设计!$B$14:$K$20,9)/30))</f>
        <v>15.607795369314218</v>
      </c>
      <c r="CZ196" s="172">
        <f ca="1">(VLOOKUP(CZ$72,INDIRECT($C$5&amp;"生成成长"),2))/((VLOOKUP($B196,INDIRECT($B$5&amp;"生成成长"),4))/(VLOOKUP(CZ$72,INDIRECT($C$5&amp;"生成成长"),5))*(VLOOKUP($B$5,标准坦克设计!$B$24:$U$30,MATCH("对"&amp;LEFT($C$5,2)&amp;"输出",标准坦克设计!$B$23:$U$23,0)))*(VLOOKUP($B196,INDIRECT($B$5&amp;"生成成长"),3))*(VLOOKUP($B$5,标准坦克设计!$B$14:$K$20,9)/30))</f>
        <v>16.595674913149587</v>
      </c>
      <c r="DA196" s="172">
        <f ca="1">(VLOOKUP(DA$72,INDIRECT($C$5&amp;"生成成长"),2))/((VLOOKUP($B196,INDIRECT($B$5&amp;"生成成长"),4))/(VLOOKUP(DA$72,INDIRECT($C$5&amp;"生成成长"),5))*(VLOOKUP($B$5,标准坦克设计!$B$24:$U$30,MATCH("对"&amp;LEFT($C$5,2)&amp;"输出",标准坦克设计!$B$23:$U$23,0)))*(VLOOKUP($B196,INDIRECT($B$5&amp;"生成成长"),3))*(VLOOKUP($B$5,标准坦克设计!$B$14:$K$20,9)/30))</f>
        <v>17.613865963211421</v>
      </c>
      <c r="DB196" s="172">
        <f ca="1">(VLOOKUP(DB$72,INDIRECT($C$5&amp;"生成成长"),2))/((VLOOKUP($B196,INDIRECT($B$5&amp;"生成成长"),4))/(VLOOKUP(DB$72,INDIRECT($C$5&amp;"生成成长"),5))*(VLOOKUP($B$5,标准坦克设计!$B$24:$U$30,MATCH("对"&amp;LEFT($C$5,2)&amp;"输出",标准坦克设计!$B$23:$U$23,0)))*(VLOOKUP($B196,INDIRECT($B$5&amp;"生成成长"),3))*(VLOOKUP($B$5,标准坦克设计!$B$14:$K$20,9)/30))</f>
        <v>18.662368519499726</v>
      </c>
      <c r="DC196" s="172">
        <f ca="1">(VLOOKUP(DC$72,INDIRECT($C$5&amp;"生成成长"),2))/((VLOOKUP($B196,INDIRECT($B$5&amp;"生成成长"),4))/(VLOOKUP(DC$72,INDIRECT($C$5&amp;"生成成长"),5))*(VLOOKUP($B$5,标准坦克设计!$B$24:$U$30,MATCH("对"&amp;LEFT($C$5,2)&amp;"输出",标准坦克设计!$B$23:$U$23,0)))*(VLOOKUP($B196,INDIRECT($B$5&amp;"生成成长"),3))*(VLOOKUP($B$5,标准坦克设计!$B$14:$K$20,9)/30))</f>
        <v>19.840759637593187</v>
      </c>
      <c r="DD196" s="172">
        <f ca="1">(VLOOKUP(DD$72,INDIRECT($C$5&amp;"生成成长"),2))/((VLOOKUP($B196,INDIRECT($B$5&amp;"生成成长"),4))/(VLOOKUP(DD$72,INDIRECT($C$5&amp;"生成成长"),5))*(VLOOKUP($B$5,标准坦克设计!$B$24:$U$30,MATCH("对"&amp;LEFT($C$5,2)&amp;"输出",标准坦克设计!$B$23:$U$23,0)))*(VLOOKUP($B196,INDIRECT($B$5&amp;"生成成长"),3))*(VLOOKUP($B$5,标准坦克设计!$B$14:$K$20,9)/30))</f>
        <v>21.055223953179301</v>
      </c>
      <c r="DE196" s="172">
        <f ca="1">(VLOOKUP(DE$72,INDIRECT($C$5&amp;"生成成长"),2))/((VLOOKUP($B196,INDIRECT($B$5&amp;"生成成长"),4))/(VLOOKUP(DE$72,INDIRECT($C$5&amp;"生成成长"),5))*(VLOOKUP($B$5,标准坦克设计!$B$24:$U$30,MATCH("对"&amp;LEFT($C$5,2)&amp;"输出",标准坦克设计!$B$23:$U$23,0)))*(VLOOKUP($B196,INDIRECT($B$5&amp;"生成成长"),3))*(VLOOKUP($B$5,标准坦克设计!$B$14:$K$20,9)/30))</f>
        <v>22.30576146625808</v>
      </c>
      <c r="DF196" s="172">
        <f ca="1">(VLOOKUP(DF$72,INDIRECT($C$5&amp;"生成成长"),2))/((VLOOKUP($B196,INDIRECT($B$5&amp;"生成成长"),4))/(VLOOKUP(DF$72,INDIRECT($C$5&amp;"生成成长"),5))*(VLOOKUP($B$5,标准坦克设计!$B$24:$U$30,MATCH("对"&amp;LEFT($C$5,2)&amp;"输出",标准坦克设计!$B$23:$U$23,0)))*(VLOOKUP($B196,INDIRECT($B$5&amp;"生成成长"),3))*(VLOOKUP($B$5,标准坦克设计!$B$14:$K$20,9)/30))</f>
        <v>23.592372176829514</v>
      </c>
      <c r="DG196" s="172">
        <f ca="1">(VLOOKUP(DG$72,INDIRECT($C$5&amp;"生成成长"),2))/((VLOOKUP($B196,INDIRECT($B$5&amp;"生成成长"),4))/(VLOOKUP(DG$72,INDIRECT($C$5&amp;"生成成长"),5))*(VLOOKUP($B$5,标准坦克设计!$B$24:$U$30,MATCH("对"&amp;LEFT($C$5,2)&amp;"输出",标准坦克设计!$B$23:$U$23,0)))*(VLOOKUP($B196,INDIRECT($B$5&amp;"生成成长"),3))*(VLOOKUP($B$5,标准坦克设计!$B$14:$K$20,9)/30))</f>
        <v>24.915056084893603</v>
      </c>
      <c r="DH196" s="172">
        <f ca="1">(VLOOKUP(DH$72,INDIRECT($C$5&amp;"生成成长"),2))/((VLOOKUP($B196,INDIRECT($B$5&amp;"生成成长"),4))/(VLOOKUP(DH$72,INDIRECT($C$5&amp;"生成成长"),5))*(VLOOKUP($B$5,标准坦克设计!$B$24:$U$30,MATCH("对"&amp;LEFT($C$5,2)&amp;"输出",标准坦克设计!$B$23:$U$23,0)))*(VLOOKUP($B196,INDIRECT($B$5&amp;"生成成长"),3))*(VLOOKUP($B$5,标准坦克设计!$B$14:$K$20,9)/30))</f>
        <v>26.273813190450355</v>
      </c>
      <c r="DI196" s="172">
        <f ca="1">(VLOOKUP(DI$72,INDIRECT($C$5&amp;"生成成长"),2))/((VLOOKUP($B196,INDIRECT($B$5&amp;"生成成长"),4))/(VLOOKUP(DI$72,INDIRECT($C$5&amp;"生成成长"),5))*(VLOOKUP($B$5,标准坦克设计!$B$24:$U$30,MATCH("对"&amp;LEFT($C$5,2)&amp;"输出",标准坦克设计!$B$23:$U$23,0)))*(VLOOKUP($B196,INDIRECT($B$5&amp;"生成成长"),3))*(VLOOKUP($B$5,标准坦克设计!$B$14:$K$20,9)/30))</f>
        <v>27.668643493499754</v>
      </c>
      <c r="DJ196" s="172">
        <f ca="1">(VLOOKUP(DJ$72,INDIRECT($C$5&amp;"生成成长"),2))/((VLOOKUP($B196,INDIRECT($B$5&amp;"生成成长"),4))/(VLOOKUP(DJ$72,INDIRECT($C$5&amp;"生成成长"),5))*(VLOOKUP($B$5,标准坦克设计!$B$24:$U$30,MATCH("对"&amp;LEFT($C$5,2)&amp;"输出",标准坦克设计!$B$23:$U$23,0)))*(VLOOKUP($B196,INDIRECT($B$5&amp;"生成成长"),3))*(VLOOKUP($B$5,标准坦克设计!$B$14:$K$20,9)/30))</f>
        <v>2.780767560883604</v>
      </c>
      <c r="DK196" s="172">
        <f ca="1">(VLOOKUP(DK$72,INDIRECT($C$5&amp;"生成成长"),2))/((VLOOKUP($B196,INDIRECT($B$5&amp;"生成成长"),4))/(VLOOKUP(DK$72,INDIRECT($C$5&amp;"生成成长"),5))*(VLOOKUP($B$5,标准坦克设计!$B$24:$U$30,MATCH("对"&amp;LEFT($C$5,2)&amp;"输出",标准坦克设计!$B$23:$U$23,0)))*(VLOOKUP($B196,INDIRECT($B$5&amp;"生成成长"),3))*(VLOOKUP($B$5,标准坦克设计!$B$14:$K$20,9)/30))</f>
        <v>3.1268447993287811</v>
      </c>
      <c r="DL196" s="172">
        <f ca="1">(VLOOKUP(DL$72,INDIRECT($C$5&amp;"生成成长"),2))/((VLOOKUP($B196,INDIRECT($B$5&amp;"生成成长"),4))/(VLOOKUP(DL$72,INDIRECT($C$5&amp;"生成成长"),5))*(VLOOKUP($B$5,标准坦克设计!$B$24:$U$30,MATCH("对"&amp;LEFT($C$5,2)&amp;"输出",标准坦克设计!$B$23:$U$23,0)))*(VLOOKUP($B196,INDIRECT($B$5&amp;"生成成长"),3))*(VLOOKUP($B$5,标准坦克设计!$B$14:$K$20,9)/30))</f>
        <v>3.493213211363579</v>
      </c>
      <c r="DM196" s="172">
        <f ca="1">(VLOOKUP(DM$72,INDIRECT($C$5&amp;"生成成长"),2))/((VLOOKUP($B196,INDIRECT($B$5&amp;"生成成长"),4))/(VLOOKUP(DM$72,INDIRECT($C$5&amp;"生成成长"),5))*(VLOOKUP($B$5,标准坦克设计!$B$24:$U$30,MATCH("对"&amp;LEFT($C$5,2)&amp;"输出",标准坦克设计!$B$23:$U$23,0)))*(VLOOKUP($B196,INDIRECT($B$5&amp;"生成成长"),3))*(VLOOKUP($B$5,标准坦克设计!$B$14:$K$20,9)/30))</f>
        <v>3.8798727969879958</v>
      </c>
      <c r="DN196" s="172">
        <f ca="1">(VLOOKUP(DN$72,INDIRECT($C$5&amp;"生成成长"),2))/((VLOOKUP($B196,INDIRECT($B$5&amp;"生成成长"),4))/(VLOOKUP(DN$72,INDIRECT($C$5&amp;"生成成长"),5))*(VLOOKUP($B$5,标准坦克设计!$B$24:$U$30,MATCH("对"&amp;LEFT($C$5,2)&amp;"输出",标准坦克设计!$B$23:$U$23,0)))*(VLOOKUP($B196,INDIRECT($B$5&amp;"生成成长"),3))*(VLOOKUP($B$5,标准坦克设计!$B$14:$K$20,9)/30))</f>
        <v>4.2868235562020329</v>
      </c>
      <c r="DO196" s="172">
        <f ca="1">(VLOOKUP(DO$72,INDIRECT($C$5&amp;"生成成长"),2))/((VLOOKUP($B196,INDIRECT($B$5&amp;"生成成长"),4))/(VLOOKUP(DO$72,INDIRECT($C$5&amp;"生成成长"),5))*(VLOOKUP($B$5,标准坦克设计!$B$24:$U$30,MATCH("对"&amp;LEFT($C$5,2)&amp;"输出",标准坦克设计!$B$23:$U$23,0)))*(VLOOKUP($B196,INDIRECT($B$5&amp;"生成成长"),3))*(VLOOKUP($B$5,标准坦克设计!$B$14:$K$20,9)/30))</f>
        <v>4.714065489005689</v>
      </c>
      <c r="DP196" s="172">
        <f ca="1">(VLOOKUP(DP$72,INDIRECT($C$5&amp;"生成成长"),2))/((VLOOKUP($B196,INDIRECT($B$5&amp;"生成成长"),4))/(VLOOKUP(DP$72,INDIRECT($C$5&amp;"生成成长"),5))*(VLOOKUP($B$5,标准坦克设计!$B$24:$U$30,MATCH("对"&amp;LEFT($C$5,2)&amp;"输出",标准坦克设计!$B$23:$U$23,0)))*(VLOOKUP($B196,INDIRECT($B$5&amp;"生成成长"),3))*(VLOOKUP($B$5,标准坦克设计!$B$14:$K$20,9)/30))</f>
        <v>5.1615985953989645</v>
      </c>
      <c r="DQ196" s="172">
        <f ca="1">(VLOOKUP(DQ$72,INDIRECT($C$5&amp;"生成成长"),2))/((VLOOKUP($B196,INDIRECT($B$5&amp;"生成成长"),4))/(VLOOKUP(DQ$72,INDIRECT($C$5&amp;"生成成长"),5))*(VLOOKUP($B$5,标准坦克设计!$B$24:$U$30,MATCH("对"&amp;LEFT($C$5,2)&amp;"输出",标准坦克设计!$B$23:$U$23,0)))*(VLOOKUP($B196,INDIRECT($B$5&amp;"生成成长"),3))*(VLOOKUP($B$5,标准坦克设计!$B$14:$K$20,9)/30))</f>
        <v>5.6294228753818603</v>
      </c>
      <c r="DR196" s="172">
        <f ca="1">(VLOOKUP(DR$72,INDIRECT($C$5&amp;"生成成长"),2))/((VLOOKUP($B196,INDIRECT($B$5&amp;"生成成长"),4))/(VLOOKUP(DR$72,INDIRECT($C$5&amp;"生成成长"),5))*(VLOOKUP($B$5,标准坦克设计!$B$24:$U$30,MATCH("对"&amp;LEFT($C$5,2)&amp;"输出",标准坦克设计!$B$23:$U$23,0)))*(VLOOKUP($B196,INDIRECT($B$5&amp;"生成成长"),3))*(VLOOKUP($B$5,标准坦克设计!$B$14:$K$20,9)/30))</f>
        <v>6.1175383289543754</v>
      </c>
      <c r="DS196" s="172">
        <f ca="1">(VLOOKUP(DS$72,INDIRECT($C$5&amp;"生成成长"),2))/((VLOOKUP($B196,INDIRECT($B$5&amp;"生成成长"),4))/(VLOOKUP(DS$72,INDIRECT($C$5&amp;"生成成长"),5))*(VLOOKUP($B$5,标准坦克设计!$B$24:$U$30,MATCH("对"&amp;LEFT($C$5,2)&amp;"输出",标准坦克设计!$B$23:$U$23,0)))*(VLOOKUP($B196,INDIRECT($B$5&amp;"生成成长"),3))*(VLOOKUP($B$5,标准坦克设计!$B$14:$K$20,9)/30))</f>
        <v>6.6259449561165091</v>
      </c>
      <c r="DT196" s="172">
        <f ca="1">(VLOOKUP(DT$72,INDIRECT($C$5&amp;"生成成长"),2))/((VLOOKUP($B196,INDIRECT($B$5&amp;"生成成长"),4))/(VLOOKUP(DT$72,INDIRECT($C$5&amp;"生成成长"),5))*(VLOOKUP($B$5,标准坦克设计!$B$24:$U$30,MATCH("对"&amp;LEFT($C$5,2)&amp;"输出",标准坦克设计!$B$23:$U$23,0)))*(VLOOKUP($B196,INDIRECT($B$5&amp;"生成成长"),3))*(VLOOKUP($B$5,标准坦克设计!$B$14:$K$20,9)/30))</f>
        <v>7.2748867485104531</v>
      </c>
      <c r="DU196" s="172">
        <f ca="1">(VLOOKUP(DU$72,INDIRECT($C$5&amp;"生成成长"),2))/((VLOOKUP($B196,INDIRECT($B$5&amp;"生成成长"),4))/(VLOOKUP(DU$72,INDIRECT($C$5&amp;"生成成长"),5))*(VLOOKUP($B$5,标准坦克设计!$B$24:$U$30,MATCH("对"&amp;LEFT($C$5,2)&amp;"输出",标准坦克设计!$B$23:$U$23,0)))*(VLOOKUP($B196,INDIRECT($B$5&amp;"生成成长"),3))*(VLOOKUP($B$5,标准坦克设计!$B$14:$K$20,9)/30))</f>
        <v>7.954140047130867</v>
      </c>
      <c r="DV196" s="172">
        <f ca="1">(VLOOKUP(DV$72,INDIRECT($C$5&amp;"生成成长"),2))/((VLOOKUP($B196,INDIRECT($B$5&amp;"生成成长"),4))/(VLOOKUP(DV$72,INDIRECT($C$5&amp;"生成成长"),5))*(VLOOKUP($B$5,标准坦克设计!$B$24:$U$30,MATCH("对"&amp;LEFT($C$5,2)&amp;"输出",标准坦克设计!$B$23:$U$23,0)))*(VLOOKUP($B196,INDIRECT($B$5&amp;"生成成长"),3))*(VLOOKUP($B$5,标准坦克设计!$B$14:$K$20,9)/30))</f>
        <v>8.6637048519777462</v>
      </c>
      <c r="DW196" s="172">
        <f ca="1">(VLOOKUP(DW$72,INDIRECT($C$5&amp;"生成成长"),2))/((VLOOKUP($B196,INDIRECT($B$5&amp;"生成成长"),4))/(VLOOKUP(DW$72,INDIRECT($C$5&amp;"生成成长"),5))*(VLOOKUP($B$5,标准坦克设计!$B$24:$U$30,MATCH("对"&amp;LEFT($C$5,2)&amp;"输出",标准坦克设计!$B$23:$U$23,0)))*(VLOOKUP($B196,INDIRECT($B$5&amp;"生成成长"),3))*(VLOOKUP($B$5,标准坦克设计!$B$14:$K$20,9)/30))</f>
        <v>9.4035811630510988</v>
      </c>
      <c r="DX196" s="172">
        <f ca="1">(VLOOKUP(DX$72,INDIRECT($C$5&amp;"生成成长"),2))/((VLOOKUP($B196,INDIRECT($B$5&amp;"生成成长"),4))/(VLOOKUP(DX$72,INDIRECT($C$5&amp;"生成成长"),5))*(VLOOKUP($B$5,标准坦克设计!$B$24:$U$30,MATCH("对"&amp;LEFT($C$5,2)&amp;"输出",标准坦克设计!$B$23:$U$23,0)))*(VLOOKUP($B196,INDIRECT($B$5&amp;"生成成长"),3))*(VLOOKUP($B$5,标准坦克设计!$B$14:$K$20,9)/30))</f>
        <v>10.173768980350916</v>
      </c>
      <c r="DY196" s="172">
        <f ca="1">(VLOOKUP(DY$72,INDIRECT($C$5&amp;"生成成长"),2))/((VLOOKUP($B196,INDIRECT($B$5&amp;"生成成长"),4))/(VLOOKUP(DY$72,INDIRECT($C$5&amp;"生成成长"),5))*(VLOOKUP($B$5,标准坦克设计!$B$24:$U$30,MATCH("对"&amp;LEFT($C$5,2)&amp;"输出",标准坦克设计!$B$23:$U$23,0)))*(VLOOKUP($B196,INDIRECT($B$5&amp;"生成成长"),3))*(VLOOKUP($B$5,标准坦克设计!$B$14:$K$20,9)/30))</f>
        <v>4.5693969365611791</v>
      </c>
      <c r="DZ196" s="172">
        <f ca="1">(VLOOKUP(DZ$72,INDIRECT($C$5&amp;"生成成长"),2))/((VLOOKUP($B196,INDIRECT($B$5&amp;"生成成长"),4))/(VLOOKUP(DZ$72,INDIRECT($C$5&amp;"生成成长"),5))*(VLOOKUP($B$5,标准坦克设计!$B$24:$U$30,MATCH("对"&amp;LEFT($C$5,2)&amp;"输出",标准坦克设计!$B$23:$U$23,0)))*(VLOOKUP($B196,INDIRECT($B$5&amp;"生成成长"),3))*(VLOOKUP($B$5,标准坦克设计!$B$14:$K$20,9)/30))</f>
        <v>5.0603932357667887</v>
      </c>
      <c r="EA196" s="172">
        <f ca="1">(VLOOKUP(EA$72,INDIRECT($C$5&amp;"生成成长"),2))/((VLOOKUP($B196,INDIRECT($B$5&amp;"生成成长"),4))/(VLOOKUP(EA$72,INDIRECT($C$5&amp;"生成成长"),5))*(VLOOKUP($B$5,标准坦克设计!$B$24:$U$30,MATCH("对"&amp;LEFT($C$5,2)&amp;"输出",标准坦克设计!$B$23:$U$23,0)))*(VLOOKUP($B196,INDIRECT($B$5&amp;"生成成长"),3))*(VLOOKUP($B$5,标准坦克设计!$B$14:$K$20,9)/30))</f>
        <v>5.5764403665645199</v>
      </c>
      <c r="EB196" s="172">
        <f ca="1">(VLOOKUP(EB$72,INDIRECT($C$5&amp;"生成成长"),2))/((VLOOKUP($B196,INDIRECT($B$5&amp;"生成成长"),4))/(VLOOKUP(EB$72,INDIRECT($C$5&amp;"生成成长"),5))*(VLOOKUP($B$5,标准坦克设计!$B$24:$U$30,MATCH("对"&amp;LEFT($C$5,2)&amp;"输出",标准坦克设计!$B$23:$U$23,0)))*(VLOOKUP($B196,INDIRECT($B$5&amp;"生成成长"),3))*(VLOOKUP($B$5,标准坦克设计!$B$14:$K$20,9)/30))</f>
        <v>6.1175383289543754</v>
      </c>
      <c r="EC196" s="172">
        <f ca="1">(VLOOKUP(EC$72,INDIRECT($C$5&amp;"生成成长"),2))/((VLOOKUP($B196,INDIRECT($B$5&amp;"生成成长"),4))/(VLOOKUP(EC$72,INDIRECT($C$5&amp;"生成成长"),5))*(VLOOKUP($B$5,标准坦克设计!$B$24:$U$30,MATCH("对"&amp;LEFT($C$5,2)&amp;"输出",标准坦克设计!$B$23:$U$23,0)))*(VLOOKUP($B196,INDIRECT($B$5&amp;"生成成长"),3))*(VLOOKUP($B$5,标准坦克设计!$B$14:$K$20,9)/30))</f>
        <v>6.6836871229363535</v>
      </c>
      <c r="ED196" s="172">
        <f ca="1">(VLOOKUP(ED$72,INDIRECT($C$5&amp;"生成成长"),2))/((VLOOKUP($B196,INDIRECT($B$5&amp;"生成成长"),4))/(VLOOKUP(ED$72,INDIRECT($C$5&amp;"生成成长"),5))*(VLOOKUP($B$5,标准坦克设计!$B$24:$U$30,MATCH("对"&amp;LEFT($C$5,2)&amp;"输出",标准坦克设计!$B$23:$U$23,0)))*(VLOOKUP($B196,INDIRECT($B$5&amp;"生成成长"),3))*(VLOOKUP($B$5,标准坦克设计!$B$14:$K$20,9)/30))</f>
        <v>7.2748867485104531</v>
      </c>
      <c r="EE196" s="172">
        <f ca="1">(VLOOKUP(EE$72,INDIRECT($C$5&amp;"生成成长"),2))/((VLOOKUP($B196,INDIRECT($B$5&amp;"生成成长"),4))/(VLOOKUP(EE$72,INDIRECT($C$5&amp;"生成成长"),5))*(VLOOKUP($B$5,标准坦克设计!$B$24:$U$30,MATCH("对"&amp;LEFT($C$5,2)&amp;"输出",标准坦克设计!$B$23:$U$23,0)))*(VLOOKUP($B196,INDIRECT($B$5&amp;"生成成长"),3))*(VLOOKUP($B$5,标准坦克设计!$B$14:$K$20,9)/30))</f>
        <v>7.8911372056766771</v>
      </c>
      <c r="EF196" s="172">
        <f ca="1">(VLOOKUP(EF$72,INDIRECT($C$5&amp;"生成成长"),2))/((VLOOKUP($B196,INDIRECT($B$5&amp;"生成成长"),4))/(VLOOKUP(EF$72,INDIRECT($C$5&amp;"生成成长"),5))*(VLOOKUP($B$5,标准坦克设计!$B$24:$U$30,MATCH("对"&amp;LEFT($C$5,2)&amp;"输出",标准坦克设计!$B$23:$U$23,0)))*(VLOOKUP($B196,INDIRECT($B$5&amp;"生成成长"),3))*(VLOOKUP($B$5,标准坦克设计!$B$14:$K$20,9)/30))</f>
        <v>8.5324384944350236</v>
      </c>
      <c r="EG196" s="172">
        <f ca="1">(VLOOKUP(EG$72,INDIRECT($C$5&amp;"生成成长"),2))/((VLOOKUP($B196,INDIRECT($B$5&amp;"生成成长"),4))/(VLOOKUP(EG$72,INDIRECT($C$5&amp;"生成成长"),5))*(VLOOKUP($B$5,标准坦克设计!$B$24:$U$30,MATCH("对"&amp;LEFT($C$5,2)&amp;"输出",标准坦克设计!$B$23:$U$23,0)))*(VLOOKUP($B196,INDIRECT($B$5&amp;"生成成长"),3))*(VLOOKUP($B$5,标准坦克设计!$B$14:$K$20,9)/30))</f>
        <v>9.1987906147854925</v>
      </c>
      <c r="EH196" s="172">
        <f ca="1">(VLOOKUP(EH$72,INDIRECT($C$5&amp;"生成成长"),2))/((VLOOKUP($B196,INDIRECT($B$5&amp;"生成成长"),4))/(VLOOKUP(EH$72,INDIRECT($C$5&amp;"生成成长"),5))*(VLOOKUP($B$5,标准坦克设计!$B$24:$U$30,MATCH("对"&amp;LEFT($C$5,2)&amp;"输出",标准坦克设计!$B$23:$U$23,0)))*(VLOOKUP($B196,INDIRECT($B$5&amp;"生成成长"),3))*(VLOOKUP($B$5,标准坦克设计!$B$14:$K$20,9)/30))</f>
        <v>9.8901935667280849</v>
      </c>
      <c r="EI196" s="172">
        <f ca="1">(VLOOKUP(EI$72,INDIRECT($C$5&amp;"生成成长"),2))/((VLOOKUP($B196,INDIRECT($B$5&amp;"生成成长"),4))/(VLOOKUP(EI$72,INDIRECT($C$5&amp;"生成成长"),5))*(VLOOKUP($B$5,标准坦克设计!$B$24:$U$30,MATCH("对"&amp;LEFT($C$5,2)&amp;"输出",标准坦克设计!$B$23:$U$23,0)))*(VLOOKUP($B196,INDIRECT($B$5&amp;"生成成长"),3))*(VLOOKUP($B$5,标准坦克设计!$B$14:$K$20,9)/30))</f>
        <v>10.606647350262799</v>
      </c>
      <c r="EJ196" s="172">
        <f ca="1">(VLOOKUP(EJ$72,INDIRECT($C$5&amp;"生成成长"),2))/((VLOOKUP($B196,INDIRECT($B$5&amp;"生成成长"),4))/(VLOOKUP(EJ$72,INDIRECT($C$5&amp;"生成成长"),5))*(VLOOKUP($B$5,标准坦克设计!$B$24:$U$30,MATCH("对"&amp;LEFT($C$5,2)&amp;"输出",标准坦克设计!$B$23:$U$23,0)))*(VLOOKUP($B196,INDIRECT($B$5&amp;"生成成长"),3))*(VLOOKUP($B$5,标准坦克设计!$B$14:$K$20,9)/30))</f>
        <v>11.34815196538964</v>
      </c>
      <c r="EK196" s="172">
        <f ca="1">(VLOOKUP(EK$72,INDIRECT($C$5&amp;"生成成长"),2))/((VLOOKUP($B196,INDIRECT($B$5&amp;"生成成长"),4))/(VLOOKUP(EK$72,INDIRECT($C$5&amp;"生成成长"),5))*(VLOOKUP($B$5,标准坦克设计!$B$24:$U$30,MATCH("对"&amp;LEFT($C$5,2)&amp;"输出",标准坦克设计!$B$23:$U$23,0)))*(VLOOKUP($B196,INDIRECT($B$5&amp;"生成成长"),3))*(VLOOKUP($B$5,标准坦克设计!$B$14:$K$20,9)/30))</f>
        <v>12.271024601243445</v>
      </c>
      <c r="EL196" s="172">
        <f ca="1">(VLOOKUP(EL$72,INDIRECT($C$5&amp;"生成成长"),2))/((VLOOKUP($B196,INDIRECT($B$5&amp;"生成成长"),4))/(VLOOKUP(EL$72,INDIRECT($C$5&amp;"生成成长"),5))*(VLOOKUP($B$5,标准坦克设计!$B$24:$U$30,MATCH("对"&amp;LEFT($C$5,2)&amp;"输出",标准坦克设计!$B$23:$U$23,0)))*(VLOOKUP($B196,INDIRECT($B$5&amp;"生成成长"),3))*(VLOOKUP($B$5,标准坦克设计!$B$14:$K$20,9)/30))</f>
        <v>13.229970434589911</v>
      </c>
      <c r="EM196" s="172">
        <f ca="1">(VLOOKUP(EM$72,INDIRECT($C$5&amp;"生成成长"),2))/((VLOOKUP($B196,INDIRECT($B$5&amp;"生成成长"),4))/(VLOOKUP(EM$72,INDIRECT($C$5&amp;"生成成长"),5))*(VLOOKUP($B$5,标准坦克设计!$B$24:$U$30,MATCH("对"&amp;LEFT($C$5,2)&amp;"输出",标准坦克设计!$B$23:$U$23,0)))*(VLOOKUP($B196,INDIRECT($B$5&amp;"生成成长"),3))*(VLOOKUP($B$5,标准坦克设计!$B$14:$K$20,9)/30))</f>
        <v>14.224989465429035</v>
      </c>
      <c r="EN196" s="172">
        <f ca="1">(VLOOKUP(EN$72,INDIRECT($C$5&amp;"生成成长"),2))/((VLOOKUP($B196,INDIRECT($B$5&amp;"生成成长"),4))/(VLOOKUP(EN$72,INDIRECT($C$5&amp;"生成成长"),5))*(VLOOKUP($B$5,标准坦克设计!$B$24:$U$30,MATCH("对"&amp;LEFT($C$5,2)&amp;"输出",标准坦克设计!$B$23:$U$23,0)))*(VLOOKUP($B196,INDIRECT($B$5&amp;"生成成长"),3))*(VLOOKUP($B$5,标准坦克设计!$B$14:$K$20,9)/30))</f>
        <v>15.256081693760811</v>
      </c>
      <c r="EO196" s="172">
        <f ca="1">(VLOOKUP(EO$72,INDIRECT($C$5&amp;"生成成长"),2))/((VLOOKUP($B196,INDIRECT($B$5&amp;"生成成长"),4))/(VLOOKUP(EO$72,INDIRECT($C$5&amp;"生成成长"),5))*(VLOOKUP($B$5,标准坦克设计!$B$24:$U$30,MATCH("对"&amp;LEFT($C$5,2)&amp;"输出",标准坦克设计!$B$23:$U$23,0)))*(VLOOKUP($B196,INDIRECT($B$5&amp;"生成成长"),3))*(VLOOKUP($B$5,标准坦克设计!$B$14:$K$20,9)/30))</f>
        <v>16.323247119585247</v>
      </c>
      <c r="EP196" s="172">
        <f ca="1">(VLOOKUP(EP$72,INDIRECT($C$5&amp;"生成成长"),2))/((VLOOKUP($B196,INDIRECT($B$5&amp;"生成成长"),4))/(VLOOKUP(EP$72,INDIRECT($C$5&amp;"生成成长"),5))*(VLOOKUP($B$5,标准坦克设计!$B$24:$U$30,MATCH("对"&amp;LEFT($C$5,2)&amp;"输出",标准坦克设计!$B$23:$U$23,0)))*(VLOOKUP($B196,INDIRECT($B$5&amp;"生成成长"),3))*(VLOOKUP($B$5,标准坦克设计!$B$14:$K$20,9)/30))</f>
        <v>17.426485742902337</v>
      </c>
      <c r="EQ196" s="172">
        <f ca="1">(VLOOKUP(EQ$72,INDIRECT($C$5&amp;"生成成长"),2))/((VLOOKUP($B196,INDIRECT($B$5&amp;"生成成长"),4))/(VLOOKUP(EQ$72,INDIRECT($C$5&amp;"生成成长"),5))*(VLOOKUP($B$5,标准坦克设计!$B$24:$U$30,MATCH("对"&amp;LEFT($C$5,2)&amp;"输出",标准坦克设计!$B$23:$U$23,0)))*(VLOOKUP($B196,INDIRECT($B$5&amp;"生成成长"),3))*(VLOOKUP($B$5,标准坦克设计!$B$14:$K$20,9)/30))</f>
        <v>7.7036317312096365</v>
      </c>
      <c r="ER196" s="172">
        <f ca="1">(VLOOKUP(ER$72,INDIRECT($C$5&amp;"生成成长"),2))/((VLOOKUP($B196,INDIRECT($B$5&amp;"生成成长"),4))/(VLOOKUP(ER$72,INDIRECT($C$5&amp;"生成成长"),5))*(VLOOKUP($B$5,标准坦克设计!$B$24:$U$30,MATCH("对"&amp;LEFT($C$5,2)&amp;"输出",标准坦克设计!$B$23:$U$23,0)))*(VLOOKUP($B196,INDIRECT($B$5&amp;"生成成长"),3))*(VLOOKUP($B$5,标准坦克设计!$B$14:$K$20,9)/30))</f>
        <v>8.402174170155984</v>
      </c>
      <c r="ES196" s="172">
        <f ca="1">(VLOOKUP(ES$72,INDIRECT($C$5&amp;"生成成长"),2))/((VLOOKUP($B196,INDIRECT($B$5&amp;"生成成长"),4))/(VLOOKUP(ES$72,INDIRECT($C$5&amp;"生成成长"),5))*(VLOOKUP($B$5,标准坦克设计!$B$24:$U$30,MATCH("对"&amp;LEFT($C$5,2)&amp;"输出",标准坦克设计!$B$23:$U$23,0)))*(VLOOKUP($B196,INDIRECT($B$5&amp;"生成成长"),3))*(VLOOKUP($B$5,标准坦克设计!$B$14:$K$20,9)/30))</f>
        <v>9.1310281153287995</v>
      </c>
      <c r="ET196" s="172">
        <f ca="1">(VLOOKUP(ET$72,INDIRECT($C$5&amp;"生成成长"),2))/((VLOOKUP($B196,INDIRECT($B$5&amp;"生成成长"),4))/(VLOOKUP(ET$72,INDIRECT($C$5&amp;"生成成长"),5))*(VLOOKUP($B$5,标准坦克设计!$B$24:$U$30,MATCH("对"&amp;LEFT($C$5,2)&amp;"输出",标准坦克设计!$B$23:$U$23,0)))*(VLOOKUP($B196,INDIRECT($B$5&amp;"生成成长"),3))*(VLOOKUP($B$5,标准坦克设计!$B$14:$K$20,9)/30))</f>
        <v>9.8901935667280849</v>
      </c>
      <c r="EU196" s="172">
        <f ca="1">(VLOOKUP(EU$72,INDIRECT($C$5&amp;"生成成长"),2))/((VLOOKUP($B196,INDIRECT($B$5&amp;"生成成长"),4))/(VLOOKUP(EU$72,INDIRECT($C$5&amp;"生成成长"),5))*(VLOOKUP($B$5,标准坦克设计!$B$24:$U$30,MATCH("对"&amp;LEFT($C$5,2)&amp;"输出",标准坦克设计!$B$23:$U$23,0)))*(VLOOKUP($B196,INDIRECT($B$5&amp;"生成成长"),3))*(VLOOKUP($B$5,标准坦克设计!$B$14:$K$20,9)/30))</f>
        <v>10.679670524353837</v>
      </c>
      <c r="EV196" s="172">
        <f ca="1">(VLOOKUP(EV$72,INDIRECT($C$5&amp;"生成成长"),2))/((VLOOKUP($B196,INDIRECT($B$5&amp;"生成成长"),4))/(VLOOKUP(EV$72,INDIRECT($C$5&amp;"生成成长"),5))*(VLOOKUP($B$5,标准坦克设计!$B$24:$U$30,MATCH("对"&amp;LEFT($C$5,2)&amp;"输出",标准坦克设计!$B$23:$U$23,0)))*(VLOOKUP($B196,INDIRECT($B$5&amp;"生成成长"),3))*(VLOOKUP($B$5,标准坦克设计!$B$14:$K$20,9)/30))</f>
        <v>11.499458988206062</v>
      </c>
      <c r="EW196" s="172">
        <f ca="1">(VLOOKUP(EW$72,INDIRECT($C$5&amp;"生成成长"),2))/((VLOOKUP($B196,INDIRECT($B$5&amp;"生成成长"),4))/(VLOOKUP(EW$72,INDIRECT($C$5&amp;"生成成长"),5))*(VLOOKUP($B$5,标准坦克设计!$B$24:$U$30,MATCH("对"&amp;LEFT($C$5,2)&amp;"输出",标准坦克设计!$B$23:$U$23,0)))*(VLOOKUP($B196,INDIRECT($B$5&amp;"生成成长"),3))*(VLOOKUP($B$5,标准坦克设计!$B$14:$K$20,9)/30))</f>
        <v>12.349558958284751</v>
      </c>
      <c r="EX196" s="172">
        <f ca="1">(VLOOKUP(EX$72,INDIRECT($C$5&amp;"生成成长"),2))/((VLOOKUP($B196,INDIRECT($B$5&amp;"生成成长"),4))/(VLOOKUP(EX$72,INDIRECT($C$5&amp;"生成成长"),5))*(VLOOKUP($B$5,标准坦克设计!$B$24:$U$30,MATCH("对"&amp;LEFT($C$5,2)&amp;"输出",标准坦克设计!$B$23:$U$23,0)))*(VLOOKUP($B196,INDIRECT($B$5&amp;"生成成长"),3))*(VLOOKUP($B$5,标准坦克设计!$B$14:$K$20,9)/30))</f>
        <v>13.229970434589911</v>
      </c>
      <c r="EY196" s="172">
        <f ca="1">(VLOOKUP(EY$72,INDIRECT($C$5&amp;"生成成长"),2))/((VLOOKUP($B196,INDIRECT($B$5&amp;"生成成长"),4))/(VLOOKUP(EY$72,INDIRECT($C$5&amp;"生成成长"),5))*(VLOOKUP($B$5,标准坦克设计!$B$24:$U$30,MATCH("对"&amp;LEFT($C$5,2)&amp;"输出",标准坦克设计!$B$23:$U$23,0)))*(VLOOKUP($B196,INDIRECT($B$5&amp;"生成成长"),3))*(VLOOKUP($B$5,标准坦克设计!$B$14:$K$20,9)/30))</f>
        <v>14.14069341712154</v>
      </c>
      <c r="EZ196" s="172">
        <f ca="1">(VLOOKUP(EZ$72,INDIRECT($C$5&amp;"生成成长"),2))/((VLOOKUP($B196,INDIRECT($B$5&amp;"生成成长"),4))/(VLOOKUP(EZ$72,INDIRECT($C$5&amp;"生成成长"),5))*(VLOOKUP($B$5,标准坦克设计!$B$24:$U$30,MATCH("对"&amp;LEFT($C$5,2)&amp;"输出",标准坦克设计!$B$23:$U$23,0)))*(VLOOKUP($B196,INDIRECT($B$5&amp;"生成成长"),3))*(VLOOKUP($B$5,标准坦克设计!$B$14:$K$20,9)/30))</f>
        <v>15.081727905879637</v>
      </c>
      <c r="FA196" s="172">
        <f ca="1">(VLOOKUP(FA$72,INDIRECT($C$5&amp;"生成成长"),2))/((VLOOKUP($B196,INDIRECT($B$5&amp;"生成成长"),4))/(VLOOKUP(FA$72,INDIRECT($C$5&amp;"生成成长"),5))*(VLOOKUP($B$5,标准坦克设计!$B$24:$U$30,MATCH("对"&amp;LEFT($C$5,2)&amp;"输出",标准坦克设计!$B$23:$U$23,0)))*(VLOOKUP($B196,INDIRECT($B$5&amp;"生成成长"),3))*(VLOOKUP($B$5,标准坦克设计!$B$14:$K$20,9)/30))</f>
        <v>16.053073900864202</v>
      </c>
      <c r="FB196" s="172">
        <f ca="1">(VLOOKUP(FB$72,INDIRECT($C$5&amp;"生成成长"),2))/((VLOOKUP($B196,INDIRECT($B$5&amp;"生成成长"),4))/(VLOOKUP(FB$72,INDIRECT($C$5&amp;"生成成长"),5))*(VLOOKUP($B$5,标准坦克设计!$B$24:$U$30,MATCH("对"&amp;LEFT($C$5,2)&amp;"输出",标准坦克设计!$B$23:$U$23,0)))*(VLOOKUP($B196,INDIRECT($B$5&amp;"生成成长"),3))*(VLOOKUP($B$5,标准坦克设计!$B$14:$K$20,9)/30))</f>
        <v>17.054731402075234</v>
      </c>
      <c r="FC196" s="172">
        <f ca="1">(VLOOKUP(FC$72,INDIRECT($C$5&amp;"生成成长"),2))/((VLOOKUP($B196,INDIRECT($B$5&amp;"生成成长"),4))/(VLOOKUP(FC$72,INDIRECT($C$5&amp;"生成成长"),5))*(VLOOKUP($B$5,标准坦克设计!$B$24:$U$30,MATCH("对"&amp;LEFT($C$5,2)&amp;"输出",标准坦克设计!$B$23:$U$23,0)))*(VLOOKUP($B196,INDIRECT($B$5&amp;"生成成长"),3))*(VLOOKUP($B$5,标准坦克设计!$B$14:$K$20,9)/30))</f>
        <v>18.086700409512741</v>
      </c>
      <c r="FD196" s="172">
        <f ca="1">(VLOOKUP(FD$72,INDIRECT($C$5&amp;"生成成长"),2))/((VLOOKUP($B196,INDIRECT($B$5&amp;"生成成长"),4))/(VLOOKUP(FD$72,INDIRECT($C$5&amp;"生成成长"),5))*(VLOOKUP($B$5,标准坦克设计!$B$24:$U$30,MATCH("对"&amp;LEFT($C$5,2)&amp;"输出",标准坦克设计!$B$23:$U$23,0)))*(VLOOKUP($B196,INDIRECT($B$5&amp;"生成成长"),3))*(VLOOKUP($B$5,标准坦克设计!$B$14:$K$20,9)/30))</f>
        <v>19.148980923176712</v>
      </c>
      <c r="FE196" s="172">
        <f ca="1">(VLOOKUP(FE$72,INDIRECT($C$5&amp;"生成成长"),2))/((VLOOKUP($B196,INDIRECT($B$5&amp;"生成成长"),4))/(VLOOKUP(FE$72,INDIRECT($C$5&amp;"生成成长"),5))*(VLOOKUP($B$5,标准坦克设计!$B$24:$U$30,MATCH("对"&amp;LEFT($C$5,2)&amp;"输出",标准坦克设计!$B$23:$U$23,0)))*(VLOOKUP($B196,INDIRECT($B$5&amp;"生成成长"),3))*(VLOOKUP($B$5,标准坦克设计!$B$14:$K$20,9)/30))</f>
        <v>20.44348264569966</v>
      </c>
      <c r="FF196" s="172">
        <f ca="1">(VLOOKUP(FF$72,INDIRECT($C$5&amp;"生成成长"),2))/((VLOOKUP($B196,INDIRECT($B$5&amp;"生成成长"),4))/(VLOOKUP(FF$72,INDIRECT($C$5&amp;"生成成长"),5))*(VLOOKUP($B$5,标准坦克设计!$B$24:$U$30,MATCH("对"&amp;LEFT($C$5,2)&amp;"输出",标准坦克设计!$B$23:$U$23,0)))*(VLOOKUP($B196,INDIRECT($B$5&amp;"生成成长"),3))*(VLOOKUP($B$5,标准坦克设计!$B$14:$K$20,9)/30))</f>
        <v>21.780320273613302</v>
      </c>
      <c r="FG196" s="172">
        <f ca="1">(VLOOKUP(FG$72,INDIRECT($C$5&amp;"生成成长"),2))/((VLOOKUP($B196,INDIRECT($B$5&amp;"生成成长"),4))/(VLOOKUP(FG$72,INDIRECT($C$5&amp;"生成成长"),5))*(VLOOKUP($B$5,标准坦克设计!$B$24:$U$30,MATCH("对"&amp;LEFT($C$5,2)&amp;"输出",标准坦克设计!$B$23:$U$23,0)))*(VLOOKUP($B196,INDIRECT($B$5&amp;"生成成长"),3))*(VLOOKUP($B$5,标准坦克设计!$B$14:$K$20,9)/30))</f>
        <v>23.159493806917631</v>
      </c>
      <c r="FH196" s="172">
        <f ca="1">(VLOOKUP(FH$72,INDIRECT($C$5&amp;"生成成长"),2))/((VLOOKUP($B196,INDIRECT($B$5&amp;"生成成长"),4))/(VLOOKUP(FH$72,INDIRECT($C$5&amp;"生成成长"),5))*(VLOOKUP($B$5,标准坦克设计!$B$24:$U$30,MATCH("对"&amp;LEFT($C$5,2)&amp;"输出",标准坦克设计!$B$23:$U$23,0)))*(VLOOKUP($B196,INDIRECT($B$5&amp;"生成成长"),3))*(VLOOKUP($B$5,标准坦克设计!$B$14:$K$20,9)/30))</f>
        <v>24.581003245612642</v>
      </c>
      <c r="FI196" s="172">
        <f ca="1">(VLOOKUP(FI$72,INDIRECT($C$5&amp;"生成成长"),2))/((VLOOKUP($B196,INDIRECT($B$5&amp;"生成成长"),4))/(VLOOKUP(FI$72,INDIRECT($C$5&amp;"生成成长"),5))*(VLOOKUP($B$5,标准坦克设计!$B$24:$U$30,MATCH("对"&amp;LEFT($C$5,2)&amp;"输出",标准坦克设计!$B$23:$U$23,0)))*(VLOOKUP($B196,INDIRECT($B$5&amp;"生成成长"),3))*(VLOOKUP($B$5,标准坦克设计!$B$14:$K$20,9)/30))</f>
        <v>26.044848589698347</v>
      </c>
      <c r="FJ196" s="172">
        <f ca="1">(VLOOKUP(FJ$72,INDIRECT($C$5&amp;"生成成长"),2))/((VLOOKUP($B196,INDIRECT($B$5&amp;"生成成长"),4))/(VLOOKUP(FJ$72,INDIRECT($C$5&amp;"生成成长"),5))*(VLOOKUP($B$5,标准坦克设计!$B$24:$U$30,MATCH("对"&amp;LEFT($C$5,2)&amp;"输出",标准坦克设计!$B$23:$U$23,0)))*(VLOOKUP($B196,INDIRECT($B$5&amp;"生成成长"),3))*(VLOOKUP($B$5,标准坦克设计!$B$14:$K$20,9)/30))</f>
        <v>27.551029839174731</v>
      </c>
      <c r="FK196" s="172">
        <f ca="1">(VLOOKUP(FK$72,INDIRECT($C$5&amp;"生成成长"),2))/((VLOOKUP($B196,INDIRECT($B$5&amp;"生成成长"),4))/(VLOOKUP(FK$72,INDIRECT($C$5&amp;"生成成长"),5))*(VLOOKUP($B$5,标准坦克设计!$B$24:$U$30,MATCH("对"&amp;LEFT($C$5,2)&amp;"输出",标准坦克设计!$B$23:$U$23,0)))*(VLOOKUP($B196,INDIRECT($B$5&amp;"生成成长"),3))*(VLOOKUP($B$5,标准坦克设计!$B$14:$K$20,9)/30))</f>
        <v>29.099546994041813</v>
      </c>
    </row>
    <row r="197" spans="1:167" x14ac:dyDescent="0.15">
      <c r="A197" s="170" t="str">
        <f t="shared" si="12"/>
        <v>T3高品质14级</v>
      </c>
      <c r="B197" s="171">
        <v>30314</v>
      </c>
      <c r="C197" s="172">
        <f ca="1">(VLOOKUP(C$72,INDIRECT($C$5&amp;"生成成长"),2))/((VLOOKUP($B197,INDIRECT($B$5&amp;"生成成长"),4))/(VLOOKUP(C$72,INDIRECT($C$5&amp;"生成成长"),5))*(VLOOKUP($B$5,标准坦克设计!$B$24:$U$30,MATCH("对"&amp;LEFT($C$5,2)&amp;"输出",标准坦克设计!$B$23:$U$23,0)))*(VLOOKUP($B197,INDIRECT($B$5&amp;"生成成长"),3))*(VLOOKUP($B$5,标准坦克设计!$B$14:$K$20,9)/30))</f>
        <v>1.1567935612301312</v>
      </c>
      <c r="D197" s="172">
        <f ca="1">(VLOOKUP(D$72,INDIRECT($C$5&amp;"生成成长"),2))/((VLOOKUP($B197,INDIRECT($B$5&amp;"生成成长"),4))/(VLOOKUP(D$72,INDIRECT($C$5&amp;"生成成长"),5))*(VLOOKUP($B$5,标准坦克设计!$B$24:$U$30,MATCH("对"&amp;LEFT($C$5,2)&amp;"输出",标准坦克设计!$B$23:$U$23,0)))*(VLOOKUP($B197,INDIRECT($B$5&amp;"生成成长"),3))*(VLOOKUP($B$5,标准坦克设计!$B$14:$K$20,9)/30))</f>
        <v>1.2997732453981754</v>
      </c>
      <c r="E197" s="172">
        <f ca="1">(VLOOKUP(E$72,INDIRECT($C$5&amp;"生成成长"),2))/((VLOOKUP($B197,INDIRECT($B$5&amp;"生成成长"),4))/(VLOOKUP(E$72,INDIRECT($C$5&amp;"生成成长"),5))*(VLOOKUP($B$5,标准坦克设计!$B$24:$U$30,MATCH("对"&amp;LEFT($C$5,2)&amp;"输出",标准坦克设计!$B$23:$U$23,0)))*(VLOOKUP($B197,INDIRECT($B$5&amp;"生成成长"),3))*(VLOOKUP($B$5,标准坦克设计!$B$14:$K$20,9)/30))</f>
        <v>1.4510818432070764</v>
      </c>
      <c r="F197" s="172">
        <f ca="1">(VLOOKUP(F$72,INDIRECT($C$5&amp;"生成成长"),2))/((VLOOKUP($B197,INDIRECT($B$5&amp;"生成成长"),4))/(VLOOKUP(F$72,INDIRECT($C$5&amp;"生成成长"),5))*(VLOOKUP($B$5,标准坦克设计!$B$24:$U$30,MATCH("对"&amp;LEFT($C$5,2)&amp;"输出",标准坦克设计!$B$23:$U$23,0)))*(VLOOKUP($B197,INDIRECT($B$5&amp;"生成成长"),3))*(VLOOKUP($B$5,标准坦克设计!$B$14:$K$20,9)/30))</f>
        <v>1.6107193546568348</v>
      </c>
      <c r="G197" s="172">
        <f ca="1">(VLOOKUP(G$72,INDIRECT($C$5&amp;"生成成长"),2))/((VLOOKUP($B197,INDIRECT($B$5&amp;"生成成长"),4))/(VLOOKUP(G$72,INDIRECT($C$5&amp;"生成成长"),5))*(VLOOKUP($B$5,标准坦克设计!$B$24:$U$30,MATCH("对"&amp;LEFT($C$5,2)&amp;"输出",标准坦克设计!$B$23:$U$23,0)))*(VLOOKUP($B197,INDIRECT($B$5&amp;"生成成长"),3))*(VLOOKUP($B$5,标准坦克设计!$B$14:$K$20,9)/30))</f>
        <v>1.7786857797474498</v>
      </c>
      <c r="H197" s="172">
        <f ca="1">(VLOOKUP(H$72,INDIRECT($C$5&amp;"生成成长"),2))/((VLOOKUP($B197,INDIRECT($B$5&amp;"生成成长"),4))/(VLOOKUP(H$72,INDIRECT($C$5&amp;"生成成长"),5))*(VLOOKUP($B$5,标准坦克设计!$B$24:$U$30,MATCH("对"&amp;LEFT($C$5,2)&amp;"输出",标准坦克设计!$B$23:$U$23,0)))*(VLOOKUP($B197,INDIRECT($B$5&amp;"生成成长"),3))*(VLOOKUP($B$5,标准坦克设计!$B$14:$K$20,9)/30))</f>
        <v>1.5565814159912648</v>
      </c>
      <c r="I197" s="172">
        <f ca="1">(VLOOKUP(I$72,INDIRECT($C$5&amp;"生成成长"),2))/((VLOOKUP($B197,INDIRECT($B$5&amp;"生成成长"),4))/(VLOOKUP(I$72,INDIRECT($C$5&amp;"生成成长"),5))*(VLOOKUP($B$5,标准坦克设计!$B$24:$U$30,MATCH("对"&amp;LEFT($C$5,2)&amp;"输出",标准坦克设计!$B$23:$U$23,0)))*(VLOOKUP($B197,INDIRECT($B$5&amp;"生成成长"),3))*(VLOOKUP($B$5,标准坦克设计!$B$14:$K$20,9)/30))</f>
        <v>1.7786857797474498</v>
      </c>
      <c r="J197" s="172">
        <f ca="1">(VLOOKUP(J$72,INDIRECT($C$5&amp;"生成成长"),2))/((VLOOKUP($B197,INDIRECT($B$5&amp;"生成成长"),4))/(VLOOKUP(J$72,INDIRECT($C$5&amp;"生成成长"),5))*(VLOOKUP($B$5,标准坦克设计!$B$24:$U$30,MATCH("对"&amp;LEFT($C$5,2)&amp;"输出",标准坦克设计!$B$23:$U$23,0)))*(VLOOKUP($B197,INDIRECT($B$5&amp;"生成成长"),3))*(VLOOKUP($B$5,标准坦克设计!$B$14:$K$20,9)/30))</f>
        <v>2.0155971010873808</v>
      </c>
      <c r="K197" s="172">
        <f ca="1">(VLOOKUP(K$72,INDIRECT($C$5&amp;"生成成长"),2))/((VLOOKUP($B197,INDIRECT($B$5&amp;"生成成长"),4))/(VLOOKUP(K$72,INDIRECT($C$5&amp;"生成成长"),5))*(VLOOKUP($B$5,标准坦克设计!$B$24:$U$30,MATCH("对"&amp;LEFT($C$5,2)&amp;"输出",标准坦克设计!$B$23:$U$23,0)))*(VLOOKUP($B197,INDIRECT($B$5&amp;"生成成长"),3))*(VLOOKUP($B$5,标准坦克设计!$B$14:$K$20,9)/30))</f>
        <v>2.2673153800110573</v>
      </c>
      <c r="L197" s="172">
        <f ca="1">(VLOOKUP(L$72,INDIRECT($C$5&amp;"生成成长"),2))/((VLOOKUP($B197,INDIRECT($B$5&amp;"生成成长"),4))/(VLOOKUP(L$72,INDIRECT($C$5&amp;"生成成长"),5))*(VLOOKUP($B$5,标准坦克设计!$B$24:$U$30,MATCH("对"&amp;LEFT($C$5,2)&amp;"输出",标准坦克设计!$B$23:$U$23,0)))*(VLOOKUP($B197,INDIRECT($B$5&amp;"生成成长"),3))*(VLOOKUP($B$5,标准坦克设计!$B$14:$K$20,9)/30))</f>
        <v>2.5338406165184795</v>
      </c>
      <c r="M197" s="172">
        <f ca="1">(VLOOKUP(M$72,INDIRECT($C$5&amp;"生成成长"),2))/((VLOOKUP($B197,INDIRECT($B$5&amp;"生成成长"),4))/(VLOOKUP(M$72,INDIRECT($C$5&amp;"生成成长"),5))*(VLOOKUP($B$5,标准坦克设计!$B$24:$U$30,MATCH("对"&amp;LEFT($C$5,2)&amp;"输出",标准坦克设计!$B$23:$U$23,0)))*(VLOOKUP($B197,INDIRECT($B$5&amp;"生成成长"),3))*(VLOOKUP($B$5,标准坦克设计!$B$14:$K$20,9)/30))</f>
        <v>2.8151728106096479</v>
      </c>
      <c r="N197" s="172">
        <f ca="1">(VLOOKUP(N$72,INDIRECT($C$5&amp;"生成成长"),2))/((VLOOKUP($B197,INDIRECT($B$5&amp;"生成成长"),4))/(VLOOKUP(N$72,INDIRECT($C$5&amp;"生成成长"),5))*(VLOOKUP($B$5,标准坦克设计!$B$24:$U$30,MATCH("对"&amp;LEFT($C$5,2)&amp;"输出",标准坦克设计!$B$23:$U$23,0)))*(VLOOKUP($B197,INDIRECT($B$5&amp;"生成成长"),3))*(VLOOKUP($B$5,标准坦克设计!$B$14:$K$20,9)/30))</f>
        <v>3.1113119622845615</v>
      </c>
      <c r="O197" s="172">
        <f ca="1">(VLOOKUP(O$72,INDIRECT($C$5&amp;"生成成长"),2))/((VLOOKUP($B197,INDIRECT($B$5&amp;"生成成长"),4))/(VLOOKUP(O$72,INDIRECT($C$5&amp;"生成成长"),5))*(VLOOKUP($B$5,标准坦克设计!$B$24:$U$30,MATCH("对"&amp;LEFT($C$5,2)&amp;"输出",标准坦克设计!$B$23:$U$23,0)))*(VLOOKUP($B197,INDIRECT($B$5&amp;"生成成长"),3))*(VLOOKUP($B$5,标准坦克设计!$B$14:$K$20,9)/30))</f>
        <v>2.365527153359495</v>
      </c>
      <c r="P197" s="172">
        <f ca="1">(VLOOKUP(P$72,INDIRECT($C$5&amp;"生成成长"),2))/((VLOOKUP($B197,INDIRECT($B$5&amp;"生成成长"),4))/(VLOOKUP(P$72,INDIRECT($C$5&amp;"生成成长"),5))*(VLOOKUP($B$5,标准坦克设计!$B$24:$U$30,MATCH("对"&amp;LEFT($C$5,2)&amp;"输出",标准坦克设计!$B$23:$U$23,0)))*(VLOOKUP($B197,INDIRECT($B$5&amp;"生成成长"),3))*(VLOOKUP($B$5,标准坦克设计!$B$14:$K$20,9)/30))</f>
        <v>2.672655843866095</v>
      </c>
      <c r="Q197" s="172">
        <f ca="1">(VLOOKUP(Q$72,INDIRECT($C$5&amp;"生成成长"),2))/((VLOOKUP($B197,INDIRECT($B$5&amp;"生成成长"),4))/(VLOOKUP(Q$72,INDIRECT($C$5&amp;"生成成长"),5))*(VLOOKUP($B$5,标准坦克设计!$B$24:$U$30,MATCH("对"&amp;LEFT($C$5,2)&amp;"输出",标准坦克设计!$B$23:$U$23,0)))*(VLOOKUP($B197,INDIRECT($B$5&amp;"生成成长"),3))*(VLOOKUP($B$5,标准坦克设计!$B$14:$K$20,9)/30))</f>
        <v>2.9985245900646236</v>
      </c>
      <c r="R197" s="172">
        <f ca="1">(VLOOKUP(R$72,INDIRECT($C$5&amp;"生成成长"),2))/((VLOOKUP($B197,INDIRECT($B$5&amp;"生成成长"),4))/(VLOOKUP(R$72,INDIRECT($C$5&amp;"生成成长"),5))*(VLOOKUP($B$5,标准坦克设计!$B$24:$U$30,MATCH("对"&amp;LEFT($C$5,2)&amp;"输出",标准坦克设计!$B$23:$U$23,0)))*(VLOOKUP($B197,INDIRECT($B$5&amp;"生成成长"),3))*(VLOOKUP($B$5,标准坦克设计!$B$14:$K$20,9)/30))</f>
        <v>3.3431333919550794</v>
      </c>
      <c r="S197" s="172">
        <f ca="1">(VLOOKUP(S$72,INDIRECT($C$5&amp;"生成成长"),2))/((VLOOKUP($B197,INDIRECT($B$5&amp;"生成成长"),4))/(VLOOKUP(S$72,INDIRECT($C$5&amp;"生成成长"),5))*(VLOOKUP($B$5,标准坦克设计!$B$24:$U$30,MATCH("对"&amp;LEFT($C$5,2)&amp;"输出",标准坦克设计!$B$23:$U$23,0)))*(VLOOKUP($B197,INDIRECT($B$5&amp;"生成成长"),3))*(VLOOKUP($B$5,标准坦克设计!$B$14:$K$20,9)/30))</f>
        <v>3.706482249537463</v>
      </c>
      <c r="T197" s="172">
        <f ca="1">(VLOOKUP(T$72,INDIRECT($C$5&amp;"生成成长"),2))/((VLOOKUP($B197,INDIRECT($B$5&amp;"生成成长"),4))/(VLOOKUP(T$72,INDIRECT($C$5&amp;"生成成长"),5))*(VLOOKUP($B$5,标准坦克设计!$B$24:$U$30,MATCH("对"&amp;LEFT($C$5,2)&amp;"输出",标准坦克设计!$B$23:$U$23,0)))*(VLOOKUP($B197,INDIRECT($B$5&amp;"生成成长"),3))*(VLOOKUP($B$5,标准坦克设计!$B$14:$K$20,9)/30))</f>
        <v>4.0885711628117765</v>
      </c>
      <c r="U197" s="172">
        <f ca="1">(VLOOKUP(U$72,INDIRECT($C$5&amp;"生成成长"),2))/((VLOOKUP($B197,INDIRECT($B$5&amp;"生成成长"),4))/(VLOOKUP(U$72,INDIRECT($C$5&amp;"生成成长"),5))*(VLOOKUP($B$5,标准坦克设计!$B$24:$U$30,MATCH("对"&amp;LEFT($C$5,2)&amp;"输出",标准坦克设计!$B$23:$U$23,0)))*(VLOOKUP($B197,INDIRECT($B$5&amp;"生成成长"),3))*(VLOOKUP($B$5,标准坦克设计!$B$14:$K$20,9)/30))</f>
        <v>4.4894001317780168</v>
      </c>
      <c r="V197" s="172">
        <f ca="1">(VLOOKUP(V$72,INDIRECT($C$5&amp;"生成成长"),2))/((VLOOKUP($B197,INDIRECT($B$5&amp;"生成成长"),4))/(VLOOKUP(V$72,INDIRECT($C$5&amp;"生成成长"),5))*(VLOOKUP($B$5,标准坦克设计!$B$24:$U$30,MATCH("对"&amp;LEFT($C$5,2)&amp;"输出",标准坦克设计!$B$23:$U$23,0)))*(VLOOKUP($B197,INDIRECT($B$5&amp;"生成成长"),3))*(VLOOKUP($B$5,标准坦克设计!$B$14:$K$20,9)/30))</f>
        <v>4.9089691564361848</v>
      </c>
      <c r="W197" s="172">
        <f ca="1">(VLOOKUP(W$72,INDIRECT($C$5&amp;"生成成长"),2))/((VLOOKUP($B197,INDIRECT($B$5&amp;"生成成长"),4))/(VLOOKUP(W$72,INDIRECT($C$5&amp;"生成成长"),5))*(VLOOKUP($B$5,标准坦克设计!$B$24:$U$30,MATCH("对"&amp;LEFT($C$5,2)&amp;"输出",标准坦克设计!$B$23:$U$23,0)))*(VLOOKUP($B197,INDIRECT($B$5&amp;"生成成长"),3))*(VLOOKUP($B$5,标准坦克设计!$B$14:$K$20,9)/30))</f>
        <v>5.3472782367862823</v>
      </c>
      <c r="X197" s="172">
        <f ca="1">(VLOOKUP(X$72,INDIRECT($C$5&amp;"生成成长"),2))/((VLOOKUP($B197,INDIRECT($B$5&amp;"生成成长"),4))/(VLOOKUP(X$72,INDIRECT($C$5&amp;"生成成长"),5))*(VLOOKUP($B$5,标准坦克设计!$B$24:$U$30,MATCH("对"&amp;LEFT($C$5,2)&amp;"输出",标准坦克设计!$B$23:$U$23,0)))*(VLOOKUP($B197,INDIRECT($B$5&amp;"生成成长"),3))*(VLOOKUP($B$5,标准坦克设计!$B$14:$K$20,9)/30))</f>
        <v>3.8739859572035864</v>
      </c>
      <c r="Y197" s="172">
        <f ca="1">(VLOOKUP(Y$72,INDIRECT($C$5&amp;"生成成长"),2))/((VLOOKUP($B197,INDIRECT($B$5&amp;"生成成长"),4))/(VLOOKUP(Y$72,INDIRECT($C$5&amp;"生成成长"),5))*(VLOOKUP($B$5,标准坦克设计!$B$24:$U$30,MATCH("对"&amp;LEFT($C$5,2)&amp;"输出",标准坦克设计!$B$23:$U$23,0)))*(VLOOKUP($B197,INDIRECT($B$5&amp;"生成成长"),3))*(VLOOKUP($B$5,标准坦克设计!$B$14:$K$20,9)/30))</f>
        <v>4.3089403362261161</v>
      </c>
      <c r="Z197" s="172">
        <f ca="1">(VLOOKUP(Z$72,INDIRECT($C$5&amp;"生成成长"),2))/((VLOOKUP($B197,INDIRECT($B$5&amp;"生成成长"),4))/(VLOOKUP(Z$72,INDIRECT($C$5&amp;"生成成长"),5))*(VLOOKUP($B$5,标准坦克设计!$B$24:$U$30,MATCH("对"&amp;LEFT($C$5,2)&amp;"输出",标准坦克设计!$B$23:$U$23,0)))*(VLOOKUP($B197,INDIRECT($B$5&amp;"生成成长"),3))*(VLOOKUP($B$5,标准坦克设计!$B$14:$K$20,9)/30))</f>
        <v>4.7670305864732487</v>
      </c>
      <c r="AA197" s="172">
        <f ca="1">(VLOOKUP(AA$72,INDIRECT($C$5&amp;"生成成长"),2))/((VLOOKUP($B197,INDIRECT($B$5&amp;"生成成长"),4))/(VLOOKUP(AA$72,INDIRECT($C$5&amp;"生成成长"),5))*(VLOOKUP($B$5,标准坦克设计!$B$24:$U$30,MATCH("对"&amp;LEFT($C$5,2)&amp;"输出",标准坦克设计!$B$23:$U$23,0)))*(VLOOKUP($B197,INDIRECT($B$5&amp;"生成成长"),3))*(VLOOKUP($B$5,标准坦克设计!$B$14:$K$20,9)/30))</f>
        <v>5.2482567079449831</v>
      </c>
      <c r="AB197" s="172">
        <f ca="1">(VLOOKUP(AB$72,INDIRECT($C$5&amp;"生成成长"),2))/((VLOOKUP($B197,INDIRECT($B$5&amp;"生成成长"),4))/(VLOOKUP(AB$72,INDIRECT($C$5&amp;"生成成长"),5))*(VLOOKUP($B$5,标准坦克设计!$B$24:$U$30,MATCH("对"&amp;LEFT($C$5,2)&amp;"输出",标准坦克设计!$B$23:$U$23,0)))*(VLOOKUP($B197,INDIRECT($B$5&amp;"生成成长"),3))*(VLOOKUP($B$5,标准坦克设计!$B$14:$K$20,9)/30))</f>
        <v>5.7526187006413201</v>
      </c>
      <c r="AC197" s="172">
        <f ca="1">(VLOOKUP(AC$72,INDIRECT($C$5&amp;"生成成长"),2))/((VLOOKUP($B197,INDIRECT($B$5&amp;"生成成长"),4))/(VLOOKUP(AC$72,INDIRECT($C$5&amp;"生成成长"),5))*(VLOOKUP($B$5,标准坦克设计!$B$24:$U$30,MATCH("对"&amp;LEFT($C$5,2)&amp;"输出",标准坦克设计!$B$23:$U$23,0)))*(VLOOKUP($B197,INDIRECT($B$5&amp;"生成成长"),3))*(VLOOKUP($B$5,标准坦克设计!$B$14:$K$20,9)/30))</f>
        <v>6.2801165645622596</v>
      </c>
      <c r="AD197" s="172">
        <f ca="1">(VLOOKUP(AD$72,INDIRECT($C$5&amp;"生成成长"),2))/((VLOOKUP($B197,INDIRECT($B$5&amp;"生成成长"),4))/(VLOOKUP(AD$72,INDIRECT($C$5&amp;"生成成长"),5))*(VLOOKUP($B$5,标准坦克设计!$B$24:$U$30,MATCH("对"&amp;LEFT($C$5,2)&amp;"输出",标准坦克设计!$B$23:$U$23,0)))*(VLOOKUP($B197,INDIRECT($B$5&amp;"生成成长"),3))*(VLOOKUP($B$5,标准坦克设计!$B$14:$K$20,9)/30))</f>
        <v>6.8307502997078027</v>
      </c>
      <c r="AE197" s="172">
        <f ca="1">(VLOOKUP(AE$72,INDIRECT($C$5&amp;"生成成长"),2))/((VLOOKUP($B197,INDIRECT($B$5&amp;"生成成长"),4))/(VLOOKUP(AE$72,INDIRECT($C$5&amp;"生成成长"),5))*(VLOOKUP($B$5,标准坦克设计!$B$24:$U$30,MATCH("对"&amp;LEFT($C$5,2)&amp;"输出",标准坦克设计!$B$23:$U$23,0)))*(VLOOKUP($B197,INDIRECT($B$5&amp;"生成成长"),3))*(VLOOKUP($B$5,标准坦克设计!$B$14:$K$20,9)/30))</f>
        <v>7.4045199060779474</v>
      </c>
      <c r="AF197" s="172">
        <f ca="1">(VLOOKUP(AF$72,INDIRECT($C$5&amp;"生成成长"),2))/((VLOOKUP($B197,INDIRECT($B$5&amp;"生成成长"),4))/(VLOOKUP(AF$72,INDIRECT($C$5&amp;"生成成长"),5))*(VLOOKUP($B$5,标准坦克设计!$B$24:$U$30,MATCH("对"&amp;LEFT($C$5,2)&amp;"输出",标准坦克设计!$B$23:$U$23,0)))*(VLOOKUP($B197,INDIRECT($B$5&amp;"生成成长"),3))*(VLOOKUP($B$5,标准坦克设计!$B$14:$K$20,9)/30))</f>
        <v>8.0014253836726947</v>
      </c>
      <c r="AG197" s="172">
        <f ca="1">(VLOOKUP(AG$72,INDIRECT($C$5&amp;"生成成长"),2))/((VLOOKUP($B197,INDIRECT($B$5&amp;"生成成长"),4))/(VLOOKUP(AG$72,INDIRECT($C$5&amp;"生成成长"),5))*(VLOOKUP($B$5,标准坦克设计!$B$24:$U$30,MATCH("对"&amp;LEFT($C$5,2)&amp;"输出",标准坦克设计!$B$23:$U$23,0)))*(VLOOKUP($B197,INDIRECT($B$5&amp;"生成成长"),3))*(VLOOKUP($B$5,标准坦克设计!$B$14:$K$20,9)/30))</f>
        <v>8.6214667324920455</v>
      </c>
      <c r="AH197" s="172">
        <f ca="1">(VLOOKUP(AH$72,INDIRECT($C$5&amp;"生成成长"),2))/((VLOOKUP($B197,INDIRECT($B$5&amp;"生成成长"),4))/(VLOOKUP(AH$72,INDIRECT($C$5&amp;"生成成长"),5))*(VLOOKUP($B$5,标准坦克设计!$B$24:$U$30,MATCH("对"&amp;LEFT($C$5,2)&amp;"输出",标准坦克设计!$B$23:$U$23,0)))*(VLOOKUP($B197,INDIRECT($B$5&amp;"生成成长"),3))*(VLOOKUP($B$5,标准坦克设计!$B$14:$K$20,9)/30))</f>
        <v>9.2646439525359998</v>
      </c>
      <c r="AI197" s="172">
        <f ca="1">(VLOOKUP(AI$72,INDIRECT($C$5&amp;"生成成长"),2))/((VLOOKUP($B197,INDIRECT($B$5&amp;"生成成长"),4))/(VLOOKUP(AI$72,INDIRECT($C$5&amp;"生成成长"),5))*(VLOOKUP($B$5,标准坦克设计!$B$24:$U$30,MATCH("对"&amp;LEFT($C$5,2)&amp;"输出",标准坦克设计!$B$23:$U$23,0)))*(VLOOKUP($B197,INDIRECT($B$5&amp;"生成成长"),3))*(VLOOKUP($B$5,标准坦克设计!$B$14:$K$20,9)/30))</f>
        <v>6.5525414482319562</v>
      </c>
      <c r="AJ197" s="172">
        <f ca="1">(VLOOKUP(AJ$72,INDIRECT($C$5&amp;"生成成长"),2))/((VLOOKUP($B197,INDIRECT($B$5&amp;"生成成长"),4))/(VLOOKUP(AJ$72,INDIRECT($C$5&amp;"生成成长"),5))*(VLOOKUP($B$5,标准坦克设计!$B$24:$U$30,MATCH("对"&amp;LEFT($C$5,2)&amp;"输出",标准坦克设计!$B$23:$U$23,0)))*(VLOOKUP($B197,INDIRECT($B$5&amp;"生成成长"),3))*(VLOOKUP($B$5,标准坦克设计!$B$14:$K$20,9)/30))</f>
        <v>7.1722357589829384</v>
      </c>
      <c r="AK197" s="172">
        <f ca="1">(VLOOKUP(AK$72,INDIRECT($C$5&amp;"生成成长"),2))/((VLOOKUP($B197,INDIRECT($B$5&amp;"生成成长"),4))/(VLOOKUP(AK$72,INDIRECT($C$5&amp;"生成成长"),5))*(VLOOKUP($B$5,标准坦克设计!$B$24:$U$30,MATCH("对"&amp;LEFT($C$5,2)&amp;"输出",标准坦克设计!$B$23:$U$23,0)))*(VLOOKUP($B197,INDIRECT($B$5&amp;"生成成长"),3))*(VLOOKUP($B$5,标准坦克设计!$B$14:$K$20,9)/30))</f>
        <v>7.8199244739156892</v>
      </c>
      <c r="AL197" s="172">
        <f ca="1">(VLOOKUP(AL$72,INDIRECT($C$5&amp;"生成成长"),2))/((VLOOKUP($B197,INDIRECT($B$5&amp;"生成成长"),4))/(VLOOKUP(AL$72,INDIRECT($C$5&amp;"生成成长"),5))*(VLOOKUP($B$5,标准坦克设计!$B$24:$U$30,MATCH("对"&amp;LEFT($C$5,2)&amp;"输出",标准坦克设计!$B$23:$U$23,0)))*(VLOOKUP($B197,INDIRECT($B$5&amp;"生成成长"),3))*(VLOOKUP($B$5,标准坦克设计!$B$14:$K$20,9)/30))</f>
        <v>8.4956075930302077</v>
      </c>
      <c r="AM197" s="172">
        <f ca="1">(VLOOKUP(AM$72,INDIRECT($C$5&amp;"生成成长"),2))/((VLOOKUP($B197,INDIRECT($B$5&amp;"生成成长"),4))/(VLOOKUP(AM$72,INDIRECT($C$5&amp;"生成成长"),5))*(VLOOKUP($B$5,标准坦克设计!$B$24:$U$30,MATCH("对"&amp;LEFT($C$5,2)&amp;"输出",标准坦克设计!$B$23:$U$23,0)))*(VLOOKUP($B197,INDIRECT($B$5&amp;"生成成长"),3))*(VLOOKUP($B$5,标准坦克设计!$B$14:$K$20,9)/30))</f>
        <v>9.1992851163264984</v>
      </c>
      <c r="AN197" s="172">
        <f ca="1">(VLOOKUP(AN$72,INDIRECT($C$5&amp;"生成成长"),2))/((VLOOKUP($B197,INDIRECT($B$5&amp;"生成成长"),4))/(VLOOKUP(AN$72,INDIRECT($C$5&amp;"生成成长"),5))*(VLOOKUP($B$5,标准坦克设计!$B$24:$U$30,MATCH("对"&amp;LEFT($C$5,2)&amp;"输出",标准坦克设计!$B$23:$U$23,0)))*(VLOOKUP($B197,INDIRECT($B$5&amp;"生成成长"),3))*(VLOOKUP($B$5,标准坦克设计!$B$14:$K$20,9)/30))</f>
        <v>9.9309570438045558</v>
      </c>
      <c r="AO197" s="172">
        <f ca="1">(VLOOKUP(AO$72,INDIRECT($C$5&amp;"生成成长"),2))/((VLOOKUP($B197,INDIRECT($B$5&amp;"生成成长"),4))/(VLOOKUP(AO$72,INDIRECT($C$5&amp;"生成成长"),5))*(VLOOKUP($B$5,标准坦克设计!$B$24:$U$30,MATCH("对"&amp;LEFT($C$5,2)&amp;"输出",标准坦克设计!$B$23:$U$23,0)))*(VLOOKUP($B197,INDIRECT($B$5&amp;"生成成长"),3))*(VLOOKUP($B$5,标准坦克设计!$B$14:$K$20,9)/30))</f>
        <v>10.69062337546438</v>
      </c>
      <c r="AP197" s="172">
        <f ca="1">(VLOOKUP(AP$72,INDIRECT($C$5&amp;"生成成长"),2))/((VLOOKUP($B197,INDIRECT($B$5&amp;"生成成长"),4))/(VLOOKUP(AP$72,INDIRECT($C$5&amp;"生成成长"),5))*(VLOOKUP($B$5,标准坦克设计!$B$24:$U$30,MATCH("对"&amp;LEFT($C$5,2)&amp;"输出",标准坦克设计!$B$23:$U$23,0)))*(VLOOKUP($B197,INDIRECT($B$5&amp;"生成成长"),3))*(VLOOKUP($B$5,标准坦克设计!$B$14:$K$20,9)/30))</f>
        <v>11.478284111305978</v>
      </c>
      <c r="AQ197" s="172">
        <f ca="1">(VLOOKUP(AQ$72,INDIRECT($C$5&amp;"生成成长"),2))/((VLOOKUP($B197,INDIRECT($B$5&amp;"生成成长"),4))/(VLOOKUP(AQ$72,INDIRECT($C$5&amp;"生成成长"),5))*(VLOOKUP($B$5,标准坦克设计!$B$24:$U$30,MATCH("对"&amp;LEFT($C$5,2)&amp;"输出",标准坦克设计!$B$23:$U$23,0)))*(VLOOKUP($B197,INDIRECT($B$5&amp;"生成成长"),3))*(VLOOKUP($B$5,标准坦克设计!$B$14:$K$20,9)/30))</f>
        <v>12.293939251329343</v>
      </c>
      <c r="AR197" s="172">
        <f ca="1">(VLOOKUP(AR$72,INDIRECT($C$5&amp;"生成成长"),2))/((VLOOKUP($B197,INDIRECT($B$5&amp;"生成成长"),4))/(VLOOKUP(AR$72,INDIRECT($C$5&amp;"生成成长"),5))*(VLOOKUP($B$5,标准坦克设计!$B$24:$U$30,MATCH("对"&amp;LEFT($C$5,2)&amp;"输出",标准坦克设计!$B$23:$U$23,0)))*(VLOOKUP($B197,INDIRECT($B$5&amp;"生成成长"),3))*(VLOOKUP($B$5,标准坦克设计!$B$14:$K$20,9)/30))</f>
        <v>13.137588795534478</v>
      </c>
      <c r="AS197" s="172">
        <f ca="1">(VLOOKUP(AS$72,INDIRECT($C$5&amp;"生成成长"),2))/((VLOOKUP($B197,INDIRECT($B$5&amp;"生成成长"),4))/(VLOOKUP(AS$72,INDIRECT($C$5&amp;"生成成长"),5))*(VLOOKUP($B$5,标准坦克设计!$B$24:$U$30,MATCH("对"&amp;LEFT($C$5,2)&amp;"输出",标准坦克设计!$B$23:$U$23,0)))*(VLOOKUP($B197,INDIRECT($B$5&amp;"生成成长"),3))*(VLOOKUP($B$5,标准坦克设计!$B$14:$K$20,9)/30))</f>
        <v>14.009232743921384</v>
      </c>
      <c r="AT197" s="172">
        <f ca="1">(VLOOKUP(AT$72,INDIRECT($C$5&amp;"生成成长"),2))/((VLOOKUP($B197,INDIRECT($B$5&amp;"生成成长"),4))/(VLOOKUP(AT$72,INDIRECT($C$5&amp;"生成成长"),5))*(VLOOKUP($B$5,标准坦克设计!$B$24:$U$30,MATCH("对"&amp;LEFT($C$5,2)&amp;"输出",标准坦克设计!$B$23:$U$23,0)))*(VLOOKUP($B197,INDIRECT($B$5&amp;"生成成长"),3))*(VLOOKUP($B$5,标准坦克设计!$B$14:$K$20,9)/30))</f>
        <v>14.908871096490056</v>
      </c>
      <c r="AU197" s="172">
        <f ca="1">(VLOOKUP(AU$72,INDIRECT($C$5&amp;"生成成长"),2))/((VLOOKUP($B197,INDIRECT($B$5&amp;"生成成长"),4))/(VLOOKUP(AU$72,INDIRECT($C$5&amp;"生成成长"),5))*(VLOOKUP($B$5,标准坦克设计!$B$24:$U$30,MATCH("对"&amp;LEFT($C$5,2)&amp;"输出",标准坦克设计!$B$23:$U$23,0)))*(VLOOKUP($B197,INDIRECT($B$5&amp;"生成成长"),3))*(VLOOKUP($B$5,标准坦克设计!$B$14:$K$20,9)/30))</f>
        <v>15.836503853240499</v>
      </c>
      <c r="AV197" s="172">
        <f ca="1">(VLOOKUP(AV$72,INDIRECT($C$5&amp;"生成成长"),2))/((VLOOKUP($B197,INDIRECT($B$5&amp;"生成成长"),4))/(VLOOKUP(AV$72,INDIRECT($C$5&amp;"生成成长"),5))*(VLOOKUP($B$5,标准坦克设计!$B$24:$U$30,MATCH("对"&amp;LEFT($C$5,2)&amp;"输出",标准坦克设计!$B$23:$U$23,0)))*(VLOOKUP($B197,INDIRECT($B$5&amp;"生成成长"),3))*(VLOOKUP($B$5,标准坦克设计!$B$14:$K$20,9)/30))</f>
        <v>1.6107193546568348</v>
      </c>
      <c r="AW197" s="172">
        <f ca="1">(VLOOKUP(AW$72,INDIRECT($C$5&amp;"生成成长"),2))/((VLOOKUP($B197,INDIRECT($B$5&amp;"生成成长"),4))/(VLOOKUP(AW$72,INDIRECT($C$5&amp;"生成成长"),5))*(VLOOKUP($B$5,标准坦克设计!$B$24:$U$30,MATCH("对"&amp;LEFT($C$5,2)&amp;"输出",标准坦克设计!$B$23:$U$23,0)))*(VLOOKUP($B197,INDIRECT($B$5&amp;"生成成长"),3))*(VLOOKUP($B$5,标准坦克设计!$B$14:$K$20,9)/30))</f>
        <v>1.8365254578089567</v>
      </c>
      <c r="AX197" s="172">
        <f ca="1">(VLOOKUP(AX$72,INDIRECT($C$5&amp;"生成成长"),2))/((VLOOKUP($B197,INDIRECT($B$5&amp;"生成成长"),4))/(VLOOKUP(AX$72,INDIRECT($C$5&amp;"生成成长"),5))*(VLOOKUP($B$5,标准坦克设计!$B$24:$U$30,MATCH("对"&amp;LEFT($C$5,2)&amp;"输出",标准坦克设计!$B$23:$U$23,0)))*(VLOOKUP($B197,INDIRECT($B$5&amp;"生成成长"),3))*(VLOOKUP($B$5,标准坦克设计!$B$14:$K$20,9)/30))</f>
        <v>2.0771385185448237</v>
      </c>
      <c r="AY197" s="172">
        <f ca="1">(VLOOKUP(AY$72,INDIRECT($C$5&amp;"生成成长"),2))/((VLOOKUP($B197,INDIRECT($B$5&amp;"生成成长"),4))/(VLOOKUP(AY$72,INDIRECT($C$5&amp;"生成成长"),5))*(VLOOKUP($B$5,标准坦克设计!$B$24:$U$30,MATCH("对"&amp;LEFT($C$5,2)&amp;"输出",标准坦克设计!$B$23:$U$23,0)))*(VLOOKUP($B197,INDIRECT($B$5&amp;"生成成长"),3))*(VLOOKUP($B$5,标准坦克设计!$B$14:$K$20,9)/30))</f>
        <v>2.3325585368644366</v>
      </c>
      <c r="AZ197" s="172">
        <f ca="1">(VLOOKUP(AZ$72,INDIRECT($C$5&amp;"生成成长"),2))/((VLOOKUP($B197,INDIRECT($B$5&amp;"生成成长"),4))/(VLOOKUP(AZ$72,INDIRECT($C$5&amp;"生成成长"),5))*(VLOOKUP($B$5,标准坦克设计!$B$24:$U$30,MATCH("对"&amp;LEFT($C$5,2)&amp;"输出",标准坦克设计!$B$23:$U$23,0)))*(VLOOKUP($B197,INDIRECT($B$5&amp;"生成成长"),3))*(VLOOKUP($B$5,标准坦克设计!$B$14:$K$20,9)/30))</f>
        <v>2.6027855127677952</v>
      </c>
      <c r="BA197" s="172">
        <f ca="1">(VLOOKUP(BA$72,INDIRECT($C$5&amp;"生成成长"),2))/((VLOOKUP($B197,INDIRECT($B$5&amp;"生成成长"),4))/(VLOOKUP(BA$72,INDIRECT($C$5&amp;"生成成长"),5))*(VLOOKUP($B$5,标准坦克设计!$B$24:$U$30,MATCH("对"&amp;LEFT($C$5,2)&amp;"输出",标准坦克设计!$B$23:$U$23,0)))*(VLOOKUP($B197,INDIRECT($B$5&amp;"生成成长"),3))*(VLOOKUP($B$5,标准坦克设计!$B$14:$K$20,9)/30))</f>
        <v>2.8878194462548996</v>
      </c>
      <c r="BB197" s="172">
        <f ca="1">(VLOOKUP(BB$72,INDIRECT($C$5&amp;"生成成长"),2))/((VLOOKUP($B197,INDIRECT($B$5&amp;"生成成长"),4))/(VLOOKUP(BB$72,INDIRECT($C$5&amp;"生成成长"),5))*(VLOOKUP($B$5,标准坦克设计!$B$24:$U$30,MATCH("对"&amp;LEFT($C$5,2)&amp;"输出",标准坦克设计!$B$23:$U$23,0)))*(VLOOKUP($B197,INDIRECT($B$5&amp;"生成成长"),3))*(VLOOKUP($B$5,标准坦克设计!$B$14:$K$20,9)/30))</f>
        <v>3.1876603373257497</v>
      </c>
      <c r="BC197" s="172">
        <f ca="1">(VLOOKUP(BC$72,INDIRECT($C$5&amp;"生成成长"),2))/((VLOOKUP($B197,INDIRECT($B$5&amp;"生成成长"),4))/(VLOOKUP(BC$72,INDIRECT($C$5&amp;"生成成长"),5))*(VLOOKUP($B$5,标准坦克设计!$B$24:$U$30,MATCH("对"&amp;LEFT($C$5,2)&amp;"输出",标准坦克设计!$B$23:$U$23,0)))*(VLOOKUP($B197,INDIRECT($B$5&amp;"生成成长"),3))*(VLOOKUP($B$5,标准坦克设计!$B$14:$K$20,9)/30))</f>
        <v>3.502308185980346</v>
      </c>
      <c r="BD197" s="172">
        <f ca="1">(VLOOKUP(BD$72,INDIRECT($C$5&amp;"生成成长"),2))/((VLOOKUP($B197,INDIRECT($B$5&amp;"生成成长"),4))/(VLOOKUP(BD$72,INDIRECT($C$5&amp;"生成成长"),5))*(VLOOKUP($B$5,标准坦克设计!$B$24:$U$30,MATCH("对"&amp;LEFT($C$5,2)&amp;"输出",标准坦克设计!$B$23:$U$23,0)))*(VLOOKUP($B197,INDIRECT($B$5&amp;"生成成长"),3))*(VLOOKUP($B$5,标准坦克设计!$B$14:$K$20,9)/30))</f>
        <v>3.8739859572035864</v>
      </c>
      <c r="BE197" s="172">
        <f ca="1">(VLOOKUP(BE$72,INDIRECT($C$5&amp;"生成成长"),2))/((VLOOKUP($B197,INDIRECT($B$5&amp;"生成成长"),4))/(VLOOKUP(BE$72,INDIRECT($C$5&amp;"生成成长"),5))*(VLOOKUP($B$5,标准坦克设计!$B$24:$U$30,MATCH("对"&amp;LEFT($C$5,2)&amp;"输出",标准坦克设计!$B$23:$U$23,0)))*(VLOOKUP($B197,INDIRECT($B$5&amp;"生成成长"),3))*(VLOOKUP($B$5,标准坦克设计!$B$14:$K$20,9)/30))</f>
        <v>4.2644037841187563</v>
      </c>
      <c r="BF197" s="172">
        <f ca="1">(VLOOKUP(BF$72,INDIRECT($C$5&amp;"生成成长"),2))/((VLOOKUP($B197,INDIRECT($B$5&amp;"生成成长"),4))/(VLOOKUP(BF$72,INDIRECT($C$5&amp;"生成成长"),5))*(VLOOKUP($B$5,标准坦克设计!$B$24:$U$30,MATCH("对"&amp;LEFT($C$5,2)&amp;"输出",标准坦克设计!$B$23:$U$23,0)))*(VLOOKUP($B197,INDIRECT($B$5&amp;"生成成长"),3))*(VLOOKUP($B$5,标准坦克设计!$B$14:$K$20,9)/30))</f>
        <v>4.6735616667258535</v>
      </c>
      <c r="BG197" s="172">
        <f ca="1">(VLOOKUP(BG$72,INDIRECT($C$5&amp;"生成成长"),2))/((VLOOKUP($B197,INDIRECT($B$5&amp;"生成成长"),4))/(VLOOKUP(BG$72,INDIRECT($C$5&amp;"生成成长"),5))*(VLOOKUP($B$5,标准坦克设计!$B$24:$U$30,MATCH("对"&amp;LEFT($C$5,2)&amp;"输出",标准坦克设计!$B$23:$U$23,0)))*(VLOOKUP($B197,INDIRECT($B$5&amp;"生成成长"),3))*(VLOOKUP($B$5,标准坦克设计!$B$14:$K$20,9)/30))</f>
        <v>5.1014596050248793</v>
      </c>
      <c r="BH197" s="172">
        <f ca="1">(VLOOKUP(BH$72,INDIRECT($C$5&amp;"生成成长"),2))/((VLOOKUP($B197,INDIRECT($B$5&amp;"生成成长"),4))/(VLOOKUP(BH$72,INDIRECT($C$5&amp;"生成成长"),5))*(VLOOKUP($B$5,标准坦克设计!$B$24:$U$30,MATCH("对"&amp;LEFT($C$5,2)&amp;"输出",标准坦克设计!$B$23:$U$23,0)))*(VLOOKUP($B197,INDIRECT($B$5&amp;"生成成长"),3))*(VLOOKUP($B$5,标准坦克设计!$B$14:$K$20,9)/30))</f>
        <v>2.4658211551181481</v>
      </c>
      <c r="BI197" s="172">
        <f ca="1">(VLOOKUP(BI$72,INDIRECT($C$5&amp;"生成成长"),2))/((VLOOKUP($B197,INDIRECT($B$5&amp;"生成成长"),4))/(VLOOKUP(BI$72,INDIRECT($C$5&amp;"生成成长"),5))*(VLOOKUP($B$5,标准坦克设计!$B$24:$U$30,MATCH("对"&amp;LEFT($C$5,2)&amp;"输出",标准坦克设计!$B$23:$U$23,0)))*(VLOOKUP($B197,INDIRECT($B$5&amp;"生成成长"),3))*(VLOOKUP($B$5,标准坦克设计!$B$14:$K$20,9)/30))</f>
        <v>2.7791965308553901</v>
      </c>
      <c r="BJ197" s="172">
        <f ca="1">(VLOOKUP(BJ$72,INDIRECT($C$5&amp;"生成成长"),2))/((VLOOKUP($B197,INDIRECT($B$5&amp;"生成成长"),4))/(VLOOKUP(BJ$72,INDIRECT($C$5&amp;"生成成长"),5))*(VLOOKUP($B$5,标准坦克设计!$B$24:$U$30,MATCH("对"&amp;LEFT($C$5,2)&amp;"输出",标准坦克设计!$B$23:$U$23,0)))*(VLOOKUP($B197,INDIRECT($B$5&amp;"生成成长"),3))*(VLOOKUP($B$5,标准坦克设计!$B$14:$K$20,9)/30))</f>
        <v>3.1113119622845615</v>
      </c>
      <c r="BK197" s="172">
        <f ca="1">(VLOOKUP(BK$72,INDIRECT($C$5&amp;"生成成长"),2))/((VLOOKUP($B197,INDIRECT($B$5&amp;"生成成长"),4))/(VLOOKUP(BK$72,INDIRECT($C$5&amp;"生成成长"),5))*(VLOOKUP($B$5,标准坦克设计!$B$24:$U$30,MATCH("对"&amp;LEFT($C$5,2)&amp;"输出",标准坦克设计!$B$23:$U$23,0)))*(VLOOKUP($B197,INDIRECT($B$5&amp;"生成成长"),3))*(VLOOKUP($B$5,标准坦克设计!$B$14:$K$20,9)/30))</f>
        <v>3.4621674494056602</v>
      </c>
      <c r="BL197" s="172">
        <f ca="1">(VLOOKUP(BL$72,INDIRECT($C$5&amp;"生成成长"),2))/((VLOOKUP($B197,INDIRECT($B$5&amp;"生成成长"),4))/(VLOOKUP(BL$72,INDIRECT($C$5&amp;"生成成长"),5))*(VLOOKUP($B$5,标准坦克设计!$B$24:$U$30,MATCH("对"&amp;LEFT($C$5,2)&amp;"输出",标准坦克设计!$B$23:$U$23,0)))*(VLOOKUP($B197,INDIRECT($B$5&amp;"生成成长"),3))*(VLOOKUP($B$5,标准坦克设计!$B$14:$K$20,9)/30))</f>
        <v>3.8317629922186875</v>
      </c>
      <c r="BM197" s="172">
        <f ca="1">(VLOOKUP(BM$72,INDIRECT($C$5&amp;"生成成长"),2))/((VLOOKUP($B197,INDIRECT($B$5&amp;"生成成长"),4))/(VLOOKUP(BM$72,INDIRECT($C$5&amp;"生成成长"),5))*(VLOOKUP($B$5,标准坦克设计!$B$24:$U$30,MATCH("对"&amp;LEFT($C$5,2)&amp;"输出",标准坦克设计!$B$23:$U$23,0)))*(VLOOKUP($B197,INDIRECT($B$5&amp;"生成成长"),3))*(VLOOKUP($B$5,标准坦克设计!$B$14:$K$20,9)/30))</f>
        <v>4.2200985907236417</v>
      </c>
      <c r="BN197" s="172">
        <f ca="1">(VLOOKUP(BN$72,INDIRECT($C$5&amp;"生成成长"),2))/((VLOOKUP($B197,INDIRECT($B$5&amp;"生成成长"),4))/(VLOOKUP(BN$72,INDIRECT($C$5&amp;"生成成长"),5))*(VLOOKUP($B$5,标准坦克设计!$B$24:$U$30,MATCH("对"&amp;LEFT($C$5,2)&amp;"输出",标准坦克设计!$B$23:$U$23,0)))*(VLOOKUP($B197,INDIRECT($B$5&amp;"生成成长"),3))*(VLOOKUP($B$5,标准坦克设计!$B$14:$K$20,9)/30))</f>
        <v>4.6271742449205249</v>
      </c>
      <c r="BO197" s="172">
        <f ca="1">(VLOOKUP(BO$72,INDIRECT($C$5&amp;"生成成长"),2))/((VLOOKUP($B197,INDIRECT($B$5&amp;"生成成长"),4))/(VLOOKUP(BO$72,INDIRECT($C$5&amp;"生成成长"),5))*(VLOOKUP($B$5,标准坦克设计!$B$24:$U$30,MATCH("对"&amp;LEFT($C$5,2)&amp;"输出",标准坦克设计!$B$23:$U$23,0)))*(VLOOKUP($B197,INDIRECT($B$5&amp;"生成成长"),3))*(VLOOKUP($B$5,标准坦克设计!$B$14:$K$20,9)/30))</f>
        <v>5.0529899548093367</v>
      </c>
      <c r="BP197" s="172">
        <f ca="1">(VLOOKUP(BP$72,INDIRECT($C$5&amp;"生成成长"),2))/((VLOOKUP($B197,INDIRECT($B$5&amp;"生成成长"),4))/(VLOOKUP(BP$72,INDIRECT($C$5&amp;"生成成长"),5))*(VLOOKUP($B$5,标准坦克设计!$B$24:$U$30,MATCH("对"&amp;LEFT($C$5,2)&amp;"输出",标准坦克设计!$B$23:$U$23,0)))*(VLOOKUP($B197,INDIRECT($B$5&amp;"生成成长"),3))*(VLOOKUP($B$5,标准坦克设计!$B$14:$K$20,9)/30))</f>
        <v>5.4975457203900762</v>
      </c>
      <c r="BQ197" s="172">
        <f ca="1">(VLOOKUP(BQ$72,INDIRECT($C$5&amp;"生成成长"),2))/((VLOOKUP($B197,INDIRECT($B$5&amp;"生成成长"),4))/(VLOOKUP(BQ$72,INDIRECT($C$5&amp;"生成成长"),5))*(VLOOKUP($B$5,标准坦克设计!$B$24:$U$30,MATCH("对"&amp;LEFT($C$5,2)&amp;"输出",标准坦克设计!$B$23:$U$23,0)))*(VLOOKUP($B197,INDIRECT($B$5&amp;"生成成长"),3))*(VLOOKUP($B$5,标准坦克设计!$B$14:$K$20,9)/30))</f>
        <v>5.9608415416627425</v>
      </c>
      <c r="BR197" s="172">
        <f ca="1">(VLOOKUP(BR$72,INDIRECT($C$5&amp;"生成成长"),2))/((VLOOKUP($B197,INDIRECT($B$5&amp;"生成成长"),4))/(VLOOKUP(BR$72,INDIRECT($C$5&amp;"生成成长"),5))*(VLOOKUP($B$5,标准坦克设计!$B$24:$U$30,MATCH("对"&amp;LEFT($C$5,2)&amp;"输出",标准坦克设计!$B$23:$U$23,0)))*(VLOOKUP($B197,INDIRECT($B$5&amp;"生成成长"),3))*(VLOOKUP($B$5,标准坦克设计!$B$14:$K$20,9)/30))</f>
        <v>6.4975937540735238</v>
      </c>
      <c r="BS197" s="172">
        <f ca="1">(VLOOKUP(BS$72,INDIRECT($C$5&amp;"生成成长"),2))/((VLOOKUP($B197,INDIRECT($B$5&amp;"生成成长"),4))/(VLOOKUP(BS$72,INDIRECT($C$5&amp;"生成成长"),5))*(VLOOKUP($B$5,标准坦克设计!$B$24:$U$30,MATCH("对"&amp;LEFT($C$5,2)&amp;"输出",标准坦克设计!$B$23:$U$23,0)))*(VLOOKUP($B197,INDIRECT($B$5&amp;"生成成长"),3))*(VLOOKUP($B$5,标准坦克设计!$B$14:$K$20,9)/30))</f>
        <v>7.0574818377089077</v>
      </c>
      <c r="BT197" s="172">
        <f ca="1">(VLOOKUP(BT$72,INDIRECT($C$5&amp;"生成成长"),2))/((VLOOKUP($B197,INDIRECT($B$5&amp;"生成成长"),4))/(VLOOKUP(BT$72,INDIRECT($C$5&amp;"生成成长"),5))*(VLOOKUP($B$5,标准坦克设计!$B$24:$U$30,MATCH("对"&amp;LEFT($C$5,2)&amp;"输出",标准坦克设计!$B$23:$U$23,0)))*(VLOOKUP($B197,INDIRECT($B$5&amp;"生成成长"),3))*(VLOOKUP($B$5,标准坦克设计!$B$14:$K$20,9)/30))</f>
        <v>7.6405057925688933</v>
      </c>
      <c r="BU197" s="172">
        <f ca="1">(VLOOKUP(BU$72,INDIRECT($C$5&amp;"生成成长"),2))/((VLOOKUP($B197,INDIRECT($B$5&amp;"生成成长"),4))/(VLOOKUP(BU$72,INDIRECT($C$5&amp;"生成成长"),5))*(VLOOKUP($B$5,标准坦克设计!$B$24:$U$30,MATCH("对"&amp;LEFT($C$5,2)&amp;"输出",标准坦克设计!$B$23:$U$23,0)))*(VLOOKUP($B197,INDIRECT($B$5&amp;"生成成长"),3))*(VLOOKUP($B$5,标准坦克设计!$B$14:$K$20,9)/30))</f>
        <v>8.2466656186534806</v>
      </c>
      <c r="BV197" s="172">
        <f ca="1">(VLOOKUP(BV$72,INDIRECT($C$5&amp;"生成成长"),2))/((VLOOKUP($B197,INDIRECT($B$5&amp;"生成成长"),4))/(VLOOKUP(BV$72,INDIRECT($C$5&amp;"生成成长"),5))*(VLOOKUP($B$5,标准坦克设计!$B$24:$U$30,MATCH("对"&amp;LEFT($C$5,2)&amp;"输出",标准坦克设计!$B$23:$U$23,0)))*(VLOOKUP($B197,INDIRECT($B$5&amp;"生成成长"),3))*(VLOOKUP($B$5,标准坦克设计!$B$14:$K$20,9)/30))</f>
        <v>8.8759613159626767</v>
      </c>
      <c r="BW197" s="172">
        <f ca="1">(VLOOKUP(BW$72,INDIRECT($C$5&amp;"生成成长"),2))/((VLOOKUP($B197,INDIRECT($B$5&amp;"生成成长"),4))/(VLOOKUP(BW$72,INDIRECT($C$5&amp;"生成成长"),5))*(VLOOKUP($B$5,标准坦克设计!$B$24:$U$30,MATCH("对"&amp;LEFT($C$5,2)&amp;"输出",标准坦克设计!$B$23:$U$23,0)))*(VLOOKUP($B197,INDIRECT($B$5&amp;"生成成长"),3))*(VLOOKUP($B$5,标准坦克设计!$B$14:$K$20,9)/30))</f>
        <v>4.0451914042656458</v>
      </c>
      <c r="BX197" s="172">
        <f ca="1">(VLOOKUP(BX$72,INDIRECT($C$5&amp;"生成成长"),2))/((VLOOKUP($B197,INDIRECT($B$5&amp;"生成成长"),4))/(VLOOKUP(BX$72,INDIRECT($C$5&amp;"生成成长"),5))*(VLOOKUP($B$5,标准坦克设计!$B$24:$U$30,MATCH("对"&amp;LEFT($C$5,2)&amp;"输出",标准坦克设计!$B$23:$U$23,0)))*(VLOOKUP($B197,INDIRECT($B$5&amp;"生成成长"),3))*(VLOOKUP($B$5,标准坦克设计!$B$14:$K$20,9)/30))</f>
        <v>4.4894001317780168</v>
      </c>
      <c r="BY197" s="172">
        <f ca="1">(VLOOKUP(BY$72,INDIRECT($C$5&amp;"生成成长"),2))/((VLOOKUP($B197,INDIRECT($B$5&amp;"生成成长"),4))/(VLOOKUP(BY$72,INDIRECT($C$5&amp;"生成成长"),5))*(VLOOKUP($B$5,标准坦克设计!$B$24:$U$30,MATCH("对"&amp;LEFT($C$5,2)&amp;"输出",标准坦克设计!$B$23:$U$23,0)))*(VLOOKUP($B197,INDIRECT($B$5&amp;"生成成长"),3))*(VLOOKUP($B$5,标准坦克设计!$B$14:$K$20,9)/30))</f>
        <v>4.9567447305149894</v>
      </c>
      <c r="BZ197" s="172">
        <f ca="1">(VLOOKUP(BZ$72,INDIRECT($C$5&amp;"生成成长"),2))/((VLOOKUP($B197,INDIRECT($B$5&amp;"生成成长"),4))/(VLOOKUP(BZ$72,INDIRECT($C$5&amp;"生成成长"),5))*(VLOOKUP($B$5,标准坦克设计!$B$24:$U$30,MATCH("对"&amp;LEFT($C$5,2)&amp;"输出",标准坦克设计!$B$23:$U$23,0)))*(VLOOKUP($B197,INDIRECT($B$5&amp;"生成成长"),3))*(VLOOKUP($B$5,标准坦克设计!$B$14:$K$20,9)/30))</f>
        <v>5.4472252004765647</v>
      </c>
      <c r="CA197" s="172">
        <f ca="1">(VLOOKUP(CA$72,INDIRECT($C$5&amp;"生成成长"),2))/((VLOOKUP($B197,INDIRECT($B$5&amp;"生成成长"),4))/(VLOOKUP(CA$72,INDIRECT($C$5&amp;"生成成长"),5))*(VLOOKUP($B$5,标准坦克设计!$B$24:$U$30,MATCH("对"&amp;LEFT($C$5,2)&amp;"输出",标准坦克设计!$B$23:$U$23,0)))*(VLOOKUP($B197,INDIRECT($B$5&amp;"生成成长"),3))*(VLOOKUP($B$5,标准坦克设计!$B$14:$K$20,9)/30))</f>
        <v>5.9608415416627425</v>
      </c>
      <c r="CB197" s="172">
        <f ca="1">(VLOOKUP(CB$72,INDIRECT($C$5&amp;"生成成长"),2))/((VLOOKUP($B197,INDIRECT($B$5&amp;"生成成长"),4))/(VLOOKUP(CB$72,INDIRECT($C$5&amp;"生成成长"),5))*(VLOOKUP($B$5,标准坦克设计!$B$24:$U$30,MATCH("对"&amp;LEFT($C$5,2)&amp;"输出",标准坦克设计!$B$23:$U$23,0)))*(VLOOKUP($B197,INDIRECT($B$5&amp;"生成成长"),3))*(VLOOKUP($B$5,标准坦克设计!$B$14:$K$20,9)/30))</f>
        <v>6.4975937540735238</v>
      </c>
      <c r="CC197" s="172">
        <f ca="1">(VLOOKUP(CC$72,INDIRECT($C$5&amp;"生成成长"),2))/((VLOOKUP($B197,INDIRECT($B$5&amp;"生成成长"),4))/(VLOOKUP(CC$72,INDIRECT($C$5&amp;"生成成长"),5))*(VLOOKUP($B$5,标准坦克设计!$B$24:$U$30,MATCH("对"&amp;LEFT($C$5,2)&amp;"输出",标准坦克设计!$B$23:$U$23,0)))*(VLOOKUP($B197,INDIRECT($B$5&amp;"生成成长"),3))*(VLOOKUP($B$5,标准坦克设计!$B$14:$K$20,9)/30))</f>
        <v>7.0574818377089077</v>
      </c>
      <c r="CD197" s="172">
        <f ca="1">(VLOOKUP(CD$72,INDIRECT($C$5&amp;"生成成长"),2))/((VLOOKUP($B197,INDIRECT($B$5&amp;"生成成长"),4))/(VLOOKUP(CD$72,INDIRECT($C$5&amp;"生成成长"),5))*(VLOOKUP($B$5,标准坦克设计!$B$24:$U$30,MATCH("对"&amp;LEFT($C$5,2)&amp;"输出",标准坦克设计!$B$23:$U$23,0)))*(VLOOKUP($B197,INDIRECT($B$5&amp;"生成成长"),3))*(VLOOKUP($B$5,标准坦克设计!$B$14:$K$20,9)/30))</f>
        <v>7.6405057925688933</v>
      </c>
      <c r="CE197" s="172">
        <f ca="1">(VLOOKUP(CE$72,INDIRECT($C$5&amp;"生成成长"),2))/((VLOOKUP($B197,INDIRECT($B$5&amp;"生成成长"),4))/(VLOOKUP(CE$72,INDIRECT($C$5&amp;"生成成长"),5))*(VLOOKUP($B$5,标准坦克设计!$B$24:$U$30,MATCH("对"&amp;LEFT($C$5,2)&amp;"输出",标准坦克设计!$B$23:$U$23,0)))*(VLOOKUP($B197,INDIRECT($B$5&amp;"生成成长"),3))*(VLOOKUP($B$5,标准坦克设计!$B$14:$K$20,9)/30))</f>
        <v>8.2466656186534806</v>
      </c>
      <c r="CF197" s="172">
        <f ca="1">(VLOOKUP(CF$72,INDIRECT($C$5&amp;"生成成长"),2))/((VLOOKUP($B197,INDIRECT($B$5&amp;"生成成长"),4))/(VLOOKUP(CF$72,INDIRECT($C$5&amp;"生成成长"),5))*(VLOOKUP($B$5,标准坦克设计!$B$24:$U$30,MATCH("对"&amp;LEFT($C$5,2)&amp;"输出",标准坦克设计!$B$23:$U$23,0)))*(VLOOKUP($B197,INDIRECT($B$5&amp;"生成成长"),3))*(VLOOKUP($B$5,标准坦克设计!$B$14:$K$20,9)/30))</f>
        <v>8.8759613159626767</v>
      </c>
      <c r="CG197" s="172">
        <f ca="1">(VLOOKUP(CG$72,INDIRECT($C$5&amp;"生成成长"),2))/((VLOOKUP($B197,INDIRECT($B$5&amp;"生成成长"),4))/(VLOOKUP(CG$72,INDIRECT($C$5&amp;"生成成长"),5))*(VLOOKUP($B$5,标准坦克设计!$B$24:$U$30,MATCH("对"&amp;LEFT($C$5,2)&amp;"输出",标准坦克设计!$B$23:$U$23,0)))*(VLOOKUP($B197,INDIRECT($B$5&amp;"生成成长"),3))*(VLOOKUP($B$5,标准坦克设计!$B$14:$K$20,9)/30))</f>
        <v>9.5283928844964692</v>
      </c>
      <c r="CH197" s="172">
        <f ca="1">(VLOOKUP(CH$72,INDIRECT($C$5&amp;"生成成长"),2))/((VLOOKUP($B197,INDIRECT($B$5&amp;"生成成长"),4))/(VLOOKUP(CH$72,INDIRECT($C$5&amp;"生成成长"),5))*(VLOOKUP($B$5,标准坦克设计!$B$24:$U$30,MATCH("对"&amp;LEFT($C$5,2)&amp;"输出",标准坦克设计!$B$23:$U$23,0)))*(VLOOKUP($B197,INDIRECT($B$5&amp;"生成成长"),3))*(VLOOKUP($B$5,标准坦克设计!$B$14:$K$20,9)/30))</f>
        <v>10.203960324254863</v>
      </c>
      <c r="CI197" s="172">
        <f ca="1">(VLOOKUP(CI$72,INDIRECT($C$5&amp;"生成成长"),2))/((VLOOKUP($B197,INDIRECT($B$5&amp;"生成成长"),4))/(VLOOKUP(CI$72,INDIRECT($C$5&amp;"生成成长"),5))*(VLOOKUP($B$5,标准坦克设计!$B$24:$U$30,MATCH("对"&amp;LEFT($C$5,2)&amp;"输出",标准坦克设计!$B$23:$U$23,0)))*(VLOOKUP($B197,INDIRECT($B$5&amp;"生成成长"),3))*(VLOOKUP($B$5,标准坦克设计!$B$14:$K$20,9)/30))</f>
        <v>10.973806439253517</v>
      </c>
      <c r="CJ197" s="172">
        <f ca="1">(VLOOKUP(CJ$72,INDIRECT($C$5&amp;"生成成长"),2))/((VLOOKUP($B197,INDIRECT($B$5&amp;"生成成长"),4))/(VLOOKUP(CJ$72,INDIRECT($C$5&amp;"生成成长"),5))*(VLOOKUP($B$5,标准坦克设计!$B$24:$U$30,MATCH("对"&amp;LEFT($C$5,2)&amp;"输出",标准坦克设计!$B$23:$U$23,0)))*(VLOOKUP($B197,INDIRECT($B$5&amp;"生成成长"),3))*(VLOOKUP($B$5,标准坦克设计!$B$14:$K$20,9)/30))</f>
        <v>11.771646958433937</v>
      </c>
      <c r="CK197" s="172">
        <f ca="1">(VLOOKUP(CK$72,INDIRECT($C$5&amp;"生成成长"),2))/((VLOOKUP($B197,INDIRECT($B$5&amp;"生成成长"),4))/(VLOOKUP(CK$72,INDIRECT($C$5&amp;"生成成长"),5))*(VLOOKUP($B$5,标准坦克设计!$B$24:$U$30,MATCH("对"&amp;LEFT($C$5,2)&amp;"输出",标准坦克设计!$B$23:$U$23,0)))*(VLOOKUP($B197,INDIRECT($B$5&amp;"生成成长"),3))*(VLOOKUP($B$5,标准坦克设计!$B$14:$K$20,9)/30))</f>
        <v>12.59748188179613</v>
      </c>
      <c r="CL197" s="172">
        <f ca="1">(VLOOKUP(CL$72,INDIRECT($C$5&amp;"生成成长"),2))/((VLOOKUP($B197,INDIRECT($B$5&amp;"生成成长"),4))/(VLOOKUP(CL$72,INDIRECT($C$5&amp;"生成成长"),5))*(VLOOKUP($B$5,标准坦克设计!$B$24:$U$30,MATCH("对"&amp;LEFT($C$5,2)&amp;"输出",标准坦克设计!$B$23:$U$23,0)))*(VLOOKUP($B197,INDIRECT($B$5&amp;"生成成长"),3))*(VLOOKUP($B$5,标准坦克设计!$B$14:$K$20,9)/30))</f>
        <v>13.451311209340091</v>
      </c>
      <c r="CM197" s="172">
        <f ca="1">(VLOOKUP(CM$72,INDIRECT($C$5&amp;"生成成长"),2))/((VLOOKUP($B197,INDIRECT($B$5&amp;"生成成长"),4))/(VLOOKUP(CM$72,INDIRECT($C$5&amp;"生成成长"),5))*(VLOOKUP($B$5,标准坦克设计!$B$24:$U$30,MATCH("对"&amp;LEFT($C$5,2)&amp;"输出",标准坦克设计!$B$23:$U$23,0)))*(VLOOKUP($B197,INDIRECT($B$5&amp;"生成成长"),3))*(VLOOKUP($B$5,标准坦克设计!$B$14:$K$20,9)/30))</f>
        <v>14.333134941065818</v>
      </c>
      <c r="CN197" s="172">
        <f ca="1">(VLOOKUP(CN$72,INDIRECT($C$5&amp;"生成成长"),2))/((VLOOKUP($B197,INDIRECT($B$5&amp;"生成成长"),4))/(VLOOKUP(CN$72,INDIRECT($C$5&amp;"生成成长"),5))*(VLOOKUP($B$5,标准坦克设计!$B$24:$U$30,MATCH("对"&amp;LEFT($C$5,2)&amp;"输出",标准坦克设计!$B$23:$U$23,0)))*(VLOOKUP($B197,INDIRECT($B$5&amp;"生成成长"),3))*(VLOOKUP($B$5,标准坦克设计!$B$14:$K$20,9)/30))</f>
        <v>15.242953076973318</v>
      </c>
      <c r="CO197" s="172">
        <f ca="1">(VLOOKUP(CO$72,INDIRECT($C$5&amp;"生成成长"),2))/((VLOOKUP($B197,INDIRECT($B$5&amp;"生成成长"),4))/(VLOOKUP(CO$72,INDIRECT($C$5&amp;"生成成长"),5))*(VLOOKUP($B$5,标准坦克设计!$B$24:$U$30,MATCH("对"&amp;LEFT($C$5,2)&amp;"输出",标准坦克设计!$B$23:$U$23,0)))*(VLOOKUP($B197,INDIRECT($B$5&amp;"生成成长"),3))*(VLOOKUP($B$5,标准坦克设计!$B$14:$K$20,9)/30))</f>
        <v>6.8307502997078027</v>
      </c>
      <c r="CP197" s="172">
        <f ca="1">(VLOOKUP(CP$72,INDIRECT($C$5&amp;"生成成长"),2))/((VLOOKUP($B197,INDIRECT($B$5&amp;"生成成长"),4))/(VLOOKUP(CP$72,INDIRECT($C$5&amp;"生成成长"),5))*(VLOOKUP($B$5,标准坦克设计!$B$24:$U$30,MATCH("对"&amp;LEFT($C$5,2)&amp;"输出",标准坦克设计!$B$23:$U$23,0)))*(VLOOKUP($B197,INDIRECT($B$5&amp;"生成成长"),3))*(VLOOKUP($B$5,标准坦克设计!$B$14:$K$20,9)/30))</f>
        <v>7.4631693396323149</v>
      </c>
      <c r="CQ197" s="172">
        <f ca="1">(VLOOKUP(CQ$72,INDIRECT($C$5&amp;"生成成长"),2))/((VLOOKUP($B197,INDIRECT($B$5&amp;"生成成长"),4))/(VLOOKUP(CQ$72,INDIRECT($C$5&amp;"生成成长"),5))*(VLOOKUP($B$5,标准坦克设计!$B$24:$U$30,MATCH("对"&amp;LEFT($C$5,2)&amp;"输出",标准坦克设计!$B$23:$U$23,0)))*(VLOOKUP($B197,INDIRECT($B$5&amp;"生成成长"),3))*(VLOOKUP($B$5,标准坦克设计!$B$14:$K$20,9)/30))</f>
        <v>8.1235827837385965</v>
      </c>
      <c r="CR197" s="172">
        <f ca="1">(VLOOKUP(CR$72,INDIRECT($C$5&amp;"生成成长"),2))/((VLOOKUP($B197,INDIRECT($B$5&amp;"生成成长"),4))/(VLOOKUP(CR$72,INDIRECT($C$5&amp;"生成成长"),5))*(VLOOKUP($B$5,标准坦克设计!$B$24:$U$30,MATCH("对"&amp;LEFT($C$5,2)&amp;"输出",标准坦克设计!$B$23:$U$23,0)))*(VLOOKUP($B197,INDIRECT($B$5&amp;"生成成长"),3))*(VLOOKUP($B$5,标准坦克设计!$B$14:$K$20,9)/30))</f>
        <v>8.8119906320266495</v>
      </c>
      <c r="CS197" s="172">
        <f ca="1">(VLOOKUP(CS$72,INDIRECT($C$5&amp;"生成成长"),2))/((VLOOKUP($B197,INDIRECT($B$5&amp;"生成成长"),4))/(VLOOKUP(CS$72,INDIRECT($C$5&amp;"生成成长"),5))*(VLOOKUP($B$5,标准坦克设计!$B$24:$U$30,MATCH("对"&amp;LEFT($C$5,2)&amp;"输出",标准坦克设计!$B$23:$U$23,0)))*(VLOOKUP($B197,INDIRECT($B$5&amp;"生成成长"),3))*(VLOOKUP($B$5,标准坦克设计!$B$14:$K$20,9)/30))</f>
        <v>9.5283928844964692</v>
      </c>
      <c r="CT197" s="172">
        <f ca="1">(VLOOKUP(CT$72,INDIRECT($C$5&amp;"生成成长"),2))/((VLOOKUP($B197,INDIRECT($B$5&amp;"生成成长"),4))/(VLOOKUP(CT$72,INDIRECT($C$5&amp;"生成成长"),5))*(VLOOKUP($B$5,标准坦克设计!$B$24:$U$30,MATCH("对"&amp;LEFT($C$5,2)&amp;"输出",标准坦克设计!$B$23:$U$23,0)))*(VLOOKUP($B197,INDIRECT($B$5&amp;"生成成长"),3))*(VLOOKUP($B$5,标准坦克设计!$B$14:$K$20,9)/30))</f>
        <v>10.272789541148059</v>
      </c>
      <c r="CU197" s="172">
        <f ca="1">(VLOOKUP(CU$72,INDIRECT($C$5&amp;"生成成长"),2))/((VLOOKUP($B197,INDIRECT($B$5&amp;"生成成长"),4))/(VLOOKUP(CU$72,INDIRECT($C$5&amp;"生成成长"),5))*(VLOOKUP($B$5,标准坦克设计!$B$24:$U$30,MATCH("对"&amp;LEFT($C$5,2)&amp;"输出",标准坦克设计!$B$23:$U$23,0)))*(VLOOKUP($B197,INDIRECT($B$5&amp;"生成成长"),3))*(VLOOKUP($B$5,标准坦克设计!$B$14:$K$20,9)/30))</f>
        <v>11.045180601981414</v>
      </c>
      <c r="CV197" s="172">
        <f ca="1">(VLOOKUP(CV$72,INDIRECT($C$5&amp;"生成成长"),2))/((VLOOKUP($B197,INDIRECT($B$5&amp;"生成成长"),4))/(VLOOKUP(CV$72,INDIRECT($C$5&amp;"生成成长"),5))*(VLOOKUP($B$5,标准坦克设计!$B$24:$U$30,MATCH("对"&amp;LEFT($C$5,2)&amp;"输出",标准坦克设计!$B$23:$U$23,0)))*(VLOOKUP($B197,INDIRECT($B$5&amp;"生成成长"),3))*(VLOOKUP($B$5,标准坦克设计!$B$14:$K$20,9)/30))</f>
        <v>11.845566066996543</v>
      </c>
      <c r="CW197" s="172">
        <f ca="1">(VLOOKUP(CW$72,INDIRECT($C$5&amp;"生成成长"),2))/((VLOOKUP($B197,INDIRECT($B$5&amp;"生成成长"),4))/(VLOOKUP(CW$72,INDIRECT($C$5&amp;"生成成长"),5))*(VLOOKUP($B$5,标准坦克设计!$B$24:$U$30,MATCH("对"&amp;LEFT($C$5,2)&amp;"输出",标准坦克设计!$B$23:$U$23,0)))*(VLOOKUP($B197,INDIRECT($B$5&amp;"生成成长"),3))*(VLOOKUP($B$5,标准坦克设计!$B$14:$K$20,9)/30))</f>
        <v>12.673945936193441</v>
      </c>
      <c r="CX197" s="172">
        <f ca="1">(VLOOKUP(CX$72,INDIRECT($C$5&amp;"生成成长"),2))/((VLOOKUP($B197,INDIRECT($B$5&amp;"生成成长"),4))/(VLOOKUP(CX$72,INDIRECT($C$5&amp;"生成成长"),5))*(VLOOKUP($B$5,标准坦克设计!$B$24:$U$30,MATCH("对"&amp;LEFT($C$5,2)&amp;"输出",标准坦克设计!$B$23:$U$23,0)))*(VLOOKUP($B197,INDIRECT($B$5&amp;"生成成长"),3))*(VLOOKUP($B$5,标准坦克设计!$B$14:$K$20,9)/30))</f>
        <v>13.530320209572107</v>
      </c>
      <c r="CY197" s="172">
        <f ca="1">(VLOOKUP(CY$72,INDIRECT($C$5&amp;"生成成长"),2))/((VLOOKUP($B197,INDIRECT($B$5&amp;"生成成长"),4))/(VLOOKUP(CY$72,INDIRECT($C$5&amp;"生成成长"),5))*(VLOOKUP($B$5,标准坦克设计!$B$24:$U$30,MATCH("对"&amp;LEFT($C$5,2)&amp;"输出",标准坦克设计!$B$23:$U$23,0)))*(VLOOKUP($B197,INDIRECT($B$5&amp;"生成成长"),3))*(VLOOKUP($B$5,标准坦克设计!$B$14:$K$20,9)/30))</f>
        <v>14.414688887132543</v>
      </c>
      <c r="CZ197" s="172">
        <f ca="1">(VLOOKUP(CZ$72,INDIRECT($C$5&amp;"生成成长"),2))/((VLOOKUP($B197,INDIRECT($B$5&amp;"生成成长"),4))/(VLOOKUP(CZ$72,INDIRECT($C$5&amp;"生成成长"),5))*(VLOOKUP($B$5,标准坦克设计!$B$24:$U$30,MATCH("对"&amp;LEFT($C$5,2)&amp;"输出",标准坦克设计!$B$23:$U$23,0)))*(VLOOKUP($B197,INDIRECT($B$5&amp;"生成成长"),3))*(VLOOKUP($B$5,标准坦克设计!$B$14:$K$20,9)/30))</f>
        <v>15.32705196887475</v>
      </c>
      <c r="DA197" s="172">
        <f ca="1">(VLOOKUP(DA$72,INDIRECT($C$5&amp;"生成成长"),2))/((VLOOKUP($B197,INDIRECT($B$5&amp;"生成成长"),4))/(VLOOKUP(DA$72,INDIRECT($C$5&amp;"生成成长"),5))*(VLOOKUP($B$5,标准坦克设计!$B$24:$U$30,MATCH("对"&amp;LEFT($C$5,2)&amp;"输出",标准坦克设计!$B$23:$U$23,0)))*(VLOOKUP($B197,INDIRECT($B$5&amp;"生成成长"),3))*(VLOOKUP($B$5,标准坦克设计!$B$14:$K$20,9)/30))</f>
        <v>16.26740945479872</v>
      </c>
      <c r="DB197" s="172">
        <f ca="1">(VLOOKUP(DB$72,INDIRECT($C$5&amp;"生成成长"),2))/((VLOOKUP($B197,INDIRECT($B$5&amp;"生成成长"),4))/(VLOOKUP(DB$72,INDIRECT($C$5&amp;"生成成长"),5))*(VLOOKUP($B$5,标准坦克设计!$B$24:$U$30,MATCH("对"&amp;LEFT($C$5,2)&amp;"输出",标准坦克设计!$B$23:$U$23,0)))*(VLOOKUP($B197,INDIRECT($B$5&amp;"生成成长"),3))*(VLOOKUP($B$5,标准坦克设计!$B$14:$K$20,9)/30))</f>
        <v>17.235761344904464</v>
      </c>
      <c r="DC197" s="172">
        <f ca="1">(VLOOKUP(DC$72,INDIRECT($C$5&amp;"生成成长"),2))/((VLOOKUP($B197,INDIRECT($B$5&amp;"生成成长"),4))/(VLOOKUP(DC$72,INDIRECT($C$5&amp;"生成成长"),5))*(VLOOKUP($B$5,标准坦克设计!$B$24:$U$30,MATCH("对"&amp;LEFT($C$5,2)&amp;"输出",标准坦克设计!$B$23:$U$23,0)))*(VLOOKUP($B197,INDIRECT($B$5&amp;"生成成长"),3))*(VLOOKUP($B$5,标准坦克设计!$B$14:$K$20,9)/30))</f>
        <v>18.324072727309773</v>
      </c>
      <c r="DD197" s="172">
        <f ca="1">(VLOOKUP(DD$72,INDIRECT($C$5&amp;"生成成长"),2))/((VLOOKUP($B197,INDIRECT($B$5&amp;"生成成长"),4))/(VLOOKUP(DD$72,INDIRECT($C$5&amp;"生成成长"),5))*(VLOOKUP($B$5,标准坦克设计!$B$24:$U$30,MATCH("对"&amp;LEFT($C$5,2)&amp;"输出",标准坦克设计!$B$23:$U$23,0)))*(VLOOKUP($B197,INDIRECT($B$5&amp;"生成成长"),3))*(VLOOKUP($B$5,标准坦克设计!$B$14:$K$20,9)/30))</f>
        <v>19.445699764278508</v>
      </c>
      <c r="DE197" s="172">
        <f ca="1">(VLOOKUP(DE$72,INDIRECT($C$5&amp;"生成成长"),2))/((VLOOKUP($B197,INDIRECT($B$5&amp;"生成成长"),4))/(VLOOKUP(DE$72,INDIRECT($C$5&amp;"生成成长"),5))*(VLOOKUP($B$5,标准坦克设计!$B$24:$U$30,MATCH("对"&amp;LEFT($C$5,2)&amp;"输出",标准坦克设计!$B$23:$U$23,0)))*(VLOOKUP($B197,INDIRECT($B$5&amp;"生成成长"),3))*(VLOOKUP($B$5,标准坦克设计!$B$14:$K$20,9)/30))</f>
        <v>20.600642455810668</v>
      </c>
      <c r="DF197" s="172">
        <f ca="1">(VLOOKUP(DF$72,INDIRECT($C$5&amp;"生成成长"),2))/((VLOOKUP($B197,INDIRECT($B$5&amp;"生成成长"),4))/(VLOOKUP(DF$72,INDIRECT($C$5&amp;"生成成长"),5))*(VLOOKUP($B$5,标准坦克设计!$B$24:$U$30,MATCH("对"&amp;LEFT($C$5,2)&amp;"输出",标准坦克设计!$B$23:$U$23,0)))*(VLOOKUP($B197,INDIRECT($B$5&amp;"生成成长"),3))*(VLOOKUP($B$5,标准坦克设计!$B$14:$K$20,9)/30))</f>
        <v>21.788900801906259</v>
      </c>
      <c r="DG197" s="172">
        <f ca="1">(VLOOKUP(DG$72,INDIRECT($C$5&amp;"生成成长"),2))/((VLOOKUP($B197,INDIRECT($B$5&amp;"生成成长"),4))/(VLOOKUP(DG$72,INDIRECT($C$5&amp;"生成成长"),5))*(VLOOKUP($B$5,标准坦克设计!$B$24:$U$30,MATCH("对"&amp;LEFT($C$5,2)&amp;"输出",标准坦克设计!$B$23:$U$23,0)))*(VLOOKUP($B197,INDIRECT($B$5&amp;"生成成长"),3))*(VLOOKUP($B$5,标准坦克设计!$B$14:$K$20,9)/30))</f>
        <v>23.01047480256528</v>
      </c>
      <c r="DH197" s="172">
        <f ca="1">(VLOOKUP(DH$72,INDIRECT($C$5&amp;"生成成长"),2))/((VLOOKUP($B197,INDIRECT($B$5&amp;"生成成长"),4))/(VLOOKUP(DH$72,INDIRECT($C$5&amp;"生成成长"),5))*(VLOOKUP($B$5,标准坦克设计!$B$24:$U$30,MATCH("对"&amp;LEFT($C$5,2)&amp;"输出",标准坦克设计!$B$23:$U$23,0)))*(VLOOKUP($B197,INDIRECT($B$5&amp;"生成成长"),3))*(VLOOKUP($B$5,标准坦克设计!$B$14:$K$20,9)/30))</f>
        <v>24.265364457787722</v>
      </c>
      <c r="DI197" s="172">
        <f ca="1">(VLOOKUP(DI$72,INDIRECT($C$5&amp;"生成成长"),2))/((VLOOKUP($B197,INDIRECT($B$5&amp;"生成成长"),4))/(VLOOKUP(DI$72,INDIRECT($C$5&amp;"生成成长"),5))*(VLOOKUP($B$5,标准坦克设计!$B$24:$U$30,MATCH("对"&amp;LEFT($C$5,2)&amp;"输出",标准坦克设计!$B$23:$U$23,0)))*(VLOOKUP($B197,INDIRECT($B$5&amp;"生成成长"),3))*(VLOOKUP($B$5,标准坦克设计!$B$14:$K$20,9)/30))</f>
        <v>25.553569767573602</v>
      </c>
      <c r="DJ197" s="172">
        <f ca="1">(VLOOKUP(DJ$72,INDIRECT($C$5&amp;"生成成长"),2))/((VLOOKUP($B197,INDIRECT($B$5&amp;"生成成长"),4))/(VLOOKUP(DJ$72,INDIRECT($C$5&amp;"生成成长"),5))*(VLOOKUP($B$5,标准坦克设计!$B$24:$U$30,MATCH("对"&amp;LEFT($C$5,2)&amp;"输出",标准坦克设计!$B$23:$U$23,0)))*(VLOOKUP($B197,INDIRECT($B$5&amp;"生成成长"),3))*(VLOOKUP($B$5,标准坦克设计!$B$14:$K$20,9)/30))</f>
        <v>2.5681973852870148</v>
      </c>
      <c r="DK197" s="172">
        <f ca="1">(VLOOKUP(DK$72,INDIRECT($C$5&amp;"生成成长"),2))/((VLOOKUP($B197,INDIRECT($B$5&amp;"生成成长"),4))/(VLOOKUP(DK$72,INDIRECT($C$5&amp;"生成成长"),5))*(VLOOKUP($B$5,标准坦克设计!$B$24:$U$30,MATCH("对"&amp;LEFT($C$5,2)&amp;"输出",标准坦克设计!$B$23:$U$23,0)))*(VLOOKUP($B197,INDIRECT($B$5&amp;"生成成长"),3))*(VLOOKUP($B$5,标准坦克设计!$B$14:$K$20,9)/30))</f>
        <v>2.8878194462548996</v>
      </c>
      <c r="DL197" s="172">
        <f ca="1">(VLOOKUP(DL$72,INDIRECT($C$5&amp;"生成成长"),2))/((VLOOKUP($B197,INDIRECT($B$5&amp;"生成成长"),4))/(VLOOKUP(DL$72,INDIRECT($C$5&amp;"生成成长"),5))*(VLOOKUP($B$5,标准坦克设计!$B$24:$U$30,MATCH("对"&amp;LEFT($C$5,2)&amp;"输出",标准坦克设计!$B$23:$U$23,0)))*(VLOOKUP($B197,INDIRECT($B$5&amp;"生成成长"),3))*(VLOOKUP($B$5,标准坦克设计!$B$14:$K$20,9)/30))</f>
        <v>3.226181562914713</v>
      </c>
      <c r="DM197" s="172">
        <f ca="1">(VLOOKUP(DM$72,INDIRECT($C$5&amp;"生成成长"),2))/((VLOOKUP($B197,INDIRECT($B$5&amp;"生成成长"),4))/(VLOOKUP(DM$72,INDIRECT($C$5&amp;"生成成长"),5))*(VLOOKUP($B$5,标准坦克设计!$B$24:$U$30,MATCH("对"&amp;LEFT($C$5,2)&amp;"输出",标准坦克设计!$B$23:$U$23,0)))*(VLOOKUP($B197,INDIRECT($B$5&amp;"生成成长"),3))*(VLOOKUP($B$5,标准坦克设计!$B$14:$K$20,9)/30))</f>
        <v>3.5832837352664546</v>
      </c>
      <c r="DN197" s="172">
        <f ca="1">(VLOOKUP(DN$72,INDIRECT($C$5&amp;"生成成长"),2))/((VLOOKUP($B197,INDIRECT($B$5&amp;"生成成长"),4))/(VLOOKUP(DN$72,INDIRECT($C$5&amp;"生成成长"),5))*(VLOOKUP($B$5,标准坦克设计!$B$24:$U$30,MATCH("对"&amp;LEFT($C$5,2)&amp;"输出",标准坦克设计!$B$23:$U$23,0)))*(VLOOKUP($B197,INDIRECT($B$5&amp;"生成成长"),3))*(VLOOKUP($B$5,标准坦克设计!$B$14:$K$20,9)/30))</f>
        <v>3.9591259633101248</v>
      </c>
      <c r="DO197" s="172">
        <f ca="1">(VLOOKUP(DO$72,INDIRECT($C$5&amp;"生成成长"),2))/((VLOOKUP($B197,INDIRECT($B$5&amp;"生成成长"),4))/(VLOOKUP(DO$72,INDIRECT($C$5&amp;"生成成长"),5))*(VLOOKUP($B$5,标准坦克设计!$B$24:$U$30,MATCH("对"&amp;LEFT($C$5,2)&amp;"输出",标准坦克设计!$B$23:$U$23,0)))*(VLOOKUP($B197,INDIRECT($B$5&amp;"生成成长"),3))*(VLOOKUP($B$5,标准坦克设计!$B$14:$K$20,9)/30))</f>
        <v>4.3537082470457218</v>
      </c>
      <c r="DP197" s="172">
        <f ca="1">(VLOOKUP(DP$72,INDIRECT($C$5&amp;"生成成长"),2))/((VLOOKUP($B197,INDIRECT($B$5&amp;"生成成长"),4))/(VLOOKUP(DP$72,INDIRECT($C$5&amp;"生成成长"),5))*(VLOOKUP($B$5,标准坦克设计!$B$24:$U$30,MATCH("对"&amp;LEFT($C$5,2)&amp;"输出",标准坦克设计!$B$23:$U$23,0)))*(VLOOKUP($B197,INDIRECT($B$5&amp;"生成成长"),3))*(VLOOKUP($B$5,标准坦克设计!$B$14:$K$20,9)/30))</f>
        <v>4.7670305864732487</v>
      </c>
      <c r="DQ197" s="172">
        <f ca="1">(VLOOKUP(DQ$72,INDIRECT($C$5&amp;"生成成长"),2))/((VLOOKUP($B197,INDIRECT($B$5&amp;"生成成长"),4))/(VLOOKUP(DQ$72,INDIRECT($C$5&amp;"生成成长"),5))*(VLOOKUP($B$5,标准坦克设计!$B$24:$U$30,MATCH("对"&amp;LEFT($C$5,2)&amp;"输出",标准坦克设计!$B$23:$U$23,0)))*(VLOOKUP($B197,INDIRECT($B$5&amp;"生成成长"),3))*(VLOOKUP($B$5,标准坦克设计!$B$14:$K$20,9)/30))</f>
        <v>5.1990929815927016</v>
      </c>
      <c r="DR197" s="172">
        <f ca="1">(VLOOKUP(DR$72,INDIRECT($C$5&amp;"生成成长"),2))/((VLOOKUP($B197,INDIRECT($B$5&amp;"生成成长"),4))/(VLOOKUP(DR$72,INDIRECT($C$5&amp;"生成成长"),5))*(VLOOKUP($B$5,标准坦克设计!$B$24:$U$30,MATCH("对"&amp;LEFT($C$5,2)&amp;"输出",标准坦克设计!$B$23:$U$23,0)))*(VLOOKUP($B197,INDIRECT($B$5&amp;"生成成长"),3))*(VLOOKUP($B$5,标准坦克设计!$B$14:$K$20,9)/30))</f>
        <v>5.6498954324040831</v>
      </c>
      <c r="DS197" s="172">
        <f ca="1">(VLOOKUP(DS$72,INDIRECT($C$5&amp;"生成成长"),2))/((VLOOKUP($B197,INDIRECT($B$5&amp;"生成成长"),4))/(VLOOKUP(DS$72,INDIRECT($C$5&amp;"生成成长"),5))*(VLOOKUP($B$5,标准坦克设计!$B$24:$U$30,MATCH("对"&amp;LEFT($C$5,2)&amp;"输出",标准坦克设计!$B$23:$U$23,0)))*(VLOOKUP($B197,INDIRECT($B$5&amp;"生成成长"),3))*(VLOOKUP($B$5,标准坦克设计!$B$14:$K$20,9)/30))</f>
        <v>6.119437938907395</v>
      </c>
      <c r="DT197" s="172">
        <f ca="1">(VLOOKUP(DT$72,INDIRECT($C$5&amp;"生成成长"),2))/((VLOOKUP($B197,INDIRECT($B$5&amp;"生成成长"),4))/(VLOOKUP(DT$72,INDIRECT($C$5&amp;"生成成长"),5))*(VLOOKUP($B$5,标准坦克设计!$B$24:$U$30,MATCH("对"&amp;LEFT($C$5,2)&amp;"输出",标准坦克设计!$B$23:$U$23,0)))*(VLOOKUP($B197,INDIRECT($B$5&amp;"生成成长"),3))*(VLOOKUP($B$5,标准坦克设计!$B$14:$K$20,9)/30))</f>
        <v>6.7187726829807257</v>
      </c>
      <c r="DU197" s="172">
        <f ca="1">(VLOOKUP(DU$72,INDIRECT($C$5&amp;"生成成长"),2))/((VLOOKUP($B197,INDIRECT($B$5&amp;"生成成长"),4))/(VLOOKUP(DU$72,INDIRECT($C$5&amp;"生成成长"),5))*(VLOOKUP($B$5,标准坦克设计!$B$24:$U$30,MATCH("对"&amp;LEFT($C$5,2)&amp;"输出",标准坦克设计!$B$23:$U$23,0)))*(VLOOKUP($B197,INDIRECT($B$5&amp;"生成成长"),3))*(VLOOKUP($B$5,标准坦克设计!$B$14:$K$20,9)/30))</f>
        <v>7.3461018312358268</v>
      </c>
      <c r="DV197" s="172">
        <f ca="1">(VLOOKUP(DV$72,INDIRECT($C$5&amp;"生成成长"),2))/((VLOOKUP($B197,INDIRECT($B$5&amp;"生成成长"),4))/(VLOOKUP(DV$72,INDIRECT($C$5&amp;"生成成长"),5))*(VLOOKUP($B$5,标准坦克设计!$B$24:$U$30,MATCH("对"&amp;LEFT($C$5,2)&amp;"输出",标准坦克设计!$B$23:$U$23,0)))*(VLOOKUP($B197,INDIRECT($B$5&amp;"生成成长"),3))*(VLOOKUP($B$5,标准坦克设计!$B$14:$K$20,9)/30))</f>
        <v>8.0014253836726947</v>
      </c>
      <c r="DW197" s="172">
        <f ca="1">(VLOOKUP(DW$72,INDIRECT($C$5&amp;"生成成长"),2))/((VLOOKUP($B197,INDIRECT($B$5&amp;"生成成长"),4))/(VLOOKUP(DW$72,INDIRECT($C$5&amp;"生成成长"),5))*(VLOOKUP($B$5,标准坦克设计!$B$24:$U$30,MATCH("对"&amp;LEFT($C$5,2)&amp;"输出",标准坦克设计!$B$23:$U$23,0)))*(VLOOKUP($B197,INDIRECT($B$5&amp;"生成成长"),3))*(VLOOKUP($B$5,标准坦克设计!$B$14:$K$20,9)/30))</f>
        <v>8.6847433402913339</v>
      </c>
      <c r="DX197" s="172">
        <f ca="1">(VLOOKUP(DX$72,INDIRECT($C$5&amp;"生成成长"),2))/((VLOOKUP($B197,INDIRECT($B$5&amp;"生成成长"),4))/(VLOOKUP(DX$72,INDIRECT($C$5&amp;"生成成长"),5))*(VLOOKUP($B$5,标准坦克设计!$B$24:$U$30,MATCH("对"&amp;LEFT($C$5,2)&amp;"输出",标准坦克设计!$B$23:$U$23,0)))*(VLOOKUP($B197,INDIRECT($B$5&amp;"生成成长"),3))*(VLOOKUP($B$5,标准坦克设计!$B$14:$K$20,9)/30))</f>
        <v>9.3960557010917398</v>
      </c>
      <c r="DY197" s="172">
        <f ca="1">(VLOOKUP(DY$72,INDIRECT($C$5&amp;"生成成长"),2))/((VLOOKUP($B197,INDIRECT($B$5&amp;"生成成长"),4))/(VLOOKUP(DY$72,INDIRECT($C$5&amp;"生成成长"),5))*(VLOOKUP($B$5,标准坦克设计!$B$24:$U$30,MATCH("对"&amp;LEFT($C$5,2)&amp;"输出",标准坦克设计!$B$23:$U$23,0)))*(VLOOKUP($B197,INDIRECT($B$5&amp;"生成成长"),3))*(VLOOKUP($B$5,标准坦克设计!$B$14:$K$20,9)/30))</f>
        <v>4.2200985907236417</v>
      </c>
      <c r="DZ197" s="172">
        <f ca="1">(VLOOKUP(DZ$72,INDIRECT($C$5&amp;"生成成长"),2))/((VLOOKUP($B197,INDIRECT($B$5&amp;"生成成长"),4))/(VLOOKUP(DZ$72,INDIRECT($C$5&amp;"生成成长"),5))*(VLOOKUP($B$5,标准坦克设计!$B$24:$U$30,MATCH("对"&amp;LEFT($C$5,2)&amp;"输出",标准坦克设计!$B$23:$U$23,0)))*(VLOOKUP($B197,INDIRECT($B$5&amp;"生成成长"),3))*(VLOOKUP($B$5,标准坦克设计!$B$14:$K$20,9)/30))</f>
        <v>4.6735616667258535</v>
      </c>
      <c r="EA197" s="172">
        <f ca="1">(VLOOKUP(EA$72,INDIRECT($C$5&amp;"生成成长"),2))/((VLOOKUP($B197,INDIRECT($B$5&amp;"生成成长"),4))/(VLOOKUP(EA$72,INDIRECT($C$5&amp;"生成成长"),5))*(VLOOKUP($B$5,标准坦克设计!$B$24:$U$30,MATCH("对"&amp;LEFT($C$5,2)&amp;"输出",标准坦克设计!$B$23:$U$23,0)))*(VLOOKUP($B197,INDIRECT($B$5&amp;"生成成长"),3))*(VLOOKUP($B$5,标准坦克设计!$B$14:$K$20,9)/30))</f>
        <v>5.150160613952667</v>
      </c>
      <c r="EB197" s="172">
        <f ca="1">(VLOOKUP(EB$72,INDIRECT($C$5&amp;"生成成长"),2))/((VLOOKUP($B197,INDIRECT($B$5&amp;"生成成长"),4))/(VLOOKUP(EB$72,INDIRECT($C$5&amp;"生成成长"),5))*(VLOOKUP($B$5,标准坦克设计!$B$24:$U$30,MATCH("对"&amp;LEFT($C$5,2)&amp;"输出",标准坦克设计!$B$23:$U$23,0)))*(VLOOKUP($B197,INDIRECT($B$5&amp;"生成成长"),3))*(VLOOKUP($B$5,标准坦克设计!$B$14:$K$20,9)/30))</f>
        <v>5.6498954324040831</v>
      </c>
      <c r="EC197" s="172">
        <f ca="1">(VLOOKUP(EC$72,INDIRECT($C$5&amp;"生成成长"),2))/((VLOOKUP($B197,INDIRECT($B$5&amp;"生成成长"),4))/(VLOOKUP(EC$72,INDIRECT($C$5&amp;"生成成长"),5))*(VLOOKUP($B$5,标准坦克设计!$B$24:$U$30,MATCH("对"&amp;LEFT($C$5,2)&amp;"输出",标准坦克设计!$B$23:$U$23,0)))*(VLOOKUP($B197,INDIRECT($B$5&amp;"生成成长"),3))*(VLOOKUP($B$5,标准坦克设计!$B$14:$K$20,9)/30))</f>
        <v>6.1727661220801036</v>
      </c>
      <c r="ED197" s="172">
        <f ca="1">(VLOOKUP(ED$72,INDIRECT($C$5&amp;"生成成长"),2))/((VLOOKUP($B197,INDIRECT($B$5&amp;"生成成长"),4))/(VLOOKUP(ED$72,INDIRECT($C$5&amp;"生成成长"),5))*(VLOOKUP($B$5,标准坦克设计!$B$24:$U$30,MATCH("对"&amp;LEFT($C$5,2)&amp;"输出",标准坦克设计!$B$23:$U$23,0)))*(VLOOKUP($B197,INDIRECT($B$5&amp;"生成成长"),3))*(VLOOKUP($B$5,标准坦克设计!$B$14:$K$20,9)/30))</f>
        <v>6.7187726829807257</v>
      </c>
      <c r="EE197" s="172">
        <f ca="1">(VLOOKUP(EE$72,INDIRECT($C$5&amp;"生成成长"),2))/((VLOOKUP($B197,INDIRECT($B$5&amp;"生成成长"),4))/(VLOOKUP(EE$72,INDIRECT($C$5&amp;"生成成长"),5))*(VLOOKUP($B$5,标准坦克设计!$B$24:$U$30,MATCH("对"&amp;LEFT($C$5,2)&amp;"输出",标准坦克设计!$B$23:$U$23,0)))*(VLOOKUP($B197,INDIRECT($B$5&amp;"生成成长"),3))*(VLOOKUP($B$5,标准坦克设计!$B$14:$K$20,9)/30))</f>
        <v>7.2879151151059505</v>
      </c>
      <c r="EF197" s="172">
        <f ca="1">(VLOOKUP(EF$72,INDIRECT($C$5&amp;"生成成长"),2))/((VLOOKUP($B197,INDIRECT($B$5&amp;"生成成长"),4))/(VLOOKUP(EF$72,INDIRECT($C$5&amp;"生成成长"),5))*(VLOOKUP($B$5,标准坦克设计!$B$24:$U$30,MATCH("对"&amp;LEFT($C$5,2)&amp;"输出",标准坦克设计!$B$23:$U$23,0)))*(VLOOKUP($B197,INDIRECT($B$5&amp;"生成成长"),3))*(VLOOKUP($B$5,标准坦克设计!$B$14:$K$20,9)/30))</f>
        <v>7.8801934184557778</v>
      </c>
      <c r="EG197" s="172">
        <f ca="1">(VLOOKUP(EG$72,INDIRECT($C$5&amp;"生成成长"),2))/((VLOOKUP($B197,INDIRECT($B$5&amp;"生成成长"),4))/(VLOOKUP(EG$72,INDIRECT($C$5&amp;"生成成长"),5))*(VLOOKUP($B$5,标准坦克设计!$B$24:$U$30,MATCH("对"&amp;LEFT($C$5,2)&amp;"输出",标准坦克设计!$B$23:$U$23,0)))*(VLOOKUP($B197,INDIRECT($B$5&amp;"生成成长"),3))*(VLOOKUP($B$5,标准坦克设计!$B$14:$K$20,9)/30))</f>
        <v>8.4956075930302077</v>
      </c>
      <c r="EH197" s="172">
        <f ca="1">(VLOOKUP(EH$72,INDIRECT($C$5&amp;"生成成长"),2))/((VLOOKUP($B197,INDIRECT($B$5&amp;"生成成长"),4))/(VLOOKUP(EH$72,INDIRECT($C$5&amp;"生成成长"),5))*(VLOOKUP($B$5,标准坦克设计!$B$24:$U$30,MATCH("对"&amp;LEFT($C$5,2)&amp;"输出",标准坦克设计!$B$23:$U$23,0)))*(VLOOKUP($B197,INDIRECT($B$5&amp;"生成成长"),3))*(VLOOKUP($B$5,标准坦克设计!$B$14:$K$20,9)/30))</f>
        <v>9.1341576388292403</v>
      </c>
      <c r="EI197" s="172">
        <f ca="1">(VLOOKUP(EI$72,INDIRECT($C$5&amp;"生成成长"),2))/((VLOOKUP($B197,INDIRECT($B$5&amp;"生成成长"),4))/(VLOOKUP(EI$72,INDIRECT($C$5&amp;"生成成长"),5))*(VLOOKUP($B$5,标准坦克设计!$B$24:$U$30,MATCH("对"&amp;LEFT($C$5,2)&amp;"输出",标准坦克设计!$B$23:$U$23,0)))*(VLOOKUP($B197,INDIRECT($B$5&amp;"生成成长"),3))*(VLOOKUP($B$5,标准坦克设计!$B$14:$K$20,9)/30))</f>
        <v>9.7958435558528745</v>
      </c>
      <c r="EJ197" s="172">
        <f ca="1">(VLOOKUP(EJ$72,INDIRECT($C$5&amp;"生成成长"),2))/((VLOOKUP($B197,INDIRECT($B$5&amp;"生成成长"),4))/(VLOOKUP(EJ$72,INDIRECT($C$5&amp;"生成成长"),5))*(VLOOKUP($B$5,标准坦克设计!$B$24:$U$30,MATCH("对"&amp;LEFT($C$5,2)&amp;"输出",标准坦克设计!$B$23:$U$23,0)))*(VLOOKUP($B197,INDIRECT($B$5&amp;"生成成长"),3))*(VLOOKUP($B$5,标准坦克设计!$B$14:$K$20,9)/30))</f>
        <v>10.480665344101114</v>
      </c>
      <c r="EK197" s="172">
        <f ca="1">(VLOOKUP(EK$72,INDIRECT($C$5&amp;"生成成长"),2))/((VLOOKUP($B197,INDIRECT($B$5&amp;"生成成长"),4))/(VLOOKUP(EK$72,INDIRECT($C$5&amp;"生成成长"),5))*(VLOOKUP($B$5,标准坦克设计!$B$24:$U$30,MATCH("对"&amp;LEFT($C$5,2)&amp;"输出",标准坦克设计!$B$23:$U$23,0)))*(VLOOKUP($B197,INDIRECT($B$5&amp;"生成成长"),3))*(VLOOKUP($B$5,标准坦克设计!$B$14:$K$20,9)/30))</f>
        <v>11.332990840015475</v>
      </c>
      <c r="EL197" s="172">
        <f ca="1">(VLOOKUP(EL$72,INDIRECT($C$5&amp;"生成成长"),2))/((VLOOKUP($B197,INDIRECT($B$5&amp;"生成成长"),4))/(VLOOKUP(EL$72,INDIRECT($C$5&amp;"生成成长"),5))*(VLOOKUP($B$5,标准坦克设计!$B$24:$U$30,MATCH("对"&amp;LEFT($C$5,2)&amp;"输出",标准坦克设计!$B$23:$U$23,0)))*(VLOOKUP($B197,INDIRECT($B$5&amp;"生成成长"),3))*(VLOOKUP($B$5,标准坦克设计!$B$14:$K$20,9)/30))</f>
        <v>12.218631990493265</v>
      </c>
      <c r="EM197" s="172">
        <f ca="1">(VLOOKUP(EM$72,INDIRECT($C$5&amp;"生成成长"),2))/((VLOOKUP($B197,INDIRECT($B$5&amp;"生成成长"),4))/(VLOOKUP(EM$72,INDIRECT($C$5&amp;"生成成长"),5))*(VLOOKUP($B$5,标准坦克设计!$B$24:$U$30,MATCH("对"&amp;LEFT($C$5,2)&amp;"输出",标准坦克设计!$B$23:$U$23,0)))*(VLOOKUP($B197,INDIRECT($B$5&amp;"生成成长"),3))*(VLOOKUP($B$5,标准坦克设计!$B$14:$K$20,9)/30))</f>
        <v>13.137588795534478</v>
      </c>
      <c r="EN197" s="172">
        <f ca="1">(VLOOKUP(EN$72,INDIRECT($C$5&amp;"生成成长"),2))/((VLOOKUP($B197,INDIRECT($B$5&amp;"生成成长"),4))/(VLOOKUP(EN$72,INDIRECT($C$5&amp;"生成成长"),5))*(VLOOKUP($B$5,标准坦克设计!$B$24:$U$30,MATCH("对"&amp;LEFT($C$5,2)&amp;"输出",标准坦克设计!$B$23:$U$23,0)))*(VLOOKUP($B197,INDIRECT($B$5&amp;"生成成长"),3))*(VLOOKUP($B$5,标准坦克设计!$B$14:$K$20,9)/30))</f>
        <v>14.089861255139121</v>
      </c>
      <c r="EO197" s="172">
        <f ca="1">(VLOOKUP(EO$72,INDIRECT($C$5&amp;"生成成长"),2))/((VLOOKUP($B197,INDIRECT($B$5&amp;"生成成长"),4))/(VLOOKUP(EO$72,INDIRECT($C$5&amp;"生成成长"),5))*(VLOOKUP($B$5,标准坦克设计!$B$24:$U$30,MATCH("对"&amp;LEFT($C$5,2)&amp;"输出",标准坦克设计!$B$23:$U$23,0)))*(VLOOKUP($B197,INDIRECT($B$5&amp;"生成成长"),3))*(VLOOKUP($B$5,标准坦克设计!$B$14:$K$20,9)/30))</f>
        <v>15.075449369307195</v>
      </c>
      <c r="EP197" s="172">
        <f ca="1">(VLOOKUP(EP$72,INDIRECT($C$5&amp;"生成成长"),2))/((VLOOKUP($B197,INDIRECT($B$5&amp;"生成成长"),4))/(VLOOKUP(EP$72,INDIRECT($C$5&amp;"生成成长"),5))*(VLOOKUP($B$5,标准坦克设计!$B$24:$U$30,MATCH("对"&amp;LEFT($C$5,2)&amp;"输出",标准坦克设计!$B$23:$U$23,0)))*(VLOOKUP($B197,INDIRECT($B$5&amp;"生成成长"),3))*(VLOOKUP($B$5,标准坦克设计!$B$14:$K$20,9)/30))</f>
        <v>16.094353138038691</v>
      </c>
      <c r="EQ197" s="172">
        <f ca="1">(VLOOKUP(EQ$72,INDIRECT($C$5&amp;"生成成长"),2))/((VLOOKUP($B197,INDIRECT($B$5&amp;"生成成长"),4))/(VLOOKUP(EQ$72,INDIRECT($C$5&amp;"生成成长"),5))*(VLOOKUP($B$5,标准坦克设计!$B$24:$U$30,MATCH("对"&amp;LEFT($C$5,2)&amp;"输出",标准坦克设计!$B$23:$U$23,0)))*(VLOOKUP($B197,INDIRECT($B$5&amp;"生成成长"),3))*(VLOOKUP($B$5,标准坦克设计!$B$14:$K$20,9)/30))</f>
        <v>7.1147431189897992</v>
      </c>
      <c r="ER197" s="172">
        <f ca="1">(VLOOKUP(ER$72,INDIRECT($C$5&amp;"生成成长"),2))/((VLOOKUP($B197,INDIRECT($B$5&amp;"生成成长"),4))/(VLOOKUP(ER$72,INDIRECT($C$5&amp;"生成成长"),5))*(VLOOKUP($B$5,标准坦克设计!$B$24:$U$30,MATCH("对"&amp;LEFT($C$5,2)&amp;"输出",标准坦克设计!$B$23:$U$23,0)))*(VLOOKUP($B197,INDIRECT($B$5&amp;"生成成长"),3))*(VLOOKUP($B$5,标准坦克设计!$B$14:$K$20,9)/30))</f>
        <v>7.7598868880878431</v>
      </c>
      <c r="ES197" s="172">
        <f ca="1">(VLOOKUP(ES$72,INDIRECT($C$5&amp;"生成成长"),2))/((VLOOKUP($B197,INDIRECT($B$5&amp;"生成成长"),4))/(VLOOKUP(ES$72,INDIRECT($C$5&amp;"生成成长"),5))*(VLOOKUP($B$5,标准坦克设计!$B$24:$U$30,MATCH("对"&amp;LEFT($C$5,2)&amp;"输出",标准坦克设计!$B$23:$U$23,0)))*(VLOOKUP($B197,INDIRECT($B$5&amp;"生成成长"),3))*(VLOOKUP($B$5,标准坦克设计!$B$14:$K$20,9)/30))</f>
        <v>8.4330250613676583</v>
      </c>
      <c r="ET197" s="172">
        <f ca="1">(VLOOKUP(ET$72,INDIRECT($C$5&amp;"生成成长"),2))/((VLOOKUP($B197,INDIRECT($B$5&amp;"生成成长"),4))/(VLOOKUP(ET$72,INDIRECT($C$5&amp;"生成成长"),5))*(VLOOKUP($B$5,标准坦克设计!$B$24:$U$30,MATCH("对"&amp;LEFT($C$5,2)&amp;"输出",标准坦克设计!$B$23:$U$23,0)))*(VLOOKUP($B197,INDIRECT($B$5&amp;"生成成长"),3))*(VLOOKUP($B$5,标准坦克设计!$B$14:$K$20,9)/30))</f>
        <v>9.1341576388292403</v>
      </c>
      <c r="EU197" s="172">
        <f ca="1">(VLOOKUP(EU$72,INDIRECT($C$5&amp;"生成成长"),2))/((VLOOKUP($B197,INDIRECT($B$5&amp;"生成成长"),4))/(VLOOKUP(EU$72,INDIRECT($C$5&amp;"生成成长"),5))*(VLOOKUP($B$5,标准坦克设计!$B$24:$U$30,MATCH("对"&amp;LEFT($C$5,2)&amp;"输出",标准坦克设计!$B$23:$U$23,0)))*(VLOOKUP($B197,INDIRECT($B$5&amp;"生成成长"),3))*(VLOOKUP($B$5,标准坦克设计!$B$14:$K$20,9)/30))</f>
        <v>9.8632846204725926</v>
      </c>
      <c r="EV197" s="172">
        <f ca="1">(VLOOKUP(EV$72,INDIRECT($C$5&amp;"生成成长"),2))/((VLOOKUP($B197,INDIRECT($B$5&amp;"生成成长"),4))/(VLOOKUP(EV$72,INDIRECT($C$5&amp;"生成成长"),5))*(VLOOKUP($B$5,标准坦克设计!$B$24:$U$30,MATCH("对"&amp;LEFT($C$5,2)&amp;"输出",标准坦克设计!$B$23:$U$23,0)))*(VLOOKUP($B197,INDIRECT($B$5&amp;"生成成长"),3))*(VLOOKUP($B$5,标准坦克设计!$B$14:$K$20,9)/30))</f>
        <v>10.620406006297713</v>
      </c>
      <c r="EW197" s="172">
        <f ca="1">(VLOOKUP(EW$72,INDIRECT($C$5&amp;"生成成长"),2))/((VLOOKUP($B197,INDIRECT($B$5&amp;"生成成长"),4))/(VLOOKUP(EW$72,INDIRECT($C$5&amp;"生成成长"),5))*(VLOOKUP($B$5,标准坦克设计!$B$24:$U$30,MATCH("对"&amp;LEFT($C$5,2)&amp;"输出",标准坦克设计!$B$23:$U$23,0)))*(VLOOKUP($B197,INDIRECT($B$5&amp;"生成成长"),3))*(VLOOKUP($B$5,标准坦克设计!$B$14:$K$20,9)/30))</f>
        <v>11.405521796304603</v>
      </c>
      <c r="EX197" s="172">
        <f ca="1">(VLOOKUP(EX$72,INDIRECT($C$5&amp;"生成成长"),2))/((VLOOKUP($B197,INDIRECT($B$5&amp;"生成成长"),4))/(VLOOKUP(EX$72,INDIRECT($C$5&amp;"生成成长"),5))*(VLOOKUP($B$5,标准坦克设计!$B$24:$U$30,MATCH("对"&amp;LEFT($C$5,2)&amp;"输出",标准坦克设计!$B$23:$U$23,0)))*(VLOOKUP($B197,INDIRECT($B$5&amp;"生成成长"),3))*(VLOOKUP($B$5,标准坦克设计!$B$14:$K$20,9)/30))</f>
        <v>12.218631990493265</v>
      </c>
      <c r="EY197" s="172">
        <f ca="1">(VLOOKUP(EY$72,INDIRECT($C$5&amp;"生成成长"),2))/((VLOOKUP($B197,INDIRECT($B$5&amp;"生成成长"),4))/(VLOOKUP(EY$72,INDIRECT($C$5&amp;"生成成长"),5))*(VLOOKUP($B$5,标准坦克设计!$B$24:$U$30,MATCH("对"&amp;LEFT($C$5,2)&amp;"输出",标准坦克设计!$B$23:$U$23,0)))*(VLOOKUP($B197,INDIRECT($B$5&amp;"生成成长"),3))*(VLOOKUP($B$5,标准坦克设计!$B$14:$K$20,9)/30))</f>
        <v>13.059736588863691</v>
      </c>
      <c r="EZ197" s="172">
        <f ca="1">(VLOOKUP(EZ$72,INDIRECT($C$5&amp;"生成成长"),2))/((VLOOKUP($B197,INDIRECT($B$5&amp;"生成成长"),4))/(VLOOKUP(EZ$72,INDIRECT($C$5&amp;"生成成长"),5))*(VLOOKUP($B$5,标准坦克设计!$B$24:$U$30,MATCH("对"&amp;LEFT($C$5,2)&amp;"输出",标准坦克设计!$B$23:$U$23,0)))*(VLOOKUP($B197,INDIRECT($B$5&amp;"生成成长"),3))*(VLOOKUP($B$5,标准坦克设计!$B$14:$K$20,9)/30))</f>
        <v>13.928835591415888</v>
      </c>
      <c r="FA197" s="172">
        <f ca="1">(VLOOKUP(FA$72,INDIRECT($C$5&amp;"生成成长"),2))/((VLOOKUP($B197,INDIRECT($B$5&amp;"生成成长"),4))/(VLOOKUP(FA$72,INDIRECT($C$5&amp;"生成成长"),5))*(VLOOKUP($B$5,标准坦克设计!$B$24:$U$30,MATCH("对"&amp;LEFT($C$5,2)&amp;"输出",标准坦克设计!$B$23:$U$23,0)))*(VLOOKUP($B197,INDIRECT($B$5&amp;"生成成长"),3))*(VLOOKUP($B$5,标准坦克设计!$B$14:$K$20,9)/30))</f>
        <v>14.825928998149852</v>
      </c>
      <c r="FB197" s="172">
        <f ca="1">(VLOOKUP(FB$72,INDIRECT($C$5&amp;"生成成长"),2))/((VLOOKUP($B197,INDIRECT($B$5&amp;"生成成长"),4))/(VLOOKUP(FB$72,INDIRECT($C$5&amp;"生成成长"),5))*(VLOOKUP($B$5,标准坦克设计!$B$24:$U$30,MATCH("对"&amp;LEFT($C$5,2)&amp;"输出",标准坦克设计!$B$23:$U$23,0)))*(VLOOKUP($B197,INDIRECT($B$5&amp;"生成成长"),3))*(VLOOKUP($B$5,标准坦克设计!$B$14:$K$20,9)/30))</f>
        <v>15.751016809065591</v>
      </c>
      <c r="FC197" s="172">
        <f ca="1">(VLOOKUP(FC$72,INDIRECT($C$5&amp;"生成成长"),2))/((VLOOKUP($B197,INDIRECT($B$5&amp;"生成成长"),4))/(VLOOKUP(FC$72,INDIRECT($C$5&amp;"生成成长"),5))*(VLOOKUP($B$5,标准坦克设计!$B$24:$U$30,MATCH("对"&amp;LEFT($C$5,2)&amp;"输出",标准坦克设计!$B$23:$U$23,0)))*(VLOOKUP($B197,INDIRECT($B$5&amp;"生成成长"),3))*(VLOOKUP($B$5,标准坦克设计!$B$14:$K$20,9)/30))</f>
        <v>16.704099024163096</v>
      </c>
      <c r="FD197" s="172">
        <f ca="1">(VLOOKUP(FD$72,INDIRECT($C$5&amp;"生成成长"),2))/((VLOOKUP($B197,INDIRECT($B$5&amp;"生成成长"),4))/(VLOOKUP(FD$72,INDIRECT($C$5&amp;"生成成长"),5))*(VLOOKUP($B$5,标准坦克设计!$B$24:$U$30,MATCH("对"&amp;LEFT($C$5,2)&amp;"输出",标准坦克设计!$B$23:$U$23,0)))*(VLOOKUP($B197,INDIRECT($B$5&amp;"生成成长"),3))*(VLOOKUP($B$5,标准坦克设计!$B$14:$K$20,9)/30))</f>
        <v>17.685175643442371</v>
      </c>
      <c r="FE197" s="172">
        <f ca="1">(VLOOKUP(FE$72,INDIRECT($C$5&amp;"生成成长"),2))/((VLOOKUP($B197,INDIRECT($B$5&amp;"生成成长"),4))/(VLOOKUP(FE$72,INDIRECT($C$5&amp;"生成成长"),5))*(VLOOKUP($B$5,标准坦克设计!$B$24:$U$30,MATCH("对"&amp;LEFT($C$5,2)&amp;"输出",标准坦克设计!$B$23:$U$23,0)))*(VLOOKUP($B197,INDIRECT($B$5&amp;"生成成长"),3))*(VLOOKUP($B$5,标准坦克设计!$B$14:$K$20,9)/30))</f>
        <v>18.880721788973709</v>
      </c>
      <c r="FF197" s="172">
        <f ca="1">(VLOOKUP(FF$72,INDIRECT($C$5&amp;"生成成长"),2))/((VLOOKUP($B197,INDIRECT($B$5&amp;"生成成长"),4))/(VLOOKUP(FF$72,INDIRECT($C$5&amp;"生成成长"),5))*(VLOOKUP($B$5,标准坦克设计!$B$24:$U$30,MATCH("对"&amp;LEFT($C$5,2)&amp;"输出",标准坦克设计!$B$23:$U$23,0)))*(VLOOKUP($B197,INDIRECT($B$5&amp;"生成成长"),3))*(VLOOKUP($B$5,标准坦克设计!$B$14:$K$20,9)/30))</f>
        <v>20.115367556874627</v>
      </c>
      <c r="FG197" s="172">
        <f ca="1">(VLOOKUP(FG$72,INDIRECT($C$5&amp;"生成成长"),2))/((VLOOKUP($B197,INDIRECT($B$5&amp;"生成成长"),4))/(VLOOKUP(FG$72,INDIRECT($C$5&amp;"生成成长"),5))*(VLOOKUP($B$5,标准坦克设计!$B$24:$U$30,MATCH("对"&amp;LEFT($C$5,2)&amp;"输出",标准坦克设计!$B$23:$U$23,0)))*(VLOOKUP($B197,INDIRECT($B$5&amp;"生成成长"),3))*(VLOOKUP($B$5,标准坦克设计!$B$14:$K$20,9)/30))</f>
        <v>21.389112947145129</v>
      </c>
      <c r="FH197" s="172">
        <f ca="1">(VLOOKUP(FH$72,INDIRECT($C$5&amp;"生成成长"),2))/((VLOOKUP($B197,INDIRECT($B$5&amp;"生成成长"),4))/(VLOOKUP(FH$72,INDIRECT($C$5&amp;"生成成长"),5))*(VLOOKUP($B$5,标准坦克设计!$B$24:$U$30,MATCH("对"&amp;LEFT($C$5,2)&amp;"输出",标准坦克设计!$B$23:$U$23,0)))*(VLOOKUP($B197,INDIRECT($B$5&amp;"生成成长"),3))*(VLOOKUP($B$5,标准坦克设计!$B$14:$K$20,9)/30))</f>
        <v>22.701957959785201</v>
      </c>
      <c r="FI197" s="172">
        <f ca="1">(VLOOKUP(FI$72,INDIRECT($C$5&amp;"生成成长"),2))/((VLOOKUP($B197,INDIRECT($B$5&amp;"生成成长"),4))/(VLOOKUP(FI$72,INDIRECT($C$5&amp;"生成成长"),5))*(VLOOKUP($B$5,标准坦克设计!$B$24:$U$30,MATCH("对"&amp;LEFT($C$5,2)&amp;"输出",标准坦克设计!$B$23:$U$23,0)))*(VLOOKUP($B197,INDIRECT($B$5&amp;"生成成长"),3))*(VLOOKUP($B$5,标准坦克设计!$B$14:$K$20,9)/30))</f>
        <v>24.053902594794856</v>
      </c>
      <c r="FJ197" s="172">
        <f ca="1">(VLOOKUP(FJ$72,INDIRECT($C$5&amp;"生成成长"),2))/((VLOOKUP($B197,INDIRECT($B$5&amp;"生成成长"),4))/(VLOOKUP(FJ$72,INDIRECT($C$5&amp;"生成成长"),5))*(VLOOKUP($B$5,标准坦克设计!$B$24:$U$30,MATCH("对"&amp;LEFT($C$5,2)&amp;"输出",标准坦克设计!$B$23:$U$23,0)))*(VLOOKUP($B197,INDIRECT($B$5&amp;"生成成长"),3))*(VLOOKUP($B$5,标准坦克设计!$B$14:$K$20,9)/30))</f>
        <v>25.444946852174091</v>
      </c>
      <c r="FK197" s="172">
        <f ca="1">(VLOOKUP(FK$72,INDIRECT($C$5&amp;"生成成长"),2))/((VLOOKUP($B197,INDIRECT($B$5&amp;"生成成长"),4))/(VLOOKUP(FK$72,INDIRECT($C$5&amp;"生成成长"),5))*(VLOOKUP($B$5,标准坦克设计!$B$24:$U$30,MATCH("对"&amp;LEFT($C$5,2)&amp;"输出",标准坦克设计!$B$23:$U$23,0)))*(VLOOKUP($B197,INDIRECT($B$5&amp;"生成成长"),3))*(VLOOKUP($B$5,标准坦克设计!$B$14:$K$20,9)/30))</f>
        <v>26.875090731922903</v>
      </c>
    </row>
    <row r="198" spans="1:167" x14ac:dyDescent="0.15">
      <c r="A198" s="170" t="str">
        <f t="shared" si="12"/>
        <v>T3高品质15级</v>
      </c>
      <c r="B198" s="171">
        <v>30315</v>
      </c>
      <c r="C198" s="172">
        <f ca="1">(VLOOKUP(C$72,INDIRECT($C$5&amp;"生成成长"),2))/((VLOOKUP($B198,INDIRECT($B$5&amp;"生成成长"),4))/(VLOOKUP(C$72,INDIRECT($C$5&amp;"生成成长"),5))*(VLOOKUP($B$5,标准坦克设计!$B$24:$U$30,MATCH("对"&amp;LEFT($C$5,2)&amp;"输出",标准坦克设计!$B$23:$U$23,0)))*(VLOOKUP($B198,INDIRECT($B$5&amp;"生成成长"),3))*(VLOOKUP($B$5,标准坦克设计!$B$14:$K$20,9)/30))</f>
        <v>1.0673008165667701</v>
      </c>
      <c r="D198" s="172">
        <f ca="1">(VLOOKUP(D$72,INDIRECT($C$5&amp;"生成成长"),2))/((VLOOKUP($B198,INDIRECT($B$5&amp;"生成成长"),4))/(VLOOKUP(D$72,INDIRECT($C$5&amp;"生成成长"),5))*(VLOOKUP($B$5,标准坦克设计!$B$24:$U$30,MATCH("对"&amp;LEFT($C$5,2)&amp;"输出",标准坦克设计!$B$23:$U$23,0)))*(VLOOKUP($B198,INDIRECT($B$5&amp;"生成成长"),3))*(VLOOKUP($B$5,标准坦克设计!$B$14:$K$20,9)/30))</f>
        <v>1.1992191974944231</v>
      </c>
      <c r="E198" s="172">
        <f ca="1">(VLOOKUP(E$72,INDIRECT($C$5&amp;"生成成长"),2))/((VLOOKUP($B198,INDIRECT($B$5&amp;"生成成长"),4))/(VLOOKUP(E$72,INDIRECT($C$5&amp;"生成成长"),5))*(VLOOKUP($B$5,标准坦克设计!$B$24:$U$30,MATCH("对"&amp;LEFT($C$5,2)&amp;"输出",标准坦克设计!$B$23:$U$23,0)))*(VLOOKUP($B198,INDIRECT($B$5&amp;"生成成长"),3))*(VLOOKUP($B$5,标准坦克设计!$B$14:$K$20,9)/30))</f>
        <v>1.3388221443013566</v>
      </c>
      <c r="F198" s="172">
        <f ca="1">(VLOOKUP(F$72,INDIRECT($C$5&amp;"生成成长"),2))/((VLOOKUP($B198,INDIRECT($B$5&amp;"生成成长"),4))/(VLOOKUP(F$72,INDIRECT($C$5&amp;"生成成长"),5))*(VLOOKUP($B$5,标准坦克设计!$B$24:$U$30,MATCH("对"&amp;LEFT($C$5,2)&amp;"输出",标准坦克设计!$B$23:$U$23,0)))*(VLOOKUP($B198,INDIRECT($B$5&amp;"生成成长"),3))*(VLOOKUP($B$5,标准坦克设计!$B$14:$K$20,9)/30))</f>
        <v>1.4861096569875711</v>
      </c>
      <c r="G198" s="172">
        <f ca="1">(VLOOKUP(G$72,INDIRECT($C$5&amp;"生成成长"),2))/((VLOOKUP($B198,INDIRECT($B$5&amp;"生成成长"),4))/(VLOOKUP(G$72,INDIRECT($C$5&amp;"生成成长"),5))*(VLOOKUP($B$5,标准坦克设计!$B$24:$U$30,MATCH("对"&amp;LEFT($C$5,2)&amp;"输出",标准坦克设计!$B$23:$U$23,0)))*(VLOOKUP($B198,INDIRECT($B$5&amp;"生成成长"),3))*(VLOOKUP($B$5,标准坦克设计!$B$14:$K$20,9)/30))</f>
        <v>1.641081735553066</v>
      </c>
      <c r="H198" s="172">
        <f ca="1">(VLOOKUP(H$72,INDIRECT($C$5&amp;"生成成长"),2))/((VLOOKUP($B198,INDIRECT($B$5&amp;"生成成长"),4))/(VLOOKUP(H$72,INDIRECT($C$5&amp;"生成成长"),5))*(VLOOKUP($B$5,标准坦克设计!$B$24:$U$30,MATCH("对"&amp;LEFT($C$5,2)&amp;"输出",标准坦克设计!$B$23:$U$23,0)))*(VLOOKUP($B198,INDIRECT($B$5&amp;"生成成长"),3))*(VLOOKUP($B$5,标准坦克设计!$B$14:$K$20,9)/30))</f>
        <v>1.4361599787722461</v>
      </c>
      <c r="I198" s="172">
        <f ca="1">(VLOOKUP(I$72,INDIRECT($C$5&amp;"生成成长"),2))/((VLOOKUP($B198,INDIRECT($B$5&amp;"生成成长"),4))/(VLOOKUP(I$72,INDIRECT($C$5&amp;"生成成长"),5))*(VLOOKUP($B$5,标准坦克设计!$B$24:$U$30,MATCH("对"&amp;LEFT($C$5,2)&amp;"输出",标准坦克设计!$B$23:$U$23,0)))*(VLOOKUP($B198,INDIRECT($B$5&amp;"生成成长"),3))*(VLOOKUP($B$5,标准坦克设计!$B$14:$K$20,9)/30))</f>
        <v>1.641081735553066</v>
      </c>
      <c r="J198" s="172">
        <f ca="1">(VLOOKUP(J$72,INDIRECT($C$5&amp;"生成成长"),2))/((VLOOKUP($B198,INDIRECT($B$5&amp;"生成成长"),4))/(VLOOKUP(J$72,INDIRECT($C$5&amp;"生成成长"),5))*(VLOOKUP($B$5,标准坦克设计!$B$24:$U$30,MATCH("对"&amp;LEFT($C$5,2)&amp;"输出",标准坦克设计!$B$23:$U$23,0)))*(VLOOKUP($B198,INDIRECT($B$5&amp;"生成成长"),3))*(VLOOKUP($B$5,标准坦克设计!$B$14:$K$20,9)/30))</f>
        <v>1.8596649427859406</v>
      </c>
      <c r="K198" s="172">
        <f ca="1">(VLOOKUP(K$72,INDIRECT($C$5&amp;"生成成长"),2))/((VLOOKUP($B198,INDIRECT($B$5&amp;"生成成长"),4))/(VLOOKUP(K$72,INDIRECT($C$5&amp;"生成成长"),5))*(VLOOKUP($B$5,标准坦克设计!$B$24:$U$30,MATCH("对"&amp;LEFT($C$5,2)&amp;"输出",标准坦克设计!$B$23:$U$23,0)))*(VLOOKUP($B198,INDIRECT($B$5&amp;"生成成长"),3))*(VLOOKUP($B$5,标准坦克设计!$B$14:$K$20,9)/30))</f>
        <v>2.0919096004708697</v>
      </c>
      <c r="L198" s="172">
        <f ca="1">(VLOOKUP(L$72,INDIRECT($C$5&amp;"生成成长"),2))/((VLOOKUP($B198,INDIRECT($B$5&amp;"生成成长"),4))/(VLOOKUP(L$72,INDIRECT($C$5&amp;"生成成长"),5))*(VLOOKUP($B$5,标准坦克设计!$B$24:$U$30,MATCH("对"&amp;LEFT($C$5,2)&amp;"输出",标准坦克设计!$B$23:$U$23,0)))*(VLOOKUP($B198,INDIRECT($B$5&amp;"生成成长"),3))*(VLOOKUP($B$5,标准坦克设计!$B$14:$K$20,9)/30))</f>
        <v>2.3378157086078533</v>
      </c>
      <c r="M198" s="172">
        <f ca="1">(VLOOKUP(M$72,INDIRECT($C$5&amp;"生成成长"),2))/((VLOOKUP($B198,INDIRECT($B$5&amp;"生成成长"),4))/(VLOOKUP(M$72,INDIRECT($C$5&amp;"生成成长"),5))*(VLOOKUP($B$5,标准坦克设计!$B$24:$U$30,MATCH("对"&amp;LEFT($C$5,2)&amp;"输出",标准坦克设计!$B$23:$U$23,0)))*(VLOOKUP($B198,INDIRECT($B$5&amp;"生成成长"),3))*(VLOOKUP($B$5,标准坦克设计!$B$14:$K$20,9)/30))</f>
        <v>2.5973832671968924</v>
      </c>
      <c r="N198" s="172">
        <f ca="1">(VLOOKUP(N$72,INDIRECT($C$5&amp;"生成成长"),2))/((VLOOKUP($B198,INDIRECT($B$5&amp;"生成成长"),4))/(VLOOKUP(N$72,INDIRECT($C$5&amp;"生成成长"),5))*(VLOOKUP($B$5,标准坦克设计!$B$24:$U$30,MATCH("对"&amp;LEFT($C$5,2)&amp;"输出",标准坦克设计!$B$23:$U$23,0)))*(VLOOKUP($B198,INDIRECT($B$5&amp;"生成成长"),3))*(VLOOKUP($B$5,标准坦克设计!$B$14:$K$20,9)/30))</f>
        <v>2.8706122762379853</v>
      </c>
      <c r="O198" s="172">
        <f ca="1">(VLOOKUP(O$72,INDIRECT($C$5&amp;"生成成长"),2))/((VLOOKUP($B198,INDIRECT($B$5&amp;"生成成长"),4))/(VLOOKUP(O$72,INDIRECT($C$5&amp;"生成成长"),5))*(VLOOKUP($B$5,标准坦克设计!$B$24:$U$30,MATCH("对"&amp;LEFT($C$5,2)&amp;"输出",标准坦克设计!$B$23:$U$23,0)))*(VLOOKUP($B198,INDIRECT($B$5&amp;"生成成长"),3))*(VLOOKUP($B$5,标准坦克设计!$B$14:$K$20,9)/30))</f>
        <v>2.1825234397973885</v>
      </c>
      <c r="P198" s="172">
        <f ca="1">(VLOOKUP(P$72,INDIRECT($C$5&amp;"生成成长"),2))/((VLOOKUP($B198,INDIRECT($B$5&amp;"生成成长"),4))/(VLOOKUP(P$72,INDIRECT($C$5&amp;"生成成长"),5))*(VLOOKUP($B$5,标准坦克设计!$B$24:$U$30,MATCH("对"&amp;LEFT($C$5,2)&amp;"输出",标准坦克设计!$B$23:$U$23,0)))*(VLOOKUP($B198,INDIRECT($B$5&amp;"生成成长"),3))*(VLOOKUP($B$5,标准坦克设计!$B$14:$K$20,9)/30))</f>
        <v>2.4658918065958657</v>
      </c>
      <c r="Q198" s="172">
        <f ca="1">(VLOOKUP(Q$72,INDIRECT($C$5&amp;"生成成长"),2))/((VLOOKUP($B198,INDIRECT($B$5&amp;"生成成长"),4))/(VLOOKUP(Q$72,INDIRECT($C$5&amp;"生成成长"),5))*(VLOOKUP($B$5,标准坦克设计!$B$24:$U$30,MATCH("对"&amp;LEFT($C$5,2)&amp;"输出",标准坦克设计!$B$23:$U$23,0)))*(VLOOKUP($B198,INDIRECT($B$5&amp;"生成成长"),3))*(VLOOKUP($B$5,标准坦克设计!$B$14:$K$20,9)/30))</f>
        <v>2.7665504466227255</v>
      </c>
      <c r="R198" s="172">
        <f ca="1">(VLOOKUP(R$72,INDIRECT($C$5&amp;"生成成长"),2))/((VLOOKUP($B198,INDIRECT($B$5&amp;"生成成长"),4))/(VLOOKUP(R$72,INDIRECT($C$5&amp;"生成成长"),5))*(VLOOKUP($B$5,标准坦克设计!$B$24:$U$30,MATCH("对"&amp;LEFT($C$5,2)&amp;"输出",标准坦克设计!$B$23:$U$23,0)))*(VLOOKUP($B198,INDIRECT($B$5&amp;"生成成长"),3))*(VLOOKUP($B$5,标准坦克设计!$B$14:$K$20,9)/30))</f>
        <v>3.0844993598779666</v>
      </c>
      <c r="S198" s="172">
        <f ca="1">(VLOOKUP(S$72,INDIRECT($C$5&amp;"生成成长"),2))/((VLOOKUP($B198,INDIRECT($B$5&amp;"生成成长"),4))/(VLOOKUP(S$72,INDIRECT($C$5&amp;"生成成长"),5))*(VLOOKUP($B$5,标准坦克设计!$B$24:$U$30,MATCH("对"&amp;LEFT($C$5,2)&amp;"输出",标准坦克设计!$B$23:$U$23,0)))*(VLOOKUP($B198,INDIRECT($B$5&amp;"生成成长"),3))*(VLOOKUP($B$5,标准坦克设计!$B$14:$K$20,9)/30))</f>
        <v>3.4197385463615886</v>
      </c>
      <c r="T198" s="172">
        <f ca="1">(VLOOKUP(T$72,INDIRECT($C$5&amp;"生成成长"),2))/((VLOOKUP($B198,INDIRECT($B$5&amp;"生成成长"),4))/(VLOOKUP(T$72,INDIRECT($C$5&amp;"生成成长"),5))*(VLOOKUP($B$5,标准坦克设计!$B$24:$U$30,MATCH("对"&amp;LEFT($C$5,2)&amp;"输出",标准坦克设计!$B$23:$U$23,0)))*(VLOOKUP($B198,INDIRECT($B$5&amp;"生成成长"),3))*(VLOOKUP($B$5,标准坦克设计!$B$14:$K$20,9)/30))</f>
        <v>3.7722680060735931</v>
      </c>
      <c r="U198" s="172">
        <f ca="1">(VLOOKUP(U$72,INDIRECT($C$5&amp;"生成成长"),2))/((VLOOKUP($B198,INDIRECT($B$5&amp;"生成成长"),4))/(VLOOKUP(U$72,INDIRECT($C$5&amp;"生成成长"),5))*(VLOOKUP($B$5,标准坦克设计!$B$24:$U$30,MATCH("对"&amp;LEFT($C$5,2)&amp;"输出",标准坦克设计!$B$23:$U$23,0)))*(VLOOKUP($B198,INDIRECT($B$5&amp;"生成成长"),3))*(VLOOKUP($B$5,标准坦克设计!$B$14:$K$20,9)/30))</f>
        <v>4.1420877390139781</v>
      </c>
      <c r="V198" s="172">
        <f ca="1">(VLOOKUP(V$72,INDIRECT($C$5&amp;"生成成长"),2))/((VLOOKUP($B198,INDIRECT($B$5&amp;"生成成长"),4))/(VLOOKUP(V$72,INDIRECT($C$5&amp;"生成成长"),5))*(VLOOKUP($B$5,标准坦克设计!$B$24:$U$30,MATCH("对"&amp;LEFT($C$5,2)&amp;"输出",标准坦克设计!$B$23:$U$23,0)))*(VLOOKUP($B198,INDIRECT($B$5&amp;"生成成长"),3))*(VLOOKUP($B$5,标准坦克设计!$B$14:$K$20,9)/30))</f>
        <v>4.5291977451827465</v>
      </c>
      <c r="W198" s="172">
        <f ca="1">(VLOOKUP(W$72,INDIRECT($C$5&amp;"生成成长"),2))/((VLOOKUP($B198,INDIRECT($B$5&amp;"生成成长"),4))/(VLOOKUP(W$72,INDIRECT($C$5&amp;"生成成长"),5))*(VLOOKUP($B$5,标准坦克设计!$B$24:$U$30,MATCH("对"&amp;LEFT($C$5,2)&amp;"输出",标准坦克设计!$B$23:$U$23,0)))*(VLOOKUP($B198,INDIRECT($B$5&amp;"生成成长"),3))*(VLOOKUP($B$5,标准坦克设计!$B$14:$K$20,9)/30))</f>
        <v>4.9335980245798963</v>
      </c>
      <c r="X198" s="172">
        <f ca="1">(VLOOKUP(X$72,INDIRECT($C$5&amp;"生成成长"),2))/((VLOOKUP($B198,INDIRECT($B$5&amp;"生成成长"),4))/(VLOOKUP(X$72,INDIRECT($C$5&amp;"生成成长"),5))*(VLOOKUP($B$5,标准坦克设计!$B$24:$U$30,MATCH("对"&amp;LEFT($C$5,2)&amp;"输出",标准坦克设计!$B$23:$U$23,0)))*(VLOOKUP($B198,INDIRECT($B$5&amp;"生成成长"),3))*(VLOOKUP($B$5,标准坦克设计!$B$14:$K$20,9)/30))</f>
        <v>3.574283704600457</v>
      </c>
      <c r="Y198" s="172">
        <f ca="1">(VLOOKUP(Y$72,INDIRECT($C$5&amp;"生成成长"),2))/((VLOOKUP($B198,INDIRECT($B$5&amp;"生成成长"),4))/(VLOOKUP(Y$72,INDIRECT($C$5&amp;"生成成长"),5))*(VLOOKUP($B$5,标准坦克设计!$B$24:$U$30,MATCH("对"&amp;LEFT($C$5,2)&amp;"输出",标准坦克设计!$B$23:$U$23,0)))*(VLOOKUP($B198,INDIRECT($B$5&amp;"生成成长"),3))*(VLOOKUP($B$5,标准坦克设计!$B$14:$K$20,9)/30))</f>
        <v>3.9755888116295628</v>
      </c>
      <c r="Z198" s="172">
        <f ca="1">(VLOOKUP(Z$72,INDIRECT($C$5&amp;"生成成长"),2))/((VLOOKUP($B198,INDIRECT($B$5&amp;"生成成长"),4))/(VLOOKUP(Z$72,INDIRECT($C$5&amp;"生成成长"),5))*(VLOOKUP($B$5,标准坦克设计!$B$24:$U$30,MATCH("对"&amp;LEFT($C$5,2)&amp;"输出",标准坦克设计!$B$23:$U$23,0)))*(VLOOKUP($B198,INDIRECT($B$5&amp;"生成成长"),3))*(VLOOKUP($B$5,标准坦克设计!$B$14:$K$20,9)/30))</f>
        <v>4.3982399349900039</v>
      </c>
      <c r="AA198" s="172">
        <f ca="1">(VLOOKUP(AA$72,INDIRECT($C$5&amp;"生成成长"),2))/((VLOOKUP($B198,INDIRECT($B$5&amp;"生成成长"),4))/(VLOOKUP(AA$72,INDIRECT($C$5&amp;"生成成长"),5))*(VLOOKUP($B$5,标准坦克设计!$B$24:$U$30,MATCH("对"&amp;LEFT($C$5,2)&amp;"输出",标准坦克设计!$B$23:$U$23,0)))*(VLOOKUP($B198,INDIRECT($B$5&amp;"生成成长"),3))*(VLOOKUP($B$5,标准坦克设计!$B$14:$K$20,9)/30))</f>
        <v>4.8422370746817789</v>
      </c>
      <c r="AB198" s="172">
        <f ca="1">(VLOOKUP(AB$72,INDIRECT($C$5&amp;"生成成长"),2))/((VLOOKUP($B198,INDIRECT($B$5&amp;"生成成长"),4))/(VLOOKUP(AB$72,INDIRECT($C$5&amp;"生成成长"),5))*(VLOOKUP($B$5,标准坦克设计!$B$24:$U$30,MATCH("对"&amp;LEFT($C$5,2)&amp;"输出",标准坦克设计!$B$23:$U$23,0)))*(VLOOKUP($B198,INDIRECT($B$5&amp;"生成成长"),3))*(VLOOKUP($B$5,标准坦克设计!$B$14:$K$20,9)/30))</f>
        <v>5.3075802307048923</v>
      </c>
      <c r="AC198" s="172">
        <f ca="1">(VLOOKUP(AC$72,INDIRECT($C$5&amp;"生成成长"),2))/((VLOOKUP($B198,INDIRECT($B$5&amp;"生成成长"),4))/(VLOOKUP(AC$72,INDIRECT($C$5&amp;"生成成长"),5))*(VLOOKUP($B$5,标准坦克设计!$B$24:$U$30,MATCH("对"&amp;LEFT($C$5,2)&amp;"输出",标准坦克设计!$B$23:$U$23,0)))*(VLOOKUP($B198,INDIRECT($B$5&amp;"生成成长"),3))*(VLOOKUP($B$5,标准坦克设计!$B$14:$K$20,9)/30))</f>
        <v>5.7942694030593378</v>
      </c>
      <c r="AD198" s="172">
        <f ca="1">(VLOOKUP(AD$72,INDIRECT($C$5&amp;"生成成长"),2))/((VLOOKUP($B198,INDIRECT($B$5&amp;"生成成长"),4))/(VLOOKUP(AD$72,INDIRECT($C$5&amp;"生成成长"),5))*(VLOOKUP($B$5,标准坦克设计!$B$24:$U$30,MATCH("对"&amp;LEFT($C$5,2)&amp;"输出",标准坦克设计!$B$23:$U$23,0)))*(VLOOKUP($B198,INDIRECT($B$5&amp;"生成成长"),3))*(VLOOKUP($B$5,标准坦克设计!$B$14:$K$20,9)/30))</f>
        <v>6.3023045917451208</v>
      </c>
      <c r="AE198" s="172">
        <f ca="1">(VLOOKUP(AE$72,INDIRECT($C$5&amp;"生成成长"),2))/((VLOOKUP($B198,INDIRECT($B$5&amp;"生成成长"),4))/(VLOOKUP(AE$72,INDIRECT($C$5&amp;"生成成长"),5))*(VLOOKUP($B$5,标准坦克设计!$B$24:$U$30,MATCH("对"&amp;LEFT($C$5,2)&amp;"输出",标准坦克设计!$B$23:$U$23,0)))*(VLOOKUP($B198,INDIRECT($B$5&amp;"生成成长"),3))*(VLOOKUP($B$5,标准坦克设计!$B$14:$K$20,9)/30))</f>
        <v>6.8316857967622413</v>
      </c>
      <c r="AF198" s="172">
        <f ca="1">(VLOOKUP(AF$72,INDIRECT($C$5&amp;"生成成长"),2))/((VLOOKUP($B198,INDIRECT($B$5&amp;"生成成长"),4))/(VLOOKUP(AF$72,INDIRECT($C$5&amp;"生成成长"),5))*(VLOOKUP($B$5,标准坦克设计!$B$24:$U$30,MATCH("对"&amp;LEFT($C$5,2)&amp;"输出",标准坦克设计!$B$23:$U$23,0)))*(VLOOKUP($B198,INDIRECT($B$5&amp;"生成成长"),3))*(VLOOKUP($B$5,标准坦克设计!$B$14:$K$20,9)/30))</f>
        <v>7.3824130181106931</v>
      </c>
      <c r="AG198" s="172">
        <f ca="1">(VLOOKUP(AG$72,INDIRECT($C$5&amp;"生成成长"),2))/((VLOOKUP($B198,INDIRECT($B$5&amp;"生成成长"),4))/(VLOOKUP(AG$72,INDIRECT($C$5&amp;"生成成长"),5))*(VLOOKUP($B$5,标准坦克设计!$B$24:$U$30,MATCH("对"&amp;LEFT($C$5,2)&amp;"输出",标准坦克设计!$B$23:$U$23,0)))*(VLOOKUP($B198,INDIRECT($B$5&amp;"生成成长"),3))*(VLOOKUP($B$5,标准坦克设计!$B$14:$K$20,9)/30))</f>
        <v>7.9544862557904814</v>
      </c>
      <c r="AH198" s="172">
        <f ca="1">(VLOOKUP(AH$72,INDIRECT($C$5&amp;"生成成长"),2))/((VLOOKUP($B198,INDIRECT($B$5&amp;"生成成长"),4))/(VLOOKUP(AH$72,INDIRECT($C$5&amp;"生成成长"),5))*(VLOOKUP($B$5,标准坦克设计!$B$24:$U$30,MATCH("对"&amp;LEFT($C$5,2)&amp;"输出",标准坦克设计!$B$23:$U$23,0)))*(VLOOKUP($B198,INDIRECT($B$5&amp;"生成成长"),3))*(VLOOKUP($B$5,标准坦克设计!$B$14:$K$20,9)/30))</f>
        <v>8.5479055098016055</v>
      </c>
      <c r="AI198" s="172">
        <f ca="1">(VLOOKUP(AI$72,INDIRECT($C$5&amp;"生成成长"),2))/((VLOOKUP($B198,INDIRECT($B$5&amp;"生成成长"),4))/(VLOOKUP(AI$72,INDIRECT($C$5&amp;"生成成长"),5))*(VLOOKUP($B$5,标准坦克设计!$B$24:$U$30,MATCH("对"&amp;LEFT($C$5,2)&amp;"输出",标准坦克设计!$B$23:$U$23,0)))*(VLOOKUP($B198,INDIRECT($B$5&amp;"生成成长"),3))*(VLOOKUP($B$5,标准坦克设计!$B$14:$K$20,9)/30))</f>
        <v>6.0456187453608132</v>
      </c>
      <c r="AJ198" s="172">
        <f ca="1">(VLOOKUP(AJ$72,INDIRECT($C$5&amp;"生成成长"),2))/((VLOOKUP($B198,INDIRECT($B$5&amp;"生成成长"),4))/(VLOOKUP(AJ$72,INDIRECT($C$5&amp;"生成成长"),5))*(VLOOKUP($B$5,标准坦克设计!$B$24:$U$30,MATCH("对"&amp;LEFT($C$5,2)&amp;"输出",标准坦克设计!$B$23:$U$23,0)))*(VLOOKUP($B198,INDIRECT($B$5&amp;"生成成长"),3))*(VLOOKUP($B$5,标准坦克设计!$B$14:$K$20,9)/30))</f>
        <v>6.6173717927956321</v>
      </c>
      <c r="AK198" s="172">
        <f ca="1">(VLOOKUP(AK$72,INDIRECT($C$5&amp;"生成成长"),2))/((VLOOKUP($B198,INDIRECT($B$5&amp;"生成成长"),4))/(VLOOKUP(AK$72,INDIRECT($C$5&amp;"生成成长"),5))*(VLOOKUP($B$5,标准坦克设计!$B$24:$U$30,MATCH("对"&amp;LEFT($C$5,2)&amp;"输出",标准坦克设计!$B$23:$U$23,0)))*(VLOOKUP($B198,INDIRECT($B$5&amp;"生成成长"),3))*(VLOOKUP($B$5,标准坦克设计!$B$14:$K$20,9)/30))</f>
        <v>7.2149535199913659</v>
      </c>
      <c r="AL198" s="172">
        <f ca="1">(VLOOKUP(AL$72,INDIRECT($C$5&amp;"生成成长"),2))/((VLOOKUP($B198,INDIRECT($B$5&amp;"生成成长"),4))/(VLOOKUP(AL$72,INDIRECT($C$5&amp;"生成成长"),5))*(VLOOKUP($B$5,标准坦克设计!$B$24:$U$30,MATCH("对"&amp;LEFT($C$5,2)&amp;"输出",标准坦克设计!$B$23:$U$23,0)))*(VLOOKUP($B198,INDIRECT($B$5&amp;"生成成长"),3))*(VLOOKUP($B$5,标准坦克设计!$B$14:$K$20,9)/30))</f>
        <v>7.8383639269480172</v>
      </c>
      <c r="AM198" s="172">
        <f ca="1">(VLOOKUP(AM$72,INDIRECT($C$5&amp;"生成成长"),2))/((VLOOKUP($B198,INDIRECT($B$5&amp;"生成成长"),4))/(VLOOKUP(AM$72,INDIRECT($C$5&amp;"生成成长"),5))*(VLOOKUP($B$5,标准坦克设计!$B$24:$U$30,MATCH("对"&amp;LEFT($C$5,2)&amp;"输出",标准坦克设计!$B$23:$U$23,0)))*(VLOOKUP($B198,INDIRECT($B$5&amp;"生成成长"),3))*(VLOOKUP($B$5,标准坦克设计!$B$14:$K$20,9)/30))</f>
        <v>8.4876030136655842</v>
      </c>
      <c r="AN198" s="172">
        <f ca="1">(VLOOKUP(AN$72,INDIRECT($C$5&amp;"生成成长"),2))/((VLOOKUP($B198,INDIRECT($B$5&amp;"生成成长"),4))/(VLOOKUP(AN$72,INDIRECT($C$5&amp;"生成成长"),5))*(VLOOKUP($B$5,标准坦克设计!$B$24:$U$30,MATCH("对"&amp;LEFT($C$5,2)&amp;"输出",标准坦克设计!$B$23:$U$23,0)))*(VLOOKUP($B198,INDIRECT($B$5&amp;"生成成长"),3))*(VLOOKUP($B$5,标准坦克设计!$B$14:$K$20,9)/30))</f>
        <v>9.162670780144067</v>
      </c>
      <c r="AO198" s="172">
        <f ca="1">(VLOOKUP(AO$72,INDIRECT($C$5&amp;"生成成长"),2))/((VLOOKUP($B198,INDIRECT($B$5&amp;"生成成长"),4))/(VLOOKUP(AO$72,INDIRECT($C$5&amp;"生成成长"),5))*(VLOOKUP($B$5,标准坦克设计!$B$24:$U$30,MATCH("对"&amp;LEFT($C$5,2)&amp;"输出",标准坦克设计!$B$23:$U$23,0)))*(VLOOKUP($B198,INDIRECT($B$5&amp;"生成成长"),3))*(VLOOKUP($B$5,标准坦克设计!$B$14:$K$20,9)/30))</f>
        <v>9.8635672263834628</v>
      </c>
      <c r="AP198" s="172">
        <f ca="1">(VLOOKUP(AP$72,INDIRECT($C$5&amp;"生成成长"),2))/((VLOOKUP($B198,INDIRECT($B$5&amp;"生成成长"),4))/(VLOOKUP(AP$72,INDIRECT($C$5&amp;"生成成长"),5))*(VLOOKUP($B$5,标准坦克设计!$B$24:$U$30,MATCH("对"&amp;LEFT($C$5,2)&amp;"输出",标准坦克设计!$B$23:$U$23,0)))*(VLOOKUP($B198,INDIRECT($B$5&amp;"生成成长"),3))*(VLOOKUP($B$5,标准坦克设计!$B$14:$K$20,9)/30))</f>
        <v>10.590292352383779</v>
      </c>
      <c r="AQ198" s="172">
        <f ca="1">(VLOOKUP(AQ$72,INDIRECT($C$5&amp;"生成成长"),2))/((VLOOKUP($B198,INDIRECT($B$5&amp;"生成成长"),4))/(VLOOKUP(AQ$72,INDIRECT($C$5&amp;"生成成长"),5))*(VLOOKUP($B$5,标准坦克设计!$B$24:$U$30,MATCH("对"&amp;LEFT($C$5,2)&amp;"输出",标准坦克设计!$B$23:$U$23,0)))*(VLOOKUP($B198,INDIRECT($B$5&amp;"生成成长"),3))*(VLOOKUP($B$5,标准坦克设计!$B$14:$K$20,9)/30))</f>
        <v>11.34284615814501</v>
      </c>
      <c r="AR198" s="172">
        <f ca="1">(VLOOKUP(AR$72,INDIRECT($C$5&amp;"生成成长"),2))/((VLOOKUP($B198,INDIRECT($B$5&amp;"生成成长"),4))/(VLOOKUP(AR$72,INDIRECT($C$5&amp;"生成成长"),5))*(VLOOKUP($B$5,标准坦克设计!$B$24:$U$30,MATCH("对"&amp;LEFT($C$5,2)&amp;"输出",标准坦克设计!$B$23:$U$23,0)))*(VLOOKUP($B198,INDIRECT($B$5&amp;"生成成长"),3))*(VLOOKUP($B$5,标准坦克设计!$B$14:$K$20,9)/30))</f>
        <v>12.121228643667154</v>
      </c>
      <c r="AS198" s="172">
        <f ca="1">(VLOOKUP(AS$72,INDIRECT($C$5&amp;"生成成长"),2))/((VLOOKUP($B198,INDIRECT($B$5&amp;"生成成长"),4))/(VLOOKUP(AS$72,INDIRECT($C$5&amp;"生成成长"),5))*(VLOOKUP($B$5,标准坦克设计!$B$24:$U$30,MATCH("对"&amp;LEFT($C$5,2)&amp;"输出",标准坦克设计!$B$23:$U$23,0)))*(VLOOKUP($B198,INDIRECT($B$5&amp;"生成成长"),3))*(VLOOKUP($B$5,标准坦克设计!$B$14:$K$20,9)/30))</f>
        <v>12.925439808950214</v>
      </c>
      <c r="AT198" s="172">
        <f ca="1">(VLOOKUP(AT$72,INDIRECT($C$5&amp;"生成成长"),2))/((VLOOKUP($B198,INDIRECT($B$5&amp;"生成成长"),4))/(VLOOKUP(AT$72,INDIRECT($C$5&amp;"生成成长"),5))*(VLOOKUP($B$5,标准坦克设计!$B$24:$U$30,MATCH("对"&amp;LEFT($C$5,2)&amp;"输出",标准坦克设计!$B$23:$U$23,0)))*(VLOOKUP($B198,INDIRECT($B$5&amp;"生成成长"),3))*(VLOOKUP($B$5,标准坦克设计!$B$14:$K$20,9)/30))</f>
        <v>13.755479653994191</v>
      </c>
      <c r="AU198" s="172">
        <f ca="1">(VLOOKUP(AU$72,INDIRECT($C$5&amp;"生成成长"),2))/((VLOOKUP($B198,INDIRECT($B$5&amp;"生成成长"),4))/(VLOOKUP(AU$72,INDIRECT($C$5&amp;"生成成长"),5))*(VLOOKUP($B$5,标准坦克设计!$B$24:$U$30,MATCH("对"&amp;LEFT($C$5,2)&amp;"输出",标准坦克设计!$B$23:$U$23,0)))*(VLOOKUP($B198,INDIRECT($B$5&amp;"生成成长"),3))*(VLOOKUP($B$5,标准坦克设计!$B$14:$K$20,9)/30))</f>
        <v>14.611348178799085</v>
      </c>
      <c r="AV198" s="172">
        <f ca="1">(VLOOKUP(AV$72,INDIRECT($C$5&amp;"生成成长"),2))/((VLOOKUP($B198,INDIRECT($B$5&amp;"生成成长"),4))/(VLOOKUP(AV$72,INDIRECT($C$5&amp;"生成成长"),5))*(VLOOKUP($B$5,标准坦克设计!$B$24:$U$30,MATCH("对"&amp;LEFT($C$5,2)&amp;"输出",标准坦克设计!$B$23:$U$23,0)))*(VLOOKUP($B198,INDIRECT($B$5&amp;"生成成长"),3))*(VLOOKUP($B$5,标准坦克设计!$B$14:$K$20,9)/30))</f>
        <v>1.4861096569875711</v>
      </c>
      <c r="AW198" s="172">
        <f ca="1">(VLOOKUP(AW$72,INDIRECT($C$5&amp;"生成成长"),2))/((VLOOKUP($B198,INDIRECT($B$5&amp;"生成成长"),4))/(VLOOKUP(AW$72,INDIRECT($C$5&amp;"生成成长"),5))*(VLOOKUP($B$5,标准坦克设计!$B$24:$U$30,MATCH("对"&amp;LEFT($C$5,2)&amp;"输出",标准坦克设计!$B$23:$U$23,0)))*(VLOOKUP($B198,INDIRECT($B$5&amp;"生成成长"),3))*(VLOOKUP($B$5,标准坦克设计!$B$14:$K$20,9)/30))</f>
        <v>1.6944467763814046</v>
      </c>
      <c r="AX198" s="172">
        <f ca="1">(VLOOKUP(AX$72,INDIRECT($C$5&amp;"生成成长"),2))/((VLOOKUP($B198,INDIRECT($B$5&amp;"生成成长"),4))/(VLOOKUP(AX$72,INDIRECT($C$5&amp;"生成成长"),5))*(VLOOKUP($B$5,标准坦克设计!$B$24:$U$30,MATCH("对"&amp;LEFT($C$5,2)&amp;"输出",标准坦克设计!$B$23:$U$23,0)))*(VLOOKUP($B198,INDIRECT($B$5&amp;"生成成长"),3))*(VLOOKUP($B$5,标准坦克设计!$B$14:$K$20,9)/30))</f>
        <v>1.9164453462272926</v>
      </c>
      <c r="AY198" s="172">
        <f ca="1">(VLOOKUP(AY$72,INDIRECT($C$5&amp;"生成成长"),2))/((VLOOKUP($B198,INDIRECT($B$5&amp;"生成成长"),4))/(VLOOKUP(AY$72,INDIRECT($C$5&amp;"生成成长"),5))*(VLOOKUP($B$5,标准坦克设计!$B$24:$U$30,MATCH("对"&amp;LEFT($C$5,2)&amp;"输出",标准坦克设计!$B$23:$U$23,0)))*(VLOOKUP($B198,INDIRECT($B$5&amp;"生成成长"),3))*(VLOOKUP($B$5,标准坦克设计!$B$14:$K$20,9)/30))</f>
        <v>2.1521053665252352</v>
      </c>
      <c r="AZ198" s="172">
        <f ca="1">(VLOOKUP(AZ$72,INDIRECT($C$5&amp;"生成成长"),2))/((VLOOKUP($B198,INDIRECT($B$5&amp;"生成成长"),4))/(VLOOKUP(AZ$72,INDIRECT($C$5&amp;"生成成长"),5))*(VLOOKUP($B$5,标准坦克设计!$B$24:$U$30,MATCH("对"&amp;LEFT($C$5,2)&amp;"输出",标准坦克设计!$B$23:$U$23,0)))*(VLOOKUP($B198,INDIRECT($B$5&amp;"生成成长"),3))*(VLOOKUP($B$5,标准坦克设计!$B$14:$K$20,9)/30))</f>
        <v>2.401426837275233</v>
      </c>
      <c r="BA198" s="172">
        <f ca="1">(VLOOKUP(BA$72,INDIRECT($C$5&amp;"生成成长"),2))/((VLOOKUP($B198,INDIRECT($B$5&amp;"生成成长"),4))/(VLOOKUP(BA$72,INDIRECT($C$5&amp;"生成成长"),5))*(VLOOKUP($B$5,标准坦克设计!$B$24:$U$30,MATCH("对"&amp;LEFT($C$5,2)&amp;"输出",标准坦克设计!$B$23:$U$23,0)))*(VLOOKUP($B198,INDIRECT($B$5&amp;"生成成长"),3))*(VLOOKUP($B$5,标准坦克设计!$B$14:$K$20,9)/30))</f>
        <v>2.664409758477285</v>
      </c>
      <c r="BB198" s="172">
        <f ca="1">(VLOOKUP(BB$72,INDIRECT($C$5&amp;"生成成长"),2))/((VLOOKUP($B198,INDIRECT($B$5&amp;"生成成长"),4))/(VLOOKUP(BB$72,INDIRECT($C$5&amp;"生成成长"),5))*(VLOOKUP($B$5,标准坦克设计!$B$24:$U$30,MATCH("对"&amp;LEFT($C$5,2)&amp;"输出",标准坦克设计!$B$23:$U$23,0)))*(VLOOKUP($B198,INDIRECT($B$5&amp;"生成成长"),3))*(VLOOKUP($B$5,标准坦克设计!$B$14:$K$20,9)/30))</f>
        <v>2.9410541301313922</v>
      </c>
      <c r="BC198" s="172">
        <f ca="1">(VLOOKUP(BC$72,INDIRECT($C$5&amp;"生成成长"),2))/((VLOOKUP($B198,INDIRECT($B$5&amp;"生成成长"),4))/(VLOOKUP(BC$72,INDIRECT($C$5&amp;"生成成长"),5))*(VLOOKUP($B$5,标准坦克设计!$B$24:$U$30,MATCH("对"&amp;LEFT($C$5,2)&amp;"输出",标准坦克设计!$B$23:$U$23,0)))*(VLOOKUP($B198,INDIRECT($B$5&amp;"生成成长"),3))*(VLOOKUP($B$5,标准坦克设计!$B$14:$K$20,9)/30))</f>
        <v>3.2313599522375536</v>
      </c>
      <c r="BD198" s="172">
        <f ca="1">(VLOOKUP(BD$72,INDIRECT($C$5&amp;"生成成长"),2))/((VLOOKUP($B198,INDIRECT($B$5&amp;"生成成长"),4))/(VLOOKUP(BD$72,INDIRECT($C$5&amp;"生成成长"),5))*(VLOOKUP($B$5,标准坦克设计!$B$24:$U$30,MATCH("对"&amp;LEFT($C$5,2)&amp;"输出",标准坦克设计!$B$23:$U$23,0)))*(VLOOKUP($B198,INDIRECT($B$5&amp;"生成成长"),3))*(VLOOKUP($B$5,标准坦克设计!$B$14:$K$20,9)/30))</f>
        <v>3.574283704600457</v>
      </c>
      <c r="BE198" s="172">
        <f ca="1">(VLOOKUP(BE$72,INDIRECT($C$5&amp;"生成成长"),2))/((VLOOKUP($B198,INDIRECT($B$5&amp;"生成成长"),4))/(VLOOKUP(BE$72,INDIRECT($C$5&amp;"生成成长"),5))*(VLOOKUP($B$5,标准坦克设计!$B$24:$U$30,MATCH("对"&amp;LEFT($C$5,2)&amp;"输出",标准坦克设计!$B$23:$U$23,0)))*(VLOOKUP($B198,INDIRECT($B$5&amp;"生成成长"),3))*(VLOOKUP($B$5,标准坦克设计!$B$14:$K$20,9)/30))</f>
        <v>3.9344977301917421</v>
      </c>
      <c r="BF198" s="172">
        <f ca="1">(VLOOKUP(BF$72,INDIRECT($C$5&amp;"生成成长"),2))/((VLOOKUP($B198,INDIRECT($B$5&amp;"生成成长"),4))/(VLOOKUP(BF$72,INDIRECT($C$5&amp;"生成成长"),5))*(VLOOKUP($B$5,标准坦克设计!$B$24:$U$30,MATCH("对"&amp;LEFT($C$5,2)&amp;"输出",标准坦克设计!$B$23:$U$23,0)))*(VLOOKUP($B198,INDIRECT($B$5&amp;"生成成长"),3))*(VLOOKUP($B$5,标准坦克设计!$B$14:$K$20,9)/30))</f>
        <v>4.3120020290114081</v>
      </c>
      <c r="BG198" s="172">
        <f ca="1">(VLOOKUP(BG$72,INDIRECT($C$5&amp;"生成成长"),2))/((VLOOKUP($B198,INDIRECT($B$5&amp;"生成成长"),4))/(VLOOKUP(BG$72,INDIRECT($C$5&amp;"生成成长"),5))*(VLOOKUP($B$5,标准坦克设计!$B$24:$U$30,MATCH("对"&amp;LEFT($C$5,2)&amp;"输出",标准坦克设计!$B$23:$U$23,0)))*(VLOOKUP($B198,INDIRECT($B$5&amp;"生成成长"),3))*(VLOOKUP($B$5,标准坦克设计!$B$14:$K$20,9)/30))</f>
        <v>4.7067966010594562</v>
      </c>
      <c r="BH198" s="172">
        <f ca="1">(VLOOKUP(BH$72,INDIRECT($C$5&amp;"生成成长"),2))/((VLOOKUP($B198,INDIRECT($B$5&amp;"生成成长"),4))/(VLOOKUP(BH$72,INDIRECT($C$5&amp;"生成成长"),5))*(VLOOKUP($B$5,标准坦克设计!$B$24:$U$30,MATCH("对"&amp;LEFT($C$5,2)&amp;"输出",标准坦克设计!$B$23:$U$23,0)))*(VLOOKUP($B198,INDIRECT($B$5&amp;"生成成长"),3))*(VLOOKUP($B$5,标准坦克设计!$B$14:$K$20,9)/30))</f>
        <v>2.2750584205937274</v>
      </c>
      <c r="BI198" s="172">
        <f ca="1">(VLOOKUP(BI$72,INDIRECT($C$5&amp;"生成成长"),2))/((VLOOKUP($B198,INDIRECT($B$5&amp;"生成成长"),4))/(VLOOKUP(BI$72,INDIRECT($C$5&amp;"生成成长"),5))*(VLOOKUP($B$5,标准坦克设计!$B$24:$U$30,MATCH("对"&amp;LEFT($C$5,2)&amp;"输出",标准坦克设计!$B$23:$U$23,0)))*(VLOOKUP($B198,INDIRECT($B$5&amp;"生成成长"),3))*(VLOOKUP($B$5,标准坦克设计!$B$14:$K$20,9)/30))</f>
        <v>2.5641902118016655</v>
      </c>
      <c r="BJ198" s="172">
        <f ca="1">(VLOOKUP(BJ$72,INDIRECT($C$5&amp;"生成成长"),2))/((VLOOKUP($B198,INDIRECT($B$5&amp;"生成成长"),4))/(VLOOKUP(BJ$72,INDIRECT($C$5&amp;"生成成长"),5))*(VLOOKUP($B$5,标准坦克设计!$B$24:$U$30,MATCH("对"&amp;LEFT($C$5,2)&amp;"输出",标准坦克设计!$B$23:$U$23,0)))*(VLOOKUP($B198,INDIRECT($B$5&amp;"生成成长"),3))*(VLOOKUP($B$5,标准坦克设计!$B$14:$K$20,9)/30))</f>
        <v>2.8706122762379853</v>
      </c>
      <c r="BK198" s="172">
        <f ca="1">(VLOOKUP(BK$72,INDIRECT($C$5&amp;"生成成长"),2))/((VLOOKUP($B198,INDIRECT($B$5&amp;"生成成长"),4))/(VLOOKUP(BK$72,INDIRECT($C$5&amp;"生成成长"),5))*(VLOOKUP($B$5,标准坦克设计!$B$24:$U$30,MATCH("对"&amp;LEFT($C$5,2)&amp;"输出",标准坦克设计!$B$23:$U$23,0)))*(VLOOKUP($B198,INDIRECT($B$5&amp;"生成成长"),3))*(VLOOKUP($B$5,标准坦克设计!$B$14:$K$20,9)/30))</f>
        <v>3.1943246139026864</v>
      </c>
      <c r="BL198" s="172">
        <f ca="1">(VLOOKUP(BL$72,INDIRECT($C$5&amp;"生成成长"),2))/((VLOOKUP($B198,INDIRECT($B$5&amp;"生成成长"),4))/(VLOOKUP(BL$72,INDIRECT($C$5&amp;"生成成长"),5))*(VLOOKUP($B$5,标准坦克设计!$B$24:$U$30,MATCH("对"&amp;LEFT($C$5,2)&amp;"输出",标准坦克设计!$B$23:$U$23,0)))*(VLOOKUP($B198,INDIRECT($B$5&amp;"生成成长"),3))*(VLOOKUP($B$5,标准坦克设计!$B$14:$K$20,9)/30))</f>
        <v>3.5353272247957697</v>
      </c>
      <c r="BM198" s="172">
        <f ca="1">(VLOOKUP(BM$72,INDIRECT($C$5&amp;"生成成长"),2))/((VLOOKUP($B198,INDIRECT($B$5&amp;"生成成长"),4))/(VLOOKUP(BM$72,INDIRECT($C$5&amp;"生成成长"),5))*(VLOOKUP($B$5,标准坦克设计!$B$24:$U$30,MATCH("对"&amp;LEFT($C$5,2)&amp;"输出",标准坦克设计!$B$23:$U$23,0)))*(VLOOKUP($B198,INDIRECT($B$5&amp;"生成成长"),3))*(VLOOKUP($B$5,标准坦克设计!$B$14:$K$20,9)/30))</f>
        <v>3.8936201089172342</v>
      </c>
      <c r="BN198" s="172">
        <f ca="1">(VLOOKUP(BN$72,INDIRECT($C$5&amp;"生成成长"),2))/((VLOOKUP($B198,INDIRECT($B$5&amp;"生成成长"),4))/(VLOOKUP(BN$72,INDIRECT($C$5&amp;"生成成长"),5))*(VLOOKUP($B$5,标准坦克设计!$B$24:$U$30,MATCH("对"&amp;LEFT($C$5,2)&amp;"输出",标准坦克设计!$B$23:$U$23,0)))*(VLOOKUP($B198,INDIRECT($B$5&amp;"生成成长"),3))*(VLOOKUP($B$5,标准坦克设计!$B$14:$K$20,9)/30))</f>
        <v>4.2692032662670805</v>
      </c>
      <c r="BO198" s="172">
        <f ca="1">(VLOOKUP(BO$72,INDIRECT($C$5&amp;"生成成长"),2))/((VLOOKUP($B198,INDIRECT($B$5&amp;"生成成长"),4))/(VLOOKUP(BO$72,INDIRECT($C$5&amp;"生成成长"),5))*(VLOOKUP($B$5,标准坦克设计!$B$24:$U$30,MATCH("对"&amp;LEFT($C$5,2)&amp;"输出",标准坦克设计!$B$23:$U$23,0)))*(VLOOKUP($B198,INDIRECT($B$5&amp;"生成成长"),3))*(VLOOKUP($B$5,标准坦克设计!$B$14:$K$20,9)/30))</f>
        <v>4.6620766968453093</v>
      </c>
      <c r="BP198" s="172">
        <f ca="1">(VLOOKUP(BP$72,INDIRECT($C$5&amp;"生成成长"),2))/((VLOOKUP($B198,INDIRECT($B$5&amp;"生成成长"),4))/(VLOOKUP(BP$72,INDIRECT($C$5&amp;"生成成长"),5))*(VLOOKUP($B$5,标准坦克设计!$B$24:$U$30,MATCH("对"&amp;LEFT($C$5,2)&amp;"输出",标准坦克设计!$B$23:$U$23,0)))*(VLOOKUP($B198,INDIRECT($B$5&amp;"生成成长"),3))*(VLOOKUP($B$5,标准坦克设计!$B$14:$K$20,9)/30))</f>
        <v>5.0722404006519186</v>
      </c>
      <c r="BQ198" s="172">
        <f ca="1">(VLOOKUP(BQ$72,INDIRECT($C$5&amp;"生成成长"),2))/((VLOOKUP($B198,INDIRECT($B$5&amp;"生成成长"),4))/(VLOOKUP(BQ$72,INDIRECT($C$5&amp;"生成成长"),5))*(VLOOKUP($B$5,标准坦克设计!$B$24:$U$30,MATCH("对"&amp;LEFT($C$5,2)&amp;"输出",标准坦克设计!$B$23:$U$23,0)))*(VLOOKUP($B198,INDIRECT($B$5&amp;"生成成长"),3))*(VLOOKUP($B$5,标准坦克设计!$B$14:$K$20,9)/30))</f>
        <v>5.4996943776869101</v>
      </c>
      <c r="BR198" s="172">
        <f ca="1">(VLOOKUP(BR$72,INDIRECT($C$5&amp;"生成成长"),2))/((VLOOKUP($B198,INDIRECT($B$5&amp;"生成成长"),4))/(VLOOKUP(BR$72,INDIRECT($C$5&amp;"生成成长"),5))*(VLOOKUP($B$5,标准坦克设计!$B$24:$U$30,MATCH("对"&amp;LEFT($C$5,2)&amp;"输出",标准坦克设计!$B$23:$U$23,0)))*(VLOOKUP($B198,INDIRECT($B$5&amp;"生成成长"),3))*(VLOOKUP($B$5,标准坦克设计!$B$14:$K$20,9)/30))</f>
        <v>5.9949219565738927</v>
      </c>
      <c r="BS198" s="172">
        <f ca="1">(VLOOKUP(BS$72,INDIRECT($C$5&amp;"生成成长"),2))/((VLOOKUP($B198,INDIRECT($B$5&amp;"生成成长"),4))/(VLOOKUP(BS$72,INDIRECT($C$5&amp;"生成成长"),5))*(VLOOKUP($B$5,标准坦克设计!$B$24:$U$30,MATCH("对"&amp;LEFT($C$5,2)&amp;"输出",标准坦克设计!$B$23:$U$23,0)))*(VLOOKUP($B198,INDIRECT($B$5&amp;"生成成长"),3))*(VLOOKUP($B$5,标准坦克设计!$B$14:$K$20,9)/30))</f>
        <v>6.5114955517922102</v>
      </c>
      <c r="BT198" s="172">
        <f ca="1">(VLOOKUP(BT$72,INDIRECT($C$5&amp;"生成成长"),2))/((VLOOKUP($B198,INDIRECT($B$5&amp;"生成成长"),4))/(VLOOKUP(BT$72,INDIRECT($C$5&amp;"生成成长"),5))*(VLOOKUP($B$5,标准坦克设计!$B$24:$U$30,MATCH("对"&amp;LEFT($C$5,2)&amp;"输出",标准坦克设计!$B$23:$U$23,0)))*(VLOOKUP($B198,INDIRECT($B$5&amp;"生成成长"),3))*(VLOOKUP($B$5,标准坦克设计!$B$14:$K$20,9)/30))</f>
        <v>7.0494151633418607</v>
      </c>
      <c r="BU198" s="172">
        <f ca="1">(VLOOKUP(BU$72,INDIRECT($C$5&amp;"生成成长"),2))/((VLOOKUP($B198,INDIRECT($B$5&amp;"生成成长"),4))/(VLOOKUP(BU$72,INDIRECT($C$5&amp;"生成成长"),5))*(VLOOKUP($B$5,标准坦克设计!$B$24:$U$30,MATCH("对"&amp;LEFT($C$5,2)&amp;"输出",标准坦克设计!$B$23:$U$23,0)))*(VLOOKUP($B198,INDIRECT($B$5&amp;"生成成长"),3))*(VLOOKUP($B$5,标准坦克设计!$B$14:$K$20,9)/30))</f>
        <v>7.6086807912228487</v>
      </c>
      <c r="BV198" s="172">
        <f ca="1">(VLOOKUP(BV$72,INDIRECT($C$5&amp;"生成成长"),2))/((VLOOKUP($B198,INDIRECT($B$5&amp;"生成成长"),4))/(VLOOKUP(BV$72,INDIRECT($C$5&amp;"生成成长"),5))*(VLOOKUP($B$5,标准坦克设计!$B$24:$U$30,MATCH("对"&amp;LEFT($C$5,2)&amp;"输出",标准坦克设计!$B$23:$U$23,0)))*(VLOOKUP($B198,INDIRECT($B$5&amp;"生成成长"),3))*(VLOOKUP($B$5,标准坦克设计!$B$14:$K$20,9)/30))</f>
        <v>8.1892924354351706</v>
      </c>
      <c r="BW198" s="172">
        <f ca="1">(VLOOKUP(BW$72,INDIRECT($C$5&amp;"生成成长"),2))/((VLOOKUP($B198,INDIRECT($B$5&amp;"生成成长"),4))/(VLOOKUP(BW$72,INDIRECT($C$5&amp;"生成成长"),5))*(VLOOKUP($B$5,标准坦克设计!$B$24:$U$30,MATCH("对"&amp;LEFT($C$5,2)&amp;"输出",标准坦克设计!$B$23:$U$23,0)))*(VLOOKUP($B198,INDIRECT($B$5&amp;"生成成长"),3))*(VLOOKUP($B$5,标准坦克设计!$B$14:$K$20,9)/30))</f>
        <v>3.7322442254523387</v>
      </c>
      <c r="BX198" s="172">
        <f ca="1">(VLOOKUP(BX$72,INDIRECT($C$5&amp;"生成成长"),2))/((VLOOKUP($B198,INDIRECT($B$5&amp;"生成成长"),4))/(VLOOKUP(BX$72,INDIRECT($C$5&amp;"生成成长"),5))*(VLOOKUP($B$5,标准坦克设计!$B$24:$U$30,MATCH("对"&amp;LEFT($C$5,2)&amp;"输出",标准坦克设计!$B$23:$U$23,0)))*(VLOOKUP($B198,INDIRECT($B$5&amp;"生成成长"),3))*(VLOOKUP($B$5,标准坦克设计!$B$14:$K$20,9)/30))</f>
        <v>4.1420877390139781</v>
      </c>
      <c r="BY198" s="172">
        <f ca="1">(VLOOKUP(BY$72,INDIRECT($C$5&amp;"生成成长"),2))/((VLOOKUP($B198,INDIRECT($B$5&amp;"生成成长"),4))/(VLOOKUP(BY$72,INDIRECT($C$5&amp;"生成成长"),5))*(VLOOKUP($B$5,标准坦克设计!$B$24:$U$30,MATCH("对"&amp;LEFT($C$5,2)&amp;"输出",标准坦克设计!$B$23:$U$23,0)))*(VLOOKUP($B198,INDIRECT($B$5&amp;"生成成长"),3))*(VLOOKUP($B$5,标准坦克设计!$B$14:$K$20,9)/30))</f>
        <v>4.5732772689069545</v>
      </c>
      <c r="BZ198" s="172">
        <f ca="1">(VLOOKUP(BZ$72,INDIRECT($C$5&amp;"生成成长"),2))/((VLOOKUP($B198,INDIRECT($B$5&amp;"生成成长"),4))/(VLOOKUP(BZ$72,INDIRECT($C$5&amp;"生成成长"),5))*(VLOOKUP($B$5,标准坦克设计!$B$24:$U$30,MATCH("对"&amp;LEFT($C$5,2)&amp;"输出",标准坦克设计!$B$23:$U$23,0)))*(VLOOKUP($B198,INDIRECT($B$5&amp;"生成成长"),3))*(VLOOKUP($B$5,标准坦克设计!$B$14:$K$20,9)/30))</f>
        <v>5.0258128151312649</v>
      </c>
      <c r="CA198" s="172">
        <f ca="1">(VLOOKUP(CA$72,INDIRECT($C$5&amp;"生成成长"),2))/((VLOOKUP($B198,INDIRECT($B$5&amp;"生成成长"),4))/(VLOOKUP(CA$72,INDIRECT($C$5&amp;"生成成长"),5))*(VLOOKUP($B$5,标准坦克设计!$B$24:$U$30,MATCH("对"&amp;LEFT($C$5,2)&amp;"输出",标准坦克设计!$B$23:$U$23,0)))*(VLOOKUP($B198,INDIRECT($B$5&amp;"生成成长"),3))*(VLOOKUP($B$5,标准坦克设计!$B$14:$K$20,9)/30))</f>
        <v>5.4996943776869101</v>
      </c>
      <c r="CB198" s="172">
        <f ca="1">(VLOOKUP(CB$72,INDIRECT($C$5&amp;"生成成长"),2))/((VLOOKUP($B198,INDIRECT($B$5&amp;"生成成长"),4))/(VLOOKUP(CB$72,INDIRECT($C$5&amp;"生成成长"),5))*(VLOOKUP($B$5,标准坦克设计!$B$24:$U$30,MATCH("对"&amp;LEFT($C$5,2)&amp;"输出",标准坦克设计!$B$23:$U$23,0)))*(VLOOKUP($B198,INDIRECT($B$5&amp;"生成成长"),3))*(VLOOKUP($B$5,标准坦克设计!$B$14:$K$20,9)/30))</f>
        <v>5.9949219565738927</v>
      </c>
      <c r="CC198" s="172">
        <f ca="1">(VLOOKUP(CC$72,INDIRECT($C$5&amp;"生成成长"),2))/((VLOOKUP($B198,INDIRECT($B$5&amp;"生成成长"),4))/(VLOOKUP(CC$72,INDIRECT($C$5&amp;"生成成长"),5))*(VLOOKUP($B$5,标准坦克设计!$B$24:$U$30,MATCH("对"&amp;LEFT($C$5,2)&amp;"输出",标准坦克设计!$B$23:$U$23,0)))*(VLOOKUP($B198,INDIRECT($B$5&amp;"生成成长"),3))*(VLOOKUP($B$5,标准坦克设计!$B$14:$K$20,9)/30))</f>
        <v>6.5114955517922102</v>
      </c>
      <c r="CD198" s="172">
        <f ca="1">(VLOOKUP(CD$72,INDIRECT($C$5&amp;"生成成长"),2))/((VLOOKUP($B198,INDIRECT($B$5&amp;"生成成长"),4))/(VLOOKUP(CD$72,INDIRECT($C$5&amp;"生成成长"),5))*(VLOOKUP($B$5,标准坦克设计!$B$24:$U$30,MATCH("对"&amp;LEFT($C$5,2)&amp;"输出",标准坦克设计!$B$23:$U$23,0)))*(VLOOKUP($B198,INDIRECT($B$5&amp;"生成成长"),3))*(VLOOKUP($B$5,标准坦克设计!$B$14:$K$20,9)/30))</f>
        <v>7.0494151633418607</v>
      </c>
      <c r="CE198" s="172">
        <f ca="1">(VLOOKUP(CE$72,INDIRECT($C$5&amp;"生成成长"),2))/((VLOOKUP($B198,INDIRECT($B$5&amp;"生成成长"),4))/(VLOOKUP(CE$72,INDIRECT($C$5&amp;"生成成长"),5))*(VLOOKUP($B$5,标准坦克设计!$B$24:$U$30,MATCH("对"&amp;LEFT($C$5,2)&amp;"输出",标准坦克设计!$B$23:$U$23,0)))*(VLOOKUP($B198,INDIRECT($B$5&amp;"生成成长"),3))*(VLOOKUP($B$5,标准坦克设计!$B$14:$K$20,9)/30))</f>
        <v>7.6086807912228487</v>
      </c>
      <c r="CF198" s="172">
        <f ca="1">(VLOOKUP(CF$72,INDIRECT($C$5&amp;"生成成长"),2))/((VLOOKUP($B198,INDIRECT($B$5&amp;"生成成长"),4))/(VLOOKUP(CF$72,INDIRECT($C$5&amp;"生成成长"),5))*(VLOOKUP($B$5,标准坦克设计!$B$24:$U$30,MATCH("对"&amp;LEFT($C$5,2)&amp;"输出",标准坦克设计!$B$23:$U$23,0)))*(VLOOKUP($B198,INDIRECT($B$5&amp;"生成成长"),3))*(VLOOKUP($B$5,标准坦克设计!$B$14:$K$20,9)/30))</f>
        <v>8.1892924354351706</v>
      </c>
      <c r="CG198" s="172">
        <f ca="1">(VLOOKUP(CG$72,INDIRECT($C$5&amp;"生成成长"),2))/((VLOOKUP($B198,INDIRECT($B$5&amp;"生成成长"),4))/(VLOOKUP(CG$72,INDIRECT($C$5&amp;"生成成长"),5))*(VLOOKUP($B$5,标准坦克设计!$B$24:$U$30,MATCH("对"&amp;LEFT($C$5,2)&amp;"输出",标准坦克设计!$B$23:$U$23,0)))*(VLOOKUP($B198,INDIRECT($B$5&amp;"生成成长"),3))*(VLOOKUP($B$5,标准坦克设计!$B$14:$K$20,9)/30))</f>
        <v>8.79125009597883</v>
      </c>
      <c r="CH198" s="172">
        <f ca="1">(VLOOKUP(CH$72,INDIRECT($C$5&amp;"生成成长"),2))/((VLOOKUP($B198,INDIRECT($B$5&amp;"生成成长"),4))/(VLOOKUP(CH$72,INDIRECT($C$5&amp;"生成成长"),5))*(VLOOKUP($B$5,标准坦克设计!$B$24:$U$30,MATCH("对"&amp;LEFT($C$5,2)&amp;"输出",标准坦克设计!$B$23:$U$23,0)))*(VLOOKUP($B198,INDIRECT($B$5&amp;"生成成长"),3))*(VLOOKUP($B$5,标准坦克设计!$B$14:$K$20,9)/30))</f>
        <v>9.4145537728538233</v>
      </c>
      <c r="CI198" s="172">
        <f ca="1">(VLOOKUP(CI$72,INDIRECT($C$5&amp;"生成成长"),2))/((VLOOKUP($B198,INDIRECT($B$5&amp;"生成成长"),4))/(VLOOKUP(CI$72,INDIRECT($C$5&amp;"生成成长"),5))*(VLOOKUP($B$5,标准坦克设计!$B$24:$U$30,MATCH("对"&amp;LEFT($C$5,2)&amp;"输出",标准坦克设计!$B$23:$U$23,0)))*(VLOOKUP($B198,INDIRECT($B$5&amp;"生成成长"),3))*(VLOOKUP($B$5,标准坦克设计!$B$14:$K$20,9)/30))</f>
        <v>10.124842466279011</v>
      </c>
      <c r="CJ198" s="172">
        <f ca="1">(VLOOKUP(CJ$72,INDIRECT($C$5&amp;"生成成长"),2))/((VLOOKUP($B198,INDIRECT($B$5&amp;"生成成长"),4))/(VLOOKUP(CJ$72,INDIRECT($C$5&amp;"生成成长"),5))*(VLOOKUP($B$5,标准坦克设计!$B$24:$U$30,MATCH("对"&amp;LEFT($C$5,2)&amp;"输出",标准坦克设计!$B$23:$U$23,0)))*(VLOOKUP($B198,INDIRECT($B$5&amp;"生成成长"),3))*(VLOOKUP($B$5,标准坦克设计!$B$14:$K$20,9)/30))</f>
        <v>10.86095983946511</v>
      </c>
      <c r="CK198" s="172">
        <f ca="1">(VLOOKUP(CK$72,INDIRECT($C$5&amp;"生成成长"),2))/((VLOOKUP($B198,INDIRECT($B$5&amp;"生成成长"),4))/(VLOOKUP(CK$72,INDIRECT($C$5&amp;"生成成长"),5))*(VLOOKUP($B$5,标准坦克设计!$B$24:$U$30,MATCH("对"&amp;LEFT($C$5,2)&amp;"输出",标准坦克设计!$B$23:$U$23,0)))*(VLOOKUP($B198,INDIRECT($B$5&amp;"生成成长"),3))*(VLOOKUP($B$5,标准坦克设计!$B$14:$K$20,9)/30))</f>
        <v>11.622905892412129</v>
      </c>
      <c r="CL198" s="172">
        <f ca="1">(VLOOKUP(CL$72,INDIRECT($C$5&amp;"生成成长"),2))/((VLOOKUP($B198,INDIRECT($B$5&amp;"生成成长"),4))/(VLOOKUP(CL$72,INDIRECT($C$5&amp;"生成成长"),5))*(VLOOKUP($B$5,标准坦克设计!$B$24:$U$30,MATCH("对"&amp;LEFT($C$5,2)&amp;"输出",标准坦克设计!$B$23:$U$23,0)))*(VLOOKUP($B198,INDIRECT($B$5&amp;"生成成长"),3))*(VLOOKUP($B$5,标准坦克设计!$B$14:$K$20,9)/30))</f>
        <v>12.41068062512006</v>
      </c>
      <c r="CM198" s="172">
        <f ca="1">(VLOOKUP(CM$72,INDIRECT($C$5&amp;"生成成长"),2))/((VLOOKUP($B198,INDIRECT($B$5&amp;"生成成长"),4))/(VLOOKUP(CM$72,INDIRECT($C$5&amp;"生成成长"),5))*(VLOOKUP($B$5,标准坦克设计!$B$24:$U$30,MATCH("对"&amp;LEFT($C$5,2)&amp;"输出",标准坦克设计!$B$23:$U$23,0)))*(VLOOKUP($B198,INDIRECT($B$5&amp;"生成成长"),3))*(VLOOKUP($B$5,标准坦克设计!$B$14:$K$20,9)/30))</f>
        <v>13.224284037588909</v>
      </c>
      <c r="CN198" s="172">
        <f ca="1">(VLOOKUP(CN$72,INDIRECT($C$5&amp;"生成成长"),2))/((VLOOKUP($B198,INDIRECT($B$5&amp;"生成成长"),4))/(VLOOKUP(CN$72,INDIRECT($C$5&amp;"生成成长"),5))*(VLOOKUP($B$5,标准坦克设计!$B$24:$U$30,MATCH("对"&amp;LEFT($C$5,2)&amp;"输出",标准坦克设计!$B$23:$U$23,0)))*(VLOOKUP($B198,INDIRECT($B$5&amp;"生成成长"),3))*(VLOOKUP($B$5,标准坦克设计!$B$14:$K$20,9)/30))</f>
        <v>14.063716129818674</v>
      </c>
      <c r="CO198" s="172">
        <f ca="1">(VLOOKUP(CO$72,INDIRECT($C$5&amp;"生成成长"),2))/((VLOOKUP($B198,INDIRECT($B$5&amp;"生成成长"),4))/(VLOOKUP(CO$72,INDIRECT($C$5&amp;"生成成长"),5))*(VLOOKUP($B$5,标准坦克设计!$B$24:$U$30,MATCH("对"&amp;LEFT($C$5,2)&amp;"输出",标准坦克设计!$B$23:$U$23,0)))*(VLOOKUP($B198,INDIRECT($B$5&amp;"生成成长"),3))*(VLOOKUP($B$5,标准坦克设计!$B$14:$K$20,9)/30))</f>
        <v>6.3023045917451208</v>
      </c>
      <c r="CP198" s="172">
        <f ca="1">(VLOOKUP(CP$72,INDIRECT($C$5&amp;"生成成长"),2))/((VLOOKUP($B198,INDIRECT($B$5&amp;"生成成长"),4))/(VLOOKUP(CP$72,INDIRECT($C$5&amp;"生成成长"),5))*(VLOOKUP($B$5,标准坦克设计!$B$24:$U$30,MATCH("对"&amp;LEFT($C$5,2)&amp;"输出",标准坦克设计!$B$23:$U$23,0)))*(VLOOKUP($B198,INDIRECT($B$5&amp;"生成成长"),3))*(VLOOKUP($B$5,标准坦克设计!$B$14:$K$20,9)/30))</f>
        <v>6.8857979481621756</v>
      </c>
      <c r="CQ198" s="172">
        <f ca="1">(VLOOKUP(CQ$72,INDIRECT($C$5&amp;"生成成长"),2))/((VLOOKUP($B198,INDIRECT($B$5&amp;"生成成长"),4))/(VLOOKUP(CQ$72,INDIRECT($C$5&amp;"生成成长"),5))*(VLOOKUP($B$5,标准坦克设计!$B$24:$U$30,MATCH("对"&amp;LEFT($C$5,2)&amp;"输出",标准坦克设计!$B$23:$U$23,0)))*(VLOOKUP($B198,INDIRECT($B$5&amp;"生成成长"),3))*(VLOOKUP($B$5,标准坦克设计!$B$14:$K$20,9)/30))</f>
        <v>7.4951199843401444</v>
      </c>
      <c r="CR198" s="172">
        <f ca="1">(VLOOKUP(CR$72,INDIRECT($C$5&amp;"生成成长"),2))/((VLOOKUP($B198,INDIRECT($B$5&amp;"生成成长"),4))/(VLOOKUP(CR$72,INDIRECT($C$5&amp;"生成成长"),5))*(VLOOKUP($B$5,标准坦克设计!$B$24:$U$30,MATCH("对"&amp;LEFT($C$5,2)&amp;"输出",标准坦克设计!$B$23:$U$23,0)))*(VLOOKUP($B198,INDIRECT($B$5&amp;"生成成长"),3))*(VLOOKUP($B$5,标准坦克设计!$B$14:$K$20,9)/30))</f>
        <v>8.1302707002790289</v>
      </c>
      <c r="CS198" s="172">
        <f ca="1">(VLOOKUP(CS$72,INDIRECT($C$5&amp;"生成成长"),2))/((VLOOKUP($B198,INDIRECT($B$5&amp;"生成成长"),4))/(VLOOKUP(CS$72,INDIRECT($C$5&amp;"生成成长"),5))*(VLOOKUP($B$5,标准坦克设计!$B$24:$U$30,MATCH("对"&amp;LEFT($C$5,2)&amp;"输出",标准坦克设计!$B$23:$U$23,0)))*(VLOOKUP($B198,INDIRECT($B$5&amp;"生成成长"),3))*(VLOOKUP($B$5,标准坦克设计!$B$14:$K$20,9)/30))</f>
        <v>8.79125009597883</v>
      </c>
      <c r="CT198" s="172">
        <f ca="1">(VLOOKUP(CT$72,INDIRECT($C$5&amp;"生成成长"),2))/((VLOOKUP($B198,INDIRECT($B$5&amp;"生成成长"),4))/(VLOOKUP(CT$72,INDIRECT($C$5&amp;"生成成长"),5))*(VLOOKUP($B$5,标准坦克设计!$B$24:$U$30,MATCH("对"&amp;LEFT($C$5,2)&amp;"输出",标准坦克设计!$B$23:$U$23,0)))*(VLOOKUP($B198,INDIRECT($B$5&amp;"生成成长"),3))*(VLOOKUP($B$5,标准坦克设计!$B$14:$K$20,9)/30))</f>
        <v>9.4780581714395478</v>
      </c>
      <c r="CU198" s="172">
        <f ca="1">(VLOOKUP(CU$72,INDIRECT($C$5&amp;"生成成长"),2))/((VLOOKUP($B198,INDIRECT($B$5&amp;"生成成长"),4))/(VLOOKUP(CU$72,INDIRECT($C$5&amp;"生成成长"),5))*(VLOOKUP($B$5,标准坦克设计!$B$24:$U$30,MATCH("对"&amp;LEFT($C$5,2)&amp;"输出",标准坦克设计!$B$23:$U$23,0)))*(VLOOKUP($B198,INDIRECT($B$5&amp;"生成成长"),3))*(VLOOKUP($B$5,标准坦克设计!$B$14:$K$20,9)/30))</f>
        <v>10.190694926661177</v>
      </c>
      <c r="CV198" s="172">
        <f ca="1">(VLOOKUP(CV$72,INDIRECT($C$5&amp;"生成成长"),2))/((VLOOKUP($B198,INDIRECT($B$5&amp;"生成成长"),4))/(VLOOKUP(CV$72,INDIRECT($C$5&amp;"生成成长"),5))*(VLOOKUP($B$5,标准坦克设计!$B$24:$U$30,MATCH("对"&amp;LEFT($C$5,2)&amp;"输出",标准坦克设计!$B$23:$U$23,0)))*(VLOOKUP($B198,INDIRECT($B$5&amp;"生成成长"),3))*(VLOOKUP($B$5,标准坦克设计!$B$14:$K$20,9)/30))</f>
        <v>10.929160361643728</v>
      </c>
      <c r="CW198" s="172">
        <f ca="1">(VLOOKUP(CW$72,INDIRECT($C$5&amp;"生成成长"),2))/((VLOOKUP($B198,INDIRECT($B$5&amp;"生成成长"),4))/(VLOOKUP(CW$72,INDIRECT($C$5&amp;"生成成长"),5))*(VLOOKUP($B$5,标准坦克设计!$B$24:$U$30,MATCH("对"&amp;LEFT($C$5,2)&amp;"输出",标准坦克设计!$B$23:$U$23,0)))*(VLOOKUP($B198,INDIRECT($B$5&amp;"生成成长"),3))*(VLOOKUP($B$5,标准坦克设计!$B$14:$K$20,9)/30))</f>
        <v>11.69345447638719</v>
      </c>
      <c r="CX198" s="172">
        <f ca="1">(VLOOKUP(CX$72,INDIRECT($C$5&amp;"生成成长"),2))/((VLOOKUP($B198,INDIRECT($B$5&amp;"生成成长"),4))/(VLOOKUP(CX$72,INDIRECT($C$5&amp;"生成成长"),5))*(VLOOKUP($B$5,标准坦克设计!$B$24:$U$30,MATCH("对"&amp;LEFT($C$5,2)&amp;"输出",标准坦克设计!$B$23:$U$23,0)))*(VLOOKUP($B198,INDIRECT($B$5&amp;"生成成长"),3))*(VLOOKUP($B$5,标准坦克设计!$B$14:$K$20,9)/30))</f>
        <v>12.483577270891571</v>
      </c>
      <c r="CY198" s="172">
        <f ca="1">(VLOOKUP(CY$72,INDIRECT($C$5&amp;"生成成长"),2))/((VLOOKUP($B198,INDIRECT($B$5&amp;"生成成长"),4))/(VLOOKUP(CY$72,INDIRECT($C$5&amp;"生成成长"),5))*(VLOOKUP($B$5,标准坦克设计!$B$24:$U$30,MATCH("对"&amp;LEFT($C$5,2)&amp;"输出",标准坦克设计!$B$23:$U$23,0)))*(VLOOKUP($B198,INDIRECT($B$5&amp;"生成成长"),3))*(VLOOKUP($B$5,标准坦克设计!$B$14:$K$20,9)/30))</f>
        <v>13.299528745156868</v>
      </c>
      <c r="CZ198" s="172">
        <f ca="1">(VLOOKUP(CZ$72,INDIRECT($C$5&amp;"生成成长"),2))/((VLOOKUP($B198,INDIRECT($B$5&amp;"生成成长"),4))/(VLOOKUP(CZ$72,INDIRECT($C$5&amp;"生成成长"),5))*(VLOOKUP($B$5,标准坦克设计!$B$24:$U$30,MATCH("对"&amp;LEFT($C$5,2)&amp;"输出",标准坦克设计!$B$23:$U$23,0)))*(VLOOKUP($B198,INDIRECT($B$5&amp;"生成成长"),3))*(VLOOKUP($B$5,标准坦克设计!$B$14:$K$20,9)/30))</f>
        <v>14.141308899183079</v>
      </c>
      <c r="DA198" s="172">
        <f ca="1">(VLOOKUP(DA$72,INDIRECT($C$5&amp;"生成成长"),2))/((VLOOKUP($B198,INDIRECT($B$5&amp;"生成成长"),4))/(VLOOKUP(DA$72,INDIRECT($C$5&amp;"生成成长"),5))*(VLOOKUP($B$5,标准坦克设计!$B$24:$U$30,MATCH("对"&amp;LEFT($C$5,2)&amp;"输出",标准坦克设计!$B$23:$U$23,0)))*(VLOOKUP($B198,INDIRECT($B$5&amp;"生成成长"),3))*(VLOOKUP($B$5,标准坦克设计!$B$14:$K$20,9)/30))</f>
        <v>15.008917732970206</v>
      </c>
      <c r="DB198" s="172">
        <f ca="1">(VLOOKUP(DB$72,INDIRECT($C$5&amp;"生成成长"),2))/((VLOOKUP($B198,INDIRECT($B$5&amp;"生成成长"),4))/(VLOOKUP(DB$72,INDIRECT($C$5&amp;"生成成长"),5))*(VLOOKUP($B$5,标准坦克设计!$B$24:$U$30,MATCH("对"&amp;LEFT($C$5,2)&amp;"输出",标准坦克设计!$B$23:$U$23,0)))*(VLOOKUP($B198,INDIRECT($B$5&amp;"生成成长"),3))*(VLOOKUP($B$5,标准坦克设计!$B$14:$K$20,9)/30))</f>
        <v>15.902355246518251</v>
      </c>
      <c r="DC198" s="172">
        <f ca="1">(VLOOKUP(DC$72,INDIRECT($C$5&amp;"生成成长"),2))/((VLOOKUP($B198,INDIRECT($B$5&amp;"生成成长"),4))/(VLOOKUP(DC$72,INDIRECT($C$5&amp;"生成成长"),5))*(VLOOKUP($B$5,标准坦克设计!$B$24:$U$30,MATCH("对"&amp;LEFT($C$5,2)&amp;"输出",标准坦克设计!$B$23:$U$23,0)))*(VLOOKUP($B198,INDIRECT($B$5&amp;"生成成长"),3))*(VLOOKUP($B$5,标准坦克设计!$B$14:$K$20,9)/30))</f>
        <v>16.906471854744268</v>
      </c>
      <c r="DD198" s="172">
        <f ca="1">(VLOOKUP(DD$72,INDIRECT($C$5&amp;"生成成长"),2))/((VLOOKUP($B198,INDIRECT($B$5&amp;"生成成长"),4))/(VLOOKUP(DD$72,INDIRECT($C$5&amp;"生成成长"),5))*(VLOOKUP($B$5,标准坦克设计!$B$24:$U$30,MATCH("对"&amp;LEFT($C$5,2)&amp;"输出",标准坦克设计!$B$23:$U$23,0)))*(VLOOKUP($B198,INDIRECT($B$5&amp;"生成成长"),3))*(VLOOKUP($B$5,标准坦克设计!$B$14:$K$20,9)/30))</f>
        <v>17.941326726487411</v>
      </c>
      <c r="DE198" s="172">
        <f ca="1">(VLOOKUP(DE$72,INDIRECT($C$5&amp;"生成成长"),2))/((VLOOKUP($B198,INDIRECT($B$5&amp;"生成成长"),4))/(VLOOKUP(DE$72,INDIRECT($C$5&amp;"生成成长"),5))*(VLOOKUP($B$5,标准坦克设计!$B$24:$U$30,MATCH("对"&amp;LEFT($C$5,2)&amp;"输出",标准坦克设计!$B$23:$U$23,0)))*(VLOOKUP($B198,INDIRECT($B$5&amp;"生成成长"),3))*(VLOOKUP($B$5,标准坦克设计!$B$14:$K$20,9)/30))</f>
        <v>19.006919861747672</v>
      </c>
      <c r="DF198" s="172">
        <f ca="1">(VLOOKUP(DF$72,INDIRECT($C$5&amp;"生成成长"),2))/((VLOOKUP($B198,INDIRECT($B$5&amp;"生成成长"),4))/(VLOOKUP(DF$72,INDIRECT($C$5&amp;"生成成长"),5))*(VLOOKUP($B$5,标准坦克设计!$B$24:$U$30,MATCH("对"&amp;LEFT($C$5,2)&amp;"输出",标准坦克设计!$B$23:$U$23,0)))*(VLOOKUP($B198,INDIRECT($B$5&amp;"生成成长"),3))*(VLOOKUP($B$5,标准坦克设计!$B$14:$K$20,9)/30))</f>
        <v>20.10325126052506</v>
      </c>
      <c r="DG198" s="172">
        <f ca="1">(VLOOKUP(DG$72,INDIRECT($C$5&amp;"生成成长"),2))/((VLOOKUP($B198,INDIRECT($B$5&amp;"生成成长"),4))/(VLOOKUP(DG$72,INDIRECT($C$5&amp;"生成成长"),5))*(VLOOKUP($B$5,标准坦克设计!$B$24:$U$30,MATCH("对"&amp;LEFT($C$5,2)&amp;"输出",标准坦克设计!$B$23:$U$23,0)))*(VLOOKUP($B198,INDIRECT($B$5&amp;"生成成长"),3))*(VLOOKUP($B$5,标准坦克设计!$B$14:$K$20,9)/30))</f>
        <v>21.230320922819569</v>
      </c>
      <c r="DH198" s="172">
        <f ca="1">(VLOOKUP(DH$72,INDIRECT($C$5&amp;"生成成长"),2))/((VLOOKUP($B198,INDIRECT($B$5&amp;"生成成长"),4))/(VLOOKUP(DH$72,INDIRECT($C$5&amp;"生成成长"),5))*(VLOOKUP($B$5,标准坦克设计!$B$24:$U$30,MATCH("对"&amp;LEFT($C$5,2)&amp;"输出",标准坦克设计!$B$23:$U$23,0)))*(VLOOKUP($B198,INDIRECT($B$5&amp;"生成成长"),3))*(VLOOKUP($B$5,标准坦克设计!$B$14:$K$20,9)/30))</f>
        <v>22.388128848631201</v>
      </c>
      <c r="DI198" s="172">
        <f ca="1">(VLOOKUP(DI$72,INDIRECT($C$5&amp;"生成成长"),2))/((VLOOKUP($B198,INDIRECT($B$5&amp;"生成成长"),4))/(VLOOKUP(DI$72,INDIRECT($C$5&amp;"生成成长"),5))*(VLOOKUP($B$5,标准坦克设计!$B$24:$U$30,MATCH("对"&amp;LEFT($C$5,2)&amp;"输出",标准坦克设计!$B$23:$U$23,0)))*(VLOOKUP($B198,INDIRECT($B$5&amp;"生成成长"),3))*(VLOOKUP($B$5,标准坦克设计!$B$14:$K$20,9)/30))</f>
        <v>23.576675037959951</v>
      </c>
      <c r="DJ198" s="172">
        <f ca="1">(VLOOKUP(DJ$72,INDIRECT($C$5&amp;"生成成长"),2))/((VLOOKUP($B198,INDIRECT($B$5&amp;"生成成长"),4))/(VLOOKUP(DJ$72,INDIRECT($C$5&amp;"生成成长"),5))*(VLOOKUP($B$5,标准坦克设计!$B$24:$U$30,MATCH("对"&amp;LEFT($C$5,2)&amp;"输出",标准坦克设计!$B$23:$U$23,0)))*(VLOOKUP($B198,INDIRECT($B$5&amp;"生成成长"),3))*(VLOOKUP($B$5,标准坦克设计!$B$14:$K$20,9)/30))</f>
        <v>2.3695145428598869</v>
      </c>
      <c r="DK198" s="172">
        <f ca="1">(VLOOKUP(DK$72,INDIRECT($C$5&amp;"生成成长"),2))/((VLOOKUP($B198,INDIRECT($B$5&amp;"生成成长"),4))/(VLOOKUP(DK$72,INDIRECT($C$5&amp;"生成成长"),5))*(VLOOKUP($B$5,标准坦克设计!$B$24:$U$30,MATCH("对"&amp;LEFT($C$5,2)&amp;"输出",标准坦克设计!$B$23:$U$23,0)))*(VLOOKUP($B198,INDIRECT($B$5&amp;"生成成长"),3))*(VLOOKUP($B$5,标准坦克设计!$B$14:$K$20,9)/30))</f>
        <v>2.664409758477285</v>
      </c>
      <c r="DL198" s="172">
        <f ca="1">(VLOOKUP(DL$72,INDIRECT($C$5&amp;"生成成长"),2))/((VLOOKUP($B198,INDIRECT($B$5&amp;"生成成长"),4))/(VLOOKUP(DL$72,INDIRECT($C$5&amp;"生成成长"),5))*(VLOOKUP($B$5,标准坦克设计!$B$24:$U$30,MATCH("对"&amp;LEFT($C$5,2)&amp;"输出",标准坦克设计!$B$23:$U$23,0)))*(VLOOKUP($B198,INDIRECT($B$5&amp;"生成成长"),3))*(VLOOKUP($B$5,标准坦克设计!$B$14:$K$20,9)/30))</f>
        <v>2.9765952473230657</v>
      </c>
      <c r="DM198" s="172">
        <f ca="1">(VLOOKUP(DM$72,INDIRECT($C$5&amp;"生成成长"),2))/((VLOOKUP($B198,INDIRECT($B$5&amp;"生成成长"),4))/(VLOOKUP(DM$72,INDIRECT($C$5&amp;"生成成长"),5))*(VLOOKUP($B$5,标准坦克设计!$B$24:$U$30,MATCH("对"&amp;LEFT($C$5,2)&amp;"输出",标准坦克设计!$B$23:$U$23,0)))*(VLOOKUP($B198,INDIRECT($B$5&amp;"生成成长"),3))*(VLOOKUP($B$5,标准坦克设计!$B$14:$K$20,9)/30))</f>
        <v>3.3060710093972272</v>
      </c>
      <c r="DN198" s="172">
        <f ca="1">(VLOOKUP(DN$72,INDIRECT($C$5&amp;"生成成长"),2))/((VLOOKUP($B198,INDIRECT($B$5&amp;"生成成长"),4))/(VLOOKUP(DN$72,INDIRECT($C$5&amp;"生成成长"),5))*(VLOOKUP($B$5,标准坦克设计!$B$24:$U$30,MATCH("对"&amp;LEFT($C$5,2)&amp;"输出",标准坦克设计!$B$23:$U$23,0)))*(VLOOKUP($B198,INDIRECT($B$5&amp;"生成成长"),3))*(VLOOKUP($B$5,标准坦克设计!$B$14:$K$20,9)/30))</f>
        <v>3.6528370446997713</v>
      </c>
      <c r="DO198" s="172">
        <f ca="1">(VLOOKUP(DO$72,INDIRECT($C$5&amp;"生成成长"),2))/((VLOOKUP($B198,INDIRECT($B$5&amp;"生成成长"),4))/(VLOOKUP(DO$72,INDIRECT($C$5&amp;"生成成长"),5))*(VLOOKUP($B$5,标准坦克设计!$B$24:$U$30,MATCH("对"&amp;LEFT($C$5,2)&amp;"输出",标准坦克设计!$B$23:$U$23,0)))*(VLOOKUP($B198,INDIRECT($B$5&amp;"生成成长"),3))*(VLOOKUP($B$5,标准坦克设计!$B$14:$K$20,9)/30))</f>
        <v>4.0168933532306959</v>
      </c>
      <c r="DP198" s="172">
        <f ca="1">(VLOOKUP(DP$72,INDIRECT($C$5&amp;"生成成长"),2))/((VLOOKUP($B198,INDIRECT($B$5&amp;"生成成长"),4))/(VLOOKUP(DP$72,INDIRECT($C$5&amp;"生成成长"),5))*(VLOOKUP($B$5,标准坦克设计!$B$24:$U$30,MATCH("对"&amp;LEFT($C$5,2)&amp;"输出",标准坦克设计!$B$23:$U$23,0)))*(VLOOKUP($B198,INDIRECT($B$5&amp;"生成成长"),3))*(VLOOKUP($B$5,标准坦克设计!$B$14:$K$20,9)/30))</f>
        <v>4.3982399349900039</v>
      </c>
      <c r="DQ198" s="172">
        <f ca="1">(VLOOKUP(DQ$72,INDIRECT($C$5&amp;"生成成长"),2))/((VLOOKUP($B198,INDIRECT($B$5&amp;"生成成长"),4))/(VLOOKUP(DQ$72,INDIRECT($C$5&amp;"生成成长"),5))*(VLOOKUP($B$5,标准坦克设计!$B$24:$U$30,MATCH("对"&amp;LEFT($C$5,2)&amp;"输出",标准坦克设计!$B$23:$U$23,0)))*(VLOOKUP($B198,INDIRECT($B$5&amp;"生成成长"),3))*(VLOOKUP($B$5,标准坦克设计!$B$14:$K$20,9)/30))</f>
        <v>4.7968767899776923</v>
      </c>
      <c r="DR198" s="172">
        <f ca="1">(VLOOKUP(DR$72,INDIRECT($C$5&amp;"生成成长"),2))/((VLOOKUP($B198,INDIRECT($B$5&amp;"生成成长"),4))/(VLOOKUP(DR$72,INDIRECT($C$5&amp;"生成成长"),5))*(VLOOKUP($B$5,标准坦克设计!$B$24:$U$30,MATCH("对"&amp;LEFT($C$5,2)&amp;"输出",标准坦克设计!$B$23:$U$23,0)))*(VLOOKUP($B198,INDIRECT($B$5&amp;"生成成长"),3))*(VLOOKUP($B$5,标准坦克设计!$B$14:$K$20,9)/30))</f>
        <v>5.212803918193762</v>
      </c>
      <c r="DS198" s="172">
        <f ca="1">(VLOOKUP(DS$72,INDIRECT($C$5&amp;"生成成长"),2))/((VLOOKUP($B198,INDIRECT($B$5&amp;"生成成长"),4))/(VLOOKUP(DS$72,INDIRECT($C$5&amp;"生成成长"),5))*(VLOOKUP($B$5,标准坦克设计!$B$24:$U$30,MATCH("对"&amp;LEFT($C$5,2)&amp;"输出",标准坦克设计!$B$23:$U$23,0)))*(VLOOKUP($B198,INDIRECT($B$5&amp;"生成成长"),3))*(VLOOKUP($B$5,标准坦克设计!$B$14:$K$20,9)/30))</f>
        <v>5.6460213196382156</v>
      </c>
      <c r="DT198" s="172">
        <f ca="1">(VLOOKUP(DT$72,INDIRECT($C$5&amp;"生成成长"),2))/((VLOOKUP($B198,INDIRECT($B$5&amp;"生成成长"),4))/(VLOOKUP(DT$72,INDIRECT($C$5&amp;"生成成长"),5))*(VLOOKUP($B$5,标准坦克设计!$B$24:$U$30,MATCH("对"&amp;LEFT($C$5,2)&amp;"输出",标准坦克设计!$B$23:$U$23,0)))*(VLOOKUP($B198,INDIRECT($B$5&amp;"生成成长"),3))*(VLOOKUP($B$5,标准坦克设计!$B$14:$K$20,9)/30))</f>
        <v>6.1989898727014587</v>
      </c>
      <c r="DU198" s="172">
        <f ca="1">(VLOOKUP(DU$72,INDIRECT($C$5&amp;"生成成长"),2))/((VLOOKUP($B198,INDIRECT($B$5&amp;"生成成长"),4))/(VLOOKUP(DU$72,INDIRECT($C$5&amp;"生成成长"),5))*(VLOOKUP($B$5,标准坦克设计!$B$24:$U$30,MATCH("对"&amp;LEFT($C$5,2)&amp;"输出",标准坦克设计!$B$23:$U$23,0)))*(VLOOKUP($B198,INDIRECT($B$5&amp;"生成成长"),3))*(VLOOKUP($B$5,标准坦克设计!$B$14:$K$20,9)/30))</f>
        <v>6.7777871055256185</v>
      </c>
      <c r="DV198" s="172">
        <f ca="1">(VLOOKUP(DV$72,INDIRECT($C$5&amp;"生成成长"),2))/((VLOOKUP($B198,INDIRECT($B$5&amp;"生成成长"),4))/(VLOOKUP(DV$72,INDIRECT($C$5&amp;"生成成长"),5))*(VLOOKUP($B$5,标准坦克设计!$B$24:$U$30,MATCH("对"&amp;LEFT($C$5,2)&amp;"输出",标准坦克设计!$B$23:$U$23,0)))*(VLOOKUP($B198,INDIRECT($B$5&amp;"生成成长"),3))*(VLOOKUP($B$5,标准坦克设计!$B$14:$K$20,9)/30))</f>
        <v>7.3824130181106931</v>
      </c>
      <c r="DW198" s="172">
        <f ca="1">(VLOOKUP(DW$72,INDIRECT($C$5&amp;"生成成长"),2))/((VLOOKUP($B198,INDIRECT($B$5&amp;"生成成长"),4))/(VLOOKUP(DW$72,INDIRECT($C$5&amp;"生成成长"),5))*(VLOOKUP($B$5,标准坦克设计!$B$24:$U$30,MATCH("对"&amp;LEFT($C$5,2)&amp;"输出",标准坦克设计!$B$23:$U$23,0)))*(VLOOKUP($B198,INDIRECT($B$5&amp;"生成成长"),3))*(VLOOKUP($B$5,标准坦克设计!$B$14:$K$20,9)/30))</f>
        <v>8.0128676104566861</v>
      </c>
      <c r="DX198" s="172">
        <f ca="1">(VLOOKUP(DX$72,INDIRECT($C$5&amp;"生成成长"),2))/((VLOOKUP($B198,INDIRECT($B$5&amp;"生成成长"),4))/(VLOOKUP(DX$72,INDIRECT($C$5&amp;"生成成长"),5))*(VLOOKUP($B$5,标准坦克设计!$B$24:$U$30,MATCH("对"&amp;LEFT($C$5,2)&amp;"输出",标准坦克设计!$B$23:$U$23,0)))*(VLOOKUP($B198,INDIRECT($B$5&amp;"生成成长"),3))*(VLOOKUP($B$5,标准坦克设计!$B$14:$K$20,9)/30))</f>
        <v>8.6691508825635921</v>
      </c>
      <c r="DY198" s="172">
        <f ca="1">(VLOOKUP(DY$72,INDIRECT($C$5&amp;"生成成长"),2))/((VLOOKUP($B198,INDIRECT($B$5&amp;"生成成长"),4))/(VLOOKUP(DY$72,INDIRECT($C$5&amp;"生成成长"),5))*(VLOOKUP($B$5,标准坦克设计!$B$24:$U$30,MATCH("对"&amp;LEFT($C$5,2)&amp;"输出",标准坦克设计!$B$23:$U$23,0)))*(VLOOKUP($B198,INDIRECT($B$5&amp;"生成成长"),3))*(VLOOKUP($B$5,标准坦克设计!$B$14:$K$20,9)/30))</f>
        <v>3.8936201089172342</v>
      </c>
      <c r="DZ198" s="172">
        <f ca="1">(VLOOKUP(DZ$72,INDIRECT($C$5&amp;"生成成长"),2))/((VLOOKUP($B198,INDIRECT($B$5&amp;"生成成长"),4))/(VLOOKUP(DZ$72,INDIRECT($C$5&amp;"生成成长"),5))*(VLOOKUP($B$5,标准坦克设计!$B$24:$U$30,MATCH("对"&amp;LEFT($C$5,2)&amp;"输出",标准坦克设计!$B$23:$U$23,0)))*(VLOOKUP($B198,INDIRECT($B$5&amp;"生成成长"),3))*(VLOOKUP($B$5,标准坦克设计!$B$14:$K$20,9)/30))</f>
        <v>4.3120020290114081</v>
      </c>
      <c r="EA198" s="172">
        <f ca="1">(VLOOKUP(EA$72,INDIRECT($C$5&amp;"生成成长"),2))/((VLOOKUP($B198,INDIRECT($B$5&amp;"生成成长"),4))/(VLOOKUP(EA$72,INDIRECT($C$5&amp;"生成成长"),5))*(VLOOKUP($B$5,标准坦克设计!$B$24:$U$30,MATCH("对"&amp;LEFT($C$5,2)&amp;"输出",标准坦克设计!$B$23:$U$23,0)))*(VLOOKUP($B198,INDIRECT($B$5&amp;"生成成长"),3))*(VLOOKUP($B$5,标准坦克设计!$B$14:$K$20,9)/30))</f>
        <v>4.7517299654369181</v>
      </c>
      <c r="EB198" s="172">
        <f ca="1">(VLOOKUP(EB$72,INDIRECT($C$5&amp;"生成成长"),2))/((VLOOKUP($B198,INDIRECT($B$5&amp;"生成成长"),4))/(VLOOKUP(EB$72,INDIRECT($C$5&amp;"生成成长"),5))*(VLOOKUP($B$5,标准坦克设计!$B$24:$U$30,MATCH("对"&amp;LEFT($C$5,2)&amp;"输出",标准坦克设计!$B$23:$U$23,0)))*(VLOOKUP($B198,INDIRECT($B$5&amp;"生成成长"),3))*(VLOOKUP($B$5,标准坦克设计!$B$14:$K$20,9)/30))</f>
        <v>5.212803918193762</v>
      </c>
      <c r="EC198" s="172">
        <f ca="1">(VLOOKUP(EC$72,INDIRECT($C$5&amp;"生成成长"),2))/((VLOOKUP($B198,INDIRECT($B$5&amp;"生成成长"),4))/(VLOOKUP(EC$72,INDIRECT($C$5&amp;"生成成长"),5))*(VLOOKUP($B$5,标准坦克设计!$B$24:$U$30,MATCH("对"&amp;LEFT($C$5,2)&amp;"输出",标准坦克设计!$B$23:$U$23,0)))*(VLOOKUP($B198,INDIRECT($B$5&amp;"生成成长"),3))*(VLOOKUP($B$5,标准坦克设计!$B$14:$K$20,9)/30))</f>
        <v>5.6952238872819425</v>
      </c>
      <c r="ED198" s="172">
        <f ca="1">(VLOOKUP(ED$72,INDIRECT($C$5&amp;"生成成长"),2))/((VLOOKUP($B198,INDIRECT($B$5&amp;"生成成长"),4))/(VLOOKUP(ED$72,INDIRECT($C$5&amp;"生成成长"),5))*(VLOOKUP($B$5,标准坦克设计!$B$24:$U$30,MATCH("对"&amp;LEFT($C$5,2)&amp;"输出",标准坦克设计!$B$23:$U$23,0)))*(VLOOKUP($B198,INDIRECT($B$5&amp;"生成成长"),3))*(VLOOKUP($B$5,标准坦克设计!$B$14:$K$20,9)/30))</f>
        <v>6.1989898727014587</v>
      </c>
      <c r="EE198" s="172">
        <f ca="1">(VLOOKUP(EE$72,INDIRECT($C$5&amp;"生成成长"),2))/((VLOOKUP($B198,INDIRECT($B$5&amp;"生成成长"),4))/(VLOOKUP(EE$72,INDIRECT($C$5&amp;"生成成长"),5))*(VLOOKUP($B$5,标准坦克设计!$B$24:$U$30,MATCH("对"&amp;LEFT($C$5,2)&amp;"输出",标准坦克设计!$B$23:$U$23,0)))*(VLOOKUP($B198,INDIRECT($B$5&amp;"生成成长"),3))*(VLOOKUP($B$5,标准坦克设计!$B$14:$K$20,9)/30))</f>
        <v>6.7241018744523089</v>
      </c>
      <c r="EF198" s="172">
        <f ca="1">(VLOOKUP(EF$72,INDIRECT($C$5&amp;"生成成长"),2))/((VLOOKUP($B198,INDIRECT($B$5&amp;"生成成长"),4))/(VLOOKUP(EF$72,INDIRECT($C$5&amp;"生成成长"),5))*(VLOOKUP($B$5,标准坦克设计!$B$24:$U$30,MATCH("对"&amp;LEFT($C$5,2)&amp;"输出",标准坦克设计!$B$23:$U$23,0)))*(VLOOKUP($B198,INDIRECT($B$5&amp;"生成成长"),3))*(VLOOKUP($B$5,标准坦克设计!$B$14:$K$20,9)/30))</f>
        <v>7.2705598925344956</v>
      </c>
      <c r="EG198" s="172">
        <f ca="1">(VLOOKUP(EG$72,INDIRECT($C$5&amp;"生成成长"),2))/((VLOOKUP($B198,INDIRECT($B$5&amp;"生成成长"),4))/(VLOOKUP(EG$72,INDIRECT($C$5&amp;"生成成长"),5))*(VLOOKUP($B$5,标准坦克设计!$B$24:$U$30,MATCH("对"&amp;LEFT($C$5,2)&amp;"输出",标准坦克设计!$B$23:$U$23,0)))*(VLOOKUP($B198,INDIRECT($B$5&amp;"生成成长"),3))*(VLOOKUP($B$5,标准坦克设计!$B$14:$K$20,9)/30))</f>
        <v>7.8383639269480172</v>
      </c>
      <c r="EH198" s="172">
        <f ca="1">(VLOOKUP(EH$72,INDIRECT($C$5&amp;"生成成长"),2))/((VLOOKUP($B198,INDIRECT($B$5&amp;"生成成长"),4))/(VLOOKUP(EH$72,INDIRECT($C$5&amp;"生成成长"),5))*(VLOOKUP($B$5,标准坦克设计!$B$24:$U$30,MATCH("对"&amp;LEFT($C$5,2)&amp;"输出",标准坦克设计!$B$23:$U$23,0)))*(VLOOKUP($B198,INDIRECT($B$5&amp;"生成成长"),3))*(VLOOKUP($B$5,标准坦克设计!$B$14:$K$20,9)/30))</f>
        <v>8.4275139776928754</v>
      </c>
      <c r="EI198" s="172">
        <f ca="1">(VLOOKUP(EI$72,INDIRECT($C$5&amp;"生成成长"),2))/((VLOOKUP($B198,INDIRECT($B$5&amp;"生成成长"),4))/(VLOOKUP(EI$72,INDIRECT($C$5&amp;"生成成长"),5))*(VLOOKUP($B$5,标准坦克设计!$B$24:$U$30,MATCH("对"&amp;LEFT($C$5,2)&amp;"输出",标准坦克设计!$B$23:$U$23,0)))*(VLOOKUP($B198,INDIRECT($B$5&amp;"生成成长"),3))*(VLOOKUP($B$5,标准坦克设计!$B$14:$K$20,9)/30))</f>
        <v>9.0380100447690683</v>
      </c>
      <c r="EJ198" s="172">
        <f ca="1">(VLOOKUP(EJ$72,INDIRECT($C$5&amp;"生成成长"),2))/((VLOOKUP($B198,INDIRECT($B$5&amp;"生成成长"),4))/(VLOOKUP(EJ$72,INDIRECT($C$5&amp;"生成成长"),5))*(VLOOKUP($B$5,标准坦克设计!$B$24:$U$30,MATCH("对"&amp;LEFT($C$5,2)&amp;"输出",标准坦克设计!$B$23:$U$23,0)))*(VLOOKUP($B198,INDIRECT($B$5&amp;"生成成长"),3))*(VLOOKUP($B$5,标准坦克设计!$B$14:$K$20,9)/30))</f>
        <v>9.6698521281765952</v>
      </c>
      <c r="EK198" s="172">
        <f ca="1">(VLOOKUP(EK$72,INDIRECT($C$5&amp;"生成成长"),2))/((VLOOKUP($B198,INDIRECT($B$5&amp;"生成成长"),4))/(VLOOKUP(EK$72,INDIRECT($C$5&amp;"生成成长"),5))*(VLOOKUP($B$5,标准坦克设计!$B$24:$U$30,MATCH("对"&amp;LEFT($C$5,2)&amp;"输出",标准坦克设计!$B$23:$U$23,0)))*(VLOOKUP($B198,INDIRECT($B$5&amp;"生成成长"),3))*(VLOOKUP($B$5,标准坦克设计!$B$14:$K$20,9)/30))</f>
        <v>10.456239369822992</v>
      </c>
      <c r="EL198" s="172">
        <f ca="1">(VLOOKUP(EL$72,INDIRECT($C$5&amp;"生成成长"),2))/((VLOOKUP($B198,INDIRECT($B$5&amp;"生成成长"),4))/(VLOOKUP(EL$72,INDIRECT($C$5&amp;"生成成长"),5))*(VLOOKUP($B$5,标准坦克设计!$B$24:$U$30,MATCH("对"&amp;LEFT($C$5,2)&amp;"输出",标准坦克设计!$B$23:$U$23,0)))*(VLOOKUP($B198,INDIRECT($B$5&amp;"生成成长"),3))*(VLOOKUP($B$5,标准坦克设计!$B$14:$K$20,9)/30))</f>
        <v>11.273364874986513</v>
      </c>
      <c r="EM198" s="172">
        <f ca="1">(VLOOKUP(EM$72,INDIRECT($C$5&amp;"生成成长"),2))/((VLOOKUP($B198,INDIRECT($B$5&amp;"生成成长"),4))/(VLOOKUP(EM$72,INDIRECT($C$5&amp;"生成成长"),5))*(VLOOKUP($B$5,标准坦克设计!$B$24:$U$30,MATCH("对"&amp;LEFT($C$5,2)&amp;"输出",标准坦克设计!$B$23:$U$23,0)))*(VLOOKUP($B198,INDIRECT($B$5&amp;"生成成长"),3))*(VLOOKUP($B$5,标准坦克设计!$B$14:$K$20,9)/30))</f>
        <v>12.121228643667154</v>
      </c>
      <c r="EN198" s="172">
        <f ca="1">(VLOOKUP(EN$72,INDIRECT($C$5&amp;"生成成长"),2))/((VLOOKUP($B198,INDIRECT($B$5&amp;"生成成长"),4))/(VLOOKUP(EN$72,INDIRECT($C$5&amp;"生成成长"),5))*(VLOOKUP($B$5,标准坦克设计!$B$24:$U$30,MATCH("对"&amp;LEFT($C$5,2)&amp;"输出",标准坦克设计!$B$23:$U$23,0)))*(VLOOKUP($B198,INDIRECT($B$5&amp;"生成成长"),3))*(VLOOKUP($B$5,标准坦克设计!$B$14:$K$20,9)/30))</f>
        <v>12.999830675864917</v>
      </c>
      <c r="EO198" s="172">
        <f ca="1">(VLOOKUP(EO$72,INDIRECT($C$5&amp;"生成成长"),2))/((VLOOKUP($B198,INDIRECT($B$5&amp;"生成成长"),4))/(VLOOKUP(EO$72,INDIRECT($C$5&amp;"生成成长"),5))*(VLOOKUP($B$5,标准坦克设计!$B$24:$U$30,MATCH("对"&amp;LEFT($C$5,2)&amp;"输出",标准坦克设计!$B$23:$U$23,0)))*(VLOOKUP($B198,INDIRECT($B$5&amp;"生成成长"),3))*(VLOOKUP($B$5,标准坦克设计!$B$14:$K$20,9)/30))</f>
        <v>13.909170971579806</v>
      </c>
      <c r="EP198" s="172">
        <f ca="1">(VLOOKUP(EP$72,INDIRECT($C$5&amp;"生成成长"),2))/((VLOOKUP($B198,INDIRECT($B$5&amp;"生成成长"),4))/(VLOOKUP(EP$72,INDIRECT($C$5&amp;"生成成长"),5))*(VLOOKUP($B$5,标准坦克设计!$B$24:$U$30,MATCH("对"&amp;LEFT($C$5,2)&amp;"输出",标准坦克设计!$B$23:$U$23,0)))*(VLOOKUP($B198,INDIRECT($B$5&amp;"生成成长"),3))*(VLOOKUP($B$5,标准坦克设计!$B$14:$K$20,9)/30))</f>
        <v>14.849249530811818</v>
      </c>
      <c r="EQ198" s="172">
        <f ca="1">(VLOOKUP(EQ$72,INDIRECT($C$5&amp;"生成成长"),2))/((VLOOKUP($B198,INDIRECT($B$5&amp;"生成成长"),4))/(VLOOKUP(EQ$72,INDIRECT($C$5&amp;"生成成长"),5))*(VLOOKUP($B$5,标准坦克设计!$B$24:$U$30,MATCH("对"&amp;LEFT($C$5,2)&amp;"输出",标准坦克设计!$B$23:$U$23,0)))*(VLOOKUP($B198,INDIRECT($B$5&amp;"生成成长"),3))*(VLOOKUP($B$5,标准坦克设计!$B$14:$K$20,9)/30))</f>
        <v>6.5643269422122641</v>
      </c>
      <c r="ER198" s="172">
        <f ca="1">(VLOOKUP(ER$72,INDIRECT($C$5&amp;"生成成长"),2))/((VLOOKUP($B198,INDIRECT($B$5&amp;"生成成长"),4))/(VLOOKUP(ER$72,INDIRECT($C$5&amp;"生成成长"),5))*(VLOOKUP($B$5,标准坦克设计!$B$24:$U$30,MATCH("对"&amp;LEFT($C$5,2)&amp;"输出",标准坦克设计!$B$23:$U$23,0)))*(VLOOKUP($B198,INDIRECT($B$5&amp;"生成成长"),3))*(VLOOKUP($B$5,标准坦克设计!$B$14:$K$20,9)/30))</f>
        <v>7.1595606076115512</v>
      </c>
      <c r="ES198" s="172">
        <f ca="1">(VLOOKUP(ES$72,INDIRECT($C$5&amp;"生成成长"),2))/((VLOOKUP($B198,INDIRECT($B$5&amp;"生成成长"),4))/(VLOOKUP(ES$72,INDIRECT($C$5&amp;"生成成长"),5))*(VLOOKUP($B$5,标准坦克设计!$B$24:$U$30,MATCH("对"&amp;LEFT($C$5,2)&amp;"输出",标准坦克设计!$B$23:$U$23,0)))*(VLOOKUP($B198,INDIRECT($B$5&amp;"生成成长"),3))*(VLOOKUP($B$5,标准坦克设计!$B$14:$K$20,9)/30))</f>
        <v>7.780622952771755</v>
      </c>
      <c r="ET198" s="172">
        <f ca="1">(VLOOKUP(ET$72,INDIRECT($C$5&amp;"生成成长"),2))/((VLOOKUP($B198,INDIRECT($B$5&amp;"生成成长"),4))/(VLOOKUP(ET$72,INDIRECT($C$5&amp;"生成成长"),5))*(VLOOKUP($B$5,标准坦克设计!$B$24:$U$30,MATCH("对"&amp;LEFT($C$5,2)&amp;"输出",标准坦克设计!$B$23:$U$23,0)))*(VLOOKUP($B198,INDIRECT($B$5&amp;"生成成长"),3))*(VLOOKUP($B$5,标准坦克设计!$B$14:$K$20,9)/30))</f>
        <v>8.4275139776928754</v>
      </c>
      <c r="EU198" s="172">
        <f ca="1">(VLOOKUP(EU$72,INDIRECT($C$5&amp;"生成成长"),2))/((VLOOKUP($B198,INDIRECT($B$5&amp;"生成成长"),4))/(VLOOKUP(EU$72,INDIRECT($C$5&amp;"生成成长"),5))*(VLOOKUP($B$5,标准坦克设计!$B$24:$U$30,MATCH("对"&amp;LEFT($C$5,2)&amp;"输出",标准坦克设计!$B$23:$U$23,0)))*(VLOOKUP($B198,INDIRECT($B$5&amp;"生成成长"),3))*(VLOOKUP($B$5,标准坦克设计!$B$14:$K$20,9)/30))</f>
        <v>9.1002336823749097</v>
      </c>
      <c r="EV198" s="172">
        <f ca="1">(VLOOKUP(EV$72,INDIRECT($C$5&amp;"生成成长"),2))/((VLOOKUP($B198,INDIRECT($B$5&amp;"生成成长"),4))/(VLOOKUP(EV$72,INDIRECT($C$5&amp;"生成成长"),5))*(VLOOKUP($B$5,标准坦克设计!$B$24:$U$30,MATCH("对"&amp;LEFT($C$5,2)&amp;"输出",标准坦克设计!$B$23:$U$23,0)))*(VLOOKUP($B198,INDIRECT($B$5&amp;"生成成长"),3))*(VLOOKUP($B$5,标准坦克设计!$B$14:$K$20,9)/30))</f>
        <v>9.7987820668178625</v>
      </c>
      <c r="EW198" s="172">
        <f ca="1">(VLOOKUP(EW$72,INDIRECT($C$5&amp;"生成成长"),2))/((VLOOKUP($B198,INDIRECT($B$5&amp;"生成成长"),4))/(VLOOKUP(EW$72,INDIRECT($C$5&amp;"生成成长"),5))*(VLOOKUP($B$5,标准坦克设计!$B$24:$U$30,MATCH("对"&amp;LEFT($C$5,2)&amp;"输出",标准坦克设计!$B$23:$U$23,0)))*(VLOOKUP($B198,INDIRECT($B$5&amp;"生成成长"),3))*(VLOOKUP($B$5,标准坦克设计!$B$14:$K$20,9)/30))</f>
        <v>10.523159131021728</v>
      </c>
      <c r="EX198" s="172">
        <f ca="1">(VLOOKUP(EX$72,INDIRECT($C$5&amp;"生成成长"),2))/((VLOOKUP($B198,INDIRECT($B$5&amp;"生成成长"),4))/(VLOOKUP(EX$72,INDIRECT($C$5&amp;"生成成长"),5))*(VLOOKUP($B$5,标准坦克设计!$B$24:$U$30,MATCH("对"&amp;LEFT($C$5,2)&amp;"输出",标准坦克设计!$B$23:$U$23,0)))*(VLOOKUP($B198,INDIRECT($B$5&amp;"生成成长"),3))*(VLOOKUP($B$5,标准坦克设计!$B$14:$K$20,9)/30))</f>
        <v>11.273364874986513</v>
      </c>
      <c r="EY198" s="172">
        <f ca="1">(VLOOKUP(EY$72,INDIRECT($C$5&amp;"生成成长"),2))/((VLOOKUP($B198,INDIRECT($B$5&amp;"生成成长"),4))/(VLOOKUP(EY$72,INDIRECT($C$5&amp;"生成成长"),5))*(VLOOKUP($B$5,标准坦克设计!$B$24:$U$30,MATCH("对"&amp;LEFT($C$5,2)&amp;"输出",标准坦克设计!$B$23:$U$23,0)))*(VLOOKUP($B198,INDIRECT($B$5&amp;"生成成长"),3))*(VLOOKUP($B$5,标准坦克设计!$B$14:$K$20,9)/30))</f>
        <v>12.049399298712208</v>
      </c>
      <c r="EZ198" s="172">
        <f ca="1">(VLOOKUP(EZ$72,INDIRECT($C$5&amp;"生成成长"),2))/((VLOOKUP($B198,INDIRECT($B$5&amp;"生成成长"),4))/(VLOOKUP(EZ$72,INDIRECT($C$5&amp;"生成成长"),5))*(VLOOKUP($B$5,标准坦克设计!$B$24:$U$30,MATCH("对"&amp;LEFT($C$5,2)&amp;"输出",标准坦克设计!$B$23:$U$23,0)))*(VLOOKUP($B198,INDIRECT($B$5&amp;"生成成长"),3))*(VLOOKUP($B$5,标准坦克设计!$B$14:$K$20,9)/30))</f>
        <v>12.851262402198826</v>
      </c>
      <c r="FA198" s="172">
        <f ca="1">(VLOOKUP(FA$72,INDIRECT($C$5&amp;"生成成长"),2))/((VLOOKUP($B198,INDIRECT($B$5&amp;"生成成长"),4))/(VLOOKUP(FA$72,INDIRECT($C$5&amp;"生成成长"),5))*(VLOOKUP($B$5,标准坦克设计!$B$24:$U$30,MATCH("对"&amp;LEFT($C$5,2)&amp;"输出",标准坦克设计!$B$23:$U$23,0)))*(VLOOKUP($B198,INDIRECT($B$5&amp;"生成成长"),3))*(VLOOKUP($B$5,标准坦克设计!$B$14:$K$20,9)/30))</f>
        <v>13.678954185446354</v>
      </c>
      <c r="FB198" s="172">
        <f ca="1">(VLOOKUP(FB$72,INDIRECT($C$5&amp;"生成成长"),2))/((VLOOKUP($B198,INDIRECT($B$5&amp;"生成成长"),4))/(VLOOKUP(FB$72,INDIRECT($C$5&amp;"生成成长"),5))*(VLOOKUP($B$5,标准坦克设计!$B$24:$U$30,MATCH("对"&amp;LEFT($C$5,2)&amp;"输出",标准坦克设计!$B$23:$U$23,0)))*(VLOOKUP($B198,INDIRECT($B$5&amp;"生成成长"),3))*(VLOOKUP($B$5,标准坦克设计!$B$14:$K$20,9)/30))</f>
        <v>14.532474648454802</v>
      </c>
      <c r="FC198" s="172">
        <f ca="1">(VLOOKUP(FC$72,INDIRECT($C$5&amp;"生成成长"),2))/((VLOOKUP($B198,INDIRECT($B$5&amp;"生成成长"),4))/(VLOOKUP(FC$72,INDIRECT($C$5&amp;"生成成长"),5))*(VLOOKUP($B$5,标准坦克设计!$B$24:$U$30,MATCH("对"&amp;LEFT($C$5,2)&amp;"输出",标准坦克设计!$B$23:$U$23,0)))*(VLOOKUP($B198,INDIRECT($B$5&amp;"生成成长"),3))*(VLOOKUP($B$5,标准坦克设计!$B$14:$K$20,9)/30))</f>
        <v>15.411823791224164</v>
      </c>
      <c r="FD198" s="172">
        <f ca="1">(VLOOKUP(FD$72,INDIRECT($C$5&amp;"生成成长"),2))/((VLOOKUP($B198,INDIRECT($B$5&amp;"生成成长"),4))/(VLOOKUP(FD$72,INDIRECT($C$5&amp;"生成成长"),5))*(VLOOKUP($B$5,标准坦克设计!$B$24:$U$30,MATCH("对"&amp;LEFT($C$5,2)&amp;"输出",标准坦克设计!$B$23:$U$23,0)))*(VLOOKUP($B198,INDIRECT($B$5&amp;"生成成长"),3))*(VLOOKUP($B$5,标准坦克设计!$B$14:$K$20,9)/30))</f>
        <v>16.317001613754442</v>
      </c>
      <c r="FE198" s="172">
        <f ca="1">(VLOOKUP(FE$72,INDIRECT($C$5&amp;"生成成长"),2))/((VLOOKUP($B198,INDIRECT($B$5&amp;"生成成长"),4))/(VLOOKUP(FE$72,INDIRECT($C$5&amp;"生成成长"),5))*(VLOOKUP($B$5,标准坦克设计!$B$24:$U$30,MATCH("对"&amp;LEFT($C$5,2)&amp;"输出",标准坦克设计!$B$23:$U$23,0)))*(VLOOKUP($B198,INDIRECT($B$5&amp;"生成成长"),3))*(VLOOKUP($B$5,标准坦克设计!$B$14:$K$20,9)/30))</f>
        <v>17.420057007676199</v>
      </c>
      <c r="FF198" s="172">
        <f ca="1">(VLOOKUP(FF$72,INDIRECT($C$5&amp;"生成成长"),2))/((VLOOKUP($B198,INDIRECT($B$5&amp;"生成成长"),4))/(VLOOKUP(FF$72,INDIRECT($C$5&amp;"生成成长"),5))*(VLOOKUP($B$5,标准坦克设计!$B$24:$U$30,MATCH("对"&amp;LEFT($C$5,2)&amp;"输出",标准坦克设计!$B$23:$U$23,0)))*(VLOOKUP($B198,INDIRECT($B$5&amp;"生成成长"),3))*(VLOOKUP($B$5,标准坦克设计!$B$14:$K$20,9)/30))</f>
        <v>18.559187169197912</v>
      </c>
      <c r="FG198" s="172">
        <f ca="1">(VLOOKUP(FG$72,INDIRECT($C$5&amp;"生成成长"),2))/((VLOOKUP($B198,INDIRECT($B$5&amp;"生成成长"),4))/(VLOOKUP(FG$72,INDIRECT($C$5&amp;"生成成长"),5))*(VLOOKUP($B$5,标准坦克设计!$B$24:$U$30,MATCH("对"&amp;LEFT($C$5,2)&amp;"输出",标准坦克设计!$B$23:$U$23,0)))*(VLOOKUP($B198,INDIRECT($B$5&amp;"生成成长"),3))*(VLOOKUP($B$5,标准坦克设计!$B$14:$K$20,9)/30))</f>
        <v>19.734392098319585</v>
      </c>
      <c r="FH198" s="172">
        <f ca="1">(VLOOKUP(FH$72,INDIRECT($C$5&amp;"生成成长"),2))/((VLOOKUP($B198,INDIRECT($B$5&amp;"生成成长"),4))/(VLOOKUP(FH$72,INDIRECT($C$5&amp;"生成成长"),5))*(VLOOKUP($B$5,标准坦克设计!$B$24:$U$30,MATCH("对"&amp;LEFT($C$5,2)&amp;"输出",标准坦克设计!$B$23:$U$23,0)))*(VLOOKUP($B198,INDIRECT($B$5&amp;"生成成长"),3))*(VLOOKUP($B$5,标准坦克设计!$B$14:$K$20,9)/30))</f>
        <v>20.945671795041214</v>
      </c>
      <c r="FI198" s="172">
        <f ca="1">(VLOOKUP(FI$72,INDIRECT($C$5&amp;"生成成长"),2))/((VLOOKUP($B198,INDIRECT($B$5&amp;"生成成长"),4))/(VLOOKUP(FI$72,INDIRECT($C$5&amp;"生成成长"),5))*(VLOOKUP($B$5,标准坦克设计!$B$24:$U$30,MATCH("对"&amp;LEFT($C$5,2)&amp;"输出",标准坦克设计!$B$23:$U$23,0)))*(VLOOKUP($B198,INDIRECT($B$5&amp;"生成成长"),3))*(VLOOKUP($B$5,标准坦克设计!$B$14:$K$20,9)/30))</f>
        <v>22.193026259362792</v>
      </c>
      <c r="FJ198" s="172">
        <f ca="1">(VLOOKUP(FJ$72,INDIRECT($C$5&amp;"生成成长"),2))/((VLOOKUP($B198,INDIRECT($B$5&amp;"生成成长"),4))/(VLOOKUP(FJ$72,INDIRECT($C$5&amp;"生成成长"),5))*(VLOOKUP($B$5,标准坦克设计!$B$24:$U$30,MATCH("对"&amp;LEFT($C$5,2)&amp;"输出",标准坦克设计!$B$23:$U$23,0)))*(VLOOKUP($B198,INDIRECT($B$5&amp;"生成成长"),3))*(VLOOKUP($B$5,标准坦克设计!$B$14:$K$20,9)/30))</f>
        <v>23.476455491284334</v>
      </c>
      <c r="FK198" s="172">
        <f ca="1">(VLOOKUP(FK$72,INDIRECT($C$5&amp;"生成成长"),2))/((VLOOKUP($B198,INDIRECT($B$5&amp;"生成成长"),4))/(VLOOKUP(FK$72,INDIRECT($C$5&amp;"生成成长"),5))*(VLOOKUP($B$5,标准坦克设计!$B$24:$U$30,MATCH("对"&amp;LEFT($C$5,2)&amp;"输出",标准坦克设计!$B$23:$U$23,0)))*(VLOOKUP($B198,INDIRECT($B$5&amp;"生成成长"),3))*(VLOOKUP($B$5,标准坦克设计!$B$14:$K$20,9)/30))</f>
        <v>24.795959490805835</v>
      </c>
    </row>
    <row r="199" spans="1:167" x14ac:dyDescent="0.15">
      <c r="A199" s="170" t="str">
        <f t="shared" si="12"/>
        <v>T4高品质1级</v>
      </c>
      <c r="B199" s="171">
        <v>30401</v>
      </c>
      <c r="C199" s="172">
        <f ca="1">(VLOOKUP(C$72,INDIRECT($C$5&amp;"生成成长"),2))/((VLOOKUP($B199,INDIRECT($B$5&amp;"生成成长"),4))/(VLOOKUP(C$72,INDIRECT($C$5&amp;"生成成长"),5))*(VLOOKUP($B$5,标准坦克设计!$B$24:$U$30,MATCH("对"&amp;LEFT($C$5,2)&amp;"输出",标准坦克设计!$B$23:$U$23,0)))*(VLOOKUP($B199,INDIRECT($B$5&amp;"生成成长"),3))*(VLOOKUP($B$5,标准坦克设计!$B$14:$K$20,9)/30))</f>
        <v>2.3792601310458377</v>
      </c>
      <c r="D199" s="172">
        <f ca="1">(VLOOKUP(D$72,INDIRECT($C$5&amp;"生成成长"),2))/((VLOOKUP($B199,INDIRECT($B$5&amp;"生成成长"),4))/(VLOOKUP(D$72,INDIRECT($C$5&amp;"生成成长"),5))*(VLOOKUP($B$5,标准坦克设计!$B$24:$U$30,MATCH("对"&amp;LEFT($C$5,2)&amp;"输出",标准坦克设计!$B$23:$U$23,0)))*(VLOOKUP($B199,INDIRECT($B$5&amp;"生成成长"),3))*(VLOOKUP($B$5,标准坦克设计!$B$14:$K$20,9)/30))</f>
        <v>2.6733366832431029</v>
      </c>
      <c r="E199" s="172">
        <f ca="1">(VLOOKUP(E$72,INDIRECT($C$5&amp;"生成成长"),2))/((VLOOKUP($B199,INDIRECT($B$5&amp;"生成成长"),4))/(VLOOKUP(E$72,INDIRECT($C$5&amp;"生成成长"),5))*(VLOOKUP($B$5,标准坦克设计!$B$24:$U$30,MATCH("对"&amp;LEFT($C$5,2)&amp;"输出",标准坦克设计!$B$23:$U$23,0)))*(VLOOKUP($B199,INDIRECT($B$5&amp;"生成成长"),3))*(VLOOKUP($B$5,标准坦克设计!$B$14:$K$20,9)/30))</f>
        <v>2.9845439083838983</v>
      </c>
      <c r="F199" s="172">
        <f ca="1">(VLOOKUP(F$72,INDIRECT($C$5&amp;"生成成长"),2))/((VLOOKUP($B199,INDIRECT($B$5&amp;"生成成长"),4))/(VLOOKUP(F$72,INDIRECT($C$5&amp;"生成成长"),5))*(VLOOKUP($B$5,标准坦克设计!$B$24:$U$30,MATCH("对"&amp;LEFT($C$5,2)&amp;"输出",标准坦克设计!$B$23:$U$23,0)))*(VLOOKUP($B199,INDIRECT($B$5&amp;"生成成长"),3))*(VLOOKUP($B$5,标准坦克设计!$B$14:$K$20,9)/30))</f>
        <v>3.3128818064682242</v>
      </c>
      <c r="G199" s="172">
        <f ca="1">(VLOOKUP(G$72,INDIRECT($C$5&amp;"生成成长"),2))/((VLOOKUP($B199,INDIRECT($B$5&amp;"生成成长"),4))/(VLOOKUP(G$72,INDIRECT($C$5&amp;"生成成长"),5))*(VLOOKUP($B$5,标准坦克设计!$B$24:$U$30,MATCH("对"&amp;LEFT($C$5,2)&amp;"输出",标准坦克设计!$B$23:$U$23,0)))*(VLOOKUP($B199,INDIRECT($B$5&amp;"生成成长"),3))*(VLOOKUP($B$5,标准坦克设计!$B$14:$K$20,9)/30))</f>
        <v>3.6583503774960788</v>
      </c>
      <c r="H199" s="172">
        <f ca="1">(VLOOKUP(H$72,INDIRECT($C$5&amp;"生成成长"),2))/((VLOOKUP($B199,INDIRECT($B$5&amp;"生成成长"),4))/(VLOOKUP(H$72,INDIRECT($C$5&amp;"生成成长"),5))*(VLOOKUP($B$5,标准坦克设计!$B$24:$U$30,MATCH("对"&amp;LEFT($C$5,2)&amp;"输出",标准坦克设计!$B$23:$U$23,0)))*(VLOOKUP($B199,INDIRECT($B$5&amp;"生成成长"),3))*(VLOOKUP($B$5,标准坦克设计!$B$14:$K$20,9)/30))</f>
        <v>3.201532432335279</v>
      </c>
      <c r="I199" s="172">
        <f ca="1">(VLOOKUP(I$72,INDIRECT($C$5&amp;"生成成长"),2))/((VLOOKUP($B199,INDIRECT($B$5&amp;"生成成长"),4))/(VLOOKUP(I$72,INDIRECT($C$5&amp;"生成成长"),5))*(VLOOKUP($B$5,标准坦克设计!$B$24:$U$30,MATCH("对"&amp;LEFT($C$5,2)&amp;"输出",标准坦克设计!$B$23:$U$23,0)))*(VLOOKUP($B199,INDIRECT($B$5&amp;"生成成长"),3))*(VLOOKUP($B$5,标准坦克设计!$B$14:$K$20,9)/30))</f>
        <v>3.6583503774960788</v>
      </c>
      <c r="J199" s="172">
        <f ca="1">(VLOOKUP(J$72,INDIRECT($C$5&amp;"生成成长"),2))/((VLOOKUP($B199,INDIRECT($B$5&amp;"生成成长"),4))/(VLOOKUP(J$72,INDIRECT($C$5&amp;"生成成长"),5))*(VLOOKUP($B$5,标准坦克设计!$B$24:$U$30,MATCH("对"&amp;LEFT($C$5,2)&amp;"输出",标准坦克设计!$B$23:$U$23,0)))*(VLOOKUP($B199,INDIRECT($B$5&amp;"生成成长"),3))*(VLOOKUP($B$5,标准坦克设计!$B$14:$K$20,9)/30))</f>
        <v>4.1456228523342666</v>
      </c>
      <c r="K199" s="172">
        <f ca="1">(VLOOKUP(K$72,INDIRECT($C$5&amp;"生成成长"),2))/((VLOOKUP($B199,INDIRECT($B$5&amp;"生成成长"),4))/(VLOOKUP(K$72,INDIRECT($C$5&amp;"生成成长"),5))*(VLOOKUP($B$5,标准坦克设计!$B$24:$U$30,MATCH("对"&amp;LEFT($C$5,2)&amp;"输出",标准坦克设计!$B$23:$U$23,0)))*(VLOOKUP($B199,INDIRECT($B$5&amp;"生成成长"),3))*(VLOOKUP($B$5,标准坦克设计!$B$14:$K$20,9)/30))</f>
        <v>4.663349856849841</v>
      </c>
      <c r="L199" s="172">
        <f ca="1">(VLOOKUP(L$72,INDIRECT($C$5&amp;"生成成长"),2))/((VLOOKUP($B199,INDIRECT($B$5&amp;"生成成长"),4))/(VLOOKUP(L$72,INDIRECT($C$5&amp;"生成成长"),5))*(VLOOKUP($B$5,标准坦克设计!$B$24:$U$30,MATCH("对"&amp;LEFT($C$5,2)&amp;"输出",标准坦克设计!$B$23:$U$23,0)))*(VLOOKUP($B199,INDIRECT($B$5&amp;"生成成长"),3))*(VLOOKUP($B$5,标准坦克设计!$B$14:$K$20,9)/30))</f>
        <v>5.2115313910428025</v>
      </c>
      <c r="M199" s="172">
        <f ca="1">(VLOOKUP(M$72,INDIRECT($C$5&amp;"生成成长"),2))/((VLOOKUP($B199,INDIRECT($B$5&amp;"生成成长"),4))/(VLOOKUP(M$72,INDIRECT($C$5&amp;"生成成长"),5))*(VLOOKUP($B$5,标准坦克设计!$B$24:$U$30,MATCH("对"&amp;LEFT($C$5,2)&amp;"输出",标准坦克设计!$B$23:$U$23,0)))*(VLOOKUP($B199,INDIRECT($B$5&amp;"生成成长"),3))*(VLOOKUP($B$5,标准坦克设计!$B$14:$K$20,9)/30))</f>
        <v>5.7901674549131492</v>
      </c>
      <c r="N199" s="172">
        <f ca="1">(VLOOKUP(N$72,INDIRECT($C$5&amp;"生成成长"),2))/((VLOOKUP($B199,INDIRECT($B$5&amp;"生成成长"),4))/(VLOOKUP(N$72,INDIRECT($C$5&amp;"生成成长"),5))*(VLOOKUP($B$5,标准坦克设计!$B$24:$U$30,MATCH("对"&amp;LEFT($C$5,2)&amp;"输出",标准坦克设计!$B$23:$U$23,0)))*(VLOOKUP($B199,INDIRECT($B$5&amp;"生成成长"),3))*(VLOOKUP($B$5,标准坦克设计!$B$14:$K$20,9)/30))</f>
        <v>6.3992580484608848</v>
      </c>
      <c r="O199" s="172">
        <f ca="1">(VLOOKUP(O$72,INDIRECT($C$5&amp;"生成成长"),2))/((VLOOKUP($B199,INDIRECT($B$5&amp;"生成成长"),4))/(VLOOKUP(O$72,INDIRECT($C$5&amp;"生成成长"),5))*(VLOOKUP($B$5,标准坦克设计!$B$24:$U$30,MATCH("对"&amp;LEFT($C$5,2)&amp;"输出",标准坦克设计!$B$23:$U$23,0)))*(VLOOKUP($B199,INDIRECT($B$5&amp;"生成成长"),3))*(VLOOKUP($B$5,标准坦克设计!$B$14:$K$20,9)/30))</f>
        <v>4.8653490419756329</v>
      </c>
      <c r="P199" s="172">
        <f ca="1">(VLOOKUP(P$72,INDIRECT($C$5&amp;"生成成长"),2))/((VLOOKUP($B199,INDIRECT($B$5&amp;"生成成长"),4))/(VLOOKUP(P$72,INDIRECT($C$5&amp;"生成成长"),5))*(VLOOKUP($B$5,标准坦克设计!$B$24:$U$30,MATCH("对"&amp;LEFT($C$5,2)&amp;"输出",标准坦克设计!$B$23:$U$23,0)))*(VLOOKUP($B199,INDIRECT($B$5&amp;"生成成长"),3))*(VLOOKUP($B$5,标准坦克设计!$B$14:$K$20,9)/30))</f>
        <v>5.4970426067683027</v>
      </c>
      <c r="Q199" s="172">
        <f ca="1">(VLOOKUP(Q$72,INDIRECT($C$5&amp;"生成成长"),2))/((VLOOKUP($B199,INDIRECT($B$5&amp;"生成成长"),4))/(VLOOKUP(Q$72,INDIRECT($C$5&amp;"生成成长"),5))*(VLOOKUP($B$5,标准坦克设计!$B$24:$U$30,MATCH("对"&amp;LEFT($C$5,2)&amp;"输出",标准坦克设计!$B$23:$U$23,0)))*(VLOOKUP($B199,INDIRECT($B$5&amp;"生成成长"),3))*(VLOOKUP($B$5,标准坦克设计!$B$14:$K$20,9)/30))</f>
        <v>6.1672801856839152</v>
      </c>
      <c r="R199" s="172">
        <f ca="1">(VLOOKUP(R$72,INDIRECT($C$5&amp;"生成成长"),2))/((VLOOKUP($B199,INDIRECT($B$5&amp;"生成成长"),4))/(VLOOKUP(R$72,INDIRECT($C$5&amp;"生成成长"),5))*(VLOOKUP($B$5,标准坦克设计!$B$24:$U$30,MATCH("对"&amp;LEFT($C$5,2)&amp;"输出",标准坦克设计!$B$23:$U$23,0)))*(VLOOKUP($B199,INDIRECT($B$5&amp;"生成成长"),3))*(VLOOKUP($B$5,标准坦克设计!$B$14:$K$20,9)/30))</f>
        <v>6.8760617787224705</v>
      </c>
      <c r="S199" s="172">
        <f ca="1">(VLOOKUP(S$72,INDIRECT($C$5&amp;"生成成长"),2))/((VLOOKUP($B199,INDIRECT($B$5&amp;"生成成长"),4))/(VLOOKUP(S$72,INDIRECT($C$5&amp;"生成成长"),5))*(VLOOKUP($B$5,标准坦克设计!$B$24:$U$30,MATCH("对"&amp;LEFT($C$5,2)&amp;"输出",标准坦克设计!$B$23:$U$23,0)))*(VLOOKUP($B199,INDIRECT($B$5&amp;"生成成长"),3))*(VLOOKUP($B$5,标准坦克设计!$B$14:$K$20,9)/30))</f>
        <v>7.6233873858839702</v>
      </c>
      <c r="T199" s="172">
        <f ca="1">(VLOOKUP(T$72,INDIRECT($C$5&amp;"生成成长"),2))/((VLOOKUP($B199,INDIRECT($B$5&amp;"生成成长"),4))/(VLOOKUP(T$72,INDIRECT($C$5&amp;"生成成长"),5))*(VLOOKUP($B$5,标准坦克设计!$B$24:$U$30,MATCH("对"&amp;LEFT($C$5,2)&amp;"输出",标准坦克设计!$B$23:$U$23,0)))*(VLOOKUP($B199,INDIRECT($B$5&amp;"生成成长"),3))*(VLOOKUP($B$5,标准坦克设计!$B$14:$K$20,9)/30))</f>
        <v>8.4092570071684083</v>
      </c>
      <c r="U199" s="172">
        <f ca="1">(VLOOKUP(U$72,INDIRECT($C$5&amp;"生成成长"),2))/((VLOOKUP($B199,INDIRECT($B$5&amp;"生成成长"),4))/(VLOOKUP(U$72,INDIRECT($C$5&amp;"生成成长"),5))*(VLOOKUP($B$5,标准坦克设计!$B$24:$U$30,MATCH("对"&amp;LEFT($C$5,2)&amp;"输出",标准坦克设计!$B$23:$U$23,0)))*(VLOOKUP($B199,INDIRECT($B$5&amp;"生成成长"),3))*(VLOOKUP($B$5,标准坦克设计!$B$14:$K$20,9)/30))</f>
        <v>9.23367064257579</v>
      </c>
      <c r="V199" s="172">
        <f ca="1">(VLOOKUP(V$72,INDIRECT($C$5&amp;"生成成长"),2))/((VLOOKUP($B199,INDIRECT($B$5&amp;"生成成长"),4))/(VLOOKUP(V$72,INDIRECT($C$5&amp;"生成成长"),5))*(VLOOKUP($B$5,标准坦克设计!$B$24:$U$30,MATCH("对"&amp;LEFT($C$5,2)&amp;"输出",标准坦克设计!$B$23:$U$23,0)))*(VLOOKUP($B199,INDIRECT($B$5&amp;"生成成长"),3))*(VLOOKUP($B$5,标准坦克设计!$B$14:$K$20,9)/30))</f>
        <v>10.096628292106116</v>
      </c>
      <c r="W199" s="172">
        <f ca="1">(VLOOKUP(W$72,INDIRECT($C$5&amp;"生成成长"),2))/((VLOOKUP($B199,INDIRECT($B$5&amp;"生成成长"),4))/(VLOOKUP(W$72,INDIRECT($C$5&amp;"生成成长"),5))*(VLOOKUP($B$5,标准坦克设计!$B$24:$U$30,MATCH("对"&amp;LEFT($C$5,2)&amp;"输出",标准坦克设计!$B$23:$U$23,0)))*(VLOOKUP($B199,INDIRECT($B$5&amp;"生成成长"),3))*(VLOOKUP($B$5,标准坦克设计!$B$14:$K$20,9)/30))</f>
        <v>10.998129955759385</v>
      </c>
      <c r="X199" s="172">
        <f ca="1">(VLOOKUP(X$72,INDIRECT($C$5&amp;"生成成长"),2))/((VLOOKUP($B199,INDIRECT($B$5&amp;"生成成长"),4))/(VLOOKUP(X$72,INDIRECT($C$5&amp;"生成成长"),5))*(VLOOKUP($B$5,标准坦克设计!$B$24:$U$30,MATCH("对"&amp;LEFT($C$5,2)&amp;"输出",标准坦克设计!$B$23:$U$23,0)))*(VLOOKUP($B199,INDIRECT($B$5&amp;"生成成长"),3))*(VLOOKUP($B$5,标准坦克设计!$B$14:$K$20,9)/30))</f>
        <v>7.9679042528594035</v>
      </c>
      <c r="Y199" s="172">
        <f ca="1">(VLOOKUP(Y$72,INDIRECT($C$5&amp;"生成成长"),2))/((VLOOKUP($B199,INDIRECT($B$5&amp;"生成成长"),4))/(VLOOKUP(Y$72,INDIRECT($C$5&amp;"生成成长"),5))*(VLOOKUP($B$5,标准坦克设计!$B$24:$U$30,MATCH("对"&amp;LEFT($C$5,2)&amp;"输出",标准坦克设计!$B$23:$U$23,0)))*(VLOOKUP($B199,INDIRECT($B$5&amp;"生成成长"),3))*(VLOOKUP($B$5,标准坦克设计!$B$14:$K$20,9)/30))</f>
        <v>8.8625060621326401</v>
      </c>
      <c r="Z199" s="172">
        <f ca="1">(VLOOKUP(Z$72,INDIRECT($C$5&amp;"生成成长"),2))/((VLOOKUP($B199,INDIRECT($B$5&amp;"生成成长"),4))/(VLOOKUP(Z$72,INDIRECT($C$5&amp;"生成成长"),5))*(VLOOKUP($B$5,标准坦克设计!$B$24:$U$30,MATCH("对"&amp;LEFT($C$5,2)&amp;"输出",标准坦克设计!$B$23:$U$23,0)))*(VLOOKUP($B199,INDIRECT($B$5&amp;"生成成长"),3))*(VLOOKUP($B$5,标准坦克设计!$B$14:$K$20,9)/30))</f>
        <v>9.8046930740267921</v>
      </c>
      <c r="AA199" s="172">
        <f ca="1">(VLOOKUP(AA$72,INDIRECT($C$5&amp;"生成成长"),2))/((VLOOKUP($B199,INDIRECT($B$5&amp;"生成成长"),4))/(VLOOKUP(AA$72,INDIRECT($C$5&amp;"生成成长"),5))*(VLOOKUP($B$5,标准坦克设计!$B$24:$U$30,MATCH("对"&amp;LEFT($C$5,2)&amp;"输出",标准坦克设计!$B$23:$U$23,0)))*(VLOOKUP($B199,INDIRECT($B$5&amp;"生成成长"),3))*(VLOOKUP($B$5,标准坦克设计!$B$14:$K$20,9)/30))</f>
        <v>10.794465288541859</v>
      </c>
      <c r="AB199" s="172">
        <f ca="1">(VLOOKUP(AB$72,INDIRECT($C$5&amp;"生成成长"),2))/((VLOOKUP($B199,INDIRECT($B$5&amp;"生成成长"),4))/(VLOOKUP(AB$72,INDIRECT($C$5&amp;"生成成长"),5))*(VLOOKUP($B$5,标准坦克设计!$B$24:$U$30,MATCH("对"&amp;LEFT($C$5,2)&amp;"输出",标准坦克设计!$B$23:$U$23,0)))*(VLOOKUP($B199,INDIRECT($B$5&amp;"生成成长"),3))*(VLOOKUP($B$5,标准坦克设计!$B$14:$K$20,9)/30))</f>
        <v>11.831822705677844</v>
      </c>
      <c r="AC199" s="172">
        <f ca="1">(VLOOKUP(AC$72,INDIRECT($C$5&amp;"生成成长"),2))/((VLOOKUP($B199,INDIRECT($B$5&amp;"生成成长"),4))/(VLOOKUP(AC$72,INDIRECT($C$5&amp;"生成成长"),5))*(VLOOKUP($B$5,标准坦克设计!$B$24:$U$30,MATCH("对"&amp;LEFT($C$5,2)&amp;"输出",标准坦克设计!$B$23:$U$23,0)))*(VLOOKUP($B199,INDIRECT($B$5&amp;"生成成长"),3))*(VLOOKUP($B$5,标准坦克设计!$B$14:$K$20,9)/30))</f>
        <v>12.916765325434749</v>
      </c>
      <c r="AD199" s="172">
        <f ca="1">(VLOOKUP(AD$72,INDIRECT($C$5&amp;"生成成长"),2))/((VLOOKUP($B199,INDIRECT($B$5&amp;"生成成长"),4))/(VLOOKUP(AD$72,INDIRECT($C$5&amp;"生成成长"),5))*(VLOOKUP($B$5,标准坦克设计!$B$24:$U$30,MATCH("对"&amp;LEFT($C$5,2)&amp;"输出",标准坦克设计!$B$23:$U$23,0)))*(VLOOKUP($B199,INDIRECT($B$5&amp;"生成成长"),3))*(VLOOKUP($B$5,标准坦克设计!$B$14:$K$20,9)/30))</f>
        <v>14.049293147812566</v>
      </c>
      <c r="AE199" s="172">
        <f ca="1">(VLOOKUP(AE$72,INDIRECT($C$5&amp;"生成成长"),2))/((VLOOKUP($B199,INDIRECT($B$5&amp;"生成成长"),4))/(VLOOKUP(AE$72,INDIRECT($C$5&amp;"生成成长"),5))*(VLOOKUP($B$5,标准坦克设计!$B$24:$U$30,MATCH("对"&amp;LEFT($C$5,2)&amp;"输出",标准坦克设计!$B$23:$U$23,0)))*(VLOOKUP($B199,INDIRECT($B$5&amp;"生成成长"),3))*(VLOOKUP($B$5,标准坦克设计!$B$14:$K$20,9)/30))</f>
        <v>15.229406172811299</v>
      </c>
      <c r="AF199" s="172">
        <f ca="1">(VLOOKUP(AF$72,INDIRECT($C$5&amp;"生成成长"),2))/((VLOOKUP($B199,INDIRECT($B$5&amp;"生成成长"),4))/(VLOOKUP(AF$72,INDIRECT($C$5&amp;"生成成长"),5))*(VLOOKUP($B$5,标准坦克设计!$B$24:$U$30,MATCH("对"&amp;LEFT($C$5,2)&amp;"输出",标准坦克设计!$B$23:$U$23,0)))*(VLOOKUP($B199,INDIRECT($B$5&amp;"生成成长"),3))*(VLOOKUP($B$5,标准坦克设计!$B$14:$K$20,9)/30))</f>
        <v>16.457104400430953</v>
      </c>
      <c r="AG199" s="172">
        <f ca="1">(VLOOKUP(AG$72,INDIRECT($C$5&amp;"生成成长"),2))/((VLOOKUP($B199,INDIRECT($B$5&amp;"生成成长"),4))/(VLOOKUP(AG$72,INDIRECT($C$5&amp;"生成成长"),5))*(VLOOKUP($B$5,标准坦克设计!$B$24:$U$30,MATCH("对"&amp;LEFT($C$5,2)&amp;"输出",标准坦克设计!$B$23:$U$23,0)))*(VLOOKUP($B199,INDIRECT($B$5&amp;"生成成长"),3))*(VLOOKUP($B$5,标准坦克设计!$B$14:$K$20,9)/30))</f>
        <v>17.73238783067152</v>
      </c>
      <c r="AH199" s="172">
        <f ca="1">(VLOOKUP(AH$72,INDIRECT($C$5&amp;"生成成长"),2))/((VLOOKUP($B199,INDIRECT($B$5&amp;"生成成长"),4))/(VLOOKUP(AH$72,INDIRECT($C$5&amp;"生成成长"),5))*(VLOOKUP($B$5,标准坦克设计!$B$24:$U$30,MATCH("对"&amp;LEFT($C$5,2)&amp;"输出",标准坦克设计!$B$23:$U$23,0)))*(VLOOKUP($B199,INDIRECT($B$5&amp;"生成成长"),3))*(VLOOKUP($B$5,标准坦克设计!$B$14:$K$20,9)/30))</f>
        <v>19.055256463533006</v>
      </c>
      <c r="AI199" s="172">
        <f ca="1">(VLOOKUP(AI$72,INDIRECT($C$5&amp;"生成成长"),2))/((VLOOKUP($B199,INDIRECT($B$5&amp;"生成成长"),4))/(VLOOKUP(AI$72,INDIRECT($C$5&amp;"生成成长"),5))*(VLOOKUP($B$5,标准坦克设计!$B$24:$U$30,MATCH("对"&amp;LEFT($C$5,2)&amp;"输出",标准坦克设计!$B$23:$U$23,0)))*(VLOOKUP($B199,INDIRECT($B$5&amp;"生成成长"),3))*(VLOOKUP($B$5,标准坦克设计!$B$14:$K$20,9)/30))</f>
        <v>13.477081086296041</v>
      </c>
      <c r="AJ199" s="172">
        <f ca="1">(VLOOKUP(AJ$72,INDIRECT($C$5&amp;"生成成长"),2))/((VLOOKUP($B199,INDIRECT($B$5&amp;"生成成长"),4))/(VLOOKUP(AJ$72,INDIRECT($C$5&amp;"生成成长"),5))*(VLOOKUP($B$5,标准坦克设计!$B$24:$U$30,MATCH("对"&amp;LEFT($C$5,2)&amp;"输出",标准坦克设计!$B$23:$U$23,0)))*(VLOOKUP($B199,INDIRECT($B$5&amp;"生成成长"),3))*(VLOOKUP($B$5,标准坦克设计!$B$14:$K$20,9)/30))</f>
        <v>14.751650738497297</v>
      </c>
      <c r="AK199" s="172">
        <f ca="1">(VLOOKUP(AK$72,INDIRECT($C$5&amp;"生成成长"),2))/((VLOOKUP($B199,INDIRECT($B$5&amp;"生成成长"),4))/(VLOOKUP(AK$72,INDIRECT($C$5&amp;"生成成长"),5))*(VLOOKUP($B$5,标准坦克设计!$B$24:$U$30,MATCH("对"&amp;LEFT($C$5,2)&amp;"输出",标准坦克设计!$B$23:$U$23,0)))*(VLOOKUP($B199,INDIRECT($B$5&amp;"生成成长"),3))*(VLOOKUP($B$5,标准坦克设计!$B$14:$K$20,9)/30))</f>
        <v>16.08379848586986</v>
      </c>
      <c r="AL199" s="172">
        <f ca="1">(VLOOKUP(AL$72,INDIRECT($C$5&amp;"生成成长"),2))/((VLOOKUP($B199,INDIRECT($B$5&amp;"生成成长"),4))/(VLOOKUP(AL$72,INDIRECT($C$5&amp;"生成成长"),5))*(VLOOKUP($B$5,标准坦克设计!$B$24:$U$30,MATCH("对"&amp;LEFT($C$5,2)&amp;"输出",标准坦克设计!$B$23:$U$23,0)))*(VLOOKUP($B199,INDIRECT($B$5&amp;"生成成长"),3))*(VLOOKUP($B$5,标准坦克设计!$B$14:$K$20,9)/30))</f>
        <v>17.473524328413735</v>
      </c>
      <c r="AM199" s="172">
        <f ca="1">(VLOOKUP(AM$72,INDIRECT($C$5&amp;"生成成长"),2))/((VLOOKUP($B199,INDIRECT($B$5&amp;"生成成长"),4))/(VLOOKUP(AM$72,INDIRECT($C$5&amp;"生成成长"),5))*(VLOOKUP($B$5,标准坦克设计!$B$24:$U$30,MATCH("对"&amp;LEFT($C$5,2)&amp;"输出",标准坦克设计!$B$23:$U$23,0)))*(VLOOKUP($B199,INDIRECT($B$5&amp;"生成成长"),3))*(VLOOKUP($B$5,标准坦克设计!$B$14:$K$20,9)/30))</f>
        <v>18.920828266128918</v>
      </c>
      <c r="AN199" s="172">
        <f ca="1">(VLOOKUP(AN$72,INDIRECT($C$5&amp;"生成成长"),2))/((VLOOKUP($B199,INDIRECT($B$5&amp;"生成成长"),4))/(VLOOKUP(AN$72,INDIRECT($C$5&amp;"生成成长"),5))*(VLOOKUP($B$5,标准坦克设计!$B$24:$U$30,MATCH("对"&amp;LEFT($C$5,2)&amp;"输出",标准坦克设计!$B$23:$U$23,0)))*(VLOOKUP($B199,INDIRECT($B$5&amp;"生成成长"),3))*(VLOOKUP($B$5,标准坦克设计!$B$14:$K$20,9)/30))</f>
        <v>20.425710299015407</v>
      </c>
      <c r="AO199" s="172">
        <f ca="1">(VLOOKUP(AO$72,INDIRECT($C$5&amp;"生成成长"),2))/((VLOOKUP($B199,INDIRECT($B$5&amp;"生成成长"),4))/(VLOOKUP(AO$72,INDIRECT($C$5&amp;"生成成长"),5))*(VLOOKUP($B$5,标准坦克设计!$B$24:$U$30,MATCH("对"&amp;LEFT($C$5,2)&amp;"输出",标准坦克设计!$B$23:$U$23,0)))*(VLOOKUP($B199,INDIRECT($B$5&amp;"生成成长"),3))*(VLOOKUP($B$5,标准坦克设计!$B$14:$K$20,9)/30))</f>
        <v>21.988170427073211</v>
      </c>
      <c r="AP199" s="172">
        <f ca="1">(VLOOKUP(AP$72,INDIRECT($C$5&amp;"生成成长"),2))/((VLOOKUP($B199,INDIRECT($B$5&amp;"生成成长"),4))/(VLOOKUP(AP$72,INDIRECT($C$5&amp;"生成成长"),5))*(VLOOKUP($B$5,标准坦克设计!$B$24:$U$30,MATCH("对"&amp;LEFT($C$5,2)&amp;"输出",标准坦克设计!$B$23:$U$23,0)))*(VLOOKUP($B199,INDIRECT($B$5&amp;"生成成长"),3))*(VLOOKUP($B$5,标准坦克设计!$B$14:$K$20,9)/30))</f>
        <v>23.608208650302323</v>
      </c>
      <c r="AQ199" s="172">
        <f ca="1">(VLOOKUP(AQ$72,INDIRECT($C$5&amp;"生成成长"),2))/((VLOOKUP($B199,INDIRECT($B$5&amp;"生成成长"),4))/(VLOOKUP(AQ$72,INDIRECT($C$5&amp;"生成成长"),5))*(VLOOKUP($B$5,标准坦克设计!$B$24:$U$30,MATCH("对"&amp;LEFT($C$5,2)&amp;"输出",标准坦克设计!$B$23:$U$23,0)))*(VLOOKUP($B199,INDIRECT($B$5&amp;"生成成长"),3))*(VLOOKUP($B$5,标准坦克设计!$B$14:$K$20,9)/30))</f>
        <v>25.285824968702745</v>
      </c>
      <c r="AR199" s="172">
        <f ca="1">(VLOOKUP(AR$72,INDIRECT($C$5&amp;"生成成长"),2))/((VLOOKUP($B199,INDIRECT($B$5&amp;"生成成长"),4))/(VLOOKUP(AR$72,INDIRECT($C$5&amp;"生成成长"),5))*(VLOOKUP($B$5,标准坦克设计!$B$24:$U$30,MATCH("对"&amp;LEFT($C$5,2)&amp;"输出",标准坦克设计!$B$23:$U$23,0)))*(VLOOKUP($B199,INDIRECT($B$5&amp;"生成成长"),3))*(VLOOKUP($B$5,标准坦克设计!$B$14:$K$20,9)/30))</f>
        <v>27.021019382274471</v>
      </c>
      <c r="AS199" s="172">
        <f ca="1">(VLOOKUP(AS$72,INDIRECT($C$5&amp;"生成成长"),2))/((VLOOKUP($B199,INDIRECT($B$5&amp;"生成成长"),4))/(VLOOKUP(AS$72,INDIRECT($C$5&amp;"生成成长"),5))*(VLOOKUP($B$5,标准坦克设计!$B$24:$U$30,MATCH("对"&amp;LEFT($C$5,2)&amp;"输出",标准坦克设计!$B$23:$U$23,0)))*(VLOOKUP($B199,INDIRECT($B$5&amp;"生成成长"),3))*(VLOOKUP($B$5,标准坦克设计!$B$14:$K$20,9)/30))</f>
        <v>28.813791891017505</v>
      </c>
      <c r="AT199" s="172">
        <f ca="1">(VLOOKUP(AT$72,INDIRECT($C$5&amp;"生成成长"),2))/((VLOOKUP($B199,INDIRECT($B$5&amp;"生成成长"),4))/(VLOOKUP(AT$72,INDIRECT($C$5&amp;"生成成长"),5))*(VLOOKUP($B$5,标准坦克设计!$B$24:$U$30,MATCH("对"&amp;LEFT($C$5,2)&amp;"输出",标准坦克设计!$B$23:$U$23,0)))*(VLOOKUP($B199,INDIRECT($B$5&amp;"生成成长"),3))*(VLOOKUP($B$5,标准坦克设计!$B$14:$K$20,9)/30))</f>
        <v>30.664142494931863</v>
      </c>
      <c r="AU199" s="172">
        <f ca="1">(VLOOKUP(AU$72,INDIRECT($C$5&amp;"生成成长"),2))/((VLOOKUP($B199,INDIRECT($B$5&amp;"生成成长"),4))/(VLOOKUP(AU$72,INDIRECT($C$5&amp;"生成成长"),5))*(VLOOKUP($B$5,标准坦克设计!$B$24:$U$30,MATCH("对"&amp;LEFT($C$5,2)&amp;"输出",标准坦克设计!$B$23:$U$23,0)))*(VLOOKUP($B199,INDIRECT($B$5&amp;"生成成长"),3))*(VLOOKUP($B$5,标准坦克设计!$B$14:$K$20,9)/30))</f>
        <v>32.572071194017518</v>
      </c>
      <c r="AV199" s="172">
        <f ca="1">(VLOOKUP(AV$72,INDIRECT($C$5&amp;"生成成长"),2))/((VLOOKUP($B199,INDIRECT($B$5&amp;"生成成长"),4))/(VLOOKUP(AV$72,INDIRECT($C$5&amp;"生成成长"),5))*(VLOOKUP($B$5,标准坦克设计!$B$24:$U$30,MATCH("对"&amp;LEFT($C$5,2)&amp;"输出",标准坦克设计!$B$23:$U$23,0)))*(VLOOKUP($B199,INDIRECT($B$5&amp;"生成成长"),3))*(VLOOKUP($B$5,标准坦克设计!$B$14:$K$20,9)/30))</f>
        <v>3.3128818064682242</v>
      </c>
      <c r="AW199" s="172">
        <f ca="1">(VLOOKUP(AW$72,INDIRECT($C$5&amp;"生成成长"),2))/((VLOOKUP($B199,INDIRECT($B$5&amp;"生成成长"),4))/(VLOOKUP(AW$72,INDIRECT($C$5&amp;"生成成长"),5))*(VLOOKUP($B$5,标准坦克设计!$B$24:$U$30,MATCH("对"&amp;LEFT($C$5,2)&amp;"输出",标准坦克设计!$B$23:$U$23,0)))*(VLOOKUP($B199,INDIRECT($B$5&amp;"生成成长"),3))*(VLOOKUP($B$5,标准坦克设计!$B$14:$K$20,9)/30))</f>
        <v>3.7773133840483717</v>
      </c>
      <c r="AX199" s="172">
        <f ca="1">(VLOOKUP(AX$72,INDIRECT($C$5&amp;"生成成长"),2))/((VLOOKUP($B199,INDIRECT($B$5&amp;"生成成长"),4))/(VLOOKUP(AX$72,INDIRECT($C$5&amp;"生成成长"),5))*(VLOOKUP($B$5,标准坦克设计!$B$24:$U$30,MATCH("对"&amp;LEFT($C$5,2)&amp;"输出",标准坦克设计!$B$23:$U$23,0)))*(VLOOKUP($B199,INDIRECT($B$5&amp;"生成成长"),3))*(VLOOKUP($B$5,标准坦克设计!$B$14:$K$20,9)/30))</f>
        <v>4.2721994913059058</v>
      </c>
      <c r="AY199" s="172">
        <f ca="1">(VLOOKUP(AY$72,INDIRECT($C$5&amp;"生成成长"),2))/((VLOOKUP($B199,INDIRECT($B$5&amp;"生成成长"),4))/(VLOOKUP(AY$72,INDIRECT($C$5&amp;"生成成长"),5))*(VLOOKUP($B$5,标准坦克设计!$B$24:$U$30,MATCH("对"&amp;LEFT($C$5,2)&amp;"输出",标准坦克设计!$B$23:$U$23,0)))*(VLOOKUP($B199,INDIRECT($B$5&amp;"生成成长"),3))*(VLOOKUP($B$5,标准坦克设计!$B$14:$K$20,9)/30))</f>
        <v>4.7975401282408265</v>
      </c>
      <c r="AZ199" s="172">
        <f ca="1">(VLOOKUP(AZ$72,INDIRECT($C$5&amp;"生成成长"),2))/((VLOOKUP($B199,INDIRECT($B$5&amp;"生成成长"),4))/(VLOOKUP(AZ$72,INDIRECT($C$5&amp;"生成成长"),5))*(VLOOKUP($B$5,标准坦克设计!$B$24:$U$30,MATCH("对"&amp;LEFT($C$5,2)&amp;"输出",标准坦克设计!$B$23:$U$23,0)))*(VLOOKUP($B199,INDIRECT($B$5&amp;"生成成长"),3))*(VLOOKUP($B$5,标准坦克设计!$B$14:$K$20,9)/30))</f>
        <v>5.3533352948531343</v>
      </c>
      <c r="BA199" s="172">
        <f ca="1">(VLOOKUP(BA$72,INDIRECT($C$5&amp;"生成成长"),2))/((VLOOKUP($B199,INDIRECT($B$5&amp;"生成成长"),4))/(VLOOKUP(BA$72,INDIRECT($C$5&amp;"生成成长"),5))*(VLOOKUP($B$5,标准坦克设计!$B$24:$U$30,MATCH("对"&amp;LEFT($C$5,2)&amp;"输出",标准坦克设计!$B$23:$U$23,0)))*(VLOOKUP($B199,INDIRECT($B$5&amp;"生成成长"),3))*(VLOOKUP($B$5,标准坦克设计!$B$14:$K$20,9)/30))</f>
        <v>5.9395849911428282</v>
      </c>
      <c r="BB199" s="172">
        <f ca="1">(VLOOKUP(BB$72,INDIRECT($C$5&amp;"生成成长"),2))/((VLOOKUP($B199,INDIRECT($B$5&amp;"生成成长"),4))/(VLOOKUP(BB$72,INDIRECT($C$5&amp;"生成成长"),5))*(VLOOKUP($B$5,标准坦克设计!$B$24:$U$30,MATCH("对"&amp;LEFT($C$5,2)&amp;"输出",标准坦克设计!$B$23:$U$23,0)))*(VLOOKUP($B199,INDIRECT($B$5&amp;"生成成长"),3))*(VLOOKUP($B$5,标准坦克设计!$B$14:$K$20,9)/30))</f>
        <v>6.5562892171099083</v>
      </c>
      <c r="BC199" s="172">
        <f ca="1">(VLOOKUP(BC$72,INDIRECT($C$5&amp;"生成成长"),2))/((VLOOKUP($B199,INDIRECT($B$5&amp;"生成成长"),4))/(VLOOKUP(BC$72,INDIRECT($C$5&amp;"生成成长"),5))*(VLOOKUP($B$5,标准坦克设计!$B$24:$U$30,MATCH("对"&amp;LEFT($C$5,2)&amp;"输出",标准坦克设计!$B$23:$U$23,0)))*(VLOOKUP($B199,INDIRECT($B$5&amp;"生成成长"),3))*(VLOOKUP($B$5,标准坦克设计!$B$14:$K$20,9)/30))</f>
        <v>7.2034479727543763</v>
      </c>
      <c r="BD199" s="172">
        <f ca="1">(VLOOKUP(BD$72,INDIRECT($C$5&amp;"生成成长"),2))/((VLOOKUP($B199,INDIRECT($B$5&amp;"生成成长"),4))/(VLOOKUP(BD$72,INDIRECT($C$5&amp;"生成成长"),5))*(VLOOKUP($B$5,标准坦克设计!$B$24:$U$30,MATCH("对"&amp;LEFT($C$5,2)&amp;"输出",标准坦克设计!$B$23:$U$23,0)))*(VLOOKUP($B199,INDIRECT($B$5&amp;"生成成长"),3))*(VLOOKUP($B$5,标准坦克设计!$B$14:$K$20,9)/30))</f>
        <v>7.9679042528594035</v>
      </c>
      <c r="BE199" s="172">
        <f ca="1">(VLOOKUP(BE$72,INDIRECT($C$5&amp;"生成成长"),2))/((VLOOKUP($B199,INDIRECT($B$5&amp;"生成成长"),4))/(VLOOKUP(BE$72,INDIRECT($C$5&amp;"生成成长"),5))*(VLOOKUP($B$5,标准坦克设计!$B$24:$U$30,MATCH("对"&amp;LEFT($C$5,2)&amp;"输出",标准坦克设计!$B$23:$U$23,0)))*(VLOOKUP($B199,INDIRECT($B$5&amp;"生成成长"),3))*(VLOOKUP($B$5,标准坦克设计!$B$14:$K$20,9)/30))</f>
        <v>8.7709045470873743</v>
      </c>
      <c r="BF199" s="172">
        <f ca="1">(VLOOKUP(BF$72,INDIRECT($C$5&amp;"生成成长"),2))/((VLOOKUP($B199,INDIRECT($B$5&amp;"生成成长"),4))/(VLOOKUP(BF$72,INDIRECT($C$5&amp;"生成成长"),5))*(VLOOKUP($B$5,标准坦克设计!$B$24:$U$30,MATCH("对"&amp;LEFT($C$5,2)&amp;"输出",标准坦克设计!$B$23:$U$23,0)))*(VLOOKUP($B199,INDIRECT($B$5&amp;"生成成长"),3))*(VLOOKUP($B$5,标准坦克设计!$B$14:$K$20,9)/30))</f>
        <v>9.6124488554382896</v>
      </c>
      <c r="BG199" s="172">
        <f ca="1">(VLOOKUP(BG$72,INDIRECT($C$5&amp;"生成成长"),2))/((VLOOKUP($B199,INDIRECT($B$5&amp;"生成成长"),4))/(VLOOKUP(BG$72,INDIRECT($C$5&amp;"生成成长"),5))*(VLOOKUP($B$5,标准坦克设计!$B$24:$U$30,MATCH("对"&amp;LEFT($C$5,2)&amp;"输出",标准坦克设计!$B$23:$U$23,0)))*(VLOOKUP($B199,INDIRECT($B$5&amp;"生成成长"),3))*(VLOOKUP($B$5,标准坦克设计!$B$14:$K$20,9)/30))</f>
        <v>10.492537177912146</v>
      </c>
      <c r="BH199" s="172">
        <f ca="1">(VLOOKUP(BH$72,INDIRECT($C$5&amp;"生成成长"),2))/((VLOOKUP($B199,INDIRECT($B$5&amp;"生成成长"),4))/(VLOOKUP(BH$72,INDIRECT($C$5&amp;"生成成长"),5))*(VLOOKUP($B$5,标准坦克设计!$B$24:$U$30,MATCH("对"&amp;LEFT($C$5,2)&amp;"输出",标准坦克设计!$B$23:$U$23,0)))*(VLOOKUP($B199,INDIRECT($B$5&amp;"生成成长"),3))*(VLOOKUP($B$5,标准坦克设计!$B$14:$K$20,9)/30))</f>
        <v>5.0716308953373082</v>
      </c>
      <c r="BI199" s="172">
        <f ca="1">(VLOOKUP(BI$72,INDIRECT($C$5&amp;"生成成长"),2))/((VLOOKUP($B199,INDIRECT($B$5&amp;"生成成长"),4))/(VLOOKUP(BI$72,INDIRECT($C$5&amp;"生成成长"),5))*(VLOOKUP($B$5,标准坦克设计!$B$24:$U$30,MATCH("对"&amp;LEFT($C$5,2)&amp;"输出",标准坦克设计!$B$23:$U$23,0)))*(VLOOKUP($B199,INDIRECT($B$5&amp;"生成成长"),3))*(VLOOKUP($B$5,标准坦克设计!$B$14:$K$20,9)/30))</f>
        <v>5.7161724648376255</v>
      </c>
      <c r="BJ199" s="172">
        <f ca="1">(VLOOKUP(BJ$72,INDIRECT($C$5&amp;"生成成长"),2))/((VLOOKUP($B199,INDIRECT($B$5&amp;"生成成长"),4))/(VLOOKUP(BJ$72,INDIRECT($C$5&amp;"生成成长"),5))*(VLOOKUP($B$5,标准坦克设计!$B$24:$U$30,MATCH("对"&amp;LEFT($C$5,2)&amp;"输出",标准坦克设计!$B$23:$U$23,0)))*(VLOOKUP($B199,INDIRECT($B$5&amp;"生成成长"),3))*(VLOOKUP($B$5,标准坦克设计!$B$14:$K$20,9)/30))</f>
        <v>6.3992580484608848</v>
      </c>
      <c r="BK199" s="172">
        <f ca="1">(VLOOKUP(BK$72,INDIRECT($C$5&amp;"生成成长"),2))/((VLOOKUP($B199,INDIRECT($B$5&amp;"生成成长"),4))/(VLOOKUP(BK$72,INDIRECT($C$5&amp;"生成成长"),5))*(VLOOKUP($B$5,标准坦克设计!$B$24:$U$30,MATCH("对"&amp;LEFT($C$5,2)&amp;"输出",标准坦克设计!$B$23:$U$23,0)))*(VLOOKUP($B199,INDIRECT($B$5&amp;"生成成长"),3))*(VLOOKUP($B$5,标准坦克设计!$B$14:$K$20,9)/30))</f>
        <v>7.1208876462070867</v>
      </c>
      <c r="BL199" s="172">
        <f ca="1">(VLOOKUP(BL$72,INDIRECT($C$5&amp;"生成成长"),2))/((VLOOKUP($B199,INDIRECT($B$5&amp;"生成成长"),4))/(VLOOKUP(BL$72,INDIRECT($C$5&amp;"生成成长"),5))*(VLOOKUP($B$5,标准坦克设计!$B$24:$U$30,MATCH("对"&amp;LEFT($C$5,2)&amp;"输出",标准坦克设计!$B$23:$U$23,0)))*(VLOOKUP($B199,INDIRECT($B$5&amp;"生成成长"),3))*(VLOOKUP($B$5,标准坦克设计!$B$14:$K$20,9)/30))</f>
        <v>7.8810612580762323</v>
      </c>
      <c r="BM199" s="172">
        <f ca="1">(VLOOKUP(BM$72,INDIRECT($C$5&amp;"生成成长"),2))/((VLOOKUP($B199,INDIRECT($B$5&amp;"生成成长"),4))/(VLOOKUP(BM$72,INDIRECT($C$5&amp;"生成成长"),5))*(VLOOKUP($B$5,标准坦克设计!$B$24:$U$30,MATCH("对"&amp;LEFT($C$5,2)&amp;"输出",标准坦克设计!$B$23:$U$23,0)))*(VLOOKUP($B199,INDIRECT($B$5&amp;"生成成长"),3))*(VLOOKUP($B$5,标准坦克设计!$B$14:$K$20,9)/30))</f>
        <v>8.6797788840683197</v>
      </c>
      <c r="BN199" s="172">
        <f ca="1">(VLOOKUP(BN$72,INDIRECT($C$5&amp;"生成成长"),2))/((VLOOKUP($B199,INDIRECT($B$5&amp;"生成成长"),4))/(VLOOKUP(BN$72,INDIRECT($C$5&amp;"生成成长"),5))*(VLOOKUP($B$5,标准坦克设计!$B$24:$U$30,MATCH("对"&amp;LEFT($C$5,2)&amp;"输出",标准坦克设计!$B$23:$U$23,0)))*(VLOOKUP($B199,INDIRECT($B$5&amp;"生成成长"),3))*(VLOOKUP($B$5,标准坦克设计!$B$14:$K$20,9)/30))</f>
        <v>9.5170405241833507</v>
      </c>
      <c r="BO199" s="172">
        <f ca="1">(VLOOKUP(BO$72,INDIRECT($C$5&amp;"生成成长"),2))/((VLOOKUP($B199,INDIRECT($B$5&amp;"生成成长"),4))/(VLOOKUP(BO$72,INDIRECT($C$5&amp;"生成成长"),5))*(VLOOKUP($B$5,标准坦克设计!$B$24:$U$30,MATCH("对"&amp;LEFT($C$5,2)&amp;"输出",标准坦克设计!$B$23:$U$23,0)))*(VLOOKUP($B199,INDIRECT($B$5&amp;"生成成长"),3))*(VLOOKUP($B$5,标准坦克设计!$B$14:$K$20,9)/30))</f>
        <v>10.392846178421323</v>
      </c>
      <c r="BP199" s="172">
        <f ca="1">(VLOOKUP(BP$72,INDIRECT($C$5&amp;"生成成长"),2))/((VLOOKUP($B199,INDIRECT($B$5&amp;"生成成长"),4))/(VLOOKUP(BP$72,INDIRECT($C$5&amp;"生成成长"),5))*(VLOOKUP($B$5,标准坦克设计!$B$24:$U$30,MATCH("对"&amp;LEFT($C$5,2)&amp;"输出",标准坦克设计!$B$23:$U$23,0)))*(VLOOKUP($B199,INDIRECT($B$5&amp;"生成成长"),3))*(VLOOKUP($B$5,标准坦克设计!$B$14:$K$20,9)/30))</f>
        <v>11.307195846782237</v>
      </c>
      <c r="BQ199" s="172">
        <f ca="1">(VLOOKUP(BQ$72,INDIRECT($C$5&amp;"生成成长"),2))/((VLOOKUP($B199,INDIRECT($B$5&amp;"生成成长"),4))/(VLOOKUP(BQ$72,INDIRECT($C$5&amp;"生成成长"),5))*(VLOOKUP($B$5,标准坦克设计!$B$24:$U$30,MATCH("对"&amp;LEFT($C$5,2)&amp;"输出",标准坦克设计!$B$23:$U$23,0)))*(VLOOKUP($B199,INDIRECT($B$5&amp;"生成成长"),3))*(VLOOKUP($B$5,标准坦克设计!$B$14:$K$20,9)/30))</f>
        <v>12.260089529266097</v>
      </c>
      <c r="BR199" s="172">
        <f ca="1">(VLOOKUP(BR$72,INDIRECT($C$5&amp;"生成成长"),2))/((VLOOKUP($B199,INDIRECT($B$5&amp;"生成成长"),4))/(VLOOKUP(BR$72,INDIRECT($C$5&amp;"生成成长"),5))*(VLOOKUP($B$5,标准坦克设计!$B$24:$U$30,MATCH("对"&amp;LEFT($C$5,2)&amp;"输出",标准坦克设计!$B$23:$U$23,0)))*(VLOOKUP($B199,INDIRECT($B$5&amp;"生成成长"),3))*(VLOOKUP($B$5,标准坦克设计!$B$14:$K$20,9)/30))</f>
        <v>13.364066230071362</v>
      </c>
      <c r="BS199" s="172">
        <f ca="1">(VLOOKUP(BS$72,INDIRECT($C$5&amp;"生成成长"),2))/((VLOOKUP($B199,INDIRECT($B$5&amp;"生成成长"),4))/(VLOOKUP(BS$72,INDIRECT($C$5&amp;"生成成长"),5))*(VLOOKUP($B$5,标准坦克设计!$B$24:$U$30,MATCH("对"&amp;LEFT($C$5,2)&amp;"输出",标准坦克设计!$B$23:$U$23,0)))*(VLOOKUP($B199,INDIRECT($B$5&amp;"生成成长"),3))*(VLOOKUP($B$5,标准坦克设计!$B$14:$K$20,9)/30))</f>
        <v>14.51562813349755</v>
      </c>
      <c r="BT199" s="172">
        <f ca="1">(VLOOKUP(BT$72,INDIRECT($C$5&amp;"生成成长"),2))/((VLOOKUP($B199,INDIRECT($B$5&amp;"生成成长"),4))/(VLOOKUP(BT$72,INDIRECT($C$5&amp;"生成成长"),5))*(VLOOKUP($B$5,标准坦克设计!$B$24:$U$30,MATCH("对"&amp;LEFT($C$5,2)&amp;"输出",标准坦克设计!$B$23:$U$23,0)))*(VLOOKUP($B199,INDIRECT($B$5&amp;"生成成长"),3))*(VLOOKUP($B$5,标准坦克设计!$B$14:$K$20,9)/30))</f>
        <v>15.714775239544652</v>
      </c>
      <c r="BU199" s="172">
        <f ca="1">(VLOOKUP(BU$72,INDIRECT($C$5&amp;"生成成长"),2))/((VLOOKUP($B199,INDIRECT($B$5&amp;"生成成长"),4))/(VLOOKUP(BU$72,INDIRECT($C$5&amp;"生成成长"),5))*(VLOOKUP($B$5,标准坦克设计!$B$24:$U$30,MATCH("对"&amp;LEFT($C$5,2)&amp;"输出",标准坦克设计!$B$23:$U$23,0)))*(VLOOKUP($B199,INDIRECT($B$5&amp;"生成成长"),3))*(VLOOKUP($B$5,标准坦克设计!$B$14:$K$20,9)/30))</f>
        <v>16.961507548212673</v>
      </c>
      <c r="BV199" s="172">
        <f ca="1">(VLOOKUP(BV$72,INDIRECT($C$5&amp;"生成成长"),2))/((VLOOKUP($B199,INDIRECT($B$5&amp;"生成成长"),4))/(VLOOKUP(BV$72,INDIRECT($C$5&amp;"生成成长"),5))*(VLOOKUP($B$5,标准坦克设计!$B$24:$U$30,MATCH("对"&amp;LEFT($C$5,2)&amp;"输出",标准坦克设计!$B$23:$U$23,0)))*(VLOOKUP($B199,INDIRECT($B$5&amp;"生成成长"),3))*(VLOOKUP($B$5,标准坦克设计!$B$14:$K$20,9)/30))</f>
        <v>18.255825059501603</v>
      </c>
      <c r="BW199" s="172">
        <f ca="1">(VLOOKUP(BW$72,INDIRECT($C$5&amp;"生成成长"),2))/((VLOOKUP($B199,INDIRECT($B$5&amp;"生成成长"),4))/(VLOOKUP(BW$72,INDIRECT($C$5&amp;"生成成长"),5))*(VLOOKUP($B$5,标准坦克设计!$B$24:$U$30,MATCH("对"&amp;LEFT($C$5,2)&amp;"输出",标准坦克设计!$B$23:$U$23,0)))*(VLOOKUP($B199,INDIRECT($B$5&amp;"生成成长"),3))*(VLOOKUP($B$5,标准坦克设计!$B$14:$K$20,9)/30))</f>
        <v>8.3200347522541893</v>
      </c>
      <c r="BX199" s="172">
        <f ca="1">(VLOOKUP(BX$72,INDIRECT($C$5&amp;"生成成长"),2))/((VLOOKUP($B199,INDIRECT($B$5&amp;"生成成长"),4))/(VLOOKUP(BX$72,INDIRECT($C$5&amp;"生成成长"),5))*(VLOOKUP($B$5,标准坦克设计!$B$24:$U$30,MATCH("对"&amp;LEFT($C$5,2)&amp;"输出",标准坦克设计!$B$23:$U$23,0)))*(VLOOKUP($B199,INDIRECT($B$5&amp;"生成成长"),3))*(VLOOKUP($B$5,标准坦克设计!$B$14:$K$20,9)/30))</f>
        <v>9.23367064257579</v>
      </c>
      <c r="BY199" s="172">
        <f ca="1">(VLOOKUP(BY$72,INDIRECT($C$5&amp;"生成成长"),2))/((VLOOKUP($B199,INDIRECT($B$5&amp;"生成成长"),4))/(VLOOKUP(BY$72,INDIRECT($C$5&amp;"生成成长"),5))*(VLOOKUP($B$5,标准坦克设计!$B$24:$U$30,MATCH("对"&amp;LEFT($C$5,2)&amp;"输出",标准坦克设计!$B$23:$U$23,0)))*(VLOOKUP($B199,INDIRECT($B$5&amp;"生成成长"),3))*(VLOOKUP($B$5,标准坦克设计!$B$14:$K$20,9)/30))</f>
        <v>10.19489173551831</v>
      </c>
      <c r="BZ199" s="172">
        <f ca="1">(VLOOKUP(BZ$72,INDIRECT($C$5&amp;"生成成长"),2))/((VLOOKUP($B199,INDIRECT($B$5&amp;"生成成长"),4))/(VLOOKUP(BZ$72,INDIRECT($C$5&amp;"生成成长"),5))*(VLOOKUP($B$5,标准坦克设计!$B$24:$U$30,MATCH("对"&amp;LEFT($C$5,2)&amp;"输出",标准坦克设计!$B$23:$U$23,0)))*(VLOOKUP($B199,INDIRECT($B$5&amp;"生成成长"),3))*(VLOOKUP($B$5,标准坦克设计!$B$14:$K$20,9)/30))</f>
        <v>11.203698031081744</v>
      </c>
      <c r="CA199" s="172">
        <f ca="1">(VLOOKUP(CA$72,INDIRECT($C$5&amp;"生成成长"),2))/((VLOOKUP($B199,INDIRECT($B$5&amp;"生成成长"),4))/(VLOOKUP(CA$72,INDIRECT($C$5&amp;"生成成长"),5))*(VLOOKUP($B$5,标准坦克设计!$B$24:$U$30,MATCH("对"&amp;LEFT($C$5,2)&amp;"输出",标准坦克设计!$B$23:$U$23,0)))*(VLOOKUP($B199,INDIRECT($B$5&amp;"生成成长"),3))*(VLOOKUP($B$5,标准坦克设计!$B$14:$K$20,9)/30))</f>
        <v>12.260089529266097</v>
      </c>
      <c r="CB199" s="172">
        <f ca="1">(VLOOKUP(CB$72,INDIRECT($C$5&amp;"生成成长"),2))/((VLOOKUP($B199,INDIRECT($B$5&amp;"生成成长"),4))/(VLOOKUP(CB$72,INDIRECT($C$5&amp;"生成成长"),5))*(VLOOKUP($B$5,标准坦克设计!$B$24:$U$30,MATCH("对"&amp;LEFT($C$5,2)&amp;"输出",标准坦克设计!$B$23:$U$23,0)))*(VLOOKUP($B199,INDIRECT($B$5&amp;"生成成长"),3))*(VLOOKUP($B$5,标准坦克设计!$B$14:$K$20,9)/30))</f>
        <v>13.364066230071362</v>
      </c>
      <c r="CC199" s="172">
        <f ca="1">(VLOOKUP(CC$72,INDIRECT($C$5&amp;"生成成长"),2))/((VLOOKUP($B199,INDIRECT($B$5&amp;"生成成长"),4))/(VLOOKUP(CC$72,INDIRECT($C$5&amp;"生成成长"),5))*(VLOOKUP($B$5,标准坦克设计!$B$24:$U$30,MATCH("对"&amp;LEFT($C$5,2)&amp;"输出",标准坦克设计!$B$23:$U$23,0)))*(VLOOKUP($B199,INDIRECT($B$5&amp;"生成成长"),3))*(VLOOKUP($B$5,标准坦克设计!$B$14:$K$20,9)/30))</f>
        <v>14.51562813349755</v>
      </c>
      <c r="CD199" s="172">
        <f ca="1">(VLOOKUP(CD$72,INDIRECT($C$5&amp;"生成成长"),2))/((VLOOKUP($B199,INDIRECT($B$5&amp;"生成成长"),4))/(VLOOKUP(CD$72,INDIRECT($C$5&amp;"生成成长"),5))*(VLOOKUP($B$5,标准坦克设计!$B$24:$U$30,MATCH("对"&amp;LEFT($C$5,2)&amp;"输出",标准坦克设计!$B$23:$U$23,0)))*(VLOOKUP($B199,INDIRECT($B$5&amp;"生成成长"),3))*(VLOOKUP($B$5,标准坦克设计!$B$14:$K$20,9)/30))</f>
        <v>15.714775239544652</v>
      </c>
      <c r="CE199" s="172">
        <f ca="1">(VLOOKUP(CE$72,INDIRECT($C$5&amp;"生成成长"),2))/((VLOOKUP($B199,INDIRECT($B$5&amp;"生成成长"),4))/(VLOOKUP(CE$72,INDIRECT($C$5&amp;"生成成长"),5))*(VLOOKUP($B$5,标准坦克设计!$B$24:$U$30,MATCH("对"&amp;LEFT($C$5,2)&amp;"输出",标准坦克设计!$B$23:$U$23,0)))*(VLOOKUP($B199,INDIRECT($B$5&amp;"生成成长"),3))*(VLOOKUP($B$5,标准坦克设计!$B$14:$K$20,9)/30))</f>
        <v>16.961507548212673</v>
      </c>
      <c r="CF199" s="172">
        <f ca="1">(VLOOKUP(CF$72,INDIRECT($C$5&amp;"生成成长"),2))/((VLOOKUP($B199,INDIRECT($B$5&amp;"生成成长"),4))/(VLOOKUP(CF$72,INDIRECT($C$5&amp;"生成成长"),5))*(VLOOKUP($B$5,标准坦克设计!$B$24:$U$30,MATCH("对"&amp;LEFT($C$5,2)&amp;"输出",标准坦克设计!$B$23:$U$23,0)))*(VLOOKUP($B199,INDIRECT($B$5&amp;"生成成长"),3))*(VLOOKUP($B$5,标准坦克设计!$B$14:$K$20,9)/30))</f>
        <v>18.255825059501603</v>
      </c>
      <c r="CG199" s="172">
        <f ca="1">(VLOOKUP(CG$72,INDIRECT($C$5&amp;"生成成长"),2))/((VLOOKUP($B199,INDIRECT($B$5&amp;"生成成长"),4))/(VLOOKUP(CG$72,INDIRECT($C$5&amp;"生成成长"),5))*(VLOOKUP($B$5,标准坦克设计!$B$24:$U$30,MATCH("对"&amp;LEFT($C$5,2)&amp;"输出",标准坦克设计!$B$23:$U$23,0)))*(VLOOKUP($B199,INDIRECT($B$5&amp;"生成成长"),3))*(VLOOKUP($B$5,标准坦克设计!$B$14:$K$20,9)/30))</f>
        <v>19.597727773411464</v>
      </c>
      <c r="CH199" s="172">
        <f ca="1">(VLOOKUP(CH$72,INDIRECT($C$5&amp;"生成成长"),2))/((VLOOKUP($B199,INDIRECT($B$5&amp;"生成成长"),4))/(VLOOKUP(CH$72,INDIRECT($C$5&amp;"生成成长"),5))*(VLOOKUP($B$5,标准坦克设计!$B$24:$U$30,MATCH("对"&amp;LEFT($C$5,2)&amp;"输出",标准坦克设计!$B$23:$U$23,0)))*(VLOOKUP($B199,INDIRECT($B$5&amp;"生成成长"),3))*(VLOOKUP($B$5,标准坦克设计!$B$14:$K$20,9)/30))</f>
        <v>20.987215689942229</v>
      </c>
      <c r="CI199" s="172">
        <f ca="1">(VLOOKUP(CI$72,INDIRECT($C$5&amp;"生成成长"),2))/((VLOOKUP($B199,INDIRECT($B$5&amp;"生成成长"),4))/(VLOOKUP(CI$72,INDIRECT($C$5&amp;"生成成长"),5))*(VLOOKUP($B$5,标准坦克设计!$B$24:$U$30,MATCH("对"&amp;LEFT($C$5,2)&amp;"输出",标准坦克设计!$B$23:$U$23,0)))*(VLOOKUP($B199,INDIRECT($B$5&amp;"生成成长"),3))*(VLOOKUP($B$5,标准坦克设计!$B$14:$K$20,9)/30))</f>
        <v>22.570613307153234</v>
      </c>
      <c r="CJ199" s="172">
        <f ca="1">(VLOOKUP(CJ$72,INDIRECT($C$5&amp;"生成成长"),2))/((VLOOKUP($B199,INDIRECT($B$5&amp;"生成成长"),4))/(VLOOKUP(CJ$72,INDIRECT($C$5&amp;"生成成长"),5))*(VLOOKUP($B$5,标准坦克设计!$B$24:$U$30,MATCH("对"&amp;LEFT($C$5,2)&amp;"输出",标准坦克设计!$B$23:$U$23,0)))*(VLOOKUP($B199,INDIRECT($B$5&amp;"生成成长"),3))*(VLOOKUP($B$5,标准坦克设计!$B$14:$K$20,9)/30))</f>
        <v>24.211589019535545</v>
      </c>
      <c r="CK199" s="172">
        <f ca="1">(VLOOKUP(CK$72,INDIRECT($C$5&amp;"生成成长"),2))/((VLOOKUP($B199,INDIRECT($B$5&amp;"生成成长"),4))/(VLOOKUP(CK$72,INDIRECT($C$5&amp;"生成成长"),5))*(VLOOKUP($B$5,标准坦克设计!$B$24:$U$30,MATCH("对"&amp;LEFT($C$5,2)&amp;"输出",标准坦克设计!$B$23:$U$23,0)))*(VLOOKUP($B199,INDIRECT($B$5&amp;"生成成长"),3))*(VLOOKUP($B$5,标准坦克设计!$B$14:$K$20,9)/30))</f>
        <v>25.910142827089171</v>
      </c>
      <c r="CL199" s="172">
        <f ca="1">(VLOOKUP(CL$72,INDIRECT($C$5&amp;"生成成长"),2))/((VLOOKUP($B199,INDIRECT($B$5&amp;"生成成长"),4))/(VLOOKUP(CL$72,INDIRECT($C$5&amp;"生成成长"),5))*(VLOOKUP($B$5,标准坦克设计!$B$24:$U$30,MATCH("对"&amp;LEFT($C$5,2)&amp;"输出",标准坦克设计!$B$23:$U$23,0)))*(VLOOKUP($B199,INDIRECT($B$5&amp;"生成成长"),3))*(VLOOKUP($B$5,标准坦克设计!$B$14:$K$20,9)/30))</f>
        <v>27.666274729814106</v>
      </c>
      <c r="CM199" s="172">
        <f ca="1">(VLOOKUP(CM$72,INDIRECT($C$5&amp;"生成成长"),2))/((VLOOKUP($B199,INDIRECT($B$5&amp;"生成成长"),4))/(VLOOKUP(CM$72,INDIRECT($C$5&amp;"生成成长"),5))*(VLOOKUP($B$5,标准坦克设计!$B$24:$U$30,MATCH("对"&amp;LEFT($C$5,2)&amp;"输出",标准坦克设计!$B$23:$U$23,0)))*(VLOOKUP($B199,INDIRECT($B$5&amp;"生成成长"),3))*(VLOOKUP($B$5,标准坦克设计!$B$14:$K$20,9)/30))</f>
        <v>29.479984727710349</v>
      </c>
      <c r="CN199" s="172">
        <f ca="1">(VLOOKUP(CN$72,INDIRECT($C$5&amp;"生成成长"),2))/((VLOOKUP($B199,INDIRECT($B$5&amp;"生成成长"),4))/(VLOOKUP(CN$72,INDIRECT($C$5&amp;"生成成长"),5))*(VLOOKUP($B$5,标准坦克设计!$B$24:$U$30,MATCH("对"&amp;LEFT($C$5,2)&amp;"输出",标准坦克设计!$B$23:$U$23,0)))*(VLOOKUP($B199,INDIRECT($B$5&amp;"生成成长"),3))*(VLOOKUP($B$5,标准坦克设计!$B$14:$K$20,9)/30))</f>
        <v>31.351272820777897</v>
      </c>
      <c r="CO199" s="172">
        <f ca="1">(VLOOKUP(CO$72,INDIRECT($C$5&amp;"生成成长"),2))/((VLOOKUP($B199,INDIRECT($B$5&amp;"生成成长"),4))/(VLOOKUP(CO$72,INDIRECT($C$5&amp;"生成成长"),5))*(VLOOKUP($B$5,标准坦克设计!$B$24:$U$30,MATCH("对"&amp;LEFT($C$5,2)&amp;"输出",标准坦克设计!$B$23:$U$23,0)))*(VLOOKUP($B199,INDIRECT($B$5&amp;"生成成长"),3))*(VLOOKUP($B$5,标准坦克设计!$B$14:$K$20,9)/30))</f>
        <v>14.049293147812566</v>
      </c>
      <c r="CP199" s="172">
        <f ca="1">(VLOOKUP(CP$72,INDIRECT($C$5&amp;"生成成长"),2))/((VLOOKUP($B199,INDIRECT($B$5&amp;"生成成长"),4))/(VLOOKUP(CP$72,INDIRECT($C$5&amp;"生成成长"),5))*(VLOOKUP($B$5,标准坦克设计!$B$24:$U$30,MATCH("对"&amp;LEFT($C$5,2)&amp;"输出",标准坦克设计!$B$23:$U$23,0)))*(VLOOKUP($B199,INDIRECT($B$5&amp;"生成成长"),3))*(VLOOKUP($B$5,标准坦克设计!$B$14:$K$20,9)/30))</f>
        <v>15.350034661455323</v>
      </c>
      <c r="CQ199" s="172">
        <f ca="1">(VLOOKUP(CQ$72,INDIRECT($C$5&amp;"生成成长"),2))/((VLOOKUP($B199,INDIRECT($B$5&amp;"生成成长"),4))/(VLOOKUP(CQ$72,INDIRECT($C$5&amp;"生成成长"),5))*(VLOOKUP($B$5,标准坦克设计!$B$24:$U$30,MATCH("对"&amp;LEFT($C$5,2)&amp;"输出",标准坦克设计!$B$23:$U$23,0)))*(VLOOKUP($B199,INDIRECT($B$5&amp;"生成成长"),3))*(VLOOKUP($B$5,标准坦克设计!$B$14:$K$20,9)/30))</f>
        <v>16.708354270269393</v>
      </c>
      <c r="CR199" s="172">
        <f ca="1">(VLOOKUP(CR$72,INDIRECT($C$5&amp;"生成成长"),2))/((VLOOKUP($B199,INDIRECT($B$5&amp;"生成成长"),4))/(VLOOKUP(CR$72,INDIRECT($C$5&amp;"生成成长"),5))*(VLOOKUP($B$5,标准坦克设计!$B$24:$U$30,MATCH("对"&amp;LEFT($C$5,2)&amp;"输出",标准坦克设计!$B$23:$U$23,0)))*(VLOOKUP($B199,INDIRECT($B$5&amp;"生成成长"),3))*(VLOOKUP($B$5,标准坦克设计!$B$14:$K$20,9)/30))</f>
        <v>18.124251974254776</v>
      </c>
      <c r="CS199" s="172">
        <f ca="1">(VLOOKUP(CS$72,INDIRECT($C$5&amp;"生成成长"),2))/((VLOOKUP($B199,INDIRECT($B$5&amp;"生成成长"),4))/(VLOOKUP(CS$72,INDIRECT($C$5&amp;"生成成长"),5))*(VLOOKUP($B$5,标准坦克设计!$B$24:$U$30,MATCH("对"&amp;LEFT($C$5,2)&amp;"输出",标准坦克设计!$B$23:$U$23,0)))*(VLOOKUP($B199,INDIRECT($B$5&amp;"生成成长"),3))*(VLOOKUP($B$5,标准坦克设计!$B$14:$K$20,9)/30))</f>
        <v>19.597727773411464</v>
      </c>
      <c r="CT199" s="172">
        <f ca="1">(VLOOKUP(CT$72,INDIRECT($C$5&amp;"生成成长"),2))/((VLOOKUP($B199,INDIRECT($B$5&amp;"生成成长"),4))/(VLOOKUP(CT$72,INDIRECT($C$5&amp;"生成成长"),5))*(VLOOKUP($B$5,标准坦克设计!$B$24:$U$30,MATCH("对"&amp;LEFT($C$5,2)&amp;"输出",标准坦克设计!$B$23:$U$23,0)))*(VLOOKUP($B199,INDIRECT($B$5&amp;"生成成长"),3))*(VLOOKUP($B$5,标准坦克设计!$B$14:$K$20,9)/30))</f>
        <v>21.128781667739457</v>
      </c>
      <c r="CU199" s="172">
        <f ca="1">(VLOOKUP(CU$72,INDIRECT($C$5&amp;"生成成长"),2))/((VLOOKUP($B199,INDIRECT($B$5&amp;"生成成长"),4))/(VLOOKUP(CU$72,INDIRECT($C$5&amp;"生成成长"),5))*(VLOOKUP($B$5,标准坦克设计!$B$24:$U$30,MATCH("对"&amp;LEFT($C$5,2)&amp;"输出",标准坦克设计!$B$23:$U$23,0)))*(VLOOKUP($B199,INDIRECT($B$5&amp;"生成成长"),3))*(VLOOKUP($B$5,标准坦克设计!$B$14:$K$20,9)/30))</f>
        <v>22.717413657238758</v>
      </c>
      <c r="CV199" s="172">
        <f ca="1">(VLOOKUP(CV$72,INDIRECT($C$5&amp;"生成成长"),2))/((VLOOKUP($B199,INDIRECT($B$5&amp;"生成成长"),4))/(VLOOKUP(CV$72,INDIRECT($C$5&amp;"生成成长"),5))*(VLOOKUP($B$5,标准坦克设计!$B$24:$U$30,MATCH("对"&amp;LEFT($C$5,2)&amp;"输出",标准坦克设计!$B$23:$U$23,0)))*(VLOOKUP($B199,INDIRECT($B$5&amp;"生成成长"),3))*(VLOOKUP($B$5,标准坦克设计!$B$14:$K$20,9)/30))</f>
        <v>24.363623741909375</v>
      </c>
      <c r="CW199" s="172">
        <f ca="1">(VLOOKUP(CW$72,INDIRECT($C$5&amp;"生成成长"),2))/((VLOOKUP($B199,INDIRECT($B$5&amp;"生成成长"),4))/(VLOOKUP(CW$72,INDIRECT($C$5&amp;"生成成长"),5))*(VLOOKUP($B$5,标准坦克设计!$B$24:$U$30,MATCH("对"&amp;LEFT($C$5,2)&amp;"输出",标准坦克设计!$B$23:$U$23,0)))*(VLOOKUP($B199,INDIRECT($B$5&amp;"生成成长"),3))*(VLOOKUP($B$5,标准坦克设计!$B$14:$K$20,9)/30))</f>
        <v>26.067411921751297</v>
      </c>
      <c r="CX199" s="172">
        <f ca="1">(VLOOKUP(CX$72,INDIRECT($C$5&amp;"生成成长"),2))/((VLOOKUP($B199,INDIRECT($B$5&amp;"生成成长"),4))/(VLOOKUP(CX$72,INDIRECT($C$5&amp;"生成成长"),5))*(VLOOKUP($B$5,标准坦克设计!$B$24:$U$30,MATCH("对"&amp;LEFT($C$5,2)&amp;"输出",标准坦克设计!$B$23:$U$23,0)))*(VLOOKUP($B199,INDIRECT($B$5&amp;"生成成长"),3))*(VLOOKUP($B$5,标准坦克设计!$B$14:$K$20,9)/30))</f>
        <v>27.828778196764535</v>
      </c>
      <c r="CY199" s="172">
        <f ca="1">(VLOOKUP(CY$72,INDIRECT($C$5&amp;"生成成长"),2))/((VLOOKUP($B199,INDIRECT($B$5&amp;"生成成长"),4))/(VLOOKUP(CY$72,INDIRECT($C$5&amp;"生成成长"),5))*(VLOOKUP($B$5,标准坦克设计!$B$24:$U$30,MATCH("对"&amp;LEFT($C$5,2)&amp;"输出",标准坦克设计!$B$23:$U$23,0)))*(VLOOKUP($B199,INDIRECT($B$5&amp;"生成成长"),3))*(VLOOKUP($B$5,标准坦克设计!$B$14:$K$20,9)/30))</f>
        <v>29.647722566949078</v>
      </c>
      <c r="CZ199" s="172">
        <f ca="1">(VLOOKUP(CZ$72,INDIRECT($C$5&amp;"生成成长"),2))/((VLOOKUP($B199,INDIRECT($B$5&amp;"生成成长"),4))/(VLOOKUP(CZ$72,INDIRECT($C$5&amp;"生成成长"),5))*(VLOOKUP($B$5,标准坦克设计!$B$24:$U$30,MATCH("对"&amp;LEFT($C$5,2)&amp;"输出",标准坦克设计!$B$23:$U$23,0)))*(VLOOKUP($B199,INDIRECT($B$5&amp;"生成成长"),3))*(VLOOKUP($B$5,标准坦克设计!$B$14:$K$20,9)/30))</f>
        <v>31.524245032304929</v>
      </c>
      <c r="DA199" s="172">
        <f ca="1">(VLOOKUP(DA$72,INDIRECT($C$5&amp;"生成成长"),2))/((VLOOKUP($B199,INDIRECT($B$5&amp;"生成成长"),4))/(VLOOKUP(DA$72,INDIRECT($C$5&amp;"生成成长"),5))*(VLOOKUP($B$5,标准坦克设计!$B$24:$U$30,MATCH("对"&amp;LEFT($C$5,2)&amp;"输出",标准坦克设计!$B$23:$U$23,0)))*(VLOOKUP($B199,INDIRECT($B$5&amp;"生成成长"),3))*(VLOOKUP($B$5,标准坦克设计!$B$14:$K$20,9)/30))</f>
        <v>33.458345592832089</v>
      </c>
      <c r="DB199" s="172">
        <f ca="1">(VLOOKUP(DB$72,INDIRECT($C$5&amp;"生成成长"),2))/((VLOOKUP($B199,INDIRECT($B$5&amp;"生成成长"),4))/(VLOOKUP(DB$72,INDIRECT($C$5&amp;"生成成长"),5))*(VLOOKUP($B$5,标准坦克设计!$B$24:$U$30,MATCH("对"&amp;LEFT($C$5,2)&amp;"输出",标准坦克设计!$B$23:$U$23,0)))*(VLOOKUP($B199,INDIRECT($B$5&amp;"生成成长"),3))*(VLOOKUP($B$5,标准坦克设计!$B$14:$K$20,9)/30))</f>
        <v>35.450024248530561</v>
      </c>
      <c r="DC199" s="172">
        <f ca="1">(VLOOKUP(DC$72,INDIRECT($C$5&amp;"生成成长"),2))/((VLOOKUP($B199,INDIRECT($B$5&amp;"生成成长"),4))/(VLOOKUP(DC$72,INDIRECT($C$5&amp;"生成成长"),5))*(VLOOKUP($B$5,标准坦克设计!$B$24:$U$30,MATCH("对"&amp;LEFT($C$5,2)&amp;"输出",标准坦克设计!$B$23:$U$23,0)))*(VLOOKUP($B199,INDIRECT($B$5&amp;"生成成长"),3))*(VLOOKUP($B$5,标准坦克设计!$B$14:$K$20,9)/30))</f>
        <v>37.688432179818477</v>
      </c>
      <c r="DD199" s="172">
        <f ca="1">(VLOOKUP(DD$72,INDIRECT($C$5&amp;"生成成长"),2))/((VLOOKUP($B199,INDIRECT($B$5&amp;"生成成长"),4))/(VLOOKUP(DD$72,INDIRECT($C$5&amp;"生成成长"),5))*(VLOOKUP($B$5,标准坦克设计!$B$24:$U$30,MATCH("对"&amp;LEFT($C$5,2)&amp;"输出",标准坦克设计!$B$23:$U$23,0)))*(VLOOKUP($B199,INDIRECT($B$5&amp;"生成成长"),3))*(VLOOKUP($B$5,标准坦克设计!$B$14:$K$20,9)/30))</f>
        <v>39.995362802880521</v>
      </c>
      <c r="DE199" s="172">
        <f ca="1">(VLOOKUP(DE$72,INDIRECT($C$5&amp;"生成成长"),2))/((VLOOKUP($B199,INDIRECT($B$5&amp;"生成成长"),4))/(VLOOKUP(DE$72,INDIRECT($C$5&amp;"生成成长"),5))*(VLOOKUP($B$5,标准坦克设计!$B$24:$U$30,MATCH("对"&amp;LEFT($C$5,2)&amp;"输出",标准坦克设计!$B$23:$U$23,0)))*(VLOOKUP($B199,INDIRECT($B$5&amp;"生成成长"),3))*(VLOOKUP($B$5,标准坦克设计!$B$14:$K$20,9)/30))</f>
        <v>42.370816117716693</v>
      </c>
      <c r="DF199" s="172">
        <f ca="1">(VLOOKUP(DF$72,INDIRECT($C$5&amp;"生成成长"),2))/((VLOOKUP($B199,INDIRECT($B$5&amp;"生成成长"),4))/(VLOOKUP(DF$72,INDIRECT($C$5&amp;"生成成长"),5))*(VLOOKUP($B$5,标准坦克设计!$B$24:$U$30,MATCH("对"&amp;LEFT($C$5,2)&amp;"输出",标准坦克设计!$B$23:$U$23,0)))*(VLOOKUP($B199,INDIRECT($B$5&amp;"生成成长"),3))*(VLOOKUP($B$5,标准坦克设计!$B$14:$K$20,9)/30))</f>
        <v>44.814792124326978</v>
      </c>
      <c r="DG199" s="172">
        <f ca="1">(VLOOKUP(DG$72,INDIRECT($C$5&amp;"生成成长"),2))/((VLOOKUP($B199,INDIRECT($B$5&amp;"生成成长"),4))/(VLOOKUP(DG$72,INDIRECT($C$5&amp;"生成成长"),5))*(VLOOKUP($B$5,标准坦克设计!$B$24:$U$30,MATCH("对"&amp;LEFT($C$5,2)&amp;"输出",标准坦克设计!$B$23:$U$23,0)))*(VLOOKUP($B199,INDIRECT($B$5&amp;"生成成长"),3))*(VLOOKUP($B$5,标准坦克设计!$B$14:$K$20,9)/30))</f>
        <v>47.327290822711376</v>
      </c>
      <c r="DH199" s="172">
        <f ca="1">(VLOOKUP(DH$72,INDIRECT($C$5&amp;"生成成长"),2))/((VLOOKUP($B199,INDIRECT($B$5&amp;"生成成长"),4))/(VLOOKUP(DH$72,INDIRECT($C$5&amp;"生成成长"),5))*(VLOOKUP($B$5,标准坦克设计!$B$24:$U$30,MATCH("对"&amp;LEFT($C$5,2)&amp;"输出",标准坦克设计!$B$23:$U$23,0)))*(VLOOKUP($B199,INDIRECT($B$5&amp;"生成成长"),3))*(VLOOKUP($B$5,标准坦克设计!$B$14:$K$20,9)/30))</f>
        <v>49.908312212869902</v>
      </c>
      <c r="DI199" s="172">
        <f ca="1">(VLOOKUP(DI$72,INDIRECT($C$5&amp;"生成成长"),2))/((VLOOKUP($B199,INDIRECT($B$5&amp;"生成成长"),4))/(VLOOKUP(DI$72,INDIRECT($C$5&amp;"生成成长"),5))*(VLOOKUP($B$5,标准坦克设计!$B$24:$U$30,MATCH("对"&amp;LEFT($C$5,2)&amp;"输出",标准坦克设计!$B$23:$U$23,0)))*(VLOOKUP($B199,INDIRECT($B$5&amp;"生成成长"),3))*(VLOOKUP($B$5,标准坦克设计!$B$14:$K$20,9)/30))</f>
        <v>52.557856294802555</v>
      </c>
      <c r="DJ199" s="172">
        <f ca="1">(VLOOKUP(DJ$72,INDIRECT($C$5&amp;"生成成长"),2))/((VLOOKUP($B199,INDIRECT($B$5&amp;"生成成长"),4))/(VLOOKUP(DJ$72,INDIRECT($C$5&amp;"生成成长"),5))*(VLOOKUP($B$5,标准坦克设计!$B$24:$U$30,MATCH("对"&amp;LEFT($C$5,2)&amp;"输出",标准坦克设计!$B$23:$U$23,0)))*(VLOOKUP($B199,INDIRECT($B$5&amp;"生成成长"),3))*(VLOOKUP($B$5,标准坦克设计!$B$14:$K$20,9)/30))</f>
        <v>5.2821954169348642</v>
      </c>
      <c r="DK199" s="172">
        <f ca="1">(VLOOKUP(DK$72,INDIRECT($C$5&amp;"生成成长"),2))/((VLOOKUP($B199,INDIRECT($B$5&amp;"生成成长"),4))/(VLOOKUP(DK$72,INDIRECT($C$5&amp;"生成成长"),5))*(VLOOKUP($B$5,标准坦克设计!$B$24:$U$30,MATCH("对"&amp;LEFT($C$5,2)&amp;"输出",标准坦克设计!$B$23:$U$23,0)))*(VLOOKUP($B199,INDIRECT($B$5&amp;"生成成长"),3))*(VLOOKUP($B$5,标准坦克设计!$B$14:$K$20,9)/30))</f>
        <v>5.9395849911428282</v>
      </c>
      <c r="DL199" s="172">
        <f ca="1">(VLOOKUP(DL$72,INDIRECT($C$5&amp;"生成成长"),2))/((VLOOKUP($B199,INDIRECT($B$5&amp;"生成成长"),4))/(VLOOKUP(DL$72,INDIRECT($C$5&amp;"生成成长"),5))*(VLOOKUP($B$5,标准坦克设计!$B$24:$U$30,MATCH("对"&amp;LEFT($C$5,2)&amp;"输出",标准坦克设计!$B$23:$U$23,0)))*(VLOOKUP($B199,INDIRECT($B$5&amp;"生成成长"),3))*(VLOOKUP($B$5,标准坦克设计!$B$14:$K$20,9)/30))</f>
        <v>6.635518579473735</v>
      </c>
      <c r="DM199" s="172">
        <f ca="1">(VLOOKUP(DM$72,INDIRECT($C$5&amp;"生成成长"),2))/((VLOOKUP($B199,INDIRECT($B$5&amp;"生成成长"),4))/(VLOOKUP(DM$72,INDIRECT($C$5&amp;"生成成长"),5))*(VLOOKUP($B$5,标准坦克设计!$B$24:$U$30,MATCH("对"&amp;LEFT($C$5,2)&amp;"输出",标准坦克设计!$B$23:$U$23,0)))*(VLOOKUP($B199,INDIRECT($B$5&amp;"生成成长"),3))*(VLOOKUP($B$5,标准坦克设计!$B$14:$K$20,9)/30))</f>
        <v>7.3699961819275872</v>
      </c>
      <c r="DN199" s="172">
        <f ca="1">(VLOOKUP(DN$72,INDIRECT($C$5&amp;"生成成长"),2))/((VLOOKUP($B199,INDIRECT($B$5&amp;"生成成长"),4))/(VLOOKUP(DN$72,INDIRECT($C$5&amp;"生成成长"),5))*(VLOOKUP($B$5,标准坦克设计!$B$24:$U$30,MATCH("对"&amp;LEFT($C$5,2)&amp;"输出",标准坦克设计!$B$23:$U$23,0)))*(VLOOKUP($B199,INDIRECT($B$5&amp;"生成成长"),3))*(VLOOKUP($B$5,标准坦克设计!$B$14:$K$20,9)/30))</f>
        <v>8.1430177985043795</v>
      </c>
      <c r="DO199" s="172">
        <f ca="1">(VLOOKUP(DO$72,INDIRECT($C$5&amp;"生成成长"),2))/((VLOOKUP($B199,INDIRECT($B$5&amp;"生成成长"),4))/(VLOOKUP(DO$72,INDIRECT($C$5&amp;"生成成长"),5))*(VLOOKUP($B$5,标准坦克设计!$B$24:$U$30,MATCH("对"&amp;LEFT($C$5,2)&amp;"输出",标准坦克设计!$B$23:$U$23,0)))*(VLOOKUP($B199,INDIRECT($B$5&amp;"生成成长"),3))*(VLOOKUP($B$5,标准坦克设计!$B$14:$K$20,9)/30))</f>
        <v>8.9545834292041118</v>
      </c>
      <c r="DP199" s="172">
        <f ca="1">(VLOOKUP(DP$72,INDIRECT($C$5&amp;"生成成长"),2))/((VLOOKUP($B199,INDIRECT($B$5&amp;"生成成长"),4))/(VLOOKUP(DP$72,INDIRECT($C$5&amp;"生成成长"),5))*(VLOOKUP($B$5,标准坦克设计!$B$24:$U$30,MATCH("对"&amp;LEFT($C$5,2)&amp;"输出",标准坦克设计!$B$23:$U$23,0)))*(VLOOKUP($B199,INDIRECT($B$5&amp;"生成成长"),3))*(VLOOKUP($B$5,标准坦克设计!$B$14:$K$20,9)/30))</f>
        <v>9.8046930740267921</v>
      </c>
      <c r="DQ199" s="172">
        <f ca="1">(VLOOKUP(DQ$72,INDIRECT($C$5&amp;"生成成长"),2))/((VLOOKUP($B199,INDIRECT($B$5&amp;"生成成长"),4))/(VLOOKUP(DQ$72,INDIRECT($C$5&amp;"生成成长"),5))*(VLOOKUP($B$5,标准坦克设计!$B$24:$U$30,MATCH("对"&amp;LEFT($C$5,2)&amp;"输出",标准坦克设计!$B$23:$U$23,0)))*(VLOOKUP($B199,INDIRECT($B$5&amp;"生成成长"),3))*(VLOOKUP($B$5,标准坦克设计!$B$14:$K$20,9)/30))</f>
        <v>10.693346732972412</v>
      </c>
      <c r="DR199" s="172">
        <f ca="1">(VLOOKUP(DR$72,INDIRECT($C$5&amp;"生成成长"),2))/((VLOOKUP($B199,INDIRECT($B$5&amp;"生成成长"),4))/(VLOOKUP(DR$72,INDIRECT($C$5&amp;"生成成长"),5))*(VLOOKUP($B$5,标准坦克设计!$B$24:$U$30,MATCH("对"&amp;LEFT($C$5,2)&amp;"输出",标准坦克设计!$B$23:$U$23,0)))*(VLOOKUP($B199,INDIRECT($B$5&amp;"生成成长"),3))*(VLOOKUP($B$5,标准坦克设计!$B$14:$K$20,9)/30))</f>
        <v>11.620544406040972</v>
      </c>
      <c r="DS199" s="172">
        <f ca="1">(VLOOKUP(DS$72,INDIRECT($C$5&amp;"生成成长"),2))/((VLOOKUP($B199,INDIRECT($B$5&amp;"生成成长"),4))/(VLOOKUP(DS$72,INDIRECT($C$5&amp;"生成成长"),5))*(VLOOKUP($B$5,标准坦克设计!$B$24:$U$30,MATCH("对"&amp;LEFT($C$5,2)&amp;"输出",标准坦克设计!$B$23:$U$23,0)))*(VLOOKUP($B199,INDIRECT($B$5&amp;"生成成长"),3))*(VLOOKUP($B$5,标准坦克设计!$B$14:$K$20,9)/30))</f>
        <v>12.586286093232481</v>
      </c>
      <c r="DT199" s="172">
        <f ca="1">(VLOOKUP(DT$72,INDIRECT($C$5&amp;"生成成长"),2))/((VLOOKUP($B199,INDIRECT($B$5&amp;"生成成长"),4))/(VLOOKUP(DT$72,INDIRECT($C$5&amp;"生成成长"),5))*(VLOOKUP($B$5,标准坦克设计!$B$24:$U$30,MATCH("对"&amp;LEFT($C$5,2)&amp;"输出",标准坦克设计!$B$23:$U$23,0)))*(VLOOKUP($B199,INDIRECT($B$5&amp;"生成成长"),3))*(VLOOKUP($B$5,标准坦克设计!$B$14:$K$20,9)/30))</f>
        <v>13.81898076712733</v>
      </c>
      <c r="DU199" s="172">
        <f ca="1">(VLOOKUP(DU$72,INDIRECT($C$5&amp;"生成成长"),2))/((VLOOKUP($B199,INDIRECT($B$5&amp;"生成成长"),4))/(VLOOKUP(DU$72,INDIRECT($C$5&amp;"生成成长"),5))*(VLOOKUP($B$5,标准坦克设计!$B$24:$U$30,MATCH("对"&amp;LEFT($C$5,2)&amp;"输出",标准坦克设计!$B$23:$U$23,0)))*(VLOOKUP($B199,INDIRECT($B$5&amp;"生成成长"),3))*(VLOOKUP($B$5,标准坦克设计!$B$14:$K$20,9)/30))</f>
        <v>15.109253536193487</v>
      </c>
      <c r="DV199" s="172">
        <f ca="1">(VLOOKUP(DV$72,INDIRECT($C$5&amp;"生成成长"),2))/((VLOOKUP($B199,INDIRECT($B$5&amp;"生成成长"),4))/(VLOOKUP(DV$72,INDIRECT($C$5&amp;"生成成长"),5))*(VLOOKUP($B$5,标准坦克设计!$B$24:$U$30,MATCH("对"&amp;LEFT($C$5,2)&amp;"输出",标准坦克设计!$B$23:$U$23,0)))*(VLOOKUP($B199,INDIRECT($B$5&amp;"生成成长"),3))*(VLOOKUP($B$5,标准坦克设计!$B$14:$K$20,9)/30))</f>
        <v>16.457104400430953</v>
      </c>
      <c r="DW199" s="172">
        <f ca="1">(VLOOKUP(DW$72,INDIRECT($C$5&amp;"生成成长"),2))/((VLOOKUP($B199,INDIRECT($B$5&amp;"生成成长"),4))/(VLOOKUP(DW$72,INDIRECT($C$5&amp;"生成成长"),5))*(VLOOKUP($B$5,标准坦克设计!$B$24:$U$30,MATCH("对"&amp;LEFT($C$5,2)&amp;"输出",标准坦克设计!$B$23:$U$23,0)))*(VLOOKUP($B199,INDIRECT($B$5&amp;"生成成长"),3))*(VLOOKUP($B$5,标准坦克设计!$B$14:$K$20,9)/30))</f>
        <v>17.862533359839734</v>
      </c>
      <c r="DX199" s="172">
        <f ca="1">(VLOOKUP(DX$72,INDIRECT($C$5&amp;"生成成长"),2))/((VLOOKUP($B199,INDIRECT($B$5&amp;"生成成长"),4))/(VLOOKUP(DX$72,INDIRECT($C$5&amp;"生成成长"),5))*(VLOOKUP($B$5,标准坦克设计!$B$24:$U$30,MATCH("对"&amp;LEFT($C$5,2)&amp;"输出",标准坦克设计!$B$23:$U$23,0)))*(VLOOKUP($B199,INDIRECT($B$5&amp;"生成成长"),3))*(VLOOKUP($B$5,标准坦克设计!$B$14:$K$20,9)/30))</f>
        <v>19.325540414419816</v>
      </c>
      <c r="DY199" s="172">
        <f ca="1">(VLOOKUP(DY$72,INDIRECT($C$5&amp;"生成成长"),2))/((VLOOKUP($B199,INDIRECT($B$5&amp;"生成成长"),4))/(VLOOKUP(DY$72,INDIRECT($C$5&amp;"生成成长"),5))*(VLOOKUP($B$5,标准坦克设计!$B$24:$U$30,MATCH("对"&amp;LEFT($C$5,2)&amp;"输出",标准坦克设计!$B$23:$U$23,0)))*(VLOOKUP($B199,INDIRECT($B$5&amp;"生成成长"),3))*(VLOOKUP($B$5,标准坦克设计!$B$14:$K$20,9)/30))</f>
        <v>8.6797788840683197</v>
      </c>
      <c r="DZ199" s="172">
        <f ca="1">(VLOOKUP(DZ$72,INDIRECT($C$5&amp;"生成成长"),2))/((VLOOKUP($B199,INDIRECT($B$5&amp;"生成成长"),4))/(VLOOKUP(DZ$72,INDIRECT($C$5&amp;"生成成长"),5))*(VLOOKUP($B$5,标准坦克设计!$B$24:$U$30,MATCH("对"&amp;LEFT($C$5,2)&amp;"输出",标准坦克设计!$B$23:$U$23,0)))*(VLOOKUP($B199,INDIRECT($B$5&amp;"生成成长"),3))*(VLOOKUP($B$5,标准坦克设计!$B$14:$K$20,9)/30))</f>
        <v>9.6124488554382896</v>
      </c>
      <c r="EA199" s="172">
        <f ca="1">(VLOOKUP(EA$72,INDIRECT($C$5&amp;"生成成长"),2))/((VLOOKUP($B199,INDIRECT($B$5&amp;"生成成长"),4))/(VLOOKUP(EA$72,INDIRECT($C$5&amp;"生成成长"),5))*(VLOOKUP($B$5,标准坦克设计!$B$24:$U$30,MATCH("对"&amp;LEFT($C$5,2)&amp;"输出",标准坦克设计!$B$23:$U$23,0)))*(VLOOKUP($B199,INDIRECT($B$5&amp;"生成成长"),3))*(VLOOKUP($B$5,标准坦克设计!$B$14:$K$20,9)/30))</f>
        <v>10.592704029429173</v>
      </c>
      <c r="EB199" s="172">
        <f ca="1">(VLOOKUP(EB$72,INDIRECT($C$5&amp;"生成成长"),2))/((VLOOKUP($B199,INDIRECT($B$5&amp;"生成成长"),4))/(VLOOKUP(EB$72,INDIRECT($C$5&amp;"生成成长"),5))*(VLOOKUP($B$5,标准坦克设计!$B$24:$U$30,MATCH("对"&amp;LEFT($C$5,2)&amp;"输出",标准坦克设计!$B$23:$U$23,0)))*(VLOOKUP($B199,INDIRECT($B$5&amp;"生成成长"),3))*(VLOOKUP($B$5,标准坦克设计!$B$14:$K$20,9)/30))</f>
        <v>11.620544406040972</v>
      </c>
      <c r="EC199" s="172">
        <f ca="1">(VLOOKUP(EC$72,INDIRECT($C$5&amp;"生成成长"),2))/((VLOOKUP($B199,INDIRECT($B$5&amp;"生成成长"),4))/(VLOOKUP(EC$72,INDIRECT($C$5&amp;"生成成长"),5))*(VLOOKUP($B$5,标准坦克设计!$B$24:$U$30,MATCH("对"&amp;LEFT($C$5,2)&amp;"输出",标准坦克设计!$B$23:$U$23,0)))*(VLOOKUP($B199,INDIRECT($B$5&amp;"生成成长"),3))*(VLOOKUP($B$5,标准坦克设计!$B$14:$K$20,9)/30))</f>
        <v>12.695969985273694</v>
      </c>
      <c r="ED199" s="172">
        <f ca="1">(VLOOKUP(ED$72,INDIRECT($C$5&amp;"生成成长"),2))/((VLOOKUP($B199,INDIRECT($B$5&amp;"生成成长"),4))/(VLOOKUP(ED$72,INDIRECT($C$5&amp;"生成成长"),5))*(VLOOKUP($B$5,标准坦克设计!$B$24:$U$30,MATCH("对"&amp;LEFT($C$5,2)&amp;"输出",标准坦克设计!$B$23:$U$23,0)))*(VLOOKUP($B199,INDIRECT($B$5&amp;"生成成长"),3))*(VLOOKUP($B$5,标准坦克设计!$B$14:$K$20,9)/30))</f>
        <v>13.81898076712733</v>
      </c>
      <c r="EE199" s="172">
        <f ca="1">(VLOOKUP(EE$72,INDIRECT($C$5&amp;"生成成长"),2))/((VLOOKUP($B199,INDIRECT($B$5&amp;"生成成长"),4))/(VLOOKUP(EE$72,INDIRECT($C$5&amp;"生成成长"),5))*(VLOOKUP($B$5,标准坦克设计!$B$24:$U$30,MATCH("对"&amp;LEFT($C$5,2)&amp;"输出",标准坦克设计!$B$23:$U$23,0)))*(VLOOKUP($B199,INDIRECT($B$5&amp;"生成成长"),3))*(VLOOKUP($B$5,标准坦克设计!$B$14:$K$20,9)/30))</f>
        <v>14.989576751601881</v>
      </c>
      <c r="EF199" s="172">
        <f ca="1">(VLOOKUP(EF$72,INDIRECT($C$5&amp;"生成成长"),2))/((VLOOKUP($B199,INDIRECT($B$5&amp;"生成成长"),4))/(VLOOKUP(EF$72,INDIRECT($C$5&amp;"生成成长"),5))*(VLOOKUP($B$5,标准坦克设计!$B$24:$U$30,MATCH("对"&amp;LEFT($C$5,2)&amp;"输出",标准坦克设计!$B$23:$U$23,0)))*(VLOOKUP($B199,INDIRECT($B$5&amp;"生成成长"),3))*(VLOOKUP($B$5,标准坦克设计!$B$14:$K$20,9)/30))</f>
        <v>16.207757938697348</v>
      </c>
      <c r="EG199" s="172">
        <f ca="1">(VLOOKUP(EG$72,INDIRECT($C$5&amp;"生成成长"),2))/((VLOOKUP($B199,INDIRECT($B$5&amp;"生成成长"),4))/(VLOOKUP(EG$72,INDIRECT($C$5&amp;"生成成长"),5))*(VLOOKUP($B$5,标准坦克设计!$B$24:$U$30,MATCH("对"&amp;LEFT($C$5,2)&amp;"输出",标准坦克设计!$B$23:$U$23,0)))*(VLOOKUP($B199,INDIRECT($B$5&amp;"生成成长"),3))*(VLOOKUP($B$5,标准坦克设计!$B$14:$K$20,9)/30))</f>
        <v>17.473524328413735</v>
      </c>
      <c r="EH199" s="172">
        <f ca="1">(VLOOKUP(EH$72,INDIRECT($C$5&amp;"生成成长"),2))/((VLOOKUP($B199,INDIRECT($B$5&amp;"生成成长"),4))/(VLOOKUP(EH$72,INDIRECT($C$5&amp;"生成成长"),5))*(VLOOKUP($B$5,标准坦克设计!$B$24:$U$30,MATCH("对"&amp;LEFT($C$5,2)&amp;"输出",标准坦克设计!$B$23:$U$23,0)))*(VLOOKUP($B199,INDIRECT($B$5&amp;"生成成长"),3))*(VLOOKUP($B$5,标准坦克设计!$B$14:$K$20,9)/30))</f>
        <v>18.786875920751037</v>
      </c>
      <c r="EI199" s="172">
        <f ca="1">(VLOOKUP(EI$72,INDIRECT($C$5&amp;"生成成长"),2))/((VLOOKUP($B199,INDIRECT($B$5&amp;"生成成长"),4))/(VLOOKUP(EI$72,INDIRECT($C$5&amp;"生成成长"),5))*(VLOOKUP($B$5,标准坦克设计!$B$24:$U$30,MATCH("对"&amp;LEFT($C$5,2)&amp;"输出",标准坦克设计!$B$23:$U$23,0)))*(VLOOKUP($B199,INDIRECT($B$5&amp;"生成成长"),3))*(VLOOKUP($B$5,标准坦克设计!$B$14:$K$20,9)/30))</f>
        <v>20.147812715709257</v>
      </c>
      <c r="EJ199" s="172">
        <f ca="1">(VLOOKUP(EJ$72,INDIRECT($C$5&amp;"生成成长"),2))/((VLOOKUP($B199,INDIRECT($B$5&amp;"生成成长"),4))/(VLOOKUP(EJ$72,INDIRECT($C$5&amp;"生成成长"),5))*(VLOOKUP($B$5,标准坦克设计!$B$24:$U$30,MATCH("对"&amp;LEFT($C$5,2)&amp;"输出",标准坦克设计!$B$23:$U$23,0)))*(VLOOKUP($B199,INDIRECT($B$5&amp;"生成成长"),3))*(VLOOKUP($B$5,标准坦克设计!$B$14:$K$20,9)/30))</f>
        <v>21.556334713288386</v>
      </c>
      <c r="EK199" s="172">
        <f ca="1">(VLOOKUP(EK$72,INDIRECT($C$5&amp;"生成成长"),2))/((VLOOKUP($B199,INDIRECT($B$5&amp;"生成成长"),4))/(VLOOKUP(EK$72,INDIRECT($C$5&amp;"生成成长"),5))*(VLOOKUP($B$5,标准坦克设计!$B$24:$U$30,MATCH("对"&amp;LEFT($C$5,2)&amp;"输出",标准坦克设计!$B$23:$U$23,0)))*(VLOOKUP($B199,INDIRECT($B$5&amp;"生成成长"),3))*(VLOOKUP($B$5,标准坦克设计!$B$14:$K$20,9)/30))</f>
        <v>23.309373577842965</v>
      </c>
      <c r="EL199" s="172">
        <f ca="1">(VLOOKUP(EL$72,INDIRECT($C$5&amp;"生成成长"),2))/((VLOOKUP($B199,INDIRECT($B$5&amp;"生成成长"),4))/(VLOOKUP(EL$72,INDIRECT($C$5&amp;"生成成长"),5))*(VLOOKUP($B$5,标准坦克设计!$B$24:$U$30,MATCH("对"&amp;LEFT($C$5,2)&amp;"输出",标准坦克设计!$B$23:$U$23,0)))*(VLOOKUP($B199,INDIRECT($B$5&amp;"生成成长"),3))*(VLOOKUP($B$5,标准坦克设计!$B$14:$K$20,9)/30))</f>
        <v>25.130935134171654</v>
      </c>
      <c r="EM199" s="172">
        <f ca="1">(VLOOKUP(EM$72,INDIRECT($C$5&amp;"生成成长"),2))/((VLOOKUP($B199,INDIRECT($B$5&amp;"生成成长"),4))/(VLOOKUP(EM$72,INDIRECT($C$5&amp;"生成成长"),5))*(VLOOKUP($B$5,标准坦克设计!$B$24:$U$30,MATCH("对"&amp;LEFT($C$5,2)&amp;"输出",标准坦克设计!$B$23:$U$23,0)))*(VLOOKUP($B199,INDIRECT($B$5&amp;"生成成长"),3))*(VLOOKUP($B$5,标准坦克设计!$B$14:$K$20,9)/30))</f>
        <v>27.021019382274471</v>
      </c>
      <c r="EN199" s="172">
        <f ca="1">(VLOOKUP(EN$72,INDIRECT($C$5&amp;"生成成长"),2))/((VLOOKUP($B199,INDIRECT($B$5&amp;"生成成长"),4))/(VLOOKUP(EN$72,INDIRECT($C$5&amp;"生成成长"),5))*(VLOOKUP($B$5,标准坦克设计!$B$24:$U$30,MATCH("对"&amp;LEFT($C$5,2)&amp;"输出",标准坦克设计!$B$23:$U$23,0)))*(VLOOKUP($B199,INDIRECT($B$5&amp;"生成成长"),3))*(VLOOKUP($B$5,标准坦克设计!$B$14:$K$20,9)/30))</f>
        <v>28.9796263221514</v>
      </c>
      <c r="EO199" s="172">
        <f ca="1">(VLOOKUP(EO$72,INDIRECT($C$5&amp;"生成成长"),2))/((VLOOKUP($B199,INDIRECT($B$5&amp;"生成成长"),4))/(VLOOKUP(EO$72,INDIRECT($C$5&amp;"生成成长"),5))*(VLOOKUP($B$5,标准坦克设计!$B$24:$U$30,MATCH("对"&amp;LEFT($C$5,2)&amp;"输出",标准坦克设计!$B$23:$U$23,0)))*(VLOOKUP($B199,INDIRECT($B$5&amp;"生成成长"),3))*(VLOOKUP($B$5,标准坦克设计!$B$14:$K$20,9)/30))</f>
        <v>31.006755953802458</v>
      </c>
      <c r="EP199" s="172">
        <f ca="1">(VLOOKUP(EP$72,INDIRECT($C$5&amp;"生成成长"),2))/((VLOOKUP($B199,INDIRECT($B$5&amp;"生成成长"),4))/(VLOOKUP(EP$72,INDIRECT($C$5&amp;"生成成长"),5))*(VLOOKUP($B$5,标准坦克设计!$B$24:$U$30,MATCH("对"&amp;LEFT($C$5,2)&amp;"输出",标准坦克设计!$B$23:$U$23,0)))*(VLOOKUP($B199,INDIRECT($B$5&amp;"生成成长"),3))*(VLOOKUP($B$5,标准坦克设计!$B$14:$K$20,9)/30))</f>
        <v>33.102408277227632</v>
      </c>
      <c r="EQ199" s="172">
        <f ca="1">(VLOOKUP(EQ$72,INDIRECT($C$5&amp;"生成成长"),2))/((VLOOKUP($B199,INDIRECT($B$5&amp;"生成成长"),4))/(VLOOKUP(EQ$72,INDIRECT($C$5&amp;"生成成长"),5))*(VLOOKUP($B$5,标准坦克设计!$B$24:$U$30,MATCH("对"&amp;LEFT($C$5,2)&amp;"输出",标准坦克设计!$B$23:$U$23,0)))*(VLOOKUP($B199,INDIRECT($B$5&amp;"生成成长"),3))*(VLOOKUP($B$5,标准坦克设计!$B$14:$K$20,9)/30))</f>
        <v>14.633401509984315</v>
      </c>
      <c r="ER199" s="172">
        <f ca="1">(VLOOKUP(ER$72,INDIRECT($C$5&amp;"生成成长"),2))/((VLOOKUP($B199,INDIRECT($B$5&amp;"生成成长"),4))/(VLOOKUP(ER$72,INDIRECT($C$5&amp;"生成成长"),5))*(VLOOKUP($B$5,标准坦克设计!$B$24:$U$30,MATCH("对"&amp;LEFT($C$5,2)&amp;"输出",标准坦克设计!$B$23:$U$23,0)))*(VLOOKUP($B199,INDIRECT($B$5&amp;"生成成长"),3))*(VLOOKUP($B$5,标准坦克设计!$B$14:$K$20,9)/30))</f>
        <v>15.960314885068579</v>
      </c>
      <c r="ES199" s="172">
        <f ca="1">(VLOOKUP(ES$72,INDIRECT($C$5&amp;"生成成长"),2))/((VLOOKUP($B199,INDIRECT($B$5&amp;"生成成长"),4))/(VLOOKUP(ES$72,INDIRECT($C$5&amp;"生成成长"),5))*(VLOOKUP($B$5,标准坦克设计!$B$24:$U$30,MATCH("对"&amp;LEFT($C$5,2)&amp;"输出",标准坦克设计!$B$23:$U$23,0)))*(VLOOKUP($B199,INDIRECT($B$5&amp;"生成成长"),3))*(VLOOKUP($B$5,标准坦克设计!$B$14:$K$20,9)/30))</f>
        <v>17.344806355324156</v>
      </c>
      <c r="ET199" s="172">
        <f ca="1">(VLOOKUP(ET$72,INDIRECT($C$5&amp;"生成成长"),2))/((VLOOKUP($B199,INDIRECT($B$5&amp;"生成成长"),4))/(VLOOKUP(ET$72,INDIRECT($C$5&amp;"生成成长"),5))*(VLOOKUP($B$5,标准坦克设计!$B$24:$U$30,MATCH("对"&amp;LEFT($C$5,2)&amp;"输出",标准坦克设计!$B$23:$U$23,0)))*(VLOOKUP($B199,INDIRECT($B$5&amp;"生成成长"),3))*(VLOOKUP($B$5,标准坦克设计!$B$14:$K$20,9)/30))</f>
        <v>18.786875920751037</v>
      </c>
      <c r="EU199" s="172">
        <f ca="1">(VLOOKUP(EU$72,INDIRECT($C$5&amp;"生成成长"),2))/((VLOOKUP($B199,INDIRECT($B$5&amp;"生成成长"),4))/(VLOOKUP(EU$72,INDIRECT($C$5&amp;"生成成长"),5))*(VLOOKUP($B$5,标准坦克设计!$B$24:$U$30,MATCH("对"&amp;LEFT($C$5,2)&amp;"输出",标准坦克设计!$B$23:$U$23,0)))*(VLOOKUP($B199,INDIRECT($B$5&amp;"生成成长"),3))*(VLOOKUP($B$5,标准坦克设计!$B$14:$K$20,9)/30))</f>
        <v>20.286523581349233</v>
      </c>
      <c r="EV199" s="172">
        <f ca="1">(VLOOKUP(EV$72,INDIRECT($C$5&amp;"生成成长"),2))/((VLOOKUP($B199,INDIRECT($B$5&amp;"生成成长"),4))/(VLOOKUP(EV$72,INDIRECT($C$5&amp;"生成成长"),5))*(VLOOKUP($B$5,标准坦克设计!$B$24:$U$30,MATCH("对"&amp;LEFT($C$5,2)&amp;"输出",标准坦克设计!$B$23:$U$23,0)))*(VLOOKUP($B199,INDIRECT($B$5&amp;"生成成长"),3))*(VLOOKUP($B$5,标准坦克设计!$B$14:$K$20,9)/30))</f>
        <v>21.843749337118727</v>
      </c>
      <c r="EW199" s="172">
        <f ca="1">(VLOOKUP(EW$72,INDIRECT($C$5&amp;"生成成长"),2))/((VLOOKUP($B199,INDIRECT($B$5&amp;"生成成长"),4))/(VLOOKUP(EW$72,INDIRECT($C$5&amp;"生成成长"),5))*(VLOOKUP($B$5,标准坦克设计!$B$24:$U$30,MATCH("对"&amp;LEFT($C$5,2)&amp;"输出",标准坦克设计!$B$23:$U$23,0)))*(VLOOKUP($B199,INDIRECT($B$5&amp;"生成成长"),3))*(VLOOKUP($B$5,标准坦克设计!$B$14:$K$20,9)/30))</f>
        <v>23.45855318805954</v>
      </c>
      <c r="EX199" s="172">
        <f ca="1">(VLOOKUP(EX$72,INDIRECT($C$5&amp;"生成成长"),2))/((VLOOKUP($B199,INDIRECT($B$5&amp;"生成成长"),4))/(VLOOKUP(EX$72,INDIRECT($C$5&amp;"生成成长"),5))*(VLOOKUP($B$5,标准坦克设计!$B$24:$U$30,MATCH("对"&amp;LEFT($C$5,2)&amp;"输出",标准坦克设计!$B$23:$U$23,0)))*(VLOOKUP($B199,INDIRECT($B$5&amp;"生成成长"),3))*(VLOOKUP($B$5,标准坦克设计!$B$14:$K$20,9)/30))</f>
        <v>25.130935134171654</v>
      </c>
      <c r="EY199" s="172">
        <f ca="1">(VLOOKUP(EY$72,INDIRECT($C$5&amp;"生成成长"),2))/((VLOOKUP($B199,INDIRECT($B$5&amp;"生成成长"),4))/(VLOOKUP(EY$72,INDIRECT($C$5&amp;"生成成长"),5))*(VLOOKUP($B$5,标准坦克设计!$B$24:$U$30,MATCH("对"&amp;LEFT($C$5,2)&amp;"输出",标准坦克设计!$B$23:$U$23,0)))*(VLOOKUP($B199,INDIRECT($B$5&amp;"生成成长"),3))*(VLOOKUP($B$5,标准坦克设计!$B$14:$K$20,9)/30))</f>
        <v>26.860895175455092</v>
      </c>
      <c r="EZ199" s="172">
        <f ca="1">(VLOOKUP(EZ$72,INDIRECT($C$5&amp;"生成成长"),2))/((VLOOKUP($B199,INDIRECT($B$5&amp;"生成成长"),4))/(VLOOKUP(EZ$72,INDIRECT($C$5&amp;"生成成长"),5))*(VLOOKUP($B$5,标准坦克设计!$B$24:$U$30,MATCH("对"&amp;LEFT($C$5,2)&amp;"输出",标准坦克设计!$B$23:$U$23,0)))*(VLOOKUP($B199,INDIRECT($B$5&amp;"生成成长"),3))*(VLOOKUP($B$5,标准坦克设计!$B$14:$K$20,9)/30))</f>
        <v>28.648433311909827</v>
      </c>
      <c r="FA199" s="172">
        <f ca="1">(VLOOKUP(FA$72,INDIRECT($C$5&amp;"生成成长"),2))/((VLOOKUP($B199,INDIRECT($B$5&amp;"生成成长"),4))/(VLOOKUP(FA$72,INDIRECT($C$5&amp;"生成成长"),5))*(VLOOKUP($B$5,标准坦克设计!$B$24:$U$30,MATCH("对"&amp;LEFT($C$5,2)&amp;"输出",标准坦克设计!$B$23:$U$23,0)))*(VLOOKUP($B199,INDIRECT($B$5&amp;"生成成长"),3))*(VLOOKUP($B$5,标准坦克设计!$B$14:$K$20,9)/30))</f>
        <v>30.493549543535881</v>
      </c>
      <c r="FB199" s="172">
        <f ca="1">(VLOOKUP(FB$72,INDIRECT($C$5&amp;"生成成长"),2))/((VLOOKUP($B199,INDIRECT($B$5&amp;"生成成长"),4))/(VLOOKUP(FB$72,INDIRECT($C$5&amp;"生成成长"),5))*(VLOOKUP($B$5,标准坦克设计!$B$24:$U$30,MATCH("对"&amp;LEFT($C$5,2)&amp;"输出",标准坦克设计!$B$23:$U$23,0)))*(VLOOKUP($B199,INDIRECT($B$5&amp;"生成成长"),3))*(VLOOKUP($B$5,标准坦克设计!$B$14:$K$20,9)/30))</f>
        <v>32.39624387033323</v>
      </c>
      <c r="FC199" s="172">
        <f ca="1">(VLOOKUP(FC$72,INDIRECT($C$5&amp;"生成成长"),2))/((VLOOKUP($B199,INDIRECT($B$5&amp;"生成成长"),4))/(VLOOKUP(FC$72,INDIRECT($C$5&amp;"生成成长"),5))*(VLOOKUP($B$5,标准坦克设计!$B$24:$U$30,MATCH("对"&amp;LEFT($C$5,2)&amp;"输出",标准坦克设计!$B$23:$U$23,0)))*(VLOOKUP($B199,INDIRECT($B$5&amp;"生成成长"),3))*(VLOOKUP($B$5,标准坦克设计!$B$14:$K$20,9)/30))</f>
        <v>34.35651629230189</v>
      </c>
      <c r="FD199" s="172">
        <f ca="1">(VLOOKUP(FD$72,INDIRECT($C$5&amp;"生成成长"),2))/((VLOOKUP($B199,INDIRECT($B$5&amp;"生成成长"),4))/(VLOOKUP(FD$72,INDIRECT($C$5&amp;"生成成长"),5))*(VLOOKUP($B$5,标准坦克设计!$B$24:$U$30,MATCH("对"&amp;LEFT($C$5,2)&amp;"输出",标准坦克设计!$B$23:$U$23,0)))*(VLOOKUP($B199,INDIRECT($B$5&amp;"生成成长"),3))*(VLOOKUP($B$5,标准坦克设计!$B$14:$K$20,9)/30))</f>
        <v>36.37436680944186</v>
      </c>
      <c r="FE199" s="172">
        <f ca="1">(VLOOKUP(FE$72,INDIRECT($C$5&amp;"生成成长"),2))/((VLOOKUP($B199,INDIRECT($B$5&amp;"生成成长"),4))/(VLOOKUP(FE$72,INDIRECT($C$5&amp;"生成成长"),5))*(VLOOKUP($B$5,标准坦克设计!$B$24:$U$30,MATCH("对"&amp;LEFT($C$5,2)&amp;"输出",标准坦克设计!$B$23:$U$23,0)))*(VLOOKUP($B199,INDIRECT($B$5&amp;"生成成长"),3))*(VLOOKUP($B$5,标准坦克设计!$B$14:$K$20,9)/30))</f>
        <v>38.833332154877745</v>
      </c>
      <c r="FF199" s="172">
        <f ca="1">(VLOOKUP(FF$72,INDIRECT($C$5&amp;"生成成长"),2))/((VLOOKUP($B199,INDIRECT($B$5&amp;"生成成长"),4))/(VLOOKUP(FF$72,INDIRECT($C$5&amp;"生成成长"),5))*(VLOOKUP($B$5,标准坦克设计!$B$24:$U$30,MATCH("对"&amp;LEFT($C$5,2)&amp;"输出",标准坦克设计!$B$23:$U$23,0)))*(VLOOKUP($B199,INDIRECT($B$5&amp;"生成成长"),3))*(VLOOKUP($B$5,标准坦克设计!$B$14:$K$20,9)/30))</f>
        <v>41.372716492742967</v>
      </c>
      <c r="FG199" s="172">
        <f ca="1">(VLOOKUP(FG$72,INDIRECT($C$5&amp;"生成成长"),2))/((VLOOKUP($B199,INDIRECT($B$5&amp;"生成成长"),4))/(VLOOKUP(FG$72,INDIRECT($C$5&amp;"生成成长"),5))*(VLOOKUP($B$5,标准坦克设计!$B$24:$U$30,MATCH("对"&amp;LEFT($C$5,2)&amp;"输出",标准坦克设计!$B$23:$U$23,0)))*(VLOOKUP($B199,INDIRECT($B$5&amp;"生成成长"),3))*(VLOOKUP($B$5,标准坦克设计!$B$14:$K$20,9)/30))</f>
        <v>43.99251982303754</v>
      </c>
      <c r="FH199" s="172">
        <f ca="1">(VLOOKUP(FH$72,INDIRECT($C$5&amp;"生成成长"),2))/((VLOOKUP($B199,INDIRECT($B$5&amp;"生成成长"),4))/(VLOOKUP(FH$72,INDIRECT($C$5&amp;"生成成长"),5))*(VLOOKUP($B$5,标准坦克设计!$B$24:$U$30,MATCH("对"&amp;LEFT($C$5,2)&amp;"输出",标准坦克设计!$B$23:$U$23,0)))*(VLOOKUP($B199,INDIRECT($B$5&amp;"生成成长"),3))*(VLOOKUP($B$5,标准坦克设计!$B$14:$K$20,9)/30))</f>
        <v>46.69274214576145</v>
      </c>
      <c r="FI199" s="172">
        <f ca="1">(VLOOKUP(FI$72,INDIRECT($C$5&amp;"生成成长"),2))/((VLOOKUP($B199,INDIRECT($B$5&amp;"生成成长"),4))/(VLOOKUP(FI$72,INDIRECT($C$5&amp;"生成成长"),5))*(VLOOKUP($B$5,标准坦克设计!$B$24:$U$30,MATCH("对"&amp;LEFT($C$5,2)&amp;"输出",标准坦克设计!$B$23:$U$23,0)))*(VLOOKUP($B199,INDIRECT($B$5&amp;"生成成长"),3))*(VLOOKUP($B$5,标准坦克设计!$B$14:$K$20,9)/30))</f>
        <v>49.473383460914732</v>
      </c>
      <c r="FJ199" s="172">
        <f ca="1">(VLOOKUP(FJ$72,INDIRECT($C$5&amp;"生成成长"),2))/((VLOOKUP($B199,INDIRECT($B$5&amp;"生成成长"),4))/(VLOOKUP(FJ$72,INDIRECT($C$5&amp;"生成成长"),5))*(VLOOKUP($B$5,标准坦克设计!$B$24:$U$30,MATCH("对"&amp;LEFT($C$5,2)&amp;"输出",标准坦克设计!$B$23:$U$23,0)))*(VLOOKUP($B199,INDIRECT($B$5&amp;"生成成长"),3))*(VLOOKUP($B$5,标准坦克设计!$B$14:$K$20,9)/30))</f>
        <v>52.334443768497344</v>
      </c>
      <c r="FK199" s="172">
        <f ca="1">(VLOOKUP(FK$72,INDIRECT($C$5&amp;"生成成长"),2))/((VLOOKUP($B199,INDIRECT($B$5&amp;"生成成长"),4))/(VLOOKUP(FK$72,INDIRECT($C$5&amp;"生成成长"),5))*(VLOOKUP($B$5,标准坦克设计!$B$24:$U$30,MATCH("对"&amp;LEFT($C$5,2)&amp;"输出",标准坦克设计!$B$23:$U$23,0)))*(VLOOKUP($B199,INDIRECT($B$5&amp;"生成成长"),3))*(VLOOKUP($B$5,标准坦克设计!$B$14:$K$20,9)/30))</f>
        <v>55.275923068509321</v>
      </c>
    </row>
    <row r="200" spans="1:167" x14ac:dyDescent="0.15">
      <c r="A200" s="170" t="str">
        <f t="shared" si="12"/>
        <v>T4高品质2级</v>
      </c>
      <c r="B200" s="171">
        <v>30402</v>
      </c>
      <c r="C200" s="172">
        <f ca="1">(VLOOKUP(C$72,INDIRECT($C$5&amp;"生成成长"),2))/((VLOOKUP($B200,INDIRECT($B$5&amp;"生成成长"),4))/(VLOOKUP(C$72,INDIRECT($C$5&amp;"生成成长"),5))*(VLOOKUP($B$5,标准坦克设计!$B$24:$U$30,MATCH("对"&amp;LEFT($C$5,2)&amp;"输出",标准坦克设计!$B$23:$U$23,0)))*(VLOOKUP($B200,INDIRECT($B$5&amp;"生成成长"),3))*(VLOOKUP($B$5,标准坦克设计!$B$14:$K$20,9)/30))</f>
        <v>2.1446146898348064</v>
      </c>
      <c r="D200" s="172">
        <f ca="1">(VLOOKUP(D$72,INDIRECT($C$5&amp;"生成成长"),2))/((VLOOKUP($B200,INDIRECT($B$5&amp;"生成成长"),4))/(VLOOKUP(D$72,INDIRECT($C$5&amp;"生成成长"),5))*(VLOOKUP($B$5,标准坦克设计!$B$24:$U$30,MATCH("对"&amp;LEFT($C$5,2)&amp;"输出",标准坦克设计!$B$23:$U$23,0)))*(VLOOKUP($B200,INDIRECT($B$5&amp;"生成成长"),3))*(VLOOKUP($B$5,标准坦克设计!$B$14:$K$20,9)/30))</f>
        <v>2.4096890654983891</v>
      </c>
      <c r="E200" s="172">
        <f ca="1">(VLOOKUP(E$72,INDIRECT($C$5&amp;"生成成长"),2))/((VLOOKUP($B200,INDIRECT($B$5&amp;"生成成长"),4))/(VLOOKUP(E$72,INDIRECT($C$5&amp;"生成成长"),5))*(VLOOKUP($B$5,标准坦克设计!$B$24:$U$30,MATCH("对"&amp;LEFT($C$5,2)&amp;"输出",标准坦克设计!$B$23:$U$23,0)))*(VLOOKUP($B200,INDIRECT($B$5&amp;"生成成长"),3))*(VLOOKUP($B$5,标准坦克设计!$B$14:$K$20,9)/30))</f>
        <v>2.6902046669287816</v>
      </c>
      <c r="F200" s="172">
        <f ca="1">(VLOOKUP(F$72,INDIRECT($C$5&amp;"生成成长"),2))/((VLOOKUP($B200,INDIRECT($B$5&amp;"生成成长"),4))/(VLOOKUP(F$72,INDIRECT($C$5&amp;"生成成长"),5))*(VLOOKUP($B$5,标准坦克设计!$B$24:$U$30,MATCH("对"&amp;LEFT($C$5,2)&amp;"输出",标准坦克设计!$B$23:$U$23,0)))*(VLOOKUP($B200,INDIRECT($B$5&amp;"生成成长"),3))*(VLOOKUP($B$5,标准坦克设计!$B$14:$K$20,9)/30))</f>
        <v>2.9861614941259846</v>
      </c>
      <c r="G200" s="172">
        <f ca="1">(VLOOKUP(G$72,INDIRECT($C$5&amp;"生成成长"),2))/((VLOOKUP($B200,INDIRECT($B$5&amp;"生成成长"),4))/(VLOOKUP(G$72,INDIRECT($C$5&amp;"生成成长"),5))*(VLOOKUP($B$5,标准坦克设计!$B$24:$U$30,MATCH("对"&amp;LEFT($C$5,2)&amp;"输出",标准坦克设计!$B$23:$U$23,0)))*(VLOOKUP($B200,INDIRECT($B$5&amp;"生成成长"),3))*(VLOOKUP($B$5,标准坦克设计!$B$14:$K$20,9)/30))</f>
        <v>3.2975595470899992</v>
      </c>
      <c r="H200" s="172">
        <f ca="1">(VLOOKUP(H$72,INDIRECT($C$5&amp;"生成成长"),2))/((VLOOKUP($B200,INDIRECT($B$5&amp;"生成成长"),4))/(VLOOKUP(H$72,INDIRECT($C$5&amp;"生成成长"),5))*(VLOOKUP($B$5,标准坦克设计!$B$24:$U$30,MATCH("对"&amp;LEFT($C$5,2)&amp;"输出",标准坦克设计!$B$23:$U$23,0)))*(VLOOKUP($B200,INDIRECT($B$5&amp;"生成成长"),3))*(VLOOKUP($B$5,标准坦克设计!$B$14:$K$20,9)/30))</f>
        <v>2.8857935266417156</v>
      </c>
      <c r="I200" s="172">
        <f ca="1">(VLOOKUP(I$72,INDIRECT($C$5&amp;"生成成长"),2))/((VLOOKUP($B200,INDIRECT($B$5&amp;"生成成长"),4))/(VLOOKUP(I$72,INDIRECT($C$5&amp;"生成成长"),5))*(VLOOKUP($B$5,标准坦克设计!$B$24:$U$30,MATCH("对"&amp;LEFT($C$5,2)&amp;"输出",标准坦克设计!$B$23:$U$23,0)))*(VLOOKUP($B200,INDIRECT($B$5&amp;"生成成长"),3))*(VLOOKUP($B$5,标准坦克设计!$B$14:$K$20,9)/30))</f>
        <v>3.2975595470899992</v>
      </c>
      <c r="J200" s="172">
        <f ca="1">(VLOOKUP(J$72,INDIRECT($C$5&amp;"生成成长"),2))/((VLOOKUP($B200,INDIRECT($B$5&amp;"生成成长"),4))/(VLOOKUP(J$72,INDIRECT($C$5&amp;"生成成长"),5))*(VLOOKUP($B$5,标准坦克设计!$B$24:$U$30,MATCH("对"&amp;LEFT($C$5,2)&amp;"输出",标准坦克设计!$B$23:$U$23,0)))*(VLOOKUP($B200,INDIRECT($B$5&amp;"生成成长"),3))*(VLOOKUP($B$5,标准坦克设计!$B$14:$K$20,9)/30))</f>
        <v>3.7367766355681673</v>
      </c>
      <c r="K200" s="172">
        <f ca="1">(VLOOKUP(K$72,INDIRECT($C$5&amp;"生成成长"),2))/((VLOOKUP($B200,INDIRECT($B$5&amp;"生成成长"),4))/(VLOOKUP(K$72,INDIRECT($C$5&amp;"生成成长"),5))*(VLOOKUP($B$5,标准坦克设计!$B$24:$U$30,MATCH("对"&amp;LEFT($C$5,2)&amp;"输出",标准坦克设计!$B$23:$U$23,0)))*(VLOOKUP($B200,INDIRECT($B$5&amp;"生成成长"),3))*(VLOOKUP($B$5,标准坦克设计!$B$14:$K$20,9)/30))</f>
        <v>4.2034447920762217</v>
      </c>
      <c r="L200" s="172">
        <f ca="1">(VLOOKUP(L$72,INDIRECT($C$5&amp;"生成成长"),2))/((VLOOKUP($B200,INDIRECT($B$5&amp;"生成成长"),4))/(VLOOKUP(L$72,INDIRECT($C$5&amp;"生成成长"),5))*(VLOOKUP($B$5,标准坦克设计!$B$24:$U$30,MATCH("对"&amp;LEFT($C$5,2)&amp;"输出",标准坦克设计!$B$23:$U$23,0)))*(VLOOKUP($B200,INDIRECT($B$5&amp;"生成成长"),3))*(VLOOKUP($B$5,标准坦克设计!$B$14:$K$20,9)/30))</f>
        <v>4.6975640166141606</v>
      </c>
      <c r="M200" s="172">
        <f ca="1">(VLOOKUP(M$72,INDIRECT($C$5&amp;"生成成长"),2))/((VLOOKUP($B200,INDIRECT($B$5&amp;"生成成长"),4))/(VLOOKUP(M$72,INDIRECT($C$5&amp;"生成成长"),5))*(VLOOKUP($B$5,标准坦克设计!$B$24:$U$30,MATCH("对"&amp;LEFT($C$5,2)&amp;"输出",标准坦克设计!$B$23:$U$23,0)))*(VLOOKUP($B200,INDIRECT($B$5&amp;"生成成长"),3))*(VLOOKUP($B$5,标准坦克设计!$B$14:$K$20,9)/30))</f>
        <v>5.2191343091819853</v>
      </c>
      <c r="N200" s="172">
        <f ca="1">(VLOOKUP(N$72,INDIRECT($C$5&amp;"生成成长"),2))/((VLOOKUP($B200,INDIRECT($B$5&amp;"生成成长"),4))/(VLOOKUP(N$72,INDIRECT($C$5&amp;"生成成长"),5))*(VLOOKUP($B$5,标准坦克设计!$B$24:$U$30,MATCH("对"&amp;LEFT($C$5,2)&amp;"输出",标准坦克设计!$B$23:$U$23,0)))*(VLOOKUP($B200,INDIRECT($B$5&amp;"生成成长"),3))*(VLOOKUP($B$5,标准坦克设计!$B$14:$K$20,9)/30))</f>
        <v>5.768155669779695</v>
      </c>
      <c r="O200" s="172">
        <f ca="1">(VLOOKUP(O$72,INDIRECT($C$5&amp;"生成成长"),2))/((VLOOKUP($B200,INDIRECT($B$5&amp;"生成成长"),4))/(VLOOKUP(O$72,INDIRECT($C$5&amp;"生成成长"),5))*(VLOOKUP($B$5,标准坦克设计!$B$24:$U$30,MATCH("对"&amp;LEFT($C$5,2)&amp;"输出",标准坦克设计!$B$23:$U$23,0)))*(VLOOKUP($B200,INDIRECT($B$5&amp;"生成成长"),3))*(VLOOKUP($B$5,标准坦克设计!$B$14:$K$20,9)/30))</f>
        <v>4.3855225792431964</v>
      </c>
      <c r="P200" s="172">
        <f ca="1">(VLOOKUP(P$72,INDIRECT($C$5&amp;"生成成长"),2))/((VLOOKUP($B200,INDIRECT($B$5&amp;"生成成长"),4))/(VLOOKUP(P$72,INDIRECT($C$5&amp;"生成成长"),5))*(VLOOKUP($B$5,标准坦克设计!$B$24:$U$30,MATCH("对"&amp;LEFT($C$5,2)&amp;"输出",标准坦克设计!$B$23:$U$23,0)))*(VLOOKUP($B200,INDIRECT($B$5&amp;"生成成长"),3))*(VLOOKUP($B$5,标准坦克设计!$B$14:$K$20,9)/30))</f>
        <v>4.9549177793943375</v>
      </c>
      <c r="Q200" s="172">
        <f ca="1">(VLOOKUP(Q$72,INDIRECT($C$5&amp;"生成成长"),2))/((VLOOKUP($B200,INDIRECT($B$5&amp;"生成成长"),4))/(VLOOKUP(Q$72,INDIRECT($C$5&amp;"生成成长"),5))*(VLOOKUP($B$5,标准坦克设计!$B$24:$U$30,MATCH("对"&amp;LEFT($C$5,2)&amp;"输出",标准坦克设计!$B$23:$U$23,0)))*(VLOOKUP($B200,INDIRECT($B$5&amp;"生成成长"),3))*(VLOOKUP($B$5,标准坦克设计!$B$14:$K$20,9)/30))</f>
        <v>5.5590557375208016</v>
      </c>
      <c r="R200" s="172">
        <f ca="1">(VLOOKUP(R$72,INDIRECT($C$5&amp;"生成成长"),2))/((VLOOKUP($B200,INDIRECT($B$5&amp;"生成成长"),4))/(VLOOKUP(R$72,INDIRECT($C$5&amp;"生成成长"),5))*(VLOOKUP($B$5,标准坦克设计!$B$24:$U$30,MATCH("对"&amp;LEFT($C$5,2)&amp;"输出",标准坦克设计!$B$23:$U$23,0)))*(VLOOKUP($B200,INDIRECT($B$5&amp;"生成成长"),3))*(VLOOKUP($B$5,标准坦克设计!$B$14:$K$20,9)/30))</f>
        <v>6.1979364536225914</v>
      </c>
      <c r="S200" s="172">
        <f ca="1">(VLOOKUP(S$72,INDIRECT($C$5&amp;"生成成长"),2))/((VLOOKUP($B200,INDIRECT($B$5&amp;"生成成长"),4))/(VLOOKUP(S$72,INDIRECT($C$5&amp;"生成成长"),5))*(VLOOKUP($B$5,标准坦克设计!$B$24:$U$30,MATCH("对"&amp;LEFT($C$5,2)&amp;"输出",标准坦克设计!$B$23:$U$23,0)))*(VLOOKUP($B200,INDIRECT($B$5&amp;"生成成长"),3))*(VLOOKUP($B$5,标准坦克设计!$B$14:$K$20,9)/30))</f>
        <v>6.871559927699705</v>
      </c>
      <c r="T200" s="172">
        <f ca="1">(VLOOKUP(T$72,INDIRECT($C$5&amp;"生成成长"),2))/((VLOOKUP($B200,INDIRECT($B$5&amp;"生成成长"),4))/(VLOOKUP(T$72,INDIRECT($C$5&amp;"生成成长"),5))*(VLOOKUP($B$5,标准坦克设计!$B$24:$U$30,MATCH("对"&amp;LEFT($C$5,2)&amp;"输出",标准坦克设计!$B$23:$U$23,0)))*(VLOOKUP($B200,INDIRECT($B$5&amp;"生成成长"),3))*(VLOOKUP($B$5,标准坦克设计!$B$14:$K$20,9)/30))</f>
        <v>7.5799261597521408</v>
      </c>
      <c r="U200" s="172">
        <f ca="1">(VLOOKUP(U$72,INDIRECT($C$5&amp;"生成成长"),2))/((VLOOKUP($B200,INDIRECT($B$5&amp;"生成成长"),4))/(VLOOKUP(U$72,INDIRECT($C$5&amp;"生成成长"),5))*(VLOOKUP($B$5,标准坦克设计!$B$24:$U$30,MATCH("对"&amp;LEFT($C$5,2)&amp;"输出",标准坦克设计!$B$23:$U$23,0)))*(VLOOKUP($B200,INDIRECT($B$5&amp;"生成成长"),3))*(VLOOKUP($B$5,标准坦克设计!$B$14:$K$20,9)/30))</f>
        <v>8.3230351497798996</v>
      </c>
      <c r="V200" s="172">
        <f ca="1">(VLOOKUP(V$72,INDIRECT($C$5&amp;"生成成长"),2))/((VLOOKUP($B200,INDIRECT($B$5&amp;"生成成长"),4))/(VLOOKUP(V$72,INDIRECT($C$5&amp;"生成成长"),5))*(VLOOKUP($B$5,标准坦克设计!$B$24:$U$30,MATCH("对"&amp;LEFT($C$5,2)&amp;"输出",标准坦克设计!$B$23:$U$23,0)))*(VLOOKUP($B200,INDIRECT($B$5&amp;"生成成长"),3))*(VLOOKUP($B$5,标准坦克设计!$B$14:$K$20,9)/30))</f>
        <v>9.1008868977829867</v>
      </c>
      <c r="W200" s="172">
        <f ca="1">(VLOOKUP(W$72,INDIRECT($C$5&amp;"生成成长"),2))/((VLOOKUP($B200,INDIRECT($B$5&amp;"生成成长"),4))/(VLOOKUP(W$72,INDIRECT($C$5&amp;"生成成长"),5))*(VLOOKUP($B$5,标准坦克设计!$B$24:$U$30,MATCH("对"&amp;LEFT($C$5,2)&amp;"输出",标准坦克设计!$B$23:$U$23,0)))*(VLOOKUP($B200,INDIRECT($B$5&amp;"生成成长"),3))*(VLOOKUP($B$5,标准坦克设计!$B$14:$K$20,9)/30))</f>
        <v>9.913481403761395</v>
      </c>
      <c r="X200" s="172">
        <f ca="1">(VLOOKUP(X$72,INDIRECT($C$5&amp;"生成成长"),2))/((VLOOKUP($B200,INDIRECT($B$5&amp;"生成成长"),4))/(VLOOKUP(X$72,INDIRECT($C$5&amp;"生成成长"),5))*(VLOOKUP($B$5,标准坦克设计!$B$24:$U$30,MATCH("对"&amp;LEFT($C$5,2)&amp;"输出",标准坦克设计!$B$23:$U$23,0)))*(VLOOKUP($B200,INDIRECT($B$5&amp;"生成成长"),3))*(VLOOKUP($B$5,标准坦克设计!$B$14:$K$20,9)/30))</f>
        <v>7.1821001347877838</v>
      </c>
      <c r="Y200" s="172">
        <f ca="1">(VLOOKUP(Y$72,INDIRECT($C$5&amp;"生成成长"),2))/((VLOOKUP($B200,INDIRECT($B$5&amp;"生成成长"),4))/(VLOOKUP(Y$72,INDIRECT($C$5&amp;"生成成长"),5))*(VLOOKUP($B$5,标准坦克设计!$B$24:$U$30,MATCH("对"&amp;LEFT($C$5,2)&amp;"输出",标准坦克设计!$B$23:$U$23,0)))*(VLOOKUP($B200,INDIRECT($B$5&amp;"生成成长"),3))*(VLOOKUP($B$5,标准坦克设计!$B$14:$K$20,9)/30))</f>
        <v>7.9884752581656722</v>
      </c>
      <c r="Z200" s="172">
        <f ca="1">(VLOOKUP(Z$72,INDIRECT($C$5&amp;"生成成长"),2))/((VLOOKUP($B200,INDIRECT($B$5&amp;"生成成长"),4))/(VLOOKUP(Z$72,INDIRECT($C$5&amp;"生成成长"),5))*(VLOOKUP($B$5,标准坦克设计!$B$24:$U$30,MATCH("对"&amp;LEFT($C$5,2)&amp;"输出",标准坦克设计!$B$23:$U$23,0)))*(VLOOKUP($B200,INDIRECT($B$5&amp;"生成成长"),3))*(VLOOKUP($B$5,标准坦克设计!$B$14:$K$20,9)/30))</f>
        <v>8.8377426753402535</v>
      </c>
      <c r="AA200" s="172">
        <f ca="1">(VLOOKUP(AA$72,INDIRECT($C$5&amp;"生成成长"),2))/((VLOOKUP($B200,INDIRECT($B$5&amp;"生成成长"),4))/(VLOOKUP(AA$72,INDIRECT($C$5&amp;"生成成长"),5))*(VLOOKUP($B$5,标准坦克设计!$B$24:$U$30,MATCH("对"&amp;LEFT($C$5,2)&amp;"输出",标准坦克设计!$B$23:$U$23,0)))*(VLOOKUP($B200,INDIRECT($B$5&amp;"生成成长"),3))*(VLOOKUP($B$5,标准坦克设计!$B$14:$K$20,9)/30))</f>
        <v>9.7299023863115348</v>
      </c>
      <c r="AB200" s="172">
        <f ca="1">(VLOOKUP(AB$72,INDIRECT($C$5&amp;"生成成长"),2))/((VLOOKUP($B200,INDIRECT($B$5&amp;"生成成长"),4))/(VLOOKUP(AB$72,INDIRECT($C$5&amp;"生成成长"),5))*(VLOOKUP($B$5,标准坦克设计!$B$24:$U$30,MATCH("对"&amp;LEFT($C$5,2)&amp;"输出",标准坦克设计!$B$23:$U$23,0)))*(VLOOKUP($B200,INDIRECT($B$5&amp;"生成成长"),3))*(VLOOKUP($B$5,标准坦克设计!$B$14:$K$20,9)/30))</f>
        <v>10.66495439107951</v>
      </c>
      <c r="AC200" s="172">
        <f ca="1">(VLOOKUP(AC$72,INDIRECT($C$5&amp;"生成成长"),2))/((VLOOKUP($B200,INDIRECT($B$5&amp;"生成成长"),4))/(VLOOKUP(AC$72,INDIRECT($C$5&amp;"生成成长"),5))*(VLOOKUP($B$5,标准坦克设计!$B$24:$U$30,MATCH("对"&amp;LEFT($C$5,2)&amp;"输出",标准坦克设计!$B$23:$U$23,0)))*(VLOOKUP($B200,INDIRECT($B$5&amp;"生成成长"),3))*(VLOOKUP($B$5,标准坦克设计!$B$14:$K$20,9)/30))</f>
        <v>11.642898689644181</v>
      </c>
      <c r="AD200" s="172">
        <f ca="1">(VLOOKUP(AD$72,INDIRECT($C$5&amp;"生成成长"),2))/((VLOOKUP($B200,INDIRECT($B$5&amp;"生成成长"),4))/(VLOOKUP(AD$72,INDIRECT($C$5&amp;"生成成长"),5))*(VLOOKUP($B$5,标准坦克设计!$B$24:$U$30,MATCH("对"&amp;LEFT($C$5,2)&amp;"输出",标准坦克设计!$B$23:$U$23,0)))*(VLOOKUP($B200,INDIRECT($B$5&amp;"生成成长"),3))*(VLOOKUP($B$5,标准坦克设计!$B$14:$K$20,9)/30))</f>
        <v>12.663735282005549</v>
      </c>
      <c r="AE200" s="172">
        <f ca="1">(VLOOKUP(AE$72,INDIRECT($C$5&amp;"生成成长"),2))/((VLOOKUP($B200,INDIRECT($B$5&amp;"生成成长"),4))/(VLOOKUP(AE$72,INDIRECT($C$5&amp;"生成成长"),5))*(VLOOKUP($B$5,标准坦克设计!$B$24:$U$30,MATCH("对"&amp;LEFT($C$5,2)&amp;"输出",标准坦克设计!$B$23:$U$23,0)))*(VLOOKUP($B200,INDIRECT($B$5&amp;"生成成长"),3))*(VLOOKUP($B$5,标准坦克设计!$B$14:$K$20,9)/30))</f>
        <v>13.727464168163612</v>
      </c>
      <c r="AF200" s="172">
        <f ca="1">(VLOOKUP(AF$72,INDIRECT($C$5&amp;"生成成长"),2))/((VLOOKUP($B200,INDIRECT($B$5&amp;"生成成长"),4))/(VLOOKUP(AF$72,INDIRECT($C$5&amp;"生成成长"),5))*(VLOOKUP($B$5,标准坦克设计!$B$24:$U$30,MATCH("对"&amp;LEFT($C$5,2)&amp;"输出",标准坦克设计!$B$23:$U$23,0)))*(VLOOKUP($B200,INDIRECT($B$5&amp;"生成成长"),3))*(VLOOKUP($B$5,标准坦克设计!$B$14:$K$20,9)/30))</f>
        <v>14.834085348118375</v>
      </c>
      <c r="AG200" s="172">
        <f ca="1">(VLOOKUP(AG$72,INDIRECT($C$5&amp;"生成成长"),2))/((VLOOKUP($B200,INDIRECT($B$5&amp;"生成成长"),4))/(VLOOKUP(AG$72,INDIRECT($C$5&amp;"生成成长"),5))*(VLOOKUP($B$5,标准坦克设计!$B$24:$U$30,MATCH("对"&amp;LEFT($C$5,2)&amp;"输出",标准坦克设计!$B$23:$U$23,0)))*(VLOOKUP($B200,INDIRECT($B$5&amp;"生成成长"),3))*(VLOOKUP($B$5,标准坦克设计!$B$14:$K$20,9)/30))</f>
        <v>15.983598821869828</v>
      </c>
      <c r="AH200" s="172">
        <f ca="1">(VLOOKUP(AH$72,INDIRECT($C$5&amp;"生成成长"),2))/((VLOOKUP($B200,INDIRECT($B$5&amp;"生成成长"),4))/(VLOOKUP(AH$72,INDIRECT($C$5&amp;"生成成长"),5))*(VLOOKUP($B$5,标准坦克设计!$B$24:$U$30,MATCH("对"&amp;LEFT($C$5,2)&amp;"输出",标准坦克设计!$B$23:$U$23,0)))*(VLOOKUP($B200,INDIRECT($B$5&amp;"生成成长"),3))*(VLOOKUP($B$5,标准坦克设计!$B$14:$K$20,9)/30))</f>
        <v>17.176004589417982</v>
      </c>
      <c r="AI200" s="172">
        <f ca="1">(VLOOKUP(AI$72,INDIRECT($C$5&amp;"生成成长"),2))/((VLOOKUP($B200,INDIRECT($B$5&amp;"生成成长"),4))/(VLOOKUP(AI$72,INDIRECT($C$5&amp;"生成成长"),5))*(VLOOKUP($B$5,标准坦克设计!$B$24:$U$30,MATCH("对"&amp;LEFT($C$5,2)&amp;"输出",标准坦克设计!$B$23:$U$23,0)))*(VLOOKUP($B200,INDIRECT($B$5&amp;"生成成长"),3))*(VLOOKUP($B$5,标准坦克设计!$B$14:$K$20,9)/30))</f>
        <v>12.147955449100277</v>
      </c>
      <c r="AJ200" s="172">
        <f ca="1">(VLOOKUP(AJ$72,INDIRECT($C$5&amp;"生成成长"),2))/((VLOOKUP($B200,INDIRECT($B$5&amp;"生成成长"),4))/(VLOOKUP(AJ$72,INDIRECT($C$5&amp;"生成成长"),5))*(VLOOKUP($B$5,标准坦克设计!$B$24:$U$30,MATCH("对"&amp;LEFT($C$5,2)&amp;"输出",标准坦克设计!$B$23:$U$23,0)))*(VLOOKUP($B200,INDIRECT($B$5&amp;"生成成长"),3))*(VLOOKUP($B$5,标准坦克设计!$B$14:$K$20,9)/30))</f>
        <v>13.296825538444782</v>
      </c>
      <c r="AK200" s="172">
        <f ca="1">(VLOOKUP(AK$72,INDIRECT($C$5&amp;"生成成长"),2))/((VLOOKUP($B200,INDIRECT($B$5&amp;"生成成长"),4))/(VLOOKUP(AK$72,INDIRECT($C$5&amp;"生成成长"),5))*(VLOOKUP($B$5,标准坦克设计!$B$24:$U$30,MATCH("对"&amp;LEFT($C$5,2)&amp;"输出",标准坦克设计!$B$23:$U$23,0)))*(VLOOKUP($B200,INDIRECT($B$5&amp;"生成成长"),3))*(VLOOKUP($B$5,标准坦克设计!$B$14:$K$20,9)/30))</f>
        <v>14.497595303283289</v>
      </c>
      <c r="AL200" s="172">
        <f ca="1">(VLOOKUP(AL$72,INDIRECT($C$5&amp;"生成成长"),2))/((VLOOKUP($B200,INDIRECT($B$5&amp;"生成成长"),4))/(VLOOKUP(AL$72,INDIRECT($C$5&amp;"生成成长"),5))*(VLOOKUP($B$5,标准坦克设计!$B$24:$U$30,MATCH("对"&amp;LEFT($C$5,2)&amp;"输出",标准坦克设计!$B$23:$U$23,0)))*(VLOOKUP($B200,INDIRECT($B$5&amp;"生成成长"),3))*(VLOOKUP($B$5,标准坦克设计!$B$14:$K$20,9)/30))</f>
        <v>15.750264743615803</v>
      </c>
      <c r="AM200" s="172">
        <f ca="1">(VLOOKUP(AM$72,INDIRECT($C$5&amp;"生成成长"),2))/((VLOOKUP($B200,INDIRECT($B$5&amp;"生成成长"),4))/(VLOOKUP(AM$72,INDIRECT($C$5&amp;"生成成长"),5))*(VLOOKUP($B$5,标准坦克设计!$B$24:$U$30,MATCH("对"&amp;LEFT($C$5,2)&amp;"输出",标准坦克设计!$B$23:$U$23,0)))*(VLOOKUP($B200,INDIRECT($B$5&amp;"生成成长"),3))*(VLOOKUP($B$5,标准坦克设计!$B$14:$K$20,9)/30))</f>
        <v>17.054833859442315</v>
      </c>
      <c r="AN200" s="172">
        <f ca="1">(VLOOKUP(AN$72,INDIRECT($C$5&amp;"生成成长"),2))/((VLOOKUP($B200,INDIRECT($B$5&amp;"生成成长"),4))/(VLOOKUP(AN$72,INDIRECT($C$5&amp;"生成成长"),5))*(VLOOKUP($B$5,标准坦克设计!$B$24:$U$30,MATCH("对"&amp;LEFT($C$5,2)&amp;"输出",标准坦克设计!$B$23:$U$23,0)))*(VLOOKUP($B200,INDIRECT($B$5&amp;"生成成长"),3))*(VLOOKUP($B$5,标准坦克设计!$B$14:$K$20,9)/30))</f>
        <v>18.411302650762831</v>
      </c>
      <c r="AO200" s="172">
        <f ca="1">(VLOOKUP(AO$72,INDIRECT($C$5&amp;"生成成长"),2))/((VLOOKUP($B200,INDIRECT($B$5&amp;"生成成长"),4))/(VLOOKUP(AO$72,INDIRECT($C$5&amp;"生成成长"),5))*(VLOOKUP($B$5,标准坦克设计!$B$24:$U$30,MATCH("对"&amp;LEFT($C$5,2)&amp;"输出",标准坦克设计!$B$23:$U$23,0)))*(VLOOKUP($B200,INDIRECT($B$5&amp;"生成成长"),3))*(VLOOKUP($B$5,标准坦克设计!$B$14:$K$20,9)/30))</f>
        <v>19.81967111757735</v>
      </c>
      <c r="AP200" s="172">
        <f ca="1">(VLOOKUP(AP$72,INDIRECT($C$5&amp;"生成成长"),2))/((VLOOKUP($B200,INDIRECT($B$5&amp;"生成成长"),4))/(VLOOKUP(AP$72,INDIRECT($C$5&amp;"生成成长"),5))*(VLOOKUP($B$5,标准坦克设计!$B$24:$U$30,MATCH("对"&amp;LEFT($C$5,2)&amp;"输出",标准坦克设计!$B$23:$U$23,0)))*(VLOOKUP($B200,INDIRECT($B$5&amp;"生成成长"),3))*(VLOOKUP($B$5,标准坦克设计!$B$14:$K$20,9)/30))</f>
        <v>21.279939259885872</v>
      </c>
      <c r="AQ200" s="172">
        <f ca="1">(VLOOKUP(AQ$72,INDIRECT($C$5&amp;"生成成长"),2))/((VLOOKUP($B200,INDIRECT($B$5&amp;"生成成长"),4))/(VLOOKUP(AQ$72,INDIRECT($C$5&amp;"生成成长"),5))*(VLOOKUP($B$5,标准坦克设计!$B$24:$U$30,MATCH("对"&amp;LEFT($C$5,2)&amp;"输出",标准坦克设计!$B$23:$U$23,0)))*(VLOOKUP($B200,INDIRECT($B$5&amp;"生成成长"),3))*(VLOOKUP($B$5,标准坦克设计!$B$14:$K$20,9)/30))</f>
        <v>22.792107077688389</v>
      </c>
      <c r="AR200" s="172">
        <f ca="1">(VLOOKUP(AR$72,INDIRECT($C$5&amp;"生成成长"),2))/((VLOOKUP($B200,INDIRECT($B$5&amp;"生成成长"),4))/(VLOOKUP(AR$72,INDIRECT($C$5&amp;"生成成长"),5))*(VLOOKUP($B$5,标准坦克设计!$B$24:$U$30,MATCH("对"&amp;LEFT($C$5,2)&amp;"输出",标准坦克设计!$B$23:$U$23,0)))*(VLOOKUP($B200,INDIRECT($B$5&amp;"生成成长"),3))*(VLOOKUP($B$5,标准坦克设计!$B$14:$K$20,9)/30))</f>
        <v>24.356174570984916</v>
      </c>
      <c r="AS200" s="172">
        <f ca="1">(VLOOKUP(AS$72,INDIRECT($C$5&amp;"生成成长"),2))/((VLOOKUP($B200,INDIRECT($B$5&amp;"生成成长"),4))/(VLOOKUP(AS$72,INDIRECT($C$5&amp;"生成成长"),5))*(VLOOKUP($B$5,标准坦克设计!$B$24:$U$30,MATCH("对"&amp;LEFT($C$5,2)&amp;"输出",标准坦克设计!$B$23:$U$23,0)))*(VLOOKUP($B200,INDIRECT($B$5&amp;"生成成长"),3))*(VLOOKUP($B$5,标准坦克设计!$B$14:$K$20,9)/30))</f>
        <v>25.972141739775441</v>
      </c>
      <c r="AT200" s="172">
        <f ca="1">(VLOOKUP(AT$72,INDIRECT($C$5&amp;"生成成长"),2))/((VLOOKUP($B200,INDIRECT($B$5&amp;"生成成长"),4))/(VLOOKUP(AT$72,INDIRECT($C$5&amp;"生成成长"),5))*(VLOOKUP($B$5,标准坦克设计!$B$24:$U$30,MATCH("对"&amp;LEFT($C$5,2)&amp;"输出",标准坦克设计!$B$23:$U$23,0)))*(VLOOKUP($B200,INDIRECT($B$5&amp;"生成成长"),3))*(VLOOKUP($B$5,标准坦克设计!$B$14:$K$20,9)/30))</f>
        <v>27.64000858405997</v>
      </c>
      <c r="AU200" s="172">
        <f ca="1">(VLOOKUP(AU$72,INDIRECT($C$5&amp;"生成成长"),2))/((VLOOKUP($B200,INDIRECT($B$5&amp;"生成成长"),4))/(VLOOKUP(AU$72,INDIRECT($C$5&amp;"生成成长"),5))*(VLOOKUP($B$5,标准坦克设计!$B$24:$U$30,MATCH("对"&amp;LEFT($C$5,2)&amp;"输出",标准坦克设计!$B$23:$U$23,0)))*(VLOOKUP($B200,INDIRECT($B$5&amp;"生成成长"),3))*(VLOOKUP($B$5,标准坦克设计!$B$14:$K$20,9)/30))</f>
        <v>29.359775103838501</v>
      </c>
      <c r="AV200" s="172">
        <f ca="1">(VLOOKUP(AV$72,INDIRECT($C$5&amp;"生成成长"),2))/((VLOOKUP($B200,INDIRECT($B$5&amp;"生成成长"),4))/(VLOOKUP(AV$72,INDIRECT($C$5&amp;"生成成长"),5))*(VLOOKUP($B$5,标准坦克设计!$B$24:$U$30,MATCH("对"&amp;LEFT($C$5,2)&amp;"输出",标准坦克设计!$B$23:$U$23,0)))*(VLOOKUP($B200,INDIRECT($B$5&amp;"生成成长"),3))*(VLOOKUP($B$5,标准坦克设计!$B$14:$K$20,9)/30))</f>
        <v>2.9861614941259846</v>
      </c>
      <c r="AW200" s="172">
        <f ca="1">(VLOOKUP(AW$72,INDIRECT($C$5&amp;"生成成长"),2))/((VLOOKUP($B200,INDIRECT($B$5&amp;"生成成长"),4))/(VLOOKUP(AW$72,INDIRECT($C$5&amp;"生成成长"),5))*(VLOOKUP($B$5,标准坦克设计!$B$24:$U$30,MATCH("对"&amp;LEFT($C$5,2)&amp;"输出",标准坦克设计!$B$23:$U$23,0)))*(VLOOKUP($B200,INDIRECT($B$5&amp;"生成成长"),3))*(VLOOKUP($B$5,标准坦克设计!$B$14:$K$20,9)/30))</f>
        <v>3.4047902815817386</v>
      </c>
      <c r="AX200" s="172">
        <f ca="1">(VLOOKUP(AX$72,INDIRECT($C$5&amp;"生成成长"),2))/((VLOOKUP($B200,INDIRECT($B$5&amp;"生成成长"),4))/(VLOOKUP(AX$72,INDIRECT($C$5&amp;"生成成长"),5))*(VLOOKUP($B$5,标准坦克设计!$B$24:$U$30,MATCH("对"&amp;LEFT($C$5,2)&amp;"输出",标准坦克设计!$B$23:$U$23,0)))*(VLOOKUP($B200,INDIRECT($B$5&amp;"生成成长"),3))*(VLOOKUP($B$5,标准坦克设计!$B$14:$K$20,9)/30))</f>
        <v>3.8508701370673784</v>
      </c>
      <c r="AY200" s="172">
        <f ca="1">(VLOOKUP(AY$72,INDIRECT($C$5&amp;"生成成长"),2))/((VLOOKUP($B200,INDIRECT($B$5&amp;"生成成长"),4))/(VLOOKUP(AY$72,INDIRECT($C$5&amp;"生成成长"),5))*(VLOOKUP($B$5,标准坦克设计!$B$24:$U$30,MATCH("对"&amp;LEFT($C$5,2)&amp;"输出",标准坦克设计!$B$23:$U$23,0)))*(VLOOKUP($B200,INDIRECT($B$5&amp;"生成成长"),3))*(VLOOKUP($B$5,标准坦克设计!$B$14:$K$20,9)/30))</f>
        <v>4.3244010605829049</v>
      </c>
      <c r="AZ200" s="172">
        <f ca="1">(VLOOKUP(AZ$72,INDIRECT($C$5&amp;"生成成长"),2))/((VLOOKUP($B200,INDIRECT($B$5&amp;"生成成长"),4))/(VLOOKUP(AZ$72,INDIRECT($C$5&amp;"生成成长"),5))*(VLOOKUP($B$5,标准坦克设计!$B$24:$U$30,MATCH("对"&amp;LEFT($C$5,2)&amp;"输出",标准坦克设计!$B$23:$U$23,0)))*(VLOOKUP($B200,INDIRECT($B$5&amp;"生成成长"),3))*(VLOOKUP($B$5,标准坦克设计!$B$14:$K$20,9)/30))</f>
        <v>4.8253830521283145</v>
      </c>
      <c r="BA200" s="172">
        <f ca="1">(VLOOKUP(BA$72,INDIRECT($C$5&amp;"生成成长"),2))/((VLOOKUP($B200,INDIRECT($B$5&amp;"生成成长"),4))/(VLOOKUP(BA$72,INDIRECT($C$5&amp;"生成成长"),5))*(VLOOKUP($B$5,标准坦克设计!$B$24:$U$30,MATCH("对"&amp;LEFT($C$5,2)&amp;"输出",标准坦克设计!$B$23:$U$23,0)))*(VLOOKUP($B200,INDIRECT($B$5&amp;"生成成长"),3))*(VLOOKUP($B$5,标准坦克设计!$B$14:$K$20,9)/30))</f>
        <v>5.3538161117036109</v>
      </c>
      <c r="BB200" s="172">
        <f ca="1">(VLOOKUP(BB$72,INDIRECT($C$5&amp;"生成成长"),2))/((VLOOKUP($B200,INDIRECT($B$5&amp;"生成成长"),4))/(VLOOKUP(BB$72,INDIRECT($C$5&amp;"生成成长"),5))*(VLOOKUP($B$5,标准坦克设计!$B$24:$U$30,MATCH("对"&amp;LEFT($C$5,2)&amp;"输出",标准坦克设计!$B$23:$U$23,0)))*(VLOOKUP($B200,INDIRECT($B$5&amp;"生成成长"),3))*(VLOOKUP($B$5,标准坦克设计!$B$14:$K$20,9)/30))</f>
        <v>5.9097002393087932</v>
      </c>
      <c r="BC200" s="172">
        <f ca="1">(VLOOKUP(BC$72,INDIRECT($C$5&amp;"生成成长"),2))/((VLOOKUP($B200,INDIRECT($B$5&amp;"生成成长"),4))/(VLOOKUP(BC$72,INDIRECT($C$5&amp;"生成成长"),5))*(VLOOKUP($B$5,标准坦克设计!$B$24:$U$30,MATCH("对"&amp;LEFT($C$5,2)&amp;"输出",标准坦克设计!$B$23:$U$23,0)))*(VLOOKUP($B200,INDIRECT($B$5&amp;"生成成长"),3))*(VLOOKUP($B$5,标准坦克设计!$B$14:$K$20,9)/30))</f>
        <v>6.4930354349438604</v>
      </c>
      <c r="BD200" s="172">
        <f ca="1">(VLOOKUP(BD$72,INDIRECT($C$5&amp;"生成成长"),2))/((VLOOKUP($B200,INDIRECT($B$5&amp;"生成成长"),4))/(VLOOKUP(BD$72,INDIRECT($C$5&amp;"生成成长"),5))*(VLOOKUP($B$5,标准坦克设计!$B$24:$U$30,MATCH("对"&amp;LEFT($C$5,2)&amp;"输出",标准坦克设计!$B$23:$U$23,0)))*(VLOOKUP($B200,INDIRECT($B$5&amp;"生成成长"),3))*(VLOOKUP($B$5,标准坦克设计!$B$14:$K$20,9)/30))</f>
        <v>7.1821001347877838</v>
      </c>
      <c r="BE200" s="172">
        <f ca="1">(VLOOKUP(BE$72,INDIRECT($C$5&amp;"生成成长"),2))/((VLOOKUP($B200,INDIRECT($B$5&amp;"生成成长"),4))/(VLOOKUP(BE$72,INDIRECT($C$5&amp;"生成成长"),5))*(VLOOKUP($B$5,标准坦克设计!$B$24:$U$30,MATCH("对"&amp;LEFT($C$5,2)&amp;"输出",标准坦克设计!$B$23:$U$23,0)))*(VLOOKUP($B200,INDIRECT($B$5&amp;"生成成长"),3))*(VLOOKUP($B$5,标准坦克设计!$B$14:$K$20,9)/30))</f>
        <v>7.9059075926070301</v>
      </c>
      <c r="BF200" s="172">
        <f ca="1">(VLOOKUP(BF$72,INDIRECT($C$5&amp;"生成成长"),2))/((VLOOKUP($B200,INDIRECT($B$5&amp;"生成成长"),4))/(VLOOKUP(BF$72,INDIRECT($C$5&amp;"生成成长"),5))*(VLOOKUP($B$5,标准坦克设计!$B$24:$U$30,MATCH("对"&amp;LEFT($C$5,2)&amp;"输出",标准坦克设计!$B$23:$U$23,0)))*(VLOOKUP($B200,INDIRECT($B$5&amp;"生成成长"),3))*(VLOOKUP($B$5,标准坦克设计!$B$14:$K$20,9)/30))</f>
        <v>8.6644578084016022</v>
      </c>
      <c r="BG200" s="172">
        <f ca="1">(VLOOKUP(BG$72,INDIRECT($C$5&amp;"生成成长"),2))/((VLOOKUP($B200,INDIRECT($B$5&amp;"生成成长"),4))/(VLOOKUP(BG$72,INDIRECT($C$5&amp;"生成成长"),5))*(VLOOKUP($B$5,标准坦克设计!$B$24:$U$30,MATCH("对"&amp;LEFT($C$5,2)&amp;"输出",标准坦克设计!$B$23:$U$23,0)))*(VLOOKUP($B200,INDIRECT($B$5&amp;"生成成长"),3))*(VLOOKUP($B$5,标准坦克设计!$B$14:$K$20,9)/30))</f>
        <v>9.4577507821714963</v>
      </c>
      <c r="BH200" s="172">
        <f ca="1">(VLOOKUP(BH$72,INDIRECT($C$5&amp;"生成成长"),2))/((VLOOKUP($B200,INDIRECT($B$5&amp;"生成成长"),4))/(VLOOKUP(BH$72,INDIRECT($C$5&amp;"生成成长"),5))*(VLOOKUP($B$5,标准坦克设计!$B$24:$U$30,MATCH("对"&amp;LEFT($C$5,2)&amp;"输出",标准坦克设计!$B$23:$U$23,0)))*(VLOOKUP($B200,INDIRECT($B$5&amp;"生成成长"),3))*(VLOOKUP($B$5,标准坦克设计!$B$14:$K$20,9)/30))</f>
        <v>4.5714606728518739</v>
      </c>
      <c r="BI200" s="172">
        <f ca="1">(VLOOKUP(BI$72,INDIRECT($C$5&amp;"生成成长"),2))/((VLOOKUP($B200,INDIRECT($B$5&amp;"生成成长"),4))/(VLOOKUP(BI$72,INDIRECT($C$5&amp;"生成成长"),5))*(VLOOKUP($B$5,标准坦克设计!$B$24:$U$30,MATCH("对"&amp;LEFT($C$5,2)&amp;"输出",标准坦克设计!$B$23:$U$23,0)))*(VLOOKUP($B200,INDIRECT($B$5&amp;"生成成长"),3))*(VLOOKUP($B$5,标准坦克设计!$B$14:$K$20,9)/30))</f>
        <v>5.152436792328122</v>
      </c>
      <c r="BJ200" s="172">
        <f ca="1">(VLOOKUP(BJ$72,INDIRECT($C$5&amp;"生成成长"),2))/((VLOOKUP($B200,INDIRECT($B$5&amp;"生成成长"),4))/(VLOOKUP(BJ$72,INDIRECT($C$5&amp;"生成成长"),5))*(VLOOKUP($B$5,标准坦克设计!$B$24:$U$30,MATCH("对"&amp;LEFT($C$5,2)&amp;"输出",标准坦克设计!$B$23:$U$23,0)))*(VLOOKUP($B200,INDIRECT($B$5&amp;"生成成长"),3))*(VLOOKUP($B$5,标准坦克设计!$B$14:$K$20,9)/30))</f>
        <v>5.768155669779695</v>
      </c>
      <c r="BK200" s="172">
        <f ca="1">(VLOOKUP(BK$72,INDIRECT($C$5&amp;"生成成长"),2))/((VLOOKUP($B200,INDIRECT($B$5&amp;"生成成长"),4))/(VLOOKUP(BK$72,INDIRECT($C$5&amp;"生成成长"),5))*(VLOOKUP($B$5,标准坦克设计!$B$24:$U$30,MATCH("对"&amp;LEFT($C$5,2)&amp;"输出",标准坦克设计!$B$23:$U$23,0)))*(VLOOKUP($B200,INDIRECT($B$5&amp;"生成成长"),3))*(VLOOKUP($B$5,标准坦克设计!$B$14:$K$20,9)/30))</f>
        <v>6.4186173052065936</v>
      </c>
      <c r="BL200" s="172">
        <f ca="1">(VLOOKUP(BL$72,INDIRECT($C$5&amp;"生成成长"),2))/((VLOOKUP($B200,INDIRECT($B$5&amp;"生成成长"),4))/(VLOOKUP(BL$72,INDIRECT($C$5&amp;"生成成长"),5))*(VLOOKUP($B$5,标准坦克设计!$B$24:$U$30,MATCH("对"&amp;LEFT($C$5,2)&amp;"输出",标准坦克设计!$B$23:$U$23,0)))*(VLOOKUP($B200,INDIRECT($B$5&amp;"生成成长"),3))*(VLOOKUP($B$5,标准坦克设计!$B$14:$K$20,9)/30))</f>
        <v>7.1038216986088134</v>
      </c>
      <c r="BM200" s="172">
        <f ca="1">(VLOOKUP(BM$72,INDIRECT($C$5&amp;"生成成长"),2))/((VLOOKUP($B200,INDIRECT($B$5&amp;"生成成长"),4))/(VLOOKUP(BM$72,INDIRECT($C$5&amp;"生成成长"),5))*(VLOOKUP($B$5,标准坦克设计!$B$24:$U$30,MATCH("对"&amp;LEFT($C$5,2)&amp;"输出",标准坦克设计!$B$23:$U$23,0)))*(VLOOKUP($B200,INDIRECT($B$5&amp;"生成成长"),3))*(VLOOKUP($B$5,标准坦克设计!$B$14:$K$20,9)/30))</f>
        <v>7.823768849986358</v>
      </c>
      <c r="BN200" s="172">
        <f ca="1">(VLOOKUP(BN$72,INDIRECT($C$5&amp;"生成成长"),2))/((VLOOKUP($B200,INDIRECT($B$5&amp;"生成成长"),4))/(VLOOKUP(BN$72,INDIRECT($C$5&amp;"生成成长"),5))*(VLOOKUP($B$5,标准坦克设计!$B$24:$U$30,MATCH("对"&amp;LEFT($C$5,2)&amp;"输出",标准坦克设计!$B$23:$U$23,0)))*(VLOOKUP($B200,INDIRECT($B$5&amp;"生成成长"),3))*(VLOOKUP($B$5,标准坦克设计!$B$14:$K$20,9)/30))</f>
        <v>8.5784587593392256</v>
      </c>
      <c r="BO200" s="172">
        <f ca="1">(VLOOKUP(BO$72,INDIRECT($C$5&amp;"生成成长"),2))/((VLOOKUP($B200,INDIRECT($B$5&amp;"生成成长"),4))/(VLOOKUP(BO$72,INDIRECT($C$5&amp;"生成成长"),5))*(VLOOKUP($B$5,标准坦克设计!$B$24:$U$30,MATCH("对"&amp;LEFT($C$5,2)&amp;"输出",标准坦克设计!$B$23:$U$23,0)))*(VLOOKUP($B200,INDIRECT($B$5&amp;"生成成长"),3))*(VLOOKUP($B$5,标准坦克设计!$B$14:$K$20,9)/30))</f>
        <v>9.367891426667418</v>
      </c>
      <c r="BP200" s="172">
        <f ca="1">(VLOOKUP(BP$72,INDIRECT($C$5&amp;"生成成长"),2))/((VLOOKUP($B200,INDIRECT($B$5&amp;"生成成长"),4))/(VLOOKUP(BP$72,INDIRECT($C$5&amp;"生成成长"),5))*(VLOOKUP($B$5,标准坦克设计!$B$24:$U$30,MATCH("对"&amp;LEFT($C$5,2)&amp;"输出",标准坦克设计!$B$23:$U$23,0)))*(VLOOKUP($B200,INDIRECT($B$5&amp;"生成成长"),3))*(VLOOKUP($B$5,标准坦克设计!$B$14:$K$20,9)/30))</f>
        <v>10.192066851970935</v>
      </c>
      <c r="BQ200" s="172">
        <f ca="1">(VLOOKUP(BQ$72,INDIRECT($C$5&amp;"生成成长"),2))/((VLOOKUP($B200,INDIRECT($B$5&amp;"生成成长"),4))/(VLOOKUP(BQ$72,INDIRECT($C$5&amp;"生成成长"),5))*(VLOOKUP($B$5,标准坦克设计!$B$24:$U$30,MATCH("对"&amp;LEFT($C$5,2)&amp;"输出",标准坦克设计!$B$23:$U$23,0)))*(VLOOKUP($B200,INDIRECT($B$5&amp;"生成成长"),3))*(VLOOKUP($B$5,标准坦克设计!$B$14:$K$20,9)/30))</f>
        <v>11.050985035249775</v>
      </c>
      <c r="BR200" s="172">
        <f ca="1">(VLOOKUP(BR$72,INDIRECT($C$5&amp;"生成成长"),2))/((VLOOKUP($B200,INDIRECT($B$5&amp;"生成成长"),4))/(VLOOKUP(BR$72,INDIRECT($C$5&amp;"生成成长"),5))*(VLOOKUP($B$5,标准坦克设计!$B$24:$U$30,MATCH("对"&amp;LEFT($C$5,2)&amp;"输出",标准坦克设计!$B$23:$U$23,0)))*(VLOOKUP($B200,INDIRECT($B$5&amp;"生成成长"),3))*(VLOOKUP($B$5,标准坦克设计!$B$14:$K$20,9)/30))</f>
        <v>12.046086251333124</v>
      </c>
      <c r="BS200" s="172">
        <f ca="1">(VLOOKUP(BS$72,INDIRECT($C$5&amp;"生成成长"),2))/((VLOOKUP($B200,INDIRECT($B$5&amp;"生成成长"),4))/(VLOOKUP(BS$72,INDIRECT($C$5&amp;"生成成长"),5))*(VLOOKUP($B$5,标准坦克设计!$B$24:$U$30,MATCH("对"&amp;LEFT($C$5,2)&amp;"输出",标准坦克设计!$B$23:$U$23,0)))*(VLOOKUP($B200,INDIRECT($B$5&amp;"生成成长"),3))*(VLOOKUP($B$5,标准坦克设计!$B$14:$K$20,9)/30))</f>
        <v>13.084079761213172</v>
      </c>
      <c r="BT200" s="172">
        <f ca="1">(VLOOKUP(BT$72,INDIRECT($C$5&amp;"生成成长"),2))/((VLOOKUP($B200,INDIRECT($B$5&amp;"生成成长"),4))/(VLOOKUP(BT$72,INDIRECT($C$5&amp;"生成成长"),5))*(VLOOKUP($B$5,标准坦克设计!$B$24:$U$30,MATCH("对"&amp;LEFT($C$5,2)&amp;"输出",标准坦克设计!$B$23:$U$23,0)))*(VLOOKUP($B200,INDIRECT($B$5&amp;"生成成长"),3))*(VLOOKUP($B$5,标准坦克设计!$B$14:$K$20,9)/30))</f>
        <v>14.164965564889915</v>
      </c>
      <c r="BU200" s="172">
        <f ca="1">(VLOOKUP(BU$72,INDIRECT($C$5&amp;"生成成长"),2))/((VLOOKUP($B200,INDIRECT($B$5&amp;"生成成长"),4))/(VLOOKUP(BU$72,INDIRECT($C$5&amp;"生成成长"),5))*(VLOOKUP($B$5,标准坦克设计!$B$24:$U$30,MATCH("对"&amp;LEFT($C$5,2)&amp;"输出",标准坦克设计!$B$23:$U$23,0)))*(VLOOKUP($B200,INDIRECT($B$5&amp;"生成成长"),3))*(VLOOKUP($B$5,标准坦克设计!$B$14:$K$20,9)/30))</f>
        <v>15.288743662363354</v>
      </c>
      <c r="BV200" s="172">
        <f ca="1">(VLOOKUP(BV$72,INDIRECT($C$5&amp;"生成成长"),2))/((VLOOKUP($B200,INDIRECT($B$5&amp;"生成成长"),4))/(VLOOKUP(BV$72,INDIRECT($C$5&amp;"生成成长"),5))*(VLOOKUP($B$5,标准坦克设计!$B$24:$U$30,MATCH("对"&amp;LEFT($C$5,2)&amp;"输出",标准坦克设计!$B$23:$U$23,0)))*(VLOOKUP($B200,INDIRECT($B$5&amp;"生成成长"),3))*(VLOOKUP($B$5,标准坦克设计!$B$14:$K$20,9)/30))</f>
        <v>16.45541405363349</v>
      </c>
      <c r="BW200" s="172">
        <f ca="1">(VLOOKUP(BW$72,INDIRECT($C$5&amp;"生成成长"),2))/((VLOOKUP($B200,INDIRECT($B$5&amp;"生成成长"),4))/(VLOOKUP(BW$72,INDIRECT($C$5&amp;"生成成长"),5))*(VLOOKUP($B$5,标准坦克设计!$B$24:$U$30,MATCH("对"&amp;LEFT($C$5,2)&amp;"输出",标准坦克设计!$B$23:$U$23,0)))*(VLOOKUP($B200,INDIRECT($B$5&amp;"生成成长"),3))*(VLOOKUP($B$5,标准坦克设计!$B$14:$K$20,9)/30))</f>
        <v>7.499503108883335</v>
      </c>
      <c r="BX200" s="172">
        <f ca="1">(VLOOKUP(BX$72,INDIRECT($C$5&amp;"生成成长"),2))/((VLOOKUP($B200,INDIRECT($B$5&amp;"生成成长"),4))/(VLOOKUP(BX$72,INDIRECT($C$5&amp;"生成成长"),5))*(VLOOKUP($B$5,标准坦克设计!$B$24:$U$30,MATCH("对"&amp;LEFT($C$5,2)&amp;"输出",标准坦克设计!$B$23:$U$23,0)))*(VLOOKUP($B200,INDIRECT($B$5&amp;"生成成长"),3))*(VLOOKUP($B$5,标准坦克设计!$B$14:$K$20,9)/30))</f>
        <v>8.3230351497798996</v>
      </c>
      <c r="BY200" s="172">
        <f ca="1">(VLOOKUP(BY$72,INDIRECT($C$5&amp;"生成成长"),2))/((VLOOKUP($B200,INDIRECT($B$5&amp;"生成成长"),4))/(VLOOKUP(BY$72,INDIRECT($C$5&amp;"生成成长"),5))*(VLOOKUP($B$5,标准坦克设计!$B$24:$U$30,MATCH("对"&amp;LEFT($C$5,2)&amp;"输出",标准坦克设计!$B$23:$U$23,0)))*(VLOOKUP($B200,INDIRECT($B$5&amp;"生成成长"),3))*(VLOOKUP($B$5,标准坦克设计!$B$14:$K$20,9)/30))</f>
        <v>9.1894594844731632</v>
      </c>
      <c r="BZ200" s="172">
        <f ca="1">(VLOOKUP(BZ$72,INDIRECT($C$5&amp;"生成成长"),2))/((VLOOKUP($B200,INDIRECT($B$5&amp;"生成成长"),4))/(VLOOKUP(BZ$72,INDIRECT($C$5&amp;"生成成长"),5))*(VLOOKUP($B$5,标准坦克设计!$B$24:$U$30,MATCH("对"&amp;LEFT($C$5,2)&amp;"输出",标准坦克设计!$B$23:$U$23,0)))*(VLOOKUP($B200,INDIRECT($B$5&amp;"生成成长"),3))*(VLOOKUP($B$5,标准坦克设计!$B$14:$K$20,9)/30))</f>
        <v>10.098776112963122</v>
      </c>
      <c r="CA200" s="172">
        <f ca="1">(VLOOKUP(CA$72,INDIRECT($C$5&amp;"生成成长"),2))/((VLOOKUP($B200,INDIRECT($B$5&amp;"生成成长"),4))/(VLOOKUP(CA$72,INDIRECT($C$5&amp;"生成成长"),5))*(VLOOKUP($B$5,标准坦克设计!$B$24:$U$30,MATCH("对"&amp;LEFT($C$5,2)&amp;"输出",标准坦克设计!$B$23:$U$23,0)))*(VLOOKUP($B200,INDIRECT($B$5&amp;"生成成长"),3))*(VLOOKUP($B$5,标准坦克设计!$B$14:$K$20,9)/30))</f>
        <v>11.050985035249775</v>
      </c>
      <c r="CB200" s="172">
        <f ca="1">(VLOOKUP(CB$72,INDIRECT($C$5&amp;"生成成长"),2))/((VLOOKUP($B200,INDIRECT($B$5&amp;"生成成长"),4))/(VLOOKUP(CB$72,INDIRECT($C$5&amp;"生成成长"),5))*(VLOOKUP($B$5,标准坦克设计!$B$24:$U$30,MATCH("对"&amp;LEFT($C$5,2)&amp;"输出",标准坦克设计!$B$23:$U$23,0)))*(VLOOKUP($B200,INDIRECT($B$5&amp;"生成成长"),3))*(VLOOKUP($B$5,标准坦克设计!$B$14:$K$20,9)/30))</f>
        <v>12.046086251333124</v>
      </c>
      <c r="CC200" s="172">
        <f ca="1">(VLOOKUP(CC$72,INDIRECT($C$5&amp;"生成成长"),2))/((VLOOKUP($B200,INDIRECT($B$5&amp;"生成成长"),4))/(VLOOKUP(CC$72,INDIRECT($C$5&amp;"生成成长"),5))*(VLOOKUP($B$5,标准坦克设计!$B$24:$U$30,MATCH("对"&amp;LEFT($C$5,2)&amp;"输出",标准坦克设计!$B$23:$U$23,0)))*(VLOOKUP($B200,INDIRECT($B$5&amp;"生成成长"),3))*(VLOOKUP($B$5,标准坦克设计!$B$14:$K$20,9)/30))</f>
        <v>13.084079761213172</v>
      </c>
      <c r="CD200" s="172">
        <f ca="1">(VLOOKUP(CD$72,INDIRECT($C$5&amp;"生成成长"),2))/((VLOOKUP($B200,INDIRECT($B$5&amp;"生成成长"),4))/(VLOOKUP(CD$72,INDIRECT($C$5&amp;"生成成长"),5))*(VLOOKUP($B$5,标准坦克设计!$B$24:$U$30,MATCH("对"&amp;LEFT($C$5,2)&amp;"输出",标准坦克设计!$B$23:$U$23,0)))*(VLOOKUP($B200,INDIRECT($B$5&amp;"生成成长"),3))*(VLOOKUP($B$5,标准坦克设计!$B$14:$K$20,9)/30))</f>
        <v>14.164965564889915</v>
      </c>
      <c r="CE200" s="172">
        <f ca="1">(VLOOKUP(CE$72,INDIRECT($C$5&amp;"生成成长"),2))/((VLOOKUP($B200,INDIRECT($B$5&amp;"生成成长"),4))/(VLOOKUP(CE$72,INDIRECT($C$5&amp;"生成成长"),5))*(VLOOKUP($B$5,标准坦克设计!$B$24:$U$30,MATCH("对"&amp;LEFT($C$5,2)&amp;"输出",标准坦克设计!$B$23:$U$23,0)))*(VLOOKUP($B200,INDIRECT($B$5&amp;"生成成长"),3))*(VLOOKUP($B$5,标准坦克设计!$B$14:$K$20,9)/30))</f>
        <v>15.288743662363354</v>
      </c>
      <c r="CF200" s="172">
        <f ca="1">(VLOOKUP(CF$72,INDIRECT($C$5&amp;"生成成长"),2))/((VLOOKUP($B200,INDIRECT($B$5&amp;"生成成长"),4))/(VLOOKUP(CF$72,INDIRECT($C$5&amp;"生成成长"),5))*(VLOOKUP($B$5,标准坦克设计!$B$24:$U$30,MATCH("对"&amp;LEFT($C$5,2)&amp;"输出",标准坦克设计!$B$23:$U$23,0)))*(VLOOKUP($B200,INDIRECT($B$5&amp;"生成成长"),3))*(VLOOKUP($B$5,标准坦克设计!$B$14:$K$20,9)/30))</f>
        <v>16.45541405363349</v>
      </c>
      <c r="CG200" s="172">
        <f ca="1">(VLOOKUP(CG$72,INDIRECT($C$5&amp;"生成成长"),2))/((VLOOKUP($B200,INDIRECT($B$5&amp;"生成成长"),4))/(VLOOKUP(CG$72,INDIRECT($C$5&amp;"生成成长"),5))*(VLOOKUP($B$5,标准坦克设计!$B$24:$U$30,MATCH("对"&amp;LEFT($C$5,2)&amp;"输出",标准坦克设计!$B$23:$U$23,0)))*(VLOOKUP($B200,INDIRECT($B$5&amp;"生成成长"),3))*(VLOOKUP($B$5,标准坦克设计!$B$14:$K$20,9)/30))</f>
        <v>17.664976738700318</v>
      </c>
      <c r="CH200" s="172">
        <f ca="1">(VLOOKUP(CH$72,INDIRECT($C$5&amp;"生成成长"),2))/((VLOOKUP($B200,INDIRECT($B$5&amp;"生成成长"),4))/(VLOOKUP(CH$72,INDIRECT($C$5&amp;"生成成长"),5))*(VLOOKUP($B$5,标准坦克设计!$B$24:$U$30,MATCH("对"&amp;LEFT($C$5,2)&amp;"输出",标准坦克设计!$B$23:$U$23,0)))*(VLOOKUP($B200,INDIRECT($B$5&amp;"生成成长"),3))*(VLOOKUP($B$5,标准坦克设计!$B$14:$K$20,9)/30))</f>
        <v>18.917431717563844</v>
      </c>
      <c r="CI200" s="172">
        <f ca="1">(VLOOKUP(CI$72,INDIRECT($C$5&amp;"生成成长"),2))/((VLOOKUP($B200,INDIRECT($B$5&amp;"生成成长"),4))/(VLOOKUP(CI$72,INDIRECT($C$5&amp;"生成成长"),5))*(VLOOKUP($B$5,标准坦克设计!$B$24:$U$30,MATCH("对"&amp;LEFT($C$5,2)&amp;"输出",标准坦克设计!$B$23:$U$23,0)))*(VLOOKUP($B200,INDIRECT($B$5&amp;"生成成长"),3))*(VLOOKUP($B$5,标准坦克设计!$B$14:$K$20,9)/30))</f>
        <v>20.344672793648911</v>
      </c>
      <c r="CJ200" s="172">
        <f ca="1">(VLOOKUP(CJ$72,INDIRECT($C$5&amp;"生成成长"),2))/((VLOOKUP($B200,INDIRECT($B$5&amp;"生成成长"),4))/(VLOOKUP(CJ$72,INDIRECT($C$5&amp;"生成成长"),5))*(VLOOKUP($B$5,标准坦克设计!$B$24:$U$30,MATCH("对"&amp;LEFT($C$5,2)&amp;"输出",标准坦克设计!$B$23:$U$23,0)))*(VLOOKUP($B200,INDIRECT($B$5&amp;"生成成长"),3))*(VLOOKUP($B$5,标准坦克设计!$B$14:$K$20,9)/30))</f>
        <v>21.823813545227974</v>
      </c>
      <c r="CK200" s="172">
        <f ca="1">(VLOOKUP(CK$72,INDIRECT($C$5&amp;"生成成长"),2))/((VLOOKUP($B200,INDIRECT($B$5&amp;"生成成长"),4))/(VLOOKUP(CK$72,INDIRECT($C$5&amp;"生成成长"),5))*(VLOOKUP($B$5,标准坦克设计!$B$24:$U$30,MATCH("对"&amp;LEFT($C$5,2)&amp;"输出",标准坦克设计!$B$23:$U$23,0)))*(VLOOKUP($B200,INDIRECT($B$5&amp;"生成成长"),3))*(VLOOKUP($B$5,标准坦克设计!$B$14:$K$20,9)/30))</f>
        <v>23.35485397230104</v>
      </c>
      <c r="CL200" s="172">
        <f ca="1">(VLOOKUP(CL$72,INDIRECT($C$5&amp;"生成成长"),2))/((VLOOKUP($B200,INDIRECT($B$5&amp;"生成成长"),4))/(VLOOKUP(CL$72,INDIRECT($C$5&amp;"生成成长"),5))*(VLOOKUP($B$5,标准坦克设计!$B$24:$U$30,MATCH("对"&amp;LEFT($C$5,2)&amp;"输出",标准坦克设计!$B$23:$U$23,0)))*(VLOOKUP($B200,INDIRECT($B$5&amp;"生成成长"),3))*(VLOOKUP($B$5,标准坦克设计!$B$14:$K$20,9)/30))</f>
        <v>24.937794074868112</v>
      </c>
      <c r="CM200" s="172">
        <f ca="1">(VLOOKUP(CM$72,INDIRECT($C$5&amp;"生成成长"),2))/((VLOOKUP($B200,INDIRECT($B$5&amp;"生成成长"),4))/(VLOOKUP(CM$72,INDIRECT($C$5&amp;"生成成长"),5))*(VLOOKUP($B$5,标准坦克设计!$B$24:$U$30,MATCH("对"&amp;LEFT($C$5,2)&amp;"输出",标准坦克设计!$B$23:$U$23,0)))*(VLOOKUP($B200,INDIRECT($B$5&amp;"生成成长"),3))*(VLOOKUP($B$5,标准坦克设计!$B$14:$K$20,9)/30))</f>
        <v>26.572633852929187</v>
      </c>
      <c r="CN200" s="172">
        <f ca="1">(VLOOKUP(CN$72,INDIRECT($C$5&amp;"生成成长"),2))/((VLOOKUP($B200,INDIRECT($B$5&amp;"生成成长"),4))/(VLOOKUP(CN$72,INDIRECT($C$5&amp;"生成成长"),5))*(VLOOKUP($B$5,标准坦克设计!$B$24:$U$30,MATCH("对"&amp;LEFT($C$5,2)&amp;"输出",标准坦克设计!$B$23:$U$23,0)))*(VLOOKUP($B200,INDIRECT($B$5&amp;"生成成长"),3))*(VLOOKUP($B$5,标准坦克设计!$B$14:$K$20,9)/30))</f>
        <v>28.25937330648426</v>
      </c>
      <c r="CO200" s="172">
        <f ca="1">(VLOOKUP(CO$72,INDIRECT($C$5&amp;"生成成长"),2))/((VLOOKUP($B200,INDIRECT($B$5&amp;"生成成长"),4))/(VLOOKUP(CO$72,INDIRECT($C$5&amp;"生成成长"),5))*(VLOOKUP($B$5,标准坦克设计!$B$24:$U$30,MATCH("对"&amp;LEFT($C$5,2)&amp;"输出",标准坦克设计!$B$23:$U$23,0)))*(VLOOKUP($B200,INDIRECT($B$5&amp;"生成成长"),3))*(VLOOKUP($B$5,标准坦克设计!$B$14:$K$20,9)/30))</f>
        <v>12.663735282005549</v>
      </c>
      <c r="CP200" s="172">
        <f ca="1">(VLOOKUP(CP$72,INDIRECT($C$5&amp;"生成成长"),2))/((VLOOKUP($B200,INDIRECT($B$5&amp;"生成成长"),4))/(VLOOKUP(CP$72,INDIRECT($C$5&amp;"生成成长"),5))*(VLOOKUP($B$5,标准坦克设计!$B$24:$U$30,MATCH("对"&amp;LEFT($C$5,2)&amp;"输出",标准坦克设计!$B$23:$U$23,0)))*(VLOOKUP($B200,INDIRECT($B$5&amp;"生成成长"),3))*(VLOOKUP($B$5,标准坦克设计!$B$14:$K$20,9)/30))</f>
        <v>13.836196132938239</v>
      </c>
      <c r="CQ200" s="172">
        <f ca="1">(VLOOKUP(CQ$72,INDIRECT($C$5&amp;"生成成长"),2))/((VLOOKUP($B200,INDIRECT($B$5&amp;"生成成长"),4))/(VLOOKUP(CQ$72,INDIRECT($C$5&amp;"生成成长"),5))*(VLOOKUP($B$5,标准坦克设计!$B$24:$U$30,MATCH("对"&amp;LEFT($C$5,2)&amp;"输出",标准坦克设计!$B$23:$U$23,0)))*(VLOOKUP($B200,INDIRECT($B$5&amp;"生成成长"),3))*(VLOOKUP($B$5,标准坦克设计!$B$14:$K$20,9)/30))</f>
        <v>15.060556659364929</v>
      </c>
      <c r="CR200" s="172">
        <f ca="1">(VLOOKUP(CR$72,INDIRECT($C$5&amp;"生成成长"),2))/((VLOOKUP($B200,INDIRECT($B$5&amp;"生成成长"),4))/(VLOOKUP(CR$72,INDIRECT($C$5&amp;"生成成长"),5))*(VLOOKUP($B$5,标准坦克设计!$B$24:$U$30,MATCH("对"&amp;LEFT($C$5,2)&amp;"输出",标准坦克设计!$B$23:$U$23,0)))*(VLOOKUP($B200,INDIRECT($B$5&amp;"生成成长"),3))*(VLOOKUP($B$5,标准坦克设计!$B$14:$K$20,9)/30))</f>
        <v>16.336816861285627</v>
      </c>
      <c r="CS200" s="172">
        <f ca="1">(VLOOKUP(CS$72,INDIRECT($C$5&amp;"生成成长"),2))/((VLOOKUP($B200,INDIRECT($B$5&amp;"生成成长"),4))/(VLOOKUP(CS$72,INDIRECT($C$5&amp;"生成成长"),5))*(VLOOKUP($B$5,标准坦克设计!$B$24:$U$30,MATCH("对"&amp;LEFT($C$5,2)&amp;"输出",标准坦克设计!$B$23:$U$23,0)))*(VLOOKUP($B200,INDIRECT($B$5&amp;"生成成长"),3))*(VLOOKUP($B$5,标准坦克设计!$B$14:$K$20,9)/30))</f>
        <v>17.664976738700318</v>
      </c>
      <c r="CT200" s="172">
        <f ca="1">(VLOOKUP(CT$72,INDIRECT($C$5&amp;"生成成长"),2))/((VLOOKUP($B200,INDIRECT($B$5&amp;"生成成长"),4))/(VLOOKUP(CT$72,INDIRECT($C$5&amp;"生成成长"),5))*(VLOOKUP($B$5,标准坦克设计!$B$24:$U$30,MATCH("对"&amp;LEFT($C$5,2)&amp;"输出",标准坦克设计!$B$23:$U$23,0)))*(VLOOKUP($B200,INDIRECT($B$5&amp;"生成成长"),3))*(VLOOKUP($B$5,标准坦克设计!$B$14:$K$20,9)/30))</f>
        <v>19.045036291609016</v>
      </c>
      <c r="CU200" s="172">
        <f ca="1">(VLOOKUP(CU$72,INDIRECT($C$5&amp;"生成成长"),2))/((VLOOKUP($B200,INDIRECT($B$5&amp;"生成成长"),4))/(VLOOKUP(CU$72,INDIRECT($C$5&amp;"生成成长"),5))*(VLOOKUP($B$5,标准坦克设计!$B$24:$U$30,MATCH("对"&amp;LEFT($C$5,2)&amp;"输出",标准坦克设计!$B$23:$U$23,0)))*(VLOOKUP($B200,INDIRECT($B$5&amp;"生成成长"),3))*(VLOOKUP($B$5,标准坦克设计!$B$14:$K$20,9)/30))</f>
        <v>20.476995520011716</v>
      </c>
      <c r="CV200" s="172">
        <f ca="1">(VLOOKUP(CV$72,INDIRECT($C$5&amp;"生成成长"),2))/((VLOOKUP($B200,INDIRECT($B$5&amp;"生成成长"),4))/(VLOOKUP(CV$72,INDIRECT($C$5&amp;"生成成长"),5))*(VLOOKUP($B$5,标准坦克设计!$B$24:$U$30,MATCH("对"&amp;LEFT($C$5,2)&amp;"输出",标准坦克设计!$B$23:$U$23,0)))*(VLOOKUP($B200,INDIRECT($B$5&amp;"生成成长"),3))*(VLOOKUP($B$5,标准坦克设计!$B$14:$K$20,9)/30))</f>
        <v>21.960854423908419</v>
      </c>
      <c r="CW200" s="172">
        <f ca="1">(VLOOKUP(CW$72,INDIRECT($C$5&amp;"生成成长"),2))/((VLOOKUP($B200,INDIRECT($B$5&amp;"生成成长"),4))/(VLOOKUP(CW$72,INDIRECT($C$5&amp;"生成成长"),5))*(VLOOKUP($B$5,标准坦克设计!$B$24:$U$30,MATCH("对"&amp;LEFT($C$5,2)&amp;"输出",标准坦克设计!$B$23:$U$23,0)))*(VLOOKUP($B200,INDIRECT($B$5&amp;"生成成长"),3))*(VLOOKUP($B$5,标准坦克设计!$B$14:$K$20,9)/30))</f>
        <v>23.496613003299125</v>
      </c>
      <c r="CX200" s="172">
        <f ca="1">(VLOOKUP(CX$72,INDIRECT($C$5&amp;"生成成长"),2))/((VLOOKUP($B200,INDIRECT($B$5&amp;"生成成长"),4))/(VLOOKUP(CX$72,INDIRECT($C$5&amp;"生成成长"),5))*(VLOOKUP($B$5,标准坦克设计!$B$24:$U$30,MATCH("对"&amp;LEFT($C$5,2)&amp;"输出",标准坦克设计!$B$23:$U$23,0)))*(VLOOKUP($B200,INDIRECT($B$5&amp;"生成成长"),3))*(VLOOKUP($B$5,标准坦克设计!$B$14:$K$20,9)/30))</f>
        <v>25.084271258183829</v>
      </c>
      <c r="CY200" s="172">
        <f ca="1">(VLOOKUP(CY$72,INDIRECT($C$5&amp;"生成成长"),2))/((VLOOKUP($B200,INDIRECT($B$5&amp;"生成成长"),4))/(VLOOKUP(CY$72,INDIRECT($C$5&amp;"生成成长"),5))*(VLOOKUP($B$5,标准坦克设计!$B$24:$U$30,MATCH("对"&amp;LEFT($C$5,2)&amp;"输出",标准坦克设计!$B$23:$U$23,0)))*(VLOOKUP($B200,INDIRECT($B$5&amp;"生成成长"),3))*(VLOOKUP($B$5,标准坦克设计!$B$14:$K$20,9)/30))</f>
        <v>26.723829188562544</v>
      </c>
      <c r="CZ200" s="172">
        <f ca="1">(VLOOKUP(CZ$72,INDIRECT($C$5&amp;"生成成长"),2))/((VLOOKUP($B200,INDIRECT($B$5&amp;"生成成长"),4))/(VLOOKUP(CZ$72,INDIRECT($C$5&amp;"生成成长"),5))*(VLOOKUP($B$5,标准坦克设计!$B$24:$U$30,MATCH("对"&amp;LEFT($C$5,2)&amp;"输出",标准坦克设计!$B$23:$U$23,0)))*(VLOOKUP($B200,INDIRECT($B$5&amp;"生成成长"),3))*(VLOOKUP($B$5,标准坦克设计!$B$14:$K$20,9)/30))</f>
        <v>28.415286794435254</v>
      </c>
      <c r="DA200" s="172">
        <f ca="1">(VLOOKUP(DA$72,INDIRECT($C$5&amp;"生成成长"),2))/((VLOOKUP($B200,INDIRECT($B$5&amp;"生成成长"),4))/(VLOOKUP(DA$72,INDIRECT($C$5&amp;"生成成长"),5))*(VLOOKUP($B$5,标准坦克设计!$B$24:$U$30,MATCH("对"&amp;LEFT($C$5,2)&amp;"输出",标准坦克设计!$B$23:$U$23,0)))*(VLOOKUP($B200,INDIRECT($B$5&amp;"生成成长"),3))*(VLOOKUP($B$5,标准坦克设计!$B$14:$K$20,9)/30))</f>
        <v>30.158644075801966</v>
      </c>
      <c r="DB200" s="172">
        <f ca="1">(VLOOKUP(DB$72,INDIRECT($C$5&amp;"生成成长"),2))/((VLOOKUP($B200,INDIRECT($B$5&amp;"生成成长"),4))/(VLOOKUP(DB$72,INDIRECT($C$5&amp;"生成成长"),5))*(VLOOKUP($B$5,标准坦克设计!$B$24:$U$30,MATCH("对"&amp;LEFT($C$5,2)&amp;"输出",标准坦克设计!$B$23:$U$23,0)))*(VLOOKUP($B200,INDIRECT($B$5&amp;"生成成长"),3))*(VLOOKUP($B$5,标准坦克设计!$B$14:$K$20,9)/30))</f>
        <v>31.953901032662689</v>
      </c>
      <c r="DC200" s="172">
        <f ca="1">(VLOOKUP(DC$72,INDIRECT($C$5&amp;"生成成长"),2))/((VLOOKUP($B200,INDIRECT($B$5&amp;"生成成长"),4))/(VLOOKUP(DC$72,INDIRECT($C$5&amp;"生成成长"),5))*(VLOOKUP($B$5,标准坦克设计!$B$24:$U$30,MATCH("对"&amp;LEFT($C$5,2)&amp;"输出",标准坦克设计!$B$23:$U$23,0)))*(VLOOKUP($B200,INDIRECT($B$5&amp;"生成成长"),3))*(VLOOKUP($B$5,标准坦克设计!$B$14:$K$20,9)/30))</f>
        <v>33.971554532859273</v>
      </c>
      <c r="DD200" s="172">
        <f ca="1">(VLOOKUP(DD$72,INDIRECT($C$5&amp;"生成成长"),2))/((VLOOKUP($B200,INDIRECT($B$5&amp;"生成成长"),4))/(VLOOKUP(DD$72,INDIRECT($C$5&amp;"生成成长"),5))*(VLOOKUP($B$5,标准坦克设计!$B$24:$U$30,MATCH("对"&amp;LEFT($C$5,2)&amp;"输出",标准坦克设计!$B$23:$U$23,0)))*(VLOOKUP($B200,INDIRECT($B$5&amp;"生成成长"),3))*(VLOOKUP($B$5,标准坦克设计!$B$14:$K$20,9)/30))</f>
        <v>36.050972936123095</v>
      </c>
      <c r="DE200" s="172">
        <f ca="1">(VLOOKUP(DE$72,INDIRECT($C$5&amp;"生成成长"),2))/((VLOOKUP($B200,INDIRECT($B$5&amp;"生成成长"),4))/(VLOOKUP(DE$72,INDIRECT($C$5&amp;"生成成长"),5))*(VLOOKUP($B$5,标准坦克设计!$B$24:$U$30,MATCH("对"&amp;LEFT($C$5,2)&amp;"输出",标准坦克设计!$B$23:$U$23,0)))*(VLOOKUP($B200,INDIRECT($B$5&amp;"生成成长"),3))*(VLOOKUP($B$5,标准坦克设计!$B$14:$K$20,9)/30))</f>
        <v>38.192156242454175</v>
      </c>
      <c r="DF200" s="172">
        <f ca="1">(VLOOKUP(DF$72,INDIRECT($C$5&amp;"生成成长"),2))/((VLOOKUP($B200,INDIRECT($B$5&amp;"生成成长"),4))/(VLOOKUP(DF$72,INDIRECT($C$5&amp;"生成成长"),5))*(VLOOKUP($B$5,标准坦克设计!$B$24:$U$30,MATCH("对"&amp;LEFT($C$5,2)&amp;"输出",标准坦克设计!$B$23:$U$23,0)))*(VLOOKUP($B200,INDIRECT($B$5&amp;"生成成长"),3))*(VLOOKUP($B$5,标准坦克设计!$B$14:$K$20,9)/30))</f>
        <v>40.39510445185249</v>
      </c>
      <c r="DG200" s="172">
        <f ca="1">(VLOOKUP(DG$72,INDIRECT($C$5&amp;"生成成长"),2))/((VLOOKUP($B200,INDIRECT($B$5&amp;"生成成长"),4))/(VLOOKUP(DG$72,INDIRECT($C$5&amp;"生成成长"),5))*(VLOOKUP($B$5,标准坦克设计!$B$24:$U$30,MATCH("对"&amp;LEFT($C$5,2)&amp;"输出",标准坦克设计!$B$23:$U$23,0)))*(VLOOKUP($B200,INDIRECT($B$5&amp;"生成成长"),3))*(VLOOKUP($B$5,标准坦克设计!$B$14:$K$20,9)/30))</f>
        <v>42.65981756431804</v>
      </c>
      <c r="DH200" s="172">
        <f ca="1">(VLOOKUP(DH$72,INDIRECT($C$5&amp;"生成成长"),2))/((VLOOKUP($B200,INDIRECT($B$5&amp;"生成成长"),4))/(VLOOKUP(DH$72,INDIRECT($C$5&amp;"生成成长"),5))*(VLOOKUP($B$5,标准坦克设计!$B$24:$U$30,MATCH("对"&amp;LEFT($C$5,2)&amp;"输出",标准坦克设计!$B$23:$U$23,0)))*(VLOOKUP($B200,INDIRECT($B$5&amp;"生成成长"),3))*(VLOOKUP($B$5,标准坦克设计!$B$14:$K$20,9)/30))</f>
        <v>44.986295579850825</v>
      </c>
      <c r="DI200" s="172">
        <f ca="1">(VLOOKUP(DI$72,INDIRECT($C$5&amp;"生成成长"),2))/((VLOOKUP($B200,INDIRECT($B$5&amp;"生成成长"),4))/(VLOOKUP(DI$72,INDIRECT($C$5&amp;"生成成长"),5))*(VLOOKUP($B$5,标准坦克设计!$B$24:$U$30,MATCH("对"&amp;LEFT($C$5,2)&amp;"输出",标准坦克设计!$B$23:$U$23,0)))*(VLOOKUP($B200,INDIRECT($B$5&amp;"生成成长"),3))*(VLOOKUP($B$5,标准坦克设计!$B$14:$K$20,9)/30))</f>
        <v>47.374538498450882</v>
      </c>
      <c r="DJ200" s="172">
        <f ca="1">(VLOOKUP(DJ$72,INDIRECT($C$5&amp;"生成成长"),2))/((VLOOKUP($B200,INDIRECT($B$5&amp;"生成成长"),4))/(VLOOKUP(DJ$72,INDIRECT($C$5&amp;"生成成长"),5))*(VLOOKUP($B$5,标准坦克设计!$B$24:$U$30,MATCH("对"&amp;LEFT($C$5,2)&amp;"输出",标准坦克设计!$B$23:$U$23,0)))*(VLOOKUP($B200,INDIRECT($B$5&amp;"生成成长"),3))*(VLOOKUP($B$5,标准坦克设计!$B$14:$K$20,9)/30))</f>
        <v>4.7612590729022539</v>
      </c>
      <c r="DK200" s="172">
        <f ca="1">(VLOOKUP(DK$72,INDIRECT($C$5&amp;"生成成长"),2))/((VLOOKUP($B200,INDIRECT($B$5&amp;"生成成长"),4))/(VLOOKUP(DK$72,INDIRECT($C$5&amp;"生成成长"),5))*(VLOOKUP($B$5,标准坦克设计!$B$24:$U$30,MATCH("对"&amp;LEFT($C$5,2)&amp;"输出",标准坦克设计!$B$23:$U$23,0)))*(VLOOKUP($B200,INDIRECT($B$5&amp;"生成成长"),3))*(VLOOKUP($B$5,标准坦克设计!$B$14:$K$20,9)/30))</f>
        <v>5.3538161117036109</v>
      </c>
      <c r="DL200" s="172">
        <f ca="1">(VLOOKUP(DL$72,INDIRECT($C$5&amp;"生成成长"),2))/((VLOOKUP($B200,INDIRECT($B$5&amp;"生成成长"),4))/(VLOOKUP(DL$72,INDIRECT($C$5&amp;"生成成长"),5))*(VLOOKUP($B$5,标准坦克设计!$B$24:$U$30,MATCH("对"&amp;LEFT($C$5,2)&amp;"输出",标准坦克设计!$B$23:$U$23,0)))*(VLOOKUP($B200,INDIRECT($B$5&amp;"生成成长"),3))*(VLOOKUP($B$5,标准坦克设计!$B$14:$K$20,9)/30))</f>
        <v>5.9811159084802927</v>
      </c>
      <c r="DM200" s="172">
        <f ca="1">(VLOOKUP(DM$72,INDIRECT($C$5&amp;"生成成长"),2))/((VLOOKUP($B200,INDIRECT($B$5&amp;"生成成长"),4))/(VLOOKUP(DM$72,INDIRECT($C$5&amp;"生成成长"),5))*(VLOOKUP($B$5,标准坦克设计!$B$24:$U$30,MATCH("对"&amp;LEFT($C$5,2)&amp;"输出",标准坦克设计!$B$23:$U$23,0)))*(VLOOKUP($B200,INDIRECT($B$5&amp;"生成成长"),3))*(VLOOKUP($B$5,标准坦克设计!$B$14:$K$20,9)/30))</f>
        <v>6.6431584632322966</v>
      </c>
      <c r="DN200" s="172">
        <f ca="1">(VLOOKUP(DN$72,INDIRECT($C$5&amp;"生成成长"),2))/((VLOOKUP($B200,INDIRECT($B$5&amp;"生成成长"),4))/(VLOOKUP(DN$72,INDIRECT($C$5&amp;"生成成长"),5))*(VLOOKUP($B$5,标准坦克设计!$B$24:$U$30,MATCH("对"&amp;LEFT($C$5,2)&amp;"输出",标准坦克设计!$B$23:$U$23,0)))*(VLOOKUP($B200,INDIRECT($B$5&amp;"生成成长"),3))*(VLOOKUP($B$5,标准坦克设计!$B$14:$K$20,9)/30))</f>
        <v>7.3399437759596253</v>
      </c>
      <c r="DO200" s="172">
        <f ca="1">(VLOOKUP(DO$72,INDIRECT($C$5&amp;"生成成长"),2))/((VLOOKUP($B200,INDIRECT($B$5&amp;"生成成长"),4))/(VLOOKUP(DO$72,INDIRECT($C$5&amp;"生成成长"),5))*(VLOOKUP($B$5,标准坦克设计!$B$24:$U$30,MATCH("对"&amp;LEFT($C$5,2)&amp;"输出",标准坦克设计!$B$23:$U$23,0)))*(VLOOKUP($B200,INDIRECT($B$5&amp;"生成成长"),3))*(VLOOKUP($B$5,标准坦克设计!$B$14:$K$20,9)/30))</f>
        <v>8.0714718466622788</v>
      </c>
      <c r="DP200" s="172">
        <f ca="1">(VLOOKUP(DP$72,INDIRECT($C$5&amp;"生成成长"),2))/((VLOOKUP($B200,INDIRECT($B$5&amp;"生成成长"),4))/(VLOOKUP(DP$72,INDIRECT($C$5&amp;"生成成长"),5))*(VLOOKUP($B$5,标准坦克设计!$B$24:$U$30,MATCH("对"&amp;LEFT($C$5,2)&amp;"输出",标准坦克设计!$B$23:$U$23,0)))*(VLOOKUP($B200,INDIRECT($B$5&amp;"生成成长"),3))*(VLOOKUP($B$5,标准坦克设计!$B$14:$K$20,9)/30))</f>
        <v>8.8377426753402535</v>
      </c>
      <c r="DQ200" s="172">
        <f ca="1">(VLOOKUP(DQ$72,INDIRECT($C$5&amp;"生成成长"),2))/((VLOOKUP($B200,INDIRECT($B$5&amp;"生成成长"),4))/(VLOOKUP(DQ$72,INDIRECT($C$5&amp;"生成成长"),5))*(VLOOKUP($B$5,标准坦克设计!$B$24:$U$30,MATCH("对"&amp;LEFT($C$5,2)&amp;"输出",标准坦克设计!$B$23:$U$23,0)))*(VLOOKUP($B200,INDIRECT($B$5&amp;"生成成长"),3))*(VLOOKUP($B$5,标准坦克设计!$B$14:$K$20,9)/30))</f>
        <v>9.6387562619935565</v>
      </c>
      <c r="DR200" s="172">
        <f ca="1">(VLOOKUP(DR$72,INDIRECT($C$5&amp;"生成成长"),2))/((VLOOKUP($B200,INDIRECT($B$5&amp;"生成成长"),4))/(VLOOKUP(DR$72,INDIRECT($C$5&amp;"生成成长"),5))*(VLOOKUP($B$5,标准坦克设计!$B$24:$U$30,MATCH("对"&amp;LEFT($C$5,2)&amp;"输出",标准坦克设计!$B$23:$U$23,0)))*(VLOOKUP($B200,INDIRECT($B$5&amp;"生成成长"),3))*(VLOOKUP($B$5,标准坦克设计!$B$14:$K$20,9)/30))</f>
        <v>10.474512606622179</v>
      </c>
      <c r="DS200" s="172">
        <f ca="1">(VLOOKUP(DS$72,INDIRECT($C$5&amp;"生成成长"),2))/((VLOOKUP($B200,INDIRECT($B$5&amp;"生成成长"),4))/(VLOOKUP(DS$72,INDIRECT($C$5&amp;"生成成长"),5))*(VLOOKUP($B$5,标准坦克设计!$B$24:$U$30,MATCH("对"&amp;LEFT($C$5,2)&amp;"输出",标准坦克设计!$B$23:$U$23,0)))*(VLOOKUP($B200,INDIRECT($B$5&amp;"生成成长"),3))*(VLOOKUP($B$5,标准坦克设计!$B$14:$K$20,9)/30))</f>
        <v>11.345011709226128</v>
      </c>
      <c r="DT200" s="172">
        <f ca="1">(VLOOKUP(DT$72,INDIRECT($C$5&amp;"生成成长"),2))/((VLOOKUP($B200,INDIRECT($B$5&amp;"生成成长"),4))/(VLOOKUP(DT$72,INDIRECT($C$5&amp;"生成成长"),5))*(VLOOKUP($B$5,标准坦克设计!$B$24:$U$30,MATCH("对"&amp;LEFT($C$5,2)&amp;"输出",标准坦克设计!$B$23:$U$23,0)))*(VLOOKUP($B200,INDIRECT($B$5&amp;"生成成长"),3))*(VLOOKUP($B$5,标准坦克设计!$B$14:$K$20,9)/30))</f>
        <v>12.456136580029542</v>
      </c>
      <c r="DU200" s="172">
        <f ca="1">(VLOOKUP(DU$72,INDIRECT($C$5&amp;"生成成长"),2))/((VLOOKUP($B200,INDIRECT($B$5&amp;"生成成长"),4))/(VLOOKUP(DU$72,INDIRECT($C$5&amp;"生成成长"),5))*(VLOOKUP($B$5,标准坦克设计!$B$24:$U$30,MATCH("对"&amp;LEFT($C$5,2)&amp;"输出",标准坦克设计!$B$23:$U$23,0)))*(VLOOKUP($B200,INDIRECT($B$5&amp;"生成成长"),3))*(VLOOKUP($B$5,标准坦克设计!$B$14:$K$20,9)/30))</f>
        <v>13.619161126326954</v>
      </c>
      <c r="DV200" s="172">
        <f ca="1">(VLOOKUP(DV$72,INDIRECT($C$5&amp;"生成成长"),2))/((VLOOKUP($B200,INDIRECT($B$5&amp;"生成成长"),4))/(VLOOKUP(DV$72,INDIRECT($C$5&amp;"生成成长"),5))*(VLOOKUP($B$5,标准坦克设计!$B$24:$U$30,MATCH("对"&amp;LEFT($C$5,2)&amp;"输出",标准坦克设计!$B$23:$U$23,0)))*(VLOOKUP($B200,INDIRECT($B$5&amp;"生成成长"),3))*(VLOOKUP($B$5,标准坦克设计!$B$14:$K$20,9)/30))</f>
        <v>14.834085348118375</v>
      </c>
      <c r="DW200" s="172">
        <f ca="1">(VLOOKUP(DW$72,INDIRECT($C$5&amp;"生成成长"),2))/((VLOOKUP($B200,INDIRECT($B$5&amp;"生成成长"),4))/(VLOOKUP(DW$72,INDIRECT($C$5&amp;"生成成长"),5))*(VLOOKUP($B$5,标准坦克设计!$B$24:$U$30,MATCH("对"&amp;LEFT($C$5,2)&amp;"输出",标准坦克设计!$B$23:$U$23,0)))*(VLOOKUP($B200,INDIRECT($B$5&amp;"生成成长"),3))*(VLOOKUP($B$5,标准坦克设计!$B$14:$K$20,9)/30))</f>
        <v>16.100909245403791</v>
      </c>
      <c r="DX200" s="172">
        <f ca="1">(VLOOKUP(DX$72,INDIRECT($C$5&amp;"生成成长"),2))/((VLOOKUP($B200,INDIRECT($B$5&amp;"生成成长"),4))/(VLOOKUP(DX$72,INDIRECT($C$5&amp;"生成成长"),5))*(VLOOKUP($B$5,标准坦克设计!$B$24:$U$30,MATCH("对"&amp;LEFT($C$5,2)&amp;"输出",标准坦克设计!$B$23:$U$23,0)))*(VLOOKUP($B200,INDIRECT($B$5&amp;"生成成长"),3))*(VLOOKUP($B$5,标准坦克设计!$B$14:$K$20,9)/30))</f>
        <v>17.419632818183217</v>
      </c>
      <c r="DY200" s="172">
        <f ca="1">(VLOOKUP(DY$72,INDIRECT($C$5&amp;"生成成长"),2))/((VLOOKUP($B200,INDIRECT($B$5&amp;"生成成长"),4))/(VLOOKUP(DY$72,INDIRECT($C$5&amp;"生成成长"),5))*(VLOOKUP($B$5,标准坦克设计!$B$24:$U$30,MATCH("对"&amp;LEFT($C$5,2)&amp;"输出",标准坦克设计!$B$23:$U$23,0)))*(VLOOKUP($B200,INDIRECT($B$5&amp;"生成成长"),3))*(VLOOKUP($B$5,标准坦克设计!$B$14:$K$20,9)/30))</f>
        <v>7.823768849986358</v>
      </c>
      <c r="DZ200" s="172">
        <f ca="1">(VLOOKUP(DZ$72,INDIRECT($C$5&amp;"生成成长"),2))/((VLOOKUP($B200,INDIRECT($B$5&amp;"生成成长"),4))/(VLOOKUP(DZ$72,INDIRECT($C$5&amp;"生成成长"),5))*(VLOOKUP($B$5,标准坦克设计!$B$24:$U$30,MATCH("对"&amp;LEFT($C$5,2)&amp;"输出",标准坦克设计!$B$23:$U$23,0)))*(VLOOKUP($B200,INDIRECT($B$5&amp;"生成成长"),3))*(VLOOKUP($B$5,标准坦克设计!$B$14:$K$20,9)/30))</f>
        <v>8.6644578084016022</v>
      </c>
      <c r="EA200" s="172">
        <f ca="1">(VLOOKUP(EA$72,INDIRECT($C$5&amp;"生成成长"),2))/((VLOOKUP($B200,INDIRECT($B$5&amp;"生成成长"),4))/(VLOOKUP(EA$72,INDIRECT($C$5&amp;"生成成长"),5))*(VLOOKUP($B$5,标准坦克设计!$B$24:$U$30,MATCH("对"&amp;LEFT($C$5,2)&amp;"输出",标准坦克设计!$B$23:$U$23,0)))*(VLOOKUP($B200,INDIRECT($B$5&amp;"生成成长"),3))*(VLOOKUP($B$5,标准坦克设计!$B$14:$K$20,9)/30))</f>
        <v>9.5480390606135437</v>
      </c>
      <c r="EB200" s="172">
        <f ca="1">(VLOOKUP(EB$72,INDIRECT($C$5&amp;"生成成长"),2))/((VLOOKUP($B200,INDIRECT($B$5&amp;"生成成长"),4))/(VLOOKUP(EB$72,INDIRECT($C$5&amp;"生成成长"),5))*(VLOOKUP($B$5,标准坦克设计!$B$24:$U$30,MATCH("对"&amp;LEFT($C$5,2)&amp;"输出",标准坦克设计!$B$23:$U$23,0)))*(VLOOKUP($B200,INDIRECT($B$5&amp;"生成成长"),3))*(VLOOKUP($B$5,标准坦克设计!$B$14:$K$20,9)/30))</f>
        <v>10.474512606622179</v>
      </c>
      <c r="EC200" s="172">
        <f ca="1">(VLOOKUP(EC$72,INDIRECT($C$5&amp;"生成成长"),2))/((VLOOKUP($B200,INDIRECT($B$5&amp;"生成成长"),4))/(VLOOKUP(EC$72,INDIRECT($C$5&amp;"生成成长"),5))*(VLOOKUP($B$5,标准坦克设计!$B$24:$U$30,MATCH("对"&amp;LEFT($C$5,2)&amp;"输出",标准坦克设计!$B$23:$U$23,0)))*(VLOOKUP($B200,INDIRECT($B$5&amp;"生成成长"),3))*(VLOOKUP($B$5,标准坦克设计!$B$14:$K$20,9)/30))</f>
        <v>11.443878446427512</v>
      </c>
      <c r="ED200" s="172">
        <f ca="1">(VLOOKUP(ED$72,INDIRECT($C$5&amp;"生成成长"),2))/((VLOOKUP($B200,INDIRECT($B$5&amp;"生成成长"),4))/(VLOOKUP(ED$72,INDIRECT($C$5&amp;"生成成长"),5))*(VLOOKUP($B$5,标准坦克设计!$B$24:$U$30,MATCH("对"&amp;LEFT($C$5,2)&amp;"输出",标准坦克设计!$B$23:$U$23,0)))*(VLOOKUP($B200,INDIRECT($B$5&amp;"生成成长"),3))*(VLOOKUP($B$5,标准坦克设计!$B$14:$K$20,9)/30))</f>
        <v>12.456136580029542</v>
      </c>
      <c r="EE200" s="172">
        <f ca="1">(VLOOKUP(EE$72,INDIRECT($C$5&amp;"生成成长"),2))/((VLOOKUP($B200,INDIRECT($B$5&amp;"生成成长"),4))/(VLOOKUP(EE$72,INDIRECT($C$5&amp;"生成成长"),5))*(VLOOKUP($B$5,标准坦克设计!$B$24:$U$30,MATCH("对"&amp;LEFT($C$5,2)&amp;"输出",标准坦克设计!$B$23:$U$23,0)))*(VLOOKUP($B200,INDIRECT($B$5&amp;"生成成长"),3))*(VLOOKUP($B$5,标准坦克设计!$B$14:$K$20,9)/30))</f>
        <v>13.511287007428264</v>
      </c>
      <c r="EF200" s="172">
        <f ca="1">(VLOOKUP(EF$72,INDIRECT($C$5&amp;"生成成长"),2))/((VLOOKUP($B200,INDIRECT($B$5&amp;"生成成长"),4))/(VLOOKUP(EF$72,INDIRECT($C$5&amp;"生成成长"),5))*(VLOOKUP($B$5,标准坦克设计!$B$24:$U$30,MATCH("对"&amp;LEFT($C$5,2)&amp;"输出",标准坦克设计!$B$23:$U$23,0)))*(VLOOKUP($B200,INDIRECT($B$5&amp;"生成成长"),3))*(VLOOKUP($B$5,标准坦克设计!$B$14:$K$20,9)/30))</f>
        <v>14.609329728623687</v>
      </c>
      <c r="EG200" s="172">
        <f ca="1">(VLOOKUP(EG$72,INDIRECT($C$5&amp;"生成成长"),2))/((VLOOKUP($B200,INDIRECT($B$5&amp;"生成成长"),4))/(VLOOKUP(EG$72,INDIRECT($C$5&amp;"生成成长"),5))*(VLOOKUP($B$5,标准坦克设计!$B$24:$U$30,MATCH("对"&amp;LEFT($C$5,2)&amp;"输出",标准坦克设计!$B$23:$U$23,0)))*(VLOOKUP($B200,INDIRECT($B$5&amp;"生成成长"),3))*(VLOOKUP($B$5,标准坦克设计!$B$14:$K$20,9)/30))</f>
        <v>15.750264743615803</v>
      </c>
      <c r="EH200" s="172">
        <f ca="1">(VLOOKUP(EH$72,INDIRECT($C$5&amp;"生成成长"),2))/((VLOOKUP($B200,INDIRECT($B$5&amp;"生成成长"),4))/(VLOOKUP(EH$72,INDIRECT($C$5&amp;"生成成长"),5))*(VLOOKUP($B$5,标准坦克设计!$B$24:$U$30,MATCH("对"&amp;LEFT($C$5,2)&amp;"输出",标准坦克设计!$B$23:$U$23,0)))*(VLOOKUP($B200,INDIRECT($B$5&amp;"生成成长"),3))*(VLOOKUP($B$5,标准坦克设计!$B$14:$K$20,9)/30))</f>
        <v>16.934092052404615</v>
      </c>
      <c r="EI200" s="172">
        <f ca="1">(VLOOKUP(EI$72,INDIRECT($C$5&amp;"生成成长"),2))/((VLOOKUP($B200,INDIRECT($B$5&amp;"生成成长"),4))/(VLOOKUP(EI$72,INDIRECT($C$5&amp;"生成成长"),5))*(VLOOKUP($B$5,标准坦克设计!$B$24:$U$30,MATCH("对"&amp;LEFT($C$5,2)&amp;"输出",标准坦克设计!$B$23:$U$23,0)))*(VLOOKUP($B200,INDIRECT($B$5&amp;"生成成长"),3))*(VLOOKUP($B$5,标准坦克设计!$B$14:$K$20,9)/30))</f>
        <v>18.160811654990127</v>
      </c>
      <c r="EJ200" s="172">
        <f ca="1">(VLOOKUP(EJ$72,INDIRECT($C$5&amp;"生成成长"),2))/((VLOOKUP($B200,INDIRECT($B$5&amp;"生成成长"),4))/(VLOOKUP(EJ$72,INDIRECT($C$5&amp;"生成成长"),5))*(VLOOKUP($B$5,标准坦克设计!$B$24:$U$30,MATCH("对"&amp;LEFT($C$5,2)&amp;"输出",标准坦克设计!$B$23:$U$23,0)))*(VLOOKUP($B200,INDIRECT($B$5&amp;"生成成长"),3))*(VLOOKUP($B$5,标准坦克设计!$B$14:$K$20,9)/30))</f>
        <v>19.430423551372332</v>
      </c>
      <c r="EK200" s="172">
        <f ca="1">(VLOOKUP(EK$72,INDIRECT($C$5&amp;"生成成长"),2))/((VLOOKUP($B200,INDIRECT($B$5&amp;"生成成长"),4))/(VLOOKUP(EK$72,INDIRECT($C$5&amp;"生成成长"),5))*(VLOOKUP($B$5,标准坦克设计!$B$24:$U$30,MATCH("对"&amp;LEFT($C$5,2)&amp;"输出",标准坦克设计!$B$23:$U$23,0)))*(VLOOKUP($B200,INDIRECT($B$5&amp;"生成成长"),3))*(VLOOKUP($B$5,标准坦克设计!$B$14:$K$20,9)/30))</f>
        <v>21.010575654842615</v>
      </c>
      <c r="EL200" s="172">
        <f ca="1">(VLOOKUP(EL$72,INDIRECT($C$5&amp;"生成成长"),2))/((VLOOKUP($B200,INDIRECT($B$5&amp;"生成成长"),4))/(VLOOKUP(EL$72,INDIRECT($C$5&amp;"生成成长"),5))*(VLOOKUP($B$5,标准坦克设计!$B$24:$U$30,MATCH("对"&amp;LEFT($C$5,2)&amp;"输出",标准坦克设计!$B$23:$U$23,0)))*(VLOOKUP($B200,INDIRECT($B$5&amp;"生成成长"),3))*(VLOOKUP($B$5,标准坦克设计!$B$14:$K$20,9)/30))</f>
        <v>22.652492661380141</v>
      </c>
      <c r="EM200" s="172">
        <f ca="1">(VLOOKUP(EM$72,INDIRECT($C$5&amp;"生成成长"),2))/((VLOOKUP($B200,INDIRECT($B$5&amp;"生成成长"),4))/(VLOOKUP(EM$72,INDIRECT($C$5&amp;"生成成长"),5))*(VLOOKUP($B$5,标准坦克设计!$B$24:$U$30,MATCH("对"&amp;LEFT($C$5,2)&amp;"输出",标准坦克设计!$B$23:$U$23,0)))*(VLOOKUP($B200,INDIRECT($B$5&amp;"生成成长"),3))*(VLOOKUP($B$5,标准坦克设计!$B$14:$K$20,9)/30))</f>
        <v>24.356174570984916</v>
      </c>
      <c r="EN200" s="172">
        <f ca="1">(VLOOKUP(EN$72,INDIRECT($C$5&amp;"生成成长"),2))/((VLOOKUP($B200,INDIRECT($B$5&amp;"生成成长"),4))/(VLOOKUP(EN$72,INDIRECT($C$5&amp;"生成成长"),5))*(VLOOKUP($B$5,标准坦克设计!$B$24:$U$30,MATCH("对"&amp;LEFT($C$5,2)&amp;"输出",标准坦克设计!$B$23:$U$23,0)))*(VLOOKUP($B200,INDIRECT($B$5&amp;"生成成长"),3))*(VLOOKUP($B$5,标准坦克设计!$B$14:$K$20,9)/30))</f>
        <v>26.12162138365693</v>
      </c>
      <c r="EO200" s="172">
        <f ca="1">(VLOOKUP(EO$72,INDIRECT($C$5&amp;"生成成长"),2))/((VLOOKUP($B200,INDIRECT($B$5&amp;"生成成长"),4))/(VLOOKUP(EO$72,INDIRECT($C$5&amp;"生成成长"),5))*(VLOOKUP($B$5,标准坦克设计!$B$24:$U$30,MATCH("对"&amp;LEFT($C$5,2)&amp;"输出",标准坦克设计!$B$23:$U$23,0)))*(VLOOKUP($B200,INDIRECT($B$5&amp;"生成成长"),3))*(VLOOKUP($B$5,标准坦克设计!$B$14:$K$20,9)/30))</f>
        <v>27.948833099396182</v>
      </c>
      <c r="EP200" s="172">
        <f ca="1">(VLOOKUP(EP$72,INDIRECT($C$5&amp;"生成成长"),2))/((VLOOKUP($B200,INDIRECT($B$5&amp;"生成成长"),4))/(VLOOKUP(EP$72,INDIRECT($C$5&amp;"生成成长"),5))*(VLOOKUP($B$5,标准坦克设计!$B$24:$U$30,MATCH("对"&amp;LEFT($C$5,2)&amp;"输出",标准坦克设计!$B$23:$U$23,0)))*(VLOOKUP($B200,INDIRECT($B$5&amp;"生成成长"),3))*(VLOOKUP($B$5,标准坦克设计!$B$14:$K$20,9)/30))</f>
        <v>29.837809718202678</v>
      </c>
      <c r="EQ200" s="172">
        <f ca="1">(VLOOKUP(EQ$72,INDIRECT($C$5&amp;"生成成长"),2))/((VLOOKUP($B200,INDIRECT($B$5&amp;"生成成长"),4))/(VLOOKUP(EQ$72,INDIRECT($C$5&amp;"生成成长"),5))*(VLOOKUP($B$5,标准坦克设计!$B$24:$U$30,MATCH("对"&amp;LEFT($C$5,2)&amp;"输出",标准坦克设计!$B$23:$U$23,0)))*(VLOOKUP($B200,INDIRECT($B$5&amp;"生成成长"),3))*(VLOOKUP($B$5,标准坦克设计!$B$14:$K$20,9)/30))</f>
        <v>13.190238188359997</v>
      </c>
      <c r="ER200" s="172">
        <f ca="1">(VLOOKUP(ER$72,INDIRECT($C$5&amp;"生成成长"),2))/((VLOOKUP($B200,INDIRECT($B$5&amp;"生成成长"),4))/(VLOOKUP(ER$72,INDIRECT($C$5&amp;"生成成长"),5))*(VLOOKUP($B$5,标准坦克设计!$B$24:$U$30,MATCH("对"&amp;LEFT($C$5,2)&amp;"输出",标准坦克设计!$B$23:$U$23,0)))*(VLOOKUP($B200,INDIRECT($B$5&amp;"生成成长"),3))*(VLOOKUP($B$5,标准坦克设计!$B$14:$K$20,9)/30))</f>
        <v>14.386289800880864</v>
      </c>
      <c r="ES200" s="172">
        <f ca="1">(VLOOKUP(ES$72,INDIRECT($C$5&amp;"生成成长"),2))/((VLOOKUP($B200,INDIRECT($B$5&amp;"生成成长"),4))/(VLOOKUP(ES$72,INDIRECT($C$5&amp;"生成成长"),5))*(VLOOKUP($B$5,标准坦克设计!$B$24:$U$30,MATCH("对"&amp;LEFT($C$5,2)&amp;"输出",标准坦克设计!$B$23:$U$23,0)))*(VLOOKUP($B200,INDIRECT($B$5&amp;"生成成长"),3))*(VLOOKUP($B$5,标准坦克设计!$B$14:$K$20,9)/30))</f>
        <v>15.63424108889574</v>
      </c>
      <c r="ET200" s="172">
        <f ca="1">(VLOOKUP(ET$72,INDIRECT($C$5&amp;"生成成长"),2))/((VLOOKUP($B200,INDIRECT($B$5&amp;"生成成长"),4))/(VLOOKUP(ET$72,INDIRECT($C$5&amp;"生成成长"),5))*(VLOOKUP($B$5,标准坦克设计!$B$24:$U$30,MATCH("对"&amp;LEFT($C$5,2)&amp;"输出",标准坦克设计!$B$23:$U$23,0)))*(VLOOKUP($B200,INDIRECT($B$5&amp;"生成成长"),3))*(VLOOKUP($B$5,标准坦克设计!$B$14:$K$20,9)/30))</f>
        <v>16.934092052404615</v>
      </c>
      <c r="EU200" s="172">
        <f ca="1">(VLOOKUP(EU$72,INDIRECT($C$5&amp;"生成成长"),2))/((VLOOKUP($B200,INDIRECT($B$5&amp;"生成成长"),4))/(VLOOKUP(EU$72,INDIRECT($C$5&amp;"生成成长"),5))*(VLOOKUP($B$5,标准坦克设计!$B$24:$U$30,MATCH("对"&amp;LEFT($C$5,2)&amp;"输出",标准坦克设计!$B$23:$U$23,0)))*(VLOOKUP($B200,INDIRECT($B$5&amp;"生成成长"),3))*(VLOOKUP($B$5,标准坦克设计!$B$14:$K$20,9)/30))</f>
        <v>18.285842691407495</v>
      </c>
      <c r="EV200" s="172">
        <f ca="1">(VLOOKUP(EV$72,INDIRECT($C$5&amp;"生成成长"),2))/((VLOOKUP($B200,INDIRECT($B$5&amp;"生成成长"),4))/(VLOOKUP(EV$72,INDIRECT($C$5&amp;"生成成长"),5))*(VLOOKUP($B$5,标准坦克设计!$B$24:$U$30,MATCH("对"&amp;LEFT($C$5,2)&amp;"输出",标准坦克设计!$B$23:$U$23,0)))*(VLOOKUP($B200,INDIRECT($B$5&amp;"生成成长"),3))*(VLOOKUP($B$5,标准坦克设计!$B$14:$K$20,9)/30))</f>
        <v>19.689493005904374</v>
      </c>
      <c r="EW200" s="172">
        <f ca="1">(VLOOKUP(EW$72,INDIRECT($C$5&amp;"生成成长"),2))/((VLOOKUP($B200,INDIRECT($B$5&amp;"生成成长"),4))/(VLOOKUP(EW$72,INDIRECT($C$5&amp;"生成成长"),5))*(VLOOKUP($B$5,标准坦克设计!$B$24:$U$30,MATCH("对"&amp;LEFT($C$5,2)&amp;"输出",标准坦克设计!$B$23:$U$23,0)))*(VLOOKUP($B200,INDIRECT($B$5&amp;"生成成长"),3))*(VLOOKUP($B$5,标准坦克设计!$B$14:$K$20,9)/30))</f>
        <v>21.14504299589526</v>
      </c>
      <c r="EX200" s="172">
        <f ca="1">(VLOOKUP(EX$72,INDIRECT($C$5&amp;"生成成长"),2))/((VLOOKUP($B200,INDIRECT($B$5&amp;"生成成长"),4))/(VLOOKUP(EX$72,INDIRECT($C$5&amp;"生成成长"),5))*(VLOOKUP($B$5,标准坦克设计!$B$24:$U$30,MATCH("对"&amp;LEFT($C$5,2)&amp;"输出",标准坦克设计!$B$23:$U$23,0)))*(VLOOKUP($B200,INDIRECT($B$5&amp;"生成成长"),3))*(VLOOKUP($B$5,标准坦克设计!$B$14:$K$20,9)/30))</f>
        <v>22.652492661380141</v>
      </c>
      <c r="EY200" s="172">
        <f ca="1">(VLOOKUP(EY$72,INDIRECT($C$5&amp;"生成成长"),2))/((VLOOKUP($B200,INDIRECT($B$5&amp;"生成成长"),4))/(VLOOKUP(EY$72,INDIRECT($C$5&amp;"生成成长"),5))*(VLOOKUP($B$5,标准坦克设计!$B$24:$U$30,MATCH("对"&amp;LEFT($C$5,2)&amp;"输出",标准坦克设计!$B$23:$U$23,0)))*(VLOOKUP($B200,INDIRECT($B$5&amp;"生成成长"),3))*(VLOOKUP($B$5,标准坦克设计!$B$14:$K$20,9)/30))</f>
        <v>24.211842002359031</v>
      </c>
      <c r="EZ200" s="172">
        <f ca="1">(VLOOKUP(EZ$72,INDIRECT($C$5&amp;"生成成长"),2))/((VLOOKUP($B200,INDIRECT($B$5&amp;"生成成长"),4))/(VLOOKUP(EZ$72,INDIRECT($C$5&amp;"生成成长"),5))*(VLOOKUP($B$5,标准坦克设计!$B$24:$U$30,MATCH("对"&amp;LEFT($C$5,2)&amp;"输出",标准坦克设计!$B$23:$U$23,0)))*(VLOOKUP($B200,INDIRECT($B$5&amp;"生成成长"),3))*(VLOOKUP($B$5,标准坦克设计!$B$14:$K$20,9)/30))</f>
        <v>25.823091018831928</v>
      </c>
      <c r="FA200" s="172">
        <f ca="1">(VLOOKUP(FA$72,INDIRECT($C$5&amp;"生成成长"),2))/((VLOOKUP($B200,INDIRECT($B$5&amp;"生成成长"),4))/(VLOOKUP(FA$72,INDIRECT($C$5&amp;"生成成长"),5))*(VLOOKUP($B$5,标准坦克设计!$B$24:$U$30,MATCH("对"&amp;LEFT($C$5,2)&amp;"输出",标准坦克设计!$B$23:$U$23,0)))*(VLOOKUP($B200,INDIRECT($B$5&amp;"生成成长"),3))*(VLOOKUP($B$5,标准坦克设计!$B$14:$K$20,9)/30))</f>
        <v>27.48623971079882</v>
      </c>
      <c r="FB200" s="172">
        <f ca="1">(VLOOKUP(FB$72,INDIRECT($C$5&amp;"生成成长"),2))/((VLOOKUP($B200,INDIRECT($B$5&amp;"生成成长"),4))/(VLOOKUP(FB$72,INDIRECT($C$5&amp;"生成成长"),5))*(VLOOKUP($B$5,标准坦克设计!$B$24:$U$30,MATCH("对"&amp;LEFT($C$5,2)&amp;"输出",标准坦克设计!$B$23:$U$23,0)))*(VLOOKUP($B200,INDIRECT($B$5&amp;"生成成长"),3))*(VLOOKUP($B$5,标准坦克设计!$B$14:$K$20,9)/30))</f>
        <v>29.201288078259712</v>
      </c>
      <c r="FC200" s="172">
        <f ca="1">(VLOOKUP(FC$72,INDIRECT($C$5&amp;"生成成长"),2))/((VLOOKUP($B200,INDIRECT($B$5&amp;"生成成长"),4))/(VLOOKUP(FC$72,INDIRECT($C$5&amp;"生成成长"),5))*(VLOOKUP($B$5,标准坦克设计!$B$24:$U$30,MATCH("对"&amp;LEFT($C$5,2)&amp;"输出",标准坦克设计!$B$23:$U$23,0)))*(VLOOKUP($B200,INDIRECT($B$5&amp;"生成成长"),3))*(VLOOKUP($B$5,标准坦克设计!$B$14:$K$20,9)/30))</f>
        <v>30.968236121214613</v>
      </c>
      <c r="FD200" s="172">
        <f ca="1">(VLOOKUP(FD$72,INDIRECT($C$5&amp;"生成成长"),2))/((VLOOKUP($B200,INDIRECT($B$5&amp;"生成成长"),4))/(VLOOKUP(FD$72,INDIRECT($C$5&amp;"生成成长"),5))*(VLOOKUP($B$5,标准坦克设计!$B$24:$U$30,MATCH("对"&amp;LEFT($C$5,2)&amp;"输出",标准坦克设计!$B$23:$U$23,0)))*(VLOOKUP($B200,INDIRECT($B$5&amp;"生成成长"),3))*(VLOOKUP($B$5,标准坦克设计!$B$14:$K$20,9)/30))</f>
        <v>32.787083839663509</v>
      </c>
      <c r="FE200" s="172">
        <f ca="1">(VLOOKUP(FE$72,INDIRECT($C$5&amp;"生成成长"),2))/((VLOOKUP($B200,INDIRECT($B$5&amp;"生成成长"),4))/(VLOOKUP(FE$72,INDIRECT($C$5&amp;"生成成长"),5))*(VLOOKUP($B$5,标准坦克设计!$B$24:$U$30,MATCH("对"&amp;LEFT($C$5,2)&amp;"输出",标准坦克设计!$B$23:$U$23,0)))*(VLOOKUP($B200,INDIRECT($B$5&amp;"生成成长"),3))*(VLOOKUP($B$5,标准坦克设计!$B$14:$K$20,9)/30))</f>
        <v>35.003543121607777</v>
      </c>
      <c r="FF200" s="172">
        <f ca="1">(VLOOKUP(FF$72,INDIRECT($C$5&amp;"生成成长"),2))/((VLOOKUP($B200,INDIRECT($B$5&amp;"生成成长"),4))/(VLOOKUP(FF$72,INDIRECT($C$5&amp;"生成成长"),5))*(VLOOKUP($B$5,标准坦克设计!$B$24:$U$30,MATCH("对"&amp;LEFT($C$5,2)&amp;"输出",标准坦克设计!$B$23:$U$23,0)))*(VLOOKUP($B200,INDIRECT($B$5&amp;"生成成长"),3))*(VLOOKUP($B$5,标准坦克设计!$B$14:$K$20,9)/30))</f>
        <v>37.292490380068465</v>
      </c>
      <c r="FG200" s="172">
        <f ca="1">(VLOOKUP(FG$72,INDIRECT($C$5&amp;"生成成长"),2))/((VLOOKUP($B200,INDIRECT($B$5&amp;"生成成长"),4))/(VLOOKUP(FG$72,INDIRECT($C$5&amp;"生成成长"),5))*(VLOOKUP($B$5,标准坦克设计!$B$24:$U$30,MATCH("对"&amp;LEFT($C$5,2)&amp;"输出",标准坦克设计!$B$23:$U$23,0)))*(VLOOKUP($B200,INDIRECT($B$5&amp;"生成成长"),3))*(VLOOKUP($B$5,标准坦克设计!$B$14:$K$20,9)/30))</f>
        <v>39.65392561504558</v>
      </c>
      <c r="FH200" s="172">
        <f ca="1">(VLOOKUP(FH$72,INDIRECT($C$5&amp;"生成成长"),2))/((VLOOKUP($B200,INDIRECT($B$5&amp;"生成成长"),4))/(VLOOKUP(FH$72,INDIRECT($C$5&amp;"生成成长"),5))*(VLOOKUP($B$5,标准坦克设计!$B$24:$U$30,MATCH("对"&amp;LEFT($C$5,2)&amp;"输出",标准坦克设计!$B$23:$U$23,0)))*(VLOOKUP($B200,INDIRECT($B$5&amp;"生成成长"),3))*(VLOOKUP($B$5,标准坦克设计!$B$14:$K$20,9)/30))</f>
        <v>42.087848826539094</v>
      </c>
      <c r="FI200" s="172">
        <f ca="1">(VLOOKUP(FI$72,INDIRECT($C$5&amp;"生成成长"),2))/((VLOOKUP($B200,INDIRECT($B$5&amp;"生成成长"),4))/(VLOOKUP(FI$72,INDIRECT($C$5&amp;"生成成长"),5))*(VLOOKUP($B$5,标准坦克设计!$B$24:$U$30,MATCH("对"&amp;LEFT($C$5,2)&amp;"输出",标准坦克设计!$B$23:$U$23,0)))*(VLOOKUP($B200,INDIRECT($B$5&amp;"生成成长"),3))*(VLOOKUP($B$5,标准坦克设计!$B$14:$K$20,9)/30))</f>
        <v>44.594260014549036</v>
      </c>
      <c r="FJ200" s="172">
        <f ca="1">(VLOOKUP(FJ$72,INDIRECT($C$5&amp;"生成成长"),2))/((VLOOKUP($B200,INDIRECT($B$5&amp;"生成成长"),4))/(VLOOKUP(FJ$72,INDIRECT($C$5&amp;"生成成长"),5))*(VLOOKUP($B$5,标准坦克设计!$B$24:$U$30,MATCH("对"&amp;LEFT($C$5,2)&amp;"输出",标准坦克设计!$B$23:$U$23,0)))*(VLOOKUP($B200,INDIRECT($B$5&amp;"生成成长"),3))*(VLOOKUP($B$5,标准坦克设计!$B$14:$K$20,9)/30))</f>
        <v>47.173159179075384</v>
      </c>
      <c r="FK200" s="172">
        <f ca="1">(VLOOKUP(FK$72,INDIRECT($C$5&amp;"生成成长"),2))/((VLOOKUP($B200,INDIRECT($B$5&amp;"生成成长"),4))/(VLOOKUP(FK$72,INDIRECT($C$5&amp;"生成成长"),5))*(VLOOKUP($B$5,标准坦克设计!$B$24:$U$30,MATCH("对"&amp;LEFT($C$5,2)&amp;"输出",标准坦克设计!$B$23:$U$23,0)))*(VLOOKUP($B200,INDIRECT($B$5&amp;"生成成长"),3))*(VLOOKUP($B$5,标准坦克设计!$B$14:$K$20,9)/30))</f>
        <v>49.824546320118166</v>
      </c>
    </row>
    <row r="201" spans="1:167" x14ac:dyDescent="0.15">
      <c r="A201" s="170" t="str">
        <f t="shared" si="12"/>
        <v>T4高品质3级</v>
      </c>
      <c r="B201" s="171">
        <v>30403</v>
      </c>
      <c r="C201" s="172">
        <f ca="1">(VLOOKUP(C$72,INDIRECT($C$5&amp;"生成成长"),2))/((VLOOKUP($B201,INDIRECT($B$5&amp;"生成成长"),4))/(VLOOKUP(C$72,INDIRECT($C$5&amp;"生成成长"),5))*(VLOOKUP($B$5,标准坦克设计!$B$24:$U$30,MATCH("对"&amp;LEFT($C$5,2)&amp;"输出",标准坦克设计!$B$23:$U$23,0)))*(VLOOKUP($B201,INDIRECT($B$5&amp;"生成成长"),3))*(VLOOKUP($B$5,标准坦克设计!$B$14:$K$20,9)/30))</f>
        <v>1.9430460981593685</v>
      </c>
      <c r="D201" s="172">
        <f ca="1">(VLOOKUP(D$72,INDIRECT($C$5&amp;"生成成长"),2))/((VLOOKUP($B201,INDIRECT($B$5&amp;"生成成长"),4))/(VLOOKUP(D$72,INDIRECT($C$5&amp;"生成成长"),5))*(VLOOKUP($B$5,标准坦克设计!$B$24:$U$30,MATCH("对"&amp;LEFT($C$5,2)&amp;"输出",标准坦克设计!$B$23:$U$23,0)))*(VLOOKUP($B201,INDIRECT($B$5&amp;"生成成长"),3))*(VLOOKUP($B$5,标准坦克设计!$B$14:$K$20,9)/30))</f>
        <v>2.1832065958918663</v>
      </c>
      <c r="E201" s="172">
        <f ca="1">(VLOOKUP(E$72,INDIRECT($C$5&amp;"生成成长"),2))/((VLOOKUP($B201,INDIRECT($B$5&amp;"生成成长"),4))/(VLOOKUP(E$72,INDIRECT($C$5&amp;"生成成长"),5))*(VLOOKUP($B$5,标准坦克设计!$B$24:$U$30,MATCH("对"&amp;LEFT($C$5,2)&amp;"输出",标准坦克设计!$B$23:$U$23,0)))*(VLOOKUP($B201,INDIRECT($B$5&amp;"生成成长"),3))*(VLOOKUP($B$5,标准坦克设计!$B$14:$K$20,9)/30))</f>
        <v>2.4373570255311119</v>
      </c>
      <c r="F201" s="172">
        <f ca="1">(VLOOKUP(F$72,INDIRECT($C$5&amp;"生成成长"),2))/((VLOOKUP($B201,INDIRECT($B$5&amp;"生成成长"),4))/(VLOOKUP(F$72,INDIRECT($C$5&amp;"生成成长"),5))*(VLOOKUP($B$5,标准坦克设计!$B$24:$U$30,MATCH("对"&amp;LEFT($C$5,2)&amp;"输出",标准坦克设计!$B$23:$U$23,0)))*(VLOOKUP($B201,INDIRECT($B$5&amp;"生成成长"),3))*(VLOOKUP($B$5,标准坦克设计!$B$14:$K$20,9)/30))</f>
        <v>2.7054973870771049</v>
      </c>
      <c r="G201" s="172">
        <f ca="1">(VLOOKUP(G$72,INDIRECT($C$5&amp;"生成成长"),2))/((VLOOKUP($B201,INDIRECT($B$5&amp;"生成成长"),4))/(VLOOKUP(G$72,INDIRECT($C$5&amp;"生成成长"),5))*(VLOOKUP($B$5,标准坦克设计!$B$24:$U$30,MATCH("对"&amp;LEFT($C$5,2)&amp;"输出",标准坦克设计!$B$23:$U$23,0)))*(VLOOKUP($B201,INDIRECT($B$5&amp;"生成成长"),3))*(VLOOKUP($B$5,标准坦克设计!$B$14:$K$20,9)/30))</f>
        <v>2.9876276805298443</v>
      </c>
      <c r="H201" s="172">
        <f ca="1">(VLOOKUP(H$72,INDIRECT($C$5&amp;"生成成长"),2))/((VLOOKUP($B201,INDIRECT($B$5&amp;"生成成长"),4))/(VLOOKUP(H$72,INDIRECT($C$5&amp;"生成成长"),5))*(VLOOKUP($B$5,标准坦克设计!$B$24:$U$30,MATCH("对"&amp;LEFT($C$5,2)&amp;"输出",标准坦克设计!$B$23:$U$23,0)))*(VLOOKUP($B201,INDIRECT($B$5&amp;"生成成长"),3))*(VLOOKUP($B$5,标准坦克设计!$B$14:$K$20,9)/30))</f>
        <v>2.6145628296832468</v>
      </c>
      <c r="I201" s="172">
        <f ca="1">(VLOOKUP(I$72,INDIRECT($C$5&amp;"生成成长"),2))/((VLOOKUP($B201,INDIRECT($B$5&amp;"生成成长"),4))/(VLOOKUP(I$72,INDIRECT($C$5&amp;"生成成长"),5))*(VLOOKUP($B$5,标准坦克设计!$B$24:$U$30,MATCH("对"&amp;LEFT($C$5,2)&amp;"输出",标准坦克设计!$B$23:$U$23,0)))*(VLOOKUP($B201,INDIRECT($B$5&amp;"生成成长"),3))*(VLOOKUP($B$5,标准坦克设计!$B$14:$K$20,9)/30))</f>
        <v>2.9876276805298443</v>
      </c>
      <c r="J201" s="172">
        <f ca="1">(VLOOKUP(J$72,INDIRECT($C$5&amp;"生成成长"),2))/((VLOOKUP($B201,INDIRECT($B$5&amp;"生成成长"),4))/(VLOOKUP(J$72,INDIRECT($C$5&amp;"生成成长"),5))*(VLOOKUP($B$5,标准坦克设计!$B$24:$U$30,MATCH("对"&amp;LEFT($C$5,2)&amp;"输出",标准坦克设计!$B$23:$U$23,0)))*(VLOOKUP($B201,INDIRECT($B$5&amp;"生成成长"),3))*(VLOOKUP($B$5,标准坦克设计!$B$14:$K$20,9)/30))</f>
        <v>3.3855635214328839</v>
      </c>
      <c r="K201" s="172">
        <f ca="1">(VLOOKUP(K$72,INDIRECT($C$5&amp;"生成成长"),2))/((VLOOKUP($B201,INDIRECT($B$5&amp;"生成成长"),4))/(VLOOKUP(K$72,INDIRECT($C$5&amp;"生成成长"),5))*(VLOOKUP($B$5,标准坦克设计!$B$24:$U$30,MATCH("对"&amp;LEFT($C$5,2)&amp;"输出",标准坦克设计!$B$23:$U$23,0)))*(VLOOKUP($B201,INDIRECT($B$5&amp;"生成成长"),3))*(VLOOKUP($B$5,标准坦克设计!$B$14:$K$20,9)/30))</f>
        <v>3.8083703523923624</v>
      </c>
      <c r="L201" s="172">
        <f ca="1">(VLOOKUP(L$72,INDIRECT($C$5&amp;"生成成长"),2))/((VLOOKUP($B201,INDIRECT($B$5&amp;"生成成长"),4))/(VLOOKUP(L$72,INDIRECT($C$5&amp;"生成成长"),5))*(VLOOKUP($B$5,标准坦克设计!$B$24:$U$30,MATCH("对"&amp;LEFT($C$5,2)&amp;"输出",标准坦克设计!$B$23:$U$23,0)))*(VLOOKUP($B201,INDIRECT($B$5&amp;"生成成长"),3))*(VLOOKUP($B$5,标准坦克设计!$B$14:$K$20,9)/30))</f>
        <v>4.2560481734082813</v>
      </c>
      <c r="M201" s="172">
        <f ca="1">(VLOOKUP(M$72,INDIRECT($C$5&amp;"生成成长"),2))/((VLOOKUP($B201,INDIRECT($B$5&amp;"生成成长"),4))/(VLOOKUP(M$72,INDIRECT($C$5&amp;"生成成长"),5))*(VLOOKUP($B$5,标准坦克设计!$B$24:$U$30,MATCH("对"&amp;LEFT($C$5,2)&amp;"输出",标准坦克设计!$B$23:$U$23,0)))*(VLOOKUP($B201,INDIRECT($B$5&amp;"生成成长"),3))*(VLOOKUP($B$5,标准坦克设计!$B$14:$K$20,9)/30))</f>
        <v>4.7285969844806388</v>
      </c>
      <c r="N201" s="172">
        <f ca="1">(VLOOKUP(N$72,INDIRECT($C$5&amp;"生成成长"),2))/((VLOOKUP($B201,INDIRECT($B$5&amp;"生成成长"),4))/(VLOOKUP(N$72,INDIRECT($C$5&amp;"生成成长"),5))*(VLOOKUP($B$5,标准坦克设计!$B$24:$U$30,MATCH("对"&amp;LEFT($C$5,2)&amp;"输出",标准坦克设计!$B$23:$U$23,0)))*(VLOOKUP($B201,INDIRECT($B$5&amp;"生成成长"),3))*(VLOOKUP($B$5,标准坦克设计!$B$14:$K$20,9)/30))</f>
        <v>5.2260167856094375</v>
      </c>
      <c r="O201" s="172">
        <f ca="1">(VLOOKUP(O$72,INDIRECT($C$5&amp;"生成成长"),2))/((VLOOKUP($B201,INDIRECT($B$5&amp;"生成成长"),4))/(VLOOKUP(O$72,INDIRECT($C$5&amp;"生成成长"),5))*(VLOOKUP($B$5,标准坦克设计!$B$24:$U$30,MATCH("对"&amp;LEFT($C$5,2)&amp;"输出",标准坦克设计!$B$23:$U$23,0)))*(VLOOKUP($B201,INDIRECT($B$5&amp;"生成成长"),3))*(VLOOKUP($B$5,标准坦克设计!$B$14:$K$20,9)/30))</f>
        <v>3.9733349661260919</v>
      </c>
      <c r="P201" s="172">
        <f ca="1">(VLOOKUP(P$72,INDIRECT($C$5&amp;"生成成长"),2))/((VLOOKUP($B201,INDIRECT($B$5&amp;"生成成长"),4))/(VLOOKUP(P$72,INDIRECT($C$5&amp;"生成成长"),5))*(VLOOKUP($B$5,标准坦克设计!$B$24:$U$30,MATCH("对"&amp;LEFT($C$5,2)&amp;"输出",标准坦克设计!$B$23:$U$23,0)))*(VLOOKUP($B201,INDIRECT($B$5&amp;"生成成长"),3))*(VLOOKUP($B$5,标准坦克设计!$B$14:$K$20,9)/30))</f>
        <v>4.4892137051874048</v>
      </c>
      <c r="Q201" s="172">
        <f ca="1">(VLOOKUP(Q$72,INDIRECT($C$5&amp;"生成成长"),2))/((VLOOKUP($B201,INDIRECT($B$5&amp;"生成成长"),4))/(VLOOKUP(Q$72,INDIRECT($C$5&amp;"生成成长"),5))*(VLOOKUP($B$5,标准坦克设计!$B$24:$U$30,MATCH("对"&amp;LEFT($C$5,2)&amp;"输出",标准坦克设计!$B$23:$U$23,0)))*(VLOOKUP($B201,INDIRECT($B$5&amp;"生成成长"),3))*(VLOOKUP($B$5,标准坦克设计!$B$14:$K$20,9)/30))</f>
        <v>5.0365697910388993</v>
      </c>
      <c r="R201" s="172">
        <f ca="1">(VLOOKUP(R$72,INDIRECT($C$5&amp;"生成成长"),2))/((VLOOKUP($B201,INDIRECT($B$5&amp;"生成成长"),4))/(VLOOKUP(R$72,INDIRECT($C$5&amp;"生成成长"),5))*(VLOOKUP($B$5,标准坦克设计!$B$24:$U$30,MATCH("对"&amp;LEFT($C$5,2)&amp;"输出",标准坦克设计!$B$23:$U$23,0)))*(VLOOKUP($B201,INDIRECT($B$5&amp;"生成成长"),3))*(VLOOKUP($B$5,标准坦克设计!$B$14:$K$20,9)/30))</f>
        <v>5.6154032236805742</v>
      </c>
      <c r="S201" s="172">
        <f ca="1">(VLOOKUP(S$72,INDIRECT($C$5&amp;"生成成长"),2))/((VLOOKUP($B201,INDIRECT($B$5&amp;"生成成长"),4))/(VLOOKUP(S$72,INDIRECT($C$5&amp;"生成成长"),5))*(VLOOKUP($B$5,标准坦克设计!$B$24:$U$30,MATCH("对"&amp;LEFT($C$5,2)&amp;"输出",标准坦克设计!$B$23:$U$23,0)))*(VLOOKUP($B201,INDIRECT($B$5&amp;"生成成长"),3))*(VLOOKUP($B$5,标准坦克设计!$B$14:$K$20,9)/30))</f>
        <v>6.2257140031124329</v>
      </c>
      <c r="T201" s="172">
        <f ca="1">(VLOOKUP(T$72,INDIRECT($C$5&amp;"生成成长"),2))/((VLOOKUP($B201,INDIRECT($B$5&amp;"生成成长"),4))/(VLOOKUP(T$72,INDIRECT($C$5&amp;"生成成长"),5))*(VLOOKUP($B$5,标准坦克设计!$B$24:$U$30,MATCH("对"&amp;LEFT($C$5,2)&amp;"输出",标准坦克设计!$B$23:$U$23,0)))*(VLOOKUP($B201,INDIRECT($B$5&amp;"生成成长"),3))*(VLOOKUP($B$5,标准坦克设计!$B$14:$K$20,9)/30))</f>
        <v>6.8675021293344711</v>
      </c>
      <c r="U201" s="172">
        <f ca="1">(VLOOKUP(U$72,INDIRECT($C$5&amp;"生成成长"),2))/((VLOOKUP($B201,INDIRECT($B$5&amp;"生成成长"),4))/(VLOOKUP(U$72,INDIRECT($C$5&amp;"生成成长"),5))*(VLOOKUP($B$5,标准坦克设计!$B$24:$U$30,MATCH("对"&amp;LEFT($C$5,2)&amp;"输出",标准坦克设计!$B$23:$U$23,0)))*(VLOOKUP($B201,INDIRECT($B$5&amp;"生成成长"),3))*(VLOOKUP($B$5,标准坦克设计!$B$14:$K$20,9)/30))</f>
        <v>7.5407676023466932</v>
      </c>
      <c r="V201" s="172">
        <f ca="1">(VLOOKUP(V$72,INDIRECT($C$5&amp;"生成成长"),2))/((VLOOKUP($B201,INDIRECT($B$5&amp;"生成成长"),4))/(VLOOKUP(V$72,INDIRECT($C$5&amp;"生成成长"),5))*(VLOOKUP($B$5,标准坦克设计!$B$24:$U$30,MATCH("对"&amp;LEFT($C$5,2)&amp;"输出",标准坦克设计!$B$23:$U$23,0)))*(VLOOKUP($B201,INDIRECT($B$5&amp;"生成成长"),3))*(VLOOKUP($B$5,标准坦克设计!$B$14:$K$20,9)/30))</f>
        <v>8.2455104221490956</v>
      </c>
      <c r="W201" s="172">
        <f ca="1">(VLOOKUP(W$72,INDIRECT($C$5&amp;"生成成长"),2))/((VLOOKUP($B201,INDIRECT($B$5&amp;"生成成长"),4))/(VLOOKUP(W$72,INDIRECT($C$5&amp;"生成成长"),5))*(VLOOKUP($B$5,标准坦克设计!$B$24:$U$30,MATCH("对"&amp;LEFT($C$5,2)&amp;"输出",标准坦克设计!$B$23:$U$23,0)))*(VLOOKUP($B201,INDIRECT($B$5&amp;"生成成长"),3))*(VLOOKUP($B$5,标准坦克设计!$B$14:$K$20,9)/30))</f>
        <v>8.9817305887416818</v>
      </c>
      <c r="X201" s="172">
        <f ca="1">(VLOOKUP(X$72,INDIRECT($C$5&amp;"生成成长"),2))/((VLOOKUP($B201,INDIRECT($B$5&amp;"生成成长"),4))/(VLOOKUP(X$72,INDIRECT($C$5&amp;"生成成长"),5))*(VLOOKUP($B$5,标准坦克设计!$B$24:$U$30,MATCH("对"&amp;LEFT($C$5,2)&amp;"输出",标准坦克设计!$B$23:$U$23,0)))*(VLOOKUP($B201,INDIRECT($B$5&amp;"生成成长"),3))*(VLOOKUP($B$5,标准坦克设计!$B$14:$K$20,9)/30))</f>
        <v>6.5070670781259103</v>
      </c>
      <c r="Y201" s="172">
        <f ca="1">(VLOOKUP(Y$72,INDIRECT($C$5&amp;"生成成长"),2))/((VLOOKUP($B201,INDIRECT($B$5&amp;"生成成长"),4))/(VLOOKUP(Y$72,INDIRECT($C$5&amp;"生成成长"),5))*(VLOOKUP($B$5,标准坦克设计!$B$24:$U$30,MATCH("对"&amp;LEFT($C$5,2)&amp;"输出",标准坦克设计!$B$23:$U$23,0)))*(VLOOKUP($B201,INDIRECT($B$5&amp;"生成成长"),3))*(VLOOKUP($B$5,标准坦克设计!$B$14:$K$20,9)/30))</f>
        <v>7.2376524110338307</v>
      </c>
      <c r="Z201" s="172">
        <f ca="1">(VLOOKUP(Z$72,INDIRECT($C$5&amp;"生成成长"),2))/((VLOOKUP($B201,INDIRECT($B$5&amp;"生成成长"),4))/(VLOOKUP(Z$72,INDIRECT($C$5&amp;"生成成长"),5))*(VLOOKUP($B$5,标准坦克设计!$B$24:$U$30,MATCH("对"&amp;LEFT($C$5,2)&amp;"输出",标准坦克设计!$B$23:$U$23,0)))*(VLOOKUP($B201,INDIRECT($B$5&amp;"生成成长"),3))*(VLOOKUP($B$5,标准坦克设计!$B$14:$K$20,9)/30))</f>
        <v>8.0070986659049428</v>
      </c>
      <c r="AA201" s="172">
        <f ca="1">(VLOOKUP(AA$72,INDIRECT($C$5&amp;"生成成长"),2))/((VLOOKUP($B201,INDIRECT($B$5&amp;"生成成长"),4))/(VLOOKUP(AA$72,INDIRECT($C$5&amp;"生成成长"),5))*(VLOOKUP($B$5,标准坦克设计!$B$24:$U$30,MATCH("对"&amp;LEFT($C$5,2)&amp;"输出",标准坦克设计!$B$23:$U$23,0)))*(VLOOKUP($B201,INDIRECT($B$5&amp;"生成成长"),3))*(VLOOKUP($B$5,标准坦克设计!$B$14:$K$20,9)/30))</f>
        <v>8.8154058427392386</v>
      </c>
      <c r="AB201" s="172">
        <f ca="1">(VLOOKUP(AB$72,INDIRECT($C$5&amp;"生成成长"),2))/((VLOOKUP($B201,INDIRECT($B$5&amp;"生成成长"),4))/(VLOOKUP(AB$72,INDIRECT($C$5&amp;"生成成长"),5))*(VLOOKUP($B$5,标准坦克设计!$B$24:$U$30,MATCH("对"&amp;LEFT($C$5,2)&amp;"输出",标准坦克设计!$B$23:$U$23,0)))*(VLOOKUP($B201,INDIRECT($B$5&amp;"生成成长"),3))*(VLOOKUP($B$5,标准坦克设计!$B$14:$K$20,9)/30))</f>
        <v>9.662573941536726</v>
      </c>
      <c r="AC201" s="172">
        <f ca="1">(VLOOKUP(AC$72,INDIRECT($C$5&amp;"生成成长"),2))/((VLOOKUP($B201,INDIRECT($B$5&amp;"生成成长"),4))/(VLOOKUP(AC$72,INDIRECT($C$5&amp;"生成成长"),5))*(VLOOKUP($B$5,标准坦克设计!$B$24:$U$30,MATCH("对"&amp;LEFT($C$5,2)&amp;"输出",标准坦克设计!$B$23:$U$23,0)))*(VLOOKUP($B201,INDIRECT($B$5&amp;"生成成长"),3))*(VLOOKUP($B$5,标准坦克设计!$B$14:$K$20,9)/30))</f>
        <v>10.548602962297396</v>
      </c>
      <c r="AD201" s="172">
        <f ca="1">(VLOOKUP(AD$72,INDIRECT($C$5&amp;"生成成长"),2))/((VLOOKUP($B201,INDIRECT($B$5&amp;"生成成长"),4))/(VLOOKUP(AD$72,INDIRECT($C$5&amp;"生成成长"),5))*(VLOOKUP($B$5,标准坦克设计!$B$24:$U$30,MATCH("对"&amp;LEFT($C$5,2)&amp;"输出",标准坦克设计!$B$23:$U$23,0)))*(VLOOKUP($B201,INDIRECT($B$5&amp;"生成成长"),3))*(VLOOKUP($B$5,标准坦克设计!$B$14:$K$20,9)/30))</f>
        <v>11.473492905021253</v>
      </c>
      <c r="AE201" s="172">
        <f ca="1">(VLOOKUP(AE$72,INDIRECT($C$5&amp;"生成成长"),2))/((VLOOKUP($B201,INDIRECT($B$5&amp;"生成成长"),4))/(VLOOKUP(AE$72,INDIRECT($C$5&amp;"生成成长"),5))*(VLOOKUP($B$5,标准坦克设计!$B$24:$U$30,MATCH("对"&amp;LEFT($C$5,2)&amp;"输出",标准坦克设计!$B$23:$U$23,0)))*(VLOOKUP($B201,INDIRECT($B$5&amp;"生成成长"),3))*(VLOOKUP($B$5,标准坦克设计!$B$14:$K$20,9)/30))</f>
        <v>12.437243769708301</v>
      </c>
      <c r="AF201" s="172">
        <f ca="1">(VLOOKUP(AF$72,INDIRECT($C$5&amp;"生成成长"),2))/((VLOOKUP($B201,INDIRECT($B$5&amp;"生成成长"),4))/(VLOOKUP(AF$72,INDIRECT($C$5&amp;"生成成长"),5))*(VLOOKUP($B$5,标准坦克设计!$B$24:$U$30,MATCH("对"&amp;LEFT($C$5,2)&amp;"输出",标准坦克设计!$B$23:$U$23,0)))*(VLOOKUP($B201,INDIRECT($B$5&amp;"生成成长"),3))*(VLOOKUP($B$5,标准坦克设计!$B$14:$K$20,9)/30))</f>
        <v>13.439855556358538</v>
      </c>
      <c r="AG201" s="172">
        <f ca="1">(VLOOKUP(AG$72,INDIRECT($C$5&amp;"生成成长"),2))/((VLOOKUP($B201,INDIRECT($B$5&amp;"生成成长"),4))/(VLOOKUP(AG$72,INDIRECT($C$5&amp;"生成成长"),5))*(VLOOKUP($B$5,标准坦克设计!$B$24:$U$30,MATCH("对"&amp;LEFT($C$5,2)&amp;"输出",标准坦克设计!$B$23:$U$23,0)))*(VLOOKUP($B201,INDIRECT($B$5&amp;"生成成长"),3))*(VLOOKUP($B$5,标准坦克设计!$B$14:$K$20,9)/30))</f>
        <v>14.481328264971957</v>
      </c>
      <c r="AH201" s="172">
        <f ca="1">(VLOOKUP(AH$72,INDIRECT($C$5&amp;"生成成长"),2))/((VLOOKUP($B201,INDIRECT($B$5&amp;"生成成长"),4))/(VLOOKUP(AH$72,INDIRECT($C$5&amp;"生成成长"),5))*(VLOOKUP($B$5,标准坦克设计!$B$24:$U$30,MATCH("对"&amp;LEFT($C$5,2)&amp;"输出",标准坦克设计!$B$23:$U$23,0)))*(VLOOKUP($B201,INDIRECT($B$5&amp;"生成成长"),3))*(VLOOKUP($B$5,标准坦克设计!$B$14:$K$20,9)/30))</f>
        <v>15.561661895548569</v>
      </c>
      <c r="AI201" s="172">
        <f ca="1">(VLOOKUP(AI$72,INDIRECT($C$5&amp;"生成成长"),2))/((VLOOKUP($B201,INDIRECT($B$5&amp;"生成成长"),4))/(VLOOKUP(AI$72,INDIRECT($C$5&amp;"生成成长"),5))*(VLOOKUP($B$5,标准坦克设计!$B$24:$U$30,MATCH("对"&amp;LEFT($C$5,2)&amp;"输出",标准坦克设计!$B$23:$U$23,0)))*(VLOOKUP($B201,INDIRECT($B$5&amp;"生成成长"),3))*(VLOOKUP($B$5,标准坦克设计!$B$14:$K$20,9)/30))</f>
        <v>11.006190318413928</v>
      </c>
      <c r="AJ201" s="172">
        <f ca="1">(VLOOKUP(AJ$72,INDIRECT($C$5&amp;"生成成长"),2))/((VLOOKUP($B201,INDIRECT($B$5&amp;"生成成长"),4))/(VLOOKUP(AJ$72,INDIRECT($C$5&amp;"生成成长"),5))*(VLOOKUP($B$5,标准坦克设计!$B$24:$U$30,MATCH("对"&amp;LEFT($C$5,2)&amp;"输出",标准坦克设计!$B$23:$U$23,0)))*(VLOOKUP($B201,INDIRECT($B$5&amp;"生成成长"),3))*(VLOOKUP($B$5,标准坦克设计!$B$14:$K$20,9)/30))</f>
        <v>12.0470801131979</v>
      </c>
      <c r="AK201" s="172">
        <f ca="1">(VLOOKUP(AK$72,INDIRECT($C$5&amp;"生成成长"),2))/((VLOOKUP($B201,INDIRECT($B$5&amp;"生成成长"),4))/(VLOOKUP(AK$72,INDIRECT($C$5&amp;"生成成长"),5))*(VLOOKUP($B$5,标准坦克设计!$B$24:$U$30,MATCH("对"&amp;LEFT($C$5,2)&amp;"输出",标准坦克设计!$B$23:$U$23,0)))*(VLOOKUP($B201,INDIRECT($B$5&amp;"生成成长"),3))*(VLOOKUP($B$5,标准坦克设计!$B$14:$K$20,9)/30))</f>
        <v>13.134991623557331</v>
      </c>
      <c r="AL201" s="172">
        <f ca="1">(VLOOKUP(AL$72,INDIRECT($C$5&amp;"生成成长"),2))/((VLOOKUP($B201,INDIRECT($B$5&amp;"生成成长"),4))/(VLOOKUP(AL$72,INDIRECT($C$5&amp;"生成成长"),5))*(VLOOKUP($B$5,标准坦克设计!$B$24:$U$30,MATCH("对"&amp;LEFT($C$5,2)&amp;"输出",标准坦克设计!$B$23:$U$23,0)))*(VLOOKUP($B201,INDIRECT($B$5&amp;"生成成长"),3))*(VLOOKUP($B$5,标准坦克设计!$B$14:$K$20,9)/30))</f>
        <v>14.26992484949222</v>
      </c>
      <c r="AM201" s="172">
        <f ca="1">(VLOOKUP(AM$72,INDIRECT($C$5&amp;"生成成长"),2))/((VLOOKUP($B201,INDIRECT($B$5&amp;"生成成长"),4))/(VLOOKUP(AM$72,INDIRECT($C$5&amp;"生成成长"),5))*(VLOOKUP($B$5,标准坦克设计!$B$24:$U$30,MATCH("对"&amp;LEFT($C$5,2)&amp;"输出",标准坦克设计!$B$23:$U$23,0)))*(VLOOKUP($B201,INDIRECT($B$5&amp;"生成成长"),3))*(VLOOKUP($B$5,标准坦克设计!$B$14:$K$20,9)/30))</f>
        <v>15.451879791002563</v>
      </c>
      <c r="AN201" s="172">
        <f ca="1">(VLOOKUP(AN$72,INDIRECT($C$5&amp;"生成成长"),2))/((VLOOKUP($B201,INDIRECT($B$5&amp;"生成成长"),4))/(VLOOKUP(AN$72,INDIRECT($C$5&amp;"生成成长"),5))*(VLOOKUP($B$5,标准坦克设计!$B$24:$U$30,MATCH("对"&amp;LEFT($C$5,2)&amp;"输出",标准坦克设计!$B$23:$U$23,0)))*(VLOOKUP($B201,INDIRECT($B$5&amp;"生成成长"),3))*(VLOOKUP($B$5,标准坦克设计!$B$14:$K$20,9)/30))</f>
        <v>16.68085644808836</v>
      </c>
      <c r="AO201" s="172">
        <f ca="1">(VLOOKUP(AO$72,INDIRECT($C$5&amp;"生成成长"),2))/((VLOOKUP($B201,INDIRECT($B$5&amp;"生成成长"),4))/(VLOOKUP(AO$72,INDIRECT($C$5&amp;"生成成长"),5))*(VLOOKUP($B$5,标准坦克设计!$B$24:$U$30,MATCH("对"&amp;LEFT($C$5,2)&amp;"输出",标准坦克设计!$B$23:$U$23,0)))*(VLOOKUP($B201,INDIRECT($B$5&amp;"生成成长"),3))*(VLOOKUP($B$5,标准坦克设计!$B$14:$K$20,9)/30))</f>
        <v>17.956854820749619</v>
      </c>
      <c r="AP201" s="172">
        <f ca="1">(VLOOKUP(AP$72,INDIRECT($C$5&amp;"生成成长"),2))/((VLOOKUP($B201,INDIRECT($B$5&amp;"生成成长"),4))/(VLOOKUP(AP$72,INDIRECT($C$5&amp;"生成成长"),5))*(VLOOKUP($B$5,标准坦克设计!$B$24:$U$30,MATCH("对"&amp;LEFT($C$5,2)&amp;"输出",标准坦克设计!$B$23:$U$23,0)))*(VLOOKUP($B201,INDIRECT($B$5&amp;"生成成长"),3))*(VLOOKUP($B$5,标准坦克设计!$B$14:$K$20,9)/30))</f>
        <v>19.279874908986336</v>
      </c>
      <c r="AQ201" s="172">
        <f ca="1">(VLOOKUP(AQ$72,INDIRECT($C$5&amp;"生成成长"),2))/((VLOOKUP($B201,INDIRECT($B$5&amp;"生成成长"),4))/(VLOOKUP(AQ$72,INDIRECT($C$5&amp;"生成成长"),5))*(VLOOKUP($B$5,标准坦克设计!$B$24:$U$30,MATCH("对"&amp;LEFT($C$5,2)&amp;"输出",标准坦克设计!$B$23:$U$23,0)))*(VLOOKUP($B201,INDIRECT($B$5&amp;"生成成长"),3))*(VLOOKUP($B$5,标准坦克设计!$B$14:$K$20,9)/30))</f>
        <v>20.649916712798504</v>
      </c>
      <c r="AR201" s="172">
        <f ca="1">(VLOOKUP(AR$72,INDIRECT($C$5&amp;"生成成长"),2))/((VLOOKUP($B201,INDIRECT($B$5&amp;"生成成长"),4))/(VLOOKUP(AR$72,INDIRECT($C$5&amp;"生成成长"),5))*(VLOOKUP($B$5,标准坦克设计!$B$24:$U$30,MATCH("对"&amp;LEFT($C$5,2)&amp;"输出",标准坦克设计!$B$23:$U$23,0)))*(VLOOKUP($B201,INDIRECT($B$5&amp;"生成成长"),3))*(VLOOKUP($B$5,标准坦克设计!$B$14:$K$20,9)/30))</f>
        <v>22.066980232186133</v>
      </c>
      <c r="AS201" s="172">
        <f ca="1">(VLOOKUP(AS$72,INDIRECT($C$5&amp;"生成成长"),2))/((VLOOKUP($B201,INDIRECT($B$5&amp;"生成成长"),4))/(VLOOKUP(AS$72,INDIRECT($C$5&amp;"生成成长"),5))*(VLOOKUP($B$5,标准坦克设计!$B$24:$U$30,MATCH("对"&amp;LEFT($C$5,2)&amp;"输出",标准坦克设计!$B$23:$U$23,0)))*(VLOOKUP($B201,INDIRECT($B$5&amp;"生成成长"),3))*(VLOOKUP($B$5,标准坦克设计!$B$14:$K$20,9)/30))</f>
        <v>23.531065467149215</v>
      </c>
      <c r="AT201" s="172">
        <f ca="1">(VLOOKUP(AT$72,INDIRECT($C$5&amp;"生成成长"),2))/((VLOOKUP($B201,INDIRECT($B$5&amp;"生成成长"),4))/(VLOOKUP(AT$72,INDIRECT($C$5&amp;"生成成长"),5))*(VLOOKUP($B$5,标准坦克设计!$B$24:$U$30,MATCH("对"&amp;LEFT($C$5,2)&amp;"输出",标准坦克设计!$B$23:$U$23,0)))*(VLOOKUP($B201,INDIRECT($B$5&amp;"生成成长"),3))*(VLOOKUP($B$5,标准坦克设计!$B$14:$K$20,9)/30))</f>
        <v>25.042172417687755</v>
      </c>
      <c r="AU201" s="172">
        <f ca="1">(VLOOKUP(AU$72,INDIRECT($C$5&amp;"生成成长"),2))/((VLOOKUP($B201,INDIRECT($B$5&amp;"生成成长"),4))/(VLOOKUP(AU$72,INDIRECT($C$5&amp;"生成成长"),5))*(VLOOKUP($B$5,标准坦克设计!$B$24:$U$30,MATCH("对"&amp;LEFT($C$5,2)&amp;"输出",标准坦克设计!$B$23:$U$23,0)))*(VLOOKUP($B201,INDIRECT($B$5&amp;"生成成长"),3))*(VLOOKUP($B$5,标准坦克设计!$B$14:$K$20,9)/30))</f>
        <v>26.600301083801757</v>
      </c>
      <c r="AV201" s="172">
        <f ca="1">(VLOOKUP(AV$72,INDIRECT($C$5&amp;"生成成长"),2))/((VLOOKUP($B201,INDIRECT($B$5&amp;"生成成长"),4))/(VLOOKUP(AV$72,INDIRECT($C$5&amp;"生成成长"),5))*(VLOOKUP($B$5,标准坦克设计!$B$24:$U$30,MATCH("对"&amp;LEFT($C$5,2)&amp;"输出",标准坦克设计!$B$23:$U$23,0)))*(VLOOKUP($B201,INDIRECT($B$5&amp;"生成成长"),3))*(VLOOKUP($B$5,标准坦克设计!$B$14:$K$20,9)/30))</f>
        <v>2.7054973870771049</v>
      </c>
      <c r="AW201" s="172">
        <f ca="1">(VLOOKUP(AW$72,INDIRECT($C$5&amp;"生成成长"),2))/((VLOOKUP($B201,INDIRECT($B$5&amp;"生成成长"),4))/(VLOOKUP(AW$72,INDIRECT($C$5&amp;"生成成长"),5))*(VLOOKUP($B$5,标准坦克设计!$B$24:$U$30,MATCH("对"&amp;LEFT($C$5,2)&amp;"输出",标准坦克设计!$B$23:$U$23,0)))*(VLOOKUP($B201,INDIRECT($B$5&amp;"生成成长"),3))*(VLOOKUP($B$5,标准坦克设计!$B$14:$K$20,9)/30))</f>
        <v>3.0847799854378133</v>
      </c>
      <c r="AX201" s="172">
        <f ca="1">(VLOOKUP(AX$72,INDIRECT($C$5&amp;"生成成长"),2))/((VLOOKUP($B201,INDIRECT($B$5&amp;"生成成长"),4))/(VLOOKUP(AX$72,INDIRECT($C$5&amp;"生成成长"),5))*(VLOOKUP($B$5,标准坦克设计!$B$24:$U$30,MATCH("对"&amp;LEFT($C$5,2)&amp;"输出",标准坦克设计!$B$23:$U$23,0)))*(VLOOKUP($B201,INDIRECT($B$5&amp;"生成成长"),3))*(VLOOKUP($B$5,标准坦克设计!$B$14:$K$20,9)/30))</f>
        <v>3.4889335738549625</v>
      </c>
      <c r="AY201" s="172">
        <f ca="1">(VLOOKUP(AY$72,INDIRECT($C$5&amp;"生成成长"),2))/((VLOOKUP($B201,INDIRECT($B$5&amp;"生成成长"),4))/(VLOOKUP(AY$72,INDIRECT($C$5&amp;"生成成长"),5))*(VLOOKUP($B$5,标准坦克设计!$B$24:$U$30,MATCH("对"&amp;LEFT($C$5,2)&amp;"输出",标准坦克设计!$B$23:$U$23,0)))*(VLOOKUP($B201,INDIRECT($B$5&amp;"生成成长"),3))*(VLOOKUP($B$5,标准坦克设计!$B$14:$K$20,9)/30))</f>
        <v>3.9179581523285503</v>
      </c>
      <c r="AZ201" s="172">
        <f ca="1">(VLOOKUP(AZ$72,INDIRECT($C$5&amp;"生成成长"),2))/((VLOOKUP($B201,INDIRECT($B$5&amp;"生成成长"),4))/(VLOOKUP(AZ$72,INDIRECT($C$5&amp;"生成成长"),5))*(VLOOKUP($B$5,标准坦克设计!$B$24:$U$30,MATCH("对"&amp;LEFT($C$5,2)&amp;"输出",标准坦克设计!$B$23:$U$23,0)))*(VLOOKUP($B201,INDIRECT($B$5&amp;"生成成长"),3))*(VLOOKUP($B$5,标准坦克设计!$B$14:$K$20,9)/30))</f>
        <v>4.3718537208585788</v>
      </c>
      <c r="BA201" s="172">
        <f ca="1">(VLOOKUP(BA$72,INDIRECT($C$5&amp;"生成成长"),2))/((VLOOKUP($B201,INDIRECT($B$5&amp;"生成成长"),4))/(VLOOKUP(BA$72,INDIRECT($C$5&amp;"生成成长"),5))*(VLOOKUP($B$5,标准坦克设计!$B$24:$U$30,MATCH("对"&amp;LEFT($C$5,2)&amp;"输出",标准坦克设计!$B$23:$U$23,0)))*(VLOOKUP($B201,INDIRECT($B$5&amp;"生成成长"),3))*(VLOOKUP($B$5,标准坦克设计!$B$14:$K$20,9)/30))</f>
        <v>4.8506202794450477</v>
      </c>
      <c r="BB201" s="172">
        <f ca="1">(VLOOKUP(BB$72,INDIRECT($C$5&amp;"生成成长"),2))/((VLOOKUP($B201,INDIRECT($B$5&amp;"生成成长"),4))/(VLOOKUP(BB$72,INDIRECT($C$5&amp;"生成成长"),5))*(VLOOKUP($B$5,标准坦克设计!$B$24:$U$30,MATCH("对"&amp;LEFT($C$5,2)&amp;"输出",标准坦克设计!$B$23:$U$23,0)))*(VLOOKUP($B201,INDIRECT($B$5&amp;"生成成长"),3))*(VLOOKUP($B$5,标准坦克设计!$B$14:$K$20,9)/30))</f>
        <v>5.3542578280879551</v>
      </c>
      <c r="BC201" s="172">
        <f ca="1">(VLOOKUP(BC$72,INDIRECT($C$5&amp;"生成成长"),2))/((VLOOKUP($B201,INDIRECT($B$5&amp;"生成成长"),4))/(VLOOKUP(BC$72,INDIRECT($C$5&amp;"生成成长"),5))*(VLOOKUP($B$5,标准坦克设计!$B$24:$U$30,MATCH("对"&amp;LEFT($C$5,2)&amp;"输出",标准坦克设计!$B$23:$U$23,0)))*(VLOOKUP($B201,INDIRECT($B$5&amp;"生成成长"),3))*(VLOOKUP($B$5,标准坦克设计!$B$14:$K$20,9)/30))</f>
        <v>5.8827663667873038</v>
      </c>
      <c r="BD201" s="172">
        <f ca="1">(VLOOKUP(BD$72,INDIRECT($C$5&amp;"生成成长"),2))/((VLOOKUP($B201,INDIRECT($B$5&amp;"生成成长"),4))/(VLOOKUP(BD$72,INDIRECT($C$5&amp;"生成成长"),5))*(VLOOKUP($B$5,标准坦克设计!$B$24:$U$30,MATCH("对"&amp;LEFT($C$5,2)&amp;"输出",标准坦克设计!$B$23:$U$23,0)))*(VLOOKUP($B201,INDIRECT($B$5&amp;"生成成长"),3))*(VLOOKUP($B$5,标准坦克设计!$B$14:$K$20,9)/30))</f>
        <v>6.5070670781259103</v>
      </c>
      <c r="BE201" s="172">
        <f ca="1">(VLOOKUP(BE$72,INDIRECT($C$5&amp;"生成成长"),2))/((VLOOKUP($B201,INDIRECT($B$5&amp;"生成成长"),4))/(VLOOKUP(BE$72,INDIRECT($C$5&amp;"生成成长"),5))*(VLOOKUP($B$5,标准坦克设计!$B$24:$U$30,MATCH("对"&amp;LEFT($C$5,2)&amp;"输出",标准坦克设计!$B$23:$U$23,0)))*(VLOOKUP($B201,INDIRECT($B$5&amp;"生成成长"),3))*(VLOOKUP($B$5,标准坦克设计!$B$14:$K$20,9)/30))</f>
        <v>7.1628451362546963</v>
      </c>
      <c r="BF201" s="172">
        <f ca="1">(VLOOKUP(BF$72,INDIRECT($C$5&amp;"生成成长"),2))/((VLOOKUP($B201,INDIRECT($B$5&amp;"生成成长"),4))/(VLOOKUP(BF$72,INDIRECT($C$5&amp;"生成成长"),5))*(VLOOKUP($B$5,标准坦克设计!$B$24:$U$30,MATCH("对"&amp;LEFT($C$5,2)&amp;"输出",标准坦克设计!$B$23:$U$23,0)))*(VLOOKUP($B201,INDIRECT($B$5&amp;"生成成长"),3))*(VLOOKUP($B$5,标准坦克设计!$B$14:$K$20,9)/30))</f>
        <v>7.8501005411736644</v>
      </c>
      <c r="BG201" s="172">
        <f ca="1">(VLOOKUP(BG$72,INDIRECT($C$5&amp;"生成成长"),2))/((VLOOKUP($B201,INDIRECT($B$5&amp;"生成成长"),4))/(VLOOKUP(BG$72,INDIRECT($C$5&amp;"生成成长"),5))*(VLOOKUP($B$5,标准坦克设计!$B$24:$U$30,MATCH("对"&amp;LEFT($C$5,2)&amp;"输出",标准坦克设计!$B$23:$U$23,0)))*(VLOOKUP($B201,INDIRECT($B$5&amp;"生成成长"),3))*(VLOOKUP($B$5,标准坦克设计!$B$14:$K$20,9)/30))</f>
        <v>8.5688332928828164</v>
      </c>
      <c r="BH201" s="172">
        <f ca="1">(VLOOKUP(BH$72,INDIRECT($C$5&amp;"生成成长"),2))/((VLOOKUP($B201,INDIRECT($B$5&amp;"生成成长"),4))/(VLOOKUP(BH$72,INDIRECT($C$5&amp;"生成成长"),5))*(VLOOKUP($B$5,标准坦克设计!$B$24:$U$30,MATCH("对"&amp;LEFT($C$5,2)&amp;"输出",标准坦克设计!$B$23:$U$23,0)))*(VLOOKUP($B201,INDIRECT($B$5&amp;"生成成长"),3))*(VLOOKUP($B$5,标准坦克设计!$B$14:$K$20,9)/30))</f>
        <v>4.1417970628365097</v>
      </c>
      <c r="BI201" s="172">
        <f ca="1">(VLOOKUP(BI$72,INDIRECT($C$5&amp;"生成成长"),2))/((VLOOKUP($B201,INDIRECT($B$5&amp;"生成成长"),4))/(VLOOKUP(BI$72,INDIRECT($C$5&amp;"生成成长"),5))*(VLOOKUP($B$5,标准坦克设计!$B$24:$U$30,MATCH("对"&amp;LEFT($C$5,2)&amp;"输出",标准坦克设计!$B$23:$U$23,0)))*(VLOOKUP($B201,INDIRECT($B$5&amp;"生成成长"),3))*(VLOOKUP($B$5,标准坦克设计!$B$14:$K$20,9)/30))</f>
        <v>4.6681682508278826</v>
      </c>
      <c r="BJ201" s="172">
        <f ca="1">(VLOOKUP(BJ$72,INDIRECT($C$5&amp;"生成成长"),2))/((VLOOKUP($B201,INDIRECT($B$5&amp;"生成成长"),4))/(VLOOKUP(BJ$72,INDIRECT($C$5&amp;"生成成长"),5))*(VLOOKUP($B$5,标准坦克设计!$B$24:$U$30,MATCH("对"&amp;LEFT($C$5,2)&amp;"输出",标准坦克设计!$B$23:$U$23,0)))*(VLOOKUP($B201,INDIRECT($B$5&amp;"生成成长"),3))*(VLOOKUP($B$5,标准坦克设计!$B$14:$K$20,9)/30))</f>
        <v>5.2260167856094375</v>
      </c>
      <c r="BK201" s="172">
        <f ca="1">(VLOOKUP(BK$72,INDIRECT($C$5&amp;"生成成长"),2))/((VLOOKUP($B201,INDIRECT($B$5&amp;"生成成长"),4))/(VLOOKUP(BK$72,INDIRECT($C$5&amp;"生成成长"),5))*(VLOOKUP($B$5,标准坦克设计!$B$24:$U$30,MATCH("对"&amp;LEFT($C$5,2)&amp;"输出",标准坦克设计!$B$23:$U$23,0)))*(VLOOKUP($B201,INDIRECT($B$5&amp;"生成成长"),3))*(VLOOKUP($B$5,标准坦克设计!$B$14:$K$20,9)/30))</f>
        <v>5.8153426671811737</v>
      </c>
      <c r="BL201" s="172">
        <f ca="1">(VLOOKUP(BL$72,INDIRECT($C$5&amp;"生成成长"),2))/((VLOOKUP($B201,INDIRECT($B$5&amp;"生成成长"),4))/(VLOOKUP(BL$72,INDIRECT($C$5&amp;"生成成长"),5))*(VLOOKUP($B$5,标准坦克设计!$B$24:$U$30,MATCH("对"&amp;LEFT($C$5,2)&amp;"输出",标准坦克设计!$B$23:$U$23,0)))*(VLOOKUP($B201,INDIRECT($B$5&amp;"生成成长"),3))*(VLOOKUP($B$5,标准坦克设计!$B$14:$K$20,9)/30))</f>
        <v>6.4361458955430919</v>
      </c>
      <c r="BM201" s="172">
        <f ca="1">(VLOOKUP(BM$72,INDIRECT($C$5&amp;"生成成长"),2))/((VLOOKUP($B201,INDIRECT($B$5&amp;"生成成长"),4))/(VLOOKUP(BM$72,INDIRECT($C$5&amp;"生成成长"),5))*(VLOOKUP($B$5,标准坦克设计!$B$24:$U$30,MATCH("对"&amp;LEFT($C$5,2)&amp;"输出",标准坦克设计!$B$23:$U$23,0)))*(VLOOKUP($B201,INDIRECT($B$5&amp;"生成成长"),3))*(VLOOKUP($B$5,标准坦克设计!$B$14:$K$20,9)/30))</f>
        <v>7.0884264706951914</v>
      </c>
      <c r="BN201" s="172">
        <f ca="1">(VLOOKUP(BN$72,INDIRECT($C$5&amp;"生成成长"),2))/((VLOOKUP($B201,INDIRECT($B$5&amp;"生成成长"),4))/(VLOOKUP(BN$72,INDIRECT($C$5&amp;"生成成长"),5))*(VLOOKUP($B$5,标准坦克设计!$B$24:$U$30,MATCH("对"&amp;LEFT($C$5,2)&amp;"输出",标准坦克设计!$B$23:$U$23,0)))*(VLOOKUP($B201,INDIRECT($B$5&amp;"生成成长"),3))*(VLOOKUP($B$5,标准坦克设计!$B$14:$K$20,9)/30))</f>
        <v>7.7721843926374738</v>
      </c>
      <c r="BO201" s="172">
        <f ca="1">(VLOOKUP(BO$72,INDIRECT($C$5&amp;"生成成长"),2))/((VLOOKUP($B201,INDIRECT($B$5&amp;"生成成长"),4))/(VLOOKUP(BO$72,INDIRECT($C$5&amp;"生成成长"),5))*(VLOOKUP($B$5,标准坦克设计!$B$24:$U$30,MATCH("对"&amp;LEFT($C$5,2)&amp;"输出",标准坦克设计!$B$23:$U$23,0)))*(VLOOKUP($B201,INDIRECT($B$5&amp;"生成成长"),3))*(VLOOKUP($B$5,标准坦克设计!$B$14:$K$20,9)/30))</f>
        <v>8.4874196613699375</v>
      </c>
      <c r="BP201" s="172">
        <f ca="1">(VLOOKUP(BP$72,INDIRECT($C$5&amp;"生成成长"),2))/((VLOOKUP($B201,INDIRECT($B$5&amp;"生成成长"),4))/(VLOOKUP(BP$72,INDIRECT($C$5&amp;"生成成长"),5))*(VLOOKUP($B$5,标准坦克设计!$B$24:$U$30,MATCH("对"&amp;LEFT($C$5,2)&amp;"输出",标准坦克设计!$B$23:$U$23,0)))*(VLOOKUP($B201,INDIRECT($B$5&amp;"生成成长"),3))*(VLOOKUP($B$5,标准坦克设计!$B$14:$K$20,9)/30))</f>
        <v>9.2341322768925842</v>
      </c>
      <c r="BQ201" s="172">
        <f ca="1">(VLOOKUP(BQ$72,INDIRECT($C$5&amp;"生成成长"),2))/((VLOOKUP($B201,INDIRECT($B$5&amp;"生成成长"),4))/(VLOOKUP(BQ$72,INDIRECT($C$5&amp;"生成成长"),5))*(VLOOKUP($B$5,标准坦克设计!$B$24:$U$30,MATCH("对"&amp;LEFT($C$5,2)&amp;"输出",标准坦克设计!$B$23:$U$23,0)))*(VLOOKUP($B201,INDIRECT($B$5&amp;"生成成长"),3))*(VLOOKUP($B$5,标准坦克设计!$B$14:$K$20,9)/30))</f>
        <v>10.012322239205409</v>
      </c>
      <c r="BR201" s="172">
        <f ca="1">(VLOOKUP(BR$72,INDIRECT($C$5&amp;"生成成长"),2))/((VLOOKUP($B201,INDIRECT($B$5&amp;"生成成长"),4))/(VLOOKUP(BR$72,INDIRECT($C$5&amp;"生成成长"),5))*(VLOOKUP($B$5,标准坦克设计!$B$24:$U$30,MATCH("对"&amp;LEFT($C$5,2)&amp;"输出",标准坦克设计!$B$23:$U$23,0)))*(VLOOKUP($B201,INDIRECT($B$5&amp;"生成成长"),3))*(VLOOKUP($B$5,标准坦克设计!$B$14:$K$20,9)/30))</f>
        <v>10.913895628751357</v>
      </c>
      <c r="BS201" s="172">
        <f ca="1">(VLOOKUP(BS$72,INDIRECT($C$5&amp;"生成成长"),2))/((VLOOKUP($B201,INDIRECT($B$5&amp;"生成成长"),4))/(VLOOKUP(BS$72,INDIRECT($C$5&amp;"生成成长"),5))*(VLOOKUP($B$5,标准坦克设计!$B$24:$U$30,MATCH("对"&amp;LEFT($C$5,2)&amp;"输出",标准坦克设计!$B$23:$U$23,0)))*(VLOOKUP($B201,INDIRECT($B$5&amp;"生成成长"),3))*(VLOOKUP($B$5,标准坦克设计!$B$14:$K$20,9)/30))</f>
        <v>11.854329940260492</v>
      </c>
      <c r="BT201" s="172">
        <f ca="1">(VLOOKUP(BT$72,INDIRECT($C$5&amp;"生成成长"),2))/((VLOOKUP($B201,INDIRECT($B$5&amp;"生成成长"),4))/(VLOOKUP(BT$72,INDIRECT($C$5&amp;"生成成长"),5))*(VLOOKUP($B$5,标准坦克设计!$B$24:$U$30,MATCH("对"&amp;LEFT($C$5,2)&amp;"输出",标准坦克设计!$B$23:$U$23,0)))*(VLOOKUP($B201,INDIRECT($B$5&amp;"生成成长"),3))*(VLOOKUP($B$5,标准坦克设计!$B$14:$K$20,9)/30))</f>
        <v>12.833625173732814</v>
      </c>
      <c r="BU201" s="172">
        <f ca="1">(VLOOKUP(BU$72,INDIRECT($C$5&amp;"生成成长"),2))/((VLOOKUP($B201,INDIRECT($B$5&amp;"生成成长"),4))/(VLOOKUP(BU$72,INDIRECT($C$5&amp;"生成成长"),5))*(VLOOKUP($B$5,标准坦克设计!$B$24:$U$30,MATCH("对"&amp;LEFT($C$5,2)&amp;"输出",标准坦克设计!$B$23:$U$23,0)))*(VLOOKUP($B201,INDIRECT($B$5&amp;"生成成长"),3))*(VLOOKUP($B$5,标准坦克设计!$B$14:$K$20,9)/30))</f>
        <v>13.851781329168322</v>
      </c>
      <c r="BV201" s="172">
        <f ca="1">(VLOOKUP(BV$72,INDIRECT($C$5&amp;"生成成长"),2))/((VLOOKUP($B201,INDIRECT($B$5&amp;"生成成长"),4))/(VLOOKUP(BV$72,INDIRECT($C$5&amp;"生成成长"),5))*(VLOOKUP($B$5,标准坦克设计!$B$24:$U$30,MATCH("对"&amp;LEFT($C$5,2)&amp;"输出",标准坦克设计!$B$23:$U$23,0)))*(VLOOKUP($B201,INDIRECT($B$5&amp;"生成成长"),3))*(VLOOKUP($B$5,标准坦克设计!$B$14:$K$20,9)/30))</f>
        <v>14.908798406567017</v>
      </c>
      <c r="BW201" s="172">
        <f ca="1">(VLOOKUP(BW$72,INDIRECT($C$5&amp;"生成成长"),2))/((VLOOKUP($B201,INDIRECT($B$5&amp;"生成成长"),4))/(VLOOKUP(BW$72,INDIRECT($C$5&amp;"生成成长"),5))*(VLOOKUP($B$5,标准坦克设计!$B$24:$U$30,MATCH("对"&amp;LEFT($C$5,2)&amp;"输出",标准坦克设计!$B$23:$U$23,0)))*(VLOOKUP($B201,INDIRECT($B$5&amp;"生成成长"),3))*(VLOOKUP($B$5,标准坦克设计!$B$14:$K$20,9)/30))</f>
        <v>6.7946379006534947</v>
      </c>
      <c r="BX201" s="172">
        <f ca="1">(VLOOKUP(BX$72,INDIRECT($C$5&amp;"生成成长"),2))/((VLOOKUP($B201,INDIRECT($B$5&amp;"生成成长"),4))/(VLOOKUP(BX$72,INDIRECT($C$5&amp;"生成成长"),5))*(VLOOKUP($B$5,标准坦克设计!$B$24:$U$30,MATCH("对"&amp;LEFT($C$5,2)&amp;"输出",标准坦克设计!$B$23:$U$23,0)))*(VLOOKUP($B201,INDIRECT($B$5&amp;"生成成长"),3))*(VLOOKUP($B$5,标准坦克设计!$B$14:$K$20,9)/30))</f>
        <v>7.5407676023466932</v>
      </c>
      <c r="BY201" s="172">
        <f ca="1">(VLOOKUP(BY$72,INDIRECT($C$5&amp;"生成成长"),2))/((VLOOKUP($B201,INDIRECT($B$5&amp;"生成成长"),4))/(VLOOKUP(BY$72,INDIRECT($C$5&amp;"生成成长"),5))*(VLOOKUP($B$5,标准坦克设计!$B$24:$U$30,MATCH("对"&amp;LEFT($C$5,2)&amp;"输出",标准坦克设计!$B$23:$U$23,0)))*(VLOOKUP($B201,INDIRECT($B$5&amp;"生成成长"),3))*(VLOOKUP($B$5,标准坦克设计!$B$14:$K$20,9)/30))</f>
        <v>8.3257582260030762</v>
      </c>
      <c r="BZ201" s="172">
        <f ca="1">(VLOOKUP(BZ$72,INDIRECT($C$5&amp;"生成成长"),2))/((VLOOKUP($B201,INDIRECT($B$5&amp;"生成成长"),4))/(VLOOKUP(BZ$72,INDIRECT($C$5&amp;"生成成长"),5))*(VLOOKUP($B$5,标准坦克设计!$B$24:$U$30,MATCH("对"&amp;LEFT($C$5,2)&amp;"输出",标准坦克设计!$B$23:$U$23,0)))*(VLOOKUP($B201,INDIRECT($B$5&amp;"生成成长"),3))*(VLOOKUP($B$5,标准坦克设计!$B$14:$K$20,9)/30))</f>
        <v>9.1496097716226501</v>
      </c>
      <c r="CA201" s="172">
        <f ca="1">(VLOOKUP(CA$72,INDIRECT($C$5&amp;"生成成长"),2))/((VLOOKUP($B201,INDIRECT($B$5&amp;"生成成长"),4))/(VLOOKUP(CA$72,INDIRECT($C$5&amp;"生成成长"),5))*(VLOOKUP($B$5,标准坦克设计!$B$24:$U$30,MATCH("对"&amp;LEFT($C$5,2)&amp;"输出",标准坦克设计!$B$23:$U$23,0)))*(VLOOKUP($B201,INDIRECT($B$5&amp;"生成成长"),3))*(VLOOKUP($B$5,标准坦克设计!$B$14:$K$20,9)/30))</f>
        <v>10.012322239205409</v>
      </c>
      <c r="CB201" s="172">
        <f ca="1">(VLOOKUP(CB$72,INDIRECT($C$5&amp;"生成成长"),2))/((VLOOKUP($B201,INDIRECT($B$5&amp;"生成成长"),4))/(VLOOKUP(CB$72,INDIRECT($C$5&amp;"生成成长"),5))*(VLOOKUP($B$5,标准坦克设计!$B$24:$U$30,MATCH("对"&amp;LEFT($C$5,2)&amp;"输出",标准坦克设计!$B$23:$U$23,0)))*(VLOOKUP($B201,INDIRECT($B$5&amp;"生成成长"),3))*(VLOOKUP($B$5,标准坦克设计!$B$14:$K$20,9)/30))</f>
        <v>10.913895628751357</v>
      </c>
      <c r="CC201" s="172">
        <f ca="1">(VLOOKUP(CC$72,INDIRECT($C$5&amp;"生成成长"),2))/((VLOOKUP($B201,INDIRECT($B$5&amp;"生成成长"),4))/(VLOOKUP(CC$72,INDIRECT($C$5&amp;"生成成长"),5))*(VLOOKUP($B$5,标准坦克设计!$B$24:$U$30,MATCH("对"&amp;LEFT($C$5,2)&amp;"输出",标准坦克设计!$B$23:$U$23,0)))*(VLOOKUP($B201,INDIRECT($B$5&amp;"生成成长"),3))*(VLOOKUP($B$5,标准坦克设计!$B$14:$K$20,9)/30))</f>
        <v>11.854329940260492</v>
      </c>
      <c r="CD201" s="172">
        <f ca="1">(VLOOKUP(CD$72,INDIRECT($C$5&amp;"生成成长"),2))/((VLOOKUP($B201,INDIRECT($B$5&amp;"生成成长"),4))/(VLOOKUP(CD$72,INDIRECT($C$5&amp;"生成成长"),5))*(VLOOKUP($B$5,标准坦克设计!$B$24:$U$30,MATCH("对"&amp;LEFT($C$5,2)&amp;"输出",标准坦克设计!$B$23:$U$23,0)))*(VLOOKUP($B201,INDIRECT($B$5&amp;"生成成长"),3))*(VLOOKUP($B$5,标准坦克设计!$B$14:$K$20,9)/30))</f>
        <v>12.833625173732814</v>
      </c>
      <c r="CE201" s="172">
        <f ca="1">(VLOOKUP(CE$72,INDIRECT($C$5&amp;"生成成长"),2))/((VLOOKUP($B201,INDIRECT($B$5&amp;"生成成长"),4))/(VLOOKUP(CE$72,INDIRECT($C$5&amp;"生成成长"),5))*(VLOOKUP($B$5,标准坦克设计!$B$24:$U$30,MATCH("对"&amp;LEFT($C$5,2)&amp;"输出",标准坦克设计!$B$23:$U$23,0)))*(VLOOKUP($B201,INDIRECT($B$5&amp;"生成成长"),3))*(VLOOKUP($B$5,标准坦克设计!$B$14:$K$20,9)/30))</f>
        <v>13.851781329168322</v>
      </c>
      <c r="CF201" s="172">
        <f ca="1">(VLOOKUP(CF$72,INDIRECT($C$5&amp;"生成成长"),2))/((VLOOKUP($B201,INDIRECT($B$5&amp;"生成成长"),4))/(VLOOKUP(CF$72,INDIRECT($C$5&amp;"生成成长"),5))*(VLOOKUP($B$5,标准坦克设计!$B$24:$U$30,MATCH("对"&amp;LEFT($C$5,2)&amp;"输出",标准坦克设计!$B$23:$U$23,0)))*(VLOOKUP($B201,INDIRECT($B$5&amp;"生成成长"),3))*(VLOOKUP($B$5,标准坦克设计!$B$14:$K$20,9)/30))</f>
        <v>14.908798406567017</v>
      </c>
      <c r="CG201" s="172">
        <f ca="1">(VLOOKUP(CG$72,INDIRECT($C$5&amp;"生成成长"),2))/((VLOOKUP($B201,INDIRECT($B$5&amp;"生成成长"),4))/(VLOOKUP(CG$72,INDIRECT($C$5&amp;"生成成长"),5))*(VLOOKUP($B$5,标准坦克设计!$B$24:$U$30,MATCH("对"&amp;LEFT($C$5,2)&amp;"输出",标准坦克设计!$B$23:$U$23,0)))*(VLOOKUP($B201,INDIRECT($B$5&amp;"生成成长"),3))*(VLOOKUP($B$5,标准坦克设计!$B$14:$K$20,9)/30))</f>
        <v>16.004676405928905</v>
      </c>
      <c r="CH201" s="172">
        <f ca="1">(VLOOKUP(CH$72,INDIRECT($C$5&amp;"生成成长"),2))/((VLOOKUP($B201,INDIRECT($B$5&amp;"生成成长"),4))/(VLOOKUP(CH$72,INDIRECT($C$5&amp;"生成成长"),5))*(VLOOKUP($B$5,标准坦克设计!$B$24:$U$30,MATCH("对"&amp;LEFT($C$5,2)&amp;"输出",标准坦克设计!$B$23:$U$23,0)))*(VLOOKUP($B201,INDIRECT($B$5&amp;"生成成长"),3))*(VLOOKUP($B$5,标准坦克设计!$B$14:$K$20,9)/30))</f>
        <v>17.139415327253975</v>
      </c>
      <c r="CI201" s="172">
        <f ca="1">(VLOOKUP(CI$72,INDIRECT($C$5&amp;"生成成长"),2))/((VLOOKUP($B201,INDIRECT($B$5&amp;"生成成长"),4))/(VLOOKUP(CI$72,INDIRECT($C$5&amp;"生成成长"),5))*(VLOOKUP($B$5,标准坦克设计!$B$24:$U$30,MATCH("对"&amp;LEFT($C$5,2)&amp;"输出",标准坦克设计!$B$23:$U$23,0)))*(VLOOKUP($B201,INDIRECT($B$5&amp;"生成成长"),3))*(VLOOKUP($B$5,标准坦克设计!$B$14:$K$20,9)/30))</f>
        <v>18.432512505579034</v>
      </c>
      <c r="CJ201" s="172">
        <f ca="1">(VLOOKUP(CJ$72,INDIRECT($C$5&amp;"生成成长"),2))/((VLOOKUP($B201,INDIRECT($B$5&amp;"生成成长"),4))/(VLOOKUP(CJ$72,INDIRECT($C$5&amp;"生成成长"),5))*(VLOOKUP($B$5,标准坦克设计!$B$24:$U$30,MATCH("对"&amp;LEFT($C$5,2)&amp;"输出",标准坦克设计!$B$23:$U$23,0)))*(VLOOKUP($B201,INDIRECT($B$5&amp;"生成成长"),3))*(VLOOKUP($B$5,标准坦克设计!$B$14:$K$20,9)/30))</f>
        <v>19.77263139947955</v>
      </c>
      <c r="CK201" s="172">
        <f ca="1">(VLOOKUP(CK$72,INDIRECT($C$5&amp;"生成成长"),2))/((VLOOKUP($B201,INDIRECT($B$5&amp;"生成成长"),4))/(VLOOKUP(CK$72,INDIRECT($C$5&amp;"生成成长"),5))*(VLOOKUP($B$5,标准坦克设计!$B$24:$U$30,MATCH("对"&amp;LEFT($C$5,2)&amp;"输出",标准坦克设计!$B$23:$U$23,0)))*(VLOOKUP($B201,INDIRECT($B$5&amp;"生成成长"),3))*(VLOOKUP($B$5,标准坦克设计!$B$14:$K$20,9)/30))</f>
        <v>21.159772008955525</v>
      </c>
      <c r="CL201" s="172">
        <f ca="1">(VLOOKUP(CL$72,INDIRECT($C$5&amp;"生成成长"),2))/((VLOOKUP($B201,INDIRECT($B$5&amp;"生成成长"),4))/(VLOOKUP(CL$72,INDIRECT($C$5&amp;"生成成长"),5))*(VLOOKUP($B$5,标准坦克设计!$B$24:$U$30,MATCH("对"&amp;LEFT($C$5,2)&amp;"输出",标准坦克设计!$B$23:$U$23,0)))*(VLOOKUP($B201,INDIRECT($B$5&amp;"生成成长"),3))*(VLOOKUP($B$5,标准坦克设计!$B$14:$K$20,9)/30))</f>
        <v>22.593934334006953</v>
      </c>
      <c r="CM201" s="172">
        <f ca="1">(VLOOKUP(CM$72,INDIRECT($C$5&amp;"生成成长"),2))/((VLOOKUP($B201,INDIRECT($B$5&amp;"生成成长"),4))/(VLOOKUP(CM$72,INDIRECT($C$5&amp;"生成成长"),5))*(VLOOKUP($B$5,标准坦克设计!$B$24:$U$30,MATCH("对"&amp;LEFT($C$5,2)&amp;"输出",标准坦克设计!$B$23:$U$23,0)))*(VLOOKUP($B201,INDIRECT($B$5&amp;"生成成长"),3))*(VLOOKUP($B$5,标准坦克设计!$B$14:$K$20,9)/30))</f>
        <v>24.075118374633835</v>
      </c>
      <c r="CN201" s="172">
        <f ca="1">(VLOOKUP(CN$72,INDIRECT($C$5&amp;"生成成长"),2))/((VLOOKUP($B201,INDIRECT($B$5&amp;"生成成长"),4))/(VLOOKUP(CN$72,INDIRECT($C$5&amp;"生成成长"),5))*(VLOOKUP($B$5,标准坦克设计!$B$24:$U$30,MATCH("对"&amp;LEFT($C$5,2)&amp;"输出",标准坦克设计!$B$23:$U$23,0)))*(VLOOKUP($B201,INDIRECT($B$5&amp;"生成成长"),3))*(VLOOKUP($B$5,标准坦克设计!$B$14:$K$20,9)/30))</f>
        <v>25.603324130836185</v>
      </c>
      <c r="CO201" s="172">
        <f ca="1">(VLOOKUP(CO$72,INDIRECT($C$5&amp;"生成成长"),2))/((VLOOKUP($B201,INDIRECT($B$5&amp;"生成成长"),4))/(VLOOKUP(CO$72,INDIRECT($C$5&amp;"生成成长"),5))*(VLOOKUP($B$5,标准坦克设计!$B$24:$U$30,MATCH("对"&amp;LEFT($C$5,2)&amp;"输出",标准坦克设计!$B$23:$U$23,0)))*(VLOOKUP($B201,INDIRECT($B$5&amp;"生成成长"),3))*(VLOOKUP($B$5,标准坦克设计!$B$14:$K$20,9)/30))</f>
        <v>11.473492905021253</v>
      </c>
      <c r="CP201" s="172">
        <f ca="1">(VLOOKUP(CP$72,INDIRECT($C$5&amp;"生成成长"),2))/((VLOOKUP($B201,INDIRECT($B$5&amp;"生成成长"),4))/(VLOOKUP(CP$72,INDIRECT($C$5&amp;"生成成长"),5))*(VLOOKUP($B$5,标准坦克设计!$B$24:$U$30,MATCH("对"&amp;LEFT($C$5,2)&amp;"输出",标准坦克设计!$B$23:$U$23,0)))*(VLOOKUP($B201,INDIRECT($B$5&amp;"生成成长"),3))*(VLOOKUP($B$5,标准坦克设计!$B$14:$K$20,9)/30))</f>
        <v>12.535756206884981</v>
      </c>
      <c r="CQ201" s="172">
        <f ca="1">(VLOOKUP(CQ$72,INDIRECT($C$5&amp;"生成成长"),2))/((VLOOKUP($B201,INDIRECT($B$5&amp;"生成成长"),4))/(VLOOKUP(CQ$72,INDIRECT($C$5&amp;"生成成长"),5))*(VLOOKUP($B$5,标准坦克设计!$B$24:$U$30,MATCH("对"&amp;LEFT($C$5,2)&amp;"输出",标准坦克设计!$B$23:$U$23,0)))*(VLOOKUP($B201,INDIRECT($B$5&amp;"生成成长"),3))*(VLOOKUP($B$5,标准坦克设计!$B$14:$K$20,9)/30))</f>
        <v>13.645041224324164</v>
      </c>
      <c r="CR201" s="172">
        <f ca="1">(VLOOKUP(CR$72,INDIRECT($C$5&amp;"生成成长"),2))/((VLOOKUP($B201,INDIRECT($B$5&amp;"生成成长"),4))/(VLOOKUP(CR$72,INDIRECT($C$5&amp;"生成成长"),5))*(VLOOKUP($B$5,标准坦克设计!$B$24:$U$30,MATCH("对"&amp;LEFT($C$5,2)&amp;"输出",标准坦克设计!$B$23:$U$23,0)))*(VLOOKUP($B201,INDIRECT($B$5&amp;"生成成长"),3))*(VLOOKUP($B$5,标准坦克设计!$B$14:$K$20,9)/30))</f>
        <v>14.801347957338807</v>
      </c>
      <c r="CS201" s="172">
        <f ca="1">(VLOOKUP(CS$72,INDIRECT($C$5&amp;"生成成长"),2))/((VLOOKUP($B201,INDIRECT($B$5&amp;"生成成长"),4))/(VLOOKUP(CS$72,INDIRECT($C$5&amp;"生成成长"),5))*(VLOOKUP($B$5,标准坦克设计!$B$24:$U$30,MATCH("对"&amp;LEFT($C$5,2)&amp;"输出",标准坦克设计!$B$23:$U$23,0)))*(VLOOKUP($B201,INDIRECT($B$5&amp;"生成成长"),3))*(VLOOKUP($B$5,标准坦克设计!$B$14:$K$20,9)/30))</f>
        <v>16.004676405928905</v>
      </c>
      <c r="CT201" s="172">
        <f ca="1">(VLOOKUP(CT$72,INDIRECT($C$5&amp;"生成成长"),2))/((VLOOKUP($B201,INDIRECT($B$5&amp;"生成成长"),4))/(VLOOKUP(CT$72,INDIRECT($C$5&amp;"生成成长"),5))*(VLOOKUP($B$5,标准坦克设计!$B$24:$U$30,MATCH("对"&amp;LEFT($C$5,2)&amp;"输出",标准坦克设计!$B$23:$U$23,0)))*(VLOOKUP($B201,INDIRECT($B$5&amp;"生成成长"),3))*(VLOOKUP($B$5,标准坦克设计!$B$14:$K$20,9)/30))</f>
        <v>17.255026570094454</v>
      </c>
      <c r="CU201" s="172">
        <f ca="1">(VLOOKUP(CU$72,INDIRECT($C$5&amp;"生成成长"),2))/((VLOOKUP($B201,INDIRECT($B$5&amp;"生成成长"),4))/(VLOOKUP(CU$72,INDIRECT($C$5&amp;"生成成长"),5))*(VLOOKUP($B$5,标准坦克设计!$B$24:$U$30,MATCH("对"&amp;LEFT($C$5,2)&amp;"输出",标准坦克设计!$B$23:$U$23,0)))*(VLOOKUP($B201,INDIRECT($B$5&amp;"生成成长"),3))*(VLOOKUP($B$5,标准坦克设计!$B$14:$K$20,9)/30))</f>
        <v>18.552398449835469</v>
      </c>
      <c r="CV201" s="172">
        <f ca="1">(VLOOKUP(CV$72,INDIRECT($C$5&amp;"生成成长"),2))/((VLOOKUP($B201,INDIRECT($B$5&amp;"生成成长"),4))/(VLOOKUP(CV$72,INDIRECT($C$5&amp;"生成成长"),5))*(VLOOKUP($B$5,标准坦克设计!$B$24:$U$30,MATCH("对"&amp;LEFT($C$5,2)&amp;"输出",标准坦克设计!$B$23:$U$23,0)))*(VLOOKUP($B201,INDIRECT($B$5&amp;"生成成长"),3))*(VLOOKUP($B$5,标准坦克设计!$B$14:$K$20,9)/30))</f>
        <v>19.896792045151933</v>
      </c>
      <c r="CW201" s="172">
        <f ca="1">(VLOOKUP(CW$72,INDIRECT($C$5&amp;"生成成长"),2))/((VLOOKUP($B201,INDIRECT($B$5&amp;"生成成长"),4))/(VLOOKUP(CW$72,INDIRECT($C$5&amp;"生成成长"),5))*(VLOOKUP($B$5,标准坦克设计!$B$24:$U$30,MATCH("对"&amp;LEFT($C$5,2)&amp;"输出",标准坦克设计!$B$23:$U$23,0)))*(VLOOKUP($B201,INDIRECT($B$5&amp;"生成成长"),3))*(VLOOKUP($B$5,标准坦克设计!$B$14:$K$20,9)/30))</f>
        <v>21.288207356043856</v>
      </c>
      <c r="CX201" s="172">
        <f ca="1">(VLOOKUP(CX$72,INDIRECT($C$5&amp;"生成成长"),2))/((VLOOKUP($B201,INDIRECT($B$5&amp;"生成成长"),4))/(VLOOKUP(CX$72,INDIRECT($C$5&amp;"生成成长"),5))*(VLOOKUP($B$5,标准坦克设计!$B$24:$U$30,MATCH("对"&amp;LEFT($C$5,2)&amp;"输出",标准坦克设计!$B$23:$U$23,0)))*(VLOOKUP($B201,INDIRECT($B$5&amp;"生成成长"),3))*(VLOOKUP($B$5,标准坦克设计!$B$14:$K$20,9)/30))</f>
        <v>22.726644382511239</v>
      </c>
      <c r="CY201" s="172">
        <f ca="1">(VLOOKUP(CY$72,INDIRECT($C$5&amp;"生成成长"),2))/((VLOOKUP($B201,INDIRECT($B$5&amp;"生成成长"),4))/(VLOOKUP(CY$72,INDIRECT($C$5&amp;"生成成长"),5))*(VLOOKUP($B$5,标准坦克设计!$B$24:$U$30,MATCH("对"&amp;LEFT($C$5,2)&amp;"输出",标准坦克设计!$B$23:$U$23,0)))*(VLOOKUP($B201,INDIRECT($B$5&amp;"生成成长"),3))*(VLOOKUP($B$5,标准坦克设计!$B$14:$K$20,9)/30))</f>
        <v>24.212103124554073</v>
      </c>
      <c r="CZ201" s="172">
        <f ca="1">(VLOOKUP(CZ$72,INDIRECT($C$5&amp;"生成成长"),2))/((VLOOKUP($B201,INDIRECT($B$5&amp;"生成成长"),4))/(VLOOKUP(CZ$72,INDIRECT($C$5&amp;"生成成长"),5))*(VLOOKUP($B$5,标准坦克设计!$B$24:$U$30,MATCH("对"&amp;LEFT($C$5,2)&amp;"输出",标准坦克设计!$B$23:$U$23,0)))*(VLOOKUP($B201,INDIRECT($B$5&amp;"生成成长"),3))*(VLOOKUP($B$5,标准坦克设计!$B$14:$K$20,9)/30))</f>
        <v>25.744583582172368</v>
      </c>
      <c r="DA201" s="172">
        <f ca="1">(VLOOKUP(DA$72,INDIRECT($C$5&amp;"生成成长"),2))/((VLOOKUP($B201,INDIRECT($B$5&amp;"生成成长"),4))/(VLOOKUP(DA$72,INDIRECT($C$5&amp;"生成成长"),5))*(VLOOKUP($B$5,标准坦克设计!$B$24:$U$30,MATCH("对"&amp;LEFT($C$5,2)&amp;"输出",标准坦克设计!$B$23:$U$23,0)))*(VLOOKUP($B201,INDIRECT($B$5&amp;"生成成长"),3))*(VLOOKUP($B$5,标准坦克设计!$B$14:$K$20,9)/30))</f>
        <v>27.32408575536612</v>
      </c>
      <c r="DB201" s="172">
        <f ca="1">(VLOOKUP(DB$72,INDIRECT($C$5&amp;"生成成长"),2))/((VLOOKUP($B201,INDIRECT($B$5&amp;"生成成长"),4))/(VLOOKUP(DB$72,INDIRECT($C$5&amp;"生成成长"),5))*(VLOOKUP($B$5,标准坦克设计!$B$24:$U$30,MATCH("对"&amp;LEFT($C$5,2)&amp;"输出",标准坦克设计!$B$23:$U$23,0)))*(VLOOKUP($B201,INDIRECT($B$5&amp;"生成成长"),3))*(VLOOKUP($B$5,标准坦克设计!$B$14:$K$20,9)/30))</f>
        <v>28.950609644135323</v>
      </c>
      <c r="DC201" s="172">
        <f ca="1">(VLOOKUP(DC$72,INDIRECT($C$5&amp;"生成成长"),2))/((VLOOKUP($B201,INDIRECT($B$5&amp;"生成成长"),4))/(VLOOKUP(DC$72,INDIRECT($C$5&amp;"生成成长"),5))*(VLOOKUP($B$5,标准坦克设计!$B$24:$U$30,MATCH("对"&amp;LEFT($C$5,2)&amp;"输出",标准坦克设计!$B$23:$U$23,0)))*(VLOOKUP($B201,INDIRECT($B$5&amp;"生成成长"),3))*(VLOOKUP($B$5,标准坦克设计!$B$14:$K$20,9)/30))</f>
        <v>30.778627413283662</v>
      </c>
      <c r="DD201" s="172">
        <f ca="1">(VLOOKUP(DD$72,INDIRECT($C$5&amp;"生成成长"),2))/((VLOOKUP($B201,INDIRECT($B$5&amp;"生成成长"),4))/(VLOOKUP(DD$72,INDIRECT($C$5&amp;"生成成长"),5))*(VLOOKUP($B$5,标准坦克设计!$B$24:$U$30,MATCH("对"&amp;LEFT($C$5,2)&amp;"输出",标准坦克设计!$B$23:$U$23,0)))*(VLOOKUP($B201,INDIRECT($B$5&amp;"生成成长"),3))*(VLOOKUP($B$5,标准坦克设计!$B$14:$K$20,9)/30))</f>
        <v>32.662604910058988</v>
      </c>
      <c r="DE201" s="172">
        <f ca="1">(VLOOKUP(DE$72,INDIRECT($C$5&amp;"生成成长"),2))/((VLOOKUP($B201,INDIRECT($B$5&amp;"生成成长"),4))/(VLOOKUP(DE$72,INDIRECT($C$5&amp;"生成成长"),5))*(VLOOKUP($B$5,标准坦克设计!$B$24:$U$30,MATCH("对"&amp;LEFT($C$5,2)&amp;"输出",标准坦克设计!$B$23:$U$23,0)))*(VLOOKUP($B201,INDIRECT($B$5&amp;"生成成长"),3))*(VLOOKUP($B$5,标准坦克设计!$B$14:$K$20,9)/30))</f>
        <v>34.602542134461295</v>
      </c>
      <c r="DF201" s="172">
        <f ca="1">(VLOOKUP(DF$72,INDIRECT($C$5&amp;"生成成长"),2))/((VLOOKUP($B201,INDIRECT($B$5&amp;"生成成长"),4))/(VLOOKUP(DF$72,INDIRECT($C$5&amp;"生成成长"),5))*(VLOOKUP($B$5,标准坦克设计!$B$24:$U$30,MATCH("对"&amp;LEFT($C$5,2)&amp;"输出",标准坦克设计!$B$23:$U$23,0)))*(VLOOKUP($B201,INDIRECT($B$5&amp;"生成成长"),3))*(VLOOKUP($B$5,标准坦克设计!$B$14:$K$20,9)/30))</f>
        <v>36.5984390864906</v>
      </c>
      <c r="DG201" s="172">
        <f ca="1">(VLOOKUP(DG$72,INDIRECT($C$5&amp;"生成成长"),2))/((VLOOKUP($B201,INDIRECT($B$5&amp;"生成成长"),4))/(VLOOKUP(DG$72,INDIRECT($C$5&amp;"生成成长"),5))*(VLOOKUP($B$5,标准坦克设计!$B$24:$U$30,MATCH("对"&amp;LEFT($C$5,2)&amp;"输出",标准坦克设计!$B$23:$U$23,0)))*(VLOOKUP($B201,INDIRECT($B$5&amp;"生成成长"),3))*(VLOOKUP($B$5,标准坦克设计!$B$14:$K$20,9)/30))</f>
        <v>38.650295766146904</v>
      </c>
      <c r="DH201" s="172">
        <f ca="1">(VLOOKUP(DH$72,INDIRECT($C$5&amp;"生成成长"),2))/((VLOOKUP($B201,INDIRECT($B$5&amp;"生成成长"),4))/(VLOOKUP(DH$72,INDIRECT($C$5&amp;"生成成长"),5))*(VLOOKUP($B$5,标准坦克设计!$B$24:$U$30,MATCH("对"&amp;LEFT($C$5,2)&amp;"输出",标准坦克设计!$B$23:$U$23,0)))*(VLOOKUP($B201,INDIRECT($B$5&amp;"生成成长"),3))*(VLOOKUP($B$5,标准坦克设计!$B$14:$K$20,9)/30))</f>
        <v>40.75811217343017</v>
      </c>
      <c r="DI201" s="172">
        <f ca="1">(VLOOKUP(DI$72,INDIRECT($C$5&amp;"生成成长"),2))/((VLOOKUP($B201,INDIRECT($B$5&amp;"生成成长"),4))/(VLOOKUP(DI$72,INDIRECT($C$5&amp;"生成成长"),5))*(VLOOKUP($B$5,标准坦克设计!$B$24:$U$30,MATCH("对"&amp;LEFT($C$5,2)&amp;"输出",标准坦克设计!$B$23:$U$23,0)))*(VLOOKUP($B201,INDIRECT($B$5&amp;"生成成长"),3))*(VLOOKUP($B$5,标准坦克设计!$B$14:$K$20,9)/30))</f>
        <v>42.921888308340449</v>
      </c>
      <c r="DJ201" s="172">
        <f ca="1">(VLOOKUP(DJ$72,INDIRECT($C$5&amp;"生成成长"),2))/((VLOOKUP($B201,INDIRECT($B$5&amp;"生成成长"),4))/(VLOOKUP(DJ$72,INDIRECT($C$5&amp;"生成成长"),5))*(VLOOKUP($B$5,标准坦克设计!$B$24:$U$30,MATCH("对"&amp;LEFT($C$5,2)&amp;"输出",标准坦克设计!$B$23:$U$23,0)))*(VLOOKUP($B201,INDIRECT($B$5&amp;"生成成长"),3))*(VLOOKUP($B$5,标准坦克设计!$B$14:$K$20,9)/30))</f>
        <v>4.3137566425236136</v>
      </c>
      <c r="DK201" s="172">
        <f ca="1">(VLOOKUP(DK$72,INDIRECT($C$5&amp;"生成成长"),2))/((VLOOKUP($B201,INDIRECT($B$5&amp;"生成成长"),4))/(VLOOKUP(DK$72,INDIRECT($C$5&amp;"生成成长"),5))*(VLOOKUP($B$5,标准坦克设计!$B$24:$U$30,MATCH("对"&amp;LEFT($C$5,2)&amp;"输出",标准坦克设计!$B$23:$U$23,0)))*(VLOOKUP($B201,INDIRECT($B$5&amp;"生成成长"),3))*(VLOOKUP($B$5,标准坦克设计!$B$14:$K$20,9)/30))</f>
        <v>4.8506202794450477</v>
      </c>
      <c r="DL201" s="172">
        <f ca="1">(VLOOKUP(DL$72,INDIRECT($C$5&amp;"生成成长"),2))/((VLOOKUP($B201,INDIRECT($B$5&amp;"生成成长"),4))/(VLOOKUP(DL$72,INDIRECT($C$5&amp;"生成成长"),5))*(VLOOKUP($B$5,标准坦克设计!$B$24:$U$30,MATCH("对"&amp;LEFT($C$5,2)&amp;"输出",标准坦克设计!$B$23:$U$23,0)))*(VLOOKUP($B201,INDIRECT($B$5&amp;"生成成长"),3))*(VLOOKUP($B$5,标准坦克设计!$B$14:$K$20,9)/30))</f>
        <v>5.4189612631566622</v>
      </c>
      <c r="DM201" s="172">
        <f ca="1">(VLOOKUP(DM$72,INDIRECT($C$5&amp;"生成成长"),2))/((VLOOKUP($B201,INDIRECT($B$5&amp;"生成成长"),4))/(VLOOKUP(DM$72,INDIRECT($C$5&amp;"生成成长"),5))*(VLOOKUP($B$5,标准坦克设计!$B$24:$U$30,MATCH("对"&amp;LEFT($C$5,2)&amp;"输出",标准坦克设计!$B$23:$U$23,0)))*(VLOOKUP($B201,INDIRECT($B$5&amp;"生成成长"),3))*(VLOOKUP($B$5,标准坦克设计!$B$14:$K$20,9)/30))</f>
        <v>6.0187795936584587</v>
      </c>
      <c r="DN201" s="172">
        <f ca="1">(VLOOKUP(DN$72,INDIRECT($C$5&amp;"生成成长"),2))/((VLOOKUP($B201,INDIRECT($B$5&amp;"生成成长"),4))/(VLOOKUP(DN$72,INDIRECT($C$5&amp;"生成成长"),5))*(VLOOKUP($B$5,标准坦克设计!$B$24:$U$30,MATCH("对"&amp;LEFT($C$5,2)&amp;"输出",标准坦克设计!$B$23:$U$23,0)))*(VLOOKUP($B201,INDIRECT($B$5&amp;"生成成长"),3))*(VLOOKUP($B$5,标准坦克设计!$B$14:$K$20,9)/30))</f>
        <v>6.6500752709504392</v>
      </c>
      <c r="DO201" s="172">
        <f ca="1">(VLOOKUP(DO$72,INDIRECT($C$5&amp;"生成成长"),2))/((VLOOKUP($B201,INDIRECT($B$5&amp;"生成成长"),4))/(VLOOKUP(DO$72,INDIRECT($C$5&amp;"生成成长"),5))*(VLOOKUP($B$5,标准坦克设计!$B$24:$U$30,MATCH("对"&amp;LEFT($C$5,2)&amp;"输出",标准坦克设计!$B$23:$U$23,0)))*(VLOOKUP($B201,INDIRECT($B$5&amp;"生成成长"),3))*(VLOOKUP($B$5,标准坦克设计!$B$14:$K$20,9)/30))</f>
        <v>7.312848295032599</v>
      </c>
      <c r="DP201" s="172">
        <f ca="1">(VLOOKUP(DP$72,INDIRECT($C$5&amp;"生成成长"),2))/((VLOOKUP($B201,INDIRECT($B$5&amp;"生成成长"),4))/(VLOOKUP(DP$72,INDIRECT($C$5&amp;"生成成长"),5))*(VLOOKUP($B$5,标准坦克设计!$B$24:$U$30,MATCH("对"&amp;LEFT($C$5,2)&amp;"输出",标准坦克设计!$B$23:$U$23,0)))*(VLOOKUP($B201,INDIRECT($B$5&amp;"生成成长"),3))*(VLOOKUP($B$5,标准坦克设计!$B$14:$K$20,9)/30))</f>
        <v>8.0070986659049428</v>
      </c>
      <c r="DQ201" s="172">
        <f ca="1">(VLOOKUP(DQ$72,INDIRECT($C$5&amp;"生成成长"),2))/((VLOOKUP($B201,INDIRECT($B$5&amp;"生成成长"),4))/(VLOOKUP(DQ$72,INDIRECT($C$5&amp;"生成成长"),5))*(VLOOKUP($B$5,标准坦克设计!$B$24:$U$30,MATCH("对"&amp;LEFT($C$5,2)&amp;"输出",标准坦克设计!$B$23:$U$23,0)))*(VLOOKUP($B201,INDIRECT($B$5&amp;"生成成长"),3))*(VLOOKUP($B$5,标准坦克设计!$B$14:$K$20,9)/30))</f>
        <v>8.7328263835674651</v>
      </c>
      <c r="DR201" s="172">
        <f ca="1">(VLOOKUP(DR$72,INDIRECT($C$5&amp;"生成成长"),2))/((VLOOKUP($B201,INDIRECT($B$5&amp;"生成成长"),4))/(VLOOKUP(DR$72,INDIRECT($C$5&amp;"生成成长"),5))*(VLOOKUP($B$5,标准坦克设计!$B$24:$U$30,MATCH("对"&amp;LEFT($C$5,2)&amp;"输出",标准坦克设计!$B$23:$U$23,0)))*(VLOOKUP($B201,INDIRECT($B$5&amp;"生成成长"),3))*(VLOOKUP($B$5,标准坦克设计!$B$14:$K$20,9)/30))</f>
        <v>9.4900314480201722</v>
      </c>
      <c r="DS201" s="172">
        <f ca="1">(VLOOKUP(DS$72,INDIRECT($C$5&amp;"生成成长"),2))/((VLOOKUP($B201,INDIRECT($B$5&amp;"生成成长"),4))/(VLOOKUP(DS$72,INDIRECT($C$5&amp;"生成成长"),5))*(VLOOKUP($B$5,标准坦克设计!$B$24:$U$30,MATCH("对"&amp;LEFT($C$5,2)&amp;"输出",标准坦克设计!$B$23:$U$23,0)))*(VLOOKUP($B201,INDIRECT($B$5&amp;"生成成长"),3))*(VLOOKUP($B$5,标准坦克设计!$B$14:$K$20,9)/30))</f>
        <v>10.278713859263059</v>
      </c>
      <c r="DT201" s="172">
        <f ca="1">(VLOOKUP(DT$72,INDIRECT($C$5&amp;"生成成长"),2))/((VLOOKUP($B201,INDIRECT($B$5&amp;"生成成长"),4))/(VLOOKUP(DT$72,INDIRECT($C$5&amp;"生成成长"),5))*(VLOOKUP($B$5,标准坦克设计!$B$24:$U$30,MATCH("对"&amp;LEFT($C$5,2)&amp;"输出",标准坦克设计!$B$23:$U$23,0)))*(VLOOKUP($B201,INDIRECT($B$5&amp;"生成成长"),3))*(VLOOKUP($B$5,标准坦克设计!$B$14:$K$20,9)/30))</f>
        <v>11.285406042719428</v>
      </c>
      <c r="DU201" s="172">
        <f ca="1">(VLOOKUP(DU$72,INDIRECT($C$5&amp;"生成成长"),2))/((VLOOKUP($B201,INDIRECT($B$5&amp;"生成成长"),4))/(VLOOKUP(DU$72,INDIRECT($C$5&amp;"生成成长"),5))*(VLOOKUP($B$5,标准坦克设计!$B$24:$U$30,MATCH("对"&amp;LEFT($C$5,2)&amp;"输出",标准坦克设计!$B$23:$U$23,0)))*(VLOOKUP($B201,INDIRECT($B$5&amp;"生成成长"),3))*(VLOOKUP($B$5,标准坦克设计!$B$14:$K$20,9)/30))</f>
        <v>12.339119941751253</v>
      </c>
      <c r="DV201" s="172">
        <f ca="1">(VLOOKUP(DV$72,INDIRECT($C$5&amp;"生成成长"),2))/((VLOOKUP($B201,INDIRECT($B$5&amp;"生成成长"),4))/(VLOOKUP(DV$72,INDIRECT($C$5&amp;"生成成长"),5))*(VLOOKUP($B$5,标准坦克设计!$B$24:$U$30,MATCH("对"&amp;LEFT($C$5,2)&amp;"输出",标准坦克设计!$B$23:$U$23,0)))*(VLOOKUP($B201,INDIRECT($B$5&amp;"生成成长"),3))*(VLOOKUP($B$5,标准坦克设计!$B$14:$K$20,9)/30))</f>
        <v>13.439855556358538</v>
      </c>
      <c r="DW201" s="172">
        <f ca="1">(VLOOKUP(DW$72,INDIRECT($C$5&amp;"生成成长"),2))/((VLOOKUP($B201,INDIRECT($B$5&amp;"生成成长"),4))/(VLOOKUP(DW$72,INDIRECT($C$5&amp;"生成成长"),5))*(VLOOKUP($B$5,标准坦克设计!$B$24:$U$30,MATCH("对"&amp;LEFT($C$5,2)&amp;"输出",标准坦克设计!$B$23:$U$23,0)))*(VLOOKUP($B201,INDIRECT($B$5&amp;"生成成长"),3))*(VLOOKUP($B$5,标准坦克设计!$B$14:$K$20,9)/30))</f>
        <v>14.587612886541274</v>
      </c>
      <c r="DX201" s="172">
        <f ca="1">(VLOOKUP(DX$72,INDIRECT($C$5&amp;"生成成长"),2))/((VLOOKUP($B201,INDIRECT($B$5&amp;"生成成长"),4))/(VLOOKUP(DX$72,INDIRECT($C$5&amp;"生成成长"),5))*(VLOOKUP($B$5,标准坦克设计!$B$24:$U$30,MATCH("对"&amp;LEFT($C$5,2)&amp;"输出",标准坦克设计!$B$23:$U$23,0)))*(VLOOKUP($B201,INDIRECT($B$5&amp;"生成成长"),3))*(VLOOKUP($B$5,标准坦克设计!$B$14:$K$20,9)/30))</f>
        <v>15.782391932299472</v>
      </c>
      <c r="DY201" s="172">
        <f ca="1">(VLOOKUP(DY$72,INDIRECT($C$5&amp;"生成成长"),2))/((VLOOKUP($B201,INDIRECT($B$5&amp;"生成成长"),4))/(VLOOKUP(DY$72,INDIRECT($C$5&amp;"生成成长"),5))*(VLOOKUP($B$5,标准坦克设计!$B$24:$U$30,MATCH("对"&amp;LEFT($C$5,2)&amp;"输出",标准坦克设计!$B$23:$U$23,0)))*(VLOOKUP($B201,INDIRECT($B$5&amp;"生成成长"),3))*(VLOOKUP($B$5,标准坦克设计!$B$14:$K$20,9)/30))</f>
        <v>7.0884264706951914</v>
      </c>
      <c r="DZ201" s="172">
        <f ca="1">(VLOOKUP(DZ$72,INDIRECT($C$5&amp;"生成成长"),2))/((VLOOKUP($B201,INDIRECT($B$5&amp;"生成成长"),4))/(VLOOKUP(DZ$72,INDIRECT($C$5&amp;"生成成长"),5))*(VLOOKUP($B$5,标准坦克设计!$B$24:$U$30,MATCH("对"&amp;LEFT($C$5,2)&amp;"输出",标准坦克设计!$B$23:$U$23,0)))*(VLOOKUP($B201,INDIRECT($B$5&amp;"生成成长"),3))*(VLOOKUP($B$5,标准坦克设计!$B$14:$K$20,9)/30))</f>
        <v>7.8501005411736644</v>
      </c>
      <c r="EA201" s="172">
        <f ca="1">(VLOOKUP(EA$72,INDIRECT($C$5&amp;"生成成长"),2))/((VLOOKUP($B201,INDIRECT($B$5&amp;"生成成长"),4))/(VLOOKUP(EA$72,INDIRECT($C$5&amp;"生成成长"),5))*(VLOOKUP($B$5,标准坦克设计!$B$24:$U$30,MATCH("对"&amp;LEFT($C$5,2)&amp;"输出",标准坦克设计!$B$23:$U$23,0)))*(VLOOKUP($B201,INDIRECT($B$5&amp;"生成成长"),3))*(VLOOKUP($B$5,标准坦克设计!$B$14:$K$20,9)/30))</f>
        <v>8.6506355336153238</v>
      </c>
      <c r="EB201" s="172">
        <f ca="1">(VLOOKUP(EB$72,INDIRECT($C$5&amp;"生成成长"),2))/((VLOOKUP($B201,INDIRECT($B$5&amp;"生成成长"),4))/(VLOOKUP(EB$72,INDIRECT($C$5&amp;"生成成长"),5))*(VLOOKUP($B$5,标准坦克设计!$B$24:$U$30,MATCH("对"&amp;LEFT($C$5,2)&amp;"输出",标准坦克设计!$B$23:$U$23,0)))*(VLOOKUP($B201,INDIRECT($B$5&amp;"生成成长"),3))*(VLOOKUP($B$5,标准坦克设计!$B$14:$K$20,9)/30))</f>
        <v>9.4900314480201722</v>
      </c>
      <c r="EC201" s="172">
        <f ca="1">(VLOOKUP(EC$72,INDIRECT($C$5&amp;"生成成长"),2))/((VLOOKUP($B201,INDIRECT($B$5&amp;"生成成长"),4))/(VLOOKUP(EC$72,INDIRECT($C$5&amp;"生成成长"),5))*(VLOOKUP($B$5,标准坦克设计!$B$24:$U$30,MATCH("对"&amp;LEFT($C$5,2)&amp;"输出",标准坦克设计!$B$23:$U$23,0)))*(VLOOKUP($B201,INDIRECT($B$5&amp;"生成成长"),3))*(VLOOKUP($B$5,标准坦克设计!$B$14:$K$20,9)/30))</f>
        <v>10.368288284388207</v>
      </c>
      <c r="ED201" s="172">
        <f ca="1">(VLOOKUP(ED$72,INDIRECT($C$5&amp;"生成成长"),2))/((VLOOKUP($B201,INDIRECT($B$5&amp;"生成成长"),4))/(VLOOKUP(ED$72,INDIRECT($C$5&amp;"生成成长"),5))*(VLOOKUP($B$5,标准坦克设计!$B$24:$U$30,MATCH("对"&amp;LEFT($C$5,2)&amp;"输出",标准坦克设计!$B$23:$U$23,0)))*(VLOOKUP($B201,INDIRECT($B$5&amp;"生成成长"),3))*(VLOOKUP($B$5,标准坦克设计!$B$14:$K$20,9)/30))</f>
        <v>11.285406042719428</v>
      </c>
      <c r="EE201" s="172">
        <f ca="1">(VLOOKUP(EE$72,INDIRECT($C$5&amp;"生成成长"),2))/((VLOOKUP($B201,INDIRECT($B$5&amp;"生成成长"),4))/(VLOOKUP(EE$72,INDIRECT($C$5&amp;"生成成长"),5))*(VLOOKUP($B$5,标准坦克设计!$B$24:$U$30,MATCH("对"&amp;LEFT($C$5,2)&amp;"输出",标准坦克设计!$B$23:$U$23,0)))*(VLOOKUP($B201,INDIRECT($B$5&amp;"生成成长"),3))*(VLOOKUP($B$5,标准坦克设计!$B$14:$K$20,9)/30))</f>
        <v>12.241384723013836</v>
      </c>
      <c r="EF201" s="172">
        <f ca="1">(VLOOKUP(EF$72,INDIRECT($C$5&amp;"生成成长"),2))/((VLOOKUP($B201,INDIRECT($B$5&amp;"生成成长"),4))/(VLOOKUP(EF$72,INDIRECT($C$5&amp;"生成成长"),5))*(VLOOKUP($B$5,标准坦克设计!$B$24:$U$30,MATCH("对"&amp;LEFT($C$5,2)&amp;"输出",标准坦克设计!$B$23:$U$23,0)))*(VLOOKUP($B201,INDIRECT($B$5&amp;"生成成长"),3))*(VLOOKUP($B$5,标准坦克设计!$B$14:$K$20,9)/30))</f>
        <v>13.236224325271435</v>
      </c>
      <c r="EG201" s="172">
        <f ca="1">(VLOOKUP(EG$72,INDIRECT($C$5&amp;"生成成长"),2))/((VLOOKUP($B201,INDIRECT($B$5&amp;"生成成长"),4))/(VLOOKUP(EG$72,INDIRECT($C$5&amp;"生成成长"),5))*(VLOOKUP($B$5,标准坦克设计!$B$24:$U$30,MATCH("对"&amp;LEFT($C$5,2)&amp;"输出",标准坦克设计!$B$23:$U$23,0)))*(VLOOKUP($B201,INDIRECT($B$5&amp;"生成成长"),3))*(VLOOKUP($B$5,标准坦克设计!$B$14:$K$20,9)/30))</f>
        <v>14.26992484949222</v>
      </c>
      <c r="EH201" s="172">
        <f ca="1">(VLOOKUP(EH$72,INDIRECT($C$5&amp;"生成成长"),2))/((VLOOKUP($B201,INDIRECT($B$5&amp;"生成成长"),4))/(VLOOKUP(EH$72,INDIRECT($C$5&amp;"生成成长"),5))*(VLOOKUP($B$5,标准坦克设计!$B$24:$U$30,MATCH("对"&amp;LEFT($C$5,2)&amp;"输出",标准坦克设计!$B$23:$U$23,0)))*(VLOOKUP($B201,INDIRECT($B$5&amp;"生成成长"),3))*(VLOOKUP($B$5,标准坦克设计!$B$14:$K$20,9)/30))</f>
        <v>15.342486295676188</v>
      </c>
      <c r="EI201" s="172">
        <f ca="1">(VLOOKUP(EI$72,INDIRECT($C$5&amp;"生成成长"),2))/((VLOOKUP($B201,INDIRECT($B$5&amp;"生成成长"),4))/(VLOOKUP(EI$72,INDIRECT($C$5&amp;"生成成长"),5))*(VLOOKUP($B$5,标准坦克设计!$B$24:$U$30,MATCH("对"&amp;LEFT($C$5,2)&amp;"输出",标准坦克设计!$B$23:$U$23,0)))*(VLOOKUP($B201,INDIRECT($B$5&amp;"生成成长"),3))*(VLOOKUP($B$5,标准坦克设计!$B$14:$K$20,9)/30))</f>
        <v>16.453908663823352</v>
      </c>
      <c r="EJ201" s="172">
        <f ca="1">(VLOOKUP(EJ$72,INDIRECT($C$5&amp;"生成成长"),2))/((VLOOKUP($B201,INDIRECT($B$5&amp;"生成成长"),4))/(VLOOKUP(EJ$72,INDIRECT($C$5&amp;"生成成长"),5))*(VLOOKUP($B$5,标准坦克设计!$B$24:$U$30,MATCH("对"&amp;LEFT($C$5,2)&amp;"输出",标准坦克设计!$B$23:$U$23,0)))*(VLOOKUP($B201,INDIRECT($B$5&amp;"生成成长"),3))*(VLOOKUP($B$5,标准坦克设计!$B$14:$K$20,9)/30))</f>
        <v>17.604191953933693</v>
      </c>
      <c r="EK201" s="172">
        <f ca="1">(VLOOKUP(EK$72,INDIRECT($C$5&amp;"生成成长"),2))/((VLOOKUP($B201,INDIRECT($B$5&amp;"生成成长"),4))/(VLOOKUP(EK$72,INDIRECT($C$5&amp;"生成成长"),5))*(VLOOKUP($B$5,标准坦克设计!$B$24:$U$30,MATCH("对"&amp;LEFT($C$5,2)&amp;"输出",标准坦克设计!$B$23:$U$23,0)))*(VLOOKUP($B201,INDIRECT($B$5&amp;"生成成长"),3))*(VLOOKUP($B$5,标准坦克设计!$B$14:$K$20,9)/30))</f>
        <v>19.035828319057519</v>
      </c>
      <c r="EL201" s="172">
        <f ca="1">(VLOOKUP(EL$72,INDIRECT($C$5&amp;"生成成长"),2))/((VLOOKUP($B201,INDIRECT($B$5&amp;"生成成长"),4))/(VLOOKUP(EL$72,INDIRECT($C$5&amp;"生成成长"),5))*(VLOOKUP($B$5,标准坦克设计!$B$24:$U$30,MATCH("对"&amp;LEFT($C$5,2)&amp;"输出",标准坦克设计!$B$23:$U$23,0)))*(VLOOKUP($B201,INDIRECT($B$5&amp;"生成成长"),3))*(VLOOKUP($B$5,标准坦克设计!$B$14:$K$20,9)/30))</f>
        <v>20.523424411808332</v>
      </c>
      <c r="EM201" s="172">
        <f ca="1">(VLOOKUP(EM$72,INDIRECT($C$5&amp;"生成成长"),2))/((VLOOKUP($B201,INDIRECT($B$5&amp;"生成成长"),4))/(VLOOKUP(EM$72,INDIRECT($C$5&amp;"生成成长"),5))*(VLOOKUP($B$5,标准坦克设计!$B$24:$U$30,MATCH("对"&amp;LEFT($C$5,2)&amp;"输出",标准坦克设计!$B$23:$U$23,0)))*(VLOOKUP($B201,INDIRECT($B$5&amp;"生成成长"),3))*(VLOOKUP($B$5,标准坦克设计!$B$14:$K$20,9)/30))</f>
        <v>22.066980232186133</v>
      </c>
      <c r="EN201" s="172">
        <f ca="1">(VLOOKUP(EN$72,INDIRECT($C$5&amp;"生成成长"),2))/((VLOOKUP($B201,INDIRECT($B$5&amp;"生成成长"),4))/(VLOOKUP(EN$72,INDIRECT($C$5&amp;"生成成长"),5))*(VLOOKUP($B$5,标准坦克设计!$B$24:$U$30,MATCH("对"&amp;LEFT($C$5,2)&amp;"输出",标准坦克设计!$B$23:$U$23,0)))*(VLOOKUP($B201,INDIRECT($B$5&amp;"生成成长"),3))*(VLOOKUP($B$5,标准坦克设计!$B$14:$K$20,9)/30))</f>
        <v>23.666495780190925</v>
      </c>
      <c r="EO201" s="172">
        <f ca="1">(VLOOKUP(EO$72,INDIRECT($C$5&amp;"生成成长"),2))/((VLOOKUP($B201,INDIRECT($B$5&amp;"生成成长"),4))/(VLOOKUP(EO$72,INDIRECT($C$5&amp;"生成成长"),5))*(VLOOKUP($B$5,标准坦克设计!$B$24:$U$30,MATCH("对"&amp;LEFT($C$5,2)&amp;"输出",标准坦克设计!$B$23:$U$23,0)))*(VLOOKUP($B201,INDIRECT($B$5&amp;"生成成长"),3))*(VLOOKUP($B$5,标准坦克设计!$B$14:$K$20,9)/30))</f>
        <v>25.321971055822708</v>
      </c>
      <c r="EP201" s="172">
        <f ca="1">(VLOOKUP(EP$72,INDIRECT($C$5&amp;"生成成长"),2))/((VLOOKUP($B201,INDIRECT($B$5&amp;"生成成长"),4))/(VLOOKUP(EP$72,INDIRECT($C$5&amp;"生成成长"),5))*(VLOOKUP($B$5,标准坦克设计!$B$24:$U$30,MATCH("对"&amp;LEFT($C$5,2)&amp;"输出",标准坦克设计!$B$23:$U$23,0)))*(VLOOKUP($B201,INDIRECT($B$5&amp;"生成成长"),3))*(VLOOKUP($B$5,标准坦克设计!$B$14:$K$20,9)/30))</f>
        <v>27.033406059081475</v>
      </c>
      <c r="EQ201" s="172">
        <f ca="1">(VLOOKUP(EQ$72,INDIRECT($C$5&amp;"生成成长"),2))/((VLOOKUP($B201,INDIRECT($B$5&amp;"生成成长"),4))/(VLOOKUP(EQ$72,INDIRECT($C$5&amp;"生成成长"),5))*(VLOOKUP($B$5,标准坦克设计!$B$24:$U$30,MATCH("对"&amp;LEFT($C$5,2)&amp;"输出",标准坦克设计!$B$23:$U$23,0)))*(VLOOKUP($B201,INDIRECT($B$5&amp;"生成成长"),3))*(VLOOKUP($B$5,标准坦克设计!$B$14:$K$20,9)/30))</f>
        <v>11.950510722119377</v>
      </c>
      <c r="ER201" s="172">
        <f ca="1">(VLOOKUP(ER$72,INDIRECT($C$5&amp;"生成成长"),2))/((VLOOKUP($B201,INDIRECT($B$5&amp;"生成成长"),4))/(VLOOKUP(ER$72,INDIRECT($C$5&amp;"生成成长"),5))*(VLOOKUP($B$5,标准坦克设计!$B$24:$U$30,MATCH("对"&amp;LEFT($C$5,2)&amp;"输出",标准坦克设计!$B$23:$U$23,0)))*(VLOOKUP($B201,INDIRECT($B$5&amp;"生成成长"),3))*(VLOOKUP($B$5,标准坦克设计!$B$14:$K$20,9)/30))</f>
        <v>13.034147531062859</v>
      </c>
      <c r="ES201" s="172">
        <f ca="1">(VLOOKUP(ES$72,INDIRECT($C$5&amp;"生成成长"),2))/((VLOOKUP($B201,INDIRECT($B$5&amp;"生成成长"),4))/(VLOOKUP(ES$72,INDIRECT($C$5&amp;"生成成长"),5))*(VLOOKUP($B$5,标准坦克设计!$B$24:$U$30,MATCH("对"&amp;LEFT($C$5,2)&amp;"输出",标准坦克设计!$B$23:$U$23,0)))*(VLOOKUP($B201,INDIRECT($B$5&amp;"生成成长"),3))*(VLOOKUP($B$5,标准坦克设计!$B$14:$K$20,9)/30))</f>
        <v>14.164806055581797</v>
      </c>
      <c r="ET201" s="172">
        <f ca="1">(VLOOKUP(ET$72,INDIRECT($C$5&amp;"生成成长"),2))/((VLOOKUP($B201,INDIRECT($B$5&amp;"生成成长"),4))/(VLOOKUP(ET$72,INDIRECT($C$5&amp;"生成成长"),5))*(VLOOKUP($B$5,标准坦克设计!$B$24:$U$30,MATCH("对"&amp;LEFT($C$5,2)&amp;"输出",标准坦克设计!$B$23:$U$23,0)))*(VLOOKUP($B201,INDIRECT($B$5&amp;"生成成长"),3))*(VLOOKUP($B$5,标准坦克设计!$B$14:$K$20,9)/30))</f>
        <v>15.342486295676188</v>
      </c>
      <c r="EU201" s="172">
        <f ca="1">(VLOOKUP(EU$72,INDIRECT($C$5&amp;"生成成长"),2))/((VLOOKUP($B201,INDIRECT($B$5&amp;"生成成长"),4))/(VLOOKUP(EU$72,INDIRECT($C$5&amp;"生成成长"),5))*(VLOOKUP($B$5,标准坦克设计!$B$24:$U$30,MATCH("对"&amp;LEFT($C$5,2)&amp;"输出",标准坦克设计!$B$23:$U$23,0)))*(VLOOKUP($B201,INDIRECT($B$5&amp;"生成成长"),3))*(VLOOKUP($B$5,标准坦克设计!$B$14:$K$20,9)/30))</f>
        <v>16.567188251346039</v>
      </c>
      <c r="EV201" s="172">
        <f ca="1">(VLOOKUP(EV$72,INDIRECT($C$5&amp;"生成成长"),2))/((VLOOKUP($B201,INDIRECT($B$5&amp;"生成成长"),4))/(VLOOKUP(EV$72,INDIRECT($C$5&amp;"生成成长"),5))*(VLOOKUP($B$5,标准坦克设计!$B$24:$U$30,MATCH("对"&amp;LEFT($C$5,2)&amp;"输出",标准坦克设计!$B$23:$U$23,0)))*(VLOOKUP($B201,INDIRECT($B$5&amp;"生成成长"),3))*(VLOOKUP($B$5,标准坦克设计!$B$14:$K$20,9)/30))</f>
        <v>17.838911922591347</v>
      </c>
      <c r="EW201" s="172">
        <f ca="1">(VLOOKUP(EW$72,INDIRECT($C$5&amp;"生成成长"),2))/((VLOOKUP($B201,INDIRECT($B$5&amp;"生成成长"),4))/(VLOOKUP(EW$72,INDIRECT($C$5&amp;"生成成长"),5))*(VLOOKUP($B$5,标准坦克设计!$B$24:$U$30,MATCH("对"&amp;LEFT($C$5,2)&amp;"输出",标准坦克设计!$B$23:$U$23,0)))*(VLOOKUP($B201,INDIRECT($B$5&amp;"生成成长"),3))*(VLOOKUP($B$5,标准坦克设计!$B$14:$K$20,9)/30))</f>
        <v>19.157657309412112</v>
      </c>
      <c r="EX201" s="172">
        <f ca="1">(VLOOKUP(EX$72,INDIRECT($C$5&amp;"生成成长"),2))/((VLOOKUP($B201,INDIRECT($B$5&amp;"生成成长"),4))/(VLOOKUP(EX$72,INDIRECT($C$5&amp;"生成成长"),5))*(VLOOKUP($B$5,标准坦克设计!$B$24:$U$30,MATCH("对"&amp;LEFT($C$5,2)&amp;"输出",标准坦克设计!$B$23:$U$23,0)))*(VLOOKUP($B201,INDIRECT($B$5&amp;"生成成长"),3))*(VLOOKUP($B$5,标准坦克设计!$B$14:$K$20,9)/30))</f>
        <v>20.523424411808332</v>
      </c>
      <c r="EY201" s="172">
        <f ca="1">(VLOOKUP(EY$72,INDIRECT($C$5&amp;"生成成长"),2))/((VLOOKUP($B201,INDIRECT($B$5&amp;"生成成长"),4))/(VLOOKUP(EY$72,INDIRECT($C$5&amp;"生成成长"),5))*(VLOOKUP($B$5,标准坦克设计!$B$24:$U$30,MATCH("对"&amp;LEFT($C$5,2)&amp;"输出",标准坦克设计!$B$23:$U$23,0)))*(VLOOKUP($B201,INDIRECT($B$5&amp;"生成成长"),3))*(VLOOKUP($B$5,标准坦克设计!$B$14:$K$20,9)/30))</f>
        <v>21.936213229780009</v>
      </c>
      <c r="EZ201" s="172">
        <f ca="1">(VLOOKUP(EZ$72,INDIRECT($C$5&amp;"生成成长"),2))/((VLOOKUP($B201,INDIRECT($B$5&amp;"生成成长"),4))/(VLOOKUP(EZ$72,INDIRECT($C$5&amp;"生成成长"),5))*(VLOOKUP($B$5,标准坦克设计!$B$24:$U$30,MATCH("对"&amp;LEFT($C$5,2)&amp;"输出",标准坦克设计!$B$23:$U$23,0)))*(VLOOKUP($B201,INDIRECT($B$5&amp;"生成成长"),3))*(VLOOKUP($B$5,标准坦克设计!$B$14:$K$20,9)/30))</f>
        <v>23.39602376332714</v>
      </c>
      <c r="FA201" s="172">
        <f ca="1">(VLOOKUP(FA$72,INDIRECT($C$5&amp;"生成成长"),2))/((VLOOKUP($B201,INDIRECT($B$5&amp;"生成成长"),4))/(VLOOKUP(FA$72,INDIRECT($C$5&amp;"生成成长"),5))*(VLOOKUP($B$5,标准坦克设计!$B$24:$U$30,MATCH("对"&amp;LEFT($C$5,2)&amp;"输出",标准坦克设计!$B$23:$U$23,0)))*(VLOOKUP($B201,INDIRECT($B$5&amp;"生成成长"),3))*(VLOOKUP($B$5,标准坦克设计!$B$14:$K$20,9)/30))</f>
        <v>24.902856012449732</v>
      </c>
      <c r="FB201" s="172">
        <f ca="1">(VLOOKUP(FB$72,INDIRECT($C$5&amp;"生成成长"),2))/((VLOOKUP($B201,INDIRECT($B$5&amp;"生成成长"),4))/(VLOOKUP(FB$72,INDIRECT($C$5&amp;"生成成长"),5))*(VLOOKUP($B$5,标准坦克设计!$B$24:$U$30,MATCH("对"&amp;LEFT($C$5,2)&amp;"输出",标准坦克设计!$B$23:$U$23,0)))*(VLOOKUP($B201,INDIRECT($B$5&amp;"生成成长"),3))*(VLOOKUP($B$5,标准坦克设计!$B$14:$K$20,9)/30))</f>
        <v>26.456709977147774</v>
      </c>
      <c r="FC201" s="172">
        <f ca="1">(VLOOKUP(FC$72,INDIRECT($C$5&amp;"生成成长"),2))/((VLOOKUP($B201,INDIRECT($B$5&amp;"生成成长"),4))/(VLOOKUP(FC$72,INDIRECT($C$5&amp;"生成成长"),5))*(VLOOKUP($B$5,标准坦克设计!$B$24:$U$30,MATCH("对"&amp;LEFT($C$5,2)&amp;"输出",标准坦克设计!$B$23:$U$23,0)))*(VLOOKUP($B201,INDIRECT($B$5&amp;"生成成长"),3))*(VLOOKUP($B$5,标准坦克设计!$B$14:$K$20,9)/30))</f>
        <v>28.057585657421281</v>
      </c>
      <c r="FD201" s="172">
        <f ca="1">(VLOOKUP(FD$72,INDIRECT($C$5&amp;"生成成长"),2))/((VLOOKUP($B201,INDIRECT($B$5&amp;"生成成长"),4))/(VLOOKUP(FD$72,INDIRECT($C$5&amp;"生成成长"),5))*(VLOOKUP($B$5,标准坦克设计!$B$24:$U$30,MATCH("对"&amp;LEFT($C$5,2)&amp;"输出",标准坦克设计!$B$23:$U$23,0)))*(VLOOKUP($B201,INDIRECT($B$5&amp;"生成成长"),3))*(VLOOKUP($B$5,标准坦克设计!$B$14:$K$20,9)/30))</f>
        <v>29.705483053270243</v>
      </c>
      <c r="FE201" s="172">
        <f ca="1">(VLOOKUP(FE$72,INDIRECT($C$5&amp;"生成成长"),2))/((VLOOKUP($B201,INDIRECT($B$5&amp;"生成成长"),4))/(VLOOKUP(FE$72,INDIRECT($C$5&amp;"生成成长"),5))*(VLOOKUP($B$5,标准坦克设计!$B$24:$U$30,MATCH("对"&amp;LEFT($C$5,2)&amp;"输出",标准坦克设计!$B$23:$U$23,0)))*(VLOOKUP($B201,INDIRECT($B$5&amp;"生成成长"),3))*(VLOOKUP($B$5,标准坦克设计!$B$14:$K$20,9)/30))</f>
        <v>31.713621195717948</v>
      </c>
      <c r="FF201" s="172">
        <f ca="1">(VLOOKUP(FF$72,INDIRECT($C$5&amp;"生成成长"),2))/((VLOOKUP($B201,INDIRECT($B$5&amp;"生成成长"),4))/(VLOOKUP(FF$72,INDIRECT($C$5&amp;"生成成长"),5))*(VLOOKUP($B$5,标准坦克设计!$B$24:$U$30,MATCH("对"&amp;LEFT($C$5,2)&amp;"输出",标准坦克设计!$B$23:$U$23,0)))*(VLOOKUP($B201,INDIRECT($B$5&amp;"生成成长"),3))*(VLOOKUP($B$5,标准坦克设计!$B$14:$K$20,9)/30))</f>
        <v>33.78743429628345</v>
      </c>
      <c r="FG201" s="172">
        <f ca="1">(VLOOKUP(FG$72,INDIRECT($C$5&amp;"生成成长"),2))/((VLOOKUP($B201,INDIRECT($B$5&amp;"生成成长"),4))/(VLOOKUP(FG$72,INDIRECT($C$5&amp;"生成成长"),5))*(VLOOKUP($B$5,标准坦克设计!$B$24:$U$30,MATCH("对"&amp;LEFT($C$5,2)&amp;"输出",标准坦克设计!$B$23:$U$23,0)))*(VLOOKUP($B201,INDIRECT($B$5&amp;"生成成长"),3))*(VLOOKUP($B$5,标准坦克设计!$B$14:$K$20,9)/30))</f>
        <v>35.926922354966727</v>
      </c>
      <c r="FH201" s="172">
        <f ca="1">(VLOOKUP(FH$72,INDIRECT($C$5&amp;"生成成长"),2))/((VLOOKUP($B201,INDIRECT($B$5&amp;"生成成长"),4))/(VLOOKUP(FH$72,INDIRECT($C$5&amp;"生成成长"),5))*(VLOOKUP($B$5,标准坦克设计!$B$24:$U$30,MATCH("对"&amp;LEFT($C$5,2)&amp;"输出",标准坦克设计!$B$23:$U$23,0)))*(VLOOKUP($B201,INDIRECT($B$5&amp;"生成成长"),3))*(VLOOKUP($B$5,标准坦克设计!$B$14:$K$20,9)/30))</f>
        <v>38.132085371767793</v>
      </c>
      <c r="FI201" s="172">
        <f ca="1">(VLOOKUP(FI$72,INDIRECT($C$5&amp;"生成成长"),2))/((VLOOKUP($B201,INDIRECT($B$5&amp;"生成成长"),4))/(VLOOKUP(FI$72,INDIRECT($C$5&amp;"生成成长"),5))*(VLOOKUP($B$5,标准坦克设计!$B$24:$U$30,MATCH("对"&amp;LEFT($C$5,2)&amp;"输出",标准坦克设计!$B$23:$U$23,0)))*(VLOOKUP($B201,INDIRECT($B$5&amp;"生成成长"),3))*(VLOOKUP($B$5,标准坦克设计!$B$14:$K$20,9)/30))</f>
        <v>40.402923346686642</v>
      </c>
      <c r="FJ201" s="172">
        <f ca="1">(VLOOKUP(FJ$72,INDIRECT($C$5&amp;"生成成长"),2))/((VLOOKUP($B201,INDIRECT($B$5&amp;"生成成长"),4))/(VLOOKUP(FJ$72,INDIRECT($C$5&amp;"生成成长"),5))*(VLOOKUP($B$5,标准坦克设计!$B$24:$U$30,MATCH("对"&amp;LEFT($C$5,2)&amp;"输出",标准坦克设计!$B$23:$U$23,0)))*(VLOOKUP($B201,INDIRECT($B$5&amp;"生成成长"),3))*(VLOOKUP($B$5,标准坦克设计!$B$14:$K$20,9)/30))</f>
        <v>42.739436279723286</v>
      </c>
      <c r="FK201" s="172">
        <f ca="1">(VLOOKUP(FK$72,INDIRECT($C$5&amp;"生成成长"),2))/((VLOOKUP($B201,INDIRECT($B$5&amp;"生成成长"),4))/(VLOOKUP(FK$72,INDIRECT($C$5&amp;"生成成长"),5))*(VLOOKUP($B$5,标准坦克设计!$B$24:$U$30,MATCH("对"&amp;LEFT($C$5,2)&amp;"输出",标准坦克设计!$B$23:$U$23,0)))*(VLOOKUP($B201,INDIRECT($B$5&amp;"生成成长"),3))*(VLOOKUP($B$5,标准坦克设计!$B$14:$K$20,9)/30))</f>
        <v>45.141624170877712</v>
      </c>
    </row>
    <row r="202" spans="1:167" x14ac:dyDescent="0.15">
      <c r="A202" s="170" t="str">
        <f t="shared" ref="A202:A237" si="13">"T"&amp;LEFT(RIGHT(B202,3),1)&amp;""&amp;IF(LEFT(B202,1)="1","低品质",IF(LEFT(B202,1)="2","中品质","高品质"))&amp;""&amp;IF(LEFT(RIGHT(B202,2),1)="0",RIGHT(B202,1),RIGHT(B202,2))&amp;"级"</f>
        <v>T4高品质4级</v>
      </c>
      <c r="B202" s="171">
        <v>30404</v>
      </c>
      <c r="C202" s="172">
        <f ca="1">(VLOOKUP(C$72,INDIRECT($C$5&amp;"生成成长"),2))/((VLOOKUP($B202,INDIRECT($B$5&amp;"生成成长"),4))/(VLOOKUP(C$72,INDIRECT($C$5&amp;"生成成长"),5))*(VLOOKUP($B$5,标准坦克设计!$B$24:$U$30,MATCH("对"&amp;LEFT($C$5,2)&amp;"输出",标准坦克设计!$B$23:$U$23,0)))*(VLOOKUP($B202,INDIRECT($B$5&amp;"生成成长"),3))*(VLOOKUP($B$5,标准坦克设计!$B$14:$K$20,9)/30))</f>
        <v>1.7778285660572051</v>
      </c>
      <c r="D202" s="172">
        <f ca="1">(VLOOKUP(D$72,INDIRECT($C$5&amp;"生成成长"),2))/((VLOOKUP($B202,INDIRECT($B$5&amp;"生成成长"),4))/(VLOOKUP(D$72,INDIRECT($C$5&amp;"生成成长"),5))*(VLOOKUP($B$5,标准坦克设计!$B$24:$U$30,MATCH("对"&amp;LEFT($C$5,2)&amp;"输出",标准坦克设计!$B$23:$U$23,0)))*(VLOOKUP($B202,INDIRECT($B$5&amp;"生成成长"),3))*(VLOOKUP($B$5,标准坦克设计!$B$14:$K$20,9)/30))</f>
        <v>1.9975681768218754</v>
      </c>
      <c r="E202" s="172">
        <f ca="1">(VLOOKUP(E$72,INDIRECT($C$5&amp;"生成成长"),2))/((VLOOKUP($B202,INDIRECT($B$5&amp;"生成成长"),4))/(VLOOKUP(E$72,INDIRECT($C$5&amp;"生成成长"),5))*(VLOOKUP($B$5,标准坦克设计!$B$24:$U$30,MATCH("对"&amp;LEFT($C$5,2)&amp;"输出",标准坦克设计!$B$23:$U$23,0)))*(VLOOKUP($B202,INDIRECT($B$5&amp;"生成成长"),3))*(VLOOKUP($B$5,标准坦克设计!$B$14:$K$20,9)/30))</f>
        <v>2.2301081532621581</v>
      </c>
      <c r="F202" s="172">
        <f ca="1">(VLOOKUP(F$72,INDIRECT($C$5&amp;"生成成长"),2))/((VLOOKUP($B202,INDIRECT($B$5&amp;"生成成长"),4))/(VLOOKUP(F$72,INDIRECT($C$5&amp;"生成成长"),5))*(VLOOKUP($B$5,标准坦克设计!$B$24:$U$30,MATCH("对"&amp;LEFT($C$5,2)&amp;"输出",标准坦克设计!$B$23:$U$23,0)))*(VLOOKUP($B202,INDIRECT($B$5&amp;"生成成长"),3))*(VLOOKUP($B$5,标准坦克设计!$B$14:$K$20,9)/30))</f>
        <v>2.475448495378052</v>
      </c>
      <c r="G202" s="172">
        <f ca="1">(VLOOKUP(G$72,INDIRECT($C$5&amp;"生成成长"),2))/((VLOOKUP($B202,INDIRECT($B$5&amp;"生成成长"),4))/(VLOOKUP(G$72,INDIRECT($C$5&amp;"生成成长"),5))*(VLOOKUP($B$5,标准坦克设计!$B$24:$U$30,MATCH("对"&amp;LEFT($C$5,2)&amp;"输出",标准坦克设计!$B$23:$U$23,0)))*(VLOOKUP($B202,INDIRECT($B$5&amp;"生成成长"),3))*(VLOOKUP($B$5,标准坦克设计!$B$14:$K$20,9)/30))</f>
        <v>2.7335892031695583</v>
      </c>
      <c r="H202" s="172">
        <f ca="1">(VLOOKUP(H$72,INDIRECT($C$5&amp;"生成成长"),2))/((VLOOKUP($B202,INDIRECT($B$5&amp;"生成成长"),4))/(VLOOKUP(H$72,INDIRECT($C$5&amp;"生成成长"),5))*(VLOOKUP($B$5,标准坦克设计!$B$24:$U$30,MATCH("对"&amp;LEFT($C$5,2)&amp;"输出",标准坦克设计!$B$23:$U$23,0)))*(VLOOKUP($B202,INDIRECT($B$5&amp;"生成成长"),3))*(VLOOKUP($B$5,标准坦克设计!$B$14:$K$20,9)/30))</f>
        <v>2.3922461184865753</v>
      </c>
      <c r="I202" s="172">
        <f ca="1">(VLOOKUP(I$72,INDIRECT($C$5&amp;"生成成长"),2))/((VLOOKUP($B202,INDIRECT($B$5&amp;"生成成长"),4))/(VLOOKUP(I$72,INDIRECT($C$5&amp;"生成成长"),5))*(VLOOKUP($B$5,标准坦克设计!$B$24:$U$30,MATCH("对"&amp;LEFT($C$5,2)&amp;"输出",标准坦克设计!$B$23:$U$23,0)))*(VLOOKUP($B202,INDIRECT($B$5&amp;"生成成长"),3))*(VLOOKUP($B$5,标准坦克设计!$B$14:$K$20,9)/30))</f>
        <v>2.7335892031695583</v>
      </c>
      <c r="J202" s="172">
        <f ca="1">(VLOOKUP(J$72,INDIRECT($C$5&amp;"生成成长"),2))/((VLOOKUP($B202,INDIRECT($B$5&amp;"生成成长"),4))/(VLOOKUP(J$72,INDIRECT($C$5&amp;"生成成长"),5))*(VLOOKUP($B$5,标准坦克设计!$B$24:$U$30,MATCH("对"&amp;LEFT($C$5,2)&amp;"输出",标准坦克设计!$B$23:$U$23,0)))*(VLOOKUP($B202,INDIRECT($B$5&amp;"生成成长"),3))*(VLOOKUP($B$5,标准坦克设计!$B$14:$K$20,9)/30))</f>
        <v>3.0976884934980737</v>
      </c>
      <c r="K202" s="172">
        <f ca="1">(VLOOKUP(K$72,INDIRECT($C$5&amp;"生成成长"),2))/((VLOOKUP($B202,INDIRECT($B$5&amp;"生成成长"),4))/(VLOOKUP(K$72,INDIRECT($C$5&amp;"生成成长"),5))*(VLOOKUP($B$5,标准坦克设计!$B$24:$U$30,MATCH("对"&amp;LEFT($C$5,2)&amp;"输出",标准坦克设计!$B$23:$U$23,0)))*(VLOOKUP($B202,INDIRECT($B$5&amp;"生成成长"),3))*(VLOOKUP($B$5,标准坦克设计!$B$14:$K$20,9)/30))</f>
        <v>3.4845439894721224</v>
      </c>
      <c r="L202" s="172">
        <f ca="1">(VLOOKUP(L$72,INDIRECT($C$5&amp;"生成成长"),2))/((VLOOKUP($B202,INDIRECT($B$5&amp;"生成成长"),4))/(VLOOKUP(L$72,INDIRECT($C$5&amp;"生成成长"),5))*(VLOOKUP($B$5,标准坦克设计!$B$24:$U$30,MATCH("对"&amp;LEFT($C$5,2)&amp;"输出",标准坦克设计!$B$23:$U$23,0)))*(VLOOKUP($B202,INDIRECT($B$5&amp;"生成成长"),3))*(VLOOKUP($B$5,标准坦克设计!$B$14:$K$20,9)/30))</f>
        <v>3.8941556910917012</v>
      </c>
      <c r="M202" s="172">
        <f ca="1">(VLOOKUP(M$72,INDIRECT($C$5&amp;"生成成长"),2))/((VLOOKUP($B202,INDIRECT($B$5&amp;"生成成长"),4))/(VLOOKUP(M$72,INDIRECT($C$5&amp;"生成成长"),5))*(VLOOKUP($B$5,标准坦克设计!$B$24:$U$30,MATCH("对"&amp;LEFT($C$5,2)&amp;"输出",标准坦克设计!$B$23:$U$23,0)))*(VLOOKUP($B202,INDIRECT($B$5&amp;"生成成长"),3))*(VLOOKUP($B$5,标准坦克设计!$B$14:$K$20,9)/30))</f>
        <v>4.3265235983568147</v>
      </c>
      <c r="N202" s="172">
        <f ca="1">(VLOOKUP(N$72,INDIRECT($C$5&amp;"生成成长"),2))/((VLOOKUP($B202,INDIRECT($B$5&amp;"生成成长"),4))/(VLOOKUP(N$72,INDIRECT($C$5&amp;"生成成长"),5))*(VLOOKUP($B$5,标准坦克设计!$B$24:$U$30,MATCH("对"&amp;LEFT($C$5,2)&amp;"输出",标准坦克设计!$B$23:$U$23,0)))*(VLOOKUP($B202,INDIRECT($B$5&amp;"生成成长"),3))*(VLOOKUP($B$5,标准坦克设计!$B$14:$K$20,9)/30))</f>
        <v>4.7816477112674578</v>
      </c>
      <c r="O202" s="172">
        <f ca="1">(VLOOKUP(O$72,INDIRECT($C$5&amp;"生成成长"),2))/((VLOOKUP($B202,INDIRECT($B$5&amp;"生成成长"),4))/(VLOOKUP(O$72,INDIRECT($C$5&amp;"生成成长"),5))*(VLOOKUP($B$5,标准坦克设计!$B$24:$U$30,MATCH("对"&amp;LEFT($C$5,2)&amp;"输出",标准坦克设计!$B$23:$U$23,0)))*(VLOOKUP($B202,INDIRECT($B$5&amp;"生成成长"),3))*(VLOOKUP($B$5,标准坦克设计!$B$14:$K$20,9)/30))</f>
        <v>3.635481634730378</v>
      </c>
      <c r="P202" s="172">
        <f ca="1">(VLOOKUP(P$72,INDIRECT($C$5&amp;"生成成长"),2))/((VLOOKUP($B202,INDIRECT($B$5&amp;"生成成长"),4))/(VLOOKUP(P$72,INDIRECT($C$5&amp;"生成成长"),5))*(VLOOKUP($B$5,标准坦克设计!$B$24:$U$30,MATCH("对"&amp;LEFT($C$5,2)&amp;"输出",标准坦克设计!$B$23:$U$23,0)))*(VLOOKUP($B202,INDIRECT($B$5&amp;"生成成长"),3))*(VLOOKUP($B$5,标准坦克设计!$B$14:$K$20,9)/30))</f>
        <v>4.1074951190185667</v>
      </c>
      <c r="Q202" s="172">
        <f ca="1">(VLOOKUP(Q$72,INDIRECT($C$5&amp;"生成成长"),2))/((VLOOKUP($B202,INDIRECT($B$5&amp;"生成成长"),4))/(VLOOKUP(Q$72,INDIRECT($C$5&amp;"生成成长"),5))*(VLOOKUP($B$5,标准坦克设计!$B$24:$U$30,MATCH("对"&amp;LEFT($C$5,2)&amp;"输出",标准坦克设计!$B$23:$U$23,0)))*(VLOOKUP($B202,INDIRECT($B$5&amp;"生成成长"),3))*(VLOOKUP($B$5,标准坦克设计!$B$14:$K$20,9)/30))</f>
        <v>4.6083094260768815</v>
      </c>
      <c r="R202" s="172">
        <f ca="1">(VLOOKUP(R$72,INDIRECT($C$5&amp;"生成成长"),2))/((VLOOKUP($B202,INDIRECT($B$5&amp;"生成成长"),4))/(VLOOKUP(R$72,INDIRECT($C$5&amp;"生成成长"),5))*(VLOOKUP($B$5,标准坦克设计!$B$24:$U$30,MATCH("对"&amp;LEFT($C$5,2)&amp;"输出",标准坦克设计!$B$23:$U$23,0)))*(VLOOKUP($B202,INDIRECT($B$5&amp;"生成成长"),3))*(VLOOKUP($B$5,标准坦克设计!$B$14:$K$20,9)/30))</f>
        <v>5.1379245559053226</v>
      </c>
      <c r="S202" s="172">
        <f ca="1">(VLOOKUP(S$72,INDIRECT($C$5&amp;"生成成长"),2))/((VLOOKUP($B202,INDIRECT($B$5&amp;"生成成长"),4))/(VLOOKUP(S$72,INDIRECT($C$5&amp;"生成成长"),5))*(VLOOKUP($B$5,标准坦克设计!$B$24:$U$30,MATCH("对"&amp;LEFT($C$5,2)&amp;"输出",标准坦克设计!$B$23:$U$23,0)))*(VLOOKUP($B202,INDIRECT($B$5&amp;"生成成长"),3))*(VLOOKUP($B$5,标准坦克设计!$B$14:$K$20,9)/30))</f>
        <v>5.6963405085038907</v>
      </c>
      <c r="T202" s="172">
        <f ca="1">(VLOOKUP(T$72,INDIRECT($C$5&amp;"生成成长"),2))/((VLOOKUP($B202,INDIRECT($B$5&amp;"生成成长"),4))/(VLOOKUP(T$72,INDIRECT($C$5&amp;"生成成长"),5))*(VLOOKUP($B$5,标准坦克设计!$B$24:$U$30,MATCH("对"&amp;LEFT($C$5,2)&amp;"输出",标准坦克设计!$B$23:$U$23,0)))*(VLOOKUP($B202,INDIRECT($B$5&amp;"生成成长"),3))*(VLOOKUP($B$5,标准坦克设计!$B$14:$K$20,9)/30))</f>
        <v>6.2835572838725859</v>
      </c>
      <c r="U202" s="172">
        <f ca="1">(VLOOKUP(U$72,INDIRECT($C$5&amp;"生成成长"),2))/((VLOOKUP($B202,INDIRECT($B$5&amp;"生成成长"),4))/(VLOOKUP(U$72,INDIRECT($C$5&amp;"生成成长"),5))*(VLOOKUP($B$5,标准坦克设计!$B$24:$U$30,MATCH("对"&amp;LEFT($C$5,2)&amp;"输出",标准坦克设计!$B$23:$U$23,0)))*(VLOOKUP($B202,INDIRECT($B$5&amp;"生成成长"),3))*(VLOOKUP($B$5,标准坦克设计!$B$14:$K$20,9)/30))</f>
        <v>6.8995748820114073</v>
      </c>
      <c r="V202" s="172">
        <f ca="1">(VLOOKUP(V$72,INDIRECT($C$5&amp;"生成成长"),2))/((VLOOKUP($B202,INDIRECT($B$5&amp;"生成成长"),4))/(VLOOKUP(V$72,INDIRECT($C$5&amp;"生成成长"),5))*(VLOOKUP($B$5,标准坦克设计!$B$24:$U$30,MATCH("对"&amp;LEFT($C$5,2)&amp;"输出",标准坦克设计!$B$23:$U$23,0)))*(VLOOKUP($B202,INDIRECT($B$5&amp;"生成成长"),3))*(VLOOKUP($B$5,标准坦克设计!$B$14:$K$20,9)/30))</f>
        <v>7.5443933029203549</v>
      </c>
      <c r="W202" s="172">
        <f ca="1">(VLOOKUP(W$72,INDIRECT($C$5&amp;"生成成长"),2))/((VLOOKUP($B202,INDIRECT($B$5&amp;"生成成长"),4))/(VLOOKUP(W$72,INDIRECT($C$5&amp;"生成成长"),5))*(VLOOKUP($B$5,标准坦克设计!$B$24:$U$30,MATCH("对"&amp;LEFT($C$5,2)&amp;"输出",标准坦克设计!$B$23:$U$23,0)))*(VLOOKUP($B202,INDIRECT($B$5&amp;"生成成长"),3))*(VLOOKUP($B$5,标准坦克设计!$B$14:$K$20,9)/30))</f>
        <v>8.2180125465994305</v>
      </c>
      <c r="X202" s="172">
        <f ca="1">(VLOOKUP(X$72,INDIRECT($C$5&amp;"生成成长"),2))/((VLOOKUP($B202,INDIRECT($B$5&amp;"生成成长"),4))/(VLOOKUP(X$72,INDIRECT($C$5&amp;"生成成长"),5))*(VLOOKUP($B$5,标准坦克设计!$B$24:$U$30,MATCH("对"&amp;LEFT($C$5,2)&amp;"输出",标准坦克设计!$B$23:$U$23,0)))*(VLOOKUP($B202,INDIRECT($B$5&amp;"生成成长"),3))*(VLOOKUP($B$5,标准坦克设计!$B$14:$K$20,9)/30))</f>
        <v>5.9537700848689736</v>
      </c>
      <c r="Y202" s="172">
        <f ca="1">(VLOOKUP(Y$72,INDIRECT($C$5&amp;"生成成长"),2))/((VLOOKUP($B202,INDIRECT($B$5&amp;"生成成长"),4))/(VLOOKUP(Y$72,INDIRECT($C$5&amp;"生成成长"),5))*(VLOOKUP($B$5,标准坦克设计!$B$24:$U$30,MATCH("对"&amp;LEFT($C$5,2)&amp;"输出",标准坦克设计!$B$23:$U$23,0)))*(VLOOKUP($B202,INDIRECT($B$5&amp;"生成成长"),3))*(VLOOKUP($B$5,标准坦克设计!$B$14:$K$20,9)/30))</f>
        <v>6.6222336257064827</v>
      </c>
      <c r="Z202" s="172">
        <f ca="1">(VLOOKUP(Z$72,INDIRECT($C$5&amp;"生成成长"),2))/((VLOOKUP($B202,INDIRECT($B$5&amp;"生成成长"),4))/(VLOOKUP(Z$72,INDIRECT($C$5&amp;"生成成长"),5))*(VLOOKUP($B$5,标准坦克设计!$B$24:$U$30,MATCH("对"&amp;LEFT($C$5,2)&amp;"输出",标准坦克设计!$B$23:$U$23,0)))*(VLOOKUP($B202,INDIRECT($B$5&amp;"生成成长"),3))*(VLOOKUP($B$5,标准坦克设计!$B$14:$K$20,9)/30))</f>
        <v>7.3262537378651365</v>
      </c>
      <c r="AA202" s="172">
        <f ca="1">(VLOOKUP(AA$72,INDIRECT($C$5&amp;"生成成长"),2))/((VLOOKUP($B202,INDIRECT($B$5&amp;"生成成长"),4))/(VLOOKUP(AA$72,INDIRECT($C$5&amp;"生成成长"),5))*(VLOOKUP($B$5,标准坦克设计!$B$24:$U$30,MATCH("对"&amp;LEFT($C$5,2)&amp;"输出",标准坦克设计!$B$23:$U$23,0)))*(VLOOKUP($B202,INDIRECT($B$5&amp;"生成成长"),3))*(VLOOKUP($B$5,标准坦克设计!$B$14:$K$20,9)/30))</f>
        <v>8.0658304213449341</v>
      </c>
      <c r="AB202" s="172">
        <f ca="1">(VLOOKUP(AB$72,INDIRECT($C$5&amp;"生成成长"),2))/((VLOOKUP($B202,INDIRECT($B$5&amp;"生成成长"),4))/(VLOOKUP(AB$72,INDIRECT($C$5&amp;"生成成长"),5))*(VLOOKUP($B$5,标准坦克设计!$B$24:$U$30,MATCH("对"&amp;LEFT($C$5,2)&amp;"输出",标准坦克设计!$B$23:$U$23,0)))*(VLOOKUP($B202,INDIRECT($B$5&amp;"生成成长"),3))*(VLOOKUP($B$5,标准坦克设计!$B$14:$K$20,9)/30))</f>
        <v>8.8409636761458739</v>
      </c>
      <c r="AC202" s="172">
        <f ca="1">(VLOOKUP(AC$72,INDIRECT($C$5&amp;"生成成长"),2))/((VLOOKUP($B202,INDIRECT($B$5&amp;"生成成长"),4))/(VLOOKUP(AC$72,INDIRECT($C$5&amp;"生成成长"),5))*(VLOOKUP($B$5,标准坦克设计!$B$24:$U$30,MATCH("对"&amp;LEFT($C$5,2)&amp;"输出",标准坦克设计!$B$23:$U$23,0)))*(VLOOKUP($B202,INDIRECT($B$5&amp;"生成成长"),3))*(VLOOKUP($B$5,标准坦克设计!$B$14:$K$20,9)/30))</f>
        <v>9.6516535022679601</v>
      </c>
      <c r="AD202" s="172">
        <f ca="1">(VLOOKUP(AD$72,INDIRECT($C$5&amp;"生成成长"),2))/((VLOOKUP($B202,INDIRECT($B$5&amp;"生成成长"),4))/(VLOOKUP(AD$72,INDIRECT($C$5&amp;"生成成长"),5))*(VLOOKUP($B$5,标准坦克设计!$B$24:$U$30,MATCH("对"&amp;LEFT($C$5,2)&amp;"输出",标准坦克设计!$B$23:$U$23,0)))*(VLOOKUP($B202,INDIRECT($B$5&amp;"生成成长"),3))*(VLOOKUP($B$5,标准坦克设计!$B$14:$K$20,9)/30))</f>
        <v>10.497899899711189</v>
      </c>
      <c r="AE202" s="172">
        <f ca="1">(VLOOKUP(AE$72,INDIRECT($C$5&amp;"生成成长"),2))/((VLOOKUP($B202,INDIRECT($B$5&amp;"生成成长"),4))/(VLOOKUP(AE$72,INDIRECT($C$5&amp;"生成成长"),5))*(VLOOKUP($B$5,标准坦克设计!$B$24:$U$30,MATCH("对"&amp;LEFT($C$5,2)&amp;"输出",标准坦克设计!$B$23:$U$23,0)))*(VLOOKUP($B202,INDIRECT($B$5&amp;"生成成长"),3))*(VLOOKUP($B$5,标准坦克设计!$B$14:$K$20,9)/30))</f>
        <v>11.379702868475563</v>
      </c>
      <c r="AF202" s="172">
        <f ca="1">(VLOOKUP(AF$72,INDIRECT($C$5&amp;"生成成长"),2))/((VLOOKUP($B202,INDIRECT($B$5&amp;"生成成长"),4))/(VLOOKUP(AF$72,INDIRECT($C$5&amp;"生成成长"),5))*(VLOOKUP($B$5,标准坦克设计!$B$24:$U$30,MATCH("对"&amp;LEFT($C$5,2)&amp;"输出",标准坦克设计!$B$23:$U$23,0)))*(VLOOKUP($B202,INDIRECT($B$5&amp;"生成成长"),3))*(VLOOKUP($B$5,标准坦克设计!$B$14:$K$20,9)/30))</f>
        <v>12.297062408561082</v>
      </c>
      <c r="AG202" s="172">
        <f ca="1">(VLOOKUP(AG$72,INDIRECT($C$5&amp;"生成成长"),2))/((VLOOKUP($B202,INDIRECT($B$5&amp;"生成成长"),4))/(VLOOKUP(AG$72,INDIRECT($C$5&amp;"生成成长"),5))*(VLOOKUP($B$5,标准坦克设计!$B$24:$U$30,MATCH("对"&amp;LEFT($C$5,2)&amp;"输出",标准坦克设计!$B$23:$U$23,0)))*(VLOOKUP($B202,INDIRECT($B$5&amp;"生成成长"),3))*(VLOOKUP($B$5,标准坦克设计!$B$14:$K$20,9)/30))</f>
        <v>13.24997851996774</v>
      </c>
      <c r="AH202" s="172">
        <f ca="1">(VLOOKUP(AH$72,INDIRECT($C$5&amp;"生成成长"),2))/((VLOOKUP($B202,INDIRECT($B$5&amp;"生成成长"),4))/(VLOOKUP(AH$72,INDIRECT($C$5&amp;"生成成长"),5))*(VLOOKUP($B$5,标准坦克设计!$B$24:$U$30,MATCH("对"&amp;LEFT($C$5,2)&amp;"输出",标准坦克设计!$B$23:$U$23,0)))*(VLOOKUP($B202,INDIRECT($B$5&amp;"生成成长"),3))*(VLOOKUP($B$5,标准坦克设计!$B$14:$K$20,9)/30))</f>
        <v>14.238451202695551</v>
      </c>
      <c r="AI202" s="172">
        <f ca="1">(VLOOKUP(AI$72,INDIRECT($C$5&amp;"生成成长"),2))/((VLOOKUP($B202,INDIRECT($B$5&amp;"生成成长"),4))/(VLOOKUP(AI$72,INDIRECT($C$5&amp;"生成成长"),5))*(VLOOKUP($B$5,标准坦克设计!$B$24:$U$30,MATCH("对"&amp;LEFT($C$5,2)&amp;"输出",标准坦克设计!$B$23:$U$23,0)))*(VLOOKUP($B202,INDIRECT($B$5&amp;"生成成长"),3))*(VLOOKUP($B$5,标准坦克设计!$B$14:$K$20,9)/30))</f>
        <v>10.070332129574433</v>
      </c>
      <c r="AJ202" s="172">
        <f ca="1">(VLOOKUP(AJ$72,INDIRECT($C$5&amp;"生成成长"),2))/((VLOOKUP($B202,INDIRECT($B$5&amp;"生成成长"),4))/(VLOOKUP(AJ$72,INDIRECT($C$5&amp;"生成成长"),5))*(VLOOKUP($B$5,标准坦克设计!$B$24:$U$30,MATCH("对"&amp;LEFT($C$5,2)&amp;"输出",标准坦克设计!$B$23:$U$23,0)))*(VLOOKUP($B202,INDIRECT($B$5&amp;"生成成长"),3))*(VLOOKUP($B$5,标准坦克设计!$B$14:$K$20,9)/30))</f>
        <v>11.022714892411278</v>
      </c>
      <c r="AK202" s="172">
        <f ca="1">(VLOOKUP(AK$72,INDIRECT($C$5&amp;"生成成长"),2))/((VLOOKUP($B202,INDIRECT($B$5&amp;"生成成长"),4))/(VLOOKUP(AK$72,INDIRECT($C$5&amp;"生成成长"),5))*(VLOOKUP($B$5,标准坦克设计!$B$24:$U$30,MATCH("对"&amp;LEFT($C$5,2)&amp;"输出",标准坦克设计!$B$23:$U$23,0)))*(VLOOKUP($B202,INDIRECT($B$5&amp;"生成成长"),3))*(VLOOKUP($B$5,标准坦克设计!$B$14:$K$20,9)/30))</f>
        <v>12.018121106546708</v>
      </c>
      <c r="AL202" s="172">
        <f ca="1">(VLOOKUP(AL$72,INDIRECT($C$5&amp;"生成成长"),2))/((VLOOKUP($B202,INDIRECT($B$5&amp;"生成成长"),4))/(VLOOKUP(AL$72,INDIRECT($C$5&amp;"生成成长"),5))*(VLOOKUP($B$5,标准坦克设计!$B$24:$U$30,MATCH("对"&amp;LEFT($C$5,2)&amp;"输出",标准坦克设计!$B$23:$U$23,0)))*(VLOOKUP($B202,INDIRECT($B$5&amp;"生成成长"),3))*(VLOOKUP($B$5,标准坦克设计!$B$14:$K$20,9)/30))</f>
        <v>13.056550771980721</v>
      </c>
      <c r="AM202" s="172">
        <f ca="1">(VLOOKUP(AM$72,INDIRECT($C$5&amp;"生成成长"),2))/((VLOOKUP($B202,INDIRECT($B$5&amp;"生成成长"),4))/(VLOOKUP(AM$72,INDIRECT($C$5&amp;"生成成长"),5))*(VLOOKUP($B$5,标准坦克设计!$B$24:$U$30,MATCH("对"&amp;LEFT($C$5,2)&amp;"输出",标准坦克设计!$B$23:$U$23,0)))*(VLOOKUP($B202,INDIRECT($B$5&amp;"生成成长"),3))*(VLOOKUP($B$5,标准坦克设计!$B$14:$K$20,9)/30))</f>
        <v>14.138003888713317</v>
      </c>
      <c r="AN202" s="172">
        <f ca="1">(VLOOKUP(AN$72,INDIRECT($C$5&amp;"生成成长"),2))/((VLOOKUP($B202,INDIRECT($B$5&amp;"生成成长"),4))/(VLOOKUP(AN$72,INDIRECT($C$5&amp;"生成成长"),5))*(VLOOKUP($B$5,标准坦克设计!$B$24:$U$30,MATCH("对"&amp;LEFT($C$5,2)&amp;"输出",标准坦克设计!$B$23:$U$23,0)))*(VLOOKUP($B202,INDIRECT($B$5&amp;"生成成长"),3))*(VLOOKUP($B$5,标准坦克设计!$B$14:$K$20,9)/30))</f>
        <v>15.262480456744498</v>
      </c>
      <c r="AO202" s="172">
        <f ca="1">(VLOOKUP(AO$72,INDIRECT($C$5&amp;"生成成长"),2))/((VLOOKUP($B202,INDIRECT($B$5&amp;"生成成长"),4))/(VLOOKUP(AO$72,INDIRECT($C$5&amp;"生成成长"),5))*(VLOOKUP($B$5,标准坦克设计!$B$24:$U$30,MATCH("对"&amp;LEFT($C$5,2)&amp;"输出",标准坦克设计!$B$23:$U$23,0)))*(VLOOKUP($B202,INDIRECT($B$5&amp;"生成成长"),3))*(VLOOKUP($B$5,标准坦克设计!$B$14:$K$20,9)/30))</f>
        <v>16.429980476074267</v>
      </c>
      <c r="AP202" s="172">
        <f ca="1">(VLOOKUP(AP$72,INDIRECT($C$5&amp;"生成成长"),2))/((VLOOKUP($B202,INDIRECT($B$5&amp;"生成成长"),4))/(VLOOKUP(AP$72,INDIRECT($C$5&amp;"生成成长"),5))*(VLOOKUP($B$5,标准坦克设计!$B$24:$U$30,MATCH("对"&amp;LEFT($C$5,2)&amp;"输出",标准坦克设计!$B$23:$U$23,0)))*(VLOOKUP($B202,INDIRECT($B$5&amp;"生成成长"),3))*(VLOOKUP($B$5,标准坦克设计!$B$14:$K$20,9)/30))</f>
        <v>17.640503946702616</v>
      </c>
      <c r="AQ202" s="172">
        <f ca="1">(VLOOKUP(AQ$72,INDIRECT($C$5&amp;"生成成长"),2))/((VLOOKUP($B202,INDIRECT($B$5&amp;"生成成长"),4))/(VLOOKUP(AQ$72,INDIRECT($C$5&amp;"生成成长"),5))*(VLOOKUP($B$5,标准坦克设计!$B$24:$U$30,MATCH("对"&amp;LEFT($C$5,2)&amp;"输出",标准坦克设计!$B$23:$U$23,0)))*(VLOOKUP($B202,INDIRECT($B$5&amp;"生成成长"),3))*(VLOOKUP($B$5,标准坦克设计!$B$14:$K$20,9)/30))</f>
        <v>18.894050868629552</v>
      </c>
      <c r="AR202" s="172">
        <f ca="1">(VLOOKUP(AR$72,INDIRECT($C$5&amp;"生成成长"),2))/((VLOOKUP($B202,INDIRECT($B$5&amp;"生成成长"),4))/(VLOOKUP(AR$72,INDIRECT($C$5&amp;"生成成长"),5))*(VLOOKUP($B$5,标准坦克设计!$B$24:$U$30,MATCH("对"&amp;LEFT($C$5,2)&amp;"输出",标准坦克设计!$B$23:$U$23,0)))*(VLOOKUP($B202,INDIRECT($B$5&amp;"生成成长"),3))*(VLOOKUP($B$5,标准坦克设计!$B$14:$K$20,9)/30))</f>
        <v>20.190621241855069</v>
      </c>
      <c r="AS202" s="172">
        <f ca="1">(VLOOKUP(AS$72,INDIRECT($C$5&amp;"生成成长"),2))/((VLOOKUP($B202,INDIRECT($B$5&amp;"生成成长"),4))/(VLOOKUP(AS$72,INDIRECT($C$5&amp;"生成成长"),5))*(VLOOKUP($B$5,标准坦克设计!$B$24:$U$30,MATCH("对"&amp;LEFT($C$5,2)&amp;"输出",标准坦克设计!$B$23:$U$23,0)))*(VLOOKUP($B202,INDIRECT($B$5&amp;"生成成长"),3))*(VLOOKUP($B$5,标准坦克设计!$B$14:$K$20,9)/30))</f>
        <v>21.530215066379171</v>
      </c>
      <c r="AT202" s="172">
        <f ca="1">(VLOOKUP(AT$72,INDIRECT($C$5&amp;"生成成长"),2))/((VLOOKUP($B202,INDIRECT($B$5&amp;"生成成长"),4))/(VLOOKUP(AT$72,INDIRECT($C$5&amp;"生成成长"),5))*(VLOOKUP($B$5,标准坦克设计!$B$24:$U$30,MATCH("对"&amp;LEFT($C$5,2)&amp;"输出",标准坦克设计!$B$23:$U$23,0)))*(VLOOKUP($B202,INDIRECT($B$5&amp;"生成成长"),3))*(VLOOKUP($B$5,标准坦克设计!$B$14:$K$20,9)/30))</f>
        <v>22.912832342201863</v>
      </c>
      <c r="AU202" s="172">
        <f ca="1">(VLOOKUP(AU$72,INDIRECT($C$5&amp;"生成成长"),2))/((VLOOKUP($B202,INDIRECT($B$5&amp;"生成成长"),4))/(VLOOKUP(AU$72,INDIRECT($C$5&amp;"生成成长"),5))*(VLOOKUP($B$5,标准坦克设计!$B$24:$U$30,MATCH("对"&amp;LEFT($C$5,2)&amp;"输出",标准坦克设计!$B$23:$U$23,0)))*(VLOOKUP($B202,INDIRECT($B$5&amp;"生成成长"),3))*(VLOOKUP($B$5,标准坦克设计!$B$14:$K$20,9)/30))</f>
        <v>24.338473069323136</v>
      </c>
      <c r="AV202" s="172">
        <f ca="1">(VLOOKUP(AV$72,INDIRECT($C$5&amp;"生成成长"),2))/((VLOOKUP($B202,INDIRECT($B$5&amp;"生成成长"),4))/(VLOOKUP(AV$72,INDIRECT($C$5&amp;"生成成长"),5))*(VLOOKUP($B$5,标准坦克设计!$B$24:$U$30,MATCH("对"&amp;LEFT($C$5,2)&amp;"输出",标准坦克设计!$B$23:$U$23,0)))*(VLOOKUP($B202,INDIRECT($B$5&amp;"生成成长"),3))*(VLOOKUP($B$5,标准坦克设计!$B$14:$K$20,9)/30))</f>
        <v>2.475448495378052</v>
      </c>
      <c r="AW202" s="172">
        <f ca="1">(VLOOKUP(AW$72,INDIRECT($C$5&amp;"生成成长"),2))/((VLOOKUP($B202,INDIRECT($B$5&amp;"生成成长"),4))/(VLOOKUP(AW$72,INDIRECT($C$5&amp;"生成成长"),5))*(VLOOKUP($B$5,标准坦克设计!$B$24:$U$30,MATCH("对"&amp;LEFT($C$5,2)&amp;"输出",标准坦克设计!$B$23:$U$23,0)))*(VLOOKUP($B202,INDIRECT($B$5&amp;"生成成长"),3))*(VLOOKUP($B$5,标准坦克设计!$B$14:$K$20,9)/30))</f>
        <v>2.8224806314724185</v>
      </c>
      <c r="AX202" s="172">
        <f ca="1">(VLOOKUP(AX$72,INDIRECT($C$5&amp;"生成成长"),2))/((VLOOKUP($B202,INDIRECT($B$5&amp;"生成成长"),4))/(VLOOKUP(AX$72,INDIRECT($C$5&amp;"生成成长"),5))*(VLOOKUP($B$5,标准坦克设计!$B$24:$U$30,MATCH("对"&amp;LEFT($C$5,2)&amp;"输出",标准坦克设计!$B$23:$U$23,0)))*(VLOOKUP($B202,INDIRECT($B$5&amp;"生成成长"),3))*(VLOOKUP($B$5,标准坦克设计!$B$14:$K$20,9)/30))</f>
        <v>3.1922689732123168</v>
      </c>
      <c r="AY202" s="172">
        <f ca="1">(VLOOKUP(AY$72,INDIRECT($C$5&amp;"生成成长"),2))/((VLOOKUP($B202,INDIRECT($B$5&amp;"生成成长"),4))/(VLOOKUP(AY$72,INDIRECT($C$5&amp;"生成成长"),5))*(VLOOKUP($B$5,标准坦克设计!$B$24:$U$30,MATCH("对"&amp;LEFT($C$5,2)&amp;"输出",标准坦克设计!$B$23:$U$23,0)))*(VLOOKUP($B202,INDIRECT($B$5&amp;"生成成长"),3))*(VLOOKUP($B$5,标准坦克设计!$B$14:$K$20,9)/30))</f>
        <v>3.5848135205977485</v>
      </c>
      <c r="AZ202" s="172">
        <f ca="1">(VLOOKUP(AZ$72,INDIRECT($C$5&amp;"生成成长"),2))/((VLOOKUP($B202,INDIRECT($B$5&amp;"生成成长"),4))/(VLOOKUP(AZ$72,INDIRECT($C$5&amp;"生成成长"),5))*(VLOOKUP($B$5,标准坦克设计!$B$24:$U$30,MATCH("对"&amp;LEFT($C$5,2)&amp;"输出",标准坦克设计!$B$23:$U$23,0)))*(VLOOKUP($B202,INDIRECT($B$5&amp;"生成成长"),3))*(VLOOKUP($B$5,标准坦克设计!$B$14:$K$20,9)/30))</f>
        <v>4.0001142736287107</v>
      </c>
      <c r="BA202" s="172">
        <f ca="1">(VLOOKUP(BA$72,INDIRECT($C$5&amp;"生成成长"),2))/((VLOOKUP($B202,INDIRECT($B$5&amp;"生成成长"),4))/(VLOOKUP(BA$72,INDIRECT($C$5&amp;"生成成长"),5))*(VLOOKUP($B$5,标准坦克设计!$B$24:$U$30,MATCH("对"&amp;LEFT($C$5,2)&amp;"输出",标准坦克设计!$B$23:$U$23,0)))*(VLOOKUP($B202,INDIRECT($B$5&amp;"生成成长"),3))*(VLOOKUP($B$5,标准坦克设计!$B$14:$K$20,9)/30))</f>
        <v>4.4381712323052067</v>
      </c>
      <c r="BB202" s="172">
        <f ca="1">(VLOOKUP(BB$72,INDIRECT($C$5&amp;"生成成长"),2))/((VLOOKUP($B202,INDIRECT($B$5&amp;"生成成长"),4))/(VLOOKUP(BB$72,INDIRECT($C$5&amp;"生成成长"),5))*(VLOOKUP($B$5,标准坦克设计!$B$24:$U$30,MATCH("对"&amp;LEFT($C$5,2)&amp;"输出",标准坦克设计!$B$23:$U$23,0)))*(VLOOKUP($B202,INDIRECT($B$5&amp;"生成成长"),3))*(VLOOKUP($B$5,标准坦克设计!$B$14:$K$20,9)/30))</f>
        <v>4.8989843966272337</v>
      </c>
      <c r="BC202" s="172">
        <f ca="1">(VLOOKUP(BC$72,INDIRECT($C$5&amp;"生成成长"),2))/((VLOOKUP($B202,INDIRECT($B$5&amp;"生成成长"),4))/(VLOOKUP(BC$72,INDIRECT($C$5&amp;"生成成长"),5))*(VLOOKUP($B$5,标准坦克设计!$B$24:$U$30,MATCH("对"&amp;LEFT($C$5,2)&amp;"输出",标准坦克设计!$B$23:$U$23,0)))*(VLOOKUP($B202,INDIRECT($B$5&amp;"生成成长"),3))*(VLOOKUP($B$5,标准坦克设计!$B$14:$K$20,9)/30))</f>
        <v>5.3825537665947927</v>
      </c>
      <c r="BD202" s="172">
        <f ca="1">(VLOOKUP(BD$72,INDIRECT($C$5&amp;"生成成长"),2))/((VLOOKUP($B202,INDIRECT($B$5&amp;"生成成长"),4))/(VLOOKUP(BD$72,INDIRECT($C$5&amp;"生成成长"),5))*(VLOOKUP($B$5,标准坦克设计!$B$24:$U$30,MATCH("对"&amp;LEFT($C$5,2)&amp;"输出",标准坦克设计!$B$23:$U$23,0)))*(VLOOKUP($B202,INDIRECT($B$5&amp;"生成成长"),3))*(VLOOKUP($B$5,标准坦克设计!$B$14:$K$20,9)/30))</f>
        <v>5.9537700848689736</v>
      </c>
      <c r="BE202" s="172">
        <f ca="1">(VLOOKUP(BE$72,INDIRECT($C$5&amp;"生成成长"),2))/((VLOOKUP($B202,INDIRECT($B$5&amp;"生成成长"),4))/(VLOOKUP(BE$72,INDIRECT($C$5&amp;"生成成长"),5))*(VLOOKUP($B$5,标准坦克设计!$B$24:$U$30,MATCH("对"&amp;LEFT($C$5,2)&amp;"输出",标准坦克设计!$B$23:$U$23,0)))*(VLOOKUP($B202,INDIRECT($B$5&amp;"生成成长"),3))*(VLOOKUP($B$5,标准坦克设计!$B$14:$K$20,9)/30))</f>
        <v>6.5537872259132799</v>
      </c>
      <c r="BF202" s="172">
        <f ca="1">(VLOOKUP(BF$72,INDIRECT($C$5&amp;"生成成长"),2))/((VLOOKUP($B202,INDIRECT($B$5&amp;"生成成长"),4))/(VLOOKUP(BF$72,INDIRECT($C$5&amp;"生成成长"),5))*(VLOOKUP($B$5,标准坦克设计!$B$24:$U$30,MATCH("对"&amp;LEFT($C$5,2)&amp;"输出",标准坦克设计!$B$23:$U$23,0)))*(VLOOKUP($B202,INDIRECT($B$5&amp;"生成成长"),3))*(VLOOKUP($B$5,标准坦克设计!$B$14:$K$20,9)/30))</f>
        <v>7.1826051897277132</v>
      </c>
      <c r="BG202" s="172">
        <f ca="1">(VLOOKUP(BG$72,INDIRECT($C$5&amp;"生成成长"),2))/((VLOOKUP($B202,INDIRECT($B$5&amp;"生成成长"),4))/(VLOOKUP(BG$72,INDIRECT($C$5&amp;"生成成长"),5))*(VLOOKUP($B$5,标准坦克设计!$B$24:$U$30,MATCH("对"&amp;LEFT($C$5,2)&amp;"输出",标准坦克设计!$B$23:$U$23,0)))*(VLOOKUP($B202,INDIRECT($B$5&amp;"生成成长"),3))*(VLOOKUP($B$5,标准坦克设计!$B$14:$K$20,9)/30))</f>
        <v>7.8402239763122736</v>
      </c>
      <c r="BH202" s="172">
        <f ca="1">(VLOOKUP(BH$72,INDIRECT($C$5&amp;"生成成长"),2))/((VLOOKUP($B202,INDIRECT($B$5&amp;"生成成长"),4))/(VLOOKUP(BH$72,INDIRECT($C$5&amp;"生成成长"),5))*(VLOOKUP($B$5,标准坦克设计!$B$24:$U$30,MATCH("对"&amp;LEFT($C$5,2)&amp;"输出",标准坦克设计!$B$23:$U$23,0)))*(VLOOKUP($B202,INDIRECT($B$5&amp;"生成成长"),3))*(VLOOKUP($B$5,标准坦克设计!$B$14:$K$20,9)/30))</f>
        <v>3.7896193714075377</v>
      </c>
      <c r="BI202" s="172">
        <f ca="1">(VLOOKUP(BI$72,INDIRECT($C$5&amp;"生成成长"),2))/((VLOOKUP($B202,INDIRECT($B$5&amp;"生成成长"),4))/(VLOOKUP(BI$72,INDIRECT($C$5&amp;"生成成长"),5))*(VLOOKUP($B$5,标准坦克设计!$B$24:$U$30,MATCH("对"&amp;LEFT($C$5,2)&amp;"输出",标准坦克设计!$B$23:$U$23,0)))*(VLOOKUP($B202,INDIRECT($B$5&amp;"生成成长"),3))*(VLOOKUP($B$5,标准坦克设计!$B$14:$K$20,9)/30))</f>
        <v>4.2712331299524342</v>
      </c>
      <c r="BJ202" s="172">
        <f ca="1">(VLOOKUP(BJ$72,INDIRECT($C$5&amp;"生成成长"),2))/((VLOOKUP($B202,INDIRECT($B$5&amp;"生成成长"),4))/(VLOOKUP(BJ$72,INDIRECT($C$5&amp;"生成成长"),5))*(VLOOKUP($B$5,标准坦克设计!$B$24:$U$30,MATCH("对"&amp;LEFT($C$5,2)&amp;"输出",标准坦克设计!$B$23:$U$23,0)))*(VLOOKUP($B202,INDIRECT($B$5&amp;"生成成长"),3))*(VLOOKUP($B$5,标准坦克设计!$B$14:$K$20,9)/30))</f>
        <v>4.7816477112674578</v>
      </c>
      <c r="BK202" s="172">
        <f ca="1">(VLOOKUP(BK$72,INDIRECT($C$5&amp;"生成成长"),2))/((VLOOKUP($B202,INDIRECT($B$5&amp;"生成成长"),4))/(VLOOKUP(BK$72,INDIRECT($C$5&amp;"生成成长"),5))*(VLOOKUP($B$5,标准坦克设计!$B$24:$U$30,MATCH("对"&amp;LEFT($C$5,2)&amp;"输出",标准坦克设计!$B$23:$U$23,0)))*(VLOOKUP($B202,INDIRECT($B$5&amp;"生成成长"),3))*(VLOOKUP($B$5,标准坦克设计!$B$14:$K$20,9)/30))</f>
        <v>5.3208631153526085</v>
      </c>
      <c r="BL202" s="172">
        <f ca="1">(VLOOKUP(BL$72,INDIRECT($C$5&amp;"生成成长"),2))/((VLOOKUP($B202,INDIRECT($B$5&amp;"生成成长"),4))/(VLOOKUP(BL$72,INDIRECT($C$5&amp;"生成成长"),5))*(VLOOKUP($B$5,标准坦克设计!$B$24:$U$30,MATCH("对"&amp;LEFT($C$5,2)&amp;"输出",标准坦克设计!$B$23:$U$23,0)))*(VLOOKUP($B202,INDIRECT($B$5&amp;"生成成长"),3))*(VLOOKUP($B$5,标准坦克设计!$B$14:$K$20,9)/30))</f>
        <v>5.8888793422078853</v>
      </c>
      <c r="BM202" s="172">
        <f ca="1">(VLOOKUP(BM$72,INDIRECT($C$5&amp;"生成成长"),2))/((VLOOKUP($B202,INDIRECT($B$5&amp;"生成成长"),4))/(VLOOKUP(BM$72,INDIRECT($C$5&amp;"生成成长"),5))*(VLOOKUP($B$5,标准坦克设计!$B$24:$U$30,MATCH("对"&amp;LEFT($C$5,2)&amp;"输出",标准坦克设计!$B$23:$U$23,0)))*(VLOOKUP($B202,INDIRECT($B$5&amp;"生成成长"),3))*(VLOOKUP($B$5,标准坦克设计!$B$14:$K$20,9)/30))</f>
        <v>6.4856963918332893</v>
      </c>
      <c r="BN202" s="172">
        <f ca="1">(VLOOKUP(BN$72,INDIRECT($C$5&amp;"生成成长"),2))/((VLOOKUP($B202,INDIRECT($B$5&amp;"生成成长"),4))/(VLOOKUP(BN$72,INDIRECT($C$5&amp;"生成成长"),5))*(VLOOKUP($B$5,标准坦克设计!$B$24:$U$30,MATCH("对"&amp;LEFT($C$5,2)&amp;"输出",标准坦克设计!$B$23:$U$23,0)))*(VLOOKUP($B202,INDIRECT($B$5&amp;"生成成长"),3))*(VLOOKUP($B$5,标准坦克设计!$B$14:$K$20,9)/30))</f>
        <v>7.1113142642288203</v>
      </c>
      <c r="BO202" s="172">
        <f ca="1">(VLOOKUP(BO$72,INDIRECT($C$5&amp;"生成成长"),2))/((VLOOKUP($B202,INDIRECT($B$5&amp;"生成成长"),4))/(VLOOKUP(BO$72,INDIRECT($C$5&amp;"生成成长"),5))*(VLOOKUP($B$5,标准坦克设计!$B$24:$U$30,MATCH("对"&amp;LEFT($C$5,2)&amp;"输出",标准坦克设计!$B$23:$U$23,0)))*(VLOOKUP($B202,INDIRECT($B$5&amp;"生成成长"),3))*(VLOOKUP($B$5,标准坦克设计!$B$14:$K$20,9)/30))</f>
        <v>7.7657329593944766</v>
      </c>
      <c r="BP202" s="172">
        <f ca="1">(VLOOKUP(BP$72,INDIRECT($C$5&amp;"生成成长"),2))/((VLOOKUP($B202,INDIRECT($B$5&amp;"生成成长"),4))/(VLOOKUP(BP$72,INDIRECT($C$5&amp;"生成成长"),5))*(VLOOKUP($B$5,标准坦克设计!$B$24:$U$30,MATCH("对"&amp;LEFT($C$5,2)&amp;"输出",标准坦克设计!$B$23:$U$23,0)))*(VLOOKUP($B202,INDIRECT($B$5&amp;"生成成长"),3))*(VLOOKUP($B$5,标准坦克设计!$B$14:$K$20,9)/30))</f>
        <v>8.4489524773302609</v>
      </c>
      <c r="BQ202" s="172">
        <f ca="1">(VLOOKUP(BQ$72,INDIRECT($C$5&amp;"生成成长"),2))/((VLOOKUP($B202,INDIRECT($B$5&amp;"生成成长"),4))/(VLOOKUP(BQ$72,INDIRECT($C$5&amp;"生成成长"),5))*(VLOOKUP($B$5,标准坦克设计!$B$24:$U$30,MATCH("对"&amp;LEFT($C$5,2)&amp;"输出",标准坦克设计!$B$23:$U$23,0)))*(VLOOKUP($B202,INDIRECT($B$5&amp;"生成成长"),3))*(VLOOKUP($B$5,标准坦克设计!$B$14:$K$20,9)/30))</f>
        <v>9.1609728180361696</v>
      </c>
      <c r="BR202" s="172">
        <f ca="1">(VLOOKUP(BR$72,INDIRECT($C$5&amp;"生成成长"),2))/((VLOOKUP($B202,INDIRECT($B$5&amp;"生成成长"),4))/(VLOOKUP(BR$72,INDIRECT($C$5&amp;"生成成长"),5))*(VLOOKUP($B$5,标准坦克设计!$B$24:$U$30,MATCH("对"&amp;LEFT($C$5,2)&amp;"输出",标准坦克设计!$B$23:$U$23,0)))*(VLOOKUP($B202,INDIRECT($B$5&amp;"生成成长"),3))*(VLOOKUP($B$5,标准坦克设计!$B$14:$K$20,9)/30))</f>
        <v>9.9858852726867156</v>
      </c>
      <c r="BS202" s="172">
        <f ca="1">(VLOOKUP(BS$72,INDIRECT($C$5&amp;"生成成长"),2))/((VLOOKUP($B202,INDIRECT($B$5&amp;"生成成长"),4))/(VLOOKUP(BS$72,INDIRECT($C$5&amp;"生成成长"),5))*(VLOOKUP($B$5,标准坦克设计!$B$24:$U$30,MATCH("对"&amp;LEFT($C$5,2)&amp;"输出",标准坦克设计!$B$23:$U$23,0)))*(VLOOKUP($B202,INDIRECT($B$5&amp;"生成成长"),3))*(VLOOKUP($B$5,标准坦克设计!$B$14:$K$20,9)/30))</f>
        <v>10.846354298658403</v>
      </c>
      <c r="BT202" s="172">
        <f ca="1">(VLOOKUP(BT$72,INDIRECT($C$5&amp;"生成成长"),2))/((VLOOKUP($B202,INDIRECT($B$5&amp;"生成成长"),4))/(VLOOKUP(BT$72,INDIRECT($C$5&amp;"生成成长"),5))*(VLOOKUP($B$5,标准坦克设计!$B$24:$U$30,MATCH("对"&amp;LEFT($C$5,2)&amp;"输出",标准坦克设计!$B$23:$U$23,0)))*(VLOOKUP($B202,INDIRECT($B$5&amp;"生成成长"),3))*(VLOOKUP($B$5,标准坦克设计!$B$14:$K$20,9)/30))</f>
        <v>11.742379895951231</v>
      </c>
      <c r="BU202" s="172">
        <f ca="1">(VLOOKUP(BU$72,INDIRECT($C$5&amp;"生成成长"),2))/((VLOOKUP($B202,INDIRECT($B$5&amp;"生成成长"),4))/(VLOOKUP(BU$72,INDIRECT($C$5&amp;"生成成长"),5))*(VLOOKUP($B$5,标准坦克设计!$B$24:$U$30,MATCH("对"&amp;LEFT($C$5,2)&amp;"输出",标准坦克设计!$B$23:$U$23,0)))*(VLOOKUP($B202,INDIRECT($B$5&amp;"生成成长"),3))*(VLOOKUP($B$5,标准坦克设计!$B$14:$K$20,9)/30))</f>
        <v>12.673962064565208</v>
      </c>
      <c r="BV202" s="172">
        <f ca="1">(VLOOKUP(BV$72,INDIRECT($C$5&amp;"生成成长"),2))/((VLOOKUP($B202,INDIRECT($B$5&amp;"生成成长"),4))/(VLOOKUP(BV$72,INDIRECT($C$5&amp;"生成成长"),5))*(VLOOKUP($B$5,标准坦克设计!$B$24:$U$30,MATCH("对"&amp;LEFT($C$5,2)&amp;"输出",标准坦克设计!$B$23:$U$23,0)))*(VLOOKUP($B202,INDIRECT($B$5&amp;"生成成长"),3))*(VLOOKUP($B$5,标准坦克设计!$B$14:$K$20,9)/30))</f>
        <v>13.641100804500329</v>
      </c>
      <c r="BW202" s="172">
        <f ca="1">(VLOOKUP(BW$72,INDIRECT($C$5&amp;"生成成长"),2))/((VLOOKUP($B202,INDIRECT($B$5&amp;"生成成长"),4))/(VLOOKUP(BW$72,INDIRECT($C$5&amp;"生成成长"),5))*(VLOOKUP($B$5,标准坦克设计!$B$24:$U$30,MATCH("对"&amp;LEFT($C$5,2)&amp;"输出",标准坦克设计!$B$23:$U$23,0)))*(VLOOKUP($B202,INDIRECT($B$5&amp;"生成成长"),3))*(VLOOKUP($B$5,标准坦克设计!$B$14:$K$20,9)/30))</f>
        <v>6.2168887126454395</v>
      </c>
      <c r="BX202" s="172">
        <f ca="1">(VLOOKUP(BX$72,INDIRECT($C$5&amp;"生成成长"),2))/((VLOOKUP($B202,INDIRECT($B$5&amp;"生成成长"),4))/(VLOOKUP(BX$72,INDIRECT($C$5&amp;"生成成长"),5))*(VLOOKUP($B$5,标准坦克设计!$B$24:$U$30,MATCH("对"&amp;LEFT($C$5,2)&amp;"输出",标准坦克设计!$B$23:$U$23,0)))*(VLOOKUP($B202,INDIRECT($B$5&amp;"生成成长"),3))*(VLOOKUP($B$5,标准坦克设计!$B$14:$K$20,9)/30))</f>
        <v>6.8995748820114073</v>
      </c>
      <c r="BY202" s="172">
        <f ca="1">(VLOOKUP(BY$72,INDIRECT($C$5&amp;"生成成长"),2))/((VLOOKUP($B202,INDIRECT($B$5&amp;"生成成长"),4))/(VLOOKUP(BY$72,INDIRECT($C$5&amp;"生成成长"),5))*(VLOOKUP($B$5,标准坦克设计!$B$24:$U$30,MATCH("对"&amp;LEFT($C$5,2)&amp;"输出",标准坦克设计!$B$23:$U$23,0)))*(VLOOKUP($B202,INDIRECT($B$5&amp;"生成成长"),3))*(VLOOKUP($B$5,标准坦克设计!$B$14:$K$20,9)/30))</f>
        <v>7.6178176226985173</v>
      </c>
      <c r="BZ202" s="172">
        <f ca="1">(VLOOKUP(BZ$72,INDIRECT($C$5&amp;"生成成长"),2))/((VLOOKUP($B202,INDIRECT($B$5&amp;"生成成长"),4))/(VLOOKUP(BZ$72,INDIRECT($C$5&amp;"生成成长"),5))*(VLOOKUP($B$5,标准坦克设计!$B$24:$U$30,MATCH("对"&amp;LEFT($C$5,2)&amp;"输出",标准坦克设计!$B$23:$U$23,0)))*(VLOOKUP($B202,INDIRECT($B$5&amp;"生成成长"),3))*(VLOOKUP($B$5,标准坦克设计!$B$14:$K$20,9)/30))</f>
        <v>8.3716169347067737</v>
      </c>
      <c r="CA202" s="172">
        <f ca="1">(VLOOKUP(CA$72,INDIRECT($C$5&amp;"生成成长"),2))/((VLOOKUP($B202,INDIRECT($B$5&amp;"生成成长"),4))/(VLOOKUP(CA$72,INDIRECT($C$5&amp;"生成成长"),5))*(VLOOKUP($B$5,标准坦克设计!$B$24:$U$30,MATCH("对"&amp;LEFT($C$5,2)&amp;"输出",标准坦克设计!$B$23:$U$23,0)))*(VLOOKUP($B202,INDIRECT($B$5&amp;"生成成长"),3))*(VLOOKUP($B$5,标准坦克设计!$B$14:$K$20,9)/30))</f>
        <v>9.1609728180361696</v>
      </c>
      <c r="CB202" s="172">
        <f ca="1">(VLOOKUP(CB$72,INDIRECT($C$5&amp;"生成成长"),2))/((VLOOKUP($B202,INDIRECT($B$5&amp;"生成成长"),4))/(VLOOKUP(CB$72,INDIRECT($C$5&amp;"生成成长"),5))*(VLOOKUP($B$5,标准坦克设计!$B$24:$U$30,MATCH("对"&amp;LEFT($C$5,2)&amp;"输出",标准坦克设计!$B$23:$U$23,0)))*(VLOOKUP($B202,INDIRECT($B$5&amp;"生成成长"),3))*(VLOOKUP($B$5,标准坦克设计!$B$14:$K$20,9)/30))</f>
        <v>9.9858852726867156</v>
      </c>
      <c r="CC202" s="172">
        <f ca="1">(VLOOKUP(CC$72,INDIRECT($C$5&amp;"生成成长"),2))/((VLOOKUP($B202,INDIRECT($B$5&amp;"生成成长"),4))/(VLOOKUP(CC$72,INDIRECT($C$5&amp;"生成成长"),5))*(VLOOKUP($B$5,标准坦克设计!$B$24:$U$30,MATCH("对"&amp;LEFT($C$5,2)&amp;"输出",标准坦克设计!$B$23:$U$23,0)))*(VLOOKUP($B202,INDIRECT($B$5&amp;"生成成长"),3))*(VLOOKUP($B$5,标准坦克设计!$B$14:$K$20,9)/30))</f>
        <v>10.846354298658403</v>
      </c>
      <c r="CD202" s="172">
        <f ca="1">(VLOOKUP(CD$72,INDIRECT($C$5&amp;"生成成长"),2))/((VLOOKUP($B202,INDIRECT($B$5&amp;"生成成长"),4))/(VLOOKUP(CD$72,INDIRECT($C$5&amp;"生成成长"),5))*(VLOOKUP($B$5,标准坦克设计!$B$24:$U$30,MATCH("对"&amp;LEFT($C$5,2)&amp;"输出",标准坦克设计!$B$23:$U$23,0)))*(VLOOKUP($B202,INDIRECT($B$5&amp;"生成成长"),3))*(VLOOKUP($B$5,标准坦克设计!$B$14:$K$20,9)/30))</f>
        <v>11.742379895951231</v>
      </c>
      <c r="CE202" s="172">
        <f ca="1">(VLOOKUP(CE$72,INDIRECT($C$5&amp;"生成成长"),2))/((VLOOKUP($B202,INDIRECT($B$5&amp;"生成成长"),4))/(VLOOKUP(CE$72,INDIRECT($C$5&amp;"生成成长"),5))*(VLOOKUP($B$5,标准坦克设计!$B$24:$U$30,MATCH("对"&amp;LEFT($C$5,2)&amp;"输出",标准坦克设计!$B$23:$U$23,0)))*(VLOOKUP($B202,INDIRECT($B$5&amp;"生成成长"),3))*(VLOOKUP($B$5,标准坦克设计!$B$14:$K$20,9)/30))</f>
        <v>12.673962064565208</v>
      </c>
      <c r="CF202" s="172">
        <f ca="1">(VLOOKUP(CF$72,INDIRECT($C$5&amp;"生成成长"),2))/((VLOOKUP($B202,INDIRECT($B$5&amp;"生成成长"),4))/(VLOOKUP(CF$72,INDIRECT($C$5&amp;"生成成长"),5))*(VLOOKUP($B$5,标准坦克设计!$B$24:$U$30,MATCH("对"&amp;LEFT($C$5,2)&amp;"输出",标准坦克设计!$B$23:$U$23,0)))*(VLOOKUP($B202,INDIRECT($B$5&amp;"生成成长"),3))*(VLOOKUP($B$5,标准坦克设计!$B$14:$K$20,9)/30))</f>
        <v>13.641100804500329</v>
      </c>
      <c r="CG202" s="172">
        <f ca="1">(VLOOKUP(CG$72,INDIRECT($C$5&amp;"生成成长"),2))/((VLOOKUP($B202,INDIRECT($B$5&amp;"生成成长"),4))/(VLOOKUP(CG$72,INDIRECT($C$5&amp;"生成成长"),5))*(VLOOKUP($B$5,标准坦克设计!$B$24:$U$30,MATCH("对"&amp;LEFT($C$5,2)&amp;"输出",标准坦克设计!$B$23:$U$23,0)))*(VLOOKUP($B202,INDIRECT($B$5&amp;"生成成长"),3))*(VLOOKUP($B$5,标准坦克设计!$B$14:$K$20,9)/30))</f>
        <v>14.643796115756594</v>
      </c>
      <c r="CH202" s="172">
        <f ca="1">(VLOOKUP(CH$72,INDIRECT($C$5&amp;"生成成长"),2))/((VLOOKUP($B202,INDIRECT($B$5&amp;"生成成长"),4))/(VLOOKUP(CH$72,INDIRECT($C$5&amp;"生成成长"),5))*(VLOOKUP($B$5,标准坦克设计!$B$24:$U$30,MATCH("对"&amp;LEFT($C$5,2)&amp;"输出",标准坦克设计!$B$23:$U$23,0)))*(VLOOKUP($B202,INDIRECT($B$5&amp;"生成成长"),3))*(VLOOKUP($B$5,标准坦克设计!$B$14:$K$20,9)/30))</f>
        <v>15.682047998333996</v>
      </c>
      <c r="CI202" s="172">
        <f ca="1">(VLOOKUP(CI$72,INDIRECT($C$5&amp;"生成成长"),2))/((VLOOKUP($B202,INDIRECT($B$5&amp;"生成成长"),4))/(VLOOKUP(CI$72,INDIRECT($C$5&amp;"生成成长"),5))*(VLOOKUP($B$5,标准坦克设计!$B$24:$U$30,MATCH("对"&amp;LEFT($C$5,2)&amp;"输出",标准坦克设计!$B$23:$U$23,0)))*(VLOOKUP($B202,INDIRECT($B$5&amp;"生成成长"),3))*(VLOOKUP($B$5,标准坦克设计!$B$14:$K$20,9)/30))</f>
        <v>16.865192909045067</v>
      </c>
      <c r="CJ202" s="172">
        <f ca="1">(VLOOKUP(CJ$72,INDIRECT($C$5&amp;"生成成长"),2))/((VLOOKUP($B202,INDIRECT($B$5&amp;"生成成长"),4))/(VLOOKUP(CJ$72,INDIRECT($C$5&amp;"生成成长"),5))*(VLOOKUP($B$5,标准坦克设计!$B$24:$U$30,MATCH("对"&amp;LEFT($C$5,2)&amp;"输出",标准坦克设计!$B$23:$U$23,0)))*(VLOOKUP($B202,INDIRECT($B$5&amp;"生成成长"),3))*(VLOOKUP($B$5,标准坦克设计!$B$14:$K$20,9)/30))</f>
        <v>18.091361271054723</v>
      </c>
      <c r="CK202" s="172">
        <f ca="1">(VLOOKUP(CK$72,INDIRECT($C$5&amp;"生成成长"),2))/((VLOOKUP($B202,INDIRECT($B$5&amp;"生成成长"),4))/(VLOOKUP(CK$72,INDIRECT($C$5&amp;"生成成长"),5))*(VLOOKUP($B$5,标准坦克设计!$B$24:$U$30,MATCH("对"&amp;LEFT($C$5,2)&amp;"输出",标准坦克设计!$B$23:$U$23,0)))*(VLOOKUP($B202,INDIRECT($B$5&amp;"生成成长"),3))*(VLOOKUP($B$5,标准坦克设计!$B$14:$K$20,9)/30))</f>
        <v>19.360553084362966</v>
      </c>
      <c r="CL202" s="172">
        <f ca="1">(VLOOKUP(CL$72,INDIRECT($C$5&amp;"生成成长"),2))/((VLOOKUP($B202,INDIRECT($B$5&amp;"生成成长"),4))/(VLOOKUP(CL$72,INDIRECT($C$5&amp;"生成成长"),5))*(VLOOKUP($B$5,标准坦克设计!$B$24:$U$30,MATCH("对"&amp;LEFT($C$5,2)&amp;"输出",标准坦克设计!$B$23:$U$23,0)))*(VLOOKUP($B202,INDIRECT($B$5&amp;"生成成长"),3))*(VLOOKUP($B$5,标准坦克设计!$B$14:$K$20,9)/30))</f>
        <v>20.672768348969786</v>
      </c>
      <c r="CM202" s="172">
        <f ca="1">(VLOOKUP(CM$72,INDIRECT($C$5&amp;"生成成长"),2))/((VLOOKUP($B202,INDIRECT($B$5&amp;"生成成长"),4))/(VLOOKUP(CM$72,INDIRECT($C$5&amp;"生成成长"),5))*(VLOOKUP($B$5,标准坦克设计!$B$24:$U$30,MATCH("对"&amp;LEFT($C$5,2)&amp;"输出",标准坦克设计!$B$23:$U$23,0)))*(VLOOKUP($B202,INDIRECT($B$5&amp;"生成成长"),3))*(VLOOKUP($B$5,标准坦克设计!$B$14:$K$20,9)/30))</f>
        <v>22.028007064875194</v>
      </c>
      <c r="CN202" s="172">
        <f ca="1">(VLOOKUP(CN$72,INDIRECT($C$5&amp;"生成成长"),2))/((VLOOKUP($B202,INDIRECT($B$5&amp;"生成成长"),4))/(VLOOKUP(CN$72,INDIRECT($C$5&amp;"生成成长"),5))*(VLOOKUP($B$5,标准坦克设计!$B$24:$U$30,MATCH("对"&amp;LEFT($C$5,2)&amp;"输出",标准坦克设计!$B$23:$U$23,0)))*(VLOOKUP($B202,INDIRECT($B$5&amp;"生成成长"),3))*(VLOOKUP($B$5,标准坦克设计!$B$14:$K$20,9)/30))</f>
        <v>23.426269232079186</v>
      </c>
      <c r="CO202" s="172">
        <f ca="1">(VLOOKUP(CO$72,INDIRECT($C$5&amp;"生成成长"),2))/((VLOOKUP($B202,INDIRECT($B$5&amp;"生成成长"),4))/(VLOOKUP(CO$72,INDIRECT($C$5&amp;"生成成长"),5))*(VLOOKUP($B$5,标准坦克设计!$B$24:$U$30,MATCH("对"&amp;LEFT($C$5,2)&amp;"输出",标准坦克设计!$B$23:$U$23,0)))*(VLOOKUP($B202,INDIRECT($B$5&amp;"生成成长"),3))*(VLOOKUP($B$5,标准坦克设计!$B$14:$K$20,9)/30))</f>
        <v>10.497899899711189</v>
      </c>
      <c r="CP202" s="172">
        <f ca="1">(VLOOKUP(CP$72,INDIRECT($C$5&amp;"生成成长"),2))/((VLOOKUP($B202,INDIRECT($B$5&amp;"生成成长"),4))/(VLOOKUP(CP$72,INDIRECT($C$5&amp;"生成成长"),5))*(VLOOKUP($B$5,标准坦克设计!$B$24:$U$30,MATCH("对"&amp;LEFT($C$5,2)&amp;"输出",标准坦克设计!$B$23:$U$23,0)))*(VLOOKUP($B202,INDIRECT($B$5&amp;"生成成长"),3))*(VLOOKUP($B$5,标准坦克设计!$B$14:$K$20,9)/30))</f>
        <v>11.469838776774663</v>
      </c>
      <c r="CQ202" s="172">
        <f ca="1">(VLOOKUP(CQ$72,INDIRECT($C$5&amp;"生成成长"),2))/((VLOOKUP($B202,INDIRECT($B$5&amp;"生成成长"),4))/(VLOOKUP(CQ$72,INDIRECT($C$5&amp;"生成成长"),5))*(VLOOKUP($B$5,标准坦克设计!$B$24:$U$30,MATCH("对"&amp;LEFT($C$5,2)&amp;"输出",标准坦克设计!$B$23:$U$23,0)))*(VLOOKUP($B202,INDIRECT($B$5&amp;"生成成长"),3))*(VLOOKUP($B$5,标准坦克设计!$B$14:$K$20,9)/30))</f>
        <v>12.48480110513672</v>
      </c>
      <c r="CR202" s="172">
        <f ca="1">(VLOOKUP(CR$72,INDIRECT($C$5&amp;"生成成长"),2))/((VLOOKUP($B202,INDIRECT($B$5&amp;"生成成长"),4))/(VLOOKUP(CR$72,INDIRECT($C$5&amp;"生成成长"),5))*(VLOOKUP($B$5,标准坦克设计!$B$24:$U$30,MATCH("对"&amp;LEFT($C$5,2)&amp;"输出",标准坦克设计!$B$23:$U$23,0)))*(VLOOKUP($B202,INDIRECT($B$5&amp;"生成成长"),3))*(VLOOKUP($B$5,标准坦克设计!$B$14:$K$20,9)/30))</f>
        <v>13.542786884797367</v>
      </c>
      <c r="CS202" s="172">
        <f ca="1">(VLOOKUP(CS$72,INDIRECT($C$5&amp;"生成成长"),2))/((VLOOKUP($B202,INDIRECT($B$5&amp;"生成成长"),4))/(VLOOKUP(CS$72,INDIRECT($C$5&amp;"生成成长"),5))*(VLOOKUP($B$5,标准坦克设计!$B$24:$U$30,MATCH("对"&amp;LEFT($C$5,2)&amp;"输出",标准坦克设计!$B$23:$U$23,0)))*(VLOOKUP($B202,INDIRECT($B$5&amp;"生成成长"),3))*(VLOOKUP($B$5,标准坦克设计!$B$14:$K$20,9)/30))</f>
        <v>14.643796115756594</v>
      </c>
      <c r="CT202" s="172">
        <f ca="1">(VLOOKUP(CT$72,INDIRECT($C$5&amp;"生成成长"),2))/((VLOOKUP($B202,INDIRECT($B$5&amp;"生成成长"),4))/(VLOOKUP(CT$72,INDIRECT($C$5&amp;"生成成长"),5))*(VLOOKUP($B$5,标准坦克设计!$B$24:$U$30,MATCH("对"&amp;LEFT($C$5,2)&amp;"输出",标准坦克设计!$B$23:$U$23,0)))*(VLOOKUP($B202,INDIRECT($B$5&amp;"生成成长"),3))*(VLOOKUP($B$5,标准坦克设计!$B$14:$K$20,9)/30))</f>
        <v>15.787828798014402</v>
      </c>
      <c r="CU202" s="172">
        <f ca="1">(VLOOKUP(CU$72,INDIRECT($C$5&amp;"生成成长"),2))/((VLOOKUP($B202,INDIRECT($B$5&amp;"生成成长"),4))/(VLOOKUP(CU$72,INDIRECT($C$5&amp;"生成成长"),5))*(VLOOKUP($B$5,标准坦克设计!$B$24:$U$30,MATCH("对"&amp;LEFT($C$5,2)&amp;"输出",标准坦克设计!$B$23:$U$23,0)))*(VLOOKUP($B202,INDIRECT($B$5&amp;"生成成长"),3))*(VLOOKUP($B$5,标准坦克设计!$B$14:$K$20,9)/30))</f>
        <v>16.974884931570799</v>
      </c>
      <c r="CV202" s="172">
        <f ca="1">(VLOOKUP(CV$72,INDIRECT($C$5&amp;"生成成长"),2))/((VLOOKUP($B202,INDIRECT($B$5&amp;"生成成长"),4))/(VLOOKUP(CV$72,INDIRECT($C$5&amp;"生成成长"),5))*(VLOOKUP($B$5,标准坦克设计!$B$24:$U$30,MATCH("对"&amp;LEFT($C$5,2)&amp;"输出",标准坦克设计!$B$23:$U$23,0)))*(VLOOKUP($B202,INDIRECT($B$5&amp;"生成成长"),3))*(VLOOKUP($B$5,标准坦克设计!$B$14:$K$20,9)/30))</f>
        <v>18.204964516425779</v>
      </c>
      <c r="CW202" s="172">
        <f ca="1">(VLOOKUP(CW$72,INDIRECT($C$5&amp;"生成成长"),2))/((VLOOKUP($B202,INDIRECT($B$5&amp;"生成成长"),4))/(VLOOKUP(CW$72,INDIRECT($C$5&amp;"生成成长"),5))*(VLOOKUP($B$5,标准坦克设计!$B$24:$U$30,MATCH("对"&amp;LEFT($C$5,2)&amp;"输出",标准坦克设计!$B$23:$U$23,0)))*(VLOOKUP($B202,INDIRECT($B$5&amp;"生成成长"),3))*(VLOOKUP($B$5,标准坦克设计!$B$14:$K$20,9)/30))</f>
        <v>19.478067552579343</v>
      </c>
      <c r="CX202" s="172">
        <f ca="1">(VLOOKUP(CX$72,INDIRECT($C$5&amp;"生成成长"),2))/((VLOOKUP($B202,INDIRECT($B$5&amp;"生成成长"),4))/(VLOOKUP(CX$72,INDIRECT($C$5&amp;"生成成长"),5))*(VLOOKUP($B$5,标准坦克设计!$B$24:$U$30,MATCH("对"&amp;LEFT($C$5,2)&amp;"输出",标准坦克设计!$B$23:$U$23,0)))*(VLOOKUP($B202,INDIRECT($B$5&amp;"生成成长"),3))*(VLOOKUP($B$5,标准坦克设计!$B$14:$K$20,9)/30))</f>
        <v>20.794194040031492</v>
      </c>
      <c r="CY202" s="172">
        <f ca="1">(VLOOKUP(CY$72,INDIRECT($C$5&amp;"生成成长"),2))/((VLOOKUP($B202,INDIRECT($B$5&amp;"生成成长"),4))/(VLOOKUP(CY$72,INDIRECT($C$5&amp;"生成成长"),5))*(VLOOKUP($B$5,标准坦克设计!$B$24:$U$30,MATCH("对"&amp;LEFT($C$5,2)&amp;"输出",标准坦克设计!$B$23:$U$23,0)))*(VLOOKUP($B202,INDIRECT($B$5&amp;"生成成长"),3))*(VLOOKUP($B$5,标准坦克设计!$B$14:$K$20,9)/30))</f>
        <v>22.153343978782228</v>
      </c>
      <c r="CZ202" s="172">
        <f ca="1">(VLOOKUP(CZ$72,INDIRECT($C$5&amp;"生成成长"),2))/((VLOOKUP($B202,INDIRECT($B$5&amp;"生成成长"),4))/(VLOOKUP(CZ$72,INDIRECT($C$5&amp;"生成成长"),5))*(VLOOKUP($B$5,标准坦克设计!$B$24:$U$30,MATCH("对"&amp;LEFT($C$5,2)&amp;"输出",标准坦克设计!$B$23:$U$23,0)))*(VLOOKUP($B202,INDIRECT($B$5&amp;"生成成长"),3))*(VLOOKUP($B$5,标准坦克设计!$B$14:$K$20,9)/30))</f>
        <v>23.555517368831541</v>
      </c>
      <c r="DA202" s="172">
        <f ca="1">(VLOOKUP(DA$72,INDIRECT($C$5&amp;"生成成长"),2))/((VLOOKUP($B202,INDIRECT($B$5&amp;"生成成长"),4))/(VLOOKUP(DA$72,INDIRECT($C$5&amp;"生成成长"),5))*(VLOOKUP($B$5,标准坦克设计!$B$24:$U$30,MATCH("对"&amp;LEFT($C$5,2)&amp;"输出",标准坦克设计!$B$23:$U$23,0)))*(VLOOKUP($B202,INDIRECT($B$5&amp;"生成成长"),3))*(VLOOKUP($B$5,标准坦克设计!$B$14:$K$20,9)/30))</f>
        <v>25.000714210179442</v>
      </c>
      <c r="DB202" s="172">
        <f ca="1">(VLOOKUP(DB$72,INDIRECT($C$5&amp;"生成成长"),2))/((VLOOKUP($B202,INDIRECT($B$5&amp;"生成成长"),4))/(VLOOKUP(DB$72,INDIRECT($C$5&amp;"生成成长"),5))*(VLOOKUP($B$5,标准坦克设计!$B$24:$U$30,MATCH("对"&amp;LEFT($C$5,2)&amp;"输出",标准坦克设计!$B$23:$U$23,0)))*(VLOOKUP($B202,INDIRECT($B$5&amp;"生成成长"),3))*(VLOOKUP($B$5,标准坦克设计!$B$14:$K$20,9)/30))</f>
        <v>26.488934502825931</v>
      </c>
      <c r="DC202" s="172">
        <f ca="1">(VLOOKUP(DC$72,INDIRECT($C$5&amp;"生成成长"),2))/((VLOOKUP($B202,INDIRECT($B$5&amp;"生成成长"),4))/(VLOOKUP(DC$72,INDIRECT($C$5&amp;"生成成长"),5))*(VLOOKUP($B$5,标准坦克设计!$B$24:$U$30,MATCH("对"&amp;LEFT($C$5,2)&amp;"输出",标准坦克设计!$B$23:$U$23,0)))*(VLOOKUP($B202,INDIRECT($B$5&amp;"生成成长"),3))*(VLOOKUP($B$5,标准坦克设计!$B$14:$K$20,9)/30))</f>
        <v>28.161515617772551</v>
      </c>
      <c r="DD202" s="172">
        <f ca="1">(VLOOKUP(DD$72,INDIRECT($C$5&amp;"生成成长"),2))/((VLOOKUP($B202,INDIRECT($B$5&amp;"生成成长"),4))/(VLOOKUP(DD$72,INDIRECT($C$5&amp;"生成成长"),5))*(VLOOKUP($B$5,标准坦克设计!$B$24:$U$30,MATCH("对"&amp;LEFT($C$5,2)&amp;"输出",标准坦克设计!$B$23:$U$23,0)))*(VLOOKUP($B202,INDIRECT($B$5&amp;"生成成长"),3))*(VLOOKUP($B$5,标准坦克设计!$B$14:$K$20,9)/30))</f>
        <v>29.885298195421612</v>
      </c>
      <c r="DE202" s="172">
        <f ca="1">(VLOOKUP(DE$72,INDIRECT($C$5&amp;"生成成长"),2))/((VLOOKUP($B202,INDIRECT($B$5&amp;"生成成长"),4))/(VLOOKUP(DE$72,INDIRECT($C$5&amp;"生成成长"),5))*(VLOOKUP($B$5,标准坦克设计!$B$24:$U$30,MATCH("对"&amp;LEFT($C$5,2)&amp;"输出",标准坦克设计!$B$23:$U$23,0)))*(VLOOKUP($B202,INDIRECT($B$5&amp;"生成成长"),3))*(VLOOKUP($B$5,标准坦克设计!$B$14:$K$20,9)/30))</f>
        <v>31.660282235773128</v>
      </c>
      <c r="DF202" s="172">
        <f ca="1">(VLOOKUP(DF$72,INDIRECT($C$5&amp;"生成成长"),2))/((VLOOKUP($B202,INDIRECT($B$5&amp;"生成成长"),4))/(VLOOKUP(DF$72,INDIRECT($C$5&amp;"生成成长"),5))*(VLOOKUP($B$5,标准坦克设计!$B$24:$U$30,MATCH("对"&amp;LEFT($C$5,2)&amp;"输出",标准坦克设计!$B$23:$U$23,0)))*(VLOOKUP($B202,INDIRECT($B$5&amp;"生成成长"),3))*(VLOOKUP($B$5,标准坦克设计!$B$14:$K$20,9)/30))</f>
        <v>33.486467738827095</v>
      </c>
      <c r="DG202" s="172">
        <f ca="1">(VLOOKUP(DG$72,INDIRECT($C$5&amp;"生成成长"),2))/((VLOOKUP($B202,INDIRECT($B$5&amp;"生成成长"),4))/(VLOOKUP(DG$72,INDIRECT($C$5&amp;"生成成长"),5))*(VLOOKUP($B$5,标准坦克设计!$B$24:$U$30,MATCH("对"&amp;LEFT($C$5,2)&amp;"输出",标准坦克设计!$B$23:$U$23,0)))*(VLOOKUP($B202,INDIRECT($B$5&amp;"生成成长"),3))*(VLOOKUP($B$5,标准坦克设计!$B$14:$K$20,9)/30))</f>
        <v>35.363854704583495</v>
      </c>
      <c r="DH202" s="172">
        <f ca="1">(VLOOKUP(DH$72,INDIRECT($C$5&amp;"生成成长"),2))/((VLOOKUP($B202,INDIRECT($B$5&amp;"生成成长"),4))/(VLOOKUP(DH$72,INDIRECT($C$5&amp;"生成成长"),5))*(VLOOKUP($B$5,标准坦克设计!$B$24:$U$30,MATCH("对"&amp;LEFT($C$5,2)&amp;"输出",标准坦克设计!$B$23:$U$23,0)))*(VLOOKUP($B202,INDIRECT($B$5&amp;"生成成长"),3))*(VLOOKUP($B$5,标准坦克设计!$B$14:$K$20,9)/30))</f>
        <v>37.292443133042354</v>
      </c>
      <c r="DI202" s="172">
        <f ca="1">(VLOOKUP(DI$72,INDIRECT($C$5&amp;"生成成长"),2))/((VLOOKUP($B202,INDIRECT($B$5&amp;"生成成长"),4))/(VLOOKUP(DI$72,INDIRECT($C$5&amp;"生成成长"),5))*(VLOOKUP($B$5,标准坦克设计!$B$24:$U$30,MATCH("对"&amp;LEFT($C$5,2)&amp;"输出",标准坦克设计!$B$23:$U$23,0)))*(VLOOKUP($B202,INDIRECT($B$5&amp;"生成成长"),3))*(VLOOKUP($B$5,标准坦克设计!$B$14:$K$20,9)/30))</f>
        <v>39.272233024203651</v>
      </c>
      <c r="DJ202" s="172">
        <f ca="1">(VLOOKUP(DJ$72,INDIRECT($C$5&amp;"生成成长"),2))/((VLOOKUP($B202,INDIRECT($B$5&amp;"生成成长"),4))/(VLOOKUP(DJ$72,INDIRECT($C$5&amp;"生成成长"),5))*(VLOOKUP($B$5,标准坦克设计!$B$24:$U$30,MATCH("对"&amp;LEFT($C$5,2)&amp;"输出",标准坦克设计!$B$23:$U$23,0)))*(VLOOKUP($B202,INDIRECT($B$5&amp;"生成成长"),3))*(VLOOKUP($B$5,标准坦克设计!$B$14:$K$20,9)/30))</f>
        <v>3.9469571995036006</v>
      </c>
      <c r="DK202" s="172">
        <f ca="1">(VLOOKUP(DK$72,INDIRECT($C$5&amp;"生成成长"),2))/((VLOOKUP($B202,INDIRECT($B$5&amp;"生成成长"),4))/(VLOOKUP(DK$72,INDIRECT($C$5&amp;"生成成长"),5))*(VLOOKUP($B$5,标准坦克设计!$B$24:$U$30,MATCH("对"&amp;LEFT($C$5,2)&amp;"输出",标准坦克设计!$B$23:$U$23,0)))*(VLOOKUP($B202,INDIRECT($B$5&amp;"生成成长"),3))*(VLOOKUP($B$5,标准坦克设计!$B$14:$K$20,9)/30))</f>
        <v>4.4381712323052067</v>
      </c>
      <c r="DL202" s="172">
        <f ca="1">(VLOOKUP(DL$72,INDIRECT($C$5&amp;"生成成长"),2))/((VLOOKUP($B202,INDIRECT($B$5&amp;"生成成长"),4))/(VLOOKUP(DL$72,INDIRECT($C$5&amp;"生成成长"),5))*(VLOOKUP($B$5,标准坦克设计!$B$24:$U$30,MATCH("对"&amp;LEFT($C$5,2)&amp;"输出",标准坦克设计!$B$23:$U$23,0)))*(VLOOKUP($B202,INDIRECT($B$5&amp;"生成成长"),3))*(VLOOKUP($B$5,标准坦克设计!$B$14:$K$20,9)/30))</f>
        <v>4.9581860878769382</v>
      </c>
      <c r="DM202" s="172">
        <f ca="1">(VLOOKUP(DM$72,INDIRECT($C$5&amp;"生成成长"),2))/((VLOOKUP($B202,INDIRECT($B$5&amp;"生成成长"),4))/(VLOOKUP(DM$72,INDIRECT($C$5&amp;"生成成长"),5))*(VLOOKUP($B$5,标准坦克设计!$B$24:$U$30,MATCH("对"&amp;LEFT($C$5,2)&amp;"输出",标准坦克设计!$B$23:$U$23,0)))*(VLOOKUP($B202,INDIRECT($B$5&amp;"生成成长"),3))*(VLOOKUP($B$5,标准坦克设计!$B$14:$K$20,9)/30))</f>
        <v>5.5070017662187984</v>
      </c>
      <c r="DN202" s="172">
        <f ca="1">(VLOOKUP(DN$72,INDIRECT($C$5&amp;"生成成长"),2))/((VLOOKUP($B202,INDIRECT($B$5&amp;"生成成长"),4))/(VLOOKUP(DN$72,INDIRECT($C$5&amp;"生成成长"),5))*(VLOOKUP($B$5,标准坦克设计!$B$24:$U$30,MATCH("对"&amp;LEFT($C$5,2)&amp;"输出",标准坦克设计!$B$23:$U$23,0)))*(VLOOKUP($B202,INDIRECT($B$5&amp;"生成成长"),3))*(VLOOKUP($B$5,标准坦克设计!$B$14:$K$20,9)/30))</f>
        <v>6.084618267330784</v>
      </c>
      <c r="DO202" s="172">
        <f ca="1">(VLOOKUP(DO$72,INDIRECT($C$5&amp;"生成成长"),2))/((VLOOKUP($B202,INDIRECT($B$5&amp;"生成成长"),4))/(VLOOKUP(DO$72,INDIRECT($C$5&amp;"生成成长"),5))*(VLOOKUP($B$5,标准坦克设计!$B$24:$U$30,MATCH("对"&amp;LEFT($C$5,2)&amp;"输出",标准坦克设计!$B$23:$U$23,0)))*(VLOOKUP($B202,INDIRECT($B$5&amp;"生成成长"),3))*(VLOOKUP($B$5,标准坦克设计!$B$14:$K$20,9)/30))</f>
        <v>6.6910355912128967</v>
      </c>
      <c r="DP202" s="172">
        <f ca="1">(VLOOKUP(DP$72,INDIRECT($C$5&amp;"生成成长"),2))/((VLOOKUP($B202,INDIRECT($B$5&amp;"生成成长"),4))/(VLOOKUP(DP$72,INDIRECT($C$5&amp;"生成成长"),5))*(VLOOKUP($B$5,标准坦克设计!$B$24:$U$30,MATCH("对"&amp;LEFT($C$5,2)&amp;"输出",标准坦克设计!$B$23:$U$23,0)))*(VLOOKUP($B202,INDIRECT($B$5&amp;"生成成长"),3))*(VLOOKUP($B$5,标准坦克设计!$B$14:$K$20,9)/30))</f>
        <v>7.3262537378651365</v>
      </c>
      <c r="DQ202" s="172">
        <f ca="1">(VLOOKUP(DQ$72,INDIRECT($C$5&amp;"生成成长"),2))/((VLOOKUP($B202,INDIRECT($B$5&amp;"生成成长"),4))/(VLOOKUP(DQ$72,INDIRECT($C$5&amp;"生成成长"),5))*(VLOOKUP($B$5,标准坦克设计!$B$24:$U$30,MATCH("对"&amp;LEFT($C$5,2)&amp;"输出",标准坦克设计!$B$23:$U$23,0)))*(VLOOKUP($B202,INDIRECT($B$5&amp;"生成成长"),3))*(VLOOKUP($B$5,标准坦克设计!$B$14:$K$20,9)/30))</f>
        <v>7.9902727072875015</v>
      </c>
      <c r="DR202" s="172">
        <f ca="1">(VLOOKUP(DR$72,INDIRECT($C$5&amp;"生成成长"),2))/((VLOOKUP($B202,INDIRECT($B$5&amp;"生成成长"),4))/(VLOOKUP(DR$72,INDIRECT($C$5&amp;"生成成长"),5))*(VLOOKUP($B$5,标准坦克设计!$B$24:$U$30,MATCH("对"&amp;LEFT($C$5,2)&amp;"输出",标准坦克设计!$B$23:$U$23,0)))*(VLOOKUP($B202,INDIRECT($B$5&amp;"生成成长"),3))*(VLOOKUP($B$5,标准坦克设计!$B$14:$K$20,9)/30))</f>
        <v>8.6830924994799954</v>
      </c>
      <c r="DS202" s="172">
        <f ca="1">(VLOOKUP(DS$72,INDIRECT($C$5&amp;"生成成长"),2))/((VLOOKUP($B202,INDIRECT($B$5&amp;"生成成长"),4))/(VLOOKUP(DS$72,INDIRECT($C$5&amp;"生成成长"),5))*(VLOOKUP($B$5,标准坦克设计!$B$24:$U$30,MATCH("对"&amp;LEFT($C$5,2)&amp;"输出",标准坦克设计!$B$23:$U$23,0)))*(VLOOKUP($B202,INDIRECT($B$5&amp;"生成成长"),3))*(VLOOKUP($B$5,标准坦克设计!$B$14:$K$20,9)/30))</f>
        <v>9.4047131144426146</v>
      </c>
      <c r="DT202" s="172">
        <f ca="1">(VLOOKUP(DT$72,INDIRECT($C$5&amp;"生成成长"),2))/((VLOOKUP($B202,INDIRECT($B$5&amp;"生成成长"),4))/(VLOOKUP(DT$72,INDIRECT($C$5&amp;"生成成长"),5))*(VLOOKUP($B$5,标准坦克设计!$B$24:$U$30,MATCH("对"&amp;LEFT($C$5,2)&amp;"输出",标准坦克设计!$B$23:$U$23,0)))*(VLOOKUP($B202,INDIRECT($B$5&amp;"生成成长"),3))*(VLOOKUP($B$5,标准坦克设计!$B$14:$K$20,9)/30))</f>
        <v>10.325806094516851</v>
      </c>
      <c r="DU202" s="172">
        <f ca="1">(VLOOKUP(DU$72,INDIRECT($C$5&amp;"生成成长"),2))/((VLOOKUP($B202,INDIRECT($B$5&amp;"生成成长"),4))/(VLOOKUP(DU$72,INDIRECT($C$5&amp;"生成成长"),5))*(VLOOKUP($B$5,标准坦克设计!$B$24:$U$30,MATCH("对"&amp;LEFT($C$5,2)&amp;"输出",标准坦克设计!$B$23:$U$23,0)))*(VLOOKUP($B202,INDIRECT($B$5&amp;"生成成长"),3))*(VLOOKUP($B$5,标准坦克设计!$B$14:$K$20,9)/30))</f>
        <v>11.289922525889674</v>
      </c>
      <c r="DV202" s="172">
        <f ca="1">(VLOOKUP(DV$72,INDIRECT($C$5&amp;"生成成长"),2))/((VLOOKUP($B202,INDIRECT($B$5&amp;"生成成长"),4))/(VLOOKUP(DV$72,INDIRECT($C$5&amp;"生成成长"),5))*(VLOOKUP($B$5,标准坦克设计!$B$24:$U$30,MATCH("对"&amp;LEFT($C$5,2)&amp;"输出",标准坦克设计!$B$23:$U$23,0)))*(VLOOKUP($B202,INDIRECT($B$5&amp;"生成成长"),3))*(VLOOKUP($B$5,标准坦克设计!$B$14:$K$20,9)/30))</f>
        <v>12.297062408561082</v>
      </c>
      <c r="DW202" s="172">
        <f ca="1">(VLOOKUP(DW$72,INDIRECT($C$5&amp;"生成成长"),2))/((VLOOKUP($B202,INDIRECT($B$5&amp;"生成成长"),4))/(VLOOKUP(DW$72,INDIRECT($C$5&amp;"生成成长"),5))*(VLOOKUP($B$5,标准坦克设计!$B$24:$U$30,MATCH("对"&amp;LEFT($C$5,2)&amp;"输出",标准坦克设计!$B$23:$U$23,0)))*(VLOOKUP($B202,INDIRECT($B$5&amp;"生成成长"),3))*(VLOOKUP($B$5,标准坦克设计!$B$14:$K$20,9)/30))</f>
        <v>13.347225742531073</v>
      </c>
      <c r="DX202" s="172">
        <f ca="1">(VLOOKUP(DX$72,INDIRECT($C$5&amp;"生成成长"),2))/((VLOOKUP($B202,INDIRECT($B$5&amp;"生成成长"),4))/(VLOOKUP(DX$72,INDIRECT($C$5&amp;"生成成长"),5))*(VLOOKUP($B$5,标准坦克设计!$B$24:$U$30,MATCH("对"&amp;LEFT($C$5,2)&amp;"输出",标准坦克设计!$B$23:$U$23,0)))*(VLOOKUP($B202,INDIRECT($B$5&amp;"生成成长"),3))*(VLOOKUP($B$5,标准坦克设计!$B$14:$K$20,9)/30))</f>
        <v>14.440412527799648</v>
      </c>
      <c r="DY202" s="172">
        <f ca="1">(VLOOKUP(DY$72,INDIRECT($C$5&amp;"生成成长"),2))/((VLOOKUP($B202,INDIRECT($B$5&amp;"生成成长"),4))/(VLOOKUP(DY$72,INDIRECT($C$5&amp;"生成成长"),5))*(VLOOKUP($B$5,标准坦克设计!$B$24:$U$30,MATCH("对"&amp;LEFT($C$5,2)&amp;"输出",标准坦克设计!$B$23:$U$23,0)))*(VLOOKUP($B202,INDIRECT($B$5&amp;"生成成长"),3))*(VLOOKUP($B$5,标准坦克设计!$B$14:$K$20,9)/30))</f>
        <v>6.4856963918332893</v>
      </c>
      <c r="DZ202" s="172">
        <f ca="1">(VLOOKUP(DZ$72,INDIRECT($C$5&amp;"生成成长"),2))/((VLOOKUP($B202,INDIRECT($B$5&amp;"生成成长"),4))/(VLOOKUP(DZ$72,INDIRECT($C$5&amp;"生成成长"),5))*(VLOOKUP($B$5,标准坦克设计!$B$24:$U$30,MATCH("对"&amp;LEFT($C$5,2)&amp;"输出",标准坦克设计!$B$23:$U$23,0)))*(VLOOKUP($B202,INDIRECT($B$5&amp;"生成成长"),3))*(VLOOKUP($B$5,标准坦克设计!$B$14:$K$20,9)/30))</f>
        <v>7.1826051897277132</v>
      </c>
      <c r="EA202" s="172">
        <f ca="1">(VLOOKUP(EA$72,INDIRECT($C$5&amp;"生成成长"),2))/((VLOOKUP($B202,INDIRECT($B$5&amp;"生成成长"),4))/(VLOOKUP(EA$72,INDIRECT($C$5&amp;"生成成长"),5))*(VLOOKUP($B$5,标准坦克设计!$B$24:$U$30,MATCH("对"&amp;LEFT($C$5,2)&amp;"输出",标准坦克设计!$B$23:$U$23,0)))*(VLOOKUP($B202,INDIRECT($B$5&amp;"生成成长"),3))*(VLOOKUP($B$5,标准坦克设计!$B$14:$K$20,9)/30))</f>
        <v>7.9150705589432819</v>
      </c>
      <c r="EB202" s="172">
        <f ca="1">(VLOOKUP(EB$72,INDIRECT($C$5&amp;"生成成长"),2))/((VLOOKUP($B202,INDIRECT($B$5&amp;"生成成长"),4))/(VLOOKUP(EB$72,INDIRECT($C$5&amp;"生成成长"),5))*(VLOOKUP($B$5,标准坦克设计!$B$24:$U$30,MATCH("对"&amp;LEFT($C$5,2)&amp;"输出",标准坦克设计!$B$23:$U$23,0)))*(VLOOKUP($B202,INDIRECT($B$5&amp;"生成成长"),3))*(VLOOKUP($B$5,标准坦克设计!$B$14:$K$20,9)/30))</f>
        <v>8.6830924994799954</v>
      </c>
      <c r="EC202" s="172">
        <f ca="1">(VLOOKUP(EC$72,INDIRECT($C$5&amp;"生成成长"),2))/((VLOOKUP($B202,INDIRECT($B$5&amp;"生成成长"),4))/(VLOOKUP(EC$72,INDIRECT($C$5&amp;"生成成长"),5))*(VLOOKUP($B$5,标准坦克设计!$B$24:$U$30,MATCH("对"&amp;LEFT($C$5,2)&amp;"输出",标准坦克设计!$B$23:$U$23,0)))*(VLOOKUP($B202,INDIRECT($B$5&amp;"生成成长"),3))*(VLOOKUP($B$5,标准坦克设计!$B$14:$K$20,9)/30))</f>
        <v>9.486671011337851</v>
      </c>
      <c r="ED202" s="172">
        <f ca="1">(VLOOKUP(ED$72,INDIRECT($C$5&amp;"生成成长"),2))/((VLOOKUP($B202,INDIRECT($B$5&amp;"生成成长"),4))/(VLOOKUP(ED$72,INDIRECT($C$5&amp;"生成成长"),5))*(VLOOKUP($B$5,标准坦克设计!$B$24:$U$30,MATCH("对"&amp;LEFT($C$5,2)&amp;"输出",标准坦克设计!$B$23:$U$23,0)))*(VLOOKUP($B202,INDIRECT($B$5&amp;"生成成长"),3))*(VLOOKUP($B$5,标准坦克设计!$B$14:$K$20,9)/30))</f>
        <v>10.325806094516851</v>
      </c>
      <c r="EE202" s="172">
        <f ca="1">(VLOOKUP(EE$72,INDIRECT($C$5&amp;"生成成长"),2))/((VLOOKUP($B202,INDIRECT($B$5&amp;"生成成长"),4))/(VLOOKUP(EE$72,INDIRECT($C$5&amp;"生成成长"),5))*(VLOOKUP($B$5,标准坦克设计!$B$24:$U$30,MATCH("对"&amp;LEFT($C$5,2)&amp;"输出",标准坦克设计!$B$23:$U$23,0)))*(VLOOKUP($B202,INDIRECT($B$5&amp;"生成成长"),3))*(VLOOKUP($B$5,标准坦克设计!$B$14:$K$20,9)/30))</f>
        <v>11.200497749016996</v>
      </c>
      <c r="EF202" s="172">
        <f ca="1">(VLOOKUP(EF$72,INDIRECT($C$5&amp;"生成成长"),2))/((VLOOKUP($B202,INDIRECT($B$5&amp;"生成成长"),4))/(VLOOKUP(EF$72,INDIRECT($C$5&amp;"生成成长"),5))*(VLOOKUP($B$5,标准坦克设计!$B$24:$U$30,MATCH("对"&amp;LEFT($C$5,2)&amp;"输出",标准坦克设计!$B$23:$U$23,0)))*(VLOOKUP($B202,INDIRECT($B$5&amp;"生成成长"),3))*(VLOOKUP($B$5,标准坦克设计!$B$14:$K$20,9)/30))</f>
        <v>12.110745974838286</v>
      </c>
      <c r="EG202" s="172">
        <f ca="1">(VLOOKUP(EG$72,INDIRECT($C$5&amp;"生成成长"),2))/((VLOOKUP($B202,INDIRECT($B$5&amp;"生成成长"),4))/(VLOOKUP(EG$72,INDIRECT($C$5&amp;"生成成长"),5))*(VLOOKUP($B$5,标准坦克设计!$B$24:$U$30,MATCH("对"&amp;LEFT($C$5,2)&amp;"输出",标准坦克设计!$B$23:$U$23,0)))*(VLOOKUP($B202,INDIRECT($B$5&amp;"生成成长"),3))*(VLOOKUP($B$5,标准坦克设计!$B$14:$K$20,9)/30))</f>
        <v>13.056550771980721</v>
      </c>
      <c r="EH202" s="172">
        <f ca="1">(VLOOKUP(EH$72,INDIRECT($C$5&amp;"生成成长"),2))/((VLOOKUP($B202,INDIRECT($B$5&amp;"生成成长"),4))/(VLOOKUP(EH$72,INDIRECT($C$5&amp;"生成成长"),5))*(VLOOKUP($B$5,标准坦克设计!$B$24:$U$30,MATCH("对"&amp;LEFT($C$5,2)&amp;"输出",标准坦克设计!$B$23:$U$23,0)))*(VLOOKUP($B202,INDIRECT($B$5&amp;"生成成长"),3))*(VLOOKUP($B$5,标准坦克设计!$B$14:$K$20,9)/30))</f>
        <v>14.037912140444297</v>
      </c>
      <c r="EI202" s="172">
        <f ca="1">(VLOOKUP(EI$72,INDIRECT($C$5&amp;"生成成长"),2))/((VLOOKUP($B202,INDIRECT($B$5&amp;"生成成长"),4))/(VLOOKUP(EI$72,INDIRECT($C$5&amp;"生成成长"),5))*(VLOOKUP($B$5,标准坦克设计!$B$24:$U$30,MATCH("对"&amp;LEFT($C$5,2)&amp;"输出",标准坦克设计!$B$23:$U$23,0)))*(VLOOKUP($B202,INDIRECT($B$5&amp;"生成成长"),3))*(VLOOKUP($B$5,标准坦克设计!$B$14:$K$20,9)/30))</f>
        <v>15.054830080229019</v>
      </c>
      <c r="EJ202" s="172">
        <f ca="1">(VLOOKUP(EJ$72,INDIRECT($C$5&amp;"生成成长"),2))/((VLOOKUP($B202,INDIRECT($B$5&amp;"生成成长"),4))/(VLOOKUP(EJ$72,INDIRECT($C$5&amp;"生成成长"),5))*(VLOOKUP($B$5,标准坦克设计!$B$24:$U$30,MATCH("对"&amp;LEFT($C$5,2)&amp;"输出",标准坦克设计!$B$23:$U$23,0)))*(VLOOKUP($B202,INDIRECT($B$5&amp;"生成成长"),3))*(VLOOKUP($B$5,标准坦克设计!$B$14:$K$20,9)/30))</f>
        <v>16.107304591334881</v>
      </c>
      <c r="EK202" s="172">
        <f ca="1">(VLOOKUP(EK$72,INDIRECT($C$5&amp;"生成成长"),2))/((VLOOKUP($B202,INDIRECT($B$5&amp;"生成成长"),4))/(VLOOKUP(EK$72,INDIRECT($C$5&amp;"生成成长"),5))*(VLOOKUP($B$5,标准坦克设计!$B$24:$U$30,MATCH("对"&amp;LEFT($C$5,2)&amp;"输出",标准坦克设计!$B$23:$U$23,0)))*(VLOOKUP($B202,INDIRECT($B$5&amp;"生成成长"),3))*(VLOOKUP($B$5,标准坦克设计!$B$14:$K$20,9)/30))</f>
        <v>17.417208678805832</v>
      </c>
      <c r="EL202" s="172">
        <f ca="1">(VLOOKUP(EL$72,INDIRECT($C$5&amp;"生成成长"),2))/((VLOOKUP($B202,INDIRECT($B$5&amp;"生成成长"),4))/(VLOOKUP(EL$72,INDIRECT($C$5&amp;"生成成长"),5))*(VLOOKUP($B$5,标准坦克设计!$B$24:$U$30,MATCH("对"&amp;LEFT($C$5,2)&amp;"输出",标准坦克设计!$B$23:$U$23,0)))*(VLOOKUP($B202,INDIRECT($B$5&amp;"生成成长"),3))*(VLOOKUP($B$5,标准坦克设计!$B$14:$K$20,9)/30))</f>
        <v>18.778314228979227</v>
      </c>
      <c r="EM202" s="172">
        <f ca="1">(VLOOKUP(EM$72,INDIRECT($C$5&amp;"生成成长"),2))/((VLOOKUP($B202,INDIRECT($B$5&amp;"生成成长"),4))/(VLOOKUP(EM$72,INDIRECT($C$5&amp;"生成成长"),5))*(VLOOKUP($B$5,标准坦克设计!$B$24:$U$30,MATCH("对"&amp;LEFT($C$5,2)&amp;"输出",标准坦克设计!$B$23:$U$23,0)))*(VLOOKUP($B202,INDIRECT($B$5&amp;"生成成长"),3))*(VLOOKUP($B$5,标准坦克设计!$B$14:$K$20,9)/30))</f>
        <v>20.190621241855069</v>
      </c>
      <c r="EN202" s="172">
        <f ca="1">(VLOOKUP(EN$72,INDIRECT($C$5&amp;"生成成长"),2))/((VLOOKUP($B202,INDIRECT($B$5&amp;"生成成长"),4))/(VLOOKUP(EN$72,INDIRECT($C$5&amp;"生成成长"),5))*(VLOOKUP($B$5,标准坦克设计!$B$24:$U$30,MATCH("对"&amp;LEFT($C$5,2)&amp;"输出",标准坦克设计!$B$23:$U$23,0)))*(VLOOKUP($B202,INDIRECT($B$5&amp;"生成成长"),3))*(VLOOKUP($B$5,标准坦克设计!$B$14:$K$20,9)/30))</f>
        <v>21.65412971743336</v>
      </c>
      <c r="EO202" s="172">
        <f ca="1">(VLOOKUP(EO$72,INDIRECT($C$5&amp;"生成成长"),2))/((VLOOKUP($B202,INDIRECT($B$5&amp;"生成成长"),4))/(VLOOKUP(EO$72,INDIRECT($C$5&amp;"生成成长"),5))*(VLOOKUP($B$5,标准坦克设计!$B$24:$U$30,MATCH("对"&amp;LEFT($C$5,2)&amp;"输出",标准坦克设计!$B$23:$U$23,0)))*(VLOOKUP($B202,INDIRECT($B$5&amp;"生成成长"),3))*(VLOOKUP($B$5,标准坦克设计!$B$14:$K$20,9)/30))</f>
        <v>23.168839655714098</v>
      </c>
      <c r="EP202" s="172">
        <f ca="1">(VLOOKUP(EP$72,INDIRECT($C$5&amp;"生成成长"),2))/((VLOOKUP($B202,INDIRECT($B$5&amp;"生成成长"),4))/(VLOOKUP(EP$72,INDIRECT($C$5&amp;"生成成长"),5))*(VLOOKUP($B$5,标准坦克设计!$B$24:$U$30,MATCH("对"&amp;LEFT($C$5,2)&amp;"输出",标准坦克设计!$B$23:$U$23,0)))*(VLOOKUP($B202,INDIRECT($B$5&amp;"生成成长"),3))*(VLOOKUP($B$5,标准坦克设计!$B$14:$K$20,9)/30))</f>
        <v>24.734751056697284</v>
      </c>
      <c r="EQ202" s="172">
        <f ca="1">(VLOOKUP(EQ$72,INDIRECT($C$5&amp;"生成成长"),2))/((VLOOKUP($B202,INDIRECT($B$5&amp;"生成成长"),4))/(VLOOKUP(EQ$72,INDIRECT($C$5&amp;"生成成长"),5))*(VLOOKUP($B$5,标准坦克设计!$B$24:$U$30,MATCH("对"&amp;LEFT($C$5,2)&amp;"输出",标准坦克设计!$B$23:$U$23,0)))*(VLOOKUP($B202,INDIRECT($B$5&amp;"生成成长"),3))*(VLOOKUP($B$5,标准坦克设计!$B$14:$K$20,9)/30))</f>
        <v>10.934356812678233</v>
      </c>
      <c r="ER202" s="172">
        <f ca="1">(VLOOKUP(ER$72,INDIRECT($C$5&amp;"生成成长"),2))/((VLOOKUP($B202,INDIRECT($B$5&amp;"生成成长"),4))/(VLOOKUP(ER$72,INDIRECT($C$5&amp;"生成成长"),5))*(VLOOKUP($B$5,标准坦克设计!$B$24:$U$30,MATCH("对"&amp;LEFT($C$5,2)&amp;"输出",标准坦克设计!$B$23:$U$23,0)))*(VLOOKUP($B202,INDIRECT($B$5&amp;"生成成长"),3))*(VLOOKUP($B$5,标准坦克设计!$B$14:$K$20,9)/30))</f>
        <v>11.925851803968337</v>
      </c>
      <c r="ES202" s="172">
        <f ca="1">(VLOOKUP(ES$72,INDIRECT($C$5&amp;"生成成长"),2))/((VLOOKUP($B202,INDIRECT($B$5&amp;"生成成长"),4))/(VLOOKUP(ES$72,INDIRECT($C$5&amp;"生成成长"),5))*(VLOOKUP($B$5,标准坦克设计!$B$24:$U$30,MATCH("对"&amp;LEFT($C$5,2)&amp;"输出",标准坦克设计!$B$23:$U$23,0)))*(VLOOKUP($B202,INDIRECT($B$5&amp;"生成成长"),3))*(VLOOKUP($B$5,标准坦克设计!$B$14:$K$20,9)/30))</f>
        <v>12.960370246557023</v>
      </c>
      <c r="ET202" s="172">
        <f ca="1">(VLOOKUP(ET$72,INDIRECT($C$5&amp;"生成成长"),2))/((VLOOKUP($B202,INDIRECT($B$5&amp;"生成成长"),4))/(VLOOKUP(ET$72,INDIRECT($C$5&amp;"生成成长"),5))*(VLOOKUP($B$5,标准坦克设计!$B$24:$U$30,MATCH("对"&amp;LEFT($C$5,2)&amp;"输出",标准坦克设计!$B$23:$U$23,0)))*(VLOOKUP($B202,INDIRECT($B$5&amp;"生成成长"),3))*(VLOOKUP($B$5,标准坦克设计!$B$14:$K$20,9)/30))</f>
        <v>14.037912140444297</v>
      </c>
      <c r="EU202" s="172">
        <f ca="1">(VLOOKUP(EU$72,INDIRECT($C$5&amp;"生成成长"),2))/((VLOOKUP($B202,INDIRECT($B$5&amp;"生成成长"),4))/(VLOOKUP(EU$72,INDIRECT($C$5&amp;"生成成长"),5))*(VLOOKUP($B$5,标准坦克设计!$B$24:$U$30,MATCH("对"&amp;LEFT($C$5,2)&amp;"输出",标准坦克设计!$B$23:$U$23,0)))*(VLOOKUP($B202,INDIRECT($B$5&amp;"生成成长"),3))*(VLOOKUP($B$5,标准坦克设计!$B$14:$K$20,9)/30))</f>
        <v>15.158477485630151</v>
      </c>
      <c r="EV202" s="172">
        <f ca="1">(VLOOKUP(EV$72,INDIRECT($C$5&amp;"生成成长"),2))/((VLOOKUP($B202,INDIRECT($B$5&amp;"生成成长"),4))/(VLOOKUP(EV$72,INDIRECT($C$5&amp;"生成成长"),5))*(VLOOKUP($B$5,标准坦克设计!$B$24:$U$30,MATCH("对"&amp;LEFT($C$5,2)&amp;"输出",标准坦克设计!$B$23:$U$23,0)))*(VLOOKUP($B202,INDIRECT($B$5&amp;"生成成长"),3))*(VLOOKUP($B$5,标准坦克设计!$B$14:$K$20,9)/30))</f>
        <v>16.322066282114594</v>
      </c>
      <c r="EW202" s="172">
        <f ca="1">(VLOOKUP(EW$72,INDIRECT($C$5&amp;"生成成长"),2))/((VLOOKUP($B202,INDIRECT($B$5&amp;"生成成长"),4))/(VLOOKUP(EW$72,INDIRECT($C$5&amp;"生成成长"),5))*(VLOOKUP($B$5,标准坦克设计!$B$24:$U$30,MATCH("对"&amp;LEFT($C$5,2)&amp;"输出",标准坦克设计!$B$23:$U$23,0)))*(VLOOKUP($B202,INDIRECT($B$5&amp;"生成成长"),3))*(VLOOKUP($B$5,标准坦克设计!$B$14:$K$20,9)/30))</f>
        <v>17.528678529897615</v>
      </c>
      <c r="EX202" s="172">
        <f ca="1">(VLOOKUP(EX$72,INDIRECT($C$5&amp;"生成成长"),2))/((VLOOKUP($B202,INDIRECT($B$5&amp;"生成成长"),4))/(VLOOKUP(EX$72,INDIRECT($C$5&amp;"生成成长"),5))*(VLOOKUP($B$5,标准坦克设计!$B$24:$U$30,MATCH("对"&amp;LEFT($C$5,2)&amp;"输出",标准坦克设计!$B$23:$U$23,0)))*(VLOOKUP($B202,INDIRECT($B$5&amp;"生成成长"),3))*(VLOOKUP($B$5,标准坦克设计!$B$14:$K$20,9)/30))</f>
        <v>18.778314228979227</v>
      </c>
      <c r="EY202" s="172">
        <f ca="1">(VLOOKUP(EY$72,INDIRECT($C$5&amp;"生成成长"),2))/((VLOOKUP($B202,INDIRECT($B$5&amp;"生成成长"),4))/(VLOOKUP(EY$72,INDIRECT($C$5&amp;"生成成长"),5))*(VLOOKUP($B$5,标准坦克设计!$B$24:$U$30,MATCH("对"&amp;LEFT($C$5,2)&amp;"输出",标准坦克设计!$B$23:$U$23,0)))*(VLOOKUP($B202,INDIRECT($B$5&amp;"生成成长"),3))*(VLOOKUP($B$5,标准坦克设计!$B$14:$K$20,9)/30))</f>
        <v>20.070973379359422</v>
      </c>
      <c r="EZ202" s="172">
        <f ca="1">(VLOOKUP(EZ$72,INDIRECT($C$5&amp;"生成成长"),2))/((VLOOKUP($B202,INDIRECT($B$5&amp;"生成成长"),4))/(VLOOKUP(EZ$72,INDIRECT($C$5&amp;"生成成长"),5))*(VLOOKUP($B$5,标准坦克设计!$B$24:$U$30,MATCH("对"&amp;LEFT($C$5,2)&amp;"输出",标准坦克设计!$B$23:$U$23,0)))*(VLOOKUP($B202,INDIRECT($B$5&amp;"生成成长"),3))*(VLOOKUP($B$5,标准坦克设计!$B$14:$K$20,9)/30))</f>
        <v>21.406655981038202</v>
      </c>
      <c r="FA202" s="172">
        <f ca="1">(VLOOKUP(FA$72,INDIRECT($C$5&amp;"生成成长"),2))/((VLOOKUP($B202,INDIRECT($B$5&amp;"生成成长"),4))/(VLOOKUP(FA$72,INDIRECT($C$5&amp;"生成成长"),5))*(VLOOKUP($B$5,标准坦克设计!$B$24:$U$30,MATCH("对"&amp;LEFT($C$5,2)&amp;"输出",标准坦克设计!$B$23:$U$23,0)))*(VLOOKUP($B202,INDIRECT($B$5&amp;"生成成长"),3))*(VLOOKUP($B$5,标准坦克设计!$B$14:$K$20,9)/30))</f>
        <v>22.785362034015563</v>
      </c>
      <c r="FB202" s="172">
        <f ca="1">(VLOOKUP(FB$72,INDIRECT($C$5&amp;"生成成长"),2))/((VLOOKUP($B202,INDIRECT($B$5&amp;"生成成长"),4))/(VLOOKUP(FB$72,INDIRECT($C$5&amp;"生成成长"),5))*(VLOOKUP($B$5,标准坦克设计!$B$24:$U$30,MATCH("对"&amp;LEFT($C$5,2)&amp;"输出",标准坦克设计!$B$23:$U$23,0)))*(VLOOKUP($B202,INDIRECT($B$5&amp;"生成成长"),3))*(VLOOKUP($B$5,标准坦克设计!$B$14:$K$20,9)/30))</f>
        <v>24.207091538291511</v>
      </c>
      <c r="FC202" s="172">
        <f ca="1">(VLOOKUP(FC$72,INDIRECT($C$5&amp;"生成成长"),2))/((VLOOKUP($B202,INDIRECT($B$5&amp;"生成成长"),4))/(VLOOKUP(FC$72,INDIRECT($C$5&amp;"生成成长"),5))*(VLOOKUP($B$5,标准坦克设计!$B$24:$U$30,MATCH("对"&amp;LEFT($C$5,2)&amp;"输出",标准坦克设计!$B$23:$U$23,0)))*(VLOOKUP($B202,INDIRECT($B$5&amp;"生成成长"),3))*(VLOOKUP($B$5,标准坦克设计!$B$14:$K$20,9)/30))</f>
        <v>25.671844493866043</v>
      </c>
      <c r="FD202" s="172">
        <f ca="1">(VLOOKUP(FD$72,INDIRECT($C$5&amp;"生成成长"),2))/((VLOOKUP($B202,INDIRECT($B$5&amp;"生成成长"),4))/(VLOOKUP(FD$72,INDIRECT($C$5&amp;"生成成长"),5))*(VLOOKUP($B$5,标准坦克设计!$B$24:$U$30,MATCH("对"&amp;LEFT($C$5,2)&amp;"输出",标准坦克设计!$B$23:$U$23,0)))*(VLOOKUP($B202,INDIRECT($B$5&amp;"生成成长"),3))*(VLOOKUP($B$5,标准坦克设计!$B$14:$K$20,9)/30))</f>
        <v>27.179620900739156</v>
      </c>
      <c r="FE202" s="172">
        <f ca="1">(VLOOKUP(FE$72,INDIRECT($C$5&amp;"生成成长"),2))/((VLOOKUP($B202,INDIRECT($B$5&amp;"生成成长"),4))/(VLOOKUP(FE$72,INDIRECT($C$5&amp;"生成成长"),5))*(VLOOKUP($B$5,标准坦克设计!$B$24:$U$30,MATCH("对"&amp;LEFT($C$5,2)&amp;"输出",标准坦克设计!$B$23:$U$23,0)))*(VLOOKUP($B202,INDIRECT($B$5&amp;"生成成长"),3))*(VLOOKUP($B$5,标准坦克设计!$B$14:$K$20,9)/30))</f>
        <v>29.017006723759273</v>
      </c>
      <c r="FF202" s="172">
        <f ca="1">(VLOOKUP(FF$72,INDIRECT($C$5&amp;"生成成长"),2))/((VLOOKUP($B202,INDIRECT($B$5&amp;"生成成长"),4))/(VLOOKUP(FF$72,INDIRECT($C$5&amp;"生成成长"),5))*(VLOOKUP($B$5,标准坦克设计!$B$24:$U$30,MATCH("对"&amp;LEFT($C$5,2)&amp;"输出",标准坦克设计!$B$23:$U$23,0)))*(VLOOKUP($B202,INDIRECT($B$5&amp;"生成成长"),3))*(VLOOKUP($B$5,标准坦克设计!$B$14:$K$20,9)/30))</f>
        <v>30.91448315231213</v>
      </c>
      <c r="FG202" s="172">
        <f ca="1">(VLOOKUP(FG$72,INDIRECT($C$5&amp;"生成成长"),2))/((VLOOKUP($B202,INDIRECT($B$5&amp;"生成成长"),4))/(VLOOKUP(FG$72,INDIRECT($C$5&amp;"生成成长"),5))*(VLOOKUP($B$5,标准坦克设计!$B$24:$U$30,MATCH("对"&amp;LEFT($C$5,2)&amp;"输出",标准坦克设计!$B$23:$U$23,0)))*(VLOOKUP($B202,INDIRECT($B$5&amp;"生成成长"),3))*(VLOOKUP($B$5,标准坦克设计!$B$14:$K$20,9)/30))</f>
        <v>32.872050186397722</v>
      </c>
      <c r="FH202" s="172">
        <f ca="1">(VLOOKUP(FH$72,INDIRECT($C$5&amp;"生成成长"),2))/((VLOOKUP($B202,INDIRECT($B$5&amp;"生成成长"),4))/(VLOOKUP(FH$72,INDIRECT($C$5&amp;"生成成长"),5))*(VLOOKUP($B$5,标准坦克设计!$B$24:$U$30,MATCH("对"&amp;LEFT($C$5,2)&amp;"输出",标准坦克设计!$B$23:$U$23,0)))*(VLOOKUP($B202,INDIRECT($B$5&amp;"生成成长"),3))*(VLOOKUP($B$5,标准坦克设计!$B$14:$K$20,9)/30))</f>
        <v>34.889707826016036</v>
      </c>
      <c r="FI202" s="172">
        <f ca="1">(VLOOKUP(FI$72,INDIRECT($C$5&amp;"生成成长"),2))/((VLOOKUP($B202,INDIRECT($B$5&amp;"生成成长"),4))/(VLOOKUP(FI$72,INDIRECT($C$5&amp;"生成成长"),5))*(VLOOKUP($B$5,标准坦克设计!$B$24:$U$30,MATCH("对"&amp;LEFT($C$5,2)&amp;"输出",标准坦克设计!$B$23:$U$23,0)))*(VLOOKUP($B202,INDIRECT($B$5&amp;"生成成长"),3))*(VLOOKUP($B$5,标准坦克设计!$B$14:$K$20,9)/30))</f>
        <v>36.967456071167092</v>
      </c>
      <c r="FJ202" s="172">
        <f ca="1">(VLOOKUP(FJ$72,INDIRECT($C$5&amp;"生成成长"),2))/((VLOOKUP($B202,INDIRECT($B$5&amp;"生成成长"),4))/(VLOOKUP(FJ$72,INDIRECT($C$5&amp;"生成成长"),5))*(VLOOKUP($B$5,标准坦克设计!$B$24:$U$30,MATCH("对"&amp;LEFT($C$5,2)&amp;"输出",标准坦克设计!$B$23:$U$23,0)))*(VLOOKUP($B202,INDIRECT($B$5&amp;"生成成长"),3))*(VLOOKUP($B$5,标准坦克设计!$B$14:$K$20,9)/30))</f>
        <v>39.105294921850891</v>
      </c>
      <c r="FK202" s="172">
        <f ca="1">(VLOOKUP(FK$72,INDIRECT($C$5&amp;"生成成长"),2))/((VLOOKUP($B202,INDIRECT($B$5&amp;"生成成长"),4))/(VLOOKUP(FK$72,INDIRECT($C$5&amp;"生成成长"),5))*(VLOOKUP($B$5,标准坦克设计!$B$24:$U$30,MATCH("对"&amp;LEFT($C$5,2)&amp;"输出",标准坦克设计!$B$23:$U$23,0)))*(VLOOKUP($B202,INDIRECT($B$5&amp;"生成成长"),3))*(VLOOKUP($B$5,标准坦克设计!$B$14:$K$20,9)/30))</f>
        <v>41.303224378067405</v>
      </c>
    </row>
    <row r="203" spans="1:167" x14ac:dyDescent="0.15">
      <c r="A203" s="170" t="str">
        <f t="shared" si="13"/>
        <v>T4高品质5级</v>
      </c>
      <c r="B203" s="171">
        <v>30405</v>
      </c>
      <c r="C203" s="172">
        <f ca="1">(VLOOKUP(C$72,INDIRECT($C$5&amp;"生成成长"),2))/((VLOOKUP($B203,INDIRECT($B$5&amp;"生成成长"),4))/(VLOOKUP(C$72,INDIRECT($C$5&amp;"生成成长"),5))*(VLOOKUP($B$5,标准坦克设计!$B$24:$U$30,MATCH("对"&amp;LEFT($C$5,2)&amp;"输出",标准坦克设计!$B$23:$U$23,0)))*(VLOOKUP($B203,INDIRECT($B$5&amp;"生成成长"),3))*(VLOOKUP($B$5,标准坦克设计!$B$14:$K$20,9)/30))</f>
        <v>1.624708098359702</v>
      </c>
      <c r="D203" s="172">
        <f ca="1">(VLOOKUP(D$72,INDIRECT($C$5&amp;"生成成长"),2))/((VLOOKUP($B203,INDIRECT($B$5&amp;"生成成长"),4))/(VLOOKUP(D$72,INDIRECT($C$5&amp;"生成成长"),5))*(VLOOKUP($B$5,标准坦克设计!$B$24:$U$30,MATCH("对"&amp;LEFT($C$5,2)&amp;"输出",标准坦克设计!$B$23:$U$23,0)))*(VLOOKUP($B203,INDIRECT($B$5&amp;"生成成长"),3))*(VLOOKUP($B$5,标准坦克设计!$B$14:$K$20,9)/30))</f>
        <v>1.825522019316961</v>
      </c>
      <c r="E203" s="172">
        <f ca="1">(VLOOKUP(E$72,INDIRECT($C$5&amp;"生成成长"),2))/((VLOOKUP($B203,INDIRECT($B$5&amp;"生成成长"),4))/(VLOOKUP(E$72,INDIRECT($C$5&amp;"生成成长"),5))*(VLOOKUP($B$5,标准坦克设计!$B$24:$U$30,MATCH("对"&amp;LEFT($C$5,2)&amp;"输出",标准坦克设计!$B$23:$U$23,0)))*(VLOOKUP($B203,INDIRECT($B$5&amp;"生成成长"),3))*(VLOOKUP($B$5,标准坦克设计!$B$14:$K$20,9)/30))</f>
        <v>2.0380338385824102</v>
      </c>
      <c r="F203" s="172">
        <f ca="1">(VLOOKUP(F$72,INDIRECT($C$5&amp;"生成成长"),2))/((VLOOKUP($B203,INDIRECT($B$5&amp;"生成成长"),4))/(VLOOKUP(F$72,INDIRECT($C$5&amp;"生成成长"),5))*(VLOOKUP($B$5,标准坦克设计!$B$24:$U$30,MATCH("对"&amp;LEFT($C$5,2)&amp;"输出",标准坦克设计!$B$23:$U$23,0)))*(VLOOKUP($B203,INDIRECT($B$5&amp;"生成成长"),3))*(VLOOKUP($B$5,标准坦克设计!$B$14:$K$20,9)/30))</f>
        <v>2.2622435561560494</v>
      </c>
      <c r="G203" s="172">
        <f ca="1">(VLOOKUP(G$72,INDIRECT($C$5&amp;"生成成长"),2))/((VLOOKUP($B203,INDIRECT($B$5&amp;"生成成长"),4))/(VLOOKUP(G$72,INDIRECT($C$5&amp;"生成成长"),5))*(VLOOKUP($B$5,标准坦克设计!$B$24:$U$30,MATCH("对"&amp;LEFT($C$5,2)&amp;"输出",标准坦克设计!$B$23:$U$23,0)))*(VLOOKUP($B203,INDIRECT($B$5&amp;"生成成长"),3))*(VLOOKUP($B$5,标准坦克设计!$B$14:$K$20,9)/30))</f>
        <v>2.4981511720378777</v>
      </c>
      <c r="H203" s="172">
        <f ca="1">(VLOOKUP(H$72,INDIRECT($C$5&amp;"生成成长"),2))/((VLOOKUP($B203,INDIRECT($B$5&amp;"生成成长"),4))/(VLOOKUP(H$72,INDIRECT($C$5&amp;"生成成长"),5))*(VLOOKUP($B$5,标准坦克设计!$B$24:$U$30,MATCH("对"&amp;LEFT($C$5,2)&amp;"输出",标准坦克设计!$B$23:$U$23,0)))*(VLOOKUP($B203,INDIRECT($B$5&amp;"生成成长"),3))*(VLOOKUP($B$5,标准坦克设计!$B$14:$K$20,9)/30))</f>
        <v>2.1862072171528149</v>
      </c>
      <c r="I203" s="172">
        <f ca="1">(VLOOKUP(I$72,INDIRECT($C$5&amp;"生成成长"),2))/((VLOOKUP($B203,INDIRECT($B$5&amp;"生成成长"),4))/(VLOOKUP(I$72,INDIRECT($C$5&amp;"生成成长"),5))*(VLOOKUP($B$5,标准坦克设计!$B$24:$U$30,MATCH("对"&amp;LEFT($C$5,2)&amp;"输出",标准坦克设计!$B$23:$U$23,0)))*(VLOOKUP($B203,INDIRECT($B$5&amp;"生成成长"),3))*(VLOOKUP($B$5,标准坦克设计!$B$14:$K$20,9)/30))</f>
        <v>2.4981511720378777</v>
      </c>
      <c r="J203" s="172">
        <f ca="1">(VLOOKUP(J$72,INDIRECT($C$5&amp;"生成成长"),2))/((VLOOKUP($B203,INDIRECT($B$5&amp;"生成成长"),4))/(VLOOKUP(J$72,INDIRECT($C$5&amp;"生成成长"),5))*(VLOOKUP($B$5,标准坦克设计!$B$24:$U$30,MATCH("对"&amp;LEFT($C$5,2)&amp;"输出",标准坦克设计!$B$23:$U$23,0)))*(VLOOKUP($B203,INDIRECT($B$5&amp;"生成成长"),3))*(VLOOKUP($B$5,标准坦克设计!$B$14:$K$20,9)/30))</f>
        <v>2.8308913905819444</v>
      </c>
      <c r="K203" s="172">
        <f ca="1">(VLOOKUP(K$72,INDIRECT($C$5&amp;"生成成长"),2))/((VLOOKUP($B203,INDIRECT($B$5&amp;"生成成长"),4))/(VLOOKUP(K$72,INDIRECT($C$5&amp;"生成成长"),5))*(VLOOKUP($B$5,标准坦克设计!$B$24:$U$30,MATCH("对"&amp;LEFT($C$5,2)&amp;"输出",标准坦克设计!$B$23:$U$23,0)))*(VLOOKUP($B203,INDIRECT($B$5&amp;"生成成长"),3))*(VLOOKUP($B$5,标准坦克设计!$B$14:$K$20,9)/30))</f>
        <v>3.1844278727850166</v>
      </c>
      <c r="L203" s="172">
        <f ca="1">(VLOOKUP(L$72,INDIRECT($C$5&amp;"生成成长"),2))/((VLOOKUP($B203,INDIRECT($B$5&amp;"生成成长"),4))/(VLOOKUP(L$72,INDIRECT($C$5&amp;"生成成长"),5))*(VLOOKUP($B$5,标准坦克设计!$B$24:$U$30,MATCH("对"&amp;LEFT($C$5,2)&amp;"输出",标准坦克设计!$B$23:$U$23,0)))*(VLOOKUP($B203,INDIRECT($B$5&amp;"生成成长"),3))*(VLOOKUP($B$5,标准坦克设计!$B$14:$K$20,9)/30))</f>
        <v>3.5587606186470913</v>
      </c>
      <c r="M203" s="172">
        <f ca="1">(VLOOKUP(M$72,INDIRECT($C$5&amp;"生成成长"),2))/((VLOOKUP($B203,INDIRECT($B$5&amp;"生成成长"),4))/(VLOOKUP(M$72,INDIRECT($C$5&amp;"生成成长"),5))*(VLOOKUP($B$5,标准坦克设计!$B$24:$U$30,MATCH("对"&amp;LEFT($C$5,2)&amp;"输出",标准坦克设计!$B$23:$U$23,0)))*(VLOOKUP($B203,INDIRECT($B$5&amp;"生成成长"),3))*(VLOOKUP($B$5,标准坦克设计!$B$14:$K$20,9)/30))</f>
        <v>3.9538896281681706</v>
      </c>
      <c r="N203" s="172">
        <f ca="1">(VLOOKUP(N$72,INDIRECT($C$5&amp;"生成成长"),2))/((VLOOKUP($B203,INDIRECT($B$5&amp;"生成成长"),4))/(VLOOKUP(N$72,INDIRECT($C$5&amp;"生成成长"),5))*(VLOOKUP($B$5,标准坦克设计!$B$24:$U$30,MATCH("对"&amp;LEFT($C$5,2)&amp;"输出",标准坦克设计!$B$23:$U$23,0)))*(VLOOKUP($B203,INDIRECT($B$5&amp;"生成成长"),3))*(VLOOKUP($B$5,标准坦克设计!$B$14:$K$20,9)/30))</f>
        <v>4.3698149013482546</v>
      </c>
      <c r="O203" s="172">
        <f ca="1">(VLOOKUP(O$72,INDIRECT($C$5&amp;"生成成长"),2))/((VLOOKUP($B203,INDIRECT($B$5&amp;"生成成长"),4))/(VLOOKUP(O$72,INDIRECT($C$5&amp;"生成成长"),5))*(VLOOKUP($B$5,标准坦克设计!$B$24:$U$30,MATCH("对"&amp;LEFT($C$5,2)&amp;"输出",标准坦克设计!$B$23:$U$23,0)))*(VLOOKUP($B203,INDIRECT($B$5&amp;"生成成长"),3))*(VLOOKUP($B$5,标准坦克设计!$B$14:$K$20,9)/30))</f>
        <v>3.3223655903357545</v>
      </c>
      <c r="P203" s="172">
        <f ca="1">(VLOOKUP(P$72,INDIRECT($C$5&amp;"生成成长"),2))/((VLOOKUP($B203,INDIRECT($B$5&amp;"生成成长"),4))/(VLOOKUP(P$72,INDIRECT($C$5&amp;"生成成长"),5))*(VLOOKUP($B$5,标准坦克设计!$B$24:$U$30,MATCH("对"&amp;LEFT($C$5,2)&amp;"输出",标准坦克设计!$B$23:$U$23,0)))*(VLOOKUP($B203,INDIRECT($B$5&amp;"生成成长"),3))*(VLOOKUP($B$5,标准坦克设计!$B$14:$K$20,9)/30))</f>
        <v>3.7537255904502556</v>
      </c>
      <c r="Q203" s="172">
        <f ca="1">(VLOOKUP(Q$72,INDIRECT($C$5&amp;"生成成长"),2))/((VLOOKUP($B203,INDIRECT($B$5&amp;"生成成长"),4))/(VLOOKUP(Q$72,INDIRECT($C$5&amp;"生成成长"),5))*(VLOOKUP($B$5,标准坦克设计!$B$24:$U$30,MATCH("对"&amp;LEFT($C$5,2)&amp;"输出",标准坦克设计!$B$23:$U$23,0)))*(VLOOKUP($B203,INDIRECT($B$5&amp;"生成成长"),3))*(VLOOKUP($B$5,标准坦克设计!$B$14:$K$20,9)/30))</f>
        <v>4.211405861758184</v>
      </c>
      <c r="R203" s="172">
        <f ca="1">(VLOOKUP(R$72,INDIRECT($C$5&amp;"生成成长"),2))/((VLOOKUP($B203,INDIRECT($B$5&amp;"生成成长"),4))/(VLOOKUP(R$72,INDIRECT($C$5&amp;"生成成长"),5))*(VLOOKUP($B$5,标准坦克设计!$B$24:$U$30,MATCH("对"&amp;LEFT($C$5,2)&amp;"输出",标准坦克设计!$B$23:$U$23,0)))*(VLOOKUP($B203,INDIRECT($B$5&amp;"生成成长"),3))*(VLOOKUP($B$5,标准坦克设计!$B$14:$K$20,9)/30))</f>
        <v>4.6954064042595389</v>
      </c>
      <c r="S203" s="172">
        <f ca="1">(VLOOKUP(S$72,INDIRECT($C$5&amp;"生成成长"),2))/((VLOOKUP($B203,INDIRECT($B$5&amp;"生成成长"),4))/(VLOOKUP(S$72,INDIRECT($C$5&amp;"生成成长"),5))*(VLOOKUP($B$5,标准坦克设计!$B$24:$U$30,MATCH("对"&amp;LEFT($C$5,2)&amp;"输出",标准坦克设计!$B$23:$U$23,0)))*(VLOOKUP($B203,INDIRECT($B$5&amp;"生成成长"),3))*(VLOOKUP($B$5,标准坦克设计!$B$14:$K$20,9)/30))</f>
        <v>5.2057272179543208</v>
      </c>
      <c r="T203" s="172">
        <f ca="1">(VLOOKUP(T$72,INDIRECT($C$5&amp;"生成成长"),2))/((VLOOKUP($B203,INDIRECT($B$5&amp;"生成成长"),4))/(VLOOKUP(T$72,INDIRECT($C$5&amp;"生成成长"),5))*(VLOOKUP($B$5,标准坦克设计!$B$24:$U$30,MATCH("对"&amp;LEFT($C$5,2)&amp;"输出",标准坦克设计!$B$23:$U$23,0)))*(VLOOKUP($B203,INDIRECT($B$5&amp;"生成成长"),3))*(VLOOKUP($B$5,标准坦克设计!$B$14:$K$20,9)/30))</f>
        <v>5.7423683028425305</v>
      </c>
      <c r="U203" s="172">
        <f ca="1">(VLOOKUP(U$72,INDIRECT($C$5&amp;"生成成长"),2))/((VLOOKUP($B203,INDIRECT($B$5&amp;"生成成长"),4))/(VLOOKUP(U$72,INDIRECT($C$5&amp;"生成成长"),5))*(VLOOKUP($B$5,标准坦克设计!$B$24:$U$30,MATCH("对"&amp;LEFT($C$5,2)&amp;"输出",标准坦克设计!$B$23:$U$23,0)))*(VLOOKUP($B203,INDIRECT($B$5&amp;"生成成长"),3))*(VLOOKUP($B$5,标准坦克设计!$B$14:$K$20,9)/30))</f>
        <v>6.3053296589241663</v>
      </c>
      <c r="V203" s="172">
        <f ca="1">(VLOOKUP(V$72,INDIRECT($C$5&amp;"生成成长"),2))/((VLOOKUP($B203,INDIRECT($B$5&amp;"生成成长"),4))/(VLOOKUP(V$72,INDIRECT($C$5&amp;"生成成长"),5))*(VLOOKUP($B$5,标准坦克设计!$B$24:$U$30,MATCH("对"&amp;LEFT($C$5,2)&amp;"输出",标准坦克设计!$B$23:$U$23,0)))*(VLOOKUP($B203,INDIRECT($B$5&amp;"生成成长"),3))*(VLOOKUP($B$5,标准坦克设计!$B$14:$K$20,9)/30))</f>
        <v>6.8946112861992317</v>
      </c>
      <c r="W203" s="172">
        <f ca="1">(VLOOKUP(W$72,INDIRECT($C$5&amp;"生成成长"),2))/((VLOOKUP($B203,INDIRECT($B$5&amp;"生成成长"),4))/(VLOOKUP(W$72,INDIRECT($C$5&amp;"生成成长"),5))*(VLOOKUP($B$5,标准坦克设计!$B$24:$U$30,MATCH("对"&amp;LEFT($C$5,2)&amp;"输出",标准坦克设计!$B$23:$U$23,0)))*(VLOOKUP($B203,INDIRECT($B$5&amp;"生成成长"),3))*(VLOOKUP($B$5,标准坦克设计!$B$14:$K$20,9)/30))</f>
        <v>7.5102131846677214</v>
      </c>
      <c r="X203" s="172">
        <f ca="1">(VLOOKUP(X$72,INDIRECT($C$5&amp;"生成成长"),2))/((VLOOKUP($B203,INDIRECT($B$5&amp;"生成成长"),4))/(VLOOKUP(X$72,INDIRECT($C$5&amp;"生成成长"),5))*(VLOOKUP($B$5,标准坦克设计!$B$24:$U$30,MATCH("对"&amp;LEFT($C$5,2)&amp;"输出",标准坦克设计!$B$23:$U$23,0)))*(VLOOKUP($B203,INDIRECT($B$5&amp;"生成成长"),3))*(VLOOKUP($B$5,标准坦克设计!$B$14:$K$20,9)/30))</f>
        <v>5.4409849505968051</v>
      </c>
      <c r="Y203" s="172">
        <f ca="1">(VLOOKUP(Y$72,INDIRECT($C$5&amp;"生成成长"),2))/((VLOOKUP($B203,INDIRECT($B$5&amp;"生成成长"),4))/(VLOOKUP(Y$72,INDIRECT($C$5&amp;"生成成长"),5))*(VLOOKUP($B$5,标准坦克设计!$B$24:$U$30,MATCH("对"&amp;LEFT($C$5,2)&amp;"输出",标准坦克设计!$B$23:$U$23,0)))*(VLOOKUP($B203,INDIRECT($B$5&amp;"生成成长"),3))*(VLOOKUP($B$5,标准坦克设计!$B$14:$K$20,9)/30))</f>
        <v>6.0518751955800534</v>
      </c>
      <c r="Z203" s="172">
        <f ca="1">(VLOOKUP(Z$72,INDIRECT($C$5&amp;"生成成长"),2))/((VLOOKUP($B203,INDIRECT($B$5&amp;"生成成长"),4))/(VLOOKUP(Z$72,INDIRECT($C$5&amp;"生成成长"),5))*(VLOOKUP($B$5,标准坦克设计!$B$24:$U$30,MATCH("对"&amp;LEFT($C$5,2)&amp;"输出",标准坦克设计!$B$23:$U$23,0)))*(VLOOKUP($B203,INDIRECT($B$5&amp;"生成成长"),3))*(VLOOKUP($B$5,标准坦克设计!$B$14:$K$20,9)/30))</f>
        <v>6.6952596025304949</v>
      </c>
      <c r="AA203" s="172">
        <f ca="1">(VLOOKUP(AA$72,INDIRECT($C$5&amp;"生成成长"),2))/((VLOOKUP($B203,INDIRECT($B$5&amp;"生成成长"),4))/(VLOOKUP(AA$72,INDIRECT($C$5&amp;"生成成长"),5))*(VLOOKUP($B$5,标准坦克设计!$B$24:$U$30,MATCH("对"&amp;LEFT($C$5,2)&amp;"输出",标准坦克设计!$B$23:$U$23,0)))*(VLOOKUP($B203,INDIRECT($B$5&amp;"生成成长"),3))*(VLOOKUP($B$5,标准坦克设计!$B$14:$K$20,9)/30))</f>
        <v>7.3711381714481305</v>
      </c>
      <c r="AB203" s="172">
        <f ca="1">(VLOOKUP(AB$72,INDIRECT($C$5&amp;"生成成长"),2))/((VLOOKUP($B203,INDIRECT($B$5&amp;"生成成长"),4))/(VLOOKUP(AB$72,INDIRECT($C$5&amp;"生成成长"),5))*(VLOOKUP($B$5,标准坦克设计!$B$24:$U$30,MATCH("对"&amp;LEFT($C$5,2)&amp;"输出",标准坦克设计!$B$23:$U$23,0)))*(VLOOKUP($B203,INDIRECT($B$5&amp;"生成成长"),3))*(VLOOKUP($B$5,标准坦克设计!$B$14:$K$20,9)/30))</f>
        <v>8.0795109023329612</v>
      </c>
      <c r="AC203" s="172">
        <f ca="1">(VLOOKUP(AC$72,INDIRECT($C$5&amp;"生成成长"),2))/((VLOOKUP($B203,INDIRECT($B$5&amp;"生成成长"),4))/(VLOOKUP(AC$72,INDIRECT($C$5&amp;"生成成长"),5))*(VLOOKUP($B$5,标准坦克设计!$B$24:$U$30,MATCH("对"&amp;LEFT($C$5,2)&amp;"输出",标准坦克设计!$B$23:$U$23,0)))*(VLOOKUP($B203,INDIRECT($B$5&amp;"生成成长"),3))*(VLOOKUP($B$5,标准坦克设计!$B$14:$K$20,9)/30))</f>
        <v>8.8203777951849851</v>
      </c>
      <c r="AD203" s="172">
        <f ca="1">(VLOOKUP(AD$72,INDIRECT($C$5&amp;"生成成长"),2))/((VLOOKUP($B203,INDIRECT($B$5&amp;"生成成长"),4))/(VLOOKUP(AD$72,INDIRECT($C$5&amp;"生成成长"),5))*(VLOOKUP($B$5,标准坦克设计!$B$24:$U$30,MATCH("对"&amp;LEFT($C$5,2)&amp;"输出",标准坦克设计!$B$23:$U$23,0)))*(VLOOKUP($B203,INDIRECT($B$5&amp;"生成成长"),3))*(VLOOKUP($B$5,标准坦克设计!$B$14:$K$20,9)/30))</f>
        <v>9.593738850004204</v>
      </c>
      <c r="AE203" s="172">
        <f ca="1">(VLOOKUP(AE$72,INDIRECT($C$5&amp;"生成成长"),2))/((VLOOKUP($B203,INDIRECT($B$5&amp;"生成成长"),4))/(VLOOKUP(AE$72,INDIRECT($C$5&amp;"生成成长"),5))*(VLOOKUP($B$5,标准坦克设计!$B$24:$U$30,MATCH("对"&amp;LEFT($C$5,2)&amp;"输出",标准坦克设计!$B$23:$U$23,0)))*(VLOOKUP($B203,INDIRECT($B$5&amp;"生成成长"),3))*(VLOOKUP($B$5,标准坦克设计!$B$14:$K$20,9)/30))</f>
        <v>10.399594066790618</v>
      </c>
      <c r="AF203" s="172">
        <f ca="1">(VLOOKUP(AF$72,INDIRECT($C$5&amp;"生成成长"),2))/((VLOOKUP($B203,INDIRECT($B$5&amp;"生成成长"),4))/(VLOOKUP(AF$72,INDIRECT($C$5&amp;"生成成长"),5))*(VLOOKUP($B$5,标准坦克设计!$B$24:$U$30,MATCH("对"&amp;LEFT($C$5,2)&amp;"输出",标准坦克设计!$B$23:$U$23,0)))*(VLOOKUP($B203,INDIRECT($B$5&amp;"生成成长"),3))*(VLOOKUP($B$5,标准坦克设计!$B$14:$K$20,9)/30))</f>
        <v>11.237943445544222</v>
      </c>
      <c r="AG203" s="172">
        <f ca="1">(VLOOKUP(AG$72,INDIRECT($C$5&amp;"生成成长"),2))/((VLOOKUP($B203,INDIRECT($B$5&amp;"生成成长"),4))/(VLOOKUP(AG$72,INDIRECT($C$5&amp;"生成成长"),5))*(VLOOKUP($B$5,标准坦克设计!$B$24:$U$30,MATCH("对"&amp;LEFT($C$5,2)&amp;"输出",标准坦克设计!$B$23:$U$23,0)))*(VLOOKUP($B203,INDIRECT($B$5&amp;"生成成长"),3))*(VLOOKUP($B$5,标准坦克设计!$B$14:$K$20,9)/30))</f>
        <v>12.108786986265024</v>
      </c>
      <c r="AH203" s="172">
        <f ca="1">(VLOOKUP(AH$72,INDIRECT($C$5&amp;"生成成长"),2))/((VLOOKUP($B203,INDIRECT($B$5&amp;"生成成长"),4))/(VLOOKUP(AH$72,INDIRECT($C$5&amp;"生成成长"),5))*(VLOOKUP($B$5,标准坦克设计!$B$24:$U$30,MATCH("对"&amp;LEFT($C$5,2)&amp;"输出",标准坦克设计!$B$23:$U$23,0)))*(VLOOKUP($B203,INDIRECT($B$5&amp;"生成成长"),3))*(VLOOKUP($B$5,标准坦克设计!$B$14:$K$20,9)/30))</f>
        <v>13.012124688953016</v>
      </c>
      <c r="AI203" s="172">
        <f ca="1">(VLOOKUP(AI$72,INDIRECT($C$5&amp;"生成成长"),2))/((VLOOKUP($B203,INDIRECT($B$5&amp;"生成成长"),4))/(VLOOKUP(AI$72,INDIRECT($C$5&amp;"生成成长"),5))*(VLOOKUP($B$5,标准坦克设计!$B$24:$U$30,MATCH("对"&amp;LEFT($C$5,2)&amp;"输出",标准坦克设计!$B$23:$U$23,0)))*(VLOOKUP($B203,INDIRECT($B$5&amp;"生成成长"),3))*(VLOOKUP($B$5,标准坦克设计!$B$14:$K$20,9)/30))</f>
        <v>9.2029965523486954</v>
      </c>
      <c r="AJ203" s="172">
        <f ca="1">(VLOOKUP(AJ$72,INDIRECT($C$5&amp;"生成成长"),2))/((VLOOKUP($B203,INDIRECT($B$5&amp;"生成成长"),4))/(VLOOKUP(AJ$72,INDIRECT($C$5&amp;"生成成长"),5))*(VLOOKUP($B$5,标准坦克设计!$B$24:$U$30,MATCH("对"&amp;LEFT($C$5,2)&amp;"输出",标准坦克设计!$B$23:$U$23,0)))*(VLOOKUP($B203,INDIRECT($B$5&amp;"生成成长"),3))*(VLOOKUP($B$5,标准坦克设计!$B$14:$K$20,9)/30))</f>
        <v>10.073352680639989</v>
      </c>
      <c r="AK203" s="172">
        <f ca="1">(VLOOKUP(AK$72,INDIRECT($C$5&amp;"生成成长"),2))/((VLOOKUP($B203,INDIRECT($B$5&amp;"生成成长"),4))/(VLOOKUP(AK$72,INDIRECT($C$5&amp;"生成成长"),5))*(VLOOKUP($B$5,标准坦克设计!$B$24:$U$30,MATCH("对"&amp;LEFT($C$5,2)&amp;"输出",标准坦克设计!$B$23:$U$23,0)))*(VLOOKUP($B203,INDIRECT($B$5&amp;"生成成长"),3))*(VLOOKUP($B$5,标准坦克设计!$B$14:$K$20,9)/30))</f>
        <v>10.983026744911585</v>
      </c>
      <c r="AL203" s="172">
        <f ca="1">(VLOOKUP(AL$72,INDIRECT($C$5&amp;"生成成长"),2))/((VLOOKUP($B203,INDIRECT($B$5&amp;"生成成长"),4))/(VLOOKUP(AL$72,INDIRECT($C$5&amp;"生成成长"),5))*(VLOOKUP($B$5,标准坦克设计!$B$24:$U$30,MATCH("对"&amp;LEFT($C$5,2)&amp;"输出",标准坦克设计!$B$23:$U$23,0)))*(VLOOKUP($B203,INDIRECT($B$5&amp;"生成成长"),3))*(VLOOKUP($B$5,标准坦克设计!$B$14:$K$20,9)/30))</f>
        <v>11.932018745163486</v>
      </c>
      <c r="AM203" s="172">
        <f ca="1">(VLOOKUP(AM$72,INDIRECT($C$5&amp;"生成成长"),2))/((VLOOKUP($B203,INDIRECT($B$5&amp;"生成成长"),4))/(VLOOKUP(AM$72,INDIRECT($C$5&amp;"生成成长"),5))*(VLOOKUP($B$5,标准坦克设计!$B$24:$U$30,MATCH("对"&amp;LEFT($C$5,2)&amp;"输出",标准坦克设计!$B$23:$U$23,0)))*(VLOOKUP($B203,INDIRECT($B$5&amp;"生成成长"),3))*(VLOOKUP($B$5,标准坦克设计!$B$14:$K$20,9)/30))</f>
        <v>12.920328681395693</v>
      </c>
      <c r="AN203" s="172">
        <f ca="1">(VLOOKUP(AN$72,INDIRECT($C$5&amp;"生成成长"),2))/((VLOOKUP($B203,INDIRECT($B$5&amp;"生成成长"),4))/(VLOOKUP(AN$72,INDIRECT($C$5&amp;"生成成长"),5))*(VLOOKUP($B$5,标准坦克设计!$B$24:$U$30,MATCH("对"&amp;LEFT($C$5,2)&amp;"输出",标准坦克设计!$B$23:$U$23,0)))*(VLOOKUP($B203,INDIRECT($B$5&amp;"生成成长"),3))*(VLOOKUP($B$5,标准坦克设计!$B$14:$K$20,9)/30))</f>
        <v>13.947956553608206</v>
      </c>
      <c r="AO203" s="172">
        <f ca="1">(VLOOKUP(AO$72,INDIRECT($C$5&amp;"生成成长"),2))/((VLOOKUP($B203,INDIRECT($B$5&amp;"生成成长"),4))/(VLOOKUP(AO$72,INDIRECT($C$5&amp;"生成成长"),5))*(VLOOKUP($B$5,标准坦克设计!$B$24:$U$30,MATCH("对"&amp;LEFT($C$5,2)&amp;"输出",标准坦克设计!$B$23:$U$23,0)))*(VLOOKUP($B203,INDIRECT($B$5&amp;"生成成长"),3))*(VLOOKUP($B$5,标准坦克设计!$B$14:$K$20,9)/30))</f>
        <v>15.014902361801022</v>
      </c>
      <c r="AP203" s="172">
        <f ca="1">(VLOOKUP(AP$72,INDIRECT($C$5&amp;"生成成长"),2))/((VLOOKUP($B203,INDIRECT($B$5&amp;"生成成长"),4))/(VLOOKUP(AP$72,INDIRECT($C$5&amp;"生成成长"),5))*(VLOOKUP($B$5,标准坦克设计!$B$24:$U$30,MATCH("对"&amp;LEFT($C$5,2)&amp;"输出",标准坦克设计!$B$23:$U$23,0)))*(VLOOKUP($B203,INDIRECT($B$5&amp;"生成成长"),3))*(VLOOKUP($B$5,标准坦克设计!$B$14:$K$20,9)/30))</f>
        <v>16.121166105974144</v>
      </c>
      <c r="AQ203" s="172">
        <f ca="1">(VLOOKUP(AQ$72,INDIRECT($C$5&amp;"生成成长"),2))/((VLOOKUP($B203,INDIRECT($B$5&amp;"生成成长"),4))/(VLOOKUP(AQ$72,INDIRECT($C$5&amp;"生成成长"),5))*(VLOOKUP($B$5,标准坦克设计!$B$24:$U$30,MATCH("对"&amp;LEFT($C$5,2)&amp;"输出",标准坦克设计!$B$23:$U$23,0)))*(VLOOKUP($B203,INDIRECT($B$5&amp;"生成成长"),3))*(VLOOKUP($B$5,标准坦克设计!$B$14:$K$20,9)/30))</f>
        <v>17.266747786127567</v>
      </c>
      <c r="AR203" s="172">
        <f ca="1">(VLOOKUP(AR$72,INDIRECT($C$5&amp;"生成成长"),2))/((VLOOKUP($B203,INDIRECT($B$5&amp;"生成成长"),4))/(VLOOKUP(AR$72,INDIRECT($C$5&amp;"生成成长"),5))*(VLOOKUP($B$5,标准坦克设计!$B$24:$U$30,MATCH("对"&amp;LEFT($C$5,2)&amp;"输出",标准坦克设计!$B$23:$U$23,0)))*(VLOOKUP($B203,INDIRECT($B$5&amp;"生成成长"),3))*(VLOOKUP($B$5,标准坦克设计!$B$14:$K$20,9)/30))</f>
        <v>18.451647402261298</v>
      </c>
      <c r="AS203" s="172">
        <f ca="1">(VLOOKUP(AS$72,INDIRECT($C$5&amp;"生成成长"),2))/((VLOOKUP($B203,INDIRECT($B$5&amp;"生成成长"),4))/(VLOOKUP(AS$72,INDIRECT($C$5&amp;"生成成长"),5))*(VLOOKUP($B$5,标准坦克设计!$B$24:$U$30,MATCH("对"&amp;LEFT($C$5,2)&amp;"输出",标准坦克设计!$B$23:$U$23,0)))*(VLOOKUP($B203,INDIRECT($B$5&amp;"生成成长"),3))*(VLOOKUP($B$5,标准坦克设计!$B$14:$K$20,9)/30))</f>
        <v>19.675864954375335</v>
      </c>
      <c r="AT203" s="172">
        <f ca="1">(VLOOKUP(AT$72,INDIRECT($C$5&amp;"生成成长"),2))/((VLOOKUP($B203,INDIRECT($B$5&amp;"生成成长"),4))/(VLOOKUP(AT$72,INDIRECT($C$5&amp;"生成成长"),5))*(VLOOKUP($B$5,标准坦克设计!$B$24:$U$30,MATCH("对"&amp;LEFT($C$5,2)&amp;"输出",标准坦克设计!$B$23:$U$23,0)))*(VLOOKUP($B203,INDIRECT($B$5&amp;"生成成长"),3))*(VLOOKUP($B$5,标准坦克设计!$B$14:$K$20,9)/30))</f>
        <v>20.939400442469672</v>
      </c>
      <c r="AU203" s="172">
        <f ca="1">(VLOOKUP(AU$72,INDIRECT($C$5&amp;"生成成长"),2))/((VLOOKUP($B203,INDIRECT($B$5&amp;"生成成长"),4))/(VLOOKUP(AU$72,INDIRECT($C$5&amp;"生成成长"),5))*(VLOOKUP($B$5,标准坦克设计!$B$24:$U$30,MATCH("对"&amp;LEFT($C$5,2)&amp;"输出",标准坦克设计!$B$23:$U$23,0)))*(VLOOKUP($B203,INDIRECT($B$5&amp;"生成成长"),3))*(VLOOKUP($B$5,标准坦克设计!$B$14:$K$20,9)/30))</f>
        <v>22.242253866544317</v>
      </c>
      <c r="AV203" s="172">
        <f ca="1">(VLOOKUP(AV$72,INDIRECT($C$5&amp;"生成成长"),2))/((VLOOKUP($B203,INDIRECT($B$5&amp;"生成成长"),4))/(VLOOKUP(AV$72,INDIRECT($C$5&amp;"生成成长"),5))*(VLOOKUP($B$5,标准坦克设计!$B$24:$U$30,MATCH("对"&amp;LEFT($C$5,2)&amp;"输出",标准坦克设计!$B$23:$U$23,0)))*(VLOOKUP($B203,INDIRECT($B$5&amp;"生成成长"),3))*(VLOOKUP($B$5,标准坦克设计!$B$14:$K$20,9)/30))</f>
        <v>2.2622435561560494</v>
      </c>
      <c r="AW203" s="172">
        <f ca="1">(VLOOKUP(AW$72,INDIRECT($C$5&amp;"生成成长"),2))/((VLOOKUP($B203,INDIRECT($B$5&amp;"生成成长"),4))/(VLOOKUP(AW$72,INDIRECT($C$5&amp;"生成成长"),5))*(VLOOKUP($B$5,标准坦克设计!$B$24:$U$30,MATCH("对"&amp;LEFT($C$5,2)&amp;"输出",标准坦克设计!$B$23:$U$23,0)))*(VLOOKUP($B203,INDIRECT($B$5&amp;"生成成长"),3))*(VLOOKUP($B$5,标准坦克设计!$B$14:$K$20,9)/30))</f>
        <v>2.5793865769558626</v>
      </c>
      <c r="AX203" s="172">
        <f ca="1">(VLOOKUP(AX$72,INDIRECT($C$5&amp;"生成成长"),2))/((VLOOKUP($B203,INDIRECT($B$5&amp;"生成成长"),4))/(VLOOKUP(AX$72,INDIRECT($C$5&amp;"生成成长"),5))*(VLOOKUP($B$5,标准坦克设计!$B$24:$U$30,MATCH("对"&amp;LEFT($C$5,2)&amp;"输出",标准坦克设计!$B$23:$U$23,0)))*(VLOOKUP($B203,INDIRECT($B$5&amp;"生成成长"),3))*(VLOOKUP($B$5,标准坦克设计!$B$14:$K$20,9)/30))</f>
        <v>2.9173258614146813</v>
      </c>
      <c r="AY203" s="172">
        <f ca="1">(VLOOKUP(AY$72,INDIRECT($C$5&amp;"生成成长"),2))/((VLOOKUP($B203,INDIRECT($B$5&amp;"生成成长"),4))/(VLOOKUP(AY$72,INDIRECT($C$5&amp;"生成成长"),5))*(VLOOKUP($B$5,标准坦克设计!$B$24:$U$30,MATCH("对"&amp;LEFT($C$5,2)&amp;"输出",标准坦克设计!$B$23:$U$23,0)))*(VLOOKUP($B203,INDIRECT($B$5&amp;"生成成长"),3))*(VLOOKUP($B$5,标准坦克设计!$B$14:$K$20,9)/30))</f>
        <v>3.2760614095325029</v>
      </c>
      <c r="AZ203" s="172">
        <f ca="1">(VLOOKUP(AZ$72,INDIRECT($C$5&amp;"生成成长"),2))/((VLOOKUP($B203,INDIRECT($B$5&amp;"生成成长"),4))/(VLOOKUP(AZ$72,INDIRECT($C$5&amp;"生成成长"),5))*(VLOOKUP($B$5,标准坦克设计!$B$24:$U$30,MATCH("对"&amp;LEFT($C$5,2)&amp;"输出",标准坦克设计!$B$23:$U$23,0)))*(VLOOKUP($B203,INDIRECT($B$5&amp;"生成成长"),3))*(VLOOKUP($B$5,标准坦克设计!$B$14:$K$20,9)/30))</f>
        <v>3.6555932213093296</v>
      </c>
      <c r="BA203" s="172">
        <f ca="1">(VLOOKUP(BA$72,INDIRECT($C$5&amp;"生成成长"),2))/((VLOOKUP($B203,INDIRECT($B$5&amp;"生成成长"),4))/(VLOOKUP(BA$72,INDIRECT($C$5&amp;"生成成长"),5))*(VLOOKUP($B$5,标准坦克设计!$B$24:$U$30,MATCH("对"&amp;LEFT($C$5,2)&amp;"输出",标准坦克设计!$B$23:$U$23,0)))*(VLOOKUP($B203,INDIRECT($B$5&amp;"生成成长"),3))*(VLOOKUP($B$5,标准坦克设计!$B$14:$K$20,9)/30))</f>
        <v>4.0559212967451597</v>
      </c>
      <c r="BB203" s="172">
        <f ca="1">(VLOOKUP(BB$72,INDIRECT($C$5&amp;"生成成长"),2))/((VLOOKUP($B203,INDIRECT($B$5&amp;"生成成长"),4))/(VLOOKUP(BB$72,INDIRECT($C$5&amp;"生成成长"),5))*(VLOOKUP($B$5,标准坦克设计!$B$24:$U$30,MATCH("对"&amp;LEFT($C$5,2)&amp;"输出",标准坦克设计!$B$23:$U$23,0)))*(VLOOKUP($B203,INDIRECT($B$5&amp;"生成成长"),3))*(VLOOKUP($B$5,标准坦克设计!$B$14:$K$20,9)/30))</f>
        <v>4.4770456358399944</v>
      </c>
      <c r="BC203" s="172">
        <f ca="1">(VLOOKUP(BC$72,INDIRECT($C$5&amp;"生成成长"),2))/((VLOOKUP($B203,INDIRECT($B$5&amp;"生成成长"),4))/(VLOOKUP(BC$72,INDIRECT($C$5&amp;"生成成长"),5))*(VLOOKUP($B$5,标准坦克设计!$B$24:$U$30,MATCH("对"&amp;LEFT($C$5,2)&amp;"输出",标准坦克设计!$B$23:$U$23,0)))*(VLOOKUP($B203,INDIRECT($B$5&amp;"生成成长"),3))*(VLOOKUP($B$5,标准坦克设计!$B$14:$K$20,9)/30))</f>
        <v>4.9189662385938338</v>
      </c>
      <c r="BD203" s="172">
        <f ca="1">(VLOOKUP(BD$72,INDIRECT($C$5&amp;"生成成长"),2))/((VLOOKUP($B203,INDIRECT($B$5&amp;"生成成长"),4))/(VLOOKUP(BD$72,INDIRECT($C$5&amp;"生成成长"),5))*(VLOOKUP($B$5,标准坦克设计!$B$24:$U$30,MATCH("对"&amp;LEFT($C$5,2)&amp;"输出",标准坦克设计!$B$23:$U$23,0)))*(VLOOKUP($B203,INDIRECT($B$5&amp;"生成成长"),3))*(VLOOKUP($B$5,标准坦克设计!$B$14:$K$20,9)/30))</f>
        <v>5.4409849505968051</v>
      </c>
      <c r="BE203" s="172">
        <f ca="1">(VLOOKUP(BE$72,INDIRECT($C$5&amp;"生成成长"),2))/((VLOOKUP($B203,INDIRECT($B$5&amp;"生成成长"),4))/(VLOOKUP(BE$72,INDIRECT($C$5&amp;"生成成长"),5))*(VLOOKUP($B$5,标准坦克设计!$B$24:$U$30,MATCH("对"&amp;LEFT($C$5,2)&amp;"输出",标准坦克设计!$B$23:$U$23,0)))*(VLOOKUP($B203,INDIRECT($B$5&amp;"生成成长"),3))*(VLOOKUP($B$5,标准坦克设计!$B$14:$K$20,9)/30))</f>
        <v>5.989323933793206</v>
      </c>
      <c r="BF203" s="172">
        <f ca="1">(VLOOKUP(BF$72,INDIRECT($C$5&amp;"生成成长"),2))/((VLOOKUP($B203,INDIRECT($B$5&amp;"生成成长"),4))/(VLOOKUP(BF$72,INDIRECT($C$5&amp;"生成成长"),5))*(VLOOKUP($B$5,标准坦克设计!$B$24:$U$30,MATCH("对"&amp;LEFT($C$5,2)&amp;"输出",标准坦克设计!$B$23:$U$23,0)))*(VLOOKUP($B203,INDIRECT($B$5&amp;"生成成长"),3))*(VLOOKUP($B$5,标准坦克设计!$B$14:$K$20,9)/30))</f>
        <v>6.5639831881830313</v>
      </c>
      <c r="BG203" s="172">
        <f ca="1">(VLOOKUP(BG$72,INDIRECT($C$5&amp;"生成成长"),2))/((VLOOKUP($B203,INDIRECT($B$5&amp;"生成成长"),4))/(VLOOKUP(BG$72,INDIRECT($C$5&amp;"生成成长"),5))*(VLOOKUP($B$5,标准坦克设计!$B$24:$U$30,MATCH("对"&amp;LEFT($C$5,2)&amp;"输出",标准坦克设计!$B$23:$U$23,0)))*(VLOOKUP($B203,INDIRECT($B$5&amp;"生成成长"),3))*(VLOOKUP($B$5,标准坦克设计!$B$14:$K$20,9)/30))</f>
        <v>7.1649627137662852</v>
      </c>
      <c r="BH203" s="172">
        <f ca="1">(VLOOKUP(BH$72,INDIRECT($C$5&amp;"生成成长"),2))/((VLOOKUP($B203,INDIRECT($B$5&amp;"生成成长"),4))/(VLOOKUP(BH$72,INDIRECT($C$5&amp;"生成成长"),5))*(VLOOKUP($B$5,标准坦克设计!$B$24:$U$30,MATCH("对"&amp;LEFT($C$5,2)&amp;"输出",标准坦克设计!$B$23:$U$23,0)))*(VLOOKUP($B203,INDIRECT($B$5&amp;"生成成长"),3))*(VLOOKUP($B$5,标准坦克设计!$B$14:$K$20,9)/30))</f>
        <v>3.4632277824635405</v>
      </c>
      <c r="BI203" s="172">
        <f ca="1">(VLOOKUP(BI$72,INDIRECT($C$5&amp;"生成成长"),2))/((VLOOKUP($B203,INDIRECT($B$5&amp;"生成成长"),4))/(VLOOKUP(BI$72,INDIRECT($C$5&amp;"生成成长"),5))*(VLOOKUP($B$5,标准坦克设计!$B$24:$U$30,MATCH("对"&amp;LEFT($C$5,2)&amp;"输出",标准坦克设计!$B$23:$U$23,0)))*(VLOOKUP($B203,INDIRECT($B$5&amp;"生成成长"),3))*(VLOOKUP($B$5,标准坦克设计!$B$14:$K$20,9)/30))</f>
        <v>3.9033612063091838</v>
      </c>
      <c r="BJ203" s="172">
        <f ca="1">(VLOOKUP(BJ$72,INDIRECT($C$5&amp;"生成成长"),2))/((VLOOKUP($B203,INDIRECT($B$5&amp;"生成成长"),4))/(VLOOKUP(BJ$72,INDIRECT($C$5&amp;"生成成长"),5))*(VLOOKUP($B$5,标准坦克设计!$B$24:$U$30,MATCH("对"&amp;LEFT($C$5,2)&amp;"输出",标准坦克设计!$B$23:$U$23,0)))*(VLOOKUP($B203,INDIRECT($B$5&amp;"生成成长"),3))*(VLOOKUP($B$5,标准坦克设计!$B$14:$K$20,9)/30))</f>
        <v>4.3698149013482546</v>
      </c>
      <c r="BK203" s="172">
        <f ca="1">(VLOOKUP(BK$72,INDIRECT($C$5&amp;"生成成长"),2))/((VLOOKUP($B203,INDIRECT($B$5&amp;"生成成长"),4))/(VLOOKUP(BK$72,INDIRECT($C$5&amp;"生成成长"),5))*(VLOOKUP($B$5,标准坦克设计!$B$24:$U$30,MATCH("对"&amp;LEFT($C$5,2)&amp;"输出",标准坦克设计!$B$23:$U$23,0)))*(VLOOKUP($B203,INDIRECT($B$5&amp;"生成成长"),3))*(VLOOKUP($B$5,标准坦克设计!$B$14:$K$20,9)/30))</f>
        <v>4.8625888675807527</v>
      </c>
      <c r="BL203" s="172">
        <f ca="1">(VLOOKUP(BL$72,INDIRECT($C$5&amp;"生成成长"),2))/((VLOOKUP($B203,INDIRECT($B$5&amp;"生成成长"),4))/(VLOOKUP(BL$72,INDIRECT($C$5&amp;"生成成长"),5))*(VLOOKUP($B$5,标准坦克设计!$B$24:$U$30,MATCH("对"&amp;LEFT($C$5,2)&amp;"输出",标准坦克设计!$B$23:$U$23,0)))*(VLOOKUP($B203,INDIRECT($B$5&amp;"生成成长"),3))*(VLOOKUP($B$5,标准坦克设计!$B$14:$K$20,9)/30))</f>
        <v>5.3816831050066778</v>
      </c>
      <c r="BM203" s="172">
        <f ca="1">(VLOOKUP(BM$72,INDIRECT($C$5&amp;"生成成长"),2))/((VLOOKUP($B203,INDIRECT($B$5&amp;"生成成长"),4))/(VLOOKUP(BM$72,INDIRECT($C$5&amp;"生成成长"),5))*(VLOOKUP($B$5,标准坦克设计!$B$24:$U$30,MATCH("对"&amp;LEFT($C$5,2)&amp;"输出",标准坦克设计!$B$23:$U$23,0)))*(VLOOKUP($B203,INDIRECT($B$5&amp;"生成成长"),3))*(VLOOKUP($B$5,标准坦克设计!$B$14:$K$20,9)/30))</f>
        <v>5.9270976136260289</v>
      </c>
      <c r="BN203" s="172">
        <f ca="1">(VLOOKUP(BN$72,INDIRECT($C$5&amp;"生成成长"),2))/((VLOOKUP($B203,INDIRECT($B$5&amp;"生成成长"),4))/(VLOOKUP(BN$72,INDIRECT($C$5&amp;"生成成长"),5))*(VLOOKUP($B$5,标准坦克设计!$B$24:$U$30,MATCH("对"&amp;LEFT($C$5,2)&amp;"输出",标准坦克设计!$B$23:$U$23,0)))*(VLOOKUP($B203,INDIRECT($B$5&amp;"生成成长"),3))*(VLOOKUP($B$5,标准坦克设计!$B$14:$K$20,9)/30))</f>
        <v>6.4988323934388079</v>
      </c>
      <c r="BO203" s="172">
        <f ca="1">(VLOOKUP(BO$72,INDIRECT($C$5&amp;"生成成长"),2))/((VLOOKUP($B203,INDIRECT($B$5&amp;"生成成长"),4))/(VLOOKUP(BO$72,INDIRECT($C$5&amp;"生成成长"),5))*(VLOOKUP($B$5,标准坦克设计!$B$24:$U$30,MATCH("对"&amp;LEFT($C$5,2)&amp;"输出",标准坦克设计!$B$23:$U$23,0)))*(VLOOKUP($B203,INDIRECT($B$5&amp;"生成成长"),3))*(VLOOKUP($B$5,标准坦克设计!$B$14:$K$20,9)/30))</f>
        <v>7.0968874444450138</v>
      </c>
      <c r="BP203" s="172">
        <f ca="1">(VLOOKUP(BP$72,INDIRECT($C$5&amp;"生成成长"),2))/((VLOOKUP($B203,INDIRECT($B$5&amp;"生成成长"),4))/(VLOOKUP(BP$72,INDIRECT($C$5&amp;"生成成长"),5))*(VLOOKUP($B$5,标准坦克设计!$B$24:$U$30,MATCH("对"&amp;LEFT($C$5,2)&amp;"输出",标准坦克设计!$B$23:$U$23,0)))*(VLOOKUP($B203,INDIRECT($B$5&amp;"生成成长"),3))*(VLOOKUP($B$5,标准坦克设计!$B$14:$K$20,9)/30))</f>
        <v>7.7212627666446485</v>
      </c>
      <c r="BQ203" s="172">
        <f ca="1">(VLOOKUP(BQ$72,INDIRECT($C$5&amp;"生成成长"),2))/((VLOOKUP($B203,INDIRECT($B$5&amp;"生成成长"),4))/(VLOOKUP(BQ$72,INDIRECT($C$5&amp;"生成成长"),5))*(VLOOKUP($B$5,标准坦克设计!$B$24:$U$30,MATCH("对"&amp;LEFT($C$5,2)&amp;"输出",标准坦克设计!$B$23:$U$23,0)))*(VLOOKUP($B203,INDIRECT($B$5&amp;"生成成长"),3))*(VLOOKUP($B$5,标准坦克设计!$B$14:$K$20,9)/30))</f>
        <v>8.3719583600377074</v>
      </c>
      <c r="BR203" s="172">
        <f ca="1">(VLOOKUP(BR$72,INDIRECT($C$5&amp;"生成成长"),2))/((VLOOKUP($B203,INDIRECT($B$5&amp;"生成成长"),4))/(VLOOKUP(BR$72,INDIRECT($C$5&amp;"生成成长"),5))*(VLOOKUP($B$5,标准坦克设计!$B$24:$U$30,MATCH("对"&amp;LEFT($C$5,2)&amp;"输出",标准坦克设计!$B$23:$U$23,0)))*(VLOOKUP($B203,INDIRECT($B$5&amp;"生成成长"),3))*(VLOOKUP($B$5,标准坦克设计!$B$14:$K$20,9)/30))</f>
        <v>9.1258229176766115</v>
      </c>
      <c r="BS203" s="172">
        <f ca="1">(VLOOKUP(BS$72,INDIRECT($C$5&amp;"生成成长"),2))/((VLOOKUP($B203,INDIRECT($B$5&amp;"生成成长"),4))/(VLOOKUP(BS$72,INDIRECT($C$5&amp;"生成成长"),5))*(VLOOKUP($B$5,标准坦克设计!$B$24:$U$30,MATCH("对"&amp;LEFT($C$5,2)&amp;"输出",标准坦克设计!$B$23:$U$23,0)))*(VLOOKUP($B203,INDIRECT($B$5&amp;"生成成长"),3))*(VLOOKUP($B$5,标准坦克设计!$B$14:$K$20,9)/30))</f>
        <v>9.9121816372827052</v>
      </c>
      <c r="BT203" s="172">
        <f ca="1">(VLOOKUP(BT$72,INDIRECT($C$5&amp;"生成成长"),2))/((VLOOKUP($B203,INDIRECT($B$5&amp;"生成成长"),4))/(VLOOKUP(BT$72,INDIRECT($C$5&amp;"生成成长"),5))*(VLOOKUP($B$5,标准坦克设计!$B$24:$U$30,MATCH("对"&amp;LEFT($C$5,2)&amp;"输出",标准坦克设计!$B$23:$U$23,0)))*(VLOOKUP($B203,INDIRECT($B$5&amp;"生成成长"),3))*(VLOOKUP($B$5,标准坦克设计!$B$14:$K$20,9)/30))</f>
        <v>10.731034518855997</v>
      </c>
      <c r="BU203" s="172">
        <f ca="1">(VLOOKUP(BU$72,INDIRECT($C$5&amp;"生成成长"),2))/((VLOOKUP($B203,INDIRECT($B$5&amp;"生成成长"),4))/(VLOOKUP(BU$72,INDIRECT($C$5&amp;"生成成长"),5))*(VLOOKUP($B$5,标准坦克设计!$B$24:$U$30,MATCH("对"&amp;LEFT($C$5,2)&amp;"输出",标准坦克设计!$B$23:$U$23,0)))*(VLOOKUP($B203,INDIRECT($B$5&amp;"生成成长"),3))*(VLOOKUP($B$5,标准坦克设计!$B$14:$K$20,9)/30))</f>
        <v>11.582381562396479</v>
      </c>
      <c r="BV203" s="172">
        <f ca="1">(VLOOKUP(BV$72,INDIRECT($C$5&amp;"生成成长"),2))/((VLOOKUP($B203,INDIRECT($B$5&amp;"生成成长"),4))/(VLOOKUP(BV$72,INDIRECT($C$5&amp;"生成成长"),5))*(VLOOKUP($B$5,标准坦克设计!$B$24:$U$30,MATCH("对"&amp;LEFT($C$5,2)&amp;"输出",标准坦克设计!$B$23:$U$23,0)))*(VLOOKUP($B203,INDIRECT($B$5&amp;"生成成长"),3))*(VLOOKUP($B$5,标准坦克设计!$B$14:$K$20,9)/30))</f>
        <v>12.466222767904158</v>
      </c>
      <c r="BW203" s="172">
        <f ca="1">(VLOOKUP(BW$72,INDIRECT($C$5&amp;"生成成长"),2))/((VLOOKUP($B203,INDIRECT($B$5&amp;"生成成长"),4))/(VLOOKUP(BW$72,INDIRECT($C$5&amp;"生成成长"),5))*(VLOOKUP($B$5,标准坦克设计!$B$24:$U$30,MATCH("对"&amp;LEFT($C$5,2)&amp;"输出",标准坦克设计!$B$23:$U$23,0)))*(VLOOKUP($B203,INDIRECT($B$5&amp;"生成成长"),3))*(VLOOKUP($B$5,标准坦克设计!$B$14:$K$20,9)/30))</f>
        <v>5.6814417491540423</v>
      </c>
      <c r="BX203" s="172">
        <f ca="1">(VLOOKUP(BX$72,INDIRECT($C$5&amp;"生成成长"),2))/((VLOOKUP($B203,INDIRECT($B$5&amp;"生成成长"),4))/(VLOOKUP(BX$72,INDIRECT($C$5&amp;"生成成长"),5))*(VLOOKUP($B$5,标准坦克设计!$B$24:$U$30,MATCH("对"&amp;LEFT($C$5,2)&amp;"输出",标准坦克设计!$B$23:$U$23,0)))*(VLOOKUP($B203,INDIRECT($B$5&amp;"生成成长"),3))*(VLOOKUP($B$5,标准坦克设计!$B$14:$K$20,9)/30))</f>
        <v>6.3053296589241663</v>
      </c>
      <c r="BY203" s="172">
        <f ca="1">(VLOOKUP(BY$72,INDIRECT($C$5&amp;"生成成长"),2))/((VLOOKUP($B203,INDIRECT($B$5&amp;"生成成长"),4))/(VLOOKUP(BY$72,INDIRECT($C$5&amp;"生成成长"),5))*(VLOOKUP($B$5,标准坦克设计!$B$24:$U$30,MATCH("对"&amp;LEFT($C$5,2)&amp;"输出",标准坦克设计!$B$23:$U$23,0)))*(VLOOKUP($B203,INDIRECT($B$5&amp;"生成成长"),3))*(VLOOKUP($B$5,标准坦克设计!$B$14:$K$20,9)/30))</f>
        <v>6.9617117306614862</v>
      </c>
      <c r="BZ203" s="172">
        <f ca="1">(VLOOKUP(BZ$72,INDIRECT($C$5&amp;"生成成长"),2))/((VLOOKUP($B203,INDIRECT($B$5&amp;"生成成长"),4))/(VLOOKUP(BZ$72,INDIRECT($C$5&amp;"生成成长"),5))*(VLOOKUP($B$5,标准坦克设计!$B$24:$U$30,MATCH("对"&amp;LEFT($C$5,2)&amp;"输出",标准坦克设计!$B$23:$U$23,0)))*(VLOOKUP($B203,INDIRECT($B$5&amp;"生成成长"),3))*(VLOOKUP($B$5,标准坦克设计!$B$14:$K$20,9)/30))</f>
        <v>7.6505879643659993</v>
      </c>
      <c r="CA203" s="172">
        <f ca="1">(VLOOKUP(CA$72,INDIRECT($C$5&amp;"生成成长"),2))/((VLOOKUP($B203,INDIRECT($B$5&amp;"生成成长"),4))/(VLOOKUP(CA$72,INDIRECT($C$5&amp;"生成成长"),5))*(VLOOKUP($B$5,标准坦克设计!$B$24:$U$30,MATCH("对"&amp;LEFT($C$5,2)&amp;"输出",标准坦克设计!$B$23:$U$23,0)))*(VLOOKUP($B203,INDIRECT($B$5&amp;"生成成长"),3))*(VLOOKUP($B$5,标准坦克设计!$B$14:$K$20,9)/30))</f>
        <v>8.3719583600377074</v>
      </c>
      <c r="CB203" s="172">
        <f ca="1">(VLOOKUP(CB$72,INDIRECT($C$5&amp;"生成成长"),2))/((VLOOKUP($B203,INDIRECT($B$5&amp;"生成成长"),4))/(VLOOKUP(CB$72,INDIRECT($C$5&amp;"生成成长"),5))*(VLOOKUP($B$5,标准坦克设计!$B$24:$U$30,MATCH("对"&amp;LEFT($C$5,2)&amp;"输出",标准坦克设计!$B$23:$U$23,0)))*(VLOOKUP($B203,INDIRECT($B$5&amp;"生成成长"),3))*(VLOOKUP($B$5,标准坦克设计!$B$14:$K$20,9)/30))</f>
        <v>9.1258229176766115</v>
      </c>
      <c r="CC203" s="172">
        <f ca="1">(VLOOKUP(CC$72,INDIRECT($C$5&amp;"生成成长"),2))/((VLOOKUP($B203,INDIRECT($B$5&amp;"生成成长"),4))/(VLOOKUP(CC$72,INDIRECT($C$5&amp;"生成成长"),5))*(VLOOKUP($B$5,标准坦克设计!$B$24:$U$30,MATCH("对"&amp;LEFT($C$5,2)&amp;"输出",标准坦克设计!$B$23:$U$23,0)))*(VLOOKUP($B203,INDIRECT($B$5&amp;"生成成长"),3))*(VLOOKUP($B$5,标准坦克设计!$B$14:$K$20,9)/30))</f>
        <v>9.9121816372827052</v>
      </c>
      <c r="CD203" s="172">
        <f ca="1">(VLOOKUP(CD$72,INDIRECT($C$5&amp;"生成成长"),2))/((VLOOKUP($B203,INDIRECT($B$5&amp;"生成成长"),4))/(VLOOKUP(CD$72,INDIRECT($C$5&amp;"生成成长"),5))*(VLOOKUP($B$5,标准坦克设计!$B$24:$U$30,MATCH("对"&amp;LEFT($C$5,2)&amp;"输出",标准坦克设计!$B$23:$U$23,0)))*(VLOOKUP($B203,INDIRECT($B$5&amp;"生成成长"),3))*(VLOOKUP($B$5,标准坦克设计!$B$14:$K$20,9)/30))</f>
        <v>10.731034518855997</v>
      </c>
      <c r="CE203" s="172">
        <f ca="1">(VLOOKUP(CE$72,INDIRECT($C$5&amp;"生成成长"),2))/((VLOOKUP($B203,INDIRECT($B$5&amp;"生成成长"),4))/(VLOOKUP(CE$72,INDIRECT($C$5&amp;"生成成长"),5))*(VLOOKUP($B$5,标准坦克设计!$B$24:$U$30,MATCH("对"&amp;LEFT($C$5,2)&amp;"输出",标准坦克设计!$B$23:$U$23,0)))*(VLOOKUP($B203,INDIRECT($B$5&amp;"生成成长"),3))*(VLOOKUP($B$5,标准坦克设计!$B$14:$K$20,9)/30))</f>
        <v>11.582381562396479</v>
      </c>
      <c r="CF203" s="172">
        <f ca="1">(VLOOKUP(CF$72,INDIRECT($C$5&amp;"生成成长"),2))/((VLOOKUP($B203,INDIRECT($B$5&amp;"生成成长"),4))/(VLOOKUP(CF$72,INDIRECT($C$5&amp;"生成成长"),5))*(VLOOKUP($B$5,标准坦克设计!$B$24:$U$30,MATCH("对"&amp;LEFT($C$5,2)&amp;"输出",标准坦克设计!$B$23:$U$23,0)))*(VLOOKUP($B203,INDIRECT($B$5&amp;"生成成长"),3))*(VLOOKUP($B$5,标准坦克设计!$B$14:$K$20,9)/30))</f>
        <v>12.466222767904158</v>
      </c>
      <c r="CG203" s="172">
        <f ca="1">(VLOOKUP(CG$72,INDIRECT($C$5&amp;"生成成长"),2))/((VLOOKUP($B203,INDIRECT($B$5&amp;"生成成长"),4))/(VLOOKUP(CG$72,INDIRECT($C$5&amp;"生成成长"),5))*(VLOOKUP($B$5,标准坦克设计!$B$24:$U$30,MATCH("对"&amp;LEFT($C$5,2)&amp;"输出",标准坦克设计!$B$23:$U$23,0)))*(VLOOKUP($B203,INDIRECT($B$5&amp;"生成成长"),3))*(VLOOKUP($B$5,标准坦克设计!$B$14:$K$20,9)/30))</f>
        <v>13.38255813537903</v>
      </c>
      <c r="CH203" s="172">
        <f ca="1">(VLOOKUP(CH$72,INDIRECT($C$5&amp;"生成成长"),2))/((VLOOKUP($B203,INDIRECT($B$5&amp;"生成成长"),4))/(VLOOKUP(CH$72,INDIRECT($C$5&amp;"生成成长"),5))*(VLOOKUP($B$5,标准坦克设计!$B$24:$U$30,MATCH("对"&amp;LEFT($C$5,2)&amp;"输出",标准坦克设计!$B$23:$U$23,0)))*(VLOOKUP($B203,INDIRECT($B$5&amp;"生成成长"),3))*(VLOOKUP($B$5,标准坦克设计!$B$14:$K$20,9)/30))</f>
        <v>14.331387664821095</v>
      </c>
      <c r="CI203" s="172">
        <f ca="1">(VLOOKUP(CI$72,INDIRECT($C$5&amp;"生成成长"),2))/((VLOOKUP($B203,INDIRECT($B$5&amp;"生成成长"),4))/(VLOOKUP(CI$72,INDIRECT($C$5&amp;"生成成长"),5))*(VLOOKUP($B$5,标准坦克设计!$B$24:$U$30,MATCH("对"&amp;LEFT($C$5,2)&amp;"输出",标准坦克设计!$B$23:$U$23,0)))*(VLOOKUP($B203,INDIRECT($B$5&amp;"生成成长"),3))*(VLOOKUP($B$5,标准坦克设计!$B$14:$K$20,9)/30))</f>
        <v>15.412630904279476</v>
      </c>
      <c r="CJ203" s="172">
        <f ca="1">(VLOOKUP(CJ$72,INDIRECT($C$5&amp;"生成成长"),2))/((VLOOKUP($B203,INDIRECT($B$5&amp;"生成成长"),4))/(VLOOKUP(CJ$72,INDIRECT($C$5&amp;"生成成长"),5))*(VLOOKUP($B$5,标准坦克设计!$B$24:$U$30,MATCH("对"&amp;LEFT($C$5,2)&amp;"输出",标准坦克设计!$B$23:$U$23,0)))*(VLOOKUP($B203,INDIRECT($B$5&amp;"生成成长"),3))*(VLOOKUP($B$5,标准坦克设计!$B$14:$K$20,9)/30))</f>
        <v>16.533192079718166</v>
      </c>
      <c r="CK203" s="172">
        <f ca="1">(VLOOKUP(CK$72,INDIRECT($C$5&amp;"生成成长"),2))/((VLOOKUP($B203,INDIRECT($B$5&amp;"生成成长"),4))/(VLOOKUP(CK$72,INDIRECT($C$5&amp;"生成成长"),5))*(VLOOKUP($B$5,标准坦克设计!$B$24:$U$30,MATCH("对"&amp;LEFT($C$5,2)&amp;"输出",标准坦克设计!$B$23:$U$23,0)))*(VLOOKUP($B203,INDIRECT($B$5&amp;"生成成长"),3))*(VLOOKUP($B$5,标准坦克设计!$B$14:$K$20,9)/30))</f>
        <v>17.693071191137154</v>
      </c>
      <c r="CL203" s="172">
        <f ca="1">(VLOOKUP(CL$72,INDIRECT($C$5&amp;"生成成长"),2))/((VLOOKUP($B203,INDIRECT($B$5&amp;"生成成长"),4))/(VLOOKUP(CL$72,INDIRECT($C$5&amp;"生成成长"),5))*(VLOOKUP($B$5,标准坦克设计!$B$24:$U$30,MATCH("对"&amp;LEFT($C$5,2)&amp;"输出",标准坦克设计!$B$23:$U$23,0)))*(VLOOKUP($B203,INDIRECT($B$5&amp;"生成成长"),3))*(VLOOKUP($B$5,标准坦克设计!$B$14:$K$20,9)/30))</f>
        <v>18.892268238536452</v>
      </c>
      <c r="CM203" s="172">
        <f ca="1">(VLOOKUP(CM$72,INDIRECT($C$5&amp;"生成成长"),2))/((VLOOKUP($B203,INDIRECT($B$5&amp;"生成成长"),4))/(VLOOKUP(CM$72,INDIRECT($C$5&amp;"生成成长"),5))*(VLOOKUP($B$5,标准坦克设计!$B$24:$U$30,MATCH("对"&amp;LEFT($C$5,2)&amp;"输出",标准坦克设计!$B$23:$U$23,0)))*(VLOOKUP($B203,INDIRECT($B$5&amp;"生成成长"),3))*(VLOOKUP($B$5,标准坦克设计!$B$14:$K$20,9)/30))</f>
        <v>20.130783221916051</v>
      </c>
      <c r="CN203" s="172">
        <f ca="1">(VLOOKUP(CN$72,INDIRECT($C$5&amp;"生成成长"),2))/((VLOOKUP($B203,INDIRECT($B$5&amp;"生成成长"),4))/(VLOOKUP(CN$72,INDIRECT($C$5&amp;"生成成长"),5))*(VLOOKUP($B$5,标准坦克设计!$B$24:$U$30,MATCH("对"&amp;LEFT($C$5,2)&amp;"输出",标准坦克设计!$B$23:$U$23,0)))*(VLOOKUP($B203,INDIRECT($B$5&amp;"生成成长"),3))*(VLOOKUP($B$5,标准坦克设计!$B$14:$K$20,9)/30))</f>
        <v>21.408616141275957</v>
      </c>
      <c r="CO203" s="172">
        <f ca="1">(VLOOKUP(CO$72,INDIRECT($C$5&amp;"生成成长"),2))/((VLOOKUP($B203,INDIRECT($B$5&amp;"生成成长"),4))/(VLOOKUP(CO$72,INDIRECT($C$5&amp;"生成成长"),5))*(VLOOKUP($B$5,标准坦克设计!$B$24:$U$30,MATCH("对"&amp;LEFT($C$5,2)&amp;"输出",标准坦克设计!$B$23:$U$23,0)))*(VLOOKUP($B203,INDIRECT($B$5&amp;"生成成长"),3))*(VLOOKUP($B$5,标准坦克设计!$B$14:$K$20,9)/30))</f>
        <v>9.593738850004204</v>
      </c>
      <c r="CP203" s="172">
        <f ca="1">(VLOOKUP(CP$72,INDIRECT($C$5&amp;"生成成长"),2))/((VLOOKUP($B203,INDIRECT($B$5&amp;"生成成长"),4))/(VLOOKUP(CP$72,INDIRECT($C$5&amp;"生成成长"),5))*(VLOOKUP($B$5,标准坦克设计!$B$24:$U$30,MATCH("对"&amp;LEFT($C$5,2)&amp;"输出",标准坦克设计!$B$23:$U$23,0)))*(VLOOKUP($B203,INDIRECT($B$5&amp;"生成成长"),3))*(VLOOKUP($B$5,标准坦克设计!$B$14:$K$20,9)/30))</f>
        <v>10.481966767377452</v>
      </c>
      <c r="CQ203" s="172">
        <f ca="1">(VLOOKUP(CQ$72,INDIRECT($C$5&amp;"生成成长"),2))/((VLOOKUP($B203,INDIRECT($B$5&amp;"生成成长"),4))/(VLOOKUP(CQ$72,INDIRECT($C$5&amp;"生成成长"),5))*(VLOOKUP($B$5,标准坦克设计!$B$24:$U$30,MATCH("对"&amp;LEFT($C$5,2)&amp;"输出",标准坦克设计!$B$23:$U$23,0)))*(VLOOKUP($B203,INDIRECT($B$5&amp;"生成成长"),3))*(VLOOKUP($B$5,标准坦克设计!$B$14:$K$20,9)/30))</f>
        <v>11.409512620731007</v>
      </c>
      <c r="CR203" s="172">
        <f ca="1">(VLOOKUP(CR$72,INDIRECT($C$5&amp;"生成成长"),2))/((VLOOKUP($B203,INDIRECT($B$5&amp;"生成成长"),4))/(VLOOKUP(CR$72,INDIRECT($C$5&amp;"生成成长"),5))*(VLOOKUP($B$5,标准坦克设计!$B$24:$U$30,MATCH("对"&amp;LEFT($C$5,2)&amp;"输出",标准坦克设计!$B$23:$U$23,0)))*(VLOOKUP($B203,INDIRECT($B$5&amp;"生成成长"),3))*(VLOOKUP($B$5,标准坦克设计!$B$14:$K$20,9)/30))</f>
        <v>12.376376410064864</v>
      </c>
      <c r="CS203" s="172">
        <f ca="1">(VLOOKUP(CS$72,INDIRECT($C$5&amp;"生成成长"),2))/((VLOOKUP($B203,INDIRECT($B$5&amp;"生成成长"),4))/(VLOOKUP(CS$72,INDIRECT($C$5&amp;"生成成长"),5))*(VLOOKUP($B$5,标准坦克设计!$B$24:$U$30,MATCH("对"&amp;LEFT($C$5,2)&amp;"输出",标准坦克设计!$B$23:$U$23,0)))*(VLOOKUP($B203,INDIRECT($B$5&amp;"生成成长"),3))*(VLOOKUP($B$5,标准坦克设计!$B$14:$K$20,9)/30))</f>
        <v>13.38255813537903</v>
      </c>
      <c r="CT203" s="172">
        <f ca="1">(VLOOKUP(CT$72,INDIRECT($C$5&amp;"生成成长"),2))/((VLOOKUP($B203,INDIRECT($B$5&amp;"生成成长"),4))/(VLOOKUP(CT$72,INDIRECT($C$5&amp;"生成成长"),5))*(VLOOKUP($B$5,标准坦克设计!$B$24:$U$30,MATCH("对"&amp;LEFT($C$5,2)&amp;"输出",标准坦克设计!$B$23:$U$23,0)))*(VLOOKUP($B203,INDIRECT($B$5&amp;"生成成长"),3))*(VLOOKUP($B$5,标准坦克设计!$B$14:$K$20,9)/30))</f>
        <v>14.428057796673498</v>
      </c>
      <c r="CU203" s="172">
        <f ca="1">(VLOOKUP(CU$72,INDIRECT($C$5&amp;"生成成长"),2))/((VLOOKUP($B203,INDIRECT($B$5&amp;"生成成长"),4))/(VLOOKUP(CU$72,INDIRECT($C$5&amp;"生成成长"),5))*(VLOOKUP($B$5,标准坦克设计!$B$24:$U$30,MATCH("对"&amp;LEFT($C$5,2)&amp;"输出",标准坦克设计!$B$23:$U$23,0)))*(VLOOKUP($B203,INDIRECT($B$5&amp;"生成成长"),3))*(VLOOKUP($B$5,标准坦克设计!$B$14:$K$20,9)/30))</f>
        <v>15.512875393948267</v>
      </c>
      <c r="CV203" s="172">
        <f ca="1">(VLOOKUP(CV$72,INDIRECT($C$5&amp;"生成成长"),2))/((VLOOKUP($B203,INDIRECT($B$5&amp;"生成成长"),4))/(VLOOKUP(CV$72,INDIRECT($C$5&amp;"生成成长"),5))*(VLOOKUP($B$5,标准坦克设计!$B$24:$U$30,MATCH("对"&amp;LEFT($C$5,2)&amp;"输出",标准坦克设计!$B$23:$U$23,0)))*(VLOOKUP($B203,INDIRECT($B$5&amp;"生成成长"),3))*(VLOOKUP($B$5,标准坦克设计!$B$14:$K$20,9)/30))</f>
        <v>16.637010927203345</v>
      </c>
      <c r="CW203" s="172">
        <f ca="1">(VLOOKUP(CW$72,INDIRECT($C$5&amp;"生成成长"),2))/((VLOOKUP($B203,INDIRECT($B$5&amp;"生成成长"),4))/(VLOOKUP(CW$72,INDIRECT($C$5&amp;"生成成长"),5))*(VLOOKUP($B$5,标准坦克设计!$B$24:$U$30,MATCH("对"&amp;LEFT($C$5,2)&amp;"输出",标准坦克设计!$B$23:$U$23,0)))*(VLOOKUP($B203,INDIRECT($B$5&amp;"生成成长"),3))*(VLOOKUP($B$5,标准坦克设计!$B$14:$K$20,9)/30))</f>
        <v>17.800464396438731</v>
      </c>
      <c r="CX203" s="172">
        <f ca="1">(VLOOKUP(CX$72,INDIRECT($C$5&amp;"生成成长"),2))/((VLOOKUP($B203,INDIRECT($B$5&amp;"生成成长"),4))/(VLOOKUP(CX$72,INDIRECT($C$5&amp;"生成成长"),5))*(VLOOKUP($B$5,标准坦克设计!$B$24:$U$30,MATCH("对"&amp;LEFT($C$5,2)&amp;"输出",标准坦克设计!$B$23:$U$23,0)))*(VLOOKUP($B203,INDIRECT($B$5&amp;"生成成长"),3))*(VLOOKUP($B$5,标准坦克设计!$B$14:$K$20,9)/30))</f>
        <v>19.003235801654419</v>
      </c>
      <c r="CY203" s="172">
        <f ca="1">(VLOOKUP(CY$72,INDIRECT($C$5&amp;"生成成长"),2))/((VLOOKUP($B203,INDIRECT($B$5&amp;"生成成长"),4))/(VLOOKUP(CY$72,INDIRECT($C$5&amp;"生成成长"),5))*(VLOOKUP($B$5,标准坦克设计!$B$24:$U$30,MATCH("对"&amp;LEFT($C$5,2)&amp;"输出",标准坦克设计!$B$23:$U$23,0)))*(VLOOKUP($B203,INDIRECT($B$5&amp;"生成成长"),3))*(VLOOKUP($B$5,标准坦克设计!$B$14:$K$20,9)/30))</f>
        <v>20.245325142850412</v>
      </c>
      <c r="CZ203" s="172">
        <f ca="1">(VLOOKUP(CZ$72,INDIRECT($C$5&amp;"生成成长"),2))/((VLOOKUP($B203,INDIRECT($B$5&amp;"生成成长"),4))/(VLOOKUP(CZ$72,INDIRECT($C$5&amp;"生成成长"),5))*(VLOOKUP($B$5,标准坦克设计!$B$24:$U$30,MATCH("对"&amp;LEFT($C$5,2)&amp;"输出",标准坦克设计!$B$23:$U$23,0)))*(VLOOKUP($B203,INDIRECT($B$5&amp;"生成成长"),3))*(VLOOKUP($B$5,标准坦克设计!$B$14:$K$20,9)/30))</f>
        <v>21.526732420026711</v>
      </c>
      <c r="DA203" s="172">
        <f ca="1">(VLOOKUP(DA$72,INDIRECT($C$5&amp;"生成成长"),2))/((VLOOKUP($B203,INDIRECT($B$5&amp;"生成成长"),4))/(VLOOKUP(DA$72,INDIRECT($C$5&amp;"生成成长"),5))*(VLOOKUP($B$5,标准坦克设计!$B$24:$U$30,MATCH("对"&amp;LEFT($C$5,2)&amp;"输出",标准坦克设计!$B$23:$U$23,0)))*(VLOOKUP($B203,INDIRECT($B$5&amp;"生成成长"),3))*(VLOOKUP($B$5,标准坦克设计!$B$14:$K$20,9)/30))</f>
        <v>22.847457633183311</v>
      </c>
      <c r="DB203" s="172">
        <f ca="1">(VLOOKUP(DB$72,INDIRECT($C$5&amp;"生成成长"),2))/((VLOOKUP($B203,INDIRECT($B$5&amp;"生成成长"),4))/(VLOOKUP(DB$72,INDIRECT($C$5&amp;"生成成长"),5))*(VLOOKUP($B$5,标准坦克设计!$B$24:$U$30,MATCH("对"&amp;LEFT($C$5,2)&amp;"输出",标准坦克设计!$B$23:$U$23,0)))*(VLOOKUP($B203,INDIRECT($B$5&amp;"生成成长"),3))*(VLOOKUP($B$5,标准坦克设计!$B$14:$K$20,9)/30))</f>
        <v>24.207500782320214</v>
      </c>
      <c r="DC203" s="172">
        <f ca="1">(VLOOKUP(DC$72,INDIRECT($C$5&amp;"生成成长"),2))/((VLOOKUP($B203,INDIRECT($B$5&amp;"生成成长"),4))/(VLOOKUP(DC$72,INDIRECT($C$5&amp;"生成成长"),5))*(VLOOKUP($B$5,标准坦克设计!$B$24:$U$30,MATCH("对"&amp;LEFT($C$5,2)&amp;"输出",标准坦克设计!$B$23:$U$23,0)))*(VLOOKUP($B203,INDIRECT($B$5&amp;"生成成长"),3))*(VLOOKUP($B$5,标准坦克设计!$B$14:$K$20,9)/30))</f>
        <v>25.736026161257023</v>
      </c>
      <c r="DD203" s="172">
        <f ca="1">(VLOOKUP(DD$72,INDIRECT($C$5&amp;"生成成长"),2))/((VLOOKUP($B203,INDIRECT($B$5&amp;"生成成长"),4))/(VLOOKUP(DD$72,INDIRECT($C$5&amp;"生成成长"),5))*(VLOOKUP($B$5,标准坦克设计!$B$24:$U$30,MATCH("对"&amp;LEFT($C$5,2)&amp;"输出",标准坦克设计!$B$23:$U$23,0)))*(VLOOKUP($B203,INDIRECT($B$5&amp;"生成成长"),3))*(VLOOKUP($B$5,标准坦克设计!$B$14:$K$20,9)/30))</f>
        <v>27.311343133426593</v>
      </c>
      <c r="DE203" s="172">
        <f ca="1">(VLOOKUP(DE$72,INDIRECT($C$5&amp;"生成成长"),2))/((VLOOKUP($B203,INDIRECT($B$5&amp;"生成成长"),4))/(VLOOKUP(DE$72,INDIRECT($C$5&amp;"生成成长"),5))*(VLOOKUP($B$5,标准坦克设计!$B$24:$U$30,MATCH("对"&amp;LEFT($C$5,2)&amp;"输出",标准坦克设计!$B$23:$U$23,0)))*(VLOOKUP($B203,INDIRECT($B$5&amp;"生成成长"),3))*(VLOOKUP($B$5,标准坦克设计!$B$14:$K$20,9)/30))</f>
        <v>28.933451698828915</v>
      </c>
      <c r="DF203" s="172">
        <f ca="1">(VLOOKUP(DF$72,INDIRECT($C$5&amp;"生成成长"),2))/((VLOOKUP($B203,INDIRECT($B$5&amp;"生成成长"),4))/(VLOOKUP(DF$72,INDIRECT($C$5&amp;"生成成长"),5))*(VLOOKUP($B$5,标准坦克设计!$B$24:$U$30,MATCH("对"&amp;LEFT($C$5,2)&amp;"输出",标准坦克设计!$B$23:$U$23,0)))*(VLOOKUP($B203,INDIRECT($B$5&amp;"生成成长"),3))*(VLOOKUP($B$5,标准坦克设计!$B$14:$K$20,9)/30))</f>
        <v>30.602351857463997</v>
      </c>
      <c r="DG203" s="172">
        <f ca="1">(VLOOKUP(DG$72,INDIRECT($C$5&amp;"生成成长"),2))/((VLOOKUP($B203,INDIRECT($B$5&amp;"生成成长"),4))/(VLOOKUP(DG$72,INDIRECT($C$5&amp;"生成成长"),5))*(VLOOKUP($B$5,标准坦克设计!$B$24:$U$30,MATCH("对"&amp;LEFT($C$5,2)&amp;"输出",标准坦克设计!$B$23:$U$23,0)))*(VLOOKUP($B203,INDIRECT($B$5&amp;"生成成长"),3))*(VLOOKUP($B$5,标准坦克设计!$B$14:$K$20,9)/30))</f>
        <v>32.318043609331845</v>
      </c>
      <c r="DH203" s="172">
        <f ca="1">(VLOOKUP(DH$72,INDIRECT($C$5&amp;"生成成长"),2))/((VLOOKUP($B203,INDIRECT($B$5&amp;"生成成长"),4))/(VLOOKUP(DH$72,INDIRECT($C$5&amp;"生成成长"),5))*(VLOOKUP($B$5,标准坦克设计!$B$24:$U$30,MATCH("对"&amp;LEFT($C$5,2)&amp;"输出",标准坦克设计!$B$23:$U$23,0)))*(VLOOKUP($B203,INDIRECT($B$5&amp;"生成成长"),3))*(VLOOKUP($B$5,标准坦克设计!$B$14:$K$20,9)/30))</f>
        <v>34.08052695443245</v>
      </c>
      <c r="DI203" s="172">
        <f ca="1">(VLOOKUP(DI$72,INDIRECT($C$5&amp;"生成成长"),2))/((VLOOKUP($B203,INDIRECT($B$5&amp;"生成成长"),4))/(VLOOKUP(DI$72,INDIRECT($C$5&amp;"生成成长"),5))*(VLOOKUP($B$5,标准坦克设计!$B$24:$U$30,MATCH("对"&amp;LEFT($C$5,2)&amp;"输出",标准坦克设计!$B$23:$U$23,0)))*(VLOOKUP($B203,INDIRECT($B$5&amp;"生成成长"),3))*(VLOOKUP($B$5,标准坦克设计!$B$14:$K$20,9)/30))</f>
        <v>35.889801892765817</v>
      </c>
      <c r="DJ203" s="172">
        <f ca="1">(VLOOKUP(DJ$72,INDIRECT($C$5&amp;"生成成长"),2))/((VLOOKUP($B203,INDIRECT($B$5&amp;"生成成长"),4))/(VLOOKUP(DJ$72,INDIRECT($C$5&amp;"生成成长"),5))*(VLOOKUP($B$5,标准坦克设计!$B$24:$U$30,MATCH("对"&amp;LEFT($C$5,2)&amp;"输出",标准坦克设计!$B$23:$U$23,0)))*(VLOOKUP($B203,INDIRECT($B$5&amp;"生成成长"),3))*(VLOOKUP($B$5,标准坦克设计!$B$14:$K$20,9)/30))</f>
        <v>3.6070144491683744</v>
      </c>
      <c r="DK203" s="172">
        <f ca="1">(VLOOKUP(DK$72,INDIRECT($C$5&amp;"生成成长"),2))/((VLOOKUP($B203,INDIRECT($B$5&amp;"生成成长"),4))/(VLOOKUP(DK$72,INDIRECT($C$5&amp;"生成成长"),5))*(VLOOKUP($B$5,标准坦克设计!$B$24:$U$30,MATCH("对"&amp;LEFT($C$5,2)&amp;"输出",标准坦克设计!$B$23:$U$23,0)))*(VLOOKUP($B203,INDIRECT($B$5&amp;"生成成长"),3))*(VLOOKUP($B$5,标准坦克设计!$B$14:$K$20,9)/30))</f>
        <v>4.0559212967451597</v>
      </c>
      <c r="DL203" s="172">
        <f ca="1">(VLOOKUP(DL$72,INDIRECT($C$5&amp;"生成成长"),2))/((VLOOKUP($B203,INDIRECT($B$5&amp;"生成成长"),4))/(VLOOKUP(DL$72,INDIRECT($C$5&amp;"生成成长"),5))*(VLOOKUP($B$5,标准坦克设计!$B$24:$U$30,MATCH("对"&amp;LEFT($C$5,2)&amp;"输出",标准坦克设计!$B$23:$U$23,0)))*(VLOOKUP($B203,INDIRECT($B$5&amp;"生成成长"),3))*(VLOOKUP($B$5,标准坦克设计!$B$14:$K$20,9)/30))</f>
        <v>4.5311484155153732</v>
      </c>
      <c r="DM203" s="172">
        <f ca="1">(VLOOKUP(DM$72,INDIRECT($C$5&amp;"生成成长"),2))/((VLOOKUP($B203,INDIRECT($B$5&amp;"生成成长"),4))/(VLOOKUP(DM$72,INDIRECT($C$5&amp;"生成成长"),5))*(VLOOKUP($B$5,标准坦克设计!$B$24:$U$30,MATCH("对"&amp;LEFT($C$5,2)&amp;"输出",标准坦克设计!$B$23:$U$23,0)))*(VLOOKUP($B203,INDIRECT($B$5&amp;"生成成长"),3))*(VLOOKUP($B$5,标准坦克设计!$B$14:$K$20,9)/30))</f>
        <v>5.0326958054790127</v>
      </c>
      <c r="DN203" s="172">
        <f ca="1">(VLOOKUP(DN$72,INDIRECT($C$5&amp;"生成成长"),2))/((VLOOKUP($B203,INDIRECT($B$5&amp;"生成成长"),4))/(VLOOKUP(DN$72,INDIRECT($C$5&amp;"生成成长"),5))*(VLOOKUP($B$5,标准坦克设计!$B$24:$U$30,MATCH("对"&amp;LEFT($C$5,2)&amp;"输出",标准坦克设计!$B$23:$U$23,0)))*(VLOOKUP($B203,INDIRECT($B$5&amp;"生成成长"),3))*(VLOOKUP($B$5,标准坦克设计!$B$14:$K$20,9)/30))</f>
        <v>5.5605634666360793</v>
      </c>
      <c r="DO203" s="172">
        <f ca="1">(VLOOKUP(DO$72,INDIRECT($C$5&amp;"生成成长"),2))/((VLOOKUP($B203,INDIRECT($B$5&amp;"生成成长"),4))/(VLOOKUP(DO$72,INDIRECT($C$5&amp;"生成成长"),5))*(VLOOKUP($B$5,标准坦克设计!$B$24:$U$30,MATCH("对"&amp;LEFT($C$5,2)&amp;"输出",标准坦克设计!$B$23:$U$23,0)))*(VLOOKUP($B203,INDIRECT($B$5&amp;"生成成长"),3))*(VLOOKUP($B$5,标准坦克设计!$B$14:$K$20,9)/30))</f>
        <v>6.1147513989865736</v>
      </c>
      <c r="DP203" s="172">
        <f ca="1">(VLOOKUP(DP$72,INDIRECT($C$5&amp;"生成成长"),2))/((VLOOKUP($B203,INDIRECT($B$5&amp;"生成成长"),4))/(VLOOKUP(DP$72,INDIRECT($C$5&amp;"生成成长"),5))*(VLOOKUP($B$5,标准坦克设计!$B$24:$U$30,MATCH("对"&amp;LEFT($C$5,2)&amp;"输出",标准坦克设计!$B$23:$U$23,0)))*(VLOOKUP($B203,INDIRECT($B$5&amp;"生成成长"),3))*(VLOOKUP($B$5,标准坦克设计!$B$14:$K$20,9)/30))</f>
        <v>6.6952596025304949</v>
      </c>
      <c r="DQ203" s="172">
        <f ca="1">(VLOOKUP(DQ$72,INDIRECT($C$5&amp;"生成成长"),2))/((VLOOKUP($B203,INDIRECT($B$5&amp;"生成成长"),4))/(VLOOKUP(DQ$72,INDIRECT($C$5&amp;"生成成长"),5))*(VLOOKUP($B$5,标准坦克设计!$B$24:$U$30,MATCH("对"&amp;LEFT($C$5,2)&amp;"输出",标准坦克设计!$B$23:$U$23,0)))*(VLOOKUP($B203,INDIRECT($B$5&amp;"生成成长"),3))*(VLOOKUP($B$5,标准坦克设计!$B$14:$K$20,9)/30))</f>
        <v>7.302088077267844</v>
      </c>
      <c r="DR203" s="172">
        <f ca="1">(VLOOKUP(DR$72,INDIRECT($C$5&amp;"生成成长"),2))/((VLOOKUP($B203,INDIRECT($B$5&amp;"生成成长"),4))/(VLOOKUP(DR$72,INDIRECT($C$5&amp;"生成成长"),5))*(VLOOKUP($B$5,标准坦克设计!$B$24:$U$30,MATCH("对"&amp;LEFT($C$5,2)&amp;"输出",标准坦克设计!$B$23:$U$23,0)))*(VLOOKUP($B203,INDIRECT($B$5&amp;"生成成长"),3))*(VLOOKUP($B$5,标准坦克设计!$B$14:$K$20,9)/30))</f>
        <v>7.9352368231986192</v>
      </c>
      <c r="DS203" s="172">
        <f ca="1">(VLOOKUP(DS$72,INDIRECT($C$5&amp;"生成成长"),2))/((VLOOKUP($B203,INDIRECT($B$5&amp;"生成成长"),4))/(VLOOKUP(DS$72,INDIRECT($C$5&amp;"生成成长"),5))*(VLOOKUP($B$5,标准坦克设计!$B$24:$U$30,MATCH("对"&amp;LEFT($C$5,2)&amp;"输出",标准坦克设计!$B$23:$U$23,0)))*(VLOOKUP($B203,INDIRECT($B$5&amp;"生成成长"),3))*(VLOOKUP($B$5,标准坦克设计!$B$14:$K$20,9)/30))</f>
        <v>8.594705840322824</v>
      </c>
      <c r="DT203" s="172">
        <f ca="1">(VLOOKUP(DT$72,INDIRECT($C$5&amp;"生成成长"),2))/((VLOOKUP($B203,INDIRECT($B$5&amp;"生成成长"),4))/(VLOOKUP(DT$72,INDIRECT($C$5&amp;"生成成长"),5))*(VLOOKUP($B$5,标准坦克设计!$B$24:$U$30,MATCH("对"&amp;LEFT($C$5,2)&amp;"输出",标准坦克设计!$B$23:$U$23,0)))*(VLOOKUP($B203,INDIRECT($B$5&amp;"生成成长"),3))*(VLOOKUP($B$5,标准坦克设计!$B$14:$K$20,9)/30))</f>
        <v>9.4364671060829846</v>
      </c>
      <c r="DU203" s="172">
        <f ca="1">(VLOOKUP(DU$72,INDIRECT($C$5&amp;"生成成长"),2))/((VLOOKUP($B203,INDIRECT($B$5&amp;"生成成长"),4))/(VLOOKUP(DU$72,INDIRECT($C$5&amp;"生成成长"),5))*(VLOOKUP($B$5,标准坦克设计!$B$24:$U$30,MATCH("对"&amp;LEFT($C$5,2)&amp;"输出",标准坦克设计!$B$23:$U$23,0)))*(VLOOKUP($B203,INDIRECT($B$5&amp;"生成成长"),3))*(VLOOKUP($B$5,标准坦克设计!$B$14:$K$20,9)/30))</f>
        <v>10.31754630782345</v>
      </c>
      <c r="DV203" s="172">
        <f ca="1">(VLOOKUP(DV$72,INDIRECT($C$5&amp;"生成成长"),2))/((VLOOKUP($B203,INDIRECT($B$5&amp;"生成成长"),4))/(VLOOKUP(DV$72,INDIRECT($C$5&amp;"生成成长"),5))*(VLOOKUP($B$5,标准坦克设计!$B$24:$U$30,MATCH("对"&amp;LEFT($C$5,2)&amp;"输出",标准坦克设计!$B$23:$U$23,0)))*(VLOOKUP($B203,INDIRECT($B$5&amp;"生成成长"),3))*(VLOOKUP($B$5,标准坦克设计!$B$14:$K$20,9)/30))</f>
        <v>11.237943445544222</v>
      </c>
      <c r="DW203" s="172">
        <f ca="1">(VLOOKUP(DW$72,INDIRECT($C$5&amp;"生成成长"),2))/((VLOOKUP($B203,INDIRECT($B$5&amp;"生成成长"),4))/(VLOOKUP(DW$72,INDIRECT($C$5&amp;"生成成长"),5))*(VLOOKUP($B$5,标准坦克设计!$B$24:$U$30,MATCH("对"&amp;LEFT($C$5,2)&amp;"输出",标准坦克设计!$B$23:$U$23,0)))*(VLOOKUP($B203,INDIRECT($B$5&amp;"生成成长"),3))*(VLOOKUP($B$5,标准坦克设计!$B$14:$K$20,9)/30))</f>
        <v>12.197658519245296</v>
      </c>
      <c r="DX203" s="172">
        <f ca="1">(VLOOKUP(DX$72,INDIRECT($C$5&amp;"生成成长"),2))/((VLOOKUP($B203,INDIRECT($B$5&amp;"生成成长"),4))/(VLOOKUP(DX$72,INDIRECT($C$5&amp;"生成成长"),5))*(VLOOKUP($B$5,标准坦克设计!$B$24:$U$30,MATCH("对"&amp;LEFT($C$5,2)&amp;"输出",标准坦克设计!$B$23:$U$23,0)))*(VLOOKUP($B203,INDIRECT($B$5&amp;"生成成长"),3))*(VLOOKUP($B$5,标准坦克设计!$B$14:$K$20,9)/30))</f>
        <v>13.196691528926678</v>
      </c>
      <c r="DY203" s="172">
        <f ca="1">(VLOOKUP(DY$72,INDIRECT($C$5&amp;"生成成长"),2))/((VLOOKUP($B203,INDIRECT($B$5&amp;"生成成长"),4))/(VLOOKUP(DY$72,INDIRECT($C$5&amp;"生成成长"),5))*(VLOOKUP($B$5,标准坦克设计!$B$24:$U$30,MATCH("对"&amp;LEFT($C$5,2)&amp;"输出",标准坦克设计!$B$23:$U$23,0)))*(VLOOKUP($B203,INDIRECT($B$5&amp;"生成成长"),3))*(VLOOKUP($B$5,标准坦克设计!$B$14:$K$20,9)/30))</f>
        <v>5.9270976136260289</v>
      </c>
      <c r="DZ203" s="172">
        <f ca="1">(VLOOKUP(DZ$72,INDIRECT($C$5&amp;"生成成长"),2))/((VLOOKUP($B203,INDIRECT($B$5&amp;"生成成长"),4))/(VLOOKUP(DZ$72,INDIRECT($C$5&amp;"生成成长"),5))*(VLOOKUP($B$5,标准坦克设计!$B$24:$U$30,MATCH("对"&amp;LEFT($C$5,2)&amp;"输出",标准坦克设计!$B$23:$U$23,0)))*(VLOOKUP($B203,INDIRECT($B$5&amp;"生成成长"),3))*(VLOOKUP($B$5,标准坦克设计!$B$14:$K$20,9)/30))</f>
        <v>6.5639831881830313</v>
      </c>
      <c r="EA203" s="172">
        <f ca="1">(VLOOKUP(EA$72,INDIRECT($C$5&amp;"生成成长"),2))/((VLOOKUP($B203,INDIRECT($B$5&amp;"生成成长"),4))/(VLOOKUP(EA$72,INDIRECT($C$5&amp;"生成成长"),5))*(VLOOKUP($B$5,标准坦克设计!$B$24:$U$30,MATCH("对"&amp;LEFT($C$5,2)&amp;"输出",标准坦克设计!$B$23:$U$23,0)))*(VLOOKUP($B203,INDIRECT($B$5&amp;"生成成长"),3))*(VLOOKUP($B$5,标准坦克设计!$B$14:$K$20,9)/30))</f>
        <v>7.2333629247072286</v>
      </c>
      <c r="EB203" s="172">
        <f ca="1">(VLOOKUP(EB$72,INDIRECT($C$5&amp;"生成成长"),2))/((VLOOKUP($B203,INDIRECT($B$5&amp;"生成成长"),4))/(VLOOKUP(EB$72,INDIRECT($C$5&amp;"生成成长"),5))*(VLOOKUP($B$5,标准坦克设计!$B$24:$U$30,MATCH("对"&amp;LEFT($C$5,2)&amp;"输出",标准坦克设计!$B$23:$U$23,0)))*(VLOOKUP($B203,INDIRECT($B$5&amp;"生成成长"),3))*(VLOOKUP($B$5,标准坦克设计!$B$14:$K$20,9)/30))</f>
        <v>7.9352368231986192</v>
      </c>
      <c r="EC203" s="172">
        <f ca="1">(VLOOKUP(EC$72,INDIRECT($C$5&amp;"生成成长"),2))/((VLOOKUP($B203,INDIRECT($B$5&amp;"生成成长"),4))/(VLOOKUP(EC$72,INDIRECT($C$5&amp;"生成成长"),5))*(VLOOKUP($B$5,标准坦克设计!$B$24:$U$30,MATCH("对"&amp;LEFT($C$5,2)&amp;"输出",标准坦克设计!$B$23:$U$23,0)))*(VLOOKUP($B203,INDIRECT($B$5&amp;"生成成长"),3))*(VLOOKUP($B$5,标准坦克设计!$B$14:$K$20,9)/30))</f>
        <v>8.6696048836572039</v>
      </c>
      <c r="ED203" s="172">
        <f ca="1">(VLOOKUP(ED$72,INDIRECT($C$5&amp;"生成成长"),2))/((VLOOKUP($B203,INDIRECT($B$5&amp;"生成成长"),4))/(VLOOKUP(ED$72,INDIRECT($C$5&amp;"生成成长"),5))*(VLOOKUP($B$5,标准坦克设计!$B$24:$U$30,MATCH("对"&amp;LEFT($C$5,2)&amp;"输出",标准坦克设计!$B$23:$U$23,0)))*(VLOOKUP($B203,INDIRECT($B$5&amp;"生成成长"),3))*(VLOOKUP($B$5,标准坦克设计!$B$14:$K$20,9)/30))</f>
        <v>9.4364671060829846</v>
      </c>
      <c r="EE203" s="172">
        <f ca="1">(VLOOKUP(EE$72,INDIRECT($C$5&amp;"生成成长"),2))/((VLOOKUP($B203,INDIRECT($B$5&amp;"生成成长"),4))/(VLOOKUP(EE$72,INDIRECT($C$5&amp;"生成成长"),5))*(VLOOKUP($B$5,标准坦克设计!$B$24:$U$30,MATCH("对"&amp;LEFT($C$5,2)&amp;"输出",标准坦克设计!$B$23:$U$23,0)))*(VLOOKUP($B203,INDIRECT($B$5&amp;"生成成长"),3))*(VLOOKUP($B$5,标准坦克设计!$B$14:$K$20,9)/30))</f>
        <v>10.23582349047596</v>
      </c>
      <c r="EF203" s="172">
        <f ca="1">(VLOOKUP(EF$72,INDIRECT($C$5&amp;"生成成长"),2))/((VLOOKUP($B203,INDIRECT($B$5&amp;"生成成长"),4))/(VLOOKUP(EF$72,INDIRECT($C$5&amp;"生成成长"),5))*(VLOOKUP($B$5,标准坦克设计!$B$24:$U$30,MATCH("对"&amp;LEFT($C$5,2)&amp;"输出",标准坦克设计!$B$23:$U$23,0)))*(VLOOKUP($B203,INDIRECT($B$5&amp;"生成成长"),3))*(VLOOKUP($B$5,标准坦克设计!$B$14:$K$20,9)/30))</f>
        <v>11.067674036836125</v>
      </c>
      <c r="EG203" s="172">
        <f ca="1">(VLOOKUP(EG$72,INDIRECT($C$5&amp;"生成成长"),2))/((VLOOKUP($B203,INDIRECT($B$5&amp;"生成成长"),4))/(VLOOKUP(EG$72,INDIRECT($C$5&amp;"生成成长"),5))*(VLOOKUP($B$5,标准坦克设计!$B$24:$U$30,MATCH("对"&amp;LEFT($C$5,2)&amp;"输出",标准坦克设计!$B$23:$U$23,0)))*(VLOOKUP($B203,INDIRECT($B$5&amp;"生成成长"),3))*(VLOOKUP($B$5,标准坦克设计!$B$14:$K$20,9)/30))</f>
        <v>11.932018745163486</v>
      </c>
      <c r="EH203" s="172">
        <f ca="1">(VLOOKUP(EH$72,INDIRECT($C$5&amp;"生成成长"),2))/((VLOOKUP($B203,INDIRECT($B$5&amp;"生成成长"),4))/(VLOOKUP(EH$72,INDIRECT($C$5&amp;"生成成长"),5))*(VLOOKUP($B$5,标准坦克设计!$B$24:$U$30,MATCH("对"&amp;LEFT($C$5,2)&amp;"输出",标准坦克设计!$B$23:$U$23,0)))*(VLOOKUP($B203,INDIRECT($B$5&amp;"生成成长"),3))*(VLOOKUP($B$5,标准坦克设计!$B$14:$K$20,9)/30))</f>
        <v>12.828857615458043</v>
      </c>
      <c r="EI203" s="172">
        <f ca="1">(VLOOKUP(EI$72,INDIRECT($C$5&amp;"生成成长"),2))/((VLOOKUP($B203,INDIRECT($B$5&amp;"生成成长"),4))/(VLOOKUP(EI$72,INDIRECT($C$5&amp;"生成成长"),5))*(VLOOKUP($B$5,标准坦克设计!$B$24:$U$30,MATCH("对"&amp;LEFT($C$5,2)&amp;"输出",标准坦克设计!$B$23:$U$23,0)))*(VLOOKUP($B203,INDIRECT($B$5&amp;"生成成长"),3))*(VLOOKUP($B$5,标准坦克设计!$B$14:$K$20,9)/30))</f>
        <v>13.758190647719793</v>
      </c>
      <c r="EJ203" s="172">
        <f ca="1">(VLOOKUP(EJ$72,INDIRECT($C$5&amp;"生成成长"),2))/((VLOOKUP($B203,INDIRECT($B$5&amp;"生成成长"),4))/(VLOOKUP(EJ$72,INDIRECT($C$5&amp;"生成成长"),5))*(VLOOKUP($B$5,标准坦克设计!$B$24:$U$30,MATCH("对"&amp;LEFT($C$5,2)&amp;"输出",标准坦克设计!$B$23:$U$23,0)))*(VLOOKUP($B203,INDIRECT($B$5&amp;"生成成长"),3))*(VLOOKUP($B$5,标准坦克设计!$B$14:$K$20,9)/30))</f>
        <v>14.720017841948737</v>
      </c>
      <c r="EK203" s="172">
        <f ca="1">(VLOOKUP(EK$72,INDIRECT($C$5&amp;"生成成长"),2))/((VLOOKUP($B203,INDIRECT($B$5&amp;"生成成长"),4))/(VLOOKUP(EK$72,INDIRECT($C$5&amp;"生成成长"),5))*(VLOOKUP($B$5,标准坦克设计!$B$24:$U$30,MATCH("对"&amp;LEFT($C$5,2)&amp;"输出",标准坦克设计!$B$23:$U$23,0)))*(VLOOKUP($B203,INDIRECT($B$5&amp;"生成成长"),3))*(VLOOKUP($B$5,标准坦克设计!$B$14:$K$20,9)/30))</f>
        <v>15.917102768820163</v>
      </c>
      <c r="EL203" s="172">
        <f ca="1">(VLOOKUP(EL$72,INDIRECT($C$5&amp;"生成成长"),2))/((VLOOKUP($B203,INDIRECT($B$5&amp;"生成成长"),4))/(VLOOKUP(EL$72,INDIRECT($C$5&amp;"生成成长"),5))*(VLOOKUP($B$5,标准坦克设计!$B$24:$U$30,MATCH("对"&amp;LEFT($C$5,2)&amp;"输出",标准坦克设计!$B$23:$U$23,0)))*(VLOOKUP($B203,INDIRECT($B$5&amp;"生成成长"),3))*(VLOOKUP($B$5,标准坦克设计!$B$14:$K$20,9)/30))</f>
        <v>17.160979288924349</v>
      </c>
      <c r="EM203" s="172">
        <f ca="1">(VLOOKUP(EM$72,INDIRECT($C$5&amp;"生成成长"),2))/((VLOOKUP($B203,INDIRECT($B$5&amp;"生成成长"),4))/(VLOOKUP(EM$72,INDIRECT($C$5&amp;"生成成长"),5))*(VLOOKUP($B$5,标准坦克设计!$B$24:$U$30,MATCH("对"&amp;LEFT($C$5,2)&amp;"输出",标准坦克设计!$B$23:$U$23,0)))*(VLOOKUP($B203,INDIRECT($B$5&amp;"生成成长"),3))*(VLOOKUP($B$5,标准坦克设计!$B$14:$K$20,9)/30))</f>
        <v>18.451647402261298</v>
      </c>
      <c r="EN203" s="172">
        <f ca="1">(VLOOKUP(EN$72,INDIRECT($C$5&amp;"生成成长"),2))/((VLOOKUP($B203,INDIRECT($B$5&amp;"生成成长"),4))/(VLOOKUP(EN$72,INDIRECT($C$5&amp;"生成成长"),5))*(VLOOKUP($B$5,标准坦克设计!$B$24:$U$30,MATCH("对"&amp;LEFT($C$5,2)&amp;"输出",标准坦克设计!$B$23:$U$23,0)))*(VLOOKUP($B203,INDIRECT($B$5&amp;"生成成长"),3))*(VLOOKUP($B$5,标准坦克设计!$B$14:$K$20,9)/30))</f>
        <v>19.789107108831001</v>
      </c>
      <c r="EO203" s="172">
        <f ca="1">(VLOOKUP(EO$72,INDIRECT($C$5&amp;"生成成长"),2))/((VLOOKUP($B203,INDIRECT($B$5&amp;"生成成长"),4))/(VLOOKUP(EO$72,INDIRECT($C$5&amp;"生成成长"),5))*(VLOOKUP($B$5,标准坦克设计!$B$24:$U$30,MATCH("对"&amp;LEFT($C$5,2)&amp;"输出",标准坦克设计!$B$23:$U$23,0)))*(VLOOKUP($B203,INDIRECT($B$5&amp;"生成成长"),3))*(VLOOKUP($B$5,标准坦克设计!$B$14:$K$20,9)/30))</f>
        <v>21.173358408633472</v>
      </c>
      <c r="EP203" s="172">
        <f ca="1">(VLOOKUP(EP$72,INDIRECT($C$5&amp;"生成成长"),2))/((VLOOKUP($B203,INDIRECT($B$5&amp;"生成成长"),4))/(VLOOKUP(EP$72,INDIRECT($C$5&amp;"生成成长"),5))*(VLOOKUP($B$5,标准坦克设计!$B$24:$U$30,MATCH("对"&amp;LEFT($C$5,2)&amp;"输出",标准坦克设计!$B$23:$U$23,0)))*(VLOOKUP($B203,INDIRECT($B$5&amp;"生成成长"),3))*(VLOOKUP($B$5,标准坦克设计!$B$14:$K$20,9)/30))</f>
        <v>22.604401301668698</v>
      </c>
      <c r="EQ203" s="172">
        <f ca="1">(VLOOKUP(EQ$72,INDIRECT($C$5&amp;"生成成长"),2))/((VLOOKUP($B203,INDIRECT($B$5&amp;"生成成长"),4))/(VLOOKUP(EQ$72,INDIRECT($C$5&amp;"生成成长"),5))*(VLOOKUP($B$5,标准坦克设计!$B$24:$U$30,MATCH("对"&amp;LEFT($C$5,2)&amp;"输出",标准坦克设计!$B$23:$U$23,0)))*(VLOOKUP($B203,INDIRECT($B$5&amp;"生成成长"),3))*(VLOOKUP($B$5,标准坦克设计!$B$14:$K$20,9)/30))</f>
        <v>9.9926046881515109</v>
      </c>
      <c r="ER203" s="172">
        <f ca="1">(VLOOKUP(ER$72,INDIRECT($C$5&amp;"生成成长"),2))/((VLOOKUP($B203,INDIRECT($B$5&amp;"生成成长"),4))/(VLOOKUP(ER$72,INDIRECT($C$5&amp;"生成成长"),5))*(VLOOKUP($B$5,标准坦克设计!$B$24:$U$30,MATCH("对"&amp;LEFT($C$5,2)&amp;"输出",标准坦克设计!$B$23:$U$23,0)))*(VLOOKUP($B203,INDIRECT($B$5&amp;"生成成长"),3))*(VLOOKUP($B$5,标准坦克设计!$B$14:$K$20,9)/30))</f>
        <v>10.898704394606716</v>
      </c>
      <c r="ES203" s="172">
        <f ca="1">(VLOOKUP(ES$72,INDIRECT($C$5&amp;"生成成长"),2))/((VLOOKUP($B203,INDIRECT($B$5&amp;"生成成长"),4))/(VLOOKUP(ES$72,INDIRECT($C$5&amp;"生成成长"),5))*(VLOOKUP($B$5,标准坦克设计!$B$24:$U$30,MATCH("对"&amp;LEFT($C$5,2)&amp;"输出",标准坦克设计!$B$23:$U$23,0)))*(VLOOKUP($B203,INDIRECT($B$5&amp;"生成成长"),3))*(VLOOKUP($B$5,标准坦克设计!$B$14:$K$20,9)/30))</f>
        <v>11.844122037042226</v>
      </c>
      <c r="ET203" s="172">
        <f ca="1">(VLOOKUP(ET$72,INDIRECT($C$5&amp;"生成成长"),2))/((VLOOKUP($B203,INDIRECT($B$5&amp;"生成成长"),4))/(VLOOKUP(ET$72,INDIRECT($C$5&amp;"生成成长"),5))*(VLOOKUP($B$5,标准坦克设计!$B$24:$U$30,MATCH("对"&amp;LEFT($C$5,2)&amp;"输出",标准坦克设计!$B$23:$U$23,0)))*(VLOOKUP($B203,INDIRECT($B$5&amp;"生成成长"),3))*(VLOOKUP($B$5,标准坦克设计!$B$14:$K$20,9)/30))</f>
        <v>12.828857615458043</v>
      </c>
      <c r="EU203" s="172">
        <f ca="1">(VLOOKUP(EU$72,INDIRECT($C$5&amp;"生成成长"),2))/((VLOOKUP($B203,INDIRECT($B$5&amp;"生成成长"),4))/(VLOOKUP(EU$72,INDIRECT($C$5&amp;"生成成长"),5))*(VLOOKUP($B$5,标准坦克设计!$B$24:$U$30,MATCH("对"&amp;LEFT($C$5,2)&amp;"输出",标准坦克设计!$B$23:$U$23,0)))*(VLOOKUP($B203,INDIRECT($B$5&amp;"生成成长"),3))*(VLOOKUP($B$5,标准坦克设计!$B$14:$K$20,9)/30))</f>
        <v>13.852911129854162</v>
      </c>
      <c r="EV203" s="172">
        <f ca="1">(VLOOKUP(EV$72,INDIRECT($C$5&amp;"生成成长"),2))/((VLOOKUP($B203,INDIRECT($B$5&amp;"生成成长"),4))/(VLOOKUP(EV$72,INDIRECT($C$5&amp;"生成成长"),5))*(VLOOKUP($B$5,标准坦克设计!$B$24:$U$30,MATCH("对"&amp;LEFT($C$5,2)&amp;"输出",标准坦克设计!$B$23:$U$23,0)))*(VLOOKUP($B203,INDIRECT($B$5&amp;"生成成长"),3))*(VLOOKUP($B$5,标准坦克设计!$B$14:$K$20,9)/30))</f>
        <v>14.916282580230586</v>
      </c>
      <c r="EW203" s="172">
        <f ca="1">(VLOOKUP(EW$72,INDIRECT($C$5&amp;"生成成长"),2))/((VLOOKUP($B203,INDIRECT($B$5&amp;"生成成长"),4))/(VLOOKUP(EW$72,INDIRECT($C$5&amp;"生成成长"),5))*(VLOOKUP($B$5,标准坦克设计!$B$24:$U$30,MATCH("对"&amp;LEFT($C$5,2)&amp;"输出",标准坦克设计!$B$23:$U$23,0)))*(VLOOKUP($B203,INDIRECT($B$5&amp;"生成成长"),3))*(VLOOKUP($B$5,标准坦克设计!$B$14:$K$20,9)/30))</f>
        <v>16.018971966587319</v>
      </c>
      <c r="EX203" s="172">
        <f ca="1">(VLOOKUP(EX$72,INDIRECT($C$5&amp;"生成成长"),2))/((VLOOKUP($B203,INDIRECT($B$5&amp;"生成成长"),4))/(VLOOKUP(EX$72,INDIRECT($C$5&amp;"生成成长"),5))*(VLOOKUP($B$5,标准坦克设计!$B$24:$U$30,MATCH("对"&amp;LEFT($C$5,2)&amp;"输出",标准坦克设计!$B$23:$U$23,0)))*(VLOOKUP($B203,INDIRECT($B$5&amp;"生成成长"),3))*(VLOOKUP($B$5,标准坦克设计!$B$14:$K$20,9)/30))</f>
        <v>17.160979288924349</v>
      </c>
      <c r="EY203" s="172">
        <f ca="1">(VLOOKUP(EY$72,INDIRECT($C$5&amp;"生成成长"),2))/((VLOOKUP($B203,INDIRECT($B$5&amp;"生成成长"),4))/(VLOOKUP(EY$72,INDIRECT($C$5&amp;"生成成长"),5))*(VLOOKUP($B$5,标准坦克设计!$B$24:$U$30,MATCH("对"&amp;LEFT($C$5,2)&amp;"输出",标准坦克设计!$B$23:$U$23,0)))*(VLOOKUP($B203,INDIRECT($B$5&amp;"生成成长"),3))*(VLOOKUP($B$5,标准坦克设计!$B$14:$K$20,9)/30))</f>
        <v>18.342304547241692</v>
      </c>
      <c r="EZ203" s="172">
        <f ca="1">(VLOOKUP(EZ$72,INDIRECT($C$5&amp;"生成成长"),2))/((VLOOKUP($B203,INDIRECT($B$5&amp;"生成成长"),4))/(VLOOKUP(EZ$72,INDIRECT($C$5&amp;"生成成长"),5))*(VLOOKUP($B$5,标准坦克设计!$B$24:$U$30,MATCH("对"&amp;LEFT($C$5,2)&amp;"输出",标准坦克设计!$B$23:$U$23,0)))*(VLOOKUP($B203,INDIRECT($B$5&amp;"生成成长"),3))*(VLOOKUP($B$5,标准坦克设计!$B$14:$K$20,9)/30))</f>
        <v>19.562947741539332</v>
      </c>
      <c r="FA203" s="172">
        <f ca="1">(VLOOKUP(FA$72,INDIRECT($C$5&amp;"生成成长"),2))/((VLOOKUP($B203,INDIRECT($B$5&amp;"生成成长"),4))/(VLOOKUP(FA$72,INDIRECT($C$5&amp;"生成成长"),5))*(VLOOKUP($B$5,标准坦克设计!$B$24:$U$30,MATCH("对"&amp;LEFT($C$5,2)&amp;"输出",标准坦克设计!$B$23:$U$23,0)))*(VLOOKUP($B203,INDIRECT($B$5&amp;"生成成长"),3))*(VLOOKUP($B$5,标准坦克设计!$B$14:$K$20,9)/30))</f>
        <v>20.822908871817283</v>
      </c>
      <c r="FB203" s="172">
        <f ca="1">(VLOOKUP(FB$72,INDIRECT($C$5&amp;"生成成长"),2))/((VLOOKUP($B203,INDIRECT($B$5&amp;"生成成长"),4))/(VLOOKUP(FB$72,INDIRECT($C$5&amp;"生成成长"),5))*(VLOOKUP($B$5,标准坦克设计!$B$24:$U$30,MATCH("对"&amp;LEFT($C$5,2)&amp;"输出",标准坦克设计!$B$23:$U$23,0)))*(VLOOKUP($B203,INDIRECT($B$5&amp;"生成成长"),3))*(VLOOKUP($B$5,标准坦克设计!$B$14:$K$20,9)/30))</f>
        <v>22.122187938075538</v>
      </c>
      <c r="FC203" s="172">
        <f ca="1">(VLOOKUP(FC$72,INDIRECT($C$5&amp;"生成成长"),2))/((VLOOKUP($B203,INDIRECT($B$5&amp;"生成成长"),4))/(VLOOKUP(FC$72,INDIRECT($C$5&amp;"生成成长"),5))*(VLOOKUP($B$5,标准坦克设计!$B$24:$U$30,MATCH("对"&amp;LEFT($C$5,2)&amp;"输出",标准坦克设计!$B$23:$U$23,0)))*(VLOOKUP($B203,INDIRECT($B$5&amp;"生成成长"),3))*(VLOOKUP($B$5,标准坦克设计!$B$14:$K$20,9)/30))</f>
        <v>23.460784940314095</v>
      </c>
      <c r="FD203" s="172">
        <f ca="1">(VLOOKUP(FD$72,INDIRECT($C$5&amp;"生成成长"),2))/((VLOOKUP($B203,INDIRECT($B$5&amp;"生成成长"),4))/(VLOOKUP(FD$72,INDIRECT($C$5&amp;"生成成长"),5))*(VLOOKUP($B$5,标准坦克设计!$B$24:$U$30,MATCH("对"&amp;LEFT($C$5,2)&amp;"输出",标准坦克设计!$B$23:$U$23,0)))*(VLOOKUP($B203,INDIRECT($B$5&amp;"生成成长"),3))*(VLOOKUP($B$5,标准坦克设计!$B$14:$K$20,9)/30))</f>
        <v>24.83869987853296</v>
      </c>
      <c r="FE203" s="172">
        <f ca="1">(VLOOKUP(FE$72,INDIRECT($C$5&amp;"生成成长"),2))/((VLOOKUP($B203,INDIRECT($B$5&amp;"生成成长"),4))/(VLOOKUP(FE$72,INDIRECT($C$5&amp;"生成成长"),5))*(VLOOKUP($B$5,标准坦克设计!$B$24:$U$30,MATCH("对"&amp;LEFT($C$5,2)&amp;"输出",标准坦克设计!$B$23:$U$23,0)))*(VLOOKUP($B203,INDIRECT($B$5&amp;"生成成长"),3))*(VLOOKUP($B$5,标准坦克设计!$B$14:$K$20,9)/30))</f>
        <v>26.51783569818771</v>
      </c>
      <c r="FF203" s="172">
        <f ca="1">(VLOOKUP(FF$72,INDIRECT($C$5&amp;"生成成长"),2))/((VLOOKUP($B203,INDIRECT($B$5&amp;"生成成长"),4))/(VLOOKUP(FF$72,INDIRECT($C$5&amp;"生成成长"),5))*(VLOOKUP($B$5,标准坦克设计!$B$24:$U$30,MATCH("对"&amp;LEFT($C$5,2)&amp;"输出",标准坦克设计!$B$23:$U$23,0)))*(VLOOKUP($B203,INDIRECT($B$5&amp;"生成成长"),3))*(VLOOKUP($B$5,标准坦克设计!$B$14:$K$20,9)/30))</f>
        <v>28.251886651567023</v>
      </c>
      <c r="FG203" s="172">
        <f ca="1">(VLOOKUP(FG$72,INDIRECT($C$5&amp;"生成成长"),2))/((VLOOKUP($B203,INDIRECT($B$5&amp;"生成成长"),4))/(VLOOKUP(FG$72,INDIRECT($C$5&amp;"生成成长"),5))*(VLOOKUP($B$5,标准坦克设计!$B$24:$U$30,MATCH("对"&amp;LEFT($C$5,2)&amp;"输出",标准坦克设计!$B$23:$U$23,0)))*(VLOOKUP($B203,INDIRECT($B$5&amp;"生成成长"),3))*(VLOOKUP($B$5,标准坦克设计!$B$14:$K$20,9)/30))</f>
        <v>30.040852738670885</v>
      </c>
      <c r="FH203" s="172">
        <f ca="1">(VLOOKUP(FH$72,INDIRECT($C$5&amp;"生成成长"),2))/((VLOOKUP($B203,INDIRECT($B$5&amp;"生成成长"),4))/(VLOOKUP(FH$72,INDIRECT($C$5&amp;"生成成长"),5))*(VLOOKUP($B$5,标准坦克设计!$B$24:$U$30,MATCH("对"&amp;LEFT($C$5,2)&amp;"输出",标准坦克设计!$B$23:$U$23,0)))*(VLOOKUP($B203,INDIRECT($B$5&amp;"生成成长"),3))*(VLOOKUP($B$5,标准坦克设计!$B$14:$K$20,9)/30))</f>
        <v>31.884733959499314</v>
      </c>
      <c r="FI203" s="172">
        <f ca="1">(VLOOKUP(FI$72,INDIRECT($C$5&amp;"生成成长"),2))/((VLOOKUP($B203,INDIRECT($B$5&amp;"生成成长"),4))/(VLOOKUP(FI$72,INDIRECT($C$5&amp;"生成成长"),5))*(VLOOKUP($B$5,标准坦克设计!$B$24:$U$30,MATCH("对"&amp;LEFT($C$5,2)&amp;"输出",标准坦克设计!$B$23:$U$23,0)))*(VLOOKUP($B203,INDIRECT($B$5&amp;"生成成长"),3))*(VLOOKUP($B$5,标准坦克设计!$B$14:$K$20,9)/30))</f>
        <v>33.7835303140523</v>
      </c>
      <c r="FJ203" s="172">
        <f ca="1">(VLOOKUP(FJ$72,INDIRECT($C$5&amp;"生成成长"),2))/((VLOOKUP($B203,INDIRECT($B$5&amp;"生成成长"),4))/(VLOOKUP(FJ$72,INDIRECT($C$5&amp;"生成成长"),5))*(VLOOKUP($B$5,标准坦克设计!$B$24:$U$30,MATCH("对"&amp;LEFT($C$5,2)&amp;"输出",标准坦克设计!$B$23:$U$23,0)))*(VLOOKUP($B203,INDIRECT($B$5&amp;"生成成长"),3))*(VLOOKUP($B$5,标准坦克设计!$B$14:$K$20,9)/30))</f>
        <v>35.737241802329841</v>
      </c>
      <c r="FK203" s="172">
        <f ca="1">(VLOOKUP(FK$72,INDIRECT($C$5&amp;"生成成长"),2))/((VLOOKUP($B203,INDIRECT($B$5&amp;"生成成长"),4))/(VLOOKUP(FK$72,INDIRECT($C$5&amp;"生成成长"),5))*(VLOOKUP($B$5,标准坦克设计!$B$24:$U$30,MATCH("对"&amp;LEFT($C$5,2)&amp;"输出",标准坦克设计!$B$23:$U$23,0)))*(VLOOKUP($B203,INDIRECT($B$5&amp;"生成成长"),3))*(VLOOKUP($B$5,标准坦克设计!$B$14:$K$20,9)/30))</f>
        <v>37.745868424331938</v>
      </c>
    </row>
    <row r="204" spans="1:167" x14ac:dyDescent="0.15">
      <c r="A204" s="170" t="str">
        <f t="shared" si="13"/>
        <v>T4高品质6级</v>
      </c>
      <c r="B204" s="171">
        <v>30406</v>
      </c>
      <c r="C204" s="172">
        <f ca="1">(VLOOKUP(C$72,INDIRECT($C$5&amp;"生成成长"),2))/((VLOOKUP($B204,INDIRECT($B$5&amp;"生成成长"),4))/(VLOOKUP(C$72,INDIRECT($C$5&amp;"生成成长"),5))*(VLOOKUP($B$5,标准坦克设计!$B$24:$U$30,MATCH("对"&amp;LEFT($C$5,2)&amp;"输出",标准坦克设计!$B$23:$U$23,0)))*(VLOOKUP($B204,INDIRECT($B$5&amp;"生成成长"),3))*(VLOOKUP($B$5,标准坦克设计!$B$14:$K$20,9)/30))</f>
        <v>1.4905517035158924</v>
      </c>
      <c r="D204" s="172">
        <f ca="1">(VLOOKUP(D$72,INDIRECT($C$5&amp;"生成成长"),2))/((VLOOKUP($B204,INDIRECT($B$5&amp;"生成成长"),4))/(VLOOKUP(D$72,INDIRECT($C$5&amp;"生成成长"),5))*(VLOOKUP($B$5,标准坦克设计!$B$24:$U$30,MATCH("对"&amp;LEFT($C$5,2)&amp;"输出",标准坦克设计!$B$23:$U$23,0)))*(VLOOKUP($B204,INDIRECT($B$5&amp;"生成成长"),3))*(VLOOKUP($B$5,标准坦克设计!$B$14:$K$20,9)/30))</f>
        <v>1.6747838940704567</v>
      </c>
      <c r="E204" s="172">
        <f ca="1">(VLOOKUP(E$72,INDIRECT($C$5&amp;"生成成长"),2))/((VLOOKUP($B204,INDIRECT($B$5&amp;"生成成长"),4))/(VLOOKUP(E$72,INDIRECT($C$5&amp;"生成成长"),5))*(VLOOKUP($B$5,标准坦克设计!$B$24:$U$30,MATCH("对"&amp;LEFT($C$5,2)&amp;"输出",标准坦克设计!$B$23:$U$23,0)))*(VLOOKUP($B204,INDIRECT($B$5&amp;"生成成长"),3))*(VLOOKUP($B$5,标准坦克设计!$B$14:$K$20,9)/30))</f>
        <v>1.8697480568903355</v>
      </c>
      <c r="F204" s="172">
        <f ca="1">(VLOOKUP(F$72,INDIRECT($C$5&amp;"生成成长"),2))/((VLOOKUP($B204,INDIRECT($B$5&amp;"生成成长"),4))/(VLOOKUP(F$72,INDIRECT($C$5&amp;"生成成长"),5))*(VLOOKUP($B$5,标准坦克设计!$B$24:$U$30,MATCH("对"&amp;LEFT($C$5,2)&amp;"输出",标准坦克设计!$B$23:$U$23,0)))*(VLOOKUP($B204,INDIRECT($B$5&amp;"生成成长"),3))*(VLOOKUP($B$5,标准坦克设计!$B$14:$K$20,9)/30))</f>
        <v>2.0754441919755289</v>
      </c>
      <c r="G204" s="172">
        <f ca="1">(VLOOKUP(G$72,INDIRECT($C$5&amp;"生成成长"),2))/((VLOOKUP($B204,INDIRECT($B$5&amp;"生成成长"),4))/(VLOOKUP(G$72,INDIRECT($C$5&amp;"生成成长"),5))*(VLOOKUP($B$5,标准坦克设计!$B$24:$U$30,MATCH("对"&amp;LEFT($C$5,2)&amp;"输出",标准坦克设计!$B$23:$U$23,0)))*(VLOOKUP($B204,INDIRECT($B$5&amp;"生成成长"),3))*(VLOOKUP($B$5,标准坦克设计!$B$14:$K$20,9)/30))</f>
        <v>2.2918722993260361</v>
      </c>
      <c r="H204" s="172">
        <f ca="1">(VLOOKUP(H$72,INDIRECT($C$5&amp;"生成成长"),2))/((VLOOKUP($B204,INDIRECT($B$5&amp;"生成成长"),4))/(VLOOKUP(H$72,INDIRECT($C$5&amp;"生成成长"),5))*(VLOOKUP($B$5,标准坦克设计!$B$24:$U$30,MATCH("对"&amp;LEFT($C$5,2)&amp;"输出",标准坦克设计!$B$23:$U$23,0)))*(VLOOKUP($B204,INDIRECT($B$5&amp;"生成成长"),3))*(VLOOKUP($B$5,标准坦克设计!$B$14:$K$20,9)/30))</f>
        <v>2.005686372250985</v>
      </c>
      <c r="I204" s="172">
        <f ca="1">(VLOOKUP(I$72,INDIRECT($C$5&amp;"生成成长"),2))/((VLOOKUP($B204,INDIRECT($B$5&amp;"生成成长"),4))/(VLOOKUP(I$72,INDIRECT($C$5&amp;"生成成长"),5))*(VLOOKUP($B$5,标准坦克设计!$B$24:$U$30,MATCH("对"&amp;LEFT($C$5,2)&amp;"输出",标准坦克设计!$B$23:$U$23,0)))*(VLOOKUP($B204,INDIRECT($B$5&amp;"生成成长"),3))*(VLOOKUP($B$5,标准坦克设计!$B$14:$K$20,9)/30))</f>
        <v>2.2918722993260361</v>
      </c>
      <c r="J204" s="172">
        <f ca="1">(VLOOKUP(J$72,INDIRECT($C$5&amp;"生成成长"),2))/((VLOOKUP($B204,INDIRECT($B$5&amp;"生成成长"),4))/(VLOOKUP(J$72,INDIRECT($C$5&amp;"生成成长"),5))*(VLOOKUP($B$5,标准坦克设计!$B$24:$U$30,MATCH("对"&amp;LEFT($C$5,2)&amp;"输出",标准坦克设计!$B$23:$U$23,0)))*(VLOOKUP($B204,INDIRECT($B$5&amp;"生成成长"),3))*(VLOOKUP($B$5,标准坦克设计!$B$14:$K$20,9)/30))</f>
        <v>2.5971372882060915</v>
      </c>
      <c r="K204" s="172">
        <f ca="1">(VLOOKUP(K$72,INDIRECT($C$5&amp;"生成成长"),2))/((VLOOKUP($B204,INDIRECT($B$5&amp;"生成成长"),4))/(VLOOKUP(K$72,INDIRECT($C$5&amp;"生成成长"),5))*(VLOOKUP($B$5,标准坦克设计!$B$24:$U$30,MATCH("对"&amp;LEFT($C$5,2)&amp;"输出",标准坦克设计!$B$23:$U$23,0)))*(VLOOKUP($B204,INDIRECT($B$5&amp;"生成成长"),3))*(VLOOKUP($B$5,标准坦克设计!$B$14:$K$20,9)/30))</f>
        <v>2.9214813388911494</v>
      </c>
      <c r="L204" s="172">
        <f ca="1">(VLOOKUP(L$72,INDIRECT($C$5&amp;"生成成长"),2))/((VLOOKUP($B204,INDIRECT($B$5&amp;"生成成长"),4))/(VLOOKUP(L$72,INDIRECT($C$5&amp;"生成成长"),5))*(VLOOKUP($B$5,标准坦克设计!$B$24:$U$30,MATCH("对"&amp;LEFT($C$5,2)&amp;"输出",标准坦克设计!$B$23:$U$23,0)))*(VLOOKUP($B204,INDIRECT($B$5&amp;"生成成长"),3))*(VLOOKUP($B$5,标准坦克设计!$B$14:$K$20,9)/30))</f>
        <v>3.2649044513812115</v>
      </c>
      <c r="M204" s="172">
        <f ca="1">(VLOOKUP(M$72,INDIRECT($C$5&amp;"生成成长"),2))/((VLOOKUP($B204,INDIRECT($B$5&amp;"生成成长"),4))/(VLOOKUP(M$72,INDIRECT($C$5&amp;"生成成长"),5))*(VLOOKUP($B$5,标准坦克设计!$B$24:$U$30,MATCH("对"&amp;LEFT($C$5,2)&amp;"输出",标准坦克设计!$B$23:$U$23,0)))*(VLOOKUP($B204,INDIRECT($B$5&amp;"生成成长"),3))*(VLOOKUP($B$5,标准坦克设计!$B$14:$K$20,9)/30))</f>
        <v>3.6274066256762758</v>
      </c>
      <c r="N204" s="172">
        <f ca="1">(VLOOKUP(N$72,INDIRECT($C$5&amp;"生成成长"),2))/((VLOOKUP($B204,INDIRECT($B$5&amp;"生成成长"),4))/(VLOOKUP(N$72,INDIRECT($C$5&amp;"生成成长"),5))*(VLOOKUP($B$5,标准坦克设计!$B$24:$U$30,MATCH("对"&amp;LEFT($C$5,2)&amp;"输出",标准坦克设计!$B$23:$U$23,0)))*(VLOOKUP($B204,INDIRECT($B$5&amp;"生成成长"),3))*(VLOOKUP($B$5,标准坦克设计!$B$14:$K$20,9)/30))</f>
        <v>4.0089878617763448</v>
      </c>
      <c r="O204" s="172">
        <f ca="1">(VLOOKUP(O$72,INDIRECT($C$5&amp;"生成成长"),2))/((VLOOKUP($B204,INDIRECT($B$5&amp;"生成成长"),4))/(VLOOKUP(O$72,INDIRECT($C$5&amp;"生成成长"),5))*(VLOOKUP($B$5,标准坦克设计!$B$24:$U$30,MATCH("对"&amp;LEFT($C$5,2)&amp;"输出",标准坦克设计!$B$23:$U$23,0)))*(VLOOKUP($B204,INDIRECT($B$5&amp;"生成成长"),3))*(VLOOKUP($B$5,标准坦克设计!$B$14:$K$20,9)/30))</f>
        <v>3.0480291785196485</v>
      </c>
      <c r="P204" s="172">
        <f ca="1">(VLOOKUP(P$72,INDIRECT($C$5&amp;"生成成长"),2))/((VLOOKUP($B204,INDIRECT($B$5&amp;"生成成长"),4))/(VLOOKUP(P$72,INDIRECT($C$5&amp;"生成成长"),5))*(VLOOKUP($B$5,标准坦克设计!$B$24:$U$30,MATCH("对"&amp;LEFT($C$5,2)&amp;"输出",标准坦克设计!$B$23:$U$23,0)))*(VLOOKUP($B204,INDIRECT($B$5&amp;"生成成长"),3))*(VLOOKUP($B$5,标准坦克设计!$B$14:$K$20,9)/30))</f>
        <v>3.4437706558031183</v>
      </c>
      <c r="Q204" s="172">
        <f ca="1">(VLOOKUP(Q$72,INDIRECT($C$5&amp;"生成成长"),2))/((VLOOKUP($B204,INDIRECT($B$5&amp;"生成成长"),4))/(VLOOKUP(Q$72,INDIRECT($C$5&amp;"生成成长"),5))*(VLOOKUP($B$5,标准坦克设计!$B$24:$U$30,MATCH("对"&amp;LEFT($C$5,2)&amp;"输出",标准坦克设计!$B$23:$U$23,0)))*(VLOOKUP($B204,INDIRECT($B$5&amp;"生成成长"),3))*(VLOOKUP($B$5,标准坦克设计!$B$14:$K$20,9)/30))</f>
        <v>3.8636590706835454</v>
      </c>
      <c r="R204" s="172">
        <f ca="1">(VLOOKUP(R$72,INDIRECT($C$5&amp;"生成成长"),2))/((VLOOKUP($B204,INDIRECT($B$5&amp;"生成成长"),4))/(VLOOKUP(R$72,INDIRECT($C$5&amp;"生成成长"),5))*(VLOOKUP($B$5,标准坦克设计!$B$24:$U$30,MATCH("对"&amp;LEFT($C$5,2)&amp;"输出",标准坦克设计!$B$23:$U$23,0)))*(VLOOKUP($B204,INDIRECT($B$5&amp;"生成成长"),3))*(VLOOKUP($B$5,标准坦克设计!$B$14:$K$20,9)/30))</f>
        <v>4.3076944231609291</v>
      </c>
      <c r="S204" s="172">
        <f ca="1">(VLOOKUP(S$72,INDIRECT($C$5&amp;"生成成长"),2))/((VLOOKUP($B204,INDIRECT($B$5&amp;"生成成长"),4))/(VLOOKUP(S$72,INDIRECT($C$5&amp;"生成成长"),5))*(VLOOKUP($B$5,标准坦克设计!$B$24:$U$30,MATCH("对"&amp;LEFT($C$5,2)&amp;"输出",标准坦克设计!$B$23:$U$23,0)))*(VLOOKUP($B204,INDIRECT($B$5&amp;"生成成长"),3))*(VLOOKUP($B$5,标准坦克设计!$B$14:$K$20,9)/30))</f>
        <v>4.775876713235272</v>
      </c>
      <c r="T204" s="172">
        <f ca="1">(VLOOKUP(T$72,INDIRECT($C$5&amp;"生成成长"),2))/((VLOOKUP($B204,INDIRECT($B$5&amp;"生成成长"),4))/(VLOOKUP(T$72,INDIRECT($C$5&amp;"生成成长"),5))*(VLOOKUP($B$5,标准坦克设计!$B$24:$U$30,MATCH("对"&amp;LEFT($C$5,2)&amp;"输出",标准坦克设计!$B$23:$U$23,0)))*(VLOOKUP($B204,INDIRECT($B$5&amp;"生成成长"),3))*(VLOOKUP($B$5,标准坦克设计!$B$14:$K$20,9)/30))</f>
        <v>5.2682059409065705</v>
      </c>
      <c r="U204" s="172">
        <f ca="1">(VLOOKUP(U$72,INDIRECT($C$5&amp;"生成成长"),2))/((VLOOKUP($B204,INDIRECT($B$5&amp;"生成成长"),4))/(VLOOKUP(U$72,INDIRECT($C$5&amp;"生成成长"),5))*(VLOOKUP($B$5,标准坦克设计!$B$24:$U$30,MATCH("对"&amp;LEFT($C$5,2)&amp;"输出",标准坦克设计!$B$23:$U$23,0)))*(VLOOKUP($B204,INDIRECT($B$5&amp;"生成成长"),3))*(VLOOKUP($B$5,标准坦克设计!$B$14:$K$20,9)/30))</f>
        <v>5.7846821061748273</v>
      </c>
      <c r="V204" s="172">
        <f ca="1">(VLOOKUP(V$72,INDIRECT($C$5&amp;"生成成长"),2))/((VLOOKUP($B204,INDIRECT($B$5&amp;"生成成长"),4))/(VLOOKUP(V$72,INDIRECT($C$5&amp;"生成成长"),5))*(VLOOKUP($B$5,标准坦克设计!$B$24:$U$30,MATCH("对"&amp;LEFT($C$5,2)&amp;"输出",标准坦克设计!$B$23:$U$23,0)))*(VLOOKUP($B204,INDIRECT($B$5&amp;"生成成长"),3))*(VLOOKUP($B$5,标准坦克设计!$B$14:$K$20,9)/30))</f>
        <v>6.3253052090400415</v>
      </c>
      <c r="W204" s="172">
        <f ca="1">(VLOOKUP(W$72,INDIRECT($C$5&amp;"生成成长"),2))/((VLOOKUP($B204,INDIRECT($B$5&amp;"生成成长"),4))/(VLOOKUP(W$72,INDIRECT($C$5&amp;"生成成长"),5))*(VLOOKUP($B$5,标准坦克设计!$B$24:$U$30,MATCH("对"&amp;LEFT($C$5,2)&amp;"输出",标准坦克设计!$B$23:$U$23,0)))*(VLOOKUP($B204,INDIRECT($B$5&amp;"生成成长"),3))*(VLOOKUP($B$5,标准坦克设计!$B$14:$K$20,9)/30))</f>
        <v>6.8900752495022131</v>
      </c>
      <c r="X204" s="172">
        <f ca="1">(VLOOKUP(X$72,INDIRECT($C$5&amp;"生成成长"),2))/((VLOOKUP($B204,INDIRECT($B$5&amp;"生成成长"),4))/(VLOOKUP(X$72,INDIRECT($C$5&amp;"生成成长"),5))*(VLOOKUP($B$5,标准坦克设计!$B$24:$U$30,MATCH("对"&amp;LEFT($C$5,2)&amp;"输出",标准坦克设计!$B$23:$U$23,0)))*(VLOOKUP($B204,INDIRECT($B$5&amp;"生成成长"),3))*(VLOOKUP($B$5,标准坦克设计!$B$14:$K$20,9)/30))</f>
        <v>4.9917085999043724</v>
      </c>
      <c r="Y204" s="172">
        <f ca="1">(VLOOKUP(Y$72,INDIRECT($C$5&amp;"生成成长"),2))/((VLOOKUP($B204,INDIRECT($B$5&amp;"生成成长"),4))/(VLOOKUP(Y$72,INDIRECT($C$5&amp;"生成成长"),5))*(VLOOKUP($B$5,标准坦克设计!$B$24:$U$30,MATCH("对"&amp;LEFT($C$5,2)&amp;"输出",标准坦克设计!$B$23:$U$23,0)))*(VLOOKUP($B204,INDIRECT($B$5&amp;"生成成长"),3))*(VLOOKUP($B$5,标准坦克设计!$B$14:$K$20,9)/30))</f>
        <v>5.5521560404263477</v>
      </c>
      <c r="Z204" s="172">
        <f ca="1">(VLOOKUP(Z$72,INDIRECT($C$5&amp;"生成成长"),2))/((VLOOKUP($B204,INDIRECT($B$5&amp;"生成成长"),4))/(VLOOKUP(Z$72,INDIRECT($C$5&amp;"生成成长"),5))*(VLOOKUP($B$5,标准坦克设计!$B$24:$U$30,MATCH("对"&amp;LEFT($C$5,2)&amp;"输出",标准坦克设计!$B$23:$U$23,0)))*(VLOOKUP($B204,INDIRECT($B$5&amp;"生成成长"),3))*(VLOOKUP($B$5,标准坦克设计!$B$14:$K$20,9)/30))</f>
        <v>6.1424145150186407</v>
      </c>
      <c r="AA204" s="172">
        <f ca="1">(VLOOKUP(AA$72,INDIRECT($C$5&amp;"生成成长"),2))/((VLOOKUP($B204,INDIRECT($B$5&amp;"生成成长"),4))/(VLOOKUP(AA$72,INDIRECT($C$5&amp;"生成成长"),5))*(VLOOKUP($B$5,标准坦克设计!$B$24:$U$30,MATCH("对"&amp;LEFT($C$5,2)&amp;"输出",标准坦克设计!$B$23:$U$23,0)))*(VLOOKUP($B204,INDIRECT($B$5&amp;"生成成长"),3))*(VLOOKUP($B$5,标准坦克设计!$B$14:$K$20,9)/30))</f>
        <v>6.7624840236812531</v>
      </c>
      <c r="AB204" s="172">
        <f ca="1">(VLOOKUP(AB$72,INDIRECT($C$5&amp;"生成成长"),2))/((VLOOKUP($B204,INDIRECT($B$5&amp;"生成成长"),4))/(VLOOKUP(AB$72,INDIRECT($C$5&amp;"生成成长"),5))*(VLOOKUP($B$5,标准坦克设计!$B$24:$U$30,MATCH("对"&amp;LEFT($C$5,2)&amp;"输出",标准坦克设计!$B$23:$U$23,0)))*(VLOOKUP($B204,INDIRECT($B$5&amp;"生成成长"),3))*(VLOOKUP($B$5,标准坦克设计!$B$14:$K$20,9)/30))</f>
        <v>7.4123645664141815</v>
      </c>
      <c r="AC204" s="172">
        <f ca="1">(VLOOKUP(AC$72,INDIRECT($C$5&amp;"生成成长"),2))/((VLOOKUP($B204,INDIRECT($B$5&amp;"生成成长"),4))/(VLOOKUP(AC$72,INDIRECT($C$5&amp;"生成成长"),5))*(VLOOKUP($B$5,标准坦克设计!$B$24:$U$30,MATCH("对"&amp;LEFT($C$5,2)&amp;"输出",标准坦克设计!$B$23:$U$23,0)))*(VLOOKUP($B204,INDIRECT($B$5&amp;"生成成长"),3))*(VLOOKUP($B$5,标准坦克设计!$B$14:$K$20,9)/30))</f>
        <v>8.0920561432174285</v>
      </c>
      <c r="AD204" s="172">
        <f ca="1">(VLOOKUP(AD$72,INDIRECT($C$5&amp;"生成成长"),2))/((VLOOKUP($B204,INDIRECT($B$5&amp;"生成成长"),4))/(VLOOKUP(AD$72,INDIRECT($C$5&amp;"生成成长"),5))*(VLOOKUP($B$5,标准坦克设计!$B$24:$U$30,MATCH("对"&amp;LEFT($C$5,2)&amp;"输出",标准坦克设计!$B$23:$U$23,0)))*(VLOOKUP($B204,INDIRECT($B$5&amp;"生成成长"),3))*(VLOOKUP($B$5,标准坦克设计!$B$14:$K$20,9)/30))</f>
        <v>8.8015587540909923</v>
      </c>
      <c r="AE204" s="172">
        <f ca="1">(VLOOKUP(AE$72,INDIRECT($C$5&amp;"生成成长"),2))/((VLOOKUP($B204,INDIRECT($B$5&amp;"生成成长"),4))/(VLOOKUP(AE$72,INDIRECT($C$5&amp;"生成成长"),5))*(VLOOKUP($B$5,标准坦克设计!$B$24:$U$30,MATCH("对"&amp;LEFT($C$5,2)&amp;"输出",标准坦克设计!$B$23:$U$23,0)))*(VLOOKUP($B204,INDIRECT($B$5&amp;"生成成长"),3))*(VLOOKUP($B$5,标准坦克设计!$B$14:$K$20,9)/30))</f>
        <v>9.5408723990348747</v>
      </c>
      <c r="AF204" s="172">
        <f ca="1">(VLOOKUP(AF$72,INDIRECT($C$5&amp;"生成成长"),2))/((VLOOKUP($B204,INDIRECT($B$5&amp;"生成成长"),4))/(VLOOKUP(AF$72,INDIRECT($C$5&amp;"生成成长"),5))*(VLOOKUP($B$5,标准坦克设计!$B$24:$U$30,MATCH("对"&amp;LEFT($C$5,2)&amp;"输出",标准坦克设计!$B$23:$U$23,0)))*(VLOOKUP($B204,INDIRECT($B$5&amp;"生成成长"),3))*(VLOOKUP($B$5,标准坦克设计!$B$14:$K$20,9)/30))</f>
        <v>10.309997078049078</v>
      </c>
      <c r="AG204" s="172">
        <f ca="1">(VLOOKUP(AG$72,INDIRECT($C$5&amp;"生成成长"),2))/((VLOOKUP($B204,INDIRECT($B$5&amp;"生成成长"),4))/(VLOOKUP(AG$72,INDIRECT($C$5&amp;"生成成长"),5))*(VLOOKUP($B$5,标准坦克设计!$B$24:$U$30,MATCH("对"&amp;LEFT($C$5,2)&amp;"输出",标准坦克设计!$B$23:$U$23,0)))*(VLOOKUP($B204,INDIRECT($B$5&amp;"生成成长"),3))*(VLOOKUP($B$5,标准坦克设计!$B$14:$K$20,9)/30))</f>
        <v>11.108932791133595</v>
      </c>
      <c r="AH204" s="172">
        <f ca="1">(VLOOKUP(AH$72,INDIRECT($C$5&amp;"生成成长"),2))/((VLOOKUP($B204,INDIRECT($B$5&amp;"生成成长"),4))/(VLOOKUP(AH$72,INDIRECT($C$5&amp;"生成成长"),5))*(VLOOKUP($B$5,标准坦克设计!$B$24:$U$30,MATCH("对"&amp;LEFT($C$5,2)&amp;"输出",标准坦克设计!$B$23:$U$23,0)))*(VLOOKUP($B204,INDIRECT($B$5&amp;"生成成长"),3))*(VLOOKUP($B$5,标准坦克设计!$B$14:$K$20,9)/30))</f>
        <v>11.937679538288432</v>
      </c>
      <c r="AI204" s="172">
        <f ca="1">(VLOOKUP(AI$72,INDIRECT($C$5&amp;"生成成长"),2))/((VLOOKUP($B204,INDIRECT($B$5&amp;"生成成长"),4))/(VLOOKUP(AI$72,INDIRECT($C$5&amp;"生成成长"),5))*(VLOOKUP($B$5,标准坦克设计!$B$24:$U$30,MATCH("对"&amp;LEFT($C$5,2)&amp;"输出",标准坦克设计!$B$23:$U$23,0)))*(VLOOKUP($B204,INDIRECT($B$5&amp;"生成成长"),3))*(VLOOKUP($B$5,标准坦克设计!$B$14:$K$20,9)/30))</f>
        <v>8.4430810693954239</v>
      </c>
      <c r="AJ204" s="172">
        <f ca="1">(VLOOKUP(AJ$72,INDIRECT($C$5&amp;"生成成长"),2))/((VLOOKUP($B204,INDIRECT($B$5&amp;"生成成长"),4))/(VLOOKUP(AJ$72,INDIRECT($C$5&amp;"生成成长"),5))*(VLOOKUP($B$5,标准坦克设计!$B$24:$U$30,MATCH("对"&amp;LEFT($C$5,2)&amp;"输出",标准坦克设计!$B$23:$U$23,0)))*(VLOOKUP($B204,INDIRECT($B$5&amp;"生成成长"),3))*(VLOOKUP($B$5,标准坦克设计!$B$14:$K$20,9)/30))</f>
        <v>9.241569616968885</v>
      </c>
      <c r="AK204" s="172">
        <f ca="1">(VLOOKUP(AK$72,INDIRECT($C$5&amp;"生成成长"),2))/((VLOOKUP($B204,INDIRECT($B$5&amp;"生成成长"),4))/(VLOOKUP(AK$72,INDIRECT($C$5&amp;"生成成长"),5))*(VLOOKUP($B$5,标准坦克设计!$B$24:$U$30,MATCH("对"&amp;LEFT($C$5,2)&amp;"输出",标准坦克设计!$B$23:$U$23,0)))*(VLOOKUP($B204,INDIRECT($B$5&amp;"生成成长"),3))*(VLOOKUP($B$5,标准坦克设计!$B$14:$K$20,9)/30))</f>
        <v>10.076129515767432</v>
      </c>
      <c r="AL204" s="172">
        <f ca="1">(VLOOKUP(AL$72,INDIRECT($C$5&amp;"生成成长"),2))/((VLOOKUP($B204,INDIRECT($B$5&amp;"生成成长"),4))/(VLOOKUP(AL$72,INDIRECT($C$5&amp;"生成成长"),5))*(VLOOKUP($B$5,标准坦克设计!$B$24:$U$30,MATCH("对"&amp;LEFT($C$5,2)&amp;"输出",标准坦克设计!$B$23:$U$23,0)))*(VLOOKUP($B204,INDIRECT($B$5&amp;"生成成长"),3))*(VLOOKUP($B$5,标准坦克设计!$B$14:$K$20,9)/30))</f>
        <v>10.946760765791065</v>
      </c>
      <c r="AM204" s="172">
        <f ca="1">(VLOOKUP(AM$72,INDIRECT($C$5&amp;"生成成长"),2))/((VLOOKUP($B204,INDIRECT($B$5&amp;"生成成长"),4))/(VLOOKUP(AM$72,INDIRECT($C$5&amp;"生成成长"),5))*(VLOOKUP($B$5,标准坦克设计!$B$24:$U$30,MATCH("对"&amp;LEFT($C$5,2)&amp;"输出",标准坦克设计!$B$23:$U$23,0)))*(VLOOKUP($B204,INDIRECT($B$5&amp;"生成成长"),3))*(VLOOKUP($B$5,标准坦克设计!$B$14:$K$20,9)/30))</f>
        <v>11.853463367039787</v>
      </c>
      <c r="AN204" s="172">
        <f ca="1">(VLOOKUP(AN$72,INDIRECT($C$5&amp;"生成成长"),2))/((VLOOKUP($B204,INDIRECT($B$5&amp;"生成成长"),4))/(VLOOKUP(AN$72,INDIRECT($C$5&amp;"生成成长"),5))*(VLOOKUP($B$5,标准坦克设计!$B$24:$U$30,MATCH("对"&amp;LEFT($C$5,2)&amp;"输出",标准坦克设计!$B$23:$U$23,0)))*(VLOOKUP($B204,INDIRECT($B$5&amp;"生成成长"),3))*(VLOOKUP($B$5,标准坦克设计!$B$14:$K$20,9)/30))</f>
        <v>12.796237319513585</v>
      </c>
      <c r="AO204" s="172">
        <f ca="1">(VLOOKUP(AO$72,INDIRECT($C$5&amp;"生成成长"),2))/((VLOOKUP($B204,INDIRECT($B$5&amp;"生成成长"),4))/(VLOOKUP(AO$72,INDIRECT($C$5&amp;"生成成长"),5))*(VLOOKUP($B$5,标准坦克设计!$B$24:$U$30,MATCH("对"&amp;LEFT($C$5,2)&amp;"输出",标准坦克设计!$B$23:$U$23,0)))*(VLOOKUP($B204,INDIRECT($B$5&amp;"生成成长"),3))*(VLOOKUP($B$5,标准坦克设计!$B$14:$K$20,9)/30))</f>
        <v>13.775082623212473</v>
      </c>
      <c r="AP204" s="172">
        <f ca="1">(VLOOKUP(AP$72,INDIRECT($C$5&amp;"生成成长"),2))/((VLOOKUP($B204,INDIRECT($B$5&amp;"生成成长"),4))/(VLOOKUP(AP$72,INDIRECT($C$5&amp;"生成成长"),5))*(VLOOKUP($B$5,标准坦克设计!$B$24:$U$30,MATCH("对"&amp;LEFT($C$5,2)&amp;"输出",标准坦克设计!$B$23:$U$23,0)))*(VLOOKUP($B204,INDIRECT($B$5&amp;"生成成长"),3))*(VLOOKUP($B$5,标准坦克设计!$B$14:$K$20,9)/30))</f>
        <v>14.789999278136445</v>
      </c>
      <c r="AQ204" s="172">
        <f ca="1">(VLOOKUP(AQ$72,INDIRECT($C$5&amp;"生成成长"),2))/((VLOOKUP($B204,INDIRECT($B$5&amp;"生成成长"),4))/(VLOOKUP(AQ$72,INDIRECT($C$5&amp;"生成成长"),5))*(VLOOKUP($B$5,标准坦克设计!$B$24:$U$30,MATCH("对"&amp;LEFT($C$5,2)&amp;"输出",标准坦克设计!$B$23:$U$23,0)))*(VLOOKUP($B204,INDIRECT($B$5&amp;"生成成长"),3))*(VLOOKUP($B$5,标准坦克设计!$B$14:$K$20,9)/30))</f>
        <v>15.840987284285502</v>
      </c>
      <c r="AR204" s="172">
        <f ca="1">(VLOOKUP(AR$72,INDIRECT($C$5&amp;"生成成长"),2))/((VLOOKUP($B204,INDIRECT($B$5&amp;"生成成长"),4))/(VLOOKUP(AR$72,INDIRECT($C$5&amp;"生成成长"),5))*(VLOOKUP($B$5,标准坦克设计!$B$24:$U$30,MATCH("对"&amp;LEFT($C$5,2)&amp;"输出",标准坦克设计!$B$23:$U$23,0)))*(VLOOKUP($B204,INDIRECT($B$5&amp;"生成成长"),3))*(VLOOKUP($B$5,标准坦克设计!$B$14:$K$20,9)/30))</f>
        <v>16.928046641659638</v>
      </c>
      <c r="AS204" s="172">
        <f ca="1">(VLOOKUP(AS$72,INDIRECT($C$5&amp;"生成成长"),2))/((VLOOKUP($B204,INDIRECT($B$5&amp;"生成成长"),4))/(VLOOKUP(AS$72,INDIRECT($C$5&amp;"生成成长"),5))*(VLOOKUP($B$5,标准坦克设计!$B$24:$U$30,MATCH("对"&amp;LEFT($C$5,2)&amp;"输出",标准坦克设计!$B$23:$U$23,0)))*(VLOOKUP($B204,INDIRECT($B$5&amp;"生成成长"),3))*(VLOOKUP($B$5,标准坦克设计!$B$14:$K$20,9)/30))</f>
        <v>18.051177350258868</v>
      </c>
      <c r="AT204" s="172">
        <f ca="1">(VLOOKUP(AT$72,INDIRECT($C$5&amp;"生成成长"),2))/((VLOOKUP($B204,INDIRECT($B$5&amp;"生成成长"),4))/(VLOOKUP(AT$72,INDIRECT($C$5&amp;"生成成长"),5))*(VLOOKUP($B$5,标准坦克设计!$B$24:$U$30,MATCH("对"&amp;LEFT($C$5,2)&amp;"输出",标准坦克设计!$B$23:$U$23,0)))*(VLOOKUP($B204,INDIRECT($B$5&amp;"生成成长"),3))*(VLOOKUP($B$5,标准坦克设计!$B$14:$K$20,9)/30))</f>
        <v>19.210379410083178</v>
      </c>
      <c r="AU204" s="172">
        <f ca="1">(VLOOKUP(AU$72,INDIRECT($C$5&amp;"生成成长"),2))/((VLOOKUP($B204,INDIRECT($B$5&amp;"生成成长"),4))/(VLOOKUP(AU$72,INDIRECT($C$5&amp;"生成成长"),5))*(VLOOKUP($B$5,标准坦克设计!$B$24:$U$30,MATCH("对"&amp;LEFT($C$5,2)&amp;"输出",标准坦克设计!$B$23:$U$23,0)))*(VLOOKUP($B204,INDIRECT($B$5&amp;"生成成长"),3))*(VLOOKUP($B$5,标准坦克设计!$B$14:$K$20,9)/30))</f>
        <v>20.405652821132566</v>
      </c>
      <c r="AV204" s="172">
        <f ca="1">(VLOOKUP(AV$72,INDIRECT($C$5&amp;"生成成长"),2))/((VLOOKUP($B204,INDIRECT($B$5&amp;"生成成长"),4))/(VLOOKUP(AV$72,INDIRECT($C$5&amp;"生成成长"),5))*(VLOOKUP($B$5,标准坦克设计!$B$24:$U$30,MATCH("对"&amp;LEFT($C$5,2)&amp;"输出",标准坦克设计!$B$23:$U$23,0)))*(VLOOKUP($B204,INDIRECT($B$5&amp;"生成成长"),3))*(VLOOKUP($B$5,标准坦克设计!$B$14:$K$20,9)/30))</f>
        <v>2.0754441919755289</v>
      </c>
      <c r="AW204" s="172">
        <f ca="1">(VLOOKUP(AW$72,INDIRECT($C$5&amp;"生成成长"),2))/((VLOOKUP($B204,INDIRECT($B$5&amp;"生成成长"),4))/(VLOOKUP(AW$72,INDIRECT($C$5&amp;"生成成长"),5))*(VLOOKUP($B$5,标准坦克设计!$B$24:$U$30,MATCH("对"&amp;LEFT($C$5,2)&amp;"输出",标准坦克设计!$B$23:$U$23,0)))*(VLOOKUP($B204,INDIRECT($B$5&amp;"生成成长"),3))*(VLOOKUP($B$5,标准坦克设计!$B$14:$K$20,9)/30))</f>
        <v>2.3663998845018308</v>
      </c>
      <c r="AX204" s="172">
        <f ca="1">(VLOOKUP(AX$72,INDIRECT($C$5&amp;"生成成长"),2))/((VLOOKUP($B204,INDIRECT($B$5&amp;"生成成长"),4))/(VLOOKUP(AX$72,INDIRECT($C$5&amp;"生成成长"),5))*(VLOOKUP($B$5,标准坦克设计!$B$24:$U$30,MATCH("对"&amp;LEFT($C$5,2)&amp;"输出",标准坦克设计!$B$23:$U$23,0)))*(VLOOKUP($B204,INDIRECT($B$5&amp;"生成成长"),3))*(VLOOKUP($B$5,标准坦克设计!$B$14:$K$20,9)/30))</f>
        <v>2.676434638833137</v>
      </c>
      <c r="AY204" s="172">
        <f ca="1">(VLOOKUP(AY$72,INDIRECT($C$5&amp;"生成成长"),2))/((VLOOKUP($B204,INDIRECT($B$5&amp;"生成成长"),4))/(VLOOKUP(AY$72,INDIRECT($C$5&amp;"生成成长"),5))*(VLOOKUP($B$5,标准坦克设计!$B$24:$U$30,MATCH("对"&amp;LEFT($C$5,2)&amp;"输出",标准坦克设计!$B$23:$U$23,0)))*(VLOOKUP($B204,INDIRECT($B$5&amp;"生成成长"),3))*(VLOOKUP($B$5,标准坦克设计!$B$14:$K$20,9)/30))</f>
        <v>3.0055484549694458</v>
      </c>
      <c r="AZ204" s="172">
        <f ca="1">(VLOOKUP(AZ$72,INDIRECT($C$5&amp;"生成成长"),2))/((VLOOKUP($B204,INDIRECT($B$5&amp;"生成成长"),4))/(VLOOKUP(AZ$72,INDIRECT($C$5&amp;"生成成长"),5))*(VLOOKUP($B$5,标准坦克设计!$B$24:$U$30,MATCH("对"&amp;LEFT($C$5,2)&amp;"输出",标准坦克设计!$B$23:$U$23,0)))*(VLOOKUP($B204,INDIRECT($B$5&amp;"生成成长"),3))*(VLOOKUP($B$5,标准坦克设计!$B$14:$K$20,9)/30))</f>
        <v>3.3537413329107584</v>
      </c>
      <c r="BA204" s="172">
        <f ca="1">(VLOOKUP(BA$72,INDIRECT($C$5&amp;"生成成长"),2))/((VLOOKUP($B204,INDIRECT($B$5&amp;"生成成长"),4))/(VLOOKUP(BA$72,INDIRECT($C$5&amp;"生成成长"),5))*(VLOOKUP($B$5,标准坦克设计!$B$24:$U$30,MATCH("对"&amp;LEFT($C$5,2)&amp;"输出",标准坦克设计!$B$23:$U$23,0)))*(VLOOKUP($B204,INDIRECT($B$5&amp;"生成成长"),3))*(VLOOKUP($B$5,标准坦克设计!$B$14:$K$20,9)/30))</f>
        <v>3.7210132726570744</v>
      </c>
      <c r="BB204" s="172">
        <f ca="1">(VLOOKUP(BB$72,INDIRECT($C$5&amp;"生成成长"),2))/((VLOOKUP($B204,INDIRECT($B$5&amp;"生成成长"),4))/(VLOOKUP(BB$72,INDIRECT($C$5&amp;"生成成长"),5))*(VLOOKUP($B$5,标准坦克设计!$B$24:$U$30,MATCH("对"&amp;LEFT($C$5,2)&amp;"输出",标准坦克设计!$B$23:$U$23,0)))*(VLOOKUP($B204,INDIRECT($B$5&amp;"生成成长"),3))*(VLOOKUP($B$5,标准坦克设计!$B$14:$K$20,9)/30))</f>
        <v>4.1073642742083925</v>
      </c>
      <c r="BC204" s="172">
        <f ca="1">(VLOOKUP(BC$72,INDIRECT($C$5&amp;"生成成长"),2))/((VLOOKUP($B204,INDIRECT($B$5&amp;"生成成长"),4))/(VLOOKUP(BC$72,INDIRECT($C$5&amp;"生成成长"),5))*(VLOOKUP($B$5,标准坦克设计!$B$24:$U$30,MATCH("对"&amp;LEFT($C$5,2)&amp;"输出",标准坦克设计!$B$23:$U$23,0)))*(VLOOKUP($B204,INDIRECT($B$5&amp;"生成成长"),3))*(VLOOKUP($B$5,标准坦克设计!$B$14:$K$20,9)/30))</f>
        <v>4.512794337564717</v>
      </c>
      <c r="BD204" s="172">
        <f ca="1">(VLOOKUP(BD$72,INDIRECT($C$5&amp;"生成成长"),2))/((VLOOKUP($B204,INDIRECT($B$5&amp;"生成成长"),4))/(VLOOKUP(BD$72,INDIRECT($C$5&amp;"生成成长"),5))*(VLOOKUP($B$5,标准坦克设计!$B$24:$U$30,MATCH("对"&amp;LEFT($C$5,2)&amp;"输出",标准坦克设计!$B$23:$U$23,0)))*(VLOOKUP($B204,INDIRECT($B$5&amp;"生成成长"),3))*(VLOOKUP($B$5,标准坦克设计!$B$14:$K$20,9)/30))</f>
        <v>4.9917085999043724</v>
      </c>
      <c r="BE204" s="172">
        <f ca="1">(VLOOKUP(BE$72,INDIRECT($C$5&amp;"生成成长"),2))/((VLOOKUP($B204,INDIRECT($B$5&amp;"生成成长"),4))/(VLOOKUP(BE$72,INDIRECT($C$5&amp;"生成成长"),5))*(VLOOKUP($B$5,标准坦克设计!$B$24:$U$30,MATCH("对"&amp;LEFT($C$5,2)&amp;"输出",标准坦克设计!$B$23:$U$23,0)))*(VLOOKUP($B204,INDIRECT($B$5&amp;"生成成长"),3))*(VLOOKUP($B$5,标准坦克设计!$B$14:$K$20,9)/30))</f>
        <v>5.494769799840987</v>
      </c>
      <c r="BF204" s="172">
        <f ca="1">(VLOOKUP(BF$72,INDIRECT($C$5&amp;"生成成长"),2))/((VLOOKUP($B204,INDIRECT($B$5&amp;"生成成长"),4))/(VLOOKUP(BF$72,INDIRECT($C$5&amp;"生成成长"),5))*(VLOOKUP($B$5,标准坦克设计!$B$24:$U$30,MATCH("对"&amp;LEFT($C$5,2)&amp;"输出",标准坦克设计!$B$23:$U$23,0)))*(VLOOKUP($B204,INDIRECT($B$5&amp;"生成成长"),3))*(VLOOKUP($B$5,标准坦克设计!$B$14:$K$20,9)/30))</f>
        <v>6.0219779373745572</v>
      </c>
      <c r="BG204" s="172">
        <f ca="1">(VLOOKUP(BG$72,INDIRECT($C$5&amp;"生成成长"),2))/((VLOOKUP($B204,INDIRECT($B$5&amp;"生成成长"),4))/(VLOOKUP(BG$72,INDIRECT($C$5&amp;"生成成长"),5))*(VLOOKUP($B$5,标准坦克设计!$B$24:$U$30,MATCH("对"&amp;LEFT($C$5,2)&amp;"输出",标准坦克设计!$B$23:$U$23,0)))*(VLOOKUP($B204,INDIRECT($B$5&amp;"生成成长"),3))*(VLOOKUP($B$5,标准坦克设计!$B$14:$K$20,9)/30))</f>
        <v>6.5733330125050866</v>
      </c>
      <c r="BH204" s="172">
        <f ca="1">(VLOOKUP(BH$72,INDIRECT($C$5&amp;"生成成长"),2))/((VLOOKUP($B204,INDIRECT($B$5&amp;"生成成长"),4))/(VLOOKUP(BH$72,INDIRECT($C$5&amp;"生成成长"),5))*(VLOOKUP($B$5,标准坦克设计!$B$24:$U$30,MATCH("对"&amp;LEFT($C$5,2)&amp;"输出",标准坦克设计!$B$23:$U$23,0)))*(VLOOKUP($B204,INDIRECT($B$5&amp;"生成成长"),3))*(VLOOKUP($B$5,标准坦克设计!$B$14:$K$20,9)/30))</f>
        <v>3.1772600112144764</v>
      </c>
      <c r="BI204" s="172">
        <f ca="1">(VLOOKUP(BI$72,INDIRECT($C$5&amp;"生成成长"),2))/((VLOOKUP($B204,INDIRECT($B$5&amp;"生成成长"),4))/(VLOOKUP(BI$72,INDIRECT($C$5&amp;"生成成长"),5))*(VLOOKUP($B$5,标准坦克设计!$B$24:$U$30,MATCH("对"&amp;LEFT($C$5,2)&amp;"输出",标准坦克设计!$B$23:$U$23,0)))*(VLOOKUP($B204,INDIRECT($B$5&amp;"生成成长"),3))*(VLOOKUP($B$5,标准坦克设计!$B$14:$K$20,9)/30))</f>
        <v>3.5810504676969317</v>
      </c>
      <c r="BJ204" s="172">
        <f ca="1">(VLOOKUP(BJ$72,INDIRECT($C$5&amp;"生成成长"),2))/((VLOOKUP($B204,INDIRECT($B$5&amp;"生成成长"),4))/(VLOOKUP(BJ$72,INDIRECT($C$5&amp;"生成成长"),5))*(VLOOKUP($B$5,标准坦克设计!$B$24:$U$30,MATCH("对"&amp;LEFT($C$5,2)&amp;"输出",标准坦克设计!$B$23:$U$23,0)))*(VLOOKUP($B204,INDIRECT($B$5&amp;"生成成长"),3))*(VLOOKUP($B$5,标准坦克设计!$B$14:$K$20,9)/30))</f>
        <v>4.0089878617763448</v>
      </c>
      <c r="BK204" s="172">
        <f ca="1">(VLOOKUP(BK$72,INDIRECT($C$5&amp;"生成成长"),2))/((VLOOKUP($B204,INDIRECT($B$5&amp;"生成成长"),4))/(VLOOKUP(BK$72,INDIRECT($C$5&amp;"生成成长"),5))*(VLOOKUP($B$5,标准坦克设计!$B$24:$U$30,MATCH("对"&amp;LEFT($C$5,2)&amp;"输出",标准坦克设计!$B$23:$U$23,0)))*(VLOOKUP($B204,INDIRECT($B$5&amp;"生成成长"),3))*(VLOOKUP($B$5,标准坦克设计!$B$14:$K$20,9)/30))</f>
        <v>4.4610721934527149</v>
      </c>
      <c r="BL204" s="172">
        <f ca="1">(VLOOKUP(BL$72,INDIRECT($C$5&amp;"生成成长"),2))/((VLOOKUP($B204,INDIRECT($B$5&amp;"生成成长"),4))/(VLOOKUP(BL$72,INDIRECT($C$5&amp;"生成成长"),5))*(VLOOKUP($B$5,标准坦克设计!$B$24:$U$30,MATCH("对"&amp;LEFT($C$5,2)&amp;"输出",标准坦克设计!$B$23:$U$23,0)))*(VLOOKUP($B204,INDIRECT($B$5&amp;"生成成长"),3))*(VLOOKUP($B$5,标准坦克设计!$B$14:$K$20,9)/30))</f>
        <v>4.9373034627260433</v>
      </c>
      <c r="BM204" s="172">
        <f ca="1">(VLOOKUP(BM$72,INDIRECT($C$5&amp;"生成成长"),2))/((VLOOKUP($B204,INDIRECT($B$5&amp;"生成成长"),4))/(VLOOKUP(BM$72,INDIRECT($C$5&amp;"生成成长"),5))*(VLOOKUP($B$5,标准坦克设计!$B$24:$U$30,MATCH("对"&amp;LEFT($C$5,2)&amp;"输出",标准坦克设计!$B$23:$U$23,0)))*(VLOOKUP($B204,INDIRECT($B$5&amp;"生成成长"),3))*(VLOOKUP($B$5,标准坦克设计!$B$14:$K$20,9)/30))</f>
        <v>5.4376816695963281</v>
      </c>
      <c r="BN204" s="172">
        <f ca="1">(VLOOKUP(BN$72,INDIRECT($C$5&amp;"生成成长"),2))/((VLOOKUP($B204,INDIRECT($B$5&amp;"生成成长"),4))/(VLOOKUP(BN$72,INDIRECT($C$5&amp;"生成成长"),5))*(VLOOKUP($B$5,标准坦克设计!$B$24:$U$30,MATCH("对"&amp;LEFT($C$5,2)&amp;"输出",标准坦克设计!$B$23:$U$23,0)))*(VLOOKUP($B204,INDIRECT($B$5&amp;"生成成长"),3))*(VLOOKUP($B$5,标准坦克设计!$B$14:$K$20,9)/30))</f>
        <v>5.9622068140635696</v>
      </c>
      <c r="BO204" s="172">
        <f ca="1">(VLOOKUP(BO$72,INDIRECT($C$5&amp;"生成成长"),2))/((VLOOKUP($B204,INDIRECT($B$5&amp;"生成成长"),4))/(VLOOKUP(BO$72,INDIRECT($C$5&amp;"生成成长"),5))*(VLOOKUP($B$5,标准坦克设计!$B$24:$U$30,MATCH("对"&amp;LEFT($C$5,2)&amp;"输出",标准坦克设计!$B$23:$U$23,0)))*(VLOOKUP($B204,INDIRECT($B$5&amp;"生成成长"),3))*(VLOOKUP($B$5,标准坦克设计!$B$14:$K$20,9)/30))</f>
        <v>6.510878896127771</v>
      </c>
      <c r="BP204" s="172">
        <f ca="1">(VLOOKUP(BP$72,INDIRECT($C$5&amp;"生成成长"),2))/((VLOOKUP($B204,INDIRECT($B$5&amp;"生成成长"),4))/(VLOOKUP(BP$72,INDIRECT($C$5&amp;"生成成长"),5))*(VLOOKUP($B$5,标准坦克设计!$B$24:$U$30,MATCH("对"&amp;LEFT($C$5,2)&amp;"输出",标准坦克设计!$B$23:$U$23,0)))*(VLOOKUP($B204,INDIRECT($B$5&amp;"生成成长"),3))*(VLOOKUP($B$5,标准坦克设计!$B$14:$K$20,9)/30))</f>
        <v>7.0836979157889282</v>
      </c>
      <c r="BQ204" s="172">
        <f ca="1">(VLOOKUP(BQ$72,INDIRECT($C$5&amp;"生成成长"),2))/((VLOOKUP($B204,INDIRECT($B$5&amp;"生成成长"),4))/(VLOOKUP(BQ$72,INDIRECT($C$5&amp;"生成成长"),5))*(VLOOKUP($B$5,标准坦克设计!$B$24:$U$30,MATCH("对"&amp;LEFT($C$5,2)&amp;"输出",标准坦克设计!$B$23:$U$23,0)))*(VLOOKUP($B204,INDIRECT($B$5&amp;"生成成长"),3))*(VLOOKUP($B$5,标准坦克设计!$B$14:$K$20,9)/30))</f>
        <v>7.6806638730470427</v>
      </c>
      <c r="BR204" s="172">
        <f ca="1">(VLOOKUP(BR$72,INDIRECT($C$5&amp;"生成成长"),2))/((VLOOKUP($B204,INDIRECT($B$5&amp;"生成成长"),4))/(VLOOKUP(BR$72,INDIRECT($C$5&amp;"生成成长"),5))*(VLOOKUP($B$5,标准坦克设计!$B$24:$U$30,MATCH("对"&amp;LEFT($C$5,2)&amp;"输出",标准坦克设计!$B$23:$U$23,0)))*(VLOOKUP($B204,INDIRECT($B$5&amp;"生成成长"),3))*(VLOOKUP($B$5,标准坦克设计!$B$14:$K$20,9)/30))</f>
        <v>8.3722798634784166</v>
      </c>
      <c r="BS204" s="172">
        <f ca="1">(VLOOKUP(BS$72,INDIRECT($C$5&amp;"生成成长"),2))/((VLOOKUP($B204,INDIRECT($B$5&amp;"生成成长"),4))/(VLOOKUP(BS$72,INDIRECT($C$5&amp;"生成成长"),5))*(VLOOKUP($B$5,标准坦克设计!$B$24:$U$30,MATCH("对"&amp;LEFT($C$5,2)&amp;"输出",标准坦克设计!$B$23:$U$23,0)))*(VLOOKUP($B204,INDIRECT($B$5&amp;"生成成长"),3))*(VLOOKUP($B$5,标准坦克设计!$B$14:$K$20,9)/30))</f>
        <v>9.09370688798011</v>
      </c>
      <c r="BT204" s="172">
        <f ca="1">(VLOOKUP(BT$72,INDIRECT($C$5&amp;"生成成长"),2))/((VLOOKUP($B204,INDIRECT($B$5&amp;"生成成长"),4))/(VLOOKUP(BT$72,INDIRECT($C$5&amp;"生成成长"),5))*(VLOOKUP($B$5,标准坦克设计!$B$24:$U$30,MATCH("对"&amp;LEFT($C$5,2)&amp;"输出",标准坦克设计!$B$23:$U$23,0)))*(VLOOKUP($B204,INDIRECT($B$5&amp;"生成成长"),3))*(VLOOKUP($B$5,标准坦克设计!$B$14:$K$20,9)/30))</f>
        <v>9.8449449465521184</v>
      </c>
      <c r="BU204" s="172">
        <f ca="1">(VLOOKUP(BU$72,INDIRECT($C$5&amp;"生成成长"),2))/((VLOOKUP($B204,INDIRECT($B$5&amp;"生成成长"),4))/(VLOOKUP(BU$72,INDIRECT($C$5&amp;"生成成长"),5))*(VLOOKUP($B$5,标准坦克设计!$B$24:$U$30,MATCH("对"&amp;LEFT($C$5,2)&amp;"输出",标准坦克设计!$B$23:$U$23,0)))*(VLOOKUP($B204,INDIRECT($B$5&amp;"生成成长"),3))*(VLOOKUP($B$5,标准坦克设计!$B$14:$K$20,9)/30))</f>
        <v>10.625994039194445</v>
      </c>
      <c r="BV204" s="172">
        <f ca="1">(VLOOKUP(BV$72,INDIRECT($C$5&amp;"生成成长"),2))/((VLOOKUP($B204,INDIRECT($B$5&amp;"生成成长"),4))/(VLOOKUP(BV$72,INDIRECT($C$5&amp;"生成成长"),5))*(VLOOKUP($B$5,标准坦克设计!$B$24:$U$30,MATCH("对"&amp;LEFT($C$5,2)&amp;"输出",标准坦克设计!$B$23:$U$23,0)))*(VLOOKUP($B204,INDIRECT($B$5&amp;"生成成长"),3))*(VLOOKUP($B$5,标准坦克设计!$B$14:$K$20,9)/30))</f>
        <v>11.436854165907091</v>
      </c>
      <c r="BW204" s="172">
        <f ca="1">(VLOOKUP(BW$72,INDIRECT($C$5&amp;"生成成长"),2))/((VLOOKUP($B204,INDIRECT($B$5&amp;"生成成长"),4))/(VLOOKUP(BW$72,INDIRECT($C$5&amp;"生成成长"),5))*(VLOOKUP($B$5,标准坦克设计!$B$24:$U$30,MATCH("对"&amp;LEFT($C$5,2)&amp;"输出",标准坦克设计!$B$23:$U$23,0)))*(VLOOKUP($B204,INDIRECT($B$5&amp;"生成成长"),3))*(VLOOKUP($B$5,标准坦克设计!$B$14:$K$20,9)/30))</f>
        <v>5.2123102520247251</v>
      </c>
      <c r="BX204" s="172">
        <f ca="1">(VLOOKUP(BX$72,INDIRECT($C$5&amp;"生成成长"),2))/((VLOOKUP($B204,INDIRECT($B$5&amp;"生成成长"),4))/(VLOOKUP(BX$72,INDIRECT($C$5&amp;"生成成长"),5))*(VLOOKUP($B$5,标准坦克设计!$B$24:$U$30,MATCH("对"&amp;LEFT($C$5,2)&amp;"输出",标准坦克设计!$B$23:$U$23,0)))*(VLOOKUP($B204,INDIRECT($B$5&amp;"生成成长"),3))*(VLOOKUP($B$5,标准坦克设计!$B$14:$K$20,9)/30))</f>
        <v>5.7846821061748273</v>
      </c>
      <c r="BY204" s="172">
        <f ca="1">(VLOOKUP(BY$72,INDIRECT($C$5&amp;"生成成长"),2))/((VLOOKUP($B204,INDIRECT($B$5&amp;"生成成长"),4))/(VLOOKUP(BY$72,INDIRECT($C$5&amp;"生成成长"),5))*(VLOOKUP($B$5,标准坦克设计!$B$24:$U$30,MATCH("对"&amp;LEFT($C$5,2)&amp;"输出",标准坦克设计!$B$23:$U$23,0)))*(VLOOKUP($B204,INDIRECT($B$5&amp;"生成成长"),3))*(VLOOKUP($B$5,标准坦克设计!$B$14:$K$20,9)/30))</f>
        <v>6.386864994395248</v>
      </c>
      <c r="BZ204" s="172">
        <f ca="1">(VLOOKUP(BZ$72,INDIRECT($C$5&amp;"生成成长"),2))/((VLOOKUP($B204,INDIRECT($B$5&amp;"生成成长"),4))/(VLOOKUP(BZ$72,INDIRECT($C$5&amp;"生成成长"),5))*(VLOOKUP($B$5,标准坦克设计!$B$24:$U$30,MATCH("对"&amp;LEFT($C$5,2)&amp;"输出",标准坦克设计!$B$23:$U$23,0)))*(VLOOKUP($B204,INDIRECT($B$5&amp;"生成成长"),3))*(VLOOKUP($B$5,标准坦克设计!$B$14:$K$20,9)/30))</f>
        <v>7.0188589166859865</v>
      </c>
      <c r="CA204" s="172">
        <f ca="1">(VLOOKUP(CA$72,INDIRECT($C$5&amp;"生成成长"),2))/((VLOOKUP($B204,INDIRECT($B$5&amp;"生成成长"),4))/(VLOOKUP(CA$72,INDIRECT($C$5&amp;"生成成长"),5))*(VLOOKUP($B$5,标准坦克设计!$B$24:$U$30,MATCH("对"&amp;LEFT($C$5,2)&amp;"输出",标准坦克设计!$B$23:$U$23,0)))*(VLOOKUP($B204,INDIRECT($B$5&amp;"生成成长"),3))*(VLOOKUP($B$5,标准坦克设计!$B$14:$K$20,9)/30))</f>
        <v>7.6806638730470427</v>
      </c>
      <c r="CB204" s="172">
        <f ca="1">(VLOOKUP(CB$72,INDIRECT($C$5&amp;"生成成长"),2))/((VLOOKUP($B204,INDIRECT($B$5&amp;"生成成长"),4))/(VLOOKUP(CB$72,INDIRECT($C$5&amp;"生成成长"),5))*(VLOOKUP($B$5,标准坦克设计!$B$24:$U$30,MATCH("对"&amp;LEFT($C$5,2)&amp;"输出",标准坦克设计!$B$23:$U$23,0)))*(VLOOKUP($B204,INDIRECT($B$5&amp;"生成成长"),3))*(VLOOKUP($B$5,标准坦克设计!$B$14:$K$20,9)/30))</f>
        <v>8.3722798634784166</v>
      </c>
      <c r="CC204" s="172">
        <f ca="1">(VLOOKUP(CC$72,INDIRECT($C$5&amp;"生成成长"),2))/((VLOOKUP($B204,INDIRECT($B$5&amp;"生成成长"),4))/(VLOOKUP(CC$72,INDIRECT($C$5&amp;"生成成长"),5))*(VLOOKUP($B$5,标准坦克设计!$B$24:$U$30,MATCH("对"&amp;LEFT($C$5,2)&amp;"输出",标准坦克设计!$B$23:$U$23,0)))*(VLOOKUP($B204,INDIRECT($B$5&amp;"生成成长"),3))*(VLOOKUP($B$5,标准坦克设计!$B$14:$K$20,9)/30))</f>
        <v>9.09370688798011</v>
      </c>
      <c r="CD204" s="172">
        <f ca="1">(VLOOKUP(CD$72,INDIRECT($C$5&amp;"生成成长"),2))/((VLOOKUP($B204,INDIRECT($B$5&amp;"生成成长"),4))/(VLOOKUP(CD$72,INDIRECT($C$5&amp;"生成成长"),5))*(VLOOKUP($B$5,标准坦克设计!$B$24:$U$30,MATCH("对"&amp;LEFT($C$5,2)&amp;"输出",标准坦克设计!$B$23:$U$23,0)))*(VLOOKUP($B204,INDIRECT($B$5&amp;"生成成长"),3))*(VLOOKUP($B$5,标准坦克设计!$B$14:$K$20,9)/30))</f>
        <v>9.8449449465521184</v>
      </c>
      <c r="CE204" s="172">
        <f ca="1">(VLOOKUP(CE$72,INDIRECT($C$5&amp;"生成成长"),2))/((VLOOKUP($B204,INDIRECT($B$5&amp;"生成成长"),4))/(VLOOKUP(CE$72,INDIRECT($C$5&amp;"生成成长"),5))*(VLOOKUP($B$5,标准坦克设计!$B$24:$U$30,MATCH("对"&amp;LEFT($C$5,2)&amp;"输出",标准坦克设计!$B$23:$U$23,0)))*(VLOOKUP($B204,INDIRECT($B$5&amp;"生成成长"),3))*(VLOOKUP($B$5,标准坦克设计!$B$14:$K$20,9)/30))</f>
        <v>10.625994039194445</v>
      </c>
      <c r="CF204" s="172">
        <f ca="1">(VLOOKUP(CF$72,INDIRECT($C$5&amp;"生成成长"),2))/((VLOOKUP($B204,INDIRECT($B$5&amp;"生成成长"),4))/(VLOOKUP(CF$72,INDIRECT($C$5&amp;"生成成长"),5))*(VLOOKUP($B$5,标准坦克设计!$B$24:$U$30,MATCH("对"&amp;LEFT($C$5,2)&amp;"输出",标准坦克设计!$B$23:$U$23,0)))*(VLOOKUP($B204,INDIRECT($B$5&amp;"生成成长"),3))*(VLOOKUP($B$5,标准坦克设计!$B$14:$K$20,9)/30))</f>
        <v>11.436854165907091</v>
      </c>
      <c r="CG204" s="172">
        <f ca="1">(VLOOKUP(CG$72,INDIRECT($C$5&amp;"生成成长"),2))/((VLOOKUP($B204,INDIRECT($B$5&amp;"生成成长"),4))/(VLOOKUP(CG$72,INDIRECT($C$5&amp;"生成成长"),5))*(VLOOKUP($B$5,标准坦克设计!$B$24:$U$30,MATCH("对"&amp;LEFT($C$5,2)&amp;"输出",标准坦克设计!$B$23:$U$23,0)))*(VLOOKUP($B204,INDIRECT($B$5&amp;"生成成长"),3))*(VLOOKUP($B$5,标准坦克设计!$B$14:$K$20,9)/30))</f>
        <v>12.277525326690055</v>
      </c>
      <c r="CH204" s="172">
        <f ca="1">(VLOOKUP(CH$72,INDIRECT($C$5&amp;"生成成长"),2))/((VLOOKUP($B204,INDIRECT($B$5&amp;"生成成长"),4))/(VLOOKUP(CH$72,INDIRECT($C$5&amp;"生成成长"),5))*(VLOOKUP($B$5,标准坦克设计!$B$24:$U$30,MATCH("对"&amp;LEFT($C$5,2)&amp;"输出",标准坦克设计!$B$23:$U$23,0)))*(VLOOKUP($B204,INDIRECT($B$5&amp;"生成成长"),3))*(VLOOKUP($B$5,标准坦克设计!$B$14:$K$20,9)/30))</f>
        <v>13.148007521543336</v>
      </c>
      <c r="CI204" s="172">
        <f ca="1">(VLOOKUP(CI$72,INDIRECT($C$5&amp;"生成成长"),2))/((VLOOKUP($B204,INDIRECT($B$5&amp;"生成成长"),4))/(VLOOKUP(CI$72,INDIRECT($C$5&amp;"生成成长"),5))*(VLOOKUP($B$5,标准坦克设计!$B$24:$U$30,MATCH("对"&amp;LEFT($C$5,2)&amp;"输出",标准坦克设计!$B$23:$U$23,0)))*(VLOOKUP($B204,INDIRECT($B$5&amp;"生成成长"),3))*(VLOOKUP($B$5,标准坦克设计!$B$14:$K$20,9)/30))</f>
        <v>14.139969680233163</v>
      </c>
      <c r="CJ204" s="172">
        <f ca="1">(VLOOKUP(CJ$72,INDIRECT($C$5&amp;"生成成长"),2))/((VLOOKUP($B204,INDIRECT($B$5&amp;"生成成长"),4))/(VLOOKUP(CJ$72,INDIRECT($C$5&amp;"生成成长"),5))*(VLOOKUP($B$5,标准坦克设计!$B$24:$U$30,MATCH("对"&amp;LEFT($C$5,2)&amp;"输出",标准坦克设计!$B$23:$U$23,0)))*(VLOOKUP($B204,INDIRECT($B$5&amp;"生成成长"),3))*(VLOOKUP($B$5,标准坦克设计!$B$14:$K$20,9)/30))</f>
        <v>15.168003190148076</v>
      </c>
      <c r="CK204" s="172">
        <f ca="1">(VLOOKUP(CK$72,INDIRECT($C$5&amp;"生成成长"),2))/((VLOOKUP($B204,INDIRECT($B$5&amp;"生成成长"),4))/(VLOOKUP(CK$72,INDIRECT($C$5&amp;"生成成长"),5))*(VLOOKUP($B$5,标准坦克设计!$B$24:$U$30,MATCH("对"&amp;LEFT($C$5,2)&amp;"输出",标准坦克设计!$B$23:$U$23,0)))*(VLOOKUP($B204,INDIRECT($B$5&amp;"生成成长"),3))*(VLOOKUP($B$5,标准坦克设计!$B$14:$K$20,9)/30))</f>
        <v>16.232108051288069</v>
      </c>
      <c r="CL204" s="172">
        <f ca="1">(VLOOKUP(CL$72,INDIRECT($C$5&amp;"生成成长"),2))/((VLOOKUP($B204,INDIRECT($B$5&amp;"生成成长"),4))/(VLOOKUP(CL$72,INDIRECT($C$5&amp;"生成成长"),5))*(VLOOKUP($B$5,标准坦克设计!$B$24:$U$30,MATCH("对"&amp;LEFT($C$5,2)&amp;"输出",标准坦克设计!$B$23:$U$23,0)))*(VLOOKUP($B204,INDIRECT($B$5&amp;"生成成长"),3))*(VLOOKUP($B$5,标准坦克设计!$B$14:$K$20,9)/30))</f>
        <v>17.33228426365315</v>
      </c>
      <c r="CM204" s="172">
        <f ca="1">(VLOOKUP(CM$72,INDIRECT($C$5&amp;"生成成长"),2))/((VLOOKUP($B204,INDIRECT($B$5&amp;"生成成长"),4))/(VLOOKUP(CM$72,INDIRECT($C$5&amp;"生成成长"),5))*(VLOOKUP($B$5,标准坦克设计!$B$24:$U$30,MATCH("对"&amp;LEFT($C$5,2)&amp;"输出",标准坦克设计!$B$23:$U$23,0)))*(VLOOKUP($B204,INDIRECT($B$5&amp;"生成成长"),3))*(VLOOKUP($B$5,标准坦克设计!$B$14:$K$20,9)/30))</f>
        <v>18.468531827243311</v>
      </c>
      <c r="CN204" s="172">
        <f ca="1">(VLOOKUP(CN$72,INDIRECT($C$5&amp;"生成成长"),2))/((VLOOKUP($B204,INDIRECT($B$5&amp;"生成成长"),4))/(VLOOKUP(CN$72,INDIRECT($C$5&amp;"生成成长"),5))*(VLOOKUP($B$5,标准坦克设计!$B$24:$U$30,MATCH("对"&amp;LEFT($C$5,2)&amp;"输出",标准坦克设计!$B$23:$U$23,0)))*(VLOOKUP($B204,INDIRECT($B$5&amp;"生成成长"),3))*(VLOOKUP($B$5,标准坦克设计!$B$14:$K$20,9)/30))</f>
        <v>19.640850742058564</v>
      </c>
      <c r="CO204" s="172">
        <f ca="1">(VLOOKUP(CO$72,INDIRECT($C$5&amp;"生成成长"),2))/((VLOOKUP($B204,INDIRECT($B$5&amp;"生成成长"),4))/(VLOOKUP(CO$72,INDIRECT($C$5&amp;"生成成长"),5))*(VLOOKUP($B$5,标准坦克设计!$B$24:$U$30,MATCH("对"&amp;LEFT($C$5,2)&amp;"输出",标准坦克设计!$B$23:$U$23,0)))*(VLOOKUP($B204,INDIRECT($B$5&amp;"生成成长"),3))*(VLOOKUP($B$5,标准坦克设计!$B$14:$K$20,9)/30))</f>
        <v>8.8015587540909923</v>
      </c>
      <c r="CP204" s="172">
        <f ca="1">(VLOOKUP(CP$72,INDIRECT($C$5&amp;"生成成长"),2))/((VLOOKUP($B204,INDIRECT($B$5&amp;"生成成长"),4))/(VLOOKUP(CP$72,INDIRECT($C$5&amp;"生成成长"),5))*(VLOOKUP($B$5,标准坦克设计!$B$24:$U$30,MATCH("对"&amp;LEFT($C$5,2)&amp;"输出",标准坦克设计!$B$23:$U$23,0)))*(VLOOKUP($B204,INDIRECT($B$5&amp;"生成成长"),3))*(VLOOKUP($B$5,标准坦克设计!$B$14:$K$20,9)/30))</f>
        <v>9.6164433704031325</v>
      </c>
      <c r="CQ204" s="172">
        <f ca="1">(VLOOKUP(CQ$72,INDIRECT($C$5&amp;"生成成长"),2))/((VLOOKUP($B204,INDIRECT($B$5&amp;"生成成长"),4))/(VLOOKUP(CQ$72,INDIRECT($C$5&amp;"生成成长"),5))*(VLOOKUP($B$5,标准坦克设计!$B$24:$U$30,MATCH("对"&amp;LEFT($C$5,2)&amp;"输出",标准坦克设计!$B$23:$U$23,0)))*(VLOOKUP($B204,INDIRECT($B$5&amp;"生成成长"),3))*(VLOOKUP($B$5,标准坦克设计!$B$14:$K$20,9)/30))</f>
        <v>10.467399337940355</v>
      </c>
      <c r="CR204" s="172">
        <f ca="1">(VLOOKUP(CR$72,INDIRECT($C$5&amp;"生成成长"),2))/((VLOOKUP($B204,INDIRECT($B$5&amp;"生成成长"),4))/(VLOOKUP(CR$72,INDIRECT($C$5&amp;"生成成长"),5))*(VLOOKUP($B$5,标准坦克设计!$B$24:$U$30,MATCH("对"&amp;LEFT($C$5,2)&amp;"输出",标准坦克设计!$B$23:$U$23,0)))*(VLOOKUP($B204,INDIRECT($B$5&amp;"生成成长"),3))*(VLOOKUP($B$5,标准坦克设计!$B$14:$K$20,9)/30))</f>
        <v>11.354426656702664</v>
      </c>
      <c r="CS204" s="172">
        <f ca="1">(VLOOKUP(CS$72,INDIRECT($C$5&amp;"生成成长"),2))/((VLOOKUP($B204,INDIRECT($B$5&amp;"生成成长"),4))/(VLOOKUP(CS$72,INDIRECT($C$5&amp;"生成成长"),5))*(VLOOKUP($B$5,标准坦克设计!$B$24:$U$30,MATCH("对"&amp;LEFT($C$5,2)&amp;"输出",标准坦克设计!$B$23:$U$23,0)))*(VLOOKUP($B204,INDIRECT($B$5&amp;"生成成长"),3))*(VLOOKUP($B$5,标准坦克设计!$B$14:$K$20,9)/30))</f>
        <v>12.277525326690055</v>
      </c>
      <c r="CT204" s="172">
        <f ca="1">(VLOOKUP(CT$72,INDIRECT($C$5&amp;"生成成长"),2))/((VLOOKUP($B204,INDIRECT($B$5&amp;"生成成长"),4))/(VLOOKUP(CT$72,INDIRECT($C$5&amp;"生成成长"),5))*(VLOOKUP($B$5,标准坦克设计!$B$24:$U$30,MATCH("对"&amp;LEFT($C$5,2)&amp;"输出",标准坦克设计!$B$23:$U$23,0)))*(VLOOKUP($B204,INDIRECT($B$5&amp;"生成成长"),3))*(VLOOKUP($B$5,标准坦克设计!$B$14:$K$20,9)/30))</f>
        <v>13.236695347902533</v>
      </c>
      <c r="CU204" s="172">
        <f ca="1">(VLOOKUP(CU$72,INDIRECT($C$5&amp;"生成成长"),2))/((VLOOKUP($B204,INDIRECT($B$5&amp;"生成成长"),4))/(VLOOKUP(CU$72,INDIRECT($C$5&amp;"生成成长"),5))*(VLOOKUP($B$5,标准坦克设计!$B$24:$U$30,MATCH("对"&amp;LEFT($C$5,2)&amp;"输出",标准坦克设计!$B$23:$U$23,0)))*(VLOOKUP($B204,INDIRECT($B$5&amp;"生成成长"),3))*(VLOOKUP($B$5,标准坦克设计!$B$14:$K$20,9)/30))</f>
        <v>14.231936720340094</v>
      </c>
      <c r="CV204" s="172">
        <f ca="1">(VLOOKUP(CV$72,INDIRECT($C$5&amp;"生成成长"),2))/((VLOOKUP($B204,INDIRECT($B$5&amp;"生成成长"),4))/(VLOOKUP(CV$72,INDIRECT($C$5&amp;"生成成长"),5))*(VLOOKUP($B$5,标准坦克设计!$B$24:$U$30,MATCH("对"&amp;LEFT($C$5,2)&amp;"输出",标准坦克设计!$B$23:$U$23,0)))*(VLOOKUP($B204,INDIRECT($B$5&amp;"生成成长"),3))*(VLOOKUP($B$5,标准坦克设计!$B$14:$K$20,9)/30))</f>
        <v>15.263249444002737</v>
      </c>
      <c r="CW204" s="172">
        <f ca="1">(VLOOKUP(CW$72,INDIRECT($C$5&amp;"生成成长"),2))/((VLOOKUP($B204,INDIRECT($B$5&amp;"生成成长"),4))/(VLOOKUP(CW$72,INDIRECT($C$5&amp;"生成成长"),5))*(VLOOKUP($B$5,标准坦克设计!$B$24:$U$30,MATCH("对"&amp;LEFT($C$5,2)&amp;"输出",标准坦克设计!$B$23:$U$23,0)))*(VLOOKUP($B204,INDIRECT($B$5&amp;"生成成长"),3))*(VLOOKUP($B$5,标准坦克设计!$B$14:$K$20,9)/30))</f>
        <v>16.330633518890473</v>
      </c>
      <c r="CX204" s="172">
        <f ca="1">(VLOOKUP(CX$72,INDIRECT($C$5&amp;"生成成长"),2))/((VLOOKUP($B204,INDIRECT($B$5&amp;"生成成长"),4))/(VLOOKUP(CX$72,INDIRECT($C$5&amp;"生成成长"),5))*(VLOOKUP($B$5,标准坦克设计!$B$24:$U$30,MATCH("对"&amp;LEFT($C$5,2)&amp;"输出",标准坦克设计!$B$23:$U$23,0)))*(VLOOKUP($B204,INDIRECT($B$5&amp;"生成成长"),3))*(VLOOKUP($B$5,标准坦克设计!$B$14:$K$20,9)/30))</f>
        <v>17.434088945003285</v>
      </c>
      <c r="CY204" s="172">
        <f ca="1">(VLOOKUP(CY$72,INDIRECT($C$5&amp;"生成成长"),2))/((VLOOKUP($B204,INDIRECT($B$5&amp;"生成成长"),4))/(VLOOKUP(CY$72,INDIRECT($C$5&amp;"生成成长"),5))*(VLOOKUP($B$5,标准坦克设计!$B$24:$U$30,MATCH("对"&amp;LEFT($C$5,2)&amp;"输出",标准坦克设计!$B$23:$U$23,0)))*(VLOOKUP($B204,INDIRECT($B$5&amp;"生成成长"),3))*(VLOOKUP($B$5,标准坦克设计!$B$14:$K$20,9)/30))</f>
        <v>18.573615722341192</v>
      </c>
      <c r="CZ204" s="172">
        <f ca="1">(VLOOKUP(CZ$72,INDIRECT($C$5&amp;"生成成长"),2))/((VLOOKUP($B204,INDIRECT($B$5&amp;"生成成长"),4))/(VLOOKUP(CZ$72,INDIRECT($C$5&amp;"生成成长"),5))*(VLOOKUP($B$5,标准坦克设计!$B$24:$U$30,MATCH("对"&amp;LEFT($C$5,2)&amp;"输出",标准坦克设计!$B$23:$U$23,0)))*(VLOOKUP($B204,INDIRECT($B$5&amp;"生成成长"),3))*(VLOOKUP($B$5,标准坦克设计!$B$14:$K$20,9)/30))</f>
        <v>19.749213850904173</v>
      </c>
      <c r="DA204" s="172">
        <f ca="1">(VLOOKUP(DA$72,INDIRECT($C$5&amp;"生成成长"),2))/((VLOOKUP($B204,INDIRECT($B$5&amp;"生成成长"),4))/(VLOOKUP(DA$72,INDIRECT($C$5&amp;"生成成长"),5))*(VLOOKUP($B$5,标准坦克设计!$B$24:$U$30,MATCH("对"&amp;LEFT($C$5,2)&amp;"输出",标准坦克设计!$B$23:$U$23,0)))*(VLOOKUP($B204,INDIRECT($B$5&amp;"生成成长"),3))*(VLOOKUP($B$5,标准坦克设计!$B$14:$K$20,9)/30))</f>
        <v>20.960883330692241</v>
      </c>
      <c r="DB204" s="172">
        <f ca="1">(VLOOKUP(DB$72,INDIRECT($C$5&amp;"生成成长"),2))/((VLOOKUP($B204,INDIRECT($B$5&amp;"生成成长"),4))/(VLOOKUP(DB$72,INDIRECT($C$5&amp;"生成成长"),5))*(VLOOKUP($B$5,标准坦克设计!$B$24:$U$30,MATCH("对"&amp;LEFT($C$5,2)&amp;"输出",标准坦克设计!$B$23:$U$23,0)))*(VLOOKUP($B204,INDIRECT($B$5&amp;"生成成长"),3))*(VLOOKUP($B$5,标准坦克设计!$B$14:$K$20,9)/30))</f>
        <v>22.208624161705391</v>
      </c>
      <c r="DC204" s="172">
        <f ca="1">(VLOOKUP(DC$72,INDIRECT($C$5&amp;"生成成长"),2))/((VLOOKUP($B204,INDIRECT($B$5&amp;"生成成长"),4))/(VLOOKUP(DC$72,INDIRECT($C$5&amp;"生成成长"),5))*(VLOOKUP($B$5,标准坦克设计!$B$24:$U$30,MATCH("对"&amp;LEFT($C$5,2)&amp;"输出",标准坦克设计!$B$23:$U$23,0)))*(VLOOKUP($B204,INDIRECT($B$5&amp;"生成成长"),3))*(VLOOKUP($B$5,标准坦克设计!$B$14:$K$20,9)/30))</f>
        <v>23.610935204373146</v>
      </c>
      <c r="DD204" s="172">
        <f ca="1">(VLOOKUP(DD$72,INDIRECT($C$5&amp;"生成成长"),2))/((VLOOKUP($B204,INDIRECT($B$5&amp;"生成成长"),4))/(VLOOKUP(DD$72,INDIRECT($C$5&amp;"生成成长"),5))*(VLOOKUP($B$5,标准坦克设计!$B$24:$U$30,MATCH("对"&amp;LEFT($C$5,2)&amp;"输出",标准坦克设计!$B$23:$U$23,0)))*(VLOOKUP($B204,INDIRECT($B$5&amp;"生成成长"),3))*(VLOOKUP($B$5,标准坦克设计!$B$14:$K$20,9)/30))</f>
        <v>25.05617413610215</v>
      </c>
      <c r="DE204" s="172">
        <f ca="1">(VLOOKUP(DE$72,INDIRECT($C$5&amp;"生成成长"),2))/((VLOOKUP($B204,INDIRECT($B$5&amp;"生成成长"),4))/(VLOOKUP(DE$72,INDIRECT($C$5&amp;"生成成长"),5))*(VLOOKUP($B$5,标准坦克设计!$B$24:$U$30,MATCH("对"&amp;LEFT($C$5,2)&amp;"输出",标准坦克设计!$B$23:$U$23,0)))*(VLOOKUP($B204,INDIRECT($B$5&amp;"生成成长"),3))*(VLOOKUP($B$5,标准坦克设计!$B$14:$K$20,9)/30))</f>
        <v>26.54434095689242</v>
      </c>
      <c r="DF204" s="172">
        <f ca="1">(VLOOKUP(DF$72,INDIRECT($C$5&amp;"生成成长"),2))/((VLOOKUP($B204,INDIRECT($B$5&amp;"生成成长"),4))/(VLOOKUP(DF$72,INDIRECT($C$5&amp;"生成成长"),5))*(VLOOKUP($B$5,标准坦克设计!$B$24:$U$30,MATCH("对"&amp;LEFT($C$5,2)&amp;"输出",标准坦克设计!$B$23:$U$23,0)))*(VLOOKUP($B204,INDIRECT($B$5&amp;"生成成长"),3))*(VLOOKUP($B$5,标准坦克设计!$B$14:$K$20,9)/30))</f>
        <v>28.075435666743946</v>
      </c>
      <c r="DG204" s="172">
        <f ca="1">(VLOOKUP(DG$72,INDIRECT($C$5&amp;"生成成长"),2))/((VLOOKUP($B204,INDIRECT($B$5&amp;"生成成长"),4))/(VLOOKUP(DG$72,INDIRECT($C$5&amp;"生成成长"),5))*(VLOOKUP($B$5,标准坦克设计!$B$24:$U$30,MATCH("对"&amp;LEFT($C$5,2)&amp;"输出",标准坦克设计!$B$23:$U$23,0)))*(VLOOKUP($B204,INDIRECT($B$5&amp;"生成成长"),3))*(VLOOKUP($B$5,标准坦克设计!$B$14:$K$20,9)/30))</f>
        <v>29.649458265656726</v>
      </c>
      <c r="DH204" s="172">
        <f ca="1">(VLOOKUP(DH$72,INDIRECT($C$5&amp;"生成成长"),2))/((VLOOKUP($B204,INDIRECT($B$5&amp;"生成成长"),4))/(VLOOKUP(DH$72,INDIRECT($C$5&amp;"生成成长"),5))*(VLOOKUP($B$5,标准坦克设计!$B$24:$U$30,MATCH("对"&amp;LEFT($C$5,2)&amp;"输出",标准坦克设计!$B$23:$U$23,0)))*(VLOOKUP($B204,INDIRECT($B$5&amp;"生成成长"),3))*(VLOOKUP($B$5,标准坦克设计!$B$14:$K$20,9)/30))</f>
        <v>31.266408753630767</v>
      </c>
      <c r="DI204" s="172">
        <f ca="1">(VLOOKUP(DI$72,INDIRECT($C$5&amp;"生成成长"),2))/((VLOOKUP($B204,INDIRECT($B$5&amp;"生成成长"),4))/(VLOOKUP(DI$72,INDIRECT($C$5&amp;"生成成长"),5))*(VLOOKUP($B$5,标准坦克设计!$B$24:$U$30,MATCH("对"&amp;LEFT($C$5,2)&amp;"输出",标准坦克设计!$B$23:$U$23,0)))*(VLOOKUP($B204,INDIRECT($B$5&amp;"生成成长"),3))*(VLOOKUP($B$5,标准坦克设计!$B$14:$K$20,9)/30))</f>
        <v>32.926287130666061</v>
      </c>
      <c r="DJ204" s="172">
        <f ca="1">(VLOOKUP(DJ$72,INDIRECT($C$5&amp;"生成成长"),2))/((VLOOKUP($B204,INDIRECT($B$5&amp;"生成成长"),4))/(VLOOKUP(DJ$72,INDIRECT($C$5&amp;"生成成长"),5))*(VLOOKUP($B$5,标准坦克设计!$B$24:$U$30,MATCH("对"&amp;LEFT($C$5,2)&amp;"输出",标准坦克设计!$B$23:$U$23,0)))*(VLOOKUP($B204,INDIRECT($B$5&amp;"生成成长"),3))*(VLOOKUP($B$5,标准坦克设计!$B$14:$K$20,9)/30))</f>
        <v>3.3091738369756332</v>
      </c>
      <c r="DK204" s="172">
        <f ca="1">(VLOOKUP(DK$72,INDIRECT($C$5&amp;"生成成长"),2))/((VLOOKUP($B204,INDIRECT($B$5&amp;"生成成长"),4))/(VLOOKUP(DK$72,INDIRECT($C$5&amp;"生成成长"),5))*(VLOOKUP($B$5,标准坦克设计!$B$24:$U$30,MATCH("对"&amp;LEFT($C$5,2)&amp;"输出",标准坦克设计!$B$23:$U$23,0)))*(VLOOKUP($B204,INDIRECT($B$5&amp;"生成成长"),3))*(VLOOKUP($B$5,标准坦克设计!$B$14:$K$20,9)/30))</f>
        <v>3.7210132726570744</v>
      </c>
      <c r="DL204" s="172">
        <f ca="1">(VLOOKUP(DL$72,INDIRECT($C$5&amp;"生成成长"),2))/((VLOOKUP($B204,INDIRECT($B$5&amp;"生成成长"),4))/(VLOOKUP(DL$72,INDIRECT($C$5&amp;"生成成长"),5))*(VLOOKUP($B$5,标准坦克设计!$B$24:$U$30,MATCH("对"&amp;LEFT($C$5,2)&amp;"输出",标准坦克设计!$B$23:$U$23,0)))*(VLOOKUP($B204,INDIRECT($B$5&amp;"生成成长"),3))*(VLOOKUP($B$5,标准坦克设计!$B$14:$K$20,9)/30))</f>
        <v>4.1569996459354721</v>
      </c>
      <c r="DM204" s="172">
        <f ca="1">(VLOOKUP(DM$72,INDIRECT($C$5&amp;"生成成长"),2))/((VLOOKUP($B204,INDIRECT($B$5&amp;"生成成长"),4))/(VLOOKUP(DM$72,INDIRECT($C$5&amp;"生成成长"),5))*(VLOOKUP($B$5,标准坦克设计!$B$24:$U$30,MATCH("对"&amp;LEFT($C$5,2)&amp;"输出",标准坦克设计!$B$23:$U$23,0)))*(VLOOKUP($B204,INDIRECT($B$5&amp;"生成成长"),3))*(VLOOKUP($B$5,标准坦克设计!$B$14:$K$20,9)/30))</f>
        <v>4.6171329568108277</v>
      </c>
      <c r="DN204" s="172">
        <f ca="1">(VLOOKUP(DN$72,INDIRECT($C$5&amp;"生成成长"),2))/((VLOOKUP($B204,INDIRECT($B$5&amp;"生成成长"),4))/(VLOOKUP(DN$72,INDIRECT($C$5&amp;"生成成长"),5))*(VLOOKUP($B$5,标准坦克设计!$B$24:$U$30,MATCH("对"&amp;LEFT($C$5,2)&amp;"输出",标准坦克设计!$B$23:$U$23,0)))*(VLOOKUP($B204,INDIRECT($B$5&amp;"生成成长"),3))*(VLOOKUP($B$5,标准坦克设计!$B$14:$K$20,9)/30))</f>
        <v>5.1014132052831416</v>
      </c>
      <c r="DO204" s="172">
        <f ca="1">(VLOOKUP(DO$72,INDIRECT($C$5&amp;"生成成长"),2))/((VLOOKUP($B204,INDIRECT($B$5&amp;"生成成长"),4))/(VLOOKUP(DO$72,INDIRECT($C$5&amp;"生成成长"),5))*(VLOOKUP($B$5,标准坦克设计!$B$24:$U$30,MATCH("对"&amp;LEFT($C$5,2)&amp;"输出",标准坦克设计!$B$23:$U$23,0)))*(VLOOKUP($B204,INDIRECT($B$5&amp;"生成成长"),3))*(VLOOKUP($B$5,标准坦克设计!$B$14:$K$20,9)/30))</f>
        <v>5.6098403913524129</v>
      </c>
      <c r="DP204" s="172">
        <f ca="1">(VLOOKUP(DP$72,INDIRECT($C$5&amp;"生成成长"),2))/((VLOOKUP($B204,INDIRECT($B$5&amp;"生成成长"),4))/(VLOOKUP(DP$72,INDIRECT($C$5&amp;"生成成长"),5))*(VLOOKUP($B$5,标准坦克设计!$B$24:$U$30,MATCH("对"&amp;LEFT($C$5,2)&amp;"输出",标准坦克设计!$B$23:$U$23,0)))*(VLOOKUP($B204,INDIRECT($B$5&amp;"生成成长"),3))*(VLOOKUP($B$5,标准坦克设计!$B$14:$K$20,9)/30))</f>
        <v>6.1424145150186407</v>
      </c>
      <c r="DQ204" s="172">
        <f ca="1">(VLOOKUP(DQ$72,INDIRECT($C$5&amp;"生成成长"),2))/((VLOOKUP($B204,INDIRECT($B$5&amp;"生成成长"),4))/(VLOOKUP(DQ$72,INDIRECT($C$5&amp;"生成成长"),5))*(VLOOKUP($B$5,标准坦克设计!$B$24:$U$30,MATCH("对"&amp;LEFT($C$5,2)&amp;"输出",标准坦克设计!$B$23:$U$23,0)))*(VLOOKUP($B204,INDIRECT($B$5&amp;"生成成长"),3))*(VLOOKUP($B$5,标准坦克设计!$B$14:$K$20,9)/30))</f>
        <v>6.6991355762818268</v>
      </c>
      <c r="DR204" s="172">
        <f ca="1">(VLOOKUP(DR$72,INDIRECT($C$5&amp;"生成成长"),2))/((VLOOKUP($B204,INDIRECT($B$5&amp;"生成成长"),4))/(VLOOKUP(DR$72,INDIRECT($C$5&amp;"生成成长"),5))*(VLOOKUP($B$5,标准坦克设计!$B$24:$U$30,MATCH("对"&amp;LEFT($C$5,2)&amp;"输出",标准坦克设计!$B$23:$U$23,0)))*(VLOOKUP($B204,INDIRECT($B$5&amp;"生成成长"),3))*(VLOOKUP($B$5,标准坦克设计!$B$14:$K$20,9)/30))</f>
        <v>7.2800035751419712</v>
      </c>
      <c r="DS204" s="172">
        <f ca="1">(VLOOKUP(DS$72,INDIRECT($C$5&amp;"生成成长"),2))/((VLOOKUP($B204,INDIRECT($B$5&amp;"生成成长"),4))/(VLOOKUP(DS$72,INDIRECT($C$5&amp;"生成成长"),5))*(VLOOKUP($B$5,标准坦克设计!$B$24:$U$30,MATCH("对"&amp;LEFT($C$5,2)&amp;"输出",标准坦克设计!$B$23:$U$23,0)))*(VLOOKUP($B204,INDIRECT($B$5&amp;"生成成长"),3))*(VLOOKUP($B$5,标准坦克设计!$B$14:$K$20,9)/30))</f>
        <v>7.8850185115990712</v>
      </c>
      <c r="DT204" s="172">
        <f ca="1">(VLOOKUP(DT$72,INDIRECT($C$5&amp;"生成成长"),2))/((VLOOKUP($B204,INDIRECT($B$5&amp;"生成成长"),4))/(VLOOKUP(DT$72,INDIRECT($C$5&amp;"生成成长"),5))*(VLOOKUP($B$5,标准坦克设计!$B$24:$U$30,MATCH("对"&amp;LEFT($C$5,2)&amp;"输出",标准坦克设计!$B$23:$U$23,0)))*(VLOOKUP($B204,INDIRECT($B$5&amp;"生成成长"),3))*(VLOOKUP($B$5,标准坦克设计!$B$14:$K$20,9)/30))</f>
        <v>8.6572733491906551</v>
      </c>
      <c r="DU204" s="172">
        <f ca="1">(VLOOKUP(DU$72,INDIRECT($C$5&amp;"生成成长"),2))/((VLOOKUP($B204,INDIRECT($B$5&amp;"生成成长"),4))/(VLOOKUP(DU$72,INDIRECT($C$5&amp;"生成成长"),5))*(VLOOKUP($B$5,标准坦克设计!$B$24:$U$30,MATCH("对"&amp;LEFT($C$5,2)&amp;"输出",标准坦克设计!$B$23:$U$23,0)))*(VLOOKUP($B204,INDIRECT($B$5&amp;"生成成长"),3))*(VLOOKUP($B$5,标准坦克设计!$B$14:$K$20,9)/30))</f>
        <v>9.4655995380073232</v>
      </c>
      <c r="DV204" s="172">
        <f ca="1">(VLOOKUP(DV$72,INDIRECT($C$5&amp;"生成成长"),2))/((VLOOKUP($B204,INDIRECT($B$5&amp;"生成成长"),4))/(VLOOKUP(DV$72,INDIRECT($C$5&amp;"生成成长"),5))*(VLOOKUP($B$5,标准坦克设计!$B$24:$U$30,MATCH("对"&amp;LEFT($C$5,2)&amp;"输出",标准坦克设计!$B$23:$U$23,0)))*(VLOOKUP($B204,INDIRECT($B$5&amp;"生成成长"),3))*(VLOOKUP($B$5,标准坦克设计!$B$14:$K$20,9)/30))</f>
        <v>10.309997078049078</v>
      </c>
      <c r="DW204" s="172">
        <f ca="1">(VLOOKUP(DW$72,INDIRECT($C$5&amp;"生成成长"),2))/((VLOOKUP($B204,INDIRECT($B$5&amp;"生成成长"),4))/(VLOOKUP(DW$72,INDIRECT($C$5&amp;"生成成长"),5))*(VLOOKUP($B$5,标准坦克设计!$B$24:$U$30,MATCH("对"&amp;LEFT($C$5,2)&amp;"输出",标准坦克设计!$B$23:$U$23,0)))*(VLOOKUP($B204,INDIRECT($B$5&amp;"生成成长"),3))*(VLOOKUP($B$5,标准坦克设计!$B$14:$K$20,9)/30))</f>
        <v>11.190465969315914</v>
      </c>
      <c r="DX204" s="172">
        <f ca="1">(VLOOKUP(DX$72,INDIRECT($C$5&amp;"生成成长"),2))/((VLOOKUP($B204,INDIRECT($B$5&amp;"生成成长"),4))/(VLOOKUP(DX$72,INDIRECT($C$5&amp;"生成成长"),5))*(VLOOKUP($B$5,标准坦克设计!$B$24:$U$30,MATCH("对"&amp;LEFT($C$5,2)&amp;"输出",标准坦克设计!$B$23:$U$23,0)))*(VLOOKUP($B204,INDIRECT($B$5&amp;"生成成长"),3))*(VLOOKUP($B$5,标准坦克设计!$B$14:$K$20,9)/30))</f>
        <v>12.107006211807837</v>
      </c>
      <c r="DY204" s="172">
        <f ca="1">(VLOOKUP(DY$72,INDIRECT($C$5&amp;"生成成长"),2))/((VLOOKUP($B204,INDIRECT($B$5&amp;"生成成长"),4))/(VLOOKUP(DY$72,INDIRECT($C$5&amp;"生成成长"),5))*(VLOOKUP($B$5,标准坦克设计!$B$24:$U$30,MATCH("对"&amp;LEFT($C$5,2)&amp;"输出",标准坦克设计!$B$23:$U$23,0)))*(VLOOKUP($B204,INDIRECT($B$5&amp;"生成成长"),3))*(VLOOKUP($B$5,标准坦克设计!$B$14:$K$20,9)/30))</f>
        <v>5.4376816695963281</v>
      </c>
      <c r="DZ204" s="172">
        <f ca="1">(VLOOKUP(DZ$72,INDIRECT($C$5&amp;"生成成长"),2))/((VLOOKUP($B204,INDIRECT($B$5&amp;"生成成长"),4))/(VLOOKUP(DZ$72,INDIRECT($C$5&amp;"生成成长"),5))*(VLOOKUP($B$5,标准坦克设计!$B$24:$U$30,MATCH("对"&amp;LEFT($C$5,2)&amp;"输出",标准坦克设计!$B$23:$U$23,0)))*(VLOOKUP($B204,INDIRECT($B$5&amp;"生成成长"),3))*(VLOOKUP($B$5,标准坦克设计!$B$14:$K$20,9)/30))</f>
        <v>6.0219779373745572</v>
      </c>
      <c r="EA204" s="172">
        <f ca="1">(VLOOKUP(EA$72,INDIRECT($C$5&amp;"生成成长"),2))/((VLOOKUP($B204,INDIRECT($B$5&amp;"生成成长"),4))/(VLOOKUP(EA$72,INDIRECT($C$5&amp;"生成成长"),5))*(VLOOKUP($B$5,标准坦克设计!$B$24:$U$30,MATCH("对"&amp;LEFT($C$5,2)&amp;"输出",标准坦克设计!$B$23:$U$23,0)))*(VLOOKUP($B204,INDIRECT($B$5&amp;"生成成长"),3))*(VLOOKUP($B$5,标准坦克设计!$B$14:$K$20,9)/30))</f>
        <v>6.6360852392231049</v>
      </c>
      <c r="EB204" s="172">
        <f ca="1">(VLOOKUP(EB$72,INDIRECT($C$5&amp;"生成成长"),2))/((VLOOKUP($B204,INDIRECT($B$5&amp;"生成成长"),4))/(VLOOKUP(EB$72,INDIRECT($C$5&amp;"生成成长"),5))*(VLOOKUP($B$5,标准坦克设计!$B$24:$U$30,MATCH("对"&amp;LEFT($C$5,2)&amp;"输出",标准坦克设计!$B$23:$U$23,0)))*(VLOOKUP($B204,INDIRECT($B$5&amp;"生成成长"),3))*(VLOOKUP($B$5,标准坦克设计!$B$14:$K$20,9)/30))</f>
        <v>7.2800035751419712</v>
      </c>
      <c r="EC204" s="172">
        <f ca="1">(VLOOKUP(EC$72,INDIRECT($C$5&amp;"生成成长"),2))/((VLOOKUP($B204,INDIRECT($B$5&amp;"生成成长"),4))/(VLOOKUP(EC$72,INDIRECT($C$5&amp;"生成成长"),5))*(VLOOKUP($B$5,标准坦克设计!$B$24:$U$30,MATCH("对"&amp;LEFT($C$5,2)&amp;"输出",标准坦克设计!$B$23:$U$23,0)))*(VLOOKUP($B204,INDIRECT($B$5&amp;"生成成长"),3))*(VLOOKUP($B$5,标准坦克设计!$B$14:$K$20,9)/30))</f>
        <v>7.9537329451311543</v>
      </c>
      <c r="ED204" s="172">
        <f ca="1">(VLOOKUP(ED$72,INDIRECT($C$5&amp;"生成成长"),2))/((VLOOKUP($B204,INDIRECT($B$5&amp;"生成成长"),4))/(VLOOKUP(ED$72,INDIRECT($C$5&amp;"生成成长"),5))*(VLOOKUP($B$5,标准坦克设计!$B$24:$U$30,MATCH("对"&amp;LEFT($C$5,2)&amp;"输出",标准坦克设计!$B$23:$U$23,0)))*(VLOOKUP($B204,INDIRECT($B$5&amp;"生成成长"),3))*(VLOOKUP($B$5,标准坦克设计!$B$14:$K$20,9)/30))</f>
        <v>8.6572733491906551</v>
      </c>
      <c r="EE204" s="172">
        <f ca="1">(VLOOKUP(EE$72,INDIRECT($C$5&amp;"生成成长"),2))/((VLOOKUP($B204,INDIRECT($B$5&amp;"生成成长"),4))/(VLOOKUP(EE$72,INDIRECT($C$5&amp;"生成成长"),5))*(VLOOKUP($B$5,标准坦克设计!$B$24:$U$30,MATCH("对"&amp;LEFT($C$5,2)&amp;"输出",标准坦克设计!$B$23:$U$23,0)))*(VLOOKUP($B204,INDIRECT($B$5&amp;"生成成长"),3))*(VLOOKUP($B$5,标准坦克设计!$B$14:$K$20,9)/30))</f>
        <v>9.3906247873204745</v>
      </c>
      <c r="EF204" s="172">
        <f ca="1">(VLOOKUP(EF$72,INDIRECT($C$5&amp;"生成成长"),2))/((VLOOKUP($B204,INDIRECT($B$5&amp;"生成成长"),4))/(VLOOKUP(EF$72,INDIRECT($C$5&amp;"生成成长"),5))*(VLOOKUP($B$5,标准坦克设计!$B$24:$U$30,MATCH("对"&amp;LEFT($C$5,2)&amp;"输出",标准坦克设计!$B$23:$U$23,0)))*(VLOOKUP($B204,INDIRECT($B$5&amp;"生成成长"),3))*(VLOOKUP($B$5,标准坦克设计!$B$14:$K$20,9)/30))</f>
        <v>10.153787259520612</v>
      </c>
      <c r="EG204" s="172">
        <f ca="1">(VLOOKUP(EG$72,INDIRECT($C$5&amp;"生成成长"),2))/((VLOOKUP($B204,INDIRECT($B$5&amp;"生成成长"),4))/(VLOOKUP(EG$72,INDIRECT($C$5&amp;"生成成长"),5))*(VLOOKUP($B$5,标准坦克设计!$B$24:$U$30,MATCH("对"&amp;LEFT($C$5,2)&amp;"输出",标准坦克设计!$B$23:$U$23,0)))*(VLOOKUP($B204,INDIRECT($B$5&amp;"生成成长"),3))*(VLOOKUP($B$5,标准坦克设计!$B$14:$K$20,9)/30))</f>
        <v>10.946760765791065</v>
      </c>
      <c r="EH204" s="172">
        <f ca="1">(VLOOKUP(EH$72,INDIRECT($C$5&amp;"生成成长"),2))/((VLOOKUP($B204,INDIRECT($B$5&amp;"生成成长"),4))/(VLOOKUP(EH$72,INDIRECT($C$5&amp;"生成成长"),5))*(VLOOKUP($B$5,标准坦克设计!$B$24:$U$30,MATCH("对"&amp;LEFT($C$5,2)&amp;"输出",标准坦克设计!$B$23:$U$23,0)))*(VLOOKUP($B204,INDIRECT($B$5&amp;"生成成长"),3))*(VLOOKUP($B$5,标准坦克设计!$B$14:$K$20,9)/30))</f>
        <v>11.769545306131841</v>
      </c>
      <c r="EI204" s="172">
        <f ca="1">(VLOOKUP(EI$72,INDIRECT($C$5&amp;"生成成长"),2))/((VLOOKUP($B204,INDIRECT($B$5&amp;"生成成长"),4))/(VLOOKUP(EI$72,INDIRECT($C$5&amp;"生成成长"),5))*(VLOOKUP($B$5,标准坦克设计!$B$24:$U$30,MATCH("对"&amp;LEFT($C$5,2)&amp;"输出",标准坦克设计!$B$23:$U$23,0)))*(VLOOKUP($B204,INDIRECT($B$5&amp;"生成成长"),3))*(VLOOKUP($B$5,标准坦克设计!$B$14:$K$20,9)/30))</f>
        <v>12.622140880542929</v>
      </c>
      <c r="EJ204" s="172">
        <f ca="1">(VLOOKUP(EJ$72,INDIRECT($C$5&amp;"生成成长"),2))/((VLOOKUP($B204,INDIRECT($B$5&amp;"生成成长"),4))/(VLOOKUP(EJ$72,INDIRECT($C$5&amp;"生成成长"),5))*(VLOOKUP($B$5,标准坦克设计!$B$24:$U$30,MATCH("对"&amp;LEFT($C$5,2)&amp;"输出",标准坦克设计!$B$23:$U$23,0)))*(VLOOKUP($B204,INDIRECT($B$5&amp;"生成成长"),3))*(VLOOKUP($B$5,标准坦克设计!$B$14:$K$20,9)/30))</f>
        <v>13.504547489024338</v>
      </c>
      <c r="EK204" s="172">
        <f ca="1">(VLOOKUP(EK$72,INDIRECT($C$5&amp;"生成成长"),2))/((VLOOKUP($B204,INDIRECT($B$5&amp;"生成成长"),4))/(VLOOKUP(EK$72,INDIRECT($C$5&amp;"生成成长"),5))*(VLOOKUP($B$5,标准坦克设计!$B$24:$U$30,MATCH("对"&amp;LEFT($C$5,2)&amp;"输出",标准坦克设计!$B$23:$U$23,0)))*(VLOOKUP($B204,INDIRECT($B$5&amp;"生成成长"),3))*(VLOOKUP($B$5,标准坦克设计!$B$14:$K$20,9)/30))</f>
        <v>14.602785984174847</v>
      </c>
      <c r="EL204" s="172">
        <f ca="1">(VLOOKUP(EL$72,INDIRECT($C$5&amp;"生成成长"),2))/((VLOOKUP($B204,INDIRECT($B$5&amp;"生成成长"),4))/(VLOOKUP(EL$72,INDIRECT($C$5&amp;"生成成长"),5))*(VLOOKUP($B$5,标准坦克设计!$B$24:$U$30,MATCH("对"&amp;LEFT($C$5,2)&amp;"输出",标准坦克设计!$B$23:$U$23,0)))*(VLOOKUP($B204,INDIRECT($B$5&amp;"生成成长"),3))*(VLOOKUP($B$5,标准坦克设计!$B$14:$K$20,9)/30))</f>
        <v>15.743952368386612</v>
      </c>
      <c r="EM204" s="172">
        <f ca="1">(VLOOKUP(EM$72,INDIRECT($C$5&amp;"生成成长"),2))/((VLOOKUP($B204,INDIRECT($B$5&amp;"生成成长"),4))/(VLOOKUP(EM$72,INDIRECT($C$5&amp;"生成成长"),5))*(VLOOKUP($B$5,标准坦克设计!$B$24:$U$30,MATCH("对"&amp;LEFT($C$5,2)&amp;"输出",标准坦克设计!$B$23:$U$23,0)))*(VLOOKUP($B204,INDIRECT($B$5&amp;"生成成长"),3))*(VLOOKUP($B$5,标准坦克设计!$B$14:$K$20,9)/30))</f>
        <v>16.928046641659638</v>
      </c>
      <c r="EN204" s="172">
        <f ca="1">(VLOOKUP(EN$72,INDIRECT($C$5&amp;"生成成长"),2))/((VLOOKUP($B204,INDIRECT($B$5&amp;"生成成长"),4))/(VLOOKUP(EN$72,INDIRECT($C$5&amp;"生成成长"),5))*(VLOOKUP($B$5,标准坦克设计!$B$24:$U$30,MATCH("对"&amp;LEFT($C$5,2)&amp;"输出",标准坦克设计!$B$23:$U$23,0)))*(VLOOKUP($B204,INDIRECT($B$5&amp;"生成成长"),3))*(VLOOKUP($B$5,标准坦克设计!$B$14:$K$20,9)/30))</f>
        <v>18.155068803993924</v>
      </c>
      <c r="EO204" s="172">
        <f ca="1">(VLOOKUP(EO$72,INDIRECT($C$5&amp;"生成成长"),2))/((VLOOKUP($B204,INDIRECT($B$5&amp;"生成成长"),4))/(VLOOKUP(EO$72,INDIRECT($C$5&amp;"生成成长"),5))*(VLOOKUP($B$5,标准坦克设计!$B$24:$U$30,MATCH("对"&amp;LEFT($C$5,2)&amp;"输出",标准坦克设计!$B$23:$U$23,0)))*(VLOOKUP($B204,INDIRECT($B$5&amp;"生成成长"),3))*(VLOOKUP($B$5,标准坦克设计!$B$14:$K$20,9)/30))</f>
        <v>19.425018855389467</v>
      </c>
      <c r="EP204" s="172">
        <f ca="1">(VLOOKUP(EP$72,INDIRECT($C$5&amp;"生成成长"),2))/((VLOOKUP($B204,INDIRECT($B$5&amp;"生成成长"),4))/(VLOOKUP(EP$72,INDIRECT($C$5&amp;"生成成长"),5))*(VLOOKUP($B$5,标准坦克设计!$B$24:$U$30,MATCH("对"&amp;LEFT($C$5,2)&amp;"输出",标准坦克设计!$B$23:$U$23,0)))*(VLOOKUP($B204,INDIRECT($B$5&amp;"生成成长"),3))*(VLOOKUP($B$5,标准坦克设计!$B$14:$K$20,9)/30))</f>
        <v>20.737896795846261</v>
      </c>
      <c r="EQ204" s="172">
        <f ca="1">(VLOOKUP(EQ$72,INDIRECT($C$5&amp;"生成成长"),2))/((VLOOKUP($B204,INDIRECT($B$5&amp;"生成成长"),4))/(VLOOKUP(EQ$72,INDIRECT($C$5&amp;"生成成长"),5))*(VLOOKUP($B$5,标准坦克设计!$B$24:$U$30,MATCH("对"&amp;LEFT($C$5,2)&amp;"输出",标准坦克设计!$B$23:$U$23,0)))*(VLOOKUP($B204,INDIRECT($B$5&amp;"生成成长"),3))*(VLOOKUP($B$5,标准坦克设计!$B$14:$K$20,9)/30))</f>
        <v>9.1674891973041444</v>
      </c>
      <c r="ER204" s="172">
        <f ca="1">(VLOOKUP(ER$72,INDIRECT($C$5&amp;"生成成长"),2))/((VLOOKUP($B204,INDIRECT($B$5&amp;"生成成长"),4))/(VLOOKUP(ER$72,INDIRECT($C$5&amp;"生成成长"),5))*(VLOOKUP($B$5,标准坦克设计!$B$24:$U$30,MATCH("对"&amp;LEFT($C$5,2)&amp;"输出",标准坦克设计!$B$23:$U$23,0)))*(VLOOKUP($B204,INDIRECT($B$5&amp;"生成成长"),3))*(VLOOKUP($B$5,标准坦克设计!$B$14:$K$20,9)/30))</f>
        <v>9.99876988235496</v>
      </c>
      <c r="ES204" s="172">
        <f ca="1">(VLOOKUP(ES$72,INDIRECT($C$5&amp;"生成成长"),2))/((VLOOKUP($B204,INDIRECT($B$5&amp;"生成成长"),4))/(VLOOKUP(ES$72,INDIRECT($C$5&amp;"生成成长"),5))*(VLOOKUP($B$5,标准坦克设计!$B$24:$U$30,MATCH("对"&amp;LEFT($C$5,2)&amp;"输出",标准坦克设计!$B$23:$U$23,0)))*(VLOOKUP($B204,INDIRECT($B$5&amp;"生成成长"),3))*(VLOOKUP($B$5,标准坦克设计!$B$14:$K$20,9)/30))</f>
        <v>10.866121918630856</v>
      </c>
      <c r="ET204" s="172">
        <f ca="1">(VLOOKUP(ET$72,INDIRECT($C$5&amp;"生成成长"),2))/((VLOOKUP($B204,INDIRECT($B$5&amp;"生成成长"),4))/(VLOOKUP(ET$72,INDIRECT($C$5&amp;"生成成长"),5))*(VLOOKUP($B$5,标准坦克设计!$B$24:$U$30,MATCH("对"&amp;LEFT($C$5,2)&amp;"输出",标准坦克设计!$B$23:$U$23,0)))*(VLOOKUP($B204,INDIRECT($B$5&amp;"生成成长"),3))*(VLOOKUP($B$5,标准坦克设计!$B$14:$K$20,9)/30))</f>
        <v>11.769545306131841</v>
      </c>
      <c r="EU204" s="172">
        <f ca="1">(VLOOKUP(EU$72,INDIRECT($C$5&amp;"生成成长"),2))/((VLOOKUP($B204,INDIRECT($B$5&amp;"生成成长"),4))/(VLOOKUP(EU$72,INDIRECT($C$5&amp;"生成成长"),5))*(VLOOKUP($B$5,标准坦克设计!$B$24:$U$30,MATCH("对"&amp;LEFT($C$5,2)&amp;"输出",标准坦克设计!$B$23:$U$23,0)))*(VLOOKUP($B204,INDIRECT($B$5&amp;"生成成长"),3))*(VLOOKUP($B$5,标准坦克设计!$B$14:$K$20,9)/30))</f>
        <v>12.709040044857906</v>
      </c>
      <c r="EV204" s="172">
        <f ca="1">(VLOOKUP(EV$72,INDIRECT($C$5&amp;"生成成长"),2))/((VLOOKUP($B204,INDIRECT($B$5&amp;"生成成长"),4))/(VLOOKUP(EV$72,INDIRECT($C$5&amp;"生成成长"),5))*(VLOOKUP($B$5,标准坦克设计!$B$24:$U$30,MATCH("对"&amp;LEFT($C$5,2)&amp;"输出",标准坦克设计!$B$23:$U$23,0)))*(VLOOKUP($B204,INDIRECT($B$5&amp;"生成成长"),3))*(VLOOKUP($B$5,标准坦克设计!$B$14:$K$20,9)/30))</f>
        <v>13.68460613480906</v>
      </c>
      <c r="EW204" s="172">
        <f ca="1">(VLOOKUP(EW$72,INDIRECT($C$5&amp;"生成成长"),2))/((VLOOKUP($B204,INDIRECT($B$5&amp;"生成成长"),4))/(VLOOKUP(EW$72,INDIRECT($C$5&amp;"生成成长"),5))*(VLOOKUP($B$5,标准坦克设计!$B$24:$U$30,MATCH("对"&amp;LEFT($C$5,2)&amp;"输出",标准坦克设计!$B$23:$U$23,0)))*(VLOOKUP($B204,INDIRECT($B$5&amp;"生成成长"),3))*(VLOOKUP($B$5,标准坦克设计!$B$14:$K$20,9)/30))</f>
        <v>14.696243575985291</v>
      </c>
      <c r="EX204" s="172">
        <f ca="1">(VLOOKUP(EX$72,INDIRECT($C$5&amp;"生成成长"),2))/((VLOOKUP($B204,INDIRECT($B$5&amp;"生成成长"),4))/(VLOOKUP(EX$72,INDIRECT($C$5&amp;"生成成长"),5))*(VLOOKUP($B$5,标准坦克设计!$B$24:$U$30,MATCH("对"&amp;LEFT($C$5,2)&amp;"输出",标准坦克设计!$B$23:$U$23,0)))*(VLOOKUP($B204,INDIRECT($B$5&amp;"生成成长"),3))*(VLOOKUP($B$5,标准坦克设计!$B$14:$K$20,9)/30))</f>
        <v>15.743952368386612</v>
      </c>
      <c r="EY204" s="172">
        <f ca="1">(VLOOKUP(EY$72,INDIRECT($C$5&amp;"生成成长"),2))/((VLOOKUP($B204,INDIRECT($B$5&amp;"生成成长"),4))/(VLOOKUP(EY$72,INDIRECT($C$5&amp;"生成成长"),5))*(VLOOKUP($B$5,标准坦克设计!$B$24:$U$30,MATCH("对"&amp;LEFT($C$5,2)&amp;"输出",标准坦克设计!$B$23:$U$23,0)))*(VLOOKUP($B204,INDIRECT($B$5&amp;"生成成长"),3))*(VLOOKUP($B$5,标准坦克设计!$B$14:$K$20,9)/30))</f>
        <v>16.827732512013021</v>
      </c>
      <c r="EZ204" s="172">
        <f ca="1">(VLOOKUP(EZ$72,INDIRECT($C$5&amp;"生成成长"),2))/((VLOOKUP($B204,INDIRECT($B$5&amp;"生成成长"),4))/(VLOOKUP(EZ$72,INDIRECT($C$5&amp;"生成成长"),5))*(VLOOKUP($B$5,标准坦克设计!$B$24:$U$30,MATCH("对"&amp;LEFT($C$5,2)&amp;"输出",标准坦克设计!$B$23:$U$23,0)))*(VLOOKUP($B204,INDIRECT($B$5&amp;"生成成长"),3))*(VLOOKUP($B$5,标准坦克设计!$B$14:$K$20,9)/30))</f>
        <v>17.94758400686451</v>
      </c>
      <c r="FA204" s="172">
        <f ca="1">(VLOOKUP(FA$72,INDIRECT($C$5&amp;"生成成长"),2))/((VLOOKUP($B204,INDIRECT($B$5&amp;"生成成长"),4))/(VLOOKUP(FA$72,INDIRECT($C$5&amp;"生成成长"),5))*(VLOOKUP($B$5,标准坦克设计!$B$24:$U$30,MATCH("对"&amp;LEFT($C$5,2)&amp;"输出",标准坦克设计!$B$23:$U$23,0)))*(VLOOKUP($B204,INDIRECT($B$5&amp;"生成成长"),3))*(VLOOKUP($B$5,标准坦克设计!$B$14:$K$20,9)/30))</f>
        <v>19.103506852941088</v>
      </c>
      <c r="FB204" s="172">
        <f ca="1">(VLOOKUP(FB$72,INDIRECT($C$5&amp;"生成成长"),2))/((VLOOKUP($B204,INDIRECT($B$5&amp;"生成成长"),4))/(VLOOKUP(FB$72,INDIRECT($C$5&amp;"生成成长"),5))*(VLOOKUP($B$5,标准坦克设计!$B$24:$U$30,MATCH("对"&amp;LEFT($C$5,2)&amp;"输出",标准坦克设计!$B$23:$U$23,0)))*(VLOOKUP($B204,INDIRECT($B$5&amp;"生成成长"),3))*(VLOOKUP($B$5,标准坦克设计!$B$14:$K$20,9)/30))</f>
        <v>20.295501050242748</v>
      </c>
      <c r="FC204" s="172">
        <f ca="1">(VLOOKUP(FC$72,INDIRECT($C$5&amp;"生成成长"),2))/((VLOOKUP($B204,INDIRECT($B$5&amp;"生成成长"),4))/(VLOOKUP(FC$72,INDIRECT($C$5&amp;"生成成长"),5))*(VLOOKUP($B$5,标准坦克设计!$B$24:$U$30,MATCH("对"&amp;LEFT($C$5,2)&amp;"输出",标准坦克设计!$B$23:$U$23,0)))*(VLOOKUP($B204,INDIRECT($B$5&amp;"生成成长"),3))*(VLOOKUP($B$5,标准坦克设计!$B$14:$K$20,9)/30))</f>
        <v>21.523566598769492</v>
      </c>
      <c r="FD204" s="172">
        <f ca="1">(VLOOKUP(FD$72,INDIRECT($C$5&amp;"生成成长"),2))/((VLOOKUP($B204,INDIRECT($B$5&amp;"生成成长"),4))/(VLOOKUP(FD$72,INDIRECT($C$5&amp;"生成成长"),5))*(VLOOKUP($B$5,标准坦克设计!$B$24:$U$30,MATCH("对"&amp;LEFT($C$5,2)&amp;"输出",标准坦克设计!$B$23:$U$23,0)))*(VLOOKUP($B204,INDIRECT($B$5&amp;"生成成长"),3))*(VLOOKUP($B$5,标准坦克设计!$B$14:$K$20,9)/30))</f>
        <v>22.787703498521317</v>
      </c>
      <c r="FE204" s="172">
        <f ca="1">(VLOOKUP(FE$72,INDIRECT($C$5&amp;"生成成长"),2))/((VLOOKUP($B204,INDIRECT($B$5&amp;"生成成长"),4))/(VLOOKUP(FE$72,INDIRECT($C$5&amp;"生成成长"),5))*(VLOOKUP($B$5,标准坦克设计!$B$24:$U$30,MATCH("对"&amp;LEFT($C$5,2)&amp;"输出",标准坦克设计!$B$23:$U$23,0)))*(VLOOKUP($B204,INDIRECT($B$5&amp;"生成成长"),3))*(VLOOKUP($B$5,标准坦克设计!$B$14:$K$20,9)/30))</f>
        <v>24.32818868410499</v>
      </c>
      <c r="FF204" s="172">
        <f ca="1">(VLOOKUP(FF$72,INDIRECT($C$5&amp;"生成成长"),2))/((VLOOKUP($B204,INDIRECT($B$5&amp;"生成成长"),4))/(VLOOKUP(FF$72,INDIRECT($C$5&amp;"生成成长"),5))*(VLOOKUP($B$5,标准坦克设计!$B$24:$U$30,MATCH("对"&amp;LEFT($C$5,2)&amp;"输出",标准坦克设计!$B$23:$U$23,0)))*(VLOOKUP($B204,INDIRECT($B$5&amp;"生成成长"),3))*(VLOOKUP($B$5,标准坦克设计!$B$14:$K$20,9)/30))</f>
        <v>25.919054517267501</v>
      </c>
      <c r="FG204" s="172">
        <f ca="1">(VLOOKUP(FG$72,INDIRECT($C$5&amp;"生成成长"),2))/((VLOOKUP($B204,INDIRECT($B$5&amp;"生成成长"),4))/(VLOOKUP(FG$72,INDIRECT($C$5&amp;"生成成长"),5))*(VLOOKUP($B$5,标准坦克设计!$B$24:$U$30,MATCH("对"&amp;LEFT($C$5,2)&amp;"输出",标准坦克设计!$B$23:$U$23,0)))*(VLOOKUP($B204,INDIRECT($B$5&amp;"生成成长"),3))*(VLOOKUP($B$5,标准坦克设计!$B$14:$K$20,9)/30))</f>
        <v>27.560300998008852</v>
      </c>
      <c r="FH204" s="172">
        <f ca="1">(VLOOKUP(FH$72,INDIRECT($C$5&amp;"生成成长"),2))/((VLOOKUP($B204,INDIRECT($B$5&amp;"生成成长"),4))/(VLOOKUP(FH$72,INDIRECT($C$5&amp;"生成成长"),5))*(VLOOKUP($B$5,标准坦克设计!$B$24:$U$30,MATCH("对"&amp;LEFT($C$5,2)&amp;"输出",标准坦克设计!$B$23:$U$23,0)))*(VLOOKUP($B204,INDIRECT($B$5&amp;"生成成长"),3))*(VLOOKUP($B$5,标准坦克设计!$B$14:$K$20,9)/30))</f>
        <v>29.251928126329044</v>
      </c>
      <c r="FI204" s="172">
        <f ca="1">(VLOOKUP(FI$72,INDIRECT($C$5&amp;"生成成长"),2))/((VLOOKUP($B204,INDIRECT($B$5&amp;"生成成长"),4))/(VLOOKUP(FI$72,INDIRECT($C$5&amp;"生成成长"),5))*(VLOOKUP($B$5,标准坦克设计!$B$24:$U$30,MATCH("对"&amp;LEFT($C$5,2)&amp;"输出",标准坦克设计!$B$23:$U$23,0)))*(VLOOKUP($B204,INDIRECT($B$5&amp;"生成成长"),3))*(VLOOKUP($B$5,标准坦克设计!$B$14:$K$20,9)/30))</f>
        <v>30.99393590222806</v>
      </c>
      <c r="FJ204" s="172">
        <f ca="1">(VLOOKUP(FJ$72,INDIRECT($C$5&amp;"生成成长"),2))/((VLOOKUP($B204,INDIRECT($B$5&amp;"生成成长"),4))/(VLOOKUP(FJ$72,INDIRECT($C$5&amp;"生成成长"),5))*(VLOOKUP($B$5,标准坦克设计!$B$24:$U$30,MATCH("对"&amp;LEFT($C$5,2)&amp;"输出",标准坦克设计!$B$23:$U$23,0)))*(VLOOKUP($B204,INDIRECT($B$5&amp;"生成成长"),3))*(VLOOKUP($B$5,标准坦克设计!$B$14:$K$20,9)/30))</f>
        <v>32.786324325705927</v>
      </c>
      <c r="FK204" s="172">
        <f ca="1">(VLOOKUP(FK$72,INDIRECT($C$5&amp;"生成成长"),2))/((VLOOKUP($B204,INDIRECT($B$5&amp;"生成成长"),4))/(VLOOKUP(FK$72,INDIRECT($C$5&amp;"生成成长"),5))*(VLOOKUP($B$5,标准坦克设计!$B$24:$U$30,MATCH("对"&amp;LEFT($C$5,2)&amp;"输出",标准坦克设计!$B$23:$U$23,0)))*(VLOOKUP($B204,INDIRECT($B$5&amp;"生成成长"),3))*(VLOOKUP($B$5,标准坦克设计!$B$14:$K$20,9)/30))</f>
        <v>34.62909339676262</v>
      </c>
    </row>
    <row r="205" spans="1:167" x14ac:dyDescent="0.15">
      <c r="A205" s="170" t="str">
        <f t="shared" si="13"/>
        <v>T4高品质7级</v>
      </c>
      <c r="B205" s="171">
        <v>30407</v>
      </c>
      <c r="C205" s="172">
        <f ca="1">(VLOOKUP(C$72,INDIRECT($C$5&amp;"生成成长"),2))/((VLOOKUP($B205,INDIRECT($B$5&amp;"生成成长"),4))/(VLOOKUP(C$72,INDIRECT($C$5&amp;"生成成长"),5))*(VLOOKUP($B$5,标准坦克设计!$B$24:$U$30,MATCH("对"&amp;LEFT($C$5,2)&amp;"输出",标准坦克设计!$B$23:$U$23,0)))*(VLOOKUP($B205,INDIRECT($B$5&amp;"生成成长"),3))*(VLOOKUP($B$5,标准坦克设计!$B$14:$K$20,9)/30))</f>
        <v>1.3786472772202809</v>
      </c>
      <c r="D205" s="172">
        <f ca="1">(VLOOKUP(D$72,INDIRECT($C$5&amp;"生成成长"),2))/((VLOOKUP($B205,INDIRECT($B$5&amp;"生成成长"),4))/(VLOOKUP(D$72,INDIRECT($C$5&amp;"生成成长"),5))*(VLOOKUP($B$5,标准坦克设计!$B$24:$U$30,MATCH("对"&amp;LEFT($C$5,2)&amp;"输出",标准坦克设计!$B$23:$U$23,0)))*(VLOOKUP($B205,INDIRECT($B$5&amp;"生成成长"),3))*(VLOOKUP($B$5,标准坦克设计!$B$14:$K$20,9)/30))</f>
        <v>1.5490480806847073</v>
      </c>
      <c r="E205" s="172">
        <f ca="1">(VLOOKUP(E$72,INDIRECT($C$5&amp;"生成成长"),2))/((VLOOKUP($B205,INDIRECT($B$5&amp;"生成成长"),4))/(VLOOKUP(E$72,INDIRECT($C$5&amp;"生成成长"),5))*(VLOOKUP($B$5,标准坦克设计!$B$24:$U$30,MATCH("对"&amp;LEFT($C$5,2)&amp;"输出",标准坦克设计!$B$23:$U$23,0)))*(VLOOKUP($B205,INDIRECT($B$5&amp;"生成成长"),3))*(VLOOKUP($B$5,标准坦克设计!$B$14:$K$20,9)/30))</f>
        <v>1.7293751445451204</v>
      </c>
      <c r="F205" s="172">
        <f ca="1">(VLOOKUP(F$72,INDIRECT($C$5&amp;"生成成长"),2))/((VLOOKUP($B205,INDIRECT($B$5&amp;"生成成长"),4))/(VLOOKUP(F$72,INDIRECT($C$5&amp;"生成成长"),5))*(VLOOKUP($B$5,标准坦克设计!$B$24:$U$30,MATCH("对"&amp;LEFT($C$5,2)&amp;"输出",标准坦克设计!$B$23:$U$23,0)))*(VLOOKUP($B205,INDIRECT($B$5&amp;"生成成长"),3))*(VLOOKUP($B$5,标准坦克设计!$B$14:$K$20,9)/30))</f>
        <v>1.9196284688015191</v>
      </c>
      <c r="G205" s="172">
        <f ca="1">(VLOOKUP(G$72,INDIRECT($C$5&amp;"生成成长"),2))/((VLOOKUP($B205,INDIRECT($B$5&amp;"生成成长"),4))/(VLOOKUP(G$72,INDIRECT($C$5&amp;"生成成长"),5))*(VLOOKUP($B$5,标准坦克设计!$B$24:$U$30,MATCH("对"&amp;LEFT($C$5,2)&amp;"输出",标准坦克设计!$B$23:$U$23,0)))*(VLOOKUP($B205,INDIRECT($B$5&amp;"生成成长"),3))*(VLOOKUP($B$5,标准坦克设计!$B$14:$K$20,9)/30))</f>
        <v>2.1198080534539034</v>
      </c>
      <c r="H205" s="172">
        <f ca="1">(VLOOKUP(H$72,INDIRECT($C$5&amp;"生成成长"),2))/((VLOOKUP($B205,INDIRECT($B$5&amp;"生成成长"),4))/(VLOOKUP(H$72,INDIRECT($C$5&amp;"生成成长"),5))*(VLOOKUP($B$5,标准坦克设计!$B$24:$U$30,MATCH("对"&amp;LEFT($C$5,2)&amp;"输出",标准坦克设计!$B$23:$U$23,0)))*(VLOOKUP($B205,INDIRECT($B$5&amp;"生成成长"),3))*(VLOOKUP($B$5,标准坦克设计!$B$14:$K$20,9)/30))</f>
        <v>1.85510777622761</v>
      </c>
      <c r="I205" s="172">
        <f ca="1">(VLOOKUP(I$72,INDIRECT($C$5&amp;"生成成长"),2))/((VLOOKUP($B205,INDIRECT($B$5&amp;"生成成长"),4))/(VLOOKUP(I$72,INDIRECT($C$5&amp;"生成成长"),5))*(VLOOKUP($B$5,标准坦克设计!$B$24:$U$30,MATCH("对"&amp;LEFT($C$5,2)&amp;"输出",标准坦克设计!$B$23:$U$23,0)))*(VLOOKUP($B205,INDIRECT($B$5&amp;"生成成长"),3))*(VLOOKUP($B$5,标准坦克设计!$B$14:$K$20,9)/30))</f>
        <v>2.1198080534539034</v>
      </c>
      <c r="J205" s="172">
        <f ca="1">(VLOOKUP(J$72,INDIRECT($C$5&amp;"生成成长"),2))/((VLOOKUP($B205,INDIRECT($B$5&amp;"生成成长"),4))/(VLOOKUP(J$72,INDIRECT($C$5&amp;"生成成长"),5))*(VLOOKUP($B$5,标准坦克设计!$B$24:$U$30,MATCH("对"&amp;LEFT($C$5,2)&amp;"输出",标准坦克设计!$B$23:$U$23,0)))*(VLOOKUP($B205,INDIRECT($B$5&amp;"生成成长"),3))*(VLOOKUP($B$5,标准坦克设计!$B$14:$K$20,9)/30))</f>
        <v>2.4021550158286167</v>
      </c>
      <c r="K205" s="172">
        <f ca="1">(VLOOKUP(K$72,INDIRECT($C$5&amp;"生成成长"),2))/((VLOOKUP($B205,INDIRECT($B$5&amp;"生成成长"),4))/(VLOOKUP(K$72,INDIRECT($C$5&amp;"生成成长"),5))*(VLOOKUP($B$5,标准坦克设计!$B$24:$U$30,MATCH("对"&amp;LEFT($C$5,2)&amp;"输出",标准坦克设计!$B$23:$U$23,0)))*(VLOOKUP($B205,INDIRECT($B$5&amp;"生成成长"),3))*(VLOOKUP($B$5,标准坦克设计!$B$14:$K$20,9)/30))</f>
        <v>2.7021486633517497</v>
      </c>
      <c r="L205" s="172">
        <f ca="1">(VLOOKUP(L$72,INDIRECT($C$5&amp;"生成成长"),2))/((VLOOKUP($B205,INDIRECT($B$5&amp;"生成成长"),4))/(VLOOKUP(L$72,INDIRECT($C$5&amp;"生成成长"),5))*(VLOOKUP($B$5,标准坦克设计!$B$24:$U$30,MATCH("对"&amp;LEFT($C$5,2)&amp;"输出",标准坦克设计!$B$23:$U$23,0)))*(VLOOKUP($B205,INDIRECT($B$5&amp;"生成成长"),3))*(VLOOKUP($B$5,标准坦克设计!$B$14:$K$20,9)/30))</f>
        <v>3.0197889960233031</v>
      </c>
      <c r="M205" s="172">
        <f ca="1">(VLOOKUP(M$72,INDIRECT($C$5&amp;"生成成长"),2))/((VLOOKUP($B205,INDIRECT($B$5&amp;"生成成长"),4))/(VLOOKUP(M$72,INDIRECT($C$5&amp;"生成成长"),5))*(VLOOKUP($B$5,标准坦克设计!$B$24:$U$30,MATCH("对"&amp;LEFT($C$5,2)&amp;"输出",标准坦克设计!$B$23:$U$23,0)))*(VLOOKUP($B205,INDIRECT($B$5&amp;"生成成长"),3))*(VLOOKUP($B$5,标准坦克设计!$B$14:$K$20,9)/30))</f>
        <v>3.3550760138432749</v>
      </c>
      <c r="N205" s="172">
        <f ca="1">(VLOOKUP(N$72,INDIRECT($C$5&amp;"生成成长"),2))/((VLOOKUP($B205,INDIRECT($B$5&amp;"生成成长"),4))/(VLOOKUP(N$72,INDIRECT($C$5&amp;"生成成长"),5))*(VLOOKUP($B$5,标准坦克设计!$B$24:$U$30,MATCH("对"&amp;LEFT($C$5,2)&amp;"输出",标准坦克设计!$B$23:$U$23,0)))*(VLOOKUP($B205,INDIRECT($B$5&amp;"生成成长"),3))*(VLOOKUP($B$5,标准坦克设计!$B$14:$K$20,9)/30))</f>
        <v>3.7080097168116666</v>
      </c>
      <c r="O205" s="172">
        <f ca="1">(VLOOKUP(O$72,INDIRECT($C$5&amp;"生成成长"),2))/((VLOOKUP($B205,INDIRECT($B$5&amp;"生成成长"),4))/(VLOOKUP(O$72,INDIRECT($C$5&amp;"生成成长"),5))*(VLOOKUP($B$5,标准坦克设计!$B$24:$U$30,MATCH("对"&amp;LEFT($C$5,2)&amp;"输出",标准坦克设计!$B$23:$U$23,0)))*(VLOOKUP($B205,INDIRECT($B$5&amp;"生成成长"),3))*(VLOOKUP($B$5,标准坦克设计!$B$14:$K$20,9)/30))</f>
        <v>2.8191958171877523</v>
      </c>
      <c r="P205" s="172">
        <f ca="1">(VLOOKUP(P$72,INDIRECT($C$5&amp;"生成成长"),2))/((VLOOKUP($B205,INDIRECT($B$5&amp;"生成成长"),4))/(VLOOKUP(P$72,INDIRECT($C$5&amp;"生成成长"),5))*(VLOOKUP($B$5,标准坦克设计!$B$24:$U$30,MATCH("对"&amp;LEFT($C$5,2)&amp;"输出",标准坦克设计!$B$23:$U$23,0)))*(VLOOKUP($B205,INDIRECT($B$5&amp;"生成成长"),3))*(VLOOKUP($B$5,标准坦克设计!$B$14:$K$20,9)/30))</f>
        <v>3.1852266692897366</v>
      </c>
      <c r="Q205" s="172">
        <f ca="1">(VLOOKUP(Q$72,INDIRECT($C$5&amp;"生成成长"),2))/((VLOOKUP($B205,INDIRECT($B$5&amp;"生成成长"),4))/(VLOOKUP(Q$72,INDIRECT($C$5&amp;"生成成长"),5))*(VLOOKUP($B$5,标准坦克设计!$B$24:$U$30,MATCH("对"&amp;LEFT($C$5,2)&amp;"输出",标准坦克设计!$B$23:$U$23,0)))*(VLOOKUP($B205,INDIRECT($B$5&amp;"生成成长"),3))*(VLOOKUP($B$5,标准坦克设计!$B$14:$K$20,9)/30))</f>
        <v>3.5735916072826899</v>
      </c>
      <c r="R205" s="172">
        <f ca="1">(VLOOKUP(R$72,INDIRECT($C$5&amp;"生成成长"),2))/((VLOOKUP($B205,INDIRECT($B$5&amp;"生成成长"),4))/(VLOOKUP(R$72,INDIRECT($C$5&amp;"生成成长"),5))*(VLOOKUP($B$5,标准坦克设计!$B$24:$U$30,MATCH("对"&amp;LEFT($C$5,2)&amp;"输出",标准坦克设计!$B$23:$U$23,0)))*(VLOOKUP($B205,INDIRECT($B$5&amp;"生成成长"),3))*(VLOOKUP($B$5,标准坦克设计!$B$14:$K$20,9)/30))</f>
        <v>3.9842906311666115</v>
      </c>
      <c r="S205" s="172">
        <f ca="1">(VLOOKUP(S$72,INDIRECT($C$5&amp;"生成成长"),2))/((VLOOKUP($B205,INDIRECT($B$5&amp;"生成成长"),4))/(VLOOKUP(S$72,INDIRECT($C$5&amp;"生成成长"),5))*(VLOOKUP($B$5,标准坦克设计!$B$24:$U$30,MATCH("对"&amp;LEFT($C$5,2)&amp;"输出",标准坦克设计!$B$23:$U$23,0)))*(VLOOKUP($B205,INDIRECT($B$5&amp;"生成成长"),3))*(VLOOKUP($B$5,标准坦克设计!$B$14:$K$20,9)/30))</f>
        <v>4.4173237409415016</v>
      </c>
      <c r="T205" s="172">
        <f ca="1">(VLOOKUP(T$72,INDIRECT($C$5&amp;"生成成长"),2))/((VLOOKUP($B205,INDIRECT($B$5&amp;"生成成长"),4))/(VLOOKUP(T$72,INDIRECT($C$5&amp;"生成成长"),5))*(VLOOKUP($B$5,标准坦克设计!$B$24:$U$30,MATCH("对"&amp;LEFT($C$5,2)&amp;"输出",标准坦克设计!$B$23:$U$23,0)))*(VLOOKUP($B205,INDIRECT($B$5&amp;"生成成长"),3))*(VLOOKUP($B$5,标准坦克设计!$B$14:$K$20,9)/30))</f>
        <v>4.872690936607361</v>
      </c>
      <c r="U205" s="172">
        <f ca="1">(VLOOKUP(U$72,INDIRECT($C$5&amp;"生成成长"),2))/((VLOOKUP($B205,INDIRECT($B$5&amp;"生成成长"),4))/(VLOOKUP(U$72,INDIRECT($C$5&amp;"生成成长"),5))*(VLOOKUP($B$5,标准坦克设计!$B$24:$U$30,MATCH("对"&amp;LEFT($C$5,2)&amp;"输出",标准坦克设计!$B$23:$U$23,0)))*(VLOOKUP($B205,INDIRECT($B$5&amp;"生成成长"),3))*(VLOOKUP($B$5,标准坦克设计!$B$14:$K$20,9)/30))</f>
        <v>5.3503922181641874</v>
      </c>
      <c r="V205" s="172">
        <f ca="1">(VLOOKUP(V$72,INDIRECT($C$5&amp;"生成成长"),2))/((VLOOKUP($B205,INDIRECT($B$5&amp;"生成成长"),4))/(VLOOKUP(V$72,INDIRECT($C$5&amp;"生成成长"),5))*(VLOOKUP($B$5,标准坦克设计!$B$24:$U$30,MATCH("对"&amp;LEFT($C$5,2)&amp;"输出",标准坦克设计!$B$23:$U$23,0)))*(VLOOKUP($B205,INDIRECT($B$5&amp;"生成成长"),3))*(VLOOKUP($B$5,标准坦克设计!$B$14:$K$20,9)/30))</f>
        <v>5.8504275856119836</v>
      </c>
      <c r="W205" s="172">
        <f ca="1">(VLOOKUP(W$72,INDIRECT($C$5&amp;"生成成长"),2))/((VLOOKUP($B205,INDIRECT($B$5&amp;"生成成长"),4))/(VLOOKUP(W$72,INDIRECT($C$5&amp;"生成成长"),5))*(VLOOKUP($B$5,标准坦克设计!$B$24:$U$30,MATCH("对"&amp;LEFT($C$5,2)&amp;"输出",标准坦克设计!$B$23:$U$23,0)))*(VLOOKUP($B205,INDIRECT($B$5&amp;"生成成长"),3))*(VLOOKUP($B$5,标准坦克设计!$B$14:$K$20,9)/30))</f>
        <v>6.3727970389507469</v>
      </c>
      <c r="X205" s="172">
        <f ca="1">(VLOOKUP(X$72,INDIRECT($C$5&amp;"生成成长"),2))/((VLOOKUP($B205,INDIRECT($B$5&amp;"生成成长"),4))/(VLOOKUP(X$72,INDIRECT($C$5&amp;"生成成长"),5))*(VLOOKUP($B$5,标准坦克设计!$B$24:$U$30,MATCH("对"&amp;LEFT($C$5,2)&amp;"输出",标准坦克设计!$B$23:$U$23,0)))*(VLOOKUP($B205,INDIRECT($B$5&amp;"生成成长"),3))*(VLOOKUP($B$5,标准坦克设计!$B$14:$K$20,9)/30))</f>
        <v>4.6169518666829994</v>
      </c>
      <c r="Y205" s="172">
        <f ca="1">(VLOOKUP(Y$72,INDIRECT($C$5&amp;"生成成长"),2))/((VLOOKUP($B205,INDIRECT($B$5&amp;"生成成长"),4))/(VLOOKUP(Y$72,INDIRECT($C$5&amp;"生成成长"),5))*(VLOOKUP($B$5,标准坦克设计!$B$24:$U$30,MATCH("对"&amp;LEFT($C$5,2)&amp;"输出",标准坦克设计!$B$23:$U$23,0)))*(VLOOKUP($B205,INDIRECT($B$5&amp;"生成成长"),3))*(VLOOKUP($B$5,标准坦克设计!$B$14:$K$20,9)/30))</f>
        <v>5.1353232429178242</v>
      </c>
      <c r="Z205" s="172">
        <f ca="1">(VLOOKUP(Z$72,INDIRECT($C$5&amp;"生成成长"),2))/((VLOOKUP($B205,INDIRECT($B$5&amp;"生成成长"),4))/(VLOOKUP(Z$72,INDIRECT($C$5&amp;"生成成长"),5))*(VLOOKUP($B$5,标准坦克设计!$B$24:$U$30,MATCH("对"&amp;LEFT($C$5,2)&amp;"输出",标准坦克设计!$B$23:$U$23,0)))*(VLOOKUP($B205,INDIRECT($B$5&amp;"生成成长"),3))*(VLOOKUP($B$5,标准坦克设计!$B$14:$K$20,9)/30))</f>
        <v>5.6812675646970554</v>
      </c>
      <c r="AA205" s="172">
        <f ca="1">(VLOOKUP(AA$72,INDIRECT($C$5&amp;"生成成长"),2))/((VLOOKUP($B205,INDIRECT($B$5&amp;"生成成长"),4))/(VLOOKUP(AA$72,INDIRECT($C$5&amp;"生成成长"),5))*(VLOOKUP($B$5,标准坦克设计!$B$24:$U$30,MATCH("对"&amp;LEFT($C$5,2)&amp;"输出",标准坦克设计!$B$23:$U$23,0)))*(VLOOKUP($B205,INDIRECT($B$5&amp;"生成成长"),3))*(VLOOKUP($B$5,标准坦克设计!$B$14:$K$20,9)/30))</f>
        <v>6.2547848320206914</v>
      </c>
      <c r="AB205" s="172">
        <f ca="1">(VLOOKUP(AB$72,INDIRECT($C$5&amp;"生成成长"),2))/((VLOOKUP($B205,INDIRECT($B$5&amp;"生成成长"),4))/(VLOOKUP(AB$72,INDIRECT($C$5&amp;"生成成长"),5))*(VLOOKUP($B$5,标准坦克设计!$B$24:$U$30,MATCH("对"&amp;LEFT($C$5,2)&amp;"输出",标准坦克设计!$B$23:$U$23,0)))*(VLOOKUP($B205,INDIRECT($B$5&amp;"生成成长"),3))*(VLOOKUP($B$5,标准坦克设计!$B$14:$K$20,9)/30))</f>
        <v>6.8558750448887356</v>
      </c>
      <c r="AC205" s="172">
        <f ca="1">(VLOOKUP(AC$72,INDIRECT($C$5&amp;"生成成长"),2))/((VLOOKUP($B205,INDIRECT($B$5&amp;"生成成长"),4))/(VLOOKUP(AC$72,INDIRECT($C$5&amp;"生成成长"),5))*(VLOOKUP($B$5,标准坦克设计!$B$24:$U$30,MATCH("对"&amp;LEFT($C$5,2)&amp;"输出",标准坦克设计!$B$23:$U$23,0)))*(VLOOKUP($B205,INDIRECT($B$5&amp;"生成成长"),3))*(VLOOKUP($B$5,标准坦克设计!$B$14:$K$20,9)/30))</f>
        <v>7.4845382033011836</v>
      </c>
      <c r="AD205" s="172">
        <f ca="1">(VLOOKUP(AD$72,INDIRECT($C$5&amp;"生成成长"),2))/((VLOOKUP($B205,INDIRECT($B$5&amp;"生成成长"),4))/(VLOOKUP(AD$72,INDIRECT($C$5&amp;"生成成长"),5))*(VLOOKUP($B$5,标准坦克设计!$B$24:$U$30,MATCH("对"&amp;LEFT($C$5,2)&amp;"输出",标准坦克设计!$B$23:$U$23,0)))*(VLOOKUP($B205,INDIRECT($B$5&amp;"生成成长"),3))*(VLOOKUP($B$5,标准坦克设计!$B$14:$K$20,9)/30))</f>
        <v>8.1407743072580345</v>
      </c>
      <c r="AE205" s="172">
        <f ca="1">(VLOOKUP(AE$72,INDIRECT($C$5&amp;"生成成长"),2))/((VLOOKUP($B205,INDIRECT($B$5&amp;"生成成长"),4))/(VLOOKUP(AE$72,INDIRECT($C$5&amp;"生成成长"),5))*(VLOOKUP($B$5,标准坦克设计!$B$24:$U$30,MATCH("对"&amp;LEFT($C$5,2)&amp;"输出",标准坦克设计!$B$23:$U$23,0)))*(VLOOKUP($B205,INDIRECT($B$5&amp;"生成成长"),3))*(VLOOKUP($B$5,标准坦克设计!$B$14:$K$20,9)/30))</f>
        <v>8.8245833567592946</v>
      </c>
      <c r="AF205" s="172">
        <f ca="1">(VLOOKUP(AF$72,INDIRECT($C$5&amp;"生成成长"),2))/((VLOOKUP($B205,INDIRECT($B$5&amp;"生成成长"),4))/(VLOOKUP(AF$72,INDIRECT($C$5&amp;"生成成长"),5))*(VLOOKUP($B$5,标准坦克设计!$B$24:$U$30,MATCH("对"&amp;LEFT($C$5,2)&amp;"输出",标准坦克设计!$B$23:$U$23,0)))*(VLOOKUP($B205,INDIRECT($B$5&amp;"生成成长"),3))*(VLOOKUP($B$5,标准坦克设计!$B$14:$K$20,9)/30))</f>
        <v>9.5359653518049594</v>
      </c>
      <c r="AG205" s="172">
        <f ca="1">(VLOOKUP(AG$72,INDIRECT($C$5&amp;"生成成长"),2))/((VLOOKUP($B205,INDIRECT($B$5&amp;"生成成长"),4))/(VLOOKUP(AG$72,INDIRECT($C$5&amp;"生成成长"),5))*(VLOOKUP($B$5,标准坦克设计!$B$24:$U$30,MATCH("对"&amp;LEFT($C$5,2)&amp;"输出",标准坦克设计!$B$23:$U$23,0)))*(VLOOKUP($B205,INDIRECT($B$5&amp;"生成成长"),3))*(VLOOKUP($B$5,标准坦克设计!$B$14:$K$20,9)/30))</f>
        <v>10.274920292395031</v>
      </c>
      <c r="AH205" s="172">
        <f ca="1">(VLOOKUP(AH$72,INDIRECT($C$5&amp;"生成成长"),2))/((VLOOKUP($B205,INDIRECT($B$5&amp;"生成成长"),4))/(VLOOKUP(AH$72,INDIRECT($C$5&amp;"生成成长"),5))*(VLOOKUP($B$5,标准坦克设计!$B$24:$U$30,MATCH("对"&amp;LEFT($C$5,2)&amp;"输出",标准坦克设计!$B$23:$U$23,0)))*(VLOOKUP($B205,INDIRECT($B$5&amp;"生成成长"),3))*(VLOOKUP($B$5,标准坦克设计!$B$14:$K$20,9)/30))</f>
        <v>11.041448178529505</v>
      </c>
      <c r="AI205" s="172">
        <f ca="1">(VLOOKUP(AI$72,INDIRECT($C$5&amp;"生成成长"),2))/((VLOOKUP($B205,INDIRECT($B$5&amp;"生成成长"),4))/(VLOOKUP(AI$72,INDIRECT($C$5&amp;"生成成长"),5))*(VLOOKUP($B$5,标准坦克设计!$B$24:$U$30,MATCH("对"&amp;LEFT($C$5,2)&amp;"输出",标准坦克设计!$B$23:$U$23,0)))*(VLOOKUP($B205,INDIRECT($B$5&amp;"生成成长"),3))*(VLOOKUP($B$5,标准坦克设计!$B$14:$K$20,9)/30))</f>
        <v>7.8092096370865578</v>
      </c>
      <c r="AJ205" s="172">
        <f ca="1">(VLOOKUP(AJ$72,INDIRECT($C$5&amp;"生成成长"),2))/((VLOOKUP($B205,INDIRECT($B$5&amp;"生成成长"),4))/(VLOOKUP(AJ$72,INDIRECT($C$5&amp;"生成成长"),5))*(VLOOKUP($B$5,标准坦克设计!$B$24:$U$30,MATCH("对"&amp;LEFT($C$5,2)&amp;"输出",标准坦克设计!$B$23:$U$23,0)))*(VLOOKUP($B205,INDIRECT($B$5&amp;"生成成长"),3))*(VLOOKUP($B$5,标准坦克设计!$B$14:$K$20,9)/30))</f>
        <v>8.5477509834934633</v>
      </c>
      <c r="AK205" s="172">
        <f ca="1">(VLOOKUP(AK$72,INDIRECT($C$5&amp;"生成成长"),2))/((VLOOKUP($B205,INDIRECT($B$5&amp;"生成成长"),4))/(VLOOKUP(AK$72,INDIRECT($C$5&amp;"生成成长"),5))*(VLOOKUP($B$5,标准坦克设计!$B$24:$U$30,MATCH("对"&amp;LEFT($C$5,2)&amp;"输出",标准坦克设计!$B$23:$U$23,0)))*(VLOOKUP($B205,INDIRECT($B$5&amp;"生成成长"),3))*(VLOOKUP($B$5,标准坦克设计!$B$14:$K$20,9)/30))</f>
        <v>9.319655594009097</v>
      </c>
      <c r="AL205" s="172">
        <f ca="1">(VLOOKUP(AL$72,INDIRECT($C$5&amp;"生成成长"),2))/((VLOOKUP($B205,INDIRECT($B$5&amp;"生成成长"),4))/(VLOOKUP(AL$72,INDIRECT($C$5&amp;"生成成长"),5))*(VLOOKUP($B$5,标准坦克设计!$B$24:$U$30,MATCH("对"&amp;LEFT($C$5,2)&amp;"输出",标准坦克设计!$B$23:$U$23,0)))*(VLOOKUP($B205,INDIRECT($B$5&amp;"生成成长"),3))*(VLOOKUP($B$5,标准坦克设计!$B$14:$K$20,9)/30))</f>
        <v>10.124923468633463</v>
      </c>
      <c r="AM205" s="172">
        <f ca="1">(VLOOKUP(AM$72,INDIRECT($C$5&amp;"生成成长"),2))/((VLOOKUP($B205,INDIRECT($B$5&amp;"生成成长"),4))/(VLOOKUP(AM$72,INDIRECT($C$5&amp;"生成成长"),5))*(VLOOKUP($B$5,标准坦克设计!$B$24:$U$30,MATCH("对"&amp;LEFT($C$5,2)&amp;"输出",标准坦克设计!$B$23:$U$23,0)))*(VLOOKUP($B205,INDIRECT($B$5&amp;"生成成长"),3))*(VLOOKUP($B$5,标准坦克设计!$B$14:$K$20,9)/30))</f>
        <v>10.963554607366561</v>
      </c>
      <c r="AN205" s="172">
        <f ca="1">(VLOOKUP(AN$72,INDIRECT($C$5&amp;"生成成长"),2))/((VLOOKUP($B205,INDIRECT($B$5&amp;"生成成长"),4))/(VLOOKUP(AN$72,INDIRECT($C$5&amp;"生成成长"),5))*(VLOOKUP($B$5,标准坦克设计!$B$24:$U$30,MATCH("对"&amp;LEFT($C$5,2)&amp;"输出",标准坦克设计!$B$23:$U$23,0)))*(VLOOKUP($B205,INDIRECT($B$5&amp;"生成成长"),3))*(VLOOKUP($B$5,标准坦克设计!$B$14:$K$20,9)/30))</f>
        <v>11.835549010208389</v>
      </c>
      <c r="AO205" s="172">
        <f ca="1">(VLOOKUP(AO$72,INDIRECT($C$5&amp;"生成成长"),2))/((VLOOKUP($B205,INDIRECT($B$5&amp;"生成成长"),4))/(VLOOKUP(AO$72,INDIRECT($C$5&amp;"生成成长"),5))*(VLOOKUP($B$5,标准坦克设计!$B$24:$U$30,MATCH("对"&amp;LEFT($C$5,2)&amp;"输出",标准坦克设计!$B$23:$U$23,0)))*(VLOOKUP($B205,INDIRECT($B$5&amp;"生成成长"),3))*(VLOOKUP($B$5,标准坦克设计!$B$14:$K$20,9)/30))</f>
        <v>12.740906677158947</v>
      </c>
      <c r="AP205" s="172">
        <f ca="1">(VLOOKUP(AP$72,INDIRECT($C$5&amp;"生成成长"),2))/((VLOOKUP($B205,INDIRECT($B$5&amp;"生成成长"),4))/(VLOOKUP(AP$72,INDIRECT($C$5&amp;"生成成长"),5))*(VLOOKUP($B$5,标准坦克设计!$B$24:$U$30,MATCH("对"&amp;LEFT($C$5,2)&amp;"输出",标准坦克设计!$B$23:$U$23,0)))*(VLOOKUP($B205,INDIRECT($B$5&amp;"生成成长"),3))*(VLOOKUP($B$5,标准坦克设计!$B$14:$K$20,9)/30))</f>
        <v>13.679627608218237</v>
      </c>
      <c r="AQ205" s="172">
        <f ca="1">(VLOOKUP(AQ$72,INDIRECT($C$5&amp;"生成成长"),2))/((VLOOKUP($B205,INDIRECT($B$5&amp;"生成成长"),4))/(VLOOKUP(AQ$72,INDIRECT($C$5&amp;"生成成长"),5))*(VLOOKUP($B$5,标准坦克设计!$B$24:$U$30,MATCH("对"&amp;LEFT($C$5,2)&amp;"输出",标准坦克设计!$B$23:$U$23,0)))*(VLOOKUP($B205,INDIRECT($B$5&amp;"生成成长"),3))*(VLOOKUP($B$5,标准坦克设计!$B$14:$K$20,9)/30))</f>
        <v>14.651711803386254</v>
      </c>
      <c r="AR205" s="172">
        <f ca="1">(VLOOKUP(AR$72,INDIRECT($C$5&amp;"生成成长"),2))/((VLOOKUP($B205,INDIRECT($B$5&amp;"生成成长"),4))/(VLOOKUP(AR$72,INDIRECT($C$5&amp;"生成成长"),5))*(VLOOKUP($B$5,标准坦克设计!$B$24:$U$30,MATCH("对"&amp;LEFT($C$5,2)&amp;"输出",标准坦克设计!$B$23:$U$23,0)))*(VLOOKUP($B205,INDIRECT($B$5&amp;"生成成长"),3))*(VLOOKUP($B$5,标准坦克设计!$B$14:$K$20,9)/30))</f>
        <v>15.657159262663008</v>
      </c>
      <c r="AS205" s="172">
        <f ca="1">(VLOOKUP(AS$72,INDIRECT($C$5&amp;"生成成长"),2))/((VLOOKUP($B205,INDIRECT($B$5&amp;"生成成长"),4))/(VLOOKUP(AS$72,INDIRECT($C$5&amp;"生成成长"),5))*(VLOOKUP($B$5,标准坦克设计!$B$24:$U$30,MATCH("对"&amp;LEFT($C$5,2)&amp;"输出",标准坦克设计!$B$23:$U$23,0)))*(VLOOKUP($B205,INDIRECT($B$5&amp;"生成成长"),3))*(VLOOKUP($B$5,标准坦克设计!$B$14:$K$20,9)/30))</f>
        <v>16.695969986048489</v>
      </c>
      <c r="AT205" s="172">
        <f ca="1">(VLOOKUP(AT$72,INDIRECT($C$5&amp;"生成成长"),2))/((VLOOKUP($B205,INDIRECT($B$5&amp;"生成成长"),4))/(VLOOKUP(AT$72,INDIRECT($C$5&amp;"生成成长"),5))*(VLOOKUP($B$5,标准坦克设计!$B$24:$U$30,MATCH("对"&amp;LEFT($C$5,2)&amp;"输出",标准坦克设计!$B$23:$U$23,0)))*(VLOOKUP($B205,INDIRECT($B$5&amp;"生成成长"),3))*(VLOOKUP($B$5,标准坦克设计!$B$14:$K$20,9)/30))</f>
        <v>17.768143973542699</v>
      </c>
      <c r="AU205" s="172">
        <f ca="1">(VLOOKUP(AU$72,INDIRECT($C$5&amp;"生成成长"),2))/((VLOOKUP($B205,INDIRECT($B$5&amp;"生成成长"),4))/(VLOOKUP(AU$72,INDIRECT($C$5&amp;"生成成长"),5))*(VLOOKUP($B$5,标准坦克设计!$B$24:$U$30,MATCH("对"&amp;LEFT($C$5,2)&amp;"输出",标准坦克设计!$B$23:$U$23,0)))*(VLOOKUP($B205,INDIRECT($B$5&amp;"生成成长"),3))*(VLOOKUP($B$5,标准坦克设计!$B$14:$K$20,9)/30))</f>
        <v>18.873681225145646</v>
      </c>
      <c r="AV205" s="172">
        <f ca="1">(VLOOKUP(AV$72,INDIRECT($C$5&amp;"生成成长"),2))/((VLOOKUP($B205,INDIRECT($B$5&amp;"生成成长"),4))/(VLOOKUP(AV$72,INDIRECT($C$5&amp;"生成成长"),5))*(VLOOKUP($B$5,标准坦克设计!$B$24:$U$30,MATCH("对"&amp;LEFT($C$5,2)&amp;"输出",标准坦克设计!$B$23:$U$23,0)))*(VLOOKUP($B205,INDIRECT($B$5&amp;"生成成长"),3))*(VLOOKUP($B$5,标准坦克设计!$B$14:$K$20,9)/30))</f>
        <v>1.9196284688015191</v>
      </c>
      <c r="AW205" s="172">
        <f ca="1">(VLOOKUP(AW$72,INDIRECT($C$5&amp;"生成成长"),2))/((VLOOKUP($B205,INDIRECT($B$5&amp;"生成成长"),4))/(VLOOKUP(AW$72,INDIRECT($C$5&amp;"生成成长"),5))*(VLOOKUP($B$5,标准坦克设计!$B$24:$U$30,MATCH("对"&amp;LEFT($C$5,2)&amp;"输出",标准坦克设计!$B$23:$U$23,0)))*(VLOOKUP($B205,INDIRECT($B$5&amp;"生成成长"),3))*(VLOOKUP($B$5,标准坦克设计!$B$14:$K$20,9)/30))</f>
        <v>2.1887404173149179</v>
      </c>
      <c r="AX205" s="172">
        <f ca="1">(VLOOKUP(AX$72,INDIRECT($C$5&amp;"生成成长"),2))/((VLOOKUP($B205,INDIRECT($B$5&amp;"生成成长"),4))/(VLOOKUP(AX$72,INDIRECT($C$5&amp;"生成成长"),5))*(VLOOKUP($B$5,标准坦克设计!$B$24:$U$30,MATCH("对"&amp;LEFT($C$5,2)&amp;"输出",标准坦克设计!$B$23:$U$23,0)))*(VLOOKUP($B205,INDIRECT($B$5&amp;"生成成长"),3))*(VLOOKUP($B$5,标准坦克设计!$B$14:$K$20,9)/30))</f>
        <v>2.4754990509767363</v>
      </c>
      <c r="AY205" s="172">
        <f ca="1">(VLOOKUP(AY$72,INDIRECT($C$5&amp;"生成成长"),2))/((VLOOKUP($B205,INDIRECT($B$5&amp;"生成成长"),4))/(VLOOKUP(AY$72,INDIRECT($C$5&amp;"生成成长"),5))*(VLOOKUP($B$5,标准坦克设计!$B$24:$U$30,MATCH("对"&amp;LEFT($C$5,2)&amp;"输出",标准坦克设计!$B$23:$U$23,0)))*(VLOOKUP($B205,INDIRECT($B$5&amp;"生成成长"),3))*(VLOOKUP($B$5,标准坦克设计!$B$14:$K$20,9)/30))</f>
        <v>2.7799043697869736</v>
      </c>
      <c r="AZ205" s="172">
        <f ca="1">(VLOOKUP(AZ$72,INDIRECT($C$5&amp;"生成成长"),2))/((VLOOKUP($B205,INDIRECT($B$5&amp;"生成成长"),4))/(VLOOKUP(AZ$72,INDIRECT($C$5&amp;"生成成长"),5))*(VLOOKUP($B$5,标准坦克设计!$B$24:$U$30,MATCH("对"&amp;LEFT($C$5,2)&amp;"输出",标准坦克设计!$B$23:$U$23,0)))*(VLOOKUP($B205,INDIRECT($B$5&amp;"生成成长"),3))*(VLOOKUP($B$5,标准坦克设计!$B$14:$K$20,9)/30))</f>
        <v>3.1019563737456317</v>
      </c>
      <c r="BA205" s="172">
        <f ca="1">(VLOOKUP(BA$72,INDIRECT($C$5&amp;"生成成长"),2))/((VLOOKUP($B205,INDIRECT($B$5&amp;"生成成长"),4))/(VLOOKUP(BA$72,INDIRECT($C$5&amp;"生成成长"),5))*(VLOOKUP($B$5,标准坦克设计!$B$24:$U$30,MATCH("对"&amp;LEFT($C$5,2)&amp;"输出",标准坦克设计!$B$23:$U$23,0)))*(VLOOKUP($B205,INDIRECT($B$5&amp;"生成成长"),3))*(VLOOKUP($B$5,标准坦克设计!$B$14:$K$20,9)/30))</f>
        <v>3.4416550628527092</v>
      </c>
      <c r="BB205" s="172">
        <f ca="1">(VLOOKUP(BB$72,INDIRECT($C$5&amp;"生成成长"),2))/((VLOOKUP($B205,INDIRECT($B$5&amp;"生成成长"),4))/(VLOOKUP(BB$72,INDIRECT($C$5&amp;"生成成长"),5))*(VLOOKUP($B$5,标准坦克设计!$B$24:$U$30,MATCH("对"&amp;LEFT($C$5,2)&amp;"输出",标准坦克设计!$B$23:$U$23,0)))*(VLOOKUP($B205,INDIRECT($B$5&amp;"生成成长"),3))*(VLOOKUP($B$5,标准坦克设计!$B$14:$K$20,9)/30))</f>
        <v>3.799000437108206</v>
      </c>
      <c r="BC205" s="172">
        <f ca="1">(VLOOKUP(BC$72,INDIRECT($C$5&amp;"生成成长"),2))/((VLOOKUP($B205,INDIRECT($B$5&amp;"生成成长"),4))/(VLOOKUP(BC$72,INDIRECT($C$5&amp;"生成成长"),5))*(VLOOKUP($B$5,标准坦克设计!$B$24:$U$30,MATCH("对"&amp;LEFT($C$5,2)&amp;"输出",标准坦克设计!$B$23:$U$23,0)))*(VLOOKUP($B205,INDIRECT($B$5&amp;"生成成长"),3))*(VLOOKUP($B$5,标准坦克设计!$B$14:$K$20,9)/30))</f>
        <v>4.1739924965121222</v>
      </c>
      <c r="BD205" s="172">
        <f ca="1">(VLOOKUP(BD$72,INDIRECT($C$5&amp;"生成成长"),2))/((VLOOKUP($B205,INDIRECT($B$5&amp;"生成成长"),4))/(VLOOKUP(BD$72,INDIRECT($C$5&amp;"生成成长"),5))*(VLOOKUP($B$5,标准坦克设计!$B$24:$U$30,MATCH("对"&amp;LEFT($C$5,2)&amp;"输出",标准坦克设计!$B$23:$U$23,0)))*(VLOOKUP($B205,INDIRECT($B$5&amp;"生成成长"),3))*(VLOOKUP($B$5,标准坦克设计!$B$14:$K$20,9)/30))</f>
        <v>4.6169518666829994</v>
      </c>
      <c r="BE205" s="172">
        <f ca="1">(VLOOKUP(BE$72,INDIRECT($C$5&amp;"生成成长"),2))/((VLOOKUP($B205,INDIRECT($B$5&amp;"生成成长"),4))/(VLOOKUP(BE$72,INDIRECT($C$5&amp;"生成成长"),5))*(VLOOKUP($B$5,标准坦克设计!$B$24:$U$30,MATCH("对"&amp;LEFT($C$5,2)&amp;"输出",标准坦克设计!$B$23:$U$23,0)))*(VLOOKUP($B205,INDIRECT($B$5&amp;"生成成长"),3))*(VLOOKUP($B$5,标准坦克设计!$B$14:$K$20,9)/30))</f>
        <v>5.0822453227448419</v>
      </c>
      <c r="BF205" s="172">
        <f ca="1">(VLOOKUP(BF$72,INDIRECT($C$5&amp;"生成成长"),2))/((VLOOKUP($B205,INDIRECT($B$5&amp;"生成成长"),4))/(VLOOKUP(BF$72,INDIRECT($C$5&amp;"生成成长"),5))*(VLOOKUP($B$5,标准坦克设计!$B$24:$U$30,MATCH("对"&amp;LEFT($C$5,2)&amp;"输出",标准坦克设计!$B$23:$U$23,0)))*(VLOOKUP($B205,INDIRECT($B$5&amp;"生成成长"),3))*(VLOOKUP($B$5,标准坦克设计!$B$14:$K$20,9)/30))</f>
        <v>5.5698728646976559</v>
      </c>
      <c r="BG205" s="172">
        <f ca="1">(VLOOKUP(BG$72,INDIRECT($C$5&amp;"生成成长"),2))/((VLOOKUP($B205,INDIRECT($B$5&amp;"生成成长"),4))/(VLOOKUP(BG$72,INDIRECT($C$5&amp;"生成成长"),5))*(VLOOKUP($B$5,标准坦克设计!$B$24:$U$30,MATCH("对"&amp;LEFT($C$5,2)&amp;"输出",标准坦克设计!$B$23:$U$23,0)))*(VLOOKUP($B205,INDIRECT($B$5&amp;"生成成长"),3))*(VLOOKUP($B$5,标准坦克设计!$B$14:$K$20,9)/30))</f>
        <v>6.0798344925414369</v>
      </c>
      <c r="BH205" s="172">
        <f ca="1">(VLOOKUP(BH$72,INDIRECT($C$5&amp;"生成成长"),2))/((VLOOKUP($B205,INDIRECT($B$5&amp;"生成成长"),4))/(VLOOKUP(BH$72,INDIRECT($C$5&amp;"生成成长"),5))*(VLOOKUP($B$5,标准坦克设计!$B$24:$U$30,MATCH("对"&amp;LEFT($C$5,2)&amp;"输出",标准坦克设计!$B$23:$U$23,0)))*(VLOOKUP($B205,INDIRECT($B$5&amp;"生成成长"),3))*(VLOOKUP($B$5,标准坦克设计!$B$14:$K$20,9)/30))</f>
        <v>2.9387245361227503</v>
      </c>
      <c r="BI205" s="172">
        <f ca="1">(VLOOKUP(BI$72,INDIRECT($C$5&amp;"生成成长"),2))/((VLOOKUP($B205,INDIRECT($B$5&amp;"生成成长"),4))/(VLOOKUP(BI$72,INDIRECT($C$5&amp;"生成成长"),5))*(VLOOKUP($B$5,标准坦克设计!$B$24:$U$30,MATCH("对"&amp;LEFT($C$5,2)&amp;"输出",标准坦克设计!$B$23:$U$23,0)))*(VLOOKUP($B205,INDIRECT($B$5&amp;"生成成长"),3))*(VLOOKUP($B$5,标准坦克设计!$B$14:$K$20,9)/30))</f>
        <v>3.3122000835217245</v>
      </c>
      <c r="BJ205" s="172">
        <f ca="1">(VLOOKUP(BJ$72,INDIRECT($C$5&amp;"生成成长"),2))/((VLOOKUP($B205,INDIRECT($B$5&amp;"生成成长"),4))/(VLOOKUP(BJ$72,INDIRECT($C$5&amp;"生成成长"),5))*(VLOOKUP($B$5,标准坦克设计!$B$24:$U$30,MATCH("对"&amp;LEFT($C$5,2)&amp;"输出",标准坦克设计!$B$23:$U$23,0)))*(VLOOKUP($B205,INDIRECT($B$5&amp;"生成成长"),3))*(VLOOKUP($B$5,标准坦克设计!$B$14:$K$20,9)/30))</f>
        <v>3.7080097168116666</v>
      </c>
      <c r="BK205" s="172">
        <f ca="1">(VLOOKUP(BK$72,INDIRECT($C$5&amp;"生成成长"),2))/((VLOOKUP($B205,INDIRECT($B$5&amp;"生成成长"),4))/(VLOOKUP(BK$72,INDIRECT($C$5&amp;"生成成长"),5))*(VLOOKUP($B$5,标准坦克设计!$B$24:$U$30,MATCH("对"&amp;LEFT($C$5,2)&amp;"输出",标准坦克设计!$B$23:$U$23,0)))*(VLOOKUP($B205,INDIRECT($B$5&amp;"生成成长"),3))*(VLOOKUP($B$5,标准坦克设计!$B$14:$K$20,9)/30))</f>
        <v>4.1261534359925776</v>
      </c>
      <c r="BL205" s="172">
        <f ca="1">(VLOOKUP(BL$72,INDIRECT($C$5&amp;"生成成长"),2))/((VLOOKUP($B205,INDIRECT($B$5&amp;"生成成长"),4))/(VLOOKUP(BL$72,INDIRECT($C$5&amp;"生成成长"),5))*(VLOOKUP($B$5,标准坦克设计!$B$24:$U$30,MATCH("对"&amp;LEFT($C$5,2)&amp;"输出",标准坦克设计!$B$23:$U$23,0)))*(VLOOKUP($B205,INDIRECT($B$5&amp;"生成成长"),3))*(VLOOKUP($B$5,标准坦克设计!$B$14:$K$20,9)/30))</f>
        <v>4.5666312410644574</v>
      </c>
      <c r="BM205" s="172">
        <f ca="1">(VLOOKUP(BM$72,INDIRECT($C$5&amp;"生成成长"),2))/((VLOOKUP($B205,INDIRECT($B$5&amp;"生成成长"),4))/(VLOOKUP(BM$72,INDIRECT($C$5&amp;"生成成长"),5))*(VLOOKUP($B$5,标准坦克设计!$B$24:$U$30,MATCH("对"&amp;LEFT($C$5,2)&amp;"输出",标准坦克设计!$B$23:$U$23,0)))*(VLOOKUP($B205,INDIRECT($B$5&amp;"生成成长"),3))*(VLOOKUP($B$5,标准坦克设计!$B$14:$K$20,9)/30))</f>
        <v>5.0294431320273061</v>
      </c>
      <c r="BN205" s="172">
        <f ca="1">(VLOOKUP(BN$72,INDIRECT($C$5&amp;"生成成长"),2))/((VLOOKUP($B205,INDIRECT($B$5&amp;"生成成长"),4))/(VLOOKUP(BN$72,INDIRECT($C$5&amp;"生成成长"),5))*(VLOOKUP($B$5,标准坦克设计!$B$24:$U$30,MATCH("对"&amp;LEFT($C$5,2)&amp;"输出",标准坦克设计!$B$23:$U$23,0)))*(VLOOKUP($B205,INDIRECT($B$5&amp;"生成成长"),3))*(VLOOKUP($B$5,标准坦克设计!$B$14:$K$20,9)/30))</f>
        <v>5.5145891088811236</v>
      </c>
      <c r="BO205" s="172">
        <f ca="1">(VLOOKUP(BO$72,INDIRECT($C$5&amp;"生成成长"),2))/((VLOOKUP($B205,INDIRECT($B$5&amp;"生成成长"),4))/(VLOOKUP(BO$72,INDIRECT($C$5&amp;"生成成长"),5))*(VLOOKUP($B$5,标准坦克设计!$B$24:$U$30,MATCH("对"&amp;LEFT($C$5,2)&amp;"输出",标准坦克设计!$B$23:$U$23,0)))*(VLOOKUP($B205,INDIRECT($B$5&amp;"生成成长"),3))*(VLOOKUP($B$5,标准坦克设计!$B$14:$K$20,9)/30))</f>
        <v>6.0220691716259083</v>
      </c>
      <c r="BP205" s="172">
        <f ca="1">(VLOOKUP(BP$72,INDIRECT($C$5&amp;"生成成长"),2))/((VLOOKUP($B205,INDIRECT($B$5&amp;"生成成长"),4))/(VLOOKUP(BP$72,INDIRECT($C$5&amp;"生成成长"),5))*(VLOOKUP($B$5,标准坦克设计!$B$24:$U$30,MATCH("对"&amp;LEFT($C$5,2)&amp;"输出",标准坦克设计!$B$23:$U$23,0)))*(VLOOKUP($B205,INDIRECT($B$5&amp;"生成成长"),3))*(VLOOKUP($B$5,标准坦克设计!$B$14:$K$20,9)/30))</f>
        <v>6.5518833202616626</v>
      </c>
      <c r="BQ205" s="172">
        <f ca="1">(VLOOKUP(BQ$72,INDIRECT($C$5&amp;"生成成长"),2))/((VLOOKUP($B205,INDIRECT($B$5&amp;"生成成长"),4))/(VLOOKUP(BQ$72,INDIRECT($C$5&amp;"生成成长"),5))*(VLOOKUP($B$5,标准坦克设计!$B$24:$U$30,MATCH("对"&amp;LEFT($C$5,2)&amp;"输出",标准坦克设计!$B$23:$U$23,0)))*(VLOOKUP($B205,INDIRECT($B$5&amp;"生成成长"),3))*(VLOOKUP($B$5,标准坦克设计!$B$14:$K$20,9)/30))</f>
        <v>7.1040315547883859</v>
      </c>
      <c r="BR205" s="172">
        <f ca="1">(VLOOKUP(BR$72,INDIRECT($C$5&amp;"生成成长"),2))/((VLOOKUP($B205,INDIRECT($B$5&amp;"生成成长"),4))/(VLOOKUP(BR$72,INDIRECT($C$5&amp;"生成成长"),5))*(VLOOKUP($B$5,标准坦克设计!$B$24:$U$30,MATCH("对"&amp;LEFT($C$5,2)&amp;"输出",标准坦克设计!$B$23:$U$23,0)))*(VLOOKUP($B205,INDIRECT($B$5&amp;"生成成长"),3))*(VLOOKUP($B$5,标准坦克设计!$B$14:$K$20,9)/30))</f>
        <v>7.7437238914185942</v>
      </c>
      <c r="BS205" s="172">
        <f ca="1">(VLOOKUP(BS$72,INDIRECT($C$5&amp;"生成成长"),2))/((VLOOKUP($B205,INDIRECT($B$5&amp;"生成成长"),4))/(VLOOKUP(BS$72,INDIRECT($C$5&amp;"生成成长"),5))*(VLOOKUP($B$5,标准坦克设计!$B$24:$U$30,MATCH("对"&amp;LEFT($C$5,2)&amp;"输出",标准坦克设计!$B$23:$U$23,0)))*(VLOOKUP($B205,INDIRECT($B$5&amp;"生成成长"),3))*(VLOOKUP($B$5,标准坦克设计!$B$14:$K$20,9)/30))</f>
        <v>8.4109891735932116</v>
      </c>
      <c r="BT205" s="172">
        <f ca="1">(VLOOKUP(BT$72,INDIRECT($C$5&amp;"生成成长"),2))/((VLOOKUP($B205,INDIRECT($B$5&amp;"生成成长"),4))/(VLOOKUP(BT$72,INDIRECT($C$5&amp;"生成成长"),5))*(VLOOKUP($B$5,标准坦克设计!$B$24:$U$30,MATCH("对"&amp;LEFT($C$5,2)&amp;"输出",标准坦克设计!$B$23:$U$23,0)))*(VLOOKUP($B205,INDIRECT($B$5&amp;"生成成长"),3))*(VLOOKUP($B$5,标准坦克设计!$B$14:$K$20,9)/30))</f>
        <v>9.1058274013122311</v>
      </c>
      <c r="BU205" s="172">
        <f ca="1">(VLOOKUP(BU$72,INDIRECT($C$5&amp;"生成成长"),2))/((VLOOKUP($B205,INDIRECT($B$5&amp;"生成成长"),4))/(VLOOKUP(BU$72,INDIRECT($C$5&amp;"生成成长"),5))*(VLOOKUP($B$5,标准坦克设计!$B$24:$U$30,MATCH("对"&amp;LEFT($C$5,2)&amp;"输出",标准坦克设计!$B$23:$U$23,0)))*(VLOOKUP($B205,INDIRECT($B$5&amp;"生成成长"),3))*(VLOOKUP($B$5,标准坦克设计!$B$14:$K$20,9)/30))</f>
        <v>9.8282385745756589</v>
      </c>
      <c r="BV205" s="172">
        <f ca="1">(VLOOKUP(BV$72,INDIRECT($C$5&amp;"生成成长"),2))/((VLOOKUP($B205,INDIRECT($B$5&amp;"生成成长"),4))/(VLOOKUP(BV$72,INDIRECT($C$5&amp;"生成成长"),5))*(VLOOKUP($B$5,标准坦克设计!$B$24:$U$30,MATCH("对"&amp;LEFT($C$5,2)&amp;"输出",标准坦克设计!$B$23:$U$23,0)))*(VLOOKUP($B205,INDIRECT($B$5&amp;"生成成长"),3))*(VLOOKUP($B$5,标准坦克设计!$B$14:$K$20,9)/30))</f>
        <v>10.578222693383491</v>
      </c>
      <c r="BW205" s="172">
        <f ca="1">(VLOOKUP(BW$72,INDIRECT($C$5&amp;"生成成长"),2))/((VLOOKUP($B205,INDIRECT($B$5&amp;"生成成长"),4))/(VLOOKUP(BW$72,INDIRECT($C$5&amp;"生成成长"),5))*(VLOOKUP($B$5,标准坦克设计!$B$24:$U$30,MATCH("对"&amp;LEFT($C$5,2)&amp;"输出",标准坦克设计!$B$23:$U$23,0)))*(VLOOKUP($B205,INDIRECT($B$5&amp;"生成成长"),3))*(VLOOKUP($B$5,标准坦克设计!$B$14:$K$20,9)/30))</f>
        <v>4.8209916637115997</v>
      </c>
      <c r="BX205" s="172">
        <f ca="1">(VLOOKUP(BX$72,INDIRECT($C$5&amp;"生成成长"),2))/((VLOOKUP($B205,INDIRECT($B$5&amp;"生成成长"),4))/(VLOOKUP(BX$72,INDIRECT($C$5&amp;"生成成长"),5))*(VLOOKUP($B$5,标准坦克设计!$B$24:$U$30,MATCH("对"&amp;LEFT($C$5,2)&amp;"输出",标准坦克设计!$B$23:$U$23,0)))*(VLOOKUP($B205,INDIRECT($B$5&amp;"生成成长"),3))*(VLOOKUP($B$5,标准坦克设计!$B$14:$K$20,9)/30))</f>
        <v>5.3503922181641874</v>
      </c>
      <c r="BY205" s="172">
        <f ca="1">(VLOOKUP(BY$72,INDIRECT($C$5&amp;"生成成长"),2))/((VLOOKUP($B205,INDIRECT($B$5&amp;"生成成长"),4))/(VLOOKUP(BY$72,INDIRECT($C$5&amp;"生成成长"),5))*(VLOOKUP($B$5,标准坦克设计!$B$24:$U$30,MATCH("对"&amp;LEFT($C$5,2)&amp;"输出",标准坦克设计!$B$23:$U$23,0)))*(VLOOKUP($B205,INDIRECT($B$5&amp;"生成成长"),3))*(VLOOKUP($B$5,标准坦克设计!$B$14:$K$20,9)/30))</f>
        <v>5.9073657181611798</v>
      </c>
      <c r="BZ205" s="172">
        <f ca="1">(VLOOKUP(BZ$72,INDIRECT($C$5&amp;"生成成长"),2))/((VLOOKUP($B205,INDIRECT($B$5&amp;"生成成长"),4))/(VLOOKUP(BZ$72,INDIRECT($C$5&amp;"生成成长"),5))*(VLOOKUP($B$5,标准坦克设计!$B$24:$U$30,MATCH("对"&amp;LEFT($C$5,2)&amp;"输出",标准坦克设计!$B$23:$U$23,0)))*(VLOOKUP($B205,INDIRECT($B$5&amp;"生成成长"),3))*(VLOOKUP($B$5,标准坦克设计!$B$14:$K$20,9)/30))</f>
        <v>6.4919121637025796</v>
      </c>
      <c r="CA205" s="172">
        <f ca="1">(VLOOKUP(CA$72,INDIRECT($C$5&amp;"生成成长"),2))/((VLOOKUP($B205,INDIRECT($B$5&amp;"生成成长"),4))/(VLOOKUP(CA$72,INDIRECT($C$5&amp;"生成成长"),5))*(VLOOKUP($B$5,标准坦克设计!$B$24:$U$30,MATCH("对"&amp;LEFT($C$5,2)&amp;"输出",标准坦克设计!$B$23:$U$23,0)))*(VLOOKUP($B205,INDIRECT($B$5&amp;"生成成长"),3))*(VLOOKUP($B$5,标准坦克设计!$B$14:$K$20,9)/30))</f>
        <v>7.1040315547883859</v>
      </c>
      <c r="CB205" s="172">
        <f ca="1">(VLOOKUP(CB$72,INDIRECT($C$5&amp;"生成成长"),2))/((VLOOKUP($B205,INDIRECT($B$5&amp;"生成成长"),4))/(VLOOKUP(CB$72,INDIRECT($C$5&amp;"生成成长"),5))*(VLOOKUP($B$5,标准坦克设计!$B$24:$U$30,MATCH("对"&amp;LEFT($C$5,2)&amp;"输出",标准坦克设计!$B$23:$U$23,0)))*(VLOOKUP($B205,INDIRECT($B$5&amp;"生成成长"),3))*(VLOOKUP($B$5,标准坦克设计!$B$14:$K$20,9)/30))</f>
        <v>7.7437238914185942</v>
      </c>
      <c r="CC205" s="172">
        <f ca="1">(VLOOKUP(CC$72,INDIRECT($C$5&amp;"生成成长"),2))/((VLOOKUP($B205,INDIRECT($B$5&amp;"生成成长"),4))/(VLOOKUP(CC$72,INDIRECT($C$5&amp;"生成成长"),5))*(VLOOKUP($B$5,标准坦克设计!$B$24:$U$30,MATCH("对"&amp;LEFT($C$5,2)&amp;"输出",标准坦克设计!$B$23:$U$23,0)))*(VLOOKUP($B205,INDIRECT($B$5&amp;"生成成长"),3))*(VLOOKUP($B$5,标准坦克设计!$B$14:$K$20,9)/30))</f>
        <v>8.4109891735932116</v>
      </c>
      <c r="CD205" s="172">
        <f ca="1">(VLOOKUP(CD$72,INDIRECT($C$5&amp;"生成成长"),2))/((VLOOKUP($B205,INDIRECT($B$5&amp;"生成成长"),4))/(VLOOKUP(CD$72,INDIRECT($C$5&amp;"生成成长"),5))*(VLOOKUP($B$5,标准坦克设计!$B$24:$U$30,MATCH("对"&amp;LEFT($C$5,2)&amp;"输出",标准坦克设计!$B$23:$U$23,0)))*(VLOOKUP($B205,INDIRECT($B$5&amp;"生成成长"),3))*(VLOOKUP($B$5,标准坦克设计!$B$14:$K$20,9)/30))</f>
        <v>9.1058274013122311</v>
      </c>
      <c r="CE205" s="172">
        <f ca="1">(VLOOKUP(CE$72,INDIRECT($C$5&amp;"生成成长"),2))/((VLOOKUP($B205,INDIRECT($B$5&amp;"生成成长"),4))/(VLOOKUP(CE$72,INDIRECT($C$5&amp;"生成成长"),5))*(VLOOKUP($B$5,标准坦克设计!$B$24:$U$30,MATCH("对"&amp;LEFT($C$5,2)&amp;"输出",标准坦克设计!$B$23:$U$23,0)))*(VLOOKUP($B205,INDIRECT($B$5&amp;"生成成长"),3))*(VLOOKUP($B$5,标准坦克设计!$B$14:$K$20,9)/30))</f>
        <v>9.8282385745756589</v>
      </c>
      <c r="CF205" s="172">
        <f ca="1">(VLOOKUP(CF$72,INDIRECT($C$5&amp;"生成成长"),2))/((VLOOKUP($B205,INDIRECT($B$5&amp;"生成成长"),4))/(VLOOKUP(CF$72,INDIRECT($C$5&amp;"生成成长"),5))*(VLOOKUP($B$5,标准坦克设计!$B$24:$U$30,MATCH("对"&amp;LEFT($C$5,2)&amp;"输出",标准坦克设计!$B$23:$U$23,0)))*(VLOOKUP($B205,INDIRECT($B$5&amp;"生成成长"),3))*(VLOOKUP($B$5,标准坦克设计!$B$14:$K$20,9)/30))</f>
        <v>10.578222693383491</v>
      </c>
      <c r="CG205" s="172">
        <f ca="1">(VLOOKUP(CG$72,INDIRECT($C$5&amp;"生成成长"),2))/((VLOOKUP($B205,INDIRECT($B$5&amp;"生成成长"),4))/(VLOOKUP(CG$72,INDIRECT($C$5&amp;"生成成长"),5))*(VLOOKUP($B$5,标准坦克设计!$B$24:$U$30,MATCH("对"&amp;LEFT($C$5,2)&amp;"输出",标准坦克设计!$B$23:$U$23,0)))*(VLOOKUP($B205,INDIRECT($B$5&amp;"生成成长"),3))*(VLOOKUP($B$5,标准坦克设计!$B$14:$K$20,9)/30))</f>
        <v>11.35577975773573</v>
      </c>
      <c r="CH205" s="172">
        <f ca="1">(VLOOKUP(CH$72,INDIRECT($C$5&amp;"生成成长"),2))/((VLOOKUP($B205,INDIRECT($B$5&amp;"生成成长"),4))/(VLOOKUP(CH$72,INDIRECT($C$5&amp;"生成成长"),5))*(VLOOKUP($B$5,标准坦克设计!$B$24:$U$30,MATCH("对"&amp;LEFT($C$5,2)&amp;"输出",标准坦克设计!$B$23:$U$23,0)))*(VLOOKUP($B205,INDIRECT($B$5&amp;"生成成长"),3))*(VLOOKUP($B$5,标准坦克设计!$B$14:$K$20,9)/30))</f>
        <v>12.160909767632374</v>
      </c>
      <c r="CI205" s="172">
        <f ca="1">(VLOOKUP(CI$72,INDIRECT($C$5&amp;"生成成长"),2))/((VLOOKUP($B205,INDIRECT($B$5&amp;"生成成长"),4))/(VLOOKUP(CI$72,INDIRECT($C$5&amp;"生成成长"),5))*(VLOOKUP($B$5,标准坦克设计!$B$24:$U$30,MATCH("对"&amp;LEFT($C$5,2)&amp;"输出",标准坦克设计!$B$23:$U$23,0)))*(VLOOKUP($B205,INDIRECT($B$5&amp;"生成成长"),3))*(VLOOKUP($B$5,标准坦克设计!$B$14:$K$20,9)/30))</f>
        <v>13.07839953062247</v>
      </c>
      <c r="CJ205" s="172">
        <f ca="1">(VLOOKUP(CJ$72,INDIRECT($C$5&amp;"生成成长"),2))/((VLOOKUP($B205,INDIRECT($B$5&amp;"生成成长"),4))/(VLOOKUP(CJ$72,INDIRECT($C$5&amp;"生成成长"),5))*(VLOOKUP($B$5,标准坦克设计!$B$24:$U$30,MATCH("对"&amp;LEFT($C$5,2)&amp;"输出",标准坦克设计!$B$23:$U$23,0)))*(VLOOKUP($B205,INDIRECT($B$5&amp;"生成成长"),3))*(VLOOKUP($B$5,标准坦克设计!$B$14:$K$20,9)/30))</f>
        <v>14.0292525577213</v>
      </c>
      <c r="CK205" s="172">
        <f ca="1">(VLOOKUP(CK$72,INDIRECT($C$5&amp;"生成成长"),2))/((VLOOKUP($B205,INDIRECT($B$5&amp;"生成成长"),4))/(VLOOKUP(CK$72,INDIRECT($C$5&amp;"生成成长"),5))*(VLOOKUP($B$5,标准坦克设计!$B$24:$U$30,MATCH("对"&amp;LEFT($C$5,2)&amp;"输出",标准坦克设计!$B$23:$U$23,0)))*(VLOOKUP($B205,INDIRECT($B$5&amp;"生成成长"),3))*(VLOOKUP($B$5,标准坦克设计!$B$14:$K$20,9)/30))</f>
        <v>15.013468848928857</v>
      </c>
      <c r="CL205" s="172">
        <f ca="1">(VLOOKUP(CL$72,INDIRECT($C$5&amp;"生成成长"),2))/((VLOOKUP($B205,INDIRECT($B$5&amp;"生成成长"),4))/(VLOOKUP(CL$72,INDIRECT($C$5&amp;"生成成长"),5))*(VLOOKUP($B$5,标准坦克设计!$B$24:$U$30,MATCH("对"&amp;LEFT($C$5,2)&amp;"输出",标准坦克设计!$B$23:$U$23,0)))*(VLOOKUP($B205,INDIRECT($B$5&amp;"生成成长"),3))*(VLOOKUP($B$5,标准坦克设计!$B$14:$K$20,9)/30))</f>
        <v>16.031048404245148</v>
      </c>
      <c r="CM205" s="172">
        <f ca="1">(VLOOKUP(CM$72,INDIRECT($C$5&amp;"生成成长"),2))/((VLOOKUP($B205,INDIRECT($B$5&amp;"生成成长"),4))/(VLOOKUP(CM$72,INDIRECT($C$5&amp;"生成成长"),5))*(VLOOKUP($B$5,标准坦克设计!$B$24:$U$30,MATCH("对"&amp;LEFT($C$5,2)&amp;"输出",标准坦克设计!$B$23:$U$23,0)))*(VLOOKUP($B205,INDIRECT($B$5&amp;"生成成长"),3))*(VLOOKUP($B$5,标准坦克设计!$B$14:$K$20,9)/30))</f>
        <v>17.081991223670169</v>
      </c>
      <c r="CN205" s="172">
        <f ca="1">(VLOOKUP(CN$72,INDIRECT($C$5&amp;"生成成长"),2))/((VLOOKUP($B205,INDIRECT($B$5&amp;"生成成长"),4))/(VLOOKUP(CN$72,INDIRECT($C$5&amp;"生成成长"),5))*(VLOOKUP($B$5,标准坦克设计!$B$24:$U$30,MATCH("对"&amp;LEFT($C$5,2)&amp;"输出",标准坦克设计!$B$23:$U$23,0)))*(VLOOKUP($B205,INDIRECT($B$5&amp;"生成成长"),3))*(VLOOKUP($B$5,标准坦克设计!$B$14:$K$20,9)/30))</f>
        <v>18.166297307203919</v>
      </c>
      <c r="CO205" s="172">
        <f ca="1">(VLOOKUP(CO$72,INDIRECT($C$5&amp;"生成成长"),2))/((VLOOKUP($B205,INDIRECT($B$5&amp;"生成成长"),4))/(VLOOKUP(CO$72,INDIRECT($C$5&amp;"生成成长"),5))*(VLOOKUP($B$5,标准坦克设计!$B$24:$U$30,MATCH("对"&amp;LEFT($C$5,2)&amp;"输出",标准坦克设计!$B$23:$U$23,0)))*(VLOOKUP($B205,INDIRECT($B$5&amp;"生成成长"),3))*(VLOOKUP($B$5,标准坦克设计!$B$14:$K$20,9)/30))</f>
        <v>8.1407743072580345</v>
      </c>
      <c r="CP205" s="172">
        <f ca="1">(VLOOKUP(CP$72,INDIRECT($C$5&amp;"生成成长"),2))/((VLOOKUP($B205,INDIRECT($B$5&amp;"生成成长"),4))/(VLOOKUP(CP$72,INDIRECT($C$5&amp;"生成成长"),5))*(VLOOKUP($B$5,标准坦克设计!$B$24:$U$30,MATCH("对"&amp;LEFT($C$5,2)&amp;"输出",标准坦克设计!$B$23:$U$23,0)))*(VLOOKUP($B205,INDIRECT($B$5&amp;"生成成长"),3))*(VLOOKUP($B$5,标准坦克设计!$B$14:$K$20,9)/30))</f>
        <v>8.8944807737143634</v>
      </c>
      <c r="CQ205" s="172">
        <f ca="1">(VLOOKUP(CQ$72,INDIRECT($C$5&amp;"生成成长"),2))/((VLOOKUP($B205,INDIRECT($B$5&amp;"生成成长"),4))/(VLOOKUP(CQ$72,INDIRECT($C$5&amp;"生成成长"),5))*(VLOOKUP($B$5,标准坦克设计!$B$24:$U$30,MATCH("对"&amp;LEFT($C$5,2)&amp;"输出",标准坦克设计!$B$23:$U$23,0)))*(VLOOKUP($B205,INDIRECT($B$5&amp;"生成成长"),3))*(VLOOKUP($B$5,标准坦克设计!$B$14:$K$20,9)/30))</f>
        <v>9.6815505042794214</v>
      </c>
      <c r="CR205" s="172">
        <f ca="1">(VLOOKUP(CR$72,INDIRECT($C$5&amp;"生成成长"),2))/((VLOOKUP($B205,INDIRECT($B$5&amp;"生成成长"),4))/(VLOOKUP(CR$72,INDIRECT($C$5&amp;"生成成长"),5))*(VLOOKUP($B$5,标准坦克设计!$B$24:$U$30,MATCH("对"&amp;LEFT($C$5,2)&amp;"输出",标准坦克设计!$B$23:$U$23,0)))*(VLOOKUP($B205,INDIRECT($B$5&amp;"生成成长"),3))*(VLOOKUP($B$5,标准坦克设计!$B$14:$K$20,9)/30))</f>
        <v>10.50198349895321</v>
      </c>
      <c r="CS205" s="172">
        <f ca="1">(VLOOKUP(CS$72,INDIRECT($C$5&amp;"生成成长"),2))/((VLOOKUP($B205,INDIRECT($B$5&amp;"生成成长"),4))/(VLOOKUP(CS$72,INDIRECT($C$5&amp;"生成成长"),5))*(VLOOKUP($B$5,标准坦克设计!$B$24:$U$30,MATCH("对"&amp;LEFT($C$5,2)&amp;"输出",标准坦克设计!$B$23:$U$23,0)))*(VLOOKUP($B205,INDIRECT($B$5&amp;"生成成长"),3))*(VLOOKUP($B$5,标准坦克设计!$B$14:$K$20,9)/30))</f>
        <v>11.35577975773573</v>
      </c>
      <c r="CT205" s="172">
        <f ca="1">(VLOOKUP(CT$72,INDIRECT($C$5&amp;"生成成长"),2))/((VLOOKUP($B205,INDIRECT($B$5&amp;"生成成长"),4))/(VLOOKUP(CT$72,INDIRECT($C$5&amp;"生成成长"),5))*(VLOOKUP($B$5,标准坦克设计!$B$24:$U$30,MATCH("对"&amp;LEFT($C$5,2)&amp;"输出",标准坦克设计!$B$23:$U$23,0)))*(VLOOKUP($B205,INDIRECT($B$5&amp;"生成成长"),3))*(VLOOKUP($B$5,标准坦克设计!$B$14:$K$20,9)/30))</f>
        <v>12.242939280626983</v>
      </c>
      <c r="CU205" s="172">
        <f ca="1">(VLOOKUP(CU$72,INDIRECT($C$5&amp;"生成成长"),2))/((VLOOKUP($B205,INDIRECT($B$5&amp;"生成成长"),4))/(VLOOKUP(CU$72,INDIRECT($C$5&amp;"生成成长"),5))*(VLOOKUP($B$5,标准坦克设计!$B$24:$U$30,MATCH("对"&amp;LEFT($C$5,2)&amp;"输出",标准坦克设计!$B$23:$U$23,0)))*(VLOOKUP($B205,INDIRECT($B$5&amp;"生成成长"),3))*(VLOOKUP($B$5,标准坦克设计!$B$14:$K$20,9)/30))</f>
        <v>13.163462067626964</v>
      </c>
      <c r="CV205" s="172">
        <f ca="1">(VLOOKUP(CV$72,INDIRECT($C$5&amp;"生成成长"),2))/((VLOOKUP($B205,INDIRECT($B$5&amp;"生成成长"),4))/(VLOOKUP(CV$72,INDIRECT($C$5&amp;"生成成长"),5))*(VLOOKUP($B$5,标准坦克设计!$B$24:$U$30,MATCH("对"&amp;LEFT($C$5,2)&amp;"输出",标准坦克设计!$B$23:$U$23,0)))*(VLOOKUP($B205,INDIRECT($B$5&amp;"生成成长"),3))*(VLOOKUP($B$5,标准坦克设计!$B$14:$K$20,9)/30))</f>
        <v>14.117348118735675</v>
      </c>
      <c r="CW205" s="172">
        <f ca="1">(VLOOKUP(CW$72,INDIRECT($C$5&amp;"生成成长"),2))/((VLOOKUP($B205,INDIRECT($B$5&amp;"生成成长"),4))/(VLOOKUP(CW$72,INDIRECT($C$5&amp;"生成成长"),5))*(VLOOKUP($B$5,标准坦克设计!$B$24:$U$30,MATCH("对"&amp;LEFT($C$5,2)&amp;"输出",标准坦克设计!$B$23:$U$23,0)))*(VLOOKUP($B205,INDIRECT($B$5&amp;"生成成长"),3))*(VLOOKUP($B$5,标准坦克设计!$B$14:$K$20,9)/30))</f>
        <v>15.104597433953117</v>
      </c>
      <c r="CX205" s="172">
        <f ca="1">(VLOOKUP(CX$72,INDIRECT($C$5&amp;"生成成长"),2))/((VLOOKUP($B205,INDIRECT($B$5&amp;"生成成长"),4))/(VLOOKUP(CX$72,INDIRECT($C$5&amp;"生成成长"),5))*(VLOOKUP($B$5,标准坦克设计!$B$24:$U$30,MATCH("对"&amp;LEFT($C$5,2)&amp;"输出",标准坦克设计!$B$23:$U$23,0)))*(VLOOKUP($B205,INDIRECT($B$5&amp;"生成成长"),3))*(VLOOKUP($B$5,标准坦克设计!$B$14:$K$20,9)/30))</f>
        <v>16.12521001327929</v>
      </c>
      <c r="CY205" s="172">
        <f ca="1">(VLOOKUP(CY$72,INDIRECT($C$5&amp;"生成成长"),2))/((VLOOKUP($B205,INDIRECT($B$5&amp;"生成成长"),4))/(VLOOKUP(CY$72,INDIRECT($C$5&amp;"生成成长"),5))*(VLOOKUP($B$5,标准坦克设计!$B$24:$U$30,MATCH("对"&amp;LEFT($C$5,2)&amp;"输出",标准坦克设计!$B$23:$U$23,0)))*(VLOOKUP($B205,INDIRECT($B$5&amp;"生成成长"),3))*(VLOOKUP($B$5,标准坦克设计!$B$14:$K$20,9)/30))</f>
        <v>17.179185856714195</v>
      </c>
      <c r="CZ205" s="172">
        <f ca="1">(VLOOKUP(CZ$72,INDIRECT($C$5&amp;"生成成长"),2))/((VLOOKUP($B205,INDIRECT($B$5&amp;"生成成长"),4))/(VLOOKUP(CZ$72,INDIRECT($C$5&amp;"生成成长"),5))*(VLOOKUP($B$5,标准坦克设计!$B$24:$U$30,MATCH("对"&amp;LEFT($C$5,2)&amp;"输出",标准坦克设计!$B$23:$U$23,0)))*(VLOOKUP($B205,INDIRECT($B$5&amp;"生成成长"),3))*(VLOOKUP($B$5,标准坦克设计!$B$14:$K$20,9)/30))</f>
        <v>18.26652496425783</v>
      </c>
      <c r="DA205" s="172">
        <f ca="1">(VLOOKUP(DA$72,INDIRECT($C$5&amp;"生成成长"),2))/((VLOOKUP($B205,INDIRECT($B$5&amp;"生成成长"),4))/(VLOOKUP(DA$72,INDIRECT($C$5&amp;"生成成长"),5))*(VLOOKUP($B$5,标准坦克设计!$B$24:$U$30,MATCH("对"&amp;LEFT($C$5,2)&amp;"输出",标准坦克设计!$B$23:$U$23,0)))*(VLOOKUP($B205,INDIRECT($B$5&amp;"生成成长"),3))*(VLOOKUP($B$5,标准坦克设计!$B$14:$K$20,9)/30))</f>
        <v>19.3872273359102</v>
      </c>
      <c r="DB205" s="172">
        <f ca="1">(VLOOKUP(DB$72,INDIRECT($C$5&amp;"生成成长"),2))/((VLOOKUP($B205,INDIRECT($B$5&amp;"生成成长"),4))/(VLOOKUP(DB$72,INDIRECT($C$5&amp;"生成成长"),5))*(VLOOKUP($B$5,标准坦克设计!$B$24:$U$30,MATCH("对"&amp;LEFT($C$5,2)&amp;"输出",标准坦克设计!$B$23:$U$23,0)))*(VLOOKUP($B205,INDIRECT($B$5&amp;"生成成长"),3))*(VLOOKUP($B$5,标准坦克设计!$B$14:$K$20,9)/30))</f>
        <v>20.541292971671297</v>
      </c>
      <c r="DC205" s="172">
        <f ca="1">(VLOOKUP(DC$72,INDIRECT($C$5&amp;"生成成长"),2))/((VLOOKUP($B205,INDIRECT($B$5&amp;"生成成长"),4))/(VLOOKUP(DC$72,INDIRECT($C$5&amp;"生成成长"),5))*(VLOOKUP($B$5,标准坦克设计!$B$24:$U$30,MATCH("对"&amp;LEFT($C$5,2)&amp;"输出",标准坦克设计!$B$23:$U$23,0)))*(VLOOKUP($B205,INDIRECT($B$5&amp;"生成成长"),3))*(VLOOKUP($B$5,标准坦克设计!$B$14:$K$20,9)/30))</f>
        <v>21.838324330080134</v>
      </c>
      <c r="DD205" s="172">
        <f ca="1">(VLOOKUP(DD$72,INDIRECT($C$5&amp;"生成成长"),2))/((VLOOKUP($B205,INDIRECT($B$5&amp;"生成成长"),4))/(VLOOKUP(DD$72,INDIRECT($C$5&amp;"生成成长"),5))*(VLOOKUP($B$5,标准坦克设计!$B$24:$U$30,MATCH("对"&amp;LEFT($C$5,2)&amp;"输出",标准坦克设计!$B$23:$U$23,0)))*(VLOOKUP($B205,INDIRECT($B$5&amp;"生成成长"),3))*(VLOOKUP($B$5,标准坦克设计!$B$14:$K$20,9)/30))</f>
        <v>23.175060730072921</v>
      </c>
      <c r="DE205" s="172">
        <f ca="1">(VLOOKUP(DE$72,INDIRECT($C$5&amp;"生成成长"),2))/((VLOOKUP($B205,INDIRECT($B$5&amp;"生成成长"),4))/(VLOOKUP(DE$72,INDIRECT($C$5&amp;"生成成长"),5))*(VLOOKUP($B$5,标准坦克设计!$B$24:$U$30,MATCH("对"&amp;LEFT($C$5,2)&amp;"输出",标准坦克设计!$B$23:$U$23,0)))*(VLOOKUP($B205,INDIRECT($B$5&amp;"生成成长"),3))*(VLOOKUP($B$5,标准坦克设计!$B$14:$K$20,9)/30))</f>
        <v>24.551502171649648</v>
      </c>
      <c r="DF205" s="172">
        <f ca="1">(VLOOKUP(DF$72,INDIRECT($C$5&amp;"生成成长"),2))/((VLOOKUP($B205,INDIRECT($B$5&amp;"生成成长"),4))/(VLOOKUP(DF$72,INDIRECT($C$5&amp;"生成成长"),5))*(VLOOKUP($B$5,标准坦克设计!$B$24:$U$30,MATCH("对"&amp;LEFT($C$5,2)&amp;"输出",标准坦克设计!$B$23:$U$23,0)))*(VLOOKUP($B205,INDIRECT($B$5&amp;"生成成长"),3))*(VLOOKUP($B$5,标准坦克设计!$B$14:$K$20,9)/30))</f>
        <v>25.967648654810318</v>
      </c>
      <c r="DG205" s="172">
        <f ca="1">(VLOOKUP(DG$72,INDIRECT($C$5&amp;"生成成长"),2))/((VLOOKUP($B205,INDIRECT($B$5&amp;"生成成长"),4))/(VLOOKUP(DG$72,INDIRECT($C$5&amp;"生成成长"),5))*(VLOOKUP($B$5,标准坦克设计!$B$24:$U$30,MATCH("对"&amp;LEFT($C$5,2)&amp;"输出",标准坦克设计!$B$23:$U$23,0)))*(VLOOKUP($B205,INDIRECT($B$5&amp;"生成成长"),3))*(VLOOKUP($B$5,标准坦克设计!$B$14:$K$20,9)/30))</f>
        <v>27.423500179554942</v>
      </c>
      <c r="DH205" s="172">
        <f ca="1">(VLOOKUP(DH$72,INDIRECT($C$5&amp;"生成成长"),2))/((VLOOKUP($B205,INDIRECT($B$5&amp;"生成成长"),4))/(VLOOKUP(DH$72,INDIRECT($C$5&amp;"生成成长"),5))*(VLOOKUP($B$5,标准坦克设计!$B$24:$U$30,MATCH("对"&amp;LEFT($C$5,2)&amp;"输出",标准坦克设计!$B$23:$U$23,0)))*(VLOOKUP($B205,INDIRECT($B$5&amp;"生成成长"),3))*(VLOOKUP($B$5,标准坦克设计!$B$14:$K$20,9)/30))</f>
        <v>28.919056745883498</v>
      </c>
      <c r="DI205" s="172">
        <f ca="1">(VLOOKUP(DI$72,INDIRECT($C$5&amp;"生成成长"),2))/((VLOOKUP($B205,INDIRECT($B$5&amp;"生成成长"),4))/(VLOOKUP(DI$72,INDIRECT($C$5&amp;"生成成长"),5))*(VLOOKUP($B$5,标准坦克设计!$B$24:$U$30,MATCH("对"&amp;LEFT($C$5,2)&amp;"输出",标准坦克设计!$B$23:$U$23,0)))*(VLOOKUP($B205,INDIRECT($B$5&amp;"生成成长"),3))*(VLOOKUP($B$5,标准坦克设计!$B$14:$K$20,9)/30))</f>
        <v>30.454318353795998</v>
      </c>
      <c r="DJ205" s="172">
        <f ca="1">(VLOOKUP(DJ$72,INDIRECT($C$5&amp;"生成成长"),2))/((VLOOKUP($B205,INDIRECT($B$5&amp;"生成成长"),4))/(VLOOKUP(DJ$72,INDIRECT($C$5&amp;"生成成长"),5))*(VLOOKUP($B$5,标准坦克设计!$B$24:$U$30,MATCH("对"&amp;LEFT($C$5,2)&amp;"输出",标准坦克设计!$B$23:$U$23,0)))*(VLOOKUP($B205,INDIRECT($B$5&amp;"生成成长"),3))*(VLOOKUP($B$5,标准坦克设计!$B$14:$K$20,9)/30))</f>
        <v>3.0607348201567457</v>
      </c>
      <c r="DK205" s="172">
        <f ca="1">(VLOOKUP(DK$72,INDIRECT($C$5&amp;"生成成长"),2))/((VLOOKUP($B205,INDIRECT($B$5&amp;"生成成长"),4))/(VLOOKUP(DK$72,INDIRECT($C$5&amp;"生成成长"),5))*(VLOOKUP($B$5,标准坦克设计!$B$24:$U$30,MATCH("对"&amp;LEFT($C$5,2)&amp;"输出",标准坦克设计!$B$23:$U$23,0)))*(VLOOKUP($B205,INDIRECT($B$5&amp;"生成成长"),3))*(VLOOKUP($B$5,标准坦克设计!$B$14:$K$20,9)/30))</f>
        <v>3.4416550628527092</v>
      </c>
      <c r="DL205" s="172">
        <f ca="1">(VLOOKUP(DL$72,INDIRECT($C$5&amp;"生成成长"),2))/((VLOOKUP($B205,INDIRECT($B$5&amp;"生成成长"),4))/(VLOOKUP(DL$72,INDIRECT($C$5&amp;"生成成长"),5))*(VLOOKUP($B$5,标准坦克设计!$B$24:$U$30,MATCH("对"&amp;LEFT($C$5,2)&amp;"输出",标准坦克设计!$B$23:$U$23,0)))*(VLOOKUP($B205,INDIRECT($B$5&amp;"生成成长"),3))*(VLOOKUP($B$5,标准坦克设计!$B$14:$K$20,9)/30))</f>
        <v>3.8449093914396406</v>
      </c>
      <c r="DM205" s="172">
        <f ca="1">(VLOOKUP(DM$72,INDIRECT($C$5&amp;"生成成长"),2))/((VLOOKUP($B205,INDIRECT($B$5&amp;"生成成长"),4))/(VLOOKUP(DM$72,INDIRECT($C$5&amp;"生成成长"),5))*(VLOOKUP($B$5,标准坦克设计!$B$24:$U$30,MATCH("对"&amp;LEFT($C$5,2)&amp;"输出",标准坦克设计!$B$23:$U$23,0)))*(VLOOKUP($B205,INDIRECT($B$5&amp;"生成成长"),3))*(VLOOKUP($B$5,标准坦克设计!$B$14:$K$20,9)/30))</f>
        <v>4.2704978059175422</v>
      </c>
      <c r="DN205" s="172">
        <f ca="1">(VLOOKUP(DN$72,INDIRECT($C$5&amp;"生成成长"),2))/((VLOOKUP($B205,INDIRECT($B$5&amp;"生成成长"),4))/(VLOOKUP(DN$72,INDIRECT($C$5&amp;"生成成长"),5))*(VLOOKUP($B$5,标准坦克设计!$B$24:$U$30,MATCH("对"&amp;LEFT($C$5,2)&amp;"输出",标准坦克设计!$B$23:$U$23,0)))*(VLOOKUP($B205,INDIRECT($B$5&amp;"生成成长"),3))*(VLOOKUP($B$5,标准坦克设计!$B$14:$K$20,9)/30))</f>
        <v>4.7184203062864114</v>
      </c>
      <c r="DO205" s="172">
        <f ca="1">(VLOOKUP(DO$72,INDIRECT($C$5&amp;"生成成长"),2))/((VLOOKUP($B205,INDIRECT($B$5&amp;"生成成长"),4))/(VLOOKUP(DO$72,INDIRECT($C$5&amp;"生成成长"),5))*(VLOOKUP($B$5,标准坦克设计!$B$24:$U$30,MATCH("对"&amp;LEFT($C$5,2)&amp;"输出",标准坦克设计!$B$23:$U$23,0)))*(VLOOKUP($B205,INDIRECT($B$5&amp;"生成成长"),3))*(VLOOKUP($B$5,标准坦克设计!$B$14:$K$20,9)/30))</f>
        <v>5.1886768925462485</v>
      </c>
      <c r="DP205" s="172">
        <f ca="1">(VLOOKUP(DP$72,INDIRECT($C$5&amp;"生成成长"),2))/((VLOOKUP($B205,INDIRECT($B$5&amp;"生成成长"),4))/(VLOOKUP(DP$72,INDIRECT($C$5&amp;"生成成长"),5))*(VLOOKUP($B$5,标准坦克设计!$B$24:$U$30,MATCH("对"&amp;LEFT($C$5,2)&amp;"输出",标准坦克设计!$B$23:$U$23,0)))*(VLOOKUP($B205,INDIRECT($B$5&amp;"生成成长"),3))*(VLOOKUP($B$5,标准坦克设计!$B$14:$K$20,9)/30))</f>
        <v>5.6812675646970554</v>
      </c>
      <c r="DQ205" s="172">
        <f ca="1">(VLOOKUP(DQ$72,INDIRECT($C$5&amp;"生成成长"),2))/((VLOOKUP($B205,INDIRECT($B$5&amp;"生成成长"),4))/(VLOOKUP(DQ$72,INDIRECT($C$5&amp;"生成成长"),5))*(VLOOKUP($B$5,标准坦克设计!$B$24:$U$30,MATCH("对"&amp;LEFT($C$5,2)&amp;"输出",标准坦克设计!$B$23:$U$23,0)))*(VLOOKUP($B205,INDIRECT($B$5&amp;"生成成长"),3))*(VLOOKUP($B$5,标准坦克设计!$B$14:$K$20,9)/30))</f>
        <v>6.1961923227388294</v>
      </c>
      <c r="DR205" s="172">
        <f ca="1">(VLOOKUP(DR$72,INDIRECT($C$5&amp;"生成成长"),2))/((VLOOKUP($B205,INDIRECT($B$5&amp;"生成成长"),4))/(VLOOKUP(DR$72,INDIRECT($C$5&amp;"生成成长"),5))*(VLOOKUP($B$5,标准坦克设计!$B$24:$U$30,MATCH("对"&amp;LEFT($C$5,2)&amp;"输出",标准坦克设计!$B$23:$U$23,0)))*(VLOOKUP($B205,INDIRECT($B$5&amp;"生成成长"),3))*(VLOOKUP($B$5,标准坦克设计!$B$14:$K$20,9)/30))</f>
        <v>6.733451166671574</v>
      </c>
      <c r="DS205" s="172">
        <f ca="1">(VLOOKUP(DS$72,INDIRECT($C$5&amp;"生成成长"),2))/((VLOOKUP($B205,INDIRECT($B$5&amp;"生成成长"),4))/(VLOOKUP(DS$72,INDIRECT($C$5&amp;"生成成长"),5))*(VLOOKUP($B$5,标准坦克设计!$B$24:$U$30,MATCH("对"&amp;LEFT($C$5,2)&amp;"输出",标准坦克设计!$B$23:$U$23,0)))*(VLOOKUP($B205,INDIRECT($B$5&amp;"生成成长"),3))*(VLOOKUP($B$5,标准坦克设计!$B$14:$K$20,9)/30))</f>
        <v>7.2930440964952865</v>
      </c>
      <c r="DT205" s="172">
        <f ca="1">(VLOOKUP(DT$72,INDIRECT($C$5&amp;"生成成长"),2))/((VLOOKUP($B205,INDIRECT($B$5&amp;"生成成长"),4))/(VLOOKUP(DT$72,INDIRECT($C$5&amp;"生成成长"),5))*(VLOOKUP($B$5,标准坦克设计!$B$24:$U$30,MATCH("对"&amp;LEFT($C$5,2)&amp;"输出",标准坦克设计!$B$23:$U$23,0)))*(VLOOKUP($B205,INDIRECT($B$5&amp;"生成成长"),3))*(VLOOKUP($B$5,标准坦克设计!$B$14:$K$20,9)/30))</f>
        <v>8.0073212508231126</v>
      </c>
      <c r="DU205" s="172">
        <f ca="1">(VLOOKUP(DU$72,INDIRECT($C$5&amp;"生成成长"),2))/((VLOOKUP($B205,INDIRECT($B$5&amp;"生成成长"),4))/(VLOOKUP(DU$72,INDIRECT($C$5&amp;"生成成长"),5))*(VLOOKUP($B$5,标准坦克设计!$B$24:$U$30,MATCH("对"&amp;LEFT($C$5,2)&amp;"输出",标准坦克设计!$B$23:$U$23,0)))*(VLOOKUP($B205,INDIRECT($B$5&amp;"生成成长"),3))*(VLOOKUP($B$5,标准坦克设计!$B$14:$K$20,9)/30))</f>
        <v>8.7549616692596715</v>
      </c>
      <c r="DV205" s="172">
        <f ca="1">(VLOOKUP(DV$72,INDIRECT($C$5&amp;"生成成长"),2))/((VLOOKUP($B205,INDIRECT($B$5&amp;"生成成长"),4))/(VLOOKUP(DV$72,INDIRECT($C$5&amp;"生成成长"),5))*(VLOOKUP($B$5,标准坦克设计!$B$24:$U$30,MATCH("对"&amp;LEFT($C$5,2)&amp;"输出",标准坦克设计!$B$23:$U$23,0)))*(VLOOKUP($B205,INDIRECT($B$5&amp;"生成成长"),3))*(VLOOKUP($B$5,标准坦克设计!$B$14:$K$20,9)/30))</f>
        <v>9.5359653518049594</v>
      </c>
      <c r="DW205" s="172">
        <f ca="1">(VLOOKUP(DW$72,INDIRECT($C$5&amp;"生成成长"),2))/((VLOOKUP($B205,INDIRECT($B$5&amp;"生成成长"),4))/(VLOOKUP(DW$72,INDIRECT($C$5&amp;"生成成长"),5))*(VLOOKUP($B$5,标准坦克设计!$B$24:$U$30,MATCH("对"&amp;LEFT($C$5,2)&amp;"输出",标准坦克设计!$B$23:$U$23,0)))*(VLOOKUP($B205,INDIRECT($B$5&amp;"生成成长"),3))*(VLOOKUP($B$5,标准坦克设计!$B$14:$K$20,9)/30))</f>
        <v>10.35033229845898</v>
      </c>
      <c r="DX205" s="172">
        <f ca="1">(VLOOKUP(DX$72,INDIRECT($C$5&amp;"生成成长"),2))/((VLOOKUP($B205,INDIRECT($B$5&amp;"生成成长"),4))/(VLOOKUP(DX$72,INDIRECT($C$5&amp;"生成成长"),5))*(VLOOKUP($B$5,标准坦克设计!$B$24:$U$30,MATCH("对"&amp;LEFT($C$5,2)&amp;"输出",标准坦克设计!$B$23:$U$23,0)))*(VLOOKUP($B205,INDIRECT($B$5&amp;"生成成长"),3))*(VLOOKUP($B$5,标准坦克设计!$B$14:$K$20,9)/30))</f>
        <v>11.19806250922173</v>
      </c>
      <c r="DY205" s="172">
        <f ca="1">(VLOOKUP(DY$72,INDIRECT($C$5&amp;"生成成长"),2))/((VLOOKUP($B205,INDIRECT($B$5&amp;"生成成长"),4))/(VLOOKUP(DY$72,INDIRECT($C$5&amp;"生成成长"),5))*(VLOOKUP($B$5,标准坦克设计!$B$24:$U$30,MATCH("对"&amp;LEFT($C$5,2)&amp;"输出",标准坦克设计!$B$23:$U$23,0)))*(VLOOKUP($B205,INDIRECT($B$5&amp;"生成成长"),3))*(VLOOKUP($B$5,标准坦克设计!$B$14:$K$20,9)/30))</f>
        <v>5.0294431320273061</v>
      </c>
      <c r="DZ205" s="172">
        <f ca="1">(VLOOKUP(DZ$72,INDIRECT($C$5&amp;"生成成长"),2))/((VLOOKUP($B205,INDIRECT($B$5&amp;"生成成长"),4))/(VLOOKUP(DZ$72,INDIRECT($C$5&amp;"生成成长"),5))*(VLOOKUP($B$5,标准坦克设计!$B$24:$U$30,MATCH("对"&amp;LEFT($C$5,2)&amp;"输出",标准坦克设计!$B$23:$U$23,0)))*(VLOOKUP($B205,INDIRECT($B$5&amp;"生成成长"),3))*(VLOOKUP($B$5,标准坦克设计!$B$14:$K$20,9)/30))</f>
        <v>5.5698728646976559</v>
      </c>
      <c r="EA205" s="172">
        <f ca="1">(VLOOKUP(EA$72,INDIRECT($C$5&amp;"生成成长"),2))/((VLOOKUP($B205,INDIRECT($B$5&amp;"生成成长"),4))/(VLOOKUP(EA$72,INDIRECT($C$5&amp;"生成成长"),5))*(VLOOKUP($B$5,标准坦克设计!$B$24:$U$30,MATCH("对"&amp;LEFT($C$5,2)&amp;"输出",标准坦克设计!$B$23:$U$23,0)))*(VLOOKUP($B205,INDIRECT($B$5&amp;"生成成长"),3))*(VLOOKUP($B$5,标准坦克设计!$B$14:$K$20,9)/30))</f>
        <v>6.1378755429124121</v>
      </c>
      <c r="EB205" s="172">
        <f ca="1">(VLOOKUP(EB$72,INDIRECT($C$5&amp;"生成成长"),2))/((VLOOKUP($B205,INDIRECT($B$5&amp;"生成成长"),4))/(VLOOKUP(EB$72,INDIRECT($C$5&amp;"生成成长"),5))*(VLOOKUP($B$5,标准坦克设计!$B$24:$U$30,MATCH("对"&amp;LEFT($C$5,2)&amp;"输出",标准坦克设计!$B$23:$U$23,0)))*(VLOOKUP($B205,INDIRECT($B$5&amp;"生成成长"),3))*(VLOOKUP($B$5,标准坦克设计!$B$14:$K$20,9)/30))</f>
        <v>6.733451166671574</v>
      </c>
      <c r="EC205" s="172">
        <f ca="1">(VLOOKUP(EC$72,INDIRECT($C$5&amp;"生成成长"),2))/((VLOOKUP($B205,INDIRECT($B$5&amp;"生成成长"),4))/(VLOOKUP(EC$72,INDIRECT($C$5&amp;"生成成长"),5))*(VLOOKUP($B$5,标准坦克设计!$B$24:$U$30,MATCH("对"&amp;LEFT($C$5,2)&amp;"输出",标准坦克设计!$B$23:$U$23,0)))*(VLOOKUP($B205,INDIRECT($B$5&amp;"生成成长"),3))*(VLOOKUP($B$5,标准坦克设计!$B$14:$K$20,9)/30))</f>
        <v>7.3565997359751396</v>
      </c>
      <c r="ED205" s="172">
        <f ca="1">(VLOOKUP(ED$72,INDIRECT($C$5&amp;"生成成长"),2))/((VLOOKUP($B205,INDIRECT($B$5&amp;"生成成长"),4))/(VLOOKUP(ED$72,INDIRECT($C$5&amp;"生成成长"),5))*(VLOOKUP($B$5,标准坦克设计!$B$24:$U$30,MATCH("对"&amp;LEFT($C$5,2)&amp;"输出",标准坦克设计!$B$23:$U$23,0)))*(VLOOKUP($B205,INDIRECT($B$5&amp;"生成成长"),3))*(VLOOKUP($B$5,标准坦克设计!$B$14:$K$20,9)/30))</f>
        <v>8.0073212508231126</v>
      </c>
      <c r="EE205" s="172">
        <f ca="1">(VLOOKUP(EE$72,INDIRECT($C$5&amp;"生成成长"),2))/((VLOOKUP($B205,INDIRECT($B$5&amp;"生成成长"),4))/(VLOOKUP(EE$72,INDIRECT($C$5&amp;"生成成长"),5))*(VLOOKUP($B$5,标准坦克设计!$B$24:$U$30,MATCH("对"&amp;LEFT($C$5,2)&amp;"输出",标准坦克设计!$B$23:$U$23,0)))*(VLOOKUP($B205,INDIRECT($B$5&amp;"生成成长"),3))*(VLOOKUP($B$5,标准坦克设计!$B$14:$K$20,9)/30))</f>
        <v>8.6856157112154904</v>
      </c>
      <c r="EF205" s="172">
        <f ca="1">(VLOOKUP(EF$72,INDIRECT($C$5&amp;"生成成长"),2))/((VLOOKUP($B205,INDIRECT($B$5&amp;"生成成长"),4))/(VLOOKUP(EF$72,INDIRECT($C$5&amp;"生成成长"),5))*(VLOOKUP($B$5,标准坦克设计!$B$24:$U$30,MATCH("对"&amp;LEFT($C$5,2)&amp;"输出",标准坦克设计!$B$23:$U$23,0)))*(VLOOKUP($B205,INDIRECT($B$5&amp;"生成成长"),3))*(VLOOKUP($B$5,标准坦克设计!$B$14:$K$20,9)/30))</f>
        <v>9.3914831171522746</v>
      </c>
      <c r="EG205" s="172">
        <f ca="1">(VLOOKUP(EG$72,INDIRECT($C$5&amp;"生成成长"),2))/((VLOOKUP($B205,INDIRECT($B$5&amp;"生成成长"),4))/(VLOOKUP(EG$72,INDIRECT($C$5&amp;"生成成长"),5))*(VLOOKUP($B$5,标准坦克设计!$B$24:$U$30,MATCH("对"&amp;LEFT($C$5,2)&amp;"输出",标准坦克设计!$B$23:$U$23,0)))*(VLOOKUP($B205,INDIRECT($B$5&amp;"生成成长"),3))*(VLOOKUP($B$5,标准坦克设计!$B$14:$K$20,9)/30))</f>
        <v>10.124923468633463</v>
      </c>
      <c r="EH205" s="172">
        <f ca="1">(VLOOKUP(EH$72,INDIRECT($C$5&amp;"生成成长"),2))/((VLOOKUP($B205,INDIRECT($B$5&amp;"生成成长"),4))/(VLOOKUP(EH$72,INDIRECT($C$5&amp;"生成成长"),5))*(VLOOKUP($B$5,标准坦克设计!$B$24:$U$30,MATCH("对"&amp;LEFT($C$5,2)&amp;"输出",标准坦克设计!$B$23:$U$23,0)))*(VLOOKUP($B205,INDIRECT($B$5&amp;"生成成长"),3))*(VLOOKUP($B$5,标准坦克设计!$B$14:$K$20,9)/30))</f>
        <v>10.885936765659059</v>
      </c>
      <c r="EI205" s="172">
        <f ca="1">(VLOOKUP(EI$72,INDIRECT($C$5&amp;"生成成长"),2))/((VLOOKUP($B205,INDIRECT($B$5&amp;"生成成长"),4))/(VLOOKUP(EI$72,INDIRECT($C$5&amp;"生成成长"),5))*(VLOOKUP($B$5,标准坦克设计!$B$24:$U$30,MATCH("对"&amp;LEFT($C$5,2)&amp;"输出",标准坦克设计!$B$23:$U$23,0)))*(VLOOKUP($B205,INDIRECT($B$5&amp;"生成成长"),3))*(VLOOKUP($B$5,标准坦克设计!$B$14:$K$20,9)/30))</f>
        <v>11.674523008229061</v>
      </c>
      <c r="EJ205" s="172">
        <f ca="1">(VLOOKUP(EJ$72,INDIRECT($C$5&amp;"生成成长"),2))/((VLOOKUP($B205,INDIRECT($B$5&amp;"生成成长"),4))/(VLOOKUP(EJ$72,INDIRECT($C$5&amp;"生成成长"),5))*(VLOOKUP($B$5,标准坦克设计!$B$24:$U$30,MATCH("对"&amp;LEFT($C$5,2)&amp;"输出",标准坦克设计!$B$23:$U$23,0)))*(VLOOKUP($B205,INDIRECT($B$5&amp;"生成成长"),3))*(VLOOKUP($B$5,标准坦克设计!$B$14:$K$20,9)/30))</f>
        <v>12.490682196343467</v>
      </c>
      <c r="EK205" s="172">
        <f ca="1">(VLOOKUP(EK$72,INDIRECT($C$5&amp;"生成成长"),2))/((VLOOKUP($B205,INDIRECT($B$5&amp;"生成成长"),4))/(VLOOKUP(EK$72,INDIRECT($C$5&amp;"生成成长"),5))*(VLOOKUP($B$5,标准坦克设计!$B$24:$U$30,MATCH("对"&amp;LEFT($C$5,2)&amp;"输出",标准坦克设计!$B$23:$U$23,0)))*(VLOOKUP($B205,INDIRECT($B$5&amp;"生成成长"),3))*(VLOOKUP($B$5,标准坦克设计!$B$14:$K$20,9)/30))</f>
        <v>13.506469510199368</v>
      </c>
      <c r="EL205" s="172">
        <f ca="1">(VLOOKUP(EL$72,INDIRECT($C$5&amp;"生成成长"),2))/((VLOOKUP($B205,INDIRECT($B$5&amp;"生成成长"),4))/(VLOOKUP(EL$72,INDIRECT($C$5&amp;"生成成长"),5))*(VLOOKUP($B$5,标准坦克设计!$B$24:$U$30,MATCH("对"&amp;LEFT($C$5,2)&amp;"输出",标准坦克设计!$B$23:$U$23,0)))*(VLOOKUP($B205,INDIRECT($B$5&amp;"生成成长"),3))*(VLOOKUP($B$5,标准坦克设计!$B$14:$K$20,9)/30))</f>
        <v>14.561961865639214</v>
      </c>
      <c r="EM205" s="172">
        <f ca="1">(VLOOKUP(EM$72,INDIRECT($C$5&amp;"生成成长"),2))/((VLOOKUP($B205,INDIRECT($B$5&amp;"生成成长"),4))/(VLOOKUP(EM$72,INDIRECT($C$5&amp;"生成成长"),5))*(VLOOKUP($B$5,标准坦克设计!$B$24:$U$30,MATCH("对"&amp;LEFT($C$5,2)&amp;"输出",标准坦克设计!$B$23:$U$23,0)))*(VLOOKUP($B205,INDIRECT($B$5&amp;"生成成长"),3))*(VLOOKUP($B$5,标准坦克设计!$B$14:$K$20,9)/30))</f>
        <v>15.657159262663008</v>
      </c>
      <c r="EN205" s="172">
        <f ca="1">(VLOOKUP(EN$72,INDIRECT($C$5&amp;"生成成长"),2))/((VLOOKUP($B205,INDIRECT($B$5&amp;"生成成长"),4))/(VLOOKUP(EN$72,INDIRECT($C$5&amp;"生成成长"),5))*(VLOOKUP($B$5,标准坦克设计!$B$24:$U$30,MATCH("对"&amp;LEFT($C$5,2)&amp;"输出",标准坦克设计!$B$23:$U$23,0)))*(VLOOKUP($B205,INDIRECT($B$5&amp;"生成成长"),3))*(VLOOKUP($B$5,标准坦克设计!$B$14:$K$20,9)/30))</f>
        <v>16.79206170127074</v>
      </c>
      <c r="EO205" s="172">
        <f ca="1">(VLOOKUP(EO$72,INDIRECT($C$5&amp;"生成成长"),2))/((VLOOKUP($B205,INDIRECT($B$5&amp;"生成成长"),4))/(VLOOKUP(EO$72,INDIRECT($C$5&amp;"生成成长"),5))*(VLOOKUP($B$5,标准坦克设计!$B$24:$U$30,MATCH("对"&amp;LEFT($C$5,2)&amp;"输出",标准坦克设计!$B$23:$U$23,0)))*(VLOOKUP($B205,INDIRECT($B$5&amp;"生成成长"),3))*(VLOOKUP($B$5,标准坦克设计!$B$14:$K$20,9)/30))</f>
        <v>17.966669181462422</v>
      </c>
      <c r="EP205" s="172">
        <f ca="1">(VLOOKUP(EP$72,INDIRECT($C$5&amp;"生成成长"),2))/((VLOOKUP($B205,INDIRECT($B$5&amp;"生成成长"),4))/(VLOOKUP(EP$72,INDIRECT($C$5&amp;"生成成长"),5))*(VLOOKUP($B$5,标准坦克设计!$B$24:$U$30,MATCH("对"&amp;LEFT($C$5,2)&amp;"输出",标准坦克设计!$B$23:$U$23,0)))*(VLOOKUP($B205,INDIRECT($B$5&amp;"生成成长"),3))*(VLOOKUP($B$5,标准坦克设计!$B$14:$K$20,9)/30))</f>
        <v>19.180981703238043</v>
      </c>
      <c r="EQ205" s="172">
        <f ca="1">(VLOOKUP(EQ$72,INDIRECT($C$5&amp;"生成成长"),2))/((VLOOKUP($B205,INDIRECT($B$5&amp;"生成成长"),4))/(VLOOKUP(EQ$72,INDIRECT($C$5&amp;"生成成长"),5))*(VLOOKUP($B$5,标准坦克设计!$B$24:$U$30,MATCH("对"&amp;LEFT($C$5,2)&amp;"输出",标准坦克设计!$B$23:$U$23,0)))*(VLOOKUP($B205,INDIRECT($B$5&amp;"生成成长"),3))*(VLOOKUP($B$5,标准坦克设计!$B$14:$K$20,9)/30))</f>
        <v>8.4792322138156138</v>
      </c>
      <c r="ER205" s="172">
        <f ca="1">(VLOOKUP(ER$72,INDIRECT($C$5&amp;"生成成长"),2))/((VLOOKUP($B205,INDIRECT($B$5&amp;"生成成长"),4))/(VLOOKUP(ER$72,INDIRECT($C$5&amp;"生成成长"),5))*(VLOOKUP($B$5,标准坦克设计!$B$24:$U$30,MATCH("对"&amp;LEFT($C$5,2)&amp;"输出",标准坦克设计!$B$23:$U$23,0)))*(VLOOKUP($B205,INDIRECT($B$5&amp;"生成成长"),3))*(VLOOKUP($B$5,标准坦克设计!$B$14:$K$20,9)/30))</f>
        <v>9.2481038003213651</v>
      </c>
      <c r="ES205" s="172">
        <f ca="1">(VLOOKUP(ES$72,INDIRECT($C$5&amp;"生成成长"),2))/((VLOOKUP($B205,INDIRECT($B$5&amp;"生成成长"),4))/(VLOOKUP(ES$72,INDIRECT($C$5&amp;"生成成长"),5))*(VLOOKUP($B$5,标准坦克设计!$B$24:$U$30,MATCH("对"&amp;LEFT($C$5,2)&amp;"输出",标准坦克设计!$B$23:$U$23,0)))*(VLOOKUP($B205,INDIRECT($B$5&amp;"生成成长"),3))*(VLOOKUP($B$5,标准坦克设计!$B$14:$K$20,9)/30))</f>
        <v>10.050338650935847</v>
      </c>
      <c r="ET205" s="172">
        <f ca="1">(VLOOKUP(ET$72,INDIRECT($C$5&amp;"生成成长"),2))/((VLOOKUP($B205,INDIRECT($B$5&amp;"生成成长"),4))/(VLOOKUP(ET$72,INDIRECT($C$5&amp;"生成成长"),5))*(VLOOKUP($B$5,标准坦克设计!$B$24:$U$30,MATCH("对"&amp;LEFT($C$5,2)&amp;"输出",标准坦克设计!$B$23:$U$23,0)))*(VLOOKUP($B205,INDIRECT($B$5&amp;"生成成长"),3))*(VLOOKUP($B$5,标准坦克设计!$B$14:$K$20,9)/30))</f>
        <v>10.885936765659059</v>
      </c>
      <c r="EU205" s="172">
        <f ca="1">(VLOOKUP(EU$72,INDIRECT($C$5&amp;"生成成长"),2))/((VLOOKUP($B205,INDIRECT($B$5&amp;"生成成长"),4))/(VLOOKUP(EU$72,INDIRECT($C$5&amp;"生成成长"),5))*(VLOOKUP($B$5,标准坦克设计!$B$24:$U$30,MATCH("对"&amp;LEFT($C$5,2)&amp;"输出",标准坦克设计!$B$23:$U$23,0)))*(VLOOKUP($B205,INDIRECT($B$5&amp;"生成成长"),3))*(VLOOKUP($B$5,标准坦克设计!$B$14:$K$20,9)/30))</f>
        <v>11.754898144491001</v>
      </c>
      <c r="EV205" s="172">
        <f ca="1">(VLOOKUP(EV$72,INDIRECT($C$5&amp;"生成成长"),2))/((VLOOKUP($B205,INDIRECT($B$5&amp;"生成成长"),4))/(VLOOKUP(EV$72,INDIRECT($C$5&amp;"生成成长"),5))*(VLOOKUP($B$5,标准坦克设计!$B$24:$U$30,MATCH("对"&amp;LEFT($C$5,2)&amp;"输出",标准坦克设计!$B$23:$U$23,0)))*(VLOOKUP($B205,INDIRECT($B$5&amp;"生成成长"),3))*(VLOOKUP($B$5,标准坦克设计!$B$14:$K$20,9)/30))</f>
        <v>12.657222787431675</v>
      </c>
      <c r="EW205" s="172">
        <f ca="1">(VLOOKUP(EW$72,INDIRECT($C$5&amp;"生成成长"),2))/((VLOOKUP($B205,INDIRECT($B$5&amp;"生成成长"),4))/(VLOOKUP(EW$72,INDIRECT($C$5&amp;"生成成长"),5))*(VLOOKUP($B$5,标准坦克设计!$B$24:$U$30,MATCH("对"&amp;LEFT($C$5,2)&amp;"输出",标准坦克设计!$B$23:$U$23,0)))*(VLOOKUP($B205,INDIRECT($B$5&amp;"生成成长"),3))*(VLOOKUP($B$5,标准坦克设计!$B$14:$K$20,9)/30))</f>
        <v>13.592910694481082</v>
      </c>
      <c r="EX205" s="172">
        <f ca="1">(VLOOKUP(EX$72,INDIRECT($C$5&amp;"生成成长"),2))/((VLOOKUP($B205,INDIRECT($B$5&amp;"生成成长"),4))/(VLOOKUP(EX$72,INDIRECT($C$5&amp;"生成成长"),5))*(VLOOKUP($B$5,标准坦克设计!$B$24:$U$30,MATCH("对"&amp;LEFT($C$5,2)&amp;"输出",标准坦克设计!$B$23:$U$23,0)))*(VLOOKUP($B205,INDIRECT($B$5&amp;"生成成长"),3))*(VLOOKUP($B$5,标准坦克设计!$B$14:$K$20,9)/30))</f>
        <v>14.561961865639214</v>
      </c>
      <c r="EY205" s="172">
        <f ca="1">(VLOOKUP(EY$72,INDIRECT($C$5&amp;"生成成长"),2))/((VLOOKUP($B205,INDIRECT($B$5&amp;"生成成长"),4))/(VLOOKUP(EY$72,INDIRECT($C$5&amp;"生成成长"),5))*(VLOOKUP($B$5,标准坦克设计!$B$24:$U$30,MATCH("对"&amp;LEFT($C$5,2)&amp;"输出",标准坦克设计!$B$23:$U$23,0)))*(VLOOKUP($B205,INDIRECT($B$5&amp;"生成成长"),3))*(VLOOKUP($B$5,标准坦克设计!$B$14:$K$20,9)/30))</f>
        <v>15.564376300906082</v>
      </c>
      <c r="EZ205" s="172">
        <f ca="1">(VLOOKUP(EZ$72,INDIRECT($C$5&amp;"生成成长"),2))/((VLOOKUP($B205,INDIRECT($B$5&amp;"生成成长"),4))/(VLOOKUP(EZ$72,INDIRECT($C$5&amp;"生成成长"),5))*(VLOOKUP($B$5,标准坦克设计!$B$24:$U$30,MATCH("对"&amp;LEFT($C$5,2)&amp;"输出",标准坦克设计!$B$23:$U$23,0)))*(VLOOKUP($B205,INDIRECT($B$5&amp;"生成成长"),3))*(VLOOKUP($B$5,标准坦克设计!$B$14:$K$20,9)/30))</f>
        <v>16.600154000281677</v>
      </c>
      <c r="FA205" s="172">
        <f ca="1">(VLOOKUP(FA$72,INDIRECT($C$5&amp;"生成成长"),2))/((VLOOKUP($B205,INDIRECT($B$5&amp;"生成成长"),4))/(VLOOKUP(FA$72,INDIRECT($C$5&amp;"生成成长"),5))*(VLOOKUP($B$5,标准坦克设计!$B$24:$U$30,MATCH("对"&amp;LEFT($C$5,2)&amp;"输出",标准坦克设计!$B$23:$U$23,0)))*(VLOOKUP($B205,INDIRECT($B$5&amp;"生成成长"),3))*(VLOOKUP($B$5,标准坦克设计!$B$14:$K$20,9)/30))</f>
        <v>17.669294963766006</v>
      </c>
      <c r="FB205" s="172">
        <f ca="1">(VLOOKUP(FB$72,INDIRECT($C$5&amp;"生成成长"),2))/((VLOOKUP($B205,INDIRECT($B$5&amp;"生成成长"),4))/(VLOOKUP(FB$72,INDIRECT($C$5&amp;"生成成长"),5))*(VLOOKUP($B$5,标准坦克设计!$B$24:$U$30,MATCH("对"&amp;LEFT($C$5,2)&amp;"输出",标准坦克设计!$B$23:$U$23,0)))*(VLOOKUP($B205,INDIRECT($B$5&amp;"生成成长"),3))*(VLOOKUP($B$5,标准坦克设计!$B$14:$K$20,9)/30))</f>
        <v>18.771799191359062</v>
      </c>
      <c r="FC205" s="172">
        <f ca="1">(VLOOKUP(FC$72,INDIRECT($C$5&amp;"生成成长"),2))/((VLOOKUP($B205,INDIRECT($B$5&amp;"生成成长"),4))/(VLOOKUP(FC$72,INDIRECT($C$5&amp;"生成成长"),5))*(VLOOKUP($B$5,标准坦克设计!$B$24:$U$30,MATCH("对"&amp;LEFT($C$5,2)&amp;"输出",标准坦克设计!$B$23:$U$23,0)))*(VLOOKUP($B205,INDIRECT($B$5&amp;"生成成长"),3))*(VLOOKUP($B$5,标准坦克设计!$B$14:$K$20,9)/30))</f>
        <v>19.907666683060853</v>
      </c>
      <c r="FD205" s="172">
        <f ca="1">(VLOOKUP(FD$72,INDIRECT($C$5&amp;"生成成长"),2))/((VLOOKUP($B205,INDIRECT($B$5&amp;"生成成长"),4))/(VLOOKUP(FD$72,INDIRECT($C$5&amp;"生成成长"),5))*(VLOOKUP($B$5,标准坦克设计!$B$24:$U$30,MATCH("对"&amp;LEFT($C$5,2)&amp;"输出",标准坦克设计!$B$23:$U$23,0)))*(VLOOKUP($B205,INDIRECT($B$5&amp;"生成成长"),3))*(VLOOKUP($B$5,标准坦克设计!$B$14:$K$20,9)/30))</f>
        <v>21.07689743887137</v>
      </c>
      <c r="FE205" s="172">
        <f ca="1">(VLOOKUP(FE$72,INDIRECT($C$5&amp;"生成成长"),2))/((VLOOKUP($B205,INDIRECT($B$5&amp;"生成成长"),4))/(VLOOKUP(FE$72,INDIRECT($C$5&amp;"生成成长"),5))*(VLOOKUP($B$5,标准坦克设计!$B$24:$U$30,MATCH("对"&amp;LEFT($C$5,2)&amp;"输出",标准坦克设计!$B$23:$U$23,0)))*(VLOOKUP($B205,INDIRECT($B$5&amp;"生成成长"),3))*(VLOOKUP($B$5,标准坦克设计!$B$14:$K$20,9)/30))</f>
        <v>22.501729399878535</v>
      </c>
      <c r="FF205" s="172">
        <f ca="1">(VLOOKUP(FF$72,INDIRECT($C$5&amp;"生成成长"),2))/((VLOOKUP($B205,INDIRECT($B$5&amp;"生成成长"),4))/(VLOOKUP(FF$72,INDIRECT($C$5&amp;"生成成长"),5))*(VLOOKUP($B$5,标准坦克设计!$B$24:$U$30,MATCH("对"&amp;LEFT($C$5,2)&amp;"输出",标准坦克设计!$B$23:$U$23,0)))*(VLOOKUP($B205,INDIRECT($B$5&amp;"生成成长"),3))*(VLOOKUP($B$5,标准坦克设计!$B$14:$K$20,9)/30))</f>
        <v>23.973159638855741</v>
      </c>
      <c r="FG205" s="172">
        <f ca="1">(VLOOKUP(FG$72,INDIRECT($C$5&amp;"生成成长"),2))/((VLOOKUP($B205,INDIRECT($B$5&amp;"生成成长"),4))/(VLOOKUP(FG$72,INDIRECT($C$5&amp;"生成成长"),5))*(VLOOKUP($B$5,标准坦克设计!$B$24:$U$30,MATCH("对"&amp;LEFT($C$5,2)&amp;"输出",标准坦克设计!$B$23:$U$23,0)))*(VLOOKUP($B205,INDIRECT($B$5&amp;"生成成长"),3))*(VLOOKUP($B$5,标准坦克设计!$B$14:$K$20,9)/30))</f>
        <v>25.491188155802988</v>
      </c>
      <c r="FH205" s="172">
        <f ca="1">(VLOOKUP(FH$72,INDIRECT($C$5&amp;"生成成长"),2))/((VLOOKUP($B205,INDIRECT($B$5&amp;"生成成长"),4))/(VLOOKUP(FH$72,INDIRECT($C$5&amp;"生成成长"),5))*(VLOOKUP($B$5,标准坦克设计!$B$24:$U$30,MATCH("对"&amp;LEFT($C$5,2)&amp;"输出",标准坦克设计!$B$23:$U$23,0)))*(VLOOKUP($B205,INDIRECT($B$5&amp;"生成成长"),3))*(VLOOKUP($B$5,标准坦克设计!$B$14:$K$20,9)/30))</f>
        <v>27.055814950720286</v>
      </c>
      <c r="FI205" s="172">
        <f ca="1">(VLOOKUP(FI$72,INDIRECT($C$5&amp;"生成成长"),2))/((VLOOKUP($B205,INDIRECT($B$5&amp;"生成成长"),4))/(VLOOKUP(FI$72,INDIRECT($C$5&amp;"生成成长"),5))*(VLOOKUP($B$5,标准坦克设计!$B$24:$U$30,MATCH("对"&amp;LEFT($C$5,2)&amp;"输出",标准坦克设计!$B$23:$U$23,0)))*(VLOOKUP($B205,INDIRECT($B$5&amp;"生成成长"),3))*(VLOOKUP($B$5,标准坦克设计!$B$14:$K$20,9)/30))</f>
        <v>28.667040023607633</v>
      </c>
      <c r="FJ205" s="172">
        <f ca="1">(VLOOKUP(FJ$72,INDIRECT($C$5&amp;"生成成长"),2))/((VLOOKUP($B205,INDIRECT($B$5&amp;"生成成长"),4))/(VLOOKUP(FJ$72,INDIRECT($C$5&amp;"生成成长"),5))*(VLOOKUP($B$5,标准坦克设计!$B$24:$U$30,MATCH("对"&amp;LEFT($C$5,2)&amp;"输出",标准坦克设计!$B$23:$U$23,0)))*(VLOOKUP($B205,INDIRECT($B$5&amp;"生成成长"),3))*(VLOOKUP($B$5,标准坦克设计!$B$14:$K$20,9)/30))</f>
        <v>30.324863374465018</v>
      </c>
      <c r="FK205" s="172">
        <f ca="1">(VLOOKUP(FK$72,INDIRECT($C$5&amp;"生成成长"),2))/((VLOOKUP($B205,INDIRECT($B$5&amp;"生成成长"),4))/(VLOOKUP(FK$72,INDIRECT($C$5&amp;"生成成长"),5))*(VLOOKUP($B$5,标准坦克设计!$B$24:$U$30,MATCH("对"&amp;LEFT($C$5,2)&amp;"输出",标准坦克设计!$B$23:$U$23,0)))*(VLOOKUP($B205,INDIRECT($B$5&amp;"生成成长"),3))*(VLOOKUP($B$5,标准坦克设计!$B$14:$K$20,9)/30))</f>
        <v>32.029285003292451</v>
      </c>
    </row>
    <row r="206" spans="1:167" x14ac:dyDescent="0.15">
      <c r="A206" s="170" t="str">
        <f t="shared" si="13"/>
        <v>T4高品质8级</v>
      </c>
      <c r="B206" s="171">
        <v>30408</v>
      </c>
      <c r="C206" s="172">
        <f ca="1">(VLOOKUP(C$72,INDIRECT($C$5&amp;"生成成长"),2))/((VLOOKUP($B206,INDIRECT($B$5&amp;"生成成长"),4))/(VLOOKUP(C$72,INDIRECT($C$5&amp;"生成成长"),5))*(VLOOKUP($B$5,标准坦克设计!$B$24:$U$30,MATCH("对"&amp;LEFT($C$5,2)&amp;"输出",标准坦克设计!$B$23:$U$23,0)))*(VLOOKUP($B206,INDIRECT($B$5&amp;"生成成长"),3))*(VLOOKUP($B$5,标准坦克设计!$B$14:$K$20,9)/30))</f>
        <v>1.273259772054945</v>
      </c>
      <c r="D206" s="172">
        <f ca="1">(VLOOKUP(D$72,INDIRECT($C$5&amp;"生成成长"),2))/((VLOOKUP($B206,INDIRECT($B$5&amp;"生成成长"),4))/(VLOOKUP(D$72,INDIRECT($C$5&amp;"生成成长"),5))*(VLOOKUP($B$5,标准坦克设计!$B$24:$U$30,MATCH("对"&amp;LEFT($C$5,2)&amp;"输出",标准坦克设计!$B$23:$U$23,0)))*(VLOOKUP($B206,INDIRECT($B$5&amp;"生成成长"),3))*(VLOOKUP($B$5,标准坦克设计!$B$14:$K$20,9)/30))</f>
        <v>1.4306346798809362</v>
      </c>
      <c r="E206" s="172">
        <f ca="1">(VLOOKUP(E$72,INDIRECT($C$5&amp;"生成成长"),2))/((VLOOKUP($B206,INDIRECT($B$5&amp;"生成成长"),4))/(VLOOKUP(E$72,INDIRECT($C$5&amp;"生成成长"),5))*(VLOOKUP($B$5,标准坦克设计!$B$24:$U$30,MATCH("对"&amp;LEFT($C$5,2)&amp;"输出",标准坦克设计!$B$23:$U$23,0)))*(VLOOKUP($B206,INDIRECT($B$5&amp;"生成成长"),3))*(VLOOKUP($B$5,标准坦克设计!$B$14:$K$20,9)/30))</f>
        <v>1.5971770580657232</v>
      </c>
      <c r="F206" s="172">
        <f ca="1">(VLOOKUP(F$72,INDIRECT($C$5&amp;"生成成长"),2))/((VLOOKUP($B206,INDIRECT($B$5&amp;"生成成长"),4))/(VLOOKUP(F$72,INDIRECT($C$5&amp;"生成成长"),5))*(VLOOKUP($B$5,标准坦克设计!$B$24:$U$30,MATCH("对"&amp;LEFT($C$5,2)&amp;"输出",标准坦克设计!$B$23:$U$23,0)))*(VLOOKUP($B206,INDIRECT($B$5&amp;"生成成长"),3))*(VLOOKUP($B$5,标准坦克设计!$B$14:$K$20,9)/30))</f>
        <v>1.7728869066093054</v>
      </c>
      <c r="G206" s="172">
        <f ca="1">(VLOOKUP(G$72,INDIRECT($C$5&amp;"生成成长"),2))/((VLOOKUP($B206,INDIRECT($B$5&amp;"生成成长"),4))/(VLOOKUP(G$72,INDIRECT($C$5&amp;"生成成长"),5))*(VLOOKUP($B$5,标准坦克设计!$B$24:$U$30,MATCH("对"&amp;LEFT($C$5,2)&amp;"输出",标准坦克设计!$B$23:$U$23,0)))*(VLOOKUP($B206,INDIRECT($B$5&amp;"生成成长"),3))*(VLOOKUP($B$5,标准坦克设计!$B$14:$K$20,9)/30))</f>
        <v>1.9577642255116829</v>
      </c>
      <c r="H206" s="172">
        <f ca="1">(VLOOKUP(H$72,INDIRECT($C$5&amp;"生成成长"),2))/((VLOOKUP($B206,INDIRECT($B$5&amp;"生成成长"),4))/(VLOOKUP(H$72,INDIRECT($C$5&amp;"生成成长"),5))*(VLOOKUP($B$5,标准坦克设计!$B$24:$U$30,MATCH("对"&amp;LEFT($C$5,2)&amp;"输出",标准坦克设计!$B$23:$U$23,0)))*(VLOOKUP($B206,INDIRECT($B$5&amp;"生成成长"),3))*(VLOOKUP($B$5,标准坦克设计!$B$14:$K$20,9)/30))</f>
        <v>1.7132983492771339</v>
      </c>
      <c r="I206" s="172">
        <f ca="1">(VLOOKUP(I$72,INDIRECT($C$5&amp;"生成成长"),2))/((VLOOKUP($B206,INDIRECT($B$5&amp;"生成成长"),4))/(VLOOKUP(I$72,INDIRECT($C$5&amp;"生成成长"),5))*(VLOOKUP($B$5,标准坦克设计!$B$24:$U$30,MATCH("对"&amp;LEFT($C$5,2)&amp;"输出",标准坦克设计!$B$23:$U$23,0)))*(VLOOKUP($B206,INDIRECT($B$5&amp;"生成成长"),3))*(VLOOKUP($B$5,标准坦克设计!$B$14:$K$20,9)/30))</f>
        <v>1.9577642255116829</v>
      </c>
      <c r="J206" s="172">
        <f ca="1">(VLOOKUP(J$72,INDIRECT($C$5&amp;"生成成长"),2))/((VLOOKUP($B206,INDIRECT($B$5&amp;"生成成长"),4))/(VLOOKUP(J$72,INDIRECT($C$5&amp;"生成成长"),5))*(VLOOKUP($B$5,标准坦克设计!$B$24:$U$30,MATCH("对"&amp;LEFT($C$5,2)&amp;"输出",标准坦克设计!$B$23:$U$23,0)))*(VLOOKUP($B206,INDIRECT($B$5&amp;"生成成长"),3))*(VLOOKUP($B$5,标准坦克设计!$B$14:$K$20,9)/30))</f>
        <v>2.2185278268285358</v>
      </c>
      <c r="K206" s="172">
        <f ca="1">(VLOOKUP(K$72,INDIRECT($C$5&amp;"生成成长"),2))/((VLOOKUP($B206,INDIRECT($B$5&amp;"生成成长"),4))/(VLOOKUP(K$72,INDIRECT($C$5&amp;"生成成长"),5))*(VLOOKUP($B$5,标准坦克设计!$B$24:$U$30,MATCH("对"&amp;LEFT($C$5,2)&amp;"输出",标准坦克设计!$B$23:$U$23,0)))*(VLOOKUP($B206,INDIRECT($B$5&amp;"生成成长"),3))*(VLOOKUP($B$5,标准坦克设计!$B$14:$K$20,9)/30))</f>
        <v>2.4955891532276921</v>
      </c>
      <c r="L206" s="172">
        <f ca="1">(VLOOKUP(L$72,INDIRECT($C$5&amp;"生成成长"),2))/((VLOOKUP($B206,INDIRECT($B$5&amp;"生成成长"),4))/(VLOOKUP(L$72,INDIRECT($C$5&amp;"生成成长"),5))*(VLOOKUP($B$5,标准坦克设计!$B$24:$U$30,MATCH("对"&amp;LEFT($C$5,2)&amp;"输出",标准坦克设计!$B$23:$U$23,0)))*(VLOOKUP($B206,INDIRECT($B$5&amp;"生成成长"),3))*(VLOOKUP($B$5,标准坦克设计!$B$14:$K$20,9)/30))</f>
        <v>2.7889482047091514</v>
      </c>
      <c r="M206" s="172">
        <f ca="1">(VLOOKUP(M$72,INDIRECT($C$5&amp;"生成成长"),2))/((VLOOKUP($B206,INDIRECT($B$5&amp;"生成成长"),4))/(VLOOKUP(M$72,INDIRECT($C$5&amp;"生成成长"),5))*(VLOOKUP($B$5,标准坦克设计!$B$24:$U$30,MATCH("对"&amp;LEFT($C$5,2)&amp;"输出",标准坦克设计!$B$23:$U$23,0)))*(VLOOKUP($B206,INDIRECT($B$5&amp;"生成成长"),3))*(VLOOKUP($B$5,标准坦克设计!$B$14:$K$20,9)/30))</f>
        <v>3.0986049812729139</v>
      </c>
      <c r="N206" s="172">
        <f ca="1">(VLOOKUP(N$72,INDIRECT($C$5&amp;"生成成长"),2))/((VLOOKUP($B206,INDIRECT($B$5&amp;"生成成长"),4))/(VLOOKUP(N$72,INDIRECT($C$5&amp;"生成成长"),5))*(VLOOKUP($B$5,标准坦克设计!$B$24:$U$30,MATCH("对"&amp;LEFT($C$5,2)&amp;"输出",标准坦克设计!$B$23:$U$23,0)))*(VLOOKUP($B206,INDIRECT($B$5&amp;"生成成长"),3))*(VLOOKUP($B$5,标准坦克设计!$B$14:$K$20,9)/30))</f>
        <v>3.4245594829189794</v>
      </c>
      <c r="O206" s="172">
        <f ca="1">(VLOOKUP(O$72,INDIRECT($C$5&amp;"生成成长"),2))/((VLOOKUP($B206,INDIRECT($B$5&amp;"生成成长"),4))/(VLOOKUP(O$72,INDIRECT($C$5&amp;"生成成长"),5))*(VLOOKUP($B$5,标准坦克设计!$B$24:$U$30,MATCH("对"&amp;LEFT($C$5,2)&amp;"输出",标准坦克设计!$B$23:$U$23,0)))*(VLOOKUP($B206,INDIRECT($B$5&amp;"生成成长"),3))*(VLOOKUP($B$5,标准坦克设计!$B$14:$K$20,9)/30))</f>
        <v>2.6036889078751573</v>
      </c>
      <c r="P206" s="172">
        <f ca="1">(VLOOKUP(P$72,INDIRECT($C$5&amp;"生成成长"),2))/((VLOOKUP($B206,INDIRECT($B$5&amp;"生成成长"),4))/(VLOOKUP(P$72,INDIRECT($C$5&amp;"生成成长"),5))*(VLOOKUP($B$5,标准坦克设计!$B$24:$U$30,MATCH("对"&amp;LEFT($C$5,2)&amp;"输出",标准坦克设计!$B$23:$U$23,0)))*(VLOOKUP($B206,INDIRECT($B$5&amp;"生成成长"),3))*(VLOOKUP($B$5,标准坦克设计!$B$14:$K$20,9)/30))</f>
        <v>2.9417393773557445</v>
      </c>
      <c r="Q206" s="172">
        <f ca="1">(VLOOKUP(Q$72,INDIRECT($C$5&amp;"生成成长"),2))/((VLOOKUP($B206,INDIRECT($B$5&amp;"生成成长"),4))/(VLOOKUP(Q$72,INDIRECT($C$5&amp;"生成成长"),5))*(VLOOKUP($B$5,标准坦克设计!$B$24:$U$30,MATCH("对"&amp;LEFT($C$5,2)&amp;"输出",标准坦克设计!$B$23:$U$23,0)))*(VLOOKUP($B206,INDIRECT($B$5&amp;"生成成长"),3))*(VLOOKUP($B$5,标准坦克设计!$B$14:$K$20,9)/30))</f>
        <v>3.3004166551436227</v>
      </c>
      <c r="R206" s="172">
        <f ca="1">(VLOOKUP(R$72,INDIRECT($C$5&amp;"生成成长"),2))/((VLOOKUP($B206,INDIRECT($B$5&amp;"生成成长"),4))/(VLOOKUP(R$72,INDIRECT($C$5&amp;"生成成长"),5))*(VLOOKUP($B$5,标准坦克设计!$B$24:$U$30,MATCH("对"&amp;LEFT($C$5,2)&amp;"输出",标准坦克设计!$B$23:$U$23,0)))*(VLOOKUP($B206,INDIRECT($B$5&amp;"生成成长"),3))*(VLOOKUP($B$5,标准坦克设计!$B$14:$K$20,9)/30))</f>
        <v>3.6797207412387909</v>
      </c>
      <c r="S206" s="172">
        <f ca="1">(VLOOKUP(S$72,INDIRECT($C$5&amp;"生成成长"),2))/((VLOOKUP($B206,INDIRECT($B$5&amp;"生成成长"),4))/(VLOOKUP(S$72,INDIRECT($C$5&amp;"生成成长"),5))*(VLOOKUP($B$5,标准坦克设计!$B$24:$U$30,MATCH("对"&amp;LEFT($C$5,2)&amp;"输出",标准坦克设计!$B$23:$U$23,0)))*(VLOOKUP($B206,INDIRECT($B$5&amp;"生成成长"),3))*(VLOOKUP($B$5,标准坦克设计!$B$14:$K$20,9)/30))</f>
        <v>4.0796516356412491</v>
      </c>
      <c r="T206" s="172">
        <f ca="1">(VLOOKUP(T$72,INDIRECT($C$5&amp;"生成成长"),2))/((VLOOKUP($B206,INDIRECT($B$5&amp;"生成成长"),4))/(VLOOKUP(T$72,INDIRECT($C$5&amp;"生成成长"),5))*(VLOOKUP($B$5,标准坦克设计!$B$24:$U$30,MATCH("对"&amp;LEFT($C$5,2)&amp;"输出",标准坦克设计!$B$23:$U$23,0)))*(VLOOKUP($B206,INDIRECT($B$5&amp;"生成成长"),3))*(VLOOKUP($B$5,标准坦克设计!$B$14:$K$20,9)/30))</f>
        <v>4.5002093383509969</v>
      </c>
      <c r="U206" s="172">
        <f ca="1">(VLOOKUP(U$72,INDIRECT($C$5&amp;"生成成长"),2))/((VLOOKUP($B206,INDIRECT($B$5&amp;"生成成长"),4))/(VLOOKUP(U$72,INDIRECT($C$5&amp;"生成成长"),5))*(VLOOKUP($B$5,标准坦克设计!$B$24:$U$30,MATCH("对"&amp;LEFT($C$5,2)&amp;"输出",标准坦克设计!$B$23:$U$23,0)))*(VLOOKUP($B206,INDIRECT($B$5&amp;"生成成长"),3))*(VLOOKUP($B$5,标准坦克设计!$B$14:$K$20,9)/30))</f>
        <v>4.9413938493680352</v>
      </c>
      <c r="V206" s="172">
        <f ca="1">(VLOOKUP(V$72,INDIRECT($C$5&amp;"生成成长"),2))/((VLOOKUP($B206,INDIRECT($B$5&amp;"生成成长"),4))/(VLOOKUP(V$72,INDIRECT($C$5&amp;"生成成长"),5))*(VLOOKUP($B$5,标准坦克设计!$B$24:$U$30,MATCH("对"&amp;LEFT($C$5,2)&amp;"输出",标准坦克设计!$B$23:$U$23,0)))*(VLOOKUP($B206,INDIRECT($B$5&amp;"生成成长"),3))*(VLOOKUP($B$5,标准坦克设计!$B$14:$K$20,9)/30))</f>
        <v>5.4032051686923639</v>
      </c>
      <c r="W206" s="172">
        <f ca="1">(VLOOKUP(W$72,INDIRECT($C$5&amp;"生成成长"),2))/((VLOOKUP($B206,INDIRECT($B$5&amp;"生成成长"),4))/(VLOOKUP(W$72,INDIRECT($C$5&amp;"生成成长"),5))*(VLOOKUP($B$5,标准坦克设计!$B$24:$U$30,MATCH("对"&amp;LEFT($C$5,2)&amp;"输出",标准坦克设计!$B$23:$U$23,0)))*(VLOOKUP($B206,INDIRECT($B$5&amp;"生成成长"),3))*(VLOOKUP($B$5,标准坦克设计!$B$14:$K$20,9)/30))</f>
        <v>5.885643296323984</v>
      </c>
      <c r="X206" s="172">
        <f ca="1">(VLOOKUP(X$72,INDIRECT($C$5&amp;"生成成长"),2))/((VLOOKUP($B206,INDIRECT($B$5&amp;"生成成长"),4))/(VLOOKUP(X$72,INDIRECT($C$5&amp;"生成成长"),5))*(VLOOKUP($B$5,标准坦克设计!$B$24:$U$30,MATCH("对"&amp;LEFT($C$5,2)&amp;"输出",标准坦克设计!$B$23:$U$23,0)))*(VLOOKUP($B206,INDIRECT($B$5&amp;"生成成长"),3))*(VLOOKUP($B$5,标准坦克设计!$B$14:$K$20,9)/30))</f>
        <v>4.2640196506348058</v>
      </c>
      <c r="Y206" s="172">
        <f ca="1">(VLOOKUP(Y$72,INDIRECT($C$5&amp;"生成成长"),2))/((VLOOKUP($B206,INDIRECT($B$5&amp;"生成成长"),4))/(VLOOKUP(Y$72,INDIRECT($C$5&amp;"生成成长"),5))*(VLOOKUP($B$5,标准坦克设计!$B$24:$U$30,MATCH("对"&amp;LEFT($C$5,2)&amp;"输出",标准坦克设计!$B$23:$U$23,0)))*(VLOOKUP($B206,INDIRECT($B$5&amp;"生成成长"),3))*(VLOOKUP($B$5,标准坦克设计!$B$14:$K$20,9)/30))</f>
        <v>4.7427653249274639</v>
      </c>
      <c r="Z206" s="172">
        <f ca="1">(VLOOKUP(Z$72,INDIRECT($C$5&amp;"生成成长"),2))/((VLOOKUP($B206,INDIRECT($B$5&amp;"生成成长"),4))/(VLOOKUP(Z$72,INDIRECT($C$5&amp;"生成成长"),5))*(VLOOKUP($B$5,标准坦克设计!$B$24:$U$30,MATCH("对"&amp;LEFT($C$5,2)&amp;"输出",标准坦克设计!$B$23:$U$23,0)))*(VLOOKUP($B206,INDIRECT($B$5&amp;"生成成长"),3))*(VLOOKUP($B$5,标准坦克设计!$B$14:$K$20,9)/30))</f>
        <v>5.2469761946612223</v>
      </c>
      <c r="AA206" s="172">
        <f ca="1">(VLOOKUP(AA$72,INDIRECT($C$5&amp;"生成成长"),2))/((VLOOKUP($B206,INDIRECT($B$5&amp;"生成成长"),4))/(VLOOKUP(AA$72,INDIRECT($C$5&amp;"生成成长"),5))*(VLOOKUP($B$5,标准坦克设计!$B$24:$U$30,MATCH("对"&amp;LEFT($C$5,2)&amp;"输出",标准坦克设计!$B$23:$U$23,0)))*(VLOOKUP($B206,INDIRECT($B$5&amp;"生成成长"),3))*(VLOOKUP($B$5,标准坦克设计!$B$14:$K$20,9)/30))</f>
        <v>5.7766522598360792</v>
      </c>
      <c r="AB206" s="172">
        <f ca="1">(VLOOKUP(AB$72,INDIRECT($C$5&amp;"生成成长"),2))/((VLOOKUP($B206,INDIRECT($B$5&amp;"生成成长"),4))/(VLOOKUP(AB$72,INDIRECT($C$5&amp;"生成成长"),5))*(VLOOKUP($B$5,标准坦克设计!$B$24:$U$30,MATCH("对"&amp;LEFT($C$5,2)&amp;"输出",标准坦克设计!$B$23:$U$23,0)))*(VLOOKUP($B206,INDIRECT($B$5&amp;"生成成长"),3))*(VLOOKUP($B$5,标准坦克设计!$B$14:$K$20,9)/30))</f>
        <v>6.3317935204520346</v>
      </c>
      <c r="AC206" s="172">
        <f ca="1">(VLOOKUP(AC$72,INDIRECT($C$5&amp;"生成成长"),2))/((VLOOKUP($B206,INDIRECT($B$5&amp;"生成成长"),4))/(VLOOKUP(AC$72,INDIRECT($C$5&amp;"生成成长"),5))*(VLOOKUP($B$5,标准坦克设计!$B$24:$U$30,MATCH("对"&amp;LEFT($C$5,2)&amp;"输出",标准坦克设计!$B$23:$U$23,0)))*(VLOOKUP($B206,INDIRECT($B$5&amp;"生成成长"),3))*(VLOOKUP($B$5,标准坦克设计!$B$14:$K$20,9)/30))</f>
        <v>6.9123999765090902</v>
      </c>
      <c r="AD206" s="172">
        <f ca="1">(VLOOKUP(AD$72,INDIRECT($C$5&amp;"生成成长"),2))/((VLOOKUP($B206,INDIRECT($B$5&amp;"生成成长"),4))/(VLOOKUP(AD$72,INDIRECT($C$5&amp;"生成成长"),5))*(VLOOKUP($B$5,标准坦克设计!$B$24:$U$30,MATCH("对"&amp;LEFT($C$5,2)&amp;"输出",标准坦克设计!$B$23:$U$23,0)))*(VLOOKUP($B206,INDIRECT($B$5&amp;"生成成长"),3))*(VLOOKUP($B$5,标准坦克设计!$B$14:$K$20,9)/30))</f>
        <v>7.5184716280072434</v>
      </c>
      <c r="AE206" s="172">
        <f ca="1">(VLOOKUP(AE$72,INDIRECT($C$5&amp;"生成成长"),2))/((VLOOKUP($B206,INDIRECT($B$5&amp;"生成成长"),4))/(VLOOKUP(AE$72,INDIRECT($C$5&amp;"生成成长"),5))*(VLOOKUP($B$5,标准坦克设计!$B$24:$U$30,MATCH("对"&amp;LEFT($C$5,2)&amp;"输出",标准坦克设计!$B$23:$U$23,0)))*(VLOOKUP($B206,INDIRECT($B$5&amp;"生成成长"),3))*(VLOOKUP($B$5,标准坦克设计!$B$14:$K$20,9)/30))</f>
        <v>8.1500084749464961</v>
      </c>
      <c r="AF206" s="172">
        <f ca="1">(VLOOKUP(AF$72,INDIRECT($C$5&amp;"生成成长"),2))/((VLOOKUP($B206,INDIRECT($B$5&amp;"生成成长"),4))/(VLOOKUP(AF$72,INDIRECT($C$5&amp;"生成成长"),5))*(VLOOKUP($B$5,标准坦克设计!$B$24:$U$30,MATCH("对"&amp;LEFT($C$5,2)&amp;"输出",标准坦克设计!$B$23:$U$23,0)))*(VLOOKUP($B206,INDIRECT($B$5&amp;"生成成长"),3))*(VLOOKUP($B$5,标准坦克设计!$B$14:$K$20,9)/30))</f>
        <v>8.807010517326848</v>
      </c>
      <c r="AG206" s="172">
        <f ca="1">(VLOOKUP(AG$72,INDIRECT($C$5&amp;"生成成长"),2))/((VLOOKUP($B206,INDIRECT($B$5&amp;"生成成长"),4))/(VLOOKUP(AG$72,INDIRECT($C$5&amp;"生成成长"),5))*(VLOOKUP($B$5,标准坦克设计!$B$24:$U$30,MATCH("对"&amp;LEFT($C$5,2)&amp;"输出",标准坦克设计!$B$23:$U$23,0)))*(VLOOKUP($B206,INDIRECT($B$5&amp;"生成成长"),3))*(VLOOKUP($B$5,标准坦克设计!$B$14:$K$20,9)/30))</f>
        <v>9.4894777551482985</v>
      </c>
      <c r="AH206" s="172">
        <f ca="1">(VLOOKUP(AH$72,INDIRECT($C$5&amp;"生成成长"),2))/((VLOOKUP($B206,INDIRECT($B$5&amp;"生成成长"),4))/(VLOOKUP(AH$72,INDIRECT($C$5&amp;"生成成长"),5))*(VLOOKUP($B$5,标准坦克设计!$B$24:$U$30,MATCH("对"&amp;LEFT($C$5,2)&amp;"输出",标准坦克设计!$B$23:$U$23,0)))*(VLOOKUP($B206,INDIRECT($B$5&amp;"生成成长"),3))*(VLOOKUP($B$5,标准坦克设计!$B$14:$K$20,9)/30))</f>
        <v>10.197410188410847</v>
      </c>
      <c r="AI206" s="172">
        <f ca="1">(VLOOKUP(AI$72,INDIRECT($C$5&amp;"生成成长"),2))/((VLOOKUP($B206,INDIRECT($B$5&amp;"生成成长"),4))/(VLOOKUP(AI$72,INDIRECT($C$5&amp;"生成成长"),5))*(VLOOKUP($B$5,标准坦克设计!$B$24:$U$30,MATCH("对"&amp;LEFT($C$5,2)&amp;"输出",标准坦克设计!$B$23:$U$23,0)))*(VLOOKUP($B206,INDIRECT($B$5&amp;"生成成长"),3))*(VLOOKUP($B$5,标准坦克设计!$B$14:$K$20,9)/30))</f>
        <v>7.2122526528280293</v>
      </c>
      <c r="AJ206" s="172">
        <f ca="1">(VLOOKUP(AJ$72,INDIRECT($C$5&amp;"生成成长"),2))/((VLOOKUP($B206,INDIRECT($B$5&amp;"生成成长"),4))/(VLOOKUP(AJ$72,INDIRECT($C$5&amp;"生成成长"),5))*(VLOOKUP($B$5,标准坦克设计!$B$24:$U$30,MATCH("对"&amp;LEFT($C$5,2)&amp;"输出",标准坦克设计!$B$23:$U$23,0)))*(VLOOKUP($B206,INDIRECT($B$5&amp;"生成成长"),3))*(VLOOKUP($B$5,标准坦克设计!$B$14:$K$20,9)/30))</f>
        <v>7.8943379127178641</v>
      </c>
      <c r="AK206" s="172">
        <f ca="1">(VLOOKUP(AK$72,INDIRECT($C$5&amp;"生成成长"),2))/((VLOOKUP($B206,INDIRECT($B$5&amp;"生成成长"),4))/(VLOOKUP(AK$72,INDIRECT($C$5&amp;"生成成长"),5))*(VLOOKUP($B$5,标准坦克设计!$B$24:$U$30,MATCH("对"&amp;LEFT($C$5,2)&amp;"输出",标准坦克设计!$B$23:$U$23,0)))*(VLOOKUP($B206,INDIRECT($B$5&amp;"生成成长"),3))*(VLOOKUP($B$5,标准坦克设计!$B$14:$K$20,9)/30))</f>
        <v>8.607236059091429</v>
      </c>
      <c r="AL206" s="172">
        <f ca="1">(VLOOKUP(AL$72,INDIRECT($C$5&amp;"生成成长"),2))/((VLOOKUP($B206,INDIRECT($B$5&amp;"生成成长"),4))/(VLOOKUP(AL$72,INDIRECT($C$5&amp;"生成成长"),5))*(VLOOKUP($B$5,标准坦克设计!$B$24:$U$30,MATCH("对"&amp;LEFT($C$5,2)&amp;"输出",标准坦克设计!$B$23:$U$23,0)))*(VLOOKUP($B206,INDIRECT($B$5&amp;"生成成长"),3))*(VLOOKUP($B$5,标准坦克设计!$B$14:$K$20,9)/30))</f>
        <v>9.3509470919487203</v>
      </c>
      <c r="AM206" s="172">
        <f ca="1">(VLOOKUP(AM$72,INDIRECT($C$5&amp;"生成成长"),2))/((VLOOKUP($B206,INDIRECT($B$5&amp;"生成成长"),4))/(VLOOKUP(AM$72,INDIRECT($C$5&amp;"生成成长"),5))*(VLOOKUP($B$5,标准坦克设计!$B$24:$U$30,MATCH("对"&amp;LEFT($C$5,2)&amp;"输出",标准坦克设计!$B$23:$U$23,0)))*(VLOOKUP($B206,INDIRECT($B$5&amp;"生成成长"),3))*(VLOOKUP($B$5,标准坦克设计!$B$14:$K$20,9)/30))</f>
        <v>10.125471011289745</v>
      </c>
      <c r="AN206" s="172">
        <f ca="1">(VLOOKUP(AN$72,INDIRECT($C$5&amp;"生成成长"),2))/((VLOOKUP($B206,INDIRECT($B$5&amp;"生成成长"),4))/(VLOOKUP(AN$72,INDIRECT($C$5&amp;"生成成长"),5))*(VLOOKUP($B$5,标准坦克设计!$B$24:$U$30,MATCH("对"&amp;LEFT($C$5,2)&amp;"输出",标准坦克设计!$B$23:$U$23,0)))*(VLOOKUP($B206,INDIRECT($B$5&amp;"生成成长"),3))*(VLOOKUP($B$5,标准坦克设计!$B$14:$K$20,9)/30))</f>
        <v>10.930807817114497</v>
      </c>
      <c r="AO206" s="172">
        <f ca="1">(VLOOKUP(AO$72,INDIRECT($C$5&amp;"生成成长"),2))/((VLOOKUP($B206,INDIRECT($B$5&amp;"生成成长"),4))/(VLOOKUP(AO$72,INDIRECT($C$5&amp;"生成成长"),5))*(VLOOKUP($B$5,标准坦克设计!$B$24:$U$30,MATCH("对"&amp;LEFT($C$5,2)&amp;"输出",标准坦克设计!$B$23:$U$23,0)))*(VLOOKUP($B206,INDIRECT($B$5&amp;"生成成长"),3))*(VLOOKUP($B$5,标准坦克设计!$B$14:$K$20,9)/30))</f>
        <v>11.766957509422978</v>
      </c>
      <c r="AP206" s="172">
        <f ca="1">(VLOOKUP(AP$72,INDIRECT($C$5&amp;"生成成长"),2))/((VLOOKUP($B206,INDIRECT($B$5&amp;"生成成长"),4))/(VLOOKUP(AP$72,INDIRECT($C$5&amp;"生成成长"),5))*(VLOOKUP($B$5,标准坦克设计!$B$24:$U$30,MATCH("对"&amp;LEFT($C$5,2)&amp;"输出",标准坦克设计!$B$23:$U$23,0)))*(VLOOKUP($B206,INDIRECT($B$5&amp;"生成成长"),3))*(VLOOKUP($B$5,标准坦克设计!$B$14:$K$20,9)/30))</f>
        <v>12.63392008821519</v>
      </c>
      <c r="AQ206" s="172">
        <f ca="1">(VLOOKUP(AQ$72,INDIRECT($C$5&amp;"生成成长"),2))/((VLOOKUP($B206,INDIRECT($B$5&amp;"生成成长"),4))/(VLOOKUP(AQ$72,INDIRECT($C$5&amp;"生成成长"),5))*(VLOOKUP($B$5,标准坦克设计!$B$24:$U$30,MATCH("对"&amp;LEFT($C$5,2)&amp;"输出",标准坦克设计!$B$23:$U$23,0)))*(VLOOKUP($B206,INDIRECT($B$5&amp;"生成成长"),3))*(VLOOKUP($B$5,标准坦克设计!$B$14:$K$20,9)/30))</f>
        <v>13.531695553491131</v>
      </c>
      <c r="AR206" s="172">
        <f ca="1">(VLOOKUP(AR$72,INDIRECT($C$5&amp;"生成成长"),2))/((VLOOKUP($B206,INDIRECT($B$5&amp;"生成成长"),4))/(VLOOKUP(AR$72,INDIRECT($C$5&amp;"生成成长"),5))*(VLOOKUP($B$5,标准坦克设计!$B$24:$U$30,MATCH("对"&amp;LEFT($C$5,2)&amp;"输出",标准坦克设计!$B$23:$U$23,0)))*(VLOOKUP($B206,INDIRECT($B$5&amp;"生成成长"),3))*(VLOOKUP($B$5,标准坦克设计!$B$14:$K$20,9)/30))</f>
        <v>14.460283905250806</v>
      </c>
      <c r="AS206" s="172">
        <f ca="1">(VLOOKUP(AS$72,INDIRECT($C$5&amp;"生成成长"),2))/((VLOOKUP($B206,INDIRECT($B$5&amp;"生成成长"),4))/(VLOOKUP(AS$72,INDIRECT($C$5&amp;"生成成长"),5))*(VLOOKUP($B$5,标准坦克设计!$B$24:$U$30,MATCH("对"&amp;LEFT($C$5,2)&amp;"输出",标准坦克设计!$B$23:$U$23,0)))*(VLOOKUP($B206,INDIRECT($B$5&amp;"生成成长"),3))*(VLOOKUP($B$5,标准坦克设计!$B$14:$K$20,9)/30))</f>
        <v>15.419685143494204</v>
      </c>
      <c r="AT206" s="172">
        <f ca="1">(VLOOKUP(AT$72,INDIRECT($C$5&amp;"生成成长"),2))/((VLOOKUP($B206,INDIRECT($B$5&amp;"生成成长"),4))/(VLOOKUP(AT$72,INDIRECT($C$5&amp;"生成成长"),5))*(VLOOKUP($B$5,标准坦克设计!$B$24:$U$30,MATCH("对"&amp;LEFT($C$5,2)&amp;"输出",标准坦克设计!$B$23:$U$23,0)))*(VLOOKUP($B206,INDIRECT($B$5&amp;"生成成长"),3))*(VLOOKUP($B$5,标准坦克设计!$B$14:$K$20,9)/30))</f>
        <v>16.409899268221334</v>
      </c>
      <c r="AU206" s="172">
        <f ca="1">(VLOOKUP(AU$72,INDIRECT($C$5&amp;"生成成长"),2))/((VLOOKUP($B206,INDIRECT($B$5&amp;"生成成长"),4))/(VLOOKUP(AU$72,INDIRECT($C$5&amp;"生成成长"),5))*(VLOOKUP($B$5,标准坦克设计!$B$24:$U$30,MATCH("对"&amp;LEFT($C$5,2)&amp;"输出",标准坦克设计!$B$23:$U$23,0)))*(VLOOKUP($B206,INDIRECT($B$5&amp;"生成成长"),3))*(VLOOKUP($B$5,标准坦克设计!$B$14:$K$20,9)/30))</f>
        <v>17.430926279432192</v>
      </c>
      <c r="AV206" s="172">
        <f ca="1">(VLOOKUP(AV$72,INDIRECT($C$5&amp;"生成成长"),2))/((VLOOKUP($B206,INDIRECT($B$5&amp;"生成成长"),4))/(VLOOKUP(AV$72,INDIRECT($C$5&amp;"生成成长"),5))*(VLOOKUP($B$5,标准坦克设计!$B$24:$U$30,MATCH("对"&amp;LEFT($C$5,2)&amp;"输出",标准坦克设计!$B$23:$U$23,0)))*(VLOOKUP($B206,INDIRECT($B$5&amp;"生成成长"),3))*(VLOOKUP($B$5,标准坦克设计!$B$14:$K$20,9)/30))</f>
        <v>1.7728869066093054</v>
      </c>
      <c r="AW206" s="172">
        <f ca="1">(VLOOKUP(AW$72,INDIRECT($C$5&amp;"生成成长"),2))/((VLOOKUP($B206,INDIRECT($B$5&amp;"生成成长"),4))/(VLOOKUP(AW$72,INDIRECT($C$5&amp;"生成成长"),5))*(VLOOKUP($B$5,标准坦克设计!$B$24:$U$30,MATCH("对"&amp;LEFT($C$5,2)&amp;"输出",标准坦克设计!$B$23:$U$23,0)))*(VLOOKUP($B206,INDIRECT($B$5&amp;"生成成长"),3))*(VLOOKUP($B$5,标准坦克设计!$B$14:$K$20,9)/30))</f>
        <v>2.0214272141144303</v>
      </c>
      <c r="AX206" s="172">
        <f ca="1">(VLOOKUP(AX$72,INDIRECT($C$5&amp;"生成成长"),2))/((VLOOKUP($B206,INDIRECT($B$5&amp;"生成成长"),4))/(VLOOKUP(AX$72,INDIRECT($C$5&amp;"生成成长"),5))*(VLOOKUP($B$5,标准坦克设计!$B$24:$U$30,MATCH("对"&amp;LEFT($C$5,2)&amp;"输出",标准坦克设计!$B$23:$U$23,0)))*(VLOOKUP($B206,INDIRECT($B$5&amp;"生成成长"),3))*(VLOOKUP($B$5,标准坦克设计!$B$14:$K$20,9)/30))</f>
        <v>2.2862652467018592</v>
      </c>
      <c r="AY206" s="172">
        <f ca="1">(VLOOKUP(AY$72,INDIRECT($C$5&amp;"生成成长"),2))/((VLOOKUP($B206,INDIRECT($B$5&amp;"生成成长"),4))/(VLOOKUP(AY$72,INDIRECT($C$5&amp;"生成成长"),5))*(VLOOKUP($B$5,标准坦克设计!$B$24:$U$30,MATCH("对"&amp;LEFT($C$5,2)&amp;"输出",标准坦克设计!$B$23:$U$23,0)))*(VLOOKUP($B206,INDIRECT($B$5&amp;"生成成长"),3))*(VLOOKUP($B$5,标准坦克设计!$B$14:$K$20,9)/30))</f>
        <v>2.5674010043715914</v>
      </c>
      <c r="AZ206" s="172">
        <f ca="1">(VLOOKUP(AZ$72,INDIRECT($C$5&amp;"生成成长"),2))/((VLOOKUP($B206,INDIRECT($B$5&amp;"生成成长"),4))/(VLOOKUP(AZ$72,INDIRECT($C$5&amp;"生成成长"),5))*(VLOOKUP($B$5,标准坦克设计!$B$24:$U$30,MATCH("对"&amp;LEFT($C$5,2)&amp;"输出",标准坦克设计!$B$23:$U$23,0)))*(VLOOKUP($B206,INDIRECT($B$5&amp;"生成成长"),3))*(VLOOKUP($B$5,标准坦克设计!$B$14:$K$20,9)/30))</f>
        <v>2.8648344871236264</v>
      </c>
      <c r="BA206" s="172">
        <f ca="1">(VLOOKUP(BA$72,INDIRECT($C$5&amp;"生成成长"),2))/((VLOOKUP($B206,INDIRECT($B$5&amp;"生成成长"),4))/(VLOOKUP(BA$72,INDIRECT($C$5&amp;"生成成长"),5))*(VLOOKUP($B$5,标准坦克设计!$B$24:$U$30,MATCH("对"&amp;LEFT($C$5,2)&amp;"输出",标准坦克设计!$B$23:$U$23,0)))*(VLOOKUP($B206,INDIRECT($B$5&amp;"生成成长"),3))*(VLOOKUP($B$5,标准坦克设计!$B$14:$K$20,9)/30))</f>
        <v>3.1785656949579653</v>
      </c>
      <c r="BB206" s="172">
        <f ca="1">(VLOOKUP(BB$72,INDIRECT($C$5&amp;"生成成长"),2))/((VLOOKUP($B206,INDIRECT($B$5&amp;"生成成长"),4))/(VLOOKUP(BB$72,INDIRECT($C$5&amp;"生成成长"),5))*(VLOOKUP($B$5,标准坦克设计!$B$24:$U$30,MATCH("对"&amp;LEFT($C$5,2)&amp;"输出",标准坦克设计!$B$23:$U$23,0)))*(VLOOKUP($B206,INDIRECT($B$5&amp;"生成成长"),3))*(VLOOKUP($B$5,标准坦克设计!$B$14:$K$20,9)/30))</f>
        <v>3.5085946278746065</v>
      </c>
      <c r="BC206" s="172">
        <f ca="1">(VLOOKUP(BC$72,INDIRECT($C$5&amp;"生成成长"),2))/((VLOOKUP($B206,INDIRECT($B$5&amp;"生成成长"),4))/(VLOOKUP(BC$72,INDIRECT($C$5&amp;"生成成长"),5))*(VLOOKUP($B$5,标准坦克设计!$B$24:$U$30,MATCH("对"&amp;LEFT($C$5,2)&amp;"输出",标准坦克设计!$B$23:$U$23,0)))*(VLOOKUP($B206,INDIRECT($B$5&amp;"生成成长"),3))*(VLOOKUP($B$5,标准坦克设计!$B$14:$K$20,9)/30))</f>
        <v>3.8549212858735511</v>
      </c>
      <c r="BD206" s="172">
        <f ca="1">(VLOOKUP(BD$72,INDIRECT($C$5&amp;"生成成长"),2))/((VLOOKUP($B206,INDIRECT($B$5&amp;"生成成长"),4))/(VLOOKUP(BD$72,INDIRECT($C$5&amp;"生成成长"),5))*(VLOOKUP($B$5,标准坦克设计!$B$24:$U$30,MATCH("对"&amp;LEFT($C$5,2)&amp;"输出",标准坦克设计!$B$23:$U$23,0)))*(VLOOKUP($B206,INDIRECT($B$5&amp;"生成成长"),3))*(VLOOKUP($B$5,标准坦克设计!$B$14:$K$20,9)/30))</f>
        <v>4.2640196506348058</v>
      </c>
      <c r="BE206" s="172">
        <f ca="1">(VLOOKUP(BE$72,INDIRECT($C$5&amp;"生成成长"),2))/((VLOOKUP($B206,INDIRECT($B$5&amp;"生成成长"),4))/(VLOOKUP(BE$72,INDIRECT($C$5&amp;"生成成长"),5))*(VLOOKUP($B$5,标准坦克设计!$B$24:$U$30,MATCH("对"&amp;LEFT($C$5,2)&amp;"输出",标准坦克设计!$B$23:$U$23,0)))*(VLOOKUP($B206,INDIRECT($B$5&amp;"生成成长"),3))*(VLOOKUP($B$5,标准坦克设计!$B$14:$K$20,9)/30))</f>
        <v>4.6937448237033488</v>
      </c>
      <c r="BF206" s="172">
        <f ca="1">(VLOOKUP(BF$72,INDIRECT($C$5&amp;"生成成长"),2))/((VLOOKUP($B206,INDIRECT($B$5&amp;"生成成长"),4))/(VLOOKUP(BF$72,INDIRECT($C$5&amp;"生成成长"),5))*(VLOOKUP($B$5,标准坦克设计!$B$24:$U$30,MATCH("对"&amp;LEFT($C$5,2)&amp;"输出",标准坦克设计!$B$23:$U$23,0)))*(VLOOKUP($B206,INDIRECT($B$5&amp;"生成成长"),3))*(VLOOKUP($B$5,标准坦克设计!$B$14:$K$20,9)/30))</f>
        <v>5.144096805079184</v>
      </c>
      <c r="BG206" s="172">
        <f ca="1">(VLOOKUP(BG$72,INDIRECT($C$5&amp;"生成成长"),2))/((VLOOKUP($B206,INDIRECT($B$5&amp;"生成成长"),4))/(VLOOKUP(BG$72,INDIRECT($C$5&amp;"生成成长"),5))*(VLOOKUP($B$5,标准坦克设计!$B$24:$U$30,MATCH("对"&amp;LEFT($C$5,2)&amp;"输出",标准坦克设计!$B$23:$U$23,0)))*(VLOOKUP($B206,INDIRECT($B$5&amp;"生成成长"),3))*(VLOOKUP($B$5,标准坦克设计!$B$14:$K$20,9)/30))</f>
        <v>5.6150755947623079</v>
      </c>
      <c r="BH206" s="172">
        <f ca="1">(VLOOKUP(BH$72,INDIRECT($C$5&amp;"生成成长"),2))/((VLOOKUP($B206,INDIRECT($B$5&amp;"生成成长"),4))/(VLOOKUP(BH$72,INDIRECT($C$5&amp;"生成成长"),5))*(VLOOKUP($B$5,标准坦克设计!$B$24:$U$30,MATCH("对"&amp;LEFT($C$5,2)&amp;"输出",标准坦克设计!$B$23:$U$23,0)))*(VLOOKUP($B206,INDIRECT($B$5&amp;"生成成长"),3))*(VLOOKUP($B$5,标准坦克设计!$B$14:$K$20,9)/30))</f>
        <v>2.7140805301123203</v>
      </c>
      <c r="BI206" s="172">
        <f ca="1">(VLOOKUP(BI$72,INDIRECT($C$5&amp;"生成成长"),2))/((VLOOKUP($B206,INDIRECT($B$5&amp;"生成成长"),4))/(VLOOKUP(BI$72,INDIRECT($C$5&amp;"生成成长"),5))*(VLOOKUP($B$5,标准坦克设计!$B$24:$U$30,MATCH("对"&amp;LEFT($C$5,2)&amp;"输出",标准坦克设计!$B$23:$U$23,0)))*(VLOOKUP($B206,INDIRECT($B$5&amp;"生成成长"),3))*(VLOOKUP($B$5,标准坦克设计!$B$14:$K$20,9)/30))</f>
        <v>3.0590066023620053</v>
      </c>
      <c r="BJ206" s="172">
        <f ca="1">(VLOOKUP(BJ$72,INDIRECT($C$5&amp;"生成成长"),2))/((VLOOKUP($B206,INDIRECT($B$5&amp;"生成成长"),4))/(VLOOKUP(BJ$72,INDIRECT($C$5&amp;"生成成长"),5))*(VLOOKUP($B$5,标准坦克设计!$B$24:$U$30,MATCH("对"&amp;LEFT($C$5,2)&amp;"输出",标准坦克设计!$B$23:$U$23,0)))*(VLOOKUP($B206,INDIRECT($B$5&amp;"生成成长"),3))*(VLOOKUP($B$5,标准坦克设计!$B$14:$K$20,9)/30))</f>
        <v>3.4245594829189794</v>
      </c>
      <c r="BK206" s="172">
        <f ca="1">(VLOOKUP(BK$72,INDIRECT($C$5&amp;"生成成长"),2))/((VLOOKUP($B206,INDIRECT($B$5&amp;"生成成长"),4))/(VLOOKUP(BK$72,INDIRECT($C$5&amp;"生成成长"),5))*(VLOOKUP($B$5,标准坦克设计!$B$24:$U$30,MATCH("对"&amp;LEFT($C$5,2)&amp;"输出",标准坦克设计!$B$23:$U$23,0)))*(VLOOKUP($B206,INDIRECT($B$5&amp;"生成成长"),3))*(VLOOKUP($B$5,标准坦克设计!$B$14:$K$20,9)/30))</f>
        <v>3.8107391717832448</v>
      </c>
      <c r="BL206" s="172">
        <f ca="1">(VLOOKUP(BL$72,INDIRECT($C$5&amp;"生成成长"),2))/((VLOOKUP($B206,INDIRECT($B$5&amp;"生成成长"),4))/(VLOOKUP(BL$72,INDIRECT($C$5&amp;"生成成长"),5))*(VLOOKUP($B$5,标准坦克设计!$B$24:$U$30,MATCH("对"&amp;LEFT($C$5,2)&amp;"输出",标准坦克设计!$B$23:$U$23,0)))*(VLOOKUP($B206,INDIRECT($B$5&amp;"生成成长"),3))*(VLOOKUP($B$5,标准坦克设计!$B$14:$K$20,9)/30))</f>
        <v>4.2175456689548003</v>
      </c>
      <c r="BM206" s="172">
        <f ca="1">(VLOOKUP(BM$72,INDIRECT($C$5&amp;"生成成长"),2))/((VLOOKUP($B206,INDIRECT($B$5&amp;"生成成长"),4))/(VLOOKUP(BM$72,INDIRECT($C$5&amp;"生成成长"),5))*(VLOOKUP($B$5,标准坦克设计!$B$24:$U$30,MATCH("对"&amp;LEFT($C$5,2)&amp;"输出",标准坦克设计!$B$23:$U$23,0)))*(VLOOKUP($B206,INDIRECT($B$5&amp;"生成成长"),3))*(VLOOKUP($B$5,标准坦克设计!$B$14:$K$20,9)/30))</f>
        <v>4.644978974433644</v>
      </c>
      <c r="BN206" s="172">
        <f ca="1">(VLOOKUP(BN$72,INDIRECT($C$5&amp;"生成成长"),2))/((VLOOKUP($B206,INDIRECT($B$5&amp;"生成成长"),4))/(VLOOKUP(BN$72,INDIRECT($C$5&amp;"生成成长"),5))*(VLOOKUP($B$5,标准坦克设计!$B$24:$U$30,MATCH("对"&amp;LEFT($C$5,2)&amp;"输出",标准坦克设计!$B$23:$U$23,0)))*(VLOOKUP($B206,INDIRECT($B$5&amp;"生成成长"),3))*(VLOOKUP($B$5,标准坦克设计!$B$14:$K$20,9)/30))</f>
        <v>5.09303908821978</v>
      </c>
      <c r="BO206" s="172">
        <f ca="1">(VLOOKUP(BO$72,INDIRECT($C$5&amp;"生成成长"),2))/((VLOOKUP($B206,INDIRECT($B$5&amp;"生成成长"),4))/(VLOOKUP(BO$72,INDIRECT($C$5&amp;"生成成长"),5))*(VLOOKUP($B$5,标准坦克设计!$B$24:$U$30,MATCH("对"&amp;LEFT($C$5,2)&amp;"输出",标准坦克设计!$B$23:$U$23,0)))*(VLOOKUP($B206,INDIRECT($B$5&amp;"生成成长"),3))*(VLOOKUP($B$5,标准坦克设计!$B$14:$K$20,9)/30))</f>
        <v>5.5617260103132056</v>
      </c>
      <c r="BP206" s="172">
        <f ca="1">(VLOOKUP(BP$72,INDIRECT($C$5&amp;"生成成长"),2))/((VLOOKUP($B206,INDIRECT($B$5&amp;"生成成长"),4))/(VLOOKUP(BP$72,INDIRECT($C$5&amp;"生成成长"),5))*(VLOOKUP($B$5,标准坦克设计!$B$24:$U$30,MATCH("对"&amp;LEFT($C$5,2)&amp;"输出",标准坦克设计!$B$23:$U$23,0)))*(VLOOKUP($B206,INDIRECT($B$5&amp;"生成成长"),3))*(VLOOKUP($B$5,标准坦克设计!$B$14:$K$20,9)/30))</f>
        <v>6.0510397407139198</v>
      </c>
      <c r="BQ206" s="172">
        <f ca="1">(VLOOKUP(BQ$72,INDIRECT($C$5&amp;"生成成长"),2))/((VLOOKUP($B206,INDIRECT($B$5&amp;"生成成长"),4))/(VLOOKUP(BQ$72,INDIRECT($C$5&amp;"生成成长"),5))*(VLOOKUP($B$5,标准坦克设计!$B$24:$U$30,MATCH("对"&amp;LEFT($C$5,2)&amp;"输出",标准坦克设计!$B$23:$U$23,0)))*(VLOOKUP($B206,INDIRECT($B$5&amp;"生成成长"),3))*(VLOOKUP($B$5,标准坦克设计!$B$14:$K$20,9)/30))</f>
        <v>6.5609802794219254</v>
      </c>
      <c r="BR206" s="172">
        <f ca="1">(VLOOKUP(BR$72,INDIRECT($C$5&amp;"生成成长"),2))/((VLOOKUP($B206,INDIRECT($B$5&amp;"生成成长"),4))/(VLOOKUP(BR$72,INDIRECT($C$5&amp;"生成成长"),5))*(VLOOKUP($B$5,标准坦克设计!$B$24:$U$30,MATCH("对"&amp;LEFT($C$5,2)&amp;"输出",标准坦克设计!$B$23:$U$23,0)))*(VLOOKUP($B206,INDIRECT($B$5&amp;"生成成长"),3))*(VLOOKUP($B$5,标准坦克设计!$B$14:$K$20,9)/30))</f>
        <v>7.1517728136554197</v>
      </c>
      <c r="BS206" s="172">
        <f ca="1">(VLOOKUP(BS$72,INDIRECT($C$5&amp;"生成成长"),2))/((VLOOKUP($B206,INDIRECT($B$5&amp;"生成成长"),4))/(VLOOKUP(BS$72,INDIRECT($C$5&amp;"生成成长"),5))*(VLOOKUP($B$5,标准坦克设计!$B$24:$U$30,MATCH("对"&amp;LEFT($C$5,2)&amp;"输出",标准坦克设计!$B$23:$U$23,0)))*(VLOOKUP($B206,INDIRECT($B$5&amp;"生成成长"),3))*(VLOOKUP($B$5,标准坦克设计!$B$14:$K$20,9)/30))</f>
        <v>7.7680305433300116</v>
      </c>
      <c r="BT206" s="172">
        <f ca="1">(VLOOKUP(BT$72,INDIRECT($C$5&amp;"生成成长"),2))/((VLOOKUP($B206,INDIRECT($B$5&amp;"生成成长"),4))/(VLOOKUP(BT$72,INDIRECT($C$5&amp;"生成成长"),5))*(VLOOKUP($B$5,标准坦克设计!$B$24:$U$30,MATCH("对"&amp;LEFT($C$5,2)&amp;"输出",标准坦克设计!$B$23:$U$23,0)))*(VLOOKUP($B206,INDIRECT($B$5&amp;"生成成长"),3))*(VLOOKUP($B$5,标准坦克设计!$B$14:$K$20,9)/30))</f>
        <v>8.4097534684457074</v>
      </c>
      <c r="BU206" s="172">
        <f ca="1">(VLOOKUP(BU$72,INDIRECT($C$5&amp;"生成成长"),2))/((VLOOKUP($B206,INDIRECT($B$5&amp;"生成成长"),4))/(VLOOKUP(BU$72,INDIRECT($C$5&amp;"生成成长"),5))*(VLOOKUP($B$5,标准坦克设计!$B$24:$U$30,MATCH("对"&amp;LEFT($C$5,2)&amp;"输出",标准坦克设计!$B$23:$U$23,0)))*(VLOOKUP($B206,INDIRECT($B$5&amp;"生成成长"),3))*(VLOOKUP($B$5,标准坦克设计!$B$14:$K$20,9)/30))</f>
        <v>9.0769415890024963</v>
      </c>
      <c r="BV206" s="172">
        <f ca="1">(VLOOKUP(BV$72,INDIRECT($C$5&amp;"生成成长"),2))/((VLOOKUP($B206,INDIRECT($B$5&amp;"生成成长"),4))/(VLOOKUP(BV$72,INDIRECT($C$5&amp;"生成成长"),5))*(VLOOKUP($B$5,标准坦克设计!$B$24:$U$30,MATCH("对"&amp;LEFT($C$5,2)&amp;"输出",标准坦克设计!$B$23:$U$23,0)))*(VLOOKUP($B206,INDIRECT($B$5&amp;"生成成长"),3))*(VLOOKUP($B$5,标准坦克设计!$B$14:$K$20,9)/30))</f>
        <v>9.7695949050003872</v>
      </c>
      <c r="BW206" s="172">
        <f ca="1">(VLOOKUP(BW$72,INDIRECT($C$5&amp;"生成成长"),2))/((VLOOKUP($B206,INDIRECT($B$5&amp;"生成成长"),4))/(VLOOKUP(BW$72,INDIRECT($C$5&amp;"生成成长"),5))*(VLOOKUP($B$5,标准坦克设计!$B$24:$U$30,MATCH("对"&amp;LEFT($C$5,2)&amp;"输出",标准坦克设计!$B$23:$U$23,0)))*(VLOOKUP($B206,INDIRECT($B$5&amp;"生成成长"),3))*(VLOOKUP($B$5,标准坦克设计!$B$14:$K$20,9)/30))</f>
        <v>4.4524620968989375</v>
      </c>
      <c r="BX206" s="172">
        <f ca="1">(VLOOKUP(BX$72,INDIRECT($C$5&amp;"生成成长"),2))/((VLOOKUP($B206,INDIRECT($B$5&amp;"生成成长"),4))/(VLOOKUP(BX$72,INDIRECT($C$5&amp;"生成成长"),5))*(VLOOKUP($B$5,标准坦克设计!$B$24:$U$30,MATCH("对"&amp;LEFT($C$5,2)&amp;"输出",标准坦克设计!$B$23:$U$23,0)))*(VLOOKUP($B206,INDIRECT($B$5&amp;"生成成长"),3))*(VLOOKUP($B$5,标准坦克设计!$B$14:$K$20,9)/30))</f>
        <v>4.9413938493680352</v>
      </c>
      <c r="BY206" s="172">
        <f ca="1">(VLOOKUP(BY$72,INDIRECT($C$5&amp;"生成成长"),2))/((VLOOKUP($B206,INDIRECT($B$5&amp;"生成成长"),4))/(VLOOKUP(BY$72,INDIRECT($C$5&amp;"生成成长"),5))*(VLOOKUP($B$5,标准坦克设计!$B$24:$U$30,MATCH("对"&amp;LEFT($C$5,2)&amp;"输出",标准坦克设计!$B$23:$U$23,0)))*(VLOOKUP($B206,INDIRECT($B$5&amp;"生成成长"),3))*(VLOOKUP($B$5,标准坦克设计!$B$14:$K$20,9)/30))</f>
        <v>5.4557907972782331</v>
      </c>
      <c r="BZ206" s="172">
        <f ca="1">(VLOOKUP(BZ$72,INDIRECT($C$5&amp;"生成成长"),2))/((VLOOKUP($B206,INDIRECT($B$5&amp;"生成成长"),4))/(VLOOKUP(BZ$72,INDIRECT($C$5&amp;"生成成长"),5))*(VLOOKUP($B$5,标准坦克设计!$B$24:$U$30,MATCH("对"&amp;LEFT($C$5,2)&amp;"输出",标准坦克设计!$B$23:$U$23,0)))*(VLOOKUP($B206,INDIRECT($B$5&amp;"生成成长"),3))*(VLOOKUP($B$5,标准坦克设计!$B$14:$K$20,9)/30))</f>
        <v>5.9956529406295305</v>
      </c>
      <c r="CA206" s="172">
        <f ca="1">(VLOOKUP(CA$72,INDIRECT($C$5&amp;"生成成长"),2))/((VLOOKUP($B206,INDIRECT($B$5&amp;"生成成长"),4))/(VLOOKUP(CA$72,INDIRECT($C$5&amp;"生成成长"),5))*(VLOOKUP($B$5,标准坦克设计!$B$24:$U$30,MATCH("对"&amp;LEFT($C$5,2)&amp;"输出",标准坦克设计!$B$23:$U$23,0)))*(VLOOKUP($B206,INDIRECT($B$5&amp;"生成成长"),3))*(VLOOKUP($B$5,标准坦克设计!$B$14:$K$20,9)/30))</f>
        <v>6.5609802794219254</v>
      </c>
      <c r="CB206" s="172">
        <f ca="1">(VLOOKUP(CB$72,INDIRECT($C$5&amp;"生成成长"),2))/((VLOOKUP($B206,INDIRECT($B$5&amp;"生成成长"),4))/(VLOOKUP(CB$72,INDIRECT($C$5&amp;"生成成长"),5))*(VLOOKUP($B$5,标准坦克设计!$B$24:$U$30,MATCH("对"&amp;LEFT($C$5,2)&amp;"输出",标准坦克设计!$B$23:$U$23,0)))*(VLOOKUP($B206,INDIRECT($B$5&amp;"生成成长"),3))*(VLOOKUP($B$5,标准坦克设计!$B$14:$K$20,9)/30))</f>
        <v>7.1517728136554197</v>
      </c>
      <c r="CC206" s="172">
        <f ca="1">(VLOOKUP(CC$72,INDIRECT($C$5&amp;"生成成长"),2))/((VLOOKUP($B206,INDIRECT($B$5&amp;"生成成长"),4))/(VLOOKUP(CC$72,INDIRECT($C$5&amp;"生成成长"),5))*(VLOOKUP($B$5,标准坦克设计!$B$24:$U$30,MATCH("对"&amp;LEFT($C$5,2)&amp;"输出",标准坦克设计!$B$23:$U$23,0)))*(VLOOKUP($B206,INDIRECT($B$5&amp;"生成成长"),3))*(VLOOKUP($B$5,标准坦克设计!$B$14:$K$20,9)/30))</f>
        <v>7.7680305433300116</v>
      </c>
      <c r="CD206" s="172">
        <f ca="1">(VLOOKUP(CD$72,INDIRECT($C$5&amp;"生成成长"),2))/((VLOOKUP($B206,INDIRECT($B$5&amp;"生成成长"),4))/(VLOOKUP(CD$72,INDIRECT($C$5&amp;"生成成长"),5))*(VLOOKUP($B$5,标准坦克设计!$B$24:$U$30,MATCH("对"&amp;LEFT($C$5,2)&amp;"输出",标准坦克设计!$B$23:$U$23,0)))*(VLOOKUP($B206,INDIRECT($B$5&amp;"生成成长"),3))*(VLOOKUP($B$5,标准坦克设计!$B$14:$K$20,9)/30))</f>
        <v>8.4097534684457074</v>
      </c>
      <c r="CE206" s="172">
        <f ca="1">(VLOOKUP(CE$72,INDIRECT($C$5&amp;"生成成长"),2))/((VLOOKUP($B206,INDIRECT($B$5&amp;"生成成长"),4))/(VLOOKUP(CE$72,INDIRECT($C$5&amp;"生成成长"),5))*(VLOOKUP($B$5,标准坦克设计!$B$24:$U$30,MATCH("对"&amp;LEFT($C$5,2)&amp;"输出",标准坦克设计!$B$23:$U$23,0)))*(VLOOKUP($B206,INDIRECT($B$5&amp;"生成成长"),3))*(VLOOKUP($B$5,标准坦克设计!$B$14:$K$20,9)/30))</f>
        <v>9.0769415890024963</v>
      </c>
      <c r="CF206" s="172">
        <f ca="1">(VLOOKUP(CF$72,INDIRECT($C$5&amp;"生成成长"),2))/((VLOOKUP($B206,INDIRECT($B$5&amp;"生成成长"),4))/(VLOOKUP(CF$72,INDIRECT($C$5&amp;"生成成长"),5))*(VLOOKUP($B$5,标准坦克设计!$B$24:$U$30,MATCH("对"&amp;LEFT($C$5,2)&amp;"输出",标准坦克设计!$B$23:$U$23,0)))*(VLOOKUP($B206,INDIRECT($B$5&amp;"生成成长"),3))*(VLOOKUP($B$5,标准坦克设计!$B$14:$K$20,9)/30))</f>
        <v>9.7695949050003872</v>
      </c>
      <c r="CG206" s="172">
        <f ca="1">(VLOOKUP(CG$72,INDIRECT($C$5&amp;"生成成长"),2))/((VLOOKUP($B206,INDIRECT($B$5&amp;"生成成长"),4))/(VLOOKUP(CG$72,INDIRECT($C$5&amp;"生成成长"),5))*(VLOOKUP($B$5,标准坦克设计!$B$24:$U$30,MATCH("对"&amp;LEFT($C$5,2)&amp;"输出",标准坦克设计!$B$23:$U$23,0)))*(VLOOKUP($B206,INDIRECT($B$5&amp;"生成成长"),3))*(VLOOKUP($B$5,标准坦克设计!$B$14:$K$20,9)/30))</f>
        <v>10.487713416439377</v>
      </c>
      <c r="CH206" s="172">
        <f ca="1">(VLOOKUP(CH$72,INDIRECT($C$5&amp;"生成成长"),2))/((VLOOKUP($B206,INDIRECT($B$5&amp;"生成成长"),4))/(VLOOKUP(CH$72,INDIRECT($C$5&amp;"生成成长"),5))*(VLOOKUP($B$5,标准坦克设计!$B$24:$U$30,MATCH("对"&amp;LEFT($C$5,2)&amp;"输出",标准坦克设计!$B$23:$U$23,0)))*(VLOOKUP($B206,INDIRECT($B$5&amp;"生成成长"),3))*(VLOOKUP($B$5,标准坦克设计!$B$14:$K$20,9)/30))</f>
        <v>11.231297123319463</v>
      </c>
      <c r="CI206" s="172">
        <f ca="1">(VLOOKUP(CI$72,INDIRECT($C$5&amp;"生成成长"),2))/((VLOOKUP($B206,INDIRECT($B$5&amp;"生成成长"),4))/(VLOOKUP(CI$72,INDIRECT($C$5&amp;"生成成长"),5))*(VLOOKUP($B$5,标准坦克设计!$B$24:$U$30,MATCH("对"&amp;LEFT($C$5,2)&amp;"输出",标准坦克设计!$B$23:$U$23,0)))*(VLOOKUP($B206,INDIRECT($B$5&amp;"生成成长"),3))*(VLOOKUP($B$5,标准坦克设计!$B$14:$K$20,9)/30))</f>
        <v>12.07865150162203</v>
      </c>
      <c r="CJ206" s="172">
        <f ca="1">(VLOOKUP(CJ$72,INDIRECT($C$5&amp;"生成成长"),2))/((VLOOKUP($B206,INDIRECT($B$5&amp;"生成成长"),4))/(VLOOKUP(CJ$72,INDIRECT($C$5&amp;"生成成长"),5))*(VLOOKUP($B$5,标准坦克设计!$B$24:$U$30,MATCH("对"&amp;LEFT($C$5,2)&amp;"输出",标准坦克设计!$B$23:$U$23,0)))*(VLOOKUP($B206,INDIRECT($B$5&amp;"生成成长"),3))*(VLOOKUP($B$5,标准坦克设计!$B$14:$K$20,9)/30))</f>
        <v>12.956818766408324</v>
      </c>
      <c r="CK206" s="172">
        <f ca="1">(VLOOKUP(CK$72,INDIRECT($C$5&amp;"生成成长"),2))/((VLOOKUP($B206,INDIRECT($B$5&amp;"生成成长"),4))/(VLOOKUP(CK$72,INDIRECT($C$5&amp;"生成成长"),5))*(VLOOKUP($B$5,标准坦克设计!$B$24:$U$30,MATCH("对"&amp;LEFT($C$5,2)&amp;"输出",标准坦克设计!$B$23:$U$23,0)))*(VLOOKUP($B206,INDIRECT($B$5&amp;"生成成长"),3))*(VLOOKUP($B$5,标准坦克设计!$B$14:$K$20,9)/30))</f>
        <v>13.865798917678353</v>
      </c>
      <c r="CL206" s="172">
        <f ca="1">(VLOOKUP(CL$72,INDIRECT($C$5&amp;"生成成长"),2))/((VLOOKUP($B206,INDIRECT($B$5&amp;"生成成长"),4))/(VLOOKUP(CL$72,INDIRECT($C$5&amp;"生成成长"),5))*(VLOOKUP($B$5,标准坦克设计!$B$24:$U$30,MATCH("对"&amp;LEFT($C$5,2)&amp;"输出",标准坦克设计!$B$23:$U$23,0)))*(VLOOKUP($B206,INDIRECT($B$5&amp;"生成成长"),3))*(VLOOKUP($B$5,标准坦克设计!$B$14:$K$20,9)/30))</f>
        <v>14.805591955432105</v>
      </c>
      <c r="CM206" s="172">
        <f ca="1">(VLOOKUP(CM$72,INDIRECT($C$5&amp;"生成成长"),2))/((VLOOKUP($B206,INDIRECT($B$5&amp;"生成成长"),4))/(VLOOKUP(CM$72,INDIRECT($C$5&amp;"生成成长"),5))*(VLOOKUP($B$5,标准坦克设计!$B$24:$U$30,MATCH("对"&amp;LEFT($C$5,2)&amp;"输出",标准坦克设计!$B$23:$U$23,0)))*(VLOOKUP($B206,INDIRECT($B$5&amp;"生成成长"),3))*(VLOOKUP($B$5,标准坦克设计!$B$14:$K$20,9)/30))</f>
        <v>15.77619787966959</v>
      </c>
      <c r="CN206" s="172">
        <f ca="1">(VLOOKUP(CN$72,INDIRECT($C$5&amp;"生成成长"),2))/((VLOOKUP($B206,INDIRECT($B$5&amp;"生成成长"),4))/(VLOOKUP(CN$72,INDIRECT($C$5&amp;"生成成长"),5))*(VLOOKUP($B$5,标准坦克设计!$B$24:$U$30,MATCH("对"&amp;LEFT($C$5,2)&amp;"输出",标准坦克设计!$B$23:$U$23,0)))*(VLOOKUP($B206,INDIRECT($B$5&amp;"生成成长"),3))*(VLOOKUP($B$5,标准坦克设计!$B$14:$K$20,9)/30))</f>
        <v>16.777616690390801</v>
      </c>
      <c r="CO206" s="172">
        <f ca="1">(VLOOKUP(CO$72,INDIRECT($C$5&amp;"生成成长"),2))/((VLOOKUP($B206,INDIRECT($B$5&amp;"生成成长"),4))/(VLOOKUP(CO$72,INDIRECT($C$5&amp;"生成成长"),5))*(VLOOKUP($B$5,标准坦克设计!$B$24:$U$30,MATCH("对"&amp;LEFT($C$5,2)&amp;"输出",标准坦克设计!$B$23:$U$23,0)))*(VLOOKUP($B206,INDIRECT($B$5&amp;"生成成长"),3))*(VLOOKUP($B$5,标准坦克设计!$B$14:$K$20,9)/30))</f>
        <v>7.5184716280072434</v>
      </c>
      <c r="CP206" s="172">
        <f ca="1">(VLOOKUP(CP$72,INDIRECT($C$5&amp;"生成成长"),2))/((VLOOKUP($B206,INDIRECT($B$5&amp;"生成成长"),4))/(VLOOKUP(CP$72,INDIRECT($C$5&amp;"生成成长"),5))*(VLOOKUP($B$5,标准坦克设计!$B$24:$U$30,MATCH("对"&amp;LEFT($C$5,2)&amp;"输出",标准坦克设计!$B$23:$U$23,0)))*(VLOOKUP($B206,INDIRECT($B$5&amp;"生成成长"),3))*(VLOOKUP($B$5,标准坦克设计!$B$14:$K$20,9)/30))</f>
        <v>8.2145627453896832</v>
      </c>
      <c r="CQ206" s="172">
        <f ca="1">(VLOOKUP(CQ$72,INDIRECT($C$5&amp;"生成成长"),2))/((VLOOKUP($B206,INDIRECT($B$5&amp;"生成成长"),4))/(VLOOKUP(CQ$72,INDIRECT($C$5&amp;"生成成长"),5))*(VLOOKUP($B$5,标准坦克设计!$B$24:$U$30,MATCH("对"&amp;LEFT($C$5,2)&amp;"输出",标准坦克设计!$B$23:$U$23,0)))*(VLOOKUP($B206,INDIRECT($B$5&amp;"生成成长"),3))*(VLOOKUP($B$5,标准坦克设计!$B$14:$K$20,9)/30))</f>
        <v>8.9414667492558522</v>
      </c>
      <c r="CR206" s="172">
        <f ca="1">(VLOOKUP(CR$72,INDIRECT($C$5&amp;"生成成长"),2))/((VLOOKUP($B206,INDIRECT($B$5&amp;"生成成长"),4))/(VLOOKUP(CR$72,INDIRECT($C$5&amp;"生成成长"),5))*(VLOOKUP($B$5,标准坦克设计!$B$24:$U$30,MATCH("对"&amp;LEFT($C$5,2)&amp;"输出",标准坦克设计!$B$23:$U$23,0)))*(VLOOKUP($B206,INDIRECT($B$5&amp;"生成成长"),3))*(VLOOKUP($B$5,标准坦克设计!$B$14:$K$20,9)/30))</f>
        <v>9.6991836396057476</v>
      </c>
      <c r="CS206" s="172">
        <f ca="1">(VLOOKUP(CS$72,INDIRECT($C$5&amp;"生成成长"),2))/((VLOOKUP($B206,INDIRECT($B$5&amp;"生成成长"),4))/(VLOOKUP(CS$72,INDIRECT($C$5&amp;"生成成长"),5))*(VLOOKUP($B$5,标准坦克设计!$B$24:$U$30,MATCH("对"&amp;LEFT($C$5,2)&amp;"输出",标准坦克设计!$B$23:$U$23,0)))*(VLOOKUP($B206,INDIRECT($B$5&amp;"生成成长"),3))*(VLOOKUP($B$5,标准坦克设计!$B$14:$K$20,9)/30))</f>
        <v>10.487713416439377</v>
      </c>
      <c r="CT206" s="172">
        <f ca="1">(VLOOKUP(CT$72,INDIRECT($C$5&amp;"生成成长"),2))/((VLOOKUP($B206,INDIRECT($B$5&amp;"生成成长"),4))/(VLOOKUP(CT$72,INDIRECT($C$5&amp;"生成成长"),5))*(VLOOKUP($B$5,标准坦克设计!$B$24:$U$30,MATCH("对"&amp;LEFT($C$5,2)&amp;"输出",标准坦克设计!$B$23:$U$23,0)))*(VLOOKUP($B206,INDIRECT($B$5&amp;"生成成长"),3))*(VLOOKUP($B$5,标准坦克设计!$B$14:$K$20,9)/30))</f>
        <v>11.307056079756734</v>
      </c>
      <c r="CU206" s="172">
        <f ca="1">(VLOOKUP(CU$72,INDIRECT($C$5&amp;"生成成长"),2))/((VLOOKUP($B206,INDIRECT($B$5&amp;"生成成长"),4))/(VLOOKUP(CU$72,INDIRECT($C$5&amp;"生成成长"),5))*(VLOOKUP($B$5,标准坦克设计!$B$24:$U$30,MATCH("对"&amp;LEFT($C$5,2)&amp;"输出",标准坦克设计!$B$23:$U$23,0)))*(VLOOKUP($B206,INDIRECT($B$5&amp;"生成成长"),3))*(VLOOKUP($B$5,标准坦克设计!$B$14:$K$20,9)/30))</f>
        <v>12.157211629557819</v>
      </c>
      <c r="CV206" s="172">
        <f ca="1">(VLOOKUP(CV$72,INDIRECT($C$5&amp;"生成成长"),2))/((VLOOKUP($B206,INDIRECT($B$5&amp;"生成成长"),4))/(VLOOKUP(CV$72,INDIRECT($C$5&amp;"生成成长"),5))*(VLOOKUP($B$5,标准坦克设计!$B$24:$U$30,MATCH("对"&amp;LEFT($C$5,2)&amp;"输出",标准坦克设计!$B$23:$U$23,0)))*(VLOOKUP($B206,INDIRECT($B$5&amp;"生成成长"),3))*(VLOOKUP($B$5,标准坦克设计!$B$14:$K$20,9)/30))</f>
        <v>13.038180065842637</v>
      </c>
      <c r="CW206" s="172">
        <f ca="1">(VLOOKUP(CW$72,INDIRECT($C$5&amp;"生成成长"),2))/((VLOOKUP($B206,INDIRECT($B$5&amp;"生成成长"),4))/(VLOOKUP(CW$72,INDIRECT($C$5&amp;"生成成长"),5))*(VLOOKUP($B$5,标准坦克设计!$B$24:$U$30,MATCH("对"&amp;LEFT($C$5,2)&amp;"输出",标准坦克设计!$B$23:$U$23,0)))*(VLOOKUP($B206,INDIRECT($B$5&amp;"生成成长"),3))*(VLOOKUP($B$5,标准坦克设计!$B$14:$K$20,9)/30))</f>
        <v>13.949961388611182</v>
      </c>
      <c r="CX206" s="172">
        <f ca="1">(VLOOKUP(CX$72,INDIRECT($C$5&amp;"生成成长"),2))/((VLOOKUP($B206,INDIRECT($B$5&amp;"生成成长"),4))/(VLOOKUP(CX$72,INDIRECT($C$5&amp;"生成成长"),5))*(VLOOKUP($B$5,标准坦克设计!$B$24:$U$30,MATCH("对"&amp;LEFT($C$5,2)&amp;"输出",标准坦克设计!$B$23:$U$23,0)))*(VLOOKUP($B206,INDIRECT($B$5&amp;"生成成长"),3))*(VLOOKUP($B$5,标准坦克设计!$B$14:$K$20,9)/30))</f>
        <v>14.892555597863456</v>
      </c>
      <c r="CY206" s="172">
        <f ca="1">(VLOOKUP(CY$72,INDIRECT($C$5&amp;"生成成长"),2))/((VLOOKUP($B206,INDIRECT($B$5&amp;"生成成长"),4))/(VLOOKUP(CY$72,INDIRECT($C$5&amp;"生成成长"),5))*(VLOOKUP($B$5,标准坦克设计!$B$24:$U$30,MATCH("对"&amp;LEFT($C$5,2)&amp;"输出",标准坦克设计!$B$23:$U$23,0)))*(VLOOKUP($B206,INDIRECT($B$5&amp;"生成成长"),3))*(VLOOKUP($B$5,标准坦克设计!$B$14:$K$20,9)/30))</f>
        <v>15.865962693599464</v>
      </c>
      <c r="CZ206" s="172">
        <f ca="1">(VLOOKUP(CZ$72,INDIRECT($C$5&amp;"生成成长"),2))/((VLOOKUP($B206,INDIRECT($B$5&amp;"生成成长"),4))/(VLOOKUP(CZ$72,INDIRECT($C$5&amp;"生成成长"),5))*(VLOOKUP($B$5,标准坦克设计!$B$24:$U$30,MATCH("对"&amp;LEFT($C$5,2)&amp;"输出",标准坦克设计!$B$23:$U$23,0)))*(VLOOKUP($B206,INDIRECT($B$5&amp;"生成成长"),3))*(VLOOKUP($B$5,标准坦克设计!$B$14:$K$20,9)/30))</f>
        <v>16.870182675819201</v>
      </c>
      <c r="DA206" s="172">
        <f ca="1">(VLOOKUP(DA$72,INDIRECT($C$5&amp;"生成成长"),2))/((VLOOKUP($B206,INDIRECT($B$5&amp;"生成成长"),4))/(VLOOKUP(DA$72,INDIRECT($C$5&amp;"生成成长"),5))*(VLOOKUP($B$5,标准坦克设计!$B$24:$U$30,MATCH("对"&amp;LEFT($C$5,2)&amp;"输出",标准坦克设计!$B$23:$U$23,0)))*(VLOOKUP($B206,INDIRECT($B$5&amp;"生成成长"),3))*(VLOOKUP($B$5,标准坦克设计!$B$14:$K$20,9)/30))</f>
        <v>17.905215544522662</v>
      </c>
      <c r="DB206" s="172">
        <f ca="1">(VLOOKUP(DB$72,INDIRECT($C$5&amp;"生成成长"),2))/((VLOOKUP($B206,INDIRECT($B$5&amp;"生成成长"),4))/(VLOOKUP(DB$72,INDIRECT($C$5&amp;"生成成长"),5))*(VLOOKUP($B$5,标准坦克设计!$B$24:$U$30,MATCH("对"&amp;LEFT($C$5,2)&amp;"输出",标准坦克设计!$B$23:$U$23,0)))*(VLOOKUP($B206,INDIRECT($B$5&amp;"生成成长"),3))*(VLOOKUP($B$5,标准坦克设计!$B$14:$K$20,9)/30))</f>
        <v>18.971061299709856</v>
      </c>
      <c r="DC206" s="172">
        <f ca="1">(VLOOKUP(DC$72,INDIRECT($C$5&amp;"生成成长"),2))/((VLOOKUP($B206,INDIRECT($B$5&amp;"生成成长"),4))/(VLOOKUP(DC$72,INDIRECT($C$5&amp;"生成成长"),5))*(VLOOKUP($B$5,标准坦克设计!$B$24:$U$30,MATCH("对"&amp;LEFT($C$5,2)&amp;"输出",标准坦克设计!$B$23:$U$23,0)))*(VLOOKUP($B206,INDIRECT($B$5&amp;"生成成长"),3))*(VLOOKUP($B$5,标准坦克设计!$B$14:$K$20,9)/30))</f>
        <v>20.168944093259149</v>
      </c>
      <c r="DD206" s="172">
        <f ca="1">(VLOOKUP(DD$72,INDIRECT($C$5&amp;"生成成长"),2))/((VLOOKUP($B206,INDIRECT($B$5&amp;"生成成长"),4))/(VLOOKUP(DD$72,INDIRECT($C$5&amp;"生成成长"),5))*(VLOOKUP($B$5,标准坦克设计!$B$24:$U$30,MATCH("对"&amp;LEFT($C$5,2)&amp;"输出",标准坦克设计!$B$23:$U$23,0)))*(VLOOKUP($B206,INDIRECT($B$5&amp;"生成成长"),3))*(VLOOKUP($B$5,标准坦克设计!$B$14:$K$20,9)/30))</f>
        <v>21.403496768243624</v>
      </c>
      <c r="DE206" s="172">
        <f ca="1">(VLOOKUP(DE$72,INDIRECT($C$5&amp;"生成成长"),2))/((VLOOKUP($B206,INDIRECT($B$5&amp;"生成成长"),4))/(VLOOKUP(DE$72,INDIRECT($C$5&amp;"生成成长"),5))*(VLOOKUP($B$5,标准坦克设计!$B$24:$U$30,MATCH("对"&amp;LEFT($C$5,2)&amp;"输出",标准坦克设计!$B$23:$U$23,0)))*(VLOOKUP($B206,INDIRECT($B$5&amp;"生成成长"),3))*(VLOOKUP($B$5,标准坦克设计!$B$14:$K$20,9)/30))</f>
        <v>22.674719324663279</v>
      </c>
      <c r="DF206" s="172">
        <f ca="1">(VLOOKUP(DF$72,INDIRECT($C$5&amp;"生成成长"),2))/((VLOOKUP($B206,INDIRECT($B$5&amp;"生成成长"),4))/(VLOOKUP(DF$72,INDIRECT($C$5&amp;"生成成长"),5))*(VLOOKUP($B$5,标准坦克设计!$B$24:$U$30,MATCH("对"&amp;LEFT($C$5,2)&amp;"输出",标准坦克设计!$B$23:$U$23,0)))*(VLOOKUP($B206,INDIRECT($B$5&amp;"生成成长"),3))*(VLOOKUP($B$5,标准坦克设计!$B$14:$K$20,9)/30))</f>
        <v>23.982611762518122</v>
      </c>
      <c r="DG206" s="172">
        <f ca="1">(VLOOKUP(DG$72,INDIRECT($C$5&amp;"生成成长"),2))/((VLOOKUP($B206,INDIRECT($B$5&amp;"生成成长"),4))/(VLOOKUP(DG$72,INDIRECT($C$5&amp;"生成成长"),5))*(VLOOKUP($B$5,标准坦克设计!$B$24:$U$30,MATCH("对"&amp;LEFT($C$5,2)&amp;"输出",标准坦克设计!$B$23:$U$23,0)))*(VLOOKUP($B206,INDIRECT($B$5&amp;"生成成长"),3))*(VLOOKUP($B$5,标准坦克设计!$B$14:$K$20,9)/30))</f>
        <v>25.327174081808138</v>
      </c>
      <c r="DH206" s="172">
        <f ca="1">(VLOOKUP(DH$72,INDIRECT($C$5&amp;"生成成长"),2))/((VLOOKUP($B206,INDIRECT($B$5&amp;"生成成长"),4))/(VLOOKUP(DH$72,INDIRECT($C$5&amp;"生成成长"),5))*(VLOOKUP($B$5,标准坦克设计!$B$24:$U$30,MATCH("对"&amp;LEFT($C$5,2)&amp;"输出",标准坦克设计!$B$23:$U$23,0)))*(VLOOKUP($B206,INDIRECT($B$5&amp;"生成成长"),3))*(VLOOKUP($B$5,标准坦克设计!$B$14:$K$20,9)/30))</f>
        <v>26.708406282533346</v>
      </c>
      <c r="DI206" s="172">
        <f ca="1">(VLOOKUP(DI$72,INDIRECT($C$5&amp;"生成成长"),2))/((VLOOKUP($B206,INDIRECT($B$5&amp;"生成成长"),4))/(VLOOKUP(DI$72,INDIRECT($C$5&amp;"生成成长"),5))*(VLOOKUP($B$5,标准坦克设计!$B$24:$U$30,MATCH("对"&amp;LEFT($C$5,2)&amp;"输出",标准坦克设计!$B$23:$U$23,0)))*(VLOOKUP($B206,INDIRECT($B$5&amp;"生成成长"),3))*(VLOOKUP($B$5,标准坦克设计!$B$14:$K$20,9)/30))</f>
        <v>28.126308364693735</v>
      </c>
      <c r="DJ206" s="172">
        <f ca="1">(VLOOKUP(DJ$72,INDIRECT($C$5&amp;"生成成长"),2))/((VLOOKUP($B206,INDIRECT($B$5&amp;"生成成长"),4))/(VLOOKUP(DJ$72,INDIRECT($C$5&amp;"生成成长"),5))*(VLOOKUP($B$5,标准坦克设计!$B$24:$U$30,MATCH("对"&amp;LEFT($C$5,2)&amp;"输出",标准坦克设计!$B$23:$U$23,0)))*(VLOOKUP($B206,INDIRECT($B$5&amp;"生成成长"),3))*(VLOOKUP($B$5,标准坦克设计!$B$14:$K$20,9)/30))</f>
        <v>2.8267640199391835</v>
      </c>
      <c r="DK206" s="172">
        <f ca="1">(VLOOKUP(DK$72,INDIRECT($C$5&amp;"生成成长"),2))/((VLOOKUP($B206,INDIRECT($B$5&amp;"生成成长"),4))/(VLOOKUP(DK$72,INDIRECT($C$5&amp;"生成成长"),5))*(VLOOKUP($B$5,标准坦克设计!$B$24:$U$30,MATCH("对"&amp;LEFT($C$5,2)&amp;"输出",标准坦克设计!$B$23:$U$23,0)))*(VLOOKUP($B206,INDIRECT($B$5&amp;"生成成长"),3))*(VLOOKUP($B$5,标准坦克设计!$B$14:$K$20,9)/30))</f>
        <v>3.1785656949579653</v>
      </c>
      <c r="DL206" s="172">
        <f ca="1">(VLOOKUP(DL$72,INDIRECT($C$5&amp;"生成成长"),2))/((VLOOKUP($B206,INDIRECT($B$5&amp;"生成成长"),4))/(VLOOKUP(DL$72,INDIRECT($C$5&amp;"生成成长"),5))*(VLOOKUP($B$5,标准坦克设计!$B$24:$U$30,MATCH("对"&amp;LEFT($C$5,2)&amp;"输出",标准坦克设计!$B$23:$U$23,0)))*(VLOOKUP($B206,INDIRECT($B$5&amp;"生成成长"),3))*(VLOOKUP($B$5,标准坦克设计!$B$14:$K$20,9)/30))</f>
        <v>3.5509941782840362</v>
      </c>
      <c r="DM206" s="172">
        <f ca="1">(VLOOKUP(DM$72,INDIRECT($C$5&amp;"生成成长"),2))/((VLOOKUP($B206,INDIRECT($B$5&amp;"生成成长"),4))/(VLOOKUP(DM$72,INDIRECT($C$5&amp;"生成成长"),5))*(VLOOKUP($B$5,标准坦克设计!$B$24:$U$30,MATCH("对"&amp;LEFT($C$5,2)&amp;"输出",标准坦克设计!$B$23:$U$23,0)))*(VLOOKUP($B206,INDIRECT($B$5&amp;"生成成长"),3))*(VLOOKUP($B$5,标准坦克设计!$B$14:$K$20,9)/30))</f>
        <v>3.9440494699173976</v>
      </c>
      <c r="DN206" s="172">
        <f ca="1">(VLOOKUP(DN$72,INDIRECT($C$5&amp;"生成成长"),2))/((VLOOKUP($B206,INDIRECT($B$5&amp;"生成成长"),4))/(VLOOKUP(DN$72,INDIRECT($C$5&amp;"生成成长"),5))*(VLOOKUP($B$5,标准坦克设计!$B$24:$U$30,MATCH("对"&amp;LEFT($C$5,2)&amp;"输出",标准坦克设计!$B$23:$U$23,0)))*(VLOOKUP($B206,INDIRECT($B$5&amp;"生成成长"),3))*(VLOOKUP($B$5,标准坦克设计!$B$14:$K$20,9)/30))</f>
        <v>4.3577315698580481</v>
      </c>
      <c r="DO206" s="172">
        <f ca="1">(VLOOKUP(DO$72,INDIRECT($C$5&amp;"生成成长"),2))/((VLOOKUP($B206,INDIRECT($B$5&amp;"生成成长"),4))/(VLOOKUP(DO$72,INDIRECT($C$5&amp;"生成成长"),5))*(VLOOKUP($B$5,标准坦克设计!$B$24:$U$30,MATCH("对"&amp;LEFT($C$5,2)&amp;"输出",标准坦克设计!$B$23:$U$23,0)))*(VLOOKUP($B206,INDIRECT($B$5&amp;"生成成长"),3))*(VLOOKUP($B$5,标准坦克设计!$B$14:$K$20,9)/30))</f>
        <v>4.7920404781059913</v>
      </c>
      <c r="DP206" s="172">
        <f ca="1">(VLOOKUP(DP$72,INDIRECT($C$5&amp;"生成成长"),2))/((VLOOKUP($B206,INDIRECT($B$5&amp;"生成成长"),4))/(VLOOKUP(DP$72,INDIRECT($C$5&amp;"生成成长"),5))*(VLOOKUP($B$5,标准坦克设计!$B$24:$U$30,MATCH("对"&amp;LEFT($C$5,2)&amp;"输出",标准坦克设计!$B$23:$U$23,0)))*(VLOOKUP($B206,INDIRECT($B$5&amp;"生成成长"),3))*(VLOOKUP($B$5,标准坦克设计!$B$14:$K$20,9)/30))</f>
        <v>5.2469761946612223</v>
      </c>
      <c r="DQ206" s="172">
        <f ca="1">(VLOOKUP(DQ$72,INDIRECT($C$5&amp;"生成成长"),2))/((VLOOKUP($B206,INDIRECT($B$5&amp;"生成成长"),4))/(VLOOKUP(DQ$72,INDIRECT($C$5&amp;"生成成长"),5))*(VLOOKUP($B$5,标准坦克设计!$B$24:$U$30,MATCH("对"&amp;LEFT($C$5,2)&amp;"输出",标准坦克设计!$B$23:$U$23,0)))*(VLOOKUP($B206,INDIRECT($B$5&amp;"生成成长"),3))*(VLOOKUP($B$5,标准坦克设计!$B$14:$K$20,9)/30))</f>
        <v>5.7225387195237447</v>
      </c>
      <c r="DR206" s="172">
        <f ca="1">(VLOOKUP(DR$72,INDIRECT($C$5&amp;"生成成长"),2))/((VLOOKUP($B206,INDIRECT($B$5&amp;"生成成长"),4))/(VLOOKUP(DR$72,INDIRECT($C$5&amp;"生成成长"),5))*(VLOOKUP($B$5,标准坦克设计!$B$24:$U$30,MATCH("对"&amp;LEFT($C$5,2)&amp;"输出",标准坦克设计!$B$23:$U$23,0)))*(VLOOKUP($B206,INDIRECT($B$5&amp;"生成成长"),3))*(VLOOKUP($B$5,标准坦克设计!$B$14:$K$20,9)/30))</f>
        <v>6.2187280526935567</v>
      </c>
      <c r="DS206" s="172">
        <f ca="1">(VLOOKUP(DS$72,INDIRECT($C$5&amp;"生成成长"),2))/((VLOOKUP($B206,INDIRECT($B$5&amp;"生成成长"),4))/(VLOOKUP(DS$72,INDIRECT($C$5&amp;"生成成长"),5))*(VLOOKUP($B$5,标准坦克设计!$B$24:$U$30,MATCH("对"&amp;LEFT($C$5,2)&amp;"输出",标准坦克设计!$B$23:$U$23,0)))*(VLOOKUP($B206,INDIRECT($B$5&amp;"生成成长"),3))*(VLOOKUP($B$5,标准坦克设计!$B$14:$K$20,9)/30))</f>
        <v>6.7355441941706582</v>
      </c>
      <c r="DT206" s="172">
        <f ca="1">(VLOOKUP(DT$72,INDIRECT($C$5&amp;"生成成长"),2))/((VLOOKUP($B206,INDIRECT($B$5&amp;"生成成长"),4))/(VLOOKUP(DT$72,INDIRECT($C$5&amp;"生成成长"),5))*(VLOOKUP($B$5,标准坦克设计!$B$24:$U$30,MATCH("对"&amp;LEFT($C$5,2)&amp;"输出",标准坦克设计!$B$23:$U$23,0)))*(VLOOKUP($B206,INDIRECT($B$5&amp;"生成成长"),3))*(VLOOKUP($B$5,标准坦克设计!$B$14:$K$20,9)/30))</f>
        <v>7.395220082072326</v>
      </c>
      <c r="DU206" s="172">
        <f ca="1">(VLOOKUP(DU$72,INDIRECT($C$5&amp;"生成成长"),2))/((VLOOKUP($B206,INDIRECT($B$5&amp;"生成成长"),4))/(VLOOKUP(DU$72,INDIRECT($C$5&amp;"生成成长"),5))*(VLOOKUP($B$5,标准坦克设计!$B$24:$U$30,MATCH("对"&amp;LEFT($C$5,2)&amp;"输出",标准坦克设计!$B$23:$U$23,0)))*(VLOOKUP($B206,INDIRECT($B$5&amp;"生成成长"),3))*(VLOOKUP($B$5,标准坦克设计!$B$14:$K$20,9)/30))</f>
        <v>8.0857088564577211</v>
      </c>
      <c r="DV206" s="172">
        <f ca="1">(VLOOKUP(DV$72,INDIRECT($C$5&amp;"生成成长"),2))/((VLOOKUP($B206,INDIRECT($B$5&amp;"生成成长"),4))/(VLOOKUP(DV$72,INDIRECT($C$5&amp;"生成成长"),5))*(VLOOKUP($B$5,标准坦克设计!$B$24:$U$30,MATCH("对"&amp;LEFT($C$5,2)&amp;"输出",标准坦克设计!$B$23:$U$23,0)))*(VLOOKUP($B206,INDIRECT($B$5&amp;"生成成长"),3))*(VLOOKUP($B$5,标准坦克设计!$B$14:$K$20,9)/30))</f>
        <v>8.807010517326848</v>
      </c>
      <c r="DW206" s="172">
        <f ca="1">(VLOOKUP(DW$72,INDIRECT($C$5&amp;"生成成长"),2))/((VLOOKUP($B206,INDIRECT($B$5&amp;"生成成长"),4))/(VLOOKUP(DW$72,INDIRECT($C$5&amp;"生成成长"),5))*(VLOOKUP($B$5,标准坦克设计!$B$24:$U$30,MATCH("对"&amp;LEFT($C$5,2)&amp;"输出",标准坦克设计!$B$23:$U$23,0)))*(VLOOKUP($B206,INDIRECT($B$5&amp;"生成成长"),3))*(VLOOKUP($B$5,标准坦克设计!$B$14:$K$20,9)/30))</f>
        <v>9.559125064679705</v>
      </c>
      <c r="DX206" s="172">
        <f ca="1">(VLOOKUP(DX$72,INDIRECT($C$5&amp;"生成成长"),2))/((VLOOKUP($B206,INDIRECT($B$5&amp;"生成成长"),4))/(VLOOKUP(DX$72,INDIRECT($C$5&amp;"生成成长"),5))*(VLOOKUP($B$5,标准坦克设计!$B$24:$U$30,MATCH("对"&amp;LEFT($C$5,2)&amp;"输出",标准坦克设计!$B$23:$U$23,0)))*(VLOOKUP($B206,INDIRECT($B$5&amp;"生成成长"),3))*(VLOOKUP($B$5,标准坦克设计!$B$14:$K$20,9)/30))</f>
        <v>10.34205249851629</v>
      </c>
      <c r="DY206" s="172">
        <f ca="1">(VLOOKUP(DY$72,INDIRECT($C$5&amp;"生成成长"),2))/((VLOOKUP($B206,INDIRECT($B$5&amp;"生成成长"),4))/(VLOOKUP(DY$72,INDIRECT($C$5&amp;"生成成长"),5))*(VLOOKUP($B$5,标准坦克设计!$B$24:$U$30,MATCH("对"&amp;LEFT($C$5,2)&amp;"输出",标准坦克设计!$B$23:$U$23,0)))*(VLOOKUP($B206,INDIRECT($B$5&amp;"生成成长"),3))*(VLOOKUP($B$5,标准坦克设计!$B$14:$K$20,9)/30))</f>
        <v>4.644978974433644</v>
      </c>
      <c r="DZ206" s="172">
        <f ca="1">(VLOOKUP(DZ$72,INDIRECT($C$5&amp;"生成成长"),2))/((VLOOKUP($B206,INDIRECT($B$5&amp;"生成成长"),4))/(VLOOKUP(DZ$72,INDIRECT($C$5&amp;"生成成长"),5))*(VLOOKUP($B$5,标准坦克设计!$B$24:$U$30,MATCH("对"&amp;LEFT($C$5,2)&amp;"输出",标准坦克设计!$B$23:$U$23,0)))*(VLOOKUP($B206,INDIRECT($B$5&amp;"生成成长"),3))*(VLOOKUP($B$5,标准坦克设计!$B$14:$K$20,9)/30))</f>
        <v>5.144096805079184</v>
      </c>
      <c r="EA206" s="172">
        <f ca="1">(VLOOKUP(EA$72,INDIRECT($C$5&amp;"生成成长"),2))/((VLOOKUP($B206,INDIRECT($B$5&amp;"生成成长"),4))/(VLOOKUP(EA$72,INDIRECT($C$5&amp;"生成成长"),5))*(VLOOKUP($B$5,标准坦克设计!$B$24:$U$30,MATCH("对"&amp;LEFT($C$5,2)&amp;"输出",标准坦克设计!$B$23:$U$23,0)))*(VLOOKUP($B206,INDIRECT($B$5&amp;"生成成长"),3))*(VLOOKUP($B$5,标准坦克设计!$B$14:$K$20,9)/30))</f>
        <v>5.6686798311658197</v>
      </c>
      <c r="EB206" s="172">
        <f ca="1">(VLOOKUP(EB$72,INDIRECT($C$5&amp;"生成成长"),2))/((VLOOKUP($B206,INDIRECT($B$5&amp;"生成成长"),4))/(VLOOKUP(EB$72,INDIRECT($C$5&amp;"生成成长"),5))*(VLOOKUP($B$5,标准坦克设计!$B$24:$U$30,MATCH("对"&amp;LEFT($C$5,2)&amp;"输出",标准坦克设计!$B$23:$U$23,0)))*(VLOOKUP($B206,INDIRECT($B$5&amp;"生成成长"),3))*(VLOOKUP($B$5,标准坦克设计!$B$14:$K$20,9)/30))</f>
        <v>6.2187280526935567</v>
      </c>
      <c r="EC206" s="172">
        <f ca="1">(VLOOKUP(EC$72,INDIRECT($C$5&amp;"生成成长"),2))/((VLOOKUP($B206,INDIRECT($B$5&amp;"生成成长"),4))/(VLOOKUP(EC$72,INDIRECT($C$5&amp;"生成成长"),5))*(VLOOKUP($B$5,标准坦克设计!$B$24:$U$30,MATCH("对"&amp;LEFT($C$5,2)&amp;"输出",标准坦克设计!$B$23:$U$23,0)))*(VLOOKUP($B206,INDIRECT($B$5&amp;"生成成长"),3))*(VLOOKUP($B$5,标准坦克设计!$B$14:$K$20,9)/30))</f>
        <v>6.7942414696623912</v>
      </c>
      <c r="ED206" s="172">
        <f ca="1">(VLOOKUP(ED$72,INDIRECT($C$5&amp;"生成成长"),2))/((VLOOKUP($B206,INDIRECT($B$5&amp;"生成成长"),4))/(VLOOKUP(ED$72,INDIRECT($C$5&amp;"生成成长"),5))*(VLOOKUP($B$5,标准坦克设计!$B$24:$U$30,MATCH("对"&amp;LEFT($C$5,2)&amp;"输出",标准坦克设计!$B$23:$U$23,0)))*(VLOOKUP($B206,INDIRECT($B$5&amp;"生成成长"),3))*(VLOOKUP($B$5,标准坦克设计!$B$14:$K$20,9)/30))</f>
        <v>7.395220082072326</v>
      </c>
      <c r="EE206" s="172">
        <f ca="1">(VLOOKUP(EE$72,INDIRECT($C$5&amp;"生成成长"),2))/((VLOOKUP($B206,INDIRECT($B$5&amp;"生成成长"),4))/(VLOOKUP(EE$72,INDIRECT($C$5&amp;"生成成长"),5))*(VLOOKUP($B$5,标准坦克设计!$B$24:$U$30,MATCH("对"&amp;LEFT($C$5,2)&amp;"输出",标准坦克设计!$B$23:$U$23,0)))*(VLOOKUP($B206,INDIRECT($B$5&amp;"生成成长"),3))*(VLOOKUP($B$5,标准坦克设计!$B$14:$K$20,9)/30))</f>
        <v>8.0216638899233583</v>
      </c>
      <c r="EF206" s="172">
        <f ca="1">(VLOOKUP(EF$72,INDIRECT($C$5&amp;"生成成长"),2))/((VLOOKUP($B206,INDIRECT($B$5&amp;"生成成长"),4))/(VLOOKUP(EF$72,INDIRECT($C$5&amp;"生成成长"),5))*(VLOOKUP($B$5,标准坦克设计!$B$24:$U$30,MATCH("对"&amp;LEFT($C$5,2)&amp;"输出",标准坦克设计!$B$23:$U$23,0)))*(VLOOKUP($B206,INDIRECT($B$5&amp;"生成成长"),3))*(VLOOKUP($B$5,标准坦克设计!$B$14:$K$20,9)/30))</f>
        <v>8.673572893215491</v>
      </c>
      <c r="EG206" s="172">
        <f ca="1">(VLOOKUP(EG$72,INDIRECT($C$5&amp;"生成成长"),2))/((VLOOKUP($B206,INDIRECT($B$5&amp;"生成成长"),4))/(VLOOKUP(EG$72,INDIRECT($C$5&amp;"生成成长"),5))*(VLOOKUP($B$5,标准坦克设计!$B$24:$U$30,MATCH("对"&amp;LEFT($C$5,2)&amp;"输出",标准坦克设计!$B$23:$U$23,0)))*(VLOOKUP($B206,INDIRECT($B$5&amp;"生成成长"),3))*(VLOOKUP($B$5,标准坦克设计!$B$14:$K$20,9)/30))</f>
        <v>9.3509470919487203</v>
      </c>
      <c r="EH206" s="172">
        <f ca="1">(VLOOKUP(EH$72,INDIRECT($C$5&amp;"生成成长"),2))/((VLOOKUP($B206,INDIRECT($B$5&amp;"生成成长"),4))/(VLOOKUP(EH$72,INDIRECT($C$5&amp;"生成成长"),5))*(VLOOKUP($B$5,标准坦克设计!$B$24:$U$30,MATCH("对"&amp;LEFT($C$5,2)&amp;"输出",标准坦克设计!$B$23:$U$23,0)))*(VLOOKUP($B206,INDIRECT($B$5&amp;"生成成长"),3))*(VLOOKUP($B$5,标准坦克设计!$B$14:$K$20,9)/30))</f>
        <v>10.053786486123052</v>
      </c>
      <c r="EI206" s="172">
        <f ca="1">(VLOOKUP(EI$72,INDIRECT($C$5&amp;"生成成长"),2))/((VLOOKUP($B206,INDIRECT($B$5&amp;"生成成长"),4))/(VLOOKUP(EI$72,INDIRECT($C$5&amp;"生成成长"),5))*(VLOOKUP($B$5,标准坦克设计!$B$24:$U$30,MATCH("对"&amp;LEFT($C$5,2)&amp;"输出",标准坦克设计!$B$23:$U$23,0)))*(VLOOKUP($B206,INDIRECT($B$5&amp;"生成成长"),3))*(VLOOKUP($B$5,标准坦克设计!$B$14:$K$20,9)/30))</f>
        <v>10.78209107573848</v>
      </c>
      <c r="EJ206" s="172">
        <f ca="1">(VLOOKUP(EJ$72,INDIRECT($C$5&amp;"生成成长"),2))/((VLOOKUP($B206,INDIRECT($B$5&amp;"生成成长"),4))/(VLOOKUP(EJ$72,INDIRECT($C$5&amp;"生成成长"),5))*(VLOOKUP($B$5,标准坦克设计!$B$24:$U$30,MATCH("对"&amp;LEFT($C$5,2)&amp;"输出",标准坦克设计!$B$23:$U$23,0)))*(VLOOKUP($B206,INDIRECT($B$5&amp;"生成成长"),3))*(VLOOKUP($B$5,标准坦克设计!$B$14:$K$20,9)/30))</f>
        <v>11.535860860795005</v>
      </c>
      <c r="EK206" s="172">
        <f ca="1">(VLOOKUP(EK$72,INDIRECT($C$5&amp;"生成成长"),2))/((VLOOKUP($B206,INDIRECT($B$5&amp;"生成成长"),4))/(VLOOKUP(EK$72,INDIRECT($C$5&amp;"生成成长"),5))*(VLOOKUP($B$5,标准坦克设计!$B$24:$U$30,MATCH("对"&amp;LEFT($C$5,2)&amp;"输出",标准坦克设计!$B$23:$U$23,0)))*(VLOOKUP($B206,INDIRECT($B$5&amp;"生成成长"),3))*(VLOOKUP($B$5,标准坦克设计!$B$14:$K$20,9)/30))</f>
        <v>12.473998660845092</v>
      </c>
      <c r="EL206" s="172">
        <f ca="1">(VLOOKUP(EL$72,INDIRECT($C$5&amp;"生成成长"),2))/((VLOOKUP($B206,INDIRECT($B$5&amp;"生成成长"),4))/(VLOOKUP(EL$72,INDIRECT($C$5&amp;"生成成长"),5))*(VLOOKUP($B$5,标准坦克设计!$B$24:$U$30,MATCH("对"&amp;LEFT($C$5,2)&amp;"输出",标准坦克设计!$B$23:$U$23,0)))*(VLOOKUP($B206,INDIRECT($B$5&amp;"生成成长"),3))*(VLOOKUP($B$5,标准坦克设计!$B$14:$K$20,9)/30))</f>
        <v>13.448806342330357</v>
      </c>
      <c r="EM206" s="172">
        <f ca="1">(VLOOKUP(EM$72,INDIRECT($C$5&amp;"生成成长"),2))/((VLOOKUP($B206,INDIRECT($B$5&amp;"生成成长"),4))/(VLOOKUP(EM$72,INDIRECT($C$5&amp;"生成成长"),5))*(VLOOKUP($B$5,标准坦克设计!$B$24:$U$30,MATCH("对"&amp;LEFT($C$5,2)&amp;"输出",标准坦克设计!$B$23:$U$23,0)))*(VLOOKUP($B206,INDIRECT($B$5&amp;"生成成长"),3))*(VLOOKUP($B$5,标准坦克设计!$B$14:$K$20,9)/30))</f>
        <v>14.460283905250806</v>
      </c>
      <c r="EN206" s="172">
        <f ca="1">(VLOOKUP(EN$72,INDIRECT($C$5&amp;"生成成长"),2))/((VLOOKUP($B206,INDIRECT($B$5&amp;"生成成长"),4))/(VLOOKUP(EN$72,INDIRECT($C$5&amp;"生成成长"),5))*(VLOOKUP($B$5,标准坦克设计!$B$24:$U$30,MATCH("对"&amp;LEFT($C$5,2)&amp;"输出",标准坦克设计!$B$23:$U$23,0)))*(VLOOKUP($B206,INDIRECT($B$5&amp;"生成成长"),3))*(VLOOKUP($B$5,标准坦克设计!$B$14:$K$20,9)/30))</f>
        <v>15.508431349606436</v>
      </c>
      <c r="EO206" s="172">
        <f ca="1">(VLOOKUP(EO$72,INDIRECT($C$5&amp;"生成成长"),2))/((VLOOKUP($B206,INDIRECT($B$5&amp;"生成成长"),4))/(VLOOKUP(EO$72,INDIRECT($C$5&amp;"生成成长"),5))*(VLOOKUP($B$5,标准坦克设计!$B$24:$U$30,MATCH("对"&amp;LEFT($C$5,2)&amp;"输出",标准坦克设计!$B$23:$U$23,0)))*(VLOOKUP($B206,INDIRECT($B$5&amp;"生成成长"),3))*(VLOOKUP($B$5,标准坦克设计!$B$14:$K$20,9)/30))</f>
        <v>16.593248675397252</v>
      </c>
      <c r="EP206" s="172">
        <f ca="1">(VLOOKUP(EP$72,INDIRECT($C$5&amp;"生成成长"),2))/((VLOOKUP($B206,INDIRECT($B$5&amp;"生成成长"),4))/(VLOOKUP(EP$72,INDIRECT($C$5&amp;"生成成长"),5))*(VLOOKUP($B$5,标准坦克设计!$B$24:$U$30,MATCH("对"&amp;LEFT($C$5,2)&amp;"输出",标准坦克设计!$B$23:$U$23,0)))*(VLOOKUP($B206,INDIRECT($B$5&amp;"生成成长"),3))*(VLOOKUP($B$5,标准坦克设计!$B$14:$K$20,9)/30))</f>
        <v>17.714735882623245</v>
      </c>
      <c r="EQ206" s="172">
        <f ca="1">(VLOOKUP(EQ$72,INDIRECT($C$5&amp;"生成成长"),2))/((VLOOKUP($B206,INDIRECT($B$5&amp;"生成成长"),4))/(VLOOKUP(EQ$72,INDIRECT($C$5&amp;"生成成长"),5))*(VLOOKUP($B$5,标准坦克设计!$B$24:$U$30,MATCH("对"&amp;LEFT($C$5,2)&amp;"输出",标准坦克设计!$B$23:$U$23,0)))*(VLOOKUP($B206,INDIRECT($B$5&amp;"生成成长"),3))*(VLOOKUP($B$5,标准坦克设计!$B$14:$K$20,9)/30))</f>
        <v>7.8310569020467318</v>
      </c>
      <c r="ER206" s="172">
        <f ca="1">(VLOOKUP(ER$72,INDIRECT($C$5&amp;"生成成长"),2))/((VLOOKUP($B206,INDIRECT($B$5&amp;"生成成长"),4))/(VLOOKUP(ER$72,INDIRECT($C$5&amp;"生成成长"),5))*(VLOOKUP($B$5,标准坦克设计!$B$24:$U$30,MATCH("对"&amp;LEFT($C$5,2)&amp;"输出",标准坦克设计!$B$23:$U$23,0)))*(VLOOKUP($B206,INDIRECT($B$5&amp;"生成成长"),3))*(VLOOKUP($B$5,标准坦克设计!$B$14:$K$20,9)/30))</f>
        <v>8.5411538769217756</v>
      </c>
      <c r="ES206" s="172">
        <f ca="1">(VLOOKUP(ES$72,INDIRECT($C$5&amp;"生成成长"),2))/((VLOOKUP($B206,INDIRECT($B$5&amp;"生成成长"),4))/(VLOOKUP(ES$72,INDIRECT($C$5&amp;"生成成长"),5))*(VLOOKUP($B$5,标准坦克设计!$B$24:$U$30,MATCH("对"&amp;LEFT($C$5,2)&amp;"输出",标准坦克设计!$B$23:$U$23,0)))*(VLOOKUP($B206,INDIRECT($B$5&amp;"生成成长"),3))*(VLOOKUP($B$5,标准坦克设计!$B$14:$K$20,9)/30))</f>
        <v>9.2820637382805469</v>
      </c>
      <c r="ET206" s="172">
        <f ca="1">(VLOOKUP(ET$72,INDIRECT($C$5&amp;"生成成长"),2))/((VLOOKUP($B206,INDIRECT($B$5&amp;"生成成长"),4))/(VLOOKUP(ET$72,INDIRECT($C$5&amp;"生成成长"),5))*(VLOOKUP($B$5,标准坦克设计!$B$24:$U$30,MATCH("对"&amp;LEFT($C$5,2)&amp;"输出",标准坦克设计!$B$23:$U$23,0)))*(VLOOKUP($B206,INDIRECT($B$5&amp;"生成成长"),3))*(VLOOKUP($B$5,标准坦克设计!$B$14:$K$20,9)/30))</f>
        <v>10.053786486123052</v>
      </c>
      <c r="EU206" s="172">
        <f ca="1">(VLOOKUP(EU$72,INDIRECT($C$5&amp;"生成成长"),2))/((VLOOKUP($B206,INDIRECT($B$5&amp;"生成成长"),4))/(VLOOKUP(EU$72,INDIRECT($C$5&amp;"生成成长"),5))*(VLOOKUP($B$5,标准坦克设计!$B$24:$U$30,MATCH("对"&amp;LEFT($C$5,2)&amp;"输出",标准坦克设计!$B$23:$U$23,0)))*(VLOOKUP($B206,INDIRECT($B$5&amp;"生成成长"),3))*(VLOOKUP($B$5,标准坦克设计!$B$14:$K$20,9)/30))</f>
        <v>10.856322120449281</v>
      </c>
      <c r="EV206" s="172">
        <f ca="1">(VLOOKUP(EV$72,INDIRECT($C$5&amp;"生成成长"),2))/((VLOOKUP($B206,INDIRECT($B$5&amp;"生成成长"),4))/(VLOOKUP(EV$72,INDIRECT($C$5&amp;"生成成长"),5))*(VLOOKUP($B$5,标准坦克设计!$B$24:$U$30,MATCH("对"&amp;LEFT($C$5,2)&amp;"输出",标准坦克设计!$B$23:$U$23,0)))*(VLOOKUP($B206,INDIRECT($B$5&amp;"生成成长"),3))*(VLOOKUP($B$5,标准坦克设计!$B$14:$K$20,9)/30))</f>
        <v>11.689670641259243</v>
      </c>
      <c r="EW206" s="172">
        <f ca="1">(VLOOKUP(EW$72,INDIRECT($C$5&amp;"生成成长"),2))/((VLOOKUP($B206,INDIRECT($B$5&amp;"生成成长"),4))/(VLOOKUP(EW$72,INDIRECT($C$5&amp;"生成成长"),5))*(VLOOKUP($B$5,标准坦克设计!$B$24:$U$30,MATCH("对"&amp;LEFT($C$5,2)&amp;"输出",标准坦克设计!$B$23:$U$23,0)))*(VLOOKUP($B206,INDIRECT($B$5&amp;"生成成长"),3))*(VLOOKUP($B$5,标准坦克设计!$B$14:$K$20,9)/30))</f>
        <v>12.553832048552934</v>
      </c>
      <c r="EX206" s="172">
        <f ca="1">(VLOOKUP(EX$72,INDIRECT($C$5&amp;"生成成长"),2))/((VLOOKUP($B206,INDIRECT($B$5&amp;"生成成长"),4))/(VLOOKUP(EX$72,INDIRECT($C$5&amp;"生成成长"),5))*(VLOOKUP($B$5,标准坦克设计!$B$24:$U$30,MATCH("对"&amp;LEFT($C$5,2)&amp;"输出",标准坦克设计!$B$23:$U$23,0)))*(VLOOKUP($B206,INDIRECT($B$5&amp;"生成成长"),3))*(VLOOKUP($B$5,标准坦克设计!$B$14:$K$20,9)/30))</f>
        <v>13.448806342330357</v>
      </c>
      <c r="EY206" s="172">
        <f ca="1">(VLOOKUP(EY$72,INDIRECT($C$5&amp;"生成成长"),2))/((VLOOKUP($B206,INDIRECT($B$5&amp;"生成成长"),4))/(VLOOKUP(EY$72,INDIRECT($C$5&amp;"生成成长"),5))*(VLOOKUP($B$5,标准坦克设计!$B$24:$U$30,MATCH("对"&amp;LEFT($C$5,2)&amp;"输出",标准坦克设计!$B$23:$U$23,0)))*(VLOOKUP($B206,INDIRECT($B$5&amp;"生成成长"),3))*(VLOOKUP($B$5,标准坦克设计!$B$14:$K$20,9)/30))</f>
        <v>14.374593522591507</v>
      </c>
      <c r="EZ206" s="172">
        <f ca="1">(VLOOKUP(EZ$72,INDIRECT($C$5&amp;"生成成长"),2))/((VLOOKUP($B206,INDIRECT($B$5&amp;"生成成长"),4))/(VLOOKUP(EZ$72,INDIRECT($C$5&amp;"生成成长"),5))*(VLOOKUP($B$5,标准坦克设计!$B$24:$U$30,MATCH("对"&amp;LEFT($C$5,2)&amp;"输出",标准坦克设计!$B$23:$U$23,0)))*(VLOOKUP($B206,INDIRECT($B$5&amp;"生成成长"),3))*(VLOOKUP($B$5,标准坦克设计!$B$14:$K$20,9)/30))</f>
        <v>15.331193589336387</v>
      </c>
      <c r="FA206" s="172">
        <f ca="1">(VLOOKUP(FA$72,INDIRECT($C$5&amp;"生成成长"),2))/((VLOOKUP($B206,INDIRECT($B$5&amp;"生成成长"),4))/(VLOOKUP(FA$72,INDIRECT($C$5&amp;"生成成长"),5))*(VLOOKUP($B$5,标准坦克设计!$B$24:$U$30,MATCH("对"&amp;LEFT($C$5,2)&amp;"输出",标准坦克设计!$B$23:$U$23,0)))*(VLOOKUP($B206,INDIRECT($B$5&amp;"生成成长"),3))*(VLOOKUP($B$5,标准坦克设计!$B$14:$K$20,9)/30))</f>
        <v>16.318606542564996</v>
      </c>
      <c r="FB206" s="172">
        <f ca="1">(VLOOKUP(FB$72,INDIRECT($C$5&amp;"生成成长"),2))/((VLOOKUP($B206,INDIRECT($B$5&amp;"生成成长"),4))/(VLOOKUP(FB$72,INDIRECT($C$5&amp;"生成成长"),5))*(VLOOKUP($B$5,标准坦克设计!$B$24:$U$30,MATCH("对"&amp;LEFT($C$5,2)&amp;"输出",标准坦克设计!$B$23:$U$23,0)))*(VLOOKUP($B206,INDIRECT($B$5&amp;"生成成长"),3))*(VLOOKUP($B$5,标准坦克设计!$B$14:$K$20,9)/30))</f>
        <v>17.336832382277336</v>
      </c>
      <c r="FC206" s="172">
        <f ca="1">(VLOOKUP(FC$72,INDIRECT($C$5&amp;"生成成长"),2))/((VLOOKUP($B206,INDIRECT($B$5&amp;"生成成长"),4))/(VLOOKUP(FC$72,INDIRECT($C$5&amp;"生成成长"),5))*(VLOOKUP($B$5,标准坦克设计!$B$24:$U$30,MATCH("对"&amp;LEFT($C$5,2)&amp;"输出",标准坦克设计!$B$23:$U$23,0)))*(VLOOKUP($B206,INDIRECT($B$5&amp;"生成成长"),3))*(VLOOKUP($B$5,标准坦克设计!$B$14:$K$20,9)/30))</f>
        <v>18.385871108473403</v>
      </c>
      <c r="FD206" s="172">
        <f ca="1">(VLOOKUP(FD$72,INDIRECT($C$5&amp;"生成成长"),2))/((VLOOKUP($B206,INDIRECT($B$5&amp;"生成成长"),4))/(VLOOKUP(FD$72,INDIRECT($C$5&amp;"生成成长"),5))*(VLOOKUP($B$5,标准坦克设计!$B$24:$U$30,MATCH("对"&amp;LEFT($C$5,2)&amp;"输出",标准坦克设计!$B$23:$U$23,0)))*(VLOOKUP($B206,INDIRECT($B$5&amp;"生成成长"),3))*(VLOOKUP($B$5,标准坦克设计!$B$14:$K$20,9)/30))</f>
        <v>19.465722721153199</v>
      </c>
      <c r="FE206" s="172">
        <f ca="1">(VLOOKUP(FE$72,INDIRECT($C$5&amp;"生成成长"),2))/((VLOOKUP($B206,INDIRECT($B$5&amp;"生成成长"),4))/(VLOOKUP(FE$72,INDIRECT($C$5&amp;"生成成长"),5))*(VLOOKUP($B$5,标准坦克设计!$B$24:$U$30,MATCH("对"&amp;LEFT($C$5,2)&amp;"输出",标准坦克设计!$B$23:$U$23,0)))*(VLOOKUP($B206,INDIRECT($B$5&amp;"生成成长"),3))*(VLOOKUP($B$5,标准坦克设计!$B$14:$K$20,9)/30))</f>
        <v>20.781636695571986</v>
      </c>
      <c r="FF206" s="172">
        <f ca="1">(VLOOKUP(FF$72,INDIRECT($C$5&amp;"生成成长"),2))/((VLOOKUP($B206,INDIRECT($B$5&amp;"生成成长"),4))/(VLOOKUP(FF$72,INDIRECT($C$5&amp;"生成成长"),5))*(VLOOKUP($B$5,标准坦克设计!$B$24:$U$30,MATCH("对"&amp;LEFT($C$5,2)&amp;"输出",标准坦克设计!$B$23:$U$23,0)))*(VLOOKUP($B206,INDIRECT($B$5&amp;"生成成长"),3))*(VLOOKUP($B$5,标准坦克设计!$B$14:$K$20,9)/30))</f>
        <v>22.14058685028623</v>
      </c>
      <c r="FG206" s="172">
        <f ca="1">(VLOOKUP(FG$72,INDIRECT($C$5&amp;"生成成长"),2))/((VLOOKUP($B206,INDIRECT($B$5&amp;"生成成长"),4))/(VLOOKUP(FG$72,INDIRECT($C$5&amp;"生成成长"),5))*(VLOOKUP($B$5,标准坦克设计!$B$24:$U$30,MATCH("对"&amp;LEFT($C$5,2)&amp;"输出",标准坦克设计!$B$23:$U$23,0)))*(VLOOKUP($B206,INDIRECT($B$5&amp;"生成成长"),3))*(VLOOKUP($B$5,标准坦克设计!$B$14:$K$20,9)/30))</f>
        <v>23.542573185295936</v>
      </c>
      <c r="FH206" s="172">
        <f ca="1">(VLOOKUP(FH$72,INDIRECT($C$5&amp;"生成成长"),2))/((VLOOKUP($B206,INDIRECT($B$5&amp;"生成成长"),4))/(VLOOKUP(FH$72,INDIRECT($C$5&amp;"生成成长"),5))*(VLOOKUP($B$5,标准坦克设计!$B$24:$U$30,MATCH("对"&amp;LEFT($C$5,2)&amp;"输出",标准坦克设计!$B$23:$U$23,0)))*(VLOOKUP($B206,INDIRECT($B$5&amp;"生成成长"),3))*(VLOOKUP($B$5,标准坦克设计!$B$14:$K$20,9)/30))</f>
        <v>24.987595700601087</v>
      </c>
      <c r="FI206" s="172">
        <f ca="1">(VLOOKUP(FI$72,INDIRECT($C$5&amp;"生成成长"),2))/((VLOOKUP($B206,INDIRECT($B$5&amp;"生成成长"),4))/(VLOOKUP(FI$72,INDIRECT($C$5&amp;"生成成长"),5))*(VLOOKUP($B$5,标准坦克设计!$B$24:$U$30,MATCH("对"&amp;LEFT($C$5,2)&amp;"输出",标准坦克设计!$B$23:$U$23,0)))*(VLOOKUP($B206,INDIRECT($B$5&amp;"生成成长"),3))*(VLOOKUP($B$5,标准坦克设计!$B$14:$K$20,9)/30))</f>
        <v>26.475654396201705</v>
      </c>
      <c r="FJ206" s="172">
        <f ca="1">(VLOOKUP(FJ$72,INDIRECT($C$5&amp;"生成成长"),2))/((VLOOKUP($B206,INDIRECT($B$5&amp;"生成成长"),4))/(VLOOKUP(FJ$72,INDIRECT($C$5&amp;"生成成长"),5))*(VLOOKUP($B$5,标准坦克设计!$B$24:$U$30,MATCH("对"&amp;LEFT($C$5,2)&amp;"输出",标准坦克设计!$B$23:$U$23,0)))*(VLOOKUP($B206,INDIRECT($B$5&amp;"生成成长"),3))*(VLOOKUP($B$5,标准坦克设计!$B$14:$K$20,9)/30))</f>
        <v>28.006749272097775</v>
      </c>
      <c r="FK206" s="172">
        <f ca="1">(VLOOKUP(FK$72,INDIRECT($C$5&amp;"生成成长"),2))/((VLOOKUP($B206,INDIRECT($B$5&amp;"生成成长"),4))/(VLOOKUP(FK$72,INDIRECT($C$5&amp;"生成成长"),5))*(VLOOKUP($B$5,标准坦克设计!$B$24:$U$30,MATCH("对"&amp;LEFT($C$5,2)&amp;"输出",标准坦克设计!$B$23:$U$23,0)))*(VLOOKUP($B206,INDIRECT($B$5&amp;"生成成长"),3))*(VLOOKUP($B$5,标准坦克设计!$B$14:$K$20,9)/30))</f>
        <v>29.580880328289304</v>
      </c>
    </row>
    <row r="207" spans="1:167" x14ac:dyDescent="0.15">
      <c r="A207" s="170" t="str">
        <f t="shared" si="13"/>
        <v>T4高品质9级</v>
      </c>
      <c r="B207" s="171">
        <v>30409</v>
      </c>
      <c r="C207" s="172">
        <f ca="1">(VLOOKUP(C$72,INDIRECT($C$5&amp;"生成成长"),2))/((VLOOKUP($B207,INDIRECT($B$5&amp;"生成成长"),4))/(VLOOKUP(C$72,INDIRECT($C$5&amp;"生成成长"),5))*(VLOOKUP($B$5,标准坦克设计!$B$24:$U$30,MATCH("对"&amp;LEFT($C$5,2)&amp;"输出",标准坦克设计!$B$23:$U$23,0)))*(VLOOKUP($B207,INDIRECT($B$5&amp;"生成成长"),3))*(VLOOKUP($B$5,标准坦克设计!$B$14:$K$20,9)/30))</f>
        <v>1.1795112532825587</v>
      </c>
      <c r="D207" s="172">
        <f ca="1">(VLOOKUP(D$72,INDIRECT($C$5&amp;"生成成长"),2))/((VLOOKUP($B207,INDIRECT($B$5&amp;"生成成长"),4))/(VLOOKUP(D$72,INDIRECT($C$5&amp;"生成成长"),5))*(VLOOKUP($B$5,标准坦克设计!$B$24:$U$30,MATCH("对"&amp;LEFT($C$5,2)&amp;"输出",标准坦克设计!$B$23:$U$23,0)))*(VLOOKUP($B207,INDIRECT($B$5&amp;"生成成长"),3))*(VLOOKUP($B$5,标准坦克设计!$B$14:$K$20,9)/30))</f>
        <v>1.3252988441882827</v>
      </c>
      <c r="E207" s="172">
        <f ca="1">(VLOOKUP(E$72,INDIRECT($C$5&amp;"生成成长"),2))/((VLOOKUP($B207,INDIRECT($B$5&amp;"生成成长"),4))/(VLOOKUP(E$72,INDIRECT($C$5&amp;"生成成长"),5))*(VLOOKUP($B$5,标准坦克设计!$B$24:$U$30,MATCH("对"&amp;LEFT($C$5,2)&amp;"输出",标准坦克设计!$B$23:$U$23,0)))*(VLOOKUP($B207,INDIRECT($B$5&amp;"生成成长"),3))*(VLOOKUP($B$5,标准坦克设计!$B$14:$K$20,9)/30))</f>
        <v>1.4795789161176416</v>
      </c>
      <c r="F207" s="172">
        <f ca="1">(VLOOKUP(F$72,INDIRECT($C$5&amp;"生成成长"),2))/((VLOOKUP($B207,INDIRECT($B$5&amp;"生成成长"),4))/(VLOOKUP(F$72,INDIRECT($C$5&amp;"生成成长"),5))*(VLOOKUP($B$5,标准坦克设计!$B$24:$U$30,MATCH("对"&amp;LEFT($C$5,2)&amp;"输出",标准坦克设计!$B$23:$U$23,0)))*(VLOOKUP($B207,INDIRECT($B$5&amp;"生成成长"),3))*(VLOOKUP($B$5,标准坦克设计!$B$14:$K$20,9)/30))</f>
        <v>1.6423514690706347</v>
      </c>
      <c r="G207" s="172">
        <f ca="1">(VLOOKUP(G$72,INDIRECT($C$5&amp;"生成成长"),2))/((VLOOKUP($B207,INDIRECT($B$5&amp;"生成成长"),4))/(VLOOKUP(G$72,INDIRECT($C$5&amp;"生成成长"),5))*(VLOOKUP($B$5,标准坦克设计!$B$24:$U$30,MATCH("对"&amp;LEFT($C$5,2)&amp;"输出",标准坦克设计!$B$23:$U$23,0)))*(VLOOKUP($B207,INDIRECT($B$5&amp;"生成成长"),3))*(VLOOKUP($B$5,标准坦克设计!$B$14:$K$20,9)/30))</f>
        <v>1.8136165030472624</v>
      </c>
      <c r="H207" s="172">
        <f ca="1">(VLOOKUP(H$72,INDIRECT($C$5&amp;"生成成长"),2))/((VLOOKUP($B207,INDIRECT($B$5&amp;"生成成长"),4))/(VLOOKUP(H$72,INDIRECT($C$5&amp;"生成成长"),5))*(VLOOKUP($B$5,标准坦克设计!$B$24:$U$30,MATCH("对"&amp;LEFT($C$5,2)&amp;"输出",标准坦克设计!$B$23:$U$23,0)))*(VLOOKUP($B207,INDIRECT($B$5&amp;"生成成长"),3))*(VLOOKUP($B$5,标准坦克设计!$B$14:$K$20,9)/30))</f>
        <v>1.5871503424170108</v>
      </c>
      <c r="I207" s="172">
        <f ca="1">(VLOOKUP(I$72,INDIRECT($C$5&amp;"生成成长"),2))/((VLOOKUP($B207,INDIRECT($B$5&amp;"生成成长"),4))/(VLOOKUP(I$72,INDIRECT($C$5&amp;"生成成长"),5))*(VLOOKUP($B$5,标准坦克设计!$B$24:$U$30,MATCH("对"&amp;LEFT($C$5,2)&amp;"输出",标准坦克设计!$B$23:$U$23,0)))*(VLOOKUP($B207,INDIRECT($B$5&amp;"生成成长"),3))*(VLOOKUP($B$5,标准坦克设计!$B$14:$K$20,9)/30))</f>
        <v>1.8136165030472624</v>
      </c>
      <c r="J207" s="172">
        <f ca="1">(VLOOKUP(J$72,INDIRECT($C$5&amp;"生成成长"),2))/((VLOOKUP($B207,INDIRECT($B$5&amp;"生成成长"),4))/(VLOOKUP(J$72,INDIRECT($C$5&amp;"生成成长"),5))*(VLOOKUP($B$5,标准坦克设计!$B$24:$U$30,MATCH("对"&amp;LEFT($C$5,2)&amp;"输出",标准坦克设计!$B$23:$U$23,0)))*(VLOOKUP($B207,INDIRECT($B$5&amp;"生成成长"),3))*(VLOOKUP($B$5,标准坦克设计!$B$14:$K$20,9)/30))</f>
        <v>2.0551804077195301</v>
      </c>
      <c r="K207" s="172">
        <f ca="1">(VLOOKUP(K$72,INDIRECT($C$5&amp;"生成成长"),2))/((VLOOKUP($B207,INDIRECT($B$5&amp;"生成成长"),4))/(VLOOKUP(K$72,INDIRECT($C$5&amp;"生成成长"),5))*(VLOOKUP($B$5,标准坦克设计!$B$24:$U$30,MATCH("对"&amp;LEFT($C$5,2)&amp;"输出",标准坦克设计!$B$23:$U$23,0)))*(VLOOKUP($B207,INDIRECT($B$5&amp;"生成成长"),3))*(VLOOKUP($B$5,标准坦克设计!$B$14:$K$20,9)/30))</f>
        <v>2.3118420564338149</v>
      </c>
      <c r="L207" s="172">
        <f ca="1">(VLOOKUP(L$72,INDIRECT($C$5&amp;"生成成长"),2))/((VLOOKUP($B207,INDIRECT($B$5&amp;"生成成长"),4))/(VLOOKUP(L$72,INDIRECT($C$5&amp;"生成成长"),5))*(VLOOKUP($B$5,标准坦克设计!$B$24:$U$30,MATCH("对"&amp;LEFT($C$5,2)&amp;"输出",标准坦克设计!$B$23:$U$23,0)))*(VLOOKUP($B207,INDIRECT($B$5&amp;"生成成长"),3))*(VLOOKUP($B$5,标准坦克设计!$B$14:$K$20,9)/30))</f>
        <v>2.583601449190116</v>
      </c>
      <c r="M207" s="172">
        <f ca="1">(VLOOKUP(M$72,INDIRECT($C$5&amp;"生成成长"),2))/((VLOOKUP($B207,INDIRECT($B$5&amp;"生成成长"),4))/(VLOOKUP(M$72,INDIRECT($C$5&amp;"生成成长"),5))*(VLOOKUP($B$5,标准坦克设计!$B$24:$U$30,MATCH("对"&amp;LEFT($C$5,2)&amp;"输出",标准坦克设计!$B$23:$U$23,0)))*(VLOOKUP($B207,INDIRECT($B$5&amp;"生成成长"),3))*(VLOOKUP($B$5,标准坦克设计!$B$14:$K$20,9)/30))</f>
        <v>2.8704585859884348</v>
      </c>
      <c r="N207" s="172">
        <f ca="1">(VLOOKUP(N$72,INDIRECT($C$5&amp;"生成成长"),2))/((VLOOKUP($B207,INDIRECT($B$5&amp;"生成成长"),4))/(VLOOKUP(N$72,INDIRECT($C$5&amp;"生成成长"),5))*(VLOOKUP($B$5,标准坦克设计!$B$24:$U$30,MATCH("对"&amp;LEFT($C$5,2)&amp;"输出",标准坦克设计!$B$23:$U$23,0)))*(VLOOKUP($B207,INDIRECT($B$5&amp;"生成成长"),3))*(VLOOKUP($B$5,标准坦克设计!$B$14:$K$20,9)/30))</f>
        <v>3.17241346682877</v>
      </c>
      <c r="O207" s="172">
        <f ca="1">(VLOOKUP(O$72,INDIRECT($C$5&amp;"生成成长"),2))/((VLOOKUP($B207,INDIRECT($B$5&amp;"生成成长"),4))/(VLOOKUP(O$72,INDIRECT($C$5&amp;"生成成长"),5))*(VLOOKUP($B$5,标准坦克设计!$B$24:$U$30,MATCH("对"&amp;LEFT($C$5,2)&amp;"输出",标准坦克设计!$B$23:$U$23,0)))*(VLOOKUP($B207,INDIRECT($B$5&amp;"生成成长"),3))*(VLOOKUP($B$5,标准坦克设计!$B$14:$K$20,9)/30))</f>
        <v>2.4119825618375041</v>
      </c>
      <c r="P207" s="172">
        <f ca="1">(VLOOKUP(P$72,INDIRECT($C$5&amp;"生成成长"),2))/((VLOOKUP($B207,INDIRECT($B$5&amp;"生成成长"),4))/(VLOOKUP(P$72,INDIRECT($C$5&amp;"生成成长"),5))*(VLOOKUP($B$5,标准坦克设计!$B$24:$U$30,MATCH("对"&amp;LEFT($C$5,2)&amp;"输出",标准坦克设计!$B$23:$U$23,0)))*(VLOOKUP($B207,INDIRECT($B$5&amp;"生成成长"),3))*(VLOOKUP($B$5,标准坦克设计!$B$14:$K$20,9)/30))</f>
        <v>2.7251427995840234</v>
      </c>
      <c r="Q207" s="172">
        <f ca="1">(VLOOKUP(Q$72,INDIRECT($C$5&amp;"生成成长"),2))/((VLOOKUP($B207,INDIRECT($B$5&amp;"生成成长"),4))/(VLOOKUP(Q$72,INDIRECT($C$5&amp;"生成成长"),5))*(VLOOKUP($B$5,标准坦克设计!$B$24:$U$30,MATCH("对"&amp;LEFT($C$5,2)&amp;"输出",标准坦克设计!$B$23:$U$23,0)))*(VLOOKUP($B207,INDIRECT($B$5&amp;"生成成长"),3))*(VLOOKUP($B$5,标准坦克设计!$B$14:$K$20,9)/30))</f>
        <v>3.0574111196337204</v>
      </c>
      <c r="R207" s="172">
        <f ca="1">(VLOOKUP(R$72,INDIRECT($C$5&amp;"生成成长"),2))/((VLOOKUP($B207,INDIRECT($B$5&amp;"生成成长"),4))/(VLOOKUP(R$72,INDIRECT($C$5&amp;"生成成长"),5))*(VLOOKUP($B$5,标准坦克设计!$B$24:$U$30,MATCH("对"&amp;LEFT($C$5,2)&amp;"输出",标准坦克设计!$B$23:$U$23,0)))*(VLOOKUP($B207,INDIRECT($B$5&amp;"生成成长"),3))*(VLOOKUP($B$5,标准坦克设计!$B$14:$K$20,9)/30))</f>
        <v>3.4087875219865942</v>
      </c>
      <c r="S207" s="172">
        <f ca="1">(VLOOKUP(S$72,INDIRECT($C$5&amp;"生成成长"),2))/((VLOOKUP($B207,INDIRECT($B$5&amp;"生成成长"),4))/(VLOOKUP(S$72,INDIRECT($C$5&amp;"生成成长"),5))*(VLOOKUP($B$5,标准坦克设计!$B$24:$U$30,MATCH("对"&amp;LEFT($C$5,2)&amp;"输出",标准坦克设计!$B$23:$U$23,0)))*(VLOOKUP($B207,INDIRECT($B$5&amp;"生成成长"),3))*(VLOOKUP($B$5,标准坦克设计!$B$14:$K$20,9)/30))</f>
        <v>3.7792720066426466</v>
      </c>
      <c r="T207" s="172">
        <f ca="1">(VLOOKUP(T$72,INDIRECT($C$5&amp;"生成成长"),2))/((VLOOKUP($B207,INDIRECT($B$5&amp;"生成成长"),4))/(VLOOKUP(T$72,INDIRECT($C$5&amp;"生成成长"),5))*(VLOOKUP($B$5,标准坦克设计!$B$24:$U$30,MATCH("对"&amp;LEFT($C$5,2)&amp;"输出",标准坦克设计!$B$23:$U$23,0)))*(VLOOKUP($B207,INDIRECT($B$5&amp;"生成成长"),3))*(VLOOKUP($B$5,标准坦克设计!$B$14:$K$20,9)/30))</f>
        <v>4.1688645736018755</v>
      </c>
      <c r="U207" s="172">
        <f ca="1">(VLOOKUP(U$72,INDIRECT($C$5&amp;"生成成长"),2))/((VLOOKUP($B207,INDIRECT($B$5&amp;"生成成长"),4))/(VLOOKUP(U$72,INDIRECT($C$5&amp;"生成成长"),5))*(VLOOKUP($B$5,标准坦克设计!$B$24:$U$30,MATCH("对"&amp;LEFT($C$5,2)&amp;"输出",标准坦克设计!$B$23:$U$23,0)))*(VLOOKUP($B207,INDIRECT($B$5&amp;"生成成长"),3))*(VLOOKUP($B$5,标准坦克设计!$B$14:$K$20,9)/30))</f>
        <v>4.5775652228642816</v>
      </c>
      <c r="V207" s="172">
        <f ca="1">(VLOOKUP(V$72,INDIRECT($C$5&amp;"生成成长"),2))/((VLOOKUP($B207,INDIRECT($B$5&amp;"生成成长"),4))/(VLOOKUP(V$72,INDIRECT($C$5&amp;"生成成长"),5))*(VLOOKUP($B$5,标准坦克设计!$B$24:$U$30,MATCH("对"&amp;LEFT($C$5,2)&amp;"输出",标准坦克设计!$B$23:$U$23,0)))*(VLOOKUP($B207,INDIRECT($B$5&amp;"生成成长"),3))*(VLOOKUP($B$5,标准坦克设计!$B$14:$K$20,9)/30))</f>
        <v>5.0053739544298654</v>
      </c>
      <c r="W207" s="172">
        <f ca="1">(VLOOKUP(W$72,INDIRECT($C$5&amp;"生成成长"),2))/((VLOOKUP($B207,INDIRECT($B$5&amp;"生成成长"),4))/(VLOOKUP(W$72,INDIRECT($C$5&amp;"生成成长"),5))*(VLOOKUP($B$5,标准坦克设计!$B$24:$U$30,MATCH("对"&amp;LEFT($C$5,2)&amp;"输出",标准坦克设计!$B$23:$U$23,0)))*(VLOOKUP($B207,INDIRECT($B$5&amp;"生成成长"),3))*(VLOOKUP($B$5,标准坦克设计!$B$14:$K$20,9)/30))</f>
        <v>5.452290768298627</v>
      </c>
      <c r="X207" s="172">
        <f ca="1">(VLOOKUP(X$72,INDIRECT($C$5&amp;"生成成长"),2))/((VLOOKUP($B207,INDIRECT($B$5&amp;"生成成长"),4))/(VLOOKUP(X$72,INDIRECT($C$5&amp;"生成成长"),5))*(VLOOKUP($B$5,标准坦克设计!$B$24:$U$30,MATCH("对"&amp;LEFT($C$5,2)&amp;"输出",标准坦克设计!$B$23:$U$23,0)))*(VLOOKUP($B207,INDIRECT($B$5&amp;"生成成长"),3))*(VLOOKUP($B$5,标准坦克设计!$B$14:$K$20,9)/30))</f>
        <v>3.9500652361179602</v>
      </c>
      <c r="Y207" s="172">
        <f ca="1">(VLOOKUP(Y$72,INDIRECT($C$5&amp;"生成成长"),2))/((VLOOKUP($B207,INDIRECT($B$5&amp;"生成成长"),4))/(VLOOKUP(Y$72,INDIRECT($C$5&amp;"生成成长"),5))*(VLOOKUP($B$5,标准坦克设计!$B$24:$U$30,MATCH("对"&amp;LEFT($C$5,2)&amp;"输出",标准坦克设计!$B$23:$U$23,0)))*(VLOOKUP($B207,INDIRECT($B$5&amp;"生成成长"),3))*(VLOOKUP($B$5,标准坦克设计!$B$14:$K$20,9)/30))</f>
        <v>4.3935614673522023</v>
      </c>
      <c r="Z207" s="172">
        <f ca="1">(VLOOKUP(Z$72,INDIRECT($C$5&amp;"生成成长"),2))/((VLOOKUP($B207,INDIRECT($B$5&amp;"生成成长"),4))/(VLOOKUP(Z$72,INDIRECT($C$5&amp;"生成成长"),5))*(VLOOKUP($B$5,标准坦克设计!$B$24:$U$30,MATCH("对"&amp;LEFT($C$5,2)&amp;"输出",标准坦克设计!$B$23:$U$23,0)))*(VLOOKUP($B207,INDIRECT($B$5&amp;"生成成长"),3))*(VLOOKUP($B$5,标准坦克设计!$B$14:$K$20,9)/30))</f>
        <v>4.8606479236520954</v>
      </c>
      <c r="AA207" s="172">
        <f ca="1">(VLOOKUP(AA$72,INDIRECT($C$5&amp;"生成成长"),2))/((VLOOKUP($B207,INDIRECT($B$5&amp;"生成成长"),4))/(VLOOKUP(AA$72,INDIRECT($C$5&amp;"生成成长"),5))*(VLOOKUP($B$5,标准坦克设计!$B$24:$U$30,MATCH("对"&amp;LEFT($C$5,2)&amp;"输出",标准坦克设计!$B$23:$U$23,0)))*(VLOOKUP($B207,INDIRECT($B$5&amp;"生成成长"),3))*(VLOOKUP($B$5,标准坦克设计!$B$14:$K$20,9)/30))</f>
        <v>5.3513246050176404</v>
      </c>
      <c r="AB207" s="172">
        <f ca="1">(VLOOKUP(AB$72,INDIRECT($C$5&amp;"生成成长"),2))/((VLOOKUP($B207,INDIRECT($B$5&amp;"生成成长"),4))/(VLOOKUP(AB$72,INDIRECT($C$5&amp;"生成成长"),5))*(VLOOKUP($B$5,标准坦克设计!$B$24:$U$30,MATCH("对"&amp;LEFT($C$5,2)&amp;"输出",标准坦克设计!$B$23:$U$23,0)))*(VLOOKUP($B207,INDIRECT($B$5&amp;"生成成长"),3))*(VLOOKUP($B$5,标准坦克设计!$B$14:$K$20,9)/30))</f>
        <v>5.8655915114488364</v>
      </c>
      <c r="AC207" s="172">
        <f ca="1">(VLOOKUP(AC$72,INDIRECT($C$5&amp;"生成成长"),2))/((VLOOKUP($B207,INDIRECT($B$5&amp;"生成成长"),4))/(VLOOKUP(AC$72,INDIRECT($C$5&amp;"生成成长"),5))*(VLOOKUP($B$5,标准坦克设计!$B$24:$U$30,MATCH("对"&amp;LEFT($C$5,2)&amp;"输出",标准坦克设计!$B$23:$U$23,0)))*(VLOOKUP($B207,INDIRECT($B$5&amp;"生成成长"),3))*(VLOOKUP($B$5,标准坦克设计!$B$14:$K$20,9)/30))</f>
        <v>6.4034486429456834</v>
      </c>
      <c r="AD207" s="172">
        <f ca="1">(VLOOKUP(AD$72,INDIRECT($C$5&amp;"生成成长"),2))/((VLOOKUP($B207,INDIRECT($B$5&amp;"生成成长"),4))/(VLOOKUP(AD$72,INDIRECT($C$5&amp;"生成成长"),5))*(VLOOKUP($B$5,标准坦克设计!$B$24:$U$30,MATCH("对"&amp;LEFT($C$5,2)&amp;"输出",标准坦克设计!$B$23:$U$23,0)))*(VLOOKUP($B207,INDIRECT($B$5&amp;"生成成长"),3))*(VLOOKUP($B$5,标准坦克设计!$B$14:$K$20,9)/30))</f>
        <v>6.9648959995081814</v>
      </c>
      <c r="AE207" s="172">
        <f ca="1">(VLOOKUP(AE$72,INDIRECT($C$5&amp;"生成成长"),2))/((VLOOKUP($B207,INDIRECT($B$5&amp;"生成成长"),4))/(VLOOKUP(AE$72,INDIRECT($C$5&amp;"生成成长"),5))*(VLOOKUP($B$5,标准坦克设计!$B$24:$U$30,MATCH("对"&amp;LEFT($C$5,2)&amp;"输出",标准坦克设计!$B$23:$U$23,0)))*(VLOOKUP($B207,INDIRECT($B$5&amp;"生成成长"),3))*(VLOOKUP($B$5,标准坦克设计!$B$14:$K$20,9)/30))</f>
        <v>7.5499335811363295</v>
      </c>
      <c r="AF207" s="172">
        <f ca="1">(VLOOKUP(AF$72,INDIRECT($C$5&amp;"生成成长"),2))/((VLOOKUP($B207,INDIRECT($B$5&amp;"生成成长"),4))/(VLOOKUP(AF$72,INDIRECT($C$5&amp;"生成成长"),5))*(VLOOKUP($B$5,标准坦克设计!$B$24:$U$30,MATCH("对"&amp;LEFT($C$5,2)&amp;"输出",标准坦克设计!$B$23:$U$23,0)))*(VLOOKUP($B207,INDIRECT($B$5&amp;"生成成长"),3))*(VLOOKUP($B$5,标准坦克设计!$B$14:$K$20,9)/30))</f>
        <v>8.1585613878301295</v>
      </c>
      <c r="AG207" s="172">
        <f ca="1">(VLOOKUP(AG$72,INDIRECT($C$5&amp;"生成成长"),2))/((VLOOKUP($B207,INDIRECT($B$5&amp;"生成成长"),4))/(VLOOKUP(AG$72,INDIRECT($C$5&amp;"生成成长"),5))*(VLOOKUP($B$5,标准坦克设计!$B$24:$U$30,MATCH("对"&amp;LEFT($C$5,2)&amp;"输出",标准坦克设计!$B$23:$U$23,0)))*(VLOOKUP($B207,INDIRECT($B$5&amp;"生成成长"),3))*(VLOOKUP($B$5,标准坦克设计!$B$14:$K$20,9)/30))</f>
        <v>8.7907794195895814</v>
      </c>
      <c r="AH207" s="172">
        <f ca="1">(VLOOKUP(AH$72,INDIRECT($C$5&amp;"生成成长"),2))/((VLOOKUP($B207,INDIRECT($B$5&amp;"生成成长"),4))/(VLOOKUP(AH$72,INDIRECT($C$5&amp;"生成成长"),5))*(VLOOKUP($B$5,标准坦克设计!$B$24:$U$30,MATCH("对"&amp;LEFT($C$5,2)&amp;"输出",标准坦克设计!$B$23:$U$23,0)))*(VLOOKUP($B207,INDIRECT($B$5&amp;"生成成长"),3))*(VLOOKUP($B$5,标准坦克设计!$B$14:$K$20,9)/30))</f>
        <v>9.4465876764146852</v>
      </c>
      <c r="AI207" s="172">
        <f ca="1">(VLOOKUP(AI$72,INDIRECT($C$5&amp;"生成成长"),2))/((VLOOKUP($B207,INDIRECT($B$5&amp;"生成成长"),4))/(VLOOKUP(AI$72,INDIRECT($C$5&amp;"生成成长"),5))*(VLOOKUP($B$5,标准坦克设计!$B$24:$U$30,MATCH("对"&amp;LEFT($C$5,2)&amp;"输出",标准坦克设计!$B$23:$U$23,0)))*(VLOOKUP($B207,INDIRECT($B$5&amp;"生成成长"),3))*(VLOOKUP($B$5,标准坦克设计!$B$14:$K$20,9)/30))</f>
        <v>6.6812235430937248</v>
      </c>
      <c r="AJ207" s="172">
        <f ca="1">(VLOOKUP(AJ$72,INDIRECT($C$5&amp;"生成成长"),2))/((VLOOKUP($B207,INDIRECT($B$5&amp;"生成成长"),4))/(VLOOKUP(AJ$72,INDIRECT($C$5&amp;"生成成长"),5))*(VLOOKUP($B$5,标准坦克设计!$B$24:$U$30,MATCH("对"&amp;LEFT($C$5,2)&amp;"输出",标准坦克设计!$B$23:$U$23,0)))*(VLOOKUP($B207,INDIRECT($B$5&amp;"生成成长"),3))*(VLOOKUP($B$5,标准坦克设计!$B$14:$K$20,9)/30))</f>
        <v>7.3130877214771921</v>
      </c>
      <c r="AK207" s="172">
        <f ca="1">(VLOOKUP(AK$72,INDIRECT($C$5&amp;"生成成长"),2))/((VLOOKUP($B207,INDIRECT($B$5&amp;"生成成长"),4))/(VLOOKUP(AK$72,INDIRECT($C$5&amp;"生成成长"),5))*(VLOOKUP($B$5,标准坦克设计!$B$24:$U$30,MATCH("对"&amp;LEFT($C$5,2)&amp;"输出",标准坦克设计!$B$23:$U$23,0)))*(VLOOKUP($B207,INDIRECT($B$5&amp;"生成成长"),3))*(VLOOKUP($B$5,标准坦克设计!$B$14:$K$20,9)/30))</f>
        <v>7.9734960721900974</v>
      </c>
      <c r="AL207" s="172">
        <f ca="1">(VLOOKUP(AL$72,INDIRECT($C$5&amp;"生成成长"),2))/((VLOOKUP($B207,INDIRECT($B$5&amp;"生成成长"),4))/(VLOOKUP(AL$72,INDIRECT($C$5&amp;"生成成长"),5))*(VLOOKUP($B$5,标准坦克设计!$B$24:$U$30,MATCH("对"&amp;LEFT($C$5,2)&amp;"输出",标准坦克设计!$B$23:$U$23,0)))*(VLOOKUP($B207,INDIRECT($B$5&amp;"生成成长"),3))*(VLOOKUP($B$5,标准坦克设计!$B$14:$K$20,9)/30))</f>
        <v>8.6624485952324388</v>
      </c>
      <c r="AM207" s="172">
        <f ca="1">(VLOOKUP(AM$72,INDIRECT($C$5&amp;"生成成长"),2))/((VLOOKUP($B207,INDIRECT($B$5&amp;"生成成长"),4))/(VLOOKUP(AM$72,INDIRECT($C$5&amp;"生成成长"),5))*(VLOOKUP($B$5,标准坦克设计!$B$24:$U$30,MATCH("对"&amp;LEFT($C$5,2)&amp;"输出",标准坦克设计!$B$23:$U$23,0)))*(VLOOKUP($B207,INDIRECT($B$5&amp;"生成成长"),3))*(VLOOKUP($B$5,标准坦克设计!$B$14:$K$20,9)/30))</f>
        <v>9.3799452906042191</v>
      </c>
      <c r="AN207" s="172">
        <f ca="1">(VLOOKUP(AN$72,INDIRECT($C$5&amp;"生成成长"),2))/((VLOOKUP($B207,INDIRECT($B$5&amp;"生成成长"),4))/(VLOOKUP(AN$72,INDIRECT($C$5&amp;"生成成长"),5))*(VLOOKUP($B$5,标准坦克设计!$B$24:$U$30,MATCH("对"&amp;LEFT($C$5,2)&amp;"输出",标准坦克设计!$B$23:$U$23,0)))*(VLOOKUP($B207,INDIRECT($B$5&amp;"生成成长"),3))*(VLOOKUP($B$5,标准坦克设计!$B$14:$K$20,9)/30))</f>
        <v>10.125986158305437</v>
      </c>
      <c r="AO207" s="172">
        <f ca="1">(VLOOKUP(AO$72,INDIRECT($C$5&amp;"生成成长"),2))/((VLOOKUP($B207,INDIRECT($B$5&amp;"生成成长"),4))/(VLOOKUP(AO$72,INDIRECT($C$5&amp;"生成成长"),5))*(VLOOKUP($B$5,标准坦克设计!$B$24:$U$30,MATCH("对"&amp;LEFT($C$5,2)&amp;"输出",标准坦克设计!$B$23:$U$23,0)))*(VLOOKUP($B207,INDIRECT($B$5&amp;"生成成长"),3))*(VLOOKUP($B$5,标准坦克设计!$B$14:$K$20,9)/30))</f>
        <v>10.900571198336094</v>
      </c>
      <c r="AP207" s="172">
        <f ca="1">(VLOOKUP(AP$72,INDIRECT($C$5&amp;"生成成长"),2))/((VLOOKUP($B207,INDIRECT($B$5&amp;"生成成长"),4))/(VLOOKUP(AP$72,INDIRECT($C$5&amp;"生成成长"),5))*(VLOOKUP($B$5,标准坦克设计!$B$24:$U$30,MATCH("对"&amp;LEFT($C$5,2)&amp;"输出",标准坦克设计!$B$23:$U$23,0)))*(VLOOKUP($B207,INDIRECT($B$5&amp;"生成成长"),3))*(VLOOKUP($B$5,标准坦克设计!$B$14:$K$20,9)/30))</f>
        <v>11.703700410696186</v>
      </c>
      <c r="AQ207" s="172">
        <f ca="1">(VLOOKUP(AQ$72,INDIRECT($C$5&amp;"生成成长"),2))/((VLOOKUP($B207,INDIRECT($B$5&amp;"生成成长"),4))/(VLOOKUP(AQ$72,INDIRECT($C$5&amp;"生成成长"),5))*(VLOOKUP($B$5,标准坦克设计!$B$24:$U$30,MATCH("对"&amp;LEFT($C$5,2)&amp;"输出",标准坦克设计!$B$23:$U$23,0)))*(VLOOKUP($B207,INDIRECT($B$5&amp;"生成成长"),3))*(VLOOKUP($B$5,标准坦克设计!$B$14:$K$20,9)/30))</f>
        <v>12.53537379538572</v>
      </c>
      <c r="AR207" s="172">
        <f ca="1">(VLOOKUP(AR$72,INDIRECT($C$5&amp;"生成成长"),2))/((VLOOKUP($B207,INDIRECT($B$5&amp;"生成成长"),4))/(VLOOKUP(AR$72,INDIRECT($C$5&amp;"生成成长"),5))*(VLOOKUP($B$5,标准坦克设计!$B$24:$U$30,MATCH("对"&amp;LEFT($C$5,2)&amp;"输出",标准坦克设计!$B$23:$U$23,0)))*(VLOOKUP($B207,INDIRECT($B$5&amp;"生成成长"),3))*(VLOOKUP($B$5,标准坦克设计!$B$14:$K$20,9)/30))</f>
        <v>13.39559135240469</v>
      </c>
      <c r="AS207" s="172">
        <f ca="1">(VLOOKUP(AS$72,INDIRECT($C$5&amp;"生成成长"),2))/((VLOOKUP($B207,INDIRECT($B$5&amp;"生成成长"),4))/(VLOOKUP(AS$72,INDIRECT($C$5&amp;"生成成长"),5))*(VLOOKUP($B$5,标准坦克设计!$B$24:$U$30,MATCH("对"&amp;LEFT($C$5,2)&amp;"输出",标准坦克设计!$B$23:$U$23,0)))*(VLOOKUP($B207,INDIRECT($B$5&amp;"生成成长"),3))*(VLOOKUP($B$5,标准坦克设计!$B$14:$K$20,9)/30))</f>
        <v>14.284353081753098</v>
      </c>
      <c r="AT207" s="172">
        <f ca="1">(VLOOKUP(AT$72,INDIRECT($C$5&amp;"生成成长"),2))/((VLOOKUP($B207,INDIRECT($B$5&amp;"生成成长"),4))/(VLOOKUP(AT$72,INDIRECT($C$5&amp;"生成成长"),5))*(VLOOKUP($B$5,标准坦克设计!$B$24:$U$30,MATCH("对"&amp;LEFT($C$5,2)&amp;"输出",标准坦克设计!$B$23:$U$23,0)))*(VLOOKUP($B207,INDIRECT($B$5&amp;"生成成长"),3))*(VLOOKUP($B$5,标准坦克设计!$B$14:$K$20,9)/30))</f>
        <v>15.201658983430944</v>
      </c>
      <c r="AU207" s="172">
        <f ca="1">(VLOOKUP(AU$72,INDIRECT($C$5&amp;"生成成长"),2))/((VLOOKUP($B207,INDIRECT($B$5&amp;"生成成长"),4))/(VLOOKUP(AU$72,INDIRECT($C$5&amp;"生成成长"),5))*(VLOOKUP($B$5,标准坦克设计!$B$24:$U$30,MATCH("对"&amp;LEFT($C$5,2)&amp;"输出",标准坦克设计!$B$23:$U$23,0)))*(VLOOKUP($B207,INDIRECT($B$5&amp;"生成成长"),3))*(VLOOKUP($B$5,标准坦克设计!$B$14:$K$20,9)/30))</f>
        <v>16.147509057438231</v>
      </c>
      <c r="AV207" s="172">
        <f ca="1">(VLOOKUP(AV$72,INDIRECT($C$5&amp;"生成成长"),2))/((VLOOKUP($B207,INDIRECT($B$5&amp;"生成成长"),4))/(VLOOKUP(AV$72,INDIRECT($C$5&amp;"生成成长"),5))*(VLOOKUP($B$5,标准坦克设计!$B$24:$U$30,MATCH("对"&amp;LEFT($C$5,2)&amp;"输出",标准坦克设计!$B$23:$U$23,0)))*(VLOOKUP($B207,INDIRECT($B$5&amp;"生成成长"),3))*(VLOOKUP($B$5,标准坦克设计!$B$14:$K$20,9)/30))</f>
        <v>1.6423514690706347</v>
      </c>
      <c r="AW207" s="172">
        <f ca="1">(VLOOKUP(AW$72,INDIRECT($C$5&amp;"生成成长"),2))/((VLOOKUP($B207,INDIRECT($B$5&amp;"生成成长"),4))/(VLOOKUP(AW$72,INDIRECT($C$5&amp;"生成成长"),5))*(VLOOKUP($B$5,标准坦克设计!$B$24:$U$30,MATCH("对"&amp;LEFT($C$5,2)&amp;"输出",标准坦克设计!$B$23:$U$23,0)))*(VLOOKUP($B207,INDIRECT($B$5&amp;"生成成长"),3))*(VLOOKUP($B$5,标准坦克设计!$B$14:$K$20,9)/30))</f>
        <v>1.8725920657113904</v>
      </c>
      <c r="AX207" s="172">
        <f ca="1">(VLOOKUP(AX$72,INDIRECT($C$5&amp;"生成成长"),2))/((VLOOKUP($B207,INDIRECT($B$5&amp;"生成成长"),4))/(VLOOKUP(AX$72,INDIRECT($C$5&amp;"生成成长"),5))*(VLOOKUP($B$5,标准坦克设计!$B$24:$U$30,MATCH("对"&amp;LEFT($C$5,2)&amp;"输出",标准坦克设计!$B$23:$U$23,0)))*(VLOOKUP($B207,INDIRECT($B$5&amp;"生成成长"),3))*(VLOOKUP($B$5,标准坦克设计!$B$14:$K$20,9)/30))</f>
        <v>2.1179304063941626</v>
      </c>
      <c r="AY207" s="172">
        <f ca="1">(VLOOKUP(AY$72,INDIRECT($C$5&amp;"生成成长"),2))/((VLOOKUP($B207,INDIRECT($B$5&amp;"生成成长"),4))/(VLOOKUP(AY$72,INDIRECT($C$5&amp;"生成成长"),5))*(VLOOKUP($B$5,标准坦克设计!$B$24:$U$30,MATCH("对"&amp;LEFT($C$5,2)&amp;"输出",标准坦克设计!$B$23:$U$23,0)))*(VLOOKUP($B207,INDIRECT($B$5&amp;"生成成长"),3))*(VLOOKUP($B$5,标准坦克设计!$B$14:$K$20,9)/30))</f>
        <v>2.3783664911189515</v>
      </c>
      <c r="AZ207" s="172">
        <f ca="1">(VLOOKUP(AZ$72,INDIRECT($C$5&amp;"生成成长"),2))/((VLOOKUP($B207,INDIRECT($B$5&amp;"生成成长"),4))/(VLOOKUP(AZ$72,INDIRECT($C$5&amp;"生成成长"),5))*(VLOOKUP($B$5,标准坦克设计!$B$24:$U$30,MATCH("对"&amp;LEFT($C$5,2)&amp;"输出",标准坦克设计!$B$23:$U$23,0)))*(VLOOKUP($B207,INDIRECT($B$5&amp;"生成成长"),3))*(VLOOKUP($B$5,标准坦克设计!$B$14:$K$20,9)/30))</f>
        <v>2.6539003198857571</v>
      </c>
      <c r="BA207" s="172">
        <f ca="1">(VLOOKUP(BA$72,INDIRECT($C$5&amp;"生成成长"),2))/((VLOOKUP($B207,INDIRECT($B$5&amp;"生成成长"),4))/(VLOOKUP(BA$72,INDIRECT($C$5&amp;"生成成长"),5))*(VLOOKUP($B$5,标准坦克设计!$B$24:$U$30,MATCH("对"&amp;LEFT($C$5,2)&amp;"输出",标准坦克设计!$B$23:$U$23,0)))*(VLOOKUP($B207,INDIRECT($B$5&amp;"生成成长"),3))*(VLOOKUP($B$5,标准坦克设计!$B$14:$K$20,9)/30))</f>
        <v>2.9445318926945792</v>
      </c>
      <c r="BB207" s="172">
        <f ca="1">(VLOOKUP(BB$72,INDIRECT($C$5&amp;"生成成长"),2))/((VLOOKUP($B207,INDIRECT($B$5&amp;"生成成长"),4))/(VLOOKUP(BB$72,INDIRECT($C$5&amp;"生成成长"),5))*(VLOOKUP($B$5,标准坦克设计!$B$24:$U$30,MATCH("对"&amp;LEFT($C$5,2)&amp;"输出",标准坦克设计!$B$23:$U$23,0)))*(VLOOKUP($B207,INDIRECT($B$5&amp;"生成成长"),3))*(VLOOKUP($B$5,标准坦克设计!$B$14:$K$20,9)/30))</f>
        <v>3.2502612095454184</v>
      </c>
      <c r="BC207" s="172">
        <f ca="1">(VLOOKUP(BC$72,INDIRECT($C$5&amp;"生成成长"),2))/((VLOOKUP($B207,INDIRECT($B$5&amp;"生成成长"),4))/(VLOOKUP(BC$72,INDIRECT($C$5&amp;"生成成长"),5))*(VLOOKUP($B$5,标准坦克设计!$B$24:$U$30,MATCH("对"&amp;LEFT($C$5,2)&amp;"输出",标准坦克设计!$B$23:$U$23,0)))*(VLOOKUP($B207,INDIRECT($B$5&amp;"生成成长"),3))*(VLOOKUP($B$5,标准坦克设计!$B$14:$K$20,9)/30))</f>
        <v>3.5710882704382745</v>
      </c>
      <c r="BD207" s="172">
        <f ca="1">(VLOOKUP(BD$72,INDIRECT($C$5&amp;"生成成长"),2))/((VLOOKUP($B207,INDIRECT($B$5&amp;"生成成长"),4))/(VLOOKUP(BD$72,INDIRECT($C$5&amp;"生成成长"),5))*(VLOOKUP($B$5,标准坦克设计!$B$24:$U$30,MATCH("对"&amp;LEFT($C$5,2)&amp;"输出",标准坦克设计!$B$23:$U$23,0)))*(VLOOKUP($B207,INDIRECT($B$5&amp;"生成成长"),3))*(VLOOKUP($B$5,标准坦克设计!$B$14:$K$20,9)/30))</f>
        <v>3.9500652361179602</v>
      </c>
      <c r="BE207" s="172">
        <f ca="1">(VLOOKUP(BE$72,INDIRECT($C$5&amp;"生成成长"),2))/((VLOOKUP($B207,INDIRECT($B$5&amp;"生成成长"),4))/(VLOOKUP(BE$72,INDIRECT($C$5&amp;"生成成长"),5))*(VLOOKUP($B$5,标准坦克设计!$B$24:$U$30,MATCH("对"&amp;LEFT($C$5,2)&amp;"输出",标准坦克设计!$B$23:$U$23,0)))*(VLOOKUP($B207,INDIRECT($B$5&amp;"生成成长"),3))*(VLOOKUP($B$5,标准坦克设计!$B$14:$K$20,9)/30))</f>
        <v>4.348150284100825</v>
      </c>
      <c r="BF207" s="172">
        <f ca="1">(VLOOKUP(BF$72,INDIRECT($C$5&amp;"生成成长"),2))/((VLOOKUP($B207,INDIRECT($B$5&amp;"生成成长"),4))/(VLOOKUP(BF$72,INDIRECT($C$5&amp;"生成成长"),5))*(VLOOKUP($B$5,标准坦克设计!$B$24:$U$30,MATCH("对"&amp;LEFT($C$5,2)&amp;"输出",标准坦克设计!$B$23:$U$23,0)))*(VLOOKUP($B207,INDIRECT($B$5&amp;"生成成长"),3))*(VLOOKUP($B$5,标准坦克设计!$B$14:$K$20,9)/30))</f>
        <v>4.7653434143868658</v>
      </c>
      <c r="BG207" s="172">
        <f ca="1">(VLOOKUP(BG$72,INDIRECT($C$5&amp;"生成成长"),2))/((VLOOKUP($B207,INDIRECT($B$5&amp;"生成成长"),4))/(VLOOKUP(BG$72,INDIRECT($C$5&amp;"生成成长"),5))*(VLOOKUP($B$5,标准坦克设计!$B$24:$U$30,MATCH("对"&amp;LEFT($C$5,2)&amp;"输出",标准坦克设计!$B$23:$U$23,0)))*(VLOOKUP($B207,INDIRECT($B$5&amp;"生成成长"),3))*(VLOOKUP($B$5,标准坦克设计!$B$14:$K$20,9)/30))</f>
        <v>5.2016446269760834</v>
      </c>
      <c r="BH207" s="172">
        <f ca="1">(VLOOKUP(BH$72,INDIRECT($C$5&amp;"生成成长"),2))/((VLOOKUP($B207,INDIRECT($B$5&amp;"生成成长"),4))/(VLOOKUP(BH$72,INDIRECT($C$5&amp;"生成成长"),5))*(VLOOKUP($B$5,标准坦克设计!$B$24:$U$30,MATCH("对"&amp;LEFT($C$5,2)&amp;"输出",标准坦克设计!$B$23:$U$23,0)))*(VLOOKUP($B207,INDIRECT($B$5&amp;"生成成长"),3))*(VLOOKUP($B$5,标准坦克设计!$B$14:$K$20,9)/30))</f>
        <v>2.5142461874971018</v>
      </c>
      <c r="BI207" s="172">
        <f ca="1">(VLOOKUP(BI$72,INDIRECT($C$5&amp;"生成成长"),2))/((VLOOKUP($B207,INDIRECT($B$5&amp;"生成成长"),4))/(VLOOKUP(BI$72,INDIRECT($C$5&amp;"生成成长"),5))*(VLOOKUP($B$5,标准坦克设计!$B$24:$U$30,MATCH("对"&amp;LEFT($C$5,2)&amp;"输出",标准坦克设计!$B$23:$U$23,0)))*(VLOOKUP($B207,INDIRECT($B$5&amp;"生成成长"),3))*(VLOOKUP($B$5,标准坦克设计!$B$14:$K$20,9)/30))</f>
        <v>2.8337757860113477</v>
      </c>
      <c r="BJ207" s="172">
        <f ca="1">(VLOOKUP(BJ$72,INDIRECT($C$5&amp;"生成成长"),2))/((VLOOKUP($B207,INDIRECT($B$5&amp;"生成成长"),4))/(VLOOKUP(BJ$72,INDIRECT($C$5&amp;"生成成长"),5))*(VLOOKUP($B$5,标准坦克设计!$B$24:$U$30,MATCH("对"&amp;LEFT($C$5,2)&amp;"输出",标准坦克设计!$B$23:$U$23,0)))*(VLOOKUP($B207,INDIRECT($B$5&amp;"生成成长"),3))*(VLOOKUP($B$5,标准坦克设计!$B$14:$K$20,9)/30))</f>
        <v>3.17241346682877</v>
      </c>
      <c r="BK207" s="172">
        <f ca="1">(VLOOKUP(BK$72,INDIRECT($C$5&amp;"生成成长"),2))/((VLOOKUP($B207,INDIRECT($B$5&amp;"生成成长"),4))/(VLOOKUP(BK$72,INDIRECT($C$5&amp;"生成成长"),5))*(VLOOKUP($B$5,标准坦克设计!$B$24:$U$30,MATCH("对"&amp;LEFT($C$5,2)&amp;"输出",标准坦克设计!$B$23:$U$23,0)))*(VLOOKUP($B207,INDIRECT($B$5&amp;"生成成长"),3))*(VLOOKUP($B$5,标准坦克设计!$B$14:$K$20,9)/30))</f>
        <v>3.53015922994937</v>
      </c>
      <c r="BL207" s="172">
        <f ca="1">(VLOOKUP(BL$72,INDIRECT($C$5&amp;"生成成长"),2))/((VLOOKUP($B207,INDIRECT($B$5&amp;"生成成长"),4))/(VLOOKUP(BL$72,INDIRECT($C$5&amp;"生成成长"),5))*(VLOOKUP($B$5,标准坦克设计!$B$24:$U$30,MATCH("对"&amp;LEFT($C$5,2)&amp;"输出",标准坦克设计!$B$23:$U$23,0)))*(VLOOKUP($B207,INDIRECT($B$5&amp;"生成成长"),3))*(VLOOKUP($B$5,标准坦克设计!$B$14:$K$20,9)/30))</f>
        <v>3.9070130753731469</v>
      </c>
      <c r="BM207" s="172">
        <f ca="1">(VLOOKUP(BM$72,INDIRECT($C$5&amp;"生成成长"),2))/((VLOOKUP($B207,INDIRECT($B$5&amp;"生成成长"),4))/(VLOOKUP(BM$72,INDIRECT($C$5&amp;"生成成长"),5))*(VLOOKUP($B$5,标准坦克设计!$B$24:$U$30,MATCH("对"&amp;LEFT($C$5,2)&amp;"输出",标准坦克设计!$B$23:$U$23,0)))*(VLOOKUP($B207,INDIRECT($B$5&amp;"生成成长"),3))*(VLOOKUP($B$5,标准坦克设计!$B$14:$K$20,9)/30))</f>
        <v>4.3029750031001024</v>
      </c>
      <c r="BN207" s="172">
        <f ca="1">(VLOOKUP(BN$72,INDIRECT($C$5&amp;"生成成长"),2))/((VLOOKUP($B207,INDIRECT($B$5&amp;"生成成长"),4))/(VLOOKUP(BN$72,INDIRECT($C$5&amp;"生成成长"),5))*(VLOOKUP($B$5,标准坦克设计!$B$24:$U$30,MATCH("对"&amp;LEFT($C$5,2)&amp;"输出",标准坦克设计!$B$23:$U$23,0)))*(VLOOKUP($B207,INDIRECT($B$5&amp;"生成成长"),3))*(VLOOKUP($B$5,标准坦克设计!$B$14:$K$20,9)/30))</f>
        <v>4.7180450131302347</v>
      </c>
      <c r="BO207" s="172">
        <f ca="1">(VLOOKUP(BO$72,INDIRECT($C$5&amp;"生成成长"),2))/((VLOOKUP($B207,INDIRECT($B$5&amp;"生成成长"),4))/(VLOOKUP(BO$72,INDIRECT($C$5&amp;"生成成长"),5))*(VLOOKUP($B$5,标准坦克设计!$B$24:$U$30,MATCH("对"&amp;LEFT($C$5,2)&amp;"输出",标准坦克设计!$B$23:$U$23,0)))*(VLOOKUP($B207,INDIRECT($B$5&amp;"生成成长"),3))*(VLOOKUP($B$5,标准坦克设计!$B$14:$K$20,9)/30))</f>
        <v>5.1522231054635448</v>
      </c>
      <c r="BP207" s="172">
        <f ca="1">(VLOOKUP(BP$72,INDIRECT($C$5&amp;"生成成长"),2))/((VLOOKUP($B207,INDIRECT($B$5&amp;"生成成长"),4))/(VLOOKUP(BP$72,INDIRECT($C$5&amp;"生成成长"),5))*(VLOOKUP($B$5,标准坦克设计!$B$24:$U$30,MATCH("对"&amp;LEFT($C$5,2)&amp;"输出",标准坦克设计!$B$23:$U$23,0)))*(VLOOKUP($B207,INDIRECT($B$5&amp;"生成成长"),3))*(VLOOKUP($B$5,标准坦克设计!$B$14:$K$20,9)/30))</f>
        <v>5.6055092801000317</v>
      </c>
      <c r="BQ207" s="172">
        <f ca="1">(VLOOKUP(BQ$72,INDIRECT($C$5&amp;"生成成长"),2))/((VLOOKUP($B207,INDIRECT($B$5&amp;"生成成长"),4))/(VLOOKUP(BQ$72,INDIRECT($C$5&amp;"生成成长"),5))*(VLOOKUP($B$5,标准坦克设计!$B$24:$U$30,MATCH("对"&amp;LEFT($C$5,2)&amp;"输出",标准坦克设计!$B$23:$U$23,0)))*(VLOOKUP($B207,INDIRECT($B$5&amp;"生成成长"),3))*(VLOOKUP($B$5,标准坦克设计!$B$14:$K$20,9)/30))</f>
        <v>6.0779035370396972</v>
      </c>
      <c r="BR207" s="172">
        <f ca="1">(VLOOKUP(BR$72,INDIRECT($C$5&amp;"生成成长"),2))/((VLOOKUP($B207,INDIRECT($B$5&amp;"生成成长"),4))/(VLOOKUP(BR$72,INDIRECT($C$5&amp;"生成成长"),5))*(VLOOKUP($B$5,标准坦克设计!$B$24:$U$30,MATCH("对"&amp;LEFT($C$5,2)&amp;"输出",标准坦克设计!$B$23:$U$23,0)))*(VLOOKUP($B207,INDIRECT($B$5&amp;"生成成长"),3))*(VLOOKUP($B$5,标准坦克设计!$B$14:$K$20,9)/30))</f>
        <v>6.6251967585628035</v>
      </c>
      <c r="BS207" s="172">
        <f ca="1">(VLOOKUP(BS$72,INDIRECT($C$5&amp;"生成成长"),2))/((VLOOKUP($B207,INDIRECT($B$5&amp;"生成成长"),4))/(VLOOKUP(BS$72,INDIRECT($C$5&amp;"生成成长"),5))*(VLOOKUP($B$5,标准坦克设计!$B$24:$U$30,MATCH("对"&amp;LEFT($C$5,2)&amp;"输出",标准坦克设计!$B$23:$U$23,0)))*(VLOOKUP($B207,INDIRECT($B$5&amp;"生成成长"),3))*(VLOOKUP($B$5,标准坦克设计!$B$14:$K$20,9)/30))</f>
        <v>7.1960802051515627</v>
      </c>
      <c r="BT207" s="172">
        <f ca="1">(VLOOKUP(BT$72,INDIRECT($C$5&amp;"生成成长"),2))/((VLOOKUP($B207,INDIRECT($B$5&amp;"生成成长"),4))/(VLOOKUP(BT$72,INDIRECT($C$5&amp;"生成成长"),5))*(VLOOKUP($B$5,标准坦克设计!$B$24:$U$30,MATCH("对"&amp;LEFT($C$5,2)&amp;"输出",标准坦克设计!$B$23:$U$23,0)))*(VLOOKUP($B207,INDIRECT($B$5&amp;"生成成长"),3))*(VLOOKUP($B$5,标准坦克设计!$B$14:$K$20,9)/30))</f>
        <v>7.7905538768059701</v>
      </c>
      <c r="BU207" s="172">
        <f ca="1">(VLOOKUP(BU$72,INDIRECT($C$5&amp;"生成成长"),2))/((VLOOKUP($B207,INDIRECT($B$5&amp;"生成成长"),4))/(VLOOKUP(BU$72,INDIRECT($C$5&amp;"生成成长"),5))*(VLOOKUP($B$5,标准坦克设计!$B$24:$U$30,MATCH("对"&amp;LEFT($C$5,2)&amp;"输出",标准坦克设计!$B$23:$U$23,0)))*(VLOOKUP($B207,INDIRECT($B$5&amp;"生成成长"),3))*(VLOOKUP($B$5,标准坦克设计!$B$14:$K$20,9)/30))</f>
        <v>8.4086177735260321</v>
      </c>
      <c r="BV207" s="172">
        <f ca="1">(VLOOKUP(BV$72,INDIRECT($C$5&amp;"生成成长"),2))/((VLOOKUP($B207,INDIRECT($B$5&amp;"生成成长"),4))/(VLOOKUP(BV$72,INDIRECT($C$5&amp;"生成成长"),5))*(VLOOKUP($B$5,标准坦克设计!$B$24:$U$30,MATCH("对"&amp;LEFT($C$5,2)&amp;"输出",标准坦克设计!$B$23:$U$23,0)))*(VLOOKUP($B207,INDIRECT($B$5&amp;"生成成长"),3))*(VLOOKUP($B$5,标准坦克设计!$B$14:$K$20,9)/30))</f>
        <v>9.0502718953117416</v>
      </c>
      <c r="BW207" s="172">
        <f ca="1">(VLOOKUP(BW$72,INDIRECT($C$5&amp;"生成成长"),2))/((VLOOKUP($B207,INDIRECT($B$5&amp;"生成成长"),4))/(VLOOKUP(BW$72,INDIRECT($C$5&amp;"生成成长"),5))*(VLOOKUP($B$5,标准坦克设计!$B$24:$U$30,MATCH("对"&amp;LEFT($C$5,2)&amp;"输出",标准坦克设计!$B$23:$U$23,0)))*(VLOOKUP($B207,INDIRECT($B$5&amp;"生成成长"),3))*(VLOOKUP($B$5,标准坦克设计!$B$14:$K$20,9)/30))</f>
        <v>4.1246329016037793</v>
      </c>
      <c r="BX207" s="172">
        <f ca="1">(VLOOKUP(BX$72,INDIRECT($C$5&amp;"生成成长"),2))/((VLOOKUP($B207,INDIRECT($B$5&amp;"生成成长"),4))/(VLOOKUP(BX$72,INDIRECT($C$5&amp;"生成成长"),5))*(VLOOKUP($B$5,标准坦克设计!$B$24:$U$30,MATCH("对"&amp;LEFT($C$5,2)&amp;"输出",标准坦克设计!$B$23:$U$23,0)))*(VLOOKUP($B207,INDIRECT($B$5&amp;"生成成长"),3))*(VLOOKUP($B$5,标准坦克设计!$B$14:$K$20,9)/30))</f>
        <v>4.5775652228642816</v>
      </c>
      <c r="BY207" s="172">
        <f ca="1">(VLOOKUP(BY$72,INDIRECT($C$5&amp;"生成成长"),2))/((VLOOKUP($B207,INDIRECT($B$5&amp;"生成成长"),4))/(VLOOKUP(BY$72,INDIRECT($C$5&amp;"生成成长"),5))*(VLOOKUP($B$5,标准坦克设计!$B$24:$U$30,MATCH("对"&amp;LEFT($C$5,2)&amp;"输出",标准坦克设计!$B$23:$U$23,0)))*(VLOOKUP($B207,INDIRECT($B$5&amp;"生成成长"),3))*(VLOOKUP($B$5,标准坦克设计!$B$14:$K$20,9)/30))</f>
        <v>5.0540877691904349</v>
      </c>
      <c r="BZ207" s="172">
        <f ca="1">(VLOOKUP(BZ$72,INDIRECT($C$5&amp;"生成成长"),2))/((VLOOKUP($B207,INDIRECT($B$5&amp;"生成成长"),4))/(VLOOKUP(BZ$72,INDIRECT($C$5&amp;"生成成长"),5))*(VLOOKUP($B$5,标准坦克设计!$B$24:$U$30,MATCH("对"&amp;LEFT($C$5,2)&amp;"输出",标准坦克设计!$B$23:$U$23,0)))*(VLOOKUP($B207,INDIRECT($B$5&amp;"生成成长"),3))*(VLOOKUP($B$5,标准坦克设计!$B$14:$K$20,9)/30))</f>
        <v>5.554200540582241</v>
      </c>
      <c r="CA207" s="172">
        <f ca="1">(VLOOKUP(CA$72,INDIRECT($C$5&amp;"生成成长"),2))/((VLOOKUP($B207,INDIRECT($B$5&amp;"生成成长"),4))/(VLOOKUP(CA$72,INDIRECT($C$5&amp;"生成成长"),5))*(VLOOKUP($B$5,标准坦克设计!$B$24:$U$30,MATCH("对"&amp;LEFT($C$5,2)&amp;"输出",标准坦克设计!$B$23:$U$23,0)))*(VLOOKUP($B207,INDIRECT($B$5&amp;"生成成长"),3))*(VLOOKUP($B$5,标准坦克设计!$B$14:$K$20,9)/30))</f>
        <v>6.0779035370396972</v>
      </c>
      <c r="CB207" s="172">
        <f ca="1">(VLOOKUP(CB$72,INDIRECT($C$5&amp;"生成成长"),2))/((VLOOKUP($B207,INDIRECT($B$5&amp;"生成成长"),4))/(VLOOKUP(CB$72,INDIRECT($C$5&amp;"生成成长"),5))*(VLOOKUP($B$5,标准坦克设计!$B$24:$U$30,MATCH("对"&amp;LEFT($C$5,2)&amp;"输出",标准坦克设计!$B$23:$U$23,0)))*(VLOOKUP($B207,INDIRECT($B$5&amp;"生成成长"),3))*(VLOOKUP($B$5,标准坦克设计!$B$14:$K$20,9)/30))</f>
        <v>6.6251967585628035</v>
      </c>
      <c r="CC207" s="172">
        <f ca="1">(VLOOKUP(CC$72,INDIRECT($C$5&amp;"生成成长"),2))/((VLOOKUP($B207,INDIRECT($B$5&amp;"生成成长"),4))/(VLOOKUP(CC$72,INDIRECT($C$5&amp;"生成成长"),5))*(VLOOKUP($B$5,标准坦克设计!$B$24:$U$30,MATCH("对"&amp;LEFT($C$5,2)&amp;"输出",标准坦克设计!$B$23:$U$23,0)))*(VLOOKUP($B207,INDIRECT($B$5&amp;"生成成长"),3))*(VLOOKUP($B$5,标准坦克设计!$B$14:$K$20,9)/30))</f>
        <v>7.1960802051515627</v>
      </c>
      <c r="CD207" s="172">
        <f ca="1">(VLOOKUP(CD$72,INDIRECT($C$5&amp;"生成成长"),2))/((VLOOKUP($B207,INDIRECT($B$5&amp;"生成成长"),4))/(VLOOKUP(CD$72,INDIRECT($C$5&amp;"生成成长"),5))*(VLOOKUP($B$5,标准坦克设计!$B$24:$U$30,MATCH("对"&amp;LEFT($C$5,2)&amp;"输出",标准坦克设计!$B$23:$U$23,0)))*(VLOOKUP($B207,INDIRECT($B$5&amp;"生成成长"),3))*(VLOOKUP($B$5,标准坦克设计!$B$14:$K$20,9)/30))</f>
        <v>7.7905538768059701</v>
      </c>
      <c r="CE207" s="172">
        <f ca="1">(VLOOKUP(CE$72,INDIRECT($C$5&amp;"生成成长"),2))/((VLOOKUP($B207,INDIRECT($B$5&amp;"生成成长"),4))/(VLOOKUP(CE$72,INDIRECT($C$5&amp;"生成成长"),5))*(VLOOKUP($B$5,标准坦克设计!$B$24:$U$30,MATCH("对"&amp;LEFT($C$5,2)&amp;"输出",标准坦克设计!$B$23:$U$23,0)))*(VLOOKUP($B207,INDIRECT($B$5&amp;"生成成长"),3))*(VLOOKUP($B$5,标准坦克设计!$B$14:$K$20,9)/30))</f>
        <v>8.4086177735260321</v>
      </c>
      <c r="CF207" s="172">
        <f ca="1">(VLOOKUP(CF$72,INDIRECT($C$5&amp;"生成成长"),2))/((VLOOKUP($B207,INDIRECT($B$5&amp;"生成成长"),4))/(VLOOKUP(CF$72,INDIRECT($C$5&amp;"生成成长"),5))*(VLOOKUP($B$5,标准坦克设计!$B$24:$U$30,MATCH("对"&amp;LEFT($C$5,2)&amp;"输出",标准坦克设计!$B$23:$U$23,0)))*(VLOOKUP($B207,INDIRECT($B$5&amp;"生成成长"),3))*(VLOOKUP($B$5,标准坦克设计!$B$14:$K$20,9)/30))</f>
        <v>9.0502718953117416</v>
      </c>
      <c r="CG207" s="172">
        <f ca="1">(VLOOKUP(CG$72,INDIRECT($C$5&amp;"生成成长"),2))/((VLOOKUP($B207,INDIRECT($B$5&amp;"生成成长"),4))/(VLOOKUP(CG$72,INDIRECT($C$5&amp;"生成成长"),5))*(VLOOKUP($B$5,标准坦克设计!$B$24:$U$30,MATCH("对"&amp;LEFT($C$5,2)&amp;"输出",标准坦克设计!$B$23:$U$23,0)))*(VLOOKUP($B207,INDIRECT($B$5&amp;"生成成长"),3))*(VLOOKUP($B$5,标准坦克设计!$B$14:$K$20,9)/30))</f>
        <v>9.7155162421631065</v>
      </c>
      <c r="CH207" s="172">
        <f ca="1">(VLOOKUP(CH$72,INDIRECT($C$5&amp;"生成成长"),2))/((VLOOKUP($B207,INDIRECT($B$5&amp;"生成成长"),4))/(VLOOKUP(CH$72,INDIRECT($C$5&amp;"生成成长"),5))*(VLOOKUP($B$5,标准坦克设计!$B$24:$U$30,MATCH("对"&amp;LEFT($C$5,2)&amp;"输出",标准坦克设计!$B$23:$U$23,0)))*(VLOOKUP($B207,INDIRECT($B$5&amp;"生成成长"),3))*(VLOOKUP($B$5,标准坦克设计!$B$14:$K$20,9)/30))</f>
        <v>10.404350814080123</v>
      </c>
      <c r="CI207" s="172">
        <f ca="1">(VLOOKUP(CI$72,INDIRECT($C$5&amp;"生成成长"),2))/((VLOOKUP($B207,INDIRECT($B$5&amp;"生成成长"),4))/(VLOOKUP(CI$72,INDIRECT($C$5&amp;"生成成长"),5))*(VLOOKUP($B$5,标准坦克设计!$B$24:$U$30,MATCH("对"&amp;LEFT($C$5,2)&amp;"输出",标准坦克设计!$B$23:$U$23,0)))*(VLOOKUP($B207,INDIRECT($B$5&amp;"生成成长"),3))*(VLOOKUP($B$5,标准坦克设计!$B$14:$K$20,9)/30))</f>
        <v>11.189315553139664</v>
      </c>
      <c r="CJ207" s="172">
        <f ca="1">(VLOOKUP(CJ$72,INDIRECT($C$5&amp;"生成成长"),2))/((VLOOKUP($B207,INDIRECT($B$5&amp;"生成成长"),4))/(VLOOKUP(CJ$72,INDIRECT($C$5&amp;"生成成长"),5))*(VLOOKUP($B$5,标准坦克设计!$B$24:$U$30,MATCH("对"&amp;LEFT($C$5,2)&amp;"输出",标准坦克设计!$B$23:$U$23,0)))*(VLOOKUP($B207,INDIRECT($B$5&amp;"生成成长"),3))*(VLOOKUP($B$5,标准坦克设计!$B$14:$K$20,9)/30))</f>
        <v>12.002824464528643</v>
      </c>
      <c r="CK207" s="172">
        <f ca="1">(VLOOKUP(CK$72,INDIRECT($C$5&amp;"生成成长"),2))/((VLOOKUP($B207,INDIRECT($B$5&amp;"生成成长"),4))/(VLOOKUP(CK$72,INDIRECT($C$5&amp;"生成成长"),5))*(VLOOKUP($B$5,标准坦克设计!$B$24:$U$30,MATCH("对"&amp;LEFT($C$5,2)&amp;"输出",标准坦克设计!$B$23:$U$23,0)))*(VLOOKUP($B207,INDIRECT($B$5&amp;"生成成长"),3))*(VLOOKUP($B$5,标准坦克设计!$B$14:$K$20,9)/30))</f>
        <v>12.844877548247064</v>
      </c>
      <c r="CL207" s="172">
        <f ca="1">(VLOOKUP(CL$72,INDIRECT($C$5&amp;"生成成长"),2))/((VLOOKUP($B207,INDIRECT($B$5&amp;"生成成长"),4))/(VLOOKUP(CL$72,INDIRECT($C$5&amp;"生成成长"),5))*(VLOOKUP($B$5,标准坦克设计!$B$24:$U$30,MATCH("对"&amp;LEFT($C$5,2)&amp;"输出",标准坦克设计!$B$23:$U$23,0)))*(VLOOKUP($B207,INDIRECT($B$5&amp;"生成成长"),3))*(VLOOKUP($B$5,标准坦克设计!$B$14:$K$20,9)/30))</f>
        <v>13.715474804294921</v>
      </c>
      <c r="CM207" s="172">
        <f ca="1">(VLOOKUP(CM$72,INDIRECT($C$5&amp;"生成成长"),2))/((VLOOKUP($B207,INDIRECT($B$5&amp;"生成成长"),4))/(VLOOKUP(CM$72,INDIRECT($C$5&amp;"生成成长"),5))*(VLOOKUP($B$5,标准坦克设计!$B$24:$U$30,MATCH("对"&amp;LEFT($C$5,2)&amp;"输出",标准坦克设计!$B$23:$U$23,0)))*(VLOOKUP($B207,INDIRECT($B$5&amp;"生成成长"),3))*(VLOOKUP($B$5,标准坦克设计!$B$14:$K$20,9)/30))</f>
        <v>14.614616232672214</v>
      </c>
      <c r="CN207" s="172">
        <f ca="1">(VLOOKUP(CN$72,INDIRECT($C$5&amp;"生成成长"),2))/((VLOOKUP($B207,INDIRECT($B$5&amp;"生成成长"),4))/(VLOOKUP(CN$72,INDIRECT($C$5&amp;"生成成长"),5))*(VLOOKUP($B$5,标准坦克设计!$B$24:$U$30,MATCH("对"&amp;LEFT($C$5,2)&amp;"输出",标准坦克设计!$B$23:$U$23,0)))*(VLOOKUP($B207,INDIRECT($B$5&amp;"生成成长"),3))*(VLOOKUP($B$5,标准坦克设计!$B$14:$K$20,9)/30))</f>
        <v>15.542301833378948</v>
      </c>
      <c r="CO207" s="172">
        <f ca="1">(VLOOKUP(CO$72,INDIRECT($C$5&amp;"生成成长"),2))/((VLOOKUP($B207,INDIRECT($B$5&amp;"生成成长"),4))/(VLOOKUP(CO$72,INDIRECT($C$5&amp;"生成成长"),5))*(VLOOKUP($B$5,标准坦克设计!$B$24:$U$30,MATCH("对"&amp;LEFT($C$5,2)&amp;"输出",标准坦克设计!$B$23:$U$23,0)))*(VLOOKUP($B207,INDIRECT($B$5&amp;"生成成长"),3))*(VLOOKUP($B$5,标准坦克设计!$B$14:$K$20,9)/30))</f>
        <v>6.9648959995081814</v>
      </c>
      <c r="CP207" s="172">
        <f ca="1">(VLOOKUP(CP$72,INDIRECT($C$5&amp;"生成成长"),2))/((VLOOKUP($B207,INDIRECT($B$5&amp;"生成成长"),4))/(VLOOKUP(CP$72,INDIRECT($C$5&amp;"生成成长"),5))*(VLOOKUP($B$5,标准坦克设计!$B$24:$U$30,MATCH("对"&amp;LEFT($C$5,2)&amp;"输出",标准坦克设计!$B$23:$U$23,0)))*(VLOOKUP($B207,INDIRECT($B$5&amp;"生成成长"),3))*(VLOOKUP($B$5,标准坦克设计!$B$14:$K$20,9)/30))</f>
        <v>7.6097348016777548</v>
      </c>
      <c r="CQ207" s="172">
        <f ca="1">(VLOOKUP(CQ$72,INDIRECT($C$5&amp;"生成成长"),2))/((VLOOKUP($B207,INDIRECT($B$5&amp;"生成成长"),4))/(VLOOKUP(CQ$72,INDIRECT($C$5&amp;"生成成长"),5))*(VLOOKUP($B$5,标准坦克设计!$B$24:$U$30,MATCH("对"&amp;LEFT($C$5,2)&amp;"输出",标准坦克设计!$B$23:$U$23,0)))*(VLOOKUP($B207,INDIRECT($B$5&amp;"生成成长"),3))*(VLOOKUP($B$5,标准坦克设计!$B$14:$K$20,9)/30))</f>
        <v>8.283117776176768</v>
      </c>
      <c r="CR207" s="172">
        <f ca="1">(VLOOKUP(CR$72,INDIRECT($C$5&amp;"生成成长"),2))/((VLOOKUP($B207,INDIRECT($B$5&amp;"生成成长"),4))/(VLOOKUP(CR$72,INDIRECT($C$5&amp;"生成成长"),5))*(VLOOKUP($B$5,标准坦克设计!$B$24:$U$30,MATCH("对"&amp;LEFT($C$5,2)&amp;"输出",标准坦克设计!$B$23:$U$23,0)))*(VLOOKUP($B207,INDIRECT($B$5&amp;"生成成长"),3))*(VLOOKUP($B$5,标准坦克设计!$B$14:$K$20,9)/30))</f>
        <v>8.9850449230052174</v>
      </c>
      <c r="CS207" s="172">
        <f ca="1">(VLOOKUP(CS$72,INDIRECT($C$5&amp;"生成成长"),2))/((VLOOKUP($B207,INDIRECT($B$5&amp;"生成成长"),4))/(VLOOKUP(CS$72,INDIRECT($C$5&amp;"生成成长"),5))*(VLOOKUP($B$5,标准坦克设计!$B$24:$U$30,MATCH("对"&amp;LEFT($C$5,2)&amp;"输出",标准坦克设计!$B$23:$U$23,0)))*(VLOOKUP($B207,INDIRECT($B$5&amp;"生成成长"),3))*(VLOOKUP($B$5,标准坦克设计!$B$14:$K$20,9)/30))</f>
        <v>9.7155162421631065</v>
      </c>
      <c r="CT207" s="172">
        <f ca="1">(VLOOKUP(CT$72,INDIRECT($C$5&amp;"生成成长"),2))/((VLOOKUP($B207,INDIRECT($B$5&amp;"生成成长"),4))/(VLOOKUP(CT$72,INDIRECT($C$5&amp;"生成成长"),5))*(VLOOKUP($B$5,标准坦克设计!$B$24:$U$30,MATCH("对"&amp;LEFT($C$5,2)&amp;"输出",标准坦克设计!$B$23:$U$23,0)))*(VLOOKUP($B207,INDIRECT($B$5&amp;"生成成长"),3))*(VLOOKUP($B$5,标准坦克设计!$B$14:$K$20,9)/30))</f>
        <v>10.474531733650437</v>
      </c>
      <c r="CU207" s="172">
        <f ca="1">(VLOOKUP(CU$72,INDIRECT($C$5&amp;"生成成长"),2))/((VLOOKUP($B207,INDIRECT($B$5&amp;"生成成长"),4))/(VLOOKUP(CU$72,INDIRECT($C$5&amp;"生成成长"),5))*(VLOOKUP($B$5,标准坦克设计!$B$24:$U$30,MATCH("对"&amp;LEFT($C$5,2)&amp;"输出",标准坦克设计!$B$23:$U$23,0)))*(VLOOKUP($B207,INDIRECT($B$5&amp;"生成成长"),3))*(VLOOKUP($B$5,标准坦克设计!$B$14:$K$20,9)/30))</f>
        <v>11.262091397467199</v>
      </c>
      <c r="CV207" s="172">
        <f ca="1">(VLOOKUP(CV$72,INDIRECT($C$5&amp;"生成成长"),2))/((VLOOKUP($B207,INDIRECT($B$5&amp;"生成成长"),4))/(VLOOKUP(CV$72,INDIRECT($C$5&amp;"生成成长"),5))*(VLOOKUP($B$5,标准坦克设计!$B$24:$U$30,MATCH("对"&amp;LEFT($C$5,2)&amp;"输出",标准坦克设计!$B$23:$U$23,0)))*(VLOOKUP($B207,INDIRECT($B$5&amp;"生成成长"),3))*(VLOOKUP($B$5,标准坦克设计!$B$14:$K$20,9)/30))</f>
        <v>12.078195233613398</v>
      </c>
      <c r="CW207" s="172">
        <f ca="1">(VLOOKUP(CW$72,INDIRECT($C$5&amp;"生成成长"),2))/((VLOOKUP($B207,INDIRECT($B$5&amp;"生成成长"),4))/(VLOOKUP(CW$72,INDIRECT($C$5&amp;"生成成长"),5))*(VLOOKUP($B$5,标准坦克设计!$B$24:$U$30,MATCH("对"&amp;LEFT($C$5,2)&amp;"输出",标准坦克设计!$B$23:$U$23,0)))*(VLOOKUP($B207,INDIRECT($B$5&amp;"生成成长"),3))*(VLOOKUP($B$5,标准坦克设计!$B$14:$K$20,9)/30))</f>
        <v>12.922843242089042</v>
      </c>
      <c r="CX207" s="172">
        <f ca="1">(VLOOKUP(CX$72,INDIRECT($C$5&amp;"生成成长"),2))/((VLOOKUP($B207,INDIRECT($B$5&amp;"生成成长"),4))/(VLOOKUP(CX$72,INDIRECT($C$5&amp;"生成成长"),5))*(VLOOKUP($B$5,标准坦克设计!$B$24:$U$30,MATCH("对"&amp;LEFT($C$5,2)&amp;"输出",标准坦克设计!$B$23:$U$23,0)))*(VLOOKUP($B207,INDIRECT($B$5&amp;"生成成长"),3))*(VLOOKUP($B$5,标准坦克设计!$B$14:$K$20,9)/30))</f>
        <v>13.79603542289412</v>
      </c>
      <c r="CY207" s="172">
        <f ca="1">(VLOOKUP(CY$72,INDIRECT($C$5&amp;"生成成长"),2))/((VLOOKUP($B207,INDIRECT($B$5&amp;"生成成长"),4))/(VLOOKUP(CY$72,INDIRECT($C$5&amp;"生成成长"),5))*(VLOOKUP($B$5,标准坦克设计!$B$24:$U$30,MATCH("对"&amp;LEFT($C$5,2)&amp;"输出",标准坦克设计!$B$23:$U$23,0)))*(VLOOKUP($B207,INDIRECT($B$5&amp;"生成成长"),3))*(VLOOKUP($B$5,标准坦克设计!$B$14:$K$20,9)/30))</f>
        <v>14.697771776028635</v>
      </c>
      <c r="CZ207" s="172">
        <f ca="1">(VLOOKUP(CZ$72,INDIRECT($C$5&amp;"生成成长"),2))/((VLOOKUP($B207,INDIRECT($B$5&amp;"生成成长"),4))/(VLOOKUP(CZ$72,INDIRECT($C$5&amp;"生成成长"),5))*(VLOOKUP($B$5,标准坦克设计!$B$24:$U$30,MATCH("对"&amp;LEFT($C$5,2)&amp;"输出",标准坦克设计!$B$23:$U$23,0)))*(VLOOKUP($B207,INDIRECT($B$5&amp;"生成成长"),3))*(VLOOKUP($B$5,标准坦克设计!$B$14:$K$20,9)/30))</f>
        <v>15.628052301492588</v>
      </c>
      <c r="DA207" s="172">
        <f ca="1">(VLOOKUP(DA$72,INDIRECT($C$5&amp;"生成成长"),2))/((VLOOKUP($B207,INDIRECT($B$5&amp;"生成成长"),4))/(VLOOKUP(DA$72,INDIRECT($C$5&amp;"生成成长"),5))*(VLOOKUP($B$5,标准坦克设计!$B$24:$U$30,MATCH("对"&amp;LEFT($C$5,2)&amp;"输出",标准坦克设计!$B$23:$U$23,0)))*(VLOOKUP($B207,INDIRECT($B$5&amp;"生成成长"),3))*(VLOOKUP($B$5,标准坦克设计!$B$14:$K$20,9)/30))</f>
        <v>16.58687699928598</v>
      </c>
      <c r="DB207" s="172">
        <f ca="1">(VLOOKUP(DB$72,INDIRECT($C$5&amp;"生成成长"),2))/((VLOOKUP($B207,INDIRECT($B$5&amp;"生成成长"),4))/(VLOOKUP(DB$72,INDIRECT($C$5&amp;"生成成长"),5))*(VLOOKUP($B$5,标准坦克设计!$B$24:$U$30,MATCH("对"&amp;LEFT($C$5,2)&amp;"输出",标准坦克设计!$B$23:$U$23,0)))*(VLOOKUP($B207,INDIRECT($B$5&amp;"生成成长"),3))*(VLOOKUP($B$5,标准坦克设计!$B$14:$K$20,9)/30))</f>
        <v>17.574245869408809</v>
      </c>
      <c r="DC207" s="172">
        <f ca="1">(VLOOKUP(DC$72,INDIRECT($C$5&amp;"生成成长"),2))/((VLOOKUP($B207,INDIRECT($B$5&amp;"生成成长"),4))/(VLOOKUP(DC$72,INDIRECT($C$5&amp;"生成成长"),5))*(VLOOKUP($B$5,标准坦克设计!$B$24:$U$30,MATCH("对"&amp;LEFT($C$5,2)&amp;"输出",标准坦克设计!$B$23:$U$23,0)))*(VLOOKUP($B207,INDIRECT($B$5&amp;"生成成长"),3))*(VLOOKUP($B$5,标准坦克设计!$B$14:$K$20,9)/30))</f>
        <v>18.683930056497044</v>
      </c>
      <c r="DD207" s="172">
        <f ca="1">(VLOOKUP(DD$72,INDIRECT($C$5&amp;"生成成长"),2))/((VLOOKUP($B207,INDIRECT($B$5&amp;"生成成长"),4))/(VLOOKUP(DD$72,INDIRECT($C$5&amp;"生成成长"),5))*(VLOOKUP($B$5,标准坦克设计!$B$24:$U$30,MATCH("对"&amp;LEFT($C$5,2)&amp;"输出",标准坦克设计!$B$23:$U$23,0)))*(VLOOKUP($B207,INDIRECT($B$5&amp;"生成成长"),3))*(VLOOKUP($B$5,标准坦克设计!$B$14:$K$20,9)/30))</f>
        <v>19.827584167679813</v>
      </c>
      <c r="DE207" s="172">
        <f ca="1">(VLOOKUP(DE$72,INDIRECT($C$5&amp;"生成成长"),2))/((VLOOKUP($B207,INDIRECT($B$5&amp;"生成成长"),4))/(VLOOKUP(DE$72,INDIRECT($C$5&amp;"生成成长"),5))*(VLOOKUP($B$5,标准坦克设计!$B$24:$U$30,MATCH("对"&amp;LEFT($C$5,2)&amp;"输出",标准坦克设计!$B$23:$U$23,0)))*(VLOOKUP($B207,INDIRECT($B$5&amp;"生成成长"),3))*(VLOOKUP($B$5,标准坦克设计!$B$14:$K$20,9)/30))</f>
        <v>21.005208202957117</v>
      </c>
      <c r="DF207" s="172">
        <f ca="1">(VLOOKUP(DF$72,INDIRECT($C$5&amp;"生成成长"),2))/((VLOOKUP($B207,INDIRECT($B$5&amp;"生成成长"),4))/(VLOOKUP(DF$72,INDIRECT($C$5&amp;"生成成长"),5))*(VLOOKUP($B$5,标准坦克设计!$B$24:$U$30,MATCH("对"&amp;LEFT($C$5,2)&amp;"输出",标准坦克设计!$B$23:$U$23,0)))*(VLOOKUP($B207,INDIRECT($B$5&amp;"生成成长"),3))*(VLOOKUP($B$5,标准坦克设计!$B$14:$K$20,9)/30))</f>
        <v>22.216802162328964</v>
      </c>
      <c r="DG207" s="172">
        <f ca="1">(VLOOKUP(DG$72,INDIRECT($C$5&amp;"生成成长"),2))/((VLOOKUP($B207,INDIRECT($B$5&amp;"生成成长"),4))/(VLOOKUP(DG$72,INDIRECT($C$5&amp;"生成成长"),5))*(VLOOKUP($B$5,标准坦克设计!$B$24:$U$30,MATCH("对"&amp;LEFT($C$5,2)&amp;"输出",标准坦克设计!$B$23:$U$23,0)))*(VLOOKUP($B207,INDIRECT($B$5&amp;"生成成长"),3))*(VLOOKUP($B$5,标准坦克设计!$B$14:$K$20,9)/30))</f>
        <v>23.462366045795346</v>
      </c>
      <c r="DH207" s="172">
        <f ca="1">(VLOOKUP(DH$72,INDIRECT($C$5&amp;"生成成长"),2))/((VLOOKUP($B207,INDIRECT($B$5&amp;"生成成长"),4))/(VLOOKUP(DH$72,INDIRECT($C$5&amp;"生成成长"),5))*(VLOOKUP($B$5,标准坦克设计!$B$24:$U$30,MATCH("对"&amp;LEFT($C$5,2)&amp;"输出",标准坦克设计!$B$23:$U$23,0)))*(VLOOKUP($B207,INDIRECT($B$5&amp;"生成成长"),3))*(VLOOKUP($B$5,标准坦克设计!$B$14:$K$20,9)/30))</f>
        <v>24.741899853356262</v>
      </c>
      <c r="DI207" s="172">
        <f ca="1">(VLOOKUP(DI$72,INDIRECT($C$5&amp;"生成成长"),2))/((VLOOKUP($B207,INDIRECT($B$5&amp;"生成成长"),4))/(VLOOKUP(DI$72,INDIRECT($C$5&amp;"生成成长"),5))*(VLOOKUP($B$5,标准坦克设计!$B$24:$U$30,MATCH("对"&amp;LEFT($C$5,2)&amp;"输出",标准坦克设计!$B$23:$U$23,0)))*(VLOOKUP($B207,INDIRECT($B$5&amp;"生成成长"),3))*(VLOOKUP($B$5,标准坦克设计!$B$14:$K$20,9)/30))</f>
        <v>26.055403585011721</v>
      </c>
      <c r="DJ207" s="172">
        <f ca="1">(VLOOKUP(DJ$72,INDIRECT($C$5&amp;"生成成长"),2))/((VLOOKUP($B207,INDIRECT($B$5&amp;"生成成长"),4))/(VLOOKUP(DJ$72,INDIRECT($C$5&amp;"生成成长"),5))*(VLOOKUP($B$5,标准坦克设计!$B$24:$U$30,MATCH("对"&amp;LEFT($C$5,2)&amp;"输出",标准坦克设计!$B$23:$U$23,0)))*(VLOOKUP($B207,INDIRECT($B$5&amp;"生成成长"),3))*(VLOOKUP($B$5,标准坦克设计!$B$14:$K$20,9)/30))</f>
        <v>2.6186329334126093</v>
      </c>
      <c r="DK207" s="172">
        <f ca="1">(VLOOKUP(DK$72,INDIRECT($C$5&amp;"生成成长"),2))/((VLOOKUP($B207,INDIRECT($B$5&amp;"生成成长"),4))/(VLOOKUP(DK$72,INDIRECT($C$5&amp;"生成成长"),5))*(VLOOKUP($B$5,标准坦克设计!$B$24:$U$30,MATCH("对"&amp;LEFT($C$5,2)&amp;"输出",标准坦克设计!$B$23:$U$23,0)))*(VLOOKUP($B207,INDIRECT($B$5&amp;"生成成长"),3))*(VLOOKUP($B$5,标准坦克设计!$B$14:$K$20,9)/30))</f>
        <v>2.9445318926945792</v>
      </c>
      <c r="DL207" s="172">
        <f ca="1">(VLOOKUP(DL$72,INDIRECT($C$5&amp;"生成成长"),2))/((VLOOKUP($B207,INDIRECT($B$5&amp;"生成成长"),4))/(VLOOKUP(DL$72,INDIRECT($C$5&amp;"生成成长"),5))*(VLOOKUP($B$5,标准坦克设计!$B$24:$U$30,MATCH("对"&amp;LEFT($C$5,2)&amp;"输出",标准坦克设计!$B$23:$U$23,0)))*(VLOOKUP($B207,INDIRECT($B$5&amp;"生成成长"),3))*(VLOOKUP($B$5,标准坦克设计!$B$14:$K$20,9)/30))</f>
        <v>3.2895389342797281</v>
      </c>
      <c r="DM207" s="172">
        <f ca="1">(VLOOKUP(DM$72,INDIRECT($C$5&amp;"生成成长"),2))/((VLOOKUP($B207,INDIRECT($B$5&amp;"生成成长"),4))/(VLOOKUP(DM$72,INDIRECT($C$5&amp;"生成成长"),5))*(VLOOKUP($B$5,标准坦克设计!$B$24:$U$30,MATCH("对"&amp;LEFT($C$5,2)&amp;"输出",标准坦克设计!$B$23:$U$23,0)))*(VLOOKUP($B207,INDIRECT($B$5&amp;"生成成长"),3))*(VLOOKUP($B$5,标准坦克设计!$B$14:$K$20,9)/30))</f>
        <v>3.6536540581680534</v>
      </c>
      <c r="DN207" s="172">
        <f ca="1">(VLOOKUP(DN$72,INDIRECT($C$5&amp;"生成成长"),2))/((VLOOKUP($B207,INDIRECT($B$5&amp;"生成成长"),4))/(VLOOKUP(DN$72,INDIRECT($C$5&amp;"生成成长"),5))*(VLOOKUP($B$5,标准坦克设计!$B$24:$U$30,MATCH("对"&amp;LEFT($C$5,2)&amp;"输出",标准坦克设计!$B$23:$U$23,0)))*(VLOOKUP($B207,INDIRECT($B$5&amp;"生成成长"),3))*(VLOOKUP($B$5,标准坦克设计!$B$14:$K$20,9)/30))</f>
        <v>4.0368772643595578</v>
      </c>
      <c r="DO207" s="172">
        <f ca="1">(VLOOKUP(DO$72,INDIRECT($C$5&amp;"生成成长"),2))/((VLOOKUP($B207,INDIRECT($B$5&amp;"生成成长"),4))/(VLOOKUP(DO$72,INDIRECT($C$5&amp;"生成成长"),5))*(VLOOKUP($B$5,标准坦克设计!$B$24:$U$30,MATCH("对"&amp;LEFT($C$5,2)&amp;"输出",标准坦克设计!$B$23:$U$23,0)))*(VLOOKUP($B207,INDIRECT($B$5&amp;"生成成长"),3))*(VLOOKUP($B$5,标准坦克设计!$B$14:$K$20,9)/30))</f>
        <v>4.4392085528542378</v>
      </c>
      <c r="DP207" s="172">
        <f ca="1">(VLOOKUP(DP$72,INDIRECT($C$5&amp;"生成成长"),2))/((VLOOKUP($B207,INDIRECT($B$5&amp;"生成成长"),4))/(VLOOKUP(DP$72,INDIRECT($C$5&amp;"生成成长"),5))*(VLOOKUP($B$5,标准坦克设计!$B$24:$U$30,MATCH("对"&amp;LEFT($C$5,2)&amp;"输出",标准坦克设计!$B$23:$U$23,0)))*(VLOOKUP($B207,INDIRECT($B$5&amp;"生成成长"),3))*(VLOOKUP($B$5,标准坦克设计!$B$14:$K$20,9)/30))</f>
        <v>4.8606479236520954</v>
      </c>
      <c r="DQ207" s="172">
        <f ca="1">(VLOOKUP(DQ$72,INDIRECT($C$5&amp;"生成成长"),2))/((VLOOKUP($B207,INDIRECT($B$5&amp;"生成成长"),4))/(VLOOKUP(DQ$72,INDIRECT($C$5&amp;"生成成长"),5))*(VLOOKUP($B$5,标准坦克设计!$B$24:$U$30,MATCH("对"&amp;LEFT($C$5,2)&amp;"输出",标准坦克设计!$B$23:$U$23,0)))*(VLOOKUP($B207,INDIRECT($B$5&amp;"生成成长"),3))*(VLOOKUP($B$5,标准坦克设计!$B$14:$K$20,9)/30))</f>
        <v>5.3011953767531308</v>
      </c>
      <c r="DR207" s="172">
        <f ca="1">(VLOOKUP(DR$72,INDIRECT($C$5&amp;"生成成长"),2))/((VLOOKUP($B207,INDIRECT($B$5&amp;"生成成长"),4))/(VLOOKUP(DR$72,INDIRECT($C$5&amp;"生成成长"),5))*(VLOOKUP($B$5,标准坦克设计!$B$24:$U$30,MATCH("对"&amp;LEFT($C$5,2)&amp;"输出",标准坦克设计!$B$23:$U$23,0)))*(VLOOKUP($B207,INDIRECT($B$5&amp;"生成成长"),3))*(VLOOKUP($B$5,标准坦克设计!$B$14:$K$20,9)/30))</f>
        <v>5.7608509121573439</v>
      </c>
      <c r="DS207" s="172">
        <f ca="1">(VLOOKUP(DS$72,INDIRECT($C$5&amp;"生成成长"),2))/((VLOOKUP($B207,INDIRECT($B$5&amp;"生成成长"),4))/(VLOOKUP(DS$72,INDIRECT($C$5&amp;"生成成长"),5))*(VLOOKUP($B$5,标准坦克设计!$B$24:$U$30,MATCH("对"&amp;LEFT($C$5,2)&amp;"输出",标准坦克设计!$B$23:$U$23,0)))*(VLOOKUP($B207,INDIRECT($B$5&amp;"生成成长"),3))*(VLOOKUP($B$5,标准坦克设计!$B$14:$K$20,9)/30))</f>
        <v>6.2396145298647347</v>
      </c>
      <c r="DT207" s="172">
        <f ca="1">(VLOOKUP(DT$72,INDIRECT($C$5&amp;"生成成长"),2))/((VLOOKUP($B207,INDIRECT($B$5&amp;"生成成长"),4))/(VLOOKUP(DT$72,INDIRECT($C$5&amp;"生成成长"),5))*(VLOOKUP($B$5,标准坦克设计!$B$24:$U$30,MATCH("对"&amp;LEFT($C$5,2)&amp;"输出",标准坦克设计!$B$23:$U$23,0)))*(VLOOKUP($B207,INDIRECT($B$5&amp;"生成成长"),3))*(VLOOKUP($B$5,标准坦克设计!$B$14:$K$20,9)/30))</f>
        <v>6.8507193101904296</v>
      </c>
      <c r="DU207" s="172">
        <f ca="1">(VLOOKUP(DU$72,INDIRECT($C$5&amp;"生成成长"),2))/((VLOOKUP($B207,INDIRECT($B$5&amp;"生成成长"),4))/(VLOOKUP(DU$72,INDIRECT($C$5&amp;"生成成长"),5))*(VLOOKUP($B$5,标准坦克设计!$B$24:$U$30,MATCH("对"&amp;LEFT($C$5,2)&amp;"输出",标准坦克设计!$B$23:$U$23,0)))*(VLOOKUP($B207,INDIRECT($B$5&amp;"生成成长"),3))*(VLOOKUP($B$5,标准坦克设计!$B$14:$K$20,9)/30))</f>
        <v>7.4903682628455615</v>
      </c>
      <c r="DV207" s="172">
        <f ca="1">(VLOOKUP(DV$72,INDIRECT($C$5&amp;"生成成长"),2))/((VLOOKUP($B207,INDIRECT($B$5&amp;"生成成长"),4))/(VLOOKUP(DV$72,INDIRECT($C$5&amp;"生成成长"),5))*(VLOOKUP($B$5,标准坦克设计!$B$24:$U$30,MATCH("对"&amp;LEFT($C$5,2)&amp;"输出",标准坦克设计!$B$23:$U$23,0)))*(VLOOKUP($B207,INDIRECT($B$5&amp;"生成成长"),3))*(VLOOKUP($B$5,标准坦克设计!$B$14:$K$20,9)/30))</f>
        <v>8.1585613878301295</v>
      </c>
      <c r="DW207" s="172">
        <f ca="1">(VLOOKUP(DW$72,INDIRECT($C$5&amp;"生成成长"),2))/((VLOOKUP($B207,INDIRECT($B$5&amp;"生成成长"),4))/(VLOOKUP(DW$72,INDIRECT($C$5&amp;"生成成长"),5))*(VLOOKUP($B$5,标准坦克设计!$B$24:$U$30,MATCH("对"&amp;LEFT($C$5,2)&amp;"输出",标准坦克设计!$B$23:$U$23,0)))*(VLOOKUP($B207,INDIRECT($B$5&amp;"生成成长"),3))*(VLOOKUP($B$5,标准坦克设计!$B$14:$K$20,9)/30))</f>
        <v>8.8552986851441382</v>
      </c>
      <c r="DX207" s="172">
        <f ca="1">(VLOOKUP(DX$72,INDIRECT($C$5&amp;"生成成长"),2))/((VLOOKUP($B207,INDIRECT($B$5&amp;"生成成长"),4))/(VLOOKUP(DX$72,INDIRECT($C$5&amp;"生成成长"),5))*(VLOOKUP($B$5,标准坦克设计!$B$24:$U$30,MATCH("对"&amp;LEFT($C$5,2)&amp;"输出",标准坦克设计!$B$23:$U$23,0)))*(VLOOKUP($B207,INDIRECT($B$5&amp;"生成成长"),3))*(VLOOKUP($B$5,标准坦克设计!$B$14:$K$20,9)/30))</f>
        <v>9.5805801547875848</v>
      </c>
      <c r="DY207" s="172">
        <f ca="1">(VLOOKUP(DY$72,INDIRECT($C$5&amp;"生成成长"),2))/((VLOOKUP($B207,INDIRECT($B$5&amp;"生成成长"),4))/(VLOOKUP(DY$72,INDIRECT($C$5&amp;"生成成长"),5))*(VLOOKUP($B$5,标准坦克设计!$B$24:$U$30,MATCH("对"&amp;LEFT($C$5,2)&amp;"输出",标准坦克设计!$B$23:$U$23,0)))*(VLOOKUP($B207,INDIRECT($B$5&amp;"生成成长"),3))*(VLOOKUP($B$5,标准坦克设计!$B$14:$K$20,9)/30))</f>
        <v>4.3029750031001024</v>
      </c>
      <c r="DZ207" s="172">
        <f ca="1">(VLOOKUP(DZ$72,INDIRECT($C$5&amp;"生成成长"),2))/((VLOOKUP($B207,INDIRECT($B$5&amp;"生成成长"),4))/(VLOOKUP(DZ$72,INDIRECT($C$5&amp;"生成成长"),5))*(VLOOKUP($B$5,标准坦克设计!$B$24:$U$30,MATCH("对"&amp;LEFT($C$5,2)&amp;"输出",标准坦克设计!$B$23:$U$23,0)))*(VLOOKUP($B207,INDIRECT($B$5&amp;"生成成长"),3))*(VLOOKUP($B$5,标准坦克设计!$B$14:$K$20,9)/30))</f>
        <v>4.7653434143868658</v>
      </c>
      <c r="EA207" s="172">
        <f ca="1">(VLOOKUP(EA$72,INDIRECT($C$5&amp;"生成成长"),2))/((VLOOKUP($B207,INDIRECT($B$5&amp;"生成成长"),4))/(VLOOKUP(EA$72,INDIRECT($C$5&amp;"生成成长"),5))*(VLOOKUP($B$5,标准坦克设计!$B$24:$U$30,MATCH("对"&amp;LEFT($C$5,2)&amp;"输出",标准坦克设计!$B$23:$U$23,0)))*(VLOOKUP($B207,INDIRECT($B$5&amp;"生成成长"),3))*(VLOOKUP($B$5,标准坦克设计!$B$14:$K$20,9)/30))</f>
        <v>5.2513020507392794</v>
      </c>
      <c r="EB207" s="172">
        <f ca="1">(VLOOKUP(EB$72,INDIRECT($C$5&amp;"生成成长"),2))/((VLOOKUP($B207,INDIRECT($B$5&amp;"生成成长"),4))/(VLOOKUP(EB$72,INDIRECT($C$5&amp;"生成成长"),5))*(VLOOKUP($B$5,标准坦克设计!$B$24:$U$30,MATCH("对"&amp;LEFT($C$5,2)&amp;"输出",标准坦克设计!$B$23:$U$23,0)))*(VLOOKUP($B207,INDIRECT($B$5&amp;"生成成长"),3))*(VLOOKUP($B$5,标准坦克设计!$B$14:$K$20,9)/30))</f>
        <v>5.7608509121573439</v>
      </c>
      <c r="EC207" s="172">
        <f ca="1">(VLOOKUP(EC$72,INDIRECT($C$5&amp;"生成成长"),2))/((VLOOKUP($B207,INDIRECT($B$5&amp;"生成成长"),4))/(VLOOKUP(EC$72,INDIRECT($C$5&amp;"生成成长"),5))*(VLOOKUP($B$5,标准坦克设计!$B$24:$U$30,MATCH("对"&amp;LEFT($C$5,2)&amp;"输出",标准坦克设计!$B$23:$U$23,0)))*(VLOOKUP($B207,INDIRECT($B$5&amp;"生成成长"),3))*(VLOOKUP($B$5,标准坦克设计!$B$14:$K$20,9)/30))</f>
        <v>6.2939899986410612</v>
      </c>
      <c r="ED207" s="172">
        <f ca="1">(VLOOKUP(ED$72,INDIRECT($C$5&amp;"生成成长"),2))/((VLOOKUP($B207,INDIRECT($B$5&amp;"生成成长"),4))/(VLOOKUP(ED$72,INDIRECT($C$5&amp;"生成成长"),5))*(VLOOKUP($B$5,标准坦克设计!$B$24:$U$30,MATCH("对"&amp;LEFT($C$5,2)&amp;"输出",标准坦克设计!$B$23:$U$23,0)))*(VLOOKUP($B207,INDIRECT($B$5&amp;"生成成长"),3))*(VLOOKUP($B$5,标准坦克设计!$B$14:$K$20,9)/30))</f>
        <v>6.8507193101904296</v>
      </c>
      <c r="EE207" s="172">
        <f ca="1">(VLOOKUP(EE$72,INDIRECT($C$5&amp;"生成成长"),2))/((VLOOKUP($B207,INDIRECT($B$5&amp;"生成成长"),4))/(VLOOKUP(EE$72,INDIRECT($C$5&amp;"生成成长"),5))*(VLOOKUP($B$5,标准坦克设计!$B$24:$U$30,MATCH("对"&amp;LEFT($C$5,2)&amp;"输出",标准坦克设计!$B$23:$U$23,0)))*(VLOOKUP($B207,INDIRECT($B$5&amp;"生成成长"),3))*(VLOOKUP($B$5,标准坦克设计!$B$14:$K$20,9)/30))</f>
        <v>7.4310388468054498</v>
      </c>
      <c r="EF207" s="172">
        <f ca="1">(VLOOKUP(EF$72,INDIRECT($C$5&amp;"生成成长"),2))/((VLOOKUP($B207,INDIRECT($B$5&amp;"生成成长"),4))/(VLOOKUP(EF$72,INDIRECT($C$5&amp;"生成成长"),5))*(VLOOKUP($B$5,标准坦克设计!$B$24:$U$30,MATCH("对"&amp;LEFT($C$5,2)&amp;"输出",标准坦克设计!$B$23:$U$23,0)))*(VLOOKUP($B207,INDIRECT($B$5&amp;"生成成长"),3))*(VLOOKUP($B$5,标准坦克设计!$B$14:$K$20,9)/30))</f>
        <v>8.0349486084861184</v>
      </c>
      <c r="EG207" s="172">
        <f ca="1">(VLOOKUP(EG$72,INDIRECT($C$5&amp;"生成成长"),2))/((VLOOKUP($B207,INDIRECT($B$5&amp;"生成成长"),4))/(VLOOKUP(EG$72,INDIRECT($C$5&amp;"生成成长"),5))*(VLOOKUP($B$5,标准坦克设计!$B$24:$U$30,MATCH("对"&amp;LEFT($C$5,2)&amp;"输出",标准坦克设计!$B$23:$U$23,0)))*(VLOOKUP($B207,INDIRECT($B$5&amp;"生成成长"),3))*(VLOOKUP($B$5,标准坦克设计!$B$14:$K$20,9)/30))</f>
        <v>8.6624485952324388</v>
      </c>
      <c r="EH207" s="172">
        <f ca="1">(VLOOKUP(EH$72,INDIRECT($C$5&amp;"生成成长"),2))/((VLOOKUP($B207,INDIRECT($B$5&amp;"生成成长"),4))/(VLOOKUP(EH$72,INDIRECT($C$5&amp;"生成成长"),5))*(VLOOKUP($B$5,标准坦克设计!$B$24:$U$30,MATCH("对"&amp;LEFT($C$5,2)&amp;"输出",标准坦克设计!$B$23:$U$23,0)))*(VLOOKUP($B207,INDIRECT($B$5&amp;"生成成长"),3))*(VLOOKUP($B$5,标准坦克设计!$B$14:$K$20,9)/30))</f>
        <v>9.3135388070444112</v>
      </c>
      <c r="EI207" s="172">
        <f ca="1">(VLOOKUP(EI$72,INDIRECT($C$5&amp;"生成成长"),2))/((VLOOKUP($B207,INDIRECT($B$5&amp;"生成成长"),4))/(VLOOKUP(EI$72,INDIRECT($C$5&amp;"生成成长"),5))*(VLOOKUP($B$5,标准坦克设计!$B$24:$U$30,MATCH("对"&amp;LEFT($C$5,2)&amp;"输出",标准坦克设计!$B$23:$U$23,0)))*(VLOOKUP($B207,INDIRECT($B$5&amp;"生成成长"),3))*(VLOOKUP($B$5,标准坦克设计!$B$14:$K$20,9)/30))</f>
        <v>9.9882192439220354</v>
      </c>
      <c r="EJ207" s="172">
        <f ca="1">(VLOOKUP(EJ$72,INDIRECT($C$5&amp;"生成成长"),2))/((VLOOKUP($B207,INDIRECT($B$5&amp;"生成成长"),4))/(VLOOKUP(EJ$72,INDIRECT($C$5&amp;"生成成长"),5))*(VLOOKUP($B$5,标准坦克设计!$B$24:$U$30,MATCH("对"&amp;LEFT($C$5,2)&amp;"输出",标准坦克设计!$B$23:$U$23,0)))*(VLOOKUP($B207,INDIRECT($B$5&amp;"生成成长"),3))*(VLOOKUP($B$5,标准坦克设计!$B$14:$K$20,9)/30))</f>
        <v>10.68648990586531</v>
      </c>
      <c r="EK207" s="172">
        <f ca="1">(VLOOKUP(EK$72,INDIRECT($C$5&amp;"生成成长"),2))/((VLOOKUP($B207,INDIRECT($B$5&amp;"生成成长"),4))/(VLOOKUP(EK$72,INDIRECT($C$5&amp;"生成成长"),5))*(VLOOKUP($B$5,标准坦克设计!$B$24:$U$30,MATCH("对"&amp;LEFT($C$5,2)&amp;"输出",标准坦克设计!$B$23:$U$23,0)))*(VLOOKUP($B207,INDIRECT($B$5&amp;"生成成长"),3))*(VLOOKUP($B$5,标准坦克设计!$B$14:$K$20,9)/30))</f>
        <v>11.555553797283897</v>
      </c>
      <c r="EL207" s="172">
        <f ca="1">(VLOOKUP(EL$72,INDIRECT($C$5&amp;"生成成长"),2))/((VLOOKUP($B207,INDIRECT($B$5&amp;"生成成长"),4))/(VLOOKUP(EL$72,INDIRECT($C$5&amp;"生成成长"),5))*(VLOOKUP($B$5,标准坦克设计!$B$24:$U$30,MATCH("对"&amp;LEFT($C$5,2)&amp;"输出",标准坦克设计!$B$23:$U$23,0)))*(VLOOKUP($B207,INDIRECT($B$5&amp;"生成成长"),3))*(VLOOKUP($B$5,标准坦克设计!$B$14:$K$20,9)/30))</f>
        <v>12.458587612797027</v>
      </c>
      <c r="EM207" s="172">
        <f ca="1">(VLOOKUP(EM$72,INDIRECT($C$5&amp;"生成成长"),2))/((VLOOKUP($B207,INDIRECT($B$5&amp;"生成成长"),4))/(VLOOKUP(EM$72,INDIRECT($C$5&amp;"生成成长"),5))*(VLOOKUP($B$5,标准坦克设计!$B$24:$U$30,MATCH("对"&amp;LEFT($C$5,2)&amp;"输出",标准坦克设计!$B$23:$U$23,0)))*(VLOOKUP($B207,INDIRECT($B$5&amp;"生成成长"),3))*(VLOOKUP($B$5,标准坦克设计!$B$14:$K$20,9)/30))</f>
        <v>13.39559135240469</v>
      </c>
      <c r="EN207" s="172">
        <f ca="1">(VLOOKUP(EN$72,INDIRECT($C$5&amp;"生成成长"),2))/((VLOOKUP($B207,INDIRECT($B$5&amp;"生成成长"),4))/(VLOOKUP(EN$72,INDIRECT($C$5&amp;"生成成长"),5))*(VLOOKUP($B$5,标准坦克设计!$B$24:$U$30,MATCH("对"&amp;LEFT($C$5,2)&amp;"输出",标准坦克设计!$B$23:$U$23,0)))*(VLOOKUP($B207,INDIRECT($B$5&amp;"生成成长"),3))*(VLOOKUP($B$5,标准坦克设计!$B$14:$K$20,9)/30))</f>
        <v>14.366565016106891</v>
      </c>
      <c r="EO207" s="172">
        <f ca="1">(VLOOKUP(EO$72,INDIRECT($C$5&amp;"生成成长"),2))/((VLOOKUP($B207,INDIRECT($B$5&amp;"生成成长"),4))/(VLOOKUP(EO$72,INDIRECT($C$5&amp;"生成成长"),5))*(VLOOKUP($B$5,标准坦克设计!$B$24:$U$30,MATCH("对"&amp;LEFT($C$5,2)&amp;"输出",标准坦克设计!$B$23:$U$23,0)))*(VLOOKUP($B207,INDIRECT($B$5&amp;"生成成长"),3))*(VLOOKUP($B$5,标准坦克设计!$B$14:$K$20,9)/30))</f>
        <v>15.371508603903633</v>
      </c>
      <c r="EP207" s="172">
        <f ca="1">(VLOOKUP(EP$72,INDIRECT($C$5&amp;"生成成长"),2))/((VLOOKUP($B207,INDIRECT($B$5&amp;"生成成长"),4))/(VLOOKUP(EP$72,INDIRECT($C$5&amp;"生成成长"),5))*(VLOOKUP($B$5,标准坦克设计!$B$24:$U$30,MATCH("对"&amp;LEFT($C$5,2)&amp;"输出",标准坦克设计!$B$23:$U$23,0)))*(VLOOKUP($B207,INDIRECT($B$5&amp;"生成成长"),3))*(VLOOKUP($B$5,标准坦克设计!$B$14:$K$20,9)/30))</f>
        <v>16.410422115794908</v>
      </c>
      <c r="EQ207" s="172">
        <f ca="1">(VLOOKUP(EQ$72,INDIRECT($C$5&amp;"生成成长"),2))/((VLOOKUP($B207,INDIRECT($B$5&amp;"生成成长"),4))/(VLOOKUP(EQ$72,INDIRECT($C$5&amp;"生成成长"),5))*(VLOOKUP($B$5,标准坦克设计!$B$24:$U$30,MATCH("对"&amp;LEFT($C$5,2)&amp;"输出",标准坦克设计!$B$23:$U$23,0)))*(VLOOKUP($B207,INDIRECT($B$5&amp;"生成成长"),3))*(VLOOKUP($B$5,标准坦克设计!$B$14:$K$20,9)/30))</f>
        <v>7.2544660121890496</v>
      </c>
      <c r="ER207" s="172">
        <f ca="1">(VLOOKUP(ER$72,INDIRECT($C$5&amp;"生成成长"),2))/((VLOOKUP($B207,INDIRECT($B$5&amp;"生成成长"),4))/(VLOOKUP(ER$72,INDIRECT($C$5&amp;"生成成长"),5))*(VLOOKUP($B$5,标准坦克设计!$B$24:$U$30,MATCH("对"&amp;LEFT($C$5,2)&amp;"输出",标准坦克设计!$B$23:$U$23,0)))*(VLOOKUP($B207,INDIRECT($B$5&amp;"生成成长"),3))*(VLOOKUP($B$5,标准坦克设计!$B$14:$K$20,9)/30))</f>
        <v>7.9122794381447337</v>
      </c>
      <c r="ES207" s="172">
        <f ca="1">(VLOOKUP(ES$72,INDIRECT($C$5&amp;"生成成长"),2))/((VLOOKUP($B207,INDIRECT($B$5&amp;"生成成长"),4))/(VLOOKUP(ES$72,INDIRECT($C$5&amp;"生成成长"),5))*(VLOOKUP($B$5,标准坦克设计!$B$24:$U$30,MATCH("对"&amp;LEFT($C$5,2)&amp;"输出",标准坦克设计!$B$23:$U$23,0)))*(VLOOKUP($B207,INDIRECT($B$5&amp;"生成成长"),3))*(VLOOKUP($B$5,标准坦克设计!$B$14:$K$20,9)/30))</f>
        <v>8.598637036429853</v>
      </c>
      <c r="ET207" s="172">
        <f ca="1">(VLOOKUP(ET$72,INDIRECT($C$5&amp;"生成成长"),2))/((VLOOKUP($B207,INDIRECT($B$5&amp;"生成成长"),4))/(VLOOKUP(ET$72,INDIRECT($C$5&amp;"生成成长"),5))*(VLOOKUP($B$5,标准坦克设计!$B$24:$U$30,MATCH("对"&amp;LEFT($C$5,2)&amp;"输出",标准坦克设计!$B$23:$U$23,0)))*(VLOOKUP($B207,INDIRECT($B$5&amp;"生成成长"),3))*(VLOOKUP($B$5,标准坦克设计!$B$14:$K$20,9)/30))</f>
        <v>9.3135388070444112</v>
      </c>
      <c r="EU207" s="172">
        <f ca="1">(VLOOKUP(EU$72,INDIRECT($C$5&amp;"生成成长"),2))/((VLOOKUP($B207,INDIRECT($B$5&amp;"生成成长"),4))/(VLOOKUP(EU$72,INDIRECT($C$5&amp;"生成成长"),5))*(VLOOKUP($B$5,标准坦克设计!$B$24:$U$30,MATCH("对"&amp;LEFT($C$5,2)&amp;"输出",标准坦克设计!$B$23:$U$23,0)))*(VLOOKUP($B207,INDIRECT($B$5&amp;"生成成长"),3))*(VLOOKUP($B$5,标准坦克设计!$B$14:$K$20,9)/30))</f>
        <v>10.056984749988407</v>
      </c>
      <c r="EV207" s="172">
        <f ca="1">(VLOOKUP(EV$72,INDIRECT($C$5&amp;"生成成长"),2))/((VLOOKUP($B207,INDIRECT($B$5&amp;"生成成长"),4))/(VLOOKUP(EV$72,INDIRECT($C$5&amp;"生成成长"),5))*(VLOOKUP($B$5,标准坦克设计!$B$24:$U$30,MATCH("对"&amp;LEFT($C$5,2)&amp;"输出",标准坦克设计!$B$23:$U$23,0)))*(VLOOKUP($B207,INDIRECT($B$5&amp;"生成成长"),3))*(VLOOKUP($B$5,标准坦克设计!$B$14:$K$20,9)/30))</f>
        <v>10.828974865261843</v>
      </c>
      <c r="EW207" s="172">
        <f ca="1">(VLOOKUP(EW$72,INDIRECT($C$5&amp;"生成成长"),2))/((VLOOKUP($B207,INDIRECT($B$5&amp;"生成成长"),4))/(VLOOKUP(EW$72,INDIRECT($C$5&amp;"生成成长"),5))*(VLOOKUP($B$5,标准坦克设计!$B$24:$U$30,MATCH("对"&amp;LEFT($C$5,2)&amp;"输出",标准坦克设计!$B$23:$U$23,0)))*(VLOOKUP($B207,INDIRECT($B$5&amp;"生成成长"),3))*(VLOOKUP($B$5,标准坦克设计!$B$14:$K$20,9)/30))</f>
        <v>11.629509152864713</v>
      </c>
      <c r="EX207" s="172">
        <f ca="1">(VLOOKUP(EX$72,INDIRECT($C$5&amp;"生成成长"),2))/((VLOOKUP($B207,INDIRECT($B$5&amp;"生成成长"),4))/(VLOOKUP(EX$72,INDIRECT($C$5&amp;"生成成长"),5))*(VLOOKUP($B$5,标准坦克设计!$B$24:$U$30,MATCH("对"&amp;LEFT($C$5,2)&amp;"输出",标准坦克设计!$B$23:$U$23,0)))*(VLOOKUP($B207,INDIRECT($B$5&amp;"生成成长"),3))*(VLOOKUP($B$5,标准坦克设计!$B$14:$K$20,9)/30))</f>
        <v>12.458587612797027</v>
      </c>
      <c r="EY207" s="172">
        <f ca="1">(VLOOKUP(EY$72,INDIRECT($C$5&amp;"生成成长"),2))/((VLOOKUP($B207,INDIRECT($B$5&amp;"生成成长"),4))/(VLOOKUP(EY$72,INDIRECT($C$5&amp;"生成成长"),5))*(VLOOKUP($B$5,标准坦克设计!$B$24:$U$30,MATCH("对"&amp;LEFT($C$5,2)&amp;"输出",标准坦克设计!$B$23:$U$23,0)))*(VLOOKUP($B207,INDIRECT($B$5&amp;"生成成长"),3))*(VLOOKUP($B$5,标准坦克设计!$B$14:$K$20,9)/30))</f>
        <v>13.316210245058773</v>
      </c>
      <c r="EZ207" s="172">
        <f ca="1">(VLOOKUP(EZ$72,INDIRECT($C$5&amp;"生成成长"),2))/((VLOOKUP($B207,INDIRECT($B$5&amp;"生成成长"),4))/(VLOOKUP(EZ$72,INDIRECT($C$5&amp;"生成成长"),5))*(VLOOKUP($B$5,标准坦克设计!$B$24:$U$30,MATCH("对"&amp;LEFT($C$5,2)&amp;"输出",标准坦克设计!$B$23:$U$23,0)))*(VLOOKUP($B207,INDIRECT($B$5&amp;"生成成长"),3))*(VLOOKUP($B$5,标准坦克设计!$B$14:$K$20,9)/30))</f>
        <v>14.202377049649957</v>
      </c>
      <c r="FA207" s="172">
        <f ca="1">(VLOOKUP(FA$72,INDIRECT($C$5&amp;"生成成长"),2))/((VLOOKUP($B207,INDIRECT($B$5&amp;"生成成长"),4))/(VLOOKUP(FA$72,INDIRECT($C$5&amp;"生成成长"),5))*(VLOOKUP($B$5,标准坦克设计!$B$24:$U$30,MATCH("对"&amp;LEFT($C$5,2)&amp;"输出",标准坦克设计!$B$23:$U$23,0)))*(VLOOKUP($B207,INDIRECT($B$5&amp;"生成成长"),3))*(VLOOKUP($B$5,标准坦克设计!$B$14:$K$20,9)/30))</f>
        <v>15.117088026570586</v>
      </c>
      <c r="FB207" s="172">
        <f ca="1">(VLOOKUP(FB$72,INDIRECT($C$5&amp;"生成成长"),2))/((VLOOKUP($B207,INDIRECT($B$5&amp;"生成成长"),4))/(VLOOKUP(FB$72,INDIRECT($C$5&amp;"生成成长"),5))*(VLOOKUP($B$5,标准坦克设计!$B$24:$U$30,MATCH("对"&amp;LEFT($C$5,2)&amp;"输出",标准坦克设计!$B$23:$U$23,0)))*(VLOOKUP($B207,INDIRECT($B$5&amp;"生成成长"),3))*(VLOOKUP($B$5,标准坦克设计!$B$14:$K$20,9)/30))</f>
        <v>16.060343175820648</v>
      </c>
      <c r="FC207" s="172">
        <f ca="1">(VLOOKUP(FC$72,INDIRECT($C$5&amp;"生成成长"),2))/((VLOOKUP($B207,INDIRECT($B$5&amp;"生成成长"),4))/(VLOOKUP(FC$72,INDIRECT($C$5&amp;"生成成长"),5))*(VLOOKUP($B$5,标准坦克设计!$B$24:$U$30,MATCH("对"&amp;LEFT($C$5,2)&amp;"输出",标准坦克设计!$B$23:$U$23,0)))*(VLOOKUP($B207,INDIRECT($B$5&amp;"生成成长"),3))*(VLOOKUP($B$5,标准坦克设计!$B$14:$K$20,9)/30))</f>
        <v>17.032142497400145</v>
      </c>
      <c r="FD207" s="172">
        <f ca="1">(VLOOKUP(FD$72,INDIRECT($C$5&amp;"生成成长"),2))/((VLOOKUP($B207,INDIRECT($B$5&amp;"生成成长"),4))/(VLOOKUP(FD$72,INDIRECT($C$5&amp;"生成成长"),5))*(VLOOKUP($B$5,标准坦克设计!$B$24:$U$30,MATCH("对"&amp;LEFT($C$5,2)&amp;"输出",标准坦克设计!$B$23:$U$23,0)))*(VLOOKUP($B207,INDIRECT($B$5&amp;"生成成长"),3))*(VLOOKUP($B$5,标准坦克设计!$B$14:$K$20,9)/30))</f>
        <v>18.032485991309084</v>
      </c>
      <c r="FE207" s="172">
        <f ca="1">(VLOOKUP(FE$72,INDIRECT($C$5&amp;"生成成长"),2))/((VLOOKUP($B207,INDIRECT($B$5&amp;"生成成长"),4))/(VLOOKUP(FE$72,INDIRECT($C$5&amp;"生成成长"),5))*(VLOOKUP($B$5,标准坦克设计!$B$24:$U$30,MATCH("对"&amp;LEFT($C$5,2)&amp;"输出",标准坦克设计!$B$23:$U$23,0)))*(VLOOKUP($B207,INDIRECT($B$5&amp;"生成成长"),3))*(VLOOKUP($B$5,标准坦克设计!$B$14:$K$20,9)/30))</f>
        <v>19.251510871576606</v>
      </c>
      <c r="FF207" s="172">
        <f ca="1">(VLOOKUP(FF$72,INDIRECT($C$5&amp;"生成成长"),2))/((VLOOKUP($B207,INDIRECT($B$5&amp;"生成成长"),4))/(VLOOKUP(FF$72,INDIRECT($C$5&amp;"生成成长"),5))*(VLOOKUP($B$5,标准坦克设计!$B$24:$U$30,MATCH("对"&amp;LEFT($C$5,2)&amp;"输出",标准坦克设计!$B$23:$U$23,0)))*(VLOOKUP($B207,INDIRECT($B$5&amp;"生成成长"),3))*(VLOOKUP($B$5,标准坦克设计!$B$14:$K$20,9)/30))</f>
        <v>20.510403232205089</v>
      </c>
      <c r="FG207" s="172">
        <f ca="1">(VLOOKUP(FG$72,INDIRECT($C$5&amp;"生成成长"),2))/((VLOOKUP($B207,INDIRECT($B$5&amp;"生成成长"),4))/(VLOOKUP(FG$72,INDIRECT($C$5&amp;"生成成长"),5))*(VLOOKUP($B$5,标准坦克设计!$B$24:$U$30,MATCH("对"&amp;LEFT($C$5,2)&amp;"输出",标准坦克设计!$B$23:$U$23,0)))*(VLOOKUP($B207,INDIRECT($B$5&amp;"生成成长"),3))*(VLOOKUP($B$5,标准坦克设计!$B$14:$K$20,9)/30))</f>
        <v>21.809163073194508</v>
      </c>
      <c r="FH207" s="172">
        <f ca="1">(VLOOKUP(FH$72,INDIRECT($C$5&amp;"生成成长"),2))/((VLOOKUP($B207,INDIRECT($B$5&amp;"生成成长"),4))/(VLOOKUP(FH$72,INDIRECT($C$5&amp;"生成成长"),5))*(VLOOKUP($B$5,标准坦克设计!$B$24:$U$30,MATCH("对"&amp;LEFT($C$5,2)&amp;"输出",标准坦克设计!$B$23:$U$23,0)))*(VLOOKUP($B207,INDIRECT($B$5&amp;"生成成长"),3))*(VLOOKUP($B$5,标准坦克设计!$B$14:$K$20,9)/30))</f>
        <v>23.147790394544884</v>
      </c>
      <c r="FI207" s="172">
        <f ca="1">(VLOOKUP(FI$72,INDIRECT($C$5&amp;"生成成长"),2))/((VLOOKUP($B207,INDIRECT($B$5&amp;"生成成长"),4))/(VLOOKUP(FI$72,INDIRECT($C$5&amp;"生成成长"),5))*(VLOOKUP($B$5,标准坦克设计!$B$24:$U$30,MATCH("对"&amp;LEFT($C$5,2)&amp;"输出",标准坦克设计!$B$23:$U$23,0)))*(VLOOKUP($B207,INDIRECT($B$5&amp;"生成成长"),3))*(VLOOKUP($B$5,标准坦克设计!$B$14:$K$20,9)/30))</f>
        <v>24.526285196256215</v>
      </c>
      <c r="FJ207" s="172">
        <f ca="1">(VLOOKUP(FJ$72,INDIRECT($C$5&amp;"生成成长"),2))/((VLOOKUP($B207,INDIRECT($B$5&amp;"生成成长"),4))/(VLOOKUP(FJ$72,INDIRECT($C$5&amp;"生成成长"),5))*(VLOOKUP($B$5,标准坦克设计!$B$24:$U$30,MATCH("对"&amp;LEFT($C$5,2)&amp;"输出",标准坦克设计!$B$23:$U$23,0)))*(VLOOKUP($B207,INDIRECT($B$5&amp;"生成成长"),3))*(VLOOKUP($B$5,标准坦克设计!$B$14:$K$20,9)/30))</f>
        <v>25.944647478328488</v>
      </c>
      <c r="FK207" s="172">
        <f ca="1">(VLOOKUP(FK$72,INDIRECT($C$5&amp;"生成成长"),2))/((VLOOKUP($B207,INDIRECT($B$5&amp;"生成成长"),4))/(VLOOKUP(FK$72,INDIRECT($C$5&amp;"生成成长"),5))*(VLOOKUP($B$5,标准坦克设计!$B$24:$U$30,MATCH("对"&amp;LEFT($C$5,2)&amp;"输出",标准坦克设计!$B$23:$U$23,0)))*(VLOOKUP($B207,INDIRECT($B$5&amp;"生成成长"),3))*(VLOOKUP($B$5,标准坦克设计!$B$14:$K$20,9)/30))</f>
        <v>27.402877240761718</v>
      </c>
    </row>
    <row r="208" spans="1:167" x14ac:dyDescent="0.15">
      <c r="A208" s="170" t="str">
        <f t="shared" si="13"/>
        <v>T4高品质10级</v>
      </c>
      <c r="B208" s="171">
        <v>30410</v>
      </c>
      <c r="C208" s="172">
        <f ca="1">(VLOOKUP(C$72,INDIRECT($C$5&amp;"生成成长"),2))/((VLOOKUP($B208,INDIRECT($B$5&amp;"生成成长"),4))/(VLOOKUP(C$72,INDIRECT($C$5&amp;"生成成长"),5))*(VLOOKUP($B$5,标准坦克设计!$B$24:$U$30,MATCH("对"&amp;LEFT($C$5,2)&amp;"输出",标准坦克设计!$B$23:$U$23,0)))*(VLOOKUP($B208,INDIRECT($B$5&amp;"生成成长"),3))*(VLOOKUP($B$5,标准坦克设计!$B$14:$K$20,9)/30))</f>
        <v>1.0957487357824001</v>
      </c>
      <c r="D208" s="172">
        <f ca="1">(VLOOKUP(D$72,INDIRECT($C$5&amp;"生成成长"),2))/((VLOOKUP($B208,INDIRECT($B$5&amp;"生成成长"),4))/(VLOOKUP(D$72,INDIRECT($C$5&amp;"生成成长"),5))*(VLOOKUP($B$5,标准坦克设计!$B$24:$U$30,MATCH("对"&amp;LEFT($C$5,2)&amp;"输出",标准坦克设计!$B$23:$U$23,0)))*(VLOOKUP($B208,INDIRECT($B$5&amp;"生成成长"),3))*(VLOOKUP($B$5,标准坦克设计!$B$14:$K$20,9)/30))</f>
        <v>1.2311832795251045</v>
      </c>
      <c r="E208" s="172">
        <f ca="1">(VLOOKUP(E$72,INDIRECT($C$5&amp;"生成成长"),2))/((VLOOKUP($B208,INDIRECT($B$5&amp;"生成成长"),4))/(VLOOKUP(E$72,INDIRECT($C$5&amp;"生成成长"),5))*(VLOOKUP($B$5,标准坦克设计!$B$24:$U$30,MATCH("对"&amp;LEFT($C$5,2)&amp;"输出",标准坦克设计!$B$23:$U$23,0)))*(VLOOKUP($B208,INDIRECT($B$5&amp;"生成成长"),3))*(VLOOKUP($B$5,标准坦克设计!$B$14:$K$20,9)/30))</f>
        <v>1.3745072141654422</v>
      </c>
      <c r="F208" s="172">
        <f ca="1">(VLOOKUP(F$72,INDIRECT($C$5&amp;"生成成长"),2))/((VLOOKUP($B208,INDIRECT($B$5&amp;"生成成长"),4))/(VLOOKUP(F$72,INDIRECT($C$5&amp;"生成成长"),5))*(VLOOKUP($B$5,标准坦克设计!$B$24:$U$30,MATCH("对"&amp;LEFT($C$5,2)&amp;"输出",标准坦克设计!$B$23:$U$23,0)))*(VLOOKUP($B208,INDIRECT($B$5&amp;"生成成长"),3))*(VLOOKUP($B$5,标准坦克设计!$B$14:$K$20,9)/30))</f>
        <v>1.5257205397034137</v>
      </c>
      <c r="G208" s="172">
        <f ca="1">(VLOOKUP(G$72,INDIRECT($C$5&amp;"生成成长"),2))/((VLOOKUP($B208,INDIRECT($B$5&amp;"生成成长"),4))/(VLOOKUP(G$72,INDIRECT($C$5&amp;"生成成长"),5))*(VLOOKUP($B$5,标准坦克设计!$B$24:$U$30,MATCH("对"&amp;LEFT($C$5,2)&amp;"输出",标准坦克设计!$B$23:$U$23,0)))*(VLOOKUP($B208,INDIRECT($B$5&amp;"生成成长"),3))*(VLOOKUP($B$5,标准坦克设计!$B$14:$K$20,9)/30))</f>
        <v>1.6848232561390182</v>
      </c>
      <c r="H208" s="172">
        <f ca="1">(VLOOKUP(H$72,INDIRECT($C$5&amp;"生成成长"),2))/((VLOOKUP($B208,INDIRECT($B$5&amp;"生成成长"),4))/(VLOOKUP(H$72,INDIRECT($C$5&amp;"生成成长"),5))*(VLOOKUP($B$5,标准坦克设计!$B$24:$U$30,MATCH("对"&amp;LEFT($C$5,2)&amp;"输出",标准坦克设计!$B$23:$U$23,0)))*(VLOOKUP($B208,INDIRECT($B$5&amp;"生成成长"),3))*(VLOOKUP($B$5,标准坦克设计!$B$14:$K$20,9)/30))</f>
        <v>1.4744394988687972</v>
      </c>
      <c r="I208" s="172">
        <f ca="1">(VLOOKUP(I$72,INDIRECT($C$5&amp;"生成成长"),2))/((VLOOKUP($B208,INDIRECT($B$5&amp;"生成成长"),4))/(VLOOKUP(I$72,INDIRECT($C$5&amp;"生成成长"),5))*(VLOOKUP($B$5,标准坦克设计!$B$24:$U$30,MATCH("对"&amp;LEFT($C$5,2)&amp;"输出",标准坦克设计!$B$23:$U$23,0)))*(VLOOKUP($B208,INDIRECT($B$5&amp;"生成成长"),3))*(VLOOKUP($B$5,标准坦克设计!$B$14:$K$20,9)/30))</f>
        <v>1.6848232561390182</v>
      </c>
      <c r="J208" s="172">
        <f ca="1">(VLOOKUP(J$72,INDIRECT($C$5&amp;"生成成长"),2))/((VLOOKUP($B208,INDIRECT($B$5&amp;"生成成长"),4))/(VLOOKUP(J$72,INDIRECT($C$5&amp;"生成成长"),5))*(VLOOKUP($B$5,标准坦克设计!$B$24:$U$30,MATCH("对"&amp;LEFT($C$5,2)&amp;"输出",标准坦克设计!$B$23:$U$23,0)))*(VLOOKUP($B208,INDIRECT($B$5&amp;"生成成长"),3))*(VLOOKUP($B$5,标准坦克设计!$B$14:$K$20,9)/30))</f>
        <v>1.9092325972272537</v>
      </c>
      <c r="K208" s="172">
        <f ca="1">(VLOOKUP(K$72,INDIRECT($C$5&amp;"生成成长"),2))/((VLOOKUP($B208,INDIRECT($B$5&amp;"生成成长"),4))/(VLOOKUP(K$72,INDIRECT($C$5&amp;"生成成长"),5))*(VLOOKUP($B$5,标准坦克设计!$B$24:$U$30,MATCH("对"&amp;LEFT($C$5,2)&amp;"输出",标准坦克设计!$B$23:$U$23,0)))*(VLOOKUP($B208,INDIRECT($B$5&amp;"生成成长"),3))*(VLOOKUP($B$5,标准坦克设计!$B$14:$K$20,9)/30))</f>
        <v>2.1476675221335038</v>
      </c>
      <c r="L208" s="172">
        <f ca="1">(VLOOKUP(L$72,INDIRECT($C$5&amp;"生成成长"),2))/((VLOOKUP($B208,INDIRECT($B$5&amp;"生成成长"),4))/(VLOOKUP(L$72,INDIRECT($C$5&amp;"生成成长"),5))*(VLOOKUP($B$5,标准坦克设计!$B$24:$U$30,MATCH("对"&amp;LEFT($C$5,2)&amp;"输出",标准坦克设计!$B$23:$U$23,0)))*(VLOOKUP($B208,INDIRECT($B$5&amp;"生成成长"),3))*(VLOOKUP($B$5,标准坦克设计!$B$14:$K$20,9)/30))</f>
        <v>2.4001280308577688</v>
      </c>
      <c r="M208" s="172">
        <f ca="1">(VLOOKUP(M$72,INDIRECT($C$5&amp;"生成成长"),2))/((VLOOKUP($B208,INDIRECT($B$5&amp;"生成成长"),4))/(VLOOKUP(M$72,INDIRECT($C$5&amp;"生成成长"),5))*(VLOOKUP($B$5,标准坦克设计!$B$24:$U$30,MATCH("对"&amp;LEFT($C$5,2)&amp;"输出",标准坦克设计!$B$23:$U$23,0)))*(VLOOKUP($B208,INDIRECT($B$5&amp;"生成成长"),3))*(VLOOKUP($B$5,标准坦克设计!$B$14:$K$20,9)/30))</f>
        <v>2.6666141234000484</v>
      </c>
      <c r="N208" s="172">
        <f ca="1">(VLOOKUP(N$72,INDIRECT($C$5&amp;"生成成长"),2))/((VLOOKUP($B208,INDIRECT($B$5&amp;"生成成长"),4))/(VLOOKUP(N$72,INDIRECT($C$5&amp;"生成成长"),5))*(VLOOKUP($B$5,标准坦克设计!$B$24:$U$30,MATCH("对"&amp;LEFT($C$5,2)&amp;"输出",标准坦克设计!$B$23:$U$23,0)))*(VLOOKUP($B208,INDIRECT($B$5&amp;"生成成长"),3))*(VLOOKUP($B$5,标准坦克设计!$B$14:$K$20,9)/30))</f>
        <v>2.9471257997603426</v>
      </c>
      <c r="O208" s="172">
        <f ca="1">(VLOOKUP(O$72,INDIRECT($C$5&amp;"生成成长"),2))/((VLOOKUP($B208,INDIRECT($B$5&amp;"生成成长"),4))/(VLOOKUP(O$72,INDIRECT($C$5&amp;"生成成长"),5))*(VLOOKUP($B$5,标准坦克设计!$B$24:$U$30,MATCH("对"&amp;LEFT($C$5,2)&amp;"输出",标准坦克设计!$B$23:$U$23,0)))*(VLOOKUP($B208,INDIRECT($B$5&amp;"生成成长"),3))*(VLOOKUP($B$5,标准坦克设计!$B$14:$K$20,9)/30))</f>
        <v>2.2406965898014297</v>
      </c>
      <c r="P208" s="172">
        <f ca="1">(VLOOKUP(P$72,INDIRECT($C$5&amp;"生成成长"),2))/((VLOOKUP($B208,INDIRECT($B$5&amp;"生成成长"),4))/(VLOOKUP(P$72,INDIRECT($C$5&amp;"生成成长"),5))*(VLOOKUP($B$5,标准坦克设计!$B$24:$U$30,MATCH("对"&amp;LEFT($C$5,2)&amp;"输出",标准坦克设计!$B$23:$U$23,0)))*(VLOOKUP($B208,INDIRECT($B$5&amp;"生成成长"),3))*(VLOOKUP($B$5,标准坦克设计!$B$14:$K$20,9)/30))</f>
        <v>2.5316178791516566</v>
      </c>
      <c r="Q208" s="172">
        <f ca="1">(VLOOKUP(Q$72,INDIRECT($C$5&amp;"生成成长"),2))/((VLOOKUP($B208,INDIRECT($B$5&amp;"生成成长"),4))/(VLOOKUP(Q$72,INDIRECT($C$5&amp;"生成成长"),5))*(VLOOKUP($B$5,标准坦克设计!$B$24:$U$30,MATCH("对"&amp;LEFT($C$5,2)&amp;"输出",标准坦克设计!$B$23:$U$23,0)))*(VLOOKUP($B208,INDIRECT($B$5&amp;"生成成长"),3))*(VLOOKUP($B$5,标准坦克设计!$B$14:$K$20,9)/30))</f>
        <v>2.8402902980215585</v>
      </c>
      <c r="R208" s="172">
        <f ca="1">(VLOOKUP(R$72,INDIRECT($C$5&amp;"生成成长"),2))/((VLOOKUP($B208,INDIRECT($B$5&amp;"生成成长"),4))/(VLOOKUP(R$72,INDIRECT($C$5&amp;"生成成长"),5))*(VLOOKUP($B$5,标准坦克设计!$B$24:$U$30,MATCH("对"&amp;LEFT($C$5,2)&amp;"输出",标准坦克设计!$B$23:$U$23,0)))*(VLOOKUP($B208,INDIRECT($B$5&amp;"生成成长"),3))*(VLOOKUP($B$5,标准坦克设计!$B$14:$K$20,9)/30))</f>
        <v>3.166713846411136</v>
      </c>
      <c r="S208" s="172">
        <f ca="1">(VLOOKUP(S$72,INDIRECT($C$5&amp;"生成成长"),2))/((VLOOKUP($B208,INDIRECT($B$5&amp;"生成成长"),4))/(VLOOKUP(S$72,INDIRECT($C$5&amp;"生成成长"),5))*(VLOOKUP($B$5,标准坦克设计!$B$24:$U$30,MATCH("对"&amp;LEFT($C$5,2)&amp;"输出",标准坦克设计!$B$23:$U$23,0)))*(VLOOKUP($B208,INDIRECT($B$5&amp;"生成成长"),3))*(VLOOKUP($B$5,标准坦克设计!$B$14:$K$20,9)/30))</f>
        <v>3.5108885243203876</v>
      </c>
      <c r="T208" s="172">
        <f ca="1">(VLOOKUP(T$72,INDIRECT($C$5&amp;"生成成长"),2))/((VLOOKUP($B208,INDIRECT($B$5&amp;"生成成长"),4))/(VLOOKUP(T$72,INDIRECT($C$5&amp;"生成成长"),5))*(VLOOKUP($B$5,标准坦克设计!$B$24:$U$30,MATCH("对"&amp;LEFT($C$5,2)&amp;"输出",标准坦克设计!$B$23:$U$23,0)))*(VLOOKUP($B208,INDIRECT($B$5&amp;"生成成长"),3))*(VLOOKUP($B$5,标准坦克设计!$B$14:$K$20,9)/30))</f>
        <v>3.8728143317493142</v>
      </c>
      <c r="U208" s="172">
        <f ca="1">(VLOOKUP(U$72,INDIRECT($C$5&amp;"生成成长"),2))/((VLOOKUP($B208,INDIRECT($B$5&amp;"生成成长"),4))/(VLOOKUP(U$72,INDIRECT($C$5&amp;"生成成长"),5))*(VLOOKUP($B$5,标准坦克设计!$B$24:$U$30,MATCH("对"&amp;LEFT($C$5,2)&amp;"输出",标准坦克设计!$B$23:$U$23,0)))*(VLOOKUP($B208,INDIRECT($B$5&amp;"生成成长"),3))*(VLOOKUP($B$5,标准坦克设计!$B$14:$K$20,9)/30))</f>
        <v>4.2524912686979164</v>
      </c>
      <c r="V208" s="172">
        <f ca="1">(VLOOKUP(V$72,INDIRECT($C$5&amp;"生成成长"),2))/((VLOOKUP($B208,INDIRECT($B$5&amp;"生成成长"),4))/(VLOOKUP(V$72,INDIRECT($C$5&amp;"生成成长"),5))*(VLOOKUP($B$5,标准坦克设计!$B$24:$U$30,MATCH("对"&amp;LEFT($C$5,2)&amp;"输出",标准坦克设计!$B$23:$U$23,0)))*(VLOOKUP($B208,INDIRECT($B$5&amp;"生成成长"),3))*(VLOOKUP($B$5,标准坦克设计!$B$14:$K$20,9)/30))</f>
        <v>4.6499193351661923</v>
      </c>
      <c r="W208" s="172">
        <f ca="1">(VLOOKUP(W$72,INDIRECT($C$5&amp;"生成成长"),2))/((VLOOKUP($B208,INDIRECT($B$5&amp;"生成成长"),4))/(VLOOKUP(W$72,INDIRECT($C$5&amp;"生成成长"),5))*(VLOOKUP($B$5,标准坦克设计!$B$24:$U$30,MATCH("对"&amp;LEFT($C$5,2)&amp;"输出",标准坦克设计!$B$23:$U$23,0)))*(VLOOKUP($B208,INDIRECT($B$5&amp;"生成成长"),3))*(VLOOKUP($B$5,标准坦克设计!$B$14:$K$20,9)/30))</f>
        <v>5.0650985311541437</v>
      </c>
      <c r="X208" s="172">
        <f ca="1">(VLOOKUP(X$72,INDIRECT($C$5&amp;"生成成长"),2))/((VLOOKUP($B208,INDIRECT($B$5&amp;"生成成长"),4))/(VLOOKUP(X$72,INDIRECT($C$5&amp;"生成成长"),5))*(VLOOKUP($B$5,标准坦克设计!$B$24:$U$30,MATCH("对"&amp;LEFT($C$5,2)&amp;"输出",标准坦克设计!$B$23:$U$23,0)))*(VLOOKUP($B208,INDIRECT($B$5&amp;"生成成长"),3))*(VLOOKUP($B$5,标准坦克设计!$B$14:$K$20,9)/30))</f>
        <v>3.6695529412616792</v>
      </c>
      <c r="Y208" s="172">
        <f ca="1">(VLOOKUP(Y$72,INDIRECT($C$5&amp;"生成成长"),2))/((VLOOKUP($B208,INDIRECT($B$5&amp;"生成成长"),4))/(VLOOKUP(Y$72,INDIRECT($C$5&amp;"生成成长"),5))*(VLOOKUP($B$5,标准坦克设计!$B$24:$U$30,MATCH("对"&amp;LEFT($C$5,2)&amp;"输出",标准坦克设计!$B$23:$U$23,0)))*(VLOOKUP($B208,INDIRECT($B$5&amp;"生成成长"),3))*(VLOOKUP($B$5,标准坦克设计!$B$14:$K$20,9)/30))</f>
        <v>4.0815544659158611</v>
      </c>
      <c r="Z208" s="172">
        <f ca="1">(VLOOKUP(Z$72,INDIRECT($C$5&amp;"生成成长"),2))/((VLOOKUP($B208,INDIRECT($B$5&amp;"生成成长"),4))/(VLOOKUP(Z$72,INDIRECT($C$5&amp;"生成成长"),5))*(VLOOKUP($B$5,标准坦克设计!$B$24:$U$30,MATCH("对"&amp;LEFT($C$5,2)&amp;"输出",标准坦克设计!$B$23:$U$23,0)))*(VLOOKUP($B208,INDIRECT($B$5&amp;"生成成长"),3))*(VLOOKUP($B$5,标准坦克设计!$B$14:$K$20,9)/30))</f>
        <v>4.5154709652856919</v>
      </c>
      <c r="AA208" s="172">
        <f ca="1">(VLOOKUP(AA$72,INDIRECT($C$5&amp;"生成成长"),2))/((VLOOKUP($B208,INDIRECT($B$5&amp;"生成成长"),4))/(VLOOKUP(AA$72,INDIRECT($C$5&amp;"生成成长"),5))*(VLOOKUP($B$5,标准坦克设计!$B$24:$U$30,MATCH("对"&amp;LEFT($C$5,2)&amp;"输出",标准坦克设计!$B$23:$U$23,0)))*(VLOOKUP($B208,INDIRECT($B$5&amp;"生成成长"),3))*(VLOOKUP($B$5,标准坦克设计!$B$14:$K$20,9)/30))</f>
        <v>4.9713024393711702</v>
      </c>
      <c r="AB208" s="172">
        <f ca="1">(VLOOKUP(AB$72,INDIRECT($C$5&amp;"生成成长"),2))/((VLOOKUP($B208,INDIRECT($B$5&amp;"生成成长"),4))/(VLOOKUP(AB$72,INDIRECT($C$5&amp;"生成成长"),5))*(VLOOKUP($B$5,标准坦克设计!$B$24:$U$30,MATCH("对"&amp;LEFT($C$5,2)&amp;"输出",标准坦克设计!$B$23:$U$23,0)))*(VLOOKUP($B208,INDIRECT($B$5&amp;"生成成长"),3))*(VLOOKUP($B$5,标准坦克设计!$B$14:$K$20,9)/30))</f>
        <v>5.4490488881722969</v>
      </c>
      <c r="AC208" s="172">
        <f ca="1">(VLOOKUP(AC$72,INDIRECT($C$5&amp;"生成成长"),2))/((VLOOKUP($B208,INDIRECT($B$5&amp;"生成成长"),4))/(VLOOKUP(AC$72,INDIRECT($C$5&amp;"生成成长"),5))*(VLOOKUP($B$5,标准坦克设计!$B$24:$U$30,MATCH("对"&amp;LEFT($C$5,2)&amp;"输出",标准坦克设计!$B$23:$U$23,0)))*(VLOOKUP($B208,INDIRECT($B$5&amp;"生成成长"),3))*(VLOOKUP($B$5,标准坦克设计!$B$14:$K$20,9)/30))</f>
        <v>5.9487103116890712</v>
      </c>
      <c r="AD208" s="172">
        <f ca="1">(VLOOKUP(AD$72,INDIRECT($C$5&amp;"生成成长"),2))/((VLOOKUP($B208,INDIRECT($B$5&amp;"生成成长"),4))/(VLOOKUP(AD$72,INDIRECT($C$5&amp;"生成成长"),5))*(VLOOKUP($B$5,标准坦克设计!$B$24:$U$30,MATCH("对"&amp;LEFT($C$5,2)&amp;"输出",标准坦克设计!$B$23:$U$23,0)))*(VLOOKUP($B208,INDIRECT($B$5&amp;"生成成长"),3))*(VLOOKUP($B$5,标准坦克设计!$B$14:$K$20,9)/30))</f>
        <v>6.4702867099214938</v>
      </c>
      <c r="AE208" s="172">
        <f ca="1">(VLOOKUP(AE$72,INDIRECT($C$5&amp;"生成成长"),2))/((VLOOKUP($B208,INDIRECT($B$5&amp;"生成成长"),4))/(VLOOKUP(AE$72,INDIRECT($C$5&amp;"生成成长"),5))*(VLOOKUP($B$5,标准坦克设计!$B$24:$U$30,MATCH("对"&amp;LEFT($C$5,2)&amp;"输出",标准坦克设计!$B$23:$U$23,0)))*(VLOOKUP($B208,INDIRECT($B$5&amp;"生成成长"),3))*(VLOOKUP($B$5,标准坦克设计!$B$14:$K$20,9)/30))</f>
        <v>7.0137780828695639</v>
      </c>
      <c r="AF208" s="172">
        <f ca="1">(VLOOKUP(AF$72,INDIRECT($C$5&amp;"生成成长"),2))/((VLOOKUP($B208,INDIRECT($B$5&amp;"生成成长"),4))/(VLOOKUP(AF$72,INDIRECT($C$5&amp;"生成成长"),5))*(VLOOKUP($B$5,标准坦克设计!$B$24:$U$30,MATCH("对"&amp;LEFT($C$5,2)&amp;"输出",标准坦克设计!$B$23:$U$23,0)))*(VLOOKUP($B208,INDIRECT($B$5&amp;"生成成长"),3))*(VLOOKUP($B$5,标准坦克设计!$B$14:$K$20,9)/30))</f>
        <v>7.5791844305332843</v>
      </c>
      <c r="AG208" s="172">
        <f ca="1">(VLOOKUP(AG$72,INDIRECT($C$5&amp;"生成成长"),2))/((VLOOKUP($B208,INDIRECT($B$5&amp;"生成成长"),4))/(VLOOKUP(AG$72,INDIRECT($C$5&amp;"生成成长"),5))*(VLOOKUP($B$5,标准坦克设计!$B$24:$U$30,MATCH("对"&amp;LEFT($C$5,2)&amp;"输出",标准坦克设计!$B$23:$U$23,0)))*(VLOOKUP($B208,INDIRECT($B$5&amp;"生成成长"),3))*(VLOOKUP($B$5,标准坦克设计!$B$14:$K$20,9)/30))</f>
        <v>8.1665057529126504</v>
      </c>
      <c r="AH208" s="172">
        <f ca="1">(VLOOKUP(AH$72,INDIRECT($C$5&amp;"生成成长"),2))/((VLOOKUP($B208,INDIRECT($B$5&amp;"生成成长"),4))/(VLOOKUP(AH$72,INDIRECT($C$5&amp;"生成成长"),5))*(VLOOKUP($B$5,标准坦克设计!$B$24:$U$30,MATCH("对"&amp;LEFT($C$5,2)&amp;"输出",标准坦克设计!$B$23:$U$23,0)))*(VLOOKUP($B208,INDIRECT($B$5&amp;"生成成长"),3))*(VLOOKUP($B$5,标准坦克设计!$B$14:$K$20,9)/30))</f>
        <v>8.7757420500076631</v>
      </c>
      <c r="AI208" s="172">
        <f ca="1">(VLOOKUP(AI$72,INDIRECT($C$5&amp;"生成成长"),2))/((VLOOKUP($B208,INDIRECT($B$5&amp;"生成成长"),4))/(VLOOKUP(AI$72,INDIRECT($C$5&amp;"生成成长"),5))*(VLOOKUP($B$5,标准坦克设计!$B$24:$U$30,MATCH("对"&amp;LEFT($C$5,2)&amp;"输出",标准坦克设计!$B$23:$U$23,0)))*(VLOOKUP($B208,INDIRECT($B$5&amp;"生成成长"),3))*(VLOOKUP($B$5,标准坦克设计!$B$14:$K$20,9)/30))</f>
        <v>6.2067591389658254</v>
      </c>
      <c r="AJ208" s="172">
        <f ca="1">(VLOOKUP(AJ$72,INDIRECT($C$5&amp;"生成成长"),2))/((VLOOKUP($B208,INDIRECT($B$5&amp;"生成成长"),4))/(VLOOKUP(AJ$72,INDIRECT($C$5&amp;"生成成长"),5))*(VLOOKUP($B$5,标准坦克设计!$B$24:$U$30,MATCH("对"&amp;LEFT($C$5,2)&amp;"输出",标准坦克设计!$B$23:$U$23,0)))*(VLOOKUP($B208,INDIRECT($B$5&amp;"生成成长"),3))*(VLOOKUP($B$5,标准坦克设计!$B$14:$K$20,9)/30))</f>
        <v>6.7937517367244569</v>
      </c>
      <c r="AK208" s="172">
        <f ca="1">(VLOOKUP(AK$72,INDIRECT($C$5&amp;"生成成长"),2))/((VLOOKUP($B208,INDIRECT($B$5&amp;"生成成长"),4))/(VLOOKUP(AK$72,INDIRECT($C$5&amp;"生成成长"),5))*(VLOOKUP($B$5,标准坦克设计!$B$24:$U$30,MATCH("对"&amp;LEFT($C$5,2)&amp;"输出",标准坦克设计!$B$23:$U$23,0)))*(VLOOKUP($B208,INDIRECT($B$5&amp;"生成成长"),3))*(VLOOKUP($B$5,标准坦克设计!$B$14:$K$20,9)/30))</f>
        <v>7.4072614538890251</v>
      </c>
      <c r="AL208" s="172">
        <f ca="1">(VLOOKUP(AL$72,INDIRECT($C$5&amp;"生成成长"),2))/((VLOOKUP($B208,INDIRECT($B$5&amp;"生成成长"),4))/(VLOOKUP(AL$72,INDIRECT($C$5&amp;"生成成长"),5))*(VLOOKUP($B$5,标准坦克设计!$B$24:$U$30,MATCH("对"&amp;LEFT($C$5,2)&amp;"输出",标准坦克设计!$B$23:$U$23,0)))*(VLOOKUP($B208,INDIRECT($B$5&amp;"生成成长"),3))*(VLOOKUP($B$5,标准坦克设计!$B$14:$K$20,9)/30))</f>
        <v>8.0472882904595231</v>
      </c>
      <c r="AM208" s="172">
        <f ca="1">(VLOOKUP(AM$72,INDIRECT($C$5&amp;"生成成长"),2))/((VLOOKUP($B208,INDIRECT($B$5&amp;"生成成长"),4))/(VLOOKUP(AM$72,INDIRECT($C$5&amp;"生成成长"),5))*(VLOOKUP($B$5,标准坦克设计!$B$24:$U$30,MATCH("对"&amp;LEFT($C$5,2)&amp;"输出",标准坦克设计!$B$23:$U$23,0)))*(VLOOKUP($B208,INDIRECT($B$5&amp;"生成成长"),3))*(VLOOKUP($B$5,标准坦克设计!$B$14:$K$20,9)/30))</f>
        <v>8.7138322464359579</v>
      </c>
      <c r="AN208" s="172">
        <f ca="1">(VLOOKUP(AN$72,INDIRECT($C$5&amp;"生成成长"),2))/((VLOOKUP($B208,INDIRECT($B$5&amp;"生成成长"),4))/(VLOOKUP(AN$72,INDIRECT($C$5&amp;"生成成长"),5))*(VLOOKUP($B$5,标准坦克设计!$B$24:$U$30,MATCH("对"&amp;LEFT($C$5,2)&amp;"输出",标准坦克设计!$B$23:$U$23,0)))*(VLOOKUP($B208,INDIRECT($B$5&amp;"生成成长"),3))*(VLOOKUP($B$5,标准坦克设计!$B$14:$K$20,9)/30))</f>
        <v>9.406893321818325</v>
      </c>
      <c r="AO208" s="172">
        <f ca="1">(VLOOKUP(AO$72,INDIRECT($C$5&amp;"生成成长"),2))/((VLOOKUP($B208,INDIRECT($B$5&amp;"生成成长"),4))/(VLOOKUP(AO$72,INDIRECT($C$5&amp;"生成成长"),5))*(VLOOKUP($B$5,标准坦克设计!$B$24:$U$30,MATCH("对"&amp;LEFT($C$5,2)&amp;"输出",标准坦克设计!$B$23:$U$23,0)))*(VLOOKUP($B208,INDIRECT($B$5&amp;"生成成长"),3))*(VLOOKUP($B$5,标准坦克设计!$B$14:$K$20,9)/30))</f>
        <v>10.126471516606626</v>
      </c>
      <c r="AP208" s="172">
        <f ca="1">(VLOOKUP(AP$72,INDIRECT($C$5&amp;"生成成长"),2))/((VLOOKUP($B208,INDIRECT($B$5&amp;"生成成长"),4))/(VLOOKUP(AP$72,INDIRECT($C$5&amp;"生成成长"),5))*(VLOOKUP($B$5,标准坦克设计!$B$24:$U$30,MATCH("对"&amp;LEFT($C$5,2)&amp;"输出",标准坦克设计!$B$23:$U$23,0)))*(VLOOKUP($B208,INDIRECT($B$5&amp;"生成成长"),3))*(VLOOKUP($B$5,标准坦克设计!$B$14:$K$20,9)/30))</f>
        <v>10.872566830800864</v>
      </c>
      <c r="AQ208" s="172">
        <f ca="1">(VLOOKUP(AQ$72,INDIRECT($C$5&amp;"生成成长"),2))/((VLOOKUP($B208,INDIRECT($B$5&amp;"生成成长"),4))/(VLOOKUP(AQ$72,INDIRECT($C$5&amp;"生成成长"),5))*(VLOOKUP($B$5,标准坦克设计!$B$24:$U$30,MATCH("对"&amp;LEFT($C$5,2)&amp;"输出",标准坦克设计!$B$23:$U$23,0)))*(VLOOKUP($B208,INDIRECT($B$5&amp;"生成成长"),3))*(VLOOKUP($B$5,标准坦克设计!$B$14:$K$20,9)/30))</f>
        <v>11.645179264401033</v>
      </c>
      <c r="AR208" s="172">
        <f ca="1">(VLOOKUP(AR$72,INDIRECT($C$5&amp;"生成成长"),2))/((VLOOKUP($B208,INDIRECT($B$5&amp;"生成成长"),4))/(VLOOKUP(AR$72,INDIRECT($C$5&amp;"生成成长"),5))*(VLOOKUP($B$5,标准坦克设计!$B$24:$U$30,MATCH("对"&amp;LEFT($C$5,2)&amp;"输出",标准坦克设计!$B$23:$U$23,0)))*(VLOOKUP($B208,INDIRECT($B$5&amp;"生成成长"),3))*(VLOOKUP($B$5,标准坦克设计!$B$14:$K$20,9)/30))</f>
        <v>12.444308817407135</v>
      </c>
      <c r="AS208" s="172">
        <f ca="1">(VLOOKUP(AS$72,INDIRECT($C$5&amp;"生成成长"),2))/((VLOOKUP($B208,INDIRECT($B$5&amp;"生成成长"),4))/(VLOOKUP(AS$72,INDIRECT($C$5&amp;"生成成长"),5))*(VLOOKUP($B$5,标准坦克设计!$B$24:$U$30,MATCH("对"&amp;LEFT($C$5,2)&amp;"输出",标准坦克设计!$B$23:$U$23,0)))*(VLOOKUP($B208,INDIRECT($B$5&amp;"生成成长"),3))*(VLOOKUP($B$5,标准坦克设计!$B$14:$K$20,9)/30))</f>
        <v>13.269955489819175</v>
      </c>
      <c r="AT208" s="172">
        <f ca="1">(VLOOKUP(AT$72,INDIRECT($C$5&amp;"生成成长"),2))/((VLOOKUP($B208,INDIRECT($B$5&amp;"生成成长"),4))/(VLOOKUP(AT$72,INDIRECT($C$5&amp;"生成成长"),5))*(VLOOKUP($B$5,标准坦克设计!$B$24:$U$30,MATCH("对"&amp;LEFT($C$5,2)&amp;"输出",标准坦克设计!$B$23:$U$23,0)))*(VLOOKUP($B208,INDIRECT($B$5&amp;"生成成长"),3))*(VLOOKUP($B$5,标准坦克设计!$B$14:$K$20,9)/30))</f>
        <v>14.122119281637152</v>
      </c>
      <c r="AU208" s="172">
        <f ca="1">(VLOOKUP(AU$72,INDIRECT($C$5&amp;"生成成长"),2))/((VLOOKUP($B208,INDIRECT($B$5&amp;"生成成长"),4))/(VLOOKUP(AU$72,INDIRECT($C$5&amp;"生成成长"),5))*(VLOOKUP($B$5,标准坦克设计!$B$24:$U$30,MATCH("对"&amp;LEFT($C$5,2)&amp;"输出",标准坦克设计!$B$23:$U$23,0)))*(VLOOKUP($B208,INDIRECT($B$5&amp;"生成成长"),3))*(VLOOKUP($B$5,标准坦克设计!$B$14:$K$20,9)/30))</f>
        <v>15.000800192861053</v>
      </c>
      <c r="AV208" s="172">
        <f ca="1">(VLOOKUP(AV$72,INDIRECT($C$5&amp;"生成成长"),2))/((VLOOKUP($B208,INDIRECT($B$5&amp;"生成成长"),4))/(VLOOKUP(AV$72,INDIRECT($C$5&amp;"生成成长"),5))*(VLOOKUP($B$5,标准坦克设计!$B$24:$U$30,MATCH("对"&amp;LEFT($C$5,2)&amp;"输出",标准坦克设计!$B$23:$U$23,0)))*(VLOOKUP($B208,INDIRECT($B$5&amp;"生成成长"),3))*(VLOOKUP($B$5,标准坦克设计!$B$14:$K$20,9)/30))</f>
        <v>1.5257205397034137</v>
      </c>
      <c r="AW208" s="172">
        <f ca="1">(VLOOKUP(AW$72,INDIRECT($C$5&amp;"生成成长"),2))/((VLOOKUP($B208,INDIRECT($B$5&amp;"生成成长"),4))/(VLOOKUP(AW$72,INDIRECT($C$5&amp;"生成成长"),5))*(VLOOKUP($B$5,标准坦克设计!$B$24:$U$30,MATCH("对"&amp;LEFT($C$5,2)&amp;"输出",标准坦克设计!$B$23:$U$23,0)))*(VLOOKUP($B208,INDIRECT($B$5&amp;"生成成长"),3))*(VLOOKUP($B$5,标准坦克设计!$B$14:$K$20,9)/30))</f>
        <v>1.7396106929281379</v>
      </c>
      <c r="AX208" s="172">
        <f ca="1">(VLOOKUP(AX$72,INDIRECT($C$5&amp;"生成成长"),2))/((VLOOKUP($B208,INDIRECT($B$5&amp;"生成成长"),4))/(VLOOKUP(AX$72,INDIRECT($C$5&amp;"生成成长"),5))*(VLOOKUP($B$5,标准坦克设计!$B$24:$U$30,MATCH("对"&amp;LEFT($C$5,2)&amp;"输出",标准坦克设计!$B$23:$U$23,0)))*(VLOOKUP($B208,INDIRECT($B$5&amp;"生成成长"),3))*(VLOOKUP($B$5,标准坦克设计!$B$14:$K$20,9)/30))</f>
        <v>1.9675264299708777</v>
      </c>
      <c r="AY208" s="172">
        <f ca="1">(VLOOKUP(AY$72,INDIRECT($C$5&amp;"生成成长"),2))/((VLOOKUP($B208,INDIRECT($B$5&amp;"生成成长"),4))/(VLOOKUP(AY$72,INDIRECT($C$5&amp;"生成成长"),5))*(VLOOKUP($B$5,标准坦克设计!$B$24:$U$30,MATCH("对"&amp;LEFT($C$5,2)&amp;"输出",标准坦克设计!$B$23:$U$23,0)))*(VLOOKUP($B208,INDIRECT($B$5&amp;"生成成长"),3))*(VLOOKUP($B$5,标准坦克设计!$B$14:$K$20,9)/30))</f>
        <v>2.2094677508316312</v>
      </c>
      <c r="AZ208" s="172">
        <f ca="1">(VLOOKUP(AZ$72,INDIRECT($C$5&amp;"生成成长"),2))/((VLOOKUP($B208,INDIRECT($B$5&amp;"生成成长"),4))/(VLOOKUP(AZ$72,INDIRECT($C$5&amp;"生成成长"),5))*(VLOOKUP($B$5,标准坦克设计!$B$24:$U$30,MATCH("对"&amp;LEFT($C$5,2)&amp;"输出",标准坦克设计!$B$23:$U$23,0)))*(VLOOKUP($B208,INDIRECT($B$5&amp;"生成成长"),3))*(VLOOKUP($B$5,标准坦克设计!$B$14:$K$20,9)/30))</f>
        <v>2.4654346555104003</v>
      </c>
      <c r="BA208" s="172">
        <f ca="1">(VLOOKUP(BA$72,INDIRECT($C$5&amp;"生成成长"),2))/((VLOOKUP($B208,INDIRECT($B$5&amp;"生成成长"),4))/(VLOOKUP(BA$72,INDIRECT($C$5&amp;"生成成长"),5))*(VLOOKUP($B$5,标准坦克设计!$B$24:$U$30,MATCH("对"&amp;LEFT($C$5,2)&amp;"输出",标准坦克设计!$B$23:$U$23,0)))*(VLOOKUP($B208,INDIRECT($B$5&amp;"生成成长"),3))*(VLOOKUP($B$5,标准坦克设计!$B$14:$K$20,9)/30))</f>
        <v>2.7354271440071836</v>
      </c>
      <c r="BB208" s="172">
        <f ca="1">(VLOOKUP(BB$72,INDIRECT($C$5&amp;"生成成长"),2))/((VLOOKUP($B208,INDIRECT($B$5&amp;"生成成长"),4))/(VLOOKUP(BB$72,INDIRECT($C$5&amp;"生成成长"),5))*(VLOOKUP($B$5,标准坦克设计!$B$24:$U$30,MATCH("对"&amp;LEFT($C$5,2)&amp;"输出",标准坦克设计!$B$23:$U$23,0)))*(VLOOKUP($B208,INDIRECT($B$5&amp;"生成成长"),3))*(VLOOKUP($B$5,标准坦克设计!$B$14:$K$20,9)/30))</f>
        <v>3.0194452163219809</v>
      </c>
      <c r="BC208" s="172">
        <f ca="1">(VLOOKUP(BC$72,INDIRECT($C$5&amp;"生成成长"),2))/((VLOOKUP($B208,INDIRECT($B$5&amp;"生成成长"),4))/(VLOOKUP(BC$72,INDIRECT($C$5&amp;"生成成长"),5))*(VLOOKUP($B$5,标准坦克设计!$B$24:$U$30,MATCH("对"&amp;LEFT($C$5,2)&amp;"输出",标准坦克设计!$B$23:$U$23,0)))*(VLOOKUP($B208,INDIRECT($B$5&amp;"生成成长"),3))*(VLOOKUP($B$5,标准坦克设计!$B$14:$K$20,9)/30))</f>
        <v>3.3174888724547937</v>
      </c>
      <c r="BD208" s="172">
        <f ca="1">(VLOOKUP(BD$72,INDIRECT($C$5&amp;"生成成长"),2))/((VLOOKUP($B208,INDIRECT($B$5&amp;"生成成长"),4))/(VLOOKUP(BD$72,INDIRECT($C$5&amp;"生成成长"),5))*(VLOOKUP($B$5,标准坦克设计!$B$24:$U$30,MATCH("对"&amp;LEFT($C$5,2)&amp;"输出",标准坦克设计!$B$23:$U$23,0)))*(VLOOKUP($B208,INDIRECT($B$5&amp;"生成成长"),3))*(VLOOKUP($B$5,标准坦克设计!$B$14:$K$20,9)/30))</f>
        <v>3.6695529412616792</v>
      </c>
      <c r="BE208" s="172">
        <f ca="1">(VLOOKUP(BE$72,INDIRECT($C$5&amp;"生成成长"),2))/((VLOOKUP($B208,INDIRECT($B$5&amp;"生成成长"),4))/(VLOOKUP(BE$72,INDIRECT($C$5&amp;"生成成长"),5))*(VLOOKUP($B$5,标准坦克设计!$B$24:$U$30,MATCH("对"&amp;LEFT($C$5,2)&amp;"输出",标准坦克设计!$B$23:$U$23,0)))*(VLOOKUP($B208,INDIRECT($B$5&amp;"生成成长"),3))*(VLOOKUP($B$5,标准坦克设计!$B$14:$K$20,9)/30))</f>
        <v>4.0393681395882393</v>
      </c>
      <c r="BF208" s="172">
        <f ca="1">(VLOOKUP(BF$72,INDIRECT($C$5&amp;"生成成长"),2))/((VLOOKUP($B208,INDIRECT($B$5&amp;"生成成长"),4))/(VLOOKUP(BF$72,INDIRECT($C$5&amp;"生成成长"),5))*(VLOOKUP($B$5,标准坦克设计!$B$24:$U$30,MATCH("对"&amp;LEFT($C$5,2)&amp;"输出",标准坦克设计!$B$23:$U$23,0)))*(VLOOKUP($B208,INDIRECT($B$5&amp;"生成成长"),3))*(VLOOKUP($B$5,标准坦克设计!$B$14:$K$20,9)/30))</f>
        <v>4.4269344674344744</v>
      </c>
      <c r="BG208" s="172">
        <f ca="1">(VLOOKUP(BG$72,INDIRECT($C$5&amp;"生成成长"),2))/((VLOOKUP($B208,INDIRECT($B$5&amp;"生成成长"),4))/(VLOOKUP(BG$72,INDIRECT($C$5&amp;"生成成长"),5))*(VLOOKUP($B$5,标准坦克设计!$B$24:$U$30,MATCH("对"&amp;LEFT($C$5,2)&amp;"输出",标准坦克设计!$B$23:$U$23,0)))*(VLOOKUP($B208,INDIRECT($B$5&amp;"生成成长"),3))*(VLOOKUP($B$5,标准坦克设计!$B$14:$K$20,9)/30))</f>
        <v>4.8322519248003841</v>
      </c>
      <c r="BH208" s="172">
        <f ca="1">(VLOOKUP(BH$72,INDIRECT($C$5&amp;"生成成长"),2))/((VLOOKUP($B208,INDIRECT($B$5&amp;"生成成长"),4))/(VLOOKUP(BH$72,INDIRECT($C$5&amp;"生成成长"),5))*(VLOOKUP($B$5,标准坦克设计!$B$24:$U$30,MATCH("对"&amp;LEFT($C$5,2)&amp;"输出",标准坦克设计!$B$23:$U$23,0)))*(VLOOKUP($B208,INDIRECT($B$5&amp;"生成成长"),3))*(VLOOKUP($B$5,标准坦克设计!$B$14:$K$20,9)/30))</f>
        <v>2.3356980051937635</v>
      </c>
      <c r="BI208" s="172">
        <f ca="1">(VLOOKUP(BI$72,INDIRECT($C$5&amp;"生成成长"),2))/((VLOOKUP($B208,INDIRECT($B$5&amp;"生成成长"),4))/(VLOOKUP(BI$72,INDIRECT($C$5&amp;"生成成长"),5))*(VLOOKUP($B$5,标准坦克设计!$B$24:$U$30,MATCH("对"&amp;LEFT($C$5,2)&amp;"输出",标准坦克设计!$B$23:$U$23,0)))*(VLOOKUP($B208,INDIRECT($B$5&amp;"生成成长"),3))*(VLOOKUP($B$5,标准坦克设计!$B$14:$K$20,9)/30))</f>
        <v>2.6325363377172155</v>
      </c>
      <c r="BJ208" s="172">
        <f ca="1">(VLOOKUP(BJ$72,INDIRECT($C$5&amp;"生成成长"),2))/((VLOOKUP($B208,INDIRECT($B$5&amp;"生成成长"),4))/(VLOOKUP(BJ$72,INDIRECT($C$5&amp;"生成成长"),5))*(VLOOKUP($B$5,标准坦克设计!$B$24:$U$30,MATCH("对"&amp;LEFT($C$5,2)&amp;"输出",标准坦克设计!$B$23:$U$23,0)))*(VLOOKUP($B208,INDIRECT($B$5&amp;"生成成长"),3))*(VLOOKUP($B$5,标准坦克设计!$B$14:$K$20,9)/30))</f>
        <v>2.9471257997603426</v>
      </c>
      <c r="BK208" s="172">
        <f ca="1">(VLOOKUP(BK$72,INDIRECT($C$5&amp;"生成成长"),2))/((VLOOKUP($B208,INDIRECT($B$5&amp;"生成成长"),4))/(VLOOKUP(BK$72,INDIRECT($C$5&amp;"生成成长"),5))*(VLOOKUP($B$5,标准坦克设计!$B$24:$U$30,MATCH("对"&amp;LEFT($C$5,2)&amp;"输出",标准坦克设计!$B$23:$U$23,0)))*(VLOOKUP($B208,INDIRECT($B$5&amp;"生成成长"),3))*(VLOOKUP($B$5,标准坦克设计!$B$14:$K$20,9)/30))</f>
        <v>3.2794663913231448</v>
      </c>
      <c r="BL208" s="172">
        <f ca="1">(VLOOKUP(BL$72,INDIRECT($C$5&amp;"生成成长"),2))/((VLOOKUP($B208,INDIRECT($B$5&amp;"生成成长"),4))/(VLOOKUP(BL$72,INDIRECT($C$5&amp;"生成成长"),5))*(VLOOKUP($B$5,标准坦克设计!$B$24:$U$30,MATCH("对"&amp;LEFT($C$5,2)&amp;"输出",标准坦克设计!$B$23:$U$23,0)))*(VLOOKUP($B208,INDIRECT($B$5&amp;"生成成长"),3))*(VLOOKUP($B$5,标准坦克设计!$B$14:$K$20,9)/30))</f>
        <v>3.6295581124056211</v>
      </c>
      <c r="BM208" s="172">
        <f ca="1">(VLOOKUP(BM$72,INDIRECT($C$5&amp;"生成成长"),2))/((VLOOKUP($B208,INDIRECT($B$5&amp;"生成成长"),4))/(VLOOKUP(BM$72,INDIRECT($C$5&amp;"生成成长"),5))*(VLOOKUP($B$5,标准坦克设计!$B$24:$U$30,MATCH("对"&amp;LEFT($C$5,2)&amp;"输出",标准坦克设计!$B$23:$U$23,0)))*(VLOOKUP($B208,INDIRECT($B$5&amp;"生成成长"),3))*(VLOOKUP($B$5,标准坦克设计!$B$14:$K$20,9)/30))</f>
        <v>3.9974009630077729</v>
      </c>
      <c r="BN208" s="172">
        <f ca="1">(VLOOKUP(BN$72,INDIRECT($C$5&amp;"生成成长"),2))/((VLOOKUP($B208,INDIRECT($B$5&amp;"生成成长"),4))/(VLOOKUP(BN$72,INDIRECT($C$5&amp;"生成成长"),5))*(VLOOKUP($B$5,标准坦克设计!$B$24:$U$30,MATCH("对"&amp;LEFT($C$5,2)&amp;"输出",标准坦克设计!$B$23:$U$23,0)))*(VLOOKUP($B208,INDIRECT($B$5&amp;"生成成长"),3))*(VLOOKUP($B$5,标准坦克设计!$B$14:$K$20,9)/30))</f>
        <v>4.3829949431296003</v>
      </c>
      <c r="BO208" s="172">
        <f ca="1">(VLOOKUP(BO$72,INDIRECT($C$5&amp;"生成成长"),2))/((VLOOKUP($B208,INDIRECT($B$5&amp;"生成成长"),4))/(VLOOKUP(BO$72,INDIRECT($C$5&amp;"生成成长"),5))*(VLOOKUP($B$5,标准坦克设计!$B$24:$U$30,MATCH("对"&amp;LEFT($C$5,2)&amp;"输出",标准坦克设计!$B$23:$U$23,0)))*(VLOOKUP($B208,INDIRECT($B$5&amp;"生成成长"),3))*(VLOOKUP($B$5,标准坦克设计!$B$14:$K$20,9)/30))</f>
        <v>4.7863400527711004</v>
      </c>
      <c r="BP208" s="172">
        <f ca="1">(VLOOKUP(BP$72,INDIRECT($C$5&amp;"生成成长"),2))/((VLOOKUP($B208,INDIRECT($B$5&amp;"生成成长"),4))/(VLOOKUP(BP$72,INDIRECT($C$5&amp;"生成成长"),5))*(VLOOKUP($B$5,标准坦克设计!$B$24:$U$30,MATCH("对"&amp;LEFT($C$5,2)&amp;"输出",标准坦克设计!$B$23:$U$23,0)))*(VLOOKUP($B208,INDIRECT($B$5&amp;"生成成长"),3))*(VLOOKUP($B$5,标准坦克设计!$B$14:$K$20,9)/30))</f>
        <v>5.2074362919322779</v>
      </c>
      <c r="BQ208" s="172">
        <f ca="1">(VLOOKUP(BQ$72,INDIRECT($C$5&amp;"生成成长"),2))/((VLOOKUP($B208,INDIRECT($B$5&amp;"生成成长"),4))/(VLOOKUP(BQ$72,INDIRECT($C$5&amp;"生成成长"),5))*(VLOOKUP($B$5,标准坦克设计!$B$24:$U$30,MATCH("对"&amp;LEFT($C$5,2)&amp;"输出",标准坦克设计!$B$23:$U$23,0)))*(VLOOKUP($B208,INDIRECT($B$5&amp;"生成成长"),3))*(VLOOKUP($B$5,标准坦克设计!$B$14:$K$20,9)/30))</f>
        <v>5.6462836606131281</v>
      </c>
      <c r="BR208" s="172">
        <f ca="1">(VLOOKUP(BR$72,INDIRECT($C$5&amp;"生成成长"),2))/((VLOOKUP($B208,INDIRECT($B$5&amp;"生成成长"),4))/(VLOOKUP(BR$72,INDIRECT($C$5&amp;"生成成长"),5))*(VLOOKUP($B$5,标准坦克设计!$B$24:$U$30,MATCH("对"&amp;LEFT($C$5,2)&amp;"输出",标准坦克设计!$B$23:$U$23,0)))*(VLOOKUP($B208,INDIRECT($B$5&amp;"生成成长"),3))*(VLOOKUP($B$5,标准坦克设计!$B$14:$K$20,9)/30))</f>
        <v>6.1547110740161619</v>
      </c>
      <c r="BS208" s="172">
        <f ca="1">(VLOOKUP(BS$72,INDIRECT($C$5&amp;"生成成长"),2))/((VLOOKUP($B208,INDIRECT($B$5&amp;"生成成长"),4))/(VLOOKUP(BS$72,INDIRECT($C$5&amp;"生成成长"),5))*(VLOOKUP($B$5,标准坦克设计!$B$24:$U$30,MATCH("对"&amp;LEFT($C$5,2)&amp;"输出",标准坦克设计!$B$23:$U$23,0)))*(VLOOKUP($B208,INDIRECT($B$5&amp;"生成成长"),3))*(VLOOKUP($B$5,标准坦克设计!$B$14:$K$20,9)/30))</f>
        <v>6.6850534621348441</v>
      </c>
      <c r="BT208" s="172">
        <f ca="1">(VLOOKUP(BT$72,INDIRECT($C$5&amp;"生成成长"),2))/((VLOOKUP($B208,INDIRECT($B$5&amp;"生成成长"),4))/(VLOOKUP(BT$72,INDIRECT($C$5&amp;"生成成长"),5))*(VLOOKUP($B$5,标准坦克设计!$B$24:$U$30,MATCH("对"&amp;LEFT($C$5,2)&amp;"输出",标准坦克设计!$B$23:$U$23,0)))*(VLOOKUP($B208,INDIRECT($B$5&amp;"生成成长"),3))*(VLOOKUP($B$5,标准坦克设计!$B$14:$K$20,9)/30))</f>
        <v>7.2373108249691738</v>
      </c>
      <c r="BU208" s="172">
        <f ca="1">(VLOOKUP(BU$72,INDIRECT($C$5&amp;"生成成长"),2))/((VLOOKUP($B208,INDIRECT($B$5&amp;"生成成长"),4))/(VLOOKUP(BU$72,INDIRECT($C$5&amp;"生成成长"),5))*(VLOOKUP($B$5,标准坦克设计!$B$24:$U$30,MATCH("对"&amp;LEFT($C$5,2)&amp;"输出",标准坦克设计!$B$23:$U$23,0)))*(VLOOKUP($B208,INDIRECT($B$5&amp;"生成成长"),3))*(VLOOKUP($B$5,标准坦克设计!$B$14:$K$20,9)/30))</f>
        <v>7.8114831625191528</v>
      </c>
      <c r="BV208" s="172">
        <f ca="1">(VLOOKUP(BV$72,INDIRECT($C$5&amp;"生成成长"),2))/((VLOOKUP($B208,INDIRECT($B$5&amp;"生成成长"),4))/(VLOOKUP(BV$72,INDIRECT($C$5&amp;"生成成长"),5))*(VLOOKUP($B$5,标准坦克设计!$B$24:$U$30,MATCH("对"&amp;LEFT($C$5,2)&amp;"输出",标准坦克设计!$B$23:$U$23,0)))*(VLOOKUP($B208,INDIRECT($B$5&amp;"生成成长"),3))*(VLOOKUP($B$5,标准坦克设计!$B$14:$K$20,9)/30))</f>
        <v>8.4075704747847766</v>
      </c>
      <c r="BW208" s="172">
        <f ca="1">(VLOOKUP(BW$72,INDIRECT($C$5&amp;"生成成长"),2))/((VLOOKUP($B208,INDIRECT($B$5&amp;"生成成长"),4))/(VLOOKUP(BW$72,INDIRECT($C$5&amp;"生成成长"),5))*(VLOOKUP($B$5,标准坦克设计!$B$24:$U$30,MATCH("对"&amp;LEFT($C$5,2)&amp;"输出",标准坦克设计!$B$23:$U$23,0)))*(VLOOKUP($B208,INDIRECT($B$5&amp;"生成成长"),3))*(VLOOKUP($B$5,标准坦克设计!$B$14:$K$20,9)/30))</f>
        <v>3.8317237541574745</v>
      </c>
      <c r="BX208" s="172">
        <f ca="1">(VLOOKUP(BX$72,INDIRECT($C$5&amp;"生成成长"),2))/((VLOOKUP($B208,INDIRECT($B$5&amp;"生成成长"),4))/(VLOOKUP(BX$72,INDIRECT($C$5&amp;"生成成长"),5))*(VLOOKUP($B$5,标准坦克设计!$B$24:$U$30,MATCH("对"&amp;LEFT($C$5,2)&amp;"输出",标准坦克设计!$B$23:$U$23,0)))*(VLOOKUP($B208,INDIRECT($B$5&amp;"生成成长"),3))*(VLOOKUP($B$5,标准坦克设计!$B$14:$K$20,9)/30))</f>
        <v>4.2524912686979164</v>
      </c>
      <c r="BY208" s="172">
        <f ca="1">(VLOOKUP(BY$72,INDIRECT($C$5&amp;"生成成长"),2))/((VLOOKUP($B208,INDIRECT($B$5&amp;"生成成长"),4))/(VLOOKUP(BY$72,INDIRECT($C$5&amp;"生成成长"),5))*(VLOOKUP($B$5,标准坦克设计!$B$24:$U$30,MATCH("对"&amp;LEFT($C$5,2)&amp;"输出",标准坦克设计!$B$23:$U$23,0)))*(VLOOKUP($B208,INDIRECT($B$5&amp;"生成成长"),3))*(VLOOKUP($B$5,标准坦克设计!$B$14:$K$20,9)/30))</f>
        <v>4.6951737579540049</v>
      </c>
      <c r="BZ208" s="172">
        <f ca="1">(VLOOKUP(BZ$72,INDIRECT($C$5&amp;"生成成长"),2))/((VLOOKUP($B208,INDIRECT($B$5&amp;"生成成长"),4))/(VLOOKUP(BZ$72,INDIRECT($C$5&amp;"生成成长"),5))*(VLOOKUP($B$5,标准坦克设计!$B$24:$U$30,MATCH("对"&amp;LEFT($C$5,2)&amp;"输出",标准坦克设计!$B$23:$U$23,0)))*(VLOOKUP($B208,INDIRECT($B$5&amp;"生成成长"),3))*(VLOOKUP($B$5,标准坦克设计!$B$14:$K$20,9)/30))</f>
        <v>5.1597712219257437</v>
      </c>
      <c r="CA208" s="172">
        <f ca="1">(VLOOKUP(CA$72,INDIRECT($C$5&amp;"生成成长"),2))/((VLOOKUP($B208,INDIRECT($B$5&amp;"生成成长"),4))/(VLOOKUP(CA$72,INDIRECT($C$5&amp;"生成成长"),5))*(VLOOKUP($B$5,标准坦克设计!$B$24:$U$30,MATCH("对"&amp;LEFT($C$5,2)&amp;"输出",标准坦克设计!$B$23:$U$23,0)))*(VLOOKUP($B208,INDIRECT($B$5&amp;"生成成长"),3))*(VLOOKUP($B$5,标准坦克设计!$B$14:$K$20,9)/30))</f>
        <v>5.6462836606131281</v>
      </c>
      <c r="CB208" s="172">
        <f ca="1">(VLOOKUP(CB$72,INDIRECT($C$5&amp;"生成成长"),2))/((VLOOKUP($B208,INDIRECT($B$5&amp;"生成成长"),4))/(VLOOKUP(CB$72,INDIRECT($C$5&amp;"生成成长"),5))*(VLOOKUP($B$5,标准坦克设计!$B$24:$U$30,MATCH("对"&amp;LEFT($C$5,2)&amp;"输出",标准坦克设计!$B$23:$U$23,0)))*(VLOOKUP($B208,INDIRECT($B$5&amp;"生成成长"),3))*(VLOOKUP($B$5,标准坦克设计!$B$14:$K$20,9)/30))</f>
        <v>6.1547110740161619</v>
      </c>
      <c r="CC208" s="172">
        <f ca="1">(VLOOKUP(CC$72,INDIRECT($C$5&amp;"生成成长"),2))/((VLOOKUP($B208,INDIRECT($B$5&amp;"生成成长"),4))/(VLOOKUP(CC$72,INDIRECT($C$5&amp;"生成成长"),5))*(VLOOKUP($B$5,标准坦克设计!$B$24:$U$30,MATCH("对"&amp;LEFT($C$5,2)&amp;"输出",标准坦克设计!$B$23:$U$23,0)))*(VLOOKUP($B208,INDIRECT($B$5&amp;"生成成长"),3))*(VLOOKUP($B$5,标准坦克设计!$B$14:$K$20,9)/30))</f>
        <v>6.6850534621348441</v>
      </c>
      <c r="CD208" s="172">
        <f ca="1">(VLOOKUP(CD$72,INDIRECT($C$5&amp;"生成成长"),2))/((VLOOKUP($B208,INDIRECT($B$5&amp;"生成成长"),4))/(VLOOKUP(CD$72,INDIRECT($C$5&amp;"生成成长"),5))*(VLOOKUP($B$5,标准坦克设计!$B$24:$U$30,MATCH("对"&amp;LEFT($C$5,2)&amp;"输出",标准坦克设计!$B$23:$U$23,0)))*(VLOOKUP($B208,INDIRECT($B$5&amp;"生成成长"),3))*(VLOOKUP($B$5,标准坦克设计!$B$14:$K$20,9)/30))</f>
        <v>7.2373108249691738</v>
      </c>
      <c r="CE208" s="172">
        <f ca="1">(VLOOKUP(CE$72,INDIRECT($C$5&amp;"生成成长"),2))/((VLOOKUP($B208,INDIRECT($B$5&amp;"生成成长"),4))/(VLOOKUP(CE$72,INDIRECT($C$5&amp;"生成成长"),5))*(VLOOKUP($B$5,标准坦克设计!$B$24:$U$30,MATCH("对"&amp;LEFT($C$5,2)&amp;"输出",标准坦克设计!$B$23:$U$23,0)))*(VLOOKUP($B208,INDIRECT($B$5&amp;"生成成长"),3))*(VLOOKUP($B$5,标准坦克设计!$B$14:$K$20,9)/30))</f>
        <v>7.8114831625191528</v>
      </c>
      <c r="CF208" s="172">
        <f ca="1">(VLOOKUP(CF$72,INDIRECT($C$5&amp;"生成成长"),2))/((VLOOKUP($B208,INDIRECT($B$5&amp;"生成成长"),4))/(VLOOKUP(CF$72,INDIRECT($C$5&amp;"生成成长"),5))*(VLOOKUP($B$5,标准坦克设计!$B$24:$U$30,MATCH("对"&amp;LEFT($C$5,2)&amp;"输出",标准坦克设计!$B$23:$U$23,0)))*(VLOOKUP($B208,INDIRECT($B$5&amp;"生成成长"),3))*(VLOOKUP($B$5,标准坦克设计!$B$14:$K$20,9)/30))</f>
        <v>8.4075704747847766</v>
      </c>
      <c r="CG208" s="172">
        <f ca="1">(VLOOKUP(CG$72,INDIRECT($C$5&amp;"生成成长"),2))/((VLOOKUP($B208,INDIRECT($B$5&amp;"生成成长"),4))/(VLOOKUP(CG$72,INDIRECT($C$5&amp;"生成成长"),5))*(VLOOKUP($B$5,标准坦克设计!$B$24:$U$30,MATCH("对"&amp;LEFT($C$5,2)&amp;"输出",标准坦克设计!$B$23:$U$23,0)))*(VLOOKUP($B208,INDIRECT($B$5&amp;"生成成长"),3))*(VLOOKUP($B$5,标准坦克设计!$B$14:$K$20,9)/30))</f>
        <v>9.0255727617660497</v>
      </c>
      <c r="CH208" s="172">
        <f ca="1">(VLOOKUP(CH$72,INDIRECT($C$5&amp;"生成成长"),2))/((VLOOKUP($B208,INDIRECT($B$5&amp;"生成成长"),4))/(VLOOKUP(CH$72,INDIRECT($C$5&amp;"生成成长"),5))*(VLOOKUP($B$5,标准坦克设计!$B$24:$U$30,MATCH("对"&amp;LEFT($C$5,2)&amp;"输出",标准坦克设计!$B$23:$U$23,0)))*(VLOOKUP($B208,INDIRECT($B$5&amp;"生成成长"),3))*(VLOOKUP($B$5,标准坦克设计!$B$14:$K$20,9)/30))</f>
        <v>9.6654900234629721</v>
      </c>
      <c r="CI208" s="172">
        <f ca="1">(VLOOKUP(CI$72,INDIRECT($C$5&amp;"生成成长"),2))/((VLOOKUP($B208,INDIRECT($B$5&amp;"生成成长"),4))/(VLOOKUP(CI$72,INDIRECT($C$5&amp;"生成成长"),5))*(VLOOKUP($B$5,标准坦克设计!$B$24:$U$30,MATCH("对"&amp;LEFT($C$5,2)&amp;"输出",标准坦克设计!$B$23:$U$23,0)))*(VLOOKUP($B208,INDIRECT($B$5&amp;"生成成长"),3))*(VLOOKUP($B$5,标准坦克设计!$B$14:$K$20,9)/30))</f>
        <v>10.394710807126158</v>
      </c>
      <c r="CJ208" s="172">
        <f ca="1">(VLOOKUP(CJ$72,INDIRECT($C$5&amp;"生成成长"),2))/((VLOOKUP($B208,INDIRECT($B$5&amp;"生成成长"),4))/(VLOOKUP(CJ$72,INDIRECT($C$5&amp;"生成成长"),5))*(VLOOKUP($B$5,标准坦克设计!$B$24:$U$30,MATCH("对"&amp;LEFT($C$5,2)&amp;"输出",标准坦克设计!$B$23:$U$23,0)))*(VLOOKUP($B208,INDIRECT($B$5&amp;"生成成长"),3))*(VLOOKUP($B$5,标准坦克设计!$B$14:$K$20,9)/30))</f>
        <v>11.150448710195279</v>
      </c>
      <c r="CK208" s="172">
        <f ca="1">(VLOOKUP(CK$72,INDIRECT($C$5&amp;"生成成长"),2))/((VLOOKUP($B208,INDIRECT($B$5&amp;"生成成长"),4))/(VLOOKUP(CK$72,INDIRECT($C$5&amp;"生成成长"),5))*(VLOOKUP($B$5,标准坦克设计!$B$24:$U$30,MATCH("对"&amp;LEFT($C$5,2)&amp;"输出",标准坦克设计!$B$23:$U$23,0)))*(VLOOKUP($B208,INDIRECT($B$5&amp;"生成成长"),3))*(VLOOKUP($B$5,标准坦克设计!$B$14:$K$20,9)/30))</f>
        <v>11.932703732670335</v>
      </c>
      <c r="CL208" s="172">
        <f ca="1">(VLOOKUP(CL$72,INDIRECT($C$5&amp;"生成成长"),2))/((VLOOKUP($B208,INDIRECT($B$5&amp;"生成成长"),4))/(VLOOKUP(CL$72,INDIRECT($C$5&amp;"生成成长"),5))*(VLOOKUP($B$5,标准坦克设计!$B$24:$U$30,MATCH("对"&amp;LEFT($C$5,2)&amp;"输出",标准坦克设计!$B$23:$U$23,0)))*(VLOOKUP($B208,INDIRECT($B$5&amp;"生成成长"),3))*(VLOOKUP($B$5,标准坦克设计!$B$14:$K$20,9)/30))</f>
        <v>12.741475874551325</v>
      </c>
      <c r="CM208" s="172">
        <f ca="1">(VLOOKUP(CM$72,INDIRECT($C$5&amp;"生成成长"),2))/((VLOOKUP($B208,INDIRECT($B$5&amp;"生成成长"),4))/(VLOOKUP(CM$72,INDIRECT($C$5&amp;"生成成长"),5))*(VLOOKUP($B$5,标准坦克设计!$B$24:$U$30,MATCH("对"&amp;LEFT($C$5,2)&amp;"输出",标准坦克设计!$B$23:$U$23,0)))*(VLOOKUP($B208,INDIRECT($B$5&amp;"生成成长"),3))*(VLOOKUP($B$5,标准坦克设计!$B$14:$K$20,9)/30))</f>
        <v>13.576765135838247</v>
      </c>
      <c r="CN208" s="172">
        <f ca="1">(VLOOKUP(CN$72,INDIRECT($C$5&amp;"生成成长"),2))/((VLOOKUP($B208,INDIRECT($B$5&amp;"生成成长"),4))/(VLOOKUP(CN$72,INDIRECT($C$5&amp;"生成成长"),5))*(VLOOKUP($B$5,标准坦克设计!$B$24:$U$30,MATCH("对"&amp;LEFT($C$5,2)&amp;"输出",标准坦克设计!$B$23:$U$23,0)))*(VLOOKUP($B208,INDIRECT($B$5&amp;"生成成长"),3))*(VLOOKUP($B$5,标准坦克设计!$B$14:$K$20,9)/30))</f>
        <v>14.438571516531105</v>
      </c>
      <c r="CO208" s="172">
        <f ca="1">(VLOOKUP(CO$72,INDIRECT($C$5&amp;"生成成长"),2))/((VLOOKUP($B208,INDIRECT($B$5&amp;"生成成长"),4))/(VLOOKUP(CO$72,INDIRECT($C$5&amp;"生成成长"),5))*(VLOOKUP($B$5,标准坦克设计!$B$24:$U$30,MATCH("对"&amp;LEFT($C$5,2)&amp;"输出",标准坦克设计!$B$23:$U$23,0)))*(VLOOKUP($B208,INDIRECT($B$5&amp;"生成成长"),3))*(VLOOKUP($B$5,标准坦克设计!$B$14:$K$20,9)/30))</f>
        <v>6.4702867099214938</v>
      </c>
      <c r="CP208" s="172">
        <f ca="1">(VLOOKUP(CP$72,INDIRECT($C$5&amp;"生成成长"),2))/((VLOOKUP($B208,INDIRECT($B$5&amp;"生成成长"),4))/(VLOOKUP(CP$72,INDIRECT($C$5&amp;"生成成长"),5))*(VLOOKUP($B$5,标准坦克设计!$B$24:$U$30,MATCH("对"&amp;LEFT($C$5,2)&amp;"输出",标准坦克设计!$B$23:$U$23,0)))*(VLOOKUP($B208,INDIRECT($B$5&amp;"生成成长"),3))*(VLOOKUP($B$5,标准坦克设计!$B$14:$K$20,9)/30))</f>
        <v>7.0693325437737311</v>
      </c>
      <c r="CQ208" s="172">
        <f ca="1">(VLOOKUP(CQ$72,INDIRECT($C$5&amp;"生成成长"),2))/((VLOOKUP($B208,INDIRECT($B$5&amp;"生成成长"),4))/(VLOOKUP(CQ$72,INDIRECT($C$5&amp;"生成成长"),5))*(VLOOKUP($B$5,标准坦克设计!$B$24:$U$30,MATCH("对"&amp;LEFT($C$5,2)&amp;"输出",标准坦克设计!$B$23:$U$23,0)))*(VLOOKUP($B208,INDIRECT($B$5&amp;"生成成长"),3))*(VLOOKUP($B$5,标准坦克设计!$B$14:$K$20,9)/30))</f>
        <v>7.6948954970319017</v>
      </c>
      <c r="CR208" s="172">
        <f ca="1">(VLOOKUP(CR$72,INDIRECT($C$5&amp;"生成成长"),2))/((VLOOKUP($B208,INDIRECT($B$5&amp;"生成成长"),4))/(VLOOKUP(CR$72,INDIRECT($C$5&amp;"生成成长"),5))*(VLOOKUP($B$5,标准坦克设计!$B$24:$U$30,MATCH("对"&amp;LEFT($C$5,2)&amp;"输出",标准坦克设计!$B$23:$U$23,0)))*(VLOOKUP($B208,INDIRECT($B$5&amp;"生成成长"),3))*(VLOOKUP($B$5,标准坦克设计!$B$14:$K$20,9)/30))</f>
        <v>8.3469755696960082</v>
      </c>
      <c r="CS208" s="172">
        <f ca="1">(VLOOKUP(CS$72,INDIRECT($C$5&amp;"生成成长"),2))/((VLOOKUP($B208,INDIRECT($B$5&amp;"生成成长"),4))/(VLOOKUP(CS$72,INDIRECT($C$5&amp;"生成成长"),5))*(VLOOKUP($B$5,标准坦克设计!$B$24:$U$30,MATCH("对"&amp;LEFT($C$5,2)&amp;"输出",标准坦克设计!$B$23:$U$23,0)))*(VLOOKUP($B208,INDIRECT($B$5&amp;"生成成长"),3))*(VLOOKUP($B$5,标准坦克设计!$B$14:$K$20,9)/30))</f>
        <v>9.0255727617660497</v>
      </c>
      <c r="CT208" s="172">
        <f ca="1">(VLOOKUP(CT$72,INDIRECT($C$5&amp;"生成成长"),2))/((VLOOKUP($B208,INDIRECT($B$5&amp;"生成成长"),4))/(VLOOKUP(CT$72,INDIRECT($C$5&amp;"生成成长"),5))*(VLOOKUP($B$5,标准坦克设计!$B$24:$U$30,MATCH("对"&amp;LEFT($C$5,2)&amp;"输出",标准坦克设计!$B$23:$U$23,0)))*(VLOOKUP($B208,INDIRECT($B$5&amp;"生成成长"),3))*(VLOOKUP($B$5,标准坦克设计!$B$14:$K$20,9)/30))</f>
        <v>9.7306870732420236</v>
      </c>
      <c r="CU208" s="172">
        <f ca="1">(VLOOKUP(CU$72,INDIRECT($C$5&amp;"生成成长"),2))/((VLOOKUP($B208,INDIRECT($B$5&amp;"生成成长"),4))/(VLOOKUP(CU$72,INDIRECT($C$5&amp;"生成成长"),5))*(VLOOKUP($B$5,标准坦克设计!$B$24:$U$30,MATCH("对"&amp;LEFT($C$5,2)&amp;"输出",标准坦克设计!$B$23:$U$23,0)))*(VLOOKUP($B208,INDIRECT($B$5&amp;"生成成长"),3))*(VLOOKUP($B$5,标准坦克设计!$B$14:$K$20,9)/30))</f>
        <v>10.462318504123933</v>
      </c>
      <c r="CV208" s="172">
        <f ca="1">(VLOOKUP(CV$72,INDIRECT($C$5&amp;"生成成长"),2))/((VLOOKUP($B208,INDIRECT($B$5&amp;"生成成长"),4))/(VLOOKUP(CV$72,INDIRECT($C$5&amp;"生成成长"),5))*(VLOOKUP($B$5,标准坦克设计!$B$24:$U$30,MATCH("对"&amp;LEFT($C$5,2)&amp;"输出",标准坦克设计!$B$23:$U$23,0)))*(VLOOKUP($B208,INDIRECT($B$5&amp;"生成成长"),3))*(VLOOKUP($B$5,标准坦克设计!$B$14:$K$20,9)/30))</f>
        <v>11.220467054411774</v>
      </c>
      <c r="CW208" s="172">
        <f ca="1">(VLOOKUP(CW$72,INDIRECT($C$5&amp;"生成成长"),2))/((VLOOKUP($B208,INDIRECT($B$5&amp;"生成成长"),4))/(VLOOKUP(CW$72,INDIRECT($C$5&amp;"生成成长"),5))*(VLOOKUP($B$5,标准坦克设计!$B$24:$U$30,MATCH("对"&amp;LEFT($C$5,2)&amp;"输出",标准坦克设计!$B$23:$U$23,0)))*(VLOOKUP($B208,INDIRECT($B$5&amp;"生成成长"),3))*(VLOOKUP($B$5,标准坦克设计!$B$14:$K$20,9)/30))</f>
        <v>12.005132724105552</v>
      </c>
      <c r="CX208" s="172">
        <f ca="1">(VLOOKUP(CX$72,INDIRECT($C$5&amp;"生成成长"),2))/((VLOOKUP($B208,INDIRECT($B$5&amp;"生成成长"),4))/(VLOOKUP(CX$72,INDIRECT($C$5&amp;"生成成长"),5))*(VLOOKUP($B$5,标准坦克设计!$B$24:$U$30,MATCH("对"&amp;LEFT($C$5,2)&amp;"输出",标准坦克设计!$B$23:$U$23,0)))*(VLOOKUP($B208,INDIRECT($B$5&amp;"生成成长"),3))*(VLOOKUP($B$5,标准坦克设计!$B$14:$K$20,9)/30))</f>
        <v>12.816315513205263</v>
      </c>
      <c r="CY208" s="172">
        <f ca="1">(VLOOKUP(CY$72,INDIRECT($C$5&amp;"生成成长"),2))/((VLOOKUP($B208,INDIRECT($B$5&amp;"生成成长"),4))/(VLOOKUP(CY$72,INDIRECT($C$5&amp;"生成成长"),5))*(VLOOKUP($B$5,标准坦克设计!$B$24:$U$30,MATCH("对"&amp;LEFT($C$5,2)&amp;"输出",标准坦克设计!$B$23:$U$23,0)))*(VLOOKUP($B208,INDIRECT($B$5&amp;"生成成长"),3))*(VLOOKUP($B$5,标准坦克设计!$B$14:$K$20,9)/30))</f>
        <v>13.654015421710906</v>
      </c>
      <c r="CZ208" s="172">
        <f ca="1">(VLOOKUP(CZ$72,INDIRECT($C$5&amp;"生成成长"),2))/((VLOOKUP($B208,INDIRECT($B$5&amp;"生成成长"),4))/(VLOOKUP(CZ$72,INDIRECT($C$5&amp;"生成成长"),5))*(VLOOKUP($B$5,标准坦克设计!$B$24:$U$30,MATCH("对"&amp;LEFT($C$5,2)&amp;"输出",标准坦克设计!$B$23:$U$23,0)))*(VLOOKUP($B208,INDIRECT($B$5&amp;"生成成长"),3))*(VLOOKUP($B$5,标准坦克设计!$B$14:$K$20,9)/30))</f>
        <v>14.518232449622484</v>
      </c>
      <c r="DA208" s="172">
        <f ca="1">(VLOOKUP(DA$72,INDIRECT($C$5&amp;"生成成长"),2))/((VLOOKUP($B208,INDIRECT($B$5&amp;"生成成长"),4))/(VLOOKUP(DA$72,INDIRECT($C$5&amp;"生成成长"),5))*(VLOOKUP($B$5,标准坦克设计!$B$24:$U$30,MATCH("对"&amp;LEFT($C$5,2)&amp;"输出",标准坦克设计!$B$23:$U$23,0)))*(VLOOKUP($B208,INDIRECT($B$5&amp;"生成成长"),3))*(VLOOKUP($B$5,标准坦克设计!$B$14:$K$20,9)/30))</f>
        <v>15.408966596939999</v>
      </c>
      <c r="DB208" s="172">
        <f ca="1">(VLOOKUP(DB$72,INDIRECT($C$5&amp;"生成成长"),2))/((VLOOKUP($B208,INDIRECT($B$5&amp;"生成成长"),4))/(VLOOKUP(DB$72,INDIRECT($C$5&amp;"生成成长"),5))*(VLOOKUP($B$5,标准坦克设计!$B$24:$U$30,MATCH("对"&amp;LEFT($C$5,2)&amp;"输出",标准坦克设计!$B$23:$U$23,0)))*(VLOOKUP($B208,INDIRECT($B$5&amp;"生成成长"),3))*(VLOOKUP($B$5,标准坦克设计!$B$14:$K$20,9)/30))</f>
        <v>16.326217863663445</v>
      </c>
      <c r="DC208" s="172">
        <f ca="1">(VLOOKUP(DC$72,INDIRECT($C$5&amp;"生成成长"),2))/((VLOOKUP($B208,INDIRECT($B$5&amp;"生成成长"),4))/(VLOOKUP(DC$72,INDIRECT($C$5&amp;"生成成长"),5))*(VLOOKUP($B$5,标准坦克设计!$B$24:$U$30,MATCH("对"&amp;LEFT($C$5,2)&amp;"输出",标准坦克设计!$B$23:$U$23,0)))*(VLOOKUP($B208,INDIRECT($B$5&amp;"生成成长"),3))*(VLOOKUP($B$5,标准坦克设计!$B$14:$K$20,9)/30))</f>
        <v>17.357098274287527</v>
      </c>
      <c r="DD208" s="172">
        <f ca="1">(VLOOKUP(DD$72,INDIRECT($C$5&amp;"生成成长"),2))/((VLOOKUP($B208,INDIRECT($B$5&amp;"生成成长"),4))/(VLOOKUP(DD$72,INDIRECT($C$5&amp;"生成成长"),5))*(VLOOKUP($B$5,标准坦克设计!$B$24:$U$30,MATCH("对"&amp;LEFT($C$5,2)&amp;"输出",标准坦克设计!$B$23:$U$23,0)))*(VLOOKUP($B208,INDIRECT($B$5&amp;"生成成长"),3))*(VLOOKUP($B$5,标准坦克设计!$B$14:$K$20,9)/30))</f>
        <v>18.419536248502141</v>
      </c>
      <c r="DE208" s="172">
        <f ca="1">(VLOOKUP(DE$72,INDIRECT($C$5&amp;"生成成长"),2))/((VLOOKUP($B208,INDIRECT($B$5&amp;"生成成长"),4))/(VLOOKUP(DE$72,INDIRECT($C$5&amp;"生成成长"),5))*(VLOOKUP($B$5,标准坦克设计!$B$24:$U$30,MATCH("对"&amp;LEFT($C$5,2)&amp;"输出",标准坦克设计!$B$23:$U$23,0)))*(VLOOKUP($B208,INDIRECT($B$5&amp;"生成成长"),3))*(VLOOKUP($B$5,标准坦克设计!$B$14:$K$20,9)/30))</f>
        <v>19.51353178630729</v>
      </c>
      <c r="DF208" s="172">
        <f ca="1">(VLOOKUP(DF$72,INDIRECT($C$5&amp;"生成成长"),2))/((VLOOKUP($B208,INDIRECT($B$5&amp;"生成成长"),4))/(VLOOKUP(DF$72,INDIRECT($C$5&amp;"生成成长"),5))*(VLOOKUP($B$5,标准坦克设计!$B$24:$U$30,MATCH("对"&amp;LEFT($C$5,2)&amp;"输出",标准坦克设计!$B$23:$U$23,0)))*(VLOOKUP($B208,INDIRECT($B$5&amp;"生成成长"),3))*(VLOOKUP($B$5,标准坦克设计!$B$14:$K$20,9)/30))</f>
        <v>20.639084887702975</v>
      </c>
      <c r="DG208" s="172">
        <f ca="1">(VLOOKUP(DG$72,INDIRECT($C$5&amp;"生成成长"),2))/((VLOOKUP($B208,INDIRECT($B$5&amp;"生成成长"),4))/(VLOOKUP(DG$72,INDIRECT($C$5&amp;"生成成长"),5))*(VLOOKUP($B$5,标准坦克设计!$B$24:$U$30,MATCH("对"&amp;LEFT($C$5,2)&amp;"输出",标准坦克设计!$B$23:$U$23,0)))*(VLOOKUP($B208,INDIRECT($B$5&amp;"生成成长"),3))*(VLOOKUP($B$5,标准坦克设计!$B$14:$K$20,9)/30))</f>
        <v>21.796195552689188</v>
      </c>
      <c r="DH208" s="172">
        <f ca="1">(VLOOKUP(DH$72,INDIRECT($C$5&amp;"生成成长"),2))/((VLOOKUP($B208,INDIRECT($B$5&amp;"生成成长"),4))/(VLOOKUP(DH$72,INDIRECT($C$5&amp;"生成成长"),5))*(VLOOKUP($B$5,标准坦克设计!$B$24:$U$30,MATCH("对"&amp;LEFT($C$5,2)&amp;"输出",标准坦克设计!$B$23:$U$23,0)))*(VLOOKUP($B208,INDIRECT($B$5&amp;"生成成长"),3))*(VLOOKUP($B$5,标准坦克设计!$B$14:$K$20,9)/30))</f>
        <v>22.984863781265936</v>
      </c>
      <c r="DI208" s="172">
        <f ca="1">(VLOOKUP(DI$72,INDIRECT($C$5&amp;"生成成长"),2))/((VLOOKUP($B208,INDIRECT($B$5&amp;"生成成长"),4))/(VLOOKUP(DI$72,INDIRECT($C$5&amp;"生成成长"),5))*(VLOOKUP($B$5,标准坦克设计!$B$24:$U$30,MATCH("对"&amp;LEFT($C$5,2)&amp;"输出",标准坦克设计!$B$23:$U$23,0)))*(VLOOKUP($B208,INDIRECT($B$5&amp;"生成成长"),3))*(VLOOKUP($B$5,标准坦克设计!$B$14:$K$20,9)/30))</f>
        <v>24.205089573433213</v>
      </c>
      <c r="DJ208" s="172">
        <f ca="1">(VLOOKUP(DJ$72,INDIRECT($C$5&amp;"生成成长"),2))/((VLOOKUP($B208,INDIRECT($B$5&amp;"生成成长"),4))/(VLOOKUP(DJ$72,INDIRECT($C$5&amp;"生成成长"),5))*(VLOOKUP($B$5,标准坦克设计!$B$24:$U$30,MATCH("对"&amp;LEFT($C$5,2)&amp;"输出",标准坦克设计!$B$23:$U$23,0)))*(VLOOKUP($B208,INDIRECT($B$5&amp;"生成成长"),3))*(VLOOKUP($B$5,标准坦克设计!$B$14:$K$20,9)/30))</f>
        <v>2.4326717683105059</v>
      </c>
      <c r="DK208" s="172">
        <f ca="1">(VLOOKUP(DK$72,INDIRECT($C$5&amp;"生成成长"),2))/((VLOOKUP($B208,INDIRECT($B$5&amp;"生成成长"),4))/(VLOOKUP(DK$72,INDIRECT($C$5&amp;"生成成长"),5))*(VLOOKUP($B$5,标准坦克设计!$B$24:$U$30,MATCH("对"&amp;LEFT($C$5,2)&amp;"输出",标准坦克设计!$B$23:$U$23,0)))*(VLOOKUP($B208,INDIRECT($B$5&amp;"生成成长"),3))*(VLOOKUP($B$5,标准坦克设计!$B$14:$K$20,9)/30))</f>
        <v>2.7354271440071836</v>
      </c>
      <c r="DL208" s="172">
        <f ca="1">(VLOOKUP(DL$72,INDIRECT($C$5&amp;"生成成长"),2))/((VLOOKUP($B208,INDIRECT($B$5&amp;"生成成长"),4))/(VLOOKUP(DL$72,INDIRECT($C$5&amp;"生成成长"),5))*(VLOOKUP($B$5,标准坦克设计!$B$24:$U$30,MATCH("对"&amp;LEFT($C$5,2)&amp;"输出",标准坦克设计!$B$23:$U$23,0)))*(VLOOKUP($B208,INDIRECT($B$5&amp;"生成成长"),3))*(VLOOKUP($B$5,标准坦克设计!$B$14:$K$20,9)/30))</f>
        <v>3.0559336492235354</v>
      </c>
      <c r="DM208" s="172">
        <f ca="1">(VLOOKUP(DM$72,INDIRECT($C$5&amp;"生成成长"),2))/((VLOOKUP($B208,INDIRECT($B$5&amp;"生成成长"),4))/(VLOOKUP(DM$72,INDIRECT($C$5&amp;"生成成长"),5))*(VLOOKUP($B$5,标准坦克设计!$B$24:$U$30,MATCH("对"&amp;LEFT($C$5,2)&amp;"输出",标准坦克设计!$B$23:$U$23,0)))*(VLOOKUP($B208,INDIRECT($B$5&amp;"生成成长"),3))*(VLOOKUP($B$5,标准坦克设计!$B$14:$K$20,9)/30))</f>
        <v>3.3941912839595618</v>
      </c>
      <c r="DN208" s="172">
        <f ca="1">(VLOOKUP(DN$72,INDIRECT($C$5&amp;"生成成长"),2))/((VLOOKUP($B208,INDIRECT($B$5&amp;"生成成长"),4))/(VLOOKUP(DN$72,INDIRECT($C$5&amp;"生成成长"),5))*(VLOOKUP($B$5,标准坦克设计!$B$24:$U$30,MATCH("对"&amp;LEFT($C$5,2)&amp;"输出",标准坦克设计!$B$23:$U$23,0)))*(VLOOKUP($B208,INDIRECT($B$5&amp;"生成成长"),3))*(VLOOKUP($B$5,标准坦克设计!$B$14:$K$20,9)/30))</f>
        <v>3.7502000482152633</v>
      </c>
      <c r="DO208" s="172">
        <f ca="1">(VLOOKUP(DO$72,INDIRECT($C$5&amp;"生成成长"),2))/((VLOOKUP($B208,INDIRECT($B$5&amp;"生成成长"),4))/(VLOOKUP(DO$72,INDIRECT($C$5&amp;"生成成长"),5))*(VLOOKUP($B$5,标准坦克设计!$B$24:$U$30,MATCH("对"&amp;LEFT($C$5,2)&amp;"输出",标准坦克设计!$B$23:$U$23,0)))*(VLOOKUP($B208,INDIRECT($B$5&amp;"生成成长"),3))*(VLOOKUP($B$5,标准坦克设计!$B$14:$K$20,9)/30))</f>
        <v>4.1239599419906412</v>
      </c>
      <c r="DP208" s="172">
        <f ca="1">(VLOOKUP(DP$72,INDIRECT($C$5&amp;"生成成长"),2))/((VLOOKUP($B208,INDIRECT($B$5&amp;"生成成长"),4))/(VLOOKUP(DP$72,INDIRECT($C$5&amp;"生成成长"),5))*(VLOOKUP($B$5,标准坦克设计!$B$24:$U$30,MATCH("对"&amp;LEFT($C$5,2)&amp;"输出",标准坦克设计!$B$23:$U$23,0)))*(VLOOKUP($B208,INDIRECT($B$5&amp;"生成成长"),3))*(VLOOKUP($B$5,标准坦克设计!$B$14:$K$20,9)/30))</f>
        <v>4.5154709652856919</v>
      </c>
      <c r="DQ208" s="172">
        <f ca="1">(VLOOKUP(DQ$72,INDIRECT($C$5&amp;"生成成长"),2))/((VLOOKUP($B208,INDIRECT($B$5&amp;"生成成长"),4))/(VLOOKUP(DQ$72,INDIRECT($C$5&amp;"生成成长"),5))*(VLOOKUP($B$5,标准坦克设计!$B$24:$U$30,MATCH("对"&amp;LEFT($C$5,2)&amp;"输出",标准坦克设计!$B$23:$U$23,0)))*(VLOOKUP($B208,INDIRECT($B$5&amp;"生成成长"),3))*(VLOOKUP($B$5,标准坦克设计!$B$14:$K$20,9)/30))</f>
        <v>4.9247331181004181</v>
      </c>
      <c r="DR208" s="172">
        <f ca="1">(VLOOKUP(DR$72,INDIRECT($C$5&amp;"生成成长"),2))/((VLOOKUP($B208,INDIRECT($B$5&amp;"生成成长"),4))/(VLOOKUP(DR$72,INDIRECT($C$5&amp;"生成成长"),5))*(VLOOKUP($B$5,标准坦克设计!$B$24:$U$30,MATCH("对"&amp;LEFT($C$5,2)&amp;"输出",标准坦克设计!$B$23:$U$23,0)))*(VLOOKUP($B208,INDIRECT($B$5&amp;"生成成长"),3))*(VLOOKUP($B$5,标准坦克设计!$B$14:$K$20,9)/30))</f>
        <v>5.3517464004348199</v>
      </c>
      <c r="DS208" s="172">
        <f ca="1">(VLOOKUP(DS$72,INDIRECT($C$5&amp;"生成成长"),2))/((VLOOKUP($B208,INDIRECT($B$5&amp;"生成成长"),4))/(VLOOKUP(DS$72,INDIRECT($C$5&amp;"生成成长"),5))*(VLOOKUP($B$5,标准坦克设计!$B$24:$U$30,MATCH("对"&amp;LEFT($C$5,2)&amp;"输出",标准坦克设计!$B$23:$U$23,0)))*(VLOOKUP($B208,INDIRECT($B$5&amp;"生成成长"),3))*(VLOOKUP($B$5,标准坦克设计!$B$14:$K$20,9)/30))</f>
        <v>5.7965108122888953</v>
      </c>
      <c r="DT208" s="172">
        <f ca="1">(VLOOKUP(DT$72,INDIRECT($C$5&amp;"生成成长"),2))/((VLOOKUP($B208,INDIRECT($B$5&amp;"生成成长"),4))/(VLOOKUP(DT$72,INDIRECT($C$5&amp;"生成成长"),5))*(VLOOKUP($B$5,标准坦克设计!$B$24:$U$30,MATCH("对"&amp;LEFT($C$5,2)&amp;"输出",标准坦克设计!$B$23:$U$23,0)))*(VLOOKUP($B208,INDIRECT($B$5&amp;"生成成长"),3))*(VLOOKUP($B$5,标准坦克设计!$B$14:$K$20,9)/30))</f>
        <v>6.3642182322977563</v>
      </c>
      <c r="DU208" s="172">
        <f ca="1">(VLOOKUP(DU$72,INDIRECT($C$5&amp;"生成成长"),2))/((VLOOKUP($B208,INDIRECT($B$5&amp;"生成成长"),4))/(VLOOKUP(DU$72,INDIRECT($C$5&amp;"生成成长"),5))*(VLOOKUP($B$5,标准坦克设计!$B$24:$U$30,MATCH("对"&amp;LEFT($C$5,2)&amp;"输出",标准坦克设计!$B$23:$U$23,0)))*(VLOOKUP($B208,INDIRECT($B$5&amp;"生成成长"),3))*(VLOOKUP($B$5,标准坦克设计!$B$14:$K$20,9)/30))</f>
        <v>6.9584427717125514</v>
      </c>
      <c r="DV208" s="172">
        <f ca="1">(VLOOKUP(DV$72,INDIRECT($C$5&amp;"生成成长"),2))/((VLOOKUP($B208,INDIRECT($B$5&amp;"生成成长"),4))/(VLOOKUP(DV$72,INDIRECT($C$5&amp;"生成成长"),5))*(VLOOKUP($B$5,标准坦克设计!$B$24:$U$30,MATCH("对"&amp;LEFT($C$5,2)&amp;"输出",标准坦克设计!$B$23:$U$23,0)))*(VLOOKUP($B208,INDIRECT($B$5&amp;"生成成长"),3))*(VLOOKUP($B$5,标准坦克设计!$B$14:$K$20,9)/30))</f>
        <v>7.5791844305332843</v>
      </c>
      <c r="DW208" s="172">
        <f ca="1">(VLOOKUP(DW$72,INDIRECT($C$5&amp;"生成成长"),2))/((VLOOKUP($B208,INDIRECT($B$5&amp;"生成成长"),4))/(VLOOKUP(DW$72,INDIRECT($C$5&amp;"生成成长"),5))*(VLOOKUP($B$5,标准坦克设计!$B$24:$U$30,MATCH("对"&amp;LEFT($C$5,2)&amp;"输出",标准坦克设计!$B$23:$U$23,0)))*(VLOOKUP($B208,INDIRECT($B$5&amp;"生成成长"),3))*(VLOOKUP($B$5,标准坦克设计!$B$14:$K$20,9)/30))</f>
        <v>8.2264432087599442</v>
      </c>
      <c r="DX208" s="172">
        <f ca="1">(VLOOKUP(DX$72,INDIRECT($C$5&amp;"生成成长"),2))/((VLOOKUP($B208,INDIRECT($B$5&amp;"生成成长"),4))/(VLOOKUP(DX$72,INDIRECT($C$5&amp;"生成成长"),5))*(VLOOKUP($B$5,标准坦克设计!$B$24:$U$30,MATCH("对"&amp;LEFT($C$5,2)&amp;"输出",标准坦克设计!$B$23:$U$23,0)))*(VLOOKUP($B208,INDIRECT($B$5&amp;"生成成长"),3))*(VLOOKUP($B$5,标准坦克设计!$B$14:$K$20,9)/30))</f>
        <v>8.9002191063925444</v>
      </c>
      <c r="DY208" s="172">
        <f ca="1">(VLOOKUP(DY$72,INDIRECT($C$5&amp;"生成成长"),2))/((VLOOKUP($B208,INDIRECT($B$5&amp;"生成成长"),4))/(VLOOKUP(DY$72,INDIRECT($C$5&amp;"生成成长"),5))*(VLOOKUP($B$5,标准坦克设计!$B$24:$U$30,MATCH("对"&amp;LEFT($C$5,2)&amp;"输出",标准坦克设计!$B$23:$U$23,0)))*(VLOOKUP($B208,INDIRECT($B$5&amp;"生成成长"),3))*(VLOOKUP($B$5,标准坦克设计!$B$14:$K$20,9)/30))</f>
        <v>3.9974009630077729</v>
      </c>
      <c r="DZ208" s="172">
        <f ca="1">(VLOOKUP(DZ$72,INDIRECT($C$5&amp;"生成成长"),2))/((VLOOKUP($B208,INDIRECT($B$5&amp;"生成成长"),4))/(VLOOKUP(DZ$72,INDIRECT($C$5&amp;"生成成长"),5))*(VLOOKUP($B$5,标准坦克设计!$B$24:$U$30,MATCH("对"&amp;LEFT($C$5,2)&amp;"输出",标准坦克设计!$B$23:$U$23,0)))*(VLOOKUP($B208,INDIRECT($B$5&amp;"生成成长"),3))*(VLOOKUP($B$5,标准坦克设计!$B$14:$K$20,9)/30))</f>
        <v>4.4269344674344744</v>
      </c>
      <c r="EA208" s="172">
        <f ca="1">(VLOOKUP(EA$72,INDIRECT($C$5&amp;"生成成长"),2))/((VLOOKUP($B208,INDIRECT($B$5&amp;"生成成长"),4))/(VLOOKUP(EA$72,INDIRECT($C$5&amp;"生成成长"),5))*(VLOOKUP($B$5,标准坦克设计!$B$24:$U$30,MATCH("对"&amp;LEFT($C$5,2)&amp;"输出",标准坦克设计!$B$23:$U$23,0)))*(VLOOKUP($B208,INDIRECT($B$5&amp;"生成成长"),3))*(VLOOKUP($B$5,标准坦克设计!$B$14:$K$20,9)/30))</f>
        <v>4.8783829465768225</v>
      </c>
      <c r="EB208" s="172">
        <f ca="1">(VLOOKUP(EB$72,INDIRECT($C$5&amp;"生成成长"),2))/((VLOOKUP($B208,INDIRECT($B$5&amp;"生成成长"),4))/(VLOOKUP(EB$72,INDIRECT($C$5&amp;"生成成长"),5))*(VLOOKUP($B$5,标准坦克设计!$B$24:$U$30,MATCH("对"&amp;LEFT($C$5,2)&amp;"输出",标准坦克设计!$B$23:$U$23,0)))*(VLOOKUP($B208,INDIRECT($B$5&amp;"生成成长"),3))*(VLOOKUP($B$5,标准坦克设计!$B$14:$K$20,9)/30))</f>
        <v>5.3517464004348199</v>
      </c>
      <c r="EC208" s="172">
        <f ca="1">(VLOOKUP(EC$72,INDIRECT($C$5&amp;"生成成长"),2))/((VLOOKUP($B208,INDIRECT($B$5&amp;"生成成长"),4))/(VLOOKUP(EC$72,INDIRECT($C$5&amp;"生成成长"),5))*(VLOOKUP($B$5,标准坦克设计!$B$24:$U$30,MATCH("对"&amp;LEFT($C$5,2)&amp;"输出",标准坦克设计!$B$23:$U$23,0)))*(VLOOKUP($B208,INDIRECT($B$5&amp;"生成成长"),3))*(VLOOKUP($B$5,标准坦克设计!$B$14:$K$20,9)/30))</f>
        <v>5.8470248290084639</v>
      </c>
      <c r="ED208" s="172">
        <f ca="1">(VLOOKUP(ED$72,INDIRECT($C$5&amp;"生成成长"),2))/((VLOOKUP($B208,INDIRECT($B$5&amp;"生成成长"),4))/(VLOOKUP(ED$72,INDIRECT($C$5&amp;"生成成长"),5))*(VLOOKUP($B$5,标准坦克设计!$B$24:$U$30,MATCH("对"&amp;LEFT($C$5,2)&amp;"输出",标准坦克设计!$B$23:$U$23,0)))*(VLOOKUP($B208,INDIRECT($B$5&amp;"生成成长"),3))*(VLOOKUP($B$5,标准坦克设计!$B$14:$K$20,9)/30))</f>
        <v>6.3642182322977563</v>
      </c>
      <c r="EE208" s="172">
        <f ca="1">(VLOOKUP(EE$72,INDIRECT($C$5&amp;"生成成长"),2))/((VLOOKUP($B208,INDIRECT($B$5&amp;"生成成长"),4))/(VLOOKUP(EE$72,INDIRECT($C$5&amp;"生成成长"),5))*(VLOOKUP($B$5,标准坦克设计!$B$24:$U$30,MATCH("对"&amp;LEFT($C$5,2)&amp;"输出",标准坦克设计!$B$23:$U$23,0)))*(VLOOKUP($B208,INDIRECT($B$5&amp;"生成成长"),3))*(VLOOKUP($B$5,标准坦克设计!$B$14:$K$20,9)/30))</f>
        <v>6.9033266103026989</v>
      </c>
      <c r="EF208" s="172">
        <f ca="1">(VLOOKUP(EF$72,INDIRECT($C$5&amp;"生成成长"),2))/((VLOOKUP($B208,INDIRECT($B$5&amp;"生成成长"),4))/(VLOOKUP(EF$72,INDIRECT($C$5&amp;"生成成长"),5))*(VLOOKUP($B$5,标准坦克设计!$B$24:$U$30,MATCH("对"&amp;LEFT($C$5,2)&amp;"输出",标准坦克设计!$B$23:$U$23,0)))*(VLOOKUP($B208,INDIRECT($B$5&amp;"生成成长"),3))*(VLOOKUP($B$5,标准坦克设计!$B$14:$K$20,9)/30))</f>
        <v>7.4643499630232872</v>
      </c>
      <c r="EG208" s="172">
        <f ca="1">(VLOOKUP(EG$72,INDIRECT($C$5&amp;"生成成长"),2))/((VLOOKUP($B208,INDIRECT($B$5&amp;"生成成长"),4))/(VLOOKUP(EG$72,INDIRECT($C$5&amp;"生成成长"),5))*(VLOOKUP($B$5,标准坦克设计!$B$24:$U$30,MATCH("对"&amp;LEFT($C$5,2)&amp;"输出",标准坦克设计!$B$23:$U$23,0)))*(VLOOKUP($B208,INDIRECT($B$5&amp;"生成成长"),3))*(VLOOKUP($B$5,标准坦克设计!$B$14:$K$20,9)/30))</f>
        <v>8.0472882904595231</v>
      </c>
      <c r="EH208" s="172">
        <f ca="1">(VLOOKUP(EH$72,INDIRECT($C$5&amp;"生成成长"),2))/((VLOOKUP($B208,INDIRECT($B$5&amp;"生成成长"),4))/(VLOOKUP(EH$72,INDIRECT($C$5&amp;"生成成长"),5))*(VLOOKUP($B$5,标准坦克设计!$B$24:$U$30,MATCH("对"&amp;LEFT($C$5,2)&amp;"输出",标准坦克设计!$B$23:$U$23,0)))*(VLOOKUP($B208,INDIRECT($B$5&amp;"生成成长"),3))*(VLOOKUP($B$5,标准坦克设计!$B$14:$K$20,9)/30))</f>
        <v>8.6521415926114074</v>
      </c>
      <c r="EI208" s="172">
        <f ca="1">(VLOOKUP(EI$72,INDIRECT($C$5&amp;"生成成长"),2))/((VLOOKUP($B208,INDIRECT($B$5&amp;"生成成长"),4))/(VLOOKUP(EI$72,INDIRECT($C$5&amp;"生成成长"),5))*(VLOOKUP($B$5,标准坦克设计!$B$24:$U$30,MATCH("对"&amp;LEFT($C$5,2)&amp;"输出",标准坦克设计!$B$23:$U$23,0)))*(VLOOKUP($B208,INDIRECT($B$5&amp;"生成成长"),3))*(VLOOKUP($B$5,标准坦克设计!$B$14:$K$20,9)/30))</f>
        <v>9.2789098694789409</v>
      </c>
      <c r="EJ208" s="172">
        <f ca="1">(VLOOKUP(EJ$72,INDIRECT($C$5&amp;"生成成长"),2))/((VLOOKUP($B208,INDIRECT($B$5&amp;"生成成长"),4))/(VLOOKUP(EJ$72,INDIRECT($C$5&amp;"生成成长"),5))*(VLOOKUP($B$5,标准坦克设计!$B$24:$U$30,MATCH("对"&amp;LEFT($C$5,2)&amp;"输出",标准坦克设计!$B$23:$U$23,0)))*(VLOOKUP($B208,INDIRECT($B$5&amp;"生成成长"),3))*(VLOOKUP($B$5,标准坦克设计!$B$14:$K$20,9)/30))</f>
        <v>9.927593121062122</v>
      </c>
      <c r="EK208" s="172">
        <f ca="1">(VLOOKUP(EK$72,INDIRECT($C$5&amp;"生成成长"),2))/((VLOOKUP($B208,INDIRECT($B$5&amp;"生成成长"),4))/(VLOOKUP(EK$72,INDIRECT($C$5&amp;"生成成长"),5))*(VLOOKUP($B$5,标准坦克设计!$B$24:$U$30,MATCH("对"&amp;LEFT($C$5,2)&amp;"输出",标准坦克设计!$B$23:$U$23,0)))*(VLOOKUP($B208,INDIRECT($B$5&amp;"生成成长"),3))*(VLOOKUP($B$5,标准坦克设计!$B$14:$K$20,9)/30))</f>
        <v>10.734940789586593</v>
      </c>
      <c r="EL208" s="172">
        <f ca="1">(VLOOKUP(EL$72,INDIRECT($C$5&amp;"生成成长"),2))/((VLOOKUP($B208,INDIRECT($B$5&amp;"生成成长"),4))/(VLOOKUP(EL$72,INDIRECT($C$5&amp;"生成成长"),5))*(VLOOKUP($B$5,标准坦克设计!$B$24:$U$30,MATCH("对"&amp;LEFT($C$5,2)&amp;"输出",标准坦克设计!$B$23:$U$23,0)))*(VLOOKUP($B208,INDIRECT($B$5&amp;"生成成长"),3))*(VLOOKUP($B$5,标准坦克设计!$B$14:$K$20,9)/30))</f>
        <v>11.573846021701602</v>
      </c>
      <c r="EM208" s="172">
        <f ca="1">(VLOOKUP(EM$72,INDIRECT($C$5&amp;"生成成长"),2))/((VLOOKUP($B208,INDIRECT($B$5&amp;"生成成长"),4))/(VLOOKUP(EM$72,INDIRECT($C$5&amp;"生成成长"),5))*(VLOOKUP($B$5,标准坦克设计!$B$24:$U$30,MATCH("对"&amp;LEFT($C$5,2)&amp;"输出",标准坦克设计!$B$23:$U$23,0)))*(VLOOKUP($B208,INDIRECT($B$5&amp;"生成成长"),3))*(VLOOKUP($B$5,标准坦克设计!$B$14:$K$20,9)/30))</f>
        <v>12.444308817407135</v>
      </c>
      <c r="EN208" s="172">
        <f ca="1">(VLOOKUP(EN$72,INDIRECT($C$5&amp;"生成成长"),2))/((VLOOKUP($B208,INDIRECT($B$5&amp;"生成成长"),4))/(VLOOKUP(EN$72,INDIRECT($C$5&amp;"生成成长"),5))*(VLOOKUP($B$5,标准坦克设计!$B$24:$U$30,MATCH("对"&amp;LEFT($C$5,2)&amp;"输出",标准坦克设计!$B$23:$U$23,0)))*(VLOOKUP($B208,INDIRECT($B$5&amp;"生成成长"),3))*(VLOOKUP($B$5,标准坦克设计!$B$14:$K$20,9)/30))</f>
        <v>13.346329176703209</v>
      </c>
      <c r="EO208" s="172">
        <f ca="1">(VLOOKUP(EO$72,INDIRECT($C$5&amp;"生成成长"),2))/((VLOOKUP($B208,INDIRECT($B$5&amp;"生成成长"),4))/(VLOOKUP(EO$72,INDIRECT($C$5&amp;"生成成长"),5))*(VLOOKUP($B$5,标准坦克设计!$B$24:$U$30,MATCH("对"&amp;LEFT($C$5,2)&amp;"输出",标准坦克设计!$B$23:$U$23,0)))*(VLOOKUP($B208,INDIRECT($B$5&amp;"生成成长"),3))*(VLOOKUP($B$5,标准坦克设计!$B$14:$K$20,9)/30))</f>
        <v>14.279907099589813</v>
      </c>
      <c r="EP208" s="172">
        <f ca="1">(VLOOKUP(EP$72,INDIRECT($C$5&amp;"生成成长"),2))/((VLOOKUP($B208,INDIRECT($B$5&amp;"生成成长"),4))/(VLOOKUP(EP$72,INDIRECT($C$5&amp;"生成成长"),5))*(VLOOKUP($B$5,标准坦克设计!$B$24:$U$30,MATCH("对"&amp;LEFT($C$5,2)&amp;"输出",标准坦克设计!$B$23:$U$23,0)))*(VLOOKUP($B208,INDIRECT($B$5&amp;"生成成长"),3))*(VLOOKUP($B$5,标准坦克设计!$B$14:$K$20,9)/30))</f>
        <v>15.245042586066951</v>
      </c>
      <c r="EQ208" s="172">
        <f ca="1">(VLOOKUP(EQ$72,INDIRECT($C$5&amp;"生成成长"),2))/((VLOOKUP($B208,INDIRECT($B$5&amp;"生成成长"),4))/(VLOOKUP(EQ$72,INDIRECT($C$5&amp;"生成成长"),5))*(VLOOKUP($B$5,标准坦克设计!$B$24:$U$30,MATCH("对"&amp;LEFT($C$5,2)&amp;"输出",标准坦克设计!$B$23:$U$23,0)))*(VLOOKUP($B208,INDIRECT($B$5&amp;"生成成长"),3))*(VLOOKUP($B$5,标准坦克设计!$B$14:$K$20,9)/30))</f>
        <v>6.7392930245560727</v>
      </c>
      <c r="ER208" s="172">
        <f ca="1">(VLOOKUP(ER$72,INDIRECT($C$5&amp;"生成成长"),2))/((VLOOKUP($B208,INDIRECT($B$5&amp;"生成成长"),4))/(VLOOKUP(ER$72,INDIRECT($C$5&amp;"生成成长"),5))*(VLOOKUP($B$5,标准坦克设计!$B$24:$U$30,MATCH("对"&amp;LEFT($C$5,2)&amp;"输出",标准坦克设计!$B$23:$U$23,0)))*(VLOOKUP($B208,INDIRECT($B$5&amp;"生成成长"),3))*(VLOOKUP($B$5,标准坦克设计!$B$14:$K$20,9)/30))</f>
        <v>7.3503920945019159</v>
      </c>
      <c r="ES208" s="172">
        <f ca="1">(VLOOKUP(ES$72,INDIRECT($C$5&amp;"生成成长"),2))/((VLOOKUP($B208,INDIRECT($B$5&amp;"生成成长"),4))/(VLOOKUP(ES$72,INDIRECT($C$5&amp;"生成成长"),5))*(VLOOKUP($B$5,标准坦克设计!$B$24:$U$30,MATCH("对"&amp;LEFT($C$5,2)&amp;"输出",标准坦克设计!$B$23:$U$23,0)))*(VLOOKUP($B208,INDIRECT($B$5&amp;"生成成长"),3))*(VLOOKUP($B$5,标准坦克设计!$B$14:$K$20,9)/30))</f>
        <v>7.9880082838536959</v>
      </c>
      <c r="ET208" s="172">
        <f ca="1">(VLOOKUP(ET$72,INDIRECT($C$5&amp;"生成成长"),2))/((VLOOKUP($B208,INDIRECT($B$5&amp;"生成成长"),4))/(VLOOKUP(ET$72,INDIRECT($C$5&amp;"生成成长"),5))*(VLOOKUP($B$5,标准坦克设计!$B$24:$U$30,MATCH("对"&amp;LEFT($C$5,2)&amp;"输出",标准坦克设计!$B$23:$U$23,0)))*(VLOOKUP($B208,INDIRECT($B$5&amp;"生成成长"),3))*(VLOOKUP($B$5,标准坦克设计!$B$14:$K$20,9)/30))</f>
        <v>8.6521415926114074</v>
      </c>
      <c r="EU208" s="172">
        <f ca="1">(VLOOKUP(EU$72,INDIRECT($C$5&amp;"生成成长"),2))/((VLOOKUP($B208,INDIRECT($B$5&amp;"生成成长"),4))/(VLOOKUP(EU$72,INDIRECT($C$5&amp;"生成成长"),5))*(VLOOKUP($B$5,标准坦克设计!$B$24:$U$30,MATCH("对"&amp;LEFT($C$5,2)&amp;"输出",标准坦克设计!$B$23:$U$23,0)))*(VLOOKUP($B208,INDIRECT($B$5&amp;"生成成长"),3))*(VLOOKUP($B$5,标准坦克设计!$B$14:$K$20,9)/30))</f>
        <v>9.3427920207750539</v>
      </c>
      <c r="EV208" s="172">
        <f ca="1">(VLOOKUP(EV$72,INDIRECT($C$5&amp;"生成成长"),2))/((VLOOKUP($B208,INDIRECT($B$5&amp;"生成成长"),4))/(VLOOKUP(EV$72,INDIRECT($C$5&amp;"生成成长"),5))*(VLOOKUP($B$5,标准坦克设计!$B$24:$U$30,MATCH("对"&amp;LEFT($C$5,2)&amp;"输出",标准坦克设计!$B$23:$U$23,0)))*(VLOOKUP($B208,INDIRECT($B$5&amp;"生成成长"),3))*(VLOOKUP($B$5,标准坦克设计!$B$14:$K$20,9)/30))</f>
        <v>10.059959568344635</v>
      </c>
      <c r="EW208" s="172">
        <f ca="1">(VLOOKUP(EW$72,INDIRECT($C$5&amp;"生成成长"),2))/((VLOOKUP($B208,INDIRECT($B$5&amp;"生成成长"),4))/(VLOOKUP(EW$72,INDIRECT($C$5&amp;"生成成长"),5))*(VLOOKUP($B$5,标准坦克设计!$B$24:$U$30,MATCH("对"&amp;LEFT($C$5,2)&amp;"输出",标准坦克设计!$B$23:$U$23,0)))*(VLOOKUP($B208,INDIRECT($B$5&amp;"生成成长"),3))*(VLOOKUP($B$5,标准坦克设计!$B$14:$K$20,9)/30))</f>
        <v>10.803644235320149</v>
      </c>
      <c r="EX208" s="172">
        <f ca="1">(VLOOKUP(EX$72,INDIRECT($C$5&amp;"生成成长"),2))/((VLOOKUP($B208,INDIRECT($B$5&amp;"生成成长"),4))/(VLOOKUP(EX$72,INDIRECT($C$5&amp;"生成成长"),5))*(VLOOKUP($B$5,标准坦克设计!$B$24:$U$30,MATCH("对"&amp;LEFT($C$5,2)&amp;"输出",标准坦克设计!$B$23:$U$23,0)))*(VLOOKUP($B208,INDIRECT($B$5&amp;"生成成长"),3))*(VLOOKUP($B$5,标准坦克设计!$B$14:$K$20,9)/30))</f>
        <v>11.573846021701602</v>
      </c>
      <c r="EY208" s="172">
        <f ca="1">(VLOOKUP(EY$72,INDIRECT($C$5&amp;"生成成长"),2))/((VLOOKUP($B208,INDIRECT($B$5&amp;"生成成长"),4))/(VLOOKUP(EY$72,INDIRECT($C$5&amp;"生成成长"),5))*(VLOOKUP($B$5,标准坦克设计!$B$24:$U$30,MATCH("对"&amp;LEFT($C$5,2)&amp;"输出",标准坦克设计!$B$23:$U$23,0)))*(VLOOKUP($B208,INDIRECT($B$5&amp;"生成成长"),3))*(VLOOKUP($B$5,标准坦克设计!$B$14:$K$20,9)/30))</f>
        <v>12.37056492748898</v>
      </c>
      <c r="EZ208" s="172">
        <f ca="1">(VLOOKUP(EZ$72,INDIRECT($C$5&amp;"生成成长"),2))/((VLOOKUP($B208,INDIRECT($B$5&amp;"生成成长"),4))/(VLOOKUP(EZ$72,INDIRECT($C$5&amp;"生成成长"),5))*(VLOOKUP($B$5,标准坦克设计!$B$24:$U$30,MATCH("对"&amp;LEFT($C$5,2)&amp;"输出",标准坦克设计!$B$23:$U$23,0)))*(VLOOKUP($B208,INDIRECT($B$5&amp;"生成成长"),3))*(VLOOKUP($B$5,标准坦克设计!$B$14:$K$20,9)/30))</f>
        <v>13.193800952682299</v>
      </c>
      <c r="FA208" s="172">
        <f ca="1">(VLOOKUP(FA$72,INDIRECT($C$5&amp;"生成成长"),2))/((VLOOKUP($B208,INDIRECT($B$5&amp;"生成成长"),4))/(VLOOKUP(FA$72,INDIRECT($C$5&amp;"生成成长"),5))*(VLOOKUP($B$5,标准坦克设计!$B$24:$U$30,MATCH("对"&amp;LEFT($C$5,2)&amp;"输出",标准坦克设计!$B$23:$U$23,0)))*(VLOOKUP($B208,INDIRECT($B$5&amp;"生成成长"),3))*(VLOOKUP($B$5,标准坦克设计!$B$14:$K$20,9)/30))</f>
        <v>14.04355409728155</v>
      </c>
      <c r="FB208" s="172">
        <f ca="1">(VLOOKUP(FB$72,INDIRECT($C$5&amp;"生成成长"),2))/((VLOOKUP($B208,INDIRECT($B$5&amp;"生成成长"),4))/(VLOOKUP(FB$72,INDIRECT($C$5&amp;"生成成长"),5))*(VLOOKUP($B$5,标准坦克设计!$B$24:$U$30,MATCH("对"&amp;LEFT($C$5,2)&amp;"输出",标准坦克设计!$B$23:$U$23,0)))*(VLOOKUP($B208,INDIRECT($B$5&amp;"生成成长"),3))*(VLOOKUP($B$5,标准坦克设计!$B$14:$K$20,9)/30))</f>
        <v>14.919824361286736</v>
      </c>
      <c r="FC208" s="172">
        <f ca="1">(VLOOKUP(FC$72,INDIRECT($C$5&amp;"生成成长"),2))/((VLOOKUP($B208,INDIRECT($B$5&amp;"生成成长"),4))/(VLOOKUP(FC$72,INDIRECT($C$5&amp;"生成成长"),5))*(VLOOKUP($B$5,标准坦克设计!$B$24:$U$30,MATCH("对"&amp;LEFT($C$5,2)&amp;"输出",标准坦克设计!$B$23:$U$23,0)))*(VLOOKUP($B208,INDIRECT($B$5&amp;"生成成长"),3))*(VLOOKUP($B$5,标准坦克设计!$B$14:$K$20,9)/30))</f>
        <v>15.822611744697856</v>
      </c>
      <c r="FD208" s="172">
        <f ca="1">(VLOOKUP(FD$72,INDIRECT($C$5&amp;"生成成长"),2))/((VLOOKUP($B208,INDIRECT($B$5&amp;"生成成长"),4))/(VLOOKUP(FD$72,INDIRECT($C$5&amp;"生成成长"),5))*(VLOOKUP($B$5,标准坦克设计!$B$24:$U$30,MATCH("对"&amp;LEFT($C$5,2)&amp;"输出",标准坦克设计!$B$23:$U$23,0)))*(VLOOKUP($B208,INDIRECT($B$5&amp;"生成成长"),3))*(VLOOKUP($B$5,标准坦克设计!$B$14:$K$20,9)/30))</f>
        <v>16.751916247514906</v>
      </c>
      <c r="FE208" s="172">
        <f ca="1">(VLOOKUP(FE$72,INDIRECT($C$5&amp;"生成成长"),2))/((VLOOKUP($B208,INDIRECT($B$5&amp;"生成成长"),4))/(VLOOKUP(FE$72,INDIRECT($C$5&amp;"生成成长"),5))*(VLOOKUP($B$5,标准坦克设计!$B$24:$U$30,MATCH("对"&amp;LEFT($C$5,2)&amp;"输出",标准坦克设计!$B$23:$U$23,0)))*(VLOOKUP($B208,INDIRECT($B$5&amp;"生成成长"),3))*(VLOOKUP($B$5,标准坦克设计!$B$14:$K$20,9)/30))</f>
        <v>17.88437256594602</v>
      </c>
      <c r="FF208" s="172">
        <f ca="1">(VLOOKUP(FF$72,INDIRECT($C$5&amp;"生成成长"),2))/((VLOOKUP($B208,INDIRECT($B$5&amp;"生成成长"),4))/(VLOOKUP(FF$72,INDIRECT($C$5&amp;"生成成长"),5))*(VLOOKUP($B$5,标准坦克设计!$B$24:$U$30,MATCH("对"&amp;LEFT($C$5,2)&amp;"输出",标准坦克设计!$B$23:$U$23,0)))*(VLOOKUP($B208,INDIRECT($B$5&amp;"生成成长"),3))*(VLOOKUP($B$5,标准坦克设计!$B$14:$K$20,9)/30))</f>
        <v>19.053865191646572</v>
      </c>
      <c r="FG208" s="172">
        <f ca="1">(VLOOKUP(FG$72,INDIRECT($C$5&amp;"生成成长"),2))/((VLOOKUP($B208,INDIRECT($B$5&amp;"生成成长"),4))/(VLOOKUP(FG$72,INDIRECT($C$5&amp;"生成成长"),5))*(VLOOKUP($B$5,标准坦克设计!$B$24:$U$30,MATCH("对"&amp;LEFT($C$5,2)&amp;"输出",标准坦克设计!$B$23:$U$23,0)))*(VLOOKUP($B208,INDIRECT($B$5&amp;"生成成长"),3))*(VLOOKUP($B$5,标准坦克设计!$B$14:$K$20,9)/30))</f>
        <v>20.260394124616575</v>
      </c>
      <c r="FH208" s="172">
        <f ca="1">(VLOOKUP(FH$72,INDIRECT($C$5&amp;"生成成长"),2))/((VLOOKUP($B208,INDIRECT($B$5&amp;"生成成长"),4))/(VLOOKUP(FH$72,INDIRECT($C$5&amp;"生成成长"),5))*(VLOOKUP($B$5,标准坦克设计!$B$24:$U$30,MATCH("对"&amp;LEFT($C$5,2)&amp;"输出",标准坦克设计!$B$23:$U$23,0)))*(VLOOKUP($B208,INDIRECT($B$5&amp;"生成成长"),3))*(VLOOKUP($B$5,标准坦克设计!$B$14:$K$20,9)/30))</f>
        <v>21.503959364856019</v>
      </c>
      <c r="FI208" s="172">
        <f ca="1">(VLOOKUP(FI$72,INDIRECT($C$5&amp;"生成成长"),2))/((VLOOKUP($B208,INDIRECT($B$5&amp;"生成成长"),4))/(VLOOKUP(FI$72,INDIRECT($C$5&amp;"生成成长"),5))*(VLOOKUP($B$5,标准坦克设计!$B$24:$U$30,MATCH("对"&amp;LEFT($C$5,2)&amp;"输出",标准坦克设计!$B$23:$U$23,0)))*(VLOOKUP($B208,INDIRECT($B$5&amp;"生成成长"),3))*(VLOOKUP($B$5,标准坦克设计!$B$14:$K$20,9)/30))</f>
        <v>22.784560912364913</v>
      </c>
      <c r="FJ208" s="172">
        <f ca="1">(VLOOKUP(FJ$72,INDIRECT($C$5&amp;"生成成长"),2))/((VLOOKUP($B208,INDIRECT($B$5&amp;"生成成长"),4))/(VLOOKUP(FJ$72,INDIRECT($C$5&amp;"生成成长"),5))*(VLOOKUP($B$5,标准坦克设计!$B$24:$U$30,MATCH("对"&amp;LEFT($C$5,2)&amp;"输出",标准坦克设计!$B$23:$U$23,0)))*(VLOOKUP($B208,INDIRECT($B$5&amp;"生成成长"),3))*(VLOOKUP($B$5,标准坦克设计!$B$14:$K$20,9)/30))</f>
        <v>24.102198767143246</v>
      </c>
      <c r="FK208" s="172">
        <f ca="1">(VLOOKUP(FK$72,INDIRECT($C$5&amp;"生成成长"),2))/((VLOOKUP($B208,INDIRECT($B$5&amp;"生成成长"),4))/(VLOOKUP(FK$72,INDIRECT($C$5&amp;"生成成长"),5))*(VLOOKUP($B$5,标准坦克设计!$B$24:$U$30,MATCH("对"&amp;LEFT($C$5,2)&amp;"输出",标准坦克设计!$B$23:$U$23,0)))*(VLOOKUP($B208,INDIRECT($B$5&amp;"生成成长"),3))*(VLOOKUP($B$5,标准坦克设计!$B$14:$K$20,9)/30))</f>
        <v>25.456872929191025</v>
      </c>
    </row>
    <row r="209" spans="1:167" x14ac:dyDescent="0.15">
      <c r="A209" s="170" t="str">
        <f t="shared" si="13"/>
        <v>T4高品质11级</v>
      </c>
      <c r="B209" s="171">
        <v>30411</v>
      </c>
      <c r="C209" s="172">
        <f ca="1">(VLOOKUP(C$72,INDIRECT($C$5&amp;"生成成长"),2))/((VLOOKUP($B209,INDIRECT($B$5&amp;"生成成长"),4))/(VLOOKUP(C$72,INDIRECT($C$5&amp;"生成成长"),5))*(VLOOKUP($B$5,标准坦克设计!$B$24:$U$30,MATCH("对"&amp;LEFT($C$5,2)&amp;"输出",标准坦克设计!$B$23:$U$23,0)))*(VLOOKUP($B209,INDIRECT($B$5&amp;"生成成长"),3))*(VLOOKUP($B$5,标准坦克设计!$B$14:$K$20,9)/30))</f>
        <v>1.0246366178359931</v>
      </c>
      <c r="D209" s="172">
        <f ca="1">(VLOOKUP(D$72,INDIRECT($C$5&amp;"生成成长"),2))/((VLOOKUP($B209,INDIRECT($B$5&amp;"生成成长"),4))/(VLOOKUP(D$72,INDIRECT($C$5&amp;"生成成长"),5))*(VLOOKUP($B$5,标准坦克设计!$B$24:$U$30,MATCH("对"&amp;LEFT($C$5,2)&amp;"输出",标准坦克设计!$B$23:$U$23,0)))*(VLOOKUP($B209,INDIRECT($B$5&amp;"生成成长"),3))*(VLOOKUP($B$5,标准坦克设计!$B$14:$K$20,9)/30))</f>
        <v>1.1512817038005219</v>
      </c>
      <c r="E209" s="172">
        <f ca="1">(VLOOKUP(E$72,INDIRECT($C$5&amp;"生成成长"),2))/((VLOOKUP($B209,INDIRECT($B$5&amp;"生成成长"),4))/(VLOOKUP(E$72,INDIRECT($C$5&amp;"生成成长"),5))*(VLOOKUP($B$5,标准坦克设计!$B$24:$U$30,MATCH("对"&amp;LEFT($C$5,2)&amp;"输出",标准坦克设计!$B$23:$U$23,0)))*(VLOOKUP($B209,INDIRECT($B$5&amp;"生成成长"),3))*(VLOOKUP($B$5,标准坦克设计!$B$14:$K$20,9)/30))</f>
        <v>1.2853041734134698</v>
      </c>
      <c r="F209" s="172">
        <f ca="1">(VLOOKUP(F$72,INDIRECT($C$5&amp;"生成成长"),2))/((VLOOKUP($B209,INDIRECT($B$5&amp;"生成成长"),4))/(VLOOKUP(F$72,INDIRECT($C$5&amp;"生成成长"),5))*(VLOOKUP($B$5,标准坦克设计!$B$24:$U$30,MATCH("对"&amp;LEFT($C$5,2)&amp;"输出",标准坦克设计!$B$23:$U$23,0)))*(VLOOKUP($B209,INDIRECT($B$5&amp;"生成成长"),3))*(VLOOKUP($B$5,标准坦克设计!$B$14:$K$20,9)/30))</f>
        <v>1.4267040266748368</v>
      </c>
      <c r="G209" s="172">
        <f ca="1">(VLOOKUP(G$72,INDIRECT($C$5&amp;"生成成长"),2))/((VLOOKUP($B209,INDIRECT($B$5&amp;"生成成长"),4))/(VLOOKUP(G$72,INDIRECT($C$5&amp;"生成成长"),5))*(VLOOKUP($B$5,标准坦克设计!$B$24:$U$30,MATCH("对"&amp;LEFT($C$5,2)&amp;"输出",标准坦克设计!$B$23:$U$23,0)))*(VLOOKUP($B209,INDIRECT($B$5&amp;"生成成长"),3))*(VLOOKUP($B$5,标准坦克设计!$B$14:$K$20,9)/30))</f>
        <v>1.5754812635846231</v>
      </c>
      <c r="H209" s="172">
        <f ca="1">(VLOOKUP(H$72,INDIRECT($C$5&amp;"生成成长"),2))/((VLOOKUP($B209,INDIRECT($B$5&amp;"生成成长"),4))/(VLOOKUP(H$72,INDIRECT($C$5&amp;"生成成长"),5))*(VLOOKUP($B$5,标准坦克设计!$B$24:$U$30,MATCH("对"&amp;LEFT($C$5,2)&amp;"输出",标准坦克设计!$B$23:$U$23,0)))*(VLOOKUP($B209,INDIRECT($B$5&amp;"生成成长"),3))*(VLOOKUP($B$5,标准坦克设计!$B$14:$K$20,9)/30))</f>
        <v>1.3787510329601125</v>
      </c>
      <c r="I209" s="172">
        <f ca="1">(VLOOKUP(I$72,INDIRECT($C$5&amp;"生成成长"),2))/((VLOOKUP($B209,INDIRECT($B$5&amp;"生成成长"),4))/(VLOOKUP(I$72,INDIRECT($C$5&amp;"生成成长"),5))*(VLOOKUP($B$5,标准坦克设计!$B$24:$U$30,MATCH("对"&amp;LEFT($C$5,2)&amp;"输出",标准坦克设计!$B$23:$U$23,0)))*(VLOOKUP($B209,INDIRECT($B$5&amp;"生成成长"),3))*(VLOOKUP($B$5,标准坦克设计!$B$14:$K$20,9)/30))</f>
        <v>1.5754812635846231</v>
      </c>
      <c r="J209" s="172">
        <f ca="1">(VLOOKUP(J$72,INDIRECT($C$5&amp;"生成成长"),2))/((VLOOKUP($B209,INDIRECT($B$5&amp;"生成成长"),4))/(VLOOKUP(J$72,INDIRECT($C$5&amp;"生成成长"),5))*(VLOOKUP($B$5,标准坦克设计!$B$24:$U$30,MATCH("对"&amp;LEFT($C$5,2)&amp;"输出",标准坦克设计!$B$23:$U$23,0)))*(VLOOKUP($B209,INDIRECT($B$5&amp;"生成成长"),3))*(VLOOKUP($B$5,标准坦克设计!$B$14:$K$20,9)/30))</f>
        <v>1.7853268429174343</v>
      </c>
      <c r="K209" s="172">
        <f ca="1">(VLOOKUP(K$72,INDIRECT($C$5&amp;"生成成长"),2))/((VLOOKUP($B209,INDIRECT($B$5&amp;"生成成长"),4))/(VLOOKUP(K$72,INDIRECT($C$5&amp;"生成成长"),5))*(VLOOKUP($B$5,标准坦克设计!$B$24:$U$30,MATCH("对"&amp;LEFT($C$5,2)&amp;"输出",标准坦克设计!$B$23:$U$23,0)))*(VLOOKUP($B209,INDIRECT($B$5&amp;"生成成长"),3))*(VLOOKUP($B$5,标准坦克设计!$B$14:$K$20,9)/30))</f>
        <v>2.0082877709585465</v>
      </c>
      <c r="L209" s="172">
        <f ca="1">(VLOOKUP(L$72,INDIRECT($C$5&amp;"生成成长"),2))/((VLOOKUP($B209,INDIRECT($B$5&amp;"生成成长"),4))/(VLOOKUP(L$72,INDIRECT($C$5&amp;"生成成长"),5))*(VLOOKUP($B$5,标准坦克设计!$B$24:$U$30,MATCH("对"&amp;LEFT($C$5,2)&amp;"输出",标准坦克设计!$B$23:$U$23,0)))*(VLOOKUP($B209,INDIRECT($B$5&amp;"生成成长"),3))*(VLOOKUP($B$5,标准坦克设计!$B$14:$K$20,9)/30))</f>
        <v>2.2443640477079594</v>
      </c>
      <c r="M209" s="172">
        <f ca="1">(VLOOKUP(M$72,INDIRECT($C$5&amp;"生成成长"),2))/((VLOOKUP($B209,INDIRECT($B$5&amp;"生成成长"),4))/(VLOOKUP(M$72,INDIRECT($C$5&amp;"生成成长"),5))*(VLOOKUP($B$5,标准坦克设计!$B$24:$U$30,MATCH("对"&amp;LEFT($C$5,2)&amp;"输出",标准坦克设计!$B$23:$U$23,0)))*(VLOOKUP($B209,INDIRECT($B$5&amp;"生成成长"),3))*(VLOOKUP($B$5,标准坦克设计!$B$14:$K$20,9)/30))</f>
        <v>2.4935556731656727</v>
      </c>
      <c r="N209" s="172">
        <f ca="1">(VLOOKUP(N$72,INDIRECT($C$5&amp;"生成成长"),2))/((VLOOKUP($B209,INDIRECT($B$5&amp;"生成成长"),4))/(VLOOKUP(N$72,INDIRECT($C$5&amp;"生成成长"),5))*(VLOOKUP($B$5,标准坦克设计!$B$24:$U$30,MATCH("对"&amp;LEFT($C$5,2)&amp;"输出",标准坦克设计!$B$23:$U$23,0)))*(VLOOKUP($B209,INDIRECT($B$5&amp;"生成成长"),3))*(VLOOKUP($B$5,标准坦克设计!$B$14:$K$20,9)/30))</f>
        <v>2.755862647331687</v>
      </c>
      <c r="O209" s="172">
        <f ca="1">(VLOOKUP(O$72,INDIRECT($C$5&amp;"生成成长"),2))/((VLOOKUP($B209,INDIRECT($B$5&amp;"生成成长"),4))/(VLOOKUP(O$72,INDIRECT($C$5&amp;"生成成长"),5))*(VLOOKUP($B$5,标准坦克设计!$B$24:$U$30,MATCH("对"&amp;LEFT($C$5,2)&amp;"输出",标准坦克设计!$B$23:$U$23,0)))*(VLOOKUP($B209,INDIRECT($B$5&amp;"生成成长"),3))*(VLOOKUP($B$5,标准坦克设计!$B$14:$K$20,9)/30))</f>
        <v>2.0952794198128224</v>
      </c>
      <c r="P209" s="172">
        <f ca="1">(VLOOKUP(P$72,INDIRECT($C$5&amp;"生成成长"),2))/((VLOOKUP($B209,INDIRECT($B$5&amp;"生成成长"),4))/(VLOOKUP(P$72,INDIRECT($C$5&amp;"生成成长"),5))*(VLOOKUP($B$5,标准坦克设计!$B$24:$U$30,MATCH("对"&amp;LEFT($C$5,2)&amp;"输出",标准坦克设计!$B$23:$U$23,0)))*(VLOOKUP($B209,INDIRECT($B$5&amp;"生成成长"),3))*(VLOOKUP($B$5,标准坦克设计!$B$14:$K$20,9)/30))</f>
        <v>2.3673204418482783</v>
      </c>
      <c r="Q209" s="172">
        <f ca="1">(VLOOKUP(Q$72,INDIRECT($C$5&amp;"生成成长"),2))/((VLOOKUP($B209,INDIRECT($B$5&amp;"生成成长"),4))/(VLOOKUP(Q$72,INDIRECT($C$5&amp;"生成成长"),5))*(VLOOKUP($B$5,标准坦克设计!$B$24:$U$30,MATCH("对"&amp;LEFT($C$5,2)&amp;"输出",标准坦克设计!$B$23:$U$23,0)))*(VLOOKUP($B209,INDIRECT($B$5&amp;"生成成长"),3))*(VLOOKUP($B$5,标准坦克设计!$B$14:$K$20,9)/30))</f>
        <v>2.655960577092678</v>
      </c>
      <c r="R209" s="172">
        <f ca="1">(VLOOKUP(R$72,INDIRECT($C$5&amp;"生成成长"),2))/((VLOOKUP($B209,INDIRECT($B$5&amp;"生成成长"),4))/(VLOOKUP(R$72,INDIRECT($C$5&amp;"生成成长"),5))*(VLOOKUP($B$5,标准坦克设计!$B$24:$U$30,MATCH("对"&amp;LEFT($C$5,2)&amp;"输出",标准坦克设计!$B$23:$U$23,0)))*(VLOOKUP($B209,INDIRECT($B$5&amp;"生成成长"),3))*(VLOOKUP($B$5,标准坦克设计!$B$14:$K$20,9)/30))</f>
        <v>2.9611998255460201</v>
      </c>
      <c r="S209" s="172">
        <f ca="1">(VLOOKUP(S$72,INDIRECT($C$5&amp;"生成成长"),2))/((VLOOKUP($B209,INDIRECT($B$5&amp;"生成成长"),4))/(VLOOKUP(S$72,INDIRECT($C$5&amp;"生成成长"),5))*(VLOOKUP($B$5,标准坦克设计!$B$24:$U$30,MATCH("对"&amp;LEFT($C$5,2)&amp;"输出",标准坦克设计!$B$23:$U$23,0)))*(VLOOKUP($B209,INDIRECT($B$5&amp;"生成成长"),3))*(VLOOKUP($B$5,标准坦克设计!$B$14:$K$20,9)/30))</f>
        <v>3.2830381872083056</v>
      </c>
      <c r="T209" s="172">
        <f ca="1">(VLOOKUP(T$72,INDIRECT($C$5&amp;"生成成长"),2))/((VLOOKUP($B209,INDIRECT($B$5&amp;"生成成长"),4))/(VLOOKUP(T$72,INDIRECT($C$5&amp;"生成成长"),5))*(VLOOKUP($B$5,标准坦克设计!$B$24:$U$30,MATCH("对"&amp;LEFT($C$5,2)&amp;"输出",标准坦克设计!$B$23:$U$23,0)))*(VLOOKUP($B209,INDIRECT($B$5&amp;"生成成长"),3))*(VLOOKUP($B$5,标准坦克设计!$B$14:$K$20,9)/30))</f>
        <v>3.6214756620795341</v>
      </c>
      <c r="U209" s="172">
        <f ca="1">(VLOOKUP(U$72,INDIRECT($C$5&amp;"生成成长"),2))/((VLOOKUP($B209,INDIRECT($B$5&amp;"生成成长"),4))/(VLOOKUP(U$72,INDIRECT($C$5&amp;"生成成长"),5))*(VLOOKUP($B$5,标准坦克设计!$B$24:$U$30,MATCH("对"&amp;LEFT($C$5,2)&amp;"输出",标准坦克设计!$B$23:$U$23,0)))*(VLOOKUP($B209,INDIRECT($B$5&amp;"生成成长"),3))*(VLOOKUP($B$5,标准坦克设计!$B$14:$K$20,9)/30))</f>
        <v>3.9765122501597054</v>
      </c>
      <c r="V209" s="172">
        <f ca="1">(VLOOKUP(V$72,INDIRECT($C$5&amp;"生成成长"),2))/((VLOOKUP($B209,INDIRECT($B$5&amp;"生成成长"),4))/(VLOOKUP(V$72,INDIRECT($C$5&amp;"生成成长"),5))*(VLOOKUP($B$5,标准坦克设计!$B$24:$U$30,MATCH("对"&amp;LEFT($C$5,2)&amp;"输出",标准坦克设计!$B$23:$U$23,0)))*(VLOOKUP($B209,INDIRECT($B$5&amp;"生成成长"),3))*(VLOOKUP($B$5,标准坦克设计!$B$14:$K$20,9)/30))</f>
        <v>4.348147951448821</v>
      </c>
      <c r="W209" s="172">
        <f ca="1">(VLOOKUP(W$72,INDIRECT($C$5&amp;"生成成长"),2))/((VLOOKUP($B209,INDIRECT($B$5&amp;"生成成长"),4))/(VLOOKUP(W$72,INDIRECT($C$5&amp;"生成成长"),5))*(VLOOKUP($B$5,标准坦克设计!$B$24:$U$30,MATCH("对"&amp;LEFT($C$5,2)&amp;"输出",标准坦克设计!$B$23:$U$23,0)))*(VLOOKUP($B209,INDIRECT($B$5&amp;"生成成长"),3))*(VLOOKUP($B$5,标准坦克设计!$B$14:$K$20,9)/30))</f>
        <v>4.7363827659468782</v>
      </c>
      <c r="X209" s="172">
        <f ca="1">(VLOOKUP(X$72,INDIRECT($C$5&amp;"生成成长"),2))/((VLOOKUP($B209,INDIRECT($B$5&amp;"生成成长"),4))/(VLOOKUP(X$72,INDIRECT($C$5&amp;"生成成长"),5))*(VLOOKUP($B$5,标准坦克设计!$B$24:$U$30,MATCH("对"&amp;LEFT($C$5,2)&amp;"输出",标准坦克设计!$B$23:$U$23,0)))*(VLOOKUP($B209,INDIRECT($B$5&amp;"生成成长"),3))*(VLOOKUP($B$5,标准坦克设计!$B$14:$K$20,9)/30))</f>
        <v>3.4314055694709578</v>
      </c>
      <c r="Y209" s="172">
        <f ca="1">(VLOOKUP(Y$72,INDIRECT($C$5&amp;"生成成长"),2))/((VLOOKUP($B209,INDIRECT($B$5&amp;"生成成长"),4))/(VLOOKUP(Y$72,INDIRECT($C$5&amp;"生成成长"),5))*(VLOOKUP($B$5,标准坦克设计!$B$24:$U$30,MATCH("对"&amp;LEFT($C$5,2)&amp;"输出",标准坦克设计!$B$23:$U$23,0)))*(VLOOKUP($B209,INDIRECT($B$5&amp;"生成成长"),3))*(VLOOKUP($B$5,标准坦克设计!$B$14:$K$20,9)/30))</f>
        <v>3.8166689377772904</v>
      </c>
      <c r="Z209" s="172">
        <f ca="1">(VLOOKUP(Z$72,INDIRECT($C$5&amp;"生成成长"),2))/((VLOOKUP($B209,INDIRECT($B$5&amp;"生成成长"),4))/(VLOOKUP(Z$72,INDIRECT($C$5&amp;"生成成长"),5))*(VLOOKUP($B$5,标准坦克设计!$B$24:$U$30,MATCH("对"&amp;LEFT($C$5,2)&amp;"输出",标准坦克设计!$B$23:$U$23,0)))*(VLOOKUP($B209,INDIRECT($B$5&amp;"生成成长"),3))*(VLOOKUP($B$5,标准坦克设计!$B$14:$K$20,9)/30))</f>
        <v>4.2224250384403437</v>
      </c>
      <c r="AA209" s="172">
        <f ca="1">(VLOOKUP(AA$72,INDIRECT($C$5&amp;"生成成长"),2))/((VLOOKUP($B209,INDIRECT($B$5&amp;"生成成长"),4))/(VLOOKUP(AA$72,INDIRECT($C$5&amp;"生成成长"),5))*(VLOOKUP($B$5,标准坦克设计!$B$24:$U$30,MATCH("对"&amp;LEFT($C$5,2)&amp;"输出",标准坦克设计!$B$23:$U$23,0)))*(VLOOKUP($B209,INDIRECT($B$5&amp;"生成成长"),3))*(VLOOKUP($B$5,标准坦克设计!$B$14:$K$20,9)/30))</f>
        <v>4.6486738714601179</v>
      </c>
      <c r="AB209" s="172">
        <f ca="1">(VLOOKUP(AB$72,INDIRECT($C$5&amp;"生成成长"),2))/((VLOOKUP($B209,INDIRECT($B$5&amp;"生成成长"),4))/(VLOOKUP(AB$72,INDIRECT($C$5&amp;"生成成长"),5))*(VLOOKUP($B$5,标准坦克设计!$B$24:$U$30,MATCH("对"&amp;LEFT($C$5,2)&amp;"输出",标准坦克设计!$B$23:$U$23,0)))*(VLOOKUP($B209,INDIRECT($B$5&amp;"生成成长"),3))*(VLOOKUP($B$5,标准坦克设计!$B$14:$K$20,9)/30))</f>
        <v>5.0954154368366105</v>
      </c>
      <c r="AC209" s="172">
        <f ca="1">(VLOOKUP(AC$72,INDIRECT($C$5&amp;"生成成长"),2))/((VLOOKUP($B209,INDIRECT($B$5&amp;"生成成长"),4))/(VLOOKUP(AC$72,INDIRECT($C$5&amp;"生成成长"),5))*(VLOOKUP($B$5,标准坦克设计!$B$24:$U$30,MATCH("对"&amp;LEFT($C$5,2)&amp;"输出",标准坦克设计!$B$23:$U$23,0)))*(VLOOKUP($B209,INDIRECT($B$5&amp;"生成成长"),3))*(VLOOKUP($B$5,标准坦克设计!$B$14:$K$20,9)/30))</f>
        <v>5.5626497345698231</v>
      </c>
      <c r="AD209" s="172">
        <f ca="1">(VLOOKUP(AD$72,INDIRECT($C$5&amp;"生成成长"),2))/((VLOOKUP($B209,INDIRECT($B$5&amp;"生成成长"),4))/(VLOOKUP(AD$72,INDIRECT($C$5&amp;"生成成长"),5))*(VLOOKUP($B$5,标准坦克设计!$B$24:$U$30,MATCH("对"&amp;LEFT($C$5,2)&amp;"输出",标准坦克设计!$B$23:$U$23,0)))*(VLOOKUP($B209,INDIRECT($B$5&amp;"生成成长"),3))*(VLOOKUP($B$5,标准坦克设计!$B$14:$K$20,9)/30))</f>
        <v>6.0503767646597568</v>
      </c>
      <c r="AE209" s="172">
        <f ca="1">(VLOOKUP(AE$72,INDIRECT($C$5&amp;"生成成长"),2))/((VLOOKUP($B209,INDIRECT($B$5&amp;"生成成长"),4))/(VLOOKUP(AE$72,INDIRECT($C$5&amp;"生成成长"),5))*(VLOOKUP($B$5,标准坦克设计!$B$24:$U$30,MATCH("对"&amp;LEFT($C$5,2)&amp;"输出",标准坦克设计!$B$23:$U$23,0)))*(VLOOKUP($B209,INDIRECT($B$5&amp;"生成成长"),3))*(VLOOKUP($B$5,标准坦克设计!$B$14:$K$20,9)/30))</f>
        <v>6.5585965271064088</v>
      </c>
      <c r="AF209" s="172">
        <f ca="1">(VLOOKUP(AF$72,INDIRECT($C$5&amp;"生成成长"),2))/((VLOOKUP($B209,INDIRECT($B$5&amp;"生成成长"),4))/(VLOOKUP(AF$72,INDIRECT($C$5&amp;"生成成长"),5))*(VLOOKUP($B$5,标准坦克设计!$B$24:$U$30,MATCH("对"&amp;LEFT($C$5,2)&amp;"输出",标准坦克设计!$B$23:$U$23,0)))*(VLOOKUP($B209,INDIRECT($B$5&amp;"生成成长"),3))*(VLOOKUP($B$5,标准坦克设计!$B$14:$K$20,9)/30))</f>
        <v>7.0873090219097801</v>
      </c>
      <c r="AG209" s="172">
        <f ca="1">(VLOOKUP(AG$72,INDIRECT($C$5&amp;"生成成长"),2))/((VLOOKUP($B209,INDIRECT($B$5&amp;"生成成长"),4))/(VLOOKUP(AG$72,INDIRECT($C$5&amp;"生成成长"),5))*(VLOOKUP($B$5,标准坦克设计!$B$24:$U$30,MATCH("对"&amp;LEFT($C$5,2)&amp;"输出",标准坦克设计!$B$23:$U$23,0)))*(VLOOKUP($B209,INDIRECT($B$5&amp;"生成成长"),3))*(VLOOKUP($B$5,标准坦克设计!$B$14:$K$20,9)/30))</f>
        <v>7.6365142490698741</v>
      </c>
      <c r="AH209" s="172">
        <f ca="1">(VLOOKUP(AH$72,INDIRECT($C$5&amp;"生成成长"),2))/((VLOOKUP($B209,INDIRECT($B$5&amp;"生成成长"),4))/(VLOOKUP(AH$72,INDIRECT($C$5&amp;"生成成长"),5))*(VLOOKUP($B$5,标准坦克设计!$B$24:$U$30,MATCH("对"&amp;LEFT($C$5,2)&amp;"输出",标准坦克设计!$B$23:$U$23,0)))*(VLOOKUP($B209,INDIRECT($B$5&amp;"生成成长"),3))*(VLOOKUP($B$5,标准坦克设计!$B$14:$K$20,9)/30))</f>
        <v>8.2062122085866847</v>
      </c>
      <c r="AI209" s="172">
        <f ca="1">(VLOOKUP(AI$72,INDIRECT($C$5&amp;"生成成长"),2))/((VLOOKUP($B209,INDIRECT($B$5&amp;"生成成长"),4))/(VLOOKUP(AI$72,INDIRECT($C$5&amp;"生成成长"),5))*(VLOOKUP($B$5,标准坦克设计!$B$24:$U$30,MATCH("对"&amp;LEFT($C$5,2)&amp;"输出",标准坦克设计!$B$23:$U$23,0)))*(VLOOKUP($B209,INDIRECT($B$5&amp;"生成成长"),3))*(VLOOKUP($B$5,标准坦克设计!$B$14:$K$20,9)/30))</f>
        <v>5.8039516580701989</v>
      </c>
      <c r="AJ209" s="172">
        <f ca="1">(VLOOKUP(AJ$72,INDIRECT($C$5&amp;"生成成长"),2))/((VLOOKUP($B209,INDIRECT($B$5&amp;"生成成长"),4))/(VLOOKUP(AJ$72,INDIRECT($C$5&amp;"生成成长"),5))*(VLOOKUP($B$5,标准坦克设计!$B$24:$U$30,MATCH("对"&amp;LEFT($C$5,2)&amp;"输出",标准坦克设计!$B$23:$U$23,0)))*(VLOOKUP($B209,INDIRECT($B$5&amp;"生成成长"),3))*(VLOOKUP($B$5,标准坦克设计!$B$14:$K$20,9)/30))</f>
        <v>6.3528494942449418</v>
      </c>
      <c r="AK209" s="172">
        <f ca="1">(VLOOKUP(AK$72,INDIRECT($C$5&amp;"生成成长"),2))/((VLOOKUP($B209,INDIRECT($B$5&amp;"生成成长"),4))/(VLOOKUP(AK$72,INDIRECT($C$5&amp;"生成成长"),5))*(VLOOKUP($B$5,标准坦克设计!$B$24:$U$30,MATCH("对"&amp;LEFT($C$5,2)&amp;"输出",标准坦克设计!$B$23:$U$23,0)))*(VLOOKUP($B209,INDIRECT($B$5&amp;"生成成长"),3))*(VLOOKUP($B$5,标准坦克设计!$B$14:$K$20,9)/30))</f>
        <v>6.9265435365713124</v>
      </c>
      <c r="AL209" s="172">
        <f ca="1">(VLOOKUP(AL$72,INDIRECT($C$5&amp;"生成成长"),2))/((VLOOKUP($B209,INDIRECT($B$5&amp;"生成成长"),4))/(VLOOKUP(AL$72,INDIRECT($C$5&amp;"生成成长"),5))*(VLOOKUP($B$5,标准坦克设计!$B$24:$U$30,MATCH("对"&amp;LEFT($C$5,2)&amp;"输出",标准坦克设计!$B$23:$U$23,0)))*(VLOOKUP($B209,INDIRECT($B$5&amp;"生成成长"),3))*(VLOOKUP($B$5,标准坦克设计!$B$14:$K$20,9)/30))</f>
        <v>7.5250337850493159</v>
      </c>
      <c r="AM209" s="172">
        <f ca="1">(VLOOKUP(AM$72,INDIRECT($C$5&amp;"生成成长"),2))/((VLOOKUP($B209,INDIRECT($B$5&amp;"生成成长"),4))/(VLOOKUP(AM$72,INDIRECT($C$5&amp;"生成成长"),5))*(VLOOKUP($B$5,标准坦克设计!$B$24:$U$30,MATCH("对"&amp;LEFT($C$5,2)&amp;"输出",标准坦克设计!$B$23:$U$23,0)))*(VLOOKUP($B209,INDIRECT($B$5&amp;"生成成长"),3))*(VLOOKUP($B$5,标准坦克设计!$B$14:$K$20,9)/30))</f>
        <v>8.148320239678954</v>
      </c>
      <c r="AN209" s="172">
        <f ca="1">(VLOOKUP(AN$72,INDIRECT($C$5&amp;"生成成长"),2))/((VLOOKUP($B209,INDIRECT($B$5&amp;"生成成长"),4))/(VLOOKUP(AN$72,INDIRECT($C$5&amp;"生成成长"),5))*(VLOOKUP($B$5,标准坦克设计!$B$24:$U$30,MATCH("对"&amp;LEFT($C$5,2)&amp;"输出",标准坦克设计!$B$23:$U$23,0)))*(VLOOKUP($B209,INDIRECT($B$5&amp;"生成成长"),3))*(VLOOKUP($B$5,标准坦克设计!$B$14:$K$20,9)/30))</f>
        <v>8.7964029004602171</v>
      </c>
      <c r="AO209" s="172">
        <f ca="1">(VLOOKUP(AO$72,INDIRECT($C$5&amp;"生成成长"),2))/((VLOOKUP($B209,INDIRECT($B$5&amp;"生成成长"),4))/(VLOOKUP(AO$72,INDIRECT($C$5&amp;"生成成长"),5))*(VLOOKUP($B$5,标准坦克设计!$B$24:$U$30,MATCH("对"&amp;LEFT($C$5,2)&amp;"输出",标准坦克设计!$B$23:$U$23,0)))*(VLOOKUP($B209,INDIRECT($B$5&amp;"生成成长"),3))*(VLOOKUP($B$5,标准坦克设计!$B$14:$K$20,9)/30))</f>
        <v>9.4692817673931131</v>
      </c>
      <c r="AP209" s="172">
        <f ca="1">(VLOOKUP(AP$72,INDIRECT($C$5&amp;"生成成长"),2))/((VLOOKUP($B209,INDIRECT($B$5&amp;"生成成长"),4))/(VLOOKUP(AP$72,INDIRECT($C$5&amp;"生成成长"),5))*(VLOOKUP($B$5,标准坦克设计!$B$24:$U$30,MATCH("对"&amp;LEFT($C$5,2)&amp;"输出",标准坦克设计!$B$23:$U$23,0)))*(VLOOKUP($B209,INDIRECT($B$5&amp;"生成成长"),3))*(VLOOKUP($B$5,标准坦克设计!$B$14:$K$20,9)/30))</f>
        <v>10.16695684047764</v>
      </c>
      <c r="AQ209" s="172">
        <f ca="1">(VLOOKUP(AQ$72,INDIRECT($C$5&amp;"生成成长"),2))/((VLOOKUP($B209,INDIRECT($B$5&amp;"生成成长"),4))/(VLOOKUP(AQ$72,INDIRECT($C$5&amp;"生成成长"),5))*(VLOOKUP($B$5,标准坦克设计!$B$24:$U$30,MATCH("对"&amp;LEFT($C$5,2)&amp;"输出",标准坦克设计!$B$23:$U$23,0)))*(VLOOKUP($B209,INDIRECT($B$5&amp;"生成成长"),3))*(VLOOKUP($B$5,标准坦克设计!$B$14:$K$20,9)/30))</f>
        <v>10.889428119713799</v>
      </c>
      <c r="AR209" s="172">
        <f ca="1">(VLOOKUP(AR$72,INDIRECT($C$5&amp;"生成成长"),2))/((VLOOKUP($B209,INDIRECT($B$5&amp;"生成成长"),4))/(VLOOKUP(AR$72,INDIRECT($C$5&amp;"生成成长"),5))*(VLOOKUP($B$5,标准坦克设计!$B$24:$U$30,MATCH("对"&amp;LEFT($C$5,2)&amp;"输出",标准坦克设计!$B$23:$U$23,0)))*(VLOOKUP($B209,INDIRECT($B$5&amp;"生成成长"),3))*(VLOOKUP($B$5,标准坦克设计!$B$14:$K$20,9)/30))</f>
        <v>11.636695605101592</v>
      </c>
      <c r="AS209" s="172">
        <f ca="1">(VLOOKUP(AS$72,INDIRECT($C$5&amp;"生成成长"),2))/((VLOOKUP($B209,INDIRECT($B$5&amp;"生成成长"),4))/(VLOOKUP(AS$72,INDIRECT($C$5&amp;"生成成长"),5))*(VLOOKUP($B$5,标准坦克设计!$B$24:$U$30,MATCH("对"&amp;LEFT($C$5,2)&amp;"输出",标准坦克设计!$B$23:$U$23,0)))*(VLOOKUP($B209,INDIRECT($B$5&amp;"生成成长"),3))*(VLOOKUP($B$5,标准坦克设计!$B$14:$K$20,9)/30))</f>
        <v>12.408759296641014</v>
      </c>
      <c r="AT209" s="172">
        <f ca="1">(VLOOKUP(AT$72,INDIRECT($C$5&amp;"生成成长"),2))/((VLOOKUP($B209,INDIRECT($B$5&amp;"生成成长"),4))/(VLOOKUP(AT$72,INDIRECT($C$5&amp;"生成成长"),5))*(VLOOKUP($B$5,标准坦克设计!$B$24:$U$30,MATCH("对"&amp;LEFT($C$5,2)&amp;"输出",标准坦克设计!$B$23:$U$23,0)))*(VLOOKUP($B209,INDIRECT($B$5&amp;"生成成长"),3))*(VLOOKUP($B$5,标准坦克设计!$B$14:$K$20,9)/30))</f>
        <v>13.205619194332066</v>
      </c>
      <c r="AU209" s="172">
        <f ca="1">(VLOOKUP(AU$72,INDIRECT($C$5&amp;"生成成长"),2))/((VLOOKUP($B209,INDIRECT($B$5&amp;"生成成长"),4))/(VLOOKUP(AU$72,INDIRECT($C$5&amp;"生成成长"),5))*(VLOOKUP($B$5,标准坦克设计!$B$24:$U$30,MATCH("对"&amp;LEFT($C$5,2)&amp;"输出",标准坦克设计!$B$23:$U$23,0)))*(VLOOKUP($B209,INDIRECT($B$5&amp;"生成成长"),3))*(VLOOKUP($B$5,标准坦克设计!$B$14:$K$20,9)/30))</f>
        <v>14.027275298174747</v>
      </c>
      <c r="AV209" s="172">
        <f ca="1">(VLOOKUP(AV$72,INDIRECT($C$5&amp;"生成成长"),2))/((VLOOKUP($B209,INDIRECT($B$5&amp;"生成成长"),4))/(VLOOKUP(AV$72,INDIRECT($C$5&amp;"生成成长"),5))*(VLOOKUP($B$5,标准坦克设计!$B$24:$U$30,MATCH("对"&amp;LEFT($C$5,2)&amp;"输出",标准坦克设计!$B$23:$U$23,0)))*(VLOOKUP($B209,INDIRECT($B$5&amp;"生成成长"),3))*(VLOOKUP($B$5,标准坦克设计!$B$14:$K$20,9)/30))</f>
        <v>1.4267040266748368</v>
      </c>
      <c r="AW209" s="172">
        <f ca="1">(VLOOKUP(AW$72,INDIRECT($C$5&amp;"生成成长"),2))/((VLOOKUP($B209,INDIRECT($B$5&amp;"生成成长"),4))/(VLOOKUP(AW$72,INDIRECT($C$5&amp;"生成成长"),5))*(VLOOKUP($B$5,标准坦克设计!$B$24:$U$30,MATCH("对"&amp;LEFT($C$5,2)&amp;"输出",标准坦克设计!$B$23:$U$23,0)))*(VLOOKUP($B209,INDIRECT($B$5&amp;"生成成长"),3))*(VLOOKUP($B$5,标准坦克设计!$B$14:$K$20,9)/30))</f>
        <v>1.626713094476423</v>
      </c>
      <c r="AX209" s="172">
        <f ca="1">(VLOOKUP(AX$72,INDIRECT($C$5&amp;"生成成长"),2))/((VLOOKUP($B209,INDIRECT($B$5&amp;"生成成长"),4))/(VLOOKUP(AX$72,INDIRECT($C$5&amp;"生成成长"),5))*(VLOOKUP($B$5,标准坦克设计!$B$24:$U$30,MATCH("对"&amp;LEFT($C$5,2)&amp;"输出",标准坦克设计!$B$23:$U$23,0)))*(VLOOKUP($B209,INDIRECT($B$5&amp;"生成成长"),3))*(VLOOKUP($B$5,标准坦克设计!$B$14:$K$20,9)/30))</f>
        <v>1.8398375109863094</v>
      </c>
      <c r="AY209" s="172">
        <f ca="1">(VLOOKUP(AY$72,INDIRECT($C$5&amp;"生成成长"),2))/((VLOOKUP($B209,INDIRECT($B$5&amp;"生成成长"),4))/(VLOOKUP(AY$72,INDIRECT($C$5&amp;"生成成长"),5))*(VLOOKUP($B$5,标准坦克设计!$B$24:$U$30,MATCH("对"&amp;LEFT($C$5,2)&amp;"输出",标准坦克设计!$B$23:$U$23,0)))*(VLOOKUP($B209,INDIRECT($B$5&amp;"生成成长"),3))*(VLOOKUP($B$5,标准坦克设计!$B$14:$K$20,9)/30))</f>
        <v>2.0660772762044965</v>
      </c>
      <c r="AZ209" s="172">
        <f ca="1">(VLOOKUP(AZ$72,INDIRECT($C$5&amp;"生成成长"),2))/((VLOOKUP($B209,INDIRECT($B$5&amp;"生成成长"),4))/(VLOOKUP(AZ$72,INDIRECT($C$5&amp;"生成成长"),5))*(VLOOKUP($B$5,标准坦克设计!$B$24:$U$30,MATCH("对"&amp;LEFT($C$5,2)&amp;"输出",标准坦克设计!$B$23:$U$23,0)))*(VLOOKUP($B209,INDIRECT($B$5&amp;"生成成长"),3))*(VLOOKUP($B$5,标准坦克设计!$B$14:$K$20,9)/30))</f>
        <v>2.3054323901309841</v>
      </c>
      <c r="BA209" s="172">
        <f ca="1">(VLOOKUP(BA$72,INDIRECT($C$5&amp;"生成成长"),2))/((VLOOKUP($B209,INDIRECT($B$5&amp;"生成成长"),4))/(VLOOKUP(BA$72,INDIRECT($C$5&amp;"生成成长"),5))*(VLOOKUP($B$5,标准坦克设计!$B$24:$U$30,MATCH("对"&amp;LEFT($C$5,2)&amp;"输出",标准坦克设计!$B$23:$U$23,0)))*(VLOOKUP($B209,INDIRECT($B$5&amp;"生成成长"),3))*(VLOOKUP($B$5,标准坦克设计!$B$14:$K$20,9)/30))</f>
        <v>2.5579028527657734</v>
      </c>
      <c r="BB209" s="172">
        <f ca="1">(VLOOKUP(BB$72,INDIRECT($C$5&amp;"生成成长"),2))/((VLOOKUP($B209,INDIRECT($B$5&amp;"生成成长"),4))/(VLOOKUP(BB$72,INDIRECT($C$5&amp;"生成成长"),5))*(VLOOKUP($B$5,标准坦克设计!$B$24:$U$30,MATCH("对"&amp;LEFT($C$5,2)&amp;"输出",标准坦克设计!$B$23:$U$23,0)))*(VLOOKUP($B209,INDIRECT($B$5&amp;"生成成长"),3))*(VLOOKUP($B$5,标准坦克设计!$B$14:$K$20,9)/30))</f>
        <v>2.8234886641088623</v>
      </c>
      <c r="BC209" s="172">
        <f ca="1">(VLOOKUP(BC$72,INDIRECT($C$5&amp;"生成成长"),2))/((VLOOKUP($B209,INDIRECT($B$5&amp;"生成成长"),4))/(VLOOKUP(BC$72,INDIRECT($C$5&amp;"生成成长"),5))*(VLOOKUP($B$5,标准坦克设计!$B$24:$U$30,MATCH("对"&amp;LEFT($C$5,2)&amp;"输出",标准坦克设计!$B$23:$U$23,0)))*(VLOOKUP($B209,INDIRECT($B$5&amp;"生成成长"),3))*(VLOOKUP($B$5,标准坦克设计!$B$14:$K$20,9)/30))</f>
        <v>3.1021898241602535</v>
      </c>
      <c r="BD209" s="172">
        <f ca="1">(VLOOKUP(BD$72,INDIRECT($C$5&amp;"生成成长"),2))/((VLOOKUP($B209,INDIRECT($B$5&amp;"生成成长"),4))/(VLOOKUP(BD$72,INDIRECT($C$5&amp;"生成成长"),5))*(VLOOKUP($B$5,标准坦克设计!$B$24:$U$30,MATCH("对"&amp;LEFT($C$5,2)&amp;"输出",标准坦克设计!$B$23:$U$23,0)))*(VLOOKUP($B209,INDIRECT($B$5&amp;"生成成长"),3))*(VLOOKUP($B$5,标准坦克设计!$B$14:$K$20,9)/30))</f>
        <v>3.4314055694709578</v>
      </c>
      <c r="BE209" s="172">
        <f ca="1">(VLOOKUP(BE$72,INDIRECT($C$5&amp;"生成成长"),2))/((VLOOKUP($B209,INDIRECT($B$5&amp;"生成成长"),4))/(VLOOKUP(BE$72,INDIRECT($C$5&amp;"生成成长"),5))*(VLOOKUP($B$5,标准坦克设计!$B$24:$U$30,MATCH("对"&amp;LEFT($C$5,2)&amp;"输出",标准坦克设计!$B$23:$U$23,0)))*(VLOOKUP($B209,INDIRECT($B$5&amp;"生成成长"),3))*(VLOOKUP($B$5,标准坦克设计!$B$14:$K$20,9)/30))</f>
        <v>3.777220427990605</v>
      </c>
      <c r="BF209" s="172">
        <f ca="1">(VLOOKUP(BF$72,INDIRECT($C$5&amp;"生成成长"),2))/((VLOOKUP($B209,INDIRECT($B$5&amp;"生成成长"),4))/(VLOOKUP(BF$72,INDIRECT($C$5&amp;"生成成长"),5))*(VLOOKUP($B$5,标准坦克设计!$B$24:$U$30,MATCH("对"&amp;LEFT($C$5,2)&amp;"输出",标准坦克设计!$B$23:$U$23,0)))*(VLOOKUP($B209,INDIRECT($B$5&amp;"生成成长"),3))*(VLOOKUP($B$5,标准坦克设计!$B$14:$K$20,9)/30))</f>
        <v>4.1396343997191964</v>
      </c>
      <c r="BG209" s="172">
        <f ca="1">(VLOOKUP(BG$72,INDIRECT($C$5&amp;"生成成长"),2))/((VLOOKUP($B209,INDIRECT($B$5&amp;"生成成长"),4))/(VLOOKUP(BG$72,INDIRECT($C$5&amp;"生成成长"),5))*(VLOOKUP($B$5,标准坦克设计!$B$24:$U$30,MATCH("对"&amp;LEFT($C$5,2)&amp;"输出",标准坦克设计!$B$23:$U$23,0)))*(VLOOKUP($B209,INDIRECT($B$5&amp;"生成成长"),3))*(VLOOKUP($B$5,标准坦克设计!$B$14:$K$20,9)/30))</f>
        <v>4.5186474846567295</v>
      </c>
      <c r="BH209" s="172">
        <f ca="1">(VLOOKUP(BH$72,INDIRECT($C$5&amp;"生成成长"),2))/((VLOOKUP($B209,INDIRECT($B$5&amp;"生成成长"),4))/(VLOOKUP(BH$72,INDIRECT($C$5&amp;"生成成长"),5))*(VLOOKUP($B$5,标准坦克设计!$B$24:$U$30,MATCH("对"&amp;LEFT($C$5,2)&amp;"输出",标准坦克设计!$B$23:$U$23,0)))*(VLOOKUP($B209,INDIRECT($B$5&amp;"生成成长"),3))*(VLOOKUP($B$5,标准坦克设计!$B$14:$K$20,9)/30))</f>
        <v>2.1841154145792028</v>
      </c>
      <c r="BI209" s="172">
        <f ca="1">(VLOOKUP(BI$72,INDIRECT($C$5&amp;"生成成长"),2))/((VLOOKUP($B209,INDIRECT($B$5&amp;"生成成长"),4))/(VLOOKUP(BI$72,INDIRECT($C$5&amp;"生成成长"),5))*(VLOOKUP($B$5,标准坦克设计!$B$24:$U$30,MATCH("对"&amp;LEFT($C$5,2)&amp;"输出",标准坦克设计!$B$23:$U$23,0)))*(VLOOKUP($B209,INDIRECT($B$5&amp;"生成成长"),3))*(VLOOKUP($B$5,标准坦克设计!$B$14:$K$20,9)/30))</f>
        <v>2.461689474350973</v>
      </c>
      <c r="BJ209" s="172">
        <f ca="1">(VLOOKUP(BJ$72,INDIRECT($C$5&amp;"生成成长"),2))/((VLOOKUP($B209,INDIRECT($B$5&amp;"生成成长"),4))/(VLOOKUP(BJ$72,INDIRECT($C$5&amp;"生成成长"),5))*(VLOOKUP($B$5,标准坦克设计!$B$24:$U$30,MATCH("对"&amp;LEFT($C$5,2)&amp;"输出",标准坦克设计!$B$23:$U$23,0)))*(VLOOKUP($B209,INDIRECT($B$5&amp;"生成成长"),3))*(VLOOKUP($B$5,标准坦克设计!$B$14:$K$20,9)/30))</f>
        <v>2.755862647331687</v>
      </c>
      <c r="BK209" s="172">
        <f ca="1">(VLOOKUP(BK$72,INDIRECT($C$5&amp;"生成成长"),2))/((VLOOKUP($B209,INDIRECT($B$5&amp;"生成成长"),4))/(VLOOKUP(BK$72,INDIRECT($C$5&amp;"生成成长"),5))*(VLOOKUP($B$5,标准坦克设计!$B$24:$U$30,MATCH("对"&amp;LEFT($C$5,2)&amp;"输出",标准坦克设计!$B$23:$U$23,0)))*(VLOOKUP($B209,INDIRECT($B$5&amp;"生成成长"),3))*(VLOOKUP($B$5,标准坦克设计!$B$14:$K$20,9)/30))</f>
        <v>3.0666349335213443</v>
      </c>
      <c r="BL209" s="172">
        <f ca="1">(VLOOKUP(BL$72,INDIRECT($C$5&amp;"生成成长"),2))/((VLOOKUP($B209,INDIRECT($B$5&amp;"生成成长"),4))/(VLOOKUP(BL$72,INDIRECT($C$5&amp;"生成成长"),5))*(VLOOKUP($B$5,标准坦克设计!$B$24:$U$30,MATCH("对"&amp;LEFT($C$5,2)&amp;"输出",标准坦克设计!$B$23:$U$23,0)))*(VLOOKUP($B209,INDIRECT($B$5&amp;"生成成长"),3))*(VLOOKUP($B$5,标准坦克设计!$B$14:$K$20,9)/30))</f>
        <v>3.3940063329199437</v>
      </c>
      <c r="BM209" s="172">
        <f ca="1">(VLOOKUP(BM$72,INDIRECT($C$5&amp;"生成成长"),2))/((VLOOKUP($B209,INDIRECT($B$5&amp;"生成成长"),4))/(VLOOKUP(BM$72,INDIRECT($C$5&amp;"生成成长"),5))*(VLOOKUP($B$5,标准坦克设计!$B$24:$U$30,MATCH("对"&amp;LEFT($C$5,2)&amp;"输出",标准坦克设计!$B$23:$U$23,0)))*(VLOOKUP($B209,INDIRECT($B$5&amp;"生成成长"),3))*(VLOOKUP($B$5,标准坦克设计!$B$14:$K$20,9)/30))</f>
        <v>3.7379768455274864</v>
      </c>
      <c r="BN209" s="172">
        <f ca="1">(VLOOKUP(BN$72,INDIRECT($C$5&amp;"生成成长"),2))/((VLOOKUP($B209,INDIRECT($B$5&amp;"生成成长"),4))/(VLOOKUP(BN$72,INDIRECT($C$5&amp;"生成成长"),5))*(VLOOKUP($B$5,标准坦克设计!$B$24:$U$30,MATCH("对"&amp;LEFT($C$5,2)&amp;"输出",标准坦克设计!$B$23:$U$23,0)))*(VLOOKUP($B209,INDIRECT($B$5&amp;"生成成长"),3))*(VLOOKUP($B$5,标准坦克设计!$B$14:$K$20,9)/30))</f>
        <v>4.0985464713439725</v>
      </c>
      <c r="BO209" s="172">
        <f ca="1">(VLOOKUP(BO$72,INDIRECT($C$5&amp;"生成成长"),2))/((VLOOKUP($B209,INDIRECT($B$5&amp;"生成成长"),4))/(VLOOKUP(BO$72,INDIRECT($C$5&amp;"生成成长"),5))*(VLOOKUP($B$5,标准坦克设计!$B$24:$U$30,MATCH("对"&amp;LEFT($C$5,2)&amp;"输出",标准坦克设计!$B$23:$U$23,0)))*(VLOOKUP($B209,INDIRECT($B$5&amp;"生成成长"),3))*(VLOOKUP($B$5,标准坦克设计!$B$14:$K$20,9)/30))</f>
        <v>4.475715210369402</v>
      </c>
      <c r="BP209" s="172">
        <f ca="1">(VLOOKUP(BP$72,INDIRECT($C$5&amp;"生成成长"),2))/((VLOOKUP($B209,INDIRECT($B$5&amp;"生成成长"),4))/(VLOOKUP(BP$72,INDIRECT($C$5&amp;"生成成长"),5))*(VLOOKUP($B$5,标准坦克设计!$B$24:$U$30,MATCH("对"&amp;LEFT($C$5,2)&amp;"输出",标准坦克设计!$B$23:$U$23,0)))*(VLOOKUP($B209,INDIRECT($B$5&amp;"生成成长"),3))*(VLOOKUP($B$5,标准坦克设计!$B$14:$K$20,9)/30))</f>
        <v>4.8694830626037735</v>
      </c>
      <c r="BQ209" s="172">
        <f ca="1">(VLOOKUP(BQ$72,INDIRECT($C$5&amp;"生成成长"),2))/((VLOOKUP($B209,INDIRECT($B$5&amp;"生成成长"),4))/(VLOOKUP(BQ$72,INDIRECT($C$5&amp;"生成成长"),5))*(VLOOKUP($B$5,标准坦克设计!$B$24:$U$30,MATCH("对"&amp;LEFT($C$5,2)&amp;"输出",标准坦克设计!$B$23:$U$23,0)))*(VLOOKUP($B209,INDIRECT($B$5&amp;"生成成长"),3))*(VLOOKUP($B$5,标准坦克设计!$B$14:$K$20,9)/30))</f>
        <v>5.2798500280470888</v>
      </c>
      <c r="BR209" s="172">
        <f ca="1">(VLOOKUP(BR$72,INDIRECT($C$5&amp;"生成成长"),2))/((VLOOKUP($B209,INDIRECT($B$5&amp;"生成成长"),4))/(VLOOKUP(BR$72,INDIRECT($C$5&amp;"生成成长"),5))*(VLOOKUP($B$5,标准坦克设计!$B$24:$U$30,MATCH("对"&amp;LEFT($C$5,2)&amp;"输出",标准坦克设计!$B$23:$U$23,0)))*(VLOOKUP($B209,INDIRECT($B$5&amp;"生成成长"),3))*(VLOOKUP($B$5,标准坦克设计!$B$14:$K$20,9)/30))</f>
        <v>5.7552814187229888</v>
      </c>
      <c r="BS209" s="172">
        <f ca="1">(VLOOKUP(BS$72,INDIRECT($C$5&amp;"生成成长"),2))/((VLOOKUP($B209,INDIRECT($B$5&amp;"生成成长"),4))/(VLOOKUP(BS$72,INDIRECT($C$5&amp;"生成成长"),5))*(VLOOKUP($B$5,标准坦克设计!$B$24:$U$30,MATCH("对"&amp;LEFT($C$5,2)&amp;"输出",标准坦克设计!$B$23:$U$23,0)))*(VLOOKUP($B209,INDIRECT($B$5&amp;"生成成长"),3))*(VLOOKUP($B$5,标准坦克设计!$B$14:$K$20,9)/30))</f>
        <v>6.2512055417556107</v>
      </c>
      <c r="BT209" s="172">
        <f ca="1">(VLOOKUP(BT$72,INDIRECT($C$5&amp;"生成成长"),2))/((VLOOKUP($B209,INDIRECT($B$5&amp;"生成成长"),4))/(VLOOKUP(BT$72,INDIRECT($C$5&amp;"生成成长"),5))*(VLOOKUP($B$5,标准坦克设计!$B$24:$U$30,MATCH("对"&amp;LEFT($C$5,2)&amp;"输出",标准坦克设计!$B$23:$U$23,0)))*(VLOOKUP($B209,INDIRECT($B$5&amp;"生成成长"),3))*(VLOOKUP($B$5,标准坦克设计!$B$14:$K$20,9)/30))</f>
        <v>6.767622397144951</v>
      </c>
      <c r="BU209" s="172">
        <f ca="1">(VLOOKUP(BU$72,INDIRECT($C$5&amp;"生成成长"),2))/((VLOOKUP($B209,INDIRECT($B$5&amp;"生成成长"),4))/(VLOOKUP(BU$72,INDIRECT($C$5&amp;"生成成长"),5))*(VLOOKUP($B$5,标准坦克设计!$B$24:$U$30,MATCH("对"&amp;LEFT($C$5,2)&amp;"输出",标准坦克设计!$B$23:$U$23,0)))*(VLOOKUP($B209,INDIRECT($B$5&amp;"生成成长"),3))*(VLOOKUP($B$5,标准坦克设计!$B$14:$K$20,9)/30))</f>
        <v>7.3045319848910122</v>
      </c>
      <c r="BV209" s="172">
        <f ca="1">(VLOOKUP(BV$72,INDIRECT($C$5&amp;"生成成长"),2))/((VLOOKUP($B209,INDIRECT($B$5&amp;"生成成长"),4))/(VLOOKUP(BV$72,INDIRECT($C$5&amp;"生成成长"),5))*(VLOOKUP($B$5,标准坦克设计!$B$24:$U$30,MATCH("对"&amp;LEFT($C$5,2)&amp;"输出",标准坦克设计!$B$23:$U$23,0)))*(VLOOKUP($B209,INDIRECT($B$5&amp;"生成成长"),3))*(VLOOKUP($B$5,标准坦克设计!$B$14:$K$20,9)/30))</f>
        <v>7.86193430499379</v>
      </c>
      <c r="BW209" s="172">
        <f ca="1">(VLOOKUP(BW$72,INDIRECT($C$5&amp;"生成成长"),2))/((VLOOKUP($B209,INDIRECT($B$5&amp;"生成成长"),4))/(VLOOKUP(BW$72,INDIRECT($C$5&amp;"生成成长"),5))*(VLOOKUP($B$5,标准坦克设计!$B$24:$U$30,MATCH("对"&amp;LEFT($C$5,2)&amp;"输出",标准坦克设计!$B$23:$U$23,0)))*(VLOOKUP($B209,INDIRECT($B$5&amp;"生成成长"),3))*(VLOOKUP($B$5,标准坦克设计!$B$14:$K$20,9)/30))</f>
        <v>3.5830517889106841</v>
      </c>
      <c r="BX209" s="172">
        <f ca="1">(VLOOKUP(BX$72,INDIRECT($C$5&amp;"生成成长"),2))/((VLOOKUP($B209,INDIRECT($B$5&amp;"生成成长"),4))/(VLOOKUP(BX$72,INDIRECT($C$5&amp;"生成成长"),5))*(VLOOKUP($B$5,标准坦克设计!$B$24:$U$30,MATCH("对"&amp;LEFT($C$5,2)&amp;"输出",标准坦克设计!$B$23:$U$23,0)))*(VLOOKUP($B209,INDIRECT($B$5&amp;"生成成长"),3))*(VLOOKUP($B$5,标准坦克设计!$B$14:$K$20,9)/30))</f>
        <v>3.9765122501597054</v>
      </c>
      <c r="BY209" s="172">
        <f ca="1">(VLOOKUP(BY$72,INDIRECT($C$5&amp;"生成成长"),2))/((VLOOKUP($B209,INDIRECT($B$5&amp;"生成成长"),4))/(VLOOKUP(BY$72,INDIRECT($C$5&amp;"生成成长"),5))*(VLOOKUP($B$5,标准坦克设计!$B$24:$U$30,MATCH("对"&amp;LEFT($C$5,2)&amp;"输出",标准坦克设计!$B$23:$U$23,0)))*(VLOOKUP($B209,INDIRECT($B$5&amp;"生成成长"),3))*(VLOOKUP($B$5,标准坦克设计!$B$14:$K$20,9)/30))</f>
        <v>4.3904654437654473</v>
      </c>
      <c r="BZ209" s="172">
        <f ca="1">(VLOOKUP(BZ$72,INDIRECT($C$5&amp;"生成成长"),2))/((VLOOKUP($B209,INDIRECT($B$5&amp;"生成成长"),4))/(VLOOKUP(BZ$72,INDIRECT($C$5&amp;"生成成长"),5))*(VLOOKUP($B$5,标准坦克设计!$B$24:$U$30,MATCH("对"&amp;LEFT($C$5,2)&amp;"输出",标准坦克设计!$B$23:$U$23,0)))*(VLOOKUP($B209,INDIRECT($B$5&amp;"生成成长"),3))*(VLOOKUP($B$5,标准坦克设计!$B$14:$K$20,9)/30))</f>
        <v>4.8249113697279071</v>
      </c>
      <c r="CA209" s="172">
        <f ca="1">(VLOOKUP(CA$72,INDIRECT($C$5&amp;"生成成长"),2))/((VLOOKUP($B209,INDIRECT($B$5&amp;"生成成长"),4))/(VLOOKUP(CA$72,INDIRECT($C$5&amp;"生成成长"),5))*(VLOOKUP($B$5,标准坦克设计!$B$24:$U$30,MATCH("对"&amp;LEFT($C$5,2)&amp;"输出",标准坦克设计!$B$23:$U$23,0)))*(VLOOKUP($B209,INDIRECT($B$5&amp;"生成成长"),3))*(VLOOKUP($B$5,标准坦克设计!$B$14:$K$20,9)/30))</f>
        <v>5.2798500280470888</v>
      </c>
      <c r="CB209" s="172">
        <f ca="1">(VLOOKUP(CB$72,INDIRECT($C$5&amp;"生成成长"),2))/((VLOOKUP($B209,INDIRECT($B$5&amp;"生成成长"),4))/(VLOOKUP(CB$72,INDIRECT($C$5&amp;"生成成长"),5))*(VLOOKUP($B$5,标准坦克设计!$B$24:$U$30,MATCH("对"&amp;LEFT($C$5,2)&amp;"输出",标准坦克设计!$B$23:$U$23,0)))*(VLOOKUP($B209,INDIRECT($B$5&amp;"生成成长"),3))*(VLOOKUP($B$5,标准坦克设计!$B$14:$K$20,9)/30))</f>
        <v>5.7552814187229888</v>
      </c>
      <c r="CC209" s="172">
        <f ca="1">(VLOOKUP(CC$72,INDIRECT($C$5&amp;"生成成长"),2))/((VLOOKUP($B209,INDIRECT($B$5&amp;"生成成长"),4))/(VLOOKUP(CC$72,INDIRECT($C$5&amp;"生成成长"),5))*(VLOOKUP($B$5,标准坦克设计!$B$24:$U$30,MATCH("对"&amp;LEFT($C$5,2)&amp;"输出",标准坦克设计!$B$23:$U$23,0)))*(VLOOKUP($B209,INDIRECT($B$5&amp;"生成成长"),3))*(VLOOKUP($B$5,标准坦克设计!$B$14:$K$20,9)/30))</f>
        <v>6.2512055417556107</v>
      </c>
      <c r="CD209" s="172">
        <f ca="1">(VLOOKUP(CD$72,INDIRECT($C$5&amp;"生成成长"),2))/((VLOOKUP($B209,INDIRECT($B$5&amp;"生成成长"),4))/(VLOOKUP(CD$72,INDIRECT($C$5&amp;"生成成长"),5))*(VLOOKUP($B$5,标准坦克设计!$B$24:$U$30,MATCH("对"&amp;LEFT($C$5,2)&amp;"输出",标准坦克设计!$B$23:$U$23,0)))*(VLOOKUP($B209,INDIRECT($B$5&amp;"生成成长"),3))*(VLOOKUP($B$5,标准坦克设计!$B$14:$K$20,9)/30))</f>
        <v>6.767622397144951</v>
      </c>
      <c r="CE209" s="172">
        <f ca="1">(VLOOKUP(CE$72,INDIRECT($C$5&amp;"生成成长"),2))/((VLOOKUP($B209,INDIRECT($B$5&amp;"生成成长"),4))/(VLOOKUP(CE$72,INDIRECT($C$5&amp;"生成成长"),5))*(VLOOKUP($B$5,标准坦克设计!$B$24:$U$30,MATCH("对"&amp;LEFT($C$5,2)&amp;"输出",标准坦克设计!$B$23:$U$23,0)))*(VLOOKUP($B209,INDIRECT($B$5&amp;"生成成长"),3))*(VLOOKUP($B$5,标准坦克设计!$B$14:$K$20,9)/30))</f>
        <v>7.3045319848910122</v>
      </c>
      <c r="CF209" s="172">
        <f ca="1">(VLOOKUP(CF$72,INDIRECT($C$5&amp;"生成成长"),2))/((VLOOKUP($B209,INDIRECT($B$5&amp;"生成成长"),4))/(VLOOKUP(CF$72,INDIRECT($C$5&amp;"生成成长"),5))*(VLOOKUP($B$5,标准坦克设计!$B$24:$U$30,MATCH("对"&amp;LEFT($C$5,2)&amp;"输出",标准坦克设计!$B$23:$U$23,0)))*(VLOOKUP($B209,INDIRECT($B$5&amp;"生成成长"),3))*(VLOOKUP($B$5,标准坦克设计!$B$14:$K$20,9)/30))</f>
        <v>7.86193430499379</v>
      </c>
      <c r="CG209" s="172">
        <f ca="1">(VLOOKUP(CG$72,INDIRECT($C$5&amp;"生成成长"),2))/((VLOOKUP($B209,INDIRECT($B$5&amp;"生成成长"),4))/(VLOOKUP(CG$72,INDIRECT($C$5&amp;"生成成长"),5))*(VLOOKUP($B$5,标准坦克设计!$B$24:$U$30,MATCH("对"&amp;LEFT($C$5,2)&amp;"输出",标准坦克设计!$B$23:$U$23,0)))*(VLOOKUP($B209,INDIRECT($B$5&amp;"生成成长"),3))*(VLOOKUP($B$5,标准坦克设计!$B$14:$K$20,9)/30))</f>
        <v>8.4398293574532914</v>
      </c>
      <c r="CH209" s="172">
        <f ca="1">(VLOOKUP(CH$72,INDIRECT($C$5&amp;"生成成长"),2))/((VLOOKUP($B209,INDIRECT($B$5&amp;"生成成长"),4))/(VLOOKUP(CH$72,INDIRECT($C$5&amp;"生成成长"),5))*(VLOOKUP($B$5,标准坦克设计!$B$24:$U$30,MATCH("对"&amp;LEFT($C$5,2)&amp;"输出",标准坦克设计!$B$23:$U$23,0)))*(VLOOKUP($B209,INDIRECT($B$5&amp;"生成成长"),3))*(VLOOKUP($B$5,标准坦克设计!$B$14:$K$20,9)/30))</f>
        <v>9.038217142269513</v>
      </c>
      <c r="CI209" s="172">
        <f ca="1">(VLOOKUP(CI$72,INDIRECT($C$5&amp;"生成成长"),2))/((VLOOKUP($B209,INDIRECT($B$5&amp;"生成成长"),4))/(VLOOKUP(CI$72,INDIRECT($C$5&amp;"生成成长"),5))*(VLOOKUP($B$5,标准坦克设计!$B$24:$U$30,MATCH("对"&amp;LEFT($C$5,2)&amp;"输出",标准坦克设计!$B$23:$U$23,0)))*(VLOOKUP($B209,INDIRECT($B$5&amp;"生成成长"),3))*(VLOOKUP($B$5,标准坦克设计!$B$14:$K$20,9)/30))</f>
        <v>9.7201128114393658</v>
      </c>
      <c r="CJ209" s="172">
        <f ca="1">(VLOOKUP(CJ$72,INDIRECT($C$5&amp;"生成成长"),2))/((VLOOKUP($B209,INDIRECT($B$5&amp;"生成成长"),4))/(VLOOKUP(CJ$72,INDIRECT($C$5&amp;"生成成长"),5))*(VLOOKUP($B$5,标准坦克设计!$B$24:$U$30,MATCH("对"&amp;LEFT($C$5,2)&amp;"输出",标准坦克设计!$B$23:$U$23,0)))*(VLOOKUP($B209,INDIRECT($B$5&amp;"生成成长"),3))*(VLOOKUP($B$5,标准坦克设计!$B$14:$K$20,9)/30))</f>
        <v>10.42680468676085</v>
      </c>
      <c r="CK209" s="172">
        <f ca="1">(VLOOKUP(CK$72,INDIRECT($C$5&amp;"生成成长"),2))/((VLOOKUP($B209,INDIRECT($B$5&amp;"生成成长"),4))/(VLOOKUP(CK$72,INDIRECT($C$5&amp;"生成成长"),5))*(VLOOKUP($B$5,标准坦克设计!$B$24:$U$30,MATCH("对"&amp;LEFT($C$5,2)&amp;"输出",标准坦克设计!$B$23:$U$23,0)))*(VLOOKUP($B209,INDIRECT($B$5&amp;"生成成长"),3))*(VLOOKUP($B$5,标准坦克设计!$B$14:$K$20,9)/30))</f>
        <v>11.158292768233967</v>
      </c>
      <c r="CL209" s="172">
        <f ca="1">(VLOOKUP(CL$72,INDIRECT($C$5&amp;"生成成长"),2))/((VLOOKUP($B209,INDIRECT($B$5&amp;"生成成长"),4))/(VLOOKUP(CL$72,INDIRECT($C$5&amp;"生成成长"),5))*(VLOOKUP($B$5,标准坦克设计!$B$24:$U$30,MATCH("对"&amp;LEFT($C$5,2)&amp;"输出",标准坦克设计!$B$23:$U$23,0)))*(VLOOKUP($B209,INDIRECT($B$5&amp;"生成成长"),3))*(VLOOKUP($B$5,标准坦克设计!$B$14:$K$20,9)/30))</f>
        <v>11.914577055858711</v>
      </c>
      <c r="CM209" s="172">
        <f ca="1">(VLOOKUP(CM$72,INDIRECT($C$5&amp;"生成成长"),2))/((VLOOKUP($B209,INDIRECT($B$5&amp;"生成成长"),4))/(VLOOKUP(CM$72,INDIRECT($C$5&amp;"生成成长"),5))*(VLOOKUP($B$5,标准坦克设计!$B$24:$U$30,MATCH("对"&amp;LEFT($C$5,2)&amp;"输出",标准坦克设计!$B$23:$U$23,0)))*(VLOOKUP($B209,INDIRECT($B$5&amp;"生成成长"),3))*(VLOOKUP($B$5,标准坦克设计!$B$14:$K$20,9)/30))</f>
        <v>12.695657549635092</v>
      </c>
      <c r="CN209" s="172">
        <f ca="1">(VLOOKUP(CN$72,INDIRECT($C$5&amp;"生成成长"),2))/((VLOOKUP($B209,INDIRECT($B$5&amp;"生成成长"),4))/(VLOOKUP(CN$72,INDIRECT($C$5&amp;"生成成长"),5))*(VLOOKUP($B$5,标准坦克设计!$B$24:$U$30,MATCH("对"&amp;LEFT($C$5,2)&amp;"输出",标准坦克设计!$B$23:$U$23,0)))*(VLOOKUP($B209,INDIRECT($B$5&amp;"生成成长"),3))*(VLOOKUP($B$5,标准坦克设计!$B$14:$K$20,9)/30))</f>
        <v>13.501534249563099</v>
      </c>
      <c r="CO209" s="172">
        <f ca="1">(VLOOKUP(CO$72,INDIRECT($C$5&amp;"生成成长"),2))/((VLOOKUP($B209,INDIRECT($B$5&amp;"生成成长"),4))/(VLOOKUP(CO$72,INDIRECT($C$5&amp;"生成成长"),5))*(VLOOKUP($B$5,标准坦克设计!$B$24:$U$30,MATCH("对"&amp;LEFT($C$5,2)&amp;"输出",标准坦克设计!$B$23:$U$23,0)))*(VLOOKUP($B209,INDIRECT($B$5&amp;"生成成长"),3))*(VLOOKUP($B$5,标准坦克设计!$B$14:$K$20,9)/30))</f>
        <v>6.0503767646597568</v>
      </c>
      <c r="CP209" s="172">
        <f ca="1">(VLOOKUP(CP$72,INDIRECT($C$5&amp;"生成成长"),2))/((VLOOKUP($B209,INDIRECT($B$5&amp;"生成成长"),4))/(VLOOKUP(CP$72,INDIRECT($C$5&amp;"生成成长"),5))*(VLOOKUP($B$5,标准坦克设计!$B$24:$U$30,MATCH("对"&amp;LEFT($C$5,2)&amp;"输出",标准坦克设计!$B$23:$U$23,0)))*(VLOOKUP($B209,INDIRECT($B$5&amp;"生成成长"),3))*(VLOOKUP($B$5,标准坦克设计!$B$14:$K$20,9)/30))</f>
        <v>6.610545603630694</v>
      </c>
      <c r="CQ209" s="172">
        <f ca="1">(VLOOKUP(CQ$72,INDIRECT($C$5&amp;"生成成长"),2))/((VLOOKUP($B209,INDIRECT($B$5&amp;"生成成长"),4))/(VLOOKUP(CQ$72,INDIRECT($C$5&amp;"生成成长"),5))*(VLOOKUP($B$5,标准坦克设计!$B$24:$U$30,MATCH("对"&amp;LEFT($C$5,2)&amp;"输出",标准坦克设计!$B$23:$U$23,0)))*(VLOOKUP($B209,INDIRECT($B$5&amp;"生成成长"),3))*(VLOOKUP($B$5,标准坦克设计!$B$14:$K$20,9)/30))</f>
        <v>7.1955106487532614</v>
      </c>
      <c r="CR209" s="172">
        <f ca="1">(VLOOKUP(CR$72,INDIRECT($C$5&amp;"生成成长"),2))/((VLOOKUP($B209,INDIRECT($B$5&amp;"生成成长"),4))/(VLOOKUP(CR$72,INDIRECT($C$5&amp;"生成成长"),5))*(VLOOKUP($B$5,标准坦克设计!$B$24:$U$30,MATCH("对"&amp;LEFT($C$5,2)&amp;"输出",标准坦克设计!$B$23:$U$23,0)))*(VLOOKUP($B209,INDIRECT($B$5&amp;"生成成长"),3))*(VLOOKUP($B$5,标准坦克设计!$B$14:$K$20,9)/30))</f>
        <v>7.8052719000274617</v>
      </c>
      <c r="CS209" s="172">
        <f ca="1">(VLOOKUP(CS$72,INDIRECT($C$5&amp;"生成成长"),2))/((VLOOKUP($B209,INDIRECT($B$5&amp;"生成成长"),4))/(VLOOKUP(CS$72,INDIRECT($C$5&amp;"生成成长"),5))*(VLOOKUP($B$5,标准坦克设计!$B$24:$U$30,MATCH("对"&amp;LEFT($C$5,2)&amp;"输出",标准坦克设计!$B$23:$U$23,0)))*(VLOOKUP($B209,INDIRECT($B$5&amp;"生成成长"),3))*(VLOOKUP($B$5,标准坦克设计!$B$14:$K$20,9)/30))</f>
        <v>8.4398293574532914</v>
      </c>
      <c r="CT209" s="172">
        <f ca="1">(VLOOKUP(CT$72,INDIRECT($C$5&amp;"生成成长"),2))/((VLOOKUP($B209,INDIRECT($B$5&amp;"生成成长"),4))/(VLOOKUP(CT$72,INDIRECT($C$5&amp;"生成成长"),5))*(VLOOKUP($B$5,标准坦克设计!$B$24:$U$30,MATCH("对"&amp;LEFT($C$5,2)&amp;"输出",标准坦克设计!$B$23:$U$23,0)))*(VLOOKUP($B209,INDIRECT($B$5&amp;"生成成长"),3))*(VLOOKUP($B$5,标准坦克设计!$B$14:$K$20,9)/30))</f>
        <v>9.0991830210307558</v>
      </c>
      <c r="CU209" s="172">
        <f ca="1">(VLOOKUP(CU$72,INDIRECT($C$5&amp;"生成成长"),2))/((VLOOKUP($B209,INDIRECT($B$5&amp;"生成成长"),4))/(VLOOKUP(CU$72,INDIRECT($C$5&amp;"生成成长"),5))*(VLOOKUP($B$5,标准坦克设计!$B$24:$U$30,MATCH("对"&amp;LEFT($C$5,2)&amp;"输出",标准坦克设计!$B$23:$U$23,0)))*(VLOOKUP($B209,INDIRECT($B$5&amp;"生成成长"),3))*(VLOOKUP($B$5,标准坦克设计!$B$14:$K$20,9)/30))</f>
        <v>9.783332890759846</v>
      </c>
      <c r="CV209" s="172">
        <f ca="1">(VLOOKUP(CV$72,INDIRECT($C$5&amp;"生成成长"),2))/((VLOOKUP($B209,INDIRECT($B$5&amp;"生成成长"),4))/(VLOOKUP(CV$72,INDIRECT($C$5&amp;"生成成长"),5))*(VLOOKUP($B$5,标准坦克设计!$B$24:$U$30,MATCH("对"&amp;LEFT($C$5,2)&amp;"输出",标准坦克设计!$B$23:$U$23,0)))*(VLOOKUP($B209,INDIRECT($B$5&amp;"生成成长"),3))*(VLOOKUP($B$5,标准坦克设计!$B$14:$K$20,9)/30))</f>
        <v>10.492278966640569</v>
      </c>
      <c r="CW209" s="172">
        <f ca="1">(VLOOKUP(CW$72,INDIRECT($C$5&amp;"生成成长"),2))/((VLOOKUP($B209,INDIRECT($B$5&amp;"生成成长"),4))/(VLOOKUP(CW$72,INDIRECT($C$5&amp;"生成成长"),5))*(VLOOKUP($B$5,标准坦克设计!$B$24:$U$30,MATCH("对"&amp;LEFT($C$5,2)&amp;"输出",标准坦克设计!$B$23:$U$23,0)))*(VLOOKUP($B209,INDIRECT($B$5&amp;"生成成长"),3))*(VLOOKUP($B$5,标准坦克设计!$B$14:$K$20,9)/30))</f>
        <v>11.226021248672925</v>
      </c>
      <c r="CX209" s="172">
        <f ca="1">(VLOOKUP(CX$72,INDIRECT($C$5&amp;"生成成长"),2))/((VLOOKUP($B209,INDIRECT($B$5&amp;"生成成长"),4))/(VLOOKUP(CX$72,INDIRECT($C$5&amp;"生成成长"),5))*(VLOOKUP($B$5,标准坦克设计!$B$24:$U$30,MATCH("对"&amp;LEFT($C$5,2)&amp;"输出",标准坦克设计!$B$23:$U$23,0)))*(VLOOKUP($B209,INDIRECT($B$5&amp;"生成成长"),3))*(VLOOKUP($B$5,标准坦克设计!$B$14:$K$20,9)/30))</f>
        <v>11.984559736856912</v>
      </c>
      <c r="CY209" s="172">
        <f ca="1">(VLOOKUP(CY$72,INDIRECT($C$5&amp;"生成成长"),2))/((VLOOKUP($B209,INDIRECT($B$5&amp;"生成成长"),4))/(VLOOKUP(CY$72,INDIRECT($C$5&amp;"生成成长"),5))*(VLOOKUP($B$5,标准坦克设计!$B$24:$U$30,MATCH("对"&amp;LEFT($C$5,2)&amp;"输出",标准坦克设计!$B$23:$U$23,0)))*(VLOOKUP($B209,INDIRECT($B$5&amp;"生成成长"),3))*(VLOOKUP($B$5,标准坦克设计!$B$14:$K$20,9)/30))</f>
        <v>12.767894431192525</v>
      </c>
      <c r="CZ209" s="172">
        <f ca="1">(VLOOKUP(CZ$72,INDIRECT($C$5&amp;"生成成长"),2))/((VLOOKUP($B209,INDIRECT($B$5&amp;"生成成长"),4))/(VLOOKUP(CZ$72,INDIRECT($C$5&amp;"生成成长"),5))*(VLOOKUP($B$5,标准坦克设计!$B$24:$U$30,MATCH("对"&amp;LEFT($C$5,2)&amp;"输出",标准坦克设计!$B$23:$U$23,0)))*(VLOOKUP($B209,INDIRECT($B$5&amp;"生成成长"),3))*(VLOOKUP($B$5,标准坦克设计!$B$14:$K$20,9)/30))</f>
        <v>13.576025331679775</v>
      </c>
      <c r="DA209" s="172">
        <f ca="1">(VLOOKUP(DA$72,INDIRECT($C$5&amp;"生成成长"),2))/((VLOOKUP($B209,INDIRECT($B$5&amp;"生成成长"),4))/(VLOOKUP(DA$72,INDIRECT($C$5&amp;"生成成长"),5))*(VLOOKUP($B$5,标准坦克设计!$B$24:$U$30,MATCH("对"&amp;LEFT($C$5,2)&amp;"输出",标准坦克设计!$B$23:$U$23,0)))*(VLOOKUP($B209,INDIRECT($B$5&amp;"生成成长"),3))*(VLOOKUP($B$5,标准坦克设计!$B$14:$K$20,9)/30))</f>
        <v>14.408952438318652</v>
      </c>
      <c r="DB209" s="172">
        <f ca="1">(VLOOKUP(DB$72,INDIRECT($C$5&amp;"生成成长"),2))/((VLOOKUP($B209,INDIRECT($B$5&amp;"生成成长"),4))/(VLOOKUP(DB$72,INDIRECT($C$5&amp;"生成成长"),5))*(VLOOKUP($B$5,标准坦克设计!$B$24:$U$30,MATCH("对"&amp;LEFT($C$5,2)&amp;"输出",标准坦克设计!$B$23:$U$23,0)))*(VLOOKUP($B209,INDIRECT($B$5&amp;"生成成长"),3))*(VLOOKUP($B$5,标准坦克设计!$B$14:$K$20,9)/30))</f>
        <v>15.266675751109162</v>
      </c>
      <c r="DC209" s="172">
        <f ca="1">(VLOOKUP(DC$72,INDIRECT($C$5&amp;"生成成长"),2))/((VLOOKUP($B209,INDIRECT($B$5&amp;"生成成长"),4))/(VLOOKUP(DC$72,INDIRECT($C$5&amp;"生成成长"),5))*(VLOOKUP($B$5,标准坦克设计!$B$24:$U$30,MATCH("对"&amp;LEFT($C$5,2)&amp;"输出",标准坦克设计!$B$23:$U$23,0)))*(VLOOKUP($B209,INDIRECT($B$5&amp;"生成成长"),3))*(VLOOKUP($B$5,标准坦克设计!$B$14:$K$20,9)/30))</f>
        <v>16.230653881169264</v>
      </c>
      <c r="DD209" s="172">
        <f ca="1">(VLOOKUP(DD$72,INDIRECT($C$5&amp;"生成成长"),2))/((VLOOKUP($B209,INDIRECT($B$5&amp;"生成成长"),4))/(VLOOKUP(DD$72,INDIRECT($C$5&amp;"生成成长"),5))*(VLOOKUP($B$5,标准坦克设计!$B$24:$U$30,MATCH("对"&amp;LEFT($C$5,2)&amp;"输出",标准坦克设计!$B$23:$U$23,0)))*(VLOOKUP($B209,INDIRECT($B$5&amp;"生成成长"),3))*(VLOOKUP($B$5,标准坦克设计!$B$14:$K$20,9)/30))</f>
        <v>17.224141545823045</v>
      </c>
      <c r="DE209" s="172">
        <f ca="1">(VLOOKUP(DE$72,INDIRECT($C$5&amp;"生成成长"),2))/((VLOOKUP($B209,INDIRECT($B$5&amp;"生成成长"),4))/(VLOOKUP(DE$72,INDIRECT($C$5&amp;"生成成长"),5))*(VLOOKUP($B$5,标准坦克设计!$B$24:$U$30,MATCH("对"&amp;LEFT($C$5,2)&amp;"输出",标准坦克设计!$B$23:$U$23,0)))*(VLOOKUP($B209,INDIRECT($B$5&amp;"生成成长"),3))*(VLOOKUP($B$5,标准坦克设计!$B$14:$K$20,9)/30))</f>
        <v>18.247138745070501</v>
      </c>
      <c r="DF209" s="172">
        <f ca="1">(VLOOKUP(DF$72,INDIRECT($C$5&amp;"生成成长"),2))/((VLOOKUP($B209,INDIRECT($B$5&amp;"生成成长"),4))/(VLOOKUP(DF$72,INDIRECT($C$5&amp;"生成成长"),5))*(VLOOKUP($B$5,标准坦克设计!$B$24:$U$30,MATCH("对"&amp;LEFT($C$5,2)&amp;"输出",标准坦克设计!$B$23:$U$23,0)))*(VLOOKUP($B209,INDIRECT($B$5&amp;"生成成长"),3))*(VLOOKUP($B$5,标准坦克设计!$B$14:$K$20,9)/30))</f>
        <v>19.299645478911629</v>
      </c>
      <c r="DG209" s="172">
        <f ca="1">(VLOOKUP(DG$72,INDIRECT($C$5&amp;"生成成长"),2))/((VLOOKUP($B209,INDIRECT($B$5&amp;"生成成长"),4))/(VLOOKUP(DG$72,INDIRECT($C$5&amp;"生成成长"),5))*(VLOOKUP($B$5,标准坦克设计!$B$24:$U$30,MATCH("对"&amp;LEFT($C$5,2)&amp;"输出",标准坦克设计!$B$23:$U$23,0)))*(VLOOKUP($B209,INDIRECT($B$5&amp;"生成成长"),3))*(VLOOKUP($B$5,标准坦克设计!$B$14:$K$20,9)/30))</f>
        <v>20.381661747346442</v>
      </c>
      <c r="DH209" s="172">
        <f ca="1">(VLOOKUP(DH$72,INDIRECT($C$5&amp;"生成成长"),2))/((VLOOKUP($B209,INDIRECT($B$5&amp;"生成成长"),4))/(VLOOKUP(DH$72,INDIRECT($C$5&amp;"生成成长"),5))*(VLOOKUP($B$5,标准坦克设计!$B$24:$U$30,MATCH("对"&amp;LEFT($C$5,2)&amp;"输出",标准坦克设计!$B$23:$U$23,0)))*(VLOOKUP($B209,INDIRECT($B$5&amp;"生成成长"),3))*(VLOOKUP($B$5,标准坦克设计!$B$14:$K$20,9)/30))</f>
        <v>21.493187550374927</v>
      </c>
      <c r="DI209" s="172">
        <f ca="1">(VLOOKUP(DI$72,INDIRECT($C$5&amp;"生成成长"),2))/((VLOOKUP($B209,INDIRECT($B$5&amp;"生成成长"),4))/(VLOOKUP(DI$72,INDIRECT($C$5&amp;"生成成长"),5))*(VLOOKUP($B$5,标准坦克设计!$B$24:$U$30,MATCH("对"&amp;LEFT($C$5,2)&amp;"输出",标准坦克设计!$B$23:$U$23,0)))*(VLOOKUP($B209,INDIRECT($B$5&amp;"生成成长"),3))*(VLOOKUP($B$5,标准坦克设计!$B$14:$K$20,9)/30))</f>
        <v>22.634222887997087</v>
      </c>
      <c r="DJ209" s="172">
        <f ca="1">(VLOOKUP(DJ$72,INDIRECT($C$5&amp;"生成成长"),2))/((VLOOKUP($B209,INDIRECT($B$5&amp;"生成成长"),4))/(VLOOKUP(DJ$72,INDIRECT($C$5&amp;"生成成长"),5))*(VLOOKUP($B$5,标准坦克设计!$B$24:$U$30,MATCH("对"&amp;LEFT($C$5,2)&amp;"输出",标准坦克设计!$B$23:$U$23,0)))*(VLOOKUP($B209,INDIRECT($B$5&amp;"生成成长"),3))*(VLOOKUP($B$5,标准坦克设计!$B$14:$K$20,9)/30))</f>
        <v>2.274795755257689</v>
      </c>
      <c r="DK209" s="172">
        <f ca="1">(VLOOKUP(DK$72,INDIRECT($C$5&amp;"生成成长"),2))/((VLOOKUP($B209,INDIRECT($B$5&amp;"生成成长"),4))/(VLOOKUP(DK$72,INDIRECT($C$5&amp;"生成成长"),5))*(VLOOKUP($B$5,标准坦克设计!$B$24:$U$30,MATCH("对"&amp;LEFT($C$5,2)&amp;"输出",标准坦克设计!$B$23:$U$23,0)))*(VLOOKUP($B209,INDIRECT($B$5&amp;"生成成长"),3))*(VLOOKUP($B$5,标准坦克设计!$B$14:$K$20,9)/30))</f>
        <v>2.5579028527657734</v>
      </c>
      <c r="DL209" s="172">
        <f ca="1">(VLOOKUP(DL$72,INDIRECT($C$5&amp;"生成成长"),2))/((VLOOKUP($B209,INDIRECT($B$5&amp;"生成成长"),4))/(VLOOKUP(DL$72,INDIRECT($C$5&amp;"生成成长"),5))*(VLOOKUP($B$5,标准坦克设计!$B$24:$U$30,MATCH("对"&amp;LEFT($C$5,2)&amp;"输出",标准坦克设计!$B$23:$U$23,0)))*(VLOOKUP($B209,INDIRECT($B$5&amp;"生成成长"),3))*(VLOOKUP($B$5,标准坦克设计!$B$14:$K$20,9)/30))</f>
        <v>2.8576090634828013</v>
      </c>
      <c r="DM209" s="172">
        <f ca="1">(VLOOKUP(DM$72,INDIRECT($C$5&amp;"生成成长"),2))/((VLOOKUP($B209,INDIRECT($B$5&amp;"生成成长"),4))/(VLOOKUP(DM$72,INDIRECT($C$5&amp;"生成成长"),5))*(VLOOKUP($B$5,标准坦克设计!$B$24:$U$30,MATCH("对"&amp;LEFT($C$5,2)&amp;"输出",标准坦克设计!$B$23:$U$23,0)))*(VLOOKUP($B209,INDIRECT($B$5&amp;"生成成长"),3))*(VLOOKUP($B$5,标准坦克设计!$B$14:$K$20,9)/30))</f>
        <v>3.173914387408773</v>
      </c>
      <c r="DN209" s="172">
        <f ca="1">(VLOOKUP(DN$72,INDIRECT($C$5&amp;"生成成长"),2))/((VLOOKUP($B209,INDIRECT($B$5&amp;"生成成长"),4))/(VLOOKUP(DN$72,INDIRECT($C$5&amp;"生成成长"),5))*(VLOOKUP($B$5,标准坦克设计!$B$24:$U$30,MATCH("对"&amp;LEFT($C$5,2)&amp;"输出",标准坦克设计!$B$23:$U$23,0)))*(VLOOKUP($B209,INDIRECT($B$5&amp;"生成成长"),3))*(VLOOKUP($B$5,标准坦克设计!$B$14:$K$20,9)/30))</f>
        <v>3.5068188245436867</v>
      </c>
      <c r="DO209" s="172">
        <f ca="1">(VLOOKUP(DO$72,INDIRECT($C$5&amp;"生成成长"),2))/((VLOOKUP($B209,INDIRECT($B$5&amp;"生成成长"),4))/(VLOOKUP(DO$72,INDIRECT($C$5&amp;"生成成长"),5))*(VLOOKUP($B$5,标准坦克设计!$B$24:$U$30,MATCH("对"&amp;LEFT($C$5,2)&amp;"输出",标准坦克设计!$B$23:$U$23,0)))*(VLOOKUP($B209,INDIRECT($B$5&amp;"生成成长"),3))*(VLOOKUP($B$5,标准坦克设计!$B$14:$K$20,9)/30))</f>
        <v>3.8563223748875433</v>
      </c>
      <c r="DP209" s="172">
        <f ca="1">(VLOOKUP(DP$72,INDIRECT($C$5&amp;"生成成长"),2))/((VLOOKUP($B209,INDIRECT($B$5&amp;"生成成长"),4))/(VLOOKUP(DP$72,INDIRECT($C$5&amp;"生成成长"),5))*(VLOOKUP($B$5,标准坦克设计!$B$24:$U$30,MATCH("对"&amp;LEFT($C$5,2)&amp;"输出",标准坦克设计!$B$23:$U$23,0)))*(VLOOKUP($B209,INDIRECT($B$5&amp;"生成成长"),3))*(VLOOKUP($B$5,标准坦克设计!$B$14:$K$20,9)/30))</f>
        <v>4.2224250384403437</v>
      </c>
      <c r="DQ209" s="172">
        <f ca="1">(VLOOKUP(DQ$72,INDIRECT($C$5&amp;"生成成长"),2))/((VLOOKUP($B209,INDIRECT($B$5&amp;"生成成长"),4))/(VLOOKUP(DQ$72,INDIRECT($C$5&amp;"生成成长"),5))*(VLOOKUP($B$5,标准坦克设计!$B$24:$U$30,MATCH("对"&amp;LEFT($C$5,2)&amp;"输出",标准坦克设计!$B$23:$U$23,0)))*(VLOOKUP($B209,INDIRECT($B$5&amp;"生成成长"),3))*(VLOOKUP($B$5,标准坦克设计!$B$14:$K$20,9)/30))</f>
        <v>4.6051268152020874</v>
      </c>
      <c r="DR209" s="172">
        <f ca="1">(VLOOKUP(DR$72,INDIRECT($C$5&amp;"生成成长"),2))/((VLOOKUP($B209,INDIRECT($B$5&amp;"生成成长"),4))/(VLOOKUP(DR$72,INDIRECT($C$5&amp;"生成成长"),5))*(VLOOKUP($B$5,标准坦克设计!$B$24:$U$30,MATCH("对"&amp;LEFT($C$5,2)&amp;"输出",标准坦克设计!$B$23:$U$23,0)))*(VLOOKUP($B209,INDIRECT($B$5&amp;"生成成长"),3))*(VLOOKUP($B$5,标准坦克设计!$B$14:$K$20,9)/30))</f>
        <v>5.0044277051727741</v>
      </c>
      <c r="DS209" s="172">
        <f ca="1">(VLOOKUP(DS$72,INDIRECT($C$5&amp;"生成成长"),2))/((VLOOKUP($B209,INDIRECT($B$5&amp;"生成成长"),4))/(VLOOKUP(DS$72,INDIRECT($C$5&amp;"生成成长"),5))*(VLOOKUP($B$5,标准坦克设计!$B$24:$U$30,MATCH("对"&amp;LEFT($C$5,2)&amp;"输出",标准坦克设计!$B$23:$U$23,0)))*(VLOOKUP($B209,INDIRECT($B$5&amp;"生成成长"),3))*(VLOOKUP($B$5,标准坦克设计!$B$14:$K$20,9)/30))</f>
        <v>5.4203277083524037</v>
      </c>
      <c r="DT209" s="172">
        <f ca="1">(VLOOKUP(DT$72,INDIRECT($C$5&amp;"生成成长"),2))/((VLOOKUP($B209,INDIRECT($B$5&amp;"生成成长"),4))/(VLOOKUP(DT$72,INDIRECT($C$5&amp;"生成成长"),5))*(VLOOKUP($B$5,标准坦克设计!$B$24:$U$30,MATCH("对"&amp;LEFT($C$5,2)&amp;"输出",标准坦克设计!$B$23:$U$23,0)))*(VLOOKUP($B209,INDIRECT($B$5&amp;"生成成长"),3))*(VLOOKUP($B$5,标准坦克设计!$B$14:$K$20,9)/30))</f>
        <v>5.9511919400532323</v>
      </c>
      <c r="DU209" s="172">
        <f ca="1">(VLOOKUP(DU$72,INDIRECT($C$5&amp;"生成成长"),2))/((VLOOKUP($B209,INDIRECT($B$5&amp;"生成成长"),4))/(VLOOKUP(DU$72,INDIRECT($C$5&amp;"生成成长"),5))*(VLOOKUP($B$5,标准坦克设计!$B$24:$U$30,MATCH("对"&amp;LEFT($C$5,2)&amp;"输出",标准坦克设计!$B$23:$U$23,0)))*(VLOOKUP($B209,INDIRECT($B$5&amp;"生成成长"),3))*(VLOOKUP($B$5,标准坦克设计!$B$14:$K$20,9)/30))</f>
        <v>6.5068523779056919</v>
      </c>
      <c r="DV209" s="172">
        <f ca="1">(VLOOKUP(DV$72,INDIRECT($C$5&amp;"生成成长"),2))/((VLOOKUP($B209,INDIRECT($B$5&amp;"生成成长"),4))/(VLOOKUP(DV$72,INDIRECT($C$5&amp;"生成成长"),5))*(VLOOKUP($B$5,标准坦克设计!$B$24:$U$30,MATCH("对"&amp;LEFT($C$5,2)&amp;"输出",标准坦克设计!$B$23:$U$23,0)))*(VLOOKUP($B209,INDIRECT($B$5&amp;"生成成长"),3))*(VLOOKUP($B$5,标准坦克设计!$B$14:$K$20,9)/30))</f>
        <v>7.0873090219097801</v>
      </c>
      <c r="DW209" s="172">
        <f ca="1">(VLOOKUP(DW$72,INDIRECT($C$5&amp;"生成成长"),2))/((VLOOKUP($B209,INDIRECT($B$5&amp;"生成成长"),4))/(VLOOKUP(DW$72,INDIRECT($C$5&amp;"生成成长"),5))*(VLOOKUP($B$5,标准坦克设计!$B$24:$U$30,MATCH("对"&amp;LEFT($C$5,2)&amp;"输出",标准坦克设计!$B$23:$U$23,0)))*(VLOOKUP($B209,INDIRECT($B$5&amp;"生成成长"),3))*(VLOOKUP($B$5,标准坦克设计!$B$14:$K$20,9)/30))</f>
        <v>7.6925618720655011</v>
      </c>
      <c r="DX209" s="172">
        <f ca="1">(VLOOKUP(DX$72,INDIRECT($C$5&amp;"生成成长"),2))/((VLOOKUP($B209,INDIRECT($B$5&amp;"生成成长"),4))/(VLOOKUP(DX$72,INDIRECT($C$5&amp;"生成成长"),5))*(VLOOKUP($B$5,标准坦克设计!$B$24:$U$30,MATCH("对"&amp;LEFT($C$5,2)&amp;"输出",标准坦克设计!$B$23:$U$23,0)))*(VLOOKUP($B209,INDIRECT($B$5&amp;"生成成长"),3))*(VLOOKUP($B$5,标准坦克设计!$B$14:$K$20,9)/30))</f>
        <v>8.3226109283728551</v>
      </c>
      <c r="DY209" s="172">
        <f ca="1">(VLOOKUP(DY$72,INDIRECT($C$5&amp;"生成成长"),2))/((VLOOKUP($B209,INDIRECT($B$5&amp;"生成成长"),4))/(VLOOKUP(DY$72,INDIRECT($C$5&amp;"生成成长"),5))*(VLOOKUP($B$5,标准坦克设计!$B$24:$U$30,MATCH("对"&amp;LEFT($C$5,2)&amp;"输出",标准坦克设计!$B$23:$U$23,0)))*(VLOOKUP($B209,INDIRECT($B$5&amp;"生成成长"),3))*(VLOOKUP($B$5,标准坦克设计!$B$14:$K$20,9)/30))</f>
        <v>3.7379768455274864</v>
      </c>
      <c r="DZ209" s="172">
        <f ca="1">(VLOOKUP(DZ$72,INDIRECT($C$5&amp;"生成成长"),2))/((VLOOKUP($B209,INDIRECT($B$5&amp;"生成成长"),4))/(VLOOKUP(DZ$72,INDIRECT($C$5&amp;"生成成长"),5))*(VLOOKUP($B$5,标准坦克设计!$B$24:$U$30,MATCH("对"&amp;LEFT($C$5,2)&amp;"输出",标准坦克设计!$B$23:$U$23,0)))*(VLOOKUP($B209,INDIRECT($B$5&amp;"生成成长"),3))*(VLOOKUP($B$5,标准坦克设计!$B$14:$K$20,9)/30))</f>
        <v>4.1396343997191964</v>
      </c>
      <c r="EA209" s="172">
        <f ca="1">(VLOOKUP(EA$72,INDIRECT($C$5&amp;"生成成长"),2))/((VLOOKUP($B209,INDIRECT($B$5&amp;"生成成长"),4))/(VLOOKUP(EA$72,INDIRECT($C$5&amp;"生成成长"),5))*(VLOOKUP($B$5,标准坦克设计!$B$24:$U$30,MATCH("对"&amp;LEFT($C$5,2)&amp;"输出",标准坦克设计!$B$23:$U$23,0)))*(VLOOKUP($B209,INDIRECT($B$5&amp;"生成成长"),3))*(VLOOKUP($B$5,标准坦克设计!$B$14:$K$20,9)/30))</f>
        <v>4.5617846862676252</v>
      </c>
      <c r="EB209" s="172">
        <f ca="1">(VLOOKUP(EB$72,INDIRECT($C$5&amp;"生成成长"),2))/((VLOOKUP($B209,INDIRECT($B$5&amp;"生成成长"),4))/(VLOOKUP(EB$72,INDIRECT($C$5&amp;"生成成长"),5))*(VLOOKUP($B$5,标准坦克设计!$B$24:$U$30,MATCH("对"&amp;LEFT($C$5,2)&amp;"输出",标准坦克设计!$B$23:$U$23,0)))*(VLOOKUP($B209,INDIRECT($B$5&amp;"生成成长"),3))*(VLOOKUP($B$5,标准坦克设计!$B$14:$K$20,9)/30))</f>
        <v>5.0044277051727741</v>
      </c>
      <c r="EC209" s="172">
        <f ca="1">(VLOOKUP(EC$72,INDIRECT($C$5&amp;"生成成长"),2))/((VLOOKUP($B209,INDIRECT($B$5&amp;"生成成长"),4))/(VLOOKUP(EC$72,INDIRECT($C$5&amp;"生成成长"),5))*(VLOOKUP($B$5,标准坦克设计!$B$24:$U$30,MATCH("对"&amp;LEFT($C$5,2)&amp;"输出",标准坦克设计!$B$23:$U$23,0)))*(VLOOKUP($B209,INDIRECT($B$5&amp;"生成成长"),3))*(VLOOKUP($B$5,标准坦克设计!$B$14:$K$20,9)/30))</f>
        <v>5.4675634564346423</v>
      </c>
      <c r="ED209" s="172">
        <f ca="1">(VLOOKUP(ED$72,INDIRECT($C$5&amp;"生成成长"),2))/((VLOOKUP($B209,INDIRECT($B$5&amp;"生成成长"),4))/(VLOOKUP(ED$72,INDIRECT($C$5&amp;"生成成长"),5))*(VLOOKUP($B$5,标准坦克设计!$B$24:$U$30,MATCH("对"&amp;LEFT($C$5,2)&amp;"输出",标准坦克设计!$B$23:$U$23,0)))*(VLOOKUP($B209,INDIRECT($B$5&amp;"生成成长"),3))*(VLOOKUP($B$5,标准坦克设计!$B$14:$K$20,9)/30))</f>
        <v>5.9511919400532323</v>
      </c>
      <c r="EE209" s="172">
        <f ca="1">(VLOOKUP(EE$72,INDIRECT($C$5&amp;"生成成长"),2))/((VLOOKUP($B209,INDIRECT($B$5&amp;"生成成长"),4))/(VLOOKUP(EE$72,INDIRECT($C$5&amp;"生成成长"),5))*(VLOOKUP($B$5,标准坦克设计!$B$24:$U$30,MATCH("对"&amp;LEFT($C$5,2)&amp;"输出",标准坦克设计!$B$23:$U$23,0)))*(VLOOKUP($B209,INDIRECT($B$5&amp;"生成成长"),3))*(VLOOKUP($B$5,标准坦克设计!$B$14:$K$20,9)/30))</f>
        <v>6.4553131560285397</v>
      </c>
      <c r="EF209" s="172">
        <f ca="1">(VLOOKUP(EF$72,INDIRECT($C$5&amp;"生成成长"),2))/((VLOOKUP($B209,INDIRECT($B$5&amp;"生成成长"),4))/(VLOOKUP(EF$72,INDIRECT($C$5&amp;"生成成长"),5))*(VLOOKUP($B$5,标准坦克设计!$B$24:$U$30,MATCH("对"&amp;LEFT($C$5,2)&amp;"输出",标准坦克设计!$B$23:$U$23,0)))*(VLOOKUP($B209,INDIRECT($B$5&amp;"生成成长"),3))*(VLOOKUP($B$5,标准坦克设计!$B$14:$K$20,9)/30))</f>
        <v>6.9799271043605682</v>
      </c>
      <c r="EG209" s="172">
        <f ca="1">(VLOOKUP(EG$72,INDIRECT($C$5&amp;"生成成长"),2))/((VLOOKUP($B209,INDIRECT($B$5&amp;"生成成长"),4))/(VLOOKUP(EG$72,INDIRECT($C$5&amp;"生成成长"),5))*(VLOOKUP($B$5,标准坦克设计!$B$24:$U$30,MATCH("对"&amp;LEFT($C$5,2)&amp;"输出",标准坦克设计!$B$23:$U$23,0)))*(VLOOKUP($B209,INDIRECT($B$5&amp;"生成成长"),3))*(VLOOKUP($B$5,标准坦克设计!$B$14:$K$20,9)/30))</f>
        <v>7.5250337850493159</v>
      </c>
      <c r="EH209" s="172">
        <f ca="1">(VLOOKUP(EH$72,INDIRECT($C$5&amp;"生成成长"),2))/((VLOOKUP($B209,INDIRECT($B$5&amp;"生成成长"),4))/(VLOOKUP(EH$72,INDIRECT($C$5&amp;"生成成长"),5))*(VLOOKUP($B$5,标准坦克设计!$B$24:$U$30,MATCH("对"&amp;LEFT($C$5,2)&amp;"输出",标准坦克设计!$B$23:$U$23,0)))*(VLOOKUP($B209,INDIRECT($B$5&amp;"生成成长"),3))*(VLOOKUP($B$5,标准坦克设计!$B$14:$K$20,9)/30))</f>
        <v>8.0906331980947837</v>
      </c>
      <c r="EI209" s="172">
        <f ca="1">(VLOOKUP(EI$72,INDIRECT($C$5&amp;"生成成长"),2))/((VLOOKUP($B209,INDIRECT($B$5&amp;"生成成长"),4))/(VLOOKUP(EI$72,INDIRECT($C$5&amp;"生成成长"),5))*(VLOOKUP($B$5,标准坦克设计!$B$24:$U$30,MATCH("对"&amp;LEFT($C$5,2)&amp;"输出",标准坦克设计!$B$23:$U$23,0)))*(VLOOKUP($B209,INDIRECT($B$5&amp;"生成成长"),3))*(VLOOKUP($B$5,标准坦克设计!$B$14:$K$20,9)/30))</f>
        <v>8.6767253434969742</v>
      </c>
      <c r="EJ209" s="172">
        <f ca="1">(VLOOKUP(EJ$72,INDIRECT($C$5&amp;"生成成长"),2))/((VLOOKUP($B209,INDIRECT($B$5&amp;"生成成长"),4))/(VLOOKUP(EJ$72,INDIRECT($C$5&amp;"生成成长"),5))*(VLOOKUP($B$5,标准坦克设计!$B$24:$U$30,MATCH("对"&amp;LEFT($C$5,2)&amp;"输出",标准坦克设计!$B$23:$U$23,0)))*(VLOOKUP($B209,INDIRECT($B$5&amp;"生成成长"),3))*(VLOOKUP($B$5,标准坦克设计!$B$14:$K$20,9)/30))</f>
        <v>9.2833102212558813</v>
      </c>
      <c r="EK209" s="172">
        <f ca="1">(VLOOKUP(EK$72,INDIRECT($C$5&amp;"生成成长"),2))/((VLOOKUP($B209,INDIRECT($B$5&amp;"生成成长"),4))/(VLOOKUP(EK$72,INDIRECT($C$5&amp;"生成成长"),5))*(VLOOKUP($B$5,标准坦克设计!$B$24:$U$30,MATCH("对"&amp;LEFT($C$5,2)&amp;"输出",标准坦克设计!$B$23:$U$23,0)))*(VLOOKUP($B209,INDIRECT($B$5&amp;"生成成长"),3))*(VLOOKUP($B$5,标准坦克设计!$B$14:$K$20,9)/30))</f>
        <v>10.038262481277442</v>
      </c>
      <c r="EL209" s="172">
        <f ca="1">(VLOOKUP(EL$72,INDIRECT($C$5&amp;"生成成长"),2))/((VLOOKUP($B209,INDIRECT($B$5&amp;"生成成长"),4))/(VLOOKUP(EL$72,INDIRECT($C$5&amp;"生成成长"),5))*(VLOOKUP($B$5,标准坦克设计!$B$24:$U$30,MATCH("对"&amp;LEFT($C$5,2)&amp;"输出",标准坦克设计!$B$23:$U$23,0)))*(VLOOKUP($B209,INDIRECT($B$5&amp;"生成成长"),3))*(VLOOKUP($B$5,标准坦克设计!$B$14:$K$20,9)/30))</f>
        <v>10.822724275892678</v>
      </c>
      <c r="EM209" s="172">
        <f ca="1">(VLOOKUP(EM$72,INDIRECT($C$5&amp;"生成成长"),2))/((VLOOKUP($B209,INDIRECT($B$5&amp;"生成成长"),4))/(VLOOKUP(EM$72,INDIRECT($C$5&amp;"生成成长"),5))*(VLOOKUP($B$5,标准坦克设计!$B$24:$U$30,MATCH("对"&amp;LEFT($C$5,2)&amp;"输出",标准坦克设计!$B$23:$U$23,0)))*(VLOOKUP($B209,INDIRECT($B$5&amp;"生成成长"),3))*(VLOOKUP($B$5,标准坦克设计!$B$14:$K$20,9)/30))</f>
        <v>11.636695605101592</v>
      </c>
      <c r="EN209" s="172">
        <f ca="1">(VLOOKUP(EN$72,INDIRECT($C$5&amp;"生成成长"),2))/((VLOOKUP($B209,INDIRECT($B$5&amp;"生成成长"),4))/(VLOOKUP(EN$72,INDIRECT($C$5&amp;"生成成长"),5))*(VLOOKUP($B$5,标准坦克设计!$B$24:$U$30,MATCH("对"&amp;LEFT($C$5,2)&amp;"输出",标准坦克设计!$B$23:$U$23,0)))*(VLOOKUP($B209,INDIRECT($B$5&amp;"生成成长"),3))*(VLOOKUP($B$5,标准坦克设计!$B$14:$K$20,9)/30))</f>
        <v>12.48017646890418</v>
      </c>
      <c r="EO209" s="172">
        <f ca="1">(VLOOKUP(EO$72,INDIRECT($C$5&amp;"生成成长"),2))/((VLOOKUP($B209,INDIRECT($B$5&amp;"生成成长"),4))/(VLOOKUP(EO$72,INDIRECT($C$5&amp;"生成成长"),5))*(VLOOKUP($B$5,标准坦克设计!$B$24:$U$30,MATCH("对"&amp;LEFT($C$5,2)&amp;"输出",标准坦克设计!$B$23:$U$23,0)))*(VLOOKUP($B209,INDIRECT($B$5&amp;"生成成长"),3))*(VLOOKUP($B$5,标准坦克设计!$B$14:$K$20,9)/30))</f>
        <v>13.353166867300446</v>
      </c>
      <c r="EP209" s="172">
        <f ca="1">(VLOOKUP(EP$72,INDIRECT($C$5&amp;"生成成长"),2))/((VLOOKUP($B209,INDIRECT($B$5&amp;"生成成长"),4))/(VLOOKUP(EP$72,INDIRECT($C$5&amp;"生成成长"),5))*(VLOOKUP($B$5,标准坦克设计!$B$24:$U$30,MATCH("对"&amp;LEFT($C$5,2)&amp;"输出",标准坦克设计!$B$23:$U$23,0)))*(VLOOKUP($B209,INDIRECT($B$5&amp;"生成成长"),3))*(VLOOKUP($B$5,标准坦克设计!$B$14:$K$20,9)/30))</f>
        <v>14.255666800290388</v>
      </c>
      <c r="EQ209" s="172">
        <f ca="1">(VLOOKUP(EQ$72,INDIRECT($C$5&amp;"生成成长"),2))/((VLOOKUP($B209,INDIRECT($B$5&amp;"生成成长"),4))/(VLOOKUP(EQ$72,INDIRECT($C$5&amp;"生成成长"),5))*(VLOOKUP($B$5,标准坦克设计!$B$24:$U$30,MATCH("对"&amp;LEFT($C$5,2)&amp;"输出",标准坦克设计!$B$23:$U$23,0)))*(VLOOKUP($B209,INDIRECT($B$5&amp;"生成成长"),3))*(VLOOKUP($B$5,标准坦克设计!$B$14:$K$20,9)/30))</f>
        <v>6.3019250543384926</v>
      </c>
      <c r="ER209" s="172">
        <f ca="1">(VLOOKUP(ER$72,INDIRECT($C$5&amp;"生成成长"),2))/((VLOOKUP($B209,INDIRECT($B$5&amp;"生成成长"),4))/(VLOOKUP(ER$72,INDIRECT($C$5&amp;"生成成长"),5))*(VLOOKUP($B$5,标准坦克设计!$B$24:$U$30,MATCH("对"&amp;LEFT($C$5,2)&amp;"输出",标准坦克设计!$B$23:$U$23,0)))*(VLOOKUP($B209,INDIRECT($B$5&amp;"生成成长"),3))*(VLOOKUP($B$5,标准坦克设计!$B$14:$K$20,9)/30))</f>
        <v>6.8733648961056257</v>
      </c>
      <c r="ES209" s="172">
        <f ca="1">(VLOOKUP(ES$72,INDIRECT($C$5&amp;"生成成长"),2))/((VLOOKUP($B209,INDIRECT($B$5&amp;"生成成长"),4))/(VLOOKUP(ES$72,INDIRECT($C$5&amp;"生成成长"),5))*(VLOOKUP($B$5,标准坦克设计!$B$24:$U$30,MATCH("对"&amp;LEFT($C$5,2)&amp;"输出",标准坦克设计!$B$23:$U$23,0)))*(VLOOKUP($B209,INDIRECT($B$5&amp;"生成成长"),3))*(VLOOKUP($B$5,标准坦克设计!$B$14:$K$20,9)/30))</f>
        <v>7.4696009440243909</v>
      </c>
      <c r="ET209" s="172">
        <f ca="1">(VLOOKUP(ET$72,INDIRECT($C$5&amp;"生成成长"),2))/((VLOOKUP($B209,INDIRECT($B$5&amp;"生成成长"),4))/(VLOOKUP(ET$72,INDIRECT($C$5&amp;"生成成长"),5))*(VLOOKUP($B$5,标准坦克设计!$B$24:$U$30,MATCH("对"&amp;LEFT($C$5,2)&amp;"输出",标准坦克设计!$B$23:$U$23,0)))*(VLOOKUP($B209,INDIRECT($B$5&amp;"生成成长"),3))*(VLOOKUP($B$5,标准坦克设计!$B$14:$K$20,9)/30))</f>
        <v>8.0906331980947837</v>
      </c>
      <c r="EU209" s="172">
        <f ca="1">(VLOOKUP(EU$72,INDIRECT($C$5&amp;"生成成长"),2))/((VLOOKUP($B209,INDIRECT($B$5&amp;"生成成长"),4))/(VLOOKUP(EU$72,INDIRECT($C$5&amp;"生成成长"),5))*(VLOOKUP($B$5,标准坦克设计!$B$24:$U$30,MATCH("对"&amp;LEFT($C$5,2)&amp;"输出",标准坦克设计!$B$23:$U$23,0)))*(VLOOKUP($B209,INDIRECT($B$5&amp;"生成成长"),3))*(VLOOKUP($B$5,标准坦克设计!$B$14:$K$20,9)/30))</f>
        <v>8.7364616583168111</v>
      </c>
      <c r="EV209" s="172">
        <f ca="1">(VLOOKUP(EV$72,INDIRECT($C$5&amp;"生成成长"),2))/((VLOOKUP($B209,INDIRECT($B$5&amp;"生成成长"),4))/(VLOOKUP(EV$72,INDIRECT($C$5&amp;"生成成长"),5))*(VLOOKUP($B$5,标准坦克设计!$B$24:$U$30,MATCH("对"&amp;LEFT($C$5,2)&amp;"输出",标准坦克设计!$B$23:$U$23,0)))*(VLOOKUP($B209,INDIRECT($B$5&amp;"生成成长"),3))*(VLOOKUP($B$5,标准坦克设计!$B$14:$K$20,9)/30))</f>
        <v>9.4070863246904697</v>
      </c>
      <c r="EW209" s="172">
        <f ca="1">(VLOOKUP(EW$72,INDIRECT($C$5&amp;"生成成长"),2))/((VLOOKUP($B209,INDIRECT($B$5&amp;"生成成长"),4))/(VLOOKUP(EW$72,INDIRECT($C$5&amp;"生成成长"),5))*(VLOOKUP($B$5,标准坦克设计!$B$24:$U$30,MATCH("对"&amp;LEFT($C$5,2)&amp;"输出",标准坦克设计!$B$23:$U$23,0)))*(VLOOKUP($B209,INDIRECT($B$5&amp;"生成成长"),3))*(VLOOKUP($B$5,标准坦克设计!$B$14:$K$20,9)/30))</f>
        <v>10.102507197215758</v>
      </c>
      <c r="EX209" s="172">
        <f ca="1">(VLOOKUP(EX$72,INDIRECT($C$5&amp;"生成成长"),2))/((VLOOKUP($B209,INDIRECT($B$5&amp;"生成成长"),4))/(VLOOKUP(EX$72,INDIRECT($C$5&amp;"生成成长"),5))*(VLOOKUP($B$5,标准坦克设计!$B$24:$U$30,MATCH("对"&amp;LEFT($C$5,2)&amp;"输出",标准坦克设计!$B$23:$U$23,0)))*(VLOOKUP($B209,INDIRECT($B$5&amp;"生成成长"),3))*(VLOOKUP($B$5,标准坦克设计!$B$14:$K$20,9)/30))</f>
        <v>10.822724275892678</v>
      </c>
      <c r="EY209" s="172">
        <f ca="1">(VLOOKUP(EY$72,INDIRECT($C$5&amp;"生成成长"),2))/((VLOOKUP($B209,INDIRECT($B$5&amp;"生成成长"),4))/(VLOOKUP(EY$72,INDIRECT($C$5&amp;"生成成长"),5))*(VLOOKUP($B$5,标准坦克设计!$B$24:$U$30,MATCH("对"&amp;LEFT($C$5,2)&amp;"输出",标准坦克设计!$B$23:$U$23,0)))*(VLOOKUP($B209,INDIRECT($B$5&amp;"生成成长"),3))*(VLOOKUP($B$5,标准坦克设计!$B$14:$K$20,9)/30))</f>
        <v>11.567737560721227</v>
      </c>
      <c r="EZ209" s="172">
        <f ca="1">(VLOOKUP(EZ$72,INDIRECT($C$5&amp;"生成成长"),2))/((VLOOKUP($B209,INDIRECT($B$5&amp;"生成成长"),4))/(VLOOKUP(EZ$72,INDIRECT($C$5&amp;"生成成长"),5))*(VLOOKUP($B$5,标准坦克设计!$B$24:$U$30,MATCH("对"&amp;LEFT($C$5,2)&amp;"输出",标准坦克设计!$B$23:$U$23,0)))*(VLOOKUP($B209,INDIRECT($B$5&amp;"生成成长"),3))*(VLOOKUP($B$5,标准坦克设计!$B$14:$K$20,9)/30))</f>
        <v>12.337547051701412</v>
      </c>
      <c r="FA209" s="172">
        <f ca="1">(VLOOKUP(FA$72,INDIRECT($C$5&amp;"生成成长"),2))/((VLOOKUP($B209,INDIRECT($B$5&amp;"生成成长"),4))/(VLOOKUP(FA$72,INDIRECT($C$5&amp;"生成成长"),5))*(VLOOKUP($B$5,标准坦克设计!$B$24:$U$30,MATCH("对"&amp;LEFT($C$5,2)&amp;"输出",标准坦克设计!$B$23:$U$23,0)))*(VLOOKUP($B209,INDIRECT($B$5&amp;"生成成长"),3))*(VLOOKUP($B$5,标准坦克设计!$B$14:$K$20,9)/30))</f>
        <v>13.132152748833223</v>
      </c>
      <c r="FB209" s="172">
        <f ca="1">(VLOOKUP(FB$72,INDIRECT($C$5&amp;"生成成长"),2))/((VLOOKUP($B209,INDIRECT($B$5&amp;"生成成长"),4))/(VLOOKUP(FB$72,INDIRECT($C$5&amp;"生成成长"),5))*(VLOOKUP($B$5,标准坦克设计!$B$24:$U$30,MATCH("对"&amp;LEFT($C$5,2)&amp;"输出",标准坦克设计!$B$23:$U$23,0)))*(VLOOKUP($B209,INDIRECT($B$5&amp;"生成成长"),3))*(VLOOKUP($B$5,标准坦克设计!$B$14:$K$20,9)/30))</f>
        <v>13.951554652116668</v>
      </c>
      <c r="FC209" s="172">
        <f ca="1">(VLOOKUP(FC$72,INDIRECT($C$5&amp;"生成成长"),2))/((VLOOKUP($B209,INDIRECT($B$5&amp;"生成成长"),4))/(VLOOKUP(FC$72,INDIRECT($C$5&amp;"生成成长"),5))*(VLOOKUP($B$5,标准坦克设计!$B$24:$U$30,MATCH("对"&amp;LEFT($C$5,2)&amp;"输出",标准坦克设计!$B$23:$U$23,0)))*(VLOOKUP($B209,INDIRECT($B$5&amp;"生成成长"),3))*(VLOOKUP($B$5,标准坦克设计!$B$14:$K$20,9)/30))</f>
        <v>14.795752761551739</v>
      </c>
      <c r="FD209" s="172">
        <f ca="1">(VLOOKUP(FD$72,INDIRECT($C$5&amp;"生成成长"),2))/((VLOOKUP($B209,INDIRECT($B$5&amp;"生成成长"),4))/(VLOOKUP(FD$72,INDIRECT($C$5&amp;"生成成长"),5))*(VLOOKUP($B$5,标准坦克设计!$B$24:$U$30,MATCH("对"&amp;LEFT($C$5,2)&amp;"输出",标准坦克设计!$B$23:$U$23,0)))*(VLOOKUP($B209,INDIRECT($B$5&amp;"生成成长"),3))*(VLOOKUP($B$5,标准坦克设计!$B$14:$K$20,9)/30))</f>
        <v>15.664747077138445</v>
      </c>
      <c r="FE209" s="172">
        <f ca="1">(VLOOKUP(FE$72,INDIRECT($C$5&amp;"生成成长"),2))/((VLOOKUP($B209,INDIRECT($B$5&amp;"生成成长"),4))/(VLOOKUP(FE$72,INDIRECT($C$5&amp;"生成成长"),5))*(VLOOKUP($B$5,标准坦克设计!$B$24:$U$30,MATCH("对"&amp;LEFT($C$5,2)&amp;"输出",标准坦克设计!$B$23:$U$23,0)))*(VLOOKUP($B209,INDIRECT($B$5&amp;"生成成长"),3))*(VLOOKUP($B$5,标准坦克设计!$B$14:$K$20,9)/30))</f>
        <v>16.723709021671947</v>
      </c>
      <c r="FF209" s="172">
        <f ca="1">(VLOOKUP(FF$72,INDIRECT($C$5&amp;"生成成长"),2))/((VLOOKUP($B209,INDIRECT($B$5&amp;"生成成长"),4))/(VLOOKUP(FF$72,INDIRECT($C$5&amp;"生成成长"),5))*(VLOOKUP($B$5,标准坦克设计!$B$24:$U$30,MATCH("对"&amp;LEFT($C$5,2)&amp;"输出",标准坦克设计!$B$23:$U$23,0)))*(VLOOKUP($B209,INDIRECT($B$5&amp;"生成成长"),3))*(VLOOKUP($B$5,标准坦克设计!$B$14:$K$20,9)/30))</f>
        <v>17.817303683888301</v>
      </c>
      <c r="FG209" s="172">
        <f ca="1">(VLOOKUP(FG$72,INDIRECT($C$5&amp;"生成成长"),2))/((VLOOKUP($B209,INDIRECT($B$5&amp;"生成成长"),4))/(VLOOKUP(FG$72,INDIRECT($C$5&amp;"生成成长"),5))*(VLOOKUP($B$5,标准坦克设计!$B$24:$U$30,MATCH("对"&amp;LEFT($C$5,2)&amp;"输出",标准坦克设计!$B$23:$U$23,0)))*(VLOOKUP($B209,INDIRECT($B$5&amp;"生成成长"),3))*(VLOOKUP($B$5,标准坦克设计!$B$14:$K$20,9)/30))</f>
        <v>18.945531063787513</v>
      </c>
      <c r="FH209" s="172">
        <f ca="1">(VLOOKUP(FH$72,INDIRECT($C$5&amp;"生成成长"),2))/((VLOOKUP($B209,INDIRECT($B$5&amp;"生成成长"),4))/(VLOOKUP(FH$72,INDIRECT($C$5&amp;"生成成长"),5))*(VLOOKUP($B$5,标准坦克设计!$B$24:$U$30,MATCH("对"&amp;LEFT($C$5,2)&amp;"输出",标准坦克设计!$B$23:$U$23,0)))*(VLOOKUP($B209,INDIRECT($B$5&amp;"生成成长"),3))*(VLOOKUP($B$5,标准坦克设计!$B$14:$K$20,9)/30))</f>
        <v>20.108391161369582</v>
      </c>
      <c r="FI209" s="172">
        <f ca="1">(VLOOKUP(FI$72,INDIRECT($C$5&amp;"生成成长"),2))/((VLOOKUP($B209,INDIRECT($B$5&amp;"生成成长"),4))/(VLOOKUP(FI$72,INDIRECT($C$5&amp;"生成成长"),5))*(VLOOKUP($B$5,标准坦克设计!$B$24:$U$30,MATCH("对"&amp;LEFT($C$5,2)&amp;"输出",标准坦克设计!$B$23:$U$23,0)))*(VLOOKUP($B209,INDIRECT($B$5&amp;"生成成长"),3))*(VLOOKUP($B$5,标准坦克设计!$B$14:$K$20,9)/30))</f>
        <v>21.305883976634501</v>
      </c>
      <c r="FJ209" s="172">
        <f ca="1">(VLOOKUP(FJ$72,INDIRECT($C$5&amp;"生成成长"),2))/((VLOOKUP($B209,INDIRECT($B$5&amp;"生成成长"),4))/(VLOOKUP(FJ$72,INDIRECT($C$5&amp;"生成成长"),5))*(VLOOKUP($B$5,标准坦克设计!$B$24:$U$30,MATCH("对"&amp;LEFT($C$5,2)&amp;"输出",标准坦克设计!$B$23:$U$23,0)))*(VLOOKUP($B209,INDIRECT($B$5&amp;"生成成长"),3))*(VLOOKUP($B$5,标准坦克设计!$B$14:$K$20,9)/30))</f>
        <v>22.538009509582285</v>
      </c>
      <c r="FK209" s="172">
        <f ca="1">(VLOOKUP(FK$72,INDIRECT($C$5&amp;"生成成长"),2))/((VLOOKUP($B209,INDIRECT($B$5&amp;"生成成长"),4))/(VLOOKUP(FK$72,INDIRECT($C$5&amp;"生成成长"),5))*(VLOOKUP($B$5,标准坦克设计!$B$24:$U$30,MATCH("对"&amp;LEFT($C$5,2)&amp;"输出",标准坦克设计!$B$23:$U$23,0)))*(VLOOKUP($B209,INDIRECT($B$5&amp;"生成成长"),3))*(VLOOKUP($B$5,标准坦克设计!$B$14:$K$20,9)/30))</f>
        <v>23.804767760212929</v>
      </c>
    </row>
    <row r="210" spans="1:167" x14ac:dyDescent="0.15">
      <c r="A210" s="170" t="str">
        <f t="shared" si="13"/>
        <v>T4高品质12级</v>
      </c>
      <c r="B210" s="171">
        <v>30412</v>
      </c>
      <c r="C210" s="172">
        <f ca="1">(VLOOKUP(C$72,INDIRECT($C$5&amp;"生成成长"),2))/((VLOOKUP($B210,INDIRECT($B$5&amp;"生成成长"),4))/(VLOOKUP(C$72,INDIRECT($C$5&amp;"生成成长"),5))*(VLOOKUP($B$5,标准坦克设计!$B$24:$U$30,MATCH("对"&amp;LEFT($C$5,2)&amp;"输出",标准坦克设计!$B$23:$U$23,0)))*(VLOOKUP($B210,INDIRECT($B$5&amp;"生成成长"),3))*(VLOOKUP($B$5,标准坦克设计!$B$14:$K$20,9)/30))</f>
        <v>0.95656744331793919</v>
      </c>
      <c r="D210" s="172">
        <f ca="1">(VLOOKUP(D$72,INDIRECT($C$5&amp;"生成成长"),2))/((VLOOKUP($B210,INDIRECT($B$5&amp;"生成成长"),4))/(VLOOKUP(D$72,INDIRECT($C$5&amp;"生成成长"),5))*(VLOOKUP($B$5,标准坦克设计!$B$24:$U$30,MATCH("对"&amp;LEFT($C$5,2)&amp;"输出",标准坦克设计!$B$23:$U$23,0)))*(VLOOKUP($B210,INDIRECT($B$5&amp;"生成成长"),3))*(VLOOKUP($B$5,标准坦克设计!$B$14:$K$20,9)/30))</f>
        <v>1.0747991793120364</v>
      </c>
      <c r="E210" s="172">
        <f ca="1">(VLOOKUP(E$72,INDIRECT($C$5&amp;"生成成长"),2))/((VLOOKUP($B210,INDIRECT($B$5&amp;"生成成长"),4))/(VLOOKUP(E$72,INDIRECT($C$5&amp;"生成成长"),5))*(VLOOKUP($B$5,标准坦克设计!$B$24:$U$30,MATCH("对"&amp;LEFT($C$5,2)&amp;"输出",标准坦克设计!$B$23:$U$23,0)))*(VLOOKUP($B210,INDIRECT($B$5&amp;"生成成长"),3))*(VLOOKUP($B$5,标准坦克设计!$B$14:$K$20,9)/30))</f>
        <v>1.1999182008980231</v>
      </c>
      <c r="F210" s="172">
        <f ca="1">(VLOOKUP(F$72,INDIRECT($C$5&amp;"生成成长"),2))/((VLOOKUP($B210,INDIRECT($B$5&amp;"生成成长"),4))/(VLOOKUP(F$72,INDIRECT($C$5&amp;"生成成长"),5))*(VLOOKUP($B$5,标准坦克设计!$B$24:$U$30,MATCH("对"&amp;LEFT($C$5,2)&amp;"输出",标准坦克设计!$B$23:$U$23,0)))*(VLOOKUP($B210,INDIRECT($B$5&amp;"生成成长"),3))*(VLOOKUP($B$5,标准坦克设计!$B$14:$K$20,9)/30))</f>
        <v>1.3319245080758986</v>
      </c>
      <c r="G210" s="172">
        <f ca="1">(VLOOKUP(G$72,INDIRECT($C$5&amp;"生成成长"),2))/((VLOOKUP($B210,INDIRECT($B$5&amp;"生成成长"),4))/(VLOOKUP(G$72,INDIRECT($C$5&amp;"生成成长"),5))*(VLOOKUP($B$5,标准坦克设计!$B$24:$U$30,MATCH("对"&amp;LEFT($C$5,2)&amp;"输出",标准坦克设计!$B$23:$U$23,0)))*(VLOOKUP($B210,INDIRECT($B$5&amp;"生成成长"),3))*(VLOOKUP($B$5,标准坦克设计!$B$14:$K$20,9)/30))</f>
        <v>1.4708181008456636</v>
      </c>
      <c r="H210" s="172">
        <f ca="1">(VLOOKUP(H$72,INDIRECT($C$5&amp;"生成成长"),2))/((VLOOKUP($B210,INDIRECT($B$5&amp;"生成成长"),4))/(VLOOKUP(H$72,INDIRECT($C$5&amp;"生成成长"),5))*(VLOOKUP($B$5,标准坦克设计!$B$24:$U$30,MATCH("对"&amp;LEFT($C$5,2)&amp;"输出",标准坦克设计!$B$23:$U$23,0)))*(VLOOKUP($B210,INDIRECT($B$5&amp;"生成成长"),3))*(VLOOKUP($B$5,标准坦克设计!$B$14:$K$20,9)/30))</f>
        <v>1.2871571517286191</v>
      </c>
      <c r="I210" s="172">
        <f ca="1">(VLOOKUP(I$72,INDIRECT($C$5&amp;"生成成长"),2))/((VLOOKUP($B210,INDIRECT($B$5&amp;"生成成长"),4))/(VLOOKUP(I$72,INDIRECT($C$5&amp;"生成成长"),5))*(VLOOKUP($B$5,标准坦克设计!$B$24:$U$30,MATCH("对"&amp;LEFT($C$5,2)&amp;"输出",标准坦克设计!$B$23:$U$23,0)))*(VLOOKUP($B210,INDIRECT($B$5&amp;"生成成长"),3))*(VLOOKUP($B$5,标准坦克设计!$B$14:$K$20,9)/30))</f>
        <v>1.4708181008456636</v>
      </c>
      <c r="J210" s="172">
        <f ca="1">(VLOOKUP(J$72,INDIRECT($C$5&amp;"生成成长"),2))/((VLOOKUP($B210,INDIRECT($B$5&amp;"生成成长"),4))/(VLOOKUP(J$72,INDIRECT($C$5&amp;"生成成长"),5))*(VLOOKUP($B$5,标准坦克设计!$B$24:$U$30,MATCH("对"&amp;LEFT($C$5,2)&amp;"输出",标准坦克设计!$B$23:$U$23,0)))*(VLOOKUP($B210,INDIRECT($B$5&amp;"生成成长"),3))*(VLOOKUP($B$5,标准坦克设计!$B$14:$K$20,9)/30))</f>
        <v>1.6667231132371774</v>
      </c>
      <c r="K210" s="172">
        <f ca="1">(VLOOKUP(K$72,INDIRECT($C$5&amp;"生成成长"),2))/((VLOOKUP($B210,INDIRECT($B$5&amp;"生成成长"),4))/(VLOOKUP(K$72,INDIRECT($C$5&amp;"生成成长"),5))*(VLOOKUP($B$5,标准坦克设计!$B$24:$U$30,MATCH("对"&amp;LEFT($C$5,2)&amp;"输出",标准坦克设计!$B$23:$U$23,0)))*(VLOOKUP($B210,INDIRECT($B$5&amp;"生成成长"),3))*(VLOOKUP($B$5,标准坦克设计!$B$14:$K$20,9)/30))</f>
        <v>1.874872188903161</v>
      </c>
      <c r="L210" s="172">
        <f ca="1">(VLOOKUP(L$72,INDIRECT($C$5&amp;"生成成长"),2))/((VLOOKUP($B210,INDIRECT($B$5&amp;"生成成长"),4))/(VLOOKUP(L$72,INDIRECT($C$5&amp;"生成成长"),5))*(VLOOKUP($B$5,标准坦克设计!$B$24:$U$30,MATCH("对"&amp;LEFT($C$5,2)&amp;"输出",标准坦克设计!$B$23:$U$23,0)))*(VLOOKUP($B210,INDIRECT($B$5&amp;"生成成长"),3))*(VLOOKUP($B$5,标准坦克设计!$B$14:$K$20,9)/30))</f>
        <v>2.095265327843614</v>
      </c>
      <c r="M210" s="172">
        <f ca="1">(VLOOKUP(M$72,INDIRECT($C$5&amp;"生成成长"),2))/((VLOOKUP($B210,INDIRECT($B$5&amp;"生成成长"),4))/(VLOOKUP(M$72,INDIRECT($C$5&amp;"生成成长"),5))*(VLOOKUP($B$5,标准坦克设计!$B$24:$U$30,MATCH("对"&amp;LEFT($C$5,2)&amp;"输出",标准坦克设计!$B$23:$U$23,0)))*(VLOOKUP($B210,INDIRECT($B$5&amp;"生成成长"),3))*(VLOOKUP($B$5,标准坦克设计!$B$14:$K$20,9)/30))</f>
        <v>2.327902530058537</v>
      </c>
      <c r="N210" s="172">
        <f ca="1">(VLOOKUP(N$72,INDIRECT($C$5&amp;"生成成长"),2))/((VLOOKUP($B210,INDIRECT($B$5&amp;"生成成长"),4))/(VLOOKUP(N$72,INDIRECT($C$5&amp;"生成成长"),5))*(VLOOKUP($B$5,标准坦克设计!$B$24:$U$30,MATCH("对"&amp;LEFT($C$5,2)&amp;"输出",标准坦克设计!$B$23:$U$23,0)))*(VLOOKUP($B210,INDIRECT($B$5&amp;"生成成长"),3))*(VLOOKUP($B$5,标准坦克设计!$B$14:$K$20,9)/30))</f>
        <v>2.5727837955479291</v>
      </c>
      <c r="O210" s="172">
        <f ca="1">(VLOOKUP(O$72,INDIRECT($C$5&amp;"生成成长"),2))/((VLOOKUP($B210,INDIRECT($B$5&amp;"生成成长"),4))/(VLOOKUP(O$72,INDIRECT($C$5&amp;"生成成长"),5))*(VLOOKUP($B$5,标准坦克设计!$B$24:$U$30,MATCH("对"&amp;LEFT($C$5,2)&amp;"输出",标准坦克设计!$B$23:$U$23,0)))*(VLOOKUP($B210,INDIRECT($B$5&amp;"生成成长"),3))*(VLOOKUP($B$5,标准坦克设计!$B$14:$K$20,9)/30))</f>
        <v>1.9560847648408539</v>
      </c>
      <c r="P210" s="172">
        <f ca="1">(VLOOKUP(P$72,INDIRECT($C$5&amp;"生成成长"),2))/((VLOOKUP($B210,INDIRECT($B$5&amp;"生成成长"),4))/(VLOOKUP(P$72,INDIRECT($C$5&amp;"生成成长"),5))*(VLOOKUP($B$5,标准坦克设计!$B$24:$U$30,MATCH("对"&amp;LEFT($C$5,2)&amp;"输出",标准坦克设计!$B$23:$U$23,0)))*(VLOOKUP($B210,INDIRECT($B$5&amp;"生成成长"),3))*(VLOOKUP($B$5,标准坦克设计!$B$14:$K$20,9)/30))</f>
        <v>2.2100534210417666</v>
      </c>
      <c r="Q210" s="172">
        <f ca="1">(VLOOKUP(Q$72,INDIRECT($C$5&amp;"生成成长"),2))/((VLOOKUP($B210,INDIRECT($B$5&amp;"生成成长"),4))/(VLOOKUP(Q$72,INDIRECT($C$5&amp;"生成成长"),5))*(VLOOKUP($B$5,标准坦克设计!$B$24:$U$30,MATCH("对"&amp;LEFT($C$5,2)&amp;"输出",标准坦克设计!$B$23:$U$23,0)))*(VLOOKUP($B210,INDIRECT($B$5&amp;"生成成长"),3))*(VLOOKUP($B$5,标准坦克设计!$B$14:$K$20,9)/30))</f>
        <v>2.4795184698244297</v>
      </c>
      <c r="R210" s="172">
        <f ca="1">(VLOOKUP(R$72,INDIRECT($C$5&amp;"生成成长"),2))/((VLOOKUP($B210,INDIRECT($B$5&amp;"生成成长"),4))/(VLOOKUP(R$72,INDIRECT($C$5&amp;"生成成长"),5))*(VLOOKUP($B$5,标准坦克设计!$B$24:$U$30,MATCH("对"&amp;LEFT($C$5,2)&amp;"输出",标准坦克设计!$B$23:$U$23,0)))*(VLOOKUP($B210,INDIRECT($B$5&amp;"生成成长"),3))*(VLOOKUP($B$5,标准坦克设计!$B$14:$K$20,9)/30))</f>
        <v>2.7644799111888445</v>
      </c>
      <c r="S210" s="172">
        <f ca="1">(VLOOKUP(S$72,INDIRECT($C$5&amp;"生成成长"),2))/((VLOOKUP($B210,INDIRECT($B$5&amp;"生成成长"),4))/(VLOOKUP(S$72,INDIRECT($C$5&amp;"生成成长"),5))*(VLOOKUP($B$5,标准坦克设计!$B$24:$U$30,MATCH("对"&amp;LEFT($C$5,2)&amp;"输出",标准坦克设计!$B$23:$U$23,0)))*(VLOOKUP($B210,INDIRECT($B$5&amp;"生成成长"),3))*(VLOOKUP($B$5,标准坦克设计!$B$14:$K$20,9)/30))</f>
        <v>3.0649377451350088</v>
      </c>
      <c r="T210" s="172">
        <f ca="1">(VLOOKUP(T$72,INDIRECT($C$5&amp;"生成成长"),2))/((VLOOKUP($B210,INDIRECT($B$5&amp;"生成成长"),4))/(VLOOKUP(T$72,INDIRECT($C$5&amp;"生成成长"),5))*(VLOOKUP($B$5,标准坦克设计!$B$24:$U$30,MATCH("对"&amp;LEFT($C$5,2)&amp;"输出",标准坦克设计!$B$23:$U$23,0)))*(VLOOKUP($B210,INDIRECT($B$5&amp;"生成成长"),3))*(VLOOKUP($B$5,标准坦克设计!$B$14:$K$20,9)/30))</f>
        <v>3.3808919716629244</v>
      </c>
      <c r="U210" s="172">
        <f ca="1">(VLOOKUP(U$72,INDIRECT($C$5&amp;"生成成长"),2))/((VLOOKUP($B210,INDIRECT($B$5&amp;"生成成长"),4))/(VLOOKUP(U$72,INDIRECT($C$5&amp;"生成成长"),5))*(VLOOKUP($B$5,标准坦克设计!$B$24:$U$30,MATCH("对"&amp;LEFT($C$5,2)&amp;"输出",标准坦克设计!$B$23:$U$23,0)))*(VLOOKUP($B210,INDIRECT($B$5&amp;"生成成长"),3))*(VLOOKUP($B$5,标准坦克设计!$B$14:$K$20,9)/30))</f>
        <v>3.7123425907725904</v>
      </c>
      <c r="V210" s="172">
        <f ca="1">(VLOOKUP(V$72,INDIRECT($C$5&amp;"生成成长"),2))/((VLOOKUP($B210,INDIRECT($B$5&amp;"生成成长"),4))/(VLOOKUP(V$72,INDIRECT($C$5&amp;"生成成长"),5))*(VLOOKUP($B$5,标准坦克设计!$B$24:$U$30,MATCH("对"&amp;LEFT($C$5,2)&amp;"输出",标准坦克设计!$B$23:$U$23,0)))*(VLOOKUP($B210,INDIRECT($B$5&amp;"生成成长"),3))*(VLOOKUP($B$5,标准坦克设计!$B$14:$K$20,9)/30))</f>
        <v>4.0592896024640073</v>
      </c>
      <c r="W210" s="172">
        <f ca="1">(VLOOKUP(W$72,INDIRECT($C$5&amp;"生成成长"),2))/((VLOOKUP($B210,INDIRECT($B$5&amp;"生成成长"),4))/(VLOOKUP(W$72,INDIRECT($C$5&amp;"生成成长"),5))*(VLOOKUP($B$5,标准坦克设计!$B$24:$U$30,MATCH("对"&amp;LEFT($C$5,2)&amp;"输出",标准坦克设计!$B$23:$U$23,0)))*(VLOOKUP($B210,INDIRECT($B$5&amp;"生成成长"),3))*(VLOOKUP($B$5,标准坦克设计!$B$14:$K$20,9)/30))</f>
        <v>4.4217330067371741</v>
      </c>
      <c r="X210" s="172">
        <f ca="1">(VLOOKUP(X$72,INDIRECT($C$5&amp;"生成成长"),2))/((VLOOKUP($B210,INDIRECT($B$5&amp;"生成成长"),4))/(VLOOKUP(X$72,INDIRECT($C$5&amp;"生成成长"),5))*(VLOOKUP($B$5,标准坦克设计!$B$24:$U$30,MATCH("对"&amp;LEFT($C$5,2)&amp;"输出",标准坦克设计!$B$23:$U$23,0)))*(VLOOKUP($B210,INDIRECT($B$5&amp;"生成成长"),3))*(VLOOKUP($B$5,标准坦克设计!$B$14:$K$20,9)/30))</f>
        <v>3.2034487109274461</v>
      </c>
      <c r="Y210" s="172">
        <f ca="1">(VLOOKUP(Y$72,INDIRECT($C$5&amp;"生成成长"),2))/((VLOOKUP($B210,INDIRECT($B$5&amp;"生成成长"),4))/(VLOOKUP(Y$72,INDIRECT($C$5&amp;"生成成长"),5))*(VLOOKUP($B$5,标准坦克设计!$B$24:$U$30,MATCH("对"&amp;LEFT($C$5,2)&amp;"输出",标准坦克设计!$B$23:$U$23,0)))*(VLOOKUP($B210,INDIRECT($B$5&amp;"生成成长"),3))*(VLOOKUP($B$5,标准坦克设计!$B$14:$K$20,9)/30))</f>
        <v>3.5631180696149922</v>
      </c>
      <c r="Z210" s="172">
        <f ca="1">(VLOOKUP(Z$72,INDIRECT($C$5&amp;"生成成长"),2))/((VLOOKUP($B210,INDIRECT($B$5&amp;"生成成长"),4))/(VLOOKUP(Z$72,INDIRECT($C$5&amp;"生成成长"),5))*(VLOOKUP($B$5,标准坦克设计!$B$24:$U$30,MATCH("对"&amp;LEFT($C$5,2)&amp;"输出",标准坦克设计!$B$23:$U$23,0)))*(VLOOKUP($B210,INDIRECT($B$5&amp;"生成成长"),3))*(VLOOKUP($B$5,标准坦克设计!$B$14:$K$20,9)/30))</f>
        <v>3.9419187771688957</v>
      </c>
      <c r="AA210" s="172">
        <f ca="1">(VLOOKUP(AA$72,INDIRECT($C$5&amp;"生成成长"),2))/((VLOOKUP($B210,INDIRECT($B$5&amp;"生成成长"),4))/(VLOOKUP(AA$72,INDIRECT($C$5&amp;"生成成长"),5))*(VLOOKUP($B$5,标准坦克设计!$B$24:$U$30,MATCH("对"&amp;LEFT($C$5,2)&amp;"输出",标准坦克设计!$B$23:$U$23,0)))*(VLOOKUP($B210,INDIRECT($B$5&amp;"生成成长"),3))*(VLOOKUP($B$5,标准坦克设计!$B$14:$K$20,9)/30))</f>
        <v>4.3398508335891588</v>
      </c>
      <c r="AB210" s="172">
        <f ca="1">(VLOOKUP(AB$72,INDIRECT($C$5&amp;"生成成长"),2))/((VLOOKUP($B210,INDIRECT($B$5&amp;"生成成长"),4))/(VLOOKUP(AB$72,INDIRECT($C$5&amp;"生成成长"),5))*(VLOOKUP($B$5,标准坦克设计!$B$24:$U$30,MATCH("对"&amp;LEFT($C$5,2)&amp;"输出",标准坦克设计!$B$23:$U$23,0)))*(VLOOKUP($B210,INDIRECT($B$5&amp;"生成成长"),3))*(VLOOKUP($B$5,标准坦克设计!$B$14:$K$20,9)/30))</f>
        <v>4.7569142388757797</v>
      </c>
      <c r="AC210" s="172">
        <f ca="1">(VLOOKUP(AC$72,INDIRECT($C$5&amp;"生成成长"),2))/((VLOOKUP($B210,INDIRECT($B$5&amp;"生成成长"),4))/(VLOOKUP(AC$72,INDIRECT($C$5&amp;"生成成长"),5))*(VLOOKUP($B$5,标准坦克设计!$B$24:$U$30,MATCH("对"&amp;LEFT($C$5,2)&amp;"输出",标准坦克设计!$B$23:$U$23,0)))*(VLOOKUP($B210,INDIRECT($B$5&amp;"生成成长"),3))*(VLOOKUP($B$5,标准坦克设计!$B$14:$K$20,9)/30))</f>
        <v>5.1931089930287611</v>
      </c>
      <c r="AD210" s="172">
        <f ca="1">(VLOOKUP(AD$72,INDIRECT($C$5&amp;"生成成长"),2))/((VLOOKUP($B210,INDIRECT($B$5&amp;"生成成长"),4))/(VLOOKUP(AD$72,INDIRECT($C$5&amp;"生成成长"),5))*(VLOOKUP($B$5,标准坦克设计!$B$24:$U$30,MATCH("对"&amp;LEFT($C$5,2)&amp;"输出",标准坦克设计!$B$23:$U$23,0)))*(VLOOKUP($B210,INDIRECT($B$5&amp;"生成成长"),3))*(VLOOKUP($B$5,标准坦克设计!$B$14:$K$20,9)/30))</f>
        <v>5.6484350960480985</v>
      </c>
      <c r="AE210" s="172">
        <f ca="1">(VLOOKUP(AE$72,INDIRECT($C$5&amp;"生成成长"),2))/((VLOOKUP($B210,INDIRECT($B$5&amp;"生成成长"),4))/(VLOOKUP(AE$72,INDIRECT($C$5&amp;"生成成长"),5))*(VLOOKUP($B$5,标准坦克设计!$B$24:$U$30,MATCH("对"&amp;LEFT($C$5,2)&amp;"输出",标准坦克设计!$B$23:$U$23,0)))*(VLOOKUP($B210,INDIRECT($B$5&amp;"生成成长"),3))*(VLOOKUP($B$5,标准坦克设计!$B$14:$K$20,9)/30))</f>
        <v>6.1228925479337972</v>
      </c>
      <c r="AF210" s="172">
        <f ca="1">(VLOOKUP(AF$72,INDIRECT($C$5&amp;"生成成长"),2))/((VLOOKUP($B210,INDIRECT($B$5&amp;"生成成长"),4))/(VLOOKUP(AF$72,INDIRECT($C$5&amp;"生成成长"),5))*(VLOOKUP($B$5,标准坦克设计!$B$24:$U$30,MATCH("对"&amp;LEFT($C$5,2)&amp;"输出",标准坦克设计!$B$23:$U$23,0)))*(VLOOKUP($B210,INDIRECT($B$5&amp;"生成成长"),3))*(VLOOKUP($B$5,标准坦克设计!$B$14:$K$20,9)/30))</f>
        <v>6.6164813486858547</v>
      </c>
      <c r="AG210" s="172">
        <f ca="1">(VLOOKUP(AG$72,INDIRECT($C$5&amp;"生成成长"),2))/((VLOOKUP($B210,INDIRECT($B$5&amp;"生成成长"),4))/(VLOOKUP(AG$72,INDIRECT($C$5&amp;"生成成长"),5))*(VLOOKUP($B$5,标准坦克设计!$B$24:$U$30,MATCH("对"&amp;LEFT($C$5,2)&amp;"输出",标准坦克设计!$B$23:$U$23,0)))*(VLOOKUP($B210,INDIRECT($B$5&amp;"生成成长"),3))*(VLOOKUP($B$5,标准坦克设计!$B$14:$K$20,9)/30))</f>
        <v>7.1292014983042682</v>
      </c>
      <c r="AH210" s="172">
        <f ca="1">(VLOOKUP(AH$72,INDIRECT($C$5&amp;"生成成长"),2))/((VLOOKUP($B210,INDIRECT($B$5&amp;"生成成长"),4))/(VLOOKUP(AH$72,INDIRECT($C$5&amp;"生成成长"),5))*(VLOOKUP($B$5,标准坦克设计!$B$24:$U$30,MATCH("对"&amp;LEFT($C$5,2)&amp;"输出",标准坦克设计!$B$23:$U$23,0)))*(VLOOKUP($B210,INDIRECT($B$5&amp;"生成成长"),3))*(VLOOKUP($B$5,标准坦克设计!$B$14:$K$20,9)/30))</f>
        <v>7.6610529967890439</v>
      </c>
      <c r="AI210" s="172">
        <f ca="1">(VLOOKUP(AI$72,INDIRECT($C$5&amp;"生成成长"),2))/((VLOOKUP($B210,INDIRECT($B$5&amp;"生成成长"),4))/(VLOOKUP(AI$72,INDIRECT($C$5&amp;"生成成长"),5))*(VLOOKUP($B$5,标准坦克设计!$B$24:$U$30,MATCH("对"&amp;LEFT($C$5,2)&amp;"输出",标准坦克设计!$B$23:$U$23,0)))*(VLOOKUP($B210,INDIRECT($B$5&amp;"生成成长"),3))*(VLOOKUP($B$5,标准坦克设计!$B$14:$K$20,9)/30))</f>
        <v>5.4183806259301344</v>
      </c>
      <c r="AJ210" s="172">
        <f ca="1">(VLOOKUP(AJ$72,INDIRECT($C$5&amp;"生成成长"),2))/((VLOOKUP($B210,INDIRECT($B$5&amp;"生成成长"),4))/(VLOOKUP(AJ$72,INDIRECT($C$5&amp;"生成成长"),5))*(VLOOKUP($B$5,标准坦克设计!$B$24:$U$30,MATCH("对"&amp;LEFT($C$5,2)&amp;"输出",标准坦克设计!$B$23:$U$23,0)))*(VLOOKUP($B210,INDIRECT($B$5&amp;"生成成长"),3))*(VLOOKUP($B$5,标准坦克设计!$B$14:$K$20,9)/30))</f>
        <v>5.9308138053155544</v>
      </c>
      <c r="AK210" s="172">
        <f ca="1">(VLOOKUP(AK$72,INDIRECT($C$5&amp;"生成成长"),2))/((VLOOKUP($B210,INDIRECT($B$5&amp;"生成成长"),4))/(VLOOKUP(AK$72,INDIRECT($C$5&amp;"生成成长"),5))*(VLOOKUP($B$5,标准坦克设计!$B$24:$U$30,MATCH("对"&amp;LEFT($C$5,2)&amp;"输出",标准坦克设计!$B$23:$U$23,0)))*(VLOOKUP($B210,INDIRECT($B$5&amp;"生成成长"),3))*(VLOOKUP($B$5,标准坦克设计!$B$14:$K$20,9)/30))</f>
        <v>6.4663959168292671</v>
      </c>
      <c r="AL210" s="172">
        <f ca="1">(VLOOKUP(AL$72,INDIRECT($C$5&amp;"生成成长"),2))/((VLOOKUP($B210,INDIRECT($B$5&amp;"生成成长"),4))/(VLOOKUP(AL$72,INDIRECT($C$5&amp;"生成成长"),5))*(VLOOKUP($B$5,标准坦克设计!$B$24:$U$30,MATCH("对"&amp;LEFT($C$5,2)&amp;"输出",标准坦克设计!$B$23:$U$23,0)))*(VLOOKUP($B210,INDIRECT($B$5&amp;"生成成长"),3))*(VLOOKUP($B$5,标准坦克设计!$B$14:$K$20,9)/30))</f>
        <v>7.0251269604712778</v>
      </c>
      <c r="AM210" s="172">
        <f ca="1">(VLOOKUP(AM$72,INDIRECT($C$5&amp;"生成成长"),2))/((VLOOKUP($B210,INDIRECT($B$5&amp;"生成成长"),4))/(VLOOKUP(AM$72,INDIRECT($C$5&amp;"生成成长"),5))*(VLOOKUP($B$5,标准坦克设计!$B$24:$U$30,MATCH("对"&amp;LEFT($C$5,2)&amp;"输出",标准坦克设计!$B$23:$U$23,0)))*(VLOOKUP($B210,INDIRECT($B$5&amp;"生成成长"),3))*(VLOOKUP($B$5,标准坦克设计!$B$14:$K$20,9)/30))</f>
        <v>7.6070069362415804</v>
      </c>
      <c r="AN210" s="172">
        <f ca="1">(VLOOKUP(AN$72,INDIRECT($C$5&amp;"生成成长"),2))/((VLOOKUP($B210,INDIRECT($B$5&amp;"生成成长"),4))/(VLOOKUP(AN$72,INDIRECT($C$5&amp;"生成成长"),5))*(VLOOKUP($B$5,标准坦克设计!$B$24:$U$30,MATCH("对"&amp;LEFT($C$5,2)&amp;"输出",标准坦克设计!$B$23:$U$23,0)))*(VLOOKUP($B210,INDIRECT($B$5&amp;"生成成长"),3))*(VLOOKUP($B$5,标准坦克设计!$B$14:$K$20,9)/30))</f>
        <v>8.2120358441401766</v>
      </c>
      <c r="AO210" s="172">
        <f ca="1">(VLOOKUP(AO$72,INDIRECT($C$5&amp;"生成成长"),2))/((VLOOKUP($B210,INDIRECT($B$5&amp;"生成成长"),4))/(VLOOKUP(AO$72,INDIRECT($C$5&amp;"生成成长"),5))*(VLOOKUP($B$5,标准坦克设计!$B$24:$U$30,MATCH("对"&amp;LEFT($C$5,2)&amp;"输出",标准坦克设计!$B$23:$U$23,0)))*(VLOOKUP($B210,INDIRECT($B$5&amp;"生成成长"),3))*(VLOOKUP($B$5,标准坦克设计!$B$14:$K$20,9)/30))</f>
        <v>8.8402136841670664</v>
      </c>
      <c r="AP210" s="172">
        <f ca="1">(VLOOKUP(AP$72,INDIRECT($C$5&amp;"生成成长"),2))/((VLOOKUP($B210,INDIRECT($B$5&amp;"生成成长"),4))/(VLOOKUP(AP$72,INDIRECT($C$5&amp;"生成成长"),5))*(VLOOKUP($B$5,标准坦克设计!$B$24:$U$30,MATCH("对"&amp;LEFT($C$5,2)&amp;"输出",标准坦克设计!$B$23:$U$23,0)))*(VLOOKUP($B210,INDIRECT($B$5&amp;"生成成长"),3))*(VLOOKUP($B$5,标准坦克设计!$B$14:$K$20,9)/30))</f>
        <v>9.4915404563222499</v>
      </c>
      <c r="AQ210" s="172">
        <f ca="1">(VLOOKUP(AQ$72,INDIRECT($C$5&amp;"生成成长"),2))/((VLOOKUP($B210,INDIRECT($B$5&amp;"生成成长"),4))/(VLOOKUP(AQ$72,INDIRECT($C$5&amp;"生成成长"),5))*(VLOOKUP($B$5,标准坦克设计!$B$24:$U$30,MATCH("对"&amp;LEFT($C$5,2)&amp;"输出",标准坦克设计!$B$23:$U$23,0)))*(VLOOKUP($B210,INDIRECT($B$5&amp;"生成成长"),3))*(VLOOKUP($B$5,标准坦克设计!$B$14:$K$20,9)/30))</f>
        <v>10.166016160605729</v>
      </c>
      <c r="AR210" s="172">
        <f ca="1">(VLOOKUP(AR$72,INDIRECT($C$5&amp;"生成成长"),2))/((VLOOKUP($B210,INDIRECT($B$5&amp;"生成成长"),4))/(VLOOKUP(AR$72,INDIRECT($C$5&amp;"生成成长"),5))*(VLOOKUP($B$5,标准坦克设计!$B$24:$U$30,MATCH("对"&amp;LEFT($C$5,2)&amp;"输出",标准坦克设计!$B$23:$U$23,0)))*(VLOOKUP($B210,INDIRECT($B$5&amp;"生成成长"),3))*(VLOOKUP($B$5,标准坦克设计!$B$14:$K$20,9)/30))</f>
        <v>10.863640797017505</v>
      </c>
      <c r="AS210" s="172">
        <f ca="1">(VLOOKUP(AS$72,INDIRECT($C$5&amp;"生成成长"),2))/((VLOOKUP($B210,INDIRECT($B$5&amp;"生成成长"),4))/(VLOOKUP(AS$72,INDIRECT($C$5&amp;"生成成长"),5))*(VLOOKUP($B$5,标准坦克设计!$B$24:$U$30,MATCH("对"&amp;LEFT($C$5,2)&amp;"输出",标准坦克设计!$B$23:$U$23,0)))*(VLOOKUP($B210,INDIRECT($B$5&amp;"生成成长"),3))*(VLOOKUP($B$5,标准坦克设计!$B$14:$K$20,9)/30))</f>
        <v>11.584414365557571</v>
      </c>
      <c r="AT210" s="172">
        <f ca="1">(VLOOKUP(AT$72,INDIRECT($C$5&amp;"生成成长"),2))/((VLOOKUP($B210,INDIRECT($B$5&amp;"生成成长"),4))/(VLOOKUP(AT$72,INDIRECT($C$5&amp;"生成成长"),5))*(VLOOKUP($B$5,标准坦克设计!$B$24:$U$30,MATCH("对"&amp;LEFT($C$5,2)&amp;"输出",标准坦克设计!$B$23:$U$23,0)))*(VLOOKUP($B210,INDIRECT($B$5&amp;"生成成长"),3))*(VLOOKUP($B$5,标准坦克设计!$B$14:$K$20,9)/30))</f>
        <v>12.328336866225934</v>
      </c>
      <c r="AU210" s="172">
        <f ca="1">(VLOOKUP(AU$72,INDIRECT($C$5&amp;"生成成长"),2))/((VLOOKUP($B210,INDIRECT($B$5&amp;"生成成长"),4))/(VLOOKUP(AU$72,INDIRECT($C$5&amp;"生成成长"),5))*(VLOOKUP($B$5,标准坦克设计!$B$24:$U$30,MATCH("对"&amp;LEFT($C$5,2)&amp;"输出",标准坦克设计!$B$23:$U$23,0)))*(VLOOKUP($B210,INDIRECT($B$5&amp;"生成成长"),3))*(VLOOKUP($B$5,标准坦克设计!$B$14:$K$20,9)/30))</f>
        <v>13.095408299022587</v>
      </c>
      <c r="AV210" s="172">
        <f ca="1">(VLOOKUP(AV$72,INDIRECT($C$5&amp;"生成成长"),2))/((VLOOKUP($B210,INDIRECT($B$5&amp;"生成成长"),4))/(VLOOKUP(AV$72,INDIRECT($C$5&amp;"生成成长"),5))*(VLOOKUP($B$5,标准坦克设计!$B$24:$U$30,MATCH("对"&amp;LEFT($C$5,2)&amp;"输出",标准坦克设计!$B$23:$U$23,0)))*(VLOOKUP($B210,INDIRECT($B$5&amp;"生成成长"),3))*(VLOOKUP($B$5,标准坦克设计!$B$14:$K$20,9)/30))</f>
        <v>1.3319245080758986</v>
      </c>
      <c r="AW210" s="172">
        <f ca="1">(VLOOKUP(AW$72,INDIRECT($C$5&amp;"生成成长"),2))/((VLOOKUP($B210,INDIRECT($B$5&amp;"生成成长"),4))/(VLOOKUP(AW$72,INDIRECT($C$5&amp;"生成成长"),5))*(VLOOKUP($B$5,标准坦克设计!$B$24:$U$30,MATCH("对"&amp;LEFT($C$5,2)&amp;"输出",标准坦克设计!$B$23:$U$23,0)))*(VLOOKUP($B210,INDIRECT($B$5&amp;"生成成长"),3))*(VLOOKUP($B$5,标准坦克设计!$B$14:$K$20,9)/30))</f>
        <v>1.5186464730115603</v>
      </c>
      <c r="AX210" s="172">
        <f ca="1">(VLOOKUP(AX$72,INDIRECT($C$5&amp;"生成成长"),2))/((VLOOKUP($B210,INDIRECT($B$5&amp;"生成成长"),4))/(VLOOKUP(AX$72,INDIRECT($C$5&amp;"生成成长"),5))*(VLOOKUP($B$5,标准坦克设计!$B$24:$U$30,MATCH("对"&amp;LEFT($C$5,2)&amp;"输出",标准坦克设计!$B$23:$U$23,0)))*(VLOOKUP($B210,INDIRECT($B$5&amp;"生成成长"),3))*(VLOOKUP($B$5,标准坦克设计!$B$14:$K$20,9)/30))</f>
        <v>1.7176125012216918</v>
      </c>
      <c r="AY210" s="172">
        <f ca="1">(VLOOKUP(AY$72,INDIRECT($C$5&amp;"生成成长"),2))/((VLOOKUP($B210,INDIRECT($B$5&amp;"生成成长"),4))/(VLOOKUP(AY$72,INDIRECT($C$5&amp;"生成成长"),5))*(VLOOKUP($B$5,标准坦克设计!$B$24:$U$30,MATCH("对"&amp;LEFT($C$5,2)&amp;"输出",标准坦克设计!$B$23:$U$23,0)))*(VLOOKUP($B210,INDIRECT($B$5&amp;"生成成长"),3))*(VLOOKUP($B$5,标准坦克设计!$B$14:$K$20,9)/30))</f>
        <v>1.9288225927062925</v>
      </c>
      <c r="AZ210" s="172">
        <f ca="1">(VLOOKUP(AZ$72,INDIRECT($C$5&amp;"生成成长"),2))/((VLOOKUP($B210,INDIRECT($B$5&amp;"生成成长"),4))/(VLOOKUP(AZ$72,INDIRECT($C$5&amp;"生成成长"),5))*(VLOOKUP($B$5,标准坦克设计!$B$24:$U$30,MATCH("对"&amp;LEFT($C$5,2)&amp;"输出",标准坦克设计!$B$23:$U$23,0)))*(VLOOKUP($B210,INDIRECT($B$5&amp;"生成成长"),3))*(VLOOKUP($B$5,标准坦克设计!$B$14:$K$20,9)/30))</f>
        <v>2.1522767474653635</v>
      </c>
      <c r="BA210" s="172">
        <f ca="1">(VLOOKUP(BA$72,INDIRECT($C$5&amp;"生成成长"),2))/((VLOOKUP($B210,INDIRECT($B$5&amp;"生成成长"),4))/(VLOOKUP(BA$72,INDIRECT($C$5&amp;"生成成长"),5))*(VLOOKUP($B$5,标准坦克设计!$B$24:$U$30,MATCH("对"&amp;LEFT($C$5,2)&amp;"输出",标准坦克设计!$B$23:$U$23,0)))*(VLOOKUP($B210,INDIRECT($B$5&amp;"生成成长"),3))*(VLOOKUP($B$5,标准坦克设计!$B$14:$K$20,9)/30))</f>
        <v>2.3879749654989033</v>
      </c>
      <c r="BB210" s="172">
        <f ca="1">(VLOOKUP(BB$72,INDIRECT($C$5&amp;"生成成长"),2))/((VLOOKUP($B210,INDIRECT($B$5&amp;"生成成长"),4))/(VLOOKUP(BB$72,INDIRECT($C$5&amp;"生成成长"),5))*(VLOOKUP($B$5,标准坦克设计!$B$24:$U$30,MATCH("对"&amp;LEFT($C$5,2)&amp;"输出",标准坦克设计!$B$23:$U$23,0)))*(VLOOKUP($B210,INDIRECT($B$5&amp;"生成成长"),3))*(VLOOKUP($B$5,标准坦克设计!$B$14:$K$20,9)/30))</f>
        <v>2.6359172468069136</v>
      </c>
      <c r="BC210" s="172">
        <f ca="1">(VLOOKUP(BC$72,INDIRECT($C$5&amp;"生成成长"),2))/((VLOOKUP($B210,INDIRECT($B$5&amp;"生成成长"),4))/(VLOOKUP(BC$72,INDIRECT($C$5&amp;"生成成长"),5))*(VLOOKUP($B$5,标准坦克设计!$B$24:$U$30,MATCH("对"&amp;LEFT($C$5,2)&amp;"输出",标准坦克设计!$B$23:$U$23,0)))*(VLOOKUP($B210,INDIRECT($B$5&amp;"生成成长"),3))*(VLOOKUP($B$5,标准坦克设计!$B$14:$K$20,9)/30))</f>
        <v>2.8961035913893927</v>
      </c>
      <c r="BD210" s="172">
        <f ca="1">(VLOOKUP(BD$72,INDIRECT($C$5&amp;"生成成长"),2))/((VLOOKUP($B210,INDIRECT($B$5&amp;"生成成长"),4))/(VLOOKUP(BD$72,INDIRECT($C$5&amp;"生成成长"),5))*(VLOOKUP($B$5,标准坦克设计!$B$24:$U$30,MATCH("对"&amp;LEFT($C$5,2)&amp;"输出",标准坦克设计!$B$23:$U$23,0)))*(VLOOKUP($B210,INDIRECT($B$5&amp;"生成成长"),3))*(VLOOKUP($B$5,标准坦克设计!$B$14:$K$20,9)/30))</f>
        <v>3.2034487109274461</v>
      </c>
      <c r="BE210" s="172">
        <f ca="1">(VLOOKUP(BE$72,INDIRECT($C$5&amp;"生成成长"),2))/((VLOOKUP($B210,INDIRECT($B$5&amp;"生成成长"),4))/(VLOOKUP(BE$72,INDIRECT($C$5&amp;"生成成长"),5))*(VLOOKUP($B$5,标准坦克设计!$B$24:$U$30,MATCH("对"&amp;LEFT($C$5,2)&amp;"输出",标准坦克设计!$B$23:$U$23,0)))*(VLOOKUP($B210,INDIRECT($B$5&amp;"生成成长"),3))*(VLOOKUP($B$5,标准坦克设计!$B$14:$K$20,9)/30))</f>
        <v>3.5262902230472508</v>
      </c>
      <c r="BF210" s="172">
        <f ca="1">(VLOOKUP(BF$72,INDIRECT($C$5&amp;"生成成长"),2))/((VLOOKUP($B210,INDIRECT($B$5&amp;"生成成长"),4))/(VLOOKUP(BF$72,INDIRECT($C$5&amp;"生成成长"),5))*(VLOOKUP($B$5,标准坦克设计!$B$24:$U$30,MATCH("对"&amp;LEFT($C$5,2)&amp;"输出",标准坦克设计!$B$23:$U$23,0)))*(VLOOKUP($B210,INDIRECT($B$5&amp;"生成成长"),3))*(VLOOKUP($B$5,标准坦克设计!$B$14:$K$20,9)/30))</f>
        <v>3.8646281277488064</v>
      </c>
      <c r="BG210" s="172">
        <f ca="1">(VLOOKUP(BG$72,INDIRECT($C$5&amp;"生成成长"),2))/((VLOOKUP($B210,INDIRECT($B$5&amp;"生成成长"),4))/(VLOOKUP(BG$72,INDIRECT($C$5&amp;"生成成长"),5))*(VLOOKUP($B$5,标准坦克设计!$B$24:$U$30,MATCH("对"&amp;LEFT($C$5,2)&amp;"输出",标准坦克设计!$B$23:$U$23,0)))*(VLOOKUP($B210,INDIRECT($B$5&amp;"生成成长"),3))*(VLOOKUP($B$5,标准坦克设计!$B$14:$K$20,9)/30))</f>
        <v>4.2184624250321114</v>
      </c>
      <c r="BH210" s="172">
        <f ca="1">(VLOOKUP(BH$72,INDIRECT($C$5&amp;"生成成长"),2))/((VLOOKUP($B210,INDIRECT($B$5&amp;"生成成长"),4))/(VLOOKUP(BH$72,INDIRECT($C$5&amp;"生成成长"),5))*(VLOOKUP($B$5,标准坦克设计!$B$24:$U$30,MATCH("对"&amp;LEFT($C$5,2)&amp;"输出",标准坦克设计!$B$23:$U$23,0)))*(VLOOKUP($B210,INDIRECT($B$5&amp;"生成成长"),3))*(VLOOKUP($B$5,标准坦克设计!$B$14:$K$20,9)/30))</f>
        <v>2.039019162176519</v>
      </c>
      <c r="BI210" s="172">
        <f ca="1">(VLOOKUP(BI$72,INDIRECT($C$5&amp;"生成成长"),2))/((VLOOKUP($B210,INDIRECT($B$5&amp;"生成成长"),4))/(VLOOKUP(BI$72,INDIRECT($C$5&amp;"生成成长"),5))*(VLOOKUP($B$5,标准坦克设计!$B$24:$U$30,MATCH("对"&amp;LEFT($C$5,2)&amp;"输出",标准坦克设计!$B$23:$U$23,0)))*(VLOOKUP($B210,INDIRECT($B$5&amp;"生成成长"),3))*(VLOOKUP($B$5,标准坦克设计!$B$14:$K$20,9)/30))</f>
        <v>2.2981532825713487</v>
      </c>
      <c r="BJ210" s="172">
        <f ca="1">(VLOOKUP(BJ$72,INDIRECT($C$5&amp;"生成成长"),2))/((VLOOKUP($B210,INDIRECT($B$5&amp;"生成成长"),4))/(VLOOKUP(BJ$72,INDIRECT($C$5&amp;"生成成长"),5))*(VLOOKUP($B$5,标准坦克设计!$B$24:$U$30,MATCH("对"&amp;LEFT($C$5,2)&amp;"输出",标准坦克设计!$B$23:$U$23,0)))*(VLOOKUP($B210,INDIRECT($B$5&amp;"生成成长"),3))*(VLOOKUP($B$5,标准坦克设计!$B$14:$K$20,9)/30))</f>
        <v>2.5727837955479291</v>
      </c>
      <c r="BK210" s="172">
        <f ca="1">(VLOOKUP(BK$72,INDIRECT($C$5&amp;"生成成长"),2))/((VLOOKUP($B210,INDIRECT($B$5&amp;"生成成长"),4))/(VLOOKUP(BK$72,INDIRECT($C$5&amp;"生成成长"),5))*(VLOOKUP($B$5,标准坦克设计!$B$24:$U$30,MATCH("对"&amp;LEFT($C$5,2)&amp;"输出",标准坦克设计!$B$23:$U$23,0)))*(VLOOKUP($B210,INDIRECT($B$5&amp;"生成成长"),3))*(VLOOKUP($B$5,标准坦克设计!$B$14:$K$20,9)/30))</f>
        <v>2.86291070110626</v>
      </c>
      <c r="BL210" s="172">
        <f ca="1">(VLOOKUP(BL$72,INDIRECT($C$5&amp;"生成成长"),2))/((VLOOKUP($B210,INDIRECT($B$5&amp;"生成成长"),4))/(VLOOKUP(BL$72,INDIRECT($C$5&amp;"生成成长"),5))*(VLOOKUP($B$5,标准坦克设计!$B$24:$U$30,MATCH("对"&amp;LEFT($C$5,2)&amp;"输出",标准坦克设计!$B$23:$U$23,0)))*(VLOOKUP($B210,INDIRECT($B$5&amp;"生成成长"),3))*(VLOOKUP($B$5,标准坦克设计!$B$14:$K$20,9)/30))</f>
        <v>3.1685339992463417</v>
      </c>
      <c r="BM210" s="172">
        <f ca="1">(VLOOKUP(BM$72,INDIRECT($C$5&amp;"生成成长"),2))/((VLOOKUP($B210,INDIRECT($B$5&amp;"生成成长"),4))/(VLOOKUP(BM$72,INDIRECT($C$5&amp;"生成成长"),5))*(VLOOKUP($B$5,标准坦克设计!$B$24:$U$30,MATCH("对"&amp;LEFT($C$5,2)&amp;"输出",标准坦克设计!$B$23:$U$23,0)))*(VLOOKUP($B210,INDIRECT($B$5&amp;"生成成长"),3))*(VLOOKUP($B$5,标准坦克设计!$B$14:$K$20,9)/30))</f>
        <v>3.4896536899681743</v>
      </c>
      <c r="BN210" s="172">
        <f ca="1">(VLOOKUP(BN$72,INDIRECT($C$5&amp;"生成成长"),2))/((VLOOKUP($B210,INDIRECT($B$5&amp;"生成成长"),4))/(VLOOKUP(BN$72,INDIRECT($C$5&amp;"生成成长"),5))*(VLOOKUP($B$5,标准坦克设计!$B$24:$U$30,MATCH("对"&amp;LEFT($C$5,2)&amp;"输出",标准坦克设计!$B$23:$U$23,0)))*(VLOOKUP($B210,INDIRECT($B$5&amp;"生成成长"),3))*(VLOOKUP($B$5,标准坦克设计!$B$14:$K$20,9)/30))</f>
        <v>3.8262697732717568</v>
      </c>
      <c r="BO210" s="172">
        <f ca="1">(VLOOKUP(BO$72,INDIRECT($C$5&amp;"生成成长"),2))/((VLOOKUP($B210,INDIRECT($B$5&amp;"生成成长"),4))/(VLOOKUP(BO$72,INDIRECT($C$5&amp;"生成成长"),5))*(VLOOKUP($B$5,标准坦克设计!$B$24:$U$30,MATCH("对"&amp;LEFT($C$5,2)&amp;"输出",标准坦克设计!$B$23:$U$23,0)))*(VLOOKUP($B210,INDIRECT($B$5&amp;"生成成长"),3))*(VLOOKUP($B$5,标准坦克设计!$B$14:$K$20,9)/30))</f>
        <v>4.1783822491570906</v>
      </c>
      <c r="BP210" s="172">
        <f ca="1">(VLOOKUP(BP$72,INDIRECT($C$5&amp;"生成成长"),2))/((VLOOKUP($B210,INDIRECT($B$5&amp;"生成成长"),4))/(VLOOKUP(BP$72,INDIRECT($C$5&amp;"生成成长"),5))*(VLOOKUP($B$5,标准坦克设计!$B$24:$U$30,MATCH("对"&amp;LEFT($C$5,2)&amp;"输出",标准坦克设计!$B$23:$U$23,0)))*(VLOOKUP($B210,INDIRECT($B$5&amp;"生成成长"),3))*(VLOOKUP($B$5,标准坦克设计!$B$14:$K$20,9)/30))</f>
        <v>4.5459911176241743</v>
      </c>
      <c r="BQ210" s="172">
        <f ca="1">(VLOOKUP(BQ$72,INDIRECT($C$5&amp;"生成成长"),2))/((VLOOKUP($B210,INDIRECT($B$5&amp;"生成成长"),4))/(VLOOKUP(BQ$72,INDIRECT($C$5&amp;"生成成长"),5))*(VLOOKUP($B$5,标准坦克设计!$B$24:$U$30,MATCH("对"&amp;LEFT($C$5,2)&amp;"输出",标准坦克设计!$B$23:$U$23,0)))*(VLOOKUP($B210,INDIRECT($B$5&amp;"生成成长"),3))*(VLOOKUP($B$5,标准坦克设计!$B$14:$K$20,9)/30))</f>
        <v>4.9290963786730089</v>
      </c>
      <c r="BR210" s="172">
        <f ca="1">(VLOOKUP(BR$72,INDIRECT($C$5&amp;"生成成长"),2))/((VLOOKUP($B210,INDIRECT($B$5&amp;"生成成长"),4))/(VLOOKUP(BR$72,INDIRECT($C$5&amp;"生成成长"),5))*(VLOOKUP($B$5,标准坦克设计!$B$24:$U$30,MATCH("对"&amp;LEFT($C$5,2)&amp;"输出",标准坦克设计!$B$23:$U$23,0)))*(VLOOKUP($B210,INDIRECT($B$5&amp;"生成成长"),3))*(VLOOKUP($B$5,标准坦克设计!$B$14:$K$20,9)/30))</f>
        <v>5.372943672372533</v>
      </c>
      <c r="BS210" s="172">
        <f ca="1">(VLOOKUP(BS$72,INDIRECT($C$5&amp;"生成成长"),2))/((VLOOKUP($B210,INDIRECT($B$5&amp;"生成成长"),4))/(VLOOKUP(BS$72,INDIRECT($C$5&amp;"生成成长"),5))*(VLOOKUP($B$5,标准坦克设计!$B$24:$U$30,MATCH("对"&amp;LEFT($C$5,2)&amp;"输出",标准坦克设计!$B$23:$U$23,0)))*(VLOOKUP($B210,INDIRECT($B$5&amp;"生成成长"),3))*(VLOOKUP($B$5,标准坦克设计!$B$14:$K$20,9)/30))</f>
        <v>5.8359223149384141</v>
      </c>
      <c r="BT210" s="172">
        <f ca="1">(VLOOKUP(BT$72,INDIRECT($C$5&amp;"生成成长"),2))/((VLOOKUP($B210,INDIRECT($B$5&amp;"生成成长"),4))/(VLOOKUP(BT$72,INDIRECT($C$5&amp;"生成成长"),5))*(VLOOKUP($B$5,标准坦克设计!$B$24:$U$30,MATCH("对"&amp;LEFT($C$5,2)&amp;"输出",标准坦克设计!$B$23:$U$23,0)))*(VLOOKUP($B210,INDIRECT($B$5&amp;"生成成长"),3))*(VLOOKUP($B$5,标准坦克设计!$B$14:$K$20,9)/30))</f>
        <v>6.3180323063706574</v>
      </c>
      <c r="BU210" s="172">
        <f ca="1">(VLOOKUP(BU$72,INDIRECT($C$5&amp;"生成成长"),2))/((VLOOKUP($B210,INDIRECT($B$5&amp;"生成成长"),4))/(VLOOKUP(BU$72,INDIRECT($C$5&amp;"生成成长"),5))*(VLOOKUP($B$5,标准坦克设计!$B$24:$U$30,MATCH("对"&amp;LEFT($C$5,2)&amp;"输出",标准坦克设计!$B$23:$U$23,0)))*(VLOOKUP($B210,INDIRECT($B$5&amp;"生成成长"),3))*(VLOOKUP($B$5,标准坦克设计!$B$14:$K$20,9)/30))</f>
        <v>6.8192736466692558</v>
      </c>
      <c r="BV210" s="172">
        <f ca="1">(VLOOKUP(BV$72,INDIRECT($C$5&amp;"生成成长"),2))/((VLOOKUP($B210,INDIRECT($B$5&amp;"生成成长"),4))/(VLOOKUP(BV$72,INDIRECT($C$5&amp;"生成成长"),5))*(VLOOKUP($B$5,标准坦克设计!$B$24:$U$30,MATCH("对"&amp;LEFT($C$5,2)&amp;"输出",标准坦克设计!$B$23:$U$23,0)))*(VLOOKUP($B210,INDIRECT($B$5&amp;"生成成长"),3))*(VLOOKUP($B$5,标准坦克设计!$B$14:$K$20,9)/30))</f>
        <v>7.3396463358342157</v>
      </c>
      <c r="BW210" s="172">
        <f ca="1">(VLOOKUP(BW$72,INDIRECT($C$5&amp;"生成成长"),2))/((VLOOKUP($B210,INDIRECT($B$5&amp;"生成成长"),4))/(VLOOKUP(BW$72,INDIRECT($C$5&amp;"生成成长"),5))*(VLOOKUP($B$5,标准坦克设计!$B$24:$U$30,MATCH("对"&amp;LEFT($C$5,2)&amp;"输出",标准坦克设计!$B$23:$U$23,0)))*(VLOOKUP($B210,INDIRECT($B$5&amp;"生成成长"),3))*(VLOOKUP($B$5,标准坦克设计!$B$14:$K$20,9)/30))</f>
        <v>3.3450206925385015</v>
      </c>
      <c r="BX210" s="172">
        <f ca="1">(VLOOKUP(BX$72,INDIRECT($C$5&amp;"生成成长"),2))/((VLOOKUP($B210,INDIRECT($B$5&amp;"生成成长"),4))/(VLOOKUP(BX$72,INDIRECT($C$5&amp;"生成成长"),5))*(VLOOKUP($B$5,标准坦克设计!$B$24:$U$30,MATCH("对"&amp;LEFT($C$5,2)&amp;"输出",标准坦克设计!$B$23:$U$23,0)))*(VLOOKUP($B210,INDIRECT($B$5&amp;"生成成长"),3))*(VLOOKUP($B$5,标准坦克设计!$B$14:$K$20,9)/30))</f>
        <v>3.7123425907725904</v>
      </c>
      <c r="BY210" s="172">
        <f ca="1">(VLOOKUP(BY$72,INDIRECT($C$5&amp;"生成成长"),2))/((VLOOKUP($B210,INDIRECT($B$5&amp;"生成成长"),4))/(VLOOKUP(BY$72,INDIRECT($C$5&amp;"生成成长"),5))*(VLOOKUP($B$5,标准坦克设计!$B$24:$U$30,MATCH("对"&amp;LEFT($C$5,2)&amp;"输出",标准坦克设计!$B$23:$U$23,0)))*(VLOOKUP($B210,INDIRECT($B$5&amp;"生成成长"),3))*(VLOOKUP($B$5,标准坦克设计!$B$14:$K$20,9)/30))</f>
        <v>4.0987958378730376</v>
      </c>
      <c r="BZ210" s="172">
        <f ca="1">(VLOOKUP(BZ$72,INDIRECT($C$5&amp;"生成成长"),2))/((VLOOKUP($B210,INDIRECT($B$5&amp;"生成成长"),4))/(VLOOKUP(BZ$72,INDIRECT($C$5&amp;"生成成长"),5))*(VLOOKUP($B$5,标准坦克设计!$B$24:$U$30,MATCH("对"&amp;LEFT($C$5,2)&amp;"输出",标准坦克设计!$B$23:$U$23,0)))*(VLOOKUP($B210,INDIRECT($B$5&amp;"生成成长"),3))*(VLOOKUP($B$5,标准坦克设计!$B$14:$K$20,9)/30))</f>
        <v>4.5043804338398434</v>
      </c>
      <c r="CA210" s="172">
        <f ca="1">(VLOOKUP(CA$72,INDIRECT($C$5&amp;"生成成长"),2))/((VLOOKUP($B210,INDIRECT($B$5&amp;"生成成长"),4))/(VLOOKUP(CA$72,INDIRECT($C$5&amp;"生成成长"),5))*(VLOOKUP($B$5,标准坦克设计!$B$24:$U$30,MATCH("对"&amp;LEFT($C$5,2)&amp;"输出",标准坦克设计!$B$23:$U$23,0)))*(VLOOKUP($B210,INDIRECT($B$5&amp;"生成成长"),3))*(VLOOKUP($B$5,标准坦克设计!$B$14:$K$20,9)/30))</f>
        <v>4.9290963786730089</v>
      </c>
      <c r="CB210" s="172">
        <f ca="1">(VLOOKUP(CB$72,INDIRECT($C$5&amp;"生成成长"),2))/((VLOOKUP($B210,INDIRECT($B$5&amp;"生成成长"),4))/(VLOOKUP(CB$72,INDIRECT($C$5&amp;"生成成长"),5))*(VLOOKUP($B$5,标准坦克设计!$B$24:$U$30,MATCH("对"&amp;LEFT($C$5,2)&amp;"输出",标准坦克设计!$B$23:$U$23,0)))*(VLOOKUP($B210,INDIRECT($B$5&amp;"生成成长"),3))*(VLOOKUP($B$5,标准坦克设计!$B$14:$K$20,9)/30))</f>
        <v>5.372943672372533</v>
      </c>
      <c r="CC210" s="172">
        <f ca="1">(VLOOKUP(CC$72,INDIRECT($C$5&amp;"生成成长"),2))/((VLOOKUP($B210,INDIRECT($B$5&amp;"生成成长"),4))/(VLOOKUP(CC$72,INDIRECT($C$5&amp;"生成成长"),5))*(VLOOKUP($B$5,标准坦克设计!$B$24:$U$30,MATCH("对"&amp;LEFT($C$5,2)&amp;"输出",标准坦克设计!$B$23:$U$23,0)))*(VLOOKUP($B210,INDIRECT($B$5&amp;"生成成长"),3))*(VLOOKUP($B$5,标准坦克设计!$B$14:$K$20,9)/30))</f>
        <v>5.8359223149384141</v>
      </c>
      <c r="CD210" s="172">
        <f ca="1">(VLOOKUP(CD$72,INDIRECT($C$5&amp;"生成成长"),2))/((VLOOKUP($B210,INDIRECT($B$5&amp;"生成成长"),4))/(VLOOKUP(CD$72,INDIRECT($C$5&amp;"生成成长"),5))*(VLOOKUP($B$5,标准坦克设计!$B$24:$U$30,MATCH("对"&amp;LEFT($C$5,2)&amp;"输出",标准坦克设计!$B$23:$U$23,0)))*(VLOOKUP($B210,INDIRECT($B$5&amp;"生成成长"),3))*(VLOOKUP($B$5,标准坦克设计!$B$14:$K$20,9)/30))</f>
        <v>6.3180323063706574</v>
      </c>
      <c r="CE210" s="172">
        <f ca="1">(VLOOKUP(CE$72,INDIRECT($C$5&amp;"生成成长"),2))/((VLOOKUP($B210,INDIRECT($B$5&amp;"生成成长"),4))/(VLOOKUP(CE$72,INDIRECT($C$5&amp;"生成成长"),5))*(VLOOKUP($B$5,标准坦克设计!$B$24:$U$30,MATCH("对"&amp;LEFT($C$5,2)&amp;"输出",标准坦克设计!$B$23:$U$23,0)))*(VLOOKUP($B210,INDIRECT($B$5&amp;"生成成长"),3))*(VLOOKUP($B$5,标准坦克设计!$B$14:$K$20,9)/30))</f>
        <v>6.8192736466692558</v>
      </c>
      <c r="CF210" s="172">
        <f ca="1">(VLOOKUP(CF$72,INDIRECT($C$5&amp;"生成成长"),2))/((VLOOKUP($B210,INDIRECT($B$5&amp;"生成成长"),4))/(VLOOKUP(CF$72,INDIRECT($C$5&amp;"生成成长"),5))*(VLOOKUP($B$5,标准坦克设计!$B$24:$U$30,MATCH("对"&amp;LEFT($C$5,2)&amp;"输出",标准坦克设计!$B$23:$U$23,0)))*(VLOOKUP($B210,INDIRECT($B$5&amp;"生成成长"),3))*(VLOOKUP($B$5,标准坦克设计!$B$14:$K$20,9)/30))</f>
        <v>7.3396463358342157</v>
      </c>
      <c r="CG210" s="172">
        <f ca="1">(VLOOKUP(CG$72,INDIRECT($C$5&amp;"生成成长"),2))/((VLOOKUP($B210,INDIRECT($B$5&amp;"生成成长"),4))/(VLOOKUP(CG$72,INDIRECT($C$5&amp;"生成成长"),5))*(VLOOKUP($B$5,标准坦克设计!$B$24:$U$30,MATCH("对"&amp;LEFT($C$5,2)&amp;"输出",标准坦克设计!$B$23:$U$23,0)))*(VLOOKUP($B210,INDIRECT($B$5&amp;"生成成长"),3))*(VLOOKUP($B$5,标准坦克设计!$B$14:$K$20,9)/30))</f>
        <v>7.8791503738655324</v>
      </c>
      <c r="CH210" s="172">
        <f ca="1">(VLOOKUP(CH$72,INDIRECT($C$5&amp;"生成成长"),2))/((VLOOKUP($B210,INDIRECT($B$5&amp;"生成成长"),4))/(VLOOKUP(CH$72,INDIRECT($C$5&amp;"生成成长"),5))*(VLOOKUP($B$5,标准坦克设计!$B$24:$U$30,MATCH("对"&amp;LEFT($C$5,2)&amp;"输出",标准坦克设计!$B$23:$U$23,0)))*(VLOOKUP($B210,INDIRECT($B$5&amp;"生成成长"),3))*(VLOOKUP($B$5,标准坦克设计!$B$14:$K$20,9)/30))</f>
        <v>8.4377857607632105</v>
      </c>
      <c r="CI210" s="172">
        <f ca="1">(VLOOKUP(CI$72,INDIRECT($C$5&amp;"生成成长"),2))/((VLOOKUP($B210,INDIRECT($B$5&amp;"生成成长"),4))/(VLOOKUP(CI$72,INDIRECT($C$5&amp;"生成成长"),5))*(VLOOKUP($B$5,标准坦克设计!$B$24:$U$30,MATCH("对"&amp;LEFT($C$5,2)&amp;"输出",标准坦克设计!$B$23:$U$23,0)))*(VLOOKUP($B210,INDIRECT($B$5&amp;"生成成长"),3))*(VLOOKUP($B$5,标准坦克设计!$B$14:$K$20,9)/30))</f>
        <v>9.074381394291299</v>
      </c>
      <c r="CJ210" s="172">
        <f ca="1">(VLOOKUP(CJ$72,INDIRECT($C$5&amp;"生成成长"),2))/((VLOOKUP($B210,INDIRECT($B$5&amp;"生成成长"),4))/(VLOOKUP(CJ$72,INDIRECT($C$5&amp;"生成成长"),5))*(VLOOKUP($B$5,标准坦克设计!$B$24:$U$30,MATCH("对"&amp;LEFT($C$5,2)&amp;"输出",标准坦克设计!$B$23:$U$23,0)))*(VLOOKUP($B210,INDIRECT($B$5&amp;"生成成长"),3))*(VLOOKUP($B$5,标准坦克设计!$B$14:$K$20,9)/30))</f>
        <v>9.7341259599476828</v>
      </c>
      <c r="CK210" s="172">
        <f ca="1">(VLOOKUP(CK$72,INDIRECT($C$5&amp;"生成成长"),2))/((VLOOKUP($B210,INDIRECT($B$5&amp;"生成成长"),4))/(VLOOKUP(CK$72,INDIRECT($C$5&amp;"生成成长"),5))*(VLOOKUP($B$5,标准坦克设计!$B$24:$U$30,MATCH("对"&amp;LEFT($C$5,2)&amp;"输出",标准坦克设计!$B$23:$U$23,0)))*(VLOOKUP($B210,INDIRECT($B$5&amp;"生成成长"),3))*(VLOOKUP($B$5,标准坦克设计!$B$14:$K$20,9)/30))</f>
        <v>10.417019457732358</v>
      </c>
      <c r="CL210" s="172">
        <f ca="1">(VLOOKUP(CL$72,INDIRECT($C$5&amp;"生成成长"),2))/((VLOOKUP($B210,INDIRECT($B$5&amp;"生成成长"),4))/(VLOOKUP(CL$72,INDIRECT($C$5&amp;"生成成长"),5))*(VLOOKUP($B$5,标准坦克设计!$B$24:$U$30,MATCH("对"&amp;LEFT($C$5,2)&amp;"输出",标准坦克设计!$B$23:$U$23,0)))*(VLOOKUP($B210,INDIRECT($B$5&amp;"生成成长"),3))*(VLOOKUP($B$5,标准坦克设计!$B$14:$K$20,9)/30))</f>
        <v>11.123061887645328</v>
      </c>
      <c r="CM210" s="172">
        <f ca="1">(VLOOKUP(CM$72,INDIRECT($C$5&amp;"生成成长"),2))/((VLOOKUP($B210,INDIRECT($B$5&amp;"生成成长"),4))/(VLOOKUP(CM$72,INDIRECT($C$5&amp;"生成成长"),5))*(VLOOKUP($B$5,标准坦克设计!$B$24:$U$30,MATCH("对"&amp;LEFT($C$5,2)&amp;"输出",标准坦克设计!$B$23:$U$23,0)))*(VLOOKUP($B210,INDIRECT($B$5&amp;"生成成长"),3))*(VLOOKUP($B$5,标准坦克设计!$B$14:$K$20,9)/30))</f>
        <v>11.852253249686596</v>
      </c>
      <c r="CN210" s="172">
        <f ca="1">(VLOOKUP(CN$72,INDIRECT($C$5&amp;"生成成长"),2))/((VLOOKUP($B210,INDIRECT($B$5&amp;"生成成长"),4))/(VLOOKUP(CN$72,INDIRECT($C$5&amp;"生成成长"),5))*(VLOOKUP($B$5,标准坦克设计!$B$24:$U$30,MATCH("对"&amp;LEFT($C$5,2)&amp;"输出",标准坦克设计!$B$23:$U$23,0)))*(VLOOKUP($B210,INDIRECT($B$5&amp;"生成成长"),3))*(VLOOKUP($B$5,标准坦克设计!$B$14:$K$20,9)/30))</f>
        <v>12.604593543856151</v>
      </c>
      <c r="CO210" s="172">
        <f ca="1">(VLOOKUP(CO$72,INDIRECT($C$5&amp;"生成成长"),2))/((VLOOKUP($B210,INDIRECT($B$5&amp;"生成成长"),4))/(VLOOKUP(CO$72,INDIRECT($C$5&amp;"生成成长"),5))*(VLOOKUP($B$5,标准坦克设计!$B$24:$U$30,MATCH("对"&amp;LEFT($C$5,2)&amp;"输出",标准坦克设计!$B$23:$U$23,0)))*(VLOOKUP($B210,INDIRECT($B$5&amp;"生成成长"),3))*(VLOOKUP($B$5,标准坦克设计!$B$14:$K$20,9)/30))</f>
        <v>5.6484350960480985</v>
      </c>
      <c r="CP210" s="172">
        <f ca="1">(VLOOKUP(CP$72,INDIRECT($C$5&amp;"生成成长"),2))/((VLOOKUP($B210,INDIRECT($B$5&amp;"生成成长"),4))/(VLOOKUP(CP$72,INDIRECT($C$5&amp;"生成成长"),5))*(VLOOKUP($B$5,标准坦克设计!$B$24:$U$30,MATCH("对"&amp;LEFT($C$5,2)&amp;"输出",标准坦克设计!$B$23:$U$23,0)))*(VLOOKUP($B210,INDIRECT($B$5&amp;"生成成长"),3))*(VLOOKUP($B$5,标准坦克设计!$B$14:$K$20,9)/30))</f>
        <v>6.1713905173100176</v>
      </c>
      <c r="CQ210" s="172">
        <f ca="1">(VLOOKUP(CQ$72,INDIRECT($C$5&amp;"生成成长"),2))/((VLOOKUP($B210,INDIRECT($B$5&amp;"生成成长"),4))/(VLOOKUP(CQ$72,INDIRECT($C$5&amp;"生成成长"),5))*(VLOOKUP($B$5,标准坦克设计!$B$24:$U$30,MATCH("对"&amp;LEFT($C$5,2)&amp;"输出",标准坦克设计!$B$23:$U$23,0)))*(VLOOKUP($B210,INDIRECT($B$5&amp;"生成成长"),3))*(VLOOKUP($B$5,标准坦克设计!$B$14:$K$20,9)/30))</f>
        <v>6.7174948707002287</v>
      </c>
      <c r="CR210" s="172">
        <f ca="1">(VLOOKUP(CR$72,INDIRECT($C$5&amp;"生成成长"),2))/((VLOOKUP($B210,INDIRECT($B$5&amp;"生成成长"),4))/(VLOOKUP(CR$72,INDIRECT($C$5&amp;"生成成长"),5))*(VLOOKUP($B$5,标准坦克设计!$B$24:$U$30,MATCH("对"&amp;LEFT($C$5,2)&amp;"输出",标准坦克设计!$B$23:$U$23,0)))*(VLOOKUP($B210,INDIRECT($B$5&amp;"生成成长"),3))*(VLOOKUP($B$5,标准坦克设计!$B$14:$K$20,9)/30))</f>
        <v>7.2867481562187333</v>
      </c>
      <c r="CS210" s="172">
        <f ca="1">(VLOOKUP(CS$72,INDIRECT($C$5&amp;"生成成长"),2))/((VLOOKUP($B210,INDIRECT($B$5&amp;"生成成长"),4))/(VLOOKUP(CS$72,INDIRECT($C$5&amp;"生成成长"),5))*(VLOOKUP($B$5,标准坦克设计!$B$24:$U$30,MATCH("对"&amp;LEFT($C$5,2)&amp;"输出",标准坦克设计!$B$23:$U$23,0)))*(VLOOKUP($B210,INDIRECT($B$5&amp;"生成成长"),3))*(VLOOKUP($B$5,标准坦克设计!$B$14:$K$20,9)/30))</f>
        <v>7.8791503738655324</v>
      </c>
      <c r="CT210" s="172">
        <f ca="1">(VLOOKUP(CT$72,INDIRECT($C$5&amp;"生成成长"),2))/((VLOOKUP($B210,INDIRECT($B$5&amp;"生成成长"),4))/(VLOOKUP(CT$72,INDIRECT($C$5&amp;"生成成长"),5))*(VLOOKUP($B$5,标准坦克设计!$B$24:$U$30,MATCH("对"&amp;LEFT($C$5,2)&amp;"输出",标准坦克设计!$B$23:$U$23,0)))*(VLOOKUP($B210,INDIRECT($B$5&amp;"生成成长"),3))*(VLOOKUP($B$5,标准坦克设计!$B$14:$K$20,9)/30))</f>
        <v>8.4947015236406269</v>
      </c>
      <c r="CU210" s="172">
        <f ca="1">(VLOOKUP(CU$72,INDIRECT($C$5&amp;"生成成长"),2))/((VLOOKUP($B210,INDIRECT($B$5&amp;"生成成长"),4))/(VLOOKUP(CU$72,INDIRECT($C$5&amp;"生成成长"),5))*(VLOOKUP($B$5,标准坦克设计!$B$24:$U$30,MATCH("对"&amp;LEFT($C$5,2)&amp;"输出",标准坦克设计!$B$23:$U$23,0)))*(VLOOKUP($B210,INDIRECT($B$5&amp;"生成成长"),3))*(VLOOKUP($B$5,标准坦克设计!$B$14:$K$20,9)/30))</f>
        <v>9.1334016055440141</v>
      </c>
      <c r="CV210" s="172">
        <f ca="1">(VLOOKUP(CV$72,INDIRECT($C$5&amp;"生成成长"),2))/((VLOOKUP($B210,INDIRECT($B$5&amp;"生成成长"),4))/(VLOOKUP(CV$72,INDIRECT($C$5&amp;"生成成长"),5))*(VLOOKUP($B$5,标准坦克设计!$B$24:$U$30,MATCH("对"&amp;LEFT($C$5,2)&amp;"输出",标准坦克设计!$B$23:$U$23,0)))*(VLOOKUP($B210,INDIRECT($B$5&amp;"生成成长"),3))*(VLOOKUP($B$5,标准坦克设计!$B$14:$K$20,9)/30))</f>
        <v>9.7952506195756968</v>
      </c>
      <c r="CW210" s="172">
        <f ca="1">(VLOOKUP(CW$72,INDIRECT($C$5&amp;"生成成长"),2))/((VLOOKUP($B210,INDIRECT($B$5&amp;"生成成长"),4))/(VLOOKUP(CW$72,INDIRECT($C$5&amp;"生成成长"),5))*(VLOOKUP($B$5,标准坦克设计!$B$24:$U$30,MATCH("对"&amp;LEFT($C$5,2)&amp;"输出",标准坦克设计!$B$23:$U$23,0)))*(VLOOKUP($B210,INDIRECT($B$5&amp;"生成成长"),3))*(VLOOKUP($B$5,标准坦克设计!$B$14:$K$20,9)/30))</f>
        <v>10.480248565735673</v>
      </c>
      <c r="CX210" s="172">
        <f ca="1">(VLOOKUP(CX$72,INDIRECT($C$5&amp;"生成成长"),2))/((VLOOKUP($B210,INDIRECT($B$5&amp;"生成成长"),4))/(VLOOKUP(CX$72,INDIRECT($C$5&amp;"生成成长"),5))*(VLOOKUP($B$5,标准坦克设计!$B$24:$U$30,MATCH("对"&amp;LEFT($C$5,2)&amp;"输出",标准坦克设计!$B$23:$U$23,0)))*(VLOOKUP($B210,INDIRECT($B$5&amp;"生成成长"),3))*(VLOOKUP($B$5,标准坦克设计!$B$14:$K$20,9)/30))</f>
        <v>11.188395444023945</v>
      </c>
      <c r="CY210" s="172">
        <f ca="1">(VLOOKUP(CY$72,INDIRECT($C$5&amp;"生成成长"),2))/((VLOOKUP($B210,INDIRECT($B$5&amp;"生成成长"),4))/(VLOOKUP(CY$72,INDIRECT($C$5&amp;"生成成长"),5))*(VLOOKUP($B$5,标准坦克设计!$B$24:$U$30,MATCH("对"&amp;LEFT($C$5,2)&amp;"输出",标准坦克设计!$B$23:$U$23,0)))*(VLOOKUP($B210,INDIRECT($B$5&amp;"生成成长"),3))*(VLOOKUP($B$5,标准坦克设计!$B$14:$K$20,9)/30))</f>
        <v>11.91969125444051</v>
      </c>
      <c r="CZ210" s="172">
        <f ca="1">(VLOOKUP(CZ$72,INDIRECT($C$5&amp;"生成成长"),2))/((VLOOKUP($B210,INDIRECT($B$5&amp;"生成成长"),4))/(VLOOKUP(CZ$72,INDIRECT($C$5&amp;"生成成长"),5))*(VLOOKUP($B$5,标准坦克设计!$B$24:$U$30,MATCH("对"&amp;LEFT($C$5,2)&amp;"输出",标准坦克设计!$B$23:$U$23,0)))*(VLOOKUP($B210,INDIRECT($B$5&amp;"生成成长"),3))*(VLOOKUP($B$5,标准坦克设计!$B$14:$K$20,9)/30))</f>
        <v>12.674135996985367</v>
      </c>
      <c r="DA210" s="172">
        <f ca="1">(VLOOKUP(DA$72,INDIRECT($C$5&amp;"生成成长"),2))/((VLOOKUP($B210,INDIRECT($B$5&amp;"生成成长"),4))/(VLOOKUP(DA$72,INDIRECT($C$5&amp;"生成成长"),5))*(VLOOKUP($B$5,标准坦克设计!$B$24:$U$30,MATCH("对"&amp;LEFT($C$5,2)&amp;"输出",标准坦克设计!$B$23:$U$23,0)))*(VLOOKUP($B210,INDIRECT($B$5&amp;"生成成长"),3))*(VLOOKUP($B$5,标准坦克设计!$B$14:$K$20,9)/30))</f>
        <v>13.451729671658519</v>
      </c>
      <c r="DB210" s="172">
        <f ca="1">(VLOOKUP(DB$72,INDIRECT($C$5&amp;"生成成长"),2))/((VLOOKUP($B210,INDIRECT($B$5&amp;"生成成长"),4))/(VLOOKUP(DB$72,INDIRECT($C$5&amp;"生成成长"),5))*(VLOOKUP($B$5,标准坦克设计!$B$24:$U$30,MATCH("对"&amp;LEFT($C$5,2)&amp;"输出",标准坦克设计!$B$23:$U$23,0)))*(VLOOKUP($B210,INDIRECT($B$5&amp;"生成成长"),3))*(VLOOKUP($B$5,标准坦克设计!$B$14:$K$20,9)/30))</f>
        <v>14.252472278459969</v>
      </c>
      <c r="DC210" s="172">
        <f ca="1">(VLOOKUP(DC$72,INDIRECT($C$5&amp;"生成成长"),2))/((VLOOKUP($B210,INDIRECT($B$5&amp;"生成成长"),4))/(VLOOKUP(DC$72,INDIRECT($C$5&amp;"生成成长"),5))*(VLOOKUP($B$5,标准坦克设计!$B$24:$U$30,MATCH("对"&amp;LEFT($C$5,2)&amp;"输出",标准坦克设计!$B$23:$U$23,0)))*(VLOOKUP($B210,INDIRECT($B$5&amp;"生成成长"),3))*(VLOOKUP($B$5,标准坦克设计!$B$14:$K$20,9)/30))</f>
        <v>15.152410929133485</v>
      </c>
      <c r="DD210" s="172">
        <f ca="1">(VLOOKUP(DD$72,INDIRECT($C$5&amp;"生成成长"),2))/((VLOOKUP($B210,INDIRECT($B$5&amp;"生成成长"),4))/(VLOOKUP(DD$72,INDIRECT($C$5&amp;"生成成长"),5))*(VLOOKUP($B$5,标准坦克设计!$B$24:$U$30,MATCH("对"&amp;LEFT($C$5,2)&amp;"输出",标准坦克设计!$B$23:$U$23,0)))*(VLOOKUP($B210,INDIRECT($B$5&amp;"生成成长"),3))*(VLOOKUP($B$5,标准坦克设计!$B$14:$K$20,9)/30))</f>
        <v>16.079898722174558</v>
      </c>
      <c r="DE210" s="172">
        <f ca="1">(VLOOKUP(DE$72,INDIRECT($C$5&amp;"生成成长"),2))/((VLOOKUP($B210,INDIRECT($B$5&amp;"生成成长"),4))/(VLOOKUP(DE$72,INDIRECT($C$5&amp;"生成成长"),5))*(VLOOKUP($B$5,标准坦克设计!$B$24:$U$30,MATCH("对"&amp;LEFT($C$5,2)&amp;"输出",标准坦克设计!$B$23:$U$23,0)))*(VLOOKUP($B210,INDIRECT($B$5&amp;"生成成长"),3))*(VLOOKUP($B$5,标准坦克设计!$B$14:$K$20,9)/30))</f>
        <v>17.034935657583191</v>
      </c>
      <c r="DF210" s="172">
        <f ca="1">(VLOOKUP(DF$72,INDIRECT($C$5&amp;"生成成长"),2))/((VLOOKUP($B210,INDIRECT($B$5&amp;"生成成长"),4))/(VLOOKUP(DF$72,INDIRECT($C$5&amp;"生成成长"),5))*(VLOOKUP($B$5,标准坦克设计!$B$24:$U$30,MATCH("对"&amp;LEFT($C$5,2)&amp;"输出",标准坦克设计!$B$23:$U$23,0)))*(VLOOKUP($B210,INDIRECT($B$5&amp;"生成成长"),3))*(VLOOKUP($B$5,标准坦克设计!$B$14:$K$20,9)/30))</f>
        <v>18.017521735359374</v>
      </c>
      <c r="DG210" s="172">
        <f ca="1">(VLOOKUP(DG$72,INDIRECT($C$5&amp;"生成成长"),2))/((VLOOKUP($B210,INDIRECT($B$5&amp;"生成成长"),4))/(VLOOKUP(DG$72,INDIRECT($C$5&amp;"生成成长"),5))*(VLOOKUP($B$5,标准坦克设计!$B$24:$U$30,MATCH("对"&amp;LEFT($C$5,2)&amp;"输出",标准坦克设计!$B$23:$U$23,0)))*(VLOOKUP($B210,INDIRECT($B$5&amp;"生成成长"),3))*(VLOOKUP($B$5,标准坦克设计!$B$14:$K$20,9)/30))</f>
        <v>19.027656955503119</v>
      </c>
      <c r="DH210" s="172">
        <f ca="1">(VLOOKUP(DH$72,INDIRECT($C$5&amp;"生成成长"),2))/((VLOOKUP($B210,INDIRECT($B$5&amp;"生成成长"),4))/(VLOOKUP(DH$72,INDIRECT($C$5&amp;"生成成长"),5))*(VLOOKUP($B$5,标准坦克设计!$B$24:$U$30,MATCH("对"&amp;LEFT($C$5,2)&amp;"输出",标准坦克设计!$B$23:$U$23,0)))*(VLOOKUP($B210,INDIRECT($B$5&amp;"生成成长"),3))*(VLOOKUP($B$5,标准坦克设计!$B$14:$K$20,9)/30))</f>
        <v>20.065341318014422</v>
      </c>
      <c r="DI210" s="172">
        <f ca="1">(VLOOKUP(DI$72,INDIRECT($C$5&amp;"生成成长"),2))/((VLOOKUP($B210,INDIRECT($B$5&amp;"生成成长"),4))/(VLOOKUP(DI$72,INDIRECT($C$5&amp;"生成成长"),5))*(VLOOKUP($B$5,标准坦克设计!$B$24:$U$30,MATCH("对"&amp;LEFT($C$5,2)&amp;"输出",标准坦克设计!$B$23:$U$23,0)))*(VLOOKUP($B210,INDIRECT($B$5&amp;"生成成长"),3))*(VLOOKUP($B$5,标准坦克设计!$B$14:$K$20,9)/30))</f>
        <v>21.130574822893276</v>
      </c>
      <c r="DJ210" s="172">
        <f ca="1">(VLOOKUP(DJ$72,INDIRECT($C$5&amp;"生成成长"),2))/((VLOOKUP($B210,INDIRECT($B$5&amp;"生成成长"),4))/(VLOOKUP(DJ$72,INDIRECT($C$5&amp;"生成成长"),5))*(VLOOKUP($B$5,标准坦克设计!$B$24:$U$30,MATCH("对"&amp;LEFT($C$5,2)&amp;"输出",标准坦克设计!$B$23:$U$23,0)))*(VLOOKUP($B210,INDIRECT($B$5&amp;"生成成长"),3))*(VLOOKUP($B$5,标准坦克设计!$B$14:$K$20,9)/30))</f>
        <v>2.1236753809101567</v>
      </c>
      <c r="DK210" s="172">
        <f ca="1">(VLOOKUP(DK$72,INDIRECT($C$5&amp;"生成成长"),2))/((VLOOKUP($B210,INDIRECT($B$5&amp;"生成成长"),4))/(VLOOKUP(DK$72,INDIRECT($C$5&amp;"生成成长"),5))*(VLOOKUP($B$5,标准坦克设计!$B$24:$U$30,MATCH("对"&amp;LEFT($C$5,2)&amp;"输出",标准坦克设计!$B$23:$U$23,0)))*(VLOOKUP($B210,INDIRECT($B$5&amp;"生成成长"),3))*(VLOOKUP($B$5,标准坦克设计!$B$14:$K$20,9)/30))</f>
        <v>2.3879749654989033</v>
      </c>
      <c r="DL210" s="172">
        <f ca="1">(VLOOKUP(DL$72,INDIRECT($C$5&amp;"生成成长"),2))/((VLOOKUP($B210,INDIRECT($B$5&amp;"生成成长"),4))/(VLOOKUP(DL$72,INDIRECT($C$5&amp;"生成成长"),5))*(VLOOKUP($B$5,标准坦克设计!$B$24:$U$30,MATCH("对"&amp;LEFT($C$5,2)&amp;"输出",标准坦克设计!$B$23:$U$23,0)))*(VLOOKUP($B210,INDIRECT($B$5&amp;"生成成长"),3))*(VLOOKUP($B$5,标准坦克设计!$B$14:$K$20,9)/30))</f>
        <v>2.6677709426694003</v>
      </c>
      <c r="DM210" s="172">
        <f ca="1">(VLOOKUP(DM$72,INDIRECT($C$5&amp;"生成成长"),2))/((VLOOKUP($B210,INDIRECT($B$5&amp;"生成成长"),4))/(VLOOKUP(DM$72,INDIRECT($C$5&amp;"生成成长"),5))*(VLOOKUP($B$5,标准坦克设计!$B$24:$U$30,MATCH("对"&amp;LEFT($C$5,2)&amp;"输出",标准坦克设计!$B$23:$U$23,0)))*(VLOOKUP($B210,INDIRECT($B$5&amp;"生成成长"),3))*(VLOOKUP($B$5,标准坦克设计!$B$14:$K$20,9)/30))</f>
        <v>2.963063312421649</v>
      </c>
      <c r="DN210" s="172">
        <f ca="1">(VLOOKUP(DN$72,INDIRECT($C$5&amp;"生成成长"),2))/((VLOOKUP($B210,INDIRECT($B$5&amp;"生成成长"),4))/(VLOOKUP(DN$72,INDIRECT($C$5&amp;"生成成长"),5))*(VLOOKUP($B$5,标准坦克设计!$B$24:$U$30,MATCH("对"&amp;LEFT($C$5,2)&amp;"输出",标准坦克设计!$B$23:$U$23,0)))*(VLOOKUP($B210,INDIRECT($B$5&amp;"生成成长"),3))*(VLOOKUP($B$5,标准坦克设计!$B$14:$K$20,9)/30))</f>
        <v>3.2738520747556468</v>
      </c>
      <c r="DO210" s="172">
        <f ca="1">(VLOOKUP(DO$72,INDIRECT($C$5&amp;"生成成长"),2))/((VLOOKUP($B210,INDIRECT($B$5&amp;"生成成长"),4))/(VLOOKUP(DO$72,INDIRECT($C$5&amp;"生成成长"),5))*(VLOOKUP($B$5,标准坦克设计!$B$24:$U$30,MATCH("对"&amp;LEFT($C$5,2)&amp;"输出",标准坦克设计!$B$23:$U$23,0)))*(VLOOKUP($B210,INDIRECT($B$5&amp;"生成成长"),3))*(VLOOKUP($B$5,标准坦克设计!$B$14:$K$20,9)/30))</f>
        <v>3.6001372296713958</v>
      </c>
      <c r="DP210" s="172">
        <f ca="1">(VLOOKUP(DP$72,INDIRECT($C$5&amp;"生成成长"),2))/((VLOOKUP($B210,INDIRECT($B$5&amp;"生成成长"),4))/(VLOOKUP(DP$72,INDIRECT($C$5&amp;"生成成长"),5))*(VLOOKUP($B$5,标准坦克设计!$B$24:$U$30,MATCH("对"&amp;LEFT($C$5,2)&amp;"输出",标准坦克设计!$B$23:$U$23,0)))*(VLOOKUP($B210,INDIRECT($B$5&amp;"生成成长"),3))*(VLOOKUP($B$5,标准坦克设计!$B$14:$K$20,9)/30))</f>
        <v>3.9419187771688957</v>
      </c>
      <c r="DQ210" s="172">
        <f ca="1">(VLOOKUP(DQ$72,INDIRECT($C$5&amp;"生成成长"),2))/((VLOOKUP($B210,INDIRECT($B$5&amp;"生成成长"),4))/(VLOOKUP(DQ$72,INDIRECT($C$5&amp;"生成成长"),5))*(VLOOKUP($B$5,标准坦克设计!$B$24:$U$30,MATCH("对"&amp;LEFT($C$5,2)&amp;"输出",标准坦克设计!$B$23:$U$23,0)))*(VLOOKUP($B210,INDIRECT($B$5&amp;"生成成长"),3))*(VLOOKUP($B$5,标准坦克设计!$B$14:$K$20,9)/30))</f>
        <v>4.2991967172481456</v>
      </c>
      <c r="DR210" s="172">
        <f ca="1">(VLOOKUP(DR$72,INDIRECT($C$5&amp;"生成成长"),2))/((VLOOKUP($B210,INDIRECT($B$5&amp;"生成成长"),4))/(VLOOKUP(DR$72,INDIRECT($C$5&amp;"生成成长"),5))*(VLOOKUP($B$5,标准坦克设计!$B$24:$U$30,MATCH("对"&amp;LEFT($C$5,2)&amp;"输出",标准坦克设计!$B$23:$U$23,0)))*(VLOOKUP($B210,INDIRECT($B$5&amp;"生成成长"),3))*(VLOOKUP($B$5,标准坦克设计!$B$14:$K$20,9)/30))</f>
        <v>4.6719710499091471</v>
      </c>
      <c r="DS210" s="172">
        <f ca="1">(VLOOKUP(DS$72,INDIRECT($C$5&amp;"生成成长"),2))/((VLOOKUP($B210,INDIRECT($B$5&amp;"生成成长"),4))/(VLOOKUP(DS$72,INDIRECT($C$5&amp;"生成成长"),5))*(VLOOKUP($B$5,标准坦克设计!$B$24:$U$30,MATCH("对"&amp;LEFT($C$5,2)&amp;"输出",标准坦克设计!$B$23:$U$23,0)))*(VLOOKUP($B210,INDIRECT($B$5&amp;"生成成长"),3))*(VLOOKUP($B$5,标准坦克设计!$B$14:$K$20,9)/30))</f>
        <v>5.0602417751518987</v>
      </c>
      <c r="DT210" s="172">
        <f ca="1">(VLOOKUP(DT$72,INDIRECT($C$5&amp;"生成成长"),2))/((VLOOKUP($B210,INDIRECT($B$5&amp;"生成成长"),4))/(VLOOKUP(DT$72,INDIRECT($C$5&amp;"生成成长"),5))*(VLOOKUP($B$5,标准坦克设计!$B$24:$U$30,MATCH("对"&amp;LEFT($C$5,2)&amp;"输出",标准坦克设计!$B$23:$U$23,0)))*(VLOOKUP($B210,INDIRECT($B$5&amp;"生成成长"),3))*(VLOOKUP($B$5,标准坦克设计!$B$14:$K$20,9)/30))</f>
        <v>5.5558393675349222</v>
      </c>
      <c r="DU210" s="172">
        <f ca="1">(VLOOKUP(DU$72,INDIRECT($C$5&amp;"生成成长"),2))/((VLOOKUP($B210,INDIRECT($B$5&amp;"生成成长"),4))/(VLOOKUP(DU$72,INDIRECT($C$5&amp;"生成成长"),5))*(VLOOKUP($B$5,标准坦克设计!$B$24:$U$30,MATCH("对"&amp;LEFT($C$5,2)&amp;"输出",标准坦克设计!$B$23:$U$23,0)))*(VLOOKUP($B210,INDIRECT($B$5&amp;"生成成长"),3))*(VLOOKUP($B$5,标准坦克设计!$B$14:$K$20,9)/30))</f>
        <v>6.0745858920462412</v>
      </c>
      <c r="DV210" s="172">
        <f ca="1">(VLOOKUP(DV$72,INDIRECT($C$5&amp;"生成成长"),2))/((VLOOKUP($B210,INDIRECT($B$5&amp;"生成成长"),4))/(VLOOKUP(DV$72,INDIRECT($C$5&amp;"生成成长"),5))*(VLOOKUP($B$5,标准坦克设计!$B$24:$U$30,MATCH("对"&amp;LEFT($C$5,2)&amp;"输出",标准坦克设计!$B$23:$U$23,0)))*(VLOOKUP($B210,INDIRECT($B$5&amp;"生成成长"),3))*(VLOOKUP($B$5,标准坦克设计!$B$14:$K$20,9)/30))</f>
        <v>6.6164813486858547</v>
      </c>
      <c r="DW210" s="172">
        <f ca="1">(VLOOKUP(DW$72,INDIRECT($C$5&amp;"生成成长"),2))/((VLOOKUP($B210,INDIRECT($B$5&amp;"生成成长"),4))/(VLOOKUP(DW$72,INDIRECT($C$5&amp;"生成成长"),5))*(VLOOKUP($B$5,标准坦克设计!$B$24:$U$30,MATCH("对"&amp;LEFT($C$5,2)&amp;"输出",标准坦克设计!$B$23:$U$23,0)))*(VLOOKUP($B210,INDIRECT($B$5&amp;"生成成长"),3))*(VLOOKUP($B$5,标准坦克设计!$B$14:$K$20,9)/30))</f>
        <v>7.18152573745376</v>
      </c>
      <c r="DX210" s="172">
        <f ca="1">(VLOOKUP(DX$72,INDIRECT($C$5&amp;"生成成长"),2))/((VLOOKUP($B210,INDIRECT($B$5&amp;"生成成长"),4))/(VLOOKUP(DX$72,INDIRECT($C$5&amp;"生成成长"),5))*(VLOOKUP($B$5,标准坦克设计!$B$24:$U$30,MATCH("对"&amp;LEFT($C$5,2)&amp;"输出",标准坦克设计!$B$23:$U$23,0)))*(VLOOKUP($B210,INDIRECT($B$5&amp;"生成成长"),3))*(VLOOKUP($B$5,标准坦克设计!$B$14:$K$20,9)/30))</f>
        <v>7.7697190583499625</v>
      </c>
      <c r="DY210" s="172">
        <f ca="1">(VLOOKUP(DY$72,INDIRECT($C$5&amp;"生成成长"),2))/((VLOOKUP($B210,INDIRECT($B$5&amp;"生成成长"),4))/(VLOOKUP(DY$72,INDIRECT($C$5&amp;"生成成长"),5))*(VLOOKUP($B$5,标准坦克设计!$B$24:$U$30,MATCH("对"&amp;LEFT($C$5,2)&amp;"输出",标准坦克设计!$B$23:$U$23,0)))*(VLOOKUP($B210,INDIRECT($B$5&amp;"生成成长"),3))*(VLOOKUP($B$5,标准坦克设计!$B$14:$K$20,9)/30))</f>
        <v>3.4896536899681743</v>
      </c>
      <c r="DZ210" s="172">
        <f ca="1">(VLOOKUP(DZ$72,INDIRECT($C$5&amp;"生成成长"),2))/((VLOOKUP($B210,INDIRECT($B$5&amp;"生成成长"),4))/(VLOOKUP(DZ$72,INDIRECT($C$5&amp;"生成成长"),5))*(VLOOKUP($B$5,标准坦克设计!$B$24:$U$30,MATCH("对"&amp;LEFT($C$5,2)&amp;"输出",标准坦克设计!$B$23:$U$23,0)))*(VLOOKUP($B210,INDIRECT($B$5&amp;"生成成长"),3))*(VLOOKUP($B$5,标准坦克设计!$B$14:$K$20,9)/30))</f>
        <v>3.8646281277488064</v>
      </c>
      <c r="EA210" s="172">
        <f ca="1">(VLOOKUP(EA$72,INDIRECT($C$5&amp;"生成成长"),2))/((VLOOKUP($B210,INDIRECT($B$5&amp;"生成成长"),4))/(VLOOKUP(EA$72,INDIRECT($C$5&amp;"生成成长"),5))*(VLOOKUP($B$5,标准坦克设计!$B$24:$U$30,MATCH("对"&amp;LEFT($C$5,2)&amp;"输出",标准坦克设计!$B$23:$U$23,0)))*(VLOOKUP($B210,INDIRECT($B$5&amp;"生成成长"),3))*(VLOOKUP($B$5,标准坦克设计!$B$14:$K$20,9)/30))</f>
        <v>4.2587339143957976</v>
      </c>
      <c r="EB210" s="172">
        <f ca="1">(VLOOKUP(EB$72,INDIRECT($C$5&amp;"生成成长"),2))/((VLOOKUP($B210,INDIRECT($B$5&amp;"生成成长"),4))/(VLOOKUP(EB$72,INDIRECT($C$5&amp;"生成成长"),5))*(VLOOKUP($B$5,标准坦克设计!$B$24:$U$30,MATCH("对"&amp;LEFT($C$5,2)&amp;"输出",标准坦克设计!$B$23:$U$23,0)))*(VLOOKUP($B210,INDIRECT($B$5&amp;"生成成长"),3))*(VLOOKUP($B$5,标准坦克设计!$B$14:$K$20,9)/30))</f>
        <v>4.6719710499091471</v>
      </c>
      <c r="EC210" s="172">
        <f ca="1">(VLOOKUP(EC$72,INDIRECT($C$5&amp;"生成成长"),2))/((VLOOKUP($B210,INDIRECT($B$5&amp;"生成成长"),4))/(VLOOKUP(EC$72,INDIRECT($C$5&amp;"生成成长"),5))*(VLOOKUP($B$5,标准坦克设计!$B$24:$U$30,MATCH("对"&amp;LEFT($C$5,2)&amp;"输出",标准坦克设计!$B$23:$U$23,0)))*(VLOOKUP($B210,INDIRECT($B$5&amp;"生成成长"),3))*(VLOOKUP($B$5,标准坦克设计!$B$14:$K$20,9)/30))</f>
        <v>5.1043395342888553</v>
      </c>
      <c r="ED210" s="172">
        <f ca="1">(VLOOKUP(ED$72,INDIRECT($C$5&amp;"生成成长"),2))/((VLOOKUP($B210,INDIRECT($B$5&amp;"生成成长"),4))/(VLOOKUP(ED$72,INDIRECT($C$5&amp;"生成成长"),5))*(VLOOKUP($B$5,标准坦克设计!$B$24:$U$30,MATCH("对"&amp;LEFT($C$5,2)&amp;"输出",标准坦克设计!$B$23:$U$23,0)))*(VLOOKUP($B210,INDIRECT($B$5&amp;"生成成长"),3))*(VLOOKUP($B$5,标准坦克设计!$B$14:$K$20,9)/30))</f>
        <v>5.5558393675349222</v>
      </c>
      <c r="EE210" s="172">
        <f ca="1">(VLOOKUP(EE$72,INDIRECT($C$5&amp;"生成成长"),2))/((VLOOKUP($B210,INDIRECT($B$5&amp;"生成成长"),4))/(VLOOKUP(EE$72,INDIRECT($C$5&amp;"生成成长"),5))*(VLOOKUP($B$5,标准坦克设计!$B$24:$U$30,MATCH("对"&amp;LEFT($C$5,2)&amp;"输出",标准坦克设计!$B$23:$U$23,0)))*(VLOOKUP($B210,INDIRECT($B$5&amp;"生成成长"),3))*(VLOOKUP($B$5,标准坦克设计!$B$14:$K$20,9)/30))</f>
        <v>6.0264705496473479</v>
      </c>
      <c r="EF210" s="172">
        <f ca="1">(VLOOKUP(EF$72,INDIRECT($C$5&amp;"生成成长"),2))/((VLOOKUP($B210,INDIRECT($B$5&amp;"生成成长"),4))/(VLOOKUP(EF$72,INDIRECT($C$5&amp;"生成成长"),5))*(VLOOKUP($B$5,标准坦克设计!$B$24:$U$30,MATCH("对"&amp;LEFT($C$5,2)&amp;"输出",标准坦克设计!$B$23:$U$23,0)))*(VLOOKUP($B210,INDIRECT($B$5&amp;"生成成长"),3))*(VLOOKUP($B$5,标准坦克设计!$B$14:$K$20,9)/30))</f>
        <v>6.516233080626133</v>
      </c>
      <c r="EG210" s="172">
        <f ca="1">(VLOOKUP(EG$72,INDIRECT($C$5&amp;"生成成长"),2))/((VLOOKUP($B210,INDIRECT($B$5&amp;"生成成长"),4))/(VLOOKUP(EG$72,INDIRECT($C$5&amp;"生成成长"),5))*(VLOOKUP($B$5,标准坦克设计!$B$24:$U$30,MATCH("对"&amp;LEFT($C$5,2)&amp;"输出",标准坦克设计!$B$23:$U$23,0)))*(VLOOKUP($B210,INDIRECT($B$5&amp;"生成成长"),3))*(VLOOKUP($B$5,标准坦克设计!$B$14:$K$20,9)/30))</f>
        <v>7.0251269604712778</v>
      </c>
      <c r="EH210" s="172">
        <f ca="1">(VLOOKUP(EH$72,INDIRECT($C$5&amp;"生成成长"),2))/((VLOOKUP($B210,INDIRECT($B$5&amp;"生成成长"),4))/(VLOOKUP(EH$72,INDIRECT($C$5&amp;"生成成长"),5))*(VLOOKUP($B$5,标准坦克设计!$B$24:$U$30,MATCH("对"&amp;LEFT($C$5,2)&amp;"输出",标准坦克设计!$B$23:$U$23,0)))*(VLOOKUP($B210,INDIRECT($B$5&amp;"生成成长"),3))*(VLOOKUP($B$5,标准坦克设计!$B$14:$K$20,9)/30))</f>
        <v>7.5531521891827786</v>
      </c>
      <c r="EI210" s="172">
        <f ca="1">(VLOOKUP(EI$72,INDIRECT($C$5&amp;"生成成长"),2))/((VLOOKUP($B210,INDIRECT($B$5&amp;"生成成长"),4))/(VLOOKUP(EI$72,INDIRECT($C$5&amp;"生成成长"),5))*(VLOOKUP($B$5,标准坦克设计!$B$24:$U$30,MATCH("对"&amp;LEFT($C$5,2)&amp;"输出",标准坦克设计!$B$23:$U$23,0)))*(VLOOKUP($B210,INDIRECT($B$5&amp;"生成成长"),3))*(VLOOKUP($B$5,标准坦克设计!$B$14:$K$20,9)/30))</f>
        <v>8.1003087667606408</v>
      </c>
      <c r="EJ210" s="172">
        <f ca="1">(VLOOKUP(EJ$72,INDIRECT($C$5&amp;"生成成长"),2))/((VLOOKUP($B210,INDIRECT($B$5&amp;"生成成长"),4))/(VLOOKUP(EJ$72,INDIRECT($C$5&amp;"生成成长"),5))*(VLOOKUP($B$5,标准坦克设计!$B$24:$U$30,MATCH("对"&amp;LEFT($C$5,2)&amp;"输出",标准坦克设计!$B$23:$U$23,0)))*(VLOOKUP($B210,INDIRECT($B$5&amp;"生成成长"),3))*(VLOOKUP($B$5,标准坦克设计!$B$14:$K$20,9)/30))</f>
        <v>8.6665966932048608</v>
      </c>
      <c r="EK210" s="172">
        <f ca="1">(VLOOKUP(EK$72,INDIRECT($C$5&amp;"生成成长"),2))/((VLOOKUP($B210,INDIRECT($B$5&amp;"生成成长"),4))/(VLOOKUP(EK$72,INDIRECT($C$5&amp;"生成成长"),5))*(VLOOKUP($B$5,标准坦克设计!$B$24:$U$30,MATCH("对"&amp;LEFT($C$5,2)&amp;"输出",标准坦克设计!$B$23:$U$23,0)))*(VLOOKUP($B210,INDIRECT($B$5&amp;"生成成长"),3))*(VLOOKUP($B$5,标准坦克设计!$B$14:$K$20,9)/30))</f>
        <v>9.3713955854415172</v>
      </c>
      <c r="EL210" s="172">
        <f ca="1">(VLOOKUP(EL$72,INDIRECT($C$5&amp;"生成成长"),2))/((VLOOKUP($B210,INDIRECT($B$5&amp;"生成成长"),4))/(VLOOKUP(EL$72,INDIRECT($C$5&amp;"生成成长"),5))*(VLOOKUP($B$5,标准坦克设计!$B$24:$U$30,MATCH("对"&amp;LEFT($C$5,2)&amp;"输出",标准坦克设计!$B$23:$U$23,0)))*(VLOOKUP($B210,INDIRECT($B$5&amp;"生成成长"),3))*(VLOOKUP($B$5,标准坦克设计!$B$14:$K$20,9)/30))</f>
        <v>10.103743620045732</v>
      </c>
      <c r="EM210" s="172">
        <f ca="1">(VLOOKUP(EM$72,INDIRECT($C$5&amp;"生成成长"),2))/((VLOOKUP($B210,INDIRECT($B$5&amp;"生成成长"),4))/(VLOOKUP(EM$72,INDIRECT($C$5&amp;"生成成长"),5))*(VLOOKUP($B$5,标准坦克设计!$B$24:$U$30,MATCH("对"&amp;LEFT($C$5,2)&amp;"输出",标准坦克设计!$B$23:$U$23,0)))*(VLOOKUP($B210,INDIRECT($B$5&amp;"生成成长"),3))*(VLOOKUP($B$5,标准坦克设计!$B$14:$K$20,9)/30))</f>
        <v>10.863640797017505</v>
      </c>
      <c r="EN210" s="172">
        <f ca="1">(VLOOKUP(EN$72,INDIRECT($C$5&amp;"生成成长"),2))/((VLOOKUP($B210,INDIRECT($B$5&amp;"生成成长"),4))/(VLOOKUP(EN$72,INDIRECT($C$5&amp;"生成成长"),5))*(VLOOKUP($B$5,标准坦克设计!$B$24:$U$30,MATCH("对"&amp;LEFT($C$5,2)&amp;"输出",标准坦克设计!$B$23:$U$23,0)))*(VLOOKUP($B210,INDIRECT($B$5&amp;"生成成长"),3))*(VLOOKUP($B$5,标准坦克设计!$B$14:$K$20,9)/30))</f>
        <v>11.65108711635683</v>
      </c>
      <c r="EO210" s="172">
        <f ca="1">(VLOOKUP(EO$72,INDIRECT($C$5&amp;"生成成长"),2))/((VLOOKUP($B210,INDIRECT($B$5&amp;"生成成长"),4))/(VLOOKUP(EO$72,INDIRECT($C$5&amp;"生成成长"),5))*(VLOOKUP($B$5,标准坦克设计!$B$24:$U$30,MATCH("对"&amp;LEFT($C$5,2)&amp;"输出",标准坦克设计!$B$23:$U$23,0)))*(VLOOKUP($B210,INDIRECT($B$5&amp;"生成成长"),3))*(VLOOKUP($B$5,标准坦克设计!$B$14:$K$20,9)/30))</f>
        <v>12.466082578063716</v>
      </c>
      <c r="EP210" s="172">
        <f ca="1">(VLOOKUP(EP$72,INDIRECT($C$5&amp;"生成成长"),2))/((VLOOKUP($B210,INDIRECT($B$5&amp;"生成成长"),4))/(VLOOKUP(EP$72,INDIRECT($C$5&amp;"生成成长"),5))*(VLOOKUP($B$5,标准坦克设计!$B$24:$U$30,MATCH("对"&amp;LEFT($C$5,2)&amp;"输出",标准坦克设计!$B$23:$U$23,0)))*(VLOOKUP($B210,INDIRECT($B$5&amp;"生成成长"),3))*(VLOOKUP($B$5,标准坦克设计!$B$14:$K$20,9)/30))</f>
        <v>13.308627182138157</v>
      </c>
      <c r="EQ210" s="172">
        <f ca="1">(VLOOKUP(EQ$72,INDIRECT($C$5&amp;"生成成长"),2))/((VLOOKUP($B210,INDIRECT($B$5&amp;"生成成长"),4))/(VLOOKUP(EQ$72,INDIRECT($C$5&amp;"生成成长"),5))*(VLOOKUP($B$5,标准坦克设计!$B$24:$U$30,MATCH("对"&amp;LEFT($C$5,2)&amp;"输出",标准坦克设计!$B$23:$U$23,0)))*(VLOOKUP($B210,INDIRECT($B$5&amp;"生成成长"),3))*(VLOOKUP($B$5,标准坦克设计!$B$14:$K$20,9)/30))</f>
        <v>5.8832724033826542</v>
      </c>
      <c r="ER210" s="172">
        <f ca="1">(VLOOKUP(ER$72,INDIRECT($C$5&amp;"生成成长"),2))/((VLOOKUP($B210,INDIRECT($B$5&amp;"生成成长"),4))/(VLOOKUP(ER$72,INDIRECT($C$5&amp;"生成成长"),5))*(VLOOKUP($B$5,标准坦克设计!$B$24:$U$30,MATCH("对"&amp;LEFT($C$5,2)&amp;"输出",标准坦克设计!$B$23:$U$23,0)))*(VLOOKUP($B210,INDIRECT($B$5&amp;"生成成长"),3))*(VLOOKUP($B$5,标准坦克设计!$B$14:$K$20,9)/30))</f>
        <v>6.4167500665210691</v>
      </c>
      <c r="ES210" s="172">
        <f ca="1">(VLOOKUP(ES$72,INDIRECT($C$5&amp;"生成成长"),2))/((VLOOKUP($B210,INDIRECT($B$5&amp;"生成成长"),4))/(VLOOKUP(ES$72,INDIRECT($C$5&amp;"生成成长"),5))*(VLOOKUP($B$5,标准坦克设计!$B$24:$U$30,MATCH("对"&amp;LEFT($C$5,2)&amp;"输出",标准坦克设计!$B$23:$U$23,0)))*(VLOOKUP($B210,INDIRECT($B$5&amp;"生成成长"),3))*(VLOOKUP($B$5,标准坦克设计!$B$14:$K$20,9)/30))</f>
        <v>6.9733766617877775</v>
      </c>
      <c r="ET210" s="172">
        <f ca="1">(VLOOKUP(ET$72,INDIRECT($C$5&amp;"生成成长"),2))/((VLOOKUP($B210,INDIRECT($B$5&amp;"生成成长"),4))/(VLOOKUP(ET$72,INDIRECT($C$5&amp;"生成成长"),5))*(VLOOKUP($B$5,标准坦克设计!$B$24:$U$30,MATCH("对"&amp;LEFT($C$5,2)&amp;"输出",标准坦克设计!$B$23:$U$23,0)))*(VLOOKUP($B210,INDIRECT($B$5&amp;"生成成长"),3))*(VLOOKUP($B$5,标准坦克设计!$B$14:$K$20,9)/30))</f>
        <v>7.5531521891827786</v>
      </c>
      <c r="EU210" s="172">
        <f ca="1">(VLOOKUP(EU$72,INDIRECT($C$5&amp;"生成成长"),2))/((VLOOKUP($B210,INDIRECT($B$5&amp;"生成成长"),4))/(VLOOKUP(EU$72,INDIRECT($C$5&amp;"生成成长"),5))*(VLOOKUP($B$5,标准坦克设计!$B$24:$U$30,MATCH("对"&amp;LEFT($C$5,2)&amp;"输出",标准坦克设计!$B$23:$U$23,0)))*(VLOOKUP($B210,INDIRECT($B$5&amp;"生成成长"),3))*(VLOOKUP($B$5,标准坦克设计!$B$14:$K$20,9)/30))</f>
        <v>8.1560766487060761</v>
      </c>
      <c r="EV210" s="172">
        <f ca="1">(VLOOKUP(EV$72,INDIRECT($C$5&amp;"生成成长"),2))/((VLOOKUP($B210,INDIRECT($B$5&amp;"生成成长"),4))/(VLOOKUP(EV$72,INDIRECT($C$5&amp;"生成成长"),5))*(VLOOKUP($B$5,标准坦克设计!$B$24:$U$30,MATCH("对"&amp;LEFT($C$5,2)&amp;"输出",标准坦克设计!$B$23:$U$23,0)))*(VLOOKUP($B210,INDIRECT($B$5&amp;"生成成长"),3))*(VLOOKUP($B$5,标准坦克设计!$B$14:$K$20,9)/30))</f>
        <v>8.7821500403576689</v>
      </c>
      <c r="EW210" s="172">
        <f ca="1">(VLOOKUP(EW$72,INDIRECT($C$5&amp;"生成成长"),2))/((VLOOKUP($B210,INDIRECT($B$5&amp;"生成成长"),4))/(VLOOKUP(EW$72,INDIRECT($C$5&amp;"生成成长"),5))*(VLOOKUP($B$5,标准坦克设计!$B$24:$U$30,MATCH("对"&amp;LEFT($C$5,2)&amp;"输出",标准坦克设计!$B$23:$U$23,0)))*(VLOOKUP($B210,INDIRECT($B$5&amp;"生成成长"),3))*(VLOOKUP($B$5,标准坦克设计!$B$14:$K$20,9)/30))</f>
        <v>9.4313723641375535</v>
      </c>
      <c r="EX210" s="172">
        <f ca="1">(VLOOKUP(EX$72,INDIRECT($C$5&amp;"生成成长"),2))/((VLOOKUP($B210,INDIRECT($B$5&amp;"生成成长"),4))/(VLOOKUP(EX$72,INDIRECT($C$5&amp;"生成成长"),5))*(VLOOKUP($B$5,标准坦克设计!$B$24:$U$30,MATCH("对"&amp;LEFT($C$5,2)&amp;"输出",标准坦克设计!$B$23:$U$23,0)))*(VLOOKUP($B210,INDIRECT($B$5&amp;"生成成长"),3))*(VLOOKUP($B$5,标准坦克设计!$B$14:$K$20,9)/30))</f>
        <v>10.103743620045732</v>
      </c>
      <c r="EY210" s="172">
        <f ca="1">(VLOOKUP(EY$72,INDIRECT($C$5&amp;"生成成长"),2))/((VLOOKUP($B210,INDIRECT($B$5&amp;"生成成长"),4))/(VLOOKUP(EY$72,INDIRECT($C$5&amp;"生成成长"),5))*(VLOOKUP($B$5,标准坦克设计!$B$24:$U$30,MATCH("对"&amp;LEFT($C$5,2)&amp;"输出",标准坦克设计!$B$23:$U$23,0)))*(VLOOKUP($B210,INDIRECT($B$5&amp;"生成成长"),3))*(VLOOKUP($B$5,标准坦克设计!$B$14:$K$20,9)/30))</f>
        <v>10.799263808082207</v>
      </c>
      <c r="EZ210" s="172">
        <f ca="1">(VLOOKUP(EZ$72,INDIRECT($C$5&amp;"生成成长"),2))/((VLOOKUP($B210,INDIRECT($B$5&amp;"生成成长"),4))/(VLOOKUP(EZ$72,INDIRECT($C$5&amp;"生成成长"),5))*(VLOOKUP($B$5,标准坦克设计!$B$24:$U$30,MATCH("对"&amp;LEFT($C$5,2)&amp;"输出",标准坦克设计!$B$23:$U$23,0)))*(VLOOKUP($B210,INDIRECT($B$5&amp;"生成成长"),3))*(VLOOKUP($B$5,标准坦克设计!$B$14:$K$20,9)/30))</f>
        <v>11.517932928246974</v>
      </c>
      <c r="FA210" s="172">
        <f ca="1">(VLOOKUP(FA$72,INDIRECT($C$5&amp;"生成成长"),2))/((VLOOKUP($B210,INDIRECT($B$5&amp;"生成成长"),4))/(VLOOKUP(FA$72,INDIRECT($C$5&amp;"生成成长"),5))*(VLOOKUP($B$5,标准坦克设计!$B$24:$U$30,MATCH("对"&amp;LEFT($C$5,2)&amp;"输出",标准坦克设计!$B$23:$U$23,0)))*(VLOOKUP($B210,INDIRECT($B$5&amp;"生成成长"),3))*(VLOOKUP($B$5,标准坦克设计!$B$14:$K$20,9)/30))</f>
        <v>12.259750980540035</v>
      </c>
      <c r="FB210" s="172">
        <f ca="1">(VLOOKUP(FB$72,INDIRECT($C$5&amp;"生成成长"),2))/((VLOOKUP($B210,INDIRECT($B$5&amp;"生成成长"),4))/(VLOOKUP(FB$72,INDIRECT($C$5&amp;"生成成长"),5))*(VLOOKUP($B$5,标准坦克设计!$B$24:$U$30,MATCH("对"&amp;LEFT($C$5,2)&amp;"输出",标准坦克设计!$B$23:$U$23,0)))*(VLOOKUP($B210,INDIRECT($B$5&amp;"生成成长"),3))*(VLOOKUP($B$5,标准坦克设计!$B$14:$K$20,9)/30))</f>
        <v>13.024717964961393</v>
      </c>
      <c r="FC210" s="172">
        <f ca="1">(VLOOKUP(FC$72,INDIRECT($C$5&amp;"生成成长"),2))/((VLOOKUP($B210,INDIRECT($B$5&amp;"生成成长"),4))/(VLOOKUP(FC$72,INDIRECT($C$5&amp;"生成成长"),5))*(VLOOKUP($B$5,标准坦克设计!$B$24:$U$30,MATCH("对"&amp;LEFT($C$5,2)&amp;"输出",标准坦克设计!$B$23:$U$23,0)))*(VLOOKUP($B210,INDIRECT($B$5&amp;"生成成长"),3))*(VLOOKUP($B$5,标准坦克设计!$B$14:$K$20,9)/30))</f>
        <v>13.812833881511043</v>
      </c>
      <c r="FD210" s="172">
        <f ca="1">(VLOOKUP(FD$72,INDIRECT($C$5&amp;"生成成长"),2))/((VLOOKUP($B210,INDIRECT($B$5&amp;"生成成长"),4))/(VLOOKUP(FD$72,INDIRECT($C$5&amp;"生成成长"),5))*(VLOOKUP($B$5,标准坦克设计!$B$24:$U$30,MATCH("对"&amp;LEFT($C$5,2)&amp;"输出",标准坦克设计!$B$23:$U$23,0)))*(VLOOKUP($B210,INDIRECT($B$5&amp;"生成成长"),3))*(VLOOKUP($B$5,标准坦克设计!$B$14:$K$20,9)/30))</f>
        <v>14.624098730188983</v>
      </c>
      <c r="FE210" s="172">
        <f ca="1">(VLOOKUP(FE$72,INDIRECT($C$5&amp;"生成成长"),2))/((VLOOKUP($B210,INDIRECT($B$5&amp;"生成成长"),4))/(VLOOKUP(FE$72,INDIRECT($C$5&amp;"生成成长"),5))*(VLOOKUP($B$5,标准坦克设计!$B$24:$U$30,MATCH("对"&amp;LEFT($C$5,2)&amp;"输出",标准坦克设计!$B$23:$U$23,0)))*(VLOOKUP($B210,INDIRECT($B$5&amp;"生成成长"),3))*(VLOOKUP($B$5,标准坦克设计!$B$14:$K$20,9)/30))</f>
        <v>15.612711182858076</v>
      </c>
      <c r="FF210" s="172">
        <f ca="1">(VLOOKUP(FF$72,INDIRECT($C$5&amp;"生成成长"),2))/((VLOOKUP($B210,INDIRECT($B$5&amp;"生成成长"),4))/(VLOOKUP(FF$72,INDIRECT($C$5&amp;"生成成长"),5))*(VLOOKUP($B$5,标准坦克设计!$B$24:$U$30,MATCH("对"&amp;LEFT($C$5,2)&amp;"输出",标准坦克设计!$B$23:$U$23,0)))*(VLOOKUP($B210,INDIRECT($B$5&amp;"生成成长"),3))*(VLOOKUP($B$5,标准坦克设计!$B$14:$K$20,9)/30))</f>
        <v>16.633655615111316</v>
      </c>
      <c r="FG210" s="172">
        <f ca="1">(VLOOKUP(FG$72,INDIRECT($C$5&amp;"生成成长"),2))/((VLOOKUP($B210,INDIRECT($B$5&amp;"生成成长"),4))/(VLOOKUP(FG$72,INDIRECT($C$5&amp;"生成成长"),5))*(VLOOKUP($B$5,标准坦克设计!$B$24:$U$30,MATCH("对"&amp;LEFT($C$5,2)&amp;"输出",标准坦克设计!$B$23:$U$23,0)))*(VLOOKUP($B210,INDIRECT($B$5&amp;"生成成长"),3))*(VLOOKUP($B$5,标准坦克设计!$B$14:$K$20,9)/30))</f>
        <v>17.686932026948696</v>
      </c>
      <c r="FH210" s="172">
        <f ca="1">(VLOOKUP(FH$72,INDIRECT($C$5&amp;"生成成长"),2))/((VLOOKUP($B210,INDIRECT($B$5&amp;"生成成长"),4))/(VLOOKUP(FH$72,INDIRECT($C$5&amp;"生成成长"),5))*(VLOOKUP($B$5,标准坦克设计!$B$24:$U$30,MATCH("对"&amp;LEFT($C$5,2)&amp;"输出",标准坦克设计!$B$23:$U$23,0)))*(VLOOKUP($B210,INDIRECT($B$5&amp;"生成成长"),3))*(VLOOKUP($B$5,标准坦克设计!$B$14:$K$20,9)/30))</f>
        <v>18.772540418370227</v>
      </c>
      <c r="FI210" s="172">
        <f ca="1">(VLOOKUP(FI$72,INDIRECT($C$5&amp;"生成成长"),2))/((VLOOKUP($B210,INDIRECT($B$5&amp;"生成成长"),4))/(VLOOKUP(FI$72,INDIRECT($C$5&amp;"生成成长"),5))*(VLOOKUP($B$5,标准坦克设计!$B$24:$U$30,MATCH("对"&amp;LEFT($C$5,2)&amp;"输出",标准坦克设计!$B$23:$U$23,0)))*(VLOOKUP($B210,INDIRECT($B$5&amp;"生成成长"),3))*(VLOOKUP($B$5,标准坦克设计!$B$14:$K$20,9)/30))</f>
        <v>19.890480789375903</v>
      </c>
      <c r="FJ210" s="172">
        <f ca="1">(VLOOKUP(FJ$72,INDIRECT($C$5&amp;"生成成长"),2))/((VLOOKUP($B210,INDIRECT($B$5&amp;"生成成长"),4))/(VLOOKUP(FJ$72,INDIRECT($C$5&amp;"生成成长"),5))*(VLOOKUP($B$5,标准坦克设计!$B$24:$U$30,MATCH("对"&amp;LEFT($C$5,2)&amp;"输出",标准坦克设计!$B$23:$U$23,0)))*(VLOOKUP($B210,INDIRECT($B$5&amp;"生成成长"),3))*(VLOOKUP($B$5,标准坦克设计!$B$14:$K$20,9)/30))</f>
        <v>21.040753139965727</v>
      </c>
      <c r="FK210" s="172">
        <f ca="1">(VLOOKUP(FK$72,INDIRECT($C$5&amp;"生成成长"),2))/((VLOOKUP($B210,INDIRECT($B$5&amp;"生成成长"),4))/(VLOOKUP(FK$72,INDIRECT($C$5&amp;"生成成长"),5))*(VLOOKUP($B$5,标准坦克设计!$B$24:$U$30,MATCH("对"&amp;LEFT($C$5,2)&amp;"输出",标准坦克设计!$B$23:$U$23,0)))*(VLOOKUP($B210,INDIRECT($B$5&amp;"生成成长"),3))*(VLOOKUP($B$5,标准坦克设计!$B$14:$K$20,9)/30))</f>
        <v>22.223357470139689</v>
      </c>
    </row>
    <row r="211" spans="1:167" x14ac:dyDescent="0.15">
      <c r="A211" s="170" t="str">
        <f t="shared" si="13"/>
        <v>T4高品质13级</v>
      </c>
      <c r="B211" s="171">
        <v>30413</v>
      </c>
      <c r="C211" s="172">
        <f ca="1">(VLOOKUP(C$72,INDIRECT($C$5&amp;"生成成长"),2))/((VLOOKUP($B211,INDIRECT($B$5&amp;"生成成长"),4))/(VLOOKUP(C$72,INDIRECT($C$5&amp;"生成成长"),5))*(VLOOKUP($B$5,标准坦克设计!$B$24:$U$30,MATCH("对"&amp;LEFT($C$5,2)&amp;"输出",标准坦克设计!$B$23:$U$23,0)))*(VLOOKUP($B211,INDIRECT($B$5&amp;"生成成长"),3))*(VLOOKUP($B$5,标准坦克设计!$B$14:$K$20,9)/30))</f>
        <v>0.88607430129368681</v>
      </c>
      <c r="D211" s="172">
        <f ca="1">(VLOOKUP(D$72,INDIRECT($C$5&amp;"生成成长"),2))/((VLOOKUP($B211,INDIRECT($B$5&amp;"生成成长"),4))/(VLOOKUP(D$72,INDIRECT($C$5&amp;"生成成长"),5))*(VLOOKUP($B$5,标准坦克设计!$B$24:$U$30,MATCH("对"&amp;LEFT($C$5,2)&amp;"输出",标准坦克设计!$B$23:$U$23,0)))*(VLOOKUP($B211,INDIRECT($B$5&amp;"生成成长"),3))*(VLOOKUP($B$5,标准坦克设计!$B$14:$K$20,9)/30))</f>
        <v>0.99559308493358667</v>
      </c>
      <c r="E211" s="172">
        <f ca="1">(VLOOKUP(E$72,INDIRECT($C$5&amp;"生成成长"),2))/((VLOOKUP($B211,INDIRECT($B$5&amp;"生成成长"),4))/(VLOOKUP(E$72,INDIRECT($C$5&amp;"生成成长"),5))*(VLOOKUP($B$5,标准坦克设计!$B$24:$U$30,MATCH("对"&amp;LEFT($C$5,2)&amp;"输出",标准坦克设计!$B$23:$U$23,0)))*(VLOOKUP($B211,INDIRECT($B$5&amp;"生成成长"),3))*(VLOOKUP($B$5,标准坦克设计!$B$14:$K$20,9)/30))</f>
        <v>1.1114916035428006</v>
      </c>
      <c r="F211" s="172">
        <f ca="1">(VLOOKUP(F$72,INDIRECT($C$5&amp;"生成成长"),2))/((VLOOKUP($B211,INDIRECT($B$5&amp;"生成成长"),4))/(VLOOKUP(F$72,INDIRECT($C$5&amp;"生成成长"),5))*(VLOOKUP($B$5,标准坦克设计!$B$24:$U$30,MATCH("对"&amp;LEFT($C$5,2)&amp;"输出",标准坦克设计!$B$23:$U$23,0)))*(VLOOKUP($B211,INDIRECT($B$5&amp;"生成成长"),3))*(VLOOKUP($B$5,标准坦克设计!$B$14:$K$20,9)/30))</f>
        <v>1.2337698571213296</v>
      </c>
      <c r="G211" s="172">
        <f ca="1">(VLOOKUP(G$72,INDIRECT($C$5&amp;"生成成长"),2))/((VLOOKUP($B211,INDIRECT($B$5&amp;"生成成长"),4))/(VLOOKUP(G$72,INDIRECT($C$5&amp;"生成成长"),5))*(VLOOKUP($B$5,标准坦克设计!$B$24:$U$30,MATCH("对"&amp;LEFT($C$5,2)&amp;"输出",标准坦克设计!$B$23:$U$23,0)))*(VLOOKUP($B211,INDIRECT($B$5&amp;"生成成长"),3))*(VLOOKUP($B$5,标准坦克设计!$B$14:$K$20,9)/30))</f>
        <v>1.3624278456691727</v>
      </c>
      <c r="H211" s="172">
        <f ca="1">(VLOOKUP(H$72,INDIRECT($C$5&amp;"生成成长"),2))/((VLOOKUP($B211,INDIRECT($B$5&amp;"生成成长"),4))/(VLOOKUP(H$72,INDIRECT($C$5&amp;"生成成长"),5))*(VLOOKUP($B$5,标准坦克设计!$B$24:$U$30,MATCH("对"&amp;LEFT($C$5,2)&amp;"输出",标准坦克设计!$B$23:$U$23,0)))*(VLOOKUP($B211,INDIRECT($B$5&amp;"生成成长"),3))*(VLOOKUP($B$5,标准坦克设计!$B$14:$K$20,9)/30))</f>
        <v>1.192301579820785</v>
      </c>
      <c r="I211" s="172">
        <f ca="1">(VLOOKUP(I$72,INDIRECT($C$5&amp;"生成成长"),2))/((VLOOKUP($B211,INDIRECT($B$5&amp;"生成成长"),4))/(VLOOKUP(I$72,INDIRECT($C$5&amp;"生成成长"),5))*(VLOOKUP($B$5,标准坦克设计!$B$24:$U$30,MATCH("对"&amp;LEFT($C$5,2)&amp;"输出",标准坦克设计!$B$23:$U$23,0)))*(VLOOKUP($B211,INDIRECT($B$5&amp;"生成成长"),3))*(VLOOKUP($B$5,标准坦克设计!$B$14:$K$20,9)/30))</f>
        <v>1.3624278456691727</v>
      </c>
      <c r="J211" s="172">
        <f ca="1">(VLOOKUP(J$72,INDIRECT($C$5&amp;"生成成长"),2))/((VLOOKUP($B211,INDIRECT($B$5&amp;"生成成长"),4))/(VLOOKUP(J$72,INDIRECT($C$5&amp;"生成成长"),5))*(VLOOKUP($B$5,标准坦克设计!$B$24:$U$30,MATCH("对"&amp;LEFT($C$5,2)&amp;"输出",标准坦克设计!$B$23:$U$23,0)))*(VLOOKUP($B211,INDIRECT($B$5&amp;"生成成长"),3))*(VLOOKUP($B$5,标准坦克设计!$B$14:$K$20,9)/30))</f>
        <v>1.5438958625741199</v>
      </c>
      <c r="K211" s="172">
        <f ca="1">(VLOOKUP(K$72,INDIRECT($C$5&amp;"生成成长"),2))/((VLOOKUP($B211,INDIRECT($B$5&amp;"生成成长"),4))/(VLOOKUP(K$72,INDIRECT($C$5&amp;"生成成长"),5))*(VLOOKUP($B$5,标准坦克设计!$B$24:$U$30,MATCH("对"&amp;LEFT($C$5,2)&amp;"输出",标准坦克设计!$B$23:$U$23,0)))*(VLOOKUP($B211,INDIRECT($B$5&amp;"生成成长"),3))*(VLOOKUP($B$5,标准坦克设计!$B$14:$K$20,9)/30))</f>
        <v>1.7367056305356261</v>
      </c>
      <c r="L211" s="172">
        <f ca="1">(VLOOKUP(L$72,INDIRECT($C$5&amp;"生成成长"),2))/((VLOOKUP($B211,INDIRECT($B$5&amp;"生成成长"),4))/(VLOOKUP(L$72,INDIRECT($C$5&amp;"生成成长"),5))*(VLOOKUP($B$5,标准坦克设计!$B$24:$U$30,MATCH("对"&amp;LEFT($C$5,2)&amp;"输出",标准坦克设计!$B$23:$U$23,0)))*(VLOOKUP($B211,INDIRECT($B$5&amp;"生成成长"),3))*(VLOOKUP($B$5,标准坦克设计!$B$14:$K$20,9)/30))</f>
        <v>1.9408571495536917</v>
      </c>
      <c r="M211" s="172">
        <f ca="1">(VLOOKUP(M$72,INDIRECT($C$5&amp;"生成成长"),2))/((VLOOKUP($B211,INDIRECT($B$5&amp;"生成成长"),4))/(VLOOKUP(M$72,INDIRECT($C$5&amp;"生成成长"),5))*(VLOOKUP($B$5,标准坦克设计!$B$24:$U$30,MATCH("对"&amp;LEFT($C$5,2)&amp;"输出",标准坦克设计!$B$23:$U$23,0)))*(VLOOKUP($B211,INDIRECT($B$5&amp;"生成成长"),3))*(VLOOKUP($B$5,标准坦克设计!$B$14:$K$20,9)/30))</f>
        <v>2.1563504196283163</v>
      </c>
      <c r="N211" s="172">
        <f ca="1">(VLOOKUP(N$72,INDIRECT($C$5&amp;"生成成长"),2))/((VLOOKUP($B211,INDIRECT($B$5&amp;"生成成长"),4))/(VLOOKUP(N$72,INDIRECT($C$5&amp;"生成成长"),5))*(VLOOKUP($B$5,标准坦克设计!$B$24:$U$30,MATCH("对"&amp;LEFT($C$5,2)&amp;"输出",标准坦克设计!$B$23:$U$23,0)))*(VLOOKUP($B211,INDIRECT($B$5&amp;"生成成长"),3))*(VLOOKUP($B$5,标准坦克设计!$B$14:$K$20,9)/30))</f>
        <v>2.3831854407595001</v>
      </c>
      <c r="O211" s="172">
        <f ca="1">(VLOOKUP(O$72,INDIRECT($C$5&amp;"生成成长"),2))/((VLOOKUP($B211,INDIRECT($B$5&amp;"生成成长"),4))/(VLOOKUP(O$72,INDIRECT($C$5&amp;"生成成长"),5))*(VLOOKUP($B$5,标准坦克设计!$B$24:$U$30,MATCH("对"&amp;LEFT($C$5,2)&amp;"输出",标准坦克设计!$B$23:$U$23,0)))*(VLOOKUP($B211,INDIRECT($B$5&amp;"生成成长"),3))*(VLOOKUP($B$5,标准坦克设计!$B$14:$K$20,9)/30))</f>
        <v>1.8119333387154604</v>
      </c>
      <c r="P211" s="172">
        <f ca="1">(VLOOKUP(P$72,INDIRECT($C$5&amp;"生成成长"),2))/((VLOOKUP($B211,INDIRECT($B$5&amp;"生成成长"),4))/(VLOOKUP(P$72,INDIRECT($C$5&amp;"生成成长"),5))*(VLOOKUP($B$5,标准坦克设计!$B$24:$U$30,MATCH("对"&amp;LEFT($C$5,2)&amp;"输出",标准坦克设计!$B$23:$U$23,0)))*(VLOOKUP($B211,INDIRECT($B$5&amp;"生成成长"),3))*(VLOOKUP($B$5,标准坦克设计!$B$14:$K$20,9)/30))</f>
        <v>2.0471860657089342</v>
      </c>
      <c r="Q211" s="172">
        <f ca="1">(VLOOKUP(Q$72,INDIRECT($C$5&amp;"生成成长"),2))/((VLOOKUP($B211,INDIRECT($B$5&amp;"生成成长"),4))/(VLOOKUP(Q$72,INDIRECT($C$5&amp;"生成成长"),5))*(VLOOKUP($B$5,标准坦克设计!$B$24:$U$30,MATCH("对"&amp;LEFT($C$5,2)&amp;"输出",标准坦克设计!$B$23:$U$23,0)))*(VLOOKUP($B211,INDIRECT($B$5&amp;"生成成长"),3))*(VLOOKUP($B$5,标准坦克设计!$B$14:$K$20,9)/30))</f>
        <v>2.2967931963833657</v>
      </c>
      <c r="R211" s="172">
        <f ca="1">(VLOOKUP(R$72,INDIRECT($C$5&amp;"生成成长"),2))/((VLOOKUP($B211,INDIRECT($B$5&amp;"生成成长"),4))/(VLOOKUP(R$72,INDIRECT($C$5&amp;"生成成长"),5))*(VLOOKUP($B$5,标准坦克设计!$B$24:$U$30,MATCH("对"&amp;LEFT($C$5,2)&amp;"输出",标准坦克设计!$B$23:$U$23,0)))*(VLOOKUP($B211,INDIRECT($B$5&amp;"生成成长"),3))*(VLOOKUP($B$5,标准坦克设计!$B$14:$K$20,9)/30))</f>
        <v>2.560754730738755</v>
      </c>
      <c r="S211" s="172">
        <f ca="1">(VLOOKUP(S$72,INDIRECT($C$5&amp;"生成成长"),2))/((VLOOKUP($B211,INDIRECT($B$5&amp;"生成成长"),4))/(VLOOKUP(S$72,INDIRECT($C$5&amp;"生成成长"),5))*(VLOOKUP($B$5,标准坦克设计!$B$24:$U$30,MATCH("对"&amp;LEFT($C$5,2)&amp;"输出",标准坦克设计!$B$23:$U$23,0)))*(VLOOKUP($B211,INDIRECT($B$5&amp;"生成成长"),3))*(VLOOKUP($B$5,标准坦克设计!$B$14:$K$20,9)/30))</f>
        <v>2.8390706687751024</v>
      </c>
      <c r="T211" s="172">
        <f ca="1">(VLOOKUP(T$72,INDIRECT($C$5&amp;"生成成长"),2))/((VLOOKUP($B211,INDIRECT($B$5&amp;"生成成长"),4))/(VLOOKUP(T$72,INDIRECT($C$5&amp;"生成成长"),5))*(VLOOKUP($B$5,标准坦克设计!$B$24:$U$30,MATCH("对"&amp;LEFT($C$5,2)&amp;"输出",标准坦克设计!$B$23:$U$23,0)))*(VLOOKUP($B211,INDIRECT($B$5&amp;"生成成长"),3))*(VLOOKUP($B$5,标准坦克设计!$B$14:$K$20,9)/30))</f>
        <v>3.1317410104924059</v>
      </c>
      <c r="U211" s="172">
        <f ca="1">(VLOOKUP(U$72,INDIRECT($C$5&amp;"生成成长"),2))/((VLOOKUP($B211,INDIRECT($B$5&amp;"生成成长"),4))/(VLOOKUP(U$72,INDIRECT($C$5&amp;"生成成长"),5))*(VLOOKUP($B$5,标准坦克设计!$B$24:$U$30,MATCH("对"&amp;LEFT($C$5,2)&amp;"输出",标准坦克设计!$B$23:$U$23,0)))*(VLOOKUP($B211,INDIRECT($B$5&amp;"生成成长"),3))*(VLOOKUP($B$5,标准坦克设计!$B$14:$K$20,9)/30))</f>
        <v>3.4387657558906688</v>
      </c>
      <c r="V211" s="172">
        <f ca="1">(VLOOKUP(V$72,INDIRECT($C$5&amp;"生成成长"),2))/((VLOOKUP($B211,INDIRECT($B$5&amp;"生成成长"),4))/(VLOOKUP(V$72,INDIRECT($C$5&amp;"生成成长"),5))*(VLOOKUP($B$5,标准坦克设计!$B$24:$U$30,MATCH("对"&amp;LEFT($C$5,2)&amp;"输出",标准坦克设计!$B$23:$U$23,0)))*(VLOOKUP($B211,INDIRECT($B$5&amp;"生成成长"),3))*(VLOOKUP($B$5,标准坦克设计!$B$14:$K$20,9)/30))</f>
        <v>3.7601449049698892</v>
      </c>
      <c r="W211" s="172">
        <f ca="1">(VLOOKUP(W$72,INDIRECT($C$5&amp;"生成成长"),2))/((VLOOKUP($B211,INDIRECT($B$5&amp;"生成成长"),4))/(VLOOKUP(W$72,INDIRECT($C$5&amp;"生成成长"),5))*(VLOOKUP($B$5,标准坦克设计!$B$24:$U$30,MATCH("对"&amp;LEFT($C$5,2)&amp;"输出",标准坦克设计!$B$23:$U$23,0)))*(VLOOKUP($B211,INDIRECT($B$5&amp;"生成成长"),3))*(VLOOKUP($B$5,标准坦克设计!$B$14:$K$20,9)/30))</f>
        <v>4.0958784577300671</v>
      </c>
      <c r="X211" s="172">
        <f ca="1">(VLOOKUP(X$72,INDIRECT($C$5&amp;"生成成长"),2))/((VLOOKUP($B211,INDIRECT($B$5&amp;"生成成长"),4))/(VLOOKUP(X$72,INDIRECT($C$5&amp;"生成成长"),5))*(VLOOKUP($B$5,标准坦克设计!$B$24:$U$30,MATCH("对"&amp;LEFT($C$5,2)&amp;"输出",标准坦克设计!$B$23:$U$23,0)))*(VLOOKUP($B211,INDIRECT($B$5&amp;"生成成长"),3))*(VLOOKUP($B$5,标准坦克设计!$B$14:$K$20,9)/30))</f>
        <v>2.9673742276024284</v>
      </c>
      <c r="Y211" s="172">
        <f ca="1">(VLOOKUP(Y$72,INDIRECT($C$5&amp;"生成成长"),2))/((VLOOKUP($B211,INDIRECT($B$5&amp;"生成成长"),4))/(VLOOKUP(Y$72,INDIRECT($C$5&amp;"生成成长"),5))*(VLOOKUP($B$5,标准坦克设计!$B$24:$U$30,MATCH("对"&amp;LEFT($C$5,2)&amp;"输出",标准坦克设计!$B$23:$U$23,0)))*(VLOOKUP($B211,INDIRECT($B$5&amp;"生成成长"),3))*(VLOOKUP($B$5,标准坦克设计!$B$14:$K$20,9)/30))</f>
        <v>3.3005381648888537</v>
      </c>
      <c r="Z211" s="172">
        <f ca="1">(VLOOKUP(Z$72,INDIRECT($C$5&amp;"生成成长"),2))/((VLOOKUP($B211,INDIRECT($B$5&amp;"生成成长"),4))/(VLOOKUP(Z$72,INDIRECT($C$5&amp;"生成成长"),5))*(VLOOKUP($B$5,标准坦克设计!$B$24:$U$30,MATCH("对"&amp;LEFT($C$5,2)&amp;"输出",标准坦克设计!$B$23:$U$23,0)))*(VLOOKUP($B211,INDIRECT($B$5&amp;"生成成长"),3))*(VLOOKUP($B$5,标准坦克设计!$B$14:$K$20,9)/30))</f>
        <v>3.6514235882011543</v>
      </c>
      <c r="AA211" s="172">
        <f ca="1">(VLOOKUP(AA$72,INDIRECT($C$5&amp;"生成成长"),2))/((VLOOKUP($B211,INDIRECT($B$5&amp;"生成成长"),4))/(VLOOKUP(AA$72,INDIRECT($C$5&amp;"生成成长"),5))*(VLOOKUP($B$5,标准坦克设计!$B$24:$U$30,MATCH("对"&amp;LEFT($C$5,2)&amp;"输出",标准坦克设计!$B$23:$U$23,0)))*(VLOOKUP($B211,INDIRECT($B$5&amp;"生成成长"),3))*(VLOOKUP($B$5,标准坦克设计!$B$14:$K$20,9)/30))</f>
        <v>4.0200304975393282</v>
      </c>
      <c r="AB211" s="172">
        <f ca="1">(VLOOKUP(AB$72,INDIRECT($C$5&amp;"生成成长"),2))/((VLOOKUP($B211,INDIRECT($B$5&amp;"生成成长"),4))/(VLOOKUP(AB$72,INDIRECT($C$5&amp;"生成成长"),5))*(VLOOKUP($B$5,标准坦克设计!$B$24:$U$30,MATCH("对"&amp;LEFT($C$5,2)&amp;"输出",标准坦克设计!$B$23:$U$23,0)))*(VLOOKUP($B211,INDIRECT($B$5&amp;"生成成长"),3))*(VLOOKUP($B$5,标准坦克设计!$B$14:$K$20,9)/30))</f>
        <v>4.4063588929033752</v>
      </c>
      <c r="AC211" s="172">
        <f ca="1">(VLOOKUP(AC$72,INDIRECT($C$5&amp;"生成成长"),2))/((VLOOKUP($B211,INDIRECT($B$5&amp;"生成成长"),4))/(VLOOKUP(AC$72,INDIRECT($C$5&amp;"生成成长"),5))*(VLOOKUP($B$5,标准坦克设计!$B$24:$U$30,MATCH("对"&amp;LEFT($C$5,2)&amp;"输出",标准坦克设计!$B$23:$U$23,0)))*(VLOOKUP($B211,INDIRECT($B$5&amp;"生成成长"),3))*(VLOOKUP($B$5,标准坦克设计!$B$14:$K$20,9)/30))</f>
        <v>4.8104087742932968</v>
      </c>
      <c r="AD211" s="172">
        <f ca="1">(VLOOKUP(AD$72,INDIRECT($C$5&amp;"生成成长"),2))/((VLOOKUP($B211,INDIRECT($B$5&amp;"生成成长"),4))/(VLOOKUP(AD$72,INDIRECT($C$5&amp;"生成成长"),5))*(VLOOKUP($B$5,标准坦克设计!$B$24:$U$30,MATCH("对"&amp;LEFT($C$5,2)&amp;"输出",标准坦克设计!$B$23:$U$23,0)))*(VLOOKUP($B211,INDIRECT($B$5&amp;"生成成长"),3))*(VLOOKUP($B$5,标准坦克设计!$B$14:$K$20,9)/30))</f>
        <v>5.2321801417090912</v>
      </c>
      <c r="AE211" s="172">
        <f ca="1">(VLOOKUP(AE$72,INDIRECT($C$5&amp;"生成成长"),2))/((VLOOKUP($B211,INDIRECT($B$5&amp;"生成成长"),4))/(VLOOKUP(AE$72,INDIRECT($C$5&amp;"生成成长"),5))*(VLOOKUP($B$5,标准坦克设计!$B$24:$U$30,MATCH("对"&amp;LEFT($C$5,2)&amp;"输出",标准坦克设计!$B$23:$U$23,0)))*(VLOOKUP($B211,INDIRECT($B$5&amp;"生成成长"),3))*(VLOOKUP($B$5,标准坦克设计!$B$14:$K$20,9)/30))</f>
        <v>5.6716729951507601</v>
      </c>
      <c r="AF211" s="172">
        <f ca="1">(VLOOKUP(AF$72,INDIRECT($C$5&amp;"生成成长"),2))/((VLOOKUP($B211,INDIRECT($B$5&amp;"生成成长"),4))/(VLOOKUP(AF$72,INDIRECT($C$5&amp;"生成成长"),5))*(VLOOKUP($B$5,标准坦克设计!$B$24:$U$30,MATCH("对"&amp;LEFT($C$5,2)&amp;"输出",标准坦克设计!$B$23:$U$23,0)))*(VLOOKUP($B211,INDIRECT($B$5&amp;"生成成长"),3))*(VLOOKUP($B$5,标准坦克设计!$B$14:$K$20,9)/30))</f>
        <v>6.1288873346183026</v>
      </c>
      <c r="AG211" s="172">
        <f ca="1">(VLOOKUP(AG$72,INDIRECT($C$5&amp;"生成成长"),2))/((VLOOKUP($B211,INDIRECT($B$5&amp;"生成成长"),4))/(VLOOKUP(AG$72,INDIRECT($C$5&amp;"生成成长"),5))*(VLOOKUP($B$5,标准坦克设计!$B$24:$U$30,MATCH("对"&amp;LEFT($C$5,2)&amp;"输出",标准坦克设计!$B$23:$U$23,0)))*(VLOOKUP($B211,INDIRECT($B$5&amp;"生成成长"),3))*(VLOOKUP($B$5,标准坦克设计!$B$14:$K$20,9)/30))</f>
        <v>6.6038231601117197</v>
      </c>
      <c r="AH211" s="172">
        <f ca="1">(VLOOKUP(AH$72,INDIRECT($C$5&amp;"生成成长"),2))/((VLOOKUP($B211,INDIRECT($B$5&amp;"生成成长"),4))/(VLOOKUP(AH$72,INDIRECT($C$5&amp;"生成成长"),5))*(VLOOKUP($B$5,标准坦克设计!$B$24:$U$30,MATCH("对"&amp;LEFT($C$5,2)&amp;"输出",标准坦克设计!$B$23:$U$23,0)))*(VLOOKUP($B211,INDIRECT($B$5&amp;"生成成长"),3))*(VLOOKUP($B$5,标准坦克设计!$B$14:$K$20,9)/30))</f>
        <v>7.0964804716310077</v>
      </c>
      <c r="AI211" s="172">
        <f ca="1">(VLOOKUP(AI$72,INDIRECT($C$5&amp;"生成成长"),2))/((VLOOKUP($B211,INDIRECT($B$5&amp;"生成成长"),4))/(VLOOKUP(AI$72,INDIRECT($C$5&amp;"生成成长"),5))*(VLOOKUP($B$5,标准坦克设计!$B$24:$U$30,MATCH("对"&amp;LEFT($C$5,2)&amp;"输出",标准坦克设计!$B$23:$U$23,0)))*(VLOOKUP($B211,INDIRECT($B$5&amp;"生成成长"),3))*(VLOOKUP($B$5,标准坦克设计!$B$14:$K$20,9)/30))</f>
        <v>5.0190792722479607</v>
      </c>
      <c r="AJ211" s="172">
        <f ca="1">(VLOOKUP(AJ$72,INDIRECT($C$5&amp;"生成成长"),2))/((VLOOKUP($B211,INDIRECT($B$5&amp;"生成成长"),4))/(VLOOKUP(AJ$72,INDIRECT($C$5&amp;"生成成长"),5))*(VLOOKUP($B$5,标准坦克设计!$B$24:$U$30,MATCH("对"&amp;LEFT($C$5,2)&amp;"输出",标准坦克设计!$B$23:$U$23,0)))*(VLOOKUP($B211,INDIRECT($B$5&amp;"生成成长"),3))*(VLOOKUP($B$5,标准坦克设计!$B$14:$K$20,9)/30))</f>
        <v>5.4937492754509876</v>
      </c>
      <c r="AK211" s="172">
        <f ca="1">(VLOOKUP(AK$72,INDIRECT($C$5&amp;"生成成长"),2))/((VLOOKUP($B211,INDIRECT($B$5&amp;"生成成长"),4))/(VLOOKUP(AK$72,INDIRECT($C$5&amp;"生成成长"),5))*(VLOOKUP($B$5,标准坦克设计!$B$24:$U$30,MATCH("对"&amp;LEFT($C$5,2)&amp;"输出",标准坦克设计!$B$23:$U$23,0)))*(VLOOKUP($B211,INDIRECT($B$5&amp;"生成成长"),3))*(VLOOKUP($B$5,标准坦克设计!$B$14:$K$20,9)/30))</f>
        <v>5.9898622767453231</v>
      </c>
      <c r="AL211" s="172">
        <f ca="1">(VLOOKUP(AL$72,INDIRECT($C$5&amp;"生成成长"),2))/((VLOOKUP($B211,INDIRECT($B$5&amp;"生成成长"),4))/(VLOOKUP(AL$72,INDIRECT($C$5&amp;"生成成长"),5))*(VLOOKUP($B$5,标准坦克设计!$B$24:$U$30,MATCH("对"&amp;LEFT($C$5,2)&amp;"输出",标准坦克设计!$B$23:$U$23,0)))*(VLOOKUP($B211,INDIRECT($B$5&amp;"生成成长"),3))*(VLOOKUP($B$5,标准坦克设计!$B$14:$K$20,9)/30))</f>
        <v>6.5074182761309656</v>
      </c>
      <c r="AM211" s="172">
        <f ca="1">(VLOOKUP(AM$72,INDIRECT($C$5&amp;"生成成长"),2))/((VLOOKUP($B211,INDIRECT($B$5&amp;"生成成长"),4))/(VLOOKUP(AM$72,INDIRECT($C$5&amp;"生成成长"),5))*(VLOOKUP($B$5,标准坦克设计!$B$24:$U$30,MATCH("对"&amp;LEFT($C$5,2)&amp;"输出",标准坦克设计!$B$23:$U$23,0)))*(VLOOKUP($B211,INDIRECT($B$5&amp;"生成成长"),3))*(VLOOKUP($B$5,标准坦克设计!$B$14:$K$20,9)/30))</f>
        <v>7.0464172736079149</v>
      </c>
      <c r="AN211" s="172">
        <f ca="1">(VLOOKUP(AN$72,INDIRECT($C$5&amp;"生成成长"),2))/((VLOOKUP($B211,INDIRECT($B$5&amp;"生成成长"),4))/(VLOOKUP(AN$72,INDIRECT($C$5&amp;"生成成长"),5))*(VLOOKUP($B$5,标准坦克设计!$B$24:$U$30,MATCH("对"&amp;LEFT($C$5,2)&amp;"输出",标准坦克设计!$B$23:$U$23,0)))*(VLOOKUP($B211,INDIRECT($B$5&amp;"生成成长"),3))*(VLOOKUP($B$5,标准坦克设计!$B$14:$K$20,9)/30))</f>
        <v>7.6068592691761721</v>
      </c>
      <c r="AO211" s="172">
        <f ca="1">(VLOOKUP(AO$72,INDIRECT($C$5&amp;"生成成长"),2))/((VLOOKUP($B211,INDIRECT($B$5&amp;"生成成长"),4))/(VLOOKUP(AO$72,INDIRECT($C$5&amp;"生成成长"),5))*(VLOOKUP($B$5,标准坦克设计!$B$24:$U$30,MATCH("对"&amp;LEFT($C$5,2)&amp;"输出",标准坦克设计!$B$23:$U$23,0)))*(VLOOKUP($B211,INDIRECT($B$5&amp;"生成成长"),3))*(VLOOKUP($B$5,标准坦克设计!$B$14:$K$20,9)/30))</f>
        <v>8.188744262835737</v>
      </c>
      <c r="AP211" s="172">
        <f ca="1">(VLOOKUP(AP$72,INDIRECT($C$5&amp;"生成成长"),2))/((VLOOKUP($B211,INDIRECT($B$5&amp;"生成成长"),4))/(VLOOKUP(AP$72,INDIRECT($C$5&amp;"生成成长"),5))*(VLOOKUP($B$5,标准坦克设计!$B$24:$U$30,MATCH("对"&amp;LEFT($C$5,2)&amp;"输出",标准坦克设计!$B$23:$U$23,0)))*(VLOOKUP($B211,INDIRECT($B$5&amp;"生成成长"),3))*(VLOOKUP($B$5,标准坦克设计!$B$14:$K$20,9)/30))</f>
        <v>8.7920722545866088</v>
      </c>
      <c r="AQ211" s="172">
        <f ca="1">(VLOOKUP(AQ$72,INDIRECT($C$5&amp;"生成成长"),2))/((VLOOKUP($B211,INDIRECT($B$5&amp;"生成成长"),4))/(VLOOKUP(AQ$72,INDIRECT($C$5&amp;"生成成长"),5))*(VLOOKUP($B$5,标准坦克设计!$B$24:$U$30,MATCH("对"&amp;LEFT($C$5,2)&amp;"输出",标准坦克设计!$B$23:$U$23,0)))*(VLOOKUP($B211,INDIRECT($B$5&amp;"生成成长"),3))*(VLOOKUP($B$5,标准坦克设计!$B$14:$K$20,9)/30))</f>
        <v>9.4168432444287866</v>
      </c>
      <c r="AR211" s="172">
        <f ca="1">(VLOOKUP(AR$72,INDIRECT($C$5&amp;"生成成长"),2))/((VLOOKUP($B211,INDIRECT($B$5&amp;"生成成长"),4))/(VLOOKUP(AR$72,INDIRECT($C$5&amp;"生成成长"),5))*(VLOOKUP($B$5,标准坦克设计!$B$24:$U$30,MATCH("对"&amp;LEFT($C$5,2)&amp;"输出",标准坦克设计!$B$23:$U$23,0)))*(VLOOKUP($B211,INDIRECT($B$5&amp;"生成成长"),3))*(VLOOKUP($B$5,标准坦克设计!$B$14:$K$20,9)/30))</f>
        <v>10.06305723236227</v>
      </c>
      <c r="AS211" s="172">
        <f ca="1">(VLOOKUP(AS$72,INDIRECT($C$5&amp;"生成成长"),2))/((VLOOKUP($B211,INDIRECT($B$5&amp;"生成成长"),4))/(VLOOKUP(AS$72,INDIRECT($C$5&amp;"生成成长"),5))*(VLOOKUP($B$5,标准坦克设计!$B$24:$U$30,MATCH("对"&amp;LEFT($C$5,2)&amp;"输出",标准坦克设计!$B$23:$U$23,0)))*(VLOOKUP($B211,INDIRECT($B$5&amp;"生成成长"),3))*(VLOOKUP($B$5,标准坦克设计!$B$14:$K$20,9)/30))</f>
        <v>10.730714218387066</v>
      </c>
      <c r="AT211" s="172">
        <f ca="1">(VLOOKUP(AT$72,INDIRECT($C$5&amp;"生成成长"),2))/((VLOOKUP($B211,INDIRECT($B$5&amp;"生成成长"),4))/(VLOOKUP(AT$72,INDIRECT($C$5&amp;"生成成长"),5))*(VLOOKUP($B$5,标准坦克设计!$B$24:$U$30,MATCH("对"&amp;LEFT($C$5,2)&amp;"输出",标准坦克设计!$B$23:$U$23,0)))*(VLOOKUP($B211,INDIRECT($B$5&amp;"生成成长"),3))*(VLOOKUP($B$5,标准坦克设计!$B$14:$K$20,9)/30))</f>
        <v>11.419814202503165</v>
      </c>
      <c r="AU211" s="172">
        <f ca="1">(VLOOKUP(AU$72,INDIRECT($C$5&amp;"生成成长"),2))/((VLOOKUP($B211,INDIRECT($B$5&amp;"生成成长"),4))/(VLOOKUP(AU$72,INDIRECT($C$5&amp;"生成成长"),5))*(VLOOKUP($B$5,标准坦克设计!$B$24:$U$30,MATCH("对"&amp;LEFT($C$5,2)&amp;"输出",标准坦克设计!$B$23:$U$23,0)))*(VLOOKUP($B211,INDIRECT($B$5&amp;"生成成长"),3))*(VLOOKUP($B$5,标准坦克设计!$B$14:$K$20,9)/30))</f>
        <v>12.130357184710572</v>
      </c>
      <c r="AV211" s="172">
        <f ca="1">(VLOOKUP(AV$72,INDIRECT($C$5&amp;"生成成长"),2))/((VLOOKUP($B211,INDIRECT($B$5&amp;"生成成长"),4))/(VLOOKUP(AV$72,INDIRECT($C$5&amp;"生成成长"),5))*(VLOOKUP($B$5,标准坦克设计!$B$24:$U$30,MATCH("对"&amp;LEFT($C$5,2)&amp;"输出",标准坦克设计!$B$23:$U$23,0)))*(VLOOKUP($B211,INDIRECT($B$5&amp;"生成成长"),3))*(VLOOKUP($B$5,标准坦克设计!$B$14:$K$20,9)/30))</f>
        <v>1.2337698571213296</v>
      </c>
      <c r="AW211" s="172">
        <f ca="1">(VLOOKUP(AW$72,INDIRECT($C$5&amp;"生成成长"),2))/((VLOOKUP($B211,INDIRECT($B$5&amp;"生成成长"),4))/(VLOOKUP(AW$72,INDIRECT($C$5&amp;"生成成长"),5))*(VLOOKUP($B$5,标准坦克设计!$B$24:$U$30,MATCH("对"&amp;LEFT($C$5,2)&amp;"输出",标准坦克设计!$B$23:$U$23,0)))*(VLOOKUP($B211,INDIRECT($B$5&amp;"生成成长"),3))*(VLOOKUP($B$5,标准坦克设计!$B$14:$K$20,9)/30))</f>
        <v>1.4067315607338571</v>
      </c>
      <c r="AX211" s="172">
        <f ca="1">(VLOOKUP(AX$72,INDIRECT($C$5&amp;"生成成长"),2))/((VLOOKUP($B211,INDIRECT($B$5&amp;"生成成长"),4))/(VLOOKUP(AX$72,INDIRECT($C$5&amp;"生成成长"),5))*(VLOOKUP($B$5,标准坦克设计!$B$24:$U$30,MATCH("对"&amp;LEFT($C$5,2)&amp;"输出",标准坦克设计!$B$23:$U$23,0)))*(VLOOKUP($B211,INDIRECT($B$5&amp;"生成成长"),3))*(VLOOKUP($B$5,标准坦克设计!$B$14:$K$20,9)/30))</f>
        <v>1.5910350154029438</v>
      </c>
      <c r="AY211" s="172">
        <f ca="1">(VLOOKUP(AY$72,INDIRECT($C$5&amp;"生成成长"),2))/((VLOOKUP($B211,INDIRECT($B$5&amp;"生成成长"),4))/(VLOOKUP(AY$72,INDIRECT($C$5&amp;"生成成长"),5))*(VLOOKUP($B$5,标准坦克设计!$B$24:$U$30,MATCH("对"&amp;LEFT($C$5,2)&amp;"输出",标准坦克设计!$B$23:$U$23,0)))*(VLOOKUP($B211,INDIRECT($B$5&amp;"生成成长"),3))*(VLOOKUP($B$5,标准坦克设计!$B$14:$K$20,9)/30))</f>
        <v>1.7866802211285902</v>
      </c>
      <c r="AZ211" s="172">
        <f ca="1">(VLOOKUP(AZ$72,INDIRECT($C$5&amp;"生成成长"),2))/((VLOOKUP($B211,INDIRECT($B$5&amp;"生成成长"),4))/(VLOOKUP(AZ$72,INDIRECT($C$5&amp;"生成成长"),5))*(VLOOKUP($B$5,标准坦克设计!$B$24:$U$30,MATCH("对"&amp;LEFT($C$5,2)&amp;"输出",标准坦克设计!$B$23:$U$23,0)))*(VLOOKUP($B211,INDIRECT($B$5&amp;"生成成长"),3))*(VLOOKUP($B$5,标准坦克设计!$B$14:$K$20,9)/30))</f>
        <v>1.9936671779107955</v>
      </c>
      <c r="BA211" s="172">
        <f ca="1">(VLOOKUP(BA$72,INDIRECT($C$5&amp;"生成成长"),2))/((VLOOKUP($B211,INDIRECT($B$5&amp;"生成成长"),4))/(VLOOKUP(BA$72,INDIRECT($C$5&amp;"生成成长"),5))*(VLOOKUP($B$5,标准坦克设计!$B$24:$U$30,MATCH("对"&amp;LEFT($C$5,2)&amp;"输出",标准坦克设计!$B$23:$U$23,0)))*(VLOOKUP($B211,INDIRECT($B$5&amp;"生成成长"),3))*(VLOOKUP($B$5,标准坦克设计!$B$14:$K$20,9)/30))</f>
        <v>2.2119958857495599</v>
      </c>
      <c r="BB211" s="172">
        <f ca="1">(VLOOKUP(BB$72,INDIRECT($C$5&amp;"生成成长"),2))/((VLOOKUP($B211,INDIRECT($B$5&amp;"生成成长"),4))/(VLOOKUP(BB$72,INDIRECT($C$5&amp;"生成成长"),5))*(VLOOKUP($B$5,标准坦克设计!$B$24:$U$30,MATCH("对"&amp;LEFT($C$5,2)&amp;"输出",标准坦克设计!$B$23:$U$23,0)))*(VLOOKUP($B211,INDIRECT($B$5&amp;"生成成长"),3))*(VLOOKUP($B$5,标准坦克设计!$B$14:$K$20,9)/30))</f>
        <v>2.4416663446448839</v>
      </c>
      <c r="BC211" s="172">
        <f ca="1">(VLOOKUP(BC$72,INDIRECT($C$5&amp;"生成成长"),2))/((VLOOKUP($B211,INDIRECT($B$5&amp;"生成成长"),4))/(VLOOKUP(BC$72,INDIRECT($C$5&amp;"生成成长"),5))*(VLOOKUP($B$5,标准坦克设计!$B$24:$U$30,MATCH("对"&amp;LEFT($C$5,2)&amp;"输出",标准坦克设计!$B$23:$U$23,0)))*(VLOOKUP($B211,INDIRECT($B$5&amp;"生成成长"),3))*(VLOOKUP($B$5,标准坦克设计!$B$14:$K$20,9)/30))</f>
        <v>2.6826785545967664</v>
      </c>
      <c r="BD211" s="172">
        <f ca="1">(VLOOKUP(BD$72,INDIRECT($C$5&amp;"生成成长"),2))/((VLOOKUP($B211,INDIRECT($B$5&amp;"生成成长"),4))/(VLOOKUP(BD$72,INDIRECT($C$5&amp;"生成成长"),5))*(VLOOKUP($B$5,标准坦克设计!$B$24:$U$30,MATCH("对"&amp;LEFT($C$5,2)&amp;"输出",标准坦克设计!$B$23:$U$23,0)))*(VLOOKUP($B211,INDIRECT($B$5&amp;"生成成长"),3))*(VLOOKUP($B$5,标准坦克设计!$B$14:$K$20,9)/30))</f>
        <v>2.9673742276024284</v>
      </c>
      <c r="BE211" s="172">
        <f ca="1">(VLOOKUP(BE$72,INDIRECT($C$5&amp;"生成成长"),2))/((VLOOKUP($B211,INDIRECT($B$5&amp;"生成成长"),4))/(VLOOKUP(BE$72,INDIRECT($C$5&amp;"生成成长"),5))*(VLOOKUP($B$5,标准坦克设计!$B$24:$U$30,MATCH("对"&amp;LEFT($C$5,2)&amp;"输出",标准坦克设计!$B$23:$U$23,0)))*(VLOOKUP($B211,INDIRECT($B$5&amp;"生成成长"),3))*(VLOOKUP($B$5,标准坦克设计!$B$14:$K$20,9)/30))</f>
        <v>3.2664243042890475</v>
      </c>
      <c r="BF211" s="172">
        <f ca="1">(VLOOKUP(BF$72,INDIRECT($C$5&amp;"生成成长"),2))/((VLOOKUP($B211,INDIRECT($B$5&amp;"生成成长"),4))/(VLOOKUP(BF$72,INDIRECT($C$5&amp;"生成成长"),5))*(VLOOKUP($B$5,标准坦克设计!$B$24:$U$30,MATCH("对"&amp;LEFT($C$5,2)&amp;"输出",标准坦克设计!$B$23:$U$23,0)))*(VLOOKUP($B211,INDIRECT($B$5&amp;"生成成长"),3))*(VLOOKUP($B$5,标准坦克设计!$B$14:$K$20,9)/30))</f>
        <v>3.579828784656625</v>
      </c>
      <c r="BG211" s="172">
        <f ca="1">(VLOOKUP(BG$72,INDIRECT($C$5&amp;"生成成长"),2))/((VLOOKUP($B211,INDIRECT($B$5&amp;"生成成长"),4))/(VLOOKUP(BG$72,INDIRECT($C$5&amp;"生成成长"),5))*(VLOOKUP($B$5,标准坦克设计!$B$24:$U$30,MATCH("对"&amp;LEFT($C$5,2)&amp;"输出",标准坦克设计!$B$23:$U$23,0)))*(VLOOKUP($B211,INDIRECT($B$5&amp;"生成成长"),3))*(VLOOKUP($B$5,标准坦克设计!$B$14:$K$20,9)/30))</f>
        <v>3.9075876687051592</v>
      </c>
      <c r="BH211" s="172">
        <f ca="1">(VLOOKUP(BH$72,INDIRECT($C$5&amp;"生成成长"),2))/((VLOOKUP($B211,INDIRECT($B$5&amp;"生成成长"),4))/(VLOOKUP(BH$72,INDIRECT($C$5&amp;"生成成长"),5))*(VLOOKUP($B$5,标准坦克设计!$B$24:$U$30,MATCH("对"&amp;LEFT($C$5,2)&amp;"输出",标准坦克设计!$B$23:$U$23,0)))*(VLOOKUP($B211,INDIRECT($B$5&amp;"生成成长"),3))*(VLOOKUP($B$5,标准坦克设计!$B$14:$K$20,9)/30))</f>
        <v>1.8887559806376228</v>
      </c>
      <c r="BI211" s="172">
        <f ca="1">(VLOOKUP(BI$72,INDIRECT($C$5&amp;"生成成长"),2))/((VLOOKUP($B211,INDIRECT($B$5&amp;"生成成长"),4))/(VLOOKUP(BI$72,INDIRECT($C$5&amp;"生成成长"),5))*(VLOOKUP($B$5,标准坦克设计!$B$24:$U$30,MATCH("对"&amp;LEFT($C$5,2)&amp;"输出",标准坦克设计!$B$23:$U$23,0)))*(VLOOKUP($B211,INDIRECT($B$5&amp;"生成成长"),3))*(VLOOKUP($B$5,标准坦克设计!$B$14:$K$20,9)/30))</f>
        <v>2.1287935088580823</v>
      </c>
      <c r="BJ211" s="172">
        <f ca="1">(VLOOKUP(BJ$72,INDIRECT($C$5&amp;"生成成长"),2))/((VLOOKUP($B211,INDIRECT($B$5&amp;"生成成长"),4))/(VLOOKUP(BJ$72,INDIRECT($C$5&amp;"生成成长"),5))*(VLOOKUP($B$5,标准坦克设计!$B$24:$U$30,MATCH("对"&amp;LEFT($C$5,2)&amp;"输出",标准坦克设计!$B$23:$U$23,0)))*(VLOOKUP($B211,INDIRECT($B$5&amp;"生成成长"),3))*(VLOOKUP($B$5,标准坦克设计!$B$14:$K$20,9)/30))</f>
        <v>2.3831854407595001</v>
      </c>
      <c r="BK211" s="172">
        <f ca="1">(VLOOKUP(BK$72,INDIRECT($C$5&amp;"生成成长"),2))/((VLOOKUP($B211,INDIRECT($B$5&amp;"生成成长"),4))/(VLOOKUP(BK$72,INDIRECT($C$5&amp;"生成成长"),5))*(VLOOKUP($B$5,标准坦克设计!$B$24:$U$30,MATCH("对"&amp;LEFT($C$5,2)&amp;"输出",标准坦克设计!$B$23:$U$23,0)))*(VLOOKUP($B211,INDIRECT($B$5&amp;"生成成长"),3))*(VLOOKUP($B$5,标准坦克设计!$B$14:$K$20,9)/30))</f>
        <v>2.6519317763418755</v>
      </c>
      <c r="BL211" s="172">
        <f ca="1">(VLOOKUP(BL$72,INDIRECT($C$5&amp;"生成成长"),2))/((VLOOKUP($B211,INDIRECT($B$5&amp;"生成成长"),4))/(VLOOKUP(BL$72,INDIRECT($C$5&amp;"生成成长"),5))*(VLOOKUP($B$5,标准坦克设计!$B$24:$U$30,MATCH("对"&amp;LEFT($C$5,2)&amp;"输出",标准坦克设计!$B$23:$U$23,0)))*(VLOOKUP($B211,INDIRECT($B$5&amp;"生成成长"),3))*(VLOOKUP($B$5,标准坦克设计!$B$14:$K$20,9)/30))</f>
        <v>2.9350325156052079</v>
      </c>
      <c r="BM211" s="172">
        <f ca="1">(VLOOKUP(BM$72,INDIRECT($C$5&amp;"生成成长"),2))/((VLOOKUP($B211,INDIRECT($B$5&amp;"生成成长"),4))/(VLOOKUP(BM$72,INDIRECT($C$5&amp;"生成成长"),5))*(VLOOKUP($B$5,标准坦克设计!$B$24:$U$30,MATCH("对"&amp;LEFT($C$5,2)&amp;"输出",标准坦克设计!$B$23:$U$23,0)))*(VLOOKUP($B211,INDIRECT($B$5&amp;"生成成长"),3))*(VLOOKUP($B$5,标准坦克设计!$B$14:$K$20,9)/30))</f>
        <v>3.2324876585494997</v>
      </c>
      <c r="BN211" s="172">
        <f ca="1">(VLOOKUP(BN$72,INDIRECT($C$5&amp;"生成成长"),2))/((VLOOKUP($B211,INDIRECT($B$5&amp;"生成成长"),4))/(VLOOKUP(BN$72,INDIRECT($C$5&amp;"生成成长"),5))*(VLOOKUP($B$5,标准坦克设计!$B$24:$U$30,MATCH("对"&amp;LEFT($C$5,2)&amp;"输出",标准坦克设计!$B$23:$U$23,0)))*(VLOOKUP($B211,INDIRECT($B$5&amp;"生成成长"),3))*(VLOOKUP($B$5,标准坦克设计!$B$14:$K$20,9)/30))</f>
        <v>3.5442972051747472</v>
      </c>
      <c r="BO211" s="172">
        <f ca="1">(VLOOKUP(BO$72,INDIRECT($C$5&amp;"生成成长"),2))/((VLOOKUP($B211,INDIRECT($B$5&amp;"生成成长"),4))/(VLOOKUP(BO$72,INDIRECT($C$5&amp;"生成成长"),5))*(VLOOKUP($B$5,标准坦克设计!$B$24:$U$30,MATCH("对"&amp;LEFT($C$5,2)&amp;"输出",标准坦克设计!$B$23:$U$23,0)))*(VLOOKUP($B211,INDIRECT($B$5&amp;"生成成长"),3))*(VLOOKUP($B$5,标准坦克设计!$B$14:$K$20,9)/30))</f>
        <v>3.870461155480954</v>
      </c>
      <c r="BP211" s="172">
        <f ca="1">(VLOOKUP(BP$72,INDIRECT($C$5&amp;"生成成长"),2))/((VLOOKUP($B211,INDIRECT($B$5&amp;"生成成长"),4))/(VLOOKUP(BP$72,INDIRECT($C$5&amp;"生成成长"),5))*(VLOOKUP($B$5,标准坦克设计!$B$24:$U$30,MATCH("对"&amp;LEFT($C$5,2)&amp;"输出",标准坦克设计!$B$23:$U$23,0)))*(VLOOKUP($B211,INDIRECT($B$5&amp;"生成成长"),3))*(VLOOKUP($B$5,标准坦克设计!$B$14:$K$20,9)/30))</f>
        <v>4.2109795094681175</v>
      </c>
      <c r="BQ211" s="172">
        <f ca="1">(VLOOKUP(BQ$72,INDIRECT($C$5&amp;"生成成长"),2))/((VLOOKUP($B211,INDIRECT($B$5&amp;"生成成长"),4))/(VLOOKUP(BQ$72,INDIRECT($C$5&amp;"生成成长"),5))*(VLOOKUP($B$5,标准坦克设计!$B$24:$U$30,MATCH("对"&amp;LEFT($C$5,2)&amp;"输出",标准坦克设计!$B$23:$U$23,0)))*(VLOOKUP($B211,INDIRECT($B$5&amp;"生成成长"),3))*(VLOOKUP($B$5,标准坦克设计!$B$14:$K$20,9)/30))</f>
        <v>4.5658522671362389</v>
      </c>
      <c r="BR211" s="172">
        <f ca="1">(VLOOKUP(BR$72,INDIRECT($C$5&amp;"生成成长"),2))/((VLOOKUP($B211,INDIRECT($B$5&amp;"生成成长"),4))/(VLOOKUP(BR$72,INDIRECT($C$5&amp;"生成成长"),5))*(VLOOKUP($B$5,标准坦克设计!$B$24:$U$30,MATCH("对"&amp;LEFT($C$5,2)&amp;"输出",标准坦克设计!$B$23:$U$23,0)))*(VLOOKUP($B211,INDIRECT($B$5&amp;"生成成长"),3))*(VLOOKUP($B$5,标准坦克设计!$B$14:$K$20,9)/30))</f>
        <v>4.9769907429365086</v>
      </c>
      <c r="BS211" s="172">
        <f ca="1">(VLOOKUP(BS$72,INDIRECT($C$5&amp;"生成成长"),2))/((VLOOKUP($B211,INDIRECT($B$5&amp;"生成成长"),4))/(VLOOKUP(BS$72,INDIRECT($C$5&amp;"生成成长"),5))*(VLOOKUP($B$5,标准坦克设计!$B$24:$U$30,MATCH("对"&amp;LEFT($C$5,2)&amp;"输出",标准坦克设计!$B$23:$U$23,0)))*(VLOOKUP($B211,INDIRECT($B$5&amp;"生成成长"),3))*(VLOOKUP($B$5,标准坦克设计!$B$14:$K$20,9)/30))</f>
        <v>5.4058507047626527</v>
      </c>
      <c r="BT211" s="172">
        <f ca="1">(VLOOKUP(BT$72,INDIRECT($C$5&amp;"生成成长"),2))/((VLOOKUP($B211,INDIRECT($B$5&amp;"生成成长"),4))/(VLOOKUP(BT$72,INDIRECT($C$5&amp;"生成成长"),5))*(VLOOKUP($B$5,标准坦克设计!$B$24:$U$30,MATCH("对"&amp;LEFT($C$5,2)&amp;"输出",标准坦克设计!$B$23:$U$23,0)))*(VLOOKUP($B211,INDIRECT($B$5&amp;"生成成长"),3))*(VLOOKUP($B$5,标准坦克设计!$B$14:$K$20,9)/30))</f>
        <v>5.8524321526146723</v>
      </c>
      <c r="BU211" s="172">
        <f ca="1">(VLOOKUP(BU$72,INDIRECT($C$5&amp;"生成成长"),2))/((VLOOKUP($B211,INDIRECT($B$5&amp;"生成成长"),4))/(VLOOKUP(BU$72,INDIRECT($C$5&amp;"生成成长"),5))*(VLOOKUP($B$5,标准坦克设计!$B$24:$U$30,MATCH("对"&amp;LEFT($C$5,2)&amp;"输出",标准坦克设计!$B$23:$U$23,0)))*(VLOOKUP($B211,INDIRECT($B$5&amp;"生成成长"),3))*(VLOOKUP($B$5,标准坦克设计!$B$14:$K$20,9)/30))</f>
        <v>6.3167350864925647</v>
      </c>
      <c r="BV211" s="172">
        <f ca="1">(VLOOKUP(BV$72,INDIRECT($C$5&amp;"生成成长"),2))/((VLOOKUP($B211,INDIRECT($B$5&amp;"生成成长"),4))/(VLOOKUP(BV$72,INDIRECT($C$5&amp;"生成成长"),5))*(VLOOKUP($B$5,标准坦克设计!$B$24:$U$30,MATCH("对"&amp;LEFT($C$5,2)&amp;"输出",标准坦克设计!$B$23:$U$23,0)))*(VLOOKUP($B211,INDIRECT($B$5&amp;"生成成长"),3))*(VLOOKUP($B$5,标准坦克设计!$B$14:$K$20,9)/30))</f>
        <v>6.7987595063963289</v>
      </c>
      <c r="BW211" s="172">
        <f ca="1">(VLOOKUP(BW$72,INDIRECT($C$5&amp;"生成成长"),2))/((VLOOKUP($B211,INDIRECT($B$5&amp;"生成成长"),4))/(VLOOKUP(BW$72,INDIRECT($C$5&amp;"生成成长"),5))*(VLOOKUP($B$5,标准坦克设计!$B$24:$U$30,MATCH("对"&amp;LEFT($C$5,2)&amp;"输出",标准坦克设计!$B$23:$U$23,0)))*(VLOOKUP($B211,INDIRECT($B$5&amp;"生成成长"),3))*(VLOOKUP($B$5,标准坦克设计!$B$14:$K$20,9)/30))</f>
        <v>3.0985132241938933</v>
      </c>
      <c r="BX211" s="172">
        <f ca="1">(VLOOKUP(BX$72,INDIRECT($C$5&amp;"生成成长"),2))/((VLOOKUP($B211,INDIRECT($B$5&amp;"生成成长"),4))/(VLOOKUP(BX$72,INDIRECT($C$5&amp;"生成成长"),5))*(VLOOKUP($B$5,标准坦克设计!$B$24:$U$30,MATCH("对"&amp;LEFT($C$5,2)&amp;"输出",标准坦克设计!$B$23:$U$23,0)))*(VLOOKUP($B211,INDIRECT($B$5&amp;"生成成长"),3))*(VLOOKUP($B$5,标准坦克设计!$B$14:$K$20,9)/30))</f>
        <v>3.4387657558906688</v>
      </c>
      <c r="BY211" s="172">
        <f ca="1">(VLOOKUP(BY$72,INDIRECT($C$5&amp;"生成成长"),2))/((VLOOKUP($B211,INDIRECT($B$5&amp;"生成成长"),4))/(VLOOKUP(BY$72,INDIRECT($C$5&amp;"生成成长"),5))*(VLOOKUP($B$5,标准坦克设计!$B$24:$U$30,MATCH("对"&amp;LEFT($C$5,2)&amp;"输出",标准坦克设计!$B$23:$U$23,0)))*(VLOOKUP($B211,INDIRECT($B$5&amp;"生成成长"),3))*(VLOOKUP($B$5,标准坦克设计!$B$14:$K$20,9)/30))</f>
        <v>3.7967397736133184</v>
      </c>
      <c r="BZ211" s="172">
        <f ca="1">(VLOOKUP(BZ$72,INDIRECT($C$5&amp;"生成成长"),2))/((VLOOKUP($B211,INDIRECT($B$5&amp;"生成成长"),4))/(VLOOKUP(BZ$72,INDIRECT($C$5&amp;"生成成长"),5))*(VLOOKUP($B$5,标准坦克设计!$B$24:$U$30,MATCH("对"&amp;LEFT($C$5,2)&amp;"输出",标准坦克设计!$B$23:$U$23,0)))*(VLOOKUP($B211,INDIRECT($B$5&amp;"生成成长"),3))*(VLOOKUP($B$5,标准坦克设计!$B$14:$K$20,9)/30))</f>
        <v>4.1724352773618412</v>
      </c>
      <c r="CA211" s="172">
        <f ca="1">(VLOOKUP(CA$72,INDIRECT($C$5&amp;"生成成长"),2))/((VLOOKUP($B211,INDIRECT($B$5&amp;"生成成长"),4))/(VLOOKUP(CA$72,INDIRECT($C$5&amp;"生成成长"),5))*(VLOOKUP($B$5,标准坦克设计!$B$24:$U$30,MATCH("对"&amp;LEFT($C$5,2)&amp;"输出",标准坦克设计!$B$23:$U$23,0)))*(VLOOKUP($B211,INDIRECT($B$5&amp;"生成成长"),3))*(VLOOKUP($B$5,标准坦克设计!$B$14:$K$20,9)/30))</f>
        <v>4.5658522671362389</v>
      </c>
      <c r="CB211" s="172">
        <f ca="1">(VLOOKUP(CB$72,INDIRECT($C$5&amp;"生成成长"),2))/((VLOOKUP($B211,INDIRECT($B$5&amp;"生成成长"),4))/(VLOOKUP(CB$72,INDIRECT($C$5&amp;"生成成长"),5))*(VLOOKUP($B$5,标准坦克设计!$B$24:$U$30,MATCH("对"&amp;LEFT($C$5,2)&amp;"输出",标准坦克设计!$B$23:$U$23,0)))*(VLOOKUP($B211,INDIRECT($B$5&amp;"生成成长"),3))*(VLOOKUP($B$5,标准坦克设计!$B$14:$K$20,9)/30))</f>
        <v>4.9769907429365086</v>
      </c>
      <c r="CC211" s="172">
        <f ca="1">(VLOOKUP(CC$72,INDIRECT($C$5&amp;"生成成长"),2))/((VLOOKUP($B211,INDIRECT($B$5&amp;"生成成长"),4))/(VLOOKUP(CC$72,INDIRECT($C$5&amp;"生成成长"),5))*(VLOOKUP($B$5,标准坦克设计!$B$24:$U$30,MATCH("对"&amp;LEFT($C$5,2)&amp;"输出",标准坦克设计!$B$23:$U$23,0)))*(VLOOKUP($B211,INDIRECT($B$5&amp;"生成成长"),3))*(VLOOKUP($B$5,标准坦克设计!$B$14:$K$20,9)/30))</f>
        <v>5.4058507047626527</v>
      </c>
      <c r="CD211" s="172">
        <f ca="1">(VLOOKUP(CD$72,INDIRECT($C$5&amp;"生成成长"),2))/((VLOOKUP($B211,INDIRECT($B$5&amp;"生成成长"),4))/(VLOOKUP(CD$72,INDIRECT($C$5&amp;"生成成长"),5))*(VLOOKUP($B$5,标准坦克设计!$B$24:$U$30,MATCH("对"&amp;LEFT($C$5,2)&amp;"输出",标准坦克设计!$B$23:$U$23,0)))*(VLOOKUP($B211,INDIRECT($B$5&amp;"生成成长"),3))*(VLOOKUP($B$5,标准坦克设计!$B$14:$K$20,9)/30))</f>
        <v>5.8524321526146723</v>
      </c>
      <c r="CE211" s="172">
        <f ca="1">(VLOOKUP(CE$72,INDIRECT($C$5&amp;"生成成长"),2))/((VLOOKUP($B211,INDIRECT($B$5&amp;"生成成长"),4))/(VLOOKUP(CE$72,INDIRECT($C$5&amp;"生成成长"),5))*(VLOOKUP($B$5,标准坦克设计!$B$24:$U$30,MATCH("对"&amp;LEFT($C$5,2)&amp;"输出",标准坦克设计!$B$23:$U$23,0)))*(VLOOKUP($B211,INDIRECT($B$5&amp;"生成成长"),3))*(VLOOKUP($B$5,标准坦克设计!$B$14:$K$20,9)/30))</f>
        <v>6.3167350864925647</v>
      </c>
      <c r="CF211" s="172">
        <f ca="1">(VLOOKUP(CF$72,INDIRECT($C$5&amp;"生成成长"),2))/((VLOOKUP($B211,INDIRECT($B$5&amp;"生成成长"),4))/(VLOOKUP(CF$72,INDIRECT($C$5&amp;"生成成长"),5))*(VLOOKUP($B$5,标准坦克设计!$B$24:$U$30,MATCH("对"&amp;LEFT($C$5,2)&amp;"输出",标准坦克设计!$B$23:$U$23,0)))*(VLOOKUP($B211,INDIRECT($B$5&amp;"生成成长"),3))*(VLOOKUP($B$5,标准坦克设计!$B$14:$K$20,9)/30))</f>
        <v>6.7987595063963289</v>
      </c>
      <c r="CG211" s="172">
        <f ca="1">(VLOOKUP(CG$72,INDIRECT($C$5&amp;"生成成长"),2))/((VLOOKUP($B211,INDIRECT($B$5&amp;"生成成长"),4))/(VLOOKUP(CG$72,INDIRECT($C$5&amp;"生成成长"),5))*(VLOOKUP($B$5,标准坦克设计!$B$24:$U$30,MATCH("对"&amp;LEFT($C$5,2)&amp;"输出",标准坦克设计!$B$23:$U$23,0)))*(VLOOKUP($B211,INDIRECT($B$5&amp;"生成成长"),3))*(VLOOKUP($B$5,标准坦克设计!$B$14:$K$20,9)/30))</f>
        <v>7.2985054123259685</v>
      </c>
      <c r="CH211" s="172">
        <f ca="1">(VLOOKUP(CH$72,INDIRECT($C$5&amp;"生成成长"),2))/((VLOOKUP($B211,INDIRECT($B$5&amp;"生成成长"),4))/(VLOOKUP(CH$72,INDIRECT($C$5&amp;"生成成长"),5))*(VLOOKUP($B$5,标准坦克设计!$B$24:$U$30,MATCH("对"&amp;LEFT($C$5,2)&amp;"输出",标准坦克设计!$B$23:$U$23,0)))*(VLOOKUP($B211,INDIRECT($B$5&amp;"生成成长"),3))*(VLOOKUP($B$5,标准坦克设计!$B$14:$K$20,9)/30))</f>
        <v>7.8159728042814836</v>
      </c>
      <c r="CI211" s="172">
        <f ca="1">(VLOOKUP(CI$72,INDIRECT($C$5&amp;"生成成长"),2))/((VLOOKUP($B211,INDIRECT($B$5&amp;"生成成长"),4))/(VLOOKUP(CI$72,INDIRECT($C$5&amp;"生成成长"),5))*(VLOOKUP($B$5,标准坦克设计!$B$24:$U$30,MATCH("对"&amp;LEFT($C$5,2)&amp;"输出",标准坦克设计!$B$23:$U$23,0)))*(VLOOKUP($B211,INDIRECT($B$5&amp;"生成成长"),3))*(VLOOKUP($B$5,标准坦克设计!$B$14:$K$20,9)/30))</f>
        <v>8.4056552517924299</v>
      </c>
      <c r="CJ211" s="172">
        <f ca="1">(VLOOKUP(CJ$72,INDIRECT($C$5&amp;"生成成长"),2))/((VLOOKUP($B211,INDIRECT($B$5&amp;"生成成长"),4))/(VLOOKUP(CJ$72,INDIRECT($C$5&amp;"生成成长"),5))*(VLOOKUP($B$5,标准坦克设计!$B$24:$U$30,MATCH("对"&amp;LEFT($C$5,2)&amp;"输出",标准坦克设计!$B$23:$U$23,0)))*(VLOOKUP($B211,INDIRECT($B$5&amp;"生成成长"),3))*(VLOOKUP($B$5,标准坦克设计!$B$14:$K$20,9)/30))</f>
        <v>9.0167806973946885</v>
      </c>
      <c r="CK211" s="172">
        <f ca="1">(VLOOKUP(CK$72,INDIRECT($C$5&amp;"生成成长"),2))/((VLOOKUP($B211,INDIRECT($B$5&amp;"生成成长"),4))/(VLOOKUP(CK$72,INDIRECT($C$5&amp;"生成成长"),5))*(VLOOKUP($B$5,标准坦克设计!$B$24:$U$30,MATCH("对"&amp;LEFT($C$5,2)&amp;"输出",标准坦克设计!$B$23:$U$23,0)))*(VLOOKUP($B211,INDIRECT($B$5&amp;"生成成长"),3))*(VLOOKUP($B$5,标准坦克设计!$B$14:$K$20,9)/30))</f>
        <v>9.6493491410882477</v>
      </c>
      <c r="CL211" s="172">
        <f ca="1">(VLOOKUP(CL$72,INDIRECT($C$5&amp;"生成成长"),2))/((VLOOKUP($B211,INDIRECT($B$5&amp;"生成成长"),4))/(VLOOKUP(CL$72,INDIRECT($C$5&amp;"生成成长"),5))*(VLOOKUP($B$5,标准坦克设计!$B$24:$U$30,MATCH("对"&amp;LEFT($C$5,2)&amp;"输出",标准坦克设计!$B$23:$U$23,0)))*(VLOOKUP($B211,INDIRECT($B$5&amp;"生成成长"),3))*(VLOOKUP($B$5,标准坦克设计!$B$14:$K$20,9)/30))</f>
        <v>10.303360582873122</v>
      </c>
      <c r="CM211" s="172">
        <f ca="1">(VLOOKUP(CM$72,INDIRECT($C$5&amp;"生成成长"),2))/((VLOOKUP($B211,INDIRECT($B$5&amp;"生成成长"),4))/(VLOOKUP(CM$72,INDIRECT($C$5&amp;"生成成长"),5))*(VLOOKUP($B$5,标准坦克设计!$B$24:$U$30,MATCH("对"&amp;LEFT($C$5,2)&amp;"输出",标准坦克设计!$B$23:$U$23,0)))*(VLOOKUP($B211,INDIRECT($B$5&amp;"生成成长"),3))*(VLOOKUP($B$5,标准坦克设计!$B$14:$K$20,9)/30))</f>
        <v>10.978815022749297</v>
      </c>
      <c r="CN211" s="172">
        <f ca="1">(VLOOKUP(CN$72,INDIRECT($C$5&amp;"生成成长"),2))/((VLOOKUP($B211,INDIRECT($B$5&amp;"生成成长"),4))/(VLOOKUP(CN$72,INDIRECT($C$5&amp;"生成成长"),5))*(VLOOKUP($B$5,标准坦克设计!$B$24:$U$30,MATCH("对"&amp;LEFT($C$5,2)&amp;"输出",标准坦克设计!$B$23:$U$23,0)))*(VLOOKUP($B211,INDIRECT($B$5&amp;"生成成长"),3))*(VLOOKUP($B$5,标准坦克设计!$B$14:$K$20,9)/30))</f>
        <v>11.675712460716781</v>
      </c>
      <c r="CO211" s="172">
        <f ca="1">(VLOOKUP(CO$72,INDIRECT($C$5&amp;"生成成长"),2))/((VLOOKUP($B211,INDIRECT($B$5&amp;"生成成长"),4))/(VLOOKUP(CO$72,INDIRECT($C$5&amp;"生成成长"),5))*(VLOOKUP($B$5,标准坦克设计!$B$24:$U$30,MATCH("对"&amp;LEFT($C$5,2)&amp;"输出",标准坦克设计!$B$23:$U$23,0)))*(VLOOKUP($B211,INDIRECT($B$5&amp;"生成成长"),3))*(VLOOKUP($B$5,标准坦克设计!$B$14:$K$20,9)/30))</f>
        <v>5.2321801417090912</v>
      </c>
      <c r="CP211" s="172">
        <f ca="1">(VLOOKUP(CP$72,INDIRECT($C$5&amp;"生成成长"),2))/((VLOOKUP($B211,INDIRECT($B$5&amp;"生成成长"),4))/(VLOOKUP(CP$72,INDIRECT($C$5&amp;"生成成长"),5))*(VLOOKUP($B$5,标准坦克设计!$B$24:$U$30,MATCH("对"&amp;LEFT($C$5,2)&amp;"输出",标准坦克设计!$B$23:$U$23,0)))*(VLOOKUP($B211,INDIRECT($B$5&amp;"生成成长"),3))*(VLOOKUP($B$5,标准坦克设计!$B$14:$K$20,9)/30))</f>
        <v>5.7165969622263493</v>
      </c>
      <c r="CQ211" s="172">
        <f ca="1">(VLOOKUP(CQ$72,INDIRECT($C$5&amp;"生成成长"),2))/((VLOOKUP($B211,INDIRECT($B$5&amp;"生成成长"),4))/(VLOOKUP(CQ$72,INDIRECT($C$5&amp;"生成成长"),5))*(VLOOKUP($B$5,标准坦克设计!$B$24:$U$30,MATCH("对"&amp;LEFT($C$5,2)&amp;"输出",标准坦克设计!$B$23:$U$23,0)))*(VLOOKUP($B211,INDIRECT($B$5&amp;"生成成长"),3))*(VLOOKUP($B$5,标准坦克设计!$B$14:$K$20,9)/30))</f>
        <v>6.222456780834916</v>
      </c>
      <c r="CR211" s="172">
        <f ca="1">(VLOOKUP(CR$72,INDIRECT($C$5&amp;"生成成长"),2))/((VLOOKUP($B211,INDIRECT($B$5&amp;"生成成长"),4))/(VLOOKUP(CR$72,INDIRECT($C$5&amp;"生成成长"),5))*(VLOOKUP($B$5,标准坦克设计!$B$24:$U$30,MATCH("对"&amp;LEFT($C$5,2)&amp;"输出",标准坦克设计!$B$23:$U$23,0)))*(VLOOKUP($B211,INDIRECT($B$5&amp;"生成成长"),3))*(VLOOKUP($B$5,标准坦克设计!$B$14:$K$20,9)/30))</f>
        <v>6.7497595975347888</v>
      </c>
      <c r="CS211" s="172">
        <f ca="1">(VLOOKUP(CS$72,INDIRECT($C$5&amp;"生成成长"),2))/((VLOOKUP($B211,INDIRECT($B$5&amp;"生成成长"),4))/(VLOOKUP(CS$72,INDIRECT($C$5&amp;"生成成长"),5))*(VLOOKUP($B$5,标准坦克设计!$B$24:$U$30,MATCH("对"&amp;LEFT($C$5,2)&amp;"输出",标准坦克设计!$B$23:$U$23,0)))*(VLOOKUP($B211,INDIRECT($B$5&amp;"生成成长"),3))*(VLOOKUP($B$5,标准坦克设计!$B$14:$K$20,9)/30))</f>
        <v>7.2985054123259685</v>
      </c>
      <c r="CT211" s="172">
        <f ca="1">(VLOOKUP(CT$72,INDIRECT($C$5&amp;"生成成长"),2))/((VLOOKUP($B211,INDIRECT($B$5&amp;"生成成长"),4))/(VLOOKUP(CT$72,INDIRECT($C$5&amp;"生成成长"),5))*(VLOOKUP($B$5,标准坦克设计!$B$24:$U$30,MATCH("对"&amp;LEFT($C$5,2)&amp;"输出",标准坦克设计!$B$23:$U$23,0)))*(VLOOKUP($B211,INDIRECT($B$5&amp;"生成成长"),3))*(VLOOKUP($B$5,标准坦克设计!$B$14:$K$20,9)/30))</f>
        <v>7.8686942252084568</v>
      </c>
      <c r="CU211" s="172">
        <f ca="1">(VLOOKUP(CU$72,INDIRECT($C$5&amp;"生成成长"),2))/((VLOOKUP($B211,INDIRECT($B$5&amp;"生成成长"),4))/(VLOOKUP(CU$72,INDIRECT($C$5&amp;"生成成长"),5))*(VLOOKUP($B$5,标准坦克设计!$B$24:$U$30,MATCH("对"&amp;LEFT($C$5,2)&amp;"输出",标准坦克设计!$B$23:$U$23,0)))*(VLOOKUP($B211,INDIRECT($B$5&amp;"生成成长"),3))*(VLOOKUP($B$5,标准坦克设计!$B$14:$K$20,9)/30))</f>
        <v>8.4603260361822503</v>
      </c>
      <c r="CV211" s="172">
        <f ca="1">(VLOOKUP(CV$72,INDIRECT($C$5&amp;"生成成长"),2))/((VLOOKUP($B211,INDIRECT($B$5&amp;"生成成长"),4))/(VLOOKUP(CV$72,INDIRECT($C$5&amp;"生成成长"),5))*(VLOOKUP($B$5,标准坦克设计!$B$24:$U$30,MATCH("对"&amp;LEFT($C$5,2)&amp;"输出",标准坦克设计!$B$23:$U$23,0)))*(VLOOKUP($B211,INDIRECT($B$5&amp;"生成成长"),3))*(VLOOKUP($B$5,标准坦克设计!$B$14:$K$20,9)/30))</f>
        <v>9.0734008452473542</v>
      </c>
      <c r="CW211" s="172">
        <f ca="1">(VLOOKUP(CW$72,INDIRECT($C$5&amp;"生成成长"),2))/((VLOOKUP($B211,INDIRECT($B$5&amp;"生成成长"),4))/(VLOOKUP(CW$72,INDIRECT($C$5&amp;"生成成长"),5))*(VLOOKUP($B$5,标准坦克设计!$B$24:$U$30,MATCH("对"&amp;LEFT($C$5,2)&amp;"输出",标准坦克设计!$B$23:$U$23,0)))*(VLOOKUP($B211,INDIRECT($B$5&amp;"生成成长"),3))*(VLOOKUP($B$5,标准坦克设计!$B$14:$K$20,9)/30))</f>
        <v>9.7079186524037642</v>
      </c>
      <c r="CX211" s="172">
        <f ca="1">(VLOOKUP(CX$72,INDIRECT($C$5&amp;"生成成长"),2))/((VLOOKUP($B211,INDIRECT($B$5&amp;"生成成长"),4))/(VLOOKUP(CX$72,INDIRECT($C$5&amp;"生成成长"),5))*(VLOOKUP($B$5,标准坦克设计!$B$24:$U$30,MATCH("对"&amp;LEFT($C$5,2)&amp;"输出",标准坦克设计!$B$23:$U$23,0)))*(VLOOKUP($B211,INDIRECT($B$5&amp;"生成成长"),3))*(VLOOKUP($B$5,标准坦克设计!$B$14:$K$20,9)/30))</f>
        <v>10.363879457651478</v>
      </c>
      <c r="CY211" s="172">
        <f ca="1">(VLOOKUP(CY$72,INDIRECT($C$5&amp;"生成成长"),2))/((VLOOKUP($B211,INDIRECT($B$5&amp;"生成成长"),4))/(VLOOKUP(CY$72,INDIRECT($C$5&amp;"生成成长"),5))*(VLOOKUP($B$5,标准坦克设计!$B$24:$U$30,MATCH("对"&amp;LEFT($C$5,2)&amp;"输出",标准坦克设计!$B$23:$U$23,0)))*(VLOOKUP($B211,INDIRECT($B$5&amp;"生成成长"),3))*(VLOOKUP($B$5,标准坦克设计!$B$14:$K$20,9)/30))</f>
        <v>11.041283260990502</v>
      </c>
      <c r="CZ211" s="172">
        <f ca="1">(VLOOKUP(CZ$72,INDIRECT($C$5&amp;"生成成长"),2))/((VLOOKUP($B211,INDIRECT($B$5&amp;"生成成长"),4))/(VLOOKUP(CZ$72,INDIRECT($C$5&amp;"生成成长"),5))*(VLOOKUP($B$5,标准坦克设计!$B$24:$U$30,MATCH("对"&amp;LEFT($C$5,2)&amp;"输出",标准坦克设计!$B$23:$U$23,0)))*(VLOOKUP($B211,INDIRECT($B$5&amp;"生成成长"),3))*(VLOOKUP($B$5,标准坦克设计!$B$14:$K$20,9)/30))</f>
        <v>11.740130062420832</v>
      </c>
      <c r="DA211" s="172">
        <f ca="1">(VLOOKUP(DA$72,INDIRECT($C$5&amp;"生成成长"),2))/((VLOOKUP($B211,INDIRECT($B$5&amp;"生成成长"),4))/(VLOOKUP(DA$72,INDIRECT($C$5&amp;"生成成长"),5))*(VLOOKUP($B$5,标准坦克设计!$B$24:$U$30,MATCH("对"&amp;LEFT($C$5,2)&amp;"输出",标准坦克设计!$B$23:$U$23,0)))*(VLOOKUP($B211,INDIRECT($B$5&amp;"生成成长"),3))*(VLOOKUP($B$5,标准坦克设计!$B$14:$K$20,9)/30))</f>
        <v>12.460419861942469</v>
      </c>
      <c r="DB211" s="172">
        <f ca="1">(VLOOKUP(DB$72,INDIRECT($C$5&amp;"生成成长"),2))/((VLOOKUP($B211,INDIRECT($B$5&amp;"生成成长"),4))/(VLOOKUP(DB$72,INDIRECT($C$5&amp;"生成成长"),5))*(VLOOKUP($B$5,标准坦克设计!$B$24:$U$30,MATCH("对"&amp;LEFT($C$5,2)&amp;"输出",标准坦克设计!$B$23:$U$23,0)))*(VLOOKUP($B211,INDIRECT($B$5&amp;"生成成长"),3))*(VLOOKUP($B$5,标准坦克设计!$B$14:$K$20,9)/30))</f>
        <v>13.202152659555415</v>
      </c>
      <c r="DC211" s="172">
        <f ca="1">(VLOOKUP(DC$72,INDIRECT($C$5&amp;"生成成长"),2))/((VLOOKUP($B211,INDIRECT($B$5&amp;"生成成长"),4))/(VLOOKUP(DC$72,INDIRECT($C$5&amp;"生成成长"),5))*(VLOOKUP($B$5,标准坦克设计!$B$24:$U$30,MATCH("对"&amp;LEFT($C$5,2)&amp;"输出",标准坦克设计!$B$23:$U$23,0)))*(VLOOKUP($B211,INDIRECT($B$5&amp;"生成成长"),3))*(VLOOKUP($B$5,标准坦克设计!$B$14:$K$20,9)/30))</f>
        <v>14.035771362212515</v>
      </c>
      <c r="DD211" s="172">
        <f ca="1">(VLOOKUP(DD$72,INDIRECT($C$5&amp;"生成成长"),2))/((VLOOKUP($B211,INDIRECT($B$5&amp;"生成成长"),4))/(VLOOKUP(DD$72,INDIRECT($C$5&amp;"生成成长"),5))*(VLOOKUP($B$5,标准坦克设计!$B$24:$U$30,MATCH("对"&amp;LEFT($C$5,2)&amp;"输出",标准坦克设计!$B$23:$U$23,0)))*(VLOOKUP($B211,INDIRECT($B$5&amp;"生成成长"),3))*(VLOOKUP($B$5,标准坦克设计!$B$14:$K$20,9)/30))</f>
        <v>14.894909004746875</v>
      </c>
      <c r="DE211" s="172">
        <f ca="1">(VLOOKUP(DE$72,INDIRECT($C$5&amp;"生成成长"),2))/((VLOOKUP($B211,INDIRECT($B$5&amp;"生成成长"),4))/(VLOOKUP(DE$72,INDIRECT($C$5&amp;"生成成长"),5))*(VLOOKUP($B$5,标准坦克设计!$B$24:$U$30,MATCH("对"&amp;LEFT($C$5,2)&amp;"输出",标准坦克设计!$B$23:$U$23,0)))*(VLOOKUP($B211,INDIRECT($B$5&amp;"生成成长"),3))*(VLOOKUP($B$5,标准坦克设计!$B$14:$K$20,9)/30))</f>
        <v>15.779565587158492</v>
      </c>
      <c r="DF211" s="172">
        <f ca="1">(VLOOKUP(DF$72,INDIRECT($C$5&amp;"生成成长"),2))/((VLOOKUP($B211,INDIRECT($B$5&amp;"生成成长"),4))/(VLOOKUP(DF$72,INDIRECT($C$5&amp;"生成成长"),5))*(VLOOKUP($B$5,标准坦克设计!$B$24:$U$30,MATCH("对"&amp;LEFT($C$5,2)&amp;"输出",标准坦克设计!$B$23:$U$23,0)))*(VLOOKUP($B211,INDIRECT($B$5&amp;"生成成长"),3))*(VLOOKUP($B$5,标准坦克设计!$B$14:$K$20,9)/30))</f>
        <v>16.689741109447365</v>
      </c>
      <c r="DG211" s="172">
        <f ca="1">(VLOOKUP(DG$72,INDIRECT($C$5&amp;"生成成长"),2))/((VLOOKUP($B211,INDIRECT($B$5&amp;"生成成长"),4))/(VLOOKUP(DG$72,INDIRECT($C$5&amp;"生成成长"),5))*(VLOOKUP($B$5,标准坦克设计!$B$24:$U$30,MATCH("对"&amp;LEFT($C$5,2)&amp;"输出",标准坦克设计!$B$23:$U$23,0)))*(VLOOKUP($B211,INDIRECT($B$5&amp;"生成成长"),3))*(VLOOKUP($B$5,标准坦克设计!$B$14:$K$20,9)/30))</f>
        <v>17.625435571613501</v>
      </c>
      <c r="DH211" s="172">
        <f ca="1">(VLOOKUP(DH$72,INDIRECT($C$5&amp;"生成成长"),2))/((VLOOKUP($B211,INDIRECT($B$5&amp;"生成成长"),4))/(VLOOKUP(DH$72,INDIRECT($C$5&amp;"生成成长"),5))*(VLOOKUP($B$5,标准坦克设计!$B$24:$U$30,MATCH("对"&amp;LEFT($C$5,2)&amp;"输出",标准坦克设计!$B$23:$U$23,0)))*(VLOOKUP($B211,INDIRECT($B$5&amp;"生成成长"),3))*(VLOOKUP($B$5,标准坦克设计!$B$14:$K$20,9)/30))</f>
        <v>18.586648973656892</v>
      </c>
      <c r="DI211" s="172">
        <f ca="1">(VLOOKUP(DI$72,INDIRECT($C$5&amp;"生成成长"),2))/((VLOOKUP($B211,INDIRECT($B$5&amp;"生成成长"),4))/(VLOOKUP(DI$72,INDIRECT($C$5&amp;"生成成长"),5))*(VLOOKUP($B$5,标准坦克设计!$B$24:$U$30,MATCH("对"&amp;LEFT($C$5,2)&amp;"输出",标准坦克设计!$B$23:$U$23,0)))*(VLOOKUP($B211,INDIRECT($B$5&amp;"生成成长"),3))*(VLOOKUP($B$5,标准坦克设计!$B$14:$K$20,9)/30))</f>
        <v>19.573381315577542</v>
      </c>
      <c r="DJ211" s="172">
        <f ca="1">(VLOOKUP(DJ$72,INDIRECT($C$5&amp;"生成成长"),2))/((VLOOKUP($B211,INDIRECT($B$5&amp;"生成成长"),4))/(VLOOKUP(DJ$72,INDIRECT($C$5&amp;"生成成长"),5))*(VLOOKUP($B$5,标准坦克设计!$B$24:$U$30,MATCH("对"&amp;LEFT($C$5,2)&amp;"输出",标准坦克设计!$B$23:$U$23,0)))*(VLOOKUP($B211,INDIRECT($B$5&amp;"生成成长"),3))*(VLOOKUP($B$5,标准坦克设计!$B$14:$K$20,9)/30))</f>
        <v>1.9671735563021142</v>
      </c>
      <c r="DK211" s="172">
        <f ca="1">(VLOOKUP(DK$72,INDIRECT($C$5&amp;"生成成长"),2))/((VLOOKUP($B211,INDIRECT($B$5&amp;"生成成长"),4))/(VLOOKUP(DK$72,INDIRECT($C$5&amp;"生成成长"),5))*(VLOOKUP($B$5,标准坦克设计!$B$24:$U$30,MATCH("对"&amp;LEFT($C$5,2)&amp;"输出",标准坦克设计!$B$23:$U$23,0)))*(VLOOKUP($B211,INDIRECT($B$5&amp;"生成成长"),3))*(VLOOKUP($B$5,标准坦克设计!$B$14:$K$20,9)/30))</f>
        <v>2.2119958857495599</v>
      </c>
      <c r="DL211" s="172">
        <f ca="1">(VLOOKUP(DL$72,INDIRECT($C$5&amp;"生成成长"),2))/((VLOOKUP($B211,INDIRECT($B$5&amp;"生成成长"),4))/(VLOOKUP(DL$72,INDIRECT($C$5&amp;"生成成长"),5))*(VLOOKUP($B$5,标准坦克设计!$B$24:$U$30,MATCH("对"&amp;LEFT($C$5,2)&amp;"输出",标准坦克设计!$B$23:$U$23,0)))*(VLOOKUP($B211,INDIRECT($B$5&amp;"生成成长"),3))*(VLOOKUP($B$5,标准坦克设计!$B$14:$K$20,9)/30))</f>
        <v>2.4711726188779628</v>
      </c>
      <c r="DM211" s="172">
        <f ca="1">(VLOOKUP(DM$72,INDIRECT($C$5&amp;"生成成长"),2))/((VLOOKUP($B211,INDIRECT($B$5&amp;"生成成长"),4))/(VLOOKUP(DM$72,INDIRECT($C$5&amp;"生成成长"),5))*(VLOOKUP($B$5,标准坦克设计!$B$24:$U$30,MATCH("对"&amp;LEFT($C$5,2)&amp;"输出",标准坦克设计!$B$23:$U$23,0)))*(VLOOKUP($B211,INDIRECT($B$5&amp;"生成成长"),3))*(VLOOKUP($B$5,标准坦克设计!$B$14:$K$20,9)/30))</f>
        <v>2.7447037556873242</v>
      </c>
      <c r="DN211" s="172">
        <f ca="1">(VLOOKUP(DN$72,INDIRECT($C$5&amp;"生成成长"),2))/((VLOOKUP($B211,INDIRECT($B$5&amp;"生成成长"),4))/(VLOOKUP(DN$72,INDIRECT($C$5&amp;"生成成长"),5))*(VLOOKUP($B$5,标准坦克设计!$B$24:$U$30,MATCH("对"&amp;LEFT($C$5,2)&amp;"输出",标准坦克设计!$B$23:$U$23,0)))*(VLOOKUP($B211,INDIRECT($B$5&amp;"生成成长"),3))*(VLOOKUP($B$5,标准坦克设计!$B$14:$K$20,9)/30))</f>
        <v>3.0325892961776431</v>
      </c>
      <c r="DO211" s="172">
        <f ca="1">(VLOOKUP(DO$72,INDIRECT($C$5&amp;"生成成长"),2))/((VLOOKUP($B211,INDIRECT($B$5&amp;"生成成长"),4))/(VLOOKUP(DO$72,INDIRECT($C$5&amp;"生成成长"),5))*(VLOOKUP($B$5,标准坦克设计!$B$24:$U$30,MATCH("对"&amp;LEFT($C$5,2)&amp;"输出",标准坦克设计!$B$23:$U$23,0)))*(VLOOKUP($B211,INDIRECT($B$5&amp;"生成成长"),3))*(VLOOKUP($B$5,标准坦克设计!$B$14:$K$20,9)/30))</f>
        <v>3.3348292403489195</v>
      </c>
      <c r="DP211" s="172">
        <f ca="1">(VLOOKUP(DP$72,INDIRECT($C$5&amp;"生成成长"),2))/((VLOOKUP($B211,INDIRECT($B$5&amp;"生成成长"),4))/(VLOOKUP(DP$72,INDIRECT($C$5&amp;"生成成长"),5))*(VLOOKUP($B$5,标准坦克设计!$B$24:$U$30,MATCH("对"&amp;LEFT($C$5,2)&amp;"输出",标准坦克设计!$B$23:$U$23,0)))*(VLOOKUP($B211,INDIRECT($B$5&amp;"生成成长"),3))*(VLOOKUP($B$5,标准坦克设计!$B$14:$K$20,9)/30))</f>
        <v>3.6514235882011543</v>
      </c>
      <c r="DQ211" s="172">
        <f ca="1">(VLOOKUP(DQ$72,INDIRECT($C$5&amp;"生成成长"),2))/((VLOOKUP($B211,INDIRECT($B$5&amp;"生成成长"),4))/(VLOOKUP(DQ$72,INDIRECT($C$5&amp;"生成成长"),5))*(VLOOKUP($B$5,标准坦克设计!$B$24:$U$30,MATCH("对"&amp;LEFT($C$5,2)&amp;"输出",标准坦克设计!$B$23:$U$23,0)))*(VLOOKUP($B211,INDIRECT($B$5&amp;"生成成长"),3))*(VLOOKUP($B$5,标准坦克设计!$B$14:$K$20,9)/30))</f>
        <v>3.9823723397343467</v>
      </c>
      <c r="DR211" s="172">
        <f ca="1">(VLOOKUP(DR$72,INDIRECT($C$5&amp;"生成成长"),2))/((VLOOKUP($B211,INDIRECT($B$5&amp;"生成成长"),4))/(VLOOKUP(DR$72,INDIRECT($C$5&amp;"生成成长"),5))*(VLOOKUP($B$5,标准坦克设计!$B$24:$U$30,MATCH("对"&amp;LEFT($C$5,2)&amp;"输出",标准坦克设计!$B$23:$U$23,0)))*(VLOOKUP($B211,INDIRECT($B$5&amp;"生成成长"),3))*(VLOOKUP($B$5,标准坦克设计!$B$14:$K$20,9)/30))</f>
        <v>4.3276754949484957</v>
      </c>
      <c r="DS211" s="172">
        <f ca="1">(VLOOKUP(DS$72,INDIRECT($C$5&amp;"生成成长"),2))/((VLOOKUP($B211,INDIRECT($B$5&amp;"生成成长"),4))/(VLOOKUP(DS$72,INDIRECT($C$5&amp;"生成成长"),5))*(VLOOKUP($B$5,标准坦克设计!$B$24:$U$30,MATCH("对"&amp;LEFT($C$5,2)&amp;"输出",标准坦克设计!$B$23:$U$23,0)))*(VLOOKUP($B211,INDIRECT($B$5&amp;"生成成长"),3))*(VLOOKUP($B$5,标准坦克设计!$B$14:$K$20,9)/30))</f>
        <v>4.6873330538436031</v>
      </c>
      <c r="DT211" s="172">
        <f ca="1">(VLOOKUP(DT$72,INDIRECT($C$5&amp;"生成成长"),2))/((VLOOKUP($B211,INDIRECT($B$5&amp;"生成成长"),4))/(VLOOKUP(DT$72,INDIRECT($C$5&amp;"生成成长"),5))*(VLOOKUP($B$5,标准坦克设计!$B$24:$U$30,MATCH("对"&amp;LEFT($C$5,2)&amp;"输出",标准坦克设计!$B$23:$U$23,0)))*(VLOOKUP($B211,INDIRECT($B$5&amp;"生成成长"),3))*(VLOOKUP($B$5,标准坦克设计!$B$14:$K$20,9)/30))</f>
        <v>5.1464081493438618</v>
      </c>
      <c r="DU211" s="172">
        <f ca="1">(VLOOKUP(DU$72,INDIRECT($C$5&amp;"生成成长"),2))/((VLOOKUP($B211,INDIRECT($B$5&amp;"生成成长"),4))/(VLOOKUP(DU$72,INDIRECT($C$5&amp;"生成成长"),5))*(VLOOKUP($B$5,标准坦克设计!$B$24:$U$30,MATCH("对"&amp;LEFT($C$5,2)&amp;"输出",标准坦克设计!$B$23:$U$23,0)))*(VLOOKUP($B211,INDIRECT($B$5&amp;"生成成长"),3))*(VLOOKUP($B$5,标准坦克设计!$B$14:$K$20,9)/30))</f>
        <v>5.6269262429354283</v>
      </c>
      <c r="DV211" s="172">
        <f ca="1">(VLOOKUP(DV$72,INDIRECT($C$5&amp;"生成成长"),2))/((VLOOKUP($B211,INDIRECT($B$5&amp;"生成成长"),4))/(VLOOKUP(DV$72,INDIRECT($C$5&amp;"生成成长"),5))*(VLOOKUP($B$5,标准坦克设计!$B$24:$U$30,MATCH("对"&amp;LEFT($C$5,2)&amp;"输出",标准坦克设计!$B$23:$U$23,0)))*(VLOOKUP($B211,INDIRECT($B$5&amp;"生成成长"),3))*(VLOOKUP($B$5,标准坦克设计!$B$14:$K$20,9)/30))</f>
        <v>6.1288873346183026</v>
      </c>
      <c r="DW211" s="172">
        <f ca="1">(VLOOKUP(DW$72,INDIRECT($C$5&amp;"生成成长"),2))/((VLOOKUP($B211,INDIRECT($B$5&amp;"生成成长"),4))/(VLOOKUP(DW$72,INDIRECT($C$5&amp;"生成成长"),5))*(VLOOKUP($B$5,标准坦克设计!$B$24:$U$30,MATCH("对"&amp;LEFT($C$5,2)&amp;"输出",标准坦克设计!$B$23:$U$23,0)))*(VLOOKUP($B211,INDIRECT($B$5&amp;"生成成长"),3))*(VLOOKUP($B$5,标准坦克设计!$B$14:$K$20,9)/30))</f>
        <v>6.6522914243924829</v>
      </c>
      <c r="DX211" s="172">
        <f ca="1">(VLOOKUP(DX$72,INDIRECT($C$5&amp;"生成成长"),2))/((VLOOKUP($B211,INDIRECT($B$5&amp;"生成成长"),4))/(VLOOKUP(DX$72,INDIRECT($C$5&amp;"生成成长"),5))*(VLOOKUP($B$5,标准坦克设计!$B$24:$U$30,MATCH("对"&amp;LEFT($C$5,2)&amp;"输出",标准坦克设计!$B$23:$U$23,0)))*(VLOOKUP($B211,INDIRECT($B$5&amp;"生成成长"),3))*(VLOOKUP($B$5,标准坦克设计!$B$14:$K$20,9)/30))</f>
        <v>7.197138512257971</v>
      </c>
      <c r="DY211" s="172">
        <f ca="1">(VLOOKUP(DY$72,INDIRECT($C$5&amp;"生成成长"),2))/((VLOOKUP($B211,INDIRECT($B$5&amp;"生成成长"),4))/(VLOOKUP(DY$72,INDIRECT($C$5&amp;"生成成长"),5))*(VLOOKUP($B$5,标准坦克设计!$B$24:$U$30,MATCH("对"&amp;LEFT($C$5,2)&amp;"输出",标准坦克设计!$B$23:$U$23,0)))*(VLOOKUP($B211,INDIRECT($B$5&amp;"生成成长"),3))*(VLOOKUP($B$5,标准坦克设计!$B$14:$K$20,9)/30))</f>
        <v>3.2324876585494997</v>
      </c>
      <c r="DZ211" s="172">
        <f ca="1">(VLOOKUP(DZ$72,INDIRECT($C$5&amp;"生成成长"),2))/((VLOOKUP($B211,INDIRECT($B$5&amp;"生成成长"),4))/(VLOOKUP(DZ$72,INDIRECT($C$5&amp;"生成成长"),5))*(VLOOKUP($B$5,标准坦克设计!$B$24:$U$30,MATCH("对"&amp;LEFT($C$5,2)&amp;"输出",标准坦克设计!$B$23:$U$23,0)))*(VLOOKUP($B211,INDIRECT($B$5&amp;"生成成长"),3))*(VLOOKUP($B$5,标准坦克设计!$B$14:$K$20,9)/30))</f>
        <v>3.579828784656625</v>
      </c>
      <c r="EA211" s="172">
        <f ca="1">(VLOOKUP(EA$72,INDIRECT($C$5&amp;"生成成长"),2))/((VLOOKUP($B211,INDIRECT($B$5&amp;"生成成长"),4))/(VLOOKUP(EA$72,INDIRECT($C$5&amp;"生成成长"),5))*(VLOOKUP($B$5,标准坦克设计!$B$24:$U$30,MATCH("对"&amp;LEFT($C$5,2)&amp;"输出",标准坦克设计!$B$23:$U$23,0)))*(VLOOKUP($B211,INDIRECT($B$5&amp;"生成成长"),3))*(VLOOKUP($B$5,标准坦克设计!$B$14:$K$20,9)/30))</f>
        <v>3.9448913967896231</v>
      </c>
      <c r="EB211" s="172">
        <f ca="1">(VLOOKUP(EB$72,INDIRECT($C$5&amp;"生成成长"),2))/((VLOOKUP($B211,INDIRECT($B$5&amp;"生成成长"),4))/(VLOOKUP(EB$72,INDIRECT($C$5&amp;"生成成长"),5))*(VLOOKUP($B$5,标准坦克设计!$B$24:$U$30,MATCH("对"&amp;LEFT($C$5,2)&amp;"输出",标准坦克设计!$B$23:$U$23,0)))*(VLOOKUP($B211,INDIRECT($B$5&amp;"生成成长"),3))*(VLOOKUP($B$5,标准坦克设计!$B$14:$K$20,9)/30))</f>
        <v>4.3276754949484957</v>
      </c>
      <c r="EC211" s="172">
        <f ca="1">(VLOOKUP(EC$72,INDIRECT($C$5&amp;"生成成长"),2))/((VLOOKUP($B211,INDIRECT($B$5&amp;"生成成长"),4))/(VLOOKUP(EC$72,INDIRECT($C$5&amp;"生成成长"),5))*(VLOOKUP($B$5,标准坦克设计!$B$24:$U$30,MATCH("对"&amp;LEFT($C$5,2)&amp;"输出",标准坦克设计!$B$23:$U$23,0)))*(VLOOKUP($B211,INDIRECT($B$5&amp;"生成成长"),3))*(VLOOKUP($B$5,标准坦克设计!$B$14:$K$20,9)/30))</f>
        <v>4.7281810791332424</v>
      </c>
      <c r="ED211" s="172">
        <f ca="1">(VLOOKUP(ED$72,INDIRECT($C$5&amp;"生成成长"),2))/((VLOOKUP($B211,INDIRECT($B$5&amp;"生成成长"),4))/(VLOOKUP(ED$72,INDIRECT($C$5&amp;"生成成长"),5))*(VLOOKUP($B$5,标准坦克设计!$B$24:$U$30,MATCH("对"&amp;LEFT($C$5,2)&amp;"输出",标准坦克设计!$B$23:$U$23,0)))*(VLOOKUP($B211,INDIRECT($B$5&amp;"生成成长"),3))*(VLOOKUP($B$5,标准坦克设计!$B$14:$K$20,9)/30))</f>
        <v>5.1464081493438618</v>
      </c>
      <c r="EE211" s="172">
        <f ca="1">(VLOOKUP(EE$72,INDIRECT($C$5&amp;"生成成长"),2))/((VLOOKUP($B211,INDIRECT($B$5&amp;"生成成长"),4))/(VLOOKUP(EE$72,INDIRECT($C$5&amp;"生成成长"),5))*(VLOOKUP($B$5,标准坦克设计!$B$24:$U$30,MATCH("对"&amp;LEFT($C$5,2)&amp;"输出",标准坦克设计!$B$23:$U$23,0)))*(VLOOKUP($B211,INDIRECT($B$5&amp;"生成成长"),3))*(VLOOKUP($B$5,标准坦克设计!$B$14:$K$20,9)/30))</f>
        <v>5.5823567055803558</v>
      </c>
      <c r="EF211" s="172">
        <f ca="1">(VLOOKUP(EF$72,INDIRECT($C$5&amp;"生成成长"),2))/((VLOOKUP($B211,INDIRECT($B$5&amp;"生成成长"),4))/(VLOOKUP(EF$72,INDIRECT($C$5&amp;"生成成长"),5))*(VLOOKUP($B$5,标准坦克设计!$B$24:$U$30,MATCH("对"&amp;LEFT($C$5,2)&amp;"输出",标准坦克设计!$B$23:$U$23,0)))*(VLOOKUP($B211,INDIRECT($B$5&amp;"生成成长"),3))*(VLOOKUP($B$5,标准坦克设计!$B$14:$K$20,9)/30))</f>
        <v>6.0360267478427243</v>
      </c>
      <c r="EG211" s="172">
        <f ca="1">(VLOOKUP(EG$72,INDIRECT($C$5&amp;"生成成长"),2))/((VLOOKUP($B211,INDIRECT($B$5&amp;"生成成长"),4))/(VLOOKUP(EG$72,INDIRECT($C$5&amp;"生成成长"),5))*(VLOOKUP($B$5,标准坦克设计!$B$24:$U$30,MATCH("对"&amp;LEFT($C$5,2)&amp;"输出",标准坦克设计!$B$23:$U$23,0)))*(VLOOKUP($B211,INDIRECT($B$5&amp;"生成成长"),3))*(VLOOKUP($B$5,标准坦克设计!$B$14:$K$20,9)/30))</f>
        <v>6.5074182761309656</v>
      </c>
      <c r="EH211" s="172">
        <f ca="1">(VLOOKUP(EH$72,INDIRECT($C$5&amp;"生成成长"),2))/((VLOOKUP($B211,INDIRECT($B$5&amp;"生成成长"),4))/(VLOOKUP(EH$72,INDIRECT($C$5&amp;"生成成长"),5))*(VLOOKUP($B$5,标准坦克设计!$B$24:$U$30,MATCH("对"&amp;LEFT($C$5,2)&amp;"输出",标准坦克设计!$B$23:$U$23,0)))*(VLOOKUP($B211,INDIRECT($B$5&amp;"生成成长"),3))*(VLOOKUP($B$5,标准坦克设计!$B$14:$K$20,9)/30))</f>
        <v>6.9965312904450805</v>
      </c>
      <c r="EI211" s="172">
        <f ca="1">(VLOOKUP(EI$72,INDIRECT($C$5&amp;"生成成长"),2))/((VLOOKUP($B211,INDIRECT($B$5&amp;"生成成长"),4))/(VLOOKUP(EI$72,INDIRECT($C$5&amp;"生成成长"),5))*(VLOOKUP($B$5,标准坦克设计!$B$24:$U$30,MATCH("对"&amp;LEFT($C$5,2)&amp;"输出",标准坦克设计!$B$23:$U$23,0)))*(VLOOKUP($B211,INDIRECT($B$5&amp;"生成成长"),3))*(VLOOKUP($B$5,标准坦克设计!$B$14:$K$20,9)/30))</f>
        <v>7.5033657907850708</v>
      </c>
      <c r="EJ211" s="172">
        <f ca="1">(VLOOKUP(EJ$72,INDIRECT($C$5&amp;"生成成长"),2))/((VLOOKUP($B211,INDIRECT($B$5&amp;"生成成长"),4))/(VLOOKUP(EJ$72,INDIRECT($C$5&amp;"生成成长"),5))*(VLOOKUP($B$5,标准坦克设计!$B$24:$U$30,MATCH("对"&amp;LEFT($C$5,2)&amp;"输出",标准坦克设计!$B$23:$U$23,0)))*(VLOOKUP($B211,INDIRECT($B$5&amp;"生成成长"),3))*(VLOOKUP($B$5,标准坦克设计!$B$14:$K$20,9)/30))</f>
        <v>8.027921777150933</v>
      </c>
      <c r="EK211" s="172">
        <f ca="1">(VLOOKUP(EK$72,INDIRECT($C$5&amp;"生成成长"),2))/((VLOOKUP($B211,INDIRECT($B$5&amp;"生成成长"),4))/(VLOOKUP(EK$72,INDIRECT($C$5&amp;"生成成长"),5))*(VLOOKUP($B$5,标准坦克设计!$B$24:$U$30,MATCH("对"&amp;LEFT($C$5,2)&amp;"输出",标准坦克设计!$B$23:$U$23,0)))*(VLOOKUP($B211,INDIRECT($B$5&amp;"生成成长"),3))*(VLOOKUP($B$5,标准坦克设计!$B$14:$K$20,9)/30))</f>
        <v>8.6807813223441208</v>
      </c>
      <c r="EL211" s="172">
        <f ca="1">(VLOOKUP(EL$72,INDIRECT($C$5&amp;"生成成长"),2))/((VLOOKUP($B211,INDIRECT($B$5&amp;"生成成长"),4))/(VLOOKUP(EL$72,INDIRECT($C$5&amp;"生成成长"),5))*(VLOOKUP($B$5,标准坦克设计!$B$24:$U$30,MATCH("对"&amp;LEFT($C$5,2)&amp;"输出",标准坦克设计!$B$23:$U$23,0)))*(VLOOKUP($B211,INDIRECT($B$5&amp;"生成成长"),3))*(VLOOKUP($B$5,标准坦克设计!$B$14:$K$20,9)/30))</f>
        <v>9.3591598074145672</v>
      </c>
      <c r="EM211" s="172">
        <f ca="1">(VLOOKUP(EM$72,INDIRECT($C$5&amp;"生成成长"),2))/((VLOOKUP($B211,INDIRECT($B$5&amp;"生成成长"),4))/(VLOOKUP(EM$72,INDIRECT($C$5&amp;"生成成长"),5))*(VLOOKUP($B$5,标准坦克设计!$B$24:$U$30,MATCH("对"&amp;LEFT($C$5,2)&amp;"输出",标准坦克设计!$B$23:$U$23,0)))*(VLOOKUP($B211,INDIRECT($B$5&amp;"生成成长"),3))*(VLOOKUP($B$5,标准坦克设计!$B$14:$K$20,9)/30))</f>
        <v>10.06305723236227</v>
      </c>
      <c r="EN211" s="172">
        <f ca="1">(VLOOKUP(EN$72,INDIRECT($C$5&amp;"生成成长"),2))/((VLOOKUP($B211,INDIRECT($B$5&amp;"生成成长"),4))/(VLOOKUP(EN$72,INDIRECT($C$5&amp;"生成成长"),5))*(VLOOKUP($B$5,标准坦克设计!$B$24:$U$30,MATCH("对"&amp;LEFT($C$5,2)&amp;"输出",标准坦克设计!$B$23:$U$23,0)))*(VLOOKUP($B211,INDIRECT($B$5&amp;"生成成长"),3))*(VLOOKUP($B$5,标准坦克设计!$B$14:$K$20,9)/30))</f>
        <v>10.792473597187236</v>
      </c>
      <c r="EO211" s="172">
        <f ca="1">(VLOOKUP(EO$72,INDIRECT($C$5&amp;"生成成长"),2))/((VLOOKUP($B211,INDIRECT($B$5&amp;"生成成长"),4))/(VLOOKUP(EO$72,INDIRECT($C$5&amp;"生成成长"),5))*(VLOOKUP($B$5,标准坦克设计!$B$24:$U$30,MATCH("对"&amp;LEFT($C$5,2)&amp;"输出",标准坦克设计!$B$23:$U$23,0)))*(VLOOKUP($B211,INDIRECT($B$5&amp;"生成成长"),3))*(VLOOKUP($B$5,标准坦克设计!$B$14:$K$20,9)/30))</f>
        <v>11.547408901889455</v>
      </c>
      <c r="EP211" s="172">
        <f ca="1">(VLOOKUP(EP$72,INDIRECT($C$5&amp;"生成成长"),2))/((VLOOKUP($B211,INDIRECT($B$5&amp;"生成成长"),4))/(VLOOKUP(EP$72,INDIRECT($C$5&amp;"生成成长"),5))*(VLOOKUP($B$5,标准坦克设计!$B$24:$U$30,MATCH("对"&amp;LEFT($C$5,2)&amp;"输出",标准坦克设计!$B$23:$U$23,0)))*(VLOOKUP($B211,INDIRECT($B$5&amp;"生成成长"),3))*(VLOOKUP($B$5,标准坦克设计!$B$14:$K$20,9)/30))</f>
        <v>12.327863146468934</v>
      </c>
      <c r="EQ211" s="172">
        <f ca="1">(VLOOKUP(EQ$72,INDIRECT($C$5&amp;"生成成长"),2))/((VLOOKUP($B211,INDIRECT($B$5&amp;"生成成长"),4))/(VLOOKUP(EQ$72,INDIRECT($C$5&amp;"生成成长"),5))*(VLOOKUP($B$5,标准坦克设计!$B$24:$U$30,MATCH("对"&amp;LEFT($C$5,2)&amp;"输出",标准坦克设计!$B$23:$U$23,0)))*(VLOOKUP($B211,INDIRECT($B$5&amp;"生成成长"),3))*(VLOOKUP($B$5,标准坦克设计!$B$14:$K$20,9)/30))</f>
        <v>5.449711382676691</v>
      </c>
      <c r="ER211" s="172">
        <f ca="1">(VLOOKUP(ER$72,INDIRECT($C$5&amp;"生成成长"),2))/((VLOOKUP($B211,INDIRECT($B$5&amp;"生成成长"),4))/(VLOOKUP(ER$72,INDIRECT($C$5&amp;"生成成长"),5))*(VLOOKUP($B$5,标准坦克设计!$B$24:$U$30,MATCH("对"&amp;LEFT($C$5,2)&amp;"输出",标准坦克设计!$B$23:$U$23,0)))*(VLOOKUP($B211,INDIRECT($B$5&amp;"生成成长"),3))*(VLOOKUP($B$5,标准坦克设计!$B$14:$K$20,9)/30))</f>
        <v>5.9438750205081803</v>
      </c>
      <c r="ES211" s="172">
        <f ca="1">(VLOOKUP(ES$72,INDIRECT($C$5&amp;"生成成长"),2))/((VLOOKUP($B211,INDIRECT($B$5&amp;"生成成长"),4))/(VLOOKUP(ES$72,INDIRECT($C$5&amp;"生成成长"),5))*(VLOOKUP($B$5,标准坦克设计!$B$24:$U$30,MATCH("对"&amp;LEFT($C$5,2)&amp;"输出",标准坦克设计!$B$23:$U$23,0)))*(VLOOKUP($B211,INDIRECT($B$5&amp;"生成成长"),3))*(VLOOKUP($B$5,标准坦克设计!$B$14:$K$20,9)/30))</f>
        <v>6.4594816564309765</v>
      </c>
      <c r="ET211" s="172">
        <f ca="1">(VLOOKUP(ET$72,INDIRECT($C$5&amp;"生成成长"),2))/((VLOOKUP($B211,INDIRECT($B$5&amp;"生成成长"),4))/(VLOOKUP(ET$72,INDIRECT($C$5&amp;"生成成长"),5))*(VLOOKUP($B$5,标准坦克设计!$B$24:$U$30,MATCH("对"&amp;LEFT($C$5,2)&amp;"输出",标准坦克设计!$B$23:$U$23,0)))*(VLOOKUP($B211,INDIRECT($B$5&amp;"生成成长"),3))*(VLOOKUP($B$5,标准坦克设计!$B$14:$K$20,9)/30))</f>
        <v>6.9965312904450805</v>
      </c>
      <c r="EU211" s="172">
        <f ca="1">(VLOOKUP(EU$72,INDIRECT($C$5&amp;"生成成长"),2))/((VLOOKUP($B211,INDIRECT($B$5&amp;"生成成长"),4))/(VLOOKUP(EU$72,INDIRECT($C$5&amp;"生成成长"),5))*(VLOOKUP($B$5,标准坦克设计!$B$24:$U$30,MATCH("对"&amp;LEFT($C$5,2)&amp;"输出",标准坦克设计!$B$23:$U$23,0)))*(VLOOKUP($B211,INDIRECT($B$5&amp;"生成成长"),3))*(VLOOKUP($B$5,标准坦克设计!$B$14:$K$20,9)/30))</f>
        <v>7.5550239225504914</v>
      </c>
      <c r="EV211" s="172">
        <f ca="1">(VLOOKUP(EV$72,INDIRECT($C$5&amp;"生成成长"),2))/((VLOOKUP($B211,INDIRECT($B$5&amp;"生成成长"),4))/(VLOOKUP(EV$72,INDIRECT($C$5&amp;"生成成长"),5))*(VLOOKUP($B$5,标准坦克设计!$B$24:$U$30,MATCH("对"&amp;LEFT($C$5,2)&amp;"输出",标准坦克设计!$B$23:$U$23,0)))*(VLOOKUP($B211,INDIRECT($B$5&amp;"生成成长"),3))*(VLOOKUP($B$5,标准坦克设计!$B$14:$K$20,9)/30))</f>
        <v>8.1349595527472118</v>
      </c>
      <c r="EW211" s="172">
        <f ca="1">(VLOOKUP(EW$72,INDIRECT($C$5&amp;"生成成长"),2))/((VLOOKUP($B211,INDIRECT($B$5&amp;"生成成长"),4))/(VLOOKUP(EW$72,INDIRECT($C$5&amp;"生成成长"),5))*(VLOOKUP($B$5,标准坦克设计!$B$24:$U$30,MATCH("对"&amp;LEFT($C$5,2)&amp;"输出",标准坦克设计!$B$23:$U$23,0)))*(VLOOKUP($B211,INDIRECT($B$5&amp;"生成成长"),3))*(VLOOKUP($B$5,标准坦克设计!$B$14:$K$20,9)/30))</f>
        <v>8.7363381810352365</v>
      </c>
      <c r="EX211" s="172">
        <f ca="1">(VLOOKUP(EX$72,INDIRECT($C$5&amp;"生成成长"),2))/((VLOOKUP($B211,INDIRECT($B$5&amp;"生成成长"),4))/(VLOOKUP(EX$72,INDIRECT($C$5&amp;"生成成长"),5))*(VLOOKUP($B$5,标准坦克设计!$B$24:$U$30,MATCH("对"&amp;LEFT($C$5,2)&amp;"输出",标准坦克设计!$B$23:$U$23,0)))*(VLOOKUP($B211,INDIRECT($B$5&amp;"生成成长"),3))*(VLOOKUP($B$5,标准坦克设计!$B$14:$K$20,9)/30))</f>
        <v>9.3591598074145672</v>
      </c>
      <c r="EY211" s="172">
        <f ca="1">(VLOOKUP(EY$72,INDIRECT($C$5&amp;"生成成长"),2))/((VLOOKUP($B211,INDIRECT($B$5&amp;"生成成长"),4))/(VLOOKUP(EY$72,INDIRECT($C$5&amp;"生成成长"),5))*(VLOOKUP($B$5,标准坦克设计!$B$24:$U$30,MATCH("对"&amp;LEFT($C$5,2)&amp;"输出",标准坦克设计!$B$23:$U$23,0)))*(VLOOKUP($B211,INDIRECT($B$5&amp;"生成成长"),3))*(VLOOKUP($B$5,标准坦克设计!$B$14:$K$20,9)/30))</f>
        <v>10.003424431885206</v>
      </c>
      <c r="EZ211" s="172">
        <f ca="1">(VLOOKUP(EZ$72,INDIRECT($C$5&amp;"生成成长"),2))/((VLOOKUP($B211,INDIRECT($B$5&amp;"生成成长"),4))/(VLOOKUP(EZ$72,INDIRECT($C$5&amp;"生成成长"),5))*(VLOOKUP($B$5,标准坦克设计!$B$24:$U$30,MATCH("对"&amp;LEFT($C$5,2)&amp;"输出",标准坦克设计!$B$23:$U$23,0)))*(VLOOKUP($B211,INDIRECT($B$5&amp;"生成成长"),3))*(VLOOKUP($B$5,标准坦克设计!$B$14:$K$20,9)/30))</f>
        <v>10.669132054447154</v>
      </c>
      <c r="FA211" s="172">
        <f ca="1">(VLOOKUP(FA$72,INDIRECT($C$5&amp;"生成成长"),2))/((VLOOKUP($B211,INDIRECT($B$5&amp;"生成成长"),4))/(VLOOKUP(FA$72,INDIRECT($C$5&amp;"生成成长"),5))*(VLOOKUP($B$5,标准坦克设计!$B$24:$U$30,MATCH("对"&amp;LEFT($C$5,2)&amp;"输出",标准坦克设计!$B$23:$U$23,0)))*(VLOOKUP($B211,INDIRECT($B$5&amp;"生成成长"),3))*(VLOOKUP($B$5,标准坦克设计!$B$14:$K$20,9)/30))</f>
        <v>11.35628267510041</v>
      </c>
      <c r="FB211" s="172">
        <f ca="1">(VLOOKUP(FB$72,INDIRECT($C$5&amp;"生成成长"),2))/((VLOOKUP($B211,INDIRECT($B$5&amp;"生成成长"),4))/(VLOOKUP(FB$72,INDIRECT($C$5&amp;"生成成长"),5))*(VLOOKUP($B$5,标准坦克设计!$B$24:$U$30,MATCH("对"&amp;LEFT($C$5,2)&amp;"输出",标准坦克设计!$B$23:$U$23,0)))*(VLOOKUP($B211,INDIRECT($B$5&amp;"生成成长"),3))*(VLOOKUP($B$5,标准坦克设计!$B$14:$K$20,9)/30))</f>
        <v>12.06487629384497</v>
      </c>
      <c r="FC211" s="172">
        <f ca="1">(VLOOKUP(FC$72,INDIRECT($C$5&amp;"生成成长"),2))/((VLOOKUP($B211,INDIRECT($B$5&amp;"生成成长"),4))/(VLOOKUP(FC$72,INDIRECT($C$5&amp;"生成成长"),5))*(VLOOKUP($B$5,标准坦克设计!$B$24:$U$30,MATCH("对"&amp;LEFT($C$5,2)&amp;"输出",标准坦克设计!$B$23:$U$23,0)))*(VLOOKUP($B211,INDIRECT($B$5&amp;"生成成长"),3))*(VLOOKUP($B$5,标准坦克设计!$B$14:$K$20,9)/30))</f>
        <v>12.794912910680839</v>
      </c>
      <c r="FD211" s="172">
        <f ca="1">(VLOOKUP(FD$72,INDIRECT($C$5&amp;"生成成长"),2))/((VLOOKUP($B211,INDIRECT($B$5&amp;"生成成长"),4))/(VLOOKUP(FD$72,INDIRECT($C$5&amp;"生成成长"),5))*(VLOOKUP($B$5,标准坦克设计!$B$24:$U$30,MATCH("对"&amp;LEFT($C$5,2)&amp;"输出",标准坦克设计!$B$23:$U$23,0)))*(VLOOKUP($B211,INDIRECT($B$5&amp;"生成成长"),3))*(VLOOKUP($B$5,标准坦克设计!$B$14:$K$20,9)/30))</f>
        <v>13.546392525608015</v>
      </c>
      <c r="FE211" s="172">
        <f ca="1">(VLOOKUP(FE$72,INDIRECT($C$5&amp;"生成成长"),2))/((VLOOKUP($B211,INDIRECT($B$5&amp;"生成成长"),4))/(VLOOKUP(FE$72,INDIRECT($C$5&amp;"生成成长"),5))*(VLOOKUP($B$5,标准坦克设计!$B$24:$U$30,MATCH("对"&amp;LEFT($C$5,2)&amp;"输出",标准坦克设计!$B$23:$U$23,0)))*(VLOOKUP($B211,INDIRECT($B$5&amp;"生成成长"),3))*(VLOOKUP($B$5,标准坦克设计!$B$14:$K$20,9)/30))</f>
        <v>14.462150315995039</v>
      </c>
      <c r="FF211" s="172">
        <f ca="1">(VLOOKUP(FF$72,INDIRECT($C$5&amp;"生成成长"),2))/((VLOOKUP($B211,INDIRECT($B$5&amp;"生成成长"),4))/(VLOOKUP(FF$72,INDIRECT($C$5&amp;"生成成长"),5))*(VLOOKUP($B$5,标准坦克设计!$B$24:$U$30,MATCH("对"&amp;LEFT($C$5,2)&amp;"输出",标准坦克设计!$B$23:$U$23,0)))*(VLOOKUP($B211,INDIRECT($B$5&amp;"生成成长"),3))*(VLOOKUP($B$5,标准坦克设计!$B$14:$K$20,9)/30))</f>
        <v>15.407857417765792</v>
      </c>
      <c r="FG211" s="172">
        <f ca="1">(VLOOKUP(FG$72,INDIRECT($C$5&amp;"生成成长"),2))/((VLOOKUP($B211,INDIRECT($B$5&amp;"生成成长"),4))/(VLOOKUP(FG$72,INDIRECT($C$5&amp;"生成成长"),5))*(VLOOKUP($B$5,标准坦克设计!$B$24:$U$30,MATCH("对"&amp;LEFT($C$5,2)&amp;"输出",标准坦克设计!$B$23:$U$23,0)))*(VLOOKUP($B211,INDIRECT($B$5&amp;"生成成长"),3))*(VLOOKUP($B$5,标准坦克设计!$B$14:$K$20,9)/30))</f>
        <v>16.383513830920268</v>
      </c>
      <c r="FH211" s="172">
        <f ca="1">(VLOOKUP(FH$72,INDIRECT($C$5&amp;"生成成长"),2))/((VLOOKUP($B211,INDIRECT($B$5&amp;"生成成长"),4))/(VLOOKUP(FH$72,INDIRECT($C$5&amp;"生成成长"),5))*(VLOOKUP($B$5,标准坦克设计!$B$24:$U$30,MATCH("对"&amp;LEFT($C$5,2)&amp;"输出",标准坦克设计!$B$23:$U$23,0)))*(VLOOKUP($B211,INDIRECT($B$5&amp;"生成成长"),3))*(VLOOKUP($B$5,标准坦克设计!$B$14:$K$20,9)/30))</f>
        <v>17.389119555458475</v>
      </c>
      <c r="FI211" s="172">
        <f ca="1">(VLOOKUP(FI$72,INDIRECT($C$5&amp;"生成成长"),2))/((VLOOKUP($B211,INDIRECT($B$5&amp;"生成成长"),4))/(VLOOKUP(FI$72,INDIRECT($C$5&amp;"生成成长"),5))*(VLOOKUP($B$5,标准坦克设计!$B$24:$U$30,MATCH("对"&amp;LEFT($C$5,2)&amp;"输出",标准坦克设计!$B$23:$U$23,0)))*(VLOOKUP($B211,INDIRECT($B$5&amp;"生成成长"),3))*(VLOOKUP($B$5,标准坦克设计!$B$14:$K$20,9)/30))</f>
        <v>18.424674591380409</v>
      </c>
      <c r="FJ211" s="172">
        <f ca="1">(VLOOKUP(FJ$72,INDIRECT($C$5&amp;"生成成长"),2))/((VLOOKUP($B211,INDIRECT($B$5&amp;"生成成长"),4))/(VLOOKUP(FJ$72,INDIRECT($C$5&amp;"生成成长"),5))*(VLOOKUP($B$5,标准坦克设计!$B$24:$U$30,MATCH("对"&amp;LEFT($C$5,2)&amp;"输出",标准坦克设计!$B$23:$U$23,0)))*(VLOOKUP($B211,INDIRECT($B$5&amp;"生成成长"),3))*(VLOOKUP($B$5,标准坦克设计!$B$14:$K$20,9)/30))</f>
        <v>19.490178938686064</v>
      </c>
      <c r="FK211" s="172">
        <f ca="1">(VLOOKUP(FK$72,INDIRECT($C$5&amp;"生成成长"),2))/((VLOOKUP($B211,INDIRECT($B$5&amp;"生成成长"),4))/(VLOOKUP(FK$72,INDIRECT($C$5&amp;"生成成长"),5))*(VLOOKUP($B$5,标准坦克设计!$B$24:$U$30,MATCH("对"&amp;LEFT($C$5,2)&amp;"输出",标准坦克设计!$B$23:$U$23,0)))*(VLOOKUP($B211,INDIRECT($B$5&amp;"生成成长"),3))*(VLOOKUP($B$5,标准坦克设计!$B$14:$K$20,9)/30))</f>
        <v>20.585632597375447</v>
      </c>
    </row>
    <row r="212" spans="1:167" x14ac:dyDescent="0.15">
      <c r="A212" s="170" t="str">
        <f t="shared" si="13"/>
        <v>T4高品质14级</v>
      </c>
      <c r="B212" s="171">
        <v>30414</v>
      </c>
      <c r="C212" s="172">
        <f ca="1">(VLOOKUP(C$72,INDIRECT($C$5&amp;"生成成长"),2))/((VLOOKUP($B212,INDIRECT($B$5&amp;"生成成长"),4))/(VLOOKUP(C$72,INDIRECT($C$5&amp;"生成成长"),5))*(VLOOKUP($B$5,标准坦克设计!$B$24:$U$30,MATCH("对"&amp;LEFT($C$5,2)&amp;"输出",标准坦克设计!$B$23:$U$23,0)))*(VLOOKUP($B212,INDIRECT($B$5&amp;"生成成长"),3))*(VLOOKUP($B$5,标准坦克设计!$B$14:$K$20,9)/30))</f>
        <v>0.82018833068702712</v>
      </c>
      <c r="D212" s="172">
        <f ca="1">(VLOOKUP(D$72,INDIRECT($C$5&amp;"生成成长"),2))/((VLOOKUP($B212,INDIRECT($B$5&amp;"生成成长"),4))/(VLOOKUP(D$72,INDIRECT($C$5&amp;"生成成长"),5))*(VLOOKUP($B$5,标准坦克设计!$B$24:$U$30,MATCH("对"&amp;LEFT($C$5,2)&amp;"输出",标准坦克设计!$B$23:$U$23,0)))*(VLOOKUP($B212,INDIRECT($B$5&amp;"生成成长"),3))*(VLOOKUP($B$5,标准坦克设计!$B$14:$K$20,9)/30))</f>
        <v>0.92156360835994378</v>
      </c>
      <c r="E212" s="172">
        <f ca="1">(VLOOKUP(E$72,INDIRECT($C$5&amp;"生成成长"),2))/((VLOOKUP($B212,INDIRECT($B$5&amp;"生成成长"),4))/(VLOOKUP(E$72,INDIRECT($C$5&amp;"生成成长"),5))*(VLOOKUP($B$5,标准坦克设计!$B$24:$U$30,MATCH("对"&amp;LEFT($C$5,2)&amp;"输出",标准坦克设计!$B$23:$U$23,0)))*(VLOOKUP($B212,INDIRECT($B$5&amp;"生成成长"),3))*(VLOOKUP($B$5,标准坦克设计!$B$14:$K$20,9)/30))</f>
        <v>1.0288442420138069</v>
      </c>
      <c r="F212" s="172">
        <f ca="1">(VLOOKUP(F$72,INDIRECT($C$5&amp;"生成成长"),2))/((VLOOKUP($B212,INDIRECT($B$5&amp;"生成成长"),4))/(VLOOKUP(F$72,INDIRECT($C$5&amp;"生成成长"),5))*(VLOOKUP($B$5,标准坦克设计!$B$24:$U$30,MATCH("对"&amp;LEFT($C$5,2)&amp;"输出",标准坦克设计!$B$23:$U$23,0)))*(VLOOKUP($B212,INDIRECT($B$5&amp;"生成成长"),3))*(VLOOKUP($B$5,标准坦克设计!$B$14:$K$20,9)/30))</f>
        <v>1.1420302316486166</v>
      </c>
      <c r="G212" s="172">
        <f ca="1">(VLOOKUP(G$72,INDIRECT($C$5&amp;"生成成长"),2))/((VLOOKUP($B212,INDIRECT($B$5&amp;"生成成长"),4))/(VLOOKUP(G$72,INDIRECT($C$5&amp;"生成成长"),5))*(VLOOKUP($B$5,标准坦克设计!$B$24:$U$30,MATCH("对"&amp;LEFT($C$5,2)&amp;"输出",标准坦克设计!$B$23:$U$23,0)))*(VLOOKUP($B212,INDIRECT($B$5&amp;"生成成长"),3))*(VLOOKUP($B$5,标准坦克设计!$B$14:$K$20,9)/30))</f>
        <v>1.2611215772643729</v>
      </c>
      <c r="H212" s="172">
        <f ca="1">(VLOOKUP(H$72,INDIRECT($C$5&amp;"生成成长"),2))/((VLOOKUP($B212,INDIRECT($B$5&amp;"生成成长"),4))/(VLOOKUP(H$72,INDIRECT($C$5&amp;"生成成长"),5))*(VLOOKUP($B$5,标准坦克设计!$B$24:$U$30,MATCH("对"&amp;LEFT($C$5,2)&amp;"输出",标准坦克设计!$B$23:$U$23,0)))*(VLOOKUP($B212,INDIRECT($B$5&amp;"生成成长"),3))*(VLOOKUP($B$5,标准坦克设计!$B$14:$K$20,9)/30))</f>
        <v>1.1036454177724635</v>
      </c>
      <c r="I212" s="172">
        <f ca="1">(VLOOKUP(I$72,INDIRECT($C$5&amp;"生成成长"),2))/((VLOOKUP($B212,INDIRECT($B$5&amp;"生成成长"),4))/(VLOOKUP(I$72,INDIRECT($C$5&amp;"生成成长"),5))*(VLOOKUP($B$5,标准坦克设计!$B$24:$U$30,MATCH("对"&amp;LEFT($C$5,2)&amp;"输出",标准坦克设计!$B$23:$U$23,0)))*(VLOOKUP($B212,INDIRECT($B$5&amp;"生成成长"),3))*(VLOOKUP($B$5,标准坦克设计!$B$14:$K$20,9)/30))</f>
        <v>1.2611215772643729</v>
      </c>
      <c r="J212" s="172">
        <f ca="1">(VLOOKUP(J$72,INDIRECT($C$5&amp;"生成成长"),2))/((VLOOKUP($B212,INDIRECT($B$5&amp;"生成成长"),4))/(VLOOKUP(J$72,INDIRECT($C$5&amp;"生成成长"),5))*(VLOOKUP($B$5,标准坦克设计!$B$24:$U$30,MATCH("对"&amp;LEFT($C$5,2)&amp;"输出",标准坦克设计!$B$23:$U$23,0)))*(VLOOKUP($B212,INDIRECT($B$5&amp;"生成成长"),3))*(VLOOKUP($B$5,标准坦克设计!$B$14:$K$20,9)/30))</f>
        <v>1.4290961473890764</v>
      </c>
      <c r="K212" s="172">
        <f ca="1">(VLOOKUP(K$72,INDIRECT($C$5&amp;"生成成长"),2))/((VLOOKUP($B212,INDIRECT($B$5&amp;"生成成长"),4))/(VLOOKUP(K$72,INDIRECT($C$5&amp;"生成成长"),5))*(VLOOKUP($B$5,标准坦克设计!$B$24:$U$30,MATCH("对"&amp;LEFT($C$5,2)&amp;"输出",标准坦克设计!$B$23:$U$23,0)))*(VLOOKUP($B212,INDIRECT($B$5&amp;"生成成长"),3))*(VLOOKUP($B$5,标准坦克设计!$B$14:$K$20,9)/30))</f>
        <v>1.6075691281465732</v>
      </c>
      <c r="L212" s="172">
        <f ca="1">(VLOOKUP(L$72,INDIRECT($C$5&amp;"生成成长"),2))/((VLOOKUP($B212,INDIRECT($B$5&amp;"生成成长"),4))/(VLOOKUP(L$72,INDIRECT($C$5&amp;"生成成长"),5))*(VLOOKUP($B$5,标准坦克设计!$B$24:$U$30,MATCH("对"&amp;LEFT($C$5,2)&amp;"输出",标准坦克设计!$B$23:$U$23,0)))*(VLOOKUP($B212,INDIRECT($B$5&amp;"生成成长"),3))*(VLOOKUP($B$5,标准坦克设计!$B$14:$K$20,9)/30))</f>
        <v>1.7965405195368644</v>
      </c>
      <c r="M212" s="172">
        <f ca="1">(VLOOKUP(M$72,INDIRECT($C$5&amp;"生成成长"),2))/((VLOOKUP($B212,INDIRECT($B$5&amp;"生成成长"),4))/(VLOOKUP(M$72,INDIRECT($C$5&amp;"生成成长"),5))*(VLOOKUP($B$5,标准坦克设计!$B$24:$U$30,MATCH("对"&amp;LEFT($C$5,2)&amp;"输出",标准坦克设计!$B$23:$U$23,0)))*(VLOOKUP($B212,INDIRECT($B$5&amp;"生成成长"),3))*(VLOOKUP($B$5,标准坦克设计!$B$14:$K$20,9)/30))</f>
        <v>1.996010321559949</v>
      </c>
      <c r="N212" s="172">
        <f ca="1">(VLOOKUP(N$72,INDIRECT($C$5&amp;"生成成长"),2))/((VLOOKUP($B212,INDIRECT($B$5&amp;"生成成长"),4))/(VLOOKUP(N$72,INDIRECT($C$5&amp;"生成成长"),5))*(VLOOKUP($B$5,标准坦克设计!$B$24:$U$30,MATCH("对"&amp;LEFT($C$5,2)&amp;"输出",标准坦克设计!$B$23:$U$23,0)))*(VLOOKUP($B212,INDIRECT($B$5&amp;"生成成长"),3))*(VLOOKUP($B$5,标准坦克设计!$B$14:$K$20,9)/30))</f>
        <v>2.2059785342158285</v>
      </c>
      <c r="O212" s="172">
        <f ca="1">(VLOOKUP(O$72,INDIRECT($C$5&amp;"生成成长"),2))/((VLOOKUP($B212,INDIRECT($B$5&amp;"生成成长"),4))/(VLOOKUP(O$72,INDIRECT($C$5&amp;"生成成长"),5))*(VLOOKUP($B$5,标准坦克设计!$B$24:$U$30,MATCH("对"&amp;LEFT($C$5,2)&amp;"输出",标准坦克设计!$B$23:$U$23,0)))*(VLOOKUP($B212,INDIRECT($B$5&amp;"生成成长"),3))*(VLOOKUP($B$5,标准坦克设计!$B$14:$K$20,9)/30))</f>
        <v>1.6772031174219015</v>
      </c>
      <c r="P212" s="172">
        <f ca="1">(VLOOKUP(P$72,INDIRECT($C$5&amp;"生成成长"),2))/((VLOOKUP($B212,INDIRECT($B$5&amp;"生成成长"),4))/(VLOOKUP(P$72,INDIRECT($C$5&amp;"生成成长"),5))*(VLOOKUP($B$5,标准坦克设计!$B$24:$U$30,MATCH("对"&amp;LEFT($C$5,2)&amp;"输出",标准坦克设计!$B$23:$U$23,0)))*(VLOOKUP($B212,INDIRECT($B$5&amp;"生成成长"),3))*(VLOOKUP($B$5,标准坦克设计!$B$14:$K$20,9)/30))</f>
        <v>1.8949631192193077</v>
      </c>
      <c r="Q212" s="172">
        <f ca="1">(VLOOKUP(Q$72,INDIRECT($C$5&amp;"生成成长"),2))/((VLOOKUP($B212,INDIRECT($B$5&amp;"生成成长"),4))/(VLOOKUP(Q$72,INDIRECT($C$5&amp;"生成成长"),5))*(VLOOKUP($B$5,标准坦克设计!$B$24:$U$30,MATCH("对"&amp;LEFT($C$5,2)&amp;"输出",标准坦克设计!$B$23:$U$23,0)))*(VLOOKUP($B212,INDIRECT($B$5&amp;"生成成长"),3))*(VLOOKUP($B$5,标准坦克设计!$B$14:$K$20,9)/30))</f>
        <v>2.1260101719738427</v>
      </c>
      <c r="R212" s="172">
        <f ca="1">(VLOOKUP(R$72,INDIRECT($C$5&amp;"生成成长"),2))/((VLOOKUP($B212,INDIRECT($B$5&amp;"生成成长"),4))/(VLOOKUP(R$72,INDIRECT($C$5&amp;"生成成长"),5))*(VLOOKUP($B$5,标准坦克设计!$B$24:$U$30,MATCH("对"&amp;LEFT($C$5,2)&amp;"输出",标准坦克设计!$B$23:$U$23,0)))*(VLOOKUP($B212,INDIRECT($B$5&amp;"生成成长"),3))*(VLOOKUP($B$5,标准坦克设计!$B$14:$K$20,9)/30))</f>
        <v>2.3703442756855084</v>
      </c>
      <c r="S212" s="172">
        <f ca="1">(VLOOKUP(S$72,INDIRECT($C$5&amp;"生成成长"),2))/((VLOOKUP($B212,INDIRECT($B$5&amp;"生成成长"),4))/(VLOOKUP(S$72,INDIRECT($C$5&amp;"生成成长"),5))*(VLOOKUP($B$5,标准坦克设计!$B$24:$U$30,MATCH("对"&amp;LEFT($C$5,2)&amp;"输出",标准坦克设计!$B$23:$U$23,0)))*(VLOOKUP($B212,INDIRECT($B$5&amp;"生成成长"),3))*(VLOOKUP($B$5,标准坦克设计!$B$14:$K$20,9)/30))</f>
        <v>2.6279654303543039</v>
      </c>
      <c r="T212" s="172">
        <f ca="1">(VLOOKUP(T$72,INDIRECT($C$5&amp;"生成成长"),2))/((VLOOKUP($B212,INDIRECT($B$5&amp;"生成成长"),4))/(VLOOKUP(T$72,INDIRECT($C$5&amp;"生成成长"),5))*(VLOOKUP($B$5,标准坦克设计!$B$24:$U$30,MATCH("对"&amp;LEFT($C$5,2)&amp;"输出",标准坦克设计!$B$23:$U$23,0)))*(VLOOKUP($B212,INDIRECT($B$5&amp;"生成成长"),3))*(VLOOKUP($B$5,标准坦克设计!$B$14:$K$20,9)/30))</f>
        <v>2.898873635980229</v>
      </c>
      <c r="U212" s="172">
        <f ca="1">(VLOOKUP(U$72,INDIRECT($C$5&amp;"生成成长"),2))/((VLOOKUP($B212,INDIRECT($B$5&amp;"生成成长"),4))/(VLOOKUP(U$72,INDIRECT($C$5&amp;"生成成长"),5))*(VLOOKUP($B$5,标准坦克设计!$B$24:$U$30,MATCH("对"&amp;LEFT($C$5,2)&amp;"输出",标准坦克设计!$B$23:$U$23,0)))*(VLOOKUP($B212,INDIRECT($B$5&amp;"生成成长"),3))*(VLOOKUP($B$5,标准坦克设计!$B$14:$K$20,9)/30))</f>
        <v>3.1830688925632837</v>
      </c>
      <c r="V212" s="172">
        <f ca="1">(VLOOKUP(V$72,INDIRECT($C$5&amp;"生成成长"),2))/((VLOOKUP($B212,INDIRECT($B$5&amp;"生成成长"),4))/(VLOOKUP(V$72,INDIRECT($C$5&amp;"生成成长"),5))*(VLOOKUP($B$5,标准坦克设计!$B$24:$U$30,MATCH("对"&amp;LEFT($C$5,2)&amp;"输出",标准坦克设计!$B$23:$U$23,0)))*(VLOOKUP($B212,INDIRECT($B$5&amp;"生成成长"),3))*(VLOOKUP($B$5,标准坦克设计!$B$14:$K$20,9)/30))</f>
        <v>3.4805512001034686</v>
      </c>
      <c r="W212" s="172">
        <f ca="1">(VLOOKUP(W$72,INDIRECT($C$5&amp;"生成成长"),2))/((VLOOKUP($B212,INDIRECT($B$5&amp;"生成成长"),4))/(VLOOKUP(W$72,INDIRECT($C$5&amp;"生成成长"),5))*(VLOOKUP($B$5,标准坦克设计!$B$24:$U$30,MATCH("对"&amp;LEFT($C$5,2)&amp;"输出",标准坦克设计!$B$23:$U$23,0)))*(VLOOKUP($B212,INDIRECT($B$5&amp;"生成成长"),3))*(VLOOKUP($B$5,标准坦克设计!$B$14:$K$20,9)/30))</f>
        <v>3.7913205586007823</v>
      </c>
      <c r="X212" s="172">
        <f ca="1">(VLOOKUP(X$72,INDIRECT($C$5&amp;"生成成长"),2))/((VLOOKUP($B212,INDIRECT($B$5&amp;"生成成长"),4))/(VLOOKUP(X$72,INDIRECT($C$5&amp;"生成成长"),5))*(VLOOKUP($B$5,标准坦克设计!$B$24:$U$30,MATCH("对"&amp;LEFT($C$5,2)&amp;"输出",标准坦克设计!$B$23:$U$23,0)))*(VLOOKUP($B212,INDIRECT($B$5&amp;"生成成长"),3))*(VLOOKUP($B$5,标准坦克设计!$B$14:$K$20,9)/30))</f>
        <v>2.7467287006377861</v>
      </c>
      <c r="Y212" s="172">
        <f ca="1">(VLOOKUP(Y$72,INDIRECT($C$5&amp;"生成成长"),2))/((VLOOKUP($B212,INDIRECT($B$5&amp;"生成成长"),4))/(VLOOKUP(Y$72,INDIRECT($C$5&amp;"生成成长"),5))*(VLOOKUP($B$5,标准坦克设计!$B$24:$U$30,MATCH("对"&amp;LEFT($C$5,2)&amp;"输出",标准坦克设计!$B$23:$U$23,0)))*(VLOOKUP($B212,INDIRECT($B$5&amp;"生成成长"),3))*(VLOOKUP($B$5,标准坦克设计!$B$14:$K$20,9)/30))</f>
        <v>3.0551195129761077</v>
      </c>
      <c r="Z212" s="172">
        <f ca="1">(VLOOKUP(Z$72,INDIRECT($C$5&amp;"生成成长"),2))/((VLOOKUP($B212,INDIRECT($B$5&amp;"生成成长"),4))/(VLOOKUP(Z$72,INDIRECT($C$5&amp;"生成成长"),5))*(VLOOKUP($B$5,标准坦克设计!$B$24:$U$30,MATCH("对"&amp;LEFT($C$5,2)&amp;"输出",标准坦克设计!$B$23:$U$23,0)))*(VLOOKUP($B212,INDIRECT($B$5&amp;"生成成长"),3))*(VLOOKUP($B$5,标准坦克设计!$B$14:$K$20,9)/30))</f>
        <v>3.3799140919281707</v>
      </c>
      <c r="AA212" s="172">
        <f ca="1">(VLOOKUP(AA$72,INDIRECT($C$5&amp;"生成成长"),2))/((VLOOKUP($B212,INDIRECT($B$5&amp;"生成成长"),4))/(VLOOKUP(AA$72,INDIRECT($C$5&amp;"生成成长"),5))*(VLOOKUP($B$5,标准坦克设计!$B$24:$U$30,MATCH("对"&amp;LEFT($C$5,2)&amp;"输出",标准坦克设计!$B$23:$U$23,0)))*(VLOOKUP($B212,INDIRECT($B$5&amp;"生成成长"),3))*(VLOOKUP($B$5,标准坦克设计!$B$14:$K$20,9)/30))</f>
        <v>3.7211124374939732</v>
      </c>
      <c r="AB212" s="172">
        <f ca="1">(VLOOKUP(AB$72,INDIRECT($C$5&amp;"生成成长"),2))/((VLOOKUP($B212,INDIRECT($B$5&amp;"生成成长"),4))/(VLOOKUP(AB$72,INDIRECT($C$5&amp;"生成成长"),5))*(VLOOKUP($B$5,标准坦克设计!$B$24:$U$30,MATCH("对"&amp;LEFT($C$5,2)&amp;"输出",标准坦克设计!$B$23:$U$23,0)))*(VLOOKUP($B212,INDIRECT($B$5&amp;"生成成长"),3))*(VLOOKUP($B$5,标准坦克设计!$B$14:$K$20,9)/30))</f>
        <v>4.078714549673518</v>
      </c>
      <c r="AC212" s="172">
        <f ca="1">(VLOOKUP(AC$72,INDIRECT($C$5&amp;"生成成长"),2))/((VLOOKUP($B212,INDIRECT($B$5&amp;"生成成长"),4))/(VLOOKUP(AC$72,INDIRECT($C$5&amp;"生成成长"),5))*(VLOOKUP($B$5,标准坦克设计!$B$24:$U$30,MATCH("对"&amp;LEFT($C$5,2)&amp;"输出",标准坦克设计!$B$23:$U$23,0)))*(VLOOKUP($B212,INDIRECT($B$5&amp;"生成成长"),3))*(VLOOKUP($B$5,标准坦克设计!$B$14:$K$20,9)/30))</f>
        <v>4.4527204284668018</v>
      </c>
      <c r="AD212" s="172">
        <f ca="1">(VLOOKUP(AD$72,INDIRECT($C$5&amp;"生成成长"),2))/((VLOOKUP($B212,INDIRECT($B$5&amp;"生成成长"),4))/(VLOOKUP(AD$72,INDIRECT($C$5&amp;"生成成长"),5))*(VLOOKUP($B$5,标准坦克设计!$B$24:$U$30,MATCH("对"&amp;LEFT($C$5,2)&amp;"输出",标准坦克设计!$B$23:$U$23,0)))*(VLOOKUP($B212,INDIRECT($B$5&amp;"生成成长"),3))*(VLOOKUP($B$5,标准坦克设计!$B$14:$K$20,9)/30))</f>
        <v>4.8431300738738265</v>
      </c>
      <c r="AE212" s="172">
        <f ca="1">(VLOOKUP(AE$72,INDIRECT($C$5&amp;"生成成长"),2))/((VLOOKUP($B212,INDIRECT($B$5&amp;"生成成长"),4))/(VLOOKUP(AE$72,INDIRECT($C$5&amp;"生成成长"),5))*(VLOOKUP($B$5,标准坦克设计!$B$24:$U$30,MATCH("对"&amp;LEFT($C$5,2)&amp;"输出",标准坦克设计!$B$23:$U$23,0)))*(VLOOKUP($B212,INDIRECT($B$5&amp;"生成成长"),3))*(VLOOKUP($B$5,标准坦克设计!$B$14:$K$20,9)/30))</f>
        <v>5.2499434858945921</v>
      </c>
      <c r="AF212" s="172">
        <f ca="1">(VLOOKUP(AF$72,INDIRECT($C$5&amp;"生成成长"),2))/((VLOOKUP($B212,INDIRECT($B$5&amp;"生成成长"),4))/(VLOOKUP(AF$72,INDIRECT($C$5&amp;"生成成长"),5))*(VLOOKUP($B$5,标准坦克设计!$B$24:$U$30,MATCH("对"&amp;LEFT($C$5,2)&amp;"输出",标准坦克设计!$B$23:$U$23,0)))*(VLOOKUP($B212,INDIRECT($B$5&amp;"生成成长"),3))*(VLOOKUP($B$5,标准坦克设计!$B$14:$K$20,9)/30))</f>
        <v>5.6731606645290977</v>
      </c>
      <c r="AG212" s="172">
        <f ca="1">(VLOOKUP(AG$72,INDIRECT($C$5&amp;"生成成长"),2))/((VLOOKUP($B212,INDIRECT($B$5&amp;"生成成长"),4))/(VLOOKUP(AG$72,INDIRECT($C$5&amp;"生成成长"),5))*(VLOOKUP($B$5,标准坦克设计!$B$24:$U$30,MATCH("对"&amp;LEFT($C$5,2)&amp;"输出",标准坦克设计!$B$23:$U$23,0)))*(VLOOKUP($B212,INDIRECT($B$5&amp;"生成成长"),3))*(VLOOKUP($B$5,标准坦克设计!$B$14:$K$20,9)/30))</f>
        <v>6.1127816097773451</v>
      </c>
      <c r="AH212" s="172">
        <f ca="1">(VLOOKUP(AH$72,INDIRECT($C$5&amp;"生成成长"),2))/((VLOOKUP($B212,INDIRECT($B$5&amp;"生成成长"),4))/(VLOOKUP(AH$72,INDIRECT($C$5&amp;"生成成长"),5))*(VLOOKUP($B$5,标准坦克设计!$B$24:$U$30,MATCH("对"&amp;LEFT($C$5,2)&amp;"输出",标准坦克设计!$B$23:$U$23,0)))*(VLOOKUP($B212,INDIRECT($B$5&amp;"生成成长"),3))*(VLOOKUP($B$5,标准坦克设计!$B$14:$K$20,9)/30))</f>
        <v>6.5688063216393324</v>
      </c>
      <c r="AI212" s="172">
        <f ca="1">(VLOOKUP(AI$72,INDIRECT($C$5&amp;"生成成长"),2))/((VLOOKUP($B212,INDIRECT($B$5&amp;"生成成长"),4))/(VLOOKUP(AI$72,INDIRECT($C$5&amp;"生成成长"),5))*(VLOOKUP($B$5,标准坦克设计!$B$24:$U$30,MATCH("对"&amp;LEFT($C$5,2)&amp;"输出",标准坦克设计!$B$23:$U$23,0)))*(VLOOKUP($B212,INDIRECT($B$5&amp;"生成成长"),3))*(VLOOKUP($B$5,标准坦克设计!$B$14:$K$20,9)/30))</f>
        <v>4.645874780343596</v>
      </c>
      <c r="AJ212" s="172">
        <f ca="1">(VLOOKUP(AJ$72,INDIRECT($C$5&amp;"生成成长"),2))/((VLOOKUP($B212,INDIRECT($B$5&amp;"生成成长"),4))/(VLOOKUP(AJ$72,INDIRECT($C$5&amp;"生成成长"),5))*(VLOOKUP($B$5,标准坦克设计!$B$24:$U$30,MATCH("对"&amp;LEFT($C$5,2)&amp;"输出",标准坦克设计!$B$23:$U$23,0)))*(VLOOKUP($B212,INDIRECT($B$5&amp;"生成成长"),3))*(VLOOKUP($B$5,标准坦克设计!$B$14:$K$20,9)/30))</f>
        <v>5.0852496690926365</v>
      </c>
      <c r="AK212" s="172">
        <f ca="1">(VLOOKUP(AK$72,INDIRECT($C$5&amp;"生成成长"),2))/((VLOOKUP($B212,INDIRECT($B$5&amp;"生成成长"),4))/(VLOOKUP(AK$72,INDIRECT($C$5&amp;"生成成长"),5))*(VLOOKUP($B$5,标准坦克设计!$B$24:$U$30,MATCH("对"&amp;LEFT($C$5,2)&amp;"输出",标准坦克设计!$B$23:$U$23,0)))*(VLOOKUP($B212,INDIRECT($B$5&amp;"生成成长"),3))*(VLOOKUP($B$5,标准坦克设计!$B$14:$K$20,9)/30))</f>
        <v>5.5444731154443039</v>
      </c>
      <c r="AL212" s="172">
        <f ca="1">(VLOOKUP(AL$72,INDIRECT($C$5&amp;"生成成长"),2))/((VLOOKUP($B212,INDIRECT($B$5&amp;"生成成长"),4))/(VLOOKUP(AL$72,INDIRECT($C$5&amp;"生成成长"),5))*(VLOOKUP($B$5,标准坦克设计!$B$24:$U$30,MATCH("对"&amp;LEFT($C$5,2)&amp;"输出",标准坦克设计!$B$23:$U$23,0)))*(VLOOKUP($B212,INDIRECT($B$5&amp;"生成成长"),3))*(VLOOKUP($B$5,标准坦克设计!$B$14:$K$20,9)/30))</f>
        <v>6.0235451193985963</v>
      </c>
      <c r="AM212" s="172">
        <f ca="1">(VLOOKUP(AM$72,INDIRECT($C$5&amp;"生成成长"),2))/((VLOOKUP($B212,INDIRECT($B$5&amp;"生成成长"),4))/(VLOOKUP(AM$72,INDIRECT($C$5&amp;"生成成长"),5))*(VLOOKUP($B$5,标准坦克设计!$B$24:$U$30,MATCH("对"&amp;LEFT($C$5,2)&amp;"输出",标准坦克设计!$B$23:$U$23,0)))*(VLOOKUP($B212,INDIRECT($B$5&amp;"生成成长"),3))*(VLOOKUP($B$5,标准坦克设计!$B$14:$K$20,9)/30))</f>
        <v>6.5224656809555137</v>
      </c>
      <c r="AN212" s="172">
        <f ca="1">(VLOOKUP(AN$72,INDIRECT($C$5&amp;"生成成长"),2))/((VLOOKUP($B212,INDIRECT($B$5&amp;"生成成长"),4))/(VLOOKUP(AN$72,INDIRECT($C$5&amp;"生成成长"),5))*(VLOOKUP($B$5,标准坦克设计!$B$24:$U$30,MATCH("对"&amp;LEFT($C$5,2)&amp;"输出",标准坦克设计!$B$23:$U$23,0)))*(VLOOKUP($B212,INDIRECT($B$5&amp;"生成成长"),3))*(VLOOKUP($B$5,标准坦克设计!$B$14:$K$20,9)/30))</f>
        <v>7.0412348001150589</v>
      </c>
      <c r="AO212" s="172">
        <f ca="1">(VLOOKUP(AO$72,INDIRECT($C$5&amp;"生成成长"),2))/((VLOOKUP($B212,INDIRECT($B$5&amp;"生成成长"),4))/(VLOOKUP(AO$72,INDIRECT($C$5&amp;"生成成长"),5))*(VLOOKUP($B$5,标准坦克设计!$B$24:$U$30,MATCH("对"&amp;LEFT($C$5,2)&amp;"输出",标准坦克设计!$B$23:$U$23,0)))*(VLOOKUP($B212,INDIRECT($B$5&amp;"生成成长"),3))*(VLOOKUP($B$5,标准坦克设计!$B$14:$K$20,9)/30))</f>
        <v>7.5798524768772308</v>
      </c>
      <c r="AP212" s="172">
        <f ca="1">(VLOOKUP(AP$72,INDIRECT($C$5&amp;"生成成长"),2))/((VLOOKUP($B212,INDIRECT($B$5&amp;"生成成长"),4))/(VLOOKUP(AP$72,INDIRECT($C$5&amp;"生成成长"),5))*(VLOOKUP($B$5,标准坦克设计!$B$24:$U$30,MATCH("对"&amp;LEFT($C$5,2)&amp;"输出",标准坦克设计!$B$23:$U$23,0)))*(VLOOKUP($B212,INDIRECT($B$5&amp;"生成成长"),3))*(VLOOKUP($B$5,标准坦克设计!$B$14:$K$20,9)/30))</f>
        <v>8.138318711242027</v>
      </c>
      <c r="AQ212" s="172">
        <f ca="1">(VLOOKUP(AQ$72,INDIRECT($C$5&amp;"生成成长"),2))/((VLOOKUP($B212,INDIRECT($B$5&amp;"生成成长"),4))/(VLOOKUP(AQ$72,INDIRECT($C$5&amp;"生成成长"),5))*(VLOOKUP($B$5,标准坦克设计!$B$24:$U$30,MATCH("对"&amp;LEFT($C$5,2)&amp;"输出",标准坦克设计!$B$23:$U$23,0)))*(VLOOKUP($B212,INDIRECT($B$5&amp;"生成成长"),3))*(VLOOKUP($B$5,标准坦克设计!$B$14:$K$20,9)/30))</f>
        <v>8.7166335032094491</v>
      </c>
      <c r="AR212" s="172">
        <f ca="1">(VLOOKUP(AR$72,INDIRECT($C$5&amp;"生成成长"),2))/((VLOOKUP($B212,INDIRECT($B$5&amp;"生成成长"),4))/(VLOOKUP(AR$72,INDIRECT($C$5&amp;"生成成长"),5))*(VLOOKUP($B$5,标准坦克设计!$B$24:$U$30,MATCH("对"&amp;LEFT($C$5,2)&amp;"输出",标准坦克设计!$B$23:$U$23,0)))*(VLOOKUP($B212,INDIRECT($B$5&amp;"生成成长"),3))*(VLOOKUP($B$5,标准坦克设计!$B$14:$K$20,9)/30))</f>
        <v>9.3147968527794998</v>
      </c>
      <c r="AS212" s="172">
        <f ca="1">(VLOOKUP(AS$72,INDIRECT($C$5&amp;"生成成长"),2))/((VLOOKUP($B212,INDIRECT($B$5&amp;"生成成长"),4))/(VLOOKUP(AS$72,INDIRECT($C$5&amp;"生成成长"),5))*(VLOOKUP($B$5,标准坦克设计!$B$24:$U$30,MATCH("对"&amp;LEFT($C$5,2)&amp;"输出",标准坦克设计!$B$23:$U$23,0)))*(VLOOKUP($B212,INDIRECT($B$5&amp;"生成成长"),3))*(VLOOKUP($B$5,标准坦克设计!$B$14:$K$20,9)/30))</f>
        <v>9.9328087599521737</v>
      </c>
      <c r="AT212" s="172">
        <f ca="1">(VLOOKUP(AT$72,INDIRECT($C$5&amp;"生成成长"),2))/((VLOOKUP($B212,INDIRECT($B$5&amp;"生成成长"),4))/(VLOOKUP(AT$72,INDIRECT($C$5&amp;"生成成长"),5))*(VLOOKUP($B$5,标准坦克设计!$B$24:$U$30,MATCH("对"&amp;LEFT($C$5,2)&amp;"输出",标准坦克设计!$B$23:$U$23,0)))*(VLOOKUP($B212,INDIRECT($B$5&amp;"生成成长"),3))*(VLOOKUP($B$5,标准坦克设计!$B$14:$K$20,9)/30))</f>
        <v>10.570669224727476</v>
      </c>
      <c r="AU212" s="172">
        <f ca="1">(VLOOKUP(AU$72,INDIRECT($C$5&amp;"生成成长"),2))/((VLOOKUP($B212,INDIRECT($B$5&amp;"生成成长"),4))/(VLOOKUP(AU$72,INDIRECT($C$5&amp;"生成成长"),5))*(VLOOKUP($B$5,标准坦克设计!$B$24:$U$30,MATCH("对"&amp;LEFT($C$5,2)&amp;"输出",标准坦克设计!$B$23:$U$23,0)))*(VLOOKUP($B212,INDIRECT($B$5&amp;"生成成长"),3))*(VLOOKUP($B$5,标准坦克设计!$B$14:$K$20,9)/30))</f>
        <v>11.228378247105404</v>
      </c>
      <c r="AV212" s="172">
        <f ca="1">(VLOOKUP(AV$72,INDIRECT($C$5&amp;"生成成长"),2))/((VLOOKUP($B212,INDIRECT($B$5&amp;"生成成长"),4))/(VLOOKUP(AV$72,INDIRECT($C$5&amp;"生成成长"),5))*(VLOOKUP($B$5,标准坦克设计!$B$24:$U$30,MATCH("对"&amp;LEFT($C$5,2)&amp;"输出",标准坦克设计!$B$23:$U$23,0)))*(VLOOKUP($B212,INDIRECT($B$5&amp;"生成成长"),3))*(VLOOKUP($B$5,标准坦克设计!$B$14:$K$20,9)/30))</f>
        <v>1.1420302316486166</v>
      </c>
      <c r="AW212" s="172">
        <f ca="1">(VLOOKUP(AW$72,INDIRECT($C$5&amp;"生成成长"),2))/((VLOOKUP($B212,INDIRECT($B$5&amp;"生成成长"),4))/(VLOOKUP(AW$72,INDIRECT($C$5&amp;"生成成长"),5))*(VLOOKUP($B$5,标准坦克设计!$B$24:$U$30,MATCH("对"&amp;LEFT($C$5,2)&amp;"输出",标准坦克设计!$B$23:$U$23,0)))*(VLOOKUP($B212,INDIRECT($B$5&amp;"生成成长"),3))*(VLOOKUP($B$5,标准坦克设计!$B$14:$K$20,9)/30))</f>
        <v>1.3021309937987242</v>
      </c>
      <c r="AX212" s="172">
        <f ca="1">(VLOOKUP(AX$72,INDIRECT($C$5&amp;"生成成长"),2))/((VLOOKUP($B212,INDIRECT($B$5&amp;"生成成长"),4))/(VLOOKUP(AX$72,INDIRECT($C$5&amp;"生成成长"),5))*(VLOOKUP($B$5,标准坦克设计!$B$24:$U$30,MATCH("对"&amp;LEFT($C$5,2)&amp;"输出",标准坦克设计!$B$23:$U$23,0)))*(VLOOKUP($B212,INDIRECT($B$5&amp;"生成成长"),3))*(VLOOKUP($B$5,标准坦克设计!$B$14:$K$20,9)/30))</f>
        <v>1.4727301665816257</v>
      </c>
      <c r="AY212" s="172">
        <f ca="1">(VLOOKUP(AY$72,INDIRECT($C$5&amp;"生成成长"),2))/((VLOOKUP($B212,INDIRECT($B$5&amp;"生成成长"),4))/(VLOOKUP(AY$72,INDIRECT($C$5&amp;"生成成长"),5))*(VLOOKUP($B$5,标准坦克设计!$B$24:$U$30,MATCH("对"&amp;LEFT($C$5,2)&amp;"输出",标准坦克设计!$B$23:$U$23,0)))*(VLOOKUP($B212,INDIRECT($B$5&amp;"生成成长"),3))*(VLOOKUP($B$5,标准坦克设计!$B$14:$K$20,9)/30))</f>
        <v>1.6538277499973217</v>
      </c>
      <c r="AZ212" s="172">
        <f ca="1">(VLOOKUP(AZ$72,INDIRECT($C$5&amp;"生成成长"),2))/((VLOOKUP($B212,INDIRECT($B$5&amp;"生成成长"),4))/(VLOOKUP(AZ$72,INDIRECT($C$5&amp;"生成成长"),5))*(VLOOKUP($B$5,标准坦克设计!$B$24:$U$30,MATCH("对"&amp;LEFT($C$5,2)&amp;"输出",标准坦克设计!$B$23:$U$23,0)))*(VLOOKUP($B212,INDIRECT($B$5&amp;"生成成长"),3))*(VLOOKUP($B$5,标准坦克设计!$B$14:$K$20,9)/30))</f>
        <v>1.8454237440458112</v>
      </c>
      <c r="BA212" s="172">
        <f ca="1">(VLOOKUP(BA$72,INDIRECT($C$5&amp;"生成成长"),2))/((VLOOKUP($B212,INDIRECT($B$5&amp;"生成成长"),4))/(VLOOKUP(BA$72,INDIRECT($C$5&amp;"生成成长"),5))*(VLOOKUP($B$5,标准坦克设计!$B$24:$U$30,MATCH("对"&amp;LEFT($C$5,2)&amp;"输出",标准坦克设计!$B$23:$U$23,0)))*(VLOOKUP($B212,INDIRECT($B$5&amp;"生成成长"),3))*(VLOOKUP($B$5,标准坦克设计!$B$14:$K$20,9)/30))</f>
        <v>2.0475181487270948</v>
      </c>
      <c r="BB212" s="172">
        <f ca="1">(VLOOKUP(BB$72,INDIRECT($C$5&amp;"生成成长"),2))/((VLOOKUP($B212,INDIRECT($B$5&amp;"生成成长"),4))/(VLOOKUP(BB$72,INDIRECT($C$5&amp;"生成成长"),5))*(VLOOKUP($B$5,标准坦克设计!$B$24:$U$30,MATCH("对"&amp;LEFT($C$5,2)&amp;"输出",标准坦克设计!$B$23:$U$23,0)))*(VLOOKUP($B212,INDIRECT($B$5&amp;"生成成长"),3))*(VLOOKUP($B$5,标准坦克设计!$B$14:$K$20,9)/30))</f>
        <v>2.2601109640411723</v>
      </c>
      <c r="BC212" s="172">
        <f ca="1">(VLOOKUP(BC$72,INDIRECT($C$5&amp;"生成成长"),2))/((VLOOKUP($B212,INDIRECT($B$5&amp;"生成成长"),4))/(VLOOKUP(BC$72,INDIRECT($C$5&amp;"生成成长"),5))*(VLOOKUP($B$5,标准坦克设计!$B$24:$U$30,MATCH("对"&amp;LEFT($C$5,2)&amp;"输出",标准坦克设计!$B$23:$U$23,0)))*(VLOOKUP($B212,INDIRECT($B$5&amp;"生成成长"),3))*(VLOOKUP($B$5,标准坦克设计!$B$14:$K$20,9)/30))</f>
        <v>2.4832021899880434</v>
      </c>
      <c r="BD212" s="172">
        <f ca="1">(VLOOKUP(BD$72,INDIRECT($C$5&amp;"生成成长"),2))/((VLOOKUP($B212,INDIRECT($B$5&amp;"生成成长"),4))/(VLOOKUP(BD$72,INDIRECT($C$5&amp;"生成成长"),5))*(VLOOKUP($B$5,标准坦克设计!$B$24:$U$30,MATCH("对"&amp;LEFT($C$5,2)&amp;"输出",标准坦克设计!$B$23:$U$23,0)))*(VLOOKUP($B212,INDIRECT($B$5&amp;"生成成长"),3))*(VLOOKUP($B$5,标准坦克设计!$B$14:$K$20,9)/30))</f>
        <v>2.7467287006377861</v>
      </c>
      <c r="BE212" s="172">
        <f ca="1">(VLOOKUP(BE$72,INDIRECT($C$5&amp;"生成成长"),2))/((VLOOKUP($B212,INDIRECT($B$5&amp;"生成成长"),4))/(VLOOKUP(BE$72,INDIRECT($C$5&amp;"生成成长"),5))*(VLOOKUP($B$5,标准坦克设计!$B$24:$U$30,MATCH("对"&amp;LEFT($C$5,2)&amp;"输出",标准坦克设计!$B$23:$U$23,0)))*(VLOOKUP($B212,INDIRECT($B$5&amp;"生成成长"),3))*(VLOOKUP($B$5,标准坦克设计!$B$14:$K$20,9)/30))</f>
        <v>3.0235422622446575</v>
      </c>
      <c r="BF212" s="172">
        <f ca="1">(VLOOKUP(BF$72,INDIRECT($C$5&amp;"生成成长"),2))/((VLOOKUP($B212,INDIRECT($B$5&amp;"生成成长"),4))/(VLOOKUP(BF$72,INDIRECT($C$5&amp;"生成成长"),5))*(VLOOKUP($B$5,标准坦克设计!$B$24:$U$30,MATCH("对"&amp;LEFT($C$5,2)&amp;"输出",标准坦克设计!$B$23:$U$23,0)))*(VLOOKUP($B212,INDIRECT($B$5&amp;"生成成长"),3))*(VLOOKUP($B$5,标准坦克设计!$B$14:$K$20,9)/30))</f>
        <v>3.3136428748086582</v>
      </c>
      <c r="BG212" s="172">
        <f ca="1">(VLOOKUP(BG$72,INDIRECT($C$5&amp;"生成成长"),2))/((VLOOKUP($B212,INDIRECT($B$5&amp;"生成成长"),4))/(VLOOKUP(BG$72,INDIRECT($C$5&amp;"生成成长"),5))*(VLOOKUP($B$5,标准坦克设计!$B$24:$U$30,MATCH("对"&amp;LEFT($C$5,2)&amp;"输出",标准坦克设计!$B$23:$U$23,0)))*(VLOOKUP($B212,INDIRECT($B$5&amp;"生成成长"),3))*(VLOOKUP($B$5,标准坦克设计!$B$14:$K$20,9)/30))</f>
        <v>3.6170305383297898</v>
      </c>
      <c r="BH212" s="172">
        <f ca="1">(VLOOKUP(BH$72,INDIRECT($C$5&amp;"生成成长"),2))/((VLOOKUP($B212,INDIRECT($B$5&amp;"生成成长"),4))/(VLOOKUP(BH$72,INDIRECT($C$5&amp;"生成成长"),5))*(VLOOKUP($B$5,标准坦克设计!$B$24:$U$30,MATCH("对"&amp;LEFT($C$5,2)&amp;"输出",标准坦克设计!$B$23:$U$23,0)))*(VLOOKUP($B212,INDIRECT($B$5&amp;"生成成长"),3))*(VLOOKUP($B$5,标准坦克设计!$B$14:$K$20,9)/30))</f>
        <v>1.7483134456924672</v>
      </c>
      <c r="BI212" s="172">
        <f ca="1">(VLOOKUP(BI$72,INDIRECT($C$5&amp;"生成成长"),2))/((VLOOKUP($B212,INDIRECT($B$5&amp;"生成成长"),4))/(VLOOKUP(BI$72,INDIRECT($C$5&amp;"生成成长"),5))*(VLOOKUP($B$5,标准坦克设计!$B$24:$U$30,MATCH("对"&amp;LEFT($C$5,2)&amp;"输出",标准坦克设计!$B$23:$U$23,0)))*(VLOOKUP($B212,INDIRECT($B$5&amp;"生成成长"),3))*(VLOOKUP($B$5,标准坦克设计!$B$14:$K$20,9)/30))</f>
        <v>1.9705024644755826</v>
      </c>
      <c r="BJ212" s="172">
        <f ca="1">(VLOOKUP(BJ$72,INDIRECT($C$5&amp;"生成成长"),2))/((VLOOKUP($B212,INDIRECT($B$5&amp;"生成成长"),4))/(VLOOKUP(BJ$72,INDIRECT($C$5&amp;"生成成长"),5))*(VLOOKUP($B$5,标准坦克设计!$B$24:$U$30,MATCH("对"&amp;LEFT($C$5,2)&amp;"输出",标准坦克设计!$B$23:$U$23,0)))*(VLOOKUP($B212,INDIRECT($B$5&amp;"生成成长"),3))*(VLOOKUP($B$5,标准坦克设计!$B$14:$K$20,9)/30))</f>
        <v>2.2059785342158285</v>
      </c>
      <c r="BK212" s="172">
        <f ca="1">(VLOOKUP(BK$72,INDIRECT($C$5&amp;"生成成长"),2))/((VLOOKUP($B212,INDIRECT($B$5&amp;"生成成长"),4))/(VLOOKUP(BK$72,INDIRECT($C$5&amp;"生成成长"),5))*(VLOOKUP($B$5,标准坦克设计!$B$24:$U$30,MATCH("对"&amp;LEFT($C$5,2)&amp;"输出",标准坦克设计!$B$23:$U$23,0)))*(VLOOKUP($B212,INDIRECT($B$5&amp;"生成成长"),3))*(VLOOKUP($B$5,标准坦克设计!$B$14:$K$20,9)/30))</f>
        <v>2.454741654913204</v>
      </c>
      <c r="BL212" s="172">
        <f ca="1">(VLOOKUP(BL$72,INDIRECT($C$5&amp;"生成成长"),2))/((VLOOKUP($B212,INDIRECT($B$5&amp;"生成成长"),4))/(VLOOKUP(BL$72,INDIRECT($C$5&amp;"生成成长"),5))*(VLOOKUP($B$5,标准坦克设计!$B$24:$U$30,MATCH("对"&amp;LEFT($C$5,2)&amp;"输出",标准坦克设计!$B$23:$U$23,0)))*(VLOOKUP($B212,INDIRECT($B$5&amp;"生成成长"),3))*(VLOOKUP($B$5,标准坦克设计!$B$14:$K$20,9)/30))</f>
        <v>2.7167918265677087</v>
      </c>
      <c r="BM212" s="172">
        <f ca="1">(VLOOKUP(BM$72,INDIRECT($C$5&amp;"生成成长"),2))/((VLOOKUP($B212,INDIRECT($B$5&amp;"生成成长"),4))/(VLOOKUP(BM$72,INDIRECT($C$5&amp;"生成成长"),5))*(VLOOKUP($B$5,标准坦克设计!$B$24:$U$30,MATCH("对"&amp;LEFT($C$5,2)&amp;"输出",标准坦克设计!$B$23:$U$23,0)))*(VLOOKUP($B212,INDIRECT($B$5&amp;"生成成长"),3))*(VLOOKUP($B$5,标准坦克设计!$B$14:$K$20,9)/30))</f>
        <v>2.992129049179344</v>
      </c>
      <c r="BN212" s="172">
        <f ca="1">(VLOOKUP(BN$72,INDIRECT($C$5&amp;"生成成长"),2))/((VLOOKUP($B212,INDIRECT($B$5&amp;"生成成长"),4))/(VLOOKUP(BN$72,INDIRECT($C$5&amp;"生成成长"),5))*(VLOOKUP($B$5,标准坦克设计!$B$24:$U$30,MATCH("对"&amp;LEFT($C$5,2)&amp;"输出",标准坦克设计!$B$23:$U$23,0)))*(VLOOKUP($B212,INDIRECT($B$5&amp;"生成成长"),3))*(VLOOKUP($B$5,标准坦克设计!$B$14:$K$20,9)/30))</f>
        <v>3.2807533227481085</v>
      </c>
      <c r="BO212" s="172">
        <f ca="1">(VLOOKUP(BO$72,INDIRECT($C$5&amp;"生成成长"),2))/((VLOOKUP($B212,INDIRECT($B$5&amp;"生成成长"),4))/(VLOOKUP(BO$72,INDIRECT($C$5&amp;"生成成长"),5))*(VLOOKUP($B$5,标准坦克设计!$B$24:$U$30,MATCH("对"&amp;LEFT($C$5,2)&amp;"输出",标准坦克设计!$B$23:$U$23,0)))*(VLOOKUP($B212,INDIRECT($B$5&amp;"生成成长"),3))*(VLOOKUP($B$5,标准坦克设计!$B$14:$K$20,9)/30))</f>
        <v>3.5826646472740027</v>
      </c>
      <c r="BP212" s="172">
        <f ca="1">(VLOOKUP(BP$72,INDIRECT($C$5&amp;"生成成长"),2))/((VLOOKUP($B212,INDIRECT($B$5&amp;"生成成长"),4))/(VLOOKUP(BP$72,INDIRECT($C$5&amp;"生成成长"),5))*(VLOOKUP($B$5,标准坦克设计!$B$24:$U$30,MATCH("对"&amp;LEFT($C$5,2)&amp;"输出",标准坦克设计!$B$23:$U$23,0)))*(VLOOKUP($B212,INDIRECT($B$5&amp;"生成成长"),3))*(VLOOKUP($B$5,标准坦克设计!$B$14:$K$20,9)/30))</f>
        <v>3.8978630227570279</v>
      </c>
      <c r="BQ212" s="172">
        <f ca="1">(VLOOKUP(BQ$72,INDIRECT($C$5&amp;"生成成长"),2))/((VLOOKUP($B212,INDIRECT($B$5&amp;"生成成长"),4))/(VLOOKUP(BQ$72,INDIRECT($C$5&amp;"生成成长"),5))*(VLOOKUP($B$5,标准坦克设计!$B$24:$U$30,MATCH("对"&amp;LEFT($C$5,2)&amp;"输出",标准坦克设计!$B$23:$U$23,0)))*(VLOOKUP($B212,INDIRECT($B$5&amp;"生成成长"),3))*(VLOOKUP($B$5,标准坦克设计!$B$14:$K$20,9)/30))</f>
        <v>4.2263484491971814</v>
      </c>
      <c r="BR212" s="172">
        <f ca="1">(VLOOKUP(BR$72,INDIRECT($C$5&amp;"生成成长"),2))/((VLOOKUP($B212,INDIRECT($B$5&amp;"生成成长"),4))/(VLOOKUP(BR$72,INDIRECT($C$5&amp;"生成成长"),5))*(VLOOKUP($B$5,标准坦克设计!$B$24:$U$30,MATCH("对"&amp;LEFT($C$5,2)&amp;"输出",标准坦克设计!$B$23:$U$23,0)))*(VLOOKUP($B212,INDIRECT($B$5&amp;"生成成长"),3))*(VLOOKUP($B$5,标准坦克设计!$B$14:$K$20,9)/30))</f>
        <v>4.6069158346359629</v>
      </c>
      <c r="BS212" s="172">
        <f ca="1">(VLOOKUP(BS$72,INDIRECT($C$5&amp;"生成成长"),2))/((VLOOKUP($B212,INDIRECT($B$5&amp;"生成成长"),4))/(VLOOKUP(BS$72,INDIRECT($C$5&amp;"生成成长"),5))*(VLOOKUP($B$5,标准坦克设计!$B$24:$U$30,MATCH("对"&amp;LEFT($C$5,2)&amp;"输出",标准坦克设计!$B$23:$U$23,0)))*(VLOOKUP($B212,INDIRECT($B$5&amp;"生成成长"),3))*(VLOOKUP($B$5,标准坦克设计!$B$14:$K$20,9)/30))</f>
        <v>5.0038869866884834</v>
      </c>
      <c r="BT212" s="172">
        <f ca="1">(VLOOKUP(BT$72,INDIRECT($C$5&amp;"生成成长"),2))/((VLOOKUP($B212,INDIRECT($B$5&amp;"生成成长"),4))/(VLOOKUP(BT$72,INDIRECT($C$5&amp;"生成成长"),5))*(VLOOKUP($B$5,标准坦克设计!$B$24:$U$30,MATCH("对"&amp;LEFT($C$5,2)&amp;"输出",标准坦克设计!$B$23:$U$23,0)))*(VLOOKUP($B212,INDIRECT($B$5&amp;"生成成长"),3))*(VLOOKUP($B$5,标准坦克设计!$B$14:$K$20,9)/30))</f>
        <v>5.4172619053547457</v>
      </c>
      <c r="BU212" s="172">
        <f ca="1">(VLOOKUP(BU$72,INDIRECT($C$5&amp;"生成成长"),2))/((VLOOKUP($B212,INDIRECT($B$5&amp;"生成成长"),4))/(VLOOKUP(BU$72,INDIRECT($C$5&amp;"生成成长"),5))*(VLOOKUP($B$5,标准坦克设计!$B$24:$U$30,MATCH("对"&amp;LEFT($C$5,2)&amp;"输出",标准坦克设计!$B$23:$U$23,0)))*(VLOOKUP($B212,INDIRECT($B$5&amp;"生成成长"),3))*(VLOOKUP($B$5,标准坦克设计!$B$14:$K$20,9)/30))</f>
        <v>5.847040590634748</v>
      </c>
      <c r="BV212" s="172">
        <f ca="1">(VLOOKUP(BV$72,INDIRECT($C$5&amp;"生成成长"),2))/((VLOOKUP($B212,INDIRECT($B$5&amp;"生成成长"),4))/(VLOOKUP(BV$72,INDIRECT($C$5&amp;"生成成长"),5))*(VLOOKUP($B$5,标准坦克设计!$B$24:$U$30,MATCH("对"&amp;LEFT($C$5,2)&amp;"输出",标准坦克设计!$B$23:$U$23,0)))*(VLOOKUP($B212,INDIRECT($B$5&amp;"生成成长"),3))*(VLOOKUP($B$5,标准坦克设计!$B$14:$K$20,9)/30))</f>
        <v>6.2932230425284912</v>
      </c>
      <c r="BW212" s="172">
        <f ca="1">(VLOOKUP(BW$72,INDIRECT($C$5&amp;"生成成长"),2))/((VLOOKUP($B212,INDIRECT($B$5&amp;"生成成长"),4))/(VLOOKUP(BW$72,INDIRECT($C$5&amp;"生成成长"),5))*(VLOOKUP($B$5,标准坦克设计!$B$24:$U$30,MATCH("对"&amp;LEFT($C$5,2)&amp;"输出",标准坦克设计!$B$23:$U$23,0)))*(VLOOKUP($B212,INDIRECT($B$5&amp;"生成成长"),3))*(VLOOKUP($B$5,标准坦克设计!$B$14:$K$20,9)/30))</f>
        <v>2.8681165735794649</v>
      </c>
      <c r="BX212" s="172">
        <f ca="1">(VLOOKUP(BX$72,INDIRECT($C$5&amp;"生成成长"),2))/((VLOOKUP($B212,INDIRECT($B$5&amp;"生成成长"),4))/(VLOOKUP(BX$72,INDIRECT($C$5&amp;"生成成长"),5))*(VLOOKUP($B$5,标准坦克设计!$B$24:$U$30,MATCH("对"&amp;LEFT($C$5,2)&amp;"输出",标准坦克设计!$B$23:$U$23,0)))*(VLOOKUP($B212,INDIRECT($B$5&amp;"生成成长"),3))*(VLOOKUP($B$5,标准坦克设计!$B$14:$K$20,9)/30))</f>
        <v>3.1830688925632837</v>
      </c>
      <c r="BY212" s="172">
        <f ca="1">(VLOOKUP(BY$72,INDIRECT($C$5&amp;"生成成长"),2))/((VLOOKUP($B212,INDIRECT($B$5&amp;"生成成长"),4))/(VLOOKUP(BY$72,INDIRECT($C$5&amp;"生成成长"),5))*(VLOOKUP($B$5,标准坦克设计!$B$24:$U$30,MATCH("对"&amp;LEFT($C$5,2)&amp;"输出",标准坦克设计!$B$23:$U$23,0)))*(VLOOKUP($B212,INDIRECT($B$5&amp;"生成成长"),3))*(VLOOKUP($B$5,标准坦克设计!$B$14:$K$20,9)/30))</f>
        <v>3.5144249781608425</v>
      </c>
      <c r="BZ212" s="172">
        <f ca="1">(VLOOKUP(BZ$72,INDIRECT($C$5&amp;"生成成长"),2))/((VLOOKUP($B212,INDIRECT($B$5&amp;"生成成长"),4))/(VLOOKUP(BZ$72,INDIRECT($C$5&amp;"生成成长"),5))*(VLOOKUP($B$5,标准坦克设计!$B$24:$U$30,MATCH("对"&amp;LEFT($C$5,2)&amp;"输出",标准坦克设计!$B$23:$U$23,0)))*(VLOOKUP($B212,INDIRECT($B$5&amp;"生成成长"),3))*(VLOOKUP($B$5,标准坦克设计!$B$14:$K$20,9)/30))</f>
        <v>3.8621848303721418</v>
      </c>
      <c r="CA212" s="172">
        <f ca="1">(VLOOKUP(CA$72,INDIRECT($C$5&amp;"生成成长"),2))/((VLOOKUP($B212,INDIRECT($B$5&amp;"生成成长"),4))/(VLOOKUP(CA$72,INDIRECT($C$5&amp;"生成成长"),5))*(VLOOKUP($B$5,标准坦克设计!$B$24:$U$30,MATCH("对"&amp;LEFT($C$5,2)&amp;"输出",标准坦克设计!$B$23:$U$23,0)))*(VLOOKUP($B212,INDIRECT($B$5&amp;"生成成长"),3))*(VLOOKUP($B$5,标准坦克设计!$B$14:$K$20,9)/30))</f>
        <v>4.2263484491971814</v>
      </c>
      <c r="CB212" s="172">
        <f ca="1">(VLOOKUP(CB$72,INDIRECT($C$5&amp;"生成成长"),2))/((VLOOKUP($B212,INDIRECT($B$5&amp;"生成成长"),4))/(VLOOKUP(CB$72,INDIRECT($C$5&amp;"生成成长"),5))*(VLOOKUP($B$5,标准坦克设计!$B$24:$U$30,MATCH("对"&amp;LEFT($C$5,2)&amp;"输出",标准坦克设计!$B$23:$U$23,0)))*(VLOOKUP($B212,INDIRECT($B$5&amp;"生成成长"),3))*(VLOOKUP($B$5,标准坦克设计!$B$14:$K$20,9)/30))</f>
        <v>4.6069158346359629</v>
      </c>
      <c r="CC212" s="172">
        <f ca="1">(VLOOKUP(CC$72,INDIRECT($C$5&amp;"生成成长"),2))/((VLOOKUP($B212,INDIRECT($B$5&amp;"生成成长"),4))/(VLOOKUP(CC$72,INDIRECT($C$5&amp;"生成成长"),5))*(VLOOKUP($B$5,标准坦克设计!$B$24:$U$30,MATCH("对"&amp;LEFT($C$5,2)&amp;"输出",标准坦克设计!$B$23:$U$23,0)))*(VLOOKUP($B212,INDIRECT($B$5&amp;"生成成长"),3))*(VLOOKUP($B$5,标准坦克设计!$B$14:$K$20,9)/30))</f>
        <v>5.0038869866884834</v>
      </c>
      <c r="CD212" s="172">
        <f ca="1">(VLOOKUP(CD$72,INDIRECT($C$5&amp;"生成成长"),2))/((VLOOKUP($B212,INDIRECT($B$5&amp;"生成成长"),4))/(VLOOKUP(CD$72,INDIRECT($C$5&amp;"生成成长"),5))*(VLOOKUP($B$5,标准坦克设计!$B$24:$U$30,MATCH("对"&amp;LEFT($C$5,2)&amp;"输出",标准坦克设计!$B$23:$U$23,0)))*(VLOOKUP($B212,INDIRECT($B$5&amp;"生成成长"),3))*(VLOOKUP($B$5,标准坦克设计!$B$14:$K$20,9)/30))</f>
        <v>5.4172619053547457</v>
      </c>
      <c r="CE212" s="172">
        <f ca="1">(VLOOKUP(CE$72,INDIRECT($C$5&amp;"生成成长"),2))/((VLOOKUP($B212,INDIRECT($B$5&amp;"生成成长"),4))/(VLOOKUP(CE$72,INDIRECT($C$5&amp;"生成成长"),5))*(VLOOKUP($B$5,标准坦克设计!$B$24:$U$30,MATCH("对"&amp;LEFT($C$5,2)&amp;"输出",标准坦克设计!$B$23:$U$23,0)))*(VLOOKUP($B212,INDIRECT($B$5&amp;"生成成长"),3))*(VLOOKUP($B$5,标准坦克设计!$B$14:$K$20,9)/30))</f>
        <v>5.847040590634748</v>
      </c>
      <c r="CF212" s="172">
        <f ca="1">(VLOOKUP(CF$72,INDIRECT($C$5&amp;"生成成长"),2))/((VLOOKUP($B212,INDIRECT($B$5&amp;"生成成长"),4))/(VLOOKUP(CF$72,INDIRECT($C$5&amp;"生成成长"),5))*(VLOOKUP($B$5,标准坦克设计!$B$24:$U$30,MATCH("对"&amp;LEFT($C$5,2)&amp;"输出",标准坦克设计!$B$23:$U$23,0)))*(VLOOKUP($B212,INDIRECT($B$5&amp;"生成成长"),3))*(VLOOKUP($B$5,标准坦克设计!$B$14:$K$20,9)/30))</f>
        <v>6.2932230425284912</v>
      </c>
      <c r="CG212" s="172">
        <f ca="1">(VLOOKUP(CG$72,INDIRECT($C$5&amp;"生成成长"),2))/((VLOOKUP($B212,INDIRECT($B$5&amp;"生成成长"),4))/(VLOOKUP(CG$72,INDIRECT($C$5&amp;"生成成长"),5))*(VLOOKUP($B$5,标准坦克设计!$B$24:$U$30,MATCH("对"&amp;LEFT($C$5,2)&amp;"输出",标准坦克设计!$B$23:$U$23,0)))*(VLOOKUP($B212,INDIRECT($B$5&amp;"生成成长"),3))*(VLOOKUP($B$5,标准坦克设计!$B$14:$K$20,9)/30))</f>
        <v>6.7558092610359743</v>
      </c>
      <c r="CH212" s="172">
        <f ca="1">(VLOOKUP(CH$72,INDIRECT($C$5&amp;"生成成长"),2))/((VLOOKUP($B212,INDIRECT($B$5&amp;"生成成长"),4))/(VLOOKUP(CH$72,INDIRECT($C$5&amp;"生成成长"),5))*(VLOOKUP($B$5,标准坦克设计!$B$24:$U$30,MATCH("对"&amp;LEFT($C$5,2)&amp;"输出",标准坦克设计!$B$23:$U$23,0)))*(VLOOKUP($B212,INDIRECT($B$5&amp;"生成成长"),3))*(VLOOKUP($B$5,标准坦克设计!$B$14:$K$20,9)/30))</f>
        <v>7.2347992461571984</v>
      </c>
      <c r="CI212" s="172">
        <f ca="1">(VLOOKUP(CI$72,INDIRECT($C$5&amp;"生成成长"),2))/((VLOOKUP($B212,INDIRECT($B$5&amp;"生成成长"),4))/(VLOOKUP(CI$72,INDIRECT($C$5&amp;"生成成长"),5))*(VLOOKUP($B$5,标准坦克设计!$B$24:$U$30,MATCH("对"&amp;LEFT($C$5,2)&amp;"输出",标准坦克设计!$B$23:$U$23,0)))*(VLOOKUP($B212,INDIRECT($B$5&amp;"生成成长"),3))*(VLOOKUP($B$5,标准坦克设计!$B$14:$K$20,9)/30))</f>
        <v>7.7806345802294139</v>
      </c>
      <c r="CJ212" s="172">
        <f ca="1">(VLOOKUP(CJ$72,INDIRECT($C$5&amp;"生成成长"),2))/((VLOOKUP($B212,INDIRECT($B$5&amp;"生成成长"),4))/(VLOOKUP(CJ$72,INDIRECT($C$5&amp;"生成成长"),5))*(VLOOKUP($B$5,标准坦克设计!$B$24:$U$30,MATCH("对"&amp;LEFT($C$5,2)&amp;"输出",标准坦克设计!$B$23:$U$23,0)))*(VLOOKUP($B212,INDIRECT($B$5&amp;"生成成长"),3))*(VLOOKUP($B$5,标准坦克设计!$B$14:$K$20,9)/30))</f>
        <v>8.3463184719042545</v>
      </c>
      <c r="CK212" s="172">
        <f ca="1">(VLOOKUP(CK$72,INDIRECT($C$5&amp;"生成成长"),2))/((VLOOKUP($B212,INDIRECT($B$5&amp;"生成成长"),4))/(VLOOKUP(CK$72,INDIRECT($C$5&amp;"生成成长"),5))*(VLOOKUP($B$5,标准坦克设计!$B$24:$U$30,MATCH("对"&amp;LEFT($C$5,2)&amp;"输出",标准坦克设计!$B$23:$U$23,0)))*(VLOOKUP($B212,INDIRECT($B$5&amp;"生成成长"),3))*(VLOOKUP($B$5,标准坦克设计!$B$14:$K$20,9)/30))</f>
        <v>8.9318509211817254</v>
      </c>
      <c r="CL212" s="172">
        <f ca="1">(VLOOKUP(CL$72,INDIRECT($C$5&amp;"生成成长"),2))/((VLOOKUP($B212,INDIRECT($B$5&amp;"生成成长"),4))/(VLOOKUP(CL$72,INDIRECT($C$5&amp;"生成成长"),5))*(VLOOKUP($B$5,标准坦克设计!$B$24:$U$30,MATCH("对"&amp;LEFT($C$5,2)&amp;"输出",标准坦克设计!$B$23:$U$23,0)))*(VLOOKUP($B212,INDIRECT($B$5&amp;"生成成长"),3))*(VLOOKUP($B$5,标准坦克设计!$B$14:$K$20,9)/30))</f>
        <v>9.5372319280618196</v>
      </c>
      <c r="CM212" s="172">
        <f ca="1">(VLOOKUP(CM$72,INDIRECT($C$5&amp;"生成成长"),2))/((VLOOKUP($B212,INDIRECT($B$5&amp;"生成成长"),4))/(VLOOKUP(CM$72,INDIRECT($C$5&amp;"生成成长"),5))*(VLOOKUP($B$5,标准坦克设计!$B$24:$U$30,MATCH("对"&amp;LEFT($C$5,2)&amp;"输出",标准坦克设计!$B$23:$U$23,0)))*(VLOOKUP($B212,INDIRECT($B$5&amp;"生成成长"),3))*(VLOOKUP($B$5,标准坦克设计!$B$14:$K$20,9)/30))</f>
        <v>10.162461492544541</v>
      </c>
      <c r="CN212" s="172">
        <f ca="1">(VLOOKUP(CN$72,INDIRECT($C$5&amp;"生成成长"),2))/((VLOOKUP($B212,INDIRECT($B$5&amp;"生成成长"),4))/(VLOOKUP(CN$72,INDIRECT($C$5&amp;"生成成长"),5))*(VLOOKUP($B$5,标准坦克设计!$B$24:$U$30,MATCH("对"&amp;LEFT($C$5,2)&amp;"输出",标准坦克设计!$B$23:$U$23,0)))*(VLOOKUP($B212,INDIRECT($B$5&amp;"生成成长"),3))*(VLOOKUP($B$5,标准坦克设计!$B$14:$K$20,9)/30))</f>
        <v>10.807539614629887</v>
      </c>
      <c r="CO212" s="172">
        <f ca="1">(VLOOKUP(CO$72,INDIRECT($C$5&amp;"生成成长"),2))/((VLOOKUP($B212,INDIRECT($B$5&amp;"生成成长"),4))/(VLOOKUP(CO$72,INDIRECT($C$5&amp;"生成成长"),5))*(VLOOKUP($B$5,标准坦克设计!$B$24:$U$30,MATCH("对"&amp;LEFT($C$5,2)&amp;"输出",标准坦克设计!$B$23:$U$23,0)))*(VLOOKUP($B212,INDIRECT($B$5&amp;"生成成长"),3))*(VLOOKUP($B$5,标准坦克设计!$B$14:$K$20,9)/30))</f>
        <v>4.8431300738738265</v>
      </c>
      <c r="CP212" s="172">
        <f ca="1">(VLOOKUP(CP$72,INDIRECT($C$5&amp;"生成成长"),2))/((VLOOKUP($B212,INDIRECT($B$5&amp;"生成成长"),4))/(VLOOKUP(CP$72,INDIRECT($C$5&amp;"生成成长"),5))*(VLOOKUP($B$5,标准坦克设计!$B$24:$U$30,MATCH("对"&amp;LEFT($C$5,2)&amp;"输出",标准坦克设计!$B$23:$U$23,0)))*(VLOOKUP($B212,INDIRECT($B$5&amp;"生成成长"),3))*(VLOOKUP($B$5,标准坦克设计!$B$14:$K$20,9)/30))</f>
        <v>5.2915270342604241</v>
      </c>
      <c r="CQ212" s="172">
        <f ca="1">(VLOOKUP(CQ$72,INDIRECT($C$5&amp;"生成成长"),2))/((VLOOKUP($B212,INDIRECT($B$5&amp;"生成成长"),4))/(VLOOKUP(CQ$72,INDIRECT($C$5&amp;"生成成长"),5))*(VLOOKUP($B$5,标准坦克设计!$B$24:$U$30,MATCH("对"&amp;LEFT($C$5,2)&amp;"输出",标准坦克设计!$B$23:$U$23,0)))*(VLOOKUP($B212,INDIRECT($B$5&amp;"生成成长"),3))*(VLOOKUP($B$5,标准坦克设计!$B$14:$K$20,9)/30))</f>
        <v>5.7597725522496495</v>
      </c>
      <c r="CR212" s="172">
        <f ca="1">(VLOOKUP(CR$72,INDIRECT($C$5&amp;"生成成长"),2))/((VLOOKUP($B212,INDIRECT($B$5&amp;"生成成长"),4))/(VLOOKUP(CR$72,INDIRECT($C$5&amp;"生成成长"),5))*(VLOOKUP($B$5,标准坦克设计!$B$24:$U$30,MATCH("对"&amp;LEFT($C$5,2)&amp;"输出",标准坦克设计!$B$23:$U$23,0)))*(VLOOKUP($B212,INDIRECT($B$5&amp;"生成成长"),3))*(VLOOKUP($B$5,标准坦克设计!$B$14:$K$20,9)/30))</f>
        <v>6.247866627841498</v>
      </c>
      <c r="CS212" s="172">
        <f ca="1">(VLOOKUP(CS$72,INDIRECT($C$5&amp;"生成成长"),2))/((VLOOKUP($B212,INDIRECT($B$5&amp;"生成成长"),4))/(VLOOKUP(CS$72,INDIRECT($C$5&amp;"生成成长"),5))*(VLOOKUP($B$5,标准坦克设计!$B$24:$U$30,MATCH("对"&amp;LEFT($C$5,2)&amp;"输出",标准坦克设计!$B$23:$U$23,0)))*(VLOOKUP($B212,INDIRECT($B$5&amp;"生成成长"),3))*(VLOOKUP($B$5,标准坦克设计!$B$14:$K$20,9)/30))</f>
        <v>6.7558092610359743</v>
      </c>
      <c r="CT212" s="172">
        <f ca="1">(VLOOKUP(CT$72,INDIRECT($C$5&amp;"生成成长"),2))/((VLOOKUP($B212,INDIRECT($B$5&amp;"生成成长"),4))/(VLOOKUP(CT$72,INDIRECT($C$5&amp;"生成成长"),5))*(VLOOKUP($B$5,标准坦克设计!$B$24:$U$30,MATCH("对"&amp;LEFT($C$5,2)&amp;"输出",标准坦克设计!$B$23:$U$23,0)))*(VLOOKUP($B212,INDIRECT($B$5&amp;"生成成长"),3))*(VLOOKUP($B$5,标准坦克设计!$B$14:$K$20,9)/30))</f>
        <v>7.2836004518330748</v>
      </c>
      <c r="CU212" s="172">
        <f ca="1">(VLOOKUP(CU$72,INDIRECT($C$5&amp;"生成成长"),2))/((VLOOKUP($B212,INDIRECT($B$5&amp;"生成成长"),4))/(VLOOKUP(CU$72,INDIRECT($C$5&amp;"生成成长"),5))*(VLOOKUP($B$5,标准坦克设计!$B$24:$U$30,MATCH("对"&amp;LEFT($C$5,2)&amp;"输出",标准坦克设计!$B$23:$U$23,0)))*(VLOOKUP($B212,INDIRECT($B$5&amp;"生成成长"),3))*(VLOOKUP($B$5,标准坦克设计!$B$14:$K$20,9)/30))</f>
        <v>7.831240200232803</v>
      </c>
      <c r="CV212" s="172">
        <f ca="1">(VLOOKUP(CV$72,INDIRECT($C$5&amp;"生成成长"),2))/((VLOOKUP($B212,INDIRECT($B$5&amp;"生成成长"),4))/(VLOOKUP(CV$72,INDIRECT($C$5&amp;"生成成长"),5))*(VLOOKUP($B$5,标准坦克设计!$B$24:$U$30,MATCH("对"&amp;LEFT($C$5,2)&amp;"输出",标准坦克设计!$B$23:$U$23,0)))*(VLOOKUP($B212,INDIRECT($B$5&amp;"生成成长"),3))*(VLOOKUP($B$5,标准坦克设计!$B$14:$K$20,9)/30))</f>
        <v>8.3987285062351589</v>
      </c>
      <c r="CW212" s="172">
        <f ca="1">(VLOOKUP(CW$72,INDIRECT($C$5&amp;"生成成长"),2))/((VLOOKUP($B212,INDIRECT($B$5&amp;"生成成长"),4))/(VLOOKUP(CW$72,INDIRECT($C$5&amp;"生成成长"),5))*(VLOOKUP($B$5,标准坦克设计!$B$24:$U$30,MATCH("对"&amp;LEFT($C$5,2)&amp;"输出",标准坦克设计!$B$23:$U$23,0)))*(VLOOKUP($B212,INDIRECT($B$5&amp;"生成成长"),3))*(VLOOKUP($B$5,标准坦克设计!$B$14:$K$20,9)/30))</f>
        <v>8.9860653698401389</v>
      </c>
      <c r="CX212" s="172">
        <f ca="1">(VLOOKUP(CX$72,INDIRECT($C$5&amp;"生成成长"),2))/((VLOOKUP($B212,INDIRECT($B$5&amp;"生成成长"),4))/(VLOOKUP(CX$72,INDIRECT($C$5&amp;"生成成长"),5))*(VLOOKUP($B$5,标准坦克设计!$B$24:$U$30,MATCH("对"&amp;LEFT($C$5,2)&amp;"输出",标准坦克设计!$B$23:$U$23,0)))*(VLOOKUP($B212,INDIRECT($B$5&amp;"生成成长"),3))*(VLOOKUP($B$5,标准坦克设计!$B$14:$K$20,9)/30))</f>
        <v>9.593250791047744</v>
      </c>
      <c r="CY212" s="172">
        <f ca="1">(VLOOKUP(CY$72,INDIRECT($C$5&amp;"生成成长"),2))/((VLOOKUP($B212,INDIRECT($B$5&amp;"生成成长"),4))/(VLOOKUP(CY$72,INDIRECT($C$5&amp;"生成成长"),5))*(VLOOKUP($B$5,标准坦克设计!$B$24:$U$30,MATCH("对"&amp;LEFT($C$5,2)&amp;"输出",标准坦克设计!$B$23:$U$23,0)))*(VLOOKUP($B212,INDIRECT($B$5&amp;"生成成长"),3))*(VLOOKUP($B$5,标准坦克设计!$B$14:$K$20,9)/30))</f>
        <v>10.220284769857978</v>
      </c>
      <c r="CZ212" s="172">
        <f ca="1">(VLOOKUP(CZ$72,INDIRECT($C$5&amp;"生成成长"),2))/((VLOOKUP($B212,INDIRECT($B$5&amp;"生成成长"),4))/(VLOOKUP(CZ$72,INDIRECT($C$5&amp;"生成成长"),5))*(VLOOKUP($B$5,标准坦克设计!$B$24:$U$30,MATCH("对"&amp;LEFT($C$5,2)&amp;"输出",标准坦克设计!$B$23:$U$23,0)))*(VLOOKUP($B212,INDIRECT($B$5&amp;"生成成长"),3))*(VLOOKUP($B$5,标准坦克设计!$B$14:$K$20,9)/30))</f>
        <v>10.867167306270835</v>
      </c>
      <c r="DA212" s="172">
        <f ca="1">(VLOOKUP(DA$72,INDIRECT($C$5&amp;"生成成长"),2))/((VLOOKUP($B212,INDIRECT($B$5&amp;"生成成长"),4))/(VLOOKUP(DA$72,INDIRECT($C$5&amp;"生成成长"),5))*(VLOOKUP($B$5,标准坦克设计!$B$24:$U$30,MATCH("对"&amp;LEFT($C$5,2)&amp;"输出",标准坦克设计!$B$23:$U$23,0)))*(VLOOKUP($B212,INDIRECT($B$5&amp;"生成成长"),3))*(VLOOKUP($B$5,标准坦克设计!$B$14:$K$20,9)/30))</f>
        <v>11.53389840028632</v>
      </c>
      <c r="DB212" s="172">
        <f ca="1">(VLOOKUP(DB$72,INDIRECT($C$5&amp;"生成成长"),2))/((VLOOKUP($B212,INDIRECT($B$5&amp;"生成成长"),4))/(VLOOKUP(DB$72,INDIRECT($C$5&amp;"生成成长"),5))*(VLOOKUP($B$5,标准坦克设计!$B$24:$U$30,MATCH("对"&amp;LEFT($C$5,2)&amp;"输出",标准坦克设计!$B$23:$U$23,0)))*(VLOOKUP($B212,INDIRECT($B$5&amp;"生成成长"),3))*(VLOOKUP($B$5,标准坦克设计!$B$14:$K$20,9)/30))</f>
        <v>12.220478051904431</v>
      </c>
      <c r="DC212" s="172">
        <f ca="1">(VLOOKUP(DC$72,INDIRECT($C$5&amp;"生成成长"),2))/((VLOOKUP($B212,INDIRECT($B$5&amp;"生成成长"),4))/(VLOOKUP(DC$72,INDIRECT($C$5&amp;"生成成长"),5))*(VLOOKUP($B$5,标准坦克设计!$B$24:$U$30,MATCH("对"&amp;LEFT($C$5,2)&amp;"输出",标准坦克设计!$B$23:$U$23,0)))*(VLOOKUP($B212,INDIRECT($B$5&amp;"生成成长"),3))*(VLOOKUP($B$5,标准坦克设计!$B$14:$K$20,9)/30))</f>
        <v>12.992111233414786</v>
      </c>
      <c r="DD212" s="172">
        <f ca="1">(VLOOKUP(DD$72,INDIRECT($C$5&amp;"生成成长"),2))/((VLOOKUP($B212,INDIRECT($B$5&amp;"生成成长"),4))/(VLOOKUP(DD$72,INDIRECT($C$5&amp;"生成成长"),5))*(VLOOKUP($B$5,标准坦克设计!$B$24:$U$30,MATCH("对"&amp;LEFT($C$5,2)&amp;"输出",标准坦克设计!$B$23:$U$23,0)))*(VLOOKUP($B212,INDIRECT($B$5&amp;"生成成长"),3))*(VLOOKUP($B$5,标准坦克设计!$B$14:$K$20,9)/30))</f>
        <v>13.787365838848928</v>
      </c>
      <c r="DE212" s="172">
        <f ca="1">(VLOOKUP(DE$72,INDIRECT($C$5&amp;"生成成长"),2))/((VLOOKUP($B212,INDIRECT($B$5&amp;"生成成长"),4))/(VLOOKUP(DE$72,INDIRECT($C$5&amp;"生成成长"),5))*(VLOOKUP($B$5,标准坦克设计!$B$24:$U$30,MATCH("对"&amp;LEFT($C$5,2)&amp;"输出",标准坦克设计!$B$23:$U$23,0)))*(VLOOKUP($B212,INDIRECT($B$5&amp;"生成成长"),3))*(VLOOKUP($B$5,标准坦克设计!$B$14:$K$20,9)/30))</f>
        <v>14.606241868206853</v>
      </c>
      <c r="DF212" s="172">
        <f ca="1">(VLOOKUP(DF$72,INDIRECT($C$5&amp;"生成成长"),2))/((VLOOKUP($B212,INDIRECT($B$5&amp;"生成成长"),4))/(VLOOKUP(DF$72,INDIRECT($C$5&amp;"生成成长"),5))*(VLOOKUP($B$5,标准坦克设计!$B$24:$U$30,MATCH("对"&amp;LEFT($C$5,2)&amp;"输出",标准坦克设计!$B$23:$U$23,0)))*(VLOOKUP($B212,INDIRECT($B$5&amp;"生成成长"),3))*(VLOOKUP($B$5,标准坦克设计!$B$14:$K$20,9)/30))</f>
        <v>15.448739321488567</v>
      </c>
      <c r="DG212" s="172">
        <f ca="1">(VLOOKUP(DG$72,INDIRECT($C$5&amp;"生成成长"),2))/((VLOOKUP($B212,INDIRECT($B$5&amp;"生成成长"),4))/(VLOOKUP(DG$72,INDIRECT($C$5&amp;"生成成长"),5))*(VLOOKUP($B$5,标准坦克设计!$B$24:$U$30,MATCH("对"&amp;LEFT($C$5,2)&amp;"输出",标准坦克设计!$B$23:$U$23,0)))*(VLOOKUP($B212,INDIRECT($B$5&amp;"生成成长"),3))*(VLOOKUP($B$5,标准坦克设计!$B$14:$K$20,9)/30))</f>
        <v>16.314858198694072</v>
      </c>
      <c r="DH212" s="172">
        <f ca="1">(VLOOKUP(DH$72,INDIRECT($C$5&amp;"生成成长"),2))/((VLOOKUP($B212,INDIRECT($B$5&amp;"生成成长"),4))/(VLOOKUP(DH$72,INDIRECT($C$5&amp;"生成成长"),5))*(VLOOKUP($B$5,标准坦克设计!$B$24:$U$30,MATCH("对"&amp;LEFT($C$5,2)&amp;"输出",标准坦克设计!$B$23:$U$23,0)))*(VLOOKUP($B212,INDIRECT($B$5&amp;"生成成长"),3))*(VLOOKUP($B$5,标准坦克设计!$B$14:$K$20,9)/30))</f>
        <v>17.204598499823355</v>
      </c>
      <c r="DI212" s="172">
        <f ca="1">(VLOOKUP(DI$72,INDIRECT($C$5&amp;"生成成长"),2))/((VLOOKUP($B212,INDIRECT($B$5&amp;"生成成长"),4))/(VLOOKUP(DI$72,INDIRECT($C$5&amp;"生成成长"),5))*(VLOOKUP($B$5,标准坦克设计!$B$24:$U$30,MATCH("对"&amp;LEFT($C$5,2)&amp;"输出",标准坦克设计!$B$23:$U$23,0)))*(VLOOKUP($B212,INDIRECT($B$5&amp;"生成成长"),3))*(VLOOKUP($B$5,标准坦克设计!$B$14:$K$20,9)/30))</f>
        <v>18.11796022487643</v>
      </c>
      <c r="DJ212" s="172">
        <f ca="1">(VLOOKUP(DJ$72,INDIRECT($C$5&amp;"生成成长"),2))/((VLOOKUP($B212,INDIRECT($B$5&amp;"生成成长"),4))/(VLOOKUP(DJ$72,INDIRECT($C$5&amp;"生成成长"),5))*(VLOOKUP($B$5,标准坦克设计!$B$24:$U$30,MATCH("对"&amp;LEFT($C$5,2)&amp;"输出",标准坦克设计!$B$23:$U$23,0)))*(VLOOKUP($B212,INDIRECT($B$5&amp;"生成成长"),3))*(VLOOKUP($B$5,标准坦克设计!$B$14:$K$20,9)/30))</f>
        <v>1.8209001129582687</v>
      </c>
      <c r="DK212" s="172">
        <f ca="1">(VLOOKUP(DK$72,INDIRECT($C$5&amp;"生成成长"),2))/((VLOOKUP($B212,INDIRECT($B$5&amp;"生成成长"),4))/(VLOOKUP(DK$72,INDIRECT($C$5&amp;"生成成长"),5))*(VLOOKUP($B$5,标准坦克设计!$B$24:$U$30,MATCH("对"&amp;LEFT($C$5,2)&amp;"输出",标准坦克设计!$B$23:$U$23,0)))*(VLOOKUP($B212,INDIRECT($B$5&amp;"生成成长"),3))*(VLOOKUP($B$5,标准坦克设计!$B$14:$K$20,9)/30))</f>
        <v>2.0475181487270948</v>
      </c>
      <c r="DL212" s="172">
        <f ca="1">(VLOOKUP(DL$72,INDIRECT($C$5&amp;"生成成长"),2))/((VLOOKUP($B212,INDIRECT($B$5&amp;"生成成长"),4))/(VLOOKUP(DL$72,INDIRECT($C$5&amp;"生成成长"),5))*(VLOOKUP($B$5,标准坦克设计!$B$24:$U$30,MATCH("对"&amp;LEFT($C$5,2)&amp;"输出",标准坦克设计!$B$23:$U$23,0)))*(VLOOKUP($B212,INDIRECT($B$5&amp;"生成成长"),3))*(VLOOKUP($B$5,标准坦克设计!$B$14:$K$20,9)/30))</f>
        <v>2.2874232354530499</v>
      </c>
      <c r="DM212" s="172">
        <f ca="1">(VLOOKUP(DM$72,INDIRECT($C$5&amp;"生成成长"),2))/((VLOOKUP($B212,INDIRECT($B$5&amp;"生成成长"),4))/(VLOOKUP(DM$72,INDIRECT($C$5&amp;"生成成长"),5))*(VLOOKUP($B$5,标准坦克设计!$B$24:$U$30,MATCH("对"&amp;LEFT($C$5,2)&amp;"输出",标准坦克设计!$B$23:$U$23,0)))*(VLOOKUP($B212,INDIRECT($B$5&amp;"生成成长"),3))*(VLOOKUP($B$5,标准坦克设计!$B$14:$K$20,9)/30))</f>
        <v>2.5406153731361352</v>
      </c>
      <c r="DN212" s="172">
        <f ca="1">(VLOOKUP(DN$72,INDIRECT($C$5&amp;"生成成长"),2))/((VLOOKUP($B212,INDIRECT($B$5&amp;"生成成长"),4))/(VLOOKUP(DN$72,INDIRECT($C$5&amp;"生成成长"),5))*(VLOOKUP($B$5,标准坦克设计!$B$24:$U$30,MATCH("对"&amp;LEFT($C$5,2)&amp;"输出",标准坦克设计!$B$23:$U$23,0)))*(VLOOKUP($B212,INDIRECT($B$5&amp;"生成成长"),3))*(VLOOKUP($B$5,标准坦克设计!$B$14:$K$20,9)/30))</f>
        <v>2.807094561776351</v>
      </c>
      <c r="DO212" s="172">
        <f ca="1">(VLOOKUP(DO$72,INDIRECT($C$5&amp;"生成成长"),2))/((VLOOKUP($B212,INDIRECT($B$5&amp;"生成成长"),4))/(VLOOKUP(DO$72,INDIRECT($C$5&amp;"生成成长"),5))*(VLOOKUP($B$5,标准坦克设计!$B$24:$U$30,MATCH("对"&amp;LEFT($C$5,2)&amp;"输出",标准坦克设计!$B$23:$U$23,0)))*(VLOOKUP($B212,INDIRECT($B$5&amp;"生成成长"),3))*(VLOOKUP($B$5,标准坦克设计!$B$14:$K$20,9)/30))</f>
        <v>3.086860801373696</v>
      </c>
      <c r="DP212" s="172">
        <f ca="1">(VLOOKUP(DP$72,INDIRECT($C$5&amp;"生成成长"),2))/((VLOOKUP($B212,INDIRECT($B$5&amp;"生成成长"),4))/(VLOOKUP(DP$72,INDIRECT($C$5&amp;"生成成长"),5))*(VLOOKUP($B$5,标准坦克设计!$B$24:$U$30,MATCH("对"&amp;LEFT($C$5,2)&amp;"输出",标准坦克设计!$B$23:$U$23,0)))*(VLOOKUP($B212,INDIRECT($B$5&amp;"生成成长"),3))*(VLOOKUP($B$5,标准坦克设计!$B$14:$K$20,9)/30))</f>
        <v>3.3799140919281707</v>
      </c>
      <c r="DQ212" s="172">
        <f ca="1">(VLOOKUP(DQ$72,INDIRECT($C$5&amp;"生成成长"),2))/((VLOOKUP($B212,INDIRECT($B$5&amp;"生成成长"),4))/(VLOOKUP(DQ$72,INDIRECT($C$5&amp;"生成成长"),5))*(VLOOKUP($B$5,标准坦克设计!$B$24:$U$30,MATCH("对"&amp;LEFT($C$5,2)&amp;"输出",标准坦克设计!$B$23:$U$23,0)))*(VLOOKUP($B212,INDIRECT($B$5&amp;"生成成长"),3))*(VLOOKUP($B$5,标准坦克设计!$B$14:$K$20,9)/30))</f>
        <v>3.6862544334397751</v>
      </c>
      <c r="DR212" s="172">
        <f ca="1">(VLOOKUP(DR$72,INDIRECT($C$5&amp;"生成成长"),2))/((VLOOKUP($B212,INDIRECT($B$5&amp;"生成成长"),4))/(VLOOKUP(DR$72,INDIRECT($C$5&amp;"生成成长"),5))*(VLOOKUP($B$5,标准坦克设计!$B$24:$U$30,MATCH("对"&amp;LEFT($C$5,2)&amp;"输出",标准坦克设计!$B$23:$U$23,0)))*(VLOOKUP($B212,INDIRECT($B$5&amp;"生成成长"),3))*(VLOOKUP($B$5,标准坦克设计!$B$14:$K$20,9)/30))</f>
        <v>4.0058818259085092</v>
      </c>
      <c r="DS212" s="172">
        <f ca="1">(VLOOKUP(DS$72,INDIRECT($C$5&amp;"生成成长"),2))/((VLOOKUP($B212,INDIRECT($B$5&amp;"生成成长"),4))/(VLOOKUP(DS$72,INDIRECT($C$5&amp;"生成成长"),5))*(VLOOKUP($B$5,标准坦克设计!$B$24:$U$30,MATCH("对"&amp;LEFT($C$5,2)&amp;"输出",标准坦克设计!$B$23:$U$23,0)))*(VLOOKUP($B212,INDIRECT($B$5&amp;"生成成长"),3))*(VLOOKUP($B$5,标准坦克设计!$B$14:$K$20,9)/30))</f>
        <v>4.3387962693343738</v>
      </c>
      <c r="DT212" s="172">
        <f ca="1">(VLOOKUP(DT$72,INDIRECT($C$5&amp;"生成成长"),2))/((VLOOKUP($B212,INDIRECT($B$5&amp;"生成成长"),4))/(VLOOKUP(DT$72,INDIRECT($C$5&amp;"生成成长"),5))*(VLOOKUP($B$5,标准坦克设计!$B$24:$U$30,MATCH("对"&amp;LEFT($C$5,2)&amp;"输出",标准坦克设计!$B$23:$U$23,0)))*(VLOOKUP($B212,INDIRECT($B$5&amp;"生成成长"),3))*(VLOOKUP($B$5,标准坦克设计!$B$14:$K$20,9)/30))</f>
        <v>4.7637358434633219</v>
      </c>
      <c r="DU212" s="172">
        <f ca="1">(VLOOKUP(DU$72,INDIRECT($C$5&amp;"生成成长"),2))/((VLOOKUP($B212,INDIRECT($B$5&amp;"生成成长"),4))/(VLOOKUP(DU$72,INDIRECT($C$5&amp;"生成成长"),5))*(VLOOKUP($B$5,标准坦克设计!$B$24:$U$30,MATCH("对"&amp;LEFT($C$5,2)&amp;"输出",标准坦克设计!$B$23:$U$23,0)))*(VLOOKUP($B212,INDIRECT($B$5&amp;"生成成长"),3))*(VLOOKUP($B$5,标准坦克设计!$B$14:$K$20,9)/30))</f>
        <v>5.2085239751948968</v>
      </c>
      <c r="DV212" s="172">
        <f ca="1">(VLOOKUP(DV$72,INDIRECT($C$5&amp;"生成成长"),2))/((VLOOKUP($B212,INDIRECT($B$5&amp;"生成成长"),4))/(VLOOKUP(DV$72,INDIRECT($C$5&amp;"生成成长"),5))*(VLOOKUP($B$5,标准坦克设计!$B$24:$U$30,MATCH("对"&amp;LEFT($C$5,2)&amp;"输出",标准坦克设计!$B$23:$U$23,0)))*(VLOOKUP($B212,INDIRECT($B$5&amp;"生成成长"),3))*(VLOOKUP($B$5,标准坦克设计!$B$14:$K$20,9)/30))</f>
        <v>5.6731606645290977</v>
      </c>
      <c r="DW212" s="172">
        <f ca="1">(VLOOKUP(DW$72,INDIRECT($C$5&amp;"生成成长"),2))/((VLOOKUP($B212,INDIRECT($B$5&amp;"生成成长"),4))/(VLOOKUP(DW$72,INDIRECT($C$5&amp;"生成成长"),5))*(VLOOKUP($B$5,标准坦克设计!$B$24:$U$30,MATCH("对"&amp;LEFT($C$5,2)&amp;"输出",标准坦克设计!$B$23:$U$23,0)))*(VLOOKUP($B212,INDIRECT($B$5&amp;"生成成长"),3))*(VLOOKUP($B$5,标准坦克设计!$B$14:$K$20,9)/30))</f>
        <v>6.1576459114659245</v>
      </c>
      <c r="DX212" s="172">
        <f ca="1">(VLOOKUP(DX$72,INDIRECT($C$5&amp;"生成成长"),2))/((VLOOKUP($B212,INDIRECT($B$5&amp;"生成成长"),4))/(VLOOKUP(DX$72,INDIRECT($C$5&amp;"生成成长"),5))*(VLOOKUP($B$5,标准坦克设计!$B$24:$U$30,MATCH("对"&amp;LEFT($C$5,2)&amp;"输出",标准坦克设计!$B$23:$U$23,0)))*(VLOOKUP($B212,INDIRECT($B$5&amp;"生成成长"),3))*(VLOOKUP($B$5,标准坦克设计!$B$14:$K$20,9)/30))</f>
        <v>6.6619797160053773</v>
      </c>
      <c r="DY212" s="172">
        <f ca="1">(VLOOKUP(DY$72,INDIRECT($C$5&amp;"生成成长"),2))/((VLOOKUP($B212,INDIRECT($B$5&amp;"生成成长"),4))/(VLOOKUP(DY$72,INDIRECT($C$5&amp;"生成成长"),5))*(VLOOKUP($B$5,标准坦克设计!$B$24:$U$30,MATCH("对"&amp;LEFT($C$5,2)&amp;"输出",标准坦克设计!$B$23:$U$23,0)))*(VLOOKUP($B212,INDIRECT($B$5&amp;"生成成长"),3))*(VLOOKUP($B$5,标准坦克设计!$B$14:$K$20,9)/30))</f>
        <v>2.992129049179344</v>
      </c>
      <c r="DZ212" s="172">
        <f ca="1">(VLOOKUP(DZ$72,INDIRECT($C$5&amp;"生成成长"),2))/((VLOOKUP($B212,INDIRECT($B$5&amp;"生成成长"),4))/(VLOOKUP(DZ$72,INDIRECT($C$5&amp;"生成成长"),5))*(VLOOKUP($B$5,标准坦克设计!$B$24:$U$30,MATCH("对"&amp;LEFT($C$5,2)&amp;"输出",标准坦克设计!$B$23:$U$23,0)))*(VLOOKUP($B212,INDIRECT($B$5&amp;"生成成长"),3))*(VLOOKUP($B$5,标准坦克设计!$B$14:$K$20,9)/30))</f>
        <v>3.3136428748086582</v>
      </c>
      <c r="EA212" s="172">
        <f ca="1">(VLOOKUP(EA$72,INDIRECT($C$5&amp;"生成成长"),2))/((VLOOKUP($B212,INDIRECT($B$5&amp;"生成成长"),4))/(VLOOKUP(EA$72,INDIRECT($C$5&amp;"生成成长"),5))*(VLOOKUP($B$5,标准坦克设计!$B$24:$U$30,MATCH("对"&amp;LEFT($C$5,2)&amp;"输出",标准坦克设计!$B$23:$U$23,0)))*(VLOOKUP($B212,INDIRECT($B$5&amp;"生成成长"),3))*(VLOOKUP($B$5,标准坦克设计!$B$14:$K$20,9)/30))</f>
        <v>3.6515604670517132</v>
      </c>
      <c r="EB212" s="172">
        <f ca="1">(VLOOKUP(EB$72,INDIRECT($C$5&amp;"生成成长"),2))/((VLOOKUP($B212,INDIRECT($B$5&amp;"生成成长"),4))/(VLOOKUP(EB$72,INDIRECT($C$5&amp;"生成成长"),5))*(VLOOKUP($B$5,标准坦克设计!$B$24:$U$30,MATCH("对"&amp;LEFT($C$5,2)&amp;"输出",标准坦克设计!$B$23:$U$23,0)))*(VLOOKUP($B212,INDIRECT($B$5&amp;"生成成长"),3))*(VLOOKUP($B$5,标准坦克设计!$B$14:$K$20,9)/30))</f>
        <v>4.0058818259085092</v>
      </c>
      <c r="EC212" s="172">
        <f ca="1">(VLOOKUP(EC$72,INDIRECT($C$5&amp;"生成成长"),2))/((VLOOKUP($B212,INDIRECT($B$5&amp;"生成成长"),4))/(VLOOKUP(EC$72,INDIRECT($C$5&amp;"生成成长"),5))*(VLOOKUP($B$5,标准坦克设计!$B$24:$U$30,MATCH("对"&amp;LEFT($C$5,2)&amp;"输出",标准坦克设计!$B$23:$U$23,0)))*(VLOOKUP($B212,INDIRECT($B$5&amp;"生成成长"),3))*(VLOOKUP($B$5,标准坦克设计!$B$14:$K$20,9)/30))</f>
        <v>4.3766069513790455</v>
      </c>
      <c r="ED212" s="172">
        <f ca="1">(VLOOKUP(ED$72,INDIRECT($C$5&amp;"生成成长"),2))/((VLOOKUP($B212,INDIRECT($B$5&amp;"生成成长"),4))/(VLOOKUP(ED$72,INDIRECT($C$5&amp;"生成成长"),5))*(VLOOKUP($B$5,标准坦克设计!$B$24:$U$30,MATCH("对"&amp;LEFT($C$5,2)&amp;"输出",标准坦克设计!$B$23:$U$23,0)))*(VLOOKUP($B212,INDIRECT($B$5&amp;"生成成长"),3))*(VLOOKUP($B$5,标准坦克设计!$B$14:$K$20,9)/30))</f>
        <v>4.7637358434633219</v>
      </c>
      <c r="EE212" s="172">
        <f ca="1">(VLOOKUP(EE$72,INDIRECT($C$5&amp;"生成成长"),2))/((VLOOKUP($B212,INDIRECT($B$5&amp;"生成成长"),4))/(VLOOKUP(EE$72,INDIRECT($C$5&amp;"生成成长"),5))*(VLOOKUP($B$5,标准坦克设计!$B$24:$U$30,MATCH("对"&amp;LEFT($C$5,2)&amp;"输出",标准坦克设计!$B$23:$U$23,0)))*(VLOOKUP($B212,INDIRECT($B$5&amp;"生成成长"),3))*(VLOOKUP($B$5,标准坦克设计!$B$14:$K$20,9)/30))</f>
        <v>5.1672685021613409</v>
      </c>
      <c r="EF212" s="172">
        <f ca="1">(VLOOKUP(EF$72,INDIRECT($C$5&amp;"生成成长"),2))/((VLOOKUP($B212,INDIRECT($B$5&amp;"生成成长"),4))/(VLOOKUP(EF$72,INDIRECT($C$5&amp;"生成成长"),5))*(VLOOKUP($B$5,标准坦克设计!$B$24:$U$30,MATCH("对"&amp;LEFT($C$5,2)&amp;"输出",标准坦克设计!$B$23:$U$23,0)))*(VLOOKUP($B212,INDIRECT($B$5&amp;"生成成长"),3))*(VLOOKUP($B$5,标准坦克设计!$B$14:$K$20,9)/30))</f>
        <v>5.5872049274730973</v>
      </c>
      <c r="EG212" s="172">
        <f ca="1">(VLOOKUP(EG$72,INDIRECT($C$5&amp;"生成成长"),2))/((VLOOKUP($B212,INDIRECT($B$5&amp;"生成成长"),4))/(VLOOKUP(EG$72,INDIRECT($C$5&amp;"生成成长"),5))*(VLOOKUP($B$5,标准坦克设计!$B$24:$U$30,MATCH("对"&amp;LEFT($C$5,2)&amp;"输出",标准坦克设计!$B$23:$U$23,0)))*(VLOOKUP($B212,INDIRECT($B$5&amp;"生成成长"),3))*(VLOOKUP($B$5,标准坦克设计!$B$14:$K$20,9)/30))</f>
        <v>6.0235451193985963</v>
      </c>
      <c r="EH212" s="172">
        <f ca="1">(VLOOKUP(EH$72,INDIRECT($C$5&amp;"生成成长"),2))/((VLOOKUP($B212,INDIRECT($B$5&amp;"生成成长"),4))/(VLOOKUP(EH$72,INDIRECT($C$5&amp;"生成成长"),5))*(VLOOKUP($B$5,标准坦克设计!$B$24:$U$30,MATCH("对"&amp;LEFT($C$5,2)&amp;"输出",标准坦克设计!$B$23:$U$23,0)))*(VLOOKUP($B212,INDIRECT($B$5&amp;"生成成长"),3))*(VLOOKUP($B$5,标准坦克设计!$B$14:$K$20,9)/30))</f>
        <v>6.4762890779378361</v>
      </c>
      <c r="EI212" s="172">
        <f ca="1">(VLOOKUP(EI$72,INDIRECT($C$5&amp;"生成成长"),2))/((VLOOKUP($B212,INDIRECT($B$5&amp;"生成成长"),4))/(VLOOKUP(EI$72,INDIRECT($C$5&amp;"生成成长"),5))*(VLOOKUP($B$5,标准坦克设计!$B$24:$U$30,MATCH("对"&amp;LEFT($C$5,2)&amp;"输出",标准坦克设计!$B$23:$U$23,0)))*(VLOOKUP($B212,INDIRECT($B$5&amp;"生成成长"),3))*(VLOOKUP($B$5,标准坦克设计!$B$14:$K$20,9)/30))</f>
        <v>6.9454368030908142</v>
      </c>
      <c r="EJ212" s="172">
        <f ca="1">(VLOOKUP(EJ$72,INDIRECT($C$5&amp;"生成成长"),2))/((VLOOKUP($B212,INDIRECT($B$5&amp;"生成成长"),4))/(VLOOKUP(EJ$72,INDIRECT($C$5&amp;"生成成长"),5))*(VLOOKUP($B$5,标准坦克设计!$B$24:$U$30,MATCH("对"&amp;LEFT($C$5,2)&amp;"输出",标准坦克设计!$B$23:$U$23,0)))*(VLOOKUP($B212,INDIRECT($B$5&amp;"生成成长"),3))*(VLOOKUP($B$5,标准坦克设计!$B$14:$K$20,9)/30))</f>
        <v>7.4309882948575332</v>
      </c>
      <c r="EK212" s="172">
        <f ca="1">(VLOOKUP(EK$72,INDIRECT($C$5&amp;"生成成长"),2))/((VLOOKUP($B212,INDIRECT($B$5&amp;"生成成长"),4))/(VLOOKUP(EK$72,INDIRECT($C$5&amp;"生成成长"),5))*(VLOOKUP($B$5,标准坦克设计!$B$24:$U$30,MATCH("对"&amp;LEFT($C$5,2)&amp;"输出",标准坦克设计!$B$23:$U$23,0)))*(VLOOKUP($B212,INDIRECT($B$5&amp;"生成成长"),3))*(VLOOKUP($B$5,标准坦克设计!$B$14:$K$20,9)/30))</f>
        <v>8.0353030569077362</v>
      </c>
      <c r="EL212" s="172">
        <f ca="1">(VLOOKUP(EL$72,INDIRECT($C$5&amp;"生成成长"),2))/((VLOOKUP($B212,INDIRECT($B$5&amp;"生成成长"),4))/(VLOOKUP(EL$72,INDIRECT($C$5&amp;"生成成长"),5))*(VLOOKUP($B$5,标准坦克设计!$B$24:$U$30,MATCH("对"&amp;LEFT($C$5,2)&amp;"输出",标准坦克设计!$B$23:$U$23,0)))*(VLOOKUP($B212,INDIRECT($B$5&amp;"生成成长"),3))*(VLOOKUP($B$5,标准坦克设计!$B$14:$K$20,9)/30))</f>
        <v>8.6632392428817244</v>
      </c>
      <c r="EM212" s="172">
        <f ca="1">(VLOOKUP(EM$72,INDIRECT($C$5&amp;"生成成长"),2))/((VLOOKUP($B212,INDIRECT($B$5&amp;"生成成长"),4))/(VLOOKUP(EM$72,INDIRECT($C$5&amp;"生成成长"),5))*(VLOOKUP($B$5,标准坦克设计!$B$24:$U$30,MATCH("对"&amp;LEFT($C$5,2)&amp;"输出",标准坦克设计!$B$23:$U$23,0)))*(VLOOKUP($B212,INDIRECT($B$5&amp;"生成成长"),3))*(VLOOKUP($B$5,标准坦克设计!$B$14:$K$20,9)/30))</f>
        <v>9.3147968527794998</v>
      </c>
      <c r="EN212" s="172">
        <f ca="1">(VLOOKUP(EN$72,INDIRECT($C$5&amp;"生成成长"),2))/((VLOOKUP($B212,INDIRECT($B$5&amp;"生成成长"),4))/(VLOOKUP(EN$72,INDIRECT($C$5&amp;"生成成长"),5))*(VLOOKUP($B$5,标准坦克设计!$B$24:$U$30,MATCH("对"&amp;LEFT($C$5,2)&amp;"输出",标准坦克设计!$B$23:$U$23,0)))*(VLOOKUP($B212,INDIRECT($B$5&amp;"生成成长"),3))*(VLOOKUP($B$5,标准坦克设计!$B$14:$K$20,9)/30))</f>
        <v>9.9899758866010604</v>
      </c>
      <c r="EO212" s="172">
        <f ca="1">(VLOOKUP(EO$72,INDIRECT($C$5&amp;"生成成长"),2))/((VLOOKUP($B212,INDIRECT($B$5&amp;"生成成长"),4))/(VLOOKUP(EO$72,INDIRECT($C$5&amp;"生成成长"),5))*(VLOOKUP($B$5,标准坦克设计!$B$24:$U$30,MATCH("对"&amp;LEFT($C$5,2)&amp;"输出",标准坦克设计!$B$23:$U$23,0)))*(VLOOKUP($B212,INDIRECT($B$5&amp;"生成成长"),3))*(VLOOKUP($B$5,标准坦克设计!$B$14:$K$20,9)/30))</f>
        <v>10.688776344346406</v>
      </c>
      <c r="EP212" s="172">
        <f ca="1">(VLOOKUP(EP$72,INDIRECT($C$5&amp;"生成成长"),2))/((VLOOKUP($B212,INDIRECT($B$5&amp;"生成成长"),4))/(VLOOKUP(EP$72,INDIRECT($C$5&amp;"生成成长"),5))*(VLOOKUP($B$5,标准坦克设计!$B$24:$U$30,MATCH("对"&amp;LEFT($C$5,2)&amp;"输出",标准坦克设计!$B$23:$U$23,0)))*(VLOOKUP($B212,INDIRECT($B$5&amp;"生成成长"),3))*(VLOOKUP($B$5,标准坦克设计!$B$14:$K$20,9)/30))</f>
        <v>11.411198226015539</v>
      </c>
      <c r="EQ212" s="172">
        <f ca="1">(VLOOKUP(EQ$72,INDIRECT($C$5&amp;"生成成长"),2))/((VLOOKUP($B212,INDIRECT($B$5&amp;"生成成长"),4))/(VLOOKUP(EQ$72,INDIRECT($C$5&amp;"生成成长"),5))*(VLOOKUP($B$5,标准坦克设计!$B$24:$U$30,MATCH("对"&amp;LEFT($C$5,2)&amp;"输出",标准坦克设计!$B$23:$U$23,0)))*(VLOOKUP($B212,INDIRECT($B$5&amp;"生成成长"),3))*(VLOOKUP($B$5,标准坦克设计!$B$14:$K$20,9)/30))</f>
        <v>5.0444863090574916</v>
      </c>
      <c r="ER212" s="172">
        <f ca="1">(VLOOKUP(ER$72,INDIRECT($C$5&amp;"生成成长"),2))/((VLOOKUP($B212,INDIRECT($B$5&amp;"生成成长"),4))/(VLOOKUP(ER$72,INDIRECT($C$5&amp;"生成成长"),5))*(VLOOKUP($B$5,标准坦克设计!$B$24:$U$30,MATCH("对"&amp;LEFT($C$5,2)&amp;"输出",标准坦克设计!$B$23:$U$23,0)))*(VLOOKUP($B212,INDIRECT($B$5&amp;"生成成长"),3))*(VLOOKUP($B$5,标准坦克设计!$B$14:$K$20,9)/30))</f>
        <v>5.5019053410816472</v>
      </c>
      <c r="ES212" s="172">
        <f ca="1">(VLOOKUP(ES$72,INDIRECT($C$5&amp;"生成成长"),2))/((VLOOKUP($B212,INDIRECT($B$5&amp;"生成成长"),4))/(VLOOKUP(ES$72,INDIRECT($C$5&amp;"生成成长"),5))*(VLOOKUP($B$5,标准坦克设计!$B$24:$U$30,MATCH("对"&amp;LEFT($C$5,2)&amp;"输出",标准坦克设计!$B$23:$U$23,0)))*(VLOOKUP($B212,INDIRECT($B$5&amp;"生成成长"),3))*(VLOOKUP($B$5,标准坦克设计!$B$14:$K$20,9)/30))</f>
        <v>5.9791729307084278</v>
      </c>
      <c r="ET212" s="172">
        <f ca="1">(VLOOKUP(ET$72,INDIRECT($C$5&amp;"生成成长"),2))/((VLOOKUP($B212,INDIRECT($B$5&amp;"生成成长"),4))/(VLOOKUP(ET$72,INDIRECT($C$5&amp;"生成成长"),5))*(VLOOKUP($B$5,标准坦克设计!$B$24:$U$30,MATCH("对"&amp;LEFT($C$5,2)&amp;"输出",标准坦克设计!$B$23:$U$23,0)))*(VLOOKUP($B212,INDIRECT($B$5&amp;"生成成长"),3))*(VLOOKUP($B$5,标准坦克设计!$B$14:$K$20,9)/30))</f>
        <v>6.4762890779378361</v>
      </c>
      <c r="EU212" s="172">
        <f ca="1">(VLOOKUP(EU$72,INDIRECT($C$5&amp;"生成成长"),2))/((VLOOKUP($B212,INDIRECT($B$5&amp;"生成成长"),4))/(VLOOKUP(EU$72,INDIRECT($C$5&amp;"生成成长"),5))*(VLOOKUP($B$5,标准坦克设计!$B$24:$U$30,MATCH("对"&amp;LEFT($C$5,2)&amp;"输出",标准坦克设计!$B$23:$U$23,0)))*(VLOOKUP($B212,INDIRECT($B$5&amp;"生成成长"),3))*(VLOOKUP($B$5,标准坦克设计!$B$14:$K$20,9)/30))</f>
        <v>6.9932537827698686</v>
      </c>
      <c r="EV212" s="172">
        <f ca="1">(VLOOKUP(EV$72,INDIRECT($C$5&amp;"生成成长"),2))/((VLOOKUP($B212,INDIRECT($B$5&amp;"生成成长"),4))/(VLOOKUP(EV$72,INDIRECT($C$5&amp;"生成成长"),5))*(VLOOKUP($B$5,标准坦克设计!$B$24:$U$30,MATCH("对"&amp;LEFT($C$5,2)&amp;"输出",标准坦克设计!$B$23:$U$23,0)))*(VLOOKUP($B212,INDIRECT($B$5&amp;"生成成长"),3))*(VLOOKUP($B$5,标准坦克设计!$B$14:$K$20,9)/30))</f>
        <v>7.5300670452045271</v>
      </c>
      <c r="EW212" s="172">
        <f ca="1">(VLOOKUP(EW$72,INDIRECT($C$5&amp;"生成成长"),2))/((VLOOKUP($B212,INDIRECT($B$5&amp;"生成成长"),4))/(VLOOKUP(EW$72,INDIRECT($C$5&amp;"生成成长"),5))*(VLOOKUP($B$5,标准坦克设计!$B$24:$U$30,MATCH("对"&amp;LEFT($C$5,2)&amp;"输出",标准坦克设计!$B$23:$U$23,0)))*(VLOOKUP($B212,INDIRECT($B$5&amp;"生成成长"),3))*(VLOOKUP($B$5,标准坦克设计!$B$14:$K$20,9)/30))</f>
        <v>8.0867288652418114</v>
      </c>
      <c r="EX212" s="172">
        <f ca="1">(VLOOKUP(EX$72,INDIRECT($C$5&amp;"生成成长"),2))/((VLOOKUP($B212,INDIRECT($B$5&amp;"生成成长"),4))/(VLOOKUP(EX$72,INDIRECT($C$5&amp;"生成成长"),5))*(VLOOKUP($B$5,标准坦克设计!$B$24:$U$30,MATCH("对"&amp;LEFT($C$5,2)&amp;"输出",标准坦克设计!$B$23:$U$23,0)))*(VLOOKUP($B212,INDIRECT($B$5&amp;"生成成长"),3))*(VLOOKUP($B$5,标准坦克设计!$B$14:$K$20,9)/30))</f>
        <v>8.6632392428817244</v>
      </c>
      <c r="EY212" s="172">
        <f ca="1">(VLOOKUP(EY$72,INDIRECT($C$5&amp;"生成成长"),2))/((VLOOKUP($B212,INDIRECT($B$5&amp;"生成成长"),4))/(VLOOKUP(EY$72,INDIRECT($C$5&amp;"生成成长"),5))*(VLOOKUP($B$5,标准坦克设计!$B$24:$U$30,MATCH("对"&amp;LEFT($C$5,2)&amp;"输出",标准坦克设计!$B$23:$U$23,0)))*(VLOOKUP($B212,INDIRECT($B$5&amp;"生成成长"),3))*(VLOOKUP($B$5,标准坦克设计!$B$14:$K$20,9)/30))</f>
        <v>9.2595981781242624</v>
      </c>
      <c r="EZ212" s="172">
        <f ca="1">(VLOOKUP(EZ$72,INDIRECT($C$5&amp;"生成成长"),2))/((VLOOKUP($B212,INDIRECT($B$5&amp;"生成成长"),4))/(VLOOKUP(EZ$72,INDIRECT($C$5&amp;"生成成长"),5))*(VLOOKUP($B$5,标准坦克设计!$B$24:$U$30,MATCH("对"&amp;LEFT($C$5,2)&amp;"输出",标准坦克设计!$B$23:$U$23,0)))*(VLOOKUP($B212,INDIRECT($B$5&amp;"生成成长"),3))*(VLOOKUP($B$5,标准坦克设计!$B$14:$K$20,9)/30))</f>
        <v>9.8758056709694255</v>
      </c>
      <c r="FA212" s="172">
        <f ca="1">(VLOOKUP(FA$72,INDIRECT($C$5&amp;"生成成长"),2))/((VLOOKUP($B212,INDIRECT($B$5&amp;"生成成长"),4))/(VLOOKUP(FA$72,INDIRECT($C$5&amp;"生成成长"),5))*(VLOOKUP($B$5,标准坦克设计!$B$24:$U$30,MATCH("对"&amp;LEFT($C$5,2)&amp;"输出",标准坦克设计!$B$23:$U$23,0)))*(VLOOKUP($B212,INDIRECT($B$5&amp;"生成成长"),3))*(VLOOKUP($B$5,标准坦克设计!$B$14:$K$20,9)/30))</f>
        <v>10.511861721417215</v>
      </c>
      <c r="FB212" s="172">
        <f ca="1">(VLOOKUP(FB$72,INDIRECT($C$5&amp;"生成成长"),2))/((VLOOKUP($B212,INDIRECT($B$5&amp;"生成成长"),4))/(VLOOKUP(FB$72,INDIRECT($C$5&amp;"生成成长"),5))*(VLOOKUP($B$5,标准坦克设计!$B$24:$U$30,MATCH("对"&amp;LEFT($C$5,2)&amp;"输出",标准坦克设计!$B$23:$U$23,0)))*(VLOOKUP($B212,INDIRECT($B$5&amp;"生成成长"),3))*(VLOOKUP($B$5,标准坦克设计!$B$14:$K$20,9)/30))</f>
        <v>11.16776632946763</v>
      </c>
      <c r="FC212" s="172">
        <f ca="1">(VLOOKUP(FC$72,INDIRECT($C$5&amp;"生成成长"),2))/((VLOOKUP($B212,INDIRECT($B$5&amp;"生成成长"),4))/(VLOOKUP(FC$72,INDIRECT($C$5&amp;"生成成长"),5))*(VLOOKUP($B$5,标准坦克设计!$B$24:$U$30,MATCH("对"&amp;LEFT($C$5,2)&amp;"输出",标准坦克设计!$B$23:$U$23,0)))*(VLOOKUP($B212,INDIRECT($B$5&amp;"生成成长"),3))*(VLOOKUP($B$5,标准坦克设计!$B$14:$K$20,9)/30))</f>
        <v>11.843519495120672</v>
      </c>
      <c r="FD212" s="172">
        <f ca="1">(VLOOKUP(FD$72,INDIRECT($C$5&amp;"生成成长"),2))/((VLOOKUP($B212,INDIRECT($B$5&amp;"生成成长"),4))/(VLOOKUP(FD$72,INDIRECT($C$5&amp;"生成成长"),5))*(VLOOKUP($B$5,标准坦克设计!$B$24:$U$30,MATCH("对"&amp;LEFT($C$5,2)&amp;"输出",标准坦克设计!$B$23:$U$23,0)))*(VLOOKUP($B212,INDIRECT($B$5&amp;"生成成长"),3))*(VLOOKUP($B$5,标准坦克设计!$B$14:$K$20,9)/30))</f>
        <v>12.539121218376341</v>
      </c>
      <c r="FE212" s="172">
        <f ca="1">(VLOOKUP(FE$72,INDIRECT($C$5&amp;"生成成长"),2))/((VLOOKUP($B212,INDIRECT($B$5&amp;"生成成长"),4))/(VLOOKUP(FE$72,INDIRECT($C$5&amp;"生成成长"),5))*(VLOOKUP($B$5,标准坦克设计!$B$24:$U$30,MATCH("对"&amp;LEFT($C$5,2)&amp;"输出",标准坦克设计!$B$23:$U$23,0)))*(VLOOKUP($B212,INDIRECT($B$5&amp;"生成成长"),3))*(VLOOKUP($B$5,标准坦克设计!$B$14:$K$20,9)/30))</f>
        <v>13.386785858141382</v>
      </c>
      <c r="FF212" s="172">
        <f ca="1">(VLOOKUP(FF$72,INDIRECT($C$5&amp;"生成成长"),2))/((VLOOKUP($B212,INDIRECT($B$5&amp;"生成成长"),4))/(VLOOKUP(FF$72,INDIRECT($C$5&amp;"生成成长"),5))*(VLOOKUP($B$5,标准坦克设计!$B$24:$U$30,MATCH("对"&amp;LEFT($C$5,2)&amp;"输出",标准坦克设计!$B$23:$U$23,0)))*(VLOOKUP($B212,INDIRECT($B$5&amp;"生成成长"),3))*(VLOOKUP($B$5,标准坦克设计!$B$14:$K$20,9)/30))</f>
        <v>14.262172863483645</v>
      </c>
      <c r="FG212" s="172">
        <f ca="1">(VLOOKUP(FG$72,INDIRECT($C$5&amp;"生成成长"),2))/((VLOOKUP($B212,INDIRECT($B$5&amp;"生成成长"),4))/(VLOOKUP(FG$72,INDIRECT($C$5&amp;"生成成长"),5))*(VLOOKUP($B$5,标准坦克设计!$B$24:$U$30,MATCH("对"&amp;LEFT($C$5,2)&amp;"输出",标准坦克设计!$B$23:$U$23,0)))*(VLOOKUP($B212,INDIRECT($B$5&amp;"生成成长"),3))*(VLOOKUP($B$5,标准坦克设计!$B$14:$K$20,9)/30))</f>
        <v>15.165282234403129</v>
      </c>
      <c r="FH212" s="172">
        <f ca="1">(VLOOKUP(FH$72,INDIRECT($C$5&amp;"生成成长"),2))/((VLOOKUP($B212,INDIRECT($B$5&amp;"生成成长"),4))/(VLOOKUP(FH$72,INDIRECT($C$5&amp;"生成成长"),5))*(VLOOKUP($B$5,标准坦克设计!$B$24:$U$30,MATCH("对"&amp;LEFT($C$5,2)&amp;"输出",标准坦克设计!$B$23:$U$23,0)))*(VLOOKUP($B212,INDIRECT($B$5&amp;"生成成长"),3))*(VLOOKUP($B$5,标准坦克设计!$B$14:$K$20,9)/30))</f>
        <v>16.09611397089984</v>
      </c>
      <c r="FI212" s="172">
        <f ca="1">(VLOOKUP(FI$72,INDIRECT($C$5&amp;"生成成长"),2))/((VLOOKUP($B212,INDIRECT($B$5&amp;"生成成长"),4))/(VLOOKUP(FI$72,INDIRECT($C$5&amp;"生成成长"),5))*(VLOOKUP($B$5,标准坦克设计!$B$24:$U$30,MATCH("对"&amp;LEFT($C$5,2)&amp;"输出",标准坦克设计!$B$23:$U$23,0)))*(VLOOKUP($B212,INDIRECT($B$5&amp;"生成成长"),3))*(VLOOKUP($B$5,标准坦克设计!$B$14:$K$20,9)/30))</f>
        <v>17.054668072973769</v>
      </c>
      <c r="FJ212" s="172">
        <f ca="1">(VLOOKUP(FJ$72,INDIRECT($C$5&amp;"生成成长"),2))/((VLOOKUP($B212,INDIRECT($B$5&amp;"生成成长"),4))/(VLOOKUP(FJ$72,INDIRECT($C$5&amp;"生成成长"),5))*(VLOOKUP($B$5,标准坦克设计!$B$24:$U$30,MATCH("对"&amp;LEFT($C$5,2)&amp;"输出",标准坦克设计!$B$23:$U$23,0)))*(VLOOKUP($B212,INDIRECT($B$5&amp;"生成成长"),3))*(VLOOKUP($B$5,标准坦克设计!$B$14:$K$20,9)/30))</f>
        <v>18.040944540624917</v>
      </c>
      <c r="FK212" s="172">
        <f ca="1">(VLOOKUP(FK$72,INDIRECT($C$5&amp;"生成成长"),2))/((VLOOKUP($B212,INDIRECT($B$5&amp;"生成成长"),4))/(VLOOKUP(FK$72,INDIRECT($C$5&amp;"生成成长"),5))*(VLOOKUP($B$5,标准坦克设计!$B$24:$U$30,MATCH("对"&amp;LEFT($C$5,2)&amp;"输出",标准坦克设计!$B$23:$U$23,0)))*(VLOOKUP($B212,INDIRECT($B$5&amp;"生成成长"),3))*(VLOOKUP($B$5,标准坦克设计!$B$14:$K$20,9)/30))</f>
        <v>19.054943373853288</v>
      </c>
    </row>
    <row r="213" spans="1:167" x14ac:dyDescent="0.15">
      <c r="A213" s="170" t="str">
        <f t="shared" si="13"/>
        <v>T4高品质15级</v>
      </c>
      <c r="B213" s="171">
        <v>30415</v>
      </c>
      <c r="C213" s="172">
        <f ca="1">(VLOOKUP(C$72,INDIRECT($C$5&amp;"生成成长"),2))/((VLOOKUP($B213,INDIRECT($B$5&amp;"生成成长"),4))/(VLOOKUP(C$72,INDIRECT($C$5&amp;"生成成长"),5))*(VLOOKUP($B$5,标准坦克设计!$B$24:$U$30,MATCH("对"&amp;LEFT($C$5,2)&amp;"输出",标准坦克设计!$B$23:$U$23,0)))*(VLOOKUP($B213,INDIRECT($B$5&amp;"生成成长"),3))*(VLOOKUP($B$5,标准坦克设计!$B$14:$K$20,9)/30))</f>
        <v>0.76398681110115663</v>
      </c>
      <c r="D213" s="172">
        <f ca="1">(VLOOKUP(D$72,INDIRECT($C$5&amp;"生成成长"),2))/((VLOOKUP($B213,INDIRECT($B$5&amp;"生成成长"),4))/(VLOOKUP(D$72,INDIRECT($C$5&amp;"生成成长"),5))*(VLOOKUP($B$5,标准坦克设计!$B$24:$U$30,MATCH("对"&amp;LEFT($C$5,2)&amp;"输出",标准坦克设计!$B$23:$U$23,0)))*(VLOOKUP($B213,INDIRECT($B$5&amp;"生成成长"),3))*(VLOOKUP($B$5,标准坦克设计!$B$14:$K$20,9)/30))</f>
        <v>0.85841558095325987</v>
      </c>
      <c r="E213" s="172">
        <f ca="1">(VLOOKUP(E$72,INDIRECT($C$5&amp;"生成成长"),2))/((VLOOKUP($B213,INDIRECT($B$5&amp;"生成成长"),4))/(VLOOKUP(E$72,INDIRECT($C$5&amp;"生成成长"),5))*(VLOOKUP($B$5,标准坦克设计!$B$24:$U$30,MATCH("对"&amp;LEFT($C$5,2)&amp;"输出",标准坦克设计!$B$23:$U$23,0)))*(VLOOKUP($B213,INDIRECT($B$5&amp;"生成成长"),3))*(VLOOKUP($B$5,标准坦克设计!$B$14:$K$20,9)/30))</f>
        <v>0.95834505584529084</v>
      </c>
      <c r="F213" s="172">
        <f ca="1">(VLOOKUP(F$72,INDIRECT($C$5&amp;"生成成长"),2))/((VLOOKUP($B213,INDIRECT($B$5&amp;"生成成长"),4))/(VLOOKUP(F$72,INDIRECT($C$5&amp;"生成成长"),5))*(VLOOKUP($B$5,标准坦克设计!$B$24:$U$30,MATCH("对"&amp;LEFT($C$5,2)&amp;"输出",标准坦克设计!$B$23:$U$23,0)))*(VLOOKUP($B213,INDIRECT($B$5&amp;"生成成长"),3))*(VLOOKUP($B$5,标准坦克设计!$B$14:$K$20,9)/30))</f>
        <v>1.0637752357772507</v>
      </c>
      <c r="G213" s="172">
        <f ca="1">(VLOOKUP(G$72,INDIRECT($C$5&amp;"生成成长"),2))/((VLOOKUP($B213,INDIRECT($B$5&amp;"生成成长"),4))/(VLOOKUP(G$72,INDIRECT($C$5&amp;"生成成长"),5))*(VLOOKUP($B$5,标准坦克设计!$B$24:$U$30,MATCH("对"&amp;LEFT($C$5,2)&amp;"输出",标准坦克设计!$B$23:$U$23,0)))*(VLOOKUP($B213,INDIRECT($B$5&amp;"生成成长"),3))*(VLOOKUP($B$5,标准坦克设计!$B$14:$K$20,9)/30))</f>
        <v>1.1747061207491385</v>
      </c>
      <c r="H213" s="172">
        <f ca="1">(VLOOKUP(H$72,INDIRECT($C$5&amp;"生成成长"),2))/((VLOOKUP($B213,INDIRECT($B$5&amp;"生成成长"),4))/(VLOOKUP(H$72,INDIRECT($C$5&amp;"生成成长"),5))*(VLOOKUP($B$5,标准坦克设计!$B$24:$U$30,MATCH("对"&amp;LEFT($C$5,2)&amp;"输出",标准坦克设计!$B$23:$U$23,0)))*(VLOOKUP($B213,INDIRECT($B$5&amp;"生成成长"),3))*(VLOOKUP($B$5,标准坦克设计!$B$14:$K$20,9)/30))</f>
        <v>1.0280206530177165</v>
      </c>
      <c r="I213" s="172">
        <f ca="1">(VLOOKUP(I$72,INDIRECT($C$5&amp;"生成成长"),2))/((VLOOKUP($B213,INDIRECT($B$5&amp;"生成成长"),4))/(VLOOKUP(I$72,INDIRECT($C$5&amp;"生成成长"),5))*(VLOOKUP($B$5,标准坦克设计!$B$24:$U$30,MATCH("对"&amp;LEFT($C$5,2)&amp;"输出",标准坦克设计!$B$23:$U$23,0)))*(VLOOKUP($B213,INDIRECT($B$5&amp;"生成成长"),3))*(VLOOKUP($B$5,标准坦克设计!$B$14:$K$20,9)/30))</f>
        <v>1.1747061207491385</v>
      </c>
      <c r="J213" s="172">
        <f ca="1">(VLOOKUP(J$72,INDIRECT($C$5&amp;"生成成长"),2))/((VLOOKUP($B213,INDIRECT($B$5&amp;"生成成长"),4))/(VLOOKUP(J$72,INDIRECT($C$5&amp;"生成成长"),5))*(VLOOKUP($B$5,标准坦克设计!$B$24:$U$30,MATCH("对"&amp;LEFT($C$5,2)&amp;"输出",标准坦克设计!$B$23:$U$23,0)))*(VLOOKUP($B213,INDIRECT($B$5&amp;"生成成长"),3))*(VLOOKUP($B$5,标准坦克设计!$B$14:$K$20,9)/30))</f>
        <v>1.3311706196626554</v>
      </c>
      <c r="K213" s="172">
        <f ca="1">(VLOOKUP(K$72,INDIRECT($C$5&amp;"生成成长"),2))/((VLOOKUP($B213,INDIRECT($B$5&amp;"生成成长"),4))/(VLOOKUP(K$72,INDIRECT($C$5&amp;"生成成长"),5))*(VLOOKUP($B$5,标准坦克设计!$B$24:$U$30,MATCH("对"&amp;LEFT($C$5,2)&amp;"输出",标准坦克设计!$B$23:$U$23,0)))*(VLOOKUP($B213,INDIRECT($B$5&amp;"生成成长"),3))*(VLOOKUP($B$5,标准坦克设计!$B$14:$K$20,9)/30))</f>
        <v>1.4974141497582671</v>
      </c>
      <c r="L213" s="172">
        <f ca="1">(VLOOKUP(L$72,INDIRECT($C$5&amp;"生成成长"),2))/((VLOOKUP($B213,INDIRECT($B$5&amp;"生成成长"),4))/(VLOOKUP(L$72,INDIRECT($C$5&amp;"生成成长"),5))*(VLOOKUP($B$5,标准坦克设计!$B$24:$U$30,MATCH("对"&amp;LEFT($C$5,2)&amp;"输出",标准坦克设计!$B$23:$U$23,0)))*(VLOOKUP($B213,INDIRECT($B$5&amp;"生成成长"),3))*(VLOOKUP($B$5,标准坦克设计!$B$14:$K$20,9)/30))</f>
        <v>1.6734367110359738</v>
      </c>
      <c r="M213" s="172">
        <f ca="1">(VLOOKUP(M$72,INDIRECT($C$5&amp;"生成成长"),2))/((VLOOKUP($B213,INDIRECT($B$5&amp;"生成成长"),4))/(VLOOKUP(M$72,INDIRECT($C$5&amp;"生成成长"),5))*(VLOOKUP($B$5,标准坦克设计!$B$24:$U$30,MATCH("对"&amp;LEFT($C$5,2)&amp;"输出",标准坦克设计!$B$23:$U$23,0)))*(VLOOKUP($B213,INDIRECT($B$5&amp;"生成成长"),3))*(VLOOKUP($B$5,标准坦克设计!$B$14:$K$20,9)/30))</f>
        <v>1.8592383034957751</v>
      </c>
      <c r="N213" s="172">
        <f ca="1">(VLOOKUP(N$72,INDIRECT($C$5&amp;"生成成长"),2))/((VLOOKUP($B213,INDIRECT($B$5&amp;"生成成长"),4))/(VLOOKUP(N$72,INDIRECT($C$5&amp;"生成成长"),5))*(VLOOKUP($B$5,标准坦克设计!$B$24:$U$30,MATCH("对"&amp;LEFT($C$5,2)&amp;"输出",标准坦克设计!$B$23:$U$23,0)))*(VLOOKUP($B213,INDIRECT($B$5&amp;"生成成长"),3))*(VLOOKUP($B$5,标准坦克设计!$B$14:$K$20,9)/30))</f>
        <v>2.054818927137672</v>
      </c>
      <c r="O213" s="172">
        <f ca="1">(VLOOKUP(O$72,INDIRECT($C$5&amp;"生成成长"),2))/((VLOOKUP($B213,INDIRECT($B$5&amp;"生成成长"),4))/(VLOOKUP(O$72,INDIRECT($C$5&amp;"生成成长"),5))*(VLOOKUP($B$5,标准坦克设计!$B$24:$U$30,MATCH("对"&amp;LEFT($C$5,2)&amp;"输出",标准坦克设计!$B$23:$U$23,0)))*(VLOOKUP($B213,INDIRECT($B$5&amp;"生成成长"),3))*(VLOOKUP($B$5,标准坦克设计!$B$14:$K$20,9)/30))</f>
        <v>1.5622766300207556</v>
      </c>
      <c r="P213" s="172">
        <f ca="1">(VLOOKUP(P$72,INDIRECT($C$5&amp;"生成成长"),2))/((VLOOKUP($B213,INDIRECT($B$5&amp;"生成成长"),4))/(VLOOKUP(P$72,INDIRECT($C$5&amp;"生成成长"),5))*(VLOOKUP($B$5,标准坦克设计!$B$24:$U$30,MATCH("对"&amp;LEFT($C$5,2)&amp;"输出",标准坦克设计!$B$23:$U$23,0)))*(VLOOKUP($B213,INDIRECT($B$5&amp;"生成成长"),3))*(VLOOKUP($B$5,标准坦克设计!$B$14:$K$20,9)/30))</f>
        <v>1.7651151283681126</v>
      </c>
      <c r="Q213" s="172">
        <f ca="1">(VLOOKUP(Q$72,INDIRECT($C$5&amp;"生成成长"),2))/((VLOOKUP($B213,INDIRECT($B$5&amp;"生成成长"),4))/(VLOOKUP(Q$72,INDIRECT($C$5&amp;"生成成长"),5))*(VLOOKUP($B$5,标准坦克设计!$B$24:$U$30,MATCH("对"&amp;LEFT($C$5,2)&amp;"输出",标准坦克设计!$B$23:$U$23,0)))*(VLOOKUP($B213,INDIRECT($B$5&amp;"生成成长"),3))*(VLOOKUP($B$5,标准坦克设计!$B$14:$K$20,9)/30))</f>
        <v>1.9803302130553087</v>
      </c>
      <c r="R213" s="172">
        <f ca="1">(VLOOKUP(R$72,INDIRECT($C$5&amp;"生成成长"),2))/((VLOOKUP($B213,INDIRECT($B$5&amp;"生成成长"),4))/(VLOOKUP(R$72,INDIRECT($C$5&amp;"生成成长"),5))*(VLOOKUP($B$5,标准坦克设计!$B$24:$U$30,MATCH("对"&amp;LEFT($C$5,2)&amp;"输出",标准坦克设计!$B$23:$U$23,0)))*(VLOOKUP($B213,INDIRECT($B$5&amp;"生成成长"),3))*(VLOOKUP($B$5,标准坦克设计!$B$14:$K$20,9)/30))</f>
        <v>2.2079218840823431</v>
      </c>
      <c r="S213" s="172">
        <f ca="1">(VLOOKUP(S$72,INDIRECT($C$5&amp;"生成成长"),2))/((VLOOKUP($B213,INDIRECT($B$5&amp;"生成成长"),4))/(VLOOKUP(S$72,INDIRECT($C$5&amp;"生成成长"),5))*(VLOOKUP($B$5,标准坦克设计!$B$24:$U$30,MATCH("对"&amp;LEFT($C$5,2)&amp;"输出",标准坦克设计!$B$23:$U$23,0)))*(VLOOKUP($B213,INDIRECT($B$5&amp;"生成成长"),3))*(VLOOKUP($B$5,标准坦克设计!$B$14:$K$20,9)/30))</f>
        <v>2.447890141449216</v>
      </c>
      <c r="T213" s="172">
        <f ca="1">(VLOOKUP(T$72,INDIRECT($C$5&amp;"生成成长"),2))/((VLOOKUP($B213,INDIRECT($B$5&amp;"生成成长"),4))/(VLOOKUP(T$72,INDIRECT($C$5&amp;"生成成长"),5))*(VLOOKUP($B$5,标准坦克设计!$B$24:$U$30,MATCH("对"&amp;LEFT($C$5,2)&amp;"输出",标准坦克设计!$B$23:$U$23,0)))*(VLOOKUP($B213,INDIRECT($B$5&amp;"生成成长"),3))*(VLOOKUP($B$5,标准坦克设计!$B$14:$K$20,9)/30))</f>
        <v>2.7002349851559284</v>
      </c>
      <c r="U213" s="172">
        <f ca="1">(VLOOKUP(U$72,INDIRECT($C$5&amp;"生成成长"),2))/((VLOOKUP($B213,INDIRECT($B$5&amp;"生成成长"),4))/(VLOOKUP(U$72,INDIRECT($C$5&amp;"生成成长"),5))*(VLOOKUP($B$5,标准坦克设计!$B$24:$U$30,MATCH("对"&amp;LEFT($C$5,2)&amp;"输出",标准坦克设计!$B$23:$U$23,0)))*(VLOOKUP($B213,INDIRECT($B$5&amp;"生成成长"),3))*(VLOOKUP($B$5,标准坦克设计!$B$14:$K$20,9)/30))</f>
        <v>2.9649564152024794</v>
      </c>
      <c r="V213" s="172">
        <f ca="1">(VLOOKUP(V$72,INDIRECT($C$5&amp;"生成成长"),2))/((VLOOKUP($B213,INDIRECT($B$5&amp;"生成成长"),4))/(VLOOKUP(V$72,INDIRECT($C$5&amp;"生成成长"),5))*(VLOOKUP($B$5,标准坦克设计!$B$24:$U$30,MATCH("对"&amp;LEFT($C$5,2)&amp;"输出",标准坦克设计!$B$23:$U$23,0)))*(VLOOKUP($B213,INDIRECT($B$5&amp;"生成成长"),3))*(VLOOKUP($B$5,标准坦克设计!$B$14:$K$20,9)/30))</f>
        <v>3.2420544315888686</v>
      </c>
      <c r="W213" s="172">
        <f ca="1">(VLOOKUP(W$72,INDIRECT($C$5&amp;"生成成长"),2))/((VLOOKUP($B213,INDIRECT($B$5&amp;"生成成长"),4))/(VLOOKUP(W$72,INDIRECT($C$5&amp;"生成成长"),5))*(VLOOKUP($B$5,标准坦克设计!$B$24:$U$30,MATCH("对"&amp;LEFT($C$5,2)&amp;"输出",标准坦克设计!$B$23:$U$23,0)))*(VLOOKUP($B213,INDIRECT($B$5&amp;"生成成长"),3))*(VLOOKUP($B$5,标准坦克设计!$B$14:$K$20,9)/30))</f>
        <v>3.5315290343150969</v>
      </c>
      <c r="X213" s="172">
        <f ca="1">(VLOOKUP(X$72,INDIRECT($C$5&amp;"生成成长"),2))/((VLOOKUP($B213,INDIRECT($B$5&amp;"生成成长"),4))/(VLOOKUP(X$72,INDIRECT($C$5&amp;"生成成长"),5))*(VLOOKUP($B$5,标准坦克设计!$B$24:$U$30,MATCH("对"&amp;LEFT($C$5,2)&amp;"输出",标准坦克设计!$B$23:$U$23,0)))*(VLOOKUP($B213,INDIRECT($B$5&amp;"生成成长"),3))*(VLOOKUP($B$5,标准坦克设计!$B$14:$K$20,9)/30))</f>
        <v>2.5585154316966636</v>
      </c>
      <c r="Y213" s="172">
        <f ca="1">(VLOOKUP(Y$72,INDIRECT($C$5&amp;"生成成长"),2))/((VLOOKUP($B213,INDIRECT($B$5&amp;"生成成长"),4))/(VLOOKUP(Y$72,INDIRECT($C$5&amp;"生成成长"),5))*(VLOOKUP($B$5,标准坦克设计!$B$24:$U$30,MATCH("对"&amp;LEFT($C$5,2)&amp;"输出",标准坦克设计!$B$23:$U$23,0)))*(VLOOKUP($B213,INDIRECT($B$5&amp;"生成成长"),3))*(VLOOKUP($B$5,标准坦克设计!$B$14:$K$20,9)/30))</f>
        <v>2.8457744726706986</v>
      </c>
      <c r="Z213" s="172">
        <f ca="1">(VLOOKUP(Z$72,INDIRECT($C$5&amp;"生成成长"),2))/((VLOOKUP($B213,INDIRECT($B$5&amp;"生成成长"),4))/(VLOOKUP(Z$72,INDIRECT($C$5&amp;"生成成长"),5))*(VLOOKUP($B$5,标准坦克设计!$B$24:$U$30,MATCH("对"&amp;LEFT($C$5,2)&amp;"输出",标准坦克设计!$B$23:$U$23,0)))*(VLOOKUP($B213,INDIRECT($B$5&amp;"生成成长"),3))*(VLOOKUP($B$5,标准坦克设计!$B$14:$K$20,9)/30))</f>
        <v>3.1483132498667565</v>
      </c>
      <c r="AA213" s="172">
        <f ca="1">(VLOOKUP(AA$72,INDIRECT($C$5&amp;"生成成长"),2))/((VLOOKUP($B213,INDIRECT($B$5&amp;"生成成长"),4))/(VLOOKUP(AA$72,INDIRECT($C$5&amp;"生成成长"),5))*(VLOOKUP($B$5,标准坦克设计!$B$24:$U$30,MATCH("对"&amp;LEFT($C$5,2)&amp;"输出",标准坦克设计!$B$23:$U$23,0)))*(VLOOKUP($B213,INDIRECT($B$5&amp;"生成成长"),3))*(VLOOKUP($B$5,标准坦克设计!$B$14:$K$20,9)/30))</f>
        <v>3.4661317632848383</v>
      </c>
      <c r="AB213" s="172">
        <f ca="1">(VLOOKUP(AB$72,INDIRECT($C$5&amp;"生成成长"),2))/((VLOOKUP($B213,INDIRECT($B$5&amp;"生成成长"),4))/(VLOOKUP(AB$72,INDIRECT($C$5&amp;"生成成长"),5))*(VLOOKUP($B$5,标准坦克设计!$B$24:$U$30,MATCH("对"&amp;LEFT($C$5,2)&amp;"输出",标准坦克设计!$B$23:$U$23,0)))*(VLOOKUP($B213,INDIRECT($B$5&amp;"生成成长"),3))*(VLOOKUP($B$5,标准坦克设计!$B$14:$K$20,9)/30))</f>
        <v>3.799230012924943</v>
      </c>
      <c r="AC213" s="172">
        <f ca="1">(VLOOKUP(AC$72,INDIRECT($C$5&amp;"生成成长"),2))/((VLOOKUP($B213,INDIRECT($B$5&amp;"生成成长"),4))/(VLOOKUP(AC$72,INDIRECT($C$5&amp;"生成成长"),5))*(VLOOKUP($B$5,标准坦克设计!$B$24:$U$30,MATCH("对"&amp;LEFT($C$5,2)&amp;"输出",标准坦克设计!$B$23:$U$23,0)))*(VLOOKUP($B213,INDIRECT($B$5&amp;"生成成长"),3))*(VLOOKUP($B$5,标准坦克设计!$B$14:$K$20,9)/30))</f>
        <v>4.1476079987870706</v>
      </c>
      <c r="AD213" s="172">
        <f ca="1">(VLOOKUP(AD$72,INDIRECT($C$5&amp;"生成成长"),2))/((VLOOKUP($B213,INDIRECT($B$5&amp;"生成成长"),4))/(VLOOKUP(AD$72,INDIRECT($C$5&amp;"生成成长"),5))*(VLOOKUP($B$5,标准坦克设计!$B$24:$U$30,MATCH("对"&amp;LEFT($C$5,2)&amp;"输出",标准坦克设计!$B$23:$U$23,0)))*(VLOOKUP($B213,INDIRECT($B$5&amp;"生成成长"),3))*(VLOOKUP($B$5,标准坦克设计!$B$14:$K$20,9)/30))</f>
        <v>4.5112657208712204</v>
      </c>
      <c r="AE213" s="172">
        <f ca="1">(VLOOKUP(AE$72,INDIRECT($C$5&amp;"生成成长"),2))/((VLOOKUP($B213,INDIRECT($B$5&amp;"生成成长"),4))/(VLOOKUP(AE$72,INDIRECT($C$5&amp;"生成成长"),5))*(VLOOKUP($B$5,标准坦克设计!$B$24:$U$30,MATCH("对"&amp;LEFT($C$5,2)&amp;"输出",标准坦克设计!$B$23:$U$23,0)))*(VLOOKUP($B213,INDIRECT($B$5&amp;"生成成长"),3))*(VLOOKUP($B$5,标准坦克设计!$B$14:$K$20,9)/30))</f>
        <v>4.8902031791773943</v>
      </c>
      <c r="AF213" s="172">
        <f ca="1">(VLOOKUP(AF$72,INDIRECT($C$5&amp;"生成成长"),2))/((VLOOKUP($B213,INDIRECT($B$5&amp;"生成成长"),4))/(VLOOKUP(AF$72,INDIRECT($C$5&amp;"生成成长"),5))*(VLOOKUP($B$5,标准坦克设计!$B$24:$U$30,MATCH("对"&amp;LEFT($C$5,2)&amp;"输出",标准坦克设计!$B$23:$U$23,0)))*(VLOOKUP($B213,INDIRECT($B$5&amp;"生成成长"),3))*(VLOOKUP($B$5,标准坦克设计!$B$14:$K$20,9)/30))</f>
        <v>5.2844203737055917</v>
      </c>
      <c r="AG213" s="172">
        <f ca="1">(VLOOKUP(AG$72,INDIRECT($C$5&amp;"生成成长"),2))/((VLOOKUP($B213,INDIRECT($B$5&amp;"生成成长"),4))/(VLOOKUP(AG$72,INDIRECT($C$5&amp;"生成成长"),5))*(VLOOKUP($B$5,标准坦克设计!$B$24:$U$30,MATCH("对"&amp;LEFT($C$5,2)&amp;"输出",标准坦克设计!$B$23:$U$23,0)))*(VLOOKUP($B213,INDIRECT($B$5&amp;"生成成长"),3))*(VLOOKUP($B$5,标准坦克设计!$B$14:$K$20,9)/30))</f>
        <v>5.6939173044558107</v>
      </c>
      <c r="AH213" s="172">
        <f ca="1">(VLOOKUP(AH$72,INDIRECT($C$5&amp;"生成成长"),2))/((VLOOKUP($B213,INDIRECT($B$5&amp;"生成成长"),4))/(VLOOKUP(AH$72,INDIRECT($C$5&amp;"生成成长"),5))*(VLOOKUP($B$5,标准坦克设计!$B$24:$U$30,MATCH("对"&amp;LEFT($C$5,2)&amp;"输出",标准坦克设计!$B$23:$U$23,0)))*(VLOOKUP($B213,INDIRECT($B$5&amp;"生成成长"),3))*(VLOOKUP($B$5,标准坦克设计!$B$14:$K$20,9)/30))</f>
        <v>6.1186939714280548</v>
      </c>
      <c r="AI213" s="172">
        <f ca="1">(VLOOKUP(AI$72,INDIRECT($C$5&amp;"生成成长"),2))/((VLOOKUP($B213,INDIRECT($B$5&amp;"生成成长"),4))/(VLOOKUP(AI$72,INDIRECT($C$5&amp;"生成成长"),5))*(VLOOKUP($B$5,标准坦克设计!$B$24:$U$30,MATCH("对"&amp;LEFT($C$5,2)&amp;"输出",标准坦克设计!$B$23:$U$23,0)))*(VLOOKUP($B213,INDIRECT($B$5&amp;"生成成长"),3))*(VLOOKUP($B$5,标准坦克设计!$B$14:$K$20,9)/30))</f>
        <v>4.3275268928013926</v>
      </c>
      <c r="AJ213" s="172">
        <f ca="1">(VLOOKUP(AJ$72,INDIRECT($C$5&amp;"生成成长"),2))/((VLOOKUP($B213,INDIRECT($B$5&amp;"生成成长"),4))/(VLOOKUP(AJ$72,INDIRECT($C$5&amp;"生成成长"),5))*(VLOOKUP($B$5,标准坦克设计!$B$24:$U$30,MATCH("对"&amp;LEFT($C$5,2)&amp;"输出",标准坦克设计!$B$23:$U$23,0)))*(VLOOKUP($B213,INDIRECT($B$5&amp;"生成成长"),3))*(VLOOKUP($B$5,标准坦克设计!$B$14:$K$20,9)/30))</f>
        <v>4.7367946275082824</v>
      </c>
      <c r="AK213" s="172">
        <f ca="1">(VLOOKUP(AK$72,INDIRECT($C$5&amp;"生成成长"),2))/((VLOOKUP($B213,INDIRECT($B$5&amp;"生成成长"),4))/(VLOOKUP(AK$72,INDIRECT($C$5&amp;"生成成长"),5))*(VLOOKUP($B$5,标准坦克设计!$B$24:$U$30,MATCH("对"&amp;LEFT($C$5,2)&amp;"输出",标准坦克设计!$B$23:$U$23,0)))*(VLOOKUP($B213,INDIRECT($B$5&amp;"生成成长"),3))*(VLOOKUP($B$5,标准坦克设计!$B$14:$K$20,9)/30))</f>
        <v>5.1645508430438198</v>
      </c>
      <c r="AL213" s="172">
        <f ca="1">(VLOOKUP(AL$72,INDIRECT($C$5&amp;"生成成长"),2))/((VLOOKUP($B213,INDIRECT($B$5&amp;"生成成长"),4))/(VLOOKUP(AL$72,INDIRECT($C$5&amp;"生成成长"),5))*(VLOOKUP($B$5,标准坦克设计!$B$24:$U$30,MATCH("对"&amp;LEFT($C$5,2)&amp;"输出",标准坦克设计!$B$23:$U$23,0)))*(VLOOKUP($B213,INDIRECT($B$5&amp;"生成成长"),3))*(VLOOKUP($B$5,标准坦克设计!$B$14:$K$20,9)/30))</f>
        <v>5.6107955394080058</v>
      </c>
      <c r="AM213" s="172">
        <f ca="1">(VLOOKUP(AM$72,INDIRECT($C$5&amp;"生成成长"),2))/((VLOOKUP($B213,INDIRECT($B$5&amp;"生成成长"),4))/(VLOOKUP(AM$72,INDIRECT($C$5&amp;"生成成长"),5))*(VLOOKUP($B$5,标准坦克设计!$B$24:$U$30,MATCH("对"&amp;LEFT($C$5,2)&amp;"输出",标准坦克设计!$B$23:$U$23,0)))*(VLOOKUP($B213,INDIRECT($B$5&amp;"生成成长"),3))*(VLOOKUP($B$5,标准坦克设计!$B$14:$K$20,9)/30))</f>
        <v>6.0755287166008394</v>
      </c>
      <c r="AN213" s="172">
        <f ca="1">(VLOOKUP(AN$72,INDIRECT($C$5&amp;"生成成长"),2))/((VLOOKUP($B213,INDIRECT($B$5&amp;"生成成长"),4))/(VLOOKUP(AN$72,INDIRECT($C$5&amp;"生成成长"),5))*(VLOOKUP($B$5,标准坦克设计!$B$24:$U$30,MATCH("对"&amp;LEFT($C$5,2)&amp;"输出",标准坦克设计!$B$23:$U$23,0)))*(VLOOKUP($B213,INDIRECT($B$5&amp;"生成成长"),3))*(VLOOKUP($B$5,标准坦克设计!$B$14:$K$20,9)/30))</f>
        <v>6.5587503746223206</v>
      </c>
      <c r="AO213" s="172">
        <f ca="1">(VLOOKUP(AO$72,INDIRECT($C$5&amp;"生成成长"),2))/((VLOOKUP($B213,INDIRECT($B$5&amp;"生成成长"),4))/(VLOOKUP(AO$72,INDIRECT($C$5&amp;"生成成长"),5))*(VLOOKUP($B$5,标准坦克设计!$B$24:$U$30,MATCH("对"&amp;LEFT($C$5,2)&amp;"输出",标准坦克设计!$B$23:$U$23,0)))*(VLOOKUP($B213,INDIRECT($B$5&amp;"生成成长"),3))*(VLOOKUP($B$5,标准坦克设计!$B$14:$K$20,9)/30))</f>
        <v>7.0604605134724503</v>
      </c>
      <c r="AP213" s="172">
        <f ca="1">(VLOOKUP(AP$72,INDIRECT($C$5&amp;"生成成长"),2))/((VLOOKUP($B213,INDIRECT($B$5&amp;"生成成长"),4))/(VLOOKUP(AP$72,INDIRECT($C$5&amp;"生成成长"),5))*(VLOOKUP($B$5,标准坦克设计!$B$24:$U$30,MATCH("对"&amp;LEFT($C$5,2)&amp;"输出",标准坦克设计!$B$23:$U$23,0)))*(VLOOKUP($B213,INDIRECT($B$5&amp;"生成成长"),3))*(VLOOKUP($B$5,标准坦克设计!$B$14:$K$20,9)/30))</f>
        <v>7.5806591331512285</v>
      </c>
      <c r="AQ213" s="172">
        <f ca="1">(VLOOKUP(AQ$72,INDIRECT($C$5&amp;"生成成长"),2))/((VLOOKUP($B213,INDIRECT($B$5&amp;"生成成长"),4))/(VLOOKUP(AQ$72,INDIRECT($C$5&amp;"生成成长"),5))*(VLOOKUP($B$5,标准坦克设计!$B$24:$U$30,MATCH("对"&amp;LEFT($C$5,2)&amp;"输出",标准坦克设计!$B$23:$U$23,0)))*(VLOOKUP($B213,INDIRECT($B$5&amp;"生成成长"),3))*(VLOOKUP($B$5,标准坦克设计!$B$14:$K$20,9)/30))</f>
        <v>8.1193462336586535</v>
      </c>
      <c r="AR213" s="172">
        <f ca="1">(VLOOKUP(AR$72,INDIRECT($C$5&amp;"生成成长"),2))/((VLOOKUP($B213,INDIRECT($B$5&amp;"生成成长"),4))/(VLOOKUP(AR$72,INDIRECT($C$5&amp;"生成成长"),5))*(VLOOKUP($B$5,标准坦克设计!$B$24:$U$30,MATCH("对"&amp;LEFT($C$5,2)&amp;"输出",标准坦克设计!$B$23:$U$23,0)))*(VLOOKUP($B213,INDIRECT($B$5&amp;"生成成长"),3))*(VLOOKUP($B$5,标准坦克设计!$B$14:$K$20,9)/30))</f>
        <v>8.676521814994727</v>
      </c>
      <c r="AS213" s="172">
        <f ca="1">(VLOOKUP(AS$72,INDIRECT($C$5&amp;"生成成长"),2))/((VLOOKUP($B213,INDIRECT($B$5&amp;"生成成长"),4))/(VLOOKUP(AS$72,INDIRECT($C$5&amp;"生成成长"),5))*(VLOOKUP($B$5,标准坦克设计!$B$24:$U$30,MATCH("对"&amp;LEFT($C$5,2)&amp;"输出",标准坦克设计!$B$23:$U$23,0)))*(VLOOKUP($B213,INDIRECT($B$5&amp;"生成成长"),3))*(VLOOKUP($B$5,标准坦克设计!$B$14:$K$20,9)/30))</f>
        <v>9.2521858771594498</v>
      </c>
      <c r="AT213" s="172">
        <f ca="1">(VLOOKUP(AT$72,INDIRECT($C$5&amp;"生成成长"),2))/((VLOOKUP($B213,INDIRECT($B$5&amp;"生成成长"),4))/(VLOOKUP(AT$72,INDIRECT($C$5&amp;"生成成长"),5))*(VLOOKUP($B$5,标准坦克设计!$B$24:$U$30,MATCH("对"&amp;LEFT($C$5,2)&amp;"输出",标准坦克设计!$B$23:$U$23,0)))*(VLOOKUP($B213,INDIRECT($B$5&amp;"生成成长"),3))*(VLOOKUP($B$5,标准坦克设计!$B$14:$K$20,9)/30))</f>
        <v>9.8463384201528186</v>
      </c>
      <c r="AU213" s="172">
        <f ca="1">(VLOOKUP(AU$72,INDIRECT($C$5&amp;"生成成长"),2))/((VLOOKUP($B213,INDIRECT($B$5&amp;"生成成长"),4))/(VLOOKUP(AU$72,INDIRECT($C$5&amp;"生成成长"),5))*(VLOOKUP($B$5,标准坦克设计!$B$24:$U$30,MATCH("对"&amp;LEFT($C$5,2)&amp;"输出",标准坦克设计!$B$23:$U$23,0)))*(VLOOKUP($B213,INDIRECT($B$5&amp;"生成成长"),3))*(VLOOKUP($B$5,标准坦克设计!$B$14:$K$20,9)/30))</f>
        <v>10.458979443974837</v>
      </c>
      <c r="AV213" s="172">
        <f ca="1">(VLOOKUP(AV$72,INDIRECT($C$5&amp;"生成成长"),2))/((VLOOKUP($B213,INDIRECT($B$5&amp;"生成成长"),4))/(VLOOKUP(AV$72,INDIRECT($C$5&amp;"生成成长"),5))*(VLOOKUP($B$5,标准坦克设计!$B$24:$U$30,MATCH("对"&amp;LEFT($C$5,2)&amp;"输出",标准坦克设计!$B$23:$U$23,0)))*(VLOOKUP($B213,INDIRECT($B$5&amp;"生成成长"),3))*(VLOOKUP($B$5,标准坦克设计!$B$14:$K$20,9)/30))</f>
        <v>1.0637752357772507</v>
      </c>
      <c r="AW213" s="172">
        <f ca="1">(VLOOKUP(AW$72,INDIRECT($C$5&amp;"生成成长"),2))/((VLOOKUP($B213,INDIRECT($B$5&amp;"生成成长"),4))/(VLOOKUP(AW$72,INDIRECT($C$5&amp;"生成成长"),5))*(VLOOKUP($B$5,标准坦克设计!$B$24:$U$30,MATCH("对"&amp;LEFT($C$5,2)&amp;"输出",标准坦克设计!$B$23:$U$23,0)))*(VLOOKUP($B213,INDIRECT($B$5&amp;"生成成长"),3))*(VLOOKUP($B$5,标准坦克设计!$B$14:$K$20,9)/30))</f>
        <v>1.2129054613041967</v>
      </c>
      <c r="AX213" s="172">
        <f ca="1">(VLOOKUP(AX$72,INDIRECT($C$5&amp;"生成成长"),2))/((VLOOKUP($B213,INDIRECT($B$5&amp;"生成成长"),4))/(VLOOKUP(AX$72,INDIRECT($C$5&amp;"生成成长"),5))*(VLOOKUP($B$5,标准坦克设计!$B$24:$U$30,MATCH("对"&amp;LEFT($C$5,2)&amp;"输出",标准坦克设计!$B$23:$U$23,0)))*(VLOOKUP($B213,INDIRECT($B$5&amp;"生成成长"),3))*(VLOOKUP($B$5,标准坦克设计!$B$14:$K$20,9)/30))</f>
        <v>1.371814718013237</v>
      </c>
      <c r="AY213" s="172">
        <f ca="1">(VLOOKUP(AY$72,INDIRECT($C$5&amp;"生成成长"),2))/((VLOOKUP($B213,INDIRECT($B$5&amp;"生成成长"),4))/(VLOOKUP(AY$72,INDIRECT($C$5&amp;"生成成长"),5))*(VLOOKUP($B$5,标准坦克设计!$B$24:$U$30,MATCH("对"&amp;LEFT($C$5,2)&amp;"输出",标准坦克设计!$B$23:$U$23,0)))*(VLOOKUP($B213,INDIRECT($B$5&amp;"生成成长"),3))*(VLOOKUP($B$5,标准坦克设计!$B$14:$K$20,9)/30))</f>
        <v>1.5405030059043725</v>
      </c>
      <c r="AZ213" s="172">
        <f ca="1">(VLOOKUP(AZ$72,INDIRECT($C$5&amp;"生成成长"),2))/((VLOOKUP($B213,INDIRECT($B$5&amp;"生成成长"),4))/(VLOOKUP(AZ$72,INDIRECT($C$5&amp;"生成成长"),5))*(VLOOKUP($B$5,标准坦克设计!$B$24:$U$30,MATCH("对"&amp;LEFT($C$5,2)&amp;"输出",标准坦克设计!$B$23:$U$23,0)))*(VLOOKUP($B213,INDIRECT($B$5&amp;"生成成长"),3))*(VLOOKUP($B$5,标准坦克设计!$B$14:$K$20,9)/30))</f>
        <v>1.7189703249776027</v>
      </c>
      <c r="BA213" s="172">
        <f ca="1">(VLOOKUP(BA$72,INDIRECT($C$5&amp;"生成成长"),2))/((VLOOKUP($B213,INDIRECT($B$5&amp;"生成成长"),4))/(VLOOKUP(BA$72,INDIRECT($C$5&amp;"生成成长"),5))*(VLOOKUP($B$5,标准坦克设计!$B$24:$U$30,MATCH("对"&amp;LEFT($C$5,2)&amp;"输出",标准坦克设计!$B$23:$U$23,0)))*(VLOOKUP($B213,INDIRECT($B$5&amp;"生成成长"),3))*(VLOOKUP($B$5,标准坦克设计!$B$14:$K$20,9)/30))</f>
        <v>1.907216675232928</v>
      </c>
      <c r="BB213" s="172">
        <f ca="1">(VLOOKUP(BB$72,INDIRECT($C$5&amp;"生成成长"),2))/((VLOOKUP($B213,INDIRECT($B$5&amp;"生成成长"),4))/(VLOOKUP(BB$72,INDIRECT($C$5&amp;"生成成长"),5))*(VLOOKUP($B$5,标准坦克设计!$B$24:$U$30,MATCH("对"&amp;LEFT($C$5,2)&amp;"输出",标准坦克设计!$B$23:$U$23,0)))*(VLOOKUP($B213,INDIRECT($B$5&amp;"生成成长"),3))*(VLOOKUP($B$5,标准坦克设计!$B$14:$K$20,9)/30))</f>
        <v>2.1052420566703476</v>
      </c>
      <c r="BC213" s="172">
        <f ca="1">(VLOOKUP(BC$72,INDIRECT($C$5&amp;"生成成长"),2))/((VLOOKUP($B213,INDIRECT($B$5&amp;"生成成长"),4))/(VLOOKUP(BC$72,INDIRECT($C$5&amp;"生成成长"),5))*(VLOOKUP($B$5,标准坦克设计!$B$24:$U$30,MATCH("对"&amp;LEFT($C$5,2)&amp;"输出",标准坦克设计!$B$23:$U$23,0)))*(VLOOKUP($B213,INDIRECT($B$5&amp;"生成成长"),3))*(VLOOKUP($B$5,标准坦克设计!$B$14:$K$20,9)/30))</f>
        <v>2.3130464692898625</v>
      </c>
      <c r="BD213" s="172">
        <f ca="1">(VLOOKUP(BD$72,INDIRECT($C$5&amp;"生成成长"),2))/((VLOOKUP($B213,INDIRECT($B$5&amp;"生成成长"),4))/(VLOOKUP(BD$72,INDIRECT($C$5&amp;"生成成长"),5))*(VLOOKUP($B$5,标准坦克设计!$B$24:$U$30,MATCH("对"&amp;LEFT($C$5,2)&amp;"输出",标准坦克设计!$B$23:$U$23,0)))*(VLOOKUP($B213,INDIRECT($B$5&amp;"生成成长"),3))*(VLOOKUP($B$5,标准坦克设计!$B$14:$K$20,9)/30))</f>
        <v>2.5585154316966636</v>
      </c>
      <c r="BE213" s="172">
        <f ca="1">(VLOOKUP(BE$72,INDIRECT($C$5&amp;"生成成长"),2))/((VLOOKUP($B213,INDIRECT($B$5&amp;"生成成长"),4))/(VLOOKUP(BE$72,INDIRECT($C$5&amp;"生成成长"),5))*(VLOOKUP($B$5,标准坦克设计!$B$24:$U$30,MATCH("对"&amp;LEFT($C$5,2)&amp;"输出",标准坦克设计!$B$23:$U$23,0)))*(VLOOKUP($B213,INDIRECT($B$5&amp;"生成成长"),3))*(VLOOKUP($B$5,标准坦克设计!$B$14:$K$20,9)/30))</f>
        <v>2.8163609804433047</v>
      </c>
      <c r="BF213" s="172">
        <f ca="1">(VLOOKUP(BF$72,INDIRECT($C$5&amp;"生成成长"),2))/((VLOOKUP($B213,INDIRECT($B$5&amp;"生成成长"),4))/(VLOOKUP(BF$72,INDIRECT($C$5&amp;"生成成长"),5))*(VLOOKUP($B$5,标准坦克设计!$B$24:$U$30,MATCH("对"&amp;LEFT($C$5,2)&amp;"输出",标准坦克设计!$B$23:$U$23,0)))*(VLOOKUP($B213,INDIRECT($B$5&amp;"生成成长"),3))*(VLOOKUP($B$5,标准坦克设计!$B$14:$K$20,9)/30))</f>
        <v>3.0865831155297832</v>
      </c>
      <c r="BG213" s="172">
        <f ca="1">(VLOOKUP(BG$72,INDIRECT($C$5&amp;"生成成长"),2))/((VLOOKUP($B213,INDIRECT($B$5&amp;"生成成长"),4))/(VLOOKUP(BG$72,INDIRECT($C$5&amp;"生成成长"),5))*(VLOOKUP($B$5,标准坦克设计!$B$24:$U$30,MATCH("对"&amp;LEFT($C$5,2)&amp;"输出",标准坦克设计!$B$23:$U$23,0)))*(VLOOKUP($B213,INDIRECT($B$5&amp;"生成成长"),3))*(VLOOKUP($B$5,标准坦克设计!$B$14:$K$20,9)/30))</f>
        <v>3.3691818369561011</v>
      </c>
      <c r="BH213" s="172">
        <f ca="1">(VLOOKUP(BH$72,INDIRECT($C$5&amp;"生成成长"),2))/((VLOOKUP($B213,INDIRECT($B$5&amp;"生成成长"),4))/(VLOOKUP(BH$72,INDIRECT($C$5&amp;"生成成长"),5))*(VLOOKUP($B$5,标准坦克设计!$B$24:$U$30,MATCH("对"&amp;LEFT($C$5,2)&amp;"输出",标准坦克设计!$B$23:$U$23,0)))*(VLOOKUP($B213,INDIRECT($B$5&amp;"生成成长"),3))*(VLOOKUP($B$5,标准坦克设计!$B$14:$K$20,9)/30))</f>
        <v>1.6285142865432256</v>
      </c>
      <c r="BI213" s="172">
        <f ca="1">(VLOOKUP(BI$72,INDIRECT($C$5&amp;"生成成长"),2))/((VLOOKUP($B213,INDIRECT($B$5&amp;"生成成长"),4))/(VLOOKUP(BI$72,INDIRECT($C$5&amp;"生成成长"),5))*(VLOOKUP($B$5,标准坦克设计!$B$24:$U$30,MATCH("对"&amp;LEFT($C$5,2)&amp;"输出",标准坦克设计!$B$23:$U$23,0)))*(VLOOKUP($B213,INDIRECT($B$5&amp;"生成成长"),3))*(VLOOKUP($B$5,标准坦克设计!$B$14:$K$20,9)/30))</f>
        <v>1.835478313670529</v>
      </c>
      <c r="BJ213" s="172">
        <f ca="1">(VLOOKUP(BJ$72,INDIRECT($C$5&amp;"生成成长"),2))/((VLOOKUP($B213,INDIRECT($B$5&amp;"生成成长"),4))/(VLOOKUP(BJ$72,INDIRECT($C$5&amp;"生成成长"),5))*(VLOOKUP($B$5,标准坦克设计!$B$24:$U$30,MATCH("对"&amp;LEFT($C$5,2)&amp;"输出",标准坦克设计!$B$23:$U$23,0)))*(VLOOKUP($B213,INDIRECT($B$5&amp;"生成成长"),3))*(VLOOKUP($B$5,标准坦克设计!$B$14:$K$20,9)/30))</f>
        <v>2.054818927137672</v>
      </c>
      <c r="BK213" s="172">
        <f ca="1">(VLOOKUP(BK$72,INDIRECT($C$5&amp;"生成成长"),2))/((VLOOKUP($B213,INDIRECT($B$5&amp;"生成成长"),4))/(VLOOKUP(BK$72,INDIRECT($C$5&amp;"生成成长"),5))*(VLOOKUP($B$5,标准坦克设计!$B$24:$U$30,MATCH("对"&amp;LEFT($C$5,2)&amp;"输出",标准坦克设计!$B$23:$U$23,0)))*(VLOOKUP($B213,INDIRECT($B$5&amp;"生成成长"),3))*(VLOOKUP($B$5,标准坦克设计!$B$14:$K$20,9)/30))</f>
        <v>2.286536126944652</v>
      </c>
      <c r="BL213" s="172">
        <f ca="1">(VLOOKUP(BL$72,INDIRECT($C$5&amp;"生成成长"),2))/((VLOOKUP($B213,INDIRECT($B$5&amp;"生成成长"),4))/(VLOOKUP(BL$72,INDIRECT($C$5&amp;"生成成长"),5))*(VLOOKUP($B$5,标准坦克设计!$B$24:$U$30,MATCH("对"&amp;LEFT($C$5,2)&amp;"输出",标准坦克设计!$B$23:$U$23,0)))*(VLOOKUP($B213,INDIRECT($B$5&amp;"生成成长"),3))*(VLOOKUP($B$5,标准坦克设计!$B$14:$K$20,9)/30))</f>
        <v>2.5306299130914716</v>
      </c>
      <c r="BM213" s="172">
        <f ca="1">(VLOOKUP(BM$72,INDIRECT($C$5&amp;"生成成长"),2))/((VLOOKUP($B213,INDIRECT($B$5&amp;"生成成长"),4))/(VLOOKUP(BM$72,INDIRECT($C$5&amp;"生成成长"),5))*(VLOOKUP($B$5,标准坦克设计!$B$24:$U$30,MATCH("对"&amp;LEFT($C$5,2)&amp;"输出",标准坦克设计!$B$23:$U$23,0)))*(VLOOKUP($B213,INDIRECT($B$5&amp;"生成成长"),3))*(VLOOKUP($B$5,标准坦克设计!$B$14:$K$20,9)/30))</f>
        <v>2.7871002855781297</v>
      </c>
      <c r="BN213" s="172">
        <f ca="1">(VLOOKUP(BN$72,INDIRECT($C$5&amp;"生成成长"),2))/((VLOOKUP($B213,INDIRECT($B$5&amp;"生成成长"),4))/(VLOOKUP(BN$72,INDIRECT($C$5&amp;"生成成长"),5))*(VLOOKUP($B$5,标准坦克设计!$B$24:$U$30,MATCH("对"&amp;LEFT($C$5,2)&amp;"输出",标准坦克设计!$B$23:$U$23,0)))*(VLOOKUP($B213,INDIRECT($B$5&amp;"生成成长"),3))*(VLOOKUP($B$5,标准坦克设计!$B$14:$K$20,9)/30))</f>
        <v>3.0559472444046265</v>
      </c>
      <c r="BO213" s="172">
        <f ca="1">(VLOOKUP(BO$72,INDIRECT($C$5&amp;"生成成长"),2))/((VLOOKUP($B213,INDIRECT($B$5&amp;"生成成长"),4))/(VLOOKUP(BO$72,INDIRECT($C$5&amp;"生成成长"),5))*(VLOOKUP($B$5,标准坦克设计!$B$24:$U$30,MATCH("对"&amp;LEFT($C$5,2)&amp;"输出",标准坦克设计!$B$23:$U$23,0)))*(VLOOKUP($B213,INDIRECT($B$5&amp;"生成成长"),3))*(VLOOKUP($B$5,标准坦克设计!$B$14:$K$20,9)/30))</f>
        <v>3.3371707895709628</v>
      </c>
      <c r="BP213" s="172">
        <f ca="1">(VLOOKUP(BP$72,INDIRECT($C$5&amp;"生成成长"),2))/((VLOOKUP($B213,INDIRECT($B$5&amp;"生成成长"),4))/(VLOOKUP(BP$72,INDIRECT($C$5&amp;"生成成长"),5))*(VLOOKUP($B$5,标准坦克设计!$B$24:$U$30,MATCH("对"&amp;LEFT($C$5,2)&amp;"输出",标准坦克设计!$B$23:$U$23,0)))*(VLOOKUP($B213,INDIRECT($B$5&amp;"生成成长"),3))*(VLOOKUP($B$5,标准坦克设计!$B$14:$K$20,9)/30))</f>
        <v>3.6307709210771377</v>
      </c>
      <c r="BQ213" s="172">
        <f ca="1">(VLOOKUP(BQ$72,INDIRECT($C$5&amp;"生成成长"),2))/((VLOOKUP($B213,INDIRECT($B$5&amp;"生成成长"),4))/(VLOOKUP(BQ$72,INDIRECT($C$5&amp;"生成成长"),5))*(VLOOKUP($B$5,标准坦克设计!$B$24:$U$30,MATCH("对"&amp;LEFT($C$5,2)&amp;"输出",标准坦克设计!$B$23:$U$23,0)))*(VLOOKUP($B213,INDIRECT($B$5&amp;"生成成长"),3))*(VLOOKUP($B$5,标准坦克设计!$B$14:$K$20,9)/30))</f>
        <v>3.9367476389231508</v>
      </c>
      <c r="BR213" s="172">
        <f ca="1">(VLOOKUP(BR$72,INDIRECT($C$5&amp;"生成成长"),2))/((VLOOKUP($B213,INDIRECT($B$5&amp;"生成成长"),4))/(VLOOKUP(BR$72,INDIRECT($C$5&amp;"生成成长"),5))*(VLOOKUP($B$5,标准坦克设计!$B$24:$U$30,MATCH("对"&amp;LEFT($C$5,2)&amp;"输出",标准坦克设计!$B$23:$U$23,0)))*(VLOOKUP($B213,INDIRECT($B$5&amp;"生成成长"),3))*(VLOOKUP($B$5,标准坦克设计!$B$14:$K$20,9)/30))</f>
        <v>4.2912375192740875</v>
      </c>
      <c r="BS213" s="172">
        <f ca="1">(VLOOKUP(BS$72,INDIRECT($C$5&amp;"生成成长"),2))/((VLOOKUP($B213,INDIRECT($B$5&amp;"生成成长"),4))/(VLOOKUP(BS$72,INDIRECT($C$5&amp;"生成成长"),5))*(VLOOKUP($B$5,标准坦克设计!$B$24:$U$30,MATCH("对"&amp;LEFT($C$5,2)&amp;"输出",标准坦克设计!$B$23:$U$23,0)))*(VLOOKUP($B213,INDIRECT($B$5&amp;"生成成长"),3))*(VLOOKUP($B$5,标准坦克设计!$B$14:$K$20,9)/30))</f>
        <v>4.6610071358470471</v>
      </c>
      <c r="BT213" s="172">
        <f ca="1">(VLOOKUP(BT$72,INDIRECT($C$5&amp;"生成成长"),2))/((VLOOKUP($B213,INDIRECT($B$5&amp;"生成成长"),4))/(VLOOKUP(BT$72,INDIRECT($C$5&amp;"生成成长"),5))*(VLOOKUP($B$5,标准坦克设计!$B$24:$U$30,MATCH("对"&amp;LEFT($C$5,2)&amp;"输出",标准坦克设计!$B$23:$U$23,0)))*(VLOOKUP($B213,INDIRECT($B$5&amp;"生成成长"),3))*(VLOOKUP($B$5,标准坦克设计!$B$14:$K$20,9)/30))</f>
        <v>5.04605648864203</v>
      </c>
      <c r="BU213" s="172">
        <f ca="1">(VLOOKUP(BU$72,INDIRECT($C$5&amp;"生成成长"),2))/((VLOOKUP($B213,INDIRECT($B$5&amp;"生成成长"),4))/(VLOOKUP(BU$72,INDIRECT($C$5&amp;"生成成长"),5))*(VLOOKUP($B$5,标准坦克设计!$B$24:$U$30,MATCH("对"&amp;LEFT($C$5,2)&amp;"输出",标准坦克设计!$B$23:$U$23,0)))*(VLOOKUP($B213,INDIRECT($B$5&amp;"生成成长"),3))*(VLOOKUP($B$5,标准坦克设计!$B$14:$K$20,9)/30))</f>
        <v>5.4463855776590364</v>
      </c>
      <c r="BV213" s="172">
        <f ca="1">(VLOOKUP(BV$72,INDIRECT($C$5&amp;"生成成长"),2))/((VLOOKUP($B213,INDIRECT($B$5&amp;"生成成长"),4))/(VLOOKUP(BV$72,INDIRECT($C$5&amp;"生成成长"),5))*(VLOOKUP($B$5,标准坦克设计!$B$24:$U$30,MATCH("对"&amp;LEFT($C$5,2)&amp;"输出",标准坦克设计!$B$23:$U$23,0)))*(VLOOKUP($B213,INDIRECT($B$5&amp;"生成成长"),3))*(VLOOKUP($B$5,标准坦克设计!$B$14:$K$20,9)/30))</f>
        <v>5.8619944028980662</v>
      </c>
      <c r="BW213" s="172">
        <f ca="1">(VLOOKUP(BW$72,INDIRECT($C$5&amp;"生成成长"),2))/((VLOOKUP($B213,INDIRECT($B$5&amp;"生成成长"),4))/(VLOOKUP(BW$72,INDIRECT($C$5&amp;"生成成长"),5))*(VLOOKUP($B$5,标准坦克设计!$B$24:$U$30,MATCH("对"&amp;LEFT($C$5,2)&amp;"输出",标准坦克设计!$B$23:$U$23,0)))*(VLOOKUP($B213,INDIRECT($B$5&amp;"生成成长"),3))*(VLOOKUP($B$5,标准坦克设计!$B$14:$K$20,9)/30))</f>
        <v>2.671585479739635</v>
      </c>
      <c r="BX213" s="172">
        <f ca="1">(VLOOKUP(BX$72,INDIRECT($C$5&amp;"生成成长"),2))/((VLOOKUP($B213,INDIRECT($B$5&amp;"生成成长"),4))/(VLOOKUP(BX$72,INDIRECT($C$5&amp;"生成成长"),5))*(VLOOKUP($B$5,标准坦克设计!$B$24:$U$30,MATCH("对"&amp;LEFT($C$5,2)&amp;"输出",标准坦克设计!$B$23:$U$23,0)))*(VLOOKUP($B213,INDIRECT($B$5&amp;"生成成长"),3))*(VLOOKUP($B$5,标准坦克设计!$B$14:$K$20,9)/30))</f>
        <v>2.9649564152024794</v>
      </c>
      <c r="BY213" s="172">
        <f ca="1">(VLOOKUP(BY$72,INDIRECT($C$5&amp;"生成成长"),2))/((VLOOKUP($B213,INDIRECT($B$5&amp;"生成成长"),4))/(VLOOKUP(BY$72,INDIRECT($C$5&amp;"生成成长"),5))*(VLOOKUP($B$5,标准坦克设计!$B$24:$U$30,MATCH("对"&amp;LEFT($C$5,2)&amp;"输出",标准坦克设计!$B$23:$U$23,0)))*(VLOOKUP($B213,INDIRECT($B$5&amp;"生成成长"),3))*(VLOOKUP($B$5,标准坦克设计!$B$14:$K$20,9)/30))</f>
        <v>3.2736070868873464</v>
      </c>
      <c r="BZ213" s="172">
        <f ca="1">(VLOOKUP(BZ$72,INDIRECT($C$5&amp;"生成成长"),2))/((VLOOKUP($B213,INDIRECT($B$5&amp;"生成成长"),4))/(VLOOKUP(BZ$72,INDIRECT($C$5&amp;"生成成长"),5))*(VLOOKUP($B$5,标准坦克设计!$B$24:$U$30,MATCH("对"&amp;LEFT($C$5,2)&amp;"输出",标准坦克设计!$B$23:$U$23,0)))*(VLOOKUP($B213,INDIRECT($B$5&amp;"生成成长"),3))*(VLOOKUP($B$5,标准坦克设计!$B$14:$K$20,9)/30))</f>
        <v>3.5975374947942371</v>
      </c>
      <c r="CA213" s="172">
        <f ca="1">(VLOOKUP(CA$72,INDIRECT($C$5&amp;"生成成长"),2))/((VLOOKUP($B213,INDIRECT($B$5&amp;"生成成长"),4))/(VLOOKUP(CA$72,INDIRECT($C$5&amp;"生成成长"),5))*(VLOOKUP($B$5,标准坦克设计!$B$24:$U$30,MATCH("对"&amp;LEFT($C$5,2)&amp;"输出",标准坦克设计!$B$23:$U$23,0)))*(VLOOKUP($B213,INDIRECT($B$5&amp;"生成成长"),3))*(VLOOKUP($B$5,标准坦克设计!$B$14:$K$20,9)/30))</f>
        <v>3.9367476389231508</v>
      </c>
      <c r="CB213" s="172">
        <f ca="1">(VLOOKUP(CB$72,INDIRECT($C$5&amp;"生成成长"),2))/((VLOOKUP($B213,INDIRECT($B$5&amp;"生成成长"),4))/(VLOOKUP(CB$72,INDIRECT($C$5&amp;"生成成长"),5))*(VLOOKUP($B$5,标准坦克设计!$B$24:$U$30,MATCH("对"&amp;LEFT($C$5,2)&amp;"输出",标准坦克设计!$B$23:$U$23,0)))*(VLOOKUP($B213,INDIRECT($B$5&amp;"生成成长"),3))*(VLOOKUP($B$5,标准坦克设计!$B$14:$K$20,9)/30))</f>
        <v>4.2912375192740875</v>
      </c>
      <c r="CC213" s="172">
        <f ca="1">(VLOOKUP(CC$72,INDIRECT($C$5&amp;"生成成长"),2))/((VLOOKUP($B213,INDIRECT($B$5&amp;"生成成长"),4))/(VLOOKUP(CC$72,INDIRECT($C$5&amp;"生成成长"),5))*(VLOOKUP($B$5,标准坦克设计!$B$24:$U$30,MATCH("对"&amp;LEFT($C$5,2)&amp;"输出",标准坦克设计!$B$23:$U$23,0)))*(VLOOKUP($B213,INDIRECT($B$5&amp;"生成成长"),3))*(VLOOKUP($B$5,标准坦克设计!$B$14:$K$20,9)/30))</f>
        <v>4.6610071358470471</v>
      </c>
      <c r="CD213" s="172">
        <f ca="1">(VLOOKUP(CD$72,INDIRECT($C$5&amp;"生成成长"),2))/((VLOOKUP($B213,INDIRECT($B$5&amp;"生成成长"),4))/(VLOOKUP(CD$72,INDIRECT($C$5&amp;"生成成长"),5))*(VLOOKUP($B$5,标准坦克设计!$B$24:$U$30,MATCH("对"&amp;LEFT($C$5,2)&amp;"输出",标准坦克设计!$B$23:$U$23,0)))*(VLOOKUP($B213,INDIRECT($B$5&amp;"生成成长"),3))*(VLOOKUP($B$5,标准坦克设计!$B$14:$K$20,9)/30))</f>
        <v>5.04605648864203</v>
      </c>
      <c r="CE213" s="172">
        <f ca="1">(VLOOKUP(CE$72,INDIRECT($C$5&amp;"生成成长"),2))/((VLOOKUP($B213,INDIRECT($B$5&amp;"生成成长"),4))/(VLOOKUP(CE$72,INDIRECT($C$5&amp;"生成成长"),5))*(VLOOKUP($B$5,标准坦克设计!$B$24:$U$30,MATCH("对"&amp;LEFT($C$5,2)&amp;"输出",标准坦克设计!$B$23:$U$23,0)))*(VLOOKUP($B213,INDIRECT($B$5&amp;"生成成长"),3))*(VLOOKUP($B$5,标准坦克设计!$B$14:$K$20,9)/30))</f>
        <v>5.4463855776590364</v>
      </c>
      <c r="CF213" s="172">
        <f ca="1">(VLOOKUP(CF$72,INDIRECT($C$5&amp;"生成成长"),2))/((VLOOKUP($B213,INDIRECT($B$5&amp;"生成成长"),4))/(VLOOKUP(CF$72,INDIRECT($C$5&amp;"生成成长"),5))*(VLOOKUP($B$5,标准坦克设计!$B$24:$U$30,MATCH("对"&amp;LEFT($C$5,2)&amp;"输出",标准坦克设计!$B$23:$U$23,0)))*(VLOOKUP($B213,INDIRECT($B$5&amp;"生成成长"),3))*(VLOOKUP($B$5,标准坦克设计!$B$14:$K$20,9)/30))</f>
        <v>5.8619944028980662</v>
      </c>
      <c r="CG213" s="172">
        <f ca="1">(VLOOKUP(CG$72,INDIRECT($C$5&amp;"生成成长"),2))/((VLOOKUP($B213,INDIRECT($B$5&amp;"生成成长"),4))/(VLOOKUP(CG$72,INDIRECT($C$5&amp;"生成成长"),5))*(VLOOKUP($B$5,标准坦克设计!$B$24:$U$30,MATCH("对"&amp;LEFT($C$5,2)&amp;"输出",标准坦克设计!$B$23:$U$23,0)))*(VLOOKUP($B213,INDIRECT($B$5&amp;"生成成长"),3))*(VLOOKUP($B$5,标准坦克设计!$B$14:$K$20,9)/30))</f>
        <v>6.2928829643591184</v>
      </c>
      <c r="CH213" s="172">
        <f ca="1">(VLOOKUP(CH$72,INDIRECT($C$5&amp;"生成成长"),2))/((VLOOKUP($B213,INDIRECT($B$5&amp;"生成成长"),4))/(VLOOKUP(CH$72,INDIRECT($C$5&amp;"生成成长"),5))*(VLOOKUP($B$5,标准坦克设计!$B$24:$U$30,MATCH("对"&amp;LEFT($C$5,2)&amp;"输出",标准坦克设计!$B$23:$U$23,0)))*(VLOOKUP($B213,INDIRECT($B$5&amp;"生成成长"),3))*(VLOOKUP($B$5,标准坦克设计!$B$14:$K$20,9)/30))</f>
        <v>6.7390512620421932</v>
      </c>
      <c r="CI213" s="172">
        <f ca="1">(VLOOKUP(CI$72,INDIRECT($C$5&amp;"生成成长"),2))/((VLOOKUP($B213,INDIRECT($B$5&amp;"生成成长"),4))/(VLOOKUP(CI$72,INDIRECT($C$5&amp;"生成成长"),5))*(VLOOKUP($B$5,标准坦克设计!$B$24:$U$30,MATCH("对"&amp;LEFT($C$5,2)&amp;"输出",标准坦克设计!$B$23:$U$23,0)))*(VLOOKUP($B213,INDIRECT($B$5&amp;"生成成长"),3))*(VLOOKUP($B$5,标准坦克设计!$B$14:$K$20,9)/30))</f>
        <v>7.2474844848300144</v>
      </c>
      <c r="CJ213" s="172">
        <f ca="1">(VLOOKUP(CJ$72,INDIRECT($C$5&amp;"生成成长"),2))/((VLOOKUP($B213,INDIRECT($B$5&amp;"生成成长"),4))/(VLOOKUP(CJ$72,INDIRECT($C$5&amp;"生成成长"),5))*(VLOOKUP($B$5,标准坦克设计!$B$24:$U$30,MATCH("对"&amp;LEFT($C$5,2)&amp;"输出",标准坦克设计!$B$23:$U$23,0)))*(VLOOKUP($B213,INDIRECT($B$5&amp;"生成成长"),3))*(VLOOKUP($B$5,标准坦克设计!$B$14:$K$20,9)/30))</f>
        <v>7.7744061884464815</v>
      </c>
      <c r="CK213" s="172">
        <f ca="1">(VLOOKUP(CK$72,INDIRECT($C$5&amp;"生成成长"),2))/((VLOOKUP($B213,INDIRECT($B$5&amp;"生成成长"),4))/(VLOOKUP(CK$72,INDIRECT($C$5&amp;"生成成长"),5))*(VLOOKUP($B$5,标准坦克设计!$B$24:$U$30,MATCH("对"&amp;LEFT($C$5,2)&amp;"输出",标准坦克设计!$B$23:$U$23,0)))*(VLOOKUP($B213,INDIRECT($B$5&amp;"生成成长"),3))*(VLOOKUP($B$5,标准坦克设计!$B$14:$K$20,9)/30))</f>
        <v>8.3198163728915979</v>
      </c>
      <c r="CL213" s="172">
        <f ca="1">(VLOOKUP(CL$72,INDIRECT($C$5&amp;"生成成长"),2))/((VLOOKUP($B213,INDIRECT($B$5&amp;"生成成长"),4))/(VLOOKUP(CL$72,INDIRECT($C$5&amp;"生成成长"),5))*(VLOOKUP($B$5,标准坦克设计!$B$24:$U$30,MATCH("对"&amp;LEFT($C$5,2)&amp;"输出",标准坦克设计!$B$23:$U$23,0)))*(VLOOKUP($B213,INDIRECT($B$5&amp;"生成成长"),3))*(VLOOKUP($B$5,标准坦克设计!$B$14:$K$20,9)/30))</f>
        <v>8.8837150381653593</v>
      </c>
      <c r="CM213" s="172">
        <f ca="1">(VLOOKUP(CM$72,INDIRECT($C$5&amp;"生成成长"),2))/((VLOOKUP($B213,INDIRECT($B$5&amp;"生成成长"),4))/(VLOOKUP(CM$72,INDIRECT($C$5&amp;"生成成长"),5))*(VLOOKUP($B$5,标准坦克设计!$B$24:$U$30,MATCH("对"&amp;LEFT($C$5,2)&amp;"输出",标准坦克设计!$B$23:$U$23,0)))*(VLOOKUP($B213,INDIRECT($B$5&amp;"生成成长"),3))*(VLOOKUP($B$5,标准坦克设计!$B$14:$K$20,9)/30))</f>
        <v>9.4661021842677719</v>
      </c>
      <c r="CN213" s="172">
        <f ca="1">(VLOOKUP(CN$72,INDIRECT($C$5&amp;"生成成长"),2))/((VLOOKUP($B213,INDIRECT($B$5&amp;"生成成长"),4))/(VLOOKUP(CN$72,INDIRECT($C$5&amp;"生成成长"),5))*(VLOOKUP($B$5,标准坦克设计!$B$24:$U$30,MATCH("对"&amp;LEFT($C$5,2)&amp;"输出",标准坦克设计!$B$23:$U$23,0)))*(VLOOKUP($B213,INDIRECT($B$5&amp;"生成成长"),3))*(VLOOKUP($B$5,标准坦克设计!$B$14:$K$20,9)/30))</f>
        <v>10.066977811198832</v>
      </c>
      <c r="CO213" s="172">
        <f ca="1">(VLOOKUP(CO$72,INDIRECT($C$5&amp;"生成成长"),2))/((VLOOKUP($B213,INDIRECT($B$5&amp;"生成成长"),4))/(VLOOKUP(CO$72,INDIRECT($C$5&amp;"生成成长"),5))*(VLOOKUP($B$5,标准坦克设计!$B$24:$U$30,MATCH("对"&amp;LEFT($C$5,2)&amp;"输出",标准坦克设计!$B$23:$U$23,0)))*(VLOOKUP($B213,INDIRECT($B$5&amp;"生成成长"),3))*(VLOOKUP($B$5,标准坦克设计!$B$14:$K$20,9)/30))</f>
        <v>4.5112657208712204</v>
      </c>
      <c r="CP213" s="172">
        <f ca="1">(VLOOKUP(CP$72,INDIRECT($C$5&amp;"生成成长"),2))/((VLOOKUP($B213,INDIRECT($B$5&amp;"生成成长"),4))/(VLOOKUP(CP$72,INDIRECT($C$5&amp;"生成成长"),5))*(VLOOKUP($B$5,标准坦克设计!$B$24:$U$30,MATCH("对"&amp;LEFT($C$5,2)&amp;"输出",标准坦克设计!$B$23:$U$23,0)))*(VLOOKUP($B213,INDIRECT($B$5&amp;"生成成长"),3))*(VLOOKUP($B$5,标准坦克设计!$B$14:$K$20,9)/30))</f>
        <v>4.9289373105002232</v>
      </c>
      <c r="CQ213" s="172">
        <f ca="1">(VLOOKUP(CQ$72,INDIRECT($C$5&amp;"生成成长"),2))/((VLOOKUP($B213,INDIRECT($B$5&amp;"生成成长"),4))/(VLOOKUP(CQ$72,INDIRECT($C$5&amp;"生成成长"),5))*(VLOOKUP($B$5,标准坦克设计!$B$24:$U$30,MATCH("对"&amp;LEFT($C$5,2)&amp;"输出",标准坦克设计!$B$23:$U$23,0)))*(VLOOKUP($B213,INDIRECT($B$5&amp;"生成成长"),3))*(VLOOKUP($B$5,标准坦克设计!$B$14:$K$20,9)/30))</f>
        <v>5.3650973809578737</v>
      </c>
      <c r="CR213" s="172">
        <f ca="1">(VLOOKUP(CR$72,INDIRECT($C$5&amp;"生成成长"),2))/((VLOOKUP($B213,INDIRECT($B$5&amp;"生成成长"),4))/(VLOOKUP(CR$72,INDIRECT($C$5&amp;"生成成长"),5))*(VLOOKUP($B$5,标准坦克设计!$B$24:$U$30,MATCH("对"&amp;LEFT($C$5,2)&amp;"输出",标准坦克设计!$B$23:$U$23,0)))*(VLOOKUP($B213,INDIRECT($B$5&amp;"生成成长"),3))*(VLOOKUP($B$5,标准坦克设计!$B$14:$K$20,9)/30))</f>
        <v>5.8197459322441709</v>
      </c>
      <c r="CS213" s="172">
        <f ca="1">(VLOOKUP(CS$72,INDIRECT($C$5&amp;"生成成长"),2))/((VLOOKUP($B213,INDIRECT($B$5&amp;"生成成长"),4))/(VLOOKUP(CS$72,INDIRECT($C$5&amp;"生成成长"),5))*(VLOOKUP($B$5,标准坦克设计!$B$24:$U$30,MATCH("对"&amp;LEFT($C$5,2)&amp;"输出",标准坦克设计!$B$23:$U$23,0)))*(VLOOKUP($B213,INDIRECT($B$5&amp;"生成成长"),3))*(VLOOKUP($B$5,标准坦克设计!$B$14:$K$20,9)/30))</f>
        <v>6.2928829643591184</v>
      </c>
      <c r="CT213" s="172">
        <f ca="1">(VLOOKUP(CT$72,INDIRECT($C$5&amp;"生成成长"),2))/((VLOOKUP($B213,INDIRECT($B$5&amp;"生成成长"),4))/(VLOOKUP(CT$72,INDIRECT($C$5&amp;"生成成长"),5))*(VLOOKUP($B$5,标准坦克设计!$B$24:$U$30,MATCH("对"&amp;LEFT($C$5,2)&amp;"输出",标准坦克设计!$B$23:$U$23,0)))*(VLOOKUP($B213,INDIRECT($B$5&amp;"生成成长"),3))*(VLOOKUP($B$5,标准坦克设计!$B$14:$K$20,9)/30))</f>
        <v>6.7845084773027118</v>
      </c>
      <c r="CU213" s="172">
        <f ca="1">(VLOOKUP(CU$72,INDIRECT($C$5&amp;"生成成长"),2))/((VLOOKUP($B213,INDIRECT($B$5&amp;"生成成长"),4))/(VLOOKUP(CU$72,INDIRECT($C$5&amp;"生成成长"),5))*(VLOOKUP($B$5,标准坦克设计!$B$24:$U$30,MATCH("对"&amp;LEFT($C$5,2)&amp;"输出",标准坦克设计!$B$23:$U$23,0)))*(VLOOKUP($B213,INDIRECT($B$5&amp;"生成成长"),3))*(VLOOKUP($B$5,标准坦克设计!$B$14:$K$20,9)/30))</f>
        <v>7.2946224710749545</v>
      </c>
      <c r="CV213" s="172">
        <f ca="1">(VLOOKUP(CV$72,INDIRECT($C$5&amp;"生成成长"),2))/((VLOOKUP($B213,INDIRECT($B$5&amp;"生成成长"),4))/(VLOOKUP(CV$72,INDIRECT($C$5&amp;"生成成长"),5))*(VLOOKUP($B$5,标准坦克设计!$B$24:$U$30,MATCH("对"&amp;LEFT($C$5,2)&amp;"输出",标准坦克设计!$B$23:$U$23,0)))*(VLOOKUP($B213,INDIRECT($B$5&amp;"生成成长"),3))*(VLOOKUP($B$5,标准坦克设计!$B$14:$K$20,9)/30))</f>
        <v>7.8232249456758449</v>
      </c>
      <c r="CW213" s="172">
        <f ca="1">(VLOOKUP(CW$72,INDIRECT($C$5&amp;"生成成长"),2))/((VLOOKUP($B213,INDIRECT($B$5&amp;"生成成长"),4))/(VLOOKUP(CW$72,INDIRECT($C$5&amp;"生成成长"),5))*(VLOOKUP($B$5,标准坦克设计!$B$24:$U$30,MATCH("对"&amp;LEFT($C$5,2)&amp;"输出",标准坦克设计!$B$23:$U$23,0)))*(VLOOKUP($B213,INDIRECT($B$5&amp;"生成成长"),3))*(VLOOKUP($B$5,标准坦克设计!$B$14:$K$20,9)/30))</f>
        <v>8.3703159011053838</v>
      </c>
      <c r="CX213" s="172">
        <f ca="1">(VLOOKUP(CX$72,INDIRECT($C$5&amp;"生成成长"),2))/((VLOOKUP($B213,INDIRECT($B$5&amp;"生成成长"),4))/(VLOOKUP(CX$72,INDIRECT($C$5&amp;"生成成长"),5))*(VLOOKUP($B$5,标准坦克设计!$B$24:$U$30,MATCH("对"&amp;LEFT($C$5,2)&amp;"输出",标准坦克设计!$B$23:$U$23,0)))*(VLOOKUP($B213,INDIRECT($B$5&amp;"生成成长"),3))*(VLOOKUP($B$5,标准坦克设计!$B$14:$K$20,9)/30))</f>
        <v>8.9358953373635703</v>
      </c>
      <c r="CY213" s="172">
        <f ca="1">(VLOOKUP(CY$72,INDIRECT($C$5&amp;"生成成长"),2))/((VLOOKUP($B213,INDIRECT($B$5&amp;"生成成长"),4))/(VLOOKUP(CY$72,INDIRECT($C$5&amp;"生成成长"),5))*(VLOOKUP($B$5,标准坦克设计!$B$24:$U$30,MATCH("对"&amp;LEFT($C$5,2)&amp;"输出",标准坦克设计!$B$23:$U$23,0)))*(VLOOKUP($B213,INDIRECT($B$5&amp;"生成成长"),3))*(VLOOKUP($B$5,标准坦克设计!$B$14:$K$20,9)/30))</f>
        <v>9.5199632544504063</v>
      </c>
      <c r="CZ213" s="172">
        <f ca="1">(VLOOKUP(CZ$72,INDIRECT($C$5&amp;"生成成长"),2))/((VLOOKUP($B213,INDIRECT($B$5&amp;"生成成长"),4))/(VLOOKUP(CZ$72,INDIRECT($C$5&amp;"生成成长"),5))*(VLOOKUP($B$5,标准坦克设计!$B$24:$U$30,MATCH("对"&amp;LEFT($C$5,2)&amp;"输出",标准坦克设计!$B$23:$U$23,0)))*(VLOOKUP($B213,INDIRECT($B$5&amp;"生成成长"),3))*(VLOOKUP($B$5,标准坦克设计!$B$14:$K$20,9)/30))</f>
        <v>10.122519652365886</v>
      </c>
      <c r="DA213" s="172">
        <f ca="1">(VLOOKUP(DA$72,INDIRECT($C$5&amp;"生成成长"),2))/((VLOOKUP($B213,INDIRECT($B$5&amp;"生成成长"),4))/(VLOOKUP(DA$72,INDIRECT($C$5&amp;"生成成长"),5))*(VLOOKUP($B$5,标准坦克设计!$B$24:$U$30,MATCH("对"&amp;LEFT($C$5,2)&amp;"输出",标准坦克设计!$B$23:$U$23,0)))*(VLOOKUP($B213,INDIRECT($B$5&amp;"生成成长"),3))*(VLOOKUP($B$5,标准坦克设计!$B$14:$K$20,9)/30))</f>
        <v>10.743564531110017</v>
      </c>
      <c r="DB213" s="172">
        <f ca="1">(VLOOKUP(DB$72,INDIRECT($C$5&amp;"生成成长"),2))/((VLOOKUP($B213,INDIRECT($B$5&amp;"生成成长"),4))/(VLOOKUP(DB$72,INDIRECT($C$5&amp;"生成成长"),5))*(VLOOKUP($B$5,标准坦克设计!$B$24:$U$30,MATCH("对"&amp;LEFT($C$5,2)&amp;"输出",标准坦克设计!$B$23:$U$23,0)))*(VLOOKUP($B213,INDIRECT($B$5&amp;"生成成长"),3))*(VLOOKUP($B$5,标准坦克设计!$B$14:$K$20,9)/30))</f>
        <v>11.383097890682794</v>
      </c>
      <c r="DC213" s="172">
        <f ca="1">(VLOOKUP(DC$72,INDIRECT($C$5&amp;"生成成长"),2))/((VLOOKUP($B213,INDIRECT($B$5&amp;"生成成长"),4))/(VLOOKUP(DC$72,INDIRECT($C$5&amp;"生成成长"),5))*(VLOOKUP($B$5,标准坦克设计!$B$24:$U$30,MATCH("对"&amp;LEFT($C$5,2)&amp;"输出",标准坦克设计!$B$23:$U$23,0)))*(VLOOKUP($B213,INDIRECT($B$5&amp;"生成成长"),3))*(VLOOKUP($B$5,标准坦克设计!$B$14:$K$20,9)/30))</f>
        <v>12.101856682566764</v>
      </c>
      <c r="DD213" s="172">
        <f ca="1">(VLOOKUP(DD$72,INDIRECT($C$5&amp;"生成成长"),2))/((VLOOKUP($B213,INDIRECT($B$5&amp;"生成成长"),4))/(VLOOKUP(DD$72,INDIRECT($C$5&amp;"生成成长"),5))*(VLOOKUP($B$5,标准坦克设计!$B$24:$U$30,MATCH("对"&amp;LEFT($C$5,2)&amp;"输出",标准坦克设计!$B$23:$U$23,0)))*(VLOOKUP($B213,INDIRECT($B$5&amp;"生成成长"),3))*(VLOOKUP($B$5,标准坦克设计!$B$14:$K$20,9)/30))</f>
        <v>12.842618294610448</v>
      </c>
      <c r="DE213" s="172">
        <f ca="1">(VLOOKUP(DE$72,INDIRECT($C$5&amp;"生成成长"),2))/((VLOOKUP($B213,INDIRECT($B$5&amp;"生成成长"),4))/(VLOOKUP(DE$72,INDIRECT($C$5&amp;"生成成长"),5))*(VLOOKUP($B$5,标准坦克设计!$B$24:$U$30,MATCH("对"&amp;LEFT($C$5,2)&amp;"输出",标准坦克设计!$B$23:$U$23,0)))*(VLOOKUP($B213,INDIRECT($B$5&amp;"生成成长"),3))*(VLOOKUP($B$5,标准坦克设计!$B$14:$K$20,9)/30))</f>
        <v>13.605382726813842</v>
      </c>
      <c r="DF213" s="172">
        <f ca="1">(VLOOKUP(DF$72,INDIRECT($C$5&amp;"生成成长"),2))/((VLOOKUP($B213,INDIRECT($B$5&amp;"生成成长"),4))/(VLOOKUP(DF$72,INDIRECT($C$5&amp;"生成成长"),5))*(VLOOKUP($B$5,标准坦克设计!$B$24:$U$30,MATCH("对"&amp;LEFT($C$5,2)&amp;"输出",标准坦克设计!$B$23:$U$23,0)))*(VLOOKUP($B213,INDIRECT($B$5&amp;"生成成长"),3))*(VLOOKUP($B$5,标准坦克设计!$B$14:$K$20,9)/30))</f>
        <v>14.390149979176948</v>
      </c>
      <c r="DG213" s="172">
        <f ca="1">(VLOOKUP(DG$72,INDIRECT($C$5&amp;"生成成长"),2))/((VLOOKUP($B213,INDIRECT($B$5&amp;"生成成长"),4))/(VLOOKUP(DG$72,INDIRECT($C$5&amp;"生成成长"),5))*(VLOOKUP($B$5,标准坦克设计!$B$24:$U$30,MATCH("对"&amp;LEFT($C$5,2)&amp;"输出",标准坦克设计!$B$23:$U$23,0)))*(VLOOKUP($B213,INDIRECT($B$5&amp;"生成成长"),3))*(VLOOKUP($B$5,标准坦克设计!$B$14:$K$20,9)/30))</f>
        <v>15.196920051699772</v>
      </c>
      <c r="DH213" s="172">
        <f ca="1">(VLOOKUP(DH$72,INDIRECT($C$5&amp;"生成成长"),2))/((VLOOKUP($B213,INDIRECT($B$5&amp;"生成成长"),4))/(VLOOKUP(DH$72,INDIRECT($C$5&amp;"生成成长"),5))*(VLOOKUP($B$5,标准坦克设计!$B$24:$U$30,MATCH("对"&amp;LEFT($C$5,2)&amp;"输出",标准坦克设计!$B$23:$U$23,0)))*(VLOOKUP($B213,INDIRECT($B$5&amp;"生成成长"),3))*(VLOOKUP($B$5,标准坦克设计!$B$14:$K$20,9)/30))</f>
        <v>16.025692944382307</v>
      </c>
      <c r="DI213" s="172">
        <f ca="1">(VLOOKUP(DI$72,INDIRECT($C$5&amp;"生成成长"),2))/((VLOOKUP($B213,INDIRECT($B$5&amp;"生成成长"),4))/(VLOOKUP(DI$72,INDIRECT($C$5&amp;"生成成长"),5))*(VLOOKUP($B$5,标准坦克设计!$B$24:$U$30,MATCH("对"&amp;LEFT($C$5,2)&amp;"输出",标准坦克设计!$B$23:$U$23,0)))*(VLOOKUP($B213,INDIRECT($B$5&amp;"生成成长"),3))*(VLOOKUP($B$5,标准坦克设计!$B$14:$K$20,9)/30))</f>
        <v>16.876468657224553</v>
      </c>
      <c r="DJ213" s="172">
        <f ca="1">(VLOOKUP(DJ$72,INDIRECT($C$5&amp;"生成成长"),2))/((VLOOKUP($B213,INDIRECT($B$5&amp;"生成成长"),4))/(VLOOKUP(DJ$72,INDIRECT($C$5&amp;"生成成长"),5))*(VLOOKUP($B$5,标准坦克设计!$B$24:$U$30,MATCH("对"&amp;LEFT($C$5,2)&amp;"输出",标准坦克设计!$B$23:$U$23,0)))*(VLOOKUP($B213,INDIRECT($B$5&amp;"生成成长"),3))*(VLOOKUP($B$5,标准坦克设计!$B$14:$K$20,9)/30))</f>
        <v>1.6961271193256779</v>
      </c>
      <c r="DK213" s="172">
        <f ca="1">(VLOOKUP(DK$72,INDIRECT($C$5&amp;"生成成长"),2))/((VLOOKUP($B213,INDIRECT($B$5&amp;"生成成长"),4))/(VLOOKUP(DK$72,INDIRECT($C$5&amp;"生成成长"),5))*(VLOOKUP($B$5,标准坦克设计!$B$24:$U$30,MATCH("对"&amp;LEFT($C$5,2)&amp;"输出",标准坦克设计!$B$23:$U$23,0)))*(VLOOKUP($B213,INDIRECT($B$5&amp;"生成成长"),3))*(VLOOKUP($B$5,标准坦克设计!$B$14:$K$20,9)/30))</f>
        <v>1.907216675232928</v>
      </c>
      <c r="DL213" s="172">
        <f ca="1">(VLOOKUP(DL$72,INDIRECT($C$5&amp;"生成成长"),2))/((VLOOKUP($B213,INDIRECT($B$5&amp;"生成成长"),4))/(VLOOKUP(DL$72,INDIRECT($C$5&amp;"生成成长"),5))*(VLOOKUP($B$5,标准坦克设计!$B$24:$U$30,MATCH("对"&amp;LEFT($C$5,2)&amp;"输出",标准坦克设计!$B$23:$U$23,0)))*(VLOOKUP($B213,INDIRECT($B$5&amp;"生成成长"),3))*(VLOOKUP($B$5,标准坦克设计!$B$14:$K$20,9)/30))</f>
        <v>2.1306828174800163</v>
      </c>
      <c r="DM213" s="172">
        <f ca="1">(VLOOKUP(DM$72,INDIRECT($C$5&amp;"生成成长"),2))/((VLOOKUP($B213,INDIRECT($B$5&amp;"生成成长"),4))/(VLOOKUP(DM$72,INDIRECT($C$5&amp;"生成成长"),5))*(VLOOKUP($B$5,标准坦克设计!$B$24:$U$30,MATCH("对"&amp;LEFT($C$5,2)&amp;"输出",标准坦克设计!$B$23:$U$23,0)))*(VLOOKUP($B213,INDIRECT($B$5&amp;"生成成长"),3))*(VLOOKUP($B$5,标准坦克设计!$B$14:$K$20,9)/30))</f>
        <v>2.366525546066943</v>
      </c>
      <c r="DN213" s="172">
        <f ca="1">(VLOOKUP(DN$72,INDIRECT($C$5&amp;"生成成长"),2))/((VLOOKUP($B213,INDIRECT($B$5&amp;"生成成长"),4))/(VLOOKUP(DN$72,INDIRECT($C$5&amp;"生成成长"),5))*(VLOOKUP($B$5,标准坦克设计!$B$24:$U$30,MATCH("对"&amp;LEFT($C$5,2)&amp;"输出",标准坦克设计!$B$23:$U$23,0)))*(VLOOKUP($B213,INDIRECT($B$5&amp;"生成成长"),3))*(VLOOKUP($B$5,标准坦克设计!$B$14:$K$20,9)/30))</f>
        <v>2.6147448609937092</v>
      </c>
      <c r="DO213" s="172">
        <f ca="1">(VLOOKUP(DO$72,INDIRECT($C$5&amp;"生成成长"),2))/((VLOOKUP($B213,INDIRECT($B$5&amp;"生成成长"),4))/(VLOOKUP(DO$72,INDIRECT($C$5&amp;"生成成长"),5))*(VLOOKUP($B$5,标准坦克设计!$B$24:$U$30,MATCH("对"&amp;LEFT($C$5,2)&amp;"输出",标准坦克设计!$B$23:$U$23,0)))*(VLOOKUP($B213,INDIRECT($B$5&amp;"生成成长"),3))*(VLOOKUP($B$5,标准坦克设计!$B$14:$K$20,9)/30))</f>
        <v>2.8753407622603131</v>
      </c>
      <c r="DP213" s="172">
        <f ca="1">(VLOOKUP(DP$72,INDIRECT($C$5&amp;"生成成长"),2))/((VLOOKUP($B213,INDIRECT($B$5&amp;"生成成长"),4))/(VLOOKUP(DP$72,INDIRECT($C$5&amp;"生成成长"),5))*(VLOOKUP($B$5,标准坦克设计!$B$24:$U$30,MATCH("对"&amp;LEFT($C$5,2)&amp;"输出",标准坦克设计!$B$23:$U$23,0)))*(VLOOKUP($B213,INDIRECT($B$5&amp;"生成成长"),3))*(VLOOKUP($B$5,标准坦克设计!$B$14:$K$20,9)/30))</f>
        <v>3.1483132498667565</v>
      </c>
      <c r="DQ213" s="172">
        <f ca="1">(VLOOKUP(DQ$72,INDIRECT($C$5&amp;"生成成长"),2))/((VLOOKUP($B213,INDIRECT($B$5&amp;"生成成长"),4))/(VLOOKUP(DQ$72,INDIRECT($C$5&amp;"生成成长"),5))*(VLOOKUP($B$5,标准坦克设计!$B$24:$U$30,MATCH("对"&amp;LEFT($C$5,2)&amp;"输出",标准坦克设计!$B$23:$U$23,0)))*(VLOOKUP($B213,INDIRECT($B$5&amp;"生成成长"),3))*(VLOOKUP($B$5,标准坦克设计!$B$14:$K$20,9)/30))</f>
        <v>3.4336623238130395</v>
      </c>
      <c r="DR213" s="172">
        <f ca="1">(VLOOKUP(DR$72,INDIRECT($C$5&amp;"生成成长"),2))/((VLOOKUP($B213,INDIRECT($B$5&amp;"生成成长"),4))/(VLOOKUP(DR$72,INDIRECT($C$5&amp;"生成成长"),5))*(VLOOKUP($B$5,标准坦克设计!$B$24:$U$30,MATCH("对"&amp;LEFT($C$5,2)&amp;"输出",标准坦克设计!$B$23:$U$23,0)))*(VLOOKUP($B213,INDIRECT($B$5&amp;"生成成长"),3))*(VLOOKUP($B$5,标准坦克设计!$B$14:$K$20,9)/30))</f>
        <v>3.7313879840991597</v>
      </c>
      <c r="DS213" s="172">
        <f ca="1">(VLOOKUP(DS$72,INDIRECT($C$5&amp;"生成成长"),2))/((VLOOKUP($B213,INDIRECT($B$5&amp;"生成成长"),4))/(VLOOKUP(DS$72,INDIRECT($C$5&amp;"生成成长"),5))*(VLOOKUP($B$5,标准坦克设计!$B$24:$U$30,MATCH("对"&amp;LEFT($C$5,2)&amp;"输出",标准坦克设计!$B$23:$U$23,0)))*(VLOOKUP($B213,INDIRECT($B$5&amp;"生成成长"),3))*(VLOOKUP($B$5,标准坦克设计!$B$14:$K$20,9)/30))</f>
        <v>4.0414902307251186</v>
      </c>
      <c r="DT213" s="172">
        <f ca="1">(VLOOKUP(DT$72,INDIRECT($C$5&amp;"生成成长"),2))/((VLOOKUP($B213,INDIRECT($B$5&amp;"生成成长"),4))/(VLOOKUP(DT$72,INDIRECT($C$5&amp;"生成成长"),5))*(VLOOKUP($B$5,标准坦克设计!$B$24:$U$30,MATCH("对"&amp;LEFT($C$5,2)&amp;"输出",标准坦克设计!$B$23:$U$23,0)))*(VLOOKUP($B213,INDIRECT($B$5&amp;"生成成长"),3))*(VLOOKUP($B$5,标准坦克设计!$B$14:$K$20,9)/30))</f>
        <v>4.437311797556629</v>
      </c>
      <c r="DU213" s="172">
        <f ca="1">(VLOOKUP(DU$72,INDIRECT($C$5&amp;"生成成长"),2))/((VLOOKUP($B213,INDIRECT($B$5&amp;"生成成长"),4))/(VLOOKUP(DU$72,INDIRECT($C$5&amp;"生成成长"),5))*(VLOOKUP($B$5,标准坦克设计!$B$24:$U$30,MATCH("对"&amp;LEFT($C$5,2)&amp;"输出",标准坦克设计!$B$23:$U$23,0)))*(VLOOKUP($B213,INDIRECT($B$5&amp;"生成成长"),3))*(VLOOKUP($B$5,标准坦克设计!$B$14:$K$20,9)/30))</f>
        <v>4.851621845216787</v>
      </c>
      <c r="DV213" s="172">
        <f ca="1">(VLOOKUP(DV$72,INDIRECT($C$5&amp;"生成成长"),2))/((VLOOKUP($B213,INDIRECT($B$5&amp;"生成成长"),4))/(VLOOKUP(DV$72,INDIRECT($C$5&amp;"生成成长"),5))*(VLOOKUP($B$5,标准坦克设计!$B$24:$U$30,MATCH("对"&amp;LEFT($C$5,2)&amp;"输出",标准坦克设计!$B$23:$U$23,0)))*(VLOOKUP($B213,INDIRECT($B$5&amp;"生成成长"),3))*(VLOOKUP($B$5,标准坦克设计!$B$14:$K$20,9)/30))</f>
        <v>5.2844203737055917</v>
      </c>
      <c r="DW213" s="172">
        <f ca="1">(VLOOKUP(DW$72,INDIRECT($C$5&amp;"生成成长"),2))/((VLOOKUP($B213,INDIRECT($B$5&amp;"生成成长"),4))/(VLOOKUP(DW$72,INDIRECT($C$5&amp;"生成成长"),5))*(VLOOKUP($B$5,标准坦克设计!$B$24:$U$30,MATCH("对"&amp;LEFT($C$5,2)&amp;"输出",标准坦克设计!$B$23:$U$23,0)))*(VLOOKUP($B213,INDIRECT($B$5&amp;"生成成长"),3))*(VLOOKUP($B$5,标准坦克设计!$B$14:$K$20,9)/30))</f>
        <v>5.7357073830230449</v>
      </c>
      <c r="DX213" s="172">
        <f ca="1">(VLOOKUP(DX$72,INDIRECT($C$5&amp;"生成成长"),2))/((VLOOKUP($B213,INDIRECT($B$5&amp;"生成成长"),4))/(VLOOKUP(DX$72,INDIRECT($C$5&amp;"生成成长"),5))*(VLOOKUP($B$5,标准坦克设计!$B$24:$U$30,MATCH("对"&amp;LEFT($C$5,2)&amp;"输出",标准坦克设计!$B$23:$U$23,0)))*(VLOOKUP($B213,INDIRECT($B$5&amp;"生成成长"),3))*(VLOOKUP($B$5,标准坦克设计!$B$14:$K$20,9)/30))</f>
        <v>6.2054828731691467</v>
      </c>
      <c r="DY213" s="172">
        <f ca="1">(VLOOKUP(DY$72,INDIRECT($C$5&amp;"生成成长"),2))/((VLOOKUP($B213,INDIRECT($B$5&amp;"生成成长"),4))/(VLOOKUP(DY$72,INDIRECT($C$5&amp;"生成成长"),5))*(VLOOKUP($B$5,标准坦克设计!$B$24:$U$30,MATCH("对"&amp;LEFT($C$5,2)&amp;"输出",标准坦克设计!$B$23:$U$23,0)))*(VLOOKUP($B213,INDIRECT($B$5&amp;"生成成长"),3))*(VLOOKUP($B$5,标准坦克设计!$B$14:$K$20,9)/30))</f>
        <v>2.7871002855781297</v>
      </c>
      <c r="DZ213" s="172">
        <f ca="1">(VLOOKUP(DZ$72,INDIRECT($C$5&amp;"生成成长"),2))/((VLOOKUP($B213,INDIRECT($B$5&amp;"生成成长"),4))/(VLOOKUP(DZ$72,INDIRECT($C$5&amp;"生成成长"),5))*(VLOOKUP($B$5,标准坦克设计!$B$24:$U$30,MATCH("对"&amp;LEFT($C$5,2)&amp;"输出",标准坦克设计!$B$23:$U$23,0)))*(VLOOKUP($B213,INDIRECT($B$5&amp;"生成成长"),3))*(VLOOKUP($B$5,标准坦克设计!$B$14:$K$20,9)/30))</f>
        <v>3.0865831155297832</v>
      </c>
      <c r="EA213" s="172">
        <f ca="1">(VLOOKUP(EA$72,INDIRECT($C$5&amp;"生成成长"),2))/((VLOOKUP($B213,INDIRECT($B$5&amp;"生成成长"),4))/(VLOOKUP(EA$72,INDIRECT($C$5&amp;"生成成长"),5))*(VLOOKUP($B$5,标准坦克设计!$B$24:$U$30,MATCH("对"&amp;LEFT($C$5,2)&amp;"输出",标准坦克设计!$B$23:$U$23,0)))*(VLOOKUP($B213,INDIRECT($B$5&amp;"生成成长"),3))*(VLOOKUP($B$5,标准坦克设计!$B$14:$K$20,9)/30))</f>
        <v>3.4013456817034604</v>
      </c>
      <c r="EB213" s="172">
        <f ca="1">(VLOOKUP(EB$72,INDIRECT($C$5&amp;"生成成长"),2))/((VLOOKUP($B213,INDIRECT($B$5&amp;"生成成长"),4))/(VLOOKUP(EB$72,INDIRECT($C$5&amp;"生成成长"),5))*(VLOOKUP($B$5,标准坦克设计!$B$24:$U$30,MATCH("对"&amp;LEFT($C$5,2)&amp;"输出",标准坦克设计!$B$23:$U$23,0)))*(VLOOKUP($B213,INDIRECT($B$5&amp;"生成成长"),3))*(VLOOKUP($B$5,标准坦克设计!$B$14:$K$20,9)/30))</f>
        <v>3.7313879840991597</v>
      </c>
      <c r="EC213" s="172">
        <f ca="1">(VLOOKUP(EC$72,INDIRECT($C$5&amp;"生成成长"),2))/((VLOOKUP($B213,INDIRECT($B$5&amp;"生成成长"),4))/(VLOOKUP(EC$72,INDIRECT($C$5&amp;"生成成长"),5))*(VLOOKUP($B$5,标准坦克设计!$B$24:$U$30,MATCH("对"&amp;LEFT($C$5,2)&amp;"输出",标准坦克设计!$B$23:$U$23,0)))*(VLOOKUP($B213,INDIRECT($B$5&amp;"生成成长"),3))*(VLOOKUP($B$5,标准坦克设计!$B$14:$K$20,9)/30))</f>
        <v>4.076710022716882</v>
      </c>
      <c r="ED213" s="172">
        <f ca="1">(VLOOKUP(ED$72,INDIRECT($C$5&amp;"生成成长"),2))/((VLOOKUP($B213,INDIRECT($B$5&amp;"生成成长"),4))/(VLOOKUP(ED$72,INDIRECT($C$5&amp;"生成成长"),5))*(VLOOKUP($B$5,标准坦克设计!$B$24:$U$30,MATCH("对"&amp;LEFT($C$5,2)&amp;"输出",标准坦克设计!$B$23:$U$23,0)))*(VLOOKUP($B213,INDIRECT($B$5&amp;"生成成长"),3))*(VLOOKUP($B$5,标准坦克设计!$B$14:$K$20,9)/30))</f>
        <v>4.437311797556629</v>
      </c>
      <c r="EE213" s="172">
        <f ca="1">(VLOOKUP(EE$72,INDIRECT($C$5&amp;"生成成长"),2))/((VLOOKUP($B213,INDIRECT($B$5&amp;"生成成长"),4))/(VLOOKUP(EE$72,INDIRECT($C$5&amp;"生成成长"),5))*(VLOOKUP($B$5,标准坦克设计!$B$24:$U$30,MATCH("对"&amp;LEFT($C$5,2)&amp;"输出",标准坦克设计!$B$23:$U$23,0)))*(VLOOKUP($B213,INDIRECT($B$5&amp;"生成成长"),3))*(VLOOKUP($B$5,标准坦克设计!$B$14:$K$20,9)/30))</f>
        <v>4.8131933086183976</v>
      </c>
      <c r="EF213" s="172">
        <f ca="1">(VLOOKUP(EF$72,INDIRECT($C$5&amp;"生成成长"),2))/((VLOOKUP($B213,INDIRECT($B$5&amp;"生成成长"),4))/(VLOOKUP(EF$72,INDIRECT($C$5&amp;"生成成长"),5))*(VLOOKUP($B$5,标准坦克设计!$B$24:$U$30,MATCH("对"&amp;LEFT($C$5,2)&amp;"输出",标准坦克设计!$B$23:$U$23,0)))*(VLOOKUP($B213,INDIRECT($B$5&amp;"生成成长"),3))*(VLOOKUP($B$5,标准坦克设计!$B$14:$K$20,9)/30))</f>
        <v>5.2043545559021904</v>
      </c>
      <c r="EG213" s="172">
        <f ca="1">(VLOOKUP(EG$72,INDIRECT($C$5&amp;"生成成长"),2))/((VLOOKUP($B213,INDIRECT($B$5&amp;"生成成长"),4))/(VLOOKUP(EG$72,INDIRECT($C$5&amp;"生成成长"),5))*(VLOOKUP($B$5,标准坦克设计!$B$24:$U$30,MATCH("对"&amp;LEFT($C$5,2)&amp;"输出",标准坦克设计!$B$23:$U$23,0)))*(VLOOKUP($B213,INDIRECT($B$5&amp;"生成成长"),3))*(VLOOKUP($B$5,标准坦克设计!$B$14:$K$20,9)/30))</f>
        <v>5.6107955394080058</v>
      </c>
      <c r="EH213" s="172">
        <f ca="1">(VLOOKUP(EH$72,INDIRECT($C$5&amp;"生成成长"),2))/((VLOOKUP($B213,INDIRECT($B$5&amp;"生成成长"),4))/(VLOOKUP(EH$72,INDIRECT($C$5&amp;"生成成长"),5))*(VLOOKUP($B$5,标准坦克设计!$B$24:$U$30,MATCH("对"&amp;LEFT($C$5,2)&amp;"输出",标准坦克设计!$B$23:$U$23,0)))*(VLOOKUP($B213,INDIRECT($B$5&amp;"生成成长"),3))*(VLOOKUP($B$5,标准坦克设计!$B$14:$K$20,9)/30))</f>
        <v>6.0325162591358445</v>
      </c>
      <c r="EI213" s="172">
        <f ca="1">(VLOOKUP(EI$72,INDIRECT($C$5&amp;"生成成长"),2))/((VLOOKUP($B213,INDIRECT($B$5&amp;"生成成长"),4))/(VLOOKUP(EI$72,INDIRECT($C$5&amp;"生成成长"),5))*(VLOOKUP($B$5,标准坦克设计!$B$24:$U$30,MATCH("对"&amp;LEFT($C$5,2)&amp;"输出",标准坦克设计!$B$23:$U$23,0)))*(VLOOKUP($B213,INDIRECT($B$5&amp;"生成成长"),3))*(VLOOKUP($B$5,标准坦克设计!$B$14:$K$20,9)/30))</f>
        <v>6.4695167150857049</v>
      </c>
      <c r="EJ213" s="172">
        <f ca="1">(VLOOKUP(EJ$72,INDIRECT($C$5&amp;"生成成长"),2))/((VLOOKUP($B213,INDIRECT($B$5&amp;"生成成长"),4))/(VLOOKUP(EJ$72,INDIRECT($C$5&amp;"生成成长"),5))*(VLOOKUP($B$5,标准坦克设计!$B$24:$U$30,MATCH("对"&amp;LEFT($C$5,2)&amp;"输出",标准坦克设计!$B$23:$U$23,0)))*(VLOOKUP($B213,INDIRECT($B$5&amp;"生成成长"),3))*(VLOOKUP($B$5,标准坦克设计!$B$14:$K$20,9)/30))</f>
        <v>6.9217969072575913</v>
      </c>
      <c r="EK213" s="172">
        <f ca="1">(VLOOKUP(EK$72,INDIRECT($C$5&amp;"生成成长"),2))/((VLOOKUP($B213,INDIRECT($B$5&amp;"生成成长"),4))/(VLOOKUP(EK$72,INDIRECT($C$5&amp;"生成成长"),5))*(VLOOKUP($B$5,标准坦克设计!$B$24:$U$30,MATCH("对"&amp;LEFT($C$5,2)&amp;"输出",标准坦克设计!$B$23:$U$23,0)))*(VLOOKUP($B213,INDIRECT($B$5&amp;"生成成长"),3))*(VLOOKUP($B$5,标准坦克设计!$B$14:$K$20,9)/30))</f>
        <v>7.4847023896769223</v>
      </c>
      <c r="EL213" s="172">
        <f ca="1">(VLOOKUP(EL$72,INDIRECT($C$5&amp;"生成成长"),2))/((VLOOKUP($B213,INDIRECT($B$5&amp;"生成成长"),4))/(VLOOKUP(EL$72,INDIRECT($C$5&amp;"生成成长"),5))*(VLOOKUP($B$5,标准坦克设计!$B$24:$U$30,MATCH("对"&amp;LEFT($C$5,2)&amp;"输出",标准坦克设计!$B$23:$U$23,0)))*(VLOOKUP($B213,INDIRECT($B$5&amp;"生成成长"),3))*(VLOOKUP($B$5,标准坦克设计!$B$14:$K$20,9)/30))</f>
        <v>8.0696106922559689</v>
      </c>
      <c r="EM213" s="172">
        <f ca="1">(VLOOKUP(EM$72,INDIRECT($C$5&amp;"生成成长"),2))/((VLOOKUP($B213,INDIRECT($B$5&amp;"生成成长"),4))/(VLOOKUP(EM$72,INDIRECT($C$5&amp;"生成成长"),5))*(VLOOKUP($B$5,标准坦克设计!$B$24:$U$30,MATCH("对"&amp;LEFT($C$5,2)&amp;"输出",标准坦克设计!$B$23:$U$23,0)))*(VLOOKUP($B213,INDIRECT($B$5&amp;"生成成长"),3))*(VLOOKUP($B$5,标准坦克设计!$B$14:$K$20,9)/30))</f>
        <v>8.676521814994727</v>
      </c>
      <c r="EN213" s="172">
        <f ca="1">(VLOOKUP(EN$72,INDIRECT($C$5&amp;"生成成长"),2))/((VLOOKUP($B213,INDIRECT($B$5&amp;"生成成长"),4))/(VLOOKUP(EN$72,INDIRECT($C$5&amp;"生成成长"),5))*(VLOOKUP($B$5,标准坦克设计!$B$24:$U$30,MATCH("对"&amp;LEFT($C$5,2)&amp;"输出",标准坦克设计!$B$23:$U$23,0)))*(VLOOKUP($B213,INDIRECT($B$5&amp;"生成成长"),3))*(VLOOKUP($B$5,标准坦克设计!$B$14:$K$20,9)/30))</f>
        <v>9.3054357578931999</v>
      </c>
      <c r="EO213" s="172">
        <f ca="1">(VLOOKUP(EO$72,INDIRECT($C$5&amp;"生成成长"),2))/((VLOOKUP($B213,INDIRECT($B$5&amp;"生成成长"),4))/(VLOOKUP(EO$72,INDIRECT($C$5&amp;"生成成长"),5))*(VLOOKUP($B$5,标准坦克设计!$B$24:$U$30,MATCH("对"&amp;LEFT($C$5,2)&amp;"输出",标准坦克设计!$B$23:$U$23,0)))*(VLOOKUP($B213,INDIRECT($B$5&amp;"生成成长"),3))*(VLOOKUP($B$5,标准坦克设计!$B$14:$K$20,9)/30))</f>
        <v>9.9563525209513859</v>
      </c>
      <c r="EP213" s="172">
        <f ca="1">(VLOOKUP(EP$72,INDIRECT($C$5&amp;"生成成长"),2))/((VLOOKUP($B213,INDIRECT($B$5&amp;"生成成长"),4))/(VLOOKUP(EP$72,INDIRECT($C$5&amp;"生成成长"),5))*(VLOOKUP($B$5,标准坦克设计!$B$24:$U$30,MATCH("对"&amp;LEFT($C$5,2)&amp;"输出",标准坦克设计!$B$23:$U$23,0)))*(VLOOKUP($B213,INDIRECT($B$5&amp;"生成成长"),3))*(VLOOKUP($B$5,标准坦克设计!$B$14:$K$20,9)/30))</f>
        <v>10.629272104169285</v>
      </c>
      <c r="EQ213" s="172">
        <f ca="1">(VLOOKUP(EQ$72,INDIRECT($C$5&amp;"生成成长"),2))/((VLOOKUP($B213,INDIRECT($B$5&amp;"生成成长"),4))/(VLOOKUP(EQ$72,INDIRECT($C$5&amp;"生成成长"),5))*(VLOOKUP($B$5,标准坦克设计!$B$24:$U$30,MATCH("对"&amp;LEFT($C$5,2)&amp;"输出",标准坦克设计!$B$23:$U$23,0)))*(VLOOKUP($B213,INDIRECT($B$5&amp;"生成成长"),3))*(VLOOKUP($B$5,标准坦克设计!$B$14:$K$20,9)/30))</f>
        <v>4.698824482996554</v>
      </c>
      <c r="ER213" s="172">
        <f ca="1">(VLOOKUP(ER$72,INDIRECT($C$5&amp;"生成成长"),2))/((VLOOKUP($B213,INDIRECT($B$5&amp;"生成成长"),4))/(VLOOKUP(ER$72,INDIRECT($C$5&amp;"生成成长"),5))*(VLOOKUP($B$5,标准坦克设计!$B$24:$U$30,MATCH("对"&amp;LEFT($C$5,2)&amp;"输出",标准坦克设计!$B$23:$U$23,0)))*(VLOOKUP($B213,INDIRECT($B$5&amp;"生成成长"),3))*(VLOOKUP($B$5,标准坦克设计!$B$14:$K$20,9)/30))</f>
        <v>5.1248999275476699</v>
      </c>
      <c r="ES213" s="172">
        <f ca="1">(VLOOKUP(ES$72,INDIRECT($C$5&amp;"生成成长"),2))/((VLOOKUP($B213,INDIRECT($B$5&amp;"生成成长"),4))/(VLOOKUP(ES$72,INDIRECT($C$5&amp;"生成成长"),5))*(VLOOKUP($B$5,标准坦克设计!$B$24:$U$30,MATCH("对"&amp;LEFT($C$5,2)&amp;"输出",标准坦克设计!$B$23:$U$23,0)))*(VLOOKUP($B213,INDIRECT($B$5&amp;"生成成长"),3))*(VLOOKUP($B$5,标准坦克设计!$B$14:$K$20,9)/30))</f>
        <v>5.5694638529274325</v>
      </c>
      <c r="ET213" s="172">
        <f ca="1">(VLOOKUP(ET$72,INDIRECT($C$5&amp;"生成成长"),2))/((VLOOKUP($B213,INDIRECT($B$5&amp;"生成成长"),4))/(VLOOKUP(ET$72,INDIRECT($C$5&amp;"生成成长"),5))*(VLOOKUP($B$5,标准坦克设计!$B$24:$U$30,MATCH("对"&amp;LEFT($C$5,2)&amp;"输出",标准坦克设计!$B$23:$U$23,0)))*(VLOOKUP($B213,INDIRECT($B$5&amp;"生成成长"),3))*(VLOOKUP($B$5,标准坦克设计!$B$14:$K$20,9)/30))</f>
        <v>6.0325162591358445</v>
      </c>
      <c r="EU213" s="172">
        <f ca="1">(VLOOKUP(EU$72,INDIRECT($C$5&amp;"生成成长"),2))/((VLOOKUP($B213,INDIRECT($B$5&amp;"生成成长"),4))/(VLOOKUP(EU$72,INDIRECT($C$5&amp;"生成成长"),5))*(VLOOKUP($B$5,标准坦克设计!$B$24:$U$30,MATCH("对"&amp;LEFT($C$5,2)&amp;"输出",标准坦克设计!$B$23:$U$23,0)))*(VLOOKUP($B213,INDIRECT($B$5&amp;"生成成长"),3))*(VLOOKUP($B$5,标准坦克设计!$B$14:$K$20,9)/30))</f>
        <v>6.5140571461729024</v>
      </c>
      <c r="EV213" s="172">
        <f ca="1">(VLOOKUP(EV$72,INDIRECT($C$5&amp;"生成成长"),2))/((VLOOKUP($B213,INDIRECT($B$5&amp;"生成成长"),4))/(VLOOKUP(EV$72,INDIRECT($C$5&amp;"生成成长"),5))*(VLOOKUP($B$5,标准坦克设计!$B$24:$U$30,MATCH("对"&amp;LEFT($C$5,2)&amp;"输出",标准坦克设计!$B$23:$U$23,0)))*(VLOOKUP($B213,INDIRECT($B$5&amp;"生成成长"),3))*(VLOOKUP($B$5,标准坦克设计!$B$14:$K$20,9)/30))</f>
        <v>7.0140865140386097</v>
      </c>
      <c r="EW213" s="172">
        <f ca="1">(VLOOKUP(EW$72,INDIRECT($C$5&amp;"生成成长"),2))/((VLOOKUP($B213,INDIRECT($B$5&amp;"生成成长"),4))/(VLOOKUP(EW$72,INDIRECT($C$5&amp;"生成成长"),5))*(VLOOKUP($B$5,标准坦克设计!$B$24:$U$30,MATCH("对"&amp;LEFT($C$5,2)&amp;"输出",标准坦克设计!$B$23:$U$23,0)))*(VLOOKUP($B213,INDIRECT($B$5&amp;"生成成长"),3))*(VLOOKUP($B$5,标准坦克设计!$B$14:$K$20,9)/30))</f>
        <v>7.5326043627329655</v>
      </c>
      <c r="EX213" s="172">
        <f ca="1">(VLOOKUP(EX$72,INDIRECT($C$5&amp;"生成成长"),2))/((VLOOKUP($B213,INDIRECT($B$5&amp;"生成成长"),4))/(VLOOKUP(EX$72,INDIRECT($C$5&amp;"生成成长"),5))*(VLOOKUP($B$5,标准坦克设计!$B$24:$U$30,MATCH("对"&amp;LEFT($C$5,2)&amp;"输出",标准坦克设计!$B$23:$U$23,0)))*(VLOOKUP($B213,INDIRECT($B$5&amp;"生成成长"),3))*(VLOOKUP($B$5,标准坦克设计!$B$14:$K$20,9)/30))</f>
        <v>8.0696106922559689</v>
      </c>
      <c r="EY213" s="172">
        <f ca="1">(VLOOKUP(EY$72,INDIRECT($C$5&amp;"生成成长"),2))/((VLOOKUP($B213,INDIRECT($B$5&amp;"生成成长"),4))/(VLOOKUP(EY$72,INDIRECT($C$5&amp;"生成成长"),5))*(VLOOKUP($B$5,标准坦克设计!$B$24:$U$30,MATCH("对"&amp;LEFT($C$5,2)&amp;"输出",标准坦克设计!$B$23:$U$23,0)))*(VLOOKUP($B213,INDIRECT($B$5&amp;"生成成长"),3))*(VLOOKUP($B$5,标准坦克设计!$B$14:$K$20,9)/30))</f>
        <v>8.6251055026076209</v>
      </c>
      <c r="EZ213" s="172">
        <f ca="1">(VLOOKUP(EZ$72,INDIRECT($C$5&amp;"生成成长"),2))/((VLOOKUP($B213,INDIRECT($B$5&amp;"生成成长"),4))/(VLOOKUP(EZ$72,INDIRECT($C$5&amp;"生成成长"),5))*(VLOOKUP($B$5,标准坦克设计!$B$24:$U$30,MATCH("对"&amp;LEFT($C$5,2)&amp;"输出",标准坦克设计!$B$23:$U$23,0)))*(VLOOKUP($B213,INDIRECT($B$5&amp;"生成成长"),3))*(VLOOKUP($B$5,标准坦克设计!$B$14:$K$20,9)/30))</f>
        <v>9.1990887937879187</v>
      </c>
      <c r="FA213" s="172">
        <f ca="1">(VLOOKUP(FA$72,INDIRECT($C$5&amp;"生成成长"),2))/((VLOOKUP($B213,INDIRECT($B$5&amp;"生成成长"),4))/(VLOOKUP(FA$72,INDIRECT($C$5&amp;"生成成长"),5))*(VLOOKUP($B$5,标准坦克设计!$B$24:$U$30,MATCH("对"&amp;LEFT($C$5,2)&amp;"输出",标准坦克设计!$B$23:$U$23,0)))*(VLOOKUP($B213,INDIRECT($B$5&amp;"生成成长"),3))*(VLOOKUP($B$5,标准坦克设计!$B$14:$K$20,9)/30))</f>
        <v>9.7915605657968641</v>
      </c>
      <c r="FB213" s="172">
        <f ca="1">(VLOOKUP(FB$72,INDIRECT($C$5&amp;"生成成长"),2))/((VLOOKUP($B213,INDIRECT($B$5&amp;"生成成长"),4))/(VLOOKUP(FB$72,INDIRECT($C$5&amp;"生成成长"),5))*(VLOOKUP($B$5,标准坦克设计!$B$24:$U$30,MATCH("对"&amp;LEFT($C$5,2)&amp;"输出",标准坦克设计!$B$23:$U$23,0)))*(VLOOKUP($B213,INDIRECT($B$5&amp;"生成成长"),3))*(VLOOKUP($B$5,标准坦克设计!$B$14:$K$20,9)/30))</f>
        <v>10.402520818634462</v>
      </c>
      <c r="FC213" s="172">
        <f ca="1">(VLOOKUP(FC$72,INDIRECT($C$5&amp;"生成成长"),2))/((VLOOKUP($B213,INDIRECT($B$5&amp;"生成成长"),4))/(VLOOKUP(FC$72,INDIRECT($C$5&amp;"生成成长"),5))*(VLOOKUP($B$5,标准坦克设计!$B$24:$U$30,MATCH("对"&amp;LEFT($C$5,2)&amp;"输出",标准坦克设计!$B$23:$U$23,0)))*(VLOOKUP($B213,INDIRECT($B$5&amp;"生成成长"),3))*(VLOOKUP($B$5,标准坦克设计!$B$14:$K$20,9)/30))</f>
        <v>11.031969552300703</v>
      </c>
      <c r="FD213" s="172">
        <f ca="1">(VLOOKUP(FD$72,INDIRECT($C$5&amp;"生成成长"),2))/((VLOOKUP($B213,INDIRECT($B$5&amp;"生成成长"),4))/(VLOOKUP(FD$72,INDIRECT($C$5&amp;"生成成长"),5))*(VLOOKUP($B$5,标准坦克设计!$B$24:$U$30,MATCH("对"&amp;LEFT($C$5,2)&amp;"输出",标准坦克设计!$B$23:$U$23,0)))*(VLOOKUP($B213,INDIRECT($B$5&amp;"生成成长"),3))*(VLOOKUP($B$5,标准坦克设计!$B$14:$K$20,9)/30))</f>
        <v>11.679906766795598</v>
      </c>
      <c r="FE213" s="172">
        <f ca="1">(VLOOKUP(FE$72,INDIRECT($C$5&amp;"生成成长"),2))/((VLOOKUP($B213,INDIRECT($B$5&amp;"生成成长"),4))/(VLOOKUP(FE$72,INDIRECT($C$5&amp;"生成成长"),5))*(VLOOKUP($B$5,标准坦克设计!$B$24:$U$30,MATCH("对"&amp;LEFT($C$5,2)&amp;"输出",标准坦克设计!$B$23:$U$23,0)))*(VLOOKUP($B213,INDIRECT($B$5&amp;"生成成长"),3))*(VLOOKUP($B$5,标准坦克设计!$B$14:$K$20,9)/30))</f>
        <v>12.469487136068642</v>
      </c>
      <c r="FF213" s="172">
        <f ca="1">(VLOOKUP(FF$72,INDIRECT($C$5&amp;"生成成长"),2))/((VLOOKUP($B213,INDIRECT($B$5&amp;"生成成长"),4))/(VLOOKUP(FF$72,INDIRECT($C$5&amp;"生成成长"),5))*(VLOOKUP($B$5,标准坦克设计!$B$24:$U$30,MATCH("对"&amp;LEFT($C$5,2)&amp;"输出",标准坦克设计!$B$23:$U$23,0)))*(VLOOKUP($B213,INDIRECT($B$5&amp;"生成成长"),3))*(VLOOKUP($B$5,标准坦克设计!$B$14:$K$20,9)/30))</f>
        <v>13.284890259556906</v>
      </c>
      <c r="FG213" s="172">
        <f ca="1">(VLOOKUP(FG$72,INDIRECT($C$5&amp;"生成成长"),2))/((VLOOKUP($B213,INDIRECT($B$5&amp;"生成成长"),4))/(VLOOKUP(FG$72,INDIRECT($C$5&amp;"生成成长"),5))*(VLOOKUP($B$5,标准坦克设计!$B$24:$U$30,MATCH("对"&amp;LEFT($C$5,2)&amp;"输出",标准坦克设计!$B$23:$U$23,0)))*(VLOOKUP($B213,INDIRECT($B$5&amp;"生成成长"),3))*(VLOOKUP($B$5,标准坦克设计!$B$14:$K$20,9)/30))</f>
        <v>14.126116137260388</v>
      </c>
      <c r="FH213" s="172">
        <f ca="1">(VLOOKUP(FH$72,INDIRECT($C$5&amp;"生成成长"),2))/((VLOOKUP($B213,INDIRECT($B$5&amp;"生成成长"),4))/(VLOOKUP(FH$72,INDIRECT($C$5&amp;"生成成长"),5))*(VLOOKUP($B$5,标准坦克设计!$B$24:$U$30,MATCH("对"&amp;LEFT($C$5,2)&amp;"输出",标准坦克设计!$B$23:$U$23,0)))*(VLOOKUP($B213,INDIRECT($B$5&amp;"生成成长"),3))*(VLOOKUP($B$5,标准坦克设计!$B$14:$K$20,9)/30))</f>
        <v>14.993164769179092</v>
      </c>
      <c r="FI213" s="172">
        <f ca="1">(VLOOKUP(FI$72,INDIRECT($C$5&amp;"生成成长"),2))/((VLOOKUP($B213,INDIRECT($B$5&amp;"生成成长"),4))/(VLOOKUP(FI$72,INDIRECT($C$5&amp;"生成成长"),5))*(VLOOKUP($B$5,标准坦克设计!$B$24:$U$30,MATCH("对"&amp;LEFT($C$5,2)&amp;"输出",标准坦克设计!$B$23:$U$23,0)))*(VLOOKUP($B213,INDIRECT($B$5&amp;"生成成长"),3))*(VLOOKUP($B$5,标准坦克设计!$B$14:$K$20,9)/30))</f>
        <v>15.886036155313015</v>
      </c>
      <c r="FJ213" s="172">
        <f ca="1">(VLOOKUP(FJ$72,INDIRECT($C$5&amp;"生成成长"),2))/((VLOOKUP($B213,INDIRECT($B$5&amp;"生成成长"),4))/(VLOOKUP(FJ$72,INDIRECT($C$5&amp;"生成成长"),5))*(VLOOKUP($B$5,标准坦克设计!$B$24:$U$30,MATCH("对"&amp;LEFT($C$5,2)&amp;"输出",标准坦克设计!$B$23:$U$23,0)))*(VLOOKUP($B213,INDIRECT($B$5&amp;"生成成长"),3))*(VLOOKUP($B$5,标准坦克设计!$B$14:$K$20,9)/30))</f>
        <v>16.804730295662157</v>
      </c>
      <c r="FK213" s="172">
        <f ca="1">(VLOOKUP(FK$72,INDIRECT($C$5&amp;"生成成长"),2))/((VLOOKUP($B213,INDIRECT($B$5&amp;"生成成长"),4))/(VLOOKUP(FK$72,INDIRECT($C$5&amp;"生成成长"),5))*(VLOOKUP($B$5,标准坦克设计!$B$24:$U$30,MATCH("对"&amp;LEFT($C$5,2)&amp;"输出",标准坦克设计!$B$23:$U$23,0)))*(VLOOKUP($B213,INDIRECT($B$5&amp;"生成成长"),3))*(VLOOKUP($B$5,标准坦克设计!$B$14:$K$20,9)/30))</f>
        <v>17.749247190226516</v>
      </c>
    </row>
    <row r="214" spans="1:167" x14ac:dyDescent="0.15">
      <c r="A214" s="170" t="str">
        <f t="shared" si="13"/>
        <v>T4高品质16级</v>
      </c>
      <c r="B214" s="171">
        <v>30416</v>
      </c>
      <c r="C214" s="172">
        <f ca="1">(VLOOKUP(C$72,INDIRECT($C$5&amp;"生成成长"),2))/((VLOOKUP($B214,INDIRECT($B$5&amp;"生成成长"),4))/(VLOOKUP(C$72,INDIRECT($C$5&amp;"生成成长"),5))*(VLOOKUP($B$5,标准坦克设计!$B$24:$U$30,MATCH("对"&amp;LEFT($C$5,2)&amp;"输出",标准坦克设计!$B$23:$U$23,0)))*(VLOOKUP($B214,INDIRECT($B$5&amp;"生成成长"),3))*(VLOOKUP($B$5,标准坦克设计!$B$14:$K$20,9)/30))</f>
        <v>0.71102418295637271</v>
      </c>
      <c r="D214" s="172">
        <f ca="1">(VLOOKUP(D$72,INDIRECT($C$5&amp;"生成成长"),2))/((VLOOKUP($B214,INDIRECT($B$5&amp;"生成成长"),4))/(VLOOKUP(D$72,INDIRECT($C$5&amp;"生成成长"),5))*(VLOOKUP($B$5,标准坦克设计!$B$24:$U$30,MATCH("对"&amp;LEFT($C$5,2)&amp;"输出",标准坦克设计!$B$23:$U$23,0)))*(VLOOKUP($B214,INDIRECT($B$5&amp;"生成成长"),3))*(VLOOKUP($B$5,标准坦克设计!$B$14:$K$20,9)/30))</f>
        <v>0.79890677196978055</v>
      </c>
      <c r="E214" s="172">
        <f ca="1">(VLOOKUP(E$72,INDIRECT($C$5&amp;"生成成长"),2))/((VLOOKUP($B214,INDIRECT($B$5&amp;"生成成长"),4))/(VLOOKUP(E$72,INDIRECT($C$5&amp;"生成成长"),5))*(VLOOKUP($B$5,标准坦克设计!$B$24:$U$30,MATCH("对"&amp;LEFT($C$5,2)&amp;"输出",标准坦克设计!$B$23:$U$23,0)))*(VLOOKUP($B214,INDIRECT($B$5&amp;"生成成长"),3))*(VLOOKUP($B$5,标准坦克设计!$B$14:$K$20,9)/30))</f>
        <v>0.89190873510047397</v>
      </c>
      <c r="F214" s="172">
        <f ca="1">(VLOOKUP(F$72,INDIRECT($C$5&amp;"生成成长"),2))/((VLOOKUP($B214,INDIRECT($B$5&amp;"生成成长"),4))/(VLOOKUP(F$72,INDIRECT($C$5&amp;"生成成长"),5))*(VLOOKUP($B$5,标准坦克设计!$B$24:$U$30,MATCH("对"&amp;LEFT($C$5,2)&amp;"输出",标准坦克设计!$B$23:$U$23,0)))*(VLOOKUP($B214,INDIRECT($B$5&amp;"生成成长"),3))*(VLOOKUP($B$5,标准坦克设计!$B$14:$K$20,9)/30))</f>
        <v>0.9900300723484533</v>
      </c>
      <c r="G214" s="172">
        <f ca="1">(VLOOKUP(G$72,INDIRECT($C$5&amp;"生成成长"),2))/((VLOOKUP($B214,INDIRECT($B$5&amp;"生成成长"),4))/(VLOOKUP(G$72,INDIRECT($C$5&amp;"生成成长"),5))*(VLOOKUP($B$5,标准坦克设计!$B$24:$U$30,MATCH("对"&amp;LEFT($C$5,2)&amp;"输出",标准坦克设计!$B$23:$U$23,0)))*(VLOOKUP($B214,INDIRECT($B$5&amp;"生成成长"),3))*(VLOOKUP($B$5,标准坦克设计!$B$14:$K$20,9)/30))</f>
        <v>1.0932707837137186</v>
      </c>
      <c r="H214" s="172">
        <f ca="1">(VLOOKUP(H$72,INDIRECT($C$5&amp;"生成成长"),2))/((VLOOKUP($B214,INDIRECT($B$5&amp;"生成成长"),4))/(VLOOKUP(H$72,INDIRECT($C$5&amp;"生成成长"),5))*(VLOOKUP($B$5,标准坦克设计!$B$24:$U$30,MATCH("对"&amp;LEFT($C$5,2)&amp;"输出",标准坦克设计!$B$23:$U$23,0)))*(VLOOKUP($B214,INDIRECT($B$5&amp;"生成成长"),3))*(VLOOKUP($B$5,标准坦克设计!$B$14:$K$20,9)/30))</f>
        <v>0.95675414058609509</v>
      </c>
      <c r="I214" s="172">
        <f ca="1">(VLOOKUP(I$72,INDIRECT($C$5&amp;"生成成长"),2))/((VLOOKUP($B214,INDIRECT($B$5&amp;"生成成长"),4))/(VLOOKUP(I$72,INDIRECT($C$5&amp;"生成成长"),5))*(VLOOKUP($B$5,标准坦克设计!$B$24:$U$30,MATCH("对"&amp;LEFT($C$5,2)&amp;"输出",标准坦克设计!$B$23:$U$23,0)))*(VLOOKUP($B214,INDIRECT($B$5&amp;"生成成长"),3))*(VLOOKUP($B$5,标准坦克设计!$B$14:$K$20,9)/30))</f>
        <v>1.0932707837137186</v>
      </c>
      <c r="J214" s="172">
        <f ca="1">(VLOOKUP(J$72,INDIRECT($C$5&amp;"生成成长"),2))/((VLOOKUP($B214,INDIRECT($B$5&amp;"生成成长"),4))/(VLOOKUP(J$72,INDIRECT($C$5&amp;"生成成长"),5))*(VLOOKUP($B$5,标准坦克设计!$B$24:$U$30,MATCH("对"&amp;LEFT($C$5,2)&amp;"输出",标准坦克设计!$B$23:$U$23,0)))*(VLOOKUP($B214,INDIRECT($B$5&amp;"生成成长"),3))*(VLOOKUP($B$5,标准坦克设计!$B$14:$K$20,9)/30))</f>
        <v>1.2388885363831839</v>
      </c>
      <c r="K214" s="172">
        <f ca="1">(VLOOKUP(K$72,INDIRECT($C$5&amp;"生成成长"),2))/((VLOOKUP($B214,INDIRECT($B$5&amp;"生成成长"),4))/(VLOOKUP(K$72,INDIRECT($C$5&amp;"生成成长"),5))*(VLOOKUP($B$5,标准坦克设计!$B$24:$U$30,MATCH("对"&amp;LEFT($C$5,2)&amp;"输出",标准坦克设计!$B$23:$U$23,0)))*(VLOOKUP($B214,INDIRECT($B$5&amp;"生成成长"),3))*(VLOOKUP($B$5,标准坦克设计!$B$14:$K$20,9)/30))</f>
        <v>1.3936073985944906</v>
      </c>
      <c r="L214" s="172">
        <f ca="1">(VLOOKUP(L$72,INDIRECT($C$5&amp;"生成成长"),2))/((VLOOKUP($B214,INDIRECT($B$5&amp;"生成成长"),4))/(VLOOKUP(L$72,INDIRECT($C$5&amp;"生成成长"),5))*(VLOOKUP($B$5,标准坦克设计!$B$24:$U$30,MATCH("对"&amp;LEFT($C$5,2)&amp;"输出",标准坦克设计!$B$23:$U$23,0)))*(VLOOKUP($B214,INDIRECT($B$5&amp;"生成成长"),3))*(VLOOKUP($B$5,标准坦克设计!$B$14:$K$20,9)/30))</f>
        <v>1.5574273703476389</v>
      </c>
      <c r="M214" s="172">
        <f ca="1">(VLOOKUP(M$72,INDIRECT($C$5&amp;"生成成长"),2))/((VLOOKUP($B214,INDIRECT($B$5&amp;"生成成长"),4))/(VLOOKUP(M$72,INDIRECT($C$5&amp;"生成成长"),5))*(VLOOKUP($B$5,标准坦克设计!$B$24:$U$30,MATCH("对"&amp;LEFT($C$5,2)&amp;"输出",标准坦克设计!$B$23:$U$23,0)))*(VLOOKUP($B214,INDIRECT($B$5&amp;"生成成长"),3))*(VLOOKUP($B$5,标准坦克设计!$B$14:$K$20,9)/30))</f>
        <v>1.7303484516426286</v>
      </c>
      <c r="N214" s="172">
        <f ca="1">(VLOOKUP(N$72,INDIRECT($C$5&amp;"生成成长"),2))/((VLOOKUP($B214,INDIRECT($B$5&amp;"生成成长"),4))/(VLOOKUP(N$72,INDIRECT($C$5&amp;"生成成长"),5))*(VLOOKUP($B$5,标准坦克设计!$B$24:$U$30,MATCH("对"&amp;LEFT($C$5,2)&amp;"输出",标准坦克设计!$B$23:$U$23,0)))*(VLOOKUP($B214,INDIRECT($B$5&amp;"生成成长"),3))*(VLOOKUP($B$5,标准坦克设计!$B$14:$K$20,9)/30))</f>
        <v>1.91237064247946</v>
      </c>
      <c r="O214" s="172">
        <f ca="1">(VLOOKUP(O$72,INDIRECT($C$5&amp;"生成成长"),2))/((VLOOKUP($B214,INDIRECT($B$5&amp;"生成成长"),4))/(VLOOKUP(O$72,INDIRECT($C$5&amp;"生成成长"),5))*(VLOOKUP($B$5,标准坦克设计!$B$24:$U$30,MATCH("对"&amp;LEFT($C$5,2)&amp;"输出",标准坦克设计!$B$23:$U$23,0)))*(VLOOKUP($B214,INDIRECT($B$5&amp;"生成成长"),3))*(VLOOKUP($B$5,标准坦克设计!$B$14:$K$20,9)/30))</f>
        <v>1.4539733517274867</v>
      </c>
      <c r="P214" s="172">
        <f ca="1">(VLOOKUP(P$72,INDIRECT($C$5&amp;"生成成长"),2))/((VLOOKUP($B214,INDIRECT($B$5&amp;"生成成长"),4))/(VLOOKUP(P$72,INDIRECT($C$5&amp;"生成成长"),5))*(VLOOKUP($B$5,标准坦克设计!$B$24:$U$30,MATCH("对"&amp;LEFT($C$5,2)&amp;"输出",标准坦克设计!$B$23:$U$23,0)))*(VLOOKUP($B214,INDIRECT($B$5&amp;"生成成长"),3))*(VLOOKUP($B$5,标准坦克设计!$B$14:$K$20,9)/30))</f>
        <v>1.6427502723024034</v>
      </c>
      <c r="Q214" s="172">
        <f ca="1">(VLOOKUP(Q$72,INDIRECT($C$5&amp;"生成成长"),2))/((VLOOKUP($B214,INDIRECT($B$5&amp;"生成成长"),4))/(VLOOKUP(Q$72,INDIRECT($C$5&amp;"生成成长"),5))*(VLOOKUP($B$5,标准坦克设计!$B$24:$U$30,MATCH("对"&amp;LEFT($C$5,2)&amp;"输出",标准坦克设计!$B$23:$U$23,0)))*(VLOOKUP($B214,INDIRECT($B$5&amp;"生成成长"),3))*(VLOOKUP($B$5,标准坦克设计!$B$14:$K$20,9)/30))</f>
        <v>1.8430457846412138</v>
      </c>
      <c r="R214" s="172">
        <f ca="1">(VLOOKUP(R$72,INDIRECT($C$5&amp;"生成成长"),2))/((VLOOKUP($B214,INDIRECT($B$5&amp;"生成成长"),4))/(VLOOKUP(R$72,INDIRECT($C$5&amp;"生成成长"),5))*(VLOOKUP($B$5,标准坦克设计!$B$24:$U$30,MATCH("对"&amp;LEFT($C$5,2)&amp;"输出",标准坦克设计!$B$23:$U$23,0)))*(VLOOKUP($B214,INDIRECT($B$5&amp;"生成成长"),3))*(VLOOKUP($B$5,标准坦克设计!$B$14:$K$20,9)/30))</f>
        <v>2.0548598887439171</v>
      </c>
      <c r="S214" s="172">
        <f ca="1">(VLOOKUP(S$72,INDIRECT($C$5&amp;"生成成长"),2))/((VLOOKUP($B214,INDIRECT($B$5&amp;"生成成长"),4))/(VLOOKUP(S$72,INDIRECT($C$5&amp;"生成成长"),5))*(VLOOKUP($B$5,标准坦克设计!$B$24:$U$30,MATCH("对"&amp;LEFT($C$5,2)&amp;"输出",标准坦克设计!$B$23:$U$23,0)))*(VLOOKUP($B214,INDIRECT($B$5&amp;"生成成长"),3))*(VLOOKUP($B$5,标准坦克设计!$B$14:$K$20,9)/30))</f>
        <v>2.278192584610514</v>
      </c>
      <c r="T214" s="172">
        <f ca="1">(VLOOKUP(T$72,INDIRECT($C$5&amp;"生成成长"),2))/((VLOOKUP($B214,INDIRECT($B$5&amp;"生成成长"),4))/(VLOOKUP(T$72,INDIRECT($C$5&amp;"生成成长"),5))*(VLOOKUP($B$5,标准坦克设计!$B$24:$U$30,MATCH("对"&amp;LEFT($C$5,2)&amp;"输出",标准坦克设计!$B$23:$U$23,0)))*(VLOOKUP($B214,INDIRECT($B$5&amp;"生成成长"),3))*(VLOOKUP($B$5,标准坦克设计!$B$14:$K$20,9)/30))</f>
        <v>2.5130438722410036</v>
      </c>
      <c r="U214" s="172">
        <f ca="1">(VLOOKUP(U$72,INDIRECT($C$5&amp;"生成成长"),2))/((VLOOKUP($B214,INDIRECT($B$5&amp;"生成成长"),4))/(VLOOKUP(U$72,INDIRECT($C$5&amp;"生成成长"),5))*(VLOOKUP($B$5,标准坦克设计!$B$24:$U$30,MATCH("对"&amp;LEFT($C$5,2)&amp;"输出",标准坦克设计!$B$23:$U$23,0)))*(VLOOKUP($B214,INDIRECT($B$5&amp;"生成成长"),3))*(VLOOKUP($B$5,标准坦克设计!$B$14:$K$20,9)/30))</f>
        <v>2.7594137516353867</v>
      </c>
      <c r="V214" s="172">
        <f ca="1">(VLOOKUP(V$72,INDIRECT($C$5&amp;"生成成长"),2))/((VLOOKUP($B214,INDIRECT($B$5&amp;"生成成长"),4))/(VLOOKUP(V$72,INDIRECT($C$5&amp;"生成成长"),5))*(VLOOKUP($B$5,标准坦克设计!$B$24:$U$30,MATCH("对"&amp;LEFT($C$5,2)&amp;"输出",标准坦克设计!$B$23:$U$23,0)))*(VLOOKUP($B214,INDIRECT($B$5&amp;"生成成长"),3))*(VLOOKUP($B$5,标准坦克设计!$B$14:$K$20,9)/30))</f>
        <v>3.017302222793663</v>
      </c>
      <c r="W214" s="172">
        <f ca="1">(VLOOKUP(W$72,INDIRECT($C$5&amp;"生成成长"),2))/((VLOOKUP($B214,INDIRECT($B$5&amp;"生成成长"),4))/(VLOOKUP(W$72,INDIRECT($C$5&amp;"生成成长"),5))*(VLOOKUP($B$5,标准坦克设计!$B$24:$U$30,MATCH("对"&amp;LEFT($C$5,2)&amp;"输出",标准坦克设计!$B$23:$U$23,0)))*(VLOOKUP($B214,INDIRECT($B$5&amp;"生成成长"),3))*(VLOOKUP($B$5,标准坦克设计!$B$14:$K$20,9)/30))</f>
        <v>3.2867092857158333</v>
      </c>
      <c r="X214" s="172">
        <f ca="1">(VLOOKUP(X$72,INDIRECT($C$5&amp;"生成成长"),2))/((VLOOKUP($B214,INDIRECT($B$5&amp;"生成成长"),4))/(VLOOKUP(X$72,INDIRECT($C$5&amp;"生成成长"),5))*(VLOOKUP($B$5,标准坦克设计!$B$24:$U$30,MATCH("对"&amp;LEFT($C$5,2)&amp;"输出",标准坦克设计!$B$23:$U$23,0)))*(VLOOKUP($B214,INDIRECT($B$5&amp;"生成成长"),3))*(VLOOKUP($B$5,标准坦克设计!$B$14:$K$20,9)/30))</f>
        <v>2.3811488863025967</v>
      </c>
      <c r="Y214" s="172">
        <f ca="1">(VLOOKUP(Y$72,INDIRECT($C$5&amp;"生成成长"),2))/((VLOOKUP($B214,INDIRECT($B$5&amp;"生成成长"),4))/(VLOOKUP(Y$72,INDIRECT($C$5&amp;"生成成长"),5))*(VLOOKUP($B$5,标准坦克设计!$B$24:$U$30,MATCH("对"&amp;LEFT($C$5,2)&amp;"输出",标准坦克设计!$B$23:$U$23,0)))*(VLOOKUP($B214,INDIRECT($B$5&amp;"生成成长"),3))*(VLOOKUP($B$5,标准坦克设计!$B$14:$K$20,9)/30))</f>
        <v>2.648493979094193</v>
      </c>
      <c r="Z214" s="172">
        <f ca="1">(VLOOKUP(Z$72,INDIRECT($C$5&amp;"生成成长"),2))/((VLOOKUP($B214,INDIRECT($B$5&amp;"生成成长"),4))/(VLOOKUP(Z$72,INDIRECT($C$5&amp;"生成成长"),5))*(VLOOKUP($B$5,标准坦克设计!$B$24:$U$30,MATCH("对"&amp;LEFT($C$5,2)&amp;"输出",标准坦克设计!$B$23:$U$23,0)))*(VLOOKUP($B214,INDIRECT($B$5&amp;"生成成长"),3))*(VLOOKUP($B$5,标准坦克设计!$B$14:$K$20,9)/30))</f>
        <v>2.9300595555449163</v>
      </c>
      <c r="AA214" s="172">
        <f ca="1">(VLOOKUP(AA$72,INDIRECT($C$5&amp;"生成成长"),2))/((VLOOKUP($B214,INDIRECT($B$5&amp;"生成成长"),4))/(VLOOKUP(AA$72,INDIRECT($C$5&amp;"生成成长"),5))*(VLOOKUP($B$5,标准坦克设计!$B$24:$U$30,MATCH("对"&amp;LEFT($C$5,2)&amp;"输出",标准坦克设计!$B$23:$U$23,0)))*(VLOOKUP($B214,INDIRECT($B$5&amp;"生成成长"),3))*(VLOOKUP($B$5,标准坦克设计!$B$14:$K$20,9)/30))</f>
        <v>3.2258456156547677</v>
      </c>
      <c r="AB214" s="172">
        <f ca="1">(VLOOKUP(AB$72,INDIRECT($C$5&amp;"生成成长"),2))/((VLOOKUP($B214,INDIRECT($B$5&amp;"生成成长"),4))/(VLOOKUP(AB$72,INDIRECT($C$5&amp;"生成成长"),5))*(VLOOKUP($B$5,标准坦克设计!$B$24:$U$30,MATCH("对"&amp;LEFT($C$5,2)&amp;"输出",标准坦克设计!$B$23:$U$23,0)))*(VLOOKUP($B214,INDIRECT($B$5&amp;"生成成长"),3))*(VLOOKUP($B$5,标准坦克设计!$B$14:$K$20,9)/30))</f>
        <v>3.535852159423746</v>
      </c>
      <c r="AC214" s="172">
        <f ca="1">(VLOOKUP(AC$72,INDIRECT($C$5&amp;"生成成长"),2))/((VLOOKUP($B214,INDIRECT($B$5&amp;"生成成长"),4))/(VLOOKUP(AC$72,INDIRECT($C$5&amp;"生成成长"),5))*(VLOOKUP($B$5,标准坦克设计!$B$24:$U$30,MATCH("对"&amp;LEFT($C$5,2)&amp;"输出",标准坦克设计!$B$23:$U$23,0)))*(VLOOKUP($B214,INDIRECT($B$5&amp;"生成成长"),3))*(VLOOKUP($B$5,标准坦克设计!$B$14:$K$20,9)/30))</f>
        <v>3.860079186851852</v>
      </c>
      <c r="AD214" s="172">
        <f ca="1">(VLOOKUP(AD$72,INDIRECT($C$5&amp;"生成成长"),2))/((VLOOKUP($B214,INDIRECT($B$5&amp;"生成成长"),4))/(VLOOKUP(AD$72,INDIRECT($C$5&amp;"生成成长"),5))*(VLOOKUP($B$5,标准坦克设计!$B$24:$U$30,MATCH("对"&amp;LEFT($C$5,2)&amp;"输出",标准坦克设计!$B$23:$U$23,0)))*(VLOOKUP($B214,INDIRECT($B$5&amp;"生成成长"),3))*(VLOOKUP($B$5,标准坦克设计!$B$14:$K$20,9)/30))</f>
        <v>4.1985266979390854</v>
      </c>
      <c r="AE214" s="172">
        <f ca="1">(VLOOKUP(AE$72,INDIRECT($C$5&amp;"生成成长"),2))/((VLOOKUP($B214,INDIRECT($B$5&amp;"生成成长"),4))/(VLOOKUP(AE$72,INDIRECT($C$5&amp;"生成成长"),5))*(VLOOKUP($B$5,标准坦克设计!$B$24:$U$30,MATCH("对"&amp;LEFT($C$5,2)&amp;"输出",标准坦克设计!$B$23:$U$23,0)))*(VLOOKUP($B214,INDIRECT($B$5&amp;"生成成长"),3))*(VLOOKUP($B$5,标准坦克设计!$B$14:$K$20,9)/30))</f>
        <v>4.5511946926854465</v>
      </c>
      <c r="AF214" s="172">
        <f ca="1">(VLOOKUP(AF$72,INDIRECT($C$5&amp;"生成成长"),2))/((VLOOKUP($B214,INDIRECT($B$5&amp;"生成成长"),4))/(VLOOKUP(AF$72,INDIRECT($C$5&amp;"生成成长"),5))*(VLOOKUP($B$5,标准坦克设计!$B$24:$U$30,MATCH("对"&amp;LEFT($C$5,2)&amp;"输出",标准坦克设计!$B$23:$U$23,0)))*(VLOOKUP($B214,INDIRECT($B$5&amp;"生成成长"),3))*(VLOOKUP($B$5,标准坦克设计!$B$14:$K$20,9)/30))</f>
        <v>4.9180831710909354</v>
      </c>
      <c r="AG214" s="172">
        <f ca="1">(VLOOKUP(AG$72,INDIRECT($C$5&amp;"生成成长"),2))/((VLOOKUP($B214,INDIRECT($B$5&amp;"生成成长"),4))/(VLOOKUP(AG$72,INDIRECT($C$5&amp;"生成成长"),5))*(VLOOKUP($B$5,标准坦克设计!$B$24:$U$30,MATCH("对"&amp;LEFT($C$5,2)&amp;"输出",标准坦克设计!$B$23:$U$23,0)))*(VLOOKUP($B214,INDIRECT($B$5&amp;"生成成长"),3))*(VLOOKUP($B$5,标准坦克设计!$B$14:$K$20,9)/30))</f>
        <v>5.2991921331555512</v>
      </c>
      <c r="AH214" s="172">
        <f ca="1">(VLOOKUP(AH$72,INDIRECT($C$5&amp;"生成成长"),2))/((VLOOKUP($B214,INDIRECT($B$5&amp;"生成成长"),4))/(VLOOKUP(AH$72,INDIRECT($C$5&amp;"生成成长"),5))*(VLOOKUP($B$5,标准坦克设计!$B$24:$U$30,MATCH("对"&amp;LEFT($C$5,2)&amp;"输出",标准坦克设计!$B$23:$U$23,0)))*(VLOOKUP($B214,INDIRECT($B$5&amp;"生成成长"),3))*(VLOOKUP($B$5,标准坦克设计!$B$14:$K$20,9)/30))</f>
        <v>5.6945215788792938</v>
      </c>
      <c r="AI214" s="172">
        <f ca="1">(VLOOKUP(AI$72,INDIRECT($C$5&amp;"生成成长"),2))/((VLOOKUP($B214,INDIRECT($B$5&amp;"生成成长"),4))/(VLOOKUP(AI$72,INDIRECT($C$5&amp;"生成成长"),5))*(VLOOKUP($B$5,标准坦克设计!$B$24:$U$30,MATCH("对"&amp;LEFT($C$5,2)&amp;"输出",标准坦克设计!$B$23:$U$23,0)))*(VLOOKUP($B214,INDIRECT($B$5&amp;"生成成长"),3))*(VLOOKUP($B$5,标准坦克设计!$B$14:$K$20,9)/30))</f>
        <v>4.0275253819380783</v>
      </c>
      <c r="AJ214" s="172">
        <f ca="1">(VLOOKUP(AJ$72,INDIRECT($C$5&amp;"生成成长"),2))/((VLOOKUP($B214,INDIRECT($B$5&amp;"生成成长"),4))/(VLOOKUP(AJ$72,INDIRECT($C$5&amp;"生成成长"),5))*(VLOOKUP($B$5,标准坦克设计!$B$24:$U$30,MATCH("对"&amp;LEFT($C$5,2)&amp;"输出",标准坦克设计!$B$23:$U$23,0)))*(VLOOKUP($B214,INDIRECT($B$5&amp;"生成成长"),3))*(VLOOKUP($B$5,标准坦克设计!$B$14:$K$20,9)/30))</f>
        <v>4.4084210367478054</v>
      </c>
      <c r="AK214" s="172">
        <f ca="1">(VLOOKUP(AK$72,INDIRECT($C$5&amp;"生成成长"),2))/((VLOOKUP($B214,INDIRECT($B$5&amp;"生成成长"),4))/(VLOOKUP(AK$72,INDIRECT($C$5&amp;"生成成长"),5))*(VLOOKUP($B$5,标准坦克设计!$B$24:$U$30,MATCH("对"&amp;LEFT($C$5,2)&amp;"输出",标准坦克设计!$B$23:$U$23,0)))*(VLOOKUP($B214,INDIRECT($B$5&amp;"生成成长"),3))*(VLOOKUP($B$5,标准坦克设计!$B$14:$K$20,9)/30))</f>
        <v>4.8065234767850802</v>
      </c>
      <c r="AL214" s="172">
        <f ca="1">(VLOOKUP(AL$72,INDIRECT($C$5&amp;"生成成长"),2))/((VLOOKUP($B214,INDIRECT($B$5&amp;"生成成长"),4))/(VLOOKUP(AL$72,INDIRECT($C$5&amp;"生成成长"),5))*(VLOOKUP($B$5,标准坦克设计!$B$24:$U$30,MATCH("对"&amp;LEFT($C$5,2)&amp;"输出",标准坦克设计!$B$23:$U$23,0)))*(VLOOKUP($B214,INDIRECT($B$5&amp;"生成成长"),3))*(VLOOKUP($B$5,标准坦克设计!$B$14:$K$20,9)/30))</f>
        <v>5.2218327020498965</v>
      </c>
      <c r="AM214" s="172">
        <f ca="1">(VLOOKUP(AM$72,INDIRECT($C$5&amp;"生成成长"),2))/((VLOOKUP($B214,INDIRECT($B$5&amp;"生成成长"),4))/(VLOOKUP(AM$72,INDIRECT($C$5&amp;"生成成长"),5))*(VLOOKUP($B$5,标准坦克设计!$B$24:$U$30,MATCH("对"&amp;LEFT($C$5,2)&amp;"输出",标准坦克设计!$B$23:$U$23,0)))*(VLOOKUP($B214,INDIRECT($B$5&amp;"生成成长"),3))*(VLOOKUP($B$5,标准坦克设计!$B$14:$K$20,9)/30))</f>
        <v>5.6543487125422596</v>
      </c>
      <c r="AN214" s="172">
        <f ca="1">(VLOOKUP(AN$72,INDIRECT($C$5&amp;"生成成长"),2))/((VLOOKUP($B214,INDIRECT($B$5&amp;"生成成长"),4))/(VLOOKUP(AN$72,INDIRECT($C$5&amp;"生成成长"),5))*(VLOOKUP($B$5,标准坦克设计!$B$24:$U$30,MATCH("对"&amp;LEFT($C$5,2)&amp;"输出",标准坦克设计!$B$23:$U$23,0)))*(VLOOKUP($B214,INDIRECT($B$5&amp;"生成成长"),3))*(VLOOKUP($B$5,标准坦克设计!$B$14:$K$20,9)/30))</f>
        <v>6.104071508262165</v>
      </c>
      <c r="AO214" s="172">
        <f ca="1">(VLOOKUP(AO$72,INDIRECT($C$5&amp;"生成成长"),2))/((VLOOKUP($B214,INDIRECT($B$5&amp;"生成成长"),4))/(VLOOKUP(AO$72,INDIRECT($C$5&amp;"生成成长"),5))*(VLOOKUP($B$5,标准坦克设计!$B$24:$U$30,MATCH("对"&amp;LEFT($C$5,2)&amp;"输出",标准坦克设计!$B$23:$U$23,0)))*(VLOOKUP($B214,INDIRECT($B$5&amp;"生成成长"),3))*(VLOOKUP($B$5,标准坦克设计!$B$14:$K$20,9)/30))</f>
        <v>6.5710010892096138</v>
      </c>
      <c r="AP214" s="172">
        <f ca="1">(VLOOKUP(AP$72,INDIRECT($C$5&amp;"生成成长"),2))/((VLOOKUP($B214,INDIRECT($B$5&amp;"生成成长"),4))/(VLOOKUP(AP$72,INDIRECT($C$5&amp;"生成成长"),5))*(VLOOKUP($B$5,标准坦克设计!$B$24:$U$30,MATCH("对"&amp;LEFT($C$5,2)&amp;"输出",标准坦克设计!$B$23:$U$23,0)))*(VLOOKUP($B214,INDIRECT($B$5&amp;"生成成长"),3))*(VLOOKUP($B$5,标准坦克设计!$B$14:$K$20,9)/30))</f>
        <v>7.0551374553846085</v>
      </c>
      <c r="AQ214" s="172">
        <f ca="1">(VLOOKUP(AQ$72,INDIRECT($C$5&amp;"生成成长"),2))/((VLOOKUP($B214,INDIRECT($B$5&amp;"生成成长"),4))/(VLOOKUP(AQ$72,INDIRECT($C$5&amp;"生成成长"),5))*(VLOOKUP($B$5,标准坦克设计!$B$24:$U$30,MATCH("对"&amp;LEFT($C$5,2)&amp;"输出",标准坦克设计!$B$23:$U$23,0)))*(VLOOKUP($B214,INDIRECT($B$5&amp;"生成成长"),3))*(VLOOKUP($B$5,标准坦克设计!$B$14:$K$20,9)/30))</f>
        <v>7.5564806067871464</v>
      </c>
      <c r="AR214" s="172">
        <f ca="1">(VLOOKUP(AR$72,INDIRECT($C$5&amp;"生成成长"),2))/((VLOOKUP($B214,INDIRECT($B$5&amp;"生成成长"),4))/(VLOOKUP(AR$72,INDIRECT($C$5&amp;"生成成长"),5))*(VLOOKUP($B$5,标准坦克设计!$B$24:$U$30,MATCH("对"&amp;LEFT($C$5,2)&amp;"输出",标准坦克设计!$B$23:$U$23,0)))*(VLOOKUP($B214,INDIRECT($B$5&amp;"生成成长"),3))*(VLOOKUP($B$5,标准坦克设计!$B$14:$K$20,9)/30))</f>
        <v>8.0750305434172311</v>
      </c>
      <c r="AS214" s="172">
        <f ca="1">(VLOOKUP(AS$72,INDIRECT($C$5&amp;"生成成长"),2))/((VLOOKUP($B214,INDIRECT($B$5&amp;"生成成长"),4))/(VLOOKUP(AS$72,INDIRECT($C$5&amp;"生成成长"),5))*(VLOOKUP($B$5,标准坦克设计!$B$24:$U$30,MATCH("对"&amp;LEFT($C$5,2)&amp;"输出",标准坦克设计!$B$23:$U$23,0)))*(VLOOKUP($B214,INDIRECT($B$5&amp;"生成成长"),3))*(VLOOKUP($B$5,标准坦克设计!$B$14:$K$20,9)/30))</f>
        <v>8.6107872652748565</v>
      </c>
      <c r="AT214" s="172">
        <f ca="1">(VLOOKUP(AT$72,INDIRECT($C$5&amp;"生成成长"),2))/((VLOOKUP($B214,INDIRECT($B$5&amp;"生成成长"),4))/(VLOOKUP(AT$72,INDIRECT($C$5&amp;"生成成长"),5))*(VLOOKUP($B$5,标准坦克设计!$B$24:$U$30,MATCH("对"&amp;LEFT($C$5,2)&amp;"输出",标准坦克设计!$B$23:$U$23,0)))*(VLOOKUP($B214,INDIRECT($B$5&amp;"生成成长"),3))*(VLOOKUP($B$5,标准坦克设计!$B$14:$K$20,9)/30))</f>
        <v>9.1637507723600287</v>
      </c>
      <c r="AU214" s="172">
        <f ca="1">(VLOOKUP(AU$72,INDIRECT($C$5&amp;"生成成长"),2))/((VLOOKUP($B214,INDIRECT($B$5&amp;"生成成长"),4))/(VLOOKUP(AU$72,INDIRECT($C$5&amp;"生成成长"),5))*(VLOOKUP($B$5,标准坦克设计!$B$24:$U$30,MATCH("对"&amp;LEFT($C$5,2)&amp;"输出",标准坦克设计!$B$23:$U$23,0)))*(VLOOKUP($B214,INDIRECT($B$5&amp;"生成成长"),3))*(VLOOKUP($B$5,标准坦克设计!$B$14:$K$20,9)/30))</f>
        <v>9.7339210646727423</v>
      </c>
      <c r="AV214" s="172">
        <f ca="1">(VLOOKUP(AV$72,INDIRECT($C$5&amp;"生成成长"),2))/((VLOOKUP($B214,INDIRECT($B$5&amp;"生成成长"),4))/(VLOOKUP(AV$72,INDIRECT($C$5&amp;"生成成长"),5))*(VLOOKUP($B$5,标准坦克设计!$B$24:$U$30,MATCH("对"&amp;LEFT($C$5,2)&amp;"输出",标准坦克设计!$B$23:$U$23,0)))*(VLOOKUP($B214,INDIRECT($B$5&amp;"生成成长"),3))*(VLOOKUP($B$5,标准坦克设计!$B$14:$K$20,9)/30))</f>
        <v>0.9900300723484533</v>
      </c>
      <c r="AW214" s="172">
        <f ca="1">(VLOOKUP(AW$72,INDIRECT($C$5&amp;"生成成长"),2))/((VLOOKUP($B214,INDIRECT($B$5&amp;"生成成长"),4))/(VLOOKUP(AW$72,INDIRECT($C$5&amp;"生成成长"),5))*(VLOOKUP($B$5,标准坦克设计!$B$24:$U$30,MATCH("对"&amp;LEFT($C$5,2)&amp;"输出",标准坦克设计!$B$23:$U$23,0)))*(VLOOKUP($B214,INDIRECT($B$5&amp;"生成成长"),3))*(VLOOKUP($B$5,标准坦克设计!$B$14:$K$20,9)/30))</f>
        <v>1.1288219928615373</v>
      </c>
      <c r="AX214" s="172">
        <f ca="1">(VLOOKUP(AX$72,INDIRECT($C$5&amp;"生成成长"),2))/((VLOOKUP($B214,INDIRECT($B$5&amp;"生成成长"),4))/(VLOOKUP(AX$72,INDIRECT($C$5&amp;"生成成长"),5))*(VLOOKUP($B$5,标准坦克设计!$B$24:$U$30,MATCH("对"&amp;LEFT($C$5,2)&amp;"输出",标准坦克设计!$B$23:$U$23,0)))*(VLOOKUP($B214,INDIRECT($B$5&amp;"生成成长"),3))*(VLOOKUP($B$5,标准坦克设计!$B$14:$K$20,9)/30))</f>
        <v>1.2767150229164628</v>
      </c>
      <c r="AY214" s="172">
        <f ca="1">(VLOOKUP(AY$72,INDIRECT($C$5&amp;"生成成长"),2))/((VLOOKUP($B214,INDIRECT($B$5&amp;"生成成长"),4))/(VLOOKUP(AY$72,INDIRECT($C$5&amp;"生成成长"),5))*(VLOOKUP($B$5,标准坦克设计!$B$24:$U$30,MATCH("对"&amp;LEFT($C$5,2)&amp;"输出",标准坦克设计!$B$23:$U$23,0)))*(VLOOKUP($B214,INDIRECT($B$5&amp;"生成成长"),3))*(VLOOKUP($B$5,标准坦克设计!$B$14:$K$20,9)/30))</f>
        <v>1.4337091625132301</v>
      </c>
      <c r="AZ214" s="172">
        <f ca="1">(VLOOKUP(AZ$72,INDIRECT($C$5&amp;"生成成长"),2))/((VLOOKUP($B214,INDIRECT($B$5&amp;"生成成长"),4))/(VLOOKUP(AZ$72,INDIRECT($C$5&amp;"生成成长"),5))*(VLOOKUP($B$5,标准坦克设计!$B$24:$U$30,MATCH("对"&amp;LEFT($C$5,2)&amp;"输出",标准坦克设计!$B$23:$U$23,0)))*(VLOOKUP($B214,INDIRECT($B$5&amp;"生成成长"),3))*(VLOOKUP($B$5,标准坦克设计!$B$14:$K$20,9)/30))</f>
        <v>1.5998044116518388</v>
      </c>
      <c r="BA214" s="172">
        <f ca="1">(VLOOKUP(BA$72,INDIRECT($C$5&amp;"生成成长"),2))/((VLOOKUP($B214,INDIRECT($B$5&amp;"生成成长"),4))/(VLOOKUP(BA$72,INDIRECT($C$5&amp;"生成成长"),5))*(VLOOKUP($B$5,标准坦克设计!$B$24:$U$30,MATCH("对"&amp;LEFT($C$5,2)&amp;"输出",标准坦克设计!$B$23:$U$23,0)))*(VLOOKUP($B214,INDIRECT($B$5&amp;"生成成长"),3))*(VLOOKUP($B$5,标准坦克设计!$B$14:$K$20,9)/30))</f>
        <v>1.775000770332289</v>
      </c>
      <c r="BB214" s="172">
        <f ca="1">(VLOOKUP(BB$72,INDIRECT($C$5&amp;"生成成长"),2))/((VLOOKUP($B214,INDIRECT($B$5&amp;"生成成长"),4))/(VLOOKUP(BB$72,INDIRECT($C$5&amp;"生成成长"),5))*(VLOOKUP($B$5,标准坦克设计!$B$24:$U$30,MATCH("对"&amp;LEFT($C$5,2)&amp;"输出",标准坦克设计!$B$23:$U$23,0)))*(VLOOKUP($B214,INDIRECT($B$5&amp;"生成成长"),3))*(VLOOKUP($B$5,标准坦克设计!$B$14:$K$20,9)/30))</f>
        <v>1.9592982385545807</v>
      </c>
      <c r="BC214" s="172">
        <f ca="1">(VLOOKUP(BC$72,INDIRECT($C$5&amp;"生成成长"),2))/((VLOOKUP($B214,INDIRECT($B$5&amp;"生成成长"),4))/(VLOOKUP(BC$72,INDIRECT($C$5&amp;"生成成长"),5))*(VLOOKUP($B$5,标准坦克设计!$B$24:$U$30,MATCH("对"&amp;LEFT($C$5,2)&amp;"输出",标准坦克设计!$B$23:$U$23,0)))*(VLOOKUP($B214,INDIRECT($B$5&amp;"生成成长"),3))*(VLOOKUP($B$5,标准坦克设计!$B$14:$K$20,9)/30))</f>
        <v>2.1526968163187141</v>
      </c>
      <c r="BD214" s="172">
        <f ca="1">(VLOOKUP(BD$72,INDIRECT($C$5&amp;"生成成长"),2))/((VLOOKUP($B214,INDIRECT($B$5&amp;"生成成长"),4))/(VLOOKUP(BD$72,INDIRECT($C$5&amp;"生成成长"),5))*(VLOOKUP($B$5,标准坦克设计!$B$24:$U$30,MATCH("对"&amp;LEFT($C$5,2)&amp;"输出",标准坦克设计!$B$23:$U$23,0)))*(VLOOKUP($B214,INDIRECT($B$5&amp;"生成成长"),3))*(VLOOKUP($B$5,标准坦克设计!$B$14:$K$20,9)/30))</f>
        <v>2.3811488863025967</v>
      </c>
      <c r="BE214" s="172">
        <f ca="1">(VLOOKUP(BE$72,INDIRECT($C$5&amp;"生成成长"),2))/((VLOOKUP($B214,INDIRECT($B$5&amp;"生成成长"),4))/(VLOOKUP(BE$72,INDIRECT($C$5&amp;"生成成长"),5))*(VLOOKUP($B$5,标准坦克设计!$B$24:$U$30,MATCH("对"&amp;LEFT($C$5,2)&amp;"输出",标准坦克设计!$B$23:$U$23,0)))*(VLOOKUP($B214,INDIRECT($B$5&amp;"生成成长"),3))*(VLOOKUP($B$5,标准坦克设计!$B$14:$K$20,9)/30))</f>
        <v>2.6211195480503724</v>
      </c>
      <c r="BF214" s="172">
        <f ca="1">(VLOOKUP(BF$72,INDIRECT($C$5&amp;"生成成长"),2))/((VLOOKUP($B214,INDIRECT($B$5&amp;"生成成长"),4))/(VLOOKUP(BF$72,INDIRECT($C$5&amp;"生成成长"),5))*(VLOOKUP($B$5,标准坦克设计!$B$24:$U$30,MATCH("对"&amp;LEFT($C$5,2)&amp;"输出",标准坦克设计!$B$23:$U$23,0)))*(VLOOKUP($B214,INDIRECT($B$5&amp;"生成成长"),3))*(VLOOKUP($B$5,标准坦克设计!$B$14:$K$20,9)/30))</f>
        <v>2.8726088015620421</v>
      </c>
      <c r="BG214" s="172">
        <f ca="1">(VLOOKUP(BG$72,INDIRECT($C$5&amp;"生成成长"),2))/((VLOOKUP($B214,INDIRECT($B$5&amp;"生成成长"),4))/(VLOOKUP(BG$72,INDIRECT($C$5&amp;"生成成长"),5))*(VLOOKUP($B$5,标准坦克设计!$B$24:$U$30,MATCH("对"&amp;LEFT($C$5,2)&amp;"输出",标准坦克设计!$B$23:$U$23,0)))*(VLOOKUP($B214,INDIRECT($B$5&amp;"生成成长"),3))*(VLOOKUP($B$5,标准坦克设计!$B$14:$K$20,9)/30))</f>
        <v>3.1356166468376041</v>
      </c>
      <c r="BH214" s="172">
        <f ca="1">(VLOOKUP(BH$72,INDIRECT($C$5&amp;"生成成长"),2))/((VLOOKUP($B214,INDIRECT($B$5&amp;"生成成长"),4))/(VLOOKUP(BH$72,INDIRECT($C$5&amp;"生成成长"),5))*(VLOOKUP($B$5,标准坦克设计!$B$24:$U$30,MATCH("对"&amp;LEFT($C$5,2)&amp;"输出",标准坦克设计!$B$23:$U$23,0)))*(VLOOKUP($B214,INDIRECT($B$5&amp;"生成成长"),3))*(VLOOKUP($B$5,标准坦克设计!$B$14:$K$20,9)/30))</f>
        <v>1.515619148389804</v>
      </c>
      <c r="BI214" s="172">
        <f ca="1">(VLOOKUP(BI$72,INDIRECT($C$5&amp;"生成成长"),2))/((VLOOKUP($B214,INDIRECT($B$5&amp;"生成成长"),4))/(VLOOKUP(BI$72,INDIRECT($C$5&amp;"生成成长"),5))*(VLOOKUP($B$5,标准坦克设计!$B$24:$U$30,MATCH("对"&amp;LEFT($C$5,2)&amp;"输出",标准坦克设计!$B$23:$U$23,0)))*(VLOOKUP($B214,INDIRECT($B$5&amp;"生成成长"),3))*(VLOOKUP($B$5,标准坦克设计!$B$14:$K$20,9)/30))</f>
        <v>1.7082355995526857</v>
      </c>
      <c r="BJ214" s="172">
        <f ca="1">(VLOOKUP(BJ$72,INDIRECT($C$5&amp;"生成成长"),2))/((VLOOKUP($B214,INDIRECT($B$5&amp;"生成成长"),4))/(VLOOKUP(BJ$72,INDIRECT($C$5&amp;"生成成长"),5))*(VLOOKUP($B$5,标准坦克设计!$B$24:$U$30,MATCH("对"&amp;LEFT($C$5,2)&amp;"输出",标准坦克设计!$B$23:$U$23,0)))*(VLOOKUP($B214,INDIRECT($B$5&amp;"生成成长"),3))*(VLOOKUP($B$5,标准坦克设计!$B$14:$K$20,9)/30))</f>
        <v>1.91237064247946</v>
      </c>
      <c r="BK214" s="172">
        <f ca="1">(VLOOKUP(BK$72,INDIRECT($C$5&amp;"生成成长"),2))/((VLOOKUP($B214,INDIRECT($B$5&amp;"生成成长"),4))/(VLOOKUP(BK$72,INDIRECT($C$5&amp;"生成成长"),5))*(VLOOKUP($B$5,标准坦克设计!$B$24:$U$30,MATCH("对"&amp;LEFT($C$5,2)&amp;"输出",标准坦克设计!$B$23:$U$23,0)))*(VLOOKUP($B214,INDIRECT($B$5&amp;"生成成长"),3))*(VLOOKUP($B$5,标准坦克设计!$B$14:$K$20,9)/30))</f>
        <v>2.1280242771701281</v>
      </c>
      <c r="BL214" s="172">
        <f ca="1">(VLOOKUP(BL$72,INDIRECT($C$5&amp;"生成成长"),2))/((VLOOKUP($B214,INDIRECT($B$5&amp;"生成成长"),4))/(VLOOKUP(BL$72,INDIRECT($C$5&amp;"生成成长"),5))*(VLOOKUP($B$5,标准坦克设计!$B$24:$U$30,MATCH("对"&amp;LEFT($C$5,2)&amp;"输出",标准坦克设计!$B$23:$U$23,0)))*(VLOOKUP($B214,INDIRECT($B$5&amp;"生成成长"),3))*(VLOOKUP($B$5,标准坦克设计!$B$14:$K$20,9)/30))</f>
        <v>2.3551965036246889</v>
      </c>
      <c r="BM214" s="172">
        <f ca="1">(VLOOKUP(BM$72,INDIRECT($C$5&amp;"生成成长"),2))/((VLOOKUP($B214,INDIRECT($B$5&amp;"生成成长"),4))/(VLOOKUP(BM$72,INDIRECT($C$5&amp;"生成成长"),5))*(VLOOKUP($B$5,标准坦克设计!$B$24:$U$30,MATCH("对"&amp;LEFT($C$5,2)&amp;"输出",标准坦克设计!$B$23:$U$23,0)))*(VLOOKUP($B214,INDIRECT($B$5&amp;"生成成长"),3))*(VLOOKUP($B$5,标准坦克设计!$B$14:$K$20,9)/30))</f>
        <v>2.5938873218431429</v>
      </c>
      <c r="BN214" s="172">
        <f ca="1">(VLOOKUP(BN$72,INDIRECT($C$5&amp;"生成成长"),2))/((VLOOKUP($B214,INDIRECT($B$5&amp;"生成成长"),4))/(VLOOKUP(BN$72,INDIRECT($C$5&amp;"生成成长"),5))*(VLOOKUP($B$5,标准坦克设计!$B$24:$U$30,MATCH("对"&amp;LEFT($C$5,2)&amp;"输出",标准坦克设计!$B$23:$U$23,0)))*(VLOOKUP($B214,INDIRECT($B$5&amp;"生成成长"),3))*(VLOOKUP($B$5,标准坦克设计!$B$14:$K$20,9)/30))</f>
        <v>2.8440967318254908</v>
      </c>
      <c r="BO214" s="172">
        <f ca="1">(VLOOKUP(BO$72,INDIRECT($C$5&amp;"生成成长"),2))/((VLOOKUP($B214,INDIRECT($B$5&amp;"生成成长"),4))/(VLOOKUP(BO$72,INDIRECT($C$5&amp;"生成成长"),5))*(VLOOKUP($B$5,标准坦克设计!$B$24:$U$30,MATCH("对"&amp;LEFT($C$5,2)&amp;"输出",标准坦克设计!$B$23:$U$23,0)))*(VLOOKUP($B214,INDIRECT($B$5&amp;"生成成长"),3))*(VLOOKUP($B$5,标准坦克设计!$B$14:$K$20,9)/30))</f>
        <v>3.1058247335717324</v>
      </c>
      <c r="BP214" s="172">
        <f ca="1">(VLOOKUP(BP$72,INDIRECT($C$5&amp;"生成成长"),2))/((VLOOKUP($B214,INDIRECT($B$5&amp;"生成成长"),4))/(VLOOKUP(BP$72,INDIRECT($C$5&amp;"生成成长"),5))*(VLOOKUP($B$5,标准坦克设计!$B$24:$U$30,MATCH("对"&amp;LEFT($C$5,2)&amp;"输出",标准坦克设计!$B$23:$U$23,0)))*(VLOOKUP($B214,INDIRECT($B$5&amp;"生成成长"),3))*(VLOOKUP($B$5,标准坦克设计!$B$14:$K$20,9)/30))</f>
        <v>3.3790713270818657</v>
      </c>
      <c r="BQ214" s="172">
        <f ca="1">(VLOOKUP(BQ$72,INDIRECT($C$5&amp;"生成成长"),2))/((VLOOKUP($B214,INDIRECT($B$5&amp;"生成成长"),4))/(VLOOKUP(BQ$72,INDIRECT($C$5&amp;"生成成长"),5))*(VLOOKUP($B$5,标准坦克设计!$B$24:$U$30,MATCH("对"&amp;LEFT($C$5,2)&amp;"输出",标准坦克设计!$B$23:$U$23,0)))*(VLOOKUP($B214,INDIRECT($B$5&amp;"生成成长"),3))*(VLOOKUP($B$5,标准坦克设计!$B$14:$K$20,9)/30))</f>
        <v>3.6638365123558936</v>
      </c>
      <c r="BR214" s="172">
        <f ca="1">(VLOOKUP(BR$72,INDIRECT($C$5&amp;"生成成长"),2))/((VLOOKUP($B214,INDIRECT($B$5&amp;"生成成长"),4))/(VLOOKUP(BR$72,INDIRECT($C$5&amp;"生成成长"),5))*(VLOOKUP($B$5,标准坦克设计!$B$24:$U$30,MATCH("对"&amp;LEFT($C$5,2)&amp;"输出",标准坦克设计!$B$23:$U$23,0)))*(VLOOKUP($B214,INDIRECT($B$5&amp;"生成成长"),3))*(VLOOKUP($B$5,标准坦克设计!$B$14:$K$20,9)/30))</f>
        <v>3.9937517332476502</v>
      </c>
      <c r="BS214" s="172">
        <f ca="1">(VLOOKUP(BS$72,INDIRECT($C$5&amp;"生成成长"),2))/((VLOOKUP($B214,INDIRECT($B$5&amp;"生成成长"),4))/(VLOOKUP(BS$72,INDIRECT($C$5&amp;"生成成长"),5))*(VLOOKUP($B$5,标准坦克设计!$B$24:$U$30,MATCH("对"&amp;LEFT($C$5,2)&amp;"输出",标准坦克设计!$B$23:$U$23,0)))*(VLOOKUP($B214,INDIRECT($B$5&amp;"生成成长"),3))*(VLOOKUP($B$5,标准坦克设计!$B$14:$K$20,9)/30))</f>
        <v>4.3378874377985355</v>
      </c>
      <c r="BT214" s="172">
        <f ca="1">(VLOOKUP(BT$72,INDIRECT($C$5&amp;"生成成长"),2))/((VLOOKUP($B214,INDIRECT($B$5&amp;"生成成长"),4))/(VLOOKUP(BT$72,INDIRECT($C$5&amp;"生成成长"),5))*(VLOOKUP($B$5,标准坦克设计!$B$24:$U$30,MATCH("对"&amp;LEFT($C$5,2)&amp;"输出",标准坦克设计!$B$23:$U$23,0)))*(VLOOKUP($B214,INDIRECT($B$5&amp;"生成成长"),3))*(VLOOKUP($B$5,标准坦克设计!$B$14:$K$20,9)/30))</f>
        <v>4.6962436260085463</v>
      </c>
      <c r="BU214" s="172">
        <f ca="1">(VLOOKUP(BU$72,INDIRECT($C$5&amp;"生成成长"),2))/((VLOOKUP($B214,INDIRECT($B$5&amp;"生成成长"),4))/(VLOOKUP(BU$72,INDIRECT($C$5&amp;"生成成长"),5))*(VLOOKUP($B$5,标准坦克设计!$B$24:$U$30,MATCH("对"&amp;LEFT($C$5,2)&amp;"输出",标准坦克设计!$B$23:$U$23,0)))*(VLOOKUP($B214,INDIRECT($B$5&amp;"生成成长"),3))*(VLOOKUP($B$5,标准坦克设计!$B$14:$K$20,9)/30))</f>
        <v>5.0688202978776857</v>
      </c>
      <c r="BV214" s="172">
        <f ca="1">(VLOOKUP(BV$72,INDIRECT($C$5&amp;"生成成长"),2))/((VLOOKUP($B214,INDIRECT($B$5&amp;"生成成长"),4))/(VLOOKUP(BV$72,INDIRECT($C$5&amp;"生成成长"),5))*(VLOOKUP($B$5,标准坦克设计!$B$24:$U$30,MATCH("对"&amp;LEFT($C$5,2)&amp;"输出",标准坦克设计!$B$23:$U$23,0)))*(VLOOKUP($B214,INDIRECT($B$5&amp;"生成成长"),3))*(VLOOKUP($B$5,标准坦克设计!$B$14:$K$20,9)/30))</f>
        <v>5.4556174534059521</v>
      </c>
      <c r="BW214" s="172">
        <f ca="1">(VLOOKUP(BW$72,INDIRECT($C$5&amp;"生成成长"),2))/((VLOOKUP($B214,INDIRECT($B$5&amp;"生成成长"),4))/(VLOOKUP(BW$72,INDIRECT($C$5&amp;"生成成长"),5))*(VLOOKUP($B$5,标准坦克设计!$B$24:$U$30,MATCH("对"&amp;LEFT($C$5,2)&amp;"输出",标准坦克设计!$B$23:$U$23,0)))*(VLOOKUP($B214,INDIRECT($B$5&amp;"生成成长"),3))*(VLOOKUP($B$5,标准坦克设计!$B$14:$K$20,9)/30))</f>
        <v>2.4863804653801402</v>
      </c>
      <c r="BX214" s="172">
        <f ca="1">(VLOOKUP(BX$72,INDIRECT($C$5&amp;"生成成长"),2))/((VLOOKUP($B214,INDIRECT($B$5&amp;"生成成长"),4))/(VLOOKUP(BX$72,INDIRECT($C$5&amp;"生成成长"),5))*(VLOOKUP($B$5,标准坦克设计!$B$24:$U$30,MATCH("对"&amp;LEFT($C$5,2)&amp;"输出",标准坦克设计!$B$23:$U$23,0)))*(VLOOKUP($B214,INDIRECT($B$5&amp;"生成成长"),3))*(VLOOKUP($B$5,标准坦克设计!$B$14:$K$20,9)/30))</f>
        <v>2.7594137516353867</v>
      </c>
      <c r="BY214" s="172">
        <f ca="1">(VLOOKUP(BY$72,INDIRECT($C$5&amp;"生成成长"),2))/((VLOOKUP($B214,INDIRECT($B$5&amp;"生成成长"),4))/(VLOOKUP(BY$72,INDIRECT($C$5&amp;"生成成长"),5))*(VLOOKUP($B$5,标准坦克设计!$B$24:$U$30,MATCH("对"&amp;LEFT($C$5,2)&amp;"输出",标准坦克设计!$B$23:$U$23,0)))*(VLOOKUP($B214,INDIRECT($B$5&amp;"生成成长"),3))*(VLOOKUP($B$5,标准坦克设计!$B$14:$K$20,9)/30))</f>
        <v>3.0466675215497614</v>
      </c>
      <c r="BZ214" s="172">
        <f ca="1">(VLOOKUP(BZ$72,INDIRECT($C$5&amp;"生成成长"),2))/((VLOOKUP($B214,INDIRECT($B$5&amp;"生成成长"),4))/(VLOOKUP(BZ$72,INDIRECT($C$5&amp;"生成成长"),5))*(VLOOKUP($B$5,标准坦克设计!$B$24:$U$30,MATCH("对"&amp;LEFT($C$5,2)&amp;"输出",标准坦克设计!$B$23:$U$23,0)))*(VLOOKUP($B214,INDIRECT($B$5&amp;"生成成长"),3))*(VLOOKUP($B$5,标准坦克设计!$B$14:$K$20,9)/30))</f>
        <v>3.3481417751232634</v>
      </c>
      <c r="CA214" s="172">
        <f ca="1">(VLOOKUP(CA$72,INDIRECT($C$5&amp;"生成成长"),2))/((VLOOKUP($B214,INDIRECT($B$5&amp;"生成成长"),4))/(VLOOKUP(CA$72,INDIRECT($C$5&amp;"生成成长"),5))*(VLOOKUP($B$5,标准坦克设计!$B$24:$U$30,MATCH("对"&amp;LEFT($C$5,2)&amp;"输出",标准坦克设计!$B$23:$U$23,0)))*(VLOOKUP($B214,INDIRECT($B$5&amp;"生成成长"),3))*(VLOOKUP($B$5,标准坦克设计!$B$14:$K$20,9)/30))</f>
        <v>3.6638365123558936</v>
      </c>
      <c r="CB214" s="172">
        <f ca="1">(VLOOKUP(CB$72,INDIRECT($C$5&amp;"生成成长"),2))/((VLOOKUP($B214,INDIRECT($B$5&amp;"生成成长"),4))/(VLOOKUP(CB$72,INDIRECT($C$5&amp;"生成成长"),5))*(VLOOKUP($B$5,标准坦克设计!$B$24:$U$30,MATCH("对"&amp;LEFT($C$5,2)&amp;"输出",标准坦克设计!$B$23:$U$23,0)))*(VLOOKUP($B214,INDIRECT($B$5&amp;"生成成长"),3))*(VLOOKUP($B$5,标准坦克设计!$B$14:$K$20,9)/30))</f>
        <v>3.9937517332476502</v>
      </c>
      <c r="CC214" s="172">
        <f ca="1">(VLOOKUP(CC$72,INDIRECT($C$5&amp;"生成成长"),2))/((VLOOKUP($B214,INDIRECT($B$5&amp;"生成成长"),4))/(VLOOKUP(CC$72,INDIRECT($C$5&amp;"生成成长"),5))*(VLOOKUP($B$5,标准坦克设计!$B$24:$U$30,MATCH("对"&amp;LEFT($C$5,2)&amp;"输出",标准坦克设计!$B$23:$U$23,0)))*(VLOOKUP($B214,INDIRECT($B$5&amp;"生成成长"),3))*(VLOOKUP($B$5,标准坦克设计!$B$14:$K$20,9)/30))</f>
        <v>4.3378874377985355</v>
      </c>
      <c r="CD214" s="172">
        <f ca="1">(VLOOKUP(CD$72,INDIRECT($C$5&amp;"生成成长"),2))/((VLOOKUP($B214,INDIRECT($B$5&amp;"生成成长"),4))/(VLOOKUP(CD$72,INDIRECT($C$5&amp;"生成成长"),5))*(VLOOKUP($B$5,标准坦克设计!$B$24:$U$30,MATCH("对"&amp;LEFT($C$5,2)&amp;"输出",标准坦克设计!$B$23:$U$23,0)))*(VLOOKUP($B214,INDIRECT($B$5&amp;"生成成长"),3))*(VLOOKUP($B$5,标准坦克设计!$B$14:$K$20,9)/30))</f>
        <v>4.6962436260085463</v>
      </c>
      <c r="CE214" s="172">
        <f ca="1">(VLOOKUP(CE$72,INDIRECT($C$5&amp;"生成成长"),2))/((VLOOKUP($B214,INDIRECT($B$5&amp;"生成成长"),4))/(VLOOKUP(CE$72,INDIRECT($C$5&amp;"生成成长"),5))*(VLOOKUP($B$5,标准坦克设计!$B$24:$U$30,MATCH("对"&amp;LEFT($C$5,2)&amp;"输出",标准坦克设计!$B$23:$U$23,0)))*(VLOOKUP($B214,INDIRECT($B$5&amp;"生成成长"),3))*(VLOOKUP($B$5,标准坦克设计!$B$14:$K$20,9)/30))</f>
        <v>5.0688202978776857</v>
      </c>
      <c r="CF214" s="172">
        <f ca="1">(VLOOKUP(CF$72,INDIRECT($C$5&amp;"生成成长"),2))/((VLOOKUP($B214,INDIRECT($B$5&amp;"生成成长"),4))/(VLOOKUP(CF$72,INDIRECT($C$5&amp;"生成成长"),5))*(VLOOKUP($B$5,标准坦克设计!$B$24:$U$30,MATCH("对"&amp;LEFT($C$5,2)&amp;"输出",标准坦克设计!$B$23:$U$23,0)))*(VLOOKUP($B214,INDIRECT($B$5&amp;"生成成长"),3))*(VLOOKUP($B$5,标准坦克设计!$B$14:$K$20,9)/30))</f>
        <v>5.4556174534059521</v>
      </c>
      <c r="CG214" s="172">
        <f ca="1">(VLOOKUP(CG$72,INDIRECT($C$5&amp;"生成成长"),2))/((VLOOKUP($B214,INDIRECT($B$5&amp;"生成成长"),4))/(VLOOKUP(CG$72,INDIRECT($C$5&amp;"生成成长"),5))*(VLOOKUP($B$5,标准坦克设计!$B$24:$U$30,MATCH("对"&amp;LEFT($C$5,2)&amp;"输出",标准坦克设计!$B$23:$U$23,0)))*(VLOOKUP($B214,INDIRECT($B$5&amp;"生成成长"),3))*(VLOOKUP($B$5,标准坦克设计!$B$14:$K$20,9)/30))</f>
        <v>5.856635092593347</v>
      </c>
      <c r="CH214" s="172">
        <f ca="1">(VLOOKUP(CH$72,INDIRECT($C$5&amp;"生成成长"),2))/((VLOOKUP($B214,INDIRECT($B$5&amp;"生成成长"),4))/(VLOOKUP(CH$72,INDIRECT($C$5&amp;"生成成长"),5))*(VLOOKUP($B$5,标准坦克设计!$B$24:$U$30,MATCH("对"&amp;LEFT($C$5,2)&amp;"输出",标准坦克设计!$B$23:$U$23,0)))*(VLOOKUP($B214,INDIRECT($B$5&amp;"生成成长"),3))*(VLOOKUP($B$5,标准坦克设计!$B$14:$K$20,9)/30))</f>
        <v>6.2718732154398689</v>
      </c>
      <c r="CI214" s="172">
        <f ca="1">(VLOOKUP(CI$72,INDIRECT($C$5&amp;"生成成长"),2))/((VLOOKUP($B214,INDIRECT($B$5&amp;"生成成长"),4))/(VLOOKUP(CI$72,INDIRECT($C$5&amp;"生成成长"),5))*(VLOOKUP($B$5,标准坦克设计!$B$24:$U$30,MATCH("对"&amp;LEFT($C$5,2)&amp;"输出",标准坦克设计!$B$23:$U$23,0)))*(VLOOKUP($B214,INDIRECT($B$5&amp;"生成成长"),3))*(VLOOKUP($B$5,标准坦克设计!$B$14:$K$20,9)/30))</f>
        <v>6.7450598091973335</v>
      </c>
      <c r="CJ214" s="172">
        <f ca="1">(VLOOKUP(CJ$72,INDIRECT($C$5&amp;"生成成长"),2))/((VLOOKUP($B214,INDIRECT($B$5&amp;"生成成长"),4))/(VLOOKUP(CJ$72,INDIRECT($C$5&amp;"生成成长"),5))*(VLOOKUP($B$5,标准坦克设计!$B$24:$U$30,MATCH("对"&amp;LEFT($C$5,2)&amp;"输出",标准坦克设计!$B$23:$U$23,0)))*(VLOOKUP($B214,INDIRECT($B$5&amp;"生成成长"),3))*(VLOOKUP($B$5,标准坦克设计!$B$14:$K$20,9)/30))</f>
        <v>7.2354531881823441</v>
      </c>
      <c r="CK214" s="172">
        <f ca="1">(VLOOKUP(CK$72,INDIRECT($C$5&amp;"生成成长"),2))/((VLOOKUP($B214,INDIRECT($B$5&amp;"生成成长"),4))/(VLOOKUP(CK$72,INDIRECT($C$5&amp;"生成成长"),5))*(VLOOKUP($B$5,标准坦克设计!$B$24:$U$30,MATCH("对"&amp;LEFT($C$5,2)&amp;"输出",标准坦克设计!$B$23:$U$23,0)))*(VLOOKUP($B214,INDIRECT($B$5&amp;"生成成长"),3))*(VLOOKUP($B$5,标准坦克设计!$B$14:$K$20,9)/30))</f>
        <v>7.7430533523948997</v>
      </c>
      <c r="CL214" s="172">
        <f ca="1">(VLOOKUP(CL$72,INDIRECT($C$5&amp;"生成成长"),2))/((VLOOKUP($B214,INDIRECT($B$5&amp;"生成成长"),4))/(VLOOKUP(CL$72,INDIRECT($C$5&amp;"生成成长"),5))*(VLOOKUP($B$5,标准坦克设计!$B$24:$U$30,MATCH("对"&amp;LEFT($C$5,2)&amp;"输出",标准坦克设计!$B$23:$U$23,0)))*(VLOOKUP($B214,INDIRECT($B$5&amp;"生成成长"),3))*(VLOOKUP($B$5,标准坦克设计!$B$14:$K$20,9)/30))</f>
        <v>8.2678603018349968</v>
      </c>
      <c r="CM214" s="172">
        <f ca="1">(VLOOKUP(CM$72,INDIRECT($C$5&amp;"生成成长"),2))/((VLOOKUP($B214,INDIRECT($B$5&amp;"生成成长"),4))/(VLOOKUP(CM$72,INDIRECT($C$5&amp;"生成成长"),5))*(VLOOKUP($B$5,标准坦克设计!$B$24:$U$30,MATCH("对"&amp;LEFT($C$5,2)&amp;"输出",标准坦克设计!$B$23:$U$23,0)))*(VLOOKUP($B214,INDIRECT($B$5&amp;"生成成长"),3))*(VLOOKUP($B$5,标准坦克设计!$B$14:$K$20,9)/30))</f>
        <v>8.8098740365026398</v>
      </c>
      <c r="CN214" s="172">
        <f ca="1">(VLOOKUP(CN$72,INDIRECT($C$5&amp;"生成成长"),2))/((VLOOKUP($B214,INDIRECT($B$5&amp;"生成成长"),4))/(VLOOKUP(CN$72,INDIRECT($C$5&amp;"生成成长"),5))*(VLOOKUP($B$5,标准坦克设计!$B$24:$U$30,MATCH("对"&amp;LEFT($C$5,2)&amp;"输出",标准坦克设计!$B$23:$U$23,0)))*(VLOOKUP($B214,INDIRECT($B$5&amp;"生成成长"),3))*(VLOOKUP($B$5,标准坦克设计!$B$14:$K$20,9)/30))</f>
        <v>9.3690945563978278</v>
      </c>
      <c r="CO214" s="172">
        <f ca="1">(VLOOKUP(CO$72,INDIRECT($C$5&amp;"生成成长"),2))/((VLOOKUP($B214,INDIRECT($B$5&amp;"生成成长"),4))/(VLOOKUP(CO$72,INDIRECT($C$5&amp;"生成成长"),5))*(VLOOKUP($B$5,标准坦克设计!$B$24:$U$30,MATCH("对"&amp;LEFT($C$5,2)&amp;"输出",标准坦克设计!$B$23:$U$23,0)))*(VLOOKUP($B214,INDIRECT($B$5&amp;"生成成长"),3))*(VLOOKUP($B$5,标准坦克设计!$B$14:$K$20,9)/30))</f>
        <v>4.1985266979390854</v>
      </c>
      <c r="CP214" s="172">
        <f ca="1">(VLOOKUP(CP$72,INDIRECT($C$5&amp;"生成成长"),2))/((VLOOKUP($B214,INDIRECT($B$5&amp;"生成成长"),4))/(VLOOKUP(CP$72,INDIRECT($C$5&amp;"生成成长"),5))*(VLOOKUP($B$5,标准坦克设计!$B$24:$U$30,MATCH("对"&amp;LEFT($C$5,2)&amp;"输出",标准坦克设计!$B$23:$U$23,0)))*(VLOOKUP($B214,INDIRECT($B$5&amp;"生成成长"),3))*(VLOOKUP($B$5,标准坦克设计!$B$14:$K$20,9)/30))</f>
        <v>4.5872436187613346</v>
      </c>
      <c r="CQ214" s="172">
        <f ca="1">(VLOOKUP(CQ$72,INDIRECT($C$5&amp;"生成成长"),2))/((VLOOKUP($B214,INDIRECT($B$5&amp;"生成成长"),4))/(VLOOKUP(CQ$72,INDIRECT($C$5&amp;"生成成长"),5))*(VLOOKUP($B$5,标准坦克设计!$B$24:$U$30,MATCH("对"&amp;LEFT($C$5,2)&amp;"输出",标准坦克设计!$B$23:$U$23,0)))*(VLOOKUP($B214,INDIRECT($B$5&amp;"生成成长"),3))*(VLOOKUP($B$5,标准坦克设计!$B$14:$K$20,9)/30))</f>
        <v>4.9931673248111279</v>
      </c>
      <c r="CR214" s="172">
        <f ca="1">(VLOOKUP(CR$72,INDIRECT($C$5&amp;"生成成长"),2))/((VLOOKUP($B214,INDIRECT($B$5&amp;"生成成长"),4))/(VLOOKUP(CR$72,INDIRECT($C$5&amp;"生成成长"),5))*(VLOOKUP($B$5,标准坦克设计!$B$24:$U$30,MATCH("对"&amp;LEFT($C$5,2)&amp;"输出",标准坦克设计!$B$23:$U$23,0)))*(VLOOKUP($B214,INDIRECT($B$5&amp;"生成成长"),3))*(VLOOKUP($B$5,标准坦克设计!$B$14:$K$20,9)/30))</f>
        <v>5.4162978160884645</v>
      </c>
      <c r="CS214" s="172">
        <f ca="1">(VLOOKUP(CS$72,INDIRECT($C$5&amp;"生成成长"),2))/((VLOOKUP($B214,INDIRECT($B$5&amp;"生成成长"),4))/(VLOOKUP(CS$72,INDIRECT($C$5&amp;"生成成长"),5))*(VLOOKUP($B$5,标准坦克设计!$B$24:$U$30,MATCH("对"&amp;LEFT($C$5,2)&amp;"输出",标准坦克设计!$B$23:$U$23,0)))*(VLOOKUP($B214,INDIRECT($B$5&amp;"生成成长"),3))*(VLOOKUP($B$5,标准坦克设计!$B$14:$K$20,9)/30))</f>
        <v>5.856635092593347</v>
      </c>
      <c r="CT214" s="172">
        <f ca="1">(VLOOKUP(CT$72,INDIRECT($C$5&amp;"生成成长"),2))/((VLOOKUP($B214,INDIRECT($B$5&amp;"生成成长"),4))/(VLOOKUP(CT$72,INDIRECT($C$5&amp;"生成成长"),5))*(VLOOKUP($B$5,标准坦克设计!$B$24:$U$30,MATCH("对"&amp;LEFT($C$5,2)&amp;"输出",标准坦克设计!$B$23:$U$23,0)))*(VLOOKUP($B214,INDIRECT($B$5&amp;"生成成长"),3))*(VLOOKUP($B$5,标准坦克设计!$B$14:$K$20,9)/30))</f>
        <v>6.3141791543257719</v>
      </c>
      <c r="CU214" s="172">
        <f ca="1">(VLOOKUP(CU$72,INDIRECT($C$5&amp;"生成成长"),2))/((VLOOKUP($B214,INDIRECT($B$5&amp;"生成成长"),4))/(VLOOKUP(CU$72,INDIRECT($C$5&amp;"生成成长"),5))*(VLOOKUP($B$5,标准坦克设计!$B$24:$U$30,MATCH("对"&amp;LEFT($C$5,2)&amp;"输出",标准坦克设计!$B$23:$U$23,0)))*(VLOOKUP($B214,INDIRECT($B$5&amp;"生成成长"),3))*(VLOOKUP($B$5,标准坦克设计!$B$14:$K$20,9)/30))</f>
        <v>6.7889300012857419</v>
      </c>
      <c r="CV214" s="172">
        <f ca="1">(VLOOKUP(CV$72,INDIRECT($C$5&amp;"生成成长"),2))/((VLOOKUP($B214,INDIRECT($B$5&amp;"生成成长"),4))/(VLOOKUP(CV$72,INDIRECT($C$5&amp;"生成成长"),5))*(VLOOKUP($B$5,标准坦克设计!$B$24:$U$30,MATCH("对"&amp;LEFT($C$5,2)&amp;"输出",标准坦克设计!$B$23:$U$23,0)))*(VLOOKUP($B214,INDIRECT($B$5&amp;"生成成长"),3))*(VLOOKUP($B$5,标准坦克设计!$B$14:$K$20,9)/30))</f>
        <v>7.2808876334732577</v>
      </c>
      <c r="CW214" s="172">
        <f ca="1">(VLOOKUP(CW$72,INDIRECT($C$5&amp;"生成成长"),2))/((VLOOKUP($B214,INDIRECT($B$5&amp;"生成成长"),4))/(VLOOKUP(CW$72,INDIRECT($C$5&amp;"生成成长"),5))*(VLOOKUP($B$5,标准坦克设计!$B$24:$U$30,MATCH("对"&amp;LEFT($C$5,2)&amp;"输出",标准坦克设计!$B$23:$U$23,0)))*(VLOOKUP($B214,INDIRECT($B$5&amp;"生成成长"),3))*(VLOOKUP($B$5,标准坦克设计!$B$14:$K$20,9)/30))</f>
        <v>7.7900520508883142</v>
      </c>
      <c r="CX214" s="172">
        <f ca="1">(VLOOKUP(CX$72,INDIRECT($C$5&amp;"生成成长"),2))/((VLOOKUP($B214,INDIRECT($B$5&amp;"生成成长"),4))/(VLOOKUP(CX$72,INDIRECT($C$5&amp;"生成成长"),5))*(VLOOKUP($B$5,标准坦克设计!$B$24:$U$30,MATCH("对"&amp;LEFT($C$5,2)&amp;"输出",标准坦克设计!$B$23:$U$23,0)))*(VLOOKUP($B214,INDIRECT($B$5&amp;"生成成长"),3))*(VLOOKUP($B$5,标准坦克设计!$B$14:$K$20,9)/30))</f>
        <v>8.3164232535309193</v>
      </c>
      <c r="CY214" s="172">
        <f ca="1">(VLOOKUP(CY$72,INDIRECT($C$5&amp;"生成成长"),2))/((VLOOKUP($B214,INDIRECT($B$5&amp;"生成成长"),4))/(VLOOKUP(CY$72,INDIRECT($C$5&amp;"生成成长"),5))*(VLOOKUP($B$5,标准坦克设计!$B$24:$U$30,MATCH("对"&amp;LEFT($C$5,2)&amp;"输出",标准坦克设计!$B$23:$U$23,0)))*(VLOOKUP($B214,INDIRECT($B$5&amp;"生成成长"),3))*(VLOOKUP($B$5,标准坦克设计!$B$14:$K$20,9)/30))</f>
        <v>8.8600012414010667</v>
      </c>
      <c r="CZ214" s="172">
        <f ca="1">(VLOOKUP(CZ$72,INDIRECT($C$5&amp;"生成成长"),2))/((VLOOKUP($B214,INDIRECT($B$5&amp;"生成成长"),4))/(VLOOKUP(CZ$72,INDIRECT($C$5&amp;"生成成长"),5))*(VLOOKUP($B$5,标准坦克设计!$B$24:$U$30,MATCH("对"&amp;LEFT($C$5,2)&amp;"输出",标准坦克设计!$B$23:$U$23,0)))*(VLOOKUP($B214,INDIRECT($B$5&amp;"生成成长"),3))*(VLOOKUP($B$5,标准坦克设计!$B$14:$K$20,9)/30))</f>
        <v>9.4207860144987556</v>
      </c>
      <c r="DA214" s="172">
        <f ca="1">(VLOOKUP(DA$72,INDIRECT($C$5&amp;"生成成长"),2))/((VLOOKUP($B214,INDIRECT($B$5&amp;"生成成长"),4))/(VLOOKUP(DA$72,INDIRECT($C$5&amp;"生成成长"),5))*(VLOOKUP($B$5,标准坦克设计!$B$24:$U$30,MATCH("对"&amp;LEFT($C$5,2)&amp;"输出",标准坦克设计!$B$23:$U$23,0)))*(VLOOKUP($B214,INDIRECT($B$5&amp;"生成成长"),3))*(VLOOKUP($B$5,标准坦克设计!$B$14:$K$20,9)/30))</f>
        <v>9.9987775728239932</v>
      </c>
      <c r="DB214" s="172">
        <f ca="1">(VLOOKUP(DB$72,INDIRECT($C$5&amp;"生成成长"),2))/((VLOOKUP($B214,INDIRECT($B$5&amp;"生成成长"),4))/(VLOOKUP(DB$72,INDIRECT($C$5&amp;"生成成长"),5))*(VLOOKUP($B$5,标准坦克设计!$B$24:$U$30,MATCH("对"&amp;LEFT($C$5,2)&amp;"输出",标准坦克设计!$B$23:$U$23,0)))*(VLOOKUP($B214,INDIRECT($B$5&amp;"生成成长"),3))*(VLOOKUP($B$5,标准坦克设计!$B$14:$K$20,9)/30))</f>
        <v>10.593975916376772</v>
      </c>
      <c r="DC214" s="172">
        <f ca="1">(VLOOKUP(DC$72,INDIRECT($C$5&amp;"生成成长"),2))/((VLOOKUP($B214,INDIRECT($B$5&amp;"生成成长"),4))/(VLOOKUP(DC$72,INDIRECT($C$5&amp;"生成成长"),5))*(VLOOKUP($B$5,标准坦克设计!$B$24:$U$30,MATCH("对"&amp;LEFT($C$5,2)&amp;"输出",标准坦克设计!$B$23:$U$23,0)))*(VLOOKUP($B214,INDIRECT($B$5&amp;"生成成长"),3))*(VLOOKUP($B$5,标准坦克设计!$B$14:$K$20,9)/30))</f>
        <v>11.262907467702126</v>
      </c>
      <c r="DD214" s="172">
        <f ca="1">(VLOOKUP(DD$72,INDIRECT($C$5&amp;"生成成长"),2))/((VLOOKUP($B214,INDIRECT($B$5&amp;"生成成长"),4))/(VLOOKUP(DD$72,INDIRECT($C$5&amp;"生成成长"),5))*(VLOOKUP($B$5,标准坦克设计!$B$24:$U$30,MATCH("对"&amp;LEFT($C$5,2)&amp;"输出",标准坦克设计!$B$23:$U$23,0)))*(VLOOKUP($B214,INDIRECT($B$5&amp;"生成成长"),3))*(VLOOKUP($B$5,标准坦克设计!$B$14:$K$20,9)/30))</f>
        <v>11.952316515496626</v>
      </c>
      <c r="DE214" s="172">
        <f ca="1">(VLOOKUP(DE$72,INDIRECT($C$5&amp;"生成成长"),2))/((VLOOKUP($B214,INDIRECT($B$5&amp;"生成成长"),4))/(VLOOKUP(DE$72,INDIRECT($C$5&amp;"生成成长"),5))*(VLOOKUP($B$5,标准坦克设计!$B$24:$U$30,MATCH("对"&amp;LEFT($C$5,2)&amp;"输出",标准坦克设计!$B$23:$U$23,0)))*(VLOOKUP($B214,INDIRECT($B$5&amp;"生成成长"),3))*(VLOOKUP($B$5,标准坦克设计!$B$14:$K$20,9)/30))</f>
        <v>12.662203059760268</v>
      </c>
      <c r="DF214" s="172">
        <f ca="1">(VLOOKUP(DF$72,INDIRECT($C$5&amp;"生成成长"),2))/((VLOOKUP($B214,INDIRECT($B$5&amp;"生成成长"),4))/(VLOOKUP(DF$72,INDIRECT($C$5&amp;"生成成长"),5))*(VLOOKUP($B$5,标准坦克设计!$B$24:$U$30,MATCH("对"&amp;LEFT($C$5,2)&amp;"输出",标准坦克设计!$B$23:$U$23,0)))*(VLOOKUP($B214,INDIRECT($B$5&amp;"生成成长"),3))*(VLOOKUP($B$5,标准坦克设计!$B$14:$K$20,9)/30))</f>
        <v>13.392567100493054</v>
      </c>
      <c r="DG214" s="172">
        <f ca="1">(VLOOKUP(DG$72,INDIRECT($C$5&amp;"生成成长"),2))/((VLOOKUP($B214,INDIRECT($B$5&amp;"生成成长"),4))/(VLOOKUP(DG$72,INDIRECT($C$5&amp;"生成成长"),5))*(VLOOKUP($B$5,标准坦克设计!$B$24:$U$30,MATCH("对"&amp;LEFT($C$5,2)&amp;"输出",标准坦克设计!$B$23:$U$23,0)))*(VLOOKUP($B214,INDIRECT($B$5&amp;"生成成长"),3))*(VLOOKUP($B$5,标准坦克设计!$B$14:$K$20,9)/30))</f>
        <v>14.143408637694984</v>
      </c>
      <c r="DH214" s="172">
        <f ca="1">(VLOOKUP(DH$72,INDIRECT($C$5&amp;"生成成长"),2))/((VLOOKUP($B214,INDIRECT($B$5&amp;"生成成长"),4))/(VLOOKUP(DH$72,INDIRECT($C$5&amp;"生成成长"),5))*(VLOOKUP($B$5,标准坦克设计!$B$24:$U$30,MATCH("对"&amp;LEFT($C$5,2)&amp;"输出",标准坦克设计!$B$23:$U$23,0)))*(VLOOKUP($B214,INDIRECT($B$5&amp;"生成成长"),3))*(VLOOKUP($B$5,标准坦克设计!$B$14:$K$20,9)/30))</f>
        <v>14.914727671366057</v>
      </c>
      <c r="DI214" s="172">
        <f ca="1">(VLOOKUP(DI$72,INDIRECT($C$5&amp;"生成成长"),2))/((VLOOKUP($B214,INDIRECT($B$5&amp;"生成成长"),4))/(VLOOKUP(DI$72,INDIRECT($C$5&amp;"生成成长"),5))*(VLOOKUP($B$5,标准坦克设计!$B$24:$U$30,MATCH("对"&amp;LEFT($C$5,2)&amp;"输出",标准坦克设计!$B$23:$U$23,0)))*(VLOOKUP($B214,INDIRECT($B$5&amp;"生成成长"),3))*(VLOOKUP($B$5,标准坦克设计!$B$14:$K$20,9)/30))</f>
        <v>15.706524201506273</v>
      </c>
      <c r="DJ214" s="172">
        <f ca="1">(VLOOKUP(DJ$72,INDIRECT($C$5&amp;"生成成长"),2))/((VLOOKUP($B214,INDIRECT($B$5&amp;"生成成长"),4))/(VLOOKUP(DJ$72,INDIRECT($C$5&amp;"生成成长"),5))*(VLOOKUP($B$5,标准坦克设计!$B$24:$U$30,MATCH("对"&amp;LEFT($C$5,2)&amp;"输出",标准坦克设计!$B$23:$U$23,0)))*(VLOOKUP($B214,INDIRECT($B$5&amp;"生成成长"),3))*(VLOOKUP($B$5,标准坦克设计!$B$14:$K$20,9)/30))</f>
        <v>1.578544788581443</v>
      </c>
      <c r="DK214" s="172">
        <f ca="1">(VLOOKUP(DK$72,INDIRECT($C$5&amp;"生成成长"),2))/((VLOOKUP($B214,INDIRECT($B$5&amp;"生成成长"),4))/(VLOOKUP(DK$72,INDIRECT($C$5&amp;"生成成长"),5))*(VLOOKUP($B$5,标准坦克设计!$B$24:$U$30,MATCH("对"&amp;LEFT($C$5,2)&amp;"输出",标准坦克设计!$B$23:$U$23,0)))*(VLOOKUP($B214,INDIRECT($B$5&amp;"生成成长"),3))*(VLOOKUP($B$5,标准坦克设计!$B$14:$K$20,9)/30))</f>
        <v>1.775000770332289</v>
      </c>
      <c r="DL214" s="172">
        <f ca="1">(VLOOKUP(DL$72,INDIRECT($C$5&amp;"生成成长"),2))/((VLOOKUP($B214,INDIRECT($B$5&amp;"生成成长"),4))/(VLOOKUP(DL$72,INDIRECT($C$5&amp;"生成成长"),5))*(VLOOKUP($B$5,标准坦克设计!$B$24:$U$30,MATCH("对"&amp;LEFT($C$5,2)&amp;"输出",标准坦克设计!$B$23:$U$23,0)))*(VLOOKUP($B214,INDIRECT($B$5&amp;"生成成长"),3))*(VLOOKUP($B$5,标准坦克设计!$B$14:$K$20,9)/30))</f>
        <v>1.9829753438470281</v>
      </c>
      <c r="DM214" s="172">
        <f ca="1">(VLOOKUP(DM$72,INDIRECT($C$5&amp;"生成成长"),2))/((VLOOKUP($B214,INDIRECT($B$5&amp;"生成成长"),4))/(VLOOKUP(DM$72,INDIRECT($C$5&amp;"生成成长"),5))*(VLOOKUP($B$5,标准坦克设计!$B$24:$U$30,MATCH("对"&amp;LEFT($C$5,2)&amp;"输出",标准坦克设计!$B$23:$U$23,0)))*(VLOOKUP($B214,INDIRECT($B$5&amp;"生成成长"),3))*(VLOOKUP($B$5,标准坦克设计!$B$14:$K$20,9)/30))</f>
        <v>2.2024685091256599</v>
      </c>
      <c r="DN214" s="172">
        <f ca="1">(VLOOKUP(DN$72,INDIRECT($C$5&amp;"生成成长"),2))/((VLOOKUP($B214,INDIRECT($B$5&amp;"生成成长"),4))/(VLOOKUP(DN$72,INDIRECT($C$5&amp;"生成成长"),5))*(VLOOKUP($B$5,标准坦克设计!$B$24:$U$30,MATCH("对"&amp;LEFT($C$5,2)&amp;"输出",标准坦克设计!$B$23:$U$23,0)))*(VLOOKUP($B214,INDIRECT($B$5&amp;"生成成长"),3))*(VLOOKUP($B$5,标准坦克设计!$B$14:$K$20,9)/30))</f>
        <v>2.4334802661681856</v>
      </c>
      <c r="DO214" s="172">
        <f ca="1">(VLOOKUP(DO$72,INDIRECT($C$5&amp;"生成成长"),2))/((VLOOKUP($B214,INDIRECT($B$5&amp;"生成成长"),4))/(VLOOKUP(DO$72,INDIRECT($C$5&amp;"生成成长"),5))*(VLOOKUP($B$5,标准坦克设计!$B$24:$U$30,MATCH("对"&amp;LEFT($C$5,2)&amp;"输出",标准坦克设计!$B$23:$U$23,0)))*(VLOOKUP($B214,INDIRECT($B$5&amp;"生成成长"),3))*(VLOOKUP($B$5,标准坦克设计!$B$14:$K$20,9)/30))</f>
        <v>2.6760106149746044</v>
      </c>
      <c r="DP214" s="172">
        <f ca="1">(VLOOKUP(DP$72,INDIRECT($C$5&amp;"生成成长"),2))/((VLOOKUP($B214,INDIRECT($B$5&amp;"生成成长"),4))/(VLOOKUP(DP$72,INDIRECT($C$5&amp;"生成成长"),5))*(VLOOKUP($B$5,标准坦克设计!$B$24:$U$30,MATCH("对"&amp;LEFT($C$5,2)&amp;"输出",标准坦克设计!$B$23:$U$23,0)))*(VLOOKUP($B214,INDIRECT($B$5&amp;"生成成长"),3))*(VLOOKUP($B$5,标准坦克设计!$B$14:$K$20,9)/30))</f>
        <v>2.9300595555449163</v>
      </c>
      <c r="DQ214" s="172">
        <f ca="1">(VLOOKUP(DQ$72,INDIRECT($C$5&amp;"生成成长"),2))/((VLOOKUP($B214,INDIRECT($B$5&amp;"生成成长"),4))/(VLOOKUP(DQ$72,INDIRECT($C$5&amp;"生成成长"),5))*(VLOOKUP($B$5,标准坦克设计!$B$24:$U$30,MATCH("对"&amp;LEFT($C$5,2)&amp;"输出",标准坦克设计!$B$23:$U$23,0)))*(VLOOKUP($B214,INDIRECT($B$5&amp;"生成成长"),3))*(VLOOKUP($B$5,标准坦克设计!$B$14:$K$20,9)/30))</f>
        <v>3.1956270878791222</v>
      </c>
      <c r="DR214" s="172">
        <f ca="1">(VLOOKUP(DR$72,INDIRECT($C$5&amp;"生成成长"),2))/((VLOOKUP($B214,INDIRECT($B$5&amp;"生成成长"),4))/(VLOOKUP(DR$72,INDIRECT($C$5&amp;"生成成长"),5))*(VLOOKUP($B$5,标准坦克设计!$B$24:$U$30,MATCH("对"&amp;LEFT($C$5,2)&amp;"输出",标准坦克设计!$B$23:$U$23,0)))*(VLOOKUP($B214,INDIRECT($B$5&amp;"生成成长"),3))*(VLOOKUP($B$5,标准坦克设计!$B$14:$K$20,9)/30))</f>
        <v>3.4727132119772199</v>
      </c>
      <c r="DS214" s="172">
        <f ca="1">(VLOOKUP(DS$72,INDIRECT($C$5&amp;"生成成长"),2))/((VLOOKUP($B214,INDIRECT($B$5&amp;"生成成长"),4))/(VLOOKUP(DS$72,INDIRECT($C$5&amp;"生成成长"),5))*(VLOOKUP($B$5,标准坦克设计!$B$24:$U$30,MATCH("对"&amp;LEFT($C$5,2)&amp;"输出",标准坦克设计!$B$23:$U$23,0)))*(VLOOKUP($B214,INDIRECT($B$5&amp;"生成成长"),3))*(VLOOKUP($B$5,标准坦克设计!$B$14:$K$20,9)/30))</f>
        <v>3.7613179278392117</v>
      </c>
      <c r="DT214" s="172">
        <f ca="1">(VLOOKUP(DT$72,INDIRECT($C$5&amp;"生成成长"),2))/((VLOOKUP($B214,INDIRECT($B$5&amp;"生成成长"),4))/(VLOOKUP(DT$72,INDIRECT($C$5&amp;"生成成长"),5))*(VLOOKUP($B$5,标准坦克设计!$B$24:$U$30,MATCH("对"&amp;LEFT($C$5,2)&amp;"输出",标准坦克设计!$B$23:$U$23,0)))*(VLOOKUP($B214,INDIRECT($B$5&amp;"生成成长"),3))*(VLOOKUP($B$5,标准坦克设计!$B$14:$K$20,9)/30))</f>
        <v>4.1296995570289088</v>
      </c>
      <c r="DU214" s="172">
        <f ca="1">(VLOOKUP(DU$72,INDIRECT($C$5&amp;"生成成长"),2))/((VLOOKUP($B214,INDIRECT($B$5&amp;"生成成长"),4))/(VLOOKUP(DU$72,INDIRECT($C$5&amp;"生成成长"),5))*(VLOOKUP($B$5,标准坦克设计!$B$24:$U$30,MATCH("对"&amp;LEFT($C$5,2)&amp;"输出",标准坦克设计!$B$23:$U$23,0)))*(VLOOKUP($B214,INDIRECT($B$5&amp;"生成成长"),3))*(VLOOKUP($B$5,标准坦克设计!$B$14:$K$20,9)/30))</f>
        <v>4.5152879714461491</v>
      </c>
      <c r="DV214" s="172">
        <f ca="1">(VLOOKUP(DV$72,INDIRECT($C$5&amp;"生成成长"),2))/((VLOOKUP($B214,INDIRECT($B$5&amp;"生成成长"),4))/(VLOOKUP(DV$72,INDIRECT($C$5&amp;"生成成长"),5))*(VLOOKUP($B$5,标准坦克设计!$B$24:$U$30,MATCH("对"&amp;LEFT($C$5,2)&amp;"输出",标准坦克设计!$B$23:$U$23,0)))*(VLOOKUP($B214,INDIRECT($B$5&amp;"生成成长"),3))*(VLOOKUP($B$5,标准坦克设计!$B$14:$K$20,9)/30))</f>
        <v>4.9180831710909354</v>
      </c>
      <c r="DW214" s="172">
        <f ca="1">(VLOOKUP(DW$72,INDIRECT($C$5&amp;"生成成长"),2))/((VLOOKUP($B214,INDIRECT($B$5&amp;"生成成长"),4))/(VLOOKUP(DW$72,INDIRECT($C$5&amp;"生成成长"),5))*(VLOOKUP($B$5,标准坦克设计!$B$24:$U$30,MATCH("对"&amp;LEFT($C$5,2)&amp;"输出",标准坦克设计!$B$23:$U$23,0)))*(VLOOKUP($B214,INDIRECT($B$5&amp;"生成成长"),3))*(VLOOKUP($B$5,标准坦克设计!$B$14:$K$20,9)/30))</f>
        <v>5.3380851559632649</v>
      </c>
      <c r="DX214" s="172">
        <f ca="1">(VLOOKUP(DX$72,INDIRECT($C$5&amp;"生成成长"),2))/((VLOOKUP($B214,INDIRECT($B$5&amp;"生成成长"),4))/(VLOOKUP(DX$72,INDIRECT($C$5&amp;"生成成长"),5))*(VLOOKUP($B$5,标准坦克设计!$B$24:$U$30,MATCH("对"&amp;LEFT($C$5,2)&amp;"输出",标准坦克设计!$B$23:$U$23,0)))*(VLOOKUP($B214,INDIRECT($B$5&amp;"生成成长"),3))*(VLOOKUP($B$5,标准坦克设计!$B$14:$K$20,9)/30))</f>
        <v>5.7752939260631369</v>
      </c>
      <c r="DY214" s="172">
        <f ca="1">(VLOOKUP(DY$72,INDIRECT($C$5&amp;"生成成长"),2))/((VLOOKUP($B214,INDIRECT($B$5&amp;"生成成长"),4))/(VLOOKUP(DY$72,INDIRECT($C$5&amp;"生成成长"),5))*(VLOOKUP($B$5,标准坦克设计!$B$24:$U$30,MATCH("对"&amp;LEFT($C$5,2)&amp;"输出",标准坦克设计!$B$23:$U$23,0)))*(VLOOKUP($B214,INDIRECT($B$5&amp;"生成成长"),3))*(VLOOKUP($B$5,标准坦克设计!$B$14:$K$20,9)/30))</f>
        <v>2.5938873218431429</v>
      </c>
      <c r="DZ214" s="172">
        <f ca="1">(VLOOKUP(DZ$72,INDIRECT($C$5&amp;"生成成长"),2))/((VLOOKUP($B214,INDIRECT($B$5&amp;"生成成长"),4))/(VLOOKUP(DZ$72,INDIRECT($C$5&amp;"生成成长"),5))*(VLOOKUP($B$5,标准坦克设计!$B$24:$U$30,MATCH("对"&amp;LEFT($C$5,2)&amp;"输出",标准坦克设计!$B$23:$U$23,0)))*(VLOOKUP($B214,INDIRECT($B$5&amp;"生成成长"),3))*(VLOOKUP($B$5,标准坦克设计!$B$14:$K$20,9)/30))</f>
        <v>2.8726088015620421</v>
      </c>
      <c r="EA214" s="172">
        <f ca="1">(VLOOKUP(EA$72,INDIRECT($C$5&amp;"生成成长"),2))/((VLOOKUP($B214,INDIRECT($B$5&amp;"生成成长"),4))/(VLOOKUP(EA$72,INDIRECT($C$5&amp;"生成成长"),5))*(VLOOKUP($B$5,标准坦克设计!$B$24:$U$30,MATCH("对"&amp;LEFT($C$5,2)&amp;"输出",标准坦克设计!$B$23:$U$23,0)))*(VLOOKUP($B214,INDIRECT($B$5&amp;"生成成长"),3))*(VLOOKUP($B$5,标准坦克设计!$B$14:$K$20,9)/30))</f>
        <v>3.1655507649400669</v>
      </c>
      <c r="EB214" s="172">
        <f ca="1">(VLOOKUP(EB$72,INDIRECT($C$5&amp;"生成成长"),2))/((VLOOKUP($B214,INDIRECT($B$5&amp;"生成成长"),4))/(VLOOKUP(EB$72,INDIRECT($C$5&amp;"生成成长"),5))*(VLOOKUP($B$5,标准坦克设计!$B$24:$U$30,MATCH("对"&amp;LEFT($C$5,2)&amp;"输出",标准坦克设计!$B$23:$U$23,0)))*(VLOOKUP($B214,INDIRECT($B$5&amp;"生成成长"),3))*(VLOOKUP($B$5,标准坦克设计!$B$14:$K$20,9)/30))</f>
        <v>3.4727132119772199</v>
      </c>
      <c r="EC214" s="172">
        <f ca="1">(VLOOKUP(EC$72,INDIRECT($C$5&amp;"生成成长"),2))/((VLOOKUP($B214,INDIRECT($B$5&amp;"生成成长"),4))/(VLOOKUP(EC$72,INDIRECT($C$5&amp;"生成成长"),5))*(VLOOKUP($B$5,标准坦克设计!$B$24:$U$30,MATCH("对"&amp;LEFT($C$5,2)&amp;"输出",标准坦克设计!$B$23:$U$23,0)))*(VLOOKUP($B214,INDIRECT($B$5&amp;"生成成长"),3))*(VLOOKUP($B$5,标准坦克设计!$B$14:$K$20,9)/30))</f>
        <v>3.7940961426735011</v>
      </c>
      <c r="ED214" s="172">
        <f ca="1">(VLOOKUP(ED$72,INDIRECT($C$5&amp;"生成成长"),2))/((VLOOKUP($B214,INDIRECT($B$5&amp;"生成成长"),4))/(VLOOKUP(ED$72,INDIRECT($C$5&amp;"生成成长"),5))*(VLOOKUP($B$5,标准坦克设计!$B$24:$U$30,MATCH("对"&amp;LEFT($C$5,2)&amp;"输出",标准坦克设计!$B$23:$U$23,0)))*(VLOOKUP($B214,INDIRECT($B$5&amp;"生成成长"),3))*(VLOOKUP($B$5,标准坦克设计!$B$14:$K$20,9)/30))</f>
        <v>4.1296995570289088</v>
      </c>
      <c r="EE214" s="172">
        <f ca="1">(VLOOKUP(EE$72,INDIRECT($C$5&amp;"生成成长"),2))/((VLOOKUP($B214,INDIRECT($B$5&amp;"生成成长"),4))/(VLOOKUP(EE$72,INDIRECT($C$5&amp;"生成成长"),5))*(VLOOKUP($B$5,标准坦克设计!$B$24:$U$30,MATCH("对"&amp;LEFT($C$5,2)&amp;"输出",标准坦克设计!$B$23:$U$23,0)))*(VLOOKUP($B214,INDIRECT($B$5&amp;"生成成长"),3))*(VLOOKUP($B$5,标准坦克设计!$B$14:$K$20,9)/30))</f>
        <v>4.4795234550434433</v>
      </c>
      <c r="EF214" s="172">
        <f ca="1">(VLOOKUP(EF$72,INDIRECT($C$5&amp;"生成成长"),2))/((VLOOKUP($B214,INDIRECT($B$5&amp;"生成成长"),4))/(VLOOKUP(EF$72,INDIRECT($C$5&amp;"生成成长"),5))*(VLOOKUP($B$5,标准坦克设计!$B$24:$U$30,MATCH("对"&amp;LEFT($C$5,2)&amp;"输出",标准坦克设计!$B$23:$U$23,0)))*(VLOOKUP($B214,INDIRECT($B$5&amp;"生成成长"),3))*(VLOOKUP($B$5,标准坦克设计!$B$14:$K$20,9)/30))</f>
        <v>4.8435678367171064</v>
      </c>
      <c r="EG214" s="172">
        <f ca="1">(VLOOKUP(EG$72,INDIRECT($C$5&amp;"生成成长"),2))/((VLOOKUP($B214,INDIRECT($B$5&amp;"生成成长"),4))/(VLOOKUP(EG$72,INDIRECT($C$5&amp;"生成成长"),5))*(VLOOKUP($B$5,标准坦克设计!$B$24:$U$30,MATCH("对"&amp;LEFT($C$5,2)&amp;"输出",标准坦克设计!$B$23:$U$23,0)))*(VLOOKUP($B214,INDIRECT($B$5&amp;"生成成长"),3))*(VLOOKUP($B$5,标准坦克设计!$B$14:$K$20,9)/30))</f>
        <v>5.2218327020498965</v>
      </c>
      <c r="EH214" s="172">
        <f ca="1">(VLOOKUP(EH$72,INDIRECT($C$5&amp;"生成成长"),2))/((VLOOKUP($B214,INDIRECT($B$5&amp;"生成成长"),4))/(VLOOKUP(EH$72,INDIRECT($C$5&amp;"生成成长"),5))*(VLOOKUP($B$5,标准坦克设计!$B$24:$U$30,MATCH("对"&amp;LEFT($C$5,2)&amp;"输出",标准坦克设计!$B$23:$U$23,0)))*(VLOOKUP($B214,INDIRECT($B$5&amp;"生成成长"),3))*(VLOOKUP($B$5,标准坦克设计!$B$14:$K$20,9)/30))</f>
        <v>5.6143180510418143</v>
      </c>
      <c r="EI214" s="172">
        <f ca="1">(VLOOKUP(EI$72,INDIRECT($C$5&amp;"生成成长"),2))/((VLOOKUP($B214,INDIRECT($B$5&amp;"生成成长"),4))/(VLOOKUP(EI$72,INDIRECT($C$5&amp;"生成成长"),5))*(VLOOKUP($B$5,标准坦克设计!$B$24:$U$30,MATCH("对"&amp;LEFT($C$5,2)&amp;"输出",标准坦克设计!$B$23:$U$23,0)))*(VLOOKUP($B214,INDIRECT($B$5&amp;"生成成长"),3))*(VLOOKUP($B$5,标准坦克设计!$B$14:$K$20,9)/30))</f>
        <v>6.0210238836928598</v>
      </c>
      <c r="EJ214" s="172">
        <f ca="1">(VLOOKUP(EJ$72,INDIRECT($C$5&amp;"生成成长"),2))/((VLOOKUP($B214,INDIRECT($B$5&amp;"生成成长"),4))/(VLOOKUP(EJ$72,INDIRECT($C$5&amp;"生成成长"),5))*(VLOOKUP($B$5,标准坦克设计!$B$24:$U$30,MATCH("对"&amp;LEFT($C$5,2)&amp;"输出",标准坦克设计!$B$23:$U$23,0)))*(VLOOKUP($B214,INDIRECT($B$5&amp;"生成成长"),3))*(VLOOKUP($B$5,标准坦克设计!$B$14:$K$20,9)/30))</f>
        <v>6.4419502000030322</v>
      </c>
      <c r="EK214" s="172">
        <f ca="1">(VLOOKUP(EK$72,INDIRECT($C$5&amp;"生成成长"),2))/((VLOOKUP($B214,INDIRECT($B$5&amp;"生成成长"),4))/(VLOOKUP(EK$72,INDIRECT($C$5&amp;"生成成长"),5))*(VLOOKUP($B$5,标准坦克设计!$B$24:$U$30,MATCH("对"&amp;LEFT($C$5,2)&amp;"输出",标准坦克设计!$B$23:$U$23,0)))*(VLOOKUP($B214,INDIRECT($B$5&amp;"生成成长"),3))*(VLOOKUP($B$5,标准坦克设计!$B$14:$K$20,9)/30))</f>
        <v>6.9658328180052882</v>
      </c>
      <c r="EL214" s="172">
        <f ca="1">(VLOOKUP(EL$72,INDIRECT($C$5&amp;"生成成长"),2))/((VLOOKUP($B214,INDIRECT($B$5&amp;"生成成长"),4))/(VLOOKUP(EL$72,INDIRECT($C$5&amp;"生成成长"),5))*(VLOOKUP($B$5,标准坦克设计!$B$24:$U$30,MATCH("对"&amp;LEFT($C$5,2)&amp;"输出",标准坦克设计!$B$23:$U$23,0)))*(VLOOKUP($B214,INDIRECT($B$5&amp;"生成成长"),3))*(VLOOKUP($B$5,标准坦克设计!$B$14:$K$20,9)/30))</f>
        <v>7.510192932476687</v>
      </c>
      <c r="EM214" s="172">
        <f ca="1">(VLOOKUP(EM$72,INDIRECT($C$5&amp;"生成成长"),2))/((VLOOKUP($B214,INDIRECT($B$5&amp;"生成成长"),4))/(VLOOKUP(EM$72,INDIRECT($C$5&amp;"生成成长"),5))*(VLOOKUP($B$5,标准坦克设计!$B$24:$U$30,MATCH("对"&amp;LEFT($C$5,2)&amp;"输出",标准坦克设计!$B$23:$U$23,0)))*(VLOOKUP($B214,INDIRECT($B$5&amp;"生成成长"),3))*(VLOOKUP($B$5,标准坦克设计!$B$14:$K$20,9)/30))</f>
        <v>8.0750305434172311</v>
      </c>
      <c r="EN214" s="172">
        <f ca="1">(VLOOKUP(EN$72,INDIRECT($C$5&amp;"生成成长"),2))/((VLOOKUP($B214,INDIRECT($B$5&amp;"生成成长"),4))/(VLOOKUP(EN$72,INDIRECT($C$5&amp;"生成成长"),5))*(VLOOKUP($B$5,标准坦克设计!$B$24:$U$30,MATCH("对"&amp;LEFT($C$5,2)&amp;"输出",标准坦克设计!$B$23:$U$23,0)))*(VLOOKUP($B214,INDIRECT($B$5&amp;"生成成长"),3))*(VLOOKUP($B$5,标准坦克设计!$B$14:$K$20,9)/30))</f>
        <v>8.6603456508269154</v>
      </c>
      <c r="EO214" s="172">
        <f ca="1">(VLOOKUP(EO$72,INDIRECT($C$5&amp;"生成成长"),2))/((VLOOKUP($B214,INDIRECT($B$5&amp;"生成成长"),4))/(VLOOKUP(EO$72,INDIRECT($C$5&amp;"生成成长"),5))*(VLOOKUP($B$5,标准坦克设计!$B$24:$U$30,MATCH("对"&amp;LEFT($C$5,2)&amp;"输出",标准坦克设计!$B$23:$U$23,0)))*(VLOOKUP($B214,INDIRECT($B$5&amp;"生成成长"),3))*(VLOOKUP($B$5,标准坦克设计!$B$14:$K$20,9)/30))</f>
        <v>9.266138254705746</v>
      </c>
      <c r="EP214" s="172">
        <f ca="1">(VLOOKUP(EP$72,INDIRECT($C$5&amp;"生成成长"),2))/((VLOOKUP($B214,INDIRECT($B$5&amp;"生成成长"),4))/(VLOOKUP(EP$72,INDIRECT($C$5&amp;"生成成长"),5))*(VLOOKUP($B$5,标准坦克设计!$B$24:$U$30,MATCH("对"&amp;LEFT($C$5,2)&amp;"输出",标准坦克设计!$B$23:$U$23,0)))*(VLOOKUP($B214,INDIRECT($B$5&amp;"生成成长"),3))*(VLOOKUP($B$5,标准坦克设计!$B$14:$K$20,9)/30))</f>
        <v>9.8924083550537176</v>
      </c>
      <c r="EQ214" s="172">
        <f ca="1">(VLOOKUP(EQ$72,INDIRECT($C$5&amp;"生成成长"),2))/((VLOOKUP($B214,INDIRECT($B$5&amp;"生成成长"),4))/(VLOOKUP(EQ$72,INDIRECT($C$5&amp;"生成成长"),5))*(VLOOKUP($B$5,标准坦克设计!$B$24:$U$30,MATCH("对"&amp;LEFT($C$5,2)&amp;"输出",标准坦克设计!$B$23:$U$23,0)))*(VLOOKUP($B214,INDIRECT($B$5&amp;"生成成长"),3))*(VLOOKUP($B$5,标准坦克设计!$B$14:$K$20,9)/30))</f>
        <v>4.3730831348548742</v>
      </c>
      <c r="ER214" s="172">
        <f ca="1">(VLOOKUP(ER$72,INDIRECT($C$5&amp;"生成成长"),2))/((VLOOKUP($B214,INDIRECT($B$5&amp;"生成成长"),4))/(VLOOKUP(ER$72,INDIRECT($C$5&amp;"生成成长"),5))*(VLOOKUP($B$5,标准坦克设计!$B$24:$U$30,MATCH("对"&amp;LEFT($C$5,2)&amp;"输出",标准坦克设计!$B$23:$U$23,0)))*(VLOOKUP($B214,INDIRECT($B$5&amp;"生成成长"),3))*(VLOOKUP($B$5,标准坦克设计!$B$14:$K$20,9)/30))</f>
        <v>4.7696213216896437</v>
      </c>
      <c r="ES214" s="172">
        <f ca="1">(VLOOKUP(ES$72,INDIRECT($C$5&amp;"生成成长"),2))/((VLOOKUP($B214,INDIRECT($B$5&amp;"生成成长"),4))/(VLOOKUP(ES$72,INDIRECT($C$5&amp;"生成成长"),5))*(VLOOKUP($B$5,标准坦克设计!$B$24:$U$30,MATCH("对"&amp;LEFT($C$5,2)&amp;"输出",标准坦克设计!$B$23:$U$23,0)))*(VLOOKUP($B214,INDIRECT($B$5&amp;"生成成长"),3))*(VLOOKUP($B$5,标准坦克设计!$B$14:$K$20,9)/30))</f>
        <v>5.1833662937519582</v>
      </c>
      <c r="ET214" s="172">
        <f ca="1">(VLOOKUP(ET$72,INDIRECT($C$5&amp;"生成成长"),2))/((VLOOKUP($B214,INDIRECT($B$5&amp;"生成成长"),4))/(VLOOKUP(ET$72,INDIRECT($C$5&amp;"生成成长"),5))*(VLOOKUP($B$5,标准坦克设计!$B$24:$U$30,MATCH("对"&amp;LEFT($C$5,2)&amp;"输出",标准坦克设计!$B$23:$U$23,0)))*(VLOOKUP($B214,INDIRECT($B$5&amp;"生成成长"),3))*(VLOOKUP($B$5,标准坦克设计!$B$14:$K$20,9)/30))</f>
        <v>5.6143180510418143</v>
      </c>
      <c r="EU214" s="172">
        <f ca="1">(VLOOKUP(EU$72,INDIRECT($C$5&amp;"生成成长"),2))/((VLOOKUP($B214,INDIRECT($B$5&amp;"生成成长"),4))/(VLOOKUP(EU$72,INDIRECT($C$5&amp;"生成成长"),5))*(VLOOKUP($B$5,标准坦克设计!$B$24:$U$30,MATCH("对"&amp;LEFT($C$5,2)&amp;"输出",标准坦克设计!$B$23:$U$23,0)))*(VLOOKUP($B214,INDIRECT($B$5&amp;"生成成长"),3))*(VLOOKUP($B$5,标准坦克设计!$B$14:$K$20,9)/30))</f>
        <v>6.0624765935592162</v>
      </c>
      <c r="EV214" s="172">
        <f ca="1">(VLOOKUP(EV$72,INDIRECT($C$5&amp;"生成成长"),2))/((VLOOKUP($B214,INDIRECT($B$5&amp;"生成成长"),4))/(VLOOKUP(EV$72,INDIRECT($C$5&amp;"生成成长"),5))*(VLOOKUP($B$5,标准坦克设计!$B$24:$U$30,MATCH("对"&amp;LEFT($C$5,2)&amp;"输出",标准坦克设计!$B$23:$U$23,0)))*(VLOOKUP($B214,INDIRECT($B$5&amp;"生成成长"),3))*(VLOOKUP($B$5,标准坦克设计!$B$14:$K$20,9)/30))</f>
        <v>6.5278419213041614</v>
      </c>
      <c r="EW214" s="172">
        <f ca="1">(VLOOKUP(EW$72,INDIRECT($C$5&amp;"生成成长"),2))/((VLOOKUP($B214,INDIRECT($B$5&amp;"生成成长"),4))/(VLOOKUP(EW$72,INDIRECT($C$5&amp;"生成成长"),5))*(VLOOKUP($B$5,标准坦克设计!$B$24:$U$30,MATCH("对"&amp;LEFT($C$5,2)&amp;"输出",标准坦克设计!$B$23:$U$23,0)))*(VLOOKUP($B214,INDIRECT($B$5&amp;"生成成长"),3))*(VLOOKUP($B$5,标准坦克设计!$B$14:$K$20,9)/30))</f>
        <v>7.0104140342766526</v>
      </c>
      <c r="EX214" s="172">
        <f ca="1">(VLOOKUP(EX$72,INDIRECT($C$5&amp;"生成成长"),2))/((VLOOKUP($B214,INDIRECT($B$5&amp;"生成成长"),4))/(VLOOKUP(EX$72,INDIRECT($C$5&amp;"生成成长"),5))*(VLOOKUP($B$5,标准坦克设计!$B$24:$U$30,MATCH("对"&amp;LEFT($C$5,2)&amp;"输出",标准坦克设计!$B$23:$U$23,0)))*(VLOOKUP($B214,INDIRECT($B$5&amp;"生成成长"),3))*(VLOOKUP($B$5,标准坦克设计!$B$14:$K$20,9)/30))</f>
        <v>7.510192932476687</v>
      </c>
      <c r="EY214" s="172">
        <f ca="1">(VLOOKUP(EY$72,INDIRECT($C$5&amp;"生成成长"),2))/((VLOOKUP($B214,INDIRECT($B$5&amp;"生成成长"),4))/(VLOOKUP(EY$72,INDIRECT($C$5&amp;"生成成长"),5))*(VLOOKUP($B$5,标准坦克设计!$B$24:$U$30,MATCH("对"&amp;LEFT($C$5,2)&amp;"输出",标准坦克设计!$B$23:$U$23,0)))*(VLOOKUP($B214,INDIRECT($B$5&amp;"生成成长"),3))*(VLOOKUP($B$5,标准坦克设计!$B$14:$K$20,9)/30))</f>
        <v>8.0271786159042673</v>
      </c>
      <c r="EZ214" s="172">
        <f ca="1">(VLOOKUP(EZ$72,INDIRECT($C$5&amp;"生成成长"),2))/((VLOOKUP($B214,INDIRECT($B$5&amp;"生成成长"),4))/(VLOOKUP(EZ$72,INDIRECT($C$5&amp;"生成成长"),5))*(VLOOKUP($B$5,标准坦克设计!$B$24:$U$30,MATCH("对"&amp;LEFT($C$5,2)&amp;"输出",标准坦克设计!$B$23:$U$23,0)))*(VLOOKUP($B214,INDIRECT($B$5&amp;"生成成长"),3))*(VLOOKUP($B$5,标准坦克设计!$B$14:$K$20,9)/30))</f>
        <v>8.5613710845593882</v>
      </c>
      <c r="FA214" s="172">
        <f ca="1">(VLOOKUP(FA$72,INDIRECT($C$5&amp;"生成成长"),2))/((VLOOKUP($B214,INDIRECT($B$5&amp;"生成成长"),4))/(VLOOKUP(FA$72,INDIRECT($C$5&amp;"生成成长"),5))*(VLOOKUP($B$5,标准坦克设计!$B$24:$U$30,MATCH("对"&amp;LEFT($C$5,2)&amp;"输出",标准坦克设计!$B$23:$U$23,0)))*(VLOOKUP($B214,INDIRECT($B$5&amp;"生成成长"),3))*(VLOOKUP($B$5,标准坦克设计!$B$14:$K$20,9)/30))</f>
        <v>9.112770338442056</v>
      </c>
      <c r="FB214" s="172">
        <f ca="1">(VLOOKUP(FB$72,INDIRECT($C$5&amp;"生成成长"),2))/((VLOOKUP($B214,INDIRECT($B$5&amp;"生成成长"),4))/(VLOOKUP(FB$72,INDIRECT($C$5&amp;"生成成长"),5))*(VLOOKUP($B$5,标准坦克设计!$B$24:$U$30,MATCH("对"&amp;LEFT($C$5,2)&amp;"输出",标准坦克设计!$B$23:$U$23,0)))*(VLOOKUP($B214,INDIRECT($B$5&amp;"生成成长"),3))*(VLOOKUP($B$5,标准坦克设计!$B$14:$K$20,9)/30))</f>
        <v>9.681376377552267</v>
      </c>
      <c r="FC214" s="172">
        <f ca="1">(VLOOKUP(FC$72,INDIRECT($C$5&amp;"生成成长"),2))/((VLOOKUP($B214,INDIRECT($B$5&amp;"生成成长"),4))/(VLOOKUP(FC$72,INDIRECT($C$5&amp;"生成成长"),5))*(VLOOKUP($B$5,标准坦克设计!$B$24:$U$30,MATCH("对"&amp;LEFT($C$5,2)&amp;"输出",标准坦克设计!$B$23:$U$23,0)))*(VLOOKUP($B214,INDIRECT($B$5&amp;"生成成长"),3))*(VLOOKUP($B$5,标准坦克设计!$B$14:$K$20,9)/30))</f>
        <v>10.267189201890021</v>
      </c>
      <c r="FD214" s="172">
        <f ca="1">(VLOOKUP(FD$72,INDIRECT($C$5&amp;"生成成长"),2))/((VLOOKUP($B214,INDIRECT($B$5&amp;"生成成长"),4))/(VLOOKUP(FD$72,INDIRECT($C$5&amp;"生成成长"),5))*(VLOOKUP($B$5,标准坦克设计!$B$24:$U$30,MATCH("对"&amp;LEFT($C$5,2)&amp;"输出",标准坦克设计!$B$23:$U$23,0)))*(VLOOKUP($B214,INDIRECT($B$5&amp;"生成成长"),3))*(VLOOKUP($B$5,标准坦克设计!$B$14:$K$20,9)/30))</f>
        <v>10.870208811455321</v>
      </c>
      <c r="FE214" s="172">
        <f ca="1">(VLOOKUP(FE$72,INDIRECT($C$5&amp;"生成成长"),2))/((VLOOKUP($B214,INDIRECT($B$5&amp;"生成成长"),4))/(VLOOKUP(FE$72,INDIRECT($C$5&amp;"生成成长"),5))*(VLOOKUP($B$5,标准坦克设计!$B$24:$U$30,MATCH("对"&amp;LEFT($C$5,2)&amp;"输出",标准坦克设计!$B$23:$U$23,0)))*(VLOOKUP($B214,INDIRECT($B$5&amp;"生成成长"),3))*(VLOOKUP($B$5,标准坦克设计!$B$14:$K$20,9)/30))</f>
        <v>11.605052304540733</v>
      </c>
      <c r="FF214" s="172">
        <f ca="1">(VLOOKUP(FF$72,INDIRECT($C$5&amp;"生成成长"),2))/((VLOOKUP($B214,INDIRECT($B$5&amp;"生成成长"),4))/(VLOOKUP(FF$72,INDIRECT($C$5&amp;"生成成长"),5))*(VLOOKUP($B$5,标准坦克设计!$B$24:$U$30,MATCH("对"&amp;LEFT($C$5,2)&amp;"输出",标准坦克设计!$B$23:$U$23,0)))*(VLOOKUP($B214,INDIRECT($B$5&amp;"生成成长"),3))*(VLOOKUP($B$5,标准坦克设计!$B$14:$K$20,9)/30))</f>
        <v>12.363928415010069</v>
      </c>
      <c r="FG214" s="172">
        <f ca="1">(VLOOKUP(FG$72,INDIRECT($C$5&amp;"生成成长"),2))/((VLOOKUP($B214,INDIRECT($B$5&amp;"生成成长"),4))/(VLOOKUP(FG$72,INDIRECT($C$5&amp;"生成成长"),5))*(VLOOKUP($B$5,标准坦克设计!$B$24:$U$30,MATCH("对"&amp;LEFT($C$5,2)&amp;"输出",标准坦克设计!$B$23:$U$23,0)))*(VLOOKUP($B214,INDIRECT($B$5&amp;"生成成长"),3))*(VLOOKUP($B$5,标准坦克设计!$B$14:$K$20,9)/30))</f>
        <v>13.146837142863333</v>
      </c>
      <c r="FH214" s="172">
        <f ca="1">(VLOOKUP(FH$72,INDIRECT($C$5&amp;"生成成长"),2))/((VLOOKUP($B214,INDIRECT($B$5&amp;"生成成长"),4))/(VLOOKUP(FH$72,INDIRECT($C$5&amp;"生成成长"),5))*(VLOOKUP($B$5,标准坦克设计!$B$24:$U$30,MATCH("对"&amp;LEFT($C$5,2)&amp;"输出",标准坦克设计!$B$23:$U$23,0)))*(VLOOKUP($B214,INDIRECT($B$5&amp;"生成成长"),3))*(VLOOKUP($B$5,标准坦克设计!$B$14:$K$20,9)/30))</f>
        <v>13.953778488100518</v>
      </c>
      <c r="FI214" s="172">
        <f ca="1">(VLOOKUP(FI$72,INDIRECT($C$5&amp;"生成成长"),2))/((VLOOKUP($B214,INDIRECT($B$5&amp;"生成成长"),4))/(VLOOKUP(FI$72,INDIRECT($C$5&amp;"生成成长"),5))*(VLOOKUP($B$5,标准坦克设计!$B$24:$U$30,MATCH("对"&amp;LEFT($C$5,2)&amp;"输出",标准坦克设计!$B$23:$U$23,0)))*(VLOOKUP($B214,INDIRECT($B$5&amp;"生成成长"),3))*(VLOOKUP($B$5,标准坦克设计!$B$14:$K$20,9)/30))</f>
        <v>14.784752450721632</v>
      </c>
      <c r="FJ214" s="172">
        <f ca="1">(VLOOKUP(FJ$72,INDIRECT($C$5&amp;"生成成长"),2))/((VLOOKUP($B214,INDIRECT($B$5&amp;"生成成长"),4))/(VLOOKUP(FJ$72,INDIRECT($C$5&amp;"生成成长"),5))*(VLOOKUP($B$5,标准坦克设计!$B$24:$U$30,MATCH("对"&amp;LEFT($C$5,2)&amp;"输出",标准坦克设计!$B$23:$U$23,0)))*(VLOOKUP($B214,INDIRECT($B$5&amp;"生成成长"),3))*(VLOOKUP($B$5,标准坦克设计!$B$14:$K$20,9)/30))</f>
        <v>15.639759030726671</v>
      </c>
      <c r="FK214" s="172">
        <f ca="1">(VLOOKUP(FK$72,INDIRECT($C$5&amp;"生成成长"),2))/((VLOOKUP($B214,INDIRECT($B$5&amp;"生成成长"),4))/(VLOOKUP(FK$72,INDIRECT($C$5&amp;"生成成长"),5))*(VLOOKUP($B$5,标准坦克设计!$B$24:$U$30,MATCH("对"&amp;LEFT($C$5,2)&amp;"输出",标准坦克设计!$B$23:$U$23,0)))*(VLOOKUP($B214,INDIRECT($B$5&amp;"生成成长"),3))*(VLOOKUP($B$5,标准坦克设计!$B$14:$K$20,9)/30))</f>
        <v>16.518798228115635</v>
      </c>
    </row>
    <row r="215" spans="1:167" x14ac:dyDescent="0.15">
      <c r="A215" s="170" t="str">
        <f t="shared" si="13"/>
        <v>T4高品质17级</v>
      </c>
      <c r="B215" s="171">
        <v>30417</v>
      </c>
      <c r="C215" s="172">
        <f ca="1">(VLOOKUP(C$72,INDIRECT($C$5&amp;"生成成长"),2))/((VLOOKUP($B215,INDIRECT($B$5&amp;"生成成长"),4))/(VLOOKUP(C$72,INDIRECT($C$5&amp;"生成成长"),5))*(VLOOKUP($B$5,标准坦克设计!$B$24:$U$30,MATCH("对"&amp;LEFT($C$5,2)&amp;"输出",标准坦克设计!$B$23:$U$23,0)))*(VLOOKUP($B215,INDIRECT($B$5&amp;"生成成长"),3))*(VLOOKUP($B$5,标准坦克设计!$B$14:$K$20,9)/30))</f>
        <v>0.66549765967622954</v>
      </c>
      <c r="D215" s="172">
        <f ca="1">(VLOOKUP(D$72,INDIRECT($C$5&amp;"生成成长"),2))/((VLOOKUP($B215,INDIRECT($B$5&amp;"生成成长"),4))/(VLOOKUP(D$72,INDIRECT($C$5&amp;"生成成长"),5))*(VLOOKUP($B$5,标准坦克设计!$B$24:$U$30,MATCH("对"&amp;LEFT($C$5,2)&amp;"输出",标准坦克设计!$B$23:$U$23,0)))*(VLOOKUP($B215,INDIRECT($B$5&amp;"生成成长"),3))*(VLOOKUP($B$5,标准坦克设计!$B$14:$K$20,9)/30))</f>
        <v>0.74775317041221145</v>
      </c>
      <c r="E215" s="172">
        <f ca="1">(VLOOKUP(E$72,INDIRECT($C$5&amp;"生成成长"),2))/((VLOOKUP($B215,INDIRECT($B$5&amp;"生成成长"),4))/(VLOOKUP(E$72,INDIRECT($C$5&amp;"生成成长"),5))*(VLOOKUP($B$5,标准坦克设计!$B$24:$U$30,MATCH("对"&amp;LEFT($C$5,2)&amp;"输出",标准坦克设计!$B$23:$U$23,0)))*(VLOOKUP($B215,INDIRECT($B$5&amp;"生成成长"),3))*(VLOOKUP($B$5,标准坦克设计!$B$14:$K$20,9)/30))</f>
        <v>0.83480026429786225</v>
      </c>
      <c r="F215" s="172">
        <f ca="1">(VLOOKUP(F$72,INDIRECT($C$5&amp;"生成成长"),2))/((VLOOKUP($B215,INDIRECT($B$5&amp;"生成成长"),4))/(VLOOKUP(F$72,INDIRECT($C$5&amp;"生成成长"),5))*(VLOOKUP($B$5,标准坦克设计!$B$24:$U$30,MATCH("对"&amp;LEFT($C$5,2)&amp;"输出",标准坦克设计!$B$23:$U$23,0)))*(VLOOKUP($B215,INDIRECT($B$5&amp;"生成成长"),3))*(VLOOKUP($B$5,标准坦克设计!$B$14:$K$20,9)/30))</f>
        <v>0.92663894133318203</v>
      </c>
      <c r="G215" s="172">
        <f ca="1">(VLOOKUP(G$72,INDIRECT($C$5&amp;"生成成长"),2))/((VLOOKUP($B215,INDIRECT($B$5&amp;"生成成长"),4))/(VLOOKUP(G$72,INDIRECT($C$5&amp;"生成成长"),5))*(VLOOKUP($B$5,标准坦克设计!$B$24:$U$30,MATCH("对"&amp;LEFT($C$5,2)&amp;"输出",标准坦克设计!$B$23:$U$23,0)))*(VLOOKUP($B215,INDIRECT($B$5&amp;"生成成长"),3))*(VLOOKUP($B$5,标准坦克设计!$B$14:$K$20,9)/30))</f>
        <v>1.0232692015181706</v>
      </c>
      <c r="H215" s="172">
        <f ca="1">(VLOOKUP(H$72,INDIRECT($C$5&amp;"生成成长"),2))/((VLOOKUP($B215,INDIRECT($B$5&amp;"生成成长"),4))/(VLOOKUP(H$72,INDIRECT($C$5&amp;"生成成长"),5))*(VLOOKUP($B$5,标准坦克设计!$B$24:$U$30,MATCH("对"&amp;LEFT($C$5,2)&amp;"输出",标准坦克设计!$B$23:$U$23,0)))*(VLOOKUP($B215,INDIRECT($B$5&amp;"生成成长"),3))*(VLOOKUP($B$5,标准坦克设计!$B$14:$K$20,9)/30))</f>
        <v>0.8954936508603345</v>
      </c>
      <c r="I215" s="172">
        <f ca="1">(VLOOKUP(I$72,INDIRECT($C$5&amp;"生成成长"),2))/((VLOOKUP($B215,INDIRECT($B$5&amp;"生成成长"),4))/(VLOOKUP(I$72,INDIRECT($C$5&amp;"生成成长"),5))*(VLOOKUP($B$5,标准坦克设计!$B$24:$U$30,MATCH("对"&amp;LEFT($C$5,2)&amp;"输出",标准坦克设计!$B$23:$U$23,0)))*(VLOOKUP($B215,INDIRECT($B$5&amp;"生成成长"),3))*(VLOOKUP($B$5,标准坦克设计!$B$14:$K$20,9)/30))</f>
        <v>1.0232692015181706</v>
      </c>
      <c r="J215" s="172">
        <f ca="1">(VLOOKUP(J$72,INDIRECT($C$5&amp;"生成成长"),2))/((VLOOKUP($B215,INDIRECT($B$5&amp;"生成成长"),4))/(VLOOKUP(J$72,INDIRECT($C$5&amp;"生成成长"),5))*(VLOOKUP($B$5,标准坦克设计!$B$24:$U$30,MATCH("对"&amp;LEFT($C$5,2)&amp;"输出",标准坦克设计!$B$23:$U$23,0)))*(VLOOKUP($B215,INDIRECT($B$5&amp;"生成成长"),3))*(VLOOKUP($B$5,标准坦克设计!$B$14:$K$20,9)/30))</f>
        <v>1.1595631222198624</v>
      </c>
      <c r="K215" s="172">
        <f ca="1">(VLOOKUP(K$72,INDIRECT($C$5&amp;"生成成长"),2))/((VLOOKUP($B215,INDIRECT($B$5&amp;"生成成长"),4))/(VLOOKUP(K$72,INDIRECT($C$5&amp;"生成成长"),5))*(VLOOKUP($B$5,标准坦克设计!$B$24:$U$30,MATCH("对"&amp;LEFT($C$5,2)&amp;"输出",标准坦克设计!$B$23:$U$23,0)))*(VLOOKUP($B215,INDIRECT($B$5&amp;"生成成长"),3))*(VLOOKUP($B$5,标准坦克设计!$B$14:$K$20,9)/30))</f>
        <v>1.3043754129654097</v>
      </c>
      <c r="L215" s="172">
        <f ca="1">(VLOOKUP(L$72,INDIRECT($C$5&amp;"生成成长"),2))/((VLOOKUP($B215,INDIRECT($B$5&amp;"生成成长"),4))/(VLOOKUP(L$72,INDIRECT($C$5&amp;"生成成长"),5))*(VLOOKUP($B$5,标准坦克设计!$B$24:$U$30,MATCH("对"&amp;LEFT($C$5,2)&amp;"输出",标准坦克设计!$B$23:$U$23,0)))*(VLOOKUP($B215,INDIRECT($B$5&amp;"生成成长"),3))*(VLOOKUP($B$5,标准坦克设计!$B$14:$K$20,9)/30))</f>
        <v>1.4577060737548133</v>
      </c>
      <c r="M215" s="172">
        <f ca="1">(VLOOKUP(M$72,INDIRECT($C$5&amp;"生成成长"),2))/((VLOOKUP($B215,INDIRECT($B$5&amp;"生成成长"),4))/(VLOOKUP(M$72,INDIRECT($C$5&amp;"生成成长"),5))*(VLOOKUP($B$5,标准坦克设计!$B$24:$U$30,MATCH("对"&amp;LEFT($C$5,2)&amp;"输出",标准坦克设计!$B$23:$U$23,0)))*(VLOOKUP($B215,INDIRECT($B$5&amp;"生成成长"),3))*(VLOOKUP($B$5,标准坦克设计!$B$14:$K$20,9)/30))</f>
        <v>1.6195551045880721</v>
      </c>
      <c r="N215" s="172">
        <f ca="1">(VLOOKUP(N$72,INDIRECT($C$5&amp;"生成成长"),2))/((VLOOKUP($B215,INDIRECT($B$5&amp;"生成成长"),4))/(VLOOKUP(N$72,INDIRECT($C$5&amp;"生成成长"),5))*(VLOOKUP($B$5,标准坦克设计!$B$24:$U$30,MATCH("对"&amp;LEFT($C$5,2)&amp;"输出",标准坦克设计!$B$23:$U$23,0)))*(VLOOKUP($B215,INDIRECT($B$5&amp;"生成成长"),3))*(VLOOKUP($B$5,标准坦克设计!$B$14:$K$20,9)/30))</f>
        <v>1.7899225054651871</v>
      </c>
      <c r="O215" s="172">
        <f ca="1">(VLOOKUP(O$72,INDIRECT($C$5&amp;"生成成长"),2))/((VLOOKUP($B215,INDIRECT($B$5&amp;"生成成长"),4))/(VLOOKUP(O$72,INDIRECT($C$5&amp;"生成成长"),5))*(VLOOKUP($B$5,标准坦克设计!$B$24:$U$30,MATCH("对"&amp;LEFT($C$5,2)&amp;"输出",标准坦克设计!$B$23:$U$23,0)))*(VLOOKUP($B215,INDIRECT($B$5&amp;"生成成长"),3))*(VLOOKUP($B$5,标准坦克设计!$B$14:$K$20,9)/30))</f>
        <v>1.3608761642719218</v>
      </c>
      <c r="P215" s="172">
        <f ca="1">(VLOOKUP(P$72,INDIRECT($C$5&amp;"生成成长"),2))/((VLOOKUP($B215,INDIRECT($B$5&amp;"生成成长"),4))/(VLOOKUP(P$72,INDIRECT($C$5&amp;"生成成长"),5))*(VLOOKUP($B$5,标准坦克设计!$B$24:$U$30,MATCH("对"&amp;LEFT($C$5,2)&amp;"输出",标准坦克设计!$B$23:$U$23,0)))*(VLOOKUP($B215,INDIRECT($B$5&amp;"生成成长"),3))*(VLOOKUP($B$5,标准坦克设计!$B$14:$K$20,9)/30))</f>
        <v>1.5375657929159605</v>
      </c>
      <c r="Q215" s="172">
        <f ca="1">(VLOOKUP(Q$72,INDIRECT($C$5&amp;"生成成长"),2))/((VLOOKUP($B215,INDIRECT($B$5&amp;"生成成长"),4))/(VLOOKUP(Q$72,INDIRECT($C$5&amp;"生成成长"),5))*(VLOOKUP($B$5,标准坦克设计!$B$24:$U$30,MATCH("对"&amp;LEFT($C$5,2)&amp;"输出",标准坦克设计!$B$23:$U$23,0)))*(VLOOKUP($B215,INDIRECT($B$5&amp;"生成成长"),3))*(VLOOKUP($B$5,标准坦克设计!$B$14:$K$20,9)/30))</f>
        <v>1.7250364836467544</v>
      </c>
      <c r="R215" s="172">
        <f ca="1">(VLOOKUP(R$72,INDIRECT($C$5&amp;"生成成长"),2))/((VLOOKUP($B215,INDIRECT($B$5&amp;"生成成长"),4))/(VLOOKUP(R$72,INDIRECT($C$5&amp;"生成成长"),5))*(VLOOKUP($B$5,标准坦克设计!$B$24:$U$30,MATCH("对"&amp;LEFT($C$5,2)&amp;"输出",标准坦克设计!$B$23:$U$23,0)))*(VLOOKUP($B215,INDIRECT($B$5&amp;"生成成长"),3))*(VLOOKUP($B$5,标准坦克设计!$B$14:$K$20,9)/30))</f>
        <v>1.9232882364643034</v>
      </c>
      <c r="S215" s="172">
        <f ca="1">(VLOOKUP(S$72,INDIRECT($C$5&amp;"生成成长"),2))/((VLOOKUP($B215,INDIRECT($B$5&amp;"生成成长"),4))/(VLOOKUP(S$72,INDIRECT($C$5&amp;"生成成长"),5))*(VLOOKUP($B$5,标准坦克设计!$B$24:$U$30,MATCH("对"&amp;LEFT($C$5,2)&amp;"输出",标准坦克设计!$B$23:$U$23,0)))*(VLOOKUP($B215,INDIRECT($B$5&amp;"生成成长"),3))*(VLOOKUP($B$5,标准坦克设计!$B$14:$K$20,9)/30))</f>
        <v>2.1323210513686068</v>
      </c>
      <c r="T215" s="172">
        <f ca="1">(VLOOKUP(T$72,INDIRECT($C$5&amp;"生成成长"),2))/((VLOOKUP($B215,INDIRECT($B$5&amp;"生成成长"),4))/(VLOOKUP(T$72,INDIRECT($C$5&amp;"生成成长"),5))*(VLOOKUP($B$5,标准坦克设计!$B$24:$U$30,MATCH("对"&amp;LEFT($C$5,2)&amp;"输出",标准坦克设计!$B$23:$U$23,0)))*(VLOOKUP($B215,INDIRECT($B$5&amp;"生成成长"),3))*(VLOOKUP($B$5,标准坦克设计!$B$14:$K$20,9)/30))</f>
        <v>2.3521349283596655</v>
      </c>
      <c r="U215" s="172">
        <f ca="1">(VLOOKUP(U$72,INDIRECT($C$5&amp;"生成成长"),2))/((VLOOKUP($B215,INDIRECT($B$5&amp;"生成成长"),4))/(VLOOKUP(U$72,INDIRECT($C$5&amp;"生成成长"),5))*(VLOOKUP($B$5,标准坦克设计!$B$24:$U$30,MATCH("对"&amp;LEFT($C$5,2)&amp;"输出",标准坦克设计!$B$23:$U$23,0)))*(VLOOKUP($B215,INDIRECT($B$5&amp;"生成成长"),3))*(VLOOKUP($B$5,标准坦克设计!$B$14:$K$20,9)/30))</f>
        <v>2.5827298674374792</v>
      </c>
      <c r="V215" s="172">
        <f ca="1">(VLOOKUP(V$72,INDIRECT($C$5&amp;"生成成长"),2))/((VLOOKUP($B215,INDIRECT($B$5&amp;"生成成长"),4))/(VLOOKUP(V$72,INDIRECT($C$5&amp;"生成成长"),5))*(VLOOKUP($B$5,标准坦克设计!$B$24:$U$30,MATCH("对"&amp;LEFT($C$5,2)&amp;"输出",标准坦克设计!$B$23:$U$23,0)))*(VLOOKUP($B215,INDIRECT($B$5&amp;"生成成长"),3))*(VLOOKUP($B$5,标准坦克设计!$B$14:$K$20,9)/30))</f>
        <v>2.8241058686020479</v>
      </c>
      <c r="W215" s="172">
        <f ca="1">(VLOOKUP(W$72,INDIRECT($C$5&amp;"生成成长"),2))/((VLOOKUP($B215,INDIRECT($B$5&amp;"生成成长"),4))/(VLOOKUP(W$72,INDIRECT($C$5&amp;"生成成长"),5))*(VLOOKUP($B$5,标准坦克设计!$B$24:$U$30,MATCH("对"&amp;LEFT($C$5,2)&amp;"输出",标准坦克设计!$B$23:$U$23,0)))*(VLOOKUP($B215,INDIRECT($B$5&amp;"生成成长"),3))*(VLOOKUP($B$5,标准坦克设计!$B$14:$K$20,9)/30))</f>
        <v>3.0762629318533712</v>
      </c>
      <c r="X215" s="172">
        <f ca="1">(VLOOKUP(X$72,INDIRECT($C$5&amp;"生成成长"),2))/((VLOOKUP($B215,INDIRECT($B$5&amp;"生成成长"),4))/(VLOOKUP(X$72,INDIRECT($C$5&amp;"生成成长"),5))*(VLOOKUP($B$5,标准坦克设计!$B$24:$U$30,MATCH("对"&amp;LEFT($C$5,2)&amp;"输出",标准坦克设计!$B$23:$U$23,0)))*(VLOOKUP($B215,INDIRECT($B$5&amp;"生成成长"),3))*(VLOOKUP($B$5,标准坦克设计!$B$14:$K$20,9)/30))</f>
        <v>2.2286851124897251</v>
      </c>
      <c r="Y215" s="172">
        <f ca="1">(VLOOKUP(Y$72,INDIRECT($C$5&amp;"生成成长"),2))/((VLOOKUP($B215,INDIRECT($B$5&amp;"生成成长"),4))/(VLOOKUP(Y$72,INDIRECT($C$5&amp;"生成成长"),5))*(VLOOKUP($B$5,标准坦克设计!$B$24:$U$30,MATCH("对"&amp;LEFT($C$5,2)&amp;"输出",标准坦克设计!$B$23:$U$23,0)))*(VLOOKUP($B215,INDIRECT($B$5&amp;"生成成长"),3))*(VLOOKUP($B$5,标准坦克设计!$B$14:$K$20,9)/30))</f>
        <v>2.4789122325279873</v>
      </c>
      <c r="Z215" s="172">
        <f ca="1">(VLOOKUP(Z$72,INDIRECT($C$5&amp;"生成成长"),2))/((VLOOKUP($B215,INDIRECT($B$5&amp;"生成成长"),4))/(VLOOKUP(Z$72,INDIRECT($C$5&amp;"生成成长"),5))*(VLOOKUP($B$5,标准坦克设计!$B$24:$U$30,MATCH("对"&amp;LEFT($C$5,2)&amp;"输出",标准坦克设计!$B$23:$U$23,0)))*(VLOOKUP($B215,INDIRECT($B$5&amp;"生成成长"),3))*(VLOOKUP($B$5,标准坦克设计!$B$14:$K$20,9)/30))</f>
        <v>2.7424493057597745</v>
      </c>
      <c r="AA215" s="172">
        <f ca="1">(VLOOKUP(AA$72,INDIRECT($C$5&amp;"生成成长"),2))/((VLOOKUP($B215,INDIRECT($B$5&amp;"生成成长"),4))/(VLOOKUP(AA$72,INDIRECT($C$5&amp;"生成成长"),5))*(VLOOKUP($B$5,标准坦克设计!$B$24:$U$30,MATCH("对"&amp;LEFT($C$5,2)&amp;"输出",标准坦克设计!$B$23:$U$23,0)))*(VLOOKUP($B215,INDIRECT($B$5&amp;"生成成长"),3))*(VLOOKUP($B$5,标准坦克设计!$B$14:$K$20,9)/30))</f>
        <v>3.0192963321850854</v>
      </c>
      <c r="AB215" s="172">
        <f ca="1">(VLOOKUP(AB$72,INDIRECT($C$5&amp;"生成成长"),2))/((VLOOKUP($B215,INDIRECT($B$5&amp;"生成成长"),4))/(VLOOKUP(AB$72,INDIRECT($C$5&amp;"生成成长"),5))*(VLOOKUP($B$5,标准坦克设计!$B$24:$U$30,MATCH("对"&amp;LEFT($C$5,2)&amp;"输出",标准坦克设计!$B$23:$U$23,0)))*(VLOOKUP($B215,INDIRECT($B$5&amp;"生成成长"),3))*(VLOOKUP($B$5,标准坦克设计!$B$14:$K$20,9)/30))</f>
        <v>3.3094533118039222</v>
      </c>
      <c r="AC215" s="172">
        <f ca="1">(VLOOKUP(AC$72,INDIRECT($C$5&amp;"生成成长"),2))/((VLOOKUP($B215,INDIRECT($B$5&amp;"生成成长"),4))/(VLOOKUP(AC$72,INDIRECT($C$5&amp;"生成成长"),5))*(VLOOKUP($B$5,标准坦克设计!$B$24:$U$30,MATCH("对"&amp;LEFT($C$5,2)&amp;"输出",标准坦克设计!$B$23:$U$23,0)))*(VLOOKUP($B215,INDIRECT($B$5&amp;"生成成长"),3))*(VLOOKUP($B$5,标准坦克设计!$B$14:$K$20,9)/30))</f>
        <v>3.6129202446162831</v>
      </c>
      <c r="AD215" s="172">
        <f ca="1">(VLOOKUP(AD$72,INDIRECT($C$5&amp;"生成成长"),2))/((VLOOKUP($B215,INDIRECT($B$5&amp;"生成成长"),4))/(VLOOKUP(AD$72,INDIRECT($C$5&amp;"生成成长"),5))*(VLOOKUP($B$5,标准坦克设计!$B$24:$U$30,MATCH("对"&amp;LEFT($C$5,2)&amp;"输出",标准坦克设计!$B$23:$U$23,0)))*(VLOOKUP($B215,INDIRECT($B$5&amp;"生成成长"),3))*(VLOOKUP($B$5,标准坦克设计!$B$14:$K$20,9)/30))</f>
        <v>3.9296971306221682</v>
      </c>
      <c r="AE215" s="172">
        <f ca="1">(VLOOKUP(AE$72,INDIRECT($C$5&amp;"生成成长"),2))/((VLOOKUP($B215,INDIRECT($B$5&amp;"生成成长"),4))/(VLOOKUP(AE$72,INDIRECT($C$5&amp;"生成成长"),5))*(VLOOKUP($B$5,标准坦克设计!$B$24:$U$30,MATCH("对"&amp;LEFT($C$5,2)&amp;"输出",标准坦克设计!$B$23:$U$23,0)))*(VLOOKUP($B215,INDIRECT($B$5&amp;"生成成长"),3))*(VLOOKUP($B$5,标准坦克设计!$B$14:$K$20,9)/30))</f>
        <v>4.2597839698215783</v>
      </c>
      <c r="AF215" s="172">
        <f ca="1">(VLOOKUP(AF$72,INDIRECT($C$5&amp;"生成成长"),2))/((VLOOKUP($B215,INDIRECT($B$5&amp;"生成成长"),4))/(VLOOKUP(AF$72,INDIRECT($C$5&amp;"生成成长"),5))*(VLOOKUP($B$5,标准坦克设计!$B$24:$U$30,MATCH("对"&amp;LEFT($C$5,2)&amp;"输出",标准坦克设计!$B$23:$U$23,0)))*(VLOOKUP($B215,INDIRECT($B$5&amp;"生成成长"),3))*(VLOOKUP($B$5,标准坦克设计!$B$14:$K$20,9)/30))</f>
        <v>4.603180762214512</v>
      </c>
      <c r="AG215" s="172">
        <f ca="1">(VLOOKUP(AG$72,INDIRECT($C$5&amp;"生成成长"),2))/((VLOOKUP($B215,INDIRECT($B$5&amp;"生成成长"),4))/(VLOOKUP(AG$72,INDIRECT($C$5&amp;"生成成长"),5))*(VLOOKUP($B$5,标准坦克设计!$B$24:$U$30,MATCH("对"&amp;LEFT($C$5,2)&amp;"输出",标准坦克设计!$B$23:$U$23,0)))*(VLOOKUP($B215,INDIRECT($B$5&amp;"生成成长"),3))*(VLOOKUP($B$5,标准坦克设计!$B$14:$K$20,9)/30))</f>
        <v>4.9598875078009712</v>
      </c>
      <c r="AH215" s="172">
        <f ca="1">(VLOOKUP(AH$72,INDIRECT($C$5&amp;"生成成长"),2))/((VLOOKUP($B215,INDIRECT($B$5&amp;"生成成长"),4))/(VLOOKUP(AH$72,INDIRECT($C$5&amp;"生成成长"),5))*(VLOOKUP($B$5,标准坦克设计!$B$24:$U$30,MATCH("对"&amp;LEFT($C$5,2)&amp;"输出",标准坦克设计!$B$23:$U$23,0)))*(VLOOKUP($B215,INDIRECT($B$5&amp;"生成成长"),3))*(VLOOKUP($B$5,标准坦克设计!$B$14:$K$20,9)/30))</f>
        <v>5.3299042065809541</v>
      </c>
      <c r="AI215" s="172">
        <f ca="1">(VLOOKUP(AI$72,INDIRECT($C$5&amp;"生成成长"),2))/((VLOOKUP($B215,INDIRECT($B$5&amp;"生成成长"),4))/(VLOOKUP(AI$72,INDIRECT($C$5&amp;"生成成长"),5))*(VLOOKUP($B$5,标准坦克设计!$B$24:$U$30,MATCH("对"&amp;LEFT($C$5,2)&amp;"输出",标准坦克设计!$B$23:$U$23,0)))*(VLOOKUP($B215,INDIRECT($B$5&amp;"生成成长"),3))*(VLOOKUP($B$5,标准坦克设计!$B$14:$K$20,9)/30))</f>
        <v>3.769644943470035</v>
      </c>
      <c r="AJ215" s="172">
        <f ca="1">(VLOOKUP(AJ$72,INDIRECT($C$5&amp;"生成成长"),2))/((VLOOKUP($B215,INDIRECT($B$5&amp;"生成成长"),4))/(VLOOKUP(AJ$72,INDIRECT($C$5&amp;"生成成长"),5))*(VLOOKUP($B$5,标准坦克设计!$B$24:$U$30,MATCH("对"&amp;LEFT($C$5,2)&amp;"输出",标准坦克设计!$B$23:$U$23,0)))*(VLOOKUP($B215,INDIRECT($B$5&amp;"生成成长"),3))*(VLOOKUP($B$5,标准坦克设计!$B$14:$K$20,9)/30))</f>
        <v>4.1261520397585905</v>
      </c>
      <c r="AK215" s="172">
        <f ca="1">(VLOOKUP(AK$72,INDIRECT($C$5&amp;"生成成长"),2))/((VLOOKUP($B215,INDIRECT($B$5&amp;"生成成长"),4))/(VLOOKUP(AK$72,INDIRECT($C$5&amp;"生成成长"),5))*(VLOOKUP($B$5,标准坦克设计!$B$24:$U$30,MATCH("对"&amp;LEFT($C$5,2)&amp;"输出",标准坦克设计!$B$23:$U$23,0)))*(VLOOKUP($B215,INDIRECT($B$5&amp;"生成成长"),3))*(VLOOKUP($B$5,标准坦克设计!$B$14:$K$20,9)/30))</f>
        <v>4.498764179411312</v>
      </c>
      <c r="AL215" s="172">
        <f ca="1">(VLOOKUP(AL$72,INDIRECT($C$5&amp;"生成成长"),2))/((VLOOKUP($B215,INDIRECT($B$5&amp;"生成成长"),4))/(VLOOKUP(AL$72,INDIRECT($C$5&amp;"生成成长"),5))*(VLOOKUP($B$5,标准坦克设计!$B$24:$U$30,MATCH("对"&amp;LEFT($C$5,2)&amp;"输出",标准坦克设计!$B$23:$U$23,0)))*(VLOOKUP($B215,INDIRECT($B$5&amp;"生成成长"),3))*(VLOOKUP($B$5,标准坦克设计!$B$14:$K$20,9)/30))</f>
        <v>4.8874813624281979</v>
      </c>
      <c r="AM215" s="172">
        <f ca="1">(VLOOKUP(AM$72,INDIRECT($C$5&amp;"生成成长"),2))/((VLOOKUP($B215,INDIRECT($B$5&amp;"生成成长"),4))/(VLOOKUP(AM$72,INDIRECT($C$5&amp;"生成成长"),5))*(VLOOKUP($B$5,标准坦克设计!$B$24:$U$30,MATCH("对"&amp;LEFT($C$5,2)&amp;"输出",标准坦克设计!$B$23:$U$23,0)))*(VLOOKUP($B215,INDIRECT($B$5&amp;"生成成长"),3))*(VLOOKUP($B$5,标准坦克设计!$B$14:$K$20,9)/30))</f>
        <v>5.292303588809248</v>
      </c>
      <c r="AN215" s="172">
        <f ca="1">(VLOOKUP(AN$72,INDIRECT($C$5&amp;"生成成长"),2))/((VLOOKUP($B215,INDIRECT($B$5&amp;"生成成长"),4))/(VLOOKUP(AN$72,INDIRECT($C$5&amp;"生成成长"),5))*(VLOOKUP($B$5,标准坦克设计!$B$24:$U$30,MATCH("对"&amp;LEFT($C$5,2)&amp;"输出",标准坦克设计!$B$23:$U$23,0)))*(VLOOKUP($B215,INDIRECT($B$5&amp;"生成成长"),3))*(VLOOKUP($B$5,标准坦克设计!$B$14:$K$20,9)/30))</f>
        <v>5.7132308585544633</v>
      </c>
      <c r="AO215" s="172">
        <f ca="1">(VLOOKUP(AO$72,INDIRECT($C$5&amp;"生成成长"),2))/((VLOOKUP($B215,INDIRECT($B$5&amp;"生成成长"),4))/(VLOOKUP(AO$72,INDIRECT($C$5&amp;"生成成长"),5))*(VLOOKUP($B$5,标准坦克设计!$B$24:$U$30,MATCH("对"&amp;LEFT($C$5,2)&amp;"输出",标准坦克设计!$B$23:$U$23,0)))*(VLOOKUP($B215,INDIRECT($B$5&amp;"生成成长"),3))*(VLOOKUP($B$5,标准坦克设计!$B$14:$K$20,9)/30))</f>
        <v>6.1502631716638421</v>
      </c>
      <c r="AP215" s="172">
        <f ca="1">(VLOOKUP(AP$72,INDIRECT($C$5&amp;"生成成长"),2))/((VLOOKUP($B215,INDIRECT($B$5&amp;"生成成长"),4))/(VLOOKUP(AP$72,INDIRECT($C$5&amp;"生成成长"),5))*(VLOOKUP($B$5,标准坦克设计!$B$24:$U$30,MATCH("对"&amp;LEFT($C$5,2)&amp;"输出",标准坦克设计!$B$23:$U$23,0)))*(VLOOKUP($B215,INDIRECT($B$5&amp;"生成成长"),3))*(VLOOKUP($B$5,标准坦克设计!$B$14:$K$20,9)/30))</f>
        <v>6.6034005281373878</v>
      </c>
      <c r="AQ215" s="172">
        <f ca="1">(VLOOKUP(AQ$72,INDIRECT($C$5&amp;"生成成长"),2))/((VLOOKUP($B215,INDIRECT($B$5&amp;"生成成长"),4))/(VLOOKUP(AQ$72,INDIRECT($C$5&amp;"生成成长"),5))*(VLOOKUP($B$5,标准坦克设计!$B$24:$U$30,MATCH("对"&amp;LEFT($C$5,2)&amp;"输出",标准坦克设计!$B$23:$U$23,0)))*(VLOOKUP($B215,INDIRECT($B$5&amp;"生成成长"),3))*(VLOOKUP($B$5,标准坦克设计!$B$14:$K$20,9)/30))</f>
        <v>7.0726429279750977</v>
      </c>
      <c r="AR215" s="172">
        <f ca="1">(VLOOKUP(AR$72,INDIRECT($C$5&amp;"生成成长"),2))/((VLOOKUP($B215,INDIRECT($B$5&amp;"生成成长"),4))/(VLOOKUP(AR$72,INDIRECT($C$5&amp;"生成成长"),5))*(VLOOKUP($B$5,标准坦克设计!$B$24:$U$30,MATCH("对"&amp;LEFT($C$5,2)&amp;"输出",标准坦克设计!$B$23:$U$23,0)))*(VLOOKUP($B215,INDIRECT($B$5&amp;"生成成长"),3))*(VLOOKUP($B$5,标准坦克设计!$B$14:$K$20,9)/30))</f>
        <v>7.5579903711769711</v>
      </c>
      <c r="AS215" s="172">
        <f ca="1">(VLOOKUP(AS$72,INDIRECT($C$5&amp;"生成成长"),2))/((VLOOKUP($B215,INDIRECT($B$5&amp;"生成成长"),4))/(VLOOKUP(AS$72,INDIRECT($C$5&amp;"生成成长"),5))*(VLOOKUP($B$5,标准坦克设计!$B$24:$U$30,MATCH("对"&amp;LEFT($C$5,2)&amp;"输出",标准坦克设计!$B$23:$U$23,0)))*(VLOOKUP($B215,INDIRECT($B$5&amp;"生成成长"),3))*(VLOOKUP($B$5,标准坦克设计!$B$14:$K$20,9)/30))</f>
        <v>8.0594428577430097</v>
      </c>
      <c r="AT215" s="172">
        <f ca="1">(VLOOKUP(AT$72,INDIRECT($C$5&amp;"生成成长"),2))/((VLOOKUP($B215,INDIRECT($B$5&amp;"生成成长"),4))/(VLOOKUP(AT$72,INDIRECT($C$5&amp;"生成成长"),5))*(VLOOKUP($B$5,标准坦克设计!$B$24:$U$30,MATCH("对"&amp;LEFT($C$5,2)&amp;"输出",标准坦克设计!$B$23:$U$23,0)))*(VLOOKUP($B215,INDIRECT($B$5&amp;"生成成长"),3))*(VLOOKUP($B$5,标准坦克设计!$B$14:$K$20,9)/30))</f>
        <v>8.5770003876732144</v>
      </c>
      <c r="AU215" s="172">
        <f ca="1">(VLOOKUP(AU$72,INDIRECT($C$5&amp;"生成成长"),2))/((VLOOKUP($B215,INDIRECT($B$5&amp;"生成成长"),4))/(VLOOKUP(AU$72,INDIRECT($C$5&amp;"生成成长"),5))*(VLOOKUP($B$5,标准坦克设计!$B$24:$U$30,MATCH("对"&amp;LEFT($C$5,2)&amp;"输出",标准坦克设计!$B$23:$U$23,0)))*(VLOOKUP($B215,INDIRECT($B$5&amp;"生成成长"),3))*(VLOOKUP($B$5,标准坦克设计!$B$14:$K$20,9)/30))</f>
        <v>9.1106629609675824</v>
      </c>
      <c r="AV215" s="172">
        <f ca="1">(VLOOKUP(AV$72,INDIRECT($C$5&amp;"生成成长"),2))/((VLOOKUP($B215,INDIRECT($B$5&amp;"生成成长"),4))/(VLOOKUP(AV$72,INDIRECT($C$5&amp;"生成成长"),5))*(VLOOKUP($B$5,标准坦克设计!$B$24:$U$30,MATCH("对"&amp;LEFT($C$5,2)&amp;"输出",标准坦克设计!$B$23:$U$23,0)))*(VLOOKUP($B215,INDIRECT($B$5&amp;"生成成长"),3))*(VLOOKUP($B$5,标准坦克设计!$B$14:$K$20,9)/30))</f>
        <v>0.92663894133318203</v>
      </c>
      <c r="AW215" s="172">
        <f ca="1">(VLOOKUP(AW$72,INDIRECT($C$5&amp;"生成成长"),2))/((VLOOKUP($B215,INDIRECT($B$5&amp;"生成成长"),4))/(VLOOKUP(AW$72,INDIRECT($C$5&amp;"生成成长"),5))*(VLOOKUP($B$5,标准坦克设计!$B$24:$U$30,MATCH("对"&amp;LEFT($C$5,2)&amp;"输出",标准坦克设计!$B$23:$U$23,0)))*(VLOOKUP($B215,INDIRECT($B$5&amp;"生成成长"),3))*(VLOOKUP($B$5,标准坦克设计!$B$14:$K$20,9)/30))</f>
        <v>1.0565440845019818</v>
      </c>
      <c r="AX215" s="172">
        <f ca="1">(VLOOKUP(AX$72,INDIRECT($C$5&amp;"生成成长"),2))/((VLOOKUP($B215,INDIRECT($B$5&amp;"生成成长"),4))/(VLOOKUP(AX$72,INDIRECT($C$5&amp;"生成成长"),5))*(VLOOKUP($B$5,标准坦克设计!$B$24:$U$30,MATCH("对"&amp;LEFT($C$5,2)&amp;"输出",标准坦克设计!$B$23:$U$23,0)))*(VLOOKUP($B215,INDIRECT($B$5&amp;"生成成长"),3))*(VLOOKUP($B$5,标准坦克设计!$B$14:$K$20,9)/30))</f>
        <v>1.1949675977146377</v>
      </c>
      <c r="AY215" s="172">
        <f ca="1">(VLOOKUP(AY$72,INDIRECT($C$5&amp;"生成成长"),2))/((VLOOKUP($B215,INDIRECT($B$5&amp;"生成成长"),4))/(VLOOKUP(AY$72,INDIRECT($C$5&amp;"生成成长"),5))*(VLOOKUP($B$5,标准坦克设计!$B$24:$U$30,MATCH("对"&amp;LEFT($C$5,2)&amp;"输出",标准坦克设计!$B$23:$U$23,0)))*(VLOOKUP($B215,INDIRECT($B$5&amp;"生成成长"),3))*(VLOOKUP($B$5,标准坦克设计!$B$14:$K$20,9)/30))</f>
        <v>1.3419094809711491</v>
      </c>
      <c r="AZ215" s="172">
        <f ca="1">(VLOOKUP(AZ$72,INDIRECT($C$5&amp;"生成成长"),2))/((VLOOKUP($B215,INDIRECT($B$5&amp;"生成成长"),4))/(VLOOKUP(AZ$72,INDIRECT($C$5&amp;"生成成长"),5))*(VLOOKUP($B$5,标准坦克设计!$B$24:$U$30,MATCH("对"&amp;LEFT($C$5,2)&amp;"输出",标准坦克设计!$B$23:$U$23,0)))*(VLOOKUP($B215,INDIRECT($B$5&amp;"生成成长"),3))*(VLOOKUP($B$5,标准坦克设计!$B$14:$K$20,9)/30))</f>
        <v>1.4973697342715167</v>
      </c>
      <c r="BA215" s="172">
        <f ca="1">(VLOOKUP(BA$72,INDIRECT($C$5&amp;"生成成长"),2))/((VLOOKUP($B215,INDIRECT($B$5&amp;"生成成长"),4))/(VLOOKUP(BA$72,INDIRECT($C$5&amp;"生成成长"),5))*(VLOOKUP($B$5,标准坦克设计!$B$24:$U$30,MATCH("对"&amp;LEFT($C$5,2)&amp;"输出",标准坦克设计!$B$23:$U$23,0)))*(VLOOKUP($B215,INDIRECT($B$5&amp;"生成成长"),3))*(VLOOKUP($B$5,标准坦克设计!$B$14:$K$20,9)/30))</f>
        <v>1.6613483576157393</v>
      </c>
      <c r="BB215" s="172">
        <f ca="1">(VLOOKUP(BB$72,INDIRECT($C$5&amp;"生成成长"),2))/((VLOOKUP($B215,INDIRECT($B$5&amp;"生成成长"),4))/(VLOOKUP(BB$72,INDIRECT($C$5&amp;"生成成长"),5))*(VLOOKUP($B$5,标准坦克设计!$B$24:$U$30,MATCH("对"&amp;LEFT($C$5,2)&amp;"输出",标准坦克设计!$B$23:$U$23,0)))*(VLOOKUP($B215,INDIRECT($B$5&amp;"生成成长"),3))*(VLOOKUP($B$5,标准坦克设计!$B$14:$K$20,9)/30))</f>
        <v>1.8338453510038182</v>
      </c>
      <c r="BC215" s="172">
        <f ca="1">(VLOOKUP(BC$72,INDIRECT($C$5&amp;"生成成长"),2))/((VLOOKUP($B215,INDIRECT($B$5&amp;"生成成长"),4))/(VLOOKUP(BC$72,INDIRECT($C$5&amp;"生成成长"),5))*(VLOOKUP($B$5,标准坦克设计!$B$24:$U$30,MATCH("对"&amp;LEFT($C$5,2)&amp;"输出",标准坦克设计!$B$23:$U$23,0)))*(VLOOKUP($B215,INDIRECT($B$5&amp;"生成成长"),3))*(VLOOKUP($B$5,标准坦克设计!$B$14:$K$20,9)/30))</f>
        <v>2.0148607144357524</v>
      </c>
      <c r="BD215" s="172">
        <f ca="1">(VLOOKUP(BD$72,INDIRECT($C$5&amp;"生成成长"),2))/((VLOOKUP($B215,INDIRECT($B$5&amp;"生成成长"),4))/(VLOOKUP(BD$72,INDIRECT($C$5&amp;"生成成长"),5))*(VLOOKUP($B$5,标准坦克设计!$B$24:$U$30,MATCH("对"&amp;LEFT($C$5,2)&amp;"输出",标准坦克设计!$B$23:$U$23,0)))*(VLOOKUP($B215,INDIRECT($B$5&amp;"生成成长"),3))*(VLOOKUP($B$5,标准坦克设计!$B$14:$K$20,9)/30))</f>
        <v>2.2286851124897251</v>
      </c>
      <c r="BE215" s="172">
        <f ca="1">(VLOOKUP(BE$72,INDIRECT($C$5&amp;"生成成长"),2))/((VLOOKUP($B215,INDIRECT($B$5&amp;"生成成长"),4))/(VLOOKUP(BE$72,INDIRECT($C$5&amp;"生成成长"),5))*(VLOOKUP($B$5,标准坦克设计!$B$24:$U$30,MATCH("对"&amp;LEFT($C$5,2)&amp;"输出",标准坦克设计!$B$23:$U$23,0)))*(VLOOKUP($B215,INDIRECT($B$5&amp;"生成成长"),3))*(VLOOKUP($B$5,标准坦克设计!$B$14:$K$20,9)/30))</f>
        <v>2.4532905726304524</v>
      </c>
      <c r="BF215" s="172">
        <f ca="1">(VLOOKUP(BF$72,INDIRECT($C$5&amp;"生成成长"),2))/((VLOOKUP($B215,INDIRECT($B$5&amp;"生成成长"),4))/(VLOOKUP(BF$72,INDIRECT($C$5&amp;"生成成长"),5))*(VLOOKUP($B$5,标准坦克设计!$B$24:$U$30,MATCH("对"&amp;LEFT($C$5,2)&amp;"输出",标准坦克设计!$B$23:$U$23,0)))*(VLOOKUP($B215,INDIRECT($B$5&amp;"生成成长"),3))*(VLOOKUP($B$5,标准坦克设计!$B$14:$K$20,9)/30))</f>
        <v>2.6886770948579346</v>
      </c>
      <c r="BG215" s="172">
        <f ca="1">(VLOOKUP(BG$72,INDIRECT($C$5&amp;"生成成长"),2))/((VLOOKUP($B215,INDIRECT($B$5&amp;"生成成长"),4))/(VLOOKUP(BG$72,INDIRECT($C$5&amp;"生成成长"),5))*(VLOOKUP($B$5,标准坦克设计!$B$24:$U$30,MATCH("对"&amp;LEFT($C$5,2)&amp;"输出",标准坦克设计!$B$23:$U$23,0)))*(VLOOKUP($B215,INDIRECT($B$5&amp;"生成成长"),3))*(VLOOKUP($B$5,标准坦克设计!$B$14:$K$20,9)/30))</f>
        <v>2.9348446791721723</v>
      </c>
      <c r="BH215" s="172">
        <f ca="1">(VLOOKUP(BH$72,INDIRECT($C$5&amp;"生成成长"),2))/((VLOOKUP($B215,INDIRECT($B$5&amp;"生成成长"),4))/(VLOOKUP(BH$72,INDIRECT($C$5&amp;"生成成长"),5))*(VLOOKUP($B$5,标准坦克设计!$B$24:$U$30,MATCH("对"&amp;LEFT($C$5,2)&amp;"输出",标准坦克设计!$B$23:$U$23,0)))*(VLOOKUP($B215,INDIRECT($B$5&amp;"生成成长"),3))*(VLOOKUP($B$5,标准坦克设计!$B$14:$K$20,9)/30))</f>
        <v>1.418574811365851</v>
      </c>
      <c r="BI215" s="172">
        <f ca="1">(VLOOKUP(BI$72,INDIRECT($C$5&amp;"生成成长"),2))/((VLOOKUP($B215,INDIRECT($B$5&amp;"生成成长"),4))/(VLOOKUP(BI$72,INDIRECT($C$5&amp;"生成成长"),5))*(VLOOKUP($B$5,标准坦克设计!$B$24:$U$30,MATCH("对"&amp;LEFT($C$5,2)&amp;"输出",标准坦克设计!$B$23:$U$23,0)))*(VLOOKUP($B215,INDIRECT($B$5&amp;"生成成长"),3))*(VLOOKUP($B$5,标准坦克设计!$B$14:$K$20,9)/30))</f>
        <v>1.5988581273721414</v>
      </c>
      <c r="BJ215" s="172">
        <f ca="1">(VLOOKUP(BJ$72,INDIRECT($C$5&amp;"生成成长"),2))/((VLOOKUP($B215,INDIRECT($B$5&amp;"生成成长"),4))/(VLOOKUP(BJ$72,INDIRECT($C$5&amp;"生成成长"),5))*(VLOOKUP($B$5,标准坦克设计!$B$24:$U$30,MATCH("对"&amp;LEFT($C$5,2)&amp;"输出",标准坦克设计!$B$23:$U$23,0)))*(VLOOKUP($B215,INDIRECT($B$5&amp;"生成成长"),3))*(VLOOKUP($B$5,标准坦克设计!$B$14:$K$20,9)/30))</f>
        <v>1.7899225054651871</v>
      </c>
      <c r="BK215" s="172">
        <f ca="1">(VLOOKUP(BK$72,INDIRECT($C$5&amp;"生成成长"),2))/((VLOOKUP($B215,INDIRECT($B$5&amp;"生成成长"),4))/(VLOOKUP(BK$72,INDIRECT($C$5&amp;"生成成长"),5))*(VLOOKUP($B$5,标准坦克设计!$B$24:$U$30,MATCH("对"&amp;LEFT($C$5,2)&amp;"输出",标准坦克设计!$B$23:$U$23,0)))*(VLOOKUP($B215,INDIRECT($B$5&amp;"生成成长"),3))*(VLOOKUP($B$5,标准坦克设计!$B$14:$K$20,9)/30))</f>
        <v>1.9917679456449873</v>
      </c>
      <c r="BL215" s="172">
        <f ca="1">(VLOOKUP(BL$72,INDIRECT($C$5&amp;"生成成长"),2))/((VLOOKUP($B215,INDIRECT($B$5&amp;"生成成长"),4))/(VLOOKUP(BL$72,INDIRECT($C$5&amp;"生成成长"),5))*(VLOOKUP($B$5,标准坦克设计!$B$24:$U$30,MATCH("对"&amp;LEFT($C$5,2)&amp;"输出",标准坦克设计!$B$23:$U$23,0)))*(VLOOKUP($B215,INDIRECT($B$5&amp;"生成成长"),3))*(VLOOKUP($B$5,标准坦克设计!$B$14:$K$20,9)/30))</f>
        <v>2.2043944479115432</v>
      </c>
      <c r="BM215" s="172">
        <f ca="1">(VLOOKUP(BM$72,INDIRECT($C$5&amp;"生成成长"),2))/((VLOOKUP($B215,INDIRECT($B$5&amp;"生成成长"),4))/(VLOOKUP(BM$72,INDIRECT($C$5&amp;"生成成长"),5))*(VLOOKUP($B$5,标准坦克设计!$B$24:$U$30,MATCH("对"&amp;LEFT($C$5,2)&amp;"输出",标准坦克设计!$B$23:$U$23,0)))*(VLOOKUP($B215,INDIRECT($B$5&amp;"生成成长"),3))*(VLOOKUP($B$5,标准坦克设计!$B$14:$K$20,9)/30))</f>
        <v>2.4278020122648529</v>
      </c>
      <c r="BN215" s="172">
        <f ca="1">(VLOOKUP(BN$72,INDIRECT($C$5&amp;"生成成长"),2))/((VLOOKUP($B215,INDIRECT($B$5&amp;"生成成长"),4))/(VLOOKUP(BN$72,INDIRECT($C$5&amp;"生成成长"),5))*(VLOOKUP($B$5,标准坦克设计!$B$24:$U$30,MATCH("对"&amp;LEFT($C$5,2)&amp;"输出",标准坦克设计!$B$23:$U$23,0)))*(VLOOKUP($B215,INDIRECT($B$5&amp;"生成成长"),3))*(VLOOKUP($B$5,标准坦克设计!$B$14:$K$20,9)/30))</f>
        <v>2.6619906387049181</v>
      </c>
      <c r="BO215" s="172">
        <f ca="1">(VLOOKUP(BO$72,INDIRECT($C$5&amp;"生成成长"),2))/((VLOOKUP($B215,INDIRECT($B$5&amp;"生成成长"),4))/(VLOOKUP(BO$72,INDIRECT($C$5&amp;"生成成长"),5))*(VLOOKUP($B$5,标准坦克设计!$B$24:$U$30,MATCH("对"&amp;LEFT($C$5,2)&amp;"输出",标准坦克设计!$B$23:$U$23,0)))*(VLOOKUP($B215,INDIRECT($B$5&amp;"生成成长"),3))*(VLOOKUP($B$5,标准坦克设计!$B$14:$K$20,9)/30))</f>
        <v>2.9069603272317384</v>
      </c>
      <c r="BP215" s="172">
        <f ca="1">(VLOOKUP(BP$72,INDIRECT($C$5&amp;"生成成长"),2))/((VLOOKUP($B215,INDIRECT($B$5&amp;"生成成长"),4))/(VLOOKUP(BP$72,INDIRECT($C$5&amp;"生成成长"),5))*(VLOOKUP($B$5,标准坦克设计!$B$24:$U$30,MATCH("对"&amp;LEFT($C$5,2)&amp;"输出",标准坦克设计!$B$23:$U$23,0)))*(VLOOKUP($B215,INDIRECT($B$5&amp;"生成成长"),3))*(VLOOKUP($B$5,标准坦克设计!$B$14:$K$20,9)/30))</f>
        <v>3.1627110778453131</v>
      </c>
      <c r="BQ215" s="172">
        <f ca="1">(VLOOKUP(BQ$72,INDIRECT($C$5&amp;"生成成长"),2))/((VLOOKUP($B215,INDIRECT($B$5&amp;"生成成长"),4))/(VLOOKUP(BQ$72,INDIRECT($C$5&amp;"生成成长"),5))*(VLOOKUP($B$5,标准坦克设计!$B$24:$U$30,MATCH("对"&amp;LEFT($C$5,2)&amp;"输出",标准坦克设计!$B$23:$U$23,0)))*(VLOOKUP($B215,INDIRECT($B$5&amp;"生成成长"),3))*(VLOOKUP($B$5,标准坦克设计!$B$14:$K$20,9)/30))</f>
        <v>3.4292428905456429</v>
      </c>
      <c r="BR215" s="172">
        <f ca="1">(VLOOKUP(BR$72,INDIRECT($C$5&amp;"生成成长"),2))/((VLOOKUP($B215,INDIRECT($B$5&amp;"生成成长"),4))/(VLOOKUP(BR$72,INDIRECT($C$5&amp;"生成成长"),5))*(VLOOKUP($B$5,标准坦克设计!$B$24:$U$30,MATCH("对"&amp;LEFT($C$5,2)&amp;"输出",标准坦克设计!$B$23:$U$23,0)))*(VLOOKUP($B215,INDIRECT($B$5&amp;"生成成长"),3))*(VLOOKUP($B$5,标准坦克设计!$B$14:$K$20,9)/30))</f>
        <v>3.7380338046354127</v>
      </c>
      <c r="BS215" s="172">
        <f ca="1">(VLOOKUP(BS$72,INDIRECT($C$5&amp;"生成成长"),2))/((VLOOKUP($B215,INDIRECT($B$5&amp;"生成成长"),4))/(VLOOKUP(BS$72,INDIRECT($C$5&amp;"生成成长"),5))*(VLOOKUP($B$5,标准坦克设计!$B$24:$U$30,MATCH("对"&amp;LEFT($C$5,2)&amp;"输出",标准坦克设计!$B$23:$U$23,0)))*(VLOOKUP($B215,INDIRECT($B$5&amp;"生成成长"),3))*(VLOOKUP($B$5,标准坦克设计!$B$14:$K$20,9)/30))</f>
        <v>4.0601346719187088</v>
      </c>
      <c r="BT215" s="172">
        <f ca="1">(VLOOKUP(BT$72,INDIRECT($C$5&amp;"生成成长"),2))/((VLOOKUP($B215,INDIRECT($B$5&amp;"生成成长"),4))/(VLOOKUP(BT$72,INDIRECT($C$5&amp;"生成成长"),5))*(VLOOKUP($B$5,标准坦克设计!$B$24:$U$30,MATCH("对"&amp;LEFT($C$5,2)&amp;"输出",标准坦克设计!$B$23:$U$23,0)))*(VLOOKUP($B215,INDIRECT($B$5&amp;"生成成长"),3))*(VLOOKUP($B$5,标准坦克设计!$B$14:$K$20,9)/30))</f>
        <v>4.3955454923955282</v>
      </c>
      <c r="BU215" s="172">
        <f ca="1">(VLOOKUP(BU$72,INDIRECT($C$5&amp;"生成成长"),2))/((VLOOKUP($B215,INDIRECT($B$5&amp;"生成成长"),4))/(VLOOKUP(BU$72,INDIRECT($C$5&amp;"生成成长"),5))*(VLOOKUP($B$5,标准坦克设计!$B$24:$U$30,MATCH("对"&amp;LEFT($C$5,2)&amp;"输出",标准坦克设计!$B$23:$U$23,0)))*(VLOOKUP($B215,INDIRECT($B$5&amp;"生成成长"),3))*(VLOOKUP($B$5,标准坦克设计!$B$14:$K$20,9)/30))</f>
        <v>4.744266266065873</v>
      </c>
      <c r="BV215" s="172">
        <f ca="1">(VLOOKUP(BV$72,INDIRECT($C$5&amp;"生成成长"),2))/((VLOOKUP($B215,INDIRECT($B$5&amp;"生成成长"),4))/(VLOOKUP(BV$72,INDIRECT($C$5&amp;"生成成长"),5))*(VLOOKUP($B$5,标准坦克设计!$B$24:$U$30,MATCH("对"&amp;LEFT($C$5,2)&amp;"输出",标准坦克设计!$B$23:$U$23,0)))*(VLOOKUP($B215,INDIRECT($B$5&amp;"生成成长"),3))*(VLOOKUP($B$5,标准坦克设计!$B$14:$K$20,9)/30))</f>
        <v>5.1062969929297406</v>
      </c>
      <c r="BW215" s="172">
        <f ca="1">(VLOOKUP(BW$72,INDIRECT($C$5&amp;"生成成长"),2))/((VLOOKUP($B215,INDIRECT($B$5&amp;"生成成长"),4))/(VLOOKUP(BW$72,INDIRECT($C$5&amp;"生成成长"),5))*(VLOOKUP($B$5,标准坦克设计!$B$24:$U$30,MATCH("对"&amp;LEFT($C$5,2)&amp;"输出",标准坦克设计!$B$23:$U$23,0)))*(VLOOKUP($B215,INDIRECT($B$5&amp;"生成成长"),3))*(VLOOKUP($B$5,标准坦克设计!$B$14:$K$20,9)/30))</f>
        <v>2.3271787661218069</v>
      </c>
      <c r="BX215" s="172">
        <f ca="1">(VLOOKUP(BX$72,INDIRECT($C$5&amp;"生成成长"),2))/((VLOOKUP($B215,INDIRECT($B$5&amp;"生成成长"),4))/(VLOOKUP(BX$72,INDIRECT($C$5&amp;"生成成长"),5))*(VLOOKUP($B$5,标准坦克设计!$B$24:$U$30,MATCH("对"&amp;LEFT($C$5,2)&amp;"输出",标准坦克设计!$B$23:$U$23,0)))*(VLOOKUP($B215,INDIRECT($B$5&amp;"生成成长"),3))*(VLOOKUP($B$5,标准坦克设计!$B$14:$K$20,9)/30))</f>
        <v>2.5827298674374792</v>
      </c>
      <c r="BY215" s="172">
        <f ca="1">(VLOOKUP(BY$72,INDIRECT($C$5&amp;"生成成长"),2))/((VLOOKUP($B215,INDIRECT($B$5&amp;"生成成长"),4))/(VLOOKUP(BY$72,INDIRECT($C$5&amp;"生成成长"),5))*(VLOOKUP($B$5,标准坦克设计!$B$24:$U$30,MATCH("对"&amp;LEFT($C$5,2)&amp;"输出",标准坦克设计!$B$23:$U$23,0)))*(VLOOKUP($B215,INDIRECT($B$5&amp;"生成成长"),3))*(VLOOKUP($B$5,标准坦克设计!$B$14:$K$20,9)/30))</f>
        <v>2.8515909219466757</v>
      </c>
      <c r="BZ215" s="172">
        <f ca="1">(VLOOKUP(BZ$72,INDIRECT($C$5&amp;"生成成长"),2))/((VLOOKUP($B215,INDIRECT($B$5&amp;"生成成长"),4))/(VLOOKUP(BZ$72,INDIRECT($C$5&amp;"生成成长"),5))*(VLOOKUP($B$5,标准坦克设计!$B$24:$U$30,MATCH("对"&amp;LEFT($C$5,2)&amp;"输出",标准坦克设计!$B$23:$U$23,0)))*(VLOOKUP($B215,INDIRECT($B$5&amp;"生成成长"),3))*(VLOOKUP($B$5,标准坦克设计!$B$14:$K$20,9)/30))</f>
        <v>3.1337619296493973</v>
      </c>
      <c r="CA215" s="172">
        <f ca="1">(VLOOKUP(CA$72,INDIRECT($C$5&amp;"生成成长"),2))/((VLOOKUP($B215,INDIRECT($B$5&amp;"生成成长"),4))/(VLOOKUP(CA$72,INDIRECT($C$5&amp;"生成成长"),5))*(VLOOKUP($B$5,标准坦克设计!$B$24:$U$30,MATCH("对"&amp;LEFT($C$5,2)&amp;"输出",标准坦克设计!$B$23:$U$23,0)))*(VLOOKUP($B215,INDIRECT($B$5&amp;"生成成长"),3))*(VLOOKUP($B$5,标准坦克设计!$B$14:$K$20,9)/30))</f>
        <v>3.4292428905456429</v>
      </c>
      <c r="CB215" s="172">
        <f ca="1">(VLOOKUP(CB$72,INDIRECT($C$5&amp;"生成成长"),2))/((VLOOKUP($B215,INDIRECT($B$5&amp;"生成成长"),4))/(VLOOKUP(CB$72,INDIRECT($C$5&amp;"生成成长"),5))*(VLOOKUP($B$5,标准坦克设计!$B$24:$U$30,MATCH("对"&amp;LEFT($C$5,2)&amp;"输出",标准坦克设计!$B$23:$U$23,0)))*(VLOOKUP($B215,INDIRECT($B$5&amp;"生成成长"),3))*(VLOOKUP($B$5,标准坦克设计!$B$14:$K$20,9)/30))</f>
        <v>3.7380338046354127</v>
      </c>
      <c r="CC215" s="172">
        <f ca="1">(VLOOKUP(CC$72,INDIRECT($C$5&amp;"生成成长"),2))/((VLOOKUP($B215,INDIRECT($B$5&amp;"生成成长"),4))/(VLOOKUP(CC$72,INDIRECT($C$5&amp;"生成成长"),5))*(VLOOKUP($B$5,标准坦克设计!$B$24:$U$30,MATCH("对"&amp;LEFT($C$5,2)&amp;"输出",标准坦克设计!$B$23:$U$23,0)))*(VLOOKUP($B215,INDIRECT($B$5&amp;"生成成长"),3))*(VLOOKUP($B$5,标准坦克设计!$B$14:$K$20,9)/30))</f>
        <v>4.0601346719187088</v>
      </c>
      <c r="CD215" s="172">
        <f ca="1">(VLOOKUP(CD$72,INDIRECT($C$5&amp;"生成成长"),2))/((VLOOKUP($B215,INDIRECT($B$5&amp;"生成成长"),4))/(VLOOKUP(CD$72,INDIRECT($C$5&amp;"生成成长"),5))*(VLOOKUP($B$5,标准坦克设计!$B$24:$U$30,MATCH("对"&amp;LEFT($C$5,2)&amp;"输出",标准坦克设计!$B$23:$U$23,0)))*(VLOOKUP($B215,INDIRECT($B$5&amp;"生成成长"),3))*(VLOOKUP($B$5,标准坦克设计!$B$14:$K$20,9)/30))</f>
        <v>4.3955454923955282</v>
      </c>
      <c r="CE215" s="172">
        <f ca="1">(VLOOKUP(CE$72,INDIRECT($C$5&amp;"生成成长"),2))/((VLOOKUP($B215,INDIRECT($B$5&amp;"生成成长"),4))/(VLOOKUP(CE$72,INDIRECT($C$5&amp;"生成成长"),5))*(VLOOKUP($B$5,标准坦克设计!$B$24:$U$30,MATCH("对"&amp;LEFT($C$5,2)&amp;"输出",标准坦克设计!$B$23:$U$23,0)))*(VLOOKUP($B215,INDIRECT($B$5&amp;"生成成长"),3))*(VLOOKUP($B$5,标准坦克设计!$B$14:$K$20,9)/30))</f>
        <v>4.744266266065873</v>
      </c>
      <c r="CF215" s="172">
        <f ca="1">(VLOOKUP(CF$72,INDIRECT($C$5&amp;"生成成长"),2))/((VLOOKUP($B215,INDIRECT($B$5&amp;"生成成长"),4))/(VLOOKUP(CF$72,INDIRECT($C$5&amp;"生成成长"),5))*(VLOOKUP($B$5,标准坦克设计!$B$24:$U$30,MATCH("对"&amp;LEFT($C$5,2)&amp;"输出",标准坦克设计!$B$23:$U$23,0)))*(VLOOKUP($B215,INDIRECT($B$5&amp;"生成成长"),3))*(VLOOKUP($B$5,标准坦克设计!$B$14:$K$20,9)/30))</f>
        <v>5.1062969929297406</v>
      </c>
      <c r="CG215" s="172">
        <f ca="1">(VLOOKUP(CG$72,INDIRECT($C$5&amp;"生成成长"),2))/((VLOOKUP($B215,INDIRECT($B$5&amp;"生成成长"),4))/(VLOOKUP(CG$72,INDIRECT($C$5&amp;"生成成长"),5))*(VLOOKUP($B$5,标准坦克设计!$B$24:$U$30,MATCH("对"&amp;LEFT($C$5,2)&amp;"输出",标准坦克设计!$B$23:$U$23,0)))*(VLOOKUP($B215,INDIRECT($B$5&amp;"生成成长"),3))*(VLOOKUP($B$5,标准坦克设计!$B$14:$K$20,9)/30))</f>
        <v>5.4816376729871337</v>
      </c>
      <c r="CH215" s="172">
        <f ca="1">(VLOOKUP(CH$72,INDIRECT($C$5&amp;"生成成长"),2))/((VLOOKUP($B215,INDIRECT($B$5&amp;"生成成长"),4))/(VLOOKUP(CH$72,INDIRECT($C$5&amp;"生成成长"),5))*(VLOOKUP($B$5,标准坦克设计!$B$24:$U$30,MATCH("对"&amp;LEFT($C$5,2)&amp;"输出",标准坦克设计!$B$23:$U$23,0)))*(VLOOKUP($B215,INDIRECT($B$5&amp;"生成成长"),3))*(VLOOKUP($B$5,标准坦克设计!$B$14:$K$20,9)/30))</f>
        <v>5.8702883062380531</v>
      </c>
      <c r="CI215" s="172">
        <f ca="1">(VLOOKUP(CI$72,INDIRECT($C$5&amp;"生成成长"),2))/((VLOOKUP($B215,INDIRECT($B$5&amp;"生成成长"),4))/(VLOOKUP(CI$72,INDIRECT($C$5&amp;"生成成长"),5))*(VLOOKUP($B$5,标准坦克设计!$B$24:$U$30,MATCH("对"&amp;LEFT($C$5,2)&amp;"输出",标准坦克设计!$B$23:$U$23,0)))*(VLOOKUP($B215,INDIRECT($B$5&amp;"生成成长"),3))*(VLOOKUP($B$5,标准坦克设计!$B$14:$K$20,9)/30))</f>
        <v>6.3131769987525832</v>
      </c>
      <c r="CJ215" s="172">
        <f ca="1">(VLOOKUP(CJ$72,INDIRECT($C$5&amp;"生成成长"),2))/((VLOOKUP($B215,INDIRECT($B$5&amp;"生成成长"),4))/(VLOOKUP(CJ$72,INDIRECT($C$5&amp;"生成成长"),5))*(VLOOKUP($B$5,标准坦克设计!$B$24:$U$30,MATCH("对"&amp;LEFT($C$5,2)&amp;"输出",标准坦克设计!$B$23:$U$23,0)))*(VLOOKUP($B215,INDIRECT($B$5&amp;"生成成长"),3))*(VLOOKUP($B$5,标准坦克设计!$B$14:$K$20,9)/30))</f>
        <v>6.7721707346312794</v>
      </c>
      <c r="CK215" s="172">
        <f ca="1">(VLOOKUP(CK$72,INDIRECT($C$5&amp;"生成成长"),2))/((VLOOKUP($B215,INDIRECT($B$5&amp;"生成成长"),4))/(VLOOKUP(CK$72,INDIRECT($C$5&amp;"生成成长"),5))*(VLOOKUP($B$5,标准坦克设计!$B$24:$U$30,MATCH("对"&amp;LEFT($C$5,2)&amp;"输出",标准坦克设计!$B$23:$U$23,0)))*(VLOOKUP($B215,INDIRECT($B$5&amp;"生成成长"),3))*(VLOOKUP($B$5,标准坦克设计!$B$14:$K$20,9)/30))</f>
        <v>7.247269513874139</v>
      </c>
      <c r="CL215" s="172">
        <f ca="1">(VLOOKUP(CL$72,INDIRECT($C$5&amp;"生成成长"),2))/((VLOOKUP($B215,INDIRECT($B$5&amp;"生成成长"),4))/(VLOOKUP(CL$72,INDIRECT($C$5&amp;"生成成长"),5))*(VLOOKUP($B$5,标准坦克设计!$B$24:$U$30,MATCH("对"&amp;LEFT($C$5,2)&amp;"输出",标准坦克设计!$B$23:$U$23,0)))*(VLOOKUP($B215,INDIRECT($B$5&amp;"生成成长"),3))*(VLOOKUP($B$5,标准坦克设计!$B$14:$K$20,9)/30))</f>
        <v>7.7384733364811655</v>
      </c>
      <c r="CM215" s="172">
        <f ca="1">(VLOOKUP(CM$72,INDIRECT($C$5&amp;"生成成长"),2))/((VLOOKUP($B215,INDIRECT($B$5&amp;"生成成长"),4))/(VLOOKUP(CM$72,INDIRECT($C$5&amp;"生成成长"),5))*(VLOOKUP($B$5,标准坦克设计!$B$24:$U$30,MATCH("对"&amp;LEFT($C$5,2)&amp;"输出",标准坦克设计!$B$23:$U$23,0)))*(VLOOKUP($B215,INDIRECT($B$5&amp;"生成成长"),3))*(VLOOKUP($B$5,标准坦克设计!$B$14:$K$20,9)/30))</f>
        <v>8.2457822024523537</v>
      </c>
      <c r="CN215" s="172">
        <f ca="1">(VLOOKUP(CN$72,INDIRECT($C$5&amp;"生成成长"),2))/((VLOOKUP($B215,INDIRECT($B$5&amp;"生成成长"),4))/(VLOOKUP(CN$72,INDIRECT($C$5&amp;"生成成长"),5))*(VLOOKUP($B$5,标准坦克设计!$B$24:$U$30,MATCH("对"&amp;LEFT($C$5,2)&amp;"输出",标准坦克设计!$B$23:$U$23,0)))*(VLOOKUP($B215,INDIRECT($B$5&amp;"生成成长"),3))*(VLOOKUP($B$5,标准坦克设计!$B$14:$K$20,9)/30))</f>
        <v>8.7691961117877089</v>
      </c>
      <c r="CO215" s="172">
        <f ca="1">(VLOOKUP(CO$72,INDIRECT($C$5&amp;"生成成长"),2))/((VLOOKUP($B215,INDIRECT($B$5&amp;"生成成长"),4))/(VLOOKUP(CO$72,INDIRECT($C$5&amp;"生成成长"),5))*(VLOOKUP($B$5,标准坦克设计!$B$24:$U$30,MATCH("对"&amp;LEFT($C$5,2)&amp;"输出",标准坦克设计!$B$23:$U$23,0)))*(VLOOKUP($B215,INDIRECT($B$5&amp;"生成成长"),3))*(VLOOKUP($B$5,标准坦克设计!$B$14:$K$20,9)/30))</f>
        <v>3.9296971306221682</v>
      </c>
      <c r="CP215" s="172">
        <f ca="1">(VLOOKUP(CP$72,INDIRECT($C$5&amp;"生成成长"),2))/((VLOOKUP($B215,INDIRECT($B$5&amp;"生成成长"),4))/(VLOOKUP(CP$72,INDIRECT($C$5&amp;"生成成长"),5))*(VLOOKUP($B$5,标准坦克设计!$B$24:$U$30,MATCH("对"&amp;LEFT($C$5,2)&amp;"输出",标准坦克设计!$B$23:$U$23,0)))*(VLOOKUP($B215,INDIRECT($B$5&amp;"生成成长"),3))*(VLOOKUP($B$5,标准坦克设计!$B$14:$K$20,9)/30))</f>
        <v>4.2935247011671631</v>
      </c>
      <c r="CQ215" s="172">
        <f ca="1">(VLOOKUP(CQ$72,INDIRECT($C$5&amp;"生成成长"),2))/((VLOOKUP($B215,INDIRECT($B$5&amp;"生成成长"),4))/(VLOOKUP(CQ$72,INDIRECT($C$5&amp;"生成成长"),5))*(VLOOKUP($B$5,标准坦克设计!$B$24:$U$30,MATCH("对"&amp;LEFT($C$5,2)&amp;"输出",标准坦克设计!$B$23:$U$23,0)))*(VLOOKUP($B215,INDIRECT($B$5&amp;"生成成长"),3))*(VLOOKUP($B$5,标准坦克设计!$B$14:$K$20,9)/30))</f>
        <v>4.6734573150763223</v>
      </c>
      <c r="CR215" s="172">
        <f ca="1">(VLOOKUP(CR$72,INDIRECT($C$5&amp;"生成成长"),2))/((VLOOKUP($B215,INDIRECT($B$5&amp;"生成成长"),4))/(VLOOKUP(CR$72,INDIRECT($C$5&amp;"生成成长"),5))*(VLOOKUP($B$5,标准坦克设计!$B$24:$U$30,MATCH("对"&amp;LEFT($C$5,2)&amp;"输出",标准坦克设计!$B$23:$U$23,0)))*(VLOOKUP($B215,INDIRECT($B$5&amp;"生成成长"),3))*(VLOOKUP($B$5,标准坦克设计!$B$14:$K$20,9)/30))</f>
        <v>5.0694949723496459</v>
      </c>
      <c r="CS215" s="172">
        <f ca="1">(VLOOKUP(CS$72,INDIRECT($C$5&amp;"生成成长"),2))/((VLOOKUP($B215,INDIRECT($B$5&amp;"生成成长"),4))/(VLOOKUP(CS$72,INDIRECT($C$5&amp;"生成成长"),5))*(VLOOKUP($B$5,标准坦克设计!$B$24:$U$30,MATCH("对"&amp;LEFT($C$5,2)&amp;"输出",标准坦克设计!$B$23:$U$23,0)))*(VLOOKUP($B215,INDIRECT($B$5&amp;"生成成长"),3))*(VLOOKUP($B$5,标准坦克设计!$B$14:$K$20,9)/30))</f>
        <v>5.4816376729871337</v>
      </c>
      <c r="CT215" s="172">
        <f ca="1">(VLOOKUP(CT$72,INDIRECT($C$5&amp;"生成成长"),2))/((VLOOKUP($B215,INDIRECT($B$5&amp;"生成成长"),4))/(VLOOKUP(CT$72,INDIRECT($C$5&amp;"生成成长"),5))*(VLOOKUP($B$5,标准坦克设计!$B$24:$U$30,MATCH("对"&amp;LEFT($C$5,2)&amp;"输出",标准坦克设计!$B$23:$U$23,0)))*(VLOOKUP($B215,INDIRECT($B$5&amp;"生成成长"),3))*(VLOOKUP($B$5,标准坦克设计!$B$14:$K$20,9)/30))</f>
        <v>5.9098854169887876</v>
      </c>
      <c r="CU215" s="172">
        <f ca="1">(VLOOKUP(CU$72,INDIRECT($C$5&amp;"生成成长"),2))/((VLOOKUP($B215,INDIRECT($B$5&amp;"生成成长"),4))/(VLOOKUP(CU$72,INDIRECT($C$5&amp;"生成成长"),5))*(VLOOKUP($B$5,标准坦克设计!$B$24:$U$30,MATCH("对"&amp;LEFT($C$5,2)&amp;"输出",标准坦克设计!$B$23:$U$23,0)))*(VLOOKUP($B215,INDIRECT($B$5&amp;"生成成长"),3))*(VLOOKUP($B$5,标准坦克设计!$B$14:$K$20,9)/30))</f>
        <v>6.3542382043546075</v>
      </c>
      <c r="CV215" s="172">
        <f ca="1">(VLOOKUP(CV$72,INDIRECT($C$5&amp;"生成成长"),2))/((VLOOKUP($B215,INDIRECT($B$5&amp;"生成成长"),4))/(VLOOKUP(CV$72,INDIRECT($C$5&amp;"生成成长"),5))*(VLOOKUP($B$5,标准坦克设计!$B$24:$U$30,MATCH("对"&amp;LEFT($C$5,2)&amp;"输出",标准坦克设计!$B$23:$U$23,0)))*(VLOOKUP($B215,INDIRECT($B$5&amp;"生成成长"),3))*(VLOOKUP($B$5,标准坦克设计!$B$14:$K$20,9)/30))</f>
        <v>6.81469603508459</v>
      </c>
      <c r="CW215" s="172">
        <f ca="1">(VLOOKUP(CW$72,INDIRECT($C$5&amp;"生成成长"),2))/((VLOOKUP($B215,INDIRECT($B$5&amp;"生成成长"),4))/(VLOOKUP(CW$72,INDIRECT($C$5&amp;"生成成长"),5))*(VLOOKUP($B$5,标准坦克设计!$B$24:$U$30,MATCH("对"&amp;LEFT($C$5,2)&amp;"输出",标准坦克设计!$B$23:$U$23,0)))*(VLOOKUP($B215,INDIRECT($B$5&amp;"生成成长"),3))*(VLOOKUP($B$5,标准坦克设计!$B$14:$K$20,9)/30))</f>
        <v>7.2912589091787385</v>
      </c>
      <c r="CX215" s="172">
        <f ca="1">(VLOOKUP(CX$72,INDIRECT($C$5&amp;"生成成长"),2))/((VLOOKUP($B215,INDIRECT($B$5&amp;"生成成长"),4))/(VLOOKUP(CX$72,INDIRECT($C$5&amp;"生成成长"),5))*(VLOOKUP($B$5,标准坦克设计!$B$24:$U$30,MATCH("对"&amp;LEFT($C$5,2)&amp;"输出",标准坦克设计!$B$23:$U$23,0)))*(VLOOKUP($B215,INDIRECT($B$5&amp;"生成成长"),3))*(VLOOKUP($B$5,标准坦克设计!$B$14:$K$20,9)/30))</f>
        <v>7.7839268266370505</v>
      </c>
      <c r="CY215" s="172">
        <f ca="1">(VLOOKUP(CY$72,INDIRECT($C$5&amp;"生成成长"),2))/((VLOOKUP($B215,INDIRECT($B$5&amp;"生成成长"),4))/(VLOOKUP(CY$72,INDIRECT($C$5&amp;"生成成长"),5))*(VLOOKUP($B$5,标准坦克设计!$B$24:$U$30,MATCH("对"&amp;LEFT($C$5,2)&amp;"输出",标准坦克设计!$B$23:$U$23,0)))*(VLOOKUP($B215,INDIRECT($B$5&amp;"生成成长"),3))*(VLOOKUP($B$5,标准坦克设计!$B$14:$K$20,9)/30))</f>
        <v>8.2926997874595294</v>
      </c>
      <c r="CZ215" s="172">
        <f ca="1">(VLOOKUP(CZ$72,INDIRECT($C$5&amp;"生成成长"),2))/((VLOOKUP($B215,INDIRECT($B$5&amp;"生成成长"),4))/(VLOOKUP(CZ$72,INDIRECT($C$5&amp;"生成成长"),5))*(VLOOKUP($B$5,标准坦克设计!$B$24:$U$30,MATCH("对"&amp;LEFT($C$5,2)&amp;"输出",标准坦克设计!$B$23:$U$23,0)))*(VLOOKUP($B215,INDIRECT($B$5&amp;"生成成长"),3))*(VLOOKUP($B$5,标准坦克设计!$B$14:$K$20,9)/30))</f>
        <v>8.8175777916461726</v>
      </c>
      <c r="DA215" s="172">
        <f ca="1">(VLOOKUP(DA$72,INDIRECT($C$5&amp;"生成成长"),2))/((VLOOKUP($B215,INDIRECT($B$5&amp;"生成成长"),4))/(VLOOKUP(DA$72,INDIRECT($C$5&amp;"生成成长"),5))*(VLOOKUP($B$5,标准坦克设计!$B$24:$U$30,MATCH("对"&amp;LEFT($C$5,2)&amp;"输出",标准坦克设计!$B$23:$U$23,0)))*(VLOOKUP($B215,INDIRECT($B$5&amp;"生成成长"),3))*(VLOOKUP($B$5,标准坦克设计!$B$14:$K$20,9)/30))</f>
        <v>9.3585608391969775</v>
      </c>
      <c r="DB215" s="172">
        <f ca="1">(VLOOKUP(DB$72,INDIRECT($C$5&amp;"生成成长"),2))/((VLOOKUP($B215,INDIRECT($B$5&amp;"生成成长"),4))/(VLOOKUP(DB$72,INDIRECT($C$5&amp;"生成成长"),5))*(VLOOKUP($B$5,标准坦克设计!$B$24:$U$30,MATCH("对"&amp;LEFT($C$5,2)&amp;"输出",标准坦克设计!$B$23:$U$23,0)))*(VLOOKUP($B215,INDIRECT($B$5&amp;"生成成长"),3))*(VLOOKUP($B$5,标准坦克设计!$B$14:$K$20,9)/30))</f>
        <v>9.9156489301119493</v>
      </c>
      <c r="DC215" s="172">
        <f ca="1">(VLOOKUP(DC$72,INDIRECT($C$5&amp;"生成成长"),2))/((VLOOKUP($B215,INDIRECT($B$5&amp;"生成成长"),4))/(VLOOKUP(DC$72,INDIRECT($C$5&amp;"生成成长"),5))*(VLOOKUP($B$5,标准坦克设计!$B$24:$U$30,MATCH("对"&amp;LEFT($C$5,2)&amp;"输出",标准坦克设计!$B$23:$U$23,0)))*(VLOOKUP($B215,INDIRECT($B$5&amp;"生成成长"),3))*(VLOOKUP($B$5,标准坦克设计!$B$14:$K$20,9)/30))</f>
        <v>10.541749128335345</v>
      </c>
      <c r="DD215" s="172">
        <f ca="1">(VLOOKUP(DD$72,INDIRECT($C$5&amp;"生成成长"),2))/((VLOOKUP($B215,INDIRECT($B$5&amp;"生成成长"),4))/(VLOOKUP(DD$72,INDIRECT($C$5&amp;"生成成长"),5))*(VLOOKUP($B$5,标准坦克设计!$B$24:$U$30,MATCH("对"&amp;LEFT($C$5,2)&amp;"输出",标准坦克设计!$B$23:$U$23,0)))*(VLOOKUP($B215,INDIRECT($B$5&amp;"生成成长"),3))*(VLOOKUP($B$5,标准坦克设计!$B$14:$K$20,9)/30))</f>
        <v>11.187015659157419</v>
      </c>
      <c r="DE215" s="172">
        <f ca="1">(VLOOKUP(DE$72,INDIRECT($C$5&amp;"生成成长"),2))/((VLOOKUP($B215,INDIRECT($B$5&amp;"生成成长"),4))/(VLOOKUP(DE$72,INDIRECT($C$5&amp;"生成成长"),5))*(VLOOKUP($B$5,标准坦克设计!$B$24:$U$30,MATCH("对"&amp;LEFT($C$5,2)&amp;"输出",标准坦克设计!$B$23:$U$23,0)))*(VLOOKUP($B215,INDIRECT($B$5&amp;"生成成长"),3))*(VLOOKUP($B$5,标准坦克设计!$B$14:$K$20,9)/30))</f>
        <v>11.851448522578167</v>
      </c>
      <c r="DF215" s="172">
        <f ca="1">(VLOOKUP(DF$72,INDIRECT($C$5&amp;"生成成长"),2))/((VLOOKUP($B215,INDIRECT($B$5&amp;"生成成长"),4))/(VLOOKUP(DF$72,INDIRECT($C$5&amp;"生成成长"),5))*(VLOOKUP($B$5,标准坦克设计!$B$24:$U$30,MATCH("对"&amp;LEFT($C$5,2)&amp;"输出",标准坦克设计!$B$23:$U$23,0)))*(VLOOKUP($B215,INDIRECT($B$5&amp;"生成成长"),3))*(VLOOKUP($B$5,标准坦克设计!$B$14:$K$20,9)/30))</f>
        <v>12.535047718597589</v>
      </c>
      <c r="DG215" s="172">
        <f ca="1">(VLOOKUP(DG$72,INDIRECT($C$5&amp;"生成成长"),2))/((VLOOKUP($B215,INDIRECT($B$5&amp;"生成成长"),4))/(VLOOKUP(DG$72,INDIRECT($C$5&amp;"生成成长"),5))*(VLOOKUP($B$5,标准坦克设计!$B$24:$U$30,MATCH("对"&amp;LEFT($C$5,2)&amp;"输出",标准坦克设计!$B$23:$U$23,0)))*(VLOOKUP($B215,INDIRECT($B$5&amp;"生成成长"),3))*(VLOOKUP($B$5,标准坦克设计!$B$14:$K$20,9)/30))</f>
        <v>13.237813247215689</v>
      </c>
      <c r="DH215" s="172">
        <f ca="1">(VLOOKUP(DH$72,INDIRECT($C$5&amp;"生成成长"),2))/((VLOOKUP($B215,INDIRECT($B$5&amp;"生成成长"),4))/(VLOOKUP(DH$72,INDIRECT($C$5&amp;"生成成长"),5))*(VLOOKUP($B$5,标准坦克设计!$B$24:$U$30,MATCH("对"&amp;LEFT($C$5,2)&amp;"输出",标准坦克设计!$B$23:$U$23,0)))*(VLOOKUP($B215,INDIRECT($B$5&amp;"生成成长"),3))*(VLOOKUP($B$5,标准坦克设计!$B$14:$K$20,9)/30))</f>
        <v>13.959745108432461</v>
      </c>
      <c r="DI215" s="172">
        <f ca="1">(VLOOKUP(DI$72,INDIRECT($C$5&amp;"生成成长"),2))/((VLOOKUP($B215,INDIRECT($B$5&amp;"生成成长"),4))/(VLOOKUP(DI$72,INDIRECT($C$5&amp;"生成成长"),5))*(VLOOKUP($B$5,标准坦克设计!$B$24:$U$30,MATCH("对"&amp;LEFT($C$5,2)&amp;"输出",标准坦克设计!$B$23:$U$23,0)))*(VLOOKUP($B215,INDIRECT($B$5&amp;"生成成长"),3))*(VLOOKUP($B$5,标准坦克设计!$B$14:$K$20,9)/30))</f>
        <v>14.700843302247911</v>
      </c>
      <c r="DJ215" s="172">
        <f ca="1">(VLOOKUP(DJ$72,INDIRECT($C$5&amp;"生成成长"),2))/((VLOOKUP($B215,INDIRECT($B$5&amp;"生成成长"),4))/(VLOOKUP(DJ$72,INDIRECT($C$5&amp;"生成成长"),5))*(VLOOKUP($B$5,标准坦克设计!$B$24:$U$30,MATCH("对"&amp;LEFT($C$5,2)&amp;"输出",标准坦克设计!$B$23:$U$23,0)))*(VLOOKUP($B215,INDIRECT($B$5&amp;"生成成长"),3))*(VLOOKUP($B$5,标准坦克设计!$B$14:$K$20,9)/30))</f>
        <v>1.4774713542471969</v>
      </c>
      <c r="DK215" s="172">
        <f ca="1">(VLOOKUP(DK$72,INDIRECT($C$5&amp;"生成成长"),2))/((VLOOKUP($B215,INDIRECT($B$5&amp;"生成成长"),4))/(VLOOKUP(DK$72,INDIRECT($C$5&amp;"生成成长"),5))*(VLOOKUP($B$5,标准坦克设计!$B$24:$U$30,MATCH("对"&amp;LEFT($C$5,2)&amp;"输出",标准坦克设计!$B$23:$U$23,0)))*(VLOOKUP($B215,INDIRECT($B$5&amp;"生成成长"),3))*(VLOOKUP($B$5,标准坦克设计!$B$14:$K$20,9)/30))</f>
        <v>1.6613483576157393</v>
      </c>
      <c r="DL215" s="172">
        <f ca="1">(VLOOKUP(DL$72,INDIRECT($C$5&amp;"生成成长"),2))/((VLOOKUP($B215,INDIRECT($B$5&amp;"生成成长"),4))/(VLOOKUP(DL$72,INDIRECT($C$5&amp;"生成成长"),5))*(VLOOKUP($B$5,标准坦克设计!$B$24:$U$30,MATCH("对"&amp;LEFT($C$5,2)&amp;"输出",标准坦克设计!$B$23:$U$23,0)))*(VLOOKUP($B215,INDIRECT($B$5&amp;"生成成长"),3))*(VLOOKUP($B$5,标准坦克设计!$B$14:$K$20,9)/30))</f>
        <v>1.8560064230710365</v>
      </c>
      <c r="DM215" s="172">
        <f ca="1">(VLOOKUP(DM$72,INDIRECT($C$5&amp;"生成成长"),2))/((VLOOKUP($B215,INDIRECT($B$5&amp;"生成成长"),4))/(VLOOKUP(DM$72,INDIRECT($C$5&amp;"生成成长"),5))*(VLOOKUP($B$5,标准坦克设计!$B$24:$U$30,MATCH("对"&amp;LEFT($C$5,2)&amp;"输出",标准坦克设计!$B$23:$U$23,0)))*(VLOOKUP($B215,INDIRECT($B$5&amp;"生成成长"),3))*(VLOOKUP($B$5,标准坦克设计!$B$14:$K$20,9)/30))</f>
        <v>2.0614455506130884</v>
      </c>
      <c r="DN215" s="172">
        <f ca="1">(VLOOKUP(DN$72,INDIRECT($C$5&amp;"生成成长"),2))/((VLOOKUP($B215,INDIRECT($B$5&amp;"生成成长"),4))/(VLOOKUP(DN$72,INDIRECT($C$5&amp;"生成成长"),5))*(VLOOKUP($B$5,标准坦克设计!$B$24:$U$30,MATCH("对"&amp;LEFT($C$5,2)&amp;"输出",标准坦克设计!$B$23:$U$23,0)))*(VLOOKUP($B215,INDIRECT($B$5&amp;"生成成长"),3))*(VLOOKUP($B$5,标准坦克设计!$B$14:$K$20,9)/30))</f>
        <v>2.2776657402418956</v>
      </c>
      <c r="DO215" s="172">
        <f ca="1">(VLOOKUP(DO$72,INDIRECT($C$5&amp;"生成成长"),2))/((VLOOKUP($B215,INDIRECT($B$5&amp;"生成成长"),4))/(VLOOKUP(DO$72,INDIRECT($C$5&amp;"生成成长"),5))*(VLOOKUP($B$5,标准坦克设计!$B$24:$U$30,MATCH("对"&amp;LEFT($C$5,2)&amp;"输出",标准坦克设计!$B$23:$U$23,0)))*(VLOOKUP($B215,INDIRECT($B$5&amp;"生成成长"),3))*(VLOOKUP($B$5,标准坦克设计!$B$14:$K$20,9)/30))</f>
        <v>2.5046669919574573</v>
      </c>
      <c r="DP215" s="172">
        <f ca="1">(VLOOKUP(DP$72,INDIRECT($C$5&amp;"生成成长"),2))/((VLOOKUP($B215,INDIRECT($B$5&amp;"生成成长"),4))/(VLOOKUP(DP$72,INDIRECT($C$5&amp;"生成成长"),5))*(VLOOKUP($B$5,标准坦克设计!$B$24:$U$30,MATCH("对"&amp;LEFT($C$5,2)&amp;"输出",标准坦克设计!$B$23:$U$23,0)))*(VLOOKUP($B215,INDIRECT($B$5&amp;"生成成长"),3))*(VLOOKUP($B$5,标准坦克设计!$B$14:$K$20,9)/30))</f>
        <v>2.7424493057597745</v>
      </c>
      <c r="DQ215" s="172">
        <f ca="1">(VLOOKUP(DQ$72,INDIRECT($C$5&amp;"生成成长"),2))/((VLOOKUP($B215,INDIRECT($B$5&amp;"生成成长"),4))/(VLOOKUP(DQ$72,INDIRECT($C$5&amp;"生成成长"),5))*(VLOOKUP($B$5,标准坦克设计!$B$24:$U$30,MATCH("对"&amp;LEFT($C$5,2)&amp;"输出",标准坦克设计!$B$23:$U$23,0)))*(VLOOKUP($B215,INDIRECT($B$5&amp;"生成成长"),3))*(VLOOKUP($B$5,标准坦克设计!$B$14:$K$20,9)/30))</f>
        <v>2.9910126816488458</v>
      </c>
      <c r="DR215" s="172">
        <f ca="1">(VLOOKUP(DR$72,INDIRECT($C$5&amp;"生成成长"),2))/((VLOOKUP($B215,INDIRECT($B$5&amp;"生成成长"),4))/(VLOOKUP(DR$72,INDIRECT($C$5&amp;"生成成长"),5))*(VLOOKUP($B$5,标准坦克设计!$B$24:$U$30,MATCH("对"&amp;LEFT($C$5,2)&amp;"输出",标准坦克设计!$B$23:$U$23,0)))*(VLOOKUP($B215,INDIRECT($B$5&amp;"生成成长"),3))*(VLOOKUP($B$5,标准坦克设计!$B$14:$K$20,9)/30))</f>
        <v>3.2503571196246726</v>
      </c>
      <c r="DS215" s="172">
        <f ca="1">(VLOOKUP(DS$72,INDIRECT($C$5&amp;"生成成长"),2))/((VLOOKUP($B215,INDIRECT($B$5&amp;"生成成长"),4))/(VLOOKUP(DS$72,INDIRECT($C$5&amp;"生成成长"),5))*(VLOOKUP($B$5,标准坦克设计!$B$24:$U$30,MATCH("对"&amp;LEFT($C$5,2)&amp;"输出",标准坦克设计!$B$23:$U$23,0)))*(VLOOKUP($B215,INDIRECT($B$5&amp;"生成成长"),3))*(VLOOKUP($B$5,标准坦克设计!$B$14:$K$20,9)/30))</f>
        <v>3.5204826196872543</v>
      </c>
      <c r="DT215" s="172">
        <f ca="1">(VLOOKUP(DT$72,INDIRECT($C$5&amp;"生成成长"),2))/((VLOOKUP($B215,INDIRECT($B$5&amp;"生成成长"),4))/(VLOOKUP(DT$72,INDIRECT($C$5&amp;"生成成长"),5))*(VLOOKUP($B$5,标准坦克设计!$B$24:$U$30,MATCH("对"&amp;LEFT($C$5,2)&amp;"输出",标准坦克设计!$B$23:$U$23,0)))*(VLOOKUP($B215,INDIRECT($B$5&amp;"生成成长"),3))*(VLOOKUP($B$5,标准坦克设计!$B$14:$K$20,9)/30))</f>
        <v>3.8652769571655088</v>
      </c>
      <c r="DU215" s="172">
        <f ca="1">(VLOOKUP(DU$72,INDIRECT($C$5&amp;"生成成长"),2))/((VLOOKUP($B215,INDIRECT($B$5&amp;"生成成长"),4))/(VLOOKUP(DU$72,INDIRECT($C$5&amp;"生成成长"),5))*(VLOOKUP($B$5,标准坦克设计!$B$24:$U$30,MATCH("对"&amp;LEFT($C$5,2)&amp;"输出",标准坦克设计!$B$23:$U$23,0)))*(VLOOKUP($B215,INDIRECT($B$5&amp;"生成成长"),3))*(VLOOKUP($B$5,标准坦克设计!$B$14:$K$20,9)/30))</f>
        <v>4.2261763380079271</v>
      </c>
      <c r="DV215" s="172">
        <f ca="1">(VLOOKUP(DV$72,INDIRECT($C$5&amp;"生成成长"),2))/((VLOOKUP($B215,INDIRECT($B$5&amp;"生成成长"),4))/(VLOOKUP(DV$72,INDIRECT($C$5&amp;"生成成长"),5))*(VLOOKUP($B$5,标准坦克设计!$B$24:$U$30,MATCH("对"&amp;LEFT($C$5,2)&amp;"输出",标准坦克设计!$B$23:$U$23,0)))*(VLOOKUP($B215,INDIRECT($B$5&amp;"生成成长"),3))*(VLOOKUP($B$5,标准坦克设计!$B$14:$K$20,9)/30))</f>
        <v>4.603180762214512</v>
      </c>
      <c r="DW215" s="172">
        <f ca="1">(VLOOKUP(DW$72,INDIRECT($C$5&amp;"生成成长"),2))/((VLOOKUP($B215,INDIRECT($B$5&amp;"生成成长"),4))/(VLOOKUP(DW$72,INDIRECT($C$5&amp;"生成成长"),5))*(VLOOKUP($B$5,标准坦克设计!$B$24:$U$30,MATCH("对"&amp;LEFT($C$5,2)&amp;"输出",标准坦克设计!$B$23:$U$23,0)))*(VLOOKUP($B215,INDIRECT($B$5&amp;"生成成长"),3))*(VLOOKUP($B$5,标准坦克设计!$B$14:$K$20,9)/30))</f>
        <v>4.9962902297852612</v>
      </c>
      <c r="DX215" s="172">
        <f ca="1">(VLOOKUP(DX$72,INDIRECT($C$5&amp;"生成成长"),2))/((VLOOKUP($B215,INDIRECT($B$5&amp;"生成成长"),4))/(VLOOKUP(DX$72,INDIRECT($C$5&amp;"生成成长"),5))*(VLOOKUP($B$5,标准坦克设计!$B$24:$U$30,MATCH("对"&amp;LEFT($C$5,2)&amp;"输出",标准坦克设计!$B$23:$U$23,0)))*(VLOOKUP($B215,INDIRECT($B$5&amp;"生成成长"),3))*(VLOOKUP($B$5,标准坦克设计!$B$14:$K$20,9)/30))</f>
        <v>5.4055047407201746</v>
      </c>
      <c r="DY215" s="172">
        <f ca="1">(VLOOKUP(DY$72,INDIRECT($C$5&amp;"生成成长"),2))/((VLOOKUP($B215,INDIRECT($B$5&amp;"生成成长"),4))/(VLOOKUP(DY$72,INDIRECT($C$5&amp;"生成成长"),5))*(VLOOKUP($B$5,标准坦克设计!$B$24:$U$30,MATCH("对"&amp;LEFT($C$5,2)&amp;"输出",标准坦克设计!$B$23:$U$23,0)))*(VLOOKUP($B215,INDIRECT($B$5&amp;"生成成长"),3))*(VLOOKUP($B$5,标准坦克设计!$B$14:$K$20,9)/30))</f>
        <v>2.4278020122648529</v>
      </c>
      <c r="DZ215" s="172">
        <f ca="1">(VLOOKUP(DZ$72,INDIRECT($C$5&amp;"生成成长"),2))/((VLOOKUP($B215,INDIRECT($B$5&amp;"生成成长"),4))/(VLOOKUP(DZ$72,INDIRECT($C$5&amp;"生成成长"),5))*(VLOOKUP($B$5,标准坦克设计!$B$24:$U$30,MATCH("对"&amp;LEFT($C$5,2)&amp;"输出",标准坦克设计!$B$23:$U$23,0)))*(VLOOKUP($B215,INDIRECT($B$5&amp;"生成成长"),3))*(VLOOKUP($B$5,标准坦克设计!$B$14:$K$20,9)/30))</f>
        <v>2.6886770948579346</v>
      </c>
      <c r="EA215" s="172">
        <f ca="1">(VLOOKUP(EA$72,INDIRECT($C$5&amp;"生成成长"),2))/((VLOOKUP($B215,INDIRECT($B$5&amp;"生成成长"),4))/(VLOOKUP(EA$72,INDIRECT($C$5&amp;"生成成长"),5))*(VLOOKUP($B$5,标准坦克设计!$B$24:$U$30,MATCH("对"&amp;LEFT($C$5,2)&amp;"输出",标准坦克设计!$B$23:$U$23,0)))*(VLOOKUP($B215,INDIRECT($B$5&amp;"生成成长"),3))*(VLOOKUP($B$5,标准坦克设计!$B$14:$K$20,9)/30))</f>
        <v>2.9628621306445417</v>
      </c>
      <c r="EB215" s="172">
        <f ca="1">(VLOOKUP(EB$72,INDIRECT($C$5&amp;"生成成长"),2))/((VLOOKUP($B215,INDIRECT($B$5&amp;"生成成长"),4))/(VLOOKUP(EB$72,INDIRECT($C$5&amp;"生成成长"),5))*(VLOOKUP($B$5,标准坦克设计!$B$24:$U$30,MATCH("对"&amp;LEFT($C$5,2)&amp;"输出",标准坦克设计!$B$23:$U$23,0)))*(VLOOKUP($B215,INDIRECT($B$5&amp;"生成成长"),3))*(VLOOKUP($B$5,标准坦克设计!$B$14:$K$20,9)/30))</f>
        <v>3.2503571196246726</v>
      </c>
      <c r="EC215" s="172">
        <f ca="1">(VLOOKUP(EC$72,INDIRECT($C$5&amp;"生成成长"),2))/((VLOOKUP($B215,INDIRECT($B$5&amp;"生成成长"),4))/(VLOOKUP(EC$72,INDIRECT($C$5&amp;"生成成长"),5))*(VLOOKUP($B$5,标准坦克设计!$B$24:$U$30,MATCH("对"&amp;LEFT($C$5,2)&amp;"输出",标准坦克设计!$B$23:$U$23,0)))*(VLOOKUP($B215,INDIRECT($B$5&amp;"生成成长"),3))*(VLOOKUP($B$5,标准坦克设计!$B$14:$K$20,9)/30))</f>
        <v>3.5511620617983284</v>
      </c>
      <c r="ED215" s="172">
        <f ca="1">(VLOOKUP(ED$72,INDIRECT($C$5&amp;"生成成长"),2))/((VLOOKUP($B215,INDIRECT($B$5&amp;"生成成长"),4))/(VLOOKUP(ED$72,INDIRECT($C$5&amp;"生成成长"),5))*(VLOOKUP($B$5,标准坦克设计!$B$24:$U$30,MATCH("对"&amp;LEFT($C$5,2)&amp;"输出",标准坦克设计!$B$23:$U$23,0)))*(VLOOKUP($B215,INDIRECT($B$5&amp;"生成成长"),3))*(VLOOKUP($B$5,标准坦克设计!$B$14:$K$20,9)/30))</f>
        <v>3.8652769571655088</v>
      </c>
      <c r="EE215" s="172">
        <f ca="1">(VLOOKUP(EE$72,INDIRECT($C$5&amp;"生成成长"),2))/((VLOOKUP($B215,INDIRECT($B$5&amp;"生成成长"),4))/(VLOOKUP(EE$72,INDIRECT($C$5&amp;"生成成长"),5))*(VLOOKUP($B$5,标准坦克设计!$B$24:$U$30,MATCH("对"&amp;LEFT($C$5,2)&amp;"输出",标准坦克设计!$B$23:$U$23,0)))*(VLOOKUP($B215,INDIRECT($B$5&amp;"生成成长"),3))*(VLOOKUP($B$5,标准坦克设计!$B$14:$K$20,9)/30))</f>
        <v>4.1927018057262133</v>
      </c>
      <c r="EF215" s="172">
        <f ca="1">(VLOOKUP(EF$72,INDIRECT($C$5&amp;"生成成长"),2))/((VLOOKUP($B215,INDIRECT($B$5&amp;"生成成长"),4))/(VLOOKUP(EF$72,INDIRECT($C$5&amp;"生成成长"),5))*(VLOOKUP($B$5,标准坦克设计!$B$24:$U$30,MATCH("对"&amp;LEFT($C$5,2)&amp;"输出",标准坦克设计!$B$23:$U$23,0)))*(VLOOKUP($B215,INDIRECT($B$5&amp;"生成成长"),3))*(VLOOKUP($B$5,标准坦克设计!$B$14:$K$20,9)/30))</f>
        <v>4.5334366074804437</v>
      </c>
      <c r="EG215" s="172">
        <f ca="1">(VLOOKUP(EG$72,INDIRECT($C$5&amp;"生成成长"),2))/((VLOOKUP($B215,INDIRECT($B$5&amp;"生成成长"),4))/(VLOOKUP(EG$72,INDIRECT($C$5&amp;"生成成长"),5))*(VLOOKUP($B$5,标准坦克设计!$B$24:$U$30,MATCH("对"&amp;LEFT($C$5,2)&amp;"输出",标准坦克设计!$B$23:$U$23,0)))*(VLOOKUP($B215,INDIRECT($B$5&amp;"生成成长"),3))*(VLOOKUP($B$5,标准坦克设计!$B$14:$K$20,9)/30))</f>
        <v>4.8874813624281979</v>
      </c>
      <c r="EH215" s="172">
        <f ca="1">(VLOOKUP(EH$72,INDIRECT($C$5&amp;"生成成长"),2))/((VLOOKUP($B215,INDIRECT($B$5&amp;"生成成长"),4))/(VLOOKUP(EH$72,INDIRECT($C$5&amp;"生成成长"),5))*(VLOOKUP($B$5,标准坦克设计!$B$24:$U$30,MATCH("对"&amp;LEFT($C$5,2)&amp;"输出",标准坦克设计!$B$23:$U$23,0)))*(VLOOKUP($B215,INDIRECT($B$5&amp;"生成成长"),3))*(VLOOKUP($B$5,标准坦克设计!$B$14:$K$20,9)/30))</f>
        <v>5.2548360705694765</v>
      </c>
      <c r="EI215" s="172">
        <f ca="1">(VLOOKUP(EI$72,INDIRECT($C$5&amp;"生成成长"),2))/((VLOOKUP($B215,INDIRECT($B$5&amp;"生成成长"),4))/(VLOOKUP(EI$72,INDIRECT($C$5&amp;"生成成长"),5))*(VLOOKUP($B$5,标准坦克设计!$B$24:$U$30,MATCH("对"&amp;LEFT($C$5,2)&amp;"输出",标准坦克设计!$B$23:$U$23,0)))*(VLOOKUP($B215,INDIRECT($B$5&amp;"生成成长"),3))*(VLOOKUP($B$5,标准坦克设计!$B$14:$K$20,9)/30))</f>
        <v>5.6355007319042789</v>
      </c>
      <c r="EJ215" s="172">
        <f ca="1">(VLOOKUP(EJ$72,INDIRECT($C$5&amp;"生成成长"),2))/((VLOOKUP($B215,INDIRECT($B$5&amp;"生成成长"),4))/(VLOOKUP(EJ$72,INDIRECT($C$5&amp;"生成成长"),5))*(VLOOKUP($B$5,标准坦克设计!$B$24:$U$30,MATCH("对"&amp;LEFT($C$5,2)&amp;"输出",标准坦克设计!$B$23:$U$23,0)))*(VLOOKUP($B215,INDIRECT($B$5&amp;"生成成长"),3))*(VLOOKUP($B$5,标准坦克设计!$B$14:$K$20,9)/30))</f>
        <v>6.0294753464326076</v>
      </c>
      <c r="EK215" s="172">
        <f ca="1">(VLOOKUP(EK$72,INDIRECT($C$5&amp;"生成成长"),2))/((VLOOKUP($B215,INDIRECT($B$5&amp;"生成成长"),4))/(VLOOKUP(EK$72,INDIRECT($C$5&amp;"生成成长"),5))*(VLOOKUP($B$5,标准坦克设计!$B$24:$U$30,MATCH("对"&amp;LEFT($C$5,2)&amp;"输出",标准坦克设计!$B$23:$U$23,0)))*(VLOOKUP($B215,INDIRECT($B$5&amp;"生成成长"),3))*(VLOOKUP($B$5,标准坦克设计!$B$14:$K$20,9)/30))</f>
        <v>6.5198140220820529</v>
      </c>
      <c r="EL215" s="172">
        <f ca="1">(VLOOKUP(EL$72,INDIRECT($C$5&amp;"生成成长"),2))/((VLOOKUP($B215,INDIRECT($B$5&amp;"生成成长"),4))/(VLOOKUP(EL$72,INDIRECT($C$5&amp;"生成成长"),5))*(VLOOKUP($B$5,标准坦克设计!$B$24:$U$30,MATCH("对"&amp;LEFT($C$5,2)&amp;"输出",标准坦克设计!$B$23:$U$23,0)))*(VLOOKUP($B215,INDIRECT($B$5&amp;"生成成长"),3))*(VLOOKUP($B$5,标准坦克设计!$B$14:$K$20,9)/30))</f>
        <v>7.0293190303301749</v>
      </c>
      <c r="EM215" s="172">
        <f ca="1">(VLOOKUP(EM$72,INDIRECT($C$5&amp;"生成成长"),2))/((VLOOKUP($B215,INDIRECT($B$5&amp;"生成成长"),4))/(VLOOKUP(EM$72,INDIRECT($C$5&amp;"生成成长"),5))*(VLOOKUP($B$5,标准坦克设计!$B$24:$U$30,MATCH("对"&amp;LEFT($C$5,2)&amp;"输出",标准坦克设计!$B$23:$U$23,0)))*(VLOOKUP($B215,INDIRECT($B$5&amp;"生成成长"),3))*(VLOOKUP($B$5,标准坦克设计!$B$14:$K$20,9)/30))</f>
        <v>7.5579903711769711</v>
      </c>
      <c r="EN215" s="172">
        <f ca="1">(VLOOKUP(EN$72,INDIRECT($C$5&amp;"生成成长"),2))/((VLOOKUP($B215,INDIRECT($B$5&amp;"生成成长"),4))/(VLOOKUP(EN$72,INDIRECT($C$5&amp;"生成成长"),5))*(VLOOKUP($B$5,标准坦克设计!$B$24:$U$30,MATCH("对"&amp;LEFT($C$5,2)&amp;"输出",标准坦克设计!$B$23:$U$23,0)))*(VLOOKUP($B215,INDIRECT($B$5&amp;"生成成长"),3))*(VLOOKUP($B$5,标准坦克设计!$B$14:$K$20,9)/30))</f>
        <v>8.1058280446224433</v>
      </c>
      <c r="EO215" s="172">
        <f ca="1">(VLOOKUP(EO$72,INDIRECT($C$5&amp;"生成成长"),2))/((VLOOKUP($B215,INDIRECT($B$5&amp;"生成成长"),4))/(VLOOKUP(EO$72,INDIRECT($C$5&amp;"生成成长"),5))*(VLOOKUP($B$5,标准坦克设计!$B$24:$U$30,MATCH("对"&amp;LEFT($C$5,2)&amp;"输出",标准坦克设计!$B$23:$U$23,0)))*(VLOOKUP($B215,INDIRECT($B$5&amp;"生成成长"),3))*(VLOOKUP($B$5,标准坦克设计!$B$14:$K$20,9)/30))</f>
        <v>8.6728320506665924</v>
      </c>
      <c r="EP215" s="172">
        <f ca="1">(VLOOKUP(EP$72,INDIRECT($C$5&amp;"生成成长"),2))/((VLOOKUP($B215,INDIRECT($B$5&amp;"生成成长"),4))/(VLOOKUP(EP$72,INDIRECT($C$5&amp;"生成成长"),5))*(VLOOKUP($B$5,标准坦克设计!$B$24:$U$30,MATCH("对"&amp;LEFT($C$5,2)&amp;"输出",标准坦克设计!$B$23:$U$23,0)))*(VLOOKUP($B215,INDIRECT($B$5&amp;"生成成长"),3))*(VLOOKUP($B$5,标准坦克设计!$B$14:$K$20,9)/30))</f>
        <v>9.2590023893094138</v>
      </c>
      <c r="EQ215" s="172">
        <f ca="1">(VLOOKUP(EQ$72,INDIRECT($C$5&amp;"生成成长"),2))/((VLOOKUP($B215,INDIRECT($B$5&amp;"生成成长"),4))/(VLOOKUP(EQ$72,INDIRECT($C$5&amp;"生成成长"),5))*(VLOOKUP($B$5,标准坦克设计!$B$24:$U$30,MATCH("对"&amp;LEFT($C$5,2)&amp;"输出",标准坦克设计!$B$23:$U$23,0)))*(VLOOKUP($B215,INDIRECT($B$5&amp;"生成成长"),3))*(VLOOKUP($B$5,标准坦克设计!$B$14:$K$20,9)/30))</f>
        <v>4.0930768060726823</v>
      </c>
      <c r="ER215" s="172">
        <f ca="1">(VLOOKUP(ER$72,INDIRECT($C$5&amp;"生成成长"),2))/((VLOOKUP($B215,INDIRECT($B$5&amp;"生成成长"),4))/(VLOOKUP(ER$72,INDIRECT($C$5&amp;"生成成长"),5))*(VLOOKUP($B$5,标准坦克设计!$B$24:$U$30,MATCH("对"&amp;LEFT($C$5,2)&amp;"输出",标准坦克设计!$B$23:$U$23,0)))*(VLOOKUP($B215,INDIRECT($B$5&amp;"生成成长"),3))*(VLOOKUP($B$5,标准坦克设计!$B$14:$K$20,9)/30))</f>
        <v>4.4642248508741149</v>
      </c>
      <c r="ES215" s="172">
        <f ca="1">(VLOOKUP(ES$72,INDIRECT($C$5&amp;"生成成长"),2))/((VLOOKUP($B215,INDIRECT($B$5&amp;"生成成长"),4))/(VLOOKUP(ES$72,INDIRECT($C$5&amp;"生成成长"),5))*(VLOOKUP($B$5,标准坦克设计!$B$24:$U$30,MATCH("对"&amp;LEFT($C$5,2)&amp;"输出",标准坦克设计!$B$23:$U$23,0)))*(VLOOKUP($B215,INDIRECT($B$5&amp;"生成成长"),3))*(VLOOKUP($B$5,标准坦克设计!$B$14:$K$20,9)/30))</f>
        <v>4.8514779390397136</v>
      </c>
      <c r="ET215" s="172">
        <f ca="1">(VLOOKUP(ET$72,INDIRECT($C$5&amp;"生成成长"),2))/((VLOOKUP($B215,INDIRECT($B$5&amp;"生成成长"),4))/(VLOOKUP(ET$72,INDIRECT($C$5&amp;"生成成长"),5))*(VLOOKUP($B$5,标准坦克设计!$B$24:$U$30,MATCH("对"&amp;LEFT($C$5,2)&amp;"输出",标准坦克设计!$B$23:$U$23,0)))*(VLOOKUP($B215,INDIRECT($B$5&amp;"生成成长"),3))*(VLOOKUP($B$5,标准坦克设计!$B$14:$K$20,9)/30))</f>
        <v>5.2548360705694765</v>
      </c>
      <c r="EU215" s="172">
        <f ca="1">(VLOOKUP(EU$72,INDIRECT($C$5&amp;"生成成长"),2))/((VLOOKUP($B215,INDIRECT($B$5&amp;"生成成长"),4))/(VLOOKUP(EU$72,INDIRECT($C$5&amp;"生成成长"),5))*(VLOOKUP($B$5,标准坦克设计!$B$24:$U$30,MATCH("对"&amp;LEFT($C$5,2)&amp;"输出",标准坦克设计!$B$23:$U$23,0)))*(VLOOKUP($B215,INDIRECT($B$5&amp;"生成成长"),3))*(VLOOKUP($B$5,标准坦克设计!$B$14:$K$20,9)/30))</f>
        <v>5.6742992454634038</v>
      </c>
      <c r="EV215" s="172">
        <f ca="1">(VLOOKUP(EV$72,INDIRECT($C$5&amp;"生成成长"),2))/((VLOOKUP($B215,INDIRECT($B$5&amp;"生成成长"),4))/(VLOOKUP(EV$72,INDIRECT($C$5&amp;"生成成长"),5))*(VLOOKUP($B$5,标准坦克设计!$B$24:$U$30,MATCH("对"&amp;LEFT($C$5,2)&amp;"输出",标准坦克设计!$B$23:$U$23,0)))*(VLOOKUP($B215,INDIRECT($B$5&amp;"生成成长"),3))*(VLOOKUP($B$5,标准坦克设计!$B$14:$K$20,9)/30))</f>
        <v>6.1098674637214954</v>
      </c>
      <c r="EW215" s="172">
        <f ca="1">(VLOOKUP(EW$72,INDIRECT($C$5&amp;"生成成长"),2))/((VLOOKUP($B215,INDIRECT($B$5&amp;"生成成长"),4))/(VLOOKUP(EW$72,INDIRECT($C$5&amp;"生成成长"),5))*(VLOOKUP($B$5,标准坦克设计!$B$24:$U$30,MATCH("对"&amp;LEFT($C$5,2)&amp;"输出",标准坦克设计!$B$23:$U$23,0)))*(VLOOKUP($B215,INDIRECT($B$5&amp;"生成成长"),3))*(VLOOKUP($B$5,标准坦克设计!$B$14:$K$20,9)/30))</f>
        <v>6.5615407253437521</v>
      </c>
      <c r="EX215" s="172">
        <f ca="1">(VLOOKUP(EX$72,INDIRECT($C$5&amp;"生成成长"),2))/((VLOOKUP($B215,INDIRECT($B$5&amp;"生成成长"),4))/(VLOOKUP(EX$72,INDIRECT($C$5&amp;"生成成长"),5))*(VLOOKUP($B$5,标准坦克设计!$B$24:$U$30,MATCH("对"&amp;LEFT($C$5,2)&amp;"输出",标准坦克设计!$B$23:$U$23,0)))*(VLOOKUP($B215,INDIRECT($B$5&amp;"生成成长"),3))*(VLOOKUP($B$5,标准坦克设计!$B$14:$K$20,9)/30))</f>
        <v>7.0293190303301749</v>
      </c>
      <c r="EY215" s="172">
        <f ca="1">(VLOOKUP(EY$72,INDIRECT($C$5&amp;"生成成长"),2))/((VLOOKUP($B215,INDIRECT($B$5&amp;"生成成长"),4))/(VLOOKUP(EY$72,INDIRECT($C$5&amp;"生成成长"),5))*(VLOOKUP($B$5,标准坦克设计!$B$24:$U$30,MATCH("对"&amp;LEFT($C$5,2)&amp;"输出",标准坦克设计!$B$23:$U$23,0)))*(VLOOKUP($B215,INDIRECT($B$5&amp;"生成成长"),3))*(VLOOKUP($B$5,标准坦克设计!$B$14:$K$20,9)/30))</f>
        <v>7.513202378680762</v>
      </c>
      <c r="EZ215" s="172">
        <f ca="1">(VLOOKUP(EZ$72,INDIRECT($C$5&amp;"生成成长"),2))/((VLOOKUP($B215,INDIRECT($B$5&amp;"生成成长"),4))/(VLOOKUP(EZ$72,INDIRECT($C$5&amp;"生成成长"),5))*(VLOOKUP($B$5,标准坦克设计!$B$24:$U$30,MATCH("对"&amp;LEFT($C$5,2)&amp;"输出",标准坦克设计!$B$23:$U$23,0)))*(VLOOKUP($B215,INDIRECT($B$5&amp;"生成成长"),3))*(VLOOKUP($B$5,标准坦克设计!$B$14:$K$20,9)/30))</f>
        <v>8.0131907703955125</v>
      </c>
      <c r="FA215" s="172">
        <f ca="1">(VLOOKUP(FA$72,INDIRECT($C$5&amp;"生成成长"),2))/((VLOOKUP($B215,INDIRECT($B$5&amp;"生成成长"),4))/(VLOOKUP(FA$72,INDIRECT($C$5&amp;"生成成长"),5))*(VLOOKUP($B$5,标准坦克设计!$B$24:$U$30,MATCH("对"&amp;LEFT($C$5,2)&amp;"输出",标准坦克设计!$B$23:$U$23,0)))*(VLOOKUP($B215,INDIRECT($B$5&amp;"生成成长"),3))*(VLOOKUP($B$5,标准坦克设计!$B$14:$K$20,9)/30))</f>
        <v>8.5292842054744273</v>
      </c>
      <c r="FB215" s="172">
        <f ca="1">(VLOOKUP(FB$72,INDIRECT($C$5&amp;"生成成长"),2))/((VLOOKUP($B215,INDIRECT($B$5&amp;"生成成长"),4))/(VLOOKUP(FB$72,INDIRECT($C$5&amp;"生成成长"),5))*(VLOOKUP($B$5,标准坦克设计!$B$24:$U$30,MATCH("对"&amp;LEFT($C$5,2)&amp;"输出",标准坦克设计!$B$23:$U$23,0)))*(VLOOKUP($B215,INDIRECT($B$5&amp;"生成成长"),3))*(VLOOKUP($B$5,标准坦克设计!$B$14:$K$20,9)/30))</f>
        <v>9.0614826839175091</v>
      </c>
      <c r="FC215" s="172">
        <f ca="1">(VLOOKUP(FC$72,INDIRECT($C$5&amp;"生成成长"),2))/((VLOOKUP($B215,INDIRECT($B$5&amp;"生成成长"),4))/(VLOOKUP(FC$72,INDIRECT($C$5&amp;"生成成长"),5))*(VLOOKUP($B$5,标准坦克设计!$B$24:$U$30,MATCH("对"&amp;LEFT($C$5,2)&amp;"输出",标准坦克设计!$B$23:$U$23,0)))*(VLOOKUP($B215,INDIRECT($B$5&amp;"生成成长"),3))*(VLOOKUP($B$5,标准坦克设计!$B$14:$K$20,9)/30))</f>
        <v>9.6097862057247543</v>
      </c>
      <c r="FD215" s="172">
        <f ca="1">(VLOOKUP(FD$72,INDIRECT($C$5&amp;"生成成长"),2))/((VLOOKUP($B215,INDIRECT($B$5&amp;"生成成长"),4))/(VLOOKUP(FD$72,INDIRECT($C$5&amp;"生成成长"),5))*(VLOOKUP($B$5,标准坦克设计!$B$24:$U$30,MATCH("对"&amp;LEFT($C$5,2)&amp;"输出",标准坦克设计!$B$23:$U$23,0)))*(VLOOKUP($B215,INDIRECT($B$5&amp;"生成成长"),3))*(VLOOKUP($B$5,标准坦克设计!$B$14:$K$20,9)/30))</f>
        <v>10.174194770896165</v>
      </c>
      <c r="FE215" s="172">
        <f ca="1">(VLOOKUP(FE$72,INDIRECT($C$5&amp;"生成成长"),2))/((VLOOKUP($B215,INDIRECT($B$5&amp;"生成成长"),4))/(VLOOKUP(FE$72,INDIRECT($C$5&amp;"生成成长"),5))*(VLOOKUP($B$5,标准坦克设计!$B$24:$U$30,MATCH("对"&amp;LEFT($C$5,2)&amp;"输出",标准坦克设计!$B$23:$U$23,0)))*(VLOOKUP($B215,INDIRECT($B$5&amp;"生成成长"),3))*(VLOOKUP($B$5,标准坦克设计!$B$14:$K$20,9)/30))</f>
        <v>10.861986602171548</v>
      </c>
      <c r="FF215" s="172">
        <f ca="1">(VLOOKUP(FF$72,INDIRECT($C$5&amp;"生成成长"),2))/((VLOOKUP($B215,INDIRECT($B$5&amp;"生成成长"),4))/(VLOOKUP(FF$72,INDIRECT($C$5&amp;"生成成长"),5))*(VLOOKUP($B$5,标准坦克设计!$B$24:$U$30,MATCH("对"&amp;LEFT($C$5,2)&amp;"输出",标准坦克设计!$B$23:$U$23,0)))*(VLOOKUP($B215,INDIRECT($B$5&amp;"生成成长"),3))*(VLOOKUP($B$5,标准坦克设计!$B$14:$K$20,9)/30))</f>
        <v>11.572272254343989</v>
      </c>
      <c r="FG215" s="172">
        <f ca="1">(VLOOKUP(FG$72,INDIRECT($C$5&amp;"生成成长"),2))/((VLOOKUP($B215,INDIRECT($B$5&amp;"生成成长"),4))/(VLOOKUP(FG$72,INDIRECT($C$5&amp;"生成成长"),5))*(VLOOKUP($B$5,标准坦克设计!$B$24:$U$30,MATCH("对"&amp;LEFT($C$5,2)&amp;"输出",标准坦克设计!$B$23:$U$23,0)))*(VLOOKUP($B215,INDIRECT($B$5&amp;"生成成长"),3))*(VLOOKUP($B$5,标准坦克设计!$B$14:$K$20,9)/30))</f>
        <v>12.305051727413485</v>
      </c>
      <c r="FH215" s="172">
        <f ca="1">(VLOOKUP(FH$72,INDIRECT($C$5&amp;"生成成长"),2))/((VLOOKUP($B215,INDIRECT($B$5&amp;"生成成长"),4))/(VLOOKUP(FH$72,INDIRECT($C$5&amp;"生成成长"),5))*(VLOOKUP($B$5,标准坦克设计!$B$24:$U$30,MATCH("对"&amp;LEFT($C$5,2)&amp;"输出",标准坦克设计!$B$23:$U$23,0)))*(VLOOKUP($B215,INDIRECT($B$5&amp;"生成成长"),3))*(VLOOKUP($B$5,标准坦克设计!$B$14:$K$20,9)/30))</f>
        <v>13.060325021380038</v>
      </c>
      <c r="FI215" s="172">
        <f ca="1">(VLOOKUP(FI$72,INDIRECT($C$5&amp;"生成成长"),2))/((VLOOKUP($B215,INDIRECT($B$5&amp;"生成成长"),4))/(VLOOKUP(FI$72,INDIRECT($C$5&amp;"生成成长"),5))*(VLOOKUP($B$5,标准坦克设计!$B$24:$U$30,MATCH("对"&amp;LEFT($C$5,2)&amp;"输出",标准坦克设计!$B$23:$U$23,0)))*(VLOOKUP($B215,INDIRECT($B$5&amp;"生成成长"),3))*(VLOOKUP($B$5,标准坦克设计!$B$14:$K$20,9)/30))</f>
        <v>13.838092136243647</v>
      </c>
      <c r="FJ215" s="172">
        <f ca="1">(VLOOKUP(FJ$72,INDIRECT($C$5&amp;"生成成长"),2))/((VLOOKUP($B215,INDIRECT($B$5&amp;"生成成长"),4))/(VLOOKUP(FJ$72,INDIRECT($C$5&amp;"生成成长"),5))*(VLOOKUP($B$5,标准坦克设计!$B$24:$U$30,MATCH("对"&amp;LEFT($C$5,2)&amp;"输出",标准坦克设计!$B$23:$U$23,0)))*(VLOOKUP($B215,INDIRECT($B$5&amp;"生成成长"),3))*(VLOOKUP($B$5,标准坦克设计!$B$14:$K$20,9)/30))</f>
        <v>14.638353072004314</v>
      </c>
      <c r="FK215" s="172">
        <f ca="1">(VLOOKUP(FK$72,INDIRECT($C$5&amp;"生成成长"),2))/((VLOOKUP($B215,INDIRECT($B$5&amp;"生成成长"),4))/(VLOOKUP(FK$72,INDIRECT($C$5&amp;"生成成长"),5))*(VLOOKUP($B$5,标准坦克设计!$B$24:$U$30,MATCH("对"&amp;LEFT($C$5,2)&amp;"输出",标准坦克设计!$B$23:$U$23,0)))*(VLOOKUP($B215,INDIRECT($B$5&amp;"生成成长"),3))*(VLOOKUP($B$5,标准坦克设计!$B$14:$K$20,9)/30))</f>
        <v>15.461107828662035</v>
      </c>
    </row>
    <row r="216" spans="1:167" x14ac:dyDescent="0.15">
      <c r="A216" s="170" t="str">
        <f t="shared" si="13"/>
        <v>T4高品质18级</v>
      </c>
      <c r="B216" s="171">
        <v>30418</v>
      </c>
      <c r="C216" s="172">
        <f ca="1">(VLOOKUP(C$72,INDIRECT($C$5&amp;"生成成长"),2))/((VLOOKUP($B216,INDIRECT($B$5&amp;"生成成长"),4))/(VLOOKUP(C$72,INDIRECT($C$5&amp;"生成成长"),5))*(VLOOKUP($B$5,标准坦克设计!$B$24:$U$30,MATCH("对"&amp;LEFT($C$5,2)&amp;"输出",标准坦克设计!$B$23:$U$23,0)))*(VLOOKUP($B216,INDIRECT($B$5&amp;"生成成长"),3))*(VLOOKUP($B$5,标准坦克设计!$B$14:$K$20,9)/30))</f>
        <v>0.62228766108425926</v>
      </c>
      <c r="D216" s="172">
        <f ca="1">(VLOOKUP(D$72,INDIRECT($C$5&amp;"生成成长"),2))/((VLOOKUP($B216,INDIRECT($B$5&amp;"生成成长"),4))/(VLOOKUP(D$72,INDIRECT($C$5&amp;"生成成长"),5))*(VLOOKUP($B$5,标准坦克设计!$B$24:$U$30,MATCH("对"&amp;LEFT($C$5,2)&amp;"输出",标准坦克设计!$B$23:$U$23,0)))*(VLOOKUP($B216,INDIRECT($B$5&amp;"生成成长"),3))*(VLOOKUP($B$5,标准坦克设计!$B$14:$K$20,9)/30))</f>
        <v>0.69920241599427346</v>
      </c>
      <c r="E216" s="172">
        <f ca="1">(VLOOKUP(E$72,INDIRECT($C$5&amp;"生成成长"),2))/((VLOOKUP($B216,INDIRECT($B$5&amp;"生成成长"),4))/(VLOOKUP(E$72,INDIRECT($C$5&amp;"生成成长"),5))*(VLOOKUP($B$5,标准坦克设计!$B$24:$U$30,MATCH("对"&amp;LEFT($C$5,2)&amp;"输出",标准坦克设计!$B$23:$U$23,0)))*(VLOOKUP($B216,INDIRECT($B$5&amp;"生成成长"),3))*(VLOOKUP($B$5,标准坦克设计!$B$14:$K$20,9)/30))</f>
        <v>0.78059764206409477</v>
      </c>
      <c r="F216" s="172">
        <f ca="1">(VLOOKUP(F$72,INDIRECT($C$5&amp;"生成成长"),2))/((VLOOKUP($B216,INDIRECT($B$5&amp;"生成成长"),4))/(VLOOKUP(F$72,INDIRECT($C$5&amp;"生成成长"),5))*(VLOOKUP($B$5,标准坦克设计!$B$24:$U$30,MATCH("对"&amp;LEFT($C$5,2)&amp;"输出",标准坦克设计!$B$23:$U$23,0)))*(VLOOKUP($B216,INDIRECT($B$5&amp;"生成成长"),3))*(VLOOKUP($B$5,标准坦克设计!$B$14:$K$20,9)/30))</f>
        <v>0.86647333929372261</v>
      </c>
      <c r="G216" s="172">
        <f ca="1">(VLOOKUP(G$72,INDIRECT($C$5&amp;"生成成长"),2))/((VLOOKUP($B216,INDIRECT($B$5&amp;"生成成长"),4))/(VLOOKUP(G$72,INDIRECT($C$5&amp;"生成成长"),5))*(VLOOKUP($B$5,标准坦克设计!$B$24:$U$30,MATCH("对"&amp;LEFT($C$5,2)&amp;"输出",标准坦克设计!$B$23:$U$23,0)))*(VLOOKUP($B216,INDIRECT($B$5&amp;"生成成长"),3))*(VLOOKUP($B$5,标准坦克设计!$B$14:$K$20,9)/30))</f>
        <v>0.95682950768315689</v>
      </c>
      <c r="H216" s="172">
        <f ca="1">(VLOOKUP(H$72,INDIRECT($C$5&amp;"生成成长"),2))/((VLOOKUP($B216,INDIRECT($B$5&amp;"生成成长"),4))/(VLOOKUP(H$72,INDIRECT($C$5&amp;"生成成长"),5))*(VLOOKUP($B$5,标准坦克设计!$B$24:$U$30,MATCH("对"&amp;LEFT($C$5,2)&amp;"输出",标准坦克设计!$B$23:$U$23,0)))*(VLOOKUP($B216,INDIRECT($B$5&amp;"生成成长"),3))*(VLOOKUP($B$5,标准坦克设计!$B$14:$K$20,9)/30))</f>
        <v>0.83735027675497931</v>
      </c>
      <c r="I216" s="172">
        <f ca="1">(VLOOKUP(I$72,INDIRECT($C$5&amp;"生成成长"),2))/((VLOOKUP($B216,INDIRECT($B$5&amp;"生成成长"),4))/(VLOOKUP(I$72,INDIRECT($C$5&amp;"生成成长"),5))*(VLOOKUP($B$5,标准坦克设计!$B$24:$U$30,MATCH("对"&amp;LEFT($C$5,2)&amp;"输出",标准坦克设计!$B$23:$U$23,0)))*(VLOOKUP($B216,INDIRECT($B$5&amp;"生成成长"),3))*(VLOOKUP($B$5,标准坦克设计!$B$14:$K$20,9)/30))</f>
        <v>0.95682950768315689</v>
      </c>
      <c r="J216" s="172">
        <f ca="1">(VLOOKUP(J$72,INDIRECT($C$5&amp;"生成成长"),2))/((VLOOKUP($B216,INDIRECT($B$5&amp;"生成成长"),4))/(VLOOKUP(J$72,INDIRECT($C$5&amp;"生成成长"),5))*(VLOOKUP($B$5,标准坦克设计!$B$24:$U$30,MATCH("对"&amp;LEFT($C$5,2)&amp;"输出",标准坦克设计!$B$23:$U$23,0)))*(VLOOKUP($B216,INDIRECT($B$5&amp;"生成成长"),3))*(VLOOKUP($B$5,标准坦克设计!$B$14:$K$20,9)/30))</f>
        <v>1.0842740206732133</v>
      </c>
      <c r="K216" s="172">
        <f ca="1">(VLOOKUP(K$72,INDIRECT($C$5&amp;"生成成长"),2))/((VLOOKUP($B216,INDIRECT($B$5&amp;"生成成长"),4))/(VLOOKUP(K$72,INDIRECT($C$5&amp;"生成成长"),5))*(VLOOKUP($B$5,标准坦克设计!$B$24:$U$30,MATCH("对"&amp;LEFT($C$5,2)&amp;"输出",标准坦克设计!$B$23:$U$23,0)))*(VLOOKUP($B216,INDIRECT($B$5&amp;"生成成长"),3))*(VLOOKUP($B$5,标准坦克设计!$B$14:$K$20,9)/30))</f>
        <v>1.2196838157251479</v>
      </c>
      <c r="L216" s="172">
        <f ca="1">(VLOOKUP(L$72,INDIRECT($C$5&amp;"生成成长"),2))/((VLOOKUP($B216,INDIRECT($B$5&amp;"生成成长"),4))/(VLOOKUP(L$72,INDIRECT($C$5&amp;"生成成长"),5))*(VLOOKUP($B$5,标准坦克设计!$B$24:$U$30,MATCH("对"&amp;LEFT($C$5,2)&amp;"输出",标准坦克设计!$B$23:$U$23,0)))*(VLOOKUP($B216,INDIRECT($B$5&amp;"生成成长"),3))*(VLOOKUP($B$5,标准坦克设计!$B$14:$K$20,9)/30))</f>
        <v>1.3630588928389615</v>
      </c>
      <c r="M216" s="172">
        <f ca="1">(VLOOKUP(M$72,INDIRECT($C$5&amp;"生成成长"),2))/((VLOOKUP($B216,INDIRECT($B$5&amp;"生成成长"),4))/(VLOOKUP(M$72,INDIRECT($C$5&amp;"生成成长"),5))*(VLOOKUP($B$5,标准坦克设计!$B$24:$U$30,MATCH("对"&amp;LEFT($C$5,2)&amp;"输出",标准坦克设计!$B$23:$U$23,0)))*(VLOOKUP($B216,INDIRECT($B$5&amp;"生成成长"),3))*(VLOOKUP($B$5,标准坦克设计!$B$14:$K$20,9)/30))</f>
        <v>1.5143992520146532</v>
      </c>
      <c r="N216" s="172">
        <f ca="1">(VLOOKUP(N$72,INDIRECT($C$5&amp;"生成成长"),2))/((VLOOKUP($B216,INDIRECT($B$5&amp;"生成成长"),4))/(VLOOKUP(N$72,INDIRECT($C$5&amp;"生成成长"),5))*(VLOOKUP($B$5,标准坦克设计!$B$24:$U$30,MATCH("对"&amp;LEFT($C$5,2)&amp;"输出",标准坦克设计!$B$23:$U$23,0)))*(VLOOKUP($B216,INDIRECT($B$5&amp;"生成成长"),3))*(VLOOKUP($B$5,标准坦克设计!$B$14:$K$20,9)/30))</f>
        <v>1.6737048932522236</v>
      </c>
      <c r="O216" s="172">
        <f ca="1">(VLOOKUP(O$72,INDIRECT($C$5&amp;"生成成长"),2))/((VLOOKUP($B216,INDIRECT($B$5&amp;"生成成长"),4))/(VLOOKUP(O$72,INDIRECT($C$5&amp;"生成成长"),5))*(VLOOKUP($B$5,标准坦克设计!$B$24:$U$30,MATCH("对"&amp;LEFT($C$5,2)&amp;"输出",标准坦克设计!$B$23:$U$23,0)))*(VLOOKUP($B216,INDIRECT($B$5&amp;"生成成长"),3))*(VLOOKUP($B$5,标准坦克设计!$B$14:$K$20,9)/30))</f>
        <v>1.2725160381512017</v>
      </c>
      <c r="P216" s="172">
        <f ca="1">(VLOOKUP(P$72,INDIRECT($C$5&amp;"生成成长"),2))/((VLOOKUP($B216,INDIRECT($B$5&amp;"生成成长"),4))/(VLOOKUP(P$72,INDIRECT($C$5&amp;"生成成长"),5))*(VLOOKUP($B$5,标准坦克设计!$B$24:$U$30,MATCH("对"&amp;LEFT($C$5,2)&amp;"输出",标准坦克设计!$B$23:$U$23,0)))*(VLOOKUP($B216,INDIRECT($B$5&amp;"生成成长"),3))*(VLOOKUP($B$5,标准坦克设计!$B$14:$K$20,9)/30))</f>
        <v>1.4377334121690724</v>
      </c>
      <c r="Q216" s="172">
        <f ca="1">(VLOOKUP(Q$72,INDIRECT($C$5&amp;"生成成长"),2))/((VLOOKUP($B216,INDIRECT($B$5&amp;"生成成长"),4))/(VLOOKUP(Q$72,INDIRECT($C$5&amp;"生成成长"),5))*(VLOOKUP($B$5,标准坦克设计!$B$24:$U$30,MATCH("对"&amp;LEFT($C$5,2)&amp;"输出",标准坦克设计!$B$23:$U$23,0)))*(VLOOKUP($B216,INDIRECT($B$5&amp;"生成成长"),3))*(VLOOKUP($B$5,标准坦克设计!$B$14:$K$20,9)/30))</f>
        <v>1.6130318462965085</v>
      </c>
      <c r="R216" s="172">
        <f ca="1">(VLOOKUP(R$72,INDIRECT($C$5&amp;"生成成长"),2))/((VLOOKUP($B216,INDIRECT($B$5&amp;"生成成长"),4))/(VLOOKUP(R$72,INDIRECT($C$5&amp;"生成成长"),5))*(VLOOKUP($B$5,标准坦克设计!$B$24:$U$30,MATCH("对"&amp;LEFT($C$5,2)&amp;"输出",标准坦克设计!$B$23:$U$23,0)))*(VLOOKUP($B216,INDIRECT($B$5&amp;"生成成长"),3))*(VLOOKUP($B$5,标准坦克设计!$B$14:$K$20,9)/30))</f>
        <v>1.7984113405335089</v>
      </c>
      <c r="S216" s="172">
        <f ca="1">(VLOOKUP(S$72,INDIRECT($C$5&amp;"生成成长"),2))/((VLOOKUP($B216,INDIRECT($B$5&amp;"生成成长"),4))/(VLOOKUP(S$72,INDIRECT($C$5&amp;"生成成长"),5))*(VLOOKUP($B$5,标准坦克设计!$B$24:$U$30,MATCH("对"&amp;LEFT($C$5,2)&amp;"输出",标准坦克设计!$B$23:$U$23,0)))*(VLOOKUP($B216,INDIRECT($B$5&amp;"生成成长"),3))*(VLOOKUP($B$5,标准坦克设计!$B$14:$K$20,9)/30))</f>
        <v>1.9938718948800751</v>
      </c>
      <c r="T216" s="172">
        <f ca="1">(VLOOKUP(T$72,INDIRECT($C$5&amp;"生成成长"),2))/((VLOOKUP($B216,INDIRECT($B$5&amp;"生成成长"),4))/(VLOOKUP(T$72,INDIRECT($C$5&amp;"生成成长"),5))*(VLOOKUP($B$5,标准坦克设计!$B$24:$U$30,MATCH("对"&amp;LEFT($C$5,2)&amp;"输出",标准坦克设计!$B$23:$U$23,0)))*(VLOOKUP($B216,INDIRECT($B$5&amp;"生成成长"),3))*(VLOOKUP($B$5,标准坦克设计!$B$14:$K$20,9)/30))</f>
        <v>2.1994135093362059</v>
      </c>
      <c r="U216" s="172">
        <f ca="1">(VLOOKUP(U$72,INDIRECT($C$5&amp;"生成成长"),2))/((VLOOKUP($B216,INDIRECT($B$5&amp;"生成成长"),4))/(VLOOKUP(U$72,INDIRECT($C$5&amp;"生成成长"),5))*(VLOOKUP($B$5,标准坦克设计!$B$24:$U$30,MATCH("对"&amp;LEFT($C$5,2)&amp;"输出",标准坦克设计!$B$23:$U$23,0)))*(VLOOKUP($B216,INDIRECT($B$5&amp;"生成成长"),3))*(VLOOKUP($B$5,标准坦克设计!$B$14:$K$20,9)/30))</f>
        <v>2.4150361839019014</v>
      </c>
      <c r="V216" s="172">
        <f ca="1">(VLOOKUP(V$72,INDIRECT($C$5&amp;"生成成长"),2))/((VLOOKUP($B216,INDIRECT($B$5&amp;"生成成长"),4))/(VLOOKUP(V$72,INDIRECT($C$5&amp;"生成成长"),5))*(VLOOKUP($B$5,标准坦克设计!$B$24:$U$30,MATCH("对"&amp;LEFT($C$5,2)&amp;"输出",标准坦克设计!$B$23:$U$23,0)))*(VLOOKUP($B216,INDIRECT($B$5&amp;"生成成长"),3))*(VLOOKUP($B$5,标准坦克设计!$B$14:$K$20,9)/30))</f>
        <v>2.6407399185771623</v>
      </c>
      <c r="W216" s="172">
        <f ca="1">(VLOOKUP(W$72,INDIRECT($C$5&amp;"生成成长"),2))/((VLOOKUP($B216,INDIRECT($B$5&amp;"生成成长"),4))/(VLOOKUP(W$72,INDIRECT($C$5&amp;"生成成长"),5))*(VLOOKUP($B$5,标准坦克设计!$B$24:$U$30,MATCH("对"&amp;LEFT($C$5,2)&amp;"输出",标准坦克设计!$B$23:$U$23,0)))*(VLOOKUP($B216,INDIRECT($B$5&amp;"生成成长"),3))*(VLOOKUP($B$5,标准坦克设计!$B$14:$K$20,9)/30))</f>
        <v>2.876524713361988</v>
      </c>
      <c r="X216" s="172">
        <f ca="1">(VLOOKUP(X$72,INDIRECT($C$5&amp;"生成成长"),2))/((VLOOKUP($B216,INDIRECT($B$5&amp;"生成成长"),4))/(VLOOKUP(X$72,INDIRECT($C$5&amp;"生成成长"),5))*(VLOOKUP($B$5,标准坦克设计!$B$24:$U$30,MATCH("对"&amp;LEFT($C$5,2)&amp;"输出",标准坦克设计!$B$23:$U$23,0)))*(VLOOKUP($B216,INDIRECT($B$5&amp;"生成成长"),3))*(VLOOKUP($B$5,标准坦克设计!$B$14:$K$20,9)/30))</f>
        <v>2.0839791482050756</v>
      </c>
      <c r="Y216" s="172">
        <f ca="1">(VLOOKUP(Y$72,INDIRECT($C$5&amp;"生成成长"),2))/((VLOOKUP($B216,INDIRECT($B$5&amp;"生成成长"),4))/(VLOOKUP(Y$72,INDIRECT($C$5&amp;"生成成长"),5))*(VLOOKUP($B$5,标准坦克设计!$B$24:$U$30,MATCH("对"&amp;LEFT($C$5,2)&amp;"输出",标准坦克设计!$B$23:$U$23,0)))*(VLOOKUP($B216,INDIRECT($B$5&amp;"生成成长"),3))*(VLOOKUP($B$5,标准坦克设计!$B$14:$K$20,9)/30))</f>
        <v>2.3179593087727568</v>
      </c>
      <c r="Z216" s="172">
        <f ca="1">(VLOOKUP(Z$72,INDIRECT($C$5&amp;"生成成长"),2))/((VLOOKUP($B216,INDIRECT($B$5&amp;"生成成长"),4))/(VLOOKUP(Z$72,INDIRECT($C$5&amp;"生成成长"),5))*(VLOOKUP($B$5,标准坦克设计!$B$24:$U$30,MATCH("对"&amp;LEFT($C$5,2)&amp;"输出",标准坦克设计!$B$23:$U$23,0)))*(VLOOKUP($B216,INDIRECT($B$5&amp;"生成成长"),3))*(VLOOKUP($B$5,标准坦克设计!$B$14:$K$20,9)/30))</f>
        <v>2.5643852225621231</v>
      </c>
      <c r="AA216" s="172">
        <f ca="1">(VLOOKUP(AA$72,INDIRECT($C$5&amp;"生成成长"),2))/((VLOOKUP($B216,INDIRECT($B$5&amp;"生成成长"),4))/(VLOOKUP(AA$72,INDIRECT($C$5&amp;"生成成长"),5))*(VLOOKUP($B$5,标准坦克设计!$B$24:$U$30,MATCH("对"&amp;LEFT($C$5,2)&amp;"输出",标准坦克设计!$B$23:$U$23,0)))*(VLOOKUP($B216,INDIRECT($B$5&amp;"生成成长"),3))*(VLOOKUP($B$5,标准坦克设计!$B$14:$K$20,9)/30))</f>
        <v>2.8232568895731758</v>
      </c>
      <c r="AB216" s="172">
        <f ca="1">(VLOOKUP(AB$72,INDIRECT($C$5&amp;"生成成长"),2))/((VLOOKUP($B216,INDIRECT($B$5&amp;"生成成长"),4))/(VLOOKUP(AB$72,INDIRECT($C$5&amp;"生成成长"),5))*(VLOOKUP($B$5,标准坦克设计!$B$24:$U$30,MATCH("对"&amp;LEFT($C$5,2)&amp;"输出",标准坦克设计!$B$23:$U$23,0)))*(VLOOKUP($B216,INDIRECT($B$5&amp;"生成成长"),3))*(VLOOKUP($B$5,标准坦克设计!$B$14:$K$20,9)/30))</f>
        <v>3.0945743098059122</v>
      </c>
      <c r="AC216" s="172">
        <f ca="1">(VLOOKUP(AC$72,INDIRECT($C$5&amp;"生成成长"),2))/((VLOOKUP($B216,INDIRECT($B$5&amp;"生成成长"),4))/(VLOOKUP(AC$72,INDIRECT($C$5&amp;"生成成长"),5))*(VLOOKUP($B$5,标准坦克设计!$B$24:$U$30,MATCH("对"&amp;LEFT($C$5,2)&amp;"输出",标准坦克设计!$B$23:$U$23,0)))*(VLOOKUP($B216,INDIRECT($B$5&amp;"生成成长"),3))*(VLOOKUP($B$5,标准坦克设计!$B$14:$K$20,9)/30))</f>
        <v>3.3783374832603354</v>
      </c>
      <c r="AD216" s="172">
        <f ca="1">(VLOOKUP(AD$72,INDIRECT($C$5&amp;"生成成长"),2))/((VLOOKUP($B216,INDIRECT($B$5&amp;"生成成长"),4))/(VLOOKUP(AD$72,INDIRECT($C$5&amp;"生成成长"),5))*(VLOOKUP($B$5,标准坦克设计!$B$24:$U$30,MATCH("对"&amp;LEFT($C$5,2)&amp;"输出",标准坦克设计!$B$23:$U$23,0)))*(VLOOKUP($B216,INDIRECT($B$5&amp;"生成成长"),3))*(VLOOKUP($B$5,标准坦克设计!$B$14:$K$20,9)/30))</f>
        <v>3.6745464099364424</v>
      </c>
      <c r="AE216" s="172">
        <f ca="1">(VLOOKUP(AE$72,INDIRECT($C$5&amp;"生成成长"),2))/((VLOOKUP($B216,INDIRECT($B$5&amp;"生成成长"),4))/(VLOOKUP(AE$72,INDIRECT($C$5&amp;"生成成长"),5))*(VLOOKUP($B$5,标准坦克设计!$B$24:$U$30,MATCH("对"&amp;LEFT($C$5,2)&amp;"输出",标准坦克设计!$B$23:$U$23,0)))*(VLOOKUP($B216,INDIRECT($B$5&amp;"生成成长"),3))*(VLOOKUP($B$5,标准坦克设计!$B$14:$K$20,9)/30))</f>
        <v>3.9832010898342354</v>
      </c>
      <c r="AF216" s="172">
        <f ca="1">(VLOOKUP(AF$72,INDIRECT($C$5&amp;"生成成长"),2))/((VLOOKUP($B216,INDIRECT($B$5&amp;"生成成长"),4))/(VLOOKUP(AF$72,INDIRECT($C$5&amp;"生成成长"),5))*(VLOOKUP($B$5,标准坦克设计!$B$24:$U$30,MATCH("对"&amp;LEFT($C$5,2)&amp;"输出",标准坦克设计!$B$23:$U$23,0)))*(VLOOKUP($B216,INDIRECT($B$5&amp;"生成成长"),3))*(VLOOKUP($B$5,标准坦克设计!$B$14:$K$20,9)/30))</f>
        <v>4.3043015229537129</v>
      </c>
      <c r="AG216" s="172">
        <f ca="1">(VLOOKUP(AG$72,INDIRECT($C$5&amp;"生成成长"),2))/((VLOOKUP($B216,INDIRECT($B$5&amp;"生成成长"),4))/(VLOOKUP(AG$72,INDIRECT($C$5&amp;"生成成长"),5))*(VLOOKUP($B$5,标准坦克设计!$B$24:$U$30,MATCH("对"&amp;LEFT($C$5,2)&amp;"输出",标准坦克设计!$B$23:$U$23,0)))*(VLOOKUP($B216,INDIRECT($B$5&amp;"生成成长"),3))*(VLOOKUP($B$5,标准坦克设计!$B$14:$K$20,9)/30))</f>
        <v>4.6378477092948751</v>
      </c>
      <c r="AH216" s="172">
        <f ca="1">(VLOOKUP(AH$72,INDIRECT($C$5&amp;"生成成长"),2))/((VLOOKUP($B216,INDIRECT($B$5&amp;"生成成长"),4))/(VLOOKUP(AH$72,INDIRECT($C$5&amp;"生成成长"),5))*(VLOOKUP($B$5,标准坦克设计!$B$24:$U$30,MATCH("对"&amp;LEFT($C$5,2)&amp;"输出",标准坦克设计!$B$23:$U$23,0)))*(VLOOKUP($B216,INDIRECT($B$5&amp;"生成成长"),3))*(VLOOKUP($B$5,标准坦克设计!$B$14:$K$20,9)/30))</f>
        <v>4.9838396488577246</v>
      </c>
      <c r="AI216" s="172">
        <f ca="1">(VLOOKUP(AI$72,INDIRECT($C$5&amp;"生成成长"),2))/((VLOOKUP($B216,INDIRECT($B$5&amp;"生成成长"),4))/(VLOOKUP(AI$72,INDIRECT($C$5&amp;"生成成长"),5))*(VLOOKUP($B$5,标准坦克设计!$B$24:$U$30,MATCH("对"&amp;LEFT($C$5,2)&amp;"输出",标准坦克设计!$B$23:$U$23,0)))*(VLOOKUP($B216,INDIRECT($B$5&amp;"生成成长"),3))*(VLOOKUP($B$5,标准坦克设计!$B$14:$K$20,9)/30))</f>
        <v>3.5248862274456778</v>
      </c>
      <c r="AJ216" s="172">
        <f ca="1">(VLOOKUP(AJ$72,INDIRECT($C$5&amp;"生成成长"),2))/((VLOOKUP($B216,INDIRECT($B$5&amp;"生成成长"),4))/(VLOOKUP(AJ$72,INDIRECT($C$5&amp;"生成成长"),5))*(VLOOKUP($B$5,标准坦克设计!$B$24:$U$30,MATCH("对"&amp;LEFT($C$5,2)&amp;"输出",标准坦克设计!$B$23:$U$23,0)))*(VLOOKUP($B216,INDIRECT($B$5&amp;"生成成长"),3))*(VLOOKUP($B$5,标准坦克设计!$B$14:$K$20,9)/30))</f>
        <v>3.8582457274885154</v>
      </c>
      <c r="AK216" s="172">
        <f ca="1">(VLOOKUP(AK$72,INDIRECT($C$5&amp;"生成成长"),2))/((VLOOKUP($B216,INDIRECT($B$5&amp;"生成成长"),4))/(VLOOKUP(AK$72,INDIRECT($C$5&amp;"生成成长"),5))*(VLOOKUP($B$5,标准坦克设计!$B$24:$U$30,MATCH("对"&amp;LEFT($C$5,2)&amp;"输出",标准坦克设计!$B$23:$U$23,0)))*(VLOOKUP($B216,INDIRECT($B$5&amp;"生成成长"),3))*(VLOOKUP($B$5,标准坦克设计!$B$14:$K$20,9)/30))</f>
        <v>4.2066645889295922</v>
      </c>
      <c r="AL216" s="172">
        <f ca="1">(VLOOKUP(AL$72,INDIRECT($C$5&amp;"生成成长"),2))/((VLOOKUP($B216,INDIRECT($B$5&amp;"生成成长"),4))/(VLOOKUP(AL$72,INDIRECT($C$5&amp;"生成成长"),5))*(VLOOKUP($B$5,标准坦克设计!$B$24:$U$30,MATCH("对"&amp;LEFT($C$5,2)&amp;"输出",标准坦克设计!$B$23:$U$23,0)))*(VLOOKUP($B216,INDIRECT($B$5&amp;"生成成长"),3))*(VLOOKUP($B$5,标准坦克设计!$B$14:$K$20,9)/30))</f>
        <v>4.5701428117689078</v>
      </c>
      <c r="AM216" s="172">
        <f ca="1">(VLOOKUP(AM$72,INDIRECT($C$5&amp;"生成成长"),2))/((VLOOKUP($B216,INDIRECT($B$5&amp;"生成成长"),4))/(VLOOKUP(AM$72,INDIRECT($C$5&amp;"生成成长"),5))*(VLOOKUP($B$5,标准坦克设计!$B$24:$U$30,MATCH("对"&amp;LEFT($C$5,2)&amp;"输出",标准坦克设计!$B$23:$U$23,0)))*(VLOOKUP($B216,INDIRECT($B$5&amp;"生成成长"),3))*(VLOOKUP($B$5,标准坦克设计!$B$14:$K$20,9)/30))</f>
        <v>4.9486803960064627</v>
      </c>
      <c r="AN216" s="172">
        <f ca="1">(VLOOKUP(AN$72,INDIRECT($C$5&amp;"生成成长"),2))/((VLOOKUP($B216,INDIRECT($B$5&amp;"生成成长"),4))/(VLOOKUP(AN$72,INDIRECT($C$5&amp;"生成成长"),5))*(VLOOKUP($B$5,标准坦克设计!$B$24:$U$30,MATCH("对"&amp;LEFT($C$5,2)&amp;"输出",标准坦克设计!$B$23:$U$23,0)))*(VLOOKUP($B216,INDIRECT($B$5&amp;"生成成长"),3))*(VLOOKUP($B$5,标准坦克设计!$B$14:$K$20,9)/30))</f>
        <v>5.342277341642256</v>
      </c>
      <c r="AO216" s="172">
        <f ca="1">(VLOOKUP(AO$72,INDIRECT($C$5&amp;"生成成长"),2))/((VLOOKUP($B216,INDIRECT($B$5&amp;"生成成长"),4))/(VLOOKUP(AO$72,INDIRECT($C$5&amp;"生成成长"),5))*(VLOOKUP($B$5,标准坦克设计!$B$24:$U$30,MATCH("对"&amp;LEFT($C$5,2)&amp;"输出",标准坦克设计!$B$23:$U$23,0)))*(VLOOKUP($B216,INDIRECT($B$5&amp;"生成成长"),3))*(VLOOKUP($B$5,标准坦克设计!$B$14:$K$20,9)/30))</f>
        <v>5.7509336486762894</v>
      </c>
      <c r="AP216" s="172">
        <f ca="1">(VLOOKUP(AP$72,INDIRECT($C$5&amp;"生成成长"),2))/((VLOOKUP($B216,INDIRECT($B$5&amp;"生成成长"),4))/(VLOOKUP(AP$72,INDIRECT($C$5&amp;"生成成长"),5))*(VLOOKUP($B$5,标准坦克设计!$B$24:$U$30,MATCH("对"&amp;LEFT($C$5,2)&amp;"输出",标准坦克设计!$B$23:$U$23,0)))*(VLOOKUP($B216,INDIRECT($B$5&amp;"生成成长"),3))*(VLOOKUP($B$5,标准坦克设计!$B$14:$K$20,9)/30))</f>
        <v>6.1746493171085621</v>
      </c>
      <c r="AQ216" s="172">
        <f ca="1">(VLOOKUP(AQ$72,INDIRECT($C$5&amp;"生成成长"),2))/((VLOOKUP($B216,INDIRECT($B$5&amp;"生成成长"),4))/(VLOOKUP(AQ$72,INDIRECT($C$5&amp;"生成成长"),5))*(VLOOKUP($B$5,标准坦克设计!$B$24:$U$30,MATCH("对"&amp;LEFT($C$5,2)&amp;"输出",标准坦克设计!$B$23:$U$23,0)))*(VLOOKUP($B216,INDIRECT($B$5&amp;"生成成长"),3))*(VLOOKUP($B$5,标准坦克设计!$B$14:$K$20,9)/30))</f>
        <v>6.6134243469390723</v>
      </c>
      <c r="AR216" s="172">
        <f ca="1">(VLOOKUP(AR$72,INDIRECT($C$5&amp;"生成成长"),2))/((VLOOKUP($B216,INDIRECT($B$5&amp;"生成成长"),4))/(VLOOKUP(AR$72,INDIRECT($C$5&amp;"生成成长"),5))*(VLOOKUP($B$5,标准坦克设计!$B$24:$U$30,MATCH("对"&amp;LEFT($C$5,2)&amp;"输出",标准坦克设计!$B$23:$U$23,0)))*(VLOOKUP($B216,INDIRECT($B$5&amp;"生成成长"),3))*(VLOOKUP($B$5,标准坦克设计!$B$14:$K$20,9)/30))</f>
        <v>7.0672587381678236</v>
      </c>
      <c r="AS216" s="172">
        <f ca="1">(VLOOKUP(AS$72,INDIRECT($C$5&amp;"生成成长"),2))/((VLOOKUP($B216,INDIRECT($B$5&amp;"生成成长"),4))/(VLOOKUP(AS$72,INDIRECT($C$5&amp;"生成成长"),5))*(VLOOKUP($B$5,标准坦克设计!$B$24:$U$30,MATCH("对"&amp;LEFT($C$5,2)&amp;"输出",标准坦克设计!$B$23:$U$23,0)))*(VLOOKUP($B216,INDIRECT($B$5&amp;"生成成长"),3))*(VLOOKUP($B$5,标准坦克设计!$B$14:$K$20,9)/30))</f>
        <v>7.5361524907948123</v>
      </c>
      <c r="AT216" s="172">
        <f ca="1">(VLOOKUP(AT$72,INDIRECT($C$5&amp;"生成成长"),2))/((VLOOKUP($B216,INDIRECT($B$5&amp;"生成成长"),4))/(VLOOKUP(AT$72,INDIRECT($C$5&amp;"生成成长"),5))*(VLOOKUP($B$5,标准坦克设计!$B$24:$U$30,MATCH("对"&amp;LEFT($C$5,2)&amp;"输出",标准坦克设计!$B$23:$U$23,0)))*(VLOOKUP($B216,INDIRECT($B$5&amp;"生成成长"),3))*(VLOOKUP($B$5,标准坦克设计!$B$14:$K$20,9)/30))</f>
        <v>8.0201056048200403</v>
      </c>
      <c r="AU216" s="172">
        <f ca="1">(VLOOKUP(AU$72,INDIRECT($C$5&amp;"生成成长"),2))/((VLOOKUP($B216,INDIRECT($B$5&amp;"生成成长"),4))/(VLOOKUP(AU$72,INDIRECT($C$5&amp;"生成成长"),5))*(VLOOKUP($B$5,标准坦克设计!$B$24:$U$30,MATCH("对"&amp;LEFT($C$5,2)&amp;"输出",标准坦克设计!$B$23:$U$23,0)))*(VLOOKUP($B216,INDIRECT($B$5&amp;"生成成长"),3))*(VLOOKUP($B$5,标准坦克设计!$B$14:$K$20,9)/30))</f>
        <v>8.5191180802435102</v>
      </c>
      <c r="AV216" s="172">
        <f ca="1">(VLOOKUP(AV$72,INDIRECT($C$5&amp;"生成成长"),2))/((VLOOKUP($B216,INDIRECT($B$5&amp;"生成成长"),4))/(VLOOKUP(AV$72,INDIRECT($C$5&amp;"生成成长"),5))*(VLOOKUP($B$5,标准坦克设计!$B$24:$U$30,MATCH("对"&amp;LEFT($C$5,2)&amp;"输出",标准坦克设计!$B$23:$U$23,0)))*(VLOOKUP($B216,INDIRECT($B$5&amp;"生成成长"),3))*(VLOOKUP($B$5,标准坦克设计!$B$14:$K$20,9)/30))</f>
        <v>0.86647333929372261</v>
      </c>
      <c r="AW216" s="172">
        <f ca="1">(VLOOKUP(AW$72,INDIRECT($C$5&amp;"生成成长"),2))/((VLOOKUP($B216,INDIRECT($B$5&amp;"生成成长"),4))/(VLOOKUP(AW$72,INDIRECT($C$5&amp;"生成成长"),5))*(VLOOKUP($B$5,标准坦克设计!$B$24:$U$30,MATCH("对"&amp;LEFT($C$5,2)&amp;"输出",标准坦克设计!$B$23:$U$23,0)))*(VLOOKUP($B216,INDIRECT($B$5&amp;"生成成长"),3))*(VLOOKUP($B$5,标准坦克设计!$B$14:$K$20,9)/30))</f>
        <v>0.98794389073736988</v>
      </c>
      <c r="AX216" s="172">
        <f ca="1">(VLOOKUP(AX$72,INDIRECT($C$5&amp;"生成成长"),2))/((VLOOKUP($B216,INDIRECT($B$5&amp;"生成成长"),4))/(VLOOKUP(AX$72,INDIRECT($C$5&amp;"生成成长"),5))*(VLOOKUP($B$5,标准坦克设计!$B$24:$U$30,MATCH("对"&amp;LEFT($C$5,2)&amp;"输出",标准坦克设计!$B$23:$U$23,0)))*(VLOOKUP($B216,INDIRECT($B$5&amp;"生成成长"),3))*(VLOOKUP($B$5,标准坦克设计!$B$14:$K$20,9)/30))</f>
        <v>1.1173797242428958</v>
      </c>
      <c r="AY216" s="172">
        <f ca="1">(VLOOKUP(AY$72,INDIRECT($C$5&amp;"生成成长"),2))/((VLOOKUP($B216,INDIRECT($B$5&amp;"生成成长"),4))/(VLOOKUP(AY$72,INDIRECT($C$5&amp;"生成成长"),5))*(VLOOKUP($B$5,标准坦克设计!$B$24:$U$30,MATCH("对"&amp;LEFT($C$5,2)&amp;"输出",标准坦克设计!$B$23:$U$23,0)))*(VLOOKUP($B216,INDIRECT($B$5&amp;"生成成长"),3))*(VLOOKUP($B$5,标准坦克设计!$B$14:$K$20,9)/30))</f>
        <v>1.2547808398103002</v>
      </c>
      <c r="AZ216" s="172">
        <f ca="1">(VLOOKUP(AZ$72,INDIRECT($C$5&amp;"生成成长"),2))/((VLOOKUP($B216,INDIRECT($B$5&amp;"生成成长"),4))/(VLOOKUP(AZ$72,INDIRECT($C$5&amp;"生成成长"),5))*(VLOOKUP($B$5,标准坦克设计!$B$24:$U$30,MATCH("对"&amp;LEFT($C$5,2)&amp;"输出",标准坦克设计!$B$23:$U$23,0)))*(VLOOKUP($B216,INDIRECT($B$5&amp;"生成成长"),3))*(VLOOKUP($B$5,标准坦克设计!$B$14:$K$20,9)/30))</f>
        <v>1.4001472374395829</v>
      </c>
      <c r="BA216" s="172">
        <f ca="1">(VLOOKUP(BA$72,INDIRECT($C$5&amp;"生成成长"),2))/((VLOOKUP($B216,INDIRECT($B$5&amp;"生成成长"),4))/(VLOOKUP(BA$72,INDIRECT($C$5&amp;"生成成长"),5))*(VLOOKUP($B$5,标准坦克设计!$B$24:$U$30,MATCH("对"&amp;LEFT($C$5,2)&amp;"输出",标准坦克设计!$B$23:$U$23,0)))*(VLOOKUP($B216,INDIRECT($B$5&amp;"生成成长"),3))*(VLOOKUP($B$5,标准坦克设计!$B$14:$K$20,9)/30))</f>
        <v>1.5534789171307446</v>
      </c>
      <c r="BB216" s="172">
        <f ca="1">(VLOOKUP(BB$72,INDIRECT($C$5&amp;"生成成长"),2))/((VLOOKUP($B216,INDIRECT($B$5&amp;"生成成长"),4))/(VLOOKUP(BB$72,INDIRECT($C$5&amp;"生成成长"),5))*(VLOOKUP($B$5,标准坦克设计!$B$24:$U$30,MATCH("对"&amp;LEFT($C$5,2)&amp;"输出",标准坦克设计!$B$23:$U$23,0)))*(VLOOKUP($B216,INDIRECT($B$5&amp;"生成成长"),3))*(VLOOKUP($B$5,标准坦克设计!$B$14:$K$20,9)/30))</f>
        <v>1.7147758788837846</v>
      </c>
      <c r="BC216" s="172">
        <f ca="1">(VLOOKUP(BC$72,INDIRECT($C$5&amp;"生成成长"),2))/((VLOOKUP($B216,INDIRECT($B$5&amp;"生成成长"),4))/(VLOOKUP(BC$72,INDIRECT($C$5&amp;"生成成长"),5))*(VLOOKUP($B$5,标准坦克设计!$B$24:$U$30,MATCH("对"&amp;LEFT($C$5,2)&amp;"输出",标准坦克设计!$B$23:$U$23,0)))*(VLOOKUP($B216,INDIRECT($B$5&amp;"生成成长"),3))*(VLOOKUP($B$5,标准坦克设计!$B$14:$K$20,9)/30))</f>
        <v>1.8840381226987031</v>
      </c>
      <c r="BD216" s="172">
        <f ca="1">(VLOOKUP(BD$72,INDIRECT($C$5&amp;"生成成长"),2))/((VLOOKUP($B216,INDIRECT($B$5&amp;"生成成长"),4))/(VLOOKUP(BD$72,INDIRECT($C$5&amp;"生成成长"),5))*(VLOOKUP($B$5,标准坦克设计!$B$24:$U$30,MATCH("对"&amp;LEFT($C$5,2)&amp;"输出",标准坦克设计!$B$23:$U$23,0)))*(VLOOKUP($B216,INDIRECT($B$5&amp;"生成成长"),3))*(VLOOKUP($B$5,标准坦克设计!$B$14:$K$20,9)/30))</f>
        <v>2.0839791482050756</v>
      </c>
      <c r="BE216" s="172">
        <f ca="1">(VLOOKUP(BE$72,INDIRECT($C$5&amp;"生成成长"),2))/((VLOOKUP($B216,INDIRECT($B$5&amp;"生成成长"),4))/(VLOOKUP(BE$72,INDIRECT($C$5&amp;"生成成长"),5))*(VLOOKUP($B$5,标准坦克设计!$B$24:$U$30,MATCH("对"&amp;LEFT($C$5,2)&amp;"输出",标准坦克设计!$B$23:$U$23,0)))*(VLOOKUP($B216,INDIRECT($B$5&amp;"生成成长"),3))*(VLOOKUP($B$5,标准坦克设计!$B$14:$K$20,9)/30))</f>
        <v>2.2940012338210134</v>
      </c>
      <c r="BF216" s="172">
        <f ca="1">(VLOOKUP(BF$72,INDIRECT($C$5&amp;"生成成长"),2))/((VLOOKUP($B216,INDIRECT($B$5&amp;"生成成长"),4))/(VLOOKUP(BF$72,INDIRECT($C$5&amp;"生成成长"),5))*(VLOOKUP($B$5,标准坦克设计!$B$24:$U$30,MATCH("对"&amp;LEFT($C$5,2)&amp;"输出",标准坦克设计!$B$23:$U$23,0)))*(VLOOKUP($B216,INDIRECT($B$5&amp;"生成成长"),3))*(VLOOKUP($B$5,标准坦克设计!$B$14:$K$20,9)/30))</f>
        <v>2.5141043795465157</v>
      </c>
      <c r="BG216" s="172">
        <f ca="1">(VLOOKUP(BG$72,INDIRECT($C$5&amp;"生成成长"),2))/((VLOOKUP($B216,INDIRECT($B$5&amp;"生成成长"),4))/(VLOOKUP(BG$72,INDIRECT($C$5&amp;"生成成长"),5))*(VLOOKUP($B$5,标准坦克设计!$B$24:$U$30,MATCH("对"&amp;LEFT($C$5,2)&amp;"输出",标准坦克设计!$B$23:$U$23,0)))*(VLOOKUP($B216,INDIRECT($B$5&amp;"生成成长"),3))*(VLOOKUP($B$5,标准坦克设计!$B$14:$K$20,9)/30))</f>
        <v>2.7442885853815833</v>
      </c>
      <c r="BH216" s="172">
        <f ca="1">(VLOOKUP(BH$72,INDIRECT($C$5&amp;"生成成长"),2))/((VLOOKUP($B216,INDIRECT($B$5&amp;"生成成长"),4))/(VLOOKUP(BH$72,INDIRECT($C$5&amp;"生成成长"),5))*(VLOOKUP($B$5,标准坦克设计!$B$24:$U$30,MATCH("对"&amp;LEFT($C$5,2)&amp;"输出",标准坦克设计!$B$23:$U$23,0)))*(VLOOKUP($B216,INDIRECT($B$5&amp;"生成成长"),3))*(VLOOKUP($B$5,标准坦克设计!$B$14:$K$20,9)/30))</f>
        <v>1.3264683783672067</v>
      </c>
      <c r="BI216" s="172">
        <f ca="1">(VLOOKUP(BI$72,INDIRECT($C$5&amp;"生成成长"),2))/((VLOOKUP($B216,INDIRECT($B$5&amp;"生成成长"),4))/(VLOOKUP(BI$72,INDIRECT($C$5&amp;"生成成长"),5))*(VLOOKUP($B$5,标准坦克设计!$B$24:$U$30,MATCH("对"&amp;LEFT($C$5,2)&amp;"输出",标准坦克设计!$B$23:$U$23,0)))*(VLOOKUP($B216,INDIRECT($B$5&amp;"生成成长"),3))*(VLOOKUP($B$5,标准坦克设计!$B$14:$K$20,9)/30))</f>
        <v>1.4950461057549329</v>
      </c>
      <c r="BJ216" s="172">
        <f ca="1">(VLOOKUP(BJ$72,INDIRECT($C$5&amp;"生成成长"),2))/((VLOOKUP($B216,INDIRECT($B$5&amp;"生成成长"),4))/(VLOOKUP(BJ$72,INDIRECT($C$5&amp;"生成成长"),5))*(VLOOKUP($B$5,标准坦克设计!$B$24:$U$30,MATCH("对"&amp;LEFT($C$5,2)&amp;"输出",标准坦克设计!$B$23:$U$23,0)))*(VLOOKUP($B216,INDIRECT($B$5&amp;"生成成长"),3))*(VLOOKUP($B$5,标准坦克设计!$B$14:$K$20,9)/30))</f>
        <v>1.6737048932522236</v>
      </c>
      <c r="BK216" s="172">
        <f ca="1">(VLOOKUP(BK$72,INDIRECT($C$5&amp;"生成成长"),2))/((VLOOKUP($B216,INDIRECT($B$5&amp;"生成成长"),4))/(VLOOKUP(BK$72,INDIRECT($C$5&amp;"生成成长"),5))*(VLOOKUP($B$5,标准坦克设计!$B$24:$U$30,MATCH("对"&amp;LEFT($C$5,2)&amp;"输出",标准坦克设计!$B$23:$U$23,0)))*(VLOOKUP($B216,INDIRECT($B$5&amp;"生成成长"),3))*(VLOOKUP($B$5,标准坦克设计!$B$14:$K$20,9)/30))</f>
        <v>1.8624447408590794</v>
      </c>
      <c r="BL216" s="172">
        <f ca="1">(VLOOKUP(BL$72,INDIRECT($C$5&amp;"生成成长"),2))/((VLOOKUP($B216,INDIRECT($B$5&amp;"生成成长"),4))/(VLOOKUP(BL$72,INDIRECT($C$5&amp;"生成成长"),5))*(VLOOKUP($B$5,标准坦克设计!$B$24:$U$30,MATCH("对"&amp;LEFT($C$5,2)&amp;"输出",标准坦克设计!$B$23:$U$23,0)))*(VLOOKUP($B216,INDIRECT($B$5&amp;"生成成长"),3))*(VLOOKUP($B$5,标准坦克设计!$B$14:$K$20,9)/30))</f>
        <v>2.0612656485755001</v>
      </c>
      <c r="BM216" s="172">
        <f ca="1">(VLOOKUP(BM$72,INDIRECT($C$5&amp;"生成成长"),2))/((VLOOKUP($B216,INDIRECT($B$5&amp;"生成成长"),4))/(VLOOKUP(BM$72,INDIRECT($C$5&amp;"生成成长"),5))*(VLOOKUP($B$5,标准坦克设计!$B$24:$U$30,MATCH("对"&amp;LEFT($C$5,2)&amp;"输出",标准坦克设计!$B$23:$U$23,0)))*(VLOOKUP($B216,INDIRECT($B$5&amp;"生成成长"),3))*(VLOOKUP($B$5,标准坦克设计!$B$14:$K$20,9)/30))</f>
        <v>2.2701676164014861</v>
      </c>
      <c r="BN216" s="172">
        <f ca="1">(VLOOKUP(BN$72,INDIRECT($C$5&amp;"生成成长"),2))/((VLOOKUP($B216,INDIRECT($B$5&amp;"生成成长"),4))/(VLOOKUP(BN$72,INDIRECT($C$5&amp;"生成成长"),5))*(VLOOKUP($B$5,标准坦克设计!$B$24:$U$30,MATCH("对"&amp;LEFT($C$5,2)&amp;"输出",标准坦克设计!$B$23:$U$23,0)))*(VLOOKUP($B216,INDIRECT($B$5&amp;"生成成长"),3))*(VLOOKUP($B$5,标准坦克设计!$B$14:$K$20,9)/30))</f>
        <v>2.489150644337037</v>
      </c>
      <c r="BO216" s="172">
        <f ca="1">(VLOOKUP(BO$72,INDIRECT($C$5&amp;"生成成长"),2))/((VLOOKUP($B216,INDIRECT($B$5&amp;"生成成长"),4))/(VLOOKUP(BO$72,INDIRECT($C$5&amp;"生成成长"),5))*(VLOOKUP($B$5,标准坦克设计!$B$24:$U$30,MATCH("对"&amp;LEFT($C$5,2)&amp;"输出",标准坦克设计!$B$23:$U$23,0)))*(VLOOKUP($B216,INDIRECT($B$5&amp;"生成成长"),3))*(VLOOKUP($B$5,标准坦克设计!$B$14:$K$20,9)/30))</f>
        <v>2.7182147323821528</v>
      </c>
      <c r="BP216" s="172">
        <f ca="1">(VLOOKUP(BP$72,INDIRECT($C$5&amp;"生成成长"),2))/((VLOOKUP($B216,INDIRECT($B$5&amp;"生成成长"),4))/(VLOOKUP(BP$72,INDIRECT($C$5&amp;"生成成长"),5))*(VLOOKUP($B$5,标准坦克设计!$B$24:$U$30,MATCH("对"&amp;LEFT($C$5,2)&amp;"输出",标准坦克设计!$B$23:$U$23,0)))*(VLOOKUP($B216,INDIRECT($B$5&amp;"生成成长"),3))*(VLOOKUP($B$5,标准坦克设计!$B$14:$K$20,9)/30))</f>
        <v>2.9573598805368335</v>
      </c>
      <c r="BQ216" s="172">
        <f ca="1">(VLOOKUP(BQ$72,INDIRECT($C$5&amp;"生成成长"),2))/((VLOOKUP($B216,INDIRECT($B$5&amp;"生成成长"),4))/(VLOOKUP(BQ$72,INDIRECT($C$5&amp;"生成成长"),5))*(VLOOKUP($B$5,标准坦克设计!$B$24:$U$30,MATCH("对"&amp;LEFT($C$5,2)&amp;"输出",标准坦克设计!$B$23:$U$23,0)))*(VLOOKUP($B216,INDIRECT($B$5&amp;"生成成长"),3))*(VLOOKUP($B$5,标准坦克设计!$B$14:$K$20,9)/30))</f>
        <v>3.2065860888010791</v>
      </c>
      <c r="BR216" s="172">
        <f ca="1">(VLOOKUP(BR$72,INDIRECT($C$5&amp;"生成成长"),2))/((VLOOKUP($B216,INDIRECT($B$5&amp;"生成成长"),4))/(VLOOKUP(BR$72,INDIRECT($C$5&amp;"生成成长"),5))*(VLOOKUP($B$5,标准坦克设计!$B$24:$U$30,MATCH("对"&amp;LEFT($C$5,2)&amp;"输出",标准坦克设计!$B$23:$U$23,0)))*(VLOOKUP($B216,INDIRECT($B$5&amp;"生成成长"),3))*(VLOOKUP($B$5,标准坦克设计!$B$14:$K$20,9)/30))</f>
        <v>3.4953275635441758</v>
      </c>
      <c r="BS216" s="172">
        <f ca="1">(VLOOKUP(BS$72,INDIRECT($C$5&amp;"生成成长"),2))/((VLOOKUP($B216,INDIRECT($B$5&amp;"生成成长"),4))/(VLOOKUP(BS$72,INDIRECT($C$5&amp;"生成成长"),5))*(VLOOKUP($B$5,标准坦克设计!$B$24:$U$30,MATCH("对"&amp;LEFT($C$5,2)&amp;"输出",标准坦克设计!$B$23:$U$23,0)))*(VLOOKUP($B216,INDIRECT($B$5&amp;"生成成长"),3))*(VLOOKUP($B$5,标准坦克设计!$B$14:$K$20,9)/30))</f>
        <v>3.7965147915089568</v>
      </c>
      <c r="BT216" s="172">
        <f ca="1">(VLOOKUP(BT$72,INDIRECT($C$5&amp;"生成成长"),2))/((VLOOKUP($B216,INDIRECT($B$5&amp;"生成成长"),4))/(VLOOKUP(BT$72,INDIRECT($C$5&amp;"生成成长"),5))*(VLOOKUP($B$5,标准坦克设计!$B$24:$U$30,MATCH("对"&amp;LEFT($C$5,2)&amp;"输出",标准坦克设计!$B$23:$U$23,0)))*(VLOOKUP($B216,INDIRECT($B$5&amp;"生成成长"),3))*(VLOOKUP($B$5,标准坦克设计!$B$14:$K$20,9)/30))</f>
        <v>4.1101477726954236</v>
      </c>
      <c r="BU216" s="172">
        <f ca="1">(VLOOKUP(BU$72,INDIRECT($C$5&amp;"生成成长"),2))/((VLOOKUP($B216,INDIRECT($B$5&amp;"生成成长"),4))/(VLOOKUP(BU$72,INDIRECT($C$5&amp;"生成成长"),5))*(VLOOKUP($B$5,标准坦克设计!$B$24:$U$30,MATCH("对"&amp;LEFT($C$5,2)&amp;"输出",标准坦克设计!$B$23:$U$23,0)))*(VLOOKUP($B216,INDIRECT($B$5&amp;"生成成长"),3))*(VLOOKUP($B$5,标准坦克设计!$B$14:$K$20,9)/30))</f>
        <v>4.4362265071035747</v>
      </c>
      <c r="BV216" s="172">
        <f ca="1">(VLOOKUP(BV$72,INDIRECT($C$5&amp;"生成成长"),2))/((VLOOKUP($B216,INDIRECT($B$5&amp;"生成成长"),4))/(VLOOKUP(BV$72,INDIRECT($C$5&amp;"生成成长"),5))*(VLOOKUP($B$5,标准坦克设计!$B$24:$U$30,MATCH("对"&amp;LEFT($C$5,2)&amp;"输出",标准坦克设计!$B$23:$U$23,0)))*(VLOOKUP($B216,INDIRECT($B$5&amp;"生成成长"),3))*(VLOOKUP($B$5,标准坦克设计!$B$14:$K$20,9)/30))</f>
        <v>4.7747509947334121</v>
      </c>
      <c r="BW216" s="172">
        <f ca="1">(VLOOKUP(BW$72,INDIRECT($C$5&amp;"生成成长"),2))/((VLOOKUP($B216,INDIRECT($B$5&amp;"生成成长"),4))/(VLOOKUP(BW$72,INDIRECT($C$5&amp;"生成成长"),5))*(VLOOKUP($B$5,标准坦克设计!$B$24:$U$30,MATCH("对"&amp;LEFT($C$5,2)&amp;"输出",标准坦克设计!$B$23:$U$23,0)))*(VLOOKUP($B216,INDIRECT($B$5&amp;"生成成长"),3))*(VLOOKUP($B$5,标准坦克设计!$B$14:$K$20,9)/30))</f>
        <v>2.1760777220455463</v>
      </c>
      <c r="BX216" s="172">
        <f ca="1">(VLOOKUP(BX$72,INDIRECT($C$5&amp;"生成成长"),2))/((VLOOKUP($B216,INDIRECT($B$5&amp;"生成成长"),4))/(VLOOKUP(BX$72,INDIRECT($C$5&amp;"生成成长"),5))*(VLOOKUP($B$5,标准坦克设计!$B$24:$U$30,MATCH("对"&amp;LEFT($C$5,2)&amp;"输出",标准坦克设计!$B$23:$U$23,0)))*(VLOOKUP($B216,INDIRECT($B$5&amp;"生成成长"),3))*(VLOOKUP($B$5,标准坦克设计!$B$14:$K$20,9)/30))</f>
        <v>2.4150361839019014</v>
      </c>
      <c r="BY216" s="172">
        <f ca="1">(VLOOKUP(BY$72,INDIRECT($C$5&amp;"生成成长"),2))/((VLOOKUP($B216,INDIRECT($B$5&amp;"生成成长"),4))/(VLOOKUP(BY$72,INDIRECT($C$5&amp;"生成成长"),5))*(VLOOKUP($B$5,标准坦克设计!$B$24:$U$30,MATCH("对"&amp;LEFT($C$5,2)&amp;"输出",标准坦克设计!$B$23:$U$23,0)))*(VLOOKUP($B216,INDIRECT($B$5&amp;"生成成长"),3))*(VLOOKUP($B$5,标准坦克设计!$B$14:$K$20,9)/30))</f>
        <v>2.6664403989799421</v>
      </c>
      <c r="BZ216" s="172">
        <f ca="1">(VLOOKUP(BZ$72,INDIRECT($C$5&amp;"生成成长"),2))/((VLOOKUP($B216,INDIRECT($B$5&amp;"生成成长"),4))/(VLOOKUP(BZ$72,INDIRECT($C$5&amp;"生成成长"),5))*(VLOOKUP($B$5,标准坦克设计!$B$24:$U$30,MATCH("对"&amp;LEFT($C$5,2)&amp;"输出",标准坦克设计!$B$23:$U$23,0)))*(VLOOKUP($B216,INDIRECT($B$5&amp;"生成成长"),3))*(VLOOKUP($B$5,标准坦克设计!$B$14:$K$20,9)/30))</f>
        <v>2.9302903672796679</v>
      </c>
      <c r="CA216" s="172">
        <f ca="1">(VLOOKUP(CA$72,INDIRECT($C$5&amp;"生成成长"),2))/((VLOOKUP($B216,INDIRECT($B$5&amp;"生成成长"),4))/(VLOOKUP(CA$72,INDIRECT($C$5&amp;"生成成长"),5))*(VLOOKUP($B$5,标准坦克设计!$B$24:$U$30,MATCH("对"&amp;LEFT($C$5,2)&amp;"输出",标准坦克设计!$B$23:$U$23,0)))*(VLOOKUP($B216,INDIRECT($B$5&amp;"生成成长"),3))*(VLOOKUP($B$5,标准坦克设计!$B$14:$K$20,9)/30))</f>
        <v>3.2065860888010791</v>
      </c>
      <c r="CB216" s="172">
        <f ca="1">(VLOOKUP(CB$72,INDIRECT($C$5&amp;"生成成长"),2))/((VLOOKUP($B216,INDIRECT($B$5&amp;"生成成长"),4))/(VLOOKUP(CB$72,INDIRECT($C$5&amp;"生成成长"),5))*(VLOOKUP($B$5,标准坦克设计!$B$24:$U$30,MATCH("对"&amp;LEFT($C$5,2)&amp;"输出",标准坦克设计!$B$23:$U$23,0)))*(VLOOKUP($B216,INDIRECT($B$5&amp;"生成成长"),3))*(VLOOKUP($B$5,标准坦克设计!$B$14:$K$20,9)/30))</f>
        <v>3.4953275635441758</v>
      </c>
      <c r="CC216" s="172">
        <f ca="1">(VLOOKUP(CC$72,INDIRECT($C$5&amp;"生成成长"),2))/((VLOOKUP($B216,INDIRECT($B$5&amp;"生成成长"),4))/(VLOOKUP(CC$72,INDIRECT($C$5&amp;"生成成长"),5))*(VLOOKUP($B$5,标准坦克设计!$B$24:$U$30,MATCH("对"&amp;LEFT($C$5,2)&amp;"输出",标准坦克设计!$B$23:$U$23,0)))*(VLOOKUP($B216,INDIRECT($B$5&amp;"生成成长"),3))*(VLOOKUP($B$5,标准坦克设计!$B$14:$K$20,9)/30))</f>
        <v>3.7965147915089568</v>
      </c>
      <c r="CD216" s="172">
        <f ca="1">(VLOOKUP(CD$72,INDIRECT($C$5&amp;"生成成长"),2))/((VLOOKUP($B216,INDIRECT($B$5&amp;"生成成长"),4))/(VLOOKUP(CD$72,INDIRECT($C$5&amp;"生成成长"),5))*(VLOOKUP($B$5,标准坦克设计!$B$24:$U$30,MATCH("对"&amp;LEFT($C$5,2)&amp;"输出",标准坦克设计!$B$23:$U$23,0)))*(VLOOKUP($B216,INDIRECT($B$5&amp;"生成成长"),3))*(VLOOKUP($B$5,标准坦克设计!$B$14:$K$20,9)/30))</f>
        <v>4.1101477726954236</v>
      </c>
      <c r="CE216" s="172">
        <f ca="1">(VLOOKUP(CE$72,INDIRECT($C$5&amp;"生成成长"),2))/((VLOOKUP($B216,INDIRECT($B$5&amp;"生成成长"),4))/(VLOOKUP(CE$72,INDIRECT($C$5&amp;"生成成长"),5))*(VLOOKUP($B$5,标准坦克设计!$B$24:$U$30,MATCH("对"&amp;LEFT($C$5,2)&amp;"输出",标准坦克设计!$B$23:$U$23,0)))*(VLOOKUP($B216,INDIRECT($B$5&amp;"生成成长"),3))*(VLOOKUP($B$5,标准坦克设计!$B$14:$K$20,9)/30))</f>
        <v>4.4362265071035747</v>
      </c>
      <c r="CF216" s="172">
        <f ca="1">(VLOOKUP(CF$72,INDIRECT($C$5&amp;"生成成长"),2))/((VLOOKUP($B216,INDIRECT($B$5&amp;"生成成长"),4))/(VLOOKUP(CF$72,INDIRECT($C$5&amp;"生成成长"),5))*(VLOOKUP($B$5,标准坦克设计!$B$24:$U$30,MATCH("对"&amp;LEFT($C$5,2)&amp;"输出",标准坦克设计!$B$23:$U$23,0)))*(VLOOKUP($B216,INDIRECT($B$5&amp;"生成成长"),3))*(VLOOKUP($B$5,标准坦克设计!$B$14:$K$20,9)/30))</f>
        <v>4.7747509947334121</v>
      </c>
      <c r="CG216" s="172">
        <f ca="1">(VLOOKUP(CG$72,INDIRECT($C$5&amp;"生成成长"),2))/((VLOOKUP($B216,INDIRECT($B$5&amp;"生成成长"),4))/(VLOOKUP(CG$72,INDIRECT($C$5&amp;"生成成长"),5))*(VLOOKUP($B$5,标准坦克设计!$B$24:$U$30,MATCH("对"&amp;LEFT($C$5,2)&amp;"输出",标准坦克设计!$B$23:$U$23,0)))*(VLOOKUP($B216,INDIRECT($B$5&amp;"生成成长"),3))*(VLOOKUP($B$5,标准坦克设计!$B$14:$K$20,9)/30))</f>
        <v>5.1257212355849342</v>
      </c>
      <c r="CH216" s="172">
        <f ca="1">(VLOOKUP(CH$72,INDIRECT($C$5&amp;"生成成长"),2))/((VLOOKUP($B216,INDIRECT($B$5&amp;"生成成长"),4))/(VLOOKUP(CH$72,INDIRECT($C$5&amp;"生成成长"),5))*(VLOOKUP($B$5,标准坦克设计!$B$24:$U$30,MATCH("对"&amp;LEFT($C$5,2)&amp;"输出",标准坦克设计!$B$23:$U$23,0)))*(VLOOKUP($B216,INDIRECT($B$5&amp;"生成成长"),3))*(VLOOKUP($B$5,标准坦克设计!$B$14:$K$20,9)/30))</f>
        <v>5.4891372296581418</v>
      </c>
      <c r="CI216" s="172">
        <f ca="1">(VLOOKUP(CI$72,INDIRECT($C$5&amp;"生成成长"),2))/((VLOOKUP($B216,INDIRECT($B$5&amp;"生成成长"),4))/(VLOOKUP(CI$72,INDIRECT($C$5&amp;"生成成长"),5))*(VLOOKUP($B$5,标准坦克设计!$B$24:$U$30,MATCH("对"&amp;LEFT($C$5,2)&amp;"输出",标准坦克设计!$B$23:$U$23,0)))*(VLOOKUP($B216,INDIRECT($B$5&amp;"生成成长"),3))*(VLOOKUP($B$5,标准坦克设计!$B$14:$K$20,9)/30))</f>
        <v>5.9032696681097168</v>
      </c>
      <c r="CJ216" s="172">
        <f ca="1">(VLOOKUP(CJ$72,INDIRECT($C$5&amp;"生成成长"),2))/((VLOOKUP($B216,INDIRECT($B$5&amp;"生成成长"),4))/(VLOOKUP(CJ$72,INDIRECT($C$5&amp;"生成成长"),5))*(VLOOKUP($B$5,标准坦克设计!$B$24:$U$30,MATCH("对"&amp;LEFT($C$5,2)&amp;"输出",标准坦克设计!$B$23:$U$23,0)))*(VLOOKUP($B216,INDIRECT($B$5&amp;"生成成长"),3))*(VLOOKUP($B$5,标准坦克设计!$B$14:$K$20,9)/30))</f>
        <v>6.3324614679595301</v>
      </c>
      <c r="CK216" s="172">
        <f ca="1">(VLOOKUP(CK$72,INDIRECT($C$5&amp;"生成成长"),2))/((VLOOKUP($B216,INDIRECT($B$5&amp;"生成成长"),4))/(VLOOKUP(CK$72,INDIRECT($C$5&amp;"生成成长"),5))*(VLOOKUP($B$5,标准坦克设计!$B$24:$U$30,MATCH("对"&amp;LEFT($C$5,2)&amp;"输出",标准坦克设计!$B$23:$U$23,0)))*(VLOOKUP($B216,INDIRECT($B$5&amp;"生成成长"),3))*(VLOOKUP($B$5,标准坦克设计!$B$14:$K$20,9)/30))</f>
        <v>6.7767126292075819</v>
      </c>
      <c r="CL216" s="172">
        <f ca="1">(VLOOKUP(CL$72,INDIRECT($C$5&amp;"生成成长"),2))/((VLOOKUP($B216,INDIRECT($B$5&amp;"生成成长"),4))/(VLOOKUP(CL$72,INDIRECT($C$5&amp;"生成成长"),5))*(VLOOKUP($B$5,标准坦克设计!$B$24:$U$30,MATCH("对"&amp;LEFT($C$5,2)&amp;"输出",标准坦克设计!$B$23:$U$23,0)))*(VLOOKUP($B216,INDIRECT($B$5&amp;"生成成长"),3))*(VLOOKUP($B$5,标准坦克设计!$B$14:$K$20,9)/30))</f>
        <v>7.2360231518538747</v>
      </c>
      <c r="CM216" s="172">
        <f ca="1">(VLOOKUP(CM$72,INDIRECT($C$5&amp;"生成成长"),2))/((VLOOKUP($B216,INDIRECT($B$5&amp;"生成成长"),4))/(VLOOKUP(CM$72,INDIRECT($C$5&amp;"生成成长"),5))*(VLOOKUP($B$5,标准坦克设计!$B$24:$U$30,MATCH("对"&amp;LEFT($C$5,2)&amp;"输出",标准坦克设计!$B$23:$U$23,0)))*(VLOOKUP($B216,INDIRECT($B$5&amp;"生成成长"),3))*(VLOOKUP($B$5,标准坦克设计!$B$14:$K$20,9)/30))</f>
        <v>7.710393035898405</v>
      </c>
      <c r="CN216" s="172">
        <f ca="1">(VLOOKUP(CN$72,INDIRECT($C$5&amp;"生成成长"),2))/((VLOOKUP($B216,INDIRECT($B$5&amp;"生成成长"),4))/(VLOOKUP(CN$72,INDIRECT($C$5&amp;"生成成长"),5))*(VLOOKUP($B$5,标准坦克设计!$B$24:$U$30,MATCH("对"&amp;LEFT($C$5,2)&amp;"输出",标准坦克设计!$B$23:$U$23,0)))*(VLOOKUP($B216,INDIRECT($B$5&amp;"生成成长"),3))*(VLOOKUP($B$5,标准坦克设计!$B$14:$K$20,9)/30))</f>
        <v>8.1998222813411736</v>
      </c>
      <c r="CO216" s="172">
        <f ca="1">(VLOOKUP(CO$72,INDIRECT($C$5&amp;"生成成长"),2))/((VLOOKUP($B216,INDIRECT($B$5&amp;"生成成长"),4))/(VLOOKUP(CO$72,INDIRECT($C$5&amp;"生成成长"),5))*(VLOOKUP($B$5,标准坦克设计!$B$24:$U$30,MATCH("对"&amp;LEFT($C$5,2)&amp;"输出",标准坦克设计!$B$23:$U$23,0)))*(VLOOKUP($B216,INDIRECT($B$5&amp;"生成成长"),3))*(VLOOKUP($B$5,标准坦克设计!$B$14:$K$20,9)/30))</f>
        <v>3.6745464099364424</v>
      </c>
      <c r="CP216" s="172">
        <f ca="1">(VLOOKUP(CP$72,INDIRECT($C$5&amp;"生成成长"),2))/((VLOOKUP($B216,INDIRECT($B$5&amp;"生成成长"),4))/(VLOOKUP(CP$72,INDIRECT($C$5&amp;"生成成长"),5))*(VLOOKUP($B$5,标准坦克设计!$B$24:$U$30,MATCH("对"&amp;LEFT($C$5,2)&amp;"输出",标准坦克设计!$B$23:$U$23,0)))*(VLOOKUP($B216,INDIRECT($B$5&amp;"生成成长"),3))*(VLOOKUP($B$5,标准坦克设计!$B$14:$K$20,9)/30))</f>
        <v>4.0147510742512065</v>
      </c>
      <c r="CQ216" s="172">
        <f ca="1">(VLOOKUP(CQ$72,INDIRECT($C$5&amp;"生成成长"),2))/((VLOOKUP($B216,INDIRECT($B$5&amp;"生成成长"),4))/(VLOOKUP(CQ$72,INDIRECT($C$5&amp;"生成成长"),5))*(VLOOKUP($B$5,标准坦克设计!$B$24:$U$30,MATCH("对"&amp;LEFT($C$5,2)&amp;"输出",标准坦克设计!$B$23:$U$23,0)))*(VLOOKUP($B216,INDIRECT($B$5&amp;"生成成长"),3))*(VLOOKUP($B$5,标准坦克设计!$B$14:$K$20,9)/30))</f>
        <v>4.3700150999642107</v>
      </c>
      <c r="CR216" s="172">
        <f ca="1">(VLOOKUP(CR$72,INDIRECT($C$5&amp;"生成成长"),2))/((VLOOKUP($B216,INDIRECT($B$5&amp;"生成成长"),4))/(VLOOKUP(CR$72,INDIRECT($C$5&amp;"生成成长"),5))*(VLOOKUP($B$5,标准坦克设计!$B$24:$U$30,MATCH("对"&amp;LEFT($C$5,2)&amp;"输出",标准坦克设计!$B$23:$U$23,0)))*(VLOOKUP($B216,INDIRECT($B$5&amp;"生成成长"),3))*(VLOOKUP($B$5,标准坦克设计!$B$14:$K$20,9)/30))</f>
        <v>4.7403384870754532</v>
      </c>
      <c r="CS216" s="172">
        <f ca="1">(VLOOKUP(CS$72,INDIRECT($C$5&amp;"生成成长"),2))/((VLOOKUP($B216,INDIRECT($B$5&amp;"生成成长"),4))/(VLOOKUP(CS$72,INDIRECT($C$5&amp;"生成成长"),5))*(VLOOKUP($B$5,标准坦克设计!$B$24:$U$30,MATCH("对"&amp;LEFT($C$5,2)&amp;"输出",标准坦克设计!$B$23:$U$23,0)))*(VLOOKUP($B216,INDIRECT($B$5&amp;"生成成长"),3))*(VLOOKUP($B$5,标准坦克设计!$B$14:$K$20,9)/30))</f>
        <v>5.1257212355849342</v>
      </c>
      <c r="CT216" s="172">
        <f ca="1">(VLOOKUP(CT$72,INDIRECT($C$5&amp;"生成成长"),2))/((VLOOKUP($B216,INDIRECT($B$5&amp;"生成成长"),4))/(VLOOKUP(CT$72,INDIRECT($C$5&amp;"生成成长"),5))*(VLOOKUP($B$5,标准坦克设计!$B$24:$U$30,MATCH("对"&amp;LEFT($C$5,2)&amp;"输出",标准坦克设计!$B$23:$U$23,0)))*(VLOOKUP($B216,INDIRECT($B$5&amp;"生成成长"),3))*(VLOOKUP($B$5,标准坦克设计!$B$14:$K$20,9)/30))</f>
        <v>5.5261633454926553</v>
      </c>
      <c r="CU216" s="172">
        <f ca="1">(VLOOKUP(CU$72,INDIRECT($C$5&amp;"生成成长"),2))/((VLOOKUP($B216,INDIRECT($B$5&amp;"生成成长"),4))/(VLOOKUP(CU$72,INDIRECT($C$5&amp;"生成成长"),5))*(VLOOKUP($B$5,标准坦克设计!$B$24:$U$30,MATCH("对"&amp;LEFT($C$5,2)&amp;"输出",标准坦克设计!$B$23:$U$23,0)))*(VLOOKUP($B216,INDIRECT($B$5&amp;"生成成长"),3))*(VLOOKUP($B$5,标准坦克设计!$B$14:$K$20,9)/30))</f>
        <v>5.9416648167986148</v>
      </c>
      <c r="CV216" s="172">
        <f ca="1">(VLOOKUP(CV$72,INDIRECT($C$5&amp;"生成成长"),2))/((VLOOKUP($B216,INDIRECT($B$5&amp;"生成成长"),4))/(VLOOKUP(CV$72,INDIRECT($C$5&amp;"生成成长"),5))*(VLOOKUP($B$5,标准坦克设计!$B$24:$U$30,MATCH("对"&amp;LEFT($C$5,2)&amp;"输出",标准坦克设计!$B$23:$U$23,0)))*(VLOOKUP($B216,INDIRECT($B$5&amp;"生成成长"),3))*(VLOOKUP($B$5,标准坦克设计!$B$14:$K$20,9)/30))</f>
        <v>6.3722256495028144</v>
      </c>
      <c r="CW216" s="172">
        <f ca="1">(VLOOKUP(CW$72,INDIRECT($C$5&amp;"生成成长"),2))/((VLOOKUP($B216,INDIRECT($B$5&amp;"生成成长"),4))/(VLOOKUP(CW$72,INDIRECT($C$5&amp;"生成成长"),5))*(VLOOKUP($B$5,标准坦克设计!$B$24:$U$30,MATCH("对"&amp;LEFT($C$5,2)&amp;"输出",标准坦克设计!$B$23:$U$23,0)))*(VLOOKUP($B216,INDIRECT($B$5&amp;"生成成长"),3))*(VLOOKUP($B$5,标准坦克设计!$B$14:$K$20,9)/30))</f>
        <v>6.8178458436052525</v>
      </c>
      <c r="CX216" s="172">
        <f ca="1">(VLOOKUP(CX$72,INDIRECT($C$5&amp;"生成成长"),2))/((VLOOKUP($B216,INDIRECT($B$5&amp;"生成成长"),4))/(VLOOKUP(CX$72,INDIRECT($C$5&amp;"生成成长"),5))*(VLOOKUP($B$5,标准坦克设计!$B$24:$U$30,MATCH("对"&amp;LEFT($C$5,2)&amp;"输出",标准坦克设计!$B$23:$U$23,0)))*(VLOOKUP($B216,INDIRECT($B$5&amp;"生成成长"),3))*(VLOOKUP($B$5,标准坦克设计!$B$14:$K$20,9)/30))</f>
        <v>7.2785253991059298</v>
      </c>
      <c r="CY216" s="172">
        <f ca="1">(VLOOKUP(CY$72,INDIRECT($C$5&amp;"生成成长"),2))/((VLOOKUP($B216,INDIRECT($B$5&amp;"生成成长"),4))/(VLOOKUP(CY$72,INDIRECT($C$5&amp;"生成成长"),5))*(VLOOKUP($B$5,标准坦克设计!$B$24:$U$30,MATCH("对"&amp;LEFT($C$5,2)&amp;"输出",标准坦克设计!$B$23:$U$23,0)))*(VLOOKUP($B216,INDIRECT($B$5&amp;"生成成长"),3))*(VLOOKUP($B$5,标准坦克设计!$B$14:$K$20,9)/30))</f>
        <v>7.7542643160048472</v>
      </c>
      <c r="CZ216" s="172">
        <f ca="1">(VLOOKUP(CZ$72,INDIRECT($C$5&amp;"生成成长"),2))/((VLOOKUP($B216,INDIRECT($B$5&amp;"生成成长"),4))/(VLOOKUP(CZ$72,INDIRECT($C$5&amp;"生成成长"),5))*(VLOOKUP($B$5,标准坦克设计!$B$24:$U$30,MATCH("对"&amp;LEFT($C$5,2)&amp;"输出",标准坦克设计!$B$23:$U$23,0)))*(VLOOKUP($B216,INDIRECT($B$5&amp;"生成成长"),3))*(VLOOKUP($B$5,标准坦克设计!$B$14:$K$20,9)/30))</f>
        <v>8.2450625943020004</v>
      </c>
      <c r="DA216" s="172">
        <f ca="1">(VLOOKUP(DA$72,INDIRECT($C$5&amp;"生成成长"),2))/((VLOOKUP($B216,INDIRECT($B$5&amp;"生成成长"),4))/(VLOOKUP(DA$72,INDIRECT($C$5&amp;"生成成长"),5))*(VLOOKUP($B$5,标准坦克设计!$B$24:$U$30,MATCH("对"&amp;LEFT($C$5,2)&amp;"输出",标准坦克设计!$B$23:$U$23,0)))*(VLOOKUP($B216,INDIRECT($B$5&amp;"生成成长"),3))*(VLOOKUP($B$5,标准坦克设计!$B$14:$K$20,9)/30))</f>
        <v>8.7509202339973946</v>
      </c>
      <c r="DB216" s="172">
        <f ca="1">(VLOOKUP(DB$72,INDIRECT($C$5&amp;"生成成长"),2))/((VLOOKUP($B216,INDIRECT($B$5&amp;"生成成长"),4))/(VLOOKUP(DB$72,INDIRECT($C$5&amp;"生成成长"),5))*(VLOOKUP($B$5,标准坦克设计!$B$24:$U$30,MATCH("对"&amp;LEFT($C$5,2)&amp;"输出",标准坦克设计!$B$23:$U$23,0)))*(VLOOKUP($B216,INDIRECT($B$5&amp;"生成成长"),3))*(VLOOKUP($B$5,标准坦克设计!$B$14:$K$20,9)/30))</f>
        <v>9.2718372350910272</v>
      </c>
      <c r="DC216" s="172">
        <f ca="1">(VLOOKUP(DC$72,INDIRECT($C$5&amp;"生成成长"),2))/((VLOOKUP($B216,INDIRECT($B$5&amp;"生成成长"),4))/(VLOOKUP(DC$72,INDIRECT($C$5&amp;"生成成长"),5))*(VLOOKUP($B$5,标准坦克设计!$B$24:$U$30,MATCH("对"&amp;LEFT($C$5,2)&amp;"输出",标准坦克设计!$B$23:$U$23,0)))*(VLOOKUP($B216,INDIRECT($B$5&amp;"生成成长"),3))*(VLOOKUP($B$5,标准坦克设计!$B$14:$K$20,9)/30))</f>
        <v>9.8572854666390999</v>
      </c>
      <c r="DD216" s="172">
        <f ca="1">(VLOOKUP(DD$72,INDIRECT($C$5&amp;"生成成长"),2))/((VLOOKUP($B216,INDIRECT($B$5&amp;"生成成长"),4))/(VLOOKUP(DD$72,INDIRECT($C$5&amp;"生成成长"),5))*(VLOOKUP($B$5,标准坦克设计!$B$24:$U$30,MATCH("对"&amp;LEFT($C$5,2)&amp;"输出",标准坦克设计!$B$23:$U$23,0)))*(VLOOKUP($B216,INDIRECT($B$5&amp;"生成成长"),3))*(VLOOKUP($B$5,标准坦克设计!$B$14:$K$20,9)/30))</f>
        <v>10.460655582826398</v>
      </c>
      <c r="DE216" s="172">
        <f ca="1">(VLOOKUP(DE$72,INDIRECT($C$5&amp;"生成成长"),2))/((VLOOKUP($B216,INDIRECT($B$5&amp;"生成成长"),4))/(VLOOKUP(DE$72,INDIRECT($C$5&amp;"生成成长"),5))*(VLOOKUP($B$5,标准坦克设计!$B$24:$U$30,MATCH("对"&amp;LEFT($C$5,2)&amp;"输出",标准坦克设计!$B$23:$U$23,0)))*(VLOOKUP($B216,INDIRECT($B$5&amp;"生成成长"),3))*(VLOOKUP($B$5,标准坦克设计!$B$14:$K$20,9)/30))</f>
        <v>11.081947583652923</v>
      </c>
      <c r="DF216" s="172">
        <f ca="1">(VLOOKUP(DF$72,INDIRECT($C$5&amp;"生成成长"),2))/((VLOOKUP($B216,INDIRECT($B$5&amp;"生成成长"),4))/(VLOOKUP(DF$72,INDIRECT($C$5&amp;"生成成长"),5))*(VLOOKUP($B$5,标准坦克设计!$B$24:$U$30,MATCH("对"&amp;LEFT($C$5,2)&amp;"输出",标准坦克设计!$B$23:$U$23,0)))*(VLOOKUP($B216,INDIRECT($B$5&amp;"生成成长"),3))*(VLOOKUP($B$5,标准坦克设计!$B$14:$K$20,9)/30))</f>
        <v>11.721161469118671</v>
      </c>
      <c r="DG216" s="172">
        <f ca="1">(VLOOKUP(DG$72,INDIRECT($C$5&amp;"生成成长"),2))/((VLOOKUP($B216,INDIRECT($B$5&amp;"生成成长"),4))/(VLOOKUP(DG$72,INDIRECT($C$5&amp;"生成成长"),5))*(VLOOKUP($B$5,标准坦克设计!$B$24:$U$30,MATCH("对"&amp;LEFT($C$5,2)&amp;"输出",标准坦克设计!$B$23:$U$23,0)))*(VLOOKUP($B216,INDIRECT($B$5&amp;"生成成长"),3))*(VLOOKUP($B$5,标准坦克设计!$B$14:$K$20,9)/30))</f>
        <v>12.378297239223649</v>
      </c>
      <c r="DH216" s="172">
        <f ca="1">(VLOOKUP(DH$72,INDIRECT($C$5&amp;"生成成长"),2))/((VLOOKUP($B216,INDIRECT($B$5&amp;"生成成长"),4))/(VLOOKUP(DH$72,INDIRECT($C$5&amp;"生成成长"),5))*(VLOOKUP($B$5,标准坦克设计!$B$24:$U$30,MATCH("对"&amp;LEFT($C$5,2)&amp;"输出",标准坦克设计!$B$23:$U$23,0)))*(VLOOKUP($B216,INDIRECT($B$5&amp;"生成成长"),3))*(VLOOKUP($B$5,标准坦克设计!$B$14:$K$20,9)/30))</f>
        <v>13.053354893967855</v>
      </c>
      <c r="DI216" s="172">
        <f ca="1">(VLOOKUP(DI$72,INDIRECT($C$5&amp;"生成成长"),2))/((VLOOKUP($B216,INDIRECT($B$5&amp;"生成成长"),4))/(VLOOKUP(DI$72,INDIRECT($C$5&amp;"生成成长"),5))*(VLOOKUP($B$5,标准坦克设计!$B$24:$U$30,MATCH("对"&amp;LEFT($C$5,2)&amp;"输出",标准坦克设计!$B$23:$U$23,0)))*(VLOOKUP($B216,INDIRECT($B$5&amp;"生成成长"),3))*(VLOOKUP($B$5,标准坦克设计!$B$14:$K$20,9)/30))</f>
        <v>13.746334433351288</v>
      </c>
      <c r="DJ216" s="172">
        <f ca="1">(VLOOKUP(DJ$72,INDIRECT($C$5&amp;"生成成长"),2))/((VLOOKUP($B216,INDIRECT($B$5&amp;"生成成长"),4))/(VLOOKUP(DJ$72,INDIRECT($C$5&amp;"生成成长"),5))*(VLOOKUP($B$5,标准坦克设计!$B$24:$U$30,MATCH("对"&amp;LEFT($C$5,2)&amp;"输出",标准坦克设计!$B$23:$U$23,0)))*(VLOOKUP($B216,INDIRECT($B$5&amp;"生成成长"),3))*(VLOOKUP($B$5,标准坦克设计!$B$14:$K$20,9)/30))</f>
        <v>1.3815408363731638</v>
      </c>
      <c r="DK216" s="172">
        <f ca="1">(VLOOKUP(DK$72,INDIRECT($C$5&amp;"生成成长"),2))/((VLOOKUP($B216,INDIRECT($B$5&amp;"生成成长"),4))/(VLOOKUP(DK$72,INDIRECT($C$5&amp;"生成成长"),5))*(VLOOKUP($B$5,标准坦克设计!$B$24:$U$30,MATCH("对"&amp;LEFT($C$5,2)&amp;"输出",标准坦克设计!$B$23:$U$23,0)))*(VLOOKUP($B216,INDIRECT($B$5&amp;"生成成长"),3))*(VLOOKUP($B$5,标准坦克设计!$B$14:$K$20,9)/30))</f>
        <v>1.5534789171307446</v>
      </c>
      <c r="DL216" s="172">
        <f ca="1">(VLOOKUP(DL$72,INDIRECT($C$5&amp;"生成成长"),2))/((VLOOKUP($B216,INDIRECT($B$5&amp;"生成成长"),4))/(VLOOKUP(DL$72,INDIRECT($C$5&amp;"生成成长"),5))*(VLOOKUP($B$5,标准坦克设计!$B$24:$U$30,MATCH("对"&amp;LEFT($C$5,2)&amp;"输出",标准坦克设计!$B$23:$U$23,0)))*(VLOOKUP($B216,INDIRECT($B$5&amp;"生成成长"),3))*(VLOOKUP($B$5,标准坦克设计!$B$14:$K$20,9)/30))</f>
        <v>1.7354980579978903</v>
      </c>
      <c r="DM216" s="172">
        <f ca="1">(VLOOKUP(DM$72,INDIRECT($C$5&amp;"生成成长"),2))/((VLOOKUP($B216,INDIRECT($B$5&amp;"生成成长"),4))/(VLOOKUP(DM$72,INDIRECT($C$5&amp;"生成成长"),5))*(VLOOKUP($B$5,标准坦克设计!$B$24:$U$30,MATCH("对"&amp;LEFT($C$5,2)&amp;"输出",标准坦克设计!$B$23:$U$23,0)))*(VLOOKUP($B216,INDIRECT($B$5&amp;"生成成长"),3))*(VLOOKUP($B$5,标准坦克设计!$B$14:$K$20,9)/30))</f>
        <v>1.9275982589746012</v>
      </c>
      <c r="DN216" s="172">
        <f ca="1">(VLOOKUP(DN$72,INDIRECT($C$5&amp;"生成成长"),2))/((VLOOKUP($B216,INDIRECT($B$5&amp;"生成成长"),4))/(VLOOKUP(DN$72,INDIRECT($C$5&amp;"生成成长"),5))*(VLOOKUP($B$5,标准坦克设计!$B$24:$U$30,MATCH("对"&amp;LEFT($C$5,2)&amp;"输出",标准坦克设计!$B$23:$U$23,0)))*(VLOOKUP($B216,INDIRECT($B$5&amp;"生成成长"),3))*(VLOOKUP($B$5,标准坦克设计!$B$14:$K$20,9)/30))</f>
        <v>2.1297795200608776</v>
      </c>
      <c r="DO216" s="172">
        <f ca="1">(VLOOKUP(DO$72,INDIRECT($C$5&amp;"生成成长"),2))/((VLOOKUP($B216,INDIRECT($B$5&amp;"生成成长"),4))/(VLOOKUP(DO$72,INDIRECT($C$5&amp;"生成成长"),5))*(VLOOKUP($B$5,标准坦克设计!$B$24:$U$30,MATCH("对"&amp;LEFT($C$5,2)&amp;"输出",标准坦克设计!$B$23:$U$23,0)))*(VLOOKUP($B216,INDIRECT($B$5&amp;"生成成长"),3))*(VLOOKUP($B$5,标准坦克设计!$B$14:$K$20,9)/30))</f>
        <v>2.3420418412567177</v>
      </c>
      <c r="DP216" s="172">
        <f ca="1">(VLOOKUP(DP$72,INDIRECT($C$5&amp;"生成成长"),2))/((VLOOKUP($B216,INDIRECT($B$5&amp;"生成成长"),4))/(VLOOKUP(DP$72,INDIRECT($C$5&amp;"生成成长"),5))*(VLOOKUP($B$5,标准坦克设计!$B$24:$U$30,MATCH("对"&amp;LEFT($C$5,2)&amp;"输出",标准坦克设计!$B$23:$U$23,0)))*(VLOOKUP($B216,INDIRECT($B$5&amp;"生成成长"),3))*(VLOOKUP($B$5,标准坦克设计!$B$14:$K$20,9)/30))</f>
        <v>2.5643852225621231</v>
      </c>
      <c r="DQ216" s="172">
        <f ca="1">(VLOOKUP(DQ$72,INDIRECT($C$5&amp;"生成成长"),2))/((VLOOKUP($B216,INDIRECT($B$5&amp;"生成成长"),4))/(VLOOKUP(DQ$72,INDIRECT($C$5&amp;"生成成长"),5))*(VLOOKUP($B$5,标准坦克设计!$B$24:$U$30,MATCH("对"&amp;LEFT($C$5,2)&amp;"输出",标准坦克设计!$B$23:$U$23,0)))*(VLOOKUP($B216,INDIRECT($B$5&amp;"生成成长"),3))*(VLOOKUP($B$5,标准坦克设计!$B$14:$K$20,9)/30))</f>
        <v>2.7968096639770939</v>
      </c>
      <c r="DR216" s="172">
        <f ca="1">(VLOOKUP(DR$72,INDIRECT($C$5&amp;"生成成长"),2))/((VLOOKUP($B216,INDIRECT($B$5&amp;"生成成长"),4))/(VLOOKUP(DR$72,INDIRECT($C$5&amp;"生成成长"),5))*(VLOOKUP($B$5,标准坦克设计!$B$24:$U$30,MATCH("对"&amp;LEFT($C$5,2)&amp;"输出",标准坦克设计!$B$23:$U$23,0)))*(VLOOKUP($B216,INDIRECT($B$5&amp;"生成成长"),3))*(VLOOKUP($B$5,标准坦克设计!$B$14:$K$20,9)/30))</f>
        <v>3.0393151655016304</v>
      </c>
      <c r="DS216" s="172">
        <f ca="1">(VLOOKUP(DS$72,INDIRECT($C$5&amp;"生成成长"),2))/((VLOOKUP($B216,INDIRECT($B$5&amp;"生成成长"),4))/(VLOOKUP(DS$72,INDIRECT($C$5&amp;"生成成长"),5))*(VLOOKUP($B$5,标准坦克设计!$B$24:$U$30,MATCH("对"&amp;LEFT($C$5,2)&amp;"输出",标准坦克设计!$B$23:$U$23,0)))*(VLOOKUP($B216,INDIRECT($B$5&amp;"生成成长"),3))*(VLOOKUP($B$5,标准坦克设计!$B$14:$K$20,9)/30))</f>
        <v>3.2919017271357314</v>
      </c>
      <c r="DT216" s="172">
        <f ca="1">(VLOOKUP(DT$72,INDIRECT($C$5&amp;"生成成长"),2))/((VLOOKUP($B216,INDIRECT($B$5&amp;"生成成长"),4))/(VLOOKUP(DT$72,INDIRECT($C$5&amp;"生成成长"),5))*(VLOOKUP($B$5,标准坦克设计!$B$24:$U$30,MATCH("对"&amp;LEFT($C$5,2)&amp;"输出",标准坦克设计!$B$23:$U$23,0)))*(VLOOKUP($B216,INDIRECT($B$5&amp;"生成成长"),3))*(VLOOKUP($B$5,标准坦克设计!$B$14:$K$20,9)/30))</f>
        <v>3.6143089643434858</v>
      </c>
      <c r="DU216" s="172">
        <f ca="1">(VLOOKUP(DU$72,INDIRECT($C$5&amp;"生成成长"),2))/((VLOOKUP($B216,INDIRECT($B$5&amp;"生成成长"),4))/(VLOOKUP(DU$72,INDIRECT($C$5&amp;"生成成长"),5))*(VLOOKUP($B$5,标准坦克设计!$B$24:$U$30,MATCH("对"&amp;LEFT($C$5,2)&amp;"输出",标准坦克设计!$B$23:$U$23,0)))*(VLOOKUP($B216,INDIRECT($B$5&amp;"生成成长"),3))*(VLOOKUP($B$5,标准坦克设计!$B$14:$K$20,9)/30))</f>
        <v>3.9517755629494795</v>
      </c>
      <c r="DV216" s="172">
        <f ca="1">(VLOOKUP(DV$72,INDIRECT($C$5&amp;"生成成长"),2))/((VLOOKUP($B216,INDIRECT($B$5&amp;"生成成长"),4))/(VLOOKUP(DV$72,INDIRECT($C$5&amp;"生成成长"),5))*(VLOOKUP($B$5,标准坦克设计!$B$24:$U$30,MATCH("对"&amp;LEFT($C$5,2)&amp;"输出",标准坦克设计!$B$23:$U$23,0)))*(VLOOKUP($B216,INDIRECT($B$5&amp;"生成成长"),3))*(VLOOKUP($B$5,标准坦克设计!$B$14:$K$20,9)/30))</f>
        <v>4.3043015229537129</v>
      </c>
      <c r="DW216" s="172">
        <f ca="1">(VLOOKUP(DW$72,INDIRECT($C$5&amp;"生成成长"),2))/((VLOOKUP($B216,INDIRECT($B$5&amp;"生成成长"),4))/(VLOOKUP(DW$72,INDIRECT($C$5&amp;"生成成长"),5))*(VLOOKUP($B$5,标准坦克设计!$B$24:$U$30,MATCH("对"&amp;LEFT($C$5,2)&amp;"输出",标准坦克设计!$B$23:$U$23,0)))*(VLOOKUP($B216,INDIRECT($B$5&amp;"生成成长"),3))*(VLOOKUP($B$5,标准坦克设计!$B$14:$K$20,9)/30))</f>
        <v>4.6718868443561838</v>
      </c>
      <c r="DX216" s="172">
        <f ca="1">(VLOOKUP(DX$72,INDIRECT($C$5&amp;"生成成长"),2))/((VLOOKUP($B216,INDIRECT($B$5&amp;"生成成长"),4))/(VLOOKUP(DX$72,INDIRECT($C$5&amp;"生成成长"),5))*(VLOOKUP($B$5,标准坦克设计!$B$24:$U$30,MATCH("对"&amp;LEFT($C$5,2)&amp;"输出",标准坦克设计!$B$23:$U$23,0)))*(VLOOKUP($B216,INDIRECT($B$5&amp;"生成成长"),3))*(VLOOKUP($B$5,标准坦克设计!$B$14:$K$20,9)/30))</f>
        <v>5.0545315271568949</v>
      </c>
      <c r="DY216" s="172">
        <f ca="1">(VLOOKUP(DY$72,INDIRECT($C$5&amp;"生成成长"),2))/((VLOOKUP($B216,INDIRECT($B$5&amp;"生成成长"),4))/(VLOOKUP(DY$72,INDIRECT($C$5&amp;"生成成长"),5))*(VLOOKUP($B$5,标准坦克设计!$B$24:$U$30,MATCH("对"&amp;LEFT($C$5,2)&amp;"输出",标准坦克设计!$B$23:$U$23,0)))*(VLOOKUP($B216,INDIRECT($B$5&amp;"生成成长"),3))*(VLOOKUP($B$5,标准坦克设计!$B$14:$K$20,9)/30))</f>
        <v>2.2701676164014861</v>
      </c>
      <c r="DZ216" s="172">
        <f ca="1">(VLOOKUP(DZ$72,INDIRECT($C$5&amp;"生成成长"),2))/((VLOOKUP($B216,INDIRECT($B$5&amp;"生成成长"),4))/(VLOOKUP(DZ$72,INDIRECT($C$5&amp;"生成成长"),5))*(VLOOKUP($B$5,标准坦克设计!$B$24:$U$30,MATCH("对"&amp;LEFT($C$5,2)&amp;"输出",标准坦克设计!$B$23:$U$23,0)))*(VLOOKUP($B216,INDIRECT($B$5&amp;"生成成长"),3))*(VLOOKUP($B$5,标准坦克设计!$B$14:$K$20,9)/30))</f>
        <v>2.5141043795465157</v>
      </c>
      <c r="EA216" s="172">
        <f ca="1">(VLOOKUP(EA$72,INDIRECT($C$5&amp;"生成成长"),2))/((VLOOKUP($B216,INDIRECT($B$5&amp;"生成成长"),4))/(VLOOKUP(EA$72,INDIRECT($C$5&amp;"生成成长"),5))*(VLOOKUP($B$5,标准坦克设计!$B$24:$U$30,MATCH("对"&amp;LEFT($C$5,2)&amp;"输出",标准坦克设计!$B$23:$U$23,0)))*(VLOOKUP($B216,INDIRECT($B$5&amp;"生成成长"),3))*(VLOOKUP($B$5,标准坦克设计!$B$14:$K$20,9)/30))</f>
        <v>2.7704868959132307</v>
      </c>
      <c r="EB216" s="172">
        <f ca="1">(VLOOKUP(EB$72,INDIRECT($C$5&amp;"生成成长"),2))/((VLOOKUP($B216,INDIRECT($B$5&amp;"生成成长"),4))/(VLOOKUP(EB$72,INDIRECT($C$5&amp;"生成成长"),5))*(VLOOKUP($B$5,标准坦克设计!$B$24:$U$30,MATCH("对"&amp;LEFT($C$5,2)&amp;"输出",标准坦克设计!$B$23:$U$23,0)))*(VLOOKUP($B216,INDIRECT($B$5&amp;"生成成长"),3))*(VLOOKUP($B$5,标准坦克设计!$B$14:$K$20,9)/30))</f>
        <v>3.0393151655016304</v>
      </c>
      <c r="EC216" s="172">
        <f ca="1">(VLOOKUP(EC$72,INDIRECT($C$5&amp;"生成成长"),2))/((VLOOKUP($B216,INDIRECT($B$5&amp;"生成成长"),4))/(VLOOKUP(EC$72,INDIRECT($C$5&amp;"生成成长"),5))*(VLOOKUP($B$5,标准坦克设计!$B$24:$U$30,MATCH("对"&amp;LEFT($C$5,2)&amp;"输出",标准坦克设计!$B$23:$U$23,0)))*(VLOOKUP($B216,INDIRECT($B$5&amp;"生成成长"),3))*(VLOOKUP($B$5,标准坦克设计!$B$14:$K$20,9)/30))</f>
        <v>3.3205891883117151</v>
      </c>
      <c r="ED216" s="172">
        <f ca="1">(VLOOKUP(ED$72,INDIRECT($C$5&amp;"生成成长"),2))/((VLOOKUP($B216,INDIRECT($B$5&amp;"生成成长"),4))/(VLOOKUP(ED$72,INDIRECT($C$5&amp;"生成成长"),5))*(VLOOKUP($B$5,标准坦克设计!$B$24:$U$30,MATCH("对"&amp;LEFT($C$5,2)&amp;"输出",标准坦克设计!$B$23:$U$23,0)))*(VLOOKUP($B216,INDIRECT($B$5&amp;"生成成长"),3))*(VLOOKUP($B$5,标准坦克设计!$B$14:$K$20,9)/30))</f>
        <v>3.6143089643434858</v>
      </c>
      <c r="EE216" s="172">
        <f ca="1">(VLOOKUP(EE$72,INDIRECT($C$5&amp;"生成成长"),2))/((VLOOKUP($B216,INDIRECT($B$5&amp;"生成成长"),4))/(VLOOKUP(EE$72,INDIRECT($C$5&amp;"生成成长"),5))*(VLOOKUP($B$5,标准坦克设计!$B$24:$U$30,MATCH("对"&amp;LEFT($C$5,2)&amp;"输出",标准坦克设计!$B$23:$U$23,0)))*(VLOOKUP($B216,INDIRECT($B$5&amp;"生成成长"),3))*(VLOOKUP($B$5,标准坦克设计!$B$14:$K$20,9)/30))</f>
        <v>3.9204744935969416</v>
      </c>
      <c r="EF216" s="172">
        <f ca="1">(VLOOKUP(EF$72,INDIRECT($C$5&amp;"生成成长"),2))/((VLOOKUP($B216,INDIRECT($B$5&amp;"生成成长"),4))/(VLOOKUP(EF$72,INDIRECT($C$5&amp;"生成成长"),5))*(VLOOKUP($B$5,标准坦克设计!$B$24:$U$30,MATCH("对"&amp;LEFT($C$5,2)&amp;"输出",标准坦克设计!$B$23:$U$23,0)))*(VLOOKUP($B216,INDIRECT($B$5&amp;"生成成长"),3))*(VLOOKUP($B$5,标准坦克设计!$B$14:$K$20,9)/30))</f>
        <v>4.2390857760720824</v>
      </c>
      <c r="EG216" s="172">
        <f ca="1">(VLOOKUP(EG$72,INDIRECT($C$5&amp;"生成成长"),2))/((VLOOKUP($B216,INDIRECT($B$5&amp;"生成成长"),4))/(VLOOKUP(EG$72,INDIRECT($C$5&amp;"生成成长"),5))*(VLOOKUP($B$5,标准坦克设计!$B$24:$U$30,MATCH("对"&amp;LEFT($C$5,2)&amp;"输出",标准坦克设计!$B$23:$U$23,0)))*(VLOOKUP($B216,INDIRECT($B$5&amp;"生成成长"),3))*(VLOOKUP($B$5,标准坦克设计!$B$14:$K$20,9)/30))</f>
        <v>4.5701428117689078</v>
      </c>
      <c r="EH216" s="172">
        <f ca="1">(VLOOKUP(EH$72,INDIRECT($C$5&amp;"生成成长"),2))/((VLOOKUP($B216,INDIRECT($B$5&amp;"生成成长"),4))/(VLOOKUP(EH$72,INDIRECT($C$5&amp;"生成成长"),5))*(VLOOKUP($B$5,标准坦克设计!$B$24:$U$30,MATCH("对"&amp;LEFT($C$5,2)&amp;"输出",标准坦克设计!$B$23:$U$23,0)))*(VLOOKUP($B216,INDIRECT($B$5&amp;"生成成长"),3))*(VLOOKUP($B$5,标准坦克设计!$B$14:$K$20,9)/30))</f>
        <v>4.9136456006874187</v>
      </c>
      <c r="EI216" s="172">
        <f ca="1">(VLOOKUP(EI$72,INDIRECT($C$5&amp;"生成成长"),2))/((VLOOKUP($B216,INDIRECT($B$5&amp;"生成成长"),4))/(VLOOKUP(EI$72,INDIRECT($C$5&amp;"生成成长"),5))*(VLOOKUP($B$5,标准坦克设计!$B$24:$U$30,MATCH("对"&amp;LEFT($C$5,2)&amp;"输出",标准坦克设计!$B$23:$U$23,0)))*(VLOOKUP($B216,INDIRECT($B$5&amp;"生成成长"),3))*(VLOOKUP($B$5,标准坦克设计!$B$14:$K$20,9)/30))</f>
        <v>5.2695941428276152</v>
      </c>
      <c r="EJ216" s="172">
        <f ca="1">(VLOOKUP(EJ$72,INDIRECT($C$5&amp;"生成成长"),2))/((VLOOKUP($B216,INDIRECT($B$5&amp;"生成成长"),4))/(VLOOKUP(EJ$72,INDIRECT($C$5&amp;"生成成长"),5))*(VLOOKUP($B$5,标准坦克设计!$B$24:$U$30,MATCH("对"&amp;LEFT($C$5,2)&amp;"输出",标准坦克设计!$B$23:$U$23,0)))*(VLOOKUP($B216,INDIRECT($B$5&amp;"生成成长"),3))*(VLOOKUP($B$5,标准坦克设计!$B$14:$K$20,9)/30))</f>
        <v>5.6379884381894971</v>
      </c>
      <c r="EK216" s="172">
        <f ca="1">(VLOOKUP(EK$72,INDIRECT($C$5&amp;"生成成长"),2))/((VLOOKUP($B216,INDIRECT($B$5&amp;"生成成长"),4))/(VLOOKUP(EK$72,INDIRECT($C$5&amp;"生成成长"),5))*(VLOOKUP($B$5,标准坦克设计!$B$24:$U$30,MATCH("对"&amp;LEFT($C$5,2)&amp;"输出",标准坦克设计!$B$23:$U$23,0)))*(VLOOKUP($B216,INDIRECT($B$5&amp;"生成成长"),3))*(VLOOKUP($B$5,标准坦克设计!$B$14:$K$20,9)/30))</f>
        <v>6.0964899868763789</v>
      </c>
      <c r="EL216" s="172">
        <f ca="1">(VLOOKUP(EL$72,INDIRECT($C$5&amp;"生成成长"),2))/((VLOOKUP($B216,INDIRECT($B$5&amp;"生成成长"),4))/(VLOOKUP(EL$72,INDIRECT($C$5&amp;"生成成长"),5))*(VLOOKUP($B$5,标准坦克设计!$B$24:$U$30,MATCH("对"&amp;LEFT($C$5,2)&amp;"输出",标准坦克设计!$B$23:$U$23,0)))*(VLOOKUP($B216,INDIRECT($B$5&amp;"生成成长"),3))*(VLOOKUP($B$5,标准坦克设计!$B$14:$K$20,9)/30))</f>
        <v>6.5729134202024868</v>
      </c>
      <c r="EM216" s="172">
        <f ca="1">(VLOOKUP(EM$72,INDIRECT($C$5&amp;"生成成长"),2))/((VLOOKUP($B216,INDIRECT($B$5&amp;"生成成长"),4))/(VLOOKUP(EM$72,INDIRECT($C$5&amp;"生成成长"),5))*(VLOOKUP($B$5,标准坦克设计!$B$24:$U$30,MATCH("对"&amp;LEFT($C$5,2)&amp;"输出",标准坦克设计!$B$23:$U$23,0)))*(VLOOKUP($B216,INDIRECT($B$5&amp;"生成成长"),3))*(VLOOKUP($B$5,标准坦克设计!$B$14:$K$20,9)/30))</f>
        <v>7.0672587381678236</v>
      </c>
      <c r="EN216" s="172">
        <f ca="1">(VLOOKUP(EN$72,INDIRECT($C$5&amp;"生成成长"),2))/((VLOOKUP($B216,INDIRECT($B$5&amp;"生成成长"),4))/(VLOOKUP(EN$72,INDIRECT($C$5&amp;"生成成长"),5))*(VLOOKUP($B$5,标准坦克设计!$B$24:$U$30,MATCH("对"&amp;LEFT($C$5,2)&amp;"输出",标准坦克设计!$B$23:$U$23,0)))*(VLOOKUP($B216,INDIRECT($B$5&amp;"生成成长"),3))*(VLOOKUP($B$5,标准坦克设计!$B$14:$K$20,9)/30))</f>
        <v>7.5795259407723847</v>
      </c>
      <c r="EO216" s="172">
        <f ca="1">(VLOOKUP(EO$72,INDIRECT($C$5&amp;"生成成长"),2))/((VLOOKUP($B216,INDIRECT($B$5&amp;"生成成长"),4))/(VLOOKUP(EO$72,INDIRECT($C$5&amp;"生成成长"),5))*(VLOOKUP($B$5,标准坦克设计!$B$24:$U$30,MATCH("对"&amp;LEFT($C$5,2)&amp;"输出",标准坦克设计!$B$23:$U$23,0)))*(VLOOKUP($B216,INDIRECT($B$5&amp;"生成成长"),3))*(VLOOKUP($B$5,标准坦克设计!$B$14:$K$20,9)/30))</f>
        <v>8.1097150280161738</v>
      </c>
      <c r="EP216" s="172">
        <f ca="1">(VLOOKUP(EP$72,INDIRECT($C$5&amp;"生成成长"),2))/((VLOOKUP($B216,INDIRECT($B$5&amp;"生成成长"),4))/(VLOOKUP(EP$72,INDIRECT($C$5&amp;"生成成长"),5))*(VLOOKUP($B$5,标准坦克设计!$B$24:$U$30,MATCH("对"&amp;LEFT($C$5,2)&amp;"输出",标准坦克设计!$B$23:$U$23,0)))*(VLOOKUP($B216,INDIRECT($B$5&amp;"生成成长"),3))*(VLOOKUP($B$5,标准坦克设计!$B$14:$K$20,9)/30))</f>
        <v>8.65782599989919</v>
      </c>
      <c r="EQ216" s="172">
        <f ca="1">(VLOOKUP(EQ$72,INDIRECT($C$5&amp;"生成成长"),2))/((VLOOKUP($B216,INDIRECT($B$5&amp;"生成成长"),4))/(VLOOKUP(EQ$72,INDIRECT($C$5&amp;"生成成长"),5))*(VLOOKUP($B$5,标准坦克设计!$B$24:$U$30,MATCH("对"&amp;LEFT($C$5,2)&amp;"输出",标准坦克设计!$B$23:$U$23,0)))*(VLOOKUP($B216,INDIRECT($B$5&amp;"生成成长"),3))*(VLOOKUP($B$5,标准坦克设计!$B$14:$K$20,9)/30))</f>
        <v>3.8273180307326276</v>
      </c>
      <c r="ER216" s="172">
        <f ca="1">(VLOOKUP(ER$72,INDIRECT($C$5&amp;"生成成长"),2))/((VLOOKUP($B216,INDIRECT($B$5&amp;"生成成长"),4))/(VLOOKUP(ER$72,INDIRECT($C$5&amp;"生成成长"),5))*(VLOOKUP($B$5,标准坦克设计!$B$24:$U$30,MATCH("对"&amp;LEFT($C$5,2)&amp;"输出",标准坦克设计!$B$23:$U$23,0)))*(VLOOKUP($B216,INDIRECT($B$5&amp;"生成成长"),3))*(VLOOKUP($B$5,标准坦克设计!$B$14:$K$20,9)/30))</f>
        <v>4.174367859319319</v>
      </c>
      <c r="ES216" s="172">
        <f ca="1">(VLOOKUP(ES$72,INDIRECT($C$5&amp;"生成成长"),2))/((VLOOKUP($B216,INDIRECT($B$5&amp;"生成成长"),4))/(VLOOKUP(ES$72,INDIRECT($C$5&amp;"生成成长"),5))*(VLOOKUP($B$5,标准坦克设计!$B$24:$U$30,MATCH("对"&amp;LEFT($C$5,2)&amp;"输出",标准坦克设计!$B$23:$U$23,0)))*(VLOOKUP($B216,INDIRECT($B$5&amp;"生成成长"),3))*(VLOOKUP($B$5,标准坦克设计!$B$14:$K$20,9)/30))</f>
        <v>4.5364770493042492</v>
      </c>
      <c r="ET216" s="172">
        <f ca="1">(VLOOKUP(ET$72,INDIRECT($C$5&amp;"生成成长"),2))/((VLOOKUP($B216,INDIRECT($B$5&amp;"生成成长"),4))/(VLOOKUP(ET$72,INDIRECT($C$5&amp;"生成成长"),5))*(VLOOKUP($B$5,标准坦克设计!$B$24:$U$30,MATCH("对"&amp;LEFT($C$5,2)&amp;"输出",标准坦克设计!$B$23:$U$23,0)))*(VLOOKUP($B216,INDIRECT($B$5&amp;"生成成长"),3))*(VLOOKUP($B$5,标准坦克设计!$B$14:$K$20,9)/30))</f>
        <v>4.9136456006874187</v>
      </c>
      <c r="EU216" s="172">
        <f ca="1">(VLOOKUP(EU$72,INDIRECT($C$5&amp;"生成成长"),2))/((VLOOKUP($B216,INDIRECT($B$5&amp;"生成成长"),4))/(VLOOKUP(EU$72,INDIRECT($C$5&amp;"生成成长"),5))*(VLOOKUP($B$5,标准坦克设计!$B$24:$U$30,MATCH("对"&amp;LEFT($C$5,2)&amp;"输出",标准坦克设计!$B$23:$U$23,0)))*(VLOOKUP($B216,INDIRECT($B$5&amp;"生成成长"),3))*(VLOOKUP($B$5,标准坦克设计!$B$14:$K$20,9)/30))</f>
        <v>5.3058735134688266</v>
      </c>
      <c r="EV216" s="172">
        <f ca="1">(VLOOKUP(EV$72,INDIRECT($C$5&amp;"生成成长"),2))/((VLOOKUP($B216,INDIRECT($B$5&amp;"生成成长"),4))/(VLOOKUP(EV$72,INDIRECT($C$5&amp;"生成成长"),5))*(VLOOKUP($B$5,标准坦克设计!$B$24:$U$30,MATCH("对"&amp;LEFT($C$5,2)&amp;"输出",标准坦克设计!$B$23:$U$23,0)))*(VLOOKUP($B216,INDIRECT($B$5&amp;"生成成长"),3))*(VLOOKUP($B$5,标准坦克设计!$B$14:$K$20,9)/30))</f>
        <v>5.7131607876484765</v>
      </c>
      <c r="EW216" s="172">
        <f ca="1">(VLOOKUP(EW$72,INDIRECT($C$5&amp;"生成成长"),2))/((VLOOKUP($B216,INDIRECT($B$5&amp;"生成成长"),4))/(VLOOKUP(EW$72,INDIRECT($C$5&amp;"生成成长"),5))*(VLOOKUP($B$5,标准坦克设计!$B$24:$U$30,MATCH("对"&amp;LEFT($C$5,2)&amp;"输出",标准坦克设计!$B$23:$U$23,0)))*(VLOOKUP($B216,INDIRECT($B$5&amp;"生成成长"),3))*(VLOOKUP($B$5,标准坦克设计!$B$14:$K$20,9)/30))</f>
        <v>6.1355074232263611</v>
      </c>
      <c r="EX216" s="172">
        <f ca="1">(VLOOKUP(EX$72,INDIRECT($C$5&amp;"生成成长"),2))/((VLOOKUP($B216,INDIRECT($B$5&amp;"生成成长"),4))/(VLOOKUP(EX$72,INDIRECT($C$5&amp;"生成成长"),5))*(VLOOKUP($B$5,标准坦克设计!$B$24:$U$30,MATCH("对"&amp;LEFT($C$5,2)&amp;"输出",标准坦克设计!$B$23:$U$23,0)))*(VLOOKUP($B216,INDIRECT($B$5&amp;"生成成长"),3))*(VLOOKUP($B$5,标准坦克设计!$B$14:$K$20,9)/30))</f>
        <v>6.5729134202024868</v>
      </c>
      <c r="EY216" s="172">
        <f ca="1">(VLOOKUP(EY$72,INDIRECT($C$5&amp;"生成成长"),2))/((VLOOKUP($B216,INDIRECT($B$5&amp;"生成成长"),4))/(VLOOKUP(EY$72,INDIRECT($C$5&amp;"生成成长"),5))*(VLOOKUP($B$5,标准坦克设计!$B$24:$U$30,MATCH("对"&amp;LEFT($C$5,2)&amp;"输出",标准坦克设计!$B$23:$U$23,0)))*(VLOOKUP($B216,INDIRECT($B$5&amp;"生成成长"),3))*(VLOOKUP($B$5,标准坦克设计!$B$14:$K$20,9)/30))</f>
        <v>7.0253787785768518</v>
      </c>
      <c r="EZ216" s="172">
        <f ca="1">(VLOOKUP(EZ$72,INDIRECT($C$5&amp;"生成成长"),2))/((VLOOKUP($B216,INDIRECT($B$5&amp;"生成成长"),4))/(VLOOKUP(EZ$72,INDIRECT($C$5&amp;"生成成长"),5))*(VLOOKUP($B$5,标准坦克设计!$B$24:$U$30,MATCH("对"&amp;LEFT($C$5,2)&amp;"输出",标准坦克设计!$B$23:$U$23,0)))*(VLOOKUP($B216,INDIRECT($B$5&amp;"生成成长"),3))*(VLOOKUP($B$5,标准坦克设计!$B$14:$K$20,9)/30))</f>
        <v>7.4929034983494569</v>
      </c>
      <c r="FA216" s="172">
        <f ca="1">(VLOOKUP(FA$72,INDIRECT($C$5&amp;"生成成长"),2))/((VLOOKUP($B216,INDIRECT($B$5&amp;"生成成长"),4))/(VLOOKUP(FA$72,INDIRECT($C$5&amp;"生成成长"),5))*(VLOOKUP($B$5,标准坦克设计!$B$24:$U$30,MATCH("对"&amp;LEFT($C$5,2)&amp;"输出",标准坦克设计!$B$23:$U$23,0)))*(VLOOKUP($B216,INDIRECT($B$5&amp;"生成成长"),3))*(VLOOKUP($B$5,标准坦克设计!$B$14:$K$20,9)/30))</f>
        <v>7.9754875795203004</v>
      </c>
      <c r="FB216" s="172">
        <f ca="1">(VLOOKUP(FB$72,INDIRECT($C$5&amp;"生成成长"),2))/((VLOOKUP($B216,INDIRECT($B$5&amp;"生成成长"),4))/(VLOOKUP(FB$72,INDIRECT($C$5&amp;"生成成长"),5))*(VLOOKUP($B$5,标准坦克设计!$B$24:$U$30,MATCH("对"&amp;LEFT($C$5,2)&amp;"输出",标准坦克设计!$B$23:$U$23,0)))*(VLOOKUP($B216,INDIRECT($B$5&amp;"生成成长"),3))*(VLOOKUP($B$5,标准坦克设计!$B$14:$K$20,9)/30))</f>
        <v>8.4731310220893814</v>
      </c>
      <c r="FC216" s="172">
        <f ca="1">(VLOOKUP(FC$72,INDIRECT($C$5&amp;"生成成长"),2))/((VLOOKUP($B216,INDIRECT($B$5&amp;"生成成长"),4))/(VLOOKUP(FC$72,INDIRECT($C$5&amp;"生成成长"),5))*(VLOOKUP($B$5,标准坦克设计!$B$24:$U$30,MATCH("对"&amp;LEFT($C$5,2)&amp;"输出",标准坦克设计!$B$23:$U$23,0)))*(VLOOKUP($B216,INDIRECT($B$5&amp;"生成成长"),3))*(VLOOKUP($B$5,标准坦克设计!$B$14:$K$20,9)/30))</f>
        <v>8.9858338260567017</v>
      </c>
      <c r="FD216" s="172">
        <f ca="1">(VLOOKUP(FD$72,INDIRECT($C$5&amp;"生成成长"),2))/((VLOOKUP($B216,INDIRECT($B$5&amp;"生成成长"),4))/(VLOOKUP(FD$72,INDIRECT($C$5&amp;"生成成长"),5))*(VLOOKUP($B$5,标准坦克设计!$B$24:$U$30,MATCH("对"&amp;LEFT($C$5,2)&amp;"输出",标准坦克设计!$B$23:$U$23,0)))*(VLOOKUP($B216,INDIRECT($B$5&amp;"生成成长"),3))*(VLOOKUP($B$5,标准坦克设计!$B$14:$K$20,9)/30))</f>
        <v>9.5135959914222639</v>
      </c>
      <c r="FE216" s="172">
        <f ca="1">(VLOOKUP(FE$72,INDIRECT($C$5&amp;"生成成长"),2))/((VLOOKUP($B216,INDIRECT($B$5&amp;"生成成长"),4))/(VLOOKUP(FE$72,INDIRECT($C$5&amp;"生成成长"),5))*(VLOOKUP($B$5,标准坦克设计!$B$24:$U$30,MATCH("对"&amp;LEFT($C$5,2)&amp;"输出",标准坦克设计!$B$23:$U$23,0)))*(VLOOKUP($B216,INDIRECT($B$5&amp;"生成成长"),3))*(VLOOKUP($B$5,标准坦克设计!$B$14:$K$20,9)/30))</f>
        <v>10.156730289152843</v>
      </c>
      <c r="FF216" s="172">
        <f ca="1">(VLOOKUP(FF$72,INDIRECT($C$5&amp;"生成成长"),2))/((VLOOKUP($B216,INDIRECT($B$5&amp;"生成成长"),4))/(VLOOKUP(FF$72,INDIRECT($C$5&amp;"生成成长"),5))*(VLOOKUP($B$5,标准坦克设计!$B$24:$U$30,MATCH("对"&amp;LEFT($C$5,2)&amp;"输出",标准坦克设计!$B$23:$U$23,0)))*(VLOOKUP($B216,INDIRECT($B$5&amp;"生成成长"),3))*(VLOOKUP($B$5,标准坦克设计!$B$14:$K$20,9)/30))</f>
        <v>10.820897909828076</v>
      </c>
      <c r="FG216" s="172">
        <f ca="1">(VLOOKUP(FG$72,INDIRECT($C$5&amp;"生成成长"),2))/((VLOOKUP($B216,INDIRECT($B$5&amp;"生成成长"),4))/(VLOOKUP(FG$72,INDIRECT($C$5&amp;"生成成长"),5))*(VLOOKUP($B$5,标准坦克设计!$B$24:$U$30,MATCH("对"&amp;LEFT($C$5,2)&amp;"输出",标准坦克设计!$B$23:$U$23,0)))*(VLOOKUP($B216,INDIRECT($B$5&amp;"生成成长"),3))*(VLOOKUP($B$5,标准坦克设计!$B$14:$K$20,9)/30))</f>
        <v>11.506098853447952</v>
      </c>
      <c r="FH216" s="172">
        <f ca="1">(VLOOKUP(FH$72,INDIRECT($C$5&amp;"生成成长"),2))/((VLOOKUP($B216,INDIRECT($B$5&amp;"生成成长"),4))/(VLOOKUP(FH$72,INDIRECT($C$5&amp;"生成成长"),5))*(VLOOKUP($B$5,标准坦克设计!$B$24:$U$30,MATCH("对"&amp;LEFT($C$5,2)&amp;"输出",标准坦克设计!$B$23:$U$23,0)))*(VLOOKUP($B216,INDIRECT($B$5&amp;"生成成长"),3))*(VLOOKUP($B$5,标准坦克设计!$B$14:$K$20,9)/30))</f>
        <v>12.212333120012481</v>
      </c>
      <c r="FI216" s="172">
        <f ca="1">(VLOOKUP(FI$72,INDIRECT($C$5&amp;"生成成长"),2))/((VLOOKUP($B216,INDIRECT($B$5&amp;"生成成长"),4))/(VLOOKUP(FI$72,INDIRECT($C$5&amp;"生成成长"),5))*(VLOOKUP($B$5,标准坦克设计!$B$24:$U$30,MATCH("对"&amp;LEFT($C$5,2)&amp;"输出",标准坦克设计!$B$23:$U$23,0)))*(VLOOKUP($B216,INDIRECT($B$5&amp;"生成成长"),3))*(VLOOKUP($B$5,标准坦克设计!$B$14:$K$20,9)/30))</f>
        <v>12.939600709521649</v>
      </c>
      <c r="FJ216" s="172">
        <f ca="1">(VLOOKUP(FJ$72,INDIRECT($C$5&amp;"生成成长"),2))/((VLOOKUP($B216,INDIRECT($B$5&amp;"生成成长"),4))/(VLOOKUP(FJ$72,INDIRECT($C$5&amp;"生成成长"),5))*(VLOOKUP($B$5,标准坦克设计!$B$24:$U$30,MATCH("对"&amp;LEFT($C$5,2)&amp;"输出",标准坦克设计!$B$23:$U$23,0)))*(VLOOKUP($B216,INDIRECT($B$5&amp;"生成成长"),3))*(VLOOKUP($B$5,标准坦克设计!$B$14:$K$20,9)/30))</f>
        <v>13.687901621975476</v>
      </c>
      <c r="FK216" s="172">
        <f ca="1">(VLOOKUP(FK$72,INDIRECT($C$5&amp;"生成成长"),2))/((VLOOKUP($B216,INDIRECT($B$5&amp;"生成成长"),4))/(VLOOKUP(FK$72,INDIRECT($C$5&amp;"生成成长"),5))*(VLOOKUP($B$5,标准坦克设计!$B$24:$U$30,MATCH("对"&amp;LEFT($C$5,2)&amp;"输出",标准坦克设计!$B$23:$U$23,0)))*(VLOOKUP($B216,INDIRECT($B$5&amp;"生成成长"),3))*(VLOOKUP($B$5,标准坦克设计!$B$14:$K$20,9)/30))</f>
        <v>14.457235857373943</v>
      </c>
    </row>
    <row r="217" spans="1:167" x14ac:dyDescent="0.15">
      <c r="A217" s="170" t="str">
        <f t="shared" si="13"/>
        <v>T5高品质1级</v>
      </c>
      <c r="B217" s="171">
        <v>30501</v>
      </c>
      <c r="C217" s="172">
        <f ca="1">(VLOOKUP(C$72,INDIRECT($C$5&amp;"生成成长"),2))/((VLOOKUP($B217,INDIRECT($B$5&amp;"生成成长"),4))/(VLOOKUP(C$72,INDIRECT($C$5&amp;"生成成长"),5))*(VLOOKUP($B$5,标准坦克设计!$B$24:$U$30,MATCH("对"&amp;LEFT($C$5,2)&amp;"输出",标准坦克设计!$B$23:$U$23,0)))*(VLOOKUP($B217,INDIRECT($B$5&amp;"生成成长"),3))*(VLOOKUP($B$5,标准坦克设计!$B$14:$K$20,9)/30))</f>
        <v>1.4082441329700441</v>
      </c>
      <c r="D217" s="172">
        <f ca="1">(VLOOKUP(D$72,INDIRECT($C$5&amp;"生成成长"),2))/((VLOOKUP($B217,INDIRECT($B$5&amp;"生成成长"),4))/(VLOOKUP(D$72,INDIRECT($C$5&amp;"生成成长"),5))*(VLOOKUP($B$5,标准坦克设计!$B$24:$U$30,MATCH("对"&amp;LEFT($C$5,2)&amp;"输出",标准坦克设计!$B$23:$U$23,0)))*(VLOOKUP($B217,INDIRECT($B$5&amp;"生成成长"),3))*(VLOOKUP($B$5,标准坦克设计!$B$14:$K$20,9)/30))</f>
        <v>1.5823031078051415</v>
      </c>
      <c r="E217" s="172">
        <f ca="1">(VLOOKUP(E$72,INDIRECT($C$5&amp;"生成成长"),2))/((VLOOKUP($B217,INDIRECT($B$5&amp;"生成成长"),4))/(VLOOKUP(E$72,INDIRECT($C$5&amp;"生成成长"),5))*(VLOOKUP($B$5,标准坦克设计!$B$24:$U$30,MATCH("对"&amp;LEFT($C$5,2)&amp;"输出",标准坦克设计!$B$23:$U$23,0)))*(VLOOKUP($B217,INDIRECT($B$5&amp;"生成成长"),3))*(VLOOKUP($B$5,标准坦克设计!$B$14:$K$20,9)/30))</f>
        <v>1.7665014403976231</v>
      </c>
      <c r="F217" s="172">
        <f ca="1">(VLOOKUP(F$72,INDIRECT($C$5&amp;"生成成长"),2))/((VLOOKUP($B217,INDIRECT($B$5&amp;"生成成长"),4))/(VLOOKUP(F$72,INDIRECT($C$5&amp;"生成成长"),5))*(VLOOKUP($B$5,标准坦克设计!$B$24:$U$30,MATCH("对"&amp;LEFT($C$5,2)&amp;"输出",标准坦克设计!$B$23:$U$23,0)))*(VLOOKUP($B217,INDIRECT($B$5&amp;"生成成长"),3))*(VLOOKUP($B$5,标准坦克设计!$B$14:$K$20,9)/30))</f>
        <v>1.9608391307474893</v>
      </c>
      <c r="G217" s="172">
        <f ca="1">(VLOOKUP(G$72,INDIRECT($C$5&amp;"生成成长"),2))/((VLOOKUP($B217,INDIRECT($B$5&amp;"生成成长"),4))/(VLOOKUP(G$72,INDIRECT($C$5&amp;"生成成长"),5))*(VLOOKUP($B$5,标准坦克设计!$B$24:$U$30,MATCH("对"&amp;LEFT($C$5,2)&amp;"输出",标准坦克设计!$B$23:$U$23,0)))*(VLOOKUP($B217,INDIRECT($B$5&amp;"生成成长"),3))*(VLOOKUP($B$5,标准坦克设计!$B$14:$K$20,9)/30))</f>
        <v>2.1653161788547401</v>
      </c>
      <c r="H217" s="172">
        <f ca="1">(VLOOKUP(H$72,INDIRECT($C$5&amp;"生成成长"),2))/((VLOOKUP($B217,INDIRECT($B$5&amp;"生成成长"),4))/(VLOOKUP(H$72,INDIRECT($C$5&amp;"生成成长"),5))*(VLOOKUP($B$5,标准坦克设计!$B$24:$U$30,MATCH("对"&amp;LEFT($C$5,2)&amp;"输出",标准坦克设计!$B$23:$U$23,0)))*(VLOOKUP($B217,INDIRECT($B$5&amp;"生成成长"),3))*(VLOOKUP($B$5,标准坦克设计!$B$14:$K$20,9)/30))</f>
        <v>1.8949333053244914</v>
      </c>
      <c r="I217" s="172">
        <f ca="1">(VLOOKUP(I$72,INDIRECT($C$5&amp;"生成成长"),2))/((VLOOKUP($B217,INDIRECT($B$5&amp;"生成成长"),4))/(VLOOKUP(I$72,INDIRECT($C$5&amp;"生成成长"),5))*(VLOOKUP($B$5,标准坦克设计!$B$24:$U$30,MATCH("对"&amp;LEFT($C$5,2)&amp;"输出",标准坦克设计!$B$23:$U$23,0)))*(VLOOKUP($B217,INDIRECT($B$5&amp;"生成成长"),3))*(VLOOKUP($B$5,标准坦克设计!$B$14:$K$20,9)/30))</f>
        <v>2.1653161788547401</v>
      </c>
      <c r="J217" s="172">
        <f ca="1">(VLOOKUP(J$72,INDIRECT($C$5&amp;"生成成长"),2))/((VLOOKUP($B217,INDIRECT($B$5&amp;"生成成长"),4))/(VLOOKUP(J$72,INDIRECT($C$5&amp;"生成成长"),5))*(VLOOKUP($B$5,标准坦克设计!$B$24:$U$30,MATCH("对"&amp;LEFT($C$5,2)&amp;"输出",标准坦克设计!$B$23:$U$23,0)))*(VLOOKUP($B217,INDIRECT($B$5&amp;"生成成长"),3))*(VLOOKUP($B$5,标准坦克设计!$B$14:$K$20,9)/30))</f>
        <v>2.4537245772870042</v>
      </c>
      <c r="K217" s="172">
        <f ca="1">(VLOOKUP(K$72,INDIRECT($C$5&amp;"生成成长"),2))/((VLOOKUP($B217,INDIRECT($B$5&amp;"生成成长"),4))/(VLOOKUP(K$72,INDIRECT($C$5&amp;"生成成长"),5))*(VLOOKUP($B$5,标准坦克设计!$B$24:$U$30,MATCH("对"&amp;LEFT($C$5,2)&amp;"输出",标准坦克设计!$B$23:$U$23,0)))*(VLOOKUP($B217,INDIRECT($B$5&amp;"生成成长"),3))*(VLOOKUP($B$5,标准坦克设计!$B$14:$K$20,9)/30))</f>
        <v>2.7601585006212863</v>
      </c>
      <c r="L217" s="172">
        <f ca="1">(VLOOKUP(L$72,INDIRECT($C$5&amp;"生成成长"),2))/((VLOOKUP($B217,INDIRECT($B$5&amp;"生成成长"),4))/(VLOOKUP(L$72,INDIRECT($C$5&amp;"生成成长"),5))*(VLOOKUP($B$5,标准坦克设计!$B$24:$U$30,MATCH("对"&amp;LEFT($C$5,2)&amp;"输出",标准坦克设计!$B$23:$U$23,0)))*(VLOOKUP($B217,INDIRECT($B$5&amp;"生成成长"),3))*(VLOOKUP($B$5,标准坦克设计!$B$14:$K$20,9)/30))</f>
        <v>3.0846179488575847</v>
      </c>
      <c r="M217" s="172">
        <f ca="1">(VLOOKUP(M$72,INDIRECT($C$5&amp;"生成成长"),2))/((VLOOKUP($B217,INDIRECT($B$5&amp;"生成成长"),4))/(VLOOKUP(M$72,INDIRECT($C$5&amp;"生成成长"),5))*(VLOOKUP($B$5,标准坦克设计!$B$24:$U$30,MATCH("对"&amp;LEFT($C$5,2)&amp;"输出",标准坦克设计!$B$23:$U$23,0)))*(VLOOKUP($B217,INDIRECT($B$5&amp;"生成成长"),3))*(VLOOKUP($B$5,标准坦克设计!$B$14:$K$20,9)/30))</f>
        <v>3.4271029219958993</v>
      </c>
      <c r="N217" s="172">
        <f ca="1">(VLOOKUP(N$72,INDIRECT($C$5&amp;"生成成长"),2))/((VLOOKUP($B217,INDIRECT($B$5&amp;"生成成长"),4))/(VLOOKUP(N$72,INDIRECT($C$5&amp;"生成成长"),5))*(VLOOKUP($B$5,标准坦克设计!$B$24:$U$30,MATCH("对"&amp;LEFT($C$5,2)&amp;"输出",标准坦克设计!$B$23:$U$23,0)))*(VLOOKUP($B217,INDIRECT($B$5&amp;"生成成长"),3))*(VLOOKUP($B$5,标准坦克设计!$B$14:$K$20,9)/30))</f>
        <v>3.7876134200362301</v>
      </c>
      <c r="O217" s="172">
        <f ca="1">(VLOOKUP(O$72,INDIRECT($C$5&amp;"生成成长"),2))/((VLOOKUP($B217,INDIRECT($B$5&amp;"生成成长"),4))/(VLOOKUP(O$72,INDIRECT($C$5&amp;"生成成长"),5))*(VLOOKUP($B$5,标准坦克设计!$B$24:$U$30,MATCH("对"&amp;LEFT($C$5,2)&amp;"输出",标准坦克设计!$B$23:$U$23,0)))*(VLOOKUP($B217,INDIRECT($B$5&amp;"生成成长"),3))*(VLOOKUP($B$5,标准坦克设计!$B$14:$K$20,9)/30))</f>
        <v>2.8797184275104435</v>
      </c>
      <c r="P217" s="172">
        <f ca="1">(VLOOKUP(P$72,INDIRECT($C$5&amp;"生成成长"),2))/((VLOOKUP($B217,INDIRECT($B$5&amp;"生成成长"),4))/(VLOOKUP(P$72,INDIRECT($C$5&amp;"生成成长"),5))*(VLOOKUP($B$5,标准坦克设计!$B$24:$U$30,MATCH("对"&amp;LEFT($C$5,2)&amp;"输出",标准坦克设计!$B$23:$U$23,0)))*(VLOOKUP($B217,INDIRECT($B$5&amp;"生成成长"),3))*(VLOOKUP($B$5,标准坦克设计!$B$14:$K$20,9)/30))</f>
        <v>3.2536072448139897</v>
      </c>
      <c r="Q217" s="172">
        <f ca="1">(VLOOKUP(Q$72,INDIRECT($C$5&amp;"生成成长"),2))/((VLOOKUP($B217,INDIRECT($B$5&amp;"生成成长"),4))/(VLOOKUP(Q$72,INDIRECT($C$5&amp;"生成成长"),5))*(VLOOKUP($B$5,标准坦克设计!$B$24:$U$30,MATCH("对"&amp;LEFT($C$5,2)&amp;"输出",标准坦克设计!$B$23:$U$23,0)))*(VLOOKUP($B217,INDIRECT($B$5&amp;"生成成长"),3))*(VLOOKUP($B$5,标准坦克设计!$B$14:$K$20,9)/30))</f>
        <v>3.6503096170716511</v>
      </c>
      <c r="R217" s="172">
        <f ca="1">(VLOOKUP(R$72,INDIRECT($C$5&amp;"生成成长"),2))/((VLOOKUP($B217,INDIRECT($B$5&amp;"生成成长"),4))/(VLOOKUP(R$72,INDIRECT($C$5&amp;"生成成长"),5))*(VLOOKUP($B$5,标准坦克设计!$B$24:$U$30,MATCH("对"&amp;LEFT($C$5,2)&amp;"输出",标准坦克设计!$B$23:$U$23,0)))*(VLOOKUP($B217,INDIRECT($B$5&amp;"生成成长"),3))*(VLOOKUP($B$5,标准坦克设计!$B$14:$K$20,9)/30))</f>
        <v>4.0698255442834279</v>
      </c>
      <c r="S217" s="172">
        <f ca="1">(VLOOKUP(S$72,INDIRECT($C$5&amp;"生成成长"),2))/((VLOOKUP($B217,INDIRECT($B$5&amp;"生成成长"),4))/(VLOOKUP(S$72,INDIRECT($C$5&amp;"生成成长"),5))*(VLOOKUP($B$5,标准坦克设计!$B$24:$U$30,MATCH("对"&amp;LEFT($C$5,2)&amp;"输出",标准坦克设计!$B$23:$U$23,0)))*(VLOOKUP($B217,INDIRECT($B$5&amp;"生成成长"),3))*(VLOOKUP($B$5,标准坦克设计!$B$14:$K$20,9)/30))</f>
        <v>4.5121550264493182</v>
      </c>
      <c r="T217" s="172">
        <f ca="1">(VLOOKUP(T$72,INDIRECT($C$5&amp;"生成成长"),2))/((VLOOKUP($B217,INDIRECT($B$5&amp;"生成成长"),4))/(VLOOKUP(T$72,INDIRECT($C$5&amp;"生成成长"),5))*(VLOOKUP($B$5,标准坦克设计!$B$24:$U$30,MATCH("对"&amp;LEFT($C$5,2)&amp;"输出",标准坦克设计!$B$23:$U$23,0)))*(VLOOKUP($B217,INDIRECT($B$5&amp;"生成成长"),3))*(VLOOKUP($B$5,标准坦克设计!$B$14:$K$20,9)/30))</f>
        <v>4.9772980635693242</v>
      </c>
      <c r="U217" s="172">
        <f ca="1">(VLOOKUP(U$72,INDIRECT($C$5&amp;"生成成长"),2))/((VLOOKUP($B217,INDIRECT($B$5&amp;"生成成长"),4))/(VLOOKUP(U$72,INDIRECT($C$5&amp;"生成成长"),5))*(VLOOKUP($B$5,标准坦克设计!$B$24:$U$30,MATCH("对"&amp;LEFT($C$5,2)&amp;"输出",标准坦克设计!$B$23:$U$23,0)))*(VLOOKUP($B217,INDIRECT($B$5&amp;"生成成长"),3))*(VLOOKUP($B$5,标准坦克设计!$B$14:$K$20,9)/30))</f>
        <v>5.4652546556434443</v>
      </c>
      <c r="V217" s="172">
        <f ca="1">(VLOOKUP(V$72,INDIRECT($C$5&amp;"生成成长"),2))/((VLOOKUP($B217,INDIRECT($B$5&amp;"生成成长"),4))/(VLOOKUP(V$72,INDIRECT($C$5&amp;"生成成长"),5))*(VLOOKUP($B$5,标准坦克设计!$B$24:$U$30,MATCH("对"&amp;LEFT($C$5,2)&amp;"输出",标准坦克设计!$B$23:$U$23,0)))*(VLOOKUP($B217,INDIRECT($B$5&amp;"生成成长"),3))*(VLOOKUP($B$5,标准坦克设计!$B$14:$K$20,9)/30))</f>
        <v>5.9760248026716791</v>
      </c>
      <c r="W217" s="172">
        <f ca="1">(VLOOKUP(W$72,INDIRECT($C$5&amp;"生成成长"),2))/((VLOOKUP($B217,INDIRECT($B$5&amp;"生成成长"),4))/(VLOOKUP(W$72,INDIRECT($C$5&amp;"生成成长"),5))*(VLOOKUP($B$5,标准坦克设计!$B$24:$U$30,MATCH("对"&amp;LEFT($C$5,2)&amp;"输出",标准坦克设计!$B$23:$U$23,0)))*(VLOOKUP($B217,INDIRECT($B$5&amp;"生成成长"),3))*(VLOOKUP($B$5,标准坦克设计!$B$14:$K$20,9)/30))</f>
        <v>6.509608504654028</v>
      </c>
      <c r="X217" s="172">
        <f ca="1">(VLOOKUP(X$72,INDIRECT($C$5&amp;"生成成长"),2))/((VLOOKUP($B217,INDIRECT($B$5&amp;"生成成长"),4))/(VLOOKUP(X$72,INDIRECT($C$5&amp;"生成成长"),5))*(VLOOKUP($B$5,标准坦克设计!$B$24:$U$30,MATCH("对"&amp;LEFT($C$5,2)&amp;"输出",标准坦克设计!$B$23:$U$23,0)))*(VLOOKUP($B217,INDIRECT($B$5&amp;"生成成长"),3))*(VLOOKUP($B$5,标准坦克设计!$B$14:$K$20,9)/30))</f>
        <v>4.7160687769033807</v>
      </c>
      <c r="Y217" s="172">
        <f ca="1">(VLOOKUP(Y$72,INDIRECT($C$5&amp;"生成成长"),2))/((VLOOKUP($B217,INDIRECT($B$5&amp;"生成成长"),4))/(VLOOKUP(Y$72,INDIRECT($C$5&amp;"生成成长"),5))*(VLOOKUP($B$5,标准坦克设计!$B$24:$U$30,MATCH("对"&amp;LEFT($C$5,2)&amp;"输出",标准坦克设计!$B$23:$U$23,0)))*(VLOOKUP($B217,INDIRECT($B$5&amp;"生成成长"),3))*(VLOOKUP($B$5,标准坦克设计!$B$14:$K$20,9)/30))</f>
        <v>5.2455685709001179</v>
      </c>
      <c r="Z217" s="172">
        <f ca="1">(VLOOKUP(Z$72,INDIRECT($C$5&amp;"生成成长"),2))/((VLOOKUP($B217,INDIRECT($B$5&amp;"生成成长"),4))/(VLOOKUP(Z$72,INDIRECT($C$5&amp;"生成成长"),5))*(VLOOKUP($B$5,标准坦克设计!$B$24:$U$30,MATCH("对"&amp;LEFT($C$5,2)&amp;"输出",标准坦克设计!$B$23:$U$23,0)))*(VLOOKUP($B217,INDIRECT($B$5&amp;"生成成长"),3))*(VLOOKUP($B$5,标准坦克设计!$B$14:$K$20,9)/30))</f>
        <v>5.8032332475562542</v>
      </c>
      <c r="AA217" s="172">
        <f ca="1">(VLOOKUP(AA$72,INDIRECT($C$5&amp;"生成成长"),2))/((VLOOKUP($B217,INDIRECT($B$5&amp;"生成成长"),4))/(VLOOKUP(AA$72,INDIRECT($C$5&amp;"生成成长"),5))*(VLOOKUP($B$5,标准坦克设计!$B$24:$U$30,MATCH("对"&amp;LEFT($C$5,2)&amp;"输出",标准坦克设计!$B$23:$U$23,0)))*(VLOOKUP($B217,INDIRECT($B$5&amp;"生成成长"),3))*(VLOOKUP($B$5,标准坦克设计!$B$14:$K$20,9)/30))</f>
        <v>6.3890628068717934</v>
      </c>
      <c r="AB217" s="172">
        <f ca="1">(VLOOKUP(AB$72,INDIRECT($C$5&amp;"生成成长"),2))/((VLOOKUP($B217,INDIRECT($B$5&amp;"生成成长"),4))/(VLOOKUP(AB$72,INDIRECT($C$5&amp;"生成成长"),5))*(VLOOKUP($B$5,标准坦克设计!$B$24:$U$30,MATCH("对"&amp;LEFT($C$5,2)&amp;"输出",标准坦克设计!$B$23:$U$23,0)))*(VLOOKUP($B217,INDIRECT($B$5&amp;"生成成长"),3))*(VLOOKUP($B$5,标准坦克设计!$B$14:$K$20,9)/30))</f>
        <v>7.0030572488467318</v>
      </c>
      <c r="AC217" s="172">
        <f ca="1">(VLOOKUP(AC$72,INDIRECT($C$5&amp;"生成成长"),2))/((VLOOKUP($B217,INDIRECT($B$5&amp;"生成成长"),4))/(VLOOKUP(AC$72,INDIRECT($C$5&amp;"生成成长"),5))*(VLOOKUP($B$5,标准坦克设计!$B$24:$U$30,MATCH("对"&amp;LEFT($C$5,2)&amp;"输出",标准坦克设计!$B$23:$U$23,0)))*(VLOOKUP($B217,INDIRECT($B$5&amp;"生成成长"),3))*(VLOOKUP($B$5,标准坦克设计!$B$14:$K$20,9)/30))</f>
        <v>7.6452165734810729</v>
      </c>
      <c r="AD217" s="172">
        <f ca="1">(VLOOKUP(AD$72,INDIRECT($C$5&amp;"生成成长"),2))/((VLOOKUP($B217,INDIRECT($B$5&amp;"生成成长"),4))/(VLOOKUP(AD$72,INDIRECT($C$5&amp;"生成成长"),5))*(VLOOKUP($B$5,标准坦克设计!$B$24:$U$30,MATCH("对"&amp;LEFT($C$5,2)&amp;"输出",标准坦克设计!$B$23:$U$23,0)))*(VLOOKUP($B217,INDIRECT($B$5&amp;"生成成长"),3))*(VLOOKUP($B$5,标准坦克设计!$B$14:$K$20,9)/30))</f>
        <v>8.3155407807748141</v>
      </c>
      <c r="AE217" s="172">
        <f ca="1">(VLOOKUP(AE$72,INDIRECT($C$5&amp;"生成成长"),2))/((VLOOKUP($B217,INDIRECT($B$5&amp;"生成成长"),4))/(VLOOKUP(AE$72,INDIRECT($C$5&amp;"生成成长"),5))*(VLOOKUP($B$5,标准坦克设计!$B$24:$U$30,MATCH("对"&amp;LEFT($C$5,2)&amp;"输出",标准坦克设计!$B$23:$U$23,0)))*(VLOOKUP($B217,INDIRECT($B$5&amp;"生成成长"),3))*(VLOOKUP($B$5,标准坦克设计!$B$14:$K$20,9)/30))</f>
        <v>9.0140298707279563</v>
      </c>
      <c r="AF217" s="172">
        <f ca="1">(VLOOKUP(AF$72,INDIRECT($C$5&amp;"生成成长"),2))/((VLOOKUP($B217,INDIRECT($B$5&amp;"生成成长"),4))/(VLOOKUP(AF$72,INDIRECT($C$5&amp;"生成成长"),5))*(VLOOKUP($B$5,标准坦克设计!$B$24:$U$30,MATCH("对"&amp;LEFT($C$5,2)&amp;"输出",标准坦克设计!$B$23:$U$23,0)))*(VLOOKUP($B217,INDIRECT($B$5&amp;"生成成长"),3))*(VLOOKUP($B$5,标准坦克设计!$B$14:$K$20,9)/30))</f>
        <v>9.7406838433404985</v>
      </c>
      <c r="AG217" s="172">
        <f ca="1">(VLOOKUP(AG$72,INDIRECT($C$5&amp;"生成成长"),2))/((VLOOKUP($B217,INDIRECT($B$5&amp;"生成成长"),4))/(VLOOKUP(AG$72,INDIRECT($C$5&amp;"生成成长"),5))*(VLOOKUP($B$5,标准坦克设计!$B$24:$U$30,MATCH("对"&amp;LEFT($C$5,2)&amp;"输出",标准坦克设计!$B$23:$U$23,0)))*(VLOOKUP($B217,INDIRECT($B$5&amp;"生成成长"),3))*(VLOOKUP($B$5,标准坦克设计!$B$14:$K$20,9)/30))</f>
        <v>10.495502698612441</v>
      </c>
      <c r="AH217" s="172">
        <f ca="1">(VLOOKUP(AH$72,INDIRECT($C$5&amp;"生成成长"),2))/((VLOOKUP($B217,INDIRECT($B$5&amp;"生成成长"),4))/(VLOOKUP(AH$72,INDIRECT($C$5&amp;"生成成长"),5))*(VLOOKUP($B$5,标准坦克设计!$B$24:$U$30,MATCH("对"&amp;LEFT($C$5,2)&amp;"输出",标准坦克设计!$B$23:$U$23,0)))*(VLOOKUP($B217,INDIRECT($B$5&amp;"生成成长"),3))*(VLOOKUP($B$5,标准坦克设计!$B$14:$K$20,9)/30))</f>
        <v>11.278486436543785</v>
      </c>
      <c r="AI217" s="172">
        <f ca="1">(VLOOKUP(AI$72,INDIRECT($C$5&amp;"生成成长"),2))/((VLOOKUP($B217,INDIRECT($B$5&amp;"生成成长"),4))/(VLOOKUP(AI$72,INDIRECT($C$5&amp;"生成成长"),5))*(VLOOKUP($B$5,标准坦克设计!$B$24:$U$30,MATCH("对"&amp;LEFT($C$5,2)&amp;"输出",标准坦克设计!$B$23:$U$23,0)))*(VLOOKUP($B217,INDIRECT($B$5&amp;"生成成长"),3))*(VLOOKUP($B$5,标准坦克设计!$B$14:$K$20,9)/30))</f>
        <v>7.9768580667955167</v>
      </c>
      <c r="AJ217" s="172">
        <f ca="1">(VLOOKUP(AJ$72,INDIRECT($C$5&amp;"生成成长"),2))/((VLOOKUP($B217,INDIRECT($B$5&amp;"生成成长"),4))/(VLOOKUP(AJ$72,INDIRECT($C$5&amp;"生成成长"),5))*(VLOOKUP($B$5,标准坦克设计!$B$24:$U$30,MATCH("对"&amp;LEFT($C$5,2)&amp;"输出",标准坦克设计!$B$23:$U$23,0)))*(VLOOKUP($B217,INDIRECT($B$5&amp;"生成成长"),3))*(VLOOKUP($B$5,标准坦克设计!$B$14:$K$20,9)/30))</f>
        <v>8.7312544488275705</v>
      </c>
      <c r="AK217" s="172">
        <f ca="1">(VLOOKUP(AK$72,INDIRECT($C$5&amp;"生成成长"),2))/((VLOOKUP($B217,INDIRECT($B$5&amp;"生成成长"),4))/(VLOOKUP(AK$72,INDIRECT($C$5&amp;"生成成长"),5))*(VLOOKUP($B$5,标准坦克设计!$B$24:$U$30,MATCH("对"&amp;LEFT($C$5,2)&amp;"输出",标准坦克设计!$B$23:$U$23,0)))*(VLOOKUP($B217,INDIRECT($B$5&amp;"生成成长"),3))*(VLOOKUP($B$5,标准坦克设计!$B$14:$K$20,9)/30))</f>
        <v>9.5197303388774976</v>
      </c>
      <c r="AL217" s="172">
        <f ca="1">(VLOOKUP(AL$72,INDIRECT($C$5&amp;"生成成长"),2))/((VLOOKUP($B217,INDIRECT($B$5&amp;"生成成长"),4))/(VLOOKUP(AL$72,INDIRECT($C$5&amp;"生成成长"),5))*(VLOOKUP($B$5,标准坦克设计!$B$24:$U$30,MATCH("对"&amp;LEFT($C$5,2)&amp;"输出",标准坦克设计!$B$23:$U$23,0)))*(VLOOKUP($B217,INDIRECT($B$5&amp;"生成成长"),3))*(VLOOKUP($B$5,标准坦克设计!$B$14:$K$20,9)/30))</f>
        <v>10.342285736945302</v>
      </c>
      <c r="AM217" s="172">
        <f ca="1">(VLOOKUP(AM$72,INDIRECT($C$5&amp;"生成成长"),2))/((VLOOKUP($B217,INDIRECT($B$5&amp;"生成成长"),4))/(VLOOKUP(AM$72,INDIRECT($C$5&amp;"生成成长"),5))*(VLOOKUP($B$5,标准坦克设计!$B$24:$U$30,MATCH("对"&amp;LEFT($C$5,2)&amp;"输出",标准坦克设计!$B$23:$U$23,0)))*(VLOOKUP($B217,INDIRECT($B$5&amp;"生成成长"),3))*(VLOOKUP($B$5,标准坦克设计!$B$14:$K$20,9)/30))</f>
        <v>11.198920643030981</v>
      </c>
      <c r="AN217" s="172">
        <f ca="1">(VLOOKUP(AN$72,INDIRECT($C$5&amp;"生成成长"),2))/((VLOOKUP($B217,INDIRECT($B$5&amp;"生成成长"),4))/(VLOOKUP(AN$72,INDIRECT($C$5&amp;"生成成长"),5))*(VLOOKUP($B$5,标准坦克设计!$B$24:$U$30,MATCH("对"&amp;LEFT($C$5,2)&amp;"输出",标准坦克设计!$B$23:$U$23,0)))*(VLOOKUP($B217,INDIRECT($B$5&amp;"生成成长"),3))*(VLOOKUP($B$5,标准坦克设计!$B$14:$K$20,9)/30))</f>
        <v>12.089635057134531</v>
      </c>
      <c r="AO217" s="172">
        <f ca="1">(VLOOKUP(AO$72,INDIRECT($C$5&amp;"生成成长"),2))/((VLOOKUP($B217,INDIRECT($B$5&amp;"生成成长"),4))/(VLOOKUP(AO$72,INDIRECT($C$5&amp;"生成成长"),5))*(VLOOKUP($B$5,标准坦克设计!$B$24:$U$30,MATCH("对"&amp;LEFT($C$5,2)&amp;"输出",标准坦克设计!$B$23:$U$23,0)))*(VLOOKUP($B217,INDIRECT($B$5&amp;"生成成长"),3))*(VLOOKUP($B$5,标准坦克设计!$B$14:$K$20,9)/30))</f>
        <v>13.014428979255959</v>
      </c>
      <c r="AP217" s="172">
        <f ca="1">(VLOOKUP(AP$72,INDIRECT($C$5&amp;"生成成长"),2))/((VLOOKUP($B217,INDIRECT($B$5&amp;"生成成长"),4))/(VLOOKUP(AP$72,INDIRECT($C$5&amp;"生成成长"),5))*(VLOOKUP($B$5,标准坦克设计!$B$24:$U$30,MATCH("对"&amp;LEFT($C$5,2)&amp;"输出",标准坦克设计!$B$23:$U$23,0)))*(VLOOKUP($B217,INDIRECT($B$5&amp;"生成成长"),3))*(VLOOKUP($B$5,标准坦克设计!$B$14:$K$20,9)/30))</f>
        <v>13.973302409395261</v>
      </c>
      <c r="AQ217" s="172">
        <f ca="1">(VLOOKUP(AQ$72,INDIRECT($C$5&amp;"生成成长"),2))/((VLOOKUP($B217,INDIRECT($B$5&amp;"生成成长"),4))/(VLOOKUP(AQ$72,INDIRECT($C$5&amp;"生成成长"),5))*(VLOOKUP($B$5,标准坦克设计!$B$24:$U$30,MATCH("对"&amp;LEFT($C$5,2)&amp;"输出",标准坦克设计!$B$23:$U$23,0)))*(VLOOKUP($B217,INDIRECT($B$5&amp;"生成成长"),3))*(VLOOKUP($B$5,标准坦克设计!$B$14:$K$20,9)/30))</f>
        <v>14.966255347552439</v>
      </c>
      <c r="AR217" s="172">
        <f ca="1">(VLOOKUP(AR$72,INDIRECT($C$5&amp;"生成成长"),2))/((VLOOKUP($B217,INDIRECT($B$5&amp;"生成成长"),4))/(VLOOKUP(AR$72,INDIRECT($C$5&amp;"生成成长"),5))*(VLOOKUP($B$5,标准坦克设计!$B$24:$U$30,MATCH("对"&amp;LEFT($C$5,2)&amp;"输出",标准坦克设计!$B$23:$U$23,0)))*(VLOOKUP($B217,INDIRECT($B$5&amp;"生成成长"),3))*(VLOOKUP($B$5,标准坦克设计!$B$14:$K$20,9)/30))</f>
        <v>15.993287793727493</v>
      </c>
      <c r="AS217" s="172">
        <f ca="1">(VLOOKUP(AS$72,INDIRECT($C$5&amp;"生成成长"),2))/((VLOOKUP($B217,INDIRECT($B$5&amp;"生成成长"),4))/(VLOOKUP(AS$72,INDIRECT($C$5&amp;"生成成长"),5))*(VLOOKUP($B$5,标准坦克设计!$B$24:$U$30,MATCH("对"&amp;LEFT($C$5,2)&amp;"输出",标准坦克设计!$B$23:$U$23,0)))*(VLOOKUP($B217,INDIRECT($B$5&amp;"生成成长"),3))*(VLOOKUP($B$5,标准坦克设计!$B$14:$K$20,9)/30))</f>
        <v>17.054399747920421</v>
      </c>
      <c r="AT217" s="172">
        <f ca="1">(VLOOKUP(AT$72,INDIRECT($C$5&amp;"生成成长"),2))/((VLOOKUP($B217,INDIRECT($B$5&amp;"生成成长"),4))/(VLOOKUP(AT$72,INDIRECT($C$5&amp;"生成成长"),5))*(VLOOKUP($B$5,标准坦克设计!$B$24:$U$30,MATCH("对"&amp;LEFT($C$5,2)&amp;"输出",标准坦克设计!$B$23:$U$23,0)))*(VLOOKUP($B217,INDIRECT($B$5&amp;"生成成长"),3))*(VLOOKUP($B$5,标准坦克设计!$B$14:$K$20,9)/30))</f>
        <v>18.149591210131224</v>
      </c>
      <c r="AU217" s="172">
        <f ca="1">(VLOOKUP(AU$72,INDIRECT($C$5&amp;"生成成长"),2))/((VLOOKUP($B217,INDIRECT($B$5&amp;"生成成长"),4))/(VLOOKUP(AU$72,INDIRECT($C$5&amp;"生成成长"),5))*(VLOOKUP($B$5,标准坦克设计!$B$24:$U$30,MATCH("对"&amp;LEFT($C$5,2)&amp;"输出",标准坦克设计!$B$23:$U$23,0)))*(VLOOKUP($B217,INDIRECT($B$5&amp;"生成成长"),3))*(VLOOKUP($B$5,标准坦克设计!$B$14:$K$20,9)/30))</f>
        <v>19.278862180359905</v>
      </c>
      <c r="AV217" s="172">
        <f ca="1">(VLOOKUP(AV$72,INDIRECT($C$5&amp;"生成成长"),2))/((VLOOKUP($B217,INDIRECT($B$5&amp;"生成成长"),4))/(VLOOKUP(AV$72,INDIRECT($C$5&amp;"生成成长"),5))*(VLOOKUP($B$5,标准坦克设计!$B$24:$U$30,MATCH("对"&amp;LEFT($C$5,2)&amp;"输出",标准坦克设计!$B$23:$U$23,0)))*(VLOOKUP($B217,INDIRECT($B$5&amp;"生成成长"),3))*(VLOOKUP($B$5,标准坦克设计!$B$14:$K$20,9)/30))</f>
        <v>1.9608391307474893</v>
      </c>
      <c r="AW217" s="172">
        <f ca="1">(VLOOKUP(AW$72,INDIRECT($C$5&amp;"生成成长"),2))/((VLOOKUP($B217,INDIRECT($B$5&amp;"生成成长"),4))/(VLOOKUP(AW$72,INDIRECT($C$5&amp;"生成成长"),5))*(VLOOKUP($B$5,标准坦克设计!$B$24:$U$30,MATCH("对"&amp;LEFT($C$5,2)&amp;"输出",标准坦克设计!$B$23:$U$23,0)))*(VLOOKUP($B217,INDIRECT($B$5&amp;"生成成长"),3))*(VLOOKUP($B$5,标准坦克设计!$B$14:$K$20,9)/30))</f>
        <v>2.2357283855032422</v>
      </c>
      <c r="AX217" s="172">
        <f ca="1">(VLOOKUP(AX$72,INDIRECT($C$5&amp;"生成成长"),2))/((VLOOKUP($B217,INDIRECT($B$5&amp;"生成成长"),4))/(VLOOKUP(AX$72,INDIRECT($C$5&amp;"生成成长"),5))*(VLOOKUP($B$5,标准坦克设计!$B$24:$U$30,MATCH("对"&amp;LEFT($C$5,2)&amp;"输出",标准坦克设计!$B$23:$U$23,0)))*(VLOOKUP($B217,INDIRECT($B$5&amp;"生成成长"),3))*(VLOOKUP($B$5,标准坦克设计!$B$14:$K$20,9)/30))</f>
        <v>2.5286431651610113</v>
      </c>
      <c r="AY217" s="172">
        <f ca="1">(VLOOKUP(AY$72,INDIRECT($C$5&amp;"生成成长"),2))/((VLOOKUP($B217,INDIRECT($B$5&amp;"生成成长"),4))/(VLOOKUP(AY$72,INDIRECT($C$5&amp;"生成成长"),5))*(VLOOKUP($B$5,标准坦克设计!$B$24:$U$30,MATCH("对"&amp;LEFT($C$5,2)&amp;"输出",标准坦克设计!$B$23:$U$23,0)))*(VLOOKUP($B217,INDIRECT($B$5&amp;"生成成长"),3))*(VLOOKUP($B$5,标准坦克设计!$B$14:$K$20,9)/30))</f>
        <v>2.8395834697207967</v>
      </c>
      <c r="AZ217" s="172">
        <f ca="1">(VLOOKUP(AZ$72,INDIRECT($C$5&amp;"生成成长"),2))/((VLOOKUP($B217,INDIRECT($B$5&amp;"生成成长"),4))/(VLOOKUP(AZ$72,INDIRECT($C$5&amp;"生成成长"),5))*(VLOOKUP($B$5,标准坦克设计!$B$24:$U$30,MATCH("对"&amp;LEFT($C$5,2)&amp;"输出",标准坦克设计!$B$23:$U$23,0)))*(VLOOKUP($B217,INDIRECT($B$5&amp;"生成成长"),3))*(VLOOKUP($B$5,标准坦克设计!$B$14:$K$20,9)/30))</f>
        <v>3.1685492991825996</v>
      </c>
      <c r="BA217" s="172">
        <f ca="1">(VLOOKUP(BA$72,INDIRECT($C$5&amp;"生成成长"),2))/((VLOOKUP($B217,INDIRECT($B$5&amp;"生成成长"),4))/(VLOOKUP(BA$72,INDIRECT($C$5&amp;"生成成长"),5))*(VLOOKUP($B$5,标准坦克设计!$B$24:$U$30,MATCH("对"&amp;LEFT($C$5,2)&amp;"输出",标准坦克设计!$B$23:$U$23,0)))*(VLOOKUP($B217,INDIRECT($B$5&amp;"生成成长"),3))*(VLOOKUP($B$5,标准坦克设计!$B$14:$K$20,9)/30))</f>
        <v>3.5155406535464184</v>
      </c>
      <c r="BB217" s="172">
        <f ca="1">(VLOOKUP(BB$72,INDIRECT($C$5&amp;"生成成长"),2))/((VLOOKUP($B217,INDIRECT($B$5&amp;"生成成长"),4))/(VLOOKUP(BB$72,INDIRECT($C$5&amp;"生成成长"),5))*(VLOOKUP($B$5,标准坦克设计!$B$24:$U$30,MATCH("对"&amp;LEFT($C$5,2)&amp;"输出",标准坦克设计!$B$23:$U$23,0)))*(VLOOKUP($B217,INDIRECT($B$5&amp;"生成成长"),3))*(VLOOKUP($B$5,标准坦克设计!$B$14:$K$20,9)/30))</f>
        <v>3.8805575328122539</v>
      </c>
      <c r="BC217" s="172">
        <f ca="1">(VLOOKUP(BC$72,INDIRECT($C$5&amp;"生成成长"),2))/((VLOOKUP($B217,INDIRECT($B$5&amp;"生成成长"),4))/(VLOOKUP(BC$72,INDIRECT($C$5&amp;"生成成长"),5))*(VLOOKUP($B$5,标准坦克设计!$B$24:$U$30,MATCH("对"&amp;LEFT($C$5,2)&amp;"输出",标准坦克设计!$B$23:$U$23,0)))*(VLOOKUP($B217,INDIRECT($B$5&amp;"生成成长"),3))*(VLOOKUP($B$5,标准坦克设计!$B$14:$K$20,9)/30))</f>
        <v>4.2635999369801052</v>
      </c>
      <c r="BD217" s="172">
        <f ca="1">(VLOOKUP(BD$72,INDIRECT($C$5&amp;"生成成长"),2))/((VLOOKUP($B217,INDIRECT($B$5&amp;"生成成长"),4))/(VLOOKUP(BD$72,INDIRECT($C$5&amp;"生成成长"),5))*(VLOOKUP($B$5,标准坦克设计!$B$24:$U$30,MATCH("对"&amp;LEFT($C$5,2)&amp;"输出",标准坦克设计!$B$23:$U$23,0)))*(VLOOKUP($B217,INDIRECT($B$5&amp;"生成成长"),3))*(VLOOKUP($B$5,标准坦克设计!$B$14:$K$20,9)/30))</f>
        <v>4.7160687769033807</v>
      </c>
      <c r="BE217" s="172">
        <f ca="1">(VLOOKUP(BE$72,INDIRECT($C$5&amp;"生成成长"),2))/((VLOOKUP($B217,INDIRECT($B$5&amp;"生成成长"),4))/(VLOOKUP(BE$72,INDIRECT($C$5&amp;"生成成长"),5))*(VLOOKUP($B$5,标准坦克设计!$B$24:$U$30,MATCH("对"&amp;LEFT($C$5,2)&amp;"输出",标准坦克设计!$B$23:$U$23,0)))*(VLOOKUP($B217,INDIRECT($B$5&amp;"生成成长"),3))*(VLOOKUP($B$5,标准坦克设计!$B$14:$K$20,9)/30))</f>
        <v>5.1913511717807701</v>
      </c>
      <c r="BF217" s="172">
        <f ca="1">(VLOOKUP(BF$72,INDIRECT($C$5&amp;"生成成长"),2))/((VLOOKUP($B217,INDIRECT($B$5&amp;"生成成长"),4))/(VLOOKUP(BF$72,INDIRECT($C$5&amp;"生成成长"),5))*(VLOOKUP($B$5,标准坦克设计!$B$24:$U$30,MATCH("对"&amp;LEFT($C$5,2)&amp;"输出",标准坦克设计!$B$23:$U$23,0)))*(VLOOKUP($B217,INDIRECT($B$5&amp;"生成成长"),3))*(VLOOKUP($B$5,标准坦克设计!$B$14:$K$20,9)/30))</f>
        <v>5.6894471216122753</v>
      </c>
      <c r="BG217" s="172">
        <f ca="1">(VLOOKUP(BG$72,INDIRECT($C$5&amp;"生成成长"),2))/((VLOOKUP($B217,INDIRECT($B$5&amp;"生成成长"),4))/(VLOOKUP(BG$72,INDIRECT($C$5&amp;"生成成长"),5))*(VLOOKUP($B$5,标准坦克设计!$B$24:$U$30,MATCH("对"&amp;LEFT($C$5,2)&amp;"输出",标准坦克设计!$B$23:$U$23,0)))*(VLOOKUP($B217,INDIRECT($B$5&amp;"生成成长"),3))*(VLOOKUP($B$5,标准坦克设计!$B$14:$K$20,9)/30))</f>
        <v>6.2103566263978953</v>
      </c>
      <c r="BH217" s="172">
        <f ca="1">(VLOOKUP(BH$72,INDIRECT($C$5&amp;"生成成长"),2))/((VLOOKUP($B217,INDIRECT($B$5&amp;"生成成长"),4))/(VLOOKUP(BH$72,INDIRECT($C$5&amp;"生成成长"),5))*(VLOOKUP($B$5,标准坦克设计!$B$24:$U$30,MATCH("对"&amp;LEFT($C$5,2)&amp;"输出",标准坦克设计!$B$23:$U$23,0)))*(VLOOKUP($B217,INDIRECT($B$5&amp;"生成成长"),3))*(VLOOKUP($B$5,标准坦克设计!$B$14:$K$20,9)/30))</f>
        <v>3.0018131938389465</v>
      </c>
      <c r="BI217" s="172">
        <f ca="1">(VLOOKUP(BI$72,INDIRECT($C$5&amp;"生成成长"),2))/((VLOOKUP($B217,INDIRECT($B$5&amp;"生成成长"),4))/(VLOOKUP(BI$72,INDIRECT($C$5&amp;"生成成长"),5))*(VLOOKUP($B$5,标准坦克设计!$B$24:$U$30,MATCH("对"&amp;LEFT($C$5,2)&amp;"输出",标准坦克设计!$B$23:$U$23,0)))*(VLOOKUP($B217,INDIRECT($B$5&amp;"生成成长"),3))*(VLOOKUP($B$5,标准坦克设计!$B$14:$K$20,9)/30))</f>
        <v>3.3833065294605311</v>
      </c>
      <c r="BJ217" s="172">
        <f ca="1">(VLOOKUP(BJ$72,INDIRECT($C$5&amp;"生成成长"),2))/((VLOOKUP($B217,INDIRECT($B$5&amp;"生成成长"),4))/(VLOOKUP(BJ$72,INDIRECT($C$5&amp;"生成成长"),5))*(VLOOKUP($B$5,标准坦克设计!$B$24:$U$30,MATCH("对"&amp;LEFT($C$5,2)&amp;"输出",标准坦克设计!$B$23:$U$23,0)))*(VLOOKUP($B217,INDIRECT($B$5&amp;"生成成长"),3))*(VLOOKUP($B$5,标准坦克设计!$B$14:$K$20,9)/30))</f>
        <v>3.7876134200362301</v>
      </c>
      <c r="BK217" s="172">
        <f ca="1">(VLOOKUP(BK$72,INDIRECT($C$5&amp;"生成成长"),2))/((VLOOKUP($B217,INDIRECT($B$5&amp;"生成成长"),4))/(VLOOKUP(BK$72,INDIRECT($C$5&amp;"生成成长"),5))*(VLOOKUP($B$5,标准坦克设计!$B$24:$U$30,MATCH("对"&amp;LEFT($C$5,2)&amp;"输出",标准坦克设计!$B$23:$U$23,0)))*(VLOOKUP($B217,INDIRECT($B$5&amp;"生成成长"),3))*(VLOOKUP($B$5,标准坦克设计!$B$14:$K$20,9)/30))</f>
        <v>4.2147338655660453</v>
      </c>
      <c r="BL217" s="172">
        <f ca="1">(VLOOKUP(BL$72,INDIRECT($C$5&amp;"生成成长"),2))/((VLOOKUP($B217,INDIRECT($B$5&amp;"生成成长"),4))/(VLOOKUP(BL$72,INDIRECT($C$5&amp;"生成成长"),5))*(VLOOKUP($B$5,标准坦克设计!$B$24:$U$30,MATCH("对"&amp;LEFT($C$5,2)&amp;"输出",标准坦克设计!$B$23:$U$23,0)))*(VLOOKUP($B217,INDIRECT($B$5&amp;"生成成长"),3))*(VLOOKUP($B$5,标准坦克设计!$B$14:$K$20,9)/30))</f>
        <v>4.6646678660499745</v>
      </c>
      <c r="BM217" s="172">
        <f ca="1">(VLOOKUP(BM$72,INDIRECT($C$5&amp;"生成成长"),2))/((VLOOKUP($B217,INDIRECT($B$5&amp;"生成成长"),4))/(VLOOKUP(BM$72,INDIRECT($C$5&amp;"生成成长"),5))*(VLOOKUP($B$5,标准坦克设计!$B$24:$U$30,MATCH("对"&amp;LEFT($C$5,2)&amp;"输出",标准坦克设计!$B$23:$U$23,0)))*(VLOOKUP($B217,INDIRECT($B$5&amp;"生成成长"),3))*(VLOOKUP($B$5,标准坦克设计!$B$14:$K$20,9)/30))</f>
        <v>5.1374154214880168</v>
      </c>
      <c r="BN217" s="172">
        <f ca="1">(VLOOKUP(BN$72,INDIRECT($C$5&amp;"生成成长"),2))/((VLOOKUP($B217,INDIRECT($B$5&amp;"生成成长"),4))/(VLOOKUP(BN$72,INDIRECT($C$5&amp;"生成成长"),5))*(VLOOKUP($B$5,标准坦克设计!$B$24:$U$30,MATCH("对"&amp;LEFT($C$5,2)&amp;"输出",标准坦克设计!$B$23:$U$23,0)))*(VLOOKUP($B217,INDIRECT($B$5&amp;"生成成长"),3))*(VLOOKUP($B$5,标准坦克设计!$B$14:$K$20,9)/30))</f>
        <v>5.6329765318801766</v>
      </c>
      <c r="BO217" s="172">
        <f ca="1">(VLOOKUP(BO$72,INDIRECT($C$5&amp;"生成成长"),2))/((VLOOKUP($B217,INDIRECT($B$5&amp;"生成成长"),4))/(VLOOKUP(BO$72,INDIRECT($C$5&amp;"生成成长"),5))*(VLOOKUP($B$5,标准坦克设计!$B$24:$U$30,MATCH("对"&amp;LEFT($C$5,2)&amp;"输出",标准坦克设计!$B$23:$U$23,0)))*(VLOOKUP($B217,INDIRECT($B$5&amp;"生成成长"),3))*(VLOOKUP($B$5,标准坦克设计!$B$14:$K$20,9)/30))</f>
        <v>6.1513511972264494</v>
      </c>
      <c r="BP217" s="172">
        <f ca="1">(VLOOKUP(BP$72,INDIRECT($C$5&amp;"生成成长"),2))/((VLOOKUP($B217,INDIRECT($B$5&amp;"生成成长"),4))/(VLOOKUP(BP$72,INDIRECT($C$5&amp;"生成成长"),5))*(VLOOKUP($B$5,标准坦克设计!$B$24:$U$30,MATCH("对"&amp;LEFT($C$5,2)&amp;"输出",标准坦克设计!$B$23:$U$23,0)))*(VLOOKUP($B217,INDIRECT($B$5&amp;"生成成长"),3))*(VLOOKUP($B$5,标准坦克设计!$B$14:$K$20,9)/30))</f>
        <v>6.6925394175268371</v>
      </c>
      <c r="BQ217" s="172">
        <f ca="1">(VLOOKUP(BQ$72,INDIRECT($C$5&amp;"生成成长"),2))/((VLOOKUP($B217,INDIRECT($B$5&amp;"生成成长"),4))/(VLOOKUP(BQ$72,INDIRECT($C$5&amp;"生成成长"),5))*(VLOOKUP($B$5,标准坦克设计!$B$24:$U$30,MATCH("对"&amp;LEFT($C$5,2)&amp;"输出",标准坦克设计!$B$23:$U$23,0)))*(VLOOKUP($B217,INDIRECT($B$5&amp;"生成成长"),3))*(VLOOKUP($B$5,标准坦克设计!$B$14:$K$20,9)/30))</f>
        <v>7.2565411927813397</v>
      </c>
      <c r="BR217" s="172">
        <f ca="1">(VLOOKUP(BR$72,INDIRECT($C$5&amp;"生成成长"),2))/((VLOOKUP($B217,INDIRECT($B$5&amp;"生成成长"),4))/(VLOOKUP(BR$72,INDIRECT($C$5&amp;"生成成长"),5))*(VLOOKUP($B$5,标准坦克设计!$B$24:$U$30,MATCH("对"&amp;LEFT($C$5,2)&amp;"输出",标准坦克设计!$B$23:$U$23,0)))*(VLOOKUP($B217,INDIRECT($B$5&amp;"生成成长"),3))*(VLOOKUP($B$5,标准坦克设计!$B$14:$K$20,9)/30))</f>
        <v>7.9099664704794401</v>
      </c>
      <c r="BS217" s="172">
        <f ca="1">(VLOOKUP(BS$72,INDIRECT($C$5&amp;"生成成长"),2))/((VLOOKUP($B217,INDIRECT($B$5&amp;"生成成长"),4))/(VLOOKUP(BS$72,INDIRECT($C$5&amp;"生成成长"),5))*(VLOOKUP($B$5,标准坦克设计!$B$24:$U$30,MATCH("对"&amp;LEFT($C$5,2)&amp;"输出",标准坦克设计!$B$23:$U$23,0)))*(VLOOKUP($B217,INDIRECT($B$5&amp;"生成成长"),3))*(VLOOKUP($B$5,标准坦克设计!$B$14:$K$20,9)/30))</f>
        <v>8.5915566308369424</v>
      </c>
      <c r="BT217" s="172">
        <f ca="1">(VLOOKUP(BT$72,INDIRECT($C$5&amp;"生成成长"),2))/((VLOOKUP($B217,INDIRECT($B$5&amp;"生成成长"),4))/(VLOOKUP(BT$72,INDIRECT($C$5&amp;"生成成长"),5))*(VLOOKUP($B$5,标准坦克设计!$B$24:$U$30,MATCH("对"&amp;LEFT($C$5,2)&amp;"输出",标准坦克设计!$B$23:$U$23,0)))*(VLOOKUP($B217,INDIRECT($B$5&amp;"生成成长"),3))*(VLOOKUP($B$5,标准坦克设计!$B$14:$K$20,9)/30))</f>
        <v>9.3013116738538439</v>
      </c>
      <c r="BU217" s="172">
        <f ca="1">(VLOOKUP(BU$72,INDIRECT($C$5&amp;"生成成长"),2))/((VLOOKUP($B217,INDIRECT($B$5&amp;"生成成长"),4))/(VLOOKUP(BU$72,INDIRECT($C$5&amp;"生成成长"),5))*(VLOOKUP($B$5,标准坦克设计!$B$24:$U$30,MATCH("对"&amp;LEFT($C$5,2)&amp;"输出",标准坦克设计!$B$23:$U$23,0)))*(VLOOKUP($B217,INDIRECT($B$5&amp;"生成成长"),3))*(VLOOKUP($B$5,标准坦克设计!$B$14:$K$20,9)/30))</f>
        <v>10.039231599530147</v>
      </c>
      <c r="BV217" s="172">
        <f ca="1">(VLOOKUP(BV$72,INDIRECT($C$5&amp;"生成成长"),2))/((VLOOKUP($B217,INDIRECT($B$5&amp;"生成成长"),4))/(VLOOKUP(BV$72,INDIRECT($C$5&amp;"生成成长"),5))*(VLOOKUP($B$5,标准坦克设计!$B$24:$U$30,MATCH("对"&amp;LEFT($C$5,2)&amp;"输出",标准坦克设计!$B$23:$U$23,0)))*(VLOOKUP($B217,INDIRECT($B$5&amp;"生成成长"),3))*(VLOOKUP($B$5,标准坦克设计!$B$14:$K$20,9)/30))</f>
        <v>10.805316407865853</v>
      </c>
      <c r="BW217" s="172">
        <f ca="1">(VLOOKUP(BW$72,INDIRECT($C$5&amp;"生成成长"),2))/((VLOOKUP($B217,INDIRECT($B$5&amp;"生成成长"),4))/(VLOOKUP(BW$72,INDIRECT($C$5&amp;"生成成长"),5))*(VLOOKUP($B$5,标准坦克设计!$B$24:$U$30,MATCH("对"&amp;LEFT($C$5,2)&amp;"输出",标准坦克设计!$B$23:$U$23,0)))*(VLOOKUP($B217,INDIRECT($B$5&amp;"生成成长"),3))*(VLOOKUP($B$5,标准坦克设计!$B$14:$K$20,9)/30))</f>
        <v>4.9244889085829469</v>
      </c>
      <c r="BX217" s="172">
        <f ca="1">(VLOOKUP(BX$72,INDIRECT($C$5&amp;"生成成长"),2))/((VLOOKUP($B217,INDIRECT($B$5&amp;"生成成长"),4))/(VLOOKUP(BX$72,INDIRECT($C$5&amp;"生成成长"),5))*(VLOOKUP($B$5,标准坦克设计!$B$24:$U$30,MATCH("对"&amp;LEFT($C$5,2)&amp;"输出",标准坦克设计!$B$23:$U$23,0)))*(VLOOKUP($B217,INDIRECT($B$5&amp;"生成成长"),3))*(VLOOKUP($B$5,标准坦克设计!$B$14:$K$20,9)/30))</f>
        <v>5.4652546556434443</v>
      </c>
      <c r="BY217" s="172">
        <f ca="1">(VLOOKUP(BY$72,INDIRECT($C$5&amp;"生成成长"),2))/((VLOOKUP($B217,INDIRECT($B$5&amp;"生成成长"),4))/(VLOOKUP(BY$72,INDIRECT($C$5&amp;"生成成长"),5))*(VLOOKUP($B$5,标准坦克设计!$B$24:$U$30,MATCH("对"&amp;LEFT($C$5,2)&amp;"输出",标准坦克设计!$B$23:$U$23,0)))*(VLOOKUP($B217,INDIRECT($B$5&amp;"生成成长"),3))*(VLOOKUP($B$5,标准坦克设计!$B$14:$K$20,9)/30))</f>
        <v>6.0341852853633418</v>
      </c>
      <c r="BZ217" s="172">
        <f ca="1">(VLOOKUP(BZ$72,INDIRECT($C$5&amp;"生成成长"),2))/((VLOOKUP($B217,INDIRECT($B$5&amp;"生成成长"),4))/(VLOOKUP(BZ$72,INDIRECT($C$5&amp;"生成成长"),5))*(VLOOKUP($B$5,标准坦克设计!$B$24:$U$30,MATCH("对"&amp;LEFT($C$5,2)&amp;"输出",标准坦克设计!$B$23:$U$23,0)))*(VLOOKUP($B217,INDIRECT($B$5&amp;"生成成长"),3))*(VLOOKUP($B$5,标准坦克设计!$B$14:$K$20,9)/30))</f>
        <v>6.6312807977426411</v>
      </c>
      <c r="CA217" s="172">
        <f ca="1">(VLOOKUP(CA$72,INDIRECT($C$5&amp;"生成成长"),2))/((VLOOKUP($B217,INDIRECT($B$5&amp;"生成成长"),4))/(VLOOKUP(CA$72,INDIRECT($C$5&amp;"生成成长"),5))*(VLOOKUP($B$5,标准坦克设计!$B$24:$U$30,MATCH("对"&amp;LEFT($C$5,2)&amp;"输出",标准坦克设计!$B$23:$U$23,0)))*(VLOOKUP($B217,INDIRECT($B$5&amp;"生成成长"),3))*(VLOOKUP($B$5,标准坦克设计!$B$14:$K$20,9)/30))</f>
        <v>7.2565411927813397</v>
      </c>
      <c r="CB217" s="172">
        <f ca="1">(VLOOKUP(CB$72,INDIRECT($C$5&amp;"生成成长"),2))/((VLOOKUP($B217,INDIRECT($B$5&amp;"生成成长"),4))/(VLOOKUP(CB$72,INDIRECT($C$5&amp;"生成成长"),5))*(VLOOKUP($B$5,标准坦克设计!$B$24:$U$30,MATCH("对"&amp;LEFT($C$5,2)&amp;"输出",标准坦克设计!$B$23:$U$23,0)))*(VLOOKUP($B217,INDIRECT($B$5&amp;"生成成长"),3))*(VLOOKUP($B$5,标准坦克设计!$B$14:$K$20,9)/30))</f>
        <v>7.9099664704794401</v>
      </c>
      <c r="CC217" s="172">
        <f ca="1">(VLOOKUP(CC$72,INDIRECT($C$5&amp;"生成成长"),2))/((VLOOKUP($B217,INDIRECT($B$5&amp;"生成成长"),4))/(VLOOKUP(CC$72,INDIRECT($C$5&amp;"生成成长"),5))*(VLOOKUP($B$5,标准坦克设计!$B$24:$U$30,MATCH("对"&amp;LEFT($C$5,2)&amp;"输出",标准坦克设计!$B$23:$U$23,0)))*(VLOOKUP($B217,INDIRECT($B$5&amp;"生成成长"),3))*(VLOOKUP($B$5,标准坦克设计!$B$14:$K$20,9)/30))</f>
        <v>8.5915566308369424</v>
      </c>
      <c r="CD217" s="172">
        <f ca="1">(VLOOKUP(CD$72,INDIRECT($C$5&amp;"生成成长"),2))/((VLOOKUP($B217,INDIRECT($B$5&amp;"生成成长"),4))/(VLOOKUP(CD$72,INDIRECT($C$5&amp;"生成成长"),5))*(VLOOKUP($B$5,标准坦克设计!$B$24:$U$30,MATCH("对"&amp;LEFT($C$5,2)&amp;"输出",标准坦克设计!$B$23:$U$23,0)))*(VLOOKUP($B217,INDIRECT($B$5&amp;"生成成长"),3))*(VLOOKUP($B$5,标准坦克设计!$B$14:$K$20,9)/30))</f>
        <v>9.3013116738538439</v>
      </c>
      <c r="CE217" s="172">
        <f ca="1">(VLOOKUP(CE$72,INDIRECT($C$5&amp;"生成成长"),2))/((VLOOKUP($B217,INDIRECT($B$5&amp;"生成成长"),4))/(VLOOKUP(CE$72,INDIRECT($C$5&amp;"生成成长"),5))*(VLOOKUP($B$5,标准坦克设计!$B$24:$U$30,MATCH("对"&amp;LEFT($C$5,2)&amp;"输出",标准坦克设计!$B$23:$U$23,0)))*(VLOOKUP($B217,INDIRECT($B$5&amp;"生成成长"),3))*(VLOOKUP($B$5,标准坦克设计!$B$14:$K$20,9)/30))</f>
        <v>10.039231599530147</v>
      </c>
      <c r="CF217" s="172">
        <f ca="1">(VLOOKUP(CF$72,INDIRECT($C$5&amp;"生成成长"),2))/((VLOOKUP($B217,INDIRECT($B$5&amp;"生成成长"),4))/(VLOOKUP(CF$72,INDIRECT($C$5&amp;"生成成长"),5))*(VLOOKUP($B$5,标准坦克设计!$B$24:$U$30,MATCH("对"&amp;LEFT($C$5,2)&amp;"输出",标准坦克设计!$B$23:$U$23,0)))*(VLOOKUP($B217,INDIRECT($B$5&amp;"生成成长"),3))*(VLOOKUP($B$5,标准坦克设计!$B$14:$K$20,9)/30))</f>
        <v>10.805316407865853</v>
      </c>
      <c r="CG217" s="172">
        <f ca="1">(VLOOKUP(CG$72,INDIRECT($C$5&amp;"生成成长"),2))/((VLOOKUP($B217,INDIRECT($B$5&amp;"生成成长"),4))/(VLOOKUP(CG$72,INDIRECT($C$5&amp;"生成成长"),5))*(VLOOKUP($B$5,标准坦克设计!$B$24:$U$30,MATCH("对"&amp;LEFT($C$5,2)&amp;"输出",标准坦克设计!$B$23:$U$23,0)))*(VLOOKUP($B217,INDIRECT($B$5&amp;"生成成长"),3))*(VLOOKUP($B$5,标准坦克设计!$B$14:$K$20,9)/30))</f>
        <v>11.599566098860956</v>
      </c>
      <c r="CH217" s="172">
        <f ca="1">(VLOOKUP(CH$72,INDIRECT($C$5&amp;"生成成长"),2))/((VLOOKUP($B217,INDIRECT($B$5&amp;"生成成长"),4))/(VLOOKUP(CH$72,INDIRECT($C$5&amp;"生成成长"),5))*(VLOOKUP($B$5,标准坦克设计!$B$24:$U$30,MATCH("对"&amp;LEFT($C$5,2)&amp;"输出",标准坦克设计!$B$23:$U$23,0)))*(VLOOKUP($B217,INDIRECT($B$5&amp;"生成成长"),3))*(VLOOKUP($B$5,标准坦克设计!$B$14:$K$20,9)/30))</f>
        <v>12.421980672515465</v>
      </c>
      <c r="CI217" s="172">
        <f ca="1">(VLOOKUP(CI$72,INDIRECT($C$5&amp;"生成成长"),2))/((VLOOKUP($B217,INDIRECT($B$5&amp;"生成成长"),4))/(VLOOKUP(CI$72,INDIRECT($C$5&amp;"生成成长"),5))*(VLOOKUP($B$5,标准坦克设计!$B$24:$U$30,MATCH("对"&amp;LEFT($C$5,2)&amp;"输出",标准坦克设计!$B$23:$U$23,0)))*(VLOOKUP($B217,INDIRECT($B$5&amp;"生成成长"),3))*(VLOOKUP($B$5,标准坦克设计!$B$14:$K$20,9)/30))</f>
        <v>13.359167143007024</v>
      </c>
      <c r="CJ217" s="172">
        <f ca="1">(VLOOKUP(CJ$72,INDIRECT($C$5&amp;"生成成长"),2))/((VLOOKUP($B217,INDIRECT($B$5&amp;"生成成长"),4))/(VLOOKUP(CJ$72,INDIRECT($C$5&amp;"生成成长"),5))*(VLOOKUP($B$5,标准坦克设计!$B$24:$U$30,MATCH("对"&amp;LEFT($C$5,2)&amp;"输出",标准坦克设计!$B$23:$U$23,0)))*(VLOOKUP($B217,INDIRECT($B$5&amp;"生成成长"),3))*(VLOOKUP($B$5,标准坦克设计!$B$14:$K$20,9)/30))</f>
        <v>14.330433121516467</v>
      </c>
      <c r="CK217" s="172">
        <f ca="1">(VLOOKUP(CK$72,INDIRECT($C$5&amp;"生成成长"),2))/((VLOOKUP($B217,INDIRECT($B$5&amp;"生成成长"),4))/(VLOOKUP(CK$72,INDIRECT($C$5&amp;"生成成长"),5))*(VLOOKUP($B$5,标准坦克设计!$B$24:$U$30,MATCH("对"&amp;LEFT($C$5,2)&amp;"输出",标准坦克设计!$B$23:$U$23,0)))*(VLOOKUP($B217,INDIRECT($B$5&amp;"生成成长"),3))*(VLOOKUP($B$5,标准坦克设计!$B$14:$K$20,9)/30))</f>
        <v>15.335778608043782</v>
      </c>
      <c r="CL217" s="172">
        <f ca="1">(VLOOKUP(CL$72,INDIRECT($C$5&amp;"生成成长"),2))/((VLOOKUP($B217,INDIRECT($B$5&amp;"生成成长"),4))/(VLOOKUP(CL$72,INDIRECT($C$5&amp;"生成成长"),5))*(VLOOKUP($B$5,标准坦克设计!$B$24:$U$30,MATCH("对"&amp;LEFT($C$5,2)&amp;"输出",标准坦克设计!$B$23:$U$23,0)))*(VLOOKUP($B217,INDIRECT($B$5&amp;"生成成长"),3))*(VLOOKUP($B$5,标准坦克设计!$B$14:$K$20,9)/30))</f>
        <v>16.375203602588968</v>
      </c>
      <c r="CM217" s="172">
        <f ca="1">(VLOOKUP(CM$72,INDIRECT($C$5&amp;"生成成长"),2))/((VLOOKUP($B217,INDIRECT($B$5&amp;"生成成长"),4))/(VLOOKUP(CM$72,INDIRECT($C$5&amp;"生成成长"),5))*(VLOOKUP($B$5,标准坦克设计!$B$24:$U$30,MATCH("对"&amp;LEFT($C$5,2)&amp;"输出",标准坦克设计!$B$23:$U$23,0)))*(VLOOKUP($B217,INDIRECT($B$5&amp;"生成成长"),3))*(VLOOKUP($B$5,标准坦克设计!$B$14:$K$20,9)/30))</f>
        <v>17.448708105152033</v>
      </c>
      <c r="CN217" s="172">
        <f ca="1">(VLOOKUP(CN$72,INDIRECT($C$5&amp;"生成成长"),2))/((VLOOKUP($B217,INDIRECT($B$5&amp;"生成成长"),4))/(VLOOKUP(CN$72,INDIRECT($C$5&amp;"生成成长"),5))*(VLOOKUP($B$5,标准坦克设计!$B$24:$U$30,MATCH("对"&amp;LEFT($C$5,2)&amp;"输出",标准坦克设计!$B$23:$U$23,0)))*(VLOOKUP($B217,INDIRECT($B$5&amp;"生成成长"),3))*(VLOOKUP($B$5,标准坦克设计!$B$14:$K$20,9)/30))</f>
        <v>18.556292115732976</v>
      </c>
      <c r="CO217" s="172">
        <f ca="1">(VLOOKUP(CO$72,INDIRECT($C$5&amp;"生成成长"),2))/((VLOOKUP($B217,INDIRECT($B$5&amp;"生成成长"),4))/(VLOOKUP(CO$72,INDIRECT($C$5&amp;"生成成长"),5))*(VLOOKUP($B$5,标准坦克设计!$B$24:$U$30,MATCH("对"&amp;LEFT($C$5,2)&amp;"输出",标准坦克设计!$B$23:$U$23,0)))*(VLOOKUP($B217,INDIRECT($B$5&amp;"生成成长"),3))*(VLOOKUP($B$5,标准坦克设计!$B$14:$K$20,9)/30))</f>
        <v>8.3155407807748141</v>
      </c>
      <c r="CP217" s="172">
        <f ca="1">(VLOOKUP(CP$72,INDIRECT($C$5&amp;"生成成长"),2))/((VLOOKUP($B217,INDIRECT($B$5&amp;"生成成长"),4))/(VLOOKUP(CP$72,INDIRECT($C$5&amp;"生成成长"),5))*(VLOOKUP($B$5,标准坦克设计!$B$24:$U$30,MATCH("对"&amp;LEFT($C$5,2)&amp;"输出",标准坦克设计!$B$23:$U$23,0)))*(VLOOKUP($B217,INDIRECT($B$5&amp;"生成成长"),3))*(VLOOKUP($B$5,标准坦克设计!$B$14:$K$20,9)/30))</f>
        <v>9.0854278482695356</v>
      </c>
      <c r="CQ217" s="172">
        <f ca="1">(VLOOKUP(CQ$72,INDIRECT($C$5&amp;"生成成长"),2))/((VLOOKUP($B217,INDIRECT($B$5&amp;"生成成长"),4))/(VLOOKUP(CQ$72,INDIRECT($C$5&amp;"生成成长"),5))*(VLOOKUP($B$5,标准坦克设计!$B$24:$U$30,MATCH("对"&amp;LEFT($C$5,2)&amp;"输出",标准坦克设计!$B$23:$U$23,0)))*(VLOOKUP($B217,INDIRECT($B$5&amp;"生成成长"),3))*(VLOOKUP($B$5,标准坦克设计!$B$14:$K$20,9)/30))</f>
        <v>9.8893944237821341</v>
      </c>
      <c r="CR217" s="172">
        <f ca="1">(VLOOKUP(CR$72,INDIRECT($C$5&amp;"生成成长"),2))/((VLOOKUP($B217,INDIRECT($B$5&amp;"生成成长"),4))/(VLOOKUP(CR$72,INDIRECT($C$5&amp;"生成成长"),5))*(VLOOKUP($B$5,标准坦克设计!$B$24:$U$30,MATCH("对"&amp;LEFT($C$5,2)&amp;"输出",标准坦克设计!$B$23:$U$23,0)))*(VLOOKUP($B217,INDIRECT($B$5&amp;"生成成长"),3))*(VLOOKUP($B$5,标准坦克设计!$B$14:$K$20,9)/30))</f>
        <v>10.727440507312608</v>
      </c>
      <c r="CS217" s="172">
        <f ca="1">(VLOOKUP(CS$72,INDIRECT($C$5&amp;"生成成长"),2))/((VLOOKUP($B217,INDIRECT($B$5&amp;"生成成长"),4))/(VLOOKUP(CS$72,INDIRECT($C$5&amp;"生成成长"),5))*(VLOOKUP($B$5,标准坦克设计!$B$24:$U$30,MATCH("对"&amp;LEFT($C$5,2)&amp;"输出",标准坦克设计!$B$23:$U$23,0)))*(VLOOKUP($B217,INDIRECT($B$5&amp;"生成成长"),3))*(VLOOKUP($B$5,标准坦克设计!$B$14:$K$20,9)/30))</f>
        <v>11.599566098860956</v>
      </c>
      <c r="CT217" s="172">
        <f ca="1">(VLOOKUP(CT$72,INDIRECT($C$5&amp;"生成成长"),2))/((VLOOKUP($B217,INDIRECT($B$5&amp;"生成成长"),4))/(VLOOKUP(CT$72,INDIRECT($C$5&amp;"生成成长"),5))*(VLOOKUP($B$5,标准坦克设计!$B$24:$U$30,MATCH("对"&amp;LEFT($C$5,2)&amp;"输出",标准坦克设计!$B$23:$U$23,0)))*(VLOOKUP($B217,INDIRECT($B$5&amp;"生成成长"),3))*(VLOOKUP($B$5,标准坦克设计!$B$14:$K$20,9)/30))</f>
        <v>12.505771198427178</v>
      </c>
      <c r="CU217" s="172">
        <f ca="1">(VLOOKUP(CU$72,INDIRECT($C$5&amp;"生成成长"),2))/((VLOOKUP($B217,INDIRECT($B$5&amp;"生成成长"),4))/(VLOOKUP(CU$72,INDIRECT($C$5&amp;"生成成长"),5))*(VLOOKUP($B$5,标准坦克设计!$B$24:$U$30,MATCH("对"&amp;LEFT($C$5,2)&amp;"输出",标准坦克设计!$B$23:$U$23,0)))*(VLOOKUP($B217,INDIRECT($B$5&amp;"生成成长"),3))*(VLOOKUP($B$5,标准坦克设计!$B$14:$K$20,9)/30))</f>
        <v>13.446055806011278</v>
      </c>
      <c r="CV217" s="172">
        <f ca="1">(VLOOKUP(CV$72,INDIRECT($C$5&amp;"生成成长"),2))/((VLOOKUP($B217,INDIRECT($B$5&amp;"生成成长"),4))/(VLOOKUP(CV$72,INDIRECT($C$5&amp;"生成成长"),5))*(VLOOKUP($B$5,标准坦克设计!$B$24:$U$30,MATCH("对"&amp;LEFT($C$5,2)&amp;"输出",标准坦克设计!$B$23:$U$23,0)))*(VLOOKUP($B217,INDIRECT($B$5&amp;"生成成长"),3))*(VLOOKUP($B$5,标准坦克设计!$B$14:$K$20,9)/30))</f>
        <v>14.420419921613252</v>
      </c>
      <c r="CW217" s="172">
        <f ca="1">(VLOOKUP(CW$72,INDIRECT($C$5&amp;"生成成长"),2))/((VLOOKUP($B217,INDIRECT($B$5&amp;"生成成长"),4))/(VLOOKUP(CW$72,INDIRECT($C$5&amp;"生成成长"),5))*(VLOOKUP($B$5,标准坦克设计!$B$24:$U$30,MATCH("对"&amp;LEFT($C$5,2)&amp;"输出",标准坦克设计!$B$23:$U$23,0)))*(VLOOKUP($B217,INDIRECT($B$5&amp;"生成成长"),3))*(VLOOKUP($B$5,标准坦克设计!$B$14:$K$20,9)/30))</f>
        <v>15.428863545233099</v>
      </c>
      <c r="CX217" s="172">
        <f ca="1">(VLOOKUP(CX$72,INDIRECT($C$5&amp;"生成成长"),2))/((VLOOKUP($B217,INDIRECT($B$5&amp;"生成成长"),4))/(VLOOKUP(CX$72,INDIRECT($C$5&amp;"生成成长"),5))*(VLOOKUP($B$5,标准坦克设计!$B$24:$U$30,MATCH("对"&amp;LEFT($C$5,2)&amp;"输出",标准坦克设计!$B$23:$U$23,0)))*(VLOOKUP($B217,INDIRECT($B$5&amp;"生成成长"),3))*(VLOOKUP($B$5,标准坦克设计!$B$14:$K$20,9)/30))</f>
        <v>16.471386676870825</v>
      </c>
      <c r="CY217" s="172">
        <f ca="1">(VLOOKUP(CY$72,INDIRECT($C$5&amp;"生成成长"),2))/((VLOOKUP($B217,INDIRECT($B$5&amp;"生成成长"),4))/(VLOOKUP(CY$72,INDIRECT($C$5&amp;"生成成长"),5))*(VLOOKUP($B$5,标准坦克设计!$B$24:$U$30,MATCH("对"&amp;LEFT($C$5,2)&amp;"输出",标准坦克设计!$B$23:$U$23,0)))*(VLOOKUP($B217,INDIRECT($B$5&amp;"生成成长"),3))*(VLOOKUP($B$5,标准坦克设计!$B$14:$K$20,9)/30))</f>
        <v>17.547989316526426</v>
      </c>
      <c r="CZ217" s="172">
        <f ca="1">(VLOOKUP(CZ$72,INDIRECT($C$5&amp;"生成成长"),2))/((VLOOKUP($B217,INDIRECT($B$5&amp;"生成成长"),4))/(VLOOKUP(CZ$72,INDIRECT($C$5&amp;"生成成长"),5))*(VLOOKUP($B$5,标准坦克设计!$B$24:$U$30,MATCH("对"&amp;LEFT($C$5,2)&amp;"输出",标准坦克设计!$B$23:$U$23,0)))*(VLOOKUP($B217,INDIRECT($B$5&amp;"生成成长"),3))*(VLOOKUP($B$5,标准坦克设计!$B$14:$K$20,9)/30))</f>
        <v>18.658671464199898</v>
      </c>
      <c r="DA217" s="172">
        <f ca="1">(VLOOKUP(DA$72,INDIRECT($C$5&amp;"生成成长"),2))/((VLOOKUP($B217,INDIRECT($B$5&amp;"生成成长"),4))/(VLOOKUP(DA$72,INDIRECT($C$5&amp;"生成成长"),5))*(VLOOKUP($B$5,标准坦克设计!$B$24:$U$30,MATCH("对"&amp;LEFT($C$5,2)&amp;"输出",标准坦克设计!$B$23:$U$23,0)))*(VLOOKUP($B217,INDIRECT($B$5&amp;"生成成长"),3))*(VLOOKUP($B$5,标准坦克设计!$B$14:$K$20,9)/30))</f>
        <v>19.803433119891245</v>
      </c>
      <c r="DB217" s="172">
        <f ca="1">(VLOOKUP(DB$72,INDIRECT($C$5&amp;"生成成长"),2))/((VLOOKUP($B217,INDIRECT($B$5&amp;"生成成长"),4))/(VLOOKUP(DB$72,INDIRECT($C$5&amp;"生成成长"),5))*(VLOOKUP($B$5,标准坦克设计!$B$24:$U$30,MATCH("对"&amp;LEFT($C$5,2)&amp;"输出",标准坦克设计!$B$23:$U$23,0)))*(VLOOKUP($B217,INDIRECT($B$5&amp;"生成成长"),3))*(VLOOKUP($B$5,标准坦克设计!$B$14:$K$20,9)/30))</f>
        <v>20.982274283600471</v>
      </c>
      <c r="DC217" s="172">
        <f ca="1">(VLOOKUP(DC$72,INDIRECT($C$5&amp;"生成成长"),2))/((VLOOKUP($B217,INDIRECT($B$5&amp;"生成成长"),4))/(VLOOKUP(DC$72,INDIRECT($C$5&amp;"生成成长"),5))*(VLOOKUP($B$5,标准坦克设计!$B$24:$U$30,MATCH("对"&amp;LEFT($C$5,2)&amp;"输出",标准坦克设计!$B$23:$U$23,0)))*(VLOOKUP($B217,INDIRECT($B$5&amp;"生成成长"),3))*(VLOOKUP($B$5,标准坦克设计!$B$14:$K$20,9)/30))</f>
        <v>22.307150363898682</v>
      </c>
      <c r="DD217" s="172">
        <f ca="1">(VLOOKUP(DD$72,INDIRECT($C$5&amp;"生成成长"),2))/((VLOOKUP($B217,INDIRECT($B$5&amp;"生成成长"),4))/(VLOOKUP(DD$72,INDIRECT($C$5&amp;"生成成长"),5))*(VLOOKUP($B$5,标准坦克设计!$B$24:$U$30,MATCH("对"&amp;LEFT($C$5,2)&amp;"输出",标准坦克设计!$B$23:$U$23,0)))*(VLOOKUP($B217,INDIRECT($B$5&amp;"生成成长"),3))*(VLOOKUP($B$5,标准坦克设计!$B$14:$K$20,9)/30))</f>
        <v>23.67258387522644</v>
      </c>
      <c r="DE217" s="172">
        <f ca="1">(VLOOKUP(DE$72,INDIRECT($C$5&amp;"生成成长"),2))/((VLOOKUP($B217,INDIRECT($B$5&amp;"生成成长"),4))/(VLOOKUP(DE$72,INDIRECT($C$5&amp;"生成成长"),5))*(VLOOKUP($B$5,标准坦克设计!$B$24:$U$30,MATCH("对"&amp;LEFT($C$5,2)&amp;"输出",标准坦克设计!$B$23:$U$23,0)))*(VLOOKUP($B217,INDIRECT($B$5&amp;"生成成长"),3))*(VLOOKUP($B$5,标准坦克设计!$B$14:$K$20,9)/30))</f>
        <v>25.078574817583736</v>
      </c>
      <c r="DF217" s="172">
        <f ca="1">(VLOOKUP(DF$72,INDIRECT($C$5&amp;"生成成长"),2))/((VLOOKUP($B217,INDIRECT($B$5&amp;"生成成长"),4))/(VLOOKUP(DF$72,INDIRECT($C$5&amp;"生成成长"),5))*(VLOOKUP($B$5,标准坦克设计!$B$24:$U$30,MATCH("对"&amp;LEFT($C$5,2)&amp;"输出",标准坦克设计!$B$23:$U$23,0)))*(VLOOKUP($B217,INDIRECT($B$5&amp;"生成成长"),3))*(VLOOKUP($B$5,标准坦克设计!$B$14:$K$20,9)/30))</f>
        <v>26.525123190970564</v>
      </c>
      <c r="DG217" s="172">
        <f ca="1">(VLOOKUP(DG$72,INDIRECT($C$5&amp;"生成成长"),2))/((VLOOKUP($B217,INDIRECT($B$5&amp;"生成成长"),4))/(VLOOKUP(DG$72,INDIRECT($C$5&amp;"生成成长"),5))*(VLOOKUP($B$5,标准坦克设计!$B$24:$U$30,MATCH("对"&amp;LEFT($C$5,2)&amp;"输出",标准坦克设计!$B$23:$U$23,0)))*(VLOOKUP($B217,INDIRECT($B$5&amp;"生成成长"),3))*(VLOOKUP($B$5,标准坦克设计!$B$14:$K$20,9)/30))</f>
        <v>28.012228995386927</v>
      </c>
      <c r="DH217" s="172">
        <f ca="1">(VLOOKUP(DH$72,INDIRECT($C$5&amp;"生成成长"),2))/((VLOOKUP($B217,INDIRECT($B$5&amp;"生成成长"),4))/(VLOOKUP(DH$72,INDIRECT($C$5&amp;"生成成长"),5))*(VLOOKUP($B$5,标准坦克设计!$B$24:$U$30,MATCH("对"&amp;LEFT($C$5,2)&amp;"输出",标准坦克设计!$B$23:$U$23,0)))*(VLOOKUP($B217,INDIRECT($B$5&amp;"生成成长"),3))*(VLOOKUP($B$5,标准坦克设计!$B$14:$K$20,9)/30))</f>
        <v>29.539892230832834</v>
      </c>
      <c r="DI217" s="172">
        <f ca="1">(VLOOKUP(DI$72,INDIRECT($C$5&amp;"生成成长"),2))/((VLOOKUP($B217,INDIRECT($B$5&amp;"生成成长"),4))/(VLOOKUP(DI$72,INDIRECT($C$5&amp;"生成成长"),5))*(VLOOKUP($B$5,标准坦克设计!$B$24:$U$30,MATCH("对"&amp;LEFT($C$5,2)&amp;"输出",标准坦克设计!$B$23:$U$23,0)))*(VLOOKUP($B217,INDIRECT($B$5&amp;"生成成长"),3))*(VLOOKUP($B$5,标准坦克设计!$B$14:$K$20,9)/30))</f>
        <v>31.108112897308274</v>
      </c>
      <c r="DJ217" s="172">
        <f ca="1">(VLOOKUP(DJ$72,INDIRECT($C$5&amp;"生成成长"),2))/((VLOOKUP($B217,INDIRECT($B$5&amp;"生成成长"),4))/(VLOOKUP(DJ$72,INDIRECT($C$5&amp;"生成成长"),5))*(VLOOKUP($B$5,标准坦克设计!$B$24:$U$30,MATCH("对"&amp;LEFT($C$5,2)&amp;"输出",标准坦克设计!$B$23:$U$23,0)))*(VLOOKUP($B217,INDIRECT($B$5&amp;"生成成长"),3))*(VLOOKUP($B$5,标准坦克设计!$B$14:$K$20,9)/30))</f>
        <v>3.1264427996067945</v>
      </c>
      <c r="DK217" s="172">
        <f ca="1">(VLOOKUP(DK$72,INDIRECT($C$5&amp;"生成成长"),2))/((VLOOKUP($B217,INDIRECT($B$5&amp;"生成成长"),4))/(VLOOKUP(DK$72,INDIRECT($C$5&amp;"生成成长"),5))*(VLOOKUP($B$5,标准坦克设计!$B$24:$U$30,MATCH("对"&amp;LEFT($C$5,2)&amp;"输出",标准坦克设计!$B$23:$U$23,0)))*(VLOOKUP($B217,INDIRECT($B$5&amp;"生成成长"),3))*(VLOOKUP($B$5,标准坦克设计!$B$14:$K$20,9)/30))</f>
        <v>3.5155406535464184</v>
      </c>
      <c r="DL217" s="172">
        <f ca="1">(VLOOKUP(DL$72,INDIRECT($C$5&amp;"生成成长"),2))/((VLOOKUP($B217,INDIRECT($B$5&amp;"生成成长"),4))/(VLOOKUP(DL$72,INDIRECT($C$5&amp;"生成成长"),5))*(VLOOKUP($B$5,标准坦克设计!$B$24:$U$30,MATCH("对"&amp;LEFT($C$5,2)&amp;"输出",标准坦克设计!$B$23:$U$23,0)))*(VLOOKUP($B217,INDIRECT($B$5&amp;"生成成长"),3))*(VLOOKUP($B$5,标准坦克设计!$B$14:$K$20,9)/30))</f>
        <v>3.9274520624401563</v>
      </c>
      <c r="DM217" s="172">
        <f ca="1">(VLOOKUP(DM$72,INDIRECT($C$5&amp;"生成成长"),2))/((VLOOKUP($B217,INDIRECT($B$5&amp;"生成成长"),4))/(VLOOKUP(DM$72,INDIRECT($C$5&amp;"生成成长"),5))*(VLOOKUP($B$5,标准坦克设计!$B$24:$U$30,MATCH("对"&amp;LEFT($C$5,2)&amp;"输出",标准坦克设计!$B$23:$U$23,0)))*(VLOOKUP($B217,INDIRECT($B$5&amp;"生成成长"),3))*(VLOOKUP($B$5,标准坦克设计!$B$14:$K$20,9)/30))</f>
        <v>4.3621770262880082</v>
      </c>
      <c r="DN217" s="172">
        <f ca="1">(VLOOKUP(DN$72,INDIRECT($C$5&amp;"生成成长"),2))/((VLOOKUP($B217,INDIRECT($B$5&amp;"生成成长"),4))/(VLOOKUP(DN$72,INDIRECT($C$5&amp;"生成成长"),5))*(VLOOKUP($B$5,标准坦克设计!$B$24:$U$30,MATCH("对"&amp;LEFT($C$5,2)&amp;"输出",标准坦克设计!$B$23:$U$23,0)))*(VLOOKUP($B217,INDIRECT($B$5&amp;"生成成长"),3))*(VLOOKUP($B$5,标准坦克设计!$B$14:$K$20,9)/30))</f>
        <v>4.8197155450899762</v>
      </c>
      <c r="DO217" s="172">
        <f ca="1">(VLOOKUP(DO$72,INDIRECT($C$5&amp;"生成成长"),2))/((VLOOKUP($B217,INDIRECT($B$5&amp;"生成成长"),4))/(VLOOKUP(DO$72,INDIRECT($C$5&amp;"生成成长"),5))*(VLOOKUP($B$5,标准坦克设计!$B$24:$U$30,MATCH("对"&amp;LEFT($C$5,2)&amp;"输出",标准坦克设计!$B$23:$U$23,0)))*(VLOOKUP($B217,INDIRECT($B$5&amp;"生成成长"),3))*(VLOOKUP($B$5,标准坦克设计!$B$14:$K$20,9)/30))</f>
        <v>5.3000676188460583</v>
      </c>
      <c r="DP217" s="172">
        <f ca="1">(VLOOKUP(DP$72,INDIRECT($C$5&amp;"生成成长"),2))/((VLOOKUP($B217,INDIRECT($B$5&amp;"生成成长"),4))/(VLOOKUP(DP$72,INDIRECT($C$5&amp;"生成成长"),5))*(VLOOKUP($B$5,标准坦克设计!$B$24:$U$30,MATCH("对"&amp;LEFT($C$5,2)&amp;"输出",标准坦克设计!$B$23:$U$23,0)))*(VLOOKUP($B217,INDIRECT($B$5&amp;"生成成长"),3))*(VLOOKUP($B$5,标准坦克设计!$B$14:$K$20,9)/30))</f>
        <v>5.8032332475562542</v>
      </c>
      <c r="DQ217" s="172">
        <f ca="1">(VLOOKUP(DQ$72,INDIRECT($C$5&amp;"生成成长"),2))/((VLOOKUP($B217,INDIRECT($B$5&amp;"生成成长"),4))/(VLOOKUP(DQ$72,INDIRECT($C$5&amp;"生成成长"),5))*(VLOOKUP($B$5,标准坦克设计!$B$24:$U$30,MATCH("对"&amp;LEFT($C$5,2)&amp;"输出",标准坦克设计!$B$23:$U$23,0)))*(VLOOKUP($B217,INDIRECT($B$5&amp;"生成成长"),3))*(VLOOKUP($B$5,标准坦克设计!$B$14:$K$20,9)/30))</f>
        <v>6.329212431220566</v>
      </c>
      <c r="DR217" s="172">
        <f ca="1">(VLOOKUP(DR$72,INDIRECT($C$5&amp;"生成成长"),2))/((VLOOKUP($B217,INDIRECT($B$5&amp;"生成成长"),4))/(VLOOKUP(DR$72,INDIRECT($C$5&amp;"生成成长"),5))*(VLOOKUP($B$5,标准坦克设计!$B$24:$U$30,MATCH("对"&amp;LEFT($C$5,2)&amp;"输出",标准坦克设计!$B$23:$U$23,0)))*(VLOOKUP($B217,INDIRECT($B$5&amp;"生成成长"),3))*(VLOOKUP($B$5,标准坦克设计!$B$14:$K$20,9)/30))</f>
        <v>6.8780051698389935</v>
      </c>
      <c r="DS217" s="172">
        <f ca="1">(VLOOKUP(DS$72,INDIRECT($C$5&amp;"生成成长"),2))/((VLOOKUP($B217,INDIRECT($B$5&amp;"生成成长"),4))/(VLOOKUP(DS$72,INDIRECT($C$5&amp;"生成成长"),5))*(VLOOKUP($B$5,标准坦克设计!$B$24:$U$30,MATCH("对"&amp;LEFT($C$5,2)&amp;"输出",标准坦克设计!$B$23:$U$23,0)))*(VLOOKUP($B217,INDIRECT($B$5&amp;"生成成长"),3))*(VLOOKUP($B$5,标准坦克设计!$B$14:$K$20,9)/30))</f>
        <v>7.4496114634115322</v>
      </c>
      <c r="DT217" s="172">
        <f ca="1">(VLOOKUP(DT$72,INDIRECT($C$5&amp;"生成成长"),2))/((VLOOKUP($B217,INDIRECT($B$5&amp;"生成成长"),4))/(VLOOKUP(DT$72,INDIRECT($C$5&amp;"生成成长"),5))*(VLOOKUP($B$5,标准坦克设计!$B$24:$U$30,MATCH("对"&amp;LEFT($C$5,2)&amp;"输出",标准坦克设计!$B$23:$U$23,0)))*(VLOOKUP($B217,INDIRECT($B$5&amp;"生成成长"),3))*(VLOOKUP($B$5,标准坦克设计!$B$14:$K$20,9)/30))</f>
        <v>8.1792227487033138</v>
      </c>
      <c r="DU217" s="172">
        <f ca="1">(VLOOKUP(DU$72,INDIRECT($C$5&amp;"生成成长"),2))/((VLOOKUP($B217,INDIRECT($B$5&amp;"生成成长"),4))/(VLOOKUP(DU$72,INDIRECT($C$5&amp;"生成成长"),5))*(VLOOKUP($B$5,标准坦克设计!$B$24:$U$30,MATCH("对"&amp;LEFT($C$5,2)&amp;"输出",标准坦克设计!$B$23:$U$23,0)))*(VLOOKUP($B217,INDIRECT($B$5&amp;"生成成长"),3))*(VLOOKUP($B$5,标准坦克设计!$B$14:$K$20,9)/30))</f>
        <v>8.9429135420129686</v>
      </c>
      <c r="DV217" s="172">
        <f ca="1">(VLOOKUP(DV$72,INDIRECT($C$5&amp;"生成成长"),2))/((VLOOKUP($B217,INDIRECT($B$5&amp;"生成成长"),4))/(VLOOKUP(DV$72,INDIRECT($C$5&amp;"生成成长"),5))*(VLOOKUP($B$5,标准坦克设计!$B$24:$U$30,MATCH("对"&amp;LEFT($C$5,2)&amp;"输出",标准坦克设计!$B$23:$U$23,0)))*(VLOOKUP($B217,INDIRECT($B$5&amp;"生成成长"),3))*(VLOOKUP($B$5,标准坦克设计!$B$14:$K$20,9)/30))</f>
        <v>9.7406838433404985</v>
      </c>
      <c r="DW217" s="172">
        <f ca="1">(VLOOKUP(DW$72,INDIRECT($C$5&amp;"生成成长"),2))/((VLOOKUP($B217,INDIRECT($B$5&amp;"生成成长"),4))/(VLOOKUP(DW$72,INDIRECT($C$5&amp;"生成成长"),5))*(VLOOKUP($B$5,标准坦克设计!$B$24:$U$30,MATCH("对"&amp;LEFT($C$5,2)&amp;"输出",标准坦克设计!$B$23:$U$23,0)))*(VLOOKUP($B217,INDIRECT($B$5&amp;"生成成长"),3))*(VLOOKUP($B$5,标准坦克设计!$B$14:$K$20,9)/30))</f>
        <v>10.572533652685904</v>
      </c>
      <c r="DX217" s="172">
        <f ca="1">(VLOOKUP(DX$72,INDIRECT($C$5&amp;"生成成长"),2))/((VLOOKUP($B217,INDIRECT($B$5&amp;"生成成长"),4))/(VLOOKUP(DX$72,INDIRECT($C$5&amp;"生成成长"),5))*(VLOOKUP($B$5,标准坦克设计!$B$24:$U$30,MATCH("对"&amp;LEFT($C$5,2)&amp;"输出",标准坦克设计!$B$23:$U$23,0)))*(VLOOKUP($B217,INDIRECT($B$5&amp;"生成成长"),3))*(VLOOKUP($B$5,标准坦克设计!$B$14:$K$20,9)/30))</f>
        <v>11.438462970049182</v>
      </c>
      <c r="DY217" s="172">
        <f ca="1">(VLOOKUP(DY$72,INDIRECT($C$5&amp;"生成成长"),2))/((VLOOKUP($B217,INDIRECT($B$5&amp;"生成成长"),4))/(VLOOKUP(DY$72,INDIRECT($C$5&amp;"生成成长"),5))*(VLOOKUP($B$5,标准坦克设计!$B$24:$U$30,MATCH("对"&amp;LEFT($C$5,2)&amp;"输出",标准坦克设计!$B$23:$U$23,0)))*(VLOOKUP($B217,INDIRECT($B$5&amp;"生成成长"),3))*(VLOOKUP($B$5,标准坦克设计!$B$14:$K$20,9)/30))</f>
        <v>5.1374154214880168</v>
      </c>
      <c r="DZ217" s="172">
        <f ca="1">(VLOOKUP(DZ$72,INDIRECT($C$5&amp;"生成成长"),2))/((VLOOKUP($B217,INDIRECT($B$5&amp;"生成成长"),4))/(VLOOKUP(DZ$72,INDIRECT($C$5&amp;"生成成长"),5))*(VLOOKUP($B$5,标准坦克设计!$B$24:$U$30,MATCH("对"&amp;LEFT($C$5,2)&amp;"输出",标准坦克设计!$B$23:$U$23,0)))*(VLOOKUP($B217,INDIRECT($B$5&amp;"生成成长"),3))*(VLOOKUP($B$5,标准坦克设计!$B$14:$K$20,9)/30))</f>
        <v>5.6894471216122753</v>
      </c>
      <c r="EA217" s="172">
        <f ca="1">(VLOOKUP(EA$72,INDIRECT($C$5&amp;"生成成长"),2))/((VLOOKUP($B217,INDIRECT($B$5&amp;"生成成长"),4))/(VLOOKUP(EA$72,INDIRECT($C$5&amp;"生成成长"),5))*(VLOOKUP($B$5,标准坦克设计!$B$24:$U$30,MATCH("对"&amp;LEFT($C$5,2)&amp;"输出",标准坦克设计!$B$23:$U$23,0)))*(VLOOKUP($B217,INDIRECT($B$5&amp;"生成成长"),3))*(VLOOKUP($B$5,标准坦克设计!$B$14:$K$20,9)/30))</f>
        <v>6.2696437043959339</v>
      </c>
      <c r="EB217" s="172">
        <f ca="1">(VLOOKUP(EB$72,INDIRECT($C$5&amp;"生成成长"),2))/((VLOOKUP($B217,INDIRECT($B$5&amp;"生成成长"),4))/(VLOOKUP(EB$72,INDIRECT($C$5&amp;"生成成长"),5))*(VLOOKUP($B$5,标准坦克设计!$B$24:$U$30,MATCH("对"&amp;LEFT($C$5,2)&amp;"输出",标准坦克设计!$B$23:$U$23,0)))*(VLOOKUP($B217,INDIRECT($B$5&amp;"生成成长"),3))*(VLOOKUP($B$5,标准坦克设计!$B$14:$K$20,9)/30))</f>
        <v>6.8780051698389935</v>
      </c>
      <c r="EC217" s="172">
        <f ca="1">(VLOOKUP(EC$72,INDIRECT($C$5&amp;"生成成长"),2))/((VLOOKUP($B217,INDIRECT($B$5&amp;"生成成长"),4))/(VLOOKUP(EC$72,INDIRECT($C$5&amp;"生成成长"),5))*(VLOOKUP($B$5,标准坦克设计!$B$24:$U$30,MATCH("对"&amp;LEFT($C$5,2)&amp;"输出",标准坦克设计!$B$23:$U$23,0)))*(VLOOKUP($B217,INDIRECT($B$5&amp;"生成成长"),3))*(VLOOKUP($B$5,标准坦克设计!$B$14:$K$20,9)/30))</f>
        <v>7.5145315179414522</v>
      </c>
      <c r="ED217" s="172">
        <f ca="1">(VLOOKUP(ED$72,INDIRECT($C$5&amp;"生成成长"),2))/((VLOOKUP($B217,INDIRECT($B$5&amp;"生成成长"),4))/(VLOOKUP(ED$72,INDIRECT($C$5&amp;"生成成长"),5))*(VLOOKUP($B$5,标准坦克设计!$B$24:$U$30,MATCH("对"&amp;LEFT($C$5,2)&amp;"输出",标准坦克设计!$B$23:$U$23,0)))*(VLOOKUP($B217,INDIRECT($B$5&amp;"生成成长"),3))*(VLOOKUP($B$5,标准坦克设计!$B$14:$K$20,9)/30))</f>
        <v>8.1792227487033138</v>
      </c>
      <c r="EE217" s="172">
        <f ca="1">(VLOOKUP(EE$72,INDIRECT($C$5&amp;"生成成长"),2))/((VLOOKUP($B217,INDIRECT($B$5&amp;"生成成长"),4))/(VLOOKUP(EE$72,INDIRECT($C$5&amp;"生成成长"),5))*(VLOOKUP($B$5,标准坦克设计!$B$24:$U$30,MATCH("对"&amp;LEFT($C$5,2)&amp;"输出",标准坦克设计!$B$23:$U$23,0)))*(VLOOKUP($B217,INDIRECT($B$5&amp;"生成成长"),3))*(VLOOKUP($B$5,标准坦克设计!$B$14:$K$20,9)/30))</f>
        <v>8.8720788621245763</v>
      </c>
      <c r="EF217" s="172">
        <f ca="1">(VLOOKUP(EF$72,INDIRECT($C$5&amp;"生成成长"),2))/((VLOOKUP($B217,INDIRECT($B$5&amp;"生成成长"),4))/(VLOOKUP(EF$72,INDIRECT($C$5&amp;"生成成长"),5))*(VLOOKUP($B$5,标准坦克设计!$B$24:$U$30,MATCH("对"&amp;LEFT($C$5,2)&amp;"输出",标准坦克设计!$B$23:$U$23,0)))*(VLOOKUP($B217,INDIRECT($B$5&amp;"生成成长"),3))*(VLOOKUP($B$5,标准坦克设计!$B$14:$K$20,9)/30))</f>
        <v>9.5930998582052371</v>
      </c>
      <c r="EG217" s="172">
        <f ca="1">(VLOOKUP(EG$72,INDIRECT($C$5&amp;"生成成长"),2))/((VLOOKUP($B217,INDIRECT($B$5&amp;"生成成长"),4))/(VLOOKUP(EG$72,INDIRECT($C$5&amp;"生成成长"),5))*(VLOOKUP($B$5,标准坦克设计!$B$24:$U$30,MATCH("对"&amp;LEFT($C$5,2)&amp;"输出",标准坦克设计!$B$23:$U$23,0)))*(VLOOKUP($B217,INDIRECT($B$5&amp;"生成成长"),3))*(VLOOKUP($B$5,标准坦克设计!$B$14:$K$20,9)/30))</f>
        <v>10.342285736945302</v>
      </c>
      <c r="EH217" s="172">
        <f ca="1">(VLOOKUP(EH$72,INDIRECT($C$5&amp;"生成成长"),2))/((VLOOKUP($B217,INDIRECT($B$5&amp;"生成成长"),4))/(VLOOKUP(EH$72,INDIRECT($C$5&amp;"生成成长"),5))*(VLOOKUP($B$5,标准坦克设计!$B$24:$U$30,MATCH("对"&amp;LEFT($C$5,2)&amp;"输出",标准坦克设计!$B$23:$U$23,0)))*(VLOOKUP($B217,INDIRECT($B$5&amp;"生成成长"),3))*(VLOOKUP($B$5,标准坦克设计!$B$14:$K$20,9)/30))</f>
        <v>11.119636498344766</v>
      </c>
      <c r="EI217" s="172">
        <f ca="1">(VLOOKUP(EI$72,INDIRECT($C$5&amp;"生成成长"),2))/((VLOOKUP($B217,INDIRECT($B$5&amp;"生成成长"),4))/(VLOOKUP(EI$72,INDIRECT($C$5&amp;"生成成长"),5))*(VLOOKUP($B$5,标准坦克设计!$B$24:$U$30,MATCH("对"&amp;LEFT($C$5,2)&amp;"输出",标准坦克设计!$B$23:$U$23,0)))*(VLOOKUP($B217,INDIRECT($B$5&amp;"生成成长"),3))*(VLOOKUP($B$5,标准坦克设计!$B$14:$K$20,9)/30))</f>
        <v>11.925152142403633</v>
      </c>
      <c r="EJ217" s="172">
        <f ca="1">(VLOOKUP(EJ$72,INDIRECT($C$5&amp;"生成成长"),2))/((VLOOKUP($B217,INDIRECT($B$5&amp;"生成成长"),4))/(VLOOKUP(EJ$72,INDIRECT($C$5&amp;"生成成长"),5))*(VLOOKUP($B$5,标准坦克设计!$B$24:$U$30,MATCH("对"&amp;LEFT($C$5,2)&amp;"输出",标准坦克设计!$B$23:$U$23,0)))*(VLOOKUP($B217,INDIRECT($B$5&amp;"生成成长"),3))*(VLOOKUP($B$5,标准坦克设计!$B$14:$K$20,9)/30))</f>
        <v>12.758832669121896</v>
      </c>
      <c r="EK217" s="172">
        <f ca="1">(VLOOKUP(EK$72,INDIRECT($C$5&amp;"生成成长"),2))/((VLOOKUP($B217,INDIRECT($B$5&amp;"生成成长"),4))/(VLOOKUP(EK$72,INDIRECT($C$5&amp;"生成成长"),5))*(VLOOKUP($B$5,标准坦克设计!$B$24:$U$30,MATCH("对"&amp;LEFT($C$5,2)&amp;"输出",标准坦克设计!$B$23:$U$23,0)))*(VLOOKUP($B217,INDIRECT($B$5&amp;"生成成长"),3))*(VLOOKUP($B$5,标准坦克设计!$B$14:$K$20,9)/30))</f>
        <v>13.796426946294226</v>
      </c>
      <c r="EL217" s="172">
        <f ca="1">(VLOOKUP(EL$72,INDIRECT($C$5&amp;"生成成长"),2))/((VLOOKUP($B217,INDIRECT($B$5&amp;"生成成长"),4))/(VLOOKUP(EL$72,INDIRECT($C$5&amp;"生成成长"),5))*(VLOOKUP($B$5,标准坦克设计!$B$24:$U$30,MATCH("对"&amp;LEFT($C$5,2)&amp;"输出",标准坦克设计!$B$23:$U$23,0)))*(VLOOKUP($B217,INDIRECT($B$5&amp;"生成成长"),3))*(VLOOKUP($B$5,标准坦克设计!$B$14:$K$20,9)/30))</f>
        <v>14.874578654496089</v>
      </c>
      <c r="EM217" s="172">
        <f ca="1">(VLOOKUP(EM$72,INDIRECT($C$5&amp;"生成成长"),2))/((VLOOKUP($B217,INDIRECT($B$5&amp;"生成成长"),4))/(VLOOKUP(EM$72,INDIRECT($C$5&amp;"生成成长"),5))*(VLOOKUP($B$5,标准坦克设计!$B$24:$U$30,MATCH("对"&amp;LEFT($C$5,2)&amp;"输出",标准坦克设计!$B$23:$U$23,0)))*(VLOOKUP($B217,INDIRECT($B$5&amp;"生成成长"),3))*(VLOOKUP($B$5,标准坦克设计!$B$14:$K$20,9)/30))</f>
        <v>15.993287793727493</v>
      </c>
      <c r="EN217" s="172">
        <f ca="1">(VLOOKUP(EN$72,INDIRECT($C$5&amp;"生成成长"),2))/((VLOOKUP($B217,INDIRECT($B$5&amp;"生成成长"),4))/(VLOOKUP(EN$72,INDIRECT($C$5&amp;"生成成长"),5))*(VLOOKUP($B$5,标准坦克设计!$B$24:$U$30,MATCH("对"&amp;LEFT($C$5,2)&amp;"输出",标准坦克设计!$B$23:$U$23,0)))*(VLOOKUP($B217,INDIRECT($B$5&amp;"生成成长"),3))*(VLOOKUP($B$5,标准坦克设计!$B$14:$K$20,9)/30))</f>
        <v>17.152554363988433</v>
      </c>
      <c r="EO217" s="172">
        <f ca="1">(VLOOKUP(EO$72,INDIRECT($C$5&amp;"生成成长"),2))/((VLOOKUP($B217,INDIRECT($B$5&amp;"生成成长"),4))/(VLOOKUP(EO$72,INDIRECT($C$5&amp;"生成成长"),5))*(VLOOKUP($B$5,标准坦克设计!$B$24:$U$30,MATCH("对"&amp;LEFT($C$5,2)&amp;"输出",标准坦克设计!$B$23:$U$23,0)))*(VLOOKUP($B217,INDIRECT($B$5&amp;"生成成长"),3))*(VLOOKUP($B$5,标准坦克设计!$B$14:$K$20,9)/30))</f>
        <v>18.352378365278916</v>
      </c>
      <c r="EP217" s="172">
        <f ca="1">(VLOOKUP(EP$72,INDIRECT($C$5&amp;"生成成长"),2))/((VLOOKUP($B217,INDIRECT($B$5&amp;"生成成长"),4))/(VLOOKUP(EP$72,INDIRECT($C$5&amp;"生成成长"),5))*(VLOOKUP($B$5,标准坦克设计!$B$24:$U$30,MATCH("对"&amp;LEFT($C$5,2)&amp;"输出",标准坦克设计!$B$23:$U$23,0)))*(VLOOKUP($B217,INDIRECT($B$5&amp;"生成成长"),3))*(VLOOKUP($B$5,标准坦克设计!$B$14:$K$20,9)/30))</f>
        <v>19.592759797598926</v>
      </c>
      <c r="EQ217" s="172">
        <f ca="1">(VLOOKUP(EQ$72,INDIRECT($C$5&amp;"生成成长"),2))/((VLOOKUP($B217,INDIRECT($B$5&amp;"生成成长"),4))/(VLOOKUP(EQ$72,INDIRECT($C$5&amp;"生成成长"),5))*(VLOOKUP($B$5,标准坦克设计!$B$24:$U$30,MATCH("对"&amp;LEFT($C$5,2)&amp;"输出",标准坦克设计!$B$23:$U$23,0)))*(VLOOKUP($B217,INDIRECT($B$5&amp;"生成成长"),3))*(VLOOKUP($B$5,标准坦克设计!$B$14:$K$20,9)/30))</f>
        <v>8.6612647154189606</v>
      </c>
      <c r="ER217" s="172">
        <f ca="1">(VLOOKUP(ER$72,INDIRECT($C$5&amp;"生成成长"),2))/((VLOOKUP($B217,INDIRECT($B$5&amp;"生成成长"),4))/(VLOOKUP(ER$72,INDIRECT($C$5&amp;"生成成长"),5))*(VLOOKUP($B$5,标准坦克设计!$B$24:$U$30,MATCH("对"&amp;LEFT($C$5,2)&amp;"输出",标准坦克设计!$B$23:$U$23,0)))*(VLOOKUP($B217,INDIRECT($B$5&amp;"生成成长"),3))*(VLOOKUP($B$5,标准坦克设计!$B$14:$K$20,9)/30))</f>
        <v>9.4466424683763517</v>
      </c>
      <c r="ES217" s="172">
        <f ca="1">(VLOOKUP(ES$72,INDIRECT($C$5&amp;"生成成长"),2))/((VLOOKUP($B217,INDIRECT($B$5&amp;"生成成长"),4))/(VLOOKUP(ES$72,INDIRECT($C$5&amp;"生成成长"),5))*(VLOOKUP($B$5,标准坦克设计!$B$24:$U$30,MATCH("对"&amp;LEFT($C$5,2)&amp;"输出",标准坦克设计!$B$23:$U$23,0)))*(VLOOKUP($B217,INDIRECT($B$5&amp;"生成成长"),3))*(VLOOKUP($B$5,标准坦克设计!$B$14:$K$20,9)/30))</f>
        <v>10.266099729351621</v>
      </c>
      <c r="ET217" s="172">
        <f ca="1">(VLOOKUP(ET$72,INDIRECT($C$5&amp;"生成成长"),2))/((VLOOKUP($B217,INDIRECT($B$5&amp;"生成成长"),4))/(VLOOKUP(ET$72,INDIRECT($C$5&amp;"生成成长"),5))*(VLOOKUP($B$5,标准坦克设计!$B$24:$U$30,MATCH("对"&amp;LEFT($C$5,2)&amp;"输出",标准坦克设计!$B$23:$U$23,0)))*(VLOOKUP($B217,INDIRECT($B$5&amp;"生成成长"),3))*(VLOOKUP($B$5,标准坦克设计!$B$14:$K$20,9)/30))</f>
        <v>11.119636498344766</v>
      </c>
      <c r="EU217" s="172">
        <f ca="1">(VLOOKUP(EU$72,INDIRECT($C$5&amp;"生成成长"),2))/((VLOOKUP($B217,INDIRECT($B$5&amp;"生成成长"),4))/(VLOOKUP(EU$72,INDIRECT($C$5&amp;"生成成长"),5))*(VLOOKUP($B$5,标准坦克设计!$B$24:$U$30,MATCH("对"&amp;LEFT($C$5,2)&amp;"输出",标准坦克设计!$B$23:$U$23,0)))*(VLOOKUP($B217,INDIRECT($B$5&amp;"生成成长"),3))*(VLOOKUP($B$5,标准坦克设计!$B$14:$K$20,9)/30))</f>
        <v>12.007252775355786</v>
      </c>
      <c r="EV217" s="172">
        <f ca="1">(VLOOKUP(EV$72,INDIRECT($C$5&amp;"生成成长"),2))/((VLOOKUP($B217,INDIRECT($B$5&amp;"生成成长"),4))/(VLOOKUP(EV$72,INDIRECT($C$5&amp;"生成成长"),5))*(VLOOKUP($B$5,标准坦克设计!$B$24:$U$30,MATCH("对"&amp;LEFT($C$5,2)&amp;"输出",标准坦克设计!$B$23:$U$23,0)))*(VLOOKUP($B217,INDIRECT($B$5&amp;"生成成长"),3))*(VLOOKUP($B$5,标准坦克设计!$B$14:$K$20,9)/30))</f>
        <v>12.928948560384679</v>
      </c>
      <c r="EW217" s="172">
        <f ca="1">(VLOOKUP(EW$72,INDIRECT($C$5&amp;"生成成长"),2))/((VLOOKUP($B217,INDIRECT($B$5&amp;"生成成长"),4))/(VLOOKUP(EW$72,INDIRECT($C$5&amp;"生成成长"),5))*(VLOOKUP($B$5,标准坦克设计!$B$24:$U$30,MATCH("对"&amp;LEFT($C$5,2)&amp;"输出",标准坦克设计!$B$23:$U$23,0)))*(VLOOKUP($B217,INDIRECT($B$5&amp;"生成成长"),3))*(VLOOKUP($B$5,标准坦克设计!$B$14:$K$20,9)/30))</f>
        <v>13.884723853431444</v>
      </c>
      <c r="EX217" s="172">
        <f ca="1">(VLOOKUP(EX$72,INDIRECT($C$5&amp;"生成成长"),2))/((VLOOKUP($B217,INDIRECT($B$5&amp;"生成成长"),4))/(VLOOKUP(EX$72,INDIRECT($C$5&amp;"生成成长"),5))*(VLOOKUP($B$5,标准坦克设计!$B$24:$U$30,MATCH("对"&amp;LEFT($C$5,2)&amp;"输出",标准坦克设计!$B$23:$U$23,0)))*(VLOOKUP($B217,INDIRECT($B$5&amp;"生成成长"),3))*(VLOOKUP($B$5,标准坦克设计!$B$14:$K$20,9)/30))</f>
        <v>14.874578654496089</v>
      </c>
      <c r="EY217" s="172">
        <f ca="1">(VLOOKUP(EY$72,INDIRECT($C$5&amp;"生成成长"),2))/((VLOOKUP($B217,INDIRECT($B$5&amp;"生成成长"),4))/(VLOOKUP(EY$72,INDIRECT($C$5&amp;"生成成长"),5))*(VLOOKUP($B$5,标准坦克设计!$B$24:$U$30,MATCH("对"&amp;LEFT($C$5,2)&amp;"输出",标准坦克设计!$B$23:$U$23,0)))*(VLOOKUP($B217,INDIRECT($B$5&amp;"生成成长"),3))*(VLOOKUP($B$5,标准坦克设计!$B$14:$K$20,9)/30))</f>
        <v>15.898512963578611</v>
      </c>
      <c r="EZ217" s="172">
        <f ca="1">(VLOOKUP(EZ$72,INDIRECT($C$5&amp;"生成成长"),2))/((VLOOKUP($B217,INDIRECT($B$5&amp;"生成成长"),4))/(VLOOKUP(EZ$72,INDIRECT($C$5&amp;"生成成长"),5))*(VLOOKUP($B$5,标准坦克设计!$B$24:$U$30,MATCH("对"&amp;LEFT($C$5,2)&amp;"输出",标准坦克设计!$B$23:$U$23,0)))*(VLOOKUP($B217,INDIRECT($B$5&amp;"生成成长"),3))*(VLOOKUP($B$5,标准坦克设计!$B$14:$K$20,9)/30))</f>
        <v>16.956526780679006</v>
      </c>
      <c r="FA217" s="172">
        <f ca="1">(VLOOKUP(FA$72,INDIRECT($C$5&amp;"生成成长"),2))/((VLOOKUP($B217,INDIRECT($B$5&amp;"生成成长"),4))/(VLOOKUP(FA$72,INDIRECT($C$5&amp;"生成成长"),5))*(VLOOKUP($B$5,标准坦克设计!$B$24:$U$30,MATCH("对"&amp;LEFT($C$5,2)&amp;"输出",标准坦克设计!$B$23:$U$23,0)))*(VLOOKUP($B217,INDIRECT($B$5&amp;"生成成长"),3))*(VLOOKUP($B$5,标准坦克设计!$B$14:$K$20,9)/30))</f>
        <v>18.048620105797273</v>
      </c>
      <c r="FB217" s="172">
        <f ca="1">(VLOOKUP(FB$72,INDIRECT($C$5&amp;"生成成长"),2))/((VLOOKUP($B217,INDIRECT($B$5&amp;"生成成长"),4))/(VLOOKUP(FB$72,INDIRECT($C$5&amp;"生成成长"),5))*(VLOOKUP($B$5,标准坦克设计!$B$24:$U$30,MATCH("对"&amp;LEFT($C$5,2)&amp;"输出",标准坦克设计!$B$23:$U$23,0)))*(VLOOKUP($B217,INDIRECT($B$5&amp;"生成成长"),3))*(VLOOKUP($B$5,标准坦克设计!$B$14:$K$20,9)/30))</f>
        <v>19.174792938933418</v>
      </c>
      <c r="FC217" s="172">
        <f ca="1">(VLOOKUP(FC$72,INDIRECT($C$5&amp;"生成成长"),2))/((VLOOKUP($B217,INDIRECT($B$5&amp;"生成成长"),4))/(VLOOKUP(FC$72,INDIRECT($C$5&amp;"生成成长"),5))*(VLOOKUP($B$5,标准坦克设计!$B$24:$U$30,MATCH("对"&amp;LEFT($C$5,2)&amp;"输出",标准坦克设计!$B$23:$U$23,0)))*(VLOOKUP($B217,INDIRECT($B$5&amp;"生成成长"),3))*(VLOOKUP($B$5,标准坦克设计!$B$14:$K$20,9)/30))</f>
        <v>20.335045280087435</v>
      </c>
      <c r="FD217" s="172">
        <f ca="1">(VLOOKUP(FD$72,INDIRECT($C$5&amp;"生成成长"),2))/((VLOOKUP($B217,INDIRECT($B$5&amp;"生成成长"),4))/(VLOOKUP(FD$72,INDIRECT($C$5&amp;"生成成长"),5))*(VLOOKUP($B$5,标准坦克设计!$B$24:$U$30,MATCH("对"&amp;LEFT($C$5,2)&amp;"输出",标准坦克设计!$B$23:$U$23,0)))*(VLOOKUP($B217,INDIRECT($B$5&amp;"生成成长"),3))*(VLOOKUP($B$5,标准坦克设计!$B$14:$K$20,9)/30))</f>
        <v>21.529377129259331</v>
      </c>
      <c r="FE217" s="172">
        <f ca="1">(VLOOKUP(FE$72,INDIRECT($C$5&amp;"生成成长"),2))/((VLOOKUP($B217,INDIRECT($B$5&amp;"生成成长"),4))/(VLOOKUP(FE$72,INDIRECT($C$5&amp;"生成成长"),5))*(VLOOKUP($B$5,标准坦克设计!$B$24:$U$30,MATCH("对"&amp;LEFT($C$5,2)&amp;"输出",标准坦克设计!$B$23:$U$23,0)))*(VLOOKUP($B217,INDIRECT($B$5&amp;"生成成长"),3))*(VLOOKUP($B$5,标准坦克设计!$B$14:$K$20,9)/30))</f>
        <v>22.98479744068387</v>
      </c>
      <c r="FF217" s="172">
        <f ca="1">(VLOOKUP(FF$72,INDIRECT($C$5&amp;"生成成长"),2))/((VLOOKUP($B217,INDIRECT($B$5&amp;"生成成长"),4))/(VLOOKUP(FF$72,INDIRECT($C$5&amp;"生成成长"),5))*(VLOOKUP($B$5,标准坦克设计!$B$24:$U$30,MATCH("对"&amp;LEFT($C$5,2)&amp;"输出",标准坦克设计!$B$23:$U$23,0)))*(VLOOKUP($B217,INDIRECT($B$5&amp;"生成成长"),3))*(VLOOKUP($B$5,标准坦克设计!$B$14:$K$20,9)/30))</f>
        <v>24.4878164038028</v>
      </c>
      <c r="FG217" s="172">
        <f ca="1">(VLOOKUP(FG$72,INDIRECT($C$5&amp;"生成成长"),2))/((VLOOKUP($B217,INDIRECT($B$5&amp;"生成成长"),4))/(VLOOKUP(FG$72,INDIRECT($C$5&amp;"生成成长"),5))*(VLOOKUP($B$5,标准坦克设计!$B$24:$U$30,MATCH("对"&amp;LEFT($C$5,2)&amp;"输出",标准坦克设计!$B$23:$U$23,0)))*(VLOOKUP($B217,INDIRECT($B$5&amp;"生成成长"),3))*(VLOOKUP($B$5,标准坦克设计!$B$14:$K$20,9)/30))</f>
        <v>26.038434018616112</v>
      </c>
      <c r="FH217" s="172">
        <f ca="1">(VLOOKUP(FH$72,INDIRECT($C$5&amp;"生成成长"),2))/((VLOOKUP($B217,INDIRECT($B$5&amp;"生成成长"),4))/(VLOOKUP(FH$72,INDIRECT($C$5&amp;"生成成长"),5))*(VLOOKUP($B$5,标准坦克设计!$B$24:$U$30,MATCH("对"&amp;LEFT($C$5,2)&amp;"输出",标准坦克设计!$B$23:$U$23,0)))*(VLOOKUP($B217,INDIRECT($B$5&amp;"生成成长"),3))*(VLOOKUP($B$5,标准坦克设计!$B$14:$K$20,9)/30))</f>
        <v>27.636650285123821</v>
      </c>
      <c r="FI217" s="172">
        <f ca="1">(VLOOKUP(FI$72,INDIRECT($C$5&amp;"生成成长"),2))/((VLOOKUP($B217,INDIRECT($B$5&amp;"生成成长"),4))/(VLOOKUP(FI$72,INDIRECT($C$5&amp;"生成成长"),5))*(VLOOKUP($B$5,标准坦克设计!$B$24:$U$30,MATCH("对"&amp;LEFT($C$5,2)&amp;"输出",标准坦克设计!$B$23:$U$23,0)))*(VLOOKUP($B217,INDIRECT($B$5&amp;"生成成长"),3))*(VLOOKUP($B$5,标准坦克设计!$B$14:$K$20,9)/30))</f>
        <v>29.282465203325909</v>
      </c>
      <c r="FJ217" s="172">
        <f ca="1">(VLOOKUP(FJ$72,INDIRECT($C$5&amp;"生成成长"),2))/((VLOOKUP($B217,INDIRECT($B$5&amp;"生成成长"),4))/(VLOOKUP(FJ$72,INDIRECT($C$5&amp;"生成成长"),5))*(VLOOKUP($B$5,标准坦克设计!$B$24:$U$30,MATCH("对"&amp;LEFT($C$5,2)&amp;"输出",标准坦克设计!$B$23:$U$23,0)))*(VLOOKUP($B217,INDIRECT($B$5&amp;"生成成长"),3))*(VLOOKUP($B$5,标准坦克设计!$B$14:$K$20,9)/30))</f>
        <v>30.975878773222384</v>
      </c>
      <c r="FK217" s="172">
        <f ca="1">(VLOOKUP(FK$72,INDIRECT($C$5&amp;"生成成长"),2))/((VLOOKUP($B217,INDIRECT($B$5&amp;"生成成长"),4))/(VLOOKUP(FK$72,INDIRECT($C$5&amp;"生成成长"),5))*(VLOOKUP($B$5,标准坦克设计!$B$24:$U$30,MATCH("对"&amp;LEFT($C$5,2)&amp;"输出",标准坦克设计!$B$23:$U$23,0)))*(VLOOKUP($B217,INDIRECT($B$5&amp;"生成成长"),3))*(VLOOKUP($B$5,标准坦克设计!$B$14:$K$20,9)/30))</f>
        <v>32.716890994813255</v>
      </c>
    </row>
    <row r="218" spans="1:167" x14ac:dyDescent="0.15">
      <c r="A218" s="170" t="str">
        <f t="shared" si="13"/>
        <v>T5高品质2级</v>
      </c>
      <c r="B218" s="171">
        <v>30502</v>
      </c>
      <c r="C218" s="172">
        <f ca="1">(VLOOKUP(C$72,INDIRECT($C$5&amp;"生成成长"),2))/((VLOOKUP($B218,INDIRECT($B$5&amp;"生成成长"),4))/(VLOOKUP(C$72,INDIRECT($C$5&amp;"生成成长"),5))*(VLOOKUP($B$5,标准坦克设计!$B$24:$U$30,MATCH("对"&amp;LEFT($C$5,2)&amp;"输出",标准坦克设计!$B$23:$U$23,0)))*(VLOOKUP($B218,INDIRECT($B$5&amp;"生成成长"),3))*(VLOOKUP($B$5,标准坦克设计!$B$14:$K$20,9)/30))</f>
        <v>1.294497155125514</v>
      </c>
      <c r="D218" s="172">
        <f ca="1">(VLOOKUP(D$72,INDIRECT($C$5&amp;"生成成长"),2))/((VLOOKUP($B218,INDIRECT($B$5&amp;"生成成长"),4))/(VLOOKUP(D$72,INDIRECT($C$5&amp;"生成成长"),5))*(VLOOKUP($B$5,标准坦克设计!$B$24:$U$30,MATCH("对"&amp;LEFT($C$5,2)&amp;"输出",标准坦克设计!$B$23:$U$23,0)))*(VLOOKUP($B218,INDIRECT($B$5&amp;"生成成长"),3))*(VLOOKUP($B$5,标准坦克设计!$B$14:$K$20,9)/30))</f>
        <v>1.4544970034990277</v>
      </c>
      <c r="E218" s="172">
        <f ca="1">(VLOOKUP(E$72,INDIRECT($C$5&amp;"生成成长"),2))/((VLOOKUP($B218,INDIRECT($B$5&amp;"生成成长"),4))/(VLOOKUP(E$72,INDIRECT($C$5&amp;"生成成长"),5))*(VLOOKUP($B$5,标准坦克设计!$B$24:$U$30,MATCH("对"&amp;LEFT($C$5,2)&amp;"输出",标准坦克设计!$B$23:$U$23,0)))*(VLOOKUP($B218,INDIRECT($B$5&amp;"生成成长"),3))*(VLOOKUP($B$5,标准坦克设计!$B$14:$K$20,9)/30))</f>
        <v>1.6238172313894448</v>
      </c>
      <c r="F218" s="172">
        <f ca="1">(VLOOKUP(F$72,INDIRECT($C$5&amp;"生成成长"),2))/((VLOOKUP($B218,INDIRECT($B$5&amp;"生成成长"),4))/(VLOOKUP(F$72,INDIRECT($C$5&amp;"生成成长"),5))*(VLOOKUP($B$5,标准坦克设计!$B$24:$U$30,MATCH("对"&amp;LEFT($C$5,2)&amp;"输出",标准坦克设计!$B$23:$U$23,0)))*(VLOOKUP($B218,INDIRECT($B$5&amp;"生成成长"),3))*(VLOOKUP($B$5,标准坦克设计!$B$14:$K$20,9)/30))</f>
        <v>1.8024578387967656</v>
      </c>
      <c r="G218" s="172">
        <f ca="1">(VLOOKUP(G$72,INDIRECT($C$5&amp;"生成成长"),2))/((VLOOKUP($B218,INDIRECT($B$5&amp;"生成成长"),4))/(VLOOKUP(G$72,INDIRECT($C$5&amp;"生成成长"),5))*(VLOOKUP($B$5,标准坦克设计!$B$24:$U$30,MATCH("对"&amp;LEFT($C$5,2)&amp;"输出",标准坦克设计!$B$23:$U$23,0)))*(VLOOKUP($B218,INDIRECT($B$5&amp;"生成成长"),3))*(VLOOKUP($B$5,标准坦克设计!$B$14:$K$20,9)/30))</f>
        <v>1.9904188257209903</v>
      </c>
      <c r="H218" s="172">
        <f ca="1">(VLOOKUP(H$72,INDIRECT($C$5&amp;"生成成长"),2))/((VLOOKUP($B218,INDIRECT($B$5&amp;"生成成长"),4))/(VLOOKUP(H$72,INDIRECT($C$5&amp;"生成成长"),5))*(VLOOKUP($B$5,标准坦克设计!$B$24:$U$30,MATCH("对"&amp;LEFT($C$5,2)&amp;"输出",标准坦克设计!$B$23:$U$23,0)))*(VLOOKUP($B218,INDIRECT($B$5&amp;"生成成长"),3))*(VLOOKUP($B$5,标准坦克设计!$B$14:$K$20,9)/30))</f>
        <v>1.7418753719368913</v>
      </c>
      <c r="I218" s="172">
        <f ca="1">(VLOOKUP(I$72,INDIRECT($C$5&amp;"生成成长"),2))/((VLOOKUP($B218,INDIRECT($B$5&amp;"生成成长"),4))/(VLOOKUP(I$72,INDIRECT($C$5&amp;"生成成长"),5))*(VLOOKUP($B$5,标准坦克设计!$B$24:$U$30,MATCH("对"&amp;LEFT($C$5,2)&amp;"输出",标准坦克设计!$B$23:$U$23,0)))*(VLOOKUP($B218,INDIRECT($B$5&amp;"生成成长"),3))*(VLOOKUP($B$5,标准坦克设计!$B$14:$K$20,9)/30))</f>
        <v>1.9904188257209903</v>
      </c>
      <c r="J218" s="172">
        <f ca="1">(VLOOKUP(J$72,INDIRECT($C$5&amp;"生成成长"),2))/((VLOOKUP($B218,INDIRECT($B$5&amp;"生成成长"),4))/(VLOOKUP(J$72,INDIRECT($C$5&amp;"生成成长"),5))*(VLOOKUP($B$5,标准坦克设计!$B$24:$U$30,MATCH("对"&amp;LEFT($C$5,2)&amp;"输出",标准坦克设计!$B$23:$U$23,0)))*(VLOOKUP($B218,INDIRECT($B$5&amp;"生成成长"),3))*(VLOOKUP($B$5,标准坦克设计!$B$14:$K$20,9)/30))</f>
        <v>2.2555318430906954</v>
      </c>
      <c r="K218" s="172">
        <f ca="1">(VLOOKUP(K$72,INDIRECT($C$5&amp;"生成成长"),2))/((VLOOKUP($B218,INDIRECT($B$5&amp;"生成成长"),4))/(VLOOKUP(K$72,INDIRECT($C$5&amp;"生成成长"),5))*(VLOOKUP($B$5,标准坦克设计!$B$24:$U$30,MATCH("对"&amp;LEFT($C$5,2)&amp;"输出",标准坦克设计!$B$23:$U$23,0)))*(VLOOKUP($B218,INDIRECT($B$5&amp;"生成成长"),3))*(VLOOKUP($B$5,标准坦克设计!$B$14:$K$20,9)/30))</f>
        <v>2.5372144240460068</v>
      </c>
      <c r="L218" s="172">
        <f ca="1">(VLOOKUP(L$72,INDIRECT($C$5&amp;"生成成长"),2))/((VLOOKUP($B218,INDIRECT($B$5&amp;"生成成长"),4))/(VLOOKUP(L$72,INDIRECT($C$5&amp;"生成成长"),5))*(VLOOKUP($B$5,标准坦克设计!$B$24:$U$30,MATCH("对"&amp;LEFT($C$5,2)&amp;"输出",标准坦克设计!$B$23:$U$23,0)))*(VLOOKUP($B218,INDIRECT($B$5&amp;"生成成长"),3))*(VLOOKUP($B$5,标准坦克设计!$B$14:$K$20,9)/30))</f>
        <v>2.8354665685869254</v>
      </c>
      <c r="M218" s="172">
        <f ca="1">(VLOOKUP(M$72,INDIRECT($C$5&amp;"生成成长"),2))/((VLOOKUP($B218,INDIRECT($B$5&amp;"生成成长"),4))/(VLOOKUP(M$72,INDIRECT($C$5&amp;"生成成长"),5))*(VLOOKUP($B$5,标准坦克设计!$B$24:$U$30,MATCH("对"&amp;LEFT($C$5,2)&amp;"输出",标准坦克设计!$B$23:$U$23,0)))*(VLOOKUP($B218,INDIRECT($B$5&amp;"生成成长"),3))*(VLOOKUP($B$5,标准坦克设计!$B$14:$K$20,9)/30))</f>
        <v>3.1502882767134506</v>
      </c>
      <c r="N218" s="172">
        <f ca="1">(VLOOKUP(N$72,INDIRECT($C$5&amp;"生成成长"),2))/((VLOOKUP($B218,INDIRECT($B$5&amp;"生成成长"),4))/(VLOOKUP(N$72,INDIRECT($C$5&amp;"生成成长"),5))*(VLOOKUP($B$5,标准坦克设计!$B$24:$U$30,MATCH("对"&amp;LEFT($C$5,2)&amp;"输出",标准坦克设计!$B$23:$U$23,0)))*(VLOOKUP($B218,INDIRECT($B$5&amp;"生成成长"),3))*(VLOOKUP($B$5,标准坦克设计!$B$14:$K$20,9)/30))</f>
        <v>3.481679548425582</v>
      </c>
      <c r="O218" s="172">
        <f ca="1">(VLOOKUP(O$72,INDIRECT($C$5&amp;"生成成长"),2))/((VLOOKUP($B218,INDIRECT($B$5&amp;"生成成长"),4))/(VLOOKUP(O$72,INDIRECT($C$5&amp;"生成成长"),5))*(VLOOKUP($B$5,标准坦克设计!$B$24:$U$30,MATCH("对"&amp;LEFT($C$5,2)&amp;"输出",标准坦克设计!$B$23:$U$23,0)))*(VLOOKUP($B218,INDIRECT($B$5&amp;"生成成长"),3))*(VLOOKUP($B$5,标准坦克设计!$B$14:$K$20,9)/30))</f>
        <v>2.6471172325161634</v>
      </c>
      <c r="P218" s="172">
        <f ca="1">(VLOOKUP(P$72,INDIRECT($C$5&amp;"生成成长"),2))/((VLOOKUP($B218,INDIRECT($B$5&amp;"生成成长"),4))/(VLOOKUP(P$72,INDIRECT($C$5&amp;"生成成长"),5))*(VLOOKUP($B$5,标准坦克设计!$B$24:$U$30,MATCH("对"&amp;LEFT($C$5,2)&amp;"输出",标准坦克设计!$B$23:$U$23,0)))*(VLOOKUP($B218,INDIRECT($B$5&amp;"生成成长"),3))*(VLOOKUP($B$5,标准坦克设计!$B$14:$K$20,9)/30))</f>
        <v>2.9908062272019875</v>
      </c>
      <c r="Q218" s="172">
        <f ca="1">(VLOOKUP(Q$72,INDIRECT($C$5&amp;"生成成长"),2))/((VLOOKUP($B218,INDIRECT($B$5&amp;"生成成长"),4))/(VLOOKUP(Q$72,INDIRECT($C$5&amp;"生成成长"),5))*(VLOOKUP($B$5,标准坦克设计!$B$24:$U$30,MATCH("对"&amp;LEFT($C$5,2)&amp;"输出",标准坦克设计!$B$23:$U$23,0)))*(VLOOKUP($B218,INDIRECT($B$5&amp;"生成成长"),3))*(VLOOKUP($B$5,标准坦克设计!$B$14:$K$20,9)/30))</f>
        <v>3.3554660758008441</v>
      </c>
      <c r="R218" s="172">
        <f ca="1">(VLOOKUP(R$72,INDIRECT($C$5&amp;"生成成长"),2))/((VLOOKUP($B218,INDIRECT($B$5&amp;"生成成长"),4))/(VLOOKUP(R$72,INDIRECT($C$5&amp;"生成成长"),5))*(VLOOKUP($B$5,标准坦克设计!$B$24:$U$30,MATCH("对"&amp;LEFT($C$5,2)&amp;"输出",标准坦克设计!$B$23:$U$23,0)))*(VLOOKUP($B218,INDIRECT($B$5&amp;"生成成长"),3))*(VLOOKUP($B$5,标准坦克设计!$B$14:$K$20,9)/30))</f>
        <v>3.7410967783127349</v>
      </c>
      <c r="S218" s="172">
        <f ca="1">(VLOOKUP(S$72,INDIRECT($C$5&amp;"生成成长"),2))/((VLOOKUP($B218,INDIRECT($B$5&amp;"生成成长"),4))/(VLOOKUP(S$72,INDIRECT($C$5&amp;"生成成长"),5))*(VLOOKUP($B$5,标准坦克设计!$B$24:$U$30,MATCH("对"&amp;LEFT($C$5,2)&amp;"输出",标准坦克设计!$B$23:$U$23,0)))*(VLOOKUP($B218,INDIRECT($B$5&amp;"生成成长"),3))*(VLOOKUP($B$5,标准坦克设计!$B$14:$K$20,9)/30))</f>
        <v>4.147698334737659</v>
      </c>
      <c r="T218" s="172">
        <f ca="1">(VLOOKUP(T$72,INDIRECT($C$5&amp;"生成成长"),2))/((VLOOKUP($B218,INDIRECT($B$5&amp;"生成成长"),4))/(VLOOKUP(T$72,INDIRECT($C$5&amp;"生成成长"),5))*(VLOOKUP($B$5,标准坦克设计!$B$24:$U$30,MATCH("对"&amp;LEFT($C$5,2)&amp;"输出",标准坦克设计!$B$23:$U$23,0)))*(VLOOKUP($B218,INDIRECT($B$5&amp;"生成成长"),3))*(VLOOKUP($B$5,标准坦克设计!$B$14:$K$20,9)/30))</f>
        <v>4.5752707450756169</v>
      </c>
      <c r="U218" s="172">
        <f ca="1">(VLOOKUP(U$72,INDIRECT($C$5&amp;"生成成长"),2))/((VLOOKUP($B218,INDIRECT($B$5&amp;"生成成长"),4))/(VLOOKUP(U$72,INDIRECT($C$5&amp;"生成成长"),5))*(VLOOKUP($B$5,标准坦克设计!$B$24:$U$30,MATCH("对"&amp;LEFT($C$5,2)&amp;"输出",标准坦克设计!$B$23:$U$23,0)))*(VLOOKUP($B218,INDIRECT($B$5&amp;"生成成长"),3))*(VLOOKUP($B$5,标准坦克设计!$B$14:$K$20,9)/30))</f>
        <v>5.0238140093266068</v>
      </c>
      <c r="V218" s="172">
        <f ca="1">(VLOOKUP(V$72,INDIRECT($C$5&amp;"生成成长"),2))/((VLOOKUP($B218,INDIRECT($B$5&amp;"生成成长"),4))/(VLOOKUP(V$72,INDIRECT($C$5&amp;"生成成长"),5))*(VLOOKUP($B$5,标准坦克设计!$B$24:$U$30,MATCH("对"&amp;LEFT($C$5,2)&amp;"输出",标准坦克设计!$B$23:$U$23,0)))*(VLOOKUP($B218,INDIRECT($B$5&amp;"生成成长"),3))*(VLOOKUP($B$5,标准坦克设计!$B$14:$K$20,9)/30))</f>
        <v>5.4933281274906305</v>
      </c>
      <c r="W218" s="172">
        <f ca="1">(VLOOKUP(W$72,INDIRECT($C$5&amp;"生成成长"),2))/((VLOOKUP($B218,INDIRECT($B$5&amp;"生成成长"),4))/(VLOOKUP(W$72,INDIRECT($C$5&amp;"生成成长"),5))*(VLOOKUP($B$5,标准坦克设计!$B$24:$U$30,MATCH("对"&amp;LEFT($C$5,2)&amp;"输出",标准坦克设计!$B$23:$U$23,0)))*(VLOOKUP($B218,INDIRECT($B$5&amp;"生成成长"),3))*(VLOOKUP($B$5,标准坦克设计!$B$14:$K$20,9)/30))</f>
        <v>5.983813099567687</v>
      </c>
      <c r="X218" s="172">
        <f ca="1">(VLOOKUP(X$72,INDIRECT($C$5&amp;"生成成长"),2))/((VLOOKUP($B218,INDIRECT($B$5&amp;"生成成长"),4))/(VLOOKUP(X$72,INDIRECT($C$5&amp;"生成成长"),5))*(VLOOKUP($B$5,标准坦克设计!$B$24:$U$30,MATCH("对"&amp;LEFT($C$5,2)&amp;"输出",标准坦克设计!$B$23:$U$23,0)))*(VLOOKUP($B218,INDIRECT($B$5&amp;"生成成长"),3))*(VLOOKUP($B$5,标准坦克设计!$B$14:$K$20,9)/30))</f>
        <v>4.3351415227998329</v>
      </c>
      <c r="Y218" s="172">
        <f ca="1">(VLOOKUP(Y$72,INDIRECT($C$5&amp;"生成成长"),2))/((VLOOKUP($B218,INDIRECT($B$5&amp;"生成成长"),4))/(VLOOKUP(Y$72,INDIRECT($C$5&amp;"生成成长"),5))*(VLOOKUP($B$5,标准坦克设计!$B$24:$U$30,MATCH("对"&amp;LEFT($C$5,2)&amp;"输出",标准坦克设计!$B$23:$U$23,0)))*(VLOOKUP($B218,INDIRECT($B$5&amp;"生成成长"),3))*(VLOOKUP($B$5,标准坦克设计!$B$14:$K$20,9)/30))</f>
        <v>4.8218724531270265</v>
      </c>
      <c r="Z218" s="172">
        <f ca="1">(VLOOKUP(Z$72,INDIRECT($C$5&amp;"生成成长"),2))/((VLOOKUP($B218,INDIRECT($B$5&amp;"生成成长"),4))/(VLOOKUP(Z$72,INDIRECT($C$5&amp;"生成成长"),5))*(VLOOKUP($B$5,标准坦克设计!$B$24:$U$30,MATCH("对"&amp;LEFT($C$5,2)&amp;"输出",标准坦克设计!$B$23:$U$23,0)))*(VLOOKUP($B218,INDIRECT($B$5&amp;"生成成长"),3))*(VLOOKUP($B$5,标准坦克设计!$B$14:$K$20,9)/30))</f>
        <v>5.3344933265567294</v>
      </c>
      <c r="AA218" s="172">
        <f ca="1">(VLOOKUP(AA$72,INDIRECT($C$5&amp;"生成成长"),2))/((VLOOKUP($B218,INDIRECT($B$5&amp;"生成成长"),4))/(VLOOKUP(AA$72,INDIRECT($C$5&amp;"生成成长"),5))*(VLOOKUP($B$5,标准坦克设计!$B$24:$U$30,MATCH("对"&amp;LEFT($C$5,2)&amp;"输出",标准坦克设计!$B$23:$U$23,0)))*(VLOOKUP($B218,INDIRECT($B$5&amp;"生成成长"),3))*(VLOOKUP($B$5,标准坦克设计!$B$14:$K$20,9)/30))</f>
        <v>5.8730041430889441</v>
      </c>
      <c r="AB218" s="172">
        <f ca="1">(VLOOKUP(AB$72,INDIRECT($C$5&amp;"生成成长"),2))/((VLOOKUP($B218,INDIRECT($B$5&amp;"生成成长"),4))/(VLOOKUP(AB$72,INDIRECT($C$5&amp;"生成成长"),5))*(VLOOKUP($B$5,标准坦克设计!$B$24:$U$30,MATCH("对"&amp;LEFT($C$5,2)&amp;"输出",标准坦克设计!$B$23:$U$23,0)))*(VLOOKUP($B218,INDIRECT($B$5&amp;"生成成长"),3))*(VLOOKUP($B$5,标准坦克设计!$B$14:$K$20,9)/30))</f>
        <v>6.4374049027236673</v>
      </c>
      <c r="AC218" s="172">
        <f ca="1">(VLOOKUP(AC$72,INDIRECT($C$5&amp;"生成成长"),2))/((VLOOKUP($B218,INDIRECT($B$5&amp;"生成成长"),4))/(VLOOKUP(AC$72,INDIRECT($C$5&amp;"生成成长"),5))*(VLOOKUP($B$5,标准坦克设计!$B$24:$U$30,MATCH("对"&amp;LEFT($C$5,2)&amp;"输出",标准坦克设计!$B$23:$U$23,0)))*(VLOOKUP($B218,INDIRECT($B$5&amp;"生成成长"),3))*(VLOOKUP($B$5,标准坦克设计!$B$14:$K$20,9)/30))</f>
        <v>7.0276956054609014</v>
      </c>
      <c r="AD218" s="172">
        <f ca="1">(VLOOKUP(AD$72,INDIRECT($C$5&amp;"生成成长"),2))/((VLOOKUP($B218,INDIRECT($B$5&amp;"生成成长"),4))/(VLOOKUP(AD$72,INDIRECT($C$5&amp;"生成成长"),5))*(VLOOKUP($B$5,标准坦克设计!$B$24:$U$30,MATCH("对"&amp;LEFT($C$5,2)&amp;"输出",标准坦克设计!$B$23:$U$23,0)))*(VLOOKUP($B218,INDIRECT($B$5&amp;"生成成长"),3))*(VLOOKUP($B$5,标准坦克设计!$B$14:$K$20,9)/30))</f>
        <v>7.6438762513006484</v>
      </c>
      <c r="AE218" s="172">
        <f ca="1">(VLOOKUP(AE$72,INDIRECT($C$5&amp;"生成成长"),2))/((VLOOKUP($B218,INDIRECT($B$5&amp;"生成成长"),4))/(VLOOKUP(AE$72,INDIRECT($C$5&amp;"生成成长"),5))*(VLOOKUP($B$5,标准坦克设计!$B$24:$U$30,MATCH("对"&amp;LEFT($C$5,2)&amp;"输出",标准坦克设计!$B$23:$U$23,0)))*(VLOOKUP($B218,INDIRECT($B$5&amp;"生成成长"),3))*(VLOOKUP($B$5,标准坦克设计!$B$14:$K$20,9)/30))</f>
        <v>8.285946840242902</v>
      </c>
      <c r="AF218" s="172">
        <f ca="1">(VLOOKUP(AF$72,INDIRECT($C$5&amp;"生成成长"),2))/((VLOOKUP($B218,INDIRECT($B$5&amp;"生成成长"),4))/(VLOOKUP(AF$72,INDIRECT($C$5&amp;"生成成长"),5))*(VLOOKUP($B$5,标准坦克设计!$B$24:$U$30,MATCH("对"&amp;LEFT($C$5,2)&amp;"输出",标准坦克设计!$B$23:$U$23,0)))*(VLOOKUP($B218,INDIRECT($B$5&amp;"生成成长"),3))*(VLOOKUP($B$5,标准坦克设计!$B$14:$K$20,9)/30))</f>
        <v>8.9539073722876683</v>
      </c>
      <c r="AG218" s="172">
        <f ca="1">(VLOOKUP(AG$72,INDIRECT($C$5&amp;"生成成长"),2))/((VLOOKUP($B218,INDIRECT($B$5&amp;"生成成长"),4))/(VLOOKUP(AG$72,INDIRECT($C$5&amp;"生成成长"),5))*(VLOOKUP($B$5,标准坦克设计!$B$24:$U$30,MATCH("对"&amp;LEFT($C$5,2)&amp;"输出",标准坦克设计!$B$23:$U$23,0)))*(VLOOKUP($B218,INDIRECT($B$5&amp;"生成成长"),3))*(VLOOKUP($B$5,标准坦克设计!$B$14:$K$20,9)/30))</f>
        <v>9.6477578474349421</v>
      </c>
      <c r="AH218" s="172">
        <f ca="1">(VLOOKUP(AH$72,INDIRECT($C$5&amp;"生成成长"),2))/((VLOOKUP($B218,INDIRECT($B$5&amp;"生成成长"),4))/(VLOOKUP(AH$72,INDIRECT($C$5&amp;"生成成长"),5))*(VLOOKUP($B$5,标准坦克设计!$B$24:$U$30,MATCH("对"&amp;LEFT($C$5,2)&amp;"输出",标准坦克设计!$B$23:$U$23,0)))*(VLOOKUP($B218,INDIRECT($B$5&amp;"生成成长"),3))*(VLOOKUP($B$5,标准坦克设计!$B$14:$K$20,9)/30))</f>
        <v>10.367498265684729</v>
      </c>
      <c r="AI218" s="172">
        <f ca="1">(VLOOKUP(AI$72,INDIRECT($C$5&amp;"生成成长"),2))/((VLOOKUP($B218,INDIRECT($B$5&amp;"生成成长"),4))/(VLOOKUP(AI$72,INDIRECT($C$5&amp;"生成成长"),5))*(VLOOKUP($B$5,标准坦克设计!$B$24:$U$30,MATCH("对"&amp;LEFT($C$5,2)&amp;"输出",标准坦克设计!$B$23:$U$23,0)))*(VLOOKUP($B218,INDIRECT($B$5&amp;"生成成长"),3))*(VLOOKUP($B$5,标准坦克设计!$B$14:$K$20,9)/30))</f>
        <v>7.3325496854929604</v>
      </c>
      <c r="AJ218" s="172">
        <f ca="1">(VLOOKUP(AJ$72,INDIRECT($C$5&amp;"生成成长"),2))/((VLOOKUP($B218,INDIRECT($B$5&amp;"生成成长"),4))/(VLOOKUP(AJ$72,INDIRECT($C$5&amp;"生成成长"),5))*(VLOOKUP($B$5,标准坦克设计!$B$24:$U$30,MATCH("对"&amp;LEFT($C$5,2)&amp;"输出",标准坦克设计!$B$23:$U$23,0)))*(VLOOKUP($B218,INDIRECT($B$5&amp;"生成成长"),3))*(VLOOKUP($B$5,标准坦克设计!$B$14:$K$20,9)/30))</f>
        <v>8.0260118114936994</v>
      </c>
      <c r="AK218" s="172">
        <f ca="1">(VLOOKUP(AK$72,INDIRECT($C$5&amp;"生成成长"),2))/((VLOOKUP($B218,INDIRECT($B$5&amp;"生成成长"),4))/(VLOOKUP(AK$72,INDIRECT($C$5&amp;"生成成长"),5))*(VLOOKUP($B$5,标准坦克设计!$B$24:$U$30,MATCH("对"&amp;LEFT($C$5,2)&amp;"输出",标准坦克设计!$B$23:$U$23,0)))*(VLOOKUP($B218,INDIRECT($B$5&amp;"生成成长"),3))*(VLOOKUP($B$5,标准坦克设计!$B$14:$K$20,9)/30))</f>
        <v>8.7508007686484728</v>
      </c>
      <c r="AL218" s="172">
        <f ca="1">(VLOOKUP(AL$72,INDIRECT($C$5&amp;"生成成长"),2))/((VLOOKUP($B218,INDIRECT($B$5&amp;"生成成长"),4))/(VLOOKUP(AL$72,INDIRECT($C$5&amp;"生成成长"),5))*(VLOOKUP($B$5,标准坦克设计!$B$24:$U$30,MATCH("对"&amp;LEFT($C$5,2)&amp;"输出",标准坦克设计!$B$23:$U$23,0)))*(VLOOKUP($B218,INDIRECT($B$5&amp;"生成成长"),3))*(VLOOKUP($B$5,标准坦克设计!$B$14:$K$20,9)/30))</f>
        <v>9.506916556957286</v>
      </c>
      <c r="AM218" s="172">
        <f ca="1">(VLOOKUP(AM$72,INDIRECT($C$5&amp;"生成成长"),2))/((VLOOKUP($B218,INDIRECT($B$5&amp;"生成成长"),4))/(VLOOKUP(AM$72,INDIRECT($C$5&amp;"生成成长"),5))*(VLOOKUP($B$5,标准坦克设计!$B$24:$U$30,MATCH("对"&amp;LEFT($C$5,2)&amp;"输出",标准坦克设计!$B$23:$U$23,0)))*(VLOOKUP($B218,INDIRECT($B$5&amp;"生成成长"),3))*(VLOOKUP($B$5,标准坦克设计!$B$14:$K$20,9)/30))</f>
        <v>10.294359176420135</v>
      </c>
      <c r="AN218" s="172">
        <f ca="1">(VLOOKUP(AN$72,INDIRECT($C$5&amp;"生成成长"),2))/((VLOOKUP($B218,INDIRECT($B$5&amp;"生成成长"),4))/(VLOOKUP(AN$72,INDIRECT($C$5&amp;"生成成长"),5))*(VLOOKUP($B$5,标准坦克设计!$B$24:$U$30,MATCH("对"&amp;LEFT($C$5,2)&amp;"输出",标准坦克设计!$B$23:$U$23,0)))*(VLOOKUP($B218,INDIRECT($B$5&amp;"生成成长"),3))*(VLOOKUP($B$5,标准坦克设计!$B$14:$K$20,9)/30))</f>
        <v>11.113128627037023</v>
      </c>
      <c r="AO218" s="172">
        <f ca="1">(VLOOKUP(AO$72,INDIRECT($C$5&amp;"生成成长"),2))/((VLOOKUP($B218,INDIRECT($B$5&amp;"生成成长"),4))/(VLOOKUP(AO$72,INDIRECT($C$5&amp;"生成成长"),5))*(VLOOKUP($B$5,标准坦克设计!$B$24:$U$30,MATCH("对"&amp;LEFT($C$5,2)&amp;"输出",标准坦克设计!$B$23:$U$23,0)))*(VLOOKUP($B218,INDIRECT($B$5&amp;"生成成长"),3))*(VLOOKUP($B$5,标准坦克设计!$B$14:$K$20,9)/30))</f>
        <v>11.96322490880795</v>
      </c>
      <c r="AP218" s="172">
        <f ca="1">(VLOOKUP(AP$72,INDIRECT($C$5&amp;"生成成长"),2))/((VLOOKUP($B218,INDIRECT($B$5&amp;"生成成长"),4))/(VLOOKUP(AP$72,INDIRECT($C$5&amp;"生成成长"),5))*(VLOOKUP($B$5,标准坦克设计!$B$24:$U$30,MATCH("对"&amp;LEFT($C$5,2)&amp;"输出",标准坦克设计!$B$23:$U$23,0)))*(VLOOKUP($B218,INDIRECT($B$5&amp;"生成成长"),3))*(VLOOKUP($B$5,标准坦克设计!$B$14:$K$20,9)/30))</f>
        <v>12.844648021732914</v>
      </c>
      <c r="AQ218" s="172">
        <f ca="1">(VLOOKUP(AQ$72,INDIRECT($C$5&amp;"生成成长"),2))/((VLOOKUP($B218,INDIRECT($B$5&amp;"生成成长"),4))/(VLOOKUP(AQ$72,INDIRECT($C$5&amp;"生成成长"),5))*(VLOOKUP($B$5,标准坦克设计!$B$24:$U$30,MATCH("对"&amp;LEFT($C$5,2)&amp;"输出",标准坦克设计!$B$23:$U$23,0)))*(VLOOKUP($B218,INDIRECT($B$5&amp;"生成成长"),3))*(VLOOKUP($B$5,标准坦克设计!$B$14:$K$20,9)/30))</f>
        <v>13.757397965811911</v>
      </c>
      <c r="AR218" s="172">
        <f ca="1">(VLOOKUP(AR$72,INDIRECT($C$5&amp;"生成成长"),2))/((VLOOKUP($B218,INDIRECT($B$5&amp;"生成成长"),4))/(VLOOKUP(AR$72,INDIRECT($C$5&amp;"生成成长"),5))*(VLOOKUP($B$5,标准坦克设计!$B$24:$U$30,MATCH("对"&amp;LEFT($C$5,2)&amp;"输出",标准坦克设计!$B$23:$U$23,0)))*(VLOOKUP($B218,INDIRECT($B$5&amp;"生成成长"),3))*(VLOOKUP($B$5,标准坦克设计!$B$14:$K$20,9)/30))</f>
        <v>14.701474741044949</v>
      </c>
      <c r="AS218" s="172">
        <f ca="1">(VLOOKUP(AS$72,INDIRECT($C$5&amp;"生成成长"),2))/((VLOOKUP($B218,INDIRECT($B$5&amp;"生成成长"),4))/(VLOOKUP(AS$72,INDIRECT($C$5&amp;"生成成长"),5))*(VLOOKUP($B$5,标准坦克设计!$B$24:$U$30,MATCH("对"&amp;LEFT($C$5,2)&amp;"输出",标准坦克设计!$B$23:$U$23,0)))*(VLOOKUP($B218,INDIRECT($B$5&amp;"生成成长"),3))*(VLOOKUP($B$5,标准坦克设计!$B$14:$K$20,9)/30))</f>
        <v>15.676878347432023</v>
      </c>
      <c r="AT218" s="172">
        <f ca="1">(VLOOKUP(AT$72,INDIRECT($C$5&amp;"生成成长"),2))/((VLOOKUP($B218,INDIRECT($B$5&amp;"生成成长"),4))/(VLOOKUP(AT$72,INDIRECT($C$5&amp;"生成成长"),5))*(VLOOKUP($B$5,标准坦克设计!$B$24:$U$30,MATCH("对"&amp;LEFT($C$5,2)&amp;"输出",标准坦克设计!$B$23:$U$23,0)))*(VLOOKUP($B218,INDIRECT($B$5&amp;"生成成长"),3))*(VLOOKUP($B$5,标准坦克设计!$B$14:$K$20,9)/30))</f>
        <v>16.683608784973135</v>
      </c>
      <c r="AU218" s="172">
        <f ca="1">(VLOOKUP(AU$72,INDIRECT($C$5&amp;"生成成长"),2))/((VLOOKUP($B218,INDIRECT($B$5&amp;"生成成长"),4))/(VLOOKUP(AU$72,INDIRECT($C$5&amp;"生成成长"),5))*(VLOOKUP($B$5,标准坦克设计!$B$24:$U$30,MATCH("对"&amp;LEFT($C$5,2)&amp;"输出",标准坦克设计!$B$23:$U$23,0)))*(VLOOKUP($B218,INDIRECT($B$5&amp;"生成成长"),3))*(VLOOKUP($B$5,标准坦克设计!$B$14:$K$20,9)/30))</f>
        <v>17.72166605366829</v>
      </c>
      <c r="AV218" s="172">
        <f ca="1">(VLOOKUP(AV$72,INDIRECT($C$5&amp;"生成成长"),2))/((VLOOKUP($B218,INDIRECT($B$5&amp;"生成成长"),4))/(VLOOKUP(AV$72,INDIRECT($C$5&amp;"生成成长"),5))*(VLOOKUP($B$5,标准坦克设计!$B$24:$U$30,MATCH("对"&amp;LEFT($C$5,2)&amp;"输出",标准坦克设计!$B$23:$U$23,0)))*(VLOOKUP($B218,INDIRECT($B$5&amp;"生成成长"),3))*(VLOOKUP($B$5,标准坦克设计!$B$14:$K$20,9)/30))</f>
        <v>1.8024578387967656</v>
      </c>
      <c r="AW218" s="172">
        <f ca="1">(VLOOKUP(AW$72,INDIRECT($C$5&amp;"生成成长"),2))/((VLOOKUP($B218,INDIRECT($B$5&amp;"生成成长"),4))/(VLOOKUP(AW$72,INDIRECT($C$5&amp;"生成成长"),5))*(VLOOKUP($B$5,标准坦克设计!$B$24:$U$30,MATCH("对"&amp;LEFT($C$5,2)&amp;"输出",标准坦克设计!$B$23:$U$23,0)))*(VLOOKUP($B218,INDIRECT($B$5&amp;"生成成长"),3))*(VLOOKUP($B$5,标准坦克设计!$B$14:$K$20,9)/30))</f>
        <v>2.0551436834772661</v>
      </c>
      <c r="AX218" s="172">
        <f ca="1">(VLOOKUP(AX$72,INDIRECT($C$5&amp;"生成成长"),2))/((VLOOKUP($B218,INDIRECT($B$5&amp;"生成成长"),4))/(VLOOKUP(AX$72,INDIRECT($C$5&amp;"生成成长"),5))*(VLOOKUP($B$5,标准坦克设计!$B$24:$U$30,MATCH("对"&amp;LEFT($C$5,2)&amp;"输出",标准坦克设计!$B$23:$U$23,0)))*(VLOOKUP($B218,INDIRECT($B$5&amp;"生成成长"),3))*(VLOOKUP($B$5,标准坦克设计!$B$14:$K$20,9)/30))</f>
        <v>2.324399091743373</v>
      </c>
      <c r="AY218" s="172">
        <f ca="1">(VLOOKUP(AY$72,INDIRECT($C$5&amp;"生成成长"),2))/((VLOOKUP($B218,INDIRECT($B$5&amp;"生成成长"),4))/(VLOOKUP(AY$72,INDIRECT($C$5&amp;"生成成长"),5))*(VLOOKUP($B$5,标准坦克设计!$B$24:$U$30,MATCH("对"&amp;LEFT($C$5,2)&amp;"输出",标准坦克设计!$B$23:$U$23,0)))*(VLOOKUP($B218,INDIRECT($B$5&amp;"生成成长"),3))*(VLOOKUP($B$5,标准坦克设计!$B$14:$K$20,9)/30))</f>
        <v>2.6102240635950866</v>
      </c>
      <c r="AZ218" s="172">
        <f ca="1">(VLOOKUP(AZ$72,INDIRECT($C$5&amp;"生成成长"),2))/((VLOOKUP($B218,INDIRECT($B$5&amp;"生成成长"),4))/(VLOOKUP(AZ$72,INDIRECT($C$5&amp;"生成成长"),5))*(VLOOKUP($B$5,标准坦克设计!$B$24:$U$30,MATCH("对"&amp;LEFT($C$5,2)&amp;"输出",标准坦克设计!$B$23:$U$23,0)))*(VLOOKUP($B218,INDIRECT($B$5&amp;"生成成长"),3))*(VLOOKUP($B$5,标准坦克设计!$B$14:$K$20,9)/30))</f>
        <v>2.9126185990324061</v>
      </c>
      <c r="BA218" s="172">
        <f ca="1">(VLOOKUP(BA$72,INDIRECT($C$5&amp;"生成成长"),2))/((VLOOKUP($B218,INDIRECT($B$5&amp;"生成成长"),4))/(VLOOKUP(BA$72,INDIRECT($C$5&amp;"生成成长"),5))*(VLOOKUP($B$5,标准坦克设计!$B$24:$U$30,MATCH("对"&amp;LEFT($C$5,2)&amp;"输出",标准坦克设计!$B$23:$U$23,0)))*(VLOOKUP($B218,INDIRECT($B$5&amp;"生成成长"),3))*(VLOOKUP($B$5,标准坦克设计!$B$14:$K$20,9)/30))</f>
        <v>3.2315826980553326</v>
      </c>
      <c r="BB218" s="172">
        <f ca="1">(VLOOKUP(BB$72,INDIRECT($C$5&amp;"生成成长"),2))/((VLOOKUP($B218,INDIRECT($B$5&amp;"生成成长"),4))/(VLOOKUP(BB$72,INDIRECT($C$5&amp;"生成成长"),5))*(VLOOKUP($B$5,标准坦克设计!$B$24:$U$30,MATCH("对"&amp;LEFT($C$5,2)&amp;"输出",标准坦克设计!$B$23:$U$23,0)))*(VLOOKUP($B218,INDIRECT($B$5&amp;"生成成长"),3))*(VLOOKUP($B$5,标准坦克设计!$B$14:$K$20,9)/30))</f>
        <v>3.5671163606638663</v>
      </c>
      <c r="BC218" s="172">
        <f ca="1">(VLOOKUP(BC$72,INDIRECT($C$5&amp;"生成成长"),2))/((VLOOKUP($B218,INDIRECT($B$5&amp;"生成成长"),4))/(VLOOKUP(BC$72,INDIRECT($C$5&amp;"生成成长"),5))*(VLOOKUP($B$5,标准坦克设计!$B$24:$U$30,MATCH("对"&amp;LEFT($C$5,2)&amp;"输出",标准坦克设计!$B$23:$U$23,0)))*(VLOOKUP($B218,INDIRECT($B$5&amp;"生成成长"),3))*(VLOOKUP($B$5,标准坦克设计!$B$14:$K$20,9)/30))</f>
        <v>3.9192195868580058</v>
      </c>
      <c r="BD218" s="172">
        <f ca="1">(VLOOKUP(BD$72,INDIRECT($C$5&amp;"生成成长"),2))/((VLOOKUP($B218,INDIRECT($B$5&amp;"生成成长"),4))/(VLOOKUP(BD$72,INDIRECT($C$5&amp;"生成成长"),5))*(VLOOKUP($B$5,标准坦克设计!$B$24:$U$30,MATCH("对"&amp;LEFT($C$5,2)&amp;"输出",标准坦克设计!$B$23:$U$23,0)))*(VLOOKUP($B218,INDIRECT($B$5&amp;"生成成长"),3))*(VLOOKUP($B$5,标准坦克设计!$B$14:$K$20,9)/30))</f>
        <v>4.3351415227998329</v>
      </c>
      <c r="BE218" s="172">
        <f ca="1">(VLOOKUP(BE$72,INDIRECT($C$5&amp;"生成成长"),2))/((VLOOKUP($B218,INDIRECT($B$5&amp;"生成成长"),4))/(VLOOKUP(BE$72,INDIRECT($C$5&amp;"生成成长"),5))*(VLOOKUP($B$5,标准坦克设计!$B$24:$U$30,MATCH("对"&amp;LEFT($C$5,2)&amp;"输出",标准坦克设计!$B$23:$U$23,0)))*(VLOOKUP($B218,INDIRECT($B$5&amp;"生成成长"),3))*(VLOOKUP($B$5,标准坦克设计!$B$14:$K$20,9)/30))</f>
        <v>4.7720343126546947</v>
      </c>
      <c r="BF218" s="172">
        <f ca="1">(VLOOKUP(BF$72,INDIRECT($C$5&amp;"生成成长"),2))/((VLOOKUP($B218,INDIRECT($B$5&amp;"生成成长"),4))/(VLOOKUP(BF$72,INDIRECT($C$5&amp;"生成成长"),5))*(VLOOKUP($B$5,标准坦克设计!$B$24:$U$30,MATCH("对"&amp;LEFT($C$5,2)&amp;"输出",标准坦克设计!$B$23:$U$23,0)))*(VLOOKUP($B218,INDIRECT($B$5&amp;"生成成长"),3))*(VLOOKUP($B$5,标准坦克设计!$B$14:$K$20,9)/30))</f>
        <v>5.2298979564225885</v>
      </c>
      <c r="BG218" s="172">
        <f ca="1">(VLOOKUP(BG$72,INDIRECT($C$5&amp;"生成成长"),2))/((VLOOKUP($B218,INDIRECT($B$5&amp;"生成成长"),4))/(VLOOKUP(BG$72,INDIRECT($C$5&amp;"生成成长"),5))*(VLOOKUP($B$5,标准坦克设计!$B$24:$U$30,MATCH("对"&amp;LEFT($C$5,2)&amp;"输出",标准坦克设计!$B$23:$U$23,0)))*(VLOOKUP($B218,INDIRECT($B$5&amp;"生成成长"),3))*(VLOOKUP($B$5,标准坦克设计!$B$14:$K$20,9)/30))</f>
        <v>5.708732454103516</v>
      </c>
      <c r="BH218" s="172">
        <f ca="1">(VLOOKUP(BH$72,INDIRECT($C$5&amp;"生成成长"),2))/((VLOOKUP($B218,INDIRECT($B$5&amp;"生成成长"),4))/(VLOOKUP(BH$72,INDIRECT($C$5&amp;"生成成长"),5))*(VLOOKUP($B$5,标准坦克设计!$B$24:$U$30,MATCH("对"&amp;LEFT($C$5,2)&amp;"输出",标准坦克设计!$B$23:$U$23,0)))*(VLOOKUP($B218,INDIRECT($B$5&amp;"生成成长"),3))*(VLOOKUP($B$5,标准坦克设计!$B$14:$K$20,9)/30))</f>
        <v>2.7593501358655455</v>
      </c>
      <c r="BI218" s="172">
        <f ca="1">(VLOOKUP(BI$72,INDIRECT($C$5&amp;"生成成长"),2))/((VLOOKUP($B218,INDIRECT($B$5&amp;"生成成长"),4))/(VLOOKUP(BI$72,INDIRECT($C$5&amp;"生成成长"),5))*(VLOOKUP($B$5,标准坦克设计!$B$24:$U$30,MATCH("对"&amp;LEFT($C$5,2)&amp;"输出",标准坦克设计!$B$23:$U$23,0)))*(VLOOKUP($B218,INDIRECT($B$5&amp;"生成成长"),3))*(VLOOKUP($B$5,标准坦克设计!$B$14:$K$20,9)/30))</f>
        <v>3.1100294151890475</v>
      </c>
      <c r="BJ218" s="172">
        <f ca="1">(VLOOKUP(BJ$72,INDIRECT($C$5&amp;"生成成长"),2))/((VLOOKUP($B218,INDIRECT($B$5&amp;"生成成长"),4))/(VLOOKUP(BJ$72,INDIRECT($C$5&amp;"生成成长"),5))*(VLOOKUP($B$5,标准坦克设计!$B$24:$U$30,MATCH("对"&amp;LEFT($C$5,2)&amp;"输出",标准坦克设计!$B$23:$U$23,0)))*(VLOOKUP($B218,INDIRECT($B$5&amp;"生成成长"),3))*(VLOOKUP($B$5,标准坦克设计!$B$14:$K$20,9)/30))</f>
        <v>3.481679548425582</v>
      </c>
      <c r="BK218" s="172">
        <f ca="1">(VLOOKUP(BK$72,INDIRECT($C$5&amp;"生成成长"),2))/((VLOOKUP($B218,INDIRECT($B$5&amp;"生成成长"),4))/(VLOOKUP(BK$72,INDIRECT($C$5&amp;"生成成长"),5))*(VLOOKUP($B$5,标准坦克设计!$B$24:$U$30,MATCH("对"&amp;LEFT($C$5,2)&amp;"输出",标准坦克设计!$B$23:$U$23,0)))*(VLOOKUP($B218,INDIRECT($B$5&amp;"生成成长"),3))*(VLOOKUP($B$5,标准坦克设计!$B$14:$K$20,9)/30))</f>
        <v>3.8743005355751508</v>
      </c>
      <c r="BL218" s="172">
        <f ca="1">(VLOOKUP(BL$72,INDIRECT($C$5&amp;"生成成长"),2))/((VLOOKUP($B218,INDIRECT($B$5&amp;"生成成长"),4))/(VLOOKUP(BL$72,INDIRECT($C$5&amp;"生成成长"),5))*(VLOOKUP($B$5,标准坦克设计!$B$24:$U$30,MATCH("对"&amp;LEFT($C$5,2)&amp;"输出",标准坦克设计!$B$23:$U$23,0)))*(VLOOKUP($B218,INDIRECT($B$5&amp;"生成成长"),3))*(VLOOKUP($B$5,标准坦克设计!$B$14:$K$20,9)/30))</f>
        <v>4.2878923766377515</v>
      </c>
      <c r="BM218" s="172">
        <f ca="1">(VLOOKUP(BM$72,INDIRECT($C$5&amp;"生成成长"),2))/((VLOOKUP($B218,INDIRECT($B$5&amp;"生成成长"),4))/(VLOOKUP(BM$72,INDIRECT($C$5&amp;"生成成长"),5))*(VLOOKUP($B$5,标准坦克设计!$B$24:$U$30,MATCH("对"&amp;LEFT($C$5,2)&amp;"输出",标准坦克设计!$B$23:$U$23,0)))*(VLOOKUP($B218,INDIRECT($B$5&amp;"生成成长"),3))*(VLOOKUP($B$5,标准坦克设计!$B$14:$K$20,9)/30))</f>
        <v>4.7224550716133873</v>
      </c>
      <c r="BN218" s="172">
        <f ca="1">(VLOOKUP(BN$72,INDIRECT($C$5&amp;"生成成长"),2))/((VLOOKUP($B218,INDIRECT($B$5&amp;"生成成长"),4))/(VLOOKUP(BN$72,INDIRECT($C$5&amp;"生成成长"),5))*(VLOOKUP($B$5,标准坦克设计!$B$24:$U$30,MATCH("对"&amp;LEFT($C$5,2)&amp;"输出",标准坦克设计!$B$23:$U$23,0)))*(VLOOKUP($B218,INDIRECT($B$5&amp;"生成成长"),3))*(VLOOKUP($B$5,标准坦克设计!$B$14:$K$20,9)/30))</f>
        <v>5.177988620502056</v>
      </c>
      <c r="BO218" s="172">
        <f ca="1">(VLOOKUP(BO$72,INDIRECT($C$5&amp;"生成成长"),2))/((VLOOKUP($B218,INDIRECT($B$5&amp;"生成成长"),4))/(VLOOKUP(BO$72,INDIRECT($C$5&amp;"生成成长"),5))*(VLOOKUP($B$5,标准坦克设计!$B$24:$U$30,MATCH("对"&amp;LEFT($C$5,2)&amp;"输出",标准坦克设计!$B$23:$U$23,0)))*(VLOOKUP($B218,INDIRECT($B$5&amp;"生成成长"),3))*(VLOOKUP($B$5,标准坦克设计!$B$14:$K$20,9)/30))</f>
        <v>5.6544930233037576</v>
      </c>
      <c r="BP218" s="172">
        <f ca="1">(VLOOKUP(BP$72,INDIRECT($C$5&amp;"生成成长"),2))/((VLOOKUP($B218,INDIRECT($B$5&amp;"生成成长"),4))/(VLOOKUP(BP$72,INDIRECT($C$5&amp;"生成成长"),5))*(VLOOKUP($B$5,标准坦克设计!$B$24:$U$30,MATCH("对"&amp;LEFT($C$5,2)&amp;"输出",标准坦克设计!$B$23:$U$23,0)))*(VLOOKUP($B218,INDIRECT($B$5&amp;"生成成长"),3))*(VLOOKUP($B$5,标准坦克设计!$B$14:$K$20,9)/30))</f>
        <v>6.1519682800184921</v>
      </c>
      <c r="BQ218" s="172">
        <f ca="1">(VLOOKUP(BQ$72,INDIRECT($C$5&amp;"生成成长"),2))/((VLOOKUP($B218,INDIRECT($B$5&amp;"生成成长"),4))/(VLOOKUP(BQ$72,INDIRECT($C$5&amp;"生成成长"),5))*(VLOOKUP($B$5,标准坦克设计!$B$24:$U$30,MATCH("对"&amp;LEFT($C$5,2)&amp;"输出",标准坦克设计!$B$23:$U$23,0)))*(VLOOKUP($B218,INDIRECT($B$5&amp;"生成成长"),3))*(VLOOKUP($B$5,标准坦克设计!$B$14:$K$20,9)/30))</f>
        <v>6.6704143906462603</v>
      </c>
      <c r="BR218" s="172">
        <f ca="1">(VLOOKUP(BR$72,INDIRECT($C$5&amp;"生成成长"),2))/((VLOOKUP($B218,INDIRECT($B$5&amp;"生成成长"),4))/(VLOOKUP(BR$72,INDIRECT($C$5&amp;"生成成长"),5))*(VLOOKUP($B$5,标准坦克设计!$B$24:$U$30,MATCH("对"&amp;LEFT($C$5,2)&amp;"输出",标准坦克设计!$B$23:$U$23,0)))*(VLOOKUP($B218,INDIRECT($B$5&amp;"生成成长"),3))*(VLOOKUP($B$5,标准坦克设计!$B$14:$K$20,9)/30))</f>
        <v>7.2710610706244996</v>
      </c>
      <c r="BS218" s="172">
        <f ca="1">(VLOOKUP(BS$72,INDIRECT($C$5&amp;"生成成长"),2))/((VLOOKUP($B218,INDIRECT($B$5&amp;"生成成长"),4))/(VLOOKUP(BS$72,INDIRECT($C$5&amp;"生成成长"),5))*(VLOOKUP($B$5,标准坦克设计!$B$24:$U$30,MATCH("对"&amp;LEFT($C$5,2)&amp;"输出",标准坦克设计!$B$23:$U$23,0)))*(VLOOKUP($B218,INDIRECT($B$5&amp;"生成成长"),3))*(VLOOKUP($B$5,标准坦克设计!$B$14:$K$20,9)/30))</f>
        <v>7.8975976937052481</v>
      </c>
      <c r="BT218" s="172">
        <f ca="1">(VLOOKUP(BT$72,INDIRECT($C$5&amp;"生成成长"),2))/((VLOOKUP($B218,INDIRECT($B$5&amp;"生成成长"),4))/(VLOOKUP(BT$72,INDIRECT($C$5&amp;"生成成长"),5))*(VLOOKUP($B$5,标准坦克设计!$B$24:$U$30,MATCH("对"&amp;LEFT($C$5,2)&amp;"输出",标准坦克设计!$B$23:$U$23,0)))*(VLOOKUP($B218,INDIRECT($B$5&amp;"生成成长"),3))*(VLOOKUP($B$5,标准坦克设计!$B$14:$K$20,9)/30))</f>
        <v>8.5500242598885077</v>
      </c>
      <c r="BU218" s="172">
        <f ca="1">(VLOOKUP(BU$72,INDIRECT($C$5&amp;"生成成长"),2))/((VLOOKUP($B218,INDIRECT($B$5&amp;"生成成长"),4))/(VLOOKUP(BU$72,INDIRECT($C$5&amp;"生成成长"),5))*(VLOOKUP($B$5,标准坦克设计!$B$24:$U$30,MATCH("对"&amp;LEFT($C$5,2)&amp;"输出",标准坦克设计!$B$23:$U$23,0)))*(VLOOKUP($B218,INDIRECT($B$5&amp;"生成成长"),3))*(VLOOKUP($B$5,标准坦克设计!$B$14:$K$20,9)/30))</f>
        <v>9.2283407691742756</v>
      </c>
      <c r="BV218" s="172">
        <f ca="1">(VLOOKUP(BV$72,INDIRECT($C$5&amp;"生成成长"),2))/((VLOOKUP($B218,INDIRECT($B$5&amp;"生成成长"),4))/(VLOOKUP(BV$72,INDIRECT($C$5&amp;"生成成长"),5))*(VLOOKUP($B$5,标准坦克设计!$B$24:$U$30,MATCH("对"&amp;LEFT($C$5,2)&amp;"输出",标准坦克设计!$B$23:$U$23,0)))*(VLOOKUP($B218,INDIRECT($B$5&amp;"生成成长"),3))*(VLOOKUP($B$5,标准坦克设计!$B$14:$K$20,9)/30))</f>
        <v>9.9325472215625563</v>
      </c>
      <c r="BW218" s="172">
        <f ca="1">(VLOOKUP(BW$72,INDIRECT($C$5&amp;"生成成长"),2))/((VLOOKUP($B218,INDIRECT($B$5&amp;"生成成长"),4))/(VLOOKUP(BW$72,INDIRECT($C$5&amp;"生成成长"),5))*(VLOOKUP($B$5,标准坦克设计!$B$24:$U$30,MATCH("对"&amp;LEFT($C$5,2)&amp;"输出",标准坦克设计!$B$23:$U$23,0)))*(VLOOKUP($B218,INDIRECT($B$5&amp;"生成成长"),3))*(VLOOKUP($B$5,标准坦克设计!$B$14:$K$20,9)/30))</f>
        <v>4.526727101758409</v>
      </c>
      <c r="BX218" s="172">
        <f ca="1">(VLOOKUP(BX$72,INDIRECT($C$5&amp;"生成成长"),2))/((VLOOKUP($B218,INDIRECT($B$5&amp;"生成成长"),4))/(VLOOKUP(BX$72,INDIRECT($C$5&amp;"生成成长"),5))*(VLOOKUP($B$5,标准坦克设计!$B$24:$U$30,MATCH("对"&amp;LEFT($C$5,2)&amp;"输出",标准坦克设计!$B$23:$U$23,0)))*(VLOOKUP($B218,INDIRECT($B$5&amp;"生成成长"),3))*(VLOOKUP($B$5,标准坦克设计!$B$14:$K$20,9)/30))</f>
        <v>5.0238140093266068</v>
      </c>
      <c r="BY218" s="172">
        <f ca="1">(VLOOKUP(BY$72,INDIRECT($C$5&amp;"生成成长"),2))/((VLOOKUP($B218,INDIRECT($B$5&amp;"生成成长"),4))/(VLOOKUP(BY$72,INDIRECT($C$5&amp;"生成成长"),5))*(VLOOKUP($B$5,标准坦克设计!$B$24:$U$30,MATCH("对"&amp;LEFT($C$5,2)&amp;"输出",标准坦克设计!$B$23:$U$23,0)))*(VLOOKUP($B218,INDIRECT($B$5&amp;"生成成长"),3))*(VLOOKUP($B$5,标准坦克设计!$B$14:$K$20,9)/30))</f>
        <v>5.5467908599973139</v>
      </c>
      <c r="BZ218" s="172">
        <f ca="1">(VLOOKUP(BZ$72,INDIRECT($C$5&amp;"生成成长"),2))/((VLOOKUP($B218,INDIRECT($B$5&amp;"生成成长"),4))/(VLOOKUP(BZ$72,INDIRECT($C$5&amp;"生成成长"),5))*(VLOOKUP($B$5,标准坦克设计!$B$24:$U$30,MATCH("对"&amp;LEFT($C$5,2)&amp;"输出",标准坦克设计!$B$23:$U$23,0)))*(VLOOKUP($B218,INDIRECT($B$5&amp;"生成成长"),3))*(VLOOKUP($B$5,标准坦克设计!$B$14:$K$20,9)/30))</f>
        <v>6.0956576537705329</v>
      </c>
      <c r="CA218" s="172">
        <f ca="1">(VLOOKUP(CA$72,INDIRECT($C$5&amp;"生成成长"),2))/((VLOOKUP($B218,INDIRECT($B$5&amp;"生成成长"),4))/(VLOOKUP(CA$72,INDIRECT($C$5&amp;"生成成长"),5))*(VLOOKUP($B$5,标准坦克设计!$B$24:$U$30,MATCH("对"&amp;LEFT($C$5,2)&amp;"输出",标准坦克设计!$B$23:$U$23,0)))*(VLOOKUP($B218,INDIRECT($B$5&amp;"生成成长"),3))*(VLOOKUP($B$5,标准坦克设计!$B$14:$K$20,9)/30))</f>
        <v>6.6704143906462603</v>
      </c>
      <c r="CB218" s="172">
        <f ca="1">(VLOOKUP(CB$72,INDIRECT($C$5&amp;"生成成长"),2))/((VLOOKUP($B218,INDIRECT($B$5&amp;"生成成长"),4))/(VLOOKUP(CB$72,INDIRECT($C$5&amp;"生成成长"),5))*(VLOOKUP($B$5,标准坦克设计!$B$24:$U$30,MATCH("对"&amp;LEFT($C$5,2)&amp;"输出",标准坦克设计!$B$23:$U$23,0)))*(VLOOKUP($B218,INDIRECT($B$5&amp;"生成成长"),3))*(VLOOKUP($B$5,标准坦克设计!$B$14:$K$20,9)/30))</f>
        <v>7.2710610706244996</v>
      </c>
      <c r="CC218" s="172">
        <f ca="1">(VLOOKUP(CC$72,INDIRECT($C$5&amp;"生成成长"),2))/((VLOOKUP($B218,INDIRECT($B$5&amp;"生成成长"),4))/(VLOOKUP(CC$72,INDIRECT($C$5&amp;"生成成长"),5))*(VLOOKUP($B$5,标准坦克设计!$B$24:$U$30,MATCH("对"&amp;LEFT($C$5,2)&amp;"输出",标准坦克设计!$B$23:$U$23,0)))*(VLOOKUP($B218,INDIRECT($B$5&amp;"生成成长"),3))*(VLOOKUP($B$5,标准坦克设计!$B$14:$K$20,9)/30))</f>
        <v>7.8975976937052481</v>
      </c>
      <c r="CD218" s="172">
        <f ca="1">(VLOOKUP(CD$72,INDIRECT($C$5&amp;"生成成长"),2))/((VLOOKUP($B218,INDIRECT($B$5&amp;"生成成长"),4))/(VLOOKUP(CD$72,INDIRECT($C$5&amp;"生成成长"),5))*(VLOOKUP($B$5,标准坦克设计!$B$24:$U$30,MATCH("对"&amp;LEFT($C$5,2)&amp;"输出",标准坦克设计!$B$23:$U$23,0)))*(VLOOKUP($B218,INDIRECT($B$5&amp;"生成成长"),3))*(VLOOKUP($B$5,标准坦克设计!$B$14:$K$20,9)/30))</f>
        <v>8.5500242598885077</v>
      </c>
      <c r="CE218" s="172">
        <f ca="1">(VLOOKUP(CE$72,INDIRECT($C$5&amp;"生成成长"),2))/((VLOOKUP($B218,INDIRECT($B$5&amp;"生成成长"),4))/(VLOOKUP(CE$72,INDIRECT($C$5&amp;"生成成长"),5))*(VLOOKUP($B$5,标准坦克设计!$B$24:$U$30,MATCH("对"&amp;LEFT($C$5,2)&amp;"输出",标准坦克设计!$B$23:$U$23,0)))*(VLOOKUP($B218,INDIRECT($B$5&amp;"生成成长"),3))*(VLOOKUP($B$5,标准坦克设计!$B$14:$K$20,9)/30))</f>
        <v>9.2283407691742756</v>
      </c>
      <c r="CF218" s="172">
        <f ca="1">(VLOOKUP(CF$72,INDIRECT($C$5&amp;"生成成长"),2))/((VLOOKUP($B218,INDIRECT($B$5&amp;"生成成长"),4))/(VLOOKUP(CF$72,INDIRECT($C$5&amp;"生成成长"),5))*(VLOOKUP($B$5,标准坦克设计!$B$24:$U$30,MATCH("对"&amp;LEFT($C$5,2)&amp;"输出",标准坦克设计!$B$23:$U$23,0)))*(VLOOKUP($B218,INDIRECT($B$5&amp;"生成成长"),3))*(VLOOKUP($B$5,标准坦克设计!$B$14:$K$20,9)/30))</f>
        <v>9.9325472215625563</v>
      </c>
      <c r="CG218" s="172">
        <f ca="1">(VLOOKUP(CG$72,INDIRECT($C$5&amp;"生成成长"),2))/((VLOOKUP($B218,INDIRECT($B$5&amp;"生成成长"),4))/(VLOOKUP(CG$72,INDIRECT($C$5&amp;"生成成长"),5))*(VLOOKUP($B$5,标准坦克设计!$B$24:$U$30,MATCH("对"&amp;LEFT($C$5,2)&amp;"输出",标准坦克设计!$B$23:$U$23,0)))*(VLOOKUP($B218,INDIRECT($B$5&amp;"生成成长"),3))*(VLOOKUP($B$5,标准坦克设计!$B$14:$K$20,9)/30))</f>
        <v>10.662643617053346</v>
      </c>
      <c r="CH218" s="172">
        <f ca="1">(VLOOKUP(CH$72,INDIRECT($C$5&amp;"生成成长"),2))/((VLOOKUP($B218,INDIRECT($B$5&amp;"生成成长"),4))/(VLOOKUP(CH$72,INDIRECT($C$5&amp;"生成成长"),5))*(VLOOKUP($B$5,标准坦克设计!$B$24:$U$30,MATCH("对"&amp;LEFT($C$5,2)&amp;"输出",标准坦克设计!$B$23:$U$23,0)))*(VLOOKUP($B218,INDIRECT($B$5&amp;"生成成长"),3))*(VLOOKUP($B$5,标准坦克设计!$B$14:$K$20,9)/30))</f>
        <v>11.418629955646647</v>
      </c>
      <c r="CI218" s="172">
        <f ca="1">(VLOOKUP(CI$72,INDIRECT($C$5&amp;"生成成长"),2))/((VLOOKUP($B218,INDIRECT($B$5&amp;"生成成长"),4))/(VLOOKUP(CI$72,INDIRECT($C$5&amp;"生成成长"),5))*(VLOOKUP($B$5,标准坦克设计!$B$24:$U$30,MATCH("对"&amp;LEFT($C$5,2)&amp;"输出",标准坦克设计!$B$23:$U$23,0)))*(VLOOKUP($B218,INDIRECT($B$5&amp;"生成成长"),3))*(VLOOKUP($B$5,标准坦克设计!$B$14:$K$20,9)/30))</f>
        <v>12.280117812382676</v>
      </c>
      <c r="CJ218" s="172">
        <f ca="1">(VLOOKUP(CJ$72,INDIRECT($C$5&amp;"生成成长"),2))/((VLOOKUP($B218,INDIRECT($B$5&amp;"生成成长"),4))/(VLOOKUP(CJ$72,INDIRECT($C$5&amp;"生成成长"),5))*(VLOOKUP($B$5,标准坦克设计!$B$24:$U$30,MATCH("对"&amp;LEFT($C$5,2)&amp;"输出",标准坦克设计!$B$23:$U$23,0)))*(VLOOKUP($B218,INDIRECT($B$5&amp;"生成成长"),3))*(VLOOKUP($B$5,标准坦克设计!$B$14:$K$20,9)/30))</f>
        <v>13.172932500272742</v>
      </c>
      <c r="CK218" s="172">
        <f ca="1">(VLOOKUP(CK$72,INDIRECT($C$5&amp;"生成成长"),2))/((VLOOKUP($B218,INDIRECT($B$5&amp;"生成成长"),4))/(VLOOKUP(CK$72,INDIRECT($C$5&amp;"生成成长"),5))*(VLOOKUP($B$5,标准坦克设计!$B$24:$U$30,MATCH("对"&amp;LEFT($C$5,2)&amp;"输出",标准坦克设计!$B$23:$U$23,0)))*(VLOOKUP($B218,INDIRECT($B$5&amp;"生成成长"),3))*(VLOOKUP($B$5,标准坦克设计!$B$14:$K$20,9)/30))</f>
        <v>14.097074019316846</v>
      </c>
      <c r="CL218" s="172">
        <f ca="1">(VLOOKUP(CL$72,INDIRECT($C$5&amp;"生成成长"),2))/((VLOOKUP($B218,INDIRECT($B$5&amp;"生成成长"),4))/(VLOOKUP(CL$72,INDIRECT($C$5&amp;"生成成长"),5))*(VLOOKUP($B$5,标准坦克设计!$B$24:$U$30,MATCH("对"&amp;LEFT($C$5,2)&amp;"输出",标准坦克设计!$B$23:$U$23,0)))*(VLOOKUP($B218,INDIRECT($B$5&amp;"生成成长"),3))*(VLOOKUP($B$5,标准坦克设计!$B$14:$K$20,9)/30))</f>
        <v>15.052542369514988</v>
      </c>
      <c r="CM218" s="172">
        <f ca="1">(VLOOKUP(CM$72,INDIRECT($C$5&amp;"生成成长"),2))/((VLOOKUP($B218,INDIRECT($B$5&amp;"生成成长"),4))/(VLOOKUP(CM$72,INDIRECT($C$5&amp;"生成成长"),5))*(VLOOKUP($B$5,标准坦克设计!$B$24:$U$30,MATCH("对"&amp;LEFT($C$5,2)&amp;"输出",标准坦克设计!$B$23:$U$23,0)))*(VLOOKUP($B218,INDIRECT($B$5&amp;"生成成长"),3))*(VLOOKUP($B$5,标准坦克设计!$B$14:$K$20,9)/30))</f>
        <v>16.039337550867167</v>
      </c>
      <c r="CN218" s="172">
        <f ca="1">(VLOOKUP(CN$72,INDIRECT($C$5&amp;"生成成长"),2))/((VLOOKUP($B218,INDIRECT($B$5&amp;"生成成长"),4))/(VLOOKUP(CN$72,INDIRECT($C$5&amp;"生成成长"),5))*(VLOOKUP($B$5,标准坦克设计!$B$24:$U$30,MATCH("对"&amp;LEFT($C$5,2)&amp;"输出",标准坦克设计!$B$23:$U$23,0)))*(VLOOKUP($B218,INDIRECT($B$5&amp;"生成成长"),3))*(VLOOKUP($B$5,标准坦克设计!$B$14:$K$20,9)/30))</f>
        <v>17.057459563373385</v>
      </c>
      <c r="CO218" s="172">
        <f ca="1">(VLOOKUP(CO$72,INDIRECT($C$5&amp;"生成成长"),2))/((VLOOKUP($B218,INDIRECT($B$5&amp;"生成成长"),4))/(VLOOKUP(CO$72,INDIRECT($C$5&amp;"生成成长"),5))*(VLOOKUP($B$5,标准坦克设计!$B$24:$U$30,MATCH("对"&amp;LEFT($C$5,2)&amp;"输出",标准坦克设计!$B$23:$U$23,0)))*(VLOOKUP($B218,INDIRECT($B$5&amp;"生成成长"),3))*(VLOOKUP($B$5,标准坦克设计!$B$14:$K$20,9)/30))</f>
        <v>7.6438762513006484</v>
      </c>
      <c r="CP218" s="172">
        <f ca="1">(VLOOKUP(CP$72,INDIRECT($C$5&amp;"生成成长"),2))/((VLOOKUP($B218,INDIRECT($B$5&amp;"生成成长"),4))/(VLOOKUP(CP$72,INDIRECT($C$5&amp;"生成成长"),5))*(VLOOKUP($B$5,标准坦克设计!$B$24:$U$30,MATCH("对"&amp;LEFT($C$5,2)&amp;"输出",标准坦克设计!$B$23:$U$23,0)))*(VLOOKUP($B218,INDIRECT($B$5&amp;"生成成长"),3))*(VLOOKUP($B$5,标准坦克设计!$B$14:$K$20,9)/30))</f>
        <v>8.3515778460077659</v>
      </c>
      <c r="CQ218" s="172">
        <f ca="1">(VLOOKUP(CQ$72,INDIRECT($C$5&amp;"生成成长"),2))/((VLOOKUP($B218,INDIRECT($B$5&amp;"生成成长"),4))/(VLOOKUP(CQ$72,INDIRECT($C$5&amp;"生成成长"),5))*(VLOOKUP($B$5,标准坦克设计!$B$24:$U$30,MATCH("对"&amp;LEFT($C$5,2)&amp;"输出",标准坦克设计!$B$23:$U$23,0)))*(VLOOKUP($B218,INDIRECT($B$5&amp;"生成成长"),3))*(VLOOKUP($B$5,标准坦克设计!$B$14:$K$20,9)/30))</f>
        <v>9.0906062718689213</v>
      </c>
      <c r="CR218" s="172">
        <f ca="1">(VLOOKUP(CR$72,INDIRECT($C$5&amp;"生成成长"),2))/((VLOOKUP($B218,INDIRECT($B$5&amp;"生成成长"),4))/(VLOOKUP(CR$72,INDIRECT($C$5&amp;"生成成长"),5))*(VLOOKUP($B$5,标准坦克设计!$B$24:$U$30,MATCH("对"&amp;LEFT($C$5,2)&amp;"输出",标准坦克设计!$B$23:$U$23,0)))*(VLOOKUP($B218,INDIRECT($B$5&amp;"生成成长"),3))*(VLOOKUP($B$5,标准坦克设计!$B$14:$K$20,9)/30))</f>
        <v>9.8609615288841148</v>
      </c>
      <c r="CS218" s="172">
        <f ca="1">(VLOOKUP(CS$72,INDIRECT($C$5&amp;"生成成长"),2))/((VLOOKUP($B218,INDIRECT($B$5&amp;"生成成长"),4))/(VLOOKUP(CS$72,INDIRECT($C$5&amp;"生成成长"),5))*(VLOOKUP($B$5,标准坦克设计!$B$24:$U$30,MATCH("对"&amp;LEFT($C$5,2)&amp;"输出",标准坦克设计!$B$23:$U$23,0)))*(VLOOKUP($B218,INDIRECT($B$5&amp;"生成成长"),3))*(VLOOKUP($B$5,标准坦克设计!$B$14:$K$20,9)/30))</f>
        <v>10.662643617053346</v>
      </c>
      <c r="CT218" s="172">
        <f ca="1">(VLOOKUP(CT$72,INDIRECT($C$5&amp;"生成成长"),2))/((VLOOKUP($B218,INDIRECT($B$5&amp;"生成成长"),4))/(VLOOKUP(CT$72,INDIRECT($C$5&amp;"生成成长"),5))*(VLOOKUP($B$5,标准坦克设计!$B$24:$U$30,MATCH("对"&amp;LEFT($C$5,2)&amp;"输出",标准坦克设计!$B$23:$U$23,0)))*(VLOOKUP($B218,INDIRECT($B$5&amp;"生成成长"),3))*(VLOOKUP($B$5,标准坦克设计!$B$14:$K$20,9)/30))</f>
        <v>11.495652536376614</v>
      </c>
      <c r="CU218" s="172">
        <f ca="1">(VLOOKUP(CU$72,INDIRECT($C$5&amp;"生成成长"),2))/((VLOOKUP($B218,INDIRECT($B$5&amp;"生成成长"),4))/(VLOOKUP(CU$72,INDIRECT($C$5&amp;"生成成长"),5))*(VLOOKUP($B$5,标准坦克设计!$B$24:$U$30,MATCH("对"&amp;LEFT($C$5,2)&amp;"输出",标准坦克设计!$B$23:$U$23,0)))*(VLOOKUP($B218,INDIRECT($B$5&amp;"生成成长"),3))*(VLOOKUP($B$5,标准坦克设计!$B$14:$K$20,9)/30))</f>
        <v>12.359988286853916</v>
      </c>
      <c r="CV218" s="172">
        <f ca="1">(VLOOKUP(CV$72,INDIRECT($C$5&amp;"生成成长"),2))/((VLOOKUP($B218,INDIRECT($B$5&amp;"生成成长"),4))/(VLOOKUP(CV$72,INDIRECT($C$5&amp;"生成成长"),5))*(VLOOKUP($B$5,标准坦克设计!$B$24:$U$30,MATCH("对"&amp;LEFT($C$5,2)&amp;"输出",标准坦克设计!$B$23:$U$23,0)))*(VLOOKUP($B218,INDIRECT($B$5&amp;"生成成长"),3))*(VLOOKUP($B$5,标准坦克设计!$B$14:$K$20,9)/30))</f>
        <v>13.255650868485263</v>
      </c>
      <c r="CW218" s="172">
        <f ca="1">(VLOOKUP(CW$72,INDIRECT($C$5&amp;"生成成长"),2))/((VLOOKUP($B218,INDIRECT($B$5&amp;"生成成长"),4))/(VLOOKUP(CW$72,INDIRECT($C$5&amp;"生成成长"),5))*(VLOOKUP($B$5,标准坦克设计!$B$24:$U$30,MATCH("对"&amp;LEFT($C$5,2)&amp;"输出",标准坦克设计!$B$23:$U$23,0)))*(VLOOKUP($B218,INDIRECT($B$5&amp;"生成成长"),3))*(VLOOKUP($B$5,标准坦克设计!$B$14:$K$20,9)/30))</f>
        <v>14.182640281270643</v>
      </c>
      <c r="CX218" s="172">
        <f ca="1">(VLOOKUP(CX$72,INDIRECT($C$5&amp;"生成成长"),2))/((VLOOKUP($B218,INDIRECT($B$5&amp;"生成成长"),4))/(VLOOKUP(CX$72,INDIRECT($C$5&amp;"生成成长"),5))*(VLOOKUP($B$5,标准坦克设计!$B$24:$U$30,MATCH("对"&amp;LEFT($C$5,2)&amp;"输出",标准坦克设计!$B$23:$U$23,0)))*(VLOOKUP($B218,INDIRECT($B$5&amp;"生成成长"),3))*(VLOOKUP($B$5,标准坦克设计!$B$14:$K$20,9)/30))</f>
        <v>15.140956525210061</v>
      </c>
      <c r="CY218" s="172">
        <f ca="1">(VLOOKUP(CY$72,INDIRECT($C$5&amp;"生成成长"),2))/((VLOOKUP($B218,INDIRECT($B$5&amp;"生成成长"),4))/(VLOOKUP(CY$72,INDIRECT($C$5&amp;"生成成长"),5))*(VLOOKUP($B$5,标准坦克设计!$B$24:$U$30,MATCH("对"&amp;LEFT($C$5,2)&amp;"输出",标准坦克设计!$B$23:$U$23,0)))*(VLOOKUP($B218,INDIRECT($B$5&amp;"生成成长"),3))*(VLOOKUP($B$5,标准坦克设计!$B$14:$K$20,9)/30))</f>
        <v>16.130599600303515</v>
      </c>
      <c r="CZ218" s="172">
        <f ca="1">(VLOOKUP(CZ$72,INDIRECT($C$5&amp;"生成成长"),2))/((VLOOKUP($B218,INDIRECT($B$5&amp;"生成成长"),4))/(VLOOKUP(CZ$72,INDIRECT($C$5&amp;"生成成长"),5))*(VLOOKUP($B$5,标准坦克设计!$B$24:$U$30,MATCH("对"&amp;LEFT($C$5,2)&amp;"输出",标准坦克设计!$B$23:$U$23,0)))*(VLOOKUP($B218,INDIRECT($B$5&amp;"生成成长"),3))*(VLOOKUP($B$5,标准坦克设计!$B$14:$K$20,9)/30))</f>
        <v>17.151569506551006</v>
      </c>
      <c r="DA218" s="172">
        <f ca="1">(VLOOKUP(DA$72,INDIRECT($C$5&amp;"生成成长"),2))/((VLOOKUP($B218,INDIRECT($B$5&amp;"生成成长"),4))/(VLOOKUP(DA$72,INDIRECT($C$5&amp;"生成成长"),5))*(VLOOKUP($B$5,标准坦克设计!$B$24:$U$30,MATCH("对"&amp;LEFT($C$5,2)&amp;"输出",标准坦克设计!$B$23:$U$23,0)))*(VLOOKUP($B218,INDIRECT($B$5&amp;"生成成长"),3))*(VLOOKUP($B$5,标准坦克设计!$B$14:$K$20,9)/30))</f>
        <v>18.20386624395254</v>
      </c>
      <c r="DB218" s="172">
        <f ca="1">(VLOOKUP(DB$72,INDIRECT($C$5&amp;"生成成长"),2))/((VLOOKUP($B218,INDIRECT($B$5&amp;"生成成长"),4))/(VLOOKUP(DB$72,INDIRECT($C$5&amp;"生成成长"),5))*(VLOOKUP($B$5,标准坦克设计!$B$24:$U$30,MATCH("对"&amp;LEFT($C$5,2)&amp;"输出",标准坦克设计!$B$23:$U$23,0)))*(VLOOKUP($B218,INDIRECT($B$5&amp;"生成成长"),3))*(VLOOKUP($B$5,标准坦克设计!$B$14:$K$20,9)/30))</f>
        <v>19.287489812508106</v>
      </c>
      <c r="DC218" s="172">
        <f ca="1">(VLOOKUP(DC$72,INDIRECT($C$5&amp;"生成成长"),2))/((VLOOKUP($B218,INDIRECT($B$5&amp;"生成成长"),4))/(VLOOKUP(DC$72,INDIRECT($C$5&amp;"生成成长"),5))*(VLOOKUP($B$5,标准坦克设计!$B$24:$U$30,MATCH("对"&amp;LEFT($C$5,2)&amp;"输出",标准坦克设计!$B$23:$U$23,0)))*(VLOOKUP($B218,INDIRECT($B$5&amp;"生成成长"),3))*(VLOOKUP($B$5,标准坦克设计!$B$14:$K$20,9)/30))</f>
        <v>20.505352736050188</v>
      </c>
      <c r="DD218" s="172">
        <f ca="1">(VLOOKUP(DD$72,INDIRECT($C$5&amp;"生成成长"),2))/((VLOOKUP($B218,INDIRECT($B$5&amp;"生成成长"),4))/(VLOOKUP(DD$72,INDIRECT($C$5&amp;"生成成长"),5))*(VLOOKUP($B$5,标准坦克设计!$B$24:$U$30,MATCH("对"&amp;LEFT($C$5,2)&amp;"输出",标准坦克设计!$B$23:$U$23,0)))*(VLOOKUP($B218,INDIRECT($B$5&amp;"生成成长"),3))*(VLOOKUP($B$5,标准坦克设计!$B$14:$K$20,9)/30))</f>
        <v>21.760497177659886</v>
      </c>
      <c r="DE218" s="172">
        <f ca="1">(VLOOKUP(DE$72,INDIRECT($C$5&amp;"生成成长"),2))/((VLOOKUP($B218,INDIRECT($B$5&amp;"生成成长"),4))/(VLOOKUP(DE$72,INDIRECT($C$5&amp;"生成成长"),5))*(VLOOKUP($B$5,标准坦克设计!$B$24:$U$30,MATCH("对"&amp;LEFT($C$5,2)&amp;"输出",标准坦克设计!$B$23:$U$23,0)))*(VLOOKUP($B218,INDIRECT($B$5&amp;"生成成长"),3))*(VLOOKUP($B$5,标准坦克设计!$B$14:$K$20,9)/30))</f>
        <v>23.052923137337199</v>
      </c>
      <c r="DF218" s="172">
        <f ca="1">(VLOOKUP(DF$72,INDIRECT($C$5&amp;"生成成长"),2))/((VLOOKUP($B218,INDIRECT($B$5&amp;"生成成长"),4))/(VLOOKUP(DF$72,INDIRECT($C$5&amp;"生成成长"),5))*(VLOOKUP($B$5,标准坦克设计!$B$24:$U$30,MATCH("对"&amp;LEFT($C$5,2)&amp;"输出",标准坦克设计!$B$23:$U$23,0)))*(VLOOKUP($B218,INDIRECT($B$5&amp;"生成成长"),3))*(VLOOKUP($B$5,标准坦克设计!$B$14:$K$20,9)/30))</f>
        <v>24.382630615082132</v>
      </c>
      <c r="DG218" s="172">
        <f ca="1">(VLOOKUP(DG$72,INDIRECT($C$5&amp;"生成成长"),2))/((VLOOKUP($B218,INDIRECT($B$5&amp;"生成成长"),4))/(VLOOKUP(DG$72,INDIRECT($C$5&amp;"生成成长"),5))*(VLOOKUP($B$5,标准坦克设计!$B$24:$U$30,MATCH("对"&amp;LEFT($C$5,2)&amp;"输出",标准坦克设计!$B$23:$U$23,0)))*(VLOOKUP($B218,INDIRECT($B$5&amp;"生成成长"),3))*(VLOOKUP($B$5,标准坦克设计!$B$14:$K$20,9)/30))</f>
        <v>25.749619610894669</v>
      </c>
      <c r="DH218" s="172">
        <f ca="1">(VLOOKUP(DH$72,INDIRECT($C$5&amp;"生成成长"),2))/((VLOOKUP($B218,INDIRECT($B$5&amp;"生成成长"),4))/(VLOOKUP(DH$72,INDIRECT($C$5&amp;"生成成长"),5))*(VLOOKUP($B$5,标准坦克设计!$B$24:$U$30,MATCH("对"&amp;LEFT($C$5,2)&amp;"输出",标准坦克设计!$B$23:$U$23,0)))*(VLOOKUP($B218,INDIRECT($B$5&amp;"生成成长"),3))*(VLOOKUP($B$5,标准坦克设计!$B$14:$K$20,9)/30))</f>
        <v>27.153890124774829</v>
      </c>
      <c r="DI218" s="172">
        <f ca="1">(VLOOKUP(DI$72,INDIRECT($C$5&amp;"生成成长"),2))/((VLOOKUP($B218,INDIRECT($B$5&amp;"生成成长"),4))/(VLOOKUP(DI$72,INDIRECT($C$5&amp;"生成成长"),5))*(VLOOKUP($B$5,标准坦克设计!$B$24:$U$30,MATCH("对"&amp;LEFT($C$5,2)&amp;"输出",标准坦克设计!$B$23:$U$23,0)))*(VLOOKUP($B218,INDIRECT($B$5&amp;"生成成长"),3))*(VLOOKUP($B$5,标准坦克设计!$B$14:$K$20,9)/30))</f>
        <v>28.595442156722605</v>
      </c>
      <c r="DJ218" s="172">
        <f ca="1">(VLOOKUP(DJ$72,INDIRECT($C$5&amp;"生成成长"),2))/((VLOOKUP($B218,INDIRECT($B$5&amp;"生成成长"),4))/(VLOOKUP(DJ$72,INDIRECT($C$5&amp;"生成成长"),5))*(VLOOKUP($B$5,标准坦克设计!$B$24:$U$30,MATCH("对"&amp;LEFT($C$5,2)&amp;"输出",标准坦克设计!$B$23:$U$23,0)))*(VLOOKUP($B218,INDIRECT($B$5&amp;"生成成长"),3))*(VLOOKUP($B$5,标准坦克设计!$B$14:$K$20,9)/30))</f>
        <v>2.8739131340941535</v>
      </c>
      <c r="DK218" s="172">
        <f ca="1">(VLOOKUP(DK$72,INDIRECT($C$5&amp;"生成成长"),2))/((VLOOKUP($B218,INDIRECT($B$5&amp;"生成成长"),4))/(VLOOKUP(DK$72,INDIRECT($C$5&amp;"生成成长"),5))*(VLOOKUP($B$5,标准坦克设计!$B$24:$U$30,MATCH("对"&amp;LEFT($C$5,2)&amp;"输出",标准坦克设计!$B$23:$U$23,0)))*(VLOOKUP($B218,INDIRECT($B$5&amp;"生成成长"),3))*(VLOOKUP($B$5,标准坦克设计!$B$14:$K$20,9)/30))</f>
        <v>3.2315826980553326</v>
      </c>
      <c r="DL218" s="172">
        <f ca="1">(VLOOKUP(DL$72,INDIRECT($C$5&amp;"生成成长"),2))/((VLOOKUP($B218,INDIRECT($B$5&amp;"生成成长"),4))/(VLOOKUP(DL$72,INDIRECT($C$5&amp;"生成成长"),5))*(VLOOKUP($B$5,标准坦克设计!$B$24:$U$30,MATCH("对"&amp;LEFT($C$5,2)&amp;"输出",标准坦克设计!$B$23:$U$23,0)))*(VLOOKUP($B218,INDIRECT($B$5&amp;"生成成长"),3))*(VLOOKUP($B$5,标准坦克设计!$B$14:$K$20,9)/30))</f>
        <v>3.6102231159295459</v>
      </c>
      <c r="DM218" s="172">
        <f ca="1">(VLOOKUP(DM$72,INDIRECT($C$5&amp;"生成成长"),2))/((VLOOKUP($B218,INDIRECT($B$5&amp;"生成成长"),4))/(VLOOKUP(DM$72,INDIRECT($C$5&amp;"生成成长"),5))*(VLOOKUP($B$5,标准坦克设计!$B$24:$U$30,MATCH("对"&amp;LEFT($C$5,2)&amp;"输出",标准坦克设计!$B$23:$U$23,0)))*(VLOOKUP($B218,INDIRECT($B$5&amp;"生成成长"),3))*(VLOOKUP($B$5,标准坦克设计!$B$14:$K$20,9)/30))</f>
        <v>4.0098343877167917</v>
      </c>
      <c r="DN218" s="172">
        <f ca="1">(VLOOKUP(DN$72,INDIRECT($C$5&amp;"生成成长"),2))/((VLOOKUP($B218,INDIRECT($B$5&amp;"生成成长"),4))/(VLOOKUP(DN$72,INDIRECT($C$5&amp;"生成成长"),5))*(VLOOKUP($B$5,标准坦克设计!$B$24:$U$30,MATCH("对"&amp;LEFT($C$5,2)&amp;"输出",标准坦克设计!$B$23:$U$23,0)))*(VLOOKUP($B218,INDIRECT($B$5&amp;"生成成长"),3))*(VLOOKUP($B$5,标准坦克设计!$B$14:$K$20,9)/30))</f>
        <v>4.4304165134170725</v>
      </c>
      <c r="DO218" s="172">
        <f ca="1">(VLOOKUP(DO$72,INDIRECT($C$5&amp;"生成成长"),2))/((VLOOKUP($B218,INDIRECT($B$5&amp;"生成成长"),4))/(VLOOKUP(DO$72,INDIRECT($C$5&amp;"生成成长"),5))*(VLOOKUP($B$5,标准坦克设计!$B$24:$U$30,MATCH("对"&amp;LEFT($C$5,2)&amp;"输出",标准坦克设计!$B$23:$U$23,0)))*(VLOOKUP($B218,INDIRECT($B$5&amp;"生成成长"),3))*(VLOOKUP($B$5,标准坦克设计!$B$14:$K$20,9)/30))</f>
        <v>4.8719694930303836</v>
      </c>
      <c r="DP218" s="172">
        <f ca="1">(VLOOKUP(DP$72,INDIRECT($C$5&amp;"生成成长"),2))/((VLOOKUP($B218,INDIRECT($B$5&amp;"生成成长"),4))/(VLOOKUP(DP$72,INDIRECT($C$5&amp;"生成成长"),5))*(VLOOKUP($B$5,标准坦克设计!$B$24:$U$30,MATCH("对"&amp;LEFT($C$5,2)&amp;"输出",标准坦克设计!$B$23:$U$23,0)))*(VLOOKUP($B218,INDIRECT($B$5&amp;"生成成长"),3))*(VLOOKUP($B$5,标准坦克设计!$B$14:$K$20,9)/30))</f>
        <v>5.3344933265567294</v>
      </c>
      <c r="DQ218" s="172">
        <f ca="1">(VLOOKUP(DQ$72,INDIRECT($C$5&amp;"生成成长"),2))/((VLOOKUP($B218,INDIRECT($B$5&amp;"生成成长"),4))/(VLOOKUP(DQ$72,INDIRECT($C$5&amp;"生成成长"),5))*(VLOOKUP($B$5,标准坦克设计!$B$24:$U$30,MATCH("对"&amp;LEFT($C$5,2)&amp;"输出",标准坦克设计!$B$23:$U$23,0)))*(VLOOKUP($B218,INDIRECT($B$5&amp;"生成成长"),3))*(VLOOKUP($B$5,标准坦克设计!$B$14:$K$20,9)/30))</f>
        <v>5.8179880139961107</v>
      </c>
      <c r="DR218" s="172">
        <f ca="1">(VLOOKUP(DR$72,INDIRECT($C$5&amp;"生成成长"),2))/((VLOOKUP($B218,INDIRECT($B$5&amp;"生成成长"),4))/(VLOOKUP(DR$72,INDIRECT($C$5&amp;"生成成长"),5))*(VLOOKUP($B$5,标准坦克设计!$B$24:$U$30,MATCH("对"&amp;LEFT($C$5,2)&amp;"输出",标准坦克设计!$B$23:$U$23,0)))*(VLOOKUP($B218,INDIRECT($B$5&amp;"生成成长"),3))*(VLOOKUP($B$5,标准坦克设计!$B$14:$K$20,9)/30))</f>
        <v>6.3224535553485222</v>
      </c>
      <c r="DS218" s="172">
        <f ca="1">(VLOOKUP(DS$72,INDIRECT($C$5&amp;"生成成长"),2))/((VLOOKUP($B218,INDIRECT($B$5&amp;"生成成长"),4))/(VLOOKUP(DS$72,INDIRECT($C$5&amp;"生成成长"),5))*(VLOOKUP($B$5,标准坦克设计!$B$24:$U$30,MATCH("对"&amp;LEFT($C$5,2)&amp;"输出",标准坦克设计!$B$23:$U$23,0)))*(VLOOKUP($B218,INDIRECT($B$5&amp;"生成成长"),3))*(VLOOKUP($B$5,标准坦克设计!$B$14:$K$20,9)/30))</f>
        <v>6.8478899506139683</v>
      </c>
      <c r="DT218" s="172">
        <f ca="1">(VLOOKUP(DT$72,INDIRECT($C$5&amp;"生成成长"),2))/((VLOOKUP($B218,INDIRECT($B$5&amp;"生成成长"),4))/(VLOOKUP(DT$72,INDIRECT($C$5&amp;"生成成长"),5))*(VLOOKUP($B$5,标准坦克设计!$B$24:$U$30,MATCH("对"&amp;LEFT($C$5,2)&amp;"输出",标准坦克设计!$B$23:$U$23,0)))*(VLOOKUP($B218,INDIRECT($B$5&amp;"生成成长"),3))*(VLOOKUP($B$5,标准坦克设计!$B$14:$K$20,9)/30))</f>
        <v>7.5185689266844991</v>
      </c>
      <c r="DU218" s="172">
        <f ca="1">(VLOOKUP(DU$72,INDIRECT($C$5&amp;"生成成长"),2))/((VLOOKUP($B218,INDIRECT($B$5&amp;"生成成长"),4))/(VLOOKUP(DU$72,INDIRECT($C$5&amp;"生成成长"),5))*(VLOOKUP($B$5,标准坦克设计!$B$24:$U$30,MATCH("对"&amp;LEFT($C$5,2)&amp;"输出",标准坦克设计!$B$23:$U$23,0)))*(VLOOKUP($B218,INDIRECT($B$5&amp;"生成成长"),3))*(VLOOKUP($B$5,标准坦克设计!$B$14:$K$20,9)/30))</f>
        <v>8.2205747339090642</v>
      </c>
      <c r="DV218" s="172">
        <f ca="1">(VLOOKUP(DV$72,INDIRECT($C$5&amp;"生成成长"),2))/((VLOOKUP($B218,INDIRECT($B$5&amp;"生成成长"),4))/(VLOOKUP(DV$72,INDIRECT($C$5&amp;"生成成长"),5))*(VLOOKUP($B$5,标准坦克设计!$B$24:$U$30,MATCH("对"&amp;LEFT($C$5,2)&amp;"输出",标准坦克设计!$B$23:$U$23,0)))*(VLOOKUP($B218,INDIRECT($B$5&amp;"生成成长"),3))*(VLOOKUP($B$5,标准坦克设计!$B$14:$K$20,9)/30))</f>
        <v>8.9539073722876683</v>
      </c>
      <c r="DW218" s="172">
        <f ca="1">(VLOOKUP(DW$72,INDIRECT($C$5&amp;"生成成长"),2))/((VLOOKUP($B218,INDIRECT($B$5&amp;"生成成长"),4))/(VLOOKUP(DW$72,INDIRECT($C$5&amp;"生成成长"),5))*(VLOOKUP($B$5,标准坦克设计!$B$24:$U$30,MATCH("对"&amp;LEFT($C$5,2)&amp;"输出",标准坦克设计!$B$23:$U$23,0)))*(VLOOKUP($B218,INDIRECT($B$5&amp;"生成成长"),3))*(VLOOKUP($B$5,标准坦克设计!$B$14:$K$20,9)/30))</f>
        <v>9.7185668418203068</v>
      </c>
      <c r="DX218" s="172">
        <f ca="1">(VLOOKUP(DX$72,INDIRECT($C$5&amp;"生成成长"),2))/((VLOOKUP($B218,INDIRECT($B$5&amp;"生成成长"),4))/(VLOOKUP(DX$72,INDIRECT($C$5&amp;"生成成长"),5))*(VLOOKUP($B$5,标准坦克设计!$B$24:$U$30,MATCH("对"&amp;LEFT($C$5,2)&amp;"输出",标准坦克设计!$B$23:$U$23,0)))*(VLOOKUP($B218,INDIRECT($B$5&amp;"生成成长"),3))*(VLOOKUP($B$5,标准坦克设计!$B$14:$K$20,9)/30))</f>
        <v>10.514553142506987</v>
      </c>
      <c r="DY218" s="172">
        <f ca="1">(VLOOKUP(DY$72,INDIRECT($C$5&amp;"生成成长"),2))/((VLOOKUP($B218,INDIRECT($B$5&amp;"生成成长"),4))/(VLOOKUP(DY$72,INDIRECT($C$5&amp;"生成成长"),5))*(VLOOKUP($B$5,标准坦克设计!$B$24:$U$30,MATCH("对"&amp;LEFT($C$5,2)&amp;"输出",标准坦克设计!$B$23:$U$23,0)))*(VLOOKUP($B218,INDIRECT($B$5&amp;"生成成长"),3))*(VLOOKUP($B$5,标准坦克设计!$B$14:$K$20,9)/30))</f>
        <v>4.7224550716133873</v>
      </c>
      <c r="DZ218" s="172">
        <f ca="1">(VLOOKUP(DZ$72,INDIRECT($C$5&amp;"生成成长"),2))/((VLOOKUP($B218,INDIRECT($B$5&amp;"生成成长"),4))/(VLOOKUP(DZ$72,INDIRECT($C$5&amp;"生成成长"),5))*(VLOOKUP($B$5,标准坦克设计!$B$24:$U$30,MATCH("对"&amp;LEFT($C$5,2)&amp;"输出",标准坦克设计!$B$23:$U$23,0)))*(VLOOKUP($B218,INDIRECT($B$5&amp;"生成成长"),3))*(VLOOKUP($B$5,标准坦克设计!$B$14:$K$20,9)/30))</f>
        <v>5.2298979564225885</v>
      </c>
      <c r="EA218" s="172">
        <f ca="1">(VLOOKUP(EA$72,INDIRECT($C$5&amp;"生成成长"),2))/((VLOOKUP($B218,INDIRECT($B$5&amp;"生成成长"),4))/(VLOOKUP(EA$72,INDIRECT($C$5&amp;"生成成长"),5))*(VLOOKUP($B$5,标准坦克设计!$B$24:$U$30,MATCH("对"&amp;LEFT($C$5,2)&amp;"输出",标准坦克设计!$B$23:$U$23,0)))*(VLOOKUP($B218,INDIRECT($B$5&amp;"生成成长"),3))*(VLOOKUP($B$5,标准坦克设计!$B$14:$K$20,9)/30))</f>
        <v>5.7632307843342998</v>
      </c>
      <c r="EB218" s="172">
        <f ca="1">(VLOOKUP(EB$72,INDIRECT($C$5&amp;"生成成长"),2))/((VLOOKUP($B218,INDIRECT($B$5&amp;"生成成长"),4))/(VLOOKUP(EB$72,INDIRECT($C$5&amp;"生成成长"),5))*(VLOOKUP($B$5,标准坦克设计!$B$24:$U$30,MATCH("对"&amp;LEFT($C$5,2)&amp;"输出",标准坦克设计!$B$23:$U$23,0)))*(VLOOKUP($B218,INDIRECT($B$5&amp;"生成成长"),3))*(VLOOKUP($B$5,标准坦克设计!$B$14:$K$20,9)/30))</f>
        <v>6.3224535553485222</v>
      </c>
      <c r="EC218" s="172">
        <f ca="1">(VLOOKUP(EC$72,INDIRECT($C$5&amp;"生成成长"),2))/((VLOOKUP($B218,INDIRECT($B$5&amp;"生成成长"),4))/(VLOOKUP(EC$72,INDIRECT($C$5&amp;"生成成长"),5))*(VLOOKUP($B$5,标准坦克设计!$B$24:$U$30,MATCH("对"&amp;LEFT($C$5,2)&amp;"输出",标准坦克设计!$B$23:$U$23,0)))*(VLOOKUP($B218,INDIRECT($B$5&amp;"生成成长"),3))*(VLOOKUP($B$5,标准坦克设计!$B$14:$K$20,9)/30))</f>
        <v>6.9075662694652555</v>
      </c>
      <c r="ED218" s="172">
        <f ca="1">(VLOOKUP(ED$72,INDIRECT($C$5&amp;"生成成长"),2))/((VLOOKUP($B218,INDIRECT($B$5&amp;"生成成长"),4))/(VLOOKUP(ED$72,INDIRECT($C$5&amp;"生成成长"),5))*(VLOOKUP($B$5,标准坦克设计!$B$24:$U$30,MATCH("对"&amp;LEFT($C$5,2)&amp;"输出",标准坦克设计!$B$23:$U$23,0)))*(VLOOKUP($B218,INDIRECT($B$5&amp;"生成成长"),3))*(VLOOKUP($B$5,标准坦克设计!$B$14:$K$20,9)/30))</f>
        <v>7.5185689266844991</v>
      </c>
      <c r="EE218" s="172">
        <f ca="1">(VLOOKUP(EE$72,INDIRECT($C$5&amp;"生成成长"),2))/((VLOOKUP($B218,INDIRECT($B$5&amp;"生成成长"),4))/(VLOOKUP(EE$72,INDIRECT($C$5&amp;"生成成长"),5))*(VLOOKUP($B$5,标准坦克设计!$B$24:$U$30,MATCH("对"&amp;LEFT($C$5,2)&amp;"输出",标准坦克设计!$B$23:$U$23,0)))*(VLOOKUP($B218,INDIRECT($B$5&amp;"生成成长"),3))*(VLOOKUP($B$5,标准坦克设计!$B$14:$K$20,9)/30))</f>
        <v>8.1554615270062492</v>
      </c>
      <c r="EF218" s="172">
        <f ca="1">(VLOOKUP(EF$72,INDIRECT($C$5&amp;"生成成长"),2))/((VLOOKUP($B218,INDIRECT($B$5&amp;"生成成长"),4))/(VLOOKUP(EF$72,INDIRECT($C$5&amp;"生成成长"),5))*(VLOOKUP($B$5,标准坦克设计!$B$24:$U$30,MATCH("对"&amp;LEFT($C$5,2)&amp;"输出",标准坦克设计!$B$23:$U$23,0)))*(VLOOKUP($B218,INDIRECT($B$5&amp;"生成成长"),3))*(VLOOKUP($B$5,标准坦克设计!$B$14:$K$20,9)/30))</f>
        <v>8.8182440704305129</v>
      </c>
      <c r="EG218" s="172">
        <f ca="1">(VLOOKUP(EG$72,INDIRECT($C$5&amp;"生成成长"),2))/((VLOOKUP($B218,INDIRECT($B$5&amp;"生成成长"),4))/(VLOOKUP(EG$72,INDIRECT($C$5&amp;"生成成长"),5))*(VLOOKUP($B$5,标准坦克设计!$B$24:$U$30,MATCH("对"&amp;LEFT($C$5,2)&amp;"输出",标准坦克设计!$B$23:$U$23,0)))*(VLOOKUP($B218,INDIRECT($B$5&amp;"生成成长"),3))*(VLOOKUP($B$5,标准坦克设计!$B$14:$K$20,9)/30))</f>
        <v>9.506916556957286</v>
      </c>
      <c r="EH218" s="172">
        <f ca="1">(VLOOKUP(EH$72,INDIRECT($C$5&amp;"生成成长"),2))/((VLOOKUP($B218,INDIRECT($B$5&amp;"生成成长"),4))/(VLOOKUP(EH$72,INDIRECT($C$5&amp;"生成成长"),5))*(VLOOKUP($B$5,标准坦克设计!$B$24:$U$30,MATCH("对"&amp;LEFT($C$5,2)&amp;"输出",标准坦克设计!$B$23:$U$23,0)))*(VLOOKUP($B218,INDIRECT($B$5&amp;"生成成长"),3))*(VLOOKUP($B$5,标准坦克设计!$B$14:$K$20,9)/30))</f>
        <v>10.22147898658657</v>
      </c>
      <c r="EI218" s="172">
        <f ca="1">(VLOOKUP(EI$72,INDIRECT($C$5&amp;"生成成长"),2))/((VLOOKUP($B218,INDIRECT($B$5&amp;"生成成长"),4))/(VLOOKUP(EI$72,INDIRECT($C$5&amp;"生成成长"),5))*(VLOOKUP($B$5,标准坦克设计!$B$24:$U$30,MATCH("对"&amp;LEFT($C$5,2)&amp;"输出",标准坦克设计!$B$23:$U$23,0)))*(VLOOKUP($B218,INDIRECT($B$5&amp;"生成成长"),3))*(VLOOKUP($B$5,标准坦克设计!$B$14:$K$20,9)/30))</f>
        <v>10.961931359318365</v>
      </c>
      <c r="EJ218" s="172">
        <f ca="1">(VLOOKUP(EJ$72,INDIRECT($C$5&amp;"生成成长"),2))/((VLOOKUP($B218,INDIRECT($B$5&amp;"生成成长"),4))/(VLOOKUP(EJ$72,INDIRECT($C$5&amp;"生成成长"),5))*(VLOOKUP($B$5,标准坦克设计!$B$24:$U$30,MATCH("对"&amp;LEFT($C$5,2)&amp;"输出",标准坦克设计!$B$23:$U$23,0)))*(VLOOKUP($B218,INDIRECT($B$5&amp;"生成成长"),3))*(VLOOKUP($B$5,标准坦克设计!$B$14:$K$20,9)/30))</f>
        <v>11.728273675152669</v>
      </c>
      <c r="EK218" s="172">
        <f ca="1">(VLOOKUP(EK$72,INDIRECT($C$5&amp;"生成成长"),2))/((VLOOKUP($B218,INDIRECT($B$5&amp;"生成成长"),4))/(VLOOKUP(EK$72,INDIRECT($C$5&amp;"生成成长"),5))*(VLOOKUP($B$5,标准坦克设计!$B$24:$U$30,MATCH("对"&amp;LEFT($C$5,2)&amp;"输出",标准坦克设计!$B$23:$U$23,0)))*(VLOOKUP($B218,INDIRECT($B$5&amp;"生成成长"),3))*(VLOOKUP($B$5,标准坦克设计!$B$14:$K$20,9)/30))</f>
        <v>12.682059179049148</v>
      </c>
      <c r="EL218" s="172">
        <f ca="1">(VLOOKUP(EL$72,INDIRECT($C$5&amp;"生成成长"),2))/((VLOOKUP($B218,INDIRECT($B$5&amp;"生成成长"),4))/(VLOOKUP(EL$72,INDIRECT($C$5&amp;"生成成长"),5))*(VLOOKUP($B$5,标准坦克设计!$B$24:$U$30,MATCH("对"&amp;LEFT($C$5,2)&amp;"输出",标准坦克设计!$B$23:$U$23,0)))*(VLOOKUP($B218,INDIRECT($B$5&amp;"生成成长"),3))*(VLOOKUP($B$5,标准坦克设计!$B$14:$K$20,9)/30))</f>
        <v>13.673126201013238</v>
      </c>
      <c r="EM218" s="172">
        <f ca="1">(VLOOKUP(EM$72,INDIRECT($C$5&amp;"生成成长"),2))/((VLOOKUP($B218,INDIRECT($B$5&amp;"生成成长"),4))/(VLOOKUP(EM$72,INDIRECT($C$5&amp;"生成成长"),5))*(VLOOKUP($B$5,标准坦克设计!$B$24:$U$30,MATCH("对"&amp;LEFT($C$5,2)&amp;"输出",标准坦克设计!$B$23:$U$23,0)))*(VLOOKUP($B218,INDIRECT($B$5&amp;"生成成长"),3))*(VLOOKUP($B$5,标准坦克设计!$B$14:$K$20,9)/30))</f>
        <v>14.701474741044949</v>
      </c>
      <c r="EN218" s="172">
        <f ca="1">(VLOOKUP(EN$72,INDIRECT($C$5&amp;"生成成长"),2))/((VLOOKUP($B218,INDIRECT($B$5&amp;"生成成长"),4))/(VLOOKUP(EN$72,INDIRECT($C$5&amp;"生成成长"),5))*(VLOOKUP($B$5,标准坦克设计!$B$24:$U$30,MATCH("对"&amp;LEFT($C$5,2)&amp;"输出",标准坦克设计!$B$23:$U$23,0)))*(VLOOKUP($B218,INDIRECT($B$5&amp;"生成成长"),3))*(VLOOKUP($B$5,标准坦克设计!$B$14:$K$20,9)/30))</f>
        <v>15.767104799144274</v>
      </c>
      <c r="EO218" s="172">
        <f ca="1">(VLOOKUP(EO$72,INDIRECT($C$5&amp;"生成成长"),2))/((VLOOKUP($B218,INDIRECT($B$5&amp;"生成成长"),4))/(VLOOKUP(EO$72,INDIRECT($C$5&amp;"生成成长"),5))*(VLOOKUP($B$5,标准坦克设计!$B$24:$U$30,MATCH("对"&amp;LEFT($C$5,2)&amp;"输出",标准坦克设计!$B$23:$U$23,0)))*(VLOOKUP($B218,INDIRECT($B$5&amp;"生成成长"),3))*(VLOOKUP($B$5,标准坦克设计!$B$14:$K$20,9)/30))</f>
        <v>16.870016375311209</v>
      </c>
      <c r="EP218" s="172">
        <f ca="1">(VLOOKUP(EP$72,INDIRECT($C$5&amp;"生成成长"),2))/((VLOOKUP($B218,INDIRECT($B$5&amp;"生成成长"),4))/(VLOOKUP(EP$72,INDIRECT($C$5&amp;"生成成长"),5))*(VLOOKUP($B$5,标准坦克设计!$B$24:$U$30,MATCH("对"&amp;LEFT($C$5,2)&amp;"输出",标准坦克设计!$B$23:$U$23,0)))*(VLOOKUP($B218,INDIRECT($B$5&amp;"生成成长"),3))*(VLOOKUP($B$5,标准坦克设计!$B$14:$K$20,9)/30))</f>
        <v>18.01020946954576</v>
      </c>
      <c r="EQ218" s="172">
        <f ca="1">(VLOOKUP(EQ$72,INDIRECT($C$5&amp;"生成成长"),2))/((VLOOKUP($B218,INDIRECT($B$5&amp;"生成成长"),4))/(VLOOKUP(EQ$72,INDIRECT($C$5&amp;"生成成长"),5))*(VLOOKUP($B$5,标准坦克设计!$B$24:$U$30,MATCH("对"&amp;LEFT($C$5,2)&amp;"输出",标准坦克设计!$B$23:$U$23,0)))*(VLOOKUP($B218,INDIRECT($B$5&amp;"生成成长"),3))*(VLOOKUP($B$5,标准坦克设计!$B$14:$K$20,9)/30))</f>
        <v>7.9616753028839611</v>
      </c>
      <c r="ER218" s="172">
        <f ca="1">(VLOOKUP(ER$72,INDIRECT($C$5&amp;"生成成长"),2))/((VLOOKUP($B218,INDIRECT($B$5&amp;"生成成长"),4))/(VLOOKUP(ER$72,INDIRECT($C$5&amp;"生成成长"),5))*(VLOOKUP($B$5,标准坦克设计!$B$24:$U$30,MATCH("对"&amp;LEFT($C$5,2)&amp;"输出",标准坦克设计!$B$23:$U$23,0)))*(VLOOKUP($B218,INDIRECT($B$5&amp;"生成成长"),3))*(VLOOKUP($B$5,标准坦克设计!$B$14:$K$20,9)/30))</f>
        <v>8.6836163662974606</v>
      </c>
      <c r="ES218" s="172">
        <f ca="1">(VLOOKUP(ES$72,INDIRECT($C$5&amp;"生成成长"),2))/((VLOOKUP($B218,INDIRECT($B$5&amp;"生成成长"),4))/(VLOOKUP(ES$72,INDIRECT($C$5&amp;"生成成长"),5))*(VLOOKUP($B$5,标准坦克设计!$B$24:$U$30,MATCH("对"&amp;LEFT($C$5,2)&amp;"输出",标准坦克设计!$B$23:$U$23,0)))*(VLOOKUP($B218,INDIRECT($B$5&amp;"生成成长"),3))*(VLOOKUP($B$5,标准坦克设计!$B$14:$K$20,9)/30))</f>
        <v>9.4368842608649963</v>
      </c>
      <c r="ET218" s="172">
        <f ca="1">(VLOOKUP(ET$72,INDIRECT($C$5&amp;"生成成长"),2))/((VLOOKUP($B218,INDIRECT($B$5&amp;"生成成长"),4))/(VLOOKUP(ET$72,INDIRECT($C$5&amp;"生成成长"),5))*(VLOOKUP($B$5,标准坦克设计!$B$24:$U$30,MATCH("对"&amp;LEFT($C$5,2)&amp;"输出",标准坦克设计!$B$23:$U$23,0)))*(VLOOKUP($B218,INDIRECT($B$5&amp;"生成成长"),3))*(VLOOKUP($B$5,标准坦克设计!$B$14:$K$20,9)/30))</f>
        <v>10.22147898658657</v>
      </c>
      <c r="EU218" s="172">
        <f ca="1">(VLOOKUP(EU$72,INDIRECT($C$5&amp;"生成成长"),2))/((VLOOKUP($B218,INDIRECT($B$5&amp;"生成成长"),4))/(VLOOKUP(EU$72,INDIRECT($C$5&amp;"生成成长"),5))*(VLOOKUP($B$5,标准坦克设计!$B$24:$U$30,MATCH("对"&amp;LEFT($C$5,2)&amp;"输出",标准坦克设计!$B$23:$U$23,0)))*(VLOOKUP($B218,INDIRECT($B$5&amp;"生成成长"),3))*(VLOOKUP($B$5,标准坦克设计!$B$14:$K$20,9)/30))</f>
        <v>11.037400543462182</v>
      </c>
      <c r="EV218" s="172">
        <f ca="1">(VLOOKUP(EV$72,INDIRECT($C$5&amp;"生成成长"),2))/((VLOOKUP($B218,INDIRECT($B$5&amp;"生成成长"),4))/(VLOOKUP(EV$72,INDIRECT($C$5&amp;"生成成长"),5))*(VLOOKUP($B$5,标准坦克设计!$B$24:$U$30,MATCH("对"&amp;LEFT($C$5,2)&amp;"输出",标准坦克设计!$B$23:$U$23,0)))*(VLOOKUP($B218,INDIRECT($B$5&amp;"生成成长"),3))*(VLOOKUP($B$5,标准坦克设计!$B$14:$K$20,9)/30))</f>
        <v>11.884648931491832</v>
      </c>
      <c r="EW218" s="172">
        <f ca="1">(VLOOKUP(EW$72,INDIRECT($C$5&amp;"生成成长"),2))/((VLOOKUP($B218,INDIRECT($B$5&amp;"生成成长"),4))/(VLOOKUP(EW$72,INDIRECT($C$5&amp;"生成成长"),5))*(VLOOKUP($B$5,标准坦克设计!$B$24:$U$30,MATCH("对"&amp;LEFT($C$5,2)&amp;"输出",标准坦克设计!$B$23:$U$23,0)))*(VLOOKUP($B218,INDIRECT($B$5&amp;"生成成长"),3))*(VLOOKUP($B$5,标准坦克设计!$B$14:$K$20,9)/30))</f>
        <v>12.763224150675516</v>
      </c>
      <c r="EX218" s="172">
        <f ca="1">(VLOOKUP(EX$72,INDIRECT($C$5&amp;"生成成长"),2))/((VLOOKUP($B218,INDIRECT($B$5&amp;"生成成长"),4))/(VLOOKUP(EX$72,INDIRECT($C$5&amp;"生成成长"),5))*(VLOOKUP($B$5,标准坦克设计!$B$24:$U$30,MATCH("对"&amp;LEFT($C$5,2)&amp;"输出",标准坦克设计!$B$23:$U$23,0)))*(VLOOKUP($B218,INDIRECT($B$5&amp;"生成成长"),3))*(VLOOKUP($B$5,标准坦克设计!$B$14:$K$20,9)/30))</f>
        <v>13.673126201013238</v>
      </c>
      <c r="EY218" s="172">
        <f ca="1">(VLOOKUP(EY$72,INDIRECT($C$5&amp;"生成成长"),2))/((VLOOKUP($B218,INDIRECT($B$5&amp;"生成成长"),4))/(VLOOKUP(EY$72,INDIRECT($C$5&amp;"生成成长"),5))*(VLOOKUP($B$5,标准坦克设计!$B$24:$U$30,MATCH("对"&amp;LEFT($C$5,2)&amp;"输出",标准坦克设计!$B$23:$U$23,0)))*(VLOOKUP($B218,INDIRECT($B$5&amp;"生成成长"),3))*(VLOOKUP($B$5,标准坦克设计!$B$14:$K$20,9)/30))</f>
        <v>14.614355082505002</v>
      </c>
      <c r="EZ218" s="172">
        <f ca="1">(VLOOKUP(EZ$72,INDIRECT($C$5&amp;"生成成长"),2))/((VLOOKUP($B218,INDIRECT($B$5&amp;"生成成长"),4))/(VLOOKUP(EZ$72,INDIRECT($C$5&amp;"生成成长"),5))*(VLOOKUP($B$5,标准坦克设计!$B$24:$U$30,MATCH("对"&amp;LEFT($C$5,2)&amp;"输出",标准坦克设计!$B$23:$U$23,0)))*(VLOOKUP($B218,INDIRECT($B$5&amp;"生成成长"),3))*(VLOOKUP($B$5,标准坦克设计!$B$14:$K$20,9)/30))</f>
        <v>15.586910795150803</v>
      </c>
      <c r="FA218" s="172">
        <f ca="1">(VLOOKUP(FA$72,INDIRECT($C$5&amp;"生成成长"),2))/((VLOOKUP($B218,INDIRECT($B$5&amp;"生成成长"),4))/(VLOOKUP(FA$72,INDIRECT($C$5&amp;"生成成长"),5))*(VLOOKUP($B$5,标准坦克设计!$B$24:$U$30,MATCH("对"&amp;LEFT($C$5,2)&amp;"输出",标准坦克设计!$B$23:$U$23,0)))*(VLOOKUP($B218,INDIRECT($B$5&amp;"生成成长"),3))*(VLOOKUP($B$5,标准坦克设计!$B$14:$K$20,9)/30))</f>
        <v>16.590793338950636</v>
      </c>
      <c r="FB218" s="172">
        <f ca="1">(VLOOKUP(FB$72,INDIRECT($C$5&amp;"生成成长"),2))/((VLOOKUP($B218,INDIRECT($B$5&amp;"生成成长"),4))/(VLOOKUP(FB$72,INDIRECT($C$5&amp;"生成成长"),5))*(VLOOKUP($B$5,标准坦克设计!$B$24:$U$30,MATCH("对"&amp;LEFT($C$5,2)&amp;"输出",标准坦克设计!$B$23:$U$23,0)))*(VLOOKUP($B218,INDIRECT($B$5&amp;"生成成长"),3))*(VLOOKUP($B$5,标准坦克设计!$B$14:$K$20,9)/30))</f>
        <v>17.626002713904509</v>
      </c>
      <c r="FC218" s="172">
        <f ca="1">(VLOOKUP(FC$72,INDIRECT($C$5&amp;"生成成长"),2))/((VLOOKUP($B218,INDIRECT($B$5&amp;"生成成长"),4))/(VLOOKUP(FC$72,INDIRECT($C$5&amp;"生成成长"),5))*(VLOOKUP($B$5,标准坦克设计!$B$24:$U$30,MATCH("对"&amp;LEFT($C$5,2)&amp;"输出",标准坦克设计!$B$23:$U$23,0)))*(VLOOKUP($B218,INDIRECT($B$5&amp;"生成成长"),3))*(VLOOKUP($B$5,标准坦克设计!$B$14:$K$20,9)/30))</f>
        <v>18.692538920012421</v>
      </c>
      <c r="FD218" s="172">
        <f ca="1">(VLOOKUP(FD$72,INDIRECT($C$5&amp;"生成成长"),2))/((VLOOKUP($B218,INDIRECT($B$5&amp;"生成成长"),4))/(VLOOKUP(FD$72,INDIRECT($C$5&amp;"生成成长"),5))*(VLOOKUP($B$5,标准坦克设计!$B$24:$U$30,MATCH("对"&amp;LEFT($C$5,2)&amp;"输出",标准坦克设计!$B$23:$U$23,0)))*(VLOOKUP($B218,INDIRECT($B$5&amp;"生成成长"),3))*(VLOOKUP($B$5,标准坦克设计!$B$14:$K$20,9)/30))</f>
        <v>19.790401957274369</v>
      </c>
      <c r="FE218" s="172">
        <f ca="1">(VLOOKUP(FE$72,INDIRECT($C$5&amp;"生成成长"),2))/((VLOOKUP($B218,INDIRECT($B$5&amp;"生成成长"),4))/(VLOOKUP(FE$72,INDIRECT($C$5&amp;"生成成长"),5))*(VLOOKUP($B$5,标准坦克设计!$B$24:$U$30,MATCH("对"&amp;LEFT($C$5,2)&amp;"输出",标准坦克设计!$B$23:$U$23,0)))*(VLOOKUP($B218,INDIRECT($B$5&amp;"生成成长"),3))*(VLOOKUP($B$5,标准坦克设计!$B$14:$K$20,9)/30))</f>
        <v>21.128264767096582</v>
      </c>
      <c r="FF218" s="172">
        <f ca="1">(VLOOKUP(FF$72,INDIRECT($C$5&amp;"生成成长"),2))/((VLOOKUP($B218,INDIRECT($B$5&amp;"生成成长"),4))/(VLOOKUP(FF$72,INDIRECT($C$5&amp;"生成成长"),5))*(VLOOKUP($B$5,标准坦克设计!$B$24:$U$30,MATCH("对"&amp;LEFT($C$5,2)&amp;"输出",标准坦克设计!$B$23:$U$23,0)))*(VLOOKUP($B218,INDIRECT($B$5&amp;"生成成长"),3))*(VLOOKUP($B$5,标准坦克设计!$B$14:$K$20,9)/30))</f>
        <v>22.509881580762045</v>
      </c>
      <c r="FG218" s="172">
        <f ca="1">(VLOOKUP(FG$72,INDIRECT($C$5&amp;"生成成长"),2))/((VLOOKUP($B218,INDIRECT($B$5&amp;"生成成长"),4))/(VLOOKUP(FG$72,INDIRECT($C$5&amp;"生成成长"),5))*(VLOOKUP($B$5,标准坦克设计!$B$24:$U$30,MATCH("对"&amp;LEFT($C$5,2)&amp;"输出",标准坦克设计!$B$23:$U$23,0)))*(VLOOKUP($B218,INDIRECT($B$5&amp;"生成成长"),3))*(VLOOKUP($B$5,标准坦克设计!$B$14:$K$20,9)/30))</f>
        <v>23.935252398270748</v>
      </c>
      <c r="FH218" s="172">
        <f ca="1">(VLOOKUP(FH$72,INDIRECT($C$5&amp;"生成成长"),2))/((VLOOKUP($B218,INDIRECT($B$5&amp;"生成成长"),4))/(VLOOKUP(FH$72,INDIRECT($C$5&amp;"生成成长"),5))*(VLOOKUP($B$5,标准坦克设计!$B$24:$U$30,MATCH("对"&amp;LEFT($C$5,2)&amp;"输出",标准坦克设计!$B$23:$U$23,0)))*(VLOOKUP($B218,INDIRECT($B$5&amp;"生成成长"),3))*(VLOOKUP($B$5,标准坦克设计!$B$14:$K$20,9)/30))</f>
        <v>25.404377219622702</v>
      </c>
      <c r="FI218" s="172">
        <f ca="1">(VLOOKUP(FI$72,INDIRECT($C$5&amp;"生成成长"),2))/((VLOOKUP($B218,INDIRECT($B$5&amp;"生成成长"),4))/(VLOOKUP(FI$72,INDIRECT($C$5&amp;"生成成长"),5))*(VLOOKUP($B$5,标准坦克设计!$B$24:$U$30,MATCH("对"&amp;LEFT($C$5,2)&amp;"输出",标准坦克设计!$B$23:$U$23,0)))*(VLOOKUP($B218,INDIRECT($B$5&amp;"生成成长"),3))*(VLOOKUP($B$5,标准坦克设计!$B$14:$K$20,9)/30))</f>
        <v>26.917256044817886</v>
      </c>
      <c r="FJ218" s="172">
        <f ca="1">(VLOOKUP(FJ$72,INDIRECT($C$5&amp;"生成成长"),2))/((VLOOKUP($B218,INDIRECT($B$5&amp;"生成成长"),4))/(VLOOKUP(FJ$72,INDIRECT($C$5&amp;"生成成长"),5))*(VLOOKUP($B$5,标准坦克设计!$B$24:$U$30,MATCH("对"&amp;LEFT($C$5,2)&amp;"输出",标准坦克设计!$B$23:$U$23,0)))*(VLOOKUP($B218,INDIRECT($B$5&amp;"生成成长"),3))*(VLOOKUP($B$5,标准坦克设计!$B$14:$K$20,9)/30))</f>
        <v>28.473888873856311</v>
      </c>
      <c r="FK218" s="172">
        <f ca="1">(VLOOKUP(FK$72,INDIRECT($C$5&amp;"生成成长"),2))/((VLOOKUP($B218,INDIRECT($B$5&amp;"生成成长"),4))/(VLOOKUP(FK$72,INDIRECT($C$5&amp;"生成成长"),5))*(VLOOKUP($B$5,标准坦克设计!$B$24:$U$30,MATCH("对"&amp;LEFT($C$5,2)&amp;"输出",标准坦克设计!$B$23:$U$23,0)))*(VLOOKUP($B218,INDIRECT($B$5&amp;"生成成长"),3))*(VLOOKUP($B$5,标准坦克设计!$B$14:$K$20,9)/30))</f>
        <v>30.074275706737996</v>
      </c>
    </row>
    <row r="219" spans="1:167" x14ac:dyDescent="0.15">
      <c r="A219" s="170" t="str">
        <f t="shared" si="13"/>
        <v>T5高品质3级</v>
      </c>
      <c r="B219" s="171">
        <v>30503</v>
      </c>
      <c r="C219" s="172">
        <f ca="1">(VLOOKUP(C$72,INDIRECT($C$5&amp;"生成成长"),2))/((VLOOKUP($B219,INDIRECT($B$5&amp;"生成成长"),4))/(VLOOKUP(C$72,INDIRECT($C$5&amp;"生成成长"),5))*(VLOOKUP($B$5,标准坦克设计!$B$24:$U$30,MATCH("对"&amp;LEFT($C$5,2)&amp;"输出",标准坦克设计!$B$23:$U$23,0)))*(VLOOKUP($B219,INDIRECT($B$5&amp;"生成成长"),3))*(VLOOKUP($B$5,标准坦克设计!$B$14:$K$20,9)/30))</f>
        <v>1.1889175999202415</v>
      </c>
      <c r="D219" s="172">
        <f ca="1">(VLOOKUP(D$72,INDIRECT($C$5&amp;"生成成长"),2))/((VLOOKUP($B219,INDIRECT($B$5&amp;"生成成长"),4))/(VLOOKUP(D$72,INDIRECT($C$5&amp;"生成成长"),5))*(VLOOKUP($B$5,标准坦克设计!$B$24:$U$30,MATCH("对"&amp;LEFT($C$5,2)&amp;"输出",标准坦克设计!$B$23:$U$23,0)))*(VLOOKUP($B219,INDIRECT($B$5&amp;"生成成长"),3))*(VLOOKUP($B$5,标准坦克设计!$B$14:$K$20,9)/30))</f>
        <v>1.3358678152703833</v>
      </c>
      <c r="E219" s="172">
        <f ca="1">(VLOOKUP(E$72,INDIRECT($C$5&amp;"生成成长"),2))/((VLOOKUP($B219,INDIRECT($B$5&amp;"生成成长"),4))/(VLOOKUP(E$72,INDIRECT($C$5&amp;"生成成长"),5))*(VLOOKUP($B$5,标准坦克设计!$B$24:$U$30,MATCH("对"&amp;LEFT($C$5,2)&amp;"输出",标准坦克设计!$B$23:$U$23,0)))*(VLOOKUP($B219,INDIRECT($B$5&amp;"生成成长"),3))*(VLOOKUP($B$5,标准坦克设计!$B$14:$K$20,9)/30))</f>
        <v>1.4913782373399511</v>
      </c>
      <c r="F219" s="172">
        <f ca="1">(VLOOKUP(F$72,INDIRECT($C$5&amp;"生成成长"),2))/((VLOOKUP($B219,INDIRECT($B$5&amp;"生成成长"),4))/(VLOOKUP(F$72,INDIRECT($C$5&amp;"生成成长"),5))*(VLOOKUP($B$5,标准坦克设计!$B$24:$U$30,MATCH("对"&amp;LEFT($C$5,2)&amp;"输出",标准坦克设计!$B$23:$U$23,0)))*(VLOOKUP($B219,INDIRECT($B$5&amp;"生成成长"),3))*(VLOOKUP($B$5,标准坦克设计!$B$14:$K$20,9)/30))</f>
        <v>1.6554488661289442</v>
      </c>
      <c r="G219" s="172">
        <f ca="1">(VLOOKUP(G$72,INDIRECT($C$5&amp;"生成成长"),2))/((VLOOKUP($B219,INDIRECT($B$5&amp;"生成成长"),4))/(VLOOKUP(G$72,INDIRECT($C$5&amp;"生成成长"),5))*(VLOOKUP($B$5,标准坦克设计!$B$24:$U$30,MATCH("对"&amp;LEFT($C$5,2)&amp;"输出",标准坦克设计!$B$23:$U$23,0)))*(VLOOKUP($B219,INDIRECT($B$5&amp;"生成成长"),3))*(VLOOKUP($B$5,标准坦克设计!$B$14:$K$20,9)/30))</f>
        <v>1.8280797016373638</v>
      </c>
      <c r="H219" s="172">
        <f ca="1">(VLOOKUP(H$72,INDIRECT($C$5&amp;"生成成长"),2))/((VLOOKUP($B219,INDIRECT($B$5&amp;"生成成长"),4))/(VLOOKUP(H$72,INDIRECT($C$5&amp;"生成成长"),5))*(VLOOKUP($B$5,标准坦克设计!$B$24:$U$30,MATCH("对"&amp;LEFT($C$5,2)&amp;"输出",标准坦克设计!$B$23:$U$23,0)))*(VLOOKUP($B219,INDIRECT($B$5&amp;"生成成长"),3))*(VLOOKUP($B$5,标准坦克设计!$B$14:$K$20,9)/30))</f>
        <v>1.5998075224526773</v>
      </c>
      <c r="I219" s="172">
        <f ca="1">(VLOOKUP(I$72,INDIRECT($C$5&amp;"生成成长"),2))/((VLOOKUP($B219,INDIRECT($B$5&amp;"生成成长"),4))/(VLOOKUP(I$72,INDIRECT($C$5&amp;"生成成长"),5))*(VLOOKUP($B$5,标准坦克设计!$B$24:$U$30,MATCH("对"&amp;LEFT($C$5,2)&amp;"输出",标准坦克设计!$B$23:$U$23,0)))*(VLOOKUP($B219,INDIRECT($B$5&amp;"生成成长"),3))*(VLOOKUP($B$5,标准坦克设计!$B$14:$K$20,9)/30))</f>
        <v>1.8280797016373638</v>
      </c>
      <c r="J219" s="172">
        <f ca="1">(VLOOKUP(J$72,INDIRECT($C$5&amp;"生成成长"),2))/((VLOOKUP($B219,INDIRECT($B$5&amp;"生成成长"),4))/(VLOOKUP(J$72,INDIRECT($C$5&amp;"生成成长"),5))*(VLOOKUP($B$5,标准坦克设计!$B$24:$U$30,MATCH("对"&amp;LEFT($C$5,2)&amp;"输出",标准坦克设计!$B$23:$U$23,0)))*(VLOOKUP($B219,INDIRECT($B$5&amp;"生成成长"),3))*(VLOOKUP($B$5,标准坦克设计!$B$14:$K$20,9)/30))</f>
        <v>2.0715700261010288</v>
      </c>
      <c r="K219" s="172">
        <f ca="1">(VLOOKUP(K$72,INDIRECT($C$5&amp;"生成成长"),2))/((VLOOKUP($B219,INDIRECT($B$5&amp;"生成成长"),4))/(VLOOKUP(K$72,INDIRECT($C$5&amp;"生成成长"),5))*(VLOOKUP($B$5,标准坦克设计!$B$24:$U$30,MATCH("对"&amp;LEFT($C$5,2)&amp;"输出",标准坦克设计!$B$23:$U$23,0)))*(VLOOKUP($B219,INDIRECT($B$5&amp;"生成成长"),3))*(VLOOKUP($B$5,标准坦克设计!$B$14:$K$20,9)/30))</f>
        <v>2.3302784958436731</v>
      </c>
      <c r="L219" s="172">
        <f ca="1">(VLOOKUP(L$72,INDIRECT($C$5&amp;"生成成长"),2))/((VLOOKUP($B219,INDIRECT($B$5&amp;"生成成长"),4))/(VLOOKUP(L$72,INDIRECT($C$5&amp;"生成成长"),5))*(VLOOKUP($B$5,标准坦克设计!$B$24:$U$30,MATCH("对"&amp;LEFT($C$5,2)&amp;"输出",标准坦克设计!$B$23:$U$23,0)))*(VLOOKUP($B219,INDIRECT($B$5&amp;"生成成长"),3))*(VLOOKUP($B$5,标准坦克设计!$B$14:$K$20,9)/30))</f>
        <v>2.6042051108652968</v>
      </c>
      <c r="M219" s="172">
        <f ca="1">(VLOOKUP(M$72,INDIRECT($C$5&amp;"生成成长"),2))/((VLOOKUP($B219,INDIRECT($B$5&amp;"生成成长"),4))/(VLOOKUP(M$72,INDIRECT($C$5&amp;"生成成长"),5))*(VLOOKUP($B$5,标准坦克设计!$B$24:$U$30,MATCH("对"&amp;LEFT($C$5,2)&amp;"输出",标准坦克设计!$B$23:$U$23,0)))*(VLOOKUP($B219,INDIRECT($B$5&amp;"生成成长"),3))*(VLOOKUP($B$5,标准坦克设计!$B$14:$K$20,9)/30))</f>
        <v>2.8933498711658996</v>
      </c>
      <c r="N219" s="172">
        <f ca="1">(VLOOKUP(N$72,INDIRECT($C$5&amp;"生成成长"),2))/((VLOOKUP($B219,INDIRECT($B$5&amp;"生成成长"),4))/(VLOOKUP(N$72,INDIRECT($C$5&amp;"生成成长"),5))*(VLOOKUP($B$5,标准坦克设计!$B$24:$U$30,MATCH("对"&amp;LEFT($C$5,2)&amp;"输出",标准坦克设计!$B$23:$U$23,0)))*(VLOOKUP($B219,INDIRECT($B$5&amp;"生成成长"),3))*(VLOOKUP($B$5,标准坦克设计!$B$14:$K$20,9)/30))</f>
        <v>3.1977127767454818</v>
      </c>
      <c r="O219" s="172">
        <f ca="1">(VLOOKUP(O$72,INDIRECT($C$5&amp;"生成成长"),2))/((VLOOKUP($B219,INDIRECT($B$5&amp;"生成成长"),4))/(VLOOKUP(O$72,INDIRECT($C$5&amp;"生成成长"),5))*(VLOOKUP($B$5,标准坦克设计!$B$24:$U$30,MATCH("对"&amp;LEFT($C$5,2)&amp;"输出",标准坦克设计!$B$23:$U$23,0)))*(VLOOKUP($B219,INDIRECT($B$5&amp;"生成成长"),3))*(VLOOKUP($B$5,标准坦克设计!$B$14:$K$20,9)/30))</f>
        <v>2.4312176000769017</v>
      </c>
      <c r="P219" s="172">
        <f ca="1">(VLOOKUP(P$72,INDIRECT($C$5&amp;"生成成长"),2))/((VLOOKUP($B219,INDIRECT($B$5&amp;"生成成长"),4))/(VLOOKUP(P$72,INDIRECT($C$5&amp;"生成成长"),5))*(VLOOKUP($B$5,标准坦克设计!$B$24:$U$30,MATCH("对"&amp;LEFT($C$5,2)&amp;"输出",标准坦克设计!$B$23:$U$23,0)))*(VLOOKUP($B219,INDIRECT($B$5&amp;"生成成长"),3))*(VLOOKUP($B$5,标准坦克设计!$B$14:$K$20,9)/30))</f>
        <v>2.7468752228557261</v>
      </c>
      <c r="Q219" s="172">
        <f ca="1">(VLOOKUP(Q$72,INDIRECT($C$5&amp;"生成成长"),2))/((VLOOKUP($B219,INDIRECT($B$5&amp;"生成成长"),4))/(VLOOKUP(Q$72,INDIRECT($C$5&amp;"生成成长"),5))*(VLOOKUP($B$5,标准坦克设计!$B$24:$U$30,MATCH("对"&amp;LEFT($C$5,2)&amp;"输出",标准坦克设计!$B$23:$U$23,0)))*(VLOOKUP($B219,INDIRECT($B$5&amp;"生成成长"),3))*(VLOOKUP($B$5,标准坦克设计!$B$14:$K$20,9)/30))</f>
        <v>3.0817933107532576</v>
      </c>
      <c r="R219" s="172">
        <f ca="1">(VLOOKUP(R$72,INDIRECT($C$5&amp;"生成成长"),2))/((VLOOKUP($B219,INDIRECT($B$5&amp;"生成成长"),4))/(VLOOKUP(R$72,INDIRECT($C$5&amp;"生成成长"),5))*(VLOOKUP($B$5,标准坦克设计!$B$24:$U$30,MATCH("对"&amp;LEFT($C$5,2)&amp;"输出",标准坦克设计!$B$23:$U$23,0)))*(VLOOKUP($B219,INDIRECT($B$5&amp;"生成成长"),3))*(VLOOKUP($B$5,标准坦克设计!$B$14:$K$20,9)/30))</f>
        <v>3.435971863769498</v>
      </c>
      <c r="S219" s="172">
        <f ca="1">(VLOOKUP(S$72,INDIRECT($C$5&amp;"生成成长"),2))/((VLOOKUP($B219,INDIRECT($B$5&amp;"生成成长"),4))/(VLOOKUP(S$72,INDIRECT($C$5&amp;"生成成长"),5))*(VLOOKUP($B$5,标准坦克设计!$B$24:$U$30,MATCH("对"&amp;LEFT($C$5,2)&amp;"输出",标准坦克设计!$B$23:$U$23,0)))*(VLOOKUP($B219,INDIRECT($B$5&amp;"生成成长"),3))*(VLOOKUP($B$5,标准坦克设计!$B$14:$K$20,9)/30))</f>
        <v>3.8094108819044457</v>
      </c>
      <c r="T219" s="172">
        <f ca="1">(VLOOKUP(T$72,INDIRECT($C$5&amp;"生成成长"),2))/((VLOOKUP($B219,INDIRECT($B$5&amp;"生成成长"),4))/(VLOOKUP(T$72,INDIRECT($C$5&amp;"生成成长"),5))*(VLOOKUP($B$5,标准坦克设计!$B$24:$U$30,MATCH("对"&amp;LEFT($C$5,2)&amp;"输出",标准坦克设计!$B$23:$U$23,0)))*(VLOOKUP($B219,INDIRECT($B$5&amp;"生成成长"),3))*(VLOOKUP($B$5,标准坦克设计!$B$14:$K$20,9)/30))</f>
        <v>4.2021103651581013</v>
      </c>
      <c r="U219" s="172">
        <f ca="1">(VLOOKUP(U$72,INDIRECT($C$5&amp;"生成成长"),2))/((VLOOKUP($B219,INDIRECT($B$5&amp;"生成成长"),4))/(VLOOKUP(U$72,INDIRECT($C$5&amp;"生成成长"),5))*(VLOOKUP($B$5,标准坦克设计!$B$24:$U$30,MATCH("对"&amp;LEFT($C$5,2)&amp;"输出",标准坦克设计!$B$23:$U$23,0)))*(VLOOKUP($B219,INDIRECT($B$5&amp;"生成成长"),3))*(VLOOKUP($B$5,标准坦克设计!$B$14:$K$20,9)/30))</f>
        <v>4.6140703135304655</v>
      </c>
      <c r="V219" s="172">
        <f ca="1">(VLOOKUP(V$72,INDIRECT($C$5&amp;"生成成长"),2))/((VLOOKUP($B219,INDIRECT($B$5&amp;"生成成长"),4))/(VLOOKUP(V$72,INDIRECT($C$5&amp;"生成成长"),5))*(VLOOKUP($B$5,标准坦克设计!$B$24:$U$30,MATCH("对"&amp;LEFT($C$5,2)&amp;"输出",标准坦克设计!$B$23:$U$23,0)))*(VLOOKUP($B219,INDIRECT($B$5&amp;"生成成长"),3))*(VLOOKUP($B$5,标准坦克设计!$B$14:$K$20,9)/30))</f>
        <v>5.0452907270215368</v>
      </c>
      <c r="W219" s="172">
        <f ca="1">(VLOOKUP(W$72,INDIRECT($C$5&amp;"生成成长"),2))/((VLOOKUP($B219,INDIRECT($B$5&amp;"生成成长"),4))/(VLOOKUP(W$72,INDIRECT($C$5&amp;"生成成长"),5))*(VLOOKUP($B$5,标准坦克设计!$B$24:$U$30,MATCH("对"&amp;LEFT($C$5,2)&amp;"输出",标准坦克设计!$B$23:$U$23,0)))*(VLOOKUP($B219,INDIRECT($B$5&amp;"生成成长"),3))*(VLOOKUP($B$5,标准坦克设计!$B$14:$K$20,9)/30))</f>
        <v>5.4957716056313153</v>
      </c>
      <c r="X219" s="172">
        <f ca="1">(VLOOKUP(X$72,INDIRECT($C$5&amp;"生成成长"),2))/((VLOOKUP($B219,INDIRECT($B$5&amp;"生成成长"),4))/(VLOOKUP(X$72,INDIRECT($C$5&amp;"生成成长"),5))*(VLOOKUP($B$5,标准坦克设计!$B$24:$U$30,MATCH("对"&amp;LEFT($C$5,2)&amp;"输出",标准坦克设计!$B$23:$U$23,0)))*(VLOOKUP($B219,INDIRECT($B$5&amp;"生成成长"),3))*(VLOOKUP($B$5,标准坦克设计!$B$14:$K$20,9)/30))</f>
        <v>3.9815661503728959</v>
      </c>
      <c r="Y219" s="172">
        <f ca="1">(VLOOKUP(Y$72,INDIRECT($C$5&amp;"生成成长"),2))/((VLOOKUP($B219,INDIRECT($B$5&amp;"生成成长"),4))/(VLOOKUP(Y$72,INDIRECT($C$5&amp;"生成成长"),5))*(VLOOKUP($B$5,标准坦克设计!$B$24:$U$30,MATCH("对"&amp;LEFT($C$5,2)&amp;"输出",标准坦克设计!$B$23:$U$23,0)))*(VLOOKUP($B219,INDIRECT($B$5&amp;"生成成长"),3))*(VLOOKUP($B$5,标准坦克设计!$B$14:$K$20,9)/30))</f>
        <v>4.4285991679429069</v>
      </c>
      <c r="Z219" s="172">
        <f ca="1">(VLOOKUP(Z$72,INDIRECT($C$5&amp;"生成成长"),2))/((VLOOKUP($B219,INDIRECT($B$5&amp;"生成成长"),4))/(VLOOKUP(Z$72,INDIRECT($C$5&amp;"生成成长"),5))*(VLOOKUP($B$5,标准坦克设计!$B$24:$U$30,MATCH("对"&amp;LEFT($C$5,2)&amp;"输出",标准坦克设计!$B$23:$U$23,0)))*(VLOOKUP($B219,INDIRECT($B$5&amp;"生成成长"),3))*(VLOOKUP($B$5,标准坦克设计!$B$14:$K$20,9)/30))</f>
        <v>4.899410537511323</v>
      </c>
      <c r="AA219" s="172">
        <f ca="1">(VLOOKUP(AA$72,INDIRECT($C$5&amp;"生成成长"),2))/((VLOOKUP($B219,INDIRECT($B$5&amp;"生成成长"),4))/(VLOOKUP(AA$72,INDIRECT($C$5&amp;"生成成长"),5))*(VLOOKUP($B$5,标准坦克设计!$B$24:$U$30,MATCH("对"&amp;LEFT($C$5,2)&amp;"输出",标准坦克设计!$B$23:$U$23,0)))*(VLOOKUP($B219,INDIRECT($B$5&amp;"生成成长"),3))*(VLOOKUP($B$5,标准坦克设计!$B$14:$K$20,9)/30))</f>
        <v>5.3940002590781431</v>
      </c>
      <c r="AB219" s="172">
        <f ca="1">(VLOOKUP(AB$72,INDIRECT($C$5&amp;"生成成长"),2))/((VLOOKUP($B219,INDIRECT($B$5&amp;"生成成长"),4))/(VLOOKUP(AB$72,INDIRECT($C$5&amp;"生成成长"),5))*(VLOOKUP($B$5,标准坦克设计!$B$24:$U$30,MATCH("对"&amp;LEFT($C$5,2)&amp;"输出",标准坦克设计!$B$23:$U$23,0)))*(VLOOKUP($B219,INDIRECT($B$5&amp;"生成成长"),3))*(VLOOKUP($B$5,标准坦克设计!$B$14:$K$20,9)/30))</f>
        <v>5.9123683326433696</v>
      </c>
      <c r="AC219" s="172">
        <f ca="1">(VLOOKUP(AC$72,INDIRECT($C$5&amp;"生成成长"),2))/((VLOOKUP($B219,INDIRECT($B$5&amp;"生成成长"),4))/(VLOOKUP(AC$72,INDIRECT($C$5&amp;"生成成长"),5))*(VLOOKUP($B$5,标准坦克设计!$B$24:$U$30,MATCH("对"&amp;LEFT($C$5,2)&amp;"输出",标准坦克设计!$B$23:$U$23,0)))*(VLOOKUP($B219,INDIRECT($B$5&amp;"生成成长"),3))*(VLOOKUP($B$5,标准坦克设计!$B$14:$K$20,9)/30))</f>
        <v>6.4545147582069982</v>
      </c>
      <c r="AD219" s="172">
        <f ca="1">(VLOOKUP(AD$72,INDIRECT($C$5&amp;"生成成长"),2))/((VLOOKUP($B219,INDIRECT($B$5&amp;"生成成长"),4))/(VLOOKUP(AD$72,INDIRECT($C$5&amp;"生成成长"),5))*(VLOOKUP($B$5,标准坦克设计!$B$24:$U$30,MATCH("对"&amp;LEFT($C$5,2)&amp;"输出",标准坦克设计!$B$23:$U$23,0)))*(VLOOKUP($B219,INDIRECT($B$5&amp;"生成成长"),3))*(VLOOKUP($B$5,标准坦克设计!$B$14:$K$20,9)/30))</f>
        <v>7.0204395357690332</v>
      </c>
      <c r="AE219" s="172">
        <f ca="1">(VLOOKUP(AE$72,INDIRECT($C$5&amp;"生成成长"),2))/((VLOOKUP($B219,INDIRECT($B$5&amp;"生成成长"),4))/(VLOOKUP(AE$72,INDIRECT($C$5&amp;"生成成长"),5))*(VLOOKUP($B$5,标准坦克设计!$B$24:$U$30,MATCH("对"&amp;LEFT($C$5,2)&amp;"输出",标准坦克设计!$B$23:$U$23,0)))*(VLOOKUP($B219,INDIRECT($B$5&amp;"生成成长"),3))*(VLOOKUP($B$5,标准坦克设计!$B$14:$K$20,9)/30))</f>
        <v>7.610142665329473</v>
      </c>
      <c r="AF219" s="172">
        <f ca="1">(VLOOKUP(AF$72,INDIRECT($C$5&amp;"生成成长"),2))/((VLOOKUP($B219,INDIRECT($B$5&amp;"生成成长"),4))/(VLOOKUP(AF$72,INDIRECT($C$5&amp;"生成成长"),5))*(VLOOKUP($B$5,标准坦克设计!$B$24:$U$30,MATCH("对"&amp;LEFT($C$5,2)&amp;"输出",标准坦克设计!$B$23:$U$23,0)))*(VLOOKUP($B219,INDIRECT($B$5&amp;"生成成长"),3))*(VLOOKUP($B$5,标准坦克设计!$B$14:$K$20,9)/30))</f>
        <v>8.2236241468883176</v>
      </c>
      <c r="AG219" s="172">
        <f ca="1">(VLOOKUP(AG$72,INDIRECT($C$5&amp;"生成成长"),2))/((VLOOKUP($B219,INDIRECT($B$5&amp;"生成成长"),4))/(VLOOKUP(AG$72,INDIRECT($C$5&amp;"生成成长"),5))*(VLOOKUP($B$5,标准坦克设计!$B$24:$U$30,MATCH("对"&amp;LEFT($C$5,2)&amp;"输出",标准坦克设计!$B$23:$U$23,0)))*(VLOOKUP($B219,INDIRECT($B$5&amp;"生成成长"),3))*(VLOOKUP($B$5,标准坦克设计!$B$14:$K$20,9)/30))</f>
        <v>8.8608839804455659</v>
      </c>
      <c r="AH219" s="172">
        <f ca="1">(VLOOKUP(AH$72,INDIRECT($C$5&amp;"生成成长"),2))/((VLOOKUP($B219,INDIRECT($B$5&amp;"生成成长"),4))/(VLOOKUP(AH$72,INDIRECT($C$5&amp;"生成成长"),5))*(VLOOKUP($B$5,标准坦克设计!$B$24:$U$30,MATCH("对"&amp;LEFT($C$5,2)&amp;"输出",标准坦克设计!$B$23:$U$23,0)))*(VLOOKUP($B219,INDIRECT($B$5&amp;"生成成长"),3))*(VLOOKUP($B$5,标准坦克设计!$B$14:$K$20,9)/30))</f>
        <v>9.5219221660012217</v>
      </c>
      <c r="AI219" s="172">
        <f ca="1">(VLOOKUP(AI$72,INDIRECT($C$5&amp;"生成成长"),2))/((VLOOKUP($B219,INDIRECT($B$5&amp;"生成成长"),4))/(VLOOKUP(AI$72,INDIRECT($C$5&amp;"生成成长"),5))*(VLOOKUP($B$5,标准坦克设计!$B$24:$U$30,MATCH("对"&amp;LEFT($C$5,2)&amp;"输出",标准坦克设计!$B$23:$U$23,0)))*(VLOOKUP($B219,INDIRECT($B$5&amp;"生成成长"),3))*(VLOOKUP($B$5,标准坦克设计!$B$14:$K$20,9)/30))</f>
        <v>6.7345048529882154</v>
      </c>
      <c r="AJ219" s="172">
        <f ca="1">(VLOOKUP(AJ$72,INDIRECT($C$5&amp;"生成成长"),2))/((VLOOKUP($B219,INDIRECT($B$5&amp;"生成成长"),4))/(VLOOKUP(AJ$72,INDIRECT($C$5&amp;"生成成长"),5))*(VLOOKUP($B$5,标准坦克设计!$B$24:$U$30,MATCH("对"&amp;LEFT($C$5,2)&amp;"输出",标准坦克设计!$B$23:$U$23,0)))*(VLOOKUP($B219,INDIRECT($B$5&amp;"生成成长"),3))*(VLOOKUP($B$5,标准坦克设计!$B$14:$K$20,9)/30))</f>
        <v>7.3714080112654896</v>
      </c>
      <c r="AK219" s="172">
        <f ca="1">(VLOOKUP(AK$72,INDIRECT($C$5&amp;"生成成长"),2))/((VLOOKUP($B219,INDIRECT($B$5&amp;"生成成长"),4))/(VLOOKUP(AK$72,INDIRECT($C$5&amp;"生成成长"),5))*(VLOOKUP($B$5,标准坦克设计!$B$24:$U$30,MATCH("对"&amp;LEFT($C$5,2)&amp;"输出",标准坦克设计!$B$23:$U$23,0)))*(VLOOKUP($B219,INDIRECT($B$5&amp;"生成成长"),3))*(VLOOKUP($B$5,标准坦克设计!$B$14:$K$20,9)/30))</f>
        <v>8.0370829754608319</v>
      </c>
      <c r="AL219" s="172">
        <f ca="1">(VLOOKUP(AL$72,INDIRECT($C$5&amp;"生成成长"),2))/((VLOOKUP($B219,INDIRECT($B$5&amp;"生成成长"),4))/(VLOOKUP(AL$72,INDIRECT($C$5&amp;"生成成长"),5))*(VLOOKUP($B$5,标准坦克设计!$B$24:$U$30,MATCH("对"&amp;LEFT($C$5,2)&amp;"输出",标准坦克设计!$B$23:$U$23,0)))*(VLOOKUP($B219,INDIRECT($B$5&amp;"生成成长"),3))*(VLOOKUP($B$5,标准坦克设计!$B$14:$K$20,9)/30))</f>
        <v>8.7315297455742442</v>
      </c>
      <c r="AM219" s="172">
        <f ca="1">(VLOOKUP(AM$72,INDIRECT($C$5&amp;"生成成长"),2))/((VLOOKUP($B219,INDIRECT($B$5&amp;"生成成长"),4))/(VLOOKUP(AM$72,INDIRECT($C$5&amp;"生成成长"),5))*(VLOOKUP($B$5,标准坦克设计!$B$24:$U$30,MATCH("对"&amp;LEFT($C$5,2)&amp;"输出",标准坦克设计!$B$23:$U$23,0)))*(VLOOKUP($B219,INDIRECT($B$5&amp;"生成成长"),3))*(VLOOKUP($B$5,标准坦克设计!$B$14:$K$20,9)/30))</f>
        <v>9.4547483216057291</v>
      </c>
      <c r="AN219" s="172">
        <f ca="1">(VLOOKUP(AN$72,INDIRECT($C$5&amp;"生成成长"),2))/((VLOOKUP($B219,INDIRECT($B$5&amp;"生成成长"),4))/(VLOOKUP(AN$72,INDIRECT($C$5&amp;"生成成长"),5))*(VLOOKUP($B$5,标准坦克设计!$B$24:$U$30,MATCH("对"&amp;LEFT($C$5,2)&amp;"输出",标准坦克设计!$B$23:$U$23,0)))*(VLOOKUP($B219,INDIRECT($B$5&amp;"生成成长"),3))*(VLOOKUP($B$5,标准坦克设计!$B$14:$K$20,9)/30))</f>
        <v>10.206738703555281</v>
      </c>
      <c r="AO219" s="172">
        <f ca="1">(VLOOKUP(AO$72,INDIRECT($C$5&amp;"生成成长"),2))/((VLOOKUP($B219,INDIRECT($B$5&amp;"生成成长"),4))/(VLOOKUP(AO$72,INDIRECT($C$5&amp;"生成成长"),5))*(VLOOKUP($B$5,标准坦克设计!$B$24:$U$30,MATCH("对"&amp;LEFT($C$5,2)&amp;"输出",标准坦克设计!$B$23:$U$23,0)))*(VLOOKUP($B219,INDIRECT($B$5&amp;"生成成长"),3))*(VLOOKUP($B$5,标准坦克设计!$B$14:$K$20,9)/30))</f>
        <v>10.987500891422904</v>
      </c>
      <c r="AP219" s="172">
        <f ca="1">(VLOOKUP(AP$72,INDIRECT($C$5&amp;"生成成长"),2))/((VLOOKUP($B219,INDIRECT($B$5&amp;"生成成长"),4))/(VLOOKUP(AP$72,INDIRECT($C$5&amp;"生成成长"),5))*(VLOOKUP($B$5,标准坦克设计!$B$24:$U$30,MATCH("对"&amp;LEFT($C$5,2)&amp;"输出",标准坦克设计!$B$23:$U$23,0)))*(VLOOKUP($B219,INDIRECT($B$5&amp;"生成成长"),3))*(VLOOKUP($B$5,标准坦克设计!$B$14:$K$20,9)/30))</f>
        <v>11.797034885208596</v>
      </c>
      <c r="AQ219" s="172">
        <f ca="1">(VLOOKUP(AQ$72,INDIRECT($C$5&amp;"生成成长"),2))/((VLOOKUP($B219,INDIRECT($B$5&amp;"生成成长"),4))/(VLOOKUP(AQ$72,INDIRECT($C$5&amp;"生成成长"),5))*(VLOOKUP($B$5,标准坦克设计!$B$24:$U$30,MATCH("对"&amp;LEFT($C$5,2)&amp;"输出",标准坦克设计!$B$23:$U$23,0)))*(VLOOKUP($B219,INDIRECT($B$5&amp;"生成成长"),3))*(VLOOKUP($B$5,标准坦克设计!$B$14:$K$20,9)/30))</f>
        <v>12.635340684912359</v>
      </c>
      <c r="AR219" s="172">
        <f ca="1">(VLOOKUP(AR$72,INDIRECT($C$5&amp;"生成成长"),2))/((VLOOKUP($B219,INDIRECT($B$5&amp;"生成成长"),4))/(VLOOKUP(AR$72,INDIRECT($C$5&amp;"生成成长"),5))*(VLOOKUP($B$5,标准坦克设计!$B$24:$U$30,MATCH("对"&amp;LEFT($C$5,2)&amp;"输出",标准坦克设计!$B$23:$U$23,0)))*(VLOOKUP($B219,INDIRECT($B$5&amp;"生成成长"),3))*(VLOOKUP($B$5,标准坦克设计!$B$14:$K$20,9)/30))</f>
        <v>13.502418290534191</v>
      </c>
      <c r="AS219" s="172">
        <f ca="1">(VLOOKUP(AS$72,INDIRECT($C$5&amp;"生成成长"),2))/((VLOOKUP($B219,INDIRECT($B$5&amp;"生成成长"),4))/(VLOOKUP(AS$72,INDIRECT($C$5&amp;"生成成长"),5))*(VLOOKUP($B$5,标准坦克设计!$B$24:$U$30,MATCH("对"&amp;LEFT($C$5,2)&amp;"输出",标准坦克设计!$B$23:$U$23,0)))*(VLOOKUP($B219,INDIRECT($B$5&amp;"生成成长"),3))*(VLOOKUP($B$5,标准坦克设计!$B$14:$K$20,9)/30))</f>
        <v>14.398267702074094</v>
      </c>
      <c r="AT219" s="172">
        <f ca="1">(VLOOKUP(AT$72,INDIRECT($C$5&amp;"生成成长"),2))/((VLOOKUP($B219,INDIRECT($B$5&amp;"生成成长"),4))/(VLOOKUP(AT$72,INDIRECT($C$5&amp;"生成成长"),5))*(VLOOKUP($B$5,标准坦克设计!$B$24:$U$30,MATCH("对"&amp;LEFT($C$5,2)&amp;"输出",标准坦克设计!$B$23:$U$23,0)))*(VLOOKUP($B219,INDIRECT($B$5&amp;"生成成长"),3))*(VLOOKUP($B$5,标准坦克设计!$B$14:$K$20,9)/30))</f>
        <v>15.322888919532065</v>
      </c>
      <c r="AU219" s="172">
        <f ca="1">(VLOOKUP(AU$72,INDIRECT($C$5&amp;"生成成长"),2))/((VLOOKUP($B219,INDIRECT($B$5&amp;"生成成长"),4))/(VLOOKUP(AU$72,INDIRECT($C$5&amp;"生成成长"),5))*(VLOOKUP($B$5,标准坦克设计!$B$24:$U$30,MATCH("对"&amp;LEFT($C$5,2)&amp;"输出",标准坦克设计!$B$23:$U$23,0)))*(VLOOKUP($B219,INDIRECT($B$5&amp;"生成成长"),3))*(VLOOKUP($B$5,标准坦克设计!$B$14:$K$20,9)/30))</f>
        <v>16.276281942908106</v>
      </c>
      <c r="AV219" s="172">
        <f ca="1">(VLOOKUP(AV$72,INDIRECT($C$5&amp;"生成成长"),2))/((VLOOKUP($B219,INDIRECT($B$5&amp;"生成成长"),4))/(VLOOKUP(AV$72,INDIRECT($C$5&amp;"生成成长"),5))*(VLOOKUP($B$5,标准坦克设计!$B$24:$U$30,MATCH("对"&amp;LEFT($C$5,2)&amp;"输出",标准坦克设计!$B$23:$U$23,0)))*(VLOOKUP($B219,INDIRECT($B$5&amp;"生成成长"),3))*(VLOOKUP($B$5,标准坦克设计!$B$14:$K$20,9)/30))</f>
        <v>1.6554488661289442</v>
      </c>
      <c r="AW219" s="172">
        <f ca="1">(VLOOKUP(AW$72,INDIRECT($C$5&amp;"生成成长"),2))/((VLOOKUP($B219,INDIRECT($B$5&amp;"生成成长"),4))/(VLOOKUP(AW$72,INDIRECT($C$5&amp;"生成成长"),5))*(VLOOKUP($B$5,标准坦克设计!$B$24:$U$30,MATCH("对"&amp;LEFT($C$5,2)&amp;"输出",标准坦克设计!$B$23:$U$23,0)))*(VLOOKUP($B219,INDIRECT($B$5&amp;"生成成长"),3))*(VLOOKUP($B$5,标准坦克设计!$B$14:$K$20,9)/30))</f>
        <v>1.8875255816333756</v>
      </c>
      <c r="AX219" s="172">
        <f ca="1">(VLOOKUP(AX$72,INDIRECT($C$5&amp;"生成成长"),2))/((VLOOKUP($B219,INDIRECT($B$5&amp;"生成成长"),4))/(VLOOKUP(AX$72,INDIRECT($C$5&amp;"生成成长"),5))*(VLOOKUP($B$5,标准坦克设计!$B$24:$U$30,MATCH("对"&amp;LEFT($C$5,2)&amp;"输出",标准坦克设计!$B$23:$U$23,0)))*(VLOOKUP($B219,INDIRECT($B$5&amp;"生成成长"),3))*(VLOOKUP($B$5,标准坦克设计!$B$14:$K$20,9)/30))</f>
        <v>2.1348204424167858</v>
      </c>
      <c r="AY219" s="172">
        <f ca="1">(VLOOKUP(AY$72,INDIRECT($C$5&amp;"生成成长"),2))/((VLOOKUP($B219,INDIRECT($B$5&amp;"生成成长"),4))/(VLOOKUP(AY$72,INDIRECT($C$5&amp;"生成成长"),5))*(VLOOKUP($B$5,标准坦克设计!$B$24:$U$30,MATCH("对"&amp;LEFT($C$5,2)&amp;"输出",标准坦克设计!$B$23:$U$23,0)))*(VLOOKUP($B219,INDIRECT($B$5&amp;"生成成长"),3))*(VLOOKUP($B$5,标准坦克设计!$B$14:$K$20,9)/30))</f>
        <v>2.3973334484791753</v>
      </c>
      <c r="AZ219" s="172">
        <f ca="1">(VLOOKUP(AZ$72,INDIRECT($C$5&amp;"生成成长"),2))/((VLOOKUP($B219,INDIRECT($B$5&amp;"生成成长"),4))/(VLOOKUP(AZ$72,INDIRECT($C$5&amp;"生成成长"),5))*(VLOOKUP($B$5,标准坦克设计!$B$24:$U$30,MATCH("对"&amp;LEFT($C$5,2)&amp;"输出",标准坦克设计!$B$23:$U$23,0)))*(VLOOKUP($B219,INDIRECT($B$5&amp;"生成成长"),3))*(VLOOKUP($B$5,标准坦克设计!$B$14:$K$20,9)/30))</f>
        <v>2.6750645998205429</v>
      </c>
      <c r="BA219" s="172">
        <f ca="1">(VLOOKUP(BA$72,INDIRECT($C$5&amp;"生成成长"),2))/((VLOOKUP($B219,INDIRECT($B$5&amp;"生成成长"),4))/(VLOOKUP(BA$72,INDIRECT($C$5&amp;"生成成长"),5))*(VLOOKUP($B$5,标准坦克设计!$B$24:$U$30,MATCH("对"&amp;LEFT($C$5,2)&amp;"输出",标准坦克设计!$B$23:$U$23,0)))*(VLOOKUP($B219,INDIRECT($B$5&amp;"生成成长"),3))*(VLOOKUP($B$5,标准坦克设计!$B$14:$K$20,9)/30))</f>
        <v>2.9680138964408909</v>
      </c>
      <c r="BB219" s="172">
        <f ca="1">(VLOOKUP(BB$72,INDIRECT($C$5&amp;"生成成长"),2))/((VLOOKUP($B219,INDIRECT($B$5&amp;"生成成长"),4))/(VLOOKUP(BB$72,INDIRECT($C$5&amp;"生成成长"),5))*(VLOOKUP($B$5,标准坦克设计!$B$24:$U$30,MATCH("对"&amp;LEFT($C$5,2)&amp;"输出",标准坦克设计!$B$23:$U$23,0)))*(VLOOKUP($B219,INDIRECT($B$5&amp;"生成成长"),3))*(VLOOKUP($B$5,标准坦克设计!$B$14:$K$20,9)/30))</f>
        <v>3.2761813383402179</v>
      </c>
      <c r="BC219" s="172">
        <f ca="1">(VLOOKUP(BC$72,INDIRECT($C$5&amp;"生成成长"),2))/((VLOOKUP($B219,INDIRECT($B$5&amp;"生成成长"),4))/(VLOOKUP(BC$72,INDIRECT($C$5&amp;"生成成长"),5))*(VLOOKUP($B$5,标准坦克设计!$B$24:$U$30,MATCH("对"&amp;LEFT($C$5,2)&amp;"输出",标准坦克设计!$B$23:$U$23,0)))*(VLOOKUP($B219,INDIRECT($B$5&amp;"生成成长"),3))*(VLOOKUP($B$5,标准坦克设计!$B$14:$K$20,9)/30))</f>
        <v>3.5995669255185234</v>
      </c>
      <c r="BD219" s="172">
        <f ca="1">(VLOOKUP(BD$72,INDIRECT($C$5&amp;"生成成长"),2))/((VLOOKUP($B219,INDIRECT($B$5&amp;"生成成长"),4))/(VLOOKUP(BD$72,INDIRECT($C$5&amp;"生成成长"),5))*(VLOOKUP($B$5,标准坦克设计!$B$24:$U$30,MATCH("对"&amp;LEFT($C$5,2)&amp;"输出",标准坦克设计!$B$23:$U$23,0)))*(VLOOKUP($B219,INDIRECT($B$5&amp;"生成成长"),3))*(VLOOKUP($B$5,标准坦克设计!$B$14:$K$20,9)/30))</f>
        <v>3.9815661503728959</v>
      </c>
      <c r="BE219" s="172">
        <f ca="1">(VLOOKUP(BE$72,INDIRECT($C$5&amp;"生成成长"),2))/((VLOOKUP($B219,INDIRECT($B$5&amp;"生成成长"),4))/(VLOOKUP(BE$72,INDIRECT($C$5&amp;"生成成长"),5))*(VLOOKUP($B$5,标准坦克设计!$B$24:$U$30,MATCH("对"&amp;LEFT($C$5,2)&amp;"输出",标准坦克设计!$B$23:$U$23,0)))*(VLOOKUP($B219,INDIRECT($B$5&amp;"生成成长"),3))*(VLOOKUP($B$5,标准坦克设计!$B$14:$K$20,9)/30))</f>
        <v>4.3828258403459772</v>
      </c>
      <c r="BF219" s="172">
        <f ca="1">(VLOOKUP(BF$72,INDIRECT($C$5&amp;"生成成长"),2))/((VLOOKUP($B219,INDIRECT($B$5&amp;"生成成长"),4))/(VLOOKUP(BF$72,INDIRECT($C$5&amp;"生成成长"),5))*(VLOOKUP($B$5,标准坦克设计!$B$24:$U$30,MATCH("对"&amp;LEFT($C$5,2)&amp;"输出",标准坦克设计!$B$23:$U$23,0)))*(VLOOKUP($B219,INDIRECT($B$5&amp;"生成成长"),3))*(VLOOKUP($B$5,标准坦克设计!$B$14:$K$20,9)/30))</f>
        <v>4.8033459954377671</v>
      </c>
      <c r="BG219" s="172">
        <f ca="1">(VLOOKUP(BG$72,INDIRECT($C$5&amp;"生成成长"),2))/((VLOOKUP($B219,INDIRECT($B$5&amp;"生成成长"),4))/(VLOOKUP(BG$72,INDIRECT($C$5&amp;"生成成长"),5))*(VLOOKUP($B$5,标准坦克设计!$B$24:$U$30,MATCH("对"&amp;LEFT($C$5,2)&amp;"输出",标准坦克设计!$B$23:$U$23,0)))*(VLOOKUP($B219,INDIRECT($B$5&amp;"生成成长"),3))*(VLOOKUP($B$5,标准坦克设计!$B$14:$K$20,9)/30))</f>
        <v>5.2431266156482641</v>
      </c>
      <c r="BH219" s="172">
        <f ca="1">(VLOOKUP(BH$72,INDIRECT($C$5&amp;"生成成长"),2))/((VLOOKUP($B219,INDIRECT($B$5&amp;"生成成长"),4))/(VLOOKUP(BH$72,INDIRECT($C$5&amp;"生成成长"),5))*(VLOOKUP($B$5,标准坦克设计!$B$24:$U$30,MATCH("对"&amp;LEFT($C$5,2)&amp;"输出",标准坦克设计!$B$23:$U$23,0)))*(VLOOKUP($B219,INDIRECT($B$5&amp;"生成成长"),3))*(VLOOKUP($B$5,标准坦克设计!$B$14:$K$20,9)/30))</f>
        <v>2.5342967559899865</v>
      </c>
      <c r="BI219" s="172">
        <f ca="1">(VLOOKUP(BI$72,INDIRECT($C$5&amp;"生成成长"),2))/((VLOOKUP($B219,INDIRECT($B$5&amp;"生成成长"),4))/(VLOOKUP(BI$72,INDIRECT($C$5&amp;"生成成长"),5))*(VLOOKUP($B$5,标准坦克设计!$B$24:$U$30,MATCH("对"&amp;LEFT($C$5,2)&amp;"输出",标准坦克设计!$B$23:$U$23,0)))*(VLOOKUP($B219,INDIRECT($B$5&amp;"生成成长"),3))*(VLOOKUP($B$5,标准坦克设计!$B$14:$K$20,9)/30))</f>
        <v>2.8563745338083804</v>
      </c>
      <c r="BJ219" s="172">
        <f ca="1">(VLOOKUP(BJ$72,INDIRECT($C$5&amp;"生成成长"),2))/((VLOOKUP($B219,INDIRECT($B$5&amp;"生成成长"),4))/(VLOOKUP(BJ$72,INDIRECT($C$5&amp;"生成成长"),5))*(VLOOKUP($B$5,标准坦克设计!$B$24:$U$30,MATCH("对"&amp;LEFT($C$5,2)&amp;"输出",标准坦克设计!$B$23:$U$23,0)))*(VLOOKUP($B219,INDIRECT($B$5&amp;"生成成长"),3))*(VLOOKUP($B$5,标准坦克设计!$B$14:$K$20,9)/30))</f>
        <v>3.1977127767454818</v>
      </c>
      <c r="BK219" s="172">
        <f ca="1">(VLOOKUP(BK$72,INDIRECT($C$5&amp;"生成成长"),2))/((VLOOKUP($B219,INDIRECT($B$5&amp;"生成成长"),4))/(VLOOKUP(BK$72,INDIRECT($C$5&amp;"生成成长"),5))*(VLOOKUP($B$5,标准坦克设计!$B$24:$U$30,MATCH("对"&amp;LEFT($C$5,2)&amp;"输出",标准坦克设计!$B$23:$U$23,0)))*(VLOOKUP($B219,INDIRECT($B$5&amp;"生成成长"),3))*(VLOOKUP($B$5,标准坦克设计!$B$14:$K$20,9)/30))</f>
        <v>3.5583114848012904</v>
      </c>
      <c r="BL219" s="172">
        <f ca="1">(VLOOKUP(BL$72,INDIRECT($C$5&amp;"生成成长"),2))/((VLOOKUP($B219,INDIRECT($B$5&amp;"生成成长"),4))/(VLOOKUP(BL$72,INDIRECT($C$5&amp;"生成成长"),5))*(VLOOKUP($B$5,标准坦克设计!$B$24:$U$30,MATCH("对"&amp;LEFT($C$5,2)&amp;"输出",标准坦克设计!$B$23:$U$23,0)))*(VLOOKUP($B219,INDIRECT($B$5&amp;"生成成长"),3))*(VLOOKUP($B$5,标准坦克设计!$B$14:$K$20,9)/30))</f>
        <v>3.938170657975808</v>
      </c>
      <c r="BM219" s="172">
        <f ca="1">(VLOOKUP(BM$72,INDIRECT($C$5&amp;"生成成长"),2))/((VLOOKUP($B219,INDIRECT($B$5&amp;"生成成长"),4))/(VLOOKUP(BM$72,INDIRECT($C$5&amp;"生成成长"),5))*(VLOOKUP($B$5,标准坦克设计!$B$24:$U$30,MATCH("对"&amp;LEFT($C$5,2)&amp;"输出",标准坦克设计!$B$23:$U$23,0)))*(VLOOKUP($B219,INDIRECT($B$5&amp;"生成成长"),3))*(VLOOKUP($B$5,标准坦克设计!$B$14:$K$20,9)/30))</f>
        <v>4.3372902962690318</v>
      </c>
      <c r="BN219" s="172">
        <f ca="1">(VLOOKUP(BN$72,INDIRECT($C$5&amp;"生成成长"),2))/((VLOOKUP($B219,INDIRECT($B$5&amp;"生成成长"),4))/(VLOOKUP(BN$72,INDIRECT($C$5&amp;"生成成长"),5))*(VLOOKUP($B$5,标准坦克设计!$B$24:$U$30,MATCH("对"&amp;LEFT($C$5,2)&amp;"输出",标准坦克设计!$B$23:$U$23,0)))*(VLOOKUP($B219,INDIRECT($B$5&amp;"生成成长"),3))*(VLOOKUP($B$5,标准坦克设计!$B$14:$K$20,9)/30))</f>
        <v>4.7556703996809659</v>
      </c>
      <c r="BO219" s="172">
        <f ca="1">(VLOOKUP(BO$72,INDIRECT($C$5&amp;"生成成长"),2))/((VLOOKUP($B219,INDIRECT($B$5&amp;"生成成长"),4))/(VLOOKUP(BO$72,INDIRECT($C$5&amp;"生成成长"),5))*(VLOOKUP($B$5,标准坦克设计!$B$24:$U$30,MATCH("对"&amp;LEFT($C$5,2)&amp;"输出",标准坦克设计!$B$23:$U$23,0)))*(VLOOKUP($B219,INDIRECT($B$5&amp;"生成成长"),3))*(VLOOKUP($B$5,标准坦克设计!$B$14:$K$20,9)/30))</f>
        <v>5.1933109682116063</v>
      </c>
      <c r="BP219" s="172">
        <f ca="1">(VLOOKUP(BP$72,INDIRECT($C$5&amp;"生成成长"),2))/((VLOOKUP($B219,INDIRECT($B$5&amp;"生成成长"),4))/(VLOOKUP(BP$72,INDIRECT($C$5&amp;"生成成长"),5))*(VLOOKUP($B$5,标准坦克设计!$B$24:$U$30,MATCH("对"&amp;LEFT($C$5,2)&amp;"输出",标准坦克设计!$B$23:$U$23,0)))*(VLOOKUP($B219,INDIRECT($B$5&amp;"生成成长"),3))*(VLOOKUP($B$5,标准坦克设计!$B$14:$K$20,9)/30))</f>
        <v>5.6502120018609556</v>
      </c>
      <c r="BQ219" s="172">
        <f ca="1">(VLOOKUP(BQ$72,INDIRECT($C$5&amp;"生成成长"),2))/((VLOOKUP($B219,INDIRECT($B$5&amp;"生成成长"),4))/(VLOOKUP(BQ$72,INDIRECT($C$5&amp;"生成成长"),5))*(VLOOKUP($B$5,标准坦克设计!$B$24:$U$30,MATCH("对"&amp;LEFT($C$5,2)&amp;"输出",标准坦克设计!$B$23:$U$23,0)))*(VLOOKUP($B219,INDIRECT($B$5&amp;"生成成长"),3))*(VLOOKUP($B$5,标准坦克设计!$B$14:$K$20,9)/30))</f>
        <v>6.126373500629013</v>
      </c>
      <c r="BR219" s="172">
        <f ca="1">(VLOOKUP(BR$72,INDIRECT($C$5&amp;"生成成长"),2))/((VLOOKUP($B219,INDIRECT($B$5&amp;"生成成长"),4))/(VLOOKUP(BR$72,INDIRECT($C$5&amp;"生成成长"),5))*(VLOOKUP($B$5,标准坦克设计!$B$24:$U$30,MATCH("对"&amp;LEFT($C$5,2)&amp;"输出",标准坦克设计!$B$23:$U$23,0)))*(VLOOKUP($B219,INDIRECT($B$5&amp;"生成成长"),3))*(VLOOKUP($B$5,标准坦克设计!$B$14:$K$20,9)/30))</f>
        <v>6.6780312669920043</v>
      </c>
      <c r="BS219" s="172">
        <f ca="1">(VLOOKUP(BS$72,INDIRECT($C$5&amp;"生成成长"),2))/((VLOOKUP($B219,INDIRECT($B$5&amp;"生成成长"),4))/(VLOOKUP(BS$72,INDIRECT($C$5&amp;"生成成长"),5))*(VLOOKUP($B$5,标准坦克设计!$B$24:$U$30,MATCH("对"&amp;LEFT($C$5,2)&amp;"输出",标准坦克设计!$B$23:$U$23,0)))*(VLOOKUP($B219,INDIRECT($B$5&amp;"生成成长"),3))*(VLOOKUP($B$5,标准坦克设计!$B$14:$K$20,9)/30))</f>
        <v>7.2534673853534004</v>
      </c>
      <c r="BT219" s="172">
        <f ca="1">(VLOOKUP(BT$72,INDIRECT($C$5&amp;"生成成长"),2))/((VLOOKUP($B219,INDIRECT($B$5&amp;"生成成长"),4))/(VLOOKUP(BT$72,INDIRECT($C$5&amp;"生成成长"),5))*(VLOOKUP($B$5,标准坦克设计!$B$24:$U$30,MATCH("对"&amp;LEFT($C$5,2)&amp;"输出",标准坦克设计!$B$23:$U$23,0)))*(VLOOKUP($B219,INDIRECT($B$5&amp;"生成成长"),3))*(VLOOKUP($B$5,标准坦克设计!$B$14:$K$20,9)/30))</f>
        <v>7.8526818557132021</v>
      </c>
      <c r="BU219" s="172">
        <f ca="1">(VLOOKUP(BU$72,INDIRECT($C$5&amp;"生成成长"),2))/((VLOOKUP($B219,INDIRECT($B$5&amp;"生成成长"),4))/(VLOOKUP(BU$72,INDIRECT($C$5&amp;"生成成长"),5))*(VLOOKUP($B$5,标准坦克设计!$B$24:$U$30,MATCH("对"&amp;LEFT($C$5,2)&amp;"输出",标准坦克设计!$B$23:$U$23,0)))*(VLOOKUP($B219,INDIRECT($B$5&amp;"生成成长"),3))*(VLOOKUP($B$5,标准坦克设计!$B$14:$K$20,9)/30))</f>
        <v>8.4756746780714085</v>
      </c>
      <c r="BV219" s="172">
        <f ca="1">(VLOOKUP(BV$72,INDIRECT($C$5&amp;"生成成长"),2))/((VLOOKUP($B219,INDIRECT($B$5&amp;"生成成长"),4))/(VLOOKUP(BV$72,INDIRECT($C$5&amp;"生成成长"),5))*(VLOOKUP($B$5,标准坦克设计!$B$24:$U$30,MATCH("对"&amp;LEFT($C$5,2)&amp;"输出",标准坦克设计!$B$23:$U$23,0)))*(VLOOKUP($B219,INDIRECT($B$5&amp;"生成成长"),3))*(VLOOKUP($B$5,标准坦克设计!$B$14:$K$20,9)/30))</f>
        <v>9.1224458524280223</v>
      </c>
      <c r="BW219" s="172">
        <f ca="1">(VLOOKUP(BW$72,INDIRECT($C$5&amp;"生成成长"),2))/((VLOOKUP($B219,INDIRECT($B$5&amp;"生成成长"),4))/(VLOOKUP(BW$72,INDIRECT($C$5&amp;"生成成长"),5))*(VLOOKUP($B$5,标准坦克设计!$B$24:$U$30,MATCH("对"&amp;LEFT($C$5,2)&amp;"输出",标准坦克设计!$B$23:$U$23,0)))*(VLOOKUP($B219,INDIRECT($B$5&amp;"生成成长"),3))*(VLOOKUP($B$5,标准坦克设计!$B$14:$K$20,9)/30))</f>
        <v>4.157525955161093</v>
      </c>
      <c r="BX219" s="172">
        <f ca="1">(VLOOKUP(BX$72,INDIRECT($C$5&amp;"生成成长"),2))/((VLOOKUP($B219,INDIRECT($B$5&amp;"生成成长"),4))/(VLOOKUP(BX$72,INDIRECT($C$5&amp;"生成成长"),5))*(VLOOKUP($B$5,标准坦克设计!$B$24:$U$30,MATCH("对"&amp;LEFT($C$5,2)&amp;"输出",标准坦克设计!$B$23:$U$23,0)))*(VLOOKUP($B219,INDIRECT($B$5&amp;"生成成长"),3))*(VLOOKUP($B$5,标准坦克设计!$B$14:$K$20,9)/30))</f>
        <v>4.6140703135304655</v>
      </c>
      <c r="BY219" s="172">
        <f ca="1">(VLOOKUP(BY$72,INDIRECT($C$5&amp;"生成成长"),2))/((VLOOKUP($B219,INDIRECT($B$5&amp;"生成成长"),4))/(VLOOKUP(BY$72,INDIRECT($C$5&amp;"生成成长"),5))*(VLOOKUP($B$5,标准坦克设计!$B$24:$U$30,MATCH("对"&amp;LEFT($C$5,2)&amp;"输出",标准坦克设计!$B$23:$U$23,0)))*(VLOOKUP($B219,INDIRECT($B$5&amp;"生成成长"),3))*(VLOOKUP($B$5,标准坦克设计!$B$14:$K$20,9)/30))</f>
        <v>5.0943930238982418</v>
      </c>
      <c r="BZ219" s="172">
        <f ca="1">(VLOOKUP(BZ$72,INDIRECT($C$5&amp;"生成成长"),2))/((VLOOKUP($B219,INDIRECT($B$5&amp;"生成成长"),4))/(VLOOKUP(BZ$72,INDIRECT($C$5&amp;"生成成长"),5))*(VLOOKUP($B$5,标准坦克设计!$B$24:$U$30,MATCH("对"&amp;LEFT($C$5,2)&amp;"输出",标准坦克设计!$B$23:$U$23,0)))*(VLOOKUP($B219,INDIRECT($B$5&amp;"生成成长"),3))*(VLOOKUP($B$5,标准坦克设计!$B$14:$K$20,9)/30))</f>
        <v>5.5984940862644255</v>
      </c>
      <c r="CA219" s="172">
        <f ca="1">(VLOOKUP(CA$72,INDIRECT($C$5&amp;"生成成长"),2))/((VLOOKUP($B219,INDIRECT($B$5&amp;"生成成长"),4))/(VLOOKUP(CA$72,INDIRECT($C$5&amp;"生成成长"),5))*(VLOOKUP($B$5,标准坦克设计!$B$24:$U$30,MATCH("对"&amp;LEFT($C$5,2)&amp;"输出",标准坦克设计!$B$23:$U$23,0)))*(VLOOKUP($B219,INDIRECT($B$5&amp;"生成成长"),3))*(VLOOKUP($B$5,标准坦克设计!$B$14:$K$20,9)/30))</f>
        <v>6.126373500629013</v>
      </c>
      <c r="CB219" s="172">
        <f ca="1">(VLOOKUP(CB$72,INDIRECT($C$5&amp;"生成成长"),2))/((VLOOKUP($B219,INDIRECT($B$5&amp;"生成成长"),4))/(VLOOKUP(CB$72,INDIRECT($C$5&amp;"生成成长"),5))*(VLOOKUP($B$5,标准坦克设计!$B$24:$U$30,MATCH("对"&amp;LEFT($C$5,2)&amp;"输出",标准坦克设计!$B$23:$U$23,0)))*(VLOOKUP($B219,INDIRECT($B$5&amp;"生成成长"),3))*(VLOOKUP($B$5,标准坦克设计!$B$14:$K$20,9)/30))</f>
        <v>6.6780312669920043</v>
      </c>
      <c r="CC219" s="172">
        <f ca="1">(VLOOKUP(CC$72,INDIRECT($C$5&amp;"生成成长"),2))/((VLOOKUP($B219,INDIRECT($B$5&amp;"生成成长"),4))/(VLOOKUP(CC$72,INDIRECT($C$5&amp;"生成成长"),5))*(VLOOKUP($B$5,标准坦克设计!$B$24:$U$30,MATCH("对"&amp;LEFT($C$5,2)&amp;"输出",标准坦克设计!$B$23:$U$23,0)))*(VLOOKUP($B219,INDIRECT($B$5&amp;"生成成长"),3))*(VLOOKUP($B$5,标准坦克设计!$B$14:$K$20,9)/30))</f>
        <v>7.2534673853534004</v>
      </c>
      <c r="CD219" s="172">
        <f ca="1">(VLOOKUP(CD$72,INDIRECT($C$5&amp;"生成成长"),2))/((VLOOKUP($B219,INDIRECT($B$5&amp;"生成成长"),4))/(VLOOKUP(CD$72,INDIRECT($C$5&amp;"生成成长"),5))*(VLOOKUP($B$5,标准坦克设计!$B$24:$U$30,MATCH("对"&amp;LEFT($C$5,2)&amp;"输出",标准坦克设计!$B$23:$U$23,0)))*(VLOOKUP($B219,INDIRECT($B$5&amp;"生成成长"),3))*(VLOOKUP($B$5,标准坦克设计!$B$14:$K$20,9)/30))</f>
        <v>7.8526818557132021</v>
      </c>
      <c r="CE219" s="172">
        <f ca="1">(VLOOKUP(CE$72,INDIRECT($C$5&amp;"生成成长"),2))/((VLOOKUP($B219,INDIRECT($B$5&amp;"生成成长"),4))/(VLOOKUP(CE$72,INDIRECT($C$5&amp;"生成成长"),5))*(VLOOKUP($B$5,标准坦克设计!$B$24:$U$30,MATCH("对"&amp;LEFT($C$5,2)&amp;"输出",标准坦克设计!$B$23:$U$23,0)))*(VLOOKUP($B219,INDIRECT($B$5&amp;"生成成长"),3))*(VLOOKUP($B$5,标准坦克设计!$B$14:$K$20,9)/30))</f>
        <v>8.4756746780714085</v>
      </c>
      <c r="CF219" s="172">
        <f ca="1">(VLOOKUP(CF$72,INDIRECT($C$5&amp;"生成成长"),2))/((VLOOKUP($B219,INDIRECT($B$5&amp;"生成成长"),4))/(VLOOKUP(CF$72,INDIRECT($C$5&amp;"生成成长"),5))*(VLOOKUP($B$5,标准坦克设计!$B$24:$U$30,MATCH("对"&amp;LEFT($C$5,2)&amp;"输出",标准坦克设计!$B$23:$U$23,0)))*(VLOOKUP($B219,INDIRECT($B$5&amp;"生成成长"),3))*(VLOOKUP($B$5,标准坦克设计!$B$14:$K$20,9)/30))</f>
        <v>9.1224458524280223</v>
      </c>
      <c r="CG219" s="172">
        <f ca="1">(VLOOKUP(CG$72,INDIRECT($C$5&amp;"生成成长"),2))/((VLOOKUP($B219,INDIRECT($B$5&amp;"生成成长"),4))/(VLOOKUP(CG$72,INDIRECT($C$5&amp;"生成成长"),5))*(VLOOKUP($B$5,标准坦克设计!$B$24:$U$30,MATCH("对"&amp;LEFT($C$5,2)&amp;"输出",标准坦克设计!$B$23:$U$23,0)))*(VLOOKUP($B219,INDIRECT($B$5&amp;"生成成长"),3))*(VLOOKUP($B$5,标准坦克设计!$B$14:$K$20,9)/30))</f>
        <v>9.7929953787830382</v>
      </c>
      <c r="CH219" s="172">
        <f ca="1">(VLOOKUP(CH$72,INDIRECT($C$5&amp;"生成成长"),2))/((VLOOKUP($B219,INDIRECT($B$5&amp;"生成成长"),4))/(VLOOKUP(CH$72,INDIRECT($C$5&amp;"生成成长"),5))*(VLOOKUP($B$5,标准坦克设计!$B$24:$U$30,MATCH("对"&amp;LEFT($C$5,2)&amp;"输出",标准坦克设计!$B$23:$U$23,0)))*(VLOOKUP($B219,INDIRECT($B$5&amp;"生成成长"),3))*(VLOOKUP($B$5,标准坦克设计!$B$14:$K$20,9)/30))</f>
        <v>10.487323257136458</v>
      </c>
      <c r="CI219" s="172">
        <f ca="1">(VLOOKUP(CI$72,INDIRECT($C$5&amp;"生成成长"),2))/((VLOOKUP($B219,INDIRECT($B$5&amp;"生成成长"),4))/(VLOOKUP(CI$72,INDIRECT($C$5&amp;"生成成长"),5))*(VLOOKUP($B$5,标准坦克设计!$B$24:$U$30,MATCH("对"&amp;LEFT($C$5,2)&amp;"输出",标准坦克设计!$B$23:$U$23,0)))*(VLOOKUP($B219,INDIRECT($B$5&amp;"生成成长"),3))*(VLOOKUP($B$5,标准坦克设计!$B$14:$K$20,9)/30))</f>
        <v>11.278547919883376</v>
      </c>
      <c r="CJ219" s="172">
        <f ca="1">(VLOOKUP(CJ$72,INDIRECT($C$5&amp;"生成成长"),2))/((VLOOKUP($B219,INDIRECT($B$5&amp;"生成成长"),4))/(VLOOKUP(CJ$72,INDIRECT($C$5&amp;"生成成长"),5))*(VLOOKUP($B$5,标准坦克设计!$B$24:$U$30,MATCH("对"&amp;LEFT($C$5,2)&amp;"输出",标准坦克设计!$B$23:$U$23,0)))*(VLOOKUP($B219,INDIRECT($B$5&amp;"生成成长"),3))*(VLOOKUP($B$5,标准坦克设计!$B$14:$K$20,9)/30))</f>
        <v>12.098544388548371</v>
      </c>
      <c r="CK219" s="172">
        <f ca="1">(VLOOKUP(CK$72,INDIRECT($C$5&amp;"生成成长"),2))/((VLOOKUP($B219,INDIRECT($B$5&amp;"生成成长"),4))/(VLOOKUP(CK$72,INDIRECT($C$5&amp;"生成成长"),5))*(VLOOKUP($B$5,标准坦克设计!$B$24:$U$30,MATCH("对"&amp;LEFT($C$5,2)&amp;"输出",标准坦克设计!$B$23:$U$23,0)))*(VLOOKUP($B219,INDIRECT($B$5&amp;"生成成长"),3))*(VLOOKUP($B$5,标准坦克设计!$B$14:$K$20,9)/30))</f>
        <v>12.947312663131429</v>
      </c>
      <c r="CL219" s="172">
        <f ca="1">(VLOOKUP(CL$72,INDIRECT($C$5&amp;"生成成长"),2))/((VLOOKUP($B219,INDIRECT($B$5&amp;"生成成长"),4))/(VLOOKUP(CL$72,INDIRECT($C$5&amp;"生成成长"),5))*(VLOOKUP($B$5,标准坦克设计!$B$24:$U$30,MATCH("对"&amp;LEFT($C$5,2)&amp;"输出",标准坦克设计!$B$23:$U$23,0)))*(VLOOKUP($B219,INDIRECT($B$5&amp;"生成成长"),3))*(VLOOKUP($B$5,标准坦克设计!$B$14:$K$20,9)/30))</f>
        <v>13.82485274363256</v>
      </c>
      <c r="CM219" s="172">
        <f ca="1">(VLOOKUP(CM$72,INDIRECT($C$5&amp;"生成成长"),2))/((VLOOKUP($B219,INDIRECT($B$5&amp;"生成成长"),4))/(VLOOKUP(CM$72,INDIRECT($C$5&amp;"生成成长"),5))*(VLOOKUP($B$5,标准坦克设计!$B$24:$U$30,MATCH("对"&amp;LEFT($C$5,2)&amp;"输出",标准坦克设计!$B$23:$U$23,0)))*(VLOOKUP($B219,INDIRECT($B$5&amp;"生成成长"),3))*(VLOOKUP($B$5,标准坦克设计!$B$14:$K$20,9)/30))</f>
        <v>14.731164630051758</v>
      </c>
      <c r="CN219" s="172">
        <f ca="1">(VLOOKUP(CN$72,INDIRECT($C$5&amp;"生成成长"),2))/((VLOOKUP($B219,INDIRECT($B$5&amp;"生成成长"),4))/(VLOOKUP(CN$72,INDIRECT($C$5&amp;"生成成长"),5))*(VLOOKUP($B$5,标准坦克设计!$B$24:$U$30,MATCH("对"&amp;LEFT($C$5,2)&amp;"输出",标准坦克设计!$B$23:$U$23,0)))*(VLOOKUP($B219,INDIRECT($B$5&amp;"生成成长"),3))*(VLOOKUP($B$5,标准坦克设计!$B$14:$K$20,9)/30))</f>
        <v>15.666248322389032</v>
      </c>
      <c r="CO219" s="172">
        <f ca="1">(VLOOKUP(CO$72,INDIRECT($C$5&amp;"生成成长"),2))/((VLOOKUP($B219,INDIRECT($B$5&amp;"生成成长"),4))/(VLOOKUP(CO$72,INDIRECT($C$5&amp;"生成成长"),5))*(VLOOKUP($B$5,标准坦克设计!$B$24:$U$30,MATCH("对"&amp;LEFT($C$5,2)&amp;"输出",标准坦克设计!$B$23:$U$23,0)))*(VLOOKUP($B219,INDIRECT($B$5&amp;"生成成长"),3))*(VLOOKUP($B$5,标准坦克设计!$B$14:$K$20,9)/30))</f>
        <v>7.0204395357690332</v>
      </c>
      <c r="CP219" s="172">
        <f ca="1">(VLOOKUP(CP$72,INDIRECT($C$5&amp;"生成成长"),2))/((VLOOKUP($B219,INDIRECT($B$5&amp;"生成成长"),4))/(VLOOKUP(CP$72,INDIRECT($C$5&amp;"生成成长"),5))*(VLOOKUP($B$5,标准坦克设计!$B$24:$U$30,MATCH("对"&amp;LEFT($C$5,2)&amp;"输出",标准坦克设计!$B$23:$U$23,0)))*(VLOOKUP($B219,INDIRECT($B$5&amp;"生成成长"),3))*(VLOOKUP($B$5,标准坦克设计!$B$14:$K$20,9)/30))</f>
        <v>7.6704207876454289</v>
      </c>
      <c r="CQ219" s="172">
        <f ca="1">(VLOOKUP(CQ$72,INDIRECT($C$5&amp;"生成成长"),2))/((VLOOKUP($B219,INDIRECT($B$5&amp;"生成成长"),4))/(VLOOKUP(CQ$72,INDIRECT($C$5&amp;"生成成长"),5))*(VLOOKUP($B$5,标准坦克设计!$B$24:$U$30,MATCH("对"&amp;LEFT($C$5,2)&amp;"输出",标准坦克设计!$B$23:$U$23,0)))*(VLOOKUP($B219,INDIRECT($B$5&amp;"生成成长"),3))*(VLOOKUP($B$5,标准坦克设计!$B$14:$K$20,9)/30))</f>
        <v>8.3491738454398945</v>
      </c>
      <c r="CR219" s="172">
        <f ca="1">(VLOOKUP(CR$72,INDIRECT($C$5&amp;"生成成长"),2))/((VLOOKUP($B219,INDIRECT($B$5&amp;"生成成长"),4))/(VLOOKUP(CR$72,INDIRECT($C$5&amp;"生成成长"),5))*(VLOOKUP($B$5,标准坦克设计!$B$24:$U$30,MATCH("对"&amp;LEFT($C$5,2)&amp;"输出",标准坦克设计!$B$23:$U$23,0)))*(VLOOKUP($B219,INDIRECT($B$5&amp;"生成成长"),3))*(VLOOKUP($B$5,标准坦克设计!$B$14:$K$20,9)/30))</f>
        <v>9.0566987091524336</v>
      </c>
      <c r="CS219" s="172">
        <f ca="1">(VLOOKUP(CS$72,INDIRECT($C$5&amp;"生成成长"),2))/((VLOOKUP($B219,INDIRECT($B$5&amp;"生成成长"),4))/(VLOOKUP(CS$72,INDIRECT($C$5&amp;"生成成长"),5))*(VLOOKUP($B$5,标准坦克设计!$B$24:$U$30,MATCH("对"&amp;LEFT($C$5,2)&amp;"输出",标准坦克设计!$B$23:$U$23,0)))*(VLOOKUP($B219,INDIRECT($B$5&amp;"生成成长"),3))*(VLOOKUP($B$5,标准坦克设计!$B$14:$K$20,9)/30))</f>
        <v>9.7929953787830382</v>
      </c>
      <c r="CT219" s="172">
        <f ca="1">(VLOOKUP(CT$72,INDIRECT($C$5&amp;"生成成长"),2))/((VLOOKUP($B219,INDIRECT($B$5&amp;"生成成长"),4))/(VLOOKUP(CT$72,INDIRECT($C$5&amp;"生成成长"),5))*(VLOOKUP($B$5,标准坦克设计!$B$24:$U$30,MATCH("对"&amp;LEFT($C$5,2)&amp;"输出",标准坦克设计!$B$23:$U$23,0)))*(VLOOKUP($B219,INDIRECT($B$5&amp;"生成成长"),3))*(VLOOKUP($B$5,标准坦克设计!$B$14:$K$20,9)/30))</f>
        <v>10.558063854331714</v>
      </c>
      <c r="CU219" s="172">
        <f ca="1">(VLOOKUP(CU$72,INDIRECT($C$5&amp;"生成成长"),2))/((VLOOKUP($B219,INDIRECT($B$5&amp;"生成成长"),4))/(VLOOKUP(CU$72,INDIRECT($C$5&amp;"生成成长"),5))*(VLOOKUP($B$5,标准坦克设计!$B$24:$U$30,MATCH("对"&amp;LEFT($C$5,2)&amp;"输出",标准坦克设计!$B$23:$U$23,0)))*(VLOOKUP($B219,INDIRECT($B$5&amp;"生成成长"),3))*(VLOOKUP($B$5,标准坦克设计!$B$14:$K$20,9)/30))</f>
        <v>11.351904135798458</v>
      </c>
      <c r="CV219" s="172">
        <f ca="1">(VLOOKUP(CV$72,INDIRECT($C$5&amp;"生成成长"),2))/((VLOOKUP($B219,INDIRECT($B$5&amp;"生成成长"),4))/(VLOOKUP(CV$72,INDIRECT($C$5&amp;"生成成长"),5))*(VLOOKUP($B$5,标准坦克设计!$B$24:$U$30,MATCH("对"&amp;LEFT($C$5,2)&amp;"输出",标准坦克设计!$B$23:$U$23,0)))*(VLOOKUP($B219,INDIRECT($B$5&amp;"生成成长"),3))*(VLOOKUP($B$5,标准坦克设计!$B$14:$K$20,9)/30))</f>
        <v>12.174516223183273</v>
      </c>
      <c r="CW219" s="172">
        <f ca="1">(VLOOKUP(CW$72,INDIRECT($C$5&amp;"生成成长"),2))/((VLOOKUP($B219,INDIRECT($B$5&amp;"生成成长"),4))/(VLOOKUP(CW$72,INDIRECT($C$5&amp;"生成成长"),5))*(VLOOKUP($B$5,标准坦克设计!$B$24:$U$30,MATCH("对"&amp;LEFT($C$5,2)&amp;"输出",标准坦克设计!$B$23:$U$23,0)))*(VLOOKUP($B219,INDIRECT($B$5&amp;"生成成长"),3))*(VLOOKUP($B$5,标准坦克设计!$B$14:$K$20,9)/30))</f>
        <v>13.025900116486159</v>
      </c>
      <c r="CX219" s="172">
        <f ca="1">(VLOOKUP(CX$72,INDIRECT($C$5&amp;"生成成长"),2))/((VLOOKUP($B219,INDIRECT($B$5&amp;"生成成长"),4))/(VLOOKUP(CX$72,INDIRECT($C$5&amp;"生成成长"),5))*(VLOOKUP($B$5,标准坦克设计!$B$24:$U$30,MATCH("对"&amp;LEFT($C$5,2)&amp;"输出",标准坦克设计!$B$23:$U$23,0)))*(VLOOKUP($B219,INDIRECT($B$5&amp;"生成成长"),3))*(VLOOKUP($B$5,标准坦克设计!$B$14:$K$20,9)/30))</f>
        <v>13.906055815707113</v>
      </c>
      <c r="CY219" s="172">
        <f ca="1">(VLOOKUP(CY$72,INDIRECT($C$5&amp;"生成成长"),2))/((VLOOKUP($B219,INDIRECT($B$5&amp;"生成成长"),4))/(VLOOKUP(CY$72,INDIRECT($C$5&amp;"生成成长"),5))*(VLOOKUP($B$5,标准坦克设计!$B$24:$U$30,MATCH("对"&amp;LEFT($C$5,2)&amp;"输出",标准坦克设计!$B$23:$U$23,0)))*(VLOOKUP($B219,INDIRECT($B$5&amp;"生成成长"),3))*(VLOOKUP($B$5,标准坦克设计!$B$14:$K$20,9)/30))</f>
        <v>14.814983320846137</v>
      </c>
      <c r="CZ219" s="172">
        <f ca="1">(VLOOKUP(CZ$72,INDIRECT($C$5&amp;"生成成长"),2))/((VLOOKUP($B219,INDIRECT($B$5&amp;"生成成长"),4))/(VLOOKUP(CZ$72,INDIRECT($C$5&amp;"生成成长"),5))*(VLOOKUP($B$5,标准坦克设计!$B$24:$U$30,MATCH("对"&amp;LEFT($C$5,2)&amp;"输出",标准坦克设计!$B$23:$U$23,0)))*(VLOOKUP($B219,INDIRECT($B$5&amp;"生成成长"),3))*(VLOOKUP($B$5,标准坦克设计!$B$14:$K$20,9)/30))</f>
        <v>15.752682631903232</v>
      </c>
      <c r="DA219" s="172">
        <f ca="1">(VLOOKUP(DA$72,INDIRECT($C$5&amp;"生成成长"),2))/((VLOOKUP($B219,INDIRECT($B$5&amp;"生成成长"),4))/(VLOOKUP(DA$72,INDIRECT($C$5&amp;"生成成长"),5))*(VLOOKUP($B$5,标准坦克设计!$B$24:$U$30,MATCH("对"&amp;LEFT($C$5,2)&amp;"输出",标准坦克设计!$B$23:$U$23,0)))*(VLOOKUP($B219,INDIRECT($B$5&amp;"生成成长"),3))*(VLOOKUP($B$5,标准坦克设计!$B$14:$K$20,9)/30))</f>
        <v>16.719153748878398</v>
      </c>
      <c r="DB219" s="172">
        <f ca="1">(VLOOKUP(DB$72,INDIRECT($C$5&amp;"生成成长"),2))/((VLOOKUP($B219,INDIRECT($B$5&amp;"生成成长"),4))/(VLOOKUP(DB$72,INDIRECT($C$5&amp;"生成成长"),5))*(VLOOKUP($B$5,标准坦克设计!$B$24:$U$30,MATCH("对"&amp;LEFT($C$5,2)&amp;"输出",标准坦克设计!$B$23:$U$23,0)))*(VLOOKUP($B219,INDIRECT($B$5&amp;"生成成长"),3))*(VLOOKUP($B$5,标准坦克设计!$B$14:$K$20,9)/30))</f>
        <v>17.714396671771627</v>
      </c>
      <c r="DC219" s="172">
        <f ca="1">(VLOOKUP(DC$72,INDIRECT($C$5&amp;"生成成长"),2))/((VLOOKUP($B219,INDIRECT($B$5&amp;"生成成长"),4))/(VLOOKUP(DC$72,INDIRECT($C$5&amp;"生成成长"),5))*(VLOOKUP($B$5,标准坦克设计!$B$24:$U$30,MATCH("对"&amp;LEFT($C$5,2)&amp;"输出",标准坦克设计!$B$23:$U$23,0)))*(VLOOKUP($B219,INDIRECT($B$5&amp;"生成成长"),3))*(VLOOKUP($B$5,标准坦克设计!$B$14:$K$20,9)/30))</f>
        <v>18.832930349776593</v>
      </c>
      <c r="DD219" s="172">
        <f ca="1">(VLOOKUP(DD$72,INDIRECT($C$5&amp;"生成成长"),2))/((VLOOKUP($B219,INDIRECT($B$5&amp;"生成成长"),4))/(VLOOKUP(DD$72,INDIRECT($C$5&amp;"生成成长"),5))*(VLOOKUP($B$5,标准坦克设计!$B$24:$U$30,MATCH("对"&amp;LEFT($C$5,2)&amp;"输出",标准坦克设计!$B$23:$U$23,0)))*(VLOOKUP($B219,INDIRECT($B$5&amp;"生成成长"),3))*(VLOOKUP($B$5,标准坦克设计!$B$14:$K$20,9)/30))</f>
        <v>19.985704854659257</v>
      </c>
      <c r="DE219" s="172">
        <f ca="1">(VLOOKUP(DE$72,INDIRECT($C$5&amp;"生成成长"),2))/((VLOOKUP($B219,INDIRECT($B$5&amp;"生成成长"),4))/(VLOOKUP(DE$72,INDIRECT($C$5&amp;"生成成长"),5))*(VLOOKUP($B$5,标准坦克设计!$B$24:$U$30,MATCH("对"&amp;LEFT($C$5,2)&amp;"输出",标准坦克设计!$B$23:$U$23,0)))*(VLOOKUP($B219,INDIRECT($B$5&amp;"生成成长"),3))*(VLOOKUP($B$5,标准坦克设计!$B$14:$K$20,9)/30))</f>
        <v>21.172720186419632</v>
      </c>
      <c r="DF219" s="172">
        <f ca="1">(VLOOKUP(DF$72,INDIRECT($C$5&amp;"生成成长"),2))/((VLOOKUP($B219,INDIRECT($B$5&amp;"生成成长"),4))/(VLOOKUP(DF$72,INDIRECT($C$5&amp;"生成成长"),5))*(VLOOKUP($B$5,标准坦克设计!$B$24:$U$30,MATCH("对"&amp;LEFT($C$5,2)&amp;"输出",标准坦克设计!$B$23:$U$23,0)))*(VLOOKUP($B219,INDIRECT($B$5&amp;"生成成长"),3))*(VLOOKUP($B$5,标准坦克设计!$B$14:$K$20,9)/30))</f>
        <v>22.393976345057702</v>
      </c>
      <c r="DG219" s="172">
        <f ca="1">(VLOOKUP(DG$72,INDIRECT($C$5&amp;"生成成长"),2))/((VLOOKUP($B219,INDIRECT($B$5&amp;"生成成长"),4))/(VLOOKUP(DG$72,INDIRECT($C$5&amp;"生成成长"),5))*(VLOOKUP($B$5,标准坦克设计!$B$24:$U$30,MATCH("对"&amp;LEFT($C$5,2)&amp;"输出",标准坦克设计!$B$23:$U$23,0)))*(VLOOKUP($B219,INDIRECT($B$5&amp;"生成成长"),3))*(VLOOKUP($B$5,标准坦克设计!$B$14:$K$20,9)/30))</f>
        <v>23.649473330573478</v>
      </c>
      <c r="DH219" s="172">
        <f ca="1">(VLOOKUP(DH$72,INDIRECT($C$5&amp;"生成成长"),2))/((VLOOKUP($B219,INDIRECT($B$5&amp;"生成成长"),4))/(VLOOKUP(DH$72,INDIRECT($C$5&amp;"生成成长"),5))*(VLOOKUP($B$5,标准坦克设计!$B$24:$U$30,MATCH("对"&amp;LEFT($C$5,2)&amp;"输出",标准坦克设计!$B$23:$U$23,0)))*(VLOOKUP($B219,INDIRECT($B$5&amp;"生成成长"),3))*(VLOOKUP($B$5,标准坦克设计!$B$14:$K$20,9)/30))</f>
        <v>24.939211142966951</v>
      </c>
      <c r="DI219" s="172">
        <f ca="1">(VLOOKUP(DI$72,INDIRECT($C$5&amp;"生成成长"),2))/((VLOOKUP($B219,INDIRECT($B$5&amp;"生成成长"),4))/(VLOOKUP(DI$72,INDIRECT($C$5&amp;"生成成长"),5))*(VLOOKUP($B$5,标准坦克设计!$B$24:$U$30,MATCH("对"&amp;LEFT($C$5,2)&amp;"输出",标准坦克设计!$B$23:$U$23,0)))*(VLOOKUP($B219,INDIRECT($B$5&amp;"生成成长"),3))*(VLOOKUP($B$5,标准坦克设计!$B$14:$K$20,9)/30))</f>
        <v>26.263189782238129</v>
      </c>
      <c r="DJ219" s="172">
        <f ca="1">(VLOOKUP(DJ$72,INDIRECT($C$5&amp;"生成成长"),2))/((VLOOKUP($B219,INDIRECT($B$5&amp;"生成成长"),4))/(VLOOKUP(DJ$72,INDIRECT($C$5&amp;"生成成长"),5))*(VLOOKUP($B$5,标准坦克设计!$B$24:$U$30,MATCH("对"&amp;LEFT($C$5,2)&amp;"输出",标准坦克设计!$B$23:$U$23,0)))*(VLOOKUP($B219,INDIRECT($B$5&amp;"生成成长"),3))*(VLOOKUP($B$5,标准坦克设计!$B$14:$K$20,9)/30))</f>
        <v>2.6395159635829284</v>
      </c>
      <c r="DK219" s="172">
        <f ca="1">(VLOOKUP(DK$72,INDIRECT($C$5&amp;"生成成长"),2))/((VLOOKUP($B219,INDIRECT($B$5&amp;"生成成长"),4))/(VLOOKUP(DK$72,INDIRECT($C$5&amp;"生成成长"),5))*(VLOOKUP($B$5,标准坦克设计!$B$24:$U$30,MATCH("对"&amp;LEFT($C$5,2)&amp;"输出",标准坦克设计!$B$23:$U$23,0)))*(VLOOKUP($B219,INDIRECT($B$5&amp;"生成成长"),3))*(VLOOKUP($B$5,标准坦克设计!$B$14:$K$20,9)/30))</f>
        <v>2.9680138964408909</v>
      </c>
      <c r="DL219" s="172">
        <f ca="1">(VLOOKUP(DL$72,INDIRECT($C$5&amp;"生成成长"),2))/((VLOOKUP($B219,INDIRECT($B$5&amp;"生成成长"),4))/(VLOOKUP(DL$72,INDIRECT($C$5&amp;"生成成长"),5))*(VLOOKUP($B$5,标准坦克设计!$B$24:$U$30,MATCH("对"&amp;LEFT($C$5,2)&amp;"输出",标准坦克设计!$B$23:$U$23,0)))*(VLOOKUP($B219,INDIRECT($B$5&amp;"生成成长"),3))*(VLOOKUP($B$5,标准坦克设计!$B$14:$K$20,9)/30))</f>
        <v>3.3157722944175618</v>
      </c>
      <c r="DM219" s="172">
        <f ca="1">(VLOOKUP(DM$72,INDIRECT($C$5&amp;"生成成长"),2))/((VLOOKUP($B219,INDIRECT($B$5&amp;"生成成长"),4))/(VLOOKUP(DM$72,INDIRECT($C$5&amp;"生成成长"),5))*(VLOOKUP($B$5,标准坦克设计!$B$24:$U$30,MATCH("对"&amp;LEFT($C$5,2)&amp;"输出",标准坦克设计!$B$23:$U$23,0)))*(VLOOKUP($B219,INDIRECT($B$5&amp;"生成成长"),3))*(VLOOKUP($B$5,标准坦克设计!$B$14:$K$20,9)/30))</f>
        <v>3.6827911575129395</v>
      </c>
      <c r="DN219" s="172">
        <f ca="1">(VLOOKUP(DN$72,INDIRECT($C$5&amp;"生成成长"),2))/((VLOOKUP($B219,INDIRECT($B$5&amp;"生成成长"),4))/(VLOOKUP(DN$72,INDIRECT($C$5&amp;"生成成长"),5))*(VLOOKUP($B$5,标准坦克设计!$B$24:$U$30,MATCH("对"&amp;LEFT($C$5,2)&amp;"输出",标准坦克设计!$B$23:$U$23,0)))*(VLOOKUP($B219,INDIRECT($B$5&amp;"生成成长"),3))*(VLOOKUP($B$5,标准坦克设计!$B$14:$K$20,9)/30))</f>
        <v>4.0690704857270266</v>
      </c>
      <c r="DO219" s="172">
        <f ca="1">(VLOOKUP(DO$72,INDIRECT($C$5&amp;"生成成长"),2))/((VLOOKUP($B219,INDIRECT($B$5&amp;"生成成长"),4))/(VLOOKUP(DO$72,INDIRECT($C$5&amp;"生成成长"),5))*(VLOOKUP($B$5,标准坦克设计!$B$24:$U$30,MATCH("对"&amp;LEFT($C$5,2)&amp;"输出",标准坦克设计!$B$23:$U$23,0)))*(VLOOKUP($B219,INDIRECT($B$5&amp;"生成成长"),3))*(VLOOKUP($B$5,标准坦克设计!$B$14:$K$20,9)/30))</f>
        <v>4.4746102790598217</v>
      </c>
      <c r="DP219" s="172">
        <f ca="1">(VLOOKUP(DP$72,INDIRECT($C$5&amp;"生成成长"),2))/((VLOOKUP($B219,INDIRECT($B$5&amp;"生成成长"),4))/(VLOOKUP(DP$72,INDIRECT($C$5&amp;"生成成长"),5))*(VLOOKUP($B$5,标准坦克设计!$B$24:$U$30,MATCH("对"&amp;LEFT($C$5,2)&amp;"输出",标准坦克设计!$B$23:$U$23,0)))*(VLOOKUP($B219,INDIRECT($B$5&amp;"生成成长"),3))*(VLOOKUP($B$5,标准坦克设计!$B$14:$K$20,9)/30))</f>
        <v>4.899410537511323</v>
      </c>
      <c r="DQ219" s="172">
        <f ca="1">(VLOOKUP(DQ$72,INDIRECT($C$5&amp;"生成成长"),2))/((VLOOKUP($B219,INDIRECT($B$5&amp;"生成成长"),4))/(VLOOKUP(DQ$72,INDIRECT($C$5&amp;"生成成长"),5))*(VLOOKUP($B$5,标准坦克设计!$B$24:$U$30,MATCH("对"&amp;LEFT($C$5,2)&amp;"输出",标准坦克设计!$B$23:$U$23,0)))*(VLOOKUP($B219,INDIRECT($B$5&amp;"生成成长"),3))*(VLOOKUP($B$5,标准坦克设计!$B$14:$K$20,9)/30))</f>
        <v>5.3434712610815334</v>
      </c>
      <c r="DR219" s="172">
        <f ca="1">(VLOOKUP(DR$72,INDIRECT($C$5&amp;"生成成长"),2))/((VLOOKUP($B219,INDIRECT($B$5&amp;"生成成长"),4))/(VLOOKUP(DR$72,INDIRECT($C$5&amp;"生成成长"),5))*(VLOOKUP($B$5,标准坦克设计!$B$24:$U$30,MATCH("对"&amp;LEFT($C$5,2)&amp;"输出",标准坦克设计!$B$23:$U$23,0)))*(VLOOKUP($B219,INDIRECT($B$5&amp;"生成成长"),3))*(VLOOKUP($B$5,标准坦克设计!$B$14:$K$20,9)/30))</f>
        <v>5.8067924497704508</v>
      </c>
      <c r="DS219" s="172">
        <f ca="1">(VLOOKUP(DS$72,INDIRECT($C$5&amp;"生成成长"),2))/((VLOOKUP($B219,INDIRECT($B$5&amp;"生成成长"),4))/(VLOOKUP(DS$72,INDIRECT($C$5&amp;"生成成长"),5))*(VLOOKUP($B$5,标准坦克设计!$B$24:$U$30,MATCH("对"&amp;LEFT($C$5,2)&amp;"输出",标准坦克设计!$B$23:$U$23,0)))*(VLOOKUP($B219,INDIRECT($B$5&amp;"生成成长"),3))*(VLOOKUP($B$5,标准坦克设计!$B$14:$K$20,9)/30))</f>
        <v>6.2893741035780764</v>
      </c>
      <c r="DT219" s="172">
        <f ca="1">(VLOOKUP(DT$72,INDIRECT($C$5&amp;"生成成长"),2))/((VLOOKUP($B219,INDIRECT($B$5&amp;"生成成长"),4))/(VLOOKUP(DT$72,INDIRECT($C$5&amp;"生成成长"),5))*(VLOOKUP($B$5,标准坦克设计!$B$24:$U$30,MATCH("对"&amp;LEFT($C$5,2)&amp;"输出",标准坦克设计!$B$23:$U$23,0)))*(VLOOKUP($B219,INDIRECT($B$5&amp;"生成成长"),3))*(VLOOKUP($B$5,标准坦克设计!$B$14:$K$20,9)/30))</f>
        <v>6.9053523120967535</v>
      </c>
      <c r="DU219" s="172">
        <f ca="1">(VLOOKUP(DU$72,INDIRECT($C$5&amp;"生成成长"),2))/((VLOOKUP($B219,INDIRECT($B$5&amp;"生成成长"),4))/(VLOOKUP(DU$72,INDIRECT($C$5&amp;"生成成长"),5))*(VLOOKUP($B$5,标准坦克设计!$B$24:$U$30,MATCH("对"&amp;LEFT($C$5,2)&amp;"输出",标准坦克设计!$B$23:$U$23,0)))*(VLOOKUP($B219,INDIRECT($B$5&amp;"生成成长"),3))*(VLOOKUP($B$5,标准坦克设计!$B$14:$K$20,9)/30))</f>
        <v>7.5501023265335023</v>
      </c>
      <c r="DV219" s="172">
        <f ca="1">(VLOOKUP(DV$72,INDIRECT($C$5&amp;"生成成长"),2))/((VLOOKUP($B219,INDIRECT($B$5&amp;"生成成长"),4))/(VLOOKUP(DV$72,INDIRECT($C$5&amp;"生成成长"),5))*(VLOOKUP($B$5,标准坦克设计!$B$24:$U$30,MATCH("对"&amp;LEFT($C$5,2)&amp;"输出",标准坦克设计!$B$23:$U$23,0)))*(VLOOKUP($B219,INDIRECT($B$5&amp;"生成成长"),3))*(VLOOKUP($B$5,标准坦克设计!$B$14:$K$20,9)/30))</f>
        <v>8.2236241468883176</v>
      </c>
      <c r="DW219" s="172">
        <f ca="1">(VLOOKUP(DW$72,INDIRECT($C$5&amp;"生成成长"),2))/((VLOOKUP($B219,INDIRECT($B$5&amp;"生成成长"),4))/(VLOOKUP(DW$72,INDIRECT($C$5&amp;"生成成长"),5))*(VLOOKUP($B$5,标准坦克设计!$B$24:$U$30,MATCH("对"&amp;LEFT($C$5,2)&amp;"输出",标准坦克设计!$B$23:$U$23,0)))*(VLOOKUP($B219,INDIRECT($B$5&amp;"生成成长"),3))*(VLOOKUP($B$5,标准坦克设计!$B$14:$K$20,9)/30))</f>
        <v>8.9259177731612045</v>
      </c>
      <c r="DX219" s="172">
        <f ca="1">(VLOOKUP(DX$72,INDIRECT($C$5&amp;"生成成长"),2))/((VLOOKUP($B219,INDIRECT($B$5&amp;"生成成长"),4))/(VLOOKUP(DX$72,INDIRECT($C$5&amp;"生成成长"),5))*(VLOOKUP($B$5,标准坦克设计!$B$24:$U$30,MATCH("对"&amp;LEFT($C$5,2)&amp;"输出",标准坦克设计!$B$23:$U$23,0)))*(VLOOKUP($B219,INDIRECT($B$5&amp;"生成成长"),3))*(VLOOKUP($B$5,标准坦克设计!$B$14:$K$20,9)/30))</f>
        <v>9.6569832053521605</v>
      </c>
      <c r="DY219" s="172">
        <f ca="1">(VLOOKUP(DY$72,INDIRECT($C$5&amp;"生成成长"),2))/((VLOOKUP($B219,INDIRECT($B$5&amp;"生成成长"),4))/(VLOOKUP(DY$72,INDIRECT($C$5&amp;"生成成长"),5))*(VLOOKUP($B$5,标准坦克设计!$B$24:$U$30,MATCH("对"&amp;LEFT($C$5,2)&amp;"输出",标准坦克设计!$B$23:$U$23,0)))*(VLOOKUP($B219,INDIRECT($B$5&amp;"生成成长"),3))*(VLOOKUP($B$5,标准坦克设计!$B$14:$K$20,9)/30))</f>
        <v>4.3372902962690318</v>
      </c>
      <c r="DZ219" s="172">
        <f ca="1">(VLOOKUP(DZ$72,INDIRECT($C$5&amp;"生成成长"),2))/((VLOOKUP($B219,INDIRECT($B$5&amp;"生成成长"),4))/(VLOOKUP(DZ$72,INDIRECT($C$5&amp;"生成成长"),5))*(VLOOKUP($B$5,标准坦克设计!$B$24:$U$30,MATCH("对"&amp;LEFT($C$5,2)&amp;"输出",标准坦克设计!$B$23:$U$23,0)))*(VLOOKUP($B219,INDIRECT($B$5&amp;"生成成长"),3))*(VLOOKUP($B$5,标准坦克设计!$B$14:$K$20,9)/30))</f>
        <v>4.8033459954377671</v>
      </c>
      <c r="EA219" s="172">
        <f ca="1">(VLOOKUP(EA$72,INDIRECT($C$5&amp;"生成成长"),2))/((VLOOKUP($B219,INDIRECT($B$5&amp;"生成成长"),4))/(VLOOKUP(EA$72,INDIRECT($C$5&amp;"生成成长"),5))*(VLOOKUP($B$5,标准坦克设计!$B$24:$U$30,MATCH("对"&amp;LEFT($C$5,2)&amp;"输出",标准坦克设计!$B$23:$U$23,0)))*(VLOOKUP($B219,INDIRECT($B$5&amp;"生成成长"),3))*(VLOOKUP($B$5,标准坦克设计!$B$14:$K$20,9)/30))</f>
        <v>5.2931800466049079</v>
      </c>
      <c r="EB219" s="172">
        <f ca="1">(VLOOKUP(EB$72,INDIRECT($C$5&amp;"生成成长"),2))/((VLOOKUP($B219,INDIRECT($B$5&amp;"生成成长"),4))/(VLOOKUP(EB$72,INDIRECT($C$5&amp;"生成成长"),5))*(VLOOKUP($B$5,标准坦克设计!$B$24:$U$30,MATCH("对"&amp;LEFT($C$5,2)&amp;"输出",标准坦克设计!$B$23:$U$23,0)))*(VLOOKUP($B219,INDIRECT($B$5&amp;"生成成长"),3))*(VLOOKUP($B$5,标准坦克设计!$B$14:$K$20,9)/30))</f>
        <v>5.8067924497704508</v>
      </c>
      <c r="EC219" s="172">
        <f ca="1">(VLOOKUP(EC$72,INDIRECT($C$5&amp;"生成成长"),2))/((VLOOKUP($B219,INDIRECT($B$5&amp;"生成成长"),4))/(VLOOKUP(EC$72,INDIRECT($C$5&amp;"生成成长"),5))*(VLOOKUP($B$5,标准坦克设计!$B$24:$U$30,MATCH("对"&amp;LEFT($C$5,2)&amp;"输出",标准坦克设计!$B$23:$U$23,0)))*(VLOOKUP($B219,INDIRECT($B$5&amp;"生成成长"),3))*(VLOOKUP($B$5,标准坦克设计!$B$14:$K$20,9)/30))</f>
        <v>6.3441832049344002</v>
      </c>
      <c r="ED219" s="172">
        <f ca="1">(VLOOKUP(ED$72,INDIRECT($C$5&amp;"生成成长"),2))/((VLOOKUP($B219,INDIRECT($B$5&amp;"生成成长"),4))/(VLOOKUP(ED$72,INDIRECT($C$5&amp;"生成成长"),5))*(VLOOKUP($B$5,标准坦克设计!$B$24:$U$30,MATCH("对"&amp;LEFT($C$5,2)&amp;"输出",标准坦克设计!$B$23:$U$23,0)))*(VLOOKUP($B219,INDIRECT($B$5&amp;"生成成长"),3))*(VLOOKUP($B$5,标准坦克设计!$B$14:$K$20,9)/30))</f>
        <v>6.9053523120967535</v>
      </c>
      <c r="EE219" s="172">
        <f ca="1">(VLOOKUP(EE$72,INDIRECT($C$5&amp;"生成成长"),2))/((VLOOKUP($B219,INDIRECT($B$5&amp;"生成成长"),4))/(VLOOKUP(EE$72,INDIRECT($C$5&amp;"生成成长"),5))*(VLOOKUP($B$5,标准坦克设计!$B$24:$U$30,MATCH("对"&amp;LEFT($C$5,2)&amp;"输出",标准坦克设计!$B$23:$U$23,0)))*(VLOOKUP($B219,INDIRECT($B$5&amp;"生成成长"),3))*(VLOOKUP($B$5,标准坦克设计!$B$14:$K$20,9)/30))</f>
        <v>7.4902997712575141</v>
      </c>
      <c r="EF219" s="172">
        <f ca="1">(VLOOKUP(EF$72,INDIRECT($C$5&amp;"生成成长"),2))/((VLOOKUP($B219,INDIRECT($B$5&amp;"生成成长"),4))/(VLOOKUP(EF$72,INDIRECT($C$5&amp;"生成成长"),5))*(VLOOKUP($B$5,标准坦克设计!$B$24:$U$30,MATCH("对"&amp;LEFT($C$5,2)&amp;"输出",标准坦克设计!$B$23:$U$23,0)))*(VLOOKUP($B219,INDIRECT($B$5&amp;"生成成长"),3))*(VLOOKUP($B$5,标准坦克设计!$B$14:$K$20,9)/30))</f>
        <v>8.0990255824166777</v>
      </c>
      <c r="EG219" s="172">
        <f ca="1">(VLOOKUP(EG$72,INDIRECT($C$5&amp;"生成成长"),2))/((VLOOKUP($B219,INDIRECT($B$5&amp;"生成成长"),4))/(VLOOKUP(EG$72,INDIRECT($C$5&amp;"生成成长"),5))*(VLOOKUP($B$5,标准坦克设计!$B$24:$U$30,MATCH("对"&amp;LEFT($C$5,2)&amp;"输出",标准坦克设计!$B$23:$U$23,0)))*(VLOOKUP($B219,INDIRECT($B$5&amp;"生成成长"),3))*(VLOOKUP($B$5,标准坦克设计!$B$14:$K$20,9)/30))</f>
        <v>8.7315297455742442</v>
      </c>
      <c r="EH219" s="172">
        <f ca="1">(VLOOKUP(EH$72,INDIRECT($C$5&amp;"生成成长"),2))/((VLOOKUP($B219,INDIRECT($B$5&amp;"生成成长"),4))/(VLOOKUP(EH$72,INDIRECT($C$5&amp;"生成成长"),5))*(VLOOKUP($B$5,标准坦克设计!$B$24:$U$30,MATCH("对"&amp;LEFT($C$5,2)&amp;"输出",标准坦克设计!$B$23:$U$23,0)))*(VLOOKUP($B219,INDIRECT($B$5&amp;"生成成长"),3))*(VLOOKUP($B$5,标准坦克设计!$B$14:$K$20,9)/30))</f>
        <v>9.3878122607302199</v>
      </c>
      <c r="EI219" s="172">
        <f ca="1">(VLOOKUP(EI$72,INDIRECT($C$5&amp;"生成成长"),2))/((VLOOKUP($B219,INDIRECT($B$5&amp;"生成成长"),4))/(VLOOKUP(EI$72,INDIRECT($C$5&amp;"生成成长"),5))*(VLOOKUP($B$5,标准坦克设计!$B$24:$U$30,MATCH("对"&amp;LEFT($C$5,2)&amp;"输出",标准坦克设计!$B$23:$U$23,0)))*(VLOOKUP($B219,INDIRECT($B$5&amp;"生成成长"),3))*(VLOOKUP($B$5,标准坦克设计!$B$14:$K$20,9)/30))</f>
        <v>10.067873127884596</v>
      </c>
      <c r="EJ219" s="172">
        <f ca="1">(VLOOKUP(EJ$72,INDIRECT($C$5&amp;"生成成长"),2))/((VLOOKUP($B219,INDIRECT($B$5&amp;"生成成长"),4))/(VLOOKUP(EJ$72,INDIRECT($C$5&amp;"生成成长"),5))*(VLOOKUP($B$5,标准坦克设计!$B$24:$U$30,MATCH("对"&amp;LEFT($C$5,2)&amp;"输出",标准坦克设计!$B$23:$U$23,0)))*(VLOOKUP($B219,INDIRECT($B$5&amp;"生成成长"),3))*(VLOOKUP($B$5,标准坦克设计!$B$14:$K$20,9)/30))</f>
        <v>10.771712347037381</v>
      </c>
      <c r="EK219" s="172">
        <f ca="1">(VLOOKUP(EK$72,INDIRECT($C$5&amp;"生成成长"),2))/((VLOOKUP($B219,INDIRECT($B$5&amp;"生成成长"),4))/(VLOOKUP(EK$72,INDIRECT($C$5&amp;"生成成长"),5))*(VLOOKUP($B$5,标准坦克设计!$B$24:$U$30,MATCH("对"&amp;LEFT($C$5,2)&amp;"输出",标准坦克设计!$B$23:$U$23,0)))*(VLOOKUP($B219,INDIRECT($B$5&amp;"生成成长"),3))*(VLOOKUP($B$5,标准坦克设计!$B$14:$K$20,9)/30))</f>
        <v>11.647706834658612</v>
      </c>
      <c r="EL219" s="172">
        <f ca="1">(VLOOKUP(EL$72,INDIRECT($C$5&amp;"生成成长"),2))/((VLOOKUP($B219,INDIRECT($B$5&amp;"生成成长"),4))/(VLOOKUP(EL$72,INDIRECT($C$5&amp;"生成成长"),5))*(VLOOKUP($B$5,标准坦克设计!$B$24:$U$30,MATCH("对"&amp;LEFT($C$5,2)&amp;"输出",标准坦克设计!$B$23:$U$23,0)))*(VLOOKUP($B219,INDIRECT($B$5&amp;"生成成长"),3))*(VLOOKUP($B$5,标准坦克设计!$B$14:$K$20,9)/30))</f>
        <v>12.557942149157551</v>
      </c>
      <c r="EM219" s="172">
        <f ca="1">(VLOOKUP(EM$72,INDIRECT($C$5&amp;"生成成长"),2))/((VLOOKUP($B219,INDIRECT($B$5&amp;"生成成长"),4))/(VLOOKUP(EM$72,INDIRECT($C$5&amp;"生成成长"),5))*(VLOOKUP($B$5,标准坦克设计!$B$24:$U$30,MATCH("对"&amp;LEFT($C$5,2)&amp;"输出",标准坦克设计!$B$23:$U$23,0)))*(VLOOKUP($B219,INDIRECT($B$5&amp;"生成成长"),3))*(VLOOKUP($B$5,标准坦克设计!$B$14:$K$20,9)/30))</f>
        <v>13.502418290534191</v>
      </c>
      <c r="EN219" s="172">
        <f ca="1">(VLOOKUP(EN$72,INDIRECT($C$5&amp;"生成成长"),2))/((VLOOKUP($B219,INDIRECT($B$5&amp;"生成成长"),4))/(VLOOKUP(EN$72,INDIRECT($C$5&amp;"生成成长"),5))*(VLOOKUP($B$5,标准坦克设计!$B$24:$U$30,MATCH("对"&amp;LEFT($C$5,2)&amp;"输出",标准坦克设计!$B$23:$U$23,0)))*(VLOOKUP($B219,INDIRECT($B$5&amp;"生成成长"),3))*(VLOOKUP($B$5,标准坦克设计!$B$14:$K$20,9)/30))</f>
        <v>14.481135258788534</v>
      </c>
      <c r="EO219" s="172">
        <f ca="1">(VLOOKUP(EO$72,INDIRECT($C$5&amp;"生成成长"),2))/((VLOOKUP($B219,INDIRECT($B$5&amp;"生成成长"),4))/(VLOOKUP(EO$72,INDIRECT($C$5&amp;"生成成长"),5))*(VLOOKUP($B$5,标准坦克设计!$B$24:$U$30,MATCH("对"&amp;LEFT($C$5,2)&amp;"输出",标准坦克设计!$B$23:$U$23,0)))*(VLOOKUP($B219,INDIRECT($B$5&amp;"生成成长"),3))*(VLOOKUP($B$5,标准坦克设计!$B$14:$K$20,9)/30))</f>
        <v>15.494093053920579</v>
      </c>
      <c r="EP219" s="172">
        <f ca="1">(VLOOKUP(EP$72,INDIRECT($C$5&amp;"生成成长"),2))/((VLOOKUP($B219,INDIRECT($B$5&amp;"生成成长"),4))/(VLOOKUP(EP$72,INDIRECT($C$5&amp;"生成成长"),5))*(VLOOKUP($B$5,标准坦克设计!$B$24:$U$30,MATCH("对"&amp;LEFT($C$5,2)&amp;"输出",标准坦克设计!$B$23:$U$23,0)))*(VLOOKUP($B219,INDIRECT($B$5&amp;"生成成长"),3))*(VLOOKUP($B$5,标准坦克设计!$B$14:$K$20,9)/30))</f>
        <v>16.541291675930328</v>
      </c>
      <c r="EQ219" s="172">
        <f ca="1">(VLOOKUP(EQ$72,INDIRECT($C$5&amp;"生成成长"),2))/((VLOOKUP($B219,INDIRECT($B$5&amp;"生成成长"),4))/(VLOOKUP(EQ$72,INDIRECT($C$5&amp;"生成成长"),5))*(VLOOKUP($B$5,标准坦克设计!$B$24:$U$30,MATCH("对"&amp;LEFT($C$5,2)&amp;"输出",标准坦克设计!$B$23:$U$23,0)))*(VLOOKUP($B219,INDIRECT($B$5&amp;"生成成长"),3))*(VLOOKUP($B$5,标准坦克设计!$B$14:$K$20,9)/30))</f>
        <v>7.3123188065494551</v>
      </c>
      <c r="ER219" s="172">
        <f ca="1">(VLOOKUP(ER$72,INDIRECT($C$5&amp;"生成成长"),2))/((VLOOKUP($B219,INDIRECT($B$5&amp;"生成成长"),4))/(VLOOKUP(ER$72,INDIRECT($C$5&amp;"生成成长"),5))*(VLOOKUP($B$5,标准坦克设计!$B$24:$U$30,MATCH("对"&amp;LEFT($C$5,2)&amp;"输出",标准坦克设计!$B$23:$U$23,0)))*(VLOOKUP($B219,INDIRECT($B$5&amp;"生成成长"),3))*(VLOOKUP($B$5,标准坦克设计!$B$14:$K$20,9)/30))</f>
        <v>7.9753781520249714</v>
      </c>
      <c r="ES219" s="172">
        <f ca="1">(VLOOKUP(ES$72,INDIRECT($C$5&amp;"生成成长"),2))/((VLOOKUP($B219,INDIRECT($B$5&amp;"生成成长"),4))/(VLOOKUP(ES$72,INDIRECT($C$5&amp;"生成成长"),5))*(VLOOKUP($B$5,标准坦克设计!$B$24:$U$30,MATCH("对"&amp;LEFT($C$5,2)&amp;"输出",标准坦克设计!$B$23:$U$23,0)))*(VLOOKUP($B219,INDIRECT($B$5&amp;"生成成长"),3))*(VLOOKUP($B$5,标准坦克设计!$B$14:$K$20,9)/30))</f>
        <v>8.6672093034185593</v>
      </c>
      <c r="ET219" s="172">
        <f ca="1">(VLOOKUP(ET$72,INDIRECT($C$5&amp;"生成成长"),2))/((VLOOKUP($B219,INDIRECT($B$5&amp;"生成成长"),4))/(VLOOKUP(ET$72,INDIRECT($C$5&amp;"生成成长"),5))*(VLOOKUP($B$5,标准坦克设计!$B$24:$U$30,MATCH("对"&amp;LEFT($C$5,2)&amp;"输出",标准坦克设计!$B$23:$U$23,0)))*(VLOOKUP($B219,INDIRECT($B$5&amp;"生成成长"),3))*(VLOOKUP($B$5,标准坦克设计!$B$14:$K$20,9)/30))</f>
        <v>9.3878122607302199</v>
      </c>
      <c r="EU219" s="172">
        <f ca="1">(VLOOKUP(EU$72,INDIRECT($C$5&amp;"生成成长"),2))/((VLOOKUP($B219,INDIRECT($B$5&amp;"生成成长"),4))/(VLOOKUP(EU$72,INDIRECT($C$5&amp;"生成成长"),5))*(VLOOKUP($B$5,标准坦克设计!$B$24:$U$30,MATCH("对"&amp;LEFT($C$5,2)&amp;"输出",标准坦克设计!$B$23:$U$23,0)))*(VLOOKUP($B219,INDIRECT($B$5&amp;"生成成长"),3))*(VLOOKUP($B$5,标准坦克设计!$B$14:$K$20,9)/30))</f>
        <v>10.137187023959946</v>
      </c>
      <c r="EV219" s="172">
        <f ca="1">(VLOOKUP(EV$72,INDIRECT($C$5&amp;"生成成长"),2))/((VLOOKUP($B219,INDIRECT($B$5&amp;"生成成长"),4))/(VLOOKUP(EV$72,INDIRECT($C$5&amp;"生成成长"),5))*(VLOOKUP($B$5,标准坦克设计!$B$24:$U$30,MATCH("对"&amp;LEFT($C$5,2)&amp;"输出",标准坦克设计!$B$23:$U$23,0)))*(VLOOKUP($B219,INDIRECT($B$5&amp;"生成成长"),3))*(VLOOKUP($B$5,标准坦克设计!$B$14:$K$20,9)/30))</f>
        <v>10.915333593107745</v>
      </c>
      <c r="EW219" s="172">
        <f ca="1">(VLOOKUP(EW$72,INDIRECT($C$5&amp;"生成成长"),2))/((VLOOKUP($B219,INDIRECT($B$5&amp;"生成成长"),4))/(VLOOKUP(EW$72,INDIRECT($C$5&amp;"生成成长"),5))*(VLOOKUP($B$5,标准坦克设计!$B$24:$U$30,MATCH("对"&amp;LEFT($C$5,2)&amp;"输出",标准坦克设计!$B$23:$U$23,0)))*(VLOOKUP($B219,INDIRECT($B$5&amp;"生成成长"),3))*(VLOOKUP($B$5,标准坦克设计!$B$14:$K$20,9)/30))</f>
        <v>11.722251968173612</v>
      </c>
      <c r="EX219" s="172">
        <f ca="1">(VLOOKUP(EX$72,INDIRECT($C$5&amp;"生成成长"),2))/((VLOOKUP($B219,INDIRECT($B$5&amp;"生成成长"),4))/(VLOOKUP(EX$72,INDIRECT($C$5&amp;"生成成长"),5))*(VLOOKUP($B$5,标准坦克设计!$B$24:$U$30,MATCH("对"&amp;LEFT($C$5,2)&amp;"输出",标准坦克设计!$B$23:$U$23,0)))*(VLOOKUP($B219,INDIRECT($B$5&amp;"生成成长"),3))*(VLOOKUP($B$5,标准坦克设计!$B$14:$K$20,9)/30))</f>
        <v>12.557942149157551</v>
      </c>
      <c r="EY219" s="172">
        <f ca="1">(VLOOKUP(EY$72,INDIRECT($C$5&amp;"生成成长"),2))/((VLOOKUP($B219,INDIRECT($B$5&amp;"生成成长"),4))/(VLOOKUP(EY$72,INDIRECT($C$5&amp;"生成成长"),5))*(VLOOKUP($B$5,标准坦克设计!$B$24:$U$30,MATCH("对"&amp;LEFT($C$5,2)&amp;"输出",标准坦克设计!$B$23:$U$23,0)))*(VLOOKUP($B219,INDIRECT($B$5&amp;"生成成长"),3))*(VLOOKUP($B$5,标准坦克设计!$B$14:$K$20,9)/30))</f>
        <v>13.422404136059557</v>
      </c>
      <c r="EZ219" s="172">
        <f ca="1">(VLOOKUP(EZ$72,INDIRECT($C$5&amp;"生成成长"),2))/((VLOOKUP($B219,INDIRECT($B$5&amp;"生成成长"),4))/(VLOOKUP(EZ$72,INDIRECT($C$5&amp;"生成成长"),5))*(VLOOKUP($B$5,标准坦克设计!$B$24:$U$30,MATCH("对"&amp;LEFT($C$5,2)&amp;"输出",标准坦克设计!$B$23:$U$23,0)))*(VLOOKUP($B219,INDIRECT($B$5&amp;"生成成长"),3))*(VLOOKUP($B$5,标准坦克设计!$B$14:$K$20,9)/30))</f>
        <v>14.315637928879635</v>
      </c>
      <c r="FA219" s="172">
        <f ca="1">(VLOOKUP(FA$72,INDIRECT($C$5&amp;"生成成长"),2))/((VLOOKUP($B219,INDIRECT($B$5&amp;"生成成长"),4))/(VLOOKUP(FA$72,INDIRECT($C$5&amp;"生成成长"),5))*(VLOOKUP($B$5,标准坦克设计!$B$24:$U$30,MATCH("对"&amp;LEFT($C$5,2)&amp;"输出",标准坦克设计!$B$23:$U$23,0)))*(VLOOKUP($B219,INDIRECT($B$5&amp;"生成成长"),3))*(VLOOKUP($B$5,标准坦克设计!$B$14:$K$20,9)/30))</f>
        <v>15.237643527617783</v>
      </c>
      <c r="FB219" s="172">
        <f ca="1">(VLOOKUP(FB$72,INDIRECT($C$5&amp;"生成成长"),2))/((VLOOKUP($B219,INDIRECT($B$5&amp;"生成成长"),4))/(VLOOKUP(FB$72,INDIRECT($C$5&amp;"生成成长"),5))*(VLOOKUP($B$5,标准坦克设计!$B$24:$U$30,MATCH("对"&amp;LEFT($C$5,2)&amp;"输出",标准坦克设计!$B$23:$U$23,0)))*(VLOOKUP($B219,INDIRECT($B$5&amp;"生成成长"),3))*(VLOOKUP($B$5,标准坦克设计!$B$14:$K$20,9)/30))</f>
        <v>16.188420932273999</v>
      </c>
      <c r="FC219" s="172">
        <f ca="1">(VLOOKUP(FC$72,INDIRECT($C$5&amp;"生成成长"),2))/((VLOOKUP($B219,INDIRECT($B$5&amp;"生成成长"),4))/(VLOOKUP(FC$72,INDIRECT($C$5&amp;"生成成长"),5))*(VLOOKUP($B$5,标准坦克设计!$B$24:$U$30,MATCH("对"&amp;LEFT($C$5,2)&amp;"输出",标准坦克设计!$B$23:$U$23,0)))*(VLOOKUP($B219,INDIRECT($B$5&amp;"生成成长"),3))*(VLOOKUP($B$5,标准坦克设计!$B$14:$K$20,9)/30))</f>
        <v>17.167970142848286</v>
      </c>
      <c r="FD219" s="172">
        <f ca="1">(VLOOKUP(FD$72,INDIRECT($C$5&amp;"生成成长"),2))/((VLOOKUP($B219,INDIRECT($B$5&amp;"生成成长"),4))/(VLOOKUP(FD$72,INDIRECT($C$5&amp;"生成成长"),5))*(VLOOKUP($B$5,标准坦克设计!$B$24:$U$30,MATCH("对"&amp;LEFT($C$5,2)&amp;"输出",标准坦克设计!$B$23:$U$23,0)))*(VLOOKUP($B219,INDIRECT($B$5&amp;"生成成长"),3))*(VLOOKUP($B$5,标准坦克设计!$B$14:$K$20,9)/30))</f>
        <v>18.176291159340643</v>
      </c>
      <c r="FE219" s="172">
        <f ca="1">(VLOOKUP(FE$72,INDIRECT($C$5&amp;"生成成长"),2))/((VLOOKUP($B219,INDIRECT($B$5&amp;"生成成长"),4))/(VLOOKUP(FE$72,INDIRECT($C$5&amp;"生成成长"),5))*(VLOOKUP($B$5,标准坦克设计!$B$24:$U$30,MATCH("对"&amp;LEFT($C$5,2)&amp;"输出",标准坦克设计!$B$23:$U$23,0)))*(VLOOKUP($B219,INDIRECT($B$5&amp;"生成成长"),3))*(VLOOKUP($B$5,标准坦克设计!$B$14:$K$20,9)/30))</f>
        <v>19.40503749885821</v>
      </c>
      <c r="FF219" s="172">
        <f ca="1">(VLOOKUP(FF$72,INDIRECT($C$5&amp;"生成成长"),2))/((VLOOKUP($B219,INDIRECT($B$5&amp;"生成成长"),4))/(VLOOKUP(FF$72,INDIRECT($C$5&amp;"生成成长"),5))*(VLOOKUP($B$5,标准坦克设计!$B$24:$U$30,MATCH("对"&amp;LEFT($C$5,2)&amp;"输出",标准坦克设计!$B$23:$U$23,0)))*(VLOOKUP($B219,INDIRECT($B$5&amp;"生成成长"),3))*(VLOOKUP($B$5,标准坦克设计!$B$14:$K$20,9)/30))</f>
        <v>20.673969253253087</v>
      </c>
      <c r="FG219" s="172">
        <f ca="1">(VLOOKUP(FG$72,INDIRECT($C$5&amp;"生成成长"),2))/((VLOOKUP($B219,INDIRECT($B$5&amp;"生成成长"),4))/(VLOOKUP(FG$72,INDIRECT($C$5&amp;"生成成长"),5))*(VLOOKUP($B$5,标准坦克设计!$B$24:$U$30,MATCH("对"&amp;LEFT($C$5,2)&amp;"输出",标准坦克设计!$B$23:$U$23,0)))*(VLOOKUP($B219,INDIRECT($B$5&amp;"生成成长"),3))*(VLOOKUP($B$5,标准坦克设计!$B$14:$K$20,9)/30))</f>
        <v>21.983086422525261</v>
      </c>
      <c r="FH219" s="172">
        <f ca="1">(VLOOKUP(FH$72,INDIRECT($C$5&amp;"生成成长"),2))/((VLOOKUP($B219,INDIRECT($B$5&amp;"生成成长"),4))/(VLOOKUP(FH$72,INDIRECT($C$5&amp;"生成成长"),5))*(VLOOKUP($B$5,标准坦克设计!$B$24:$U$30,MATCH("对"&amp;LEFT($C$5,2)&amp;"输出",标准坦克设计!$B$23:$U$23,0)))*(VLOOKUP($B219,INDIRECT($B$5&amp;"生成成长"),3))*(VLOOKUP($B$5,标准坦克设计!$B$14:$K$20,9)/30))</f>
        <v>23.332389006674745</v>
      </c>
      <c r="FI219" s="172">
        <f ca="1">(VLOOKUP(FI$72,INDIRECT($C$5&amp;"生成成长"),2))/((VLOOKUP($B219,INDIRECT($B$5&amp;"生成成长"),4))/(VLOOKUP(FI$72,INDIRECT($C$5&amp;"生成成长"),5))*(VLOOKUP($B$5,标准坦克设计!$B$24:$U$30,MATCH("对"&amp;LEFT($C$5,2)&amp;"输出",标准坦克设计!$B$23:$U$23,0)))*(VLOOKUP($B219,INDIRECT($B$5&amp;"生成成长"),3))*(VLOOKUP($B$5,标准坦克设计!$B$14:$K$20,9)/30))</f>
        <v>24.721877005701536</v>
      </c>
      <c r="FJ219" s="172">
        <f ca="1">(VLOOKUP(FJ$72,INDIRECT($C$5&amp;"生成成长"),2))/((VLOOKUP($B219,INDIRECT($B$5&amp;"生成成长"),4))/(VLOOKUP(FJ$72,INDIRECT($C$5&amp;"生成成长"),5))*(VLOOKUP($B$5,标准坦克设计!$B$24:$U$30,MATCH("对"&amp;LEFT($C$5,2)&amp;"输出",标准坦克设计!$B$23:$U$23,0)))*(VLOOKUP($B219,INDIRECT($B$5&amp;"生成成长"),3))*(VLOOKUP($B$5,标准坦克设计!$B$14:$K$20,9)/30))</f>
        <v>26.151550419605631</v>
      </c>
      <c r="FK219" s="172">
        <f ca="1">(VLOOKUP(FK$72,INDIRECT($C$5&amp;"生成成长"),2))/((VLOOKUP($B219,INDIRECT($B$5&amp;"生成成长"),4))/(VLOOKUP(FK$72,INDIRECT($C$5&amp;"生成成长"),5))*(VLOOKUP($B$5,标准坦克设计!$B$24:$U$30,MATCH("对"&amp;LEFT($C$5,2)&amp;"输出",标准坦克设计!$B$23:$U$23,0)))*(VLOOKUP($B219,INDIRECT($B$5&amp;"生成成长"),3))*(VLOOKUP($B$5,标准坦克设计!$B$14:$K$20,9)/30))</f>
        <v>27.621409248387014</v>
      </c>
    </row>
    <row r="220" spans="1:167" x14ac:dyDescent="0.15">
      <c r="A220" s="170" t="str">
        <f t="shared" si="13"/>
        <v>T5高品质4级</v>
      </c>
      <c r="B220" s="171">
        <v>30504</v>
      </c>
      <c r="C220" s="172">
        <f ca="1">(VLOOKUP(C$72,INDIRECT($C$5&amp;"生成成长"),2))/((VLOOKUP($B220,INDIRECT($B$5&amp;"生成成长"),4))/(VLOOKUP(C$72,INDIRECT($C$5&amp;"生成成长"),5))*(VLOOKUP($B$5,标准坦克设计!$B$24:$U$30,MATCH("对"&amp;LEFT($C$5,2)&amp;"输出",标准坦克设计!$B$23:$U$23,0)))*(VLOOKUP($B220,INDIRECT($B$5&amp;"生成成长"),3))*(VLOOKUP($B$5,标准坦克设计!$B$14:$K$20,9)/30))</f>
        <v>1.0957487357824001</v>
      </c>
      <c r="D220" s="172">
        <f ca="1">(VLOOKUP(D$72,INDIRECT($C$5&amp;"生成成长"),2))/((VLOOKUP($B220,INDIRECT($B$5&amp;"生成成长"),4))/(VLOOKUP(D$72,INDIRECT($C$5&amp;"生成成长"),5))*(VLOOKUP($B$5,标准坦克设计!$B$24:$U$30,MATCH("对"&amp;LEFT($C$5,2)&amp;"输出",标准坦克设计!$B$23:$U$23,0)))*(VLOOKUP($B220,INDIRECT($B$5&amp;"生成成长"),3))*(VLOOKUP($B$5,标准坦克设计!$B$14:$K$20,9)/30))</f>
        <v>1.2311832795251045</v>
      </c>
      <c r="E220" s="172">
        <f ca="1">(VLOOKUP(E$72,INDIRECT($C$5&amp;"生成成长"),2))/((VLOOKUP($B220,INDIRECT($B$5&amp;"生成成长"),4))/(VLOOKUP(E$72,INDIRECT($C$5&amp;"生成成长"),5))*(VLOOKUP($B$5,标准坦克设计!$B$24:$U$30,MATCH("对"&amp;LEFT($C$5,2)&amp;"输出",标准坦克设计!$B$23:$U$23,0)))*(VLOOKUP($B220,INDIRECT($B$5&amp;"生成成长"),3))*(VLOOKUP($B$5,标准坦克设计!$B$14:$K$20,9)/30))</f>
        <v>1.3745072141654422</v>
      </c>
      <c r="F220" s="172">
        <f ca="1">(VLOOKUP(F$72,INDIRECT($C$5&amp;"生成成长"),2))/((VLOOKUP($B220,INDIRECT($B$5&amp;"生成成长"),4))/(VLOOKUP(F$72,INDIRECT($C$5&amp;"生成成长"),5))*(VLOOKUP($B$5,标准坦克设计!$B$24:$U$30,MATCH("对"&amp;LEFT($C$5,2)&amp;"输出",标准坦克设计!$B$23:$U$23,0)))*(VLOOKUP($B220,INDIRECT($B$5&amp;"生成成长"),3))*(VLOOKUP($B$5,标准坦克设计!$B$14:$K$20,9)/30))</f>
        <v>1.5257205397034137</v>
      </c>
      <c r="G220" s="172">
        <f ca="1">(VLOOKUP(G$72,INDIRECT($C$5&amp;"生成成长"),2))/((VLOOKUP($B220,INDIRECT($B$5&amp;"生成成长"),4))/(VLOOKUP(G$72,INDIRECT($C$5&amp;"生成成长"),5))*(VLOOKUP($B$5,标准坦克设计!$B$24:$U$30,MATCH("对"&amp;LEFT($C$5,2)&amp;"输出",标准坦克设计!$B$23:$U$23,0)))*(VLOOKUP($B220,INDIRECT($B$5&amp;"生成成长"),3))*(VLOOKUP($B$5,标准坦克设计!$B$14:$K$20,9)/30))</f>
        <v>1.6848232561390182</v>
      </c>
      <c r="H220" s="172">
        <f ca="1">(VLOOKUP(H$72,INDIRECT($C$5&amp;"生成成长"),2))/((VLOOKUP($B220,INDIRECT($B$5&amp;"生成成长"),4))/(VLOOKUP(H$72,INDIRECT($C$5&amp;"生成成长"),5))*(VLOOKUP($B$5,标准坦克设计!$B$24:$U$30,MATCH("对"&amp;LEFT($C$5,2)&amp;"输出",标准坦克设计!$B$23:$U$23,0)))*(VLOOKUP($B220,INDIRECT($B$5&amp;"生成成长"),3))*(VLOOKUP($B$5,标准坦克设计!$B$14:$K$20,9)/30))</f>
        <v>1.4744394988687972</v>
      </c>
      <c r="I220" s="172">
        <f ca="1">(VLOOKUP(I$72,INDIRECT($C$5&amp;"生成成长"),2))/((VLOOKUP($B220,INDIRECT($B$5&amp;"生成成长"),4))/(VLOOKUP(I$72,INDIRECT($C$5&amp;"生成成长"),5))*(VLOOKUP($B$5,标准坦克设计!$B$24:$U$30,MATCH("对"&amp;LEFT($C$5,2)&amp;"输出",标准坦克设计!$B$23:$U$23,0)))*(VLOOKUP($B220,INDIRECT($B$5&amp;"生成成长"),3))*(VLOOKUP($B$5,标准坦克设计!$B$14:$K$20,9)/30))</f>
        <v>1.6848232561390182</v>
      </c>
      <c r="J220" s="172">
        <f ca="1">(VLOOKUP(J$72,INDIRECT($C$5&amp;"生成成长"),2))/((VLOOKUP($B220,INDIRECT($B$5&amp;"生成成长"),4))/(VLOOKUP(J$72,INDIRECT($C$5&amp;"生成成长"),5))*(VLOOKUP($B$5,标准坦克设计!$B$24:$U$30,MATCH("对"&amp;LEFT($C$5,2)&amp;"输出",标准坦克设计!$B$23:$U$23,0)))*(VLOOKUP($B220,INDIRECT($B$5&amp;"生成成长"),3))*(VLOOKUP($B$5,标准坦克设计!$B$14:$K$20,9)/30))</f>
        <v>1.9092325972272537</v>
      </c>
      <c r="K220" s="172">
        <f ca="1">(VLOOKUP(K$72,INDIRECT($C$5&amp;"生成成长"),2))/((VLOOKUP($B220,INDIRECT($B$5&amp;"生成成长"),4))/(VLOOKUP(K$72,INDIRECT($C$5&amp;"生成成长"),5))*(VLOOKUP($B$5,标准坦克设计!$B$24:$U$30,MATCH("对"&amp;LEFT($C$5,2)&amp;"输出",标准坦克设计!$B$23:$U$23,0)))*(VLOOKUP($B220,INDIRECT($B$5&amp;"生成成长"),3))*(VLOOKUP($B$5,标准坦克设计!$B$14:$K$20,9)/30))</f>
        <v>2.1476675221335038</v>
      </c>
      <c r="L220" s="172">
        <f ca="1">(VLOOKUP(L$72,INDIRECT($C$5&amp;"生成成长"),2))/((VLOOKUP($B220,INDIRECT($B$5&amp;"生成成长"),4))/(VLOOKUP(L$72,INDIRECT($C$5&amp;"生成成长"),5))*(VLOOKUP($B$5,标准坦克设计!$B$24:$U$30,MATCH("对"&amp;LEFT($C$5,2)&amp;"输出",标准坦克设计!$B$23:$U$23,0)))*(VLOOKUP($B220,INDIRECT($B$5&amp;"生成成长"),3))*(VLOOKUP($B$5,标准坦克设计!$B$14:$K$20,9)/30))</f>
        <v>2.4001280308577688</v>
      </c>
      <c r="M220" s="172">
        <f ca="1">(VLOOKUP(M$72,INDIRECT($C$5&amp;"生成成长"),2))/((VLOOKUP($B220,INDIRECT($B$5&amp;"生成成长"),4))/(VLOOKUP(M$72,INDIRECT($C$5&amp;"生成成长"),5))*(VLOOKUP($B$5,标准坦克设计!$B$24:$U$30,MATCH("对"&amp;LEFT($C$5,2)&amp;"输出",标准坦克设计!$B$23:$U$23,0)))*(VLOOKUP($B220,INDIRECT($B$5&amp;"生成成长"),3))*(VLOOKUP($B$5,标准坦克设计!$B$14:$K$20,9)/30))</f>
        <v>2.6666141234000484</v>
      </c>
      <c r="N220" s="172">
        <f ca="1">(VLOOKUP(N$72,INDIRECT($C$5&amp;"生成成长"),2))/((VLOOKUP($B220,INDIRECT($B$5&amp;"生成成长"),4))/(VLOOKUP(N$72,INDIRECT($C$5&amp;"生成成长"),5))*(VLOOKUP($B$5,标准坦克设计!$B$24:$U$30,MATCH("对"&amp;LEFT($C$5,2)&amp;"输出",标准坦克设计!$B$23:$U$23,0)))*(VLOOKUP($B220,INDIRECT($B$5&amp;"生成成长"),3))*(VLOOKUP($B$5,标准坦克设计!$B$14:$K$20,9)/30))</f>
        <v>2.9471257997603426</v>
      </c>
      <c r="O220" s="172">
        <f ca="1">(VLOOKUP(O$72,INDIRECT($C$5&amp;"生成成长"),2))/((VLOOKUP($B220,INDIRECT($B$5&amp;"生成成长"),4))/(VLOOKUP(O$72,INDIRECT($C$5&amp;"生成成长"),5))*(VLOOKUP($B$5,标准坦克设计!$B$24:$U$30,MATCH("对"&amp;LEFT($C$5,2)&amp;"输出",标准坦克设计!$B$23:$U$23,0)))*(VLOOKUP($B220,INDIRECT($B$5&amp;"生成成长"),3))*(VLOOKUP($B$5,标准坦克设计!$B$14:$K$20,9)/30))</f>
        <v>2.2406965898014297</v>
      </c>
      <c r="P220" s="172">
        <f ca="1">(VLOOKUP(P$72,INDIRECT($C$5&amp;"生成成长"),2))/((VLOOKUP($B220,INDIRECT($B$5&amp;"生成成长"),4))/(VLOOKUP(P$72,INDIRECT($C$5&amp;"生成成长"),5))*(VLOOKUP($B$5,标准坦克设计!$B$24:$U$30,MATCH("对"&amp;LEFT($C$5,2)&amp;"输出",标准坦克设计!$B$23:$U$23,0)))*(VLOOKUP($B220,INDIRECT($B$5&amp;"生成成长"),3))*(VLOOKUP($B$5,标准坦克设计!$B$14:$K$20,9)/30))</f>
        <v>2.5316178791516566</v>
      </c>
      <c r="Q220" s="172">
        <f ca="1">(VLOOKUP(Q$72,INDIRECT($C$5&amp;"生成成长"),2))/((VLOOKUP($B220,INDIRECT($B$5&amp;"生成成长"),4))/(VLOOKUP(Q$72,INDIRECT($C$5&amp;"生成成长"),5))*(VLOOKUP($B$5,标准坦克设计!$B$24:$U$30,MATCH("对"&amp;LEFT($C$5,2)&amp;"输出",标准坦克设计!$B$23:$U$23,0)))*(VLOOKUP($B220,INDIRECT($B$5&amp;"生成成长"),3))*(VLOOKUP($B$5,标准坦克设计!$B$14:$K$20,9)/30))</f>
        <v>2.8402902980215585</v>
      </c>
      <c r="R220" s="172">
        <f ca="1">(VLOOKUP(R$72,INDIRECT($C$5&amp;"生成成长"),2))/((VLOOKUP($B220,INDIRECT($B$5&amp;"生成成长"),4))/(VLOOKUP(R$72,INDIRECT($C$5&amp;"生成成长"),5))*(VLOOKUP($B$5,标准坦克设计!$B$24:$U$30,MATCH("对"&amp;LEFT($C$5,2)&amp;"输出",标准坦克设计!$B$23:$U$23,0)))*(VLOOKUP($B220,INDIRECT($B$5&amp;"生成成长"),3))*(VLOOKUP($B$5,标准坦克设计!$B$14:$K$20,9)/30))</f>
        <v>3.166713846411136</v>
      </c>
      <c r="S220" s="172">
        <f ca="1">(VLOOKUP(S$72,INDIRECT($C$5&amp;"生成成长"),2))/((VLOOKUP($B220,INDIRECT($B$5&amp;"生成成长"),4))/(VLOOKUP(S$72,INDIRECT($C$5&amp;"生成成长"),5))*(VLOOKUP($B$5,标准坦克设计!$B$24:$U$30,MATCH("对"&amp;LEFT($C$5,2)&amp;"输出",标准坦克设计!$B$23:$U$23,0)))*(VLOOKUP($B220,INDIRECT($B$5&amp;"生成成长"),3))*(VLOOKUP($B$5,标准坦克设计!$B$14:$K$20,9)/30))</f>
        <v>3.5108885243203876</v>
      </c>
      <c r="T220" s="172">
        <f ca="1">(VLOOKUP(T$72,INDIRECT($C$5&amp;"生成成长"),2))/((VLOOKUP($B220,INDIRECT($B$5&amp;"生成成长"),4))/(VLOOKUP(T$72,INDIRECT($C$5&amp;"生成成长"),5))*(VLOOKUP($B$5,标准坦克设计!$B$24:$U$30,MATCH("对"&amp;LEFT($C$5,2)&amp;"输出",标准坦克设计!$B$23:$U$23,0)))*(VLOOKUP($B220,INDIRECT($B$5&amp;"生成成长"),3))*(VLOOKUP($B$5,标准坦克设计!$B$14:$K$20,9)/30))</f>
        <v>3.8728143317493142</v>
      </c>
      <c r="U220" s="172">
        <f ca="1">(VLOOKUP(U$72,INDIRECT($C$5&amp;"生成成长"),2))/((VLOOKUP($B220,INDIRECT($B$5&amp;"生成成长"),4))/(VLOOKUP(U$72,INDIRECT($C$5&amp;"生成成长"),5))*(VLOOKUP($B$5,标准坦克设计!$B$24:$U$30,MATCH("对"&amp;LEFT($C$5,2)&amp;"输出",标准坦克设计!$B$23:$U$23,0)))*(VLOOKUP($B220,INDIRECT($B$5&amp;"生成成长"),3))*(VLOOKUP($B$5,标准坦克设计!$B$14:$K$20,9)/30))</f>
        <v>4.2524912686979164</v>
      </c>
      <c r="V220" s="172">
        <f ca="1">(VLOOKUP(V$72,INDIRECT($C$5&amp;"生成成长"),2))/((VLOOKUP($B220,INDIRECT($B$5&amp;"生成成长"),4))/(VLOOKUP(V$72,INDIRECT($C$5&amp;"生成成长"),5))*(VLOOKUP($B$5,标准坦克设计!$B$24:$U$30,MATCH("对"&amp;LEFT($C$5,2)&amp;"输出",标准坦克设计!$B$23:$U$23,0)))*(VLOOKUP($B220,INDIRECT($B$5&amp;"生成成长"),3))*(VLOOKUP($B$5,标准坦克设计!$B$14:$K$20,9)/30))</f>
        <v>4.6499193351661923</v>
      </c>
      <c r="W220" s="172">
        <f ca="1">(VLOOKUP(W$72,INDIRECT($C$5&amp;"生成成长"),2))/((VLOOKUP($B220,INDIRECT($B$5&amp;"生成成长"),4))/(VLOOKUP(W$72,INDIRECT($C$5&amp;"生成成长"),5))*(VLOOKUP($B$5,标准坦克设计!$B$24:$U$30,MATCH("对"&amp;LEFT($C$5,2)&amp;"输出",标准坦克设计!$B$23:$U$23,0)))*(VLOOKUP($B220,INDIRECT($B$5&amp;"生成成长"),3))*(VLOOKUP($B$5,标准坦克设计!$B$14:$K$20,9)/30))</f>
        <v>5.0650985311541437</v>
      </c>
      <c r="X220" s="172">
        <f ca="1">(VLOOKUP(X$72,INDIRECT($C$5&amp;"生成成长"),2))/((VLOOKUP($B220,INDIRECT($B$5&amp;"生成成长"),4))/(VLOOKUP(X$72,INDIRECT($C$5&amp;"生成成长"),5))*(VLOOKUP($B$5,标准坦克设计!$B$24:$U$30,MATCH("对"&amp;LEFT($C$5,2)&amp;"输出",标准坦克设计!$B$23:$U$23,0)))*(VLOOKUP($B220,INDIRECT($B$5&amp;"生成成长"),3))*(VLOOKUP($B$5,标准坦克设计!$B$14:$K$20,9)/30))</f>
        <v>3.6695529412616792</v>
      </c>
      <c r="Y220" s="172">
        <f ca="1">(VLOOKUP(Y$72,INDIRECT($C$5&amp;"生成成长"),2))/((VLOOKUP($B220,INDIRECT($B$5&amp;"生成成长"),4))/(VLOOKUP(Y$72,INDIRECT($C$5&amp;"生成成长"),5))*(VLOOKUP($B$5,标准坦克设计!$B$24:$U$30,MATCH("对"&amp;LEFT($C$5,2)&amp;"输出",标准坦克设计!$B$23:$U$23,0)))*(VLOOKUP($B220,INDIRECT($B$5&amp;"生成成长"),3))*(VLOOKUP($B$5,标准坦克设计!$B$14:$K$20,9)/30))</f>
        <v>4.0815544659158611</v>
      </c>
      <c r="Z220" s="172">
        <f ca="1">(VLOOKUP(Z$72,INDIRECT($C$5&amp;"生成成长"),2))/((VLOOKUP($B220,INDIRECT($B$5&amp;"生成成长"),4))/(VLOOKUP(Z$72,INDIRECT($C$5&amp;"生成成长"),5))*(VLOOKUP($B$5,标准坦克设计!$B$24:$U$30,MATCH("对"&amp;LEFT($C$5,2)&amp;"输出",标准坦克设计!$B$23:$U$23,0)))*(VLOOKUP($B220,INDIRECT($B$5&amp;"生成成长"),3))*(VLOOKUP($B$5,标准坦克设计!$B$14:$K$20,9)/30))</f>
        <v>4.5154709652856919</v>
      </c>
      <c r="AA220" s="172">
        <f ca="1">(VLOOKUP(AA$72,INDIRECT($C$5&amp;"生成成长"),2))/((VLOOKUP($B220,INDIRECT($B$5&amp;"生成成长"),4))/(VLOOKUP(AA$72,INDIRECT($C$5&amp;"生成成长"),5))*(VLOOKUP($B$5,标准坦克设计!$B$24:$U$30,MATCH("对"&amp;LEFT($C$5,2)&amp;"输出",标准坦克设计!$B$23:$U$23,0)))*(VLOOKUP($B220,INDIRECT($B$5&amp;"生成成长"),3))*(VLOOKUP($B$5,标准坦克设计!$B$14:$K$20,9)/30))</f>
        <v>4.9713024393711702</v>
      </c>
      <c r="AB220" s="172">
        <f ca="1">(VLOOKUP(AB$72,INDIRECT($C$5&amp;"生成成长"),2))/((VLOOKUP($B220,INDIRECT($B$5&amp;"生成成长"),4))/(VLOOKUP(AB$72,INDIRECT($C$5&amp;"生成成长"),5))*(VLOOKUP($B$5,标准坦克设计!$B$24:$U$30,MATCH("对"&amp;LEFT($C$5,2)&amp;"输出",标准坦克设计!$B$23:$U$23,0)))*(VLOOKUP($B220,INDIRECT($B$5&amp;"生成成长"),3))*(VLOOKUP($B$5,标准坦克设计!$B$14:$K$20,9)/30))</f>
        <v>5.4490488881722969</v>
      </c>
      <c r="AC220" s="172">
        <f ca="1">(VLOOKUP(AC$72,INDIRECT($C$5&amp;"生成成长"),2))/((VLOOKUP($B220,INDIRECT($B$5&amp;"生成成长"),4))/(VLOOKUP(AC$72,INDIRECT($C$5&amp;"生成成长"),5))*(VLOOKUP($B$5,标准坦克设计!$B$24:$U$30,MATCH("对"&amp;LEFT($C$5,2)&amp;"输出",标准坦克设计!$B$23:$U$23,0)))*(VLOOKUP($B220,INDIRECT($B$5&amp;"生成成长"),3))*(VLOOKUP($B$5,标准坦克设计!$B$14:$K$20,9)/30))</f>
        <v>5.9487103116890712</v>
      </c>
      <c r="AD220" s="172">
        <f ca="1">(VLOOKUP(AD$72,INDIRECT($C$5&amp;"生成成长"),2))/((VLOOKUP($B220,INDIRECT($B$5&amp;"生成成长"),4))/(VLOOKUP(AD$72,INDIRECT($C$5&amp;"生成成长"),5))*(VLOOKUP($B$5,标准坦克设计!$B$24:$U$30,MATCH("对"&amp;LEFT($C$5,2)&amp;"输出",标准坦克设计!$B$23:$U$23,0)))*(VLOOKUP($B220,INDIRECT($B$5&amp;"生成成长"),3))*(VLOOKUP($B$5,标准坦克设计!$B$14:$K$20,9)/30))</f>
        <v>6.4702867099214938</v>
      </c>
      <c r="AE220" s="172">
        <f ca="1">(VLOOKUP(AE$72,INDIRECT($C$5&amp;"生成成长"),2))/((VLOOKUP($B220,INDIRECT($B$5&amp;"生成成长"),4))/(VLOOKUP(AE$72,INDIRECT($C$5&amp;"生成成长"),5))*(VLOOKUP($B$5,标准坦克设计!$B$24:$U$30,MATCH("对"&amp;LEFT($C$5,2)&amp;"输出",标准坦克设计!$B$23:$U$23,0)))*(VLOOKUP($B220,INDIRECT($B$5&amp;"生成成长"),3))*(VLOOKUP($B$5,标准坦克设计!$B$14:$K$20,9)/30))</f>
        <v>7.0137780828695639</v>
      </c>
      <c r="AF220" s="172">
        <f ca="1">(VLOOKUP(AF$72,INDIRECT($C$5&amp;"生成成长"),2))/((VLOOKUP($B220,INDIRECT($B$5&amp;"生成成长"),4))/(VLOOKUP(AF$72,INDIRECT($C$5&amp;"生成成长"),5))*(VLOOKUP($B$5,标准坦克设计!$B$24:$U$30,MATCH("对"&amp;LEFT($C$5,2)&amp;"输出",标准坦克设计!$B$23:$U$23,0)))*(VLOOKUP($B220,INDIRECT($B$5&amp;"生成成长"),3))*(VLOOKUP($B$5,标准坦克设计!$B$14:$K$20,9)/30))</f>
        <v>7.5791844305332843</v>
      </c>
      <c r="AG220" s="172">
        <f ca="1">(VLOOKUP(AG$72,INDIRECT($C$5&amp;"生成成长"),2))/((VLOOKUP($B220,INDIRECT($B$5&amp;"生成成长"),4))/(VLOOKUP(AG$72,INDIRECT($C$5&amp;"生成成长"),5))*(VLOOKUP($B$5,标准坦克设计!$B$24:$U$30,MATCH("对"&amp;LEFT($C$5,2)&amp;"输出",标准坦克设计!$B$23:$U$23,0)))*(VLOOKUP($B220,INDIRECT($B$5&amp;"生成成长"),3))*(VLOOKUP($B$5,标准坦克设计!$B$14:$K$20,9)/30))</f>
        <v>8.1665057529126504</v>
      </c>
      <c r="AH220" s="172">
        <f ca="1">(VLOOKUP(AH$72,INDIRECT($C$5&amp;"生成成长"),2))/((VLOOKUP($B220,INDIRECT($B$5&amp;"生成成长"),4))/(VLOOKUP(AH$72,INDIRECT($C$5&amp;"生成成长"),5))*(VLOOKUP($B$5,标准坦克设计!$B$24:$U$30,MATCH("对"&amp;LEFT($C$5,2)&amp;"输出",标准坦克设计!$B$23:$U$23,0)))*(VLOOKUP($B220,INDIRECT($B$5&amp;"生成成长"),3))*(VLOOKUP($B$5,标准坦克设计!$B$14:$K$20,9)/30))</f>
        <v>8.7757420500076631</v>
      </c>
      <c r="AI220" s="172">
        <f ca="1">(VLOOKUP(AI$72,INDIRECT($C$5&amp;"生成成长"),2))/((VLOOKUP($B220,INDIRECT($B$5&amp;"生成成长"),4))/(VLOOKUP(AI$72,INDIRECT($C$5&amp;"生成成长"),5))*(VLOOKUP($B$5,标准坦克设计!$B$24:$U$30,MATCH("对"&amp;LEFT($C$5,2)&amp;"输出",标准坦克设计!$B$23:$U$23,0)))*(VLOOKUP($B220,INDIRECT($B$5&amp;"生成成长"),3))*(VLOOKUP($B$5,标准坦克设计!$B$14:$K$20,9)/30))</f>
        <v>6.2067591389658254</v>
      </c>
      <c r="AJ220" s="172">
        <f ca="1">(VLOOKUP(AJ$72,INDIRECT($C$5&amp;"生成成长"),2))/((VLOOKUP($B220,INDIRECT($B$5&amp;"生成成长"),4))/(VLOOKUP(AJ$72,INDIRECT($C$5&amp;"生成成长"),5))*(VLOOKUP($B$5,标准坦克设计!$B$24:$U$30,MATCH("对"&amp;LEFT($C$5,2)&amp;"输出",标准坦克设计!$B$23:$U$23,0)))*(VLOOKUP($B220,INDIRECT($B$5&amp;"生成成长"),3))*(VLOOKUP($B$5,标准坦克设计!$B$14:$K$20,9)/30))</f>
        <v>6.7937517367244569</v>
      </c>
      <c r="AK220" s="172">
        <f ca="1">(VLOOKUP(AK$72,INDIRECT($C$5&amp;"生成成长"),2))/((VLOOKUP($B220,INDIRECT($B$5&amp;"生成成长"),4))/(VLOOKUP(AK$72,INDIRECT($C$5&amp;"生成成长"),5))*(VLOOKUP($B$5,标准坦克设计!$B$24:$U$30,MATCH("对"&amp;LEFT($C$5,2)&amp;"输出",标准坦克设计!$B$23:$U$23,0)))*(VLOOKUP($B220,INDIRECT($B$5&amp;"生成成长"),3))*(VLOOKUP($B$5,标准坦克设计!$B$14:$K$20,9)/30))</f>
        <v>7.4072614538890251</v>
      </c>
      <c r="AL220" s="172">
        <f ca="1">(VLOOKUP(AL$72,INDIRECT($C$5&amp;"生成成长"),2))/((VLOOKUP($B220,INDIRECT($B$5&amp;"生成成长"),4))/(VLOOKUP(AL$72,INDIRECT($C$5&amp;"生成成长"),5))*(VLOOKUP($B$5,标准坦克设计!$B$24:$U$30,MATCH("对"&amp;LEFT($C$5,2)&amp;"输出",标准坦克设计!$B$23:$U$23,0)))*(VLOOKUP($B220,INDIRECT($B$5&amp;"生成成长"),3))*(VLOOKUP($B$5,标准坦克设计!$B$14:$K$20,9)/30))</f>
        <v>8.0472882904595231</v>
      </c>
      <c r="AM220" s="172">
        <f ca="1">(VLOOKUP(AM$72,INDIRECT($C$5&amp;"生成成长"),2))/((VLOOKUP($B220,INDIRECT($B$5&amp;"生成成长"),4))/(VLOOKUP(AM$72,INDIRECT($C$5&amp;"生成成长"),5))*(VLOOKUP($B$5,标准坦克设计!$B$24:$U$30,MATCH("对"&amp;LEFT($C$5,2)&amp;"输出",标准坦克设计!$B$23:$U$23,0)))*(VLOOKUP($B220,INDIRECT($B$5&amp;"生成成长"),3))*(VLOOKUP($B$5,标准坦克设计!$B$14:$K$20,9)/30))</f>
        <v>8.7138322464359579</v>
      </c>
      <c r="AN220" s="172">
        <f ca="1">(VLOOKUP(AN$72,INDIRECT($C$5&amp;"生成成长"),2))/((VLOOKUP($B220,INDIRECT($B$5&amp;"生成成长"),4))/(VLOOKUP(AN$72,INDIRECT($C$5&amp;"生成成长"),5))*(VLOOKUP($B$5,标准坦克设计!$B$24:$U$30,MATCH("对"&amp;LEFT($C$5,2)&amp;"输出",标准坦克设计!$B$23:$U$23,0)))*(VLOOKUP($B220,INDIRECT($B$5&amp;"生成成长"),3))*(VLOOKUP($B$5,标准坦克设计!$B$14:$K$20,9)/30))</f>
        <v>9.406893321818325</v>
      </c>
      <c r="AO220" s="172">
        <f ca="1">(VLOOKUP(AO$72,INDIRECT($C$5&amp;"生成成长"),2))/((VLOOKUP($B220,INDIRECT($B$5&amp;"生成成长"),4))/(VLOOKUP(AO$72,INDIRECT($C$5&amp;"生成成长"),5))*(VLOOKUP($B$5,标准坦克设计!$B$24:$U$30,MATCH("对"&amp;LEFT($C$5,2)&amp;"输出",标准坦克设计!$B$23:$U$23,0)))*(VLOOKUP($B220,INDIRECT($B$5&amp;"生成成长"),3))*(VLOOKUP($B$5,标准坦克设计!$B$14:$K$20,9)/30))</f>
        <v>10.126471516606626</v>
      </c>
      <c r="AP220" s="172">
        <f ca="1">(VLOOKUP(AP$72,INDIRECT($C$5&amp;"生成成长"),2))/((VLOOKUP($B220,INDIRECT($B$5&amp;"生成成长"),4))/(VLOOKUP(AP$72,INDIRECT($C$5&amp;"生成成长"),5))*(VLOOKUP($B$5,标准坦克设计!$B$24:$U$30,MATCH("对"&amp;LEFT($C$5,2)&amp;"输出",标准坦克设计!$B$23:$U$23,0)))*(VLOOKUP($B220,INDIRECT($B$5&amp;"生成成长"),3))*(VLOOKUP($B$5,标准坦克设计!$B$14:$K$20,9)/30))</f>
        <v>10.872566830800864</v>
      </c>
      <c r="AQ220" s="172">
        <f ca="1">(VLOOKUP(AQ$72,INDIRECT($C$5&amp;"生成成长"),2))/((VLOOKUP($B220,INDIRECT($B$5&amp;"生成成长"),4))/(VLOOKUP(AQ$72,INDIRECT($C$5&amp;"生成成长"),5))*(VLOOKUP($B$5,标准坦克设计!$B$24:$U$30,MATCH("对"&amp;LEFT($C$5,2)&amp;"输出",标准坦克设计!$B$23:$U$23,0)))*(VLOOKUP($B220,INDIRECT($B$5&amp;"生成成长"),3))*(VLOOKUP($B$5,标准坦克设计!$B$14:$K$20,9)/30))</f>
        <v>11.645179264401033</v>
      </c>
      <c r="AR220" s="172">
        <f ca="1">(VLOOKUP(AR$72,INDIRECT($C$5&amp;"生成成长"),2))/((VLOOKUP($B220,INDIRECT($B$5&amp;"生成成长"),4))/(VLOOKUP(AR$72,INDIRECT($C$5&amp;"生成成长"),5))*(VLOOKUP($B$5,标准坦克设计!$B$24:$U$30,MATCH("对"&amp;LEFT($C$5,2)&amp;"输出",标准坦克设计!$B$23:$U$23,0)))*(VLOOKUP($B220,INDIRECT($B$5&amp;"生成成长"),3))*(VLOOKUP($B$5,标准坦克设计!$B$14:$K$20,9)/30))</f>
        <v>12.444308817407135</v>
      </c>
      <c r="AS220" s="172">
        <f ca="1">(VLOOKUP(AS$72,INDIRECT($C$5&amp;"生成成长"),2))/((VLOOKUP($B220,INDIRECT($B$5&amp;"生成成长"),4))/(VLOOKUP(AS$72,INDIRECT($C$5&amp;"生成成长"),5))*(VLOOKUP($B$5,标准坦克设计!$B$24:$U$30,MATCH("对"&amp;LEFT($C$5,2)&amp;"输出",标准坦克设计!$B$23:$U$23,0)))*(VLOOKUP($B220,INDIRECT($B$5&amp;"生成成长"),3))*(VLOOKUP($B$5,标准坦克设计!$B$14:$K$20,9)/30))</f>
        <v>13.269955489819175</v>
      </c>
      <c r="AT220" s="172">
        <f ca="1">(VLOOKUP(AT$72,INDIRECT($C$5&amp;"生成成长"),2))/((VLOOKUP($B220,INDIRECT($B$5&amp;"生成成长"),4))/(VLOOKUP(AT$72,INDIRECT($C$5&amp;"生成成长"),5))*(VLOOKUP($B$5,标准坦克设计!$B$24:$U$30,MATCH("对"&amp;LEFT($C$5,2)&amp;"输出",标准坦克设计!$B$23:$U$23,0)))*(VLOOKUP($B220,INDIRECT($B$5&amp;"生成成长"),3))*(VLOOKUP($B$5,标准坦克设计!$B$14:$K$20,9)/30))</f>
        <v>14.122119281637152</v>
      </c>
      <c r="AU220" s="172">
        <f ca="1">(VLOOKUP(AU$72,INDIRECT($C$5&amp;"生成成长"),2))/((VLOOKUP($B220,INDIRECT($B$5&amp;"生成成长"),4))/(VLOOKUP(AU$72,INDIRECT($C$5&amp;"生成成长"),5))*(VLOOKUP($B$5,标准坦克设计!$B$24:$U$30,MATCH("对"&amp;LEFT($C$5,2)&amp;"输出",标准坦克设计!$B$23:$U$23,0)))*(VLOOKUP($B220,INDIRECT($B$5&amp;"生成成长"),3))*(VLOOKUP($B$5,标准坦克设计!$B$14:$K$20,9)/30))</f>
        <v>15.000800192861053</v>
      </c>
      <c r="AV220" s="172">
        <f ca="1">(VLOOKUP(AV$72,INDIRECT($C$5&amp;"生成成长"),2))/((VLOOKUP($B220,INDIRECT($B$5&amp;"生成成长"),4))/(VLOOKUP(AV$72,INDIRECT($C$5&amp;"生成成长"),5))*(VLOOKUP($B$5,标准坦克设计!$B$24:$U$30,MATCH("对"&amp;LEFT($C$5,2)&amp;"输出",标准坦克设计!$B$23:$U$23,0)))*(VLOOKUP($B220,INDIRECT($B$5&amp;"生成成长"),3))*(VLOOKUP($B$5,标准坦克设计!$B$14:$K$20,9)/30))</f>
        <v>1.5257205397034137</v>
      </c>
      <c r="AW220" s="172">
        <f ca="1">(VLOOKUP(AW$72,INDIRECT($C$5&amp;"生成成长"),2))/((VLOOKUP($B220,INDIRECT($B$5&amp;"生成成长"),4))/(VLOOKUP(AW$72,INDIRECT($C$5&amp;"生成成长"),5))*(VLOOKUP($B$5,标准坦克设计!$B$24:$U$30,MATCH("对"&amp;LEFT($C$5,2)&amp;"输出",标准坦克设计!$B$23:$U$23,0)))*(VLOOKUP($B220,INDIRECT($B$5&amp;"生成成长"),3))*(VLOOKUP($B$5,标准坦克设计!$B$14:$K$20,9)/30))</f>
        <v>1.7396106929281379</v>
      </c>
      <c r="AX220" s="172">
        <f ca="1">(VLOOKUP(AX$72,INDIRECT($C$5&amp;"生成成长"),2))/((VLOOKUP($B220,INDIRECT($B$5&amp;"生成成长"),4))/(VLOOKUP(AX$72,INDIRECT($C$5&amp;"生成成长"),5))*(VLOOKUP($B$5,标准坦克设计!$B$24:$U$30,MATCH("对"&amp;LEFT($C$5,2)&amp;"输出",标准坦克设计!$B$23:$U$23,0)))*(VLOOKUP($B220,INDIRECT($B$5&amp;"生成成长"),3))*(VLOOKUP($B$5,标准坦克设计!$B$14:$K$20,9)/30))</f>
        <v>1.9675264299708777</v>
      </c>
      <c r="AY220" s="172">
        <f ca="1">(VLOOKUP(AY$72,INDIRECT($C$5&amp;"生成成长"),2))/((VLOOKUP($B220,INDIRECT($B$5&amp;"生成成长"),4))/(VLOOKUP(AY$72,INDIRECT($C$5&amp;"生成成长"),5))*(VLOOKUP($B$5,标准坦克设计!$B$24:$U$30,MATCH("对"&amp;LEFT($C$5,2)&amp;"输出",标准坦克设计!$B$23:$U$23,0)))*(VLOOKUP($B220,INDIRECT($B$5&amp;"生成成长"),3))*(VLOOKUP($B$5,标准坦克设计!$B$14:$K$20,9)/30))</f>
        <v>2.2094677508316312</v>
      </c>
      <c r="AZ220" s="172">
        <f ca="1">(VLOOKUP(AZ$72,INDIRECT($C$5&amp;"生成成长"),2))/((VLOOKUP($B220,INDIRECT($B$5&amp;"生成成长"),4))/(VLOOKUP(AZ$72,INDIRECT($C$5&amp;"生成成长"),5))*(VLOOKUP($B$5,标准坦克设计!$B$24:$U$30,MATCH("对"&amp;LEFT($C$5,2)&amp;"输出",标准坦克设计!$B$23:$U$23,0)))*(VLOOKUP($B220,INDIRECT($B$5&amp;"生成成长"),3))*(VLOOKUP($B$5,标准坦克设计!$B$14:$K$20,9)/30))</f>
        <v>2.4654346555104003</v>
      </c>
      <c r="BA220" s="172">
        <f ca="1">(VLOOKUP(BA$72,INDIRECT($C$5&amp;"生成成长"),2))/((VLOOKUP($B220,INDIRECT($B$5&amp;"生成成长"),4))/(VLOOKUP(BA$72,INDIRECT($C$5&amp;"生成成长"),5))*(VLOOKUP($B$5,标准坦克设计!$B$24:$U$30,MATCH("对"&amp;LEFT($C$5,2)&amp;"输出",标准坦克设计!$B$23:$U$23,0)))*(VLOOKUP($B220,INDIRECT($B$5&amp;"生成成长"),3))*(VLOOKUP($B$5,标准坦克设计!$B$14:$K$20,9)/30))</f>
        <v>2.7354271440071836</v>
      </c>
      <c r="BB220" s="172">
        <f ca="1">(VLOOKUP(BB$72,INDIRECT($C$5&amp;"生成成长"),2))/((VLOOKUP($B220,INDIRECT($B$5&amp;"生成成长"),4))/(VLOOKUP(BB$72,INDIRECT($C$5&amp;"生成成长"),5))*(VLOOKUP($B$5,标准坦克设计!$B$24:$U$30,MATCH("对"&amp;LEFT($C$5,2)&amp;"输出",标准坦克设计!$B$23:$U$23,0)))*(VLOOKUP($B220,INDIRECT($B$5&amp;"生成成长"),3))*(VLOOKUP($B$5,标准坦克设计!$B$14:$K$20,9)/30))</f>
        <v>3.0194452163219809</v>
      </c>
      <c r="BC220" s="172">
        <f ca="1">(VLOOKUP(BC$72,INDIRECT($C$5&amp;"生成成长"),2))/((VLOOKUP($B220,INDIRECT($B$5&amp;"生成成长"),4))/(VLOOKUP(BC$72,INDIRECT($C$5&amp;"生成成长"),5))*(VLOOKUP($B$5,标准坦克设计!$B$24:$U$30,MATCH("对"&amp;LEFT($C$5,2)&amp;"输出",标准坦克设计!$B$23:$U$23,0)))*(VLOOKUP($B220,INDIRECT($B$5&amp;"生成成长"),3))*(VLOOKUP($B$5,标准坦克设计!$B$14:$K$20,9)/30))</f>
        <v>3.3174888724547937</v>
      </c>
      <c r="BD220" s="172">
        <f ca="1">(VLOOKUP(BD$72,INDIRECT($C$5&amp;"生成成长"),2))/((VLOOKUP($B220,INDIRECT($B$5&amp;"生成成长"),4))/(VLOOKUP(BD$72,INDIRECT($C$5&amp;"生成成长"),5))*(VLOOKUP($B$5,标准坦克设计!$B$24:$U$30,MATCH("对"&amp;LEFT($C$5,2)&amp;"输出",标准坦克设计!$B$23:$U$23,0)))*(VLOOKUP($B220,INDIRECT($B$5&amp;"生成成长"),3))*(VLOOKUP($B$5,标准坦克设计!$B$14:$K$20,9)/30))</f>
        <v>3.6695529412616792</v>
      </c>
      <c r="BE220" s="172">
        <f ca="1">(VLOOKUP(BE$72,INDIRECT($C$5&amp;"生成成长"),2))/((VLOOKUP($B220,INDIRECT($B$5&amp;"生成成长"),4))/(VLOOKUP(BE$72,INDIRECT($C$5&amp;"生成成长"),5))*(VLOOKUP($B$5,标准坦克设计!$B$24:$U$30,MATCH("对"&amp;LEFT($C$5,2)&amp;"输出",标准坦克设计!$B$23:$U$23,0)))*(VLOOKUP($B220,INDIRECT($B$5&amp;"生成成长"),3))*(VLOOKUP($B$5,标准坦克设计!$B$14:$K$20,9)/30))</f>
        <v>4.0393681395882393</v>
      </c>
      <c r="BF220" s="172">
        <f ca="1">(VLOOKUP(BF$72,INDIRECT($C$5&amp;"生成成长"),2))/((VLOOKUP($B220,INDIRECT($B$5&amp;"生成成长"),4))/(VLOOKUP(BF$72,INDIRECT($C$5&amp;"生成成长"),5))*(VLOOKUP($B$5,标准坦克设计!$B$24:$U$30,MATCH("对"&amp;LEFT($C$5,2)&amp;"输出",标准坦克设计!$B$23:$U$23,0)))*(VLOOKUP($B220,INDIRECT($B$5&amp;"生成成长"),3))*(VLOOKUP($B$5,标准坦克设计!$B$14:$K$20,9)/30))</f>
        <v>4.4269344674344744</v>
      </c>
      <c r="BG220" s="172">
        <f ca="1">(VLOOKUP(BG$72,INDIRECT($C$5&amp;"生成成长"),2))/((VLOOKUP($B220,INDIRECT($B$5&amp;"生成成长"),4))/(VLOOKUP(BG$72,INDIRECT($C$5&amp;"生成成长"),5))*(VLOOKUP($B$5,标准坦克设计!$B$24:$U$30,MATCH("对"&amp;LEFT($C$5,2)&amp;"输出",标准坦克设计!$B$23:$U$23,0)))*(VLOOKUP($B220,INDIRECT($B$5&amp;"生成成长"),3))*(VLOOKUP($B$5,标准坦克设计!$B$14:$K$20,9)/30))</f>
        <v>4.8322519248003841</v>
      </c>
      <c r="BH220" s="172">
        <f ca="1">(VLOOKUP(BH$72,INDIRECT($C$5&amp;"生成成长"),2))/((VLOOKUP($B220,INDIRECT($B$5&amp;"生成成长"),4))/(VLOOKUP(BH$72,INDIRECT($C$5&amp;"生成成长"),5))*(VLOOKUP($B$5,标准坦克设计!$B$24:$U$30,MATCH("对"&amp;LEFT($C$5,2)&amp;"输出",标准坦克设计!$B$23:$U$23,0)))*(VLOOKUP($B220,INDIRECT($B$5&amp;"生成成长"),3))*(VLOOKUP($B$5,标准坦克设计!$B$14:$K$20,9)/30))</f>
        <v>2.3356980051937635</v>
      </c>
      <c r="BI220" s="172">
        <f ca="1">(VLOOKUP(BI$72,INDIRECT($C$5&amp;"生成成长"),2))/((VLOOKUP($B220,INDIRECT($B$5&amp;"生成成长"),4))/(VLOOKUP(BI$72,INDIRECT($C$5&amp;"生成成长"),5))*(VLOOKUP($B$5,标准坦克设计!$B$24:$U$30,MATCH("对"&amp;LEFT($C$5,2)&amp;"输出",标准坦克设计!$B$23:$U$23,0)))*(VLOOKUP($B220,INDIRECT($B$5&amp;"生成成长"),3))*(VLOOKUP($B$5,标准坦克设计!$B$14:$K$20,9)/30))</f>
        <v>2.6325363377172155</v>
      </c>
      <c r="BJ220" s="172">
        <f ca="1">(VLOOKUP(BJ$72,INDIRECT($C$5&amp;"生成成长"),2))/((VLOOKUP($B220,INDIRECT($B$5&amp;"生成成长"),4))/(VLOOKUP(BJ$72,INDIRECT($C$5&amp;"生成成长"),5))*(VLOOKUP($B$5,标准坦克设计!$B$24:$U$30,MATCH("对"&amp;LEFT($C$5,2)&amp;"输出",标准坦克设计!$B$23:$U$23,0)))*(VLOOKUP($B220,INDIRECT($B$5&amp;"生成成长"),3))*(VLOOKUP($B$5,标准坦克设计!$B$14:$K$20,9)/30))</f>
        <v>2.9471257997603426</v>
      </c>
      <c r="BK220" s="172">
        <f ca="1">(VLOOKUP(BK$72,INDIRECT($C$5&amp;"生成成长"),2))/((VLOOKUP($B220,INDIRECT($B$5&amp;"生成成长"),4))/(VLOOKUP(BK$72,INDIRECT($C$5&amp;"生成成长"),5))*(VLOOKUP($B$5,标准坦克设计!$B$24:$U$30,MATCH("对"&amp;LEFT($C$5,2)&amp;"输出",标准坦克设计!$B$23:$U$23,0)))*(VLOOKUP($B220,INDIRECT($B$5&amp;"生成成长"),3))*(VLOOKUP($B$5,标准坦克设计!$B$14:$K$20,9)/30))</f>
        <v>3.2794663913231448</v>
      </c>
      <c r="BL220" s="172">
        <f ca="1">(VLOOKUP(BL$72,INDIRECT($C$5&amp;"生成成长"),2))/((VLOOKUP($B220,INDIRECT($B$5&amp;"生成成长"),4))/(VLOOKUP(BL$72,INDIRECT($C$5&amp;"生成成长"),5))*(VLOOKUP($B$5,标准坦克设计!$B$24:$U$30,MATCH("对"&amp;LEFT($C$5,2)&amp;"输出",标准坦克设计!$B$23:$U$23,0)))*(VLOOKUP($B220,INDIRECT($B$5&amp;"生成成长"),3))*(VLOOKUP($B$5,标准坦克设计!$B$14:$K$20,9)/30))</f>
        <v>3.6295581124056211</v>
      </c>
      <c r="BM220" s="172">
        <f ca="1">(VLOOKUP(BM$72,INDIRECT($C$5&amp;"生成成长"),2))/((VLOOKUP($B220,INDIRECT($B$5&amp;"生成成长"),4))/(VLOOKUP(BM$72,INDIRECT($C$5&amp;"生成成长"),5))*(VLOOKUP($B$5,标准坦克设计!$B$24:$U$30,MATCH("对"&amp;LEFT($C$5,2)&amp;"输出",标准坦克设计!$B$23:$U$23,0)))*(VLOOKUP($B220,INDIRECT($B$5&amp;"生成成长"),3))*(VLOOKUP($B$5,标准坦克设计!$B$14:$K$20,9)/30))</f>
        <v>3.9974009630077729</v>
      </c>
      <c r="BN220" s="172">
        <f ca="1">(VLOOKUP(BN$72,INDIRECT($C$5&amp;"生成成长"),2))/((VLOOKUP($B220,INDIRECT($B$5&amp;"生成成长"),4))/(VLOOKUP(BN$72,INDIRECT($C$5&amp;"生成成长"),5))*(VLOOKUP($B$5,标准坦克设计!$B$24:$U$30,MATCH("对"&amp;LEFT($C$5,2)&amp;"输出",标准坦克设计!$B$23:$U$23,0)))*(VLOOKUP($B220,INDIRECT($B$5&amp;"生成成长"),3))*(VLOOKUP($B$5,标准坦克设计!$B$14:$K$20,9)/30))</f>
        <v>4.3829949431296003</v>
      </c>
      <c r="BO220" s="172">
        <f ca="1">(VLOOKUP(BO$72,INDIRECT($C$5&amp;"生成成长"),2))/((VLOOKUP($B220,INDIRECT($B$5&amp;"生成成长"),4))/(VLOOKUP(BO$72,INDIRECT($C$5&amp;"生成成长"),5))*(VLOOKUP($B$5,标准坦克设计!$B$24:$U$30,MATCH("对"&amp;LEFT($C$5,2)&amp;"输出",标准坦克设计!$B$23:$U$23,0)))*(VLOOKUP($B220,INDIRECT($B$5&amp;"生成成长"),3))*(VLOOKUP($B$5,标准坦克设计!$B$14:$K$20,9)/30))</f>
        <v>4.7863400527711004</v>
      </c>
      <c r="BP220" s="172">
        <f ca="1">(VLOOKUP(BP$72,INDIRECT($C$5&amp;"生成成长"),2))/((VLOOKUP($B220,INDIRECT($B$5&amp;"生成成长"),4))/(VLOOKUP(BP$72,INDIRECT($C$5&amp;"生成成长"),5))*(VLOOKUP($B$5,标准坦克设计!$B$24:$U$30,MATCH("对"&amp;LEFT($C$5,2)&amp;"输出",标准坦克设计!$B$23:$U$23,0)))*(VLOOKUP($B220,INDIRECT($B$5&amp;"生成成长"),3))*(VLOOKUP($B$5,标准坦克设计!$B$14:$K$20,9)/30))</f>
        <v>5.2074362919322779</v>
      </c>
      <c r="BQ220" s="172">
        <f ca="1">(VLOOKUP(BQ$72,INDIRECT($C$5&amp;"生成成长"),2))/((VLOOKUP($B220,INDIRECT($B$5&amp;"生成成长"),4))/(VLOOKUP(BQ$72,INDIRECT($C$5&amp;"生成成长"),5))*(VLOOKUP($B$5,标准坦克设计!$B$24:$U$30,MATCH("对"&amp;LEFT($C$5,2)&amp;"输出",标准坦克设计!$B$23:$U$23,0)))*(VLOOKUP($B220,INDIRECT($B$5&amp;"生成成长"),3))*(VLOOKUP($B$5,标准坦克设计!$B$14:$K$20,9)/30))</f>
        <v>5.6462836606131281</v>
      </c>
      <c r="BR220" s="172">
        <f ca="1">(VLOOKUP(BR$72,INDIRECT($C$5&amp;"生成成长"),2))/((VLOOKUP($B220,INDIRECT($B$5&amp;"生成成长"),4))/(VLOOKUP(BR$72,INDIRECT($C$5&amp;"生成成长"),5))*(VLOOKUP($B$5,标准坦克设计!$B$24:$U$30,MATCH("对"&amp;LEFT($C$5,2)&amp;"输出",标准坦克设计!$B$23:$U$23,0)))*(VLOOKUP($B220,INDIRECT($B$5&amp;"生成成长"),3))*(VLOOKUP($B$5,标准坦克设计!$B$14:$K$20,9)/30))</f>
        <v>6.1547110740161619</v>
      </c>
      <c r="BS220" s="172">
        <f ca="1">(VLOOKUP(BS$72,INDIRECT($C$5&amp;"生成成长"),2))/((VLOOKUP($B220,INDIRECT($B$5&amp;"生成成长"),4))/(VLOOKUP(BS$72,INDIRECT($C$5&amp;"生成成长"),5))*(VLOOKUP($B$5,标准坦克设计!$B$24:$U$30,MATCH("对"&amp;LEFT($C$5,2)&amp;"输出",标准坦克设计!$B$23:$U$23,0)))*(VLOOKUP($B220,INDIRECT($B$5&amp;"生成成长"),3))*(VLOOKUP($B$5,标准坦克设计!$B$14:$K$20,9)/30))</f>
        <v>6.6850534621348441</v>
      </c>
      <c r="BT220" s="172">
        <f ca="1">(VLOOKUP(BT$72,INDIRECT($C$5&amp;"生成成长"),2))/((VLOOKUP($B220,INDIRECT($B$5&amp;"生成成长"),4))/(VLOOKUP(BT$72,INDIRECT($C$5&amp;"生成成长"),5))*(VLOOKUP($B$5,标准坦克设计!$B$24:$U$30,MATCH("对"&amp;LEFT($C$5,2)&amp;"输出",标准坦克设计!$B$23:$U$23,0)))*(VLOOKUP($B220,INDIRECT($B$5&amp;"生成成长"),3))*(VLOOKUP($B$5,标准坦克设计!$B$14:$K$20,9)/30))</f>
        <v>7.2373108249691738</v>
      </c>
      <c r="BU220" s="172">
        <f ca="1">(VLOOKUP(BU$72,INDIRECT($C$5&amp;"生成成长"),2))/((VLOOKUP($B220,INDIRECT($B$5&amp;"生成成长"),4))/(VLOOKUP(BU$72,INDIRECT($C$5&amp;"生成成长"),5))*(VLOOKUP($B$5,标准坦克设计!$B$24:$U$30,MATCH("对"&amp;LEFT($C$5,2)&amp;"输出",标准坦克设计!$B$23:$U$23,0)))*(VLOOKUP($B220,INDIRECT($B$5&amp;"生成成长"),3))*(VLOOKUP($B$5,标准坦克设计!$B$14:$K$20,9)/30))</f>
        <v>7.8114831625191528</v>
      </c>
      <c r="BV220" s="172">
        <f ca="1">(VLOOKUP(BV$72,INDIRECT($C$5&amp;"生成成长"),2))/((VLOOKUP($B220,INDIRECT($B$5&amp;"生成成长"),4))/(VLOOKUP(BV$72,INDIRECT($C$5&amp;"生成成长"),5))*(VLOOKUP($B$5,标准坦克设计!$B$24:$U$30,MATCH("对"&amp;LEFT($C$5,2)&amp;"输出",标准坦克设计!$B$23:$U$23,0)))*(VLOOKUP($B220,INDIRECT($B$5&amp;"生成成长"),3))*(VLOOKUP($B$5,标准坦克设计!$B$14:$K$20,9)/30))</f>
        <v>8.4075704747847766</v>
      </c>
      <c r="BW220" s="172">
        <f ca="1">(VLOOKUP(BW$72,INDIRECT($C$5&amp;"生成成长"),2))/((VLOOKUP($B220,INDIRECT($B$5&amp;"生成成长"),4))/(VLOOKUP(BW$72,INDIRECT($C$5&amp;"生成成长"),5))*(VLOOKUP($B$5,标准坦克设计!$B$24:$U$30,MATCH("对"&amp;LEFT($C$5,2)&amp;"输出",标准坦克设计!$B$23:$U$23,0)))*(VLOOKUP($B220,INDIRECT($B$5&amp;"生成成长"),3))*(VLOOKUP($B$5,标准坦克设计!$B$14:$K$20,9)/30))</f>
        <v>3.8317237541574745</v>
      </c>
      <c r="BX220" s="172">
        <f ca="1">(VLOOKUP(BX$72,INDIRECT($C$5&amp;"生成成长"),2))/((VLOOKUP($B220,INDIRECT($B$5&amp;"生成成长"),4))/(VLOOKUP(BX$72,INDIRECT($C$5&amp;"生成成长"),5))*(VLOOKUP($B$5,标准坦克设计!$B$24:$U$30,MATCH("对"&amp;LEFT($C$5,2)&amp;"输出",标准坦克设计!$B$23:$U$23,0)))*(VLOOKUP($B220,INDIRECT($B$5&amp;"生成成长"),3))*(VLOOKUP($B$5,标准坦克设计!$B$14:$K$20,9)/30))</f>
        <v>4.2524912686979164</v>
      </c>
      <c r="BY220" s="172">
        <f ca="1">(VLOOKUP(BY$72,INDIRECT($C$5&amp;"生成成长"),2))/((VLOOKUP($B220,INDIRECT($B$5&amp;"生成成长"),4))/(VLOOKUP(BY$72,INDIRECT($C$5&amp;"生成成长"),5))*(VLOOKUP($B$5,标准坦克设计!$B$24:$U$30,MATCH("对"&amp;LEFT($C$5,2)&amp;"输出",标准坦克设计!$B$23:$U$23,0)))*(VLOOKUP($B220,INDIRECT($B$5&amp;"生成成长"),3))*(VLOOKUP($B$5,标准坦克设计!$B$14:$K$20,9)/30))</f>
        <v>4.6951737579540049</v>
      </c>
      <c r="BZ220" s="172">
        <f ca="1">(VLOOKUP(BZ$72,INDIRECT($C$5&amp;"生成成长"),2))/((VLOOKUP($B220,INDIRECT($B$5&amp;"生成成长"),4))/(VLOOKUP(BZ$72,INDIRECT($C$5&amp;"生成成长"),5))*(VLOOKUP($B$5,标准坦克设计!$B$24:$U$30,MATCH("对"&amp;LEFT($C$5,2)&amp;"输出",标准坦克设计!$B$23:$U$23,0)))*(VLOOKUP($B220,INDIRECT($B$5&amp;"生成成长"),3))*(VLOOKUP($B$5,标准坦克设计!$B$14:$K$20,9)/30))</f>
        <v>5.1597712219257437</v>
      </c>
      <c r="CA220" s="172">
        <f ca="1">(VLOOKUP(CA$72,INDIRECT($C$5&amp;"生成成长"),2))/((VLOOKUP($B220,INDIRECT($B$5&amp;"生成成长"),4))/(VLOOKUP(CA$72,INDIRECT($C$5&amp;"生成成长"),5))*(VLOOKUP($B$5,标准坦克设计!$B$24:$U$30,MATCH("对"&amp;LEFT($C$5,2)&amp;"输出",标准坦克设计!$B$23:$U$23,0)))*(VLOOKUP($B220,INDIRECT($B$5&amp;"生成成长"),3))*(VLOOKUP($B$5,标准坦克设计!$B$14:$K$20,9)/30))</f>
        <v>5.6462836606131281</v>
      </c>
      <c r="CB220" s="172">
        <f ca="1">(VLOOKUP(CB$72,INDIRECT($C$5&amp;"生成成长"),2))/((VLOOKUP($B220,INDIRECT($B$5&amp;"生成成长"),4))/(VLOOKUP(CB$72,INDIRECT($C$5&amp;"生成成长"),5))*(VLOOKUP($B$5,标准坦克设计!$B$24:$U$30,MATCH("对"&amp;LEFT($C$5,2)&amp;"输出",标准坦克设计!$B$23:$U$23,0)))*(VLOOKUP($B220,INDIRECT($B$5&amp;"生成成长"),3))*(VLOOKUP($B$5,标准坦克设计!$B$14:$K$20,9)/30))</f>
        <v>6.1547110740161619</v>
      </c>
      <c r="CC220" s="172">
        <f ca="1">(VLOOKUP(CC$72,INDIRECT($C$5&amp;"生成成长"),2))/((VLOOKUP($B220,INDIRECT($B$5&amp;"生成成长"),4))/(VLOOKUP(CC$72,INDIRECT($C$5&amp;"生成成长"),5))*(VLOOKUP($B$5,标准坦克设计!$B$24:$U$30,MATCH("对"&amp;LEFT($C$5,2)&amp;"输出",标准坦克设计!$B$23:$U$23,0)))*(VLOOKUP($B220,INDIRECT($B$5&amp;"生成成长"),3))*(VLOOKUP($B$5,标准坦克设计!$B$14:$K$20,9)/30))</f>
        <v>6.6850534621348441</v>
      </c>
      <c r="CD220" s="172">
        <f ca="1">(VLOOKUP(CD$72,INDIRECT($C$5&amp;"生成成长"),2))/((VLOOKUP($B220,INDIRECT($B$5&amp;"生成成长"),4))/(VLOOKUP(CD$72,INDIRECT($C$5&amp;"生成成长"),5))*(VLOOKUP($B$5,标准坦克设计!$B$24:$U$30,MATCH("对"&amp;LEFT($C$5,2)&amp;"输出",标准坦克设计!$B$23:$U$23,0)))*(VLOOKUP($B220,INDIRECT($B$5&amp;"生成成长"),3))*(VLOOKUP($B$5,标准坦克设计!$B$14:$K$20,9)/30))</f>
        <v>7.2373108249691738</v>
      </c>
      <c r="CE220" s="172">
        <f ca="1">(VLOOKUP(CE$72,INDIRECT($C$5&amp;"生成成长"),2))/((VLOOKUP($B220,INDIRECT($B$5&amp;"生成成长"),4))/(VLOOKUP(CE$72,INDIRECT($C$5&amp;"生成成长"),5))*(VLOOKUP($B$5,标准坦克设计!$B$24:$U$30,MATCH("对"&amp;LEFT($C$5,2)&amp;"输出",标准坦克设计!$B$23:$U$23,0)))*(VLOOKUP($B220,INDIRECT($B$5&amp;"生成成长"),3))*(VLOOKUP($B$5,标准坦克设计!$B$14:$K$20,9)/30))</f>
        <v>7.8114831625191528</v>
      </c>
      <c r="CF220" s="172">
        <f ca="1">(VLOOKUP(CF$72,INDIRECT($C$5&amp;"生成成长"),2))/((VLOOKUP($B220,INDIRECT($B$5&amp;"生成成长"),4))/(VLOOKUP(CF$72,INDIRECT($C$5&amp;"生成成长"),5))*(VLOOKUP($B$5,标准坦克设计!$B$24:$U$30,MATCH("对"&amp;LEFT($C$5,2)&amp;"输出",标准坦克设计!$B$23:$U$23,0)))*(VLOOKUP($B220,INDIRECT($B$5&amp;"生成成长"),3))*(VLOOKUP($B$5,标准坦克设计!$B$14:$K$20,9)/30))</f>
        <v>8.4075704747847766</v>
      </c>
      <c r="CG220" s="172">
        <f ca="1">(VLOOKUP(CG$72,INDIRECT($C$5&amp;"生成成长"),2))/((VLOOKUP($B220,INDIRECT($B$5&amp;"生成成长"),4))/(VLOOKUP(CG$72,INDIRECT($C$5&amp;"生成成长"),5))*(VLOOKUP($B$5,标准坦克设计!$B$24:$U$30,MATCH("对"&amp;LEFT($C$5,2)&amp;"输出",标准坦克设计!$B$23:$U$23,0)))*(VLOOKUP($B220,INDIRECT($B$5&amp;"生成成长"),3))*(VLOOKUP($B$5,标准坦克设计!$B$14:$K$20,9)/30))</f>
        <v>9.0255727617660497</v>
      </c>
      <c r="CH220" s="172">
        <f ca="1">(VLOOKUP(CH$72,INDIRECT($C$5&amp;"生成成长"),2))/((VLOOKUP($B220,INDIRECT($B$5&amp;"生成成长"),4))/(VLOOKUP(CH$72,INDIRECT($C$5&amp;"生成成长"),5))*(VLOOKUP($B$5,标准坦克设计!$B$24:$U$30,MATCH("对"&amp;LEFT($C$5,2)&amp;"输出",标准坦克设计!$B$23:$U$23,0)))*(VLOOKUP($B220,INDIRECT($B$5&amp;"生成成长"),3))*(VLOOKUP($B$5,标准坦克设计!$B$14:$K$20,9)/30))</f>
        <v>9.6654900234629721</v>
      </c>
      <c r="CI220" s="172">
        <f ca="1">(VLOOKUP(CI$72,INDIRECT($C$5&amp;"生成成长"),2))/((VLOOKUP($B220,INDIRECT($B$5&amp;"生成成长"),4))/(VLOOKUP(CI$72,INDIRECT($C$5&amp;"生成成长"),5))*(VLOOKUP($B$5,标准坦克设计!$B$24:$U$30,MATCH("对"&amp;LEFT($C$5,2)&amp;"输出",标准坦克设计!$B$23:$U$23,0)))*(VLOOKUP($B220,INDIRECT($B$5&amp;"生成成长"),3))*(VLOOKUP($B$5,标准坦克设计!$B$14:$K$20,9)/30))</f>
        <v>10.394710807126158</v>
      </c>
      <c r="CJ220" s="172">
        <f ca="1">(VLOOKUP(CJ$72,INDIRECT($C$5&amp;"生成成长"),2))/((VLOOKUP($B220,INDIRECT($B$5&amp;"生成成长"),4))/(VLOOKUP(CJ$72,INDIRECT($C$5&amp;"生成成长"),5))*(VLOOKUP($B$5,标准坦克设计!$B$24:$U$30,MATCH("对"&amp;LEFT($C$5,2)&amp;"输出",标准坦克设计!$B$23:$U$23,0)))*(VLOOKUP($B220,INDIRECT($B$5&amp;"生成成长"),3))*(VLOOKUP($B$5,标准坦克设计!$B$14:$K$20,9)/30))</f>
        <v>11.150448710195279</v>
      </c>
      <c r="CK220" s="172">
        <f ca="1">(VLOOKUP(CK$72,INDIRECT($C$5&amp;"生成成长"),2))/((VLOOKUP($B220,INDIRECT($B$5&amp;"生成成长"),4))/(VLOOKUP(CK$72,INDIRECT($C$5&amp;"生成成长"),5))*(VLOOKUP($B$5,标准坦克设计!$B$24:$U$30,MATCH("对"&amp;LEFT($C$5,2)&amp;"输出",标准坦克设计!$B$23:$U$23,0)))*(VLOOKUP($B220,INDIRECT($B$5&amp;"生成成长"),3))*(VLOOKUP($B$5,标准坦克设计!$B$14:$K$20,9)/30))</f>
        <v>11.932703732670335</v>
      </c>
      <c r="CL220" s="172">
        <f ca="1">(VLOOKUP(CL$72,INDIRECT($C$5&amp;"生成成长"),2))/((VLOOKUP($B220,INDIRECT($B$5&amp;"生成成长"),4))/(VLOOKUP(CL$72,INDIRECT($C$5&amp;"生成成长"),5))*(VLOOKUP($B$5,标准坦克设计!$B$24:$U$30,MATCH("对"&amp;LEFT($C$5,2)&amp;"输出",标准坦克设计!$B$23:$U$23,0)))*(VLOOKUP($B220,INDIRECT($B$5&amp;"生成成长"),3))*(VLOOKUP($B$5,标准坦克设计!$B$14:$K$20,9)/30))</f>
        <v>12.741475874551325</v>
      </c>
      <c r="CM220" s="172">
        <f ca="1">(VLOOKUP(CM$72,INDIRECT($C$5&amp;"生成成长"),2))/((VLOOKUP($B220,INDIRECT($B$5&amp;"生成成长"),4))/(VLOOKUP(CM$72,INDIRECT($C$5&amp;"生成成长"),5))*(VLOOKUP($B$5,标准坦克设计!$B$24:$U$30,MATCH("对"&amp;LEFT($C$5,2)&amp;"输出",标准坦克设计!$B$23:$U$23,0)))*(VLOOKUP($B220,INDIRECT($B$5&amp;"生成成长"),3))*(VLOOKUP($B$5,标准坦克设计!$B$14:$K$20,9)/30))</f>
        <v>13.576765135838247</v>
      </c>
      <c r="CN220" s="172">
        <f ca="1">(VLOOKUP(CN$72,INDIRECT($C$5&amp;"生成成长"),2))/((VLOOKUP($B220,INDIRECT($B$5&amp;"生成成长"),4))/(VLOOKUP(CN$72,INDIRECT($C$5&amp;"生成成长"),5))*(VLOOKUP($B$5,标准坦克设计!$B$24:$U$30,MATCH("对"&amp;LEFT($C$5,2)&amp;"输出",标准坦克设计!$B$23:$U$23,0)))*(VLOOKUP($B220,INDIRECT($B$5&amp;"生成成长"),3))*(VLOOKUP($B$5,标准坦克设计!$B$14:$K$20,9)/30))</f>
        <v>14.438571516531105</v>
      </c>
      <c r="CO220" s="172">
        <f ca="1">(VLOOKUP(CO$72,INDIRECT($C$5&amp;"生成成长"),2))/((VLOOKUP($B220,INDIRECT($B$5&amp;"生成成长"),4))/(VLOOKUP(CO$72,INDIRECT($C$5&amp;"生成成长"),5))*(VLOOKUP($B$5,标准坦克设计!$B$24:$U$30,MATCH("对"&amp;LEFT($C$5,2)&amp;"输出",标准坦克设计!$B$23:$U$23,0)))*(VLOOKUP($B220,INDIRECT($B$5&amp;"生成成长"),3))*(VLOOKUP($B$5,标准坦克设计!$B$14:$K$20,9)/30))</f>
        <v>6.4702867099214938</v>
      </c>
      <c r="CP220" s="172">
        <f ca="1">(VLOOKUP(CP$72,INDIRECT($C$5&amp;"生成成长"),2))/((VLOOKUP($B220,INDIRECT($B$5&amp;"生成成长"),4))/(VLOOKUP(CP$72,INDIRECT($C$5&amp;"生成成长"),5))*(VLOOKUP($B$5,标准坦克设计!$B$24:$U$30,MATCH("对"&amp;LEFT($C$5,2)&amp;"输出",标准坦克设计!$B$23:$U$23,0)))*(VLOOKUP($B220,INDIRECT($B$5&amp;"生成成长"),3))*(VLOOKUP($B$5,标准坦克设计!$B$14:$K$20,9)/30))</f>
        <v>7.0693325437737311</v>
      </c>
      <c r="CQ220" s="172">
        <f ca="1">(VLOOKUP(CQ$72,INDIRECT($C$5&amp;"生成成长"),2))/((VLOOKUP($B220,INDIRECT($B$5&amp;"生成成长"),4))/(VLOOKUP(CQ$72,INDIRECT($C$5&amp;"生成成长"),5))*(VLOOKUP($B$5,标准坦克设计!$B$24:$U$30,MATCH("对"&amp;LEFT($C$5,2)&amp;"输出",标准坦克设计!$B$23:$U$23,0)))*(VLOOKUP($B220,INDIRECT($B$5&amp;"生成成长"),3))*(VLOOKUP($B$5,标准坦克设计!$B$14:$K$20,9)/30))</f>
        <v>7.6948954970319017</v>
      </c>
      <c r="CR220" s="172">
        <f ca="1">(VLOOKUP(CR$72,INDIRECT($C$5&amp;"生成成长"),2))/((VLOOKUP($B220,INDIRECT($B$5&amp;"生成成长"),4))/(VLOOKUP(CR$72,INDIRECT($C$5&amp;"生成成长"),5))*(VLOOKUP($B$5,标准坦克设计!$B$24:$U$30,MATCH("对"&amp;LEFT($C$5,2)&amp;"输出",标准坦克设计!$B$23:$U$23,0)))*(VLOOKUP($B220,INDIRECT($B$5&amp;"生成成长"),3))*(VLOOKUP($B$5,标准坦克设计!$B$14:$K$20,9)/30))</f>
        <v>8.3469755696960082</v>
      </c>
      <c r="CS220" s="172">
        <f ca="1">(VLOOKUP(CS$72,INDIRECT($C$5&amp;"生成成长"),2))/((VLOOKUP($B220,INDIRECT($B$5&amp;"生成成长"),4))/(VLOOKUP(CS$72,INDIRECT($C$5&amp;"生成成长"),5))*(VLOOKUP($B$5,标准坦克设计!$B$24:$U$30,MATCH("对"&amp;LEFT($C$5,2)&amp;"输出",标准坦克设计!$B$23:$U$23,0)))*(VLOOKUP($B220,INDIRECT($B$5&amp;"生成成长"),3))*(VLOOKUP($B$5,标准坦克设计!$B$14:$K$20,9)/30))</f>
        <v>9.0255727617660497</v>
      </c>
      <c r="CT220" s="172">
        <f ca="1">(VLOOKUP(CT$72,INDIRECT($C$5&amp;"生成成长"),2))/((VLOOKUP($B220,INDIRECT($B$5&amp;"生成成长"),4))/(VLOOKUP(CT$72,INDIRECT($C$5&amp;"生成成长"),5))*(VLOOKUP($B$5,标准坦克设计!$B$24:$U$30,MATCH("对"&amp;LEFT($C$5,2)&amp;"输出",标准坦克设计!$B$23:$U$23,0)))*(VLOOKUP($B220,INDIRECT($B$5&amp;"生成成长"),3))*(VLOOKUP($B$5,标准坦克设计!$B$14:$K$20,9)/30))</f>
        <v>9.7306870732420236</v>
      </c>
      <c r="CU220" s="172">
        <f ca="1">(VLOOKUP(CU$72,INDIRECT($C$5&amp;"生成成长"),2))/((VLOOKUP($B220,INDIRECT($B$5&amp;"生成成长"),4))/(VLOOKUP(CU$72,INDIRECT($C$5&amp;"生成成长"),5))*(VLOOKUP($B$5,标准坦克设计!$B$24:$U$30,MATCH("对"&amp;LEFT($C$5,2)&amp;"输出",标准坦克设计!$B$23:$U$23,0)))*(VLOOKUP($B220,INDIRECT($B$5&amp;"生成成长"),3))*(VLOOKUP($B$5,标准坦克设计!$B$14:$K$20,9)/30))</f>
        <v>10.462318504123933</v>
      </c>
      <c r="CV220" s="172">
        <f ca="1">(VLOOKUP(CV$72,INDIRECT($C$5&amp;"生成成长"),2))/((VLOOKUP($B220,INDIRECT($B$5&amp;"生成成长"),4))/(VLOOKUP(CV$72,INDIRECT($C$5&amp;"生成成长"),5))*(VLOOKUP($B$5,标准坦克设计!$B$24:$U$30,MATCH("对"&amp;LEFT($C$5,2)&amp;"输出",标准坦克设计!$B$23:$U$23,0)))*(VLOOKUP($B220,INDIRECT($B$5&amp;"生成成长"),3))*(VLOOKUP($B$5,标准坦克设计!$B$14:$K$20,9)/30))</f>
        <v>11.220467054411774</v>
      </c>
      <c r="CW220" s="172">
        <f ca="1">(VLOOKUP(CW$72,INDIRECT($C$5&amp;"生成成长"),2))/((VLOOKUP($B220,INDIRECT($B$5&amp;"生成成长"),4))/(VLOOKUP(CW$72,INDIRECT($C$5&amp;"生成成长"),5))*(VLOOKUP($B$5,标准坦克设计!$B$24:$U$30,MATCH("对"&amp;LEFT($C$5,2)&amp;"输出",标准坦克设计!$B$23:$U$23,0)))*(VLOOKUP($B220,INDIRECT($B$5&amp;"生成成长"),3))*(VLOOKUP($B$5,标准坦克设计!$B$14:$K$20,9)/30))</f>
        <v>12.005132724105552</v>
      </c>
      <c r="CX220" s="172">
        <f ca="1">(VLOOKUP(CX$72,INDIRECT($C$5&amp;"生成成长"),2))/((VLOOKUP($B220,INDIRECT($B$5&amp;"生成成长"),4))/(VLOOKUP(CX$72,INDIRECT($C$5&amp;"生成成长"),5))*(VLOOKUP($B$5,标准坦克设计!$B$24:$U$30,MATCH("对"&amp;LEFT($C$5,2)&amp;"输出",标准坦克设计!$B$23:$U$23,0)))*(VLOOKUP($B220,INDIRECT($B$5&amp;"生成成长"),3))*(VLOOKUP($B$5,标准坦克设计!$B$14:$K$20,9)/30))</f>
        <v>12.816315513205263</v>
      </c>
      <c r="CY220" s="172">
        <f ca="1">(VLOOKUP(CY$72,INDIRECT($C$5&amp;"生成成长"),2))/((VLOOKUP($B220,INDIRECT($B$5&amp;"生成成长"),4))/(VLOOKUP(CY$72,INDIRECT($C$5&amp;"生成成长"),5))*(VLOOKUP($B$5,标准坦克设计!$B$24:$U$30,MATCH("对"&amp;LEFT($C$5,2)&amp;"输出",标准坦克设计!$B$23:$U$23,0)))*(VLOOKUP($B220,INDIRECT($B$5&amp;"生成成长"),3))*(VLOOKUP($B$5,标准坦克设计!$B$14:$K$20,9)/30))</f>
        <v>13.654015421710906</v>
      </c>
      <c r="CZ220" s="172">
        <f ca="1">(VLOOKUP(CZ$72,INDIRECT($C$5&amp;"生成成长"),2))/((VLOOKUP($B220,INDIRECT($B$5&amp;"生成成长"),4))/(VLOOKUP(CZ$72,INDIRECT($C$5&amp;"生成成长"),5))*(VLOOKUP($B$5,标准坦克设计!$B$24:$U$30,MATCH("对"&amp;LEFT($C$5,2)&amp;"输出",标准坦克设计!$B$23:$U$23,0)))*(VLOOKUP($B220,INDIRECT($B$5&amp;"生成成长"),3))*(VLOOKUP($B$5,标准坦克设计!$B$14:$K$20,9)/30))</f>
        <v>14.518232449622484</v>
      </c>
      <c r="DA220" s="172">
        <f ca="1">(VLOOKUP(DA$72,INDIRECT($C$5&amp;"生成成长"),2))/((VLOOKUP($B220,INDIRECT($B$5&amp;"生成成长"),4))/(VLOOKUP(DA$72,INDIRECT($C$5&amp;"生成成长"),5))*(VLOOKUP($B$5,标准坦克设计!$B$24:$U$30,MATCH("对"&amp;LEFT($C$5,2)&amp;"输出",标准坦克设计!$B$23:$U$23,0)))*(VLOOKUP($B220,INDIRECT($B$5&amp;"生成成长"),3))*(VLOOKUP($B$5,标准坦克设计!$B$14:$K$20,9)/30))</f>
        <v>15.408966596939999</v>
      </c>
      <c r="DB220" s="172">
        <f ca="1">(VLOOKUP(DB$72,INDIRECT($C$5&amp;"生成成长"),2))/((VLOOKUP($B220,INDIRECT($B$5&amp;"生成成长"),4))/(VLOOKUP(DB$72,INDIRECT($C$5&amp;"生成成长"),5))*(VLOOKUP($B$5,标准坦克设计!$B$24:$U$30,MATCH("对"&amp;LEFT($C$5,2)&amp;"输出",标准坦克设计!$B$23:$U$23,0)))*(VLOOKUP($B220,INDIRECT($B$5&amp;"生成成长"),3))*(VLOOKUP($B$5,标准坦克设计!$B$14:$K$20,9)/30))</f>
        <v>16.326217863663445</v>
      </c>
      <c r="DC220" s="172">
        <f ca="1">(VLOOKUP(DC$72,INDIRECT($C$5&amp;"生成成长"),2))/((VLOOKUP($B220,INDIRECT($B$5&amp;"生成成长"),4))/(VLOOKUP(DC$72,INDIRECT($C$5&amp;"生成成长"),5))*(VLOOKUP($B$5,标准坦克设计!$B$24:$U$30,MATCH("对"&amp;LEFT($C$5,2)&amp;"输出",标准坦克设计!$B$23:$U$23,0)))*(VLOOKUP($B220,INDIRECT($B$5&amp;"生成成长"),3))*(VLOOKUP($B$5,标准坦克设计!$B$14:$K$20,9)/30))</f>
        <v>17.357098274287527</v>
      </c>
      <c r="DD220" s="172">
        <f ca="1">(VLOOKUP(DD$72,INDIRECT($C$5&amp;"生成成长"),2))/((VLOOKUP($B220,INDIRECT($B$5&amp;"生成成长"),4))/(VLOOKUP(DD$72,INDIRECT($C$5&amp;"生成成长"),5))*(VLOOKUP($B$5,标准坦克设计!$B$24:$U$30,MATCH("对"&amp;LEFT($C$5,2)&amp;"输出",标准坦克设计!$B$23:$U$23,0)))*(VLOOKUP($B220,INDIRECT($B$5&amp;"生成成长"),3))*(VLOOKUP($B$5,标准坦克设计!$B$14:$K$20,9)/30))</f>
        <v>18.419536248502141</v>
      </c>
      <c r="DE220" s="172">
        <f ca="1">(VLOOKUP(DE$72,INDIRECT($C$5&amp;"生成成长"),2))/((VLOOKUP($B220,INDIRECT($B$5&amp;"生成成长"),4))/(VLOOKUP(DE$72,INDIRECT($C$5&amp;"生成成长"),5))*(VLOOKUP($B$5,标准坦克设计!$B$24:$U$30,MATCH("对"&amp;LEFT($C$5,2)&amp;"输出",标准坦克设计!$B$23:$U$23,0)))*(VLOOKUP($B220,INDIRECT($B$5&amp;"生成成长"),3))*(VLOOKUP($B$5,标准坦克设计!$B$14:$K$20,9)/30))</f>
        <v>19.51353178630729</v>
      </c>
      <c r="DF220" s="172">
        <f ca="1">(VLOOKUP(DF$72,INDIRECT($C$5&amp;"生成成长"),2))/((VLOOKUP($B220,INDIRECT($B$5&amp;"生成成长"),4))/(VLOOKUP(DF$72,INDIRECT($C$5&amp;"生成成长"),5))*(VLOOKUP($B$5,标准坦克设计!$B$24:$U$30,MATCH("对"&amp;LEFT($C$5,2)&amp;"输出",标准坦克设计!$B$23:$U$23,0)))*(VLOOKUP($B220,INDIRECT($B$5&amp;"生成成长"),3))*(VLOOKUP($B$5,标准坦克设计!$B$14:$K$20,9)/30))</f>
        <v>20.639084887702975</v>
      </c>
      <c r="DG220" s="172">
        <f ca="1">(VLOOKUP(DG$72,INDIRECT($C$5&amp;"生成成长"),2))/((VLOOKUP($B220,INDIRECT($B$5&amp;"生成成长"),4))/(VLOOKUP(DG$72,INDIRECT($C$5&amp;"生成成长"),5))*(VLOOKUP($B$5,标准坦克设计!$B$24:$U$30,MATCH("对"&amp;LEFT($C$5,2)&amp;"输出",标准坦克设计!$B$23:$U$23,0)))*(VLOOKUP($B220,INDIRECT($B$5&amp;"生成成长"),3))*(VLOOKUP($B$5,标准坦克设计!$B$14:$K$20,9)/30))</f>
        <v>21.796195552689188</v>
      </c>
      <c r="DH220" s="172">
        <f ca="1">(VLOOKUP(DH$72,INDIRECT($C$5&amp;"生成成长"),2))/((VLOOKUP($B220,INDIRECT($B$5&amp;"生成成长"),4))/(VLOOKUP(DH$72,INDIRECT($C$5&amp;"生成成长"),5))*(VLOOKUP($B$5,标准坦克设计!$B$24:$U$30,MATCH("对"&amp;LEFT($C$5,2)&amp;"输出",标准坦克设计!$B$23:$U$23,0)))*(VLOOKUP($B220,INDIRECT($B$5&amp;"生成成长"),3))*(VLOOKUP($B$5,标准坦克设计!$B$14:$K$20,9)/30))</f>
        <v>22.984863781265936</v>
      </c>
      <c r="DI220" s="172">
        <f ca="1">(VLOOKUP(DI$72,INDIRECT($C$5&amp;"生成成长"),2))/((VLOOKUP($B220,INDIRECT($B$5&amp;"生成成长"),4))/(VLOOKUP(DI$72,INDIRECT($C$5&amp;"生成成长"),5))*(VLOOKUP($B$5,标准坦克设计!$B$24:$U$30,MATCH("对"&amp;LEFT($C$5,2)&amp;"输出",标准坦克设计!$B$23:$U$23,0)))*(VLOOKUP($B220,INDIRECT($B$5&amp;"生成成长"),3))*(VLOOKUP($B$5,标准坦克设计!$B$14:$K$20,9)/30))</f>
        <v>24.205089573433213</v>
      </c>
      <c r="DJ220" s="172">
        <f ca="1">(VLOOKUP(DJ$72,INDIRECT($C$5&amp;"生成成长"),2))/((VLOOKUP($B220,INDIRECT($B$5&amp;"生成成长"),4))/(VLOOKUP(DJ$72,INDIRECT($C$5&amp;"生成成长"),5))*(VLOOKUP($B$5,标准坦克设计!$B$24:$U$30,MATCH("对"&amp;LEFT($C$5,2)&amp;"输出",标准坦克设计!$B$23:$U$23,0)))*(VLOOKUP($B220,INDIRECT($B$5&amp;"生成成长"),3))*(VLOOKUP($B$5,标准坦克设计!$B$14:$K$20,9)/30))</f>
        <v>2.4326717683105059</v>
      </c>
      <c r="DK220" s="172">
        <f ca="1">(VLOOKUP(DK$72,INDIRECT($C$5&amp;"生成成长"),2))/((VLOOKUP($B220,INDIRECT($B$5&amp;"生成成长"),4))/(VLOOKUP(DK$72,INDIRECT($C$5&amp;"生成成长"),5))*(VLOOKUP($B$5,标准坦克设计!$B$24:$U$30,MATCH("对"&amp;LEFT($C$5,2)&amp;"输出",标准坦克设计!$B$23:$U$23,0)))*(VLOOKUP($B220,INDIRECT($B$5&amp;"生成成长"),3))*(VLOOKUP($B$5,标准坦克设计!$B$14:$K$20,9)/30))</f>
        <v>2.7354271440071836</v>
      </c>
      <c r="DL220" s="172">
        <f ca="1">(VLOOKUP(DL$72,INDIRECT($C$5&amp;"生成成长"),2))/((VLOOKUP($B220,INDIRECT($B$5&amp;"生成成长"),4))/(VLOOKUP(DL$72,INDIRECT($C$5&amp;"生成成长"),5))*(VLOOKUP($B$5,标准坦克设计!$B$24:$U$30,MATCH("对"&amp;LEFT($C$5,2)&amp;"输出",标准坦克设计!$B$23:$U$23,0)))*(VLOOKUP($B220,INDIRECT($B$5&amp;"生成成长"),3))*(VLOOKUP($B$5,标准坦克设计!$B$14:$K$20,9)/30))</f>
        <v>3.0559336492235354</v>
      </c>
      <c r="DM220" s="172">
        <f ca="1">(VLOOKUP(DM$72,INDIRECT($C$5&amp;"生成成长"),2))/((VLOOKUP($B220,INDIRECT($B$5&amp;"生成成长"),4))/(VLOOKUP(DM$72,INDIRECT($C$5&amp;"生成成长"),5))*(VLOOKUP($B$5,标准坦克设计!$B$24:$U$30,MATCH("对"&amp;LEFT($C$5,2)&amp;"输出",标准坦克设计!$B$23:$U$23,0)))*(VLOOKUP($B220,INDIRECT($B$5&amp;"生成成长"),3))*(VLOOKUP($B$5,标准坦克设计!$B$14:$K$20,9)/30))</f>
        <v>3.3941912839595618</v>
      </c>
      <c r="DN220" s="172">
        <f ca="1">(VLOOKUP(DN$72,INDIRECT($C$5&amp;"生成成长"),2))/((VLOOKUP($B220,INDIRECT($B$5&amp;"生成成长"),4))/(VLOOKUP(DN$72,INDIRECT($C$5&amp;"生成成长"),5))*(VLOOKUP($B$5,标准坦克设计!$B$24:$U$30,MATCH("对"&amp;LEFT($C$5,2)&amp;"输出",标准坦克设计!$B$23:$U$23,0)))*(VLOOKUP($B220,INDIRECT($B$5&amp;"生成成长"),3))*(VLOOKUP($B$5,标准坦克设计!$B$14:$K$20,9)/30))</f>
        <v>3.7502000482152633</v>
      </c>
      <c r="DO220" s="172">
        <f ca="1">(VLOOKUP(DO$72,INDIRECT($C$5&amp;"生成成长"),2))/((VLOOKUP($B220,INDIRECT($B$5&amp;"生成成长"),4))/(VLOOKUP(DO$72,INDIRECT($C$5&amp;"生成成长"),5))*(VLOOKUP($B$5,标准坦克设计!$B$24:$U$30,MATCH("对"&amp;LEFT($C$5,2)&amp;"输出",标准坦克设计!$B$23:$U$23,0)))*(VLOOKUP($B220,INDIRECT($B$5&amp;"生成成长"),3))*(VLOOKUP($B$5,标准坦克设计!$B$14:$K$20,9)/30))</f>
        <v>4.1239599419906412</v>
      </c>
      <c r="DP220" s="172">
        <f ca="1">(VLOOKUP(DP$72,INDIRECT($C$5&amp;"生成成长"),2))/((VLOOKUP($B220,INDIRECT($B$5&amp;"生成成长"),4))/(VLOOKUP(DP$72,INDIRECT($C$5&amp;"生成成长"),5))*(VLOOKUP($B$5,标准坦克设计!$B$24:$U$30,MATCH("对"&amp;LEFT($C$5,2)&amp;"输出",标准坦克设计!$B$23:$U$23,0)))*(VLOOKUP($B220,INDIRECT($B$5&amp;"生成成长"),3))*(VLOOKUP($B$5,标准坦克设计!$B$14:$K$20,9)/30))</f>
        <v>4.5154709652856919</v>
      </c>
      <c r="DQ220" s="172">
        <f ca="1">(VLOOKUP(DQ$72,INDIRECT($C$5&amp;"生成成长"),2))/((VLOOKUP($B220,INDIRECT($B$5&amp;"生成成长"),4))/(VLOOKUP(DQ$72,INDIRECT($C$5&amp;"生成成长"),5))*(VLOOKUP($B$5,标准坦克设计!$B$24:$U$30,MATCH("对"&amp;LEFT($C$5,2)&amp;"输出",标准坦克设计!$B$23:$U$23,0)))*(VLOOKUP($B220,INDIRECT($B$5&amp;"生成成长"),3))*(VLOOKUP($B$5,标准坦克设计!$B$14:$K$20,9)/30))</f>
        <v>4.9247331181004181</v>
      </c>
      <c r="DR220" s="172">
        <f ca="1">(VLOOKUP(DR$72,INDIRECT($C$5&amp;"生成成长"),2))/((VLOOKUP($B220,INDIRECT($B$5&amp;"生成成长"),4))/(VLOOKUP(DR$72,INDIRECT($C$5&amp;"生成成长"),5))*(VLOOKUP($B$5,标准坦克设计!$B$24:$U$30,MATCH("对"&amp;LEFT($C$5,2)&amp;"输出",标准坦克设计!$B$23:$U$23,0)))*(VLOOKUP($B220,INDIRECT($B$5&amp;"生成成长"),3))*(VLOOKUP($B$5,标准坦克设计!$B$14:$K$20,9)/30))</f>
        <v>5.3517464004348199</v>
      </c>
      <c r="DS220" s="172">
        <f ca="1">(VLOOKUP(DS$72,INDIRECT($C$5&amp;"生成成长"),2))/((VLOOKUP($B220,INDIRECT($B$5&amp;"生成成长"),4))/(VLOOKUP(DS$72,INDIRECT($C$5&amp;"生成成长"),5))*(VLOOKUP($B$5,标准坦克设计!$B$24:$U$30,MATCH("对"&amp;LEFT($C$5,2)&amp;"输出",标准坦克设计!$B$23:$U$23,0)))*(VLOOKUP($B220,INDIRECT($B$5&amp;"生成成长"),3))*(VLOOKUP($B$5,标准坦克设计!$B$14:$K$20,9)/30))</f>
        <v>5.7965108122888953</v>
      </c>
      <c r="DT220" s="172">
        <f ca="1">(VLOOKUP(DT$72,INDIRECT($C$5&amp;"生成成长"),2))/((VLOOKUP($B220,INDIRECT($B$5&amp;"生成成长"),4))/(VLOOKUP(DT$72,INDIRECT($C$5&amp;"生成成长"),5))*(VLOOKUP($B$5,标准坦克设计!$B$24:$U$30,MATCH("对"&amp;LEFT($C$5,2)&amp;"输出",标准坦克设计!$B$23:$U$23,0)))*(VLOOKUP($B220,INDIRECT($B$5&amp;"生成成长"),3))*(VLOOKUP($B$5,标准坦克设计!$B$14:$K$20,9)/30))</f>
        <v>6.3642182322977563</v>
      </c>
      <c r="DU220" s="172">
        <f ca="1">(VLOOKUP(DU$72,INDIRECT($C$5&amp;"生成成长"),2))/((VLOOKUP($B220,INDIRECT($B$5&amp;"生成成长"),4))/(VLOOKUP(DU$72,INDIRECT($C$5&amp;"生成成长"),5))*(VLOOKUP($B$5,标准坦克设计!$B$24:$U$30,MATCH("对"&amp;LEFT($C$5,2)&amp;"输出",标准坦克设计!$B$23:$U$23,0)))*(VLOOKUP($B220,INDIRECT($B$5&amp;"生成成长"),3))*(VLOOKUP($B$5,标准坦克设计!$B$14:$K$20,9)/30))</f>
        <v>6.9584427717125514</v>
      </c>
      <c r="DV220" s="172">
        <f ca="1">(VLOOKUP(DV$72,INDIRECT($C$5&amp;"生成成长"),2))/((VLOOKUP($B220,INDIRECT($B$5&amp;"生成成长"),4))/(VLOOKUP(DV$72,INDIRECT($C$5&amp;"生成成长"),5))*(VLOOKUP($B$5,标准坦克设计!$B$24:$U$30,MATCH("对"&amp;LEFT($C$5,2)&amp;"输出",标准坦克设计!$B$23:$U$23,0)))*(VLOOKUP($B220,INDIRECT($B$5&amp;"生成成长"),3))*(VLOOKUP($B$5,标准坦克设计!$B$14:$K$20,9)/30))</f>
        <v>7.5791844305332843</v>
      </c>
      <c r="DW220" s="172">
        <f ca="1">(VLOOKUP(DW$72,INDIRECT($C$5&amp;"生成成长"),2))/((VLOOKUP($B220,INDIRECT($B$5&amp;"生成成长"),4))/(VLOOKUP(DW$72,INDIRECT($C$5&amp;"生成成长"),5))*(VLOOKUP($B$5,标准坦克设计!$B$24:$U$30,MATCH("对"&amp;LEFT($C$5,2)&amp;"输出",标准坦克设计!$B$23:$U$23,0)))*(VLOOKUP($B220,INDIRECT($B$5&amp;"生成成长"),3))*(VLOOKUP($B$5,标准坦克设计!$B$14:$K$20,9)/30))</f>
        <v>8.2264432087599442</v>
      </c>
      <c r="DX220" s="172">
        <f ca="1">(VLOOKUP(DX$72,INDIRECT($C$5&amp;"生成成长"),2))/((VLOOKUP($B220,INDIRECT($B$5&amp;"生成成长"),4))/(VLOOKUP(DX$72,INDIRECT($C$5&amp;"生成成长"),5))*(VLOOKUP($B$5,标准坦克设计!$B$24:$U$30,MATCH("对"&amp;LEFT($C$5,2)&amp;"输出",标准坦克设计!$B$23:$U$23,0)))*(VLOOKUP($B220,INDIRECT($B$5&amp;"生成成长"),3))*(VLOOKUP($B$5,标准坦克设计!$B$14:$K$20,9)/30))</f>
        <v>8.9002191063925444</v>
      </c>
      <c r="DY220" s="172">
        <f ca="1">(VLOOKUP(DY$72,INDIRECT($C$5&amp;"生成成长"),2))/((VLOOKUP($B220,INDIRECT($B$5&amp;"生成成长"),4))/(VLOOKUP(DY$72,INDIRECT($C$5&amp;"生成成长"),5))*(VLOOKUP($B$5,标准坦克设计!$B$24:$U$30,MATCH("对"&amp;LEFT($C$5,2)&amp;"输出",标准坦克设计!$B$23:$U$23,0)))*(VLOOKUP($B220,INDIRECT($B$5&amp;"生成成长"),3))*(VLOOKUP($B$5,标准坦克设计!$B$14:$K$20,9)/30))</f>
        <v>3.9974009630077729</v>
      </c>
      <c r="DZ220" s="172">
        <f ca="1">(VLOOKUP(DZ$72,INDIRECT($C$5&amp;"生成成长"),2))/((VLOOKUP($B220,INDIRECT($B$5&amp;"生成成长"),4))/(VLOOKUP(DZ$72,INDIRECT($C$5&amp;"生成成长"),5))*(VLOOKUP($B$5,标准坦克设计!$B$24:$U$30,MATCH("对"&amp;LEFT($C$5,2)&amp;"输出",标准坦克设计!$B$23:$U$23,0)))*(VLOOKUP($B220,INDIRECT($B$5&amp;"生成成长"),3))*(VLOOKUP($B$5,标准坦克设计!$B$14:$K$20,9)/30))</f>
        <v>4.4269344674344744</v>
      </c>
      <c r="EA220" s="172">
        <f ca="1">(VLOOKUP(EA$72,INDIRECT($C$5&amp;"生成成长"),2))/((VLOOKUP($B220,INDIRECT($B$5&amp;"生成成长"),4))/(VLOOKUP(EA$72,INDIRECT($C$5&amp;"生成成长"),5))*(VLOOKUP($B$5,标准坦克设计!$B$24:$U$30,MATCH("对"&amp;LEFT($C$5,2)&amp;"输出",标准坦克设计!$B$23:$U$23,0)))*(VLOOKUP($B220,INDIRECT($B$5&amp;"生成成长"),3))*(VLOOKUP($B$5,标准坦克设计!$B$14:$K$20,9)/30))</f>
        <v>4.8783829465768225</v>
      </c>
      <c r="EB220" s="172">
        <f ca="1">(VLOOKUP(EB$72,INDIRECT($C$5&amp;"生成成长"),2))/((VLOOKUP($B220,INDIRECT($B$5&amp;"生成成长"),4))/(VLOOKUP(EB$72,INDIRECT($C$5&amp;"生成成长"),5))*(VLOOKUP($B$5,标准坦克设计!$B$24:$U$30,MATCH("对"&amp;LEFT($C$5,2)&amp;"输出",标准坦克设计!$B$23:$U$23,0)))*(VLOOKUP($B220,INDIRECT($B$5&amp;"生成成长"),3))*(VLOOKUP($B$5,标准坦克设计!$B$14:$K$20,9)/30))</f>
        <v>5.3517464004348199</v>
      </c>
      <c r="EC220" s="172">
        <f ca="1">(VLOOKUP(EC$72,INDIRECT($C$5&amp;"生成成长"),2))/((VLOOKUP($B220,INDIRECT($B$5&amp;"生成成长"),4))/(VLOOKUP(EC$72,INDIRECT($C$5&amp;"生成成长"),5))*(VLOOKUP($B$5,标准坦克设计!$B$24:$U$30,MATCH("对"&amp;LEFT($C$5,2)&amp;"输出",标准坦克设计!$B$23:$U$23,0)))*(VLOOKUP($B220,INDIRECT($B$5&amp;"生成成长"),3))*(VLOOKUP($B$5,标准坦克设计!$B$14:$K$20,9)/30))</f>
        <v>5.8470248290084639</v>
      </c>
      <c r="ED220" s="172">
        <f ca="1">(VLOOKUP(ED$72,INDIRECT($C$5&amp;"生成成长"),2))/((VLOOKUP($B220,INDIRECT($B$5&amp;"生成成长"),4))/(VLOOKUP(ED$72,INDIRECT($C$5&amp;"生成成长"),5))*(VLOOKUP($B$5,标准坦克设计!$B$24:$U$30,MATCH("对"&amp;LEFT($C$5,2)&amp;"输出",标准坦克设计!$B$23:$U$23,0)))*(VLOOKUP($B220,INDIRECT($B$5&amp;"生成成长"),3))*(VLOOKUP($B$5,标准坦克设计!$B$14:$K$20,9)/30))</f>
        <v>6.3642182322977563</v>
      </c>
      <c r="EE220" s="172">
        <f ca="1">(VLOOKUP(EE$72,INDIRECT($C$5&amp;"生成成长"),2))/((VLOOKUP($B220,INDIRECT($B$5&amp;"生成成长"),4))/(VLOOKUP(EE$72,INDIRECT($C$5&amp;"生成成长"),5))*(VLOOKUP($B$5,标准坦克设计!$B$24:$U$30,MATCH("对"&amp;LEFT($C$5,2)&amp;"输出",标准坦克设计!$B$23:$U$23,0)))*(VLOOKUP($B220,INDIRECT($B$5&amp;"生成成长"),3))*(VLOOKUP($B$5,标准坦克设计!$B$14:$K$20,9)/30))</f>
        <v>6.9033266103026989</v>
      </c>
      <c r="EF220" s="172">
        <f ca="1">(VLOOKUP(EF$72,INDIRECT($C$5&amp;"生成成长"),2))/((VLOOKUP($B220,INDIRECT($B$5&amp;"生成成长"),4))/(VLOOKUP(EF$72,INDIRECT($C$5&amp;"生成成长"),5))*(VLOOKUP($B$5,标准坦克设计!$B$24:$U$30,MATCH("对"&amp;LEFT($C$5,2)&amp;"输出",标准坦克设计!$B$23:$U$23,0)))*(VLOOKUP($B220,INDIRECT($B$5&amp;"生成成长"),3))*(VLOOKUP($B$5,标准坦克设计!$B$14:$K$20,9)/30))</f>
        <v>7.4643499630232872</v>
      </c>
      <c r="EG220" s="172">
        <f ca="1">(VLOOKUP(EG$72,INDIRECT($C$5&amp;"生成成长"),2))/((VLOOKUP($B220,INDIRECT($B$5&amp;"生成成长"),4))/(VLOOKUP(EG$72,INDIRECT($C$5&amp;"生成成长"),5))*(VLOOKUP($B$5,标准坦克设计!$B$24:$U$30,MATCH("对"&amp;LEFT($C$5,2)&amp;"输出",标准坦克设计!$B$23:$U$23,0)))*(VLOOKUP($B220,INDIRECT($B$5&amp;"生成成长"),3))*(VLOOKUP($B$5,标准坦克设计!$B$14:$K$20,9)/30))</f>
        <v>8.0472882904595231</v>
      </c>
      <c r="EH220" s="172">
        <f ca="1">(VLOOKUP(EH$72,INDIRECT($C$5&amp;"生成成长"),2))/((VLOOKUP($B220,INDIRECT($B$5&amp;"生成成长"),4))/(VLOOKUP(EH$72,INDIRECT($C$5&amp;"生成成长"),5))*(VLOOKUP($B$5,标准坦克设计!$B$24:$U$30,MATCH("对"&amp;LEFT($C$5,2)&amp;"输出",标准坦克设计!$B$23:$U$23,0)))*(VLOOKUP($B220,INDIRECT($B$5&amp;"生成成长"),3))*(VLOOKUP($B$5,标准坦克设计!$B$14:$K$20,9)/30))</f>
        <v>8.6521415926114074</v>
      </c>
      <c r="EI220" s="172">
        <f ca="1">(VLOOKUP(EI$72,INDIRECT($C$5&amp;"生成成长"),2))/((VLOOKUP($B220,INDIRECT($B$5&amp;"生成成长"),4))/(VLOOKUP(EI$72,INDIRECT($C$5&amp;"生成成长"),5))*(VLOOKUP($B$5,标准坦克设计!$B$24:$U$30,MATCH("对"&amp;LEFT($C$5,2)&amp;"输出",标准坦克设计!$B$23:$U$23,0)))*(VLOOKUP($B220,INDIRECT($B$5&amp;"生成成长"),3))*(VLOOKUP($B$5,标准坦克设计!$B$14:$K$20,9)/30))</f>
        <v>9.2789098694789409</v>
      </c>
      <c r="EJ220" s="172">
        <f ca="1">(VLOOKUP(EJ$72,INDIRECT($C$5&amp;"生成成长"),2))/((VLOOKUP($B220,INDIRECT($B$5&amp;"生成成长"),4))/(VLOOKUP(EJ$72,INDIRECT($C$5&amp;"生成成长"),5))*(VLOOKUP($B$5,标准坦克设计!$B$24:$U$30,MATCH("对"&amp;LEFT($C$5,2)&amp;"输出",标准坦克设计!$B$23:$U$23,0)))*(VLOOKUP($B220,INDIRECT($B$5&amp;"生成成长"),3))*(VLOOKUP($B$5,标准坦克设计!$B$14:$K$20,9)/30))</f>
        <v>9.927593121062122</v>
      </c>
      <c r="EK220" s="172">
        <f ca="1">(VLOOKUP(EK$72,INDIRECT($C$5&amp;"生成成长"),2))/((VLOOKUP($B220,INDIRECT($B$5&amp;"生成成长"),4))/(VLOOKUP(EK$72,INDIRECT($C$5&amp;"生成成长"),5))*(VLOOKUP($B$5,标准坦克设计!$B$24:$U$30,MATCH("对"&amp;LEFT($C$5,2)&amp;"输出",标准坦克设计!$B$23:$U$23,0)))*(VLOOKUP($B220,INDIRECT($B$5&amp;"生成成长"),3))*(VLOOKUP($B$5,标准坦克设计!$B$14:$K$20,9)/30))</f>
        <v>10.734940789586593</v>
      </c>
      <c r="EL220" s="172">
        <f ca="1">(VLOOKUP(EL$72,INDIRECT($C$5&amp;"生成成长"),2))/((VLOOKUP($B220,INDIRECT($B$5&amp;"生成成长"),4))/(VLOOKUP(EL$72,INDIRECT($C$5&amp;"生成成长"),5))*(VLOOKUP($B$5,标准坦克设计!$B$24:$U$30,MATCH("对"&amp;LEFT($C$5,2)&amp;"输出",标准坦克设计!$B$23:$U$23,0)))*(VLOOKUP($B220,INDIRECT($B$5&amp;"生成成长"),3))*(VLOOKUP($B$5,标准坦克设计!$B$14:$K$20,9)/30))</f>
        <v>11.573846021701602</v>
      </c>
      <c r="EM220" s="172">
        <f ca="1">(VLOOKUP(EM$72,INDIRECT($C$5&amp;"生成成长"),2))/((VLOOKUP($B220,INDIRECT($B$5&amp;"生成成长"),4))/(VLOOKUP(EM$72,INDIRECT($C$5&amp;"生成成长"),5))*(VLOOKUP($B$5,标准坦克设计!$B$24:$U$30,MATCH("对"&amp;LEFT($C$5,2)&amp;"输出",标准坦克设计!$B$23:$U$23,0)))*(VLOOKUP($B220,INDIRECT($B$5&amp;"生成成长"),3))*(VLOOKUP($B$5,标准坦克设计!$B$14:$K$20,9)/30))</f>
        <v>12.444308817407135</v>
      </c>
      <c r="EN220" s="172">
        <f ca="1">(VLOOKUP(EN$72,INDIRECT($C$5&amp;"生成成长"),2))/((VLOOKUP($B220,INDIRECT($B$5&amp;"生成成长"),4))/(VLOOKUP(EN$72,INDIRECT($C$5&amp;"生成成长"),5))*(VLOOKUP($B$5,标准坦克设计!$B$24:$U$30,MATCH("对"&amp;LEFT($C$5,2)&amp;"输出",标准坦克设计!$B$23:$U$23,0)))*(VLOOKUP($B220,INDIRECT($B$5&amp;"生成成长"),3))*(VLOOKUP($B$5,标准坦克设计!$B$14:$K$20,9)/30))</f>
        <v>13.346329176703209</v>
      </c>
      <c r="EO220" s="172">
        <f ca="1">(VLOOKUP(EO$72,INDIRECT($C$5&amp;"生成成长"),2))/((VLOOKUP($B220,INDIRECT($B$5&amp;"生成成长"),4))/(VLOOKUP(EO$72,INDIRECT($C$5&amp;"生成成长"),5))*(VLOOKUP($B$5,标准坦克设计!$B$24:$U$30,MATCH("对"&amp;LEFT($C$5,2)&amp;"输出",标准坦克设计!$B$23:$U$23,0)))*(VLOOKUP($B220,INDIRECT($B$5&amp;"生成成长"),3))*(VLOOKUP($B$5,标准坦克设计!$B$14:$K$20,9)/30))</f>
        <v>14.279907099589813</v>
      </c>
      <c r="EP220" s="172">
        <f ca="1">(VLOOKUP(EP$72,INDIRECT($C$5&amp;"生成成长"),2))/((VLOOKUP($B220,INDIRECT($B$5&amp;"生成成长"),4))/(VLOOKUP(EP$72,INDIRECT($C$5&amp;"生成成长"),5))*(VLOOKUP($B$5,标准坦克设计!$B$24:$U$30,MATCH("对"&amp;LEFT($C$5,2)&amp;"输出",标准坦克设计!$B$23:$U$23,0)))*(VLOOKUP($B220,INDIRECT($B$5&amp;"生成成长"),3))*(VLOOKUP($B$5,标准坦克设计!$B$14:$K$20,9)/30))</f>
        <v>15.245042586066951</v>
      </c>
      <c r="EQ220" s="172">
        <f ca="1">(VLOOKUP(EQ$72,INDIRECT($C$5&amp;"生成成长"),2))/((VLOOKUP($B220,INDIRECT($B$5&amp;"生成成长"),4))/(VLOOKUP(EQ$72,INDIRECT($C$5&amp;"生成成长"),5))*(VLOOKUP($B$5,标准坦克设计!$B$24:$U$30,MATCH("对"&amp;LEFT($C$5,2)&amp;"输出",标准坦克设计!$B$23:$U$23,0)))*(VLOOKUP($B220,INDIRECT($B$5&amp;"生成成长"),3))*(VLOOKUP($B$5,标准坦克设计!$B$14:$K$20,9)/30))</f>
        <v>6.7392930245560727</v>
      </c>
      <c r="ER220" s="172">
        <f ca="1">(VLOOKUP(ER$72,INDIRECT($C$5&amp;"生成成长"),2))/((VLOOKUP($B220,INDIRECT($B$5&amp;"生成成长"),4))/(VLOOKUP(ER$72,INDIRECT($C$5&amp;"生成成长"),5))*(VLOOKUP($B$5,标准坦克设计!$B$24:$U$30,MATCH("对"&amp;LEFT($C$5,2)&amp;"输出",标准坦克设计!$B$23:$U$23,0)))*(VLOOKUP($B220,INDIRECT($B$5&amp;"生成成长"),3))*(VLOOKUP($B$5,标准坦克设计!$B$14:$K$20,9)/30))</f>
        <v>7.3503920945019159</v>
      </c>
      <c r="ES220" s="172">
        <f ca="1">(VLOOKUP(ES$72,INDIRECT($C$5&amp;"生成成长"),2))/((VLOOKUP($B220,INDIRECT($B$5&amp;"生成成长"),4))/(VLOOKUP(ES$72,INDIRECT($C$5&amp;"生成成长"),5))*(VLOOKUP($B$5,标准坦克设计!$B$24:$U$30,MATCH("对"&amp;LEFT($C$5,2)&amp;"输出",标准坦克设计!$B$23:$U$23,0)))*(VLOOKUP($B220,INDIRECT($B$5&amp;"生成成长"),3))*(VLOOKUP($B$5,标准坦克设计!$B$14:$K$20,9)/30))</f>
        <v>7.9880082838536959</v>
      </c>
      <c r="ET220" s="172">
        <f ca="1">(VLOOKUP(ET$72,INDIRECT($C$5&amp;"生成成长"),2))/((VLOOKUP($B220,INDIRECT($B$5&amp;"生成成长"),4))/(VLOOKUP(ET$72,INDIRECT($C$5&amp;"生成成长"),5))*(VLOOKUP($B$5,标准坦克设计!$B$24:$U$30,MATCH("对"&amp;LEFT($C$5,2)&amp;"输出",标准坦克设计!$B$23:$U$23,0)))*(VLOOKUP($B220,INDIRECT($B$5&amp;"生成成长"),3))*(VLOOKUP($B$5,标准坦克设计!$B$14:$K$20,9)/30))</f>
        <v>8.6521415926114074</v>
      </c>
      <c r="EU220" s="172">
        <f ca="1">(VLOOKUP(EU$72,INDIRECT($C$5&amp;"生成成长"),2))/((VLOOKUP($B220,INDIRECT($B$5&amp;"生成成长"),4))/(VLOOKUP(EU$72,INDIRECT($C$5&amp;"生成成长"),5))*(VLOOKUP($B$5,标准坦克设计!$B$24:$U$30,MATCH("对"&amp;LEFT($C$5,2)&amp;"输出",标准坦克设计!$B$23:$U$23,0)))*(VLOOKUP($B220,INDIRECT($B$5&amp;"生成成长"),3))*(VLOOKUP($B$5,标准坦克设计!$B$14:$K$20,9)/30))</f>
        <v>9.3427920207750539</v>
      </c>
      <c r="EV220" s="172">
        <f ca="1">(VLOOKUP(EV$72,INDIRECT($C$5&amp;"生成成长"),2))/((VLOOKUP($B220,INDIRECT($B$5&amp;"生成成长"),4))/(VLOOKUP(EV$72,INDIRECT($C$5&amp;"生成成长"),5))*(VLOOKUP($B$5,标准坦克设计!$B$24:$U$30,MATCH("对"&amp;LEFT($C$5,2)&amp;"输出",标准坦克设计!$B$23:$U$23,0)))*(VLOOKUP($B220,INDIRECT($B$5&amp;"生成成长"),3))*(VLOOKUP($B$5,标准坦克设计!$B$14:$K$20,9)/30))</f>
        <v>10.059959568344635</v>
      </c>
      <c r="EW220" s="172">
        <f ca="1">(VLOOKUP(EW$72,INDIRECT($C$5&amp;"生成成长"),2))/((VLOOKUP($B220,INDIRECT($B$5&amp;"生成成长"),4))/(VLOOKUP(EW$72,INDIRECT($C$5&amp;"生成成长"),5))*(VLOOKUP($B$5,标准坦克设计!$B$24:$U$30,MATCH("对"&amp;LEFT($C$5,2)&amp;"输出",标准坦克设计!$B$23:$U$23,0)))*(VLOOKUP($B220,INDIRECT($B$5&amp;"生成成长"),3))*(VLOOKUP($B$5,标准坦克设计!$B$14:$K$20,9)/30))</f>
        <v>10.803644235320149</v>
      </c>
      <c r="EX220" s="172">
        <f ca="1">(VLOOKUP(EX$72,INDIRECT($C$5&amp;"生成成长"),2))/((VLOOKUP($B220,INDIRECT($B$5&amp;"生成成长"),4))/(VLOOKUP(EX$72,INDIRECT($C$5&amp;"生成成长"),5))*(VLOOKUP($B$5,标准坦克设计!$B$24:$U$30,MATCH("对"&amp;LEFT($C$5,2)&amp;"输出",标准坦克设计!$B$23:$U$23,0)))*(VLOOKUP($B220,INDIRECT($B$5&amp;"生成成长"),3))*(VLOOKUP($B$5,标准坦克设计!$B$14:$K$20,9)/30))</f>
        <v>11.573846021701602</v>
      </c>
      <c r="EY220" s="172">
        <f ca="1">(VLOOKUP(EY$72,INDIRECT($C$5&amp;"生成成长"),2))/((VLOOKUP($B220,INDIRECT($B$5&amp;"生成成长"),4))/(VLOOKUP(EY$72,INDIRECT($C$5&amp;"生成成长"),5))*(VLOOKUP($B$5,标准坦克设计!$B$24:$U$30,MATCH("对"&amp;LEFT($C$5,2)&amp;"输出",标准坦克设计!$B$23:$U$23,0)))*(VLOOKUP($B220,INDIRECT($B$5&amp;"生成成长"),3))*(VLOOKUP($B$5,标准坦克设计!$B$14:$K$20,9)/30))</f>
        <v>12.37056492748898</v>
      </c>
      <c r="EZ220" s="172">
        <f ca="1">(VLOOKUP(EZ$72,INDIRECT($C$5&amp;"生成成长"),2))/((VLOOKUP($B220,INDIRECT($B$5&amp;"生成成长"),4))/(VLOOKUP(EZ$72,INDIRECT($C$5&amp;"生成成长"),5))*(VLOOKUP($B$5,标准坦克设计!$B$24:$U$30,MATCH("对"&amp;LEFT($C$5,2)&amp;"输出",标准坦克设计!$B$23:$U$23,0)))*(VLOOKUP($B220,INDIRECT($B$5&amp;"生成成长"),3))*(VLOOKUP($B$5,标准坦克设计!$B$14:$K$20,9)/30))</f>
        <v>13.193800952682299</v>
      </c>
      <c r="FA220" s="172">
        <f ca="1">(VLOOKUP(FA$72,INDIRECT($C$5&amp;"生成成长"),2))/((VLOOKUP($B220,INDIRECT($B$5&amp;"生成成长"),4))/(VLOOKUP(FA$72,INDIRECT($C$5&amp;"生成成长"),5))*(VLOOKUP($B$5,标准坦克设计!$B$24:$U$30,MATCH("对"&amp;LEFT($C$5,2)&amp;"输出",标准坦克设计!$B$23:$U$23,0)))*(VLOOKUP($B220,INDIRECT($B$5&amp;"生成成长"),3))*(VLOOKUP($B$5,标准坦克设计!$B$14:$K$20,9)/30))</f>
        <v>14.04355409728155</v>
      </c>
      <c r="FB220" s="172">
        <f ca="1">(VLOOKUP(FB$72,INDIRECT($C$5&amp;"生成成长"),2))/((VLOOKUP($B220,INDIRECT($B$5&amp;"生成成长"),4))/(VLOOKUP(FB$72,INDIRECT($C$5&amp;"生成成长"),5))*(VLOOKUP($B$5,标准坦克设计!$B$24:$U$30,MATCH("对"&amp;LEFT($C$5,2)&amp;"输出",标准坦克设计!$B$23:$U$23,0)))*(VLOOKUP($B220,INDIRECT($B$5&amp;"生成成长"),3))*(VLOOKUP($B$5,标准坦克设计!$B$14:$K$20,9)/30))</f>
        <v>14.919824361286736</v>
      </c>
      <c r="FC220" s="172">
        <f ca="1">(VLOOKUP(FC$72,INDIRECT($C$5&amp;"生成成长"),2))/((VLOOKUP($B220,INDIRECT($B$5&amp;"生成成长"),4))/(VLOOKUP(FC$72,INDIRECT($C$5&amp;"生成成长"),5))*(VLOOKUP($B$5,标准坦克设计!$B$24:$U$30,MATCH("对"&amp;LEFT($C$5,2)&amp;"输出",标准坦克设计!$B$23:$U$23,0)))*(VLOOKUP($B220,INDIRECT($B$5&amp;"生成成长"),3))*(VLOOKUP($B$5,标准坦克设计!$B$14:$K$20,9)/30))</f>
        <v>15.822611744697856</v>
      </c>
      <c r="FD220" s="172">
        <f ca="1">(VLOOKUP(FD$72,INDIRECT($C$5&amp;"生成成长"),2))/((VLOOKUP($B220,INDIRECT($B$5&amp;"生成成长"),4))/(VLOOKUP(FD$72,INDIRECT($C$5&amp;"生成成长"),5))*(VLOOKUP($B$5,标准坦克设计!$B$24:$U$30,MATCH("对"&amp;LEFT($C$5,2)&amp;"输出",标准坦克设计!$B$23:$U$23,0)))*(VLOOKUP($B220,INDIRECT($B$5&amp;"生成成长"),3))*(VLOOKUP($B$5,标准坦克设计!$B$14:$K$20,9)/30))</f>
        <v>16.751916247514906</v>
      </c>
      <c r="FE220" s="172">
        <f ca="1">(VLOOKUP(FE$72,INDIRECT($C$5&amp;"生成成长"),2))/((VLOOKUP($B220,INDIRECT($B$5&amp;"生成成长"),4))/(VLOOKUP(FE$72,INDIRECT($C$5&amp;"生成成长"),5))*(VLOOKUP($B$5,标准坦克设计!$B$24:$U$30,MATCH("对"&amp;LEFT($C$5,2)&amp;"输出",标准坦克设计!$B$23:$U$23,0)))*(VLOOKUP($B220,INDIRECT($B$5&amp;"生成成长"),3))*(VLOOKUP($B$5,标准坦克设计!$B$14:$K$20,9)/30))</f>
        <v>17.88437256594602</v>
      </c>
      <c r="FF220" s="172">
        <f ca="1">(VLOOKUP(FF$72,INDIRECT($C$5&amp;"生成成长"),2))/((VLOOKUP($B220,INDIRECT($B$5&amp;"生成成长"),4))/(VLOOKUP(FF$72,INDIRECT($C$5&amp;"生成成长"),5))*(VLOOKUP($B$5,标准坦克设计!$B$24:$U$30,MATCH("对"&amp;LEFT($C$5,2)&amp;"输出",标准坦克设计!$B$23:$U$23,0)))*(VLOOKUP($B220,INDIRECT($B$5&amp;"生成成长"),3))*(VLOOKUP($B$5,标准坦克设计!$B$14:$K$20,9)/30))</f>
        <v>19.053865191646572</v>
      </c>
      <c r="FG220" s="172">
        <f ca="1">(VLOOKUP(FG$72,INDIRECT($C$5&amp;"生成成长"),2))/((VLOOKUP($B220,INDIRECT($B$5&amp;"生成成长"),4))/(VLOOKUP(FG$72,INDIRECT($C$5&amp;"生成成长"),5))*(VLOOKUP($B$5,标准坦克设计!$B$24:$U$30,MATCH("对"&amp;LEFT($C$5,2)&amp;"输出",标准坦克设计!$B$23:$U$23,0)))*(VLOOKUP($B220,INDIRECT($B$5&amp;"生成成长"),3))*(VLOOKUP($B$5,标准坦克设计!$B$14:$K$20,9)/30))</f>
        <v>20.260394124616575</v>
      </c>
      <c r="FH220" s="172">
        <f ca="1">(VLOOKUP(FH$72,INDIRECT($C$5&amp;"生成成长"),2))/((VLOOKUP($B220,INDIRECT($B$5&amp;"生成成长"),4))/(VLOOKUP(FH$72,INDIRECT($C$5&amp;"生成成长"),5))*(VLOOKUP($B$5,标准坦克设计!$B$24:$U$30,MATCH("对"&amp;LEFT($C$5,2)&amp;"输出",标准坦克设计!$B$23:$U$23,0)))*(VLOOKUP($B220,INDIRECT($B$5&amp;"生成成长"),3))*(VLOOKUP($B$5,标准坦克设计!$B$14:$K$20,9)/30))</f>
        <v>21.503959364856019</v>
      </c>
      <c r="FI220" s="172">
        <f ca="1">(VLOOKUP(FI$72,INDIRECT($C$5&amp;"生成成长"),2))/((VLOOKUP($B220,INDIRECT($B$5&amp;"生成成长"),4))/(VLOOKUP(FI$72,INDIRECT($C$5&amp;"生成成长"),5))*(VLOOKUP($B$5,标准坦克设计!$B$24:$U$30,MATCH("对"&amp;LEFT($C$5,2)&amp;"输出",标准坦克设计!$B$23:$U$23,0)))*(VLOOKUP($B220,INDIRECT($B$5&amp;"生成成长"),3))*(VLOOKUP($B$5,标准坦克设计!$B$14:$K$20,9)/30))</f>
        <v>22.784560912364913</v>
      </c>
      <c r="FJ220" s="172">
        <f ca="1">(VLOOKUP(FJ$72,INDIRECT($C$5&amp;"生成成长"),2))/((VLOOKUP($B220,INDIRECT($B$5&amp;"生成成长"),4))/(VLOOKUP(FJ$72,INDIRECT($C$5&amp;"生成成长"),5))*(VLOOKUP($B$5,标准坦克设计!$B$24:$U$30,MATCH("对"&amp;LEFT($C$5,2)&amp;"输出",标准坦克设计!$B$23:$U$23,0)))*(VLOOKUP($B220,INDIRECT($B$5&amp;"生成成长"),3))*(VLOOKUP($B$5,标准坦克设计!$B$14:$K$20,9)/30))</f>
        <v>24.102198767143246</v>
      </c>
      <c r="FK220" s="172">
        <f ca="1">(VLOOKUP(FK$72,INDIRECT($C$5&amp;"生成成长"),2))/((VLOOKUP($B220,INDIRECT($B$5&amp;"生成成长"),4))/(VLOOKUP(FK$72,INDIRECT($C$5&amp;"生成成长"),5))*(VLOOKUP($B$5,标准坦克设计!$B$24:$U$30,MATCH("对"&amp;LEFT($C$5,2)&amp;"输出",标准坦克设计!$B$23:$U$23,0)))*(VLOOKUP($B220,INDIRECT($B$5&amp;"生成成长"),3))*(VLOOKUP($B$5,标准坦克设计!$B$14:$K$20,9)/30))</f>
        <v>25.456872929191025</v>
      </c>
    </row>
    <row r="221" spans="1:167" x14ac:dyDescent="0.15">
      <c r="A221" s="170" t="str">
        <f t="shared" si="13"/>
        <v>T5高品质5级</v>
      </c>
      <c r="B221" s="171">
        <v>30505</v>
      </c>
      <c r="C221" s="172">
        <f ca="1">(VLOOKUP(C$72,INDIRECT($C$5&amp;"生成成长"),2))/((VLOOKUP($B221,INDIRECT($B$5&amp;"生成成长"),4))/(VLOOKUP(C$72,INDIRECT($C$5&amp;"生成成长"),5))*(VLOOKUP($B$5,标准坦克设计!$B$24:$U$30,MATCH("对"&amp;LEFT($C$5,2)&amp;"输出",标准坦克设计!$B$23:$U$23,0)))*(VLOOKUP($B221,INDIRECT($B$5&amp;"生成成长"),3))*(VLOOKUP($B$5,标准坦克设计!$B$14:$K$20,9)/30))</f>
        <v>1.0171074009672545</v>
      </c>
      <c r="D221" s="172">
        <f ca="1">(VLOOKUP(D$72,INDIRECT($C$5&amp;"生成成长"),2))/((VLOOKUP($B221,INDIRECT($B$5&amp;"生成成长"),4))/(VLOOKUP(D$72,INDIRECT($C$5&amp;"生成成长"),5))*(VLOOKUP($B$5,标准坦克设计!$B$24:$U$30,MATCH("对"&amp;LEFT($C$5,2)&amp;"输出",标准坦克设计!$B$23:$U$23,0)))*(VLOOKUP($B221,INDIRECT($B$5&amp;"生成成长"),3))*(VLOOKUP($B$5,标准坦克设计!$B$14:$K$20,9)/30))</f>
        <v>1.1428218757268072</v>
      </c>
      <c r="E221" s="172">
        <f ca="1">(VLOOKUP(E$72,INDIRECT($C$5&amp;"生成成长"),2))/((VLOOKUP($B221,INDIRECT($B$5&amp;"生成成长"),4))/(VLOOKUP(E$72,INDIRECT($C$5&amp;"生成成长"),5))*(VLOOKUP($B$5,标准坦克设计!$B$24:$U$30,MATCH("对"&amp;LEFT($C$5,2)&amp;"输出",标准坦克设计!$B$23:$U$23,0)))*(VLOOKUP($B221,INDIRECT($B$5&amp;"生成成长"),3))*(VLOOKUP($B$5,标准坦克设计!$B$14:$K$20,9)/30))</f>
        <v>1.2758595237733239</v>
      </c>
      <c r="F221" s="172">
        <f ca="1">(VLOOKUP(F$72,INDIRECT($C$5&amp;"生成成长"),2))/((VLOOKUP($B221,INDIRECT($B$5&amp;"生成成长"),4))/(VLOOKUP(F$72,INDIRECT($C$5&amp;"生成成长"),5))*(VLOOKUP($B$5,标准坦克设计!$B$24:$U$30,MATCH("对"&amp;LEFT($C$5,2)&amp;"输出",标准坦克设计!$B$23:$U$23,0)))*(VLOOKUP($B221,INDIRECT($B$5&amp;"生成成长"),3))*(VLOOKUP($B$5,标准坦克设计!$B$14:$K$20,9)/30))</f>
        <v>1.4162203451068049</v>
      </c>
      <c r="G221" s="172">
        <f ca="1">(VLOOKUP(G$72,INDIRECT($C$5&amp;"生成成长"),2))/((VLOOKUP($B221,INDIRECT($B$5&amp;"生成成长"),4))/(VLOOKUP(G$72,INDIRECT($C$5&amp;"生成成长"),5))*(VLOOKUP($B$5,标准坦克设计!$B$24:$U$30,MATCH("对"&amp;LEFT($C$5,2)&amp;"输出",标准坦克设计!$B$23:$U$23,0)))*(VLOOKUP($B221,INDIRECT($B$5&amp;"生成成长"),3))*(VLOOKUP($B$5,标准坦克设计!$B$14:$K$20,9)/30))</f>
        <v>1.5639043397272501</v>
      </c>
      <c r="H221" s="172">
        <f ca="1">(VLOOKUP(H$72,INDIRECT($C$5&amp;"生成成长"),2))/((VLOOKUP($B221,INDIRECT($B$5&amp;"生成成长"),4))/(VLOOKUP(H$72,INDIRECT($C$5&amp;"生成成长"),5))*(VLOOKUP($B$5,标准坦克设计!$B$24:$U$30,MATCH("对"&amp;LEFT($C$5,2)&amp;"输出",标准坦克设计!$B$23:$U$23,0)))*(VLOOKUP($B221,INDIRECT($B$5&amp;"生成成长"),3))*(VLOOKUP($B$5,标准坦克设计!$B$14:$K$20,9)/30))</f>
        <v>1.3686197187415376</v>
      </c>
      <c r="I221" s="172">
        <f ca="1">(VLOOKUP(I$72,INDIRECT($C$5&amp;"生成成长"),2))/((VLOOKUP($B221,INDIRECT($B$5&amp;"生成成长"),4))/(VLOOKUP(I$72,INDIRECT($C$5&amp;"生成成长"),5))*(VLOOKUP($B$5,标准坦克设计!$B$24:$U$30,MATCH("对"&amp;LEFT($C$5,2)&amp;"输出",标准坦克设计!$B$23:$U$23,0)))*(VLOOKUP($B221,INDIRECT($B$5&amp;"生成成长"),3))*(VLOOKUP($B$5,标准坦克设计!$B$14:$K$20,9)/30))</f>
        <v>1.5639043397272501</v>
      </c>
      <c r="J221" s="172">
        <f ca="1">(VLOOKUP(J$72,INDIRECT($C$5&amp;"生成成长"),2))/((VLOOKUP($B221,INDIRECT($B$5&amp;"生成成长"),4))/(VLOOKUP(J$72,INDIRECT($C$5&amp;"生成成长"),5))*(VLOOKUP($B$5,标准坦克设计!$B$24:$U$30,MATCH("对"&amp;LEFT($C$5,2)&amp;"输出",标准坦克设计!$B$23:$U$23,0)))*(VLOOKUP($B221,INDIRECT($B$5&amp;"生成成长"),3))*(VLOOKUP($B$5,标准坦克设计!$B$14:$K$20,9)/30))</f>
        <v>1.7722079354453439</v>
      </c>
      <c r="K221" s="172">
        <f ca="1">(VLOOKUP(K$72,INDIRECT($C$5&amp;"生成成长"),2))/((VLOOKUP($B221,INDIRECT($B$5&amp;"生成成长"),4))/(VLOOKUP(K$72,INDIRECT($C$5&amp;"生成成长"),5))*(VLOOKUP($B$5,标准坦克设计!$B$24:$U$30,MATCH("对"&amp;LEFT($C$5,2)&amp;"输出",标准坦克设计!$B$23:$U$23,0)))*(VLOOKUP($B221,INDIRECT($B$5&amp;"生成成长"),3))*(VLOOKUP($B$5,标准坦克设计!$B$14:$K$20,9)/30))</f>
        <v>1.9935305058958188</v>
      </c>
      <c r="L221" s="172">
        <f ca="1">(VLOOKUP(L$72,INDIRECT($C$5&amp;"生成成长"),2))/((VLOOKUP($B221,INDIRECT($B$5&amp;"生成成长"),4))/(VLOOKUP(L$72,INDIRECT($C$5&amp;"生成成长"),5))*(VLOOKUP($B$5,标准坦克设计!$B$24:$U$30,MATCH("对"&amp;LEFT($C$5,2)&amp;"输出",标准坦克设计!$B$23:$U$23,0)))*(VLOOKUP($B221,INDIRECT($B$5&amp;"生成成长"),3))*(VLOOKUP($B$5,标准坦克设计!$B$14:$K$20,9)/30))</f>
        <v>2.2278720510786738</v>
      </c>
      <c r="M221" s="172">
        <f ca="1">(VLOOKUP(M$72,INDIRECT($C$5&amp;"生成成长"),2))/((VLOOKUP($B221,INDIRECT($B$5&amp;"生成成长"),4))/(VLOOKUP(M$72,INDIRECT($C$5&amp;"生成成长"),5))*(VLOOKUP($B$5,标准坦克设计!$B$24:$U$30,MATCH("对"&amp;LEFT($C$5,2)&amp;"输出",标准坦克设计!$B$23:$U$23,0)))*(VLOOKUP($B221,INDIRECT($B$5&amp;"生成成长"),3))*(VLOOKUP($B$5,标准坦克设计!$B$14:$K$20,9)/30))</f>
        <v>2.4752325709939105</v>
      </c>
      <c r="N221" s="172">
        <f ca="1">(VLOOKUP(N$72,INDIRECT($C$5&amp;"生成成长"),2))/((VLOOKUP($B221,INDIRECT($B$5&amp;"生成成长"),4))/(VLOOKUP(N$72,INDIRECT($C$5&amp;"生成成长"),5))*(VLOOKUP($B$5,标准坦克设计!$B$24:$U$30,MATCH("对"&amp;LEFT($C$5,2)&amp;"输出",标准坦克设计!$B$23:$U$23,0)))*(VLOOKUP($B221,INDIRECT($B$5&amp;"生成成长"),3))*(VLOOKUP($B$5,标准坦克设计!$B$14:$K$20,9)/30))</f>
        <v>2.735612065641527</v>
      </c>
      <c r="O221" s="172">
        <f ca="1">(VLOOKUP(O$72,INDIRECT($C$5&amp;"生成成长"),2))/((VLOOKUP($B221,INDIRECT($B$5&amp;"生成成长"),4))/(VLOOKUP(O$72,INDIRECT($C$5&amp;"生成成长"),5))*(VLOOKUP($B$5,标准坦克设计!$B$24:$U$30,MATCH("对"&amp;LEFT($C$5,2)&amp;"输出",标准坦克设计!$B$23:$U$23,0)))*(VLOOKUP($B221,INDIRECT($B$5&amp;"生成成长"),3))*(VLOOKUP($B$5,标准坦克设计!$B$14:$K$20,9)/30))</f>
        <v>2.0798829242379386</v>
      </c>
      <c r="P221" s="172">
        <f ca="1">(VLOOKUP(P$72,INDIRECT($C$5&amp;"生成成长"),2))/((VLOOKUP($B221,INDIRECT($B$5&amp;"生成成长"),4))/(VLOOKUP(P$72,INDIRECT($C$5&amp;"生成成长"),5))*(VLOOKUP($B$5,标准坦克设计!$B$24:$U$30,MATCH("对"&amp;LEFT($C$5,2)&amp;"输出",标准坦克设计!$B$23:$U$23,0)))*(VLOOKUP($B221,INDIRECT($B$5&amp;"生成成长"),3))*(VLOOKUP($B$5,标准坦克设计!$B$14:$K$20,9)/30))</f>
        <v>2.3499249391947448</v>
      </c>
      <c r="Q221" s="172">
        <f ca="1">(VLOOKUP(Q$72,INDIRECT($C$5&amp;"生成成长"),2))/((VLOOKUP($B221,INDIRECT($B$5&amp;"生成成长"),4))/(VLOOKUP(Q$72,INDIRECT($C$5&amp;"生成成长"),5))*(VLOOKUP($B$5,标准坦克设计!$B$24:$U$30,MATCH("对"&amp;LEFT($C$5,2)&amp;"输出",标准坦克设计!$B$23:$U$23,0)))*(VLOOKUP($B221,INDIRECT($B$5&amp;"生成成长"),3))*(VLOOKUP($B$5,标准坦克设计!$B$14:$K$20,9)/30))</f>
        <v>2.6364440940472198</v>
      </c>
      <c r="R221" s="172">
        <f ca="1">(VLOOKUP(R$72,INDIRECT($C$5&amp;"生成成长"),2))/((VLOOKUP($B221,INDIRECT($B$5&amp;"生成成长"),4))/(VLOOKUP(R$72,INDIRECT($C$5&amp;"生成成长"),5))*(VLOOKUP($B$5,标准坦克设计!$B$24:$U$30,MATCH("对"&amp;LEFT($C$5,2)&amp;"输出",标准坦克设计!$B$23:$U$23,0)))*(VLOOKUP($B221,INDIRECT($B$5&amp;"生成成长"),3))*(VLOOKUP($B$5,标准坦克设计!$B$14:$K$20,9)/30))</f>
        <v>2.9394403887953646</v>
      </c>
      <c r="S221" s="172">
        <f ca="1">(VLOOKUP(S$72,INDIRECT($C$5&amp;"生成成长"),2))/((VLOOKUP($B221,INDIRECT($B$5&amp;"生成成长"),4))/(VLOOKUP(S$72,INDIRECT($C$5&amp;"生成成长"),5))*(VLOOKUP($B$5,标准坦克设计!$B$24:$U$30,MATCH("对"&amp;LEFT($C$5,2)&amp;"输出",标准坦克设计!$B$23:$U$23,0)))*(VLOOKUP($B221,INDIRECT($B$5&amp;"生成成长"),3))*(VLOOKUP($B$5,标准坦克设计!$B$14:$K$20,9)/30))</f>
        <v>3.2589138234391797</v>
      </c>
      <c r="T221" s="172">
        <f ca="1">(VLOOKUP(T$72,INDIRECT($C$5&amp;"生成成长"),2))/((VLOOKUP($B221,INDIRECT($B$5&amp;"生成成长"),4))/(VLOOKUP(T$72,INDIRECT($C$5&amp;"生成成长"),5))*(VLOOKUP($B$5,标准坦克设计!$B$24:$U$30,MATCH("对"&amp;LEFT($C$5,2)&amp;"输出",标准坦克设计!$B$23:$U$23,0)))*(VLOOKUP($B221,INDIRECT($B$5&amp;"生成成长"),3))*(VLOOKUP($B$5,标准坦克设计!$B$14:$K$20,9)/30))</f>
        <v>3.5948643979786641</v>
      </c>
      <c r="U221" s="172">
        <f ca="1">(VLOOKUP(U$72,INDIRECT($C$5&amp;"生成成长"),2))/((VLOOKUP($B221,INDIRECT($B$5&amp;"生成成长"),4))/(VLOOKUP(U$72,INDIRECT($C$5&amp;"生成成长"),5))*(VLOOKUP($B$5,标准坦克设计!$B$24:$U$30,MATCH("对"&amp;LEFT($C$5,2)&amp;"输出",标准坦克设计!$B$23:$U$23,0)))*(VLOOKUP($B221,INDIRECT($B$5&amp;"生成成长"),3))*(VLOOKUP($B$5,标准坦克设计!$B$14:$K$20,9)/30))</f>
        <v>3.9472921124138174</v>
      </c>
      <c r="V221" s="172">
        <f ca="1">(VLOOKUP(V$72,INDIRECT($C$5&amp;"生成成长"),2))/((VLOOKUP($B221,INDIRECT($B$5&amp;"生成成长"),4))/(VLOOKUP(V$72,INDIRECT($C$5&amp;"生成成长"),5))*(VLOOKUP($B$5,标准坦克设计!$B$24:$U$30,MATCH("对"&amp;LEFT($C$5,2)&amp;"输出",标准坦克设计!$B$23:$U$23,0)))*(VLOOKUP($B221,INDIRECT($B$5&amp;"生成成长"),3))*(VLOOKUP($B$5,标准坦克设计!$B$14:$K$20,9)/30))</f>
        <v>4.3161969667446405</v>
      </c>
      <c r="W221" s="172">
        <f ca="1">(VLOOKUP(W$72,INDIRECT($C$5&amp;"生成成长"),2))/((VLOOKUP($B221,INDIRECT($B$5&amp;"生成成长"),4))/(VLOOKUP(W$72,INDIRECT($C$5&amp;"生成成长"),5))*(VLOOKUP($B$5,标准坦克设计!$B$24:$U$30,MATCH("对"&amp;LEFT($C$5,2)&amp;"输出",标准坦克设计!$B$23:$U$23,0)))*(VLOOKUP($B221,INDIRECT($B$5&amp;"生成成长"),3))*(VLOOKUP($B$5,标准坦克设计!$B$14:$K$20,9)/30))</f>
        <v>4.7015789609711334</v>
      </c>
      <c r="X221" s="172">
        <f ca="1">(VLOOKUP(X$72,INDIRECT($C$5&amp;"生成成长"),2))/((VLOOKUP($B221,INDIRECT($B$5&amp;"生成成长"),4))/(VLOOKUP(X$72,INDIRECT($C$5&amp;"生成成长"),5))*(VLOOKUP($B$5,标准坦克设计!$B$24:$U$30,MATCH("对"&amp;LEFT($C$5,2)&amp;"输出",标准坦克设计!$B$23:$U$23,0)))*(VLOOKUP($B221,INDIRECT($B$5&amp;"生成成长"),3))*(VLOOKUP($B$5,标准坦克设计!$B$14:$K$20,9)/30))</f>
        <v>3.4061909750992383</v>
      </c>
      <c r="Y221" s="172">
        <f ca="1">(VLOOKUP(Y$72,INDIRECT($C$5&amp;"生成成长"),2))/((VLOOKUP($B221,INDIRECT($B$5&amp;"生成成长"),4))/(VLOOKUP(Y$72,INDIRECT($C$5&amp;"生成成长"),5))*(VLOOKUP($B$5,标准坦克设计!$B$24:$U$30,MATCH("对"&amp;LEFT($C$5,2)&amp;"输出",标准坦克设计!$B$23:$U$23,0)))*(VLOOKUP($B221,INDIRECT($B$5&amp;"生成成长"),3))*(VLOOKUP($B$5,标准坦克设计!$B$14:$K$20,9)/30))</f>
        <v>3.7886233578629258</v>
      </c>
      <c r="Z221" s="172">
        <f ca="1">(VLOOKUP(Z$72,INDIRECT($C$5&amp;"生成成长"),2))/((VLOOKUP($B221,INDIRECT($B$5&amp;"生成成长"),4))/(VLOOKUP(Z$72,INDIRECT($C$5&amp;"生成成长"),5))*(VLOOKUP($B$5,标准坦克设计!$B$24:$U$30,MATCH("对"&amp;LEFT($C$5,2)&amp;"输出",标准坦克设计!$B$23:$U$23,0)))*(VLOOKUP($B221,INDIRECT($B$5&amp;"生成成长"),3))*(VLOOKUP($B$5,标准坦克设计!$B$14:$K$20,9)/30))</f>
        <v>4.191397888645958</v>
      </c>
      <c r="AA221" s="172">
        <f ca="1">(VLOOKUP(AA$72,INDIRECT($C$5&amp;"生成成长"),2))/((VLOOKUP($B221,INDIRECT($B$5&amp;"生成成长"),4))/(VLOOKUP(AA$72,INDIRECT($C$5&amp;"生成成长"),5))*(VLOOKUP($B$5,标准坦克设计!$B$24:$U$30,MATCH("对"&amp;LEFT($C$5,2)&amp;"输出",标准坦克设计!$B$23:$U$23,0)))*(VLOOKUP($B221,INDIRECT($B$5&amp;"生成成长"),3))*(VLOOKUP($B$5,标准坦克设计!$B$14:$K$20,9)/30))</f>
        <v>4.6145145674483361</v>
      </c>
      <c r="AB221" s="172">
        <f ca="1">(VLOOKUP(AB$72,INDIRECT($C$5&amp;"生成成长"),2))/((VLOOKUP($B221,INDIRECT($B$5&amp;"生成成长"),4))/(VLOOKUP(AB$72,INDIRECT($C$5&amp;"生成成长"),5))*(VLOOKUP($B$5,标准坦克设计!$B$24:$U$30,MATCH("对"&amp;LEFT($C$5,2)&amp;"输出",标准坦克设计!$B$23:$U$23,0)))*(VLOOKUP($B221,INDIRECT($B$5&amp;"生成成长"),3))*(VLOOKUP($B$5,标准坦克设计!$B$14:$K$20,9)/30))</f>
        <v>5.0579733942700598</v>
      </c>
      <c r="AC221" s="172">
        <f ca="1">(VLOOKUP(AC$72,INDIRECT($C$5&amp;"生成成长"),2))/((VLOOKUP($B221,INDIRECT($B$5&amp;"生成成长"),4))/(VLOOKUP(AC$72,INDIRECT($C$5&amp;"生成成长"),5))*(VLOOKUP($B$5,标准坦克设计!$B$24:$U$30,MATCH("对"&amp;LEFT($C$5,2)&amp;"输出",标准坦克设计!$B$23:$U$23,0)))*(VLOOKUP($B221,INDIRECT($B$5&amp;"生成成长"),3))*(VLOOKUP($B$5,标准坦克设计!$B$14:$K$20,9)/30))</f>
        <v>5.5217743691111263</v>
      </c>
      <c r="AD221" s="172">
        <f ca="1">(VLOOKUP(AD$72,INDIRECT($C$5&amp;"生成成长"),2))/((VLOOKUP($B221,INDIRECT($B$5&amp;"生成成长"),4))/(VLOOKUP(AD$72,INDIRECT($C$5&amp;"生成成长"),5))*(VLOOKUP($B$5,标准坦克设计!$B$24:$U$30,MATCH("对"&amp;LEFT($C$5,2)&amp;"输出",标准坦克设计!$B$23:$U$23,0)))*(VLOOKUP($B221,INDIRECT($B$5&amp;"生成成长"),3))*(VLOOKUP($B$5,标准坦克设计!$B$14:$K$20,9)/30))</f>
        <v>6.0059174919715401</v>
      </c>
      <c r="AE221" s="172">
        <f ca="1">(VLOOKUP(AE$72,INDIRECT($C$5&amp;"生成成长"),2))/((VLOOKUP($B221,INDIRECT($B$5&amp;"生成成长"),4))/(VLOOKUP(AE$72,INDIRECT($C$5&amp;"生成成长"),5))*(VLOOKUP($B$5,标准坦克设计!$B$24:$U$30,MATCH("对"&amp;LEFT($C$5,2)&amp;"输出",标准坦克设计!$B$23:$U$23,0)))*(VLOOKUP($B221,INDIRECT($B$5&amp;"生成成长"),3))*(VLOOKUP($B$5,标准坦克设计!$B$14:$K$20,9)/30))</f>
        <v>6.5104027628512986</v>
      </c>
      <c r="AF221" s="172">
        <f ca="1">(VLOOKUP(AF$72,INDIRECT($C$5&amp;"生成成长"),2))/((VLOOKUP($B221,INDIRECT($B$5&amp;"生成成长"),4))/(VLOOKUP(AF$72,INDIRECT($C$5&amp;"生成成长"),5))*(VLOOKUP($B$5,标准坦克设计!$B$24:$U$30,MATCH("对"&amp;LEFT($C$5,2)&amp;"输出",标准坦克设计!$B$23:$U$23,0)))*(VLOOKUP($B221,INDIRECT($B$5&amp;"生成成长"),3))*(VLOOKUP($B$5,标准坦克设计!$B$14:$K$20,9)/30))</f>
        <v>7.0352301817504017</v>
      </c>
      <c r="AG221" s="172">
        <f ca="1">(VLOOKUP(AG$72,INDIRECT($C$5&amp;"生成成长"),2))/((VLOOKUP($B221,INDIRECT($B$5&amp;"生成成长"),4))/(VLOOKUP(AG$72,INDIRECT($C$5&amp;"生成成长"),5))*(VLOOKUP($B$5,标准坦克设计!$B$24:$U$30,MATCH("对"&amp;LEFT($C$5,2)&amp;"输出",标准坦克设计!$B$23:$U$23,0)))*(VLOOKUP($B221,INDIRECT($B$5&amp;"生成成长"),3))*(VLOOKUP($B$5,标准坦克设计!$B$14:$K$20,9)/30))</f>
        <v>7.5803997486688495</v>
      </c>
      <c r="AH221" s="172">
        <f ca="1">(VLOOKUP(AH$72,INDIRECT($C$5&amp;"生成成长"),2))/((VLOOKUP($B221,INDIRECT($B$5&amp;"生成成长"),4))/(VLOOKUP(AH$72,INDIRECT($C$5&amp;"生成成长"),5))*(VLOOKUP($B$5,标准坦克设计!$B$24:$U$30,MATCH("对"&amp;LEFT($C$5,2)&amp;"输出",标准坦克设计!$B$23:$U$23,0)))*(VLOOKUP($B221,INDIRECT($B$5&amp;"生成成长"),3))*(VLOOKUP($B$5,标准坦克设计!$B$14:$K$20,9)/30))</f>
        <v>8.1459114636066428</v>
      </c>
      <c r="AI221" s="172">
        <f ca="1">(VLOOKUP(AI$72,INDIRECT($C$5&amp;"生成成长"),2))/((VLOOKUP($B221,INDIRECT($B$5&amp;"生成成长"),4))/(VLOOKUP(AI$72,INDIRECT($C$5&amp;"生成成长"),5))*(VLOOKUP($B$5,标准坦克设计!$B$24:$U$30,MATCH("对"&amp;LEFT($C$5,2)&amp;"输出",标准坦克设计!$B$23:$U$23,0)))*(VLOOKUP($B221,INDIRECT($B$5&amp;"生成成长"),3))*(VLOOKUP($B$5,标准坦克设计!$B$14:$K$20,9)/30))</f>
        <v>5.7613031620389155</v>
      </c>
      <c r="AJ221" s="172">
        <f ca="1">(VLOOKUP(AJ$72,INDIRECT($C$5&amp;"生成成长"),2))/((VLOOKUP($B221,INDIRECT($B$5&amp;"生成成长"),4))/(VLOOKUP(AJ$72,INDIRECT($C$5&amp;"生成成长"),5))*(VLOOKUP($B$5,标准坦克设计!$B$24:$U$30,MATCH("对"&amp;LEFT($C$5,2)&amp;"输出",标准坦克设计!$B$23:$U$23,0)))*(VLOOKUP($B221,INDIRECT($B$5&amp;"生成成长"),3))*(VLOOKUP($B$5,标准坦克设计!$B$14:$K$20,9)/30))</f>
        <v>6.3061675967370743</v>
      </c>
      <c r="AK221" s="172">
        <f ca="1">(VLOOKUP(AK$72,INDIRECT($C$5&amp;"生成成长"),2))/((VLOOKUP($B221,INDIRECT($B$5&amp;"生成成长"),4))/(VLOOKUP(AK$72,INDIRECT($C$5&amp;"生成成长"),5))*(VLOOKUP($B$5,标准坦克设计!$B$24:$U$30,MATCH("对"&amp;LEFT($C$5,2)&amp;"输出",标准坦克设计!$B$23:$U$23,0)))*(VLOOKUP($B221,INDIRECT($B$5&amp;"生成成长"),3))*(VLOOKUP($B$5,标准坦克设计!$B$14:$K$20,9)/30))</f>
        <v>6.8756460305386398</v>
      </c>
      <c r="AL221" s="172">
        <f ca="1">(VLOOKUP(AL$72,INDIRECT($C$5&amp;"生成成长"),2))/((VLOOKUP($B221,INDIRECT($B$5&amp;"生成成长"),4))/(VLOOKUP(AL$72,INDIRECT($C$5&amp;"生成成长"),5))*(VLOOKUP($B$5,标准坦克设计!$B$24:$U$30,MATCH("对"&amp;LEFT($C$5,2)&amp;"输出",标准坦克设计!$B$23:$U$23,0)))*(VLOOKUP($B221,INDIRECT($B$5&amp;"生成成长"),3))*(VLOOKUP($B$5,标准坦克设计!$B$14:$K$20,9)/30))</f>
        <v>7.4697384634436119</v>
      </c>
      <c r="AM221" s="172">
        <f ca="1">(VLOOKUP(AM$72,INDIRECT($C$5&amp;"生成成长"),2))/((VLOOKUP($B221,INDIRECT($B$5&amp;"生成成长"),4))/(VLOOKUP(AM$72,INDIRECT($C$5&amp;"生成成长"),5))*(VLOOKUP($B$5,标准坦克设计!$B$24:$U$30,MATCH("对"&amp;LEFT($C$5,2)&amp;"输出",标准坦克设计!$B$23:$U$23,0)))*(VLOOKUP($B221,INDIRECT($B$5&amp;"生成成长"),3))*(VLOOKUP($B$5,标准坦克设计!$B$14:$K$20,9)/30))</f>
        <v>8.0884448954519943</v>
      </c>
      <c r="AN221" s="172">
        <f ca="1">(VLOOKUP(AN$72,INDIRECT($C$5&amp;"生成成长"),2))/((VLOOKUP($B221,INDIRECT($B$5&amp;"生成成长"),4))/(VLOOKUP(AN$72,INDIRECT($C$5&amp;"生成成长"),5))*(VLOOKUP($B$5,标准坦克设计!$B$24:$U$30,MATCH("对"&amp;LEFT($C$5,2)&amp;"输出",标准坦克设计!$B$23:$U$23,0)))*(VLOOKUP($B221,INDIRECT($B$5&amp;"生成成长"),3))*(VLOOKUP($B$5,标准坦克设计!$B$14:$K$20,9)/30))</f>
        <v>8.7317653265637851</v>
      </c>
      <c r="AO221" s="172">
        <f ca="1">(VLOOKUP(AO$72,INDIRECT($C$5&amp;"生成成长"),2))/((VLOOKUP($B221,INDIRECT($B$5&amp;"生成成长"),4))/(VLOOKUP(AO$72,INDIRECT($C$5&amp;"生成成长"),5))*(VLOOKUP($B$5,标准坦克设计!$B$24:$U$30,MATCH("对"&amp;LEFT($C$5,2)&amp;"输出",标准坦克设计!$B$23:$U$23,0)))*(VLOOKUP($B221,INDIRECT($B$5&amp;"生成成长"),3))*(VLOOKUP($B$5,标准坦克设计!$B$14:$K$20,9)/30))</f>
        <v>9.3996997567789791</v>
      </c>
      <c r="AP221" s="172">
        <f ca="1">(VLOOKUP(AP$72,INDIRECT($C$5&amp;"生成成长"),2))/((VLOOKUP($B221,INDIRECT($B$5&amp;"生成成长"),4))/(VLOOKUP(AP$72,INDIRECT($C$5&amp;"生成成长"),5))*(VLOOKUP($B$5,标准坦克设计!$B$24:$U$30,MATCH("对"&amp;LEFT($C$5,2)&amp;"输出",标准坦克设计!$B$23:$U$23,0)))*(VLOOKUP($B221,INDIRECT($B$5&amp;"生成成长"),3))*(VLOOKUP($B$5,标准坦克设计!$B$14:$K$20,9)/30))</f>
        <v>10.09224818609758</v>
      </c>
      <c r="AQ221" s="172">
        <f ca="1">(VLOOKUP(AQ$72,INDIRECT($C$5&amp;"生成成长"),2))/((VLOOKUP($B221,INDIRECT($B$5&amp;"生成成长"),4))/(VLOOKUP(AQ$72,INDIRECT($C$5&amp;"生成成长"),5))*(VLOOKUP($B$5,标准坦克设计!$B$24:$U$30,MATCH("对"&amp;LEFT($C$5,2)&amp;"输出",标准坦克设计!$B$23:$U$23,0)))*(VLOOKUP($B221,INDIRECT($B$5&amp;"生成成长"),3))*(VLOOKUP($B$5,标准坦克设计!$B$14:$K$20,9)/30))</f>
        <v>10.809410614519592</v>
      </c>
      <c r="AR221" s="172">
        <f ca="1">(VLOOKUP(AR$72,INDIRECT($C$5&amp;"生成成长"),2))/((VLOOKUP($B221,INDIRECT($B$5&amp;"生成成长"),4))/(VLOOKUP(AR$72,INDIRECT($C$5&amp;"生成成长"),5))*(VLOOKUP($B$5,标准坦克设计!$B$24:$U$30,MATCH("对"&amp;LEFT($C$5,2)&amp;"输出",标准坦克设计!$B$23:$U$23,0)))*(VLOOKUP($B221,INDIRECT($B$5&amp;"生成成长"),3))*(VLOOKUP($B$5,标准坦克设计!$B$14:$K$20,9)/30))</f>
        <v>11.551187042045012</v>
      </c>
      <c r="AS221" s="172">
        <f ca="1">(VLOOKUP(AS$72,INDIRECT($C$5&amp;"生成成长"),2))/((VLOOKUP($B221,INDIRECT($B$5&amp;"生成成长"),4))/(VLOOKUP(AS$72,INDIRECT($C$5&amp;"生成成长"),5))*(VLOOKUP($B$5,标准坦克设计!$B$24:$U$30,MATCH("对"&amp;LEFT($C$5,2)&amp;"输出",标准坦克设计!$B$23:$U$23,0)))*(VLOOKUP($B221,INDIRECT($B$5&amp;"生成成长"),3))*(VLOOKUP($B$5,标准坦克设计!$B$14:$K$20,9)/30))</f>
        <v>12.317577468673839</v>
      </c>
      <c r="AT221" s="172">
        <f ca="1">(VLOOKUP(AT$72,INDIRECT($C$5&amp;"生成成长"),2))/((VLOOKUP($B221,INDIRECT($B$5&amp;"生成成长"),4))/(VLOOKUP(AT$72,INDIRECT($C$5&amp;"生成成长"),5))*(VLOOKUP($B$5,标准坦克设计!$B$24:$U$30,MATCH("对"&amp;LEFT($C$5,2)&amp;"输出",标准坦克设计!$B$23:$U$23,0)))*(VLOOKUP($B221,INDIRECT($B$5&amp;"生成成长"),3))*(VLOOKUP($B$5,标准坦克设计!$B$14:$K$20,9)/30))</f>
        <v>13.10858189440607</v>
      </c>
      <c r="AU221" s="172">
        <f ca="1">(VLOOKUP(AU$72,INDIRECT($C$5&amp;"生成成长"),2))/((VLOOKUP($B221,INDIRECT($B$5&amp;"生成成长"),4))/(VLOOKUP(AU$72,INDIRECT($C$5&amp;"生成成长"),5))*(VLOOKUP($B$5,标准坦克设计!$B$24:$U$30,MATCH("对"&amp;LEFT($C$5,2)&amp;"输出",标准坦克设计!$B$23:$U$23,0)))*(VLOOKUP($B221,INDIRECT($B$5&amp;"生成成长"),3))*(VLOOKUP($B$5,标准坦克设计!$B$14:$K$20,9)/30))</f>
        <v>13.924200319241711</v>
      </c>
      <c r="AV221" s="172">
        <f ca="1">(VLOOKUP(AV$72,INDIRECT($C$5&amp;"生成成长"),2))/((VLOOKUP($B221,INDIRECT($B$5&amp;"生成成长"),4))/(VLOOKUP(AV$72,INDIRECT($C$5&amp;"生成成长"),5))*(VLOOKUP($B$5,标准坦克设计!$B$24:$U$30,MATCH("对"&amp;LEFT($C$5,2)&amp;"输出",标准坦克设计!$B$23:$U$23,0)))*(VLOOKUP($B221,INDIRECT($B$5&amp;"生成成长"),3))*(VLOOKUP($B$5,标准坦克设计!$B$14:$K$20,9)/30))</f>
        <v>1.4162203451068049</v>
      </c>
      <c r="AW221" s="172">
        <f ca="1">(VLOOKUP(AW$72,INDIRECT($C$5&amp;"生成成长"),2))/((VLOOKUP($B221,INDIRECT($B$5&amp;"生成成长"),4))/(VLOOKUP(AW$72,INDIRECT($C$5&amp;"生成成长"),5))*(VLOOKUP($B$5,标准坦克设计!$B$24:$U$30,MATCH("对"&amp;LEFT($C$5,2)&amp;"输出",标准坦克设计!$B$23:$U$23,0)))*(VLOOKUP($B221,INDIRECT($B$5&amp;"生成成长"),3))*(VLOOKUP($B$5,标准坦克设计!$B$14:$K$20,9)/30))</f>
        <v>1.614759709775613</v>
      </c>
      <c r="AX221" s="172">
        <f ca="1">(VLOOKUP(AX$72,INDIRECT($C$5&amp;"生成成长"),2))/((VLOOKUP($B221,INDIRECT($B$5&amp;"生成成长"),4))/(VLOOKUP(AX$72,INDIRECT($C$5&amp;"生成成长"),5))*(VLOOKUP($B$5,标准坦克设计!$B$24:$U$30,MATCH("对"&amp;LEFT($C$5,2)&amp;"输出",标准坦克设计!$B$23:$U$23,0)))*(VLOOKUP($B221,INDIRECT($B$5&amp;"生成成长"),3))*(VLOOKUP($B$5,标准坦克设计!$B$14:$K$20,9)/30))</f>
        <v>1.8263180491768021</v>
      </c>
      <c r="AY221" s="172">
        <f ca="1">(VLOOKUP(AY$72,INDIRECT($C$5&amp;"生成成长"),2))/((VLOOKUP($B221,INDIRECT($B$5&amp;"生成成长"),4))/(VLOOKUP(AY$72,INDIRECT($C$5&amp;"生成成长"),5))*(VLOOKUP($B$5,标准坦克设计!$B$24:$U$30,MATCH("对"&amp;LEFT($C$5,2)&amp;"输出",标准坦克设计!$B$23:$U$23,0)))*(VLOOKUP($B221,INDIRECT($B$5&amp;"生成成长"),3))*(VLOOKUP($B$5,标准坦克设计!$B$14:$K$20,9)/30))</f>
        <v>2.0508953633103717</v>
      </c>
      <c r="AZ221" s="172">
        <f ca="1">(VLOOKUP(AZ$72,INDIRECT($C$5&amp;"生成成长"),2))/((VLOOKUP($B221,INDIRECT($B$5&amp;"生成成长"),4))/(VLOOKUP(AZ$72,INDIRECT($C$5&amp;"生成成长"),5))*(VLOOKUP($B$5,标准坦克设计!$B$24:$U$30,MATCH("对"&amp;LEFT($C$5,2)&amp;"输出",标准坦克设计!$B$23:$U$23,0)))*(VLOOKUP($B221,INDIRECT($B$5&amp;"生成成长"),3))*(VLOOKUP($B$5,标准坦克设计!$B$14:$K$20,9)/30))</f>
        <v>2.2884916521763219</v>
      </c>
      <c r="BA221" s="172">
        <f ca="1">(VLOOKUP(BA$72,INDIRECT($C$5&amp;"生成成长"),2))/((VLOOKUP($B221,INDIRECT($B$5&amp;"生成成长"),4))/(VLOOKUP(BA$72,INDIRECT($C$5&amp;"生成成长"),5))*(VLOOKUP($B$5,标准坦克设计!$B$24:$U$30,MATCH("对"&amp;LEFT($C$5,2)&amp;"输出",标准坦克设计!$B$23:$U$23,0)))*(VLOOKUP($B221,INDIRECT($B$5&amp;"生成成长"),3))*(VLOOKUP($B$5,标准坦克设计!$B$14:$K$20,9)/30))</f>
        <v>2.5391069157746533</v>
      </c>
      <c r="BB221" s="172">
        <f ca="1">(VLOOKUP(BB$72,INDIRECT($C$5&amp;"生成成长"),2))/((VLOOKUP($B221,INDIRECT($B$5&amp;"生成成长"),4))/(VLOOKUP(BB$72,INDIRECT($C$5&amp;"生成成长"),5))*(VLOOKUP($B$5,标准坦克设计!$B$24:$U$30,MATCH("对"&amp;LEFT($C$5,2)&amp;"输出",标准坦克设计!$B$23:$U$23,0)))*(VLOOKUP($B221,INDIRECT($B$5&amp;"生成成长"),3))*(VLOOKUP($B$5,标准坦克设计!$B$14:$K$20,9)/30))</f>
        <v>2.8027411541053664</v>
      </c>
      <c r="BC221" s="172">
        <f ca="1">(VLOOKUP(BC$72,INDIRECT($C$5&amp;"生成成长"),2))/((VLOOKUP($B221,INDIRECT($B$5&amp;"生成成长"),4))/(VLOOKUP(BC$72,INDIRECT($C$5&amp;"生成成长"),5))*(VLOOKUP($B$5,标准坦克设计!$B$24:$U$30,MATCH("对"&amp;LEFT($C$5,2)&amp;"输出",标准坦克设计!$B$23:$U$23,0)))*(VLOOKUP($B221,INDIRECT($B$5&amp;"生成成长"),3))*(VLOOKUP($B$5,标准坦克设计!$B$14:$K$20,9)/30))</f>
        <v>3.0793943671684598</v>
      </c>
      <c r="BD221" s="172">
        <f ca="1">(VLOOKUP(BD$72,INDIRECT($C$5&amp;"生成成长"),2))/((VLOOKUP($B221,INDIRECT($B$5&amp;"生成成长"),4))/(VLOOKUP(BD$72,INDIRECT($C$5&amp;"生成成长"),5))*(VLOOKUP($B$5,标准坦克设计!$B$24:$U$30,MATCH("对"&amp;LEFT($C$5,2)&amp;"输出",标准坦克设计!$B$23:$U$23,0)))*(VLOOKUP($B221,INDIRECT($B$5&amp;"生成成长"),3))*(VLOOKUP($B$5,标准坦克设计!$B$14:$K$20,9)/30))</f>
        <v>3.4061909750992383</v>
      </c>
      <c r="BE221" s="172">
        <f ca="1">(VLOOKUP(BE$72,INDIRECT($C$5&amp;"生成成长"),2))/((VLOOKUP($B221,INDIRECT($B$5&amp;"生成成长"),4))/(VLOOKUP(BE$72,INDIRECT($C$5&amp;"生成成长"),5))*(VLOOKUP($B$5,标准坦克设计!$B$24:$U$30,MATCH("对"&amp;LEFT($C$5,2)&amp;"输出",标准坦克设计!$B$23:$U$23,0)))*(VLOOKUP($B221,INDIRECT($B$5&amp;"生成成长"),3))*(VLOOKUP($B$5,标准坦克设计!$B$14:$K$20,9)/30))</f>
        <v>3.7494647229256866</v>
      </c>
      <c r="BF221" s="172">
        <f ca="1">(VLOOKUP(BF$72,INDIRECT($C$5&amp;"生成成长"),2))/((VLOOKUP($B221,INDIRECT($B$5&amp;"生成成长"),4))/(VLOOKUP(BF$72,INDIRECT($C$5&amp;"生成成长"),5))*(VLOOKUP($B$5,标准坦克设计!$B$24:$U$30,MATCH("对"&amp;LEFT($C$5,2)&amp;"输出",标准坦克设计!$B$23:$U$23,0)))*(VLOOKUP($B221,INDIRECT($B$5&amp;"生成成长"),3))*(VLOOKUP($B$5,标准坦克设计!$B$14:$K$20,9)/30))</f>
        <v>4.1092156106478042</v>
      </c>
      <c r="BG221" s="172">
        <f ca="1">(VLOOKUP(BG$72,INDIRECT($C$5&amp;"生成成长"),2))/((VLOOKUP($B221,INDIRECT($B$5&amp;"生成成长"),4))/(VLOOKUP(BG$72,INDIRECT($C$5&amp;"生成成长"),5))*(VLOOKUP($B$5,标准坦克设计!$B$24:$U$30,MATCH("对"&amp;LEFT($C$5,2)&amp;"输出",标准坦克设计!$B$23:$U$23,0)))*(VLOOKUP($B221,INDIRECT($B$5&amp;"生成成长"),3))*(VLOOKUP($B$5,标准坦克设计!$B$14:$K$20,9)/30))</f>
        <v>4.4854436382655916</v>
      </c>
      <c r="BH221" s="172">
        <f ca="1">(VLOOKUP(BH$72,INDIRECT($C$5&amp;"生成成长"),2))/((VLOOKUP($B221,INDIRECT($B$5&amp;"生成成长"),4))/(VLOOKUP(BH$72,INDIRECT($C$5&amp;"生成成长"),5))*(VLOOKUP($B$5,标准坦克设计!$B$24:$U$30,MATCH("对"&amp;LEFT($C$5,2)&amp;"输出",标准坦克设计!$B$23:$U$23,0)))*(VLOOKUP($B221,INDIRECT($B$5&amp;"生成成长"),3))*(VLOOKUP($B$5,标准坦克设计!$B$14:$K$20,9)/30))</f>
        <v>2.1680661359017996</v>
      </c>
      <c r="BI221" s="172">
        <f ca="1">(VLOOKUP(BI$72,INDIRECT($C$5&amp;"生成成长"),2))/((VLOOKUP($B221,INDIRECT($B$5&amp;"生成成长"),4))/(VLOOKUP(BI$72,INDIRECT($C$5&amp;"生成成长"),5))*(VLOOKUP($B$5,标准坦克设计!$B$24:$U$30,MATCH("对"&amp;LEFT($C$5,2)&amp;"输出",标准坦克设计!$B$23:$U$23,0)))*(VLOOKUP($B221,INDIRECT($B$5&amp;"生成成长"),3))*(VLOOKUP($B$5,标准坦克设计!$B$14:$K$20,9)/30))</f>
        <v>2.4436005308238284</v>
      </c>
      <c r="BJ221" s="172">
        <f ca="1">(VLOOKUP(BJ$72,INDIRECT($C$5&amp;"生成成长"),2))/((VLOOKUP($B221,INDIRECT($B$5&amp;"生成成长"),4))/(VLOOKUP(BJ$72,INDIRECT($C$5&amp;"生成成长"),5))*(VLOOKUP($B$5,标准坦克设计!$B$24:$U$30,MATCH("对"&amp;LEFT($C$5,2)&amp;"输出",标准坦克设计!$B$23:$U$23,0)))*(VLOOKUP($B221,INDIRECT($B$5&amp;"生成成长"),3))*(VLOOKUP($B$5,标准坦克设计!$B$14:$K$20,9)/30))</f>
        <v>2.735612065641527</v>
      </c>
      <c r="BK221" s="172">
        <f ca="1">(VLOOKUP(BK$72,INDIRECT($C$5&amp;"生成成长"),2))/((VLOOKUP($B221,INDIRECT($B$5&amp;"生成成长"),4))/(VLOOKUP(BK$72,INDIRECT($C$5&amp;"生成成长"),5))*(VLOOKUP($B$5,标准坦克设计!$B$24:$U$30,MATCH("对"&amp;LEFT($C$5,2)&amp;"输出",标准坦克设计!$B$23:$U$23,0)))*(VLOOKUP($B221,INDIRECT($B$5&amp;"生成成长"),3))*(VLOOKUP($B$5,标准坦克设计!$B$14:$K$20,9)/30))</f>
        <v>3.0441007403548959</v>
      </c>
      <c r="BL221" s="172">
        <f ca="1">(VLOOKUP(BL$72,INDIRECT($C$5&amp;"生成成长"),2))/((VLOOKUP($B221,INDIRECT($B$5&amp;"生成成长"),4))/(VLOOKUP(BL$72,INDIRECT($C$5&amp;"生成成长"),5))*(VLOOKUP($B$5,标准坦克设计!$B$24:$U$30,MATCH("对"&amp;LEFT($C$5,2)&amp;"输出",标准坦克设计!$B$23:$U$23,0)))*(VLOOKUP($B221,INDIRECT($B$5&amp;"生成成长"),3))*(VLOOKUP($B$5,标准坦克设计!$B$14:$K$20,9)/30))</f>
        <v>3.3690665549639331</v>
      </c>
      <c r="BM221" s="172">
        <f ca="1">(VLOOKUP(BM$72,INDIRECT($C$5&amp;"生成成长"),2))/((VLOOKUP($B221,INDIRECT($B$5&amp;"生成成长"),4))/(VLOOKUP(BM$72,INDIRECT($C$5&amp;"生成成长"),5))*(VLOOKUP($B$5,标准坦克设计!$B$24:$U$30,MATCH("对"&amp;LEFT($C$5,2)&amp;"输出",标准坦克设计!$B$23:$U$23,0)))*(VLOOKUP($B221,INDIRECT($B$5&amp;"生成成长"),3))*(VLOOKUP($B$5,标准坦克设计!$B$14:$K$20,9)/30))</f>
        <v>3.7105095094686407</v>
      </c>
      <c r="BN221" s="172">
        <f ca="1">(VLOOKUP(BN$72,INDIRECT($C$5&amp;"生成成长"),2))/((VLOOKUP($B221,INDIRECT($B$5&amp;"生成成长"),4))/(VLOOKUP(BN$72,INDIRECT($C$5&amp;"生成成长"),5))*(VLOOKUP($B$5,标准坦克设计!$B$24:$U$30,MATCH("对"&amp;LEFT($C$5,2)&amp;"输出",标准坦克设计!$B$23:$U$23,0)))*(VLOOKUP($B221,INDIRECT($B$5&amp;"生成成长"),3))*(VLOOKUP($B$5,标准坦克设计!$B$14:$K$20,9)/30))</f>
        <v>4.068429603869018</v>
      </c>
      <c r="BO221" s="172">
        <f ca="1">(VLOOKUP(BO$72,INDIRECT($C$5&amp;"生成成长"),2))/((VLOOKUP($B221,INDIRECT($B$5&amp;"生成成长"),4))/(VLOOKUP(BO$72,INDIRECT($C$5&amp;"生成成长"),5))*(VLOOKUP($B$5,标准坦克设计!$B$24:$U$30,MATCH("对"&amp;LEFT($C$5,2)&amp;"输出",标准坦克设计!$B$23:$U$23,0)))*(VLOOKUP($B221,INDIRECT($B$5&amp;"生成成长"),3))*(VLOOKUP($B$5,标准坦克设计!$B$14:$K$20,9)/30))</f>
        <v>4.4428268381650637</v>
      </c>
      <c r="BP221" s="172">
        <f ca="1">(VLOOKUP(BP$72,INDIRECT($C$5&amp;"生成成长"),2))/((VLOOKUP($B221,INDIRECT($B$5&amp;"生成成长"),4))/(VLOOKUP(BP$72,INDIRECT($C$5&amp;"生成成长"),5))*(VLOOKUP($B$5,标准坦克设计!$B$24:$U$30,MATCH("对"&amp;LEFT($C$5,2)&amp;"输出",标准坦克设计!$B$23:$U$23,0)))*(VLOOKUP($B221,INDIRECT($B$5&amp;"生成成长"),3))*(VLOOKUP($B$5,标准坦克设计!$B$14:$K$20,9)/30))</f>
        <v>4.8337012123567797</v>
      </c>
      <c r="BQ221" s="172">
        <f ca="1">(VLOOKUP(BQ$72,INDIRECT($C$5&amp;"生成成长"),2))/((VLOOKUP($B221,INDIRECT($B$5&amp;"生成成长"),4))/(VLOOKUP(BQ$72,INDIRECT($C$5&amp;"生成成长"),5))*(VLOOKUP($B$5,标准坦克设计!$B$24:$U$30,MATCH("对"&amp;LEFT($C$5,2)&amp;"输出",标准坦克设计!$B$23:$U$23,0)))*(VLOOKUP($B221,INDIRECT($B$5&amp;"生成成长"),3))*(VLOOKUP($B$5,标准坦克设计!$B$14:$K$20,9)/30))</f>
        <v>5.2410527264441651</v>
      </c>
      <c r="BR221" s="172">
        <f ca="1">(VLOOKUP(BR$72,INDIRECT($C$5&amp;"生成成长"),2))/((VLOOKUP($B221,INDIRECT($B$5&amp;"生成成长"),4))/(VLOOKUP(BR$72,INDIRECT($C$5&amp;"生成成长"),5))*(VLOOKUP($B$5,标准坦克设计!$B$24:$U$30,MATCH("对"&amp;LEFT($C$5,2)&amp;"输出",标准坦克设计!$B$23:$U$23,0)))*(VLOOKUP($B221,INDIRECT($B$5&amp;"生成成长"),3))*(VLOOKUP($B$5,标准坦克设计!$B$14:$K$20,9)/30))</f>
        <v>5.7129905604929716</v>
      </c>
      <c r="BS221" s="172">
        <f ca="1">(VLOOKUP(BS$72,INDIRECT($C$5&amp;"生成成长"),2))/((VLOOKUP($B221,INDIRECT($B$5&amp;"生成成长"),4))/(VLOOKUP(BS$72,INDIRECT($C$5&amp;"生成成长"),5))*(VLOOKUP($B$5,标准坦克设计!$B$24:$U$30,MATCH("对"&amp;LEFT($C$5,2)&amp;"输出",标准坦克设计!$B$23:$U$23,0)))*(VLOOKUP($B221,INDIRECT($B$5&amp;"生成成长"),3))*(VLOOKUP($B$5,标准坦克设计!$B$14:$K$20,9)/30))</f>
        <v>6.2052705425611219</v>
      </c>
      <c r="BT221" s="172">
        <f ca="1">(VLOOKUP(BT$72,INDIRECT($C$5&amp;"生成成长"),2))/((VLOOKUP($B221,INDIRECT($B$5&amp;"生成成长"),4))/(VLOOKUP(BT$72,INDIRECT($C$5&amp;"生成成长"),5))*(VLOOKUP($B$5,标准坦克设计!$B$24:$U$30,MATCH("对"&amp;LEFT($C$5,2)&amp;"输出",标准坦克设计!$B$23:$U$23,0)))*(VLOOKUP($B221,INDIRECT($B$5&amp;"生成成长"),3))*(VLOOKUP($B$5,标准坦克设计!$B$14:$K$20,9)/30))</f>
        <v>6.7178926726486186</v>
      </c>
      <c r="BU221" s="172">
        <f ca="1">(VLOOKUP(BU$72,INDIRECT($C$5&amp;"生成成长"),2))/((VLOOKUP($B221,INDIRECT($B$5&amp;"生成成长"),4))/(VLOOKUP(BU$72,INDIRECT($C$5&amp;"生成成长"),5))*(VLOOKUP($B$5,标准坦克设计!$B$24:$U$30,MATCH("对"&amp;LEFT($C$5,2)&amp;"输出",标准坦克设计!$B$23:$U$23,0)))*(VLOOKUP($B221,INDIRECT($B$5&amp;"生成成长"),3))*(VLOOKUP($B$5,标准坦克设计!$B$14:$K$20,9)/30))</f>
        <v>7.250856950755459</v>
      </c>
      <c r="BV221" s="172">
        <f ca="1">(VLOOKUP(BV$72,INDIRECT($C$5&amp;"生成成长"),2))/((VLOOKUP($B221,INDIRECT($B$5&amp;"生成成长"),4))/(VLOOKUP(BV$72,INDIRECT($C$5&amp;"生成成长"),5))*(VLOOKUP($B$5,标准坦克设计!$B$24:$U$30,MATCH("对"&amp;LEFT($C$5,2)&amp;"输出",标准坦克设计!$B$23:$U$23,0)))*(VLOOKUP($B221,INDIRECT($B$5&amp;"生成成长"),3))*(VLOOKUP($B$5,标准坦克设计!$B$14:$K$20,9)/30))</f>
        <v>7.8041633768816459</v>
      </c>
      <c r="BW221" s="172">
        <f ca="1">(VLOOKUP(BW$72,INDIRECT($C$5&amp;"生成成长"),2))/((VLOOKUP($B221,INDIRECT($B$5&amp;"生成成长"),4))/(VLOOKUP(BW$72,INDIRECT($C$5&amp;"生成成长"),5))*(VLOOKUP($B$5,标准坦克设计!$B$24:$U$30,MATCH("对"&amp;LEFT($C$5,2)&amp;"输出",标准坦克设计!$B$23:$U$23,0)))*(VLOOKUP($B221,INDIRECT($B$5&amp;"生成成长"),3))*(VLOOKUP($B$5,标准坦克设计!$B$14:$K$20,9)/30))</f>
        <v>3.5567228704423921</v>
      </c>
      <c r="BX221" s="172">
        <f ca="1">(VLOOKUP(BX$72,INDIRECT($C$5&amp;"生成成长"),2))/((VLOOKUP($B221,INDIRECT($B$5&amp;"生成成长"),4))/(VLOOKUP(BX$72,INDIRECT($C$5&amp;"生成成长"),5))*(VLOOKUP($B$5,标准坦克设计!$B$24:$U$30,MATCH("对"&amp;LEFT($C$5,2)&amp;"输出",标准坦克设计!$B$23:$U$23,0)))*(VLOOKUP($B221,INDIRECT($B$5&amp;"生成成长"),3))*(VLOOKUP($B$5,标准坦克设计!$B$14:$K$20,9)/30))</f>
        <v>3.9472921124138174</v>
      </c>
      <c r="BY221" s="172">
        <f ca="1">(VLOOKUP(BY$72,INDIRECT($C$5&amp;"生成成长"),2))/((VLOOKUP($B221,INDIRECT($B$5&amp;"生成成长"),4))/(VLOOKUP(BY$72,INDIRECT($C$5&amp;"生成成长"),5))*(VLOOKUP($B$5,标准坦克设计!$B$24:$U$30,MATCH("对"&amp;LEFT($C$5,2)&amp;"输出",标准坦克设计!$B$23:$U$23,0)))*(VLOOKUP($B221,INDIRECT($B$5&amp;"生成成长"),3))*(VLOOKUP($B$5,标准坦克设计!$B$14:$K$20,9)/30))</f>
        <v>4.3582035024045886</v>
      </c>
      <c r="BZ221" s="172">
        <f ca="1">(VLOOKUP(BZ$72,INDIRECT($C$5&amp;"生成成长"),2))/((VLOOKUP($B221,INDIRECT($B$5&amp;"生成成长"),4))/(VLOOKUP(BZ$72,INDIRECT($C$5&amp;"生成成长"),5))*(VLOOKUP($B$5,标准坦克设计!$B$24:$U$30,MATCH("对"&amp;LEFT($C$5,2)&amp;"输出",标准坦克设计!$B$23:$U$23,0)))*(VLOOKUP($B221,INDIRECT($B$5&amp;"生成成长"),3))*(VLOOKUP($B$5,标准坦克设计!$B$14:$K$20,9)/30))</f>
        <v>4.7894570404147041</v>
      </c>
      <c r="CA221" s="172">
        <f ca="1">(VLOOKUP(CA$72,INDIRECT($C$5&amp;"生成成长"),2))/((VLOOKUP($B221,INDIRECT($B$5&amp;"生成成长"),4))/(VLOOKUP(CA$72,INDIRECT($C$5&amp;"生成成长"),5))*(VLOOKUP($B$5,标准坦克设计!$B$24:$U$30,MATCH("对"&amp;LEFT($C$5,2)&amp;"输出",标准坦克设计!$B$23:$U$23,0)))*(VLOOKUP($B221,INDIRECT($B$5&amp;"生成成长"),3))*(VLOOKUP($B$5,标准坦克设计!$B$14:$K$20,9)/30))</f>
        <v>5.2410527264441651</v>
      </c>
      <c r="CB221" s="172">
        <f ca="1">(VLOOKUP(CB$72,INDIRECT($C$5&amp;"生成成长"),2))/((VLOOKUP($B221,INDIRECT($B$5&amp;"生成成长"),4))/(VLOOKUP(CB$72,INDIRECT($C$5&amp;"生成成长"),5))*(VLOOKUP($B$5,标准坦克设计!$B$24:$U$30,MATCH("对"&amp;LEFT($C$5,2)&amp;"输出",标准坦克设计!$B$23:$U$23,0)))*(VLOOKUP($B221,INDIRECT($B$5&amp;"生成成长"),3))*(VLOOKUP($B$5,标准坦克设计!$B$14:$K$20,9)/30))</f>
        <v>5.7129905604929716</v>
      </c>
      <c r="CC221" s="172">
        <f ca="1">(VLOOKUP(CC$72,INDIRECT($C$5&amp;"生成成长"),2))/((VLOOKUP($B221,INDIRECT($B$5&amp;"生成成长"),4))/(VLOOKUP(CC$72,INDIRECT($C$5&amp;"生成成长"),5))*(VLOOKUP($B$5,标准坦克设计!$B$24:$U$30,MATCH("对"&amp;LEFT($C$5,2)&amp;"输出",标准坦克设计!$B$23:$U$23,0)))*(VLOOKUP($B221,INDIRECT($B$5&amp;"生成成长"),3))*(VLOOKUP($B$5,标准坦克设计!$B$14:$K$20,9)/30))</f>
        <v>6.2052705425611219</v>
      </c>
      <c r="CD221" s="172">
        <f ca="1">(VLOOKUP(CD$72,INDIRECT($C$5&amp;"生成成长"),2))/((VLOOKUP($B221,INDIRECT($B$5&amp;"生成成长"),4))/(VLOOKUP(CD$72,INDIRECT($C$5&amp;"生成成长"),5))*(VLOOKUP($B$5,标准坦克设计!$B$24:$U$30,MATCH("对"&amp;LEFT($C$5,2)&amp;"输出",标准坦克设计!$B$23:$U$23,0)))*(VLOOKUP($B221,INDIRECT($B$5&amp;"生成成长"),3))*(VLOOKUP($B$5,标准坦克设计!$B$14:$K$20,9)/30))</f>
        <v>6.7178926726486186</v>
      </c>
      <c r="CE221" s="172">
        <f ca="1">(VLOOKUP(CE$72,INDIRECT($C$5&amp;"生成成长"),2))/((VLOOKUP($B221,INDIRECT($B$5&amp;"生成成长"),4))/(VLOOKUP(CE$72,INDIRECT($C$5&amp;"生成成长"),5))*(VLOOKUP($B$5,标准坦克设计!$B$24:$U$30,MATCH("对"&amp;LEFT($C$5,2)&amp;"输出",标准坦克设计!$B$23:$U$23,0)))*(VLOOKUP($B221,INDIRECT($B$5&amp;"生成成长"),3))*(VLOOKUP($B$5,标准坦克设计!$B$14:$K$20,9)/30))</f>
        <v>7.250856950755459</v>
      </c>
      <c r="CF221" s="172">
        <f ca="1">(VLOOKUP(CF$72,INDIRECT($C$5&amp;"生成成长"),2))/((VLOOKUP($B221,INDIRECT($B$5&amp;"生成成长"),4))/(VLOOKUP(CF$72,INDIRECT($C$5&amp;"生成成长"),5))*(VLOOKUP($B$5,标准坦克设计!$B$24:$U$30,MATCH("对"&amp;LEFT($C$5,2)&amp;"输出",标准坦克设计!$B$23:$U$23,0)))*(VLOOKUP($B221,INDIRECT($B$5&amp;"生成成长"),3))*(VLOOKUP($B$5,标准坦克设计!$B$14:$K$20,9)/30))</f>
        <v>7.8041633768816459</v>
      </c>
      <c r="CG221" s="172">
        <f ca="1">(VLOOKUP(CG$72,INDIRECT($C$5&amp;"生成成长"),2))/((VLOOKUP($B221,INDIRECT($B$5&amp;"生成成长"),4))/(VLOOKUP(CG$72,INDIRECT($C$5&amp;"生成成长"),5))*(VLOOKUP($B$5,标准坦克设计!$B$24:$U$30,MATCH("对"&amp;LEFT($C$5,2)&amp;"输出",标准坦克设计!$B$23:$U$23,0)))*(VLOOKUP($B221,INDIRECT($B$5&amp;"生成成长"),3))*(VLOOKUP($B$5,标准坦克设计!$B$14:$K$20,9)/30))</f>
        <v>8.3778119510271765</v>
      </c>
      <c r="CH221" s="172">
        <f ca="1">(VLOOKUP(CH$72,INDIRECT($C$5&amp;"生成成长"),2))/((VLOOKUP($B221,INDIRECT($B$5&amp;"生成成长"),4))/(VLOOKUP(CH$72,INDIRECT($C$5&amp;"生成成长"),5))*(VLOOKUP($B$5,标准坦克设计!$B$24:$U$30,MATCH("对"&amp;LEFT($C$5,2)&amp;"输出",标准坦克设计!$B$23:$U$23,0)))*(VLOOKUP($B221,INDIRECT($B$5&amp;"生成成长"),3))*(VLOOKUP($B$5,标准坦克设计!$B$14:$K$20,9)/30))</f>
        <v>8.9718026731920553</v>
      </c>
      <c r="CI221" s="172">
        <f ca="1">(VLOOKUP(CI$72,INDIRECT($C$5&amp;"生成成长"),2))/((VLOOKUP($B221,INDIRECT($B$5&amp;"生成成长"),4))/(VLOOKUP(CI$72,INDIRECT($C$5&amp;"生成成长"),5))*(VLOOKUP($B$5,标准坦克设计!$B$24:$U$30,MATCH("对"&amp;LEFT($C$5,2)&amp;"输出",标准坦克设计!$B$23:$U$23,0)))*(VLOOKUP($B221,INDIRECT($B$5&amp;"生成成长"),3))*(VLOOKUP($B$5,标准坦克设计!$B$14:$K$20,9)/30))</f>
        <v>9.6486876485357644</v>
      </c>
      <c r="CJ221" s="172">
        <f ca="1">(VLOOKUP(CJ$72,INDIRECT($C$5&amp;"生成成长"),2))/((VLOOKUP($B221,INDIRECT($B$5&amp;"生成成长"),4))/(VLOOKUP(CJ$72,INDIRECT($C$5&amp;"生成成长"),5))*(VLOOKUP($B$5,标准坦克设计!$B$24:$U$30,MATCH("对"&amp;LEFT($C$5,2)&amp;"输出",标准坦克设计!$B$23:$U$23,0)))*(VLOOKUP($B221,INDIRECT($B$5&amp;"生成成长"),3))*(VLOOKUP($B$5,标准坦克设计!$B$14:$K$20,9)/30))</f>
        <v>10.350186622982879</v>
      </c>
      <c r="CK221" s="172">
        <f ca="1">(VLOOKUP(CK$72,INDIRECT($C$5&amp;"生成成长"),2))/((VLOOKUP($B221,INDIRECT($B$5&amp;"生成成长"),4))/(VLOOKUP(CK$72,INDIRECT($C$5&amp;"生成成长"),5))*(VLOOKUP($B$5,标准坦克设计!$B$24:$U$30,MATCH("对"&amp;LEFT($C$5,2)&amp;"输出",标准坦克设计!$B$23:$U$23,0)))*(VLOOKUP($B221,INDIRECT($B$5&amp;"生成成长"),3))*(VLOOKUP($B$5,标准坦克设计!$B$14:$K$20,9)/30))</f>
        <v>11.076299596533401</v>
      </c>
      <c r="CL221" s="172">
        <f ca="1">(VLOOKUP(CL$72,INDIRECT($C$5&amp;"生成成长"),2))/((VLOOKUP($B221,INDIRECT($B$5&amp;"生成成长"),4))/(VLOOKUP(CL$72,INDIRECT($C$5&amp;"生成成长"),5))*(VLOOKUP($B$5,标准坦克设计!$B$24:$U$30,MATCH("对"&amp;LEFT($C$5,2)&amp;"输出",标准坦克设计!$B$23:$U$23,0)))*(VLOOKUP($B221,INDIRECT($B$5&amp;"生成成长"),3))*(VLOOKUP($B$5,标准坦克设计!$B$14:$K$20,9)/30))</f>
        <v>11.827026569187332</v>
      </c>
      <c r="CM221" s="172">
        <f ca="1">(VLOOKUP(CM$72,INDIRECT($C$5&amp;"生成成长"),2))/((VLOOKUP($B221,INDIRECT($B$5&amp;"生成成长"),4))/(VLOOKUP(CM$72,INDIRECT($C$5&amp;"生成成长"),5))*(VLOOKUP($B$5,标准坦克设计!$B$24:$U$30,MATCH("对"&amp;LEFT($C$5,2)&amp;"输出",标准坦克设计!$B$23:$U$23,0)))*(VLOOKUP($B221,INDIRECT($B$5&amp;"生成成长"),3))*(VLOOKUP($B$5,标准坦克设计!$B$14:$K$20,9)/30))</f>
        <v>12.60236754094467</v>
      </c>
      <c r="CN221" s="172">
        <f ca="1">(VLOOKUP(CN$72,INDIRECT($C$5&amp;"生成成长"),2))/((VLOOKUP($B221,INDIRECT($B$5&amp;"生成成长"),4))/(VLOOKUP(CN$72,INDIRECT($C$5&amp;"生成成长"),5))*(VLOOKUP($B$5,标准坦克设计!$B$24:$U$30,MATCH("对"&amp;LEFT($C$5,2)&amp;"输出",标准坦克设计!$B$23:$U$23,0)))*(VLOOKUP($B221,INDIRECT($B$5&amp;"生成成长"),3))*(VLOOKUP($B$5,标准坦克设计!$B$14:$K$20,9)/30))</f>
        <v>13.402322511805414</v>
      </c>
      <c r="CO221" s="172">
        <f ca="1">(VLOOKUP(CO$72,INDIRECT($C$5&amp;"生成成长"),2))/((VLOOKUP($B221,INDIRECT($B$5&amp;"生成成长"),4))/(VLOOKUP(CO$72,INDIRECT($C$5&amp;"生成成长"),5))*(VLOOKUP($B$5,标准坦克设计!$B$24:$U$30,MATCH("对"&amp;LEFT($C$5,2)&amp;"输出",标准坦克设计!$B$23:$U$23,0)))*(VLOOKUP($B221,INDIRECT($B$5&amp;"生成成长"),3))*(VLOOKUP($B$5,标准坦克设计!$B$14:$K$20,9)/30))</f>
        <v>6.0059174919715401</v>
      </c>
      <c r="CP221" s="172">
        <f ca="1">(VLOOKUP(CP$72,INDIRECT($C$5&amp;"生成成长"),2))/((VLOOKUP($B221,INDIRECT($B$5&amp;"生成成长"),4))/(VLOOKUP(CP$72,INDIRECT($C$5&amp;"生成成长"),5))*(VLOOKUP($B$5,标准坦克设计!$B$24:$U$30,MATCH("对"&amp;LEFT($C$5,2)&amp;"输出",标准坦克设计!$B$23:$U$23,0)))*(VLOOKUP($B221,INDIRECT($B$5&amp;"生成成长"),3))*(VLOOKUP($B$5,标准坦克设计!$B$14:$K$20,9)/30))</f>
        <v>6.5619701080803381</v>
      </c>
      <c r="CQ221" s="172">
        <f ca="1">(VLOOKUP(CQ$72,INDIRECT($C$5&amp;"生成成长"),2))/((VLOOKUP($B221,INDIRECT($B$5&amp;"生成成长"),4))/(VLOOKUP(CQ$72,INDIRECT($C$5&amp;"生成成长"),5))*(VLOOKUP($B$5,标准坦克设计!$B$24:$U$30,MATCH("对"&amp;LEFT($C$5,2)&amp;"输出",标准坦克设计!$B$23:$U$23,0)))*(VLOOKUP($B221,INDIRECT($B$5&amp;"生成成长"),3))*(VLOOKUP($B$5,标准坦克设计!$B$14:$K$20,9)/30))</f>
        <v>7.1426367232925436</v>
      </c>
      <c r="CR221" s="172">
        <f ca="1">(VLOOKUP(CR$72,INDIRECT($C$5&amp;"生成成长"),2))/((VLOOKUP($B221,INDIRECT($B$5&amp;"生成成长"),4))/(VLOOKUP(CR$72,INDIRECT($C$5&amp;"生成成长"),5))*(VLOOKUP($B$5,标准坦克设计!$B$24:$U$30,MATCH("对"&amp;LEFT($C$5,2)&amp;"输出",标准坦克设计!$B$23:$U$23,0)))*(VLOOKUP($B221,INDIRECT($B$5&amp;"生成成长"),3))*(VLOOKUP($B$5,标准坦克设计!$B$14:$K$20,9)/30))</f>
        <v>7.7479173376081558</v>
      </c>
      <c r="CS221" s="172">
        <f ca="1">(VLOOKUP(CS$72,INDIRECT($C$5&amp;"生成成长"),2))/((VLOOKUP($B221,INDIRECT($B$5&amp;"生成成长"),4))/(VLOOKUP(CS$72,INDIRECT($C$5&amp;"生成成长"),5))*(VLOOKUP($B$5,标准坦克设计!$B$24:$U$30,MATCH("对"&amp;LEFT($C$5,2)&amp;"输出",标准坦克设计!$B$23:$U$23,0)))*(VLOOKUP($B221,INDIRECT($B$5&amp;"生成成长"),3))*(VLOOKUP($B$5,标准坦克设计!$B$14:$K$20,9)/30))</f>
        <v>8.3778119510271765</v>
      </c>
      <c r="CT221" s="172">
        <f ca="1">(VLOOKUP(CT$72,INDIRECT($C$5&amp;"生成成长"),2))/((VLOOKUP($B221,INDIRECT($B$5&amp;"生成成长"),4))/(VLOOKUP(CT$72,INDIRECT($C$5&amp;"生成成长"),5))*(VLOOKUP($B$5,标准坦克设计!$B$24:$U$30,MATCH("对"&amp;LEFT($C$5,2)&amp;"输出",标准坦克设计!$B$23:$U$23,0)))*(VLOOKUP($B221,INDIRECT($B$5&amp;"生成成长"),3))*(VLOOKUP($B$5,标准坦克设计!$B$14:$K$20,9)/30))</f>
        <v>9.0323205635496056</v>
      </c>
      <c r="CU221" s="172">
        <f ca="1">(VLOOKUP(CU$72,INDIRECT($C$5&amp;"生成成长"),2))/((VLOOKUP($B221,INDIRECT($B$5&amp;"生成成长"),4))/(VLOOKUP(CU$72,INDIRECT($C$5&amp;"生成成长"),5))*(VLOOKUP($B$5,标准坦克设计!$B$24:$U$30,MATCH("对"&amp;LEFT($C$5,2)&amp;"输出",标准坦克设计!$B$23:$U$23,0)))*(VLOOKUP($B221,INDIRECT($B$5&amp;"生成成长"),3))*(VLOOKUP($B$5,标准坦克设计!$B$14:$K$20,9)/30))</f>
        <v>9.7114431751754413</v>
      </c>
      <c r="CV221" s="172">
        <f ca="1">(VLOOKUP(CV$72,INDIRECT($C$5&amp;"生成成长"),2))/((VLOOKUP($B221,INDIRECT($B$5&amp;"生成成长"),4))/(VLOOKUP(CV$72,INDIRECT($C$5&amp;"生成成长"),5))*(VLOOKUP($B$5,标准坦克设计!$B$24:$U$30,MATCH("对"&amp;LEFT($C$5,2)&amp;"输出",标准坦克设计!$B$23:$U$23,0)))*(VLOOKUP($B221,INDIRECT($B$5&amp;"生成成长"),3))*(VLOOKUP($B$5,标准坦克设计!$B$14:$K$20,9)/30))</f>
        <v>10.415179785904686</v>
      </c>
      <c r="CW221" s="172">
        <f ca="1">(VLOOKUP(CW$72,INDIRECT($C$5&amp;"生成成长"),2))/((VLOOKUP($B221,INDIRECT($B$5&amp;"生成成长"),4))/(VLOOKUP(CW$72,INDIRECT($C$5&amp;"生成成长"),5))*(VLOOKUP($B$5,标准坦克设计!$B$24:$U$30,MATCH("对"&amp;LEFT($C$5,2)&amp;"输出",标准坦克设计!$B$23:$U$23,0)))*(VLOOKUP($B221,INDIRECT($B$5&amp;"生成成长"),3))*(VLOOKUP($B$5,标准坦克设计!$B$14:$K$20,9)/30))</f>
        <v>11.143530395737336</v>
      </c>
      <c r="CX221" s="172">
        <f ca="1">(VLOOKUP(CX$72,INDIRECT($C$5&amp;"生成成长"),2))/((VLOOKUP($B221,INDIRECT($B$5&amp;"生成成长"),4))/(VLOOKUP(CX$72,INDIRECT($C$5&amp;"生成成长"),5))*(VLOOKUP($B$5,标准坦克设计!$B$24:$U$30,MATCH("对"&amp;LEFT($C$5,2)&amp;"输出",标准坦克设计!$B$23:$U$23,0)))*(VLOOKUP($B221,INDIRECT($B$5&amp;"生成成长"),3))*(VLOOKUP($B$5,标准坦克设计!$B$14:$K$20,9)/30))</f>
        <v>11.896495004673394</v>
      </c>
      <c r="CY221" s="172">
        <f ca="1">(VLOOKUP(CY$72,INDIRECT($C$5&amp;"生成成长"),2))/((VLOOKUP($B221,INDIRECT($B$5&amp;"生成成长"),4))/(VLOOKUP(CY$72,INDIRECT($C$5&amp;"生成成长"),5))*(VLOOKUP($B$5,标准坦克设计!$B$24:$U$30,MATCH("对"&amp;LEFT($C$5,2)&amp;"输出",标准坦克设计!$B$23:$U$23,0)))*(VLOOKUP($B221,INDIRECT($B$5&amp;"生成成长"),3))*(VLOOKUP($B$5,标准坦克设计!$B$14:$K$20,9)/30))</f>
        <v>12.67407361271286</v>
      </c>
      <c r="CZ221" s="172">
        <f ca="1">(VLOOKUP(CZ$72,INDIRECT($C$5&amp;"生成成长"),2))/((VLOOKUP($B221,INDIRECT($B$5&amp;"生成成长"),4))/(VLOOKUP(CZ$72,INDIRECT($C$5&amp;"生成成长"),5))*(VLOOKUP($B$5,标准坦克设计!$B$24:$U$30,MATCH("对"&amp;LEFT($C$5,2)&amp;"输出",标准坦克设计!$B$23:$U$23,0)))*(VLOOKUP($B221,INDIRECT($B$5&amp;"生成成长"),3))*(VLOOKUP($B$5,标准坦克设计!$B$14:$K$20,9)/30))</f>
        <v>13.476266219855733</v>
      </c>
      <c r="DA221" s="172">
        <f ca="1">(VLOOKUP(DA$72,INDIRECT($C$5&amp;"生成成长"),2))/((VLOOKUP($B221,INDIRECT($B$5&amp;"生成成长"),4))/(VLOOKUP(DA$72,INDIRECT($C$5&amp;"生成成长"),5))*(VLOOKUP($B$5,标准坦克设计!$B$24:$U$30,MATCH("对"&amp;LEFT($C$5,2)&amp;"输出",标准坦克设计!$B$23:$U$23,0)))*(VLOOKUP($B221,INDIRECT($B$5&amp;"生成成长"),3))*(VLOOKUP($B$5,标准坦克设计!$B$14:$K$20,9)/30))</f>
        <v>14.303072826102015</v>
      </c>
      <c r="DB221" s="172">
        <f ca="1">(VLOOKUP(DB$72,INDIRECT($C$5&amp;"生成成长"),2))/((VLOOKUP($B221,INDIRECT($B$5&amp;"生成成长"),4))/(VLOOKUP(DB$72,INDIRECT($C$5&amp;"生成成长"),5))*(VLOOKUP($B$5,标准坦克设计!$B$24:$U$30,MATCH("对"&amp;LEFT($C$5,2)&amp;"输出",标准坦克设计!$B$23:$U$23,0)))*(VLOOKUP($B221,INDIRECT($B$5&amp;"生成成长"),3))*(VLOOKUP($B$5,标准坦克设计!$B$14:$K$20,9)/30))</f>
        <v>15.154493431451703</v>
      </c>
      <c r="DC221" s="172">
        <f ca="1">(VLOOKUP(DC$72,INDIRECT($C$5&amp;"生成成长"),2))/((VLOOKUP($B221,INDIRECT($B$5&amp;"生成成长"),4))/(VLOOKUP(DC$72,INDIRECT($C$5&amp;"生成成长"),5))*(VLOOKUP($B$5,标准坦克设计!$B$24:$U$30,MATCH("对"&amp;LEFT($C$5,2)&amp;"输出",标准坦克设计!$B$23:$U$23,0)))*(VLOOKUP($B221,INDIRECT($B$5&amp;"生成成长"),3))*(VLOOKUP($B$5,标准坦克设计!$B$14:$K$20,9)/30))</f>
        <v>16.111388074281695</v>
      </c>
      <c r="DD221" s="172">
        <f ca="1">(VLOOKUP(DD$72,INDIRECT($C$5&amp;"生成成长"),2))/((VLOOKUP($B221,INDIRECT($B$5&amp;"生成成长"),4))/(VLOOKUP(DD$72,INDIRECT($C$5&amp;"生成成长"),5))*(VLOOKUP($B$5,标准坦克设计!$B$24:$U$30,MATCH("对"&amp;LEFT($C$5,2)&amp;"输出",标准坦克设计!$B$23:$U$23,0)))*(VLOOKUP($B221,INDIRECT($B$5&amp;"生成成长"),3))*(VLOOKUP($B$5,标准坦克设计!$B$14:$K$20,9)/30))</f>
        <v>17.097575410259548</v>
      </c>
      <c r="DE221" s="172">
        <f ca="1">(VLOOKUP(DE$72,INDIRECT($C$5&amp;"生成成长"),2))/((VLOOKUP($B221,INDIRECT($B$5&amp;"生成成长"),4))/(VLOOKUP(DE$72,INDIRECT($C$5&amp;"生成成长"),5))*(VLOOKUP($B$5,标准坦克设计!$B$24:$U$30,MATCH("对"&amp;LEFT($C$5,2)&amp;"输出",标准坦克设计!$B$23:$U$23,0)))*(VLOOKUP($B221,INDIRECT($B$5&amp;"生成成长"),3))*(VLOOKUP($B$5,标准坦克设计!$B$14:$K$20,9)/30))</f>
        <v>18.113055439385253</v>
      </c>
      <c r="DF221" s="172">
        <f ca="1">(VLOOKUP(DF$72,INDIRECT($C$5&amp;"生成成长"),2))/((VLOOKUP($B221,INDIRECT($B$5&amp;"生成成长"),4))/(VLOOKUP(DF$72,INDIRECT($C$5&amp;"生成成长"),5))*(VLOOKUP($B$5,标准坦克设计!$B$24:$U$30,MATCH("对"&amp;LEFT($C$5,2)&amp;"输出",标准坦克设计!$B$23:$U$23,0)))*(VLOOKUP($B221,INDIRECT($B$5&amp;"生成成长"),3))*(VLOOKUP($B$5,标准坦克设计!$B$14:$K$20,9)/30))</f>
        <v>19.157828161658816</v>
      </c>
      <c r="DG221" s="172">
        <f ca="1">(VLOOKUP(DG$72,INDIRECT($C$5&amp;"生成成长"),2))/((VLOOKUP($B221,INDIRECT($B$5&amp;"生成成长"),4))/(VLOOKUP(DG$72,INDIRECT($C$5&amp;"生成成长"),5))*(VLOOKUP($B$5,标准坦克设计!$B$24:$U$30,MATCH("对"&amp;LEFT($C$5,2)&amp;"输出",标准坦克设计!$B$23:$U$23,0)))*(VLOOKUP($B221,INDIRECT($B$5&amp;"生成成长"),3))*(VLOOKUP($B$5,标准坦克设计!$B$14:$K$20,9)/30))</f>
        <v>20.231893577080239</v>
      </c>
      <c r="DH221" s="172">
        <f ca="1">(VLOOKUP(DH$72,INDIRECT($C$5&amp;"生成成长"),2))/((VLOOKUP($B221,INDIRECT($B$5&amp;"生成成长"),4))/(VLOOKUP(DH$72,INDIRECT($C$5&amp;"生成成长"),5))*(VLOOKUP($B$5,标准坦克设计!$B$24:$U$30,MATCH("对"&amp;LEFT($C$5,2)&amp;"输出",标准坦克设计!$B$23:$U$23,0)))*(VLOOKUP($B221,INDIRECT($B$5&amp;"生成成长"),3))*(VLOOKUP($B$5,标准坦克设计!$B$14:$K$20,9)/30))</f>
        <v>21.335251685649514</v>
      </c>
      <c r="DI221" s="172">
        <f ca="1">(VLOOKUP(DI$72,INDIRECT($C$5&amp;"生成成长"),2))/((VLOOKUP($B221,INDIRECT($B$5&amp;"生成成长"),4))/(VLOOKUP(DI$72,INDIRECT($C$5&amp;"生成成长"),5))*(VLOOKUP($B$5,标准坦克设计!$B$24:$U$30,MATCH("对"&amp;LEFT($C$5,2)&amp;"输出",标准坦克设计!$B$23:$U$23,0)))*(VLOOKUP($B221,INDIRECT($B$5&amp;"生成成长"),3))*(VLOOKUP($B$5,标准坦克设计!$B$14:$K$20,9)/30))</f>
        <v>22.467902487366647</v>
      </c>
      <c r="DJ221" s="172">
        <f ca="1">(VLOOKUP(DJ$72,INDIRECT($C$5&amp;"生成成长"),2))/((VLOOKUP($B221,INDIRECT($B$5&amp;"生成成长"),4))/(VLOOKUP(DJ$72,INDIRECT($C$5&amp;"生成成长"),5))*(VLOOKUP($B$5,标准坦克设计!$B$24:$U$30,MATCH("对"&amp;LEFT($C$5,2)&amp;"输出",标准坦克设计!$B$23:$U$23,0)))*(VLOOKUP($B221,INDIRECT($B$5&amp;"生成成长"),3))*(VLOOKUP($B$5,标准坦克设计!$B$14:$K$20,9)/30))</f>
        <v>2.2580801408874014</v>
      </c>
      <c r="DK221" s="172">
        <f ca="1">(VLOOKUP(DK$72,INDIRECT($C$5&amp;"生成成长"),2))/((VLOOKUP($B221,INDIRECT($B$5&amp;"生成成长"),4))/(VLOOKUP(DK$72,INDIRECT($C$5&amp;"生成成长"),5))*(VLOOKUP($B$5,标准坦克设计!$B$24:$U$30,MATCH("对"&amp;LEFT($C$5,2)&amp;"输出",标准坦克设计!$B$23:$U$23,0)))*(VLOOKUP($B221,INDIRECT($B$5&amp;"生成成长"),3))*(VLOOKUP($B$5,标准坦克设计!$B$14:$K$20,9)/30))</f>
        <v>2.5391069157746533</v>
      </c>
      <c r="DL221" s="172">
        <f ca="1">(VLOOKUP(DL$72,INDIRECT($C$5&amp;"生成成长"),2))/((VLOOKUP($B221,INDIRECT($B$5&amp;"生成成长"),4))/(VLOOKUP(DL$72,INDIRECT($C$5&amp;"生成成长"),5))*(VLOOKUP($B$5,标准坦克设计!$B$24:$U$30,MATCH("对"&amp;LEFT($C$5,2)&amp;"输出",标准坦克设计!$B$23:$U$23,0)))*(VLOOKUP($B221,INDIRECT($B$5&amp;"生成成长"),3))*(VLOOKUP($B$5,标准坦克设计!$B$14:$K$20,9)/30))</f>
        <v>2.8366108305575759</v>
      </c>
      <c r="DM221" s="172">
        <f ca="1">(VLOOKUP(DM$72,INDIRECT($C$5&amp;"生成成长"),2))/((VLOOKUP($B221,INDIRECT($B$5&amp;"生成成长"),4))/(VLOOKUP(DM$72,INDIRECT($C$5&amp;"生成成长"),5))*(VLOOKUP($B$5,标准坦克设计!$B$24:$U$30,MATCH("对"&amp;LEFT($C$5,2)&amp;"输出",标准坦克设计!$B$23:$U$23,0)))*(VLOOKUP($B221,INDIRECT($B$5&amp;"生成成长"),3))*(VLOOKUP($B$5,标准坦克设计!$B$14:$K$20,9)/30))</f>
        <v>3.1505918852361674</v>
      </c>
      <c r="DN221" s="172">
        <f ca="1">(VLOOKUP(DN$72,INDIRECT($C$5&amp;"生成成长"),2))/((VLOOKUP($B221,INDIRECT($B$5&amp;"生成成长"),4))/(VLOOKUP(DN$72,INDIRECT($C$5&amp;"生成成长"),5))*(VLOOKUP($B$5,标准坦克设计!$B$24:$U$30,MATCH("对"&amp;LEFT($C$5,2)&amp;"输出",标准坦克设计!$B$23:$U$23,0)))*(VLOOKUP($B221,INDIRECT($B$5&amp;"生成成长"),3))*(VLOOKUP($B$5,标准坦克设计!$B$14:$K$20,9)/30))</f>
        <v>3.4810500798104278</v>
      </c>
      <c r="DO221" s="172">
        <f ca="1">(VLOOKUP(DO$72,INDIRECT($C$5&amp;"生成成长"),2))/((VLOOKUP($B221,INDIRECT($B$5&amp;"生成成长"),4))/(VLOOKUP(DO$72,INDIRECT($C$5&amp;"生成成长"),5))*(VLOOKUP($B$5,标准坦克设计!$B$24:$U$30,MATCH("对"&amp;LEFT($C$5,2)&amp;"输出",标准坦克设计!$B$23:$U$23,0)))*(VLOOKUP($B221,INDIRECT($B$5&amp;"生成成长"),3))*(VLOOKUP($B$5,标准坦克设计!$B$14:$K$20,9)/30))</f>
        <v>3.8279854142803584</v>
      </c>
      <c r="DP221" s="172">
        <f ca="1">(VLOOKUP(DP$72,INDIRECT($C$5&amp;"生成成长"),2))/((VLOOKUP($B221,INDIRECT($B$5&amp;"生成成长"),4))/(VLOOKUP(DP$72,INDIRECT($C$5&amp;"生成成长"),5))*(VLOOKUP($B$5,标准坦克设计!$B$24:$U$30,MATCH("对"&amp;LEFT($C$5,2)&amp;"输出",标准坦克设计!$B$23:$U$23,0)))*(VLOOKUP($B221,INDIRECT($B$5&amp;"生成成长"),3))*(VLOOKUP($B$5,标准坦克设计!$B$14:$K$20,9)/30))</f>
        <v>4.191397888645958</v>
      </c>
      <c r="DQ221" s="172">
        <f ca="1">(VLOOKUP(DQ$72,INDIRECT($C$5&amp;"生成成长"),2))/((VLOOKUP($B221,INDIRECT($B$5&amp;"生成成长"),4))/(VLOOKUP(DQ$72,INDIRECT($C$5&amp;"生成成长"),5))*(VLOOKUP($B$5,标准坦克设计!$B$24:$U$30,MATCH("对"&amp;LEFT($C$5,2)&amp;"输出",标准坦克设计!$B$23:$U$23,0)))*(VLOOKUP($B221,INDIRECT($B$5&amp;"生成成长"),3))*(VLOOKUP($B$5,标准坦克设计!$B$14:$K$20,9)/30))</f>
        <v>4.5712875029072286</v>
      </c>
      <c r="DR221" s="172">
        <f ca="1">(VLOOKUP(DR$72,INDIRECT($C$5&amp;"生成成长"),2))/((VLOOKUP($B221,INDIRECT($B$5&amp;"生成成长"),4))/(VLOOKUP(DR$72,INDIRECT($C$5&amp;"生成成长"),5))*(VLOOKUP($B$5,标准坦克设计!$B$24:$U$30,MATCH("对"&amp;LEFT($C$5,2)&amp;"输出",标准坦克设计!$B$23:$U$23,0)))*(VLOOKUP($B221,INDIRECT($B$5&amp;"生成成长"),3))*(VLOOKUP($B$5,标准坦克设计!$B$14:$K$20,9)/30))</f>
        <v>4.9676542570641669</v>
      </c>
      <c r="DS221" s="172">
        <f ca="1">(VLOOKUP(DS$72,INDIRECT($C$5&amp;"生成成长"),2))/((VLOOKUP($B221,INDIRECT($B$5&amp;"生成成长"),4))/(VLOOKUP(DS$72,INDIRECT($C$5&amp;"生成成长"),5))*(VLOOKUP($B$5,标准坦克设计!$B$24:$U$30,MATCH("对"&amp;LEFT($C$5,2)&amp;"输出",标准坦克设计!$B$23:$U$23,0)))*(VLOOKUP($B221,INDIRECT($B$5&amp;"生成成长"),3))*(VLOOKUP($B$5,标准坦克设计!$B$14:$K$20,9)/30))</f>
        <v>5.3804981511167753</v>
      </c>
      <c r="DT221" s="172">
        <f ca="1">(VLOOKUP(DT$72,INDIRECT($C$5&amp;"生成成长"),2))/((VLOOKUP($B221,INDIRECT($B$5&amp;"生成成长"),4))/(VLOOKUP(DT$72,INDIRECT($C$5&amp;"生成成长"),5))*(VLOOKUP($B$5,标准坦克设计!$B$24:$U$30,MATCH("对"&amp;LEFT($C$5,2)&amp;"输出",标准坦克设计!$B$23:$U$23,0)))*(VLOOKUP($B221,INDIRECT($B$5&amp;"生成成长"),3))*(VLOOKUP($B$5,标准坦克设计!$B$14:$K$20,9)/30))</f>
        <v>5.9074614955579108</v>
      </c>
      <c r="DU221" s="172">
        <f ca="1">(VLOOKUP(DU$72,INDIRECT($C$5&amp;"生成成长"),2))/((VLOOKUP($B221,INDIRECT($B$5&amp;"生成成长"),4))/(VLOOKUP(DU$72,INDIRECT($C$5&amp;"生成成长"),5))*(VLOOKUP($B$5,标准坦克设计!$B$24:$U$30,MATCH("对"&amp;LEFT($C$5,2)&amp;"输出",标准坦克设计!$B$23:$U$23,0)))*(VLOOKUP($B221,INDIRECT($B$5&amp;"生成成长"),3))*(VLOOKUP($B$5,标准坦克设计!$B$14:$K$20,9)/30))</f>
        <v>6.459038839102452</v>
      </c>
      <c r="DV221" s="172">
        <f ca="1">(VLOOKUP(DV$72,INDIRECT($C$5&amp;"生成成长"),2))/((VLOOKUP($B221,INDIRECT($B$5&amp;"生成成长"),4))/(VLOOKUP(DV$72,INDIRECT($C$5&amp;"生成成长"),5))*(VLOOKUP($B$5,标准坦克设计!$B$24:$U$30,MATCH("对"&amp;LEFT($C$5,2)&amp;"输出",标准坦克设计!$B$23:$U$23,0)))*(VLOOKUP($B221,INDIRECT($B$5&amp;"生成成长"),3))*(VLOOKUP($B$5,标准坦克设计!$B$14:$K$20,9)/30))</f>
        <v>7.0352301817504017</v>
      </c>
      <c r="DW221" s="172">
        <f ca="1">(VLOOKUP(DW$72,INDIRECT($C$5&amp;"生成成长"),2))/((VLOOKUP($B221,INDIRECT($B$5&amp;"生成成长"),4))/(VLOOKUP(DW$72,INDIRECT($C$5&amp;"生成成长"),5))*(VLOOKUP($B$5,标准坦克设计!$B$24:$U$30,MATCH("对"&amp;LEFT($C$5,2)&amp;"输出",标准坦克设计!$B$23:$U$23,0)))*(VLOOKUP($B221,INDIRECT($B$5&amp;"生成成长"),3))*(VLOOKUP($B$5,标准坦克设计!$B$14:$K$20,9)/30))</f>
        <v>7.6360355235017581</v>
      </c>
      <c r="DX221" s="172">
        <f ca="1">(VLOOKUP(DX$72,INDIRECT($C$5&amp;"生成成长"),2))/((VLOOKUP($B221,INDIRECT($B$5&amp;"生成成长"),4))/(VLOOKUP(DX$72,INDIRECT($C$5&amp;"生成成长"),5))*(VLOOKUP($B$5,标准坦克设计!$B$24:$U$30,MATCH("对"&amp;LEFT($C$5,2)&amp;"输出",标准坦克设计!$B$23:$U$23,0)))*(VLOOKUP($B221,INDIRECT($B$5&amp;"生成成长"),3))*(VLOOKUP($B$5,标准坦克设计!$B$14:$K$20,9)/30))</f>
        <v>8.2614548643565229</v>
      </c>
      <c r="DY221" s="172">
        <f ca="1">(VLOOKUP(DY$72,INDIRECT($C$5&amp;"生成成长"),2))/((VLOOKUP($B221,INDIRECT($B$5&amp;"生成成长"),4))/(VLOOKUP(DY$72,INDIRECT($C$5&amp;"生成成长"),5))*(VLOOKUP($B$5,标准坦克设计!$B$24:$U$30,MATCH("对"&amp;LEFT($C$5,2)&amp;"输出",标准坦克设计!$B$23:$U$23,0)))*(VLOOKUP($B221,INDIRECT($B$5&amp;"生成成长"),3))*(VLOOKUP($B$5,标准坦克设计!$B$14:$K$20,9)/30))</f>
        <v>3.7105095094686407</v>
      </c>
      <c r="DZ221" s="172">
        <f ca="1">(VLOOKUP(DZ$72,INDIRECT($C$5&amp;"生成成长"),2))/((VLOOKUP($B221,INDIRECT($B$5&amp;"生成成长"),4))/(VLOOKUP(DZ$72,INDIRECT($C$5&amp;"生成成长"),5))*(VLOOKUP($B$5,标准坦克设计!$B$24:$U$30,MATCH("对"&amp;LEFT($C$5,2)&amp;"输出",标准坦克设计!$B$23:$U$23,0)))*(VLOOKUP($B221,INDIRECT($B$5&amp;"生成成长"),3))*(VLOOKUP($B$5,标准坦克设计!$B$14:$K$20,9)/30))</f>
        <v>4.1092156106478042</v>
      </c>
      <c r="EA221" s="172">
        <f ca="1">(VLOOKUP(EA$72,INDIRECT($C$5&amp;"生成成长"),2))/((VLOOKUP($B221,INDIRECT($B$5&amp;"生成成长"),4))/(VLOOKUP(EA$72,INDIRECT($C$5&amp;"生成成长"),5))*(VLOOKUP($B$5,标准坦克设计!$B$24:$U$30,MATCH("对"&amp;LEFT($C$5,2)&amp;"输出",标准坦克设计!$B$23:$U$23,0)))*(VLOOKUP($B221,INDIRECT($B$5&amp;"生成成长"),3))*(VLOOKUP($B$5,标准坦克设计!$B$14:$K$20,9)/30))</f>
        <v>4.5282638598463132</v>
      </c>
      <c r="EB221" s="172">
        <f ca="1">(VLOOKUP(EB$72,INDIRECT($C$5&amp;"生成成长"),2))/((VLOOKUP($B221,INDIRECT($B$5&amp;"生成成长"),4))/(VLOOKUP(EB$72,INDIRECT($C$5&amp;"生成成长"),5))*(VLOOKUP($B$5,标准坦克设计!$B$24:$U$30,MATCH("对"&amp;LEFT($C$5,2)&amp;"输出",标准坦克设计!$B$23:$U$23,0)))*(VLOOKUP($B221,INDIRECT($B$5&amp;"生成成长"),3))*(VLOOKUP($B$5,标准坦克设计!$B$14:$K$20,9)/30))</f>
        <v>4.9676542570641669</v>
      </c>
      <c r="EC221" s="172">
        <f ca="1">(VLOOKUP(EC$72,INDIRECT($C$5&amp;"生成成长"),2))/((VLOOKUP($B221,INDIRECT($B$5&amp;"生成成长"),4))/(VLOOKUP(EC$72,INDIRECT($C$5&amp;"生成成长"),5))*(VLOOKUP($B$5,标准坦克设计!$B$24:$U$30,MATCH("对"&amp;LEFT($C$5,2)&amp;"输出",标准坦克设计!$B$23:$U$23,0)))*(VLOOKUP($B221,INDIRECT($B$5&amp;"生成成长"),3))*(VLOOKUP($B$5,标准坦克设计!$B$14:$K$20,9)/30))</f>
        <v>5.4273868023013661</v>
      </c>
      <c r="ED221" s="172">
        <f ca="1">(VLOOKUP(ED$72,INDIRECT($C$5&amp;"生成成长"),2))/((VLOOKUP($B221,INDIRECT($B$5&amp;"生成成长"),4))/(VLOOKUP(ED$72,INDIRECT($C$5&amp;"生成成长"),5))*(VLOOKUP($B$5,标准坦克设计!$B$24:$U$30,MATCH("对"&amp;LEFT($C$5,2)&amp;"输出",标准坦克设计!$B$23:$U$23,0)))*(VLOOKUP($B221,INDIRECT($B$5&amp;"生成成长"),3))*(VLOOKUP($B$5,标准坦克设计!$B$14:$K$20,9)/30))</f>
        <v>5.9074614955579108</v>
      </c>
      <c r="EE221" s="172">
        <f ca="1">(VLOOKUP(EE$72,INDIRECT($C$5&amp;"生成成长"),2))/((VLOOKUP($B221,INDIRECT($B$5&amp;"生成成长"),4))/(VLOOKUP(EE$72,INDIRECT($C$5&amp;"生成成长"),5))*(VLOOKUP($B$5,标准坦克设计!$B$24:$U$30,MATCH("对"&amp;LEFT($C$5,2)&amp;"输出",标准坦克设计!$B$23:$U$23,0)))*(VLOOKUP($B221,INDIRECT($B$5&amp;"生成成长"),3))*(VLOOKUP($B$5,标准坦克设计!$B$14:$K$20,9)/30))</f>
        <v>6.4078783368337993</v>
      </c>
      <c r="EF221" s="172">
        <f ca="1">(VLOOKUP(EF$72,INDIRECT($C$5&amp;"生成成长"),2))/((VLOOKUP($B221,INDIRECT($B$5&amp;"生成成长"),4))/(VLOOKUP(EF$72,INDIRECT($C$5&amp;"生成成长"),5))*(VLOOKUP($B$5,标准坦克设计!$B$24:$U$30,MATCH("对"&amp;LEFT($C$5,2)&amp;"输出",标准坦克设计!$B$23:$U$23,0)))*(VLOOKUP($B221,INDIRECT($B$5&amp;"生成成长"),3))*(VLOOKUP($B$5,标准坦克设计!$B$14:$K$20,9)/30))</f>
        <v>6.9286373261290342</v>
      </c>
      <c r="EG221" s="172">
        <f ca="1">(VLOOKUP(EG$72,INDIRECT($C$5&amp;"生成成长"),2))/((VLOOKUP($B221,INDIRECT($B$5&amp;"生成成长"),4))/(VLOOKUP(EG$72,INDIRECT($C$5&amp;"生成成长"),5))*(VLOOKUP($B$5,标准坦克设计!$B$24:$U$30,MATCH("对"&amp;LEFT($C$5,2)&amp;"输出",标准坦克设计!$B$23:$U$23,0)))*(VLOOKUP($B221,INDIRECT($B$5&amp;"生成成长"),3))*(VLOOKUP($B$5,标准坦克设计!$B$14:$K$20,9)/30))</f>
        <v>7.4697384634436119</v>
      </c>
      <c r="EH221" s="172">
        <f ca="1">(VLOOKUP(EH$72,INDIRECT($C$5&amp;"生成成长"),2))/((VLOOKUP($B221,INDIRECT($B$5&amp;"生成成长"),4))/(VLOOKUP(EH$72,INDIRECT($C$5&amp;"生成成长"),5))*(VLOOKUP($B$5,标准坦克设计!$B$24:$U$30,MATCH("对"&amp;LEFT($C$5,2)&amp;"输出",标准坦克设计!$B$23:$U$23,0)))*(VLOOKUP($B221,INDIRECT($B$5&amp;"生成成长"),3))*(VLOOKUP($B$5,标准坦克设计!$B$14:$K$20,9)/30))</f>
        <v>8.0311817487775379</v>
      </c>
      <c r="EI221" s="172">
        <f ca="1">(VLOOKUP(EI$72,INDIRECT($C$5&amp;"生成成长"),2))/((VLOOKUP($B221,INDIRECT($B$5&amp;"生成成长"),4))/(VLOOKUP(EI$72,INDIRECT($C$5&amp;"生成成长"),5))*(VLOOKUP($B$5,标准坦克设计!$B$24:$U$30,MATCH("对"&amp;LEFT($C$5,2)&amp;"输出",标准坦克设计!$B$23:$U$23,0)))*(VLOOKUP($B221,INDIRECT($B$5&amp;"生成成长"),3))*(VLOOKUP($B$5,标准坦克设计!$B$14:$K$20,9)/30))</f>
        <v>8.6129671821308058</v>
      </c>
      <c r="EJ221" s="172">
        <f ca="1">(VLOOKUP(EJ$72,INDIRECT($C$5&amp;"生成成长"),2))/((VLOOKUP($B221,INDIRECT($B$5&amp;"生成成长"),4))/(VLOOKUP(EJ$72,INDIRECT($C$5&amp;"生成成长"),5))*(VLOOKUP($B$5,标准坦克设计!$B$24:$U$30,MATCH("对"&amp;LEFT($C$5,2)&amp;"输出",标准坦克设计!$B$23:$U$23,0)))*(VLOOKUP($B221,INDIRECT($B$5&amp;"生成成长"),3))*(VLOOKUP($B$5,标准坦克设计!$B$14:$K$20,9)/30))</f>
        <v>9.215094763503421</v>
      </c>
      <c r="EK221" s="172">
        <f ca="1">(VLOOKUP(EK$72,INDIRECT($C$5&amp;"生成成长"),2))/((VLOOKUP($B221,INDIRECT($B$5&amp;"生成成长"),4))/(VLOOKUP(EK$72,INDIRECT($C$5&amp;"生成成长"),5))*(VLOOKUP($B$5,标准坦克设计!$B$24:$U$30,MATCH("对"&amp;LEFT($C$5,2)&amp;"输出",标准坦克设计!$B$23:$U$23,0)))*(VLOOKUP($B221,INDIRECT($B$5&amp;"生成成长"),3))*(VLOOKUP($B$5,标准坦克设计!$B$14:$K$20,9)/30))</f>
        <v>9.9644994965360922</v>
      </c>
      <c r="EL221" s="172">
        <f ca="1">(VLOOKUP(EL$72,INDIRECT($C$5&amp;"生成成长"),2))/((VLOOKUP($B221,INDIRECT($B$5&amp;"生成成长"),4))/(VLOOKUP(EL$72,INDIRECT($C$5&amp;"生成成长"),5))*(VLOOKUP($B$5,标准坦克设计!$B$24:$U$30,MATCH("对"&amp;LEFT($C$5,2)&amp;"输出",标准坦克设计!$B$23:$U$23,0)))*(VLOOKUP($B221,INDIRECT($B$5&amp;"生成成长"),3))*(VLOOKUP($B$5,标准坦克设计!$B$14:$K$20,9)/30))</f>
        <v>10.743196922716624</v>
      </c>
      <c r="EM221" s="172">
        <f ca="1">(VLOOKUP(EM$72,INDIRECT($C$5&amp;"生成成长"),2))/((VLOOKUP($B221,INDIRECT($B$5&amp;"生成成长"),4))/(VLOOKUP(EM$72,INDIRECT($C$5&amp;"生成成长"),5))*(VLOOKUP($B$5,标准坦克设计!$B$24:$U$30,MATCH("对"&amp;LEFT($C$5,2)&amp;"输出",标准坦克设计!$B$23:$U$23,0)))*(VLOOKUP($B221,INDIRECT($B$5&amp;"生成成长"),3))*(VLOOKUP($B$5,标准坦克设计!$B$14:$K$20,9)/30))</f>
        <v>11.551187042045012</v>
      </c>
      <c r="EN221" s="172">
        <f ca="1">(VLOOKUP(EN$72,INDIRECT($C$5&amp;"生成成长"),2))/((VLOOKUP($B221,INDIRECT($B$5&amp;"生成成长"),4))/(VLOOKUP(EN$72,INDIRECT($C$5&amp;"生成成长"),5))*(VLOOKUP($B$5,标准坦克设计!$B$24:$U$30,MATCH("对"&amp;LEFT($C$5,2)&amp;"输出",标准坦克设计!$B$23:$U$23,0)))*(VLOOKUP($B221,INDIRECT($B$5&amp;"生成成长"),3))*(VLOOKUP($B$5,标准坦克设计!$B$14:$K$20,9)/30))</f>
        <v>12.388469854521253</v>
      </c>
      <c r="EO221" s="172">
        <f ca="1">(VLOOKUP(EO$72,INDIRECT($C$5&amp;"生成成长"),2))/((VLOOKUP($B221,INDIRECT($B$5&amp;"生成成长"),4))/(VLOOKUP(EO$72,INDIRECT($C$5&amp;"生成成长"),5))*(VLOOKUP($B$5,标准坦克设计!$B$24:$U$30,MATCH("对"&amp;LEFT($C$5,2)&amp;"输出",标准坦克设计!$B$23:$U$23,0)))*(VLOOKUP($B221,INDIRECT($B$5&amp;"生成成长"),3))*(VLOOKUP($B$5,标准坦克设计!$B$14:$K$20,9)/30))</f>
        <v>13.255045360145356</v>
      </c>
      <c r="EP221" s="172">
        <f ca="1">(VLOOKUP(EP$72,INDIRECT($C$5&amp;"生成成长"),2))/((VLOOKUP($B221,INDIRECT($B$5&amp;"生成成长"),4))/(VLOOKUP(EP$72,INDIRECT($C$5&amp;"生成成长"),5))*(VLOOKUP($B$5,标准坦克设计!$B$24:$U$30,MATCH("对"&amp;LEFT($C$5,2)&amp;"输出",标准坦克设计!$B$23:$U$23,0)))*(VLOOKUP($B221,INDIRECT($B$5&amp;"生成成长"),3))*(VLOOKUP($B$5,标准坦克设计!$B$14:$K$20,9)/30))</f>
        <v>14.150913558917315</v>
      </c>
      <c r="EQ221" s="172">
        <f ca="1">(VLOOKUP(EQ$72,INDIRECT($C$5&amp;"生成成长"),2))/((VLOOKUP($B221,INDIRECT($B$5&amp;"生成成长"),4))/(VLOOKUP(EQ$72,INDIRECT($C$5&amp;"生成成长"),5))*(VLOOKUP($B$5,标准坦克设计!$B$24:$U$30,MATCH("对"&amp;LEFT($C$5,2)&amp;"输出",标准坦克设计!$B$23:$U$23,0)))*(VLOOKUP($B221,INDIRECT($B$5&amp;"生成成长"),3))*(VLOOKUP($B$5,标准坦克设计!$B$14:$K$20,9)/30))</f>
        <v>6.2556173589090003</v>
      </c>
      <c r="ER221" s="172">
        <f ca="1">(VLOOKUP(ER$72,INDIRECT($C$5&amp;"生成成长"),2))/((VLOOKUP($B221,INDIRECT($B$5&amp;"生成成长"),4))/(VLOOKUP(ER$72,INDIRECT($C$5&amp;"生成成长"),5))*(VLOOKUP($B$5,标准坦克设计!$B$24:$U$30,MATCH("对"&amp;LEFT($C$5,2)&amp;"输出",标准坦克设计!$B$23:$U$23,0)))*(VLOOKUP($B221,INDIRECT($B$5&amp;"生成成长"),3))*(VLOOKUP($B$5,标准坦克设计!$B$14:$K$20,9)/30))</f>
        <v>6.8228581564284401</v>
      </c>
      <c r="ES221" s="172">
        <f ca="1">(VLOOKUP(ES$72,INDIRECT($C$5&amp;"生成成长"),2))/((VLOOKUP($B221,INDIRECT($B$5&amp;"生成成长"),4))/(VLOOKUP(ES$72,INDIRECT($C$5&amp;"生成成长"),5))*(VLOOKUP($B$5,标准坦克设计!$B$24:$U$30,MATCH("对"&amp;LEFT($C$5,2)&amp;"输出",标准坦克设计!$B$23:$U$23,0)))*(VLOOKUP($B221,INDIRECT($B$5&amp;"生成成长"),3))*(VLOOKUP($B$5,标准坦克设计!$B$14:$K$20,9)/30))</f>
        <v>7.4147129530512847</v>
      </c>
      <c r="ET221" s="172">
        <f ca="1">(VLOOKUP(ET$72,INDIRECT($C$5&amp;"生成成长"),2))/((VLOOKUP($B221,INDIRECT($B$5&amp;"生成成长"),4))/(VLOOKUP(ET$72,INDIRECT($C$5&amp;"生成成长"),5))*(VLOOKUP($B$5,标准坦克设计!$B$24:$U$30,MATCH("对"&amp;LEFT($C$5,2)&amp;"输出",标准坦克设计!$B$23:$U$23,0)))*(VLOOKUP($B221,INDIRECT($B$5&amp;"生成成长"),3))*(VLOOKUP($B$5,标准坦克设计!$B$14:$K$20,9)/30))</f>
        <v>8.0311817487775379</v>
      </c>
      <c r="EU221" s="172">
        <f ca="1">(VLOOKUP(EU$72,INDIRECT($C$5&amp;"生成成长"),2))/((VLOOKUP($B221,INDIRECT($B$5&amp;"生成成长"),4))/(VLOOKUP(EU$72,INDIRECT($C$5&amp;"生成成长"),5))*(VLOOKUP($B$5,标准坦克设计!$B$24:$U$30,MATCH("对"&amp;LEFT($C$5,2)&amp;"输出",标准坦克设计!$B$23:$U$23,0)))*(VLOOKUP($B221,INDIRECT($B$5&amp;"生成成长"),3))*(VLOOKUP($B$5,标准坦克设计!$B$14:$K$20,9)/30))</f>
        <v>8.6722645436071986</v>
      </c>
      <c r="EV221" s="172">
        <f ca="1">(VLOOKUP(EV$72,INDIRECT($C$5&amp;"生成成长"),2))/((VLOOKUP($B221,INDIRECT($B$5&amp;"生成成长"),4))/(VLOOKUP(EV$72,INDIRECT($C$5&amp;"生成成长"),5))*(VLOOKUP($B$5,标准坦克设计!$B$24:$U$30,MATCH("对"&amp;LEFT($C$5,2)&amp;"输出",标准坦克设计!$B$23:$U$23,0)))*(VLOOKUP($B221,INDIRECT($B$5&amp;"生成成长"),3))*(VLOOKUP($B$5,标准坦克设计!$B$14:$K$20,9)/30))</f>
        <v>9.3379613375402659</v>
      </c>
      <c r="EW221" s="172">
        <f ca="1">(VLOOKUP(EW$72,INDIRECT($C$5&amp;"生成成长"),2))/((VLOOKUP($B221,INDIRECT($B$5&amp;"生成成长"),4))/(VLOOKUP(EW$72,INDIRECT($C$5&amp;"生成成长"),5))*(VLOOKUP($B$5,标准坦克设计!$B$24:$U$30,MATCH("对"&amp;LEFT($C$5,2)&amp;"输出",标准坦克设计!$B$23:$U$23,0)))*(VLOOKUP($B221,INDIRECT($B$5&amp;"生成成长"),3))*(VLOOKUP($B$5,标准坦克设计!$B$14:$K$20,9)/30))</f>
        <v>10.028272130576742</v>
      </c>
      <c r="EX221" s="172">
        <f ca="1">(VLOOKUP(EX$72,INDIRECT($C$5&amp;"生成成长"),2))/((VLOOKUP($B221,INDIRECT($B$5&amp;"生成成长"),4))/(VLOOKUP(EX$72,INDIRECT($C$5&amp;"生成成长"),5))*(VLOOKUP($B$5,标准坦克设计!$B$24:$U$30,MATCH("对"&amp;LEFT($C$5,2)&amp;"输出",标准坦克设计!$B$23:$U$23,0)))*(VLOOKUP($B221,INDIRECT($B$5&amp;"生成成长"),3))*(VLOOKUP($B$5,标准坦克设计!$B$14:$K$20,9)/30))</f>
        <v>10.743196922716624</v>
      </c>
      <c r="EY221" s="172">
        <f ca="1">(VLOOKUP(EY$72,INDIRECT($C$5&amp;"生成成长"),2))/((VLOOKUP($B221,INDIRECT($B$5&amp;"生成成长"),4))/(VLOOKUP(EY$72,INDIRECT($C$5&amp;"生成成长"),5))*(VLOOKUP($B$5,标准坦克设计!$B$24:$U$30,MATCH("对"&amp;LEFT($C$5,2)&amp;"输出",标准坦克设计!$B$23:$U$23,0)))*(VLOOKUP($B221,INDIRECT($B$5&amp;"生成成长"),3))*(VLOOKUP($B$5,标准坦克设计!$B$14:$K$20,9)/30))</f>
        <v>11.482735713959913</v>
      </c>
      <c r="EZ221" s="172">
        <f ca="1">(VLOOKUP(EZ$72,INDIRECT($C$5&amp;"生成成长"),2))/((VLOOKUP($B221,INDIRECT($B$5&amp;"生成成长"),4))/(VLOOKUP(EZ$72,INDIRECT($C$5&amp;"生成成长"),5))*(VLOOKUP($B$5,标准坦克设计!$B$24:$U$30,MATCH("对"&amp;LEFT($C$5,2)&amp;"输出",标准坦克设计!$B$23:$U$23,0)))*(VLOOKUP($B221,INDIRECT($B$5&amp;"生成成长"),3))*(VLOOKUP($B$5,标准坦克设计!$B$14:$K$20,9)/30))</f>
        <v>12.246888504306614</v>
      </c>
      <c r="FA221" s="172">
        <f ca="1">(VLOOKUP(FA$72,INDIRECT($C$5&amp;"生成成长"),2))/((VLOOKUP($B221,INDIRECT($B$5&amp;"生成成长"),4))/(VLOOKUP(FA$72,INDIRECT($C$5&amp;"生成成长"),5))*(VLOOKUP($B$5,标准坦克设计!$B$24:$U$30,MATCH("对"&amp;LEFT($C$5,2)&amp;"输出",标准坦克设计!$B$23:$U$23,0)))*(VLOOKUP($B221,INDIRECT($B$5&amp;"生成成长"),3))*(VLOOKUP($B$5,标准坦克设计!$B$14:$K$20,9)/30))</f>
        <v>13.035655293756719</v>
      </c>
      <c r="FB221" s="172">
        <f ca="1">(VLOOKUP(FB$72,INDIRECT($C$5&amp;"生成成长"),2))/((VLOOKUP($B221,INDIRECT($B$5&amp;"生成成长"),4))/(VLOOKUP(FB$72,INDIRECT($C$5&amp;"生成成长"),5))*(VLOOKUP($B$5,标准坦克设计!$B$24:$U$30,MATCH("对"&amp;LEFT($C$5,2)&amp;"输出",标准坦克设计!$B$23:$U$23,0)))*(VLOOKUP($B221,INDIRECT($B$5&amp;"生成成长"),3))*(VLOOKUP($B$5,标准坦克设计!$B$14:$K$20,9)/30))</f>
        <v>13.849036082310233</v>
      </c>
      <c r="FC221" s="172">
        <f ca="1">(VLOOKUP(FC$72,INDIRECT($C$5&amp;"生成成长"),2))/((VLOOKUP($B221,INDIRECT($B$5&amp;"生成成长"),4))/(VLOOKUP(FC$72,INDIRECT($C$5&amp;"生成成长"),5))*(VLOOKUP($B$5,标准坦克设计!$B$24:$U$30,MATCH("对"&amp;LEFT($C$5,2)&amp;"输出",标准坦克设计!$B$23:$U$23,0)))*(VLOOKUP($B221,INDIRECT($B$5&amp;"生成成长"),3))*(VLOOKUP($B$5,标准坦克设计!$B$14:$K$20,9)/30))</f>
        <v>14.687030869967153</v>
      </c>
      <c r="FD221" s="172">
        <f ca="1">(VLOOKUP(FD$72,INDIRECT($C$5&amp;"生成成长"),2))/((VLOOKUP($B221,INDIRECT($B$5&amp;"生成成长"),4))/(VLOOKUP(FD$72,INDIRECT($C$5&amp;"生成成长"),5))*(VLOOKUP($B$5,标准坦克设计!$B$24:$U$30,MATCH("对"&amp;LEFT($C$5,2)&amp;"输出",标准坦克设计!$B$23:$U$23,0)))*(VLOOKUP($B221,INDIRECT($B$5&amp;"生成成长"),3))*(VLOOKUP($B$5,标准坦克设计!$B$14:$K$20,9)/30))</f>
        <v>15.54963965672748</v>
      </c>
      <c r="FE221" s="172">
        <f ca="1">(VLOOKUP(FE$72,INDIRECT($C$5&amp;"生成成长"),2))/((VLOOKUP($B221,INDIRECT($B$5&amp;"生成成长"),4))/(VLOOKUP(FE$72,INDIRECT($C$5&amp;"生成成长"),5))*(VLOOKUP($B$5,标准坦克设计!$B$24:$U$30,MATCH("对"&amp;LEFT($C$5,2)&amp;"输出",标准坦克设计!$B$23:$U$23,0)))*(VLOOKUP($B221,INDIRECT($B$5&amp;"生成成长"),3))*(VLOOKUP($B$5,标准坦克设计!$B$14:$K$20,9)/30))</f>
        <v>16.600820155627137</v>
      </c>
      <c r="FF221" s="172">
        <f ca="1">(VLOOKUP(FF$72,INDIRECT($C$5&amp;"生成成长"),2))/((VLOOKUP($B221,INDIRECT($B$5&amp;"生成成长"),4))/(VLOOKUP(FF$72,INDIRECT($C$5&amp;"生成成长"),5))*(VLOOKUP($B$5,标准坦克设计!$B$24:$U$30,MATCH("对"&amp;LEFT($C$5,2)&amp;"输出",标准坦克设计!$B$23:$U$23,0)))*(VLOOKUP($B221,INDIRECT($B$5&amp;"生成成长"),3))*(VLOOKUP($B$5,标准坦克设计!$B$14:$K$20,9)/30))</f>
        <v>17.686378884679488</v>
      </c>
      <c r="FG221" s="172">
        <f ca="1">(VLOOKUP(FG$72,INDIRECT($C$5&amp;"生成成长"),2))/((VLOOKUP($B221,INDIRECT($B$5&amp;"生成成长"),4))/(VLOOKUP(FG$72,INDIRECT($C$5&amp;"生成成长"),5))*(VLOOKUP($B$5,标准坦克设计!$B$24:$U$30,MATCH("对"&amp;LEFT($C$5,2)&amp;"输出",标准坦克设计!$B$23:$U$23,0)))*(VLOOKUP($B221,INDIRECT($B$5&amp;"生成成长"),3))*(VLOOKUP($B$5,标准坦克设计!$B$14:$K$20,9)/30))</f>
        <v>18.806315843884533</v>
      </c>
      <c r="FH221" s="172">
        <f ca="1">(VLOOKUP(FH$72,INDIRECT($C$5&amp;"生成成长"),2))/((VLOOKUP($B221,INDIRECT($B$5&amp;"生成成长"),4))/(VLOOKUP(FH$72,INDIRECT($C$5&amp;"生成成长"),5))*(VLOOKUP($B$5,标准坦克设计!$B$24:$U$30,MATCH("对"&amp;LEFT($C$5,2)&amp;"输出",标准坦克设计!$B$23:$U$23,0)))*(VLOOKUP($B221,INDIRECT($B$5&amp;"生成成长"),3))*(VLOOKUP($B$5,标准坦克设计!$B$14:$K$20,9)/30))</f>
        <v>19.960631033242272</v>
      </c>
      <c r="FI221" s="172">
        <f ca="1">(VLOOKUP(FI$72,INDIRECT($C$5&amp;"生成成长"),2))/((VLOOKUP($B221,INDIRECT($B$5&amp;"生成成长"),4))/(VLOOKUP(FI$72,INDIRECT($C$5&amp;"生成成长"),5))*(VLOOKUP($B$5,标准坦克设计!$B$24:$U$30,MATCH("对"&amp;LEFT($C$5,2)&amp;"输出",标准坦克设计!$B$23:$U$23,0)))*(VLOOKUP($B221,INDIRECT($B$5&amp;"生成成长"),3))*(VLOOKUP($B$5,标准坦克设计!$B$14:$K$20,9)/30))</f>
        <v>21.149324452752701</v>
      </c>
      <c r="FJ221" s="172">
        <f ca="1">(VLOOKUP(FJ$72,INDIRECT($C$5&amp;"生成成长"),2))/((VLOOKUP($B221,INDIRECT($B$5&amp;"生成成长"),4))/(VLOOKUP(FJ$72,INDIRECT($C$5&amp;"生成成长"),5))*(VLOOKUP($B$5,标准坦克设计!$B$24:$U$30,MATCH("对"&amp;LEFT($C$5,2)&amp;"输出",标准坦克设计!$B$23:$U$23,0)))*(VLOOKUP($B221,INDIRECT($B$5&amp;"生成成长"),3))*(VLOOKUP($B$5,标准坦克设计!$B$14:$K$20,9)/30))</f>
        <v>22.372396102415827</v>
      </c>
      <c r="FK221" s="172">
        <f ca="1">(VLOOKUP(FK$72,INDIRECT($C$5&amp;"生成成长"),2))/((VLOOKUP($B221,INDIRECT($B$5&amp;"生成成长"),4))/(VLOOKUP(FK$72,INDIRECT($C$5&amp;"生成成长"),5))*(VLOOKUP($B$5,标准坦克设计!$B$24:$U$30,MATCH("对"&amp;LEFT($C$5,2)&amp;"输出",标准坦克设计!$B$23:$U$23,0)))*(VLOOKUP($B221,INDIRECT($B$5&amp;"生成成长"),3))*(VLOOKUP($B$5,标准坦克设计!$B$14:$K$20,9)/30))</f>
        <v>23.629845982231643</v>
      </c>
    </row>
    <row r="222" spans="1:167" x14ac:dyDescent="0.15">
      <c r="A222" s="170" t="str">
        <f t="shared" si="13"/>
        <v>T5高品质6级</v>
      </c>
      <c r="B222" s="171">
        <v>30506</v>
      </c>
      <c r="C222" s="172">
        <f ca="1">(VLOOKUP(C$72,INDIRECT($C$5&amp;"生成成长"),2))/((VLOOKUP($B222,INDIRECT($B$5&amp;"生成成长"),4))/(VLOOKUP(C$72,INDIRECT($C$5&amp;"生成成长"),5))*(VLOOKUP($B$5,标准坦克设计!$B$24:$U$30,MATCH("对"&amp;LEFT($C$5,2)&amp;"输出",标准坦克设计!$B$23:$U$23,0)))*(VLOOKUP($B222,INDIRECT($B$5&amp;"生成成长"),3))*(VLOOKUP($B$5,标准坦克设计!$B$14:$K$20,9)/30))</f>
        <v>0.94305457689443106</v>
      </c>
      <c r="D222" s="172">
        <f ca="1">(VLOOKUP(D$72,INDIRECT($C$5&amp;"生成成长"),2))/((VLOOKUP($B222,INDIRECT($B$5&amp;"生成成长"),4))/(VLOOKUP(D$72,INDIRECT($C$5&amp;"生成成长"),5))*(VLOOKUP($B$5,标准坦克设计!$B$24:$U$30,MATCH("对"&amp;LEFT($C$5,2)&amp;"输出",标准坦克设计!$B$23:$U$23,0)))*(VLOOKUP($B222,INDIRECT($B$5&amp;"生成成长"),3))*(VLOOKUP($B$5,标准坦克设计!$B$14:$K$20,9)/30))</f>
        <v>1.0596161225985825</v>
      </c>
      <c r="E222" s="172">
        <f ca="1">(VLOOKUP(E$72,INDIRECT($C$5&amp;"生成成长"),2))/((VLOOKUP($B222,INDIRECT($B$5&amp;"生成成长"),4))/(VLOOKUP(E$72,INDIRECT($C$5&amp;"生成成长"),5))*(VLOOKUP($B$5,标准坦克设计!$B$24:$U$30,MATCH("对"&amp;LEFT($C$5,2)&amp;"输出",标准坦克设计!$B$23:$U$23,0)))*(VLOOKUP($B222,INDIRECT($B$5&amp;"生成成长"),3))*(VLOOKUP($B$5,标准坦克设计!$B$14:$K$20,9)/30))</f>
        <v>1.1829676612563742</v>
      </c>
      <c r="F222" s="172">
        <f ca="1">(VLOOKUP(F$72,INDIRECT($C$5&amp;"生成成长"),2))/((VLOOKUP($B222,INDIRECT($B$5&amp;"生成成长"),4))/(VLOOKUP(F$72,INDIRECT($C$5&amp;"生成成长"),5))*(VLOOKUP($B$5,标准坦克设计!$B$24:$U$30,MATCH("对"&amp;LEFT($C$5,2)&amp;"输出",标准坦克设计!$B$23:$U$23,0)))*(VLOOKUP($B222,INDIRECT($B$5&amp;"生成成长"),3))*(VLOOKUP($B$5,标准坦克设计!$B$14:$K$20,9)/30))</f>
        <v>1.3131091928678058</v>
      </c>
      <c r="G222" s="172">
        <f ca="1">(VLOOKUP(G$72,INDIRECT($C$5&amp;"生成成长"),2))/((VLOOKUP($B222,INDIRECT($B$5&amp;"生成成长"),4))/(VLOOKUP(G$72,INDIRECT($C$5&amp;"生成成长"),5))*(VLOOKUP($B$5,标准坦克设计!$B$24:$U$30,MATCH("对"&amp;LEFT($C$5,2)&amp;"输出",标准坦克设计!$B$23:$U$23,0)))*(VLOOKUP($B222,INDIRECT($B$5&amp;"生成成长"),3))*(VLOOKUP($B$5,标准坦克设计!$B$14:$K$20,9)/30))</f>
        <v>1.4500407174328773</v>
      </c>
      <c r="H222" s="172">
        <f ca="1">(VLOOKUP(H$72,INDIRECT($C$5&amp;"生成成长"),2))/((VLOOKUP($B222,INDIRECT($B$5&amp;"生成成长"),4))/(VLOOKUP(H$72,INDIRECT($C$5&amp;"生成成长"),5))*(VLOOKUP($B$5,标准坦克设计!$B$24:$U$30,MATCH("对"&amp;LEFT($C$5,2)&amp;"输出",标准坦克设计!$B$23:$U$23,0)))*(VLOOKUP($B222,INDIRECT($B$5&amp;"生成成长"),3))*(VLOOKUP($B$5,标准坦克设计!$B$14:$K$20,9)/30))</f>
        <v>1.2689742386691463</v>
      </c>
      <c r="I222" s="172">
        <f ca="1">(VLOOKUP(I$72,INDIRECT($C$5&amp;"生成成长"),2))/((VLOOKUP($B222,INDIRECT($B$5&amp;"生成成长"),4))/(VLOOKUP(I$72,INDIRECT($C$5&amp;"生成成长"),5))*(VLOOKUP($B$5,标准坦克设计!$B$24:$U$30,MATCH("对"&amp;LEFT($C$5,2)&amp;"输出",标准坦克设计!$B$23:$U$23,0)))*(VLOOKUP($B222,INDIRECT($B$5&amp;"生成成长"),3))*(VLOOKUP($B$5,标准坦克设计!$B$14:$K$20,9)/30))</f>
        <v>1.4500407174328773</v>
      </c>
      <c r="J222" s="172">
        <f ca="1">(VLOOKUP(J$72,INDIRECT($C$5&amp;"生成成长"),2))/((VLOOKUP($B222,INDIRECT($B$5&amp;"生成成长"),4))/(VLOOKUP(J$72,INDIRECT($C$5&amp;"生成成长"),5))*(VLOOKUP($B$5,标准坦克设计!$B$24:$U$30,MATCH("对"&amp;LEFT($C$5,2)&amp;"输出",标准坦克设计!$B$23:$U$23,0)))*(VLOOKUP($B222,INDIRECT($B$5&amp;"生成成长"),3))*(VLOOKUP($B$5,标准坦克设计!$B$14:$K$20,9)/30))</f>
        <v>1.6431782947808564</v>
      </c>
      <c r="K222" s="172">
        <f ca="1">(VLOOKUP(K$72,INDIRECT($C$5&amp;"生成成长"),2))/((VLOOKUP($B222,INDIRECT($B$5&amp;"生成成长"),4))/(VLOOKUP(K$72,INDIRECT($C$5&amp;"生成成长"),5))*(VLOOKUP($B$5,标准坦克设计!$B$24:$U$30,MATCH("对"&amp;LEFT($C$5,2)&amp;"输出",标准坦克设计!$B$23:$U$23,0)))*(VLOOKUP($B222,INDIRECT($B$5&amp;"生成成长"),3))*(VLOOKUP($B$5,标准坦克设计!$B$14:$K$20,9)/30))</f>
        <v>1.8483869707130849</v>
      </c>
      <c r="L222" s="172">
        <f ca="1">(VLOOKUP(L$72,INDIRECT($C$5&amp;"生成成长"),2))/((VLOOKUP($B222,INDIRECT($B$5&amp;"生成成长"),4))/(VLOOKUP(L$72,INDIRECT($C$5&amp;"生成成长"),5))*(VLOOKUP($B$5,标准坦克设计!$B$24:$U$30,MATCH("对"&amp;LEFT($C$5,2)&amp;"输出",标准坦克设计!$B$23:$U$23,0)))*(VLOOKUP($B222,INDIRECT($B$5&amp;"生成成长"),3))*(VLOOKUP($B$5,标准坦克设计!$B$14:$K$20,9)/30))</f>
        <v>2.0656667452295618</v>
      </c>
      <c r="M222" s="172">
        <f ca="1">(VLOOKUP(M$72,INDIRECT($C$5&amp;"生成成长"),2))/((VLOOKUP($B222,INDIRECT($B$5&amp;"生成成长"),4))/(VLOOKUP(M$72,INDIRECT($C$5&amp;"生成成长"),5))*(VLOOKUP($B$5,标准坦克设计!$B$24:$U$30,MATCH("对"&amp;LEFT($C$5,2)&amp;"输出",标准坦克设计!$B$23:$U$23,0)))*(VLOOKUP($B222,INDIRECT($B$5&amp;"生成成长"),3))*(VLOOKUP($B$5,标准坦克设计!$B$14:$K$20,9)/30))</f>
        <v>2.2950176183302871</v>
      </c>
      <c r="N222" s="172">
        <f ca="1">(VLOOKUP(N$72,INDIRECT($C$5&amp;"生成成长"),2))/((VLOOKUP($B222,INDIRECT($B$5&amp;"生成成长"),4))/(VLOOKUP(N$72,INDIRECT($C$5&amp;"生成成长"),5))*(VLOOKUP($B$5,标准坦克设计!$B$24:$U$30,MATCH("对"&amp;LEFT($C$5,2)&amp;"输出",标准坦克设计!$B$23:$U$23,0)))*(VLOOKUP($B222,INDIRECT($B$5&amp;"生成成长"),3))*(VLOOKUP($B$5,标准坦克设计!$B$14:$K$20,9)/30))</f>
        <v>2.5364395900152612</v>
      </c>
      <c r="O222" s="172">
        <f ca="1">(VLOOKUP(O$72,INDIRECT($C$5&amp;"生成成长"),2))/((VLOOKUP($B222,INDIRECT($B$5&amp;"生成成长"),4))/(VLOOKUP(O$72,INDIRECT($C$5&amp;"生成成长"),5))*(VLOOKUP($B$5,标准坦克设计!$B$24:$U$30,MATCH("对"&amp;LEFT($C$5,2)&amp;"输出",标准坦克设计!$B$23:$U$23,0)))*(VLOOKUP($B222,INDIRECT($B$5&amp;"生成成长"),3))*(VLOOKUP($B$5,标准坦克设计!$B$14:$K$20,9)/30))</f>
        <v>1.9284523042914219</v>
      </c>
      <c r="P222" s="172">
        <f ca="1">(VLOOKUP(P$72,INDIRECT($C$5&amp;"生成成长"),2))/((VLOOKUP($B222,INDIRECT($B$5&amp;"生成成长"),4))/(VLOOKUP(P$72,INDIRECT($C$5&amp;"生成成长"),5))*(VLOOKUP($B$5,标准坦克设计!$B$24:$U$30,MATCH("对"&amp;LEFT($C$5,2)&amp;"输出",标准坦克设计!$B$23:$U$23,0)))*(VLOOKUP($B222,INDIRECT($B$5&amp;"生成成长"),3))*(VLOOKUP($B$5,标准坦克设计!$B$14:$K$20,9)/30))</f>
        <v>2.1788332944568931</v>
      </c>
      <c r="Q222" s="172">
        <f ca="1">(VLOOKUP(Q$72,INDIRECT($C$5&amp;"生成成长"),2))/((VLOOKUP($B222,INDIRECT($B$5&amp;"生成成长"),4))/(VLOOKUP(Q$72,INDIRECT($C$5&amp;"生成成长"),5))*(VLOOKUP($B$5,标准坦克设计!$B$24:$U$30,MATCH("对"&amp;LEFT($C$5,2)&amp;"输出",标准坦克设计!$B$23:$U$23,0)))*(VLOOKUP($B222,INDIRECT($B$5&amp;"生成成长"),3))*(VLOOKUP($B$5,标准坦克设计!$B$14:$K$20,9)/30))</f>
        <v>2.4444917687680547</v>
      </c>
      <c r="R222" s="172">
        <f ca="1">(VLOOKUP(R$72,INDIRECT($C$5&amp;"生成成长"),2))/((VLOOKUP($B222,INDIRECT($B$5&amp;"生成成长"),4))/(VLOOKUP(R$72,INDIRECT($C$5&amp;"生成成长"),5))*(VLOOKUP($B$5,标准坦克设计!$B$24:$U$30,MATCH("对"&amp;LEFT($C$5,2)&amp;"输出",标准坦克设计!$B$23:$U$23,0)))*(VLOOKUP($B222,INDIRECT($B$5&amp;"生成成长"),3))*(VLOOKUP($B$5,标准坦克设计!$B$14:$K$20,9)/30))</f>
        <v>2.7254277272249054</v>
      </c>
      <c r="S222" s="172">
        <f ca="1">(VLOOKUP(S$72,INDIRECT($C$5&amp;"生成成长"),2))/((VLOOKUP($B222,INDIRECT($B$5&amp;"生成成长"),4))/(VLOOKUP(S$72,INDIRECT($C$5&amp;"生成成长"),5))*(VLOOKUP($B$5,标准坦克设计!$B$24:$U$30,MATCH("对"&amp;LEFT($C$5,2)&amp;"输出",标准坦克设计!$B$23:$U$23,0)))*(VLOOKUP($B222,INDIRECT($B$5&amp;"生成成长"),3))*(VLOOKUP($B$5,标准坦克设计!$B$14:$K$20,9)/30))</f>
        <v>3.0216411698274461</v>
      </c>
      <c r="T222" s="172">
        <f ca="1">(VLOOKUP(T$72,INDIRECT($C$5&amp;"生成成长"),2))/((VLOOKUP($B222,INDIRECT($B$5&amp;"生成成长"),4))/(VLOOKUP(T$72,INDIRECT($C$5&amp;"生成成长"),5))*(VLOOKUP($B$5,标准坦克设计!$B$24:$U$30,MATCH("对"&amp;LEFT($C$5,2)&amp;"输出",标准坦克设计!$B$23:$U$23,0)))*(VLOOKUP($B222,INDIRECT($B$5&amp;"生成成长"),3))*(VLOOKUP($B$5,标准坦克设计!$B$14:$K$20,9)/30))</f>
        <v>3.3331320965756772</v>
      </c>
      <c r="U222" s="172">
        <f ca="1">(VLOOKUP(U$72,INDIRECT($C$5&amp;"生成成长"),2))/((VLOOKUP($B222,INDIRECT($B$5&amp;"生成成长"),4))/(VLOOKUP(U$72,INDIRECT($C$5&amp;"生成成长"),5))*(VLOOKUP($B$5,标准坦克设计!$B$24:$U$30,MATCH("对"&amp;LEFT($C$5,2)&amp;"输出",标准坦克设计!$B$23:$U$23,0)))*(VLOOKUP($B222,INDIRECT($B$5&amp;"生成成长"),3))*(VLOOKUP($B$5,标准坦克设计!$B$14:$K$20,9)/30))</f>
        <v>3.6599005074695969</v>
      </c>
      <c r="V222" s="172">
        <f ca="1">(VLOOKUP(V$72,INDIRECT($C$5&amp;"生成成长"),2))/((VLOOKUP($B222,INDIRECT($B$5&amp;"生成成长"),4))/(VLOOKUP(V$72,INDIRECT($C$5&amp;"生成成长"),5))*(VLOOKUP($B$5,标准坦克设计!$B$24:$U$30,MATCH("对"&amp;LEFT($C$5,2)&amp;"输出",标准坦克设计!$B$23:$U$23,0)))*(VLOOKUP($B222,INDIRECT($B$5&amp;"生成成长"),3))*(VLOOKUP($B$5,标准坦克设计!$B$14:$K$20,9)/30))</f>
        <v>4.0019464025092075</v>
      </c>
      <c r="W222" s="172">
        <f ca="1">(VLOOKUP(W$72,INDIRECT($C$5&amp;"生成成长"),2))/((VLOOKUP($B222,INDIRECT($B$5&amp;"生成成长"),4))/(VLOOKUP(W$72,INDIRECT($C$5&amp;"生成成长"),5))*(VLOOKUP($B$5,标准坦克设计!$B$24:$U$30,MATCH("对"&amp;LEFT($C$5,2)&amp;"输出",标准坦克设计!$B$23:$U$23,0)))*(VLOOKUP($B222,INDIRECT($B$5&amp;"生成成长"),3))*(VLOOKUP($B$5,标准坦克设计!$B$14:$K$20,9)/30))</f>
        <v>4.3592697816945067</v>
      </c>
      <c r="X222" s="172">
        <f ca="1">(VLOOKUP(X$72,INDIRECT($C$5&amp;"生成成长"),2))/((VLOOKUP($B222,INDIRECT($B$5&amp;"生成成长"),4))/(VLOOKUP(X$72,INDIRECT($C$5&amp;"生成成长"),5))*(VLOOKUP($B$5,标准坦克设计!$B$24:$U$30,MATCH("对"&amp;LEFT($C$5,2)&amp;"输出",标准坦克设计!$B$23:$U$23,0)))*(VLOOKUP($B222,INDIRECT($B$5&amp;"生成成长"),3))*(VLOOKUP($B$5,标准坦克设计!$B$14:$K$20,9)/30))</f>
        <v>3.1581954725617596</v>
      </c>
      <c r="Y222" s="172">
        <f ca="1">(VLOOKUP(Y$72,INDIRECT($C$5&amp;"生成成长"),2))/((VLOOKUP($B222,INDIRECT($B$5&amp;"生成成长"),4))/(VLOOKUP(Y$72,INDIRECT($C$5&amp;"生成成长"),5))*(VLOOKUP($B$5,标准坦克设计!$B$24:$U$30,MATCH("对"&amp;LEFT($C$5,2)&amp;"输出",标准坦克设计!$B$23:$U$23,0)))*(VLOOKUP($B222,INDIRECT($B$5&amp;"生成成长"),3))*(VLOOKUP($B$5,标准坦克设计!$B$14:$K$20,9)/30))</f>
        <v>3.5127839934740659</v>
      </c>
      <c r="Z222" s="172">
        <f ca="1">(VLOOKUP(Z$72,INDIRECT($C$5&amp;"生成成长"),2))/((VLOOKUP($B222,INDIRECT($B$5&amp;"生成成长"),4))/(VLOOKUP(Z$72,INDIRECT($C$5&amp;"生成成长"),5))*(VLOOKUP($B$5,标准坦克设计!$B$24:$U$30,MATCH("对"&amp;LEFT($C$5,2)&amp;"输出",标准坦克设计!$B$23:$U$23,0)))*(VLOOKUP($B222,INDIRECT($B$5&amp;"生成成长"),3))*(VLOOKUP($B$5,标准坦克设计!$B$14:$K$20,9)/30))</f>
        <v>3.8862336059242604</v>
      </c>
      <c r="AA222" s="172">
        <f ca="1">(VLOOKUP(AA$72,INDIRECT($C$5&amp;"生成成长"),2))/((VLOOKUP($B222,INDIRECT($B$5&amp;"生成成长"),4))/(VLOOKUP(AA$72,INDIRECT($C$5&amp;"生成成长"),5))*(VLOOKUP($B$5,标准坦克设计!$B$24:$U$30,MATCH("对"&amp;LEFT($C$5,2)&amp;"输出",标准坦克设计!$B$23:$U$23,0)))*(VLOOKUP($B222,INDIRECT($B$5&amp;"生成成长"),3))*(VLOOKUP($B$5,标准坦克设计!$B$14:$K$20,9)/30))</f>
        <v>4.278544309912343</v>
      </c>
      <c r="AB222" s="172">
        <f ca="1">(VLOOKUP(AB$72,INDIRECT($C$5&amp;"生成成长"),2))/((VLOOKUP($B222,INDIRECT($B$5&amp;"生成成长"),4))/(VLOOKUP(AB$72,INDIRECT($C$5&amp;"生成成长"),5))*(VLOOKUP($B$5,标准坦克设计!$B$24:$U$30,MATCH("对"&amp;LEFT($C$5,2)&amp;"输出",标准坦克设计!$B$23:$U$23,0)))*(VLOOKUP($B222,INDIRECT($B$5&amp;"生成成长"),3))*(VLOOKUP($B$5,标准坦克设计!$B$14:$K$20,9)/30))</f>
        <v>4.6897161054383165</v>
      </c>
      <c r="AC222" s="172">
        <f ca="1">(VLOOKUP(AC$72,INDIRECT($C$5&amp;"生成成长"),2))/((VLOOKUP($B222,INDIRECT($B$5&amp;"生成成长"),4))/(VLOOKUP(AC$72,INDIRECT($C$5&amp;"生成成长"),5))*(VLOOKUP($B$5,标准坦克设计!$B$24:$U$30,MATCH("对"&amp;LEFT($C$5,2)&amp;"输出",标准坦克设计!$B$23:$U$23,0)))*(VLOOKUP($B222,INDIRECT($B$5&amp;"生成成长"),3))*(VLOOKUP($B$5,标准坦克设计!$B$14:$K$20,9)/30))</f>
        <v>5.119748992502176</v>
      </c>
      <c r="AD222" s="172">
        <f ca="1">(VLOOKUP(AD$72,INDIRECT($C$5&amp;"生成成长"),2))/((VLOOKUP($B222,INDIRECT($B$5&amp;"生成成长"),4))/(VLOOKUP(AD$72,INDIRECT($C$5&amp;"生成成长"),5))*(VLOOKUP($B$5,标准坦克设计!$B$24:$U$30,MATCH("对"&amp;LEFT($C$5,2)&amp;"输出",标准坦克设计!$B$23:$U$23,0)))*(VLOOKUP($B222,INDIRECT($B$5&amp;"生成成长"),3))*(VLOOKUP($B$5,标准坦克设计!$B$14:$K$20,9)/30))</f>
        <v>5.5686429711039267</v>
      </c>
      <c r="AE222" s="172">
        <f ca="1">(VLOOKUP(AE$72,INDIRECT($C$5&amp;"生成成长"),2))/((VLOOKUP($B222,INDIRECT($B$5&amp;"生成成长"),4))/(VLOOKUP(AE$72,INDIRECT($C$5&amp;"生成成长"),5))*(VLOOKUP($B$5,标准坦克设计!$B$24:$U$30,MATCH("对"&amp;LEFT($C$5,2)&amp;"输出",标准坦克设计!$B$23:$U$23,0)))*(VLOOKUP($B222,INDIRECT($B$5&amp;"生成成长"),3))*(VLOOKUP($B$5,标准坦克设计!$B$14:$K$20,9)/30))</f>
        <v>6.0363980412435643</v>
      </c>
      <c r="AF222" s="172">
        <f ca="1">(VLOOKUP(AF$72,INDIRECT($C$5&amp;"生成成长"),2))/((VLOOKUP($B222,INDIRECT($B$5&amp;"生成成长"),4))/(VLOOKUP(AF$72,INDIRECT($C$5&amp;"生成成长"),5))*(VLOOKUP($B$5,标准坦克设计!$B$24:$U$30,MATCH("对"&amp;LEFT($C$5,2)&amp;"输出",标准坦克设计!$B$23:$U$23,0)))*(VLOOKUP($B222,INDIRECT($B$5&amp;"生成成长"),3))*(VLOOKUP($B$5,标准坦克设计!$B$14:$K$20,9)/30))</f>
        <v>6.5230142029210896</v>
      </c>
      <c r="AG222" s="172">
        <f ca="1">(VLOOKUP(AG$72,INDIRECT($C$5&amp;"生成成长"),2))/((VLOOKUP($B222,INDIRECT($B$5&amp;"生成成长"),4))/(VLOOKUP(AG$72,INDIRECT($C$5&amp;"生成成长"),5))*(VLOOKUP($B$5,标准坦克设计!$B$24:$U$30,MATCH("对"&amp;LEFT($C$5,2)&amp;"输出",标准坦克设计!$B$23:$U$23,0)))*(VLOOKUP($B222,INDIRECT($B$5&amp;"生成成长"),3))*(VLOOKUP($B$5,标准坦克设计!$B$14:$K$20,9)/30))</f>
        <v>7.0284914561365044</v>
      </c>
      <c r="AH222" s="172">
        <f ca="1">(VLOOKUP(AH$72,INDIRECT($C$5&amp;"生成成长"),2))/((VLOOKUP($B222,INDIRECT($B$5&amp;"生成成长"),4))/(VLOOKUP(AH$72,INDIRECT($C$5&amp;"生成成长"),5))*(VLOOKUP($B$5,标准坦克设计!$B$24:$U$30,MATCH("对"&amp;LEFT($C$5,2)&amp;"输出",标准坦克设计!$B$23:$U$23,0)))*(VLOOKUP($B222,INDIRECT($B$5&amp;"生成成长"),3))*(VLOOKUP($B$5,标准坦克设计!$B$14:$K$20,9)/30))</f>
        <v>7.5528298008898078</v>
      </c>
      <c r="AI222" s="172">
        <f ca="1">(VLOOKUP(AI$72,INDIRECT($C$5&amp;"生成成长"),2))/((VLOOKUP($B222,INDIRECT($B$5&amp;"生成成长"),4))/(VLOOKUP(AI$72,INDIRECT($C$5&amp;"生成成长"),5))*(VLOOKUP($B$5,标准坦克设计!$B$24:$U$30,MATCH("对"&amp;LEFT($C$5,2)&amp;"输出",标准坦克设计!$B$23:$U$23,0)))*(VLOOKUP($B222,INDIRECT($B$5&amp;"生成成长"),3))*(VLOOKUP($B$5,标准坦克设计!$B$14:$K$20,9)/30))</f>
        <v>5.3418383453608156</v>
      </c>
      <c r="AJ222" s="172">
        <f ca="1">(VLOOKUP(AJ$72,INDIRECT($C$5&amp;"生成成长"),2))/((VLOOKUP($B222,INDIRECT($B$5&amp;"生成成长"),4))/(VLOOKUP(AJ$72,INDIRECT($C$5&amp;"生成成长"),5))*(VLOOKUP($B$5,标准坦克设计!$B$24:$U$30,MATCH("对"&amp;LEFT($C$5,2)&amp;"输出",标准坦克设计!$B$23:$U$23,0)))*(VLOOKUP($B222,INDIRECT($B$5&amp;"生成成长"),3))*(VLOOKUP($B$5,标准坦克设计!$B$14:$K$20,9)/30))</f>
        <v>5.847032682203162</v>
      </c>
      <c r="AK222" s="172">
        <f ca="1">(VLOOKUP(AK$72,INDIRECT($C$5&amp;"生成成长"),2))/((VLOOKUP($B222,INDIRECT($B$5&amp;"生成成长"),4))/(VLOOKUP(AK$72,INDIRECT($C$5&amp;"生成成长"),5))*(VLOOKUP($B$5,标准坦克设计!$B$24:$U$30,MATCH("对"&amp;LEFT($C$5,2)&amp;"输出",标准坦克设计!$B$23:$U$23,0)))*(VLOOKUP($B222,INDIRECT($B$5&amp;"生成成长"),3))*(VLOOKUP($B$5,标准坦克设计!$B$14:$K$20,9)/30))</f>
        <v>6.3750489398063532</v>
      </c>
      <c r="AL222" s="172">
        <f ca="1">(VLOOKUP(AL$72,INDIRECT($C$5&amp;"生成成长"),2))/((VLOOKUP($B222,INDIRECT($B$5&amp;"生成成长"),4))/(VLOOKUP(AL$72,INDIRECT($C$5&amp;"生成成长"),5))*(VLOOKUP($B$5,标准坦克设计!$B$24:$U$30,MATCH("对"&amp;LEFT($C$5,2)&amp;"输出",标准坦克设计!$B$23:$U$23,0)))*(VLOOKUP($B222,INDIRECT($B$5&amp;"生成成长"),3))*(VLOOKUP($B$5,标准坦克设计!$B$14:$K$20,9)/30))</f>
        <v>6.9258871181703903</v>
      </c>
      <c r="AM222" s="172">
        <f ca="1">(VLOOKUP(AM$72,INDIRECT($C$5&amp;"生成成长"),2))/((VLOOKUP($B222,INDIRECT($B$5&amp;"生成成长"),4))/(VLOOKUP(AM$72,INDIRECT($C$5&amp;"生成成长"),5))*(VLOOKUP($B$5,标准坦克设计!$B$24:$U$30,MATCH("对"&amp;LEFT($C$5,2)&amp;"输出",标准坦克设计!$B$23:$U$23,0)))*(VLOOKUP($B222,INDIRECT($B$5&amp;"生成成长"),3))*(VLOOKUP($B$5,标准坦克设计!$B$14:$K$20,9)/30))</f>
        <v>7.4995472172952722</v>
      </c>
      <c r="AN222" s="172">
        <f ca="1">(VLOOKUP(AN$72,INDIRECT($C$5&amp;"生成成长"),2))/((VLOOKUP($B222,INDIRECT($B$5&amp;"生成成长"),4))/(VLOOKUP(AN$72,INDIRECT($C$5&amp;"生成成长"),5))*(VLOOKUP($B$5,标准坦克设计!$B$24:$U$30,MATCH("对"&amp;LEFT($C$5,2)&amp;"输出",标准坦克设计!$B$23:$U$23,0)))*(VLOOKUP($B222,INDIRECT($B$5&amp;"生成成长"),3))*(VLOOKUP($B$5,标准坦克设计!$B$14:$K$20,9)/30))</f>
        <v>8.0960292371809999</v>
      </c>
      <c r="AO222" s="172">
        <f ca="1">(VLOOKUP(AO$72,INDIRECT($C$5&amp;"生成成长"),2))/((VLOOKUP($B222,INDIRECT($B$5&amp;"生成成长"),4))/(VLOOKUP(AO$72,INDIRECT($C$5&amp;"生成成长"),5))*(VLOOKUP($B$5,标准坦克设计!$B$24:$U$30,MATCH("对"&amp;LEFT($C$5,2)&amp;"输出",标准坦克设计!$B$23:$U$23,0)))*(VLOOKUP($B222,INDIRECT($B$5&amp;"生成成长"),3))*(VLOOKUP($B$5,标准坦克设计!$B$14:$K$20,9)/30))</f>
        <v>8.7153331778275724</v>
      </c>
      <c r="AP222" s="172">
        <f ca="1">(VLOOKUP(AP$72,INDIRECT($C$5&amp;"生成成长"),2))/((VLOOKUP($B222,INDIRECT($B$5&amp;"生成成长"),4))/(VLOOKUP(AP$72,INDIRECT($C$5&amp;"生成成长"),5))*(VLOOKUP($B$5,标准坦克设计!$B$24:$U$30,MATCH("对"&amp;LEFT($C$5,2)&amp;"输出",标准坦克设计!$B$23:$U$23,0)))*(VLOOKUP($B222,INDIRECT($B$5&amp;"生成成长"),3))*(VLOOKUP($B$5,标准坦克设计!$B$14:$K$20,9)/30))</f>
        <v>9.3574590392349926</v>
      </c>
      <c r="AQ222" s="172">
        <f ca="1">(VLOOKUP(AQ$72,INDIRECT($C$5&amp;"生成成长"),2))/((VLOOKUP($B222,INDIRECT($B$5&amp;"生成成长"),4))/(VLOOKUP(AQ$72,INDIRECT($C$5&amp;"生成成长"),5))*(VLOOKUP($B$5,标准坦克设计!$B$24:$U$30,MATCH("对"&amp;LEFT($C$5,2)&amp;"输出",标准坦克设计!$B$23:$U$23,0)))*(VLOOKUP($B222,INDIRECT($B$5&amp;"生成成长"),3))*(VLOOKUP($B$5,标准坦克设计!$B$14:$K$20,9)/30))</f>
        <v>10.022406821403255</v>
      </c>
      <c r="AR222" s="172">
        <f ca="1">(VLOOKUP(AR$72,INDIRECT($C$5&amp;"生成成长"),2))/((VLOOKUP($B222,INDIRECT($B$5&amp;"生成成长"),4))/(VLOOKUP(AR$72,INDIRECT($C$5&amp;"生成成长"),5))*(VLOOKUP($B$5,标准坦克设计!$B$24:$U$30,MATCH("对"&amp;LEFT($C$5,2)&amp;"输出",标准坦克设计!$B$23:$U$23,0)))*(VLOOKUP($B222,INDIRECT($B$5&amp;"生成成长"),3))*(VLOOKUP($B$5,标准坦克设计!$B$14:$K$20,9)/30))</f>
        <v>10.710176524332363</v>
      </c>
      <c r="AS222" s="172">
        <f ca="1">(VLOOKUP(AS$72,INDIRECT($C$5&amp;"生成成长"),2))/((VLOOKUP($B222,INDIRECT($B$5&amp;"生成成长"),4))/(VLOOKUP(AS$72,INDIRECT($C$5&amp;"生成成长"),5))*(VLOOKUP($B$5,标准坦克设计!$B$24:$U$30,MATCH("对"&amp;LEFT($C$5,2)&amp;"输出",标准坦克设计!$B$23:$U$23,0)))*(VLOOKUP($B222,INDIRECT($B$5&amp;"生成成长"),3))*(VLOOKUP($B$5,标准坦克设计!$B$14:$K$20,9)/30))</f>
        <v>11.420768148022317</v>
      </c>
      <c r="AT222" s="172">
        <f ca="1">(VLOOKUP(AT$72,INDIRECT($C$5&amp;"生成成长"),2))/((VLOOKUP($B222,INDIRECT($B$5&amp;"生成成长"),4))/(VLOOKUP(AT$72,INDIRECT($C$5&amp;"生成成长"),5))*(VLOOKUP($B$5,标准坦克设计!$B$24:$U$30,MATCH("对"&amp;LEFT($C$5,2)&amp;"输出",标准坦克设计!$B$23:$U$23,0)))*(VLOOKUP($B222,INDIRECT($B$5&amp;"生成成长"),3))*(VLOOKUP($B$5,标准坦克设计!$B$14:$K$20,9)/30))</f>
        <v>12.154181692473117</v>
      </c>
      <c r="AU222" s="172">
        <f ca="1">(VLOOKUP(AU$72,INDIRECT($C$5&amp;"生成成长"),2))/((VLOOKUP($B222,INDIRECT($B$5&amp;"生成成长"),4))/(VLOOKUP(AU$72,INDIRECT($C$5&amp;"生成成长"),5))*(VLOOKUP($B$5,标准坦克设计!$B$24:$U$30,MATCH("对"&amp;LEFT($C$5,2)&amp;"输出",标准坦克设计!$B$23:$U$23,0)))*(VLOOKUP($B222,INDIRECT($B$5&amp;"生成成长"),3))*(VLOOKUP($B$5,标准坦克设计!$B$14:$K$20,9)/30))</f>
        <v>12.910417157684758</v>
      </c>
      <c r="AV222" s="172">
        <f ca="1">(VLOOKUP(AV$72,INDIRECT($C$5&amp;"生成成长"),2))/((VLOOKUP($B222,INDIRECT($B$5&amp;"生成成长"),4))/(VLOOKUP(AV$72,INDIRECT($C$5&amp;"生成成长"),5))*(VLOOKUP($B$5,标准坦克设计!$B$24:$U$30,MATCH("对"&amp;LEFT($C$5,2)&amp;"输出",标准坦克设计!$B$23:$U$23,0)))*(VLOOKUP($B222,INDIRECT($B$5&amp;"生成成长"),3))*(VLOOKUP($B$5,标准坦克设计!$B$14:$K$20,9)/30))</f>
        <v>1.3131091928678058</v>
      </c>
      <c r="AW222" s="172">
        <f ca="1">(VLOOKUP(AW$72,INDIRECT($C$5&amp;"生成成长"),2))/((VLOOKUP($B222,INDIRECT($B$5&amp;"生成成长"),4))/(VLOOKUP(AW$72,INDIRECT($C$5&amp;"生成成长"),5))*(VLOOKUP($B$5,标准坦克设计!$B$24:$U$30,MATCH("对"&amp;LEFT($C$5,2)&amp;"输出",标准坦克设计!$B$23:$U$23,0)))*(VLOOKUP($B222,INDIRECT($B$5&amp;"生成成长"),3))*(VLOOKUP($B$5,标准坦克设计!$B$14:$K$20,9)/30))</f>
        <v>1.4971934462775986</v>
      </c>
      <c r="AX222" s="172">
        <f ca="1">(VLOOKUP(AX$72,INDIRECT($C$5&amp;"生成成长"),2))/((VLOOKUP($B222,INDIRECT($B$5&amp;"生成成长"),4))/(VLOOKUP(AX$72,INDIRECT($C$5&amp;"生成成长"),5))*(VLOOKUP($B$5,标准坦克设计!$B$24:$U$30,MATCH("对"&amp;LEFT($C$5,2)&amp;"输出",标准坦克设计!$B$23:$U$23,0)))*(VLOOKUP($B222,INDIRECT($B$5&amp;"生成成长"),3))*(VLOOKUP($B$5,标准坦克设计!$B$14:$K$20,9)/30))</f>
        <v>1.6933487982716404</v>
      </c>
      <c r="AY222" s="172">
        <f ca="1">(VLOOKUP(AY$72,INDIRECT($C$5&amp;"生成成长"),2))/((VLOOKUP($B222,INDIRECT($B$5&amp;"生成成长"),4))/(VLOOKUP(AY$72,INDIRECT($C$5&amp;"生成成长"),5))*(VLOOKUP($B$5,标准坦克设计!$B$24:$U$30,MATCH("对"&amp;LEFT($C$5,2)&amp;"输出",标准坦克设计!$B$23:$U$23,0)))*(VLOOKUP($B222,INDIRECT($B$5&amp;"生成成长"),3))*(VLOOKUP($B$5,标准坦克设计!$B$14:$K$20,9)/30))</f>
        <v>1.9015752488499307</v>
      </c>
      <c r="AZ222" s="172">
        <f ca="1">(VLOOKUP(AZ$72,INDIRECT($C$5&amp;"生成成长"),2))/((VLOOKUP($B222,INDIRECT($B$5&amp;"生成成长"),4))/(VLOOKUP(AZ$72,INDIRECT($C$5&amp;"生成成长"),5))*(VLOOKUP($B$5,标准坦克设计!$B$24:$U$30,MATCH("对"&amp;LEFT($C$5,2)&amp;"输出",标准坦克设计!$B$23:$U$23,0)))*(VLOOKUP($B222,INDIRECT($B$5&amp;"生成成长"),3))*(VLOOKUP($B$5,标准坦克设计!$B$14:$K$20,9)/30))</f>
        <v>2.1218727980124696</v>
      </c>
      <c r="BA222" s="172">
        <f ca="1">(VLOOKUP(BA$72,INDIRECT($C$5&amp;"生成成长"),2))/((VLOOKUP($B222,INDIRECT($B$5&amp;"生成成长"),4))/(VLOOKUP(BA$72,INDIRECT($C$5&amp;"生成成长"),5))*(VLOOKUP($B$5,标准坦克设计!$B$24:$U$30,MATCH("对"&amp;LEFT($C$5,2)&amp;"输出",标准坦克设计!$B$23:$U$23,0)))*(VLOOKUP($B222,INDIRECT($B$5&amp;"生成成长"),3))*(VLOOKUP($B$5,标准坦克设计!$B$14:$K$20,9)/30))</f>
        <v>2.3542414457592571</v>
      </c>
      <c r="BB222" s="172">
        <f ca="1">(VLOOKUP(BB$72,INDIRECT($C$5&amp;"生成成长"),2))/((VLOOKUP($B222,INDIRECT($B$5&amp;"生成成长"),4))/(VLOOKUP(BB$72,INDIRECT($C$5&amp;"生成成长"),5))*(VLOOKUP($B$5,标准坦克设计!$B$24:$U$30,MATCH("对"&amp;LEFT($C$5,2)&amp;"输出",标准坦克设计!$B$23:$U$23,0)))*(VLOOKUP($B222,INDIRECT($B$5&amp;"生成成长"),3))*(VLOOKUP($B$5,标准坦克设计!$B$14:$K$20,9)/30))</f>
        <v>2.5986811920902939</v>
      </c>
      <c r="BC222" s="172">
        <f ca="1">(VLOOKUP(BC$72,INDIRECT($C$5&amp;"生成成长"),2))/((VLOOKUP($B222,INDIRECT($B$5&amp;"生成成长"),4))/(VLOOKUP(BC$72,INDIRECT($C$5&amp;"生成成长"),5))*(VLOOKUP($B$5,标准坦克设计!$B$24:$U$30,MATCH("对"&amp;LEFT($C$5,2)&amp;"输出",标准坦克设计!$B$23:$U$23,0)))*(VLOOKUP($B222,INDIRECT($B$5&amp;"生成成长"),3))*(VLOOKUP($B$5,标准坦克设计!$B$14:$K$20,9)/30))</f>
        <v>2.8551920370055792</v>
      </c>
      <c r="BD222" s="172">
        <f ca="1">(VLOOKUP(BD$72,INDIRECT($C$5&amp;"生成成长"),2))/((VLOOKUP($B222,INDIRECT($B$5&amp;"生成成长"),4))/(VLOOKUP(BD$72,INDIRECT($C$5&amp;"生成成长"),5))*(VLOOKUP($B$5,标准坦克设计!$B$24:$U$30,MATCH("对"&amp;LEFT($C$5,2)&amp;"输出",标准坦克设计!$B$23:$U$23,0)))*(VLOOKUP($B222,INDIRECT($B$5&amp;"生成成长"),3))*(VLOOKUP($B$5,标准坦克设计!$B$14:$K$20,9)/30))</f>
        <v>3.1581954725617596</v>
      </c>
      <c r="BE222" s="172">
        <f ca="1">(VLOOKUP(BE$72,INDIRECT($C$5&amp;"生成成长"),2))/((VLOOKUP($B222,INDIRECT($B$5&amp;"生成成长"),4))/(VLOOKUP(BE$72,INDIRECT($C$5&amp;"生成成长"),5))*(VLOOKUP($B$5,标准坦克设计!$B$24:$U$30,MATCH("对"&amp;LEFT($C$5,2)&amp;"输出",标准坦克设计!$B$23:$U$23,0)))*(VLOOKUP($B222,INDIRECT($B$5&amp;"生成成长"),3))*(VLOOKUP($B$5,标准坦克设计!$B$14:$K$20,9)/30))</f>
        <v>3.4764763922636304</v>
      </c>
      <c r="BF222" s="172">
        <f ca="1">(VLOOKUP(BF$72,INDIRECT($C$5&amp;"生成成长"),2))/((VLOOKUP($B222,INDIRECT($B$5&amp;"生成成长"),4))/(VLOOKUP(BF$72,INDIRECT($C$5&amp;"生成成长"),5))*(VLOOKUP($B$5,标准坦克设计!$B$24:$U$30,MATCH("对"&amp;LEFT($C$5,2)&amp;"输出",标准坦克设计!$B$23:$U$23,0)))*(VLOOKUP($B222,INDIRECT($B$5&amp;"生成成长"),3))*(VLOOKUP($B$5,标准坦克设计!$B$14:$K$20,9)/30))</f>
        <v>3.8100347961111902</v>
      </c>
      <c r="BG222" s="172">
        <f ca="1">(VLOOKUP(BG$72,INDIRECT($C$5&amp;"生成成长"),2))/((VLOOKUP($B222,INDIRECT($B$5&amp;"生成成长"),4))/(VLOOKUP(BG$72,INDIRECT($C$5&amp;"生成成长"),5))*(VLOOKUP($B$5,标准坦克设计!$B$24:$U$30,MATCH("对"&amp;LEFT($C$5,2)&amp;"输出",标准坦克设计!$B$23:$U$23,0)))*(VLOOKUP($B222,INDIRECT($B$5&amp;"生成成长"),3))*(VLOOKUP($B$5,标准坦克设计!$B$14:$K$20,9)/30))</f>
        <v>4.1588706841044409</v>
      </c>
      <c r="BH222" s="172">
        <f ca="1">(VLOOKUP(BH$72,INDIRECT($C$5&amp;"生成成长"),2))/((VLOOKUP($B222,INDIRECT($B$5&amp;"生成成长"),4))/(VLOOKUP(BH$72,INDIRECT($C$5&amp;"生成成长"),5))*(VLOOKUP($B$5,标准坦克设计!$B$24:$U$30,MATCH("对"&amp;LEFT($C$5,2)&amp;"输出",标准坦克设计!$B$23:$U$23,0)))*(VLOOKUP($B222,INDIRECT($B$5&amp;"生成成长"),3))*(VLOOKUP($B$5,标准坦克设计!$B$14:$K$20,9)/30))</f>
        <v>2.0102151361081693</v>
      </c>
      <c r="BI222" s="172">
        <f ca="1">(VLOOKUP(BI$72,INDIRECT($C$5&amp;"生成成长"),2))/((VLOOKUP($B222,INDIRECT($B$5&amp;"生成成长"),4))/(VLOOKUP(BI$72,INDIRECT($C$5&amp;"生成成长"),5))*(VLOOKUP($B$5,标准坦克设计!$B$24:$U$30,MATCH("对"&amp;LEFT($C$5,2)&amp;"输出",标准坦克设计!$B$23:$U$23,0)))*(VLOOKUP($B222,INDIRECT($B$5&amp;"生成成长"),3))*(VLOOKUP($B$5,标准坦克设计!$B$14:$K$20,9)/30))</f>
        <v>2.26568862098887</v>
      </c>
      <c r="BJ222" s="172">
        <f ca="1">(VLOOKUP(BJ$72,INDIRECT($C$5&amp;"生成成长"),2))/((VLOOKUP($B222,INDIRECT($B$5&amp;"生成成长"),4))/(VLOOKUP(BJ$72,INDIRECT($C$5&amp;"生成成长"),5))*(VLOOKUP($B$5,标准坦克设计!$B$24:$U$30,MATCH("对"&amp;LEFT($C$5,2)&amp;"输出",标准坦克设计!$B$23:$U$23,0)))*(VLOOKUP($B222,INDIRECT($B$5&amp;"生成成长"),3))*(VLOOKUP($B$5,标准坦克设计!$B$14:$K$20,9)/30))</f>
        <v>2.5364395900152612</v>
      </c>
      <c r="BK222" s="172">
        <f ca="1">(VLOOKUP(BK$72,INDIRECT($C$5&amp;"生成成长"),2))/((VLOOKUP($B222,INDIRECT($B$5&amp;"生成成长"),4))/(VLOOKUP(BK$72,INDIRECT($C$5&amp;"生成成长"),5))*(VLOOKUP($B$5,标准坦克设计!$B$24:$U$30,MATCH("对"&amp;LEFT($C$5,2)&amp;"输出",标准坦克设计!$B$23:$U$23,0)))*(VLOOKUP($B222,INDIRECT($B$5&amp;"生成成长"),3))*(VLOOKUP($B$5,标准坦克设计!$B$14:$K$20,9)/30))</f>
        <v>2.8224680431873419</v>
      </c>
      <c r="BL222" s="172">
        <f ca="1">(VLOOKUP(BL$72,INDIRECT($C$5&amp;"生成成长"),2))/((VLOOKUP($B222,INDIRECT($B$5&amp;"生成成长"),4))/(VLOOKUP(BL$72,INDIRECT($C$5&amp;"生成成长"),5))*(VLOOKUP($B$5,标准坦克设计!$B$24:$U$30,MATCH("对"&amp;LEFT($C$5,2)&amp;"输出",标准坦克设计!$B$23:$U$23,0)))*(VLOOKUP($B222,INDIRECT($B$5&amp;"生成成长"),3))*(VLOOKUP($B$5,标准坦克设计!$B$14:$K$20,9)/30))</f>
        <v>3.123773980505113</v>
      </c>
      <c r="BM222" s="172">
        <f ca="1">(VLOOKUP(BM$72,INDIRECT($C$5&amp;"生成成长"),2))/((VLOOKUP($B222,INDIRECT($B$5&amp;"生成成长"),4))/(VLOOKUP(BM$72,INDIRECT($C$5&amp;"生成成长"),5))*(VLOOKUP($B$5,标准坦克设计!$B$24:$U$30,MATCH("对"&amp;LEFT($C$5,2)&amp;"输出",标准坦克设计!$B$23:$U$23,0)))*(VLOOKUP($B222,INDIRECT($B$5&amp;"生成成长"),3))*(VLOOKUP($B$5,标准坦克设计!$B$14:$K$20,9)/30))</f>
        <v>3.4403574019685736</v>
      </c>
      <c r="BN222" s="172">
        <f ca="1">(VLOOKUP(BN$72,INDIRECT($C$5&amp;"生成成长"),2))/((VLOOKUP($B222,INDIRECT($B$5&amp;"生成成长"),4))/(VLOOKUP(BN$72,INDIRECT($C$5&amp;"生成成长"),5))*(VLOOKUP($B$5,标准坦克设计!$B$24:$U$30,MATCH("对"&amp;LEFT($C$5,2)&amp;"输出",标准坦克设计!$B$23:$U$23,0)))*(VLOOKUP($B222,INDIRECT($B$5&amp;"生成成长"),3))*(VLOOKUP($B$5,标准坦克设计!$B$14:$K$20,9)/30))</f>
        <v>3.7722183075777243</v>
      </c>
      <c r="BO222" s="172">
        <f ca="1">(VLOOKUP(BO$72,INDIRECT($C$5&amp;"生成成长"),2))/((VLOOKUP($B222,INDIRECT($B$5&amp;"生成成长"),4))/(VLOOKUP(BO$72,INDIRECT($C$5&amp;"生成成长"),5))*(VLOOKUP($B$5,标准坦克设计!$B$24:$U$30,MATCH("对"&amp;LEFT($C$5,2)&amp;"输出",标准坦克设计!$B$23:$U$23,0)))*(VLOOKUP($B222,INDIRECT($B$5&amp;"生成成长"),3))*(VLOOKUP($B$5,标准坦克设计!$B$14:$K$20,9)/30))</f>
        <v>4.1193566973325639</v>
      </c>
      <c r="BP222" s="172">
        <f ca="1">(VLOOKUP(BP$72,INDIRECT($C$5&amp;"生成成长"),2))/((VLOOKUP($B222,INDIRECT($B$5&amp;"生成成长"),4))/(VLOOKUP(BP$72,INDIRECT($C$5&amp;"生成成长"),5))*(VLOOKUP($B$5,标准坦克设计!$B$24:$U$30,MATCH("对"&amp;LEFT($C$5,2)&amp;"输出",标准坦克设计!$B$23:$U$23,0)))*(VLOOKUP($B222,INDIRECT($B$5&amp;"生成成长"),3))*(VLOOKUP($B$5,标准坦克设计!$B$14:$K$20,9)/30))</f>
        <v>4.4817725712330931</v>
      </c>
      <c r="BQ222" s="172">
        <f ca="1">(VLOOKUP(BQ$72,INDIRECT($C$5&amp;"生成成长"),2))/((VLOOKUP($B222,INDIRECT($B$5&amp;"生成成长"),4))/(VLOOKUP(BQ$72,INDIRECT($C$5&amp;"生成成长"),5))*(VLOOKUP($B$5,标准坦克设计!$B$24:$U$30,MATCH("对"&amp;LEFT($C$5,2)&amp;"输出",标准坦克设计!$B$23:$U$23,0)))*(VLOOKUP($B222,INDIRECT($B$5&amp;"生成成长"),3))*(VLOOKUP($B$5,标准坦克设计!$B$14:$K$20,9)/30))</f>
        <v>4.8594659292793132</v>
      </c>
      <c r="BR222" s="172">
        <f ca="1">(VLOOKUP(BR$72,INDIRECT($C$5&amp;"生成成长"),2))/((VLOOKUP($B222,INDIRECT($B$5&amp;"生成成长"),4))/(VLOOKUP(BR$72,INDIRECT($C$5&amp;"生成成长"),5))*(VLOOKUP($B$5,标准坦克设计!$B$24:$U$30,MATCH("对"&amp;LEFT($C$5,2)&amp;"输出",标准坦克设计!$B$23:$U$23,0)))*(VLOOKUP($B222,INDIRECT($B$5&amp;"生成成长"),3))*(VLOOKUP($B$5,标准坦克设计!$B$14:$K$20,9)/30))</f>
        <v>5.2970432529583302</v>
      </c>
      <c r="BS222" s="172">
        <f ca="1">(VLOOKUP(BS$72,INDIRECT($C$5&amp;"生成成长"),2))/((VLOOKUP($B222,INDIRECT($B$5&amp;"生成成长"),4))/(VLOOKUP(BS$72,INDIRECT($C$5&amp;"生成成长"),5))*(VLOOKUP($B$5,标准坦克设计!$B$24:$U$30,MATCH("对"&amp;LEFT($C$5,2)&amp;"输出",标准坦克设计!$B$23:$U$23,0)))*(VLOOKUP($B222,INDIRECT($B$5&amp;"生成成长"),3))*(VLOOKUP($B$5,标准坦克设计!$B$14:$K$20,9)/30))</f>
        <v>5.7534816681752341</v>
      </c>
      <c r="BT222" s="172">
        <f ca="1">(VLOOKUP(BT$72,INDIRECT($C$5&amp;"生成成长"),2))/((VLOOKUP($B222,INDIRECT($B$5&amp;"生成成长"),4))/(VLOOKUP(BT$72,INDIRECT($C$5&amp;"生成成长"),5))*(VLOOKUP($B$5,标准坦克设计!$B$24:$U$30,MATCH("对"&amp;LEFT($C$5,2)&amp;"输出",标准坦克设计!$B$23:$U$23,0)))*(VLOOKUP($B222,INDIRECT($B$5&amp;"生成成长"),3))*(VLOOKUP($B$5,标准坦克设计!$B$14:$K$20,9)/30))</f>
        <v>6.2287811749300266</v>
      </c>
      <c r="BU222" s="172">
        <f ca="1">(VLOOKUP(BU$72,INDIRECT($C$5&amp;"生成成长"),2))/((VLOOKUP($B222,INDIRECT($B$5&amp;"生成成长"),4))/(VLOOKUP(BU$72,INDIRECT($C$5&amp;"生成成长"),5))*(VLOOKUP($B$5,标准坦克设计!$B$24:$U$30,MATCH("对"&amp;LEFT($C$5,2)&amp;"输出",标准坦克设计!$B$23:$U$23,0)))*(VLOOKUP($B222,INDIRECT($B$5&amp;"生成成长"),3))*(VLOOKUP($B$5,标准坦克设计!$B$14:$K$20,9)/30))</f>
        <v>6.7229417732227068</v>
      </c>
      <c r="BV222" s="172">
        <f ca="1">(VLOOKUP(BV$72,INDIRECT($C$5&amp;"生成成长"),2))/((VLOOKUP($B222,INDIRECT($B$5&amp;"生成成长"),4))/(VLOOKUP(BV$72,INDIRECT($C$5&amp;"生成成长"),5))*(VLOOKUP($B$5,标准坦克设计!$B$24:$U$30,MATCH("对"&amp;LEFT($C$5,2)&amp;"输出",标准坦克设计!$B$23:$U$23,0)))*(VLOOKUP($B222,INDIRECT($B$5&amp;"生成成长"),3))*(VLOOKUP($B$5,标准坦克设计!$B$14:$K$20,9)/30))</f>
        <v>7.2359634630532783</v>
      </c>
      <c r="BW222" s="172">
        <f ca="1">(VLOOKUP(BW$72,INDIRECT($C$5&amp;"生成成长"),2))/((VLOOKUP($B222,INDIRECT($B$5&amp;"生成成长"),4))/(VLOOKUP(BW$72,INDIRECT($C$5&amp;"生成成长"),5))*(VLOOKUP($B$5,标准坦克设计!$B$24:$U$30,MATCH("对"&amp;LEFT($C$5,2)&amp;"输出",标准坦克设计!$B$23:$U$23,0)))*(VLOOKUP($B222,INDIRECT($B$5&amp;"生成成长"),3))*(VLOOKUP($B$5,标准坦克设计!$B$14:$K$20,9)/30))</f>
        <v>3.2977675499421353</v>
      </c>
      <c r="BX222" s="172">
        <f ca="1">(VLOOKUP(BX$72,INDIRECT($C$5&amp;"生成成长"),2))/((VLOOKUP($B222,INDIRECT($B$5&amp;"生成成长"),4))/(VLOOKUP(BX$72,INDIRECT($C$5&amp;"生成成长"),5))*(VLOOKUP($B$5,标准坦克设计!$B$24:$U$30,MATCH("对"&amp;LEFT($C$5,2)&amp;"输出",标准坦克设计!$B$23:$U$23,0)))*(VLOOKUP($B222,INDIRECT($B$5&amp;"生成成长"),3))*(VLOOKUP($B$5,标准坦克设计!$B$14:$K$20,9)/30))</f>
        <v>3.6599005074695969</v>
      </c>
      <c r="BY222" s="172">
        <f ca="1">(VLOOKUP(BY$72,INDIRECT($C$5&amp;"生成成长"),2))/((VLOOKUP($B222,INDIRECT($B$5&amp;"生成成长"),4))/(VLOOKUP(BY$72,INDIRECT($C$5&amp;"生成成长"),5))*(VLOOKUP($B$5,标准坦克设计!$B$24:$U$30,MATCH("对"&amp;LEFT($C$5,2)&amp;"输出",标准坦克设计!$B$23:$U$23,0)))*(VLOOKUP($B222,INDIRECT($B$5&amp;"生成成长"),3))*(VLOOKUP($B$5,标准坦克设计!$B$14:$K$20,9)/30))</f>
        <v>4.0408945565349468</v>
      </c>
      <c r="BZ222" s="172">
        <f ca="1">(VLOOKUP(BZ$72,INDIRECT($C$5&amp;"生成成长"),2))/((VLOOKUP($B222,INDIRECT($B$5&amp;"生成成长"),4))/(VLOOKUP(BZ$72,INDIRECT($C$5&amp;"生成成长"),5))*(VLOOKUP($B$5,标准坦克设计!$B$24:$U$30,MATCH("对"&amp;LEFT($C$5,2)&amp;"输出",标准坦克设计!$B$23:$U$23,0)))*(VLOOKUP($B222,INDIRECT($B$5&amp;"生成成长"),3))*(VLOOKUP($B$5,标准坦克设计!$B$14:$K$20,9)/30))</f>
        <v>4.4407496971381857</v>
      </c>
      <c r="CA222" s="172">
        <f ca="1">(VLOOKUP(CA$72,INDIRECT($C$5&amp;"生成成长"),2))/((VLOOKUP($B222,INDIRECT($B$5&amp;"生成成长"),4))/(VLOOKUP(CA$72,INDIRECT($C$5&amp;"生成成长"),5))*(VLOOKUP($B$5,标准坦克设计!$B$24:$U$30,MATCH("对"&amp;LEFT($C$5,2)&amp;"输出",标准坦克设计!$B$23:$U$23,0)))*(VLOOKUP($B222,INDIRECT($B$5&amp;"生成成长"),3))*(VLOOKUP($B$5,标准坦克设计!$B$14:$K$20,9)/30))</f>
        <v>4.8594659292793132</v>
      </c>
      <c r="CB222" s="172">
        <f ca="1">(VLOOKUP(CB$72,INDIRECT($C$5&amp;"生成成长"),2))/((VLOOKUP($B222,INDIRECT($B$5&amp;"生成成长"),4))/(VLOOKUP(CB$72,INDIRECT($C$5&amp;"生成成长"),5))*(VLOOKUP($B$5,标准坦克设计!$B$24:$U$30,MATCH("对"&amp;LEFT($C$5,2)&amp;"输出",标准坦克设计!$B$23:$U$23,0)))*(VLOOKUP($B222,INDIRECT($B$5&amp;"生成成长"),3))*(VLOOKUP($B$5,标准坦克设计!$B$14:$K$20,9)/30))</f>
        <v>5.2970432529583302</v>
      </c>
      <c r="CC222" s="172">
        <f ca="1">(VLOOKUP(CC$72,INDIRECT($C$5&amp;"生成成长"),2))/((VLOOKUP($B222,INDIRECT($B$5&amp;"生成成长"),4))/(VLOOKUP(CC$72,INDIRECT($C$5&amp;"生成成长"),5))*(VLOOKUP($B$5,标准坦克设计!$B$24:$U$30,MATCH("对"&amp;LEFT($C$5,2)&amp;"输出",标准坦克设计!$B$23:$U$23,0)))*(VLOOKUP($B222,INDIRECT($B$5&amp;"生成成长"),3))*(VLOOKUP($B$5,标准坦克设计!$B$14:$K$20,9)/30))</f>
        <v>5.7534816681752341</v>
      </c>
      <c r="CD222" s="172">
        <f ca="1">(VLOOKUP(CD$72,INDIRECT($C$5&amp;"生成成长"),2))/((VLOOKUP($B222,INDIRECT($B$5&amp;"生成成长"),4))/(VLOOKUP(CD$72,INDIRECT($C$5&amp;"生成成长"),5))*(VLOOKUP($B$5,标准坦克设计!$B$24:$U$30,MATCH("对"&amp;LEFT($C$5,2)&amp;"输出",标准坦克设计!$B$23:$U$23,0)))*(VLOOKUP($B222,INDIRECT($B$5&amp;"生成成长"),3))*(VLOOKUP($B$5,标准坦克设计!$B$14:$K$20,9)/30))</f>
        <v>6.2287811749300266</v>
      </c>
      <c r="CE222" s="172">
        <f ca="1">(VLOOKUP(CE$72,INDIRECT($C$5&amp;"生成成长"),2))/((VLOOKUP($B222,INDIRECT($B$5&amp;"生成成长"),4))/(VLOOKUP(CE$72,INDIRECT($C$5&amp;"生成成长"),5))*(VLOOKUP($B$5,标准坦克设计!$B$24:$U$30,MATCH("对"&amp;LEFT($C$5,2)&amp;"输出",标准坦克设计!$B$23:$U$23,0)))*(VLOOKUP($B222,INDIRECT($B$5&amp;"生成成长"),3))*(VLOOKUP($B$5,标准坦克设计!$B$14:$K$20,9)/30))</f>
        <v>6.7229417732227068</v>
      </c>
      <c r="CF222" s="172">
        <f ca="1">(VLOOKUP(CF$72,INDIRECT($C$5&amp;"生成成长"),2))/((VLOOKUP($B222,INDIRECT($B$5&amp;"生成成长"),4))/(VLOOKUP(CF$72,INDIRECT($C$5&amp;"生成成长"),5))*(VLOOKUP($B$5,标准坦克设计!$B$24:$U$30,MATCH("对"&amp;LEFT($C$5,2)&amp;"输出",标准坦克设计!$B$23:$U$23,0)))*(VLOOKUP($B222,INDIRECT($B$5&amp;"生成成长"),3))*(VLOOKUP($B$5,标准坦克设计!$B$14:$K$20,9)/30))</f>
        <v>7.2359634630532783</v>
      </c>
      <c r="CG222" s="172">
        <f ca="1">(VLOOKUP(CG$72,INDIRECT($C$5&amp;"生成成长"),2))/((VLOOKUP($B222,INDIRECT($B$5&amp;"生成成长"),4))/(VLOOKUP(CG$72,INDIRECT($C$5&amp;"生成成长"),5))*(VLOOKUP($B$5,标准坦克设计!$B$24:$U$30,MATCH("对"&amp;LEFT($C$5,2)&amp;"输出",标准坦克设计!$B$23:$U$23,0)))*(VLOOKUP($B222,INDIRECT($B$5&amp;"生成成长"),3))*(VLOOKUP($B$5,标准坦克设计!$B$14:$K$20,9)/30))</f>
        <v>7.7678462444217384</v>
      </c>
      <c r="CH222" s="172">
        <f ca="1">(VLOOKUP(CH$72,INDIRECT($C$5&amp;"生成成长"),2))/((VLOOKUP($B222,INDIRECT($B$5&amp;"生成成长"),4))/(VLOOKUP(CH$72,INDIRECT($C$5&amp;"生成成长"),5))*(VLOOKUP($B$5,标准坦克设计!$B$24:$U$30,MATCH("对"&amp;LEFT($C$5,2)&amp;"输出",标准坦克设计!$B$23:$U$23,0)))*(VLOOKUP($B222,INDIRECT($B$5&amp;"生成成长"),3))*(VLOOKUP($B$5,标准坦克设计!$B$14:$K$20,9)/30))</f>
        <v>8.3185901173280872</v>
      </c>
      <c r="CI222" s="172">
        <f ca="1">(VLOOKUP(CI$72,INDIRECT($C$5&amp;"生成成长"),2))/((VLOOKUP($B222,INDIRECT($B$5&amp;"生成成长"),4))/(VLOOKUP(CI$72,INDIRECT($C$5&amp;"生成成长"),5))*(VLOOKUP($B$5,标准坦克设计!$B$24:$U$30,MATCH("对"&amp;LEFT($C$5,2)&amp;"输出",标准坦克设计!$B$23:$U$23,0)))*(VLOOKUP($B222,INDIRECT($B$5&amp;"生成成长"),3))*(VLOOKUP($B$5,标准坦克设计!$B$14:$K$20,9)/30))</f>
        <v>8.9461929382513308</v>
      </c>
      <c r="CJ222" s="172">
        <f ca="1">(VLOOKUP(CJ$72,INDIRECT($C$5&amp;"生成成长"),2))/((VLOOKUP($B222,INDIRECT($B$5&amp;"生成成长"),4))/(VLOOKUP(CJ$72,INDIRECT($C$5&amp;"生成成长"),5))*(VLOOKUP($B$5,标准坦克设计!$B$24:$U$30,MATCH("对"&amp;LEFT($C$5,2)&amp;"输出",标准坦克设计!$B$23:$U$23,0)))*(VLOOKUP($B222,INDIRECT($B$5&amp;"生成成长"),3))*(VLOOKUP($B$5,标准坦克设计!$B$14:$K$20,9)/30))</f>
        <v>9.5966176799354201</v>
      </c>
      <c r="CK222" s="172">
        <f ca="1">(VLOOKUP(CK$72,INDIRECT($C$5&amp;"生成成长"),2))/((VLOOKUP($B222,INDIRECT($B$5&amp;"生成成长"),4))/(VLOOKUP(CK$72,INDIRECT($C$5&amp;"生成成长"),5))*(VLOOKUP($B$5,标准坦克设计!$B$24:$U$30,MATCH("对"&amp;LEFT($C$5,2)&amp;"输出",标准坦克设计!$B$23:$U$23,0)))*(VLOOKUP($B222,INDIRECT($B$5&amp;"生成成长"),3))*(VLOOKUP($B$5,标准坦克设计!$B$14:$K$20,9)/30))</f>
        <v>10.26986434238035</v>
      </c>
      <c r="CL222" s="172">
        <f ca="1">(VLOOKUP(CL$72,INDIRECT($C$5&amp;"生成成长"),2))/((VLOOKUP($B222,INDIRECT($B$5&amp;"生成成长"),4))/(VLOOKUP(CL$72,INDIRECT($C$5&amp;"生成成长"),5))*(VLOOKUP($B$5,标准坦克设计!$B$24:$U$30,MATCH("对"&amp;LEFT($C$5,2)&amp;"输出",标准坦克设计!$B$23:$U$23,0)))*(VLOOKUP($B222,INDIRECT($B$5&amp;"生成成长"),3))*(VLOOKUP($B$5,标准坦克设计!$B$14:$K$20,9)/30))</f>
        <v>10.965932925586133</v>
      </c>
      <c r="CM222" s="172">
        <f ca="1">(VLOOKUP(CM$72,INDIRECT($C$5&amp;"生成成长"),2))/((VLOOKUP($B222,INDIRECT($B$5&amp;"生成成长"),4))/(VLOOKUP(CM$72,INDIRECT($C$5&amp;"生成成长"),5))*(VLOOKUP($B$5,标准坦克设计!$B$24:$U$30,MATCH("对"&amp;LEFT($C$5,2)&amp;"输出",标准坦克设计!$B$23:$U$23,0)))*(VLOOKUP($B222,INDIRECT($B$5&amp;"生成成长"),3))*(VLOOKUP($B$5,标准坦克设计!$B$14:$K$20,9)/30))</f>
        <v>11.684823429552758</v>
      </c>
      <c r="CN222" s="172">
        <f ca="1">(VLOOKUP(CN$72,INDIRECT($C$5&amp;"生成成长"),2))/((VLOOKUP($B222,INDIRECT($B$5&amp;"生成成长"),4))/(VLOOKUP(CN$72,INDIRECT($C$5&amp;"生成成长"),5))*(VLOOKUP($B$5,标准坦克设计!$B$24:$U$30,MATCH("对"&amp;LEFT($C$5,2)&amp;"输出",标准坦克设计!$B$23:$U$23,0)))*(VLOOKUP($B222,INDIRECT($B$5&amp;"生成成长"),3))*(VLOOKUP($B$5,标准坦克设计!$B$14:$K$20,9)/30))</f>
        <v>12.426535854280228</v>
      </c>
      <c r="CO222" s="172">
        <f ca="1">(VLOOKUP(CO$72,INDIRECT($C$5&amp;"生成成长"),2))/((VLOOKUP($B222,INDIRECT($B$5&amp;"生成成长"),4))/(VLOOKUP(CO$72,INDIRECT($C$5&amp;"生成成长"),5))*(VLOOKUP($B$5,标准坦克设计!$B$24:$U$30,MATCH("对"&amp;LEFT($C$5,2)&amp;"输出",标准坦克设计!$B$23:$U$23,0)))*(VLOOKUP($B222,INDIRECT($B$5&amp;"生成成长"),3))*(VLOOKUP($B$5,标准坦克设计!$B$14:$K$20,9)/30))</f>
        <v>5.5686429711039267</v>
      </c>
      <c r="CP222" s="172">
        <f ca="1">(VLOOKUP(CP$72,INDIRECT($C$5&amp;"生成成长"),2))/((VLOOKUP($B222,INDIRECT($B$5&amp;"生成成长"),4))/(VLOOKUP(CP$72,INDIRECT($C$5&amp;"生成成长"),5))*(VLOOKUP($B$5,标准坦克设计!$B$24:$U$30,MATCH("对"&amp;LEFT($C$5,2)&amp;"输出",标准坦克设计!$B$23:$U$23,0)))*(VLOOKUP($B222,INDIRECT($B$5&amp;"生成成长"),3))*(VLOOKUP($B$5,标准坦克设计!$B$14:$K$20,9)/30))</f>
        <v>6.0842109082921096</v>
      </c>
      <c r="CQ222" s="172">
        <f ca="1">(VLOOKUP(CQ$72,INDIRECT($C$5&amp;"生成成长"),2))/((VLOOKUP($B222,INDIRECT($B$5&amp;"生成成长"),4))/(VLOOKUP(CQ$72,INDIRECT($C$5&amp;"生成成长"),5))*(VLOOKUP($B$5,标准坦克设计!$B$24:$U$30,MATCH("对"&amp;LEFT($C$5,2)&amp;"输出",标准坦克设计!$B$23:$U$23,0)))*(VLOOKUP($B222,INDIRECT($B$5&amp;"生成成长"),3))*(VLOOKUP($B$5,标准坦克设计!$B$14:$K$20,9)/30))</f>
        <v>6.6226007662411419</v>
      </c>
      <c r="CR222" s="172">
        <f ca="1">(VLOOKUP(CR$72,INDIRECT($C$5&amp;"生成成长"),2))/((VLOOKUP($B222,INDIRECT($B$5&amp;"生成成长"),4))/(VLOOKUP(CR$72,INDIRECT($C$5&amp;"生成成长"),5))*(VLOOKUP($B$5,标准坦克设计!$B$24:$U$30,MATCH("对"&amp;LEFT($C$5,2)&amp;"输出",标准坦克设计!$B$23:$U$23,0)))*(VLOOKUP($B222,INDIRECT($B$5&amp;"生成成长"),3))*(VLOOKUP($B$5,标准坦克设计!$B$14:$K$20,9)/30))</f>
        <v>7.1838125449510182</v>
      </c>
      <c r="CS222" s="172">
        <f ca="1">(VLOOKUP(CS$72,INDIRECT($C$5&amp;"生成成长"),2))/((VLOOKUP($B222,INDIRECT($B$5&amp;"生成成长"),4))/(VLOOKUP(CS$72,INDIRECT($C$5&amp;"生成成长"),5))*(VLOOKUP($B$5,标准坦克设计!$B$24:$U$30,MATCH("对"&amp;LEFT($C$5,2)&amp;"输出",标准坦克设计!$B$23:$U$23,0)))*(VLOOKUP($B222,INDIRECT($B$5&amp;"生成成长"),3))*(VLOOKUP($B$5,标准坦克设计!$B$14:$K$20,9)/30))</f>
        <v>7.7678462444217384</v>
      </c>
      <c r="CT222" s="172">
        <f ca="1">(VLOOKUP(CT$72,INDIRECT($C$5&amp;"生成成长"),2))/((VLOOKUP($B222,INDIRECT($B$5&amp;"生成成长"),4))/(VLOOKUP(CT$72,INDIRECT($C$5&amp;"生成成长"),5))*(VLOOKUP($B$5,标准坦克设计!$B$24:$U$30,MATCH("对"&amp;LEFT($C$5,2)&amp;"输出",标准坦克设计!$B$23:$U$23,0)))*(VLOOKUP($B222,INDIRECT($B$5&amp;"生成成长"),3))*(VLOOKUP($B$5,标准坦克设计!$B$14:$K$20,9)/30))</f>
        <v>8.3747018646533036</v>
      </c>
      <c r="CU222" s="172">
        <f ca="1">(VLOOKUP(CU$72,INDIRECT($C$5&amp;"生成成长"),2))/((VLOOKUP($B222,INDIRECT($B$5&amp;"生成成长"),4))/(VLOOKUP(CU$72,INDIRECT($C$5&amp;"生成成长"),5))*(VLOOKUP($B$5,标准坦克设计!$B$24:$U$30,MATCH("对"&amp;LEFT($C$5,2)&amp;"输出",标准坦克设计!$B$23:$U$23,0)))*(VLOOKUP($B222,INDIRECT($B$5&amp;"生成成长"),3))*(VLOOKUP($B$5,标准坦克设计!$B$14:$K$20,9)/30))</f>
        <v>9.0043794056457163</v>
      </c>
      <c r="CV222" s="172">
        <f ca="1">(VLOOKUP(CV$72,INDIRECT($C$5&amp;"生成成长"),2))/((VLOOKUP($B222,INDIRECT($B$5&amp;"生成成长"),4))/(VLOOKUP(CV$72,INDIRECT($C$5&amp;"生成成长"),5))*(VLOOKUP($B$5,标准坦克设计!$B$24:$U$30,MATCH("对"&amp;LEFT($C$5,2)&amp;"输出",标准坦克设计!$B$23:$U$23,0)))*(VLOOKUP($B222,INDIRECT($B$5&amp;"生成成长"),3))*(VLOOKUP($B$5,标准坦克设计!$B$14:$K$20,9)/30))</f>
        <v>9.6568788673989747</v>
      </c>
      <c r="CW222" s="172">
        <f ca="1">(VLOOKUP(CW$72,INDIRECT($C$5&amp;"生成成长"),2))/((VLOOKUP($B222,INDIRECT($B$5&amp;"生成成长"),4))/(VLOOKUP(CW$72,INDIRECT($C$5&amp;"生成成长"),5))*(VLOOKUP($B$5,标准坦克设计!$B$24:$U$30,MATCH("对"&amp;LEFT($C$5,2)&amp;"输出",标准坦克设计!$B$23:$U$23,0)))*(VLOOKUP($B222,INDIRECT($B$5&amp;"生成成长"),3))*(VLOOKUP($B$5,标准坦克设计!$B$14:$K$20,9)/30))</f>
        <v>10.332200249913075</v>
      </c>
      <c r="CX222" s="172">
        <f ca="1">(VLOOKUP(CX$72,INDIRECT($C$5&amp;"生成成长"),2))/((VLOOKUP($B222,INDIRECT($B$5&amp;"生成成长"),4))/(VLOOKUP(CX$72,INDIRECT($C$5&amp;"生成成长"),5))*(VLOOKUP($B$5,标准坦克设计!$B$24:$U$30,MATCH("对"&amp;LEFT($C$5,2)&amp;"输出",标准坦克设计!$B$23:$U$23,0)))*(VLOOKUP($B222,INDIRECT($B$5&amp;"生成成长"),3))*(VLOOKUP($B$5,标准坦克设计!$B$14:$K$20,9)/30))</f>
        <v>11.03034355318802</v>
      </c>
      <c r="CY222" s="172">
        <f ca="1">(VLOOKUP(CY$72,INDIRECT($C$5&amp;"生成成长"),2))/((VLOOKUP($B222,INDIRECT($B$5&amp;"生成成长"),4))/(VLOOKUP(CY$72,INDIRECT($C$5&amp;"生成成长"),5))*(VLOOKUP($B$5,标准坦克设计!$B$24:$U$30,MATCH("对"&amp;LEFT($C$5,2)&amp;"输出",标准坦克设计!$B$23:$U$23,0)))*(VLOOKUP($B222,INDIRECT($B$5&amp;"生成成长"),3))*(VLOOKUP($B$5,标准坦克设计!$B$14:$K$20,9)/30))</f>
        <v>11.751308777223814</v>
      </c>
      <c r="CZ222" s="172">
        <f ca="1">(VLOOKUP(CZ$72,INDIRECT($C$5&amp;"生成成长"),2))/((VLOOKUP($B222,INDIRECT($B$5&amp;"生成成长"),4))/(VLOOKUP(CZ$72,INDIRECT($C$5&amp;"生成成长"),5))*(VLOOKUP($B$5,标准坦克设计!$B$24:$U$30,MATCH("对"&amp;LEFT($C$5,2)&amp;"输出",标准坦克设计!$B$23:$U$23,0)))*(VLOOKUP($B222,INDIRECT($B$5&amp;"生成成长"),3))*(VLOOKUP($B$5,标准坦克设计!$B$14:$K$20,9)/30))</f>
        <v>12.495095922020452</v>
      </c>
      <c r="DA222" s="172">
        <f ca="1">(VLOOKUP(DA$72,INDIRECT($C$5&amp;"生成成长"),2))/((VLOOKUP($B222,INDIRECT($B$5&amp;"生成成长"),4))/(VLOOKUP(DA$72,INDIRECT($C$5&amp;"生成成长"),5))*(VLOOKUP($B$5,标准坦克设计!$B$24:$U$30,MATCH("对"&amp;LEFT($C$5,2)&amp;"输出",标准坦克设计!$B$23:$U$23,0)))*(VLOOKUP($B222,INDIRECT($B$5&amp;"生成成长"),3))*(VLOOKUP($B$5,标准坦克设计!$B$14:$K$20,9)/30))</f>
        <v>13.261704987577932</v>
      </c>
      <c r="DB222" s="172">
        <f ca="1">(VLOOKUP(DB$72,INDIRECT($C$5&amp;"生成成长"),2))/((VLOOKUP($B222,INDIRECT($B$5&amp;"生成成长"),4))/(VLOOKUP(DB$72,INDIRECT($C$5&amp;"生成成长"),5))*(VLOOKUP($B$5,标准坦克设计!$B$24:$U$30,MATCH("对"&amp;LEFT($C$5,2)&amp;"输出",标准坦克设计!$B$23:$U$23,0)))*(VLOOKUP($B222,INDIRECT($B$5&amp;"生成成长"),3))*(VLOOKUP($B$5,标准坦克设计!$B$14:$K$20,9)/30))</f>
        <v>14.051135973896264</v>
      </c>
      <c r="DC222" s="172">
        <f ca="1">(VLOOKUP(DC$72,INDIRECT($C$5&amp;"生成成长"),2))/((VLOOKUP($B222,INDIRECT($B$5&amp;"生成成长"),4))/(VLOOKUP(DC$72,INDIRECT($C$5&amp;"生成成长"),5))*(VLOOKUP($B$5,标准坦克设计!$B$24:$U$30,MATCH("对"&amp;LEFT($C$5,2)&amp;"输出",标准坦克设计!$B$23:$U$23,0)))*(VLOOKUP($B222,INDIRECT($B$5&amp;"生成成长"),3))*(VLOOKUP($B$5,标准坦克设计!$B$14:$K$20,9)/30))</f>
        <v>14.938361719838545</v>
      </c>
      <c r="DD222" s="172">
        <f ca="1">(VLOOKUP(DD$72,INDIRECT($C$5&amp;"生成成长"),2))/((VLOOKUP($B222,INDIRECT($B$5&amp;"生成成长"),4))/(VLOOKUP(DD$72,INDIRECT($C$5&amp;"生成成长"),5))*(VLOOKUP($B$5,标准坦克设计!$B$24:$U$30,MATCH("对"&amp;LEFT($C$5,2)&amp;"输出",标准坦克设计!$B$23:$U$23,0)))*(VLOOKUP($B222,INDIRECT($B$5&amp;"生成成长"),3))*(VLOOKUP($B$5,标准坦克设计!$B$14:$K$20,9)/30))</f>
        <v>15.852747437595385</v>
      </c>
      <c r="DE222" s="172">
        <f ca="1">(VLOOKUP(DE$72,INDIRECT($C$5&amp;"生成成长"),2))/((VLOOKUP($B222,INDIRECT($B$5&amp;"生成成长"),4))/(VLOOKUP(DE$72,INDIRECT($C$5&amp;"生成成长"),5))*(VLOOKUP($B$5,标准坦克设计!$B$24:$U$30,MATCH("对"&amp;LEFT($C$5,2)&amp;"输出",标准坦克设计!$B$23:$U$23,0)))*(VLOOKUP($B222,INDIRECT($B$5&amp;"生成成长"),3))*(VLOOKUP($B$5,标准坦克设计!$B$14:$K$20,9)/30))</f>
        <v>16.794293127166785</v>
      </c>
      <c r="DF222" s="172">
        <f ca="1">(VLOOKUP(DF$72,INDIRECT($C$5&amp;"生成成长"),2))/((VLOOKUP($B222,INDIRECT($B$5&amp;"生成成长"),4))/(VLOOKUP(DF$72,INDIRECT($C$5&amp;"生成成长"),5))*(VLOOKUP($B$5,标准坦克设计!$B$24:$U$30,MATCH("对"&amp;LEFT($C$5,2)&amp;"输出",标准坦克设计!$B$23:$U$23,0)))*(VLOOKUP($B222,INDIRECT($B$5&amp;"生成成长"),3))*(VLOOKUP($B$5,标准坦克设计!$B$14:$K$20,9)/30))</f>
        <v>17.762998788552743</v>
      </c>
      <c r="DG222" s="172">
        <f ca="1">(VLOOKUP(DG$72,INDIRECT($C$5&amp;"生成成长"),2))/((VLOOKUP($B222,INDIRECT($B$5&amp;"生成成长"),4))/(VLOOKUP(DG$72,INDIRECT($C$5&amp;"生成成长"),5))*(VLOOKUP($B$5,标准坦克设计!$B$24:$U$30,MATCH("对"&amp;LEFT($C$5,2)&amp;"输出",标准坦克设计!$B$23:$U$23,0)))*(VLOOKUP($B222,INDIRECT($B$5&amp;"生成成长"),3))*(VLOOKUP($B$5,标准坦克设计!$B$14:$K$20,9)/30))</f>
        <v>18.758864421753266</v>
      </c>
      <c r="DH222" s="172">
        <f ca="1">(VLOOKUP(DH$72,INDIRECT($C$5&amp;"生成成长"),2))/((VLOOKUP($B222,INDIRECT($B$5&amp;"生成成长"),4))/(VLOOKUP(DH$72,INDIRECT($C$5&amp;"生成成长"),5))*(VLOOKUP($B$5,标准坦克设计!$B$24:$U$30,MATCH("对"&amp;LEFT($C$5,2)&amp;"输出",标准坦克设计!$B$23:$U$23,0)))*(VLOOKUP($B222,INDIRECT($B$5&amp;"生成成长"),3))*(VLOOKUP($B$5,标准坦克设计!$B$14:$K$20,9)/30))</f>
        <v>19.781890026768338</v>
      </c>
      <c r="DI222" s="172">
        <f ca="1">(VLOOKUP(DI$72,INDIRECT($C$5&amp;"生成成长"),2))/((VLOOKUP($B222,INDIRECT($B$5&amp;"生成成长"),4))/(VLOOKUP(DI$72,INDIRECT($C$5&amp;"生成成长"),5))*(VLOOKUP($B$5,标准坦克设计!$B$24:$U$30,MATCH("对"&amp;LEFT($C$5,2)&amp;"输出",标准坦克设计!$B$23:$U$23,0)))*(VLOOKUP($B222,INDIRECT($B$5&amp;"生成成长"),3))*(VLOOKUP($B$5,标准坦克设计!$B$14:$K$20,9)/30))</f>
        <v>20.832075603597982</v>
      </c>
      <c r="DJ222" s="172">
        <f ca="1">(VLOOKUP(DJ$72,INDIRECT($C$5&amp;"生成成长"),2))/((VLOOKUP($B222,INDIRECT($B$5&amp;"生成成长"),4))/(VLOOKUP(DJ$72,INDIRECT($C$5&amp;"生成成长"),5))*(VLOOKUP($B$5,标准坦克设计!$B$24:$U$30,MATCH("对"&amp;LEFT($C$5,2)&amp;"输出",标准坦克设计!$B$23:$U$23,0)))*(VLOOKUP($B222,INDIRECT($B$5&amp;"生成成长"),3))*(VLOOKUP($B$5,标准坦克设计!$B$14:$K$20,9)/30))</f>
        <v>2.0936754661633259</v>
      </c>
      <c r="DK222" s="172">
        <f ca="1">(VLOOKUP(DK$72,INDIRECT($C$5&amp;"生成成长"),2))/((VLOOKUP($B222,INDIRECT($B$5&amp;"生成成长"),4))/(VLOOKUP(DK$72,INDIRECT($C$5&amp;"生成成长"),5))*(VLOOKUP($B$5,标准坦克设计!$B$24:$U$30,MATCH("对"&amp;LEFT($C$5,2)&amp;"输出",标准坦克设计!$B$23:$U$23,0)))*(VLOOKUP($B222,INDIRECT($B$5&amp;"生成成长"),3))*(VLOOKUP($B$5,标准坦克设计!$B$14:$K$20,9)/30))</f>
        <v>2.3542414457592571</v>
      </c>
      <c r="DL222" s="172">
        <f ca="1">(VLOOKUP(DL$72,INDIRECT($C$5&amp;"生成成长"),2))/((VLOOKUP($B222,INDIRECT($B$5&amp;"生成成长"),4))/(VLOOKUP(DL$72,INDIRECT($C$5&amp;"生成成长"),5))*(VLOOKUP($B$5,标准坦克设计!$B$24:$U$30,MATCH("对"&amp;LEFT($C$5,2)&amp;"输出",标准坦克设计!$B$23:$U$23,0)))*(VLOOKUP($B222,INDIRECT($B$5&amp;"生成成长"),3))*(VLOOKUP($B$5,标准坦克设计!$B$14:$K$20,9)/30))</f>
        <v>2.6300849095008787</v>
      </c>
      <c r="DM222" s="172">
        <f ca="1">(VLOOKUP(DM$72,INDIRECT($C$5&amp;"生成成长"),2))/((VLOOKUP($B222,INDIRECT($B$5&amp;"生成成长"),4))/(VLOOKUP(DM$72,INDIRECT($C$5&amp;"生成成长"),5))*(VLOOKUP($B$5,标准坦克设计!$B$24:$U$30,MATCH("对"&amp;LEFT($C$5,2)&amp;"输出",标准坦克设计!$B$23:$U$23,0)))*(VLOOKUP($B222,INDIRECT($B$5&amp;"生成成长"),3))*(VLOOKUP($B$5,标准坦克设计!$B$14:$K$20,9)/30))</f>
        <v>2.9212058573881894</v>
      </c>
      <c r="DN222" s="172">
        <f ca="1">(VLOOKUP(DN$72,INDIRECT($C$5&amp;"生成成长"),2))/((VLOOKUP($B222,INDIRECT($B$5&amp;"生成成长"),4))/(VLOOKUP(DN$72,INDIRECT($C$5&amp;"生成成长"),5))*(VLOOKUP($B$5,标准坦克设计!$B$24:$U$30,MATCH("对"&amp;LEFT($C$5,2)&amp;"输出",标准坦克设计!$B$23:$U$23,0)))*(VLOOKUP($B222,INDIRECT($B$5&amp;"生成成长"),3))*(VLOOKUP($B$5,标准坦克设计!$B$14:$K$20,9)/30))</f>
        <v>3.2276042894211896</v>
      </c>
      <c r="DO222" s="172">
        <f ca="1">(VLOOKUP(DO$72,INDIRECT($C$5&amp;"生成成长"),2))/((VLOOKUP($B222,INDIRECT($B$5&amp;"生成成长"),4))/(VLOOKUP(DO$72,INDIRECT($C$5&amp;"生成成长"),5))*(VLOOKUP($B$5,标准坦克设计!$B$24:$U$30,MATCH("对"&amp;LEFT($C$5,2)&amp;"输出",标准坦克设计!$B$23:$U$23,0)))*(VLOOKUP($B222,INDIRECT($B$5&amp;"生成成长"),3))*(VLOOKUP($B$5,标准坦克设计!$B$14:$K$20,9)/30))</f>
        <v>3.5492802055998807</v>
      </c>
      <c r="DP222" s="172">
        <f ca="1">(VLOOKUP(DP$72,INDIRECT($C$5&amp;"生成成长"),2))/((VLOOKUP($B222,INDIRECT($B$5&amp;"生成成长"),4))/(VLOOKUP(DP$72,INDIRECT($C$5&amp;"生成成长"),5))*(VLOOKUP($B$5,标准坦克设计!$B$24:$U$30,MATCH("对"&amp;LEFT($C$5,2)&amp;"输出",标准坦克设计!$B$23:$U$23,0)))*(VLOOKUP($B222,INDIRECT($B$5&amp;"生成成长"),3))*(VLOOKUP($B$5,标准坦克设计!$B$14:$K$20,9)/30))</f>
        <v>3.8862336059242604</v>
      </c>
      <c r="DQ222" s="172">
        <f ca="1">(VLOOKUP(DQ$72,INDIRECT($C$5&amp;"生成成长"),2))/((VLOOKUP($B222,INDIRECT($B$5&amp;"生成成长"),4))/(VLOOKUP(DQ$72,INDIRECT($C$5&amp;"生成成长"),5))*(VLOOKUP($B$5,标准坦克设计!$B$24:$U$30,MATCH("对"&amp;LEFT($C$5,2)&amp;"输出",标准坦克设计!$B$23:$U$23,0)))*(VLOOKUP($B222,INDIRECT($B$5&amp;"生成成长"),3))*(VLOOKUP($B$5,标准坦克设计!$B$14:$K$20,9)/30))</f>
        <v>4.23846449039433</v>
      </c>
      <c r="DR222" s="172">
        <f ca="1">(VLOOKUP(DR$72,INDIRECT($C$5&amp;"生成成长"),2))/((VLOOKUP($B222,INDIRECT($B$5&amp;"生成成长"),4))/(VLOOKUP(DR$72,INDIRECT($C$5&amp;"生成成长"),5))*(VLOOKUP($B$5,标准坦克设计!$B$24:$U$30,MATCH("对"&amp;LEFT($C$5,2)&amp;"输出",标准坦克设计!$B$23:$U$23,0)))*(VLOOKUP($B222,INDIRECT($B$5&amp;"生成成长"),3))*(VLOOKUP($B$5,标准坦克设计!$B$14:$K$20,9)/30))</f>
        <v>4.6059728590100901</v>
      </c>
      <c r="DS222" s="172">
        <f ca="1">(VLOOKUP(DS$72,INDIRECT($C$5&amp;"生成成长"),2))/((VLOOKUP($B222,INDIRECT($B$5&amp;"生成成长"),4))/(VLOOKUP(DS$72,INDIRECT($C$5&amp;"生成成长"),5))*(VLOOKUP($B$5,标准坦克设计!$B$24:$U$30,MATCH("对"&amp;LEFT($C$5,2)&amp;"输出",标准坦克设计!$B$23:$U$23,0)))*(VLOOKUP($B222,INDIRECT($B$5&amp;"生成成长"),3))*(VLOOKUP($B$5,标准坦克设计!$B$14:$K$20,9)/30))</f>
        <v>4.9887587117715402</v>
      </c>
      <c r="DT222" s="172">
        <f ca="1">(VLOOKUP(DT$72,INDIRECT($C$5&amp;"生成成长"),2))/((VLOOKUP($B222,INDIRECT($B$5&amp;"生成成长"),4))/(VLOOKUP(DT$72,INDIRECT($C$5&amp;"生成成长"),5))*(VLOOKUP($B$5,标准坦克设计!$B$24:$U$30,MATCH("对"&amp;LEFT($C$5,2)&amp;"输出",标准坦克设计!$B$23:$U$23,0)))*(VLOOKUP($B222,INDIRECT($B$5&amp;"生成成长"),3))*(VLOOKUP($B$5,标准坦克设计!$B$14:$K$20,9)/30))</f>
        <v>5.4773552880605454</v>
      </c>
      <c r="DU222" s="172">
        <f ca="1">(VLOOKUP(DU$72,INDIRECT($C$5&amp;"生成成长"),2))/((VLOOKUP($B222,INDIRECT($B$5&amp;"生成成长"),4))/(VLOOKUP(DU$72,INDIRECT($C$5&amp;"生成成长"),5))*(VLOOKUP($B$5,标准坦克设计!$B$24:$U$30,MATCH("对"&amp;LEFT($C$5,2)&amp;"输出",标准坦克设计!$B$23:$U$23,0)))*(VLOOKUP($B222,INDIRECT($B$5&amp;"生成成长"),3))*(VLOOKUP($B$5,标准坦克设计!$B$14:$K$20,9)/30))</f>
        <v>5.9887737851103946</v>
      </c>
      <c r="DV222" s="172">
        <f ca="1">(VLOOKUP(DV$72,INDIRECT($C$5&amp;"生成成长"),2))/((VLOOKUP($B222,INDIRECT($B$5&amp;"生成成长"),4))/(VLOOKUP(DV$72,INDIRECT($C$5&amp;"生成成长"),5))*(VLOOKUP($B$5,标准坦克设计!$B$24:$U$30,MATCH("对"&amp;LEFT($C$5,2)&amp;"输出",标准坦克设计!$B$23:$U$23,0)))*(VLOOKUP($B222,INDIRECT($B$5&amp;"生成成长"),3))*(VLOOKUP($B$5,标准坦克设计!$B$14:$K$20,9)/30))</f>
        <v>6.5230142029210896</v>
      </c>
      <c r="DW222" s="172">
        <f ca="1">(VLOOKUP(DW$72,INDIRECT($C$5&amp;"生成成长"),2))/((VLOOKUP($B222,INDIRECT($B$5&amp;"生成成长"),4))/(VLOOKUP(DW$72,INDIRECT($C$5&amp;"生成成长"),5))*(VLOOKUP($B$5,标准坦克设计!$B$24:$U$30,MATCH("对"&amp;LEFT($C$5,2)&amp;"输出",标准坦克设计!$B$23:$U$23,0)))*(VLOOKUP($B222,INDIRECT($B$5&amp;"生成成长"),3))*(VLOOKUP($B$5,标准坦克设计!$B$14:$K$20,9)/30))</f>
        <v>7.0800765414926286</v>
      </c>
      <c r="DX222" s="172">
        <f ca="1">(VLOOKUP(DX$72,INDIRECT($C$5&amp;"生成成长"),2))/((VLOOKUP($B222,INDIRECT($B$5&amp;"生成成长"),4))/(VLOOKUP(DX$72,INDIRECT($C$5&amp;"生成成长"),5))*(VLOOKUP($B$5,标准坦克设计!$B$24:$U$30,MATCH("对"&amp;LEFT($C$5,2)&amp;"输出",标准坦克设计!$B$23:$U$23,0)))*(VLOOKUP($B222,INDIRECT($B$5&amp;"生成成长"),3))*(VLOOKUP($B$5,标准坦克设计!$B$14:$K$20,9)/30))</f>
        <v>7.659960800825016</v>
      </c>
      <c r="DY222" s="172">
        <f ca="1">(VLOOKUP(DY$72,INDIRECT($C$5&amp;"生成成长"),2))/((VLOOKUP($B222,INDIRECT($B$5&amp;"生成成长"),4))/(VLOOKUP(DY$72,INDIRECT($C$5&amp;"生成成长"),5))*(VLOOKUP($B$5,标准坦克设计!$B$24:$U$30,MATCH("对"&amp;LEFT($C$5,2)&amp;"输出",标准坦克设计!$B$23:$U$23,0)))*(VLOOKUP($B222,INDIRECT($B$5&amp;"生成成长"),3))*(VLOOKUP($B$5,标准坦克设计!$B$14:$K$20,9)/30))</f>
        <v>3.4403574019685736</v>
      </c>
      <c r="DZ222" s="172">
        <f ca="1">(VLOOKUP(DZ$72,INDIRECT($C$5&amp;"生成成长"),2))/((VLOOKUP($B222,INDIRECT($B$5&amp;"生成成长"),4))/(VLOOKUP(DZ$72,INDIRECT($C$5&amp;"生成成长"),5))*(VLOOKUP($B$5,标准坦克设计!$B$24:$U$30,MATCH("对"&amp;LEFT($C$5,2)&amp;"输出",标准坦克设计!$B$23:$U$23,0)))*(VLOOKUP($B222,INDIRECT($B$5&amp;"生成成长"),3))*(VLOOKUP($B$5,标准坦克设计!$B$14:$K$20,9)/30))</f>
        <v>3.8100347961111902</v>
      </c>
      <c r="EA222" s="172">
        <f ca="1">(VLOOKUP(EA$72,INDIRECT($C$5&amp;"生成成长"),2))/((VLOOKUP($B222,INDIRECT($B$5&amp;"生成成长"),4))/(VLOOKUP(EA$72,INDIRECT($C$5&amp;"生成成长"),5))*(VLOOKUP($B$5,标准坦克设计!$B$24:$U$30,MATCH("对"&amp;LEFT($C$5,2)&amp;"输出",标准坦克设计!$B$23:$U$23,0)))*(VLOOKUP($B222,INDIRECT($B$5&amp;"生成成长"),3))*(VLOOKUP($B$5,标准坦克设计!$B$14:$K$20,9)/30))</f>
        <v>4.1985732817916963</v>
      </c>
      <c r="EB222" s="172">
        <f ca="1">(VLOOKUP(EB$72,INDIRECT($C$5&amp;"生成成长"),2))/((VLOOKUP($B222,INDIRECT($B$5&amp;"生成成长"),4))/(VLOOKUP(EB$72,INDIRECT($C$5&amp;"生成成长"),5))*(VLOOKUP($B$5,标准坦克设计!$B$24:$U$30,MATCH("对"&amp;LEFT($C$5,2)&amp;"输出",标准坦克设计!$B$23:$U$23,0)))*(VLOOKUP($B222,INDIRECT($B$5&amp;"生成成长"),3))*(VLOOKUP($B$5,标准坦克设计!$B$14:$K$20,9)/30))</f>
        <v>4.6059728590100901</v>
      </c>
      <c r="EC222" s="172">
        <f ca="1">(VLOOKUP(EC$72,INDIRECT($C$5&amp;"生成成长"),2))/((VLOOKUP($B222,INDIRECT($B$5&amp;"生成成长"),4))/(VLOOKUP(EC$72,INDIRECT($C$5&amp;"生成成长"),5))*(VLOOKUP($B$5,标准坦克设计!$B$24:$U$30,MATCH("对"&amp;LEFT($C$5,2)&amp;"输出",标准坦克设计!$B$23:$U$23,0)))*(VLOOKUP($B222,INDIRECT($B$5&amp;"生成成长"),3))*(VLOOKUP($B$5,标准坦克设计!$B$14:$K$20,9)/30))</f>
        <v>5.0322335277663734</v>
      </c>
      <c r="ED222" s="172">
        <f ca="1">(VLOOKUP(ED$72,INDIRECT($C$5&amp;"生成成长"),2))/((VLOOKUP($B222,INDIRECT($B$5&amp;"生成成长"),4))/(VLOOKUP(ED$72,INDIRECT($C$5&amp;"生成成长"),5))*(VLOOKUP($B$5,标准坦克设计!$B$24:$U$30,MATCH("对"&amp;LEFT($C$5,2)&amp;"输出",标准坦克设计!$B$23:$U$23,0)))*(VLOOKUP($B222,INDIRECT($B$5&amp;"生成成长"),3))*(VLOOKUP($B$5,标准坦克设计!$B$14:$K$20,9)/30))</f>
        <v>5.4773552880605454</v>
      </c>
      <c r="EE222" s="172">
        <f ca="1">(VLOOKUP(EE$72,INDIRECT($C$5&amp;"生成成长"),2))/((VLOOKUP($B222,INDIRECT($B$5&amp;"生成成长"),4))/(VLOOKUP(EE$72,INDIRECT($C$5&amp;"生成成长"),5))*(VLOOKUP($B$5,标准坦克设计!$B$24:$U$30,MATCH("对"&amp;LEFT($C$5,2)&amp;"输出",标准坦克设计!$B$23:$U$23,0)))*(VLOOKUP($B222,INDIRECT($B$5&amp;"生成成长"),3))*(VLOOKUP($B$5,标准坦克设计!$B$14:$K$20,9)/30))</f>
        <v>5.9413381398926042</v>
      </c>
      <c r="EF222" s="172">
        <f ca="1">(VLOOKUP(EF$72,INDIRECT($C$5&amp;"生成成长"),2))/((VLOOKUP($B222,INDIRECT($B$5&amp;"生成成长"),4))/(VLOOKUP(EF$72,INDIRECT($C$5&amp;"生成成长"),5))*(VLOOKUP($B$5,标准坦克设计!$B$24:$U$30,MATCH("对"&amp;LEFT($C$5,2)&amp;"输出",标准坦克设计!$B$23:$U$23,0)))*(VLOOKUP($B222,INDIRECT($B$5&amp;"生成成长"),3))*(VLOOKUP($B$5,标准坦克设计!$B$14:$K$20,9)/30))</f>
        <v>6.4241820832625534</v>
      </c>
      <c r="EG222" s="172">
        <f ca="1">(VLOOKUP(EG$72,INDIRECT($C$5&amp;"生成成长"),2))/((VLOOKUP($B222,INDIRECT($B$5&amp;"生成成长"),4))/(VLOOKUP(EG$72,INDIRECT($C$5&amp;"生成成长"),5))*(VLOOKUP($B$5,标准坦克设计!$B$24:$U$30,MATCH("对"&amp;LEFT($C$5,2)&amp;"输出",标准坦克设计!$B$23:$U$23,0)))*(VLOOKUP($B222,INDIRECT($B$5&amp;"生成成长"),3))*(VLOOKUP($B$5,标准坦克设计!$B$14:$K$20,9)/30))</f>
        <v>6.9258871181703903</v>
      </c>
      <c r="EH222" s="172">
        <f ca="1">(VLOOKUP(EH$72,INDIRECT($C$5&amp;"生成成长"),2))/((VLOOKUP($B222,INDIRECT($B$5&amp;"生成成长"),4))/(VLOOKUP(EH$72,INDIRECT($C$5&amp;"生成成长"),5))*(VLOOKUP($B$5,标准坦克设计!$B$24:$U$30,MATCH("对"&amp;LEFT($C$5,2)&amp;"输出",标准坦克设计!$B$23:$U$23,0)))*(VLOOKUP($B222,INDIRECT($B$5&amp;"生成成长"),3))*(VLOOKUP($B$5,标准坦克设计!$B$14:$K$20,9)/30))</f>
        <v>7.4464532446161167</v>
      </c>
      <c r="EI222" s="172">
        <f ca="1">(VLOOKUP(EI$72,INDIRECT($C$5&amp;"生成成长"),2))/((VLOOKUP($B222,INDIRECT($B$5&amp;"生成成长"),4))/(VLOOKUP(EI$72,INDIRECT($C$5&amp;"生成成长"),5))*(VLOOKUP($B$5,标准坦克设计!$B$24:$U$30,MATCH("对"&amp;LEFT($C$5,2)&amp;"输出",标准坦克设计!$B$23:$U$23,0)))*(VLOOKUP($B222,INDIRECT($B$5&amp;"生成成长"),3))*(VLOOKUP($B$5,标准坦克设计!$B$14:$K$20,9)/30))</f>
        <v>7.9858804625997299</v>
      </c>
      <c r="EJ222" s="172">
        <f ca="1">(VLOOKUP(EJ$72,INDIRECT($C$5&amp;"生成成长"),2))/((VLOOKUP($B222,INDIRECT($B$5&amp;"生成成长"),4))/(VLOOKUP(EJ$72,INDIRECT($C$5&amp;"生成成长"),5))*(VLOOKUP($B$5,标准坦克设计!$B$24:$U$30,MATCH("对"&amp;LEFT($C$5,2)&amp;"输出",标准坦克设计!$B$23:$U$23,0)))*(VLOOKUP($B222,INDIRECT($B$5&amp;"生成成长"),3))*(VLOOKUP($B$5,标准坦克设计!$B$14:$K$20,9)/30))</f>
        <v>8.5441687721212336</v>
      </c>
      <c r="EK222" s="172">
        <f ca="1">(VLOOKUP(EK$72,INDIRECT($C$5&amp;"生成成长"),2))/((VLOOKUP($B222,INDIRECT($B$5&amp;"生成成长"),4))/(VLOOKUP(EK$72,INDIRECT($C$5&amp;"生成成长"),5))*(VLOOKUP($B$5,标准坦克设计!$B$24:$U$30,MATCH("对"&amp;LEFT($C$5,2)&amp;"输出",标准坦克设计!$B$23:$U$23,0)))*(VLOOKUP($B222,INDIRECT($B$5&amp;"生成成长"),3))*(VLOOKUP($B$5,标准坦克设计!$B$14:$K$20,9)/30))</f>
        <v>9.2390113843770507</v>
      </c>
      <c r="EL222" s="172">
        <f ca="1">(VLOOKUP(EL$72,INDIRECT($C$5&amp;"生成成长"),2))/((VLOOKUP($B222,INDIRECT($B$5&amp;"生成成长"),4))/(VLOOKUP(EL$72,INDIRECT($C$5&amp;"生成成长"),5))*(VLOOKUP($B$5,标准坦克设计!$B$24:$U$30,MATCH("对"&amp;LEFT($C$5,2)&amp;"输出",标准坦克设计!$B$23:$U$23,0)))*(VLOOKUP($B222,INDIRECT($B$5&amp;"生成成长"),3))*(VLOOKUP($B$5,标准坦克设计!$B$14:$K$20,9)/30))</f>
        <v>9.9610139684474266</v>
      </c>
      <c r="EM222" s="172">
        <f ca="1">(VLOOKUP(EM$72,INDIRECT($C$5&amp;"生成成长"),2))/((VLOOKUP($B222,INDIRECT($B$5&amp;"生成成长"),4))/(VLOOKUP(EM$72,INDIRECT($C$5&amp;"生成成长"),5))*(VLOOKUP($B$5,标准坦克设计!$B$24:$U$30,MATCH("对"&amp;LEFT($C$5,2)&amp;"输出",标准坦克设计!$B$23:$U$23,0)))*(VLOOKUP($B222,INDIRECT($B$5&amp;"生成成长"),3))*(VLOOKUP($B$5,标准坦克设计!$B$14:$K$20,9)/30))</f>
        <v>10.710176524332363</v>
      </c>
      <c r="EN222" s="172">
        <f ca="1">(VLOOKUP(EN$72,INDIRECT($C$5&amp;"生成成长"),2))/((VLOOKUP($B222,INDIRECT($B$5&amp;"生成成长"),4))/(VLOOKUP(EN$72,INDIRECT($C$5&amp;"生成成长"),5))*(VLOOKUP($B$5,标准坦克设计!$B$24:$U$30,MATCH("对"&amp;LEFT($C$5,2)&amp;"输出",标准坦克设计!$B$23:$U$23,0)))*(VLOOKUP($B222,INDIRECT($B$5&amp;"生成成长"),3))*(VLOOKUP($B$5,标准坦克设计!$B$14:$K$20,9)/30))</f>
        <v>11.486499052031856</v>
      </c>
      <c r="EO222" s="172">
        <f ca="1">(VLOOKUP(EO$72,INDIRECT($C$5&amp;"生成成长"),2))/((VLOOKUP($B222,INDIRECT($B$5&amp;"生成成长"),4))/(VLOOKUP(EO$72,INDIRECT($C$5&amp;"生成成长"),5))*(VLOOKUP($B$5,标准坦克设计!$B$24:$U$30,MATCH("对"&amp;LEFT($C$5,2)&amp;"输出",标准坦克设计!$B$23:$U$23,0)))*(VLOOKUP($B222,INDIRECT($B$5&amp;"生成成长"),3))*(VLOOKUP($B$5,标准坦克设计!$B$14:$K$20,9)/30))</f>
        <v>12.289981551545916</v>
      </c>
      <c r="EP222" s="172">
        <f ca="1">(VLOOKUP(EP$72,INDIRECT($C$5&amp;"生成成长"),2))/((VLOOKUP($B222,INDIRECT($B$5&amp;"生成成长"),4))/(VLOOKUP(EP$72,INDIRECT($C$5&amp;"生成成长"),5))*(VLOOKUP($B$5,标准坦克设计!$B$24:$U$30,MATCH("对"&amp;LEFT($C$5,2)&amp;"输出",标准坦克设计!$B$23:$U$23,0)))*(VLOOKUP($B222,INDIRECT($B$5&amp;"生成成长"),3))*(VLOOKUP($B$5,标准坦克设计!$B$14:$K$20,9)/30))</f>
        <v>13.120624022874528</v>
      </c>
      <c r="EQ222" s="172">
        <f ca="1">(VLOOKUP(EQ$72,INDIRECT($C$5&amp;"生成成长"),2))/((VLOOKUP($B222,INDIRECT($B$5&amp;"生成成长"),4))/(VLOOKUP(EQ$72,INDIRECT($C$5&amp;"生成成长"),5))*(VLOOKUP($B$5,标准坦克设计!$B$24:$U$30,MATCH("对"&amp;LEFT($C$5,2)&amp;"输出",标准坦克设计!$B$23:$U$23,0)))*(VLOOKUP($B222,INDIRECT($B$5&amp;"生成成长"),3))*(VLOOKUP($B$5,标准坦克设计!$B$14:$K$20,9)/30))</f>
        <v>5.8001628697315093</v>
      </c>
      <c r="ER222" s="172">
        <f ca="1">(VLOOKUP(ER$72,INDIRECT($C$5&amp;"生成成长"),2))/((VLOOKUP($B222,INDIRECT($B$5&amp;"生成成长"),4))/(VLOOKUP(ER$72,INDIRECT($C$5&amp;"生成成长"),5))*(VLOOKUP($B$5,标准坦克设计!$B$24:$U$30,MATCH("对"&amp;LEFT($C$5,2)&amp;"输出",标准坦克设计!$B$23:$U$23,0)))*(VLOOKUP($B222,INDIRECT($B$5&amp;"生成成长"),3))*(VLOOKUP($B$5,标准坦克设计!$B$14:$K$20,9)/30))</f>
        <v>6.3261044072655324</v>
      </c>
      <c r="ES222" s="172">
        <f ca="1">(VLOOKUP(ES$72,INDIRECT($C$5&amp;"生成成长"),2))/((VLOOKUP($B222,INDIRECT($B$5&amp;"生成成长"),4))/(VLOOKUP(ES$72,INDIRECT($C$5&amp;"生成成长"),5))*(VLOOKUP($B$5,标准坦克设计!$B$24:$U$30,MATCH("对"&amp;LEFT($C$5,2)&amp;"输出",标准坦克设计!$B$23:$U$23,0)))*(VLOOKUP($B222,INDIRECT($B$5&amp;"生成成长"),3))*(VLOOKUP($B$5,标准坦克设计!$B$14:$K$20,9)/30))</f>
        <v>6.8748678655604021</v>
      </c>
      <c r="ET222" s="172">
        <f ca="1">(VLOOKUP(ET$72,INDIRECT($C$5&amp;"生成成长"),2))/((VLOOKUP($B222,INDIRECT($B$5&amp;"生成成长"),4))/(VLOOKUP(ET$72,INDIRECT($C$5&amp;"生成成长"),5))*(VLOOKUP($B$5,标准坦克设计!$B$24:$U$30,MATCH("对"&amp;LEFT($C$5,2)&amp;"输出",标准坦克设计!$B$23:$U$23,0)))*(VLOOKUP($B222,INDIRECT($B$5&amp;"生成成长"),3))*(VLOOKUP($B$5,标准坦克设计!$B$14:$K$20,9)/30))</f>
        <v>7.4464532446161167</v>
      </c>
      <c r="EU222" s="172">
        <f ca="1">(VLOOKUP(EU$72,INDIRECT($C$5&amp;"生成成长"),2))/((VLOOKUP($B222,INDIRECT($B$5&amp;"生成成长"),4))/(VLOOKUP(EU$72,INDIRECT($C$5&amp;"生成成长"),5))*(VLOOKUP($B$5,标准坦克设计!$B$24:$U$30,MATCH("对"&amp;LEFT($C$5,2)&amp;"输出",标准坦克设计!$B$23:$U$23,0)))*(VLOOKUP($B222,INDIRECT($B$5&amp;"生成成长"),3))*(VLOOKUP($B$5,标准坦克设计!$B$14:$K$20,9)/30))</f>
        <v>8.0408605444326771</v>
      </c>
      <c r="EV222" s="172">
        <f ca="1">(VLOOKUP(EV$72,INDIRECT($C$5&amp;"生成成长"),2))/((VLOOKUP($B222,INDIRECT($B$5&amp;"生成成长"),4))/(VLOOKUP(EV$72,INDIRECT($C$5&amp;"生成成长"),5))*(VLOOKUP($B$5,标准坦克设计!$B$24:$U$30,MATCH("对"&amp;LEFT($C$5,2)&amp;"输出",标准坦克设计!$B$23:$U$23,0)))*(VLOOKUP($B222,INDIRECT($B$5&amp;"生成成长"),3))*(VLOOKUP($B$5,标准坦克设计!$B$14:$K$20,9)/30))</f>
        <v>8.6580897650100823</v>
      </c>
      <c r="EW222" s="172">
        <f ca="1">(VLOOKUP(EW$72,INDIRECT($C$5&amp;"生成成长"),2))/((VLOOKUP($B222,INDIRECT($B$5&amp;"生成成长"),4))/(VLOOKUP(EW$72,INDIRECT($C$5&amp;"生成成长"),5))*(VLOOKUP($B$5,标准坦克设计!$B$24:$U$30,MATCH("对"&amp;LEFT($C$5,2)&amp;"输出",标准坦克设计!$B$23:$U$23,0)))*(VLOOKUP($B222,INDIRECT($B$5&amp;"生成成长"),3))*(VLOOKUP($B$5,标准坦克设计!$B$14:$K$20,9)/30))</f>
        <v>9.2981409063483316</v>
      </c>
      <c r="EX222" s="172">
        <f ca="1">(VLOOKUP(EX$72,INDIRECT($C$5&amp;"生成成长"),2))/((VLOOKUP($B222,INDIRECT($B$5&amp;"生成成长"),4))/(VLOOKUP(EX$72,INDIRECT($C$5&amp;"生成成长"),5))*(VLOOKUP($B$5,标准坦克设计!$B$24:$U$30,MATCH("对"&amp;LEFT($C$5,2)&amp;"输出",标准坦克设计!$B$23:$U$23,0)))*(VLOOKUP($B222,INDIRECT($B$5&amp;"生成成长"),3))*(VLOOKUP($B$5,标准坦克设计!$B$14:$K$20,9)/30))</f>
        <v>9.9610139684474266</v>
      </c>
      <c r="EY222" s="172">
        <f ca="1">(VLOOKUP(EY$72,INDIRECT($C$5&amp;"生成成长"),2))/((VLOOKUP($B222,INDIRECT($B$5&amp;"生成成长"),4))/(VLOOKUP(EY$72,INDIRECT($C$5&amp;"生成成长"),5))*(VLOOKUP($B$5,标准坦克设计!$B$24:$U$30,MATCH("对"&amp;LEFT($C$5,2)&amp;"输出",标准坦克设计!$B$23:$U$23,0)))*(VLOOKUP($B222,INDIRECT($B$5&amp;"生成成长"),3))*(VLOOKUP($B$5,标准坦克设计!$B$14:$K$20,9)/30))</f>
        <v>10.646708951307369</v>
      </c>
      <c r="EZ222" s="172">
        <f ca="1">(VLOOKUP(EZ$72,INDIRECT($C$5&amp;"生成成长"),2))/((VLOOKUP($B222,INDIRECT($B$5&amp;"生成成长"),4))/(VLOOKUP(EZ$72,INDIRECT($C$5&amp;"生成成长"),5))*(VLOOKUP($B$5,标准坦克设计!$B$24:$U$30,MATCH("对"&amp;LEFT($C$5,2)&amp;"输出",标准坦克设计!$B$23:$U$23,0)))*(VLOOKUP($B222,INDIRECT($B$5&amp;"生成成长"),3))*(VLOOKUP($B$5,标准坦克设计!$B$14:$K$20,9)/30))</f>
        <v>11.355225854928156</v>
      </c>
      <c r="FA222" s="172">
        <f ca="1">(VLOOKUP(FA$72,INDIRECT($C$5&amp;"生成成长"),2))/((VLOOKUP($B222,INDIRECT($B$5&amp;"生成成长"),4))/(VLOOKUP(FA$72,INDIRECT($C$5&amp;"生成成长"),5))*(VLOOKUP($B$5,标准坦克设计!$B$24:$U$30,MATCH("对"&amp;LEFT($C$5,2)&amp;"输出",标准坦克设计!$B$23:$U$23,0)))*(VLOOKUP($B222,INDIRECT($B$5&amp;"生成成长"),3))*(VLOOKUP($B$5,标准坦克设计!$B$14:$K$20,9)/30))</f>
        <v>12.086564679309785</v>
      </c>
      <c r="FB222" s="172">
        <f ca="1">(VLOOKUP(FB$72,INDIRECT($C$5&amp;"生成成长"),2))/((VLOOKUP($B222,INDIRECT($B$5&amp;"生成成长"),4))/(VLOOKUP(FB$72,INDIRECT($C$5&amp;"生成成长"),5))*(VLOOKUP($B$5,标准坦克设计!$B$24:$U$30,MATCH("对"&amp;LEFT($C$5,2)&amp;"输出",标准坦克设计!$B$23:$U$23,0)))*(VLOOKUP($B222,INDIRECT($B$5&amp;"生成成长"),3))*(VLOOKUP($B$5,标准坦克设计!$B$14:$K$20,9)/30))</f>
        <v>12.840725424452259</v>
      </c>
      <c r="FC222" s="172">
        <f ca="1">(VLOOKUP(FC$72,INDIRECT($C$5&amp;"生成成长"),2))/((VLOOKUP($B222,INDIRECT($B$5&amp;"生成成长"),4))/(VLOOKUP(FC$72,INDIRECT($C$5&amp;"生成成长"),5))*(VLOOKUP($B$5,标准坦克设计!$B$24:$U$30,MATCH("对"&amp;LEFT($C$5,2)&amp;"输出",标准坦克设计!$B$23:$U$23,0)))*(VLOOKUP($B222,INDIRECT($B$5&amp;"生成成长"),3))*(VLOOKUP($B$5,标准坦克设计!$B$14:$K$20,9)/30))</f>
        <v>13.617708090355585</v>
      </c>
      <c r="FD222" s="172">
        <f ca="1">(VLOOKUP(FD$72,INDIRECT($C$5&amp;"生成成长"),2))/((VLOOKUP($B222,INDIRECT($B$5&amp;"生成成长"),4))/(VLOOKUP(FD$72,INDIRECT($C$5&amp;"生成成长"),5))*(VLOOKUP($B$5,标准坦克设计!$B$24:$U$30,MATCH("对"&amp;LEFT($C$5,2)&amp;"输出",标准坦克设计!$B$23:$U$23,0)))*(VLOOKUP($B222,INDIRECT($B$5&amp;"生成成长"),3))*(VLOOKUP($B$5,标准坦克设计!$B$14:$K$20,9)/30))</f>
        <v>14.417512677019749</v>
      </c>
      <c r="FE222" s="172">
        <f ca="1">(VLOOKUP(FE$72,INDIRECT($C$5&amp;"生成成长"),2))/((VLOOKUP($B222,INDIRECT($B$5&amp;"生成成长"),4))/(VLOOKUP(FE$72,INDIRECT($C$5&amp;"生成成长"),5))*(VLOOKUP($B$5,标准坦克设计!$B$24:$U$30,MATCH("对"&amp;LEFT($C$5,2)&amp;"输出",标准坦克设计!$B$23:$U$23,0)))*(VLOOKUP($B222,INDIRECT($B$5&amp;"生成成长"),3))*(VLOOKUP($B$5,标准坦克设计!$B$14:$K$20,9)/30))</f>
        <v>15.392159582240144</v>
      </c>
      <c r="FF222" s="172">
        <f ca="1">(VLOOKUP(FF$72,INDIRECT($C$5&amp;"生成成长"),2))/((VLOOKUP($B222,INDIRECT($B$5&amp;"生成成长"),4))/(VLOOKUP(FF$72,INDIRECT($C$5&amp;"生成成长"),5))*(VLOOKUP($B$5,标准坦克设计!$B$24:$U$30,MATCH("对"&amp;LEFT($C$5,2)&amp;"输出",标准坦克设计!$B$23:$U$23,0)))*(VLOOKUP($B222,INDIRECT($B$5&amp;"生成成长"),3))*(VLOOKUP($B$5,标准坦克设计!$B$14:$K$20,9)/30))</f>
        <v>16.39868173215957</v>
      </c>
      <c r="FG222" s="172">
        <f ca="1">(VLOOKUP(FG$72,INDIRECT($C$5&amp;"生成成长"),2))/((VLOOKUP($B222,INDIRECT($B$5&amp;"生成成长"),4))/(VLOOKUP(FG$72,INDIRECT($C$5&amp;"生成成长"),5))*(VLOOKUP($B$5,标准坦克设计!$B$24:$U$30,MATCH("对"&amp;LEFT($C$5,2)&amp;"输出",标准坦克设计!$B$23:$U$23,0)))*(VLOOKUP($B222,INDIRECT($B$5&amp;"生成成长"),3))*(VLOOKUP($B$5,标准坦克设计!$B$14:$K$20,9)/30))</f>
        <v>17.437079126778027</v>
      </c>
      <c r="FH222" s="172">
        <f ca="1">(VLOOKUP(FH$72,INDIRECT($C$5&amp;"生成成长"),2))/((VLOOKUP($B222,INDIRECT($B$5&amp;"生成成长"),4))/(VLOOKUP(FH$72,INDIRECT($C$5&amp;"生成成长"),5))*(VLOOKUP($B$5,标准坦克设计!$B$24:$U$30,MATCH("对"&amp;LEFT($C$5,2)&amp;"输出",标准坦克设计!$B$23:$U$23,0)))*(VLOOKUP($B222,INDIRECT($B$5&amp;"生成成长"),3))*(VLOOKUP($B$5,标准坦克设计!$B$14:$K$20,9)/30))</f>
        <v>18.507351766095518</v>
      </c>
      <c r="FI222" s="172">
        <f ca="1">(VLOOKUP(FI$72,INDIRECT($C$5&amp;"生成成长"),2))/((VLOOKUP($B222,INDIRECT($B$5&amp;"生成成长"),4))/(VLOOKUP(FI$72,INDIRECT($C$5&amp;"生成成长"),5))*(VLOOKUP($B$5,标准坦克设计!$B$24:$U$30,MATCH("对"&amp;LEFT($C$5,2)&amp;"输出",标准坦克设计!$B$23:$U$23,0)))*(VLOOKUP($B222,INDIRECT($B$5&amp;"生成成长"),3))*(VLOOKUP($B$5,标准坦克设计!$B$14:$K$20,9)/30))</f>
        <v>19.609499650112042</v>
      </c>
      <c r="FJ222" s="172">
        <f ca="1">(VLOOKUP(FJ$72,INDIRECT($C$5&amp;"生成成长"),2))/((VLOOKUP($B222,INDIRECT($B$5&amp;"生成成长"),4))/(VLOOKUP(FJ$72,INDIRECT($C$5&amp;"生成成长"),5))*(VLOOKUP($B$5,标准坦克设计!$B$24:$U$30,MATCH("对"&amp;LEFT($C$5,2)&amp;"输出",标准坦克设计!$B$23:$U$23,0)))*(VLOOKUP($B222,INDIRECT($B$5&amp;"生成成长"),3))*(VLOOKUP($B$5,标准坦克设计!$B$14:$K$20,9)/30))</f>
        <v>20.743522778827593</v>
      </c>
      <c r="FK222" s="172">
        <f ca="1">(VLOOKUP(FK$72,INDIRECT($C$5&amp;"生成成长"),2))/((VLOOKUP($B222,INDIRECT($B$5&amp;"生成成长"),4))/(VLOOKUP(FK$72,INDIRECT($C$5&amp;"生成成长"),5))*(VLOOKUP($B$5,标准坦克设计!$B$24:$U$30,MATCH("对"&amp;LEFT($C$5,2)&amp;"输出",标准坦克设计!$B$23:$U$23,0)))*(VLOOKUP($B222,INDIRECT($B$5&amp;"生成成长"),3))*(VLOOKUP($B$5,标准坦克设计!$B$14:$K$20,9)/30))</f>
        <v>21.909421152242182</v>
      </c>
    </row>
    <row r="223" spans="1:167" x14ac:dyDescent="0.15">
      <c r="A223" s="170" t="str">
        <f t="shared" si="13"/>
        <v>T5高品质7级</v>
      </c>
      <c r="B223" s="171">
        <v>30507</v>
      </c>
      <c r="C223" s="172">
        <f ca="1">(VLOOKUP(C$72,INDIRECT($C$5&amp;"生成成长"),2))/((VLOOKUP($B223,INDIRECT($B$5&amp;"生成成长"),4))/(VLOOKUP(C$72,INDIRECT($C$5&amp;"生成成长"),5))*(VLOOKUP($B$5,标准坦克设计!$B$24:$U$30,MATCH("对"&amp;LEFT($C$5,2)&amp;"输出",标准坦克设计!$B$23:$U$23,0)))*(VLOOKUP($B223,INDIRECT($B$5&amp;"生成成长"),3))*(VLOOKUP($B$5,标准坦克设计!$B$14:$K$20,9)/30))</f>
        <v>0.88001705180629608</v>
      </c>
      <c r="D223" s="172">
        <f ca="1">(VLOOKUP(D$72,INDIRECT($C$5&amp;"生成成长"),2))/((VLOOKUP($B223,INDIRECT($B$5&amp;"生成成长"),4))/(VLOOKUP(D$72,INDIRECT($C$5&amp;"生成成长"),5))*(VLOOKUP($B$5,标准坦克设计!$B$24:$U$30,MATCH("对"&amp;LEFT($C$5,2)&amp;"输出",标准坦克设计!$B$23:$U$23,0)))*(VLOOKUP($B223,INDIRECT($B$5&amp;"生成成长"),3))*(VLOOKUP($B$5,标准坦克设计!$B$14:$K$20,9)/30))</f>
        <v>0.98878715940955431</v>
      </c>
      <c r="E223" s="172">
        <f ca="1">(VLOOKUP(E$72,INDIRECT($C$5&amp;"生成成长"),2))/((VLOOKUP($B223,INDIRECT($B$5&amp;"生成成长"),4))/(VLOOKUP(E$72,INDIRECT($C$5&amp;"生成成长"),5))*(VLOOKUP($B$5,标准坦克设计!$B$24:$U$30,MATCH("对"&amp;LEFT($C$5,2)&amp;"输出",标准坦克设计!$B$23:$U$23,0)))*(VLOOKUP($B223,INDIRECT($B$5&amp;"生成成长"),3))*(VLOOKUP($B$5,标准坦克设计!$B$14:$K$20,9)/30))</f>
        <v>1.1038933897858181</v>
      </c>
      <c r="F223" s="172">
        <f ca="1">(VLOOKUP(F$72,INDIRECT($C$5&amp;"生成成长"),2))/((VLOOKUP($B223,INDIRECT($B$5&amp;"生成成长"),4))/(VLOOKUP(F$72,INDIRECT($C$5&amp;"生成成长"),5))*(VLOOKUP($B$5,标准坦克设计!$B$24:$U$30,MATCH("对"&amp;LEFT($C$5,2)&amp;"输出",标准坦克设计!$B$23:$U$23,0)))*(VLOOKUP($B223,INDIRECT($B$5&amp;"生成成长"),3))*(VLOOKUP($B$5,标准坦克设计!$B$14:$K$20,9)/30))</f>
        <v>1.2253357429350871</v>
      </c>
      <c r="G223" s="172">
        <f ca="1">(VLOOKUP(G$72,INDIRECT($C$5&amp;"生成成长"),2))/((VLOOKUP($B223,INDIRECT($B$5&amp;"生成成长"),4))/(VLOOKUP(G$72,INDIRECT($C$5&amp;"生成成长"),5))*(VLOOKUP($B$5,标准坦克设计!$B$24:$U$30,MATCH("对"&amp;LEFT($C$5,2)&amp;"输出",标准坦克设计!$B$23:$U$23,0)))*(VLOOKUP($B223,INDIRECT($B$5&amp;"生成成长"),3))*(VLOOKUP($B$5,标准坦克设计!$B$14:$K$20,9)/30))</f>
        <v>1.3531142188573608</v>
      </c>
      <c r="H223" s="172">
        <f ca="1">(VLOOKUP(H$72,INDIRECT($C$5&amp;"生成成长"),2))/((VLOOKUP($B223,INDIRECT($B$5&amp;"生成成长"),4))/(VLOOKUP(H$72,INDIRECT($C$5&amp;"生成成长"),5))*(VLOOKUP($B$5,标准坦克设计!$B$24:$U$30,MATCH("对"&amp;LEFT($C$5,2)&amp;"输出",标准坦克设计!$B$23:$U$23,0)))*(VLOOKUP($B223,INDIRECT($B$5&amp;"生成成长"),3))*(VLOOKUP($B$5,标准坦克设计!$B$14:$K$20,9)/30))</f>
        <v>1.1841509449105523</v>
      </c>
      <c r="I223" s="172">
        <f ca="1">(VLOOKUP(I$72,INDIRECT($C$5&amp;"生成成长"),2))/((VLOOKUP($B223,INDIRECT($B$5&amp;"生成成长"),4))/(VLOOKUP(I$72,INDIRECT($C$5&amp;"生成成长"),5))*(VLOOKUP($B$5,标准坦克设计!$B$24:$U$30,MATCH("对"&amp;LEFT($C$5,2)&amp;"输出",标准坦克设计!$B$23:$U$23,0)))*(VLOOKUP($B223,INDIRECT($B$5&amp;"生成成长"),3))*(VLOOKUP($B$5,标准坦克设计!$B$14:$K$20,9)/30))</f>
        <v>1.3531142188573608</v>
      </c>
      <c r="J223" s="172">
        <f ca="1">(VLOOKUP(J$72,INDIRECT($C$5&amp;"生成成长"),2))/((VLOOKUP($B223,INDIRECT($B$5&amp;"生成成长"),4))/(VLOOKUP(J$72,INDIRECT($C$5&amp;"生成成长"),5))*(VLOOKUP($B$5,标准坦克设计!$B$24:$U$30,MATCH("对"&amp;LEFT($C$5,2)&amp;"输出",标准坦克设计!$B$23:$U$23,0)))*(VLOOKUP($B223,INDIRECT($B$5&amp;"生成成长"),3))*(VLOOKUP($B$5,标准坦克设计!$B$14:$K$20,9)/30))</f>
        <v>1.5333417110672902</v>
      </c>
      <c r="K223" s="172">
        <f ca="1">(VLOOKUP(K$72,INDIRECT($C$5&amp;"生成成长"),2))/((VLOOKUP($B223,INDIRECT($B$5&amp;"生成成长"),4))/(VLOOKUP(K$72,INDIRECT($C$5&amp;"生成成长"),5))*(VLOOKUP($B$5,标准坦克设计!$B$24:$U$30,MATCH("对"&amp;LEFT($C$5,2)&amp;"输出",标准坦克设计!$B$23:$U$23,0)))*(VLOOKUP($B223,INDIRECT($B$5&amp;"生成成长"),3))*(VLOOKUP($B$5,标准坦克设计!$B$14:$K$20,9)/30))</f>
        <v>1.7248334215403405</v>
      </c>
      <c r="L223" s="172">
        <f ca="1">(VLOOKUP(L$72,INDIRECT($C$5&amp;"生成成长"),2))/((VLOOKUP($B223,INDIRECT($B$5&amp;"生成成长"),4))/(VLOOKUP(L$72,INDIRECT($C$5&amp;"生成成长"),5))*(VLOOKUP($B$5,标准坦克设计!$B$24:$U$30,MATCH("对"&amp;LEFT($C$5,2)&amp;"输出",标准坦克设计!$B$23:$U$23,0)))*(VLOOKUP($B223,INDIRECT($B$5&amp;"生成成长"),3))*(VLOOKUP($B$5,标准坦克设计!$B$14:$K$20,9)/30))</f>
        <v>1.9275893502765113</v>
      </c>
      <c r="M223" s="172">
        <f ca="1">(VLOOKUP(M$72,INDIRECT($C$5&amp;"生成成长"),2))/((VLOOKUP($B223,INDIRECT($B$5&amp;"生成成长"),4))/(VLOOKUP(M$72,INDIRECT($C$5&amp;"生成成长"),5))*(VLOOKUP($B$5,标准坦克设计!$B$24:$U$30,MATCH("对"&amp;LEFT($C$5,2)&amp;"输出",标准坦克设计!$B$23:$U$23,0)))*(VLOOKUP($B223,INDIRECT($B$5&amp;"生成成长"),3))*(VLOOKUP($B$5,标准坦克设计!$B$14:$K$20,9)/30))</f>
        <v>2.1416094972758026</v>
      </c>
      <c r="N223" s="172">
        <f ca="1">(VLOOKUP(N$72,INDIRECT($C$5&amp;"生成成长"),2))/((VLOOKUP($B223,INDIRECT($B$5&amp;"生成成长"),4))/(VLOOKUP(N$72,INDIRECT($C$5&amp;"生成成长"),5))*(VLOOKUP($B$5,标准坦克设计!$B$24:$U$30,MATCH("对"&amp;LEFT($C$5,2)&amp;"输出",标准坦克设计!$B$23:$U$23,0)))*(VLOOKUP($B223,INDIRECT($B$5&amp;"生成成长"),3))*(VLOOKUP($B$5,标准坦克设计!$B$14:$K$20,9)/30))</f>
        <v>2.3668938625382143</v>
      </c>
      <c r="O223" s="172">
        <f ca="1">(VLOOKUP(O$72,INDIRECT($C$5&amp;"生成成长"),2))/((VLOOKUP($B223,INDIRECT($B$5&amp;"生成成长"),4))/(VLOOKUP(O$72,INDIRECT($C$5&amp;"生成成长"),5))*(VLOOKUP($B$5,标准坦克设计!$B$24:$U$30,MATCH("对"&amp;LEFT($C$5,2)&amp;"输出",标准坦克设计!$B$23:$U$23,0)))*(VLOOKUP($B223,INDIRECT($B$5&amp;"生成成长"),3))*(VLOOKUP($B$5,标准坦克设计!$B$14:$K$20,9)/30))</f>
        <v>1.7995468692386951</v>
      </c>
      <c r="P223" s="172">
        <f ca="1">(VLOOKUP(P$72,INDIRECT($C$5&amp;"生成成长"),2))/((VLOOKUP($B223,INDIRECT($B$5&amp;"生成成长"),4))/(VLOOKUP(P$72,INDIRECT($C$5&amp;"生成成长"),5))*(VLOOKUP($B$5,标准坦克设计!$B$24:$U$30,MATCH("对"&amp;LEFT($C$5,2)&amp;"输出",标准坦克设计!$B$23:$U$23,0)))*(VLOOKUP($B223,INDIRECT($B$5&amp;"生成成长"),3))*(VLOOKUP($B$5,标准坦克设计!$B$14:$K$20,9)/30))</f>
        <v>2.0331913964932666</v>
      </c>
      <c r="Q223" s="172">
        <f ca="1">(VLOOKUP(Q$72,INDIRECT($C$5&amp;"生成成长"),2))/((VLOOKUP($B223,INDIRECT($B$5&amp;"生成成长"),4))/(VLOOKUP(Q$72,INDIRECT($C$5&amp;"生成成长"),5))*(VLOOKUP($B$5,标准坦克设计!$B$24:$U$30,MATCH("对"&amp;LEFT($C$5,2)&amp;"输出",标准坦克设计!$B$23:$U$23,0)))*(VLOOKUP($B223,INDIRECT($B$5&amp;"生成成长"),3))*(VLOOKUP($B$5,标准坦克设计!$B$14:$K$20,9)/30))</f>
        <v>2.2810921999871003</v>
      </c>
      <c r="R223" s="172">
        <f ca="1">(VLOOKUP(R$72,INDIRECT($C$5&amp;"生成成长"),2))/((VLOOKUP($B223,INDIRECT($B$5&amp;"生成成长"),4))/(VLOOKUP(R$72,INDIRECT($C$5&amp;"生成成长"),5))*(VLOOKUP($B$5,标准坦克设计!$B$24:$U$30,MATCH("对"&amp;LEFT($C$5,2)&amp;"输出",标准坦克设计!$B$23:$U$23,0)))*(VLOOKUP($B223,INDIRECT($B$5&amp;"生成成长"),3))*(VLOOKUP($B$5,标准坦克设计!$B$14:$K$20,9)/30))</f>
        <v>2.5432492797201958</v>
      </c>
      <c r="S223" s="172">
        <f ca="1">(VLOOKUP(S$72,INDIRECT($C$5&amp;"生成成长"),2))/((VLOOKUP($B223,INDIRECT($B$5&amp;"生成成长"),4))/(VLOOKUP(S$72,INDIRECT($C$5&amp;"生成成长"),5))*(VLOOKUP($B$5,标准坦克设计!$B$24:$U$30,MATCH("对"&amp;LEFT($C$5,2)&amp;"输出",标准坦克设计!$B$23:$U$23,0)))*(VLOOKUP($B223,INDIRECT($B$5&amp;"生成成长"),3))*(VLOOKUP($B$5,标准坦克设计!$B$14:$K$20,9)/30))</f>
        <v>2.8196626356925534</v>
      </c>
      <c r="T223" s="172">
        <f ca="1">(VLOOKUP(T$72,INDIRECT($C$5&amp;"生成成长"),2))/((VLOOKUP($B223,INDIRECT($B$5&amp;"生成成长"),4))/(VLOOKUP(T$72,INDIRECT($C$5&amp;"生成成长"),5))*(VLOOKUP($B$5,标准坦克设计!$B$24:$U$30,MATCH("对"&amp;LEFT($C$5,2)&amp;"输出",标准坦克设计!$B$23:$U$23,0)))*(VLOOKUP($B223,INDIRECT($B$5&amp;"生成成长"),3))*(VLOOKUP($B$5,标准坦克设计!$B$14:$K$20,9)/30))</f>
        <v>3.1103322679041727</v>
      </c>
      <c r="U223" s="172">
        <f ca="1">(VLOOKUP(U$72,INDIRECT($C$5&amp;"生成成长"),2))/((VLOOKUP($B223,INDIRECT($B$5&amp;"生成成长"),4))/(VLOOKUP(U$72,INDIRECT($C$5&amp;"生成成长"),5))*(VLOOKUP($B$5,标准坦克设计!$B$24:$U$30,MATCH("对"&amp;LEFT($C$5,2)&amp;"输出",标准坦克设计!$B$23:$U$23,0)))*(VLOOKUP($B223,INDIRECT($B$5&amp;"生成成长"),3))*(VLOOKUP($B$5,标准坦克设计!$B$14:$K$20,9)/30))</f>
        <v>3.4152581763550556</v>
      </c>
      <c r="V223" s="172">
        <f ca="1">(VLOOKUP(V$72,INDIRECT($C$5&amp;"生成成长"),2))/((VLOOKUP($B223,INDIRECT($B$5&amp;"生成成长"),4))/(VLOOKUP(V$72,INDIRECT($C$5&amp;"生成成长"),5))*(VLOOKUP($B$5,标准坦克设计!$B$24:$U$30,MATCH("对"&amp;LEFT($C$5,2)&amp;"输出",标准坦克设计!$B$23:$U$23,0)))*(VLOOKUP($B223,INDIRECT($B$5&amp;"生成成长"),3))*(VLOOKUP($B$5,标准坦克设计!$B$14:$K$20,9)/30))</f>
        <v>3.7344403610451984</v>
      </c>
      <c r="W223" s="172">
        <f ca="1">(VLOOKUP(W$72,INDIRECT($C$5&amp;"生成成长"),2))/((VLOOKUP($B223,INDIRECT($B$5&amp;"生成成长"),4))/(VLOOKUP(W$72,INDIRECT($C$5&amp;"生成成长"),5))*(VLOOKUP($B$5,标准坦克设计!$B$24:$U$30,MATCH("对"&amp;LEFT($C$5,2)&amp;"输出",标准坦克设计!$B$23:$U$23,0)))*(VLOOKUP($B223,INDIRECT($B$5&amp;"生成成长"),3))*(VLOOKUP($B$5,标准坦克设计!$B$14:$K$20,9)/30))</f>
        <v>4.0678788219746034</v>
      </c>
      <c r="X223" s="172">
        <f ca="1">(VLOOKUP(X$72,INDIRECT($C$5&amp;"生成成长"),2))/((VLOOKUP($B223,INDIRECT($B$5&amp;"生成成长"),4))/(VLOOKUP(X$72,INDIRECT($C$5&amp;"生成成长"),5))*(VLOOKUP($B$5,标准坦克设计!$B$24:$U$30,MATCH("对"&amp;LEFT($C$5,2)&amp;"输出",标准坦克设计!$B$23:$U$23,0)))*(VLOOKUP($B223,INDIRECT($B$5&amp;"生成成长"),3))*(VLOOKUP($B$5,标准坦克设计!$B$14:$K$20,9)/30))</f>
        <v>2.9470891047941055</v>
      </c>
      <c r="Y223" s="172">
        <f ca="1">(VLOOKUP(Y$72,INDIRECT($C$5&amp;"生成成长"),2))/((VLOOKUP($B223,INDIRECT($B$5&amp;"生成成长"),4))/(VLOOKUP(Y$72,INDIRECT($C$5&amp;"生成成长"),5))*(VLOOKUP($B$5,标准坦克设计!$B$24:$U$30,MATCH("对"&amp;LEFT($C$5,2)&amp;"输出",标准坦克设计!$B$23:$U$23,0)))*(VLOOKUP($B223,INDIRECT($B$5&amp;"生成成长"),3))*(VLOOKUP($B$5,标准坦克设计!$B$14:$K$20,9)/30))</f>
        <v>3.2779755162732731</v>
      </c>
      <c r="Z223" s="172">
        <f ca="1">(VLOOKUP(Z$72,INDIRECT($C$5&amp;"生成成长"),2))/((VLOOKUP($B223,INDIRECT($B$5&amp;"生成成长"),4))/(VLOOKUP(Z$72,INDIRECT($C$5&amp;"生成成长"),5))*(VLOOKUP($B$5,标准坦克设计!$B$24:$U$30,MATCH("对"&amp;LEFT($C$5,2)&amp;"输出",标准坦克设计!$B$23:$U$23,0)))*(VLOOKUP($B223,INDIRECT($B$5&amp;"生成成长"),3))*(VLOOKUP($B$5,标准坦克设计!$B$14:$K$20,9)/30))</f>
        <v>3.6264622687885653</v>
      </c>
      <c r="AA223" s="172">
        <f ca="1">(VLOOKUP(AA$72,INDIRECT($C$5&amp;"生成成长"),2))/((VLOOKUP($B223,INDIRECT($B$5&amp;"生成成长"),4))/(VLOOKUP(AA$72,INDIRECT($C$5&amp;"生成成长"),5))*(VLOOKUP($B$5,标准坦克设计!$B$24:$U$30,MATCH("对"&amp;LEFT($C$5,2)&amp;"输出",标准坦克设计!$B$23:$U$23,0)))*(VLOOKUP($B223,INDIRECT($B$5&amp;"生成成长"),3))*(VLOOKUP($B$5,标准坦克设计!$B$14:$K$20,9)/30))</f>
        <v>3.992549362339985</v>
      </c>
      <c r="AB223" s="172">
        <f ca="1">(VLOOKUP(AB$72,INDIRECT($C$5&amp;"生成成长"),2))/((VLOOKUP($B223,INDIRECT($B$5&amp;"生成成长"),4))/(VLOOKUP(AB$72,INDIRECT($C$5&amp;"生成成长"),5))*(VLOOKUP($B$5,标准坦克设计!$B$24:$U$30,MATCH("对"&amp;LEFT($C$5,2)&amp;"输出",标准坦克设计!$B$23:$U$23,0)))*(VLOOKUP($B223,INDIRECT($B$5&amp;"生成成长"),3))*(VLOOKUP($B$5,标准坦克设计!$B$14:$K$20,9)/30))</f>
        <v>4.3762367969275298</v>
      </c>
      <c r="AC223" s="172">
        <f ca="1">(VLOOKUP(AC$72,INDIRECT($C$5&amp;"生成成长"),2))/((VLOOKUP($B223,INDIRECT($B$5&amp;"生成成长"),4))/(VLOOKUP(AC$72,INDIRECT($C$5&amp;"生成成长"),5))*(VLOOKUP($B$5,标准坦克设计!$B$24:$U$30,MATCH("对"&amp;LEFT($C$5,2)&amp;"输出",标准坦克设计!$B$23:$U$23,0)))*(VLOOKUP($B223,INDIRECT($B$5&amp;"生成成长"),3))*(VLOOKUP($B$5,标准坦克设计!$B$14:$K$20,9)/30))</f>
        <v>4.7775245725512017</v>
      </c>
      <c r="AD223" s="172">
        <f ca="1">(VLOOKUP(AD$72,INDIRECT($C$5&amp;"生成成长"),2))/((VLOOKUP($B223,INDIRECT($B$5&amp;"生成成长"),4))/(VLOOKUP(AD$72,INDIRECT($C$5&amp;"生成成长"),5))*(VLOOKUP($B$5,标准坦克设计!$B$24:$U$30,MATCH("对"&amp;LEFT($C$5,2)&amp;"输出",标准坦克设计!$B$23:$U$23,0)))*(VLOOKUP($B223,INDIRECT($B$5&amp;"生成成长"),3))*(VLOOKUP($B$5,标准坦克设计!$B$14:$K$20,9)/30))</f>
        <v>5.196412689210999</v>
      </c>
      <c r="AE223" s="172">
        <f ca="1">(VLOOKUP(AE$72,INDIRECT($C$5&amp;"生成成长"),2))/((VLOOKUP($B223,INDIRECT($B$5&amp;"生成成长"),4))/(VLOOKUP(AE$72,INDIRECT($C$5&amp;"生成成长"),5))*(VLOOKUP($B$5,标准坦克设计!$B$24:$U$30,MATCH("对"&amp;LEFT($C$5,2)&amp;"输出",标准坦克设计!$B$23:$U$23,0)))*(VLOOKUP($B223,INDIRECT($B$5&amp;"生成成长"),3))*(VLOOKUP($B$5,标准坦克设计!$B$14:$K$20,9)/30))</f>
        <v>5.6329011469069217</v>
      </c>
      <c r="AF223" s="172">
        <f ca="1">(VLOOKUP(AF$72,INDIRECT($C$5&amp;"生成成长"),2))/((VLOOKUP($B223,INDIRECT($B$5&amp;"生成成长"),4))/(VLOOKUP(AF$72,INDIRECT($C$5&amp;"生成成长"),5))*(VLOOKUP($B$5,标准坦克设计!$B$24:$U$30,MATCH("对"&amp;LEFT($C$5,2)&amp;"输出",标准坦克设计!$B$23:$U$23,0)))*(VLOOKUP($B223,INDIRECT($B$5&amp;"生成成长"),3))*(VLOOKUP($B$5,标准坦克设计!$B$14:$K$20,9)/30))</f>
        <v>6.0869899456389698</v>
      </c>
      <c r="AG223" s="172">
        <f ca="1">(VLOOKUP(AG$72,INDIRECT($C$5&amp;"生成成长"),2))/((VLOOKUP($B223,INDIRECT($B$5&amp;"生成成长"),4))/(VLOOKUP(AG$72,INDIRECT($C$5&amp;"生成成长"),5))*(VLOOKUP($B$5,标准坦克设计!$B$24:$U$30,MATCH("对"&amp;LEFT($C$5,2)&amp;"输出",标准坦克设计!$B$23:$U$23,0)))*(VLOOKUP($B223,INDIRECT($B$5&amp;"生成成长"),3))*(VLOOKUP($B$5,标准坦克设计!$B$14:$K$20,9)/30))</f>
        <v>6.5586790854071451</v>
      </c>
      <c r="AH223" s="172">
        <f ca="1">(VLOOKUP(AH$72,INDIRECT($C$5&amp;"生成成长"),2))/((VLOOKUP($B223,INDIRECT($B$5&amp;"生成成长"),4))/(VLOOKUP(AH$72,INDIRECT($C$5&amp;"生成成长"),5))*(VLOOKUP($B$5,标准坦克设计!$B$24:$U$30,MATCH("对"&amp;LEFT($C$5,2)&amp;"输出",标准坦克设计!$B$23:$U$23,0)))*(VLOOKUP($B223,INDIRECT($B$5&amp;"生成成长"),3))*(VLOOKUP($B$5,标准坦克设计!$B$14:$K$20,9)/30))</f>
        <v>7.0479685662114457</v>
      </c>
      <c r="AI223" s="172">
        <f ca="1">(VLOOKUP(AI$72,INDIRECT($C$5&amp;"生成成长"),2))/((VLOOKUP($B223,INDIRECT($B$5&amp;"生成成长"),4))/(VLOOKUP(AI$72,INDIRECT($C$5&amp;"生成成长"),5))*(VLOOKUP($B$5,标准坦克设计!$B$24:$U$30,MATCH("对"&amp;LEFT($C$5,2)&amp;"输出",标准坦克设计!$B$23:$U$23,0)))*(VLOOKUP($B223,INDIRECT($B$5&amp;"生成成长"),3))*(VLOOKUP($B$5,标准坦克设计!$B$14:$K$20,9)/30))</f>
        <v>4.9847685882515842</v>
      </c>
      <c r="AJ223" s="172">
        <f ca="1">(VLOOKUP(AJ$72,INDIRECT($C$5&amp;"生成成长"),2))/((VLOOKUP($B223,INDIRECT($B$5&amp;"生成成长"),4))/(VLOOKUP(AJ$72,INDIRECT($C$5&amp;"生成成长"),5))*(VLOOKUP($B$5,标准坦克设计!$B$24:$U$30,MATCH("对"&amp;LEFT($C$5,2)&amp;"输出",标准坦克设计!$B$23:$U$23,0)))*(VLOOKUP($B223,INDIRECT($B$5&amp;"生成成长"),3))*(VLOOKUP($B$5,标准坦克设计!$B$14:$K$20,9)/30))</f>
        <v>5.4561937229042172</v>
      </c>
      <c r="AK223" s="172">
        <f ca="1">(VLOOKUP(AK$72,INDIRECT($C$5&amp;"生成成长"),2))/((VLOOKUP($B223,INDIRECT($B$5&amp;"生成成长"),4))/(VLOOKUP(AK$72,INDIRECT($C$5&amp;"生成成长"),5))*(VLOOKUP($B$5,标准坦克设计!$B$24:$U$30,MATCH("对"&amp;LEFT($C$5,2)&amp;"输出",标准坦克设计!$B$23:$U$23,0)))*(VLOOKUP($B223,INDIRECT($B$5&amp;"生成成长"),3))*(VLOOKUP($B$5,标准坦克设计!$B$14:$K$20,9)/30))</f>
        <v>5.9489152702105628</v>
      </c>
      <c r="AL223" s="172">
        <f ca="1">(VLOOKUP(AL$72,INDIRECT($C$5&amp;"生成成长"),2))/((VLOOKUP($B223,INDIRECT($B$5&amp;"生成成长"),4))/(VLOOKUP(AL$72,INDIRECT($C$5&amp;"生成成长"),5))*(VLOOKUP($B$5,标准坦克设计!$B$24:$U$30,MATCH("对"&amp;LEFT($C$5,2)&amp;"输出",标准坦克设计!$B$23:$U$23,0)))*(VLOOKUP($B223,INDIRECT($B$5&amp;"生成成长"),3))*(VLOOKUP($B$5,标准坦克设计!$B$14:$K$20,9)/30))</f>
        <v>6.462933230170619</v>
      </c>
      <c r="AM223" s="172">
        <f ca="1">(VLOOKUP(AM$72,INDIRECT($C$5&amp;"生成成长"),2))/((VLOOKUP($B223,INDIRECT($B$5&amp;"生成成长"),4))/(VLOOKUP(AM$72,INDIRECT($C$5&amp;"生成成长"),5))*(VLOOKUP($B$5,标准坦克设计!$B$24:$U$30,MATCH("对"&amp;LEFT($C$5,2)&amp;"输出",标准坦克设计!$B$23:$U$23,0)))*(VLOOKUP($B223,INDIRECT($B$5&amp;"生成成长"),3))*(VLOOKUP($B$5,标准坦克设计!$B$14:$K$20,9)/30))</f>
        <v>6.9982476027843896</v>
      </c>
      <c r="AN223" s="172">
        <f ca="1">(VLOOKUP(AN$72,INDIRECT($C$5&amp;"生成成长"),2))/((VLOOKUP($B223,INDIRECT($B$5&amp;"生成成长"),4))/(VLOOKUP(AN$72,INDIRECT($C$5&amp;"生成成长"),5))*(VLOOKUP($B$5,标准坦克设计!$B$24:$U$30,MATCH("对"&amp;LEFT($C$5,2)&amp;"输出",标准坦克设计!$B$23:$U$23,0)))*(VLOOKUP($B223,INDIRECT($B$5&amp;"生成成长"),3))*(VLOOKUP($B$5,标准坦克设计!$B$14:$K$20,9)/30))</f>
        <v>7.5548583880518718</v>
      </c>
      <c r="AO223" s="172">
        <f ca="1">(VLOOKUP(AO$72,INDIRECT($C$5&amp;"生成成长"),2))/((VLOOKUP($B223,INDIRECT($B$5&amp;"生成成长"),4))/(VLOOKUP(AO$72,INDIRECT($C$5&amp;"生成成长"),5))*(VLOOKUP($B$5,标准坦克设计!$B$24:$U$30,MATCH("对"&amp;LEFT($C$5,2)&amp;"输出",标准坦克设计!$B$23:$U$23,0)))*(VLOOKUP($B223,INDIRECT($B$5&amp;"生成成长"),3))*(VLOOKUP($B$5,标准坦克设计!$B$14:$K$20,9)/30))</f>
        <v>8.1327655859730665</v>
      </c>
      <c r="AP223" s="172">
        <f ca="1">(VLOOKUP(AP$72,INDIRECT($C$5&amp;"生成成长"),2))/((VLOOKUP($B223,INDIRECT($B$5&amp;"生成成长"),4))/(VLOOKUP(AP$72,INDIRECT($C$5&amp;"生成成长"),5))*(VLOOKUP($B$5,标准坦克设计!$B$24:$U$30,MATCH("对"&amp;LEFT($C$5,2)&amp;"输出",标准坦克设计!$B$23:$U$23,0)))*(VLOOKUP($B223,INDIRECT($B$5&amp;"生成成长"),3))*(VLOOKUP($B$5,标准坦克设计!$B$14:$K$20,9)/30))</f>
        <v>8.7319691965479738</v>
      </c>
      <c r="AQ223" s="172">
        <f ca="1">(VLOOKUP(AQ$72,INDIRECT($C$5&amp;"生成成长"),2))/((VLOOKUP($B223,INDIRECT($B$5&amp;"生成成长"),4))/(VLOOKUP(AQ$72,INDIRECT($C$5&amp;"生成成长"),5))*(VLOOKUP($B$5,标准坦克设计!$B$24:$U$30,MATCH("对"&amp;LEFT($C$5,2)&amp;"输出",标准坦克设计!$B$23:$U$23,0)))*(VLOOKUP($B223,INDIRECT($B$5&amp;"生成成长"),3))*(VLOOKUP($B$5,标准坦克设计!$B$14:$K$20,9)/30))</f>
        <v>9.3524692197765908</v>
      </c>
      <c r="AR223" s="172">
        <f ca="1">(VLOOKUP(AR$72,INDIRECT($C$5&amp;"生成成长"),2))/((VLOOKUP($B223,INDIRECT($B$5&amp;"生成成长"),4))/(VLOOKUP(AR$72,INDIRECT($C$5&amp;"生成成长"),5))*(VLOOKUP($B$5,标准坦克设计!$B$24:$U$30,MATCH("对"&amp;LEFT($C$5,2)&amp;"输出",标准坦克设计!$B$23:$U$23,0)))*(VLOOKUP($B223,INDIRECT($B$5&amp;"生成成长"),3))*(VLOOKUP($B$5,标准坦克设计!$B$14:$K$20,9)/30))</f>
        <v>9.9942656556589267</v>
      </c>
      <c r="AS223" s="172">
        <f ca="1">(VLOOKUP(AS$72,INDIRECT($C$5&amp;"生成成长"),2))/((VLOOKUP($B223,INDIRECT($B$5&amp;"生成成长"),4))/(VLOOKUP(AS$72,INDIRECT($C$5&amp;"生成成长"),5))*(VLOOKUP($B$5,标准坦克设计!$B$24:$U$30,MATCH("对"&amp;LEFT($C$5,2)&amp;"输出",标准坦克设计!$B$23:$U$23,0)))*(VLOOKUP($B223,INDIRECT($B$5&amp;"生成成长"),3))*(VLOOKUP($B$5,标准坦克设计!$B$14:$K$20,9)/30))</f>
        <v>10.657358504194969</v>
      </c>
      <c r="AT223" s="172">
        <f ca="1">(VLOOKUP(AT$72,INDIRECT($C$5&amp;"生成成长"),2))/((VLOOKUP($B223,INDIRECT($B$5&amp;"生成成长"),4))/(VLOOKUP(AT$72,INDIRECT($C$5&amp;"生成成长"),5))*(VLOOKUP($B$5,标准坦克设计!$B$24:$U$30,MATCH("对"&amp;LEFT($C$5,2)&amp;"输出",标准坦克设计!$B$23:$U$23,0)))*(VLOOKUP($B223,INDIRECT($B$5&amp;"生成成长"),3))*(VLOOKUP($B$5,标准坦克设计!$B$14:$K$20,9)/30))</f>
        <v>11.341747765384724</v>
      </c>
      <c r="AU223" s="172">
        <f ca="1">(VLOOKUP(AU$72,INDIRECT($C$5&amp;"生成成长"),2))/((VLOOKUP($B223,INDIRECT($B$5&amp;"生成成长"),4))/(VLOOKUP(AU$72,INDIRECT($C$5&amp;"生成成长"),5))*(VLOOKUP($B$5,标准坦克设计!$B$24:$U$30,MATCH("对"&amp;LEFT($C$5,2)&amp;"输出",标准坦克设计!$B$23:$U$23,0)))*(VLOOKUP($B223,INDIRECT($B$5&amp;"生成成长"),3))*(VLOOKUP($B$5,标准坦克设计!$B$14:$K$20,9)/30))</f>
        <v>12.047433439228193</v>
      </c>
      <c r="AV223" s="172">
        <f ca="1">(VLOOKUP(AV$72,INDIRECT($C$5&amp;"生成成长"),2))/((VLOOKUP($B223,INDIRECT($B$5&amp;"生成成长"),4))/(VLOOKUP(AV$72,INDIRECT($C$5&amp;"生成成长"),5))*(VLOOKUP($B$5,标准坦克设计!$B$24:$U$30,MATCH("对"&amp;LEFT($C$5,2)&amp;"输出",标准坦克设计!$B$23:$U$23,0)))*(VLOOKUP($B223,INDIRECT($B$5&amp;"生成成长"),3))*(VLOOKUP($B$5,标准坦克设计!$B$14:$K$20,9)/30))</f>
        <v>1.2253357429350871</v>
      </c>
      <c r="AW223" s="172">
        <f ca="1">(VLOOKUP(AW$72,INDIRECT($C$5&amp;"生成成长"),2))/((VLOOKUP($B223,INDIRECT($B$5&amp;"生成成长"),4))/(VLOOKUP(AW$72,INDIRECT($C$5&amp;"生成成长"),5))*(VLOOKUP($B$5,标准坦克设计!$B$24:$U$30,MATCH("对"&amp;LEFT($C$5,2)&amp;"输出",标准坦克设计!$B$23:$U$23,0)))*(VLOOKUP($B223,INDIRECT($B$5&amp;"生成成长"),3))*(VLOOKUP($B$5,标准坦克设计!$B$14:$K$20,9)/30))</f>
        <v>1.3971150714476759</v>
      </c>
      <c r="AX223" s="172">
        <f ca="1">(VLOOKUP(AX$72,INDIRECT($C$5&amp;"生成成长"),2))/((VLOOKUP($B223,INDIRECT($B$5&amp;"生成成长"),4))/(VLOOKUP(AX$72,INDIRECT($C$5&amp;"生成成长"),5))*(VLOOKUP($B$5,标准坦克设计!$B$24:$U$30,MATCH("对"&amp;LEFT($C$5,2)&amp;"输出",标准坦克设计!$B$23:$U$23,0)))*(VLOOKUP($B223,INDIRECT($B$5&amp;"生成成长"),3))*(VLOOKUP($B$5,标准坦克设计!$B$14:$K$20,9)/30))</f>
        <v>1.5801586182233853</v>
      </c>
      <c r="AY223" s="172">
        <f ca="1">(VLOOKUP(AY$72,INDIRECT($C$5&amp;"生成成长"),2))/((VLOOKUP($B223,INDIRECT($B$5&amp;"生成成长"),4))/(VLOOKUP(AY$72,INDIRECT($C$5&amp;"生成成长"),5))*(VLOOKUP($B$5,标准坦克设计!$B$24:$U$30,MATCH("对"&amp;LEFT($C$5,2)&amp;"输出",标准坦克设计!$B$23:$U$23,0)))*(VLOOKUP($B223,INDIRECT($B$5&amp;"生成成长"),3))*(VLOOKUP($B$5,标准坦克设计!$B$14:$K$20,9)/30))</f>
        <v>1.7744663832622156</v>
      </c>
      <c r="AZ223" s="172">
        <f ca="1">(VLOOKUP(AZ$72,INDIRECT($C$5&amp;"生成成长"),2))/((VLOOKUP($B223,INDIRECT($B$5&amp;"生成成长"),4))/(VLOOKUP(AZ$72,INDIRECT($C$5&amp;"生成成长"),5))*(VLOOKUP($B$5,标准坦克设计!$B$24:$U$30,MATCH("对"&amp;LEFT($C$5,2)&amp;"输出",标准坦克设计!$B$23:$U$23,0)))*(VLOOKUP($B223,INDIRECT($B$5&amp;"生成成长"),3))*(VLOOKUP($B$5,标准坦克设计!$B$14:$K$20,9)/30))</f>
        <v>1.9800383665641665</v>
      </c>
      <c r="BA223" s="172">
        <f ca="1">(VLOOKUP(BA$72,INDIRECT($C$5&amp;"生成成长"),2))/((VLOOKUP($B223,INDIRECT($B$5&amp;"生成成长"),4))/(VLOOKUP(BA$72,INDIRECT($C$5&amp;"生成成长"),5))*(VLOOKUP($B$5,标准坦克设计!$B$24:$U$30,MATCH("对"&amp;LEFT($C$5,2)&amp;"输出",标准坦克设计!$B$23:$U$23,0)))*(VLOOKUP($B223,INDIRECT($B$5&amp;"生成成长"),3))*(VLOOKUP($B$5,标准坦克设计!$B$14:$K$20,9)/30))</f>
        <v>2.1968745681292381</v>
      </c>
      <c r="BB223" s="172">
        <f ca="1">(VLOOKUP(BB$72,INDIRECT($C$5&amp;"生成成长"),2))/((VLOOKUP($B223,INDIRECT($B$5&amp;"生成成长"),4))/(VLOOKUP(BB$72,INDIRECT($C$5&amp;"生成成长"),5))*(VLOOKUP($B$5,标准坦克设计!$B$24:$U$30,MATCH("对"&amp;LEFT($C$5,2)&amp;"输出",标准坦克设计!$B$23:$U$23,0)))*(VLOOKUP($B223,INDIRECT($B$5&amp;"生成成长"),3))*(VLOOKUP($B$5,标准坦克设计!$B$14:$K$20,9)/30))</f>
        <v>2.4249749879574298</v>
      </c>
      <c r="BC223" s="172">
        <f ca="1">(VLOOKUP(BC$72,INDIRECT($C$5&amp;"生成成长"),2))/((VLOOKUP($B223,INDIRECT($B$5&amp;"生成成长"),4))/(VLOOKUP(BC$72,INDIRECT($C$5&amp;"生成成长"),5))*(VLOOKUP($B$5,标准坦克设计!$B$24:$U$30,MATCH("对"&amp;LEFT($C$5,2)&amp;"输出",标准坦克设计!$B$23:$U$23,0)))*(VLOOKUP($B223,INDIRECT($B$5&amp;"生成成长"),3))*(VLOOKUP($B$5,标准坦克设计!$B$14:$K$20,9)/30))</f>
        <v>2.6643396260487422</v>
      </c>
      <c r="BD223" s="172">
        <f ca="1">(VLOOKUP(BD$72,INDIRECT($C$5&amp;"生成成长"),2))/((VLOOKUP($B223,INDIRECT($B$5&amp;"生成成长"),4))/(VLOOKUP(BD$72,INDIRECT($C$5&amp;"生成成长"),5))*(VLOOKUP($B$5,标准坦克设计!$B$24:$U$30,MATCH("对"&amp;LEFT($C$5,2)&amp;"输出",标准坦克设计!$B$23:$U$23,0)))*(VLOOKUP($B223,INDIRECT($B$5&amp;"生成成长"),3))*(VLOOKUP($B$5,标准坦克设计!$B$14:$K$20,9)/30))</f>
        <v>2.9470891047941055</v>
      </c>
      <c r="BE223" s="172">
        <f ca="1">(VLOOKUP(BE$72,INDIRECT($C$5&amp;"生成成长"),2))/((VLOOKUP($B223,INDIRECT($B$5&amp;"生成成长"),4))/(VLOOKUP(BE$72,INDIRECT($C$5&amp;"生成成长"),5))*(VLOOKUP($B$5,标准坦克设计!$B$24:$U$30,MATCH("对"&amp;LEFT($C$5,2)&amp;"输出",标准坦克设计!$B$23:$U$23,0)))*(VLOOKUP($B223,INDIRECT($B$5&amp;"生成成长"),3))*(VLOOKUP($B$5,标准坦克设计!$B$14:$K$20,9)/30))</f>
        <v>3.2440948597787296</v>
      </c>
      <c r="BF223" s="172">
        <f ca="1">(VLOOKUP(BF$72,INDIRECT($C$5&amp;"生成成长"),2))/((VLOOKUP($B223,INDIRECT($B$5&amp;"生成成长"),4))/(VLOOKUP(BF$72,INDIRECT($C$5&amp;"生成成长"),5))*(VLOOKUP($B$5,标准坦克设计!$B$24:$U$30,MATCH("对"&amp;LEFT($C$5,2)&amp;"输出",标准坦克设计!$B$23:$U$23,0)))*(VLOOKUP($B223,INDIRECT($B$5&amp;"生成成长"),3))*(VLOOKUP($B$5,标准坦克设计!$B$14:$K$20,9)/30))</f>
        <v>3.5553568910026172</v>
      </c>
      <c r="BG223" s="172">
        <f ca="1">(VLOOKUP(BG$72,INDIRECT($C$5&amp;"生成成长"),2))/((VLOOKUP($B223,INDIRECT($B$5&amp;"生成成长"),4))/(VLOOKUP(BG$72,INDIRECT($C$5&amp;"生成成长"),5))*(VLOOKUP($B$5,标准坦克设计!$B$24:$U$30,MATCH("对"&amp;LEFT($C$5,2)&amp;"输出",标准坦克设计!$B$23:$U$23,0)))*(VLOOKUP($B223,INDIRECT($B$5&amp;"生成成长"),3))*(VLOOKUP($B$5,标准坦克设计!$B$14:$K$20,9)/30))</f>
        <v>3.8808751984657661</v>
      </c>
      <c r="BH223" s="172">
        <f ca="1">(VLOOKUP(BH$72,INDIRECT($C$5&amp;"生成成长"),2))/((VLOOKUP($B223,INDIRECT($B$5&amp;"生成成长"),4))/(VLOOKUP(BH$72,INDIRECT($C$5&amp;"生成成长"),5))*(VLOOKUP($B$5,标准坦克设计!$B$24:$U$30,MATCH("对"&amp;LEFT($C$5,2)&amp;"输出",标准坦克设计!$B$23:$U$23,0)))*(VLOOKUP($B223,INDIRECT($B$5&amp;"生成成长"),3))*(VLOOKUP($B$5,标准坦克设计!$B$14:$K$20,9)/30))</f>
        <v>1.8758443476303006</v>
      </c>
      <c r="BI223" s="172">
        <f ca="1">(VLOOKUP(BI$72,INDIRECT($C$5&amp;"生成成长"),2))/((VLOOKUP($B223,INDIRECT($B$5&amp;"生成成长"),4))/(VLOOKUP(BI$72,INDIRECT($C$5&amp;"生成成长"),5))*(VLOOKUP($B$5,标准坦克设计!$B$24:$U$30,MATCH("对"&amp;LEFT($C$5,2)&amp;"输出",标准坦克设计!$B$23:$U$23,0)))*(VLOOKUP($B223,INDIRECT($B$5&amp;"生成成长"),3))*(VLOOKUP($B$5,标准坦克设计!$B$14:$K$20,9)/30))</f>
        <v>2.1142409669646263</v>
      </c>
      <c r="BJ223" s="172">
        <f ca="1">(VLOOKUP(BJ$72,INDIRECT($C$5&amp;"生成成长"),2))/((VLOOKUP($B223,INDIRECT($B$5&amp;"生成成长"),4))/(VLOOKUP(BJ$72,INDIRECT($C$5&amp;"生成成长"),5))*(VLOOKUP($B$5,标准坦克设计!$B$24:$U$30,MATCH("对"&amp;LEFT($C$5,2)&amp;"输出",标准坦克设计!$B$23:$U$23,0)))*(VLOOKUP($B223,INDIRECT($B$5&amp;"生成成长"),3))*(VLOOKUP($B$5,标准坦克设计!$B$14:$K$20,9)/30))</f>
        <v>2.3668938625382143</v>
      </c>
      <c r="BK223" s="172">
        <f ca="1">(VLOOKUP(BK$72,INDIRECT($C$5&amp;"生成成长"),2))/((VLOOKUP($B223,INDIRECT($B$5&amp;"生成成长"),4))/(VLOOKUP(BK$72,INDIRECT($C$5&amp;"生成成长"),5))*(VLOOKUP($B$5,标准坦克设计!$B$24:$U$30,MATCH("对"&amp;LEFT($C$5,2)&amp;"输出",标准坦克设计!$B$23:$U$23,0)))*(VLOOKUP($B223,INDIRECT($B$5&amp;"生成成长"),3))*(VLOOKUP($B$5,标准坦克设计!$B$14:$K$20,9)/30))</f>
        <v>2.6338030343510637</v>
      </c>
      <c r="BL223" s="172">
        <f ca="1">(VLOOKUP(BL$72,INDIRECT($C$5&amp;"生成成长"),2))/((VLOOKUP($B223,INDIRECT($B$5&amp;"生成成长"),4))/(VLOOKUP(BL$72,INDIRECT($C$5&amp;"生成成长"),5))*(VLOOKUP($B$5,标准坦克设计!$B$24:$U$30,MATCH("对"&amp;LEFT($C$5,2)&amp;"输出",标准坦克设计!$B$23:$U$23,0)))*(VLOOKUP($B223,INDIRECT($B$5&amp;"生成成长"),3))*(VLOOKUP($B$5,标准坦克设计!$B$14:$K$20,9)/30))</f>
        <v>2.9149684824031752</v>
      </c>
      <c r="BM223" s="172">
        <f ca="1">(VLOOKUP(BM$72,INDIRECT($C$5&amp;"生成成长"),2))/((VLOOKUP($B223,INDIRECT($B$5&amp;"生成成长"),4))/(VLOOKUP(BM$72,INDIRECT($C$5&amp;"生成成长"),5))*(VLOOKUP($B$5,标准坦克设计!$B$24:$U$30,MATCH("对"&amp;LEFT($C$5,2)&amp;"输出",标准坦克设计!$B$23:$U$23,0)))*(VLOOKUP($B223,INDIRECT($B$5&amp;"生成成长"),3))*(VLOOKUP($B$5,标准坦克设计!$B$14:$K$20,9)/30))</f>
        <v>3.2103902066945489</v>
      </c>
      <c r="BN223" s="172">
        <f ca="1">(VLOOKUP(BN$72,INDIRECT($C$5&amp;"生成成长"),2))/((VLOOKUP($B223,INDIRECT($B$5&amp;"生成成长"),4))/(VLOOKUP(BN$72,INDIRECT($C$5&amp;"生成成长"),5))*(VLOOKUP($B$5,标准坦克设计!$B$24:$U$30,MATCH("对"&amp;LEFT($C$5,2)&amp;"输出",标准坦克设计!$B$23:$U$23,0)))*(VLOOKUP($B223,INDIRECT($B$5&amp;"生成成长"),3))*(VLOOKUP($B$5,标准坦克设计!$B$14:$K$20,9)/30))</f>
        <v>3.5200682072251843</v>
      </c>
      <c r="BO223" s="172">
        <f ca="1">(VLOOKUP(BO$72,INDIRECT($C$5&amp;"生成成长"),2))/((VLOOKUP($B223,INDIRECT($B$5&amp;"生成成长"),4))/(VLOOKUP(BO$72,INDIRECT($C$5&amp;"生成成长"),5))*(VLOOKUP($B$5,标准坦克设计!$B$24:$U$30,MATCH("对"&amp;LEFT($C$5,2)&amp;"输出",标准坦克设计!$B$23:$U$23,0)))*(VLOOKUP($B223,INDIRECT($B$5&amp;"生成成长"),3))*(VLOOKUP($B$5,标准坦克设计!$B$14:$K$20,9)/30))</f>
        <v>3.8440024839950824</v>
      </c>
      <c r="BP223" s="172">
        <f ca="1">(VLOOKUP(BP$72,INDIRECT($C$5&amp;"生成成长"),2))/((VLOOKUP($B223,INDIRECT($B$5&amp;"生成成长"),4))/(VLOOKUP(BP$72,INDIRECT($C$5&amp;"生成成长"),5))*(VLOOKUP($B$5,标准坦克设计!$B$24:$U$30,MATCH("对"&amp;LEFT($C$5,2)&amp;"输出",标准坦克设计!$B$23:$U$23,0)))*(VLOOKUP($B223,INDIRECT($B$5&amp;"生成成长"),3))*(VLOOKUP($B$5,标准坦克设计!$B$14:$K$20,9)/30))</f>
        <v>4.1821930370042422</v>
      </c>
      <c r="BQ223" s="172">
        <f ca="1">(VLOOKUP(BQ$72,INDIRECT($C$5&amp;"生成成长"),2))/((VLOOKUP($B223,INDIRECT($B$5&amp;"生成成长"),4))/(VLOOKUP(BQ$72,INDIRECT($C$5&amp;"生成成长"),5))*(VLOOKUP($B$5,标准坦克设计!$B$24:$U$30,MATCH("对"&amp;LEFT($C$5,2)&amp;"输出",标准坦克设计!$B$23:$U$23,0)))*(VLOOKUP($B223,INDIRECT($B$5&amp;"生成成长"),3))*(VLOOKUP($B$5,标准坦克设计!$B$14:$K$20,9)/30))</f>
        <v>4.5346398662526628</v>
      </c>
      <c r="BR223" s="172">
        <f ca="1">(VLOOKUP(BR$72,INDIRECT($C$5&amp;"生成成长"),2))/((VLOOKUP($B223,INDIRECT($B$5&amp;"生成成长"),4))/(VLOOKUP(BR$72,INDIRECT($C$5&amp;"生成成长"),5))*(VLOOKUP($B$5,标准坦克设计!$B$24:$U$30,MATCH("对"&amp;LEFT($C$5,2)&amp;"输出",标准坦克设计!$B$23:$U$23,0)))*(VLOOKUP($B223,INDIRECT($B$5&amp;"生成成长"),3))*(VLOOKUP($B$5,标准坦克设计!$B$14:$K$20,9)/30))</f>
        <v>4.9429677782907842</v>
      </c>
      <c r="BS223" s="172">
        <f ca="1">(VLOOKUP(BS$72,INDIRECT($C$5&amp;"生成成长"),2))/((VLOOKUP($B223,INDIRECT($B$5&amp;"生成成长"),4))/(VLOOKUP(BS$72,INDIRECT($C$5&amp;"生成成长"),5))*(VLOOKUP($B$5,标准坦克设计!$B$24:$U$30,MATCH("对"&amp;LEFT($C$5,2)&amp;"输出",标准坦克设计!$B$23:$U$23,0)))*(VLOOKUP($B223,INDIRECT($B$5&amp;"生成成长"),3))*(VLOOKUP($B$5,标准坦克设计!$B$14:$K$20,9)/30))</f>
        <v>5.3688960313650318</v>
      </c>
      <c r="BT223" s="172">
        <f ca="1">(VLOOKUP(BT$72,INDIRECT($C$5&amp;"生成成长"),2))/((VLOOKUP($B223,INDIRECT($B$5&amp;"生成成长"),4))/(VLOOKUP(BT$72,INDIRECT($C$5&amp;"生成成长"),5))*(VLOOKUP($B$5,标准坦克设计!$B$24:$U$30,MATCH("对"&amp;LEFT($C$5,2)&amp;"输出",标准坦克设计!$B$23:$U$23,0)))*(VLOOKUP($B223,INDIRECT($B$5&amp;"生成成长"),3))*(VLOOKUP($B$5,标准坦克设计!$B$14:$K$20,9)/30))</f>
        <v>5.8124246254754048</v>
      </c>
      <c r="BU223" s="172">
        <f ca="1">(VLOOKUP(BU$72,INDIRECT($C$5&amp;"生成成长"),2))/((VLOOKUP($B223,INDIRECT($B$5&amp;"生成成长"),4))/(VLOOKUP(BU$72,INDIRECT($C$5&amp;"生成成长"),5))*(VLOOKUP($B$5,标准坦克设计!$B$24:$U$30,MATCH("对"&amp;LEFT($C$5,2)&amp;"输出",标准坦克设计!$B$23:$U$23,0)))*(VLOOKUP($B223,INDIRECT($B$5&amp;"生成成长"),3))*(VLOOKUP($B$5,标准坦克设计!$B$14:$K$20,9)/30))</f>
        <v>6.2735535606219042</v>
      </c>
      <c r="BV223" s="172">
        <f ca="1">(VLOOKUP(BV$72,INDIRECT($C$5&amp;"生成成长"),2))/((VLOOKUP($B223,INDIRECT($B$5&amp;"生成成长"),4))/(VLOOKUP(BV$72,INDIRECT($C$5&amp;"生成成长"),5))*(VLOOKUP($B$5,标准坦克设计!$B$24:$U$30,MATCH("对"&amp;LEFT($C$5,2)&amp;"输出",标准坦克设计!$B$23:$U$23,0)))*(VLOOKUP($B223,INDIRECT($B$5&amp;"生成成长"),3))*(VLOOKUP($B$5,标准坦克设计!$B$14:$K$20,9)/30))</f>
        <v>6.7522828368045316</v>
      </c>
      <c r="BW223" s="172">
        <f ca="1">(VLOOKUP(BW$72,INDIRECT($C$5&amp;"生成成长"),2))/((VLOOKUP($B223,INDIRECT($B$5&amp;"生成成长"),4))/(VLOOKUP(BW$72,INDIRECT($C$5&amp;"生成成长"),5))*(VLOOKUP($B$5,标准坦克设计!$B$24:$U$30,MATCH("对"&amp;LEFT($C$5,2)&amp;"输出",标准坦克设计!$B$23:$U$23,0)))*(VLOOKUP($B223,INDIRECT($B$5&amp;"生成成长"),3))*(VLOOKUP($B$5,标准坦克设计!$B$14:$K$20,9)/30))</f>
        <v>3.0773316284614372</v>
      </c>
      <c r="BX223" s="172">
        <f ca="1">(VLOOKUP(BX$72,INDIRECT($C$5&amp;"生成成长"),2))/((VLOOKUP($B223,INDIRECT($B$5&amp;"生成成长"),4))/(VLOOKUP(BX$72,INDIRECT($C$5&amp;"生成成长"),5))*(VLOOKUP($B$5,标准坦克设计!$B$24:$U$30,MATCH("对"&amp;LEFT($C$5,2)&amp;"输出",标准坦克设计!$B$23:$U$23,0)))*(VLOOKUP($B223,INDIRECT($B$5&amp;"生成成长"),3))*(VLOOKUP($B$5,标准坦克设计!$B$14:$K$20,9)/30))</f>
        <v>3.4152581763550556</v>
      </c>
      <c r="BY223" s="172">
        <f ca="1">(VLOOKUP(BY$72,INDIRECT($C$5&amp;"生成成长"),2))/((VLOOKUP($B223,INDIRECT($B$5&amp;"生成成长"),4))/(VLOOKUP(BY$72,INDIRECT($C$5&amp;"生成成长"),5))*(VLOOKUP($B$5,标准坦克设计!$B$24:$U$30,MATCH("对"&amp;LEFT($C$5,2)&amp;"输出",标准坦克设计!$B$23:$U$23,0)))*(VLOOKUP($B223,INDIRECT($B$5&amp;"生成成长"),3))*(VLOOKUP($B$5,标准坦克设计!$B$14:$K$20,9)/30))</f>
        <v>3.7707850652847981</v>
      </c>
      <c r="BZ223" s="172">
        <f ca="1">(VLOOKUP(BZ$72,INDIRECT($C$5&amp;"生成成长"),2))/((VLOOKUP($B223,INDIRECT($B$5&amp;"生成成长"),4))/(VLOOKUP(BZ$72,INDIRECT($C$5&amp;"生成成长"),5))*(VLOOKUP($B$5,标准坦克设计!$B$24:$U$30,MATCH("对"&amp;LEFT($C$5,2)&amp;"输出",标准坦克设计!$B$23:$U$23,0)))*(VLOOKUP($B223,INDIRECT($B$5&amp;"生成成长"),3))*(VLOOKUP($B$5,标准坦克设计!$B$14:$K$20,9)/30))</f>
        <v>4.1439122952506686</v>
      </c>
      <c r="CA223" s="172">
        <f ca="1">(VLOOKUP(CA$72,INDIRECT($C$5&amp;"生成成长"),2))/((VLOOKUP($B223,INDIRECT($B$5&amp;"生成成长"),4))/(VLOOKUP(CA$72,INDIRECT($C$5&amp;"生成成长"),5))*(VLOOKUP($B$5,标准坦克设计!$B$24:$U$30,MATCH("对"&amp;LEFT($C$5,2)&amp;"输出",标准坦克设计!$B$23:$U$23,0)))*(VLOOKUP($B223,INDIRECT($B$5&amp;"生成成长"),3))*(VLOOKUP($B$5,标准坦克设计!$B$14:$K$20,9)/30))</f>
        <v>4.5346398662526628</v>
      </c>
      <c r="CB223" s="172">
        <f ca="1">(VLOOKUP(CB$72,INDIRECT($C$5&amp;"生成成长"),2))/((VLOOKUP($B223,INDIRECT($B$5&amp;"生成成长"),4))/(VLOOKUP(CB$72,INDIRECT($C$5&amp;"生成成长"),5))*(VLOOKUP($B$5,标准坦克设计!$B$24:$U$30,MATCH("对"&amp;LEFT($C$5,2)&amp;"输出",标准坦克设计!$B$23:$U$23,0)))*(VLOOKUP($B223,INDIRECT($B$5&amp;"生成成长"),3))*(VLOOKUP($B$5,标准坦克设计!$B$14:$K$20,9)/30))</f>
        <v>4.9429677782907842</v>
      </c>
      <c r="CC223" s="172">
        <f ca="1">(VLOOKUP(CC$72,INDIRECT($C$5&amp;"生成成长"),2))/((VLOOKUP($B223,INDIRECT($B$5&amp;"生成成长"),4))/(VLOOKUP(CC$72,INDIRECT($C$5&amp;"生成成长"),5))*(VLOOKUP($B$5,标准坦克设计!$B$24:$U$30,MATCH("对"&amp;LEFT($C$5,2)&amp;"输出",标准坦克设计!$B$23:$U$23,0)))*(VLOOKUP($B223,INDIRECT($B$5&amp;"生成成长"),3))*(VLOOKUP($B$5,标准坦克设计!$B$14:$K$20,9)/30))</f>
        <v>5.3688960313650318</v>
      </c>
      <c r="CD223" s="172">
        <f ca="1">(VLOOKUP(CD$72,INDIRECT($C$5&amp;"生成成长"),2))/((VLOOKUP($B223,INDIRECT($B$5&amp;"生成成长"),4))/(VLOOKUP(CD$72,INDIRECT($C$5&amp;"生成成长"),5))*(VLOOKUP($B$5,标准坦克设计!$B$24:$U$30,MATCH("对"&amp;LEFT($C$5,2)&amp;"输出",标准坦克设计!$B$23:$U$23,0)))*(VLOOKUP($B223,INDIRECT($B$5&amp;"生成成长"),3))*(VLOOKUP($B$5,标准坦克设计!$B$14:$K$20,9)/30))</f>
        <v>5.8124246254754048</v>
      </c>
      <c r="CE223" s="172">
        <f ca="1">(VLOOKUP(CE$72,INDIRECT($C$5&amp;"生成成长"),2))/((VLOOKUP($B223,INDIRECT($B$5&amp;"生成成长"),4))/(VLOOKUP(CE$72,INDIRECT($C$5&amp;"生成成长"),5))*(VLOOKUP($B$5,标准坦克设计!$B$24:$U$30,MATCH("对"&amp;LEFT($C$5,2)&amp;"输出",标准坦克设计!$B$23:$U$23,0)))*(VLOOKUP($B223,INDIRECT($B$5&amp;"生成成长"),3))*(VLOOKUP($B$5,标准坦克设计!$B$14:$K$20,9)/30))</f>
        <v>6.2735535606219042</v>
      </c>
      <c r="CF223" s="172">
        <f ca="1">(VLOOKUP(CF$72,INDIRECT($C$5&amp;"生成成长"),2))/((VLOOKUP($B223,INDIRECT($B$5&amp;"生成成长"),4))/(VLOOKUP(CF$72,INDIRECT($C$5&amp;"生成成长"),5))*(VLOOKUP($B$5,标准坦克设计!$B$24:$U$30,MATCH("对"&amp;LEFT($C$5,2)&amp;"输出",标准坦克设计!$B$23:$U$23,0)))*(VLOOKUP($B223,INDIRECT($B$5&amp;"生成成长"),3))*(VLOOKUP($B$5,标准坦克设计!$B$14:$K$20,9)/30))</f>
        <v>6.7522828368045316</v>
      </c>
      <c r="CG223" s="172">
        <f ca="1">(VLOOKUP(CG$72,INDIRECT($C$5&amp;"生成成长"),2))/((VLOOKUP($B223,INDIRECT($B$5&amp;"生成成长"),4))/(VLOOKUP(CG$72,INDIRECT($C$5&amp;"生成成长"),5))*(VLOOKUP($B$5,标准坦克设计!$B$24:$U$30,MATCH("对"&amp;LEFT($C$5,2)&amp;"输出",标准坦克设计!$B$23:$U$23,0)))*(VLOOKUP($B223,INDIRECT($B$5&amp;"生成成长"),3))*(VLOOKUP($B$5,标准坦克设计!$B$14:$K$20,9)/30))</f>
        <v>7.2486124540232808</v>
      </c>
      <c r="CH223" s="172">
        <f ca="1">(VLOOKUP(CH$72,INDIRECT($C$5&amp;"生成成长"),2))/((VLOOKUP($B223,INDIRECT($B$5&amp;"生成成长"),4))/(VLOOKUP(CH$72,INDIRECT($C$5&amp;"生成成长"),5))*(VLOOKUP($B$5,标准坦克设计!$B$24:$U$30,MATCH("对"&amp;LEFT($C$5,2)&amp;"输出",标准坦克设计!$B$23:$U$23,0)))*(VLOOKUP($B223,INDIRECT($B$5&amp;"生成成长"),3))*(VLOOKUP($B$5,标准坦克设计!$B$14:$K$20,9)/30))</f>
        <v>7.7625424122781572</v>
      </c>
      <c r="CI223" s="172">
        <f ca="1">(VLOOKUP(CI$72,INDIRECT($C$5&amp;"生成成长"),2))/((VLOOKUP($B223,INDIRECT($B$5&amp;"生成成长"),4))/(VLOOKUP(CI$72,INDIRECT($C$5&amp;"生成成长"),5))*(VLOOKUP($B$5,标准坦克设计!$B$24:$U$30,MATCH("对"&amp;LEFT($C$5,2)&amp;"输出",标准坦克设计!$B$23:$U$23,0)))*(VLOOKUP($B223,INDIRECT($B$5&amp;"生成成长"),3))*(VLOOKUP($B$5,标准坦克设计!$B$14:$K$20,9)/30))</f>
        <v>8.3481937602552492</v>
      </c>
      <c r="CJ223" s="172">
        <f ca="1">(VLOOKUP(CJ$72,INDIRECT($C$5&amp;"生成成长"),2))/((VLOOKUP($B223,INDIRECT($B$5&amp;"生成成长"),4))/(VLOOKUP(CJ$72,INDIRECT($C$5&amp;"生成成长"),5))*(VLOOKUP($B$5,标准坦克设计!$B$24:$U$30,MATCH("对"&amp;LEFT($C$5,2)&amp;"输出",标准坦克设计!$B$23:$U$23,0)))*(VLOOKUP($B223,INDIRECT($B$5&amp;"生成成长"),3))*(VLOOKUP($B$5,标准坦克设计!$B$14:$K$20,9)/30))</f>
        <v>8.9551415208860519</v>
      </c>
      <c r="CK223" s="172">
        <f ca="1">(VLOOKUP(CK$72,INDIRECT($C$5&amp;"生成成长"),2))/((VLOOKUP($B223,INDIRECT($B$5&amp;"生成成长"),4))/(VLOOKUP(CK$72,INDIRECT($C$5&amp;"生成成长"),5))*(VLOOKUP($B$5,标准坦克设计!$B$24:$U$30,MATCH("对"&amp;LEFT($C$5,2)&amp;"输出",标准坦克设计!$B$23:$U$23,0)))*(VLOOKUP($B223,INDIRECT($B$5&amp;"生成成长"),3))*(VLOOKUP($B$5,标准坦克设计!$B$14:$K$20,9)/30))</f>
        <v>9.5833856941705644</v>
      </c>
      <c r="CL223" s="172">
        <f ca="1">(VLOOKUP(CL$72,INDIRECT($C$5&amp;"生成成长"),2))/((VLOOKUP($B223,INDIRECT($B$5&amp;"生成成长"),4))/(VLOOKUP(CL$72,INDIRECT($C$5&amp;"生成成长"),5))*(VLOOKUP($B$5,标准坦克设计!$B$24:$U$30,MATCH("对"&amp;LEFT($C$5,2)&amp;"输出",标准坦克设计!$B$23:$U$23,0)))*(VLOOKUP($B223,INDIRECT($B$5&amp;"生成成长"),3))*(VLOOKUP($B$5,标准坦克设计!$B$14:$K$20,9)/30))</f>
        <v>10.232926280108792</v>
      </c>
      <c r="CM223" s="172">
        <f ca="1">(VLOOKUP(CM$72,INDIRECT($C$5&amp;"生成成长"),2))/((VLOOKUP($B223,INDIRECT($B$5&amp;"生成成长"),4))/(VLOOKUP(CM$72,INDIRECT($C$5&amp;"生成成长"),5))*(VLOOKUP($B$5,标准坦克设计!$B$24:$U$30,MATCH("对"&amp;LEFT($C$5,2)&amp;"输出",标准坦克设计!$B$23:$U$23,0)))*(VLOOKUP($B223,INDIRECT($B$5&amp;"生成成长"),3))*(VLOOKUP($B$5,标准坦克设计!$B$14:$K$20,9)/30))</f>
        <v>10.903763278700731</v>
      </c>
      <c r="CN223" s="172">
        <f ca="1">(VLOOKUP(CN$72,INDIRECT($C$5&amp;"生成成长"),2))/((VLOOKUP($B223,INDIRECT($B$5&amp;"生成成长"),4))/(VLOOKUP(CN$72,INDIRECT($C$5&amp;"生成成长"),5))*(VLOOKUP($B$5,标准坦克设计!$B$24:$U$30,MATCH("对"&amp;LEFT($C$5,2)&amp;"输出",标准坦克设计!$B$23:$U$23,0)))*(VLOOKUP($B223,INDIRECT($B$5&amp;"生成成长"),3))*(VLOOKUP($B$5,标准坦克设计!$B$14:$K$20,9)/30))</f>
        <v>11.595896689946384</v>
      </c>
      <c r="CO223" s="172">
        <f ca="1">(VLOOKUP(CO$72,INDIRECT($C$5&amp;"生成成长"),2))/((VLOOKUP($B223,INDIRECT($B$5&amp;"生成成长"),4))/(VLOOKUP(CO$72,INDIRECT($C$5&amp;"生成成长"),5))*(VLOOKUP($B$5,标准坦克设计!$B$24:$U$30,MATCH("对"&amp;LEFT($C$5,2)&amp;"输出",标准坦克设计!$B$23:$U$23,0)))*(VLOOKUP($B223,INDIRECT($B$5&amp;"生成成长"),3))*(VLOOKUP($B$5,标准坦克设计!$B$14:$K$20,9)/30))</f>
        <v>5.196412689210999</v>
      </c>
      <c r="CP223" s="172">
        <f ca="1">(VLOOKUP(CP$72,INDIRECT($C$5&amp;"生成成长"),2))/((VLOOKUP($B223,INDIRECT($B$5&amp;"生成成长"),4))/(VLOOKUP(CP$72,INDIRECT($C$5&amp;"生成成长"),5))*(VLOOKUP($B$5,标准坦克设计!$B$24:$U$30,MATCH("对"&amp;LEFT($C$5,2)&amp;"输出",标准坦克设计!$B$23:$U$23,0)))*(VLOOKUP($B223,INDIRECT($B$5&amp;"生成成长"),3))*(VLOOKUP($B$5,标准坦克设计!$B$14:$K$20,9)/30))</f>
        <v>5.6775180114335013</v>
      </c>
      <c r="CQ223" s="172">
        <f ca="1">(VLOOKUP(CQ$72,INDIRECT($C$5&amp;"生成成长"),2))/((VLOOKUP($B223,INDIRECT($B$5&amp;"生成成长"),4))/(VLOOKUP(CQ$72,INDIRECT($C$5&amp;"生成成长"),5))*(VLOOKUP($B$5,标准坦克设计!$B$24:$U$30,MATCH("对"&amp;LEFT($C$5,2)&amp;"输出",标准坦克设计!$B$23:$U$23,0)))*(VLOOKUP($B223,INDIRECT($B$5&amp;"生成成长"),3))*(VLOOKUP($B$5,标准坦克设计!$B$14:$K$20,9)/30))</f>
        <v>6.1799197463097153</v>
      </c>
      <c r="CR223" s="172">
        <f ca="1">(VLOOKUP(CR$72,INDIRECT($C$5&amp;"生成成长"),2))/((VLOOKUP($B223,INDIRECT($B$5&amp;"生成成长"),4))/(VLOOKUP(CR$72,INDIRECT($C$5&amp;"生成成长"),5))*(VLOOKUP($B$5,标准坦克设计!$B$24:$U$30,MATCH("对"&amp;LEFT($C$5,2)&amp;"输出",标准坦克设计!$B$23:$U$23,0)))*(VLOOKUP($B223,INDIRECT($B$5&amp;"生成成长"),3))*(VLOOKUP($B$5,标准坦克设计!$B$14:$K$20,9)/30))</f>
        <v>6.7036178938396418</v>
      </c>
      <c r="CS223" s="172">
        <f ca="1">(VLOOKUP(CS$72,INDIRECT($C$5&amp;"生成成长"),2))/((VLOOKUP($B223,INDIRECT($B$5&amp;"生成成长"),4))/(VLOOKUP(CS$72,INDIRECT($C$5&amp;"生成成长"),5))*(VLOOKUP($B$5,标准坦克设计!$B$24:$U$30,MATCH("对"&amp;LEFT($C$5,2)&amp;"输出",标准坦克设计!$B$23:$U$23,0)))*(VLOOKUP($B223,INDIRECT($B$5&amp;"生成成长"),3))*(VLOOKUP($B$5,标准坦克设计!$B$14:$K$20,9)/30))</f>
        <v>7.2486124540232808</v>
      </c>
      <c r="CT223" s="172">
        <f ca="1">(VLOOKUP(CT$72,INDIRECT($C$5&amp;"生成成长"),2))/((VLOOKUP($B223,INDIRECT($B$5&amp;"生成成长"),4))/(VLOOKUP(CT$72,INDIRECT($C$5&amp;"生成成长"),5))*(VLOOKUP($B$5,标准坦克设计!$B$24:$U$30,MATCH("对"&amp;LEFT($C$5,2)&amp;"输出",标准坦克设计!$B$23:$U$23,0)))*(VLOOKUP($B223,INDIRECT($B$5&amp;"生成成长"),3))*(VLOOKUP($B$5,标准坦克设计!$B$14:$K$20,9)/30))</f>
        <v>7.8149034268606341</v>
      </c>
      <c r="CU223" s="172">
        <f ca="1">(VLOOKUP(CU$72,INDIRECT($C$5&amp;"生成成长"),2))/((VLOOKUP($B223,INDIRECT($B$5&amp;"生成成长"),4))/(VLOOKUP(CU$72,INDIRECT($C$5&amp;"生成成长"),5))*(VLOOKUP($B$5,标准坦克设计!$B$24:$U$30,MATCH("对"&amp;LEFT($C$5,2)&amp;"输出",标准坦克设计!$B$23:$U$23,0)))*(VLOOKUP($B223,INDIRECT($B$5&amp;"生成成长"),3))*(VLOOKUP($B$5,标准坦克设计!$B$14:$K$20,9)/30))</f>
        <v>8.4024908123516955</v>
      </c>
      <c r="CV223" s="172">
        <f ca="1">(VLOOKUP(CV$72,INDIRECT($C$5&amp;"生成成长"),2))/((VLOOKUP($B223,INDIRECT($B$5&amp;"生成成长"),4))/(VLOOKUP(CV$72,INDIRECT($C$5&amp;"生成成长"),5))*(VLOOKUP($B$5,标准坦克设计!$B$24:$U$30,MATCH("对"&amp;LEFT($C$5,2)&amp;"输出",标准坦克设计!$B$23:$U$23,0)))*(VLOOKUP($B223,INDIRECT($B$5&amp;"生成成长"),3))*(VLOOKUP($B$5,标准坦克设计!$B$14:$K$20,9)/30))</f>
        <v>9.0113746104964729</v>
      </c>
      <c r="CW223" s="172">
        <f ca="1">(VLOOKUP(CW$72,INDIRECT($C$5&amp;"生成成长"),2))/((VLOOKUP($B223,INDIRECT($B$5&amp;"生成成长"),4))/(VLOOKUP(CW$72,INDIRECT($C$5&amp;"生成成长"),5))*(VLOOKUP($B$5,标准坦克设计!$B$24:$U$30,MATCH("对"&amp;LEFT($C$5,2)&amp;"输出",标准坦克设计!$B$23:$U$23,0)))*(VLOOKUP($B223,INDIRECT($B$5&amp;"生成成长"),3))*(VLOOKUP($B$5,标准坦克设计!$B$14:$K$20,9)/30))</f>
        <v>9.6415548212949638</v>
      </c>
      <c r="CX223" s="172">
        <f ca="1">(VLOOKUP(CX$72,INDIRECT($C$5&amp;"生成成长"),2))/((VLOOKUP($B223,INDIRECT($B$5&amp;"生成成长"),4))/(VLOOKUP(CX$72,INDIRECT($C$5&amp;"生成成长"),5))*(VLOOKUP($B$5,标准坦克设计!$B$24:$U$30,MATCH("对"&amp;LEFT($C$5,2)&amp;"输出",标准坦克设计!$B$23:$U$23,0)))*(VLOOKUP($B223,INDIRECT($B$5&amp;"生成成长"),3))*(VLOOKUP($B$5,标准坦克设计!$B$14:$K$20,9)/30))</f>
        <v>10.293031444747163</v>
      </c>
      <c r="CY223" s="172">
        <f ca="1">(VLOOKUP(CY$72,INDIRECT($C$5&amp;"生成成长"),2))/((VLOOKUP($B223,INDIRECT($B$5&amp;"生成成长"),4))/(VLOOKUP(CY$72,INDIRECT($C$5&amp;"生成成长"),5))*(VLOOKUP($B$5,标准坦克设计!$B$24:$U$30,MATCH("对"&amp;LEFT($C$5,2)&amp;"输出",标准坦克设计!$B$23:$U$23,0)))*(VLOOKUP($B223,INDIRECT($B$5&amp;"生成成长"),3))*(VLOOKUP($B$5,标准坦克设计!$B$14:$K$20,9)/30))</f>
        <v>10.965804480853075</v>
      </c>
      <c r="CZ223" s="172">
        <f ca="1">(VLOOKUP(CZ$72,INDIRECT($C$5&amp;"生成成长"),2))/((VLOOKUP($B223,INDIRECT($B$5&amp;"生成成长"),4))/(VLOOKUP(CZ$72,INDIRECT($C$5&amp;"生成成长"),5))*(VLOOKUP($B$5,标准坦克设计!$B$24:$U$30,MATCH("对"&amp;LEFT($C$5,2)&amp;"输出",标准坦克设计!$B$23:$U$23,0)))*(VLOOKUP($B223,INDIRECT($B$5&amp;"生成成长"),3))*(VLOOKUP($B$5,标准坦克设计!$B$14:$K$20,9)/30))</f>
        <v>11.659873929612701</v>
      </c>
      <c r="DA223" s="172">
        <f ca="1">(VLOOKUP(DA$72,INDIRECT($C$5&amp;"生成成长"),2))/((VLOOKUP($B223,INDIRECT($B$5&amp;"生成成长"),4))/(VLOOKUP(DA$72,INDIRECT($C$5&amp;"生成成长"),5))*(VLOOKUP($B$5,标准坦克设计!$B$24:$U$30,MATCH("对"&amp;LEFT($C$5,2)&amp;"输出",标准坦克设计!$B$23:$U$23,0)))*(VLOOKUP($B223,INDIRECT($B$5&amp;"生成成长"),3))*(VLOOKUP($B$5,标准坦克设计!$B$14:$K$20,9)/30))</f>
        <v>12.375239791026038</v>
      </c>
      <c r="DB223" s="172">
        <f ca="1">(VLOOKUP(DB$72,INDIRECT($C$5&amp;"生成成长"),2))/((VLOOKUP($B223,INDIRECT($B$5&amp;"生成成长"),4))/(VLOOKUP(DB$72,INDIRECT($C$5&amp;"生成成长"),5))*(VLOOKUP($B$5,标准坦克设计!$B$24:$U$30,MATCH("对"&amp;LEFT($C$5,2)&amp;"输出",标准坦克设计!$B$23:$U$23,0)))*(VLOOKUP($B223,INDIRECT($B$5&amp;"生成成长"),3))*(VLOOKUP($B$5,标准坦克设计!$B$14:$K$20,9)/30))</f>
        <v>13.111902065093092</v>
      </c>
      <c r="DC223" s="172">
        <f ca="1">(VLOOKUP(DC$72,INDIRECT($C$5&amp;"生成成长"),2))/((VLOOKUP($B223,INDIRECT($B$5&amp;"生成成长"),4))/(VLOOKUP(DC$72,INDIRECT($C$5&amp;"生成成长"),5))*(VLOOKUP($B$5,标准坦克设计!$B$24:$U$30,MATCH("对"&amp;LEFT($C$5,2)&amp;"输出",标准坦克设计!$B$23:$U$23,0)))*(VLOOKUP($B223,INDIRECT($B$5&amp;"生成成长"),3))*(VLOOKUP($B$5,标准坦克设计!$B$14:$K$20,9)/30))</f>
        <v>13.939822107432455</v>
      </c>
      <c r="DD223" s="172">
        <f ca="1">(VLOOKUP(DD$72,INDIRECT($C$5&amp;"生成成长"),2))/((VLOOKUP($B223,INDIRECT($B$5&amp;"生成成长"),4))/(VLOOKUP(DD$72,INDIRECT($C$5&amp;"生成成长"),5))*(VLOOKUP($B$5,标准坦克设计!$B$24:$U$30,MATCH("对"&amp;LEFT($C$5,2)&amp;"输出",标准坦克设计!$B$23:$U$23,0)))*(VLOOKUP($B223,INDIRECT($B$5&amp;"生成成长"),3))*(VLOOKUP($B$5,标准坦克设计!$B$14:$K$20,9)/30))</f>
        <v>14.793086640863837</v>
      </c>
      <c r="DE223" s="172">
        <f ca="1">(VLOOKUP(DE$72,INDIRECT($C$5&amp;"生成成长"),2))/((VLOOKUP($B223,INDIRECT($B$5&amp;"生成成长"),4))/(VLOOKUP(DE$72,INDIRECT($C$5&amp;"生成成长"),5))*(VLOOKUP($B$5,标准坦克设计!$B$24:$U$30,MATCH("对"&amp;LEFT($C$5,2)&amp;"输出",标准坦克设计!$B$23:$U$23,0)))*(VLOOKUP($B223,INDIRECT($B$5&amp;"生成成长"),3))*(VLOOKUP($B$5,标准坦克设计!$B$14:$K$20,9)/30))</f>
        <v>15.671695665387245</v>
      </c>
      <c r="DF223" s="172">
        <f ca="1">(VLOOKUP(DF$72,INDIRECT($C$5&amp;"生成成长"),2))/((VLOOKUP($B223,INDIRECT($B$5&amp;"生成成长"),4))/(VLOOKUP(DF$72,INDIRECT($C$5&amp;"生成成长"),5))*(VLOOKUP($B$5,标准坦克设计!$B$24:$U$30,MATCH("对"&amp;LEFT($C$5,2)&amp;"输出",标准坦克设计!$B$23:$U$23,0)))*(VLOOKUP($B223,INDIRECT($B$5&amp;"生成成长"),3))*(VLOOKUP($B$5,标准坦克设计!$B$14:$K$20,9)/30))</f>
        <v>16.575649181002674</v>
      </c>
      <c r="DG223" s="172">
        <f ca="1">(VLOOKUP(DG$72,INDIRECT($C$5&amp;"生成成长"),2))/((VLOOKUP($B223,INDIRECT($B$5&amp;"生成成长"),4))/(VLOOKUP(DG$72,INDIRECT($C$5&amp;"生成成长"),5))*(VLOOKUP($B$5,标准坦克设计!$B$24:$U$30,MATCH("对"&amp;LEFT($C$5,2)&amp;"输出",标准坦克设计!$B$23:$U$23,0)))*(VLOOKUP($B223,INDIRECT($B$5&amp;"生成成长"),3))*(VLOOKUP($B$5,标准坦克设计!$B$14:$K$20,9)/30))</f>
        <v>17.504947187710119</v>
      </c>
      <c r="DH223" s="172">
        <f ca="1">(VLOOKUP(DH$72,INDIRECT($C$5&amp;"生成成长"),2))/((VLOOKUP($B223,INDIRECT($B$5&amp;"生成成长"),4))/(VLOOKUP(DH$72,INDIRECT($C$5&amp;"生成成长"),5))*(VLOOKUP($B$5,标准坦克设计!$B$24:$U$30,MATCH("对"&amp;LEFT($C$5,2)&amp;"输出",标准坦克设计!$B$23:$U$23,0)))*(VLOOKUP($B223,INDIRECT($B$5&amp;"生成成长"),3))*(VLOOKUP($B$5,标准坦克设计!$B$14:$K$20,9)/30))</f>
        <v>18.459589685509588</v>
      </c>
      <c r="DI223" s="172">
        <f ca="1">(VLOOKUP(DI$72,INDIRECT($C$5&amp;"生成成长"),2))/((VLOOKUP($B223,INDIRECT($B$5&amp;"生成成长"),4))/(VLOOKUP(DI$72,INDIRECT($C$5&amp;"生成成长"),5))*(VLOOKUP($B$5,标准坦克设计!$B$24:$U$30,MATCH("对"&amp;LEFT($C$5,2)&amp;"输出",标准坦克设计!$B$23:$U$23,0)))*(VLOOKUP($B223,INDIRECT($B$5&amp;"生成成长"),3))*(VLOOKUP($B$5,标准坦克设计!$B$14:$K$20,9)/30))</f>
        <v>19.439576674401085</v>
      </c>
      <c r="DJ223" s="172">
        <f ca="1">(VLOOKUP(DJ$72,INDIRECT($C$5&amp;"生成成长"),2))/((VLOOKUP($B223,INDIRECT($B$5&amp;"生成成长"),4))/(VLOOKUP(DJ$72,INDIRECT($C$5&amp;"生成成长"),5))*(VLOOKUP($B$5,标准坦克设计!$B$24:$U$30,MATCH("对"&amp;LEFT($C$5,2)&amp;"输出",标准坦克设计!$B$23:$U$23,0)))*(VLOOKUP($B223,INDIRECT($B$5&amp;"生成成长"),3))*(VLOOKUP($B$5,标准坦克设计!$B$14:$K$20,9)/30))</f>
        <v>1.9537258567151585</v>
      </c>
      <c r="DK223" s="172">
        <f ca="1">(VLOOKUP(DK$72,INDIRECT($C$5&amp;"生成成长"),2))/((VLOOKUP($B223,INDIRECT($B$5&amp;"生成成长"),4))/(VLOOKUP(DK$72,INDIRECT($C$5&amp;"生成成长"),5))*(VLOOKUP($B$5,标准坦克设计!$B$24:$U$30,MATCH("对"&amp;LEFT($C$5,2)&amp;"输出",标准坦克设计!$B$23:$U$23,0)))*(VLOOKUP($B223,INDIRECT($B$5&amp;"生成成长"),3))*(VLOOKUP($B$5,标准坦克设计!$B$14:$K$20,9)/30))</f>
        <v>2.1968745681292381</v>
      </c>
      <c r="DL223" s="172">
        <f ca="1">(VLOOKUP(DL$72,INDIRECT($C$5&amp;"生成成长"),2))/((VLOOKUP($B223,INDIRECT($B$5&amp;"生成成长"),4))/(VLOOKUP(DL$72,INDIRECT($C$5&amp;"生成成长"),5))*(VLOOKUP($B$5,标准坦克设计!$B$24:$U$30,MATCH("对"&amp;LEFT($C$5,2)&amp;"输出",标准坦克设计!$B$23:$U$23,0)))*(VLOOKUP($B223,INDIRECT($B$5&amp;"生成成长"),3))*(VLOOKUP($B$5,标准坦克设计!$B$14:$K$20,9)/30))</f>
        <v>2.4542795557825796</v>
      </c>
      <c r="DM223" s="172">
        <f ca="1">(VLOOKUP(DM$72,INDIRECT($C$5&amp;"生成成长"),2))/((VLOOKUP($B223,INDIRECT($B$5&amp;"生成成长"),4))/(VLOOKUP(DM$72,INDIRECT($C$5&amp;"生成成长"),5))*(VLOOKUP($B$5,标准坦克设计!$B$24:$U$30,MATCH("对"&amp;LEFT($C$5,2)&amp;"输出",标准坦克设计!$B$23:$U$23,0)))*(VLOOKUP($B223,INDIRECT($B$5&amp;"生成成长"),3))*(VLOOKUP($B$5,标准坦克设计!$B$14:$K$20,9)/30))</f>
        <v>2.7259408196751829</v>
      </c>
      <c r="DN223" s="172">
        <f ca="1">(VLOOKUP(DN$72,INDIRECT($C$5&amp;"生成成长"),2))/((VLOOKUP($B223,INDIRECT($B$5&amp;"生成成长"),4))/(VLOOKUP(DN$72,INDIRECT($C$5&amp;"生成成长"),5))*(VLOOKUP($B$5,标准坦克设计!$B$24:$U$30,MATCH("对"&amp;LEFT($C$5,2)&amp;"输出",标准坦克设计!$B$23:$U$23,0)))*(VLOOKUP($B223,INDIRECT($B$5&amp;"生成成长"),3))*(VLOOKUP($B$5,标准坦克设计!$B$14:$K$20,9)/30))</f>
        <v>3.0118583598070483</v>
      </c>
      <c r="DO223" s="172">
        <f ca="1">(VLOOKUP(DO$72,INDIRECT($C$5&amp;"生成成长"),2))/((VLOOKUP($B223,INDIRECT($B$5&amp;"生成成长"),4))/(VLOOKUP(DO$72,INDIRECT($C$5&amp;"生成成长"),5))*(VLOOKUP($B$5,标准坦克设计!$B$24:$U$30,MATCH("对"&amp;LEFT($C$5,2)&amp;"输出",标准坦克设计!$B$23:$U$23,0)))*(VLOOKUP($B223,INDIRECT($B$5&amp;"生成成长"),3))*(VLOOKUP($B$5,标准坦克设计!$B$14:$K$20,9)/30))</f>
        <v>3.3120321761781764</v>
      </c>
      <c r="DP223" s="172">
        <f ca="1">(VLOOKUP(DP$72,INDIRECT($C$5&amp;"生成成长"),2))/((VLOOKUP($B223,INDIRECT($B$5&amp;"生成成长"),4))/(VLOOKUP(DP$72,INDIRECT($C$5&amp;"生成成长"),5))*(VLOOKUP($B$5,标准坦克设计!$B$24:$U$30,MATCH("对"&amp;LEFT($C$5,2)&amp;"输出",标准坦克设计!$B$23:$U$23,0)))*(VLOOKUP($B223,INDIRECT($B$5&amp;"生成成长"),3))*(VLOOKUP($B$5,标准坦克设计!$B$14:$K$20,9)/30))</f>
        <v>3.6264622687885653</v>
      </c>
      <c r="DQ223" s="172">
        <f ca="1">(VLOOKUP(DQ$72,INDIRECT($C$5&amp;"生成成长"),2))/((VLOOKUP($B223,INDIRECT($B$5&amp;"生成成长"),4))/(VLOOKUP(DQ$72,INDIRECT($C$5&amp;"生成成长"),5))*(VLOOKUP($B$5,标准坦克设计!$B$24:$U$30,MATCH("对"&amp;LEFT($C$5,2)&amp;"输出",标准坦克设计!$B$23:$U$23,0)))*(VLOOKUP($B223,INDIRECT($B$5&amp;"生成成长"),3))*(VLOOKUP($B$5,标准坦克设计!$B$14:$K$20,9)/30))</f>
        <v>3.9551486376382172</v>
      </c>
      <c r="DR223" s="172">
        <f ca="1">(VLOOKUP(DR$72,INDIRECT($C$5&amp;"生成成长"),2))/((VLOOKUP($B223,INDIRECT($B$5&amp;"生成成长"),4))/(VLOOKUP(DR$72,INDIRECT($C$5&amp;"生成成长"),5))*(VLOOKUP($B$5,标准坦克设计!$B$24:$U$30,MATCH("对"&amp;LEFT($C$5,2)&amp;"输出",标准坦克设计!$B$23:$U$23,0)))*(VLOOKUP($B223,INDIRECT($B$5&amp;"生成成长"),3))*(VLOOKUP($B$5,标准坦克设计!$B$14:$K$20,9)/30))</f>
        <v>4.2980912827271309</v>
      </c>
      <c r="DS223" s="172">
        <f ca="1">(VLOOKUP(DS$72,INDIRECT($C$5&amp;"生成成长"),2))/((VLOOKUP($B223,INDIRECT($B$5&amp;"生成成长"),4))/(VLOOKUP(DS$72,INDIRECT($C$5&amp;"生成成长"),5))*(VLOOKUP($B$5,标准坦克设计!$B$24:$U$30,MATCH("对"&amp;LEFT($C$5,2)&amp;"输出",标准坦克设计!$B$23:$U$23,0)))*(VLOOKUP($B223,INDIRECT($B$5&amp;"生成成长"),3))*(VLOOKUP($B$5,标准坦克设计!$B$14:$K$20,9)/30))</f>
        <v>4.6552902040553068</v>
      </c>
      <c r="DT223" s="172">
        <f ca="1">(VLOOKUP(DT$72,INDIRECT($C$5&amp;"生成成长"),2))/((VLOOKUP($B223,INDIRECT($B$5&amp;"生成成长"),4))/(VLOOKUP(DT$72,INDIRECT($C$5&amp;"生成成长"),5))*(VLOOKUP($B$5,标准坦克设计!$B$24:$U$30,MATCH("对"&amp;LEFT($C$5,2)&amp;"输出",标准坦克设计!$B$23:$U$23,0)))*(VLOOKUP($B223,INDIRECT($B$5&amp;"生成成长"),3))*(VLOOKUP($B$5,标准坦克设计!$B$14:$K$20,9)/30))</f>
        <v>5.1112270385961489</v>
      </c>
      <c r="DU223" s="172">
        <f ca="1">(VLOOKUP(DU$72,INDIRECT($C$5&amp;"生成成长"),2))/((VLOOKUP($B223,INDIRECT($B$5&amp;"生成成长"),4))/(VLOOKUP(DU$72,INDIRECT($C$5&amp;"生成成长"),5))*(VLOOKUP($B$5,标准坦克设计!$B$24:$U$30,MATCH("对"&amp;LEFT($C$5,2)&amp;"输出",标准坦克设计!$B$23:$U$23,0)))*(VLOOKUP($B223,INDIRECT($B$5&amp;"生成成长"),3))*(VLOOKUP($B$5,标准坦克设计!$B$14:$K$20,9)/30))</f>
        <v>5.5884602857907035</v>
      </c>
      <c r="DV223" s="172">
        <f ca="1">(VLOOKUP(DV$72,INDIRECT($C$5&amp;"生成成长"),2))/((VLOOKUP($B223,INDIRECT($B$5&amp;"生成成长"),4))/(VLOOKUP(DV$72,INDIRECT($C$5&amp;"生成成长"),5))*(VLOOKUP($B$5,标准坦克设计!$B$24:$U$30,MATCH("对"&amp;LEFT($C$5,2)&amp;"输出",标准坦克设计!$B$23:$U$23,0)))*(VLOOKUP($B223,INDIRECT($B$5&amp;"生成成长"),3))*(VLOOKUP($B$5,标准坦克设计!$B$14:$K$20,9)/30))</f>
        <v>6.0869899456389698</v>
      </c>
      <c r="DW223" s="172">
        <f ca="1">(VLOOKUP(DW$72,INDIRECT($C$5&amp;"生成成长"),2))/((VLOOKUP($B223,INDIRECT($B$5&amp;"生成成长"),4))/(VLOOKUP(DW$72,INDIRECT($C$5&amp;"生成成长"),5))*(VLOOKUP($B$5,标准坦克设计!$B$24:$U$30,MATCH("对"&amp;LEFT($C$5,2)&amp;"输出",标准坦克设计!$B$23:$U$23,0)))*(VLOOKUP($B223,INDIRECT($B$5&amp;"生成成长"),3))*(VLOOKUP($B$5,标准坦克设计!$B$14:$K$20,9)/30))</f>
        <v>6.6068160181409485</v>
      </c>
      <c r="DX223" s="172">
        <f ca="1">(VLOOKUP(DX$72,INDIRECT($C$5&amp;"生成成长"),2))/((VLOOKUP($B223,INDIRECT($B$5&amp;"生成成长"),4))/(VLOOKUP(DX$72,INDIRECT($C$5&amp;"生成成长"),5))*(VLOOKUP($B$5,标准坦克设计!$B$24:$U$30,MATCH("对"&amp;LEFT($C$5,2)&amp;"输出",标准坦克设计!$B$23:$U$23,0)))*(VLOOKUP($B223,INDIRECT($B$5&amp;"生成成长"),3))*(VLOOKUP($B$5,标准坦克设计!$B$14:$K$20,9)/30))</f>
        <v>7.1479385032966407</v>
      </c>
      <c r="DY223" s="172">
        <f ca="1">(VLOOKUP(DY$72,INDIRECT($C$5&amp;"生成成长"),2))/((VLOOKUP($B223,INDIRECT($B$5&amp;"生成成长"),4))/(VLOOKUP(DY$72,INDIRECT($C$5&amp;"生成成长"),5))*(VLOOKUP($B$5,标准坦克设计!$B$24:$U$30,MATCH("对"&amp;LEFT($C$5,2)&amp;"输出",标准坦克设计!$B$23:$U$23,0)))*(VLOOKUP($B223,INDIRECT($B$5&amp;"生成成长"),3))*(VLOOKUP($B$5,标准坦克设计!$B$14:$K$20,9)/30))</f>
        <v>3.2103902066945489</v>
      </c>
      <c r="DZ223" s="172">
        <f ca="1">(VLOOKUP(DZ$72,INDIRECT($C$5&amp;"生成成长"),2))/((VLOOKUP($B223,INDIRECT($B$5&amp;"生成成长"),4))/(VLOOKUP(DZ$72,INDIRECT($C$5&amp;"生成成长"),5))*(VLOOKUP($B$5,标准坦克设计!$B$24:$U$30,MATCH("对"&amp;LEFT($C$5,2)&amp;"输出",标准坦克设计!$B$23:$U$23,0)))*(VLOOKUP($B223,INDIRECT($B$5&amp;"生成成长"),3))*(VLOOKUP($B$5,标准坦克设计!$B$14:$K$20,9)/30))</f>
        <v>3.5553568910026172</v>
      </c>
      <c r="EA223" s="172">
        <f ca="1">(VLOOKUP(EA$72,INDIRECT($C$5&amp;"生成成长"),2))/((VLOOKUP($B223,INDIRECT($B$5&amp;"生成成长"),4))/(VLOOKUP(EA$72,INDIRECT($C$5&amp;"生成成长"),5))*(VLOOKUP($B$5,标准坦克设计!$B$24:$U$30,MATCH("对"&amp;LEFT($C$5,2)&amp;"输出",标准坦克设计!$B$23:$U$23,0)))*(VLOOKUP($B223,INDIRECT($B$5&amp;"生成成长"),3))*(VLOOKUP($B$5,标准坦克设计!$B$14:$K$20,9)/30))</f>
        <v>3.9179239163468114</v>
      </c>
      <c r="EB223" s="172">
        <f ca="1">(VLOOKUP(EB$72,INDIRECT($C$5&amp;"生成成长"),2))/((VLOOKUP($B223,INDIRECT($B$5&amp;"生成成长"),4))/(VLOOKUP(EB$72,INDIRECT($C$5&amp;"生成成长"),5))*(VLOOKUP($B$5,标准坦克设计!$B$24:$U$30,MATCH("对"&amp;LEFT($C$5,2)&amp;"输出",标准坦克设计!$B$23:$U$23,0)))*(VLOOKUP($B223,INDIRECT($B$5&amp;"生成成长"),3))*(VLOOKUP($B$5,标准坦克设计!$B$14:$K$20,9)/30))</f>
        <v>4.2980912827271309</v>
      </c>
      <c r="EC223" s="172">
        <f ca="1">(VLOOKUP(EC$72,INDIRECT($C$5&amp;"生成成长"),2))/((VLOOKUP($B223,INDIRECT($B$5&amp;"生成成长"),4))/(VLOOKUP(EC$72,INDIRECT($C$5&amp;"生成成长"),5))*(VLOOKUP($B$5,标准坦克设计!$B$24:$U$30,MATCH("对"&amp;LEFT($C$5,2)&amp;"输出",标准坦克设计!$B$23:$U$23,0)))*(VLOOKUP($B223,INDIRECT($B$5&amp;"生成成长"),3))*(VLOOKUP($B$5,标准坦克设计!$B$14:$K$20,9)/30))</f>
        <v>4.6958589901435772</v>
      </c>
      <c r="ED223" s="172">
        <f ca="1">(VLOOKUP(ED$72,INDIRECT($C$5&amp;"生成成长"),2))/((VLOOKUP($B223,INDIRECT($B$5&amp;"生成成长"),4))/(VLOOKUP(ED$72,INDIRECT($C$5&amp;"生成成长"),5))*(VLOOKUP($B$5,标准坦克设计!$B$24:$U$30,MATCH("对"&amp;LEFT($C$5,2)&amp;"输出",标准坦克设计!$B$23:$U$23,0)))*(VLOOKUP($B223,INDIRECT($B$5&amp;"生成成长"),3))*(VLOOKUP($B$5,标准坦克设计!$B$14:$K$20,9)/30))</f>
        <v>5.1112270385961489</v>
      </c>
      <c r="EE223" s="172">
        <f ca="1">(VLOOKUP(EE$72,INDIRECT($C$5&amp;"生成成长"),2))/((VLOOKUP($B223,INDIRECT($B$5&amp;"生成成长"),4))/(VLOOKUP(EE$72,INDIRECT($C$5&amp;"生成成长"),5))*(VLOOKUP($B$5,标准坦克设计!$B$24:$U$30,MATCH("对"&amp;LEFT($C$5,2)&amp;"输出",标准坦克设计!$B$23:$U$23,0)))*(VLOOKUP($B223,INDIRECT($B$5&amp;"生成成长"),3))*(VLOOKUP($B$5,标准坦克设计!$B$14:$K$20,9)/30))</f>
        <v>5.5441954280848469</v>
      </c>
      <c r="EF223" s="172">
        <f ca="1">(VLOOKUP(EF$72,INDIRECT($C$5&amp;"生成成长"),2))/((VLOOKUP($B223,INDIRECT($B$5&amp;"生成成长"),4))/(VLOOKUP(EF$72,INDIRECT($C$5&amp;"生成成长"),5))*(VLOOKUP($B$5,标准坦克设计!$B$24:$U$30,MATCH("对"&amp;LEFT($C$5,2)&amp;"输出",标准坦克设计!$B$23:$U$23,0)))*(VLOOKUP($B223,INDIRECT($B$5&amp;"生成成长"),3))*(VLOOKUP($B$5,标准坦克设计!$B$14:$K$20,9)/30))</f>
        <v>5.9947641586096703</v>
      </c>
      <c r="EG223" s="172">
        <f ca="1">(VLOOKUP(EG$72,INDIRECT($C$5&amp;"生成成长"),2))/((VLOOKUP($B223,INDIRECT($B$5&amp;"生成成长"),4))/(VLOOKUP(EG$72,INDIRECT($C$5&amp;"生成成长"),5))*(VLOOKUP($B$5,标准坦克设计!$B$24:$U$30,MATCH("对"&amp;LEFT($C$5,2)&amp;"输出",标准坦克设计!$B$23:$U$23,0)))*(VLOOKUP($B223,INDIRECT($B$5&amp;"生成成长"),3))*(VLOOKUP($B$5,标准坦克设计!$B$14:$K$20,9)/30))</f>
        <v>6.462933230170619</v>
      </c>
      <c r="EH223" s="172">
        <f ca="1">(VLOOKUP(EH$72,INDIRECT($C$5&amp;"生成成长"),2))/((VLOOKUP($B223,INDIRECT($B$5&amp;"生成成长"),4))/(VLOOKUP(EH$72,INDIRECT($C$5&amp;"生成成长"),5))*(VLOOKUP($B$5,标准坦克设计!$B$24:$U$30,MATCH("对"&amp;LEFT($C$5,2)&amp;"输出",标准坦克设计!$B$23:$U$23,0)))*(VLOOKUP($B223,INDIRECT($B$5&amp;"生成成长"),3))*(VLOOKUP($B$5,标准坦克设计!$B$14:$K$20,9)/30))</f>
        <v>6.948702642767695</v>
      </c>
      <c r="EI223" s="172">
        <f ca="1">(VLOOKUP(EI$72,INDIRECT($C$5&amp;"生成成长"),2))/((VLOOKUP($B223,INDIRECT($B$5&amp;"生成成长"),4))/(VLOOKUP(EI$72,INDIRECT($C$5&amp;"生成成长"),5))*(VLOOKUP($B$5,标准坦克设计!$B$24:$U$30,MATCH("对"&amp;LEFT($C$5,2)&amp;"输出",标准坦克设计!$B$23:$U$23,0)))*(VLOOKUP($B223,INDIRECT($B$5&amp;"生成成长"),3))*(VLOOKUP($B$5,标准坦克设计!$B$14:$K$20,9)/30))</f>
        <v>7.4520723964008981</v>
      </c>
      <c r="EJ223" s="172">
        <f ca="1">(VLOOKUP(EJ$72,INDIRECT($C$5&amp;"生成成长"),2))/((VLOOKUP($B223,INDIRECT($B$5&amp;"生成成长"),4))/(VLOOKUP(EJ$72,INDIRECT($C$5&amp;"生成成长"),5))*(VLOOKUP($B$5,标准坦克设计!$B$24:$U$30,MATCH("对"&amp;LEFT($C$5,2)&amp;"输出",标准坦克设计!$B$23:$U$23,0)))*(VLOOKUP($B223,INDIRECT($B$5&amp;"生成成长"),3))*(VLOOKUP($B$5,标准坦克设计!$B$14:$K$20,9)/30))</f>
        <v>7.973042491070224</v>
      </c>
      <c r="EK223" s="172">
        <f ca="1">(VLOOKUP(EK$72,INDIRECT($C$5&amp;"生成成长"),2))/((VLOOKUP($B223,INDIRECT($B$5&amp;"生成成长"),4))/(VLOOKUP(EK$72,INDIRECT($C$5&amp;"生成成长"),5))*(VLOOKUP($B$5,标准坦克设计!$B$24:$U$30,MATCH("对"&amp;LEFT($C$5,2)&amp;"输出",标准坦克设计!$B$23:$U$23,0)))*(VLOOKUP($B223,INDIRECT($B$5&amp;"生成成长"),3))*(VLOOKUP($B$5,标准坦克设计!$B$14:$K$20,9)/30))</f>
        <v>8.6214390548411028</v>
      </c>
      <c r="EL223" s="172">
        <f ca="1">(VLOOKUP(EL$72,INDIRECT($C$5&amp;"生成成长"),2))/((VLOOKUP($B223,INDIRECT($B$5&amp;"生成成长"),4))/(VLOOKUP(EL$72,INDIRECT($C$5&amp;"生成成长"),5))*(VLOOKUP($B$5,标准坦克设计!$B$24:$U$30,MATCH("对"&amp;LEFT($C$5,2)&amp;"输出",标准坦克设计!$B$23:$U$23,0)))*(VLOOKUP($B223,INDIRECT($B$5&amp;"生成成长"),3))*(VLOOKUP($B$5,标准坦克设计!$B$14:$K$20,9)/30))</f>
        <v>9.2951801097040043</v>
      </c>
      <c r="EM223" s="172">
        <f ca="1">(VLOOKUP(EM$72,INDIRECT($C$5&amp;"生成成长"),2))/((VLOOKUP($B223,INDIRECT($B$5&amp;"生成成长"),4))/(VLOOKUP(EM$72,INDIRECT($C$5&amp;"生成成长"),5))*(VLOOKUP($B$5,标准坦克设计!$B$24:$U$30,MATCH("对"&amp;LEFT($C$5,2)&amp;"输出",标准坦克设计!$B$23:$U$23,0)))*(VLOOKUP($B223,INDIRECT($B$5&amp;"生成成长"),3))*(VLOOKUP($B$5,标准坦克设计!$B$14:$K$20,9)/30))</f>
        <v>9.9942656556589267</v>
      </c>
      <c r="EN223" s="172">
        <f ca="1">(VLOOKUP(EN$72,INDIRECT($C$5&amp;"生成成长"),2))/((VLOOKUP($B223,INDIRECT($B$5&amp;"生成成长"),4))/(VLOOKUP(EN$72,INDIRECT($C$5&amp;"生成成长"),5))*(VLOOKUP($B$5,标准坦克设计!$B$24:$U$30,MATCH("对"&amp;LEFT($C$5,2)&amp;"输出",标准坦克设计!$B$23:$U$23,0)))*(VLOOKUP($B223,INDIRECT($B$5&amp;"生成成长"),3))*(VLOOKUP($B$5,标准坦克设计!$B$14:$K$20,9)/30))</f>
        <v>10.71869569270587</v>
      </c>
      <c r="EO223" s="172">
        <f ca="1">(VLOOKUP(EO$72,INDIRECT($C$5&amp;"生成成长"),2))/((VLOOKUP($B223,INDIRECT($B$5&amp;"生成成长"),4))/(VLOOKUP(EO$72,INDIRECT($C$5&amp;"生成成长"),5))*(VLOOKUP($B$5,标准坦克设计!$B$24:$U$30,MATCH("对"&amp;LEFT($C$5,2)&amp;"输出",标准坦克设计!$B$23:$U$23,0)))*(VLOOKUP($B223,INDIRECT($B$5&amp;"生成成长"),3))*(VLOOKUP($B$5,标准坦克设计!$B$14:$K$20,9)/30))</f>
        <v>11.46847022084483</v>
      </c>
      <c r="EP223" s="172">
        <f ca="1">(VLOOKUP(EP$72,INDIRECT($C$5&amp;"生成成长"),2))/((VLOOKUP($B223,INDIRECT($B$5&amp;"生成成长"),4))/(VLOOKUP(EP$72,INDIRECT($C$5&amp;"生成成长"),5))*(VLOOKUP($B$5,标准坦克设计!$B$24:$U$30,MATCH("对"&amp;LEFT($C$5,2)&amp;"输出",标准坦克设计!$B$23:$U$23,0)))*(VLOOKUP($B223,INDIRECT($B$5&amp;"生成成长"),3))*(VLOOKUP($B$5,标准坦克设计!$B$14:$K$20,9)/30))</f>
        <v>12.243589240075817</v>
      </c>
      <c r="EQ223" s="172">
        <f ca="1">(VLOOKUP(EQ$72,INDIRECT($C$5&amp;"生成成长"),2))/((VLOOKUP($B223,INDIRECT($B$5&amp;"生成成长"),4))/(VLOOKUP(EQ$72,INDIRECT($C$5&amp;"生成成长"),5))*(VLOOKUP($B$5,标准坦克设计!$B$24:$U$30,MATCH("对"&amp;LEFT($C$5,2)&amp;"输出",标准坦克设计!$B$23:$U$23,0)))*(VLOOKUP($B223,INDIRECT($B$5&amp;"生成成长"),3))*(VLOOKUP($B$5,标准坦克设计!$B$14:$K$20,9)/30))</f>
        <v>5.4124568754294433</v>
      </c>
      <c r="ER223" s="172">
        <f ca="1">(VLOOKUP(ER$72,INDIRECT($C$5&amp;"生成成长"),2))/((VLOOKUP($B223,INDIRECT($B$5&amp;"生成成长"),4))/(VLOOKUP(ER$72,INDIRECT($C$5&amp;"生成成长"),5))*(VLOOKUP($B$5,标准坦克设计!$B$24:$U$30,MATCH("对"&amp;LEFT($C$5,2)&amp;"输出",标准坦克设计!$B$23:$U$23,0)))*(VLOOKUP($B223,INDIRECT($B$5&amp;"生成成长"),3))*(VLOOKUP($B$5,标准坦克设计!$B$14:$K$20,9)/30))</f>
        <v>5.9032423852218159</v>
      </c>
      <c r="ES223" s="172">
        <f ca="1">(VLOOKUP(ES$72,INDIRECT($C$5&amp;"生成成长"),2))/((VLOOKUP($B223,INDIRECT($B$5&amp;"生成成长"),4))/(VLOOKUP(ES$72,INDIRECT($C$5&amp;"生成成长"),5))*(VLOOKUP($B$5,标准坦克设计!$B$24:$U$30,MATCH("对"&amp;LEFT($C$5,2)&amp;"输出",标准坦克设计!$B$23:$U$23,0)))*(VLOOKUP($B223,INDIRECT($B$5&amp;"生成成长"),3))*(VLOOKUP($B$5,标准坦克设计!$B$14:$K$20,9)/30))</f>
        <v>6.4153243076678983</v>
      </c>
      <c r="ET223" s="172">
        <f ca="1">(VLOOKUP(ET$72,INDIRECT($C$5&amp;"生成成长"),2))/((VLOOKUP($B223,INDIRECT($B$5&amp;"生成成长"),4))/(VLOOKUP(ET$72,INDIRECT($C$5&amp;"生成成长"),5))*(VLOOKUP($B$5,标准坦克设计!$B$24:$U$30,MATCH("对"&amp;LEFT($C$5,2)&amp;"输出",标准坦克设计!$B$23:$U$23,0)))*(VLOOKUP($B223,INDIRECT($B$5&amp;"生成成长"),3))*(VLOOKUP($B$5,标准坦克设计!$B$14:$K$20,9)/30))</f>
        <v>6.948702642767695</v>
      </c>
      <c r="EU223" s="172">
        <f ca="1">(VLOOKUP(EU$72,INDIRECT($C$5&amp;"生成成长"),2))/((VLOOKUP($B223,INDIRECT($B$5&amp;"生成成长"),4))/(VLOOKUP(EU$72,INDIRECT($C$5&amp;"生成成长"),5))*(VLOOKUP($B$5,标准坦克设计!$B$24:$U$30,MATCH("对"&amp;LEFT($C$5,2)&amp;"输出",标准坦克设计!$B$23:$U$23,0)))*(VLOOKUP($B223,INDIRECT($B$5&amp;"生成成长"),3))*(VLOOKUP($B$5,标准坦克设计!$B$14:$K$20,9)/30))</f>
        <v>7.5033773905212025</v>
      </c>
      <c r="EV223" s="172">
        <f ca="1">(VLOOKUP(EV$72,INDIRECT($C$5&amp;"生成成长"),2))/((VLOOKUP($B223,INDIRECT($B$5&amp;"生成成长"),4))/(VLOOKUP(EV$72,INDIRECT($C$5&amp;"生成成长"),5))*(VLOOKUP($B$5,标准坦克设计!$B$24:$U$30,MATCH("对"&amp;LEFT($C$5,2)&amp;"输出",标准坦克设计!$B$23:$U$23,0)))*(VLOOKUP($B223,INDIRECT($B$5&amp;"生成成长"),3))*(VLOOKUP($B$5,标准坦克设计!$B$14:$K$20,9)/30))</f>
        <v>8.0793485509284224</v>
      </c>
      <c r="EW223" s="172">
        <f ca="1">(VLOOKUP(EW$72,INDIRECT($C$5&amp;"生成成长"),2))/((VLOOKUP($B223,INDIRECT($B$5&amp;"生成成长"),4))/(VLOOKUP(EW$72,INDIRECT($C$5&amp;"生成成长"),5))*(VLOOKUP($B$5,标准坦克设计!$B$24:$U$30,MATCH("对"&amp;LEFT($C$5,2)&amp;"输出",标准坦克设计!$B$23:$U$23,0)))*(VLOOKUP($B223,INDIRECT($B$5&amp;"生成成长"),3))*(VLOOKUP($B$5,标准坦克设计!$B$14:$K$20,9)/30))</f>
        <v>8.6766161239893584</v>
      </c>
      <c r="EX223" s="172">
        <f ca="1">(VLOOKUP(EX$72,INDIRECT($C$5&amp;"生成成长"),2))/((VLOOKUP($B223,INDIRECT($B$5&amp;"生成成长"),4))/(VLOOKUP(EX$72,INDIRECT($C$5&amp;"生成成长"),5))*(VLOOKUP($B$5,标准坦克设计!$B$24:$U$30,MATCH("对"&amp;LEFT($C$5,2)&amp;"输出",标准坦克设计!$B$23:$U$23,0)))*(VLOOKUP($B223,INDIRECT($B$5&amp;"生成成长"),3))*(VLOOKUP($B$5,标准坦克设计!$B$14:$K$20,9)/30))</f>
        <v>9.2951801097040043</v>
      </c>
      <c r="EY223" s="172">
        <f ca="1">(VLOOKUP(EY$72,INDIRECT($C$5&amp;"生成成长"),2))/((VLOOKUP($B223,INDIRECT($B$5&amp;"生成成长"),4))/(VLOOKUP(EY$72,INDIRECT($C$5&amp;"生成成长"),5))*(VLOOKUP($B$5,标准坦克设计!$B$24:$U$30,MATCH("对"&amp;LEFT($C$5,2)&amp;"输出",标准坦克设计!$B$23:$U$23,0)))*(VLOOKUP($B223,INDIRECT($B$5&amp;"生成成长"),3))*(VLOOKUP($B$5,标准坦克设计!$B$14:$K$20,9)/30))</f>
        <v>9.9350405080723618</v>
      </c>
      <c r="EZ223" s="172">
        <f ca="1">(VLOOKUP(EZ$72,INDIRECT($C$5&amp;"生成成长"),2))/((VLOOKUP($B223,INDIRECT($B$5&amp;"生成成长"),4))/(VLOOKUP(EZ$72,INDIRECT($C$5&amp;"生成成长"),5))*(VLOOKUP($B$5,标准坦克设计!$B$24:$U$30,MATCH("对"&amp;LEFT($C$5,2)&amp;"输出",标准坦克设计!$B$23:$U$23,0)))*(VLOOKUP($B223,INDIRECT($B$5&amp;"生成成长"),3))*(VLOOKUP($B$5,标准坦克设计!$B$14:$K$20,9)/30))</f>
        <v>10.596197319094433</v>
      </c>
      <c r="FA223" s="172">
        <f ca="1">(VLOOKUP(FA$72,INDIRECT($C$5&amp;"生成成长"),2))/((VLOOKUP($B223,INDIRECT($B$5&amp;"生成成长"),4))/(VLOOKUP(FA$72,INDIRECT($C$5&amp;"生成成长"),5))*(VLOOKUP($B$5,标准坦克设计!$B$24:$U$30,MATCH("对"&amp;LEFT($C$5,2)&amp;"输出",标准坦克设计!$B$23:$U$23,0)))*(VLOOKUP($B223,INDIRECT($B$5&amp;"生成成长"),3))*(VLOOKUP($B$5,标准坦克设计!$B$14:$K$20,9)/30))</f>
        <v>11.278650542770214</v>
      </c>
      <c r="FB223" s="172">
        <f ca="1">(VLOOKUP(FB$72,INDIRECT($C$5&amp;"生成成长"),2))/((VLOOKUP($B223,INDIRECT($B$5&amp;"生成成长"),4))/(VLOOKUP(FB$72,INDIRECT($C$5&amp;"生成成长"),5))*(VLOOKUP($B$5,标准坦克设计!$B$24:$U$30,MATCH("对"&amp;LEFT($C$5,2)&amp;"输出",标准坦克设计!$B$23:$U$23,0)))*(VLOOKUP($B223,INDIRECT($B$5&amp;"生成成长"),3))*(VLOOKUP($B$5,标准坦克设计!$B$14:$K$20,9)/30))</f>
        <v>11.982400179099711</v>
      </c>
      <c r="FC223" s="172">
        <f ca="1">(VLOOKUP(FC$72,INDIRECT($C$5&amp;"生成成长"),2))/((VLOOKUP($B223,INDIRECT($B$5&amp;"生成成长"),4))/(VLOOKUP(FC$72,INDIRECT($C$5&amp;"生成成长"),5))*(VLOOKUP($B$5,标准坦克设计!$B$24:$U$30,MATCH("对"&amp;LEFT($C$5,2)&amp;"输出",标准坦克设计!$B$23:$U$23,0)))*(VLOOKUP($B223,INDIRECT($B$5&amp;"生成成长"),3))*(VLOOKUP($B$5,标准坦克设计!$B$14:$K$20,9)/30))</f>
        <v>12.707446228082917</v>
      </c>
      <c r="FD223" s="172">
        <f ca="1">(VLOOKUP(FD$72,INDIRECT($C$5&amp;"生成成长"),2))/((VLOOKUP($B223,INDIRECT($B$5&amp;"生成成长"),4))/(VLOOKUP(FD$72,INDIRECT($C$5&amp;"生成成长"),5))*(VLOOKUP($B$5,标准坦克设计!$B$24:$U$30,MATCH("对"&amp;LEFT($C$5,2)&amp;"输出",标准坦克设计!$B$23:$U$23,0)))*(VLOOKUP($B223,INDIRECT($B$5&amp;"生成成长"),3))*(VLOOKUP($B$5,标准坦克设计!$B$14:$K$20,9)/30))</f>
        <v>13.453788689719836</v>
      </c>
      <c r="FE223" s="172">
        <f ca="1">(VLOOKUP(FE$72,INDIRECT($C$5&amp;"生成成长"),2))/((VLOOKUP($B223,INDIRECT($B$5&amp;"生成成长"),4))/(VLOOKUP(FE$72,INDIRECT($C$5&amp;"生成成长"),5))*(VLOOKUP($B$5,标准坦克设计!$B$24:$U$30,MATCH("对"&amp;LEFT($C$5,2)&amp;"输出",标准坦克设计!$B$23:$U$23,0)))*(VLOOKUP($B223,INDIRECT($B$5&amp;"生成成长"),3))*(VLOOKUP($B$5,标准坦克设计!$B$14:$K$20,9)/30))</f>
        <v>14.363286312761643</v>
      </c>
      <c r="FF223" s="172">
        <f ca="1">(VLOOKUP(FF$72,INDIRECT($C$5&amp;"生成成长"),2))/((VLOOKUP($B223,INDIRECT($B$5&amp;"生成成长"),4))/(VLOOKUP(FF$72,INDIRECT($C$5&amp;"生成成长"),5))*(VLOOKUP($B$5,标准坦克设计!$B$24:$U$30,MATCH("对"&amp;LEFT($C$5,2)&amp;"输出",标准坦克设计!$B$23:$U$23,0)))*(VLOOKUP($B223,INDIRECT($B$5&amp;"生成成长"),3))*(VLOOKUP($B$5,标准坦克设计!$B$14:$K$20,9)/30))</f>
        <v>15.302528512154504</v>
      </c>
      <c r="FG223" s="172">
        <f ca="1">(VLOOKUP(FG$72,INDIRECT($C$5&amp;"生成成长"),2))/((VLOOKUP($B223,INDIRECT($B$5&amp;"生成成长"),4))/(VLOOKUP(FG$72,INDIRECT($C$5&amp;"生成成长"),5))*(VLOOKUP($B$5,标准坦克设计!$B$24:$U$30,MATCH("对"&amp;LEFT($C$5,2)&amp;"输出",标准坦克设计!$B$23:$U$23,0)))*(VLOOKUP($B223,INDIRECT($B$5&amp;"生成成长"),3))*(VLOOKUP($B$5,标准坦克设计!$B$14:$K$20,9)/30))</f>
        <v>16.271515287898414</v>
      </c>
      <c r="FH223" s="172">
        <f ca="1">(VLOOKUP(FH$72,INDIRECT($C$5&amp;"生成成长"),2))/((VLOOKUP($B223,INDIRECT($B$5&amp;"生成成长"),4))/(VLOOKUP(FH$72,INDIRECT($C$5&amp;"生成成长"),5))*(VLOOKUP($B$5,标准坦克设计!$B$24:$U$30,MATCH("对"&amp;LEFT($C$5,2)&amp;"输出",标准坦克设计!$B$23:$U$23,0)))*(VLOOKUP($B223,INDIRECT($B$5&amp;"生成成长"),3))*(VLOOKUP($B$5,标准坦克设计!$B$14:$K$20,9)/30))</f>
        <v>17.270246639993385</v>
      </c>
      <c r="FI223" s="172">
        <f ca="1">(VLOOKUP(FI$72,INDIRECT($C$5&amp;"生成成长"),2))/((VLOOKUP($B223,INDIRECT($B$5&amp;"生成成长"),4))/(VLOOKUP(FI$72,INDIRECT($C$5&amp;"生成成长"),5))*(VLOOKUP($B$5,标准坦克设计!$B$24:$U$30,MATCH("对"&amp;LEFT($C$5,2)&amp;"输出",标准坦克设计!$B$23:$U$23,0)))*(VLOOKUP($B223,INDIRECT($B$5&amp;"生成成长"),3))*(VLOOKUP($B$5,标准坦克设计!$B$14:$K$20,9)/30))</f>
        <v>18.298722568439398</v>
      </c>
      <c r="FJ223" s="172">
        <f ca="1">(VLOOKUP(FJ$72,INDIRECT($C$5&amp;"生成成长"),2))/((VLOOKUP($B223,INDIRECT($B$5&amp;"生成成长"),4))/(VLOOKUP(FJ$72,INDIRECT($C$5&amp;"生成成长"),5))*(VLOOKUP($B$5,标准坦克设计!$B$24:$U$30,MATCH("对"&amp;LEFT($C$5,2)&amp;"输出",标准坦克设计!$B$23:$U$23,0)))*(VLOOKUP($B223,INDIRECT($B$5&amp;"生成成长"),3))*(VLOOKUP($B$5,标准坦克设计!$B$14:$K$20,9)/30))</f>
        <v>19.356943073236472</v>
      </c>
      <c r="FK223" s="172">
        <f ca="1">(VLOOKUP(FK$72,INDIRECT($C$5&amp;"生成成长"),2))/((VLOOKUP($B223,INDIRECT($B$5&amp;"生成成长"),4))/(VLOOKUP(FK$72,INDIRECT($C$5&amp;"生成成长"),5))*(VLOOKUP($B$5,标准坦克设计!$B$24:$U$30,MATCH("对"&amp;LEFT($C$5,2)&amp;"输出",标准坦克设计!$B$23:$U$23,0)))*(VLOOKUP($B223,INDIRECT($B$5&amp;"生成成长"),3))*(VLOOKUP($B$5,标准坦克设计!$B$14:$K$20,9)/30))</f>
        <v>20.444908154384596</v>
      </c>
    </row>
    <row r="224" spans="1:167" x14ac:dyDescent="0.15">
      <c r="A224" s="170" t="str">
        <f t="shared" si="13"/>
        <v>T5高品质8级</v>
      </c>
      <c r="B224" s="171">
        <v>30508</v>
      </c>
      <c r="C224" s="172">
        <f ca="1">(VLOOKUP(C$72,INDIRECT($C$5&amp;"生成成长"),2))/((VLOOKUP($B224,INDIRECT($B$5&amp;"生成成长"),4))/(VLOOKUP(C$72,INDIRECT($C$5&amp;"生成成长"),5))*(VLOOKUP($B$5,标准坦克设计!$B$24:$U$30,MATCH("对"&amp;LEFT($C$5,2)&amp;"输出",标准坦克设计!$B$23:$U$23,0)))*(VLOOKUP($B224,INDIRECT($B$5&amp;"生成成长"),3))*(VLOOKUP($B$5,标准坦克设计!$B$14:$K$20,9)/30))</f>
        <v>0.82018833068702712</v>
      </c>
      <c r="D224" s="172">
        <f ca="1">(VLOOKUP(D$72,INDIRECT($C$5&amp;"生成成长"),2))/((VLOOKUP($B224,INDIRECT($B$5&amp;"生成成长"),4))/(VLOOKUP(D$72,INDIRECT($C$5&amp;"生成成长"),5))*(VLOOKUP($B$5,标准坦克设计!$B$24:$U$30,MATCH("对"&amp;LEFT($C$5,2)&amp;"输出",标准坦克设计!$B$23:$U$23,0)))*(VLOOKUP($B224,INDIRECT($B$5&amp;"生成成长"),3))*(VLOOKUP($B$5,标准坦克设计!$B$14:$K$20,9)/30))</f>
        <v>0.92156360835994378</v>
      </c>
      <c r="E224" s="172">
        <f ca="1">(VLOOKUP(E$72,INDIRECT($C$5&amp;"生成成长"),2))/((VLOOKUP($B224,INDIRECT($B$5&amp;"生成成长"),4))/(VLOOKUP(E$72,INDIRECT($C$5&amp;"生成成长"),5))*(VLOOKUP($B$5,标准坦克设计!$B$24:$U$30,MATCH("对"&amp;LEFT($C$5,2)&amp;"输出",标准坦克设计!$B$23:$U$23,0)))*(VLOOKUP($B224,INDIRECT($B$5&amp;"生成成长"),3))*(VLOOKUP($B$5,标准坦克设计!$B$14:$K$20,9)/30))</f>
        <v>1.0288442420138069</v>
      </c>
      <c r="F224" s="172">
        <f ca="1">(VLOOKUP(F$72,INDIRECT($C$5&amp;"生成成长"),2))/((VLOOKUP($B224,INDIRECT($B$5&amp;"生成成长"),4))/(VLOOKUP(F$72,INDIRECT($C$5&amp;"生成成长"),5))*(VLOOKUP($B$5,标准坦克设计!$B$24:$U$30,MATCH("对"&amp;LEFT($C$5,2)&amp;"输出",标准坦克设计!$B$23:$U$23,0)))*(VLOOKUP($B224,INDIRECT($B$5&amp;"生成成长"),3))*(VLOOKUP($B$5,标准坦克设计!$B$14:$K$20,9)/30))</f>
        <v>1.1420302316486166</v>
      </c>
      <c r="G224" s="172">
        <f ca="1">(VLOOKUP(G$72,INDIRECT($C$5&amp;"生成成长"),2))/((VLOOKUP($B224,INDIRECT($B$5&amp;"生成成长"),4))/(VLOOKUP(G$72,INDIRECT($C$5&amp;"生成成长"),5))*(VLOOKUP($B$5,标准坦克设计!$B$24:$U$30,MATCH("对"&amp;LEFT($C$5,2)&amp;"输出",标准坦克设计!$B$23:$U$23,0)))*(VLOOKUP($B224,INDIRECT($B$5&amp;"生成成长"),3))*(VLOOKUP($B$5,标准坦克设计!$B$14:$K$20,9)/30))</f>
        <v>1.2611215772643729</v>
      </c>
      <c r="H224" s="172">
        <f ca="1">(VLOOKUP(H$72,INDIRECT($C$5&amp;"生成成长"),2))/((VLOOKUP($B224,INDIRECT($B$5&amp;"生成成长"),4))/(VLOOKUP(H$72,INDIRECT($C$5&amp;"生成成长"),5))*(VLOOKUP($B$5,标准坦克设计!$B$24:$U$30,MATCH("对"&amp;LEFT($C$5,2)&amp;"输出",标准坦克设计!$B$23:$U$23,0)))*(VLOOKUP($B224,INDIRECT($B$5&amp;"生成成长"),3))*(VLOOKUP($B$5,标准坦克设计!$B$14:$K$20,9)/30))</f>
        <v>1.1036454177724635</v>
      </c>
      <c r="I224" s="172">
        <f ca="1">(VLOOKUP(I$72,INDIRECT($C$5&amp;"生成成长"),2))/((VLOOKUP($B224,INDIRECT($B$5&amp;"生成成长"),4))/(VLOOKUP(I$72,INDIRECT($C$5&amp;"生成成长"),5))*(VLOOKUP($B$5,标准坦克设计!$B$24:$U$30,MATCH("对"&amp;LEFT($C$5,2)&amp;"输出",标准坦克设计!$B$23:$U$23,0)))*(VLOOKUP($B224,INDIRECT($B$5&amp;"生成成长"),3))*(VLOOKUP($B$5,标准坦克设计!$B$14:$K$20,9)/30))</f>
        <v>1.2611215772643729</v>
      </c>
      <c r="J224" s="172">
        <f ca="1">(VLOOKUP(J$72,INDIRECT($C$5&amp;"生成成长"),2))/((VLOOKUP($B224,INDIRECT($B$5&amp;"生成成长"),4))/(VLOOKUP(J$72,INDIRECT($C$5&amp;"生成成长"),5))*(VLOOKUP($B$5,标准坦克设计!$B$24:$U$30,MATCH("对"&amp;LEFT($C$5,2)&amp;"输出",标准坦克设计!$B$23:$U$23,0)))*(VLOOKUP($B224,INDIRECT($B$5&amp;"生成成长"),3))*(VLOOKUP($B$5,标准坦克设计!$B$14:$K$20,9)/30))</f>
        <v>1.4290961473890764</v>
      </c>
      <c r="K224" s="172">
        <f ca="1">(VLOOKUP(K$72,INDIRECT($C$5&amp;"生成成长"),2))/((VLOOKUP($B224,INDIRECT($B$5&amp;"生成成长"),4))/(VLOOKUP(K$72,INDIRECT($C$5&amp;"生成成长"),5))*(VLOOKUP($B$5,标准坦克设计!$B$24:$U$30,MATCH("对"&amp;LEFT($C$5,2)&amp;"输出",标准坦克设计!$B$23:$U$23,0)))*(VLOOKUP($B224,INDIRECT($B$5&amp;"生成成长"),3))*(VLOOKUP($B$5,标准坦克设计!$B$14:$K$20,9)/30))</f>
        <v>1.6075691281465732</v>
      </c>
      <c r="L224" s="172">
        <f ca="1">(VLOOKUP(L$72,INDIRECT($C$5&amp;"生成成长"),2))/((VLOOKUP($B224,INDIRECT($B$5&amp;"生成成长"),4))/(VLOOKUP(L$72,INDIRECT($C$5&amp;"生成成长"),5))*(VLOOKUP($B$5,标准坦克设计!$B$24:$U$30,MATCH("对"&amp;LEFT($C$5,2)&amp;"输出",标准坦克设计!$B$23:$U$23,0)))*(VLOOKUP($B224,INDIRECT($B$5&amp;"生成成长"),3))*(VLOOKUP($B$5,标准坦克设计!$B$14:$K$20,9)/30))</f>
        <v>1.7965405195368644</v>
      </c>
      <c r="M224" s="172">
        <f ca="1">(VLOOKUP(M$72,INDIRECT($C$5&amp;"生成成长"),2))/((VLOOKUP($B224,INDIRECT($B$5&amp;"生成成长"),4))/(VLOOKUP(M$72,INDIRECT($C$5&amp;"生成成长"),5))*(VLOOKUP($B$5,标准坦克设计!$B$24:$U$30,MATCH("对"&amp;LEFT($C$5,2)&amp;"输出",标准坦克设计!$B$23:$U$23,0)))*(VLOOKUP($B224,INDIRECT($B$5&amp;"生成成长"),3))*(VLOOKUP($B$5,标准坦克设计!$B$14:$K$20,9)/30))</f>
        <v>1.996010321559949</v>
      </c>
      <c r="N224" s="172">
        <f ca="1">(VLOOKUP(N$72,INDIRECT($C$5&amp;"生成成长"),2))/((VLOOKUP($B224,INDIRECT($B$5&amp;"生成成长"),4))/(VLOOKUP(N$72,INDIRECT($C$5&amp;"生成成长"),5))*(VLOOKUP($B$5,标准坦克设计!$B$24:$U$30,MATCH("对"&amp;LEFT($C$5,2)&amp;"输出",标准坦克设计!$B$23:$U$23,0)))*(VLOOKUP($B224,INDIRECT($B$5&amp;"生成成长"),3))*(VLOOKUP($B$5,标准坦克设计!$B$14:$K$20,9)/30))</f>
        <v>2.2059785342158285</v>
      </c>
      <c r="O224" s="172">
        <f ca="1">(VLOOKUP(O$72,INDIRECT($C$5&amp;"生成成长"),2))/((VLOOKUP($B224,INDIRECT($B$5&amp;"生成成长"),4))/(VLOOKUP(O$72,INDIRECT($C$5&amp;"生成成长"),5))*(VLOOKUP($B$5,标准坦克设计!$B$24:$U$30,MATCH("对"&amp;LEFT($C$5,2)&amp;"输出",标准坦克设计!$B$23:$U$23,0)))*(VLOOKUP($B224,INDIRECT($B$5&amp;"生成成长"),3))*(VLOOKUP($B$5,标准坦克设计!$B$14:$K$20,9)/30))</f>
        <v>1.6772031174219015</v>
      </c>
      <c r="P224" s="172">
        <f ca="1">(VLOOKUP(P$72,INDIRECT($C$5&amp;"生成成长"),2))/((VLOOKUP($B224,INDIRECT($B$5&amp;"生成成长"),4))/(VLOOKUP(P$72,INDIRECT($C$5&amp;"生成成长"),5))*(VLOOKUP($B$5,标准坦克设计!$B$24:$U$30,MATCH("对"&amp;LEFT($C$5,2)&amp;"输出",标准坦克设计!$B$23:$U$23,0)))*(VLOOKUP($B224,INDIRECT($B$5&amp;"生成成长"),3))*(VLOOKUP($B$5,标准坦克设计!$B$14:$K$20,9)/30))</f>
        <v>1.8949631192193077</v>
      </c>
      <c r="Q224" s="172">
        <f ca="1">(VLOOKUP(Q$72,INDIRECT($C$5&amp;"生成成长"),2))/((VLOOKUP($B224,INDIRECT($B$5&amp;"生成成长"),4))/(VLOOKUP(Q$72,INDIRECT($C$5&amp;"生成成长"),5))*(VLOOKUP($B$5,标准坦克设计!$B$24:$U$30,MATCH("对"&amp;LEFT($C$5,2)&amp;"输出",标准坦克设计!$B$23:$U$23,0)))*(VLOOKUP($B224,INDIRECT($B$5&amp;"生成成长"),3))*(VLOOKUP($B$5,标准坦克设计!$B$14:$K$20,9)/30))</f>
        <v>2.1260101719738427</v>
      </c>
      <c r="R224" s="172">
        <f ca="1">(VLOOKUP(R$72,INDIRECT($C$5&amp;"生成成长"),2))/((VLOOKUP($B224,INDIRECT($B$5&amp;"生成成长"),4))/(VLOOKUP(R$72,INDIRECT($C$5&amp;"生成成长"),5))*(VLOOKUP($B$5,标准坦克设计!$B$24:$U$30,MATCH("对"&amp;LEFT($C$5,2)&amp;"输出",标准坦克设计!$B$23:$U$23,0)))*(VLOOKUP($B224,INDIRECT($B$5&amp;"生成成长"),3))*(VLOOKUP($B$5,标准坦克设计!$B$14:$K$20,9)/30))</f>
        <v>2.3703442756855084</v>
      </c>
      <c r="S224" s="172">
        <f ca="1">(VLOOKUP(S$72,INDIRECT($C$5&amp;"生成成长"),2))/((VLOOKUP($B224,INDIRECT($B$5&amp;"生成成长"),4))/(VLOOKUP(S$72,INDIRECT($C$5&amp;"生成成长"),5))*(VLOOKUP($B$5,标准坦克设计!$B$24:$U$30,MATCH("对"&amp;LEFT($C$5,2)&amp;"输出",标准坦克设计!$B$23:$U$23,0)))*(VLOOKUP($B224,INDIRECT($B$5&amp;"生成成长"),3))*(VLOOKUP($B$5,标准坦克设计!$B$14:$K$20,9)/30))</f>
        <v>2.6279654303543039</v>
      </c>
      <c r="T224" s="172">
        <f ca="1">(VLOOKUP(T$72,INDIRECT($C$5&amp;"生成成长"),2))/((VLOOKUP($B224,INDIRECT($B$5&amp;"生成成长"),4))/(VLOOKUP(T$72,INDIRECT($C$5&amp;"生成成长"),5))*(VLOOKUP($B$5,标准坦克设计!$B$24:$U$30,MATCH("对"&amp;LEFT($C$5,2)&amp;"输出",标准坦克设计!$B$23:$U$23,0)))*(VLOOKUP($B224,INDIRECT($B$5&amp;"生成成长"),3))*(VLOOKUP($B$5,标准坦克设计!$B$14:$K$20,9)/30))</f>
        <v>2.898873635980229</v>
      </c>
      <c r="U224" s="172">
        <f ca="1">(VLOOKUP(U$72,INDIRECT($C$5&amp;"生成成长"),2))/((VLOOKUP($B224,INDIRECT($B$5&amp;"生成成长"),4))/(VLOOKUP(U$72,INDIRECT($C$5&amp;"生成成长"),5))*(VLOOKUP($B$5,标准坦克设计!$B$24:$U$30,MATCH("对"&amp;LEFT($C$5,2)&amp;"输出",标准坦克设计!$B$23:$U$23,0)))*(VLOOKUP($B224,INDIRECT($B$5&amp;"生成成长"),3))*(VLOOKUP($B$5,标准坦克设计!$B$14:$K$20,9)/30))</f>
        <v>3.1830688925632837</v>
      </c>
      <c r="V224" s="172">
        <f ca="1">(VLOOKUP(V$72,INDIRECT($C$5&amp;"生成成长"),2))/((VLOOKUP($B224,INDIRECT($B$5&amp;"生成成长"),4))/(VLOOKUP(V$72,INDIRECT($C$5&amp;"生成成长"),5))*(VLOOKUP($B$5,标准坦克设计!$B$24:$U$30,MATCH("对"&amp;LEFT($C$5,2)&amp;"输出",标准坦克设计!$B$23:$U$23,0)))*(VLOOKUP($B224,INDIRECT($B$5&amp;"生成成长"),3))*(VLOOKUP($B$5,标准坦克设计!$B$14:$K$20,9)/30))</f>
        <v>3.4805512001034686</v>
      </c>
      <c r="W224" s="172">
        <f ca="1">(VLOOKUP(W$72,INDIRECT($C$5&amp;"生成成长"),2))/((VLOOKUP($B224,INDIRECT($B$5&amp;"生成成长"),4))/(VLOOKUP(W$72,INDIRECT($C$5&amp;"生成成长"),5))*(VLOOKUP($B$5,标准坦克设计!$B$24:$U$30,MATCH("对"&amp;LEFT($C$5,2)&amp;"输出",标准坦克设计!$B$23:$U$23,0)))*(VLOOKUP($B224,INDIRECT($B$5&amp;"生成成长"),3))*(VLOOKUP($B$5,标准坦克设计!$B$14:$K$20,9)/30))</f>
        <v>3.7913205586007823</v>
      </c>
      <c r="X224" s="172">
        <f ca="1">(VLOOKUP(X$72,INDIRECT($C$5&amp;"生成成长"),2))/((VLOOKUP($B224,INDIRECT($B$5&amp;"生成成长"),4))/(VLOOKUP(X$72,INDIRECT($C$5&amp;"生成成长"),5))*(VLOOKUP($B$5,标准坦克设计!$B$24:$U$30,MATCH("对"&amp;LEFT($C$5,2)&amp;"输出",标准坦克设计!$B$23:$U$23,0)))*(VLOOKUP($B224,INDIRECT($B$5&amp;"生成成长"),3))*(VLOOKUP($B$5,标准坦克设计!$B$14:$K$20,9)/30))</f>
        <v>2.7467287006377861</v>
      </c>
      <c r="Y224" s="172">
        <f ca="1">(VLOOKUP(Y$72,INDIRECT($C$5&amp;"生成成长"),2))/((VLOOKUP($B224,INDIRECT($B$5&amp;"生成成长"),4))/(VLOOKUP(Y$72,INDIRECT($C$5&amp;"生成成长"),5))*(VLOOKUP($B$5,标准坦克设计!$B$24:$U$30,MATCH("对"&amp;LEFT($C$5,2)&amp;"输出",标准坦克设计!$B$23:$U$23,0)))*(VLOOKUP($B224,INDIRECT($B$5&amp;"生成成长"),3))*(VLOOKUP($B$5,标准坦克设计!$B$14:$K$20,9)/30))</f>
        <v>3.0551195129761077</v>
      </c>
      <c r="Z224" s="172">
        <f ca="1">(VLOOKUP(Z$72,INDIRECT($C$5&amp;"生成成长"),2))/((VLOOKUP($B224,INDIRECT($B$5&amp;"生成成长"),4))/(VLOOKUP(Z$72,INDIRECT($C$5&amp;"生成成长"),5))*(VLOOKUP($B$5,标准坦克设计!$B$24:$U$30,MATCH("对"&amp;LEFT($C$5,2)&amp;"输出",标准坦克设计!$B$23:$U$23,0)))*(VLOOKUP($B224,INDIRECT($B$5&amp;"生成成长"),3))*(VLOOKUP($B$5,标准坦克设计!$B$14:$K$20,9)/30))</f>
        <v>3.3799140919281707</v>
      </c>
      <c r="AA224" s="172">
        <f ca="1">(VLOOKUP(AA$72,INDIRECT($C$5&amp;"生成成长"),2))/((VLOOKUP($B224,INDIRECT($B$5&amp;"生成成长"),4))/(VLOOKUP(AA$72,INDIRECT($C$5&amp;"生成成长"),5))*(VLOOKUP($B$5,标准坦克设计!$B$24:$U$30,MATCH("对"&amp;LEFT($C$5,2)&amp;"输出",标准坦克设计!$B$23:$U$23,0)))*(VLOOKUP($B224,INDIRECT($B$5&amp;"生成成长"),3))*(VLOOKUP($B$5,标准坦克设计!$B$14:$K$20,9)/30))</f>
        <v>3.7211124374939732</v>
      </c>
      <c r="AB224" s="172">
        <f ca="1">(VLOOKUP(AB$72,INDIRECT($C$5&amp;"生成成长"),2))/((VLOOKUP($B224,INDIRECT($B$5&amp;"生成成长"),4))/(VLOOKUP(AB$72,INDIRECT($C$5&amp;"生成成长"),5))*(VLOOKUP($B$5,标准坦克设计!$B$24:$U$30,MATCH("对"&amp;LEFT($C$5,2)&amp;"输出",标准坦克设计!$B$23:$U$23,0)))*(VLOOKUP($B224,INDIRECT($B$5&amp;"生成成长"),3))*(VLOOKUP($B$5,标准坦克设计!$B$14:$K$20,9)/30))</f>
        <v>4.078714549673518</v>
      </c>
      <c r="AC224" s="172">
        <f ca="1">(VLOOKUP(AC$72,INDIRECT($C$5&amp;"生成成长"),2))/((VLOOKUP($B224,INDIRECT($B$5&amp;"生成成长"),4))/(VLOOKUP(AC$72,INDIRECT($C$5&amp;"生成成长"),5))*(VLOOKUP($B$5,标准坦克设计!$B$24:$U$30,MATCH("对"&amp;LEFT($C$5,2)&amp;"输出",标准坦克设计!$B$23:$U$23,0)))*(VLOOKUP($B224,INDIRECT($B$5&amp;"生成成长"),3))*(VLOOKUP($B$5,标准坦克设计!$B$14:$K$20,9)/30))</f>
        <v>4.4527204284668018</v>
      </c>
      <c r="AD224" s="172">
        <f ca="1">(VLOOKUP(AD$72,INDIRECT($C$5&amp;"生成成长"),2))/((VLOOKUP($B224,INDIRECT($B$5&amp;"生成成长"),4))/(VLOOKUP(AD$72,INDIRECT($C$5&amp;"生成成长"),5))*(VLOOKUP($B$5,标准坦克设计!$B$24:$U$30,MATCH("对"&amp;LEFT($C$5,2)&amp;"输出",标准坦克设计!$B$23:$U$23,0)))*(VLOOKUP($B224,INDIRECT($B$5&amp;"生成成长"),3))*(VLOOKUP($B$5,标准坦克设计!$B$14:$K$20,9)/30))</f>
        <v>4.8431300738738265</v>
      </c>
      <c r="AE224" s="172">
        <f ca="1">(VLOOKUP(AE$72,INDIRECT($C$5&amp;"生成成长"),2))/((VLOOKUP($B224,INDIRECT($B$5&amp;"生成成长"),4))/(VLOOKUP(AE$72,INDIRECT($C$5&amp;"生成成长"),5))*(VLOOKUP($B$5,标准坦克设计!$B$24:$U$30,MATCH("对"&amp;LEFT($C$5,2)&amp;"输出",标准坦克设计!$B$23:$U$23,0)))*(VLOOKUP($B224,INDIRECT($B$5&amp;"生成成长"),3))*(VLOOKUP($B$5,标准坦克设计!$B$14:$K$20,9)/30))</f>
        <v>5.2499434858945921</v>
      </c>
      <c r="AF224" s="172">
        <f ca="1">(VLOOKUP(AF$72,INDIRECT($C$5&amp;"生成成长"),2))/((VLOOKUP($B224,INDIRECT($B$5&amp;"生成成长"),4))/(VLOOKUP(AF$72,INDIRECT($C$5&amp;"生成成长"),5))*(VLOOKUP($B$5,标准坦克设计!$B$24:$U$30,MATCH("对"&amp;LEFT($C$5,2)&amp;"输出",标准坦克设计!$B$23:$U$23,0)))*(VLOOKUP($B224,INDIRECT($B$5&amp;"生成成长"),3))*(VLOOKUP($B$5,标准坦克设计!$B$14:$K$20,9)/30))</f>
        <v>5.6731606645290977</v>
      </c>
      <c r="AG224" s="172">
        <f ca="1">(VLOOKUP(AG$72,INDIRECT($C$5&amp;"生成成长"),2))/((VLOOKUP($B224,INDIRECT($B$5&amp;"生成成长"),4))/(VLOOKUP(AG$72,INDIRECT($C$5&amp;"生成成长"),5))*(VLOOKUP($B$5,标准坦克设计!$B$24:$U$30,MATCH("对"&amp;LEFT($C$5,2)&amp;"输出",标准坦克设计!$B$23:$U$23,0)))*(VLOOKUP($B224,INDIRECT($B$5&amp;"生成成长"),3))*(VLOOKUP($B$5,标准坦克设计!$B$14:$K$20,9)/30))</f>
        <v>6.1127816097773451</v>
      </c>
      <c r="AH224" s="172">
        <f ca="1">(VLOOKUP(AH$72,INDIRECT($C$5&amp;"生成成长"),2))/((VLOOKUP($B224,INDIRECT($B$5&amp;"生成成长"),4))/(VLOOKUP(AH$72,INDIRECT($C$5&amp;"生成成长"),5))*(VLOOKUP($B$5,标准坦克设计!$B$24:$U$30,MATCH("对"&amp;LEFT($C$5,2)&amp;"输出",标准坦克设计!$B$23:$U$23,0)))*(VLOOKUP($B224,INDIRECT($B$5&amp;"生成成长"),3))*(VLOOKUP($B$5,标准坦克设计!$B$14:$K$20,9)/30))</f>
        <v>6.5688063216393324</v>
      </c>
      <c r="AI224" s="172">
        <f ca="1">(VLOOKUP(AI$72,INDIRECT($C$5&amp;"生成成长"),2))/((VLOOKUP($B224,INDIRECT($B$5&amp;"生成成长"),4))/(VLOOKUP(AI$72,INDIRECT($C$5&amp;"生成成长"),5))*(VLOOKUP($B$5,标准坦克设计!$B$24:$U$30,MATCH("对"&amp;LEFT($C$5,2)&amp;"输出",标准坦克设计!$B$23:$U$23,0)))*(VLOOKUP($B224,INDIRECT($B$5&amp;"生成成长"),3))*(VLOOKUP($B$5,标准坦克设计!$B$14:$K$20,9)/30))</f>
        <v>4.645874780343596</v>
      </c>
      <c r="AJ224" s="172">
        <f ca="1">(VLOOKUP(AJ$72,INDIRECT($C$5&amp;"生成成长"),2))/((VLOOKUP($B224,INDIRECT($B$5&amp;"生成成长"),4))/(VLOOKUP(AJ$72,INDIRECT($C$5&amp;"生成成长"),5))*(VLOOKUP($B$5,标准坦克设计!$B$24:$U$30,MATCH("对"&amp;LEFT($C$5,2)&amp;"输出",标准坦克设计!$B$23:$U$23,0)))*(VLOOKUP($B224,INDIRECT($B$5&amp;"生成成长"),3))*(VLOOKUP($B$5,标准坦克设计!$B$14:$K$20,9)/30))</f>
        <v>5.0852496690926365</v>
      </c>
      <c r="AK224" s="172">
        <f ca="1">(VLOOKUP(AK$72,INDIRECT($C$5&amp;"生成成长"),2))/((VLOOKUP($B224,INDIRECT($B$5&amp;"生成成长"),4))/(VLOOKUP(AK$72,INDIRECT($C$5&amp;"生成成长"),5))*(VLOOKUP($B$5,标准坦克设计!$B$24:$U$30,MATCH("对"&amp;LEFT($C$5,2)&amp;"输出",标准坦克设计!$B$23:$U$23,0)))*(VLOOKUP($B224,INDIRECT($B$5&amp;"生成成长"),3))*(VLOOKUP($B$5,标准坦克设计!$B$14:$K$20,9)/30))</f>
        <v>5.5444731154443039</v>
      </c>
      <c r="AL224" s="172">
        <f ca="1">(VLOOKUP(AL$72,INDIRECT($C$5&amp;"生成成长"),2))/((VLOOKUP($B224,INDIRECT($B$5&amp;"生成成长"),4))/(VLOOKUP(AL$72,INDIRECT($C$5&amp;"生成成长"),5))*(VLOOKUP($B$5,标准坦克设计!$B$24:$U$30,MATCH("对"&amp;LEFT($C$5,2)&amp;"输出",标准坦克设计!$B$23:$U$23,0)))*(VLOOKUP($B224,INDIRECT($B$5&amp;"生成成长"),3))*(VLOOKUP($B$5,标准坦克设计!$B$14:$K$20,9)/30))</f>
        <v>6.0235451193985963</v>
      </c>
      <c r="AM224" s="172">
        <f ca="1">(VLOOKUP(AM$72,INDIRECT($C$5&amp;"生成成长"),2))/((VLOOKUP($B224,INDIRECT($B$5&amp;"生成成长"),4))/(VLOOKUP(AM$72,INDIRECT($C$5&amp;"生成成长"),5))*(VLOOKUP($B$5,标准坦克设计!$B$24:$U$30,MATCH("对"&amp;LEFT($C$5,2)&amp;"输出",标准坦克设计!$B$23:$U$23,0)))*(VLOOKUP($B224,INDIRECT($B$5&amp;"生成成长"),3))*(VLOOKUP($B$5,标准坦克设计!$B$14:$K$20,9)/30))</f>
        <v>6.5224656809555137</v>
      </c>
      <c r="AN224" s="172">
        <f ca="1">(VLOOKUP(AN$72,INDIRECT($C$5&amp;"生成成长"),2))/((VLOOKUP($B224,INDIRECT($B$5&amp;"生成成长"),4))/(VLOOKUP(AN$72,INDIRECT($C$5&amp;"生成成长"),5))*(VLOOKUP($B$5,标准坦克设计!$B$24:$U$30,MATCH("对"&amp;LEFT($C$5,2)&amp;"输出",标准坦克设计!$B$23:$U$23,0)))*(VLOOKUP($B224,INDIRECT($B$5&amp;"生成成长"),3))*(VLOOKUP($B$5,标准坦克设计!$B$14:$K$20,9)/30))</f>
        <v>7.0412348001150589</v>
      </c>
      <c r="AO224" s="172">
        <f ca="1">(VLOOKUP(AO$72,INDIRECT($C$5&amp;"生成成长"),2))/((VLOOKUP($B224,INDIRECT($B$5&amp;"生成成长"),4))/(VLOOKUP(AO$72,INDIRECT($C$5&amp;"生成成长"),5))*(VLOOKUP($B$5,标准坦克设计!$B$24:$U$30,MATCH("对"&amp;LEFT($C$5,2)&amp;"输出",标准坦克设计!$B$23:$U$23,0)))*(VLOOKUP($B224,INDIRECT($B$5&amp;"生成成长"),3))*(VLOOKUP($B$5,标准坦克设计!$B$14:$K$20,9)/30))</f>
        <v>7.5798524768772308</v>
      </c>
      <c r="AP224" s="172">
        <f ca="1">(VLOOKUP(AP$72,INDIRECT($C$5&amp;"生成成长"),2))/((VLOOKUP($B224,INDIRECT($B$5&amp;"生成成长"),4))/(VLOOKUP(AP$72,INDIRECT($C$5&amp;"生成成长"),5))*(VLOOKUP($B$5,标准坦克设计!$B$24:$U$30,MATCH("对"&amp;LEFT($C$5,2)&amp;"输出",标准坦克设计!$B$23:$U$23,0)))*(VLOOKUP($B224,INDIRECT($B$5&amp;"生成成长"),3))*(VLOOKUP($B$5,标准坦克设计!$B$14:$K$20,9)/30))</f>
        <v>8.138318711242027</v>
      </c>
      <c r="AQ224" s="172">
        <f ca="1">(VLOOKUP(AQ$72,INDIRECT($C$5&amp;"生成成长"),2))/((VLOOKUP($B224,INDIRECT($B$5&amp;"生成成长"),4))/(VLOOKUP(AQ$72,INDIRECT($C$5&amp;"生成成长"),5))*(VLOOKUP($B$5,标准坦克设计!$B$24:$U$30,MATCH("对"&amp;LEFT($C$5,2)&amp;"输出",标准坦克设计!$B$23:$U$23,0)))*(VLOOKUP($B224,INDIRECT($B$5&amp;"生成成长"),3))*(VLOOKUP($B$5,标准坦克设计!$B$14:$K$20,9)/30))</f>
        <v>8.7166335032094491</v>
      </c>
      <c r="AR224" s="172">
        <f ca="1">(VLOOKUP(AR$72,INDIRECT($C$5&amp;"生成成长"),2))/((VLOOKUP($B224,INDIRECT($B$5&amp;"生成成长"),4))/(VLOOKUP(AR$72,INDIRECT($C$5&amp;"生成成长"),5))*(VLOOKUP($B$5,标准坦克设计!$B$24:$U$30,MATCH("对"&amp;LEFT($C$5,2)&amp;"输出",标准坦克设计!$B$23:$U$23,0)))*(VLOOKUP($B224,INDIRECT($B$5&amp;"生成成长"),3))*(VLOOKUP($B$5,标准坦克设计!$B$14:$K$20,9)/30))</f>
        <v>9.3147968527794998</v>
      </c>
      <c r="AS224" s="172">
        <f ca="1">(VLOOKUP(AS$72,INDIRECT($C$5&amp;"生成成长"),2))/((VLOOKUP($B224,INDIRECT($B$5&amp;"生成成长"),4))/(VLOOKUP(AS$72,INDIRECT($C$5&amp;"生成成长"),5))*(VLOOKUP($B$5,标准坦克设计!$B$24:$U$30,MATCH("对"&amp;LEFT($C$5,2)&amp;"输出",标准坦克设计!$B$23:$U$23,0)))*(VLOOKUP($B224,INDIRECT($B$5&amp;"生成成长"),3))*(VLOOKUP($B$5,标准坦克设计!$B$14:$K$20,9)/30))</f>
        <v>9.9328087599521737</v>
      </c>
      <c r="AT224" s="172">
        <f ca="1">(VLOOKUP(AT$72,INDIRECT($C$5&amp;"生成成长"),2))/((VLOOKUP($B224,INDIRECT($B$5&amp;"生成成长"),4))/(VLOOKUP(AT$72,INDIRECT($C$5&amp;"生成成长"),5))*(VLOOKUP($B$5,标准坦克设计!$B$24:$U$30,MATCH("对"&amp;LEFT($C$5,2)&amp;"输出",标准坦克设计!$B$23:$U$23,0)))*(VLOOKUP($B224,INDIRECT($B$5&amp;"生成成长"),3))*(VLOOKUP($B$5,标准坦克设计!$B$14:$K$20,9)/30))</f>
        <v>10.570669224727476</v>
      </c>
      <c r="AU224" s="172">
        <f ca="1">(VLOOKUP(AU$72,INDIRECT($C$5&amp;"生成成长"),2))/((VLOOKUP($B224,INDIRECT($B$5&amp;"生成成长"),4))/(VLOOKUP(AU$72,INDIRECT($C$5&amp;"生成成长"),5))*(VLOOKUP($B$5,标准坦克设计!$B$24:$U$30,MATCH("对"&amp;LEFT($C$5,2)&amp;"输出",标准坦克设计!$B$23:$U$23,0)))*(VLOOKUP($B224,INDIRECT($B$5&amp;"生成成长"),3))*(VLOOKUP($B$5,标准坦克设计!$B$14:$K$20,9)/30))</f>
        <v>11.228378247105404</v>
      </c>
      <c r="AV224" s="172">
        <f ca="1">(VLOOKUP(AV$72,INDIRECT($C$5&amp;"生成成长"),2))/((VLOOKUP($B224,INDIRECT($B$5&amp;"生成成长"),4))/(VLOOKUP(AV$72,INDIRECT($C$5&amp;"生成成长"),5))*(VLOOKUP($B$5,标准坦克设计!$B$24:$U$30,MATCH("对"&amp;LEFT($C$5,2)&amp;"输出",标准坦克设计!$B$23:$U$23,0)))*(VLOOKUP($B224,INDIRECT($B$5&amp;"生成成长"),3))*(VLOOKUP($B$5,标准坦克设计!$B$14:$K$20,9)/30))</f>
        <v>1.1420302316486166</v>
      </c>
      <c r="AW224" s="172">
        <f ca="1">(VLOOKUP(AW$72,INDIRECT($C$5&amp;"生成成长"),2))/((VLOOKUP($B224,INDIRECT($B$5&amp;"生成成长"),4))/(VLOOKUP(AW$72,INDIRECT($C$5&amp;"生成成长"),5))*(VLOOKUP($B$5,标准坦克设计!$B$24:$U$30,MATCH("对"&amp;LEFT($C$5,2)&amp;"输出",标准坦克设计!$B$23:$U$23,0)))*(VLOOKUP($B224,INDIRECT($B$5&amp;"生成成长"),3))*(VLOOKUP($B$5,标准坦克设计!$B$14:$K$20,9)/30))</f>
        <v>1.3021309937987242</v>
      </c>
      <c r="AX224" s="172">
        <f ca="1">(VLOOKUP(AX$72,INDIRECT($C$5&amp;"生成成长"),2))/((VLOOKUP($B224,INDIRECT($B$5&amp;"生成成长"),4))/(VLOOKUP(AX$72,INDIRECT($C$5&amp;"生成成长"),5))*(VLOOKUP($B$5,标准坦克设计!$B$24:$U$30,MATCH("对"&amp;LEFT($C$5,2)&amp;"输出",标准坦克设计!$B$23:$U$23,0)))*(VLOOKUP($B224,INDIRECT($B$5&amp;"生成成长"),3))*(VLOOKUP($B$5,标准坦克设计!$B$14:$K$20,9)/30))</f>
        <v>1.4727301665816257</v>
      </c>
      <c r="AY224" s="172">
        <f ca="1">(VLOOKUP(AY$72,INDIRECT($C$5&amp;"生成成长"),2))/((VLOOKUP($B224,INDIRECT($B$5&amp;"生成成长"),4))/(VLOOKUP(AY$72,INDIRECT($C$5&amp;"生成成长"),5))*(VLOOKUP($B$5,标准坦克设计!$B$24:$U$30,MATCH("对"&amp;LEFT($C$5,2)&amp;"输出",标准坦克设计!$B$23:$U$23,0)))*(VLOOKUP($B224,INDIRECT($B$5&amp;"生成成长"),3))*(VLOOKUP($B$5,标准坦克设计!$B$14:$K$20,9)/30))</f>
        <v>1.6538277499973217</v>
      </c>
      <c r="AZ224" s="172">
        <f ca="1">(VLOOKUP(AZ$72,INDIRECT($C$5&amp;"生成成长"),2))/((VLOOKUP($B224,INDIRECT($B$5&amp;"生成成长"),4))/(VLOOKUP(AZ$72,INDIRECT($C$5&amp;"生成成长"),5))*(VLOOKUP($B$5,标准坦克设计!$B$24:$U$30,MATCH("对"&amp;LEFT($C$5,2)&amp;"输出",标准坦克设计!$B$23:$U$23,0)))*(VLOOKUP($B224,INDIRECT($B$5&amp;"生成成长"),3))*(VLOOKUP($B$5,标准坦克设计!$B$14:$K$20,9)/30))</f>
        <v>1.8454237440458112</v>
      </c>
      <c r="BA224" s="172">
        <f ca="1">(VLOOKUP(BA$72,INDIRECT($C$5&amp;"生成成长"),2))/((VLOOKUP($B224,INDIRECT($B$5&amp;"生成成长"),4))/(VLOOKUP(BA$72,INDIRECT($C$5&amp;"生成成长"),5))*(VLOOKUP($B$5,标准坦克设计!$B$24:$U$30,MATCH("对"&amp;LEFT($C$5,2)&amp;"输出",标准坦克设计!$B$23:$U$23,0)))*(VLOOKUP($B224,INDIRECT($B$5&amp;"生成成长"),3))*(VLOOKUP($B$5,标准坦克设计!$B$14:$K$20,9)/30))</f>
        <v>2.0475181487270948</v>
      </c>
      <c r="BB224" s="172">
        <f ca="1">(VLOOKUP(BB$72,INDIRECT($C$5&amp;"生成成长"),2))/((VLOOKUP($B224,INDIRECT($B$5&amp;"生成成长"),4))/(VLOOKUP(BB$72,INDIRECT($C$5&amp;"生成成长"),5))*(VLOOKUP($B$5,标准坦克设计!$B$24:$U$30,MATCH("对"&amp;LEFT($C$5,2)&amp;"输出",标准坦克设计!$B$23:$U$23,0)))*(VLOOKUP($B224,INDIRECT($B$5&amp;"生成成长"),3))*(VLOOKUP($B$5,标准坦克设计!$B$14:$K$20,9)/30))</f>
        <v>2.2601109640411723</v>
      </c>
      <c r="BC224" s="172">
        <f ca="1">(VLOOKUP(BC$72,INDIRECT($C$5&amp;"生成成长"),2))/((VLOOKUP($B224,INDIRECT($B$5&amp;"生成成长"),4))/(VLOOKUP(BC$72,INDIRECT($C$5&amp;"生成成长"),5))*(VLOOKUP($B$5,标准坦克设计!$B$24:$U$30,MATCH("对"&amp;LEFT($C$5,2)&amp;"输出",标准坦克设计!$B$23:$U$23,0)))*(VLOOKUP($B224,INDIRECT($B$5&amp;"生成成长"),3))*(VLOOKUP($B$5,标准坦克设计!$B$14:$K$20,9)/30))</f>
        <v>2.4832021899880434</v>
      </c>
      <c r="BD224" s="172">
        <f ca="1">(VLOOKUP(BD$72,INDIRECT($C$5&amp;"生成成长"),2))/((VLOOKUP($B224,INDIRECT($B$5&amp;"生成成长"),4))/(VLOOKUP(BD$72,INDIRECT($C$5&amp;"生成成长"),5))*(VLOOKUP($B$5,标准坦克设计!$B$24:$U$30,MATCH("对"&amp;LEFT($C$5,2)&amp;"输出",标准坦克设计!$B$23:$U$23,0)))*(VLOOKUP($B224,INDIRECT($B$5&amp;"生成成长"),3))*(VLOOKUP($B$5,标准坦克设计!$B$14:$K$20,9)/30))</f>
        <v>2.7467287006377861</v>
      </c>
      <c r="BE224" s="172">
        <f ca="1">(VLOOKUP(BE$72,INDIRECT($C$5&amp;"生成成长"),2))/((VLOOKUP($B224,INDIRECT($B$5&amp;"生成成长"),4))/(VLOOKUP(BE$72,INDIRECT($C$5&amp;"生成成长"),5))*(VLOOKUP($B$5,标准坦克设计!$B$24:$U$30,MATCH("对"&amp;LEFT($C$5,2)&amp;"输出",标准坦克设计!$B$23:$U$23,0)))*(VLOOKUP($B224,INDIRECT($B$5&amp;"生成成长"),3))*(VLOOKUP($B$5,标准坦克设计!$B$14:$K$20,9)/30))</f>
        <v>3.0235422622446575</v>
      </c>
      <c r="BF224" s="172">
        <f ca="1">(VLOOKUP(BF$72,INDIRECT($C$5&amp;"生成成长"),2))/((VLOOKUP($B224,INDIRECT($B$5&amp;"生成成长"),4))/(VLOOKUP(BF$72,INDIRECT($C$5&amp;"生成成长"),5))*(VLOOKUP($B$5,标准坦克设计!$B$24:$U$30,MATCH("对"&amp;LEFT($C$5,2)&amp;"输出",标准坦克设计!$B$23:$U$23,0)))*(VLOOKUP($B224,INDIRECT($B$5&amp;"生成成长"),3))*(VLOOKUP($B$5,标准坦克设计!$B$14:$K$20,9)/30))</f>
        <v>3.3136428748086582</v>
      </c>
      <c r="BG224" s="172">
        <f ca="1">(VLOOKUP(BG$72,INDIRECT($C$5&amp;"生成成长"),2))/((VLOOKUP($B224,INDIRECT($B$5&amp;"生成成长"),4))/(VLOOKUP(BG$72,INDIRECT($C$5&amp;"生成成长"),5))*(VLOOKUP($B$5,标准坦克设计!$B$24:$U$30,MATCH("对"&amp;LEFT($C$5,2)&amp;"输出",标准坦克设计!$B$23:$U$23,0)))*(VLOOKUP($B224,INDIRECT($B$5&amp;"生成成长"),3))*(VLOOKUP($B$5,标准坦克设计!$B$14:$K$20,9)/30))</f>
        <v>3.6170305383297898</v>
      </c>
      <c r="BH224" s="172">
        <f ca="1">(VLOOKUP(BH$72,INDIRECT($C$5&amp;"生成成长"),2))/((VLOOKUP($B224,INDIRECT($B$5&amp;"生成成长"),4))/(VLOOKUP(BH$72,INDIRECT($C$5&amp;"生成成长"),5))*(VLOOKUP($B$5,标准坦克设计!$B$24:$U$30,MATCH("对"&amp;LEFT($C$5,2)&amp;"输出",标准坦克设计!$B$23:$U$23,0)))*(VLOOKUP($B224,INDIRECT($B$5&amp;"生成成长"),3))*(VLOOKUP($B$5,标准坦克设计!$B$14:$K$20,9)/30))</f>
        <v>1.7483134456924672</v>
      </c>
      <c r="BI224" s="172">
        <f ca="1">(VLOOKUP(BI$72,INDIRECT($C$5&amp;"生成成长"),2))/((VLOOKUP($B224,INDIRECT($B$5&amp;"生成成长"),4))/(VLOOKUP(BI$72,INDIRECT($C$5&amp;"生成成长"),5))*(VLOOKUP($B$5,标准坦克设计!$B$24:$U$30,MATCH("对"&amp;LEFT($C$5,2)&amp;"输出",标准坦克设计!$B$23:$U$23,0)))*(VLOOKUP($B224,INDIRECT($B$5&amp;"生成成长"),3))*(VLOOKUP($B$5,标准坦克设计!$B$14:$K$20,9)/30))</f>
        <v>1.9705024644755826</v>
      </c>
      <c r="BJ224" s="172">
        <f ca="1">(VLOOKUP(BJ$72,INDIRECT($C$5&amp;"生成成长"),2))/((VLOOKUP($B224,INDIRECT($B$5&amp;"生成成长"),4))/(VLOOKUP(BJ$72,INDIRECT($C$5&amp;"生成成长"),5))*(VLOOKUP($B$5,标准坦克设计!$B$24:$U$30,MATCH("对"&amp;LEFT($C$5,2)&amp;"输出",标准坦克设计!$B$23:$U$23,0)))*(VLOOKUP($B224,INDIRECT($B$5&amp;"生成成长"),3))*(VLOOKUP($B$5,标准坦克设计!$B$14:$K$20,9)/30))</f>
        <v>2.2059785342158285</v>
      </c>
      <c r="BK224" s="172">
        <f ca="1">(VLOOKUP(BK$72,INDIRECT($C$5&amp;"生成成长"),2))/((VLOOKUP($B224,INDIRECT($B$5&amp;"生成成长"),4))/(VLOOKUP(BK$72,INDIRECT($C$5&amp;"生成成长"),5))*(VLOOKUP($B$5,标准坦克设计!$B$24:$U$30,MATCH("对"&amp;LEFT($C$5,2)&amp;"输出",标准坦克设计!$B$23:$U$23,0)))*(VLOOKUP($B224,INDIRECT($B$5&amp;"生成成长"),3))*(VLOOKUP($B$5,标准坦克设计!$B$14:$K$20,9)/30))</f>
        <v>2.454741654913204</v>
      </c>
      <c r="BL224" s="172">
        <f ca="1">(VLOOKUP(BL$72,INDIRECT($C$5&amp;"生成成长"),2))/((VLOOKUP($B224,INDIRECT($B$5&amp;"生成成长"),4))/(VLOOKUP(BL$72,INDIRECT($C$5&amp;"生成成长"),5))*(VLOOKUP($B$5,标准坦克设计!$B$24:$U$30,MATCH("对"&amp;LEFT($C$5,2)&amp;"输出",标准坦克设计!$B$23:$U$23,0)))*(VLOOKUP($B224,INDIRECT($B$5&amp;"生成成长"),3))*(VLOOKUP($B$5,标准坦克设计!$B$14:$K$20,9)/30))</f>
        <v>2.7167918265677087</v>
      </c>
      <c r="BM224" s="172">
        <f ca="1">(VLOOKUP(BM$72,INDIRECT($C$5&amp;"生成成长"),2))/((VLOOKUP($B224,INDIRECT($B$5&amp;"生成成长"),4))/(VLOOKUP(BM$72,INDIRECT($C$5&amp;"生成成长"),5))*(VLOOKUP($B$5,标准坦克设计!$B$24:$U$30,MATCH("对"&amp;LEFT($C$5,2)&amp;"输出",标准坦克设计!$B$23:$U$23,0)))*(VLOOKUP($B224,INDIRECT($B$5&amp;"生成成长"),3))*(VLOOKUP($B$5,标准坦克设计!$B$14:$K$20,9)/30))</f>
        <v>2.992129049179344</v>
      </c>
      <c r="BN224" s="172">
        <f ca="1">(VLOOKUP(BN$72,INDIRECT($C$5&amp;"生成成长"),2))/((VLOOKUP($B224,INDIRECT($B$5&amp;"生成成长"),4))/(VLOOKUP(BN$72,INDIRECT($C$5&amp;"生成成长"),5))*(VLOOKUP($B$5,标准坦克设计!$B$24:$U$30,MATCH("对"&amp;LEFT($C$5,2)&amp;"输出",标准坦克设计!$B$23:$U$23,0)))*(VLOOKUP($B224,INDIRECT($B$5&amp;"生成成长"),3))*(VLOOKUP($B$5,标准坦克设计!$B$14:$K$20,9)/30))</f>
        <v>3.2807533227481085</v>
      </c>
      <c r="BO224" s="172">
        <f ca="1">(VLOOKUP(BO$72,INDIRECT($C$5&amp;"生成成长"),2))/((VLOOKUP($B224,INDIRECT($B$5&amp;"生成成长"),4))/(VLOOKUP(BO$72,INDIRECT($C$5&amp;"生成成长"),5))*(VLOOKUP($B$5,标准坦克设计!$B$24:$U$30,MATCH("对"&amp;LEFT($C$5,2)&amp;"输出",标准坦克设计!$B$23:$U$23,0)))*(VLOOKUP($B224,INDIRECT($B$5&amp;"生成成长"),3))*(VLOOKUP($B$5,标准坦克设计!$B$14:$K$20,9)/30))</f>
        <v>3.5826646472740027</v>
      </c>
      <c r="BP224" s="172">
        <f ca="1">(VLOOKUP(BP$72,INDIRECT($C$5&amp;"生成成长"),2))/((VLOOKUP($B224,INDIRECT($B$5&amp;"生成成长"),4))/(VLOOKUP(BP$72,INDIRECT($C$5&amp;"生成成长"),5))*(VLOOKUP($B$5,标准坦克设计!$B$24:$U$30,MATCH("对"&amp;LEFT($C$5,2)&amp;"输出",标准坦克设计!$B$23:$U$23,0)))*(VLOOKUP($B224,INDIRECT($B$5&amp;"生成成长"),3))*(VLOOKUP($B$5,标准坦克设计!$B$14:$K$20,9)/30))</f>
        <v>3.8978630227570279</v>
      </c>
      <c r="BQ224" s="172">
        <f ca="1">(VLOOKUP(BQ$72,INDIRECT($C$5&amp;"生成成长"),2))/((VLOOKUP($B224,INDIRECT($B$5&amp;"生成成长"),4))/(VLOOKUP(BQ$72,INDIRECT($C$5&amp;"生成成长"),5))*(VLOOKUP($B$5,标准坦克设计!$B$24:$U$30,MATCH("对"&amp;LEFT($C$5,2)&amp;"输出",标准坦克设计!$B$23:$U$23,0)))*(VLOOKUP($B224,INDIRECT($B$5&amp;"生成成长"),3))*(VLOOKUP($B$5,标准坦克设计!$B$14:$K$20,9)/30))</f>
        <v>4.2263484491971814</v>
      </c>
      <c r="BR224" s="172">
        <f ca="1">(VLOOKUP(BR$72,INDIRECT($C$5&amp;"生成成长"),2))/((VLOOKUP($B224,INDIRECT($B$5&amp;"生成成长"),4))/(VLOOKUP(BR$72,INDIRECT($C$5&amp;"生成成长"),5))*(VLOOKUP($B$5,标准坦克设计!$B$24:$U$30,MATCH("对"&amp;LEFT($C$5,2)&amp;"输出",标准坦克设计!$B$23:$U$23,0)))*(VLOOKUP($B224,INDIRECT($B$5&amp;"生成成长"),3))*(VLOOKUP($B$5,标准坦克设计!$B$14:$K$20,9)/30))</f>
        <v>4.6069158346359629</v>
      </c>
      <c r="BS224" s="172">
        <f ca="1">(VLOOKUP(BS$72,INDIRECT($C$5&amp;"生成成长"),2))/((VLOOKUP($B224,INDIRECT($B$5&amp;"生成成长"),4))/(VLOOKUP(BS$72,INDIRECT($C$5&amp;"生成成长"),5))*(VLOOKUP($B$5,标准坦克设计!$B$24:$U$30,MATCH("对"&amp;LEFT($C$5,2)&amp;"输出",标准坦克设计!$B$23:$U$23,0)))*(VLOOKUP($B224,INDIRECT($B$5&amp;"生成成长"),3))*(VLOOKUP($B$5,标准坦克设计!$B$14:$K$20,9)/30))</f>
        <v>5.0038869866884834</v>
      </c>
      <c r="BT224" s="172">
        <f ca="1">(VLOOKUP(BT$72,INDIRECT($C$5&amp;"生成成长"),2))/((VLOOKUP($B224,INDIRECT($B$5&amp;"生成成长"),4))/(VLOOKUP(BT$72,INDIRECT($C$5&amp;"生成成长"),5))*(VLOOKUP($B$5,标准坦克设计!$B$24:$U$30,MATCH("对"&amp;LEFT($C$5,2)&amp;"输出",标准坦克设计!$B$23:$U$23,0)))*(VLOOKUP($B224,INDIRECT($B$5&amp;"生成成长"),3))*(VLOOKUP($B$5,标准坦克设计!$B$14:$K$20,9)/30))</f>
        <v>5.4172619053547457</v>
      </c>
      <c r="BU224" s="172">
        <f ca="1">(VLOOKUP(BU$72,INDIRECT($C$5&amp;"生成成长"),2))/((VLOOKUP($B224,INDIRECT($B$5&amp;"生成成长"),4))/(VLOOKUP(BU$72,INDIRECT($C$5&amp;"生成成长"),5))*(VLOOKUP($B$5,标准坦克设计!$B$24:$U$30,MATCH("对"&amp;LEFT($C$5,2)&amp;"输出",标准坦克设计!$B$23:$U$23,0)))*(VLOOKUP($B224,INDIRECT($B$5&amp;"生成成长"),3))*(VLOOKUP($B$5,标准坦克设计!$B$14:$K$20,9)/30))</f>
        <v>5.847040590634748</v>
      </c>
      <c r="BV224" s="172">
        <f ca="1">(VLOOKUP(BV$72,INDIRECT($C$5&amp;"生成成长"),2))/((VLOOKUP($B224,INDIRECT($B$5&amp;"生成成长"),4))/(VLOOKUP(BV$72,INDIRECT($C$5&amp;"生成成长"),5))*(VLOOKUP($B$5,标准坦克设计!$B$24:$U$30,MATCH("对"&amp;LEFT($C$5,2)&amp;"输出",标准坦克设计!$B$23:$U$23,0)))*(VLOOKUP($B224,INDIRECT($B$5&amp;"生成成长"),3))*(VLOOKUP($B$5,标准坦克设计!$B$14:$K$20,9)/30))</f>
        <v>6.2932230425284912</v>
      </c>
      <c r="BW224" s="172">
        <f ca="1">(VLOOKUP(BW$72,INDIRECT($C$5&amp;"生成成长"),2))/((VLOOKUP($B224,INDIRECT($B$5&amp;"生成成长"),4))/(VLOOKUP(BW$72,INDIRECT($C$5&amp;"生成成长"),5))*(VLOOKUP($B$5,标准坦克设计!$B$24:$U$30,MATCH("对"&amp;LEFT($C$5,2)&amp;"输出",标准坦克设计!$B$23:$U$23,0)))*(VLOOKUP($B224,INDIRECT($B$5&amp;"生成成长"),3))*(VLOOKUP($B$5,标准坦克设计!$B$14:$K$20,9)/30))</f>
        <v>2.8681165735794649</v>
      </c>
      <c r="BX224" s="172">
        <f ca="1">(VLOOKUP(BX$72,INDIRECT($C$5&amp;"生成成长"),2))/((VLOOKUP($B224,INDIRECT($B$5&amp;"生成成长"),4))/(VLOOKUP(BX$72,INDIRECT($C$5&amp;"生成成长"),5))*(VLOOKUP($B$5,标准坦克设计!$B$24:$U$30,MATCH("对"&amp;LEFT($C$5,2)&amp;"输出",标准坦克设计!$B$23:$U$23,0)))*(VLOOKUP($B224,INDIRECT($B$5&amp;"生成成长"),3))*(VLOOKUP($B$5,标准坦克设计!$B$14:$K$20,9)/30))</f>
        <v>3.1830688925632837</v>
      </c>
      <c r="BY224" s="172">
        <f ca="1">(VLOOKUP(BY$72,INDIRECT($C$5&amp;"生成成长"),2))/((VLOOKUP($B224,INDIRECT($B$5&amp;"生成成长"),4))/(VLOOKUP(BY$72,INDIRECT($C$5&amp;"生成成长"),5))*(VLOOKUP($B$5,标准坦克设计!$B$24:$U$30,MATCH("对"&amp;LEFT($C$5,2)&amp;"输出",标准坦克设计!$B$23:$U$23,0)))*(VLOOKUP($B224,INDIRECT($B$5&amp;"生成成长"),3))*(VLOOKUP($B$5,标准坦克设计!$B$14:$K$20,9)/30))</f>
        <v>3.5144249781608425</v>
      </c>
      <c r="BZ224" s="172">
        <f ca="1">(VLOOKUP(BZ$72,INDIRECT($C$5&amp;"生成成长"),2))/((VLOOKUP($B224,INDIRECT($B$5&amp;"生成成长"),4))/(VLOOKUP(BZ$72,INDIRECT($C$5&amp;"生成成长"),5))*(VLOOKUP($B$5,标准坦克设计!$B$24:$U$30,MATCH("对"&amp;LEFT($C$5,2)&amp;"输出",标准坦克设计!$B$23:$U$23,0)))*(VLOOKUP($B224,INDIRECT($B$5&amp;"生成成长"),3))*(VLOOKUP($B$5,标准坦克设计!$B$14:$K$20,9)/30))</f>
        <v>3.8621848303721418</v>
      </c>
      <c r="CA224" s="172">
        <f ca="1">(VLOOKUP(CA$72,INDIRECT($C$5&amp;"生成成长"),2))/((VLOOKUP($B224,INDIRECT($B$5&amp;"生成成长"),4))/(VLOOKUP(CA$72,INDIRECT($C$5&amp;"生成成长"),5))*(VLOOKUP($B$5,标准坦克设计!$B$24:$U$30,MATCH("对"&amp;LEFT($C$5,2)&amp;"输出",标准坦克设计!$B$23:$U$23,0)))*(VLOOKUP($B224,INDIRECT($B$5&amp;"生成成长"),3))*(VLOOKUP($B$5,标准坦克设计!$B$14:$K$20,9)/30))</f>
        <v>4.2263484491971814</v>
      </c>
      <c r="CB224" s="172">
        <f ca="1">(VLOOKUP(CB$72,INDIRECT($C$5&amp;"生成成长"),2))/((VLOOKUP($B224,INDIRECT($B$5&amp;"生成成长"),4))/(VLOOKUP(CB$72,INDIRECT($C$5&amp;"生成成长"),5))*(VLOOKUP($B$5,标准坦克设计!$B$24:$U$30,MATCH("对"&amp;LEFT($C$5,2)&amp;"输出",标准坦克设计!$B$23:$U$23,0)))*(VLOOKUP($B224,INDIRECT($B$5&amp;"生成成长"),3))*(VLOOKUP($B$5,标准坦克设计!$B$14:$K$20,9)/30))</f>
        <v>4.6069158346359629</v>
      </c>
      <c r="CC224" s="172">
        <f ca="1">(VLOOKUP(CC$72,INDIRECT($C$5&amp;"生成成长"),2))/((VLOOKUP($B224,INDIRECT($B$5&amp;"生成成长"),4))/(VLOOKUP(CC$72,INDIRECT($C$5&amp;"生成成长"),5))*(VLOOKUP($B$5,标准坦克设计!$B$24:$U$30,MATCH("对"&amp;LEFT($C$5,2)&amp;"输出",标准坦克设计!$B$23:$U$23,0)))*(VLOOKUP($B224,INDIRECT($B$5&amp;"生成成长"),3))*(VLOOKUP($B$5,标准坦克设计!$B$14:$K$20,9)/30))</f>
        <v>5.0038869866884834</v>
      </c>
      <c r="CD224" s="172">
        <f ca="1">(VLOOKUP(CD$72,INDIRECT($C$5&amp;"生成成长"),2))/((VLOOKUP($B224,INDIRECT($B$5&amp;"生成成长"),4))/(VLOOKUP(CD$72,INDIRECT($C$5&amp;"生成成长"),5))*(VLOOKUP($B$5,标准坦克设计!$B$24:$U$30,MATCH("对"&amp;LEFT($C$5,2)&amp;"输出",标准坦克设计!$B$23:$U$23,0)))*(VLOOKUP($B224,INDIRECT($B$5&amp;"生成成长"),3))*(VLOOKUP($B$5,标准坦克设计!$B$14:$K$20,9)/30))</f>
        <v>5.4172619053547457</v>
      </c>
      <c r="CE224" s="172">
        <f ca="1">(VLOOKUP(CE$72,INDIRECT($C$5&amp;"生成成长"),2))/((VLOOKUP($B224,INDIRECT($B$5&amp;"生成成长"),4))/(VLOOKUP(CE$72,INDIRECT($C$5&amp;"生成成长"),5))*(VLOOKUP($B$5,标准坦克设计!$B$24:$U$30,MATCH("对"&amp;LEFT($C$5,2)&amp;"输出",标准坦克设计!$B$23:$U$23,0)))*(VLOOKUP($B224,INDIRECT($B$5&amp;"生成成长"),3))*(VLOOKUP($B$5,标准坦克设计!$B$14:$K$20,9)/30))</f>
        <v>5.847040590634748</v>
      </c>
      <c r="CF224" s="172">
        <f ca="1">(VLOOKUP(CF$72,INDIRECT($C$5&amp;"生成成长"),2))/((VLOOKUP($B224,INDIRECT($B$5&amp;"生成成长"),4))/(VLOOKUP(CF$72,INDIRECT($C$5&amp;"生成成长"),5))*(VLOOKUP($B$5,标准坦克设计!$B$24:$U$30,MATCH("对"&amp;LEFT($C$5,2)&amp;"输出",标准坦克设计!$B$23:$U$23,0)))*(VLOOKUP($B224,INDIRECT($B$5&amp;"生成成长"),3))*(VLOOKUP($B$5,标准坦克设计!$B$14:$K$20,9)/30))</f>
        <v>6.2932230425284912</v>
      </c>
      <c r="CG224" s="172">
        <f ca="1">(VLOOKUP(CG$72,INDIRECT($C$5&amp;"生成成长"),2))/((VLOOKUP($B224,INDIRECT($B$5&amp;"生成成长"),4))/(VLOOKUP(CG$72,INDIRECT($C$5&amp;"生成成长"),5))*(VLOOKUP($B$5,标准坦克设计!$B$24:$U$30,MATCH("对"&amp;LEFT($C$5,2)&amp;"输出",标准坦克设计!$B$23:$U$23,0)))*(VLOOKUP($B224,INDIRECT($B$5&amp;"生成成长"),3))*(VLOOKUP($B$5,标准坦克设计!$B$14:$K$20,9)/30))</f>
        <v>6.7558092610359743</v>
      </c>
      <c r="CH224" s="172">
        <f ca="1">(VLOOKUP(CH$72,INDIRECT($C$5&amp;"生成成长"),2))/((VLOOKUP($B224,INDIRECT($B$5&amp;"生成成长"),4))/(VLOOKUP(CH$72,INDIRECT($C$5&amp;"生成成长"),5))*(VLOOKUP($B$5,标准坦克设计!$B$24:$U$30,MATCH("对"&amp;LEFT($C$5,2)&amp;"输出",标准坦克设计!$B$23:$U$23,0)))*(VLOOKUP($B224,INDIRECT($B$5&amp;"生成成长"),3))*(VLOOKUP($B$5,标准坦克设计!$B$14:$K$20,9)/30))</f>
        <v>7.2347992461571984</v>
      </c>
      <c r="CI224" s="172">
        <f ca="1">(VLOOKUP(CI$72,INDIRECT($C$5&amp;"生成成长"),2))/((VLOOKUP($B224,INDIRECT($B$5&amp;"生成成长"),4))/(VLOOKUP(CI$72,INDIRECT($C$5&amp;"生成成长"),5))*(VLOOKUP($B$5,标准坦克设计!$B$24:$U$30,MATCH("对"&amp;LEFT($C$5,2)&amp;"输出",标准坦克设计!$B$23:$U$23,0)))*(VLOOKUP($B224,INDIRECT($B$5&amp;"生成成长"),3))*(VLOOKUP($B$5,标准坦克设计!$B$14:$K$20,9)/30))</f>
        <v>7.7806345802294139</v>
      </c>
      <c r="CJ224" s="172">
        <f ca="1">(VLOOKUP(CJ$72,INDIRECT($C$5&amp;"生成成长"),2))/((VLOOKUP($B224,INDIRECT($B$5&amp;"生成成长"),4))/(VLOOKUP(CJ$72,INDIRECT($C$5&amp;"生成成长"),5))*(VLOOKUP($B$5,标准坦克设计!$B$24:$U$30,MATCH("对"&amp;LEFT($C$5,2)&amp;"输出",标准坦克设计!$B$23:$U$23,0)))*(VLOOKUP($B224,INDIRECT($B$5&amp;"生成成长"),3))*(VLOOKUP($B$5,标准坦克设计!$B$14:$K$20,9)/30))</f>
        <v>8.3463184719042545</v>
      </c>
      <c r="CK224" s="172">
        <f ca="1">(VLOOKUP(CK$72,INDIRECT($C$5&amp;"生成成长"),2))/((VLOOKUP($B224,INDIRECT($B$5&amp;"生成成长"),4))/(VLOOKUP(CK$72,INDIRECT($C$5&amp;"生成成长"),5))*(VLOOKUP($B$5,标准坦克设计!$B$24:$U$30,MATCH("对"&amp;LEFT($C$5,2)&amp;"输出",标准坦克设计!$B$23:$U$23,0)))*(VLOOKUP($B224,INDIRECT($B$5&amp;"生成成长"),3))*(VLOOKUP($B$5,标准坦克设计!$B$14:$K$20,9)/30))</f>
        <v>8.9318509211817254</v>
      </c>
      <c r="CL224" s="172">
        <f ca="1">(VLOOKUP(CL$72,INDIRECT($C$5&amp;"生成成长"),2))/((VLOOKUP($B224,INDIRECT($B$5&amp;"生成成长"),4))/(VLOOKUP(CL$72,INDIRECT($C$5&amp;"生成成长"),5))*(VLOOKUP($B$5,标准坦克设计!$B$24:$U$30,MATCH("对"&amp;LEFT($C$5,2)&amp;"输出",标准坦克设计!$B$23:$U$23,0)))*(VLOOKUP($B224,INDIRECT($B$5&amp;"生成成长"),3))*(VLOOKUP($B$5,标准坦克设计!$B$14:$K$20,9)/30))</f>
        <v>9.5372319280618196</v>
      </c>
      <c r="CM224" s="172">
        <f ca="1">(VLOOKUP(CM$72,INDIRECT($C$5&amp;"生成成长"),2))/((VLOOKUP($B224,INDIRECT($B$5&amp;"生成成长"),4))/(VLOOKUP(CM$72,INDIRECT($C$5&amp;"生成成长"),5))*(VLOOKUP($B$5,标准坦克设计!$B$24:$U$30,MATCH("对"&amp;LEFT($C$5,2)&amp;"输出",标准坦克设计!$B$23:$U$23,0)))*(VLOOKUP($B224,INDIRECT($B$5&amp;"生成成长"),3))*(VLOOKUP($B$5,标准坦克设计!$B$14:$K$20,9)/30))</f>
        <v>10.162461492544541</v>
      </c>
      <c r="CN224" s="172">
        <f ca="1">(VLOOKUP(CN$72,INDIRECT($C$5&amp;"生成成长"),2))/((VLOOKUP($B224,INDIRECT($B$5&amp;"生成成长"),4))/(VLOOKUP(CN$72,INDIRECT($C$5&amp;"生成成长"),5))*(VLOOKUP($B$5,标准坦克设计!$B$24:$U$30,MATCH("对"&amp;LEFT($C$5,2)&amp;"输出",标准坦克设计!$B$23:$U$23,0)))*(VLOOKUP($B224,INDIRECT($B$5&amp;"生成成长"),3))*(VLOOKUP($B$5,标准坦克设计!$B$14:$K$20,9)/30))</f>
        <v>10.807539614629887</v>
      </c>
      <c r="CO224" s="172">
        <f ca="1">(VLOOKUP(CO$72,INDIRECT($C$5&amp;"生成成长"),2))/((VLOOKUP($B224,INDIRECT($B$5&amp;"生成成长"),4))/(VLOOKUP(CO$72,INDIRECT($C$5&amp;"生成成长"),5))*(VLOOKUP($B$5,标准坦克设计!$B$24:$U$30,MATCH("对"&amp;LEFT($C$5,2)&amp;"输出",标准坦克设计!$B$23:$U$23,0)))*(VLOOKUP($B224,INDIRECT($B$5&amp;"生成成长"),3))*(VLOOKUP($B$5,标准坦克设计!$B$14:$K$20,9)/30))</f>
        <v>4.8431300738738265</v>
      </c>
      <c r="CP224" s="172">
        <f ca="1">(VLOOKUP(CP$72,INDIRECT($C$5&amp;"生成成长"),2))/((VLOOKUP($B224,INDIRECT($B$5&amp;"生成成长"),4))/(VLOOKUP(CP$72,INDIRECT($C$5&amp;"生成成长"),5))*(VLOOKUP($B$5,标准坦克设计!$B$24:$U$30,MATCH("对"&amp;LEFT($C$5,2)&amp;"输出",标准坦克设计!$B$23:$U$23,0)))*(VLOOKUP($B224,INDIRECT($B$5&amp;"生成成长"),3))*(VLOOKUP($B$5,标准坦克设计!$B$14:$K$20,9)/30))</f>
        <v>5.2915270342604241</v>
      </c>
      <c r="CQ224" s="172">
        <f ca="1">(VLOOKUP(CQ$72,INDIRECT($C$5&amp;"生成成长"),2))/((VLOOKUP($B224,INDIRECT($B$5&amp;"生成成长"),4))/(VLOOKUP(CQ$72,INDIRECT($C$5&amp;"生成成长"),5))*(VLOOKUP($B$5,标准坦克设计!$B$24:$U$30,MATCH("对"&amp;LEFT($C$5,2)&amp;"输出",标准坦克设计!$B$23:$U$23,0)))*(VLOOKUP($B224,INDIRECT($B$5&amp;"生成成长"),3))*(VLOOKUP($B$5,标准坦克设计!$B$14:$K$20,9)/30))</f>
        <v>5.7597725522496495</v>
      </c>
      <c r="CR224" s="172">
        <f ca="1">(VLOOKUP(CR$72,INDIRECT($C$5&amp;"生成成长"),2))/((VLOOKUP($B224,INDIRECT($B$5&amp;"生成成长"),4))/(VLOOKUP(CR$72,INDIRECT($C$5&amp;"生成成长"),5))*(VLOOKUP($B$5,标准坦克设计!$B$24:$U$30,MATCH("对"&amp;LEFT($C$5,2)&amp;"输出",标准坦克设计!$B$23:$U$23,0)))*(VLOOKUP($B224,INDIRECT($B$5&amp;"生成成长"),3))*(VLOOKUP($B$5,标准坦克设计!$B$14:$K$20,9)/30))</f>
        <v>6.247866627841498</v>
      </c>
      <c r="CS224" s="172">
        <f ca="1">(VLOOKUP(CS$72,INDIRECT($C$5&amp;"生成成长"),2))/((VLOOKUP($B224,INDIRECT($B$5&amp;"生成成长"),4))/(VLOOKUP(CS$72,INDIRECT($C$5&amp;"生成成长"),5))*(VLOOKUP($B$5,标准坦克设计!$B$24:$U$30,MATCH("对"&amp;LEFT($C$5,2)&amp;"输出",标准坦克设计!$B$23:$U$23,0)))*(VLOOKUP($B224,INDIRECT($B$5&amp;"生成成长"),3))*(VLOOKUP($B$5,标准坦克设计!$B$14:$K$20,9)/30))</f>
        <v>6.7558092610359743</v>
      </c>
      <c r="CT224" s="172">
        <f ca="1">(VLOOKUP(CT$72,INDIRECT($C$5&amp;"生成成长"),2))/((VLOOKUP($B224,INDIRECT($B$5&amp;"生成成长"),4))/(VLOOKUP(CT$72,INDIRECT($C$5&amp;"生成成长"),5))*(VLOOKUP($B$5,标准坦克设计!$B$24:$U$30,MATCH("对"&amp;LEFT($C$5,2)&amp;"输出",标准坦克设计!$B$23:$U$23,0)))*(VLOOKUP($B224,INDIRECT($B$5&amp;"生成成长"),3))*(VLOOKUP($B$5,标准坦克设计!$B$14:$K$20,9)/30))</f>
        <v>7.2836004518330748</v>
      </c>
      <c r="CU224" s="172">
        <f ca="1">(VLOOKUP(CU$72,INDIRECT($C$5&amp;"生成成长"),2))/((VLOOKUP($B224,INDIRECT($B$5&amp;"生成成长"),4))/(VLOOKUP(CU$72,INDIRECT($C$5&amp;"生成成长"),5))*(VLOOKUP($B$5,标准坦克设计!$B$24:$U$30,MATCH("对"&amp;LEFT($C$5,2)&amp;"输出",标准坦克设计!$B$23:$U$23,0)))*(VLOOKUP($B224,INDIRECT($B$5&amp;"生成成长"),3))*(VLOOKUP($B$5,标准坦克设计!$B$14:$K$20,9)/30))</f>
        <v>7.831240200232803</v>
      </c>
      <c r="CV224" s="172">
        <f ca="1">(VLOOKUP(CV$72,INDIRECT($C$5&amp;"生成成长"),2))/((VLOOKUP($B224,INDIRECT($B$5&amp;"生成成长"),4))/(VLOOKUP(CV$72,INDIRECT($C$5&amp;"生成成长"),5))*(VLOOKUP($B$5,标准坦克设计!$B$24:$U$30,MATCH("对"&amp;LEFT($C$5,2)&amp;"输出",标准坦克设计!$B$23:$U$23,0)))*(VLOOKUP($B224,INDIRECT($B$5&amp;"生成成长"),3))*(VLOOKUP($B$5,标准坦克设计!$B$14:$K$20,9)/30))</f>
        <v>8.3987285062351589</v>
      </c>
      <c r="CW224" s="172">
        <f ca="1">(VLOOKUP(CW$72,INDIRECT($C$5&amp;"生成成长"),2))/((VLOOKUP($B224,INDIRECT($B$5&amp;"生成成长"),4))/(VLOOKUP(CW$72,INDIRECT($C$5&amp;"生成成长"),5))*(VLOOKUP($B$5,标准坦克设计!$B$24:$U$30,MATCH("对"&amp;LEFT($C$5,2)&amp;"输出",标准坦克设计!$B$23:$U$23,0)))*(VLOOKUP($B224,INDIRECT($B$5&amp;"生成成长"),3))*(VLOOKUP($B$5,标准坦克设计!$B$14:$K$20,9)/30))</f>
        <v>8.9860653698401389</v>
      </c>
      <c r="CX224" s="172">
        <f ca="1">(VLOOKUP(CX$72,INDIRECT($C$5&amp;"生成成长"),2))/((VLOOKUP($B224,INDIRECT($B$5&amp;"生成成长"),4))/(VLOOKUP(CX$72,INDIRECT($C$5&amp;"生成成长"),5))*(VLOOKUP($B$5,标准坦克设计!$B$24:$U$30,MATCH("对"&amp;LEFT($C$5,2)&amp;"输出",标准坦克设计!$B$23:$U$23,0)))*(VLOOKUP($B224,INDIRECT($B$5&amp;"生成成长"),3))*(VLOOKUP($B$5,标准坦克设计!$B$14:$K$20,9)/30))</f>
        <v>9.593250791047744</v>
      </c>
      <c r="CY224" s="172">
        <f ca="1">(VLOOKUP(CY$72,INDIRECT($C$5&amp;"生成成长"),2))/((VLOOKUP($B224,INDIRECT($B$5&amp;"生成成长"),4))/(VLOOKUP(CY$72,INDIRECT($C$5&amp;"生成成长"),5))*(VLOOKUP($B$5,标准坦克设计!$B$24:$U$30,MATCH("对"&amp;LEFT($C$5,2)&amp;"输出",标准坦克设计!$B$23:$U$23,0)))*(VLOOKUP($B224,INDIRECT($B$5&amp;"生成成长"),3))*(VLOOKUP($B$5,标准坦克设计!$B$14:$K$20,9)/30))</f>
        <v>10.220284769857978</v>
      </c>
      <c r="CZ224" s="172">
        <f ca="1">(VLOOKUP(CZ$72,INDIRECT($C$5&amp;"生成成长"),2))/((VLOOKUP($B224,INDIRECT($B$5&amp;"生成成长"),4))/(VLOOKUP(CZ$72,INDIRECT($C$5&amp;"生成成长"),5))*(VLOOKUP($B$5,标准坦克设计!$B$24:$U$30,MATCH("对"&amp;LEFT($C$5,2)&amp;"输出",标准坦克设计!$B$23:$U$23,0)))*(VLOOKUP($B224,INDIRECT($B$5&amp;"生成成长"),3))*(VLOOKUP($B$5,标准坦克设计!$B$14:$K$20,9)/30))</f>
        <v>10.867167306270835</v>
      </c>
      <c r="DA224" s="172">
        <f ca="1">(VLOOKUP(DA$72,INDIRECT($C$5&amp;"生成成长"),2))/((VLOOKUP($B224,INDIRECT($B$5&amp;"生成成长"),4))/(VLOOKUP(DA$72,INDIRECT($C$5&amp;"生成成长"),5))*(VLOOKUP($B$5,标准坦克设计!$B$24:$U$30,MATCH("对"&amp;LEFT($C$5,2)&amp;"输出",标准坦克设计!$B$23:$U$23,0)))*(VLOOKUP($B224,INDIRECT($B$5&amp;"生成成长"),3))*(VLOOKUP($B$5,标准坦克设计!$B$14:$K$20,9)/30))</f>
        <v>11.53389840028632</v>
      </c>
      <c r="DB224" s="172">
        <f ca="1">(VLOOKUP(DB$72,INDIRECT($C$5&amp;"生成成长"),2))/((VLOOKUP($B224,INDIRECT($B$5&amp;"生成成长"),4))/(VLOOKUP(DB$72,INDIRECT($C$5&amp;"生成成长"),5))*(VLOOKUP($B$5,标准坦克设计!$B$24:$U$30,MATCH("对"&amp;LEFT($C$5,2)&amp;"输出",标准坦克设计!$B$23:$U$23,0)))*(VLOOKUP($B224,INDIRECT($B$5&amp;"生成成长"),3))*(VLOOKUP($B$5,标准坦克设计!$B$14:$K$20,9)/30))</f>
        <v>12.220478051904431</v>
      </c>
      <c r="DC224" s="172">
        <f ca="1">(VLOOKUP(DC$72,INDIRECT($C$5&amp;"生成成长"),2))/((VLOOKUP($B224,INDIRECT($B$5&amp;"生成成长"),4))/(VLOOKUP(DC$72,INDIRECT($C$5&amp;"生成成长"),5))*(VLOOKUP($B$5,标准坦克设计!$B$24:$U$30,MATCH("对"&amp;LEFT($C$5,2)&amp;"输出",标准坦克设计!$B$23:$U$23,0)))*(VLOOKUP($B224,INDIRECT($B$5&amp;"生成成长"),3))*(VLOOKUP($B$5,标准坦克设计!$B$14:$K$20,9)/30))</f>
        <v>12.992111233414786</v>
      </c>
      <c r="DD224" s="172">
        <f ca="1">(VLOOKUP(DD$72,INDIRECT($C$5&amp;"生成成长"),2))/((VLOOKUP($B224,INDIRECT($B$5&amp;"生成成长"),4))/(VLOOKUP(DD$72,INDIRECT($C$5&amp;"生成成长"),5))*(VLOOKUP($B$5,标准坦克设计!$B$24:$U$30,MATCH("对"&amp;LEFT($C$5,2)&amp;"输出",标准坦克设计!$B$23:$U$23,0)))*(VLOOKUP($B224,INDIRECT($B$5&amp;"生成成长"),3))*(VLOOKUP($B$5,标准坦克设计!$B$14:$K$20,9)/30))</f>
        <v>13.787365838848928</v>
      </c>
      <c r="DE224" s="172">
        <f ca="1">(VLOOKUP(DE$72,INDIRECT($C$5&amp;"生成成长"),2))/((VLOOKUP($B224,INDIRECT($B$5&amp;"生成成长"),4))/(VLOOKUP(DE$72,INDIRECT($C$5&amp;"生成成长"),5))*(VLOOKUP($B$5,标准坦克设计!$B$24:$U$30,MATCH("对"&amp;LEFT($C$5,2)&amp;"输出",标准坦克设计!$B$23:$U$23,0)))*(VLOOKUP($B224,INDIRECT($B$5&amp;"生成成长"),3))*(VLOOKUP($B$5,标准坦克设计!$B$14:$K$20,9)/30))</f>
        <v>14.606241868206853</v>
      </c>
      <c r="DF224" s="172">
        <f ca="1">(VLOOKUP(DF$72,INDIRECT($C$5&amp;"生成成长"),2))/((VLOOKUP($B224,INDIRECT($B$5&amp;"生成成长"),4))/(VLOOKUP(DF$72,INDIRECT($C$5&amp;"生成成长"),5))*(VLOOKUP($B$5,标准坦克设计!$B$24:$U$30,MATCH("对"&amp;LEFT($C$5,2)&amp;"输出",标准坦克设计!$B$23:$U$23,0)))*(VLOOKUP($B224,INDIRECT($B$5&amp;"生成成长"),3))*(VLOOKUP($B$5,标准坦克设计!$B$14:$K$20,9)/30))</f>
        <v>15.448739321488567</v>
      </c>
      <c r="DG224" s="172">
        <f ca="1">(VLOOKUP(DG$72,INDIRECT($C$5&amp;"生成成长"),2))/((VLOOKUP($B224,INDIRECT($B$5&amp;"生成成长"),4))/(VLOOKUP(DG$72,INDIRECT($C$5&amp;"生成成长"),5))*(VLOOKUP($B$5,标准坦克设计!$B$24:$U$30,MATCH("对"&amp;LEFT($C$5,2)&amp;"输出",标准坦克设计!$B$23:$U$23,0)))*(VLOOKUP($B224,INDIRECT($B$5&amp;"生成成长"),3))*(VLOOKUP($B$5,标准坦克设计!$B$14:$K$20,9)/30))</f>
        <v>16.314858198694072</v>
      </c>
      <c r="DH224" s="172">
        <f ca="1">(VLOOKUP(DH$72,INDIRECT($C$5&amp;"生成成长"),2))/((VLOOKUP($B224,INDIRECT($B$5&amp;"生成成长"),4))/(VLOOKUP(DH$72,INDIRECT($C$5&amp;"生成成长"),5))*(VLOOKUP($B$5,标准坦克设计!$B$24:$U$30,MATCH("对"&amp;LEFT($C$5,2)&amp;"输出",标准坦克设计!$B$23:$U$23,0)))*(VLOOKUP($B224,INDIRECT($B$5&amp;"生成成长"),3))*(VLOOKUP($B$5,标准坦克设计!$B$14:$K$20,9)/30))</f>
        <v>17.204598499823355</v>
      </c>
      <c r="DI224" s="172">
        <f ca="1">(VLOOKUP(DI$72,INDIRECT($C$5&amp;"生成成长"),2))/((VLOOKUP($B224,INDIRECT($B$5&amp;"生成成长"),4))/(VLOOKUP(DI$72,INDIRECT($C$5&amp;"生成成长"),5))*(VLOOKUP($B$5,标准坦克设计!$B$24:$U$30,MATCH("对"&amp;LEFT($C$5,2)&amp;"输出",标准坦克设计!$B$23:$U$23,0)))*(VLOOKUP($B224,INDIRECT($B$5&amp;"生成成长"),3))*(VLOOKUP($B$5,标准坦克设计!$B$14:$K$20,9)/30))</f>
        <v>18.11796022487643</v>
      </c>
      <c r="DJ224" s="172">
        <f ca="1">(VLOOKUP(DJ$72,INDIRECT($C$5&amp;"生成成长"),2))/((VLOOKUP($B224,INDIRECT($B$5&amp;"生成成长"),4))/(VLOOKUP(DJ$72,INDIRECT($C$5&amp;"生成成长"),5))*(VLOOKUP($B$5,标准坦克设计!$B$24:$U$30,MATCH("对"&amp;LEFT($C$5,2)&amp;"输出",标准坦克设计!$B$23:$U$23,0)))*(VLOOKUP($B224,INDIRECT($B$5&amp;"生成成长"),3))*(VLOOKUP($B$5,标准坦克设计!$B$14:$K$20,9)/30))</f>
        <v>1.8209001129582687</v>
      </c>
      <c r="DK224" s="172">
        <f ca="1">(VLOOKUP(DK$72,INDIRECT($C$5&amp;"生成成长"),2))/((VLOOKUP($B224,INDIRECT($B$5&amp;"生成成长"),4))/(VLOOKUP(DK$72,INDIRECT($C$5&amp;"生成成长"),5))*(VLOOKUP($B$5,标准坦克设计!$B$24:$U$30,MATCH("对"&amp;LEFT($C$5,2)&amp;"输出",标准坦克设计!$B$23:$U$23,0)))*(VLOOKUP($B224,INDIRECT($B$5&amp;"生成成长"),3))*(VLOOKUP($B$5,标准坦克设计!$B$14:$K$20,9)/30))</f>
        <v>2.0475181487270948</v>
      </c>
      <c r="DL224" s="172">
        <f ca="1">(VLOOKUP(DL$72,INDIRECT($C$5&amp;"生成成长"),2))/((VLOOKUP($B224,INDIRECT($B$5&amp;"生成成长"),4))/(VLOOKUP(DL$72,INDIRECT($C$5&amp;"生成成长"),5))*(VLOOKUP($B$5,标准坦克设计!$B$24:$U$30,MATCH("对"&amp;LEFT($C$5,2)&amp;"输出",标准坦克设计!$B$23:$U$23,0)))*(VLOOKUP($B224,INDIRECT($B$5&amp;"生成成长"),3))*(VLOOKUP($B$5,标准坦克设计!$B$14:$K$20,9)/30))</f>
        <v>2.2874232354530499</v>
      </c>
      <c r="DM224" s="172">
        <f ca="1">(VLOOKUP(DM$72,INDIRECT($C$5&amp;"生成成长"),2))/((VLOOKUP($B224,INDIRECT($B$5&amp;"生成成长"),4))/(VLOOKUP(DM$72,INDIRECT($C$5&amp;"生成成长"),5))*(VLOOKUP($B$5,标准坦克设计!$B$24:$U$30,MATCH("对"&amp;LEFT($C$5,2)&amp;"输出",标准坦克设计!$B$23:$U$23,0)))*(VLOOKUP($B224,INDIRECT($B$5&amp;"生成成长"),3))*(VLOOKUP($B$5,标准坦克设计!$B$14:$K$20,9)/30))</f>
        <v>2.5406153731361352</v>
      </c>
      <c r="DN224" s="172">
        <f ca="1">(VLOOKUP(DN$72,INDIRECT($C$5&amp;"生成成长"),2))/((VLOOKUP($B224,INDIRECT($B$5&amp;"生成成长"),4))/(VLOOKUP(DN$72,INDIRECT($C$5&amp;"生成成长"),5))*(VLOOKUP($B$5,标准坦克设计!$B$24:$U$30,MATCH("对"&amp;LEFT($C$5,2)&amp;"输出",标准坦克设计!$B$23:$U$23,0)))*(VLOOKUP($B224,INDIRECT($B$5&amp;"生成成长"),3))*(VLOOKUP($B$5,标准坦克设计!$B$14:$K$20,9)/30))</f>
        <v>2.807094561776351</v>
      </c>
      <c r="DO224" s="172">
        <f ca="1">(VLOOKUP(DO$72,INDIRECT($C$5&amp;"生成成长"),2))/((VLOOKUP($B224,INDIRECT($B$5&amp;"生成成长"),4))/(VLOOKUP(DO$72,INDIRECT($C$5&amp;"生成成长"),5))*(VLOOKUP($B$5,标准坦克设计!$B$24:$U$30,MATCH("对"&amp;LEFT($C$5,2)&amp;"输出",标准坦克设计!$B$23:$U$23,0)))*(VLOOKUP($B224,INDIRECT($B$5&amp;"生成成长"),3))*(VLOOKUP($B$5,标准坦克设计!$B$14:$K$20,9)/30))</f>
        <v>3.086860801373696</v>
      </c>
      <c r="DP224" s="172">
        <f ca="1">(VLOOKUP(DP$72,INDIRECT($C$5&amp;"生成成长"),2))/((VLOOKUP($B224,INDIRECT($B$5&amp;"生成成长"),4))/(VLOOKUP(DP$72,INDIRECT($C$5&amp;"生成成长"),5))*(VLOOKUP($B$5,标准坦克设计!$B$24:$U$30,MATCH("对"&amp;LEFT($C$5,2)&amp;"输出",标准坦克设计!$B$23:$U$23,0)))*(VLOOKUP($B224,INDIRECT($B$5&amp;"生成成长"),3))*(VLOOKUP($B$5,标准坦克设计!$B$14:$K$20,9)/30))</f>
        <v>3.3799140919281707</v>
      </c>
      <c r="DQ224" s="172">
        <f ca="1">(VLOOKUP(DQ$72,INDIRECT($C$5&amp;"生成成长"),2))/((VLOOKUP($B224,INDIRECT($B$5&amp;"生成成长"),4))/(VLOOKUP(DQ$72,INDIRECT($C$5&amp;"生成成长"),5))*(VLOOKUP($B$5,标准坦克设计!$B$24:$U$30,MATCH("对"&amp;LEFT($C$5,2)&amp;"输出",标准坦克设计!$B$23:$U$23,0)))*(VLOOKUP($B224,INDIRECT($B$5&amp;"生成成长"),3))*(VLOOKUP($B$5,标准坦克设计!$B$14:$K$20,9)/30))</f>
        <v>3.6862544334397751</v>
      </c>
      <c r="DR224" s="172">
        <f ca="1">(VLOOKUP(DR$72,INDIRECT($C$5&amp;"生成成长"),2))/((VLOOKUP($B224,INDIRECT($B$5&amp;"生成成长"),4))/(VLOOKUP(DR$72,INDIRECT($C$5&amp;"生成成长"),5))*(VLOOKUP($B$5,标准坦克设计!$B$24:$U$30,MATCH("对"&amp;LEFT($C$5,2)&amp;"输出",标准坦克设计!$B$23:$U$23,0)))*(VLOOKUP($B224,INDIRECT($B$5&amp;"生成成长"),3))*(VLOOKUP($B$5,标准坦克设计!$B$14:$K$20,9)/30))</f>
        <v>4.0058818259085092</v>
      </c>
      <c r="DS224" s="172">
        <f ca="1">(VLOOKUP(DS$72,INDIRECT($C$5&amp;"生成成长"),2))/((VLOOKUP($B224,INDIRECT($B$5&amp;"生成成长"),4))/(VLOOKUP(DS$72,INDIRECT($C$5&amp;"生成成长"),5))*(VLOOKUP($B$5,标准坦克设计!$B$24:$U$30,MATCH("对"&amp;LEFT($C$5,2)&amp;"输出",标准坦克设计!$B$23:$U$23,0)))*(VLOOKUP($B224,INDIRECT($B$5&amp;"生成成长"),3))*(VLOOKUP($B$5,标准坦克设计!$B$14:$K$20,9)/30))</f>
        <v>4.3387962693343738</v>
      </c>
      <c r="DT224" s="172">
        <f ca="1">(VLOOKUP(DT$72,INDIRECT($C$5&amp;"生成成长"),2))/((VLOOKUP($B224,INDIRECT($B$5&amp;"生成成长"),4))/(VLOOKUP(DT$72,INDIRECT($C$5&amp;"生成成长"),5))*(VLOOKUP($B$5,标准坦克设计!$B$24:$U$30,MATCH("对"&amp;LEFT($C$5,2)&amp;"输出",标准坦克设计!$B$23:$U$23,0)))*(VLOOKUP($B224,INDIRECT($B$5&amp;"生成成长"),3))*(VLOOKUP($B$5,标准坦克设计!$B$14:$K$20,9)/30))</f>
        <v>4.7637358434633219</v>
      </c>
      <c r="DU224" s="172">
        <f ca="1">(VLOOKUP(DU$72,INDIRECT($C$5&amp;"生成成长"),2))/((VLOOKUP($B224,INDIRECT($B$5&amp;"生成成长"),4))/(VLOOKUP(DU$72,INDIRECT($C$5&amp;"生成成长"),5))*(VLOOKUP($B$5,标准坦克设计!$B$24:$U$30,MATCH("对"&amp;LEFT($C$5,2)&amp;"输出",标准坦克设计!$B$23:$U$23,0)))*(VLOOKUP($B224,INDIRECT($B$5&amp;"生成成长"),3))*(VLOOKUP($B$5,标准坦克设计!$B$14:$K$20,9)/30))</f>
        <v>5.2085239751948968</v>
      </c>
      <c r="DV224" s="172">
        <f ca="1">(VLOOKUP(DV$72,INDIRECT($C$5&amp;"生成成长"),2))/((VLOOKUP($B224,INDIRECT($B$5&amp;"生成成长"),4))/(VLOOKUP(DV$72,INDIRECT($C$5&amp;"生成成长"),5))*(VLOOKUP($B$5,标准坦克设计!$B$24:$U$30,MATCH("对"&amp;LEFT($C$5,2)&amp;"输出",标准坦克设计!$B$23:$U$23,0)))*(VLOOKUP($B224,INDIRECT($B$5&amp;"生成成长"),3))*(VLOOKUP($B$5,标准坦克设计!$B$14:$K$20,9)/30))</f>
        <v>5.6731606645290977</v>
      </c>
      <c r="DW224" s="172">
        <f ca="1">(VLOOKUP(DW$72,INDIRECT($C$5&amp;"生成成长"),2))/((VLOOKUP($B224,INDIRECT($B$5&amp;"生成成长"),4))/(VLOOKUP(DW$72,INDIRECT($C$5&amp;"生成成长"),5))*(VLOOKUP($B$5,标准坦克设计!$B$24:$U$30,MATCH("对"&amp;LEFT($C$5,2)&amp;"输出",标准坦克设计!$B$23:$U$23,0)))*(VLOOKUP($B224,INDIRECT($B$5&amp;"生成成长"),3))*(VLOOKUP($B$5,标准坦克设计!$B$14:$K$20,9)/30))</f>
        <v>6.1576459114659245</v>
      </c>
      <c r="DX224" s="172">
        <f ca="1">(VLOOKUP(DX$72,INDIRECT($C$5&amp;"生成成长"),2))/((VLOOKUP($B224,INDIRECT($B$5&amp;"生成成长"),4))/(VLOOKUP(DX$72,INDIRECT($C$5&amp;"生成成长"),5))*(VLOOKUP($B$5,标准坦克设计!$B$24:$U$30,MATCH("对"&amp;LEFT($C$5,2)&amp;"输出",标准坦克设计!$B$23:$U$23,0)))*(VLOOKUP($B224,INDIRECT($B$5&amp;"生成成长"),3))*(VLOOKUP($B$5,标准坦克设计!$B$14:$K$20,9)/30))</f>
        <v>6.6619797160053773</v>
      </c>
      <c r="DY224" s="172">
        <f ca="1">(VLOOKUP(DY$72,INDIRECT($C$5&amp;"生成成长"),2))/((VLOOKUP($B224,INDIRECT($B$5&amp;"生成成长"),4))/(VLOOKUP(DY$72,INDIRECT($C$5&amp;"生成成长"),5))*(VLOOKUP($B$5,标准坦克设计!$B$24:$U$30,MATCH("对"&amp;LEFT($C$5,2)&amp;"输出",标准坦克设计!$B$23:$U$23,0)))*(VLOOKUP($B224,INDIRECT($B$5&amp;"生成成长"),3))*(VLOOKUP($B$5,标准坦克设计!$B$14:$K$20,9)/30))</f>
        <v>2.992129049179344</v>
      </c>
      <c r="DZ224" s="172">
        <f ca="1">(VLOOKUP(DZ$72,INDIRECT($C$5&amp;"生成成长"),2))/((VLOOKUP($B224,INDIRECT($B$5&amp;"生成成长"),4))/(VLOOKUP(DZ$72,INDIRECT($C$5&amp;"生成成长"),5))*(VLOOKUP($B$5,标准坦克设计!$B$24:$U$30,MATCH("对"&amp;LEFT($C$5,2)&amp;"输出",标准坦克设计!$B$23:$U$23,0)))*(VLOOKUP($B224,INDIRECT($B$5&amp;"生成成长"),3))*(VLOOKUP($B$5,标准坦克设计!$B$14:$K$20,9)/30))</f>
        <v>3.3136428748086582</v>
      </c>
      <c r="EA224" s="172">
        <f ca="1">(VLOOKUP(EA$72,INDIRECT($C$5&amp;"生成成长"),2))/((VLOOKUP($B224,INDIRECT($B$5&amp;"生成成长"),4))/(VLOOKUP(EA$72,INDIRECT($C$5&amp;"生成成长"),5))*(VLOOKUP($B$5,标准坦克设计!$B$24:$U$30,MATCH("对"&amp;LEFT($C$5,2)&amp;"输出",标准坦克设计!$B$23:$U$23,0)))*(VLOOKUP($B224,INDIRECT($B$5&amp;"生成成长"),3))*(VLOOKUP($B$5,标准坦克设计!$B$14:$K$20,9)/30))</f>
        <v>3.6515604670517132</v>
      </c>
      <c r="EB224" s="172">
        <f ca="1">(VLOOKUP(EB$72,INDIRECT($C$5&amp;"生成成长"),2))/((VLOOKUP($B224,INDIRECT($B$5&amp;"生成成长"),4))/(VLOOKUP(EB$72,INDIRECT($C$5&amp;"生成成长"),5))*(VLOOKUP($B$5,标准坦克设计!$B$24:$U$30,MATCH("对"&amp;LEFT($C$5,2)&amp;"输出",标准坦克设计!$B$23:$U$23,0)))*(VLOOKUP($B224,INDIRECT($B$5&amp;"生成成长"),3))*(VLOOKUP($B$5,标准坦克设计!$B$14:$K$20,9)/30))</f>
        <v>4.0058818259085092</v>
      </c>
      <c r="EC224" s="172">
        <f ca="1">(VLOOKUP(EC$72,INDIRECT($C$5&amp;"生成成长"),2))/((VLOOKUP($B224,INDIRECT($B$5&amp;"生成成长"),4))/(VLOOKUP(EC$72,INDIRECT($C$5&amp;"生成成长"),5))*(VLOOKUP($B$5,标准坦克设计!$B$24:$U$30,MATCH("对"&amp;LEFT($C$5,2)&amp;"输出",标准坦克设计!$B$23:$U$23,0)))*(VLOOKUP($B224,INDIRECT($B$5&amp;"生成成长"),3))*(VLOOKUP($B$5,标准坦克设计!$B$14:$K$20,9)/30))</f>
        <v>4.3766069513790455</v>
      </c>
      <c r="ED224" s="172">
        <f ca="1">(VLOOKUP(ED$72,INDIRECT($C$5&amp;"生成成长"),2))/((VLOOKUP($B224,INDIRECT($B$5&amp;"生成成长"),4))/(VLOOKUP(ED$72,INDIRECT($C$5&amp;"生成成长"),5))*(VLOOKUP($B$5,标准坦克设计!$B$24:$U$30,MATCH("对"&amp;LEFT($C$5,2)&amp;"输出",标准坦克设计!$B$23:$U$23,0)))*(VLOOKUP($B224,INDIRECT($B$5&amp;"生成成长"),3))*(VLOOKUP($B$5,标准坦克设计!$B$14:$K$20,9)/30))</f>
        <v>4.7637358434633219</v>
      </c>
      <c r="EE224" s="172">
        <f ca="1">(VLOOKUP(EE$72,INDIRECT($C$5&amp;"生成成长"),2))/((VLOOKUP($B224,INDIRECT($B$5&amp;"生成成长"),4))/(VLOOKUP(EE$72,INDIRECT($C$5&amp;"生成成长"),5))*(VLOOKUP($B$5,标准坦克设计!$B$24:$U$30,MATCH("对"&amp;LEFT($C$5,2)&amp;"输出",标准坦克设计!$B$23:$U$23,0)))*(VLOOKUP($B224,INDIRECT($B$5&amp;"生成成长"),3))*(VLOOKUP($B$5,标准坦克设计!$B$14:$K$20,9)/30))</f>
        <v>5.1672685021613409</v>
      </c>
      <c r="EF224" s="172">
        <f ca="1">(VLOOKUP(EF$72,INDIRECT($C$5&amp;"生成成长"),2))/((VLOOKUP($B224,INDIRECT($B$5&amp;"生成成长"),4))/(VLOOKUP(EF$72,INDIRECT($C$5&amp;"生成成长"),5))*(VLOOKUP($B$5,标准坦克设计!$B$24:$U$30,MATCH("对"&amp;LEFT($C$5,2)&amp;"输出",标准坦克设计!$B$23:$U$23,0)))*(VLOOKUP($B224,INDIRECT($B$5&amp;"生成成长"),3))*(VLOOKUP($B$5,标准坦克设计!$B$14:$K$20,9)/30))</f>
        <v>5.5872049274730973</v>
      </c>
      <c r="EG224" s="172">
        <f ca="1">(VLOOKUP(EG$72,INDIRECT($C$5&amp;"生成成长"),2))/((VLOOKUP($B224,INDIRECT($B$5&amp;"生成成长"),4))/(VLOOKUP(EG$72,INDIRECT($C$5&amp;"生成成长"),5))*(VLOOKUP($B$5,标准坦克设计!$B$24:$U$30,MATCH("对"&amp;LEFT($C$5,2)&amp;"输出",标准坦克设计!$B$23:$U$23,0)))*(VLOOKUP($B224,INDIRECT($B$5&amp;"生成成长"),3))*(VLOOKUP($B$5,标准坦克设计!$B$14:$K$20,9)/30))</f>
        <v>6.0235451193985963</v>
      </c>
      <c r="EH224" s="172">
        <f ca="1">(VLOOKUP(EH$72,INDIRECT($C$5&amp;"生成成长"),2))/((VLOOKUP($B224,INDIRECT($B$5&amp;"生成成长"),4))/(VLOOKUP(EH$72,INDIRECT($C$5&amp;"生成成长"),5))*(VLOOKUP($B$5,标准坦克设计!$B$24:$U$30,MATCH("对"&amp;LEFT($C$5,2)&amp;"输出",标准坦克设计!$B$23:$U$23,0)))*(VLOOKUP($B224,INDIRECT($B$5&amp;"生成成长"),3))*(VLOOKUP($B$5,标准坦克设计!$B$14:$K$20,9)/30))</f>
        <v>6.4762890779378361</v>
      </c>
      <c r="EI224" s="172">
        <f ca="1">(VLOOKUP(EI$72,INDIRECT($C$5&amp;"生成成长"),2))/((VLOOKUP($B224,INDIRECT($B$5&amp;"生成成长"),4))/(VLOOKUP(EI$72,INDIRECT($C$5&amp;"生成成长"),5))*(VLOOKUP($B$5,标准坦克设计!$B$24:$U$30,MATCH("对"&amp;LEFT($C$5,2)&amp;"输出",标准坦克设计!$B$23:$U$23,0)))*(VLOOKUP($B224,INDIRECT($B$5&amp;"生成成长"),3))*(VLOOKUP($B$5,标准坦克设计!$B$14:$K$20,9)/30))</f>
        <v>6.9454368030908142</v>
      </c>
      <c r="EJ224" s="172">
        <f ca="1">(VLOOKUP(EJ$72,INDIRECT($C$5&amp;"生成成长"),2))/((VLOOKUP($B224,INDIRECT($B$5&amp;"生成成长"),4))/(VLOOKUP(EJ$72,INDIRECT($C$5&amp;"生成成长"),5))*(VLOOKUP($B$5,标准坦克设计!$B$24:$U$30,MATCH("对"&amp;LEFT($C$5,2)&amp;"输出",标准坦克设计!$B$23:$U$23,0)))*(VLOOKUP($B224,INDIRECT($B$5&amp;"生成成长"),3))*(VLOOKUP($B$5,标准坦克设计!$B$14:$K$20,9)/30))</f>
        <v>7.4309882948575332</v>
      </c>
      <c r="EK224" s="172">
        <f ca="1">(VLOOKUP(EK$72,INDIRECT($C$5&amp;"生成成长"),2))/((VLOOKUP($B224,INDIRECT($B$5&amp;"生成成长"),4))/(VLOOKUP(EK$72,INDIRECT($C$5&amp;"生成成长"),5))*(VLOOKUP($B$5,标准坦克设计!$B$24:$U$30,MATCH("对"&amp;LEFT($C$5,2)&amp;"输出",标准坦克设计!$B$23:$U$23,0)))*(VLOOKUP($B224,INDIRECT($B$5&amp;"生成成长"),3))*(VLOOKUP($B$5,标准坦克设计!$B$14:$K$20,9)/30))</f>
        <v>8.0353030569077362</v>
      </c>
      <c r="EL224" s="172">
        <f ca="1">(VLOOKUP(EL$72,INDIRECT($C$5&amp;"生成成长"),2))/((VLOOKUP($B224,INDIRECT($B$5&amp;"生成成长"),4))/(VLOOKUP(EL$72,INDIRECT($C$5&amp;"生成成长"),5))*(VLOOKUP($B$5,标准坦克设计!$B$24:$U$30,MATCH("对"&amp;LEFT($C$5,2)&amp;"输出",标准坦克设计!$B$23:$U$23,0)))*(VLOOKUP($B224,INDIRECT($B$5&amp;"生成成长"),3))*(VLOOKUP($B$5,标准坦克设计!$B$14:$K$20,9)/30))</f>
        <v>8.6632392428817244</v>
      </c>
      <c r="EM224" s="172">
        <f ca="1">(VLOOKUP(EM$72,INDIRECT($C$5&amp;"生成成长"),2))/((VLOOKUP($B224,INDIRECT($B$5&amp;"生成成长"),4))/(VLOOKUP(EM$72,INDIRECT($C$5&amp;"生成成长"),5))*(VLOOKUP($B$5,标准坦克设计!$B$24:$U$30,MATCH("对"&amp;LEFT($C$5,2)&amp;"输出",标准坦克设计!$B$23:$U$23,0)))*(VLOOKUP($B224,INDIRECT($B$5&amp;"生成成长"),3))*(VLOOKUP($B$5,标准坦克设计!$B$14:$K$20,9)/30))</f>
        <v>9.3147968527794998</v>
      </c>
      <c r="EN224" s="172">
        <f ca="1">(VLOOKUP(EN$72,INDIRECT($C$5&amp;"生成成长"),2))/((VLOOKUP($B224,INDIRECT($B$5&amp;"生成成长"),4))/(VLOOKUP(EN$72,INDIRECT($C$5&amp;"生成成长"),5))*(VLOOKUP($B$5,标准坦克设计!$B$24:$U$30,MATCH("对"&amp;LEFT($C$5,2)&amp;"输出",标准坦克设计!$B$23:$U$23,0)))*(VLOOKUP($B224,INDIRECT($B$5&amp;"生成成长"),3))*(VLOOKUP($B$5,标准坦克设计!$B$14:$K$20,9)/30))</f>
        <v>9.9899758866010604</v>
      </c>
      <c r="EO224" s="172">
        <f ca="1">(VLOOKUP(EO$72,INDIRECT($C$5&amp;"生成成长"),2))/((VLOOKUP($B224,INDIRECT($B$5&amp;"生成成长"),4))/(VLOOKUP(EO$72,INDIRECT($C$5&amp;"生成成长"),5))*(VLOOKUP($B$5,标准坦克设计!$B$24:$U$30,MATCH("对"&amp;LEFT($C$5,2)&amp;"输出",标准坦克设计!$B$23:$U$23,0)))*(VLOOKUP($B224,INDIRECT($B$5&amp;"生成成长"),3))*(VLOOKUP($B$5,标准坦克设计!$B$14:$K$20,9)/30))</f>
        <v>10.688776344346406</v>
      </c>
      <c r="EP224" s="172">
        <f ca="1">(VLOOKUP(EP$72,INDIRECT($C$5&amp;"生成成长"),2))/((VLOOKUP($B224,INDIRECT($B$5&amp;"生成成长"),4))/(VLOOKUP(EP$72,INDIRECT($C$5&amp;"生成成长"),5))*(VLOOKUP($B$5,标准坦克设计!$B$24:$U$30,MATCH("对"&amp;LEFT($C$5,2)&amp;"输出",标准坦克设计!$B$23:$U$23,0)))*(VLOOKUP($B224,INDIRECT($B$5&amp;"生成成长"),3))*(VLOOKUP($B$5,标准坦克设计!$B$14:$K$20,9)/30))</f>
        <v>11.411198226015539</v>
      </c>
      <c r="EQ224" s="172">
        <f ca="1">(VLOOKUP(EQ$72,INDIRECT($C$5&amp;"生成成长"),2))/((VLOOKUP($B224,INDIRECT($B$5&amp;"生成成长"),4))/(VLOOKUP(EQ$72,INDIRECT($C$5&amp;"生成成长"),5))*(VLOOKUP($B$5,标准坦克设计!$B$24:$U$30,MATCH("对"&amp;LEFT($C$5,2)&amp;"输出",标准坦克设计!$B$23:$U$23,0)))*(VLOOKUP($B224,INDIRECT($B$5&amp;"生成成长"),3))*(VLOOKUP($B$5,标准坦克设计!$B$14:$K$20,9)/30))</f>
        <v>5.0444863090574916</v>
      </c>
      <c r="ER224" s="172">
        <f ca="1">(VLOOKUP(ER$72,INDIRECT($C$5&amp;"生成成长"),2))/((VLOOKUP($B224,INDIRECT($B$5&amp;"生成成长"),4))/(VLOOKUP(ER$72,INDIRECT($C$5&amp;"生成成长"),5))*(VLOOKUP($B$5,标准坦克设计!$B$24:$U$30,MATCH("对"&amp;LEFT($C$5,2)&amp;"输出",标准坦克设计!$B$23:$U$23,0)))*(VLOOKUP($B224,INDIRECT($B$5&amp;"生成成长"),3))*(VLOOKUP($B$5,标准坦克设计!$B$14:$K$20,9)/30))</f>
        <v>5.5019053410816472</v>
      </c>
      <c r="ES224" s="172">
        <f ca="1">(VLOOKUP(ES$72,INDIRECT($C$5&amp;"生成成长"),2))/((VLOOKUP($B224,INDIRECT($B$5&amp;"生成成长"),4))/(VLOOKUP(ES$72,INDIRECT($C$5&amp;"生成成长"),5))*(VLOOKUP($B$5,标准坦克设计!$B$24:$U$30,MATCH("对"&amp;LEFT($C$5,2)&amp;"输出",标准坦克设计!$B$23:$U$23,0)))*(VLOOKUP($B224,INDIRECT($B$5&amp;"生成成长"),3))*(VLOOKUP($B$5,标准坦克设计!$B$14:$K$20,9)/30))</f>
        <v>5.9791729307084278</v>
      </c>
      <c r="ET224" s="172">
        <f ca="1">(VLOOKUP(ET$72,INDIRECT($C$5&amp;"生成成长"),2))/((VLOOKUP($B224,INDIRECT($B$5&amp;"生成成长"),4))/(VLOOKUP(ET$72,INDIRECT($C$5&amp;"生成成长"),5))*(VLOOKUP($B$5,标准坦克设计!$B$24:$U$30,MATCH("对"&amp;LEFT($C$5,2)&amp;"输出",标准坦克设计!$B$23:$U$23,0)))*(VLOOKUP($B224,INDIRECT($B$5&amp;"生成成长"),3))*(VLOOKUP($B$5,标准坦克设计!$B$14:$K$20,9)/30))</f>
        <v>6.4762890779378361</v>
      </c>
      <c r="EU224" s="172">
        <f ca="1">(VLOOKUP(EU$72,INDIRECT($C$5&amp;"生成成长"),2))/((VLOOKUP($B224,INDIRECT($B$5&amp;"生成成长"),4))/(VLOOKUP(EU$72,INDIRECT($C$5&amp;"生成成长"),5))*(VLOOKUP($B$5,标准坦克设计!$B$24:$U$30,MATCH("对"&amp;LEFT($C$5,2)&amp;"输出",标准坦克设计!$B$23:$U$23,0)))*(VLOOKUP($B224,INDIRECT($B$5&amp;"生成成长"),3))*(VLOOKUP($B$5,标准坦克设计!$B$14:$K$20,9)/30))</f>
        <v>6.9932537827698686</v>
      </c>
      <c r="EV224" s="172">
        <f ca="1">(VLOOKUP(EV$72,INDIRECT($C$5&amp;"生成成长"),2))/((VLOOKUP($B224,INDIRECT($B$5&amp;"生成成长"),4))/(VLOOKUP(EV$72,INDIRECT($C$5&amp;"生成成长"),5))*(VLOOKUP($B$5,标准坦克设计!$B$24:$U$30,MATCH("对"&amp;LEFT($C$5,2)&amp;"输出",标准坦克设计!$B$23:$U$23,0)))*(VLOOKUP($B224,INDIRECT($B$5&amp;"生成成长"),3))*(VLOOKUP($B$5,标准坦克设计!$B$14:$K$20,9)/30))</f>
        <v>7.5300670452045271</v>
      </c>
      <c r="EW224" s="172">
        <f ca="1">(VLOOKUP(EW$72,INDIRECT($C$5&amp;"生成成长"),2))/((VLOOKUP($B224,INDIRECT($B$5&amp;"生成成长"),4))/(VLOOKUP(EW$72,INDIRECT($C$5&amp;"生成成长"),5))*(VLOOKUP($B$5,标准坦克设计!$B$24:$U$30,MATCH("对"&amp;LEFT($C$5,2)&amp;"输出",标准坦克设计!$B$23:$U$23,0)))*(VLOOKUP($B224,INDIRECT($B$5&amp;"生成成长"),3))*(VLOOKUP($B$5,标准坦克设计!$B$14:$K$20,9)/30))</f>
        <v>8.0867288652418114</v>
      </c>
      <c r="EX224" s="172">
        <f ca="1">(VLOOKUP(EX$72,INDIRECT($C$5&amp;"生成成长"),2))/((VLOOKUP($B224,INDIRECT($B$5&amp;"生成成长"),4))/(VLOOKUP(EX$72,INDIRECT($C$5&amp;"生成成长"),5))*(VLOOKUP($B$5,标准坦克设计!$B$24:$U$30,MATCH("对"&amp;LEFT($C$5,2)&amp;"输出",标准坦克设计!$B$23:$U$23,0)))*(VLOOKUP($B224,INDIRECT($B$5&amp;"生成成长"),3))*(VLOOKUP($B$5,标准坦克设计!$B$14:$K$20,9)/30))</f>
        <v>8.6632392428817244</v>
      </c>
      <c r="EY224" s="172">
        <f ca="1">(VLOOKUP(EY$72,INDIRECT($C$5&amp;"生成成长"),2))/((VLOOKUP($B224,INDIRECT($B$5&amp;"生成成长"),4))/(VLOOKUP(EY$72,INDIRECT($C$5&amp;"生成成长"),5))*(VLOOKUP($B$5,标准坦克设计!$B$24:$U$30,MATCH("对"&amp;LEFT($C$5,2)&amp;"输出",标准坦克设计!$B$23:$U$23,0)))*(VLOOKUP($B224,INDIRECT($B$5&amp;"生成成长"),3))*(VLOOKUP($B$5,标准坦克设计!$B$14:$K$20,9)/30))</f>
        <v>9.2595981781242624</v>
      </c>
      <c r="EZ224" s="172">
        <f ca="1">(VLOOKUP(EZ$72,INDIRECT($C$5&amp;"生成成长"),2))/((VLOOKUP($B224,INDIRECT($B$5&amp;"生成成长"),4))/(VLOOKUP(EZ$72,INDIRECT($C$5&amp;"生成成长"),5))*(VLOOKUP($B$5,标准坦克设计!$B$24:$U$30,MATCH("对"&amp;LEFT($C$5,2)&amp;"输出",标准坦克设计!$B$23:$U$23,0)))*(VLOOKUP($B224,INDIRECT($B$5&amp;"生成成长"),3))*(VLOOKUP($B$5,标准坦克设计!$B$14:$K$20,9)/30))</f>
        <v>9.8758056709694255</v>
      </c>
      <c r="FA224" s="172">
        <f ca="1">(VLOOKUP(FA$72,INDIRECT($C$5&amp;"生成成长"),2))/((VLOOKUP($B224,INDIRECT($B$5&amp;"生成成长"),4))/(VLOOKUP(FA$72,INDIRECT($C$5&amp;"生成成长"),5))*(VLOOKUP($B$5,标准坦克设计!$B$24:$U$30,MATCH("对"&amp;LEFT($C$5,2)&amp;"输出",标准坦克设计!$B$23:$U$23,0)))*(VLOOKUP($B224,INDIRECT($B$5&amp;"生成成长"),3))*(VLOOKUP($B$5,标准坦克设计!$B$14:$K$20,9)/30))</f>
        <v>10.511861721417215</v>
      </c>
      <c r="FB224" s="172">
        <f ca="1">(VLOOKUP(FB$72,INDIRECT($C$5&amp;"生成成长"),2))/((VLOOKUP($B224,INDIRECT($B$5&amp;"生成成长"),4))/(VLOOKUP(FB$72,INDIRECT($C$5&amp;"生成成长"),5))*(VLOOKUP($B$5,标准坦克设计!$B$24:$U$30,MATCH("对"&amp;LEFT($C$5,2)&amp;"输出",标准坦克设计!$B$23:$U$23,0)))*(VLOOKUP($B224,INDIRECT($B$5&amp;"生成成长"),3))*(VLOOKUP($B$5,标准坦克设计!$B$14:$K$20,9)/30))</f>
        <v>11.16776632946763</v>
      </c>
      <c r="FC224" s="172">
        <f ca="1">(VLOOKUP(FC$72,INDIRECT($C$5&amp;"生成成长"),2))/((VLOOKUP($B224,INDIRECT($B$5&amp;"生成成长"),4))/(VLOOKUP(FC$72,INDIRECT($C$5&amp;"生成成长"),5))*(VLOOKUP($B$5,标准坦克设计!$B$24:$U$30,MATCH("对"&amp;LEFT($C$5,2)&amp;"输出",标准坦克设计!$B$23:$U$23,0)))*(VLOOKUP($B224,INDIRECT($B$5&amp;"生成成长"),3))*(VLOOKUP($B$5,标准坦克设计!$B$14:$K$20,9)/30))</f>
        <v>11.843519495120672</v>
      </c>
      <c r="FD224" s="172">
        <f ca="1">(VLOOKUP(FD$72,INDIRECT($C$5&amp;"生成成长"),2))/((VLOOKUP($B224,INDIRECT($B$5&amp;"生成成长"),4))/(VLOOKUP(FD$72,INDIRECT($C$5&amp;"生成成长"),5))*(VLOOKUP($B$5,标准坦克设计!$B$24:$U$30,MATCH("对"&amp;LEFT($C$5,2)&amp;"输出",标准坦克设计!$B$23:$U$23,0)))*(VLOOKUP($B224,INDIRECT($B$5&amp;"生成成长"),3))*(VLOOKUP($B$5,标准坦克设计!$B$14:$K$20,9)/30))</f>
        <v>12.539121218376341</v>
      </c>
      <c r="FE224" s="172">
        <f ca="1">(VLOOKUP(FE$72,INDIRECT($C$5&amp;"生成成长"),2))/((VLOOKUP($B224,INDIRECT($B$5&amp;"生成成长"),4))/(VLOOKUP(FE$72,INDIRECT($C$5&amp;"生成成长"),5))*(VLOOKUP($B$5,标准坦克设计!$B$24:$U$30,MATCH("对"&amp;LEFT($C$5,2)&amp;"输出",标准坦克设计!$B$23:$U$23,0)))*(VLOOKUP($B224,INDIRECT($B$5&amp;"生成成长"),3))*(VLOOKUP($B$5,标准坦克设计!$B$14:$K$20,9)/30))</f>
        <v>13.386785858141382</v>
      </c>
      <c r="FF224" s="172">
        <f ca="1">(VLOOKUP(FF$72,INDIRECT($C$5&amp;"生成成长"),2))/((VLOOKUP($B224,INDIRECT($B$5&amp;"生成成长"),4))/(VLOOKUP(FF$72,INDIRECT($C$5&amp;"生成成长"),5))*(VLOOKUP($B$5,标准坦克设计!$B$24:$U$30,MATCH("对"&amp;LEFT($C$5,2)&amp;"输出",标准坦克设计!$B$23:$U$23,0)))*(VLOOKUP($B224,INDIRECT($B$5&amp;"生成成长"),3))*(VLOOKUP($B$5,标准坦克设计!$B$14:$K$20,9)/30))</f>
        <v>14.262172863483645</v>
      </c>
      <c r="FG224" s="172">
        <f ca="1">(VLOOKUP(FG$72,INDIRECT($C$5&amp;"生成成长"),2))/((VLOOKUP($B224,INDIRECT($B$5&amp;"生成成长"),4))/(VLOOKUP(FG$72,INDIRECT($C$5&amp;"生成成长"),5))*(VLOOKUP($B$5,标准坦克设计!$B$24:$U$30,MATCH("对"&amp;LEFT($C$5,2)&amp;"输出",标准坦克设计!$B$23:$U$23,0)))*(VLOOKUP($B224,INDIRECT($B$5&amp;"生成成长"),3))*(VLOOKUP($B$5,标准坦克设计!$B$14:$K$20,9)/30))</f>
        <v>15.165282234403129</v>
      </c>
      <c r="FH224" s="172">
        <f ca="1">(VLOOKUP(FH$72,INDIRECT($C$5&amp;"生成成长"),2))/((VLOOKUP($B224,INDIRECT($B$5&amp;"生成成长"),4))/(VLOOKUP(FH$72,INDIRECT($C$5&amp;"生成成长"),5))*(VLOOKUP($B$5,标准坦克设计!$B$24:$U$30,MATCH("对"&amp;LEFT($C$5,2)&amp;"输出",标准坦克设计!$B$23:$U$23,0)))*(VLOOKUP($B224,INDIRECT($B$5&amp;"生成成长"),3))*(VLOOKUP($B$5,标准坦克设计!$B$14:$K$20,9)/30))</f>
        <v>16.09611397089984</v>
      </c>
      <c r="FI224" s="172">
        <f ca="1">(VLOOKUP(FI$72,INDIRECT($C$5&amp;"生成成长"),2))/((VLOOKUP($B224,INDIRECT($B$5&amp;"生成成长"),4))/(VLOOKUP(FI$72,INDIRECT($C$5&amp;"生成成长"),5))*(VLOOKUP($B$5,标准坦克设计!$B$24:$U$30,MATCH("对"&amp;LEFT($C$5,2)&amp;"输出",标准坦克设计!$B$23:$U$23,0)))*(VLOOKUP($B224,INDIRECT($B$5&amp;"生成成长"),3))*(VLOOKUP($B$5,标准坦克设计!$B$14:$K$20,9)/30))</f>
        <v>17.054668072973769</v>
      </c>
      <c r="FJ224" s="172">
        <f ca="1">(VLOOKUP(FJ$72,INDIRECT($C$5&amp;"生成成长"),2))/((VLOOKUP($B224,INDIRECT($B$5&amp;"生成成长"),4))/(VLOOKUP(FJ$72,INDIRECT($C$5&amp;"生成成长"),5))*(VLOOKUP($B$5,标准坦克设计!$B$24:$U$30,MATCH("对"&amp;LEFT($C$5,2)&amp;"输出",标准坦克设计!$B$23:$U$23,0)))*(VLOOKUP($B224,INDIRECT($B$5&amp;"生成成长"),3))*(VLOOKUP($B$5,标准坦克设计!$B$14:$K$20,9)/30))</f>
        <v>18.040944540624917</v>
      </c>
      <c r="FK224" s="172">
        <f ca="1">(VLOOKUP(FK$72,INDIRECT($C$5&amp;"生成成长"),2))/((VLOOKUP($B224,INDIRECT($B$5&amp;"生成成长"),4))/(VLOOKUP(FK$72,INDIRECT($C$5&amp;"生成成长"),5))*(VLOOKUP($B$5,标准坦克设计!$B$24:$U$30,MATCH("对"&amp;LEFT($C$5,2)&amp;"输出",标准坦克设计!$B$23:$U$23,0)))*(VLOOKUP($B224,INDIRECT($B$5&amp;"生成成长"),3))*(VLOOKUP($B$5,标准坦克设计!$B$14:$K$20,9)/30))</f>
        <v>19.054943373853288</v>
      </c>
    </row>
    <row r="225" spans="1:167" x14ac:dyDescent="0.15">
      <c r="A225" s="170" t="str">
        <f t="shared" si="13"/>
        <v>T5高品质9级</v>
      </c>
      <c r="B225" s="171">
        <v>30509</v>
      </c>
      <c r="C225" s="172">
        <f ca="1">(VLOOKUP(C$72,INDIRECT($C$5&amp;"生成成长"),2))/((VLOOKUP($B225,INDIRECT($B$5&amp;"生成成长"),4))/(VLOOKUP(C$72,INDIRECT($C$5&amp;"生成成长"),5))*(VLOOKUP($B$5,标准坦克设计!$B$24:$U$30,MATCH("对"&amp;LEFT($C$5,2)&amp;"输出",标准坦克设计!$B$23:$U$23,0)))*(VLOOKUP($B225,INDIRECT($B$5&amp;"生成成长"),3))*(VLOOKUP($B$5,标准坦克设计!$B$14:$K$20,9)/30))</f>
        <v>0.7688847614454839</v>
      </c>
      <c r="D225" s="172">
        <f ca="1">(VLOOKUP(D$72,INDIRECT($C$5&amp;"生成成长"),2))/((VLOOKUP($B225,INDIRECT($B$5&amp;"生成成长"),4))/(VLOOKUP(D$72,INDIRECT($C$5&amp;"生成成长"),5))*(VLOOKUP($B$5,标准坦克设计!$B$24:$U$30,MATCH("对"&amp;LEFT($C$5,2)&amp;"输出",标准坦克设计!$B$23:$U$23,0)))*(VLOOKUP($B225,INDIRECT($B$5&amp;"生成成长"),3))*(VLOOKUP($B$5,标准坦克设计!$B$14:$K$20,9)/30))</f>
        <v>0.86391891796014575</v>
      </c>
      <c r="E225" s="172">
        <f ca="1">(VLOOKUP(E$72,INDIRECT($C$5&amp;"生成成长"),2))/((VLOOKUP($B225,INDIRECT($B$5&amp;"生成成长"),4))/(VLOOKUP(E$72,INDIRECT($C$5&amp;"生成成长"),5))*(VLOOKUP($B$5,标准坦克设计!$B$24:$U$30,MATCH("对"&amp;LEFT($C$5,2)&amp;"输出",标准坦克设计!$B$23:$U$23,0)))*(VLOOKUP($B225,INDIRECT($B$5&amp;"生成成长"),3))*(VLOOKUP($B$5,标准坦克设计!$B$14:$K$20,9)/30))</f>
        <v>0.9644890447572152</v>
      </c>
      <c r="F225" s="172">
        <f ca="1">(VLOOKUP(F$72,INDIRECT($C$5&amp;"生成成长"),2))/((VLOOKUP($B225,INDIRECT($B$5&amp;"生成成长"),4))/(VLOOKUP(F$72,INDIRECT($C$5&amp;"生成成长"),5))*(VLOOKUP($B$5,标准坦克设计!$B$24:$U$30,MATCH("对"&amp;LEFT($C$5,2)&amp;"输出",标准坦克设计!$B$23:$U$23,0)))*(VLOOKUP($B225,INDIRECT($B$5&amp;"生成成长"),3))*(VLOOKUP($B$5,标准坦克设计!$B$14:$K$20,9)/30))</f>
        <v>1.0705951418366917</v>
      </c>
      <c r="G225" s="172">
        <f ca="1">(VLOOKUP(G$72,INDIRECT($C$5&amp;"生成成长"),2))/((VLOOKUP($B225,INDIRECT($B$5&amp;"生成成长"),4))/(VLOOKUP(G$72,INDIRECT($C$5&amp;"生成成长"),5))*(VLOOKUP($B$5,标准坦克设计!$B$24:$U$30,MATCH("对"&amp;LEFT($C$5,2)&amp;"输出",标准坦克设计!$B$23:$U$23,0)))*(VLOOKUP($B225,INDIRECT($B$5&amp;"生成成长"),3))*(VLOOKUP($B$5,标准坦克设计!$B$14:$K$20,9)/30))</f>
        <v>1.1822372091985762</v>
      </c>
      <c r="H225" s="172">
        <f ca="1">(VLOOKUP(H$72,INDIRECT($C$5&amp;"生成成长"),2))/((VLOOKUP($B225,INDIRECT($B$5&amp;"生成成长"),4))/(VLOOKUP(H$72,INDIRECT($C$5&amp;"生成成长"),5))*(VLOOKUP($B$5,标准坦克设计!$B$24:$U$30,MATCH("对"&amp;LEFT($C$5,2)&amp;"输出",标准坦克设计!$B$23:$U$23,0)))*(VLOOKUP($B225,INDIRECT($B$5&amp;"生成成长"),3))*(VLOOKUP($B$5,标准坦克设计!$B$14:$K$20,9)/30))</f>
        <v>1.0346113350010433</v>
      </c>
      <c r="I225" s="172">
        <f ca="1">(VLOOKUP(I$72,INDIRECT($C$5&amp;"生成成长"),2))/((VLOOKUP($B225,INDIRECT($B$5&amp;"生成成长"),4))/(VLOOKUP(I$72,INDIRECT($C$5&amp;"生成成长"),5))*(VLOOKUP($B$5,标准坦克设计!$B$24:$U$30,MATCH("对"&amp;LEFT($C$5,2)&amp;"输出",标准坦克设计!$B$23:$U$23,0)))*(VLOOKUP($B225,INDIRECT($B$5&amp;"生成成长"),3))*(VLOOKUP($B$5,标准坦克设计!$B$14:$K$20,9)/30))</f>
        <v>1.1822372091985762</v>
      </c>
      <c r="J225" s="172">
        <f ca="1">(VLOOKUP(J$72,INDIRECT($C$5&amp;"生成成长"),2))/((VLOOKUP($B225,INDIRECT($B$5&amp;"生成成长"),4))/(VLOOKUP(J$72,INDIRECT($C$5&amp;"生成成长"),5))*(VLOOKUP($B$5,标准坦克设计!$B$24:$U$30,MATCH("对"&amp;LEFT($C$5,2)&amp;"输出",标准坦克设计!$B$23:$U$23,0)))*(VLOOKUP($B225,INDIRECT($B$5&amp;"生成成长"),3))*(VLOOKUP($B$5,标准坦克设计!$B$14:$K$20,9)/30))</f>
        <v>1.3397048083426113</v>
      </c>
      <c r="K225" s="172">
        <f ca="1">(VLOOKUP(K$72,INDIRECT($C$5&amp;"生成成长"),2))/((VLOOKUP($B225,INDIRECT($B$5&amp;"生成成长"),4))/(VLOOKUP(K$72,INDIRECT($C$5&amp;"生成成长"),5))*(VLOOKUP($B$5,标准坦克设计!$B$24:$U$30,MATCH("对"&amp;LEFT($C$5,2)&amp;"输出",标准坦克设计!$B$23:$U$23,0)))*(VLOOKUP($B225,INDIRECT($B$5&amp;"生成成长"),3))*(VLOOKUP($B$5,标准坦克设计!$B$14:$K$20,9)/30))</f>
        <v>1.5070141324331485</v>
      </c>
      <c r="L225" s="172">
        <f ca="1">(VLOOKUP(L$72,INDIRECT($C$5&amp;"生成成长"),2))/((VLOOKUP($B225,INDIRECT($B$5&amp;"生成成长"),4))/(VLOOKUP(L$72,INDIRECT($C$5&amp;"生成成长"),5))*(VLOOKUP($B$5,标准坦克设计!$B$24:$U$30,MATCH("对"&amp;LEFT($C$5,2)&amp;"输出",标准坦克设计!$B$23:$U$23,0)))*(VLOOKUP($B225,INDIRECT($B$5&amp;"生成成长"),3))*(VLOOKUP($B$5,标准坦克设计!$B$14:$K$20,9)/30))</f>
        <v>1.6841651814701881</v>
      </c>
      <c r="M225" s="172">
        <f ca="1">(VLOOKUP(M$72,INDIRECT($C$5&amp;"生成成长"),2))/((VLOOKUP($B225,INDIRECT($B$5&amp;"生成成长"),4))/(VLOOKUP(M$72,INDIRECT($C$5&amp;"生成成长"),5))*(VLOOKUP($B$5,标准坦克设计!$B$24:$U$30,MATCH("对"&amp;LEFT($C$5,2)&amp;"输出",标准坦克设计!$B$23:$U$23,0)))*(VLOOKUP($B225,INDIRECT($B$5&amp;"生成成长"),3))*(VLOOKUP($B$5,标准坦克设计!$B$14:$K$20,9)/30))</f>
        <v>1.8711579554537299</v>
      </c>
      <c r="N225" s="172">
        <f ca="1">(VLOOKUP(N$72,INDIRECT($C$5&amp;"生成成长"),2))/((VLOOKUP($B225,INDIRECT($B$5&amp;"生成成长"),4))/(VLOOKUP(N$72,INDIRECT($C$5&amp;"生成成长"),5))*(VLOOKUP($B$5,标准坦克设计!$B$24:$U$30,MATCH("对"&amp;LEFT($C$5,2)&amp;"输出",标准坦克设计!$B$23:$U$23,0)))*(VLOOKUP($B225,INDIRECT($B$5&amp;"生成成长"),3))*(VLOOKUP($B$5,标准坦克设计!$B$14:$K$20,9)/30))</f>
        <v>2.067992454383774</v>
      </c>
      <c r="O225" s="172">
        <f ca="1">(VLOOKUP(O$72,INDIRECT($C$5&amp;"生成成长"),2))/((VLOOKUP($B225,INDIRECT($B$5&amp;"生成成长"),4))/(VLOOKUP(O$72,INDIRECT($C$5&amp;"生成成长"),5))*(VLOOKUP($B$5,标准坦克设计!$B$24:$U$30,MATCH("对"&amp;LEFT($C$5,2)&amp;"输出",标准坦克设计!$B$23:$U$23,0)))*(VLOOKUP($B225,INDIRECT($B$5&amp;"生成成长"),3))*(VLOOKUP($B$5,标准坦克设计!$B$14:$K$20,9)/30))</f>
        <v>1.5722924486798702</v>
      </c>
      <c r="P225" s="172">
        <f ca="1">(VLOOKUP(P$72,INDIRECT($C$5&amp;"生成成长"),2))/((VLOOKUP($B225,INDIRECT($B$5&amp;"生成成长"),4))/(VLOOKUP(P$72,INDIRECT($C$5&amp;"生成成长"),5))*(VLOOKUP($B$5,标准坦克设计!$B$24:$U$30,MATCH("对"&amp;LEFT($C$5,2)&amp;"输出",标准坦克设计!$B$23:$U$23,0)))*(VLOOKUP($B225,INDIRECT($B$5&amp;"生成成长"),3))*(VLOOKUP($B$5,标准坦克设计!$B$14:$K$20,9)/30))</f>
        <v>1.7764313528436462</v>
      </c>
      <c r="Q225" s="172">
        <f ca="1">(VLOOKUP(Q$72,INDIRECT($C$5&amp;"生成成长"),2))/((VLOOKUP($B225,INDIRECT($B$5&amp;"生成成长"),4))/(VLOOKUP(Q$72,INDIRECT($C$5&amp;"生成成长"),5))*(VLOOKUP($B$5,标准坦克设计!$B$24:$U$30,MATCH("对"&amp;LEFT($C$5,2)&amp;"输出",标准坦克设计!$B$23:$U$23,0)))*(VLOOKUP($B225,INDIRECT($B$5&amp;"生成成长"),3))*(VLOOKUP($B$5,标准坦克设计!$B$14:$K$20,9)/30))</f>
        <v>1.993026190142839</v>
      </c>
      <c r="R225" s="172">
        <f ca="1">(VLOOKUP(R$72,INDIRECT($C$5&amp;"生成成长"),2))/((VLOOKUP($B225,INDIRECT($B$5&amp;"生成成长"),4))/(VLOOKUP(R$72,INDIRECT($C$5&amp;"生成成长"),5))*(VLOOKUP($B$5,标准坦克设计!$B$24:$U$30,MATCH("对"&amp;LEFT($C$5,2)&amp;"输出",标准坦克设计!$B$23:$U$23,0)))*(VLOOKUP($B225,INDIRECT($B$5&amp;"生成成长"),3))*(VLOOKUP($B$5,标准坦克设计!$B$14:$K$20,9)/30))</f>
        <v>2.2220769605774486</v>
      </c>
      <c r="S225" s="172">
        <f ca="1">(VLOOKUP(S$72,INDIRECT($C$5&amp;"生成成长"),2))/((VLOOKUP($B225,INDIRECT($B$5&amp;"生成成长"),4))/(VLOOKUP(S$72,INDIRECT($C$5&amp;"生成成长"),5))*(VLOOKUP($B$5,标准坦克设计!$B$24:$U$30,MATCH("对"&amp;LEFT($C$5,2)&amp;"输出",标准坦克设计!$B$23:$U$23,0)))*(VLOOKUP($B225,INDIRECT($B$5&amp;"生成成长"),3))*(VLOOKUP($B$5,标准坦克设计!$B$14:$K$20,9)/30))</f>
        <v>2.4635836641474751</v>
      </c>
      <c r="T225" s="172">
        <f ca="1">(VLOOKUP(T$72,INDIRECT($C$5&amp;"生成成长"),2))/((VLOOKUP($B225,INDIRECT($B$5&amp;"生成成长"),4))/(VLOOKUP(T$72,INDIRECT($C$5&amp;"生成成长"),5))*(VLOOKUP($B$5,标准坦克设计!$B$24:$U$30,MATCH("对"&amp;LEFT($C$5,2)&amp;"输出",标准坦克设计!$B$23:$U$23,0)))*(VLOOKUP($B225,INDIRECT($B$5&amp;"生成成长"),3))*(VLOOKUP($B$5,标准坦克设计!$B$14:$K$20,9)/30))</f>
        <v>2.7175463008529186</v>
      </c>
      <c r="U225" s="172">
        <f ca="1">(VLOOKUP(U$72,INDIRECT($C$5&amp;"生成成长"),2))/((VLOOKUP($B225,INDIRECT($B$5&amp;"生成成长"),4))/(VLOOKUP(U$72,INDIRECT($C$5&amp;"生成成长"),5))*(VLOOKUP($B$5,标准坦克设计!$B$24:$U$30,MATCH("对"&amp;LEFT($C$5,2)&amp;"输出",标准坦克设计!$B$23:$U$23,0)))*(VLOOKUP($B225,INDIRECT($B$5&amp;"生成成长"),3))*(VLOOKUP($B$5,标准坦克设计!$B$14:$K$20,9)/30))</f>
        <v>2.9839648706937787</v>
      </c>
      <c r="V225" s="172">
        <f ca="1">(VLOOKUP(V$72,INDIRECT($C$5&amp;"生成成长"),2))/((VLOOKUP($B225,INDIRECT($B$5&amp;"生成成长"),4))/(VLOOKUP(V$72,INDIRECT($C$5&amp;"生成成长"),5))*(VLOOKUP($B$5,标准坦克设计!$B$24:$U$30,MATCH("对"&amp;LEFT($C$5,2)&amp;"输出",标准坦克设计!$B$23:$U$23,0)))*(VLOOKUP($B225,INDIRECT($B$5&amp;"生成成长"),3))*(VLOOKUP($B$5,标准坦克设计!$B$14:$K$20,9)/30))</f>
        <v>3.2628393736700554</v>
      </c>
      <c r="W225" s="172">
        <f ca="1">(VLOOKUP(W$72,INDIRECT($C$5&amp;"生成成长"),2))/((VLOOKUP($B225,INDIRECT($B$5&amp;"生成成长"),4))/(VLOOKUP(W$72,INDIRECT($C$5&amp;"生成成长"),5))*(VLOOKUP($B$5,标准坦克设计!$B$24:$U$30,MATCH("对"&amp;LEFT($C$5,2)&amp;"输出",标准坦克设计!$B$23:$U$23,0)))*(VLOOKUP($B225,INDIRECT($B$5&amp;"生成成长"),3))*(VLOOKUP($B$5,标准坦克设计!$B$14:$K$20,9)/30))</f>
        <v>3.5541698097817496</v>
      </c>
      <c r="X225" s="172">
        <f ca="1">(VLOOKUP(X$72,INDIRECT($C$5&amp;"生成成长"),2))/((VLOOKUP($B225,INDIRECT($B$5&amp;"生成成长"),4))/(VLOOKUP(X$72,INDIRECT($C$5&amp;"生成成长"),5))*(VLOOKUP($B$5,标准坦克设计!$B$24:$U$30,MATCH("对"&amp;LEFT($C$5,2)&amp;"输出",标准坦克设计!$B$23:$U$23,0)))*(VLOOKUP($B225,INDIRECT($B$5&amp;"生成成长"),3))*(VLOOKUP($B$5,标准坦克设计!$B$14:$K$20,9)/30))</f>
        <v>2.5749181776047814</v>
      </c>
      <c r="Y225" s="172">
        <f ca="1">(VLOOKUP(Y$72,INDIRECT($C$5&amp;"生成成长"),2))/((VLOOKUP($B225,INDIRECT($B$5&amp;"生成成长"),4))/(VLOOKUP(Y$72,INDIRECT($C$5&amp;"生成成长"),5))*(VLOOKUP($B$5,标准坦克设计!$B$24:$U$30,MATCH("对"&amp;LEFT($C$5,2)&amp;"输出",标准坦克设计!$B$23:$U$23,0)))*(VLOOKUP($B225,INDIRECT($B$5&amp;"生成成长"),3))*(VLOOKUP($B$5,标准坦克设计!$B$14:$K$20,9)/30))</f>
        <v>2.8640188479082829</v>
      </c>
      <c r="Z225" s="172">
        <f ca="1">(VLOOKUP(Z$72,INDIRECT($C$5&amp;"生成成长"),2))/((VLOOKUP($B225,INDIRECT($B$5&amp;"生成成长"),4))/(VLOOKUP(Z$72,INDIRECT($C$5&amp;"生成成长"),5))*(VLOOKUP($B$5,标准坦克设计!$B$24:$U$30,MATCH("对"&amp;LEFT($C$5,2)&amp;"输出",标准坦克设计!$B$23:$U$23,0)))*(VLOOKUP($B225,INDIRECT($B$5&amp;"生成成长"),3))*(VLOOKUP($B$5,标准坦克设计!$B$14:$K$20,9)/30))</f>
        <v>3.1684972134406948</v>
      </c>
      <c r="AA225" s="172">
        <f ca="1">(VLOOKUP(AA$72,INDIRECT($C$5&amp;"生成成长"),2))/((VLOOKUP($B225,INDIRECT($B$5&amp;"生成成长"),4))/(VLOOKUP(AA$72,INDIRECT($C$5&amp;"生成成长"),5))*(VLOOKUP($B$5,标准坦克设计!$B$24:$U$30,MATCH("对"&amp;LEFT($C$5,2)&amp;"输出",标准坦克设计!$B$23:$U$23,0)))*(VLOOKUP($B225,INDIRECT($B$5&amp;"生成成长"),3))*(VLOOKUP($B$5,标准坦克设计!$B$14:$K$20,9)/30))</f>
        <v>3.4883532742020162</v>
      </c>
      <c r="AB225" s="172">
        <f ca="1">(VLOOKUP(AB$72,INDIRECT($C$5&amp;"生成成长"),2))/((VLOOKUP($B225,INDIRECT($B$5&amp;"生成成长"),4))/(VLOOKUP(AB$72,INDIRECT($C$5&amp;"生成成长"),5))*(VLOOKUP($B$5,标准坦克设计!$B$24:$U$30,MATCH("对"&amp;LEFT($C$5,2)&amp;"输出",标准坦克设计!$B$23:$U$23,0)))*(VLOOKUP($B225,INDIRECT($B$5&amp;"生成成长"),3))*(VLOOKUP($B$5,标准坦克设计!$B$14:$K$20,9)/30))</f>
        <v>3.8235870301922472</v>
      </c>
      <c r="AC225" s="172">
        <f ca="1">(VLOOKUP(AC$72,INDIRECT($C$5&amp;"生成成长"),2))/((VLOOKUP($B225,INDIRECT($B$5&amp;"生成成长"),4))/(VLOOKUP(AC$72,INDIRECT($C$5&amp;"生成成长"),5))*(VLOOKUP($B$5,标准坦克设计!$B$24:$U$30,MATCH("对"&amp;LEFT($C$5,2)&amp;"输出",标准坦克设计!$B$23:$U$23,0)))*(VLOOKUP($B225,INDIRECT($B$5&amp;"生成成长"),3))*(VLOOKUP($B$5,标准坦克设计!$B$14:$K$20,9)/30))</f>
        <v>4.1741984814113877</v>
      </c>
      <c r="AD225" s="172">
        <f ca="1">(VLOOKUP(AD$72,INDIRECT($C$5&amp;"生成成长"),2))/((VLOOKUP($B225,INDIRECT($B$5&amp;"生成成长"),4))/(VLOOKUP(AD$72,INDIRECT($C$5&amp;"生成成长"),5))*(VLOOKUP($B$5,标准坦克设计!$B$24:$U$30,MATCH("对"&amp;LEFT($C$5,2)&amp;"输出",标准坦克设计!$B$23:$U$23,0)))*(VLOOKUP($B225,INDIRECT($B$5&amp;"生成成长"),3))*(VLOOKUP($B$5,标准坦克设计!$B$14:$K$20,9)/30))</f>
        <v>4.5401876278594386</v>
      </c>
      <c r="AE225" s="172">
        <f ca="1">(VLOOKUP(AE$72,INDIRECT($C$5&amp;"生成成长"),2))/((VLOOKUP($B225,INDIRECT($B$5&amp;"生成成长"),4))/(VLOOKUP(AE$72,INDIRECT($C$5&amp;"生成成长"),5))*(VLOOKUP($B$5,标准坦克设计!$B$24:$U$30,MATCH("对"&amp;LEFT($C$5,2)&amp;"输出",标准坦克设计!$B$23:$U$23,0)))*(VLOOKUP($B225,INDIRECT($B$5&amp;"生成成长"),3))*(VLOOKUP($B$5,标准坦克设计!$B$14:$K$20,9)/30))</f>
        <v>4.9215544695363986</v>
      </c>
      <c r="AF225" s="172">
        <f ca="1">(VLOOKUP(AF$72,INDIRECT($C$5&amp;"生成成长"),2))/((VLOOKUP($B225,INDIRECT($B$5&amp;"生成成长"),4))/(VLOOKUP(AF$72,INDIRECT($C$5&amp;"生成成长"),5))*(VLOOKUP($B$5,标准坦克设计!$B$24:$U$30,MATCH("对"&amp;LEFT($C$5,2)&amp;"输出",标准坦克设计!$B$23:$U$23,0)))*(VLOOKUP($B225,INDIRECT($B$5&amp;"生成成长"),3))*(VLOOKUP($B$5,标准坦克设计!$B$14:$K$20,9)/30))</f>
        <v>5.3182990064422677</v>
      </c>
      <c r="AG225" s="172">
        <f ca="1">(VLOOKUP(AG$72,INDIRECT($C$5&amp;"生成成长"),2))/((VLOOKUP($B225,INDIRECT($B$5&amp;"生成成长"),4))/(VLOOKUP(AG$72,INDIRECT($C$5&amp;"生成成长"),5))*(VLOOKUP($B$5,标准坦克设计!$B$24:$U$30,MATCH("对"&amp;LEFT($C$5,2)&amp;"输出",标准坦克设计!$B$23:$U$23,0)))*(VLOOKUP($B225,INDIRECT($B$5&amp;"生成成长"),3))*(VLOOKUP($B$5,标准坦克设计!$B$14:$K$20,9)/30))</f>
        <v>5.7304212385770468</v>
      </c>
      <c r="AH225" s="172">
        <f ca="1">(VLOOKUP(AH$72,INDIRECT($C$5&amp;"生成成长"),2))/((VLOOKUP($B225,INDIRECT($B$5&amp;"生成成长"),4))/(VLOOKUP(AH$72,INDIRECT($C$5&amp;"生成成长"),5))*(VLOOKUP($B$5,标准坦克设计!$B$24:$U$30,MATCH("对"&amp;LEFT($C$5,2)&amp;"输出",标准坦克设计!$B$23:$U$23,0)))*(VLOOKUP($B225,INDIRECT($B$5&amp;"生成成长"),3))*(VLOOKUP($B$5,标准坦克设计!$B$14:$K$20,9)/30))</f>
        <v>6.1579211659407367</v>
      </c>
      <c r="AI225" s="172">
        <f ca="1">(VLOOKUP(AI$72,INDIRECT($C$5&amp;"生成成长"),2))/((VLOOKUP($B225,INDIRECT($B$5&amp;"生成成长"),4))/(VLOOKUP(AI$72,INDIRECT($C$5&amp;"生成成长"),5))*(VLOOKUP($B$5,标准坦克设计!$B$24:$U$30,MATCH("对"&amp;LEFT($C$5,2)&amp;"输出",标准坦克设计!$B$23:$U$23,0)))*(VLOOKUP($B225,INDIRECT($B$5&amp;"生成成长"),3))*(VLOOKUP($B$5,标准坦克设计!$B$14:$K$20,9)/30))</f>
        <v>4.355270842731799</v>
      </c>
      <c r="AJ225" s="172">
        <f ca="1">(VLOOKUP(AJ$72,INDIRECT($C$5&amp;"生成成长"),2))/((VLOOKUP($B225,INDIRECT($B$5&amp;"生成成长"),4))/(VLOOKUP(AJ$72,INDIRECT($C$5&amp;"生成成长"),5))*(VLOOKUP($B$5,标准坦克设计!$B$24:$U$30,MATCH("对"&amp;LEFT($C$5,2)&amp;"输出",标准坦克设计!$B$23:$U$23,0)))*(VLOOKUP($B225,INDIRECT($B$5&amp;"生成成长"),3))*(VLOOKUP($B$5,标准坦克设计!$B$14:$K$20,9)/30))</f>
        <v>4.7671624094381455</v>
      </c>
      <c r="AK225" s="172">
        <f ca="1">(VLOOKUP(AK$72,INDIRECT($C$5&amp;"生成成长"),2))/((VLOOKUP($B225,INDIRECT($B$5&amp;"生成成长"),4))/(VLOOKUP(AK$72,INDIRECT($C$5&amp;"生成成长"),5))*(VLOOKUP($B$5,标准坦克设计!$B$24:$U$30,MATCH("对"&amp;LEFT($C$5,2)&amp;"输出",标准坦克设计!$B$23:$U$23,0)))*(VLOOKUP($B225,INDIRECT($B$5&amp;"生成成长"),3))*(VLOOKUP($B$5,标准坦克设计!$B$14:$K$20,9)/30))</f>
        <v>5.1976609873714716</v>
      </c>
      <c r="AL225" s="172">
        <f ca="1">(VLOOKUP(AL$72,INDIRECT($C$5&amp;"生成成长"),2))/((VLOOKUP($B225,INDIRECT($B$5&amp;"生成成长"),4))/(VLOOKUP(AL$72,INDIRECT($C$5&amp;"生成成长"),5))*(VLOOKUP($B$5,标准坦克设计!$B$24:$U$30,MATCH("对"&amp;LEFT($C$5,2)&amp;"输出",标准坦克设计!$B$23:$U$23,0)))*(VLOOKUP($B225,INDIRECT($B$5&amp;"生成成长"),3))*(VLOOKUP($B$5,标准坦克设计!$B$14:$K$20,9)/30))</f>
        <v>5.6467665765317783</v>
      </c>
      <c r="AM225" s="172">
        <f ca="1">(VLOOKUP(AM$72,INDIRECT($C$5&amp;"生成成长"),2))/((VLOOKUP($B225,INDIRECT($B$5&amp;"生成成长"),4))/(VLOOKUP(AM$72,INDIRECT($C$5&amp;"生成成长"),5))*(VLOOKUP($B$5,标准坦克设计!$B$24:$U$30,MATCH("对"&amp;LEFT($C$5,2)&amp;"输出",标准坦克设计!$B$23:$U$23,0)))*(VLOOKUP($B225,INDIRECT($B$5&amp;"生成成长"),3))*(VLOOKUP($B$5,标准坦克设计!$B$14:$K$20,9)/30))</f>
        <v>6.1144791769190663</v>
      </c>
      <c r="AN225" s="172">
        <f ca="1">(VLOOKUP(AN$72,INDIRECT($C$5&amp;"生成成长"),2))/((VLOOKUP($B225,INDIRECT($B$5&amp;"生成成长"),4))/(VLOOKUP(AN$72,INDIRECT($C$5&amp;"生成成长"),5))*(VLOOKUP($B$5,标准坦克设计!$B$24:$U$30,MATCH("对"&amp;LEFT($C$5,2)&amp;"输出",标准坦克设计!$B$23:$U$23,0)))*(VLOOKUP($B225,INDIRECT($B$5&amp;"生成成长"),3))*(VLOOKUP($B$5,标准坦克设计!$B$14:$K$20,9)/30))</f>
        <v>6.6007987885333357</v>
      </c>
      <c r="AO225" s="172">
        <f ca="1">(VLOOKUP(AO$72,INDIRECT($C$5&amp;"生成成长"),2))/((VLOOKUP($B225,INDIRECT($B$5&amp;"生成成长"),4))/(VLOOKUP(AO$72,INDIRECT($C$5&amp;"生成成长"),5))*(VLOOKUP($B$5,标准坦克设计!$B$24:$U$30,MATCH("对"&amp;LEFT($C$5,2)&amp;"输出",标准坦克设计!$B$23:$U$23,0)))*(VLOOKUP($B225,INDIRECT($B$5&amp;"生成成长"),3))*(VLOOKUP($B$5,标准坦克设计!$B$14:$K$20,9)/30))</f>
        <v>7.1057254113745847</v>
      </c>
      <c r="AP225" s="172">
        <f ca="1">(VLOOKUP(AP$72,INDIRECT($C$5&amp;"生成成长"),2))/((VLOOKUP($B225,INDIRECT($B$5&amp;"生成成长"),4))/(VLOOKUP(AP$72,INDIRECT($C$5&amp;"生成成长"),5))*(VLOOKUP($B$5,标准坦克设计!$B$24:$U$30,MATCH("对"&amp;LEFT($C$5,2)&amp;"输出",标准坦克设计!$B$23:$U$23,0)))*(VLOOKUP($B225,INDIRECT($B$5&amp;"生成成长"),3))*(VLOOKUP($B$5,标准坦克设计!$B$14:$K$20,9)/30))</f>
        <v>7.6292590454428151</v>
      </c>
      <c r="AQ225" s="172">
        <f ca="1">(VLOOKUP(AQ$72,INDIRECT($C$5&amp;"生成成长"),2))/((VLOOKUP($B225,INDIRECT($B$5&amp;"生成成长"),4))/(VLOOKUP(AQ$72,INDIRECT($C$5&amp;"生成成长"),5))*(VLOOKUP($B$5,标准坦克设计!$B$24:$U$30,MATCH("对"&amp;LEFT($C$5,2)&amp;"输出",标准坦克设计!$B$23:$U$23,0)))*(VLOOKUP($B225,INDIRECT($B$5&amp;"生成成长"),3))*(VLOOKUP($B$5,标准坦克设计!$B$14:$K$20,9)/30))</f>
        <v>8.171399690738026</v>
      </c>
      <c r="AR225" s="172">
        <f ca="1">(VLOOKUP(AR$72,INDIRECT($C$5&amp;"生成成长"),2))/((VLOOKUP($B225,INDIRECT($B$5&amp;"生成成长"),4))/(VLOOKUP(AR$72,INDIRECT($C$5&amp;"生成成长"),5))*(VLOOKUP($B$5,标准坦克设计!$B$24:$U$30,MATCH("对"&amp;LEFT($C$5,2)&amp;"输出",标准坦克设计!$B$23:$U$23,0)))*(VLOOKUP($B225,INDIRECT($B$5&amp;"生成成长"),3))*(VLOOKUP($B$5,标准坦克设计!$B$14:$K$20,9)/30))</f>
        <v>8.7321473472602165</v>
      </c>
      <c r="AS225" s="172">
        <f ca="1">(VLOOKUP(AS$72,INDIRECT($C$5&amp;"生成成长"),2))/((VLOOKUP($B225,INDIRECT($B$5&amp;"生成成长"),4))/(VLOOKUP(AS$72,INDIRECT($C$5&amp;"生成成长"),5))*(VLOOKUP($B$5,标准坦克设计!$B$24:$U$30,MATCH("对"&amp;LEFT($C$5,2)&amp;"输出",标准坦克设计!$B$23:$U$23,0)))*(VLOOKUP($B225,INDIRECT($B$5&amp;"生成成长"),3))*(VLOOKUP($B$5,标准坦克设计!$B$14:$K$20,9)/30))</f>
        <v>9.3115020150093883</v>
      </c>
      <c r="AT225" s="172">
        <f ca="1">(VLOOKUP(AT$72,INDIRECT($C$5&amp;"生成成长"),2))/((VLOOKUP($B225,INDIRECT($B$5&amp;"生成成长"),4))/(VLOOKUP(AT$72,INDIRECT($C$5&amp;"生成成长"),5))*(VLOOKUP($B$5,标准坦克设计!$B$24:$U$30,MATCH("对"&amp;LEFT($C$5,2)&amp;"输出",标准坦克设计!$B$23:$U$23,0)))*(VLOOKUP($B225,INDIRECT($B$5&amp;"生成成长"),3))*(VLOOKUP($B$5,标准坦克设计!$B$14:$K$20,9)/30))</f>
        <v>9.9094636939855416</v>
      </c>
      <c r="AU225" s="172">
        <f ca="1">(VLOOKUP(AU$72,INDIRECT($C$5&amp;"生成成长"),2))/((VLOOKUP($B225,INDIRECT($B$5&amp;"生成成长"),4))/(VLOOKUP(AU$72,INDIRECT($C$5&amp;"生成成长"),5))*(VLOOKUP($B$5,标准坦克设计!$B$24:$U$30,MATCH("对"&amp;LEFT($C$5,2)&amp;"输出",标准坦克设计!$B$23:$U$23,0)))*(VLOOKUP($B225,INDIRECT($B$5&amp;"生成成长"),3))*(VLOOKUP($B$5,标准坦克设计!$B$14:$K$20,9)/30))</f>
        <v>10.526032384188676</v>
      </c>
      <c r="AV225" s="172">
        <f ca="1">(VLOOKUP(AV$72,INDIRECT($C$5&amp;"生成成长"),2))/((VLOOKUP($B225,INDIRECT($B$5&amp;"生成成长"),4))/(VLOOKUP(AV$72,INDIRECT($C$5&amp;"生成成长"),5))*(VLOOKUP($B$5,标准坦克设计!$B$24:$U$30,MATCH("对"&amp;LEFT($C$5,2)&amp;"输出",标准坦克设计!$B$23:$U$23,0)))*(VLOOKUP($B225,INDIRECT($B$5&amp;"生成成长"),3))*(VLOOKUP($B$5,标准坦克设计!$B$14:$K$20,9)/30))</f>
        <v>1.0705951418366917</v>
      </c>
      <c r="AW225" s="172">
        <f ca="1">(VLOOKUP(AW$72,INDIRECT($C$5&amp;"生成成长"),2))/((VLOOKUP($B225,INDIRECT($B$5&amp;"生成成长"),4))/(VLOOKUP(AW$72,INDIRECT($C$5&amp;"生成成长"),5))*(VLOOKUP($B$5,标准坦克设计!$B$24:$U$30,MATCH("对"&amp;LEFT($C$5,2)&amp;"输出",标准坦克设计!$B$23:$U$23,0)))*(VLOOKUP($B225,INDIRECT($B$5&amp;"生成成长"),3))*(VLOOKUP($B$5,标准坦克设计!$B$14:$K$20,9)/30))</f>
        <v>1.2206814472708503</v>
      </c>
      <c r="AX225" s="172">
        <f ca="1">(VLOOKUP(AX$72,INDIRECT($C$5&amp;"生成成长"),2))/((VLOOKUP($B225,INDIRECT($B$5&amp;"生成成长"),4))/(VLOOKUP(AX$72,INDIRECT($C$5&amp;"生成成长"),5))*(VLOOKUP($B$5,标准坦克设计!$B$24:$U$30,MATCH("对"&amp;LEFT($C$5,2)&amp;"输出",标准坦克设计!$B$23:$U$23,0)))*(VLOOKUP($B225,INDIRECT($B$5&amp;"生成成长"),3))*(VLOOKUP($B$5,标准坦克设计!$B$14:$K$20,9)/30))</f>
        <v>1.380609477651511</v>
      </c>
      <c r="AY225" s="172">
        <f ca="1">(VLOOKUP(AY$72,INDIRECT($C$5&amp;"生成成长"),2))/((VLOOKUP($B225,INDIRECT($B$5&amp;"生成成长"),4))/(VLOOKUP(AY$72,INDIRECT($C$5&amp;"生成成长"),5))*(VLOOKUP($B$5,标准坦克设计!$B$24:$U$30,MATCH("对"&amp;LEFT($C$5,2)&amp;"输出",标准坦克设计!$B$23:$U$23,0)))*(VLOOKUP($B225,INDIRECT($B$5&amp;"生成成长"),3))*(VLOOKUP($B$5,标准坦克设计!$B$14:$K$20,9)/30))</f>
        <v>1.5503792329786739</v>
      </c>
      <c r="AZ225" s="172">
        <f ca="1">(VLOOKUP(AZ$72,INDIRECT($C$5&amp;"生成成长"),2))/((VLOOKUP($B225,INDIRECT($B$5&amp;"生成成长"),4))/(VLOOKUP(AZ$72,INDIRECT($C$5&amp;"生成成长"),5))*(VLOOKUP($B$5,标准坦克设计!$B$24:$U$30,MATCH("对"&amp;LEFT($C$5,2)&amp;"输出",标准坦克设计!$B$23:$U$23,0)))*(VLOOKUP($B225,INDIRECT($B$5&amp;"生成成长"),3))*(VLOOKUP($B$5,标准坦克设计!$B$14:$K$20,9)/30))</f>
        <v>1.7299907132523387</v>
      </c>
      <c r="BA225" s="172">
        <f ca="1">(VLOOKUP(BA$72,INDIRECT($C$5&amp;"生成成长"),2))/((VLOOKUP($B225,INDIRECT($B$5&amp;"生成成长"),4))/(VLOOKUP(BA$72,INDIRECT($C$5&amp;"生成成长"),5))*(VLOOKUP($B$5,标准坦克设计!$B$24:$U$30,MATCH("对"&amp;LEFT($C$5,2)&amp;"输出",标准坦克设计!$B$23:$U$23,0)))*(VLOOKUP($B225,INDIRECT($B$5&amp;"生成成长"),3))*(VLOOKUP($B$5,标准坦克设计!$B$14:$K$20,9)/30))</f>
        <v>1.9194439184725065</v>
      </c>
      <c r="BB225" s="172">
        <f ca="1">(VLOOKUP(BB$72,INDIRECT($C$5&amp;"生成成长"),2))/((VLOOKUP($B225,INDIRECT($B$5&amp;"生成成长"),4))/(VLOOKUP(BB$72,INDIRECT($C$5&amp;"生成成长"),5))*(VLOOKUP($B$5,标准坦克设计!$B$24:$U$30,MATCH("对"&amp;LEFT($C$5,2)&amp;"输出",标准坦克设计!$B$23:$U$23,0)))*(VLOOKUP($B225,INDIRECT($B$5&amp;"生成成长"),3))*(VLOOKUP($B$5,标准坦克设计!$B$14:$K$20,9)/30))</f>
        <v>2.1187388486391758</v>
      </c>
      <c r="BC225" s="172">
        <f ca="1">(VLOOKUP(BC$72,INDIRECT($C$5&amp;"生成成长"),2))/((VLOOKUP($B225,INDIRECT($B$5&amp;"生成成长"),4))/(VLOOKUP(BC$72,INDIRECT($C$5&amp;"生成成长"),5))*(VLOOKUP($B$5,标准坦克设计!$B$24:$U$30,MATCH("对"&amp;LEFT($C$5,2)&amp;"输出",标准坦克设计!$B$23:$U$23,0)))*(VLOOKUP($B225,INDIRECT($B$5&amp;"生成成长"),3))*(VLOOKUP($B$5,标准坦克设计!$B$14:$K$20,9)/30))</f>
        <v>2.3278755037523471</v>
      </c>
      <c r="BD225" s="172">
        <f ca="1">(VLOOKUP(BD$72,INDIRECT($C$5&amp;"生成成长"),2))/((VLOOKUP($B225,INDIRECT($B$5&amp;"生成成长"),4))/(VLOOKUP(BD$72,INDIRECT($C$5&amp;"生成成长"),5))*(VLOOKUP($B$5,标准坦克设计!$B$24:$U$30,MATCH("对"&amp;LEFT($C$5,2)&amp;"输出",标准坦克设计!$B$23:$U$23,0)))*(VLOOKUP($B225,INDIRECT($B$5&amp;"生成成长"),3))*(VLOOKUP($B$5,标准坦克设计!$B$14:$K$20,9)/30))</f>
        <v>2.5749181776047814</v>
      </c>
      <c r="BE225" s="172">
        <f ca="1">(VLOOKUP(BE$72,INDIRECT($C$5&amp;"生成成长"),2))/((VLOOKUP($B225,INDIRECT($B$5&amp;"生成成长"),4))/(VLOOKUP(BE$72,INDIRECT($C$5&amp;"生成成长"),5))*(VLOOKUP($B$5,标准坦克设计!$B$24:$U$30,MATCH("对"&amp;LEFT($C$5,2)&amp;"输出",标准坦克设计!$B$23:$U$23,0)))*(VLOOKUP($B225,INDIRECT($B$5&amp;"生成成长"),3))*(VLOOKUP($B$5,标准坦克设计!$B$14:$K$20,9)/30))</f>
        <v>2.8344167845926314</v>
      </c>
      <c r="BF225" s="172">
        <f ca="1">(VLOOKUP(BF$72,INDIRECT($C$5&amp;"生成成长"),2))/((VLOOKUP($B225,INDIRECT($B$5&amp;"生成成长"),4))/(VLOOKUP(BF$72,INDIRECT($C$5&amp;"生成成长"),5))*(VLOOKUP($B$5,标准坦克设计!$B$24:$U$30,MATCH("对"&amp;LEFT($C$5,2)&amp;"输出",标准坦克设计!$B$23:$U$23,0)))*(VLOOKUP($B225,INDIRECT($B$5&amp;"生成成长"),3))*(VLOOKUP($B$5,标准坦克设计!$B$14:$K$20,9)/30))</f>
        <v>3.1063713247159002</v>
      </c>
      <c r="BG225" s="172">
        <f ca="1">(VLOOKUP(BG$72,INDIRECT($C$5&amp;"生成成长"),2))/((VLOOKUP($B225,INDIRECT($B$5&amp;"生成成长"),4))/(VLOOKUP(BG$72,INDIRECT($C$5&amp;"生成成长"),5))*(VLOOKUP($B$5,标准坦克设计!$B$24:$U$30,MATCH("对"&amp;LEFT($C$5,2)&amp;"输出",标准坦克设计!$B$23:$U$23,0)))*(VLOOKUP($B225,INDIRECT($B$5&amp;"生成成长"),3))*(VLOOKUP($B$5,标准坦克设计!$B$14:$K$20,9)/30))</f>
        <v>3.3907817979745842</v>
      </c>
      <c r="BH225" s="172">
        <f ca="1">(VLOOKUP(BH$72,INDIRECT($C$5&amp;"生成成长"),2))/((VLOOKUP($B225,INDIRECT($B$5&amp;"生成成长"),4))/(VLOOKUP(BH$72,INDIRECT($C$5&amp;"生成成长"),5))*(VLOOKUP($B$5,标准坦克设计!$B$24:$U$30,MATCH("对"&amp;LEFT($C$5,2)&amp;"输出",标准坦克设计!$B$23:$U$23,0)))*(VLOOKUP($B225,INDIRECT($B$5&amp;"生成成长"),3))*(VLOOKUP($B$5,标准坦克设计!$B$14:$K$20,9)/30))</f>
        <v>1.6389547574971937</v>
      </c>
      <c r="BI225" s="172">
        <f ca="1">(VLOOKUP(BI$72,INDIRECT($C$5&amp;"生成成长"),2))/((VLOOKUP($B225,INDIRECT($B$5&amp;"生成成长"),4))/(VLOOKUP(BI$72,INDIRECT($C$5&amp;"生成成长"),5))*(VLOOKUP($B$5,标准坦克设计!$B$24:$U$30,MATCH("对"&amp;LEFT($C$5,2)&amp;"输出",标准坦克设计!$B$23:$U$23,0)))*(VLOOKUP($B225,INDIRECT($B$5&amp;"生成成长"),3))*(VLOOKUP($B$5,标准坦克设计!$B$14:$K$20,9)/30))</f>
        <v>1.8472456393727752</v>
      </c>
      <c r="BJ225" s="172">
        <f ca="1">(VLOOKUP(BJ$72,INDIRECT($C$5&amp;"生成成长"),2))/((VLOOKUP($B225,INDIRECT($B$5&amp;"生成成长"),4))/(VLOOKUP(BJ$72,INDIRECT($C$5&amp;"生成成长"),5))*(VLOOKUP($B$5,标准坦克设计!$B$24:$U$30,MATCH("对"&amp;LEFT($C$5,2)&amp;"输出",标准坦克设计!$B$23:$U$23,0)))*(VLOOKUP($B225,INDIRECT($B$5&amp;"生成成长"),3))*(VLOOKUP($B$5,标准坦克设计!$B$14:$K$20,9)/30))</f>
        <v>2.067992454383774</v>
      </c>
      <c r="BK225" s="172">
        <f ca="1">(VLOOKUP(BK$72,INDIRECT($C$5&amp;"生成成长"),2))/((VLOOKUP($B225,INDIRECT($B$5&amp;"生成成长"),4))/(VLOOKUP(BK$72,INDIRECT($C$5&amp;"生成成长"),5))*(VLOOKUP($B$5,标准坦克设计!$B$24:$U$30,MATCH("对"&amp;LEFT($C$5,2)&amp;"输出",标准坦克设计!$B$23:$U$23,0)))*(VLOOKUP($B225,INDIRECT($B$5&amp;"生成成长"),3))*(VLOOKUP($B$5,标准坦克设计!$B$14:$K$20,9)/30))</f>
        <v>2.3011952025301889</v>
      </c>
      <c r="BL225" s="172">
        <f ca="1">(VLOOKUP(BL$72,INDIRECT($C$5&amp;"生成成长"),2))/((VLOOKUP($B225,INDIRECT($B$5&amp;"生成成长"),4))/(VLOOKUP(BL$72,INDIRECT($C$5&amp;"生成成长"),5))*(VLOOKUP($B$5,标准坦克设计!$B$24:$U$30,MATCH("对"&amp;LEFT($C$5,2)&amp;"输出",标准坦克设计!$B$23:$U$23,0)))*(VLOOKUP($B225,INDIRECT($B$5&amp;"生成成长"),3))*(VLOOKUP($B$5,标准坦克设计!$B$14:$K$20,9)/30))</f>
        <v>2.5468538838120209</v>
      </c>
      <c r="BM225" s="172">
        <f ca="1">(VLOOKUP(BM$72,INDIRECT($C$5&amp;"生成成长"),2))/((VLOOKUP($B225,INDIRECT($B$5&amp;"生成成长"),4))/(VLOOKUP(BM$72,INDIRECT($C$5&amp;"生成成长"),5))*(VLOOKUP($B$5,标准坦克设计!$B$24:$U$30,MATCH("对"&amp;LEFT($C$5,2)&amp;"输出",标准坦克设计!$B$23:$U$23,0)))*(VLOOKUP($B225,INDIRECT($B$5&amp;"生成成长"),3))*(VLOOKUP($B$5,标准坦克设计!$B$14:$K$20,9)/30))</f>
        <v>2.8049684982292695</v>
      </c>
      <c r="BN225" s="172">
        <f ca="1">(VLOOKUP(BN$72,INDIRECT($C$5&amp;"生成成长"),2))/((VLOOKUP($B225,INDIRECT($B$5&amp;"生成成长"),4))/(VLOOKUP(BN$72,INDIRECT($C$5&amp;"生成成长"),5))*(VLOOKUP($B$5,标准坦克设计!$B$24:$U$30,MATCH("对"&amp;LEFT($C$5,2)&amp;"输出",标准坦克设计!$B$23:$U$23,0)))*(VLOOKUP($B225,INDIRECT($B$5&amp;"生成成长"),3))*(VLOOKUP($B$5,标准坦克设计!$B$14:$K$20,9)/30))</f>
        <v>3.0755390457819356</v>
      </c>
      <c r="BO225" s="172">
        <f ca="1">(VLOOKUP(BO$72,INDIRECT($C$5&amp;"生成成长"),2))/((VLOOKUP($B225,INDIRECT($B$5&amp;"生成成长"),4))/(VLOOKUP(BO$72,INDIRECT($C$5&amp;"生成成长"),5))*(VLOOKUP($B$5,标准坦克设计!$B$24:$U$30,MATCH("对"&amp;LEFT($C$5,2)&amp;"输出",标准坦克设计!$B$23:$U$23,0)))*(VLOOKUP($B225,INDIRECT($B$5&amp;"生成成长"),3))*(VLOOKUP($B$5,标准坦克设计!$B$14:$K$20,9)/30))</f>
        <v>3.3585655264700183</v>
      </c>
      <c r="BP225" s="172">
        <f ca="1">(VLOOKUP(BP$72,INDIRECT($C$5&amp;"生成成长"),2))/((VLOOKUP($B225,INDIRECT($B$5&amp;"生成成长"),4))/(VLOOKUP(BP$72,INDIRECT($C$5&amp;"生成成长"),5))*(VLOOKUP($B$5,标准坦克设计!$B$24:$U$30,MATCH("对"&amp;LEFT($C$5,2)&amp;"输出",标准坦克设计!$B$23:$U$23,0)))*(VLOOKUP($B225,INDIRECT($B$5&amp;"生成成长"),3))*(VLOOKUP($B$5,标准坦克设计!$B$14:$K$20,9)/30))</f>
        <v>3.6540479402935175</v>
      </c>
      <c r="BQ225" s="172">
        <f ca="1">(VLOOKUP(BQ$72,INDIRECT($C$5&amp;"生成成长"),2))/((VLOOKUP($B225,INDIRECT($B$5&amp;"生成成长"),4))/(VLOOKUP(BQ$72,INDIRECT($C$5&amp;"生成成长"),5))*(VLOOKUP($B$5,标准坦克设计!$B$24:$U$30,MATCH("对"&amp;LEFT($C$5,2)&amp;"输出",标准坦克设计!$B$23:$U$23,0)))*(VLOOKUP($B225,INDIRECT($B$5&amp;"生成成长"),3))*(VLOOKUP($B$5,标准坦克设计!$B$14:$K$20,9)/30))</f>
        <v>3.9619862872524347</v>
      </c>
      <c r="BR225" s="172">
        <f ca="1">(VLOOKUP(BR$72,INDIRECT($C$5&amp;"生成成长"),2))/((VLOOKUP($B225,INDIRECT($B$5&amp;"生成成长"),4))/(VLOOKUP(BR$72,INDIRECT($C$5&amp;"生成成长"),5))*(VLOOKUP($B$5,标准坦克设计!$B$24:$U$30,MATCH("对"&amp;LEFT($C$5,2)&amp;"输出",标准坦克设计!$B$23:$U$23,0)))*(VLOOKUP($B225,INDIRECT($B$5&amp;"生成成长"),3))*(VLOOKUP($B$5,标准坦克设计!$B$14:$K$20,9)/30))</f>
        <v>4.3187488165631382</v>
      </c>
      <c r="BS225" s="172">
        <f ca="1">(VLOOKUP(BS$72,INDIRECT($C$5&amp;"生成成长"),2))/((VLOOKUP($B225,INDIRECT($B$5&amp;"生成成长"),4))/(VLOOKUP(BS$72,INDIRECT($C$5&amp;"生成成长"),5))*(VLOOKUP($B$5,标准坦克设计!$B$24:$U$30,MATCH("对"&amp;LEFT($C$5,2)&amp;"输出",标准坦克设计!$B$23:$U$23,0)))*(VLOOKUP($B225,INDIRECT($B$5&amp;"生成成长"),3))*(VLOOKUP($B$5,标准坦克设计!$B$14:$K$20,9)/30))</f>
        <v>4.6908890411027526</v>
      </c>
      <c r="BT225" s="172">
        <f ca="1">(VLOOKUP(BT$72,INDIRECT($C$5&amp;"生成成长"),2))/((VLOOKUP($B225,INDIRECT($B$5&amp;"生成成长"),4))/(VLOOKUP(BT$72,INDIRECT($C$5&amp;"生成成长"),5))*(VLOOKUP($B$5,标准坦克设计!$B$24:$U$30,MATCH("对"&amp;LEFT($C$5,2)&amp;"输出",标准坦克设计!$B$23:$U$23,0)))*(VLOOKUP($B225,INDIRECT($B$5&amp;"生成成长"),3))*(VLOOKUP($B$5,标准坦克设计!$B$14:$K$20,9)/30))</f>
        <v>5.0784069608712779</v>
      </c>
      <c r="BU225" s="172">
        <f ca="1">(VLOOKUP(BU$72,INDIRECT($C$5&amp;"生成成长"),2))/((VLOOKUP($B225,INDIRECT($B$5&amp;"生成成长"),4))/(VLOOKUP(BU$72,INDIRECT($C$5&amp;"生成成长"),5))*(VLOOKUP($B$5,标准坦克设计!$B$24:$U$30,MATCH("对"&amp;LEFT($C$5,2)&amp;"输出",标准坦克设计!$B$23:$U$23,0)))*(VLOOKUP($B225,INDIRECT($B$5&amp;"生成成长"),3))*(VLOOKUP($B$5,标准坦克设计!$B$14:$K$20,9)/30))</f>
        <v>5.4813025758687113</v>
      </c>
      <c r="BV225" s="172">
        <f ca="1">(VLOOKUP(BV$72,INDIRECT($C$5&amp;"生成成长"),2))/((VLOOKUP($B225,INDIRECT($B$5&amp;"生成成长"),4))/(VLOOKUP(BV$72,INDIRECT($C$5&amp;"生成成长"),5))*(VLOOKUP($B$5,标准坦克设计!$B$24:$U$30,MATCH("对"&amp;LEFT($C$5,2)&amp;"输出",标准坦克设计!$B$23:$U$23,0)))*(VLOOKUP($B225,INDIRECT($B$5&amp;"生成成长"),3))*(VLOOKUP($B$5,标准坦克设计!$B$14:$K$20,9)/30))</f>
        <v>5.8995758860950538</v>
      </c>
      <c r="BW225" s="172">
        <f ca="1">(VLOOKUP(BW$72,INDIRECT($C$5&amp;"生成成长"),2))/((VLOOKUP($B225,INDIRECT($B$5&amp;"生成成长"),4))/(VLOOKUP(BW$72,INDIRECT($C$5&amp;"生成成长"),5))*(VLOOKUP($B$5,标准坦克设计!$B$24:$U$30,MATCH("对"&amp;LEFT($C$5,2)&amp;"输出",标准坦克设计!$B$23:$U$23,0)))*(VLOOKUP($B225,INDIRECT($B$5&amp;"生成成长"),3))*(VLOOKUP($B$5,标准坦克设计!$B$14:$K$20,9)/30))</f>
        <v>2.6887131222987128</v>
      </c>
      <c r="BX225" s="172">
        <f ca="1">(VLOOKUP(BX$72,INDIRECT($C$5&amp;"生成成长"),2))/((VLOOKUP($B225,INDIRECT($B$5&amp;"生成成长"),4))/(VLOOKUP(BX$72,INDIRECT($C$5&amp;"生成成长"),5))*(VLOOKUP($B$5,标准坦克设计!$B$24:$U$30,MATCH("对"&amp;LEFT($C$5,2)&amp;"输出",标准坦克设计!$B$23:$U$23,0)))*(VLOOKUP($B225,INDIRECT($B$5&amp;"生成成长"),3))*(VLOOKUP($B$5,标准坦克设计!$B$14:$K$20,9)/30))</f>
        <v>2.9839648706937787</v>
      </c>
      <c r="BY225" s="172">
        <f ca="1">(VLOOKUP(BY$72,INDIRECT($C$5&amp;"生成成长"),2))/((VLOOKUP($B225,INDIRECT($B$5&amp;"生成成长"),4))/(VLOOKUP(BY$72,INDIRECT($C$5&amp;"生成成长"),5))*(VLOOKUP($B$5,标准坦克设计!$B$24:$U$30,MATCH("对"&amp;LEFT($C$5,2)&amp;"输出",标准坦克设计!$B$23:$U$23,0)))*(VLOOKUP($B225,INDIRECT($B$5&amp;"生成成长"),3))*(VLOOKUP($B$5,标准坦克设计!$B$14:$K$20,9)/30))</f>
        <v>3.2945943143177536</v>
      </c>
      <c r="BZ225" s="172">
        <f ca="1">(VLOOKUP(BZ$72,INDIRECT($C$5&amp;"生成成长"),2))/((VLOOKUP($B225,INDIRECT($B$5&amp;"生成成长"),4))/(VLOOKUP(BZ$72,INDIRECT($C$5&amp;"生成成长"),5))*(VLOOKUP($B$5,标准坦克设计!$B$24:$U$30,MATCH("对"&amp;LEFT($C$5,2)&amp;"输出",标准坦克设计!$B$23:$U$23,0)))*(VLOOKUP($B225,INDIRECT($B$5&amp;"生成成长"),3))*(VLOOKUP($B$5,标准坦克设计!$B$14:$K$20,9)/30))</f>
        <v>3.6206014531706394</v>
      </c>
      <c r="CA225" s="172">
        <f ca="1">(VLOOKUP(CA$72,INDIRECT($C$5&amp;"生成成长"),2))/((VLOOKUP($B225,INDIRECT($B$5&amp;"生成成长"),4))/(VLOOKUP(CA$72,INDIRECT($C$5&amp;"生成成长"),5))*(VLOOKUP($B$5,标准坦克设计!$B$24:$U$30,MATCH("对"&amp;LEFT($C$5,2)&amp;"输出",标准坦克设计!$B$23:$U$23,0)))*(VLOOKUP($B225,INDIRECT($B$5&amp;"生成成长"),3))*(VLOOKUP($B$5,标准坦克设计!$B$14:$K$20,9)/30))</f>
        <v>3.9619862872524347</v>
      </c>
      <c r="CB225" s="172">
        <f ca="1">(VLOOKUP(CB$72,INDIRECT($C$5&amp;"生成成长"),2))/((VLOOKUP($B225,INDIRECT($B$5&amp;"生成成长"),4))/(VLOOKUP(CB$72,INDIRECT($C$5&amp;"生成成长"),5))*(VLOOKUP($B$5,标准坦克设计!$B$24:$U$30,MATCH("对"&amp;LEFT($C$5,2)&amp;"输出",标准坦克设计!$B$23:$U$23,0)))*(VLOOKUP($B225,INDIRECT($B$5&amp;"生成成长"),3))*(VLOOKUP($B$5,标准坦克设计!$B$14:$K$20,9)/30))</f>
        <v>4.3187488165631382</v>
      </c>
      <c r="CC225" s="172">
        <f ca="1">(VLOOKUP(CC$72,INDIRECT($C$5&amp;"生成成长"),2))/((VLOOKUP($B225,INDIRECT($B$5&amp;"生成成长"),4))/(VLOOKUP(CC$72,INDIRECT($C$5&amp;"生成成长"),5))*(VLOOKUP($B$5,标准坦克设计!$B$24:$U$30,MATCH("对"&amp;LEFT($C$5,2)&amp;"输出",标准坦克设计!$B$23:$U$23,0)))*(VLOOKUP($B225,INDIRECT($B$5&amp;"生成成长"),3))*(VLOOKUP($B$5,标准坦克设计!$B$14:$K$20,9)/30))</f>
        <v>4.6908890411027526</v>
      </c>
      <c r="CD225" s="172">
        <f ca="1">(VLOOKUP(CD$72,INDIRECT($C$5&amp;"生成成长"),2))/((VLOOKUP($B225,INDIRECT($B$5&amp;"生成成长"),4))/(VLOOKUP(CD$72,INDIRECT($C$5&amp;"生成成长"),5))*(VLOOKUP($B$5,标准坦克设计!$B$24:$U$30,MATCH("对"&amp;LEFT($C$5,2)&amp;"输出",标准坦克设计!$B$23:$U$23,0)))*(VLOOKUP($B225,INDIRECT($B$5&amp;"生成成长"),3))*(VLOOKUP($B$5,标准坦克设计!$B$14:$K$20,9)/30))</f>
        <v>5.0784069608712779</v>
      </c>
      <c r="CE225" s="172">
        <f ca="1">(VLOOKUP(CE$72,INDIRECT($C$5&amp;"生成成长"),2))/((VLOOKUP($B225,INDIRECT($B$5&amp;"生成成长"),4))/(VLOOKUP(CE$72,INDIRECT($C$5&amp;"生成成长"),5))*(VLOOKUP($B$5,标准坦克设计!$B$24:$U$30,MATCH("对"&amp;LEFT($C$5,2)&amp;"输出",标准坦克设计!$B$23:$U$23,0)))*(VLOOKUP($B225,INDIRECT($B$5&amp;"生成成长"),3))*(VLOOKUP($B$5,标准坦克设计!$B$14:$K$20,9)/30))</f>
        <v>5.4813025758687113</v>
      </c>
      <c r="CF225" s="172">
        <f ca="1">(VLOOKUP(CF$72,INDIRECT($C$5&amp;"生成成长"),2))/((VLOOKUP($B225,INDIRECT($B$5&amp;"生成成长"),4))/(VLOOKUP(CF$72,INDIRECT($C$5&amp;"生成成长"),5))*(VLOOKUP($B$5,标准坦克设计!$B$24:$U$30,MATCH("对"&amp;LEFT($C$5,2)&amp;"输出",标准坦克设计!$B$23:$U$23,0)))*(VLOOKUP($B225,INDIRECT($B$5&amp;"生成成长"),3))*(VLOOKUP($B$5,标准坦克设计!$B$14:$K$20,9)/30))</f>
        <v>5.8995758860950538</v>
      </c>
      <c r="CG225" s="172">
        <f ca="1">(VLOOKUP(CG$72,INDIRECT($C$5&amp;"生成成长"),2))/((VLOOKUP($B225,INDIRECT($B$5&amp;"生成成长"),4))/(VLOOKUP(CG$72,INDIRECT($C$5&amp;"生成成长"),5))*(VLOOKUP($B$5,标准坦克设计!$B$24:$U$30,MATCH("对"&amp;LEFT($C$5,2)&amp;"输出",标准坦克设计!$B$23:$U$23,0)))*(VLOOKUP($B225,INDIRECT($B$5&amp;"生成成长"),3))*(VLOOKUP($B$5,标准坦克设计!$B$14:$K$20,9)/30))</f>
        <v>6.3332268915503072</v>
      </c>
      <c r="CH225" s="172">
        <f ca="1">(VLOOKUP(CH$72,INDIRECT($C$5&amp;"生成成长"),2))/((VLOOKUP($B225,INDIRECT($B$5&amp;"生成成长"),4))/(VLOOKUP(CH$72,INDIRECT($C$5&amp;"生成成长"),5))*(VLOOKUP($B$5,标准坦克设计!$B$24:$U$30,MATCH("对"&amp;LEFT($C$5,2)&amp;"输出",标准坦克设计!$B$23:$U$23,0)))*(VLOOKUP($B225,INDIRECT($B$5&amp;"生成成长"),3))*(VLOOKUP($B$5,标准坦克设计!$B$14:$K$20,9)/30))</f>
        <v>6.7822555922344696</v>
      </c>
      <c r="CI225" s="172">
        <f ca="1">(VLOOKUP(CI$72,INDIRECT($C$5&amp;"生成成长"),2))/((VLOOKUP($B225,INDIRECT($B$5&amp;"生成成长"),4))/(VLOOKUP(CI$72,INDIRECT($C$5&amp;"生成成长"),5))*(VLOOKUP($B$5,标准坦克设计!$B$24:$U$30,MATCH("对"&amp;LEFT($C$5,2)&amp;"输出",标准坦克设计!$B$23:$U$23,0)))*(VLOOKUP($B225,INDIRECT($B$5&amp;"生成成长"),3))*(VLOOKUP($B$5,标准坦克设计!$B$14:$K$20,9)/30))</f>
        <v>7.2939484009764399</v>
      </c>
      <c r="CJ225" s="172">
        <f ca="1">(VLOOKUP(CJ$72,INDIRECT($C$5&amp;"生成成长"),2))/((VLOOKUP($B225,INDIRECT($B$5&amp;"生成成长"),4))/(VLOOKUP(CJ$72,INDIRECT($C$5&amp;"生成成长"),5))*(VLOOKUP($B$5,标准坦克设计!$B$24:$U$30,MATCH("对"&amp;LEFT($C$5,2)&amp;"输出",标准坦克设计!$B$23:$U$23,0)))*(VLOOKUP($B225,INDIRECT($B$5&amp;"生成成长"),3))*(VLOOKUP($B$5,标准坦克设计!$B$14:$K$20,9)/30))</f>
        <v>7.8242482209453907</v>
      </c>
      <c r="CK225" s="172">
        <f ca="1">(VLOOKUP(CK$72,INDIRECT($C$5&amp;"生成成长"),2))/((VLOOKUP($B225,INDIRECT($B$5&amp;"生成成长"),4))/(VLOOKUP(CK$72,INDIRECT($C$5&amp;"生成成长"),5))*(VLOOKUP($B$5,标准坦克设计!$B$24:$U$30,MATCH("对"&amp;LEFT($C$5,2)&amp;"输出",标准坦克设计!$B$23:$U$23,0)))*(VLOOKUP($B225,INDIRECT($B$5&amp;"生成成长"),3))*(VLOOKUP($B$5,标准坦克设计!$B$14:$K$20,9)/30))</f>
        <v>8.3731550521413212</v>
      </c>
      <c r="CL225" s="172">
        <f ca="1">(VLOOKUP(CL$72,INDIRECT($C$5&amp;"生成成长"),2))/((VLOOKUP($B225,INDIRECT($B$5&amp;"生成成长"),4))/(VLOOKUP(CL$72,INDIRECT($C$5&amp;"生成成长"),5))*(VLOOKUP($B$5,标准坦克设计!$B$24:$U$30,MATCH("对"&amp;LEFT($C$5,2)&amp;"输出",标准坦克设计!$B$23:$U$23,0)))*(VLOOKUP($B225,INDIRECT($B$5&amp;"生成成长"),3))*(VLOOKUP($B$5,标准坦克设计!$B$14:$K$20,9)/30))</f>
        <v>8.9406688945642312</v>
      </c>
      <c r="CM225" s="172">
        <f ca="1">(VLOOKUP(CM$72,INDIRECT($C$5&amp;"生成成长"),2))/((VLOOKUP($B225,INDIRECT($B$5&amp;"生成成长"),4))/(VLOOKUP(CM$72,INDIRECT($C$5&amp;"生成成长"),5))*(VLOOKUP($B$5,标准坦克设计!$B$24:$U$30,MATCH("对"&amp;LEFT($C$5,2)&amp;"输出",标准坦克设计!$B$23:$U$23,0)))*(VLOOKUP($B225,INDIRECT($B$5&amp;"生成成长"),3))*(VLOOKUP($B$5,标准坦克设计!$B$14:$K$20,9)/30))</f>
        <v>9.5267897482141226</v>
      </c>
      <c r="CN225" s="172">
        <f ca="1">(VLOOKUP(CN$72,INDIRECT($C$5&amp;"生成成长"),2))/((VLOOKUP($B225,INDIRECT($B$5&amp;"生成成长"),4))/(VLOOKUP(CN$72,INDIRECT($C$5&amp;"生成成长"),5))*(VLOOKUP($B$5,标准坦克设计!$B$24:$U$30,MATCH("对"&amp;LEFT($C$5,2)&amp;"输出",标准坦克设计!$B$23:$U$23,0)))*(VLOOKUP($B225,INDIRECT($B$5&amp;"生成成长"),3))*(VLOOKUP($B$5,标准坦克设计!$B$14:$K$20,9)/30))</f>
        <v>10.131517613090997</v>
      </c>
      <c r="CO225" s="172">
        <f ca="1">(VLOOKUP(CO$72,INDIRECT($C$5&amp;"生成成长"),2))/((VLOOKUP($B225,INDIRECT($B$5&amp;"生成成长"),4))/(VLOOKUP(CO$72,INDIRECT($C$5&amp;"生成成长"),5))*(VLOOKUP($B$5,标准坦克设计!$B$24:$U$30,MATCH("对"&amp;LEFT($C$5,2)&amp;"输出",标准坦克设计!$B$23:$U$23,0)))*(VLOOKUP($B225,INDIRECT($B$5&amp;"生成成长"),3))*(VLOOKUP($B$5,标准坦克设计!$B$14:$K$20,9)/30))</f>
        <v>4.5401876278594386</v>
      </c>
      <c r="CP225" s="172">
        <f ca="1">(VLOOKUP(CP$72,INDIRECT($C$5&amp;"生成成长"),2))/((VLOOKUP($B225,INDIRECT($B$5&amp;"生成成长"),4))/(VLOOKUP(CP$72,INDIRECT($C$5&amp;"生成成长"),5))*(VLOOKUP($B$5,标准坦克设计!$B$24:$U$30,MATCH("对"&amp;LEFT($C$5,2)&amp;"输出",标准坦克设计!$B$23:$U$23,0)))*(VLOOKUP($B225,INDIRECT($B$5&amp;"生成成长"),3))*(VLOOKUP($B$5,标准坦克设计!$B$14:$K$20,9)/30))</f>
        <v>4.9605369269416846</v>
      </c>
      <c r="CQ225" s="172">
        <f ca="1">(VLOOKUP(CQ$72,INDIRECT($C$5&amp;"生成成长"),2))/((VLOOKUP($B225,INDIRECT($B$5&amp;"生成成长"),4))/(VLOOKUP(CQ$72,INDIRECT($C$5&amp;"生成成长"),5))*(VLOOKUP($B$5,标准坦克设计!$B$24:$U$30,MATCH("对"&amp;LEFT($C$5,2)&amp;"输出",标准坦克设计!$B$23:$U$23,0)))*(VLOOKUP($B225,INDIRECT($B$5&amp;"生成成长"),3))*(VLOOKUP($B$5,标准坦克设计!$B$14:$K$20,9)/30))</f>
        <v>5.399493237250911</v>
      </c>
      <c r="CR225" s="172">
        <f ca="1">(VLOOKUP(CR$72,INDIRECT($C$5&amp;"生成成长"),2))/((VLOOKUP($B225,INDIRECT($B$5&amp;"生成成长"),4))/(VLOOKUP(CR$72,INDIRECT($C$5&amp;"生成成长"),5))*(VLOOKUP($B$5,标准坦克设计!$B$24:$U$30,MATCH("对"&amp;LEFT($C$5,2)&amp;"输出",标准坦克设计!$B$23:$U$23,0)))*(VLOOKUP($B225,INDIRECT($B$5&amp;"生成成长"),3))*(VLOOKUP($B$5,标准坦克设计!$B$14:$K$20,9)/30))</f>
        <v>5.857056558787118</v>
      </c>
      <c r="CS225" s="172">
        <f ca="1">(VLOOKUP(CS$72,INDIRECT($C$5&amp;"生成成长"),2))/((VLOOKUP($B225,INDIRECT($B$5&amp;"生成成长"),4))/(VLOOKUP(CS$72,INDIRECT($C$5&amp;"生成成长"),5))*(VLOOKUP($B$5,标准坦克设计!$B$24:$U$30,MATCH("对"&amp;LEFT($C$5,2)&amp;"输出",标准坦克设计!$B$23:$U$23,0)))*(VLOOKUP($B225,INDIRECT($B$5&amp;"生成成长"),3))*(VLOOKUP($B$5,标准坦克设计!$B$14:$K$20,9)/30))</f>
        <v>6.3332268915503072</v>
      </c>
      <c r="CT225" s="172">
        <f ca="1">(VLOOKUP(CT$72,INDIRECT($C$5&amp;"生成成长"),2))/((VLOOKUP($B225,INDIRECT($B$5&amp;"生成成长"),4))/(VLOOKUP(CT$72,INDIRECT($C$5&amp;"生成成长"),5))*(VLOOKUP($B$5,标准坦克设计!$B$24:$U$30,MATCH("对"&amp;LEFT($C$5,2)&amp;"输出",标准坦克设计!$B$23:$U$23,0)))*(VLOOKUP($B225,INDIRECT($B$5&amp;"生成成长"),3))*(VLOOKUP($B$5,标准坦克设计!$B$14:$K$20,9)/30))</f>
        <v>6.828004235540476</v>
      </c>
      <c r="CU225" s="172">
        <f ca="1">(VLOOKUP(CU$72,INDIRECT($C$5&amp;"生成成长"),2))/((VLOOKUP($B225,INDIRECT($B$5&amp;"生成成长"),4))/(VLOOKUP(CU$72,INDIRECT($C$5&amp;"生成成长"),5))*(VLOOKUP($B$5,标准坦克设计!$B$24:$U$30,MATCH("对"&amp;LEFT($C$5,2)&amp;"输出",标准坦克设计!$B$23:$U$23,0)))*(VLOOKUP($B225,INDIRECT($B$5&amp;"生成成长"),3))*(VLOOKUP($B$5,标准坦克设计!$B$14:$K$20,9)/30))</f>
        <v>7.3413885907576253</v>
      </c>
      <c r="CV225" s="172">
        <f ca="1">(VLOOKUP(CV$72,INDIRECT($C$5&amp;"生成成长"),2))/((VLOOKUP($B225,INDIRECT($B$5&amp;"生成成长"),4))/(VLOOKUP(CV$72,INDIRECT($C$5&amp;"生成成长"),5))*(VLOOKUP($B$5,标准坦克设计!$B$24:$U$30,MATCH("对"&amp;LEFT($C$5,2)&amp;"输出",标准坦克设计!$B$23:$U$23,0)))*(VLOOKUP($B225,INDIRECT($B$5&amp;"生成成长"),3))*(VLOOKUP($B$5,标准坦克设计!$B$14:$K$20,9)/30))</f>
        <v>7.8733799572017551</v>
      </c>
      <c r="CW225" s="172">
        <f ca="1">(VLOOKUP(CW$72,INDIRECT($C$5&amp;"生成成长"),2))/((VLOOKUP($B225,INDIRECT($B$5&amp;"生成成长"),4))/(VLOOKUP(CW$72,INDIRECT($C$5&amp;"生成成长"),5))*(VLOOKUP($B$5,标准坦克设计!$B$24:$U$30,MATCH("对"&amp;LEFT($C$5,2)&amp;"输出",标准坦克设计!$B$23:$U$23,0)))*(VLOOKUP($B225,INDIRECT($B$5&amp;"生成成长"),3))*(VLOOKUP($B$5,标准坦克设计!$B$14:$K$20,9)/30))</f>
        <v>8.4239783348728654</v>
      </c>
      <c r="CX225" s="172">
        <f ca="1">(VLOOKUP(CX$72,INDIRECT($C$5&amp;"生成成长"),2))/((VLOOKUP($B225,INDIRECT($B$5&amp;"生成成长"),4))/(VLOOKUP(CX$72,INDIRECT($C$5&amp;"生成成长"),5))*(VLOOKUP($B$5,标准坦克设计!$B$24:$U$30,MATCH("对"&amp;LEFT($C$5,2)&amp;"输出",标准坦克设计!$B$23:$U$23,0)))*(VLOOKUP($B225,INDIRECT($B$5&amp;"生成成长"),3))*(VLOOKUP($B$5,标准坦克设计!$B$14:$K$20,9)/30))</f>
        <v>8.993183723770958</v>
      </c>
      <c r="CY225" s="172">
        <f ca="1">(VLOOKUP(CY$72,INDIRECT($C$5&amp;"生成成长"),2))/((VLOOKUP($B225,INDIRECT($B$5&amp;"生成成长"),4))/(VLOOKUP(CY$72,INDIRECT($C$5&amp;"生成成长"),5))*(VLOOKUP($B$5,标准坦克设计!$B$24:$U$30,MATCH("对"&amp;LEFT($C$5,2)&amp;"输出",标准坦克设计!$B$23:$U$23,0)))*(VLOOKUP($B225,INDIRECT($B$5&amp;"生成成长"),3))*(VLOOKUP($B$5,标准坦克设计!$B$14:$K$20,9)/30))</f>
        <v>9.5809961238960319</v>
      </c>
      <c r="CZ225" s="172">
        <f ca="1">(VLOOKUP(CZ$72,INDIRECT($C$5&amp;"生成成长"),2))/((VLOOKUP($B225,INDIRECT($B$5&amp;"生成成长"),4))/(VLOOKUP(CZ$72,INDIRECT($C$5&amp;"生成成长"),5))*(VLOOKUP($B$5,标准坦克设计!$B$24:$U$30,MATCH("对"&amp;LEFT($C$5,2)&amp;"输出",标准坦克设计!$B$23:$U$23,0)))*(VLOOKUP($B225,INDIRECT($B$5&amp;"生成成长"),3))*(VLOOKUP($B$5,标准坦克设计!$B$14:$K$20,9)/30))</f>
        <v>10.187415535248084</v>
      </c>
      <c r="DA225" s="172">
        <f ca="1">(VLOOKUP(DA$72,INDIRECT($C$5&amp;"生成成长"),2))/((VLOOKUP($B225,INDIRECT($B$5&amp;"生成成长"),4))/(VLOOKUP(DA$72,INDIRECT($C$5&amp;"生成成长"),5))*(VLOOKUP($B$5,标准坦克设计!$B$24:$U$30,MATCH("对"&amp;LEFT($C$5,2)&amp;"输出",标准坦克设计!$B$23:$U$23,0)))*(VLOOKUP($B225,INDIRECT($B$5&amp;"生成成长"),3))*(VLOOKUP($B$5,标准坦克设计!$B$14:$K$20,9)/30))</f>
        <v>10.812441957827119</v>
      </c>
      <c r="DB225" s="172">
        <f ca="1">(VLOOKUP(DB$72,INDIRECT($C$5&amp;"生成成长"),2))/((VLOOKUP($B225,INDIRECT($B$5&amp;"生成成长"),4))/(VLOOKUP(DB$72,INDIRECT($C$5&amp;"生成成长"),5))*(VLOOKUP($B$5,标准坦克设计!$B$24:$U$30,MATCH("对"&amp;LEFT($C$5,2)&amp;"输出",标准坦克设计!$B$23:$U$23,0)))*(VLOOKUP($B225,INDIRECT($B$5&amp;"生成成长"),3))*(VLOOKUP($B$5,标准坦克设计!$B$14:$K$20,9)/30))</f>
        <v>11.456075391633131</v>
      </c>
      <c r="DC225" s="172">
        <f ca="1">(VLOOKUP(DC$72,INDIRECT($C$5&amp;"生成成长"),2))/((VLOOKUP($B225,INDIRECT($B$5&amp;"生成成长"),4))/(VLOOKUP(DC$72,INDIRECT($C$5&amp;"生成成长"),5))*(VLOOKUP($B$5,标准坦克设计!$B$24:$U$30,MATCH("对"&amp;LEFT($C$5,2)&amp;"输出",标准坦克设计!$B$23:$U$23,0)))*(VLOOKUP($B225,INDIRECT($B$5&amp;"生成成长"),3))*(VLOOKUP($B$5,标准坦克设计!$B$14:$K$20,9)/30))</f>
        <v>12.179442175201045</v>
      </c>
      <c r="DD225" s="172">
        <f ca="1">(VLOOKUP(DD$72,INDIRECT($C$5&amp;"生成成长"),2))/((VLOOKUP($B225,INDIRECT($B$5&amp;"生成成长"),4))/(VLOOKUP(DD$72,INDIRECT($C$5&amp;"生成成长"),5))*(VLOOKUP($B$5,标准坦克设计!$B$24:$U$30,MATCH("对"&amp;LEFT($C$5,2)&amp;"输出",标准坦克设计!$B$23:$U$23,0)))*(VLOOKUP($B225,INDIRECT($B$5&amp;"生成成长"),3))*(VLOOKUP($B$5,标准坦克设计!$B$14:$K$20,9)/30))</f>
        <v>12.924952839898584</v>
      </c>
      <c r="DE225" s="172">
        <f ca="1">(VLOOKUP(DE$72,INDIRECT($C$5&amp;"生成成长"),2))/((VLOOKUP($B225,INDIRECT($B$5&amp;"生成成长"),4))/(VLOOKUP(DE$72,INDIRECT($C$5&amp;"生成成长"),5))*(VLOOKUP($B$5,标准坦克设计!$B$24:$U$30,MATCH("对"&amp;LEFT($C$5,2)&amp;"输出",标准坦克设计!$B$23:$U$23,0)))*(VLOOKUP($B225,INDIRECT($B$5&amp;"生成成长"),3))*(VLOOKUP($B$5,标准坦克设计!$B$14:$K$20,9)/30))</f>
        <v>13.692607385725756</v>
      </c>
      <c r="DF225" s="172">
        <f ca="1">(VLOOKUP(DF$72,INDIRECT($C$5&amp;"生成成长"),2))/((VLOOKUP($B225,INDIRECT($B$5&amp;"生成成长"),4))/(VLOOKUP(DF$72,INDIRECT($C$5&amp;"生成成长"),5))*(VLOOKUP($B$5,标准坦克设计!$B$24:$U$30,MATCH("对"&amp;LEFT($C$5,2)&amp;"输出",标准坦克设计!$B$23:$U$23,0)))*(VLOOKUP($B225,INDIRECT($B$5&amp;"生成成长"),3))*(VLOOKUP($B$5,标准坦克设计!$B$14:$K$20,9)/30))</f>
        <v>14.482405812682558</v>
      </c>
      <c r="DG225" s="172">
        <f ca="1">(VLOOKUP(DG$72,INDIRECT($C$5&amp;"生成成长"),2))/((VLOOKUP($B225,INDIRECT($B$5&amp;"生成成长"),4))/(VLOOKUP(DG$72,INDIRECT($C$5&amp;"生成成长"),5))*(VLOOKUP($B$5,标准坦克设计!$B$24:$U$30,MATCH("对"&amp;LEFT($C$5,2)&amp;"输出",标准坦克设计!$B$23:$U$23,0)))*(VLOOKUP($B225,INDIRECT($B$5&amp;"生成成长"),3))*(VLOOKUP($B$5,标准坦克设计!$B$14:$K$20,9)/30))</f>
        <v>15.294348120768989</v>
      </c>
      <c r="DH225" s="172">
        <f ca="1">(VLOOKUP(DH$72,INDIRECT($C$5&amp;"生成成长"),2))/((VLOOKUP($B225,INDIRECT($B$5&amp;"生成成长"),4))/(VLOOKUP(DH$72,INDIRECT($C$5&amp;"生成成长"),5))*(VLOOKUP($B$5,标准坦克设计!$B$24:$U$30,MATCH("对"&amp;LEFT($C$5,2)&amp;"输出",标准坦克设计!$B$23:$U$23,0)))*(VLOOKUP($B225,INDIRECT($B$5&amp;"生成成长"),3))*(VLOOKUP($B$5,标准坦克设计!$B$14:$K$20,9)/30))</f>
        <v>16.12843430998505</v>
      </c>
      <c r="DI225" s="172">
        <f ca="1">(VLOOKUP(DI$72,INDIRECT($C$5&amp;"生成成长"),2))/((VLOOKUP($B225,INDIRECT($B$5&amp;"生成成长"),4))/(VLOOKUP(DI$72,INDIRECT($C$5&amp;"生成成长"),5))*(VLOOKUP($B$5,标准坦克设计!$B$24:$U$30,MATCH("对"&amp;LEFT($C$5,2)&amp;"输出",标准坦克设计!$B$23:$U$23,0)))*(VLOOKUP($B225,INDIRECT($B$5&amp;"生成成长"),3))*(VLOOKUP($B$5,标准坦克设计!$B$14:$K$20,9)/30))</f>
        <v>16.984664380330742</v>
      </c>
      <c r="DJ225" s="172">
        <f ca="1">(VLOOKUP(DJ$72,INDIRECT($C$5&amp;"生成成长"),2))/((VLOOKUP($B225,INDIRECT($B$5&amp;"生成成长"),4))/(VLOOKUP(DJ$72,INDIRECT($C$5&amp;"生成成长"),5))*(VLOOKUP($B$5,标准坦克设计!$B$24:$U$30,MATCH("对"&amp;LEFT($C$5,2)&amp;"输出",标准坦克设计!$B$23:$U$23,0)))*(VLOOKUP($B225,INDIRECT($B$5&amp;"生成成长"),3))*(VLOOKUP($B$5,标准坦克设计!$B$14:$K$20,9)/30))</f>
        <v>1.707001058885119</v>
      </c>
      <c r="DK225" s="172">
        <f ca="1">(VLOOKUP(DK$72,INDIRECT($C$5&amp;"生成成长"),2))/((VLOOKUP($B225,INDIRECT($B$5&amp;"生成成长"),4))/(VLOOKUP(DK$72,INDIRECT($C$5&amp;"生成成长"),5))*(VLOOKUP($B$5,标准坦克设计!$B$24:$U$30,MATCH("对"&amp;LEFT($C$5,2)&amp;"输出",标准坦克设计!$B$23:$U$23,0)))*(VLOOKUP($B225,INDIRECT($B$5&amp;"生成成长"),3))*(VLOOKUP($B$5,标准坦克设计!$B$14:$K$20,9)/30))</f>
        <v>1.9194439184725065</v>
      </c>
      <c r="DL225" s="172">
        <f ca="1">(VLOOKUP(DL$72,INDIRECT($C$5&amp;"生成成长"),2))/((VLOOKUP($B225,INDIRECT($B$5&amp;"生成成长"),4))/(VLOOKUP(DL$72,INDIRECT($C$5&amp;"生成成长"),5))*(VLOOKUP($B$5,标准坦克设计!$B$24:$U$30,MATCH("对"&amp;LEFT($C$5,2)&amp;"输出",标准坦克设计!$B$23:$U$23,0)))*(VLOOKUP($B225,INDIRECT($B$5&amp;"生成成长"),3))*(VLOOKUP($B$5,标准坦克设计!$B$14:$K$20,9)/30))</f>
        <v>2.1443427111953102</v>
      </c>
      <c r="DM225" s="172">
        <f ca="1">(VLOOKUP(DM$72,INDIRECT($C$5&amp;"生成成长"),2))/((VLOOKUP($B225,INDIRECT($B$5&amp;"生成成长"),4))/(VLOOKUP(DM$72,INDIRECT($C$5&amp;"生成成长"),5))*(VLOOKUP($B$5,标准坦克设计!$B$24:$U$30,MATCH("对"&amp;LEFT($C$5,2)&amp;"输出",标准坦克设计!$B$23:$U$23,0)))*(VLOOKUP($B225,INDIRECT($B$5&amp;"生成成长"),3))*(VLOOKUP($B$5,标准坦克设计!$B$14:$K$20,9)/30))</f>
        <v>2.3816974370535307</v>
      </c>
      <c r="DN225" s="172">
        <f ca="1">(VLOOKUP(DN$72,INDIRECT($C$5&amp;"生成成长"),2))/((VLOOKUP($B225,INDIRECT($B$5&amp;"生成成长"),4))/(VLOOKUP(DN$72,INDIRECT($C$5&amp;"生成成长"),5))*(VLOOKUP($B$5,标准坦克设计!$B$24:$U$30,MATCH("对"&amp;LEFT($C$5,2)&amp;"输出",标准坦克设计!$B$23:$U$23,0)))*(VLOOKUP($B225,INDIRECT($B$5&amp;"生成成长"),3))*(VLOOKUP($B$5,标准坦克设计!$B$14:$K$20,9)/30))</f>
        <v>2.6315080960471691</v>
      </c>
      <c r="DO225" s="172">
        <f ca="1">(VLOOKUP(DO$72,INDIRECT($C$5&amp;"生成成长"),2))/((VLOOKUP($B225,INDIRECT($B$5&amp;"生成成长"),4))/(VLOOKUP(DO$72,INDIRECT($C$5&amp;"生成成长"),5))*(VLOOKUP($B$5,标准坦克设计!$B$24:$U$30,MATCH("对"&amp;LEFT($C$5,2)&amp;"输出",标准坦克设计!$B$23:$U$23,0)))*(VLOOKUP($B225,INDIRECT($B$5&amp;"生成成长"),3))*(VLOOKUP($B$5,标准坦克设计!$B$14:$K$20,9)/30))</f>
        <v>2.8937746881762236</v>
      </c>
      <c r="DP225" s="172">
        <f ca="1">(VLOOKUP(DP$72,INDIRECT($C$5&amp;"生成成长"),2))/((VLOOKUP($B225,INDIRECT($B$5&amp;"生成成长"),4))/(VLOOKUP(DP$72,INDIRECT($C$5&amp;"生成成长"),5))*(VLOOKUP($B$5,标准坦克设计!$B$24:$U$30,MATCH("对"&amp;LEFT($C$5,2)&amp;"输出",标准坦克设计!$B$23:$U$23,0)))*(VLOOKUP($B225,INDIRECT($B$5&amp;"生成成长"),3))*(VLOOKUP($B$5,标准坦克设计!$B$14:$K$20,9)/30))</f>
        <v>3.1684972134406948</v>
      </c>
      <c r="DQ225" s="172">
        <f ca="1">(VLOOKUP(DQ$72,INDIRECT($C$5&amp;"生成成长"),2))/((VLOOKUP($B225,INDIRECT($B$5&amp;"生成成长"),4))/(VLOOKUP(DQ$72,INDIRECT($C$5&amp;"生成成长"),5))*(VLOOKUP($B$5,标准坦克设计!$B$24:$U$30,MATCH("对"&amp;LEFT($C$5,2)&amp;"输出",标准坦克设计!$B$23:$U$23,0)))*(VLOOKUP($B225,INDIRECT($B$5&amp;"生成成长"),3))*(VLOOKUP($B$5,标准坦克设计!$B$14:$K$20,9)/30))</f>
        <v>3.455675671840583</v>
      </c>
      <c r="DR225" s="172">
        <f ca="1">(VLOOKUP(DR$72,INDIRECT($C$5&amp;"生成成长"),2))/((VLOOKUP($B225,INDIRECT($B$5&amp;"生成成长"),4))/(VLOOKUP(DR$72,INDIRECT($C$5&amp;"生成成长"),5))*(VLOOKUP($B$5,标准坦克设计!$B$24:$U$30,MATCH("对"&amp;LEFT($C$5,2)&amp;"输出",标准坦克设计!$B$23:$U$23,0)))*(VLOOKUP($B225,INDIRECT($B$5&amp;"生成成长"),3))*(VLOOKUP($B$5,标准坦克设计!$B$14:$K$20,9)/30))</f>
        <v>3.7553100633758887</v>
      </c>
      <c r="DS225" s="172">
        <f ca="1">(VLOOKUP(DS$72,INDIRECT($C$5&amp;"生成成长"),2))/((VLOOKUP($B225,INDIRECT($B$5&amp;"生成成长"),4))/(VLOOKUP(DS$72,INDIRECT($C$5&amp;"生成成长"),5))*(VLOOKUP($B$5,标准坦克设计!$B$24:$U$30,MATCH("对"&amp;LEFT($C$5,2)&amp;"输出",标准坦克设计!$B$23:$U$23,0)))*(VLOOKUP($B225,INDIRECT($B$5&amp;"生成成长"),3))*(VLOOKUP($B$5,标准坦克设计!$B$14:$K$20,9)/30))</f>
        <v>4.0674003880466101</v>
      </c>
      <c r="DT225" s="172">
        <f ca="1">(VLOOKUP(DT$72,INDIRECT($C$5&amp;"生成成长"),2))/((VLOOKUP($B225,INDIRECT($B$5&amp;"生成成长"),4))/(VLOOKUP(DT$72,INDIRECT($C$5&amp;"生成成长"),5))*(VLOOKUP($B$5,标准坦克设计!$B$24:$U$30,MATCH("对"&amp;LEFT($C$5,2)&amp;"输出",标准坦克设计!$B$23:$U$23,0)))*(VLOOKUP($B225,INDIRECT($B$5&amp;"生成成长"),3))*(VLOOKUP($B$5,标准坦克设计!$B$14:$K$20,9)/30))</f>
        <v>4.4657595829515158</v>
      </c>
      <c r="DU225" s="172">
        <f ca="1">(VLOOKUP(DU$72,INDIRECT($C$5&amp;"生成成长"),2))/((VLOOKUP($B225,INDIRECT($B$5&amp;"生成成长"),4))/(VLOOKUP(DU$72,INDIRECT($C$5&amp;"生成成长"),5))*(VLOOKUP($B$5,标准坦克设计!$B$24:$U$30,MATCH("对"&amp;LEFT($C$5,2)&amp;"输出",标准坦克设计!$B$23:$U$23,0)))*(VLOOKUP($B225,INDIRECT($B$5&amp;"生成成长"),3))*(VLOOKUP($B$5,标准坦克设计!$B$14:$K$20,9)/30))</f>
        <v>4.882725789083401</v>
      </c>
      <c r="DV225" s="172">
        <f ca="1">(VLOOKUP(DV$72,INDIRECT($C$5&amp;"生成成长"),2))/((VLOOKUP($B225,INDIRECT($B$5&amp;"生成成长"),4))/(VLOOKUP(DV$72,INDIRECT($C$5&amp;"生成成长"),5))*(VLOOKUP($B$5,标准坦克设计!$B$24:$U$30,MATCH("对"&amp;LEFT($C$5,2)&amp;"输出",标准坦克设计!$B$23:$U$23,0)))*(VLOOKUP($B225,INDIRECT($B$5&amp;"生成成长"),3))*(VLOOKUP($B$5,标准坦克设计!$B$14:$K$20,9)/30))</f>
        <v>5.3182990064422677</v>
      </c>
      <c r="DW225" s="172">
        <f ca="1">(VLOOKUP(DW$72,INDIRECT($C$5&amp;"生成成长"),2))/((VLOOKUP($B225,INDIRECT($B$5&amp;"生成成长"),4))/(VLOOKUP(DW$72,INDIRECT($C$5&amp;"生成成长"),5))*(VLOOKUP($B$5,标准坦克设计!$B$24:$U$30,MATCH("对"&amp;LEFT($C$5,2)&amp;"输出",标准坦克设计!$B$23:$U$23,0)))*(VLOOKUP($B225,INDIRECT($B$5&amp;"生成成长"),3))*(VLOOKUP($B$5,标准坦克设计!$B$14:$K$20,9)/30))</f>
        <v>5.7724792350281158</v>
      </c>
      <c r="DX225" s="172">
        <f ca="1">(VLOOKUP(DX$72,INDIRECT($C$5&amp;"生成成长"),2))/((VLOOKUP($B225,INDIRECT($B$5&amp;"生成成长"),4))/(VLOOKUP(DX$72,INDIRECT($C$5&amp;"生成成长"),5))*(VLOOKUP($B$5,标准坦克设计!$B$24:$U$30,MATCH("对"&amp;LEFT($C$5,2)&amp;"输出",标准坦克设计!$B$23:$U$23,0)))*(VLOOKUP($B225,INDIRECT($B$5&amp;"生成成长"),3))*(VLOOKUP($B$5,标准坦克设计!$B$14:$K$20,9)/30))</f>
        <v>6.2452664748409434</v>
      </c>
      <c r="DY225" s="172">
        <f ca="1">(VLOOKUP(DY$72,INDIRECT($C$5&amp;"生成成长"),2))/((VLOOKUP($B225,INDIRECT($B$5&amp;"生成成长"),4))/(VLOOKUP(DY$72,INDIRECT($C$5&amp;"生成成长"),5))*(VLOOKUP($B$5,标准坦克设计!$B$24:$U$30,MATCH("对"&amp;LEFT($C$5,2)&amp;"输出",标准坦克设计!$B$23:$U$23,0)))*(VLOOKUP($B225,INDIRECT($B$5&amp;"生成成长"),3))*(VLOOKUP($B$5,标准坦克设计!$B$14:$K$20,9)/30))</f>
        <v>2.8049684982292695</v>
      </c>
      <c r="DZ225" s="172">
        <f ca="1">(VLOOKUP(DZ$72,INDIRECT($C$5&amp;"生成成长"),2))/((VLOOKUP($B225,INDIRECT($B$5&amp;"生成成长"),4))/(VLOOKUP(DZ$72,INDIRECT($C$5&amp;"生成成长"),5))*(VLOOKUP($B$5,标准坦克设计!$B$24:$U$30,MATCH("对"&amp;LEFT($C$5,2)&amp;"输出",标准坦克设计!$B$23:$U$23,0)))*(VLOOKUP($B225,INDIRECT($B$5&amp;"生成成长"),3))*(VLOOKUP($B$5,标准坦克设计!$B$14:$K$20,9)/30))</f>
        <v>3.1063713247159002</v>
      </c>
      <c r="EA225" s="172">
        <f ca="1">(VLOOKUP(EA$72,INDIRECT($C$5&amp;"生成成长"),2))/((VLOOKUP($B225,INDIRECT($B$5&amp;"生成成长"),4))/(VLOOKUP(EA$72,INDIRECT($C$5&amp;"生成成长"),5))*(VLOOKUP($B$5,标准坦克设计!$B$24:$U$30,MATCH("对"&amp;LEFT($C$5,2)&amp;"输出",标准坦克设计!$B$23:$U$23,0)))*(VLOOKUP($B225,INDIRECT($B$5&amp;"生成成长"),3))*(VLOOKUP($B$5,标准坦克设计!$B$14:$K$20,9)/30))</f>
        <v>3.423151846431439</v>
      </c>
      <c r="EB225" s="172">
        <f ca="1">(VLOOKUP(EB$72,INDIRECT($C$5&amp;"生成成长"),2))/((VLOOKUP($B225,INDIRECT($B$5&amp;"生成成长"),4))/(VLOOKUP(EB$72,INDIRECT($C$5&amp;"生成成长"),5))*(VLOOKUP($B$5,标准坦克设计!$B$24:$U$30,MATCH("对"&amp;LEFT($C$5,2)&amp;"输出",标准坦克设计!$B$23:$U$23,0)))*(VLOOKUP($B225,INDIRECT($B$5&amp;"生成成长"),3))*(VLOOKUP($B$5,标准坦克设计!$B$14:$K$20,9)/30))</f>
        <v>3.7553100633758887</v>
      </c>
      <c r="EC225" s="172">
        <f ca="1">(VLOOKUP(EC$72,INDIRECT($C$5&amp;"生成成长"),2))/((VLOOKUP($B225,INDIRECT($B$5&amp;"生成成长"),4))/(VLOOKUP(EC$72,INDIRECT($C$5&amp;"生成成长"),5))*(VLOOKUP($B$5,标准坦克设计!$B$24:$U$30,MATCH("对"&amp;LEFT($C$5,2)&amp;"输出",标准坦克设计!$B$23:$U$23,0)))*(VLOOKUP($B225,INDIRECT($B$5&amp;"生成成长"),3))*(VLOOKUP($B$5,标准坦克设计!$B$14:$K$20,9)/30))</f>
        <v>4.102845975549247</v>
      </c>
      <c r="ED225" s="172">
        <f ca="1">(VLOOKUP(ED$72,INDIRECT($C$5&amp;"生成成长"),2))/((VLOOKUP($B225,INDIRECT($B$5&amp;"生成成长"),4))/(VLOOKUP(ED$72,INDIRECT($C$5&amp;"生成成长"),5))*(VLOOKUP($B$5,标准坦克设计!$B$24:$U$30,MATCH("对"&amp;LEFT($C$5,2)&amp;"输出",标准坦克设计!$B$23:$U$23,0)))*(VLOOKUP($B225,INDIRECT($B$5&amp;"生成成长"),3))*(VLOOKUP($B$5,标准坦克设计!$B$14:$K$20,9)/30))</f>
        <v>4.4657595829515158</v>
      </c>
      <c r="EE225" s="172">
        <f ca="1">(VLOOKUP(EE$72,INDIRECT($C$5&amp;"生成成长"),2))/((VLOOKUP($B225,INDIRECT($B$5&amp;"生成成长"),4))/(VLOOKUP(EE$72,INDIRECT($C$5&amp;"生成成长"),5))*(VLOOKUP($B$5,标准坦克设计!$B$24:$U$30,MATCH("对"&amp;LEFT($C$5,2)&amp;"输出",标准坦克设计!$B$23:$U$23,0)))*(VLOOKUP($B225,INDIRECT($B$5&amp;"生成成长"),3))*(VLOOKUP($B$5,标准坦克设计!$B$14:$K$20,9)/30))</f>
        <v>4.8440508855826936</v>
      </c>
      <c r="EF225" s="172">
        <f ca="1">(VLOOKUP(EF$72,INDIRECT($C$5&amp;"生成成长"),2))/((VLOOKUP($B225,INDIRECT($B$5&amp;"生成成长"),4))/(VLOOKUP(EF$72,INDIRECT($C$5&amp;"生成成长"),5))*(VLOOKUP($B$5,标准坦克设计!$B$24:$U$30,MATCH("对"&amp;LEFT($C$5,2)&amp;"输出",标准坦克设计!$B$23:$U$23,0)))*(VLOOKUP($B225,INDIRECT($B$5&amp;"生成成长"),3))*(VLOOKUP($B$5,标准坦克设计!$B$14:$K$20,9)/30))</f>
        <v>5.2377198834427814</v>
      </c>
      <c r="EG225" s="172">
        <f ca="1">(VLOOKUP(EG$72,INDIRECT($C$5&amp;"生成成长"),2))/((VLOOKUP($B225,INDIRECT($B$5&amp;"生成成长"),4))/(VLOOKUP(EG$72,INDIRECT($C$5&amp;"生成成长"),5))*(VLOOKUP($B$5,标准坦克设计!$B$24:$U$30,MATCH("对"&amp;LEFT($C$5,2)&amp;"输出",标准坦克设计!$B$23:$U$23,0)))*(VLOOKUP($B225,INDIRECT($B$5&amp;"生成成长"),3))*(VLOOKUP($B$5,标准坦克设计!$B$14:$K$20,9)/30))</f>
        <v>5.6467665765317783</v>
      </c>
      <c r="EH225" s="172">
        <f ca="1">(VLOOKUP(EH$72,INDIRECT($C$5&amp;"生成成长"),2))/((VLOOKUP($B225,INDIRECT($B$5&amp;"生成成长"),4))/(VLOOKUP(EH$72,INDIRECT($C$5&amp;"生成成长"),5))*(VLOOKUP($B$5,标准坦克设计!$B$24:$U$30,MATCH("对"&amp;LEFT($C$5,2)&amp;"输出",标准坦克设计!$B$23:$U$23,0)))*(VLOOKUP($B225,INDIRECT($B$5&amp;"生成成长"),3))*(VLOOKUP($B$5,标准坦克设计!$B$14:$K$20,9)/30))</f>
        <v>6.0711909648496869</v>
      </c>
      <c r="EI225" s="172">
        <f ca="1">(VLOOKUP(EI$72,INDIRECT($C$5&amp;"生成成长"),2))/((VLOOKUP($B225,INDIRECT($B$5&amp;"生成成长"),4))/(VLOOKUP(EI$72,INDIRECT($C$5&amp;"生成成长"),5))*(VLOOKUP($B$5,标准坦克设计!$B$24:$U$30,MATCH("对"&amp;LEFT($C$5,2)&amp;"输出",标准坦克设计!$B$23:$U$23,0)))*(VLOOKUP($B225,INDIRECT($B$5&amp;"生成成长"),3))*(VLOOKUP($B$5,标准坦克设计!$B$14:$K$20,9)/30))</f>
        <v>6.5109930483965028</v>
      </c>
      <c r="EJ225" s="172">
        <f ca="1">(VLOOKUP(EJ$72,INDIRECT($C$5&amp;"生成成长"),2))/((VLOOKUP($B225,INDIRECT($B$5&amp;"生成成长"),4))/(VLOOKUP(EJ$72,INDIRECT($C$5&amp;"生成成长"),5))*(VLOOKUP($B$5,标准坦克设计!$B$24:$U$30,MATCH("对"&amp;LEFT($C$5,2)&amp;"输出",标准坦克设计!$B$23:$U$23,0)))*(VLOOKUP($B225,INDIRECT($B$5&amp;"生成成长"),3))*(VLOOKUP($B$5,标准坦克设计!$B$14:$K$20,9)/30))</f>
        <v>6.9661728271722296</v>
      </c>
      <c r="EK225" s="172">
        <f ca="1">(VLOOKUP(EK$72,INDIRECT($C$5&amp;"生成成长"),2))/((VLOOKUP($B225,INDIRECT($B$5&amp;"生成成长"),4))/(VLOOKUP(EK$72,INDIRECT($C$5&amp;"生成成长"),5))*(VLOOKUP($B$5,标准坦克设计!$B$24:$U$30,MATCH("对"&amp;LEFT($C$5,2)&amp;"输出",标准坦克设计!$B$23:$U$23,0)))*(VLOOKUP($B225,INDIRECT($B$5&amp;"生成成长"),3))*(VLOOKUP($B$5,标准坦克设计!$B$14:$K$20,9)/30))</f>
        <v>7.5326871194052627</v>
      </c>
      <c r="EL225" s="172">
        <f ca="1">(VLOOKUP(EL$72,INDIRECT($C$5&amp;"生成成长"),2))/((VLOOKUP($B225,INDIRECT($B$5&amp;"生成成长"),4))/(VLOOKUP(EL$72,INDIRECT($C$5&amp;"生成成长"),5))*(VLOOKUP($B$5,标准坦克设计!$B$24:$U$30,MATCH("对"&amp;LEFT($C$5,2)&amp;"输出",标准坦克设计!$B$23:$U$23,0)))*(VLOOKUP($B225,INDIRECT($B$5&amp;"生成成长"),3))*(VLOOKUP($B$5,标准坦克设计!$B$14:$K$20,9)/30))</f>
        <v>8.1213452927679235</v>
      </c>
      <c r="EM225" s="172">
        <f ca="1">(VLOOKUP(EM$72,INDIRECT($C$5&amp;"生成成长"),2))/((VLOOKUP($B225,INDIRECT($B$5&amp;"生成成长"),4))/(VLOOKUP(EM$72,INDIRECT($C$5&amp;"生成成长"),5))*(VLOOKUP($B$5,标准坦克设计!$B$24:$U$30,MATCH("对"&amp;LEFT($C$5,2)&amp;"输出",标准坦克设计!$B$23:$U$23,0)))*(VLOOKUP($B225,INDIRECT($B$5&amp;"生成成长"),3))*(VLOOKUP($B$5,标准坦克设计!$B$14:$K$20,9)/30))</f>
        <v>8.7321473472602165</v>
      </c>
      <c r="EN225" s="172">
        <f ca="1">(VLOOKUP(EN$72,INDIRECT($C$5&amp;"生成成长"),2))/((VLOOKUP($B225,INDIRECT($B$5&amp;"生成成长"),4))/(VLOOKUP(EN$72,INDIRECT($C$5&amp;"生成成长"),5))*(VLOOKUP($B$5,标准坦克设计!$B$24:$U$30,MATCH("对"&amp;LEFT($C$5,2)&amp;"输出",标准坦克设计!$B$23:$U$23,0)))*(VLOOKUP($B225,INDIRECT($B$5&amp;"生成成长"),3))*(VLOOKUP($B$5,标准坦克设计!$B$14:$K$20,9)/30))</f>
        <v>9.3650932828821389</v>
      </c>
      <c r="EO225" s="172">
        <f ca="1">(VLOOKUP(EO$72,INDIRECT($C$5&amp;"生成成长"),2))/((VLOOKUP($B225,INDIRECT($B$5&amp;"生成成长"),4))/(VLOOKUP(EO$72,INDIRECT($C$5&amp;"生成成长"),5))*(VLOOKUP($B$5,标准坦克设计!$B$24:$U$30,MATCH("对"&amp;LEFT($C$5,2)&amp;"输出",标准坦克设计!$B$23:$U$23,0)))*(VLOOKUP($B225,INDIRECT($B$5&amp;"生成成长"),3))*(VLOOKUP($B$5,标准坦克设计!$B$14:$K$20,9)/30))</f>
        <v>10.020183099633689</v>
      </c>
      <c r="EP225" s="172">
        <f ca="1">(VLOOKUP(EP$72,INDIRECT($C$5&amp;"生成成长"),2))/((VLOOKUP($B225,INDIRECT($B$5&amp;"生成成长"),4))/(VLOOKUP(EP$72,INDIRECT($C$5&amp;"生成成长"),5))*(VLOOKUP($B$5,标准坦克设计!$B$24:$U$30,MATCH("对"&amp;LEFT($C$5,2)&amp;"输出",标准坦克设计!$B$23:$U$23,0)))*(VLOOKUP($B225,INDIRECT($B$5&amp;"生成成长"),3))*(VLOOKUP($B$5,标准坦克设计!$B$14:$K$20,9)/30))</f>
        <v>10.697416797514872</v>
      </c>
      <c r="EQ225" s="172">
        <f ca="1">(VLOOKUP(EQ$72,INDIRECT($C$5&amp;"生成成长"),2))/((VLOOKUP($B225,INDIRECT($B$5&amp;"生成成长"),4))/(VLOOKUP(EQ$72,INDIRECT($C$5&amp;"生成成长"),5))*(VLOOKUP($B$5,标准坦克设计!$B$24:$U$30,MATCH("对"&amp;LEFT($C$5,2)&amp;"输出",标准坦克设计!$B$23:$U$23,0)))*(VLOOKUP($B225,INDIRECT($B$5&amp;"生成成长"),3))*(VLOOKUP($B$5,标准坦克设计!$B$14:$K$20,9)/30))</f>
        <v>4.7289488367943049</v>
      </c>
      <c r="ER225" s="172">
        <f ca="1">(VLOOKUP(ER$72,INDIRECT($C$5&amp;"生成成长"),2))/((VLOOKUP($B225,INDIRECT($B$5&amp;"生成成长"),4))/(VLOOKUP(ER$72,INDIRECT($C$5&amp;"生成成长"),5))*(VLOOKUP($B$5,标准坦克设计!$B$24:$U$30,MATCH("对"&amp;LEFT($C$5,2)&amp;"输出",标准坦克设计!$B$23:$U$23,0)))*(VLOOKUP($B225,INDIRECT($B$5&amp;"生成成长"),3))*(VLOOKUP($B$5,标准坦克设计!$B$14:$K$20,9)/30))</f>
        <v>5.1577558682524511</v>
      </c>
      <c r="ES225" s="172">
        <f ca="1">(VLOOKUP(ES$72,INDIRECT($C$5&amp;"生成成长"),2))/((VLOOKUP($B225,INDIRECT($B$5&amp;"生成成长"),4))/(VLOOKUP(ES$72,INDIRECT($C$5&amp;"生成成长"),5))*(VLOOKUP($B$5,标准坦克设计!$B$24:$U$30,MATCH("对"&amp;LEFT($C$5,2)&amp;"输出",标准坦克设计!$B$23:$U$23,0)))*(VLOOKUP($B225,INDIRECT($B$5&amp;"生成成长"),3))*(VLOOKUP($B$5,标准坦克设计!$B$14:$K$20,9)/30))</f>
        <v>5.6051699109375779</v>
      </c>
      <c r="ET225" s="172">
        <f ca="1">(VLOOKUP(ET$72,INDIRECT($C$5&amp;"生成成长"),2))/((VLOOKUP($B225,INDIRECT($B$5&amp;"生成成长"),4))/(VLOOKUP(ET$72,INDIRECT($C$5&amp;"生成成长"),5))*(VLOOKUP($B$5,标准坦克设计!$B$24:$U$30,MATCH("对"&amp;LEFT($C$5,2)&amp;"输出",标准坦克设计!$B$23:$U$23,0)))*(VLOOKUP($B225,INDIRECT($B$5&amp;"生成成长"),3))*(VLOOKUP($B$5,标准坦克设计!$B$14:$K$20,9)/30))</f>
        <v>6.0711909648496869</v>
      </c>
      <c r="EU225" s="172">
        <f ca="1">(VLOOKUP(EU$72,INDIRECT($C$5&amp;"生成成长"),2))/((VLOOKUP($B225,INDIRECT($B$5&amp;"生成成长"),4))/(VLOOKUP(EU$72,INDIRECT($C$5&amp;"生成成长"),5))*(VLOOKUP($B$5,标准坦克设计!$B$24:$U$30,MATCH("对"&amp;LEFT($C$5,2)&amp;"输出",标准坦克设计!$B$23:$U$23,0)))*(VLOOKUP($B225,INDIRECT($B$5&amp;"生成成长"),3))*(VLOOKUP($B$5,标准坦克设计!$B$14:$K$20,9)/30))</f>
        <v>6.5558190299887746</v>
      </c>
      <c r="EV225" s="172">
        <f ca="1">(VLOOKUP(EV$72,INDIRECT($C$5&amp;"生成成长"),2))/((VLOOKUP($B225,INDIRECT($B$5&amp;"生成成长"),4))/(VLOOKUP(EV$72,INDIRECT($C$5&amp;"生成成长"),5))*(VLOOKUP($B$5,标准坦克设计!$B$24:$U$30,MATCH("对"&amp;LEFT($C$5,2)&amp;"输出",标准坦克设计!$B$23:$U$23,0)))*(VLOOKUP($B225,INDIRECT($B$5&amp;"生成成长"),3))*(VLOOKUP($B$5,标准坦克设计!$B$14:$K$20,9)/30))</f>
        <v>7.0590541063548438</v>
      </c>
      <c r="EW225" s="172">
        <f ca="1">(VLOOKUP(EW$72,INDIRECT($C$5&amp;"生成成长"),2))/((VLOOKUP($B225,INDIRECT($B$5&amp;"生成成长"),4))/(VLOOKUP(EW$72,INDIRECT($C$5&amp;"生成成长"),5))*(VLOOKUP($B$5,标准坦克设计!$B$24:$U$30,MATCH("对"&amp;LEFT($C$5,2)&amp;"输出",标准坦克设计!$B$23:$U$23,0)))*(VLOOKUP($B225,INDIRECT($B$5&amp;"生成成长"),3))*(VLOOKUP($B$5,标准坦克设计!$B$14:$K$20,9)/30))</f>
        <v>7.5808961939478934</v>
      </c>
      <c r="EX225" s="172">
        <f ca="1">(VLOOKUP(EX$72,INDIRECT($C$5&amp;"生成成长"),2))/((VLOOKUP($B225,INDIRECT($B$5&amp;"生成成长"),4))/(VLOOKUP(EX$72,INDIRECT($C$5&amp;"生成成长"),5))*(VLOOKUP($B$5,标准坦克设计!$B$24:$U$30,MATCH("对"&amp;LEFT($C$5,2)&amp;"输出",标准坦克设计!$B$23:$U$23,0)))*(VLOOKUP($B225,INDIRECT($B$5&amp;"生成成长"),3))*(VLOOKUP($B$5,标准坦克设计!$B$14:$K$20,9)/30))</f>
        <v>8.1213452927679235</v>
      </c>
      <c r="EY225" s="172">
        <f ca="1">(VLOOKUP(EY$72,INDIRECT($C$5&amp;"生成成长"),2))/((VLOOKUP($B225,INDIRECT($B$5&amp;"生成成长"),4))/(VLOOKUP(EY$72,INDIRECT($C$5&amp;"生成成长"),5))*(VLOOKUP($B$5,标准坦克设计!$B$24:$U$30,MATCH("对"&amp;LEFT($C$5,2)&amp;"输出",标准坦克设计!$B$23:$U$23,0)))*(VLOOKUP($B225,INDIRECT($B$5&amp;"生成成长"),3))*(VLOOKUP($B$5,标准坦克设计!$B$14:$K$20,9)/30))</f>
        <v>8.680401402814935</v>
      </c>
      <c r="EZ225" s="172">
        <f ca="1">(VLOOKUP(EZ$72,INDIRECT($C$5&amp;"生成成长"),2))/((VLOOKUP($B225,INDIRECT($B$5&amp;"生成成长"),4))/(VLOOKUP(EZ$72,INDIRECT($C$5&amp;"生成成长"),5))*(VLOOKUP($B$5,标准坦克设计!$B$24:$U$30,MATCH("对"&amp;LEFT($C$5,2)&amp;"输出",标准坦克设计!$B$23:$U$23,0)))*(VLOOKUP($B225,INDIRECT($B$5&amp;"生成成长"),3))*(VLOOKUP($B$5,标准坦克设计!$B$14:$K$20,9)/30))</f>
        <v>9.2580645240889279</v>
      </c>
      <c r="FA225" s="172">
        <f ca="1">(VLOOKUP(FA$72,INDIRECT($C$5&amp;"生成成长"),2))/((VLOOKUP($B225,INDIRECT($B$5&amp;"生成成长"),4))/(VLOOKUP(FA$72,INDIRECT($C$5&amp;"生成成长"),5))*(VLOOKUP($B$5,标准坦克设计!$B$24:$U$30,MATCH("对"&amp;LEFT($C$5,2)&amp;"输出",标准坦克设计!$B$23:$U$23,0)))*(VLOOKUP($B225,INDIRECT($B$5&amp;"生成成长"),3))*(VLOOKUP($B$5,标准坦克设计!$B$14:$K$20,9)/30))</f>
        <v>9.8543346565899004</v>
      </c>
      <c r="FB225" s="172">
        <f ca="1">(VLOOKUP(FB$72,INDIRECT($C$5&amp;"生成成长"),2))/((VLOOKUP($B225,INDIRECT($B$5&amp;"生成成长"),4))/(VLOOKUP(FB$72,INDIRECT($C$5&amp;"生成成长"),5))*(VLOOKUP($B$5,标准坦克设计!$B$24:$U$30,MATCH("对"&amp;LEFT($C$5,2)&amp;"输出",标准坦克设计!$B$23:$U$23,0)))*(VLOOKUP($B225,INDIRECT($B$5&amp;"生成成长"),3))*(VLOOKUP($B$5,标准坦克设计!$B$14:$K$20,9)/30))</f>
        <v>10.469211800317856</v>
      </c>
      <c r="FC225" s="172">
        <f ca="1">(VLOOKUP(FC$72,INDIRECT($C$5&amp;"生成成长"),2))/((VLOOKUP($B225,INDIRECT($B$5&amp;"生成成长"),4))/(VLOOKUP(FC$72,INDIRECT($C$5&amp;"生成成长"),5))*(VLOOKUP($B$5,标准坦克设计!$B$24:$U$30,MATCH("对"&amp;LEFT($C$5,2)&amp;"输出",标准坦克设计!$B$23:$U$23,0)))*(VLOOKUP($B225,INDIRECT($B$5&amp;"生成成长"),3))*(VLOOKUP($B$5,标准坦克设计!$B$14:$K$20,9)/30))</f>
        <v>11.102695955272788</v>
      </c>
      <c r="FD225" s="172">
        <f ca="1">(VLOOKUP(FD$72,INDIRECT($C$5&amp;"生成成长"),2))/((VLOOKUP($B225,INDIRECT($B$5&amp;"生成成长"),4))/(VLOOKUP(FD$72,INDIRECT($C$5&amp;"生成成长"),5))*(VLOOKUP($B$5,标准坦克设计!$B$24:$U$30,MATCH("对"&amp;LEFT($C$5,2)&amp;"输出",标准坦克设计!$B$23:$U$23,0)))*(VLOOKUP($B225,INDIRECT($B$5&amp;"生成成长"),3))*(VLOOKUP($B$5,标准坦克设计!$B$14:$K$20,9)/30))</f>
        <v>11.754787121454703</v>
      </c>
      <c r="FE225" s="172">
        <f ca="1">(VLOOKUP(FE$72,INDIRECT($C$5&amp;"生成成长"),2))/((VLOOKUP($B225,INDIRECT($B$5&amp;"生成成长"),4))/(VLOOKUP(FE$72,INDIRECT($C$5&amp;"生成成长"),5))*(VLOOKUP($B$5,标准坦克设计!$B$24:$U$30,MATCH("对"&amp;LEFT($C$5,2)&amp;"输出",标准坦克设计!$B$23:$U$23,0)))*(VLOOKUP($B225,INDIRECT($B$5&amp;"生成成长"),3))*(VLOOKUP($B$5,标准坦克设计!$B$14:$K$20,9)/30))</f>
        <v>12.549429522408612</v>
      </c>
      <c r="FF225" s="172">
        <f ca="1">(VLOOKUP(FF$72,INDIRECT($C$5&amp;"生成成长"),2))/((VLOOKUP($B225,INDIRECT($B$5&amp;"生成成长"),4))/(VLOOKUP(FF$72,INDIRECT($C$5&amp;"生成成长"),5))*(VLOOKUP($B$5,标准坦克设计!$B$24:$U$30,MATCH("对"&amp;LEFT($C$5,2)&amp;"输出",标准坦克设计!$B$23:$U$23,0)))*(VLOOKUP($B225,INDIRECT($B$5&amp;"生成成长"),3))*(VLOOKUP($B$5,标准坦克设计!$B$14:$K$20,9)/30))</f>
        <v>13.370060228299376</v>
      </c>
      <c r="FG225" s="172">
        <f ca="1">(VLOOKUP(FG$72,INDIRECT($C$5&amp;"生成成长"),2))/((VLOOKUP($B225,INDIRECT($B$5&amp;"生成成长"),4))/(VLOOKUP(FG$72,INDIRECT($C$5&amp;"生成成长"),5))*(VLOOKUP($B$5,标准坦克设计!$B$24:$U$30,MATCH("对"&amp;LEFT($C$5,2)&amp;"输出",标准坦克设计!$B$23:$U$23,0)))*(VLOOKUP($B225,INDIRECT($B$5&amp;"生成成长"),3))*(VLOOKUP($B$5,标准坦克设计!$B$14:$K$20,9)/30))</f>
        <v>14.216679239126998</v>
      </c>
      <c r="FH225" s="172">
        <f ca="1">(VLOOKUP(FH$72,INDIRECT($C$5&amp;"生成成长"),2))/((VLOOKUP($B225,INDIRECT($B$5&amp;"生成成长"),4))/(VLOOKUP(FH$72,INDIRECT($C$5&amp;"生成成长"),5))*(VLOOKUP($B$5,标准坦克设计!$B$24:$U$30,MATCH("对"&amp;LEFT($C$5,2)&amp;"输出",标准坦克设计!$B$23:$U$23,0)))*(VLOOKUP($B225,INDIRECT($B$5&amp;"生成成长"),3))*(VLOOKUP($B$5,标准坦克设计!$B$14:$K$20,9)/30))</f>
        <v>15.089286554891478</v>
      </c>
      <c r="FI225" s="172">
        <f ca="1">(VLOOKUP(FI$72,INDIRECT($C$5&amp;"生成成长"),2))/((VLOOKUP($B225,INDIRECT($B$5&amp;"生成成长"),4))/(VLOOKUP(FI$72,INDIRECT($C$5&amp;"生成成长"),5))*(VLOOKUP($B$5,标准坦克设计!$B$24:$U$30,MATCH("对"&amp;LEFT($C$5,2)&amp;"输出",标准坦克设计!$B$23:$U$23,0)))*(VLOOKUP($B225,INDIRECT($B$5&amp;"生成成长"),3))*(VLOOKUP($B$5,标准坦克设计!$B$14:$K$20,9)/30))</f>
        <v>15.987882175592816</v>
      </c>
      <c r="FJ225" s="172">
        <f ca="1">(VLOOKUP(FJ$72,INDIRECT($C$5&amp;"生成成长"),2))/((VLOOKUP($B225,INDIRECT($B$5&amp;"生成成长"),4))/(VLOOKUP(FJ$72,INDIRECT($C$5&amp;"生成成长"),5))*(VLOOKUP($B$5,标准坦克设计!$B$24:$U$30,MATCH("对"&amp;LEFT($C$5,2)&amp;"输出",标准坦克设计!$B$23:$U$23,0)))*(VLOOKUP($B225,INDIRECT($B$5&amp;"生成成长"),3))*(VLOOKUP($B$5,标准坦克设计!$B$14:$K$20,9)/30))</f>
        <v>16.912466101231011</v>
      </c>
      <c r="FK225" s="172">
        <f ca="1">(VLOOKUP(FK$72,INDIRECT($C$5&amp;"生成成长"),2))/((VLOOKUP($B225,INDIRECT($B$5&amp;"生成成长"),4))/(VLOOKUP(FK$72,INDIRECT($C$5&amp;"生成成长"),5))*(VLOOKUP($B$5,标准坦克设计!$B$24:$U$30,MATCH("对"&amp;LEFT($C$5,2)&amp;"输出",标准坦克设计!$B$23:$U$23,0)))*(VLOOKUP($B225,INDIRECT($B$5&amp;"生成成长"),3))*(VLOOKUP($B$5,标准坦克设计!$B$14:$K$20,9)/30))</f>
        <v>17.863038331806063</v>
      </c>
    </row>
    <row r="226" spans="1:167" x14ac:dyDescent="0.15">
      <c r="A226" s="170" t="str">
        <f t="shared" si="13"/>
        <v>T5高品质10级</v>
      </c>
      <c r="B226" s="171">
        <v>30510</v>
      </c>
      <c r="C226" s="172">
        <f ca="1">(VLOOKUP(C$72,INDIRECT($C$5&amp;"生成成长"),2))/((VLOOKUP($B226,INDIRECT($B$5&amp;"生成成长"),4))/(VLOOKUP(C$72,INDIRECT($C$5&amp;"生成成长"),5))*(VLOOKUP($B$5,标准坦克设计!$B$24:$U$30,MATCH("对"&amp;LEFT($C$5,2)&amp;"输出",标准坦克设计!$B$23:$U$23,0)))*(VLOOKUP($B226,INDIRECT($B$5&amp;"生成成长"),3))*(VLOOKUP($B$5,标准坦克设计!$B$14:$K$20,9)/30))</f>
        <v>0.71985821435329611</v>
      </c>
      <c r="D226" s="172">
        <f ca="1">(VLOOKUP(D$72,INDIRECT($C$5&amp;"生成成长"),2))/((VLOOKUP($B226,INDIRECT($B$5&amp;"生成成长"),4))/(VLOOKUP(D$72,INDIRECT($C$5&amp;"生成成长"),5))*(VLOOKUP($B$5,标准坦克设计!$B$24:$U$30,MATCH("对"&amp;LEFT($C$5,2)&amp;"输出",标准坦克设计!$B$23:$U$23,0)))*(VLOOKUP($B226,INDIRECT($B$5&amp;"生成成长"),3))*(VLOOKUP($B$5,标准坦克设计!$B$14:$K$20,9)/30))</f>
        <v>0.80883268964736366</v>
      </c>
      <c r="E226" s="172">
        <f ca="1">(VLOOKUP(E$72,INDIRECT($C$5&amp;"生成成长"),2))/((VLOOKUP($B226,INDIRECT($B$5&amp;"生成成长"),4))/(VLOOKUP(E$72,INDIRECT($C$5&amp;"生成成长"),5))*(VLOOKUP($B$5,标准坦克设计!$B$24:$U$30,MATCH("对"&amp;LEFT($C$5,2)&amp;"输出",标准坦克设计!$B$23:$U$23,0)))*(VLOOKUP($B226,INDIRECT($B$5&amp;"生成成长"),3))*(VLOOKUP($B$5,标准坦克设计!$B$14:$K$20,9)/30))</f>
        <v>0.90299014408477485</v>
      </c>
      <c r="F226" s="172">
        <f ca="1">(VLOOKUP(F$72,INDIRECT($C$5&amp;"生成成长"),2))/((VLOOKUP($B226,INDIRECT($B$5&amp;"生成成长"),4))/(VLOOKUP(F$72,INDIRECT($C$5&amp;"生成成长"),5))*(VLOOKUP($B$5,标准坦克设计!$B$24:$U$30,MATCH("对"&amp;LEFT($C$5,2)&amp;"输出",标准坦克设计!$B$23:$U$23,0)))*(VLOOKUP($B226,INDIRECT($B$5&amp;"生成成长"),3))*(VLOOKUP($B$5,标准坦克设计!$B$14:$K$20,9)/30))</f>
        <v>1.0023305776655296</v>
      </c>
      <c r="G226" s="172">
        <f ca="1">(VLOOKUP(G$72,INDIRECT($C$5&amp;"生成成长"),2))/((VLOOKUP($B226,INDIRECT($B$5&amp;"生成成长"),4))/(VLOOKUP(G$72,INDIRECT($C$5&amp;"生成成长"),5))*(VLOOKUP($B$5,标准坦克设计!$B$24:$U$30,MATCH("对"&amp;LEFT($C$5,2)&amp;"输出",标准坦克设计!$B$23:$U$23,0)))*(VLOOKUP($B226,INDIRECT($B$5&amp;"生成成长"),3))*(VLOOKUP($B$5,标准坦克设计!$B$14:$K$20,9)/30))</f>
        <v>1.1068539903896284</v>
      </c>
      <c r="H226" s="172">
        <f ca="1">(VLOOKUP(H$72,INDIRECT($C$5&amp;"生成成长"),2))/((VLOOKUP($B226,INDIRECT($B$5&amp;"生成成长"),4))/(VLOOKUP(H$72,INDIRECT($C$5&amp;"生成成长"),5))*(VLOOKUP($B$5,标准坦克设计!$B$24:$U$30,MATCH("对"&amp;LEFT($C$5,2)&amp;"输出",标准坦克设计!$B$23:$U$23,0)))*(VLOOKUP($B226,INDIRECT($B$5&amp;"生成成长"),3))*(VLOOKUP($B$5,标准坦克设计!$B$14:$K$20,9)/30))</f>
        <v>0.96864121323379537</v>
      </c>
      <c r="I226" s="172">
        <f ca="1">(VLOOKUP(I$72,INDIRECT($C$5&amp;"生成成长"),2))/((VLOOKUP($B226,INDIRECT($B$5&amp;"生成成长"),4))/(VLOOKUP(I$72,INDIRECT($C$5&amp;"生成成长"),5))*(VLOOKUP($B$5,标准坦克设计!$B$24:$U$30,MATCH("对"&amp;LEFT($C$5,2)&amp;"输出",标准坦克设计!$B$23:$U$23,0)))*(VLOOKUP($B226,INDIRECT($B$5&amp;"生成成长"),3))*(VLOOKUP($B$5,标准坦克设计!$B$14:$K$20,9)/30))</f>
        <v>1.1068539903896284</v>
      </c>
      <c r="J226" s="172">
        <f ca="1">(VLOOKUP(J$72,INDIRECT($C$5&amp;"生成成长"),2))/((VLOOKUP($B226,INDIRECT($B$5&amp;"生成成长"),4))/(VLOOKUP(J$72,INDIRECT($C$5&amp;"生成成长"),5))*(VLOOKUP($B$5,标准坦克设计!$B$24:$U$30,MATCH("对"&amp;LEFT($C$5,2)&amp;"输出",标准坦克设计!$B$23:$U$23,0)))*(VLOOKUP($B226,INDIRECT($B$5&amp;"生成成长"),3))*(VLOOKUP($B$5,标准坦克设计!$B$14:$K$20,9)/30))</f>
        <v>1.2542809526891832</v>
      </c>
      <c r="K226" s="172">
        <f ca="1">(VLOOKUP(K$72,INDIRECT($C$5&amp;"生成成长"),2))/((VLOOKUP($B226,INDIRECT($B$5&amp;"生成成长"),4))/(VLOOKUP(K$72,INDIRECT($C$5&amp;"生成成长"),5))*(VLOOKUP($B$5,标准坦克设计!$B$24:$U$30,MATCH("对"&amp;LEFT($C$5,2)&amp;"输出",标准坦克设计!$B$23:$U$23,0)))*(VLOOKUP($B226,INDIRECT($B$5&amp;"生成成长"),3))*(VLOOKUP($B$5,标准坦克设计!$B$14:$K$20,9)/30))</f>
        <v>1.4109221001324603</v>
      </c>
      <c r="L226" s="172">
        <f ca="1">(VLOOKUP(L$72,INDIRECT($C$5&amp;"生成成长"),2))/((VLOOKUP($B226,INDIRECT($B$5&amp;"生成成长"),4))/(VLOOKUP(L$72,INDIRECT($C$5&amp;"生成成长"),5))*(VLOOKUP($B$5,标准坦克设计!$B$24:$U$30,MATCH("对"&amp;LEFT($C$5,2)&amp;"输出",标准坦克设计!$B$23:$U$23,0)))*(VLOOKUP($B226,INDIRECT($B$5&amp;"生成成长"),3))*(VLOOKUP($B$5,标准坦克设计!$B$14:$K$20,9)/30))</f>
        <v>1.5767774327194599</v>
      </c>
      <c r="M226" s="172">
        <f ca="1">(VLOOKUP(M$72,INDIRECT($C$5&amp;"生成成长"),2))/((VLOOKUP($B226,INDIRECT($B$5&amp;"生成成长"),4))/(VLOOKUP(M$72,INDIRECT($C$5&amp;"生成成长"),5))*(VLOOKUP($B$5,标准坦克设计!$B$24:$U$30,MATCH("对"&amp;LEFT($C$5,2)&amp;"输出",标准坦克设计!$B$23:$U$23,0)))*(VLOOKUP($B226,INDIRECT($B$5&amp;"生成成长"),3))*(VLOOKUP($B$5,标准坦克设计!$B$14:$K$20,9)/30))</f>
        <v>1.7518469504501815</v>
      </c>
      <c r="N226" s="172">
        <f ca="1">(VLOOKUP(N$72,INDIRECT($C$5&amp;"生成成长"),2))/((VLOOKUP($B226,INDIRECT($B$5&amp;"生成成长"),4))/(VLOOKUP(N$72,INDIRECT($C$5&amp;"生成成长"),5))*(VLOOKUP($B$5,标准坦克设计!$B$24:$U$30,MATCH("对"&amp;LEFT($C$5,2)&amp;"输出",标准坦克设计!$B$23:$U$23,0)))*(VLOOKUP($B226,INDIRECT($B$5&amp;"生成成长"),3))*(VLOOKUP($B$5,标准坦克设计!$B$14:$K$20,9)/30))</f>
        <v>1.9361306533246254</v>
      </c>
      <c r="O226" s="172">
        <f ca="1">(VLOOKUP(O$72,INDIRECT($C$5&amp;"生成成长"),2))/((VLOOKUP($B226,INDIRECT($B$5&amp;"生成成长"),4))/(VLOOKUP(O$72,INDIRECT($C$5&amp;"生成成长"),5))*(VLOOKUP($B$5,标准坦克设计!$B$24:$U$30,MATCH("对"&amp;LEFT($C$5,2)&amp;"输出",标准坦克设计!$B$23:$U$23,0)))*(VLOOKUP($B226,INDIRECT($B$5&amp;"生成成长"),3))*(VLOOKUP($B$5,标准坦克设计!$B$14:$K$20,9)/30))</f>
        <v>1.4720380625310554</v>
      </c>
      <c r="P226" s="172">
        <f ca="1">(VLOOKUP(P$72,INDIRECT($C$5&amp;"生成成长"),2))/((VLOOKUP($B226,INDIRECT($B$5&amp;"生成成长"),4))/(VLOOKUP(P$72,INDIRECT($C$5&amp;"生成成长"),5))*(VLOOKUP($B$5,标准坦克设计!$B$24:$U$30,MATCH("对"&amp;LEFT($C$5,2)&amp;"输出",标准坦克设计!$B$23:$U$23,0)))*(VLOOKUP($B226,INDIRECT($B$5&amp;"生成成长"),3))*(VLOOKUP($B$5,标准坦克设计!$B$14:$K$20,9)/30))</f>
        <v>1.6631604184418558</v>
      </c>
      <c r="Q226" s="172">
        <f ca="1">(VLOOKUP(Q$72,INDIRECT($C$5&amp;"生成成长"),2))/((VLOOKUP($B226,INDIRECT($B$5&amp;"生成成长"),4))/(VLOOKUP(Q$72,INDIRECT($C$5&amp;"生成成长"),5))*(VLOOKUP($B$5,标准坦克设计!$B$24:$U$30,MATCH("对"&amp;LEFT($C$5,2)&amp;"输出",标准坦克设计!$B$23:$U$23,0)))*(VLOOKUP($B226,INDIRECT($B$5&amp;"生成成长"),3))*(VLOOKUP($B$5,标准坦克设计!$B$14:$K$20,9)/30))</f>
        <v>1.865944477425179</v>
      </c>
      <c r="R226" s="172">
        <f ca="1">(VLOOKUP(R$72,INDIRECT($C$5&amp;"生成成长"),2))/((VLOOKUP($B226,INDIRECT($B$5&amp;"生成成长"),4))/(VLOOKUP(R$72,INDIRECT($C$5&amp;"生成成长"),5))*(VLOOKUP($B$5,标准坦克设计!$B$24:$U$30,MATCH("对"&amp;LEFT($C$5,2)&amp;"输出",标准坦克设计!$B$23:$U$23,0)))*(VLOOKUP($B226,INDIRECT($B$5&amp;"生成成长"),3))*(VLOOKUP($B$5,标准坦克设计!$B$14:$K$20,9)/30))</f>
        <v>2.0803902394810261</v>
      </c>
      <c r="S226" s="172">
        <f ca="1">(VLOOKUP(S$72,INDIRECT($C$5&amp;"生成成长"),2))/((VLOOKUP($B226,INDIRECT($B$5&amp;"生成成长"),4))/(VLOOKUP(S$72,INDIRECT($C$5&amp;"生成成长"),5))*(VLOOKUP($B$5,标准坦克设计!$B$24:$U$30,MATCH("对"&amp;LEFT($C$5,2)&amp;"输出",标准坦克设计!$B$23:$U$23,0)))*(VLOOKUP($B226,INDIRECT($B$5&amp;"生成成长"),3))*(VLOOKUP($B$5,标准坦克设计!$B$14:$K$20,9)/30))</f>
        <v>2.3064977046093964</v>
      </c>
      <c r="T226" s="172">
        <f ca="1">(VLOOKUP(T$72,INDIRECT($C$5&amp;"生成成长"),2))/((VLOOKUP($B226,INDIRECT($B$5&amp;"生成成长"),4))/(VLOOKUP(T$72,INDIRECT($C$5&amp;"生成成长"),5))*(VLOOKUP($B$5,标准坦克设计!$B$24:$U$30,MATCH("对"&amp;LEFT($C$5,2)&amp;"输出",标准坦克设计!$B$23:$U$23,0)))*(VLOOKUP($B226,INDIRECT($B$5&amp;"生成成长"),3))*(VLOOKUP($B$5,标准坦克设计!$B$14:$K$20,9)/30))</f>
        <v>2.5442668728102902</v>
      </c>
      <c r="U226" s="172">
        <f ca="1">(VLOOKUP(U$72,INDIRECT($C$5&amp;"生成成长"),2))/((VLOOKUP($B226,INDIRECT($B$5&amp;"生成成长"),4))/(VLOOKUP(U$72,INDIRECT($C$5&amp;"生成成长"),5))*(VLOOKUP($B$5,标准坦克设计!$B$24:$U$30,MATCH("对"&amp;LEFT($C$5,2)&amp;"输出",标准坦克设计!$B$23:$U$23,0)))*(VLOOKUP($B226,INDIRECT($B$5&amp;"生成成长"),3))*(VLOOKUP($B$5,标准坦克设计!$B$14:$K$20,9)/30))</f>
        <v>2.793697744083707</v>
      </c>
      <c r="V226" s="172">
        <f ca="1">(VLOOKUP(V$72,INDIRECT($C$5&amp;"生成成长"),2))/((VLOOKUP($B226,INDIRECT($B$5&amp;"生成成长"),4))/(VLOOKUP(V$72,INDIRECT($C$5&amp;"生成成长"),5))*(VLOOKUP($B$5,标准坦克设计!$B$24:$U$30,MATCH("对"&amp;LEFT($C$5,2)&amp;"输出",标准坦克设计!$B$23:$U$23,0)))*(VLOOKUP($B226,INDIRECT($B$5&amp;"生成成长"),3))*(VLOOKUP($B$5,标准坦克设计!$B$14:$K$20,9)/30))</f>
        <v>3.0547903184296477</v>
      </c>
      <c r="W226" s="172">
        <f ca="1">(VLOOKUP(W$72,INDIRECT($C$5&amp;"生成成长"),2))/((VLOOKUP($B226,INDIRECT($B$5&amp;"生成成长"),4))/(VLOOKUP(W$72,INDIRECT($C$5&amp;"生成成长"),5))*(VLOOKUP($B$5,标准坦克设计!$B$24:$U$30,MATCH("对"&amp;LEFT($C$5,2)&amp;"输出",标准坦克设计!$B$23:$U$23,0)))*(VLOOKUP($B226,INDIRECT($B$5&amp;"生成成长"),3))*(VLOOKUP($B$5,标准坦克设计!$B$14:$K$20,9)/30))</f>
        <v>3.3275445958481118</v>
      </c>
      <c r="X226" s="172">
        <f ca="1">(VLOOKUP(X$72,INDIRECT($C$5&amp;"生成成长"),2))/((VLOOKUP($B226,INDIRECT($B$5&amp;"生成成长"),4))/(VLOOKUP(X$72,INDIRECT($C$5&amp;"生成成长"),5))*(VLOOKUP($B$5,标准坦克设计!$B$24:$U$30,MATCH("对"&amp;LEFT($C$5,2)&amp;"输出",标准坦克设计!$B$23:$U$23,0)))*(VLOOKUP($B226,INDIRECT($B$5&amp;"生成成长"),3))*(VLOOKUP($B$5,标准坦克设计!$B$14:$K$20,9)/30))</f>
        <v>2.4107331740477536</v>
      </c>
      <c r="Y226" s="172">
        <f ca="1">(VLOOKUP(Y$72,INDIRECT($C$5&amp;"生成成长"),2))/((VLOOKUP($B226,INDIRECT($B$5&amp;"生成成长"),4))/(VLOOKUP(Y$72,INDIRECT($C$5&amp;"生成成长"),5))*(VLOOKUP($B$5,标准坦克设计!$B$24:$U$30,MATCH("对"&amp;LEFT($C$5,2)&amp;"输出",标准坦克设计!$B$23:$U$23,0)))*(VLOOKUP($B226,INDIRECT($B$5&amp;"生成成长"),3))*(VLOOKUP($B$5,标准坦克设计!$B$14:$K$20,9)/30))</f>
        <v>2.681399862644593</v>
      </c>
      <c r="Z226" s="172">
        <f ca="1">(VLOOKUP(Z$72,INDIRECT($C$5&amp;"生成成长"),2))/((VLOOKUP($B226,INDIRECT($B$5&amp;"生成成长"),4))/(VLOOKUP(Z$72,INDIRECT($C$5&amp;"生成成长"),5))*(VLOOKUP($B$5,标准坦克设计!$B$24:$U$30,MATCH("对"&amp;LEFT($C$5,2)&amp;"输出",标准坦克设计!$B$23:$U$23,0)))*(VLOOKUP($B226,INDIRECT($B$5&amp;"生成成长"),3))*(VLOOKUP($B$5,标准坦克设计!$B$14:$K$20,9)/30))</f>
        <v>2.9664637155284987</v>
      </c>
      <c r="AA226" s="172">
        <f ca="1">(VLOOKUP(AA$72,INDIRECT($C$5&amp;"生成成长"),2))/((VLOOKUP($B226,INDIRECT($B$5&amp;"生成成长"),4))/(VLOOKUP(AA$72,INDIRECT($C$5&amp;"生成成长"),5))*(VLOOKUP($B$5,标准坦克设计!$B$24:$U$30,MATCH("对"&amp;LEFT($C$5,2)&amp;"输出",标准坦克设计!$B$23:$U$23,0)))*(VLOOKUP($B226,INDIRECT($B$5&amp;"生成成长"),3))*(VLOOKUP($B$5,标准坦克设计!$B$14:$K$20,9)/30))</f>
        <v>3.26592473269947</v>
      </c>
      <c r="AB226" s="172">
        <f ca="1">(VLOOKUP(AB$72,INDIRECT($C$5&amp;"生成成长"),2))/((VLOOKUP($B226,INDIRECT($B$5&amp;"生成成长"),4))/(VLOOKUP(AB$72,INDIRECT($C$5&amp;"生成成长"),5))*(VLOOKUP($B$5,标准坦克设计!$B$24:$U$30,MATCH("对"&amp;LEFT($C$5,2)&amp;"输出",标准坦克设计!$B$23:$U$23,0)))*(VLOOKUP($B226,INDIRECT($B$5&amp;"生成成长"),3))*(VLOOKUP($B$5,标准坦克设计!$B$14:$K$20,9)/30))</f>
        <v>3.5797829141575068</v>
      </c>
      <c r="AC226" s="172">
        <f ca="1">(VLOOKUP(AC$72,INDIRECT($C$5&amp;"生成成长"),2))/((VLOOKUP($B226,INDIRECT($B$5&amp;"生成成长"),4))/(VLOOKUP(AC$72,INDIRECT($C$5&amp;"生成成长"),5))*(VLOOKUP($B$5,标准坦克设计!$B$24:$U$30,MATCH("对"&amp;LEFT($C$5,2)&amp;"输出",标准坦克设计!$B$23:$U$23,0)))*(VLOOKUP($B226,INDIRECT($B$5&amp;"生成成长"),3))*(VLOOKUP($B$5,标准坦克设计!$B$14:$K$20,9)/30))</f>
        <v>3.9080382599026096</v>
      </c>
      <c r="AD226" s="172">
        <f ca="1">(VLOOKUP(AD$72,INDIRECT($C$5&amp;"生成成长"),2))/((VLOOKUP($B226,INDIRECT($B$5&amp;"生成成长"),4))/(VLOOKUP(AD$72,INDIRECT($C$5&amp;"生成成长"),5))*(VLOOKUP($B$5,标准坦克设计!$B$24:$U$30,MATCH("对"&amp;LEFT($C$5,2)&amp;"输出",标准坦克设计!$B$23:$U$23,0)))*(VLOOKUP($B226,INDIRECT($B$5&amp;"生成成长"),3))*(VLOOKUP($B$5,标准坦克设计!$B$14:$K$20,9)/30))</f>
        <v>4.2506907699347787</v>
      </c>
      <c r="AE226" s="172">
        <f ca="1">(VLOOKUP(AE$72,INDIRECT($C$5&amp;"生成成长"),2))/((VLOOKUP($B226,INDIRECT($B$5&amp;"生成成长"),4))/(VLOOKUP(AE$72,INDIRECT($C$5&amp;"生成成长"),5))*(VLOOKUP($B$5,标准坦克设计!$B$24:$U$30,MATCH("对"&amp;LEFT($C$5,2)&amp;"输出",标准坦克设计!$B$23:$U$23,0)))*(VLOOKUP($B226,INDIRECT($B$5&amp;"生成成长"),3))*(VLOOKUP($B$5,标准坦克设计!$B$14:$K$20,9)/30))</f>
        <v>4.6077404442540137</v>
      </c>
      <c r="AF226" s="172">
        <f ca="1">(VLOOKUP(AF$72,INDIRECT($C$5&amp;"生成成长"),2))/((VLOOKUP($B226,INDIRECT($B$5&amp;"生成成长"),4))/(VLOOKUP(AF$72,INDIRECT($C$5&amp;"生成成长"),5))*(VLOOKUP($B$5,标准坦克设计!$B$24:$U$30,MATCH("对"&amp;LEFT($C$5,2)&amp;"输出",标准坦克设计!$B$23:$U$23,0)))*(VLOOKUP($B226,INDIRECT($B$5&amp;"生成成长"),3))*(VLOOKUP($B$5,标准坦克设计!$B$14:$K$20,9)/30))</f>
        <v>4.9791872828603134</v>
      </c>
      <c r="AG226" s="172">
        <f ca="1">(VLOOKUP(AG$72,INDIRECT($C$5&amp;"生成成长"),2))/((VLOOKUP($B226,INDIRECT($B$5&amp;"生成成长"),4))/(VLOOKUP(AG$72,INDIRECT($C$5&amp;"生成成长"),5))*(VLOOKUP($B$5,标准坦克设计!$B$24:$U$30,MATCH("对"&amp;LEFT($C$5,2)&amp;"输出",标准坦克设计!$B$23:$U$23,0)))*(VLOOKUP($B226,INDIRECT($B$5&amp;"生成成长"),3))*(VLOOKUP($B$5,标准坦克设计!$B$14:$K$20,9)/30))</f>
        <v>5.3650312857536813</v>
      </c>
      <c r="AH226" s="172">
        <f ca="1">(VLOOKUP(AH$72,INDIRECT($C$5&amp;"生成成长"),2))/((VLOOKUP($B226,INDIRECT($B$5&amp;"生成成长"),4))/(VLOOKUP(AH$72,INDIRECT($C$5&amp;"生成成长"),5))*(VLOOKUP($B$5,标准坦克设计!$B$24:$U$30,MATCH("对"&amp;LEFT($C$5,2)&amp;"输出",标准坦克设计!$B$23:$U$23,0)))*(VLOOKUP($B226,INDIRECT($B$5&amp;"生成成长"),3))*(VLOOKUP($B$5,标准坦克设计!$B$14:$K$20,9)/30))</f>
        <v>5.7652724529341128</v>
      </c>
      <c r="AI226" s="172">
        <f ca="1">(VLOOKUP(AI$72,INDIRECT($C$5&amp;"生成成长"),2))/((VLOOKUP($B226,INDIRECT($B$5&amp;"生成成长"),4))/(VLOOKUP(AI$72,INDIRECT($C$5&amp;"生成成长"),5))*(VLOOKUP($B$5,标准坦克设计!$B$24:$U$30,MATCH("对"&amp;LEFT($C$5,2)&amp;"输出",标准坦克设计!$B$23:$U$23,0)))*(VLOOKUP($B226,INDIRECT($B$5&amp;"生成成长"),3))*(VLOOKUP($B$5,标准坦克设计!$B$14:$K$20,9)/30))</f>
        <v>4.0775648693828108</v>
      </c>
      <c r="AJ226" s="172">
        <f ca="1">(VLOOKUP(AJ$72,INDIRECT($C$5&amp;"生成成长"),2))/((VLOOKUP($B226,INDIRECT($B$5&amp;"生成成长"),4))/(VLOOKUP(AJ$72,INDIRECT($C$5&amp;"生成成长"),5))*(VLOOKUP($B$5,标准坦克设计!$B$24:$U$30,MATCH("对"&amp;LEFT($C$5,2)&amp;"输出",标准坦克设计!$B$23:$U$23,0)))*(VLOOKUP($B226,INDIRECT($B$5&amp;"生成成长"),3))*(VLOOKUP($B$5,标准坦克设计!$B$14:$K$20,9)/30))</f>
        <v>4.463192914811871</v>
      </c>
      <c r="AK226" s="172">
        <f ca="1">(VLOOKUP(AK$72,INDIRECT($C$5&amp;"生成成长"),2))/((VLOOKUP($B226,INDIRECT($B$5&amp;"生成成长"),4))/(VLOOKUP(AK$72,INDIRECT($C$5&amp;"生成成长"),5))*(VLOOKUP($B$5,标准坦克设计!$B$24:$U$30,MATCH("对"&amp;LEFT($C$5,2)&amp;"输出",标准坦克设计!$B$23:$U$23,0)))*(VLOOKUP($B226,INDIRECT($B$5&amp;"生成成长"),3))*(VLOOKUP($B$5,标准坦克设计!$B$14:$K$20,9)/30))</f>
        <v>4.8662415290282821</v>
      </c>
      <c r="AL226" s="172">
        <f ca="1">(VLOOKUP(AL$72,INDIRECT($C$5&amp;"生成成长"),2))/((VLOOKUP($B226,INDIRECT($B$5&amp;"生成成长"),4))/(VLOOKUP(AL$72,INDIRECT($C$5&amp;"生成成长"),5))*(VLOOKUP($B$5,标准坦克设计!$B$24:$U$30,MATCH("对"&amp;LEFT($C$5,2)&amp;"输出",标准坦克设计!$B$23:$U$23,0)))*(VLOOKUP($B226,INDIRECT($B$5&amp;"生成成长"),3))*(VLOOKUP($B$5,标准坦克设计!$B$14:$K$20,9)/30))</f>
        <v>5.2867107120320425</v>
      </c>
      <c r="AM226" s="172">
        <f ca="1">(VLOOKUP(AM$72,INDIRECT($C$5&amp;"生成成长"),2))/((VLOOKUP($B226,INDIRECT($B$5&amp;"生成成长"),4))/(VLOOKUP(AM$72,INDIRECT($C$5&amp;"生成成长"),5))*(VLOOKUP($B$5,标准坦克设计!$B$24:$U$30,MATCH("对"&amp;LEFT($C$5,2)&amp;"输出",标准坦克设计!$B$23:$U$23,0)))*(VLOOKUP($B226,INDIRECT($B$5&amp;"生成成长"),3))*(VLOOKUP($B$5,标准坦克设计!$B$14:$K$20,9)/30))</f>
        <v>5.724600463823152</v>
      </c>
      <c r="AN226" s="172">
        <f ca="1">(VLOOKUP(AN$72,INDIRECT($C$5&amp;"生成成长"),2))/((VLOOKUP($B226,INDIRECT($B$5&amp;"生成成长"),4))/(VLOOKUP(AN$72,INDIRECT($C$5&amp;"生成成长"),5))*(VLOOKUP($B$5,标准坦克设计!$B$24:$U$30,MATCH("对"&amp;LEFT($C$5,2)&amp;"输出",标准坦克设计!$B$23:$U$23,0)))*(VLOOKUP($B226,INDIRECT($B$5&amp;"生成成长"),3))*(VLOOKUP($B$5,标准坦克设计!$B$14:$K$20,9)/30))</f>
        <v>6.1799107844016117</v>
      </c>
      <c r="AO226" s="172">
        <f ca="1">(VLOOKUP(AO$72,INDIRECT($C$5&amp;"生成成长"),2))/((VLOOKUP($B226,INDIRECT($B$5&amp;"生成成长"),4))/(VLOOKUP(AO$72,INDIRECT($C$5&amp;"生成成长"),5))*(VLOOKUP($B$5,标准坦克设计!$B$24:$U$30,MATCH("对"&amp;LEFT($C$5,2)&amp;"输出",标准坦克设计!$B$23:$U$23,0)))*(VLOOKUP($B226,INDIRECT($B$5&amp;"生成成长"),3))*(VLOOKUP($B$5,标准坦克设计!$B$14:$K$20,9)/30))</f>
        <v>6.6526416737674232</v>
      </c>
      <c r="AP226" s="172">
        <f ca="1">(VLOOKUP(AP$72,INDIRECT($C$5&amp;"生成成长"),2))/((VLOOKUP($B226,INDIRECT($B$5&amp;"生成成长"),4))/(VLOOKUP(AP$72,INDIRECT($C$5&amp;"生成成长"),5))*(VLOOKUP($B$5,标准坦克设计!$B$24:$U$30,MATCH("对"&amp;LEFT($C$5,2)&amp;"输出",标准坦克设计!$B$23:$U$23,0)))*(VLOOKUP($B226,INDIRECT($B$5&amp;"生成成长"),3))*(VLOOKUP($B$5,标准坦克设计!$B$14:$K$20,9)/30))</f>
        <v>7.1427931319205804</v>
      </c>
      <c r="AQ226" s="172">
        <f ca="1">(VLOOKUP(AQ$72,INDIRECT($C$5&amp;"生成成长"),2))/((VLOOKUP($B226,INDIRECT($B$5&amp;"生成成长"),4))/(VLOOKUP(AQ$72,INDIRECT($C$5&amp;"生成成长"),5))*(VLOOKUP($B$5,标准坦克设计!$B$24:$U$30,MATCH("对"&amp;LEFT($C$5,2)&amp;"输出",标准坦克设计!$B$23:$U$23,0)))*(VLOOKUP($B226,INDIRECT($B$5&amp;"生成成长"),3))*(VLOOKUP($B$5,标准坦克设计!$B$14:$K$20,9)/30))</f>
        <v>7.6503651588610904</v>
      </c>
      <c r="AR226" s="172">
        <f ca="1">(VLOOKUP(AR$72,INDIRECT($C$5&amp;"生成成长"),2))/((VLOOKUP($B226,INDIRECT($B$5&amp;"生成成长"),4))/(VLOOKUP(AR$72,INDIRECT($C$5&amp;"生成成长"),5))*(VLOOKUP($B$5,标准坦克设计!$B$24:$U$30,MATCH("对"&amp;LEFT($C$5,2)&amp;"输出",标准坦克设计!$B$23:$U$23,0)))*(VLOOKUP($B226,INDIRECT($B$5&amp;"生成成长"),3))*(VLOOKUP($B$5,标准坦克设计!$B$14:$K$20,9)/30))</f>
        <v>8.1753577545889495</v>
      </c>
      <c r="AS226" s="172">
        <f ca="1">(VLOOKUP(AS$72,INDIRECT($C$5&amp;"生成成长"),2))/((VLOOKUP($B226,INDIRECT($B$5&amp;"生成成长"),4))/(VLOOKUP(AS$72,INDIRECT($C$5&amp;"生成成长"),5))*(VLOOKUP($B$5,标准坦克设计!$B$24:$U$30,MATCH("对"&amp;LEFT($C$5,2)&amp;"输出",标准坦克设计!$B$23:$U$23,0)))*(VLOOKUP($B226,INDIRECT($B$5&amp;"生成成长"),3))*(VLOOKUP($B$5,标准坦克设计!$B$14:$K$20,9)/30))</f>
        <v>8.7177709191041579</v>
      </c>
      <c r="AT226" s="172">
        <f ca="1">(VLOOKUP(AT$72,INDIRECT($C$5&amp;"生成成长"),2))/((VLOOKUP($B226,INDIRECT($B$5&amp;"生成成长"),4))/(VLOOKUP(AT$72,INDIRECT($C$5&amp;"生成成长"),5))*(VLOOKUP($B$5,标准坦克设计!$B$24:$U$30,MATCH("对"&amp;LEFT($C$5,2)&amp;"输出",标准坦克设计!$B$23:$U$23,0)))*(VLOOKUP($B226,INDIRECT($B$5&amp;"生成成长"),3))*(VLOOKUP($B$5,标准坦克设计!$B$14:$K$20,9)/30))</f>
        <v>9.2776046524067173</v>
      </c>
      <c r="AU226" s="172">
        <f ca="1">(VLOOKUP(AU$72,INDIRECT($C$5&amp;"生成成长"),2))/((VLOOKUP($B226,INDIRECT($B$5&amp;"生成成长"),4))/(VLOOKUP(AU$72,INDIRECT($C$5&amp;"生成成长"),5))*(VLOOKUP($B$5,标准坦克设计!$B$24:$U$30,MATCH("对"&amp;LEFT($C$5,2)&amp;"输出",标准坦克设计!$B$23:$U$23,0)))*(VLOOKUP($B226,INDIRECT($B$5&amp;"生成成长"),3))*(VLOOKUP($B$5,标准坦克设计!$B$14:$K$20,9)/30))</f>
        <v>9.8548589544966241</v>
      </c>
      <c r="AV226" s="172">
        <f ca="1">(VLOOKUP(AV$72,INDIRECT($C$5&amp;"生成成长"),2))/((VLOOKUP($B226,INDIRECT($B$5&amp;"生成成长"),4))/(VLOOKUP(AV$72,INDIRECT($C$5&amp;"生成成长"),5))*(VLOOKUP($B$5,标准坦克设计!$B$24:$U$30,MATCH("对"&amp;LEFT($C$5,2)&amp;"输出",标准坦克设计!$B$23:$U$23,0)))*(VLOOKUP($B226,INDIRECT($B$5&amp;"生成成长"),3))*(VLOOKUP($B$5,标准坦克设计!$B$14:$K$20,9)/30))</f>
        <v>1.0023305776655296</v>
      </c>
      <c r="AW226" s="172">
        <f ca="1">(VLOOKUP(AW$72,INDIRECT($C$5&amp;"生成成长"),2))/((VLOOKUP($B226,INDIRECT($B$5&amp;"生成成长"),4))/(VLOOKUP(AW$72,INDIRECT($C$5&amp;"生成成长"),5))*(VLOOKUP($B$5,标准坦克设计!$B$24:$U$30,MATCH("对"&amp;LEFT($C$5,2)&amp;"输出",标准坦克设计!$B$23:$U$23,0)))*(VLOOKUP($B226,INDIRECT($B$5&amp;"生成成长"),3))*(VLOOKUP($B$5,标准坦克设计!$B$14:$K$20,9)/30))</f>
        <v>1.142846901107293</v>
      </c>
      <c r="AX226" s="172">
        <f ca="1">(VLOOKUP(AX$72,INDIRECT($C$5&amp;"生成成长"),2))/((VLOOKUP($B226,INDIRECT($B$5&amp;"生成成长"),4))/(VLOOKUP(AX$72,INDIRECT($C$5&amp;"生成成长"),5))*(VLOOKUP($B$5,标准坦克设计!$B$24:$U$30,MATCH("对"&amp;LEFT($C$5,2)&amp;"输出",标准坦克设计!$B$23:$U$23,0)))*(VLOOKUP($B226,INDIRECT($B$5&amp;"生成成长"),3))*(VLOOKUP($B$5,标准坦克设计!$B$14:$K$20,9)/30))</f>
        <v>1.2925774096927787</v>
      </c>
      <c r="AY226" s="172">
        <f ca="1">(VLOOKUP(AY$72,INDIRECT($C$5&amp;"生成成长"),2))/((VLOOKUP($B226,INDIRECT($B$5&amp;"生成成长"),4))/(VLOOKUP(AY$72,INDIRECT($C$5&amp;"生成成长"),5))*(VLOOKUP($B$5,标准坦克设计!$B$24:$U$30,MATCH("对"&amp;LEFT($C$5,2)&amp;"输出",标准坦克设计!$B$23:$U$23,0)))*(VLOOKUP($B226,INDIRECT($B$5&amp;"生成成长"),3))*(VLOOKUP($B$5,标准坦克设计!$B$14:$K$20,9)/30))</f>
        <v>1.4515221034219865</v>
      </c>
      <c r="AZ226" s="172">
        <f ca="1">(VLOOKUP(AZ$72,INDIRECT($C$5&amp;"生成成长"),2))/((VLOOKUP($B226,INDIRECT($B$5&amp;"生成成长"),4))/(VLOOKUP(AZ$72,INDIRECT($C$5&amp;"生成成长"),5))*(VLOOKUP($B$5,标准坦克设计!$B$24:$U$30,MATCH("对"&amp;LEFT($C$5,2)&amp;"输出",标准坦克设计!$B$23:$U$23,0)))*(VLOOKUP($B226,INDIRECT($B$5&amp;"生成成长"),3))*(VLOOKUP($B$5,标准坦克设计!$B$14:$K$20,9)/30))</f>
        <v>1.6196809822949163</v>
      </c>
      <c r="BA226" s="172">
        <f ca="1">(VLOOKUP(BA$72,INDIRECT($C$5&amp;"生成成长"),2))/((VLOOKUP($B226,INDIRECT($B$5&amp;"生成成长"),4))/(VLOOKUP(BA$72,INDIRECT($C$5&amp;"生成成长"),5))*(VLOOKUP($B$5,标准坦克设计!$B$24:$U$30,MATCH("对"&amp;LEFT($C$5,2)&amp;"输出",标准坦克设计!$B$23:$U$23,0)))*(VLOOKUP($B226,INDIRECT($B$5&amp;"生成成长"),3))*(VLOOKUP($B$5,标准坦克设计!$B$14:$K$20,9)/30))</f>
        <v>1.7970540463115687</v>
      </c>
      <c r="BB226" s="172">
        <f ca="1">(VLOOKUP(BB$72,INDIRECT($C$5&amp;"生成成长"),2))/((VLOOKUP($B226,INDIRECT($B$5&amp;"生成成长"),4))/(VLOOKUP(BB$72,INDIRECT($C$5&amp;"生成成长"),5))*(VLOOKUP($B$5,标准坦克设计!$B$24:$U$30,MATCH("对"&amp;LEFT($C$5,2)&amp;"输出",标准坦克设计!$B$23:$U$23,0)))*(VLOOKUP($B226,INDIRECT($B$5&amp;"生成成长"),3))*(VLOOKUP($B$5,标准坦克设计!$B$14:$K$20,9)/30))</f>
        <v>1.9836412954719433</v>
      </c>
      <c r="BC226" s="172">
        <f ca="1">(VLOOKUP(BC$72,INDIRECT($C$5&amp;"生成成长"),2))/((VLOOKUP($B226,INDIRECT($B$5&amp;"生成成长"),4))/(VLOOKUP(BC$72,INDIRECT($C$5&amp;"生成成长"),5))*(VLOOKUP($B$5,标准坦克设计!$B$24:$U$30,MATCH("对"&amp;LEFT($C$5,2)&amp;"输出",标准坦克设计!$B$23:$U$23,0)))*(VLOOKUP($B226,INDIRECT($B$5&amp;"生成成长"),3))*(VLOOKUP($B$5,标准坦克设计!$B$14:$K$20,9)/30))</f>
        <v>2.1794427297760395</v>
      </c>
      <c r="BD226" s="172">
        <f ca="1">(VLOOKUP(BD$72,INDIRECT($C$5&amp;"生成成长"),2))/((VLOOKUP($B226,INDIRECT($B$5&amp;"生成成长"),4))/(VLOOKUP(BD$72,INDIRECT($C$5&amp;"生成成长"),5))*(VLOOKUP($B$5,标准坦克设计!$B$24:$U$30,MATCH("对"&amp;LEFT($C$5,2)&amp;"输出",标准坦克设计!$B$23:$U$23,0)))*(VLOOKUP($B226,INDIRECT($B$5&amp;"生成成长"),3))*(VLOOKUP($B$5,标准坦克设计!$B$14:$K$20,9)/30))</f>
        <v>2.4107331740477536</v>
      </c>
      <c r="BE226" s="172">
        <f ca="1">(VLOOKUP(BE$72,INDIRECT($C$5&amp;"生成成长"),2))/((VLOOKUP($B226,INDIRECT($B$5&amp;"生成成长"),4))/(VLOOKUP(BE$72,INDIRECT($C$5&amp;"生成成长"),5))*(VLOOKUP($B$5,标准坦克设计!$B$24:$U$30,MATCH("对"&amp;LEFT($C$5,2)&amp;"输出",标准坦克设计!$B$23:$U$23,0)))*(VLOOKUP($B226,INDIRECT($B$5&amp;"生成成长"),3))*(VLOOKUP($B$5,标准坦克设计!$B$14:$K$20,9)/30))</f>
        <v>2.6536853213919911</v>
      </c>
      <c r="BF226" s="172">
        <f ca="1">(VLOOKUP(BF$72,INDIRECT($C$5&amp;"生成成长"),2))/((VLOOKUP($B226,INDIRECT($B$5&amp;"生成成长"),4))/(VLOOKUP(BF$72,INDIRECT($C$5&amp;"生成成长"),5))*(VLOOKUP($B$5,标准坦克设计!$B$24:$U$30,MATCH("对"&amp;LEFT($C$5,2)&amp;"输出",标准坦克设计!$B$23:$U$23,0)))*(VLOOKUP($B226,INDIRECT($B$5&amp;"生成成长"),3))*(VLOOKUP($B$5,标准坦克设计!$B$14:$K$20,9)/30))</f>
        <v>2.9082991718087521</v>
      </c>
      <c r="BG226" s="172">
        <f ca="1">(VLOOKUP(BG$72,INDIRECT($C$5&amp;"生成成长"),2))/((VLOOKUP($B226,INDIRECT($B$5&amp;"生成成长"),4))/(VLOOKUP(BG$72,INDIRECT($C$5&amp;"生成成长"),5))*(VLOOKUP($B$5,标准坦克设计!$B$24:$U$30,MATCH("对"&amp;LEFT($C$5,2)&amp;"输出",标准坦克设计!$B$23:$U$23,0)))*(VLOOKUP($B226,INDIRECT($B$5&amp;"生成成长"),3))*(VLOOKUP($B$5,标准坦克设计!$B$14:$K$20,9)/30))</f>
        <v>3.1745747252980365</v>
      </c>
      <c r="BH226" s="172">
        <f ca="1">(VLOOKUP(BH$72,INDIRECT($C$5&amp;"生成成长"),2))/((VLOOKUP($B226,INDIRECT($B$5&amp;"生成成长"),4))/(VLOOKUP(BH$72,INDIRECT($C$5&amp;"生成成长"),5))*(VLOOKUP($B$5,标准坦克设计!$B$24:$U$30,MATCH("对"&amp;LEFT($C$5,2)&amp;"输出",标准坦克设计!$B$23:$U$23,0)))*(VLOOKUP($B226,INDIRECT($B$5&amp;"生成成长"),3))*(VLOOKUP($B$5,标准坦克设计!$B$14:$K$20,9)/30))</f>
        <v>1.5344497697154862</v>
      </c>
      <c r="BI226" s="172">
        <f ca="1">(VLOOKUP(BI$72,INDIRECT($C$5&amp;"生成成长"),2))/((VLOOKUP($B226,INDIRECT($B$5&amp;"生成成长"),4))/(VLOOKUP(BI$72,INDIRECT($C$5&amp;"生成成长"),5))*(VLOOKUP($B$5,标准坦克设计!$B$24:$U$30,MATCH("对"&amp;LEFT($C$5,2)&amp;"输出",标准坦克设计!$B$23:$U$23,0)))*(VLOOKUP($B226,INDIRECT($B$5&amp;"生成成长"),3))*(VLOOKUP($B$5,标准坦克设计!$B$14:$K$20,9)/30))</f>
        <v>1.729459359983794</v>
      </c>
      <c r="BJ226" s="172">
        <f ca="1">(VLOOKUP(BJ$72,INDIRECT($C$5&amp;"生成成长"),2))/((VLOOKUP($B226,INDIRECT($B$5&amp;"生成成长"),4))/(VLOOKUP(BJ$72,INDIRECT($C$5&amp;"生成成长"),5))*(VLOOKUP($B$5,标准坦克设计!$B$24:$U$30,MATCH("对"&amp;LEFT($C$5,2)&amp;"输出",标准坦克设计!$B$23:$U$23,0)))*(VLOOKUP($B226,INDIRECT($B$5&amp;"生成成长"),3))*(VLOOKUP($B$5,标准坦克设计!$B$14:$K$20,9)/30))</f>
        <v>1.9361306533246254</v>
      </c>
      <c r="BK226" s="172">
        <f ca="1">(VLOOKUP(BK$72,INDIRECT($C$5&amp;"生成成长"),2))/((VLOOKUP($B226,INDIRECT($B$5&amp;"生成成长"),4))/(VLOOKUP(BK$72,INDIRECT($C$5&amp;"生成成长"),5))*(VLOOKUP($B$5,标准坦克设计!$B$24:$U$30,MATCH("对"&amp;LEFT($C$5,2)&amp;"输出",标准坦克设计!$B$23:$U$23,0)))*(VLOOKUP($B226,INDIRECT($B$5&amp;"生成成长"),3))*(VLOOKUP($B$5,标准坦克设计!$B$14:$K$20,9)/30))</f>
        <v>2.1544636497379801</v>
      </c>
      <c r="BL226" s="172">
        <f ca="1">(VLOOKUP(BL$72,INDIRECT($C$5&amp;"生成成长"),2))/((VLOOKUP($B226,INDIRECT($B$5&amp;"生成成长"),4))/(VLOOKUP(BL$72,INDIRECT($C$5&amp;"生成成长"),5))*(VLOOKUP($B$5,标准坦克设计!$B$24:$U$30,MATCH("对"&amp;LEFT($C$5,2)&amp;"输出",标准坦克设计!$B$23:$U$23,0)))*(VLOOKUP($B226,INDIRECT($B$5&amp;"生成成长"),3))*(VLOOKUP($B$5,标准坦克设计!$B$14:$K$20,9)/30))</f>
        <v>2.3844583492238578</v>
      </c>
      <c r="BM226" s="172">
        <f ca="1">(VLOOKUP(BM$72,INDIRECT($C$5&amp;"生成成长"),2))/((VLOOKUP($B226,INDIRECT($B$5&amp;"生成成长"),4))/(VLOOKUP(BM$72,INDIRECT($C$5&amp;"生成成长"),5))*(VLOOKUP($B$5,标准坦克设计!$B$24:$U$30,MATCH("对"&amp;LEFT($C$5,2)&amp;"输出",标准坦克设计!$B$23:$U$23,0)))*(VLOOKUP($B226,INDIRECT($B$5&amp;"生成成长"),3))*(VLOOKUP($B$5,标准坦克设计!$B$14:$K$20,9)/30))</f>
        <v>2.6261147517822598</v>
      </c>
      <c r="BN226" s="172">
        <f ca="1">(VLOOKUP(BN$72,INDIRECT($C$5&amp;"生成成长"),2))/((VLOOKUP($B226,INDIRECT($B$5&amp;"生成成长"),4))/(VLOOKUP(BN$72,INDIRECT($C$5&amp;"生成成长"),5))*(VLOOKUP($B$5,标准坦克设计!$B$24:$U$30,MATCH("对"&amp;LEFT($C$5,2)&amp;"输出",标准坦克设计!$B$23:$U$23,0)))*(VLOOKUP($B226,INDIRECT($B$5&amp;"生成成长"),3))*(VLOOKUP($B$5,标准坦克设计!$B$14:$K$20,9)/30))</f>
        <v>2.8794328574131844</v>
      </c>
      <c r="BO226" s="172">
        <f ca="1">(VLOOKUP(BO$72,INDIRECT($C$5&amp;"生成成长"),2))/((VLOOKUP($B226,INDIRECT($B$5&amp;"生成成长"),4))/(VLOOKUP(BO$72,INDIRECT($C$5&amp;"生成成长"),5))*(VLOOKUP($B$5,标准坦克设计!$B$24:$U$30,MATCH("对"&amp;LEFT($C$5,2)&amp;"输出",标准坦克设计!$B$23:$U$23,0)))*(VLOOKUP($B226,INDIRECT($B$5&amp;"生成成长"),3))*(VLOOKUP($B$5,标准坦克设计!$B$14:$K$20,9)/30))</f>
        <v>3.1444126661166329</v>
      </c>
      <c r="BP226" s="172">
        <f ca="1">(VLOOKUP(BP$72,INDIRECT($C$5&amp;"生成成长"),2))/((VLOOKUP($B226,INDIRECT($B$5&amp;"生成成长"),4))/(VLOOKUP(BP$72,INDIRECT($C$5&amp;"生成成长"),5))*(VLOOKUP($B$5,标准坦克设计!$B$24:$U$30,MATCH("对"&amp;LEFT($C$5,2)&amp;"输出",标准坦克设计!$B$23:$U$23,0)))*(VLOOKUP($B226,INDIRECT($B$5&amp;"生成成长"),3))*(VLOOKUP($B$5,标准坦克设计!$B$14:$K$20,9)/30))</f>
        <v>3.4210541778926054</v>
      </c>
      <c r="BQ226" s="172">
        <f ca="1">(VLOOKUP(BQ$72,INDIRECT($C$5&amp;"生成成长"),2))/((VLOOKUP($B226,INDIRECT($B$5&amp;"生成成长"),4))/(VLOOKUP(BQ$72,INDIRECT($C$5&amp;"生成成长"),5))*(VLOOKUP($B$5,标准坦克设计!$B$24:$U$30,MATCH("对"&amp;LEFT($C$5,2)&amp;"输出",标准坦克设计!$B$23:$U$23,0)))*(VLOOKUP($B226,INDIRECT($B$5&amp;"生成成长"),3))*(VLOOKUP($B$5,标准坦克设计!$B$14:$K$20,9)/30))</f>
        <v>3.7093573927410999</v>
      </c>
      <c r="BR226" s="172">
        <f ca="1">(VLOOKUP(BR$72,INDIRECT($C$5&amp;"生成成长"),2))/((VLOOKUP($B226,INDIRECT($B$5&amp;"生成成长"),4))/(VLOOKUP(BR$72,INDIRECT($C$5&amp;"生成成长"),5))*(VLOOKUP($B$5,标准坦克设计!$B$24:$U$30,MATCH("对"&amp;LEFT($C$5,2)&amp;"输出",标准坦克设计!$B$23:$U$23,0)))*(VLOOKUP($B226,INDIRECT($B$5&amp;"生成成长"),3))*(VLOOKUP($B$5,标准坦克设计!$B$14:$K$20,9)/30))</f>
        <v>4.0433716042010301</v>
      </c>
      <c r="BS226" s="172">
        <f ca="1">(VLOOKUP(BS$72,INDIRECT($C$5&amp;"生成成长"),2))/((VLOOKUP($B226,INDIRECT($B$5&amp;"生成成长"),4))/(VLOOKUP(BS$72,INDIRECT($C$5&amp;"生成成长"),5))*(VLOOKUP($B$5,标准坦克设计!$B$24:$U$30,MATCH("对"&amp;LEFT($C$5,2)&amp;"输出",标准坦克设计!$B$23:$U$23,0)))*(VLOOKUP($B226,INDIRECT($B$5&amp;"生成成长"),3))*(VLOOKUP($B$5,标准坦克设计!$B$14:$K$20,9)/30))</f>
        <v>4.391782979948025</v>
      </c>
      <c r="BT226" s="172">
        <f ca="1">(VLOOKUP(BT$72,INDIRECT($C$5&amp;"生成成长"),2))/((VLOOKUP($B226,INDIRECT($B$5&amp;"生成成长"),4))/(VLOOKUP(BT$72,INDIRECT($C$5&amp;"生成成长"),5))*(VLOOKUP($B$5,标准坦克设计!$B$24:$U$30,MATCH("对"&amp;LEFT($C$5,2)&amp;"输出",标准坦克设计!$B$23:$U$23,0)))*(VLOOKUP($B226,INDIRECT($B$5&amp;"生成成长"),3))*(VLOOKUP($B$5,标准坦克设计!$B$14:$K$20,9)/30))</f>
        <v>4.7545915199820854</v>
      </c>
      <c r="BU226" s="172">
        <f ca="1">(VLOOKUP(BU$72,INDIRECT($C$5&amp;"生成成长"),2))/((VLOOKUP($B226,INDIRECT($B$5&amp;"生成成长"),4))/(VLOOKUP(BU$72,INDIRECT($C$5&amp;"生成成长"),5))*(VLOOKUP($B$5,标准坦克设计!$B$24:$U$30,MATCH("对"&amp;LEFT($C$5,2)&amp;"输出",标准坦克设计!$B$23:$U$23,0)))*(VLOOKUP($B226,INDIRECT($B$5&amp;"生成成长"),3))*(VLOOKUP($B$5,标准坦克设计!$B$14:$K$20,9)/30))</f>
        <v>5.1317972243032131</v>
      </c>
      <c r="BV226" s="172">
        <f ca="1">(VLOOKUP(BV$72,INDIRECT($C$5&amp;"生成成长"),2))/((VLOOKUP($B226,INDIRECT($B$5&amp;"生成成长"),4))/(VLOOKUP(BV$72,INDIRECT($C$5&amp;"生成成长"),5))*(VLOOKUP($B$5,标准坦克设计!$B$24:$U$30,MATCH("对"&amp;LEFT($C$5,2)&amp;"输出",标准坦克设计!$B$23:$U$23,0)))*(VLOOKUP($B226,INDIRECT($B$5&amp;"生成成长"),3))*(VLOOKUP($B$5,标准坦克设计!$B$14:$K$20,9)/30))</f>
        <v>5.5234000929114062</v>
      </c>
      <c r="BW226" s="172">
        <f ca="1">(VLOOKUP(BW$72,INDIRECT($C$5&amp;"生成成长"),2))/((VLOOKUP($B226,INDIRECT($B$5&amp;"生成成长"),4))/(VLOOKUP(BW$72,INDIRECT($C$5&amp;"生成成长"),5))*(VLOOKUP($B$5,标准坦克设计!$B$24:$U$30,MATCH("对"&amp;LEFT($C$5,2)&amp;"输出",标准坦克设计!$B$23:$U$23,0)))*(VLOOKUP($B226,INDIRECT($B$5&amp;"生成成长"),3))*(VLOOKUP($B$5,标准坦克设计!$B$14:$K$20,9)/30))</f>
        <v>2.5172721897720414</v>
      </c>
      <c r="BX226" s="172">
        <f ca="1">(VLOOKUP(BX$72,INDIRECT($C$5&amp;"生成成长"),2))/((VLOOKUP($B226,INDIRECT($B$5&amp;"生成成长"),4))/(VLOOKUP(BX$72,INDIRECT($C$5&amp;"生成成长"),5))*(VLOOKUP($B$5,标准坦克设计!$B$24:$U$30,MATCH("对"&amp;LEFT($C$5,2)&amp;"输出",标准坦克设计!$B$23:$U$23,0)))*(VLOOKUP($B226,INDIRECT($B$5&amp;"生成成长"),3))*(VLOOKUP($B$5,标准坦克设计!$B$14:$K$20,9)/30))</f>
        <v>2.793697744083707</v>
      </c>
      <c r="BY226" s="172">
        <f ca="1">(VLOOKUP(BY$72,INDIRECT($C$5&amp;"生成成长"),2))/((VLOOKUP($B226,INDIRECT($B$5&amp;"生成成长"),4))/(VLOOKUP(BY$72,INDIRECT($C$5&amp;"生成成长"),5))*(VLOOKUP($B$5,标准坦克设计!$B$24:$U$30,MATCH("对"&amp;LEFT($C$5,2)&amp;"输出",标准坦克设计!$B$23:$U$23,0)))*(VLOOKUP($B226,INDIRECT($B$5&amp;"生成成长"),3))*(VLOOKUP($B$5,标准坦克设计!$B$14:$K$20,9)/30))</f>
        <v>3.084520462682439</v>
      </c>
      <c r="BZ226" s="172">
        <f ca="1">(VLOOKUP(BZ$72,INDIRECT($C$5&amp;"生成成长"),2))/((VLOOKUP($B226,INDIRECT($B$5&amp;"生成成长"),4))/(VLOOKUP(BZ$72,INDIRECT($C$5&amp;"生成成长"),5))*(VLOOKUP($B$5,标准坦克设计!$B$24:$U$30,MATCH("对"&amp;LEFT($C$5,2)&amp;"输出",标准坦克设计!$B$23:$U$23,0)))*(VLOOKUP($B226,INDIRECT($B$5&amp;"生成成长"),3))*(VLOOKUP($B$5,标准坦克设计!$B$14:$K$20,9)/30))</f>
        <v>3.3897403455682364</v>
      </c>
      <c r="CA226" s="172">
        <f ca="1">(VLOOKUP(CA$72,INDIRECT($C$5&amp;"生成成长"),2))/((VLOOKUP($B226,INDIRECT($B$5&amp;"生成成长"),4))/(VLOOKUP(CA$72,INDIRECT($C$5&amp;"生成成长"),5))*(VLOOKUP($B$5,标准坦克设计!$B$24:$U$30,MATCH("对"&amp;LEFT($C$5,2)&amp;"输出",标准坦克设计!$B$23:$U$23,0)))*(VLOOKUP($B226,INDIRECT($B$5&amp;"生成成长"),3))*(VLOOKUP($B$5,标准坦克设计!$B$14:$K$20,9)/30))</f>
        <v>3.7093573927410999</v>
      </c>
      <c r="CB226" s="172">
        <f ca="1">(VLOOKUP(CB$72,INDIRECT($C$5&amp;"生成成长"),2))/((VLOOKUP($B226,INDIRECT($B$5&amp;"生成成长"),4))/(VLOOKUP(CB$72,INDIRECT($C$5&amp;"生成成长"),5))*(VLOOKUP($B$5,标准坦克设计!$B$24:$U$30,MATCH("对"&amp;LEFT($C$5,2)&amp;"输出",标准坦克设计!$B$23:$U$23,0)))*(VLOOKUP($B226,INDIRECT($B$5&amp;"生成成长"),3))*(VLOOKUP($B$5,标准坦克设计!$B$14:$K$20,9)/30))</f>
        <v>4.0433716042010301</v>
      </c>
      <c r="CC226" s="172">
        <f ca="1">(VLOOKUP(CC$72,INDIRECT($C$5&amp;"生成成长"),2))/((VLOOKUP($B226,INDIRECT($B$5&amp;"生成成长"),4))/(VLOOKUP(CC$72,INDIRECT($C$5&amp;"生成成长"),5))*(VLOOKUP($B$5,标准坦克设计!$B$24:$U$30,MATCH("对"&amp;LEFT($C$5,2)&amp;"输出",标准坦克设计!$B$23:$U$23,0)))*(VLOOKUP($B226,INDIRECT($B$5&amp;"生成成长"),3))*(VLOOKUP($B$5,标准坦克设计!$B$14:$K$20,9)/30))</f>
        <v>4.391782979948025</v>
      </c>
      <c r="CD226" s="172">
        <f ca="1">(VLOOKUP(CD$72,INDIRECT($C$5&amp;"生成成长"),2))/((VLOOKUP($B226,INDIRECT($B$5&amp;"生成成长"),4))/(VLOOKUP(CD$72,INDIRECT($C$5&amp;"生成成长"),5))*(VLOOKUP($B$5,标准坦克设计!$B$24:$U$30,MATCH("对"&amp;LEFT($C$5,2)&amp;"输出",标准坦克设计!$B$23:$U$23,0)))*(VLOOKUP($B226,INDIRECT($B$5&amp;"生成成长"),3))*(VLOOKUP($B$5,标准坦克设计!$B$14:$K$20,9)/30))</f>
        <v>4.7545915199820854</v>
      </c>
      <c r="CE226" s="172">
        <f ca="1">(VLOOKUP(CE$72,INDIRECT($C$5&amp;"生成成长"),2))/((VLOOKUP($B226,INDIRECT($B$5&amp;"生成成长"),4))/(VLOOKUP(CE$72,INDIRECT($C$5&amp;"生成成长"),5))*(VLOOKUP($B$5,标准坦克设计!$B$24:$U$30,MATCH("对"&amp;LEFT($C$5,2)&amp;"输出",标准坦克设计!$B$23:$U$23,0)))*(VLOOKUP($B226,INDIRECT($B$5&amp;"生成成长"),3))*(VLOOKUP($B$5,标准坦克设计!$B$14:$K$20,9)/30))</f>
        <v>5.1317972243032131</v>
      </c>
      <c r="CF226" s="172">
        <f ca="1">(VLOOKUP(CF$72,INDIRECT($C$5&amp;"生成成长"),2))/((VLOOKUP($B226,INDIRECT($B$5&amp;"生成成长"),4))/(VLOOKUP(CF$72,INDIRECT($C$5&amp;"生成成长"),5))*(VLOOKUP($B$5,标准坦克设计!$B$24:$U$30,MATCH("对"&amp;LEFT($C$5,2)&amp;"输出",标准坦克设计!$B$23:$U$23,0)))*(VLOOKUP($B226,INDIRECT($B$5&amp;"生成成长"),3))*(VLOOKUP($B$5,标准坦克设计!$B$14:$K$20,9)/30))</f>
        <v>5.5234000929114062</v>
      </c>
      <c r="CG226" s="172">
        <f ca="1">(VLOOKUP(CG$72,INDIRECT($C$5&amp;"生成成长"),2))/((VLOOKUP($B226,INDIRECT($B$5&amp;"生成成长"),4))/(VLOOKUP(CG$72,INDIRECT($C$5&amp;"生成成长"),5))*(VLOOKUP($B$5,标准坦克设计!$B$24:$U$30,MATCH("对"&amp;LEFT($C$5,2)&amp;"输出",标准坦克设计!$B$23:$U$23,0)))*(VLOOKUP($B226,INDIRECT($B$5&amp;"生成成长"),3))*(VLOOKUP($B$5,标准坦克设计!$B$14:$K$20,9)/30))</f>
        <v>5.9294001258066658</v>
      </c>
      <c r="CH226" s="172">
        <f ca="1">(VLOOKUP(CH$72,INDIRECT($C$5&amp;"生成成长"),2))/((VLOOKUP($B226,INDIRECT($B$5&amp;"生成成长"),4))/(VLOOKUP(CH$72,INDIRECT($C$5&amp;"生成成长"),5))*(VLOOKUP($B$5,标准坦克设计!$B$24:$U$30,MATCH("对"&amp;LEFT($C$5,2)&amp;"输出",标准坦克设计!$B$23:$U$23,0)))*(VLOOKUP($B226,INDIRECT($B$5&amp;"生成成长"),3))*(VLOOKUP($B$5,标准坦克设计!$B$14:$K$20,9)/30))</f>
        <v>6.3497973229889908</v>
      </c>
      <c r="CI226" s="172">
        <f ca="1">(VLOOKUP(CI$72,INDIRECT($C$5&amp;"生成成长"),2))/((VLOOKUP($B226,INDIRECT($B$5&amp;"生成成长"),4))/(VLOOKUP(CI$72,INDIRECT($C$5&amp;"生成成长"),5))*(VLOOKUP($B$5,标准坦克设计!$B$24:$U$30,MATCH("对"&amp;LEFT($C$5,2)&amp;"输出",标准坦克设计!$B$23:$U$23,0)))*(VLOOKUP($B226,INDIRECT($B$5&amp;"生成成长"),3))*(VLOOKUP($B$5,标准坦克设计!$B$14:$K$20,9)/30))</f>
        <v>6.8288629646411092</v>
      </c>
      <c r="CJ226" s="172">
        <f ca="1">(VLOOKUP(CJ$72,INDIRECT($C$5&amp;"生成成长"),2))/((VLOOKUP($B226,INDIRECT($B$5&amp;"生成成长"),4))/(VLOOKUP(CJ$72,INDIRECT($C$5&amp;"生成成长"),5))*(VLOOKUP($B$5,标准坦克设计!$B$24:$U$30,MATCH("对"&amp;LEFT($C$5,2)&amp;"输出",标准坦克设计!$B$23:$U$23,0)))*(VLOOKUP($B226,INDIRECT($B$5&amp;"生成成长"),3))*(VLOOKUP($B$5,标准坦克设计!$B$14:$K$20,9)/30))</f>
        <v>7.3253491750805777</v>
      </c>
      <c r="CK226" s="172">
        <f ca="1">(VLOOKUP(CK$72,INDIRECT($C$5&amp;"生成成长"),2))/((VLOOKUP($B226,INDIRECT($B$5&amp;"生成成长"),4))/(VLOOKUP(CK$72,INDIRECT($C$5&amp;"生成成长"),5))*(VLOOKUP($B$5,标准坦克设计!$B$24:$U$30,MATCH("对"&amp;LEFT($C$5,2)&amp;"输出",标准坦克设计!$B$23:$U$23,0)))*(VLOOKUP($B226,INDIRECT($B$5&amp;"生成成长"),3))*(VLOOKUP($B$5,标准坦克设计!$B$14:$K$20,9)/30))</f>
        <v>7.8392559543073963</v>
      </c>
      <c r="CL226" s="172">
        <f ca="1">(VLOOKUP(CL$72,INDIRECT($C$5&amp;"生成成长"),2))/((VLOOKUP($B226,INDIRECT($B$5&amp;"生成成长"),4))/(VLOOKUP(CL$72,INDIRECT($C$5&amp;"生成成长"),5))*(VLOOKUP($B$5,标准坦克设计!$B$24:$U$30,MATCH("对"&amp;LEFT($C$5,2)&amp;"输出",标准坦克设计!$B$23:$U$23,0)))*(VLOOKUP($B226,INDIRECT($B$5&amp;"生成成长"),3))*(VLOOKUP($B$5,标准坦克设计!$B$14:$K$20,9)/30))</f>
        <v>8.370583302321565</v>
      </c>
      <c r="CM226" s="172">
        <f ca="1">(VLOOKUP(CM$72,INDIRECT($C$5&amp;"生成成长"),2))/((VLOOKUP($B226,INDIRECT($B$5&amp;"生成成长"),4))/(VLOOKUP(CM$72,INDIRECT($C$5&amp;"生成成长"),5))*(VLOOKUP($B$5,标准坦克设计!$B$24:$U$30,MATCH("对"&amp;LEFT($C$5,2)&amp;"输出",标准坦克设计!$B$23:$U$23,0)))*(VLOOKUP($B226,INDIRECT($B$5&amp;"生成成长"),3))*(VLOOKUP($B$5,标准坦克设计!$B$14:$K$20,9)/30))</f>
        <v>8.9193312191230802</v>
      </c>
      <c r="CN226" s="172">
        <f ca="1">(VLOOKUP(CN$72,INDIRECT($C$5&amp;"生成成长"),2))/((VLOOKUP($B226,INDIRECT($B$5&amp;"生成成长"),4))/(VLOOKUP(CN$72,INDIRECT($C$5&amp;"生成成长"),5))*(VLOOKUP($B$5,标准坦克设计!$B$24:$U$30,MATCH("对"&amp;LEFT($C$5,2)&amp;"输出",标准坦克设计!$B$23:$U$23,0)))*(VLOOKUP($B226,INDIRECT($B$5&amp;"生成成长"),3))*(VLOOKUP($B$5,标准坦克设计!$B$14:$K$20,9)/30))</f>
        <v>9.4854997047119483</v>
      </c>
      <c r="CO226" s="172">
        <f ca="1">(VLOOKUP(CO$72,INDIRECT($C$5&amp;"生成成长"),2))/((VLOOKUP($B226,INDIRECT($B$5&amp;"生成成长"),4))/(VLOOKUP(CO$72,INDIRECT($C$5&amp;"生成成长"),5))*(VLOOKUP($B$5,标准坦克设计!$B$24:$U$30,MATCH("对"&amp;LEFT($C$5,2)&amp;"输出",标准坦克设计!$B$23:$U$23,0)))*(VLOOKUP($B226,INDIRECT($B$5&amp;"生成成长"),3))*(VLOOKUP($B$5,标准坦克设计!$B$14:$K$20,9)/30))</f>
        <v>4.2506907699347787</v>
      </c>
      <c r="CP226" s="172">
        <f ca="1">(VLOOKUP(CP$72,INDIRECT($C$5&amp;"生成成长"),2))/((VLOOKUP($B226,INDIRECT($B$5&amp;"生成成长"),4))/(VLOOKUP(CP$72,INDIRECT($C$5&amp;"生成成长"),5))*(VLOOKUP($B$5,标准坦克设计!$B$24:$U$30,MATCH("对"&amp;LEFT($C$5,2)&amp;"输出",标准坦克设计!$B$23:$U$23,0)))*(VLOOKUP($B226,INDIRECT($B$5&amp;"生成成长"),3))*(VLOOKUP($B$5,标准坦克设计!$B$14:$K$20,9)/30))</f>
        <v>4.644237255721726</v>
      </c>
      <c r="CQ226" s="172">
        <f ca="1">(VLOOKUP(CQ$72,INDIRECT($C$5&amp;"生成成长"),2))/((VLOOKUP($B226,INDIRECT($B$5&amp;"生成成长"),4))/(VLOOKUP(CQ$72,INDIRECT($C$5&amp;"生成成长"),5))*(VLOOKUP($B$5,标准坦克设计!$B$24:$U$30,MATCH("对"&amp;LEFT($C$5,2)&amp;"输出",标准坦克设计!$B$23:$U$23,0)))*(VLOOKUP($B226,INDIRECT($B$5&amp;"生成成长"),3))*(VLOOKUP($B$5,标准坦克设计!$B$14:$K$20,9)/30))</f>
        <v>5.0552043102960225</v>
      </c>
      <c r="CR226" s="172">
        <f ca="1">(VLOOKUP(CR$72,INDIRECT($C$5&amp;"生成成长"),2))/((VLOOKUP($B226,INDIRECT($B$5&amp;"生成成长"),4))/(VLOOKUP(CR$72,INDIRECT($C$5&amp;"生成成长"),5))*(VLOOKUP($B$5,标准坦克设计!$B$24:$U$30,MATCH("对"&amp;LEFT($C$5,2)&amp;"输出",标准坦克设计!$B$23:$U$23,0)))*(VLOOKUP($B226,INDIRECT($B$5&amp;"生成成长"),3))*(VLOOKUP($B$5,标准坦克设计!$B$14:$K$20,9)/30))</f>
        <v>5.4835919336576691</v>
      </c>
      <c r="CS226" s="172">
        <f ca="1">(VLOOKUP(CS$72,INDIRECT($C$5&amp;"生成成长"),2))/((VLOOKUP($B226,INDIRECT($B$5&amp;"生成成长"),4))/(VLOOKUP(CS$72,INDIRECT($C$5&amp;"生成成长"),5))*(VLOOKUP($B$5,标准坦克设计!$B$24:$U$30,MATCH("对"&amp;LEFT($C$5,2)&amp;"输出",标准坦克设计!$B$23:$U$23,0)))*(VLOOKUP($B226,INDIRECT($B$5&amp;"生成成长"),3))*(VLOOKUP($B$5,标准坦克设计!$B$14:$K$20,9)/30))</f>
        <v>5.9294001258066658</v>
      </c>
      <c r="CT226" s="172">
        <f ca="1">(VLOOKUP(CT$72,INDIRECT($C$5&amp;"生成成长"),2))/((VLOOKUP($B226,INDIRECT($B$5&amp;"生成成长"),4))/(VLOOKUP(CT$72,INDIRECT($C$5&amp;"生成成长"),5))*(VLOOKUP($B$5,标准坦克设计!$B$24:$U$30,MATCH("对"&amp;LEFT($C$5,2)&amp;"输出",标准坦克设计!$B$23:$U$23,0)))*(VLOOKUP($B226,INDIRECT($B$5&amp;"生成成长"),3))*(VLOOKUP($B$5,标准坦克设计!$B$14:$K$20,9)/30))</f>
        <v>6.3926288867430117</v>
      </c>
      <c r="CU226" s="172">
        <f ca="1">(VLOOKUP(CU$72,INDIRECT($C$5&amp;"生成成长"),2))/((VLOOKUP($B226,INDIRECT($B$5&amp;"生成成长"),4))/(VLOOKUP(CU$72,INDIRECT($C$5&amp;"生成成长"),5))*(VLOOKUP($B$5,标准坦克设计!$B$24:$U$30,MATCH("对"&amp;LEFT($C$5,2)&amp;"输出",标准坦克设计!$B$23:$U$23,0)))*(VLOOKUP($B226,INDIRECT($B$5&amp;"生成成长"),3))*(VLOOKUP($B$5,标准坦克设计!$B$14:$K$20,9)/30))</f>
        <v>6.8732782164667077</v>
      </c>
      <c r="CV226" s="172">
        <f ca="1">(VLOOKUP(CV$72,INDIRECT($C$5&amp;"生成成长"),2))/((VLOOKUP($B226,INDIRECT($B$5&amp;"生成成长"),4))/(VLOOKUP(CV$72,INDIRECT($C$5&amp;"生成成长"),5))*(VLOOKUP($B$5,标准坦克设计!$B$24:$U$30,MATCH("对"&amp;LEFT($C$5,2)&amp;"输出",标准坦克设计!$B$23:$U$23,0)))*(VLOOKUP($B226,INDIRECT($B$5&amp;"生成成长"),3))*(VLOOKUP($B$5,标准坦克设计!$B$14:$K$20,9)/30))</f>
        <v>7.371348114977752</v>
      </c>
      <c r="CW226" s="172">
        <f ca="1">(VLOOKUP(CW$72,INDIRECT($C$5&amp;"生成成长"),2))/((VLOOKUP($B226,INDIRECT($B$5&amp;"生成成长"),4))/(VLOOKUP(CW$72,INDIRECT($C$5&amp;"生成成长"),5))*(VLOOKUP($B$5,标准坦克设计!$B$24:$U$30,MATCH("对"&amp;LEFT($C$5,2)&amp;"输出",标准坦克设计!$B$23:$U$23,0)))*(VLOOKUP($B226,INDIRECT($B$5&amp;"生成成长"),3))*(VLOOKUP($B$5,标准坦克设计!$B$14:$K$20,9)/30))</f>
        <v>7.8868385822761482</v>
      </c>
      <c r="CX226" s="172">
        <f ca="1">(VLOOKUP(CX$72,INDIRECT($C$5&amp;"生成成长"),2))/((VLOOKUP($B226,INDIRECT($B$5&amp;"生成成长"),4))/(VLOOKUP(CX$72,INDIRECT($C$5&amp;"生成成长"),5))*(VLOOKUP($B$5,标准坦克设计!$B$24:$U$30,MATCH("对"&amp;LEFT($C$5,2)&amp;"输出",标准坦克设计!$B$23:$U$23,0)))*(VLOOKUP($B226,INDIRECT($B$5&amp;"生成成长"),3))*(VLOOKUP($B$5,标准坦克设计!$B$14:$K$20,9)/30))</f>
        <v>8.4197496183618945</v>
      </c>
      <c r="CY226" s="172">
        <f ca="1">(VLOOKUP(CY$72,INDIRECT($C$5&amp;"生成成长"),2))/((VLOOKUP($B226,INDIRECT($B$5&amp;"生成成长"),4))/(VLOOKUP(CY$72,INDIRECT($C$5&amp;"生成成长"),5))*(VLOOKUP($B$5,标准坦克设计!$B$24:$U$30,MATCH("对"&amp;LEFT($C$5,2)&amp;"输出",标准坦克设计!$B$23:$U$23,0)))*(VLOOKUP($B226,INDIRECT($B$5&amp;"生成成长"),3))*(VLOOKUP($B$5,标准坦克设计!$B$14:$K$20,9)/30))</f>
        <v>8.9700812232349882</v>
      </c>
      <c r="CZ226" s="172">
        <f ca="1">(VLOOKUP(CZ$72,INDIRECT($C$5&amp;"生成成长"),2))/((VLOOKUP($B226,INDIRECT($B$5&amp;"生成成长"),4))/(VLOOKUP(CZ$72,INDIRECT($C$5&amp;"生成成长"),5))*(VLOOKUP($B$5,标准坦克设计!$B$24:$U$30,MATCH("对"&amp;LEFT($C$5,2)&amp;"输出",标准坦克设计!$B$23:$U$23,0)))*(VLOOKUP($B226,INDIRECT($B$5&amp;"生成成长"),3))*(VLOOKUP($B$5,标准坦克设计!$B$14:$K$20,9)/30))</f>
        <v>9.5378333968954312</v>
      </c>
      <c r="DA226" s="172">
        <f ca="1">(VLOOKUP(DA$72,INDIRECT($C$5&amp;"生成成长"),2))/((VLOOKUP($B226,INDIRECT($B$5&amp;"生成成长"),4))/(VLOOKUP(DA$72,INDIRECT($C$5&amp;"生成成长"),5))*(VLOOKUP($B$5,标准坦克设计!$B$24:$U$30,MATCH("对"&amp;LEFT($C$5,2)&amp;"输出",标准坦克设计!$B$23:$U$23,0)))*(VLOOKUP($B226,INDIRECT($B$5&amp;"生成成长"),3))*(VLOOKUP($B$5,标准坦克设计!$B$14:$K$20,9)/30))</f>
        <v>10.123006139343229</v>
      </c>
      <c r="DB226" s="172">
        <f ca="1">(VLOOKUP(DB$72,INDIRECT($C$5&amp;"生成成长"),2))/((VLOOKUP($B226,INDIRECT($B$5&amp;"生成成长"),4))/(VLOOKUP(DB$72,INDIRECT($C$5&amp;"生成成长"),5))*(VLOOKUP($B$5,标准坦克设计!$B$24:$U$30,MATCH("对"&amp;LEFT($C$5,2)&amp;"输出",标准坦克设计!$B$23:$U$23,0)))*(VLOOKUP($B226,INDIRECT($B$5&amp;"生成成长"),3))*(VLOOKUP($B$5,标准坦克设计!$B$14:$K$20,9)/30))</f>
        <v>10.725599450578372</v>
      </c>
      <c r="DC226" s="172">
        <f ca="1">(VLOOKUP(DC$72,INDIRECT($C$5&amp;"生成成长"),2))/((VLOOKUP($B226,INDIRECT($B$5&amp;"生成成长"),4))/(VLOOKUP(DC$72,INDIRECT($C$5&amp;"生成成长"),5))*(VLOOKUP($B$5,标准坦克设计!$B$24:$U$30,MATCH("对"&amp;LEFT($C$5,2)&amp;"输出",标准坦克设计!$B$23:$U$23,0)))*(VLOOKUP($B226,INDIRECT($B$5&amp;"生成成长"),3))*(VLOOKUP($B$5,标准坦克设计!$B$14:$K$20,9)/30))</f>
        <v>11.402842058641951</v>
      </c>
      <c r="DD226" s="172">
        <f ca="1">(VLOOKUP(DD$72,INDIRECT($C$5&amp;"生成成长"),2))/((VLOOKUP($B226,INDIRECT($B$5&amp;"生成成长"),4))/(VLOOKUP(DD$72,INDIRECT($C$5&amp;"生成成长"),5))*(VLOOKUP($B$5,标准坦克设计!$B$24:$U$30,MATCH("对"&amp;LEFT($C$5,2)&amp;"输出",标准坦克设计!$B$23:$U$23,0)))*(VLOOKUP($B226,INDIRECT($B$5&amp;"生成成长"),3))*(VLOOKUP($B$5,标准坦克设计!$B$14:$K$20,9)/30))</f>
        <v>12.100816583278908</v>
      </c>
      <c r="DE226" s="172">
        <f ca="1">(VLOOKUP(DE$72,INDIRECT($C$5&amp;"生成成长"),2))/((VLOOKUP($B226,INDIRECT($B$5&amp;"生成成长"),4))/(VLOOKUP(DE$72,INDIRECT($C$5&amp;"生成成长"),5))*(VLOOKUP($B$5,标准坦克设计!$B$24:$U$30,MATCH("对"&amp;LEFT($C$5,2)&amp;"输出",标准坦克设计!$B$23:$U$23,0)))*(VLOOKUP($B226,INDIRECT($B$5&amp;"生成成长"),3))*(VLOOKUP($B$5,标准坦克设计!$B$14:$K$20,9)/30))</f>
        <v>12.819523024489239</v>
      </c>
      <c r="DF226" s="172">
        <f ca="1">(VLOOKUP(DF$72,INDIRECT($C$5&amp;"生成成长"),2))/((VLOOKUP($B226,INDIRECT($B$5&amp;"生成成长"),4))/(VLOOKUP(DF$72,INDIRECT($C$5&amp;"生成成长"),5))*(VLOOKUP($B$5,标准坦克设计!$B$24:$U$30,MATCH("对"&amp;LEFT($C$5,2)&amp;"输出",标准坦克设计!$B$23:$U$23,0)))*(VLOOKUP($B226,INDIRECT($B$5&amp;"生成成长"),3))*(VLOOKUP($B$5,标准坦克设计!$B$14:$K$20,9)/30))</f>
        <v>13.558961382272946</v>
      </c>
      <c r="DG226" s="172">
        <f ca="1">(VLOOKUP(DG$72,INDIRECT($C$5&amp;"生成成长"),2))/((VLOOKUP($B226,INDIRECT($B$5&amp;"生成成长"),4))/(VLOOKUP(DG$72,INDIRECT($C$5&amp;"生成成长"),5))*(VLOOKUP($B$5,标准坦克设计!$B$24:$U$30,MATCH("对"&amp;LEFT($C$5,2)&amp;"输出",标准坦克设计!$B$23:$U$23,0)))*(VLOOKUP($B226,INDIRECT($B$5&amp;"生成成长"),3))*(VLOOKUP($B$5,标准坦克设计!$B$14:$K$20,9)/30))</f>
        <v>14.319131656630027</v>
      </c>
      <c r="DH226" s="172">
        <f ca="1">(VLOOKUP(DH$72,INDIRECT($C$5&amp;"生成成长"),2))/((VLOOKUP($B226,INDIRECT($B$5&amp;"生成成长"),4))/(VLOOKUP(DH$72,INDIRECT($C$5&amp;"生成成长"),5))*(VLOOKUP($B$5,标准坦克设计!$B$24:$U$30,MATCH("对"&amp;LEFT($C$5,2)&amp;"输出",标准坦克设计!$B$23:$U$23,0)))*(VLOOKUP($B226,INDIRECT($B$5&amp;"生成成长"),3))*(VLOOKUP($B$5,标准坦克设计!$B$14:$K$20,9)/30))</f>
        <v>15.10003384756048</v>
      </c>
      <c r="DI226" s="172">
        <f ca="1">(VLOOKUP(DI$72,INDIRECT($C$5&amp;"生成成长"),2))/((VLOOKUP($B226,INDIRECT($B$5&amp;"生成成长"),4))/(VLOOKUP(DI$72,INDIRECT($C$5&amp;"生成成长"),5))*(VLOOKUP($B$5,标准坦克设计!$B$24:$U$30,MATCH("对"&amp;LEFT($C$5,2)&amp;"输出",标准坦克设计!$B$23:$U$23,0)))*(VLOOKUP($B226,INDIRECT($B$5&amp;"生成成长"),3))*(VLOOKUP($B$5,标准坦克设计!$B$14:$K$20,9)/30))</f>
        <v>15.901667955064315</v>
      </c>
      <c r="DJ226" s="172">
        <f ca="1">(VLOOKUP(DJ$72,INDIRECT($C$5&amp;"生成成长"),2))/((VLOOKUP($B226,INDIRECT($B$5&amp;"生成成长"),4))/(VLOOKUP(DJ$72,INDIRECT($C$5&amp;"生成成长"),5))*(VLOOKUP($B$5,标准坦克设计!$B$24:$U$30,MATCH("对"&amp;LEFT($C$5,2)&amp;"输出",标准坦克设计!$B$23:$U$23,0)))*(VLOOKUP($B226,INDIRECT($B$5&amp;"生成成长"),3))*(VLOOKUP($B$5,标准坦克设计!$B$14:$K$20,9)/30))</f>
        <v>1.5981572216857529</v>
      </c>
      <c r="DK226" s="172">
        <f ca="1">(VLOOKUP(DK$72,INDIRECT($C$5&amp;"生成成长"),2))/((VLOOKUP($B226,INDIRECT($B$5&amp;"生成成长"),4))/(VLOOKUP(DK$72,INDIRECT($C$5&amp;"生成成长"),5))*(VLOOKUP($B$5,标准坦克设计!$B$24:$U$30,MATCH("对"&amp;LEFT($C$5,2)&amp;"输出",标准坦克设计!$B$23:$U$23,0)))*(VLOOKUP($B226,INDIRECT($B$5&amp;"生成成长"),3))*(VLOOKUP($B$5,标准坦克设计!$B$14:$K$20,9)/30))</f>
        <v>1.7970540463115687</v>
      </c>
      <c r="DL226" s="172">
        <f ca="1">(VLOOKUP(DL$72,INDIRECT($C$5&amp;"生成成长"),2))/((VLOOKUP($B226,INDIRECT($B$5&amp;"生成成长"),4))/(VLOOKUP(DL$72,INDIRECT($C$5&amp;"生成成长"),5))*(VLOOKUP($B$5,标准坦克设计!$B$24:$U$30,MATCH("对"&amp;LEFT($C$5,2)&amp;"输出",标准坦克设计!$B$23:$U$23,0)))*(VLOOKUP($B226,INDIRECT($B$5&amp;"生成成长"),3))*(VLOOKUP($B$5,标准坦克设计!$B$14:$K$20,9)/30))</f>
        <v>2.0076125740099076</v>
      </c>
      <c r="DM226" s="172">
        <f ca="1">(VLOOKUP(DM$72,INDIRECT($C$5&amp;"生成成长"),2))/((VLOOKUP($B226,INDIRECT($B$5&amp;"生成成长"),4))/(VLOOKUP(DM$72,INDIRECT($C$5&amp;"生成成长"),5))*(VLOOKUP($B$5,标准坦克设计!$B$24:$U$30,MATCH("对"&amp;LEFT($C$5,2)&amp;"输出",标准坦克设计!$B$23:$U$23,0)))*(VLOOKUP($B226,INDIRECT($B$5&amp;"生成成长"),3))*(VLOOKUP($B$5,标准坦克设计!$B$14:$K$20,9)/30))</f>
        <v>2.2298328047807701</v>
      </c>
      <c r="DN226" s="172">
        <f ca="1">(VLOOKUP(DN$72,INDIRECT($C$5&amp;"生成成长"),2))/((VLOOKUP($B226,INDIRECT($B$5&amp;"生成成长"),4))/(VLOOKUP(DN$72,INDIRECT($C$5&amp;"生成成长"),5))*(VLOOKUP($B$5,标准坦克设计!$B$24:$U$30,MATCH("对"&amp;LEFT($C$5,2)&amp;"输出",标准坦克设计!$B$23:$U$23,0)))*(VLOOKUP($B226,INDIRECT($B$5&amp;"生成成长"),3))*(VLOOKUP($B$5,标准坦克设计!$B$14:$K$20,9)/30))</f>
        <v>2.463714738624156</v>
      </c>
      <c r="DO226" s="172">
        <f ca="1">(VLOOKUP(DO$72,INDIRECT($C$5&amp;"生成成长"),2))/((VLOOKUP($B226,INDIRECT($B$5&amp;"生成成长"),4))/(VLOOKUP(DO$72,INDIRECT($C$5&amp;"生成成长"),5))*(VLOOKUP($B$5,标准坦克设计!$B$24:$U$30,MATCH("对"&amp;LEFT($C$5,2)&amp;"输出",标准坦克设计!$B$23:$U$23,0)))*(VLOOKUP($B226,INDIRECT($B$5&amp;"生成成长"),3))*(VLOOKUP($B$5,标准坦克设计!$B$14:$K$20,9)/30))</f>
        <v>2.7092583755400654</v>
      </c>
      <c r="DP226" s="172">
        <f ca="1">(VLOOKUP(DP$72,INDIRECT($C$5&amp;"生成成长"),2))/((VLOOKUP($B226,INDIRECT($B$5&amp;"生成成长"),4))/(VLOOKUP(DP$72,INDIRECT($C$5&amp;"生成成长"),5))*(VLOOKUP($B$5,标准坦克设计!$B$24:$U$30,MATCH("对"&amp;LEFT($C$5,2)&amp;"输出",标准坦克设计!$B$23:$U$23,0)))*(VLOOKUP($B226,INDIRECT($B$5&amp;"生成成长"),3))*(VLOOKUP($B$5,标准坦克设计!$B$14:$K$20,9)/30))</f>
        <v>2.9664637155284987</v>
      </c>
      <c r="DQ226" s="172">
        <f ca="1">(VLOOKUP(DQ$72,INDIRECT($C$5&amp;"生成成长"),2))/((VLOOKUP($B226,INDIRECT($B$5&amp;"生成成长"),4))/(VLOOKUP(DQ$72,INDIRECT($C$5&amp;"生成成长"),5))*(VLOOKUP($B$5,标准坦克设计!$B$24:$U$30,MATCH("对"&amp;LEFT($C$5,2)&amp;"输出",标准坦克设计!$B$23:$U$23,0)))*(VLOOKUP($B226,INDIRECT($B$5&amp;"生成成长"),3))*(VLOOKUP($B$5,标准坦克设计!$B$14:$K$20,9)/30))</f>
        <v>3.2353307585894546</v>
      </c>
      <c r="DR226" s="172">
        <f ca="1">(VLOOKUP(DR$72,INDIRECT($C$5&amp;"生成成长"),2))/((VLOOKUP($B226,INDIRECT($B$5&amp;"生成成长"),4))/(VLOOKUP(DR$72,INDIRECT($C$5&amp;"生成成长"),5))*(VLOOKUP($B$5,标准坦克设计!$B$24:$U$30,MATCH("对"&amp;LEFT($C$5,2)&amp;"输出",标准坦克设计!$B$23:$U$23,0)))*(VLOOKUP($B226,INDIRECT($B$5&amp;"生成成长"),3))*(VLOOKUP($B$5,标准坦克设计!$B$14:$K$20,9)/30))</f>
        <v>3.5158595047229344</v>
      </c>
      <c r="DS226" s="172">
        <f ca="1">(VLOOKUP(DS$72,INDIRECT($C$5&amp;"生成成长"),2))/((VLOOKUP($B226,INDIRECT($B$5&amp;"生成成长"),4))/(VLOOKUP(DS$72,INDIRECT($C$5&amp;"生成成长"),5))*(VLOOKUP($B$5,标准坦克设计!$B$24:$U$30,MATCH("对"&amp;LEFT($C$5,2)&amp;"输出",标准坦克设计!$B$23:$U$23,0)))*(VLOOKUP($B226,INDIRECT($B$5&amp;"生成成长"),3))*(VLOOKUP($B$5,标准坦克设计!$B$14:$K$20,9)/30))</f>
        <v>3.8080499539289372</v>
      </c>
      <c r="DT226" s="172">
        <f ca="1">(VLOOKUP(DT$72,INDIRECT($C$5&amp;"生成成长"),2))/((VLOOKUP($B226,INDIRECT($B$5&amp;"生成成长"),4))/(VLOOKUP(DT$72,INDIRECT($C$5&amp;"生成成长"),5))*(VLOOKUP($B$5,标准坦克设计!$B$24:$U$30,MATCH("对"&amp;LEFT($C$5,2)&amp;"输出",标准坦克设计!$B$23:$U$23,0)))*(VLOOKUP($B226,INDIRECT($B$5&amp;"生成成长"),3))*(VLOOKUP($B$5,标准坦克设计!$B$14:$K$20,9)/30))</f>
        <v>4.1810084947853792</v>
      </c>
      <c r="DU226" s="172">
        <f ca="1">(VLOOKUP(DU$72,INDIRECT($C$5&amp;"生成成长"),2))/((VLOOKUP($B226,INDIRECT($B$5&amp;"生成成长"),4))/(VLOOKUP(DU$72,INDIRECT($C$5&amp;"生成成长"),5))*(VLOOKUP($B$5,标准坦克设计!$B$24:$U$30,MATCH("对"&amp;LEFT($C$5,2)&amp;"输出",标准坦克设计!$B$23:$U$23,0)))*(VLOOKUP($B226,INDIRECT($B$5&amp;"生成成长"),3))*(VLOOKUP($B$5,标准坦克设计!$B$14:$K$20,9)/30))</f>
        <v>4.5713876044291721</v>
      </c>
      <c r="DV226" s="172">
        <f ca="1">(VLOOKUP(DV$72,INDIRECT($C$5&amp;"生成成长"),2))/((VLOOKUP($B226,INDIRECT($B$5&amp;"生成成长"),4))/(VLOOKUP(DV$72,INDIRECT($C$5&amp;"生成成长"),5))*(VLOOKUP($B$5,标准坦克设计!$B$24:$U$30,MATCH("对"&amp;LEFT($C$5,2)&amp;"输出",标准坦克设计!$B$23:$U$23,0)))*(VLOOKUP($B226,INDIRECT($B$5&amp;"生成成长"),3))*(VLOOKUP($B$5,标准坦克设计!$B$14:$K$20,9)/30))</f>
        <v>4.9791872828603134</v>
      </c>
      <c r="DW226" s="172">
        <f ca="1">(VLOOKUP(DW$72,INDIRECT($C$5&amp;"生成成长"),2))/((VLOOKUP($B226,INDIRECT($B$5&amp;"生成成长"),4))/(VLOOKUP(DW$72,INDIRECT($C$5&amp;"生成成长"),5))*(VLOOKUP($B$5,标准坦克设计!$B$24:$U$30,MATCH("对"&amp;LEFT($C$5,2)&amp;"输出",标准坦克设计!$B$23:$U$23,0)))*(VLOOKUP($B226,INDIRECT($B$5&amp;"生成成长"),3))*(VLOOKUP($B$5,标准坦克设计!$B$14:$K$20,9)/30))</f>
        <v>5.4044075300788066</v>
      </c>
      <c r="DX226" s="172">
        <f ca="1">(VLOOKUP(DX$72,INDIRECT($C$5&amp;"生成成长"),2))/((VLOOKUP($B226,INDIRECT($B$5&amp;"生成成长"),4))/(VLOOKUP(DX$72,INDIRECT($C$5&amp;"生成成长"),5))*(VLOOKUP($B$5,标准坦克设计!$B$24:$U$30,MATCH("对"&amp;LEFT($C$5,2)&amp;"输出",标准坦克设计!$B$23:$U$23,0)))*(VLOOKUP($B226,INDIRECT($B$5&amp;"生成成长"),3))*(VLOOKUP($B$5,标准坦克设计!$B$14:$K$20,9)/30))</f>
        <v>5.8470483460846481</v>
      </c>
      <c r="DY226" s="172">
        <f ca="1">(VLOOKUP(DY$72,INDIRECT($C$5&amp;"生成成长"),2))/((VLOOKUP($B226,INDIRECT($B$5&amp;"生成成长"),4))/(VLOOKUP(DY$72,INDIRECT($C$5&amp;"生成成长"),5))*(VLOOKUP($B$5,标准坦克设计!$B$24:$U$30,MATCH("对"&amp;LEFT($C$5,2)&amp;"输出",标准坦克设计!$B$23:$U$23,0)))*(VLOOKUP($B226,INDIRECT($B$5&amp;"生成成长"),3))*(VLOOKUP($B$5,标准坦克设计!$B$14:$K$20,9)/30))</f>
        <v>2.6261147517822598</v>
      </c>
      <c r="DZ226" s="172">
        <f ca="1">(VLOOKUP(DZ$72,INDIRECT($C$5&amp;"生成成长"),2))/((VLOOKUP($B226,INDIRECT($B$5&amp;"生成成长"),4))/(VLOOKUP(DZ$72,INDIRECT($C$5&amp;"生成成长"),5))*(VLOOKUP($B$5,标准坦克设计!$B$24:$U$30,MATCH("对"&amp;LEFT($C$5,2)&amp;"输出",标准坦克设计!$B$23:$U$23,0)))*(VLOOKUP($B226,INDIRECT($B$5&amp;"生成成长"),3))*(VLOOKUP($B$5,标准坦克设计!$B$14:$K$20,9)/30))</f>
        <v>2.9082991718087521</v>
      </c>
      <c r="EA226" s="172">
        <f ca="1">(VLOOKUP(EA$72,INDIRECT($C$5&amp;"生成成长"),2))/((VLOOKUP($B226,INDIRECT($B$5&amp;"生成成长"),4))/(VLOOKUP(EA$72,INDIRECT($C$5&amp;"生成成长"),5))*(VLOOKUP($B$5,标准坦克设计!$B$24:$U$30,MATCH("对"&amp;LEFT($C$5,2)&amp;"输出",标准坦克设计!$B$23:$U$23,0)))*(VLOOKUP($B226,INDIRECT($B$5&amp;"生成成长"),3))*(VLOOKUP($B$5,标准坦克设计!$B$14:$K$20,9)/30))</f>
        <v>3.2048807561223098</v>
      </c>
      <c r="EB226" s="172">
        <f ca="1">(VLOOKUP(EB$72,INDIRECT($C$5&amp;"生成成长"),2))/((VLOOKUP($B226,INDIRECT($B$5&amp;"生成成长"),4))/(VLOOKUP(EB$72,INDIRECT($C$5&amp;"生成成长"),5))*(VLOOKUP($B$5,标准坦克设计!$B$24:$U$30,MATCH("对"&amp;LEFT($C$5,2)&amp;"输出",标准坦克设计!$B$23:$U$23,0)))*(VLOOKUP($B226,INDIRECT($B$5&amp;"生成成长"),3))*(VLOOKUP($B$5,标准坦克设计!$B$14:$K$20,9)/30))</f>
        <v>3.5158595047229344</v>
      </c>
      <c r="EC226" s="172">
        <f ca="1">(VLOOKUP(EC$72,INDIRECT($C$5&amp;"生成成长"),2))/((VLOOKUP($B226,INDIRECT($B$5&amp;"生成成长"),4))/(VLOOKUP(EC$72,INDIRECT($C$5&amp;"生成成长"),5))*(VLOOKUP($B$5,标准坦克设计!$B$24:$U$30,MATCH("对"&amp;LEFT($C$5,2)&amp;"输出",标准坦克设计!$B$23:$U$23,0)))*(VLOOKUP($B226,INDIRECT($B$5&amp;"生成成长"),3))*(VLOOKUP($B$5,标准坦克设计!$B$14:$K$20,9)/30))</f>
        <v>3.8412354176106231</v>
      </c>
      <c r="ED226" s="172">
        <f ca="1">(VLOOKUP(ED$72,INDIRECT($C$5&amp;"生成成长"),2))/((VLOOKUP($B226,INDIRECT($B$5&amp;"生成成长"),4))/(VLOOKUP(ED$72,INDIRECT($C$5&amp;"生成成长"),5))*(VLOOKUP($B$5,标准坦克设计!$B$24:$U$30,MATCH("对"&amp;LEFT($C$5,2)&amp;"输出",标准坦克设计!$B$23:$U$23,0)))*(VLOOKUP($B226,INDIRECT($B$5&amp;"生成成长"),3))*(VLOOKUP($B$5,标准坦克设计!$B$14:$K$20,9)/30))</f>
        <v>4.1810084947853792</v>
      </c>
      <c r="EE226" s="172">
        <f ca="1">(VLOOKUP(EE$72,INDIRECT($C$5&amp;"生成成长"),2))/((VLOOKUP($B226,INDIRECT($B$5&amp;"生成成长"),4))/(VLOOKUP(EE$72,INDIRECT($C$5&amp;"生成成长"),5))*(VLOOKUP($B$5,标准坦克设计!$B$24:$U$30,MATCH("对"&amp;LEFT($C$5,2)&amp;"输出",标准坦克设计!$B$23:$U$23,0)))*(VLOOKUP($B226,INDIRECT($B$5&amp;"生成成长"),3))*(VLOOKUP($B$5,标准坦克设计!$B$14:$K$20,9)/30))</f>
        <v>4.5351787362472011</v>
      </c>
      <c r="EF226" s="172">
        <f ca="1">(VLOOKUP(EF$72,INDIRECT($C$5&amp;"生成成长"),2))/((VLOOKUP($B226,INDIRECT($B$5&amp;"生成成长"),4))/(VLOOKUP(EF$72,INDIRECT($C$5&amp;"生成成长"),5))*(VLOOKUP($B$5,标准坦克设计!$B$24:$U$30,MATCH("对"&amp;LEFT($C$5,2)&amp;"输出",标准坦克设计!$B$23:$U$23,0)))*(VLOOKUP($B226,INDIRECT($B$5&amp;"生成成长"),3))*(VLOOKUP($B$5,标准坦克设计!$B$14:$K$20,9)/30))</f>
        <v>4.9037461419960886</v>
      </c>
      <c r="EG226" s="172">
        <f ca="1">(VLOOKUP(EG$72,INDIRECT($C$5&amp;"生成成长"),2))/((VLOOKUP($B226,INDIRECT($B$5&amp;"生成成长"),4))/(VLOOKUP(EG$72,INDIRECT($C$5&amp;"生成成长"),5))*(VLOOKUP($B$5,标准坦克设计!$B$24:$U$30,MATCH("对"&amp;LEFT($C$5,2)&amp;"输出",标准坦克设计!$B$23:$U$23,0)))*(VLOOKUP($B226,INDIRECT($B$5&amp;"生成成长"),3))*(VLOOKUP($B$5,标准坦克设计!$B$14:$K$20,9)/30))</f>
        <v>5.2867107120320425</v>
      </c>
      <c r="EH226" s="172">
        <f ca="1">(VLOOKUP(EH$72,INDIRECT($C$5&amp;"生成成长"),2))/((VLOOKUP($B226,INDIRECT($B$5&amp;"生成成长"),4))/(VLOOKUP(EH$72,INDIRECT($C$5&amp;"生成成长"),5))*(VLOOKUP($B$5,标准坦克设计!$B$24:$U$30,MATCH("对"&amp;LEFT($C$5,2)&amp;"输出",标准坦克设计!$B$23:$U$23,0)))*(VLOOKUP($B226,INDIRECT($B$5&amp;"生成成长"),3))*(VLOOKUP($B$5,标准坦克设计!$B$14:$K$20,9)/30))</f>
        <v>5.6840724463550627</v>
      </c>
      <c r="EI226" s="172">
        <f ca="1">(VLOOKUP(EI$72,INDIRECT($C$5&amp;"生成成长"),2))/((VLOOKUP($B226,INDIRECT($B$5&amp;"生成成长"),4))/(VLOOKUP(EI$72,INDIRECT($C$5&amp;"生成成长"),5))*(VLOOKUP($B$5,标准坦克设计!$B$24:$U$30,MATCH("对"&amp;LEFT($C$5,2)&amp;"输出",标准坦克设计!$B$23:$U$23,0)))*(VLOOKUP($B226,INDIRECT($B$5&amp;"生成成长"),3))*(VLOOKUP($B$5,标准坦克设计!$B$14:$K$20,9)/30))</f>
        <v>6.0958313449651476</v>
      </c>
      <c r="EJ226" s="172">
        <f ca="1">(VLOOKUP(EJ$72,INDIRECT($C$5&amp;"生成成长"),2))/((VLOOKUP($B226,INDIRECT($B$5&amp;"生成成长"),4))/(VLOOKUP(EJ$72,INDIRECT($C$5&amp;"生成成长"),5))*(VLOOKUP($B$5,标准坦克设计!$B$24:$U$30,MATCH("对"&amp;LEFT($C$5,2)&amp;"输出",标准坦克设计!$B$23:$U$23,0)))*(VLOOKUP($B226,INDIRECT($B$5&amp;"生成成长"),3))*(VLOOKUP($B$5,标准坦克设计!$B$14:$K$20,9)/30))</f>
        <v>6.5219874078623006</v>
      </c>
      <c r="EK226" s="172">
        <f ca="1">(VLOOKUP(EK$72,INDIRECT($C$5&amp;"生成成长"),2))/((VLOOKUP($B226,INDIRECT($B$5&amp;"生成成长"),4))/(VLOOKUP(EK$72,INDIRECT($C$5&amp;"生成成长"),5))*(VLOOKUP($B$5,标准坦克设计!$B$24:$U$30,MATCH("对"&amp;LEFT($C$5,2)&amp;"输出",标准坦克设计!$B$23:$U$23,0)))*(VLOOKUP($B226,INDIRECT($B$5&amp;"生成成长"),3))*(VLOOKUP($B$5,标准坦克设计!$B$14:$K$20,9)/30))</f>
        <v>7.0523789401978076</v>
      </c>
      <c r="EL226" s="172">
        <f ca="1">(VLOOKUP(EL$72,INDIRECT($C$5&amp;"生成成长"),2))/((VLOOKUP($B226,INDIRECT($B$5&amp;"生成成长"),4))/(VLOOKUP(EL$72,INDIRECT($C$5&amp;"生成成长"),5))*(VLOOKUP($B$5,标准坦克设计!$B$24:$U$30,MATCH("对"&amp;LEFT($C$5,2)&amp;"输出",标准坦克设计!$B$23:$U$23,0)))*(VLOOKUP($B226,INDIRECT($B$5&amp;"生成成长"),3))*(VLOOKUP($B$5,标准坦克设计!$B$14:$K$20,9)/30))</f>
        <v>7.6035023891066915</v>
      </c>
      <c r="EM226" s="172">
        <f ca="1">(VLOOKUP(EM$72,INDIRECT($C$5&amp;"生成成长"),2))/((VLOOKUP($B226,INDIRECT($B$5&amp;"生成成长"),4))/(VLOOKUP(EM$72,INDIRECT($C$5&amp;"生成成长"),5))*(VLOOKUP($B$5,标准坦克设计!$B$24:$U$30,MATCH("对"&amp;LEFT($C$5,2)&amp;"输出",标准坦克设计!$B$23:$U$23,0)))*(VLOOKUP($B226,INDIRECT($B$5&amp;"生成成长"),3))*(VLOOKUP($B$5,标准坦克设计!$B$14:$K$20,9)/30))</f>
        <v>8.1753577545889495</v>
      </c>
      <c r="EN226" s="172">
        <f ca="1">(VLOOKUP(EN$72,INDIRECT($C$5&amp;"生成成长"),2))/((VLOOKUP($B226,INDIRECT($B$5&amp;"生成成长"),4))/(VLOOKUP(EN$72,INDIRECT($C$5&amp;"生成成长"),5))*(VLOOKUP($B$5,标准坦克设计!$B$24:$U$30,MATCH("对"&amp;LEFT($C$5,2)&amp;"输出",标准坦克设计!$B$23:$U$23,0)))*(VLOOKUP($B226,INDIRECT($B$5&amp;"生成成长"),3))*(VLOOKUP($B$5,标准坦克设计!$B$14:$K$20,9)/30))</f>
        <v>8.7679450366445835</v>
      </c>
      <c r="EO226" s="172">
        <f ca="1">(VLOOKUP(EO$72,INDIRECT($C$5&amp;"生成成长"),2))/((VLOOKUP($B226,INDIRECT($B$5&amp;"生成成长"),4))/(VLOOKUP(EO$72,INDIRECT($C$5&amp;"生成成长"),5))*(VLOOKUP($B$5,标准坦克设计!$B$24:$U$30,MATCH("对"&amp;LEFT($C$5,2)&amp;"输出",标准坦克设计!$B$23:$U$23,0)))*(VLOOKUP($B226,INDIRECT($B$5&amp;"生成成长"),3))*(VLOOKUP($B$5,标准坦克设计!$B$14:$K$20,9)/30))</f>
        <v>9.3812642352735924</v>
      </c>
      <c r="EP226" s="172">
        <f ca="1">(VLOOKUP(EP$72,INDIRECT($C$5&amp;"生成成长"),2))/((VLOOKUP($B226,INDIRECT($B$5&amp;"生成成长"),4))/(VLOOKUP(EP$72,INDIRECT($C$5&amp;"生成成长"),5))*(VLOOKUP($B$5,标准坦克设计!$B$24:$U$30,MATCH("对"&amp;LEFT($C$5,2)&amp;"输出",标准坦克设计!$B$23:$U$23,0)))*(VLOOKUP($B226,INDIRECT($B$5&amp;"生成成长"),3))*(VLOOKUP($B$5,标准坦克设计!$B$14:$K$20,9)/30))</f>
        <v>10.015315350475975</v>
      </c>
      <c r="EQ226" s="172">
        <f ca="1">(VLOOKUP(EQ$72,INDIRECT($C$5&amp;"生成成长"),2))/((VLOOKUP($B226,INDIRECT($B$5&amp;"生成成长"),4))/(VLOOKUP(EQ$72,INDIRECT($C$5&amp;"生成成长"),5))*(VLOOKUP($B$5,标准坦克设计!$B$24:$U$30,MATCH("对"&amp;LEFT($C$5,2)&amp;"输出",标准坦克设计!$B$23:$U$23,0)))*(VLOOKUP($B226,INDIRECT($B$5&amp;"生成成长"),3))*(VLOOKUP($B$5,标准坦克设计!$B$14:$K$20,9)/30))</f>
        <v>4.4274159615585136</v>
      </c>
      <c r="ER226" s="172">
        <f ca="1">(VLOOKUP(ER$72,INDIRECT($C$5&amp;"生成成长"),2))/((VLOOKUP($B226,INDIRECT($B$5&amp;"生成成长"),4))/(VLOOKUP(ER$72,INDIRECT($C$5&amp;"生成成长"),5))*(VLOOKUP($B$5,标准坦克设计!$B$24:$U$30,MATCH("对"&amp;LEFT($C$5,2)&amp;"输出",标准坦克设计!$B$23:$U$23,0)))*(VLOOKUP($B226,INDIRECT($B$5&amp;"生成成长"),3))*(VLOOKUP($B$5,标准坦克设计!$B$14:$K$20,9)/30))</f>
        <v>4.8288808877033462</v>
      </c>
      <c r="ES226" s="172">
        <f ca="1">(VLOOKUP(ES$72,INDIRECT($C$5&amp;"生成成长"),2))/((VLOOKUP($B226,INDIRECT($B$5&amp;"生成成长"),4))/(VLOOKUP(ES$72,INDIRECT($C$5&amp;"生成成长"),5))*(VLOOKUP($B$5,标准坦克设计!$B$24:$U$30,MATCH("对"&amp;LEFT($C$5,2)&amp;"输出",标准坦克设计!$B$23:$U$23,0)))*(VLOOKUP($B226,INDIRECT($B$5&amp;"生成成长"),3))*(VLOOKUP($B$5,标准坦克设计!$B$14:$K$20,9)/30))</f>
        <v>5.2477663826355299</v>
      </c>
      <c r="ET226" s="172">
        <f ca="1">(VLOOKUP(ET$72,INDIRECT($C$5&amp;"生成成长"),2))/((VLOOKUP($B226,INDIRECT($B$5&amp;"生成成长"),4))/(VLOOKUP(ET$72,INDIRECT($C$5&amp;"生成成长"),5))*(VLOOKUP($B$5,标准坦克设计!$B$24:$U$30,MATCH("对"&amp;LEFT($C$5,2)&amp;"输出",标准坦克设计!$B$23:$U$23,0)))*(VLOOKUP($B226,INDIRECT($B$5&amp;"生成成长"),3))*(VLOOKUP($B$5,标准坦克设计!$B$14:$K$20,9)/30))</f>
        <v>5.6840724463550627</v>
      </c>
      <c r="EU226" s="172">
        <f ca="1">(VLOOKUP(EU$72,INDIRECT($C$5&amp;"生成成长"),2))/((VLOOKUP($B226,INDIRECT($B$5&amp;"生成成长"),4))/(VLOOKUP(EU$72,INDIRECT($C$5&amp;"生成成长"),5))*(VLOOKUP($B$5,标准坦克设计!$B$24:$U$30,MATCH("对"&amp;LEFT($C$5,2)&amp;"输出",标准坦克设计!$B$23:$U$23,0)))*(VLOOKUP($B226,INDIRECT($B$5&amp;"生成成长"),3))*(VLOOKUP($B$5,标准坦克设计!$B$14:$K$20,9)/30))</f>
        <v>6.1377990788619448</v>
      </c>
      <c r="EV226" s="172">
        <f ca="1">(VLOOKUP(EV$72,INDIRECT($C$5&amp;"生成成长"),2))/((VLOOKUP($B226,INDIRECT($B$5&amp;"生成成长"),4))/(VLOOKUP(EV$72,INDIRECT($C$5&amp;"生成成长"),5))*(VLOOKUP($B$5,标准坦克设计!$B$24:$U$30,MATCH("对"&amp;LEFT($C$5,2)&amp;"输出",标准坦克设计!$B$23:$U$23,0)))*(VLOOKUP($B226,INDIRECT($B$5&amp;"生成成长"),3))*(VLOOKUP($B$5,标准坦克设计!$B$14:$K$20,9)/30))</f>
        <v>6.6089462801561769</v>
      </c>
      <c r="EW226" s="172">
        <f ca="1">(VLOOKUP(EW$72,INDIRECT($C$5&amp;"生成成长"),2))/((VLOOKUP($B226,INDIRECT($B$5&amp;"生成成长"),4))/(VLOOKUP(EW$72,INDIRECT($C$5&amp;"生成成长"),5))*(VLOOKUP($B$5,标准坦克设计!$B$24:$U$30,MATCH("对"&amp;LEFT($C$5,2)&amp;"输出",标准坦克设计!$B$23:$U$23,0)))*(VLOOKUP($B226,INDIRECT($B$5&amp;"生成成长"),3))*(VLOOKUP($B$5,标准坦克设计!$B$14:$K$20,9)/30))</f>
        <v>7.0975140502377574</v>
      </c>
      <c r="EX226" s="172">
        <f ca="1">(VLOOKUP(EX$72,INDIRECT($C$5&amp;"生成成长"),2))/((VLOOKUP($B226,INDIRECT($B$5&amp;"生成成长"),4))/(VLOOKUP(EX$72,INDIRECT($C$5&amp;"生成成长"),5))*(VLOOKUP($B$5,标准坦克设计!$B$24:$U$30,MATCH("对"&amp;LEFT($C$5,2)&amp;"输出",标准坦克设计!$B$23:$U$23,0)))*(VLOOKUP($B226,INDIRECT($B$5&amp;"生成成长"),3))*(VLOOKUP($B$5,标准坦克设计!$B$14:$K$20,9)/30))</f>
        <v>7.6035023891066915</v>
      </c>
      <c r="EY226" s="172">
        <f ca="1">(VLOOKUP(EY$72,INDIRECT($C$5&amp;"生成成长"),2))/((VLOOKUP($B226,INDIRECT($B$5&amp;"生成成长"),4))/(VLOOKUP(EY$72,INDIRECT($C$5&amp;"生成成长"),5))*(VLOOKUP($B$5,标准坦克设计!$B$24:$U$30,MATCH("对"&amp;LEFT($C$5,2)&amp;"输出",标准坦克设计!$B$23:$U$23,0)))*(VLOOKUP($B226,INDIRECT($B$5&amp;"生成成长"),3))*(VLOOKUP($B$5,标准坦克设计!$B$14:$K$20,9)/30))</f>
        <v>8.1269112967629713</v>
      </c>
      <c r="EZ226" s="172">
        <f ca="1">(VLOOKUP(EZ$72,INDIRECT($C$5&amp;"生成成长"),2))/((VLOOKUP($B226,INDIRECT($B$5&amp;"生成成长"),4))/(VLOOKUP(EZ$72,INDIRECT($C$5&amp;"生成成长"),5))*(VLOOKUP($B$5,标准坦克设计!$B$24:$U$30,MATCH("对"&amp;LEFT($C$5,2)&amp;"输出",标准坦克设计!$B$23:$U$23,0)))*(VLOOKUP($B226,INDIRECT($B$5&amp;"生成成长"),3))*(VLOOKUP($B$5,标准坦克设计!$B$14:$K$20,9)/30))</f>
        <v>8.6677407732066047</v>
      </c>
      <c r="FA226" s="172">
        <f ca="1">(VLOOKUP(FA$72,INDIRECT($C$5&amp;"生成成长"),2))/((VLOOKUP($B226,INDIRECT($B$5&amp;"生成成长"),4))/(VLOOKUP(FA$72,INDIRECT($C$5&amp;"生成成长"),5))*(VLOOKUP($B$5,标准坦克设计!$B$24:$U$30,MATCH("对"&amp;LEFT($C$5,2)&amp;"输出",标准坦克设计!$B$23:$U$23,0)))*(VLOOKUP($B226,INDIRECT($B$5&amp;"生成成长"),3))*(VLOOKUP($B$5,标准坦克设计!$B$14:$K$20,9)/30))</f>
        <v>9.2259908184375856</v>
      </c>
      <c r="FB226" s="172">
        <f ca="1">(VLOOKUP(FB$72,INDIRECT($C$5&amp;"生成成长"),2))/((VLOOKUP($B226,INDIRECT($B$5&amp;"生成成长"),4))/(VLOOKUP(FB$72,INDIRECT($C$5&amp;"生成成长"),5))*(VLOOKUP($B$5,标准坦克设计!$B$24:$U$30,MATCH("对"&amp;LEFT($C$5,2)&amp;"输出",标准坦克设计!$B$23:$U$23,0)))*(VLOOKUP($B226,INDIRECT($B$5&amp;"生成成长"),3))*(VLOOKUP($B$5,标准坦克设计!$B$14:$K$20,9)/30))</f>
        <v>9.8016614324559157</v>
      </c>
      <c r="FC226" s="172">
        <f ca="1">(VLOOKUP(FC$72,INDIRECT($C$5&amp;"生成成长"),2))/((VLOOKUP($B226,INDIRECT($B$5&amp;"生成成长"),4))/(VLOOKUP(FC$72,INDIRECT($C$5&amp;"生成成长"),5))*(VLOOKUP($B$5,标准坦克设计!$B$24:$U$30,MATCH("对"&amp;LEFT($C$5,2)&amp;"输出",标准坦克设计!$B$23:$U$23,0)))*(VLOOKUP($B226,INDIRECT($B$5&amp;"生成成长"),3))*(VLOOKUP($B$5,标准坦克设计!$B$14:$K$20,9)/30))</f>
        <v>10.394752615261597</v>
      </c>
      <c r="FD226" s="172">
        <f ca="1">(VLOOKUP(FD$72,INDIRECT($C$5&amp;"生成成长"),2))/((VLOOKUP($B226,INDIRECT($B$5&amp;"生成成长"),4))/(VLOOKUP(FD$72,INDIRECT($C$5&amp;"生成成长"),5))*(VLOOKUP($B$5,标准坦克设计!$B$24:$U$30,MATCH("对"&amp;LEFT($C$5,2)&amp;"输出",标准坦克设计!$B$23:$U$23,0)))*(VLOOKUP($B226,INDIRECT($B$5&amp;"生成成长"),3))*(VLOOKUP($B$5,标准坦克设计!$B$14:$K$20,9)/30))</f>
        <v>11.005264366854629</v>
      </c>
      <c r="FE226" s="172">
        <f ca="1">(VLOOKUP(FE$72,INDIRECT($C$5&amp;"生成成长"),2))/((VLOOKUP($B226,INDIRECT($B$5&amp;"生成成长"),4))/(VLOOKUP(FE$72,INDIRECT($C$5&amp;"生成成长"),5))*(VLOOKUP($B$5,标准坦克设计!$B$24:$U$30,MATCH("对"&amp;LEFT($C$5,2)&amp;"输出",标准坦克设计!$B$23:$U$23,0)))*(VLOOKUP($B226,INDIRECT($B$5&amp;"生成成长"),3))*(VLOOKUP($B$5,标准坦克设计!$B$14:$K$20,9)/30))</f>
        <v>11.749237831388758</v>
      </c>
      <c r="FF226" s="172">
        <f ca="1">(VLOOKUP(FF$72,INDIRECT($C$5&amp;"生成成长"),2))/((VLOOKUP($B226,INDIRECT($B$5&amp;"生成成长"),4))/(VLOOKUP(FF$72,INDIRECT($C$5&amp;"生成成长"),5))*(VLOOKUP($B$5,标准坦克设计!$B$24:$U$30,MATCH("对"&amp;LEFT($C$5,2)&amp;"输出",标准坦克设计!$B$23:$U$23,0)))*(VLOOKUP($B226,INDIRECT($B$5&amp;"生成成长"),3))*(VLOOKUP($B$5,标准坦克设计!$B$14:$K$20,9)/30))</f>
        <v>12.517542503568032</v>
      </c>
      <c r="FG226" s="172">
        <f ca="1">(VLOOKUP(FG$72,INDIRECT($C$5&amp;"生成成长"),2))/((VLOOKUP($B226,INDIRECT($B$5&amp;"生成成长"),4))/(VLOOKUP(FG$72,INDIRECT($C$5&amp;"生成成长"),5))*(VLOOKUP($B$5,标准坦克设计!$B$24:$U$30,MATCH("对"&amp;LEFT($C$5,2)&amp;"输出",标准坦克设计!$B$23:$U$23,0)))*(VLOOKUP($B226,INDIRECT($B$5&amp;"生成成长"),3))*(VLOOKUP($B$5,标准坦克设计!$B$14:$K$20,9)/30))</f>
        <v>13.310178383392447</v>
      </c>
      <c r="FH226" s="172">
        <f ca="1">(VLOOKUP(FH$72,INDIRECT($C$5&amp;"生成成长"),2))/((VLOOKUP($B226,INDIRECT($B$5&amp;"生成成长"),4))/(VLOOKUP(FH$72,INDIRECT($C$5&amp;"生成成长"),5))*(VLOOKUP($B$5,标准坦克设计!$B$24:$U$30,MATCH("对"&amp;LEFT($C$5,2)&amp;"输出",标准坦克设计!$B$23:$U$23,0)))*(VLOOKUP($B226,INDIRECT($B$5&amp;"生成成长"),3))*(VLOOKUP($B$5,标准坦克设计!$B$14:$K$20,9)/30))</f>
        <v>14.127145470862002</v>
      </c>
      <c r="FI226" s="172">
        <f ca="1">(VLOOKUP(FI$72,INDIRECT($C$5&amp;"生成成长"),2))/((VLOOKUP($B226,INDIRECT($B$5&amp;"生成成长"),4))/(VLOOKUP(FI$72,INDIRECT($C$5&amp;"生成成长"),5))*(VLOOKUP($B$5,标准坦克设计!$B$24:$U$30,MATCH("对"&amp;LEFT($C$5,2)&amp;"输出",标准坦克设计!$B$23:$U$23,0)))*(VLOOKUP($B226,INDIRECT($B$5&amp;"生成成长"),3))*(VLOOKUP($B$5,标准坦克设计!$B$14:$K$20,9)/30))</f>
        <v>14.968443765976701</v>
      </c>
      <c r="FJ226" s="172">
        <f ca="1">(VLOOKUP(FJ$72,INDIRECT($C$5&amp;"生成成长"),2))/((VLOOKUP($B226,INDIRECT($B$5&amp;"生成成长"),4))/(VLOOKUP(FJ$72,INDIRECT($C$5&amp;"生成成长"),5))*(VLOOKUP($B$5,标准坦克设计!$B$24:$U$30,MATCH("对"&amp;LEFT($C$5,2)&amp;"输出",标准坦克设计!$B$23:$U$23,0)))*(VLOOKUP($B226,INDIRECT($B$5&amp;"生成成长"),3))*(VLOOKUP($B$5,标准坦克设计!$B$14:$K$20,9)/30))</f>
        <v>15.834073268736539</v>
      </c>
      <c r="FK226" s="172">
        <f ca="1">(VLOOKUP(FK$72,INDIRECT($C$5&amp;"生成成长"),2))/((VLOOKUP($B226,INDIRECT($B$5&amp;"生成成长"),4))/(VLOOKUP(FK$72,INDIRECT($C$5&amp;"生成成长"),5))*(VLOOKUP($B$5,标准坦克设计!$B$24:$U$30,MATCH("对"&amp;LEFT($C$5,2)&amp;"输出",标准坦克设计!$B$23:$U$23,0)))*(VLOOKUP($B226,INDIRECT($B$5&amp;"生成成长"),3))*(VLOOKUP($B$5,标准坦克设计!$B$14:$K$20,9)/30))</f>
        <v>16.724033979141517</v>
      </c>
    </row>
    <row r="227" spans="1:167" x14ac:dyDescent="0.15">
      <c r="A227" s="170" t="str">
        <f t="shared" si="13"/>
        <v>T5高品质11级</v>
      </c>
      <c r="B227" s="171">
        <v>30511</v>
      </c>
      <c r="C227" s="172">
        <f ca="1">(VLOOKUP(C$72,INDIRECT($C$5&amp;"生成成长"),2))/((VLOOKUP($B227,INDIRECT($B$5&amp;"生成成长"),4))/(VLOOKUP(C$72,INDIRECT($C$5&amp;"生成成长"),5))*(VLOOKUP($B$5,标准坦克设计!$B$24:$U$30,MATCH("对"&amp;LEFT($C$5,2)&amp;"输出",标准坦克设计!$B$23:$U$23,0)))*(VLOOKUP($B227,INDIRECT($B$5&amp;"生成成长"),3))*(VLOOKUP($B$5,标准坦克设计!$B$14:$K$20,9)/30))</f>
        <v>0.67537621503849132</v>
      </c>
      <c r="D227" s="172">
        <f ca="1">(VLOOKUP(D$72,INDIRECT($C$5&amp;"生成成长"),2))/((VLOOKUP($B227,INDIRECT($B$5&amp;"生成成长"),4))/(VLOOKUP(D$72,INDIRECT($C$5&amp;"生成成长"),5))*(VLOOKUP($B$5,标准坦克设计!$B$24:$U$30,MATCH("对"&amp;LEFT($C$5,2)&amp;"输出",标准坦克设计!$B$23:$U$23,0)))*(VLOOKUP($B227,INDIRECT($B$5&amp;"生成成长"),3))*(VLOOKUP($B$5,标准坦克设计!$B$14:$K$20,9)/30))</f>
        <v>0.75885271521724873</v>
      </c>
      <c r="E227" s="172">
        <f ca="1">(VLOOKUP(E$72,INDIRECT($C$5&amp;"生成成长"),2))/((VLOOKUP($B227,INDIRECT($B$5&amp;"生成成长"),4))/(VLOOKUP(E$72,INDIRECT($C$5&amp;"生成成长"),5))*(VLOOKUP($B$5,标准坦克设计!$B$24:$U$30,MATCH("对"&amp;LEFT($C$5,2)&amp;"输出",标准坦克设计!$B$23:$U$23,0)))*(VLOOKUP($B227,INDIRECT($B$5&amp;"生成成长"),3))*(VLOOKUP($B$5,标准坦克设计!$B$14:$K$20,9)/30))</f>
        <v>0.84719192414428335</v>
      </c>
      <c r="F227" s="172">
        <f ca="1">(VLOOKUP(F$72,INDIRECT($C$5&amp;"生成成长"),2))/((VLOOKUP($B227,INDIRECT($B$5&amp;"生成成长"),4))/(VLOOKUP(F$72,INDIRECT($C$5&amp;"生成成长"),5))*(VLOOKUP($B$5,标准坦克设计!$B$24:$U$30,MATCH("对"&amp;LEFT($C$5,2)&amp;"输出",标准坦克设计!$B$23:$U$23,0)))*(VLOOKUP($B227,INDIRECT($B$5&amp;"生成成长"),3))*(VLOOKUP($B$5,标准坦克设计!$B$14:$K$20,9)/30))</f>
        <v>0.94039384181959529</v>
      </c>
      <c r="G227" s="172">
        <f ca="1">(VLOOKUP(G$72,INDIRECT($C$5&amp;"生成成长"),2))/((VLOOKUP($B227,INDIRECT($B$5&amp;"生成成长"),4))/(VLOOKUP(G$72,INDIRECT($C$5&amp;"生成成长"),5))*(VLOOKUP($B$5,标准坦克设计!$B$24:$U$30,MATCH("对"&amp;LEFT($C$5,2)&amp;"输出",标准坦克设计!$B$23:$U$23,0)))*(VLOOKUP($B227,INDIRECT($B$5&amp;"生成成长"),3))*(VLOOKUP($B$5,标准坦克设计!$B$14:$K$20,9)/30))</f>
        <v>1.0384584682431841</v>
      </c>
      <c r="H227" s="172">
        <f ca="1">(VLOOKUP(H$72,INDIRECT($C$5&amp;"生成成长"),2))/((VLOOKUP($B227,INDIRECT($B$5&amp;"生成成长"),4))/(VLOOKUP(H$72,INDIRECT($C$5&amp;"生成成长"),5))*(VLOOKUP($B$5,标准坦克设计!$B$24:$U$30,MATCH("对"&amp;LEFT($C$5,2)&amp;"输出",标准坦克设计!$B$23:$U$23,0)))*(VLOOKUP($B227,INDIRECT($B$5&amp;"生成成长"),3))*(VLOOKUP($B$5,标准坦克设计!$B$14:$K$20,9)/30))</f>
        <v>0.9087862349557938</v>
      </c>
      <c r="I227" s="172">
        <f ca="1">(VLOOKUP(I$72,INDIRECT($C$5&amp;"生成成长"),2))/((VLOOKUP($B227,INDIRECT($B$5&amp;"生成成长"),4))/(VLOOKUP(I$72,INDIRECT($C$5&amp;"生成成长"),5))*(VLOOKUP($B$5,标准坦克设计!$B$24:$U$30,MATCH("对"&amp;LEFT($C$5,2)&amp;"输出",标准坦克设计!$B$23:$U$23,0)))*(VLOOKUP($B227,INDIRECT($B$5&amp;"生成成长"),3))*(VLOOKUP($B$5,标准坦克设计!$B$14:$K$20,9)/30))</f>
        <v>1.0384584682431841</v>
      </c>
      <c r="J227" s="172">
        <f ca="1">(VLOOKUP(J$72,INDIRECT($C$5&amp;"生成成长"),2))/((VLOOKUP($B227,INDIRECT($B$5&amp;"生成成长"),4))/(VLOOKUP(J$72,INDIRECT($C$5&amp;"生成成长"),5))*(VLOOKUP($B$5,标准坦克设计!$B$24:$U$30,MATCH("对"&amp;LEFT($C$5,2)&amp;"输出",标准坦克设计!$B$23:$U$23,0)))*(VLOOKUP($B227,INDIRECT($B$5&amp;"生成成长"),3))*(VLOOKUP($B$5,标准坦克设计!$B$14:$K$20,9)/30))</f>
        <v>1.1767755170830672</v>
      </c>
      <c r="K227" s="172">
        <f ca="1">(VLOOKUP(K$72,INDIRECT($C$5&amp;"生成成长"),2))/((VLOOKUP($B227,INDIRECT($B$5&amp;"生成成长"),4))/(VLOOKUP(K$72,INDIRECT($C$5&amp;"生成成长"),5))*(VLOOKUP($B$5,标准坦克设计!$B$24:$U$30,MATCH("对"&amp;LEFT($C$5,2)&amp;"输出",标准坦克设计!$B$23:$U$23,0)))*(VLOOKUP($B227,INDIRECT($B$5&amp;"生成成长"),3))*(VLOOKUP($B$5,标准坦克设计!$B$14:$K$20,9)/30))</f>
        <v>1.323737381475443</v>
      </c>
      <c r="L227" s="172">
        <f ca="1">(VLOOKUP(L$72,INDIRECT($C$5&amp;"生成成长"),2))/((VLOOKUP($B227,INDIRECT($B$5&amp;"生成成长"),4))/(VLOOKUP(L$72,INDIRECT($C$5&amp;"生成成长"),5))*(VLOOKUP($B$5,标准坦克设计!$B$24:$U$30,MATCH("对"&amp;LEFT($C$5,2)&amp;"输出",标准坦克设计!$B$23:$U$23,0)))*(VLOOKUP($B227,INDIRECT($B$5&amp;"生成成长"),3))*(VLOOKUP($B$5,标准坦克设计!$B$14:$K$20,9)/30))</f>
        <v>1.4793440614203113</v>
      </c>
      <c r="M227" s="172">
        <f ca="1">(VLOOKUP(M$72,INDIRECT($C$5&amp;"生成成长"),2))/((VLOOKUP($B227,INDIRECT($B$5&amp;"生成成长"),4))/(VLOOKUP(M$72,INDIRECT($C$5&amp;"生成成长"),5))*(VLOOKUP($B$5,标准坦克设计!$B$24:$U$30,MATCH("对"&amp;LEFT($C$5,2)&amp;"输出",标准坦克设计!$B$23:$U$23,0)))*(VLOOKUP($B227,INDIRECT($B$5&amp;"生成成长"),3))*(VLOOKUP($B$5,标准坦克设计!$B$14:$K$20,9)/30))</f>
        <v>1.6435955569176723</v>
      </c>
      <c r="N227" s="172">
        <f ca="1">(VLOOKUP(N$72,INDIRECT($C$5&amp;"生成成长"),2))/((VLOOKUP($B227,INDIRECT($B$5&amp;"生成成长"),4))/(VLOOKUP(N$72,INDIRECT($C$5&amp;"生成成长"),5))*(VLOOKUP($B$5,标准坦克设计!$B$24:$U$30,MATCH("对"&amp;LEFT($C$5,2)&amp;"输出",标准坦克设计!$B$23:$U$23,0)))*(VLOOKUP($B227,INDIRECT($B$5&amp;"生成成长"),3))*(VLOOKUP($B$5,标准坦克设计!$B$14:$K$20,9)/30))</f>
        <v>1.8164918679675259</v>
      </c>
      <c r="O227" s="172">
        <f ca="1">(VLOOKUP(O$72,INDIRECT($C$5&amp;"生成成长"),2))/((VLOOKUP($B227,INDIRECT($B$5&amp;"生成成长"),4))/(VLOOKUP(O$72,INDIRECT($C$5&amp;"生成成长"),5))*(VLOOKUP($B$5,标准坦克设计!$B$24:$U$30,MATCH("对"&amp;LEFT($C$5,2)&amp;"输出",标准坦克设计!$B$23:$U$23,0)))*(VLOOKUP($B227,INDIRECT($B$5&amp;"生成成长"),3))*(VLOOKUP($B$5,标准坦克设计!$B$14:$K$20,9)/30))</f>
        <v>1.3810768221322109</v>
      </c>
      <c r="P227" s="172">
        <f ca="1">(VLOOKUP(P$72,INDIRECT($C$5&amp;"生成成长"),2))/((VLOOKUP($B227,INDIRECT($B$5&amp;"生成成长"),4))/(VLOOKUP(P$72,INDIRECT($C$5&amp;"生成成长"),5))*(VLOOKUP($B$5,标准坦克设计!$B$24:$U$30,MATCH("对"&amp;LEFT($C$5,2)&amp;"输出",标准坦克设计!$B$23:$U$23,0)))*(VLOOKUP($B227,INDIRECT($B$5&amp;"生成成长"),3))*(VLOOKUP($B$5,标准坦克设计!$B$14:$K$20,9)/30))</f>
        <v>1.5603892072249304</v>
      </c>
      <c r="Q227" s="172">
        <f ca="1">(VLOOKUP(Q$72,INDIRECT($C$5&amp;"生成成长"),2))/((VLOOKUP($B227,INDIRECT($B$5&amp;"生成成长"),4))/(VLOOKUP(Q$72,INDIRECT($C$5&amp;"生成成长"),5))*(VLOOKUP($B$5,标准坦克设计!$B$24:$U$30,MATCH("对"&amp;LEFT($C$5,2)&amp;"输出",标准坦克设计!$B$23:$U$23,0)))*(VLOOKUP($B227,INDIRECT($B$5&amp;"生成成长"),3))*(VLOOKUP($B$5,标准坦克设计!$B$14:$K$20,9)/30))</f>
        <v>1.7506426870012735</v>
      </c>
      <c r="R227" s="172">
        <f ca="1">(VLOOKUP(R$72,INDIRECT($C$5&amp;"生成成长"),2))/((VLOOKUP($B227,INDIRECT($B$5&amp;"生成成长"),4))/(VLOOKUP(R$72,INDIRECT($C$5&amp;"生成成长"),5))*(VLOOKUP($B$5,标准坦克设计!$B$24:$U$30,MATCH("对"&amp;LEFT($C$5,2)&amp;"输出",标准坦克设计!$B$23:$U$23,0)))*(VLOOKUP($B227,INDIRECT($B$5&amp;"生成成长"),3))*(VLOOKUP($B$5,标准坦克设计!$B$14:$K$20,9)/30))</f>
        <v>1.9518372614612398</v>
      </c>
      <c r="S227" s="172">
        <f ca="1">(VLOOKUP(S$72,INDIRECT($C$5&amp;"生成成长"),2))/((VLOOKUP($B227,INDIRECT($B$5&amp;"生成成长"),4))/(VLOOKUP(S$72,INDIRECT($C$5&amp;"生成成长"),5))*(VLOOKUP($B$5,标准坦克设计!$B$24:$U$30,MATCH("对"&amp;LEFT($C$5,2)&amp;"输出",标准坦克设计!$B$23:$U$23,0)))*(VLOOKUP($B227,INDIRECT($B$5&amp;"生成成长"),3))*(VLOOKUP($B$5,标准坦克设计!$B$14:$K$20,9)/30))</f>
        <v>2.1639729306048299</v>
      </c>
      <c r="T227" s="172">
        <f ca="1">(VLOOKUP(T$72,INDIRECT($C$5&amp;"生成成长"),2))/((VLOOKUP($B227,INDIRECT($B$5&amp;"生成成长"),4))/(VLOOKUP(T$72,INDIRECT($C$5&amp;"生成成长"),5))*(VLOOKUP($B$5,标准坦克设计!$B$24:$U$30,MATCH("对"&amp;LEFT($C$5,2)&amp;"输出",标准坦克设计!$B$23:$U$23,0)))*(VLOOKUP($B227,INDIRECT($B$5&amp;"生成成长"),3))*(VLOOKUP($B$5,标准坦克设计!$B$14:$K$20,9)/30))</f>
        <v>2.3870496944320436</v>
      </c>
      <c r="U227" s="172">
        <f ca="1">(VLOOKUP(U$72,INDIRECT($C$5&amp;"生成成长"),2))/((VLOOKUP($B227,INDIRECT($B$5&amp;"生成成长"),4))/(VLOOKUP(U$72,INDIRECT($C$5&amp;"生成成长"),5))*(VLOOKUP($B$5,标准坦克设计!$B$24:$U$30,MATCH("对"&amp;LEFT($C$5,2)&amp;"输出",标准坦克设计!$B$23:$U$23,0)))*(VLOOKUP($B227,INDIRECT($B$5&amp;"生成成长"),3))*(VLOOKUP($B$5,标准坦克设计!$B$14:$K$20,9)/30))</f>
        <v>2.6210675529428813</v>
      </c>
      <c r="V227" s="172">
        <f ca="1">(VLOOKUP(V$72,INDIRECT($C$5&amp;"生成成长"),2))/((VLOOKUP($B227,INDIRECT($B$5&amp;"生成成长"),4))/(VLOOKUP(V$72,INDIRECT($C$5&amp;"生成成长"),5))*(VLOOKUP($B$5,标准坦克设计!$B$24:$U$30,MATCH("对"&amp;LEFT($C$5,2)&amp;"输出",标准坦克设计!$B$23:$U$23,0)))*(VLOOKUP($B227,INDIRECT($B$5&amp;"生成成长"),3))*(VLOOKUP($B$5,标准坦克设计!$B$14:$K$20,9)/30))</f>
        <v>2.8660265061373416</v>
      </c>
      <c r="W227" s="172">
        <f ca="1">(VLOOKUP(W$72,INDIRECT($C$5&amp;"生成成长"),2))/((VLOOKUP($B227,INDIRECT($B$5&amp;"生成成长"),4))/(VLOOKUP(W$72,INDIRECT($C$5&amp;"生成成长"),5))*(VLOOKUP($B$5,标准坦克设计!$B$24:$U$30,MATCH("对"&amp;LEFT($C$5,2)&amp;"输出",标准坦克设计!$B$23:$U$23,0)))*(VLOOKUP($B227,INDIRECT($B$5&amp;"生成成长"),3))*(VLOOKUP($B$5,标准坦克设计!$B$14:$K$20,9)/30))</f>
        <v>3.1219265540154262</v>
      </c>
      <c r="X227" s="172">
        <f ca="1">(VLOOKUP(X$72,INDIRECT($C$5&amp;"生成成长"),2))/((VLOOKUP($B227,INDIRECT($B$5&amp;"生成成长"),4))/(VLOOKUP(X$72,INDIRECT($C$5&amp;"生成成长"),5))*(VLOOKUP($B$5,标准坦克设计!$B$24:$U$30,MATCH("对"&amp;LEFT($C$5,2)&amp;"输出",标准坦克设计!$B$23:$U$23,0)))*(VLOOKUP($B227,INDIRECT($B$5&amp;"生成成长"),3))*(VLOOKUP($B$5,标准坦克设计!$B$14:$K$20,9)/30))</f>
        <v>2.2617674065424032</v>
      </c>
      <c r="Y227" s="172">
        <f ca="1">(VLOOKUP(Y$72,INDIRECT($C$5&amp;"生成成长"),2))/((VLOOKUP($B227,INDIRECT($B$5&amp;"生成成长"),4))/(VLOOKUP(Y$72,INDIRECT($C$5&amp;"生成成长"),5))*(VLOOKUP($B$5,标准坦克设计!$B$24:$U$30,MATCH("对"&amp;LEFT($C$5,2)&amp;"输出",标准坦克设计!$B$23:$U$23,0)))*(VLOOKUP($B227,INDIRECT($B$5&amp;"生成成长"),3))*(VLOOKUP($B$5,标准坦克设计!$B$14:$K$20,9)/30))</f>
        <v>2.5157088633968763</v>
      </c>
      <c r="Z227" s="172">
        <f ca="1">(VLOOKUP(Z$72,INDIRECT($C$5&amp;"生成成长"),2))/((VLOOKUP($B227,INDIRECT($B$5&amp;"生成成长"),4))/(VLOOKUP(Z$72,INDIRECT($C$5&amp;"生成成长"),5))*(VLOOKUP($B$5,标准坦克设计!$B$24:$U$30,MATCH("对"&amp;LEFT($C$5,2)&amp;"输出",标准坦克设计!$B$23:$U$23,0)))*(VLOOKUP($B227,INDIRECT($B$5&amp;"生成成长"),3))*(VLOOKUP($B$5,标准坦克设计!$B$14:$K$20,9)/30))</f>
        <v>2.7831578445521186</v>
      </c>
      <c r="AA227" s="172">
        <f ca="1">(VLOOKUP(AA$72,INDIRECT($C$5&amp;"生成成长"),2))/((VLOOKUP($B227,INDIRECT($B$5&amp;"生成成长"),4))/(VLOOKUP(AA$72,INDIRECT($C$5&amp;"生成成长"),5))*(VLOOKUP($B$5,标准坦克设计!$B$24:$U$30,MATCH("对"&amp;LEFT($C$5,2)&amp;"输出",标准坦克设计!$B$23:$U$23,0)))*(VLOOKUP($B227,INDIRECT($B$5&amp;"生成成长"),3))*(VLOOKUP($B$5,标准坦克设计!$B$14:$K$20,9)/30))</f>
        <v>3.0641143500081309</v>
      </c>
      <c r="AB227" s="172">
        <f ca="1">(VLOOKUP(AB$72,INDIRECT($C$5&amp;"生成成长"),2))/((VLOOKUP($B227,INDIRECT($B$5&amp;"生成成长"),4))/(VLOOKUP(AB$72,INDIRECT($C$5&amp;"生成成长"),5))*(VLOOKUP($B$5,标准坦克设计!$B$24:$U$30,MATCH("对"&amp;LEFT($C$5,2)&amp;"输出",标准坦克设计!$B$23:$U$23,0)))*(VLOOKUP($B227,INDIRECT($B$5&amp;"生成成长"),3))*(VLOOKUP($B$5,标准坦克设计!$B$14:$K$20,9)/30))</f>
        <v>3.3585783797649138</v>
      </c>
      <c r="AC227" s="172">
        <f ca="1">(VLOOKUP(AC$72,INDIRECT($C$5&amp;"生成成长"),2))/((VLOOKUP($B227,INDIRECT($B$5&amp;"生成成长"),4))/(VLOOKUP(AC$72,INDIRECT($C$5&amp;"生成成长"),5))*(VLOOKUP($B$5,标准坦克设计!$B$24:$U$30,MATCH("对"&amp;LEFT($C$5,2)&amp;"输出",标准坦克设计!$B$23:$U$23,0)))*(VLOOKUP($B227,INDIRECT($B$5&amp;"生成成长"),3))*(VLOOKUP($B$5,标准坦克设计!$B$14:$K$20,9)/30))</f>
        <v>3.6665499338224654</v>
      </c>
      <c r="AD227" s="172">
        <f ca="1">(VLOOKUP(AD$72,INDIRECT($C$5&amp;"生成成长"),2))/((VLOOKUP($B227,INDIRECT($B$5&amp;"生成成长"),4))/(VLOOKUP(AD$72,INDIRECT($C$5&amp;"生成成长"),5))*(VLOOKUP($B$5,标准坦克设计!$B$24:$U$30,MATCH("对"&amp;LEFT($C$5,2)&amp;"输出",标准坦克设计!$B$23:$U$23,0)))*(VLOOKUP($B227,INDIRECT($B$5&amp;"生成成长"),3))*(VLOOKUP($B$5,标准坦克设计!$B$14:$K$20,9)/30))</f>
        <v>3.9880290121807871</v>
      </c>
      <c r="AE227" s="172">
        <f ca="1">(VLOOKUP(AE$72,INDIRECT($C$5&amp;"生成成长"),2))/((VLOOKUP($B227,INDIRECT($B$5&amp;"生成成长"),4))/(VLOOKUP(AE$72,INDIRECT($C$5&amp;"生成成长"),5))*(VLOOKUP($B$5,标准坦克设计!$B$24:$U$30,MATCH("对"&amp;LEFT($C$5,2)&amp;"输出",标准坦克设计!$B$23:$U$23,0)))*(VLOOKUP($B227,INDIRECT($B$5&amp;"生成成长"),3))*(VLOOKUP($B$5,标准坦克设计!$B$14:$K$20,9)/30))</f>
        <v>4.3230156148398784</v>
      </c>
      <c r="AF227" s="172">
        <f ca="1">(VLOOKUP(AF$72,INDIRECT($C$5&amp;"生成成长"),2))/((VLOOKUP($B227,INDIRECT($B$5&amp;"生成成长"),4))/(VLOOKUP(AF$72,INDIRECT($C$5&amp;"生成成长"),5))*(VLOOKUP($B$5,标准坦克设计!$B$24:$U$30,MATCH("对"&amp;LEFT($C$5,2)&amp;"输出",标准坦克设计!$B$23:$U$23,0)))*(VLOOKUP($B227,INDIRECT($B$5&amp;"生成成长"),3))*(VLOOKUP($B$5,标准坦克设计!$B$14:$K$20,9)/30))</f>
        <v>4.6715097417997393</v>
      </c>
      <c r="AG227" s="172">
        <f ca="1">(VLOOKUP(AG$72,INDIRECT($C$5&amp;"生成成长"),2))/((VLOOKUP($B227,INDIRECT($B$5&amp;"生成成长"),4))/(VLOOKUP(AG$72,INDIRECT($C$5&amp;"生成成长"),5))*(VLOOKUP($B$5,标准坦克设计!$B$24:$U$30,MATCH("对"&amp;LEFT($C$5,2)&amp;"输出",标准坦克设计!$B$23:$U$23,0)))*(VLOOKUP($B227,INDIRECT($B$5&amp;"生成成长"),3))*(VLOOKUP($B$5,标准坦克设计!$B$14:$K$20,9)/30))</f>
        <v>5.0335113930603717</v>
      </c>
      <c r="AH227" s="172">
        <f ca="1">(VLOOKUP(AH$72,INDIRECT($C$5&amp;"生成成长"),2))/((VLOOKUP($B227,INDIRECT($B$5&amp;"生成成长"),4))/(VLOOKUP(AH$72,INDIRECT($C$5&amp;"生成成长"),5))*(VLOOKUP($B$5,标准坦克设计!$B$24:$U$30,MATCH("对"&amp;LEFT($C$5,2)&amp;"输出",标准坦克设计!$B$23:$U$23,0)))*(VLOOKUP($B227,INDIRECT($B$5&amp;"生成成长"),3))*(VLOOKUP($B$5,标准坦克设计!$B$14:$K$20,9)/30))</f>
        <v>5.4090205686217727</v>
      </c>
      <c r="AI227" s="172">
        <f ca="1">(VLOOKUP(AI$72,INDIRECT($C$5&amp;"生成成长"),2))/((VLOOKUP($B227,INDIRECT($B$5&amp;"生成成长"),4))/(VLOOKUP(AI$72,INDIRECT($C$5&amp;"生成成长"),5))*(VLOOKUP($B$5,标准坦克设计!$B$24:$U$30,MATCH("对"&amp;LEFT($C$5,2)&amp;"输出",标准坦克设计!$B$23:$U$23,0)))*(VLOOKUP($B227,INDIRECT($B$5&amp;"生成成长"),3))*(VLOOKUP($B$5,标准坦克设计!$B$14:$K$20,9)/30))</f>
        <v>3.8256010324640299</v>
      </c>
      <c r="AJ227" s="172">
        <f ca="1">(VLOOKUP(AJ$72,INDIRECT($C$5&amp;"生成成长"),2))/((VLOOKUP($B227,INDIRECT($B$5&amp;"生成成长"),4))/(VLOOKUP(AJ$72,INDIRECT($C$5&amp;"生成成长"),5))*(VLOOKUP($B$5,标准坦克设计!$B$24:$U$30,MATCH("对"&amp;LEFT($C$5,2)&amp;"输出",标准坦克设计!$B$23:$U$23,0)))*(VLOOKUP($B227,INDIRECT($B$5&amp;"生成成长"),3))*(VLOOKUP($B$5,标准坦克设计!$B$14:$K$20,9)/30))</f>
        <v>4.18740007086015</v>
      </c>
      <c r="AK227" s="172">
        <f ca="1">(VLOOKUP(AK$72,INDIRECT($C$5&amp;"生成成长"),2))/((VLOOKUP($B227,INDIRECT($B$5&amp;"生成成长"),4))/(VLOOKUP(AK$72,INDIRECT($C$5&amp;"生成成长"),5))*(VLOOKUP($B$5,标准坦克设计!$B$24:$U$30,MATCH("对"&amp;LEFT($C$5,2)&amp;"输出",标准坦克设计!$B$23:$U$23,0)))*(VLOOKUP($B227,INDIRECT($B$5&amp;"生成成长"),3))*(VLOOKUP($B$5,标准坦克设计!$B$14:$K$20,9)/30))</f>
        <v>4.5655432136602014</v>
      </c>
      <c r="AL227" s="172">
        <f ca="1">(VLOOKUP(AL$72,INDIRECT($C$5&amp;"生成成长"),2))/((VLOOKUP($B227,INDIRECT($B$5&amp;"生成成长"),4))/(VLOOKUP(AL$72,INDIRECT($C$5&amp;"生成成长"),5))*(VLOOKUP($B$5,标准坦克设计!$B$24:$U$30,MATCH("对"&amp;LEFT($C$5,2)&amp;"输出",标准坦克设计!$B$23:$U$23,0)))*(VLOOKUP($B227,INDIRECT($B$5&amp;"生成成长"),3))*(VLOOKUP($B$5,标准坦克设计!$B$14:$K$20,9)/30))</f>
        <v>4.9600304608641839</v>
      </c>
      <c r="AM227" s="172">
        <f ca="1">(VLOOKUP(AM$72,INDIRECT($C$5&amp;"生成成长"),2))/((VLOOKUP($B227,INDIRECT($B$5&amp;"生成成长"),4))/(VLOOKUP(AM$72,INDIRECT($C$5&amp;"生成成长"),5))*(VLOOKUP($B$5,标准坦克设计!$B$24:$U$30,MATCH("对"&amp;LEFT($C$5,2)&amp;"输出",标准坦克设计!$B$23:$U$23,0)))*(VLOOKUP($B227,INDIRECT($B$5&amp;"生成成长"),3))*(VLOOKUP($B$5,标准坦克设计!$B$14:$K$20,9)/30))</f>
        <v>5.3708618124720982</v>
      </c>
      <c r="AN227" s="172">
        <f ca="1">(VLOOKUP(AN$72,INDIRECT($C$5&amp;"生成成长"),2))/((VLOOKUP($B227,INDIRECT($B$5&amp;"生成成长"),4))/(VLOOKUP(AN$72,INDIRECT($C$5&amp;"生成成长"),5))*(VLOOKUP($B$5,标准坦克设计!$B$24:$U$30,MATCH("对"&amp;LEFT($C$5,2)&amp;"输出",标准坦克设计!$B$23:$U$23,0)))*(VLOOKUP($B227,INDIRECT($B$5&amp;"生成成长"),3))*(VLOOKUP($B$5,标准坦克设计!$B$14:$K$20,9)/30))</f>
        <v>5.7980372684839443</v>
      </c>
      <c r="AO227" s="172">
        <f ca="1">(VLOOKUP(AO$72,INDIRECT($C$5&amp;"生成成长"),2))/((VLOOKUP($B227,INDIRECT($B$5&amp;"生成成长"),4))/(VLOOKUP(AO$72,INDIRECT($C$5&amp;"生成成长"),5))*(VLOOKUP($B$5,标准坦克设计!$B$24:$U$30,MATCH("对"&amp;LEFT($C$5,2)&amp;"输出",标准坦克设计!$B$23:$U$23,0)))*(VLOOKUP($B227,INDIRECT($B$5&amp;"生成成长"),3))*(VLOOKUP($B$5,标准坦克设计!$B$14:$K$20,9)/30))</f>
        <v>6.2415568288997214</v>
      </c>
      <c r="AP227" s="172">
        <f ca="1">(VLOOKUP(AP$72,INDIRECT($C$5&amp;"生成成长"),2))/((VLOOKUP($B227,INDIRECT($B$5&amp;"生成成长"),4))/(VLOOKUP(AP$72,INDIRECT($C$5&amp;"生成成长"),5))*(VLOOKUP($B$5,标准坦克设计!$B$24:$U$30,MATCH("对"&amp;LEFT($C$5,2)&amp;"输出",标准坦克设计!$B$23:$U$23,0)))*(VLOOKUP($B227,INDIRECT($B$5&amp;"生成成长"),3))*(VLOOKUP($B$5,标准坦克设计!$B$14:$K$20,9)/30))</f>
        <v>6.7014204937194295</v>
      </c>
      <c r="AQ227" s="172">
        <f ca="1">(VLOOKUP(AQ$72,INDIRECT($C$5&amp;"生成成长"),2))/((VLOOKUP($B227,INDIRECT($B$5&amp;"生成成长"),4))/(VLOOKUP(AQ$72,INDIRECT($C$5&amp;"生成成长"),5))*(VLOOKUP($B$5,标准坦克设计!$B$24:$U$30,MATCH("对"&amp;LEFT($C$5,2)&amp;"输出",标准坦克设计!$B$23:$U$23,0)))*(VLOOKUP($B227,INDIRECT($B$5&amp;"生成成长"),3))*(VLOOKUP($B$5,标准坦克设计!$B$14:$K$20,9)/30))</f>
        <v>7.1776282629430694</v>
      </c>
      <c r="AR227" s="172">
        <f ca="1">(VLOOKUP(AR$72,INDIRECT($C$5&amp;"生成成长"),2))/((VLOOKUP($B227,INDIRECT($B$5&amp;"生成成长"),4))/(VLOOKUP(AR$72,INDIRECT($C$5&amp;"生成成长"),5))*(VLOOKUP($B$5,标准坦克设计!$B$24:$U$30,MATCH("对"&amp;LEFT($C$5,2)&amp;"输出",标准坦克设计!$B$23:$U$23,0)))*(VLOOKUP($B227,INDIRECT($B$5&amp;"生成成长"),3))*(VLOOKUP($B$5,标准坦克设计!$B$14:$K$20,9)/30))</f>
        <v>7.6701801365706421</v>
      </c>
      <c r="AS227" s="172">
        <f ca="1">(VLOOKUP(AS$72,INDIRECT($C$5&amp;"生成成长"),2))/((VLOOKUP($B227,INDIRECT($B$5&amp;"生成成长"),4))/(VLOOKUP(AS$72,INDIRECT($C$5&amp;"生成成长"),5))*(VLOOKUP($B$5,标准坦克设计!$B$24:$U$30,MATCH("对"&amp;LEFT($C$5,2)&amp;"输出",标准坦克设计!$B$23:$U$23,0)))*(VLOOKUP($B227,INDIRECT($B$5&amp;"生成成长"),3))*(VLOOKUP($B$5,标准坦克设计!$B$14:$K$20,9)/30))</f>
        <v>8.1790761146021449</v>
      </c>
      <c r="AT227" s="172">
        <f ca="1">(VLOOKUP(AT$72,INDIRECT($C$5&amp;"生成成长"),2))/((VLOOKUP($B227,INDIRECT($B$5&amp;"生成成长"),4))/(VLOOKUP(AT$72,INDIRECT($C$5&amp;"生成成长"),5))*(VLOOKUP($B$5,标准坦克设计!$B$24:$U$30,MATCH("对"&amp;LEFT($C$5,2)&amp;"输出",标准坦克设计!$B$23:$U$23,0)))*(VLOOKUP($B227,INDIRECT($B$5&amp;"生成成长"),3))*(VLOOKUP($B$5,标准坦克设计!$B$14:$K$20,9)/30))</f>
        <v>8.7043161970375795</v>
      </c>
      <c r="AU227" s="172">
        <f ca="1">(VLOOKUP(AU$72,INDIRECT($C$5&amp;"生成成长"),2))/((VLOOKUP($B227,INDIRECT($B$5&amp;"生成成长"),4))/(VLOOKUP(AU$72,INDIRECT($C$5&amp;"生成成长"),5))*(VLOOKUP($B$5,标准坦克设计!$B$24:$U$30,MATCH("对"&amp;LEFT($C$5,2)&amp;"输出",标准坦克设计!$B$23:$U$23,0)))*(VLOOKUP($B227,INDIRECT($B$5&amp;"生成成长"),3))*(VLOOKUP($B$5,标准坦克设计!$B$14:$K$20,9)/30))</f>
        <v>9.2459003838769469</v>
      </c>
      <c r="AV227" s="172">
        <f ca="1">(VLOOKUP(AV$72,INDIRECT($C$5&amp;"生成成长"),2))/((VLOOKUP($B227,INDIRECT($B$5&amp;"生成成长"),4))/(VLOOKUP(AV$72,INDIRECT($C$5&amp;"生成成长"),5))*(VLOOKUP($B$5,标准坦克设计!$B$24:$U$30,MATCH("对"&amp;LEFT($C$5,2)&amp;"输出",标准坦克设计!$B$23:$U$23,0)))*(VLOOKUP($B227,INDIRECT($B$5&amp;"生成成长"),3))*(VLOOKUP($B$5,标准坦克设计!$B$14:$K$20,9)/30))</f>
        <v>0.94039384181959529</v>
      </c>
      <c r="AW227" s="172">
        <f ca="1">(VLOOKUP(AW$72,INDIRECT($C$5&amp;"生成成长"),2))/((VLOOKUP($B227,INDIRECT($B$5&amp;"生成成长"),4))/(VLOOKUP(AW$72,INDIRECT($C$5&amp;"生成成长"),5))*(VLOOKUP($B$5,标准坦克设计!$B$24:$U$30,MATCH("对"&amp;LEFT($C$5,2)&amp;"输出",标准坦克设计!$B$23:$U$23,0)))*(VLOOKUP($B227,INDIRECT($B$5&amp;"生成成长"),3))*(VLOOKUP($B$5,标准坦克设计!$B$14:$K$20,9)/30))</f>
        <v>1.0722272789951086</v>
      </c>
      <c r="AX227" s="172">
        <f ca="1">(VLOOKUP(AX$72,INDIRECT($C$5&amp;"生成成长"),2))/((VLOOKUP($B227,INDIRECT($B$5&amp;"生成成长"),4))/(VLOOKUP(AX$72,INDIRECT($C$5&amp;"生成成长"),5))*(VLOOKUP($B$5,标准坦克设计!$B$24:$U$30,MATCH("对"&amp;LEFT($C$5,2)&amp;"输出",标准坦克设计!$B$23:$U$23,0)))*(VLOOKUP($B227,INDIRECT($B$5&amp;"生成成长"),3))*(VLOOKUP($B$5,标准坦克设计!$B$14:$K$20,9)/30))</f>
        <v>1.2127055317231148</v>
      </c>
      <c r="AY227" s="172">
        <f ca="1">(VLOOKUP(AY$72,INDIRECT($C$5&amp;"生成成长"),2))/((VLOOKUP($B227,INDIRECT($B$5&amp;"生成成长"),4))/(VLOOKUP(AY$72,INDIRECT($C$5&amp;"生成成长"),5))*(VLOOKUP($B$5,标准坦克设计!$B$24:$U$30,MATCH("对"&amp;LEFT($C$5,2)&amp;"输出",标准坦克设计!$B$23:$U$23,0)))*(VLOOKUP($B227,INDIRECT($B$5&amp;"生成成长"),3))*(VLOOKUP($B$5,标准坦克设计!$B$14:$K$20,9)/30))</f>
        <v>1.3618286000036137</v>
      </c>
      <c r="AZ227" s="172">
        <f ca="1">(VLOOKUP(AZ$72,INDIRECT($C$5&amp;"生成成长"),2))/((VLOOKUP($B227,INDIRECT($B$5&amp;"生成成长"),4))/(VLOOKUP(AZ$72,INDIRECT($C$5&amp;"生成成长"),5))*(VLOOKUP($B$5,标准坦克设计!$B$24:$U$30,MATCH("对"&amp;LEFT($C$5,2)&amp;"输出",标准坦克设计!$B$23:$U$23,0)))*(VLOOKUP($B227,INDIRECT($B$5&amp;"生成成长"),3))*(VLOOKUP($B$5,标准坦克设计!$B$14:$K$20,9)/30))</f>
        <v>1.5195964838366054</v>
      </c>
      <c r="BA227" s="172">
        <f ca="1">(VLOOKUP(BA$72,INDIRECT($C$5&amp;"生成成长"),2))/((VLOOKUP($B227,INDIRECT($B$5&amp;"生成成长"),4))/(VLOOKUP(BA$72,INDIRECT($C$5&amp;"生成成长"),5))*(VLOOKUP($B$5,标准坦克设计!$B$24:$U$30,MATCH("对"&amp;LEFT($C$5,2)&amp;"输出",标准坦克设计!$B$23:$U$23,0)))*(VLOOKUP($B227,INDIRECT($B$5&amp;"生成成长"),3))*(VLOOKUP($B$5,标准坦克设计!$B$14:$K$20,9)/30))</f>
        <v>1.6860091832220896</v>
      </c>
      <c r="BB227" s="172">
        <f ca="1">(VLOOKUP(BB$72,INDIRECT($C$5&amp;"生成成长"),2))/((VLOOKUP($B227,INDIRECT($B$5&amp;"生成成长"),4))/(VLOOKUP(BB$72,INDIRECT($C$5&amp;"生成成长"),5))*(VLOOKUP($B$5,标准坦克设计!$B$24:$U$30,MATCH("对"&amp;LEFT($C$5,2)&amp;"输出",标准坦克设计!$B$23:$U$23,0)))*(VLOOKUP($B227,INDIRECT($B$5&amp;"生成成长"),3))*(VLOOKUP($B$5,标准坦克设计!$B$14:$K$20,9)/30))</f>
        <v>1.8610666981600665</v>
      </c>
      <c r="BC227" s="172">
        <f ca="1">(VLOOKUP(BC$72,INDIRECT($C$5&amp;"生成成长"),2))/((VLOOKUP($B227,INDIRECT($B$5&amp;"生成成长"),4))/(VLOOKUP(BC$72,INDIRECT($C$5&amp;"生成成长"),5))*(VLOOKUP($B$5,标准坦克设计!$B$24:$U$30,MATCH("对"&amp;LEFT($C$5,2)&amp;"输出",标准坦克设计!$B$23:$U$23,0)))*(VLOOKUP($B227,INDIRECT($B$5&amp;"生成成长"),3))*(VLOOKUP($B$5,标准坦克设计!$B$14:$K$20,9)/30))</f>
        <v>2.0447690286505362</v>
      </c>
      <c r="BD227" s="172">
        <f ca="1">(VLOOKUP(BD$72,INDIRECT($C$5&amp;"生成成长"),2))/((VLOOKUP($B227,INDIRECT($B$5&amp;"生成成长"),4))/(VLOOKUP(BD$72,INDIRECT($C$5&amp;"生成成长"),5))*(VLOOKUP($B$5,标准坦克设计!$B$24:$U$30,MATCH("对"&amp;LEFT($C$5,2)&amp;"输出",标准坦克设计!$B$23:$U$23,0)))*(VLOOKUP($B227,INDIRECT($B$5&amp;"生成成长"),3))*(VLOOKUP($B$5,标准坦克设计!$B$14:$K$20,9)/30))</f>
        <v>2.2617674065424032</v>
      </c>
      <c r="BE227" s="172">
        <f ca="1">(VLOOKUP(BE$72,INDIRECT($C$5&amp;"生成成长"),2))/((VLOOKUP($B227,INDIRECT($B$5&amp;"生成成长"),4))/(VLOOKUP(BE$72,INDIRECT($C$5&amp;"生成成长"),5))*(VLOOKUP($B$5,标准坦克设计!$B$24:$U$30,MATCH("对"&amp;LEFT($C$5,2)&amp;"输出",标准坦克设计!$B$23:$U$23,0)))*(VLOOKUP($B227,INDIRECT($B$5&amp;"生成成长"),3))*(VLOOKUP($B$5,标准坦克设计!$B$14:$K$20,9)/30))</f>
        <v>2.4897068791178949</v>
      </c>
      <c r="BF227" s="172">
        <f ca="1">(VLOOKUP(BF$72,INDIRECT($C$5&amp;"生成成长"),2))/((VLOOKUP($B227,INDIRECT($B$5&amp;"生成成长"),4))/(VLOOKUP(BF$72,INDIRECT($C$5&amp;"生成成长"),5))*(VLOOKUP($B$5,标准坦克设计!$B$24:$U$30,MATCH("对"&amp;LEFT($C$5,2)&amp;"输出",标准坦克设计!$B$23:$U$23,0)))*(VLOOKUP($B227,INDIRECT($B$5&amp;"生成成长"),3))*(VLOOKUP($B$5,标准坦克设计!$B$14:$K$20,9)/30))</f>
        <v>2.7285874463770088</v>
      </c>
      <c r="BG227" s="172">
        <f ca="1">(VLOOKUP(BG$72,INDIRECT($C$5&amp;"生成成长"),2))/((VLOOKUP($B227,INDIRECT($B$5&amp;"生成成长"),4))/(VLOOKUP(BG$72,INDIRECT($C$5&amp;"生成成长"),5))*(VLOOKUP($B$5,标准坦克设计!$B$24:$U$30,MATCH("对"&amp;LEFT($C$5,2)&amp;"输出",标准坦克设计!$B$23:$U$23,0)))*(VLOOKUP($B227,INDIRECT($B$5&amp;"生成成长"),3))*(VLOOKUP($B$5,标准坦克设计!$B$14:$K$20,9)/30))</f>
        <v>2.9784091083197466</v>
      </c>
      <c r="BH227" s="172">
        <f ca="1">(VLOOKUP(BH$72,INDIRECT($C$5&amp;"生成成长"),2))/((VLOOKUP($B227,INDIRECT($B$5&amp;"生成成长"),4))/(VLOOKUP(BH$72,INDIRECT($C$5&amp;"生成成长"),5))*(VLOOKUP($B$5,标准坦克设计!$B$24:$U$30,MATCH("对"&amp;LEFT($C$5,2)&amp;"输出",标准坦克设计!$B$23:$U$23,0)))*(VLOOKUP($B227,INDIRECT($B$5&amp;"生成成长"),3))*(VLOOKUP($B$5,标准坦克设计!$B$14:$K$20,9)/30))</f>
        <v>1.439631939976048</v>
      </c>
      <c r="BI227" s="172">
        <f ca="1">(VLOOKUP(BI$72,INDIRECT($C$5&amp;"生成成长"),2))/((VLOOKUP($B227,INDIRECT($B$5&amp;"生成成长"),4))/(VLOOKUP(BI$72,INDIRECT($C$5&amp;"生成成长"),5))*(VLOOKUP($B$5,标准坦克设计!$B$24:$U$30,MATCH("对"&amp;LEFT($C$5,2)&amp;"输出",标准坦克设计!$B$23:$U$23,0)))*(VLOOKUP($B227,INDIRECT($B$5&amp;"生成成长"),3))*(VLOOKUP($B$5,标准坦克设计!$B$14:$K$20,9)/30))</f>
        <v>1.6225913566299754</v>
      </c>
      <c r="BJ227" s="172">
        <f ca="1">(VLOOKUP(BJ$72,INDIRECT($C$5&amp;"生成成长"),2))/((VLOOKUP($B227,INDIRECT($B$5&amp;"生成成长"),4))/(VLOOKUP(BJ$72,INDIRECT($C$5&amp;"生成成长"),5))*(VLOOKUP($B$5,标准坦克设计!$B$24:$U$30,MATCH("对"&amp;LEFT($C$5,2)&amp;"输出",标准坦克设计!$B$23:$U$23,0)))*(VLOOKUP($B227,INDIRECT($B$5&amp;"生成成长"),3))*(VLOOKUP($B$5,标准坦克设计!$B$14:$K$20,9)/30))</f>
        <v>1.8164918679675259</v>
      </c>
      <c r="BK227" s="172">
        <f ca="1">(VLOOKUP(BK$72,INDIRECT($C$5&amp;"生成成长"),2))/((VLOOKUP($B227,INDIRECT($B$5&amp;"生成成长"),4))/(VLOOKUP(BK$72,INDIRECT($C$5&amp;"生成成长"),5))*(VLOOKUP($B$5,标准坦克设计!$B$24:$U$30,MATCH("对"&amp;LEFT($C$5,2)&amp;"输出",标准坦克设计!$B$23:$U$23,0)))*(VLOOKUP($B227,INDIRECT($B$5&amp;"生成成长"),3))*(VLOOKUP($B$5,标准坦克设计!$B$14:$K$20,9)/30))</f>
        <v>2.0213334739887006</v>
      </c>
      <c r="BL227" s="172">
        <f ca="1">(VLOOKUP(BL$72,INDIRECT($C$5&amp;"生成成长"),2))/((VLOOKUP($B227,INDIRECT($B$5&amp;"生成成长"),4))/(VLOOKUP(BL$72,INDIRECT($C$5&amp;"生成成长"),5))*(VLOOKUP($B$5,标准坦克设计!$B$24:$U$30,MATCH("对"&amp;LEFT($C$5,2)&amp;"输出",标准坦克设计!$B$23:$U$23,0)))*(VLOOKUP($B227,INDIRECT($B$5&amp;"生成成长"),3))*(VLOOKUP($B$5,标准坦克设计!$B$14:$K$20,9)/30))</f>
        <v>2.2371161746934982</v>
      </c>
      <c r="BM227" s="172">
        <f ca="1">(VLOOKUP(BM$72,INDIRECT($C$5&amp;"生成成长"),2))/((VLOOKUP($B227,INDIRECT($B$5&amp;"生成成长"),4))/(VLOOKUP(BM$72,INDIRECT($C$5&amp;"生成成长"),5))*(VLOOKUP($B$5,标准坦克设计!$B$24:$U$30,MATCH("对"&amp;LEFT($C$5,2)&amp;"输出",标准坦克设计!$B$23:$U$23,0)))*(VLOOKUP($B227,INDIRECT($B$5&amp;"生成成长"),3))*(VLOOKUP($B$5,标准坦克设计!$B$14:$K$20,9)/30))</f>
        <v>2.4638399700819202</v>
      </c>
      <c r="BN227" s="172">
        <f ca="1">(VLOOKUP(BN$72,INDIRECT($C$5&amp;"生成成长"),2))/((VLOOKUP($B227,INDIRECT($B$5&amp;"生成成长"),4))/(VLOOKUP(BN$72,INDIRECT($C$5&amp;"生成成长"),5))*(VLOOKUP($B$5,标准坦克设计!$B$24:$U$30,MATCH("对"&amp;LEFT($C$5,2)&amp;"输出",标准坦克设计!$B$23:$U$23,0)))*(VLOOKUP($B227,INDIRECT($B$5&amp;"生成成长"),3))*(VLOOKUP($B$5,标准坦克设计!$B$14:$K$20,9)/30))</f>
        <v>2.7015048601539653</v>
      </c>
      <c r="BO227" s="172">
        <f ca="1">(VLOOKUP(BO$72,INDIRECT($C$5&amp;"生成成长"),2))/((VLOOKUP($B227,INDIRECT($B$5&amp;"生成成长"),4))/(VLOOKUP(BO$72,INDIRECT($C$5&amp;"生成成长"),5))*(VLOOKUP($B$5,标准坦克设计!$B$24:$U$30,MATCH("对"&amp;LEFT($C$5,2)&amp;"输出",标准坦克设计!$B$23:$U$23,0)))*(VLOOKUP($B227,INDIRECT($B$5&amp;"生成成长"),3))*(VLOOKUP($B$5,标准坦克设计!$B$14:$K$20,9)/30))</f>
        <v>2.9501108449096338</v>
      </c>
      <c r="BP227" s="172">
        <f ca="1">(VLOOKUP(BP$72,INDIRECT($C$5&amp;"生成成长"),2))/((VLOOKUP($B227,INDIRECT($B$5&amp;"生成成长"),4))/(VLOOKUP(BP$72,INDIRECT($C$5&amp;"生成成长"),5))*(VLOOKUP($B$5,标准坦克设计!$B$24:$U$30,MATCH("对"&amp;LEFT($C$5,2)&amp;"输出",标准坦克设计!$B$23:$U$23,0)))*(VLOOKUP($B227,INDIRECT($B$5&amp;"生成成长"),3))*(VLOOKUP($B$5,标准坦克设计!$B$14:$K$20,9)/30))</f>
        <v>3.2096579243489263</v>
      </c>
      <c r="BQ227" s="172">
        <f ca="1">(VLOOKUP(BQ$72,INDIRECT($C$5&amp;"生成成长"),2))/((VLOOKUP($B227,INDIRECT($B$5&amp;"生成成长"),4))/(VLOOKUP(BQ$72,INDIRECT($C$5&amp;"生成成长"),5))*(VLOOKUP($B$5,标准坦克设计!$B$24:$U$30,MATCH("对"&amp;LEFT($C$5,2)&amp;"输出",标准坦克设计!$B$23:$U$23,0)))*(VLOOKUP($B227,INDIRECT($B$5&amp;"生成成长"),3))*(VLOOKUP($B$5,标准坦克设计!$B$14:$K$20,9)/30))</f>
        <v>3.4801460984718422</v>
      </c>
      <c r="BR227" s="172">
        <f ca="1">(VLOOKUP(BR$72,INDIRECT($C$5&amp;"生成成长"),2))/((VLOOKUP($B227,INDIRECT($B$5&amp;"生成成长"),4))/(VLOOKUP(BR$72,INDIRECT($C$5&amp;"生成成长"),5))*(VLOOKUP($B$5,标准坦克设计!$B$24:$U$30,MATCH("对"&amp;LEFT($C$5,2)&amp;"输出",标准坦克设计!$B$23:$U$23,0)))*(VLOOKUP($B227,INDIRECT($B$5&amp;"生成成长"),3))*(VLOOKUP($B$5,标准坦克设计!$B$14:$K$20,9)/30))</f>
        <v>3.7935206622497013</v>
      </c>
      <c r="BS227" s="172">
        <f ca="1">(VLOOKUP(BS$72,INDIRECT($C$5&amp;"生成成长"),2))/((VLOOKUP($B227,INDIRECT($B$5&amp;"生成成长"),4))/(VLOOKUP(BS$72,INDIRECT($C$5&amp;"生成成长"),5))*(VLOOKUP($B$5,标准坦克设计!$B$24:$U$30,MATCH("对"&amp;LEFT($C$5,2)&amp;"输出",标准坦克设计!$B$23:$U$23,0)))*(VLOOKUP($B227,INDIRECT($B$5&amp;"生成成长"),3))*(VLOOKUP($B$5,标准坦克设计!$B$14:$K$20,9)/30))</f>
        <v>4.1204027503283314</v>
      </c>
      <c r="BT227" s="172">
        <f ca="1">(VLOOKUP(BT$72,INDIRECT($C$5&amp;"生成成长"),2))/((VLOOKUP($B227,INDIRECT($B$5&amp;"生成成长"),4))/(VLOOKUP(BT$72,INDIRECT($C$5&amp;"生成成长"),5))*(VLOOKUP($B$5,标准坦克设计!$B$24:$U$30,MATCH("对"&amp;LEFT($C$5,2)&amp;"输出",标准坦克设计!$B$23:$U$23,0)))*(VLOOKUP($B227,INDIRECT($B$5&amp;"生成成长"),3))*(VLOOKUP($B$5,标准坦克设计!$B$14:$K$20,9)/30))</f>
        <v>4.4607923627077319</v>
      </c>
      <c r="BU227" s="172">
        <f ca="1">(VLOOKUP(BU$72,INDIRECT($C$5&amp;"生成成长"),2))/((VLOOKUP($B227,INDIRECT($B$5&amp;"生成成长"),4))/(VLOOKUP(BU$72,INDIRECT($C$5&amp;"生成成长"),5))*(VLOOKUP($B$5,标准坦克设计!$B$24:$U$30,MATCH("对"&amp;LEFT($C$5,2)&amp;"输出",标准坦克设计!$B$23:$U$23,0)))*(VLOOKUP($B227,INDIRECT($B$5&amp;"生成成长"),3))*(VLOOKUP($B$5,标准坦克设计!$B$14:$K$20,9)/30))</f>
        <v>4.8146894993879013</v>
      </c>
      <c r="BV227" s="172">
        <f ca="1">(VLOOKUP(BV$72,INDIRECT($C$5&amp;"生成成长"),2))/((VLOOKUP($B227,INDIRECT($B$5&amp;"生成成长"),4))/(VLOOKUP(BV$72,INDIRECT($C$5&amp;"生成成长"),5))*(VLOOKUP($B$5,标准坦克设计!$B$24:$U$30,MATCH("对"&amp;LEFT($C$5,2)&amp;"输出",标准坦克设计!$B$23:$U$23,0)))*(VLOOKUP($B227,INDIRECT($B$5&amp;"生成成长"),3))*(VLOOKUP($B$5,标准坦克设计!$B$14:$K$20,9)/30))</f>
        <v>5.1820941603688402</v>
      </c>
      <c r="BW227" s="172">
        <f ca="1">(VLOOKUP(BW$72,INDIRECT($C$5&amp;"生成成长"),2))/((VLOOKUP($B227,INDIRECT($B$5&amp;"生成成长"),4))/(VLOOKUP(BW$72,INDIRECT($C$5&amp;"生成成长"),5))*(VLOOKUP($B$5,标准坦克设计!$B$24:$U$30,MATCH("对"&amp;LEFT($C$5,2)&amp;"输出",标准坦克设计!$B$23:$U$23,0)))*(VLOOKUP($B227,INDIRECT($B$5&amp;"生成成长"),3))*(VLOOKUP($B$5,标准坦克设计!$B$14:$K$20,9)/30))</f>
        <v>2.3617230863681007</v>
      </c>
      <c r="BX227" s="172">
        <f ca="1">(VLOOKUP(BX$72,INDIRECT($C$5&amp;"生成成长"),2))/((VLOOKUP($B227,INDIRECT($B$5&amp;"生成成长"),4))/(VLOOKUP(BX$72,INDIRECT($C$5&amp;"生成成长"),5))*(VLOOKUP($B$5,标准坦克设计!$B$24:$U$30,MATCH("对"&amp;LEFT($C$5,2)&amp;"输出",标准坦克设计!$B$23:$U$23,0)))*(VLOOKUP($B227,INDIRECT($B$5&amp;"生成成长"),3))*(VLOOKUP($B$5,标准坦克设计!$B$14:$K$20,9)/30))</f>
        <v>2.6210675529428813</v>
      </c>
      <c r="BY227" s="172">
        <f ca="1">(VLOOKUP(BY$72,INDIRECT($C$5&amp;"生成成长"),2))/((VLOOKUP($B227,INDIRECT($B$5&amp;"生成成长"),4))/(VLOOKUP(BY$72,INDIRECT($C$5&amp;"生成成长"),5))*(VLOOKUP($B$5,标准坦克设计!$B$24:$U$30,MATCH("对"&amp;LEFT($C$5,2)&amp;"输出",标准坦克设计!$B$23:$U$23,0)))*(VLOOKUP($B227,INDIRECT($B$5&amp;"生成成长"),3))*(VLOOKUP($B$5,标准坦克设计!$B$14:$K$20,9)/30))</f>
        <v>2.8939195438184315</v>
      </c>
      <c r="BZ227" s="172">
        <f ca="1">(VLOOKUP(BZ$72,INDIRECT($C$5&amp;"生成成长"),2))/((VLOOKUP($B227,INDIRECT($B$5&amp;"生成成长"),4))/(VLOOKUP(BZ$72,INDIRECT($C$5&amp;"生成成长"),5))*(VLOOKUP($B$5,标准坦克设计!$B$24:$U$30,MATCH("对"&amp;LEFT($C$5,2)&amp;"输出",标准坦克设计!$B$23:$U$23,0)))*(VLOOKUP($B227,INDIRECT($B$5&amp;"生成成长"),3))*(VLOOKUP($B$5,标准坦克设计!$B$14:$K$20,9)/30))</f>
        <v>3.1802790589947514</v>
      </c>
      <c r="CA227" s="172">
        <f ca="1">(VLOOKUP(CA$72,INDIRECT($C$5&amp;"生成成长"),2))/((VLOOKUP($B227,INDIRECT($B$5&amp;"生成成长"),4))/(VLOOKUP(CA$72,INDIRECT($C$5&amp;"生成成长"),5))*(VLOOKUP($B$5,标准坦克设计!$B$24:$U$30,MATCH("对"&amp;LEFT($C$5,2)&amp;"输出",标准坦克设计!$B$23:$U$23,0)))*(VLOOKUP($B227,INDIRECT($B$5&amp;"生成成长"),3))*(VLOOKUP($B$5,标准坦克设计!$B$14:$K$20,9)/30))</f>
        <v>3.4801460984718422</v>
      </c>
      <c r="CB227" s="172">
        <f ca="1">(VLOOKUP(CB$72,INDIRECT($C$5&amp;"生成成长"),2))/((VLOOKUP($B227,INDIRECT($B$5&amp;"生成成长"),4))/(VLOOKUP(CB$72,INDIRECT($C$5&amp;"生成成长"),5))*(VLOOKUP($B$5,标准坦克设计!$B$24:$U$30,MATCH("对"&amp;LEFT($C$5,2)&amp;"输出",标准坦克设计!$B$23:$U$23,0)))*(VLOOKUP($B227,INDIRECT($B$5&amp;"生成成长"),3))*(VLOOKUP($B$5,标准坦克设计!$B$14:$K$20,9)/30))</f>
        <v>3.7935206622497013</v>
      </c>
      <c r="CC227" s="172">
        <f ca="1">(VLOOKUP(CC$72,INDIRECT($C$5&amp;"生成成长"),2))/((VLOOKUP($B227,INDIRECT($B$5&amp;"生成成长"),4))/(VLOOKUP(CC$72,INDIRECT($C$5&amp;"生成成长"),5))*(VLOOKUP($B$5,标准坦克设计!$B$24:$U$30,MATCH("对"&amp;LEFT($C$5,2)&amp;"输出",标准坦克设计!$B$23:$U$23,0)))*(VLOOKUP($B227,INDIRECT($B$5&amp;"生成成长"),3))*(VLOOKUP($B$5,标准坦克设计!$B$14:$K$20,9)/30))</f>
        <v>4.1204027503283314</v>
      </c>
      <c r="CD227" s="172">
        <f ca="1">(VLOOKUP(CD$72,INDIRECT($C$5&amp;"生成成长"),2))/((VLOOKUP($B227,INDIRECT($B$5&amp;"生成成长"),4))/(VLOOKUP(CD$72,INDIRECT($C$5&amp;"生成成长"),5))*(VLOOKUP($B$5,标准坦克设计!$B$24:$U$30,MATCH("对"&amp;LEFT($C$5,2)&amp;"输出",标准坦克设计!$B$23:$U$23,0)))*(VLOOKUP($B227,INDIRECT($B$5&amp;"生成成长"),3))*(VLOOKUP($B$5,标准坦克设计!$B$14:$K$20,9)/30))</f>
        <v>4.4607923627077319</v>
      </c>
      <c r="CE227" s="172">
        <f ca="1">(VLOOKUP(CE$72,INDIRECT($C$5&amp;"生成成长"),2))/((VLOOKUP($B227,INDIRECT($B$5&amp;"生成成长"),4))/(VLOOKUP(CE$72,INDIRECT($C$5&amp;"生成成长"),5))*(VLOOKUP($B$5,标准坦克设计!$B$24:$U$30,MATCH("对"&amp;LEFT($C$5,2)&amp;"输出",标准坦克设计!$B$23:$U$23,0)))*(VLOOKUP($B227,INDIRECT($B$5&amp;"生成成长"),3))*(VLOOKUP($B$5,标准坦克设计!$B$14:$K$20,9)/30))</f>
        <v>4.8146894993879013</v>
      </c>
      <c r="CF227" s="172">
        <f ca="1">(VLOOKUP(CF$72,INDIRECT($C$5&amp;"生成成长"),2))/((VLOOKUP($B227,INDIRECT($B$5&amp;"生成成长"),4))/(VLOOKUP(CF$72,INDIRECT($C$5&amp;"生成成长"),5))*(VLOOKUP($B$5,标准坦克设计!$B$24:$U$30,MATCH("对"&amp;LEFT($C$5,2)&amp;"输出",标准坦克设计!$B$23:$U$23,0)))*(VLOOKUP($B227,INDIRECT($B$5&amp;"生成成长"),3))*(VLOOKUP($B$5,标准坦克设计!$B$14:$K$20,9)/30))</f>
        <v>5.1820941603688402</v>
      </c>
      <c r="CG227" s="172">
        <f ca="1">(VLOOKUP(CG$72,INDIRECT($C$5&amp;"生成成长"),2))/((VLOOKUP($B227,INDIRECT($B$5&amp;"生成成长"),4))/(VLOOKUP(CG$72,INDIRECT($C$5&amp;"生成成长"),5))*(VLOOKUP($B$5,标准坦克设计!$B$24:$U$30,MATCH("对"&amp;LEFT($C$5,2)&amp;"输出",标准坦克设计!$B$23:$U$23,0)))*(VLOOKUP($B227,INDIRECT($B$5&amp;"生成成长"),3))*(VLOOKUP($B$5,标准坦克设计!$B$14:$K$20,9)/30))</f>
        <v>5.5630063456505487</v>
      </c>
      <c r="CH227" s="172">
        <f ca="1">(VLOOKUP(CH$72,INDIRECT($C$5&amp;"生成成长"),2))/((VLOOKUP($B227,INDIRECT($B$5&amp;"生成成长"),4))/(VLOOKUP(CH$72,INDIRECT($C$5&amp;"生成成长"),5))*(VLOOKUP($B$5,标准坦克设计!$B$24:$U$30,MATCH("对"&amp;LEFT($C$5,2)&amp;"输出",标准坦克设计!$B$23:$U$23,0)))*(VLOOKUP($B227,INDIRECT($B$5&amp;"生成成长"),3))*(VLOOKUP($B$5,标准坦克设计!$B$14:$K$20,9)/30))</f>
        <v>5.9574260552330269</v>
      </c>
      <c r="CI227" s="172">
        <f ca="1">(VLOOKUP(CI$72,INDIRECT($C$5&amp;"生成成长"),2))/((VLOOKUP($B227,INDIRECT($B$5&amp;"生成成长"),4))/(VLOOKUP(CI$72,INDIRECT($C$5&amp;"生成成长"),5))*(VLOOKUP($B$5,标准坦克设计!$B$24:$U$30,MATCH("对"&amp;LEFT($C$5,2)&amp;"输出",标准坦克设计!$B$23:$U$23,0)))*(VLOOKUP($B227,INDIRECT($B$5&amp;"生成成长"),3))*(VLOOKUP($B$5,标准坦克设计!$B$14:$K$20,9)/30))</f>
        <v>6.4068889263411428</v>
      </c>
      <c r="CJ227" s="172">
        <f ca="1">(VLOOKUP(CJ$72,INDIRECT($C$5&amp;"生成成长"),2))/((VLOOKUP($B227,INDIRECT($B$5&amp;"生成成长"),4))/(VLOOKUP(CJ$72,INDIRECT($C$5&amp;"生成成长"),5))*(VLOOKUP($B$5,标准坦克设计!$B$24:$U$30,MATCH("对"&amp;LEFT($C$5,2)&amp;"输出",标准坦克设计!$B$23:$U$23,0)))*(VLOOKUP($B227,INDIRECT($B$5&amp;"生成成长"),3))*(VLOOKUP($B$5,标准坦克设计!$B$14:$K$20,9)/30))</f>
        <v>6.8726959018531915</v>
      </c>
      <c r="CK227" s="172">
        <f ca="1">(VLOOKUP(CK$72,INDIRECT($C$5&amp;"生成成长"),2))/((VLOOKUP($B227,INDIRECT($B$5&amp;"生成成长"),4))/(VLOOKUP(CK$72,INDIRECT($C$5&amp;"生成成长"),5))*(VLOOKUP($B$5,标准坦克设计!$B$24:$U$30,MATCH("对"&amp;LEFT($C$5,2)&amp;"输出",标准坦克设计!$B$23:$U$23,0)))*(VLOOKUP($B227,INDIRECT($B$5&amp;"生成成长"),3))*(VLOOKUP($B$5,标准坦克设计!$B$14:$K$20,9)/30))</f>
        <v>7.3548469817691702</v>
      </c>
      <c r="CL227" s="172">
        <f ca="1">(VLOOKUP(CL$72,INDIRECT($C$5&amp;"生成成长"),2))/((VLOOKUP($B227,INDIRECT($B$5&amp;"生成成长"),4))/(VLOOKUP(CL$72,INDIRECT($C$5&amp;"生成成长"),5))*(VLOOKUP($B$5,标准坦克设计!$B$24:$U$30,MATCH("对"&amp;LEFT($C$5,2)&amp;"输出",标准坦克设计!$B$23:$U$23,0)))*(VLOOKUP($B227,INDIRECT($B$5&amp;"生成成长"),3))*(VLOOKUP($B$5,标准坦克设计!$B$14:$K$20,9)/30))</f>
        <v>7.8533421660890799</v>
      </c>
      <c r="CM227" s="172">
        <f ca="1">(VLOOKUP(CM$72,INDIRECT($C$5&amp;"生成成长"),2))/((VLOOKUP($B227,INDIRECT($B$5&amp;"生成成长"),4))/(VLOOKUP(CM$72,INDIRECT($C$5&amp;"生成成长"),5))*(VLOOKUP($B$5,标准坦克设计!$B$24:$U$30,MATCH("对"&amp;LEFT($C$5,2)&amp;"输出",标准坦克设计!$B$23:$U$23,0)))*(VLOOKUP($B227,INDIRECT($B$5&amp;"生成成长"),3))*(VLOOKUP($B$5,标准坦克设计!$B$14:$K$20,9)/30))</f>
        <v>8.3681814548129214</v>
      </c>
      <c r="CN227" s="172">
        <f ca="1">(VLOOKUP(CN$72,INDIRECT($C$5&amp;"生成成长"),2))/((VLOOKUP($B227,INDIRECT($B$5&amp;"生成成长"),4))/(VLOOKUP(CN$72,INDIRECT($C$5&amp;"生成成长"),5))*(VLOOKUP($B$5,标准坦克设计!$B$24:$U$30,MATCH("对"&amp;LEFT($C$5,2)&amp;"输出",标准坦克设计!$B$23:$U$23,0)))*(VLOOKUP($B227,INDIRECT($B$5&amp;"生成成长"),3))*(VLOOKUP($B$5,标准坦克设计!$B$14:$K$20,9)/30))</f>
        <v>8.8993648479406939</v>
      </c>
      <c r="CO227" s="172">
        <f ca="1">(VLOOKUP(CO$72,INDIRECT($C$5&amp;"生成成长"),2))/((VLOOKUP($B227,INDIRECT($B$5&amp;"生成成长"),4))/(VLOOKUP(CO$72,INDIRECT($C$5&amp;"生成成长"),5))*(VLOOKUP($B$5,标准坦克设计!$B$24:$U$30,MATCH("对"&amp;LEFT($C$5,2)&amp;"输出",标准坦克设计!$B$23:$U$23,0)))*(VLOOKUP($B227,INDIRECT($B$5&amp;"生成成长"),3))*(VLOOKUP($B$5,标准坦克设计!$B$14:$K$20,9)/30))</f>
        <v>3.9880290121807871</v>
      </c>
      <c r="CP227" s="172">
        <f ca="1">(VLOOKUP(CP$72,INDIRECT($C$5&amp;"生成成长"),2))/((VLOOKUP($B227,INDIRECT($B$5&amp;"生成成长"),4))/(VLOOKUP(CP$72,INDIRECT($C$5&amp;"生成成长"),5))*(VLOOKUP($B$5,标准坦克设计!$B$24:$U$30,MATCH("对"&amp;LEFT($C$5,2)&amp;"输出",标准坦克设计!$B$23:$U$23,0)))*(VLOOKUP($B227,INDIRECT($B$5&amp;"生成成长"),3))*(VLOOKUP($B$5,标准坦克设计!$B$14:$K$20,9)/30))</f>
        <v>4.3572571889423308</v>
      </c>
      <c r="CQ227" s="172">
        <f ca="1">(VLOOKUP(CQ$72,INDIRECT($C$5&amp;"生成成长"),2))/((VLOOKUP($B227,INDIRECT($B$5&amp;"生成成长"),4))/(VLOOKUP(CQ$72,INDIRECT($C$5&amp;"生成成长"),5))*(VLOOKUP($B$5,标准坦克设计!$B$24:$U$30,MATCH("对"&amp;LEFT($C$5,2)&amp;"输出",标准坦克设计!$B$23:$U$23,0)))*(VLOOKUP($B227,INDIRECT($B$5&amp;"生成成长"),3))*(VLOOKUP($B$5,标准坦克设计!$B$14:$K$20,9)/30))</f>
        <v>4.7428294701078046</v>
      </c>
      <c r="CR227" s="172">
        <f ca="1">(VLOOKUP(CR$72,INDIRECT($C$5&amp;"生成成长"),2))/((VLOOKUP($B227,INDIRECT($B$5&amp;"生成成长"),4))/(VLOOKUP(CR$72,INDIRECT($C$5&amp;"生成成长"),5))*(VLOOKUP($B$5,标准坦克设计!$B$24:$U$30,MATCH("对"&amp;LEFT($C$5,2)&amp;"输出",标准坦克设计!$B$23:$U$23,0)))*(VLOOKUP($B227,INDIRECT($B$5&amp;"生成成长"),3))*(VLOOKUP($B$5,标准坦克设计!$B$14:$K$20,9)/30))</f>
        <v>5.1447458556772112</v>
      </c>
      <c r="CS227" s="172">
        <f ca="1">(VLOOKUP(CS$72,INDIRECT($C$5&amp;"生成成长"),2))/((VLOOKUP($B227,INDIRECT($B$5&amp;"生成成长"),4))/(VLOOKUP(CS$72,INDIRECT($C$5&amp;"生成成长"),5))*(VLOOKUP($B$5,标准坦克设计!$B$24:$U$30,MATCH("对"&amp;LEFT($C$5,2)&amp;"输出",标准坦克设计!$B$23:$U$23,0)))*(VLOOKUP($B227,INDIRECT($B$5&amp;"生成成长"),3))*(VLOOKUP($B$5,标准坦克设计!$B$14:$K$20,9)/30))</f>
        <v>5.5630063456505487</v>
      </c>
      <c r="CT227" s="172">
        <f ca="1">(VLOOKUP(CT$72,INDIRECT($C$5&amp;"生成成长"),2))/((VLOOKUP($B227,INDIRECT($B$5&amp;"生成成长"),4))/(VLOOKUP(CT$72,INDIRECT($C$5&amp;"生成成长"),5))*(VLOOKUP($B$5,标准坦克设计!$B$24:$U$30,MATCH("对"&amp;LEFT($C$5,2)&amp;"输出",标准坦克设计!$B$23:$U$23,0)))*(VLOOKUP($B227,INDIRECT($B$5&amp;"生成成长"),3))*(VLOOKUP($B$5,标准坦克设计!$B$14:$K$20,9)/30))</f>
        <v>5.9976109400278181</v>
      </c>
      <c r="CU227" s="172">
        <f ca="1">(VLOOKUP(CU$72,INDIRECT($C$5&amp;"生成成长"),2))/((VLOOKUP($B227,INDIRECT($B$5&amp;"生成成长"),4))/(VLOOKUP(CU$72,INDIRECT($C$5&amp;"生成成长"),5))*(VLOOKUP($B$5,标准坦克设计!$B$24:$U$30,MATCH("对"&amp;LEFT($C$5,2)&amp;"输出",标准坦克设计!$B$23:$U$23,0)))*(VLOOKUP($B227,INDIRECT($B$5&amp;"生成成长"),3))*(VLOOKUP($B$5,标准坦克设计!$B$14:$K$20,9)/30))</f>
        <v>6.4485596388090185</v>
      </c>
      <c r="CV227" s="172">
        <f ca="1">(VLOOKUP(CV$72,INDIRECT($C$5&amp;"生成成长"),2))/((VLOOKUP($B227,INDIRECT($B$5&amp;"生成成长"),4))/(VLOOKUP(CV$72,INDIRECT($C$5&amp;"生成成长"),5))*(VLOOKUP($B$5,标准坦克设计!$B$24:$U$30,MATCH("对"&amp;LEFT($C$5,2)&amp;"输出",标准坦克设计!$B$23:$U$23,0)))*(VLOOKUP($B227,INDIRECT($B$5&amp;"生成成长"),3))*(VLOOKUP($B$5,标准坦克设计!$B$14:$K$20,9)/30))</f>
        <v>6.9158524419941507</v>
      </c>
      <c r="CW227" s="172">
        <f ca="1">(VLOOKUP(CW$72,INDIRECT($C$5&amp;"生成成长"),2))/((VLOOKUP($B227,INDIRECT($B$5&amp;"生成成长"),4))/(VLOOKUP(CW$72,INDIRECT($C$5&amp;"生成成长"),5))*(VLOOKUP($B$5,标准坦克设计!$B$24:$U$30,MATCH("对"&amp;LEFT($C$5,2)&amp;"输出",标准坦克设计!$B$23:$U$23,0)))*(VLOOKUP($B227,INDIRECT($B$5&amp;"生成成长"),3))*(VLOOKUP($B$5,标准坦克设计!$B$14:$K$20,9)/30))</f>
        <v>7.3994893495832139</v>
      </c>
      <c r="CX227" s="172">
        <f ca="1">(VLOOKUP(CX$72,INDIRECT($C$5&amp;"生成成长"),2))/((VLOOKUP($B227,INDIRECT($B$5&amp;"生成成长"),4))/(VLOOKUP(CX$72,INDIRECT($C$5&amp;"生成成长"),5))*(VLOOKUP($B$5,标准坦克设计!$B$24:$U$30,MATCH("对"&amp;LEFT($C$5,2)&amp;"输出",标准坦克设计!$B$23:$U$23,0)))*(VLOOKUP($B227,INDIRECT($B$5&amp;"生成成长"),3))*(VLOOKUP($B$5,标准坦克设计!$B$14:$K$20,9)/30))</f>
        <v>7.8994703615762099</v>
      </c>
      <c r="CY227" s="172">
        <f ca="1">(VLOOKUP(CY$72,INDIRECT($C$5&amp;"生成成长"),2))/((VLOOKUP($B227,INDIRECT($B$5&amp;"生成成长"),4))/(VLOOKUP(CY$72,INDIRECT($C$5&amp;"生成成长"),5))*(VLOOKUP($B$5,标准坦克设计!$B$24:$U$30,MATCH("对"&amp;LEFT($C$5,2)&amp;"输出",标准坦克设计!$B$23:$U$23,0)))*(VLOOKUP($B227,INDIRECT($B$5&amp;"生成成长"),3))*(VLOOKUP($B$5,标准坦克设计!$B$14:$K$20,9)/30))</f>
        <v>8.4157954779731377</v>
      </c>
      <c r="CZ227" s="172">
        <f ca="1">(VLOOKUP(CZ$72,INDIRECT($C$5&amp;"生成成长"),2))/((VLOOKUP($B227,INDIRECT($B$5&amp;"生成成长"),4))/(VLOOKUP(CZ$72,INDIRECT($C$5&amp;"生成成长"),5))*(VLOOKUP($B$5,标准坦克设计!$B$24:$U$30,MATCH("对"&amp;LEFT($C$5,2)&amp;"输出",标准坦克设计!$B$23:$U$23,0)))*(VLOOKUP($B227,INDIRECT($B$5&amp;"生成成长"),3))*(VLOOKUP($B$5,标准坦克设计!$B$14:$K$20,9)/30))</f>
        <v>8.9484646987739929</v>
      </c>
      <c r="DA227" s="172">
        <f ca="1">(VLOOKUP(DA$72,INDIRECT($C$5&amp;"生成成长"),2))/((VLOOKUP($B227,INDIRECT($B$5&amp;"生成成长"),4))/(VLOOKUP(DA$72,INDIRECT($C$5&amp;"生成成长"),5))*(VLOOKUP($B$5,标准坦克设计!$B$24:$U$30,MATCH("对"&amp;LEFT($C$5,2)&amp;"输出",标准坦克设计!$B$23:$U$23,0)))*(VLOOKUP($B227,INDIRECT($B$5&amp;"生成成长"),3))*(VLOOKUP($B$5,标准坦克设计!$B$14:$K$20,9)/30))</f>
        <v>9.4974780239787826</v>
      </c>
      <c r="DB227" s="172">
        <f ca="1">(VLOOKUP(DB$72,INDIRECT($C$5&amp;"生成成长"),2))/((VLOOKUP($B227,INDIRECT($B$5&amp;"生成成长"),4))/(VLOOKUP(DB$72,INDIRECT($C$5&amp;"生成成长"),5))*(VLOOKUP($B$5,标准坦克设计!$B$24:$U$30,MATCH("对"&amp;LEFT($C$5,2)&amp;"输出",标准坦克设计!$B$23:$U$23,0)))*(VLOOKUP($B227,INDIRECT($B$5&amp;"生成成长"),3))*(VLOOKUP($B$5,标准坦克设计!$B$14:$K$20,9)/30))</f>
        <v>10.062835453587505</v>
      </c>
      <c r="DC227" s="172">
        <f ca="1">(VLOOKUP(DC$72,INDIRECT($C$5&amp;"生成成长"),2))/((VLOOKUP($B227,INDIRECT($B$5&amp;"生成成长"),4))/(VLOOKUP(DC$72,INDIRECT($C$5&amp;"生成成长"),5))*(VLOOKUP($B$5,标准坦克设计!$B$24:$U$30,MATCH("对"&amp;LEFT($C$5,2)&amp;"输出",标准坦克设计!$B$23:$U$23,0)))*(VLOOKUP($B227,INDIRECT($B$5&amp;"生成成长"),3))*(VLOOKUP($B$5,标准坦克设计!$B$14:$K$20,9)/30))</f>
        <v>10.698229396695718</v>
      </c>
      <c r="DD227" s="172">
        <f ca="1">(VLOOKUP(DD$72,INDIRECT($C$5&amp;"生成成长"),2))/((VLOOKUP($B227,INDIRECT($B$5&amp;"生成成长"),4))/(VLOOKUP(DD$72,INDIRECT($C$5&amp;"生成成长"),5))*(VLOOKUP($B$5,标准坦克设计!$B$24:$U$30,MATCH("对"&amp;LEFT($C$5,2)&amp;"输出",标准坦克设计!$B$23:$U$23,0)))*(VLOOKUP($B227,INDIRECT($B$5&amp;"生成成长"),3))*(VLOOKUP($B$5,标准坦克设计!$B$14:$K$20,9)/30))</f>
        <v>11.353074174797039</v>
      </c>
      <c r="DE227" s="172">
        <f ca="1">(VLOOKUP(DE$72,INDIRECT($C$5&amp;"生成成长"),2))/((VLOOKUP($B227,INDIRECT($B$5&amp;"生成成长"),4))/(VLOOKUP(DE$72,INDIRECT($C$5&amp;"生成成长"),5))*(VLOOKUP($B$5,标准坦克设计!$B$24:$U$30,MATCH("对"&amp;LEFT($C$5,2)&amp;"输出",标准坦克设计!$B$23:$U$23,0)))*(VLOOKUP($B227,INDIRECT($B$5&amp;"生成成长"),3))*(VLOOKUP($B$5,标准坦克设计!$B$14:$K$20,9)/30))</f>
        <v>12.02736978789147</v>
      </c>
      <c r="DF227" s="172">
        <f ca="1">(VLOOKUP(DF$72,INDIRECT($C$5&amp;"生成成长"),2))/((VLOOKUP($B227,INDIRECT($B$5&amp;"生成成长"),4))/(VLOOKUP(DF$72,INDIRECT($C$5&amp;"生成成长"),5))*(VLOOKUP($B$5,标准坦克设计!$B$24:$U$30,MATCH("对"&amp;LEFT($C$5,2)&amp;"输出",标准坦克设计!$B$23:$U$23,0)))*(VLOOKUP($B227,INDIRECT($B$5&amp;"生成成长"),3))*(VLOOKUP($B$5,标准坦克设计!$B$14:$K$20,9)/30))</f>
        <v>12.721116235979006</v>
      </c>
      <c r="DG227" s="172">
        <f ca="1">(VLOOKUP(DG$72,INDIRECT($C$5&amp;"生成成长"),2))/((VLOOKUP($B227,INDIRECT($B$5&amp;"生成成长"),4))/(VLOOKUP(DG$72,INDIRECT($C$5&amp;"生成成长"),5))*(VLOOKUP($B$5,标准坦克设计!$B$24:$U$30,MATCH("对"&amp;LEFT($C$5,2)&amp;"输出",标准坦克设计!$B$23:$U$23,0)))*(VLOOKUP($B227,INDIRECT($B$5&amp;"生成成长"),3))*(VLOOKUP($B$5,标准坦克设计!$B$14:$K$20,9)/30))</f>
        <v>13.434313519059655</v>
      </c>
      <c r="DH227" s="172">
        <f ca="1">(VLOOKUP(DH$72,INDIRECT($C$5&amp;"生成成长"),2))/((VLOOKUP($B227,INDIRECT($B$5&amp;"生成成长"),4))/(VLOOKUP(DH$72,INDIRECT($C$5&amp;"生成成长"),5))*(VLOOKUP($B$5,标准坦克设计!$B$24:$U$30,MATCH("对"&amp;LEFT($C$5,2)&amp;"输出",标准坦克设计!$B$23:$U$23,0)))*(VLOOKUP($B227,INDIRECT($B$5&amp;"生成成长"),3))*(VLOOKUP($B$5,标准坦克设计!$B$14:$K$20,9)/30))</f>
        <v>14.166961637133406</v>
      </c>
      <c r="DI227" s="172">
        <f ca="1">(VLOOKUP(DI$72,INDIRECT($C$5&amp;"生成成长"),2))/((VLOOKUP($B227,INDIRECT($B$5&amp;"生成成长"),4))/(VLOOKUP(DI$72,INDIRECT($C$5&amp;"生成成长"),5))*(VLOOKUP($B$5,标准坦克设计!$B$24:$U$30,MATCH("对"&amp;LEFT($C$5,2)&amp;"输出",标准坦克设计!$B$23:$U$23,0)))*(VLOOKUP($B227,INDIRECT($B$5&amp;"生成成长"),3))*(VLOOKUP($B$5,标准坦克设计!$B$14:$K$20,9)/30))</f>
        <v>14.919060590200273</v>
      </c>
      <c r="DJ227" s="172">
        <f ca="1">(VLOOKUP(DJ$72,INDIRECT($C$5&amp;"生成成长"),2))/((VLOOKUP($B227,INDIRECT($B$5&amp;"生成成长"),4))/(VLOOKUP(DJ$72,INDIRECT($C$5&amp;"生成成长"),5))*(VLOOKUP($B$5,标准坦克设计!$B$24:$U$30,MATCH("对"&amp;LEFT($C$5,2)&amp;"输出",标准坦克设计!$B$23:$U$23,0)))*(VLOOKUP($B227,INDIRECT($B$5&amp;"生成成长"),3))*(VLOOKUP($B$5,标准坦克设计!$B$14:$K$20,9)/30))</f>
        <v>1.4994027350069545</v>
      </c>
      <c r="DK227" s="172">
        <f ca="1">(VLOOKUP(DK$72,INDIRECT($C$5&amp;"生成成长"),2))/((VLOOKUP($B227,INDIRECT($B$5&amp;"生成成长"),4))/(VLOOKUP(DK$72,INDIRECT($C$5&amp;"生成成长"),5))*(VLOOKUP($B$5,标准坦克设计!$B$24:$U$30,MATCH("对"&amp;LEFT($C$5,2)&amp;"输出",标准坦克设计!$B$23:$U$23,0)))*(VLOOKUP($B227,INDIRECT($B$5&amp;"生成成长"),3))*(VLOOKUP($B$5,标准坦克设计!$B$14:$K$20,9)/30))</f>
        <v>1.6860091832220896</v>
      </c>
      <c r="DL227" s="172">
        <f ca="1">(VLOOKUP(DL$72,INDIRECT($C$5&amp;"生成成长"),2))/((VLOOKUP($B227,INDIRECT($B$5&amp;"生成成长"),4))/(VLOOKUP(DL$72,INDIRECT($C$5&amp;"生成成长"),5))*(VLOOKUP($B$5,标准坦克设计!$B$24:$U$30,MATCH("对"&amp;LEFT($C$5,2)&amp;"输出",标准坦克设计!$B$23:$U$23,0)))*(VLOOKUP($B227,INDIRECT($B$5&amp;"生成成长"),3))*(VLOOKUP($B$5,标准坦克设计!$B$14:$K$20,9)/30))</f>
        <v>1.8835567261208486</v>
      </c>
      <c r="DM227" s="172">
        <f ca="1">(VLOOKUP(DM$72,INDIRECT($C$5&amp;"生成成长"),2))/((VLOOKUP($B227,INDIRECT($B$5&amp;"生成成长"),4))/(VLOOKUP(DM$72,INDIRECT($C$5&amp;"生成成长"),5))*(VLOOKUP($B$5,标准坦克设计!$B$24:$U$30,MATCH("对"&amp;LEFT($C$5,2)&amp;"输出",标准坦克设计!$B$23:$U$23,0)))*(VLOOKUP($B227,INDIRECT($B$5&amp;"生成成长"),3))*(VLOOKUP($B$5,标准坦克设计!$B$14:$K$20,9)/30))</f>
        <v>2.0920453637032304</v>
      </c>
      <c r="DN227" s="172">
        <f ca="1">(VLOOKUP(DN$72,INDIRECT($C$5&amp;"生成成长"),2))/((VLOOKUP($B227,INDIRECT($B$5&amp;"生成成长"),4))/(VLOOKUP(DN$72,INDIRECT($C$5&amp;"生成成长"),5))*(VLOOKUP($B$5,标准坦克设计!$B$24:$U$30,MATCH("对"&amp;LEFT($C$5,2)&amp;"输出",标准坦克设计!$B$23:$U$23,0)))*(VLOOKUP($B227,INDIRECT($B$5&amp;"生成成长"),3))*(VLOOKUP($B$5,标准坦克设计!$B$14:$K$20,9)/30))</f>
        <v>2.3114750959692367</v>
      </c>
      <c r="DO227" s="172">
        <f ca="1">(VLOOKUP(DO$72,INDIRECT($C$5&amp;"生成成长"),2))/((VLOOKUP($B227,INDIRECT($B$5&amp;"生成成长"),4))/(VLOOKUP(DO$72,INDIRECT($C$5&amp;"生成成长"),5))*(VLOOKUP($B$5,标准坦克设计!$B$24:$U$30,MATCH("对"&amp;LEFT($C$5,2)&amp;"输出",标准坦克设计!$B$23:$U$23,0)))*(VLOOKUP($B227,INDIRECT($B$5&amp;"生成成长"),3))*(VLOOKUP($B$5,标准坦克设计!$B$14:$K$20,9)/30))</f>
        <v>2.5418459229188657</v>
      </c>
      <c r="DP227" s="172">
        <f ca="1">(VLOOKUP(DP$72,INDIRECT($C$5&amp;"生成成长"),2))/((VLOOKUP($B227,INDIRECT($B$5&amp;"生成成长"),4))/(VLOOKUP(DP$72,INDIRECT($C$5&amp;"生成成长"),5))*(VLOOKUP($B$5,标准坦克设计!$B$24:$U$30,MATCH("对"&amp;LEFT($C$5,2)&amp;"输出",标准坦克设计!$B$23:$U$23,0)))*(VLOOKUP($B227,INDIRECT($B$5&amp;"生成成长"),3))*(VLOOKUP($B$5,标准坦克设计!$B$14:$K$20,9)/30))</f>
        <v>2.7831578445521186</v>
      </c>
      <c r="DQ227" s="172">
        <f ca="1">(VLOOKUP(DQ$72,INDIRECT($C$5&amp;"生成成长"),2))/((VLOOKUP($B227,INDIRECT($B$5&amp;"生成成长"),4))/(VLOOKUP(DQ$72,INDIRECT($C$5&amp;"生成成长"),5))*(VLOOKUP($B$5,标准坦克设计!$B$24:$U$30,MATCH("对"&amp;LEFT($C$5,2)&amp;"输出",标准坦克设计!$B$23:$U$23,0)))*(VLOOKUP($B227,INDIRECT($B$5&amp;"生成成长"),3))*(VLOOKUP($B$5,标准坦克设计!$B$14:$K$20,9)/30))</f>
        <v>3.0354108608689949</v>
      </c>
      <c r="DR227" s="172">
        <f ca="1">(VLOOKUP(DR$72,INDIRECT($C$5&amp;"生成成长"),2))/((VLOOKUP($B227,INDIRECT($B$5&amp;"生成成长"),4))/(VLOOKUP(DR$72,INDIRECT($C$5&amp;"生成成长"),5))*(VLOOKUP($B$5,标准坦克设计!$B$24:$U$30,MATCH("对"&amp;LEFT($C$5,2)&amp;"输出",标准坦克设计!$B$23:$U$23,0)))*(VLOOKUP($B227,INDIRECT($B$5&amp;"生成成长"),3))*(VLOOKUP($B$5,标准坦克设计!$B$14:$K$20,9)/30))</f>
        <v>3.2986049718694952</v>
      </c>
      <c r="DS227" s="172">
        <f ca="1">(VLOOKUP(DS$72,INDIRECT($C$5&amp;"生成成长"),2))/((VLOOKUP($B227,INDIRECT($B$5&amp;"生成成长"),4))/(VLOOKUP(DS$72,INDIRECT($C$5&amp;"生成成长"),5))*(VLOOKUP($B$5,标准坦克设计!$B$24:$U$30,MATCH("对"&amp;LEFT($C$5,2)&amp;"输出",标准坦克设计!$B$23:$U$23,0)))*(VLOOKUP($B227,INDIRECT($B$5&amp;"生成成长"),3))*(VLOOKUP($B$5,标准坦克设计!$B$14:$K$20,9)/30))</f>
        <v>3.5727401775536189</v>
      </c>
      <c r="DT227" s="172">
        <f ca="1">(VLOOKUP(DT$72,INDIRECT($C$5&amp;"生成成长"),2))/((VLOOKUP($B227,INDIRECT($B$5&amp;"生成成长"),4))/(VLOOKUP(DT$72,INDIRECT($C$5&amp;"生成成长"),5))*(VLOOKUP($B$5,标准坦克设计!$B$24:$U$30,MATCH("对"&amp;LEFT($C$5,2)&amp;"输出",标准坦克设计!$B$23:$U$23,0)))*(VLOOKUP($B227,INDIRECT($B$5&amp;"生成成长"),3))*(VLOOKUP($B$5,标准坦克设计!$B$14:$K$20,9)/30))</f>
        <v>3.9226525945650614</v>
      </c>
      <c r="DU227" s="172">
        <f ca="1">(VLOOKUP(DU$72,INDIRECT($C$5&amp;"生成成长"),2))/((VLOOKUP($B227,INDIRECT($B$5&amp;"生成成长"),4))/(VLOOKUP(DU$72,INDIRECT($C$5&amp;"生成成长"),5))*(VLOOKUP($B$5,标准坦克设计!$B$24:$U$30,MATCH("对"&amp;LEFT($C$5,2)&amp;"输出",标准坦克设计!$B$23:$U$23,0)))*(VLOOKUP($B227,INDIRECT($B$5&amp;"生成成长"),3))*(VLOOKUP($B$5,标准坦克设计!$B$14:$K$20,9)/30))</f>
        <v>4.2889091159804344</v>
      </c>
      <c r="DV227" s="172">
        <f ca="1">(VLOOKUP(DV$72,INDIRECT($C$5&amp;"生成成长"),2))/((VLOOKUP($B227,INDIRECT($B$5&amp;"生成成长"),4))/(VLOOKUP(DV$72,INDIRECT($C$5&amp;"生成成长"),5))*(VLOOKUP($B$5,标准坦克设计!$B$24:$U$30,MATCH("对"&amp;LEFT($C$5,2)&amp;"输出",标准坦克设计!$B$23:$U$23,0)))*(VLOOKUP($B227,INDIRECT($B$5&amp;"生成成长"),3))*(VLOOKUP($B$5,标准坦克设计!$B$14:$K$20,9)/30))</f>
        <v>4.6715097417997393</v>
      </c>
      <c r="DW227" s="172">
        <f ca="1">(VLOOKUP(DW$72,INDIRECT($C$5&amp;"生成成长"),2))/((VLOOKUP($B227,INDIRECT($B$5&amp;"生成成长"),4))/(VLOOKUP(DW$72,INDIRECT($C$5&amp;"生成成长"),5))*(VLOOKUP($B$5,标准坦克设计!$B$24:$U$30,MATCH("对"&amp;LEFT($C$5,2)&amp;"输出",标准坦克设计!$B$23:$U$23,0)))*(VLOOKUP($B227,INDIRECT($B$5&amp;"生成成长"),3))*(VLOOKUP($B$5,标准坦克设计!$B$14:$K$20,9)/30))</f>
        <v>5.0704544720229778</v>
      </c>
      <c r="DX227" s="172">
        <f ca="1">(VLOOKUP(DX$72,INDIRECT($C$5&amp;"生成成长"),2))/((VLOOKUP($B227,INDIRECT($B$5&amp;"生成成长"),4))/(VLOOKUP(DX$72,INDIRECT($C$5&amp;"生成成长"),5))*(VLOOKUP($B$5,标准坦克设计!$B$24:$U$30,MATCH("对"&amp;LEFT($C$5,2)&amp;"输出",标准坦克设计!$B$23:$U$23,0)))*(VLOOKUP($B227,INDIRECT($B$5&amp;"生成成长"),3))*(VLOOKUP($B$5,标准坦克设计!$B$14:$K$20,9)/30))</f>
        <v>5.4857433066501455</v>
      </c>
      <c r="DY227" s="172">
        <f ca="1">(VLOOKUP(DY$72,INDIRECT($C$5&amp;"生成成长"),2))/((VLOOKUP($B227,INDIRECT($B$5&amp;"生成成长"),4))/(VLOOKUP(DY$72,INDIRECT($C$5&amp;"生成成长"),5))*(VLOOKUP($B$5,标准坦克设计!$B$24:$U$30,MATCH("对"&amp;LEFT($C$5,2)&amp;"输出",标准坦克设计!$B$23:$U$23,0)))*(VLOOKUP($B227,INDIRECT($B$5&amp;"生成成长"),3))*(VLOOKUP($B$5,标准坦克设计!$B$14:$K$20,9)/30))</f>
        <v>2.4638399700819202</v>
      </c>
      <c r="DZ227" s="172">
        <f ca="1">(VLOOKUP(DZ$72,INDIRECT($C$5&amp;"生成成长"),2))/((VLOOKUP($B227,INDIRECT($B$5&amp;"生成成长"),4))/(VLOOKUP(DZ$72,INDIRECT($C$5&amp;"生成成长"),5))*(VLOOKUP($B$5,标准坦克设计!$B$24:$U$30,MATCH("对"&amp;LEFT($C$5,2)&amp;"输出",标准坦克设计!$B$23:$U$23,0)))*(VLOOKUP($B227,INDIRECT($B$5&amp;"生成成长"),3))*(VLOOKUP($B$5,标准坦克设计!$B$14:$K$20,9)/30))</f>
        <v>2.7285874463770088</v>
      </c>
      <c r="EA227" s="172">
        <f ca="1">(VLOOKUP(EA$72,INDIRECT($C$5&amp;"生成成长"),2))/((VLOOKUP($B227,INDIRECT($B$5&amp;"生成成长"),4))/(VLOOKUP(EA$72,INDIRECT($C$5&amp;"生成成长"),5))*(VLOOKUP($B$5,标准坦克设计!$B$24:$U$30,MATCH("对"&amp;LEFT($C$5,2)&amp;"输出",标准坦克设计!$B$23:$U$23,0)))*(VLOOKUP($B227,INDIRECT($B$5&amp;"生成成长"),3))*(VLOOKUP($B$5,标准坦克设计!$B$14:$K$20,9)/30))</f>
        <v>3.0068424469728674</v>
      </c>
      <c r="EB227" s="172">
        <f ca="1">(VLOOKUP(EB$72,INDIRECT($C$5&amp;"生成成长"),2))/((VLOOKUP($B227,INDIRECT($B$5&amp;"生成成长"),4))/(VLOOKUP(EB$72,INDIRECT($C$5&amp;"生成成长"),5))*(VLOOKUP($B$5,标准坦克设计!$B$24:$U$30,MATCH("对"&amp;LEFT($C$5,2)&amp;"输出",标准坦克设计!$B$23:$U$23,0)))*(VLOOKUP($B227,INDIRECT($B$5&amp;"生成成长"),3))*(VLOOKUP($B$5,标准坦克设计!$B$14:$K$20,9)/30))</f>
        <v>3.2986049718694952</v>
      </c>
      <c r="EC227" s="172">
        <f ca="1">(VLOOKUP(EC$72,INDIRECT($C$5&amp;"生成成长"),2))/((VLOOKUP($B227,INDIRECT($B$5&amp;"生成成长"),4))/(VLOOKUP(EC$72,INDIRECT($C$5&amp;"生成成长"),5))*(VLOOKUP($B$5,标准坦克设计!$B$24:$U$30,MATCH("对"&amp;LEFT($C$5,2)&amp;"输出",标准坦克设计!$B$23:$U$23,0)))*(VLOOKUP($B227,INDIRECT($B$5&amp;"生成成长"),3))*(VLOOKUP($B$5,标准坦克设计!$B$14:$K$20,9)/30))</f>
        <v>3.6038750210668935</v>
      </c>
      <c r="ED227" s="172">
        <f ca="1">(VLOOKUP(ED$72,INDIRECT($C$5&amp;"生成成长"),2))/((VLOOKUP($B227,INDIRECT($B$5&amp;"生成成长"),4))/(VLOOKUP(ED$72,INDIRECT($C$5&amp;"生成成长"),5))*(VLOOKUP($B$5,标准坦克设计!$B$24:$U$30,MATCH("对"&amp;LEFT($C$5,2)&amp;"输出",标准坦克设计!$B$23:$U$23,0)))*(VLOOKUP($B227,INDIRECT($B$5&amp;"生成成长"),3))*(VLOOKUP($B$5,标准坦克设计!$B$14:$K$20,9)/30))</f>
        <v>3.9226525945650614</v>
      </c>
      <c r="EE227" s="172">
        <f ca="1">(VLOOKUP(EE$72,INDIRECT($C$5&amp;"生成成长"),2))/((VLOOKUP($B227,INDIRECT($B$5&amp;"生成成长"),4))/(VLOOKUP(EE$72,INDIRECT($C$5&amp;"生成成长"),5))*(VLOOKUP($B$5,标准坦克设计!$B$24:$U$30,MATCH("对"&amp;LEFT($C$5,2)&amp;"输出",标准坦克设计!$B$23:$U$23,0)))*(VLOOKUP($B227,INDIRECT($B$5&amp;"生成成长"),3))*(VLOOKUP($B$5,标准坦克设计!$B$14:$K$20,9)/30))</f>
        <v>4.254937692363999</v>
      </c>
      <c r="EF227" s="172">
        <f ca="1">(VLOOKUP(EF$72,INDIRECT($C$5&amp;"生成成长"),2))/((VLOOKUP($B227,INDIRECT($B$5&amp;"生成成长"),4))/(VLOOKUP(EF$72,INDIRECT($C$5&amp;"生成成长"),5))*(VLOOKUP($B$5,标准坦克设计!$B$24:$U$30,MATCH("对"&amp;LEFT($C$5,2)&amp;"输出",标准坦克设计!$B$23:$U$23,0)))*(VLOOKUP($B227,INDIRECT($B$5&amp;"生成成长"),3))*(VLOOKUP($B$5,标准坦克设计!$B$14:$K$20,9)/30))</f>
        <v>4.6007303144637071</v>
      </c>
      <c r="EG227" s="172">
        <f ca="1">(VLOOKUP(EG$72,INDIRECT($C$5&amp;"生成成长"),2))/((VLOOKUP($B227,INDIRECT($B$5&amp;"生成成长"),4))/(VLOOKUP(EG$72,INDIRECT($C$5&amp;"生成成长"),5))*(VLOOKUP($B$5,标准坦克设计!$B$24:$U$30,MATCH("对"&amp;LEFT($C$5,2)&amp;"输出",标准坦克设计!$B$23:$U$23,0)))*(VLOOKUP($B227,INDIRECT($B$5&amp;"生成成长"),3))*(VLOOKUP($B$5,标准坦克设计!$B$14:$K$20,9)/30))</f>
        <v>4.9600304608641839</v>
      </c>
      <c r="EH227" s="172">
        <f ca="1">(VLOOKUP(EH$72,INDIRECT($C$5&amp;"生成成长"),2))/((VLOOKUP($B227,INDIRECT($B$5&amp;"生成成长"),4))/(VLOOKUP(EH$72,INDIRECT($C$5&amp;"生成成长"),5))*(VLOOKUP($B$5,标准坦克设计!$B$24:$U$30,MATCH("对"&amp;LEFT($C$5,2)&amp;"输出",标准坦克设计!$B$23:$U$23,0)))*(VLOOKUP($B227,INDIRECT($B$5&amp;"生成成长"),3))*(VLOOKUP($B$5,标准坦克设计!$B$14:$K$20,9)/30))</f>
        <v>5.3328381315654312</v>
      </c>
      <c r="EI227" s="172">
        <f ca="1">(VLOOKUP(EI$72,INDIRECT($C$5&amp;"生成成长"),2))/((VLOOKUP($B227,INDIRECT($B$5&amp;"生成成长"),4))/(VLOOKUP(EI$72,INDIRECT($C$5&amp;"生成成长"),5))*(VLOOKUP($B$5,标准坦克设计!$B$24:$U$30,MATCH("对"&amp;LEFT($C$5,2)&amp;"输出",标准坦克设计!$B$23:$U$23,0)))*(VLOOKUP($B227,INDIRECT($B$5&amp;"生成成长"),3))*(VLOOKUP($B$5,标准坦克设计!$B$14:$K$20,9)/30))</f>
        <v>5.7191533265674481</v>
      </c>
      <c r="EJ227" s="172">
        <f ca="1">(VLOOKUP(EJ$72,INDIRECT($C$5&amp;"生成成长"),2))/((VLOOKUP($B227,INDIRECT($B$5&amp;"生成成长"),4))/(VLOOKUP(EJ$72,INDIRECT($C$5&amp;"生成成长"),5))*(VLOOKUP($B$5,标准坦克设计!$B$24:$U$30,MATCH("对"&amp;LEFT($C$5,2)&amp;"输出",标准坦克设计!$B$23:$U$23,0)))*(VLOOKUP($B227,INDIRECT($B$5&amp;"生成成长"),3))*(VLOOKUP($B$5,标准坦克设计!$B$14:$K$20,9)/30))</f>
        <v>6.1189760458702347</v>
      </c>
      <c r="EK227" s="172">
        <f ca="1">(VLOOKUP(EK$72,INDIRECT($C$5&amp;"生成成长"),2))/((VLOOKUP($B227,INDIRECT($B$5&amp;"生成成长"),4))/(VLOOKUP(EK$72,INDIRECT($C$5&amp;"生成成长"),5))*(VLOOKUP($B$5,标准坦克设计!$B$24:$U$30,MATCH("对"&amp;LEFT($C$5,2)&amp;"输出",标准坦克设计!$B$23:$U$23,0)))*(VLOOKUP($B227,INDIRECT($B$5&amp;"生成成长"),3))*(VLOOKUP($B$5,标准坦克设计!$B$14:$K$20,9)/30))</f>
        <v>6.6165932411105954</v>
      </c>
      <c r="EL227" s="172">
        <f ca="1">(VLOOKUP(EL$72,INDIRECT($C$5&amp;"生成成长"),2))/((VLOOKUP($B227,INDIRECT($B$5&amp;"生成成长"),4))/(VLOOKUP(EL$72,INDIRECT($C$5&amp;"生成成长"),5))*(VLOOKUP($B$5,标准坦克设计!$B$24:$U$30,MATCH("对"&amp;LEFT($C$5,2)&amp;"输出",标准坦克设计!$B$23:$U$23,0)))*(VLOOKUP($B227,INDIRECT($B$5&amp;"生成成长"),3))*(VLOOKUP($B$5,标准坦克设计!$B$14:$K$20,9)/30))</f>
        <v>7.1336612713440637</v>
      </c>
      <c r="EM227" s="172">
        <f ca="1">(VLOOKUP(EM$72,INDIRECT($C$5&amp;"生成成长"),2))/((VLOOKUP($B227,INDIRECT($B$5&amp;"生成成长"),4))/(VLOOKUP(EM$72,INDIRECT($C$5&amp;"生成成长"),5))*(VLOOKUP($B$5,标准坦克设计!$B$24:$U$30,MATCH("对"&amp;LEFT($C$5,2)&amp;"输出",标准坦克设计!$B$23:$U$23,0)))*(VLOOKUP($B227,INDIRECT($B$5&amp;"生成成长"),3))*(VLOOKUP($B$5,标准坦克设计!$B$14:$K$20,9)/30))</f>
        <v>7.6701801365706421</v>
      </c>
      <c r="EN227" s="172">
        <f ca="1">(VLOOKUP(EN$72,INDIRECT($C$5&amp;"生成成长"),2))/((VLOOKUP($B227,INDIRECT($B$5&amp;"生成成长"),4))/(VLOOKUP(EN$72,INDIRECT($C$5&amp;"生成成长"),5))*(VLOOKUP($B$5,标准坦克设计!$B$24:$U$30,MATCH("对"&amp;LEFT($C$5,2)&amp;"输出",标准坦克设计!$B$23:$U$23,0)))*(VLOOKUP($B227,INDIRECT($B$5&amp;"生成成长"),3))*(VLOOKUP($B$5,标准坦克设计!$B$14:$K$20,9)/30))</f>
        <v>8.2261498367903272</v>
      </c>
      <c r="EO227" s="172">
        <f ca="1">(VLOOKUP(EO$72,INDIRECT($C$5&amp;"生成成长"),2))/((VLOOKUP($B227,INDIRECT($B$5&amp;"生成成长"),4))/(VLOOKUP(EO$72,INDIRECT($C$5&amp;"生成成长"),5))*(VLOOKUP($B$5,标准坦克设计!$B$24:$U$30,MATCH("对"&amp;LEFT($C$5,2)&amp;"输出",标准坦克设计!$B$23:$U$23,0)))*(VLOOKUP($B227,INDIRECT($B$5&amp;"生成成长"),3))*(VLOOKUP($B$5,标准坦克设计!$B$14:$K$20,9)/30))</f>
        <v>8.8015703720031233</v>
      </c>
      <c r="EP227" s="172">
        <f ca="1">(VLOOKUP(EP$72,INDIRECT($C$5&amp;"生成成长"),2))/((VLOOKUP($B227,INDIRECT($B$5&amp;"生成成长"),4))/(VLOOKUP(EP$72,INDIRECT($C$5&amp;"生成成长"),5))*(VLOOKUP($B$5,标准坦克设计!$B$24:$U$30,MATCH("对"&amp;LEFT($C$5,2)&amp;"输出",标准坦克设计!$B$23:$U$23,0)))*(VLOOKUP($B227,INDIRECT($B$5&amp;"生成成长"),3))*(VLOOKUP($B$5,标准坦克设计!$B$14:$K$20,9)/30))</f>
        <v>9.3964417422090243</v>
      </c>
      <c r="EQ227" s="172">
        <f ca="1">(VLOOKUP(EQ$72,INDIRECT($C$5&amp;"生成成长"),2))/((VLOOKUP($B227,INDIRECT($B$5&amp;"生成成长"),4))/(VLOOKUP(EQ$72,INDIRECT($C$5&amp;"生成成长"),5))*(VLOOKUP($B$5,标准坦克设计!$B$24:$U$30,MATCH("对"&amp;LEFT($C$5,2)&amp;"输出",标准坦克设计!$B$23:$U$23,0)))*(VLOOKUP($B227,INDIRECT($B$5&amp;"生成成长"),3))*(VLOOKUP($B$5,标准坦克设计!$B$14:$K$20,9)/30))</f>
        <v>4.1538338729727364</v>
      </c>
      <c r="ER227" s="172">
        <f ca="1">(VLOOKUP(ER$72,INDIRECT($C$5&amp;"生成成长"),2))/((VLOOKUP($B227,INDIRECT($B$5&amp;"生成成长"),4))/(VLOOKUP(ER$72,INDIRECT($C$5&amp;"生成成长"),5))*(VLOOKUP($B$5,标准坦克设计!$B$24:$U$30,MATCH("对"&amp;LEFT($C$5,2)&amp;"输出",标准坦克设计!$B$23:$U$23,0)))*(VLOOKUP($B227,INDIRECT($B$5&amp;"生成成长"),3))*(VLOOKUP($B$5,标准坦克设计!$B$14:$K$20,9)/30))</f>
        <v>4.5304911880997043</v>
      </c>
      <c r="ES227" s="172">
        <f ca="1">(VLOOKUP(ES$72,INDIRECT($C$5&amp;"生成成长"),2))/((VLOOKUP($B227,INDIRECT($B$5&amp;"生成成长"),4))/(VLOOKUP(ES$72,INDIRECT($C$5&amp;"生成成长"),5))*(VLOOKUP($B$5,标准坦克设计!$B$24:$U$30,MATCH("对"&amp;LEFT($C$5,2)&amp;"输出",标准坦克设计!$B$23:$U$23,0)))*(VLOOKUP($B227,INDIRECT($B$5&amp;"生成成长"),3))*(VLOOKUP($B$5,标准坦克设计!$B$14:$K$20,9)/30))</f>
        <v>4.9234926076306014</v>
      </c>
      <c r="ET227" s="172">
        <f ca="1">(VLOOKUP(ET$72,INDIRECT($C$5&amp;"生成成长"),2))/((VLOOKUP($B227,INDIRECT($B$5&amp;"生成成长"),4))/(VLOOKUP(ET$72,INDIRECT($C$5&amp;"生成成长"),5))*(VLOOKUP($B$5,标准坦克设计!$B$24:$U$30,MATCH("对"&amp;LEFT($C$5,2)&amp;"输出",标准坦克设计!$B$23:$U$23,0)))*(VLOOKUP($B227,INDIRECT($B$5&amp;"生成成长"),3))*(VLOOKUP($B$5,标准坦克设计!$B$14:$K$20,9)/30))</f>
        <v>5.3328381315654312</v>
      </c>
      <c r="EU227" s="172">
        <f ca="1">(VLOOKUP(EU$72,INDIRECT($C$5&amp;"生成成长"),2))/((VLOOKUP($B227,INDIRECT($B$5&amp;"生成成长"),4))/(VLOOKUP(EU$72,INDIRECT($C$5&amp;"生成成长"),5))*(VLOOKUP($B$5,标准坦克设计!$B$24:$U$30,MATCH("对"&amp;LEFT($C$5,2)&amp;"输出",标准坦克设计!$B$23:$U$23,0)))*(VLOOKUP($B227,INDIRECT($B$5&amp;"生成成长"),3))*(VLOOKUP($B$5,标准坦克设计!$B$14:$K$20,9)/30))</f>
        <v>5.758527759904192</v>
      </c>
      <c r="EV227" s="172">
        <f ca="1">(VLOOKUP(EV$72,INDIRECT($C$5&amp;"生成成长"),2))/((VLOOKUP($B227,INDIRECT($B$5&amp;"生成成长"),4))/(VLOOKUP(EV$72,INDIRECT($C$5&amp;"生成成长"),5))*(VLOOKUP($B$5,标准坦克设计!$B$24:$U$30,MATCH("对"&amp;LEFT($C$5,2)&amp;"输出",标准坦克设计!$B$23:$U$23,0)))*(VLOOKUP($B227,INDIRECT($B$5&amp;"生成成长"),3))*(VLOOKUP($B$5,标准坦克设计!$B$14:$K$20,9)/30))</f>
        <v>6.2005614926468837</v>
      </c>
      <c r="EW227" s="172">
        <f ca="1">(VLOOKUP(EW$72,INDIRECT($C$5&amp;"生成成长"),2))/((VLOOKUP($B227,INDIRECT($B$5&amp;"生成成长"),4))/(VLOOKUP(EW$72,INDIRECT($C$5&amp;"生成成长"),5))*(VLOOKUP($B$5,标准坦克设计!$B$24:$U$30,MATCH("对"&amp;LEFT($C$5,2)&amp;"输出",标准坦克设计!$B$23:$U$23,0)))*(VLOOKUP($B227,INDIRECT($B$5&amp;"生成成长"),3))*(VLOOKUP($B$5,标准坦克设计!$B$14:$K$20,9)/30))</f>
        <v>6.6589393297935082</v>
      </c>
      <c r="EX227" s="172">
        <f ca="1">(VLOOKUP(EX$72,INDIRECT($C$5&amp;"生成成长"),2))/((VLOOKUP($B227,INDIRECT($B$5&amp;"生成成长"),4))/(VLOOKUP(EX$72,INDIRECT($C$5&amp;"生成成长"),5))*(VLOOKUP($B$5,标准坦克设计!$B$24:$U$30,MATCH("对"&amp;LEFT($C$5,2)&amp;"输出",标准坦克设计!$B$23:$U$23,0)))*(VLOOKUP($B227,INDIRECT($B$5&amp;"生成成长"),3))*(VLOOKUP($B$5,标准坦克设计!$B$14:$K$20,9)/30))</f>
        <v>7.1336612713440637</v>
      </c>
      <c r="EY227" s="172">
        <f ca="1">(VLOOKUP(EY$72,INDIRECT($C$5&amp;"生成成长"),2))/((VLOOKUP($B227,INDIRECT($B$5&amp;"生成成长"),4))/(VLOOKUP(EY$72,INDIRECT($C$5&amp;"生成成长"),5))*(VLOOKUP($B$5,标准坦克设计!$B$24:$U$30,MATCH("对"&amp;LEFT($C$5,2)&amp;"输出",标准坦克设计!$B$23:$U$23,0)))*(VLOOKUP($B227,INDIRECT($B$5&amp;"生成成长"),3))*(VLOOKUP($B$5,标准坦克设计!$B$14:$K$20,9)/30))</f>
        <v>7.624727317298551</v>
      </c>
      <c r="EZ227" s="172">
        <f ca="1">(VLOOKUP(EZ$72,INDIRECT($C$5&amp;"生成成长"),2))/((VLOOKUP($B227,INDIRECT($B$5&amp;"生成成长"),4))/(VLOOKUP(EZ$72,INDIRECT($C$5&amp;"生成成长"),5))*(VLOOKUP($B$5,标准坦克设计!$B$24:$U$30,MATCH("对"&amp;LEFT($C$5,2)&amp;"输出",标准坦克设计!$B$23:$U$23,0)))*(VLOOKUP($B227,INDIRECT($B$5&amp;"生成成长"),3))*(VLOOKUP($B$5,标准坦克设计!$B$14:$K$20,9)/30))</f>
        <v>8.1321374676569711</v>
      </c>
      <c r="FA227" s="172">
        <f ca="1">(VLOOKUP(FA$72,INDIRECT($C$5&amp;"生成成长"),2))/((VLOOKUP($B227,INDIRECT($B$5&amp;"生成成长"),4))/(VLOOKUP(FA$72,INDIRECT($C$5&amp;"生成成长"),5))*(VLOOKUP($B$5,标准坦克设计!$B$24:$U$30,MATCH("对"&amp;LEFT($C$5,2)&amp;"输出",标准坦克设计!$B$23:$U$23,0)))*(VLOOKUP($B227,INDIRECT($B$5&amp;"生成成长"),3))*(VLOOKUP($B$5,标准坦克设计!$B$14:$K$20,9)/30))</f>
        <v>8.6558917224193195</v>
      </c>
      <c r="FB227" s="172">
        <f ca="1">(VLOOKUP(FB$72,INDIRECT($C$5&amp;"生成成长"),2))/((VLOOKUP($B227,INDIRECT($B$5&amp;"生成成长"),4))/(VLOOKUP(FB$72,INDIRECT($C$5&amp;"生成成长"),5))*(VLOOKUP($B$5,标准坦克设计!$B$24:$U$30,MATCH("对"&amp;LEFT($C$5,2)&amp;"输出",标准坦克设计!$B$23:$U$23,0)))*(VLOOKUP($B227,INDIRECT($B$5&amp;"生成成长"),3))*(VLOOKUP($B$5,标准坦克设计!$B$14:$K$20,9)/30))</f>
        <v>9.1959900815856006</v>
      </c>
      <c r="FC227" s="172">
        <f ca="1">(VLOOKUP(FC$72,INDIRECT($C$5&amp;"生成成长"),2))/((VLOOKUP($B227,INDIRECT($B$5&amp;"生成成长"),4))/(VLOOKUP(FC$72,INDIRECT($C$5&amp;"生成成长"),5))*(VLOOKUP($B$5,标准坦克设计!$B$24:$U$30,MATCH("对"&amp;LEFT($C$5,2)&amp;"输出",标准坦克设计!$B$23:$U$23,0)))*(VLOOKUP($B227,INDIRECT($B$5&amp;"生成成长"),3))*(VLOOKUP($B$5,标准坦克设计!$B$14:$K$20,9)/30))</f>
        <v>9.7524325451558145</v>
      </c>
      <c r="FD227" s="172">
        <f ca="1">(VLOOKUP(FD$72,INDIRECT($C$5&amp;"生成成长"),2))/((VLOOKUP($B227,INDIRECT($B$5&amp;"生成成长"),4))/(VLOOKUP(FD$72,INDIRECT($C$5&amp;"生成成长"),5))*(VLOOKUP($B$5,标准坦克设计!$B$24:$U$30,MATCH("对"&amp;LEFT($C$5,2)&amp;"输出",标准坦克设计!$B$23:$U$23,0)))*(VLOOKUP($B227,INDIRECT($B$5&amp;"生成成长"),3))*(VLOOKUP($B$5,标准坦克设计!$B$14:$K$20,9)/30))</f>
        <v>10.325219113129959</v>
      </c>
      <c r="FE227" s="172">
        <f ca="1">(VLOOKUP(FE$72,INDIRECT($C$5&amp;"生成成长"),2))/((VLOOKUP($B227,INDIRECT($B$5&amp;"生成成长"),4))/(VLOOKUP(FE$72,INDIRECT($C$5&amp;"生成成长"),5))*(VLOOKUP($B$5,标准坦克设计!$B$24:$U$30,MATCH("对"&amp;LEFT($C$5,2)&amp;"输出",标准坦克设计!$B$23:$U$23,0)))*(VLOOKUP($B227,INDIRECT($B$5&amp;"生成成长"),3))*(VLOOKUP($B$5,标准坦克设计!$B$14:$K$20,9)/30))</f>
        <v>11.02322043137224</v>
      </c>
      <c r="FF227" s="172">
        <f ca="1">(VLOOKUP(FF$72,INDIRECT($C$5&amp;"生成成长"),2))/((VLOOKUP($B227,INDIRECT($B$5&amp;"生成成长"),4))/(VLOOKUP(FF$72,INDIRECT($C$5&amp;"生成成长"),5))*(VLOOKUP($B$5,标准坦克设计!$B$24:$U$30,MATCH("对"&amp;LEFT($C$5,2)&amp;"输出",标准坦克设计!$B$23:$U$23,0)))*(VLOOKUP($B227,INDIRECT($B$5&amp;"生成成长"),3))*(VLOOKUP($B$5,标准坦克设计!$B$14:$K$20,9)/30))</f>
        <v>11.744049465682822</v>
      </c>
      <c r="FG227" s="172">
        <f ca="1">(VLOOKUP(FG$72,INDIRECT($C$5&amp;"生成成长"),2))/((VLOOKUP($B227,INDIRECT($B$5&amp;"生成成长"),4))/(VLOOKUP(FG$72,INDIRECT($C$5&amp;"生成成长"),5))*(VLOOKUP($B$5,标准坦克设计!$B$24:$U$30,MATCH("对"&amp;LEFT($C$5,2)&amp;"输出",标准坦克设计!$B$23:$U$23,0)))*(VLOOKUP($B227,INDIRECT($B$5&amp;"生成成长"),3))*(VLOOKUP($B$5,标准坦克设计!$B$14:$K$20,9)/30))</f>
        <v>12.487706216061705</v>
      </c>
      <c r="FH227" s="172">
        <f ca="1">(VLOOKUP(FH$72,INDIRECT($C$5&amp;"生成成长"),2))/((VLOOKUP($B227,INDIRECT($B$5&amp;"生成成长"),4))/(VLOOKUP(FH$72,INDIRECT($C$5&amp;"生成成长"),5))*(VLOOKUP($B$5,标准坦克设计!$B$24:$U$30,MATCH("对"&amp;LEFT($C$5,2)&amp;"输出",标准坦克设计!$B$23:$U$23,0)))*(VLOOKUP($B227,INDIRECT($B$5&amp;"生成成长"),3))*(VLOOKUP($B$5,标准坦克设计!$B$14:$K$20,9)/30))</f>
        <v>13.254190682508888</v>
      </c>
      <c r="FI227" s="172">
        <f ca="1">(VLOOKUP(FI$72,INDIRECT($C$5&amp;"生成成长"),2))/((VLOOKUP($B227,INDIRECT($B$5&amp;"生成成长"),4))/(VLOOKUP(FI$72,INDIRECT($C$5&amp;"生成成长"),5))*(VLOOKUP($B$5,标准坦克设计!$B$24:$U$30,MATCH("对"&amp;LEFT($C$5,2)&amp;"输出",标准坦克设计!$B$23:$U$23,0)))*(VLOOKUP($B227,INDIRECT($B$5&amp;"生成成长"),3))*(VLOOKUP($B$5,标准坦克设计!$B$14:$K$20,9)/30))</f>
        <v>14.043502865024374</v>
      </c>
      <c r="FJ227" s="172">
        <f ca="1">(VLOOKUP(FJ$72,INDIRECT($C$5&amp;"生成成长"),2))/((VLOOKUP($B227,INDIRECT($B$5&amp;"生成成长"),4))/(VLOOKUP(FJ$72,INDIRECT($C$5&amp;"生成成长"),5))*(VLOOKUP($B$5,标准坦克设计!$B$24:$U$30,MATCH("对"&amp;LEFT($C$5,2)&amp;"输出",标准坦克设计!$B$23:$U$23,0)))*(VLOOKUP($B227,INDIRECT($B$5&amp;"生成成长"),3))*(VLOOKUP($B$5,标准坦克设计!$B$14:$K$20,9)/30))</f>
        <v>14.855642763608156</v>
      </c>
      <c r="FK227" s="172">
        <f ca="1">(VLOOKUP(FK$72,INDIRECT($C$5&amp;"生成成长"),2))/((VLOOKUP($B227,INDIRECT($B$5&amp;"生成成长"),4))/(VLOOKUP(FK$72,INDIRECT($C$5&amp;"生成成长"),5))*(VLOOKUP($B$5,标准坦克设计!$B$24:$U$30,MATCH("对"&amp;LEFT($C$5,2)&amp;"输出",标准坦克设计!$B$23:$U$23,0)))*(VLOOKUP($B227,INDIRECT($B$5&amp;"生成成长"),3))*(VLOOKUP($B$5,标准坦克设计!$B$14:$K$20,9)/30))</f>
        <v>15.690610378260246</v>
      </c>
    </row>
    <row r="228" spans="1:167" x14ac:dyDescent="0.15">
      <c r="A228" s="170" t="str">
        <f t="shared" si="13"/>
        <v>T5高品质12级</v>
      </c>
      <c r="B228" s="171">
        <v>30512</v>
      </c>
      <c r="C228" s="172">
        <f ca="1">(VLOOKUP(C$72,INDIRECT($C$5&amp;"生成成长"),2))/((VLOOKUP($B228,INDIRECT($B$5&amp;"生成成长"),4))/(VLOOKUP(C$72,INDIRECT($C$5&amp;"生成成长"),5))*(VLOOKUP($B$5,标准坦克设计!$B$24:$U$30,MATCH("对"&amp;LEFT($C$5,2)&amp;"输出",标准坦克设计!$B$23:$U$23,0)))*(VLOOKUP($B228,INDIRECT($B$5&amp;"生成成长"),3))*(VLOOKUP($B$5,标准坦克设计!$B$14:$K$20,9)/30))</f>
        <v>0.63687174830466553</v>
      </c>
      <c r="D228" s="172">
        <f ca="1">(VLOOKUP(D$72,INDIRECT($C$5&amp;"生成成长"),2))/((VLOOKUP($B228,INDIRECT($B$5&amp;"生成成长"),4))/(VLOOKUP(D$72,INDIRECT($C$5&amp;"生成成长"),5))*(VLOOKUP($B$5,标准坦克设计!$B$24:$U$30,MATCH("对"&amp;LEFT($C$5,2)&amp;"输出",标准坦克设计!$B$23:$U$23,0)))*(VLOOKUP($B228,INDIRECT($B$5&amp;"生成成长"),3))*(VLOOKUP($B$5,标准坦克设计!$B$14:$K$20,9)/30))</f>
        <v>0.71558909639512225</v>
      </c>
      <c r="E228" s="172">
        <f ca="1">(VLOOKUP(E$72,INDIRECT($C$5&amp;"生成成长"),2))/((VLOOKUP($B228,INDIRECT($B$5&amp;"生成成长"),4))/(VLOOKUP(E$72,INDIRECT($C$5&amp;"生成成长"),5))*(VLOOKUP($B$5,标准坦克设计!$B$24:$U$30,MATCH("对"&amp;LEFT($C$5,2)&amp;"输出",标准坦克设计!$B$23:$U$23,0)))*(VLOOKUP($B228,INDIRECT($B$5&amp;"生成成长"),3))*(VLOOKUP($B$5,标准坦克设计!$B$14:$K$20,9)/30))</f>
        <v>0.79889192107337226</v>
      </c>
      <c r="F228" s="172">
        <f ca="1">(VLOOKUP(F$72,INDIRECT($C$5&amp;"生成成长"),2))/((VLOOKUP($B228,INDIRECT($B$5&amp;"生成成长"),4))/(VLOOKUP(F$72,INDIRECT($C$5&amp;"生成成长"),5))*(VLOOKUP($B$5,标准坦克设计!$B$24:$U$30,MATCH("对"&amp;LEFT($C$5,2)&amp;"输出",标准坦克设计!$B$23:$U$23,0)))*(VLOOKUP($B228,INDIRECT($B$5&amp;"生成成长"),3))*(VLOOKUP($B$5,标准坦克设计!$B$14:$K$20,9)/30))</f>
        <v>0.88678022233941634</v>
      </c>
      <c r="G228" s="172">
        <f ca="1">(VLOOKUP(G$72,INDIRECT($C$5&amp;"生成成长"),2))/((VLOOKUP($B228,INDIRECT($B$5&amp;"生成成长"),4))/(VLOOKUP(G$72,INDIRECT($C$5&amp;"生成成长"),5))*(VLOOKUP($B$5,标准坦克设计!$B$24:$U$30,MATCH("对"&amp;LEFT($C$5,2)&amp;"输出",标准坦克设计!$B$23:$U$23,0)))*(VLOOKUP($B228,INDIRECT($B$5&amp;"生成成长"),3))*(VLOOKUP($B$5,标准坦克设计!$B$14:$K$20,9)/30))</f>
        <v>0.97925400019325382</v>
      </c>
      <c r="H228" s="172">
        <f ca="1">(VLOOKUP(H$72,INDIRECT($C$5&amp;"生成成长"),2))/((VLOOKUP($B228,INDIRECT($B$5&amp;"生成成长"),4))/(VLOOKUP(H$72,INDIRECT($C$5&amp;"生成成长"),5))*(VLOOKUP($B$5,标准坦克设计!$B$24:$U$30,MATCH("对"&amp;LEFT($C$5,2)&amp;"输出",标准坦克设计!$B$23:$U$23,0)))*(VLOOKUP($B228,INDIRECT($B$5&amp;"生成成长"),3))*(VLOOKUP($B$5,标准坦克设计!$B$14:$K$20,9)/30))</f>
        <v>0.85697462451875794</v>
      </c>
      <c r="I228" s="172">
        <f ca="1">(VLOOKUP(I$72,INDIRECT($C$5&amp;"生成成长"),2))/((VLOOKUP($B228,INDIRECT($B$5&amp;"生成成长"),4))/(VLOOKUP(I$72,INDIRECT($C$5&amp;"生成成长"),5))*(VLOOKUP($B$5,标准坦克设计!$B$24:$U$30,MATCH("对"&amp;LEFT($C$5,2)&amp;"输出",标准坦克设计!$B$23:$U$23,0)))*(VLOOKUP($B228,INDIRECT($B$5&amp;"生成成长"),3))*(VLOOKUP($B$5,标准坦克设计!$B$14:$K$20,9)/30))</f>
        <v>0.97925400019325382</v>
      </c>
      <c r="J228" s="172">
        <f ca="1">(VLOOKUP(J$72,INDIRECT($C$5&amp;"生成成长"),2))/((VLOOKUP($B228,INDIRECT($B$5&amp;"生成成长"),4))/(VLOOKUP(J$72,INDIRECT($C$5&amp;"生成成长"),5))*(VLOOKUP($B$5,标准坦克设计!$B$24:$U$30,MATCH("对"&amp;LEFT($C$5,2)&amp;"输出",标准坦克设计!$B$23:$U$23,0)))*(VLOOKUP($B228,INDIRECT($B$5&amp;"生成成长"),3))*(VLOOKUP($B$5,标准坦克设计!$B$14:$K$20,9)/30))</f>
        <v>1.1096853342460493</v>
      </c>
      <c r="K228" s="172">
        <f ca="1">(VLOOKUP(K$72,INDIRECT($C$5&amp;"生成成长"),2))/((VLOOKUP($B228,INDIRECT($B$5&amp;"生成成长"),4))/(VLOOKUP(K$72,INDIRECT($C$5&amp;"生成成长"),5))*(VLOOKUP($B$5,标准坦克设计!$B$24:$U$30,MATCH("对"&amp;LEFT($C$5,2)&amp;"输出",标准坦克设计!$B$23:$U$23,0)))*(VLOOKUP($B228,INDIRECT($B$5&amp;"生成成长"),3))*(VLOOKUP($B$5,标准坦克设计!$B$14:$K$20,9)/30))</f>
        <v>1.2482686266771446</v>
      </c>
      <c r="L228" s="172">
        <f ca="1">(VLOOKUP(L$72,INDIRECT($C$5&amp;"生成成长"),2))/((VLOOKUP($B228,INDIRECT($B$5&amp;"生成成长"),4))/(VLOOKUP(L$72,INDIRECT($C$5&amp;"生成成长"),5))*(VLOOKUP($B$5,标准坦克设计!$B$24:$U$30,MATCH("对"&amp;LEFT($C$5,2)&amp;"输出",标准坦克设计!$B$23:$U$23,0)))*(VLOOKUP($B228,INDIRECT($B$5&amp;"生成成长"),3))*(VLOOKUP($B$5,标准坦克设计!$B$14:$K$20,9)/30))</f>
        <v>1.3950038774865392</v>
      </c>
      <c r="M228" s="172">
        <f ca="1">(VLOOKUP(M$72,INDIRECT($C$5&amp;"生成成长"),2))/((VLOOKUP($B228,INDIRECT($B$5&amp;"生成成长"),4))/(VLOOKUP(M$72,INDIRECT($C$5&amp;"生成成长"),5))*(VLOOKUP($B$5,标准坦克设计!$B$24:$U$30,MATCH("对"&amp;LEFT($C$5,2)&amp;"输出",标准坦克设计!$B$23:$U$23,0)))*(VLOOKUP($B228,INDIRECT($B$5&amp;"生成成长"),3))*(VLOOKUP($B$5,标准坦克设计!$B$14:$K$20,9)/30))</f>
        <v>1.5498910866742339</v>
      </c>
      <c r="N228" s="172">
        <f ca="1">(VLOOKUP(N$72,INDIRECT($C$5&amp;"生成成长"),2))/((VLOOKUP($B228,INDIRECT($B$5&amp;"生成成长"),4))/(VLOOKUP(N$72,INDIRECT($C$5&amp;"生成成长"),5))*(VLOOKUP($B$5,标准坦克设计!$B$24:$U$30,MATCH("对"&amp;LEFT($C$5,2)&amp;"输出",标准坦克设计!$B$23:$U$23,0)))*(VLOOKUP($B228,INDIRECT($B$5&amp;"生成成长"),3))*(VLOOKUP($B$5,标准坦克设计!$B$14:$K$20,9)/30))</f>
        <v>1.7129302542402285</v>
      </c>
      <c r="O228" s="172">
        <f ca="1">(VLOOKUP(O$72,INDIRECT($C$5&amp;"生成成长"),2))/((VLOOKUP($B228,INDIRECT($B$5&amp;"生成成长"),4))/(VLOOKUP(O$72,INDIRECT($C$5&amp;"生成成长"),5))*(VLOOKUP($B$5,标准坦克设计!$B$24:$U$30,MATCH("对"&amp;LEFT($C$5,2)&amp;"输出",标准坦克设计!$B$23:$U$23,0)))*(VLOOKUP($B228,INDIRECT($B$5&amp;"生成成长"),3))*(VLOOKUP($B$5,标准坦克设计!$B$14:$K$20,9)/30))</f>
        <v>1.3023390381082105</v>
      </c>
      <c r="P228" s="172">
        <f ca="1">(VLOOKUP(P$72,INDIRECT($C$5&amp;"生成成长"),2))/((VLOOKUP($B228,INDIRECT($B$5&amp;"生成成长"),4))/(VLOOKUP(P$72,INDIRECT($C$5&amp;"生成成长"),5))*(VLOOKUP($B$5,标准坦克设计!$B$24:$U$30,MATCH("对"&amp;LEFT($C$5,2)&amp;"输出",标准坦克设计!$B$23:$U$23,0)))*(VLOOKUP($B228,INDIRECT($B$5&amp;"生成成长"),3))*(VLOOKUP($B$5,标准坦克设计!$B$14:$K$20,9)/30))</f>
        <v>1.4714284872830992</v>
      </c>
      <c r="Q228" s="172">
        <f ca="1">(VLOOKUP(Q$72,INDIRECT($C$5&amp;"生成成长"),2))/((VLOOKUP($B228,INDIRECT($B$5&amp;"生成成长"),4))/(VLOOKUP(Q$72,INDIRECT($C$5&amp;"生成成长"),5))*(VLOOKUP($B$5,标准坦克设计!$B$24:$U$30,MATCH("对"&amp;LEFT($C$5,2)&amp;"输出",标准坦克设计!$B$23:$U$23,0)))*(VLOOKUP($B228,INDIRECT($B$5&amp;"生成成长"),3))*(VLOOKUP($B$5,标准坦克设计!$B$14:$K$20,9)/30))</f>
        <v>1.6508352587805235</v>
      </c>
      <c r="R228" s="172">
        <f ca="1">(VLOOKUP(R$72,INDIRECT($C$5&amp;"生成成长"),2))/((VLOOKUP($B228,INDIRECT($B$5&amp;"生成成长"),4))/(VLOOKUP(R$72,INDIRECT($C$5&amp;"生成成长"),5))*(VLOOKUP($B$5,标准坦克设计!$B$24:$U$30,MATCH("对"&amp;LEFT($C$5,2)&amp;"输出",标准坦克设计!$B$23:$U$23,0)))*(VLOOKUP($B228,INDIRECT($B$5&amp;"生成成长"),3))*(VLOOKUP($B$5,标准坦克设计!$B$14:$K$20,9)/30))</f>
        <v>1.8405593526004835</v>
      </c>
      <c r="S228" s="172">
        <f ca="1">(VLOOKUP(S$72,INDIRECT($C$5&amp;"生成成长"),2))/((VLOOKUP($B228,INDIRECT($B$5&amp;"生成成长"),4))/(VLOOKUP(S$72,INDIRECT($C$5&amp;"生成成长"),5))*(VLOOKUP($B$5,标准坦克设计!$B$24:$U$30,MATCH("对"&amp;LEFT($C$5,2)&amp;"输出",标准坦克设计!$B$23:$U$23,0)))*(VLOOKUP($B228,INDIRECT($B$5&amp;"生成成长"),3))*(VLOOKUP($B$5,标准坦克设计!$B$14:$K$20,9)/30))</f>
        <v>2.0406007687429786</v>
      </c>
      <c r="T228" s="172">
        <f ca="1">(VLOOKUP(T$72,INDIRECT($C$5&amp;"生成成长"),2))/((VLOOKUP($B228,INDIRECT($B$5&amp;"生成成长"),4))/(VLOOKUP(T$72,INDIRECT($C$5&amp;"生成成长"),5))*(VLOOKUP($B$5,标准坦克设计!$B$24:$U$30,MATCH("对"&amp;LEFT($C$5,2)&amp;"输出",标准坦克设计!$B$23:$U$23,0)))*(VLOOKUP($B228,INDIRECT($B$5&amp;"生成成长"),3))*(VLOOKUP($B$5,标准坦克设计!$B$14:$K$20,9)/30))</f>
        <v>2.2509595072080093</v>
      </c>
      <c r="U228" s="172">
        <f ca="1">(VLOOKUP(U$72,INDIRECT($C$5&amp;"生成成长"),2))/((VLOOKUP($B228,INDIRECT($B$5&amp;"生成成长"),4))/(VLOOKUP(U$72,INDIRECT($C$5&amp;"生成成长"),5))*(VLOOKUP($B$5,标准坦克设计!$B$24:$U$30,MATCH("对"&amp;LEFT($C$5,2)&amp;"输出",标准坦克设计!$B$23:$U$23,0)))*(VLOOKUP($B228,INDIRECT($B$5&amp;"生成成长"),3))*(VLOOKUP($B$5,标准坦克设计!$B$14:$K$20,9)/30))</f>
        <v>2.4716355679955768</v>
      </c>
      <c r="V228" s="172">
        <f ca="1">(VLOOKUP(V$72,INDIRECT($C$5&amp;"生成成长"),2))/((VLOOKUP($B228,INDIRECT($B$5&amp;"生成成长"),4))/(VLOOKUP(V$72,INDIRECT($C$5&amp;"生成成长"),5))*(VLOOKUP($B$5,标准坦克设计!$B$24:$U$30,MATCH("对"&amp;LEFT($C$5,2)&amp;"输出",标准坦克设计!$B$23:$U$23,0)))*(VLOOKUP($B228,INDIRECT($B$5&amp;"生成成长"),3))*(VLOOKUP($B$5,标准坦克设计!$B$14:$K$20,9)/30))</f>
        <v>2.7026289511056789</v>
      </c>
      <c r="W228" s="172">
        <f ca="1">(VLOOKUP(W$72,INDIRECT($C$5&amp;"生成成长"),2))/((VLOOKUP($B228,INDIRECT($B$5&amp;"生成成长"),4))/(VLOOKUP(W$72,INDIRECT($C$5&amp;"生成成长"),5))*(VLOOKUP($B$5,标准坦克设计!$B$24:$U$30,MATCH("对"&amp;LEFT($C$5,2)&amp;"输出",标准坦克设计!$B$23:$U$23,0)))*(VLOOKUP($B228,INDIRECT($B$5&amp;"生成成长"),3))*(VLOOKUP($B$5,标准坦克设计!$B$14:$K$20,9)/30))</f>
        <v>2.943939656538316</v>
      </c>
      <c r="X228" s="172">
        <f ca="1">(VLOOKUP(X$72,INDIRECT($C$5&amp;"生成成长"),2))/((VLOOKUP($B228,INDIRECT($B$5&amp;"生成成长"),4))/(VLOOKUP(X$72,INDIRECT($C$5&amp;"生成成长"),5))*(VLOOKUP($B$5,标准坦克设计!$B$24:$U$30,MATCH("对"&amp;LEFT($C$5,2)&amp;"输出",标准坦克设计!$B$23:$U$23,0)))*(VLOOKUP($B228,INDIRECT($B$5&amp;"生成成长"),3))*(VLOOKUP($B$5,标准坦克设计!$B$14:$K$20,9)/30))</f>
        <v>2.1328197978974948</v>
      </c>
      <c r="Y228" s="172">
        <f ca="1">(VLOOKUP(Y$72,INDIRECT($C$5&amp;"生成成长"),2))/((VLOOKUP($B228,INDIRECT($B$5&amp;"生成成长"),4))/(VLOOKUP(Y$72,INDIRECT($C$5&amp;"生成成长"),5))*(VLOOKUP($B$5,标准坦克设计!$B$24:$U$30,MATCH("对"&amp;LEFT($C$5,2)&amp;"输出",标准坦克设计!$B$23:$U$23,0)))*(VLOOKUP($B228,INDIRECT($B$5&amp;"生成成长"),3))*(VLOOKUP($B$5,标准坦克设计!$B$14:$K$20,9)/30))</f>
        <v>2.3722835752600484</v>
      </c>
      <c r="Z228" s="172">
        <f ca="1">(VLOOKUP(Z$72,INDIRECT($C$5&amp;"生成成长"),2))/((VLOOKUP($B228,INDIRECT($B$5&amp;"生成成长"),4))/(VLOOKUP(Z$72,INDIRECT($C$5&amp;"生成成长"),5))*(VLOOKUP($B$5,标准坦克设计!$B$24:$U$30,MATCH("对"&amp;LEFT($C$5,2)&amp;"输出",标准坦克设计!$B$23:$U$23,0)))*(VLOOKUP($B228,INDIRECT($B$5&amp;"生成成长"),3))*(VLOOKUP($B$5,标准坦克设计!$B$14:$K$20,9)/30))</f>
        <v>2.6244847875886959</v>
      </c>
      <c r="AA228" s="172">
        <f ca="1">(VLOOKUP(AA$72,INDIRECT($C$5&amp;"生成成长"),2))/((VLOOKUP($B228,INDIRECT($B$5&amp;"生成成长"),4))/(VLOOKUP(AA$72,INDIRECT($C$5&amp;"生成成长"),5))*(VLOOKUP($B$5,标准坦克设计!$B$24:$U$30,MATCH("对"&amp;LEFT($C$5,2)&amp;"输出",标准坦克设计!$B$23:$U$23,0)))*(VLOOKUP($B228,INDIRECT($B$5&amp;"生成成长"),3))*(VLOOKUP($B$5,标准坦克设计!$B$14:$K$20,9)/30))</f>
        <v>2.8894234348834376</v>
      </c>
      <c r="AB228" s="172">
        <f ca="1">(VLOOKUP(AB$72,INDIRECT($C$5&amp;"生成成长"),2))/((VLOOKUP($B228,INDIRECT($B$5&amp;"生成成长"),4))/(VLOOKUP(AB$72,INDIRECT($C$5&amp;"生成成长"),5))*(VLOOKUP($B$5,标准坦克设计!$B$24:$U$30,MATCH("对"&amp;LEFT($C$5,2)&amp;"输出",标准坦克设计!$B$23:$U$23,0)))*(VLOOKUP($B228,INDIRECT($B$5&amp;"生成成长"),3))*(VLOOKUP($B$5,标准坦克设计!$B$14:$K$20,9)/30))</f>
        <v>3.1670995171442713</v>
      </c>
      <c r="AC228" s="172">
        <f ca="1">(VLOOKUP(AC$72,INDIRECT($C$5&amp;"生成成长"),2))/((VLOOKUP($B228,INDIRECT($B$5&amp;"生成成长"),4))/(VLOOKUP(AC$72,INDIRECT($C$5&amp;"生成成长"),5))*(VLOOKUP($B$5,标准坦克设计!$B$24:$U$30,MATCH("对"&amp;LEFT($C$5,2)&amp;"输出",标准坦克设计!$B$23:$U$23,0)))*(VLOOKUP($B228,INDIRECT($B$5&amp;"生成成长"),3))*(VLOOKUP($B$5,标准坦克设计!$B$14:$K$20,9)/30))</f>
        <v>3.4575130343711988</v>
      </c>
      <c r="AD228" s="172">
        <f ca="1">(VLOOKUP(AD$72,INDIRECT($C$5&amp;"生成成长"),2))/((VLOOKUP($B228,INDIRECT($B$5&amp;"生成成长"),4))/(VLOOKUP(AD$72,INDIRECT($C$5&amp;"生成成长"),5))*(VLOOKUP($B$5,标准坦克设计!$B$24:$U$30,MATCH("对"&amp;LEFT($C$5,2)&amp;"输出",标准坦克设计!$B$23:$U$23,0)))*(VLOOKUP($B228,INDIRECT($B$5&amp;"生成成长"),3))*(VLOOKUP($B$5,标准坦克设计!$B$14:$K$20,9)/30))</f>
        <v>3.7606639865642193</v>
      </c>
      <c r="AE228" s="172">
        <f ca="1">(VLOOKUP(AE$72,INDIRECT($C$5&amp;"生成成长"),2))/((VLOOKUP($B228,INDIRECT($B$5&amp;"生成成长"),4))/(VLOOKUP(AE$72,INDIRECT($C$5&amp;"生成成长"),5))*(VLOOKUP($B$5,标准坦克设计!$B$24:$U$30,MATCH("对"&amp;LEFT($C$5,2)&amp;"输出",标准坦克设计!$B$23:$U$23,0)))*(VLOOKUP($B228,INDIRECT($B$5&amp;"生成成长"),3))*(VLOOKUP($B$5,标准坦克设计!$B$14:$K$20,9)/30))</f>
        <v>4.0765523737233336</v>
      </c>
      <c r="AF228" s="172">
        <f ca="1">(VLOOKUP(AF$72,INDIRECT($C$5&amp;"生成成长"),2))/((VLOOKUP($B228,INDIRECT($B$5&amp;"生成成长"),4))/(VLOOKUP(AF$72,INDIRECT($C$5&amp;"生成成长"),5))*(VLOOKUP($B$5,标准坦克设计!$B$24:$U$30,MATCH("对"&amp;LEFT($C$5,2)&amp;"输出",标准坦克设计!$B$23:$U$23,0)))*(VLOOKUP($B228,INDIRECT($B$5&amp;"生成成长"),3))*(VLOOKUP($B$5,标准坦克设计!$B$14:$K$20,9)/30))</f>
        <v>4.4051781958485403</v>
      </c>
      <c r="AG228" s="172">
        <f ca="1">(VLOOKUP(AG$72,INDIRECT($C$5&amp;"生成成长"),2))/((VLOOKUP($B228,INDIRECT($B$5&amp;"生成成长"),4))/(VLOOKUP(AG$72,INDIRECT($C$5&amp;"生成成长"),5))*(VLOOKUP($B$5,标准坦克设计!$B$24:$U$30,MATCH("对"&amp;LEFT($C$5,2)&amp;"输出",标准坦克设计!$B$23:$U$23,0)))*(VLOOKUP($B228,INDIRECT($B$5&amp;"生成成长"),3))*(VLOOKUP($B$5,标准坦克设计!$B$14:$K$20,9)/30))</f>
        <v>4.7465414529398418</v>
      </c>
      <c r="AH228" s="172">
        <f ca="1">(VLOOKUP(AH$72,INDIRECT($C$5&amp;"生成成长"),2))/((VLOOKUP($B228,INDIRECT($B$5&amp;"生成成长"),4))/(VLOOKUP(AH$72,INDIRECT($C$5&amp;"生成成长"),5))*(VLOOKUP($B$5,标准坦克设计!$B$24:$U$30,MATCH("对"&amp;LEFT($C$5,2)&amp;"输出",标准坦克设计!$B$23:$U$23,0)))*(VLOOKUP($B228,INDIRECT($B$5&amp;"生成成长"),3))*(VLOOKUP($B$5,标准坦克设计!$B$14:$K$20,9)/30))</f>
        <v>5.1006421449972352</v>
      </c>
      <c r="AI228" s="172">
        <f ca="1">(VLOOKUP(AI$72,INDIRECT($C$5&amp;"生成成长"),2))/((VLOOKUP($B228,INDIRECT($B$5&amp;"生成成长"),4))/(VLOOKUP(AI$72,INDIRECT($C$5&amp;"生成成长"),5))*(VLOOKUP($B$5,标准坦克设计!$B$24:$U$30,MATCH("对"&amp;LEFT($C$5,2)&amp;"输出",标准坦克设计!$B$23:$U$23,0)))*(VLOOKUP($B228,INDIRECT($B$5&amp;"生成成长"),3))*(VLOOKUP($B$5,标准坦克设计!$B$14:$K$20,9)/30))</f>
        <v>3.6074963310969475</v>
      </c>
      <c r="AJ228" s="172">
        <f ca="1">(VLOOKUP(AJ$72,INDIRECT($C$5&amp;"生成成长"),2))/((VLOOKUP($B228,INDIRECT($B$5&amp;"生成成长"),4))/(VLOOKUP(AJ$72,INDIRECT($C$5&amp;"生成成长"),5))*(VLOOKUP($B$5,标准坦克设计!$B$24:$U$30,MATCH("对"&amp;LEFT($C$5,2)&amp;"输出",标准坦克设计!$B$23:$U$23,0)))*(VLOOKUP($B228,INDIRECT($B$5&amp;"生成成长"),3))*(VLOOKUP($B$5,标准坦克设计!$B$14:$K$20,9)/30))</f>
        <v>3.9486685266637567</v>
      </c>
      <c r="AK228" s="172">
        <f ca="1">(VLOOKUP(AK$72,INDIRECT($C$5&amp;"生成成长"),2))/((VLOOKUP($B228,INDIRECT($B$5&amp;"生成成长"),4))/(VLOOKUP(AK$72,INDIRECT($C$5&amp;"生成成长"),5))*(VLOOKUP($B$5,标准坦克设计!$B$24:$U$30,MATCH("对"&amp;LEFT($C$5,2)&amp;"输出",标准坦克设计!$B$23:$U$23,0)))*(VLOOKUP($B228,INDIRECT($B$5&amp;"生成成长"),3))*(VLOOKUP($B$5,标准坦克设计!$B$14:$K$20,9)/30))</f>
        <v>4.3052530185395383</v>
      </c>
      <c r="AL228" s="172">
        <f ca="1">(VLOOKUP(AL$72,INDIRECT($C$5&amp;"生成成长"),2))/((VLOOKUP($B228,INDIRECT($B$5&amp;"生成成长"),4))/(VLOOKUP(AL$72,INDIRECT($C$5&amp;"生成成长"),5))*(VLOOKUP($B$5,标准坦克设计!$B$24:$U$30,MATCH("对"&amp;LEFT($C$5,2)&amp;"输出",标准坦克设计!$B$23:$U$23,0)))*(VLOOKUP($B228,INDIRECT($B$5&amp;"生成成长"),3))*(VLOOKUP($B$5,标准坦克设计!$B$14:$K$20,9)/30))</f>
        <v>4.6772498067242942</v>
      </c>
      <c r="AM228" s="172">
        <f ca="1">(VLOOKUP(AM$72,INDIRECT($C$5&amp;"生成成长"),2))/((VLOOKUP($B228,INDIRECT($B$5&amp;"生成成长"),4))/(VLOOKUP(AM$72,INDIRECT($C$5&amp;"生成成长"),5))*(VLOOKUP($B$5,标准坦克设计!$B$24:$U$30,MATCH("对"&amp;LEFT($C$5,2)&amp;"输出",标准坦克设计!$B$23:$U$23,0)))*(VLOOKUP($B228,INDIRECT($B$5&amp;"生成成长"),3))*(VLOOKUP($B$5,标准坦克设计!$B$14:$K$20,9)/30))</f>
        <v>5.0646588912180226</v>
      </c>
      <c r="AN228" s="172">
        <f ca="1">(VLOOKUP(AN$72,INDIRECT($C$5&amp;"生成成长"),2))/((VLOOKUP($B228,INDIRECT($B$5&amp;"生成成长"),4))/(VLOOKUP(AN$72,INDIRECT($C$5&amp;"生成成长"),5))*(VLOOKUP($B$5,标准坦克设计!$B$24:$U$30,MATCH("对"&amp;LEFT($C$5,2)&amp;"输出",标准坦克设计!$B$23:$U$23,0)))*(VLOOKUP($B228,INDIRECT($B$5&amp;"生成成长"),3))*(VLOOKUP($B$5,标准坦克设计!$B$14:$K$20,9)/30))</f>
        <v>5.4674802720207225</v>
      </c>
      <c r="AO228" s="172">
        <f ca="1">(VLOOKUP(AO$72,INDIRECT($C$5&amp;"生成成长"),2))/((VLOOKUP($B228,INDIRECT($B$5&amp;"生成成长"),4))/(VLOOKUP(AO$72,INDIRECT($C$5&amp;"生成成长"),5))*(VLOOKUP($B$5,标准坦克设计!$B$24:$U$30,MATCH("对"&amp;LEFT($C$5,2)&amp;"输出",标准坦克设计!$B$23:$U$23,0)))*(VLOOKUP($B228,INDIRECT($B$5&amp;"生成成长"),3))*(VLOOKUP($B$5,标准坦克设计!$B$14:$K$20,9)/30))</f>
        <v>5.8857139491323966</v>
      </c>
      <c r="AP228" s="172">
        <f ca="1">(VLOOKUP(AP$72,INDIRECT($C$5&amp;"生成成长"),2))/((VLOOKUP($B228,INDIRECT($B$5&amp;"生成成长"),4))/(VLOOKUP(AP$72,INDIRECT($C$5&amp;"生成成长"),5))*(VLOOKUP($B$5,标准坦克设计!$B$24:$U$30,MATCH("对"&amp;LEFT($C$5,2)&amp;"输出",标准坦克设计!$B$23:$U$23,0)))*(VLOOKUP($B228,INDIRECT($B$5&amp;"生成成长"),3))*(VLOOKUP($B$5,标准坦克设计!$B$14:$K$20,9)/30))</f>
        <v>6.3193599225530432</v>
      </c>
      <c r="AQ228" s="172">
        <f ca="1">(VLOOKUP(AQ$72,INDIRECT($C$5&amp;"生成成长"),2))/((VLOOKUP($B228,INDIRECT($B$5&amp;"生成成长"),4))/(VLOOKUP(AQ$72,INDIRECT($C$5&amp;"生成成长"),5))*(VLOOKUP($B$5,标准坦克设计!$B$24:$U$30,MATCH("对"&amp;LEFT($C$5,2)&amp;"输出",标准坦克设计!$B$23:$U$23,0)))*(VLOOKUP($B228,INDIRECT($B$5&amp;"生成成长"),3))*(VLOOKUP($B$5,标准坦克设计!$B$14:$K$20,9)/30))</f>
        <v>6.7684181922826641</v>
      </c>
      <c r="AR228" s="172">
        <f ca="1">(VLOOKUP(AR$72,INDIRECT($C$5&amp;"生成成长"),2))/((VLOOKUP($B228,INDIRECT($B$5&amp;"生成成长"),4))/(VLOOKUP(AR$72,INDIRECT($C$5&amp;"生成成长"),5))*(VLOOKUP($B$5,标准坦克设计!$B$24:$U$30,MATCH("对"&amp;LEFT($C$5,2)&amp;"输出",标准坦克设计!$B$23:$U$23,0)))*(VLOOKUP($B228,INDIRECT($B$5&amp;"生成成长"),3))*(VLOOKUP($B$5,标准坦克设计!$B$14:$K$20,9)/30))</f>
        <v>7.2328887583212556</v>
      </c>
      <c r="AS228" s="172">
        <f ca="1">(VLOOKUP(AS$72,INDIRECT($C$5&amp;"生成成长"),2))/((VLOOKUP($B228,INDIRECT($B$5&amp;"生成成长"),4))/(VLOOKUP(AS$72,INDIRECT($C$5&amp;"生成成长"),5))*(VLOOKUP($B$5,标准坦克设计!$B$24:$U$30,MATCH("对"&amp;LEFT($C$5,2)&amp;"输出",标准坦克设计!$B$23:$U$23,0)))*(VLOOKUP($B228,INDIRECT($B$5&amp;"生成成长"),3))*(VLOOKUP($B$5,标准坦克设计!$B$14:$K$20,9)/30))</f>
        <v>7.7127716206688222</v>
      </c>
      <c r="AT228" s="172">
        <f ca="1">(VLOOKUP(AT$72,INDIRECT($C$5&amp;"生成成长"),2))/((VLOOKUP($B228,INDIRECT($B$5&amp;"生成成长"),4))/(VLOOKUP(AT$72,INDIRECT($C$5&amp;"生成成长"),5))*(VLOOKUP($B$5,标准坦克设计!$B$24:$U$30,MATCH("对"&amp;LEFT($C$5,2)&amp;"输出",标准坦克设计!$B$23:$U$23,0)))*(VLOOKUP($B228,INDIRECT($B$5&amp;"生成成长"),3))*(VLOOKUP($B$5,标准坦克设计!$B$14:$K$20,9)/30))</f>
        <v>8.2080667793253586</v>
      </c>
      <c r="AU228" s="172">
        <f ca="1">(VLOOKUP(AU$72,INDIRECT($C$5&amp;"生成成长"),2))/((VLOOKUP($B228,INDIRECT($B$5&amp;"生成成长"),4))/(VLOOKUP(AU$72,INDIRECT($C$5&amp;"生成成长"),5))*(VLOOKUP($B$5,标准坦克设计!$B$24:$U$30,MATCH("对"&amp;LEFT($C$5,2)&amp;"输出",标准坦克设计!$B$23:$U$23,0)))*(VLOOKUP($B228,INDIRECT($B$5&amp;"生成成长"),3))*(VLOOKUP($B$5,标准坦克设计!$B$14:$K$20,9)/30))</f>
        <v>8.718774234290871</v>
      </c>
      <c r="AV228" s="172">
        <f ca="1">(VLOOKUP(AV$72,INDIRECT($C$5&amp;"生成成长"),2))/((VLOOKUP($B228,INDIRECT($B$5&amp;"生成成长"),4))/(VLOOKUP(AV$72,INDIRECT($C$5&amp;"生成成长"),5))*(VLOOKUP($B$5,标准坦克设计!$B$24:$U$30,MATCH("对"&amp;LEFT($C$5,2)&amp;"输出",标准坦克设计!$B$23:$U$23,0)))*(VLOOKUP($B228,INDIRECT($B$5&amp;"生成成长"),3))*(VLOOKUP($B$5,标准坦克设计!$B$14:$K$20,9)/30))</f>
        <v>0.88678022233941634</v>
      </c>
      <c r="AW228" s="172">
        <f ca="1">(VLOOKUP(AW$72,INDIRECT($C$5&amp;"生成成长"),2))/((VLOOKUP($B228,INDIRECT($B$5&amp;"生成成长"),4))/(VLOOKUP(AW$72,INDIRECT($C$5&amp;"生成成长"),5))*(VLOOKUP($B$5,标准坦克设计!$B$24:$U$30,MATCH("对"&amp;LEFT($C$5,2)&amp;"输出",标准坦克设计!$B$23:$U$23,0)))*(VLOOKUP($B228,INDIRECT($B$5&amp;"生成成长"),3))*(VLOOKUP($B$5,标准坦克设计!$B$14:$K$20,9)/30))</f>
        <v>1.0110975876084871</v>
      </c>
      <c r="AX228" s="172">
        <f ca="1">(VLOOKUP(AX$72,INDIRECT($C$5&amp;"生成成长"),2))/((VLOOKUP($B228,INDIRECT($B$5&amp;"生成成长"),4))/(VLOOKUP(AX$72,INDIRECT($C$5&amp;"生成成长"),5))*(VLOOKUP($B$5,标准坦克设计!$B$24:$U$30,MATCH("对"&amp;LEFT($C$5,2)&amp;"输出",标准坦克设计!$B$23:$U$23,0)))*(VLOOKUP($B228,INDIRECT($B$5&amp;"生成成长"),3))*(VLOOKUP($B$5,标准坦克设计!$B$14:$K$20,9)/30))</f>
        <v>1.1435669112558573</v>
      </c>
      <c r="AY228" s="172">
        <f ca="1">(VLOOKUP(AY$72,INDIRECT($C$5&amp;"生成成长"),2))/((VLOOKUP($B228,INDIRECT($B$5&amp;"生成成长"),4))/(VLOOKUP(AY$72,INDIRECT($C$5&amp;"生成成长"),5))*(VLOOKUP($B$5,标准坦克设计!$B$24:$U$30,MATCH("对"&amp;LEFT($C$5,2)&amp;"输出",标准坦克设计!$B$23:$U$23,0)))*(VLOOKUP($B228,INDIRECT($B$5&amp;"生成成长"),3))*(VLOOKUP($B$5,标准坦克设计!$B$14:$K$20,9)/30))</f>
        <v>1.2841881932815276</v>
      </c>
      <c r="AZ228" s="172">
        <f ca="1">(VLOOKUP(AZ$72,INDIRECT($C$5&amp;"生成成长"),2))/((VLOOKUP($B228,INDIRECT($B$5&amp;"生成成长"),4))/(VLOOKUP(AZ$72,INDIRECT($C$5&amp;"生成成长"),5))*(VLOOKUP($B$5,标准坦克设计!$B$24:$U$30,MATCH("对"&amp;LEFT($C$5,2)&amp;"输出",标准坦克设计!$B$23:$U$23,0)))*(VLOOKUP($B228,INDIRECT($B$5&amp;"生成成长"),3))*(VLOOKUP($B$5,标准坦克设计!$B$14:$K$20,9)/30))</f>
        <v>1.4329614336854974</v>
      </c>
      <c r="BA228" s="172">
        <f ca="1">(VLOOKUP(BA$72,INDIRECT($C$5&amp;"生成成长"),2))/((VLOOKUP($B228,INDIRECT($B$5&amp;"生成成长"),4))/(VLOOKUP(BA$72,INDIRECT($C$5&amp;"生成成长"),5))*(VLOOKUP($B$5,标准坦克设计!$B$24:$U$30,MATCH("对"&amp;LEFT($C$5,2)&amp;"输出",标准坦克设计!$B$23:$U$23,0)))*(VLOOKUP($B228,INDIRECT($B$5&amp;"生成成长"),3))*(VLOOKUP($B$5,标准坦克设计!$B$14:$K$20,9)/30))</f>
        <v>1.5898866324677672</v>
      </c>
      <c r="BB228" s="172">
        <f ca="1">(VLOOKUP(BB$72,INDIRECT($C$5&amp;"生成成长"),2))/((VLOOKUP($B228,INDIRECT($B$5&amp;"生成成长"),4))/(VLOOKUP(BB$72,INDIRECT($C$5&amp;"生成成长"),5))*(VLOOKUP($B$5,标准坦克设计!$B$24:$U$30,MATCH("对"&amp;LEFT($C$5,2)&amp;"输出",标准坦克设计!$B$23:$U$23,0)))*(VLOOKUP($B228,INDIRECT($B$5&amp;"生成成长"),3))*(VLOOKUP($B$5,标准坦克设计!$B$14:$K$20,9)/30))</f>
        <v>1.7549637896283359</v>
      </c>
      <c r="BC228" s="172">
        <f ca="1">(VLOOKUP(BC$72,INDIRECT($C$5&amp;"生成成长"),2))/((VLOOKUP($B228,INDIRECT($B$5&amp;"生成成长"),4))/(VLOOKUP(BC$72,INDIRECT($C$5&amp;"生成成长"),5))*(VLOOKUP($B$5,标准坦克设计!$B$24:$U$30,MATCH("对"&amp;LEFT($C$5,2)&amp;"输出",标准坦克设计!$B$23:$U$23,0)))*(VLOOKUP($B228,INDIRECT($B$5&amp;"生成成长"),3))*(VLOOKUP($B$5,标准坦克设计!$B$14:$K$20,9)/30))</f>
        <v>1.9281929051672055</v>
      </c>
      <c r="BD228" s="172">
        <f ca="1">(VLOOKUP(BD$72,INDIRECT($C$5&amp;"生成成长"),2))/((VLOOKUP($B228,INDIRECT($B$5&amp;"生成成长"),4))/(VLOOKUP(BD$72,INDIRECT($C$5&amp;"生成成长"),5))*(VLOOKUP($B$5,标准坦克设计!$B$24:$U$30,MATCH("对"&amp;LEFT($C$5,2)&amp;"输出",标准坦克设计!$B$23:$U$23,0)))*(VLOOKUP($B228,INDIRECT($B$5&amp;"生成成长"),3))*(VLOOKUP($B$5,标准坦克设计!$B$14:$K$20,9)/30))</f>
        <v>2.1328197978974948</v>
      </c>
      <c r="BE228" s="172">
        <f ca="1">(VLOOKUP(BE$72,INDIRECT($C$5&amp;"生成成长"),2))/((VLOOKUP($B228,INDIRECT($B$5&amp;"生成成长"),4))/(VLOOKUP(BE$72,INDIRECT($C$5&amp;"生成成长"),5))*(VLOOKUP($B$5,标准坦克设计!$B$24:$U$30,MATCH("对"&amp;LEFT($C$5,2)&amp;"输出",标准坦克设计!$B$23:$U$23,0)))*(VLOOKUP($B228,INDIRECT($B$5&amp;"生成成长"),3))*(VLOOKUP($B$5,标准坦克设计!$B$14:$K$20,9)/30))</f>
        <v>2.3477640129503188</v>
      </c>
      <c r="BF228" s="172">
        <f ca="1">(VLOOKUP(BF$72,INDIRECT($C$5&amp;"生成成长"),2))/((VLOOKUP($B228,INDIRECT($B$5&amp;"生成成长"),4))/(VLOOKUP(BF$72,INDIRECT($C$5&amp;"生成成长"),5))*(VLOOKUP($B$5,标准坦克设计!$B$24:$U$30,MATCH("对"&amp;LEFT($C$5,2)&amp;"输出",标准坦克设计!$B$23:$U$23,0)))*(VLOOKUP($B228,INDIRECT($B$5&amp;"生成成长"),3))*(VLOOKUP($B$5,标准坦克设计!$B$14:$K$20,9)/30))</f>
        <v>2.5730255503256791</v>
      </c>
      <c r="BG228" s="172">
        <f ca="1">(VLOOKUP(BG$72,INDIRECT($C$5&amp;"生成成长"),2))/((VLOOKUP($B228,INDIRECT($B$5&amp;"生成成长"),4))/(VLOOKUP(BG$72,INDIRECT($C$5&amp;"生成成长"),5))*(VLOOKUP($B$5,标准坦克设计!$B$24:$U$30,MATCH("对"&amp;LEFT($C$5,2)&amp;"输出",标准坦克设计!$B$23:$U$23,0)))*(VLOOKUP($B228,INDIRECT($B$5&amp;"生成成长"),3))*(VLOOKUP($B$5,标准坦克设计!$B$14:$K$20,9)/30))</f>
        <v>2.808604410023575</v>
      </c>
      <c r="BH228" s="172">
        <f ca="1">(VLOOKUP(BH$72,INDIRECT($C$5&amp;"生成成长"),2))/((VLOOKUP($B228,INDIRECT($B$5&amp;"生成成长"),4))/(VLOOKUP(BH$72,INDIRECT($C$5&amp;"生成成长"),5))*(VLOOKUP($B$5,标准坦克设计!$B$24:$U$30,MATCH("对"&amp;LEFT($C$5,2)&amp;"输出",标准坦克设计!$B$23:$U$23,0)))*(VLOOKUP($B228,INDIRECT($B$5&amp;"生成成长"),3))*(VLOOKUP($B$5,标准坦克设计!$B$14:$K$20,9)/30))</f>
        <v>1.3575558186862249</v>
      </c>
      <c r="BI228" s="172">
        <f ca="1">(VLOOKUP(BI$72,INDIRECT($C$5&amp;"生成成长"),2))/((VLOOKUP($B228,INDIRECT($B$5&amp;"生成成长"),4))/(VLOOKUP(BI$72,INDIRECT($C$5&amp;"生成成长"),5))*(VLOOKUP($B$5,标准坦克设计!$B$24:$U$30,MATCH("对"&amp;LEFT($C$5,2)&amp;"输出",标准坦克设计!$B$23:$U$23,0)))*(VLOOKUP($B228,INDIRECT($B$5&amp;"生成成长"),3))*(VLOOKUP($B$5,标准坦克设计!$B$14:$K$20,9)/30))</f>
        <v>1.5300843753019588</v>
      </c>
      <c r="BJ228" s="172">
        <f ca="1">(VLOOKUP(BJ$72,INDIRECT($C$5&amp;"生成成长"),2))/((VLOOKUP($B228,INDIRECT($B$5&amp;"生成成长"),4))/(VLOOKUP(BJ$72,INDIRECT($C$5&amp;"生成成长"),5))*(VLOOKUP($B$5,标准坦克设计!$B$24:$U$30,MATCH("对"&amp;LEFT($C$5,2)&amp;"输出",标准坦克设计!$B$23:$U$23,0)))*(VLOOKUP($B228,INDIRECT($B$5&amp;"生成成长"),3))*(VLOOKUP($B$5,标准坦克设计!$B$14:$K$20,9)/30))</f>
        <v>1.7129302542402285</v>
      </c>
      <c r="BK228" s="172">
        <f ca="1">(VLOOKUP(BK$72,INDIRECT($C$5&amp;"生成成长"),2))/((VLOOKUP($B228,INDIRECT($B$5&amp;"生成成长"),4))/(VLOOKUP(BK$72,INDIRECT($C$5&amp;"生成成长"),5))*(VLOOKUP($B$5,标准坦克设计!$B$24:$U$30,MATCH("对"&amp;LEFT($C$5,2)&amp;"输出",标准坦克设计!$B$23:$U$23,0)))*(VLOOKUP($B228,INDIRECT($B$5&amp;"生成成长"),3))*(VLOOKUP($B$5,标准坦克设计!$B$14:$K$20,9)/30))</f>
        <v>1.9060934555010334</v>
      </c>
      <c r="BL228" s="172">
        <f ca="1">(VLOOKUP(BL$72,INDIRECT($C$5&amp;"生成成长"),2))/((VLOOKUP($B228,INDIRECT($B$5&amp;"生成成长"),4))/(VLOOKUP(BL$72,INDIRECT($C$5&amp;"生成成长"),5))*(VLOOKUP($B$5,标准坦克设计!$B$24:$U$30,MATCH("对"&amp;LEFT($C$5,2)&amp;"输出",标准坦克设计!$B$23:$U$23,0)))*(VLOOKUP($B228,INDIRECT($B$5&amp;"生成成长"),3))*(VLOOKUP($B$5,标准坦克设计!$B$14:$K$20,9)/30))</f>
        <v>2.1095739790843742</v>
      </c>
      <c r="BM228" s="172">
        <f ca="1">(VLOOKUP(BM$72,INDIRECT($C$5&amp;"生成成长"),2))/((VLOOKUP($B228,INDIRECT($B$5&amp;"生成成长"),4))/(VLOOKUP(BM$72,INDIRECT($C$5&amp;"生成成长"),5))*(VLOOKUP($B$5,标准坦克设计!$B$24:$U$30,MATCH("对"&amp;LEFT($C$5,2)&amp;"输出",标准坦克设计!$B$23:$U$23,0)))*(VLOOKUP($B228,INDIRECT($B$5&amp;"生成成长"),3))*(VLOOKUP($B$5,标准坦克设计!$B$14:$K$20,9)/30))</f>
        <v>2.3233718249902502</v>
      </c>
      <c r="BN228" s="172">
        <f ca="1">(VLOOKUP(BN$72,INDIRECT($C$5&amp;"生成成长"),2))/((VLOOKUP($B228,INDIRECT($B$5&amp;"生成成长"),4))/(VLOOKUP(BN$72,INDIRECT($C$5&amp;"生成成长"),5))*(VLOOKUP($B$5,标准坦克设计!$B$24:$U$30,MATCH("对"&amp;LEFT($C$5,2)&amp;"输出",标准坦克设计!$B$23:$U$23,0)))*(VLOOKUP($B228,INDIRECT($B$5&amp;"生成成长"),3))*(VLOOKUP($B$5,标准坦克设计!$B$14:$K$20,9)/30))</f>
        <v>2.5474869932186621</v>
      </c>
      <c r="BO228" s="172">
        <f ca="1">(VLOOKUP(BO$72,INDIRECT($C$5&amp;"生成成长"),2))/((VLOOKUP($B228,INDIRECT($B$5&amp;"生成成长"),4))/(VLOOKUP(BO$72,INDIRECT($C$5&amp;"生成成长"),5))*(VLOOKUP($B$5,标准坦克设计!$B$24:$U$30,MATCH("对"&amp;LEFT($C$5,2)&amp;"输出",标准坦克设计!$B$23:$U$23,0)))*(VLOOKUP($B228,INDIRECT($B$5&amp;"生成成长"),3))*(VLOOKUP($B$5,标准坦克设计!$B$14:$K$20,9)/30))</f>
        <v>2.7819194837696091</v>
      </c>
      <c r="BP228" s="172">
        <f ca="1">(VLOOKUP(BP$72,INDIRECT($C$5&amp;"生成成长"),2))/((VLOOKUP($B228,INDIRECT($B$5&amp;"生成成长"),4))/(VLOOKUP(BP$72,INDIRECT($C$5&amp;"生成成长"),5))*(VLOOKUP($B$5,标准坦克设计!$B$24:$U$30,MATCH("对"&amp;LEFT($C$5,2)&amp;"输出",标准坦克设计!$B$23:$U$23,0)))*(VLOOKUP($B228,INDIRECT($B$5&amp;"生成成长"),3))*(VLOOKUP($B$5,标准坦克设计!$B$14:$K$20,9)/30))</f>
        <v>3.0266692966430928</v>
      </c>
      <c r="BQ228" s="172">
        <f ca="1">(VLOOKUP(BQ$72,INDIRECT($C$5&amp;"生成成长"),2))/((VLOOKUP($B228,INDIRECT($B$5&amp;"生成成长"),4))/(VLOOKUP(BQ$72,INDIRECT($C$5&amp;"生成成长"),5))*(VLOOKUP($B$5,标准坦克设计!$B$24:$U$30,MATCH("对"&amp;LEFT($C$5,2)&amp;"输出",标准坦克设计!$B$23:$U$23,0)))*(VLOOKUP($B228,INDIRECT($B$5&amp;"生成成长"),3))*(VLOOKUP($B$5,标准坦克设计!$B$14:$K$20,9)/30))</f>
        <v>3.2817364318391102</v>
      </c>
      <c r="BR228" s="172">
        <f ca="1">(VLOOKUP(BR$72,INDIRECT($C$5&amp;"生成成长"),2))/((VLOOKUP($B228,INDIRECT($B$5&amp;"生成成长"),4))/(VLOOKUP(BR$72,INDIRECT($C$5&amp;"生成成长"),5))*(VLOOKUP($B$5,标准坦克设计!$B$24:$U$30,MATCH("对"&amp;LEFT($C$5,2)&amp;"输出",标准坦克设计!$B$23:$U$23,0)))*(VLOOKUP($B228,INDIRECT($B$5&amp;"生成成长"),3))*(VLOOKUP($B$5,标准坦克设计!$B$14:$K$20,9)/30))</f>
        <v>3.5772449230524757</v>
      </c>
      <c r="BS228" s="172">
        <f ca="1">(VLOOKUP(BS$72,INDIRECT($C$5&amp;"生成成长"),2))/((VLOOKUP($B228,INDIRECT($B$5&amp;"生成成长"),4))/(VLOOKUP(BS$72,INDIRECT($C$5&amp;"生成成长"),5))*(VLOOKUP($B$5,标准坦克设计!$B$24:$U$30,MATCH("对"&amp;LEFT($C$5,2)&amp;"输出",标准坦克设计!$B$23:$U$23,0)))*(VLOOKUP($B228,INDIRECT($B$5&amp;"生成成长"),3))*(VLOOKUP($B$5,标准坦克设计!$B$14:$K$20,9)/30))</f>
        <v>3.885490849231934</v>
      </c>
      <c r="BT228" s="172">
        <f ca="1">(VLOOKUP(BT$72,INDIRECT($C$5&amp;"生成成长"),2))/((VLOOKUP($B228,INDIRECT($B$5&amp;"生成成长"),4))/(VLOOKUP(BT$72,INDIRECT($C$5&amp;"生成成长"),5))*(VLOOKUP($B$5,标准坦克设计!$B$24:$U$30,MATCH("对"&amp;LEFT($C$5,2)&amp;"输出",标准坦克设计!$B$23:$U$23,0)))*(VLOOKUP($B228,INDIRECT($B$5&amp;"生成成长"),3))*(VLOOKUP($B$5,标准坦克设计!$B$14:$K$20,9)/30))</f>
        <v>4.2064742103774853</v>
      </c>
      <c r="BU228" s="172">
        <f ca="1">(VLOOKUP(BU$72,INDIRECT($C$5&amp;"生成成长"),2))/((VLOOKUP($B228,INDIRECT($B$5&amp;"生成成长"),4))/(VLOOKUP(BU$72,INDIRECT($C$5&amp;"生成成长"),5))*(VLOOKUP($B$5,标准坦克设计!$B$24:$U$30,MATCH("对"&amp;LEFT($C$5,2)&amp;"输出",标准坦克设计!$B$23:$U$23,0)))*(VLOOKUP($B228,INDIRECT($B$5&amp;"生成成长"),3))*(VLOOKUP($B$5,标准坦克设计!$B$14:$K$20,9)/30))</f>
        <v>4.540195006489129</v>
      </c>
      <c r="BV228" s="172">
        <f ca="1">(VLOOKUP(BV$72,INDIRECT($C$5&amp;"生成成长"),2))/((VLOOKUP($B228,INDIRECT($B$5&amp;"生成成长"),4))/(VLOOKUP(BV$72,INDIRECT($C$5&amp;"生成成长"),5))*(VLOOKUP($B$5,标准坦克设计!$B$24:$U$30,MATCH("对"&amp;LEFT($C$5,2)&amp;"输出",标准坦克设计!$B$23:$U$23,0)))*(VLOOKUP($B228,INDIRECT($B$5&amp;"生成成长"),3))*(VLOOKUP($B$5,标准坦克设计!$B$14:$K$20,9)/30))</f>
        <v>4.8866532375668674</v>
      </c>
      <c r="BW228" s="172">
        <f ca="1">(VLOOKUP(BW$72,INDIRECT($C$5&amp;"生成成长"),2))/((VLOOKUP($B228,INDIRECT($B$5&amp;"生成成长"),4))/(VLOOKUP(BW$72,INDIRECT($C$5&amp;"生成成长"),5))*(VLOOKUP($B$5,标准坦克设计!$B$24:$U$30,MATCH("对"&amp;LEFT($C$5,2)&amp;"输出",标准坦克设计!$B$23:$U$23,0)))*(VLOOKUP($B228,INDIRECT($B$5&amp;"生成成长"),3))*(VLOOKUP($B$5,标准坦克设计!$B$14:$K$20,9)/30))</f>
        <v>2.2270768166465849</v>
      </c>
      <c r="BX228" s="172">
        <f ca="1">(VLOOKUP(BX$72,INDIRECT($C$5&amp;"生成成长"),2))/((VLOOKUP($B228,INDIRECT($B$5&amp;"生成成长"),4))/(VLOOKUP(BX$72,INDIRECT($C$5&amp;"生成成长"),5))*(VLOOKUP($B$5,标准坦克设计!$B$24:$U$30,MATCH("对"&amp;LEFT($C$5,2)&amp;"输出",标准坦克设计!$B$23:$U$23,0)))*(VLOOKUP($B228,INDIRECT($B$5&amp;"生成成长"),3))*(VLOOKUP($B$5,标准坦克设计!$B$14:$K$20,9)/30))</f>
        <v>2.4716355679955768</v>
      </c>
      <c r="BY228" s="172">
        <f ca="1">(VLOOKUP(BY$72,INDIRECT($C$5&amp;"生成成长"),2))/((VLOOKUP($B228,INDIRECT($B$5&amp;"生成成长"),4))/(VLOOKUP(BY$72,INDIRECT($C$5&amp;"生成成长"),5))*(VLOOKUP($B$5,标准坦克设计!$B$24:$U$30,MATCH("对"&amp;LEFT($C$5,2)&amp;"输出",标准坦克设计!$B$23:$U$23,0)))*(VLOOKUP($B228,INDIRECT($B$5&amp;"生成成长"),3))*(VLOOKUP($B$5,标准坦克设计!$B$14:$K$20,9)/30))</f>
        <v>2.7289317543106617</v>
      </c>
      <c r="BZ228" s="172">
        <f ca="1">(VLOOKUP(BZ$72,INDIRECT($C$5&amp;"生成成长"),2))/((VLOOKUP($B228,INDIRECT($B$5&amp;"生成成长"),4))/(VLOOKUP(BZ$72,INDIRECT($C$5&amp;"生成成长"),5))*(VLOOKUP($B$5,标准坦克设计!$B$24:$U$30,MATCH("对"&amp;LEFT($C$5,2)&amp;"输出",标准坦克设计!$B$23:$U$23,0)))*(VLOOKUP($B228,INDIRECT($B$5&amp;"生成成长"),3))*(VLOOKUP($B$5,标准坦克设计!$B$14:$K$20,9)/30))</f>
        <v>2.9989653755918395</v>
      </c>
      <c r="CA228" s="172">
        <f ca="1">(VLOOKUP(CA$72,INDIRECT($C$5&amp;"生成成长"),2))/((VLOOKUP($B228,INDIRECT($B$5&amp;"生成成长"),4))/(VLOOKUP(CA$72,INDIRECT($C$5&amp;"生成成长"),5))*(VLOOKUP($B$5,标准坦克设计!$B$24:$U$30,MATCH("对"&amp;LEFT($C$5,2)&amp;"输出",标准坦克设计!$B$23:$U$23,0)))*(VLOOKUP($B228,INDIRECT($B$5&amp;"生成成长"),3))*(VLOOKUP($B$5,标准坦克设计!$B$14:$K$20,9)/30))</f>
        <v>3.2817364318391102</v>
      </c>
      <c r="CB228" s="172">
        <f ca="1">(VLOOKUP(CB$72,INDIRECT($C$5&amp;"生成成长"),2))/((VLOOKUP($B228,INDIRECT($B$5&amp;"生成成长"),4))/(VLOOKUP(CB$72,INDIRECT($C$5&amp;"生成成长"),5))*(VLOOKUP($B$5,标准坦克设计!$B$24:$U$30,MATCH("对"&amp;LEFT($C$5,2)&amp;"输出",标准坦克设计!$B$23:$U$23,0)))*(VLOOKUP($B228,INDIRECT($B$5&amp;"生成成长"),3))*(VLOOKUP($B$5,标准坦克设计!$B$14:$K$20,9)/30))</f>
        <v>3.5772449230524757</v>
      </c>
      <c r="CC228" s="172">
        <f ca="1">(VLOOKUP(CC$72,INDIRECT($C$5&amp;"生成成长"),2))/((VLOOKUP($B228,INDIRECT($B$5&amp;"生成成长"),4))/(VLOOKUP(CC$72,INDIRECT($C$5&amp;"生成成长"),5))*(VLOOKUP($B$5,标准坦克设计!$B$24:$U$30,MATCH("对"&amp;LEFT($C$5,2)&amp;"输出",标准坦克设计!$B$23:$U$23,0)))*(VLOOKUP($B228,INDIRECT($B$5&amp;"生成成长"),3))*(VLOOKUP($B$5,标准坦克设计!$B$14:$K$20,9)/30))</f>
        <v>3.885490849231934</v>
      </c>
      <c r="CD228" s="172">
        <f ca="1">(VLOOKUP(CD$72,INDIRECT($C$5&amp;"生成成长"),2))/((VLOOKUP($B228,INDIRECT($B$5&amp;"生成成长"),4))/(VLOOKUP(CD$72,INDIRECT($C$5&amp;"生成成长"),5))*(VLOOKUP($B$5,标准坦克设计!$B$24:$U$30,MATCH("对"&amp;LEFT($C$5,2)&amp;"输出",标准坦克设计!$B$23:$U$23,0)))*(VLOOKUP($B228,INDIRECT($B$5&amp;"生成成长"),3))*(VLOOKUP($B$5,标准坦克设计!$B$14:$K$20,9)/30))</f>
        <v>4.2064742103774853</v>
      </c>
      <c r="CE228" s="172">
        <f ca="1">(VLOOKUP(CE$72,INDIRECT($C$5&amp;"生成成长"),2))/((VLOOKUP($B228,INDIRECT($B$5&amp;"生成成长"),4))/(VLOOKUP(CE$72,INDIRECT($C$5&amp;"生成成长"),5))*(VLOOKUP($B$5,标准坦克设计!$B$24:$U$30,MATCH("对"&amp;LEFT($C$5,2)&amp;"输出",标准坦克设计!$B$23:$U$23,0)))*(VLOOKUP($B228,INDIRECT($B$5&amp;"生成成长"),3))*(VLOOKUP($B$5,标准坦克设计!$B$14:$K$20,9)/30))</f>
        <v>4.540195006489129</v>
      </c>
      <c r="CF228" s="172">
        <f ca="1">(VLOOKUP(CF$72,INDIRECT($C$5&amp;"生成成长"),2))/((VLOOKUP($B228,INDIRECT($B$5&amp;"生成成长"),4))/(VLOOKUP(CF$72,INDIRECT($C$5&amp;"生成成长"),5))*(VLOOKUP($B$5,标准坦克设计!$B$24:$U$30,MATCH("对"&amp;LEFT($C$5,2)&amp;"输出",标准坦克设计!$B$23:$U$23,0)))*(VLOOKUP($B228,INDIRECT($B$5&amp;"生成成长"),3))*(VLOOKUP($B$5,标准坦克设计!$B$14:$K$20,9)/30))</f>
        <v>4.8866532375668674</v>
      </c>
      <c r="CG228" s="172">
        <f ca="1">(VLOOKUP(CG$72,INDIRECT($C$5&amp;"生成成长"),2))/((VLOOKUP($B228,INDIRECT($B$5&amp;"生成成长"),4))/(VLOOKUP(CG$72,INDIRECT($C$5&amp;"生成成长"),5))*(VLOOKUP($B$5,标准坦克设计!$B$24:$U$30,MATCH("对"&amp;LEFT($C$5,2)&amp;"输出",标准坦克设计!$B$23:$U$23,0)))*(VLOOKUP($B228,INDIRECT($B$5&amp;"生成成长"),3))*(VLOOKUP($B$5,标准坦克设计!$B$14:$K$20,9)/30))</f>
        <v>5.2458489036106988</v>
      </c>
      <c r="CH228" s="172">
        <f ca="1">(VLOOKUP(CH$72,INDIRECT($C$5&amp;"生成成长"),2))/((VLOOKUP($B228,INDIRECT($B$5&amp;"生成成长"),4))/(VLOOKUP(CH$72,INDIRECT($C$5&amp;"生成成长"),5))*(VLOOKUP($B$5,标准坦克设计!$B$24:$U$30,MATCH("对"&amp;LEFT($C$5,2)&amp;"输出",标准坦克设计!$B$23:$U$23,0)))*(VLOOKUP($B228,INDIRECT($B$5&amp;"生成成长"),3))*(VLOOKUP($B$5,标准坦克设计!$B$14:$K$20,9)/30))</f>
        <v>5.6177820046206239</v>
      </c>
      <c r="CI228" s="172">
        <f ca="1">(VLOOKUP(CI$72,INDIRECT($C$5&amp;"生成成长"),2))/((VLOOKUP($B228,INDIRECT($B$5&amp;"生成成长"),4))/(VLOOKUP(CI$72,INDIRECT($C$5&amp;"生成成长"),5))*(VLOOKUP($B$5,标准坦克设计!$B$24:$U$30,MATCH("对"&amp;LEFT($C$5,2)&amp;"输出",标准坦克设计!$B$23:$U$23,0)))*(VLOOKUP($B228,INDIRECT($B$5&amp;"生成成长"),3))*(VLOOKUP($B$5,标准坦克设计!$B$14:$K$20,9)/30))</f>
        <v>6.0416201531173792</v>
      </c>
      <c r="CJ228" s="172">
        <f ca="1">(VLOOKUP(CJ$72,INDIRECT($C$5&amp;"生成成长"),2))/((VLOOKUP($B228,INDIRECT($B$5&amp;"生成成长"),4))/(VLOOKUP(CJ$72,INDIRECT($C$5&amp;"生成成长"),5))*(VLOOKUP($B$5,标准坦克设计!$B$24:$U$30,MATCH("对"&amp;LEFT($C$5,2)&amp;"输出",标准坦克设计!$B$23:$U$23,0)))*(VLOOKUP($B228,INDIRECT($B$5&amp;"生成成长"),3))*(VLOOKUP($B$5,标准坦克设计!$B$14:$K$20,9)/30))</f>
        <v>6.480870597923106</v>
      </c>
      <c r="CK228" s="172">
        <f ca="1">(VLOOKUP(CK$72,INDIRECT($C$5&amp;"生成成长"),2))/((VLOOKUP($B228,INDIRECT($B$5&amp;"生成成长"),4))/(VLOOKUP(CK$72,INDIRECT($C$5&amp;"生成成长"),5))*(VLOOKUP($B$5,标准坦克设计!$B$24:$U$30,MATCH("对"&amp;LEFT($C$5,2)&amp;"输出",标准坦克设计!$B$23:$U$23,0)))*(VLOOKUP($B228,INDIRECT($B$5&amp;"生成成长"),3))*(VLOOKUP($B$5,标准坦克设计!$B$14:$K$20,9)/30))</f>
        <v>6.9355333390378062</v>
      </c>
      <c r="CL228" s="172">
        <f ca="1">(VLOOKUP(CL$72,INDIRECT($C$5&amp;"生成成长"),2))/((VLOOKUP($B228,INDIRECT($B$5&amp;"生成成长"),4))/(VLOOKUP(CL$72,INDIRECT($C$5&amp;"生成成长"),5))*(VLOOKUP($B$5,标准坦克设计!$B$24:$U$30,MATCH("对"&amp;LEFT($C$5,2)&amp;"输出",标准坦克设计!$B$23:$U$23,0)))*(VLOOKUP($B228,INDIRECT($B$5&amp;"生成成长"),3))*(VLOOKUP($B$5,标准坦克设计!$B$14:$K$20,9)/30))</f>
        <v>7.4056083764614815</v>
      </c>
      <c r="CM228" s="172">
        <f ca="1">(VLOOKUP(CM$72,INDIRECT($C$5&amp;"生成成长"),2))/((VLOOKUP($B228,INDIRECT($B$5&amp;"生成成长"),4))/(VLOOKUP(CM$72,INDIRECT($C$5&amp;"生成成长"),5))*(VLOOKUP($B$5,标准坦克设计!$B$24:$U$30,MATCH("对"&amp;LEFT($C$5,2)&amp;"输出",标准坦克设计!$B$23:$U$23,0)))*(VLOOKUP($B228,INDIRECT($B$5&amp;"生成成长"),3))*(VLOOKUP($B$5,标准坦克设计!$B$14:$K$20,9)/30))</f>
        <v>7.8910957101941275</v>
      </c>
      <c r="CN228" s="172">
        <f ca="1">(VLOOKUP(CN$72,INDIRECT($C$5&amp;"生成成长"),2))/((VLOOKUP($B228,INDIRECT($B$5&amp;"生成成长"),4))/(VLOOKUP(CN$72,INDIRECT($C$5&amp;"生成成长"),5))*(VLOOKUP($B$5,标准坦克设计!$B$24:$U$30,MATCH("对"&amp;LEFT($C$5,2)&amp;"输出",标准坦克设计!$B$23:$U$23,0)))*(VLOOKUP($B228,INDIRECT($B$5&amp;"生成成长"),3))*(VLOOKUP($B$5,标准坦克设计!$B$14:$K$20,9)/30))</f>
        <v>8.3919953402357468</v>
      </c>
      <c r="CO228" s="172">
        <f ca="1">(VLOOKUP(CO$72,INDIRECT($C$5&amp;"生成成长"),2))/((VLOOKUP($B228,INDIRECT($B$5&amp;"生成成长"),4))/(VLOOKUP(CO$72,INDIRECT($C$5&amp;"生成成长"),5))*(VLOOKUP($B$5,标准坦克设计!$B$24:$U$30,MATCH("对"&amp;LEFT($C$5,2)&amp;"输出",标准坦克设计!$B$23:$U$23,0)))*(VLOOKUP($B228,INDIRECT($B$5&amp;"生成成长"),3))*(VLOOKUP($B$5,标准坦克设计!$B$14:$K$20,9)/30))</f>
        <v>3.7606639865642193</v>
      </c>
      <c r="CP228" s="172">
        <f ca="1">(VLOOKUP(CP$72,INDIRECT($C$5&amp;"生成成长"),2))/((VLOOKUP($B228,INDIRECT($B$5&amp;"生成成长"),4))/(VLOOKUP(CP$72,INDIRECT($C$5&amp;"生成成长"),5))*(VLOOKUP($B$5,标准坦克设计!$B$24:$U$30,MATCH("对"&amp;LEFT($C$5,2)&amp;"输出",标准坦克设计!$B$23:$U$23,0)))*(VLOOKUP($B228,INDIRECT($B$5&amp;"生成成长"),3))*(VLOOKUP($B$5,标准坦克设计!$B$14:$K$20,9)/30))</f>
        <v>4.1088417713623802</v>
      </c>
      <c r="CQ228" s="172">
        <f ca="1">(VLOOKUP(CQ$72,INDIRECT($C$5&amp;"生成成长"),2))/((VLOOKUP($B228,INDIRECT($B$5&amp;"生成成长"),4))/(VLOOKUP(CQ$72,INDIRECT($C$5&amp;"生成成长"),5))*(VLOOKUP($B$5,标准坦克设计!$B$24:$U$30,MATCH("对"&amp;LEFT($C$5,2)&amp;"输出",标准坦克设计!$B$23:$U$23,0)))*(VLOOKUP($B228,INDIRECT($B$5&amp;"生成成长"),3))*(VLOOKUP($B$5,标准坦克设计!$B$14:$K$20,9)/30))</f>
        <v>4.472431852469513</v>
      </c>
      <c r="CR228" s="172">
        <f ca="1">(VLOOKUP(CR$72,INDIRECT($C$5&amp;"生成成长"),2))/((VLOOKUP($B228,INDIRECT($B$5&amp;"生成成长"),4))/(VLOOKUP(CR$72,INDIRECT($C$5&amp;"生成成长"),5))*(VLOOKUP($B$5,标准坦克设计!$B$24:$U$30,MATCH("对"&amp;LEFT($C$5,2)&amp;"输出",标准坦克设计!$B$23:$U$23,0)))*(VLOOKUP($B228,INDIRECT($B$5&amp;"生成成长"),3))*(VLOOKUP($B$5,标准坦克设计!$B$14:$K$20,9)/30))</f>
        <v>4.851434229885621</v>
      </c>
      <c r="CS228" s="172">
        <f ca="1">(VLOOKUP(CS$72,INDIRECT($C$5&amp;"生成成长"),2))/((VLOOKUP($B228,INDIRECT($B$5&amp;"生成成长"),4))/(VLOOKUP(CS$72,INDIRECT($C$5&amp;"生成成长"),5))*(VLOOKUP($B$5,标准坦克设计!$B$24:$U$30,MATCH("对"&amp;LEFT($C$5,2)&amp;"输出",标准坦克设计!$B$23:$U$23,0)))*(VLOOKUP($B228,INDIRECT($B$5&amp;"生成成长"),3))*(VLOOKUP($B$5,标准坦克设计!$B$14:$K$20,9)/30))</f>
        <v>5.2458489036106988</v>
      </c>
      <c r="CT228" s="172">
        <f ca="1">(VLOOKUP(CT$72,INDIRECT($C$5&amp;"生成成长"),2))/((VLOOKUP($B228,INDIRECT($B$5&amp;"生成成长"),4))/(VLOOKUP(CT$72,INDIRECT($C$5&amp;"生成成长"),5))*(VLOOKUP($B$5,标准坦克设计!$B$24:$U$30,MATCH("对"&amp;LEFT($C$5,2)&amp;"输出",标准坦克设计!$B$23:$U$23,0)))*(VLOOKUP($B228,INDIRECT($B$5&amp;"生成成长"),3))*(VLOOKUP($B$5,标准坦克设计!$B$14:$K$20,9)/30))</f>
        <v>5.6556758736447517</v>
      </c>
      <c r="CU228" s="172">
        <f ca="1">(VLOOKUP(CU$72,INDIRECT($C$5&amp;"生成成长"),2))/((VLOOKUP($B228,INDIRECT($B$5&amp;"生成成长"),4))/(VLOOKUP(CU$72,INDIRECT($C$5&amp;"生成成长"),5))*(VLOOKUP($B$5,标准坦克设计!$B$24:$U$30,MATCH("对"&amp;LEFT($C$5,2)&amp;"输出",标准坦克设计!$B$23:$U$23,0)))*(VLOOKUP($B228,INDIRECT($B$5&amp;"生成成长"),3))*(VLOOKUP($B$5,标准坦克设计!$B$14:$K$20,9)/30))</f>
        <v>6.080915139987777</v>
      </c>
      <c r="CV228" s="172">
        <f ca="1">(VLOOKUP(CV$72,INDIRECT($C$5&amp;"生成成长"),2))/((VLOOKUP($B228,INDIRECT($B$5&amp;"生成成长"),4))/(VLOOKUP(CV$72,INDIRECT($C$5&amp;"生成成长"),5))*(VLOOKUP($B$5,标准坦克设计!$B$24:$U$30,MATCH("对"&amp;LEFT($C$5,2)&amp;"输出",标准坦克设计!$B$23:$U$23,0)))*(VLOOKUP($B228,INDIRECT($B$5&amp;"生成成长"),3))*(VLOOKUP($B$5,标准坦克设计!$B$14:$K$20,9)/30))</f>
        <v>6.5215667026397748</v>
      </c>
      <c r="CW228" s="172">
        <f ca="1">(VLOOKUP(CW$72,INDIRECT($C$5&amp;"生成成长"),2))/((VLOOKUP($B228,INDIRECT($B$5&amp;"生成成长"),4))/(VLOOKUP(CW$72,INDIRECT($C$5&amp;"生成成长"),5))*(VLOOKUP($B$5,标准坦克设计!$B$24:$U$30,MATCH("对"&amp;LEFT($C$5,2)&amp;"输出",标准坦克设计!$B$23:$U$23,0)))*(VLOOKUP($B228,INDIRECT($B$5&amp;"生成成长"),3))*(VLOOKUP($B$5,标准坦克设计!$B$14:$K$20,9)/30))</f>
        <v>6.977630561600745</v>
      </c>
      <c r="CX228" s="172">
        <f ca="1">(VLOOKUP(CX$72,INDIRECT($C$5&amp;"生成成长"),2))/((VLOOKUP($B228,INDIRECT($B$5&amp;"生成成长"),4))/(VLOOKUP(CX$72,INDIRECT($C$5&amp;"生成成长"),5))*(VLOOKUP($B$5,标准坦克设计!$B$24:$U$30,MATCH("对"&amp;LEFT($C$5,2)&amp;"输出",标准坦克设计!$B$23:$U$23,0)))*(VLOOKUP($B228,INDIRECT($B$5&amp;"生成成长"),3))*(VLOOKUP($B$5,标准坦克设计!$B$14:$K$20,9)/30))</f>
        <v>7.4491067168706895</v>
      </c>
      <c r="CY228" s="172">
        <f ca="1">(VLOOKUP(CY$72,INDIRECT($C$5&amp;"生成成长"),2))/((VLOOKUP($B228,INDIRECT($B$5&amp;"生成成长"),4))/(VLOOKUP(CY$72,INDIRECT($C$5&amp;"生成成长"),5))*(VLOOKUP($B$5,标准坦克设计!$B$24:$U$30,MATCH("对"&amp;LEFT($C$5,2)&amp;"输出",标准坦克设计!$B$23:$U$23,0)))*(VLOOKUP($B228,INDIRECT($B$5&amp;"生成成长"),3))*(VLOOKUP($B$5,标准坦克设计!$B$14:$K$20,9)/30))</f>
        <v>7.9359951684496073</v>
      </c>
      <c r="CZ228" s="172">
        <f ca="1">(VLOOKUP(CZ$72,INDIRECT($C$5&amp;"生成成长"),2))/((VLOOKUP($B228,INDIRECT($B$5&amp;"生成成长"),4))/(VLOOKUP(CZ$72,INDIRECT($C$5&amp;"生成成长"),5))*(VLOOKUP($B$5,标准坦克设计!$B$24:$U$30,MATCH("对"&amp;LEFT($C$5,2)&amp;"输出",标准坦克设计!$B$23:$U$23,0)))*(VLOOKUP($B228,INDIRECT($B$5&amp;"生成成长"),3))*(VLOOKUP($B$5,标准坦克设计!$B$14:$K$20,9)/30))</f>
        <v>8.4382959163374966</v>
      </c>
      <c r="DA228" s="172">
        <f ca="1">(VLOOKUP(DA$72,INDIRECT($C$5&amp;"生成成长"),2))/((VLOOKUP($B228,INDIRECT($B$5&amp;"生成成长"),4))/(VLOOKUP(DA$72,INDIRECT($C$5&amp;"生成成长"),5))*(VLOOKUP($B$5,标准坦克设计!$B$24:$U$30,MATCH("对"&amp;LEFT($C$5,2)&amp;"输出",标准坦克设计!$B$23:$U$23,0)))*(VLOOKUP($B228,INDIRECT($B$5&amp;"生成成长"),3))*(VLOOKUP($B$5,标准坦克设计!$B$14:$K$20,9)/30))</f>
        <v>8.9560089605343585</v>
      </c>
      <c r="DB228" s="172">
        <f ca="1">(VLOOKUP(DB$72,INDIRECT($C$5&amp;"生成成长"),2))/((VLOOKUP($B228,INDIRECT($B$5&amp;"生成成长"),4))/(VLOOKUP(DB$72,INDIRECT($C$5&amp;"生成成长"),5))*(VLOOKUP($B$5,标准坦克设计!$B$24:$U$30,MATCH("对"&amp;LEFT($C$5,2)&amp;"输出",标准坦克设计!$B$23:$U$23,0)))*(VLOOKUP($B228,INDIRECT($B$5&amp;"生成成长"),3))*(VLOOKUP($B$5,标准坦克设计!$B$14:$K$20,9)/30))</f>
        <v>9.4891343010401936</v>
      </c>
      <c r="DC228" s="172">
        <f ca="1">(VLOOKUP(DC$72,INDIRECT($C$5&amp;"生成成长"),2))/((VLOOKUP($B228,INDIRECT($B$5&amp;"生成成长"),4))/(VLOOKUP(DC$72,INDIRECT($C$5&amp;"生成成长"),5))*(VLOOKUP($B$5,标准坦克设计!$B$24:$U$30,MATCH("对"&amp;LEFT($C$5,2)&amp;"输出",标准坦克设计!$B$23:$U$23,0)))*(VLOOKUP($B228,INDIRECT($B$5&amp;"生成成长"),3))*(VLOOKUP($B$5,标准坦克设计!$B$14:$K$20,9)/30))</f>
        <v>10.088303241845225</v>
      </c>
      <c r="DD228" s="172">
        <f ca="1">(VLOOKUP(DD$72,INDIRECT($C$5&amp;"生成成长"),2))/((VLOOKUP($B228,INDIRECT($B$5&amp;"生成成长"),4))/(VLOOKUP(DD$72,INDIRECT($C$5&amp;"生成成长"),5))*(VLOOKUP($B$5,标准坦克设计!$B$24:$U$30,MATCH("对"&amp;LEFT($C$5,2)&amp;"输出",标准坦克设计!$B$23:$U$23,0)))*(VLOOKUP($B228,INDIRECT($B$5&amp;"生成成长"),3))*(VLOOKUP($B$5,标准坦克设计!$B$14:$K$20,9)/30))</f>
        <v>10.705814089001427</v>
      </c>
      <c r="DE228" s="172">
        <f ca="1">(VLOOKUP(DE$72,INDIRECT($C$5&amp;"生成成长"),2))/((VLOOKUP($B228,INDIRECT($B$5&amp;"生成成长"),4))/(VLOOKUP(DE$72,INDIRECT($C$5&amp;"生成成长"),5))*(VLOOKUP($B$5,标准坦克设计!$B$24:$U$30,MATCH("对"&amp;LEFT($C$5,2)&amp;"输出",标准坦克设计!$B$23:$U$23,0)))*(VLOOKUP($B228,INDIRECT($B$5&amp;"生成成长"),3))*(VLOOKUP($B$5,标准坦克设计!$B$14:$K$20,9)/30))</f>
        <v>11.341666842508806</v>
      </c>
      <c r="DF228" s="172">
        <f ca="1">(VLOOKUP(DF$72,INDIRECT($C$5&amp;"生成成长"),2))/((VLOOKUP($B228,INDIRECT($B$5&amp;"生成成长"),4))/(VLOOKUP(DF$72,INDIRECT($C$5&amp;"生成成长"),5))*(VLOOKUP($B$5,标准坦克设计!$B$24:$U$30,MATCH("对"&amp;LEFT($C$5,2)&amp;"输出",标准坦克设计!$B$23:$U$23,0)))*(VLOOKUP($B228,INDIRECT($B$5&amp;"生成成长"),3))*(VLOOKUP($B$5,标准坦克设计!$B$14:$K$20,9)/30))</f>
        <v>11.995861502367358</v>
      </c>
      <c r="DG228" s="172">
        <f ca="1">(VLOOKUP(DG$72,INDIRECT($C$5&amp;"生成成长"),2))/((VLOOKUP($B228,INDIRECT($B$5&amp;"生成成长"),4))/(VLOOKUP(DG$72,INDIRECT($C$5&amp;"生成成长"),5))*(VLOOKUP($B$5,标准坦克设计!$B$24:$U$30,MATCH("对"&amp;LEFT($C$5,2)&amp;"输出",标准坦克设计!$B$23:$U$23,0)))*(VLOOKUP($B228,INDIRECT($B$5&amp;"生成成长"),3))*(VLOOKUP($B$5,标准坦克设计!$B$14:$K$20,9)/30))</f>
        <v>12.668398068577085</v>
      </c>
      <c r="DH228" s="172">
        <f ca="1">(VLOOKUP(DH$72,INDIRECT($C$5&amp;"生成成长"),2))/((VLOOKUP($B228,INDIRECT($B$5&amp;"生成成长"),4))/(VLOOKUP(DH$72,INDIRECT($C$5&amp;"生成成长"),5))*(VLOOKUP($B$5,标准坦克设计!$B$24:$U$30,MATCH("对"&amp;LEFT($C$5,2)&amp;"输出",标准坦克设计!$B$23:$U$23,0)))*(VLOOKUP($B228,INDIRECT($B$5&amp;"生成成长"),3))*(VLOOKUP($B$5,标准坦克设计!$B$14:$K$20,9)/30))</f>
        <v>13.359276541137985</v>
      </c>
      <c r="DI228" s="172">
        <f ca="1">(VLOOKUP(DI$72,INDIRECT($C$5&amp;"生成成长"),2))/((VLOOKUP($B228,INDIRECT($B$5&amp;"生成成长"),4))/(VLOOKUP(DI$72,INDIRECT($C$5&amp;"生成成长"),5))*(VLOOKUP($B$5,标准坦克设计!$B$24:$U$30,MATCH("对"&amp;LEFT($C$5,2)&amp;"输出",标准坦克设计!$B$23:$U$23,0)))*(VLOOKUP($B228,INDIRECT($B$5&amp;"生成成长"),3))*(VLOOKUP($B$5,标准坦克设计!$B$14:$K$20,9)/30))</f>
        <v>14.068496920050062</v>
      </c>
      <c r="DJ228" s="172">
        <f ca="1">(VLOOKUP(DJ$72,INDIRECT($C$5&amp;"生成成长"),2))/((VLOOKUP($B228,INDIRECT($B$5&amp;"生成成长"),4))/(VLOOKUP(DJ$72,INDIRECT($C$5&amp;"生成成长"),5))*(VLOOKUP($B$5,标准坦克设计!$B$24:$U$30,MATCH("对"&amp;LEFT($C$5,2)&amp;"输出",标准坦克设计!$B$23:$U$23,0)))*(VLOOKUP($B228,INDIRECT($B$5&amp;"生成成长"),3))*(VLOOKUP($B$5,标准坦克设计!$B$14:$K$20,9)/30))</f>
        <v>1.4139189684111879</v>
      </c>
      <c r="DK228" s="172">
        <f ca="1">(VLOOKUP(DK$72,INDIRECT($C$5&amp;"生成成长"),2))/((VLOOKUP($B228,INDIRECT($B$5&amp;"生成成长"),4))/(VLOOKUP(DK$72,INDIRECT($C$5&amp;"生成成长"),5))*(VLOOKUP($B$5,标准坦克设计!$B$24:$U$30,MATCH("对"&amp;LEFT($C$5,2)&amp;"输出",标准坦克设计!$B$23:$U$23,0)))*(VLOOKUP($B228,INDIRECT($B$5&amp;"生成成长"),3))*(VLOOKUP($B$5,标准坦克设计!$B$14:$K$20,9)/30))</f>
        <v>1.5898866324677672</v>
      </c>
      <c r="DL228" s="172">
        <f ca="1">(VLOOKUP(DL$72,INDIRECT($C$5&amp;"生成成长"),2))/((VLOOKUP($B228,INDIRECT($B$5&amp;"生成成长"),4))/(VLOOKUP(DL$72,INDIRECT($C$5&amp;"生成成长"),5))*(VLOOKUP($B$5,标准坦克设计!$B$24:$U$30,MATCH("对"&amp;LEFT($C$5,2)&amp;"输出",标准坦克设计!$B$23:$U$23,0)))*(VLOOKUP($B228,INDIRECT($B$5&amp;"生成成长"),3))*(VLOOKUP($B$5,标准坦克设计!$B$14:$K$20,9)/30))</f>
        <v>1.7761716188468815</v>
      </c>
      <c r="DM228" s="172">
        <f ca="1">(VLOOKUP(DM$72,INDIRECT($C$5&amp;"生成成长"),2))/((VLOOKUP($B228,INDIRECT($B$5&amp;"生成成长"),4))/(VLOOKUP(DM$72,INDIRECT($C$5&amp;"生成成长"),5))*(VLOOKUP($B$5,标准坦克设计!$B$24:$U$30,MATCH("对"&amp;LEFT($C$5,2)&amp;"输出",标准坦克设计!$B$23:$U$23,0)))*(VLOOKUP($B228,INDIRECT($B$5&amp;"生成成长"),3))*(VLOOKUP($B$5,标准坦克设计!$B$14:$K$20,9)/30))</f>
        <v>1.9727739275485319</v>
      </c>
      <c r="DN228" s="172">
        <f ca="1">(VLOOKUP(DN$72,INDIRECT($C$5&amp;"生成成长"),2))/((VLOOKUP($B228,INDIRECT($B$5&amp;"生成成长"),4))/(VLOOKUP(DN$72,INDIRECT($C$5&amp;"生成成长"),5))*(VLOOKUP($B$5,标准坦克设计!$B$24:$U$30,MATCH("对"&amp;LEFT($C$5,2)&amp;"输出",标准坦克设计!$B$23:$U$23,0)))*(VLOOKUP($B228,INDIRECT($B$5&amp;"生成成长"),3))*(VLOOKUP($B$5,标准坦克设计!$B$14:$K$20,9)/30))</f>
        <v>2.1796935585727177</v>
      </c>
      <c r="DO228" s="172">
        <f ca="1">(VLOOKUP(DO$72,INDIRECT($C$5&amp;"生成成长"),2))/((VLOOKUP($B228,INDIRECT($B$5&amp;"生成成长"),4))/(VLOOKUP(DO$72,INDIRECT($C$5&amp;"生成成长"),5))*(VLOOKUP($B$5,标准坦克设计!$B$24:$U$30,MATCH("对"&amp;LEFT($C$5,2)&amp;"输出",标准坦克设计!$B$23:$U$23,0)))*(VLOOKUP($B228,INDIRECT($B$5&amp;"生成成长"),3))*(VLOOKUP($B$5,标准坦克设计!$B$14:$K$20,9)/30))</f>
        <v>2.3969305119194391</v>
      </c>
      <c r="DP228" s="172">
        <f ca="1">(VLOOKUP(DP$72,INDIRECT($C$5&amp;"生成成长"),2))/((VLOOKUP($B228,INDIRECT($B$5&amp;"生成成长"),4))/(VLOOKUP(DP$72,INDIRECT($C$5&amp;"生成成长"),5))*(VLOOKUP($B$5,标准坦克设计!$B$24:$U$30,MATCH("对"&amp;LEFT($C$5,2)&amp;"输出",标准坦克设计!$B$23:$U$23,0)))*(VLOOKUP($B228,INDIRECT($B$5&amp;"生成成长"),3))*(VLOOKUP($B$5,标准坦克设计!$B$14:$K$20,9)/30))</f>
        <v>2.6244847875886959</v>
      </c>
      <c r="DQ228" s="172">
        <f ca="1">(VLOOKUP(DQ$72,INDIRECT($C$5&amp;"生成成长"),2))/((VLOOKUP($B228,INDIRECT($B$5&amp;"生成成长"),4))/(VLOOKUP(DQ$72,INDIRECT($C$5&amp;"生成成长"),5))*(VLOOKUP($B$5,标准坦克设计!$B$24:$U$30,MATCH("对"&amp;LEFT($C$5,2)&amp;"输出",标准坦克设计!$B$23:$U$23,0)))*(VLOOKUP($B228,INDIRECT($B$5&amp;"生成成长"),3))*(VLOOKUP($B$5,标准坦克设计!$B$14:$K$20,9)/30))</f>
        <v>2.862356385580489</v>
      </c>
      <c r="DR228" s="172">
        <f ca="1">(VLOOKUP(DR$72,INDIRECT($C$5&amp;"生成成长"),2))/((VLOOKUP($B228,INDIRECT($B$5&amp;"生成成长"),4))/(VLOOKUP(DR$72,INDIRECT($C$5&amp;"生成成长"),5))*(VLOOKUP($B$5,标准坦克设计!$B$24:$U$30,MATCH("对"&amp;LEFT($C$5,2)&amp;"输出",标准坦克设计!$B$23:$U$23,0)))*(VLOOKUP($B228,INDIRECT($B$5&amp;"生成成长"),3))*(VLOOKUP($B$5,标准坦克设计!$B$14:$K$20,9)/30))</f>
        <v>3.1105453058948167</v>
      </c>
      <c r="DS228" s="172">
        <f ca="1">(VLOOKUP(DS$72,INDIRECT($C$5&amp;"生成成长"),2))/((VLOOKUP($B228,INDIRECT($B$5&amp;"生成成长"),4))/(VLOOKUP(DS$72,INDIRECT($C$5&amp;"生成成长"),5))*(VLOOKUP($B$5,标准坦克设计!$B$24:$U$30,MATCH("对"&amp;LEFT($C$5,2)&amp;"输出",标准坦克设计!$B$23:$U$23,0)))*(VLOOKUP($B228,INDIRECT($B$5&amp;"生成成长"),3))*(VLOOKUP($B$5,标准坦克设计!$B$14:$K$20,9)/30))</f>
        <v>3.3690515485316803</v>
      </c>
      <c r="DT228" s="172">
        <f ca="1">(VLOOKUP(DT$72,INDIRECT($C$5&amp;"生成成长"),2))/((VLOOKUP($B228,INDIRECT($B$5&amp;"生成成长"),4))/(VLOOKUP(DT$72,INDIRECT($C$5&amp;"生成成长"),5))*(VLOOKUP($B$5,标准坦克设计!$B$24:$U$30,MATCH("对"&amp;LEFT($C$5,2)&amp;"输出",标准坦克设计!$B$23:$U$23,0)))*(VLOOKUP($B228,INDIRECT($B$5&amp;"生成成长"),3))*(VLOOKUP($B$5,标准坦克设计!$B$14:$K$20,9)/30))</f>
        <v>3.6990148013283277</v>
      </c>
      <c r="DU228" s="172">
        <f ca="1">(VLOOKUP(DU$72,INDIRECT($C$5&amp;"生成成长"),2))/((VLOOKUP($B228,INDIRECT($B$5&amp;"生成成长"),4))/(VLOOKUP(DU$72,INDIRECT($C$5&amp;"生成成长"),5))*(VLOOKUP($B$5,标准坦克设计!$B$24:$U$30,MATCH("对"&amp;LEFT($C$5,2)&amp;"输出",标准坦克设计!$B$23:$U$23,0)))*(VLOOKUP($B228,INDIRECT($B$5&amp;"生成成长"),3))*(VLOOKUP($B$5,标准坦克设计!$B$14:$K$20,9)/30))</f>
        <v>4.0443903504339485</v>
      </c>
      <c r="DV228" s="172">
        <f ca="1">(VLOOKUP(DV$72,INDIRECT($C$5&amp;"生成成长"),2))/((VLOOKUP($B228,INDIRECT($B$5&amp;"生成成长"),4))/(VLOOKUP(DV$72,INDIRECT($C$5&amp;"生成成长"),5))*(VLOOKUP($B$5,标准坦克设计!$B$24:$U$30,MATCH("对"&amp;LEFT($C$5,2)&amp;"输出",标准坦克设计!$B$23:$U$23,0)))*(VLOOKUP($B228,INDIRECT($B$5&amp;"生成成长"),3))*(VLOOKUP($B$5,标准坦克设计!$B$14:$K$20,9)/30))</f>
        <v>4.4051781958485403</v>
      </c>
      <c r="DW228" s="172">
        <f ca="1">(VLOOKUP(DW$72,INDIRECT($C$5&amp;"生成成长"),2))/((VLOOKUP($B228,INDIRECT($B$5&amp;"生成成长"),4))/(VLOOKUP(DW$72,INDIRECT($C$5&amp;"生成成长"),5))*(VLOOKUP($B$5,标准坦克设计!$B$24:$U$30,MATCH("对"&amp;LEFT($C$5,2)&amp;"输出",标准坦克设计!$B$23:$U$23,0)))*(VLOOKUP($B228,INDIRECT($B$5&amp;"生成成长"),3))*(VLOOKUP($B$5,标准坦克设计!$B$14:$K$20,9)/30))</f>
        <v>4.7813783375721064</v>
      </c>
      <c r="DX228" s="172">
        <f ca="1">(VLOOKUP(DX$72,INDIRECT($C$5&amp;"生成成长"),2))/((VLOOKUP($B228,INDIRECT($B$5&amp;"生成成长"),4))/(VLOOKUP(DX$72,INDIRECT($C$5&amp;"生成成长"),5))*(VLOOKUP($B$5,标准坦克设计!$B$24:$U$30,MATCH("对"&amp;LEFT($C$5,2)&amp;"输出",标准坦克设计!$B$23:$U$23,0)))*(VLOOKUP($B228,INDIRECT($B$5&amp;"生成成长"),3))*(VLOOKUP($B$5,标准坦克设计!$B$14:$K$20,9)/30))</f>
        <v>5.1729907756046458</v>
      </c>
      <c r="DY228" s="172">
        <f ca="1">(VLOOKUP(DY$72,INDIRECT($C$5&amp;"生成成长"),2))/((VLOOKUP($B228,INDIRECT($B$5&amp;"生成成长"),4))/(VLOOKUP(DY$72,INDIRECT($C$5&amp;"生成成长"),5))*(VLOOKUP($B$5,标准坦克设计!$B$24:$U$30,MATCH("对"&amp;LEFT($C$5,2)&amp;"输出",标准坦克设计!$B$23:$U$23,0)))*(VLOOKUP($B228,INDIRECT($B$5&amp;"生成成长"),3))*(VLOOKUP($B$5,标准坦克设计!$B$14:$K$20,9)/30))</f>
        <v>2.3233718249902502</v>
      </c>
      <c r="DZ228" s="172">
        <f ca="1">(VLOOKUP(DZ$72,INDIRECT($C$5&amp;"生成成长"),2))/((VLOOKUP($B228,INDIRECT($B$5&amp;"生成成长"),4))/(VLOOKUP(DZ$72,INDIRECT($C$5&amp;"生成成长"),5))*(VLOOKUP($B$5,标准坦克设计!$B$24:$U$30,MATCH("对"&amp;LEFT($C$5,2)&amp;"输出",标准坦克设计!$B$23:$U$23,0)))*(VLOOKUP($B228,INDIRECT($B$5&amp;"生成成长"),3))*(VLOOKUP($B$5,标准坦克设计!$B$14:$K$20,9)/30))</f>
        <v>2.5730255503256791</v>
      </c>
      <c r="EA228" s="172">
        <f ca="1">(VLOOKUP(EA$72,INDIRECT($C$5&amp;"生成成长"),2))/((VLOOKUP($B228,INDIRECT($B$5&amp;"生成成长"),4))/(VLOOKUP(EA$72,INDIRECT($C$5&amp;"生成成长"),5))*(VLOOKUP($B$5,标准坦克设计!$B$24:$U$30,MATCH("对"&amp;LEFT($C$5,2)&amp;"输出",标准坦克设计!$B$23:$U$23,0)))*(VLOOKUP($B228,INDIRECT($B$5&amp;"生成成长"),3))*(VLOOKUP($B$5,标准坦克设计!$B$14:$K$20,9)/30))</f>
        <v>2.8354167106272015</v>
      </c>
      <c r="EB228" s="172">
        <f ca="1">(VLOOKUP(EB$72,INDIRECT($C$5&amp;"生成成长"),2))/((VLOOKUP($B228,INDIRECT($B$5&amp;"生成成长"),4))/(VLOOKUP(EB$72,INDIRECT($C$5&amp;"生成成长"),5))*(VLOOKUP($B$5,标准坦克设计!$B$24:$U$30,MATCH("对"&amp;LEFT($C$5,2)&amp;"输出",标准坦克设计!$B$23:$U$23,0)))*(VLOOKUP($B228,INDIRECT($B$5&amp;"生成成长"),3))*(VLOOKUP($B$5,标准坦克设计!$B$14:$K$20,9)/30))</f>
        <v>3.1105453058948167</v>
      </c>
      <c r="EC228" s="172">
        <f ca="1">(VLOOKUP(EC$72,INDIRECT($C$5&amp;"生成成长"),2))/((VLOOKUP($B228,INDIRECT($B$5&amp;"生成成长"),4))/(VLOOKUP(EC$72,INDIRECT($C$5&amp;"生成成长"),5))*(VLOOKUP($B$5,标准坦克设计!$B$24:$U$30,MATCH("对"&amp;LEFT($C$5,2)&amp;"输出",标准坦克设计!$B$23:$U$23,0)))*(VLOOKUP($B228,INDIRECT($B$5&amp;"生成成长"),3))*(VLOOKUP($B$5,标准坦克设计!$B$14:$K$20,9)/30))</f>
        <v>3.3984113361285253</v>
      </c>
      <c r="ED228" s="172">
        <f ca="1">(VLOOKUP(ED$72,INDIRECT($C$5&amp;"生成成长"),2))/((VLOOKUP($B228,INDIRECT($B$5&amp;"生成成长"),4))/(VLOOKUP(ED$72,INDIRECT($C$5&amp;"生成成长"),5))*(VLOOKUP($B$5,标准坦克设计!$B$24:$U$30,MATCH("对"&amp;LEFT($C$5,2)&amp;"输出",标准坦克设计!$B$23:$U$23,0)))*(VLOOKUP($B228,INDIRECT($B$5&amp;"生成成长"),3))*(VLOOKUP($B$5,标准坦克设计!$B$14:$K$20,9)/30))</f>
        <v>3.6990148013283277</v>
      </c>
      <c r="EE228" s="172">
        <f ca="1">(VLOOKUP(EE$72,INDIRECT($C$5&amp;"生成成长"),2))/((VLOOKUP($B228,INDIRECT($B$5&amp;"生成成长"),4))/(VLOOKUP(EE$72,INDIRECT($C$5&amp;"生成成长"),5))*(VLOOKUP($B$5,标准坦克设计!$B$24:$U$30,MATCH("对"&amp;LEFT($C$5,2)&amp;"输出",标准坦克设计!$B$23:$U$23,0)))*(VLOOKUP($B228,INDIRECT($B$5&amp;"生成成长"),3))*(VLOOKUP($B$5,标准坦克设计!$B$14:$K$20,9)/30))</f>
        <v>4.012355701494223</v>
      </c>
      <c r="EF228" s="172">
        <f ca="1">(VLOOKUP(EF$72,INDIRECT($C$5&amp;"生成成长"),2))/((VLOOKUP($B228,INDIRECT($B$5&amp;"生成成长"),4))/(VLOOKUP(EF$72,INDIRECT($C$5&amp;"生成成长"),5))*(VLOOKUP($B$5,标准坦克设计!$B$24:$U$30,MATCH("对"&amp;LEFT($C$5,2)&amp;"输出",标准坦克设计!$B$23:$U$23,0)))*(VLOOKUP($B228,INDIRECT($B$5&amp;"生成成长"),3))*(VLOOKUP($B$5,标准坦克设计!$B$14:$K$20,9)/30))</f>
        <v>4.3384340366262117</v>
      </c>
      <c r="EG228" s="172">
        <f ca="1">(VLOOKUP(EG$72,INDIRECT($C$5&amp;"生成成长"),2))/((VLOOKUP($B228,INDIRECT($B$5&amp;"生成成长"),4))/(VLOOKUP(EG$72,INDIRECT($C$5&amp;"生成成长"),5))*(VLOOKUP($B$5,标准坦克设计!$B$24:$U$30,MATCH("对"&amp;LEFT($C$5,2)&amp;"输出",标准坦克设计!$B$23:$U$23,0)))*(VLOOKUP($B228,INDIRECT($B$5&amp;"生成成长"),3))*(VLOOKUP($B$5,标准坦克设计!$B$14:$K$20,9)/30))</f>
        <v>4.6772498067242942</v>
      </c>
      <c r="EH228" s="172">
        <f ca="1">(VLOOKUP(EH$72,INDIRECT($C$5&amp;"生成成长"),2))/((VLOOKUP($B228,INDIRECT($B$5&amp;"生成成长"),4))/(VLOOKUP(EH$72,INDIRECT($C$5&amp;"生成成长"),5))*(VLOOKUP($B$5,标准坦克设计!$B$24:$U$30,MATCH("对"&amp;LEFT($C$5,2)&amp;"输出",标准坦克设计!$B$23:$U$23,0)))*(VLOOKUP($B228,INDIRECT($B$5&amp;"生成成长"),3))*(VLOOKUP($B$5,标准坦克设计!$B$14:$K$20,9)/30))</f>
        <v>5.0288030117884688</v>
      </c>
      <c r="EI228" s="172">
        <f ca="1">(VLOOKUP(EI$72,INDIRECT($C$5&amp;"生成成长"),2))/((VLOOKUP($B228,INDIRECT($B$5&amp;"生成成长"),4))/(VLOOKUP(EI$72,INDIRECT($C$5&amp;"生成成长"),5))*(VLOOKUP($B$5,标准坦克设计!$B$24:$U$30,MATCH("对"&amp;LEFT($C$5,2)&amp;"输出",标准坦克设计!$B$23:$U$23,0)))*(VLOOKUP($B228,INDIRECT($B$5&amp;"生成成长"),3))*(VLOOKUP($B$5,标准坦克设计!$B$14:$K$20,9)/30))</f>
        <v>5.393093651818738</v>
      </c>
      <c r="EJ228" s="172">
        <f ca="1">(VLOOKUP(EJ$72,INDIRECT($C$5&amp;"生成成长"),2))/((VLOOKUP($B228,INDIRECT($B$5&amp;"生成成长"),4))/(VLOOKUP(EJ$72,INDIRECT($C$5&amp;"生成成长"),5))*(VLOOKUP($B$5,标准坦克设计!$B$24:$U$30,MATCH("对"&amp;LEFT($C$5,2)&amp;"输出",标准坦克设计!$B$23:$U$23,0)))*(VLOOKUP($B228,INDIRECT($B$5&amp;"生成成长"),3))*(VLOOKUP($B$5,标准坦克设计!$B$14:$K$20,9)/30))</f>
        <v>5.7701217268151002</v>
      </c>
      <c r="EK228" s="172">
        <f ca="1">(VLOOKUP(EK$72,INDIRECT($C$5&amp;"生成成长"),2))/((VLOOKUP($B228,INDIRECT($B$5&amp;"生成成长"),4))/(VLOOKUP(EK$72,INDIRECT($C$5&amp;"生成成长"),5))*(VLOOKUP($B$5,标准坦克设计!$B$24:$U$30,MATCH("对"&amp;LEFT($C$5,2)&amp;"输出",标准坦克设计!$B$23:$U$23,0)))*(VLOOKUP($B228,INDIRECT($B$5&amp;"生成成长"),3))*(VLOOKUP($B$5,标准坦克设计!$B$14:$K$20,9)/30))</f>
        <v>6.2393688309659767</v>
      </c>
      <c r="EL228" s="172">
        <f ca="1">(VLOOKUP(EL$72,INDIRECT($C$5&amp;"生成成长"),2))/((VLOOKUP($B228,INDIRECT($B$5&amp;"生成成长"),4))/(VLOOKUP(EL$72,INDIRECT($C$5&amp;"生成成长"),5))*(VLOOKUP($B$5,标准坦克设计!$B$24:$U$30,MATCH("对"&amp;LEFT($C$5,2)&amp;"输出",标准坦克设计!$B$23:$U$23,0)))*(VLOOKUP($B228,INDIRECT($B$5&amp;"生成成长"),3))*(VLOOKUP($B$5,标准坦克设计!$B$14:$K$20,9)/30))</f>
        <v>6.7269578414680282</v>
      </c>
      <c r="EM228" s="172">
        <f ca="1">(VLOOKUP(EM$72,INDIRECT($C$5&amp;"生成成长"),2))/((VLOOKUP($B228,INDIRECT($B$5&amp;"生成成长"),4))/(VLOOKUP(EM$72,INDIRECT($C$5&amp;"生成成长"),5))*(VLOOKUP($B$5,标准坦克设计!$B$24:$U$30,MATCH("对"&amp;LEFT($C$5,2)&amp;"输出",标准坦克设计!$B$23:$U$23,0)))*(VLOOKUP($B228,INDIRECT($B$5&amp;"生成成长"),3))*(VLOOKUP($B$5,标准坦克设计!$B$14:$K$20,9)/30))</f>
        <v>7.2328887583212556</v>
      </c>
      <c r="EN228" s="172">
        <f ca="1">(VLOOKUP(EN$72,INDIRECT($C$5&amp;"生成成长"),2))/((VLOOKUP($B228,INDIRECT($B$5&amp;"生成成长"),4))/(VLOOKUP(EN$72,INDIRECT($C$5&amp;"生成成长"),5))*(VLOOKUP($B$5,标准坦克设计!$B$24:$U$30,MATCH("对"&amp;LEFT($C$5,2)&amp;"输出",标准坦克设计!$B$23:$U$23,0)))*(VLOOKUP($B228,INDIRECT($B$5&amp;"生成成长"),3))*(VLOOKUP($B$5,标准坦克设计!$B$14:$K$20,9)/30))</f>
        <v>7.7571615815256569</v>
      </c>
      <c r="EO228" s="172">
        <f ca="1">(VLOOKUP(EO$72,INDIRECT($C$5&amp;"生成成长"),2))/((VLOOKUP($B228,INDIRECT($B$5&amp;"生成成长"),4))/(VLOOKUP(EO$72,INDIRECT($C$5&amp;"生成成长"),5))*(VLOOKUP($B$5,标准坦克设计!$B$24:$U$30,MATCH("对"&amp;LEFT($C$5,2)&amp;"输出",标准坦克设计!$B$23:$U$23,0)))*(VLOOKUP($B228,INDIRECT($B$5&amp;"生成成长"),3))*(VLOOKUP($B$5,标准坦克设计!$B$14:$K$20,9)/30))</f>
        <v>8.2997763110812297</v>
      </c>
      <c r="EP228" s="172">
        <f ca="1">(VLOOKUP(EP$72,INDIRECT($C$5&amp;"生成成长"),2))/((VLOOKUP($B228,INDIRECT($B$5&amp;"生成成长"),4))/(VLOOKUP(EP$72,INDIRECT($C$5&amp;"生成成长"),5))*(VLOOKUP($B$5,标准坦克设计!$B$24:$U$30,MATCH("对"&amp;LEFT($C$5,2)&amp;"输出",标准坦克设计!$B$23:$U$23,0)))*(VLOOKUP($B228,INDIRECT($B$5&amp;"生成成长"),3))*(VLOOKUP($B$5,标准坦克设计!$B$14:$K$20,9)/30))</f>
        <v>8.8607329469879801</v>
      </c>
      <c r="EQ228" s="172">
        <f ca="1">(VLOOKUP(EQ$72,INDIRECT($C$5&amp;"生成成长"),2))/((VLOOKUP($B228,INDIRECT($B$5&amp;"生成成长"),4))/(VLOOKUP(EQ$72,INDIRECT($C$5&amp;"生成成长"),5))*(VLOOKUP($B$5,标准坦克设计!$B$24:$U$30,MATCH("对"&amp;LEFT($C$5,2)&amp;"输出",标准坦克设计!$B$23:$U$23,0)))*(VLOOKUP($B228,INDIRECT($B$5&amp;"生成成长"),3))*(VLOOKUP($B$5,标准坦克设计!$B$14:$K$20,9)/30))</f>
        <v>3.9170160007730153</v>
      </c>
      <c r="ER228" s="172">
        <f ca="1">(VLOOKUP(ER$72,INDIRECT($C$5&amp;"生成成长"),2))/((VLOOKUP($B228,INDIRECT($B$5&amp;"生成成长"),4))/(VLOOKUP(ER$72,INDIRECT($C$5&amp;"生成成长"),5))*(VLOOKUP($B$5,标准坦克设计!$B$24:$U$30,MATCH("对"&amp;LEFT($C$5,2)&amp;"输出",标准坦克设计!$B$23:$U$23,0)))*(VLOOKUP($B228,INDIRECT($B$5&amp;"生成成长"),3))*(VLOOKUP($B$5,标准坦克设计!$B$14:$K$20,9)/30))</f>
        <v>4.2721993748025264</v>
      </c>
      <c r="ES228" s="172">
        <f ca="1">(VLOOKUP(ES$72,INDIRECT($C$5&amp;"生成成长"),2))/((VLOOKUP($B228,INDIRECT($B$5&amp;"生成成长"),4))/(VLOOKUP(ES$72,INDIRECT($C$5&amp;"生成成长"),5))*(VLOOKUP($B$5,标准坦克设计!$B$24:$U$30,MATCH("对"&amp;LEFT($C$5,2)&amp;"输出",标准坦克设计!$B$23:$U$23,0)))*(VLOOKUP($B228,INDIRECT($B$5&amp;"生成成长"),3))*(VLOOKUP($B$5,标准坦克设计!$B$14:$K$20,9)/30))</f>
        <v>4.6427950451410123</v>
      </c>
      <c r="ET228" s="172">
        <f ca="1">(VLOOKUP(ET$72,INDIRECT($C$5&amp;"生成成长"),2))/((VLOOKUP($B228,INDIRECT($B$5&amp;"生成成长"),4))/(VLOOKUP(ET$72,INDIRECT($C$5&amp;"生成成长"),5))*(VLOOKUP($B$5,标准坦克设计!$B$24:$U$30,MATCH("对"&amp;LEFT($C$5,2)&amp;"输出",标准坦克设计!$B$23:$U$23,0)))*(VLOOKUP($B228,INDIRECT($B$5&amp;"生成成长"),3))*(VLOOKUP($B$5,标准坦克设计!$B$14:$K$20,9)/30))</f>
        <v>5.0288030117884688</v>
      </c>
      <c r="EU228" s="172">
        <f ca="1">(VLOOKUP(EU$72,INDIRECT($C$5&amp;"生成成长"),2))/((VLOOKUP($B228,INDIRECT($B$5&amp;"生成成长"),4))/(VLOOKUP(EU$72,INDIRECT($C$5&amp;"生成成长"),5))*(VLOOKUP($B$5,标准坦克设计!$B$24:$U$30,MATCH("对"&amp;LEFT($C$5,2)&amp;"输出",标准坦克设计!$B$23:$U$23,0)))*(VLOOKUP($B228,INDIRECT($B$5&amp;"生成成长"),3))*(VLOOKUP($B$5,标准坦克设计!$B$14:$K$20,9)/30))</f>
        <v>5.4302232747448995</v>
      </c>
      <c r="EV228" s="172">
        <f ca="1">(VLOOKUP(EV$72,INDIRECT($C$5&amp;"生成成长"),2))/((VLOOKUP($B228,INDIRECT($B$5&amp;"生成成长"),4))/(VLOOKUP(EV$72,INDIRECT($C$5&amp;"生成成长"),5))*(VLOOKUP($B$5,标准坦克设计!$B$24:$U$30,MATCH("对"&amp;LEFT($C$5,2)&amp;"输出",标准坦克设计!$B$23:$U$23,0)))*(VLOOKUP($B228,INDIRECT($B$5&amp;"生成成长"),3))*(VLOOKUP($B$5,标准坦克设计!$B$14:$K$20,9)/30))</f>
        <v>5.8470558340103036</v>
      </c>
      <c r="EW228" s="172">
        <f ca="1">(VLOOKUP(EW$72,INDIRECT($C$5&amp;"生成成长"),2))/((VLOOKUP($B228,INDIRECT($B$5&amp;"生成成长"),4))/(VLOOKUP(EW$72,INDIRECT($C$5&amp;"生成成长"),5))*(VLOOKUP($B$5,标准坦克设计!$B$24:$U$30,MATCH("对"&amp;LEFT($C$5,2)&amp;"输出",标准坦克设计!$B$23:$U$23,0)))*(VLOOKUP($B228,INDIRECT($B$5&amp;"生成成长"),3))*(VLOOKUP($B$5,标准坦克设计!$B$14:$K$20,9)/30))</f>
        <v>6.2793006895846792</v>
      </c>
      <c r="EX228" s="172">
        <f ca="1">(VLOOKUP(EX$72,INDIRECT($C$5&amp;"生成成长"),2))/((VLOOKUP($B228,INDIRECT($B$5&amp;"生成成长"),4))/(VLOOKUP(EX$72,INDIRECT($C$5&amp;"生成成长"),5))*(VLOOKUP($B$5,标准坦克设计!$B$24:$U$30,MATCH("对"&amp;LEFT($C$5,2)&amp;"输出",标准坦克设计!$B$23:$U$23,0)))*(VLOOKUP($B228,INDIRECT($B$5&amp;"生成成长"),3))*(VLOOKUP($B$5,标准坦克设计!$B$14:$K$20,9)/30))</f>
        <v>6.7269578414680282</v>
      </c>
      <c r="EY228" s="172">
        <f ca="1">(VLOOKUP(EY$72,INDIRECT($C$5&amp;"生成成长"),2))/((VLOOKUP($B228,INDIRECT($B$5&amp;"生成成长"),4))/(VLOOKUP(EY$72,INDIRECT($C$5&amp;"生成成长"),5))*(VLOOKUP($B$5,标准坦克设计!$B$24:$U$30,MATCH("对"&amp;LEFT($C$5,2)&amp;"输出",标准坦克设计!$B$23:$U$23,0)))*(VLOOKUP($B228,INDIRECT($B$5&amp;"生成成长"),3))*(VLOOKUP($B$5,标准坦克设计!$B$14:$K$20,9)/30))</f>
        <v>7.1900272896603514</v>
      </c>
      <c r="EZ228" s="172">
        <f ca="1">(VLOOKUP(EZ$72,INDIRECT($C$5&amp;"生成成长"),2))/((VLOOKUP($B228,INDIRECT($B$5&amp;"生成成长"),4))/(VLOOKUP(EZ$72,INDIRECT($C$5&amp;"生成成长"),5))*(VLOOKUP($B$5,标准坦克设计!$B$24:$U$30,MATCH("对"&amp;LEFT($C$5,2)&amp;"输出",标准坦克设计!$B$23:$U$23,0)))*(VLOOKUP($B228,INDIRECT($B$5&amp;"生成成长"),3))*(VLOOKUP($B$5,标准坦克设计!$B$14:$K$20,9)/30))</f>
        <v>7.6685090341616471</v>
      </c>
      <c r="FA228" s="172">
        <f ca="1">(VLOOKUP(FA$72,INDIRECT($C$5&amp;"生成成长"),2))/((VLOOKUP($B228,INDIRECT($B$5&amp;"生成成长"),4))/(VLOOKUP(FA$72,INDIRECT($C$5&amp;"生成成长"),5))*(VLOOKUP($B$5,标准坦克设计!$B$24:$U$30,MATCH("对"&amp;LEFT($C$5,2)&amp;"输出",标准坦克设计!$B$23:$U$23,0)))*(VLOOKUP($B228,INDIRECT($B$5&amp;"生成成长"),3))*(VLOOKUP($B$5,标准坦克设计!$B$14:$K$20,9)/30))</f>
        <v>8.1624030749719143</v>
      </c>
      <c r="FB228" s="172">
        <f ca="1">(VLOOKUP(FB$72,INDIRECT($C$5&amp;"生成成长"),2))/((VLOOKUP($B228,INDIRECT($B$5&amp;"生成成长"),4))/(VLOOKUP(FB$72,INDIRECT($C$5&amp;"生成成长"),5))*(VLOOKUP($B$5,标准坦克设计!$B$24:$U$30,MATCH("对"&amp;LEFT($C$5,2)&amp;"输出",标准坦克设计!$B$23:$U$23,0)))*(VLOOKUP($B228,INDIRECT($B$5&amp;"生成成长"),3))*(VLOOKUP($B$5,标准坦克设计!$B$14:$K$20,9)/30))</f>
        <v>8.6717094120911558</v>
      </c>
      <c r="FC228" s="172">
        <f ca="1">(VLOOKUP(FC$72,INDIRECT($C$5&amp;"生成成长"),2))/((VLOOKUP($B228,INDIRECT($B$5&amp;"生成成长"),4))/(VLOOKUP(FC$72,INDIRECT($C$5&amp;"生成成长"),5))*(VLOOKUP($B$5,标准坦克设计!$B$24:$U$30,MATCH("对"&amp;LEFT($C$5,2)&amp;"输出",标准坦克设计!$B$23:$U$23,0)))*(VLOOKUP($B228,INDIRECT($B$5&amp;"生成成长"),3))*(VLOOKUP($B$5,标准坦克设计!$B$14:$K$20,9)/30))</f>
        <v>9.1964280455193688</v>
      </c>
      <c r="FD228" s="172">
        <f ca="1">(VLOOKUP(FD$72,INDIRECT($C$5&amp;"生成成长"),2))/((VLOOKUP($B228,INDIRECT($B$5&amp;"生成成长"),4))/(VLOOKUP(FD$72,INDIRECT($C$5&amp;"生成成长"),5))*(VLOOKUP($B$5,标准坦克设计!$B$24:$U$30,MATCH("对"&amp;LEFT($C$5,2)&amp;"输出",标准坦克设计!$B$23:$U$23,0)))*(VLOOKUP($B228,INDIRECT($B$5&amp;"生成成长"),3))*(VLOOKUP($B$5,标准坦克设计!$B$14:$K$20,9)/30))</f>
        <v>9.7365589752565551</v>
      </c>
      <c r="FE228" s="172">
        <f ca="1">(VLOOKUP(FE$72,INDIRECT($C$5&amp;"生成成长"),2))/((VLOOKUP($B228,INDIRECT($B$5&amp;"生成成长"),4))/(VLOOKUP(FE$72,INDIRECT($C$5&amp;"生成成长"),5))*(VLOOKUP($B$5,标准坦克设计!$B$24:$U$30,MATCH("对"&amp;LEFT($C$5,2)&amp;"输出",标准坦克设计!$B$23:$U$23,0)))*(VLOOKUP($B228,INDIRECT($B$5&amp;"生成成长"),3))*(VLOOKUP($B$5,标准坦克设计!$B$14:$K$20,9)/30))</f>
        <v>10.394765927129429</v>
      </c>
      <c r="FF228" s="172">
        <f ca="1">(VLOOKUP(FF$72,INDIRECT($C$5&amp;"生成成长"),2))/((VLOOKUP($B228,INDIRECT($B$5&amp;"生成成长"),4))/(VLOOKUP(FF$72,INDIRECT($C$5&amp;"生成成长"),5))*(VLOOKUP($B$5,标准坦克设计!$B$24:$U$30,MATCH("对"&amp;LEFT($C$5,2)&amp;"输出",标准坦克设计!$B$23:$U$23,0)))*(VLOOKUP($B228,INDIRECT($B$5&amp;"生成成长"),3))*(VLOOKUP($B$5,标准坦克设计!$B$14:$K$20,9)/30))</f>
        <v>11.074499144094998</v>
      </c>
      <c r="FG228" s="172">
        <f ca="1">(VLOOKUP(FG$72,INDIRECT($C$5&amp;"生成成长"),2))/((VLOOKUP($B228,INDIRECT($B$5&amp;"生成成长"),4))/(VLOOKUP(FG$72,INDIRECT($C$5&amp;"生成成长"),5))*(VLOOKUP($B$5,标准坦克设计!$B$24:$U$30,MATCH("对"&amp;LEFT($C$5,2)&amp;"输出",标准坦克设计!$B$23:$U$23,0)))*(VLOOKUP($B228,INDIRECT($B$5&amp;"生成成长"),3))*(VLOOKUP($B$5,标准坦克设计!$B$14:$K$20,9)/30))</f>
        <v>11.775758626153264</v>
      </c>
      <c r="FH228" s="172">
        <f ca="1">(VLOOKUP(FH$72,INDIRECT($C$5&amp;"生成成长"),2))/((VLOOKUP($B228,INDIRECT($B$5&amp;"生成成长"),4))/(VLOOKUP(FH$72,INDIRECT($C$5&amp;"生成成长"),5))*(VLOOKUP($B$5,标准坦克设计!$B$24:$U$30,MATCH("对"&amp;LEFT($C$5,2)&amp;"输出",标准坦克设计!$B$23:$U$23,0)))*(VLOOKUP($B228,INDIRECT($B$5&amp;"生成成长"),3))*(VLOOKUP($B$5,标准坦克设计!$B$14:$K$20,9)/30))</f>
        <v>12.498544373304227</v>
      </c>
      <c r="FI228" s="172">
        <f ca="1">(VLOOKUP(FI$72,INDIRECT($C$5&amp;"生成成长"),2))/((VLOOKUP($B228,INDIRECT($B$5&amp;"生成成长"),4))/(VLOOKUP(FI$72,INDIRECT($C$5&amp;"生成成长"),5))*(VLOOKUP($B$5,标准坦克设计!$B$24:$U$30,MATCH("对"&amp;LEFT($C$5,2)&amp;"输出",标准坦克设计!$B$23:$U$23,0)))*(VLOOKUP($B228,INDIRECT($B$5&amp;"生成成长"),3))*(VLOOKUP($B$5,标准坦克设计!$B$14:$K$20,9)/30))</f>
        <v>13.242856385547892</v>
      </c>
      <c r="FJ228" s="172">
        <f ca="1">(VLOOKUP(FJ$72,INDIRECT($C$5&amp;"生成成长"),2))/((VLOOKUP($B228,INDIRECT($B$5&amp;"生成成长"),4))/(VLOOKUP(FJ$72,INDIRECT($C$5&amp;"生成成长"),5))*(VLOOKUP($B$5,标准坦克设计!$B$24:$U$30,MATCH("对"&amp;LEFT($C$5,2)&amp;"输出",标准坦克设计!$B$23:$U$23,0)))*(VLOOKUP($B228,INDIRECT($B$5&amp;"生成成长"),3))*(VLOOKUP($B$5,标准坦克设计!$B$14:$K$20,9)/30))</f>
        <v>14.008694662884254</v>
      </c>
      <c r="FK228" s="172">
        <f ca="1">(VLOOKUP(FK$72,INDIRECT($C$5&amp;"生成成长"),2))/((VLOOKUP($B228,INDIRECT($B$5&amp;"生成成长"),4))/(VLOOKUP(FK$72,INDIRECT($C$5&amp;"生成成长"),5))*(VLOOKUP($B$5,标准坦克设计!$B$24:$U$30,MATCH("对"&amp;LEFT($C$5,2)&amp;"输出",标准坦克设计!$B$23:$U$23,0)))*(VLOOKUP($B228,INDIRECT($B$5&amp;"生成成长"),3))*(VLOOKUP($B$5,标准坦克设计!$B$14:$K$20,9)/30))</f>
        <v>14.796059205313311</v>
      </c>
    </row>
    <row r="229" spans="1:167" x14ac:dyDescent="0.15">
      <c r="A229" s="170" t="str">
        <f t="shared" si="13"/>
        <v>T5高品质13级</v>
      </c>
      <c r="B229" s="171">
        <v>30513</v>
      </c>
      <c r="C229" s="172">
        <f ca="1">(VLOOKUP(C$72,INDIRECT($C$5&amp;"生成成长"),2))/((VLOOKUP($B229,INDIRECT($B$5&amp;"生成成长"),4))/(VLOOKUP(C$72,INDIRECT($C$5&amp;"生成成长"),5))*(VLOOKUP($B$5,标准坦克设计!$B$24:$U$30,MATCH("对"&amp;LEFT($C$5,2)&amp;"输出",标准坦克设计!$B$23:$U$23,0)))*(VLOOKUP($B229,INDIRECT($B$5&amp;"生成成长"),3))*(VLOOKUP($B$5,标准坦克设计!$B$14:$K$20,9)/30))</f>
        <v>0.59975212048767146</v>
      </c>
      <c r="D229" s="172">
        <f ca="1">(VLOOKUP(D$72,INDIRECT($C$5&amp;"生成成长"),2))/((VLOOKUP($B229,INDIRECT($B$5&amp;"生成成长"),4))/(VLOOKUP(D$72,INDIRECT($C$5&amp;"生成成长"),5))*(VLOOKUP($B$5,标准坦克设计!$B$24:$U$30,MATCH("对"&amp;LEFT($C$5,2)&amp;"输出",标准坦克设计!$B$23:$U$23,0)))*(VLOOKUP($B229,INDIRECT($B$5&amp;"生成成长"),3))*(VLOOKUP($B$5,标准坦克设计!$B$14:$K$20,9)/30))</f>
        <v>0.67388148257994784</v>
      </c>
      <c r="E229" s="172">
        <f ca="1">(VLOOKUP(E$72,INDIRECT($C$5&amp;"生成成长"),2))/((VLOOKUP($B229,INDIRECT($B$5&amp;"生成成长"),4))/(VLOOKUP(E$72,INDIRECT($C$5&amp;"生成成长"),5))*(VLOOKUP($B$5,标准坦克设计!$B$24:$U$30,MATCH("对"&amp;LEFT($C$5,2)&amp;"输出",标准坦克设计!$B$23:$U$23,0)))*(VLOOKUP($B229,INDIRECT($B$5&amp;"生成成长"),3))*(VLOOKUP($B$5,标准坦克设计!$B$14:$K$20,9)/30))</f>
        <v>0.75232905993973509</v>
      </c>
      <c r="F229" s="172">
        <f ca="1">(VLOOKUP(F$72,INDIRECT($C$5&amp;"生成成长"),2))/((VLOOKUP($B229,INDIRECT($B$5&amp;"生成成长"),4))/(VLOOKUP(F$72,INDIRECT($C$5&amp;"生成成长"),5))*(VLOOKUP($B$5,标准坦克设计!$B$24:$U$30,MATCH("对"&amp;LEFT($C$5,2)&amp;"输出",标准坦克设计!$B$23:$U$23,0)))*(VLOOKUP($B229,INDIRECT($B$5&amp;"生成成长"),3))*(VLOOKUP($B$5,标准坦克设计!$B$14:$K$20,9)/30))</f>
        <v>0.83509485256703386</v>
      </c>
      <c r="G229" s="172">
        <f ca="1">(VLOOKUP(G$72,INDIRECT($C$5&amp;"生成成长"),2))/((VLOOKUP($B229,INDIRECT($B$5&amp;"生成成长"),4))/(VLOOKUP(G$72,INDIRECT($C$5&amp;"生成成长"),5))*(VLOOKUP($B$5,标准坦克设计!$B$24:$U$30,MATCH("对"&amp;LEFT($C$5,2)&amp;"输出",标准坦克设计!$B$23:$U$23,0)))*(VLOOKUP($B229,INDIRECT($B$5&amp;"生成成长"),3))*(VLOOKUP($B$5,标准坦克设计!$B$14:$K$20,9)/30))</f>
        <v>0.92217886046184383</v>
      </c>
      <c r="H229" s="172">
        <f ca="1">(VLOOKUP(H$72,INDIRECT($C$5&amp;"生成成长"),2))/((VLOOKUP($B229,INDIRECT($B$5&amp;"生成成长"),4))/(VLOOKUP(H$72,INDIRECT($C$5&amp;"生成成长"),5))*(VLOOKUP($B$5,标准坦克设计!$B$24:$U$30,MATCH("对"&amp;LEFT($C$5,2)&amp;"输出",标准坦克设计!$B$23:$U$23,0)))*(VLOOKUP($B229,INDIRECT($B$5&amp;"生成成长"),3))*(VLOOKUP($B$5,标准坦克设计!$B$14:$K$20,9)/30))</f>
        <v>0.80702645332821077</v>
      </c>
      <c r="I229" s="172">
        <f ca="1">(VLOOKUP(I$72,INDIRECT($C$5&amp;"生成成长"),2))/((VLOOKUP($B229,INDIRECT($B$5&amp;"生成成长"),4))/(VLOOKUP(I$72,INDIRECT($C$5&amp;"生成成长"),5))*(VLOOKUP($B$5,标准坦克设计!$B$24:$U$30,MATCH("对"&amp;LEFT($C$5,2)&amp;"输出",标准坦克设计!$B$23:$U$23,0)))*(VLOOKUP($B229,INDIRECT($B$5&amp;"生成成长"),3))*(VLOOKUP($B$5,标准坦克设计!$B$14:$K$20,9)/30))</f>
        <v>0.92217886046184383</v>
      </c>
      <c r="J229" s="172">
        <f ca="1">(VLOOKUP(J$72,INDIRECT($C$5&amp;"生成成长"),2))/((VLOOKUP($B229,INDIRECT($B$5&amp;"生成成长"),4))/(VLOOKUP(J$72,INDIRECT($C$5&amp;"生成成长"),5))*(VLOOKUP($B$5,标准坦克设计!$B$24:$U$30,MATCH("对"&amp;LEFT($C$5,2)&amp;"输出",标准坦克设计!$B$23:$U$23,0)))*(VLOOKUP($B229,INDIRECT($B$5&amp;"生成成长"),3))*(VLOOKUP($B$5,标准坦克设计!$B$14:$K$20,9)/30))</f>
        <v>1.0450080947377187</v>
      </c>
      <c r="K229" s="172">
        <f ca="1">(VLOOKUP(K$72,INDIRECT($C$5&amp;"生成成长"),2))/((VLOOKUP($B229,INDIRECT($B$5&amp;"生成成长"),4))/(VLOOKUP(K$72,INDIRECT($C$5&amp;"生成成长"),5))*(VLOOKUP($B$5,标准坦克设计!$B$24:$U$30,MATCH("对"&amp;LEFT($C$5,2)&amp;"输出",标准坦克设计!$B$23:$U$23,0)))*(VLOOKUP($B229,INDIRECT($B$5&amp;"生成成长"),3))*(VLOOKUP($B$5,标准坦克设计!$B$14:$K$20,9)/30))</f>
        <v>1.175514156155836</v>
      </c>
      <c r="L229" s="172">
        <f ca="1">(VLOOKUP(L$72,INDIRECT($C$5&amp;"生成成长"),2))/((VLOOKUP($B229,INDIRECT($B$5&amp;"生成成长"),4))/(VLOOKUP(L$72,INDIRECT($C$5&amp;"生成成长"),5))*(VLOOKUP($B$5,标准坦克设计!$B$24:$U$30,MATCH("对"&amp;LEFT($C$5,2)&amp;"输出",标准坦克设计!$B$23:$U$23,0)))*(VLOOKUP($B229,INDIRECT($B$5&amp;"生成成长"),3))*(VLOOKUP($B$5,标准坦克设计!$B$14:$K$20,9)/30))</f>
        <v>1.313697044716196</v>
      </c>
      <c r="M229" s="172">
        <f ca="1">(VLOOKUP(M$72,INDIRECT($C$5&amp;"生成成长"),2))/((VLOOKUP($B229,INDIRECT($B$5&amp;"生成成长"),4))/(VLOOKUP(M$72,INDIRECT($C$5&amp;"生成成长"),5))*(VLOOKUP($B$5,标准坦克设计!$B$24:$U$30,MATCH("对"&amp;LEFT($C$5,2)&amp;"输出",标准坦克设计!$B$23:$U$23,0)))*(VLOOKUP($B229,INDIRECT($B$5&amp;"生成成长"),3))*(VLOOKUP($B$5,标准坦克设计!$B$14:$K$20,9)/30))</f>
        <v>1.4595567604187976</v>
      </c>
      <c r="N229" s="172">
        <f ca="1">(VLOOKUP(N$72,INDIRECT($C$5&amp;"生成成长"),2))/((VLOOKUP($B229,INDIRECT($B$5&amp;"生成成长"),4))/(VLOOKUP(N$72,INDIRECT($C$5&amp;"生成成长"),5))*(VLOOKUP($B$5,标准坦克设计!$B$24:$U$30,MATCH("对"&amp;LEFT($C$5,2)&amp;"输出",标准坦克设计!$B$23:$U$23,0)))*(VLOOKUP($B229,INDIRECT($B$5&amp;"生成成长"),3))*(VLOOKUP($B$5,标准坦克设计!$B$14:$K$20,9)/30))</f>
        <v>1.6130933032636414</v>
      </c>
      <c r="O229" s="172">
        <f ca="1">(VLOOKUP(O$72,INDIRECT($C$5&amp;"生成成长"),2))/((VLOOKUP($B229,INDIRECT($B$5&amp;"生成成长"),4))/(VLOOKUP(O$72,INDIRECT($C$5&amp;"生成成长"),5))*(VLOOKUP($B$5,标准坦克设计!$B$24:$U$30,MATCH("对"&amp;LEFT($C$5,2)&amp;"输出",标准坦克设计!$B$23:$U$23,0)))*(VLOOKUP($B229,INDIRECT($B$5&amp;"生成成长"),3))*(VLOOKUP($B$5,标准坦克设计!$B$14:$K$20,9)/30))</f>
        <v>1.2264331111852393</v>
      </c>
      <c r="P229" s="172">
        <f ca="1">(VLOOKUP(P$72,INDIRECT($C$5&amp;"生成成长"),2))/((VLOOKUP($B229,INDIRECT($B$5&amp;"生成成长"),4))/(VLOOKUP(P$72,INDIRECT($C$5&amp;"生成成长"),5))*(VLOOKUP($B$5,标准坦克设计!$B$24:$U$30,MATCH("对"&amp;LEFT($C$5,2)&amp;"输出",标准坦克设计!$B$23:$U$23,0)))*(VLOOKUP($B229,INDIRECT($B$5&amp;"生成成长"),3))*(VLOOKUP($B$5,标准坦克设计!$B$14:$K$20,9)/30))</f>
        <v>1.3856672991747161</v>
      </c>
      <c r="Q229" s="172">
        <f ca="1">(VLOOKUP(Q$72,INDIRECT($C$5&amp;"生成成长"),2))/((VLOOKUP($B229,INDIRECT($B$5&amp;"生成成长"),4))/(VLOOKUP(Q$72,INDIRECT($C$5&amp;"生成成长"),5))*(VLOOKUP($B$5,标准坦克设计!$B$24:$U$30,MATCH("对"&amp;LEFT($C$5,2)&amp;"输出",标准坦克设计!$B$23:$U$23,0)))*(VLOOKUP($B229,INDIRECT($B$5&amp;"生成成长"),3))*(VLOOKUP($B$5,标准坦克设计!$B$14:$K$20,9)/30))</f>
        <v>1.5546174715160932</v>
      </c>
      <c r="R229" s="172">
        <f ca="1">(VLOOKUP(R$72,INDIRECT($C$5&amp;"生成成长"),2))/((VLOOKUP($B229,INDIRECT($B$5&amp;"生成成长"),4))/(VLOOKUP(R$72,INDIRECT($C$5&amp;"生成成长"),5))*(VLOOKUP($B$5,标准坦克设计!$B$24:$U$30,MATCH("对"&amp;LEFT($C$5,2)&amp;"输出",标准坦克设计!$B$23:$U$23,0)))*(VLOOKUP($B229,INDIRECT($B$5&amp;"生成成长"),3))*(VLOOKUP($B$5,标准坦克设计!$B$14:$K$20,9)/30))</f>
        <v>1.7332836282093707</v>
      </c>
      <c r="S229" s="172">
        <f ca="1">(VLOOKUP(S$72,INDIRECT($C$5&amp;"生成成长"),2))/((VLOOKUP($B229,INDIRECT($B$5&amp;"生成成长"),4))/(VLOOKUP(S$72,INDIRECT($C$5&amp;"生成成长"),5))*(VLOOKUP($B$5,标准坦克设计!$B$24:$U$30,MATCH("对"&amp;LEFT($C$5,2)&amp;"输出",标准坦克设计!$B$23:$U$23,0)))*(VLOOKUP($B229,INDIRECT($B$5&amp;"生成成长"),3))*(VLOOKUP($B$5,标准坦克设计!$B$14:$K$20,9)/30))</f>
        <v>1.921665769254548</v>
      </c>
      <c r="T229" s="172">
        <f ca="1">(VLOOKUP(T$72,INDIRECT($C$5&amp;"生成成长"),2))/((VLOOKUP($B229,INDIRECT($B$5&amp;"生成成长"),4))/(VLOOKUP(T$72,INDIRECT($C$5&amp;"生成成长"),5))*(VLOOKUP($B$5,标准坦克设计!$B$24:$U$30,MATCH("对"&amp;LEFT($C$5,2)&amp;"输出",标准坦克设计!$B$23:$U$23,0)))*(VLOOKUP($B229,INDIRECT($B$5&amp;"生成成长"),3))*(VLOOKUP($B$5,标准坦克设计!$B$14:$K$20,9)/30))</f>
        <v>2.1197638946516264</v>
      </c>
      <c r="U229" s="172">
        <f ca="1">(VLOOKUP(U$72,INDIRECT($C$5&amp;"生成成长"),2))/((VLOOKUP($B229,INDIRECT($B$5&amp;"生成成长"),4))/(VLOOKUP(U$72,INDIRECT($C$5&amp;"生成成长"),5))*(VLOOKUP($B$5,标准坦克设计!$B$24:$U$30,MATCH("对"&amp;LEFT($C$5,2)&amp;"输出",标准坦克设计!$B$23:$U$23,0)))*(VLOOKUP($B229,INDIRECT($B$5&amp;"生成成长"),3))*(VLOOKUP($B$5,标准坦克设计!$B$14:$K$20,9)/30))</f>
        <v>2.3275780044006047</v>
      </c>
      <c r="V229" s="172">
        <f ca="1">(VLOOKUP(V$72,INDIRECT($C$5&amp;"生成成长"),2))/((VLOOKUP($B229,INDIRECT($B$5&amp;"生成成长"),4))/(VLOOKUP(V$72,INDIRECT($C$5&amp;"生成成长"),5))*(VLOOKUP($B$5,标准坦克设计!$B$24:$U$30,MATCH("对"&amp;LEFT($C$5,2)&amp;"输出",标准坦克设计!$B$23:$U$23,0)))*(VLOOKUP($B229,INDIRECT($B$5&amp;"生成成长"),3))*(VLOOKUP($B$5,标准坦克设计!$B$14:$K$20,9)/30))</f>
        <v>2.5451080985014825</v>
      </c>
      <c r="W229" s="172">
        <f ca="1">(VLOOKUP(W$72,INDIRECT($C$5&amp;"生成成长"),2))/((VLOOKUP($B229,INDIRECT($B$5&amp;"生成成长"),4))/(VLOOKUP(W$72,INDIRECT($C$5&amp;"生成成长"),5))*(VLOOKUP($B$5,标准坦克设计!$B$24:$U$30,MATCH("对"&amp;LEFT($C$5,2)&amp;"输出",标准坦克设计!$B$23:$U$23,0)))*(VLOOKUP($B229,INDIRECT($B$5&amp;"生成成长"),3))*(VLOOKUP($B$5,标准坦克设计!$B$14:$K$20,9)/30))</f>
        <v>2.7723541769542615</v>
      </c>
      <c r="X229" s="172">
        <f ca="1">(VLOOKUP(X$72,INDIRECT($C$5&amp;"生成成长"),2))/((VLOOKUP($B229,INDIRECT($B$5&amp;"生成成长"),4))/(VLOOKUP(X$72,INDIRECT($C$5&amp;"生成成长"),5))*(VLOOKUP($B$5,标准坦克设计!$B$24:$U$30,MATCH("对"&amp;LEFT($C$5,2)&amp;"输出",标准坦克设计!$B$23:$U$23,0)))*(VLOOKUP($B229,INDIRECT($B$5&amp;"生成成长"),3))*(VLOOKUP($B$5,标准坦克设计!$B$14:$K$20,9)/30))</f>
        <v>2.0085098763011628</v>
      </c>
      <c r="Y229" s="172">
        <f ca="1">(VLOOKUP(Y$72,INDIRECT($C$5&amp;"生成成长"),2))/((VLOOKUP($B229,INDIRECT($B$5&amp;"生成成长"),4))/(VLOOKUP(Y$72,INDIRECT($C$5&amp;"生成成长"),5))*(VLOOKUP($B$5,标准坦克设计!$B$24:$U$30,MATCH("对"&amp;LEFT($C$5,2)&amp;"输出",标准坦克设计!$B$23:$U$23,0)))*(VLOOKUP($B229,INDIRECT($B$5&amp;"生成成长"),3))*(VLOOKUP($B$5,标准坦克设计!$B$14:$K$20,9)/30))</f>
        <v>2.2340166736045277</v>
      </c>
      <c r="Z229" s="172">
        <f ca="1">(VLOOKUP(Z$72,INDIRECT($C$5&amp;"生成成长"),2))/((VLOOKUP($B229,INDIRECT($B$5&amp;"生成成长"),4))/(VLOOKUP(Z$72,INDIRECT($C$5&amp;"生成成长"),5))*(VLOOKUP($B$5,标准坦克设计!$B$24:$U$30,MATCH("对"&amp;LEFT($C$5,2)&amp;"输出",标准坦克设计!$B$23:$U$23,0)))*(VLOOKUP($B229,INDIRECT($B$5&amp;"生成成长"),3))*(VLOOKUP($B$5,标准坦克设计!$B$14:$K$20,9)/30))</f>
        <v>2.4715185133176454</v>
      </c>
      <c r="AA229" s="172">
        <f ca="1">(VLOOKUP(AA$72,INDIRECT($C$5&amp;"生成成长"),2))/((VLOOKUP($B229,INDIRECT($B$5&amp;"生成成长"),4))/(VLOOKUP(AA$72,INDIRECT($C$5&amp;"生成成长"),5))*(VLOOKUP($B$5,标准坦克设计!$B$24:$U$30,MATCH("对"&amp;LEFT($C$5,2)&amp;"输出",标准坦克设计!$B$23:$U$23,0)))*(VLOOKUP($B229,INDIRECT($B$5&amp;"生成成长"),3))*(VLOOKUP($B$5,标准坦克设计!$B$14:$K$20,9)/30))</f>
        <v>2.7210153954405167</v>
      </c>
      <c r="AB229" s="172">
        <f ca="1">(VLOOKUP(AB$72,INDIRECT($C$5&amp;"生成成长"),2))/((VLOOKUP($B229,INDIRECT($B$5&amp;"生成成长"),4))/(VLOOKUP(AB$72,INDIRECT($C$5&amp;"生成成长"),5))*(VLOOKUP($B$5,标准坦克设计!$B$24:$U$30,MATCH("对"&amp;LEFT($C$5,2)&amp;"输出",标准坦克设计!$B$23:$U$23,0)))*(VLOOKUP($B229,INDIRECT($B$5&amp;"生成成长"),3))*(VLOOKUP($B$5,标准坦克设计!$B$14:$K$20,9)/30))</f>
        <v>2.9825073199731422</v>
      </c>
      <c r="AC229" s="172">
        <f ca="1">(VLOOKUP(AC$72,INDIRECT($C$5&amp;"生成成长"),2))/((VLOOKUP($B229,INDIRECT($B$5&amp;"生成成长"),4))/(VLOOKUP(AC$72,INDIRECT($C$5&amp;"生成成长"),5))*(VLOOKUP($B$5,标准坦克设计!$B$24:$U$30,MATCH("对"&amp;LEFT($C$5,2)&amp;"输出",标准坦克设计!$B$23:$U$23,0)))*(VLOOKUP($B229,INDIRECT($B$5&amp;"生成成长"),3))*(VLOOKUP($B$5,标准坦克设计!$B$14:$K$20,9)/30))</f>
        <v>3.2559942869155201</v>
      </c>
      <c r="AD229" s="172">
        <f ca="1">(VLOOKUP(AD$72,INDIRECT($C$5&amp;"生成成长"),2))/((VLOOKUP($B229,INDIRECT($B$5&amp;"生成成长"),4))/(VLOOKUP(AD$72,INDIRECT($C$5&amp;"生成成长"),5))*(VLOOKUP($B$5,标准坦克设计!$B$24:$U$30,MATCH("对"&amp;LEFT($C$5,2)&amp;"输出",标准坦克设计!$B$23:$U$23,0)))*(VLOOKUP($B229,INDIRECT($B$5&amp;"生成成长"),3))*(VLOOKUP($B$5,标准坦克设计!$B$14:$K$20,9)/30))</f>
        <v>3.541476296267652</v>
      </c>
      <c r="AE229" s="172">
        <f ca="1">(VLOOKUP(AE$72,INDIRECT($C$5&amp;"生成成长"),2))/((VLOOKUP($B229,INDIRECT($B$5&amp;"生成成长"),4))/(VLOOKUP(AE$72,INDIRECT($C$5&amp;"生成成长"),5))*(VLOOKUP($B$5,标准坦克设计!$B$24:$U$30,MATCH("对"&amp;LEFT($C$5,2)&amp;"输出",标准坦克设计!$B$23:$U$23,0)))*(VLOOKUP($B229,INDIRECT($B$5&amp;"生成成长"),3))*(VLOOKUP($B$5,标准坦克设计!$B$14:$K$20,9)/30))</f>
        <v>3.8389533480295364</v>
      </c>
      <c r="AF229" s="172">
        <f ca="1">(VLOOKUP(AF$72,INDIRECT($C$5&amp;"生成成长"),2))/((VLOOKUP($B229,INDIRECT($B$5&amp;"生成成长"),4))/(VLOOKUP(AF$72,INDIRECT($C$5&amp;"生成成长"),5))*(VLOOKUP($B$5,标准坦克设计!$B$24:$U$30,MATCH("对"&amp;LEFT($C$5,2)&amp;"输出",标准坦克设计!$B$23:$U$23,0)))*(VLOOKUP($B229,INDIRECT($B$5&amp;"生成成长"),3))*(VLOOKUP($B$5,标准坦克设计!$B$14:$K$20,9)/30))</f>
        <v>4.1484254422011748</v>
      </c>
      <c r="AG229" s="172">
        <f ca="1">(VLOOKUP(AG$72,INDIRECT($C$5&amp;"生成成长"),2))/((VLOOKUP($B229,INDIRECT($B$5&amp;"生成成长"),4))/(VLOOKUP(AG$72,INDIRECT($C$5&amp;"生成成长"),5))*(VLOOKUP($B$5,标准坦克设计!$B$24:$U$30,MATCH("对"&amp;LEFT($C$5,2)&amp;"输出",标准坦克设计!$B$23:$U$23,0)))*(VLOOKUP($B229,INDIRECT($B$5&amp;"生成成长"),3))*(VLOOKUP($B$5,标准坦克设计!$B$14:$K$20,9)/30))</f>
        <v>4.4698925787825674</v>
      </c>
      <c r="AH229" s="172">
        <f ca="1">(VLOOKUP(AH$72,INDIRECT($C$5&amp;"生成成长"),2))/((VLOOKUP($B229,INDIRECT($B$5&amp;"生成成长"),4))/(VLOOKUP(AH$72,INDIRECT($C$5&amp;"生成成长"),5))*(VLOOKUP($B$5,标准坦克设计!$B$24:$U$30,MATCH("对"&amp;LEFT($C$5,2)&amp;"输出",标准坦克设计!$B$23:$U$23,0)))*(VLOOKUP($B229,INDIRECT($B$5&amp;"生成成长"),3))*(VLOOKUP($B$5,标准坦克设计!$B$14:$K$20,9)/30))</f>
        <v>4.8033547577737128</v>
      </c>
      <c r="AI229" s="172">
        <f ca="1">(VLOOKUP(AI$72,INDIRECT($C$5&amp;"生成成长"),2))/((VLOOKUP($B229,INDIRECT($B$5&amp;"生成成长"),4))/(VLOOKUP(AI$72,INDIRECT($C$5&amp;"生成成长"),5))*(VLOOKUP($B$5,标准坦克设计!$B$24:$U$30,MATCH("对"&amp;LEFT($C$5,2)&amp;"输出",标准坦克设计!$B$23:$U$23,0)))*(VLOOKUP($B229,INDIRECT($B$5&amp;"生成成长"),3))*(VLOOKUP($B$5,标准坦克设计!$B$14:$K$20,9)/30))</f>
        <v>3.3972359112903661</v>
      </c>
      <c r="AJ229" s="172">
        <f ca="1">(VLOOKUP(AJ$72,INDIRECT($C$5&amp;"生成成长"),2))/((VLOOKUP($B229,INDIRECT($B$5&amp;"生成成长"),4))/(VLOOKUP(AJ$72,INDIRECT($C$5&amp;"生成成长"),5))*(VLOOKUP($B$5,标准坦克设计!$B$24:$U$30,MATCH("对"&amp;LEFT($C$5,2)&amp;"输出",标准坦克设计!$B$23:$U$23,0)))*(VLOOKUP($B229,INDIRECT($B$5&amp;"生成成长"),3))*(VLOOKUP($B$5,标准坦克设计!$B$14:$K$20,9)/30))</f>
        <v>3.7185231222356121</v>
      </c>
      <c r="AK229" s="172">
        <f ca="1">(VLOOKUP(AK$72,INDIRECT($C$5&amp;"生成成长"),2))/((VLOOKUP($B229,INDIRECT($B$5&amp;"生成成长"),4))/(VLOOKUP(AK$72,INDIRECT($C$5&amp;"生成成长"),5))*(VLOOKUP($B$5,标准坦克设计!$B$24:$U$30,MATCH("对"&amp;LEFT($C$5,2)&amp;"输出",标准坦克设计!$B$23:$U$23,0)))*(VLOOKUP($B229,INDIRECT($B$5&amp;"生成成长"),3))*(VLOOKUP($B$5,标准坦克设计!$B$14:$K$20,9)/30))</f>
        <v>4.0543243344966591</v>
      </c>
      <c r="AL229" s="172">
        <f ca="1">(VLOOKUP(AL$72,INDIRECT($C$5&amp;"生成成长"),2))/((VLOOKUP($B229,INDIRECT($B$5&amp;"生成成长"),4))/(VLOOKUP(AL$72,INDIRECT($C$5&amp;"生成成长"),5))*(VLOOKUP($B$5,标准坦克设计!$B$24:$U$30,MATCH("对"&amp;LEFT($C$5,2)&amp;"输出",标准坦克设计!$B$23:$U$23,0)))*(VLOOKUP($B229,INDIRECT($B$5&amp;"生成成长"),3))*(VLOOKUP($B$5,标准坦克设计!$B$14:$K$20,9)/30))</f>
        <v>4.4046395480735079</v>
      </c>
      <c r="AM229" s="172">
        <f ca="1">(VLOOKUP(AM$72,INDIRECT($C$5&amp;"生成成长"),2))/((VLOOKUP($B229,INDIRECT($B$5&amp;"生成成长"),4))/(VLOOKUP(AM$72,INDIRECT($C$5&amp;"生成成长"),5))*(VLOOKUP($B$5,标准坦克设计!$B$24:$U$30,MATCH("对"&amp;LEFT($C$5,2)&amp;"输出",标准坦克设计!$B$23:$U$23,0)))*(VLOOKUP($B229,INDIRECT($B$5&amp;"生成成长"),3))*(VLOOKUP($B$5,标准坦克设计!$B$14:$K$20,9)/30))</f>
        <v>4.7694687629661594</v>
      </c>
      <c r="AN229" s="172">
        <f ca="1">(VLOOKUP(AN$72,INDIRECT($C$5&amp;"生成成长"),2))/((VLOOKUP($B229,INDIRECT($B$5&amp;"生成成长"),4))/(VLOOKUP(AN$72,INDIRECT($C$5&amp;"生成成长"),5))*(VLOOKUP($B$5,标准坦克设计!$B$24:$U$30,MATCH("对"&amp;LEFT($C$5,2)&amp;"输出",标准坦克设计!$B$23:$U$23,0)))*(VLOOKUP($B229,INDIRECT($B$5&amp;"生成成长"),3))*(VLOOKUP($B$5,标准坦克设计!$B$14:$K$20,9)/30))</f>
        <v>5.148811979174611</v>
      </c>
      <c r="AO229" s="172">
        <f ca="1">(VLOOKUP(AO$72,INDIRECT($C$5&amp;"生成成长"),2))/((VLOOKUP($B229,INDIRECT($B$5&amp;"生成成长"),4))/(VLOOKUP(AO$72,INDIRECT($C$5&amp;"生成成长"),5))*(VLOOKUP($B$5,标准坦克设计!$B$24:$U$30,MATCH("对"&amp;LEFT($C$5,2)&amp;"输出",标准坦克设计!$B$23:$U$23,0)))*(VLOOKUP($B229,INDIRECT($B$5&amp;"生成成长"),3))*(VLOOKUP($B$5,标准坦克设计!$B$14:$K$20,9)/30))</f>
        <v>5.5426691966988644</v>
      </c>
      <c r="AP229" s="172">
        <f ca="1">(VLOOKUP(AP$72,INDIRECT($C$5&amp;"生成成长"),2))/((VLOOKUP($B229,INDIRECT($B$5&amp;"生成成长"),4))/(VLOOKUP(AP$72,INDIRECT($C$5&amp;"生成成长"),5))*(VLOOKUP($B$5,标准坦克设计!$B$24:$U$30,MATCH("对"&amp;LEFT($C$5,2)&amp;"输出",标准坦克设计!$B$23:$U$23,0)))*(VLOOKUP($B229,INDIRECT($B$5&amp;"生成成长"),3))*(VLOOKUP($B$5,标准坦克设计!$B$14:$K$20,9)/30))</f>
        <v>5.9510404155389205</v>
      </c>
      <c r="AQ229" s="172">
        <f ca="1">(VLOOKUP(AQ$72,INDIRECT($C$5&amp;"生成成长"),2))/((VLOOKUP($B229,INDIRECT($B$5&amp;"生成成长"),4))/(VLOOKUP(AQ$72,INDIRECT($C$5&amp;"生成成长"),5))*(VLOOKUP($B$5,标准坦克设计!$B$24:$U$30,MATCH("对"&amp;LEFT($C$5,2)&amp;"输出",标准坦克设计!$B$23:$U$23,0)))*(VLOOKUP($B229,INDIRECT($B$5&amp;"生成成长"),3))*(VLOOKUP($B$5,标准坦克设计!$B$14:$K$20,9)/30))</f>
        <v>6.3739256356947784</v>
      </c>
      <c r="AR229" s="172">
        <f ca="1">(VLOOKUP(AR$72,INDIRECT($C$5&amp;"生成成长"),2))/((VLOOKUP($B229,INDIRECT($B$5&amp;"生成成长"),4))/(VLOOKUP(AR$72,INDIRECT($C$5&amp;"生成成长"),5))*(VLOOKUP($B$5,标准坦克设计!$B$24:$U$30,MATCH("对"&amp;LEFT($C$5,2)&amp;"输出",标准坦克设计!$B$23:$U$23,0)))*(VLOOKUP($B229,INDIRECT($B$5&amp;"生成成长"),3))*(VLOOKUP($B$5,标准坦克设计!$B$14:$K$20,9)/30))</f>
        <v>6.8113248571664364</v>
      </c>
      <c r="AS229" s="172">
        <f ca="1">(VLOOKUP(AS$72,INDIRECT($C$5&amp;"生成成长"),2))/((VLOOKUP($B229,INDIRECT($B$5&amp;"生成成长"),4))/(VLOOKUP(AS$72,INDIRECT($C$5&amp;"生成成长"),5))*(VLOOKUP($B$5,标准坦克设计!$B$24:$U$30,MATCH("对"&amp;LEFT($C$5,2)&amp;"输出",标准坦克设计!$B$23:$U$23,0)))*(VLOOKUP($B229,INDIRECT($B$5&amp;"生成成长"),3))*(VLOOKUP($B$5,标准坦克设计!$B$14:$K$20,9)/30))</f>
        <v>7.2632380799538963</v>
      </c>
      <c r="AT229" s="172">
        <f ca="1">(VLOOKUP(AT$72,INDIRECT($C$5&amp;"生成成长"),2))/((VLOOKUP($B229,INDIRECT($B$5&amp;"生成成长"),4))/(VLOOKUP(AT$72,INDIRECT($C$5&amp;"生成成长"),5))*(VLOOKUP($B$5,标准坦克设计!$B$24:$U$30,MATCH("对"&amp;LEFT($C$5,2)&amp;"输出",标准坦克设计!$B$23:$U$23,0)))*(VLOOKUP($B229,INDIRECT($B$5&amp;"生成成长"),3))*(VLOOKUP($B$5,标准坦克设计!$B$14:$K$20,9)/30))</f>
        <v>7.7296653040571588</v>
      </c>
      <c r="AU229" s="172">
        <f ca="1">(VLOOKUP(AU$72,INDIRECT($C$5&amp;"生成成长"),2))/((VLOOKUP($B229,INDIRECT($B$5&amp;"生成成长"),4))/(VLOOKUP(AU$72,INDIRECT($C$5&amp;"生成成长"),5))*(VLOOKUP($B$5,标准坦克设计!$B$24:$U$30,MATCH("对"&amp;LEFT($C$5,2)&amp;"输出",标准坦克设计!$B$23:$U$23,0)))*(VLOOKUP($B229,INDIRECT($B$5&amp;"生成成长"),3))*(VLOOKUP($B$5,标准坦克设计!$B$14:$K$20,9)/30))</f>
        <v>8.2106065294762232</v>
      </c>
      <c r="AV229" s="172">
        <f ca="1">(VLOOKUP(AV$72,INDIRECT($C$5&amp;"生成成长"),2))/((VLOOKUP($B229,INDIRECT($B$5&amp;"生成成长"),4))/(VLOOKUP(AV$72,INDIRECT($C$5&amp;"生成成长"),5))*(VLOOKUP($B$5,标准坦克设计!$B$24:$U$30,MATCH("对"&amp;LEFT($C$5,2)&amp;"输出",标准坦克设计!$B$23:$U$23,0)))*(VLOOKUP($B229,INDIRECT($B$5&amp;"生成成长"),3))*(VLOOKUP($B$5,标准坦克设计!$B$14:$K$20,9)/30))</f>
        <v>0.83509485256703386</v>
      </c>
      <c r="AW229" s="172">
        <f ca="1">(VLOOKUP(AW$72,INDIRECT($C$5&amp;"生成成长"),2))/((VLOOKUP($B229,INDIRECT($B$5&amp;"生成成长"),4))/(VLOOKUP(AW$72,INDIRECT($C$5&amp;"生成成长"),5))*(VLOOKUP($B$5,标准坦克设计!$B$24:$U$30,MATCH("对"&amp;LEFT($C$5,2)&amp;"输出",标准坦克设计!$B$23:$U$23,0)))*(VLOOKUP($B229,INDIRECT($B$5&amp;"生成成长"),3))*(VLOOKUP($B$5,标准坦克设计!$B$14:$K$20,9)/30))</f>
        <v>0.95216646648622738</v>
      </c>
      <c r="AX229" s="172">
        <f ca="1">(VLOOKUP(AX$72,INDIRECT($C$5&amp;"生成成长"),2))/((VLOOKUP($B229,INDIRECT($B$5&amp;"生成成长"),4))/(VLOOKUP(AX$72,INDIRECT($C$5&amp;"生成成长"),5))*(VLOOKUP($B$5,标准坦克设计!$B$24:$U$30,MATCH("对"&amp;LEFT($C$5,2)&amp;"输出",标准坦克设计!$B$23:$U$23,0)))*(VLOOKUP($B229,INDIRECT($B$5&amp;"生成成长"),3))*(VLOOKUP($B$5,标准坦克设计!$B$14:$K$20,9)/30))</f>
        <v>1.0769149075476627</v>
      </c>
      <c r="AY229" s="172">
        <f ca="1">(VLOOKUP(AY$72,INDIRECT($C$5&amp;"生成成长"),2))/((VLOOKUP($B229,INDIRECT($B$5&amp;"生成成长"),4))/(VLOOKUP(AY$72,INDIRECT($C$5&amp;"生成成长"),5))*(VLOOKUP($B$5,标准坦克设计!$B$24:$U$30,MATCH("对"&amp;LEFT($C$5,2)&amp;"输出",标准坦克设计!$B$23:$U$23,0)))*(VLOOKUP($B229,INDIRECT($B$5&amp;"生成成长"),3))*(VLOOKUP($B$5,标准坦克设计!$B$14:$K$20,9)/30))</f>
        <v>1.2093401757513409</v>
      </c>
      <c r="AZ229" s="172">
        <f ca="1">(VLOOKUP(AZ$72,INDIRECT($C$5&amp;"生成成长"),2))/((VLOOKUP($B229,INDIRECT($B$5&amp;"生成成长"),4))/(VLOOKUP(AZ$72,INDIRECT($C$5&amp;"生成成长"),5))*(VLOOKUP($B$5,标准坦克设计!$B$24:$U$30,MATCH("对"&amp;LEFT($C$5,2)&amp;"输出",标准坦克设计!$B$23:$U$23,0)))*(VLOOKUP($B229,INDIRECT($B$5&amp;"生成成长"),3))*(VLOOKUP($B$5,标准坦克设计!$B$14:$K$20,9)/30))</f>
        <v>1.3494422710972611</v>
      </c>
      <c r="BA229" s="172">
        <f ca="1">(VLOOKUP(BA$72,INDIRECT($C$5&amp;"生成成长"),2))/((VLOOKUP($B229,INDIRECT($B$5&amp;"生成成长"),4))/(VLOOKUP(BA$72,INDIRECT($C$5&amp;"生成成长"),5))*(VLOOKUP($B$5,标准坦克设计!$B$24:$U$30,MATCH("对"&amp;LEFT($C$5,2)&amp;"输出",标准坦克设计!$B$23:$U$23,0)))*(VLOOKUP($B229,INDIRECT($B$5&amp;"生成成长"),3))*(VLOOKUP($B$5,标准坦克设计!$B$14:$K$20,9)/30))</f>
        <v>1.4972211935854232</v>
      </c>
      <c r="BB229" s="172">
        <f ca="1">(VLOOKUP(BB$72,INDIRECT($C$5&amp;"生成成长"),2))/((VLOOKUP($B229,INDIRECT($B$5&amp;"生成成长"),4))/(VLOOKUP(BB$72,INDIRECT($C$5&amp;"生成成长"),5))*(VLOOKUP($B$5,标准坦克设计!$B$24:$U$30,MATCH("对"&amp;LEFT($C$5,2)&amp;"输出",标准坦克设计!$B$23:$U$23,0)))*(VLOOKUP($B229,INDIRECT($B$5&amp;"生成成长"),3))*(VLOOKUP($B$5,标准坦克设计!$B$14:$K$20,9)/30))</f>
        <v>1.6526769432158277</v>
      </c>
      <c r="BC229" s="172">
        <f ca="1">(VLOOKUP(BC$72,INDIRECT($C$5&amp;"生成成长"),2))/((VLOOKUP($B229,INDIRECT($B$5&amp;"生成成长"),4))/(VLOOKUP(BC$72,INDIRECT($C$5&amp;"生成成长"),5))*(VLOOKUP($B$5,标准坦克设计!$B$24:$U$30,MATCH("对"&amp;LEFT($C$5,2)&amp;"输出",标准坦克设计!$B$23:$U$23,0)))*(VLOOKUP($B229,INDIRECT($B$5&amp;"生成成长"),3))*(VLOOKUP($B$5,标准坦克设计!$B$14:$K$20,9)/30))</f>
        <v>1.8158095199884741</v>
      </c>
      <c r="BD229" s="172">
        <f ca="1">(VLOOKUP(BD$72,INDIRECT($C$5&amp;"生成成长"),2))/((VLOOKUP($B229,INDIRECT($B$5&amp;"生成成长"),4))/(VLOOKUP(BD$72,INDIRECT($C$5&amp;"生成成长"),5))*(VLOOKUP($B$5,标准坦克设计!$B$24:$U$30,MATCH("对"&amp;LEFT($C$5,2)&amp;"输出",标准坦克设计!$B$23:$U$23,0)))*(VLOOKUP($B229,INDIRECT($B$5&amp;"生成成长"),3))*(VLOOKUP($B$5,标准坦克设计!$B$14:$K$20,9)/30))</f>
        <v>2.0085098763011628</v>
      </c>
      <c r="BE229" s="172">
        <f ca="1">(VLOOKUP(BE$72,INDIRECT($C$5&amp;"生成成长"),2))/((VLOOKUP($B229,INDIRECT($B$5&amp;"生成成长"),4))/(VLOOKUP(BE$72,INDIRECT($C$5&amp;"生成成长"),5))*(VLOOKUP($B$5,标准坦克设计!$B$24:$U$30,MATCH("对"&amp;LEFT($C$5,2)&amp;"输出",标准坦克设计!$B$23:$U$23,0)))*(VLOOKUP($B229,INDIRECT($B$5&amp;"生成成长"),3))*(VLOOKUP($B$5,标准坦克设计!$B$14:$K$20,9)/30))</f>
        <v>2.2109262169657522</v>
      </c>
      <c r="BF229" s="172">
        <f ca="1">(VLOOKUP(BF$72,INDIRECT($C$5&amp;"生成成长"),2))/((VLOOKUP($B229,INDIRECT($B$5&amp;"生成成长"),4))/(VLOOKUP(BF$72,INDIRECT($C$5&amp;"生成成长"),5))*(VLOOKUP($B$5,标准坦克设计!$B$24:$U$30,MATCH("对"&amp;LEFT($C$5,2)&amp;"输出",标准坦克设计!$B$23:$U$23,0)))*(VLOOKUP($B229,INDIRECT($B$5&amp;"生成成长"),3))*(VLOOKUP($B$5,标准坦克设计!$B$14:$K$20,9)/30))</f>
        <v>2.4230585419822419</v>
      </c>
      <c r="BG229" s="172">
        <f ca="1">(VLOOKUP(BG$72,INDIRECT($C$5&amp;"生成成长"),2))/((VLOOKUP($B229,INDIRECT($B$5&amp;"生成成长"),4))/(VLOOKUP(BG$72,INDIRECT($C$5&amp;"生成成长"),5))*(VLOOKUP($B$5,标准坦克设计!$B$24:$U$30,MATCH("对"&amp;LEFT($C$5,2)&amp;"输出",标准坦克设计!$B$23:$U$23,0)))*(VLOOKUP($B229,INDIRECT($B$5&amp;"生成成长"),3))*(VLOOKUP($B$5,标准坦克设计!$B$14:$K$20,9)/30))</f>
        <v>2.6449068513506315</v>
      </c>
      <c r="BH229" s="172">
        <f ca="1">(VLOOKUP(BH$72,INDIRECT($C$5&amp;"生成成长"),2))/((VLOOKUP($B229,INDIRECT($B$5&amp;"生成成长"),4))/(VLOOKUP(BH$72,INDIRECT($C$5&amp;"生成成长"),5))*(VLOOKUP($B$5,标准坦克设计!$B$24:$U$30,MATCH("对"&amp;LEFT($C$5,2)&amp;"输出",标准坦克设计!$B$23:$U$23,0)))*(VLOOKUP($B229,INDIRECT($B$5&amp;"生成成长"),3))*(VLOOKUP($B$5,标准坦克设计!$B$14:$K$20,9)/30))</f>
        <v>1.2784316200315207</v>
      </c>
      <c r="BI229" s="172">
        <f ca="1">(VLOOKUP(BI$72,INDIRECT($C$5&amp;"生成成长"),2))/((VLOOKUP($B229,INDIRECT($B$5&amp;"生成成长"),4))/(VLOOKUP(BI$72,INDIRECT($C$5&amp;"生成成长"),5))*(VLOOKUP($B$5,标准坦克设计!$B$24:$U$30,MATCH("对"&amp;LEFT($C$5,2)&amp;"输出",标准坦克设计!$B$23:$U$23,0)))*(VLOOKUP($B229,INDIRECT($B$5&amp;"生成成长"),3))*(VLOOKUP($B$5,标准坦克设计!$B$14:$K$20,9)/30))</f>
        <v>1.4409044694716306</v>
      </c>
      <c r="BJ229" s="172">
        <f ca="1">(VLOOKUP(BJ$72,INDIRECT($C$5&amp;"生成成长"),2))/((VLOOKUP($B229,INDIRECT($B$5&amp;"生成成长"),4))/(VLOOKUP(BJ$72,INDIRECT($C$5&amp;"生成成长"),5))*(VLOOKUP($B$5,标准坦克设计!$B$24:$U$30,MATCH("对"&amp;LEFT($C$5,2)&amp;"输出",标准坦克设计!$B$23:$U$23,0)))*(VLOOKUP($B229,INDIRECT($B$5&amp;"生成成长"),3))*(VLOOKUP($B$5,标准坦克设计!$B$14:$K$20,9)/30))</f>
        <v>1.6130933032636414</v>
      </c>
      <c r="BK229" s="172">
        <f ca="1">(VLOOKUP(BK$72,INDIRECT($C$5&amp;"生成成长"),2))/((VLOOKUP($B229,INDIRECT($B$5&amp;"生成成长"),4))/(VLOOKUP(BK$72,INDIRECT($C$5&amp;"生成成长"),5))*(VLOOKUP($B$5,标准坦克设计!$B$24:$U$30,MATCH("对"&amp;LEFT($C$5,2)&amp;"输出",标准坦克设计!$B$23:$U$23,0)))*(VLOOKUP($B229,INDIRECT($B$5&amp;"生成成长"),3))*(VLOOKUP($B$5,标准坦克设计!$B$14:$K$20,9)/30))</f>
        <v>1.7949981214075519</v>
      </c>
      <c r="BL229" s="172">
        <f ca="1">(VLOOKUP(BL$72,INDIRECT($C$5&amp;"生成成长"),2))/((VLOOKUP($B229,INDIRECT($B$5&amp;"生成成长"),4))/(VLOOKUP(BL$72,INDIRECT($C$5&amp;"生成成长"),5))*(VLOOKUP($B$5,标准坦克设计!$B$24:$U$30,MATCH("对"&amp;LEFT($C$5,2)&amp;"输出",标准坦克设计!$B$23:$U$23,0)))*(VLOOKUP($B229,INDIRECT($B$5&amp;"生成成长"),3))*(VLOOKUP($B$5,标准坦克设计!$B$14:$K$20,9)/30))</f>
        <v>1.9866189239033627</v>
      </c>
      <c r="BM229" s="172">
        <f ca="1">(VLOOKUP(BM$72,INDIRECT($C$5&amp;"生成成长"),2))/((VLOOKUP($B229,INDIRECT($B$5&amp;"生成成长"),4))/(VLOOKUP(BM$72,INDIRECT($C$5&amp;"生成成长"),5))*(VLOOKUP($B$5,标准坦克设计!$B$24:$U$30,MATCH("对"&amp;LEFT($C$5,2)&amp;"输出",标准坦克设计!$B$23:$U$23,0)))*(VLOOKUP($B229,INDIRECT($B$5&amp;"生成成长"),3))*(VLOOKUP($B$5,标准坦克设计!$B$14:$K$20,9)/30))</f>
        <v>2.1879557107510741</v>
      </c>
      <c r="BN229" s="172">
        <f ca="1">(VLOOKUP(BN$72,INDIRECT($C$5&amp;"生成成长"),2))/((VLOOKUP($B229,INDIRECT($B$5&amp;"生成成长"),4))/(VLOOKUP(BN$72,INDIRECT($C$5&amp;"生成成长"),5))*(VLOOKUP($B$5,标准坦克设计!$B$24:$U$30,MATCH("对"&amp;LEFT($C$5,2)&amp;"输出",标准坦克设计!$B$23:$U$23,0)))*(VLOOKUP($B229,INDIRECT($B$5&amp;"生成成长"),3))*(VLOOKUP($B$5,标准坦克设计!$B$14:$K$20,9)/30))</f>
        <v>2.3990084819506858</v>
      </c>
      <c r="BO229" s="172">
        <f ca="1">(VLOOKUP(BO$72,INDIRECT($C$5&amp;"生成成长"),2))/((VLOOKUP($B229,INDIRECT($B$5&amp;"生成成长"),4))/(VLOOKUP(BO$72,INDIRECT($C$5&amp;"生成成长"),5))*(VLOOKUP($B$5,标准坦克设计!$B$24:$U$30,MATCH("对"&amp;LEFT($C$5,2)&amp;"输出",标准坦克设计!$B$23:$U$23,0)))*(VLOOKUP($B229,INDIRECT($B$5&amp;"生成成长"),3))*(VLOOKUP($B$5,标准坦克设计!$B$14:$K$20,9)/30))</f>
        <v>2.6197772375021979</v>
      </c>
      <c r="BP229" s="172">
        <f ca="1">(VLOOKUP(BP$72,INDIRECT($C$5&amp;"生成成长"),2))/((VLOOKUP($B229,INDIRECT($B$5&amp;"生成成长"),4))/(VLOOKUP(BP$72,INDIRECT($C$5&amp;"生成成长"),5))*(VLOOKUP($B$5,标准坦克设计!$B$24:$U$30,MATCH("对"&amp;LEFT($C$5,2)&amp;"输出",标准坦克设计!$B$23:$U$23,0)))*(VLOOKUP($B229,INDIRECT($B$5&amp;"生成成长"),3))*(VLOOKUP($B$5,标准坦克设计!$B$14:$K$20,9)/30))</f>
        <v>2.8502619774056104</v>
      </c>
      <c r="BQ229" s="172">
        <f ca="1">(VLOOKUP(BQ$72,INDIRECT($C$5&amp;"生成成长"),2))/((VLOOKUP($B229,INDIRECT($B$5&amp;"生成成长"),4))/(VLOOKUP(BQ$72,INDIRECT($C$5&amp;"生成成长"),5))*(VLOOKUP($B$5,标准坦克设计!$B$24:$U$30,MATCH("对"&amp;LEFT($C$5,2)&amp;"输出",标准坦克设计!$B$23:$U$23,0)))*(VLOOKUP($B229,INDIRECT($B$5&amp;"生成成长"),3))*(VLOOKUP($B$5,标准坦克设计!$B$14:$K$20,9)/30))</f>
        <v>3.0904627016609227</v>
      </c>
      <c r="BR229" s="172">
        <f ca="1">(VLOOKUP(BR$72,INDIRECT($C$5&amp;"生成成长"),2))/((VLOOKUP($B229,INDIRECT($B$5&amp;"生成成长"),4))/(VLOOKUP(BR$72,INDIRECT($C$5&amp;"生成成长"),5))*(VLOOKUP($B$5,标准坦克设计!$B$24:$U$30,MATCH("对"&amp;LEFT($C$5,2)&amp;"输出",标准坦克设计!$B$23:$U$23,0)))*(VLOOKUP($B229,INDIRECT($B$5&amp;"生成成长"),3))*(VLOOKUP($B$5,标准坦克设计!$B$14:$K$20,9)/30))</f>
        <v>3.3687476855672025</v>
      </c>
      <c r="BS229" s="172">
        <f ca="1">(VLOOKUP(BS$72,INDIRECT($C$5&amp;"生成成长"),2))/((VLOOKUP($B229,INDIRECT($B$5&amp;"生成成长"),4))/(VLOOKUP(BS$72,INDIRECT($C$5&amp;"生成成长"),5))*(VLOOKUP($B$5,标准坦克设计!$B$24:$U$30,MATCH("对"&amp;LEFT($C$5,2)&amp;"输出",标准坦克设计!$B$23:$U$23,0)))*(VLOOKUP($B229,INDIRECT($B$5&amp;"生成成长"),3))*(VLOOKUP($B$5,标准坦克设计!$B$14:$K$20,9)/30))</f>
        <v>3.6590277118832346</v>
      </c>
      <c r="BT229" s="172">
        <f ca="1">(VLOOKUP(BT$72,INDIRECT($C$5&amp;"生成成长"),2))/((VLOOKUP($B229,INDIRECT($B$5&amp;"生成成长"),4))/(VLOOKUP(BT$72,INDIRECT($C$5&amp;"生成成长"),5))*(VLOOKUP($B$5,标准坦克设计!$B$24:$U$30,MATCH("对"&amp;LEFT($C$5,2)&amp;"输出",标准坦克设计!$B$23:$U$23,0)))*(VLOOKUP($B229,INDIRECT($B$5&amp;"生成成长"),3))*(VLOOKUP($B$5,标准坦克设计!$B$14:$K$20,9)/30))</f>
        <v>3.9613027806090209</v>
      </c>
      <c r="BU229" s="172">
        <f ca="1">(VLOOKUP(BU$72,INDIRECT($C$5&amp;"生成成长"),2))/((VLOOKUP($B229,INDIRECT($B$5&amp;"生成成长"),4))/(VLOOKUP(BU$72,INDIRECT($C$5&amp;"生成成长"),5))*(VLOOKUP($B$5,标准坦克设计!$B$24:$U$30,MATCH("对"&amp;LEFT($C$5,2)&amp;"输出",标准坦克设计!$B$23:$U$23,0)))*(VLOOKUP($B229,INDIRECT($B$5&amp;"生成成长"),3))*(VLOOKUP($B$5,标准坦克设计!$B$14:$K$20,9)/30))</f>
        <v>4.2755728917445621</v>
      </c>
      <c r="BV229" s="172">
        <f ca="1">(VLOOKUP(BV$72,INDIRECT($C$5&amp;"生成成长"),2))/((VLOOKUP($B229,INDIRECT($B$5&amp;"生成成长"),4))/(VLOOKUP(BV$72,INDIRECT($C$5&amp;"生成成长"),5))*(VLOOKUP($B$5,标准坦克设计!$B$24:$U$30,MATCH("对"&amp;LEFT($C$5,2)&amp;"输出",标准坦克设计!$B$23:$U$23,0)))*(VLOOKUP($B229,INDIRECT($B$5&amp;"生成成长"),3))*(VLOOKUP($B$5,标准坦克设计!$B$14:$K$20,9)/30))</f>
        <v>4.6018380452898553</v>
      </c>
      <c r="BW229" s="172">
        <f ca="1">(VLOOKUP(BW$72,INDIRECT($C$5&amp;"生成成长"),2))/((VLOOKUP($B229,INDIRECT($B$5&amp;"生成成长"),4))/(VLOOKUP(BW$72,INDIRECT($C$5&amp;"生成成长"),5))*(VLOOKUP($B$5,标准坦克设计!$B$24:$U$30,MATCH("对"&amp;LEFT($C$5,2)&amp;"输出",标准坦克设计!$B$23:$U$23,0)))*(VLOOKUP($B229,INDIRECT($B$5&amp;"生成成长"),3))*(VLOOKUP($B$5,标准坦克设计!$B$14:$K$20,9)/30))</f>
        <v>2.0972731901333383</v>
      </c>
      <c r="BX229" s="172">
        <f ca="1">(VLOOKUP(BX$72,INDIRECT($C$5&amp;"生成成长"),2))/((VLOOKUP($B229,INDIRECT($B$5&amp;"生成成长"),4))/(VLOOKUP(BX$72,INDIRECT($C$5&amp;"生成成长"),5))*(VLOOKUP($B$5,标准坦克设计!$B$24:$U$30,MATCH("对"&amp;LEFT($C$5,2)&amp;"输出",标准坦克设计!$B$23:$U$23,0)))*(VLOOKUP($B229,INDIRECT($B$5&amp;"生成成长"),3))*(VLOOKUP($B$5,标准坦克设计!$B$14:$K$20,9)/30))</f>
        <v>2.3275780044006047</v>
      </c>
      <c r="BY229" s="172">
        <f ca="1">(VLOOKUP(BY$72,INDIRECT($C$5&amp;"生成成长"),2))/((VLOOKUP($B229,INDIRECT($B$5&amp;"生成成长"),4))/(VLOOKUP(BY$72,INDIRECT($C$5&amp;"生成成长"),5))*(VLOOKUP($B$5,标准坦克设计!$B$24:$U$30,MATCH("对"&amp;LEFT($C$5,2)&amp;"输出",标准坦克设计!$B$23:$U$23,0)))*(VLOOKUP($B229,INDIRECT($B$5&amp;"生成成长"),3))*(VLOOKUP($B$5,标准坦克设计!$B$14:$K$20,9)/30))</f>
        <v>2.5698778610776238</v>
      </c>
      <c r="BZ229" s="172">
        <f ca="1">(VLOOKUP(BZ$72,INDIRECT($C$5&amp;"生成成长"),2))/((VLOOKUP($B229,INDIRECT($B$5&amp;"生成成长"),4))/(VLOOKUP(BZ$72,INDIRECT($C$5&amp;"生成成长"),5))*(VLOOKUP($B$5,标准坦克设计!$B$24:$U$30,MATCH("对"&amp;LEFT($C$5,2)&amp;"输出",标准坦克设计!$B$23:$U$23,0)))*(VLOOKUP($B229,INDIRECT($B$5&amp;"生成成长"),3))*(VLOOKUP($B$5,标准坦克设计!$B$14:$K$20,9)/30))</f>
        <v>2.8241727601643962</v>
      </c>
      <c r="CA229" s="172">
        <f ca="1">(VLOOKUP(CA$72,INDIRECT($C$5&amp;"生成成长"),2))/((VLOOKUP($B229,INDIRECT($B$5&amp;"生成成长"),4))/(VLOOKUP(CA$72,INDIRECT($C$5&amp;"生成成长"),5))*(VLOOKUP($B$5,标准坦克设计!$B$24:$U$30,MATCH("对"&amp;LEFT($C$5,2)&amp;"输出",标准坦克设计!$B$23:$U$23,0)))*(VLOOKUP($B229,INDIRECT($B$5&amp;"生成成长"),3))*(VLOOKUP($B$5,标准坦克设计!$B$14:$K$20,9)/30))</f>
        <v>3.0904627016609227</v>
      </c>
      <c r="CB229" s="172">
        <f ca="1">(VLOOKUP(CB$72,INDIRECT($C$5&amp;"生成成长"),2))/((VLOOKUP($B229,INDIRECT($B$5&amp;"生成成长"),4))/(VLOOKUP(CB$72,INDIRECT($C$5&amp;"生成成长"),5))*(VLOOKUP($B$5,标准坦克设计!$B$24:$U$30,MATCH("对"&amp;LEFT($C$5,2)&amp;"输出",标准坦克设计!$B$23:$U$23,0)))*(VLOOKUP($B229,INDIRECT($B$5&amp;"生成成长"),3))*(VLOOKUP($B$5,标准坦克设计!$B$14:$K$20,9)/30))</f>
        <v>3.3687476855672025</v>
      </c>
      <c r="CC229" s="172">
        <f ca="1">(VLOOKUP(CC$72,INDIRECT($C$5&amp;"生成成长"),2))/((VLOOKUP($B229,INDIRECT($B$5&amp;"生成成长"),4))/(VLOOKUP(CC$72,INDIRECT($C$5&amp;"生成成长"),5))*(VLOOKUP($B$5,标准坦克设计!$B$24:$U$30,MATCH("对"&amp;LEFT($C$5,2)&amp;"输出",标准坦克设计!$B$23:$U$23,0)))*(VLOOKUP($B229,INDIRECT($B$5&amp;"生成成长"),3))*(VLOOKUP($B$5,标准坦克设计!$B$14:$K$20,9)/30))</f>
        <v>3.6590277118832346</v>
      </c>
      <c r="CD229" s="172">
        <f ca="1">(VLOOKUP(CD$72,INDIRECT($C$5&amp;"生成成长"),2))/((VLOOKUP($B229,INDIRECT($B$5&amp;"生成成长"),4))/(VLOOKUP(CD$72,INDIRECT($C$5&amp;"生成成长"),5))*(VLOOKUP($B$5,标准坦克设计!$B$24:$U$30,MATCH("对"&amp;LEFT($C$5,2)&amp;"输出",标准坦克设计!$B$23:$U$23,0)))*(VLOOKUP($B229,INDIRECT($B$5&amp;"生成成长"),3))*(VLOOKUP($B$5,标准坦克设计!$B$14:$K$20,9)/30))</f>
        <v>3.9613027806090209</v>
      </c>
      <c r="CE229" s="172">
        <f ca="1">(VLOOKUP(CE$72,INDIRECT($C$5&amp;"生成成长"),2))/((VLOOKUP($B229,INDIRECT($B$5&amp;"生成成长"),4))/(VLOOKUP(CE$72,INDIRECT($C$5&amp;"生成成长"),5))*(VLOOKUP($B$5,标准坦克设计!$B$24:$U$30,MATCH("对"&amp;LEFT($C$5,2)&amp;"输出",标准坦克设计!$B$23:$U$23,0)))*(VLOOKUP($B229,INDIRECT($B$5&amp;"生成成长"),3))*(VLOOKUP($B$5,标准坦克设计!$B$14:$K$20,9)/30))</f>
        <v>4.2755728917445621</v>
      </c>
      <c r="CF229" s="172">
        <f ca="1">(VLOOKUP(CF$72,INDIRECT($C$5&amp;"生成成长"),2))/((VLOOKUP($B229,INDIRECT($B$5&amp;"生成成长"),4))/(VLOOKUP(CF$72,INDIRECT($C$5&amp;"生成成长"),5))*(VLOOKUP($B$5,标准坦克设计!$B$24:$U$30,MATCH("对"&amp;LEFT($C$5,2)&amp;"输出",标准坦克设计!$B$23:$U$23,0)))*(VLOOKUP($B229,INDIRECT($B$5&amp;"生成成长"),3))*(VLOOKUP($B$5,标准坦克设计!$B$14:$K$20,9)/30))</f>
        <v>4.6018380452898553</v>
      </c>
      <c r="CG229" s="172">
        <f ca="1">(VLOOKUP(CG$72,INDIRECT($C$5&amp;"生成成长"),2))/((VLOOKUP($B229,INDIRECT($B$5&amp;"生成成长"),4))/(VLOOKUP(CG$72,INDIRECT($C$5&amp;"生成成长"),5))*(VLOOKUP($B$5,标准坦克设计!$B$24:$U$30,MATCH("对"&amp;LEFT($C$5,2)&amp;"输出",标准坦克设计!$B$23:$U$23,0)))*(VLOOKUP($B229,INDIRECT($B$5&amp;"生成成长"),3))*(VLOOKUP($B$5,标准坦克设计!$B$14:$K$20,9)/30))</f>
        <v>4.9400982412449013</v>
      </c>
      <c r="CH229" s="172">
        <f ca="1">(VLOOKUP(CH$72,INDIRECT($C$5&amp;"生成成长"),2))/((VLOOKUP($B229,INDIRECT($B$5&amp;"生成成长"),4))/(VLOOKUP(CH$72,INDIRECT($C$5&amp;"生成成长"),5))*(VLOOKUP($B$5,标准坦克设计!$B$24:$U$30,MATCH("对"&amp;LEFT($C$5,2)&amp;"输出",标准坦克设计!$B$23:$U$23,0)))*(VLOOKUP($B229,INDIRECT($B$5&amp;"生成成长"),3))*(VLOOKUP($B$5,标准坦克设计!$B$14:$K$20,9)/30))</f>
        <v>5.2903534796097027</v>
      </c>
      <c r="CI229" s="172">
        <f ca="1">(VLOOKUP(CI$72,INDIRECT($C$5&amp;"生成成长"),2))/((VLOOKUP($B229,INDIRECT($B$5&amp;"生成成长"),4))/(VLOOKUP(CI$72,INDIRECT($C$5&amp;"生成成长"),5))*(VLOOKUP($B$5,标准坦克设计!$B$24:$U$30,MATCH("对"&amp;LEFT($C$5,2)&amp;"输出",标准坦克设计!$B$23:$U$23,0)))*(VLOOKUP($B229,INDIRECT($B$5&amp;"生成成长"),3))*(VLOOKUP($B$5,标准坦克设计!$B$14:$K$20,9)/30))</f>
        <v>5.6894885157942472</v>
      </c>
      <c r="CJ229" s="172">
        <f ca="1">(VLOOKUP(CJ$72,INDIRECT($C$5&amp;"生成成长"),2))/((VLOOKUP($B229,INDIRECT($B$5&amp;"生成成长"),4))/(VLOOKUP(CJ$72,INDIRECT($C$5&amp;"生成成长"),5))*(VLOOKUP($B$5,标准坦克设计!$B$24:$U$30,MATCH("对"&amp;LEFT($C$5,2)&amp;"输出",标准坦克设计!$B$23:$U$23,0)))*(VLOOKUP($B229,INDIRECT($B$5&amp;"生成成长"),3))*(VLOOKUP($B$5,标准坦克设计!$B$14:$K$20,9)/30))</f>
        <v>6.1031375532945944</v>
      </c>
      <c r="CK229" s="172">
        <f ca="1">(VLOOKUP(CK$72,INDIRECT($C$5&amp;"生成成长"),2))/((VLOOKUP($B229,INDIRECT($B$5&amp;"生成成长"),4))/(VLOOKUP(CK$72,INDIRECT($C$5&amp;"生成成长"),5))*(VLOOKUP($B$5,标准坦克设计!$B$24:$U$30,MATCH("对"&amp;LEFT($C$5,2)&amp;"输出",标准坦克设计!$B$23:$U$23,0)))*(VLOOKUP($B229,INDIRECT($B$5&amp;"生成成长"),3))*(VLOOKUP($B$5,标准坦克设计!$B$14:$K$20,9)/30))</f>
        <v>6.5313005921107434</v>
      </c>
      <c r="CL229" s="172">
        <f ca="1">(VLOOKUP(CL$72,INDIRECT($C$5&amp;"生成成长"),2))/((VLOOKUP($B229,INDIRECT($B$5&amp;"生成成长"),4))/(VLOOKUP(CL$72,INDIRECT($C$5&amp;"生成成长"),5))*(VLOOKUP($B$5,标准坦克设计!$B$24:$U$30,MATCH("对"&amp;LEFT($C$5,2)&amp;"输出",标准坦克设计!$B$23:$U$23,0)))*(VLOOKUP($B229,INDIRECT($B$5&amp;"生成成长"),3))*(VLOOKUP($B$5,标准坦克设计!$B$14:$K$20,9)/30))</f>
        <v>6.9739776322426943</v>
      </c>
      <c r="CM229" s="172">
        <f ca="1">(VLOOKUP(CM$72,INDIRECT($C$5&amp;"生成成长"),2))/((VLOOKUP($B229,INDIRECT($B$5&amp;"生成成长"),4))/(VLOOKUP(CM$72,INDIRECT($C$5&amp;"生成成长"),5))*(VLOOKUP($B$5,标准坦克设计!$B$24:$U$30,MATCH("对"&amp;LEFT($C$5,2)&amp;"输出",标准坦克设计!$B$23:$U$23,0)))*(VLOOKUP($B229,INDIRECT($B$5&amp;"生成成长"),3))*(VLOOKUP($B$5,标准坦克设计!$B$14:$K$20,9)/30))</f>
        <v>7.4311686736904452</v>
      </c>
      <c r="CN229" s="172">
        <f ca="1">(VLOOKUP(CN$72,INDIRECT($C$5&amp;"生成成长"),2))/((VLOOKUP($B229,INDIRECT($B$5&amp;"生成成长"),4))/(VLOOKUP(CN$72,INDIRECT($C$5&amp;"生成成长"),5))*(VLOOKUP($B$5,标准坦克设计!$B$24:$U$30,MATCH("对"&amp;LEFT($C$5,2)&amp;"输出",标准坦克设计!$B$23:$U$23,0)))*(VLOOKUP($B229,INDIRECT($B$5&amp;"生成成长"),3))*(VLOOKUP($B$5,标准坦克设计!$B$14:$K$20,9)/30))</f>
        <v>7.9028737164539997</v>
      </c>
      <c r="CO229" s="172">
        <f ca="1">(VLOOKUP(CO$72,INDIRECT($C$5&amp;"生成成长"),2))/((VLOOKUP($B229,INDIRECT($B$5&amp;"生成成长"),4))/(VLOOKUP(CO$72,INDIRECT($C$5&amp;"生成成长"),5))*(VLOOKUP($B$5,标准坦克设计!$B$24:$U$30,MATCH("对"&amp;LEFT($C$5,2)&amp;"输出",标准坦克设计!$B$23:$U$23,0)))*(VLOOKUP($B229,INDIRECT($B$5&amp;"生成成长"),3))*(VLOOKUP($B$5,标准坦克设计!$B$14:$K$20,9)/30))</f>
        <v>3.541476296267652</v>
      </c>
      <c r="CP229" s="172">
        <f ca="1">(VLOOKUP(CP$72,INDIRECT($C$5&amp;"生成成长"),2))/((VLOOKUP($B229,INDIRECT($B$5&amp;"生成成长"),4))/(VLOOKUP(CP$72,INDIRECT($C$5&amp;"生成成长"),5))*(VLOOKUP($B$5,标准坦克设计!$B$24:$U$30,MATCH("对"&amp;LEFT($C$5,2)&amp;"输出",标准坦克设计!$B$23:$U$23,0)))*(VLOOKUP($B229,INDIRECT($B$5&amp;"生成成长"),3))*(VLOOKUP($B$5,标准坦克设计!$B$14:$K$20,9)/30))</f>
        <v>3.8693607805382619</v>
      </c>
      <c r="CQ229" s="172">
        <f ca="1">(VLOOKUP(CQ$72,INDIRECT($C$5&amp;"生成成长"),2))/((VLOOKUP($B229,INDIRECT($B$5&amp;"生成成长"),4))/(VLOOKUP(CQ$72,INDIRECT($C$5&amp;"生成成长"),5))*(VLOOKUP($B$5,标准坦克设计!$B$24:$U$30,MATCH("对"&amp;LEFT($C$5,2)&amp;"输出",标准坦克设计!$B$23:$U$23,0)))*(VLOOKUP($B229,INDIRECT($B$5&amp;"生成成长"),3))*(VLOOKUP($B$5,标准坦克设计!$B$14:$K$20,9)/30))</f>
        <v>4.2117592661246732</v>
      </c>
      <c r="CR229" s="172">
        <f ca="1">(VLOOKUP(CR$72,INDIRECT($C$5&amp;"生成成长"),2))/((VLOOKUP($B229,INDIRECT($B$5&amp;"生成成长"),4))/(VLOOKUP(CR$72,INDIRECT($C$5&amp;"生成成长"),5))*(VLOOKUP($B$5,标准坦克设计!$B$24:$U$30,MATCH("对"&amp;LEFT($C$5,2)&amp;"输出",标准坦克设计!$B$23:$U$23,0)))*(VLOOKUP($B229,INDIRECT($B$5&amp;"生成成长"),3))*(VLOOKUP($B$5,标准坦克设计!$B$14:$K$20,9)/30))</f>
        <v>4.5686717530268863</v>
      </c>
      <c r="CS229" s="172">
        <f ca="1">(VLOOKUP(CS$72,INDIRECT($C$5&amp;"生成成长"),2))/((VLOOKUP($B229,INDIRECT($B$5&amp;"生成成长"),4))/(VLOOKUP(CS$72,INDIRECT($C$5&amp;"生成成长"),5))*(VLOOKUP($B$5,标准坦克设计!$B$24:$U$30,MATCH("对"&amp;LEFT($C$5,2)&amp;"输出",标准坦克设计!$B$23:$U$23,0)))*(VLOOKUP($B229,INDIRECT($B$5&amp;"生成成长"),3))*(VLOOKUP($B$5,标准坦克设计!$B$14:$K$20,9)/30))</f>
        <v>4.9400982412449013</v>
      </c>
      <c r="CT229" s="172">
        <f ca="1">(VLOOKUP(CT$72,INDIRECT($C$5&amp;"生成成长"),2))/((VLOOKUP($B229,INDIRECT($B$5&amp;"生成成长"),4))/(VLOOKUP(CT$72,INDIRECT($C$5&amp;"生成成长"),5))*(VLOOKUP($B$5,标准坦克设计!$B$24:$U$30,MATCH("对"&amp;LEFT($C$5,2)&amp;"输出",标准坦克设计!$B$23:$U$23,0)))*(VLOOKUP($B229,INDIRECT($B$5&amp;"生成成长"),3))*(VLOOKUP($B$5,标准坦克设计!$B$14:$K$20,9)/30))</f>
        <v>5.3260387307787189</v>
      </c>
      <c r="CU229" s="172">
        <f ca="1">(VLOOKUP(CU$72,INDIRECT($C$5&amp;"生成成长"),2))/((VLOOKUP($B229,INDIRECT($B$5&amp;"生成成长"),4))/(VLOOKUP(CU$72,INDIRECT($C$5&amp;"生成成长"),5))*(VLOOKUP($B$5,标准坦克设计!$B$24:$U$30,MATCH("对"&amp;LEFT($C$5,2)&amp;"输出",标准坦克设计!$B$23:$U$23,0)))*(VLOOKUP($B229,INDIRECT($B$5&amp;"生成成长"),3))*(VLOOKUP($B$5,标准坦克设计!$B$14:$K$20,9)/30))</f>
        <v>5.7264932216283357</v>
      </c>
      <c r="CV229" s="172">
        <f ca="1">(VLOOKUP(CV$72,INDIRECT($C$5&amp;"生成成长"),2))/((VLOOKUP($B229,INDIRECT($B$5&amp;"生成成长"),4))/(VLOOKUP(CV$72,INDIRECT($C$5&amp;"生成成长"),5))*(VLOOKUP($B$5,标准坦克设计!$B$24:$U$30,MATCH("对"&amp;LEFT($C$5,2)&amp;"输出",标准坦克设计!$B$23:$U$23,0)))*(VLOOKUP($B229,INDIRECT($B$5&amp;"生成成长"),3))*(VLOOKUP($B$5,标准坦克设计!$B$14:$K$20,9)/30))</f>
        <v>6.1414617137937562</v>
      </c>
      <c r="CW229" s="172">
        <f ca="1">(VLOOKUP(CW$72,INDIRECT($C$5&amp;"生成成长"),2))/((VLOOKUP($B229,INDIRECT($B$5&amp;"生成成长"),4))/(VLOOKUP(CW$72,INDIRECT($C$5&amp;"生成成长"),5))*(VLOOKUP($B$5,标准坦克设计!$B$24:$U$30,MATCH("对"&amp;LEFT($C$5,2)&amp;"输出",标准坦克设计!$B$23:$U$23,0)))*(VLOOKUP($B229,INDIRECT($B$5&amp;"生成成长"),3))*(VLOOKUP($B$5,标准坦克设计!$B$14:$K$20,9)/30))</f>
        <v>6.5709442072749784</v>
      </c>
      <c r="CX229" s="172">
        <f ca="1">(VLOOKUP(CX$72,INDIRECT($C$5&amp;"生成成长"),2))/((VLOOKUP($B229,INDIRECT($B$5&amp;"生成成长"),4))/(VLOOKUP(CX$72,INDIRECT($C$5&amp;"生成成长"),5))*(VLOOKUP($B$5,标准坦克设计!$B$24:$U$30,MATCH("对"&amp;LEFT($C$5,2)&amp;"输出",标准坦克设计!$B$23:$U$23,0)))*(VLOOKUP($B229,INDIRECT($B$5&amp;"生成成长"),3))*(VLOOKUP($B$5,标准坦克设计!$B$14:$K$20,9)/30))</f>
        <v>7.0149407020720007</v>
      </c>
      <c r="CY229" s="172">
        <f ca="1">(VLOOKUP(CY$72,INDIRECT($C$5&amp;"生成成长"),2))/((VLOOKUP($B229,INDIRECT($B$5&amp;"生成成长"),4))/(VLOOKUP(CY$72,INDIRECT($C$5&amp;"生成成长"),5))*(VLOOKUP($B$5,标准坦克设计!$B$24:$U$30,MATCH("对"&amp;LEFT($C$5,2)&amp;"输出",标准坦克设计!$B$23:$U$23,0)))*(VLOOKUP($B229,INDIRECT($B$5&amp;"生成成长"),3))*(VLOOKUP($B$5,标准坦克设计!$B$14:$K$20,9)/30))</f>
        <v>7.4734511981848275</v>
      </c>
      <c r="CZ229" s="172">
        <f ca="1">(VLOOKUP(CZ$72,INDIRECT($C$5&amp;"生成成长"),2))/((VLOOKUP($B229,INDIRECT($B$5&amp;"生成成长"),4))/(VLOOKUP(CZ$72,INDIRECT($C$5&amp;"生成成长"),5))*(VLOOKUP($B$5,标准坦克设计!$B$24:$U$30,MATCH("对"&amp;LEFT($C$5,2)&amp;"输出",标准坦克设计!$B$23:$U$23,0)))*(VLOOKUP($B229,INDIRECT($B$5&amp;"生成成长"),3))*(VLOOKUP($B$5,标准坦克设计!$B$14:$K$20,9)/30))</f>
        <v>7.9464756956134508</v>
      </c>
      <c r="DA229" s="172">
        <f ca="1">(VLOOKUP(DA$72,INDIRECT($C$5&amp;"生成成长"),2))/((VLOOKUP($B229,INDIRECT($B$5&amp;"生成成长"),4))/(VLOOKUP(DA$72,INDIRECT($C$5&amp;"生成成长"),5))*(VLOOKUP($B$5,标准坦克设计!$B$24:$U$30,MATCH("对"&amp;LEFT($C$5,2)&amp;"输出",标准坦克设计!$B$23:$U$23,0)))*(VLOOKUP($B229,INDIRECT($B$5&amp;"生成成长"),3))*(VLOOKUP($B$5,标准坦克设计!$B$14:$K$20,9)/30))</f>
        <v>8.4340141943578804</v>
      </c>
      <c r="DB229" s="172">
        <f ca="1">(VLOOKUP(DB$72,INDIRECT($C$5&amp;"生成成长"),2))/((VLOOKUP($B229,INDIRECT($B$5&amp;"生成成长"),4))/(VLOOKUP(DB$72,INDIRECT($C$5&amp;"生成成长"),5))*(VLOOKUP($B$5,标准坦克设计!$B$24:$U$30,MATCH("对"&amp;LEFT($C$5,2)&amp;"输出",标准坦克设计!$B$23:$U$23,0)))*(VLOOKUP($B229,INDIRECT($B$5&amp;"生成成长"),3))*(VLOOKUP($B$5,标准坦克设计!$B$14:$K$20,9)/30))</f>
        <v>8.9360666944181109</v>
      </c>
      <c r="DC229" s="172">
        <f ca="1">(VLOOKUP(DC$72,INDIRECT($C$5&amp;"生成成长"),2))/((VLOOKUP($B229,INDIRECT($B$5&amp;"生成成长"),4))/(VLOOKUP(DC$72,INDIRECT($C$5&amp;"生成成长"),5))*(VLOOKUP($B$5,标准坦克设计!$B$24:$U$30,MATCH("对"&amp;LEFT($C$5,2)&amp;"输出",标准坦克设计!$B$23:$U$23,0)))*(VLOOKUP($B229,INDIRECT($B$5&amp;"生成成长"),3))*(VLOOKUP($B$5,标准坦克设计!$B$14:$K$20,9)/30))</f>
        <v>9.5003134893729122</v>
      </c>
      <c r="DD229" s="172">
        <f ca="1">(VLOOKUP(DD$72,INDIRECT($C$5&amp;"生成成长"),2))/((VLOOKUP($B229,INDIRECT($B$5&amp;"生成成长"),4))/(VLOOKUP(DD$72,INDIRECT($C$5&amp;"生成成长"),5))*(VLOOKUP($B$5,标准坦克设计!$B$24:$U$30,MATCH("对"&amp;LEFT($C$5,2)&amp;"输出",标准坦克设计!$B$23:$U$23,0)))*(VLOOKUP($B229,INDIRECT($B$5&amp;"生成成长"),3))*(VLOOKUP($B$5,标准坦克设计!$B$14:$K$20,9)/30))</f>
        <v>10.081833145397757</v>
      </c>
      <c r="DE229" s="172">
        <f ca="1">(VLOOKUP(DE$72,INDIRECT($C$5&amp;"生成成长"),2))/((VLOOKUP($B229,INDIRECT($B$5&amp;"生成成长"),4))/(VLOOKUP(DE$72,INDIRECT($C$5&amp;"生成成长"),5))*(VLOOKUP($B$5,标准坦克设计!$B$24:$U$30,MATCH("对"&amp;LEFT($C$5,2)&amp;"输出",标准坦克设计!$B$23:$U$23,0)))*(VLOOKUP($B229,INDIRECT($B$5&amp;"生成成长"),3))*(VLOOKUP($B$5,标准坦克设计!$B$14:$K$20,9)/30))</f>
        <v>10.68062566249265</v>
      </c>
      <c r="DF229" s="172">
        <f ca="1">(VLOOKUP(DF$72,INDIRECT($C$5&amp;"生成成长"),2))/((VLOOKUP($B229,INDIRECT($B$5&amp;"生成成长"),4))/(VLOOKUP(DF$72,INDIRECT($C$5&amp;"生成成长"),5))*(VLOOKUP($B$5,标准坦克设计!$B$24:$U$30,MATCH("对"&amp;LEFT($C$5,2)&amp;"输出",标准坦克设计!$B$23:$U$23,0)))*(VLOOKUP($B229,INDIRECT($B$5&amp;"生成成长"),3))*(VLOOKUP($B$5,标准坦克设计!$B$14:$K$20,9)/30))</f>
        <v>11.296691040657585</v>
      </c>
      <c r="DG229" s="172">
        <f ca="1">(VLOOKUP(DG$72,INDIRECT($C$5&amp;"生成成长"),2))/((VLOOKUP($B229,INDIRECT($B$5&amp;"生成成长"),4))/(VLOOKUP(DG$72,INDIRECT($C$5&amp;"生成成长"),5))*(VLOOKUP($B$5,标准坦克设计!$B$24:$U$30,MATCH("对"&amp;LEFT($C$5,2)&amp;"输出",标准坦克设计!$B$23:$U$23,0)))*(VLOOKUP($B229,INDIRECT($B$5&amp;"生成成长"),3))*(VLOOKUP($B$5,标准坦克设计!$B$14:$K$20,9)/30))</f>
        <v>11.930029279892569</v>
      </c>
      <c r="DH229" s="172">
        <f ca="1">(VLOOKUP(DH$72,INDIRECT($C$5&amp;"生成成长"),2))/((VLOOKUP($B229,INDIRECT($B$5&amp;"生成成长"),4))/(VLOOKUP(DH$72,INDIRECT($C$5&amp;"生成成长"),5))*(VLOOKUP($B$5,标准坦克设计!$B$24:$U$30,MATCH("对"&amp;LEFT($C$5,2)&amp;"输出",标准坦克设计!$B$23:$U$23,0)))*(VLOOKUP($B229,INDIRECT($B$5&amp;"生成成长"),3))*(VLOOKUP($B$5,标准坦克设计!$B$14:$K$20,9)/30))</f>
        <v>12.580640380197593</v>
      </c>
      <c r="DI229" s="172">
        <f ca="1">(VLOOKUP(DI$72,INDIRECT($C$5&amp;"生成成长"),2))/((VLOOKUP($B229,INDIRECT($B$5&amp;"生成成长"),4))/(VLOOKUP(DI$72,INDIRECT($C$5&amp;"生成成长"),5))*(VLOOKUP($B$5,标准坦克设计!$B$24:$U$30,MATCH("对"&amp;LEFT($C$5,2)&amp;"输出",标准坦克设计!$B$23:$U$23,0)))*(VLOOKUP($B229,INDIRECT($B$5&amp;"生成成长"),3))*(VLOOKUP($B$5,标准坦克设计!$B$14:$K$20,9)/30))</f>
        <v>13.248524341572665</v>
      </c>
      <c r="DJ229" s="172">
        <f ca="1">(VLOOKUP(DJ$72,INDIRECT($C$5&amp;"生成成长"),2))/((VLOOKUP($B229,INDIRECT($B$5&amp;"生成成长"),4))/(VLOOKUP(DJ$72,INDIRECT($C$5&amp;"生成成长"),5))*(VLOOKUP($B$5,标准坦克设计!$B$24:$U$30,MATCH("对"&amp;LEFT($C$5,2)&amp;"输出",标准坦克设计!$B$23:$U$23,0)))*(VLOOKUP($B229,INDIRECT($B$5&amp;"生成成长"),3))*(VLOOKUP($B$5,标准坦克设计!$B$14:$K$20,9)/30))</f>
        <v>1.3315096826946797</v>
      </c>
      <c r="DK229" s="172">
        <f ca="1">(VLOOKUP(DK$72,INDIRECT($C$5&amp;"生成成长"),2))/((VLOOKUP($B229,INDIRECT($B$5&amp;"生成成长"),4))/(VLOOKUP(DK$72,INDIRECT($C$5&amp;"生成成长"),5))*(VLOOKUP($B$5,标准坦克设计!$B$24:$U$30,MATCH("对"&amp;LEFT($C$5,2)&amp;"输出",标准坦克设计!$B$23:$U$23,0)))*(VLOOKUP($B229,INDIRECT($B$5&amp;"生成成长"),3))*(VLOOKUP($B$5,标准坦克设计!$B$14:$K$20,9)/30))</f>
        <v>1.4972211935854232</v>
      </c>
      <c r="DL229" s="172">
        <f ca="1">(VLOOKUP(DL$72,INDIRECT($C$5&amp;"生成成长"),2))/((VLOOKUP($B229,INDIRECT($B$5&amp;"生成成长"),4))/(VLOOKUP(DL$72,INDIRECT($C$5&amp;"生成成长"),5))*(VLOOKUP($B$5,标准坦克设计!$B$24:$U$30,MATCH("对"&amp;LEFT($C$5,2)&amp;"输出",标准坦克设计!$B$23:$U$23,0)))*(VLOOKUP($B229,INDIRECT($B$5&amp;"生成成长"),3))*(VLOOKUP($B$5,标准坦克设计!$B$14:$K$20,9)/30))</f>
        <v>1.6726486888280667</v>
      </c>
      <c r="DM229" s="172">
        <f ca="1">(VLOOKUP(DM$72,INDIRECT($C$5&amp;"生成成长"),2))/((VLOOKUP($B229,INDIRECT($B$5&amp;"生成成长"),4))/(VLOOKUP(DM$72,INDIRECT($C$5&amp;"生成成长"),5))*(VLOOKUP($B$5,标准坦克设计!$B$24:$U$30,MATCH("对"&amp;LEFT($C$5,2)&amp;"输出",标准坦克设计!$B$23:$U$23,0)))*(VLOOKUP($B229,INDIRECT($B$5&amp;"生成成长"),3))*(VLOOKUP($B$5,标准坦克设计!$B$14:$K$20,9)/30))</f>
        <v>1.8577921684226113</v>
      </c>
      <c r="DN229" s="172">
        <f ca="1">(VLOOKUP(DN$72,INDIRECT($C$5&amp;"生成成长"),2))/((VLOOKUP($B229,INDIRECT($B$5&amp;"生成成长"),4))/(VLOOKUP(DN$72,INDIRECT($C$5&amp;"生成成长"),5))*(VLOOKUP($B$5,标准坦克设计!$B$24:$U$30,MATCH("对"&amp;LEFT($C$5,2)&amp;"输出",标准坦克设计!$B$23:$U$23,0)))*(VLOOKUP($B229,INDIRECT($B$5&amp;"生成成长"),3))*(VLOOKUP($B$5,标准坦克设计!$B$14:$K$20,9)/30))</f>
        <v>2.0526516323690558</v>
      </c>
      <c r="DO229" s="172">
        <f ca="1">(VLOOKUP(DO$72,INDIRECT($C$5&amp;"生成成长"),2))/((VLOOKUP($B229,INDIRECT($B$5&amp;"生成成长"),4))/(VLOOKUP(DO$72,INDIRECT($C$5&amp;"生成成长"),5))*(VLOOKUP($B$5,标准坦克设计!$B$24:$U$30,MATCH("对"&amp;LEFT($C$5,2)&amp;"输出",标准坦克设计!$B$23:$U$23,0)))*(VLOOKUP($B229,INDIRECT($B$5&amp;"生成成长"),3))*(VLOOKUP($B$5,标准坦克设计!$B$14:$K$20,9)/30))</f>
        <v>2.2572270806674006</v>
      </c>
      <c r="DP229" s="172">
        <f ca="1">(VLOOKUP(DP$72,INDIRECT($C$5&amp;"生成成长"),2))/((VLOOKUP($B229,INDIRECT($B$5&amp;"生成成长"),4))/(VLOOKUP(DP$72,INDIRECT($C$5&amp;"生成成长"),5))*(VLOOKUP($B$5,标准坦克设计!$B$24:$U$30,MATCH("对"&amp;LEFT($C$5,2)&amp;"输出",标准坦克设计!$B$23:$U$23,0)))*(VLOOKUP($B229,INDIRECT($B$5&amp;"生成成长"),3))*(VLOOKUP($B$5,标准坦克设计!$B$14:$K$20,9)/30))</f>
        <v>2.4715185133176454</v>
      </c>
      <c r="DQ229" s="172">
        <f ca="1">(VLOOKUP(DQ$72,INDIRECT($C$5&amp;"生成成长"),2))/((VLOOKUP($B229,INDIRECT($B$5&amp;"生成成长"),4))/(VLOOKUP(DQ$72,INDIRECT($C$5&amp;"生成成长"),5))*(VLOOKUP($B$5,标准坦克设计!$B$24:$U$30,MATCH("对"&amp;LEFT($C$5,2)&amp;"输出",标准坦克设计!$B$23:$U$23,0)))*(VLOOKUP($B229,INDIRECT($B$5&amp;"生成成长"),3))*(VLOOKUP($B$5,标准坦克设计!$B$14:$K$20,9)/30))</f>
        <v>2.6955259303197914</v>
      </c>
      <c r="DR229" s="172">
        <f ca="1">(VLOOKUP(DR$72,INDIRECT($C$5&amp;"生成成长"),2))/((VLOOKUP($B229,INDIRECT($B$5&amp;"生成成长"),4))/(VLOOKUP(DR$72,INDIRECT($C$5&amp;"生成成长"),5))*(VLOOKUP($B$5,标准坦克设计!$B$24:$U$30,MATCH("对"&amp;LEFT($C$5,2)&amp;"输出",标准坦克设计!$B$23:$U$23,0)))*(VLOOKUP($B229,INDIRECT($B$5&amp;"生成成长"),3))*(VLOOKUP($B$5,标准坦克设计!$B$14:$K$20,9)/30))</f>
        <v>2.9292493316738359</v>
      </c>
      <c r="DS229" s="172">
        <f ca="1">(VLOOKUP(DS$72,INDIRECT($C$5&amp;"生成成长"),2))/((VLOOKUP($B229,INDIRECT($B$5&amp;"生成成长"),4))/(VLOOKUP(DS$72,INDIRECT($C$5&amp;"生成成长"),5))*(VLOOKUP($B$5,标准坦克设计!$B$24:$U$30,MATCH("对"&amp;LEFT($C$5,2)&amp;"输出",标准坦克设计!$B$23:$U$23,0)))*(VLOOKUP($B229,INDIRECT($B$5&amp;"生成成长"),3))*(VLOOKUP($B$5,标准坦克设计!$B$14:$K$20,9)/30))</f>
        <v>3.1726887173797818</v>
      </c>
      <c r="DT229" s="172">
        <f ca="1">(VLOOKUP(DT$72,INDIRECT($C$5&amp;"生成成长"),2))/((VLOOKUP($B229,INDIRECT($B$5&amp;"生成成长"),4))/(VLOOKUP(DT$72,INDIRECT($C$5&amp;"生成成长"),5))*(VLOOKUP($B$5,标准坦克设计!$B$24:$U$30,MATCH("对"&amp;LEFT($C$5,2)&amp;"输出",标准坦克设计!$B$23:$U$23,0)))*(VLOOKUP($B229,INDIRECT($B$5&amp;"生成成长"),3))*(VLOOKUP($B$5,标准坦克设计!$B$14:$K$20,9)/30))</f>
        <v>3.4834202910044452</v>
      </c>
      <c r="DU229" s="172">
        <f ca="1">(VLOOKUP(DU$72,INDIRECT($C$5&amp;"生成成长"),2))/((VLOOKUP($B229,INDIRECT($B$5&amp;"生成成长"),4))/(VLOOKUP(DU$72,INDIRECT($C$5&amp;"生成成长"),5))*(VLOOKUP($B$5,标准坦克设计!$B$24:$U$30,MATCH("对"&amp;LEFT($C$5,2)&amp;"输出",标准坦克设计!$B$23:$U$23,0)))*(VLOOKUP($B229,INDIRECT($B$5&amp;"生成成长"),3))*(VLOOKUP($B$5,标准坦克设计!$B$14:$K$20,9)/30))</f>
        <v>3.8086658659449095</v>
      </c>
      <c r="DV229" s="172">
        <f ca="1">(VLOOKUP(DV$72,INDIRECT($C$5&amp;"生成成长"),2))/((VLOOKUP($B229,INDIRECT($B$5&amp;"生成成长"),4))/(VLOOKUP(DV$72,INDIRECT($C$5&amp;"生成成长"),5))*(VLOOKUP($B$5,标准坦克设计!$B$24:$U$30,MATCH("对"&amp;LEFT($C$5,2)&amp;"输出",标准坦克设计!$B$23:$U$23,0)))*(VLOOKUP($B229,INDIRECT($B$5&amp;"生成成长"),3))*(VLOOKUP($B$5,标准坦克设计!$B$14:$K$20,9)/30))</f>
        <v>4.1484254422011748</v>
      </c>
      <c r="DW229" s="172">
        <f ca="1">(VLOOKUP(DW$72,INDIRECT($C$5&amp;"生成成长"),2))/((VLOOKUP($B229,INDIRECT($B$5&amp;"生成成长"),4))/(VLOOKUP(DW$72,INDIRECT($C$5&amp;"生成成长"),5))*(VLOOKUP($B$5,标准坦克设计!$B$24:$U$30,MATCH("对"&amp;LEFT($C$5,2)&amp;"输出",标准坦克设计!$B$23:$U$23,0)))*(VLOOKUP($B229,INDIRECT($B$5&amp;"生成成长"),3))*(VLOOKUP($B$5,标准坦克设计!$B$14:$K$20,9)/30))</f>
        <v>4.5026990197732424</v>
      </c>
      <c r="DX229" s="172">
        <f ca="1">(VLOOKUP(DX$72,INDIRECT($C$5&amp;"生成成长"),2))/((VLOOKUP($B229,INDIRECT($B$5&amp;"生成成长"),4))/(VLOOKUP(DX$72,INDIRECT($C$5&amp;"生成成长"),5))*(VLOOKUP($B$5,标准坦克设计!$B$24:$U$30,MATCH("对"&amp;LEFT($C$5,2)&amp;"输出",标准坦克设计!$B$23:$U$23,0)))*(VLOOKUP($B229,INDIRECT($B$5&amp;"生成成长"),3))*(VLOOKUP($B$5,标准坦克设计!$B$14:$K$20,9)/30))</f>
        <v>4.8714865986611118</v>
      </c>
      <c r="DY229" s="172">
        <f ca="1">(VLOOKUP(DY$72,INDIRECT($C$5&amp;"生成成长"),2))/((VLOOKUP($B229,INDIRECT($B$5&amp;"生成成长"),4))/(VLOOKUP(DY$72,INDIRECT($C$5&amp;"生成成长"),5))*(VLOOKUP($B$5,标准坦克设计!$B$24:$U$30,MATCH("对"&amp;LEFT($C$5,2)&amp;"输出",标准坦克设计!$B$23:$U$23,0)))*(VLOOKUP($B229,INDIRECT($B$5&amp;"生成成长"),3))*(VLOOKUP($B$5,标准坦克设计!$B$14:$K$20,9)/30))</f>
        <v>2.1879557107510741</v>
      </c>
      <c r="DZ229" s="172">
        <f ca="1">(VLOOKUP(DZ$72,INDIRECT($C$5&amp;"生成成长"),2))/((VLOOKUP($B229,INDIRECT($B$5&amp;"生成成长"),4))/(VLOOKUP(DZ$72,INDIRECT($C$5&amp;"生成成长"),5))*(VLOOKUP($B$5,标准坦克设计!$B$24:$U$30,MATCH("对"&amp;LEFT($C$5,2)&amp;"输出",标准坦克设计!$B$23:$U$23,0)))*(VLOOKUP($B229,INDIRECT($B$5&amp;"生成成长"),3))*(VLOOKUP($B$5,标准坦克设计!$B$14:$K$20,9)/30))</f>
        <v>2.4230585419822419</v>
      </c>
      <c r="EA229" s="172">
        <f ca="1">(VLOOKUP(EA$72,INDIRECT($C$5&amp;"生成成长"),2))/((VLOOKUP($B229,INDIRECT($B$5&amp;"生成成长"),4))/(VLOOKUP(EA$72,INDIRECT($C$5&amp;"生成成长"),5))*(VLOOKUP($B$5,标准坦克设计!$B$24:$U$30,MATCH("对"&amp;LEFT($C$5,2)&amp;"输出",标准坦克设计!$B$23:$U$23,0)))*(VLOOKUP($B229,INDIRECT($B$5&amp;"生成成长"),3))*(VLOOKUP($B$5,标准坦克设计!$B$14:$K$20,9)/30))</f>
        <v>2.6701564156231625</v>
      </c>
      <c r="EB229" s="172">
        <f ca="1">(VLOOKUP(EB$72,INDIRECT($C$5&amp;"生成成长"),2))/((VLOOKUP($B229,INDIRECT($B$5&amp;"生成成长"),4))/(VLOOKUP(EB$72,INDIRECT($C$5&amp;"生成成长"),5))*(VLOOKUP($B$5,标准坦克设计!$B$24:$U$30,MATCH("对"&amp;LEFT($C$5,2)&amp;"输出",标准坦克设计!$B$23:$U$23,0)))*(VLOOKUP($B229,INDIRECT($B$5&amp;"生成成长"),3))*(VLOOKUP($B$5,标准坦克设计!$B$14:$K$20,9)/30))</f>
        <v>2.9292493316738359</v>
      </c>
      <c r="EC229" s="172">
        <f ca="1">(VLOOKUP(EC$72,INDIRECT($C$5&amp;"生成成长"),2))/((VLOOKUP($B229,INDIRECT($B$5&amp;"生成成长"),4))/(VLOOKUP(EC$72,INDIRECT($C$5&amp;"生成成长"),5))*(VLOOKUP($B$5,标准坦克设计!$B$24:$U$30,MATCH("对"&amp;LEFT($C$5,2)&amp;"输出",标准坦克设计!$B$23:$U$23,0)))*(VLOOKUP($B229,INDIRECT($B$5&amp;"生成成长"),3))*(VLOOKUP($B$5,标准坦克设计!$B$14:$K$20,9)/30))</f>
        <v>3.2003372901342644</v>
      </c>
      <c r="ED229" s="172">
        <f ca="1">(VLOOKUP(ED$72,INDIRECT($C$5&amp;"生成成长"),2))/((VLOOKUP($B229,INDIRECT($B$5&amp;"生成成长"),4))/(VLOOKUP(ED$72,INDIRECT($C$5&amp;"生成成长"),5))*(VLOOKUP($B$5,标准坦克设计!$B$24:$U$30,MATCH("对"&amp;LEFT($C$5,2)&amp;"输出",标准坦克设计!$B$23:$U$23,0)))*(VLOOKUP($B229,INDIRECT($B$5&amp;"生成成长"),3))*(VLOOKUP($B$5,标准坦克设计!$B$14:$K$20,9)/30))</f>
        <v>3.4834202910044452</v>
      </c>
      <c r="EE229" s="172">
        <f ca="1">(VLOOKUP(EE$72,INDIRECT($C$5&amp;"生成成长"),2))/((VLOOKUP($B229,INDIRECT($B$5&amp;"生成成长"),4))/(VLOOKUP(EE$72,INDIRECT($C$5&amp;"生成成长"),5))*(VLOOKUP($B$5,标准坦克设计!$B$24:$U$30,MATCH("对"&amp;LEFT($C$5,2)&amp;"输出",标准坦克设计!$B$23:$U$23,0)))*(VLOOKUP($B229,INDIRECT($B$5&amp;"生成成长"),3))*(VLOOKUP($B$5,标准坦克设计!$B$14:$K$20,9)/30))</f>
        <v>3.7784983342843792</v>
      </c>
      <c r="EF229" s="172">
        <f ca="1">(VLOOKUP(EF$72,INDIRECT($C$5&amp;"生成成长"),2))/((VLOOKUP($B229,INDIRECT($B$5&amp;"生成成长"),4))/(VLOOKUP(EF$72,INDIRECT($C$5&amp;"生成成长"),5))*(VLOOKUP($B$5,标准坦克设计!$B$24:$U$30,MATCH("对"&amp;LEFT($C$5,2)&amp;"输出",标准坦克设计!$B$23:$U$23,0)))*(VLOOKUP($B229,INDIRECT($B$5&amp;"生成成长"),3))*(VLOOKUP($B$5,标准坦克设计!$B$14:$K$20,9)/30))</f>
        <v>4.0855714199740669</v>
      </c>
      <c r="EG229" s="172">
        <f ca="1">(VLOOKUP(EG$72,INDIRECT($C$5&amp;"生成成长"),2))/((VLOOKUP($B229,INDIRECT($B$5&amp;"生成成长"),4))/(VLOOKUP(EG$72,INDIRECT($C$5&amp;"生成成长"),5))*(VLOOKUP($B$5,标准坦克设计!$B$24:$U$30,MATCH("对"&amp;LEFT($C$5,2)&amp;"输出",标准坦克设计!$B$23:$U$23,0)))*(VLOOKUP($B229,INDIRECT($B$5&amp;"生成成长"),3))*(VLOOKUP($B$5,标准坦克设计!$B$14:$K$20,9)/30))</f>
        <v>4.4046395480735079</v>
      </c>
      <c r="EH229" s="172">
        <f ca="1">(VLOOKUP(EH$72,INDIRECT($C$5&amp;"生成成长"),2))/((VLOOKUP($B229,INDIRECT($B$5&amp;"生成成长"),4))/(VLOOKUP(EH$72,INDIRECT($C$5&amp;"生成成长"),5))*(VLOOKUP($B$5,标准坦克设计!$B$24:$U$30,MATCH("对"&amp;LEFT($C$5,2)&amp;"输出",标准坦克设计!$B$23:$U$23,0)))*(VLOOKUP($B229,INDIRECT($B$5&amp;"生成成长"),3))*(VLOOKUP($B$5,标准坦克设计!$B$14:$K$20,9)/30))</f>
        <v>4.7357027185827025</v>
      </c>
      <c r="EI229" s="172">
        <f ca="1">(VLOOKUP(EI$72,INDIRECT($C$5&amp;"生成成长"),2))/((VLOOKUP($B229,INDIRECT($B$5&amp;"生成成长"),4))/(VLOOKUP(EI$72,INDIRECT($C$5&amp;"生成成长"),5))*(VLOOKUP($B$5,标准坦克设计!$B$24:$U$30,MATCH("对"&amp;LEFT($C$5,2)&amp;"输出",标准坦克设计!$B$23:$U$23,0)))*(VLOOKUP($B229,INDIRECT($B$5&amp;"生成成长"),3))*(VLOOKUP($B$5,标准坦克设计!$B$14:$K$20,9)/30))</f>
        <v>5.0787609315016509</v>
      </c>
      <c r="EJ229" s="172">
        <f ca="1">(VLOOKUP(EJ$72,INDIRECT($C$5&amp;"生成成长"),2))/((VLOOKUP($B229,INDIRECT($B$5&amp;"生成成长"),4))/(VLOOKUP(EJ$72,INDIRECT($C$5&amp;"生成成长"),5))*(VLOOKUP($B$5,标准坦克设计!$B$24:$U$30,MATCH("对"&amp;LEFT($C$5,2)&amp;"输出",标准坦克设计!$B$23:$U$23,0)))*(VLOOKUP($B229,INDIRECT($B$5&amp;"生成成长"),3))*(VLOOKUP($B$5,标准坦克设计!$B$14:$K$20,9)/30))</f>
        <v>5.433814186830352</v>
      </c>
      <c r="EK229" s="172">
        <f ca="1">(VLOOKUP(EK$72,INDIRECT($C$5&amp;"生成成长"),2))/((VLOOKUP($B229,INDIRECT($B$5&amp;"生成成长"),4))/(VLOOKUP(EK$72,INDIRECT($C$5&amp;"生成成长"),5))*(VLOOKUP($B$5,标准坦克设计!$B$24:$U$30,MATCH("对"&amp;LEFT($C$5,2)&amp;"输出",标准坦克设计!$B$23:$U$23,0)))*(VLOOKUP($B229,INDIRECT($B$5&amp;"生成成长"),3))*(VLOOKUP($B$5,标准坦克设计!$B$14:$K$20,9)/30))</f>
        <v>5.8757115492056693</v>
      </c>
      <c r="EL229" s="172">
        <f ca="1">(VLOOKUP(EL$72,INDIRECT($C$5&amp;"生成成长"),2))/((VLOOKUP($B229,INDIRECT($B$5&amp;"生成成长"),4))/(VLOOKUP(EL$72,INDIRECT($C$5&amp;"生成成长"),5))*(VLOOKUP($B$5,标准坦克设计!$B$24:$U$30,MATCH("对"&amp;LEFT($C$5,2)&amp;"输出",标准坦克设计!$B$23:$U$23,0)))*(VLOOKUP($B229,INDIRECT($B$5&amp;"生成成长"),3))*(VLOOKUP($B$5,标准坦克设计!$B$14:$K$20,9)/30))</f>
        <v>6.3348817726510296</v>
      </c>
      <c r="EM229" s="172">
        <f ca="1">(VLOOKUP(EM$72,INDIRECT($C$5&amp;"生成成长"),2))/((VLOOKUP($B229,INDIRECT($B$5&amp;"生成成长"),4))/(VLOOKUP(EM$72,INDIRECT($C$5&amp;"生成成长"),5))*(VLOOKUP($B$5,标准坦克设计!$B$24:$U$30,MATCH("对"&amp;LEFT($C$5,2)&amp;"输出",标准坦克设计!$B$23:$U$23,0)))*(VLOOKUP($B229,INDIRECT($B$5&amp;"生成成长"),3))*(VLOOKUP($B$5,标准坦克设计!$B$14:$K$20,9)/30))</f>
        <v>6.8113248571664364</v>
      </c>
      <c r="EN229" s="172">
        <f ca="1">(VLOOKUP(EN$72,INDIRECT($C$5&amp;"生成成长"),2))/((VLOOKUP($B229,INDIRECT($B$5&amp;"生成成长"),4))/(VLOOKUP(EN$72,INDIRECT($C$5&amp;"生成成长"),5))*(VLOOKUP($B$5,标准坦克设计!$B$24:$U$30,MATCH("对"&amp;LEFT($C$5,2)&amp;"输出",标准坦克设计!$B$23:$U$23,0)))*(VLOOKUP($B229,INDIRECT($B$5&amp;"生成成长"),3))*(VLOOKUP($B$5,标准坦克设计!$B$14:$K$20,9)/30))</f>
        <v>7.3050408027518872</v>
      </c>
      <c r="EO229" s="172">
        <f ca="1">(VLOOKUP(EO$72,INDIRECT($C$5&amp;"生成成长"),2))/((VLOOKUP($B229,INDIRECT($B$5&amp;"生成成长"),4))/(VLOOKUP(EO$72,INDIRECT($C$5&amp;"生成成长"),5))*(VLOOKUP($B$5,标准坦克设计!$B$24:$U$30,MATCH("对"&amp;LEFT($C$5,2)&amp;"输出",标准坦克设计!$B$23:$U$23,0)))*(VLOOKUP($B229,INDIRECT($B$5&amp;"生成成长"),3))*(VLOOKUP($B$5,标准坦克设计!$B$14:$K$20,9)/30))</f>
        <v>7.8160296094073844</v>
      </c>
      <c r="EP229" s="172">
        <f ca="1">(VLOOKUP(EP$72,INDIRECT($C$5&amp;"生成成长"),2))/((VLOOKUP($B229,INDIRECT($B$5&amp;"生成成长"),4))/(VLOOKUP(EP$72,INDIRECT($C$5&amp;"生成成长"),5))*(VLOOKUP($B$5,标准坦克设计!$B$24:$U$30,MATCH("对"&amp;LEFT($C$5,2)&amp;"输出",标准坦克设计!$B$23:$U$23,0)))*(VLOOKUP($B229,INDIRECT($B$5&amp;"生成成长"),3))*(VLOOKUP($B$5,标准坦克设计!$B$14:$K$20,9)/30))</f>
        <v>8.3442912771329265</v>
      </c>
      <c r="EQ229" s="172">
        <f ca="1">(VLOOKUP(EQ$72,INDIRECT($C$5&amp;"生成成长"),2))/((VLOOKUP($B229,INDIRECT($B$5&amp;"生成成长"),4))/(VLOOKUP(EQ$72,INDIRECT($C$5&amp;"生成成长"),5))*(VLOOKUP($B$5,标准坦克设计!$B$24:$U$30,MATCH("对"&amp;LEFT($C$5,2)&amp;"输出",标准坦克设计!$B$23:$U$23,0)))*(VLOOKUP($B229,INDIRECT($B$5&amp;"生成成长"),3))*(VLOOKUP($B$5,标准坦克设计!$B$14:$K$20,9)/30))</f>
        <v>3.6887154418473753</v>
      </c>
      <c r="ER229" s="172">
        <f ca="1">(VLOOKUP(ER$72,INDIRECT($C$5&amp;"生成成长"),2))/((VLOOKUP($B229,INDIRECT($B$5&amp;"生成成长"),4))/(VLOOKUP(ER$72,INDIRECT($C$5&amp;"生成成长"),5))*(VLOOKUP($B$5,标准坦克设计!$B$24:$U$30,MATCH("对"&amp;LEFT($C$5,2)&amp;"输出",标准坦克设计!$B$23:$U$23,0)))*(VLOOKUP($B229,INDIRECT($B$5&amp;"生成成长"),3))*(VLOOKUP($B$5,标准坦克设计!$B$14:$K$20,9)/30))</f>
        <v>4.0231971994433495</v>
      </c>
      <c r="ES229" s="172">
        <f ca="1">(VLOOKUP(ES$72,INDIRECT($C$5&amp;"生成成长"),2))/((VLOOKUP($B229,INDIRECT($B$5&amp;"生成成长"),4))/(VLOOKUP(ES$72,INDIRECT($C$5&amp;"生成成长"),5))*(VLOOKUP($B$5,标准坦克设计!$B$24:$U$30,MATCH("对"&amp;LEFT($C$5,2)&amp;"输出",标准坦克设计!$B$23:$U$23,0)))*(VLOOKUP($B229,INDIRECT($B$5&amp;"生成成长"),3))*(VLOOKUP($B$5,标准坦克设计!$B$14:$K$20,9)/30))</f>
        <v>4.3721929583551251</v>
      </c>
      <c r="ET229" s="172">
        <f ca="1">(VLOOKUP(ET$72,INDIRECT($C$5&amp;"生成成长"),2))/((VLOOKUP($B229,INDIRECT($B$5&amp;"生成成长"),4))/(VLOOKUP(ET$72,INDIRECT($C$5&amp;"生成成长"),5))*(VLOOKUP($B$5,标准坦克设计!$B$24:$U$30,MATCH("对"&amp;LEFT($C$5,2)&amp;"输出",标准坦克设计!$B$23:$U$23,0)))*(VLOOKUP($B229,INDIRECT($B$5&amp;"生成成长"),3))*(VLOOKUP($B$5,标准坦克设计!$B$14:$K$20,9)/30))</f>
        <v>4.7357027185827025</v>
      </c>
      <c r="EU229" s="172">
        <f ca="1">(VLOOKUP(EU$72,INDIRECT($C$5&amp;"生成成长"),2))/((VLOOKUP($B229,INDIRECT($B$5&amp;"生成成长"),4))/(VLOOKUP(EU$72,INDIRECT($C$5&amp;"生成成长"),5))*(VLOOKUP($B$5,标准坦克设计!$B$24:$U$30,MATCH("对"&amp;LEFT($C$5,2)&amp;"输出",标准坦克设计!$B$23:$U$23,0)))*(VLOOKUP($B229,INDIRECT($B$5&amp;"生成成长"),3))*(VLOOKUP($B$5,标准坦克设计!$B$14:$K$20,9)/30))</f>
        <v>5.1137264801260827</v>
      </c>
      <c r="EV229" s="172">
        <f ca="1">(VLOOKUP(EV$72,INDIRECT($C$5&amp;"生成成长"),2))/((VLOOKUP($B229,INDIRECT($B$5&amp;"生成成长"),4))/(VLOOKUP(EV$72,INDIRECT($C$5&amp;"生成成长"),5))*(VLOOKUP($B$5,标准坦克设计!$B$24:$U$30,MATCH("对"&amp;LEFT($C$5,2)&amp;"输出",标准坦克设计!$B$23:$U$23,0)))*(VLOOKUP($B229,INDIRECT($B$5&amp;"生成成长"),3))*(VLOOKUP($B$5,标准坦克设计!$B$14:$K$20,9)/30))</f>
        <v>5.5062642429852637</v>
      </c>
      <c r="EW229" s="172">
        <f ca="1">(VLOOKUP(EW$72,INDIRECT($C$5&amp;"生成成长"),2))/((VLOOKUP($B229,INDIRECT($B$5&amp;"生成成长"),4))/(VLOOKUP(EW$72,INDIRECT($C$5&amp;"生成成长"),5))*(VLOOKUP($B$5,标准坦克设计!$B$24:$U$30,MATCH("对"&amp;LEFT($C$5,2)&amp;"输出",标准坦克设计!$B$23:$U$23,0)))*(VLOOKUP($B229,INDIRECT($B$5&amp;"生成成长"),3))*(VLOOKUP($B$5,标准坦克设计!$B$14:$K$20,9)/30))</f>
        <v>5.9133160071602457</v>
      </c>
      <c r="EX229" s="172">
        <f ca="1">(VLOOKUP(EX$72,INDIRECT($C$5&amp;"生成成长"),2))/((VLOOKUP($B229,INDIRECT($B$5&amp;"生成成长"),4))/(VLOOKUP(EX$72,INDIRECT($C$5&amp;"生成成长"),5))*(VLOOKUP($B$5,标准坦克设计!$B$24:$U$30,MATCH("对"&amp;LEFT($C$5,2)&amp;"输出",标准坦克设计!$B$23:$U$23,0)))*(VLOOKUP($B229,INDIRECT($B$5&amp;"生成成长"),3))*(VLOOKUP($B$5,标准坦克设计!$B$14:$K$20,9)/30))</f>
        <v>6.3348817726510296</v>
      </c>
      <c r="EY229" s="172">
        <f ca="1">(VLOOKUP(EY$72,INDIRECT($C$5&amp;"生成成长"),2))/((VLOOKUP($B229,INDIRECT($B$5&amp;"生成成长"),4))/(VLOOKUP(EY$72,INDIRECT($C$5&amp;"生成成长"),5))*(VLOOKUP($B$5,标准坦克设计!$B$24:$U$30,MATCH("对"&amp;LEFT($C$5,2)&amp;"输出",标准坦克设计!$B$23:$U$23,0)))*(VLOOKUP($B229,INDIRECT($B$5&amp;"生成成长"),3))*(VLOOKUP($B$5,标准坦克设计!$B$14:$K$20,9)/30))</f>
        <v>6.770961539457617</v>
      </c>
      <c r="EZ229" s="172">
        <f ca="1">(VLOOKUP(EZ$72,INDIRECT($C$5&amp;"生成成长"),2))/((VLOOKUP($B229,INDIRECT($B$5&amp;"生成成长"),4))/(VLOOKUP(EZ$72,INDIRECT($C$5&amp;"生成成长"),5))*(VLOOKUP($B$5,标准坦克设计!$B$24:$U$30,MATCH("对"&amp;LEFT($C$5,2)&amp;"输出",标准坦克设计!$B$23:$U$23,0)))*(VLOOKUP($B229,INDIRECT($B$5&amp;"生成成长"),3))*(VLOOKUP($B$5,标准坦克设计!$B$14:$K$20,9)/30))</f>
        <v>7.2215553075800045</v>
      </c>
      <c r="FA229" s="172">
        <f ca="1">(VLOOKUP(FA$72,INDIRECT($C$5&amp;"生成成长"),2))/((VLOOKUP($B229,INDIRECT($B$5&amp;"生成成长"),4))/(VLOOKUP(FA$72,INDIRECT($C$5&amp;"生成成长"),5))*(VLOOKUP($B$5,标准坦克设计!$B$24:$U$30,MATCH("对"&amp;LEFT($C$5,2)&amp;"输出",标准坦克设计!$B$23:$U$23,0)))*(VLOOKUP($B229,INDIRECT($B$5&amp;"生成成长"),3))*(VLOOKUP($B$5,标准坦克设计!$B$14:$K$20,9)/30))</f>
        <v>7.6866630770181921</v>
      </c>
      <c r="FB229" s="172">
        <f ca="1">(VLOOKUP(FB$72,INDIRECT($C$5&amp;"生成成长"),2))/((VLOOKUP($B229,INDIRECT($B$5&amp;"生成成长"),4))/(VLOOKUP(FB$72,INDIRECT($C$5&amp;"生成成长"),5))*(VLOOKUP($B$5,标准坦克设计!$B$24:$U$30,MATCH("对"&amp;LEFT($C$5,2)&amp;"输出",标准坦克设计!$B$23:$U$23,0)))*(VLOOKUP($B229,INDIRECT($B$5&amp;"生成成长"),3))*(VLOOKUP($B$5,标准坦克设计!$B$14:$K$20,9)/30))</f>
        <v>8.1662848477721841</v>
      </c>
      <c r="FC229" s="172">
        <f ca="1">(VLOOKUP(FC$72,INDIRECT($C$5&amp;"生成成长"),2))/((VLOOKUP($B229,INDIRECT($B$5&amp;"生成成长"),4))/(VLOOKUP(FC$72,INDIRECT($C$5&amp;"生成成长"),5))*(VLOOKUP($B$5,标准坦克设计!$B$24:$U$30,MATCH("对"&amp;LEFT($C$5,2)&amp;"输出",标准坦克设计!$B$23:$U$23,0)))*(VLOOKUP($B229,INDIRECT($B$5&amp;"生成成长"),3))*(VLOOKUP($B$5,标准坦克设计!$B$14:$K$20,9)/30))</f>
        <v>8.6604206198419771</v>
      </c>
      <c r="FD229" s="172">
        <f ca="1">(VLOOKUP(FD$72,INDIRECT($C$5&amp;"生成成长"),2))/((VLOOKUP($B229,INDIRECT($B$5&amp;"生成成长"),4))/(VLOOKUP(FD$72,INDIRECT($C$5&amp;"生成成长"),5))*(VLOOKUP($B$5,标准坦克设计!$B$24:$U$30,MATCH("对"&amp;LEFT($C$5,2)&amp;"输出",标准坦克设计!$B$23:$U$23,0)))*(VLOOKUP($B229,INDIRECT($B$5&amp;"生成成长"),3))*(VLOOKUP($B$5,标准坦克设计!$B$14:$K$20,9)/30))</f>
        <v>9.169070393227571</v>
      </c>
      <c r="FE229" s="172">
        <f ca="1">(VLOOKUP(FE$72,INDIRECT($C$5&amp;"生成成长"),2))/((VLOOKUP($B229,INDIRECT($B$5&amp;"生成成长"),4))/(VLOOKUP(FE$72,INDIRECT($C$5&amp;"生成成长"),5))*(VLOOKUP($B$5,标准坦克设计!$B$24:$U$30,MATCH("对"&amp;LEFT($C$5,2)&amp;"输出",标准坦克设计!$B$23:$U$23,0)))*(VLOOKUP($B229,INDIRECT($B$5&amp;"生成成长"),3))*(VLOOKUP($B$5,标准坦克设计!$B$14:$K$20,9)/30))</f>
        <v>9.7889142097515798</v>
      </c>
      <c r="FF229" s="172">
        <f ca="1">(VLOOKUP(FF$72,INDIRECT($C$5&amp;"生成成长"),2))/((VLOOKUP($B229,INDIRECT($B$5&amp;"生成成长"),4))/(VLOOKUP(FF$72,INDIRECT($C$5&amp;"生成成长"),5))*(VLOOKUP($B$5,标准坦克设计!$B$24:$U$30,MATCH("对"&amp;LEFT($C$5,2)&amp;"输出",标准坦克设计!$B$23:$U$23,0)))*(VLOOKUP($B229,INDIRECT($B$5&amp;"生成成长"),3))*(VLOOKUP($B$5,标准坦克设计!$B$14:$K$20,9)/30))</f>
        <v>10.42902964794807</v>
      </c>
      <c r="FG229" s="172">
        <f ca="1">(VLOOKUP(FG$72,INDIRECT($C$5&amp;"生成成长"),2))/((VLOOKUP($B229,INDIRECT($B$5&amp;"生成成长"),4))/(VLOOKUP(FG$72,INDIRECT($C$5&amp;"生成成长"),5))*(VLOOKUP($B$5,标准坦克设计!$B$24:$U$30,MATCH("对"&amp;LEFT($C$5,2)&amp;"输出",标准坦克设计!$B$23:$U$23,0)))*(VLOOKUP($B229,INDIRECT($B$5&amp;"生成成长"),3))*(VLOOKUP($B$5,标准坦克设计!$B$14:$K$20,9)/30))</f>
        <v>11.089416707817046</v>
      </c>
      <c r="FH229" s="172">
        <f ca="1">(VLOOKUP(FH$72,INDIRECT($C$5&amp;"生成成长"),2))/((VLOOKUP($B229,INDIRECT($B$5&amp;"生成成长"),4))/(VLOOKUP(FH$72,INDIRECT($C$5&amp;"生成成长"),5))*(VLOOKUP($B$5,标准坦克设计!$B$24:$U$30,MATCH("对"&amp;LEFT($C$5,2)&amp;"输出",标准坦克设计!$B$23:$U$23,0)))*(VLOOKUP($B229,INDIRECT($B$5&amp;"生成成长"),3))*(VLOOKUP($B$5,标准坦克设计!$B$14:$K$20,9)/30))</f>
        <v>11.770075389358505</v>
      </c>
      <c r="FI229" s="172">
        <f ca="1">(VLOOKUP(FI$72,INDIRECT($C$5&amp;"生成成长"),2))/((VLOOKUP($B229,INDIRECT($B$5&amp;"生成成长"),4))/(VLOOKUP(FI$72,INDIRECT($C$5&amp;"生成成长"),5))*(VLOOKUP($B$5,标准坦克设计!$B$24:$U$30,MATCH("对"&amp;LEFT($C$5,2)&amp;"输出",标准坦克设计!$B$23:$U$23,0)))*(VLOOKUP($B229,INDIRECT($B$5&amp;"生成成长"),3))*(VLOOKUP($B$5,标准坦克设计!$B$14:$K$20,9)/30))</f>
        <v>12.471005692572446</v>
      </c>
      <c r="FJ229" s="172">
        <f ca="1">(VLOOKUP(FJ$72,INDIRECT($C$5&amp;"生成成长"),2))/((VLOOKUP($B229,INDIRECT($B$5&amp;"生成成长"),4))/(VLOOKUP(FJ$72,INDIRECT($C$5&amp;"生成成长"),5))*(VLOOKUP($B$5,标准坦克设计!$B$24:$U$30,MATCH("对"&amp;LEFT($C$5,2)&amp;"输出",标准坦克设计!$B$23:$U$23,0)))*(VLOOKUP($B229,INDIRECT($B$5&amp;"生成成长"),3))*(VLOOKUP($B$5,标准坦克设计!$B$14:$K$20,9)/30))</f>
        <v>13.192207617458871</v>
      </c>
      <c r="FK229" s="172">
        <f ca="1">(VLOOKUP(FK$72,INDIRECT($C$5&amp;"生成成长"),2))/((VLOOKUP($B229,INDIRECT($B$5&amp;"生成成长"),4))/(VLOOKUP(FK$72,INDIRECT($C$5&amp;"生成成长"),5))*(VLOOKUP($B$5,标准坦克设计!$B$24:$U$30,MATCH("对"&amp;LEFT($C$5,2)&amp;"输出",标准坦克设计!$B$23:$U$23,0)))*(VLOOKUP($B229,INDIRECT($B$5&amp;"生成成长"),3))*(VLOOKUP($B$5,标准坦克设计!$B$14:$K$20,9)/30))</f>
        <v>13.933681164017781</v>
      </c>
    </row>
    <row r="230" spans="1:167" x14ac:dyDescent="0.15">
      <c r="A230" s="170" t="str">
        <f t="shared" si="13"/>
        <v>T5高品质14级</v>
      </c>
      <c r="B230" s="171">
        <v>30514</v>
      </c>
      <c r="C230" s="172">
        <f ca="1">(VLOOKUP(C$72,INDIRECT($C$5&amp;"生成成长"),2))/((VLOOKUP($B230,INDIRECT($B$5&amp;"生成成长"),4))/(VLOOKUP(C$72,INDIRECT($C$5&amp;"生成成长"),5))*(VLOOKUP($B$5,标准坦克设计!$B$24:$U$30,MATCH("对"&amp;LEFT($C$5,2)&amp;"输出",标准坦克设计!$B$23:$U$23,0)))*(VLOOKUP($B230,INDIRECT($B$5&amp;"生成成长"),3))*(VLOOKUP($B$5,标准坦克设计!$B$14:$K$20,9)/30))</f>
        <v>0.56745014077733802</v>
      </c>
      <c r="D230" s="172">
        <f ca="1">(VLOOKUP(D$72,INDIRECT($C$5&amp;"生成成长"),2))/((VLOOKUP($B230,INDIRECT($B$5&amp;"生成成长"),4))/(VLOOKUP(D$72,INDIRECT($C$5&amp;"生成成长"),5))*(VLOOKUP($B$5,标准坦克设计!$B$24:$U$30,MATCH("对"&amp;LEFT($C$5,2)&amp;"输出",标准坦克设计!$B$23:$U$23,0)))*(VLOOKUP($B230,INDIRECT($B$5&amp;"生成成长"),3))*(VLOOKUP($B$5,标准坦克设计!$B$14:$K$20,9)/30))</f>
        <v>0.63758697817741694</v>
      </c>
      <c r="E230" s="172">
        <f ca="1">(VLOOKUP(E$72,INDIRECT($C$5&amp;"生成成长"),2))/((VLOOKUP($B230,INDIRECT($B$5&amp;"生成成长"),4))/(VLOOKUP(E$72,INDIRECT($C$5&amp;"生成成长"),5))*(VLOOKUP($B$5,标准坦克设计!$B$24:$U$30,MATCH("对"&amp;LEFT($C$5,2)&amp;"输出",标准坦克设计!$B$23:$U$23,0)))*(VLOOKUP($B230,INDIRECT($B$5&amp;"生成成长"),3))*(VLOOKUP($B$5,标准坦克设计!$B$14:$K$20,9)/30))</f>
        <v>0.71180945659109285</v>
      </c>
      <c r="F230" s="172">
        <f ca="1">(VLOOKUP(F$72,INDIRECT($C$5&amp;"生成成长"),2))/((VLOOKUP($B230,INDIRECT($B$5&amp;"生成成长"),4))/(VLOOKUP(F$72,INDIRECT($C$5&amp;"生成成长"),5))*(VLOOKUP($B$5,标准坦克设计!$B$24:$U$30,MATCH("对"&amp;LEFT($C$5,2)&amp;"输出",标准坦克设计!$B$23:$U$23,0)))*(VLOOKUP($B230,INDIRECT($B$5&amp;"生成成长"),3))*(VLOOKUP($B$5,标准坦克设计!$B$14:$K$20,9)/30))</f>
        <v>0.79011757601836552</v>
      </c>
      <c r="G230" s="172">
        <f ca="1">(VLOOKUP(G$72,INDIRECT($C$5&amp;"生成成长"),2))/((VLOOKUP($B230,INDIRECT($B$5&amp;"生成成长"),4))/(VLOOKUP(G$72,INDIRECT($C$5&amp;"生成成长"),5))*(VLOOKUP($B$5,标准坦克设计!$B$24:$U$30,MATCH("对"&amp;LEFT($C$5,2)&amp;"输出",标准坦克设计!$B$23:$U$23,0)))*(VLOOKUP($B230,INDIRECT($B$5&amp;"生成成长"),3))*(VLOOKUP($B$5,标准坦克设计!$B$14:$K$20,9)/30))</f>
        <v>0.87251133645923484</v>
      </c>
      <c r="H230" s="172">
        <f ca="1">(VLOOKUP(H$72,INDIRECT($C$5&amp;"生成成长"),2))/((VLOOKUP($B230,INDIRECT($B$5&amp;"生成成长"),4))/(VLOOKUP(H$72,INDIRECT($C$5&amp;"生成成长"),5))*(VLOOKUP($B$5,标准坦克设计!$B$24:$U$30,MATCH("对"&amp;LEFT($C$5,2)&amp;"输出",标准坦克设计!$B$23:$U$23,0)))*(VLOOKUP($B230,INDIRECT($B$5&amp;"生成成长"),3))*(VLOOKUP($B$5,标准坦克设计!$B$14:$K$20,9)/30))</f>
        <v>0.763560909429986</v>
      </c>
      <c r="I230" s="172">
        <f ca="1">(VLOOKUP(I$72,INDIRECT($C$5&amp;"生成成长"),2))/((VLOOKUP($B230,INDIRECT($B$5&amp;"生成成长"),4))/(VLOOKUP(I$72,INDIRECT($C$5&amp;"生成成长"),5))*(VLOOKUP($B$5,标准坦克设计!$B$24:$U$30,MATCH("对"&amp;LEFT($C$5,2)&amp;"输出",标准坦克设计!$B$23:$U$23,0)))*(VLOOKUP($B230,INDIRECT($B$5&amp;"生成成长"),3))*(VLOOKUP($B$5,标准坦克设计!$B$14:$K$20,9)/30))</f>
        <v>0.87251133645923484</v>
      </c>
      <c r="J230" s="172">
        <f ca="1">(VLOOKUP(J$72,INDIRECT($C$5&amp;"生成成长"),2))/((VLOOKUP($B230,INDIRECT($B$5&amp;"生成成长"),4))/(VLOOKUP(J$72,INDIRECT($C$5&amp;"生成成长"),5))*(VLOOKUP($B$5,标准坦克设计!$B$24:$U$30,MATCH("对"&amp;LEFT($C$5,2)&amp;"输出",标准坦克设计!$B$23:$U$23,0)))*(VLOOKUP($B230,INDIRECT($B$5&amp;"生成成长"),3))*(VLOOKUP($B$5,标准坦克设计!$B$14:$K$20,9)/30))</f>
        <v>0.98872512529043399</v>
      </c>
      <c r="K230" s="172">
        <f ca="1">(VLOOKUP(K$72,INDIRECT($C$5&amp;"生成成长"),2))/((VLOOKUP($B230,INDIRECT($B$5&amp;"生成成长"),4))/(VLOOKUP(K$72,INDIRECT($C$5&amp;"生成成长"),5))*(VLOOKUP($B$5,标准坦克设计!$B$24:$U$30,MATCH("对"&amp;LEFT($C$5,2)&amp;"输出",标准坦克设计!$B$23:$U$23,0)))*(VLOOKUP($B230,INDIRECT($B$5&amp;"生成成长"),3))*(VLOOKUP($B$5,标准坦克设计!$B$14:$K$20,9)/30))</f>
        <v>1.1122022759235826</v>
      </c>
      <c r="L230" s="172">
        <f ca="1">(VLOOKUP(L$72,INDIRECT($C$5&amp;"生成成长"),2))/((VLOOKUP($B230,INDIRECT($B$5&amp;"生成成长"),4))/(VLOOKUP(L$72,INDIRECT($C$5&amp;"生成成长"),5))*(VLOOKUP($B$5,标准坦克设计!$B$24:$U$30,MATCH("对"&amp;LEFT($C$5,2)&amp;"输出",标准坦克设计!$B$23:$U$23,0)))*(VLOOKUP($B230,INDIRECT($B$5&amp;"生成成长"),3))*(VLOOKUP($B$5,标准坦克设计!$B$14:$K$20,9)/30))</f>
        <v>1.2429427883586812</v>
      </c>
      <c r="M230" s="172">
        <f ca="1">(VLOOKUP(M$72,INDIRECT($C$5&amp;"生成成长"),2))/((VLOOKUP($B230,INDIRECT($B$5&amp;"生成成长"),4))/(VLOOKUP(M$72,INDIRECT($C$5&amp;"生成成长"),5))*(VLOOKUP($B$5,标准坦克设计!$B$24:$U$30,MATCH("对"&amp;LEFT($C$5,2)&amp;"输出",标准坦克设计!$B$23:$U$23,0)))*(VLOOKUP($B230,INDIRECT($B$5&amp;"生成成长"),3))*(VLOOKUP($B$5,标准坦克设计!$B$14:$K$20,9)/30))</f>
        <v>1.3809466625957298</v>
      </c>
      <c r="N230" s="172">
        <f ca="1">(VLOOKUP(N$72,INDIRECT($C$5&amp;"生成成长"),2))/((VLOOKUP($B230,INDIRECT($B$5&amp;"生成成长"),4))/(VLOOKUP(N$72,INDIRECT($C$5&amp;"生成成长"),5))*(VLOOKUP($B$5,标准坦克设计!$B$24:$U$30,MATCH("对"&amp;LEFT($C$5,2)&amp;"输出",标准坦克设计!$B$23:$U$23,0)))*(VLOOKUP($B230,INDIRECT($B$5&amp;"生成成长"),3))*(VLOOKUP($B$5,标准坦克设计!$B$14:$K$20,9)/30))</f>
        <v>1.5262138986347284</v>
      </c>
      <c r="O230" s="172">
        <f ca="1">(VLOOKUP(O$72,INDIRECT($C$5&amp;"生成成长"),2))/((VLOOKUP($B230,INDIRECT($B$5&amp;"生成成长"),4))/(VLOOKUP(O$72,INDIRECT($C$5&amp;"生成成长"),5))*(VLOOKUP($B$5,标准坦克设计!$B$24:$U$30,MATCH("对"&amp;LEFT($C$5,2)&amp;"输出",标准坦克设计!$B$23:$U$23,0)))*(VLOOKUP($B230,INDIRECT($B$5&amp;"生成成长"),3))*(VLOOKUP($B$5,标准坦克设计!$B$14:$K$20,9)/30))</f>
        <v>1.1603787928755787</v>
      </c>
      <c r="P230" s="172">
        <f ca="1">(VLOOKUP(P$72,INDIRECT($C$5&amp;"生成成长"),2))/((VLOOKUP($B230,INDIRECT($B$5&amp;"生成成长"),4))/(VLOOKUP(P$72,INDIRECT($C$5&amp;"生成成长"),5))*(VLOOKUP($B$5,标准坦克设计!$B$24:$U$30,MATCH("对"&amp;LEFT($C$5,2)&amp;"输出",标准坦克设计!$B$23:$U$23,0)))*(VLOOKUP($B230,INDIRECT($B$5&amp;"生成成长"),3))*(VLOOKUP($B$5,标准坦克设计!$B$14:$K$20,9)/30))</f>
        <v>1.3110368052519621</v>
      </c>
      <c r="Q230" s="172">
        <f ca="1">(VLOOKUP(Q$72,INDIRECT($C$5&amp;"生成成长"),2))/((VLOOKUP($B230,INDIRECT($B$5&amp;"生成成长"),4))/(VLOOKUP(Q$72,INDIRECT($C$5&amp;"生成成长"),5))*(VLOOKUP($B$5,标准坦克设计!$B$24:$U$30,MATCH("对"&amp;LEFT($C$5,2)&amp;"输出",标准坦克设计!$B$23:$U$23,0)))*(VLOOKUP($B230,INDIRECT($B$5&amp;"生成成长"),3))*(VLOOKUP($B$5,标准坦克设计!$B$14:$K$20,9)/30))</f>
        <v>1.470887509908938</v>
      </c>
      <c r="R230" s="172">
        <f ca="1">(VLOOKUP(R$72,INDIRECT($C$5&amp;"生成成长"),2))/((VLOOKUP($B230,INDIRECT($B$5&amp;"生成成长"),4))/(VLOOKUP(R$72,INDIRECT($C$5&amp;"生成成长"),5))*(VLOOKUP($B$5,标准坦克设计!$B$24:$U$30,MATCH("对"&amp;LEFT($C$5,2)&amp;"输出",标准坦克设计!$B$23:$U$23,0)))*(VLOOKUP($B230,INDIRECT($B$5&amp;"生成成长"),3))*(VLOOKUP($B$5,标准坦克设计!$B$14:$K$20,9)/30))</f>
        <v>1.6399309068465071</v>
      </c>
      <c r="S230" s="172">
        <f ca="1">(VLOOKUP(S$72,INDIRECT($C$5&amp;"生成成长"),2))/((VLOOKUP($B230,INDIRECT($B$5&amp;"生成成长"),4))/(VLOOKUP(S$72,INDIRECT($C$5&amp;"生成成长"),5))*(VLOOKUP($B$5,标准坦克设计!$B$24:$U$30,MATCH("对"&amp;LEFT($C$5,2)&amp;"输出",标准坦克设计!$B$23:$U$23,0)))*(VLOOKUP($B230,INDIRECT($B$5&amp;"生成成长"),3))*(VLOOKUP($B$5,标准坦克设计!$B$14:$K$20,9)/30))</f>
        <v>1.8181669960646691</v>
      </c>
      <c r="T230" s="172">
        <f ca="1">(VLOOKUP(T$72,INDIRECT($C$5&amp;"生成成长"),2))/((VLOOKUP($B230,INDIRECT($B$5&amp;"生成成长"),4))/(VLOOKUP(T$72,INDIRECT($C$5&amp;"生成成长"),5))*(VLOOKUP($B$5,标准坦克设计!$B$24:$U$30,MATCH("对"&amp;LEFT($C$5,2)&amp;"输出",标准坦克设计!$B$23:$U$23,0)))*(VLOOKUP($B230,INDIRECT($B$5&amp;"生成成长"),3))*(VLOOKUP($B$5,标准坦克设计!$B$14:$K$20,9)/30))</f>
        <v>2.005595777563423</v>
      </c>
      <c r="U230" s="172">
        <f ca="1">(VLOOKUP(U$72,INDIRECT($C$5&amp;"生成成长"),2))/((VLOOKUP($B230,INDIRECT($B$5&amp;"生成成长"),4))/(VLOOKUP(U$72,INDIRECT($C$5&amp;"生成成长"),5))*(VLOOKUP($B$5,标准坦克设计!$B$24:$U$30,MATCH("对"&amp;LEFT($C$5,2)&amp;"输出",标准坦克设计!$B$23:$U$23,0)))*(VLOOKUP($B230,INDIRECT($B$5&amp;"生成成长"),3))*(VLOOKUP($B$5,标准坦克设计!$B$14:$K$20,9)/30))</f>
        <v>2.2022172513427711</v>
      </c>
      <c r="V230" s="172">
        <f ca="1">(VLOOKUP(V$72,INDIRECT($C$5&amp;"生成成长"),2))/((VLOOKUP($B230,INDIRECT($B$5&amp;"生成成长"),4))/(VLOOKUP(V$72,INDIRECT($C$5&amp;"生成成长"),5))*(VLOOKUP($B$5,标准坦克设计!$B$24:$U$30,MATCH("对"&amp;LEFT($C$5,2)&amp;"输出",标准坦克设计!$B$23:$U$23,0)))*(VLOOKUP($B230,INDIRECT($B$5&amp;"生成成长"),3))*(VLOOKUP($B$5,标准坦克设计!$B$14:$K$20,9)/30))</f>
        <v>2.4080314174027118</v>
      </c>
      <c r="W230" s="172">
        <f ca="1">(VLOOKUP(W$72,INDIRECT($C$5&amp;"生成成长"),2))/((VLOOKUP($B230,INDIRECT($B$5&amp;"生成成长"),4))/(VLOOKUP(W$72,INDIRECT($C$5&amp;"生成成长"),5))*(VLOOKUP($B$5,标准坦克设计!$B$24:$U$30,MATCH("对"&amp;LEFT($C$5,2)&amp;"输出",标准坦克设计!$B$23:$U$23,0)))*(VLOOKUP($B230,INDIRECT($B$5&amp;"生成成长"),3))*(VLOOKUP($B$5,标准坦克设计!$B$14:$K$20,9)/30))</f>
        <v>2.6230382757432449</v>
      </c>
      <c r="X230" s="172">
        <f ca="1">(VLOOKUP(X$72,INDIRECT($C$5&amp;"生成成长"),2))/((VLOOKUP($B230,INDIRECT($B$5&amp;"生成成长"),4))/(VLOOKUP(X$72,INDIRECT($C$5&amp;"生成成长"),5))*(VLOOKUP($B$5,标准坦克设计!$B$24:$U$30,MATCH("对"&amp;LEFT($C$5,2)&amp;"输出",标准坦克设计!$B$23:$U$23,0)))*(VLOOKUP($B230,INDIRECT($B$5&amp;"生成成长"),3))*(VLOOKUP($B$5,标准坦克设计!$B$14:$K$20,9)/30))</f>
        <v>1.9003337764492274</v>
      </c>
      <c r="Y230" s="172">
        <f ca="1">(VLOOKUP(Y$72,INDIRECT($C$5&amp;"生成成长"),2))/((VLOOKUP($B230,INDIRECT($B$5&amp;"生成成长"),4))/(VLOOKUP(Y$72,INDIRECT($C$5&amp;"生成成长"),5))*(VLOOKUP($B$5,标准坦克设计!$B$24:$U$30,MATCH("对"&amp;LEFT($C$5,2)&amp;"输出",标准坦克设计!$B$23:$U$23,0)))*(VLOOKUP($B230,INDIRECT($B$5&amp;"生成成长"),3))*(VLOOKUP($B$5,标准坦克设计!$B$14:$K$20,9)/30))</f>
        <v>2.1136950293815064</v>
      </c>
      <c r="Z230" s="172">
        <f ca="1">(VLOOKUP(Z$72,INDIRECT($C$5&amp;"生成成长"),2))/((VLOOKUP($B230,INDIRECT($B$5&amp;"生成成长"),4))/(VLOOKUP(Z$72,INDIRECT($C$5&amp;"生成成长"),5))*(VLOOKUP($B$5,标准坦克设计!$B$24:$U$30,MATCH("对"&amp;LEFT($C$5,2)&amp;"输出",标准坦克设计!$B$23:$U$23,0)))*(VLOOKUP($B230,INDIRECT($B$5&amp;"生成成长"),3))*(VLOOKUP($B$5,标准坦克设计!$B$14:$K$20,9)/30))</f>
        <v>2.3384052851293324</v>
      </c>
      <c r="AA230" s="172">
        <f ca="1">(VLOOKUP(AA$72,INDIRECT($C$5&amp;"生成成长"),2))/((VLOOKUP($B230,INDIRECT($B$5&amp;"生成成长"),4))/(VLOOKUP(AA$72,INDIRECT($C$5&amp;"生成成长"),5))*(VLOOKUP($B$5,标准坦克设计!$B$24:$U$30,MATCH("对"&amp;LEFT($C$5,2)&amp;"输出",标准坦克设计!$B$23:$U$23,0)))*(VLOOKUP($B230,INDIRECT($B$5&amp;"生成成长"),3))*(VLOOKUP($B$5,标准坦克设计!$B$14:$K$20,9)/30))</f>
        <v>2.5744645436927045</v>
      </c>
      <c r="AB230" s="172">
        <f ca="1">(VLOOKUP(AB$72,INDIRECT($C$5&amp;"生成成长"),2))/((VLOOKUP($B230,INDIRECT($B$5&amp;"生成成长"),4))/(VLOOKUP(AB$72,INDIRECT($C$5&amp;"生成成长"),5))*(VLOOKUP($B$5,标准坦克设计!$B$24:$U$30,MATCH("对"&amp;LEFT($C$5,2)&amp;"输出",标准坦克设计!$B$23:$U$23,0)))*(VLOOKUP($B230,INDIRECT($B$5&amp;"生成成长"),3))*(VLOOKUP($B$5,标准坦克设计!$B$14:$K$20,9)/30))</f>
        <v>2.8218728050716249</v>
      </c>
      <c r="AC230" s="172">
        <f ca="1">(VLOOKUP(AC$72,INDIRECT($C$5&amp;"生成成长"),2))/((VLOOKUP($B230,INDIRECT($B$5&amp;"生成成长"),4))/(VLOOKUP(AC$72,INDIRECT($C$5&amp;"生成成长"),5))*(VLOOKUP($B$5,标准坦克设计!$B$24:$U$30,MATCH("对"&amp;LEFT($C$5,2)&amp;"输出",标准坦克设计!$B$23:$U$23,0)))*(VLOOKUP($B230,INDIRECT($B$5&amp;"生成成长"),3))*(VLOOKUP($B$5,标准坦克设计!$B$14:$K$20,9)/30))</f>
        <v>3.0806300692660908</v>
      </c>
      <c r="AD230" s="172">
        <f ca="1">(VLOOKUP(AD$72,INDIRECT($C$5&amp;"生成成长"),2))/((VLOOKUP($B230,INDIRECT($B$5&amp;"生成成长"),4))/(VLOOKUP(AD$72,INDIRECT($C$5&amp;"生成成长"),5))*(VLOOKUP($B$5,标准坦克设计!$B$24:$U$30,MATCH("对"&amp;LEFT($C$5,2)&amp;"输出",标准坦克设计!$B$23:$U$23,0)))*(VLOOKUP($B230,INDIRECT($B$5&amp;"生成成长"),3))*(VLOOKUP($B$5,标准坦克设计!$B$14:$K$20,9)/30))</f>
        <v>3.3507363362761038</v>
      </c>
      <c r="AE230" s="172">
        <f ca="1">(VLOOKUP(AE$72,INDIRECT($C$5&amp;"生成成长"),2))/((VLOOKUP($B230,INDIRECT($B$5&amp;"生成成长"),4))/(VLOOKUP(AE$72,INDIRECT($C$5&amp;"生成成长"),5))*(VLOOKUP($B$5,标准坦克设计!$B$24:$U$30,MATCH("对"&amp;LEFT($C$5,2)&amp;"输出",标准坦克设计!$B$23:$U$23,0)))*(VLOOKUP($B230,INDIRECT($B$5&amp;"生成成长"),3))*(VLOOKUP($B$5,标准坦克设计!$B$14:$K$20,9)/30))</f>
        <v>3.6321916061016633</v>
      </c>
      <c r="AF230" s="172">
        <f ca="1">(VLOOKUP(AF$72,INDIRECT($C$5&amp;"生成成长"),2))/((VLOOKUP($B230,INDIRECT($B$5&amp;"生成成长"),4))/(VLOOKUP(AF$72,INDIRECT($C$5&amp;"生成成长"),5))*(VLOOKUP($B$5,标准坦克设计!$B$24:$U$30,MATCH("对"&amp;LEFT($C$5,2)&amp;"输出",标准坦克设计!$B$23:$U$23,0)))*(VLOOKUP($B230,INDIRECT($B$5&amp;"生成成长"),3))*(VLOOKUP($B$5,标准坦克设计!$B$14:$K$20,9)/30))</f>
        <v>3.9249958787427701</v>
      </c>
      <c r="AG230" s="172">
        <f ca="1">(VLOOKUP(AG$72,INDIRECT($C$5&amp;"生成成长"),2))/((VLOOKUP($B230,INDIRECT($B$5&amp;"生成成长"),4))/(VLOOKUP(AG$72,INDIRECT($C$5&amp;"生成成长"),5))*(VLOOKUP($B$5,标准坦克设计!$B$24:$U$30,MATCH("对"&amp;LEFT($C$5,2)&amp;"输出",标准坦克设计!$B$23:$U$23,0)))*(VLOOKUP($B230,INDIRECT($B$5&amp;"生成成长"),3))*(VLOOKUP($B$5,标准坦克设计!$B$14:$K$20,9)/30))</f>
        <v>4.2291491541994235</v>
      </c>
      <c r="AH230" s="172">
        <f ca="1">(VLOOKUP(AH$72,INDIRECT($C$5&amp;"生成成长"),2))/((VLOOKUP($B230,INDIRECT($B$5&amp;"生成成长"),4))/(VLOOKUP(AH$72,INDIRECT($C$5&amp;"生成成长"),5))*(VLOOKUP($B$5,标准坦克设计!$B$24:$U$30,MATCH("对"&amp;LEFT($C$5,2)&amp;"输出",标准坦克设计!$B$23:$U$23,0)))*(VLOOKUP($B230,INDIRECT($B$5&amp;"生成成长"),3))*(VLOOKUP($B$5,标准坦克设计!$B$14:$K$20,9)/30))</f>
        <v>4.5446514324716221</v>
      </c>
      <c r="AI230" s="172">
        <f ca="1">(VLOOKUP(AI$72,INDIRECT($C$5&amp;"生成成长"),2))/((VLOOKUP($B230,INDIRECT($B$5&amp;"生成成长"),4))/(VLOOKUP(AI$72,INDIRECT($C$5&amp;"生成成长"),5))*(VLOOKUP($B$5,标准坦克设计!$B$24:$U$30,MATCH("对"&amp;LEFT($C$5,2)&amp;"输出",标准坦克设计!$B$23:$U$23,0)))*(VLOOKUP($B230,INDIRECT($B$5&amp;"生成成长"),3))*(VLOOKUP($B$5,标准坦克设计!$B$14:$K$20,9)/30))</f>
        <v>3.2142645774191538</v>
      </c>
      <c r="AJ230" s="172">
        <f ca="1">(VLOOKUP(AJ$72,INDIRECT($C$5&amp;"生成成长"),2))/((VLOOKUP($B230,INDIRECT($B$5&amp;"生成成长"),4))/(VLOOKUP(AJ$72,INDIRECT($C$5&amp;"生成成长"),5))*(VLOOKUP($B$5,标准坦克设计!$B$24:$U$30,MATCH("对"&amp;LEFT($C$5,2)&amp;"输出",标准坦克设计!$B$23:$U$23,0)))*(VLOOKUP($B230,INDIRECT($B$5&amp;"生成成长"),3))*(VLOOKUP($B$5,标准坦克设计!$B$14:$K$20,9)/30))</f>
        <v>3.5182476178335738</v>
      </c>
      <c r="AK230" s="172">
        <f ca="1">(VLOOKUP(AK$72,INDIRECT($C$5&amp;"生成成长"),2))/((VLOOKUP($B230,INDIRECT($B$5&amp;"生成成长"),4))/(VLOOKUP(AK$72,INDIRECT($C$5&amp;"生成成长"),5))*(VLOOKUP($B$5,标准坦克设计!$B$24:$U$30,MATCH("对"&amp;LEFT($C$5,2)&amp;"输出",标准坦克设计!$B$23:$U$23,0)))*(VLOOKUP($B230,INDIRECT($B$5&amp;"生成成长"),3))*(VLOOKUP($B$5,标准坦克设计!$B$14:$K$20,9)/30))</f>
        <v>3.8359629516548055</v>
      </c>
      <c r="AL230" s="172">
        <f ca="1">(VLOOKUP(AL$72,INDIRECT($C$5&amp;"生成成长"),2))/((VLOOKUP($B230,INDIRECT($B$5&amp;"生成成长"),4))/(VLOOKUP(AL$72,INDIRECT($C$5&amp;"生成成长"),5))*(VLOOKUP($B$5,标准坦克设计!$B$24:$U$30,MATCH("对"&amp;LEFT($C$5,2)&amp;"输出",标准坦克设计!$B$23:$U$23,0)))*(VLOOKUP($B230,INDIRECT($B$5&amp;"生成成长"),3))*(VLOOKUP($B$5,标准坦克设计!$B$14:$K$20,9)/30))</f>
        <v>4.1674105788828477</v>
      </c>
      <c r="AM230" s="172">
        <f ca="1">(VLOOKUP(AM$72,INDIRECT($C$5&amp;"生成成长"),2))/((VLOOKUP($B230,INDIRECT($B$5&amp;"生成成长"),4))/(VLOOKUP(AM$72,INDIRECT($C$5&amp;"生成成长"),5))*(VLOOKUP($B$5,标准坦克设计!$B$24:$U$30,MATCH("对"&amp;LEFT($C$5,2)&amp;"输出",标准坦克设计!$B$23:$U$23,0)))*(VLOOKUP($B230,INDIRECT($B$5&amp;"生成成长"),3))*(VLOOKUP($B$5,标准坦克设计!$B$14:$K$20,9)/30))</f>
        <v>4.5125904995177031</v>
      </c>
      <c r="AN230" s="172">
        <f ca="1">(VLOOKUP(AN$72,INDIRECT($C$5&amp;"生成成长"),2))/((VLOOKUP($B230,INDIRECT($B$5&amp;"生成成长"),4))/(VLOOKUP(AN$72,INDIRECT($C$5&amp;"生成成长"),5))*(VLOOKUP($B$5,标准坦克设计!$B$24:$U$30,MATCH("对"&amp;LEFT($C$5,2)&amp;"输出",标准坦克设计!$B$23:$U$23,0)))*(VLOOKUP($B230,INDIRECT($B$5&amp;"生成成长"),3))*(VLOOKUP($B$5,标准坦克设计!$B$14:$K$20,9)/30))</f>
        <v>4.8715027135593694</v>
      </c>
      <c r="AO230" s="172">
        <f ca="1">(VLOOKUP(AO$72,INDIRECT($C$5&amp;"生成成长"),2))/((VLOOKUP($B230,INDIRECT($B$5&amp;"生成成长"),4))/(VLOOKUP(AO$72,INDIRECT($C$5&amp;"生成成长"),5))*(VLOOKUP($B$5,标准坦克设计!$B$24:$U$30,MATCH("对"&amp;LEFT($C$5,2)&amp;"输出",标准坦克设计!$B$23:$U$23,0)))*(VLOOKUP($B230,INDIRECT($B$5&amp;"生成成长"),3))*(VLOOKUP($B$5,标准坦克设计!$B$14:$K$20,9)/30))</f>
        <v>5.2441472210078484</v>
      </c>
      <c r="AP230" s="172">
        <f ca="1">(VLOOKUP(AP$72,INDIRECT($C$5&amp;"生成成长"),2))/((VLOOKUP($B230,INDIRECT($B$5&amp;"生成成长"),4))/(VLOOKUP(AP$72,INDIRECT($C$5&amp;"生成成长"),5))*(VLOOKUP($B$5,标准坦克设计!$B$24:$U$30,MATCH("对"&amp;LEFT($C$5,2)&amp;"输出",标准坦克设计!$B$23:$U$23,0)))*(VLOOKUP($B230,INDIRECT($B$5&amp;"生成成长"),3))*(VLOOKUP($B$5,标准坦克设计!$B$14:$K$20,9)/30))</f>
        <v>5.6305240218631374</v>
      </c>
      <c r="AQ230" s="172">
        <f ca="1">(VLOOKUP(AQ$72,INDIRECT($C$5&amp;"生成成长"),2))/((VLOOKUP($B230,INDIRECT($B$5&amp;"生成成长"),4))/(VLOOKUP(AQ$72,INDIRECT($C$5&amp;"生成成长"),5))*(VLOOKUP($B$5,标准坦克设计!$B$24:$U$30,MATCH("对"&amp;LEFT($C$5,2)&amp;"输出",标准坦克设计!$B$23:$U$23,0)))*(VLOOKUP($B230,INDIRECT($B$5&amp;"生成成长"),3))*(VLOOKUP($B$5,标准坦克设计!$B$14:$K$20,9)/30))</f>
        <v>6.0306331161252382</v>
      </c>
      <c r="AR230" s="172">
        <f ca="1">(VLOOKUP(AR$72,INDIRECT($C$5&amp;"生成成长"),2))/((VLOOKUP($B230,INDIRECT($B$5&amp;"生成成长"),4))/(VLOOKUP(AR$72,INDIRECT($C$5&amp;"生成成长"),5))*(VLOOKUP($B$5,标准坦克设计!$B$24:$U$30,MATCH("对"&amp;LEFT($C$5,2)&amp;"输出",标准坦克设计!$B$23:$U$23,0)))*(VLOOKUP($B230,INDIRECT($B$5&amp;"生成成长"),3))*(VLOOKUP($B$5,标准坦克设计!$B$14:$K$20,9)/30))</f>
        <v>6.4444745037941518</v>
      </c>
      <c r="AS230" s="172">
        <f ca="1">(VLOOKUP(AS$72,INDIRECT($C$5&amp;"生成成长"),2))/((VLOOKUP($B230,INDIRECT($B$5&amp;"生成成长"),4))/(VLOOKUP(AS$72,INDIRECT($C$5&amp;"生成成长"),5))*(VLOOKUP($B$5,标准坦克设计!$B$24:$U$30,MATCH("对"&amp;LEFT($C$5,2)&amp;"输出",标准坦克设计!$B$23:$U$23,0)))*(VLOOKUP($B230,INDIRECT($B$5&amp;"生成成长"),3))*(VLOOKUP($B$5,标准坦克设计!$B$14:$K$20,9)/30))</f>
        <v>6.8720481848698745</v>
      </c>
      <c r="AT230" s="172">
        <f ca="1">(VLOOKUP(AT$72,INDIRECT($C$5&amp;"生成成长"),2))/((VLOOKUP($B230,INDIRECT($B$5&amp;"生成成长"),4))/(VLOOKUP(AT$72,INDIRECT($C$5&amp;"生成成长"),5))*(VLOOKUP($B$5,标准坦克设计!$B$24:$U$30,MATCH("对"&amp;LEFT($C$5,2)&amp;"输出",标准坦克设计!$B$23:$U$23,0)))*(VLOOKUP($B230,INDIRECT($B$5&amp;"生成成长"),3))*(VLOOKUP($B$5,标准坦克设计!$B$14:$K$20,9)/30))</f>
        <v>7.3133541593524107</v>
      </c>
      <c r="AU230" s="172">
        <f ca="1">(VLOOKUP(AU$72,INDIRECT($C$5&amp;"生成成长"),2))/((VLOOKUP($B230,INDIRECT($B$5&amp;"生成成长"),4))/(VLOOKUP(AU$72,INDIRECT($C$5&amp;"生成成长"),5))*(VLOOKUP($B$5,标准坦克设计!$B$24:$U$30,MATCH("对"&amp;LEFT($C$5,2)&amp;"输出",标准坦克设计!$B$23:$U$23,0)))*(VLOOKUP($B230,INDIRECT($B$5&amp;"生成成长"),3))*(VLOOKUP($B$5,标准坦克设计!$B$14:$K$20,9)/30))</f>
        <v>7.7683924272417579</v>
      </c>
      <c r="AV230" s="172">
        <f ca="1">(VLOOKUP(AV$72,INDIRECT($C$5&amp;"生成成长"),2))/((VLOOKUP($B230,INDIRECT($B$5&amp;"生成成长"),4))/(VLOOKUP(AV$72,INDIRECT($C$5&amp;"生成成长"),5))*(VLOOKUP($B$5,标准坦克设计!$B$24:$U$30,MATCH("对"&amp;LEFT($C$5,2)&amp;"输出",标准坦克设计!$B$23:$U$23,0)))*(VLOOKUP($B230,INDIRECT($B$5&amp;"生成成长"),3))*(VLOOKUP($B$5,标准坦克设计!$B$14:$K$20,9)/30))</f>
        <v>0.79011757601836552</v>
      </c>
      <c r="AW230" s="172">
        <f ca="1">(VLOOKUP(AW$72,INDIRECT($C$5&amp;"生成成长"),2))/((VLOOKUP($B230,INDIRECT($B$5&amp;"生成成长"),4))/(VLOOKUP(AW$72,INDIRECT($C$5&amp;"生成成长"),5))*(VLOOKUP($B$5,标准坦克设计!$B$24:$U$30,MATCH("对"&amp;LEFT($C$5,2)&amp;"输出",标准坦克设计!$B$23:$U$23,0)))*(VLOOKUP($B230,INDIRECT($B$5&amp;"生成成长"),3))*(VLOOKUP($B$5,标准坦克设计!$B$14:$K$20,9)/30))</f>
        <v>0.90088384349810191</v>
      </c>
      <c r="AX230" s="172">
        <f ca="1">(VLOOKUP(AX$72,INDIRECT($C$5&amp;"生成成长"),2))/((VLOOKUP($B230,INDIRECT($B$5&amp;"生成成长"),4))/(VLOOKUP(AX$72,INDIRECT($C$5&amp;"生成成长"),5))*(VLOOKUP($B$5,标准坦克设计!$B$24:$U$30,MATCH("对"&amp;LEFT($C$5,2)&amp;"输出",标准坦克设计!$B$23:$U$23,0)))*(VLOOKUP($B230,INDIRECT($B$5&amp;"生成成长"),3))*(VLOOKUP($B$5,标准坦克设计!$B$14:$K$20,9)/30))</f>
        <v>1.0189134727797884</v>
      </c>
      <c r="AY230" s="172">
        <f ca="1">(VLOOKUP(AY$72,INDIRECT($C$5&amp;"生成成长"),2))/((VLOOKUP($B230,INDIRECT($B$5&amp;"生成成长"),4))/(VLOOKUP(AY$72,INDIRECT($C$5&amp;"生成成长"),5))*(VLOOKUP($B$5,标准坦克设计!$B$24:$U$30,MATCH("对"&amp;LEFT($C$5,2)&amp;"输出",标准坦克设计!$B$23:$U$23,0)))*(VLOOKUP($B230,INDIRECT($B$5&amp;"生成成长"),3))*(VLOOKUP($B$5,标准坦克设计!$B$14:$K$20,9)/30))</f>
        <v>1.1442064638634246</v>
      </c>
      <c r="AZ230" s="172">
        <f ca="1">(VLOOKUP(AZ$72,INDIRECT($C$5&amp;"生成成长"),2))/((VLOOKUP($B230,INDIRECT($B$5&amp;"生成成长"),4))/(VLOOKUP(AZ$72,INDIRECT($C$5&amp;"生成成长"),5))*(VLOOKUP($B$5,标准坦克设计!$B$24:$U$30,MATCH("对"&amp;LEFT($C$5,2)&amp;"输出",标准坦克设计!$B$23:$U$23,0)))*(VLOOKUP($B230,INDIRECT($B$5&amp;"生成成长"),3))*(VLOOKUP($B$5,标准坦克设计!$B$14:$K$20,9)/30))</f>
        <v>1.2767628167490108</v>
      </c>
      <c r="BA230" s="172">
        <f ca="1">(VLOOKUP(BA$72,INDIRECT($C$5&amp;"生成成长"),2))/((VLOOKUP($B230,INDIRECT($B$5&amp;"生成成长"),4))/(VLOOKUP(BA$72,INDIRECT($C$5&amp;"生成成长"),5))*(VLOOKUP($B$5,标准坦克设计!$B$24:$U$30,MATCH("对"&amp;LEFT($C$5,2)&amp;"输出",标准坦克设计!$B$23:$U$23,0)))*(VLOOKUP($B230,INDIRECT($B$5&amp;"生成成长"),3))*(VLOOKUP($B$5,标准坦克设计!$B$14:$K$20,9)/30))</f>
        <v>1.4165825314365468</v>
      </c>
      <c r="BB230" s="172">
        <f ca="1">(VLOOKUP(BB$72,INDIRECT($C$5&amp;"生成成长"),2))/((VLOOKUP($B230,INDIRECT($B$5&amp;"生成成长"),4))/(VLOOKUP(BB$72,INDIRECT($C$5&amp;"生成成长"),5))*(VLOOKUP($B$5,标准坦克设计!$B$24:$U$30,MATCH("对"&amp;LEFT($C$5,2)&amp;"输出",标准坦克设计!$B$23:$U$23,0)))*(VLOOKUP($B230,INDIRECT($B$5&amp;"生成成长"),3))*(VLOOKUP($B$5,标准坦克设计!$B$14:$K$20,9)/30))</f>
        <v>1.5636656079260327</v>
      </c>
      <c r="BC230" s="172">
        <f ca="1">(VLOOKUP(BC$72,INDIRECT($C$5&amp;"生成成长"),2))/((VLOOKUP($B230,INDIRECT($B$5&amp;"生成成长"),4))/(VLOOKUP(BC$72,INDIRECT($C$5&amp;"生成成长"),5))*(VLOOKUP($B$5,标准坦克设计!$B$24:$U$30,MATCH("对"&amp;LEFT($C$5,2)&amp;"输出",标准坦克设计!$B$23:$U$23,0)))*(VLOOKUP($B230,INDIRECT($B$5&amp;"生成成长"),3))*(VLOOKUP($B$5,标准坦克设计!$B$14:$K$20,9)/30))</f>
        <v>1.7180120462174686</v>
      </c>
      <c r="BD230" s="172">
        <f ca="1">(VLOOKUP(BD$72,INDIRECT($C$5&amp;"生成成长"),2))/((VLOOKUP($B230,INDIRECT($B$5&amp;"生成成长"),4))/(VLOOKUP(BD$72,INDIRECT($C$5&amp;"生成成长"),5))*(VLOOKUP($B$5,标准坦克设计!$B$24:$U$30,MATCH("对"&amp;LEFT($C$5,2)&amp;"输出",标准坦克设计!$B$23:$U$23,0)))*(VLOOKUP($B230,INDIRECT($B$5&amp;"生成成长"),3))*(VLOOKUP($B$5,标准坦克设计!$B$14:$K$20,9)/30))</f>
        <v>1.9003337764492274</v>
      </c>
      <c r="BE230" s="172">
        <f ca="1">(VLOOKUP(BE$72,INDIRECT($C$5&amp;"生成成长"),2))/((VLOOKUP($B230,INDIRECT($B$5&amp;"生成成长"),4))/(VLOOKUP(BE$72,INDIRECT($C$5&amp;"生成成长"),5))*(VLOOKUP($B$5,标准坦克设计!$B$24:$U$30,MATCH("对"&amp;LEFT($C$5,2)&amp;"输出",标准坦克设计!$B$23:$U$23,0)))*(VLOOKUP($B230,INDIRECT($B$5&amp;"生成成长"),3))*(VLOOKUP($B$5,标准坦克设计!$B$14:$K$20,9)/30))</f>
        <v>2.0918481989615789</v>
      </c>
      <c r="BF230" s="172">
        <f ca="1">(VLOOKUP(BF$72,INDIRECT($C$5&amp;"生成成长"),2))/((VLOOKUP($B230,INDIRECT($B$5&amp;"生成成长"),4))/(VLOOKUP(BF$72,INDIRECT($C$5&amp;"生成成长"),5))*(VLOOKUP($B$5,标准坦克设计!$B$24:$U$30,MATCH("对"&amp;LEFT($C$5,2)&amp;"输出",标准坦克设计!$B$23:$U$23,0)))*(VLOOKUP($B230,INDIRECT($B$5&amp;"生成成长"),3))*(VLOOKUP($B$5,标准坦克设计!$B$14:$K$20,9)/30))</f>
        <v>2.2925553137545238</v>
      </c>
      <c r="BG230" s="172">
        <f ca="1">(VLOOKUP(BG$72,INDIRECT($C$5&amp;"生成成长"),2))/((VLOOKUP($B230,INDIRECT($B$5&amp;"生成成长"),4))/(VLOOKUP(BG$72,INDIRECT($C$5&amp;"生成成长"),5))*(VLOOKUP($B$5,标准坦克设计!$B$24:$U$30,MATCH("对"&amp;LEFT($C$5,2)&amp;"输出",标准坦克设计!$B$23:$U$23,0)))*(VLOOKUP($B230,INDIRECT($B$5&amp;"生成成长"),3))*(VLOOKUP($B$5,标准坦克设计!$B$14:$K$20,9)/30))</f>
        <v>2.5024551208280612</v>
      </c>
      <c r="BH230" s="172">
        <f ca="1">(VLOOKUP(BH$72,INDIRECT($C$5&amp;"生成成长"),2))/((VLOOKUP($B230,INDIRECT($B$5&amp;"生成成长"),4))/(VLOOKUP(BH$72,INDIRECT($C$5&amp;"生成成长"),5))*(VLOOKUP($B$5,标准坦克设计!$B$24:$U$30,MATCH("对"&amp;LEFT($C$5,2)&amp;"输出",标准坦克设计!$B$23:$U$23,0)))*(VLOOKUP($B230,INDIRECT($B$5&amp;"生成成长"),3))*(VLOOKUP($B$5,标准坦克设计!$B$14:$K$20,9)/30))</f>
        <v>1.2095767200809742</v>
      </c>
      <c r="BI230" s="172">
        <f ca="1">(VLOOKUP(BI$72,INDIRECT($C$5&amp;"生成成长"),2))/((VLOOKUP($B230,INDIRECT($B$5&amp;"生成成长"),4))/(VLOOKUP(BI$72,INDIRECT($C$5&amp;"生成成长"),5))*(VLOOKUP($B$5,标准坦克设计!$B$24:$U$30,MATCH("对"&amp;LEFT($C$5,2)&amp;"输出",标准坦克设计!$B$23:$U$23,0)))*(VLOOKUP($B230,INDIRECT($B$5&amp;"生成成长"),3))*(VLOOKUP($B$5,标准坦克设计!$B$14:$K$20,9)/30))</f>
        <v>1.3632989632175547</v>
      </c>
      <c r="BJ230" s="172">
        <f ca="1">(VLOOKUP(BJ$72,INDIRECT($C$5&amp;"生成成长"),2))/((VLOOKUP($B230,INDIRECT($B$5&amp;"生成成长"),4))/(VLOOKUP(BJ$72,INDIRECT($C$5&amp;"生成成长"),5))*(VLOOKUP($B$5,标准坦克设计!$B$24:$U$30,MATCH("对"&amp;LEFT($C$5,2)&amp;"输出",标准坦克设计!$B$23:$U$23,0)))*(VLOOKUP($B230,INDIRECT($B$5&amp;"生成成长"),3))*(VLOOKUP($B$5,标准坦克设计!$B$14:$K$20,9)/30))</f>
        <v>1.5262138986347284</v>
      </c>
      <c r="BK230" s="172">
        <f ca="1">(VLOOKUP(BK$72,INDIRECT($C$5&amp;"生成成长"),2))/((VLOOKUP($B230,INDIRECT($B$5&amp;"生成成长"),4))/(VLOOKUP(BK$72,INDIRECT($C$5&amp;"生成成长"),5))*(VLOOKUP($B$5,标准坦克设计!$B$24:$U$30,MATCH("对"&amp;LEFT($C$5,2)&amp;"输出",标准坦克设计!$B$23:$U$23,0)))*(VLOOKUP($B230,INDIRECT($B$5&amp;"生成成长"),3))*(VLOOKUP($B$5,标准坦克设计!$B$14:$K$20,9)/30))</f>
        <v>1.6983215263324953</v>
      </c>
      <c r="BL230" s="172">
        <f ca="1">(VLOOKUP(BL$72,INDIRECT($C$5&amp;"生成成长"),2))/((VLOOKUP($B230,INDIRECT($B$5&amp;"生成成长"),4))/(VLOOKUP(BL$72,INDIRECT($C$5&amp;"生成成长"),5))*(VLOOKUP($B$5,标准坦克设计!$B$24:$U$30,MATCH("对"&amp;LEFT($C$5,2)&amp;"输出",标准坦克设计!$B$23:$U$23,0)))*(VLOOKUP($B230,INDIRECT($B$5&amp;"生成成长"),3))*(VLOOKUP($B$5,标准坦克设计!$B$14:$K$20,9)/30))</f>
        <v>1.8796218463108547</v>
      </c>
      <c r="BM230" s="172">
        <f ca="1">(VLOOKUP(BM$72,INDIRECT($C$5&amp;"生成成长"),2))/((VLOOKUP($B230,INDIRECT($B$5&amp;"生成成长"),4))/(VLOOKUP(BM$72,INDIRECT($C$5&amp;"生成成长"),5))*(VLOOKUP($B$5,标准坦克设计!$B$24:$U$30,MATCH("对"&amp;LEFT($C$5,2)&amp;"输出",标准坦克设计!$B$23:$U$23,0)))*(VLOOKUP($B230,INDIRECT($B$5&amp;"生成成长"),3))*(VLOOKUP($B$5,标准坦克设计!$B$14:$K$20,9)/30))</f>
        <v>2.0701148585698066</v>
      </c>
      <c r="BN230" s="172">
        <f ca="1">(VLOOKUP(BN$72,INDIRECT($C$5&amp;"生成成长"),2))/((VLOOKUP($B230,INDIRECT($B$5&amp;"生成成长"),4))/(VLOOKUP(BN$72,INDIRECT($C$5&amp;"生成成长"),5))*(VLOOKUP($B$5,标准坦克设计!$B$24:$U$30,MATCH("对"&amp;LEFT($C$5,2)&amp;"输出",标准坦克设计!$B$23:$U$23,0)))*(VLOOKUP($B230,INDIRECT($B$5&amp;"生成成长"),3))*(VLOOKUP($B$5,标准坦克设计!$B$14:$K$20,9)/30))</f>
        <v>2.2698005631093521</v>
      </c>
      <c r="BO230" s="172">
        <f ca="1">(VLOOKUP(BO$72,INDIRECT($C$5&amp;"生成成长"),2))/((VLOOKUP($B230,INDIRECT($B$5&amp;"生成成长"),4))/(VLOOKUP(BO$72,INDIRECT($C$5&amp;"生成成长"),5))*(VLOOKUP($B$5,标准坦克设计!$B$24:$U$30,MATCH("对"&amp;LEFT($C$5,2)&amp;"输出",标准坦克设计!$B$23:$U$23,0)))*(VLOOKUP($B230,INDIRECT($B$5&amp;"生成成长"),3))*(VLOOKUP($B$5,标准坦克设计!$B$14:$K$20,9)/30))</f>
        <v>2.4786789599294901</v>
      </c>
      <c r="BP230" s="172">
        <f ca="1">(VLOOKUP(BP$72,INDIRECT($C$5&amp;"生成成长"),2))/((VLOOKUP($B230,INDIRECT($B$5&amp;"生成成长"),4))/(VLOOKUP(BP$72,INDIRECT($C$5&amp;"生成成长"),5))*(VLOOKUP($B$5,标准坦克设计!$B$24:$U$30,MATCH("对"&amp;LEFT($C$5,2)&amp;"输出",标准坦克设计!$B$23:$U$23,0)))*(VLOOKUP($B230,INDIRECT($B$5&amp;"生成成长"),3))*(VLOOKUP($B$5,标准坦克设计!$B$14:$K$20,9)/30))</f>
        <v>2.6967500490302214</v>
      </c>
      <c r="BQ230" s="172">
        <f ca="1">(VLOOKUP(BQ$72,INDIRECT($C$5&amp;"生成成长"),2))/((VLOOKUP($B230,INDIRECT($B$5&amp;"生成成长"),4))/(VLOOKUP(BQ$72,INDIRECT($C$5&amp;"生成成长"),5))*(VLOOKUP($B$5,标准坦克设计!$B$24:$U$30,MATCH("对"&amp;LEFT($C$5,2)&amp;"输出",标准坦克设计!$B$23:$U$23,0)))*(VLOOKUP($B230,INDIRECT($B$5&amp;"生成成长"),3))*(VLOOKUP($B$5,标准坦克设计!$B$14:$K$20,9)/30))</f>
        <v>2.9240138304115453</v>
      </c>
      <c r="BR230" s="172">
        <f ca="1">(VLOOKUP(BR$72,INDIRECT($C$5&amp;"生成成长"),2))/((VLOOKUP($B230,INDIRECT($B$5&amp;"生成成长"),4))/(VLOOKUP(BR$72,INDIRECT($C$5&amp;"生成成长"),5))*(VLOOKUP($B$5,标准坦克设计!$B$24:$U$30,MATCH("对"&amp;LEFT($C$5,2)&amp;"输出",标准坦克设计!$B$23:$U$23,0)))*(VLOOKUP($B230,INDIRECT($B$5&amp;"生成成长"),3))*(VLOOKUP($B$5,标准坦克设计!$B$14:$K$20,9)/30))</f>
        <v>3.1873106957322297</v>
      </c>
      <c r="BS230" s="172">
        <f ca="1">(VLOOKUP(BS$72,INDIRECT($C$5&amp;"生成成长"),2))/((VLOOKUP($B230,INDIRECT($B$5&amp;"生成成长"),4))/(VLOOKUP(BS$72,INDIRECT($C$5&amp;"生成成长"),5))*(VLOOKUP($B$5,标准坦克设计!$B$24:$U$30,MATCH("对"&amp;LEFT($C$5,2)&amp;"输出",标准坦克设计!$B$23:$U$23,0)))*(VLOOKUP($B230,INDIRECT($B$5&amp;"生成成长"),3))*(VLOOKUP($B$5,标准坦克设计!$B$14:$K$20,9)/30))</f>
        <v>3.461956563868462</v>
      </c>
      <c r="BT230" s="172">
        <f ca="1">(VLOOKUP(BT$72,INDIRECT($C$5&amp;"生成成长"),2))/((VLOOKUP($B230,INDIRECT($B$5&amp;"生成成长"),4))/(VLOOKUP(BT$72,INDIRECT($C$5&amp;"生成成长"),5))*(VLOOKUP($B$5,标准坦克设计!$B$24:$U$30,MATCH("对"&amp;LEFT($C$5,2)&amp;"输出",标准坦克设计!$B$23:$U$23,0)))*(VLOOKUP($B230,INDIRECT($B$5&amp;"生成成长"),3))*(VLOOKUP($B$5,标准坦克设计!$B$14:$K$20,9)/30))</f>
        <v>3.7479514348202398</v>
      </c>
      <c r="BU230" s="172">
        <f ca="1">(VLOOKUP(BU$72,INDIRECT($C$5&amp;"生成成长"),2))/((VLOOKUP($B230,INDIRECT($B$5&amp;"生成成长"),4))/(VLOOKUP(BU$72,INDIRECT($C$5&amp;"生成成长"),5))*(VLOOKUP($B$5,标准坦克设计!$B$24:$U$30,MATCH("对"&amp;LEFT($C$5,2)&amp;"输出",标准坦克设计!$B$23:$U$23,0)))*(VLOOKUP($B230,INDIRECT($B$5&amp;"生成成长"),3))*(VLOOKUP($B$5,标准坦克设计!$B$14:$K$20,9)/30))</f>
        <v>4.0452953085875647</v>
      </c>
      <c r="BV230" s="172">
        <f ca="1">(VLOOKUP(BV$72,INDIRECT($C$5&amp;"生成成长"),2))/((VLOOKUP($B230,INDIRECT($B$5&amp;"生成成长"),4))/(VLOOKUP(BV$72,INDIRECT($C$5&amp;"生成成长"),5))*(VLOOKUP($B$5,标准坦克设计!$B$24:$U$30,MATCH("对"&amp;LEFT($C$5,2)&amp;"输出",标准坦克设计!$B$23:$U$23,0)))*(VLOOKUP($B230,INDIRECT($B$5&amp;"生成成长"),3))*(VLOOKUP($B$5,标准坦克设计!$B$14:$K$20,9)/30))</f>
        <v>4.3539881851704365</v>
      </c>
      <c r="BW230" s="172">
        <f ca="1">(VLOOKUP(BW$72,INDIRECT($C$5&amp;"生成成长"),2))/((VLOOKUP($B230,INDIRECT($B$5&amp;"生成成长"),4))/(VLOOKUP(BW$72,INDIRECT($C$5&amp;"生成成长"),5))*(VLOOKUP($B$5,标准坦克设计!$B$24:$U$30,MATCH("对"&amp;LEFT($C$5,2)&amp;"输出",标准坦克设计!$B$23:$U$23,0)))*(VLOOKUP($B230,INDIRECT($B$5&amp;"生成成长"),3))*(VLOOKUP($B$5,标准坦克设计!$B$14:$K$20,9)/30))</f>
        <v>1.9843163972842737</v>
      </c>
      <c r="BX230" s="172">
        <f ca="1">(VLOOKUP(BX$72,INDIRECT($C$5&amp;"生成成长"),2))/((VLOOKUP($B230,INDIRECT($B$5&amp;"生成成长"),4))/(VLOOKUP(BX$72,INDIRECT($C$5&amp;"生成成长"),5))*(VLOOKUP($B$5,标准坦克设计!$B$24:$U$30,MATCH("对"&amp;LEFT($C$5,2)&amp;"输出",标准坦克设计!$B$23:$U$23,0)))*(VLOOKUP($B230,INDIRECT($B$5&amp;"生成成长"),3))*(VLOOKUP($B$5,标准坦克设计!$B$14:$K$20,9)/30))</f>
        <v>2.2022172513427711</v>
      </c>
      <c r="BY230" s="172">
        <f ca="1">(VLOOKUP(BY$72,INDIRECT($C$5&amp;"生成成长"),2))/((VLOOKUP($B230,INDIRECT($B$5&amp;"生成成长"),4))/(VLOOKUP(BY$72,INDIRECT($C$5&amp;"生成成长"),5))*(VLOOKUP($B$5,标准坦克设计!$B$24:$U$30,MATCH("对"&amp;LEFT($C$5,2)&amp;"输出",标准坦克设计!$B$23:$U$23,0)))*(VLOOKUP($B230,INDIRECT($B$5&amp;"生成成长"),3))*(VLOOKUP($B$5,标准坦克设计!$B$14:$K$20,9)/30))</f>
        <v>2.431467108216816</v>
      </c>
      <c r="BZ230" s="172">
        <f ca="1">(VLOOKUP(BZ$72,INDIRECT($C$5&amp;"生成成长"),2))/((VLOOKUP($B230,INDIRECT($B$5&amp;"生成成长"),4))/(VLOOKUP(BZ$72,INDIRECT($C$5&amp;"生成成长"),5))*(VLOOKUP($B$5,标准坦克设计!$B$24:$U$30,MATCH("对"&amp;LEFT($C$5,2)&amp;"输出",标准坦克设计!$B$23:$U$23,0)))*(VLOOKUP($B230,INDIRECT($B$5&amp;"生成成长"),3))*(VLOOKUP($B$5,标准坦克设计!$B$14:$K$20,9)/30))</f>
        <v>2.6720659679064074</v>
      </c>
      <c r="CA230" s="172">
        <f ca="1">(VLOOKUP(CA$72,INDIRECT($C$5&amp;"生成成长"),2))/((VLOOKUP($B230,INDIRECT($B$5&amp;"生成成长"),4))/(VLOOKUP(CA$72,INDIRECT($C$5&amp;"生成成长"),5))*(VLOOKUP($B$5,标准坦克设计!$B$24:$U$30,MATCH("对"&amp;LEFT($C$5,2)&amp;"输出",标准坦克设计!$B$23:$U$23,0)))*(VLOOKUP($B230,INDIRECT($B$5&amp;"生成成长"),3))*(VLOOKUP($B$5,标准坦克设计!$B$14:$K$20,9)/30))</f>
        <v>2.9240138304115453</v>
      </c>
      <c r="CB230" s="172">
        <f ca="1">(VLOOKUP(CB$72,INDIRECT($C$5&amp;"生成成长"),2))/((VLOOKUP($B230,INDIRECT($B$5&amp;"生成成长"),4))/(VLOOKUP(CB$72,INDIRECT($C$5&amp;"生成成长"),5))*(VLOOKUP($B$5,标准坦克设计!$B$24:$U$30,MATCH("对"&amp;LEFT($C$5,2)&amp;"输出",标准坦克设计!$B$23:$U$23,0)))*(VLOOKUP($B230,INDIRECT($B$5&amp;"生成成长"),3))*(VLOOKUP($B$5,标准坦克设计!$B$14:$K$20,9)/30))</f>
        <v>3.1873106957322297</v>
      </c>
      <c r="CC230" s="172">
        <f ca="1">(VLOOKUP(CC$72,INDIRECT($C$5&amp;"生成成长"),2))/((VLOOKUP($B230,INDIRECT($B$5&amp;"生成成长"),4))/(VLOOKUP(CC$72,INDIRECT($C$5&amp;"生成成长"),5))*(VLOOKUP($B$5,标准坦克设计!$B$24:$U$30,MATCH("对"&amp;LEFT($C$5,2)&amp;"输出",标准坦克设计!$B$23:$U$23,0)))*(VLOOKUP($B230,INDIRECT($B$5&amp;"生成成长"),3))*(VLOOKUP($B$5,标准坦克设计!$B$14:$K$20,9)/30))</f>
        <v>3.461956563868462</v>
      </c>
      <c r="CD230" s="172">
        <f ca="1">(VLOOKUP(CD$72,INDIRECT($C$5&amp;"生成成长"),2))/((VLOOKUP($B230,INDIRECT($B$5&amp;"生成成长"),4))/(VLOOKUP(CD$72,INDIRECT($C$5&amp;"生成成长"),5))*(VLOOKUP($B$5,标准坦克设计!$B$24:$U$30,MATCH("对"&amp;LEFT($C$5,2)&amp;"输出",标准坦克设计!$B$23:$U$23,0)))*(VLOOKUP($B230,INDIRECT($B$5&amp;"生成成长"),3))*(VLOOKUP($B$5,标准坦克设计!$B$14:$K$20,9)/30))</f>
        <v>3.7479514348202398</v>
      </c>
      <c r="CE230" s="172">
        <f ca="1">(VLOOKUP(CE$72,INDIRECT($C$5&amp;"生成成长"),2))/((VLOOKUP($B230,INDIRECT($B$5&amp;"生成成长"),4))/(VLOOKUP(CE$72,INDIRECT($C$5&amp;"生成成长"),5))*(VLOOKUP($B$5,标准坦克设计!$B$24:$U$30,MATCH("对"&amp;LEFT($C$5,2)&amp;"输出",标准坦克设计!$B$23:$U$23,0)))*(VLOOKUP($B230,INDIRECT($B$5&amp;"生成成长"),3))*(VLOOKUP($B$5,标准坦克设计!$B$14:$K$20,9)/30))</f>
        <v>4.0452953085875647</v>
      </c>
      <c r="CF230" s="172">
        <f ca="1">(VLOOKUP(CF$72,INDIRECT($C$5&amp;"生成成长"),2))/((VLOOKUP($B230,INDIRECT($B$5&amp;"生成成长"),4))/(VLOOKUP(CF$72,INDIRECT($C$5&amp;"生成成长"),5))*(VLOOKUP($B$5,标准坦克设计!$B$24:$U$30,MATCH("对"&amp;LEFT($C$5,2)&amp;"输出",标准坦克设计!$B$23:$U$23,0)))*(VLOOKUP($B230,INDIRECT($B$5&amp;"生成成长"),3))*(VLOOKUP($B$5,标准坦克设计!$B$14:$K$20,9)/30))</f>
        <v>4.3539881851704365</v>
      </c>
      <c r="CG230" s="172">
        <f ca="1">(VLOOKUP(CG$72,INDIRECT($C$5&amp;"生成成长"),2))/((VLOOKUP($B230,INDIRECT($B$5&amp;"生成成长"),4))/(VLOOKUP(CG$72,INDIRECT($C$5&amp;"生成成长"),5))*(VLOOKUP($B$5,标准坦克设计!$B$24:$U$30,MATCH("对"&amp;LEFT($C$5,2)&amp;"输出",标准坦克设计!$B$23:$U$23,0)))*(VLOOKUP($B230,INDIRECT($B$5&amp;"生成成长"),3))*(VLOOKUP($B$5,标准坦克设计!$B$14:$K$20,9)/30))</f>
        <v>4.6740300645688571</v>
      </c>
      <c r="CH230" s="172">
        <f ca="1">(VLOOKUP(CH$72,INDIRECT($C$5&amp;"生成成长"),2))/((VLOOKUP($B230,INDIRECT($B$5&amp;"生成成长"),4))/(VLOOKUP(CH$72,INDIRECT($C$5&amp;"生成成长"),5))*(VLOOKUP($B$5,标准坦克设计!$B$24:$U$30,MATCH("对"&amp;LEFT($C$5,2)&amp;"输出",标准坦克设计!$B$23:$U$23,0)))*(VLOOKUP($B230,INDIRECT($B$5&amp;"生成成长"),3))*(VLOOKUP($B$5,标准坦克设计!$B$14:$K$20,9)/30))</f>
        <v>5.0054209467828219</v>
      </c>
      <c r="CI230" s="172">
        <f ca="1">(VLOOKUP(CI$72,INDIRECT($C$5&amp;"生成成长"),2))/((VLOOKUP($B230,INDIRECT($B$5&amp;"生成成长"),4))/(VLOOKUP(CI$72,INDIRECT($C$5&amp;"生成成长"),5))*(VLOOKUP($B$5,标准坦克设计!$B$24:$U$30,MATCH("对"&amp;LEFT($C$5,2)&amp;"输出",标准坦克设计!$B$23:$U$23,0)))*(VLOOKUP($B230,INDIRECT($B$5&amp;"生成成长"),3))*(VLOOKUP($B$5,标准坦克设计!$B$14:$K$20,9)/30))</f>
        <v>5.3830590154701401</v>
      </c>
      <c r="CJ230" s="172">
        <f ca="1">(VLOOKUP(CJ$72,INDIRECT($C$5&amp;"生成成长"),2))/((VLOOKUP($B230,INDIRECT($B$5&amp;"生成成长"),4))/(VLOOKUP(CJ$72,INDIRECT($C$5&amp;"生成成长"),5))*(VLOOKUP($B$5,标准坦克设计!$B$24:$U$30,MATCH("对"&amp;LEFT($C$5,2)&amp;"输出",标准坦克设计!$B$23:$U$23,0)))*(VLOOKUP($B230,INDIRECT($B$5&amp;"生成成长"),3))*(VLOOKUP($B$5,标准坦克设计!$B$14:$K$20,9)/30))</f>
        <v>5.7744293775642701</v>
      </c>
      <c r="CK230" s="172">
        <f ca="1">(VLOOKUP(CK$72,INDIRECT($C$5&amp;"生成成长"),2))/((VLOOKUP($B230,INDIRECT($B$5&amp;"生成成长"),4))/(VLOOKUP(CK$72,INDIRECT($C$5&amp;"生成成长"),5))*(VLOOKUP($B$5,标准坦克设计!$B$24:$U$30,MATCH("对"&amp;LEFT($C$5,2)&amp;"输出",标准坦克设计!$B$23:$U$23,0)))*(VLOOKUP($B230,INDIRECT($B$5&amp;"生成成长"),3))*(VLOOKUP($B$5,标准坦克设计!$B$14:$K$20,9)/30))</f>
        <v>6.1795320330652119</v>
      </c>
      <c r="CL230" s="172">
        <f ca="1">(VLOOKUP(CL$72,INDIRECT($C$5&amp;"生成成长"),2))/((VLOOKUP($B230,INDIRECT($B$5&amp;"生成成长"),4))/(VLOOKUP(CL$72,INDIRECT($C$5&amp;"生成成长"),5))*(VLOOKUP($B$5,标准坦克设计!$B$24:$U$30,MATCH("对"&amp;LEFT($C$5,2)&amp;"输出",标准坦克设计!$B$23:$U$23,0)))*(VLOOKUP($B230,INDIRECT($B$5&amp;"生成成长"),3))*(VLOOKUP($B$5,标准坦克设计!$B$14:$K$20,9)/30))</f>
        <v>6.5983669819729647</v>
      </c>
      <c r="CM230" s="172">
        <f ca="1">(VLOOKUP(CM$72,INDIRECT($C$5&amp;"生成成长"),2))/((VLOOKUP($B230,INDIRECT($B$5&amp;"生成成长"),4))/(VLOOKUP(CM$72,INDIRECT($C$5&amp;"生成成长"),5))*(VLOOKUP($B$5,标准坦克设计!$B$24:$U$30,MATCH("对"&amp;LEFT($C$5,2)&amp;"输出",标准坦克设计!$B$23:$U$23,0)))*(VLOOKUP($B230,INDIRECT($B$5&amp;"生成成长"),3))*(VLOOKUP($B$5,标准坦克设计!$B$14:$K$20,9)/30))</f>
        <v>7.0309342242875292</v>
      </c>
      <c r="CN230" s="172">
        <f ca="1">(VLOOKUP(CN$72,INDIRECT($C$5&amp;"生成成长"),2))/((VLOOKUP($B230,INDIRECT($B$5&amp;"生成成长"),4))/(VLOOKUP(CN$72,INDIRECT($C$5&amp;"生成成长"),5))*(VLOOKUP($B$5,标准坦克设计!$B$24:$U$30,MATCH("对"&amp;LEFT($C$5,2)&amp;"输出",标准坦克设计!$B$23:$U$23,0)))*(VLOOKUP($B230,INDIRECT($B$5&amp;"生成成长"),3))*(VLOOKUP($B$5,标准坦克设计!$B$14:$K$20,9)/30))</f>
        <v>7.4772337600089065</v>
      </c>
      <c r="CO230" s="172">
        <f ca="1">(VLOOKUP(CO$72,INDIRECT($C$5&amp;"生成成长"),2))/((VLOOKUP($B230,INDIRECT($B$5&amp;"生成成长"),4))/(VLOOKUP(CO$72,INDIRECT($C$5&amp;"生成成长"),5))*(VLOOKUP($B$5,标准坦克设计!$B$24:$U$30,MATCH("对"&amp;LEFT($C$5,2)&amp;"输出",标准坦克设计!$B$23:$U$23,0)))*(VLOOKUP($B230,INDIRECT($B$5&amp;"生成成长"),3))*(VLOOKUP($B$5,标准坦克设计!$B$14:$K$20,9)/30))</f>
        <v>3.3507363362761038</v>
      </c>
      <c r="CP230" s="172">
        <f ca="1">(VLOOKUP(CP$72,INDIRECT($C$5&amp;"生成成长"),2))/((VLOOKUP($B230,INDIRECT($B$5&amp;"生成成长"),4))/(VLOOKUP(CP$72,INDIRECT($C$5&amp;"生成成长"),5))*(VLOOKUP($B$5,标准坦克设计!$B$24:$U$30,MATCH("对"&amp;LEFT($C$5,2)&amp;"输出",标准坦克设计!$B$23:$U$23,0)))*(VLOOKUP($B230,INDIRECT($B$5&amp;"生成成长"),3))*(VLOOKUP($B$5,标准坦克设计!$B$14:$K$20,9)/30))</f>
        <v>3.6609613282390745</v>
      </c>
      <c r="CQ230" s="172">
        <f ca="1">(VLOOKUP(CQ$72,INDIRECT($C$5&amp;"生成成长"),2))/((VLOOKUP($B230,INDIRECT($B$5&amp;"生成成长"),4))/(VLOOKUP(CQ$72,INDIRECT($C$5&amp;"生成成长"),5))*(VLOOKUP($B$5,标准坦克设计!$B$24:$U$30,MATCH("对"&amp;LEFT($C$5,2)&amp;"输出",标准坦克设计!$B$23:$U$23,0)))*(VLOOKUP($B230,INDIRECT($B$5&amp;"生成成长"),3))*(VLOOKUP($B$5,标准坦克设计!$B$14:$K$20,9)/30))</f>
        <v>3.984918613608857</v>
      </c>
      <c r="CR230" s="172">
        <f ca="1">(VLOOKUP(CR$72,INDIRECT($C$5&amp;"生成成长"),2))/((VLOOKUP($B230,INDIRECT($B$5&amp;"生成成长"),4))/(VLOOKUP(CR$72,INDIRECT($C$5&amp;"生成成长"),5))*(VLOOKUP($B$5,标准坦克设计!$B$24:$U$30,MATCH("对"&amp;LEFT($C$5,2)&amp;"输出",标准坦克设计!$B$23:$U$23,0)))*(VLOOKUP($B230,INDIRECT($B$5&amp;"生成成长"),3))*(VLOOKUP($B$5,标准坦克设计!$B$14:$K$20,9)/30))</f>
        <v>4.3226081923854505</v>
      </c>
      <c r="CS230" s="172">
        <f ca="1">(VLOOKUP(CS$72,INDIRECT($C$5&amp;"生成成长"),2))/((VLOOKUP($B230,INDIRECT($B$5&amp;"生成成长"),4))/(VLOOKUP(CS$72,INDIRECT($C$5&amp;"生成成长"),5))*(VLOOKUP($B$5,标准坦克设计!$B$24:$U$30,MATCH("对"&amp;LEFT($C$5,2)&amp;"输出",标准坦克设计!$B$23:$U$23,0)))*(VLOOKUP($B230,INDIRECT($B$5&amp;"生成成长"),3))*(VLOOKUP($B$5,标准坦克设计!$B$14:$K$20,9)/30))</f>
        <v>4.6740300645688571</v>
      </c>
      <c r="CT230" s="172">
        <f ca="1">(VLOOKUP(CT$72,INDIRECT($C$5&amp;"生成成长"),2))/((VLOOKUP($B230,INDIRECT($B$5&amp;"生成成长"),4))/(VLOOKUP(CT$72,INDIRECT($C$5&amp;"生成成长"),5))*(VLOOKUP($B$5,标准坦克设计!$B$24:$U$30,MATCH("对"&amp;LEFT($C$5,2)&amp;"输出",标准坦克设计!$B$23:$U$23,0)))*(VLOOKUP($B230,INDIRECT($B$5&amp;"生成成长"),3))*(VLOOKUP($B$5,标准坦克设计!$B$14:$K$20,9)/30))</f>
        <v>5.0391842301590719</v>
      </c>
      <c r="CU230" s="172">
        <f ca="1">(VLOOKUP(CU$72,INDIRECT($C$5&amp;"生成成长"),2))/((VLOOKUP($B230,INDIRECT($B$5&amp;"生成成长"),4))/(VLOOKUP(CU$72,INDIRECT($C$5&amp;"生成成长"),5))*(VLOOKUP($B$5,标准坦克设计!$B$24:$U$30,MATCH("对"&amp;LEFT($C$5,2)&amp;"输出",标准坦克设计!$B$23:$U$23,0)))*(VLOOKUP($B230,INDIRECT($B$5&amp;"生成成长"),3))*(VLOOKUP($B$5,标准坦克设计!$B$14:$K$20,9)/30))</f>
        <v>5.4180706891561012</v>
      </c>
      <c r="CV230" s="172">
        <f ca="1">(VLOOKUP(CV$72,INDIRECT($C$5&amp;"生成成长"),2))/((VLOOKUP($B230,INDIRECT($B$5&amp;"生成成长"),4))/(VLOOKUP(CV$72,INDIRECT($C$5&amp;"生成成长"),5))*(VLOOKUP($B$5,标准坦克设计!$B$24:$U$30,MATCH("对"&amp;LEFT($C$5,2)&amp;"输出",标准坦克设计!$B$23:$U$23,0)))*(VLOOKUP($B230,INDIRECT($B$5&amp;"生成成长"),3))*(VLOOKUP($B$5,标准坦克设计!$B$14:$K$20,9)/30))</f>
        <v>5.8106894415599424</v>
      </c>
      <c r="CW230" s="172">
        <f ca="1">(VLOOKUP(CW$72,INDIRECT($C$5&amp;"生成成长"),2))/((VLOOKUP($B230,INDIRECT($B$5&amp;"生成成长"),4))/(VLOOKUP(CW$72,INDIRECT($C$5&amp;"生成成长"),5))*(VLOOKUP($B$5,标准坦克设计!$B$24:$U$30,MATCH("对"&amp;LEFT($C$5,2)&amp;"输出",标准坦克设计!$B$23:$U$23,0)))*(VLOOKUP($B230,INDIRECT($B$5&amp;"生成成长"),3))*(VLOOKUP($B$5,标准坦克设计!$B$14:$K$20,9)/30))</f>
        <v>6.2170404873705927</v>
      </c>
      <c r="CX230" s="172">
        <f ca="1">(VLOOKUP(CX$72,INDIRECT($C$5&amp;"生成成长"),2))/((VLOOKUP($B230,INDIRECT($B$5&amp;"生成成长"),4))/(VLOOKUP(CX$72,INDIRECT($C$5&amp;"生成成长"),5))*(VLOOKUP($B$5,标准坦克设计!$B$24:$U$30,MATCH("对"&amp;LEFT($C$5,2)&amp;"输出",标准坦克设计!$B$23:$U$23,0)))*(VLOOKUP($B230,INDIRECT($B$5&amp;"生成成长"),3))*(VLOOKUP($B$5,标准坦克设计!$B$14:$K$20,9)/30))</f>
        <v>6.6371238265880566</v>
      </c>
      <c r="CY230" s="172">
        <f ca="1">(VLOOKUP(CY$72,INDIRECT($C$5&amp;"生成成长"),2))/((VLOOKUP($B230,INDIRECT($B$5&amp;"生成成长"),4))/(VLOOKUP(CY$72,INDIRECT($C$5&amp;"生成成长"),5))*(VLOOKUP($B$5,标准坦克设计!$B$24:$U$30,MATCH("对"&amp;LEFT($C$5,2)&amp;"输出",标准坦克设计!$B$23:$U$23,0)))*(VLOOKUP($B230,INDIRECT($B$5&amp;"生成成长"),3))*(VLOOKUP($B$5,标准坦克设计!$B$14:$K$20,9)/30))</f>
        <v>7.0709394592123331</v>
      </c>
      <c r="CZ230" s="172">
        <f ca="1">(VLOOKUP(CZ$72,INDIRECT($C$5&amp;"生成成长"),2))/((VLOOKUP($B230,INDIRECT($B$5&amp;"生成成长"),4))/(VLOOKUP(CZ$72,INDIRECT($C$5&amp;"生成成长"),5))*(VLOOKUP($B$5,标准坦克设计!$B$24:$U$30,MATCH("对"&amp;LEFT($C$5,2)&amp;"输出",标准坦克设计!$B$23:$U$23,0)))*(VLOOKUP($B230,INDIRECT($B$5&amp;"生成成长"),3))*(VLOOKUP($B$5,标准坦克设计!$B$14:$K$20,9)/30))</f>
        <v>7.5184873852434189</v>
      </c>
      <c r="DA230" s="172">
        <f ca="1">(VLOOKUP(DA$72,INDIRECT($C$5&amp;"生成成长"),2))/((VLOOKUP($B230,INDIRECT($B$5&amp;"生成成长"),4))/(VLOOKUP(DA$72,INDIRECT($C$5&amp;"生成成长"),5))*(VLOOKUP($B$5,标准坦克设计!$B$24:$U$30,MATCH("对"&amp;LEFT($C$5,2)&amp;"输出",标准坦克设计!$B$23:$U$23,0)))*(VLOOKUP($B230,INDIRECT($B$5&amp;"生成成长"),3))*(VLOOKUP($B$5,标准坦克设计!$B$14:$K$20,9)/30))</f>
        <v>7.9797676046813173</v>
      </c>
      <c r="DB230" s="172">
        <f ca="1">(VLOOKUP(DB$72,INDIRECT($C$5&amp;"生成成长"),2))/((VLOOKUP($B230,INDIRECT($B$5&amp;"生成成长"),4))/(VLOOKUP(DB$72,INDIRECT($C$5&amp;"生成成长"),5))*(VLOOKUP($B$5,标准坦克设计!$B$24:$U$30,MATCH("对"&amp;LEFT($C$5,2)&amp;"输出",标准坦克设计!$B$23:$U$23,0)))*(VLOOKUP($B230,INDIRECT($B$5&amp;"生成成长"),3))*(VLOOKUP($B$5,标准坦克设计!$B$14:$K$20,9)/30))</f>
        <v>8.4547801175260258</v>
      </c>
      <c r="DC230" s="172">
        <f ca="1">(VLOOKUP(DC$72,INDIRECT($C$5&amp;"生成成长"),2))/((VLOOKUP($B230,INDIRECT($B$5&amp;"生成成长"),4))/(VLOOKUP(DC$72,INDIRECT($C$5&amp;"生成成长"),5))*(VLOOKUP($B$5,标准坦克设计!$B$24:$U$30,MATCH("对"&amp;LEFT($C$5,2)&amp;"输出",标准坦克设计!$B$23:$U$23,0)))*(VLOOKUP($B230,INDIRECT($B$5&amp;"生成成长"),3))*(VLOOKUP($B$5,标准坦克设计!$B$14:$K$20,9)/30))</f>
        <v>8.9886372099693475</v>
      </c>
      <c r="DD230" s="172">
        <f ca="1">(VLOOKUP(DD$72,INDIRECT($C$5&amp;"生成成长"),2))/((VLOOKUP($B230,INDIRECT($B$5&amp;"生成成长"),4))/(VLOOKUP(DD$72,INDIRECT($C$5&amp;"生成成长"),5))*(VLOOKUP($B$5,标准坦克设计!$B$24:$U$30,MATCH("对"&amp;LEFT($C$5,2)&amp;"输出",标准坦克设计!$B$23:$U$23,0)))*(VLOOKUP($B230,INDIRECT($B$5&amp;"生成成长"),3))*(VLOOKUP($B$5,标准坦克设计!$B$14:$K$20,9)/30))</f>
        <v>9.5388368664670544</v>
      </c>
      <c r="DE230" s="172">
        <f ca="1">(VLOOKUP(DE$72,INDIRECT($C$5&amp;"生成成长"),2))/((VLOOKUP($B230,INDIRECT($B$5&amp;"生成成长"),4))/(VLOOKUP(DE$72,INDIRECT($C$5&amp;"生成成长"),5))*(VLOOKUP($B$5,标准坦克设计!$B$24:$U$30,MATCH("对"&amp;LEFT($C$5,2)&amp;"输出",标准坦克设计!$B$23:$U$23,0)))*(VLOOKUP($B230,INDIRECT($B$5&amp;"生成成长"),3))*(VLOOKUP($B$5,标准坦克设计!$B$14:$K$20,9)/30))</f>
        <v>10.105379087019147</v>
      </c>
      <c r="DF230" s="172">
        <f ca="1">(VLOOKUP(DF$72,INDIRECT($C$5&amp;"生成成长"),2))/((VLOOKUP($B230,INDIRECT($B$5&amp;"生成成长"),4))/(VLOOKUP(DF$72,INDIRECT($C$5&amp;"生成成长"),5))*(VLOOKUP($B$5,标准坦克设计!$B$24:$U$30,MATCH("对"&amp;LEFT($C$5,2)&amp;"输出",标准坦克设计!$B$23:$U$23,0)))*(VLOOKUP($B230,INDIRECT($B$5&amp;"生成成长"),3))*(VLOOKUP($B$5,标准坦克设计!$B$14:$K$20,9)/30))</f>
        <v>10.68826387162563</v>
      </c>
      <c r="DG230" s="172">
        <f ca="1">(VLOOKUP(DG$72,INDIRECT($C$5&amp;"生成成长"),2))/((VLOOKUP($B230,INDIRECT($B$5&amp;"生成成长"),4))/(VLOOKUP(DG$72,INDIRECT($C$5&amp;"生成成长"),5))*(VLOOKUP($B$5,标准坦克设计!$B$24:$U$30,MATCH("对"&amp;LEFT($C$5,2)&amp;"输出",标准坦克设计!$B$23:$U$23,0)))*(VLOOKUP($B230,INDIRECT($B$5&amp;"生成成长"),3))*(VLOOKUP($B$5,标准坦克设计!$B$14:$K$20,9)/30))</f>
        <v>11.287491220286499</v>
      </c>
      <c r="DH230" s="172">
        <f ca="1">(VLOOKUP(DH$72,INDIRECT($C$5&amp;"生成成长"),2))/((VLOOKUP($B230,INDIRECT($B$5&amp;"生成成长"),4))/(VLOOKUP(DH$72,INDIRECT($C$5&amp;"生成成长"),5))*(VLOOKUP($B$5,标准坦克设计!$B$24:$U$30,MATCH("对"&amp;LEFT($C$5,2)&amp;"输出",标准坦克设计!$B$23:$U$23,0)))*(VLOOKUP($B230,INDIRECT($B$5&amp;"生成成长"),3))*(VLOOKUP($B$5,标准坦克设计!$B$14:$K$20,9)/30))</f>
        <v>11.903061133001755</v>
      </c>
      <c r="DI230" s="172">
        <f ca="1">(VLOOKUP(DI$72,INDIRECT($C$5&amp;"生成成长"),2))/((VLOOKUP($B230,INDIRECT($B$5&amp;"生成成长"),4))/(VLOOKUP(DI$72,INDIRECT($C$5&amp;"生成成长"),5))*(VLOOKUP($B$5,标准坦克设计!$B$24:$U$30,MATCH("对"&amp;LEFT($C$5,2)&amp;"输出",标准坦克设计!$B$23:$U$23,0)))*(VLOOKUP($B230,INDIRECT($B$5&amp;"生成成长"),3))*(VLOOKUP($B$5,标准坦克设计!$B$14:$K$20,9)/30))</f>
        <v>12.534973609771399</v>
      </c>
      <c r="DJ230" s="172">
        <f ca="1">(VLOOKUP(DJ$72,INDIRECT($C$5&amp;"生成成长"),2))/((VLOOKUP($B230,INDIRECT($B$5&amp;"生成成长"),4))/(VLOOKUP(DJ$72,INDIRECT($C$5&amp;"生成成长"),5))*(VLOOKUP($B$5,标准坦克设计!$B$24:$U$30,MATCH("对"&amp;LEFT($C$5,2)&amp;"输出",标准坦克设计!$B$23:$U$23,0)))*(VLOOKUP($B230,INDIRECT($B$5&amp;"生成成长"),3))*(VLOOKUP($B$5,标准坦克设计!$B$14:$K$20,9)/30))</f>
        <v>1.259796057539768</v>
      </c>
      <c r="DK230" s="172">
        <f ca="1">(VLOOKUP(DK$72,INDIRECT($C$5&amp;"生成成长"),2))/((VLOOKUP($B230,INDIRECT($B$5&amp;"生成成长"),4))/(VLOOKUP(DK$72,INDIRECT($C$5&amp;"生成成长"),5))*(VLOOKUP($B$5,标准坦克设计!$B$24:$U$30,MATCH("对"&amp;LEFT($C$5,2)&amp;"输出",标准坦克设计!$B$23:$U$23,0)))*(VLOOKUP($B230,INDIRECT($B$5&amp;"生成成长"),3))*(VLOOKUP($B$5,标准坦克设计!$B$14:$K$20,9)/30))</f>
        <v>1.4165825314365468</v>
      </c>
      <c r="DL230" s="172">
        <f ca="1">(VLOOKUP(DL$72,INDIRECT($C$5&amp;"生成成长"),2))/((VLOOKUP($B230,INDIRECT($B$5&amp;"生成成长"),4))/(VLOOKUP(DL$72,INDIRECT($C$5&amp;"生成成长"),5))*(VLOOKUP($B$5,标准坦克设计!$B$24:$U$30,MATCH("对"&amp;LEFT($C$5,2)&amp;"输出",标准坦克设计!$B$23:$U$23,0)))*(VLOOKUP($B230,INDIRECT($B$5&amp;"生成成长"),3))*(VLOOKUP($B$5,标准坦克设计!$B$14:$K$20,9)/30))</f>
        <v>1.5825616976139183</v>
      </c>
      <c r="DM230" s="172">
        <f ca="1">(VLOOKUP(DM$72,INDIRECT($C$5&amp;"生成成长"),2))/((VLOOKUP($B230,INDIRECT($B$5&amp;"生成成长"),4))/(VLOOKUP(DM$72,INDIRECT($C$5&amp;"生成成长"),5))*(VLOOKUP($B$5,标准坦克设计!$B$24:$U$30,MATCH("对"&amp;LEFT($C$5,2)&amp;"输出",标准坦克设计!$B$23:$U$23,0)))*(VLOOKUP($B230,INDIRECT($B$5&amp;"生成成长"),3))*(VLOOKUP($B$5,标准坦克设计!$B$14:$K$20,9)/30))</f>
        <v>1.7577335560718823</v>
      </c>
      <c r="DN230" s="172">
        <f ca="1">(VLOOKUP(DN$72,INDIRECT($C$5&amp;"生成成长"),2))/((VLOOKUP($B230,INDIRECT($B$5&amp;"生成成长"),4))/(VLOOKUP(DN$72,INDIRECT($C$5&amp;"生成成长"),5))*(VLOOKUP($B$5,标准坦克设计!$B$24:$U$30,MATCH("对"&amp;LEFT($C$5,2)&amp;"输出",标准坦克设计!$B$23:$U$23,0)))*(VLOOKUP($B230,INDIRECT($B$5&amp;"生成成长"),3))*(VLOOKUP($B$5,标准坦克设计!$B$14:$K$20,9)/30))</f>
        <v>1.9420981068104395</v>
      </c>
      <c r="DO230" s="172">
        <f ca="1">(VLOOKUP(DO$72,INDIRECT($C$5&amp;"生成成长"),2))/((VLOOKUP($B230,INDIRECT($B$5&amp;"生成成长"),4))/(VLOOKUP(DO$72,INDIRECT($C$5&amp;"生成成长"),5))*(VLOOKUP($B$5,标准坦克设计!$B$24:$U$30,MATCH("对"&amp;LEFT($C$5,2)&amp;"输出",标准坦克设计!$B$23:$U$23,0)))*(VLOOKUP($B230,INDIRECT($B$5&amp;"生成成长"),3))*(VLOOKUP($B$5,标准坦克设计!$B$14:$K$20,9)/30))</f>
        <v>2.1356553498295896</v>
      </c>
      <c r="DP230" s="172">
        <f ca="1">(VLOOKUP(DP$72,INDIRECT($C$5&amp;"生成成长"),2))/((VLOOKUP($B230,INDIRECT($B$5&amp;"生成成长"),4))/(VLOOKUP(DP$72,INDIRECT($C$5&amp;"生成成长"),5))*(VLOOKUP($B$5,标准坦克设计!$B$24:$U$30,MATCH("对"&amp;LEFT($C$5,2)&amp;"输出",标准坦克设计!$B$23:$U$23,0)))*(VLOOKUP($B230,INDIRECT($B$5&amp;"生成成长"),3))*(VLOOKUP($B$5,标准坦克设计!$B$14:$K$20,9)/30))</f>
        <v>2.3384052851293324</v>
      </c>
      <c r="DQ230" s="172">
        <f ca="1">(VLOOKUP(DQ$72,INDIRECT($C$5&amp;"生成成长"),2))/((VLOOKUP($B230,INDIRECT($B$5&amp;"生成成长"),4))/(VLOOKUP(DQ$72,INDIRECT($C$5&amp;"生成成长"),5))*(VLOOKUP($B$5,标准坦克设计!$B$24:$U$30,MATCH("对"&amp;LEFT($C$5,2)&amp;"输出",标准坦克设计!$B$23:$U$23,0)))*(VLOOKUP($B230,INDIRECT($B$5&amp;"生成成长"),3))*(VLOOKUP($B$5,标准坦克设计!$B$14:$K$20,9)/30))</f>
        <v>2.5503479127096678</v>
      </c>
      <c r="DR230" s="172">
        <f ca="1">(VLOOKUP(DR$72,INDIRECT($C$5&amp;"生成成长"),2))/((VLOOKUP($B230,INDIRECT($B$5&amp;"生成成长"),4))/(VLOOKUP(DR$72,INDIRECT($C$5&amp;"生成成长"),5))*(VLOOKUP($B$5,标准坦克设计!$B$24:$U$30,MATCH("对"&amp;LEFT($C$5,2)&amp;"输出",标准坦克设计!$B$23:$U$23,0)))*(VLOOKUP($B230,INDIRECT($B$5&amp;"生成成长"),3))*(VLOOKUP($B$5,标准坦克设计!$B$14:$K$20,9)/30))</f>
        <v>2.7714832325705969</v>
      </c>
      <c r="DS230" s="172">
        <f ca="1">(VLOOKUP(DS$72,INDIRECT($C$5&amp;"生成成长"),2))/((VLOOKUP($B230,INDIRECT($B$5&amp;"生成成长"),4))/(VLOOKUP(DS$72,INDIRECT($C$5&amp;"生成成长"),5))*(VLOOKUP($B$5,标准坦克设计!$B$24:$U$30,MATCH("对"&amp;LEFT($C$5,2)&amp;"输出",标准坦克设计!$B$23:$U$23,0)))*(VLOOKUP($B230,INDIRECT($B$5&amp;"生成成长"),3))*(VLOOKUP($B$5,标准坦克设计!$B$14:$K$20,9)/30))</f>
        <v>3.001811244712119</v>
      </c>
      <c r="DT230" s="172">
        <f ca="1">(VLOOKUP(DT$72,INDIRECT($C$5&amp;"生成成长"),2))/((VLOOKUP($B230,INDIRECT($B$5&amp;"生成成长"),4))/(VLOOKUP(DT$72,INDIRECT($C$5&amp;"生成成长"),5))*(VLOOKUP($B$5,标准坦克设计!$B$24:$U$30,MATCH("对"&amp;LEFT($C$5,2)&amp;"输出",标准坦克设计!$B$23:$U$23,0)))*(VLOOKUP($B230,INDIRECT($B$5&amp;"生成成长"),3))*(VLOOKUP($B$5,标准坦克设计!$B$14:$K$20,9)/30))</f>
        <v>3.2958071626488574</v>
      </c>
      <c r="DU230" s="172">
        <f ca="1">(VLOOKUP(DU$72,INDIRECT($C$5&amp;"生成成长"),2))/((VLOOKUP($B230,INDIRECT($B$5&amp;"生成成长"),4))/(VLOOKUP(DU$72,INDIRECT($C$5&amp;"生成成长"),5))*(VLOOKUP($B$5,标准坦克设计!$B$24:$U$30,MATCH("对"&amp;LEFT($C$5,2)&amp;"输出",标准坦克设计!$B$23:$U$23,0)))*(VLOOKUP($B230,INDIRECT($B$5&amp;"生成成长"),3))*(VLOOKUP($B$5,标准坦克设计!$B$14:$K$20,9)/30))</f>
        <v>3.6035353739924076</v>
      </c>
      <c r="DV230" s="172">
        <f ca="1">(VLOOKUP(DV$72,INDIRECT($C$5&amp;"生成成长"),2))/((VLOOKUP($B230,INDIRECT($B$5&amp;"生成成长"),4))/(VLOOKUP(DV$72,INDIRECT($C$5&amp;"生成成长"),5))*(VLOOKUP($B$5,标准坦克设计!$B$24:$U$30,MATCH("对"&amp;LEFT($C$5,2)&amp;"输出",标准坦克设计!$B$23:$U$23,0)))*(VLOOKUP($B230,INDIRECT($B$5&amp;"生成成长"),3))*(VLOOKUP($B$5,标准坦克设计!$B$14:$K$20,9)/30))</f>
        <v>3.9249958787427701</v>
      </c>
      <c r="DW230" s="172">
        <f ca="1">(VLOOKUP(DW$72,INDIRECT($C$5&amp;"生成成长"),2))/((VLOOKUP($B230,INDIRECT($B$5&amp;"生成成长"),4))/(VLOOKUP(DW$72,INDIRECT($C$5&amp;"生成成长"),5))*(VLOOKUP($B$5,标准坦克设计!$B$24:$U$30,MATCH("对"&amp;LEFT($C$5,2)&amp;"输出",标准坦克设计!$B$23:$U$23,0)))*(VLOOKUP($B230,INDIRECT($B$5&amp;"生成成长"),3))*(VLOOKUP($B$5,标准坦克设计!$B$14:$K$20,9)/30))</f>
        <v>4.2601886768999426</v>
      </c>
      <c r="DX230" s="172">
        <f ca="1">(VLOOKUP(DX$72,INDIRECT($C$5&amp;"生成成长"),2))/((VLOOKUP($B230,INDIRECT($B$5&amp;"生成成长"),4))/(VLOOKUP(DX$72,INDIRECT($C$5&amp;"生成成长"),5))*(VLOOKUP($B$5,标准坦克设计!$B$24:$U$30,MATCH("对"&amp;LEFT($C$5,2)&amp;"输出",标准坦克设计!$B$23:$U$23,0)))*(VLOOKUP($B230,INDIRECT($B$5&amp;"生成成长"),3))*(VLOOKUP($B$5,标准坦克设计!$B$14:$K$20,9)/30))</f>
        <v>4.6091137684639287</v>
      </c>
      <c r="DY230" s="172">
        <f ca="1">(VLOOKUP(DY$72,INDIRECT($C$5&amp;"生成成长"),2))/((VLOOKUP($B230,INDIRECT($B$5&amp;"生成成长"),4))/(VLOOKUP(DY$72,INDIRECT($C$5&amp;"生成成长"),5))*(VLOOKUP($B$5,标准坦克设计!$B$24:$U$30,MATCH("对"&amp;LEFT($C$5,2)&amp;"输出",标准坦克设计!$B$23:$U$23,0)))*(VLOOKUP($B230,INDIRECT($B$5&amp;"生成成长"),3))*(VLOOKUP($B$5,标准坦克设计!$B$14:$K$20,9)/30))</f>
        <v>2.0701148585698066</v>
      </c>
      <c r="DZ230" s="172">
        <f ca="1">(VLOOKUP(DZ$72,INDIRECT($C$5&amp;"生成成长"),2))/((VLOOKUP($B230,INDIRECT($B$5&amp;"生成成长"),4))/(VLOOKUP(DZ$72,INDIRECT($C$5&amp;"生成成长"),5))*(VLOOKUP($B$5,标准坦克设计!$B$24:$U$30,MATCH("对"&amp;LEFT($C$5,2)&amp;"输出",标准坦克设计!$B$23:$U$23,0)))*(VLOOKUP($B230,INDIRECT($B$5&amp;"生成成长"),3))*(VLOOKUP($B$5,标准坦克设计!$B$14:$K$20,9)/30))</f>
        <v>2.2925553137545238</v>
      </c>
      <c r="EA230" s="172">
        <f ca="1">(VLOOKUP(EA$72,INDIRECT($C$5&amp;"生成成长"),2))/((VLOOKUP($B230,INDIRECT($B$5&amp;"生成成长"),4))/(VLOOKUP(EA$72,INDIRECT($C$5&amp;"生成成长"),5))*(VLOOKUP($B$5,标准坦克设计!$B$24:$U$30,MATCH("对"&amp;LEFT($C$5,2)&amp;"输出",标准坦克设计!$B$23:$U$23,0)))*(VLOOKUP($B230,INDIRECT($B$5&amp;"生成成长"),3))*(VLOOKUP($B$5,标准坦克设计!$B$14:$K$20,9)/30))</f>
        <v>2.5263447717547867</v>
      </c>
      <c r="EB230" s="172">
        <f ca="1">(VLOOKUP(EB$72,INDIRECT($C$5&amp;"生成成长"),2))/((VLOOKUP($B230,INDIRECT($B$5&amp;"生成成长"),4))/(VLOOKUP(EB$72,INDIRECT($C$5&amp;"生成成长"),5))*(VLOOKUP($B$5,标准坦克设计!$B$24:$U$30,MATCH("对"&amp;LEFT($C$5,2)&amp;"输出",标准坦克设计!$B$23:$U$23,0)))*(VLOOKUP($B230,INDIRECT($B$5&amp;"生成成长"),3))*(VLOOKUP($B$5,标准坦克设计!$B$14:$K$20,9)/30))</f>
        <v>2.7714832325705969</v>
      </c>
      <c r="EC230" s="172">
        <f ca="1">(VLOOKUP(EC$72,INDIRECT($C$5&amp;"生成成长"),2))/((VLOOKUP($B230,INDIRECT($B$5&amp;"生成成长"),4))/(VLOOKUP(EC$72,INDIRECT($C$5&amp;"生成成长"),5))*(VLOOKUP($B$5,标准坦克设计!$B$24:$U$30,MATCH("对"&amp;LEFT($C$5,2)&amp;"输出",标准坦克设计!$B$23:$U$23,0)))*(VLOOKUP($B230,INDIRECT($B$5&amp;"生成成长"),3))*(VLOOKUP($B$5,标准坦克设计!$B$14:$K$20,9)/30))</f>
        <v>3.0279706962019537</v>
      </c>
      <c r="ED230" s="172">
        <f ca="1">(VLOOKUP(ED$72,INDIRECT($C$5&amp;"生成成长"),2))/((VLOOKUP($B230,INDIRECT($B$5&amp;"生成成长"),4))/(VLOOKUP(ED$72,INDIRECT($C$5&amp;"生成成长"),5))*(VLOOKUP($B$5,标准坦克设计!$B$24:$U$30,MATCH("对"&amp;LEFT($C$5,2)&amp;"输出",标准坦克设计!$B$23:$U$23,0)))*(VLOOKUP($B230,INDIRECT($B$5&amp;"生成成长"),3))*(VLOOKUP($B$5,标准坦克设计!$B$14:$K$20,9)/30))</f>
        <v>3.2958071626488574</v>
      </c>
      <c r="EE230" s="172">
        <f ca="1">(VLOOKUP(EE$72,INDIRECT($C$5&amp;"生成成长"),2))/((VLOOKUP($B230,INDIRECT($B$5&amp;"生成成长"),4))/(VLOOKUP(EE$72,INDIRECT($C$5&amp;"生成成长"),5))*(VLOOKUP($B$5,标准坦克设计!$B$24:$U$30,MATCH("对"&amp;LEFT($C$5,2)&amp;"输出",标准坦克设计!$B$23:$U$23,0)))*(VLOOKUP($B230,INDIRECT($B$5&amp;"生成成长"),3))*(VLOOKUP($B$5,标准坦克设计!$B$14:$K$20,9)/30))</f>
        <v>3.5749926319113081</v>
      </c>
      <c r="EF230" s="172">
        <f ca="1">(VLOOKUP(EF$72,INDIRECT($C$5&amp;"生成成长"),2))/((VLOOKUP($B230,INDIRECT($B$5&amp;"生成成长"),4))/(VLOOKUP(EF$72,INDIRECT($C$5&amp;"生成成长"),5))*(VLOOKUP($B$5,标准坦克设计!$B$24:$U$30,MATCH("对"&amp;LEFT($C$5,2)&amp;"输出",标准坦克设计!$B$23:$U$23,0)))*(VLOOKUP($B230,INDIRECT($B$5&amp;"生成成长"),3))*(VLOOKUP($B$5,标准坦克设计!$B$14:$K$20,9)/30))</f>
        <v>3.8655271039893049</v>
      </c>
      <c r="EG230" s="172">
        <f ca="1">(VLOOKUP(EG$72,INDIRECT($C$5&amp;"生成成长"),2))/((VLOOKUP($B230,INDIRECT($B$5&amp;"生成成长"),4))/(VLOOKUP(EG$72,INDIRECT($C$5&amp;"生成成长"),5))*(VLOOKUP($B$5,标准坦克设计!$B$24:$U$30,MATCH("对"&amp;LEFT($C$5,2)&amp;"输出",标准坦克设计!$B$23:$U$23,0)))*(VLOOKUP($B230,INDIRECT($B$5&amp;"生成成长"),3))*(VLOOKUP($B$5,标准坦克设计!$B$14:$K$20,9)/30))</f>
        <v>4.1674105788828477</v>
      </c>
      <c r="EH230" s="172">
        <f ca="1">(VLOOKUP(EH$72,INDIRECT($C$5&amp;"生成成长"),2))/((VLOOKUP($B230,INDIRECT($B$5&amp;"生成成长"),4))/(VLOOKUP(EH$72,INDIRECT($C$5&amp;"生成成长"),5))*(VLOOKUP($B$5,标准坦克设计!$B$24:$U$30,MATCH("对"&amp;LEFT($C$5,2)&amp;"输出",标准坦克设计!$B$23:$U$23,0)))*(VLOOKUP($B230,INDIRECT($B$5&amp;"生成成长"),3))*(VLOOKUP($B$5,标准坦克设计!$B$14:$K$20,9)/30))</f>
        <v>4.4806430565919388</v>
      </c>
      <c r="EI230" s="172">
        <f ca="1">(VLOOKUP(EI$72,INDIRECT($C$5&amp;"生成成长"),2))/((VLOOKUP($B230,INDIRECT($B$5&amp;"生成成长"),4))/(VLOOKUP(EI$72,INDIRECT($C$5&amp;"生成成长"),5))*(VLOOKUP($B$5,标准坦克设计!$B$24:$U$30,MATCH("对"&amp;LEFT($C$5,2)&amp;"输出",标准坦克设计!$B$23:$U$23,0)))*(VLOOKUP($B230,INDIRECT($B$5&amp;"生成成长"),3))*(VLOOKUP($B$5,标准坦克设计!$B$14:$K$20,9)/30))</f>
        <v>4.8052245371165769</v>
      </c>
      <c r="EJ230" s="172">
        <f ca="1">(VLOOKUP(EJ$72,INDIRECT($C$5&amp;"生成成长"),2))/((VLOOKUP($B230,INDIRECT($B$5&amp;"生成成长"),4))/(VLOOKUP(EJ$72,INDIRECT($C$5&amp;"生成成长"),5))*(VLOOKUP($B$5,标准坦克设计!$B$24:$U$30,MATCH("对"&amp;LEFT($C$5,2)&amp;"输出",标准坦克设计!$B$23:$U$23,0)))*(VLOOKUP($B230,INDIRECT($B$5&amp;"生成成长"),3))*(VLOOKUP($B$5,标准坦克设计!$B$14:$K$20,9)/30))</f>
        <v>5.1411550204567602</v>
      </c>
      <c r="EK230" s="172">
        <f ca="1">(VLOOKUP(EK$72,INDIRECT($C$5&amp;"生成成长"),2))/((VLOOKUP($B230,INDIRECT($B$5&amp;"生成成长"),4))/(VLOOKUP(EK$72,INDIRECT($C$5&amp;"生成成长"),5))*(VLOOKUP($B$5,标准坦克设计!$B$24:$U$30,MATCH("对"&amp;LEFT($C$5,2)&amp;"输出",标准坦克设计!$B$23:$U$23,0)))*(VLOOKUP($B230,INDIRECT($B$5&amp;"生成成长"),3))*(VLOOKUP($B$5,标准坦克设计!$B$14:$K$20,9)/30))</f>
        <v>5.5592522841815031</v>
      </c>
      <c r="EL230" s="172">
        <f ca="1">(VLOOKUP(EL$72,INDIRECT($C$5&amp;"生成成长"),2))/((VLOOKUP($B230,INDIRECT($B$5&amp;"生成成长"),4))/(VLOOKUP(EL$72,INDIRECT($C$5&amp;"生成成长"),5))*(VLOOKUP($B$5,标准坦克设计!$B$24:$U$30,MATCH("对"&amp;LEFT($C$5,2)&amp;"输出",标准坦克设计!$B$23:$U$23,0)))*(VLOOKUP($B230,INDIRECT($B$5&amp;"生成成长"),3))*(VLOOKUP($B$5,标准坦克设计!$B$14:$K$20,9)/30))</f>
        <v>5.993692111960633</v>
      </c>
      <c r="EM230" s="172">
        <f ca="1">(VLOOKUP(EM$72,INDIRECT($C$5&amp;"生成成长"),2))/((VLOOKUP($B230,INDIRECT($B$5&amp;"生成成长"),4))/(VLOOKUP(EM$72,INDIRECT($C$5&amp;"生成成长"),5))*(VLOOKUP($B$5,标准坦克设计!$B$24:$U$30,MATCH("对"&amp;LEFT($C$5,2)&amp;"输出",标准坦克设计!$B$23:$U$23,0)))*(VLOOKUP($B230,INDIRECT($B$5&amp;"生成成长"),3))*(VLOOKUP($B$5,标准坦克设计!$B$14:$K$20,9)/30))</f>
        <v>6.4444745037941518</v>
      </c>
      <c r="EN230" s="172">
        <f ca="1">(VLOOKUP(EN$72,INDIRECT($C$5&amp;"生成成长"),2))/((VLOOKUP($B230,INDIRECT($B$5&amp;"生成成长"),4))/(VLOOKUP(EN$72,INDIRECT($C$5&amp;"生成成长"),5))*(VLOOKUP($B$5,标准坦克设计!$B$24:$U$30,MATCH("对"&amp;LEFT($C$5,2)&amp;"输出",标准坦克设计!$B$23:$U$23,0)))*(VLOOKUP($B230,INDIRECT($B$5&amp;"生成成长"),3))*(VLOOKUP($B$5,标准坦克设计!$B$14:$K$20,9)/30))</f>
        <v>6.9115994596820549</v>
      </c>
      <c r="EO230" s="172">
        <f ca="1">(VLOOKUP(EO$72,INDIRECT($C$5&amp;"生成成长"),2))/((VLOOKUP($B230,INDIRECT($B$5&amp;"生成成长"),4))/(VLOOKUP(EO$72,INDIRECT($C$5&amp;"生成成长"),5))*(VLOOKUP($B$5,标准坦克设计!$B$24:$U$30,MATCH("对"&amp;LEFT($C$5,2)&amp;"输出",标准坦克设计!$B$23:$U$23,0)))*(VLOOKUP($B230,INDIRECT($B$5&amp;"生成成长"),3))*(VLOOKUP($B$5,标准坦克设计!$B$14:$K$20,9)/30))</f>
        <v>7.3950669796243478</v>
      </c>
      <c r="EP230" s="172">
        <f ca="1">(VLOOKUP(EP$72,INDIRECT($C$5&amp;"生成成长"),2))/((VLOOKUP($B230,INDIRECT($B$5&amp;"生成成长"),4))/(VLOOKUP(EP$72,INDIRECT($C$5&amp;"生成成长"),5))*(VLOOKUP($B$5,标准坦克设计!$B$24:$U$30,MATCH("对"&amp;LEFT($C$5,2)&amp;"输出",标准坦克设计!$B$23:$U$23,0)))*(VLOOKUP($B230,INDIRECT($B$5&amp;"生成成长"),3))*(VLOOKUP($B$5,标准坦克设计!$B$14:$K$20,9)/30))</f>
        <v>7.8948770636210259</v>
      </c>
      <c r="EQ230" s="172">
        <f ca="1">(VLOOKUP(EQ$72,INDIRECT($C$5&amp;"生成成长"),2))/((VLOOKUP($B230,INDIRECT($B$5&amp;"生成成长"),4))/(VLOOKUP(EQ$72,INDIRECT($C$5&amp;"生成成长"),5))*(VLOOKUP($B$5,标准坦克设计!$B$24:$U$30,MATCH("对"&amp;LEFT($C$5,2)&amp;"输出",标准坦克设计!$B$23:$U$23,0)))*(VLOOKUP($B230,INDIRECT($B$5&amp;"生成成长"),3))*(VLOOKUP($B$5,标准坦克设计!$B$14:$K$20,9)/30))</f>
        <v>3.4900453458369394</v>
      </c>
      <c r="ER230" s="172">
        <f ca="1">(VLOOKUP(ER$72,INDIRECT($C$5&amp;"生成成长"),2))/((VLOOKUP($B230,INDIRECT($B$5&amp;"生成成长"),4))/(VLOOKUP(ER$72,INDIRECT($C$5&amp;"生成成长"),5))*(VLOOKUP($B$5,标准坦克设计!$B$24:$U$30,MATCH("对"&amp;LEFT($C$5,2)&amp;"输出",标准坦克设计!$B$23:$U$23,0)))*(VLOOKUP($B230,INDIRECT($B$5&amp;"生成成长"),3))*(VLOOKUP($B$5,标准坦克设计!$B$14:$K$20,9)/30))</f>
        <v>3.8065122893484609</v>
      </c>
      <c r="ES230" s="172">
        <f ca="1">(VLOOKUP(ES$72,INDIRECT($C$5&amp;"生成成长"),2))/((VLOOKUP($B230,INDIRECT($B$5&amp;"生成成长"),4))/(VLOOKUP(ES$72,INDIRECT($C$5&amp;"生成成长"),5))*(VLOOKUP($B$5,标准坦克设计!$B$24:$U$30,MATCH("对"&amp;LEFT($C$5,2)&amp;"输出",标准坦克设计!$B$23:$U$23,0)))*(VLOOKUP($B230,INDIRECT($B$5&amp;"生成成长"),3))*(VLOOKUP($B$5,标准坦克设计!$B$14:$K$20,9)/30))</f>
        <v>4.1367115262667937</v>
      </c>
      <c r="ET230" s="172">
        <f ca="1">(VLOOKUP(ET$72,INDIRECT($C$5&amp;"生成成长"),2))/((VLOOKUP($B230,INDIRECT($B$5&amp;"生成成长"),4))/(VLOOKUP(ET$72,INDIRECT($C$5&amp;"生成成长"),5))*(VLOOKUP($B$5,标准坦克设计!$B$24:$U$30,MATCH("对"&amp;LEFT($C$5,2)&amp;"输出",标准坦克设计!$B$23:$U$23,0)))*(VLOOKUP($B230,INDIRECT($B$5&amp;"生成成长"),3))*(VLOOKUP($B$5,标准坦克设计!$B$14:$K$20,9)/30))</f>
        <v>4.4806430565919388</v>
      </c>
      <c r="EU230" s="172">
        <f ca="1">(VLOOKUP(EU$72,INDIRECT($C$5&amp;"生成成长"),2))/((VLOOKUP($B230,INDIRECT($B$5&amp;"生成成长"),4))/(VLOOKUP(EU$72,INDIRECT($C$5&amp;"生成成长"),5))*(VLOOKUP($B$5,标准坦克设计!$B$24:$U$30,MATCH("对"&amp;LEFT($C$5,2)&amp;"输出",标准坦克设计!$B$23:$U$23,0)))*(VLOOKUP($B230,INDIRECT($B$5&amp;"生成成长"),3))*(VLOOKUP($B$5,标准坦克设计!$B$14:$K$20,9)/30))</f>
        <v>4.8383068803238967</v>
      </c>
      <c r="EV230" s="172">
        <f ca="1">(VLOOKUP(EV$72,INDIRECT($C$5&amp;"生成成长"),2))/((VLOOKUP($B230,INDIRECT($B$5&amp;"生成成长"),4))/(VLOOKUP(EV$72,INDIRECT($C$5&amp;"生成成长"),5))*(VLOOKUP($B$5,标准坦克设计!$B$24:$U$30,MATCH("对"&amp;LEFT($C$5,2)&amp;"输出",标准坦克设计!$B$23:$U$23,0)))*(VLOOKUP($B230,INDIRECT($B$5&amp;"生成成长"),3))*(VLOOKUP($B$5,标准坦克设计!$B$14:$K$20,9)/30))</f>
        <v>5.2097029974626627</v>
      </c>
      <c r="EW230" s="172">
        <f ca="1">(VLOOKUP(EW$72,INDIRECT($C$5&amp;"生成成长"),2))/((VLOOKUP($B230,INDIRECT($B$5&amp;"生成成长"),4))/(VLOOKUP(EW$72,INDIRECT($C$5&amp;"生成成长"),5))*(VLOOKUP($B$5,标准坦克设计!$B$24:$U$30,MATCH("对"&amp;LEFT($C$5,2)&amp;"输出",标准坦克设计!$B$23:$U$23,0)))*(VLOOKUP($B230,INDIRECT($B$5&amp;"生成成长"),3))*(VLOOKUP($B$5,标准坦克设计!$B$14:$K$20,9)/30))</f>
        <v>5.5948314080082424</v>
      </c>
      <c r="EX230" s="172">
        <f ca="1">(VLOOKUP(EX$72,INDIRECT($C$5&amp;"生成成长"),2))/((VLOOKUP($B230,INDIRECT($B$5&amp;"生成成长"),4))/(VLOOKUP(EX$72,INDIRECT($C$5&amp;"生成成长"),5))*(VLOOKUP($B$5,标准坦克设计!$B$24:$U$30,MATCH("对"&amp;LEFT($C$5,2)&amp;"输出",标准坦克设计!$B$23:$U$23,0)))*(VLOOKUP($B230,INDIRECT($B$5&amp;"生成成长"),3))*(VLOOKUP($B$5,标准坦克设计!$B$14:$K$20,9)/30))</f>
        <v>5.993692111960633</v>
      </c>
      <c r="EY230" s="172">
        <f ca="1">(VLOOKUP(EY$72,INDIRECT($C$5&amp;"生成成长"),2))/((VLOOKUP($B230,INDIRECT($B$5&amp;"生成成长"),4))/(VLOOKUP(EY$72,INDIRECT($C$5&amp;"生成成长"),5))*(VLOOKUP($B$5,标准坦克设计!$B$24:$U$30,MATCH("对"&amp;LEFT($C$5,2)&amp;"输出",标准坦克设计!$B$23:$U$23,0)))*(VLOOKUP($B230,INDIRECT($B$5&amp;"生成成长"),3))*(VLOOKUP($B$5,标准坦克设计!$B$14:$K$20,9)/30))</f>
        <v>6.4062851093198345</v>
      </c>
      <c r="EZ230" s="172">
        <f ca="1">(VLOOKUP(EZ$72,INDIRECT($C$5&amp;"生成成长"),2))/((VLOOKUP($B230,INDIRECT($B$5&amp;"生成成长"),4))/(VLOOKUP(EZ$72,INDIRECT($C$5&amp;"生成成长"),5))*(VLOOKUP($B$5,标准坦克设计!$B$24:$U$30,MATCH("对"&amp;LEFT($C$5,2)&amp;"输出",标准坦克设计!$B$23:$U$23,0)))*(VLOOKUP($B230,INDIRECT($B$5&amp;"生成成长"),3))*(VLOOKUP($B$5,标准坦克设计!$B$14:$K$20,9)/30))</f>
        <v>6.8326104000858487</v>
      </c>
      <c r="FA230" s="172">
        <f ca="1">(VLOOKUP(FA$72,INDIRECT($C$5&amp;"生成成长"),2))/((VLOOKUP($B230,INDIRECT($B$5&amp;"生成成长"),4))/(VLOOKUP(FA$72,INDIRECT($C$5&amp;"生成成长"),5))*(VLOOKUP($B$5,标准坦克设计!$B$24:$U$30,MATCH("对"&amp;LEFT($C$5,2)&amp;"输出",标准坦克设计!$B$23:$U$23,0)))*(VLOOKUP($B230,INDIRECT($B$5&amp;"生成成长"),3))*(VLOOKUP($B$5,标准坦克设计!$B$14:$K$20,9)/30))</f>
        <v>7.2726679842586766</v>
      </c>
      <c r="FB230" s="172">
        <f ca="1">(VLOOKUP(FB$72,INDIRECT($C$5&amp;"生成成长"),2))/((VLOOKUP($B230,INDIRECT($B$5&amp;"生成成长"),4))/(VLOOKUP(FB$72,INDIRECT($C$5&amp;"生成成长"),5))*(VLOOKUP($B$5,标准坦克设计!$B$24:$U$30,MATCH("对"&amp;LEFT($C$5,2)&amp;"输出",标准坦克设计!$B$23:$U$23,0)))*(VLOOKUP($B230,INDIRECT($B$5&amp;"生成成长"),3))*(VLOOKUP($B$5,标准坦克设计!$B$14:$K$20,9)/30))</f>
        <v>7.7264578618383126</v>
      </c>
      <c r="FC230" s="172">
        <f ca="1">(VLOOKUP(FC$72,INDIRECT($C$5&amp;"生成成长"),2))/((VLOOKUP($B230,INDIRECT($B$5&amp;"生成成长"),4))/(VLOOKUP(FC$72,INDIRECT($C$5&amp;"生成成长"),5))*(VLOOKUP($B$5,标准坦克设计!$B$24:$U$30,MATCH("对"&amp;LEFT($C$5,2)&amp;"输出",标准坦克设计!$B$23:$U$23,0)))*(VLOOKUP($B230,INDIRECT($B$5&amp;"生成成长"),3))*(VLOOKUP($B$5,标准坦克设计!$B$14:$K$20,9)/30))</f>
        <v>8.1939800328247632</v>
      </c>
      <c r="FD230" s="172">
        <f ca="1">(VLOOKUP(FD$72,INDIRECT($C$5&amp;"生成成长"),2))/((VLOOKUP($B230,INDIRECT($B$5&amp;"生成成长"),4))/(VLOOKUP(FD$72,INDIRECT($C$5&amp;"生成成长"),5))*(VLOOKUP($B$5,标准坦克设计!$B$24:$U$30,MATCH("对"&amp;LEFT($C$5,2)&amp;"输出",标准坦克设计!$B$23:$U$23,0)))*(VLOOKUP($B230,INDIRECT($B$5&amp;"生成成长"),3))*(VLOOKUP($B$5,标准坦克设计!$B$14:$K$20,9)/30))</f>
        <v>8.6752344972180211</v>
      </c>
      <c r="FE230" s="172">
        <f ca="1">(VLOOKUP(FE$72,INDIRECT($C$5&amp;"生成成长"),2))/((VLOOKUP($B230,INDIRECT($B$5&amp;"生成成长"),4))/(VLOOKUP(FE$72,INDIRECT($C$5&amp;"生成成长"),5))*(VLOOKUP($B$5,标准坦克设计!$B$24:$U$30,MATCH("对"&amp;LEFT($C$5,2)&amp;"输出",标准坦克设计!$B$23:$U$23,0)))*(VLOOKUP($B230,INDIRECT($B$5&amp;"生成成长"),3))*(VLOOKUP($B$5,标准坦克设计!$B$14:$K$20,9)/30))</f>
        <v>9.261694217711403</v>
      </c>
      <c r="FF230" s="172">
        <f ca="1">(VLOOKUP(FF$72,INDIRECT($C$5&amp;"生成成长"),2))/((VLOOKUP($B230,INDIRECT($B$5&amp;"生成成长"),4))/(VLOOKUP(FF$72,INDIRECT($C$5&amp;"生成成长"),5))*(VLOOKUP($B$5,标准坦克设计!$B$24:$U$30,MATCH("对"&amp;LEFT($C$5,2)&amp;"输出",标准坦克设计!$B$23:$U$23,0)))*(VLOOKUP($B230,INDIRECT($B$5&amp;"生成成长"),3))*(VLOOKUP($B$5,标准坦克设计!$B$14:$K$20,9)/30))</f>
        <v>9.867333752963054</v>
      </c>
      <c r="FG230" s="172">
        <f ca="1">(VLOOKUP(FG$72,INDIRECT($C$5&amp;"生成成长"),2))/((VLOOKUP($B230,INDIRECT($B$5&amp;"生成成长"),4))/(VLOOKUP(FG$72,INDIRECT($C$5&amp;"生成成长"),5))*(VLOOKUP($B$5,标准坦克设计!$B$24:$U$30,MATCH("对"&amp;LEFT($C$5,2)&amp;"输出",标准坦克设计!$B$23:$U$23,0)))*(VLOOKUP($B230,INDIRECT($B$5&amp;"生成成长"),3))*(VLOOKUP($B$5,标准坦克设计!$B$14:$K$20,9)/30))</f>
        <v>10.49215310297298</v>
      </c>
      <c r="FH230" s="172">
        <f ca="1">(VLOOKUP(FH$72,INDIRECT($C$5&amp;"生成成长"),2))/((VLOOKUP($B230,INDIRECT($B$5&amp;"生成成长"),4))/(VLOOKUP(FH$72,INDIRECT($C$5&amp;"生成成长"),5))*(VLOOKUP($B$5,标准坦克设计!$B$24:$U$30,MATCH("对"&amp;LEFT($C$5,2)&amp;"输出",标准坦克设计!$B$23:$U$23,0)))*(VLOOKUP($B230,INDIRECT($B$5&amp;"生成成长"),3))*(VLOOKUP($B$5,标准坦克设计!$B$14:$K$20,9)/30))</f>
        <v>11.136152267741183</v>
      </c>
      <c r="FI230" s="172">
        <f ca="1">(VLOOKUP(FI$72,INDIRECT($C$5&amp;"生成成长"),2))/((VLOOKUP($B230,INDIRECT($B$5&amp;"生成成长"),4))/(VLOOKUP(FI$72,INDIRECT($C$5&amp;"生成成长"),5))*(VLOOKUP($B$5,标准坦克设计!$B$24:$U$30,MATCH("对"&amp;LEFT($C$5,2)&amp;"输出",标准坦克设计!$B$23:$U$23,0)))*(VLOOKUP($B230,INDIRECT($B$5&amp;"生成成长"),3))*(VLOOKUP($B$5,标准坦克设计!$B$14:$K$20,9)/30))</f>
        <v>11.799331247267656</v>
      </c>
      <c r="FJ230" s="172">
        <f ca="1">(VLOOKUP(FJ$72,INDIRECT($C$5&amp;"生成成长"),2))/((VLOOKUP($B230,INDIRECT($B$5&amp;"生成成长"),4))/(VLOOKUP(FJ$72,INDIRECT($C$5&amp;"生成成长"),5))*(VLOOKUP($B$5,标准坦克设计!$B$24:$U$30,MATCH("对"&amp;LEFT($C$5,2)&amp;"输出",标准坦克设计!$B$23:$U$23,0)))*(VLOOKUP($B230,INDIRECT($B$5&amp;"生成成长"),3))*(VLOOKUP($B$5,标准坦克设计!$B$14:$K$20,9)/30))</f>
        <v>12.481690041552405</v>
      </c>
      <c r="FK230" s="172">
        <f ca="1">(VLOOKUP(FK$72,INDIRECT($C$5&amp;"生成成长"),2))/((VLOOKUP($B230,INDIRECT($B$5&amp;"生成成长"),4))/(VLOOKUP(FK$72,INDIRECT($C$5&amp;"生成成长"),5))*(VLOOKUP($B$5,标准坦克设计!$B$24:$U$30,MATCH("对"&amp;LEFT($C$5,2)&amp;"输出",标准坦克设计!$B$23:$U$23,0)))*(VLOOKUP($B230,INDIRECT($B$5&amp;"生成成长"),3))*(VLOOKUP($B$5,标准坦克设计!$B$14:$K$20,9)/30))</f>
        <v>13.18322865059543</v>
      </c>
    </row>
    <row r="231" spans="1:167" x14ac:dyDescent="0.15">
      <c r="A231" s="170" t="str">
        <f t="shared" si="13"/>
        <v>T5高品质15级</v>
      </c>
      <c r="B231" s="171">
        <v>30515</v>
      </c>
      <c r="C231" s="172">
        <f ca="1">(VLOOKUP(C$72,INDIRECT($C$5&amp;"生成成长"),2))/((VLOOKUP($B231,INDIRECT($B$5&amp;"生成成长"),4))/(VLOOKUP(C$72,INDIRECT($C$5&amp;"生成成长"),5))*(VLOOKUP($B$5,标准坦克设计!$B$24:$U$30,MATCH("对"&amp;LEFT($C$5,2)&amp;"输出",标准坦克设计!$B$23:$U$23,0)))*(VLOOKUP($B231,INDIRECT($B$5&amp;"生成成长"),3))*(VLOOKUP($B$5,标准坦克设计!$B$14:$K$20,9)/30))</f>
        <v>0.53046819950311741</v>
      </c>
      <c r="D231" s="172">
        <f ca="1">(VLOOKUP(D$72,INDIRECT($C$5&amp;"生成成长"),2))/((VLOOKUP($B231,INDIRECT($B$5&amp;"生成成长"),4))/(VLOOKUP(D$72,INDIRECT($C$5&amp;"生成成长"),5))*(VLOOKUP($B$5,标准坦克设计!$B$24:$U$30,MATCH("对"&amp;LEFT($C$5,2)&amp;"输出",标准坦克设计!$B$23:$U$23,0)))*(VLOOKUP($B231,INDIRECT($B$5&amp;"生成成长"),3))*(VLOOKUP($B$5,标准坦克设计!$B$14:$K$20,9)/30))</f>
        <v>0.59603406896170263</v>
      </c>
      <c r="E231" s="172">
        <f ca="1">(VLOOKUP(E$72,INDIRECT($C$5&amp;"生成成长"),2))/((VLOOKUP($B231,INDIRECT($B$5&amp;"生成成长"),4))/(VLOOKUP(E$72,INDIRECT($C$5&amp;"生成成长"),5))*(VLOOKUP($B$5,标准坦克设计!$B$24:$U$30,MATCH("对"&amp;LEFT($C$5,2)&amp;"输出",标准坦克设计!$B$23:$U$23,0)))*(VLOOKUP($B231,INDIRECT($B$5&amp;"生成成长"),3))*(VLOOKUP($B$5,标准坦克设计!$B$14:$K$20,9)/30))</f>
        <v>0.66541930945671057</v>
      </c>
      <c r="F231" s="172">
        <f ca="1">(VLOOKUP(F$72,INDIRECT($C$5&amp;"生成成长"),2))/((VLOOKUP($B231,INDIRECT($B$5&amp;"生成成长"),4))/(VLOOKUP(F$72,INDIRECT($C$5&amp;"生成成长"),5))*(VLOOKUP($B$5,标准坦克设计!$B$24:$U$30,MATCH("对"&amp;LEFT($C$5,2)&amp;"输出",标准坦克设计!$B$23:$U$23,0)))*(VLOOKUP($B231,INDIRECT($B$5&amp;"生成成长"),3))*(VLOOKUP($B$5,标准坦克设计!$B$14:$K$20,9)/30))</f>
        <v>0.73862392098814067</v>
      </c>
      <c r="G231" s="172">
        <f ca="1">(VLOOKUP(G$72,INDIRECT($C$5&amp;"生成成长"),2))/((VLOOKUP($B231,INDIRECT($B$5&amp;"生成成长"),4))/(VLOOKUP(G$72,INDIRECT($C$5&amp;"生成成长"),5))*(VLOOKUP($B$5,标准坦克设计!$B$24:$U$30,MATCH("对"&amp;LEFT($C$5,2)&amp;"输出",标准坦克设计!$B$23:$U$23,0)))*(VLOOKUP($B231,INDIRECT($B$5&amp;"生成成长"),3))*(VLOOKUP($B$5,标准坦克设计!$B$14:$K$20,9)/30))</f>
        <v>0.81564790355599326</v>
      </c>
      <c r="H231" s="172">
        <f ca="1">(VLOOKUP(H$72,INDIRECT($C$5&amp;"生成成长"),2))/((VLOOKUP($B231,INDIRECT($B$5&amp;"生成成长"),4))/(VLOOKUP(H$72,INDIRECT($C$5&amp;"生成成长"),5))*(VLOOKUP($B$5,标准坦克设计!$B$24:$U$30,MATCH("对"&amp;LEFT($C$5,2)&amp;"输出",标准坦克设计!$B$23:$U$23,0)))*(VLOOKUP($B231,INDIRECT($B$5&amp;"生成成长"),3))*(VLOOKUP($B$5,标准坦克设计!$B$14:$K$20,9)/30))</f>
        <v>0.7137980092513948</v>
      </c>
      <c r="I231" s="172">
        <f ca="1">(VLOOKUP(I$72,INDIRECT($C$5&amp;"生成成长"),2))/((VLOOKUP($B231,INDIRECT($B$5&amp;"生成成长"),4))/(VLOOKUP(I$72,INDIRECT($C$5&amp;"生成成长"),5))*(VLOOKUP($B$5,标准坦克设计!$B$24:$U$30,MATCH("对"&amp;LEFT($C$5,2)&amp;"输出",标准坦克设计!$B$23:$U$23,0)))*(VLOOKUP($B231,INDIRECT($B$5&amp;"生成成长"),3))*(VLOOKUP($B$5,标准坦克设计!$B$14:$K$20,9)/30))</f>
        <v>0.81564790355599326</v>
      </c>
      <c r="J231" s="172">
        <f ca="1">(VLOOKUP(J$72,INDIRECT($C$5&amp;"生成成长"),2))/((VLOOKUP($B231,INDIRECT($B$5&amp;"生成成长"),4))/(VLOOKUP(J$72,INDIRECT($C$5&amp;"生成成长"),5))*(VLOOKUP($B$5,标准坦克设计!$B$24:$U$30,MATCH("对"&amp;LEFT($C$5,2)&amp;"输出",标准坦克设计!$B$23:$U$23,0)))*(VLOOKUP($B231,INDIRECT($B$5&amp;"生成成长"),3))*(VLOOKUP($B$5,标准坦克设计!$B$14:$K$20,9)/30))</f>
        <v>0.92428779081423174</v>
      </c>
      <c r="K231" s="172">
        <f ca="1">(VLOOKUP(K$72,INDIRECT($C$5&amp;"生成成长"),2))/((VLOOKUP($B231,INDIRECT($B$5&amp;"生成成长"),4))/(VLOOKUP(K$72,INDIRECT($C$5&amp;"生成成长"),5))*(VLOOKUP($B$5,标准坦克设计!$B$24:$U$30,MATCH("对"&amp;LEFT($C$5,2)&amp;"输出",标准坦克设计!$B$23:$U$23,0)))*(VLOOKUP($B231,INDIRECT($B$5&amp;"生成成长"),3))*(VLOOKUP($B$5,标准坦克设计!$B$14:$K$20,9)/30))</f>
        <v>1.0397176710261102</v>
      </c>
      <c r="L231" s="172">
        <f ca="1">(VLOOKUP(L$72,INDIRECT($C$5&amp;"生成成长"),2))/((VLOOKUP($B231,INDIRECT($B$5&amp;"生成成长"),4))/(VLOOKUP(L$72,INDIRECT($C$5&amp;"生成成长"),5))*(VLOOKUP($B$5,标准坦克设计!$B$24:$U$30,MATCH("对"&amp;LEFT($C$5,2)&amp;"输出",标准坦克设计!$B$23:$U$23,0)))*(VLOOKUP($B231,INDIRECT($B$5&amp;"生成成长"),3))*(VLOOKUP($B$5,标准坦克设计!$B$14:$K$20,9)/30))</f>
        <v>1.1619375441916284</v>
      </c>
      <c r="M231" s="172">
        <f ca="1">(VLOOKUP(M$72,INDIRECT($C$5&amp;"生成成长"),2))/((VLOOKUP($B231,INDIRECT($B$5&amp;"生成成长"),4))/(VLOOKUP(M$72,INDIRECT($C$5&amp;"生成成长"),5))*(VLOOKUP($B$5,标准坦克设计!$B$24:$U$30,MATCH("对"&amp;LEFT($C$5,2)&amp;"输出",标准坦克设计!$B$23:$U$23,0)))*(VLOOKUP($B231,INDIRECT($B$5&amp;"生成成长"),3))*(VLOOKUP($B$5,标准坦克设计!$B$14:$K$20,9)/30))</f>
        <v>1.2909474103107863</v>
      </c>
      <c r="N231" s="172">
        <f ca="1">(VLOOKUP(N$72,INDIRECT($C$5&amp;"生成成长"),2))/((VLOOKUP($B231,INDIRECT($B$5&amp;"生成成长"),4))/(VLOOKUP(N$72,INDIRECT($C$5&amp;"生成成长"),5))*(VLOOKUP($B$5,标准坦克设计!$B$24:$U$30,MATCH("对"&amp;LEFT($C$5,2)&amp;"输出",标准坦克设计!$B$23:$U$23,0)))*(VLOOKUP($B231,INDIRECT($B$5&amp;"生成成长"),3))*(VLOOKUP($B$5,标准坦克设计!$B$14:$K$20,9)/30))</f>
        <v>1.4267472693835845</v>
      </c>
      <c r="O231" s="172">
        <f ca="1">(VLOOKUP(O$72,INDIRECT($C$5&amp;"生成成长"),2))/((VLOOKUP($B231,INDIRECT($B$5&amp;"生成成长"),4))/(VLOOKUP(O$72,INDIRECT($C$5&amp;"生成成长"),5))*(VLOOKUP($B$5,标准坦克设计!$B$24:$U$30,MATCH("对"&amp;LEFT($C$5,2)&amp;"输出",标准坦克设计!$B$23:$U$23,0)))*(VLOOKUP($B231,INDIRECT($B$5&amp;"生成成长"),3))*(VLOOKUP($B$5,标准坦克设计!$B$14:$K$20,9)/30))</f>
        <v>1.0847544211639246</v>
      </c>
      <c r="P231" s="172">
        <f ca="1">(VLOOKUP(P$72,INDIRECT($C$5&amp;"生成成长"),2))/((VLOOKUP($B231,INDIRECT($B$5&amp;"生成成长"),4))/(VLOOKUP(P$72,INDIRECT($C$5&amp;"生成成长"),5))*(VLOOKUP($B$5,标准坦克设计!$B$24:$U$30,MATCH("对"&amp;LEFT($C$5,2)&amp;"输出",标准坦克设计!$B$23:$U$23,0)))*(VLOOKUP($B231,INDIRECT($B$5&amp;"生成成长"),3))*(VLOOKUP($B$5,标准坦克设计!$B$14:$K$20,9)/30))</f>
        <v>1.2255937281320026</v>
      </c>
      <c r="Q231" s="172">
        <f ca="1">(VLOOKUP(Q$72,INDIRECT($C$5&amp;"生成成长"),2))/((VLOOKUP($B231,INDIRECT($B$5&amp;"生成成长"),4))/(VLOOKUP(Q$72,INDIRECT($C$5&amp;"生成成长"),5))*(VLOOKUP($B$5,标准坦克设计!$B$24:$U$30,MATCH("对"&amp;LEFT($C$5,2)&amp;"输出",标准坦克设计!$B$23:$U$23,0)))*(VLOOKUP($B231,INDIRECT($B$5&amp;"生成成长"),3))*(VLOOKUP($B$5,标准坦克设计!$B$14:$K$20,9)/30))</f>
        <v>1.3750266199320307</v>
      </c>
      <c r="R231" s="172">
        <f ca="1">(VLOOKUP(R$72,INDIRECT($C$5&amp;"生成成长"),2))/((VLOOKUP($B231,INDIRECT($B$5&amp;"生成成长"),4))/(VLOOKUP(R$72,INDIRECT($C$5&amp;"生成成长"),5))*(VLOOKUP($B$5,标准坦克设计!$B$24:$U$30,MATCH("对"&amp;LEFT($C$5,2)&amp;"输出",标准坦克设计!$B$23:$U$23,0)))*(VLOOKUP($B231,INDIRECT($B$5&amp;"生成成长"),3))*(VLOOKUP($B$5,标准坦克设计!$B$14:$K$20,9)/30))</f>
        <v>1.5330530965640095</v>
      </c>
      <c r="S231" s="172">
        <f ca="1">(VLOOKUP(S$72,INDIRECT($C$5&amp;"生成成长"),2))/((VLOOKUP($B231,INDIRECT($B$5&amp;"生成成长"),4))/(VLOOKUP(S$72,INDIRECT($C$5&amp;"生成成长"),5))*(VLOOKUP($B$5,标准坦克设计!$B$24:$U$30,MATCH("对"&amp;LEFT($C$5,2)&amp;"输出",标准坦克设计!$B$23:$U$23,0)))*(VLOOKUP($B231,INDIRECT($B$5&amp;"生成成长"),3))*(VLOOKUP($B$5,标准坦克设计!$B$14:$K$20,9)/30))</f>
        <v>1.6996731580279383</v>
      </c>
      <c r="T231" s="172">
        <f ca="1">(VLOOKUP(T$72,INDIRECT($C$5&amp;"生成成长"),2))/((VLOOKUP($B231,INDIRECT($B$5&amp;"生成成长"),4))/(VLOOKUP(T$72,INDIRECT($C$5&amp;"生成成长"),5))*(VLOOKUP($B$5,标准坦克设计!$B$24:$U$30,MATCH("对"&amp;LEFT($C$5,2)&amp;"输出",标准坦克设计!$B$23:$U$23,0)))*(VLOOKUP($B231,INDIRECT($B$5&amp;"生成成长"),3))*(VLOOKUP($B$5,标准坦克设计!$B$14:$K$20,9)/30))</f>
        <v>1.874886804323818</v>
      </c>
      <c r="U231" s="172">
        <f ca="1">(VLOOKUP(U$72,INDIRECT($C$5&amp;"生成成长"),2))/((VLOOKUP($B231,INDIRECT($B$5&amp;"生成成长"),4))/(VLOOKUP(U$72,INDIRECT($C$5&amp;"生成成长"),5))*(VLOOKUP($B$5,标准坦克设计!$B$24:$U$30,MATCH("对"&amp;LEFT($C$5,2)&amp;"输出",标准坦克设计!$B$23:$U$23,0)))*(VLOOKUP($B231,INDIRECT($B$5&amp;"生成成长"),3))*(VLOOKUP($B$5,标准坦克设计!$B$14:$K$20,9)/30))</f>
        <v>2.0586940354516488</v>
      </c>
      <c r="V231" s="172">
        <f ca="1">(VLOOKUP(V$72,INDIRECT($C$5&amp;"生成成长"),2))/((VLOOKUP($B231,INDIRECT($B$5&amp;"生成成长"),4))/(VLOOKUP(V$72,INDIRECT($C$5&amp;"生成成长"),5))*(VLOOKUP($B$5,标准坦克设计!$B$24:$U$30,MATCH("对"&amp;LEFT($C$5,2)&amp;"输出",标准坦克设计!$B$23:$U$23,0)))*(VLOOKUP($B231,INDIRECT($B$5&amp;"生成成长"),3))*(VLOOKUP($B$5,标准坦克设计!$B$14:$K$20,9)/30))</f>
        <v>2.2510948514114291</v>
      </c>
      <c r="W231" s="172">
        <f ca="1">(VLOOKUP(W$72,INDIRECT($C$5&amp;"生成成长"),2))/((VLOOKUP($B231,INDIRECT($B$5&amp;"生成成长"),4))/(VLOOKUP(W$72,INDIRECT($C$5&amp;"生成成长"),5))*(VLOOKUP($B$5,标准坦克设计!$B$24:$U$30,MATCH("对"&amp;LEFT($C$5,2)&amp;"输出",标准坦克设计!$B$23:$U$23,0)))*(VLOOKUP($B231,INDIRECT($B$5&amp;"生成成长"),3))*(VLOOKUP($B$5,标准坦克设计!$B$14:$K$20,9)/30))</f>
        <v>2.4520892522031605</v>
      </c>
      <c r="X231" s="172">
        <f ca="1">(VLOOKUP(X$72,INDIRECT($C$5&amp;"生成成长"),2))/((VLOOKUP($B231,INDIRECT($B$5&amp;"生成成长"),4))/(VLOOKUP(X$72,INDIRECT($C$5&amp;"生成成长"),5))*(VLOOKUP($B$5,标准坦克设计!$B$24:$U$30,MATCH("对"&amp;LEFT($C$5,2)&amp;"输出",标准坦克设计!$B$23:$U$23,0)))*(VLOOKUP($B231,INDIRECT($B$5&amp;"生成成长"),3))*(VLOOKUP($B$5,标准坦克设计!$B$14:$K$20,9)/30))</f>
        <v>1.7764849533159901</v>
      </c>
      <c r="Y231" s="172">
        <f ca="1">(VLOOKUP(Y$72,INDIRECT($C$5&amp;"生成成长"),2))/((VLOOKUP($B231,INDIRECT($B$5&amp;"生成成长"),4))/(VLOOKUP(Y$72,INDIRECT($C$5&amp;"生成成长"),5))*(VLOOKUP($B$5,标准坦克设计!$B$24:$U$30,MATCH("对"&amp;LEFT($C$5,2)&amp;"输出",标准坦克设计!$B$23:$U$23,0)))*(VLOOKUP($B231,INDIRECT($B$5&amp;"生成成长"),3))*(VLOOKUP($B$5,标准坦克设计!$B$14:$K$20,9)/30))</f>
        <v>1.9759409963291621</v>
      </c>
      <c r="Z231" s="172">
        <f ca="1">(VLOOKUP(Z$72,INDIRECT($C$5&amp;"生成成长"),2))/((VLOOKUP($B231,INDIRECT($B$5&amp;"生成成长"),4))/(VLOOKUP(Z$72,INDIRECT($C$5&amp;"生成成长"),5))*(VLOOKUP($B$5,标准坦克设计!$B$24:$U$30,MATCH("对"&amp;LEFT($C$5,2)&amp;"输出",标准坦克设计!$B$23:$U$23,0)))*(VLOOKUP($B231,INDIRECT($B$5&amp;"生成成长"),3))*(VLOOKUP($B$5,标准坦克设计!$B$14:$K$20,9)/30))</f>
        <v>2.1860064033323963</v>
      </c>
      <c r="AA231" s="172">
        <f ca="1">(VLOOKUP(AA$72,INDIRECT($C$5&amp;"生成成长"),2))/((VLOOKUP($B231,INDIRECT($B$5&amp;"生成成长"),4))/(VLOOKUP(AA$72,INDIRECT($C$5&amp;"生成成长"),5))*(VLOOKUP($B$5,标准坦克设计!$B$24:$U$30,MATCH("对"&amp;LEFT($C$5,2)&amp;"输出",标准坦克设计!$B$23:$U$23,0)))*(VLOOKUP($B231,INDIRECT($B$5&amp;"生成成长"),3))*(VLOOKUP($B$5,标准坦克设计!$B$14:$K$20,9)/30))</f>
        <v>2.4066811743256933</v>
      </c>
      <c r="AB231" s="172">
        <f ca="1">(VLOOKUP(AB$72,INDIRECT($C$5&amp;"生成成长"),2))/((VLOOKUP($B231,INDIRECT($B$5&amp;"生成成长"),4))/(VLOOKUP(AB$72,INDIRECT($C$5&amp;"生成成长"),5))*(VLOOKUP($B$5,标准坦克设计!$B$24:$U$30,MATCH("对"&amp;LEFT($C$5,2)&amp;"输出",标准坦克设计!$B$23:$U$23,0)))*(VLOOKUP($B231,INDIRECT($B$5&amp;"生成成长"),3))*(VLOOKUP($B$5,标准坦克设计!$B$14:$K$20,9)/30))</f>
        <v>2.6379653093090529</v>
      </c>
      <c r="AC231" s="172">
        <f ca="1">(VLOOKUP(AC$72,INDIRECT($C$5&amp;"生成成长"),2))/((VLOOKUP($B231,INDIRECT($B$5&amp;"生成成长"),4))/(VLOOKUP(AC$72,INDIRECT($C$5&amp;"生成成长"),5))*(VLOOKUP($B$5,标准坦克设计!$B$24:$U$30,MATCH("对"&amp;LEFT($C$5,2)&amp;"输出",标准坦克设计!$B$23:$U$23,0)))*(VLOOKUP($B231,INDIRECT($B$5&amp;"生成成长"),3))*(VLOOKUP($B$5,标准坦克设计!$B$14:$K$20,9)/30))</f>
        <v>2.8798588082824743</v>
      </c>
      <c r="AD231" s="172">
        <f ca="1">(VLOOKUP(AD$72,INDIRECT($C$5&amp;"生成成长"),2))/((VLOOKUP($B231,INDIRECT($B$5&amp;"生成成长"),4))/(VLOOKUP(AD$72,INDIRECT($C$5&amp;"生成成长"),5))*(VLOOKUP($B$5,标准坦克设计!$B$24:$U$30,MATCH("对"&amp;LEFT($C$5,2)&amp;"输出",标准坦克设计!$B$23:$U$23,0)))*(VLOOKUP($B231,INDIRECT($B$5&amp;"生成成长"),3))*(VLOOKUP($B$5,标准坦克设计!$B$14:$K$20,9)/30))</f>
        <v>3.1323616712459579</v>
      </c>
      <c r="AE231" s="172">
        <f ca="1">(VLOOKUP(AE$72,INDIRECT($C$5&amp;"生成成长"),2))/((VLOOKUP($B231,INDIRECT($B$5&amp;"生成成长"),4))/(VLOOKUP(AE$72,INDIRECT($C$5&amp;"生成成长"),5))*(VLOOKUP($B$5,标准坦克设计!$B$24:$U$30,MATCH("对"&amp;LEFT($C$5,2)&amp;"输出",标准坦克设计!$B$23:$U$23,0)))*(VLOOKUP($B231,INDIRECT($B$5&amp;"生成成长"),3))*(VLOOKUP($B$5,标准坦克设计!$B$14:$K$20,9)/30))</f>
        <v>3.3954738981995045</v>
      </c>
      <c r="AF231" s="172">
        <f ca="1">(VLOOKUP(AF$72,INDIRECT($C$5&amp;"生成成长"),2))/((VLOOKUP($B231,INDIRECT($B$5&amp;"生成成长"),4))/(VLOOKUP(AF$72,INDIRECT($C$5&amp;"生成成长"),5))*(VLOOKUP($B$5,标准坦克设计!$B$24:$U$30,MATCH("对"&amp;LEFT($C$5,2)&amp;"输出",标准坦克设计!$B$23:$U$23,0)))*(VLOOKUP($B231,INDIRECT($B$5&amp;"生成成长"),3))*(VLOOKUP($B$5,标准坦克设计!$B$14:$K$20,9)/30))</f>
        <v>3.6691954891431124</v>
      </c>
      <c r="AG231" s="172">
        <f ca="1">(VLOOKUP(AG$72,INDIRECT($C$5&amp;"生成成长"),2))/((VLOOKUP($B231,INDIRECT($B$5&amp;"生成成长"),4))/(VLOOKUP(AG$72,INDIRECT($C$5&amp;"生成成长"),5))*(VLOOKUP($B$5,标准坦克设计!$B$24:$U$30,MATCH("对"&amp;LEFT($C$5,2)&amp;"输出",标准坦克设计!$B$23:$U$23,0)))*(VLOOKUP($B231,INDIRECT($B$5&amp;"生成成长"),3))*(VLOOKUP($B$5,标准坦克设计!$B$14:$K$20,9)/30))</f>
        <v>3.9535264440767834</v>
      </c>
      <c r="AH231" s="172">
        <f ca="1">(VLOOKUP(AH$72,INDIRECT($C$5&amp;"生成成长"),2))/((VLOOKUP($B231,INDIRECT($B$5&amp;"生成成长"),4))/(VLOOKUP(AH$72,INDIRECT($C$5&amp;"生成成长"),5))*(VLOOKUP($B$5,标准坦克设计!$B$24:$U$30,MATCH("对"&amp;LEFT($C$5,2)&amp;"输出",标准坦克设计!$B$23:$U$23,0)))*(VLOOKUP($B231,INDIRECT($B$5&amp;"生成成长"),3))*(VLOOKUP($B$5,标准坦克设计!$B$14:$K$20,9)/30))</f>
        <v>4.2484667630005175</v>
      </c>
      <c r="AI231" s="172">
        <f ca="1">(VLOOKUP(AI$72,INDIRECT($C$5&amp;"生成成长"),2))/((VLOOKUP($B231,INDIRECT($B$5&amp;"生成成长"),4))/(VLOOKUP(AI$72,INDIRECT($C$5&amp;"生成成长"),5))*(VLOOKUP($B$5,标准坦克设计!$B$24:$U$30,MATCH("对"&amp;LEFT($C$5,2)&amp;"输出",标准坦克设计!$B$23:$U$23,0)))*(VLOOKUP($B231,INDIRECT($B$5&amp;"生成成长"),3))*(VLOOKUP($B$5,标准坦克设计!$B$14:$K$20,9)/30))</f>
        <v>3.004784069265459</v>
      </c>
      <c r="AJ231" s="172">
        <f ca="1">(VLOOKUP(AJ$72,INDIRECT($C$5&amp;"生成成长"),2))/((VLOOKUP($B231,INDIRECT($B$5&amp;"生成成长"),4))/(VLOOKUP(AJ$72,INDIRECT($C$5&amp;"生成成长"),5))*(VLOOKUP($B$5,标准坦克设计!$B$24:$U$30,MATCH("对"&amp;LEFT($C$5,2)&amp;"输出",标准坦克设计!$B$23:$U$23,0)))*(VLOOKUP($B231,INDIRECT($B$5&amp;"生成成长"),3))*(VLOOKUP($B$5,标准坦克设计!$B$14:$K$20,9)/30))</f>
        <v>3.2889558837392787</v>
      </c>
      <c r="AK231" s="172">
        <f ca="1">(VLOOKUP(AK$72,INDIRECT($C$5&amp;"生成成长"),2))/((VLOOKUP($B231,INDIRECT($B$5&amp;"生成成长"),4))/(VLOOKUP(AK$72,INDIRECT($C$5&amp;"生成成长"),5))*(VLOOKUP($B$5,标准坦克设计!$B$24:$U$30,MATCH("对"&amp;LEFT($C$5,2)&amp;"输出",标准坦克设计!$B$23:$U$23,0)))*(VLOOKUP($B231,INDIRECT($B$5&amp;"生成成长"),3))*(VLOOKUP($B$5,标准坦克设计!$B$14:$K$20,9)/30))</f>
        <v>3.5859650286410742</v>
      </c>
      <c r="AL231" s="172">
        <f ca="1">(VLOOKUP(AL$72,INDIRECT($C$5&amp;"生成成长"),2))/((VLOOKUP($B231,INDIRECT($B$5&amp;"生成成长"),4))/(VLOOKUP(AL$72,INDIRECT($C$5&amp;"生成成长"),5))*(VLOOKUP($B$5,标准坦克设计!$B$24:$U$30,MATCH("对"&amp;LEFT($C$5,2)&amp;"输出",标准坦克设计!$B$23:$U$23,0)))*(VLOOKUP($B231,INDIRECT($B$5&amp;"生成成长"),3))*(VLOOKUP($B$5,标准坦克设计!$B$14:$K$20,9)/30))</f>
        <v>3.8958115039708447</v>
      </c>
      <c r="AM231" s="172">
        <f ca="1">(VLOOKUP(AM$72,INDIRECT($C$5&amp;"生成成长"),2))/((VLOOKUP($B231,INDIRECT($B$5&amp;"生成成长"),4))/(VLOOKUP(AM$72,INDIRECT($C$5&amp;"生成成长"),5))*(VLOOKUP($B$5,标准坦克设计!$B$24:$U$30,MATCH("对"&amp;LEFT($C$5,2)&amp;"输出",标准坦克设计!$B$23:$U$23,0)))*(VLOOKUP($B231,INDIRECT($B$5&amp;"生成成长"),3))*(VLOOKUP($B$5,标准坦克设计!$B$14:$K$20,9)/30))</f>
        <v>4.2184953097285902</v>
      </c>
      <c r="AN231" s="172">
        <f ca="1">(VLOOKUP(AN$72,INDIRECT($C$5&amp;"生成成长"),2))/((VLOOKUP($B231,INDIRECT($B$5&amp;"生成成长"),4))/(VLOOKUP(AN$72,INDIRECT($C$5&amp;"生成成长"),5))*(VLOOKUP($B$5,标准坦克设计!$B$24:$U$30,MATCH("对"&amp;LEFT($C$5,2)&amp;"输出",标准坦克设计!$B$23:$U$23,0)))*(VLOOKUP($B231,INDIRECT($B$5&amp;"生成成长"),3))*(VLOOKUP($B$5,标准坦克设计!$B$14:$K$20,9)/30))</f>
        <v>4.5540164459143124</v>
      </c>
      <c r="AO231" s="172">
        <f ca="1">(VLOOKUP(AO$72,INDIRECT($C$5&amp;"生成成长"),2))/((VLOOKUP($B231,INDIRECT($B$5&amp;"生成成长"),4))/(VLOOKUP(AO$72,INDIRECT($C$5&amp;"生成成长"),5))*(VLOOKUP($B$5,标准坦克设计!$B$24:$U$30,MATCH("对"&amp;LEFT($C$5,2)&amp;"输出",标准坦克设计!$B$23:$U$23,0)))*(VLOOKUP($B231,INDIRECT($B$5&amp;"生成成长"),3))*(VLOOKUP($B$5,标准坦克设计!$B$14:$K$20,9)/30))</f>
        <v>4.9023749125280105</v>
      </c>
      <c r="AP231" s="172">
        <f ca="1">(VLOOKUP(AP$72,INDIRECT($C$5&amp;"生成成长"),2))/((VLOOKUP($B231,INDIRECT($B$5&amp;"生成成长"),4))/(VLOOKUP(AP$72,INDIRECT($C$5&amp;"生成成长"),5))*(VLOOKUP($B$5,标准坦克设计!$B$24:$U$30,MATCH("对"&amp;LEFT($C$5,2)&amp;"输出",标准坦克设计!$B$23:$U$23,0)))*(VLOOKUP($B231,INDIRECT($B$5&amp;"生成成长"),3))*(VLOOKUP($B$5,标准坦克设计!$B$14:$K$20,9)/30))</f>
        <v>5.2635707095696818</v>
      </c>
      <c r="AQ231" s="172">
        <f ca="1">(VLOOKUP(AQ$72,INDIRECT($C$5&amp;"生成成长"),2))/((VLOOKUP($B231,INDIRECT($B$5&amp;"生成成长"),4))/(VLOOKUP(AQ$72,INDIRECT($C$5&amp;"生成成长"),5))*(VLOOKUP($B$5,标准坦克设计!$B$24:$U$30,MATCH("对"&amp;LEFT($C$5,2)&amp;"输出",标准坦克设计!$B$23:$U$23,0)))*(VLOOKUP($B231,INDIRECT($B$5&amp;"生成成长"),3))*(VLOOKUP($B$5,标准坦克设计!$B$14:$K$20,9)/30))</f>
        <v>5.6376038370393307</v>
      </c>
      <c r="AR231" s="172">
        <f ca="1">(VLOOKUP(AR$72,INDIRECT($C$5&amp;"生成成长"),2))/((VLOOKUP($B231,INDIRECT($B$5&amp;"生成成长"),4))/(VLOOKUP(AR$72,INDIRECT($C$5&amp;"生成成长"),5))*(VLOOKUP($B$5,标准坦克设计!$B$24:$U$30,MATCH("对"&amp;LEFT($C$5,2)&amp;"输出",标准坦克设计!$B$23:$U$23,0)))*(VLOOKUP($B231,INDIRECT($B$5&amp;"生成成长"),3))*(VLOOKUP($B$5,标准坦克设计!$B$14:$K$20,9)/30))</f>
        <v>6.0244742949369536</v>
      </c>
      <c r="AS231" s="172">
        <f ca="1">(VLOOKUP(AS$72,INDIRECT($C$5&amp;"生成成长"),2))/((VLOOKUP($B231,INDIRECT($B$5&amp;"生成成长"),4))/(VLOOKUP(AS$72,INDIRECT($C$5&amp;"生成成长"),5))*(VLOOKUP($B$5,标准坦克设计!$B$24:$U$30,MATCH("对"&amp;LEFT($C$5,2)&amp;"输出",标准坦克设计!$B$23:$U$23,0)))*(VLOOKUP($B231,INDIRECT($B$5&amp;"生成成长"),3))*(VLOOKUP($B$5,标准坦克设计!$B$14:$K$20,9)/30))</f>
        <v>6.4241820832625534</v>
      </c>
      <c r="AT231" s="172">
        <f ca="1">(VLOOKUP(AT$72,INDIRECT($C$5&amp;"生成成长"),2))/((VLOOKUP($B231,INDIRECT($B$5&amp;"生成成长"),4))/(VLOOKUP(AT$72,INDIRECT($C$5&amp;"生成成长"),5))*(VLOOKUP($B$5,标准坦克设计!$B$24:$U$30,MATCH("对"&amp;LEFT($C$5,2)&amp;"输出",标准坦克设计!$B$23:$U$23,0)))*(VLOOKUP($B231,INDIRECT($B$5&amp;"生成成长"),3))*(VLOOKUP($B$5,标准坦克设计!$B$14:$K$20,9)/30))</f>
        <v>6.8367272020161272</v>
      </c>
      <c r="AU231" s="172">
        <f ca="1">(VLOOKUP(AU$72,INDIRECT($C$5&amp;"生成成长"),2))/((VLOOKUP($B231,INDIRECT($B$5&amp;"生成成长"),4))/(VLOOKUP(AU$72,INDIRECT($C$5&amp;"生成成长"),5))*(VLOOKUP($B$5,标准坦克设计!$B$24:$U$30,MATCH("对"&amp;LEFT($C$5,2)&amp;"输出",标准坦克设计!$B$23:$U$23,0)))*(VLOOKUP($B231,INDIRECT($B$5&amp;"生成成长"),3))*(VLOOKUP($B$5,标准坦克设计!$B$14:$K$20,9)/30))</f>
        <v>7.2621096511976777</v>
      </c>
      <c r="AV231" s="172">
        <f ca="1">(VLOOKUP(AV$72,INDIRECT($C$5&amp;"生成成长"),2))/((VLOOKUP($B231,INDIRECT($B$5&amp;"生成成长"),4))/(VLOOKUP(AV$72,INDIRECT($C$5&amp;"生成成长"),5))*(VLOOKUP($B$5,标准坦克设计!$B$24:$U$30,MATCH("对"&amp;LEFT($C$5,2)&amp;"输出",标准坦克设计!$B$23:$U$23,0)))*(VLOOKUP($B231,INDIRECT($B$5&amp;"生成成长"),3))*(VLOOKUP($B$5,标准坦克设计!$B$14:$K$20,9)/30))</f>
        <v>0.73862392098814067</v>
      </c>
      <c r="AW231" s="172">
        <f ca="1">(VLOOKUP(AW$72,INDIRECT($C$5&amp;"生成成长"),2))/((VLOOKUP($B231,INDIRECT($B$5&amp;"生成成长"),4))/(VLOOKUP(AW$72,INDIRECT($C$5&amp;"生成成长"),5))*(VLOOKUP($B$5,标准坦克设计!$B$24:$U$30,MATCH("对"&amp;LEFT($C$5,2)&amp;"输出",标准坦克设计!$B$23:$U$23,0)))*(VLOOKUP($B231,INDIRECT($B$5&amp;"生成成长"),3))*(VLOOKUP($B$5,标准坦克设计!$B$14:$K$20,9)/30))</f>
        <v>0.84217131353114916</v>
      </c>
      <c r="AX231" s="172">
        <f ca="1">(VLOOKUP(AX$72,INDIRECT($C$5&amp;"生成成长"),2))/((VLOOKUP($B231,INDIRECT($B$5&amp;"生成成长"),4))/(VLOOKUP(AX$72,INDIRECT($C$5&amp;"生成成长"),5))*(VLOOKUP($B$5,标准坦克设计!$B$24:$U$30,MATCH("对"&amp;LEFT($C$5,2)&amp;"输出",标准坦克设计!$B$23:$U$23,0)))*(VLOOKUP($B231,INDIRECT($B$5&amp;"生成成长"),3))*(VLOOKUP($B$5,标准坦克设计!$B$14:$K$20,9)/30))</f>
        <v>0.95250869902779756</v>
      </c>
      <c r="AY231" s="172">
        <f ca="1">(VLOOKUP(AY$72,INDIRECT($C$5&amp;"生成成长"),2))/((VLOOKUP($B231,INDIRECT($B$5&amp;"生成成长"),4))/(VLOOKUP(AY$72,INDIRECT($C$5&amp;"生成成长"),5))*(VLOOKUP($B$5,标准坦克设计!$B$24:$U$30,MATCH("对"&amp;LEFT($C$5,2)&amp;"输出",标准坦克设计!$B$23:$U$23,0)))*(VLOOKUP($B231,INDIRECT($B$5&amp;"生成成长"),3))*(VLOOKUP($B$5,标准坦克设计!$B$14:$K$20,9)/30))</f>
        <v>1.0696360774780858</v>
      </c>
      <c r="AZ231" s="172">
        <f ca="1">(VLOOKUP(AZ$72,INDIRECT($C$5&amp;"生成成长"),2))/((VLOOKUP($B231,INDIRECT($B$5&amp;"生成成长"),4))/(VLOOKUP(AZ$72,INDIRECT($C$5&amp;"生成成长"),5))*(VLOOKUP($B$5,标准坦克设计!$B$24:$U$30,MATCH("对"&amp;LEFT($C$5,2)&amp;"输出",标准坦克设计!$B$23:$U$23,0)))*(VLOOKUP($B231,INDIRECT($B$5&amp;"生成成长"),3))*(VLOOKUP($B$5,标准坦克设计!$B$14:$K$20,9)/30))</f>
        <v>1.1935534488820141</v>
      </c>
      <c r="BA231" s="172">
        <f ca="1">(VLOOKUP(BA$72,INDIRECT($C$5&amp;"生成成长"),2))/((VLOOKUP($B231,INDIRECT($B$5&amp;"生成成长"),4))/(VLOOKUP(BA$72,INDIRECT($C$5&amp;"生成成长"),5))*(VLOOKUP($B$5,标准坦克设计!$B$24:$U$30,MATCH("对"&amp;LEFT($C$5,2)&amp;"输出",标准坦克设计!$B$23:$U$23,0)))*(VLOOKUP($B231,INDIRECT($B$5&amp;"生成成长"),3))*(VLOOKUP($B$5,标准坦克设计!$B$14:$K$20,9)/30))</f>
        <v>1.3242608132395823</v>
      </c>
      <c r="BB231" s="172">
        <f ca="1">(VLOOKUP(BB$72,INDIRECT($C$5&amp;"生成成长"),2))/((VLOOKUP($B231,INDIRECT($B$5&amp;"生成成长"),4))/(VLOOKUP(BB$72,INDIRECT($C$5&amp;"生成成长"),5))*(VLOOKUP($B$5,标准坦克设计!$B$24:$U$30,MATCH("对"&amp;LEFT($C$5,2)&amp;"输出",标准坦克设计!$B$23:$U$23,0)))*(VLOOKUP($B231,INDIRECT($B$5&amp;"生成成长"),3))*(VLOOKUP($B$5,标准坦克设计!$B$14:$K$20,9)/30))</f>
        <v>1.4617581705507903</v>
      </c>
      <c r="BC231" s="172">
        <f ca="1">(VLOOKUP(BC$72,INDIRECT($C$5&amp;"生成成长"),2))/((VLOOKUP($B231,INDIRECT($B$5&amp;"生成成长"),4))/(VLOOKUP(BC$72,INDIRECT($C$5&amp;"生成成长"),5))*(VLOOKUP($B$5,标准坦克设计!$B$24:$U$30,MATCH("对"&amp;LEFT($C$5,2)&amp;"输出",标准坦克设计!$B$23:$U$23,0)))*(VLOOKUP($B231,INDIRECT($B$5&amp;"生成成长"),3))*(VLOOKUP($B$5,标准坦克设计!$B$14:$K$20,9)/30))</f>
        <v>1.6060455208156383</v>
      </c>
      <c r="BD231" s="172">
        <f ca="1">(VLOOKUP(BD$72,INDIRECT($C$5&amp;"生成成长"),2))/((VLOOKUP($B231,INDIRECT($B$5&amp;"生成成长"),4))/(VLOOKUP(BD$72,INDIRECT($C$5&amp;"生成成长"),5))*(VLOOKUP($B$5,标准坦克设计!$B$24:$U$30,MATCH("对"&amp;LEFT($C$5,2)&amp;"输出",标准坦克设计!$B$23:$U$23,0)))*(VLOOKUP($B231,INDIRECT($B$5&amp;"生成成长"),3))*(VLOOKUP($B$5,标准坦克设计!$B$14:$K$20,9)/30))</f>
        <v>1.7764849533159901</v>
      </c>
      <c r="BE231" s="172">
        <f ca="1">(VLOOKUP(BE$72,INDIRECT($C$5&amp;"生成成长"),2))/((VLOOKUP($B231,INDIRECT($B$5&amp;"生成成长"),4))/(VLOOKUP(BE$72,INDIRECT($C$5&amp;"生成成长"),5))*(VLOOKUP($B$5,标准坦克设计!$B$24:$U$30,MATCH("对"&amp;LEFT($C$5,2)&amp;"输出",标准坦克设计!$B$23:$U$23,0)))*(VLOOKUP($B231,INDIRECT($B$5&amp;"生成成长"),3))*(VLOOKUP($B$5,标准坦克设计!$B$14:$K$20,9)/30))</f>
        <v>1.9555179706482924</v>
      </c>
      <c r="BF231" s="172">
        <f ca="1">(VLOOKUP(BF$72,INDIRECT($C$5&amp;"生成成长"),2))/((VLOOKUP($B231,INDIRECT($B$5&amp;"生成成长"),4))/(VLOOKUP(BF$72,INDIRECT($C$5&amp;"生成成长"),5))*(VLOOKUP($B$5,标准坦克设计!$B$24:$U$30,MATCH("对"&amp;LEFT($C$5,2)&amp;"输出",标准坦克设计!$B$23:$U$23,0)))*(VLOOKUP($B231,INDIRECT($B$5&amp;"生成成长"),3))*(VLOOKUP($B$5,标准坦克设计!$B$14:$K$20,9)/30))</f>
        <v>2.1431445728125444</v>
      </c>
      <c r="BG231" s="172">
        <f ca="1">(VLOOKUP(BG$72,INDIRECT($C$5&amp;"生成成长"),2))/((VLOOKUP($B231,INDIRECT($B$5&amp;"生成成长"),4))/(VLOOKUP(BG$72,INDIRECT($C$5&amp;"生成成长"),5))*(VLOOKUP($B$5,标准坦克设计!$B$24:$U$30,MATCH("对"&amp;LEFT($C$5,2)&amp;"输出",标准坦克设计!$B$23:$U$23,0)))*(VLOOKUP($B231,INDIRECT($B$5&amp;"生成成长"),3))*(VLOOKUP($B$5,标准坦克设计!$B$14:$K$20,9)/30))</f>
        <v>2.3393647598087481</v>
      </c>
      <c r="BH231" s="172">
        <f ca="1">(VLOOKUP(BH$72,INDIRECT($C$5&amp;"生成成长"),2))/((VLOOKUP($B231,INDIRECT($B$5&amp;"生成成长"),4))/(VLOOKUP(BH$72,INDIRECT($C$5&amp;"生成成长"),5))*(VLOOKUP($B$5,标准坦克设计!$B$24:$U$30,MATCH("对"&amp;LEFT($C$5,2)&amp;"输出",标准坦克设计!$B$23:$U$23,0)))*(VLOOKUP($B231,INDIRECT($B$5&amp;"生成成长"),3))*(VLOOKUP($B$5,标准坦克设计!$B$14:$K$20,9)/30))</f>
        <v>1.130746014060845</v>
      </c>
      <c r="BI231" s="172">
        <f ca="1">(VLOOKUP(BI$72,INDIRECT($C$5&amp;"生成成长"),2))/((VLOOKUP($B231,INDIRECT($B$5&amp;"生成成长"),4))/(VLOOKUP(BI$72,INDIRECT($C$5&amp;"生成成长"),5))*(VLOOKUP($B$5,标准坦克设计!$B$24:$U$30,MATCH("对"&amp;LEFT($C$5,2)&amp;"输出",标准坦克设计!$B$23:$U$23,0)))*(VLOOKUP($B231,INDIRECT($B$5&amp;"生成成长"),3))*(VLOOKUP($B$5,标准坦克设计!$B$14:$K$20,9)/30))</f>
        <v>1.2744498493062397</v>
      </c>
      <c r="BJ231" s="172">
        <f ca="1">(VLOOKUP(BJ$72,INDIRECT($C$5&amp;"生成成长"),2))/((VLOOKUP($B231,INDIRECT($B$5&amp;"生成成长"),4))/(VLOOKUP(BJ$72,INDIRECT($C$5&amp;"生成成长"),5))*(VLOOKUP($B$5,标准坦克设计!$B$24:$U$30,MATCH("对"&amp;LEFT($C$5,2)&amp;"输出",标准坦克设计!$B$23:$U$23,0)))*(VLOOKUP($B231,INDIRECT($B$5&amp;"生成成长"),3))*(VLOOKUP($B$5,标准坦克设计!$B$14:$K$20,9)/30))</f>
        <v>1.4267472693835845</v>
      </c>
      <c r="BK231" s="172">
        <f ca="1">(VLOOKUP(BK$72,INDIRECT($C$5&amp;"生成成长"),2))/((VLOOKUP($B231,INDIRECT($B$5&amp;"生成成长"),4))/(VLOOKUP(BK$72,INDIRECT($C$5&amp;"生成成长"),5))*(VLOOKUP($B$5,标准坦克设计!$B$24:$U$30,MATCH("对"&amp;LEFT($C$5,2)&amp;"输出",标准坦克设计!$B$23:$U$23,0)))*(VLOOKUP($B231,INDIRECT($B$5&amp;"生成成长"),3))*(VLOOKUP($B$5,标准坦克设计!$B$14:$K$20,9)/30))</f>
        <v>1.5876382742928803</v>
      </c>
      <c r="BL231" s="172">
        <f ca="1">(VLOOKUP(BL$72,INDIRECT($C$5&amp;"生成成长"),2))/((VLOOKUP($B231,INDIRECT($B$5&amp;"生成成长"),4))/(VLOOKUP(BL$72,INDIRECT($C$5&amp;"生成成长"),5))*(VLOOKUP($B$5,标准坦克设计!$B$24:$U$30,MATCH("对"&amp;LEFT($C$5,2)&amp;"输出",标准坦克设计!$B$23:$U$23,0)))*(VLOOKUP($B231,INDIRECT($B$5&amp;"生成成长"),3))*(VLOOKUP($B$5,标准坦克设计!$B$14:$K$20,9)/30))</f>
        <v>1.7571228640341259</v>
      </c>
      <c r="BM231" s="172">
        <f ca="1">(VLOOKUP(BM$72,INDIRECT($C$5&amp;"生成成长"),2))/((VLOOKUP($B231,INDIRECT($B$5&amp;"生成成长"),4))/(VLOOKUP(BM$72,INDIRECT($C$5&amp;"生成成长"),5))*(VLOOKUP($B$5,标准坦克设计!$B$24:$U$30,MATCH("对"&amp;LEFT($C$5,2)&amp;"输出",标准坦克设计!$B$23:$U$23,0)))*(VLOOKUP($B231,INDIRECT($B$5&amp;"生成成长"),3))*(VLOOKUP($B$5,标准坦克设计!$B$14:$K$20,9)/30))</f>
        <v>1.9352010386073231</v>
      </c>
      <c r="BN231" s="172">
        <f ca="1">(VLOOKUP(BN$72,INDIRECT($C$5&amp;"生成成长"),2))/((VLOOKUP($B231,INDIRECT($B$5&amp;"生成成长"),4))/(VLOOKUP(BN$72,INDIRECT($C$5&amp;"生成成长"),5))*(VLOOKUP($B$5,标准坦克设计!$B$24:$U$30,MATCH("对"&amp;LEFT($C$5,2)&amp;"输出",标准坦克设计!$B$23:$U$23,0)))*(VLOOKUP($B231,INDIRECT($B$5&amp;"生成成长"),3))*(VLOOKUP($B$5,标准坦克设计!$B$14:$K$20,9)/30))</f>
        <v>2.1218727980124696</v>
      </c>
      <c r="BO231" s="172">
        <f ca="1">(VLOOKUP(BO$72,INDIRECT($C$5&amp;"生成成长"),2))/((VLOOKUP($B231,INDIRECT($B$5&amp;"生成成长"),4))/(VLOOKUP(BO$72,INDIRECT($C$5&amp;"生成成长"),5))*(VLOOKUP($B$5,标准坦克设计!$B$24:$U$30,MATCH("对"&amp;LEFT($C$5,2)&amp;"输出",标准坦克设计!$B$23:$U$23,0)))*(VLOOKUP($B231,INDIRECT($B$5&amp;"生成成长"),3))*(VLOOKUP($B$5,标准坦克设计!$B$14:$K$20,9)/30))</f>
        <v>2.3171381422495672</v>
      </c>
      <c r="BP231" s="172">
        <f ca="1">(VLOOKUP(BP$72,INDIRECT($C$5&amp;"生成成长"),2))/((VLOOKUP($B231,INDIRECT($B$5&amp;"生成成长"),4))/(VLOOKUP(BP$72,INDIRECT($C$5&amp;"生成成长"),5))*(VLOOKUP($B$5,标准坦克设计!$B$24:$U$30,MATCH("对"&amp;LEFT($C$5,2)&amp;"输出",标准坦克设计!$B$23:$U$23,0)))*(VLOOKUP($B231,INDIRECT($B$5&amp;"生成成长"),3))*(VLOOKUP($B$5,标准坦克设计!$B$14:$K$20,9)/30))</f>
        <v>2.5209970713186145</v>
      </c>
      <c r="BQ231" s="172">
        <f ca="1">(VLOOKUP(BQ$72,INDIRECT($C$5&amp;"生成成长"),2))/((VLOOKUP($B231,INDIRECT($B$5&amp;"生成成长"),4))/(VLOOKUP(BQ$72,INDIRECT($C$5&amp;"生成成长"),5))*(VLOOKUP($B$5,标准坦克设计!$B$24:$U$30,MATCH("对"&amp;LEFT($C$5,2)&amp;"输出",标准坦克设计!$B$23:$U$23,0)))*(VLOOKUP($B231,INDIRECT($B$5&amp;"生成成长"),3))*(VLOOKUP($B$5,标准坦克设计!$B$14:$K$20,9)/30))</f>
        <v>2.7334495852196139</v>
      </c>
      <c r="BR231" s="172">
        <f ca="1">(VLOOKUP(BR$72,INDIRECT($C$5&amp;"生成成长"),2))/((VLOOKUP($B231,INDIRECT($B$5&amp;"生成成长"),4))/(VLOOKUP(BR$72,INDIRECT($C$5&amp;"生成成长"),5))*(VLOOKUP($B$5,标准坦克设计!$B$24:$U$30,MATCH("对"&amp;LEFT($C$5,2)&amp;"输出",标准坦克设计!$B$23:$U$23,0)))*(VLOOKUP($B231,INDIRECT($B$5&amp;"生成成长"),3))*(VLOOKUP($B$5,标准坦克设计!$B$14:$K$20,9)/30))</f>
        <v>2.9795868297890604</v>
      </c>
      <c r="BS231" s="172">
        <f ca="1">(VLOOKUP(BS$72,INDIRECT($C$5&amp;"生成成长"),2))/((VLOOKUP($B231,INDIRECT($B$5&amp;"生成成长"),4))/(VLOOKUP(BS$72,INDIRECT($C$5&amp;"生成成长"),5))*(VLOOKUP($B$5,标准坦克设计!$B$24:$U$30,MATCH("对"&amp;LEFT($C$5,2)&amp;"输出",标准坦克设计!$B$23:$U$23,0)))*(VLOOKUP($B231,INDIRECT($B$5&amp;"生成成长"),3))*(VLOOKUP($B$5,标准坦克设计!$B$14:$K$20,9)/30))</f>
        <v>3.2363334383485691</v>
      </c>
      <c r="BT231" s="172">
        <f ca="1">(VLOOKUP(BT$72,INDIRECT($C$5&amp;"生成成长"),2))/((VLOOKUP($B231,INDIRECT($B$5&amp;"生成成长"),4))/(VLOOKUP(BT$72,INDIRECT($C$5&amp;"生成成长"),5))*(VLOOKUP($B$5,标准坦克设计!$B$24:$U$30,MATCH("对"&amp;LEFT($C$5,2)&amp;"输出",标准坦克设计!$B$23:$U$23,0)))*(VLOOKUP($B231,INDIRECT($B$5&amp;"生成成长"),3))*(VLOOKUP($B$5,标准坦克设计!$B$14:$K$20,9)/30))</f>
        <v>3.5036894108981405</v>
      </c>
      <c r="BU231" s="172">
        <f ca="1">(VLOOKUP(BU$72,INDIRECT($C$5&amp;"生成成长"),2))/((VLOOKUP($B231,INDIRECT($B$5&amp;"生成成长"),4))/(VLOOKUP(BU$72,INDIRECT($C$5&amp;"生成成长"),5))*(VLOOKUP($B$5,标准坦克设计!$B$24:$U$30,MATCH("对"&amp;LEFT($C$5,2)&amp;"输出",标准坦克设计!$B$23:$U$23,0)))*(VLOOKUP($B231,INDIRECT($B$5&amp;"生成成长"),3))*(VLOOKUP($B$5,标准坦克设计!$B$14:$K$20,9)/30))</f>
        <v>3.781654747437774</v>
      </c>
      <c r="BV231" s="172">
        <f ca="1">(VLOOKUP(BV$72,INDIRECT($C$5&amp;"生成成长"),2))/((VLOOKUP($B231,INDIRECT($B$5&amp;"生成成长"),4))/(VLOOKUP(BV$72,INDIRECT($C$5&amp;"生成成长"),5))*(VLOOKUP($B$5,标准坦克设计!$B$24:$U$30,MATCH("对"&amp;LEFT($C$5,2)&amp;"输出",标准坦克设计!$B$23:$U$23,0)))*(VLOOKUP($B231,INDIRECT($B$5&amp;"生成成长"),3))*(VLOOKUP($B$5,标准坦克设计!$B$14:$K$20,9)/30))</f>
        <v>4.0702294479674688</v>
      </c>
      <c r="BW231" s="172">
        <f ca="1">(VLOOKUP(BW$72,INDIRECT($C$5&amp;"生成成长"),2))/((VLOOKUP($B231,INDIRECT($B$5&amp;"生成成长"),4))/(VLOOKUP(BW$72,INDIRECT($C$5&amp;"生成成长"),5))*(VLOOKUP($B$5,标准坦克设计!$B$24:$U$30,MATCH("对"&amp;LEFT($C$5,2)&amp;"输出",标准坦克设计!$B$23:$U$23,0)))*(VLOOKUP($B231,INDIRECT($B$5&amp;"生成成长"),3))*(VLOOKUP($B$5,标准坦克设计!$B$14:$K$20,9)/30))</f>
        <v>1.8549942468424512</v>
      </c>
      <c r="BX231" s="172">
        <f ca="1">(VLOOKUP(BX$72,INDIRECT($C$5&amp;"生成成长"),2))/((VLOOKUP($B231,INDIRECT($B$5&amp;"生成成长"),4))/(VLOOKUP(BX$72,INDIRECT($C$5&amp;"生成成长"),5))*(VLOOKUP($B$5,标准坦克设计!$B$24:$U$30,MATCH("对"&amp;LEFT($C$5,2)&amp;"输出",标准坦克设计!$B$23:$U$23,0)))*(VLOOKUP($B231,INDIRECT($B$5&amp;"生成成长"),3))*(VLOOKUP($B$5,标准坦克设计!$B$14:$K$20,9)/30))</f>
        <v>2.0586940354516488</v>
      </c>
      <c r="BY231" s="172">
        <f ca="1">(VLOOKUP(BY$72,INDIRECT($C$5&amp;"生成成长"),2))/((VLOOKUP($B231,INDIRECT($B$5&amp;"生成成长"),4))/(VLOOKUP(BY$72,INDIRECT($C$5&amp;"生成成长"),5))*(VLOOKUP($B$5,标准坦克设计!$B$24:$U$30,MATCH("对"&amp;LEFT($C$5,2)&amp;"输出",标准坦克设计!$B$23:$U$23,0)))*(VLOOKUP($B231,INDIRECT($B$5&amp;"生成成长"),3))*(VLOOKUP($B$5,标准坦克设计!$B$14:$K$20,9)/30))</f>
        <v>2.2730031880509083</v>
      </c>
      <c r="BZ231" s="172">
        <f ca="1">(VLOOKUP(BZ$72,INDIRECT($C$5&amp;"生成成长"),2))/((VLOOKUP($B231,INDIRECT($B$5&amp;"生成成长"),4))/(VLOOKUP(BZ$72,INDIRECT($C$5&amp;"生成成长"),5))*(VLOOKUP($B$5,标准坦克设计!$B$24:$U$30,MATCH("对"&amp;LEFT($C$5,2)&amp;"输出",标准坦克设计!$B$23:$U$23,0)))*(VLOOKUP($B231,INDIRECT($B$5&amp;"生成成长"),3))*(VLOOKUP($B$5,标准坦克设计!$B$14:$K$20,9)/30))</f>
        <v>2.4979217046402296</v>
      </c>
      <c r="CA231" s="172">
        <f ca="1">(VLOOKUP(CA$72,INDIRECT($C$5&amp;"生成成长"),2))/((VLOOKUP($B231,INDIRECT($B$5&amp;"生成成长"),4))/(VLOOKUP(CA$72,INDIRECT($C$5&amp;"生成成长"),5))*(VLOOKUP($B$5,标准坦克设计!$B$24:$U$30,MATCH("对"&amp;LEFT($C$5,2)&amp;"输出",标准坦克设计!$B$23:$U$23,0)))*(VLOOKUP($B231,INDIRECT($B$5&amp;"生成成长"),3))*(VLOOKUP($B$5,标准坦克设计!$B$14:$K$20,9)/30))</f>
        <v>2.7334495852196139</v>
      </c>
      <c r="CB231" s="172">
        <f ca="1">(VLOOKUP(CB$72,INDIRECT($C$5&amp;"生成成长"),2))/((VLOOKUP($B231,INDIRECT($B$5&amp;"生成成长"),4))/(VLOOKUP(CB$72,INDIRECT($C$5&amp;"生成成长"),5))*(VLOOKUP($B$5,标准坦克设计!$B$24:$U$30,MATCH("对"&amp;LEFT($C$5,2)&amp;"输出",标准坦克设计!$B$23:$U$23,0)))*(VLOOKUP($B231,INDIRECT($B$5&amp;"生成成长"),3))*(VLOOKUP($B$5,标准坦克设计!$B$14:$K$20,9)/30))</f>
        <v>2.9795868297890604</v>
      </c>
      <c r="CC231" s="172">
        <f ca="1">(VLOOKUP(CC$72,INDIRECT($C$5&amp;"生成成长"),2))/((VLOOKUP($B231,INDIRECT($B$5&amp;"生成成长"),4))/(VLOOKUP(CC$72,INDIRECT($C$5&amp;"生成成长"),5))*(VLOOKUP($B$5,标准坦克设计!$B$24:$U$30,MATCH("对"&amp;LEFT($C$5,2)&amp;"输出",标准坦克设计!$B$23:$U$23,0)))*(VLOOKUP($B231,INDIRECT($B$5&amp;"生成成长"),3))*(VLOOKUP($B$5,标准坦克设计!$B$14:$K$20,9)/30))</f>
        <v>3.2363334383485691</v>
      </c>
      <c r="CD231" s="172">
        <f ca="1">(VLOOKUP(CD$72,INDIRECT($C$5&amp;"生成成长"),2))/((VLOOKUP($B231,INDIRECT($B$5&amp;"生成成长"),4))/(VLOOKUP(CD$72,INDIRECT($C$5&amp;"生成成长"),5))*(VLOOKUP($B$5,标准坦克设计!$B$24:$U$30,MATCH("对"&amp;LEFT($C$5,2)&amp;"输出",标准坦克设计!$B$23:$U$23,0)))*(VLOOKUP($B231,INDIRECT($B$5&amp;"生成成长"),3))*(VLOOKUP($B$5,标准坦克设计!$B$14:$K$20,9)/30))</f>
        <v>3.5036894108981405</v>
      </c>
      <c r="CE231" s="172">
        <f ca="1">(VLOOKUP(CE$72,INDIRECT($C$5&amp;"生成成长"),2))/((VLOOKUP($B231,INDIRECT($B$5&amp;"生成成长"),4))/(VLOOKUP(CE$72,INDIRECT($C$5&amp;"生成成长"),5))*(VLOOKUP($B$5,标准坦克设计!$B$24:$U$30,MATCH("对"&amp;LEFT($C$5,2)&amp;"输出",标准坦克设计!$B$23:$U$23,0)))*(VLOOKUP($B231,INDIRECT($B$5&amp;"生成成长"),3))*(VLOOKUP($B$5,标准坦克设计!$B$14:$K$20,9)/30))</f>
        <v>3.781654747437774</v>
      </c>
      <c r="CF231" s="172">
        <f ca="1">(VLOOKUP(CF$72,INDIRECT($C$5&amp;"生成成长"),2))/((VLOOKUP($B231,INDIRECT($B$5&amp;"生成成长"),4))/(VLOOKUP(CF$72,INDIRECT($C$5&amp;"生成成长"),5))*(VLOOKUP($B$5,标准坦克设计!$B$24:$U$30,MATCH("对"&amp;LEFT($C$5,2)&amp;"输出",标准坦克设计!$B$23:$U$23,0)))*(VLOOKUP($B231,INDIRECT($B$5&amp;"生成成长"),3))*(VLOOKUP($B$5,标准坦克设计!$B$14:$K$20,9)/30))</f>
        <v>4.0702294479674688</v>
      </c>
      <c r="CG231" s="172">
        <f ca="1">(VLOOKUP(CG$72,INDIRECT($C$5&amp;"生成成长"),2))/((VLOOKUP($B231,INDIRECT($B$5&amp;"生成成长"),4))/(VLOOKUP(CG$72,INDIRECT($C$5&amp;"生成成长"),5))*(VLOOKUP($B$5,标准坦克设计!$B$24:$U$30,MATCH("对"&amp;LEFT($C$5,2)&amp;"输出",标准坦克设计!$B$23:$U$23,0)))*(VLOOKUP($B231,INDIRECT($B$5&amp;"生成成长"),3))*(VLOOKUP($B$5,标准坦克设计!$B$14:$K$20,9)/30))</f>
        <v>4.3694135124872284</v>
      </c>
      <c r="CH231" s="172">
        <f ca="1">(VLOOKUP(CH$72,INDIRECT($C$5&amp;"生成成长"),2))/((VLOOKUP($B231,INDIRECT($B$5&amp;"生成成长"),4))/(VLOOKUP(CH$72,INDIRECT($C$5&amp;"生成成长"),5))*(VLOOKUP($B$5,标准坦克设计!$B$24:$U$30,MATCH("对"&amp;LEFT($C$5,2)&amp;"输出",标准坦克设计!$B$23:$U$23,0)))*(VLOOKUP($B231,INDIRECT($B$5&amp;"生成成长"),3))*(VLOOKUP($B$5,标准坦克设计!$B$14:$K$20,9)/30))</f>
        <v>4.6792069409970489</v>
      </c>
      <c r="CI231" s="172">
        <f ca="1">(VLOOKUP(CI$72,INDIRECT($C$5&amp;"生成成长"),2))/((VLOOKUP($B231,INDIRECT($B$5&amp;"生成成长"),4))/(VLOOKUP(CI$72,INDIRECT($C$5&amp;"生成成长"),5))*(VLOOKUP($B$5,标准坦克设计!$B$24:$U$30,MATCH("对"&amp;LEFT($C$5,2)&amp;"输出",标准坦克设计!$B$23:$U$23,0)))*(VLOOKUP($B231,INDIRECT($B$5&amp;"生成成长"),3))*(VLOOKUP($B$5,标准坦克设计!$B$14:$K$20,9)/30))</f>
        <v>5.0322335277663726</v>
      </c>
      <c r="CJ231" s="172">
        <f ca="1">(VLOOKUP(CJ$72,INDIRECT($C$5&amp;"生成成长"),2))/((VLOOKUP($B231,INDIRECT($B$5&amp;"生成成长"),4))/(VLOOKUP(CJ$72,INDIRECT($C$5&amp;"生成成长"),5))*(VLOOKUP($B$5,标准坦克设计!$B$24:$U$30,MATCH("对"&amp;LEFT($C$5,2)&amp;"输出",标准坦克设计!$B$23:$U$23,0)))*(VLOOKUP($B231,INDIRECT($B$5&amp;"生成成长"),3))*(VLOOKUP($B$5,标准坦克设计!$B$14:$K$20,9)/30))</f>
        <v>5.3980974449636729</v>
      </c>
      <c r="CK231" s="172">
        <f ca="1">(VLOOKUP(CK$72,INDIRECT($C$5&amp;"生成成长"),2))/((VLOOKUP($B231,INDIRECT($B$5&amp;"生成成长"),4))/(VLOOKUP(CK$72,INDIRECT($C$5&amp;"生成成长"),5))*(VLOOKUP($B$5,标准坦克设计!$B$24:$U$30,MATCH("对"&amp;LEFT($C$5,2)&amp;"输出",标准坦克设计!$B$23:$U$23,0)))*(VLOOKUP($B231,INDIRECT($B$5&amp;"生成成长"),3))*(VLOOKUP($B$5,标准坦克设计!$B$14:$K$20,9)/30))</f>
        <v>5.7767986925889492</v>
      </c>
      <c r="CL231" s="172">
        <f ca="1">(VLOOKUP(CL$72,INDIRECT($C$5&amp;"生成成长"),2))/((VLOOKUP($B231,INDIRECT($B$5&amp;"生成成长"),4))/(VLOOKUP(CL$72,INDIRECT($C$5&amp;"生成成长"),5))*(VLOOKUP($B$5,标准坦克设计!$B$24:$U$30,MATCH("对"&amp;LEFT($C$5,2)&amp;"输出",标准坦克设计!$B$23:$U$23,0)))*(VLOOKUP($B231,INDIRECT($B$5&amp;"生成成长"),3))*(VLOOKUP($B$5,标准坦克设计!$B$14:$K$20,9)/30))</f>
        <v>6.1683372706421995</v>
      </c>
      <c r="CM231" s="172">
        <f ca="1">(VLOOKUP(CM$72,INDIRECT($C$5&amp;"生成成长"),2))/((VLOOKUP($B231,INDIRECT($B$5&amp;"生成成长"),4))/(VLOOKUP(CM$72,INDIRECT($C$5&amp;"生成成长"),5))*(VLOOKUP($B$5,标准坦克设计!$B$24:$U$30,MATCH("对"&amp;LEFT($C$5,2)&amp;"输出",标准坦克设计!$B$23:$U$23,0)))*(VLOOKUP($B231,INDIRECT($B$5&amp;"生成成长"),3))*(VLOOKUP($B$5,标准坦克设计!$B$14:$K$20,9)/30))</f>
        <v>6.5727131791234257</v>
      </c>
      <c r="CN231" s="172">
        <f ca="1">(VLOOKUP(CN$72,INDIRECT($C$5&amp;"生成成长"),2))/((VLOOKUP($B231,INDIRECT($B$5&amp;"生成成长"),4))/(VLOOKUP(CN$72,INDIRECT($C$5&amp;"生成成长"),5))*(VLOOKUP($B$5,标准坦克设计!$B$24:$U$30,MATCH("对"&amp;LEFT($C$5,2)&amp;"输出",标准坦克设计!$B$23:$U$23,0)))*(VLOOKUP($B231,INDIRECT($B$5&amp;"生成成长"),3))*(VLOOKUP($B$5,标准坦克设计!$B$14:$K$20,9)/30))</f>
        <v>6.9899264180326295</v>
      </c>
      <c r="CO231" s="172">
        <f ca="1">(VLOOKUP(CO$72,INDIRECT($C$5&amp;"生成成长"),2))/((VLOOKUP($B231,INDIRECT($B$5&amp;"生成成长"),4))/(VLOOKUP(CO$72,INDIRECT($C$5&amp;"生成成长"),5))*(VLOOKUP($B$5,标准坦克设计!$B$24:$U$30,MATCH("对"&amp;LEFT($C$5,2)&amp;"输出",标准坦克设计!$B$23:$U$23,0)))*(VLOOKUP($B231,INDIRECT($B$5&amp;"生成成长"),3))*(VLOOKUP($B$5,标准坦克设计!$B$14:$K$20,9)/30))</f>
        <v>3.1323616712459579</v>
      </c>
      <c r="CP231" s="172">
        <f ca="1">(VLOOKUP(CP$72,INDIRECT($C$5&amp;"生成成长"),2))/((VLOOKUP($B231,INDIRECT($B$5&amp;"生成成长"),4))/(VLOOKUP(CP$72,INDIRECT($C$5&amp;"生成成长"),5))*(VLOOKUP($B$5,标准坦克设计!$B$24:$U$30,MATCH("对"&amp;LEFT($C$5,2)&amp;"输出",标准坦克设计!$B$23:$U$23,0)))*(VLOOKUP($B231,INDIRECT($B$5&amp;"生成成长"),3))*(VLOOKUP($B$5,标准坦克设计!$B$14:$K$20,9)/30))</f>
        <v>3.422368635914312</v>
      </c>
      <c r="CQ231" s="172">
        <f ca="1">(VLOOKUP(CQ$72,INDIRECT($C$5&amp;"生成成长"),2))/((VLOOKUP($B231,INDIRECT($B$5&amp;"生成成长"),4))/(VLOOKUP(CQ$72,INDIRECT($C$5&amp;"生成成长"),5))*(VLOOKUP($B$5,标准坦克设计!$B$24:$U$30,MATCH("对"&amp;LEFT($C$5,2)&amp;"输出",标准坦克设计!$B$23:$U$23,0)))*(VLOOKUP($B231,INDIRECT($B$5&amp;"生成成长"),3))*(VLOOKUP($B$5,标准坦克设计!$B$14:$K$20,9)/30))</f>
        <v>3.7252129310106414</v>
      </c>
      <c r="CR231" s="172">
        <f ca="1">(VLOOKUP(CR$72,INDIRECT($C$5&amp;"生成成长"),2))/((VLOOKUP($B231,INDIRECT($B$5&amp;"生成成长"),4))/(VLOOKUP(CR$72,INDIRECT($C$5&amp;"生成成长"),5))*(VLOOKUP($B$5,标准坦克设计!$B$24:$U$30,MATCH("对"&amp;LEFT($C$5,2)&amp;"输出",标准坦克设计!$B$23:$U$23,0)))*(VLOOKUP($B231,INDIRECT($B$5&amp;"生成成长"),3))*(VLOOKUP($B$5,标准坦克设计!$B$14:$K$20,9)/30))</f>
        <v>4.0408945565349468</v>
      </c>
      <c r="CS231" s="172">
        <f ca="1">(VLOOKUP(CS$72,INDIRECT($C$5&amp;"生成成长"),2))/((VLOOKUP($B231,INDIRECT($B$5&amp;"生成成长"),4))/(VLOOKUP(CS$72,INDIRECT($C$5&amp;"生成成长"),5))*(VLOOKUP($B$5,标准坦克设计!$B$24:$U$30,MATCH("对"&amp;LEFT($C$5,2)&amp;"输出",标准坦克设计!$B$23:$U$23,0)))*(VLOOKUP($B231,INDIRECT($B$5&amp;"生成成长"),3))*(VLOOKUP($B$5,标准坦克设计!$B$14:$K$20,9)/30))</f>
        <v>4.3694135124872284</v>
      </c>
      <c r="CT231" s="172">
        <f ca="1">(VLOOKUP(CT$72,INDIRECT($C$5&amp;"生成成长"),2))/((VLOOKUP($B231,INDIRECT($B$5&amp;"生成成长"),4))/(VLOOKUP(CT$72,INDIRECT($C$5&amp;"生成成长"),5))*(VLOOKUP($B$5,标准坦克设计!$B$24:$U$30,MATCH("对"&amp;LEFT($C$5,2)&amp;"输出",标准坦克设计!$B$23:$U$23,0)))*(VLOOKUP($B231,INDIRECT($B$5&amp;"生成成长"),3))*(VLOOKUP($B$5,标准坦克设计!$B$14:$K$20,9)/30))</f>
        <v>4.7107697988674841</v>
      </c>
      <c r="CU231" s="172">
        <f ca="1">(VLOOKUP(CU$72,INDIRECT($C$5&amp;"生成成长"),2))/((VLOOKUP($B231,INDIRECT($B$5&amp;"生成成长"),4))/(VLOOKUP(CU$72,INDIRECT($C$5&amp;"生成成长"),5))*(VLOOKUP($B$5,标准坦克设计!$B$24:$U$30,MATCH("对"&amp;LEFT($C$5,2)&amp;"输出",标准坦克设计!$B$23:$U$23,0)))*(VLOOKUP($B231,INDIRECT($B$5&amp;"生成成长"),3))*(VLOOKUP($B$5,标准坦克设计!$B$14:$K$20,9)/30))</f>
        <v>5.0649634156757157</v>
      </c>
      <c r="CV231" s="172">
        <f ca="1">(VLOOKUP(CV$72,INDIRECT($C$5&amp;"生成成长"),2))/((VLOOKUP($B231,INDIRECT($B$5&amp;"生成成长"),4))/(VLOOKUP(CV$72,INDIRECT($C$5&amp;"生成成长"),5))*(VLOOKUP($B$5,标准坦克设计!$B$24:$U$30,MATCH("对"&amp;LEFT($C$5,2)&amp;"输出",标准坦克设计!$B$23:$U$23,0)))*(VLOOKUP($B231,INDIRECT($B$5&amp;"生成成长"),3))*(VLOOKUP($B$5,标准坦克设计!$B$14:$K$20,9)/30))</f>
        <v>5.4319943629119232</v>
      </c>
      <c r="CW231" s="172">
        <f ca="1">(VLOOKUP(CW$72,INDIRECT($C$5&amp;"生成成长"),2))/((VLOOKUP($B231,INDIRECT($B$5&amp;"生成成长"),4))/(VLOOKUP(CW$72,INDIRECT($C$5&amp;"生成成长"),5))*(VLOOKUP($B$5,标准坦克设计!$B$24:$U$30,MATCH("对"&amp;LEFT($C$5,2)&amp;"输出",标准坦克设计!$B$23:$U$23,0)))*(VLOOKUP($B231,INDIRECT($B$5&amp;"生成成长"),3))*(VLOOKUP($B$5,标准坦克设计!$B$14:$K$20,9)/30))</f>
        <v>5.8118626405761047</v>
      </c>
      <c r="CX231" s="172">
        <f ca="1">(VLOOKUP(CX$72,INDIRECT($C$5&amp;"生成成长"),2))/((VLOOKUP($B231,INDIRECT($B$5&amp;"生成成长"),4))/(VLOOKUP(CX$72,INDIRECT($C$5&amp;"生成成长"),5))*(VLOOKUP($B$5,标准坦克设计!$B$24:$U$30,MATCH("对"&amp;LEFT($C$5,2)&amp;"输出",标准坦克设计!$B$23:$U$23,0)))*(VLOOKUP($B231,INDIRECT($B$5&amp;"生成成长"),3))*(VLOOKUP($B$5,标准坦克设计!$B$14:$K$20,9)/30))</f>
        <v>6.2045682486682621</v>
      </c>
      <c r="CY231" s="172">
        <f ca="1">(VLOOKUP(CY$72,INDIRECT($C$5&amp;"生成成长"),2))/((VLOOKUP($B231,INDIRECT($B$5&amp;"生成成长"),4))/(VLOOKUP(CY$72,INDIRECT($C$5&amp;"生成成长"),5))*(VLOOKUP($B$5,标准坦克设计!$B$24:$U$30,MATCH("对"&amp;LEFT($C$5,2)&amp;"输出",标准坦克设计!$B$23:$U$23,0)))*(VLOOKUP($B231,INDIRECT($B$5&amp;"生成成长"),3))*(VLOOKUP($B$5,标准坦克设计!$B$14:$K$20,9)/30))</f>
        <v>6.6101111871883962</v>
      </c>
      <c r="CZ231" s="172">
        <f ca="1">(VLOOKUP(CZ$72,INDIRECT($C$5&amp;"生成成长"),2))/((VLOOKUP($B231,INDIRECT($B$5&amp;"生成成长"),4))/(VLOOKUP(CZ$72,INDIRECT($C$5&amp;"生成成长"),5))*(VLOOKUP($B$5,标准坦克设计!$B$24:$U$30,MATCH("对"&amp;LEFT($C$5,2)&amp;"输出",标准坦克设计!$B$23:$U$23,0)))*(VLOOKUP($B231,INDIRECT($B$5&amp;"生成成长"),3))*(VLOOKUP($B$5,标准坦克设计!$B$14:$K$20,9)/30))</f>
        <v>7.0284914561365035</v>
      </c>
      <c r="DA231" s="172">
        <f ca="1">(VLOOKUP(DA$72,INDIRECT($C$5&amp;"生成成长"),2))/((VLOOKUP($B231,INDIRECT($B$5&amp;"生成成长"),4))/(VLOOKUP(DA$72,INDIRECT($C$5&amp;"生成成长"),5))*(VLOOKUP($B$5,标准坦克设计!$B$24:$U$30,MATCH("对"&amp;LEFT($C$5,2)&amp;"输出",标准坦克设计!$B$23:$U$23,0)))*(VLOOKUP($B231,INDIRECT($B$5&amp;"生成成长"),3))*(VLOOKUP($B$5,标准坦克设计!$B$14:$K$20,9)/30))</f>
        <v>7.4597090555125893</v>
      </c>
      <c r="DB231" s="172">
        <f ca="1">(VLOOKUP(DB$72,INDIRECT($C$5&amp;"生成成长"),2))/((VLOOKUP($B231,INDIRECT($B$5&amp;"生成成长"),4))/(VLOOKUP(DB$72,INDIRECT($C$5&amp;"生成成长"),5))*(VLOOKUP($B$5,标准坦克设计!$B$24:$U$30,MATCH("对"&amp;LEFT($C$5,2)&amp;"输出",标准坦克设计!$B$23:$U$23,0)))*(VLOOKUP($B231,INDIRECT($B$5&amp;"生成成长"),3))*(VLOOKUP($B$5,标准坦克设计!$B$14:$K$20,9)/30))</f>
        <v>7.9037639853166484</v>
      </c>
      <c r="DC231" s="172">
        <f ca="1">(VLOOKUP(DC$72,INDIRECT($C$5&amp;"生成成长"),2))/((VLOOKUP($B231,INDIRECT($B$5&amp;"生成成长"),4))/(VLOOKUP(DC$72,INDIRECT($C$5&amp;"生成成长"),5))*(VLOOKUP($B$5,标准坦克设计!$B$24:$U$30,MATCH("对"&amp;LEFT($C$5,2)&amp;"输出",标准坦克设计!$B$23:$U$23,0)))*(VLOOKUP($B231,INDIRECT($B$5&amp;"生成成长"),3))*(VLOOKUP($B$5,标准坦克设计!$B$14:$K$20,9)/30))</f>
        <v>8.4028284674091811</v>
      </c>
      <c r="DD231" s="172">
        <f ca="1">(VLOOKUP(DD$72,INDIRECT($C$5&amp;"生成成长"),2))/((VLOOKUP($B231,INDIRECT($B$5&amp;"生成成长"),4))/(VLOOKUP(DD$72,INDIRECT($C$5&amp;"生成成长"),5))*(VLOOKUP($B$5,标准坦克设计!$B$24:$U$30,MATCH("对"&amp;LEFT($C$5,2)&amp;"输出",标准坦克设计!$B$23:$U$23,0)))*(VLOOKUP($B231,INDIRECT($B$5&amp;"生成成长"),3))*(VLOOKUP($B$5,标准坦克设计!$B$14:$K$20,9)/30))</f>
        <v>8.9171704336474047</v>
      </c>
      <c r="DE231" s="172">
        <f ca="1">(VLOOKUP(DE$72,INDIRECT($C$5&amp;"生成成长"),2))/((VLOOKUP($B231,INDIRECT($B$5&amp;"生成成长"),4))/(VLOOKUP(DE$72,INDIRECT($C$5&amp;"生成成长"),5))*(VLOOKUP($B$5,标准坦克设计!$B$24:$U$30,MATCH("对"&amp;LEFT($C$5,2)&amp;"输出",标准坦克设计!$B$23:$U$23,0)))*(VLOOKUP($B231,INDIRECT($B$5&amp;"生成成长"),3))*(VLOOKUP($B$5,标准坦克设计!$B$14:$K$20,9)/30))</f>
        <v>9.4467898840313165</v>
      </c>
      <c r="DF231" s="172">
        <f ca="1">(VLOOKUP(DF$72,INDIRECT($C$5&amp;"生成成长"),2))/((VLOOKUP($B231,INDIRECT($B$5&amp;"生成成长"),4))/(VLOOKUP(DF$72,INDIRECT($C$5&amp;"生成成长"),5))*(VLOOKUP($B$5,标准坦克设计!$B$24:$U$30,MATCH("对"&amp;LEFT($C$5,2)&amp;"输出",标准坦克设计!$B$23:$U$23,0)))*(VLOOKUP($B231,INDIRECT($B$5&amp;"生成成长"),3))*(VLOOKUP($B$5,标准坦克设计!$B$14:$K$20,9)/30))</f>
        <v>9.9916868185609182</v>
      </c>
      <c r="DG231" s="172">
        <f ca="1">(VLOOKUP(DG$72,INDIRECT($C$5&amp;"生成成长"),2))/((VLOOKUP($B231,INDIRECT($B$5&amp;"生成成长"),4))/(VLOOKUP(DG$72,INDIRECT($C$5&amp;"生成成长"),5))*(VLOOKUP($B$5,标准坦克设计!$B$24:$U$30,MATCH("对"&amp;LEFT($C$5,2)&amp;"输出",标准坦克设计!$B$23:$U$23,0)))*(VLOOKUP($B231,INDIRECT($B$5&amp;"生成成长"),3))*(VLOOKUP($B$5,标准坦克设计!$B$14:$K$20,9)/30))</f>
        <v>10.551861237236212</v>
      </c>
      <c r="DH231" s="172">
        <f ca="1">(VLOOKUP(DH$72,INDIRECT($C$5&amp;"生成成长"),2))/((VLOOKUP($B231,INDIRECT($B$5&amp;"生成成长"),4))/(VLOOKUP(DH$72,INDIRECT($C$5&amp;"生成成长"),5))*(VLOOKUP($B$5,标准坦克设计!$B$24:$U$30,MATCH("对"&amp;LEFT($C$5,2)&amp;"输出",标准坦克设计!$B$23:$U$23,0)))*(VLOOKUP($B231,INDIRECT($B$5&amp;"生成成长"),3))*(VLOOKUP($B$5,标准坦克设计!$B$14:$K$20,9)/30))</f>
        <v>11.127313140057193</v>
      </c>
      <c r="DI231" s="172">
        <f ca="1">(VLOOKUP(DI$72,INDIRECT($C$5&amp;"生成成长"),2))/((VLOOKUP($B231,INDIRECT($B$5&amp;"生成成长"),4))/(VLOOKUP(DI$72,INDIRECT($C$5&amp;"生成成长"),5))*(VLOOKUP($B$5,标准坦克设计!$B$24:$U$30,MATCH("对"&amp;LEFT($C$5,2)&amp;"输出",标准坦克设计!$B$23:$U$23,0)))*(VLOOKUP($B231,INDIRECT($B$5&amp;"生成成长"),3))*(VLOOKUP($B$5,标准坦克设计!$B$14:$K$20,9)/30))</f>
        <v>11.718042527023865</v>
      </c>
      <c r="DJ231" s="172">
        <f ca="1">(VLOOKUP(DJ$72,INDIRECT($C$5&amp;"生成成长"),2))/((VLOOKUP($B231,INDIRECT($B$5&amp;"生成成长"),4))/(VLOOKUP(DJ$72,INDIRECT($C$5&amp;"生成成长"),5))*(VLOOKUP($B$5,标准坦克设计!$B$24:$U$30,MATCH("对"&amp;LEFT($C$5,2)&amp;"输出",标准坦克设计!$B$23:$U$23,0)))*(VLOOKUP($B231,INDIRECT($B$5&amp;"生成成长"),3))*(VLOOKUP($B$5,标准坦克设计!$B$14:$K$20,9)/30))</f>
        <v>1.177692449716871</v>
      </c>
      <c r="DK231" s="172">
        <f ca="1">(VLOOKUP(DK$72,INDIRECT($C$5&amp;"生成成长"),2))/((VLOOKUP($B231,INDIRECT($B$5&amp;"生成成长"),4))/(VLOOKUP(DK$72,INDIRECT($C$5&amp;"生成成长"),5))*(VLOOKUP($B$5,标准坦克设计!$B$24:$U$30,MATCH("对"&amp;LEFT($C$5,2)&amp;"输出",标准坦克设计!$B$23:$U$23,0)))*(VLOOKUP($B231,INDIRECT($B$5&amp;"生成成长"),3))*(VLOOKUP($B$5,标准坦克设计!$B$14:$K$20,9)/30))</f>
        <v>1.3242608132395823</v>
      </c>
      <c r="DL231" s="172">
        <f ca="1">(VLOOKUP(DL$72,INDIRECT($C$5&amp;"生成成长"),2))/((VLOOKUP($B231,INDIRECT($B$5&amp;"生成成长"),4))/(VLOOKUP(DL$72,INDIRECT($C$5&amp;"生成成长"),5))*(VLOOKUP($B$5,标准坦克设计!$B$24:$U$30,MATCH("对"&amp;LEFT($C$5,2)&amp;"输出",标准坦克设计!$B$23:$U$23,0)))*(VLOOKUP($B231,INDIRECT($B$5&amp;"生成成长"),3))*(VLOOKUP($B$5,标准坦克设计!$B$14:$K$20,9)/30))</f>
        <v>1.4794227615942444</v>
      </c>
      <c r="DM231" s="172">
        <f ca="1">(VLOOKUP(DM$72,INDIRECT($C$5&amp;"生成成长"),2))/((VLOOKUP($B231,INDIRECT($B$5&amp;"生成成长"),4))/(VLOOKUP(DM$72,INDIRECT($C$5&amp;"生成成长"),5))*(VLOOKUP($B$5,标准坦克设计!$B$24:$U$30,MATCH("对"&amp;LEFT($C$5,2)&amp;"输出",标准坦克设计!$B$23:$U$23,0)))*(VLOOKUP($B231,INDIRECT($B$5&amp;"生成成长"),3))*(VLOOKUP($B$5,标准坦克设计!$B$14:$K$20,9)/30))</f>
        <v>1.6431782947808564</v>
      </c>
      <c r="DN231" s="172">
        <f ca="1">(VLOOKUP(DN$72,INDIRECT($C$5&amp;"生成成长"),2))/((VLOOKUP($B231,INDIRECT($B$5&amp;"生成成长"),4))/(VLOOKUP(DN$72,INDIRECT($C$5&amp;"生成成长"),5))*(VLOOKUP($B$5,标准坦克设计!$B$24:$U$30,MATCH("对"&amp;LEFT($C$5,2)&amp;"输出",标准坦克设计!$B$23:$U$23,0)))*(VLOOKUP($B231,INDIRECT($B$5&amp;"生成成长"),3))*(VLOOKUP($B$5,标准坦克设计!$B$14:$K$20,9)/30))</f>
        <v>1.8155274127994194</v>
      </c>
      <c r="DO231" s="172">
        <f ca="1">(VLOOKUP(DO$72,INDIRECT($C$5&amp;"生成成长"),2))/((VLOOKUP($B231,INDIRECT($B$5&amp;"生成成长"),4))/(VLOOKUP(DO$72,INDIRECT($C$5&amp;"生成成长"),5))*(VLOOKUP($B$5,标准坦克设计!$B$24:$U$30,MATCH("对"&amp;LEFT($C$5,2)&amp;"输出",标准坦克设计!$B$23:$U$23,0)))*(VLOOKUP($B231,INDIRECT($B$5&amp;"生成成长"),3))*(VLOOKUP($B$5,标准坦克设计!$B$14:$K$20,9)/30))</f>
        <v>1.9964701156499325</v>
      </c>
      <c r="DP231" s="172">
        <f ca="1">(VLOOKUP(DP$72,INDIRECT($C$5&amp;"生成成长"),2))/((VLOOKUP($B231,INDIRECT($B$5&amp;"生成成长"),4))/(VLOOKUP(DP$72,INDIRECT($C$5&amp;"生成成长"),5))*(VLOOKUP($B$5,标准坦克设计!$B$24:$U$30,MATCH("对"&amp;LEFT($C$5,2)&amp;"输出",标准坦克设计!$B$23:$U$23,0)))*(VLOOKUP($B231,INDIRECT($B$5&amp;"生成成长"),3))*(VLOOKUP($B$5,标准坦克设计!$B$14:$K$20,9)/30))</f>
        <v>2.1860064033323963</v>
      </c>
      <c r="DQ231" s="172">
        <f ca="1">(VLOOKUP(DQ$72,INDIRECT($C$5&amp;"生成成长"),2))/((VLOOKUP($B231,INDIRECT($B$5&amp;"生成成长"),4))/(VLOOKUP(DQ$72,INDIRECT($C$5&amp;"生成成长"),5))*(VLOOKUP($B$5,标准坦克设计!$B$24:$U$30,MATCH("对"&amp;LEFT($C$5,2)&amp;"输出",标准坦克设计!$B$23:$U$23,0)))*(VLOOKUP($B231,INDIRECT($B$5&amp;"生成成长"),3))*(VLOOKUP($B$5,标准坦克设计!$B$14:$K$20,9)/30))</f>
        <v>2.3841362758468105</v>
      </c>
      <c r="DR231" s="172">
        <f ca="1">(VLOOKUP(DR$72,INDIRECT($C$5&amp;"生成成长"),2))/((VLOOKUP($B231,INDIRECT($B$5&amp;"生成成长"),4))/(VLOOKUP(DR$72,INDIRECT($C$5&amp;"生成成长"),5))*(VLOOKUP($B$5,标准坦克设计!$B$24:$U$30,MATCH("对"&amp;LEFT($C$5,2)&amp;"输出",标准坦克设计!$B$23:$U$23,0)))*(VLOOKUP($B231,INDIRECT($B$5&amp;"生成成长"),3))*(VLOOKUP($B$5,标准坦克设计!$B$14:$K$20,9)/30))</f>
        <v>2.5908597331931755</v>
      </c>
      <c r="DS231" s="172">
        <f ca="1">(VLOOKUP(DS$72,INDIRECT($C$5&amp;"生成成长"),2))/((VLOOKUP($B231,INDIRECT($B$5&amp;"生成成长"),4))/(VLOOKUP(DS$72,INDIRECT($C$5&amp;"生成成长"),5))*(VLOOKUP($B$5,标准坦克设计!$B$24:$U$30,MATCH("对"&amp;LEFT($C$5,2)&amp;"输出",标准坦克设计!$B$23:$U$23,0)))*(VLOOKUP($B231,INDIRECT($B$5&amp;"生成成长"),3))*(VLOOKUP($B$5,标准坦克设计!$B$14:$K$20,9)/30))</f>
        <v>2.8061767753714908</v>
      </c>
      <c r="DT231" s="172">
        <f ca="1">(VLOOKUP(DT$72,INDIRECT($C$5&amp;"生成成长"),2))/((VLOOKUP($B231,INDIRECT($B$5&amp;"生成成长"),4))/(VLOOKUP(DT$72,INDIRECT($C$5&amp;"生成成长"),5))*(VLOOKUP($B$5,标准坦克设计!$B$24:$U$30,MATCH("对"&amp;LEFT($C$5,2)&amp;"输出",标准坦克设计!$B$23:$U$23,0)))*(VLOOKUP($B231,INDIRECT($B$5&amp;"生成成长"),3))*(VLOOKUP($B$5,标准坦克设计!$B$14:$K$20,9)/30))</f>
        <v>3.0810123495340567</v>
      </c>
      <c r="DU231" s="172">
        <f ca="1">(VLOOKUP(DU$72,INDIRECT($C$5&amp;"生成成长"),2))/((VLOOKUP($B231,INDIRECT($B$5&amp;"生成成长"),4))/(VLOOKUP(DU$72,INDIRECT($C$5&amp;"生成成长"),5))*(VLOOKUP($B$5,标准坦克设计!$B$24:$U$30,MATCH("对"&amp;LEFT($C$5,2)&amp;"输出",标准坦克设计!$B$23:$U$23,0)))*(VLOOKUP($B231,INDIRECT($B$5&amp;"生成成长"),3))*(VLOOKUP($B$5,标准坦克设计!$B$14:$K$20,9)/30))</f>
        <v>3.3686852541245966</v>
      </c>
      <c r="DV231" s="172">
        <f ca="1">(VLOOKUP(DV$72,INDIRECT($C$5&amp;"生成成长"),2))/((VLOOKUP($B231,INDIRECT($B$5&amp;"生成成长"),4))/(VLOOKUP(DV$72,INDIRECT($C$5&amp;"生成成长"),5))*(VLOOKUP($B$5,标准坦克设计!$B$24:$U$30,MATCH("对"&amp;LEFT($C$5,2)&amp;"输出",标准坦克设计!$B$23:$U$23,0)))*(VLOOKUP($B231,INDIRECT($B$5&amp;"生成成长"),3))*(VLOOKUP($B$5,标准坦克设计!$B$14:$K$20,9)/30))</f>
        <v>3.6691954891431124</v>
      </c>
      <c r="DW231" s="172">
        <f ca="1">(VLOOKUP(DW$72,INDIRECT($C$5&amp;"生成成长"),2))/((VLOOKUP($B231,INDIRECT($B$5&amp;"生成成长"),4))/(VLOOKUP(DW$72,INDIRECT($C$5&amp;"生成成长"),5))*(VLOOKUP($B$5,标准坦克设计!$B$24:$U$30,MATCH("对"&amp;LEFT($C$5,2)&amp;"输出",标准坦克设计!$B$23:$U$23,0)))*(VLOOKUP($B231,INDIRECT($B$5&amp;"生成成长"),3))*(VLOOKUP($B$5,标准坦克设计!$B$14:$K$20,9)/30))</f>
        <v>3.9825430545896041</v>
      </c>
      <c r="DX231" s="172">
        <f ca="1">(VLOOKUP(DX$72,INDIRECT($C$5&amp;"生成成长"),2))/((VLOOKUP($B231,INDIRECT($B$5&amp;"生成成长"),4))/(VLOOKUP(DX$72,INDIRECT($C$5&amp;"生成成长"),5))*(VLOOKUP($B$5,标准坦克设计!$B$24:$U$30,MATCH("对"&amp;LEFT($C$5,2)&amp;"输出",标准坦克设计!$B$23:$U$23,0)))*(VLOOKUP($B231,INDIRECT($B$5&amp;"生成成长"),3))*(VLOOKUP($B$5,标准坦克设计!$B$14:$K$20,9)/30))</f>
        <v>4.3087279504640712</v>
      </c>
      <c r="DY231" s="172">
        <f ca="1">(VLOOKUP(DY$72,INDIRECT($C$5&amp;"生成成长"),2))/((VLOOKUP($B231,INDIRECT($B$5&amp;"生成成长"),4))/(VLOOKUP(DY$72,INDIRECT($C$5&amp;"生成成长"),5))*(VLOOKUP($B$5,标准坦克设计!$B$24:$U$30,MATCH("对"&amp;LEFT($C$5,2)&amp;"输出",标准坦克设计!$B$23:$U$23,0)))*(VLOOKUP($B231,INDIRECT($B$5&amp;"生成成长"),3))*(VLOOKUP($B$5,标准坦克设计!$B$14:$K$20,9)/30))</f>
        <v>1.9352010386073231</v>
      </c>
      <c r="DZ231" s="172">
        <f ca="1">(VLOOKUP(DZ$72,INDIRECT($C$5&amp;"生成成长"),2))/((VLOOKUP($B231,INDIRECT($B$5&amp;"生成成长"),4))/(VLOOKUP(DZ$72,INDIRECT($C$5&amp;"生成成长"),5))*(VLOOKUP($B$5,标准坦克设计!$B$24:$U$30,MATCH("对"&amp;LEFT($C$5,2)&amp;"输出",标准坦克设计!$B$23:$U$23,0)))*(VLOOKUP($B231,INDIRECT($B$5&amp;"生成成长"),3))*(VLOOKUP($B$5,标准坦克设计!$B$14:$K$20,9)/30))</f>
        <v>2.1431445728125444</v>
      </c>
      <c r="EA231" s="172">
        <f ca="1">(VLOOKUP(EA$72,INDIRECT($C$5&amp;"生成成长"),2))/((VLOOKUP($B231,INDIRECT($B$5&amp;"生成成长"),4))/(VLOOKUP(EA$72,INDIRECT($C$5&amp;"生成成长"),5))*(VLOOKUP($B$5,标准坦克设计!$B$24:$U$30,MATCH("对"&amp;LEFT($C$5,2)&amp;"输出",标准坦克设计!$B$23:$U$23,0)))*(VLOOKUP($B231,INDIRECT($B$5&amp;"生成成长"),3))*(VLOOKUP($B$5,标准坦克设计!$B$14:$K$20,9)/30))</f>
        <v>2.3616974710078291</v>
      </c>
      <c r="EB231" s="172">
        <f ca="1">(VLOOKUP(EB$72,INDIRECT($C$5&amp;"生成成长"),2))/((VLOOKUP($B231,INDIRECT($B$5&amp;"生成成长"),4))/(VLOOKUP(EB$72,INDIRECT($C$5&amp;"生成成长"),5))*(VLOOKUP($B$5,标准坦克设计!$B$24:$U$30,MATCH("对"&amp;LEFT($C$5,2)&amp;"输出",标准坦克设计!$B$23:$U$23,0)))*(VLOOKUP($B231,INDIRECT($B$5&amp;"生成成长"),3))*(VLOOKUP($B$5,标准坦克设计!$B$14:$K$20,9)/30))</f>
        <v>2.5908597331931755</v>
      </c>
      <c r="EC231" s="172">
        <f ca="1">(VLOOKUP(EC$72,INDIRECT($C$5&amp;"生成成长"),2))/((VLOOKUP($B231,INDIRECT($B$5&amp;"生成成长"),4))/(VLOOKUP(EC$72,INDIRECT($C$5&amp;"生成成长"),5))*(VLOOKUP($B$5,标准坦克设计!$B$24:$U$30,MATCH("对"&amp;LEFT($C$5,2)&amp;"输出",标准坦克设计!$B$23:$U$23,0)))*(VLOOKUP($B231,INDIRECT($B$5&amp;"生成成长"),3))*(VLOOKUP($B$5,标准坦克设计!$B$14:$K$20,9)/30))</f>
        <v>2.8306313593685846</v>
      </c>
      <c r="ED231" s="172">
        <f ca="1">(VLOOKUP(ED$72,INDIRECT($C$5&amp;"生成成长"),2))/((VLOOKUP($B231,INDIRECT($B$5&amp;"生成成长"),4))/(VLOOKUP(ED$72,INDIRECT($C$5&amp;"生成成长"),5))*(VLOOKUP($B$5,标准坦克设计!$B$24:$U$30,MATCH("对"&amp;LEFT($C$5,2)&amp;"输出",标准坦克设计!$B$23:$U$23,0)))*(VLOOKUP($B231,INDIRECT($B$5&amp;"生成成长"),3))*(VLOOKUP($B$5,标准坦克设计!$B$14:$K$20,9)/30))</f>
        <v>3.0810123495340567</v>
      </c>
      <c r="EE231" s="172">
        <f ca="1">(VLOOKUP(EE$72,INDIRECT($C$5&amp;"生成成长"),2))/((VLOOKUP($B231,INDIRECT($B$5&amp;"生成成长"),4))/(VLOOKUP(EE$72,INDIRECT($C$5&amp;"生成成长"),5))*(VLOOKUP($B$5,标准坦克设计!$B$24:$U$30,MATCH("对"&amp;LEFT($C$5,2)&amp;"输出",标准坦克设计!$B$23:$U$23,0)))*(VLOOKUP($B231,INDIRECT($B$5&amp;"生成成长"),3))*(VLOOKUP($B$5,标准坦克设计!$B$14:$K$20,9)/30))</f>
        <v>3.3420027036895901</v>
      </c>
      <c r="EF231" s="172">
        <f ca="1">(VLOOKUP(EF$72,INDIRECT($C$5&amp;"生成成长"),2))/((VLOOKUP($B231,INDIRECT($B$5&amp;"生成成长"),4))/(VLOOKUP(EF$72,INDIRECT($C$5&amp;"生成成长"),5))*(VLOOKUP($B$5,标准坦克设计!$B$24:$U$30,MATCH("对"&amp;LEFT($C$5,2)&amp;"输出",标准坦克设计!$B$23:$U$23,0)))*(VLOOKUP($B231,INDIRECT($B$5&amp;"生成成长"),3))*(VLOOKUP($B$5,标准坦克设计!$B$14:$K$20,9)/30))</f>
        <v>3.6136024218351861</v>
      </c>
      <c r="EG231" s="172">
        <f ca="1">(VLOOKUP(EG$72,INDIRECT($C$5&amp;"生成成长"),2))/((VLOOKUP($B231,INDIRECT($B$5&amp;"生成成长"),4))/(VLOOKUP(EG$72,INDIRECT($C$5&amp;"生成成长"),5))*(VLOOKUP($B$5,标准坦克设计!$B$24:$U$30,MATCH("对"&amp;LEFT($C$5,2)&amp;"输出",标准坦克设计!$B$23:$U$23,0)))*(VLOOKUP($B231,INDIRECT($B$5&amp;"生成成长"),3))*(VLOOKUP($B$5,标准坦克设计!$B$14:$K$20,9)/30))</f>
        <v>3.8958115039708447</v>
      </c>
      <c r="EH231" s="172">
        <f ca="1">(VLOOKUP(EH$72,INDIRECT($C$5&amp;"生成成长"),2))/((VLOOKUP($B231,INDIRECT($B$5&amp;"生成成长"),4))/(VLOOKUP(EH$72,INDIRECT($C$5&amp;"生成成长"),5))*(VLOOKUP($B$5,标准坦克设计!$B$24:$U$30,MATCH("对"&amp;LEFT($C$5,2)&amp;"输出",标准坦克设计!$B$23:$U$23,0)))*(VLOOKUP($B231,INDIRECT($B$5&amp;"生成成长"),3))*(VLOOKUP($B$5,标准坦克设计!$B$14:$K$20,9)/30))</f>
        <v>4.1886299500965647</v>
      </c>
      <c r="EI231" s="172">
        <f ca="1">(VLOOKUP(EI$72,INDIRECT($C$5&amp;"生成成长"),2))/((VLOOKUP($B231,INDIRECT($B$5&amp;"生成成长"),4))/(VLOOKUP(EI$72,INDIRECT($C$5&amp;"生成成长"),5))*(VLOOKUP($B$5,标准坦克设计!$B$24:$U$30,MATCH("对"&amp;LEFT($C$5,2)&amp;"输出",标准坦克设计!$B$23:$U$23,0)))*(VLOOKUP($B231,INDIRECT($B$5&amp;"生成成长"),3))*(VLOOKUP($B$5,标准坦克设计!$B$14:$K$20,9)/30))</f>
        <v>4.492057760212349</v>
      </c>
      <c r="EJ231" s="172">
        <f ca="1">(VLOOKUP(EJ$72,INDIRECT($C$5&amp;"生成成长"),2))/((VLOOKUP($B231,INDIRECT($B$5&amp;"生成成长"),4))/(VLOOKUP(EJ$72,INDIRECT($C$5&amp;"生成成长"),5))*(VLOOKUP($B$5,标准坦克设计!$B$24:$U$30,MATCH("对"&amp;LEFT($C$5,2)&amp;"输出",标准坦克设计!$B$23:$U$23,0)))*(VLOOKUP($B231,INDIRECT($B$5&amp;"生成成长"),3))*(VLOOKUP($B$5,标准坦克设计!$B$14:$K$20,9)/30))</f>
        <v>4.8060949343181942</v>
      </c>
      <c r="EK231" s="172">
        <f ca="1">(VLOOKUP(EK$72,INDIRECT($C$5&amp;"生成成长"),2))/((VLOOKUP($B231,INDIRECT($B$5&amp;"生成成长"),4))/(VLOOKUP(EK$72,INDIRECT($C$5&amp;"生成成长"),5))*(VLOOKUP($B$5,标准坦克设计!$B$24:$U$30,MATCH("对"&amp;LEFT($C$5,2)&amp;"输出",标准坦克设计!$B$23:$U$23,0)))*(VLOOKUP($B231,INDIRECT($B$5&amp;"生成成长"),3))*(VLOOKUP($B$5,标准坦克设计!$B$14:$K$20,9)/30))</f>
        <v>5.196943903712091</v>
      </c>
      <c r="EL231" s="172">
        <f ca="1">(VLOOKUP(EL$72,INDIRECT($C$5&amp;"生成成长"),2))/((VLOOKUP($B231,INDIRECT($B$5&amp;"生成成长"),4))/(VLOOKUP(EL$72,INDIRECT($C$5&amp;"生成成长"),5))*(VLOOKUP($B$5,标准坦克设计!$B$24:$U$30,MATCH("对"&amp;LEFT($C$5,2)&amp;"输出",标准坦克设计!$B$23:$U$23,0)))*(VLOOKUP($B231,INDIRECT($B$5&amp;"生成成长"),3))*(VLOOKUP($B$5,标准坦克设计!$B$14:$K$20,9)/30))</f>
        <v>5.6030703572516787</v>
      </c>
      <c r="EM231" s="172">
        <f ca="1">(VLOOKUP(EM$72,INDIRECT($C$5&amp;"生成成长"),2))/((VLOOKUP($B231,INDIRECT($B$5&amp;"生成成长"),4))/(VLOOKUP(EM$72,INDIRECT($C$5&amp;"生成成长"),5))*(VLOOKUP($B$5,标准坦克设计!$B$24:$U$30,MATCH("对"&amp;LEFT($C$5,2)&amp;"输出",标准坦克设计!$B$23:$U$23,0)))*(VLOOKUP($B231,INDIRECT($B$5&amp;"生成成长"),3))*(VLOOKUP($B$5,标准坦克设计!$B$14:$K$20,9)/30))</f>
        <v>6.0244742949369536</v>
      </c>
      <c r="EN231" s="172">
        <f ca="1">(VLOOKUP(EN$72,INDIRECT($C$5&amp;"生成成长"),2))/((VLOOKUP($B231,INDIRECT($B$5&amp;"生成成长"),4))/(VLOOKUP(EN$72,INDIRECT($C$5&amp;"生成成长"),5))*(VLOOKUP($B$5,标准坦克设计!$B$24:$U$30,MATCH("对"&amp;LEFT($C$5,2)&amp;"输出",标准坦克设计!$B$23:$U$23,0)))*(VLOOKUP($B231,INDIRECT($B$5&amp;"生成成长"),3))*(VLOOKUP($B$5,标准坦克设计!$B$14:$K$20,9)/30))</f>
        <v>6.4611557167679203</v>
      </c>
      <c r="EO231" s="172">
        <f ca="1">(VLOOKUP(EO$72,INDIRECT($C$5&amp;"生成成长"),2))/((VLOOKUP($B231,INDIRECT($B$5&amp;"生成成长"),4))/(VLOOKUP(EO$72,INDIRECT($C$5&amp;"生成成长"),5))*(VLOOKUP($B$5,标准坦克设计!$B$24:$U$30,MATCH("对"&amp;LEFT($C$5,2)&amp;"输出",标准坦克设计!$B$23:$U$23,0)))*(VLOOKUP($B231,INDIRECT($B$5&amp;"生成成长"),3))*(VLOOKUP($B$5,标准坦克设计!$B$14:$K$20,9)/30))</f>
        <v>6.913114622744577</v>
      </c>
      <c r="EP231" s="172">
        <f ca="1">(VLOOKUP(EP$72,INDIRECT($C$5&amp;"生成成长"),2))/((VLOOKUP($B231,INDIRECT($B$5&amp;"生成成长"),4))/(VLOOKUP(EP$72,INDIRECT($C$5&amp;"生成成长"),5))*(VLOOKUP($B$5,标准坦克设计!$B$24:$U$30,MATCH("对"&amp;LEFT($C$5,2)&amp;"输出",标准坦克设计!$B$23:$U$23,0)))*(VLOOKUP($B231,INDIRECT($B$5&amp;"生成成长"),3))*(VLOOKUP($B$5,标准坦克设计!$B$14:$K$20,9)/30))</f>
        <v>7.380351012866921</v>
      </c>
      <c r="EQ231" s="172">
        <f ca="1">(VLOOKUP(EQ$72,INDIRECT($C$5&amp;"生成成长"),2))/((VLOOKUP($B231,INDIRECT($B$5&amp;"生成成长"),4))/(VLOOKUP(EQ$72,INDIRECT($C$5&amp;"生成成长"),5))*(VLOOKUP($B$5,标准坦克设计!$B$24:$U$30,MATCH("对"&amp;LEFT($C$5,2)&amp;"输出",标准坦克设计!$B$23:$U$23,0)))*(VLOOKUP($B231,INDIRECT($B$5&amp;"生成成长"),3))*(VLOOKUP($B$5,标准坦克设计!$B$14:$K$20,9)/30))</f>
        <v>3.262591614223973</v>
      </c>
      <c r="ER231" s="172">
        <f ca="1">(VLOOKUP(ER$72,INDIRECT($C$5&amp;"生成成长"),2))/((VLOOKUP($B231,INDIRECT($B$5&amp;"生成成长"),4))/(VLOOKUP(ER$72,INDIRECT($C$5&amp;"生成成长"),5))*(VLOOKUP($B$5,标准坦克设计!$B$24:$U$30,MATCH("对"&amp;LEFT($C$5,2)&amp;"输出",标准坦克设计!$B$23:$U$23,0)))*(VLOOKUP($B231,INDIRECT($B$5&amp;"生成成长"),3))*(VLOOKUP($B$5,标准坦克设计!$B$14:$K$20,9)/30))</f>
        <v>3.5584337290868615</v>
      </c>
      <c r="ES231" s="172">
        <f ca="1">(VLOOKUP(ES$72,INDIRECT($C$5&amp;"生成成长"),2))/((VLOOKUP($B231,INDIRECT($B$5&amp;"生成成长"),4))/(VLOOKUP(ES$72,INDIRECT($C$5&amp;"生成成长"),5))*(VLOOKUP($B$5,标准坦克设计!$B$24:$U$30,MATCH("对"&amp;LEFT($C$5,2)&amp;"输出",标准坦克设计!$B$23:$U$23,0)))*(VLOOKUP($B231,INDIRECT($B$5&amp;"生成成长"),3))*(VLOOKUP($B$5,标准坦克设计!$B$14:$K$20,9)/30))</f>
        <v>3.8671131743777258</v>
      </c>
      <c r="ET231" s="172">
        <f ca="1">(VLOOKUP(ET$72,INDIRECT($C$5&amp;"生成成长"),2))/((VLOOKUP($B231,INDIRECT($B$5&amp;"生成成长"),4))/(VLOOKUP(ET$72,INDIRECT($C$5&amp;"生成成长"),5))*(VLOOKUP($B$5,标准坦克设计!$B$24:$U$30,MATCH("对"&amp;LEFT($C$5,2)&amp;"输出",标准坦克设计!$B$23:$U$23,0)))*(VLOOKUP($B231,INDIRECT($B$5&amp;"生成成长"),3))*(VLOOKUP($B$5,标准坦克设计!$B$14:$K$20,9)/30))</f>
        <v>4.1886299500965647</v>
      </c>
      <c r="EU231" s="172">
        <f ca="1">(VLOOKUP(EU$72,INDIRECT($C$5&amp;"生成成长"),2))/((VLOOKUP($B231,INDIRECT($B$5&amp;"生成成长"),4))/(VLOOKUP(EU$72,INDIRECT($C$5&amp;"生成成长"),5))*(VLOOKUP($B$5,标准坦克设计!$B$24:$U$30,MATCH("对"&amp;LEFT($C$5,2)&amp;"输出",标准坦克设计!$B$23:$U$23,0)))*(VLOOKUP($B231,INDIRECT($B$5&amp;"生成成长"),3))*(VLOOKUP($B$5,标准坦克设计!$B$14:$K$20,9)/30))</f>
        <v>4.5229840562433798</v>
      </c>
      <c r="EV231" s="172">
        <f ca="1">(VLOOKUP(EV$72,INDIRECT($C$5&amp;"生成成长"),2))/((VLOOKUP($B231,INDIRECT($B$5&amp;"生成成长"),4))/(VLOOKUP(EV$72,INDIRECT($C$5&amp;"生成成长"),5))*(VLOOKUP($B$5,标准坦克设计!$B$24:$U$30,MATCH("对"&amp;LEFT($C$5,2)&amp;"输出",标准坦克设计!$B$23:$U$23,0)))*(VLOOKUP($B231,INDIRECT($B$5&amp;"生成成长"),3))*(VLOOKUP($B$5,标准坦克设计!$B$14:$K$20,9)/30))</f>
        <v>4.8701754928181709</v>
      </c>
      <c r="EW231" s="172">
        <f ca="1">(VLOOKUP(EW$72,INDIRECT($C$5&amp;"生成成长"),2))/((VLOOKUP($B231,INDIRECT($B$5&amp;"生成成长"),4))/(VLOOKUP(EW$72,INDIRECT($C$5&amp;"生成成长"),5))*(VLOOKUP($B$5,标准坦克设计!$B$24:$U$30,MATCH("对"&amp;LEFT($C$5,2)&amp;"输出",标准坦克设计!$B$23:$U$23,0)))*(VLOOKUP($B231,INDIRECT($B$5&amp;"生成成长"),3))*(VLOOKUP($B$5,标准坦克设计!$B$14:$K$20,9)/30))</f>
        <v>5.2302042598209368</v>
      </c>
      <c r="EX231" s="172">
        <f ca="1">(VLOOKUP(EX$72,INDIRECT($C$5&amp;"生成成长"),2))/((VLOOKUP($B231,INDIRECT($B$5&amp;"生成成长"),4))/(VLOOKUP(EX$72,INDIRECT($C$5&amp;"生成成长"),5))*(VLOOKUP($B$5,标准坦克设计!$B$24:$U$30,MATCH("对"&amp;LEFT($C$5,2)&amp;"输出",标准坦克设计!$B$23:$U$23,0)))*(VLOOKUP($B231,INDIRECT($B$5&amp;"生成成长"),3))*(VLOOKUP($B$5,标准坦克设计!$B$14:$K$20,9)/30))</f>
        <v>5.6030703572516787</v>
      </c>
      <c r="EY231" s="172">
        <f ca="1">(VLOOKUP(EY$72,INDIRECT($C$5&amp;"生成成长"),2))/((VLOOKUP($B231,INDIRECT($B$5&amp;"生成成长"),4))/(VLOOKUP(EY$72,INDIRECT($C$5&amp;"生成成长"),5))*(VLOOKUP($B$5,标准坦克设计!$B$24:$U$30,MATCH("对"&amp;LEFT($C$5,2)&amp;"输出",标准坦克设计!$B$23:$U$23,0)))*(VLOOKUP($B231,INDIRECT($B$5&amp;"生成成长"),3))*(VLOOKUP($B$5,标准坦克设计!$B$14:$K$20,9)/30))</f>
        <v>5.9887737851103946</v>
      </c>
      <c r="EZ231" s="172">
        <f ca="1">(VLOOKUP(EZ$72,INDIRECT($C$5&amp;"生成成长"),2))/((VLOOKUP($B231,INDIRECT($B$5&amp;"生成成长"),4))/(VLOOKUP(EZ$72,INDIRECT($C$5&amp;"生成成长"),5))*(VLOOKUP($B$5,标准坦克设计!$B$24:$U$30,MATCH("对"&amp;LEFT($C$5,2)&amp;"输出",标准坦克设计!$B$23:$U$23,0)))*(VLOOKUP($B231,INDIRECT($B$5&amp;"生成成长"),3))*(VLOOKUP($B$5,标准坦克设计!$B$14:$K$20,9)/30))</f>
        <v>6.3873145433970855</v>
      </c>
      <c r="FA231" s="172">
        <f ca="1">(VLOOKUP(FA$72,INDIRECT($C$5&amp;"生成成长"),2))/((VLOOKUP($B231,INDIRECT($B$5&amp;"生成成长"),4))/(VLOOKUP(FA$72,INDIRECT($C$5&amp;"生成成长"),5))*(VLOOKUP($B$5,标准坦克设计!$B$24:$U$30,MATCH("对"&amp;LEFT($C$5,2)&amp;"输出",标准坦克设计!$B$23:$U$23,0)))*(VLOOKUP($B231,INDIRECT($B$5&amp;"生成成长"),3))*(VLOOKUP($B$5,标准坦克设计!$B$14:$K$20,9)/30))</f>
        <v>6.7986926321117531</v>
      </c>
      <c r="FB231" s="172">
        <f ca="1">(VLOOKUP(FB$72,INDIRECT($C$5&amp;"生成成长"),2))/((VLOOKUP($B231,INDIRECT($B$5&amp;"生成成长"),4))/(VLOOKUP(FB$72,INDIRECT($C$5&amp;"生成成长"),5))*(VLOOKUP($B$5,标准坦克设计!$B$24:$U$30,MATCH("对"&amp;LEFT($C$5,2)&amp;"输出",标准坦克设计!$B$23:$U$23,0)))*(VLOOKUP($B231,INDIRECT($B$5&amp;"生成成长"),3))*(VLOOKUP($B$5,标准坦克设计!$B$14:$K$20,9)/30))</f>
        <v>7.2229080512543966</v>
      </c>
      <c r="FC231" s="172">
        <f ca="1">(VLOOKUP(FC$72,INDIRECT($C$5&amp;"生成成长"),2))/((VLOOKUP($B231,INDIRECT($B$5&amp;"生成成长"),4))/(VLOOKUP(FC$72,INDIRECT($C$5&amp;"生成成长"),5))*(VLOOKUP($B$5,标准坦克设计!$B$24:$U$30,MATCH("对"&amp;LEFT($C$5,2)&amp;"输出",标准坦克设计!$B$23:$U$23,0)))*(VLOOKUP($B231,INDIRECT($B$5&amp;"生成成长"),3))*(VLOOKUP($B$5,标准坦克设计!$B$14:$K$20,9)/30))</f>
        <v>7.659960800825016</v>
      </c>
      <c r="FD231" s="172">
        <f ca="1">(VLOOKUP(FD$72,INDIRECT($C$5&amp;"生成成长"),2))/((VLOOKUP($B231,INDIRECT($B$5&amp;"生成成长"),4))/(VLOOKUP(FD$72,INDIRECT($C$5&amp;"生成成长"),5))*(VLOOKUP($B$5,标准坦克设计!$B$24:$U$30,MATCH("对"&amp;LEFT($C$5,2)&amp;"输出",标准坦克设计!$B$23:$U$23,0)))*(VLOOKUP($B231,INDIRECT($B$5&amp;"生成成长"),3))*(VLOOKUP($B$5,标准坦克设计!$B$14:$K$20,9)/30))</f>
        <v>8.1098508808236094</v>
      </c>
      <c r="FE231" s="172">
        <f ca="1">(VLOOKUP(FE$72,INDIRECT($C$5&amp;"生成成长"),2))/((VLOOKUP($B231,INDIRECT($B$5&amp;"生成成长"),4))/(VLOOKUP(FE$72,INDIRECT($C$5&amp;"生成成长"),5))*(VLOOKUP($B$5,标准坦克设计!$B$24:$U$30,MATCH("对"&amp;LEFT($C$5,2)&amp;"输出",标准坦克设计!$B$23:$U$23,0)))*(VLOOKUP($B231,INDIRECT($B$5&amp;"生成成长"),3))*(VLOOKUP($B$5,标准坦克设计!$B$14:$K$20,9)/30))</f>
        <v>8.6580897650100805</v>
      </c>
      <c r="FF231" s="172">
        <f ca="1">(VLOOKUP(FF$72,INDIRECT($C$5&amp;"生成成长"),2))/((VLOOKUP($B231,INDIRECT($B$5&amp;"生成成长"),4))/(VLOOKUP(FF$72,INDIRECT($C$5&amp;"生成成长"),5))*(VLOOKUP($B$5,标准坦克设计!$B$24:$U$30,MATCH("对"&amp;LEFT($C$5,2)&amp;"输出",标准坦克设计!$B$23:$U$23,0)))*(VLOOKUP($B231,INDIRECT($B$5&amp;"生成成长"),3))*(VLOOKUP($B$5,标准坦克设计!$B$14:$K$20,9)/30))</f>
        <v>9.2242584743397593</v>
      </c>
      <c r="FG231" s="172">
        <f ca="1">(VLOOKUP(FG$72,INDIRECT($C$5&amp;"生成成长"),2))/((VLOOKUP($B231,INDIRECT($B$5&amp;"生成成长"),4))/(VLOOKUP(FG$72,INDIRECT($C$5&amp;"生成成长"),5))*(VLOOKUP($B$5,标准坦克设计!$B$24:$U$30,MATCH("对"&amp;LEFT($C$5,2)&amp;"输出",标准坦克设计!$B$23:$U$23,0)))*(VLOOKUP($B231,INDIRECT($B$5&amp;"生成成长"),3))*(VLOOKUP($B$5,标准坦克设计!$B$14:$K$20,9)/30))</f>
        <v>9.8083570088126422</v>
      </c>
      <c r="FH231" s="172">
        <f ca="1">(VLOOKUP(FH$72,INDIRECT($C$5&amp;"生成成长"),2))/((VLOOKUP($B231,INDIRECT($B$5&amp;"生成成长"),4))/(VLOOKUP(FH$72,INDIRECT($C$5&amp;"生成成长"),5))*(VLOOKUP($B$5,标准坦克设计!$B$24:$U$30,MATCH("对"&amp;LEFT($C$5,2)&amp;"输出",标准坦克设计!$B$23:$U$23,0)))*(VLOOKUP($B231,INDIRECT($B$5&amp;"生成成长"),3))*(VLOOKUP($B$5,标准坦克设计!$B$14:$K$20,9)/30))</f>
        <v>10.410385368428729</v>
      </c>
      <c r="FI231" s="172">
        <f ca="1">(VLOOKUP(FI$72,INDIRECT($C$5&amp;"生成成长"),2))/((VLOOKUP($B231,INDIRECT($B$5&amp;"生成成长"),4))/(VLOOKUP(FI$72,INDIRECT($C$5&amp;"生成成长"),5))*(VLOOKUP($B$5,标准坦克设计!$B$24:$U$30,MATCH("对"&amp;LEFT($C$5,2)&amp;"输出",标准坦克设计!$B$23:$U$23,0)))*(VLOOKUP($B231,INDIRECT($B$5&amp;"生成成长"),3))*(VLOOKUP($B$5,标准坦克设计!$B$14:$K$20,9)/30))</f>
        <v>11.030343553188022</v>
      </c>
      <c r="FJ231" s="172">
        <f ca="1">(VLOOKUP(FJ$72,INDIRECT($C$5&amp;"生成成长"),2))/((VLOOKUP($B231,INDIRECT($B$5&amp;"生成成长"),4))/(VLOOKUP(FJ$72,INDIRECT($C$5&amp;"生成成长"),5))*(VLOOKUP($B$5,标准坦克设计!$B$24:$U$30,MATCH("对"&amp;LEFT($C$5,2)&amp;"输出",标准坦克设计!$B$23:$U$23,0)))*(VLOOKUP($B231,INDIRECT($B$5&amp;"生成成长"),3))*(VLOOKUP($B$5,标准坦克设计!$B$14:$K$20,9)/30))</f>
        <v>11.66823156309052</v>
      </c>
      <c r="FK231" s="172">
        <f ca="1">(VLOOKUP(FK$72,INDIRECT($C$5&amp;"生成成长"),2))/((VLOOKUP($B231,INDIRECT($B$5&amp;"生成成长"),4))/(VLOOKUP(FK$72,INDIRECT($C$5&amp;"生成成长"),5))*(VLOOKUP($B$5,标准坦克设计!$B$24:$U$30,MATCH("对"&amp;LEFT($C$5,2)&amp;"输出",标准坦克设计!$B$23:$U$23,0)))*(VLOOKUP($B231,INDIRECT($B$5&amp;"生成成长"),3))*(VLOOKUP($B$5,标准坦克设计!$B$14:$K$20,9)/30))</f>
        <v>12.324049398136227</v>
      </c>
    </row>
    <row r="232" spans="1:167" x14ac:dyDescent="0.15">
      <c r="A232" s="170" t="str">
        <f t="shared" si="13"/>
        <v>T5高品质16级</v>
      </c>
      <c r="B232" s="171">
        <v>30516</v>
      </c>
      <c r="C232" s="172">
        <f ca="1">(VLOOKUP(C$72,INDIRECT($C$5&amp;"生成成长"),2))/((VLOOKUP($B232,INDIRECT($B$5&amp;"生成成长"),4))/(VLOOKUP(C$72,INDIRECT($C$5&amp;"生成成长"),5))*(VLOOKUP($B$5,标准坦克设计!$B$24:$U$30,MATCH("对"&amp;LEFT($C$5,2)&amp;"输出",标准坦克设计!$B$23:$U$23,0)))*(VLOOKUP($B232,INDIRECT($B$5&amp;"生成成长"),3))*(VLOOKUP($B$5,标准坦克设计!$B$14:$K$20,9)/30))</f>
        <v>0.49835716032092886</v>
      </c>
      <c r="D232" s="172">
        <f ca="1">(VLOOKUP(D$72,INDIRECT($C$5&amp;"生成成长"),2))/((VLOOKUP($B232,INDIRECT($B$5&amp;"生成成长"),4))/(VLOOKUP(D$72,INDIRECT($C$5&amp;"生成成长"),5))*(VLOOKUP($B$5,标准坦克设计!$B$24:$U$30,MATCH("对"&amp;LEFT($C$5,2)&amp;"输出",标准坦克设计!$B$23:$U$23,0)))*(VLOOKUP($B232,INDIRECT($B$5&amp;"生成成长"),3))*(VLOOKUP($B$5,标准坦克设计!$B$14:$K$20,9)/30))</f>
        <v>0.55995410533659562</v>
      </c>
      <c r="E232" s="172">
        <f ca="1">(VLOOKUP(E$72,INDIRECT($C$5&amp;"生成成长"),2))/((VLOOKUP($B232,INDIRECT($B$5&amp;"生成成长"),4))/(VLOOKUP(E$72,INDIRECT($C$5&amp;"生成成长"),5))*(VLOOKUP($B$5,标准坦克设计!$B$24:$U$30,MATCH("对"&amp;LEFT($C$5,2)&amp;"输出",标准坦克设计!$B$23:$U$23,0)))*(VLOOKUP($B232,INDIRECT($B$5&amp;"生成成长"),3))*(VLOOKUP($B$5,标准坦克设计!$B$14:$K$20,9)/30))</f>
        <v>0.62513922190657312</v>
      </c>
      <c r="F232" s="172">
        <f ca="1">(VLOOKUP(F$72,INDIRECT($C$5&amp;"生成成长"),2))/((VLOOKUP($B232,INDIRECT($B$5&amp;"生成成长"),4))/(VLOOKUP(F$72,INDIRECT($C$5&amp;"生成成长"),5))*(VLOOKUP($B$5,标准坦克设计!$B$24:$U$30,MATCH("对"&amp;LEFT($C$5,2)&amp;"输出",标准坦克设计!$B$23:$U$23,0)))*(VLOOKUP($B232,INDIRECT($B$5&amp;"生成成长"),3))*(VLOOKUP($B$5,标准坦克设计!$B$14:$K$20,9)/30))</f>
        <v>0.6939125100308613</v>
      </c>
      <c r="G232" s="172">
        <f ca="1">(VLOOKUP(G$72,INDIRECT($C$5&amp;"生成成长"),2))/((VLOOKUP($B232,INDIRECT($B$5&amp;"生成成长"),4))/(VLOOKUP(G$72,INDIRECT($C$5&amp;"生成成长"),5))*(VLOOKUP($B$5,标准坦克设计!$B$24:$U$30,MATCH("对"&amp;LEFT($C$5,2)&amp;"输出",标准坦克设计!$B$23:$U$23,0)))*(VLOOKUP($B232,INDIRECT($B$5&amp;"生成成长"),3))*(VLOOKUP($B$5,标准坦克设计!$B$14:$K$20,9)/30))</f>
        <v>0.76627396970946027</v>
      </c>
      <c r="H232" s="172">
        <f ca="1">(VLOOKUP(H$72,INDIRECT($C$5&amp;"生成成长"),2))/((VLOOKUP($B232,INDIRECT($B$5&amp;"生成成长"),4))/(VLOOKUP(H$72,INDIRECT($C$5&amp;"生成成长"),5))*(VLOOKUP($B$5,标准坦克设计!$B$24:$U$30,MATCH("对"&amp;LEFT($C$5,2)&amp;"输出",标准坦克设计!$B$23:$U$23,0)))*(VLOOKUP($B232,INDIRECT($B$5&amp;"生成成长"),3))*(VLOOKUP($B$5,标准坦克设计!$B$14:$K$20,9)/30))</f>
        <v>0.67058939492784198</v>
      </c>
      <c r="I232" s="172">
        <f ca="1">(VLOOKUP(I$72,INDIRECT($C$5&amp;"生成成长"),2))/((VLOOKUP($B232,INDIRECT($B$5&amp;"生成成长"),4))/(VLOOKUP(I$72,INDIRECT($C$5&amp;"生成成长"),5))*(VLOOKUP($B$5,标准坦克设计!$B$24:$U$30,MATCH("对"&amp;LEFT($C$5,2)&amp;"输出",标准坦克设计!$B$23:$U$23,0)))*(VLOOKUP($B232,INDIRECT($B$5&amp;"生成成长"),3))*(VLOOKUP($B$5,标准坦克设计!$B$14:$K$20,9)/30))</f>
        <v>0.76627396970946027</v>
      </c>
      <c r="J232" s="172">
        <f ca="1">(VLOOKUP(J$72,INDIRECT($C$5&amp;"生成成长"),2))/((VLOOKUP($B232,INDIRECT($B$5&amp;"生成成长"),4))/(VLOOKUP(J$72,INDIRECT($C$5&amp;"生成成长"),5))*(VLOOKUP($B$5,标准坦克设计!$B$24:$U$30,MATCH("对"&amp;LEFT($C$5,2)&amp;"输出",标准坦克设计!$B$23:$U$23,0)))*(VLOOKUP($B232,INDIRECT($B$5&amp;"生成成长"),3))*(VLOOKUP($B$5,标准坦克设计!$B$14:$K$20,9)/30))</f>
        <v>0.86833751614318655</v>
      </c>
      <c r="K232" s="172">
        <f ca="1">(VLOOKUP(K$72,INDIRECT($C$5&amp;"生成成长"),2))/((VLOOKUP($B232,INDIRECT($B$5&amp;"生成成长"),4))/(VLOOKUP(K$72,INDIRECT($C$5&amp;"生成成长"),5))*(VLOOKUP($B$5,标准坦克设计!$B$24:$U$30,MATCH("对"&amp;LEFT($C$5,2)&amp;"输出",标准坦克设计!$B$23:$U$23,0)))*(VLOOKUP($B232,INDIRECT($B$5&amp;"生成成长"),3))*(VLOOKUP($B$5,标准坦克设计!$B$14:$K$20,9)/30))</f>
        <v>0.97678003422902049</v>
      </c>
      <c r="L232" s="172">
        <f ca="1">(VLOOKUP(L$72,INDIRECT($C$5&amp;"生成成长"),2))/((VLOOKUP($B232,INDIRECT($B$5&amp;"生成成长"),4))/(VLOOKUP(L$72,INDIRECT($C$5&amp;"生成成长"),5))*(VLOOKUP($B$5,标准坦克设计!$B$24:$U$30,MATCH("对"&amp;LEFT($C$5,2)&amp;"输出",标准坦克设计!$B$23:$U$23,0)))*(VLOOKUP($B232,INDIRECT($B$5&amp;"生成成长"),3))*(VLOOKUP($B$5,标准坦克设计!$B$14:$K$20,9)/30))</f>
        <v>1.0916015239669625</v>
      </c>
      <c r="M232" s="172">
        <f ca="1">(VLOOKUP(M$72,INDIRECT($C$5&amp;"生成成长"),2))/((VLOOKUP($B232,INDIRECT($B$5&amp;"生成成长"),4))/(VLOOKUP(M$72,INDIRECT($C$5&amp;"生成成长"),5))*(VLOOKUP($B$5,标准坦克设计!$B$24:$U$30,MATCH("对"&amp;LEFT($C$5,2)&amp;"输出",标准坦克设计!$B$23:$U$23,0)))*(VLOOKUP($B232,INDIRECT($B$5&amp;"生成成长"),3))*(VLOOKUP($B$5,标准坦克设计!$B$14:$K$20,9)/30))</f>
        <v>1.2128019853570127</v>
      </c>
      <c r="N232" s="172">
        <f ca="1">(VLOOKUP(N$72,INDIRECT($C$5&amp;"生成成长"),2))/((VLOOKUP($B232,INDIRECT($B$5&amp;"生成成长"),4))/(VLOOKUP(N$72,INDIRECT($C$5&amp;"生成成长"),5))*(VLOOKUP($B$5,标准坦克设计!$B$24:$U$30,MATCH("对"&amp;LEFT($C$5,2)&amp;"输出",标准坦克设计!$B$23:$U$23,0)))*(VLOOKUP($B232,INDIRECT($B$5&amp;"生成成长"),3))*(VLOOKUP($B$5,标准坦克设计!$B$14:$K$20,9)/30))</f>
        <v>1.3403814183991702</v>
      </c>
      <c r="O232" s="172">
        <f ca="1">(VLOOKUP(O$72,INDIRECT($C$5&amp;"生成成长"),2))/((VLOOKUP($B232,INDIRECT($B$5&amp;"生成成长"),4))/(VLOOKUP(O$72,INDIRECT($C$5&amp;"生成成长"),5))*(VLOOKUP($B$5,标准坦克设计!$B$24:$U$30,MATCH("对"&amp;LEFT($C$5,2)&amp;"输出",标准坦克设计!$B$23:$U$23,0)))*(VLOOKUP($B232,INDIRECT($B$5&amp;"生成成长"),3))*(VLOOKUP($B$5,标准坦克设计!$B$14:$K$20,9)/30))</f>
        <v>1.0190905571402675</v>
      </c>
      <c r="P232" s="172">
        <f ca="1">(VLOOKUP(P$72,INDIRECT($C$5&amp;"生成成长"),2))/((VLOOKUP($B232,INDIRECT($B$5&amp;"生成成长"),4))/(VLOOKUP(P$72,INDIRECT($C$5&amp;"生成成长"),5))*(VLOOKUP($B$5,标准坦克设计!$B$24:$U$30,MATCH("对"&amp;LEFT($C$5,2)&amp;"输出",标准坦克设计!$B$23:$U$23,0)))*(VLOOKUP($B232,INDIRECT($B$5&amp;"生成成长"),3))*(VLOOKUP($B$5,标准坦克设计!$B$14:$K$20,9)/30))</f>
        <v>1.1514043832054743</v>
      </c>
      <c r="Q232" s="172">
        <f ca="1">(VLOOKUP(Q$72,INDIRECT($C$5&amp;"生成成长"),2))/((VLOOKUP($B232,INDIRECT($B$5&amp;"生成成长"),4))/(VLOOKUP(Q$72,INDIRECT($C$5&amp;"生成成长"),5))*(VLOOKUP($B$5,标准坦克设计!$B$24:$U$30,MATCH("对"&amp;LEFT($C$5,2)&amp;"输出",标准坦克设计!$B$23:$U$23,0)))*(VLOOKUP($B232,INDIRECT($B$5&amp;"生成成长"),3))*(VLOOKUP($B$5,标准坦克设计!$B$14:$K$20,9)/30))</f>
        <v>1.2917915952678796</v>
      </c>
      <c r="R232" s="172">
        <f ca="1">(VLOOKUP(R$72,INDIRECT($C$5&amp;"生成成长"),2))/((VLOOKUP($B232,INDIRECT($B$5&amp;"生成成长"),4))/(VLOOKUP(R$72,INDIRECT($C$5&amp;"生成成长"),5))*(VLOOKUP($B$5,标准坦克设计!$B$24:$U$30,MATCH("对"&amp;LEFT($C$5,2)&amp;"输出",标准坦克设计!$B$23:$U$23,0)))*(VLOOKUP($B232,INDIRECT($B$5&amp;"生成成长"),3))*(VLOOKUP($B$5,标准坦克设计!$B$14:$K$20,9)/30))</f>
        <v>1.4402521933274843</v>
      </c>
      <c r="S232" s="172">
        <f ca="1">(VLOOKUP(S$72,INDIRECT($C$5&amp;"生成成长"),2))/((VLOOKUP($B232,INDIRECT($B$5&amp;"生成成长"),4))/(VLOOKUP(S$72,INDIRECT($C$5&amp;"生成成长"),5))*(VLOOKUP($B$5,标准坦克设计!$B$24:$U$30,MATCH("对"&amp;LEFT($C$5,2)&amp;"输出",标准坦克设计!$B$23:$U$23,0)))*(VLOOKUP($B232,INDIRECT($B$5&amp;"生成成长"),3))*(VLOOKUP($B$5,标准坦克设计!$B$14:$K$20,9)/30))</f>
        <v>1.5967861773842882</v>
      </c>
      <c r="T232" s="172">
        <f ca="1">(VLOOKUP(T$72,INDIRECT($C$5&amp;"生成成长"),2))/((VLOOKUP($B232,INDIRECT($B$5&amp;"生成成长"),4))/(VLOOKUP(T$72,INDIRECT($C$5&amp;"生成成长"),5))*(VLOOKUP($B$5,标准坦克设计!$B$24:$U$30,MATCH("对"&amp;LEFT($C$5,2)&amp;"输出",标准坦克设计!$B$23:$U$23,0)))*(VLOOKUP($B232,INDIRECT($B$5&amp;"生成成长"),3))*(VLOOKUP($B$5,标准坦克设计!$B$14:$K$20,9)/30))</f>
        <v>1.7613935474382911</v>
      </c>
      <c r="U232" s="172">
        <f ca="1">(VLOOKUP(U$72,INDIRECT($C$5&amp;"生成成长"),2))/((VLOOKUP($B232,INDIRECT($B$5&amp;"生成成长"),4))/(VLOOKUP(U$72,INDIRECT($C$5&amp;"生成成长"),5))*(VLOOKUP($B$5,标准坦克设计!$B$24:$U$30,MATCH("对"&amp;LEFT($C$5,2)&amp;"输出",标准坦克设计!$B$23:$U$23,0)))*(VLOOKUP($B232,INDIRECT($B$5&amp;"生成成长"),3))*(VLOOKUP($B$5,标准坦克设计!$B$14:$K$20,9)/30))</f>
        <v>1.9340743034894929</v>
      </c>
      <c r="V232" s="172">
        <f ca="1">(VLOOKUP(V$72,INDIRECT($C$5&amp;"生成成长"),2))/((VLOOKUP($B232,INDIRECT($B$5&amp;"生成成长"),4))/(VLOOKUP(V$72,INDIRECT($C$5&amp;"生成成长"),5))*(VLOOKUP($B$5,标准坦克设计!$B$24:$U$30,MATCH("对"&amp;LEFT($C$5,2)&amp;"输出",标准坦克设计!$B$23:$U$23,0)))*(VLOOKUP($B232,INDIRECT($B$5&amp;"生成成长"),3))*(VLOOKUP($B$5,标准坦克设计!$B$14:$K$20,9)/30))</f>
        <v>2.1148284455378934</v>
      </c>
      <c r="W232" s="172">
        <f ca="1">(VLOOKUP(W$72,INDIRECT($C$5&amp;"生成成长"),2))/((VLOOKUP($B232,INDIRECT($B$5&amp;"生成成长"),4))/(VLOOKUP(W$72,INDIRECT($C$5&amp;"生成成长"),5))*(VLOOKUP($B$5,标准坦克设计!$B$24:$U$30,MATCH("对"&amp;LEFT($C$5,2)&amp;"输出",标准坦克设计!$B$23:$U$23,0)))*(VLOOKUP($B232,INDIRECT($B$5&amp;"生成成长"),3))*(VLOOKUP($B$5,标准坦克设计!$B$14:$K$20,9)/30))</f>
        <v>2.3036559735834934</v>
      </c>
      <c r="X232" s="172">
        <f ca="1">(VLOOKUP(X$72,INDIRECT($C$5&amp;"生成成长"),2))/((VLOOKUP($B232,INDIRECT($B$5&amp;"生成成长"),4))/(VLOOKUP(X$72,INDIRECT($C$5&amp;"生成成长"),5))*(VLOOKUP($B$5,标准坦克设计!$B$24:$U$30,MATCH("对"&amp;LEFT($C$5,2)&amp;"输出",标准坦克设计!$B$23:$U$23,0)))*(VLOOKUP($B232,INDIRECT($B$5&amp;"生成成长"),3))*(VLOOKUP($B$5,标准坦克设计!$B$14:$K$20,9)/30))</f>
        <v>1.6689482941987583</v>
      </c>
      <c r="Y232" s="172">
        <f ca="1">(VLOOKUP(Y$72,INDIRECT($C$5&amp;"生成成长"),2))/((VLOOKUP($B232,INDIRECT($B$5&amp;"生成成长"),4))/(VLOOKUP(Y$72,INDIRECT($C$5&amp;"生成成长"),5))*(VLOOKUP($B$5,标准坦克设计!$B$24:$U$30,MATCH("对"&amp;LEFT($C$5,2)&amp;"输出",标准坦克设计!$B$23:$U$23,0)))*(VLOOKUP($B232,INDIRECT($B$5&amp;"生成成长"),3))*(VLOOKUP($B$5,标准坦克设计!$B$14:$K$20,9)/30))</f>
        <v>1.8563305864794277</v>
      </c>
      <c r="Z232" s="172">
        <f ca="1">(VLOOKUP(Z$72,INDIRECT($C$5&amp;"生成成长"),2))/((VLOOKUP($B232,INDIRECT($B$5&amp;"生成成长"),4))/(VLOOKUP(Z$72,INDIRECT($C$5&amp;"生成成长"),5))*(VLOOKUP($B$5,标准坦克设计!$B$24:$U$30,MATCH("对"&amp;LEFT($C$5,2)&amp;"输出",标准坦克设计!$B$23:$U$23,0)))*(VLOOKUP($B232,INDIRECT($B$5&amp;"生成成长"),3))*(VLOOKUP($B$5,标准坦克设计!$B$14:$K$20,9)/30))</f>
        <v>2.0536800219665161</v>
      </c>
      <c r="AA232" s="172">
        <f ca="1">(VLOOKUP(AA$72,INDIRECT($C$5&amp;"生成成长"),2))/((VLOOKUP($B232,INDIRECT($B$5&amp;"生成成长"),4))/(VLOOKUP(AA$72,INDIRECT($C$5&amp;"生成成长"),5))*(VLOOKUP($B$5,标准坦克设计!$B$24:$U$30,MATCH("对"&amp;LEFT($C$5,2)&amp;"输出",标准坦克设计!$B$23:$U$23,0)))*(VLOOKUP($B232,INDIRECT($B$5&amp;"生成成长"),3))*(VLOOKUP($B$5,标准坦克设计!$B$14:$K$20,9)/30))</f>
        <v>2.2609966006600222</v>
      </c>
      <c r="AB232" s="172">
        <f ca="1">(VLOOKUP(AB$72,INDIRECT($C$5&amp;"生成成长"),2))/((VLOOKUP($B232,INDIRECT($B$5&amp;"生成成长"),4))/(VLOOKUP(AB$72,INDIRECT($C$5&amp;"生成成长"),5))*(VLOOKUP($B$5,标准坦克设计!$B$24:$U$30,MATCH("对"&amp;LEFT($C$5,2)&amp;"输出",标准坦克设计!$B$23:$U$23,0)))*(VLOOKUP($B232,INDIRECT($B$5&amp;"生成成长"),3))*(VLOOKUP($B$5,标准坦克设计!$B$14:$K$20,9)/30))</f>
        <v>2.4782803225599466</v>
      </c>
      <c r="AC232" s="172">
        <f ca="1">(VLOOKUP(AC$72,INDIRECT($C$5&amp;"生成成长"),2))/((VLOOKUP($B232,INDIRECT($B$5&amp;"生成成长"),4))/(VLOOKUP(AC$72,INDIRECT($C$5&amp;"生成成长"),5))*(VLOOKUP($B$5,标准坦克设计!$B$24:$U$30,MATCH("对"&amp;LEFT($C$5,2)&amp;"输出",标准坦克设计!$B$23:$U$23,0)))*(VLOOKUP($B232,INDIRECT($B$5&amp;"生成成长"),3))*(VLOOKUP($B$5,标准坦克设计!$B$14:$K$20,9)/30))</f>
        <v>2.7055311876662906</v>
      </c>
      <c r="AD232" s="172">
        <f ca="1">(VLOOKUP(AD$72,INDIRECT($C$5&amp;"生成成长"),2))/((VLOOKUP($B232,INDIRECT($B$5&amp;"生成成长"),4))/(VLOOKUP(AD$72,INDIRECT($C$5&amp;"生成成长"),5))*(VLOOKUP($B$5,标准坦克设计!$B$24:$U$30,MATCH("对"&amp;LEFT($C$5,2)&amp;"输出",标准坦克设计!$B$23:$U$23,0)))*(VLOOKUP($B232,INDIRECT($B$5&amp;"生成成长"),3))*(VLOOKUP($B$5,标准坦克设计!$B$14:$K$20,9)/30))</f>
        <v>2.9427491959790522</v>
      </c>
      <c r="AE232" s="172">
        <f ca="1">(VLOOKUP(AE$72,INDIRECT($C$5&amp;"生成成长"),2))/((VLOOKUP($B232,INDIRECT($B$5&amp;"生成成长"),4))/(VLOOKUP(AE$72,INDIRECT($C$5&amp;"生成成长"),5))*(VLOOKUP($B$5,标准坦克设计!$B$24:$U$30,MATCH("对"&amp;LEFT($C$5,2)&amp;"输出",标准坦克设计!$B$23:$U$23,0)))*(VLOOKUP($B232,INDIRECT($B$5&amp;"生成成长"),3))*(VLOOKUP($B$5,标准坦克设计!$B$14:$K$20,9)/30))</f>
        <v>3.1899343474982338</v>
      </c>
      <c r="AF232" s="172">
        <f ca="1">(VLOOKUP(AF$72,INDIRECT($C$5&amp;"生成成长"),2))/((VLOOKUP($B232,INDIRECT($B$5&amp;"生成成长"),4))/(VLOOKUP(AF$72,INDIRECT($C$5&amp;"生成成长"),5))*(VLOOKUP($B$5,标准坦克设计!$B$24:$U$30,MATCH("对"&amp;LEFT($C$5,2)&amp;"输出",标准坦克设计!$B$23:$U$23,0)))*(VLOOKUP($B232,INDIRECT($B$5&amp;"生成成长"),3))*(VLOOKUP($B$5,标准坦克设计!$B$14:$K$20,9)/30))</f>
        <v>3.4470866422238324</v>
      </c>
      <c r="AG232" s="172">
        <f ca="1">(VLOOKUP(AG$72,INDIRECT($C$5&amp;"生成成长"),2))/((VLOOKUP($B232,INDIRECT($B$5&amp;"生成成长"),4))/(VLOOKUP(AG$72,INDIRECT($C$5&amp;"生成成长"),5))*(VLOOKUP($B$5,标准坦克设计!$B$24:$U$30,MATCH("对"&amp;LEFT($C$5,2)&amp;"输出",标准坦克设计!$B$23:$U$23,0)))*(VLOOKUP($B232,INDIRECT($B$5&amp;"生成成长"),3))*(VLOOKUP($B$5,标准坦克设计!$B$14:$K$20,9)/30))</f>
        <v>3.7142060801558507</v>
      </c>
      <c r="AH232" s="172">
        <f ca="1">(VLOOKUP(AH$72,INDIRECT($C$5&amp;"生成成长"),2))/((VLOOKUP($B232,INDIRECT($B$5&amp;"生成成长"),4))/(VLOOKUP(AH$72,INDIRECT($C$5&amp;"生成成长"),5))*(VLOOKUP($B$5,标准坦克设计!$B$24:$U$30,MATCH("对"&amp;LEFT($C$5,2)&amp;"输出",标准坦克设计!$B$23:$U$23,0)))*(VLOOKUP($B232,INDIRECT($B$5&amp;"生成成长"),3))*(VLOOKUP($B$5,标准坦克设计!$B$14:$K$20,9)/30))</f>
        <v>3.9912926612942869</v>
      </c>
      <c r="AI232" s="172">
        <f ca="1">(VLOOKUP(AI$72,INDIRECT($C$5&amp;"生成成长"),2))/((VLOOKUP($B232,INDIRECT($B$5&amp;"生成成长"),4))/(VLOOKUP(AI$72,INDIRECT($C$5&amp;"生成成长"),5))*(VLOOKUP($B$5,标准坦克设计!$B$24:$U$30,MATCH("对"&amp;LEFT($C$5,2)&amp;"输出",标准坦克设计!$B$23:$U$23,0)))*(VLOOKUP($B232,INDIRECT($B$5&amp;"生成成长"),3))*(VLOOKUP($B$5,标准坦克设计!$B$14:$K$20,9)/30))</f>
        <v>2.8228942989218697</v>
      </c>
      <c r="AJ232" s="172">
        <f ca="1">(VLOOKUP(AJ$72,INDIRECT($C$5&amp;"生成成长"),2))/((VLOOKUP($B232,INDIRECT($B$5&amp;"生成成长"),4))/(VLOOKUP(AJ$72,INDIRECT($C$5&amp;"生成成长"),5))*(VLOOKUP($B$5,标准坦克设计!$B$24:$U$30,MATCH("对"&amp;LEFT($C$5,2)&amp;"输出",标准坦克设计!$B$23:$U$23,0)))*(VLOOKUP($B232,INDIRECT($B$5&amp;"生成成长"),3))*(VLOOKUP($B$5,标准坦克设计!$B$14:$K$20,9)/30))</f>
        <v>3.0898642297057912</v>
      </c>
      <c r="AK232" s="172">
        <f ca="1">(VLOOKUP(AK$72,INDIRECT($C$5&amp;"生成成长"),2))/((VLOOKUP($B232,INDIRECT($B$5&amp;"生成成长"),4))/(VLOOKUP(AK$72,INDIRECT($C$5&amp;"生成成长"),5))*(VLOOKUP($B$5,标准坦克设计!$B$24:$U$30,MATCH("对"&amp;LEFT($C$5,2)&amp;"输出",标准坦克设计!$B$23:$U$23,0)))*(VLOOKUP($B232,INDIRECT($B$5&amp;"生成成长"),3))*(VLOOKUP($B$5,标准坦克设计!$B$14:$K$20,9)/30))</f>
        <v>3.3688944037694788</v>
      </c>
      <c r="AL232" s="172">
        <f ca="1">(VLOOKUP(AL$72,INDIRECT($C$5&amp;"生成成长"),2))/((VLOOKUP($B232,INDIRECT($B$5&amp;"生成成长"),4))/(VLOOKUP(AL$72,INDIRECT($C$5&amp;"生成成长"),5))*(VLOOKUP($B$5,标准坦克设计!$B$24:$U$30,MATCH("对"&amp;LEFT($C$5,2)&amp;"输出",标准坦克设计!$B$23:$U$23,0)))*(VLOOKUP($B232,INDIRECT($B$5&amp;"生成成长"),3))*(VLOOKUP($B$5,标准坦克设计!$B$14:$K$20,9)/30))</f>
        <v>3.6599848211129338</v>
      </c>
      <c r="AM232" s="172">
        <f ca="1">(VLOOKUP(AM$72,INDIRECT($C$5&amp;"生成成长"),2))/((VLOOKUP($B232,INDIRECT($B$5&amp;"生成成长"),4))/(VLOOKUP(AM$72,INDIRECT($C$5&amp;"生成成长"),5))*(VLOOKUP($B$5,标准坦克设计!$B$24:$U$30,MATCH("对"&amp;LEFT($C$5,2)&amp;"输出",标准坦克设计!$B$23:$U$23,0)))*(VLOOKUP($B232,INDIRECT($B$5&amp;"生成成长"),3))*(VLOOKUP($B$5,标准坦克设计!$B$14:$K$20,9)/30))</f>
        <v>3.9631354817361539</v>
      </c>
      <c r="AN232" s="172">
        <f ca="1">(VLOOKUP(AN$72,INDIRECT($C$5&amp;"生成成长"),2))/((VLOOKUP($B232,INDIRECT($B$5&amp;"生成成长"),4))/(VLOOKUP(AN$72,INDIRECT($C$5&amp;"生成成长"),5))*(VLOOKUP($B$5,标准坦克设计!$B$24:$U$30,MATCH("对"&amp;LEFT($C$5,2)&amp;"输出",标准坦克设计!$B$23:$U$23,0)))*(VLOOKUP($B232,INDIRECT($B$5&amp;"生成成长"),3))*(VLOOKUP($B$5,标准坦克设计!$B$14:$K$20,9)/30))</f>
        <v>4.2783463856391428</v>
      </c>
      <c r="AO232" s="172">
        <f ca="1">(VLOOKUP(AO$72,INDIRECT($C$5&amp;"生成成长"),2))/((VLOOKUP($B232,INDIRECT($B$5&amp;"生成成长"),4))/(VLOOKUP(AO$72,INDIRECT($C$5&amp;"生成成长"),5))*(VLOOKUP($B$5,标准坦克设计!$B$24:$U$30,MATCH("对"&amp;LEFT($C$5,2)&amp;"输出",标准坦克设计!$B$23:$U$23,0)))*(VLOOKUP($B232,INDIRECT($B$5&amp;"生成成长"),3))*(VLOOKUP($B$5,标准坦克设计!$B$14:$K$20,9)/30))</f>
        <v>4.6056175328218973</v>
      </c>
      <c r="AP232" s="172">
        <f ca="1">(VLOOKUP(AP$72,INDIRECT($C$5&amp;"生成成长"),2))/((VLOOKUP($B232,INDIRECT($B$5&amp;"生成成长"),4))/(VLOOKUP(AP$72,INDIRECT($C$5&amp;"生成成长"),5))*(VLOOKUP($B$5,标准坦克设计!$B$24:$U$30,MATCH("对"&amp;LEFT($C$5,2)&amp;"输出",标准坦克设计!$B$23:$U$23,0)))*(VLOOKUP($B232,INDIRECT($B$5&amp;"生成成长"),3))*(VLOOKUP($B$5,标准坦克设计!$B$14:$K$20,9)/30))</f>
        <v>4.944948923284417</v>
      </c>
      <c r="AQ232" s="172">
        <f ca="1">(VLOOKUP(AQ$72,INDIRECT($C$5&amp;"生成成长"),2))/((VLOOKUP($B232,INDIRECT($B$5&amp;"生成成长"),4))/(VLOOKUP(AQ$72,INDIRECT($C$5&amp;"生成成长"),5))*(VLOOKUP($B$5,标准坦克设计!$B$24:$U$30,MATCH("对"&amp;LEFT($C$5,2)&amp;"输出",标准坦克设计!$B$23:$U$23,0)))*(VLOOKUP($B232,INDIRECT($B$5&amp;"生成成长"),3))*(VLOOKUP($B$5,标准坦克设计!$B$14:$K$20,9)/30))</f>
        <v>5.2963405570267037</v>
      </c>
      <c r="AR232" s="172">
        <f ca="1">(VLOOKUP(AR$72,INDIRECT($C$5&amp;"生成成长"),2))/((VLOOKUP($B232,INDIRECT($B$5&amp;"生成成长"),4))/(VLOOKUP(AR$72,INDIRECT($C$5&amp;"生成成长"),5))*(VLOOKUP($B$5,标准坦克设计!$B$24:$U$30,MATCH("对"&amp;LEFT($C$5,2)&amp;"输出",标准坦克设计!$B$23:$U$23,0)))*(VLOOKUP($B232,INDIRECT($B$5&amp;"生成成长"),3))*(VLOOKUP($B$5,标准坦克设计!$B$14:$K$20,9)/30))</f>
        <v>5.6597924340487573</v>
      </c>
      <c r="AS232" s="172">
        <f ca="1">(VLOOKUP(AS$72,INDIRECT($C$5&amp;"生成成长"),2))/((VLOOKUP($B232,INDIRECT($B$5&amp;"生成成长"),4))/(VLOOKUP(AS$72,INDIRECT($C$5&amp;"生成成长"),5))*(VLOOKUP($B$5,标准坦克设计!$B$24:$U$30,MATCH("对"&amp;LEFT($C$5,2)&amp;"输出",标准坦克设计!$B$23:$U$23,0)))*(VLOOKUP($B232,INDIRECT($B$5&amp;"生成成长"),3))*(VLOOKUP($B$5,标准坦克设计!$B$14:$K$20,9)/30))</f>
        <v>6.035304554350577</v>
      </c>
      <c r="AT232" s="172">
        <f ca="1">(VLOOKUP(AT$72,INDIRECT($C$5&amp;"生成成长"),2))/((VLOOKUP($B232,INDIRECT($B$5&amp;"生成成长"),4))/(VLOOKUP(AT$72,INDIRECT($C$5&amp;"生成成长"),5))*(VLOOKUP($B$5,标准坦克设计!$B$24:$U$30,MATCH("对"&amp;LEFT($C$5,2)&amp;"输出",标准坦克设计!$B$23:$U$23,0)))*(VLOOKUP($B232,INDIRECT($B$5&amp;"生成成长"),3))*(VLOOKUP($B$5,标准坦克设计!$B$14:$K$20,9)/30))</f>
        <v>6.4228769179321636</v>
      </c>
      <c r="AU232" s="172">
        <f ca="1">(VLOOKUP(AU$72,INDIRECT($C$5&amp;"生成成长"),2))/((VLOOKUP($B232,INDIRECT($B$5&amp;"生成成长"),4))/(VLOOKUP(AU$72,INDIRECT($C$5&amp;"生成成长"),5))*(VLOOKUP($B$5,标准坦克设计!$B$24:$U$30,MATCH("对"&amp;LEFT($C$5,2)&amp;"输出",标准坦克设计!$B$23:$U$23,0)))*(VLOOKUP($B232,INDIRECT($B$5&amp;"生成成长"),3))*(VLOOKUP($B$5,标准坦克设计!$B$14:$K$20,9)/30))</f>
        <v>6.8225095247935155</v>
      </c>
      <c r="AV232" s="172">
        <f ca="1">(VLOOKUP(AV$72,INDIRECT($C$5&amp;"生成成长"),2))/((VLOOKUP($B232,INDIRECT($B$5&amp;"生成成长"),4))/(VLOOKUP(AV$72,INDIRECT($C$5&amp;"生成成长"),5))*(VLOOKUP($B$5,标准坦克设计!$B$24:$U$30,MATCH("对"&amp;LEFT($C$5,2)&amp;"输出",标准坦克设计!$B$23:$U$23,0)))*(VLOOKUP($B232,INDIRECT($B$5&amp;"生成成长"),3))*(VLOOKUP($B$5,标准坦克设计!$B$14:$K$20,9)/30))</f>
        <v>0.6939125100308613</v>
      </c>
      <c r="AW232" s="172">
        <f ca="1">(VLOOKUP(AW$72,INDIRECT($C$5&amp;"生成成长"),2))/((VLOOKUP($B232,INDIRECT($B$5&amp;"生成成长"),4))/(VLOOKUP(AW$72,INDIRECT($C$5&amp;"生成成长"),5))*(VLOOKUP($B$5,标准坦克设计!$B$24:$U$30,MATCH("对"&amp;LEFT($C$5,2)&amp;"输出",标准坦克设计!$B$23:$U$23,0)))*(VLOOKUP($B232,INDIRECT($B$5&amp;"生成成长"),3))*(VLOOKUP($B$5,标准坦克设计!$B$14:$K$20,9)/30))</f>
        <v>0.79119182772550667</v>
      </c>
      <c r="AX232" s="172">
        <f ca="1">(VLOOKUP(AX$72,INDIRECT($C$5&amp;"生成成长"),2))/((VLOOKUP($B232,INDIRECT($B$5&amp;"生成成长"),4))/(VLOOKUP(AX$72,INDIRECT($C$5&amp;"生成成长"),5))*(VLOOKUP($B$5,标准坦克设计!$B$24:$U$30,MATCH("对"&amp;LEFT($C$5,2)&amp;"输出",标准坦克设计!$B$23:$U$23,0)))*(VLOOKUP($B232,INDIRECT($B$5&amp;"生成成长"),3))*(VLOOKUP($B$5,标准坦克设计!$B$14:$K$20,9)/30))</f>
        <v>0.89485011707225981</v>
      </c>
      <c r="AY232" s="172">
        <f ca="1">(VLOOKUP(AY$72,INDIRECT($C$5&amp;"生成成长"),2))/((VLOOKUP($B232,INDIRECT($B$5&amp;"生成成长"),4))/(VLOOKUP(AY$72,INDIRECT($C$5&amp;"生成成长"),5))*(VLOOKUP($B$5,标准坦克设计!$B$24:$U$30,MATCH("对"&amp;LEFT($C$5,2)&amp;"输出",标准坦克设计!$B$23:$U$23,0)))*(VLOOKUP($B232,INDIRECT($B$5&amp;"生成成长"),3))*(VLOOKUP($B$5,标准坦克设计!$B$14:$K$20,9)/30))</f>
        <v>1.0048873780711209</v>
      </c>
      <c r="AZ232" s="172">
        <f ca="1">(VLOOKUP(AZ$72,INDIRECT($C$5&amp;"生成成长"),2))/((VLOOKUP($B232,INDIRECT($B$5&amp;"生成成长"),4))/(VLOOKUP(AZ$72,INDIRECT($C$5&amp;"生成成长"),5))*(VLOOKUP($B$5,标准坦克设计!$B$24:$U$30,MATCH("对"&amp;LEFT($C$5,2)&amp;"输出",标准坦克设计!$B$23:$U$23,0)))*(VLOOKUP($B232,INDIRECT($B$5&amp;"生成成长"),3))*(VLOOKUP($B$5,标准坦克设计!$B$14:$K$20,9)/30))</f>
        <v>1.1213036107220902</v>
      </c>
      <c r="BA232" s="172">
        <f ca="1">(VLOOKUP(BA$72,INDIRECT($C$5&amp;"生成成长"),2))/((VLOOKUP($B232,INDIRECT($B$5&amp;"生成成长"),4))/(VLOOKUP(BA$72,INDIRECT($C$5&amp;"生成成长"),5))*(VLOOKUP($B$5,标准坦克设计!$B$24:$U$30,MATCH("对"&amp;LEFT($C$5,2)&amp;"输出",标准坦克设计!$B$23:$U$23,0)))*(VLOOKUP($B232,INDIRECT($B$5&amp;"生成成长"),3))*(VLOOKUP($B$5,标准坦克设计!$B$14:$K$20,9)/30))</f>
        <v>1.2440988150251668</v>
      </c>
      <c r="BB232" s="172">
        <f ca="1">(VLOOKUP(BB$72,INDIRECT($C$5&amp;"生成成长"),2))/((VLOOKUP($B232,INDIRECT($B$5&amp;"生成成长"),4))/(VLOOKUP(BB$72,INDIRECT($C$5&amp;"生成成长"),5))*(VLOOKUP($B$5,标准坦克设计!$B$24:$U$30,MATCH("对"&amp;LEFT($C$5,2)&amp;"输出",标准坦克设计!$B$23:$U$23,0)))*(VLOOKUP($B232,INDIRECT($B$5&amp;"生成成长"),3))*(VLOOKUP($B$5,标准坦克设计!$B$14:$K$20,9)/30))</f>
        <v>1.3732729909803516</v>
      </c>
      <c r="BC232" s="172">
        <f ca="1">(VLOOKUP(BC$72,INDIRECT($C$5&amp;"生成成长"),2))/((VLOOKUP($B232,INDIRECT($B$5&amp;"生成成长"),4))/(VLOOKUP(BC$72,INDIRECT($C$5&amp;"生成成长"),5))*(VLOOKUP($B$5,标准坦克设计!$B$24:$U$30,MATCH("对"&amp;LEFT($C$5,2)&amp;"输出",标准坦克设计!$B$23:$U$23,0)))*(VLOOKUP($B232,INDIRECT($B$5&amp;"生成成长"),3))*(VLOOKUP($B$5,标准坦克设计!$B$14:$K$20,9)/30))</f>
        <v>1.5088261385876442</v>
      </c>
      <c r="BD232" s="172">
        <f ca="1">(VLOOKUP(BD$72,INDIRECT($C$5&amp;"生成成长"),2))/((VLOOKUP($B232,INDIRECT($B$5&amp;"生成成长"),4))/(VLOOKUP(BD$72,INDIRECT($C$5&amp;"生成成长"),5))*(VLOOKUP($B$5,标准坦克设计!$B$24:$U$30,MATCH("对"&amp;LEFT($C$5,2)&amp;"输出",标准坦克设计!$B$23:$U$23,0)))*(VLOOKUP($B232,INDIRECT($B$5&amp;"生成成长"),3))*(VLOOKUP($B$5,标准坦克设计!$B$14:$K$20,9)/30))</f>
        <v>1.6689482941987583</v>
      </c>
      <c r="BE232" s="172">
        <f ca="1">(VLOOKUP(BE$72,INDIRECT($C$5&amp;"生成成长"),2))/((VLOOKUP($B232,INDIRECT($B$5&amp;"生成成长"),4))/(VLOOKUP(BE$72,INDIRECT($C$5&amp;"生成成长"),5))*(VLOOKUP($B$5,标准坦克设计!$B$24:$U$30,MATCH("对"&amp;LEFT($C$5,2)&amp;"输出",标准坦克设计!$B$23:$U$23,0)))*(VLOOKUP($B232,INDIRECT($B$5&amp;"生成成长"),3))*(VLOOKUP($B$5,标准坦克设计!$B$14:$K$20,9)/30))</f>
        <v>1.837143835807072</v>
      </c>
      <c r="BF232" s="172">
        <f ca="1">(VLOOKUP(BF$72,INDIRECT($C$5&amp;"生成成长"),2))/((VLOOKUP($B232,INDIRECT($B$5&amp;"生成成长"),4))/(VLOOKUP(BF$72,INDIRECT($C$5&amp;"生成成长"),5))*(VLOOKUP($B$5,标准坦克设计!$B$24:$U$30,MATCH("对"&amp;LEFT($C$5,2)&amp;"输出",标准坦克设计!$B$23:$U$23,0)))*(VLOOKUP($B232,INDIRECT($B$5&amp;"生成成长"),3))*(VLOOKUP($B$5,标准坦克设计!$B$14:$K$20,9)/30))</f>
        <v>2.0134127634125849</v>
      </c>
      <c r="BG232" s="172">
        <f ca="1">(VLOOKUP(BG$72,INDIRECT($C$5&amp;"生成成长"),2))/((VLOOKUP($B232,INDIRECT($B$5&amp;"生成成长"),4))/(VLOOKUP(BG$72,INDIRECT($C$5&amp;"生成成长"),5))*(VLOOKUP($B$5,标准坦克设计!$B$24:$U$30,MATCH("对"&amp;LEFT($C$5,2)&amp;"输出",标准坦克设计!$B$23:$U$23,0)))*(VLOOKUP($B232,INDIRECT($B$5&amp;"生成成长"),3))*(VLOOKUP($B$5,标准坦克设计!$B$14:$K$20,9)/30))</f>
        <v>2.1977550770152967</v>
      </c>
      <c r="BH232" s="172">
        <f ca="1">(VLOOKUP(BH$72,INDIRECT($C$5&amp;"生成成长"),2))/((VLOOKUP($B232,INDIRECT($B$5&amp;"生成成长"),4))/(VLOOKUP(BH$72,INDIRECT($C$5&amp;"生成成长"),5))*(VLOOKUP($B$5,标准坦克设计!$B$24:$U$30,MATCH("对"&amp;LEFT($C$5,2)&amp;"输出",标准坦克设计!$B$23:$U$23,0)))*(VLOOKUP($B232,INDIRECT($B$5&amp;"生成成长"),3))*(VLOOKUP($B$5,标准坦克设计!$B$14:$K$20,9)/30))</f>
        <v>1.0622981229400918</v>
      </c>
      <c r="BI232" s="172">
        <f ca="1">(VLOOKUP(BI$72,INDIRECT($C$5&amp;"生成成长"),2))/((VLOOKUP($B232,INDIRECT($B$5&amp;"生成成长"),4))/(VLOOKUP(BI$72,INDIRECT($C$5&amp;"生成成长"),5))*(VLOOKUP($B$5,标准坦克设计!$B$24:$U$30,MATCH("对"&amp;LEFT($C$5,2)&amp;"输出",标准坦克设计!$B$23:$U$23,0)))*(VLOOKUP($B232,INDIRECT($B$5&amp;"生成成长"),3))*(VLOOKUP($B$5,标准坦克设计!$B$14:$K$20,9)/30))</f>
        <v>1.1973030776710316</v>
      </c>
      <c r="BJ232" s="172">
        <f ca="1">(VLOOKUP(BJ$72,INDIRECT($C$5&amp;"生成成长"),2))/((VLOOKUP($B232,INDIRECT($B$5&amp;"生成成长"),4))/(VLOOKUP(BJ$72,INDIRECT($C$5&amp;"生成成长"),5))*(VLOOKUP($B$5,标准坦克设计!$B$24:$U$30,MATCH("对"&amp;LEFT($C$5,2)&amp;"输出",标准坦克设计!$B$23:$U$23,0)))*(VLOOKUP($B232,INDIRECT($B$5&amp;"生成成长"),3))*(VLOOKUP($B$5,标准坦克设计!$B$14:$K$20,9)/30))</f>
        <v>1.3403814183991702</v>
      </c>
      <c r="BK232" s="172">
        <f ca="1">(VLOOKUP(BK$72,INDIRECT($C$5&amp;"生成成长"),2))/((VLOOKUP($B232,INDIRECT($B$5&amp;"生成成长"),4))/(VLOOKUP(BK$72,INDIRECT($C$5&amp;"生成成长"),5))*(VLOOKUP($B$5,标准坦克设计!$B$24:$U$30,MATCH("对"&amp;LEFT($C$5,2)&amp;"输出",标准坦克设计!$B$23:$U$23,0)))*(VLOOKUP($B232,INDIRECT($B$5&amp;"生成成长"),3))*(VLOOKUP($B$5,标准坦克设计!$B$14:$K$20,9)/30))</f>
        <v>1.491533145124508</v>
      </c>
      <c r="BL232" s="172">
        <f ca="1">(VLOOKUP(BL$72,INDIRECT($C$5&amp;"生成成长"),2))/((VLOOKUP($B232,INDIRECT($B$5&amp;"生成成长"),4))/(VLOOKUP(BL$72,INDIRECT($C$5&amp;"生成成长"),5))*(VLOOKUP($B$5,标准坦克设计!$B$24:$U$30,MATCH("对"&amp;LEFT($C$5,2)&amp;"输出",标准坦克设计!$B$23:$U$23,0)))*(VLOOKUP($B232,INDIRECT($B$5&amp;"生成成长"),3))*(VLOOKUP($B$5,标准坦克设计!$B$14:$K$20,9)/30))</f>
        <v>1.6507582578470448</v>
      </c>
      <c r="BM232" s="172">
        <f ca="1">(VLOOKUP(BM$72,INDIRECT($C$5&amp;"生成成长"),2))/((VLOOKUP($B232,INDIRECT($B$5&amp;"生成成长"),4))/(VLOOKUP(BM$72,INDIRECT($C$5&amp;"生成成长"),5))*(VLOOKUP($B$5,标准坦克设计!$B$24:$U$30,MATCH("对"&amp;LEFT($C$5,2)&amp;"输出",标准坦克设计!$B$23:$U$23,0)))*(VLOOKUP($B232,INDIRECT($B$5&amp;"生成成长"),3))*(VLOOKUP($B$5,标准坦克设计!$B$14:$K$20,9)/30))</f>
        <v>1.8180567565667807</v>
      </c>
      <c r="BN232" s="172">
        <f ca="1">(VLOOKUP(BN$72,INDIRECT($C$5&amp;"生成成长"),2))/((VLOOKUP($B232,INDIRECT($B$5&amp;"生成成长"),4))/(VLOOKUP(BN$72,INDIRECT($C$5&amp;"生成成长"),5))*(VLOOKUP($B$5,标准坦克设计!$B$24:$U$30,MATCH("对"&amp;LEFT($C$5,2)&amp;"输出",标准坦克设计!$B$23:$U$23,0)))*(VLOOKUP($B232,INDIRECT($B$5&amp;"生成成长"),3))*(VLOOKUP($B$5,标准坦克设计!$B$14:$K$20,9)/30))</f>
        <v>1.9934286412837154</v>
      </c>
      <c r="BO232" s="172">
        <f ca="1">(VLOOKUP(BO$72,INDIRECT($C$5&amp;"生成成长"),2))/((VLOOKUP($B232,INDIRECT($B$5&amp;"生成成长"),4))/(VLOOKUP(BO$72,INDIRECT($C$5&amp;"生成成长"),5))*(VLOOKUP($B$5,标准坦克设计!$B$24:$U$30,MATCH("对"&amp;LEFT($C$5,2)&amp;"输出",标准坦克设计!$B$23:$U$23,0)))*(VLOOKUP($B232,INDIRECT($B$5&amp;"生成成长"),3))*(VLOOKUP($B$5,标准坦克设计!$B$14:$K$20,9)/30))</f>
        <v>2.1768739119978489</v>
      </c>
      <c r="BP232" s="172">
        <f ca="1">(VLOOKUP(BP$72,INDIRECT($C$5&amp;"生成成长"),2))/((VLOOKUP($B232,INDIRECT($B$5&amp;"生成成长"),4))/(VLOOKUP(BP$72,INDIRECT($C$5&amp;"生成成长"),5))*(VLOOKUP($B$5,标准坦克设计!$B$24:$U$30,MATCH("对"&amp;LEFT($C$5,2)&amp;"输出",标准坦克设计!$B$23:$U$23,0)))*(VLOOKUP($B232,INDIRECT($B$5&amp;"生成成长"),3))*(VLOOKUP($B$5,标准坦克设计!$B$14:$K$20,9)/30))</f>
        <v>2.3683925687091825</v>
      </c>
      <c r="BQ232" s="172">
        <f ca="1">(VLOOKUP(BQ$72,INDIRECT($C$5&amp;"生成成长"),2))/((VLOOKUP($B232,INDIRECT($B$5&amp;"生成成长"),4))/(VLOOKUP(BQ$72,INDIRECT($C$5&amp;"生成成长"),5))*(VLOOKUP($B$5,标准坦克设计!$B$24:$U$30,MATCH("对"&amp;LEFT($C$5,2)&amp;"输出",标准坦克设计!$B$23:$U$23,0)))*(VLOOKUP($B232,INDIRECT($B$5&amp;"生成成长"),3))*(VLOOKUP($B$5,标准坦克设计!$B$14:$K$20,9)/30))</f>
        <v>2.5679846114177143</v>
      </c>
      <c r="BR232" s="172">
        <f ca="1">(VLOOKUP(BR$72,INDIRECT($C$5&amp;"生成成长"),2))/((VLOOKUP($B232,INDIRECT($B$5&amp;"生成成长"),4))/(VLOOKUP(BR$72,INDIRECT($C$5&amp;"生成成长"),5))*(VLOOKUP($B$5,标准坦克设计!$B$24:$U$30,MATCH("对"&amp;LEFT($C$5,2)&amp;"输出",标准坦克设计!$B$23:$U$23,0)))*(VLOOKUP($B232,INDIRECT($B$5&amp;"生成成长"),3))*(VLOOKUP($B$5,标准坦克设计!$B$14:$K$20,9)/30))</f>
        <v>2.7992223338066253</v>
      </c>
      <c r="BS232" s="172">
        <f ca="1">(VLOOKUP(BS$72,INDIRECT($C$5&amp;"生成成长"),2))/((VLOOKUP($B232,INDIRECT($B$5&amp;"生成成长"),4))/(VLOOKUP(BS$72,INDIRECT($C$5&amp;"生成成长"),5))*(VLOOKUP($B$5,标准坦克设计!$B$24:$U$30,MATCH("对"&amp;LEFT($C$5,2)&amp;"输出",标准坦克设计!$B$23:$U$23,0)))*(VLOOKUP($B232,INDIRECT($B$5&amp;"生成成长"),3))*(VLOOKUP($B$5,标准坦克设计!$B$14:$K$20,9)/30))</f>
        <v>3.0404271994019547</v>
      </c>
      <c r="BT232" s="172">
        <f ca="1">(VLOOKUP(BT$72,INDIRECT($C$5&amp;"生成成长"),2))/((VLOOKUP($B232,INDIRECT($B$5&amp;"生成成长"),4))/(VLOOKUP(BT$72,INDIRECT($C$5&amp;"生成成长"),5))*(VLOOKUP($B$5,标准坦克设计!$B$24:$U$30,MATCH("对"&amp;LEFT($C$5,2)&amp;"输出",标准坦克设计!$B$23:$U$23,0)))*(VLOOKUP($B232,INDIRECT($B$5&amp;"生成成长"),3))*(VLOOKUP($B$5,标准坦克设计!$B$14:$K$20,9)/30))</f>
        <v>3.2915992082037029</v>
      </c>
      <c r="BU232" s="172">
        <f ca="1">(VLOOKUP(BU$72,INDIRECT($C$5&amp;"生成成长"),2))/((VLOOKUP($B232,INDIRECT($B$5&amp;"生成成长"),4))/(VLOOKUP(BU$72,INDIRECT($C$5&amp;"生成成长"),5))*(VLOOKUP($B$5,标准坦克设计!$B$24:$U$30,MATCH("对"&amp;LEFT($C$5,2)&amp;"输出",标准坦克设计!$B$23:$U$23,0)))*(VLOOKUP($B232,INDIRECT($B$5&amp;"生成成长"),3))*(VLOOKUP($B$5,标准坦克设计!$B$14:$K$20,9)/30))</f>
        <v>3.5527383602118698</v>
      </c>
      <c r="BV232" s="172">
        <f ca="1">(VLOOKUP(BV$72,INDIRECT($C$5&amp;"生成成长"),2))/((VLOOKUP($B232,INDIRECT($B$5&amp;"生成成长"),4))/(VLOOKUP(BV$72,INDIRECT($C$5&amp;"生成成长"),5))*(VLOOKUP($B$5,标准坦克设计!$B$24:$U$30,MATCH("对"&amp;LEFT($C$5,2)&amp;"输出",标准坦克设计!$B$23:$U$23,0)))*(VLOOKUP($B232,INDIRECT($B$5&amp;"生成成长"),3))*(VLOOKUP($B$5,标准坦克设计!$B$14:$K$20,9)/30))</f>
        <v>3.8238446554264551</v>
      </c>
      <c r="BW232" s="172">
        <f ca="1">(VLOOKUP(BW$72,INDIRECT($C$5&amp;"生成成长"),2))/((VLOOKUP($B232,INDIRECT($B$5&amp;"生成成长"),4))/(VLOOKUP(BW$72,INDIRECT($C$5&amp;"生成成长"),5))*(VLOOKUP($B$5,标准坦克设计!$B$24:$U$30,MATCH("对"&amp;LEFT($C$5,2)&amp;"输出",标准坦克设计!$B$23:$U$23,0)))*(VLOOKUP($B232,INDIRECT($B$5&amp;"生成成长"),3))*(VLOOKUP($B$5,标准坦克设计!$B$14:$K$20,9)/30))</f>
        <v>1.7427051539262559</v>
      </c>
      <c r="BX232" s="172">
        <f ca="1">(VLOOKUP(BX$72,INDIRECT($C$5&amp;"生成成长"),2))/((VLOOKUP($B232,INDIRECT($B$5&amp;"生成成长"),4))/(VLOOKUP(BX$72,INDIRECT($C$5&amp;"生成成长"),5))*(VLOOKUP($B$5,标准坦克设计!$B$24:$U$30,MATCH("对"&amp;LEFT($C$5,2)&amp;"输出",标准坦克设计!$B$23:$U$23,0)))*(VLOOKUP($B232,INDIRECT($B$5&amp;"生成成长"),3))*(VLOOKUP($B$5,标准坦克设计!$B$14:$K$20,9)/30))</f>
        <v>1.9340743034894929</v>
      </c>
      <c r="BY232" s="172">
        <f ca="1">(VLOOKUP(BY$72,INDIRECT($C$5&amp;"生成成长"),2))/((VLOOKUP($B232,INDIRECT($B$5&amp;"生成成长"),4))/(VLOOKUP(BY$72,INDIRECT($C$5&amp;"生成成长"),5))*(VLOOKUP($B$5,标准坦克设计!$B$24:$U$30,MATCH("对"&amp;LEFT($C$5,2)&amp;"输出",标准坦克设计!$B$23:$U$23,0)))*(VLOOKUP($B232,INDIRECT($B$5&amp;"生成成长"),3))*(VLOOKUP($B$5,标准坦克设计!$B$14:$K$20,9)/30))</f>
        <v>2.1354105962591481</v>
      </c>
      <c r="BZ232" s="172">
        <f ca="1">(VLOOKUP(BZ$72,INDIRECT($C$5&amp;"生成成长"),2))/((VLOOKUP($B232,INDIRECT($B$5&amp;"生成成长"),4))/(VLOOKUP(BZ$72,INDIRECT($C$5&amp;"生成成长"),5))*(VLOOKUP($B$5,标准坦克设计!$B$24:$U$30,MATCH("对"&amp;LEFT($C$5,2)&amp;"输出",标准坦克设计!$B$23:$U$23,0)))*(VLOOKUP($B232,INDIRECT($B$5&amp;"生成成长"),3))*(VLOOKUP($B$5,标准坦克设计!$B$14:$K$20,9)/30))</f>
        <v>2.3467140322352216</v>
      </c>
      <c r="CA232" s="172">
        <f ca="1">(VLOOKUP(CA$72,INDIRECT($C$5&amp;"生成成长"),2))/((VLOOKUP($B232,INDIRECT($B$5&amp;"生成成长"),4))/(VLOOKUP(CA$72,INDIRECT($C$5&amp;"生成成长"),5))*(VLOOKUP($B$5,标准坦克设计!$B$24:$U$30,MATCH("对"&amp;LEFT($C$5,2)&amp;"输出",标准坦克设计!$B$23:$U$23,0)))*(VLOOKUP($B232,INDIRECT($B$5&amp;"生成成长"),3))*(VLOOKUP($B$5,标准坦克设计!$B$14:$K$20,9)/30))</f>
        <v>2.5679846114177143</v>
      </c>
      <c r="CB232" s="172">
        <f ca="1">(VLOOKUP(CB$72,INDIRECT($C$5&amp;"生成成长"),2))/((VLOOKUP($B232,INDIRECT($B$5&amp;"生成成长"),4))/(VLOOKUP(CB$72,INDIRECT($C$5&amp;"生成成长"),5))*(VLOOKUP($B$5,标准坦克设计!$B$24:$U$30,MATCH("对"&amp;LEFT($C$5,2)&amp;"输出",标准坦克设计!$B$23:$U$23,0)))*(VLOOKUP($B232,INDIRECT($B$5&amp;"生成成长"),3))*(VLOOKUP($B$5,标准坦克设计!$B$14:$K$20,9)/30))</f>
        <v>2.7992223338066253</v>
      </c>
      <c r="CC232" s="172">
        <f ca="1">(VLOOKUP(CC$72,INDIRECT($C$5&amp;"生成成长"),2))/((VLOOKUP($B232,INDIRECT($B$5&amp;"生成成长"),4))/(VLOOKUP(CC$72,INDIRECT($C$5&amp;"生成成长"),5))*(VLOOKUP($B$5,标准坦克设计!$B$24:$U$30,MATCH("对"&amp;LEFT($C$5,2)&amp;"输出",标准坦克设计!$B$23:$U$23,0)))*(VLOOKUP($B232,INDIRECT($B$5&amp;"生成成长"),3))*(VLOOKUP($B$5,标准坦克设计!$B$14:$K$20,9)/30))</f>
        <v>3.0404271994019547</v>
      </c>
      <c r="CD232" s="172">
        <f ca="1">(VLOOKUP(CD$72,INDIRECT($C$5&amp;"生成成长"),2))/((VLOOKUP($B232,INDIRECT($B$5&amp;"生成成长"),4))/(VLOOKUP(CD$72,INDIRECT($C$5&amp;"生成成长"),5))*(VLOOKUP($B$5,标准坦克设计!$B$24:$U$30,MATCH("对"&amp;LEFT($C$5,2)&amp;"输出",标准坦克设计!$B$23:$U$23,0)))*(VLOOKUP($B232,INDIRECT($B$5&amp;"生成成长"),3))*(VLOOKUP($B$5,标准坦克设计!$B$14:$K$20,9)/30))</f>
        <v>3.2915992082037029</v>
      </c>
      <c r="CE232" s="172">
        <f ca="1">(VLOOKUP(CE$72,INDIRECT($C$5&amp;"生成成长"),2))/((VLOOKUP($B232,INDIRECT($B$5&amp;"生成成长"),4))/(VLOOKUP(CE$72,INDIRECT($C$5&amp;"生成成长"),5))*(VLOOKUP($B$5,标准坦克设计!$B$24:$U$30,MATCH("对"&amp;LEFT($C$5,2)&amp;"输出",标准坦克设计!$B$23:$U$23,0)))*(VLOOKUP($B232,INDIRECT($B$5&amp;"生成成长"),3))*(VLOOKUP($B$5,标准坦克设计!$B$14:$K$20,9)/30))</f>
        <v>3.5527383602118698</v>
      </c>
      <c r="CF232" s="172">
        <f ca="1">(VLOOKUP(CF$72,INDIRECT($C$5&amp;"生成成长"),2))/((VLOOKUP($B232,INDIRECT($B$5&amp;"生成成长"),4))/(VLOOKUP(CF$72,INDIRECT($C$5&amp;"生成成长"),5))*(VLOOKUP($B$5,标准坦克设计!$B$24:$U$30,MATCH("对"&amp;LEFT($C$5,2)&amp;"输出",标准坦克设计!$B$23:$U$23,0)))*(VLOOKUP($B232,INDIRECT($B$5&amp;"生成成长"),3))*(VLOOKUP($B$5,标准坦克设计!$B$14:$K$20,9)/30))</f>
        <v>3.8238446554264551</v>
      </c>
      <c r="CG232" s="172">
        <f ca="1">(VLOOKUP(CG$72,INDIRECT($C$5&amp;"生成成长"),2))/((VLOOKUP($B232,INDIRECT($B$5&amp;"生成成长"),4))/(VLOOKUP(CG$72,INDIRECT($C$5&amp;"生成成长"),5))*(VLOOKUP($B$5,标准坦克设计!$B$24:$U$30,MATCH("对"&amp;LEFT($C$5,2)&amp;"输出",标准坦克设计!$B$23:$U$23,0)))*(VLOOKUP($B232,INDIRECT($B$5&amp;"生成成长"),3))*(VLOOKUP($B$5,标准坦克设计!$B$14:$K$20,9)/30))</f>
        <v>4.1049180938474583</v>
      </c>
      <c r="CH232" s="172">
        <f ca="1">(VLOOKUP(CH$72,INDIRECT($C$5&amp;"生成成长"),2))/((VLOOKUP($B232,INDIRECT($B$5&amp;"生成成长"),4))/(VLOOKUP(CH$72,INDIRECT($C$5&amp;"生成成长"),5))*(VLOOKUP($B$5,标准坦克设计!$B$24:$U$30,MATCH("对"&amp;LEFT($C$5,2)&amp;"输出",标准坦克设计!$B$23:$U$23,0)))*(VLOOKUP($B232,INDIRECT($B$5&amp;"生成成长"),3))*(VLOOKUP($B$5,标准坦克设计!$B$14:$K$20,9)/30))</f>
        <v>4.3959586754748816</v>
      </c>
      <c r="CI232" s="172">
        <f ca="1">(VLOOKUP(CI$72,INDIRECT($C$5&amp;"生成成长"),2))/((VLOOKUP($B232,INDIRECT($B$5&amp;"生成成长"),4))/(VLOOKUP(CI$72,INDIRECT($C$5&amp;"生成成长"),5))*(VLOOKUP($B$5,标准坦克设计!$B$24:$U$30,MATCH("对"&amp;LEFT($C$5,2)&amp;"输出",标准坦克设计!$B$23:$U$23,0)))*(VLOOKUP($B232,INDIRECT($B$5&amp;"生成成长"),3))*(VLOOKUP($B$5,标准坦克设计!$B$14:$K$20,9)/30))</f>
        <v>4.7276153656684601</v>
      </c>
      <c r="CJ232" s="172">
        <f ca="1">(VLOOKUP(CJ$72,INDIRECT($C$5&amp;"生成成长"),2))/((VLOOKUP($B232,INDIRECT($B$5&amp;"生成成长"),4))/(VLOOKUP(CJ$72,INDIRECT($C$5&amp;"生成成长"),5))*(VLOOKUP($B$5,标准坦克设计!$B$24:$U$30,MATCH("对"&amp;LEFT($C$5,2)&amp;"输出",标准坦克设计!$B$23:$U$23,0)))*(VLOOKUP($B232,INDIRECT($B$5&amp;"生成成长"),3))*(VLOOKUP($B$5,标准坦克设计!$B$14:$K$20,9)/30))</f>
        <v>5.0713322991418046</v>
      </c>
      <c r="CK232" s="172">
        <f ca="1">(VLOOKUP(CK$72,INDIRECT($C$5&amp;"生成成长"),2))/((VLOOKUP($B232,INDIRECT($B$5&amp;"生成成长"),4))/(VLOOKUP(CK$72,INDIRECT($C$5&amp;"生成成长"),5))*(VLOOKUP($B$5,标准坦克设计!$B$24:$U$30,MATCH("对"&amp;LEFT($C$5,2)&amp;"输出",标准坦克设计!$B$23:$U$23,0)))*(VLOOKUP($B232,INDIRECT($B$5&amp;"生成成长"),3))*(VLOOKUP($B$5,标准坦克设计!$B$14:$K$20,9)/30))</f>
        <v>5.4271094758949152</v>
      </c>
      <c r="CL232" s="172">
        <f ca="1">(VLOOKUP(CL$72,INDIRECT($C$5&amp;"生成成长"),2))/((VLOOKUP($B232,INDIRECT($B$5&amp;"生成成长"),4))/(VLOOKUP(CL$72,INDIRECT($C$5&amp;"生成成长"),5))*(VLOOKUP($B$5,标准坦克设计!$B$24:$U$30,MATCH("对"&amp;LEFT($C$5,2)&amp;"输出",标准坦克设计!$B$23:$U$23,0)))*(VLOOKUP($B232,INDIRECT($B$5&amp;"生成成长"),3))*(VLOOKUP($B$5,标准坦克设计!$B$14:$K$20,9)/30))</f>
        <v>5.7949468959277928</v>
      </c>
      <c r="CM232" s="172">
        <f ca="1">(VLOOKUP(CM$72,INDIRECT($C$5&amp;"生成成长"),2))/((VLOOKUP($B232,INDIRECT($B$5&amp;"生成成长"),4))/(VLOOKUP(CM$72,INDIRECT($C$5&amp;"生成成长"),5))*(VLOOKUP($B$5,标准坦克设计!$B$24:$U$30,MATCH("对"&amp;LEFT($C$5,2)&amp;"输出",标准坦克设计!$B$23:$U$23,0)))*(VLOOKUP($B232,INDIRECT($B$5&amp;"生成成长"),3))*(VLOOKUP($B$5,标准坦克设计!$B$14:$K$20,9)/30))</f>
        <v>6.1748445592404373</v>
      </c>
      <c r="CN232" s="172">
        <f ca="1">(VLOOKUP(CN$72,INDIRECT($C$5&amp;"生成成长"),2))/((VLOOKUP($B232,INDIRECT($B$5&amp;"生成成长"),4))/(VLOOKUP(CN$72,INDIRECT($C$5&amp;"生成成长"),5))*(VLOOKUP($B$5,标准坦克设计!$B$24:$U$30,MATCH("对"&amp;LEFT($C$5,2)&amp;"输出",标准坦克设计!$B$23:$U$23,0)))*(VLOOKUP($B232,INDIRECT($B$5&amp;"生成成长"),3))*(VLOOKUP($B$5,标准坦克设计!$B$14:$K$20,9)/30))</f>
        <v>6.5668024658328479</v>
      </c>
      <c r="CO232" s="172">
        <f ca="1">(VLOOKUP(CO$72,INDIRECT($C$5&amp;"生成成长"),2))/((VLOOKUP($B232,INDIRECT($B$5&amp;"生成成长"),4))/(VLOOKUP(CO$72,INDIRECT($C$5&amp;"生成成长"),5))*(VLOOKUP($B$5,标准坦克设计!$B$24:$U$30,MATCH("对"&amp;LEFT($C$5,2)&amp;"输出",标准坦克设计!$B$23:$U$23,0)))*(VLOOKUP($B232,INDIRECT($B$5&amp;"生成成长"),3))*(VLOOKUP($B$5,标准坦克设计!$B$14:$K$20,9)/30))</f>
        <v>2.9427491959790522</v>
      </c>
      <c r="CP232" s="172">
        <f ca="1">(VLOOKUP(CP$72,INDIRECT($C$5&amp;"生成成长"),2))/((VLOOKUP($B232,INDIRECT($B$5&amp;"生成成长"),4))/(VLOOKUP(CP$72,INDIRECT($C$5&amp;"生成成长"),5))*(VLOOKUP($B$5,标准坦克设计!$B$24:$U$30,MATCH("对"&amp;LEFT($C$5,2)&amp;"输出",标准坦克设计!$B$23:$U$23,0)))*(VLOOKUP($B232,INDIRECT($B$5&amp;"生成成长"),3))*(VLOOKUP($B$5,标准坦克设计!$B$14:$K$20,9)/30))</f>
        <v>3.2152010555265047</v>
      </c>
      <c r="CQ232" s="172">
        <f ca="1">(VLOOKUP(CQ$72,INDIRECT($C$5&amp;"生成成长"),2))/((VLOOKUP($B232,INDIRECT($B$5&amp;"生成成长"),4))/(VLOOKUP(CQ$72,INDIRECT($C$5&amp;"生成成长"),5))*(VLOOKUP($B$5,标准坦克设计!$B$24:$U$30,MATCH("对"&amp;LEFT($C$5,2)&amp;"输出",标准坦克设计!$B$23:$U$23,0)))*(VLOOKUP($B232,INDIRECT($B$5&amp;"生成成长"),3))*(VLOOKUP($B$5,标准坦克设计!$B$14:$K$20,9)/30))</f>
        <v>3.4997131583537224</v>
      </c>
      <c r="CR232" s="172">
        <f ca="1">(VLOOKUP(CR$72,INDIRECT($C$5&amp;"生成成长"),2))/((VLOOKUP($B232,INDIRECT($B$5&amp;"生成成长"),4))/(VLOOKUP(CR$72,INDIRECT($C$5&amp;"生成成长"),5))*(VLOOKUP($B$5,标准坦克设计!$B$24:$U$30,MATCH("对"&amp;LEFT($C$5,2)&amp;"输出",标准坦克设计!$B$23:$U$23,0)))*(VLOOKUP($B232,INDIRECT($B$5&amp;"生成成长"),3))*(VLOOKUP($B$5,标准坦克设计!$B$14:$K$20,9)/30))</f>
        <v>3.796285504460708</v>
      </c>
      <c r="CS232" s="172">
        <f ca="1">(VLOOKUP(CS$72,INDIRECT($C$5&amp;"生成成长"),2))/((VLOOKUP($B232,INDIRECT($B$5&amp;"生成成长"),4))/(VLOOKUP(CS$72,INDIRECT($C$5&amp;"生成成长"),5))*(VLOOKUP($B$5,标准坦克设计!$B$24:$U$30,MATCH("对"&amp;LEFT($C$5,2)&amp;"输出",标准坦克设计!$B$23:$U$23,0)))*(VLOOKUP($B232,INDIRECT($B$5&amp;"生成成长"),3))*(VLOOKUP($B$5,标准坦克设计!$B$14:$K$20,9)/30))</f>
        <v>4.1049180938474583</v>
      </c>
      <c r="CT232" s="172">
        <f ca="1">(VLOOKUP(CT$72,INDIRECT($C$5&amp;"生成成长"),2))/((VLOOKUP($B232,INDIRECT($B$5&amp;"生成成长"),4))/(VLOOKUP(CT$72,INDIRECT($C$5&amp;"生成成长"),5))*(VLOOKUP($B$5,标准坦克设计!$B$24:$U$30,MATCH("对"&amp;LEFT($C$5,2)&amp;"输出",标准坦克设计!$B$23:$U$23,0)))*(VLOOKUP($B232,INDIRECT($B$5&amp;"生成成长"),3))*(VLOOKUP($B$5,标准坦克设计!$B$14:$K$20,9)/30))</f>
        <v>4.4256109265139774</v>
      </c>
      <c r="CU232" s="172">
        <f ca="1">(VLOOKUP(CU$72,INDIRECT($C$5&amp;"生成成长"),2))/((VLOOKUP($B232,INDIRECT($B$5&amp;"生成成长"),4))/(VLOOKUP(CU$72,INDIRECT($C$5&amp;"生成成长"),5))*(VLOOKUP($B$5,标准坦克设计!$B$24:$U$30,MATCH("对"&amp;LEFT($C$5,2)&amp;"输出",标准坦克设计!$B$23:$U$23,0)))*(VLOOKUP($B232,INDIRECT($B$5&amp;"生成成长"),3))*(VLOOKUP($B$5,标准坦克设计!$B$14:$K$20,9)/30))</f>
        <v>4.7583640024602607</v>
      </c>
      <c r="CV232" s="172">
        <f ca="1">(VLOOKUP(CV$72,INDIRECT($C$5&amp;"生成成长"),2))/((VLOOKUP($B232,INDIRECT($B$5&amp;"生成成长"),4))/(VLOOKUP(CV$72,INDIRECT($C$5&amp;"生成成长"),5))*(VLOOKUP($B$5,标准坦克设计!$B$24:$U$30,MATCH("对"&amp;LEFT($C$5,2)&amp;"输出",标准坦克设计!$B$23:$U$23,0)))*(VLOOKUP($B232,INDIRECT($B$5&amp;"生成成长"),3))*(VLOOKUP($B$5,标准坦克设计!$B$14:$K$20,9)/30))</f>
        <v>5.103177321686311</v>
      </c>
      <c r="CW232" s="172">
        <f ca="1">(VLOOKUP(CW$72,INDIRECT($C$5&amp;"生成成长"),2))/((VLOOKUP($B232,INDIRECT($B$5&amp;"生成成长"),4))/(VLOOKUP(CW$72,INDIRECT($C$5&amp;"生成成长"),5))*(VLOOKUP($B$5,标准坦克设计!$B$24:$U$30,MATCH("对"&amp;LEFT($C$5,2)&amp;"输出",标准坦克设计!$B$23:$U$23,0)))*(VLOOKUP($B232,INDIRECT($B$5&amp;"生成成长"),3))*(VLOOKUP($B$5,标准坦克设计!$B$14:$K$20,9)/30))</f>
        <v>5.4600508841921283</v>
      </c>
      <c r="CX232" s="172">
        <f ca="1">(VLOOKUP(CX$72,INDIRECT($C$5&amp;"生成成长"),2))/((VLOOKUP($B232,INDIRECT($B$5&amp;"生成成长"),4))/(VLOOKUP(CX$72,INDIRECT($C$5&amp;"生成成长"),5))*(VLOOKUP($B$5,标准坦克设计!$B$24:$U$30,MATCH("对"&amp;LEFT($C$5,2)&amp;"输出",标准坦克设计!$B$23:$U$23,0)))*(VLOOKUP($B232,INDIRECT($B$5&amp;"生成成长"),3))*(VLOOKUP($B$5,标准坦克设计!$B$14:$K$20,9)/30))</f>
        <v>5.8289846899777116</v>
      </c>
      <c r="CY232" s="172">
        <f ca="1">(VLOOKUP(CY$72,INDIRECT($C$5&amp;"生成成长"),2))/((VLOOKUP($B232,INDIRECT($B$5&amp;"生成成长"),4))/(VLOOKUP(CY$72,INDIRECT($C$5&amp;"生成成长"),5))*(VLOOKUP($B$5,标准坦克设计!$B$24:$U$30,MATCH("对"&amp;LEFT($C$5,2)&amp;"输出",标准坦克设计!$B$23:$U$23,0)))*(VLOOKUP($B232,INDIRECT($B$5&amp;"生成成长"),3))*(VLOOKUP($B$5,标准坦克设计!$B$14:$K$20,9)/30))</f>
        <v>6.2099787390430627</v>
      </c>
      <c r="CZ232" s="172">
        <f ca="1">(VLOOKUP(CZ$72,INDIRECT($C$5&amp;"生成成长"),2))/((VLOOKUP($B232,INDIRECT($B$5&amp;"生成成长"),4))/(VLOOKUP(CZ$72,INDIRECT($C$5&amp;"生成成长"),5))*(VLOOKUP($B$5,标准坦克设计!$B$24:$U$30,MATCH("对"&amp;LEFT($C$5,2)&amp;"输出",标准坦克设计!$B$23:$U$23,0)))*(VLOOKUP($B232,INDIRECT($B$5&amp;"生成成长"),3))*(VLOOKUP($B$5,标准坦克设计!$B$14:$K$20,9)/30))</f>
        <v>6.6030330313881791</v>
      </c>
      <c r="DA232" s="172">
        <f ca="1">(VLOOKUP(DA$72,INDIRECT($C$5&amp;"生成成长"),2))/((VLOOKUP($B232,INDIRECT($B$5&amp;"生成成长"),4))/(VLOOKUP(DA$72,INDIRECT($C$5&amp;"生成成长"),5))*(VLOOKUP($B$5,标准坦克设计!$B$24:$U$30,MATCH("对"&amp;LEFT($C$5,2)&amp;"输出",标准坦克设计!$B$23:$U$23,0)))*(VLOOKUP($B232,INDIRECT($B$5&amp;"生成成长"),3))*(VLOOKUP($B$5,标准坦克设计!$B$14:$K$20,9)/30))</f>
        <v>7.0081475670130624</v>
      </c>
      <c r="DB232" s="172">
        <f ca="1">(VLOOKUP(DB$72,INDIRECT($C$5&amp;"生成成长"),2))/((VLOOKUP($B232,INDIRECT($B$5&amp;"生成成长"),4))/(VLOOKUP(DB$72,INDIRECT($C$5&amp;"生成成长"),5))*(VLOOKUP($B$5,标准坦克设计!$B$24:$U$30,MATCH("对"&amp;LEFT($C$5,2)&amp;"输出",标准坦克设计!$B$23:$U$23,0)))*(VLOOKUP($B232,INDIRECT($B$5&amp;"生成成长"),3))*(VLOOKUP($B$5,标准坦克设计!$B$14:$K$20,9)/30))</f>
        <v>7.4253223459177109</v>
      </c>
      <c r="DC232" s="172">
        <f ca="1">(VLOOKUP(DC$72,INDIRECT($C$5&amp;"生成成长"),2))/((VLOOKUP($B232,INDIRECT($B$5&amp;"生成成长"),4))/(VLOOKUP(DC$72,INDIRECT($C$5&amp;"生成成长"),5))*(VLOOKUP($B$5,标准坦克设计!$B$24:$U$30,MATCH("对"&amp;LEFT($C$5,2)&amp;"输出",标准坦克设计!$B$23:$U$23,0)))*(VLOOKUP($B232,INDIRECT($B$5&amp;"生成成长"),3))*(VLOOKUP($B$5,标准坦克设计!$B$14:$K$20,9)/30))</f>
        <v>7.89417676234764</v>
      </c>
      <c r="DD232" s="172">
        <f ca="1">(VLOOKUP(DD$72,INDIRECT($C$5&amp;"生成成长"),2))/((VLOOKUP($B232,INDIRECT($B$5&amp;"生成成长"),4))/(VLOOKUP(DD$72,INDIRECT($C$5&amp;"生成成长"),5))*(VLOOKUP($B$5,标准坦克设计!$B$24:$U$30,MATCH("对"&amp;LEFT($C$5,2)&amp;"输出",标准坦克设计!$B$23:$U$23,0)))*(VLOOKUP($B232,INDIRECT($B$5&amp;"生成成长"),3))*(VLOOKUP($B$5,标准坦克设计!$B$14:$K$20,9)/30))</f>
        <v>8.3773838649948136</v>
      </c>
      <c r="DE232" s="172">
        <f ca="1">(VLOOKUP(DE$72,INDIRECT($C$5&amp;"生成成长"),2))/((VLOOKUP($B232,INDIRECT($B$5&amp;"生成成长"),4))/(VLOOKUP(DE$72,INDIRECT($C$5&amp;"生成成长"),5))*(VLOOKUP($B$5,标准坦克设计!$B$24:$U$30,MATCH("对"&amp;LEFT($C$5,2)&amp;"输出",标准坦克设计!$B$23:$U$23,0)))*(VLOOKUP($B232,INDIRECT($B$5&amp;"生成成长"),3))*(VLOOKUP($B$5,标准坦克设计!$B$14:$K$20,9)/30))</f>
        <v>8.8749436538592281</v>
      </c>
      <c r="DF232" s="172">
        <f ca="1">(VLOOKUP(DF$72,INDIRECT($C$5&amp;"生成成长"),2))/((VLOOKUP($B232,INDIRECT($B$5&amp;"生成成长"),4))/(VLOOKUP(DF$72,INDIRECT($C$5&amp;"生成成长"),5))*(VLOOKUP($B$5,标准坦克设计!$B$24:$U$30,MATCH("对"&amp;LEFT($C$5,2)&amp;"输出",标准坦克设计!$B$23:$U$23,0)))*(VLOOKUP($B232,INDIRECT($B$5&amp;"生成成长"),3))*(VLOOKUP($B$5,标准坦克设计!$B$14:$K$20,9)/30))</f>
        <v>9.3868561289408863</v>
      </c>
      <c r="DG232" s="172">
        <f ca="1">(VLOOKUP(DG$72,INDIRECT($C$5&amp;"生成成长"),2))/((VLOOKUP($B232,INDIRECT($B$5&amp;"生成成长"),4))/(VLOOKUP(DG$72,INDIRECT($C$5&amp;"生成成长"),5))*(VLOOKUP($B$5,标准坦克设计!$B$24:$U$30,MATCH("对"&amp;LEFT($C$5,2)&amp;"输出",标准坦克设计!$B$23:$U$23,0)))*(VLOOKUP($B232,INDIRECT($B$5&amp;"生成成长"),3))*(VLOOKUP($B$5,标准坦克设计!$B$14:$K$20,9)/30))</f>
        <v>9.9131212902397863</v>
      </c>
      <c r="DH232" s="172">
        <f ca="1">(VLOOKUP(DH$72,INDIRECT($C$5&amp;"生成成长"),2))/((VLOOKUP($B232,INDIRECT($B$5&amp;"生成成长"),4))/(VLOOKUP(DH$72,INDIRECT($C$5&amp;"生成成长"),5))*(VLOOKUP($B$5,标准坦克设计!$B$24:$U$30,MATCH("对"&amp;LEFT($C$5,2)&amp;"输出",标准坦克设计!$B$23:$U$23,0)))*(VLOOKUP($B232,INDIRECT($B$5&amp;"生成成长"),3))*(VLOOKUP($B$5,标准坦克设计!$B$14:$K$20,9)/30))</f>
        <v>10.453739137755933</v>
      </c>
      <c r="DI232" s="172">
        <f ca="1">(VLOOKUP(DI$72,INDIRECT($C$5&amp;"生成成长"),2))/((VLOOKUP($B232,INDIRECT($B$5&amp;"生成成长"),4))/(VLOOKUP(DI$72,INDIRECT($C$5&amp;"生成成长"),5))*(VLOOKUP($B$5,标准坦克设计!$B$24:$U$30,MATCH("对"&amp;LEFT($C$5,2)&amp;"输出",标准坦克设计!$B$23:$U$23,0)))*(VLOOKUP($B232,INDIRECT($B$5&amp;"生成成长"),3))*(VLOOKUP($B$5,标准坦克设计!$B$14:$K$20,9)/30))</f>
        <v>11.008709671489321</v>
      </c>
      <c r="DJ232" s="172">
        <f ca="1">(VLOOKUP(DJ$72,INDIRECT($C$5&amp;"生成成长"),2))/((VLOOKUP($B232,INDIRECT($B$5&amp;"生成成长"),4))/(VLOOKUP(DJ$72,INDIRECT($C$5&amp;"生成成长"),5))*(VLOOKUP($B$5,标准坦克设计!$B$24:$U$30,MATCH("对"&amp;LEFT($C$5,2)&amp;"输出",标准坦克设计!$B$23:$U$23,0)))*(VLOOKUP($B232,INDIRECT($B$5&amp;"生成成长"),3))*(VLOOKUP($B$5,标准坦克设计!$B$14:$K$20,9)/30))</f>
        <v>1.1064027316284943</v>
      </c>
      <c r="DK232" s="172">
        <f ca="1">(VLOOKUP(DK$72,INDIRECT($C$5&amp;"生成成长"),2))/((VLOOKUP($B232,INDIRECT($B$5&amp;"生成成长"),4))/(VLOOKUP(DK$72,INDIRECT($C$5&amp;"生成成长"),5))*(VLOOKUP($B$5,标准坦克设计!$B$24:$U$30,MATCH("对"&amp;LEFT($C$5,2)&amp;"输出",标准坦克设计!$B$23:$U$23,0)))*(VLOOKUP($B232,INDIRECT($B$5&amp;"生成成长"),3))*(VLOOKUP($B$5,标准坦克设计!$B$14:$K$20,9)/30))</f>
        <v>1.2440988150251668</v>
      </c>
      <c r="DL232" s="172">
        <f ca="1">(VLOOKUP(DL$72,INDIRECT($C$5&amp;"生成成长"),2))/((VLOOKUP($B232,INDIRECT($B$5&amp;"生成成长"),4))/(VLOOKUP(DL$72,INDIRECT($C$5&amp;"生成成长"),5))*(VLOOKUP($B$5,标准坦克设计!$B$24:$U$30,MATCH("对"&amp;LEFT($C$5,2)&amp;"输出",标准坦克设计!$B$23:$U$23,0)))*(VLOOKUP($B232,INDIRECT($B$5&amp;"生成成长"),3))*(VLOOKUP($B$5,标准坦克设计!$B$14:$K$20,9)/30))</f>
        <v>1.3898682844190384</v>
      </c>
      <c r="DM232" s="172">
        <f ca="1">(VLOOKUP(DM$72,INDIRECT($C$5&amp;"生成成长"),2))/((VLOOKUP($B232,INDIRECT($B$5&amp;"生成成长"),4))/(VLOOKUP(DM$72,INDIRECT($C$5&amp;"生成成长"),5))*(VLOOKUP($B$5,标准坦克设计!$B$24:$U$30,MATCH("对"&amp;LEFT($C$5,2)&amp;"输出",标准坦克设计!$B$23:$U$23,0)))*(VLOOKUP($B232,INDIRECT($B$5&amp;"生成成长"),3))*(VLOOKUP($B$5,标准坦克设计!$B$14:$K$20,9)/30))</f>
        <v>1.5437111398101093</v>
      </c>
      <c r="DN232" s="172">
        <f ca="1">(VLOOKUP(DN$72,INDIRECT($C$5&amp;"生成成长"),2))/((VLOOKUP($B232,INDIRECT($B$5&amp;"生成成长"),4))/(VLOOKUP(DN$72,INDIRECT($C$5&amp;"生成成长"),5))*(VLOOKUP($B$5,标准坦克设计!$B$24:$U$30,MATCH("对"&amp;LEFT($C$5,2)&amp;"输出",标准坦克设计!$B$23:$U$23,0)))*(VLOOKUP($B232,INDIRECT($B$5&amp;"生成成长"),3))*(VLOOKUP($B$5,标准坦克设计!$B$14:$K$20,9)/30))</f>
        <v>1.7056273811983789</v>
      </c>
      <c r="DO232" s="172">
        <f ca="1">(VLOOKUP(DO$72,INDIRECT($C$5&amp;"生成成长"),2))/((VLOOKUP($B232,INDIRECT($B$5&amp;"生成成长"),4))/(VLOOKUP(DO$72,INDIRECT($C$5&amp;"生成成长"),5))*(VLOOKUP($B$5,标准坦克设计!$B$24:$U$30,MATCH("对"&amp;LEFT($C$5,2)&amp;"输出",标准坦克设计!$B$23:$U$23,0)))*(VLOOKUP($B232,INDIRECT($B$5&amp;"生成成长"),3))*(VLOOKUP($B$5,标准坦克设计!$B$14:$K$20,9)/30))</f>
        <v>1.8756170085838482</v>
      </c>
      <c r="DP232" s="172">
        <f ca="1">(VLOOKUP(DP$72,INDIRECT($C$5&amp;"生成成长"),2))/((VLOOKUP($B232,INDIRECT($B$5&amp;"生成成长"),4))/(VLOOKUP(DP$72,INDIRECT($C$5&amp;"生成成长"),5))*(VLOOKUP($B$5,标准坦克设计!$B$24:$U$30,MATCH("对"&amp;LEFT($C$5,2)&amp;"输出",标准坦克设计!$B$23:$U$23,0)))*(VLOOKUP($B232,INDIRECT($B$5&amp;"生成成长"),3))*(VLOOKUP($B$5,标准坦克设计!$B$14:$K$20,9)/30))</f>
        <v>2.0536800219665161</v>
      </c>
      <c r="DQ232" s="172">
        <f ca="1">(VLOOKUP(DQ$72,INDIRECT($C$5&amp;"生成成长"),2))/((VLOOKUP($B232,INDIRECT($B$5&amp;"生成成长"),4))/(VLOOKUP(DQ$72,INDIRECT($C$5&amp;"生成成长"),5))*(VLOOKUP($B$5,标准坦克设计!$B$24:$U$30,MATCH("对"&amp;LEFT($C$5,2)&amp;"输出",标准坦克设计!$B$23:$U$23,0)))*(VLOOKUP($B232,INDIRECT($B$5&amp;"生成成长"),3))*(VLOOKUP($B$5,标准坦克设计!$B$14:$K$20,9)/30))</f>
        <v>2.2398164213463825</v>
      </c>
      <c r="DR232" s="172">
        <f ca="1">(VLOOKUP(DR$72,INDIRECT($C$5&amp;"生成成长"),2))/((VLOOKUP($B232,INDIRECT($B$5&amp;"生成成长"),4))/(VLOOKUP(DR$72,INDIRECT($C$5&amp;"生成成长"),5))*(VLOOKUP($B$5,标准坦克设计!$B$24:$U$30,MATCH("对"&amp;LEFT($C$5,2)&amp;"输出",标准坦克设计!$B$23:$U$23,0)))*(VLOOKUP($B232,INDIRECT($B$5&amp;"生成成长"),3))*(VLOOKUP($B$5,标准坦克设计!$B$14:$K$20,9)/30))</f>
        <v>2.4340262067234488</v>
      </c>
      <c r="DS232" s="172">
        <f ca="1">(VLOOKUP(DS$72,INDIRECT($C$5&amp;"生成成长"),2))/((VLOOKUP($B232,INDIRECT($B$5&amp;"生成成长"),4))/(VLOOKUP(DS$72,INDIRECT($C$5&amp;"生成成长"),5))*(VLOOKUP($B$5,标准坦克设计!$B$24:$U$30,MATCH("对"&amp;LEFT($C$5,2)&amp;"输出",标准坦克设计!$B$23:$U$23,0)))*(VLOOKUP($B232,INDIRECT($B$5&amp;"生成成长"),3))*(VLOOKUP($B$5,标准坦克设计!$B$14:$K$20,9)/30))</f>
        <v>2.6363093780977143</v>
      </c>
      <c r="DT232" s="172">
        <f ca="1">(VLOOKUP(DT$72,INDIRECT($C$5&amp;"生成成长"),2))/((VLOOKUP($B232,INDIRECT($B$5&amp;"生成成长"),4))/(VLOOKUP(DT$72,INDIRECT($C$5&amp;"生成成长"),5))*(VLOOKUP($B$5,标准坦克设计!$B$24:$U$30,MATCH("对"&amp;LEFT($C$5,2)&amp;"输出",标准坦克设计!$B$23:$U$23,0)))*(VLOOKUP($B232,INDIRECT($B$5&amp;"生成成长"),3))*(VLOOKUP($B$5,标准坦克设计!$B$14:$K$20,9)/30))</f>
        <v>2.8945082228599865</v>
      </c>
      <c r="DU232" s="172">
        <f ca="1">(VLOOKUP(DU$72,INDIRECT($C$5&amp;"生成成长"),2))/((VLOOKUP($B232,INDIRECT($B$5&amp;"生成成长"),4))/(VLOOKUP(DU$72,INDIRECT($C$5&amp;"生成成长"),5))*(VLOOKUP($B$5,标准坦克设计!$B$24:$U$30,MATCH("对"&amp;LEFT($C$5,2)&amp;"输出",标准坦克设计!$B$23:$U$23,0)))*(VLOOKUP($B232,INDIRECT($B$5&amp;"生成成长"),3))*(VLOOKUP($B$5,标准坦克设计!$B$14:$K$20,9)/30))</f>
        <v>3.1647673109020267</v>
      </c>
      <c r="DV232" s="172">
        <f ca="1">(VLOOKUP(DV$72,INDIRECT($C$5&amp;"生成成长"),2))/((VLOOKUP($B232,INDIRECT($B$5&amp;"生成成长"),4))/(VLOOKUP(DV$72,INDIRECT($C$5&amp;"生成成长"),5))*(VLOOKUP($B$5,标准坦克设计!$B$24:$U$30,MATCH("对"&amp;LEFT($C$5,2)&amp;"输出",标准坦克设计!$B$23:$U$23,0)))*(VLOOKUP($B232,INDIRECT($B$5&amp;"生成成长"),3))*(VLOOKUP($B$5,标准坦克设计!$B$14:$K$20,9)/30))</f>
        <v>3.4470866422238324</v>
      </c>
      <c r="DW232" s="172">
        <f ca="1">(VLOOKUP(DW$72,INDIRECT($C$5&amp;"生成成长"),2))/((VLOOKUP($B232,INDIRECT($B$5&amp;"生成成长"),4))/(VLOOKUP(DW$72,INDIRECT($C$5&amp;"生成成长"),5))*(VLOOKUP($B$5,标准坦克设计!$B$24:$U$30,MATCH("对"&amp;LEFT($C$5,2)&amp;"输出",标准坦克设计!$B$23:$U$23,0)))*(VLOOKUP($B232,INDIRECT($B$5&amp;"生成成长"),3))*(VLOOKUP($B$5,标准坦克设计!$B$14:$K$20,9)/30))</f>
        <v>3.7414662168254056</v>
      </c>
      <c r="DX232" s="172">
        <f ca="1">(VLOOKUP(DX$72,INDIRECT($C$5&amp;"生成成长"),2))/((VLOOKUP($B232,INDIRECT($B$5&amp;"生成成长"),4))/(VLOOKUP(DX$72,INDIRECT($C$5&amp;"生成成长"),5))*(VLOOKUP($B$5,标准坦克设计!$B$24:$U$30,MATCH("对"&amp;LEFT($C$5,2)&amp;"输出",标准坦克设计!$B$23:$U$23,0)))*(VLOOKUP($B232,INDIRECT($B$5&amp;"生成成长"),3))*(VLOOKUP($B$5,标准坦克设计!$B$14:$K$20,9)/30))</f>
        <v>4.0479060347067444</v>
      </c>
      <c r="DY232" s="172">
        <f ca="1">(VLOOKUP(DY$72,INDIRECT($C$5&amp;"生成成长"),2))/((VLOOKUP($B232,INDIRECT($B$5&amp;"生成成长"),4))/(VLOOKUP(DY$72,INDIRECT($C$5&amp;"生成成长"),5))*(VLOOKUP($B$5,标准坦克设计!$B$24:$U$30,MATCH("对"&amp;LEFT($C$5,2)&amp;"输出",标准坦克设计!$B$23:$U$23,0)))*(VLOOKUP($B232,INDIRECT($B$5&amp;"生成成长"),3))*(VLOOKUP($B$5,标准坦克设计!$B$14:$K$20,9)/30))</f>
        <v>1.8180567565667807</v>
      </c>
      <c r="DZ232" s="172">
        <f ca="1">(VLOOKUP(DZ$72,INDIRECT($C$5&amp;"生成成长"),2))/((VLOOKUP($B232,INDIRECT($B$5&amp;"生成成长"),4))/(VLOOKUP(DZ$72,INDIRECT($C$5&amp;"生成成长"),5))*(VLOOKUP($B$5,标准坦克设计!$B$24:$U$30,MATCH("对"&amp;LEFT($C$5,2)&amp;"输出",标准坦克设计!$B$23:$U$23,0)))*(VLOOKUP($B232,INDIRECT($B$5&amp;"生成成长"),3))*(VLOOKUP($B$5,标准坦克设计!$B$14:$K$20,9)/30))</f>
        <v>2.0134127634125849</v>
      </c>
      <c r="EA232" s="172">
        <f ca="1">(VLOOKUP(EA$72,INDIRECT($C$5&amp;"生成成长"),2))/((VLOOKUP($B232,INDIRECT($B$5&amp;"生成成长"),4))/(VLOOKUP(EA$72,INDIRECT($C$5&amp;"生成成长"),5))*(VLOOKUP($B$5,标准坦克设计!$B$24:$U$30,MATCH("对"&amp;LEFT($C$5,2)&amp;"输出",标准坦克设计!$B$23:$U$23,0)))*(VLOOKUP($B232,INDIRECT($B$5&amp;"生成成长"),3))*(VLOOKUP($B$5,标准坦克设计!$B$14:$K$20,9)/30))</f>
        <v>2.218735913464807</v>
      </c>
      <c r="EB232" s="172">
        <f ca="1">(VLOOKUP(EB$72,INDIRECT($C$5&amp;"生成成长"),2))/((VLOOKUP($B232,INDIRECT($B$5&amp;"生成成长"),4))/(VLOOKUP(EB$72,INDIRECT($C$5&amp;"生成成长"),5))*(VLOOKUP($B$5,标准坦克设计!$B$24:$U$30,MATCH("对"&amp;LEFT($C$5,2)&amp;"输出",标准坦克设计!$B$23:$U$23,0)))*(VLOOKUP($B232,INDIRECT($B$5&amp;"生成成长"),3))*(VLOOKUP($B$5,标准坦克设计!$B$14:$K$20,9)/30))</f>
        <v>2.4340262067234488</v>
      </c>
      <c r="EC232" s="172">
        <f ca="1">(VLOOKUP(EC$72,INDIRECT($C$5&amp;"生成成长"),2))/((VLOOKUP($B232,INDIRECT($B$5&amp;"生成成长"),4))/(VLOOKUP(EC$72,INDIRECT($C$5&amp;"生成成长"),5))*(VLOOKUP($B$5,标准坦克设计!$B$24:$U$30,MATCH("对"&amp;LEFT($C$5,2)&amp;"输出",标准坦克设计!$B$23:$U$23,0)))*(VLOOKUP($B232,INDIRECT($B$5&amp;"生成成长"),3))*(VLOOKUP($B$5,标准坦克设计!$B$14:$K$20,9)/30))</f>
        <v>2.6592836431885085</v>
      </c>
      <c r="ED232" s="172">
        <f ca="1">(VLOOKUP(ED$72,INDIRECT($C$5&amp;"生成成长"),2))/((VLOOKUP($B232,INDIRECT($B$5&amp;"生成成长"),4))/(VLOOKUP(ED$72,INDIRECT($C$5&amp;"生成成长"),5))*(VLOOKUP($B$5,标准坦克设计!$B$24:$U$30,MATCH("对"&amp;LEFT($C$5,2)&amp;"输出",标准坦克设计!$B$23:$U$23,0)))*(VLOOKUP($B232,INDIRECT($B$5&amp;"生成成长"),3))*(VLOOKUP($B$5,标准坦克设计!$B$14:$K$20,9)/30))</f>
        <v>2.8945082228599865</v>
      </c>
      <c r="EE232" s="172">
        <f ca="1">(VLOOKUP(EE$72,INDIRECT($C$5&amp;"生成成长"),2))/((VLOOKUP($B232,INDIRECT($B$5&amp;"生成成长"),4))/(VLOOKUP(EE$72,INDIRECT($C$5&amp;"生成成长"),5))*(VLOOKUP($B$5,标准坦克设计!$B$24:$U$30,MATCH("对"&amp;LEFT($C$5,2)&amp;"输出",标准坦克设计!$B$23:$U$23,0)))*(VLOOKUP($B232,INDIRECT($B$5&amp;"生成成长"),3))*(VLOOKUP($B$5,标准坦克设计!$B$14:$K$20,9)/30))</f>
        <v>3.1396999457378838</v>
      </c>
      <c r="EF232" s="172">
        <f ca="1">(VLOOKUP(EF$72,INDIRECT($C$5&amp;"生成成长"),2))/((VLOOKUP($B232,INDIRECT($B$5&amp;"生成成长"),4))/(VLOOKUP(EF$72,INDIRECT($C$5&amp;"生成成长"),5))*(VLOOKUP($B$5,标准坦克设计!$B$24:$U$30,MATCH("对"&amp;LEFT($C$5,2)&amp;"输出",标准坦克设计!$B$23:$U$23,0)))*(VLOOKUP($B232,INDIRECT($B$5&amp;"生成成长"),3))*(VLOOKUP($B$5,标准坦克设计!$B$14:$K$20,9)/30))</f>
        <v>3.3948588118221994</v>
      </c>
      <c r="EG232" s="172">
        <f ca="1">(VLOOKUP(EG$72,INDIRECT($C$5&amp;"生成成长"),2))/((VLOOKUP($B232,INDIRECT($B$5&amp;"生成成长"),4))/(VLOOKUP(EG$72,INDIRECT($C$5&amp;"生成成长"),5))*(VLOOKUP($B$5,标准坦克设计!$B$24:$U$30,MATCH("对"&amp;LEFT($C$5,2)&amp;"输出",标准坦克设计!$B$23:$U$23,0)))*(VLOOKUP($B232,INDIRECT($B$5&amp;"生成成长"),3))*(VLOOKUP($B$5,标准坦克设计!$B$14:$K$20,9)/30))</f>
        <v>3.6599848211129338</v>
      </c>
      <c r="EH232" s="172">
        <f ca="1">(VLOOKUP(EH$72,INDIRECT($C$5&amp;"生成成长"),2))/((VLOOKUP($B232,INDIRECT($B$5&amp;"生成成长"),4))/(VLOOKUP(EH$72,INDIRECT($C$5&amp;"生成成长"),5))*(VLOOKUP($B$5,标准坦克设计!$B$24:$U$30,MATCH("对"&amp;LEFT($C$5,2)&amp;"输出",标准坦克设计!$B$23:$U$23,0)))*(VLOOKUP($B232,INDIRECT($B$5&amp;"生成成长"),3))*(VLOOKUP($B$5,标准坦克设计!$B$14:$K$20,9)/30))</f>
        <v>3.9350779736100856</v>
      </c>
      <c r="EI232" s="172">
        <f ca="1">(VLOOKUP(EI$72,INDIRECT($C$5&amp;"生成成长"),2))/((VLOOKUP($B232,INDIRECT($B$5&amp;"生成成长"),4))/(VLOOKUP(EI$72,INDIRECT($C$5&amp;"生成成长"),5))*(VLOOKUP($B$5,标准坦克设计!$B$24:$U$30,MATCH("对"&amp;LEFT($C$5,2)&amp;"输出",标准坦克设计!$B$23:$U$23,0)))*(VLOOKUP($B232,INDIRECT($B$5&amp;"生成成长"),3))*(VLOOKUP($B$5,标准坦克设计!$B$14:$K$20,9)/30))</f>
        <v>4.220138269313658</v>
      </c>
      <c r="EJ232" s="172">
        <f ca="1">(VLOOKUP(EJ$72,INDIRECT($C$5&amp;"生成成长"),2))/((VLOOKUP($B232,INDIRECT($B$5&amp;"生成成长"),4))/(VLOOKUP(EJ$72,INDIRECT($C$5&amp;"生成成长"),5))*(VLOOKUP($B$5,标准坦克设计!$B$24:$U$30,MATCH("对"&amp;LEFT($C$5,2)&amp;"输出",标准坦克设计!$B$23:$U$23,0)))*(VLOOKUP($B232,INDIRECT($B$5&amp;"生成成长"),3))*(VLOOKUP($B$5,标准坦克设计!$B$14:$K$20,9)/30))</f>
        <v>4.5151657082236465</v>
      </c>
      <c r="EK232" s="172">
        <f ca="1">(VLOOKUP(EK$72,INDIRECT($C$5&amp;"生成成长"),2))/((VLOOKUP($B232,INDIRECT($B$5&amp;"生成成长"),4))/(VLOOKUP(EK$72,INDIRECT($C$5&amp;"生成成长"),5))*(VLOOKUP($B$5,标准坦克设计!$B$24:$U$30,MATCH("对"&amp;LEFT($C$5,2)&amp;"输出",标准坦克设计!$B$23:$U$23,0)))*(VLOOKUP($B232,INDIRECT($B$5&amp;"生成成长"),3))*(VLOOKUP($B$5,标准坦克设计!$B$14:$K$20,9)/30))</f>
        <v>4.8823552639481083</v>
      </c>
      <c r="EL232" s="172">
        <f ca="1">(VLOOKUP(EL$72,INDIRECT($C$5&amp;"生成成长"),2))/((VLOOKUP($B232,INDIRECT($B$5&amp;"生成成长"),4))/(VLOOKUP(EL$72,INDIRECT($C$5&amp;"生成成长"),5))*(VLOOKUP($B$5,标准坦克设计!$B$24:$U$30,MATCH("对"&amp;LEFT($C$5,2)&amp;"输出",标准坦克设计!$B$23:$U$23,0)))*(VLOOKUP($B232,INDIRECT($B$5&amp;"生成成长"),3))*(VLOOKUP($B$5,标准坦克设计!$B$14:$K$20,9)/30))</f>
        <v>5.263897505889811</v>
      </c>
      <c r="EM232" s="172">
        <f ca="1">(VLOOKUP(EM$72,INDIRECT($C$5&amp;"生成成长"),2))/((VLOOKUP($B232,INDIRECT($B$5&amp;"生成成长"),4))/(VLOOKUP(EM$72,INDIRECT($C$5&amp;"生成成长"),5))*(VLOOKUP($B$5,标准坦克设计!$B$24:$U$30,MATCH("对"&amp;LEFT($C$5,2)&amp;"输出",标准坦克设计!$B$23:$U$23,0)))*(VLOOKUP($B232,INDIRECT($B$5&amp;"生成成长"),3))*(VLOOKUP($B$5,标准坦克设计!$B$14:$K$20,9)/30))</f>
        <v>5.6597924340487573</v>
      </c>
      <c r="EN232" s="172">
        <f ca="1">(VLOOKUP(EN$72,INDIRECT($C$5&amp;"生成成长"),2))/((VLOOKUP($B232,INDIRECT($B$5&amp;"生成成长"),4))/(VLOOKUP(EN$72,INDIRECT($C$5&amp;"生成成长"),5))*(VLOOKUP($B$5,标准坦克设计!$B$24:$U$30,MATCH("对"&amp;LEFT($C$5,2)&amp;"输出",标准坦克设计!$B$23:$U$23,0)))*(VLOOKUP($B232,INDIRECT($B$5&amp;"生成成长"),3))*(VLOOKUP($B$5,标准坦克设计!$B$14:$K$20,9)/30))</f>
        <v>6.0700400484249446</v>
      </c>
      <c r="EO232" s="172">
        <f ca="1">(VLOOKUP(EO$72,INDIRECT($C$5&amp;"生成成长"),2))/((VLOOKUP($B232,INDIRECT($B$5&amp;"生成成长"),4))/(VLOOKUP(EO$72,INDIRECT($C$5&amp;"生成成长"),5))*(VLOOKUP($B$5,标准坦克设计!$B$24:$U$30,MATCH("对"&amp;LEFT($C$5,2)&amp;"输出",标准坦克设计!$B$23:$U$23,0)))*(VLOOKUP($B232,INDIRECT($B$5&amp;"生成成长"),3))*(VLOOKUP($B$5,标准坦克设计!$B$14:$K$20,9)/30))</f>
        <v>6.4946403490183773</v>
      </c>
      <c r="EP232" s="172">
        <f ca="1">(VLOOKUP(EP$72,INDIRECT($C$5&amp;"生成成长"),2))/((VLOOKUP($B232,INDIRECT($B$5&amp;"生成成长"),4))/(VLOOKUP(EP$72,INDIRECT($C$5&amp;"生成成长"),5))*(VLOOKUP($B$5,标准坦克设计!$B$24:$U$30,MATCH("对"&amp;LEFT($C$5,2)&amp;"输出",标准坦克设计!$B$23:$U$23,0)))*(VLOOKUP($B232,INDIRECT($B$5&amp;"生成成长"),3))*(VLOOKUP($B$5,标准坦克设计!$B$14:$K$20,9)/30))</f>
        <v>6.9335933358290509</v>
      </c>
      <c r="EQ232" s="172">
        <f ca="1">(VLOOKUP(EQ$72,INDIRECT($C$5&amp;"生成成长"),2))/((VLOOKUP($B232,INDIRECT($B$5&amp;"生成成长"),4))/(VLOOKUP(EQ$72,INDIRECT($C$5&amp;"生成成长"),5))*(VLOOKUP($B$5,标准坦克设计!$B$24:$U$30,MATCH("对"&amp;LEFT($C$5,2)&amp;"输出",标准坦克设计!$B$23:$U$23,0)))*(VLOOKUP($B232,INDIRECT($B$5&amp;"生成成长"),3))*(VLOOKUP($B$5,标准坦克设计!$B$14:$K$20,9)/30))</f>
        <v>3.0650958788378411</v>
      </c>
      <c r="ER232" s="172">
        <f ca="1">(VLOOKUP(ER$72,INDIRECT($C$5&amp;"生成成长"),2))/((VLOOKUP($B232,INDIRECT($B$5&amp;"生成成长"),4))/(VLOOKUP(ER$72,INDIRECT($C$5&amp;"生成成长"),5))*(VLOOKUP($B$5,标准坦克设计!$B$24:$U$30,MATCH("对"&amp;LEFT($C$5,2)&amp;"输出",标准坦克设计!$B$23:$U$23,0)))*(VLOOKUP($B232,INDIRECT($B$5&amp;"生成成长"),3))*(VLOOKUP($B$5,标准坦克设计!$B$14:$K$20,9)/30))</f>
        <v>3.3430296671488233</v>
      </c>
      <c r="ES232" s="172">
        <f ca="1">(VLOOKUP(ES$72,INDIRECT($C$5&amp;"生成成长"),2))/((VLOOKUP($B232,INDIRECT($B$5&amp;"生成成长"),4))/(VLOOKUP(ES$72,INDIRECT($C$5&amp;"生成成长"),5))*(VLOOKUP($B$5,标准坦克设计!$B$24:$U$30,MATCH("对"&amp;LEFT($C$5,2)&amp;"输出",标准坦克设计!$B$23:$U$23,0)))*(VLOOKUP($B232,INDIRECT($B$5&amp;"生成成长"),3))*(VLOOKUP($B$5,标准坦克设计!$B$14:$K$20,9)/30))</f>
        <v>3.6330236987395708</v>
      </c>
      <c r="ET232" s="172">
        <f ca="1">(VLOOKUP(ET$72,INDIRECT($C$5&amp;"生成成长"),2))/((VLOOKUP($B232,INDIRECT($B$5&amp;"生成成长"),4))/(VLOOKUP(ET$72,INDIRECT($C$5&amp;"生成成长"),5))*(VLOOKUP($B$5,标准坦克设计!$B$24:$U$30,MATCH("对"&amp;LEFT($C$5,2)&amp;"输出",标准坦克设计!$B$23:$U$23,0)))*(VLOOKUP($B232,INDIRECT($B$5&amp;"生成成长"),3))*(VLOOKUP($B$5,标准坦克设计!$B$14:$K$20,9)/30))</f>
        <v>3.9350779736100856</v>
      </c>
      <c r="EU232" s="172">
        <f ca="1">(VLOOKUP(EU$72,INDIRECT($C$5&amp;"生成成长"),2))/((VLOOKUP($B232,INDIRECT($B$5&amp;"生成成长"),4))/(VLOOKUP(EU$72,INDIRECT($C$5&amp;"生成成长"),5))*(VLOOKUP($B$5,标准坦克设计!$B$24:$U$30,MATCH("对"&amp;LEFT($C$5,2)&amp;"输出",标准坦克设计!$B$23:$U$23,0)))*(VLOOKUP($B232,INDIRECT($B$5&amp;"生成成长"),3))*(VLOOKUP($B$5,标准坦克设计!$B$14:$K$20,9)/30))</f>
        <v>4.2491924917603674</v>
      </c>
      <c r="EV232" s="172">
        <f ca="1">(VLOOKUP(EV$72,INDIRECT($C$5&amp;"生成成长"),2))/((VLOOKUP($B232,INDIRECT($B$5&amp;"生成成长"),4))/(VLOOKUP(EV$72,INDIRECT($C$5&amp;"生成成长"),5))*(VLOOKUP($B$5,标准坦克设计!$B$24:$U$30,MATCH("对"&amp;LEFT($C$5,2)&amp;"输出",标准坦克设计!$B$23:$U$23,0)))*(VLOOKUP($B232,INDIRECT($B$5&amp;"生成成长"),3))*(VLOOKUP($B$5,标准坦克设计!$B$14:$K$20,9)/30))</f>
        <v>4.5753672531904162</v>
      </c>
      <c r="EW232" s="172">
        <f ca="1">(VLOOKUP(EW$72,INDIRECT($C$5&amp;"生成成长"),2))/((VLOOKUP($B232,INDIRECT($B$5&amp;"生成成长"),4))/(VLOOKUP(EW$72,INDIRECT($C$5&amp;"生成成长"),5))*(VLOOKUP($B$5,标准坦克设计!$B$24:$U$30,MATCH("对"&amp;LEFT($C$5,2)&amp;"输出",标准坦克设计!$B$23:$U$23,0)))*(VLOOKUP($B232,INDIRECT($B$5&amp;"生成成长"),3))*(VLOOKUP($B$5,标准坦克设计!$B$14:$K$20,9)/30))</f>
        <v>4.9136022579002292</v>
      </c>
      <c r="EX232" s="172">
        <f ca="1">(VLOOKUP(EX$72,INDIRECT($C$5&amp;"生成成长"),2))/((VLOOKUP($B232,INDIRECT($B$5&amp;"生成成长"),4))/(VLOOKUP(EX$72,INDIRECT($C$5&amp;"生成成长"),5))*(VLOOKUP($B$5,标准坦克设计!$B$24:$U$30,MATCH("对"&amp;LEFT($C$5,2)&amp;"输出",标准坦克设计!$B$23:$U$23,0)))*(VLOOKUP($B232,INDIRECT($B$5&amp;"生成成长"),3))*(VLOOKUP($B$5,标准坦克设计!$B$14:$K$20,9)/30))</f>
        <v>5.263897505889811</v>
      </c>
      <c r="EY232" s="172">
        <f ca="1">(VLOOKUP(EY$72,INDIRECT($C$5&amp;"生成成长"),2))/((VLOOKUP($B232,INDIRECT($B$5&amp;"生成成长"),4))/(VLOOKUP(EY$72,INDIRECT($C$5&amp;"生成成长"),5))*(VLOOKUP($B$5,标准坦克设计!$B$24:$U$30,MATCH("对"&amp;LEFT($C$5,2)&amp;"输出",标准坦克设计!$B$23:$U$23,0)))*(VLOOKUP($B232,INDIRECT($B$5&amp;"生成成长"),3))*(VLOOKUP($B$5,标准坦克设计!$B$14:$K$20,9)/30))</f>
        <v>5.6262529971591579</v>
      </c>
      <c r="EZ232" s="172">
        <f ca="1">(VLOOKUP(EZ$72,INDIRECT($C$5&amp;"生成成长"),2))/((VLOOKUP($B232,INDIRECT($B$5&amp;"生成成长"),4))/(VLOOKUP(EZ$72,INDIRECT($C$5&amp;"生成成长"),5))*(VLOOKUP($B$5,标准坦克设计!$B$24:$U$30,MATCH("对"&amp;LEFT($C$5,2)&amp;"输出",标准坦克设计!$B$23:$U$23,0)))*(VLOOKUP($B232,INDIRECT($B$5&amp;"生成成长"),3))*(VLOOKUP($B$5,标准坦克设计!$B$14:$K$20,9)/30))</f>
        <v>6.0006687317082719</v>
      </c>
      <c r="FA232" s="172">
        <f ca="1">(VLOOKUP(FA$72,INDIRECT($C$5&amp;"生成成长"),2))/((VLOOKUP($B232,INDIRECT($B$5&amp;"生成成长"),4))/(VLOOKUP(FA$72,INDIRECT($C$5&amp;"生成成长"),5))*(VLOOKUP($B$5,标准坦克设计!$B$24:$U$30,MATCH("对"&amp;LEFT($C$5,2)&amp;"输出",标准坦克设计!$B$23:$U$23,0)))*(VLOOKUP($B232,INDIRECT($B$5&amp;"生成成长"),3))*(VLOOKUP($B$5,标准坦克设计!$B$14:$K$20,9)/30))</f>
        <v>6.3871447095371527</v>
      </c>
      <c r="FB232" s="172">
        <f ca="1">(VLOOKUP(FB$72,INDIRECT($C$5&amp;"生成成长"),2))/((VLOOKUP($B232,INDIRECT($B$5&amp;"生成成长"),4))/(VLOOKUP(FB$72,INDIRECT($C$5&amp;"生成成长"),5))*(VLOOKUP($B$5,标准坦克设计!$B$24:$U$30,MATCH("对"&amp;LEFT($C$5,2)&amp;"输出",标准坦克设计!$B$23:$U$23,0)))*(VLOOKUP($B232,INDIRECT($B$5&amp;"生成成长"),3))*(VLOOKUP($B$5,标准坦克设计!$B$14:$K$20,9)/30))</f>
        <v>6.7856809306458006</v>
      </c>
      <c r="FC232" s="172">
        <f ca="1">(VLOOKUP(FC$72,INDIRECT($C$5&amp;"生成成长"),2))/((VLOOKUP($B232,INDIRECT($B$5&amp;"生成成长"),4))/(VLOOKUP(FC$72,INDIRECT($C$5&amp;"生成成长"),5))*(VLOOKUP($B$5,标准坦克设计!$B$24:$U$30,MATCH("对"&amp;LEFT($C$5,2)&amp;"输出",标准坦克设计!$B$23:$U$23,0)))*(VLOOKUP($B232,INDIRECT($B$5&amp;"生成成长"),3))*(VLOOKUP($B$5,标准坦克设计!$B$14:$K$20,9)/30))</f>
        <v>7.1962773950342136</v>
      </c>
      <c r="FD232" s="172">
        <f ca="1">(VLOOKUP(FD$72,INDIRECT($C$5&amp;"生成成长"),2))/((VLOOKUP($B232,INDIRECT($B$5&amp;"生成成长"),4))/(VLOOKUP(FD$72,INDIRECT($C$5&amp;"生成成长"),5))*(VLOOKUP($B$5,标准坦克设计!$B$24:$U$30,MATCH("对"&amp;LEFT($C$5,2)&amp;"输出",标准坦克设计!$B$23:$U$23,0)))*(VLOOKUP($B232,INDIRECT($B$5&amp;"生成成长"),3))*(VLOOKUP($B$5,标准坦克设计!$B$14:$K$20,9)/30))</f>
        <v>7.6189341027023918</v>
      </c>
      <c r="FE232" s="172">
        <f ca="1">(VLOOKUP(FE$72,INDIRECT($C$5&amp;"生成成长"),2))/((VLOOKUP($B232,INDIRECT($B$5&amp;"生成成长"),4))/(VLOOKUP(FE$72,INDIRECT($C$5&amp;"生成成长"),5))*(VLOOKUP($B$5,标准坦克设计!$B$24:$U$30,MATCH("对"&amp;LEFT($C$5,2)&amp;"输出",标准坦克设计!$B$23:$U$23,0)))*(VLOOKUP($B232,INDIRECT($B$5&amp;"生成成长"),3))*(VLOOKUP($B$5,标准坦克设计!$B$14:$K$20,9)/30))</f>
        <v>8.1339862278940718</v>
      </c>
      <c r="FF232" s="172">
        <f ca="1">(VLOOKUP(FF$72,INDIRECT($C$5&amp;"生成成长"),2))/((VLOOKUP($B232,INDIRECT($B$5&amp;"生成成长"),4))/(VLOOKUP(FF$72,INDIRECT($C$5&amp;"生成成长"),5))*(VLOOKUP($B$5,标准坦克设计!$B$24:$U$30,MATCH("对"&amp;LEFT($C$5,2)&amp;"输出",标准坦克设计!$B$23:$U$23,0)))*(VLOOKUP($B232,INDIRECT($B$5&amp;"生成成长"),3))*(VLOOKUP($B$5,标准坦克设计!$B$14:$K$20,9)/30))</f>
        <v>8.6658828251045996</v>
      </c>
      <c r="FG232" s="172">
        <f ca="1">(VLOOKUP(FG$72,INDIRECT($C$5&amp;"生成成长"),2))/((VLOOKUP($B232,INDIRECT($B$5&amp;"生成成长"),4))/(VLOOKUP(FG$72,INDIRECT($C$5&amp;"生成成长"),5))*(VLOOKUP($B$5,标准坦克设计!$B$24:$U$30,MATCH("对"&amp;LEFT($C$5,2)&amp;"输出",标准坦克设计!$B$23:$U$23,0)))*(VLOOKUP($B232,INDIRECT($B$5&amp;"生成成长"),3))*(VLOOKUP($B$5,标准坦克设计!$B$14:$K$20,9)/30))</f>
        <v>9.2146238943339736</v>
      </c>
      <c r="FH232" s="172">
        <f ca="1">(VLOOKUP(FH$72,INDIRECT($C$5&amp;"生成成长"),2))/((VLOOKUP($B232,INDIRECT($B$5&amp;"生成成长"),4))/(VLOOKUP(FH$72,INDIRECT($C$5&amp;"生成成长"),5))*(VLOOKUP($B$5,标准坦克设计!$B$24:$U$30,MATCH("对"&amp;LEFT($C$5,2)&amp;"输出",标准坦克设计!$B$23:$U$23,0)))*(VLOOKUP($B232,INDIRECT($B$5&amp;"生成成长"),3))*(VLOOKUP($B$5,标准坦克设计!$B$14:$K$20,9)/30))</f>
        <v>9.7802094355821971</v>
      </c>
      <c r="FI232" s="172">
        <f ca="1">(VLOOKUP(FI$72,INDIRECT($C$5&amp;"生成成长"),2))/((VLOOKUP($B232,INDIRECT($B$5&amp;"生成成长"),4))/(VLOOKUP(FI$72,INDIRECT($C$5&amp;"生成成长"),5))*(VLOOKUP($B$5,标准坦克设计!$B$24:$U$30,MATCH("对"&amp;LEFT($C$5,2)&amp;"输出",标准坦克设计!$B$23:$U$23,0)))*(VLOOKUP($B232,INDIRECT($B$5&amp;"生成成长"),3))*(VLOOKUP($B$5,标准坦克设计!$B$14:$K$20,9)/30))</f>
        <v>10.362639448849265</v>
      </c>
      <c r="FJ232" s="172">
        <f ca="1">(VLOOKUP(FJ$72,INDIRECT($C$5&amp;"生成成长"),2))/((VLOOKUP($B232,INDIRECT($B$5&amp;"生成成长"),4))/(VLOOKUP(FJ$72,INDIRECT($C$5&amp;"生成成长"),5))*(VLOOKUP($B$5,标准坦克设计!$B$24:$U$30,MATCH("对"&amp;LEFT($C$5,2)&amp;"输出",标准坦克设计!$B$23:$U$23,0)))*(VLOOKUP($B232,INDIRECT($B$5&amp;"生成成长"),3))*(VLOOKUP($B$5,标准坦克设计!$B$14:$K$20,9)/30))</f>
        <v>10.961913934135183</v>
      </c>
      <c r="FK232" s="172">
        <f ca="1">(VLOOKUP(FK$72,INDIRECT($C$5&amp;"生成成长"),2))/((VLOOKUP($B232,INDIRECT($B$5&amp;"生成成长"),4))/(VLOOKUP(FK$72,INDIRECT($C$5&amp;"生成成长"),5))*(VLOOKUP($B$5,标准坦克设计!$B$24:$U$30,MATCH("对"&amp;LEFT($C$5,2)&amp;"输出",标准坦克设计!$B$23:$U$23,0)))*(VLOOKUP($B232,INDIRECT($B$5&amp;"生成成长"),3))*(VLOOKUP($B$5,标准坦克设计!$B$14:$K$20,9)/30))</f>
        <v>11.578032891439946</v>
      </c>
    </row>
    <row r="233" spans="1:167" x14ac:dyDescent="0.15">
      <c r="A233" s="170" t="str">
        <f t="shared" si="13"/>
        <v>T5高品质17级</v>
      </c>
      <c r="B233" s="171">
        <v>30517</v>
      </c>
      <c r="C233" s="172">
        <f ca="1">(VLOOKUP(C$72,INDIRECT($C$5&amp;"生成成长"),2))/((VLOOKUP($B233,INDIRECT($B$5&amp;"生成成长"),4))/(VLOOKUP(C$72,INDIRECT($C$5&amp;"生成成长"),5))*(VLOOKUP($B$5,标准坦克设计!$B$24:$U$30,MATCH("对"&amp;LEFT($C$5,2)&amp;"输出",标准坦克设计!$B$23:$U$23,0)))*(VLOOKUP($B233,INDIRECT($B$5&amp;"生成成长"),3))*(VLOOKUP($B$5,标准坦克设计!$B$14:$K$20,9)/30))</f>
        <v>0.46907612060029436</v>
      </c>
      <c r="D233" s="172">
        <f ca="1">(VLOOKUP(D$72,INDIRECT($C$5&amp;"生成成长"),2))/((VLOOKUP($B233,INDIRECT($B$5&amp;"生成成长"),4))/(VLOOKUP(D$72,INDIRECT($C$5&amp;"生成成长"),5))*(VLOOKUP($B$5,标准坦克设计!$B$24:$U$30,MATCH("对"&amp;LEFT($C$5,2)&amp;"输出",标准坦克设计!$B$23:$U$23,0)))*(VLOOKUP($B233,INDIRECT($B$5&amp;"生成成长"),3))*(VLOOKUP($B$5,标准坦克设计!$B$14:$K$20,9)/30))</f>
        <v>0.52705392910649063</v>
      </c>
      <c r="E233" s="172">
        <f ca="1">(VLOOKUP(E$72,INDIRECT($C$5&amp;"生成成长"),2))/((VLOOKUP($B233,INDIRECT($B$5&amp;"生成成长"),4))/(VLOOKUP(E$72,INDIRECT($C$5&amp;"生成成长"),5))*(VLOOKUP($B$5,标准坦克设计!$B$24:$U$30,MATCH("对"&amp;LEFT($C$5,2)&amp;"输出",标准坦克设计!$B$23:$U$23,0)))*(VLOOKUP($B233,INDIRECT($B$5&amp;"生成成长"),3))*(VLOOKUP($B$5,标准坦克设计!$B$14:$K$20,9)/30))</f>
        <v>0.58840908568100914</v>
      </c>
      <c r="F233" s="172">
        <f ca="1">(VLOOKUP(F$72,INDIRECT($C$5&amp;"生成成长"),2))/((VLOOKUP($B233,INDIRECT($B$5&amp;"生成成长"),4))/(VLOOKUP(F$72,INDIRECT($C$5&amp;"生成成长"),5))*(VLOOKUP($B$5,标准坦克设计!$B$24:$U$30,MATCH("对"&amp;LEFT($C$5,2)&amp;"输出",标准坦克设计!$B$23:$U$23,0)))*(VLOOKUP($B233,INDIRECT($B$5&amp;"生成成长"),3))*(VLOOKUP($B$5,标准坦克设计!$B$14:$K$20,9)/30))</f>
        <v>0.65314159032384966</v>
      </c>
      <c r="G233" s="172">
        <f ca="1">(VLOOKUP(G$72,INDIRECT($C$5&amp;"生成成长"),2))/((VLOOKUP($B233,INDIRECT($B$5&amp;"生成成长"),4))/(VLOOKUP(G$72,INDIRECT($C$5&amp;"生成成长"),5))*(VLOOKUP($B$5,标准坦克设计!$B$24:$U$30,MATCH("对"&amp;LEFT($C$5,2)&amp;"输出",标准坦克设计!$B$23:$U$23,0)))*(VLOOKUP($B233,INDIRECT($B$5&amp;"生成成长"),3))*(VLOOKUP($B$5,标准坦克设计!$B$14:$K$20,9)/30))</f>
        <v>0.72125144303501254</v>
      </c>
      <c r="H233" s="172">
        <f ca="1">(VLOOKUP(H$72,INDIRECT($C$5&amp;"生成成长"),2))/((VLOOKUP($B233,INDIRECT($B$5&amp;"生成成长"),4))/(VLOOKUP(H$72,INDIRECT($C$5&amp;"生成成长"),5))*(VLOOKUP($B$5,标准坦克设计!$B$24:$U$30,MATCH("对"&amp;LEFT($C$5,2)&amp;"输出",标准坦克设计!$B$23:$U$23,0)))*(VLOOKUP($B233,INDIRECT($B$5&amp;"生成成长"),3))*(VLOOKUP($B$5,标准坦克设计!$B$14:$K$20,9)/30))</f>
        <v>0.63118882787975594</v>
      </c>
      <c r="I233" s="172">
        <f ca="1">(VLOOKUP(I$72,INDIRECT($C$5&amp;"生成成长"),2))/((VLOOKUP($B233,INDIRECT($B$5&amp;"生成成长"),4))/(VLOOKUP(I$72,INDIRECT($C$5&amp;"生成成长"),5))*(VLOOKUP($B$5,标准坦克设计!$B$24:$U$30,MATCH("对"&amp;LEFT($C$5,2)&amp;"输出",标准坦克设计!$B$23:$U$23,0)))*(VLOOKUP($B233,INDIRECT($B$5&amp;"生成成长"),3))*(VLOOKUP($B$5,标准坦克设计!$B$14:$K$20,9)/30))</f>
        <v>0.72125144303501254</v>
      </c>
      <c r="J233" s="172">
        <f ca="1">(VLOOKUP(J$72,INDIRECT($C$5&amp;"生成成长"),2))/((VLOOKUP($B233,INDIRECT($B$5&amp;"生成成长"),4))/(VLOOKUP(J$72,INDIRECT($C$5&amp;"生成成长"),5))*(VLOOKUP($B$5,标准坦克设计!$B$24:$U$30,MATCH("对"&amp;LEFT($C$5,2)&amp;"输出",标准坦克设计!$B$23:$U$23,0)))*(VLOOKUP($B233,INDIRECT($B$5&amp;"生成成长"),3))*(VLOOKUP($B$5,标准坦克设计!$B$14:$K$20,9)/30))</f>
        <v>0.81731823253395275</v>
      </c>
      <c r="K233" s="172">
        <f ca="1">(VLOOKUP(K$72,INDIRECT($C$5&amp;"生成成长"),2))/((VLOOKUP($B233,INDIRECT($B$5&amp;"生成成长"),4))/(VLOOKUP(K$72,INDIRECT($C$5&amp;"生成成长"),5))*(VLOOKUP($B$5,标准坦克设计!$B$24:$U$30,MATCH("对"&amp;LEFT($C$5,2)&amp;"输出",标准坦克设计!$B$23:$U$23,0)))*(VLOOKUP($B233,INDIRECT($B$5&amp;"生成成长"),3))*(VLOOKUP($B$5,标准坦克设计!$B$14:$K$20,9)/30))</f>
        <v>0.91938919637657668</v>
      </c>
      <c r="L233" s="172">
        <f ca="1">(VLOOKUP(L$72,INDIRECT($C$5&amp;"生成成长"),2))/((VLOOKUP($B233,INDIRECT($B$5&amp;"生成成长"),4))/(VLOOKUP(L$72,INDIRECT($C$5&amp;"生成成长"),5))*(VLOOKUP($B$5,标准坦克设计!$B$24:$U$30,MATCH("对"&amp;LEFT($C$5,2)&amp;"输出",标准坦克设计!$B$23:$U$23,0)))*(VLOOKUP($B233,INDIRECT($B$5&amp;"生成成长"),3))*(VLOOKUP($B$5,标准坦克设计!$B$14:$K$20,9)/30))</f>
        <v>1.0274643345628847</v>
      </c>
      <c r="M233" s="172">
        <f ca="1">(VLOOKUP(M$72,INDIRECT($C$5&amp;"生成成长"),2))/((VLOOKUP($B233,INDIRECT($B$5&amp;"生成成长"),4))/(VLOOKUP(M$72,INDIRECT($C$5&amp;"生成成长"),5))*(VLOOKUP($B$5,标准坦克设计!$B$24:$U$30,MATCH("对"&amp;LEFT($C$5,2)&amp;"输出",标准坦克设计!$B$23:$U$23,0)))*(VLOOKUP($B233,INDIRECT($B$5&amp;"生成成长"),3))*(VLOOKUP($B$5,标准坦克设计!$B$14:$K$20,9)/30))</f>
        <v>1.1415436470928761</v>
      </c>
      <c r="N233" s="172">
        <f ca="1">(VLOOKUP(N$72,INDIRECT($C$5&amp;"生成成长"),2))/((VLOOKUP($B233,INDIRECT($B$5&amp;"生成成长"),4))/(VLOOKUP(N$72,INDIRECT($C$5&amp;"生成成长"),5))*(VLOOKUP($B$5,标准坦克设计!$B$24:$U$30,MATCH("对"&amp;LEFT($C$5,2)&amp;"输出",标准坦克设计!$B$23:$U$23,0)))*(VLOOKUP($B233,INDIRECT($B$5&amp;"生成成长"),3))*(VLOOKUP($B$5,标准坦克设计!$B$14:$K$20,9)/30))</f>
        <v>1.2616271339665515</v>
      </c>
      <c r="O233" s="172">
        <f ca="1">(VLOOKUP(O$72,INDIRECT($C$5&amp;"生成成长"),2))/((VLOOKUP($B233,INDIRECT($B$5&amp;"生成成长"),4))/(VLOOKUP(O$72,INDIRECT($C$5&amp;"生成成长"),5))*(VLOOKUP($B$5,标准坦克设计!$B$24:$U$30,MATCH("对"&amp;LEFT($C$5,2)&amp;"输出",标准坦克设计!$B$23:$U$23,0)))*(VLOOKUP($B233,INDIRECT($B$5&amp;"生成成长"),3))*(VLOOKUP($B$5,标准坦克设计!$B$14:$K$20,9)/30))</f>
        <v>0.95921375901554173</v>
      </c>
      <c r="P233" s="172">
        <f ca="1">(VLOOKUP(P$72,INDIRECT($C$5&amp;"生成成长"),2))/((VLOOKUP($B233,INDIRECT($B$5&amp;"生成成长"),4))/(VLOOKUP(P$72,INDIRECT($C$5&amp;"生成成长"),5))*(VLOOKUP($B$5,标准坦克设计!$B$24:$U$30,MATCH("对"&amp;LEFT($C$5,2)&amp;"输出",标准坦克设计!$B$23:$U$23,0)))*(VLOOKUP($B233,INDIRECT($B$5&amp;"生成成长"),3))*(VLOOKUP($B$5,标准坦克设计!$B$14:$K$20,9)/30))</f>
        <v>1.0837534690349195</v>
      </c>
      <c r="Q233" s="172">
        <f ca="1">(VLOOKUP(Q$72,INDIRECT($C$5&amp;"生成成长"),2))/((VLOOKUP($B233,INDIRECT($B$5&amp;"生成成长"),4))/(VLOOKUP(Q$72,INDIRECT($C$5&amp;"生成成长"),5))*(VLOOKUP($B$5,标准坦克设计!$B$24:$U$30,MATCH("对"&amp;LEFT($C$5,2)&amp;"输出",标准坦克设计!$B$23:$U$23,0)))*(VLOOKUP($B233,INDIRECT($B$5&amp;"生成成长"),3))*(VLOOKUP($B$5,标准坦克设计!$B$14:$K$20,9)/30))</f>
        <v>1.2158922122080227</v>
      </c>
      <c r="R233" s="172">
        <f ca="1">(VLOOKUP(R$72,INDIRECT($C$5&amp;"生成成长"),2))/((VLOOKUP($B233,INDIRECT($B$5&amp;"生成成长"),4))/(VLOOKUP(R$72,INDIRECT($C$5&amp;"生成成长"),5))*(VLOOKUP($B$5,标准坦克设计!$B$24:$U$30,MATCH("对"&amp;LEFT($C$5,2)&amp;"输出",标准坦克设计!$B$23:$U$23,0)))*(VLOOKUP($B233,INDIRECT($B$5&amp;"生成成长"),3))*(VLOOKUP($B$5,标准坦克设计!$B$14:$K$20,9)/30))</f>
        <v>1.3556299885348504</v>
      </c>
      <c r="S233" s="172">
        <f ca="1">(VLOOKUP(S$72,INDIRECT($C$5&amp;"生成成长"),2))/((VLOOKUP($B233,INDIRECT($B$5&amp;"生成成长"),4))/(VLOOKUP(S$72,INDIRECT($C$5&amp;"生成成长"),5))*(VLOOKUP($B$5,标准坦克设计!$B$24:$U$30,MATCH("对"&amp;LEFT($C$5,2)&amp;"输出",标准坦克设计!$B$23:$U$23,0)))*(VLOOKUP($B233,INDIRECT($B$5&amp;"生成成长"),3))*(VLOOKUP($B$5,标准坦克设计!$B$14:$K$20,9)/30))</f>
        <v>1.5029667980154029</v>
      </c>
      <c r="T233" s="172">
        <f ca="1">(VLOOKUP(T$72,INDIRECT($C$5&amp;"生成成长"),2))/((VLOOKUP($B233,INDIRECT($B$5&amp;"生成成长"),4))/(VLOOKUP(T$72,INDIRECT($C$5&amp;"生成成长"),5))*(VLOOKUP($B$5,标准坦克设计!$B$24:$U$30,MATCH("对"&amp;LEFT($C$5,2)&amp;"输出",标准坦克设计!$B$23:$U$23,0)))*(VLOOKUP($B233,INDIRECT($B$5&amp;"生成成长"),3))*(VLOOKUP($B$5,标准坦克设计!$B$14:$K$20,9)/30))</f>
        <v>1.65790264064968</v>
      </c>
      <c r="U233" s="172">
        <f ca="1">(VLOOKUP(U$72,INDIRECT($C$5&amp;"生成成长"),2))/((VLOOKUP($B233,INDIRECT($B$5&amp;"生成成长"),4))/(VLOOKUP(U$72,INDIRECT($C$5&amp;"生成成长"),5))*(VLOOKUP($B$5,标准坦克设计!$B$24:$U$30,MATCH("对"&amp;LEFT($C$5,2)&amp;"输出",标准坦克设计!$B$23:$U$23,0)))*(VLOOKUP($B233,INDIRECT($B$5&amp;"生成成长"),3))*(VLOOKUP($B$5,标准坦克设计!$B$14:$K$20,9)/30))</f>
        <v>1.8204375164376816</v>
      </c>
      <c r="V233" s="172">
        <f ca="1">(VLOOKUP(V$72,INDIRECT($C$5&amp;"生成成长"),2))/((VLOOKUP($B233,INDIRECT($B$5&amp;"生成成长"),4))/(VLOOKUP(V$72,INDIRECT($C$5&amp;"生成成长"),5))*(VLOOKUP($B$5,标准坦克设计!$B$24:$U$30,MATCH("对"&amp;LEFT($C$5,2)&amp;"输出",标准坦克设计!$B$23:$U$23,0)))*(VLOOKUP($B233,INDIRECT($B$5&amp;"生成成长"),3))*(VLOOKUP($B$5,标准坦克设计!$B$14:$K$20,9)/30))</f>
        <v>1.9905714253794087</v>
      </c>
      <c r="W233" s="172">
        <f ca="1">(VLOOKUP(W$72,INDIRECT($C$5&amp;"生成成长"),2))/((VLOOKUP($B233,INDIRECT($B$5&amp;"生成成长"),4))/(VLOOKUP(W$72,INDIRECT($C$5&amp;"生成成长"),5))*(VLOOKUP($B$5,标准坦克设计!$B$24:$U$30,MATCH("对"&amp;LEFT($C$5,2)&amp;"输出",标准坦克设计!$B$23:$U$23,0)))*(VLOOKUP($B233,INDIRECT($B$5&amp;"生成成长"),3))*(VLOOKUP($B$5,标准坦克设计!$B$14:$K$20,9)/30))</f>
        <v>2.1683043674748603</v>
      </c>
      <c r="X233" s="172">
        <f ca="1">(VLOOKUP(X$72,INDIRECT($C$5&amp;"生成成长"),2))/((VLOOKUP($B233,INDIRECT($B$5&amp;"生成成长"),4))/(VLOOKUP(X$72,INDIRECT($C$5&amp;"生成成长"),5))*(VLOOKUP($B$5,标准坦克设计!$B$24:$U$30,MATCH("对"&amp;LEFT($C$5,2)&amp;"输出",标准坦克设计!$B$23:$U$23,0)))*(VLOOKUP($B233,INDIRECT($B$5&amp;"生成成长"),3))*(VLOOKUP($B$5,标准坦克设计!$B$14:$K$20,9)/30))</f>
        <v>1.5708890202783252</v>
      </c>
      <c r="Y233" s="172">
        <f ca="1">(VLOOKUP(Y$72,INDIRECT($C$5&amp;"生成成长"),2))/((VLOOKUP($B233,INDIRECT($B$5&amp;"生成成长"),4))/(VLOOKUP(Y$72,INDIRECT($C$5&amp;"生成成长"),5))*(VLOOKUP($B$5,标准坦克设计!$B$24:$U$30,MATCH("对"&amp;LEFT($C$5,2)&amp;"输出",标准坦克设计!$B$23:$U$23,0)))*(VLOOKUP($B233,INDIRECT($B$5&amp;"生成成长"),3))*(VLOOKUP($B$5,标准坦克设计!$B$14:$K$20,9)/30))</f>
        <v>1.7472616416240361</v>
      </c>
      <c r="Z233" s="172">
        <f ca="1">(VLOOKUP(Z$72,INDIRECT($C$5&amp;"生成成长"),2))/((VLOOKUP($B233,INDIRECT($B$5&amp;"生成成长"),4))/(VLOOKUP(Z$72,INDIRECT($C$5&amp;"生成成长"),5))*(VLOOKUP($B$5,标准坦克设计!$B$24:$U$30,MATCH("对"&amp;LEFT($C$5,2)&amp;"输出",标准坦克设计!$B$23:$U$23,0)))*(VLOOKUP($B233,INDIRECT($B$5&amp;"生成成长"),3))*(VLOOKUP($B$5,标准坦克设计!$B$14:$K$20,9)/30))</f>
        <v>1.9330157853817527</v>
      </c>
      <c r="AA233" s="172">
        <f ca="1">(VLOOKUP(AA$72,INDIRECT($C$5&amp;"生成成长"),2))/((VLOOKUP($B233,INDIRECT($B$5&amp;"生成成长"),4))/(VLOOKUP(AA$72,INDIRECT($C$5&amp;"生成成长"),5))*(VLOOKUP($B$5,标准坦克设计!$B$24:$U$30,MATCH("对"&amp;LEFT($C$5,2)&amp;"输出",标准坦克设计!$B$23:$U$23,0)))*(VLOOKUP($B233,INDIRECT($B$5&amp;"生成成长"),3))*(VLOOKUP($B$5,标准坦克设计!$B$14:$K$20,9)/30))</f>
        <v>2.1281514515514752</v>
      </c>
      <c r="AB233" s="172">
        <f ca="1">(VLOOKUP(AB$72,INDIRECT($C$5&amp;"生成成长"),2))/((VLOOKUP($B233,INDIRECT($B$5&amp;"生成成长"),4))/(VLOOKUP(AB$72,INDIRECT($C$5&amp;"生成成长"),5))*(VLOOKUP($B$5,标准坦克设计!$B$24:$U$30,MATCH("对"&amp;LEFT($C$5,2)&amp;"输出",标准坦克设计!$B$23:$U$23,0)))*(VLOOKUP($B233,INDIRECT($B$5&amp;"生成成长"),3))*(VLOOKUP($B$5,标准坦克设计!$B$14:$K$20,9)/30))</f>
        <v>2.3326686401332033</v>
      </c>
      <c r="AC233" s="172">
        <f ca="1">(VLOOKUP(AC$72,INDIRECT($C$5&amp;"生成成长"),2))/((VLOOKUP($B233,INDIRECT($B$5&amp;"生成成长"),4))/(VLOOKUP(AC$72,INDIRECT($C$5&amp;"生成成长"),5))*(VLOOKUP($B$5,标准坦克设计!$B$24:$U$30,MATCH("对"&amp;LEFT($C$5,2)&amp;"输出",标准坦克设计!$B$23:$U$23,0)))*(VLOOKUP($B233,INDIRECT($B$5&amp;"生成成长"),3))*(VLOOKUP($B$5,标准坦克设计!$B$14:$K$20,9)/30))</f>
        <v>2.5465673511269373</v>
      </c>
      <c r="AD233" s="172">
        <f ca="1">(VLOOKUP(AD$72,INDIRECT($C$5&amp;"生成成长"),2))/((VLOOKUP($B233,INDIRECT($B$5&amp;"生成成长"),4))/(VLOOKUP(AD$72,INDIRECT($C$5&amp;"生成成长"),5))*(VLOOKUP($B$5,标准坦克设计!$B$24:$U$30,MATCH("对"&amp;LEFT($C$5,2)&amp;"输出",标准坦克设计!$B$23:$U$23,0)))*(VLOOKUP($B233,INDIRECT($B$5&amp;"生成成长"),3))*(VLOOKUP($B$5,标准坦克设计!$B$14:$K$20,9)/30))</f>
        <v>2.7698475845326778</v>
      </c>
      <c r="AE233" s="172">
        <f ca="1">(VLOOKUP(AE$72,INDIRECT($C$5&amp;"生成成长"),2))/((VLOOKUP($B233,INDIRECT($B$5&amp;"生成成长"),4))/(VLOOKUP(AE$72,INDIRECT($C$5&amp;"生成成长"),5))*(VLOOKUP($B$5,标准坦克设计!$B$24:$U$30,MATCH("对"&amp;LEFT($C$5,2)&amp;"输出",标准坦克设计!$B$23:$U$23,0)))*(VLOOKUP($B233,INDIRECT($B$5&amp;"生成成长"),3))*(VLOOKUP($B$5,标准坦克设计!$B$14:$K$20,9)/30))</f>
        <v>3.0025093403504228</v>
      </c>
      <c r="AF233" s="172">
        <f ca="1">(VLOOKUP(AF$72,INDIRECT($C$5&amp;"生成成长"),2))/((VLOOKUP($B233,INDIRECT($B$5&amp;"生成成长"),4))/(VLOOKUP(AF$72,INDIRECT($C$5&amp;"生成成长"),5))*(VLOOKUP($B$5,标准坦克设计!$B$24:$U$30,MATCH("对"&amp;LEFT($C$5,2)&amp;"输出",标准坦克设计!$B$23:$U$23,0)))*(VLOOKUP($B233,INDIRECT($B$5&amp;"生成成长"),3))*(VLOOKUP($B$5,标准坦克设计!$B$14:$K$20,9)/30))</f>
        <v>3.2445526185801752</v>
      </c>
      <c r="AG233" s="172">
        <f ca="1">(VLOOKUP(AG$72,INDIRECT($C$5&amp;"生成成长"),2))/((VLOOKUP($B233,INDIRECT($B$5&amp;"生成成长"),4))/(VLOOKUP(AG$72,INDIRECT($C$5&amp;"生成成长"),5))*(VLOOKUP($B$5,标准坦克设计!$B$24:$U$30,MATCH("对"&amp;LEFT($C$5,2)&amp;"输出",标准坦克设计!$B$23:$U$23,0)))*(VLOOKUP($B233,INDIRECT($B$5&amp;"生成成长"),3))*(VLOOKUP($B$5,标准坦克设计!$B$14:$K$20,9)/30))</f>
        <v>3.4959774192219331</v>
      </c>
      <c r="AH233" s="172">
        <f ca="1">(VLOOKUP(AH$72,INDIRECT($C$5&amp;"生成成长"),2))/((VLOOKUP($B233,INDIRECT($B$5&amp;"生成成长"),4))/(VLOOKUP(AH$72,INDIRECT($C$5&amp;"生成成长"),5))*(VLOOKUP($B$5,标准坦克设计!$B$24:$U$30,MATCH("对"&amp;LEFT($C$5,2)&amp;"输出",标准坦克设计!$B$23:$U$23,0)))*(VLOOKUP($B233,INDIRECT($B$5&amp;"生成成长"),3))*(VLOOKUP($B$5,标准坦克设计!$B$14:$K$20,9)/30))</f>
        <v>3.7567837422756969</v>
      </c>
      <c r="AI233" s="172">
        <f ca="1">(VLOOKUP(AI$72,INDIRECT($C$5&amp;"生成成长"),2))/((VLOOKUP($B233,INDIRECT($B$5&amp;"生成成长"),4))/(VLOOKUP(AI$72,INDIRECT($C$5&amp;"生成成长"),5))*(VLOOKUP($B$5,标准坦克设计!$B$24:$U$30,MATCH("对"&amp;LEFT($C$5,2)&amp;"输出",标准坦克设计!$B$23:$U$23,0)))*(VLOOKUP($B233,INDIRECT($B$5&amp;"生成成长"),3))*(VLOOKUP($B$5,标准坦克设计!$B$14:$K$20,9)/30))</f>
        <v>2.657034777528307</v>
      </c>
      <c r="AJ233" s="172">
        <f ca="1">(VLOOKUP(AJ$72,INDIRECT($C$5&amp;"生成成长"),2))/((VLOOKUP($B233,INDIRECT($B$5&amp;"生成成长"),4))/(VLOOKUP(AJ$72,INDIRECT($C$5&amp;"生成成长"),5))*(VLOOKUP($B$5,标准坦克设计!$B$24:$U$30,MATCH("对"&amp;LEFT($C$5,2)&amp;"输出",标准坦克设计!$B$23:$U$23,0)))*(VLOOKUP($B233,INDIRECT($B$5&amp;"生成成长"),3))*(VLOOKUP($B$5,标准坦克设计!$B$14:$K$20,9)/30))</f>
        <v>2.9083188553338846</v>
      </c>
      <c r="AK233" s="172">
        <f ca="1">(VLOOKUP(AK$72,INDIRECT($C$5&amp;"生成成长"),2))/((VLOOKUP($B233,INDIRECT($B$5&amp;"生成成长"),4))/(VLOOKUP(AK$72,INDIRECT($C$5&amp;"生成成长"),5))*(VLOOKUP($B$5,标准坦克设计!$B$24:$U$30,MATCH("对"&amp;LEFT($C$5,2)&amp;"输出",标准坦克设计!$B$23:$U$23,0)))*(VLOOKUP($B233,INDIRECT($B$5&amp;"生成成长"),3))*(VLOOKUP($B$5,标准坦克设计!$B$14:$K$20,9)/30))</f>
        <v>3.1709545752579893</v>
      </c>
      <c r="AL233" s="172">
        <f ca="1">(VLOOKUP(AL$72,INDIRECT($C$5&amp;"生成成长"),2))/((VLOOKUP($B233,INDIRECT($B$5&amp;"生成成长"),4))/(VLOOKUP(AL$72,INDIRECT($C$5&amp;"生成成长"),5))*(VLOOKUP($B$5,标准坦克设计!$B$24:$U$30,MATCH("对"&amp;LEFT($C$5,2)&amp;"输出",标准坦克设计!$B$23:$U$23,0)))*(VLOOKUP($B233,INDIRECT($B$5&amp;"生成成长"),3))*(VLOOKUP($B$5,标准坦克设计!$B$14:$K$20,9)/30))</f>
        <v>3.4449419373006207</v>
      </c>
      <c r="AM233" s="172">
        <f ca="1">(VLOOKUP(AM$72,INDIRECT($C$5&amp;"生成成长"),2))/((VLOOKUP($B233,INDIRECT($B$5&amp;"生成成长"),4))/(VLOOKUP(AM$72,INDIRECT($C$5&amp;"生成成长"),5))*(VLOOKUP($B$5,标准坦克设计!$B$24:$U$30,MATCH("对"&amp;LEFT($C$5,2)&amp;"输出",标准坦克设计!$B$23:$U$23,0)))*(VLOOKUP($B233,INDIRECT($B$5&amp;"生成成长"),3))*(VLOOKUP($B$5,标准坦克设计!$B$14:$K$20,9)/30))</f>
        <v>3.7302809414617797</v>
      </c>
      <c r="AN233" s="172">
        <f ca="1">(VLOOKUP(AN$72,INDIRECT($C$5&amp;"生成成长"),2))/((VLOOKUP($B233,INDIRECT($B$5&amp;"生成成长"),4))/(VLOOKUP(AN$72,INDIRECT($C$5&amp;"生成成长"),5))*(VLOOKUP($B$5,标准坦克设计!$B$24:$U$30,MATCH("对"&amp;LEFT($C$5,2)&amp;"输出",标准坦克设计!$B$23:$U$23,0)))*(VLOOKUP($B233,INDIRECT($B$5&amp;"生成成长"),3))*(VLOOKUP($B$5,标准坦克设计!$B$14:$K$20,9)/30))</f>
        <v>4.0269715877414658</v>
      </c>
      <c r="AO233" s="172">
        <f ca="1">(VLOOKUP(AO$72,INDIRECT($C$5&amp;"生成成长"),2))/((VLOOKUP($B233,INDIRECT($B$5&amp;"生成成长"),4))/(VLOOKUP(AO$72,INDIRECT($C$5&amp;"生成成长"),5))*(VLOOKUP($B$5,标准坦克设计!$B$24:$U$30,MATCH("对"&amp;LEFT($C$5,2)&amp;"输出",标准坦克设计!$B$23:$U$23,0)))*(VLOOKUP($B233,INDIRECT($B$5&amp;"生成成长"),3))*(VLOOKUP($B$5,标准坦克设计!$B$14:$K$20,9)/30))</f>
        <v>4.3350138761396781</v>
      </c>
      <c r="AP233" s="172">
        <f ca="1">(VLOOKUP(AP$72,INDIRECT($C$5&amp;"生成成长"),2))/((VLOOKUP($B233,INDIRECT($B$5&amp;"生成成长"),4))/(VLOOKUP(AP$72,INDIRECT($C$5&amp;"生成成长"),5))*(VLOOKUP($B$5,标准坦克设计!$B$24:$U$30,MATCH("对"&amp;LEFT($C$5,2)&amp;"输出",标准坦克设计!$B$23:$U$23,0)))*(VLOOKUP($B233,INDIRECT($B$5&amp;"生成成长"),3))*(VLOOKUP($B$5,标准坦克设计!$B$14:$K$20,9)/30))</f>
        <v>4.6544078066564198</v>
      </c>
      <c r="AQ233" s="172">
        <f ca="1">(VLOOKUP(AQ$72,INDIRECT($C$5&amp;"生成成长"),2))/((VLOOKUP($B233,INDIRECT($B$5&amp;"生成成长"),4))/(VLOOKUP(AQ$72,INDIRECT($C$5&amp;"生成成长"),5))*(VLOOKUP($B$5,标准坦克设计!$B$24:$U$30,MATCH("对"&amp;LEFT($C$5,2)&amp;"输出",标准坦克设计!$B$23:$U$23,0)))*(VLOOKUP($B233,INDIRECT($B$5&amp;"生成成长"),3))*(VLOOKUP($B$5,标准坦克设计!$B$14:$K$20,9)/30))</f>
        <v>4.9851533792916873</v>
      </c>
      <c r="AR233" s="172">
        <f ca="1">(VLOOKUP(AR$72,INDIRECT($C$5&amp;"生成成长"),2))/((VLOOKUP($B233,INDIRECT($B$5&amp;"生成成长"),4))/(VLOOKUP(AR$72,INDIRECT($C$5&amp;"生成成长"),5))*(VLOOKUP($B$5,标准坦克设计!$B$24:$U$30,MATCH("对"&amp;LEFT($C$5,2)&amp;"输出",标准坦克设计!$B$23:$U$23,0)))*(VLOOKUP($B233,INDIRECT($B$5&amp;"生成成长"),3))*(VLOOKUP($B$5,标准坦克设计!$B$14:$K$20,9)/30))</f>
        <v>5.3272505940454815</v>
      </c>
      <c r="AS233" s="172">
        <f ca="1">(VLOOKUP(AS$72,INDIRECT($C$5&amp;"生成成长"),2))/((VLOOKUP($B233,INDIRECT($B$5&amp;"生成成长"),4))/(VLOOKUP(AS$72,INDIRECT($C$5&amp;"生成成长"),5))*(VLOOKUP($B$5,标准坦克设计!$B$24:$U$30,MATCH("对"&amp;LEFT($C$5,2)&amp;"输出",标准坦克设计!$B$23:$U$23,0)))*(VLOOKUP($B233,INDIRECT($B$5&amp;"生成成长"),3))*(VLOOKUP($B$5,标准坦克设计!$B$14:$K$20,9)/30))</f>
        <v>5.6806994509178033</v>
      </c>
      <c r="AT233" s="172">
        <f ca="1">(VLOOKUP(AT$72,INDIRECT($C$5&amp;"生成成长"),2))/((VLOOKUP($B233,INDIRECT($B$5&amp;"生成成长"),4))/(VLOOKUP(AT$72,INDIRECT($C$5&amp;"生成成长"),5))*(VLOOKUP($B$5,标准坦克设计!$B$24:$U$30,MATCH("对"&amp;LEFT($C$5,2)&amp;"输出",标准坦克设计!$B$23:$U$23,0)))*(VLOOKUP($B233,INDIRECT($B$5&amp;"生成成长"),3))*(VLOOKUP($B$5,标准坦克设计!$B$14:$K$20,9)/30))</f>
        <v>6.0454999499086517</v>
      </c>
      <c r="AU233" s="172">
        <f ca="1">(VLOOKUP(AU$72,INDIRECT($C$5&amp;"生成成长"),2))/((VLOOKUP($B233,INDIRECT($B$5&amp;"生成成长"),4))/(VLOOKUP(AU$72,INDIRECT($C$5&amp;"生成成长"),5))*(VLOOKUP($B$5,标准坦克设计!$B$24:$U$30,MATCH("对"&amp;LEFT($C$5,2)&amp;"输出",标准坦克设计!$B$23:$U$23,0)))*(VLOOKUP($B233,INDIRECT($B$5&amp;"生成成长"),3))*(VLOOKUP($B$5,标准坦克设计!$B$14:$K$20,9)/30))</f>
        <v>6.4216520910180295</v>
      </c>
      <c r="AV233" s="172">
        <f ca="1">(VLOOKUP(AV$72,INDIRECT($C$5&amp;"生成成长"),2))/((VLOOKUP($B233,INDIRECT($B$5&amp;"生成成长"),4))/(VLOOKUP(AV$72,INDIRECT($C$5&amp;"生成成长"),5))*(VLOOKUP($B$5,标准坦克设计!$B$24:$U$30,MATCH("对"&amp;LEFT($C$5,2)&amp;"输出",标准坦克设计!$B$23:$U$23,0)))*(VLOOKUP($B233,INDIRECT($B$5&amp;"生成成长"),3))*(VLOOKUP($B$5,标准坦克设计!$B$14:$K$20,9)/30))</f>
        <v>0.65314159032384966</v>
      </c>
      <c r="AW233" s="172">
        <f ca="1">(VLOOKUP(AW$72,INDIRECT($C$5&amp;"生成成长"),2))/((VLOOKUP($B233,INDIRECT($B$5&amp;"生成成长"),4))/(VLOOKUP(AW$72,INDIRECT($C$5&amp;"生成成长"),5))*(VLOOKUP($B$5,标准坦克设计!$B$24:$U$30,MATCH("对"&amp;LEFT($C$5,2)&amp;"输出",标准坦克设计!$B$23:$U$23,0)))*(VLOOKUP($B233,INDIRECT($B$5&amp;"生成成长"),3))*(VLOOKUP($B$5,标准坦克设计!$B$14:$K$20,9)/30))</f>
        <v>0.74470524906502733</v>
      </c>
      <c r="AX233" s="172">
        <f ca="1">(VLOOKUP(AX$72,INDIRECT($C$5&amp;"生成成长"),2))/((VLOOKUP($B233,INDIRECT($B$5&amp;"生成成长"),4))/(VLOOKUP(AX$72,INDIRECT($C$5&amp;"生成成长"),5))*(VLOOKUP($B$5,标准坦克设计!$B$24:$U$30,MATCH("对"&amp;LEFT($C$5,2)&amp;"输出",标准坦克设计!$B$23:$U$23,0)))*(VLOOKUP($B233,INDIRECT($B$5&amp;"生成成长"),3))*(VLOOKUP($B$5,标准坦克设计!$B$14:$K$20,9)/30))</f>
        <v>0.84227308214988827</v>
      </c>
      <c r="AY233" s="172">
        <f ca="1">(VLOOKUP(AY$72,INDIRECT($C$5&amp;"生成成长"),2))/((VLOOKUP($B233,INDIRECT($B$5&amp;"生成成长"),4))/(VLOOKUP(AY$72,INDIRECT($C$5&amp;"生成成长"),5))*(VLOOKUP($B$5,标准坦克设计!$B$24:$U$30,MATCH("对"&amp;LEFT($C$5,2)&amp;"输出",标准坦克设计!$B$23:$U$23,0)))*(VLOOKUP($B233,INDIRECT($B$5&amp;"生成成长"),3))*(VLOOKUP($B$5,标准坦克设计!$B$14:$K$20,9)/30))</f>
        <v>0.9458450895784335</v>
      </c>
      <c r="AZ233" s="172">
        <f ca="1">(VLOOKUP(AZ$72,INDIRECT($C$5&amp;"生成成长"),2))/((VLOOKUP($B233,INDIRECT($B$5&amp;"生成成长"),4))/(VLOOKUP(AZ$72,INDIRECT($C$5&amp;"生成成长"),5))*(VLOOKUP($B$5,标准坦克设计!$B$24:$U$30,MATCH("对"&amp;LEFT($C$5,2)&amp;"输出",标准坦克设计!$B$23:$U$23,0)))*(VLOOKUP($B233,INDIRECT($B$5&amp;"生成成长"),3))*(VLOOKUP($B$5,标准坦克设计!$B$14:$K$20,9)/30))</f>
        <v>1.0554212713506621</v>
      </c>
      <c r="BA233" s="172">
        <f ca="1">(VLOOKUP(BA$72,INDIRECT($C$5&amp;"生成成长"),2))/((VLOOKUP($B233,INDIRECT($B$5&amp;"生成成长"),4))/(VLOOKUP(BA$72,INDIRECT($C$5&amp;"生成成长"),5))*(VLOOKUP($B$5,标准坦克设计!$B$24:$U$30,MATCH("对"&amp;LEFT($C$5,2)&amp;"输出",标准坦克设计!$B$23:$U$23,0)))*(VLOOKUP($B233,INDIRECT($B$5&amp;"生成成长"),3))*(VLOOKUP($B$5,标准坦克设计!$B$14:$K$20,9)/30))</f>
        <v>1.1710016274665747</v>
      </c>
      <c r="BB233" s="172">
        <f ca="1">(VLOOKUP(BB$72,INDIRECT($C$5&amp;"生成成长"),2))/((VLOOKUP($B233,INDIRECT($B$5&amp;"生成成长"),4))/(VLOOKUP(BB$72,INDIRECT($C$5&amp;"生成成长"),5))*(VLOOKUP($B$5,标准坦克设计!$B$24:$U$30,MATCH("对"&amp;LEFT($C$5,2)&amp;"输出",标准坦克设计!$B$23:$U$23,0)))*(VLOOKUP($B233,INDIRECT($B$5&amp;"生成成长"),3))*(VLOOKUP($B$5,标准坦克设计!$B$14:$K$20,9)/30))</f>
        <v>1.292586157926171</v>
      </c>
      <c r="BC233" s="172">
        <f ca="1">(VLOOKUP(BC$72,INDIRECT($C$5&amp;"生成成长"),2))/((VLOOKUP($B233,INDIRECT($B$5&amp;"生成成长"),4))/(VLOOKUP(BC$72,INDIRECT($C$5&amp;"生成成长"),5))*(VLOOKUP($B$5,标准坦克设计!$B$24:$U$30,MATCH("对"&amp;LEFT($C$5,2)&amp;"输出",标准坦克设计!$B$23:$U$23,0)))*(VLOOKUP($B233,INDIRECT($B$5&amp;"生成成长"),3))*(VLOOKUP($B$5,标准坦克设计!$B$14:$K$20,9)/30))</f>
        <v>1.4201748627294508</v>
      </c>
      <c r="BD233" s="172">
        <f ca="1">(VLOOKUP(BD$72,INDIRECT($C$5&amp;"生成成长"),2))/((VLOOKUP($B233,INDIRECT($B$5&amp;"生成成长"),4))/(VLOOKUP(BD$72,INDIRECT($C$5&amp;"生成成长"),5))*(VLOOKUP($B$5,标准坦克设计!$B$24:$U$30,MATCH("对"&amp;LEFT($C$5,2)&amp;"输出",标准坦克设计!$B$23:$U$23,0)))*(VLOOKUP($B233,INDIRECT($B$5&amp;"生成成长"),3))*(VLOOKUP($B$5,标准坦克设计!$B$14:$K$20,9)/30))</f>
        <v>1.5708890202783252</v>
      </c>
      <c r="BE233" s="172">
        <f ca="1">(VLOOKUP(BE$72,INDIRECT($C$5&amp;"生成成长"),2))/((VLOOKUP($B233,INDIRECT($B$5&amp;"生成成长"),4))/(VLOOKUP(BE$72,INDIRECT($C$5&amp;"生成成长"),5))*(VLOOKUP($B$5,标准坦克设计!$B$24:$U$30,MATCH("对"&amp;LEFT($C$5,2)&amp;"输出",标准坦克设计!$B$23:$U$23,0)))*(VLOOKUP($B233,INDIRECT($B$5&amp;"生成成长"),3))*(VLOOKUP($B$5,标准坦克设计!$B$14:$K$20,9)/30))</f>
        <v>1.7292022109809244</v>
      </c>
      <c r="BF233" s="172">
        <f ca="1">(VLOOKUP(BF$72,INDIRECT($C$5&amp;"生成成长"),2))/((VLOOKUP($B233,INDIRECT($B$5&amp;"生成成长"),4))/(VLOOKUP(BF$72,INDIRECT($C$5&amp;"生成成长"),5))*(VLOOKUP($B$5,标准坦克设计!$B$24:$U$30,MATCH("对"&amp;LEFT($C$5,2)&amp;"输出",标准坦克设计!$B$23:$U$23,0)))*(VLOOKUP($B233,INDIRECT($B$5&amp;"生成成长"),3))*(VLOOKUP($B$5,标准坦克设计!$B$14:$K$20,9)/30))</f>
        <v>1.8951144348372493</v>
      </c>
      <c r="BG233" s="172">
        <f ca="1">(VLOOKUP(BG$72,INDIRECT($C$5&amp;"生成成长"),2))/((VLOOKUP($B233,INDIRECT($B$5&amp;"生成成长"),4))/(VLOOKUP(BG$72,INDIRECT($C$5&amp;"生成成长"),5))*(VLOOKUP($B$5,标准坦克设计!$B$24:$U$30,MATCH("对"&amp;LEFT($C$5,2)&amp;"输出",标准坦克设计!$B$23:$U$23,0)))*(VLOOKUP($B233,INDIRECT($B$5&amp;"生成成长"),3))*(VLOOKUP($B$5,标准坦克设计!$B$14:$K$20,9)/30))</f>
        <v>2.0686256918472976</v>
      </c>
      <c r="BH233" s="172">
        <f ca="1">(VLOOKUP(BH$72,INDIRECT($C$5&amp;"生成成长"),2))/((VLOOKUP($B233,INDIRECT($B$5&amp;"生成成长"),4))/(VLOOKUP(BH$72,INDIRECT($C$5&amp;"生成成长"),5))*(VLOOKUP($B$5,标准坦克设计!$B$24:$U$30,MATCH("对"&amp;LEFT($C$5,2)&amp;"输出",标准坦克设计!$B$23:$U$23,0)))*(VLOOKUP($B233,INDIRECT($B$5&amp;"生成成长"),3))*(VLOOKUP($B$5,标准坦克设计!$B$14:$K$20,9)/30))</f>
        <v>0.99988265867158721</v>
      </c>
      <c r="BI233" s="172">
        <f ca="1">(VLOOKUP(BI$72,INDIRECT($C$5&amp;"生成成长"),2))/((VLOOKUP($B233,INDIRECT($B$5&amp;"生成成长"),4))/(VLOOKUP(BI$72,INDIRECT($C$5&amp;"生成成长"),5))*(VLOOKUP($B$5,标准坦克设计!$B$24:$U$30,MATCH("对"&amp;LEFT($C$5,2)&amp;"输出",标准坦克设计!$B$23:$U$23,0)))*(VLOOKUP($B233,INDIRECT($B$5&amp;"生成成长"),3))*(VLOOKUP($B$5,标准坦克设计!$B$14:$K$20,9)/30))</f>
        <v>1.1269553797422067</v>
      </c>
      <c r="BJ233" s="172">
        <f ca="1">(VLOOKUP(BJ$72,INDIRECT($C$5&amp;"生成成长"),2))/((VLOOKUP($B233,INDIRECT($B$5&amp;"生成成长"),4))/(VLOOKUP(BJ$72,INDIRECT($C$5&amp;"生成成长"),5))*(VLOOKUP($B$5,标准坦克设计!$B$24:$U$30,MATCH("对"&amp;LEFT($C$5,2)&amp;"输出",标准坦克设计!$B$23:$U$23,0)))*(VLOOKUP($B233,INDIRECT($B$5&amp;"生成成长"),3))*(VLOOKUP($B$5,标准坦克设计!$B$14:$K$20,9)/30))</f>
        <v>1.2616271339665515</v>
      </c>
      <c r="BK233" s="172">
        <f ca="1">(VLOOKUP(BK$72,INDIRECT($C$5&amp;"生成成长"),2))/((VLOOKUP($B233,INDIRECT($B$5&amp;"生成成长"),4))/(VLOOKUP(BK$72,INDIRECT($C$5&amp;"生成成长"),5))*(VLOOKUP($B$5,标准坦克设计!$B$24:$U$30,MATCH("对"&amp;LEFT($C$5,2)&amp;"输出",标准坦克设计!$B$23:$U$23,0)))*(VLOOKUP($B233,INDIRECT($B$5&amp;"生成成长"),3))*(VLOOKUP($B$5,标准坦克设计!$B$14:$K$20,9)/30))</f>
        <v>1.4038979213446208</v>
      </c>
      <c r="BL233" s="172">
        <f ca="1">(VLOOKUP(BL$72,INDIRECT($C$5&amp;"生成成长"),2))/((VLOOKUP($B233,INDIRECT($B$5&amp;"生成成长"),4))/(VLOOKUP(BL$72,INDIRECT($C$5&amp;"生成成长"),5))*(VLOOKUP($B$5,标准坦克设计!$B$24:$U$30,MATCH("对"&amp;LEFT($C$5,2)&amp;"输出",标准坦克设计!$B$23:$U$23,0)))*(VLOOKUP($B233,INDIRECT($B$5&amp;"生成成长"),3))*(VLOOKUP($B$5,标准坦克设计!$B$14:$K$20,9)/30))</f>
        <v>1.5537677418764146</v>
      </c>
      <c r="BM233" s="172">
        <f ca="1">(VLOOKUP(BM$72,INDIRECT($C$5&amp;"生成成长"),2))/((VLOOKUP($B233,INDIRECT($B$5&amp;"生成成长"),4))/(VLOOKUP(BM$72,INDIRECT($C$5&amp;"生成成长"),5))*(VLOOKUP($B$5,标准坦克设计!$B$24:$U$30,MATCH("对"&amp;LEFT($C$5,2)&amp;"输出",标准坦克设计!$B$23:$U$23,0)))*(VLOOKUP($B233,INDIRECT($B$5&amp;"生成成长"),3))*(VLOOKUP($B$5,标准坦克设计!$B$14:$K$20,9)/30))</f>
        <v>1.7112365955619335</v>
      </c>
      <c r="BN233" s="172">
        <f ca="1">(VLOOKUP(BN$72,INDIRECT($C$5&amp;"生成成长"),2))/((VLOOKUP($B233,INDIRECT($B$5&amp;"生成成长"),4))/(VLOOKUP(BN$72,INDIRECT($C$5&amp;"生成成长"),5))*(VLOOKUP($B$5,标准坦克设计!$B$24:$U$30,MATCH("对"&amp;LEFT($C$5,2)&amp;"输出",标准坦克设计!$B$23:$U$23,0)))*(VLOOKUP($B233,INDIRECT($B$5&amp;"生成成长"),3))*(VLOOKUP($B$5,标准坦克设计!$B$14:$K$20,9)/30))</f>
        <v>1.8763044824011774</v>
      </c>
      <c r="BO233" s="172">
        <f ca="1">(VLOOKUP(BO$72,INDIRECT($C$5&amp;"生成成长"),2))/((VLOOKUP($B233,INDIRECT($B$5&amp;"生成成长"),4))/(VLOOKUP(BO$72,INDIRECT($C$5&amp;"生成成长"),5))*(VLOOKUP($B$5,标准坦克设计!$B$24:$U$30,MATCH("对"&amp;LEFT($C$5,2)&amp;"输出",标准坦克设计!$B$23:$U$23,0)))*(VLOOKUP($B233,INDIRECT($B$5&amp;"生成成长"),3))*(VLOOKUP($B$5,标准坦克设计!$B$14:$K$20,9)/30))</f>
        <v>2.0489714023941459</v>
      </c>
      <c r="BP233" s="172">
        <f ca="1">(VLOOKUP(BP$72,INDIRECT($C$5&amp;"生成成长"),2))/((VLOOKUP($B233,INDIRECT($B$5&amp;"生成成长"),4))/(VLOOKUP(BP$72,INDIRECT($C$5&amp;"生成成长"),5))*(VLOOKUP($B$5,标准坦克设计!$B$24:$U$30,MATCH("对"&amp;LEFT($C$5,2)&amp;"输出",标准坦克设计!$B$23:$U$23,0)))*(VLOOKUP($B233,INDIRECT($B$5&amp;"生成成长"),3))*(VLOOKUP($B$5,标准坦克设计!$B$14:$K$20,9)/30))</f>
        <v>2.2292373555408385</v>
      </c>
      <c r="BQ233" s="172">
        <f ca="1">(VLOOKUP(BQ$72,INDIRECT($C$5&amp;"生成成长"),2))/((VLOOKUP($B233,INDIRECT($B$5&amp;"生成成长"),4))/(VLOOKUP(BQ$72,INDIRECT($C$5&amp;"生成成长"),5))*(VLOOKUP($B$5,标准坦克设计!$B$24:$U$30,MATCH("对"&amp;LEFT($C$5,2)&amp;"输出",标准坦克设计!$B$23:$U$23,0)))*(VLOOKUP($B233,INDIRECT($B$5&amp;"生成成长"),3))*(VLOOKUP($B$5,标准坦克设计!$B$14:$K$20,9)/30))</f>
        <v>2.4171023418412565</v>
      </c>
      <c r="BR233" s="172">
        <f ca="1">(VLOOKUP(BR$72,INDIRECT($C$5&amp;"生成成长"),2))/((VLOOKUP($B233,INDIRECT($B$5&amp;"生成成长"),4))/(VLOOKUP(BR$72,INDIRECT($C$5&amp;"生成成长"),5))*(VLOOKUP($B$5,标准坦克设计!$B$24:$U$30,MATCH("对"&amp;LEFT($C$5,2)&amp;"输出",标准坦克设计!$B$23:$U$23,0)))*(VLOOKUP($B233,INDIRECT($B$5&amp;"生成成长"),3))*(VLOOKUP($B$5,标准坦克设计!$B$14:$K$20,9)/30))</f>
        <v>2.6347536617997926</v>
      </c>
      <c r="BS233" s="172">
        <f ca="1">(VLOOKUP(BS$72,INDIRECT($C$5&amp;"生成成长"),2))/((VLOOKUP($B233,INDIRECT($B$5&amp;"生成成长"),4))/(VLOOKUP(BS$72,INDIRECT($C$5&amp;"生成成长"),5))*(VLOOKUP($B$5,标准坦克设计!$B$24:$U$30,MATCH("对"&amp;LEFT($C$5,2)&amp;"输出",标准坦克设计!$B$23:$U$23,0)))*(VLOOKUP($B233,INDIRECT($B$5&amp;"生成成长"),3))*(VLOOKUP($B$5,标准坦克设计!$B$14:$K$20,9)/30))</f>
        <v>2.8617865041703352</v>
      </c>
      <c r="BT233" s="172">
        <f ca="1">(VLOOKUP(BT$72,INDIRECT($C$5&amp;"生成成长"),2))/((VLOOKUP($B233,INDIRECT($B$5&amp;"生成成长"),4))/(VLOOKUP(BT$72,INDIRECT($C$5&amp;"生成成长"),5))*(VLOOKUP($B$5,标准坦克设计!$B$24:$U$30,MATCH("对"&amp;LEFT($C$5,2)&amp;"输出",标准坦克设计!$B$23:$U$23,0)))*(VLOOKUP($B233,INDIRECT($B$5&amp;"生成成长"),3))*(VLOOKUP($B$5,标准坦克设计!$B$14:$K$20,9)/30))</f>
        <v>3.0982008689528837</v>
      </c>
      <c r="BU233" s="172">
        <f ca="1">(VLOOKUP(BU$72,INDIRECT($C$5&amp;"生成成长"),2))/((VLOOKUP($B233,INDIRECT($B$5&amp;"生成成长"),4))/(VLOOKUP(BU$72,INDIRECT($C$5&amp;"生成成长"),5))*(VLOOKUP($B$5,标准坦克设计!$B$24:$U$30,MATCH("对"&amp;LEFT($C$5,2)&amp;"输出",标准坦克设计!$B$23:$U$23,0)))*(VLOOKUP($B233,INDIRECT($B$5&amp;"生成成长"),3))*(VLOOKUP($B$5,标准坦克设计!$B$14:$K$20,9)/30))</f>
        <v>3.3439967561474377</v>
      </c>
      <c r="BV233" s="172">
        <f ca="1">(VLOOKUP(BV$72,INDIRECT($C$5&amp;"生成成长"),2))/((VLOOKUP($B233,INDIRECT($B$5&amp;"生成成长"),4))/(VLOOKUP(BV$72,INDIRECT($C$5&amp;"生成成长"),5))*(VLOOKUP($B$5,标准坦克设计!$B$24:$U$30,MATCH("对"&amp;LEFT($C$5,2)&amp;"输出",标准坦克设计!$B$23:$U$23,0)))*(VLOOKUP($B233,INDIRECT($B$5&amp;"生成成长"),3))*(VLOOKUP($B$5,标准坦克设计!$B$14:$K$20,9)/30))</f>
        <v>3.5991741657539977</v>
      </c>
      <c r="BW233" s="172">
        <f ca="1">(VLOOKUP(BW$72,INDIRECT($C$5&amp;"生成成长"),2))/((VLOOKUP($B233,INDIRECT($B$5&amp;"生成成长"),4))/(VLOOKUP(BW$72,INDIRECT($C$5&amp;"生成成长"),5))*(VLOOKUP($B$5,标准坦克设计!$B$24:$U$30,MATCH("对"&amp;LEFT($C$5,2)&amp;"输出",标准坦克设计!$B$23:$U$23,0)))*(VLOOKUP($B233,INDIRECT($B$5&amp;"生成成长"),3))*(VLOOKUP($B$5,标准坦克设计!$B$14:$K$20,9)/30))</f>
        <v>1.6403122861271693</v>
      </c>
      <c r="BX233" s="172">
        <f ca="1">(VLOOKUP(BX$72,INDIRECT($C$5&amp;"生成成长"),2))/((VLOOKUP($B233,INDIRECT($B$5&amp;"生成成长"),4))/(VLOOKUP(BX$72,INDIRECT($C$5&amp;"生成成长"),5))*(VLOOKUP($B$5,标准坦克设计!$B$24:$U$30,MATCH("对"&amp;LEFT($C$5,2)&amp;"输出",标准坦克设计!$B$23:$U$23,0)))*(VLOOKUP($B233,INDIRECT($B$5&amp;"生成成长"),3))*(VLOOKUP($B$5,标准坦克设计!$B$14:$K$20,9)/30))</f>
        <v>1.8204375164376816</v>
      </c>
      <c r="BY233" s="172">
        <f ca="1">(VLOOKUP(BY$72,INDIRECT($C$5&amp;"生成成长"),2))/((VLOOKUP($B233,INDIRECT($B$5&amp;"生成成长"),4))/(VLOOKUP(BY$72,INDIRECT($C$5&amp;"生成成长"),5))*(VLOOKUP($B$5,标准坦克设计!$B$24:$U$30,MATCH("对"&amp;LEFT($C$5,2)&amp;"输出",标准坦克设计!$B$23:$U$23,0)))*(VLOOKUP($B233,INDIRECT($B$5&amp;"生成成长"),3))*(VLOOKUP($B$5,标准坦克设计!$B$14:$K$20,9)/30))</f>
        <v>2.0099442691602012</v>
      </c>
      <c r="BZ233" s="172">
        <f ca="1">(VLOOKUP(BZ$72,INDIRECT($C$5&amp;"生成成长"),2))/((VLOOKUP($B233,INDIRECT($B$5&amp;"生成成长"),4))/(VLOOKUP(BZ$72,INDIRECT($C$5&amp;"生成成长"),5))*(VLOOKUP($B$5,标准坦克设计!$B$24:$U$30,MATCH("对"&amp;LEFT($C$5,2)&amp;"输出",标准坦克设计!$B$23:$U$23,0)))*(VLOOKUP($B233,INDIRECT($B$5&amp;"生成成长"),3))*(VLOOKUP($B$5,标准坦克设计!$B$14:$K$20,9)/30))</f>
        <v>2.2088325442947254</v>
      </c>
      <c r="CA233" s="172">
        <f ca="1">(VLOOKUP(CA$72,INDIRECT($C$5&amp;"生成成长"),2))/((VLOOKUP($B233,INDIRECT($B$5&amp;"生成成长"),4))/(VLOOKUP(CA$72,INDIRECT($C$5&amp;"生成成长"),5))*(VLOOKUP($B$5,标准坦克设计!$B$24:$U$30,MATCH("对"&amp;LEFT($C$5,2)&amp;"输出",标准坦克设计!$B$23:$U$23,0)))*(VLOOKUP($B233,INDIRECT($B$5&amp;"生成成长"),3))*(VLOOKUP($B$5,标准坦克设计!$B$14:$K$20,9)/30))</f>
        <v>2.4171023418412565</v>
      </c>
      <c r="CB233" s="172">
        <f ca="1">(VLOOKUP(CB$72,INDIRECT($C$5&amp;"生成成长"),2))/((VLOOKUP($B233,INDIRECT($B$5&amp;"生成成长"),4))/(VLOOKUP(CB$72,INDIRECT($C$5&amp;"生成成长"),5))*(VLOOKUP($B$5,标准坦克设计!$B$24:$U$30,MATCH("对"&amp;LEFT($C$5,2)&amp;"输出",标准坦克设计!$B$23:$U$23,0)))*(VLOOKUP($B233,INDIRECT($B$5&amp;"生成成长"),3))*(VLOOKUP($B$5,标准坦克设计!$B$14:$K$20,9)/30))</f>
        <v>2.6347536617997926</v>
      </c>
      <c r="CC233" s="172">
        <f ca="1">(VLOOKUP(CC$72,INDIRECT($C$5&amp;"生成成长"),2))/((VLOOKUP($B233,INDIRECT($B$5&amp;"生成成长"),4))/(VLOOKUP(CC$72,INDIRECT($C$5&amp;"生成成长"),5))*(VLOOKUP($B$5,标准坦克设计!$B$24:$U$30,MATCH("对"&amp;LEFT($C$5,2)&amp;"输出",标准坦克设计!$B$23:$U$23,0)))*(VLOOKUP($B233,INDIRECT($B$5&amp;"生成成长"),3))*(VLOOKUP($B$5,标准坦克设计!$B$14:$K$20,9)/30))</f>
        <v>2.8617865041703352</v>
      </c>
      <c r="CD233" s="172">
        <f ca="1">(VLOOKUP(CD$72,INDIRECT($C$5&amp;"生成成长"),2))/((VLOOKUP($B233,INDIRECT($B$5&amp;"生成成长"),4))/(VLOOKUP(CD$72,INDIRECT($C$5&amp;"生成成长"),5))*(VLOOKUP($B$5,标准坦克设计!$B$24:$U$30,MATCH("对"&amp;LEFT($C$5,2)&amp;"输出",标准坦克设计!$B$23:$U$23,0)))*(VLOOKUP($B233,INDIRECT($B$5&amp;"生成成长"),3))*(VLOOKUP($B$5,标准坦克设计!$B$14:$K$20,9)/30))</f>
        <v>3.0982008689528837</v>
      </c>
      <c r="CE233" s="172">
        <f ca="1">(VLOOKUP(CE$72,INDIRECT($C$5&amp;"生成成长"),2))/((VLOOKUP($B233,INDIRECT($B$5&amp;"生成成长"),4))/(VLOOKUP(CE$72,INDIRECT($C$5&amp;"生成成长"),5))*(VLOOKUP($B$5,标准坦克设计!$B$24:$U$30,MATCH("对"&amp;LEFT($C$5,2)&amp;"输出",标准坦克设计!$B$23:$U$23,0)))*(VLOOKUP($B233,INDIRECT($B$5&amp;"生成成长"),3))*(VLOOKUP($B$5,标准坦克设计!$B$14:$K$20,9)/30))</f>
        <v>3.3439967561474377</v>
      </c>
      <c r="CF233" s="172">
        <f ca="1">(VLOOKUP(CF$72,INDIRECT($C$5&amp;"生成成长"),2))/((VLOOKUP($B233,INDIRECT($B$5&amp;"生成成长"),4))/(VLOOKUP(CF$72,INDIRECT($C$5&amp;"生成成长"),5))*(VLOOKUP($B$5,标准坦克设计!$B$24:$U$30,MATCH("对"&amp;LEFT($C$5,2)&amp;"输出",标准坦克设计!$B$23:$U$23,0)))*(VLOOKUP($B233,INDIRECT($B$5&amp;"生成成长"),3))*(VLOOKUP($B$5,标准坦克设计!$B$14:$K$20,9)/30))</f>
        <v>3.5991741657539977</v>
      </c>
      <c r="CG233" s="172">
        <f ca="1">(VLOOKUP(CG$72,INDIRECT($C$5&amp;"生成成长"),2))/((VLOOKUP($B233,INDIRECT($B$5&amp;"生成成长"),4))/(VLOOKUP(CG$72,INDIRECT($C$5&amp;"生成成长"),5))*(VLOOKUP($B$5,标准坦克设计!$B$24:$U$30,MATCH("对"&amp;LEFT($C$5,2)&amp;"输出",标准坦克设计!$B$23:$U$23,0)))*(VLOOKUP($B233,INDIRECT($B$5&amp;"生成成长"),3))*(VLOOKUP($B$5,标准坦克设计!$B$14:$K$20,9)/30))</f>
        <v>3.8637330977725637</v>
      </c>
      <c r="CH233" s="172">
        <f ca="1">(VLOOKUP(CH$72,INDIRECT($C$5&amp;"生成成长"),2))/((VLOOKUP($B233,INDIRECT($B$5&amp;"生成成长"),4))/(VLOOKUP(CH$72,INDIRECT($C$5&amp;"生成成长"),5))*(VLOOKUP($B$5,标准坦克设计!$B$24:$U$30,MATCH("对"&amp;LEFT($C$5,2)&amp;"输出",标准坦克设计!$B$23:$U$23,0)))*(VLOOKUP($B233,INDIRECT($B$5&amp;"生成成长"),3))*(VLOOKUP($B$5,标准坦克设计!$B$14:$K$20,9)/30))</f>
        <v>4.1376735522031352</v>
      </c>
      <c r="CI233" s="172">
        <f ca="1">(VLOOKUP(CI$72,INDIRECT($C$5&amp;"生成成长"),2))/((VLOOKUP($B233,INDIRECT($B$5&amp;"生成成长"),4))/(VLOOKUP(CI$72,INDIRECT($C$5&amp;"生成成长"),5))*(VLOOKUP($B$5,标准坦克设计!$B$24:$U$30,MATCH("对"&amp;LEFT($C$5,2)&amp;"输出",标准坦克设计!$B$23:$U$23,0)))*(VLOOKUP($B233,INDIRECT($B$5&amp;"生成成长"),3))*(VLOOKUP($B$5,标准坦克设计!$B$14:$K$20,9)/30))</f>
        <v>4.4498437104626314</v>
      </c>
      <c r="CJ233" s="172">
        <f ca="1">(VLOOKUP(CJ$72,INDIRECT($C$5&amp;"生成成长"),2))/((VLOOKUP($B233,INDIRECT($B$5&amp;"生成成长"),4))/(VLOOKUP(CJ$72,INDIRECT($C$5&amp;"生成成长"),5))*(VLOOKUP($B$5,标准坦克设计!$B$24:$U$30,MATCH("对"&amp;LEFT($C$5,2)&amp;"输出",标准坦克设计!$B$23:$U$23,0)))*(VLOOKUP($B233,INDIRECT($B$5&amp;"生成成长"),3))*(VLOOKUP($B$5,标准坦克设计!$B$14:$K$20,9)/30))</f>
        <v>4.7733655108406543</v>
      </c>
      <c r="CK233" s="172">
        <f ca="1">(VLOOKUP(CK$72,INDIRECT($C$5&amp;"生成成长"),2))/((VLOOKUP($B233,INDIRECT($B$5&amp;"生成成长"),4))/(VLOOKUP(CK$72,INDIRECT($C$5&amp;"生成成长"),5))*(VLOOKUP($B$5,标准坦克设计!$B$24:$U$30,MATCH("对"&amp;LEFT($C$5,2)&amp;"输出",标准坦克设计!$B$23:$U$23,0)))*(VLOOKUP($B233,INDIRECT($B$5&amp;"生成成长"),3))*(VLOOKUP($B$5,标准坦克设计!$B$14:$K$20,9)/30))</f>
        <v>5.1082389533372048</v>
      </c>
      <c r="CL233" s="172">
        <f ca="1">(VLOOKUP(CL$72,INDIRECT($C$5&amp;"生成成长"),2))/((VLOOKUP($B233,INDIRECT($B$5&amp;"生成成长"),4))/(VLOOKUP(CL$72,INDIRECT($C$5&amp;"生成成长"),5))*(VLOOKUP($B$5,标准坦克设计!$B$24:$U$30,MATCH("对"&amp;LEFT($C$5,2)&amp;"输出",标准坦克设计!$B$23:$U$23,0)))*(VLOOKUP($B233,INDIRECT($B$5&amp;"生成成长"),3))*(VLOOKUP($B$5,标准坦克设计!$B$14:$K$20,9)/30))</f>
        <v>5.4544640379522811</v>
      </c>
      <c r="CM233" s="172">
        <f ca="1">(VLOOKUP(CM$72,INDIRECT($C$5&amp;"生成成长"),2))/((VLOOKUP($B233,INDIRECT($B$5&amp;"生成成长"),4))/(VLOOKUP(CM$72,INDIRECT($C$5&amp;"生成成长"),5))*(VLOOKUP($B$5,标准坦克设计!$B$24:$U$30,MATCH("对"&amp;LEFT($C$5,2)&amp;"输出",标准坦克设计!$B$23:$U$23,0)))*(VLOOKUP($B233,INDIRECT($B$5&amp;"生成成长"),3))*(VLOOKUP($B$5,标准坦克设计!$B$14:$K$20,9)/30))</f>
        <v>5.8120407646858858</v>
      </c>
      <c r="CN233" s="172">
        <f ca="1">(VLOOKUP(CN$72,INDIRECT($C$5&amp;"生成成长"),2))/((VLOOKUP($B233,INDIRECT($B$5&amp;"生成成长"),4))/(VLOOKUP(CN$72,INDIRECT($C$5&amp;"生成成长"),5))*(VLOOKUP($B$5,标准坦克设计!$B$24:$U$30,MATCH("对"&amp;LEFT($C$5,2)&amp;"输出",标准坦克设计!$B$23:$U$23,0)))*(VLOOKUP($B233,INDIRECT($B$5&amp;"生成成长"),3))*(VLOOKUP($B$5,标准坦克设计!$B$14:$K$20,9)/30))</f>
        <v>6.1809691335380172</v>
      </c>
      <c r="CO233" s="172">
        <f ca="1">(VLOOKUP(CO$72,INDIRECT($C$5&amp;"生成成长"),2))/((VLOOKUP($B233,INDIRECT($B$5&amp;"生成成长"),4))/(VLOOKUP(CO$72,INDIRECT($C$5&amp;"生成成长"),5))*(VLOOKUP($B$5,标准坦克设计!$B$24:$U$30,MATCH("对"&amp;LEFT($C$5,2)&amp;"输出",标准坦克设计!$B$23:$U$23,0)))*(VLOOKUP($B233,INDIRECT($B$5&amp;"生成成长"),3))*(VLOOKUP($B$5,标准坦克设计!$B$14:$K$20,9)/30))</f>
        <v>2.7698475845326778</v>
      </c>
      <c r="CP233" s="172">
        <f ca="1">(VLOOKUP(CP$72,INDIRECT($C$5&amp;"生成成长"),2))/((VLOOKUP($B233,INDIRECT($B$5&amp;"生成成长"),4))/(VLOOKUP(CP$72,INDIRECT($C$5&amp;"生成成长"),5))*(VLOOKUP($B$5,标准坦克设计!$B$24:$U$30,MATCH("对"&amp;LEFT($C$5,2)&amp;"输出",标准坦克设计!$B$23:$U$23,0)))*(VLOOKUP($B233,INDIRECT($B$5&amp;"生成成长"),3))*(VLOOKUP($B$5,标准坦克设计!$B$14:$K$20,9)/30))</f>
        <v>3.026291499664858</v>
      </c>
      <c r="CQ233" s="172">
        <f ca="1">(VLOOKUP(CQ$72,INDIRECT($C$5&amp;"生成成长"),2))/((VLOOKUP($B233,INDIRECT($B$5&amp;"生成成长"),4))/(VLOOKUP(CQ$72,INDIRECT($C$5&amp;"生成成长"),5))*(VLOOKUP($B$5,标准坦克设计!$B$24:$U$30,MATCH("对"&amp;LEFT($C$5,2)&amp;"输出",标准坦克设计!$B$23:$U$23,0)))*(VLOOKUP($B233,INDIRECT($B$5&amp;"生成成长"),3))*(VLOOKUP($B$5,标准坦克设计!$B$14:$K$20,9)/30))</f>
        <v>3.2940870569155662</v>
      </c>
      <c r="CR233" s="172">
        <f ca="1">(VLOOKUP(CR$72,INDIRECT($C$5&amp;"生成成长"),2))/((VLOOKUP($B233,INDIRECT($B$5&amp;"生成成长"),4))/(VLOOKUP(CR$72,INDIRECT($C$5&amp;"生成成长"),5))*(VLOOKUP($B$5,标准坦克设计!$B$24:$U$30,MATCH("对"&amp;LEFT($C$5,2)&amp;"输出",标准坦克设计!$B$23:$U$23,0)))*(VLOOKUP($B233,INDIRECT($B$5&amp;"生成成长"),3))*(VLOOKUP($B$5,标准坦克设计!$B$14:$K$20,9)/30))</f>
        <v>3.5732342562848007</v>
      </c>
      <c r="CS233" s="172">
        <f ca="1">(VLOOKUP(CS$72,INDIRECT($C$5&amp;"生成成长"),2))/((VLOOKUP($B233,INDIRECT($B$5&amp;"生成成长"),4))/(VLOOKUP(CS$72,INDIRECT($C$5&amp;"生成成长"),5))*(VLOOKUP($B$5,标准坦克设计!$B$24:$U$30,MATCH("对"&amp;LEFT($C$5,2)&amp;"输出",标准坦克设计!$B$23:$U$23,0)))*(VLOOKUP($B233,INDIRECT($B$5&amp;"生成成长"),3))*(VLOOKUP($B$5,标准坦克设计!$B$14:$K$20,9)/30))</f>
        <v>3.8637330977725637</v>
      </c>
      <c r="CT233" s="172">
        <f ca="1">(VLOOKUP(CT$72,INDIRECT($C$5&amp;"生成成长"),2))/((VLOOKUP($B233,INDIRECT($B$5&amp;"生成成长"),4))/(VLOOKUP(CT$72,INDIRECT($C$5&amp;"生成成长"),5))*(VLOOKUP($B$5,标准坦克设计!$B$24:$U$30,MATCH("对"&amp;LEFT($C$5,2)&amp;"输出",标准坦克设计!$B$23:$U$23,0)))*(VLOOKUP($B233,INDIRECT($B$5&amp;"生成成长"),3))*(VLOOKUP($B$5,标准坦克设计!$B$14:$K$20,9)/30))</f>
        <v>4.1655835813788524</v>
      </c>
      <c r="CU233" s="172">
        <f ca="1">(VLOOKUP(CU$72,INDIRECT($C$5&amp;"生成成长"),2))/((VLOOKUP($B233,INDIRECT($B$5&amp;"生成成长"),4))/(VLOOKUP(CU$72,INDIRECT($C$5&amp;"生成成长"),5))*(VLOOKUP($B$5,标准坦克设计!$B$24:$U$30,MATCH("对"&amp;LEFT($C$5,2)&amp;"输出",标准坦克设计!$B$23:$U$23,0)))*(VLOOKUP($B233,INDIRECT($B$5&amp;"生成成长"),3))*(VLOOKUP($B$5,标准坦克设计!$B$14:$K$20,9)/30))</f>
        <v>4.4787857071036692</v>
      </c>
      <c r="CV233" s="172">
        <f ca="1">(VLOOKUP(CV$72,INDIRECT($C$5&amp;"生成成长"),2))/((VLOOKUP($B233,INDIRECT($B$5&amp;"生成成长"),4))/(VLOOKUP(CV$72,INDIRECT($C$5&amp;"生成成长"),5))*(VLOOKUP($B$5,标准坦克设计!$B$24:$U$30,MATCH("对"&amp;LEFT($C$5,2)&amp;"输出",标准坦克设计!$B$23:$U$23,0)))*(VLOOKUP($B233,INDIRECT($B$5&amp;"生成成长"),3))*(VLOOKUP($B$5,标准坦克设计!$B$14:$K$20,9)/30))</f>
        <v>4.8033394749470135</v>
      </c>
      <c r="CW233" s="172">
        <f ca="1">(VLOOKUP(CW$72,INDIRECT($C$5&amp;"生成成长"),2))/((VLOOKUP($B233,INDIRECT($B$5&amp;"生成成长"),4))/(VLOOKUP(CW$72,INDIRECT($C$5&amp;"生成成长"),5))*(VLOOKUP($B$5,标准坦克设计!$B$24:$U$30,MATCH("对"&amp;LEFT($C$5,2)&amp;"输出",标准坦克设计!$B$23:$U$23,0)))*(VLOOKUP($B233,INDIRECT($B$5&amp;"生成成长"),3))*(VLOOKUP($B$5,标准坦克设计!$B$14:$K$20,9)/30))</f>
        <v>5.1392448849088845</v>
      </c>
      <c r="CX233" s="172">
        <f ca="1">(VLOOKUP(CX$72,INDIRECT($C$5&amp;"生成成长"),2))/((VLOOKUP($B233,INDIRECT($B$5&amp;"生成成长"),4))/(VLOOKUP(CX$72,INDIRECT($C$5&amp;"生成成长"),5))*(VLOOKUP($B$5,标准坦克设计!$B$24:$U$30,MATCH("对"&amp;LEFT($C$5,2)&amp;"输出",标准坦克设计!$B$23:$U$23,0)))*(VLOOKUP($B233,INDIRECT($B$5&amp;"生成成长"),3))*(VLOOKUP($B$5,标准坦克设计!$B$14:$K$20,9)/30))</f>
        <v>5.4865019369892822</v>
      </c>
      <c r="CY233" s="172">
        <f ca="1">(VLOOKUP(CY$72,INDIRECT($C$5&amp;"生成成长"),2))/((VLOOKUP($B233,INDIRECT($B$5&amp;"生成成长"),4))/(VLOOKUP(CY$72,INDIRECT($C$5&amp;"生成成长"),5))*(VLOOKUP($B$5,标准坦克设计!$B$24:$U$30,MATCH("对"&amp;LEFT($C$5,2)&amp;"输出",标准坦克设计!$B$23:$U$23,0)))*(VLOOKUP($B233,INDIRECT($B$5&amp;"生成成长"),3))*(VLOOKUP($B$5,标准坦克设计!$B$14:$K$20,9)/30))</f>
        <v>5.8451106311882066</v>
      </c>
      <c r="CZ233" s="172">
        <f ca="1">(VLOOKUP(CZ$72,INDIRECT($C$5&amp;"生成成长"),2))/((VLOOKUP($B233,INDIRECT($B$5&amp;"生成成长"),4))/(VLOOKUP(CZ$72,INDIRECT($C$5&amp;"生成成长"),5))*(VLOOKUP($B$5,标准坦克设计!$B$24:$U$30,MATCH("对"&amp;LEFT($C$5,2)&amp;"输出",标准坦克设计!$B$23:$U$23,0)))*(VLOOKUP($B233,INDIRECT($B$5&amp;"生成成长"),3))*(VLOOKUP($B$5,标准坦克设计!$B$14:$K$20,9)/30))</f>
        <v>6.2150709675056586</v>
      </c>
      <c r="DA233" s="172">
        <f ca="1">(VLOOKUP(DA$72,INDIRECT($C$5&amp;"生成成长"),2))/((VLOOKUP($B233,INDIRECT($B$5&amp;"生成成长"),4))/(VLOOKUP(DA$72,INDIRECT($C$5&amp;"生成成长"),5))*(VLOOKUP($B$5,标准坦克设计!$B$24:$U$30,MATCH("对"&amp;LEFT($C$5,2)&amp;"输出",标准坦克设计!$B$23:$U$23,0)))*(VLOOKUP($B233,INDIRECT($B$5&amp;"生成成长"),3))*(VLOOKUP($B$5,标准坦克设计!$B$14:$K$20,9)/30))</f>
        <v>6.5963829459416372</v>
      </c>
      <c r="DB233" s="172">
        <f ca="1">(VLOOKUP(DB$72,INDIRECT($C$5&amp;"生成成长"),2))/((VLOOKUP($B233,INDIRECT($B$5&amp;"生成成长"),4))/(VLOOKUP(DB$72,INDIRECT($C$5&amp;"生成成长"),5))*(VLOOKUP($B$5,标准坦克设计!$B$24:$U$30,MATCH("对"&amp;LEFT($C$5,2)&amp;"输出",标准坦克设计!$B$23:$U$23,0)))*(VLOOKUP($B233,INDIRECT($B$5&amp;"生成成长"),3))*(VLOOKUP($B$5,标准坦克设计!$B$14:$K$20,9)/30))</f>
        <v>6.9890465664961443</v>
      </c>
      <c r="DC233" s="172">
        <f ca="1">(VLOOKUP(DC$72,INDIRECT($C$5&amp;"生成成长"),2))/((VLOOKUP($B233,INDIRECT($B$5&amp;"生成成长"),4))/(VLOOKUP(DC$72,INDIRECT($C$5&amp;"生成成长"),5))*(VLOOKUP($B$5,标准坦克设计!$B$24:$U$30,MATCH("对"&amp;LEFT($C$5,2)&amp;"输出",标准坦克设计!$B$23:$U$23,0)))*(VLOOKUP($B233,INDIRECT($B$5&amp;"生成成长"),3))*(VLOOKUP($B$5,标准坦克设计!$B$14:$K$20,9)/30))</f>
        <v>7.4303533807569009</v>
      </c>
      <c r="DD233" s="172">
        <f ca="1">(VLOOKUP(DD$72,INDIRECT($C$5&amp;"生成成长"),2))/((VLOOKUP($B233,INDIRECT($B$5&amp;"生成成长"),4))/(VLOOKUP(DD$72,INDIRECT($C$5&amp;"生成成长"),5))*(VLOOKUP($B$5,标准坦克设计!$B$24:$U$30,MATCH("对"&amp;LEFT($C$5,2)&amp;"输出",标准坦克设计!$B$23:$U$23,0)))*(VLOOKUP($B233,INDIRECT($B$5&amp;"生成成长"),3))*(VLOOKUP($B$5,标准坦克设计!$B$14:$K$20,9)/30))</f>
        <v>7.885169587290946</v>
      </c>
      <c r="DE233" s="172">
        <f ca="1">(VLOOKUP(DE$72,INDIRECT($C$5&amp;"生成成长"),2))/((VLOOKUP($B233,INDIRECT($B$5&amp;"生成成长"),4))/(VLOOKUP(DE$72,INDIRECT($C$5&amp;"生成成长"),5))*(VLOOKUP($B$5,标准坦克设计!$B$24:$U$30,MATCH("对"&amp;LEFT($C$5,2)&amp;"输出",标准坦克设计!$B$23:$U$23,0)))*(VLOOKUP($B233,INDIRECT($B$5&amp;"生成成长"),3))*(VLOOKUP($B$5,标准坦克设计!$B$14:$K$20,9)/30))</f>
        <v>8.3534951860982805</v>
      </c>
      <c r="DF233" s="172">
        <f ca="1">(VLOOKUP(DF$72,INDIRECT($C$5&amp;"生成成长"),2))/((VLOOKUP($B233,INDIRECT($B$5&amp;"生成成长"),4))/(VLOOKUP(DF$72,INDIRECT($C$5&amp;"生成成长"),5))*(VLOOKUP($B$5,标准坦克设计!$B$24:$U$30,MATCH("对"&amp;LEFT($C$5,2)&amp;"输出",标准坦克设计!$B$23:$U$23,0)))*(VLOOKUP($B233,INDIRECT($B$5&amp;"生成成长"),3))*(VLOOKUP($B$5,标准坦克设计!$B$14:$K$20,9)/30))</f>
        <v>8.8353301771789017</v>
      </c>
      <c r="DG233" s="172">
        <f ca="1">(VLOOKUP(DG$72,INDIRECT($C$5&amp;"生成成长"),2))/((VLOOKUP($B233,INDIRECT($B$5&amp;"生成成长"),4))/(VLOOKUP(DG$72,INDIRECT($C$5&amp;"生成成长"),5))*(VLOOKUP($B$5,标准坦克设计!$B$24:$U$30,MATCH("对"&amp;LEFT($C$5,2)&amp;"输出",标准坦克设计!$B$23:$U$23,0)))*(VLOOKUP($B233,INDIRECT($B$5&amp;"生成成长"),3))*(VLOOKUP($B$5,标准坦克设计!$B$14:$K$20,9)/30))</f>
        <v>9.3306745605328132</v>
      </c>
      <c r="DH233" s="172">
        <f ca="1">(VLOOKUP(DH$72,INDIRECT($C$5&amp;"生成成长"),2))/((VLOOKUP($B233,INDIRECT($B$5&amp;"生成成长"),4))/(VLOOKUP(DH$72,INDIRECT($C$5&amp;"生成成长"),5))*(VLOOKUP($B$5,标准坦克设计!$B$24:$U$30,MATCH("对"&amp;LEFT($C$5,2)&amp;"输出",标准坦克设计!$B$23:$U$23,0)))*(VLOOKUP($B233,INDIRECT($B$5&amp;"生成成长"),3))*(VLOOKUP($B$5,标准坦克设计!$B$14:$K$20,9)/30))</f>
        <v>9.8395283361600114</v>
      </c>
      <c r="DI233" s="172">
        <f ca="1">(VLOOKUP(DI$72,INDIRECT($C$5&amp;"生成成长"),2))/((VLOOKUP($B233,INDIRECT($B$5&amp;"生成成长"),4))/(VLOOKUP(DI$72,INDIRECT($C$5&amp;"生成成长"),5))*(VLOOKUP($B$5,标准坦克设计!$B$24:$U$30,MATCH("对"&amp;LEFT($C$5,2)&amp;"输出",标准坦克设计!$B$23:$U$23,0)))*(VLOOKUP($B233,INDIRECT($B$5&amp;"生成成长"),3))*(VLOOKUP($B$5,标准坦克设计!$B$14:$K$20,9)/30))</f>
        <v>10.3618915040605</v>
      </c>
      <c r="DJ233" s="172">
        <f ca="1">(VLOOKUP(DJ$72,INDIRECT($C$5&amp;"生成成长"),2))/((VLOOKUP($B233,INDIRECT($B$5&amp;"生成成长"),4))/(VLOOKUP(DJ$72,INDIRECT($C$5&amp;"生成成长"),5))*(VLOOKUP($B$5,标准坦克设计!$B$24:$U$30,MATCH("对"&amp;LEFT($C$5,2)&amp;"输出",标准坦克设计!$B$23:$U$23,0)))*(VLOOKUP($B233,INDIRECT($B$5&amp;"生成成长"),3))*(VLOOKUP($B$5,标准坦克设计!$B$14:$K$20,9)/30))</f>
        <v>1.0413958953447131</v>
      </c>
      <c r="DK233" s="172">
        <f ca="1">(VLOOKUP(DK$72,INDIRECT($C$5&amp;"生成成长"),2))/((VLOOKUP($B233,INDIRECT($B$5&amp;"生成成长"),4))/(VLOOKUP(DK$72,INDIRECT($C$5&amp;"生成成长"),5))*(VLOOKUP($B$5,标准坦克设计!$B$24:$U$30,MATCH("对"&amp;LEFT($C$5,2)&amp;"输出",标准坦克设计!$B$23:$U$23,0)))*(VLOOKUP($B233,INDIRECT($B$5&amp;"生成成长"),3))*(VLOOKUP($B$5,标准坦克设计!$B$14:$K$20,9)/30))</f>
        <v>1.1710016274665747</v>
      </c>
      <c r="DL233" s="172">
        <f ca="1">(VLOOKUP(DL$72,INDIRECT($C$5&amp;"生成成长"),2))/((VLOOKUP($B233,INDIRECT($B$5&amp;"生成成长"),4))/(VLOOKUP(DL$72,INDIRECT($C$5&amp;"生成成长"),5))*(VLOOKUP($B$5,标准坦克设计!$B$24:$U$30,MATCH("对"&amp;LEFT($C$5,2)&amp;"输出",标准坦克设计!$B$23:$U$23,0)))*(VLOOKUP($B233,INDIRECT($B$5&amp;"生成成长"),3))*(VLOOKUP($B$5,标准坦克设计!$B$14:$K$20,9)/30))</f>
        <v>1.3082063927421608</v>
      </c>
      <c r="DM233" s="172">
        <f ca="1">(VLOOKUP(DM$72,INDIRECT($C$5&amp;"生成成长"),2))/((VLOOKUP($B233,INDIRECT($B$5&amp;"生成成长"),4))/(VLOOKUP(DM$72,INDIRECT($C$5&amp;"生成成长"),5))*(VLOOKUP($B$5,标准坦克设计!$B$24:$U$30,MATCH("对"&amp;LEFT($C$5,2)&amp;"输出",标准坦克设计!$B$23:$U$23,0)))*(VLOOKUP($B233,INDIRECT($B$5&amp;"生成成长"),3))*(VLOOKUP($B$5,标准坦克设计!$B$14:$K$20,9)/30))</f>
        <v>1.4530101911714715</v>
      </c>
      <c r="DN233" s="172">
        <f ca="1">(VLOOKUP(DN$72,INDIRECT($C$5&amp;"生成成长"),2))/((VLOOKUP($B233,INDIRECT($B$5&amp;"生成成长"),4))/(VLOOKUP(DN$72,INDIRECT($C$5&amp;"生成成长"),5))*(VLOOKUP($B$5,标准坦克设计!$B$24:$U$30,MATCH("对"&amp;LEFT($C$5,2)&amp;"输出",标准坦克设计!$B$23:$U$23,0)))*(VLOOKUP($B233,INDIRECT($B$5&amp;"生成成长"),3))*(VLOOKUP($B$5,标准坦克设计!$B$14:$K$20,9)/30))</f>
        <v>1.6054130227545074</v>
      </c>
      <c r="DO233" s="172">
        <f ca="1">(VLOOKUP(DO$72,INDIRECT($C$5&amp;"生成成长"),2))/((VLOOKUP($B233,INDIRECT($B$5&amp;"生成成长"),4))/(VLOOKUP(DO$72,INDIRECT($C$5&amp;"生成成长"),5))*(VLOOKUP($B$5,标准坦克设计!$B$24:$U$30,MATCH("对"&amp;LEFT($C$5,2)&amp;"输出",标准坦克设计!$B$23:$U$23,0)))*(VLOOKUP($B233,INDIRECT($B$5&amp;"生成成长"),3))*(VLOOKUP($B$5,标准坦克设计!$B$14:$K$20,9)/30))</f>
        <v>1.7654148874912674</v>
      </c>
      <c r="DP233" s="172">
        <f ca="1">(VLOOKUP(DP$72,INDIRECT($C$5&amp;"生成成长"),2))/((VLOOKUP($B233,INDIRECT($B$5&amp;"生成成长"),4))/(VLOOKUP(DP$72,INDIRECT($C$5&amp;"生成成长"),5))*(VLOOKUP($B$5,标准坦克设计!$B$24:$U$30,MATCH("对"&amp;LEFT($C$5,2)&amp;"输出",标准坦克设计!$B$23:$U$23,0)))*(VLOOKUP($B233,INDIRECT($B$5&amp;"生成成长"),3))*(VLOOKUP($B$5,标准坦克设计!$B$14:$K$20,9)/30))</f>
        <v>1.9330157853817527</v>
      </c>
      <c r="DQ233" s="172">
        <f ca="1">(VLOOKUP(DQ$72,INDIRECT($C$5&amp;"生成成长"),2))/((VLOOKUP($B233,INDIRECT($B$5&amp;"生成成长"),4))/(VLOOKUP(DQ$72,INDIRECT($C$5&amp;"生成成长"),5))*(VLOOKUP($B$5,标准坦克设计!$B$24:$U$30,MATCH("对"&amp;LEFT($C$5,2)&amp;"输出",标准坦克设计!$B$23:$U$23,0)))*(VLOOKUP($B233,INDIRECT($B$5&amp;"生成成长"),3))*(VLOOKUP($B$5,标准坦克设计!$B$14:$K$20,9)/30))</f>
        <v>2.1082157164259625</v>
      </c>
      <c r="DR233" s="172">
        <f ca="1">(VLOOKUP(DR$72,INDIRECT($C$5&amp;"生成成长"),2))/((VLOOKUP($B233,INDIRECT($B$5&amp;"生成成长"),4))/(VLOOKUP(DR$72,INDIRECT($C$5&amp;"生成成长"),5))*(VLOOKUP($B$5,标准坦克设计!$B$24:$U$30,MATCH("对"&amp;LEFT($C$5,2)&amp;"输出",标准坦克设计!$B$23:$U$23,0)))*(VLOOKUP($B233,INDIRECT($B$5&amp;"生成成长"),3))*(VLOOKUP($B$5,标准坦克设计!$B$14:$K$20,9)/30))</f>
        <v>2.2910146806238973</v>
      </c>
      <c r="DS233" s="172">
        <f ca="1">(VLOOKUP(DS$72,INDIRECT($C$5&amp;"生成成长"),2))/((VLOOKUP($B233,INDIRECT($B$5&amp;"生成成长"),4))/(VLOOKUP(DS$72,INDIRECT($C$5&amp;"生成成长"),5))*(VLOOKUP($B$5,标准坦克设计!$B$24:$U$30,MATCH("对"&amp;LEFT($C$5,2)&amp;"输出",标准坦克设计!$B$23:$U$23,0)))*(VLOOKUP($B233,INDIRECT($B$5&amp;"生成成长"),3))*(VLOOKUP($B$5,标准坦克设计!$B$14:$K$20,9)/30))</f>
        <v>2.4814126779755563</v>
      </c>
      <c r="DT233" s="172">
        <f ca="1">(VLOOKUP(DT$72,INDIRECT($C$5&amp;"生成成长"),2))/((VLOOKUP($B233,INDIRECT($B$5&amp;"生成成长"),4))/(VLOOKUP(DT$72,INDIRECT($C$5&amp;"生成成长"),5))*(VLOOKUP($B$5,标准坦克设计!$B$24:$U$30,MATCH("对"&amp;LEFT($C$5,2)&amp;"输出",标准坦克设计!$B$23:$U$23,0)))*(VLOOKUP($B233,INDIRECT($B$5&amp;"生成成长"),3))*(VLOOKUP($B$5,标准坦克设计!$B$14:$K$20,9)/30))</f>
        <v>2.7244410160585688</v>
      </c>
      <c r="DU233" s="172">
        <f ca="1">(VLOOKUP(DU$72,INDIRECT($C$5&amp;"生成成长"),2))/((VLOOKUP($B233,INDIRECT($B$5&amp;"生成成长"),4))/(VLOOKUP(DU$72,INDIRECT($C$5&amp;"生成成长"),5))*(VLOOKUP($B$5,标准坦克设计!$B$24:$U$30,MATCH("对"&amp;LEFT($C$5,2)&amp;"输出",标准坦克设计!$B$23:$U$23,0)))*(VLOOKUP($B233,INDIRECT($B$5&amp;"生成成长"),3))*(VLOOKUP($B$5,标准坦克设计!$B$14:$K$20,9)/30))</f>
        <v>2.9788209962601093</v>
      </c>
      <c r="DV233" s="172">
        <f ca="1">(VLOOKUP(DV$72,INDIRECT($C$5&amp;"生成成长"),2))/((VLOOKUP($B233,INDIRECT($B$5&amp;"生成成长"),4))/(VLOOKUP(DV$72,INDIRECT($C$5&amp;"生成成长"),5))*(VLOOKUP($B$5,标准坦克设计!$B$24:$U$30,MATCH("对"&amp;LEFT($C$5,2)&amp;"输出",标准坦克设计!$B$23:$U$23,0)))*(VLOOKUP($B233,INDIRECT($B$5&amp;"生成成长"),3))*(VLOOKUP($B$5,标准坦克设计!$B$14:$K$20,9)/30))</f>
        <v>3.2445526185801752</v>
      </c>
      <c r="DW233" s="172">
        <f ca="1">(VLOOKUP(DW$72,INDIRECT($C$5&amp;"生成成长"),2))/((VLOOKUP($B233,INDIRECT($B$5&amp;"生成成长"),4))/(VLOOKUP(DW$72,INDIRECT($C$5&amp;"生成成长"),5))*(VLOOKUP($B$5,标准坦克设计!$B$24:$U$30,MATCH("对"&amp;LEFT($C$5,2)&amp;"输出",标准坦克设计!$B$23:$U$23,0)))*(VLOOKUP($B233,INDIRECT($B$5&amp;"生成成长"),3))*(VLOOKUP($B$5,标准坦克设计!$B$14:$K$20,9)/30))</f>
        <v>3.5216358830187691</v>
      </c>
      <c r="DX233" s="172">
        <f ca="1">(VLOOKUP(DX$72,INDIRECT($C$5&amp;"生成成长"),2))/((VLOOKUP($B233,INDIRECT($B$5&amp;"生成成长"),4))/(VLOOKUP(DX$72,INDIRECT($C$5&amp;"生成成长"),5))*(VLOOKUP($B$5,标准坦克设计!$B$24:$U$30,MATCH("对"&amp;LEFT($C$5,2)&amp;"输出",标准坦克设计!$B$23:$U$23,0)))*(VLOOKUP($B233,INDIRECT($B$5&amp;"生成成长"),3))*(VLOOKUP($B$5,标准坦克设计!$B$14:$K$20,9)/30))</f>
        <v>3.8100707895758901</v>
      </c>
      <c r="DY233" s="172">
        <f ca="1">(VLOOKUP(DY$72,INDIRECT($C$5&amp;"生成成长"),2))/((VLOOKUP($B233,INDIRECT($B$5&amp;"生成成长"),4))/(VLOOKUP(DY$72,INDIRECT($C$5&amp;"生成成长"),5))*(VLOOKUP($B$5,标准坦克设计!$B$24:$U$30,MATCH("对"&amp;LEFT($C$5,2)&amp;"输出",标准坦克设计!$B$23:$U$23,0)))*(VLOOKUP($B233,INDIRECT($B$5&amp;"生成成长"),3))*(VLOOKUP($B$5,标准坦克设计!$B$14:$K$20,9)/30))</f>
        <v>1.7112365955619335</v>
      </c>
      <c r="DZ233" s="172">
        <f ca="1">(VLOOKUP(DZ$72,INDIRECT($C$5&amp;"生成成长"),2))/((VLOOKUP($B233,INDIRECT($B$5&amp;"生成成长"),4))/(VLOOKUP(DZ$72,INDIRECT($C$5&amp;"生成成长"),5))*(VLOOKUP($B$5,标准坦克设计!$B$24:$U$30,MATCH("对"&amp;LEFT($C$5,2)&amp;"输出",标准坦克设计!$B$23:$U$23,0)))*(VLOOKUP($B233,INDIRECT($B$5&amp;"生成成长"),3))*(VLOOKUP($B$5,标准坦克设计!$B$14:$K$20,9)/30))</f>
        <v>1.8951144348372493</v>
      </c>
      <c r="EA233" s="172">
        <f ca="1">(VLOOKUP(EA$72,INDIRECT($C$5&amp;"生成成长"),2))/((VLOOKUP($B233,INDIRECT($B$5&amp;"生成成长"),4))/(VLOOKUP(EA$72,INDIRECT($C$5&amp;"生成成长"),5))*(VLOOKUP($B$5,标准坦克设计!$B$24:$U$30,MATCH("对"&amp;LEFT($C$5,2)&amp;"输出",标准坦克设计!$B$23:$U$23,0)))*(VLOOKUP($B233,INDIRECT($B$5&amp;"生成成长"),3))*(VLOOKUP($B$5,标准坦克设计!$B$14:$K$20,9)/30))</f>
        <v>2.0883737965245701</v>
      </c>
      <c r="EB233" s="172">
        <f ca="1">(VLOOKUP(EB$72,INDIRECT($C$5&amp;"生成成长"),2))/((VLOOKUP($B233,INDIRECT($B$5&amp;"生成成长"),4))/(VLOOKUP(EB$72,INDIRECT($C$5&amp;"生成成长"),5))*(VLOOKUP($B$5,标准坦克设计!$B$24:$U$30,MATCH("对"&amp;LEFT($C$5,2)&amp;"输出",标准坦克设计!$B$23:$U$23,0)))*(VLOOKUP($B233,INDIRECT($B$5&amp;"生成成长"),3))*(VLOOKUP($B$5,标准坦克设计!$B$14:$K$20,9)/30))</f>
        <v>2.2910146806238973</v>
      </c>
      <c r="EC233" s="172">
        <f ca="1">(VLOOKUP(EC$72,INDIRECT($C$5&amp;"生成成长"),2))/((VLOOKUP($B233,INDIRECT($B$5&amp;"生成成长"),4))/(VLOOKUP(EC$72,INDIRECT($C$5&amp;"生成成长"),5))*(VLOOKUP($B$5,标准坦克设计!$B$24:$U$30,MATCH("对"&amp;LEFT($C$5,2)&amp;"输出",标准坦克设计!$B$23:$U$23,0)))*(VLOOKUP($B233,INDIRECT($B$5&amp;"生成成长"),3))*(VLOOKUP($B$5,标准坦克设计!$B$14:$K$20,9)/30))</f>
        <v>2.5030370871352301</v>
      </c>
      <c r="ED233" s="172">
        <f ca="1">(VLOOKUP(ED$72,INDIRECT($C$5&amp;"生成成长"),2))/((VLOOKUP($B233,INDIRECT($B$5&amp;"生成成长"),4))/(VLOOKUP(ED$72,INDIRECT($C$5&amp;"生成成长"),5))*(VLOOKUP($B$5,标准坦克设计!$B$24:$U$30,MATCH("对"&amp;LEFT($C$5,2)&amp;"输出",标准坦克设计!$B$23:$U$23,0)))*(VLOOKUP($B233,INDIRECT($B$5&amp;"生成成长"),3))*(VLOOKUP($B$5,标准坦克设计!$B$14:$K$20,9)/30))</f>
        <v>2.7244410160585688</v>
      </c>
      <c r="EE233" s="172">
        <f ca="1">(VLOOKUP(EE$72,INDIRECT($C$5&amp;"生成成长"),2))/((VLOOKUP($B233,INDIRECT($B$5&amp;"生成成长"),4))/(VLOOKUP(EE$72,INDIRECT($C$5&amp;"生成成长"),5))*(VLOOKUP($B$5,标准坦克设计!$B$24:$U$30,MATCH("对"&amp;LEFT($C$5,2)&amp;"输出",标准坦克设计!$B$23:$U$23,0)))*(VLOOKUP($B233,INDIRECT($B$5&amp;"生成成长"),3))*(VLOOKUP($B$5,标准坦克设计!$B$14:$K$20,9)/30))</f>
        <v>2.9552264673939139</v>
      </c>
      <c r="EF233" s="172">
        <f ca="1">(VLOOKUP(EF$72,INDIRECT($C$5&amp;"生成成长"),2))/((VLOOKUP($B233,INDIRECT($B$5&amp;"生成成长"),4))/(VLOOKUP(EF$72,INDIRECT($C$5&amp;"生成成长"),5))*(VLOOKUP($B$5,标准坦克设计!$B$24:$U$30,MATCH("对"&amp;LEFT($C$5,2)&amp;"输出",标准坦克设计!$B$23:$U$23,0)))*(VLOOKUP($B233,INDIRECT($B$5&amp;"生成成长"),3))*(VLOOKUP($B$5,标准坦克设计!$B$14:$K$20,9)/30))</f>
        <v>3.1953934411412641</v>
      </c>
      <c r="EG233" s="172">
        <f ca="1">(VLOOKUP(EG$72,INDIRECT($C$5&amp;"生成成长"),2))/((VLOOKUP($B233,INDIRECT($B$5&amp;"生成成长"),4))/(VLOOKUP(EG$72,INDIRECT($C$5&amp;"生成成长"),5))*(VLOOKUP($B$5,标准坦克设计!$B$24:$U$30,MATCH("对"&amp;LEFT($C$5,2)&amp;"输出",标准坦克设计!$B$23:$U$23,0)))*(VLOOKUP($B233,INDIRECT($B$5&amp;"生成成长"),3))*(VLOOKUP($B$5,标准坦克设计!$B$14:$K$20,9)/30))</f>
        <v>3.4449419373006207</v>
      </c>
      <c r="EH233" s="172">
        <f ca="1">(VLOOKUP(EH$72,INDIRECT($C$5&amp;"生成成长"),2))/((VLOOKUP($B233,INDIRECT($B$5&amp;"生成成长"),4))/(VLOOKUP(EH$72,INDIRECT($C$5&amp;"生成成长"),5))*(VLOOKUP($B$5,标准坦克设计!$B$24:$U$30,MATCH("对"&amp;LEFT($C$5,2)&amp;"输出",标准坦克设计!$B$23:$U$23,0)))*(VLOOKUP($B233,INDIRECT($B$5&amp;"生成成长"),3))*(VLOOKUP($B$5,标准坦克设计!$B$14:$K$20,9)/30))</f>
        <v>3.7038719558719841</v>
      </c>
      <c r="EI233" s="172">
        <f ca="1">(VLOOKUP(EI$72,INDIRECT($C$5&amp;"生成成长"),2))/((VLOOKUP($B233,INDIRECT($B$5&amp;"生成成长"),4))/(VLOOKUP(EI$72,INDIRECT($C$5&amp;"生成成长"),5))*(VLOOKUP($B$5,标准坦克设计!$B$24:$U$30,MATCH("对"&amp;LEFT($C$5,2)&amp;"输出",标准坦克设计!$B$23:$U$23,0)))*(VLOOKUP($B233,INDIRECT($B$5&amp;"生成成长"),3))*(VLOOKUP($B$5,标准坦克设计!$B$14:$K$20,9)/30))</f>
        <v>3.9721834968553513</v>
      </c>
      <c r="EJ233" s="172">
        <f ca="1">(VLOOKUP(EJ$72,INDIRECT($C$5&amp;"生成成长"),2))/((VLOOKUP($B233,INDIRECT($B$5&amp;"生成成长"),4))/(VLOOKUP(EJ$72,INDIRECT($C$5&amp;"生成成长"),5))*(VLOOKUP($B$5,标准坦克设计!$B$24:$U$30,MATCH("对"&amp;LEFT($C$5,2)&amp;"输出",标准坦克设计!$B$23:$U$23,0)))*(VLOOKUP($B233,INDIRECT($B$5&amp;"生成成长"),3))*(VLOOKUP($B$5,标准坦克设计!$B$14:$K$20,9)/30))</f>
        <v>4.2498765602507254</v>
      </c>
      <c r="EK233" s="172">
        <f ca="1">(VLOOKUP(EK$72,INDIRECT($C$5&amp;"生成成长"),2))/((VLOOKUP($B233,INDIRECT($B$5&amp;"生成成长"),4))/(VLOOKUP(EK$72,INDIRECT($C$5&amp;"生成成长"),5))*(VLOOKUP($B$5,标准坦克设计!$B$24:$U$30,MATCH("对"&amp;LEFT($C$5,2)&amp;"输出",标准坦克设计!$B$23:$U$23,0)))*(VLOOKUP($B233,INDIRECT($B$5&amp;"生成成长"),3))*(VLOOKUP($B$5,标准坦克设计!$B$14:$K$20,9)/30))</f>
        <v>4.5954918459090219</v>
      </c>
      <c r="EL233" s="172">
        <f ca="1">(VLOOKUP(EL$72,INDIRECT($C$5&amp;"生成成长"),2))/((VLOOKUP($B233,INDIRECT($B$5&amp;"生成成长"),4))/(VLOOKUP(EL$72,INDIRECT($C$5&amp;"生成成长"),5))*(VLOOKUP($B$5,标准坦克设计!$B$24:$U$30,MATCH("对"&amp;LEFT($C$5,2)&amp;"输出",标准坦克设计!$B$23:$U$23,0)))*(VLOOKUP($B233,INDIRECT($B$5&amp;"生成成长"),3))*(VLOOKUP($B$5,标准坦克设计!$B$14:$K$20,9)/30))</f>
        <v>4.9546165238406079</v>
      </c>
      <c r="EM233" s="172">
        <f ca="1">(VLOOKUP(EM$72,INDIRECT($C$5&amp;"生成成长"),2))/((VLOOKUP($B233,INDIRECT($B$5&amp;"生成成长"),4))/(VLOOKUP(EM$72,INDIRECT($C$5&amp;"生成成长"),5))*(VLOOKUP($B$5,标准坦克设计!$B$24:$U$30,MATCH("对"&amp;LEFT($C$5,2)&amp;"输出",标准坦克设计!$B$23:$U$23,0)))*(VLOOKUP($B233,INDIRECT($B$5&amp;"生成成长"),3))*(VLOOKUP($B$5,标准坦克设计!$B$14:$K$20,9)/30))</f>
        <v>5.3272505940454815</v>
      </c>
      <c r="EN233" s="172">
        <f ca="1">(VLOOKUP(EN$72,INDIRECT($C$5&amp;"生成成长"),2))/((VLOOKUP($B233,INDIRECT($B$5&amp;"生成成长"),4))/(VLOOKUP(EN$72,INDIRECT($C$5&amp;"生成成长"),5))*(VLOOKUP($B$5,标准坦克设计!$B$24:$U$30,MATCH("对"&amp;LEFT($C$5,2)&amp;"输出",标准坦克设计!$B$23:$U$23,0)))*(VLOOKUP($B233,INDIRECT($B$5&amp;"生成成长"),3))*(VLOOKUP($B$5,标准坦克设计!$B$14:$K$20,9)/30))</f>
        <v>5.7133940565236436</v>
      </c>
      <c r="EO233" s="172">
        <f ca="1">(VLOOKUP(EO$72,INDIRECT($C$5&amp;"生成成长"),2))/((VLOOKUP($B233,INDIRECT($B$5&amp;"生成成长"),4))/(VLOOKUP(EO$72,INDIRECT($C$5&amp;"生成成长"),5))*(VLOOKUP($B$5,标准坦克设计!$B$24:$U$30,MATCH("对"&amp;LEFT($C$5,2)&amp;"输出",标准坦克设计!$B$23:$U$23,0)))*(VLOOKUP($B233,INDIRECT($B$5&amp;"生成成长"),3))*(VLOOKUP($B$5,标准坦克设计!$B$14:$K$20,9)/30))</f>
        <v>6.1130469112750951</v>
      </c>
      <c r="EP233" s="172">
        <f ca="1">(VLOOKUP(EP$72,INDIRECT($C$5&amp;"生成成长"),2))/((VLOOKUP($B233,INDIRECT($B$5&amp;"生成成长"),4))/(VLOOKUP(EP$72,INDIRECT($C$5&amp;"生成成长"),5))*(VLOOKUP($B$5,标准坦克设计!$B$24:$U$30,MATCH("对"&amp;LEFT($C$5,2)&amp;"输出",标准坦克设计!$B$23:$U$23,0)))*(VLOOKUP($B233,INDIRECT($B$5&amp;"生成成长"),3))*(VLOOKUP($B$5,标准坦克设计!$B$14:$K$20,9)/30))</f>
        <v>6.5262091582998334</v>
      </c>
      <c r="EQ233" s="172">
        <f ca="1">(VLOOKUP(EQ$72,INDIRECT($C$5&amp;"生成成长"),2))/((VLOOKUP($B233,INDIRECT($B$5&amp;"生成成长"),4))/(VLOOKUP(EQ$72,INDIRECT($C$5&amp;"生成成长"),5))*(VLOOKUP($B$5,标准坦克设计!$B$24:$U$30,MATCH("对"&amp;LEFT($C$5,2)&amp;"输出",标准坦克设计!$B$23:$U$23,0)))*(VLOOKUP($B233,INDIRECT($B$5&amp;"生成成长"),3))*(VLOOKUP($B$5,标准坦克设计!$B$14:$K$20,9)/30))</f>
        <v>2.8850057721400502</v>
      </c>
      <c r="ER233" s="172">
        <f ca="1">(VLOOKUP(ER$72,INDIRECT($C$5&amp;"生成成长"),2))/((VLOOKUP($B233,INDIRECT($B$5&amp;"生成成长"),4))/(VLOOKUP(ER$72,INDIRECT($C$5&amp;"生成成长"),5))*(VLOOKUP($B$5,标准坦克设计!$B$24:$U$30,MATCH("对"&amp;LEFT($C$5,2)&amp;"输出",标准坦克设计!$B$23:$U$23,0)))*(VLOOKUP($B233,INDIRECT($B$5&amp;"生成成长"),3))*(VLOOKUP($B$5,标准坦克设计!$B$14:$K$20,9)/30))</f>
        <v>3.1466095245988335</v>
      </c>
      <c r="ES233" s="172">
        <f ca="1">(VLOOKUP(ES$72,INDIRECT($C$5&amp;"生成成长"),2))/((VLOOKUP($B233,INDIRECT($B$5&amp;"生成成长"),4))/(VLOOKUP(ES$72,INDIRECT($C$5&amp;"生成成长"),5))*(VLOOKUP($B$5,标准坦克设计!$B$24:$U$30,MATCH("对"&amp;LEFT($C$5,2)&amp;"输出",标准坦克设计!$B$23:$U$23,0)))*(VLOOKUP($B233,INDIRECT($B$5&amp;"生成成长"),3))*(VLOOKUP($B$5,标准坦克设计!$B$14:$K$20,9)/30))</f>
        <v>3.4195649191761452</v>
      </c>
      <c r="ET233" s="172">
        <f ca="1">(VLOOKUP(ET$72,INDIRECT($C$5&amp;"生成成长"),2))/((VLOOKUP($B233,INDIRECT($B$5&amp;"生成成长"),4))/(VLOOKUP(ET$72,INDIRECT($C$5&amp;"生成成长"),5))*(VLOOKUP($B$5,标准坦克设计!$B$24:$U$30,MATCH("对"&amp;LEFT($C$5,2)&amp;"输出",标准坦克设计!$B$23:$U$23,0)))*(VLOOKUP($B233,INDIRECT($B$5&amp;"生成成长"),3))*(VLOOKUP($B$5,标准坦克设计!$B$14:$K$20,9)/30))</f>
        <v>3.7038719558719841</v>
      </c>
      <c r="EU233" s="172">
        <f ca="1">(VLOOKUP(EU$72,INDIRECT($C$5&amp;"生成成长"),2))/((VLOOKUP($B233,INDIRECT($B$5&amp;"生成成长"),4))/(VLOOKUP(EU$72,INDIRECT($C$5&amp;"生成成长"),5))*(VLOOKUP($B$5,标准坦克设计!$B$24:$U$30,MATCH("对"&amp;LEFT($C$5,2)&amp;"输出",标准坦克设计!$B$23:$U$23,0)))*(VLOOKUP($B233,INDIRECT($B$5&amp;"生成成长"),3))*(VLOOKUP($B$5,标准坦克设计!$B$14:$K$20,9)/30))</f>
        <v>3.9995306346863488</v>
      </c>
      <c r="EV233" s="172">
        <f ca="1">(VLOOKUP(EV$72,INDIRECT($C$5&amp;"生成成长"),2))/((VLOOKUP($B233,INDIRECT($B$5&amp;"生成成长"),4))/(VLOOKUP(EV$72,INDIRECT($C$5&amp;"生成成长"),5))*(VLOOKUP($B$5,标准坦克设计!$B$24:$U$30,MATCH("对"&amp;LEFT($C$5,2)&amp;"输出",标准坦克设计!$B$23:$U$23,0)))*(VLOOKUP($B233,INDIRECT($B$5&amp;"生成成长"),3))*(VLOOKUP($B$5,标准坦克设计!$B$14:$K$20,9)/30))</f>
        <v>4.3065409556192416</v>
      </c>
      <c r="EW233" s="172">
        <f ca="1">(VLOOKUP(EW$72,INDIRECT($C$5&amp;"生成成长"),2))/((VLOOKUP($B233,INDIRECT($B$5&amp;"生成成长"),4))/(VLOOKUP(EW$72,INDIRECT($C$5&amp;"生成成长"),5))*(VLOOKUP($B$5,标准坦克设计!$B$24:$U$30,MATCH("对"&amp;LEFT($C$5,2)&amp;"输出",标准坦克设计!$B$23:$U$23,0)))*(VLOOKUP($B233,INDIRECT($B$5&amp;"生成成长"),3))*(VLOOKUP($B$5,标准坦克设计!$B$14:$K$20,9)/30))</f>
        <v>4.6249029186706618</v>
      </c>
      <c r="EX233" s="172">
        <f ca="1">(VLOOKUP(EX$72,INDIRECT($C$5&amp;"生成成长"),2))/((VLOOKUP($B233,INDIRECT($B$5&amp;"生成成长"),4))/(VLOOKUP(EX$72,INDIRECT($C$5&amp;"生成成长"),5))*(VLOOKUP($B$5,标准坦克设计!$B$24:$U$30,MATCH("对"&amp;LEFT($C$5,2)&amp;"输出",标准坦克设计!$B$23:$U$23,0)))*(VLOOKUP($B233,INDIRECT($B$5&amp;"生成成长"),3))*(VLOOKUP($B$5,标准坦克设计!$B$14:$K$20,9)/30))</f>
        <v>4.9546165238406079</v>
      </c>
      <c r="EY233" s="172">
        <f ca="1">(VLOOKUP(EY$72,INDIRECT($C$5&amp;"生成成长"),2))/((VLOOKUP($B233,INDIRECT($B$5&amp;"生成成长"),4))/(VLOOKUP(EY$72,INDIRECT($C$5&amp;"生成成长"),5))*(VLOOKUP($B$5,标准坦克设计!$B$24:$U$30,MATCH("对"&amp;LEFT($C$5,2)&amp;"输出",标准坦克设计!$B$23:$U$23,0)))*(VLOOKUP($B233,INDIRECT($B$5&amp;"生成成长"),3))*(VLOOKUP($B$5,标准坦克设计!$B$14:$K$20,9)/30))</f>
        <v>5.2956817711290824</v>
      </c>
      <c r="EZ233" s="172">
        <f ca="1">(VLOOKUP(EZ$72,INDIRECT($C$5&amp;"生成成长"),2))/((VLOOKUP($B233,INDIRECT($B$5&amp;"生成成长"),4))/(VLOOKUP(EZ$72,INDIRECT($C$5&amp;"生成成长"),5))*(VLOOKUP($B$5,标准坦克设计!$B$24:$U$30,MATCH("对"&amp;LEFT($C$5,2)&amp;"输出",标准坦克设计!$B$23:$U$23,0)))*(VLOOKUP($B233,INDIRECT($B$5&amp;"生成成长"),3))*(VLOOKUP($B$5,标准坦克设计!$B$14:$K$20,9)/30))</f>
        <v>5.6480986605360837</v>
      </c>
      <c r="FA233" s="172">
        <f ca="1">(VLOOKUP(FA$72,INDIRECT($C$5&amp;"生成成长"),2))/((VLOOKUP($B233,INDIRECT($B$5&amp;"生成成长"),4))/(VLOOKUP(FA$72,INDIRECT($C$5&amp;"生成成长"),5))*(VLOOKUP($B$5,标准坦克设计!$B$24:$U$30,MATCH("对"&amp;LEFT($C$5,2)&amp;"输出",标准坦克设计!$B$23:$U$23,0)))*(VLOOKUP($B233,INDIRECT($B$5&amp;"生成成长"),3))*(VLOOKUP($B$5,标准坦克设计!$B$14:$K$20,9)/30))</f>
        <v>6.0118671920616116</v>
      </c>
      <c r="FB233" s="172">
        <f ca="1">(VLOOKUP(FB$72,INDIRECT($C$5&amp;"生成成长"),2))/((VLOOKUP($B233,INDIRECT($B$5&amp;"生成成长"),4))/(VLOOKUP(FB$72,INDIRECT($C$5&amp;"生成成长"),5))*(VLOOKUP($B$5,标准坦克设计!$B$24:$U$30,MATCH("对"&amp;LEFT($C$5,2)&amp;"输出",标准坦克设计!$B$23:$U$23,0)))*(VLOOKUP($B233,INDIRECT($B$5&amp;"生成成长"),3))*(VLOOKUP($B$5,标准坦克设计!$B$14:$K$20,9)/30))</f>
        <v>6.3869873657056679</v>
      </c>
      <c r="FC233" s="172">
        <f ca="1">(VLOOKUP(FC$72,INDIRECT($C$5&amp;"生成成长"),2))/((VLOOKUP($B233,INDIRECT($B$5&amp;"生成成长"),4))/(VLOOKUP(FC$72,INDIRECT($C$5&amp;"生成成长"),5))*(VLOOKUP($B$5,标准坦克设计!$B$24:$U$30,MATCH("对"&amp;LEFT($C$5,2)&amp;"输出",标准坦克设计!$B$23:$U$23,0)))*(VLOOKUP($B233,INDIRECT($B$5&amp;"生成成长"),3))*(VLOOKUP($B$5,标准坦克设计!$B$14:$K$20,9)/30))</f>
        <v>6.7734591814682483</v>
      </c>
      <c r="FD233" s="172">
        <f ca="1">(VLOOKUP(FD$72,INDIRECT($C$5&amp;"生成成长"),2))/((VLOOKUP($B233,INDIRECT($B$5&amp;"生成成长"),4))/(VLOOKUP(FD$72,INDIRECT($C$5&amp;"生成成长"),5))*(VLOOKUP($B$5,标准坦克设计!$B$24:$U$30,MATCH("对"&amp;LEFT($C$5,2)&amp;"输出",标准坦克设计!$B$23:$U$23,0)))*(VLOOKUP($B233,INDIRECT($B$5&amp;"生成成长"),3))*(VLOOKUP($B$5,标准坦克设计!$B$14:$K$20,9)/30))</f>
        <v>7.1712826393493572</v>
      </c>
      <c r="FE233" s="172">
        <f ca="1">(VLOOKUP(FE$72,INDIRECT($C$5&amp;"生成成长"),2))/((VLOOKUP($B233,INDIRECT($B$5&amp;"生成成长"),4))/(VLOOKUP(FE$72,INDIRECT($C$5&amp;"生成成长"),5))*(VLOOKUP($B$5,标准坦克设计!$B$24:$U$30,MATCH("对"&amp;LEFT($C$5,2)&amp;"输出",标准坦克设计!$B$23:$U$23,0)))*(VLOOKUP($B233,INDIRECT($B$5&amp;"生成成长"),3))*(VLOOKUP($B$5,标准坦克设计!$B$14:$K$20,9)/30))</f>
        <v>7.6560728099897615</v>
      </c>
      <c r="FF233" s="172">
        <f ca="1">(VLOOKUP(FF$72,INDIRECT($C$5&amp;"生成成长"),2))/((VLOOKUP($B233,INDIRECT($B$5&amp;"生成成长"),4))/(VLOOKUP(FF$72,INDIRECT($C$5&amp;"生成成长"),5))*(VLOOKUP($B$5,标准坦克设计!$B$24:$U$30,MATCH("对"&amp;LEFT($C$5,2)&amp;"输出",标准坦克设计!$B$23:$U$23,0)))*(VLOOKUP($B233,INDIRECT($B$5&amp;"生成成长"),3))*(VLOOKUP($B$5,标准坦克设计!$B$14:$K$20,9)/30))</f>
        <v>8.1567177535064559</v>
      </c>
      <c r="FG233" s="172">
        <f ca="1">(VLOOKUP(FG$72,INDIRECT($C$5&amp;"生成成长"),2))/((VLOOKUP($B233,INDIRECT($B$5&amp;"生成成长"),4))/(VLOOKUP(FG$72,INDIRECT($C$5&amp;"生成成长"),5))*(VLOOKUP($B$5,标准坦克设计!$B$24:$U$30,MATCH("对"&amp;LEFT($C$5,2)&amp;"输出",标准坦克设计!$B$23:$U$23,0)))*(VLOOKUP($B233,INDIRECT($B$5&amp;"生成成长"),3))*(VLOOKUP($B$5,标准坦克设计!$B$14:$K$20,9)/30))</f>
        <v>8.6732174698994413</v>
      </c>
      <c r="FH233" s="172">
        <f ca="1">(VLOOKUP(FH$72,INDIRECT($C$5&amp;"生成成长"),2))/((VLOOKUP($B233,INDIRECT($B$5&amp;"生成成长"),4))/(VLOOKUP(FH$72,INDIRECT($C$5&amp;"生成成长"),5))*(VLOOKUP($B$5,标准坦克设计!$B$24:$U$30,MATCH("对"&amp;LEFT($C$5,2)&amp;"输出",标准坦克设计!$B$23:$U$23,0)))*(VLOOKUP($B233,INDIRECT($B$5&amp;"生成成长"),3))*(VLOOKUP($B$5,标准坦克设计!$B$14:$K$20,9)/30))</f>
        <v>9.2055719591687151</v>
      </c>
      <c r="FI233" s="172">
        <f ca="1">(VLOOKUP(FI$72,INDIRECT($C$5&amp;"生成成长"),2))/((VLOOKUP($B233,INDIRECT($B$5&amp;"生成成长"),4))/(VLOOKUP(FI$72,INDIRECT($C$5&amp;"生成成长"),5))*(VLOOKUP($B$5,标准坦克设计!$B$24:$U$30,MATCH("对"&amp;LEFT($C$5,2)&amp;"输出",标准坦克设计!$B$23:$U$23,0)))*(VLOOKUP($B233,INDIRECT($B$5&amp;"生成成长"),3))*(VLOOKUP($B$5,标准坦克设计!$B$14:$K$20,9)/30))</f>
        <v>9.7537812213142772</v>
      </c>
      <c r="FJ233" s="172">
        <f ca="1">(VLOOKUP(FJ$72,INDIRECT($C$5&amp;"生成成长"),2))/((VLOOKUP($B233,INDIRECT($B$5&amp;"生成成长"),4))/(VLOOKUP(FJ$72,INDIRECT($C$5&amp;"生成成长"),5))*(VLOOKUP($B$5,标准坦克设计!$B$24:$U$30,MATCH("对"&amp;LEFT($C$5,2)&amp;"输出",标准坦克设计!$B$23:$U$23,0)))*(VLOOKUP($B233,INDIRECT($B$5&amp;"生成成长"),3))*(VLOOKUP($B$5,标准坦克设计!$B$14:$K$20,9)/30))</f>
        <v>10.317845256336133</v>
      </c>
      <c r="FK233" s="172">
        <f ca="1">(VLOOKUP(FK$72,INDIRECT($C$5&amp;"生成成长"),2))/((VLOOKUP($B233,INDIRECT($B$5&amp;"生成成长"),4))/(VLOOKUP(FK$72,INDIRECT($C$5&amp;"生成成长"),5))*(VLOOKUP($B$5,标准坦克设计!$B$24:$U$30,MATCH("对"&amp;LEFT($C$5,2)&amp;"输出",标准坦克设计!$B$23:$U$23,0)))*(VLOOKUP($B233,INDIRECT($B$5&amp;"生成成长"),3))*(VLOOKUP($B$5,标准坦克设计!$B$14:$K$20,9)/30))</f>
        <v>10.897764064234275</v>
      </c>
    </row>
    <row r="234" spans="1:167" x14ac:dyDescent="0.15">
      <c r="A234" s="170" t="str">
        <f t="shared" si="13"/>
        <v>T5高品质18级</v>
      </c>
      <c r="B234" s="171">
        <v>30518</v>
      </c>
      <c r="C234" s="172">
        <f ca="1">(VLOOKUP(C$72,INDIRECT($C$5&amp;"生成成长"),2))/((VLOOKUP($B234,INDIRECT($B$5&amp;"生成成长"),4))/(VLOOKUP(C$72,INDIRECT($C$5&amp;"生成成长"),5))*(VLOOKUP($B$5,标准坦克设计!$B$24:$U$30,MATCH("对"&amp;LEFT($C$5,2)&amp;"输出",标准坦克设计!$B$23:$U$23,0)))*(VLOOKUP($B234,INDIRECT($B$5&amp;"生成成长"),3))*(VLOOKUP($B$5,标准坦克设计!$B$14:$K$20,9)/30))</f>
        <v>0.44230202406812658</v>
      </c>
      <c r="D234" s="172">
        <f ca="1">(VLOOKUP(D$72,INDIRECT($C$5&amp;"生成成长"),2))/((VLOOKUP($B234,INDIRECT($B$5&amp;"生成成长"),4))/(VLOOKUP(D$72,INDIRECT($C$5&amp;"生成成长"),5))*(VLOOKUP($B$5,标准坦克设计!$B$24:$U$30,MATCH("对"&amp;LEFT($C$5,2)&amp;"输出",标准坦克设计!$B$23:$U$23,0)))*(VLOOKUP($B234,INDIRECT($B$5&amp;"生成成长"),3))*(VLOOKUP($B$5,标准坦克设计!$B$14:$K$20,9)/30))</f>
        <v>0.496970554242947</v>
      </c>
      <c r="E234" s="172">
        <f ca="1">(VLOOKUP(E$72,INDIRECT($C$5&amp;"生成成长"),2))/((VLOOKUP($B234,INDIRECT($B$5&amp;"生成成长"),4))/(VLOOKUP(E$72,INDIRECT($C$5&amp;"生成成长"),5))*(VLOOKUP($B$5,标准坦克设计!$B$24:$U$30,MATCH("对"&amp;LEFT($C$5,2)&amp;"输出",标准坦克设计!$B$23:$U$23,0)))*(VLOOKUP($B234,INDIRECT($B$5&amp;"生成成长"),3))*(VLOOKUP($B$5,标准坦克设计!$B$14:$K$20,9)/30))</f>
        <v>0.5548236589910579</v>
      </c>
      <c r="F234" s="172">
        <f ca="1">(VLOOKUP(F$72,INDIRECT($C$5&amp;"生成成长"),2))/((VLOOKUP($B234,INDIRECT($B$5&amp;"生成成长"),4))/(VLOOKUP(F$72,INDIRECT($C$5&amp;"生成成长"),5))*(VLOOKUP($B$5,标准坦克设计!$B$24:$U$30,MATCH("对"&amp;LEFT($C$5,2)&amp;"输出",标准坦克设计!$B$23:$U$23,0)))*(VLOOKUP($B234,INDIRECT($B$5&amp;"生成成长"),3))*(VLOOKUP($B$5,标准坦克设计!$B$14:$K$20,9)/30))</f>
        <v>0.61586133831245937</v>
      </c>
      <c r="G234" s="172">
        <f ca="1">(VLOOKUP(G$72,INDIRECT($C$5&amp;"生成成长"),2))/((VLOOKUP($B234,INDIRECT($B$5&amp;"生成成长"),4))/(VLOOKUP(G$72,INDIRECT($C$5&amp;"生成成长"),5))*(VLOOKUP($B$5,标准坦克设计!$B$24:$U$30,MATCH("对"&amp;LEFT($C$5,2)&amp;"输出",标准坦克设计!$B$23:$U$23,0)))*(VLOOKUP($B234,INDIRECT($B$5&amp;"生成成长"),3))*(VLOOKUP($B$5,标准坦克设计!$B$14:$K$20,9)/30))</f>
        <v>0.68008359220715142</v>
      </c>
      <c r="H234" s="172">
        <f ca="1">(VLOOKUP(H$72,INDIRECT($C$5&amp;"生成成长"),2))/((VLOOKUP($B234,INDIRECT($B$5&amp;"生成成长"),4))/(VLOOKUP(H$72,INDIRECT($C$5&amp;"生成成长"),5))*(VLOOKUP($B$5,标准坦克设计!$B$24:$U$30,MATCH("对"&amp;LEFT($C$5,2)&amp;"输出",标准坦克设计!$B$23:$U$23,0)))*(VLOOKUP($B234,INDIRECT($B$5&amp;"生成成长"),3))*(VLOOKUP($B$5,标准坦克设计!$B$14:$K$20,9)/30))</f>
        <v>0.59516160358607106</v>
      </c>
      <c r="I234" s="172">
        <f ca="1">(VLOOKUP(I$72,INDIRECT($C$5&amp;"生成成长"),2))/((VLOOKUP($B234,INDIRECT($B$5&amp;"生成成长"),4))/(VLOOKUP(I$72,INDIRECT($C$5&amp;"生成成长"),5))*(VLOOKUP($B$5,标准坦克设计!$B$24:$U$30,MATCH("对"&amp;LEFT($C$5,2)&amp;"输出",标准坦克设计!$B$23:$U$23,0)))*(VLOOKUP($B234,INDIRECT($B$5&amp;"生成成长"),3))*(VLOOKUP($B$5,标准坦克设计!$B$14:$K$20,9)/30))</f>
        <v>0.68008359220715142</v>
      </c>
      <c r="J234" s="172">
        <f ca="1">(VLOOKUP(J$72,INDIRECT($C$5&amp;"生成成长"),2))/((VLOOKUP($B234,INDIRECT($B$5&amp;"生成成长"),4))/(VLOOKUP(J$72,INDIRECT($C$5&amp;"生成成长"),5))*(VLOOKUP($B$5,标准坦克设计!$B$24:$U$30,MATCH("对"&amp;LEFT($C$5,2)&amp;"输出",标准坦克设计!$B$23:$U$23,0)))*(VLOOKUP($B234,INDIRECT($B$5&amp;"生成成长"),3))*(VLOOKUP($B$5,标准坦克设计!$B$14:$K$20,9)/30))</f>
        <v>0.77066704673630371</v>
      </c>
      <c r="K234" s="172">
        <f ca="1">(VLOOKUP(K$72,INDIRECT($C$5&amp;"生成成长"),2))/((VLOOKUP($B234,INDIRECT($B$5&amp;"生成成长"),4))/(VLOOKUP(K$72,INDIRECT($C$5&amp;"生成成长"),5))*(VLOOKUP($B$5,标准坦克设计!$B$24:$U$30,MATCH("对"&amp;LEFT($C$5,2)&amp;"输出",标准坦克设计!$B$23:$U$23,0)))*(VLOOKUP($B234,INDIRECT($B$5&amp;"生成成长"),3))*(VLOOKUP($B$5,标准坦克设计!$B$14:$K$20,9)/30))</f>
        <v>0.86691196717352792</v>
      </c>
      <c r="L234" s="172">
        <f ca="1">(VLOOKUP(L$72,INDIRECT($C$5&amp;"生成成长"),2))/((VLOOKUP($B234,INDIRECT($B$5&amp;"生成成长"),4))/(VLOOKUP(L$72,INDIRECT($C$5&amp;"生成成长"),5))*(VLOOKUP($B$5,标准坦克设计!$B$24:$U$30,MATCH("对"&amp;LEFT($C$5,2)&amp;"输出",标准坦克设计!$B$23:$U$23,0)))*(VLOOKUP($B234,INDIRECT($B$5&amp;"生成成长"),3))*(VLOOKUP($B$5,标准坦克设计!$B$14:$K$20,9)/30))</f>
        <v>0.96881835351882428</v>
      </c>
      <c r="M234" s="172">
        <f ca="1">(VLOOKUP(M$72,INDIRECT($C$5&amp;"生成成长"),2))/((VLOOKUP($B234,INDIRECT($B$5&amp;"生成成长"),4))/(VLOOKUP(M$72,INDIRECT($C$5&amp;"生成成长"),5))*(VLOOKUP($B$5,标准坦克设计!$B$24:$U$30,MATCH("对"&amp;LEFT($C$5,2)&amp;"输出",标准坦克设计!$B$23:$U$23,0)))*(VLOOKUP($B234,INDIRECT($B$5&amp;"生成成长"),3))*(VLOOKUP($B$5,标准坦克设计!$B$14:$K$20,9)/30))</f>
        <v>1.0763862057721927</v>
      </c>
      <c r="N234" s="172">
        <f ca="1">(VLOOKUP(N$72,INDIRECT($C$5&amp;"生成成长"),2))/((VLOOKUP($B234,INDIRECT($B$5&amp;"生成成长"),4))/(VLOOKUP(N$72,INDIRECT($C$5&amp;"生成成长"),5))*(VLOOKUP($B$5,标准坦克设计!$B$24:$U$30,MATCH("对"&amp;LEFT($C$5,2)&amp;"输出",标准坦克设计!$B$23:$U$23,0)))*(VLOOKUP($B234,INDIRECT($B$5&amp;"生成成长"),3))*(VLOOKUP($B$5,标准坦克设计!$B$14:$K$20,9)/30))</f>
        <v>1.1896155239336332</v>
      </c>
      <c r="O234" s="172">
        <f ca="1">(VLOOKUP(O$72,INDIRECT($C$5&amp;"生成成长"),2))/((VLOOKUP($B234,INDIRECT($B$5&amp;"生成成长"),4))/(VLOOKUP(O$72,INDIRECT($C$5&amp;"生成成长"),5))*(VLOOKUP($B$5,标准坦克设计!$B$24:$U$30,MATCH("对"&amp;LEFT($C$5,2)&amp;"输出",标准坦克设计!$B$23:$U$23,0)))*(VLOOKUP($B234,INDIRECT($B$5&amp;"生成成长"),3))*(VLOOKUP($B$5,标准坦克设计!$B$14:$K$20,9)/30))</f>
        <v>0.90446340901691202</v>
      </c>
      <c r="P234" s="172">
        <f ca="1">(VLOOKUP(P$72,INDIRECT($C$5&amp;"生成成长"),2))/((VLOOKUP($B234,INDIRECT($B$5&amp;"生成成长"),4))/(VLOOKUP(P$72,INDIRECT($C$5&amp;"生成成长"),5))*(VLOOKUP($B$5,标准坦克设计!$B$24:$U$30,MATCH("对"&amp;LEFT($C$5,2)&amp;"输出",标准坦克设计!$B$23:$U$23,0)))*(VLOOKUP($B234,INDIRECT($B$5&amp;"生成成长"),3))*(VLOOKUP($B$5,标准坦克设计!$B$14:$K$20,9)/30))</f>
        <v>1.0218945964069996</v>
      </c>
      <c r="Q234" s="172">
        <f ca="1">(VLOOKUP(Q$72,INDIRECT($C$5&amp;"生成成长"),2))/((VLOOKUP($B234,INDIRECT($B$5&amp;"生成成长"),4))/(VLOOKUP(Q$72,INDIRECT($C$5&amp;"生成成长"),5))*(VLOOKUP($B$5,标准坦克设计!$B$24:$U$30,MATCH("对"&amp;LEFT($C$5,2)&amp;"输出",标准坦克设计!$B$23:$U$23,0)))*(VLOOKUP($B234,INDIRECT($B$5&amp;"生成成长"),3))*(VLOOKUP($B$5,标准坦克设计!$B$14:$K$20,9)/30))</f>
        <v>1.1464910765869909</v>
      </c>
      <c r="R234" s="172">
        <f ca="1">(VLOOKUP(R$72,INDIRECT($C$5&amp;"生成成长"),2))/((VLOOKUP($B234,INDIRECT($B$5&amp;"生成成长"),4))/(VLOOKUP(R$72,INDIRECT($C$5&amp;"生成成长"),5))*(VLOOKUP($B$5,标准坦克设计!$B$24:$U$30,MATCH("对"&amp;LEFT($C$5,2)&amp;"输出",标准坦克设计!$B$23:$U$23,0)))*(VLOOKUP($B234,INDIRECT($B$5&amp;"生成成长"),3))*(VLOOKUP($B$5,标准坦克设计!$B$14:$K$20,9)/30))</f>
        <v>1.2782528495568855</v>
      </c>
      <c r="S234" s="172">
        <f ca="1">(VLOOKUP(S$72,INDIRECT($C$5&amp;"生成成长"),2))/((VLOOKUP($B234,INDIRECT($B$5&amp;"生成成长"),4))/(VLOOKUP(S$72,INDIRECT($C$5&amp;"生成成长"),5))*(VLOOKUP($B$5,标准坦克设计!$B$24:$U$30,MATCH("对"&amp;LEFT($C$5,2)&amp;"输出",标准坦克设计!$B$23:$U$23,0)))*(VLOOKUP($B234,INDIRECT($B$5&amp;"生成成长"),3))*(VLOOKUP($B$5,标准坦克设计!$B$14:$K$20,9)/30))</f>
        <v>1.4171799153166842</v>
      </c>
      <c r="T234" s="172">
        <f ca="1">(VLOOKUP(T$72,INDIRECT($C$5&amp;"生成成长"),2))/((VLOOKUP($B234,INDIRECT($B$5&amp;"生成成长"),4))/(VLOOKUP(T$72,INDIRECT($C$5&amp;"生成成长"),5))*(VLOOKUP($B$5,标准坦克设计!$B$24:$U$30,MATCH("对"&amp;LEFT($C$5,2)&amp;"输出",标准坦克设计!$B$23:$U$23,0)))*(VLOOKUP($B234,INDIRECT($B$5&amp;"生成成长"),3))*(VLOOKUP($B$5,标准坦克设计!$B$14:$K$20,9)/30))</f>
        <v>1.5632722738663865</v>
      </c>
      <c r="U234" s="172">
        <f ca="1">(VLOOKUP(U$72,INDIRECT($C$5&amp;"生成成长"),2))/((VLOOKUP($B234,INDIRECT($B$5&amp;"生成成长"),4))/(VLOOKUP(U$72,INDIRECT($C$5&amp;"生成成长"),5))*(VLOOKUP($B$5,标准坦克设计!$B$24:$U$30,MATCH("对"&amp;LEFT($C$5,2)&amp;"输出",标准坦克设计!$B$23:$U$23,0)))*(VLOOKUP($B234,INDIRECT($B$5&amp;"生成成长"),3))*(VLOOKUP($B$5,标准坦克设计!$B$14:$K$20,9)/30))</f>
        <v>1.7165299252059922</v>
      </c>
      <c r="V234" s="172">
        <f ca="1">(VLOOKUP(V$72,INDIRECT($C$5&amp;"生成成长"),2))/((VLOOKUP($B234,INDIRECT($B$5&amp;"生成成长"),4))/(VLOOKUP(V$72,INDIRECT($C$5&amp;"生成成长"),5))*(VLOOKUP($B$5,标准坦克设计!$B$24:$U$30,MATCH("对"&amp;LEFT($C$5,2)&amp;"输出",标准坦克设计!$B$23:$U$23,0)))*(VLOOKUP($B234,INDIRECT($B$5&amp;"生成成长"),3))*(VLOOKUP($B$5,标准坦克设计!$B$14:$K$20,9)/30))</f>
        <v>1.8769528693355018</v>
      </c>
      <c r="W234" s="172">
        <f ca="1">(VLOOKUP(W$72,INDIRECT($C$5&amp;"生成成长"),2))/((VLOOKUP($B234,INDIRECT($B$5&amp;"生成成长"),4))/(VLOOKUP(W$72,INDIRECT($C$5&amp;"生成成长"),5))*(VLOOKUP($B$5,标准坦克设计!$B$24:$U$30,MATCH("对"&amp;LEFT($C$5,2)&amp;"输出",标准坦克设计!$B$23:$U$23,0)))*(VLOOKUP($B234,INDIRECT($B$5&amp;"生成成长"),3))*(VLOOKUP($B$5,标准坦克设计!$B$14:$K$20,9)/30))</f>
        <v>2.0445411062549153</v>
      </c>
      <c r="X234" s="172">
        <f ca="1">(VLOOKUP(X$72,INDIRECT($C$5&amp;"生成成长"),2))/((VLOOKUP($B234,INDIRECT($B$5&amp;"生成成长"),4))/(VLOOKUP(X$72,INDIRECT($C$5&amp;"生成成长"),5))*(VLOOKUP($B$5,标准坦克设计!$B$24:$U$30,MATCH("对"&amp;LEFT($C$5,2)&amp;"输出",标准坦克设计!$B$23:$U$23,0)))*(VLOOKUP($B234,INDIRECT($B$5&amp;"生成成长"),3))*(VLOOKUP($B$5,标准坦克设计!$B$14:$K$20,9)/30))</f>
        <v>1.4812252484017492</v>
      </c>
      <c r="Y234" s="172">
        <f ca="1">(VLOOKUP(Y$72,INDIRECT($C$5&amp;"生成成长"),2))/((VLOOKUP($B234,INDIRECT($B$5&amp;"生成成长"),4))/(VLOOKUP(Y$72,INDIRECT($C$5&amp;"生成成长"),5))*(VLOOKUP($B$5,标准坦克设计!$B$24:$U$30,MATCH("对"&amp;LEFT($C$5,2)&amp;"输出",标准坦克设计!$B$23:$U$23,0)))*(VLOOKUP($B234,INDIRECT($B$5&amp;"生成成长"),3))*(VLOOKUP($B$5,标准坦克设计!$B$14:$K$20,9)/30))</f>
        <v>1.6475308094513643</v>
      </c>
      <c r="Z234" s="172">
        <f ca="1">(VLOOKUP(Z$72,INDIRECT($C$5&amp;"生成成长"),2))/((VLOOKUP($B234,INDIRECT($B$5&amp;"生成成长"),4))/(VLOOKUP(Z$72,INDIRECT($C$5&amp;"生成成长"),5))*(VLOOKUP($B$5,标准坦克设计!$B$24:$U$30,MATCH("对"&amp;LEFT($C$5,2)&amp;"输出",标准坦克设计!$B$23:$U$23,0)))*(VLOOKUP($B234,INDIRECT($B$5&amp;"生成成长"),3))*(VLOOKUP($B$5,标准坦克设计!$B$14:$K$20,9)/30))</f>
        <v>1.822682410982343</v>
      </c>
      <c r="AA234" s="172">
        <f ca="1">(VLOOKUP(AA$72,INDIRECT($C$5&amp;"生成成长"),2))/((VLOOKUP($B234,INDIRECT($B$5&amp;"生成成长"),4))/(VLOOKUP(AA$72,INDIRECT($C$5&amp;"生成成长"),5))*(VLOOKUP($B$5,标准坦克设计!$B$24:$U$30,MATCH("对"&amp;LEFT($C$5,2)&amp;"输出",标准坦克设计!$B$23:$U$23,0)))*(VLOOKUP($B234,INDIRECT($B$5&amp;"生成成长"),3))*(VLOOKUP($B$5,标准坦克设计!$B$14:$K$20,9)/30))</f>
        <v>2.0066800529946831</v>
      </c>
      <c r="AB234" s="172">
        <f ca="1">(VLOOKUP(AB$72,INDIRECT($C$5&amp;"生成成长"),2))/((VLOOKUP($B234,INDIRECT($B$5&amp;"生成成长"),4))/(VLOOKUP(AB$72,INDIRECT($C$5&amp;"生成成长"),5))*(VLOOKUP($B$5,标准坦克设计!$B$24:$U$30,MATCH("对"&amp;LEFT($C$5,2)&amp;"输出",标准坦克设计!$B$23:$U$23,0)))*(VLOOKUP($B234,INDIRECT($B$5&amp;"生成成长"),3))*(VLOOKUP($B$5,标准坦克设计!$B$14:$K$20,9)/30))</f>
        <v>2.1995237354883863</v>
      </c>
      <c r="AC234" s="172">
        <f ca="1">(VLOOKUP(AC$72,INDIRECT($C$5&amp;"生成成长"),2))/((VLOOKUP($B234,INDIRECT($B$5&amp;"生成成长"),4))/(VLOOKUP(AC$72,INDIRECT($C$5&amp;"生成成长"),5))*(VLOOKUP($B$5,标准坦克设计!$B$24:$U$30,MATCH("对"&amp;LEFT($C$5,2)&amp;"输出",标准坦克设计!$B$23:$U$23,0)))*(VLOOKUP($B234,INDIRECT($B$5&amp;"生成成长"),3))*(VLOOKUP($B$5,标准坦克设计!$B$14:$K$20,9)/30))</f>
        <v>2.4012134584634519</v>
      </c>
      <c r="AD234" s="172">
        <f ca="1">(VLOOKUP(AD$72,INDIRECT($C$5&amp;"生成成长"),2))/((VLOOKUP($B234,INDIRECT($B$5&amp;"生成成长"),4))/(VLOOKUP(AD$72,INDIRECT($C$5&amp;"生成成长"),5))*(VLOOKUP($B$5,标准坦克设计!$B$24:$U$30,MATCH("对"&amp;LEFT($C$5,2)&amp;"输出",标准坦克设计!$B$23:$U$23,0)))*(VLOOKUP($B234,INDIRECT($B$5&amp;"生成成长"),3))*(VLOOKUP($B$5,标准坦克设计!$B$14:$K$20,9)/30))</f>
        <v>2.6117492219198808</v>
      </c>
      <c r="AE234" s="172">
        <f ca="1">(VLOOKUP(AE$72,INDIRECT($C$5&amp;"生成成长"),2))/((VLOOKUP($B234,INDIRECT($B$5&amp;"生成成长"),4))/(VLOOKUP(AE$72,INDIRECT($C$5&amp;"生成成长"),5))*(VLOOKUP($B$5,标准坦克设计!$B$24:$U$30,MATCH("对"&amp;LEFT($C$5,2)&amp;"输出",标准坦克设计!$B$23:$U$23,0)))*(VLOOKUP($B234,INDIRECT($B$5&amp;"生成成长"),3))*(VLOOKUP($B$5,标准坦克设计!$B$14:$K$20,9)/30))</f>
        <v>2.8311310258576716</v>
      </c>
      <c r="AF234" s="172">
        <f ca="1">(VLOOKUP(AF$72,INDIRECT($C$5&amp;"生成成长"),2))/((VLOOKUP($B234,INDIRECT($B$5&amp;"生成成长"),4))/(VLOOKUP(AF$72,INDIRECT($C$5&amp;"生成成长"),5))*(VLOOKUP($B$5,标准坦克设计!$B$24:$U$30,MATCH("对"&amp;LEFT($C$5,2)&amp;"输出",标准坦克设计!$B$23:$U$23,0)))*(VLOOKUP($B234,INDIRECT($B$5&amp;"生成成长"),3))*(VLOOKUP($B$5,标准坦克设计!$B$14:$K$20,9)/30))</f>
        <v>3.0593588702768244</v>
      </c>
      <c r="AG234" s="172">
        <f ca="1">(VLOOKUP(AG$72,INDIRECT($C$5&amp;"生成成长"),2))/((VLOOKUP($B234,INDIRECT($B$5&amp;"生成成长"),4))/(VLOOKUP(AG$72,INDIRECT($C$5&amp;"生成成长"),5))*(VLOOKUP($B$5,标准坦克设计!$B$24:$U$30,MATCH("对"&amp;LEFT($C$5,2)&amp;"输出",标准坦克设计!$B$23:$U$23,0)))*(VLOOKUP($B234,INDIRECT($B$5&amp;"生成成长"),3))*(VLOOKUP($B$5,标准坦克设计!$B$14:$K$20,9)/30))</f>
        <v>3.2964327551773405</v>
      </c>
      <c r="AH234" s="172">
        <f ca="1">(VLOOKUP(AH$72,INDIRECT($C$5&amp;"生成成长"),2))/((VLOOKUP($B234,INDIRECT($B$5&amp;"生成成长"),4))/(VLOOKUP(AH$72,INDIRECT($C$5&amp;"生成成长"),5))*(VLOOKUP($B$5,标准坦克设计!$B$24:$U$30,MATCH("对"&amp;LEFT($C$5,2)&amp;"输出",标准坦克设计!$B$23:$U$23,0)))*(VLOOKUP($B234,INDIRECT($B$5&amp;"生成成长"),3))*(VLOOKUP($B$5,标准坦克设计!$B$14:$K$20,9)/30))</f>
        <v>3.5423526805592185</v>
      </c>
      <c r="AI234" s="172">
        <f ca="1">(VLOOKUP(AI$72,INDIRECT($C$5&amp;"生成成长"),2))/((VLOOKUP($B234,INDIRECT($B$5&amp;"生成成长"),4))/(VLOOKUP(AI$72,INDIRECT($C$5&amp;"生成成长"),5))*(VLOOKUP($B$5,标准坦克设计!$B$24:$U$30,MATCH("对"&amp;LEFT($C$5,2)&amp;"输出",标准坦克设计!$B$23:$U$23,0)))*(VLOOKUP($B234,INDIRECT($B$5&amp;"生成成长"),3))*(VLOOKUP($B$5,标准坦克设计!$B$14:$K$20,9)/30))</f>
        <v>2.5053755851314961</v>
      </c>
      <c r="AJ234" s="172">
        <f ca="1">(VLOOKUP(AJ$72,INDIRECT($C$5&amp;"生成成长"),2))/((VLOOKUP($B234,INDIRECT($B$5&amp;"生成成长"),4))/(VLOOKUP(AJ$72,INDIRECT($C$5&amp;"生成成长"),5))*(VLOOKUP($B$5,标准坦克设计!$B$24:$U$30,MATCH("对"&amp;LEFT($C$5,2)&amp;"输出",标准坦克设计!$B$23:$U$23,0)))*(VLOOKUP($B234,INDIRECT($B$5&amp;"生成成长"),3))*(VLOOKUP($B$5,标准坦克设计!$B$14:$K$20,9)/30))</f>
        <v>2.742316779424792</v>
      </c>
      <c r="AK234" s="172">
        <f ca="1">(VLOOKUP(AK$72,INDIRECT($C$5&amp;"生成成长"),2))/((VLOOKUP($B234,INDIRECT($B$5&amp;"生成成长"),4))/(VLOOKUP(AK$72,INDIRECT($C$5&amp;"生成成长"),5))*(VLOOKUP($B$5,标准坦克设计!$B$24:$U$30,MATCH("对"&amp;LEFT($C$5,2)&amp;"输出",标准坦克设计!$B$23:$U$23,0)))*(VLOOKUP($B234,INDIRECT($B$5&amp;"生成成长"),3))*(VLOOKUP($B$5,标准坦克设计!$B$14:$K$20,9)/30))</f>
        <v>2.9899616827005358</v>
      </c>
      <c r="AL234" s="172">
        <f ca="1">(VLOOKUP(AL$72,INDIRECT($C$5&amp;"生成成长"),2))/((VLOOKUP($B234,INDIRECT($B$5&amp;"生成成长"),4))/(VLOOKUP(AL$72,INDIRECT($C$5&amp;"生成成长"),5))*(VLOOKUP($B$5,标准坦克设计!$B$24:$U$30,MATCH("对"&amp;LEFT($C$5,2)&amp;"输出",标准坦克设计!$B$23:$U$23,0)))*(VLOOKUP($B234,INDIRECT($B$5&amp;"生成成长"),3))*(VLOOKUP($B$5,标准坦克设计!$B$14:$K$20,9)/30))</f>
        <v>3.2483102949587281</v>
      </c>
      <c r="AM234" s="172">
        <f ca="1">(VLOOKUP(AM$72,INDIRECT($C$5&amp;"生成成长"),2))/((VLOOKUP($B234,INDIRECT($B$5&amp;"生成成长"),4))/(VLOOKUP(AM$72,INDIRECT($C$5&amp;"生成成长"),5))*(VLOOKUP($B$5,标准坦克设计!$B$24:$U$30,MATCH("对"&amp;LEFT($C$5,2)&amp;"输出",标准坦克设计!$B$23:$U$23,0)))*(VLOOKUP($B234,INDIRECT($B$5&amp;"生成成长"),3))*(VLOOKUP($B$5,标准坦克设计!$B$14:$K$20,9)/30))</f>
        <v>3.5173626161993696</v>
      </c>
      <c r="AN234" s="172">
        <f ca="1">(VLOOKUP(AN$72,INDIRECT($C$5&amp;"生成成长"),2))/((VLOOKUP($B234,INDIRECT($B$5&amp;"生成成长"),4))/(VLOOKUP(AN$72,INDIRECT($C$5&amp;"生成成长"),5))*(VLOOKUP($B$5,标准坦克设计!$B$24:$U$30,MATCH("对"&amp;LEFT($C$5,2)&amp;"输出",标准坦克设计!$B$23:$U$23,0)))*(VLOOKUP($B234,INDIRECT($B$5&amp;"生成成长"),3))*(VLOOKUP($B$5,标准坦克设计!$B$14:$K$20,9)/30))</f>
        <v>3.7971186464224593</v>
      </c>
      <c r="AO234" s="172">
        <f ca="1">(VLOOKUP(AO$72,INDIRECT($C$5&amp;"生成成长"),2))/((VLOOKUP($B234,INDIRECT($B$5&amp;"生成成长"),4))/(VLOOKUP(AO$72,INDIRECT($C$5&amp;"生成成长"),5))*(VLOOKUP($B$5,标准坦克设计!$B$24:$U$30,MATCH("对"&amp;LEFT($C$5,2)&amp;"输出",标准坦克设计!$B$23:$U$23,0)))*(VLOOKUP($B234,INDIRECT($B$5&amp;"生成成长"),3))*(VLOOKUP($B$5,标准坦克设计!$B$14:$K$20,9)/30))</f>
        <v>4.0875783856279986</v>
      </c>
      <c r="AP234" s="172">
        <f ca="1">(VLOOKUP(AP$72,INDIRECT($C$5&amp;"生成成长"),2))/((VLOOKUP($B234,INDIRECT($B$5&amp;"生成成长"),4))/(VLOOKUP(AP$72,INDIRECT($C$5&amp;"生成成长"),5))*(VLOOKUP($B$5,标准坦克设计!$B$24:$U$30,MATCH("对"&amp;LEFT($C$5,2)&amp;"输出",标准坦克设计!$B$23:$U$23,0)))*(VLOOKUP($B234,INDIRECT($B$5&amp;"生成成长"),3))*(VLOOKUP($B$5,标准坦克设计!$B$14:$K$20,9)/30))</f>
        <v>4.3887418338159856</v>
      </c>
      <c r="AQ234" s="172">
        <f ca="1">(VLOOKUP(AQ$72,INDIRECT($C$5&amp;"生成成长"),2))/((VLOOKUP($B234,INDIRECT($B$5&amp;"生成成长"),4))/(VLOOKUP(AQ$72,INDIRECT($C$5&amp;"生成成长"),5))*(VLOOKUP($B$5,标准坦克设计!$B$24:$U$30,MATCH("对"&amp;LEFT($C$5,2)&amp;"输出",标准坦克设计!$B$23:$U$23,0)))*(VLOOKUP($B234,INDIRECT($B$5&amp;"生成成长"),3))*(VLOOKUP($B$5,标准坦克设计!$B$14:$K$20,9)/30))</f>
        <v>4.7006089909864217</v>
      </c>
      <c r="AR234" s="172">
        <f ca="1">(VLOOKUP(AR$72,INDIRECT($C$5&amp;"生成成长"),2))/((VLOOKUP($B234,INDIRECT($B$5&amp;"生成成长"),4))/(VLOOKUP(AR$72,INDIRECT($C$5&amp;"生成成长"),5))*(VLOOKUP($B$5,标准坦克设计!$B$24:$U$30,MATCH("对"&amp;LEFT($C$5,2)&amp;"输出",标准坦克设计!$B$23:$U$23,0)))*(VLOOKUP($B234,INDIRECT($B$5&amp;"生成成长"),3))*(VLOOKUP($B$5,标准坦克设计!$B$14:$K$20,9)/30))</f>
        <v>5.0231798571393069</v>
      </c>
      <c r="AS234" s="172">
        <f ca="1">(VLOOKUP(AS$72,INDIRECT($C$5&amp;"生成成长"),2))/((VLOOKUP($B234,INDIRECT($B$5&amp;"生成成长"),4))/(VLOOKUP(AS$72,INDIRECT($C$5&amp;"生成成长"),5))*(VLOOKUP($B$5,标准坦克设计!$B$24:$U$30,MATCH("对"&amp;LEFT($C$5,2)&amp;"输出",标准坦克设计!$B$23:$U$23,0)))*(VLOOKUP($B234,INDIRECT($B$5&amp;"生成成长"),3))*(VLOOKUP($B$5,标准坦克设计!$B$14:$K$20,9)/30))</f>
        <v>5.3564544322746404</v>
      </c>
      <c r="AT234" s="172">
        <f ca="1">(VLOOKUP(AT$72,INDIRECT($C$5&amp;"生成成长"),2))/((VLOOKUP($B234,INDIRECT($B$5&amp;"生成成长"),4))/(VLOOKUP(AT$72,INDIRECT($C$5&amp;"生成成长"),5))*(VLOOKUP($B$5,标准坦克设计!$B$24:$U$30,MATCH("对"&amp;LEFT($C$5,2)&amp;"输出",标准坦克设计!$B$23:$U$23,0)))*(VLOOKUP($B234,INDIRECT($B$5&amp;"生成成长"),3))*(VLOOKUP($B$5,标准坦克设计!$B$14:$K$20,9)/30))</f>
        <v>5.7004327163924211</v>
      </c>
      <c r="AU234" s="172">
        <f ca="1">(VLOOKUP(AU$72,INDIRECT($C$5&amp;"生成成长"),2))/((VLOOKUP($B234,INDIRECT($B$5&amp;"生成成长"),4))/(VLOOKUP(AU$72,INDIRECT($C$5&amp;"生成成长"),5))*(VLOOKUP($B$5,标准坦克设计!$B$24:$U$30,MATCH("对"&amp;LEFT($C$5,2)&amp;"输出",标准坦克设计!$B$23:$U$23,0)))*(VLOOKUP($B234,INDIRECT($B$5&amp;"生成成长"),3))*(VLOOKUP($B$5,标准坦克设计!$B$14:$K$20,9)/30))</f>
        <v>6.0551147094926518</v>
      </c>
      <c r="AV234" s="172">
        <f ca="1">(VLOOKUP(AV$72,INDIRECT($C$5&amp;"生成成长"),2))/((VLOOKUP($B234,INDIRECT($B$5&amp;"生成成长"),4))/(VLOOKUP(AV$72,INDIRECT($C$5&amp;"生成成长"),5))*(VLOOKUP($B$5,标准坦克设计!$B$24:$U$30,MATCH("对"&amp;LEFT($C$5,2)&amp;"输出",标准坦克设计!$B$23:$U$23,0)))*(VLOOKUP($B234,INDIRECT($B$5&amp;"生成成长"),3))*(VLOOKUP($B$5,标准坦克设计!$B$14:$K$20,9)/30))</f>
        <v>0.61586133831245937</v>
      </c>
      <c r="AW234" s="172">
        <f ca="1">(VLOOKUP(AW$72,INDIRECT($C$5&amp;"生成成长"),2))/((VLOOKUP($B234,INDIRECT($B$5&amp;"生成成长"),4))/(VLOOKUP(AW$72,INDIRECT($C$5&amp;"生成成长"),5))*(VLOOKUP($B$5,标准坦克设计!$B$24:$U$30,MATCH("对"&amp;LEFT($C$5,2)&amp;"输出",标准坦克设计!$B$23:$U$23,0)))*(VLOOKUP($B234,INDIRECT($B$5&amp;"生成成长"),3))*(VLOOKUP($B$5,标准坦克设计!$B$14:$K$20,9)/30))</f>
        <v>0.70219869341055774</v>
      </c>
      <c r="AX234" s="172">
        <f ca="1">(VLOOKUP(AX$72,INDIRECT($C$5&amp;"生成成长"),2))/((VLOOKUP($B234,INDIRECT($B$5&amp;"生成成长"),4))/(VLOOKUP(AX$72,INDIRECT($C$5&amp;"生成成长"),5))*(VLOOKUP($B$5,标准坦克设计!$B$24:$U$30,MATCH("对"&amp;LEFT($C$5,2)&amp;"输出",标准坦克设计!$B$23:$U$23,0)))*(VLOOKUP($B234,INDIRECT($B$5&amp;"生成成长"),3))*(VLOOKUP($B$5,标准坦克设计!$B$14:$K$20,9)/30))</f>
        <v>0.79419751441672803</v>
      </c>
      <c r="AY234" s="172">
        <f ca="1">(VLOOKUP(AY$72,INDIRECT($C$5&amp;"生成成长"),2))/((VLOOKUP($B234,INDIRECT($B$5&amp;"生成成长"),4))/(VLOOKUP(AY$72,INDIRECT($C$5&amp;"生成成长"),5))*(VLOOKUP($B$5,标准坦克设计!$B$24:$U$30,MATCH("对"&amp;LEFT($C$5,2)&amp;"输出",标准坦克设计!$B$23:$U$23,0)))*(VLOOKUP($B234,INDIRECT($B$5&amp;"生成成长"),3))*(VLOOKUP($B$5,标准坦克设计!$B$14:$K$20,9)/30))</f>
        <v>0.89185780133097026</v>
      </c>
      <c r="AZ234" s="172">
        <f ca="1">(VLOOKUP(AZ$72,INDIRECT($C$5&amp;"生成成长"),2))/((VLOOKUP($B234,INDIRECT($B$5&amp;"生成成长"),4))/(VLOOKUP(AZ$72,INDIRECT($C$5&amp;"生成成长"),5))*(VLOOKUP($B$5,标准坦克设计!$B$24:$U$30,MATCH("对"&amp;LEFT($C$5,2)&amp;"输出",标准坦克设计!$B$23:$U$23,0)))*(VLOOKUP($B234,INDIRECT($B$5&amp;"生成成长"),3))*(VLOOKUP($B$5,标准坦克设计!$B$14:$K$20,9)/30))</f>
        <v>0.99517955415328474</v>
      </c>
      <c r="BA234" s="172">
        <f ca="1">(VLOOKUP(BA$72,INDIRECT($C$5&amp;"生成成长"),2))/((VLOOKUP($B234,INDIRECT($B$5&amp;"生成成长"),4))/(VLOOKUP(BA$72,INDIRECT($C$5&amp;"生成成长"),5))*(VLOOKUP($B$5,标准坦克设计!$B$24:$U$30,MATCH("对"&amp;LEFT($C$5,2)&amp;"输出",标准坦克设计!$B$23:$U$23,0)))*(VLOOKUP($B234,INDIRECT($B$5&amp;"生成成长"),3))*(VLOOKUP($B$5,标准坦克设计!$B$14:$K$20,9)/30))</f>
        <v>1.1041627728836709</v>
      </c>
      <c r="BB234" s="172">
        <f ca="1">(VLOOKUP(BB$72,INDIRECT($C$5&amp;"生成成长"),2))/((VLOOKUP($B234,INDIRECT($B$5&amp;"生成成长"),4))/(VLOOKUP(BB$72,INDIRECT($C$5&amp;"生成成长"),5))*(VLOOKUP($B$5,标准坦克设计!$B$24:$U$30,MATCH("对"&amp;LEFT($C$5,2)&amp;"输出",标准坦克设计!$B$23:$U$23,0)))*(VLOOKUP($B234,INDIRECT($B$5&amp;"生成成长"),3))*(VLOOKUP($B$5,标准坦克设计!$B$14:$K$20,9)/30))</f>
        <v>1.2188074575221297</v>
      </c>
      <c r="BC234" s="172">
        <f ca="1">(VLOOKUP(BC$72,INDIRECT($C$5&amp;"生成成长"),2))/((VLOOKUP($B234,INDIRECT($B$5&amp;"生成成长"),4))/(VLOOKUP(BC$72,INDIRECT($C$5&amp;"生成成长"),5))*(VLOOKUP($B$5,标准坦克设计!$B$24:$U$30,MATCH("对"&amp;LEFT($C$5,2)&amp;"输出",标准坦克设计!$B$23:$U$23,0)))*(VLOOKUP($B234,INDIRECT($B$5&amp;"生成成长"),3))*(VLOOKUP($B$5,标准坦克设计!$B$14:$K$20,9)/30))</f>
        <v>1.3391136080686601</v>
      </c>
      <c r="BD234" s="172">
        <f ca="1">(VLOOKUP(BD$72,INDIRECT($C$5&amp;"生成成长"),2))/((VLOOKUP($B234,INDIRECT($B$5&amp;"生成成长"),4))/(VLOOKUP(BD$72,INDIRECT($C$5&amp;"生成成长"),5))*(VLOOKUP($B$5,标准坦克设计!$B$24:$U$30,MATCH("对"&amp;LEFT($C$5,2)&amp;"输出",标准坦克设计!$B$23:$U$23,0)))*(VLOOKUP($B234,INDIRECT($B$5&amp;"生成成长"),3))*(VLOOKUP($B$5,标准坦克设计!$B$14:$K$20,9)/30))</f>
        <v>1.4812252484017492</v>
      </c>
      <c r="BE234" s="172">
        <f ca="1">(VLOOKUP(BE$72,INDIRECT($C$5&amp;"生成成长"),2))/((VLOOKUP($B234,INDIRECT($B$5&amp;"生成成长"),4))/(VLOOKUP(BE$72,INDIRECT($C$5&amp;"生成成长"),5))*(VLOOKUP($B$5,标准坦克设计!$B$24:$U$30,MATCH("对"&amp;LEFT($C$5,2)&amp;"输出",标准坦克设计!$B$23:$U$23,0)))*(VLOOKUP($B234,INDIRECT($B$5&amp;"生成成长"),3))*(VLOOKUP($B$5,标准坦克设计!$B$14:$K$20,9)/30))</f>
        <v>1.6305021815247416</v>
      </c>
      <c r="BF234" s="172">
        <f ca="1">(VLOOKUP(BF$72,INDIRECT($C$5&amp;"生成成长"),2))/((VLOOKUP($B234,INDIRECT($B$5&amp;"生成成长"),4))/(VLOOKUP(BF$72,INDIRECT($C$5&amp;"生成成长"),5))*(VLOOKUP($B$5,标准坦克设计!$B$24:$U$30,MATCH("对"&amp;LEFT($C$5,2)&amp;"输出",标准坦克设计!$B$23:$U$23,0)))*(VLOOKUP($B234,INDIRECT($B$5&amp;"生成成长"),3))*(VLOOKUP($B$5,标准坦克设计!$B$14:$K$20,9)/30))</f>
        <v>1.7869444074376382</v>
      </c>
      <c r="BG234" s="172">
        <f ca="1">(VLOOKUP(BG$72,INDIRECT($C$5&amp;"生成成长"),2))/((VLOOKUP($B234,INDIRECT($B$5&amp;"生成成长"),4))/(VLOOKUP(BG$72,INDIRECT($C$5&amp;"生成成长"),5))*(VLOOKUP($B$5,标准坦克设计!$B$24:$U$30,MATCH("对"&amp;LEFT($C$5,2)&amp;"输出",标准坦克设计!$B$23:$U$23,0)))*(VLOOKUP($B234,INDIRECT($B$5&amp;"生成成长"),3))*(VLOOKUP($B$5,标准坦克设计!$B$14:$K$20,9)/30))</f>
        <v>1.950551926140438</v>
      </c>
      <c r="BH234" s="172">
        <f ca="1">(VLOOKUP(BH$72,INDIRECT($C$5&amp;"生成成长"),2))/((VLOOKUP($B234,INDIRECT($B$5&amp;"生成成长"),4))/(VLOOKUP(BH$72,INDIRECT($C$5&amp;"生成成长"),5))*(VLOOKUP($B$5,标准坦克设计!$B$24:$U$30,MATCH("对"&amp;LEFT($C$5,2)&amp;"输出",标准坦克设计!$B$23:$U$23,0)))*(VLOOKUP($B234,INDIRECT($B$5&amp;"生成成长"),3))*(VLOOKUP($B$5,标准坦克设计!$B$14:$K$20,9)/30))</f>
        <v>0.9428109945036186</v>
      </c>
      <c r="BI234" s="172">
        <f ca="1">(VLOOKUP(BI$72,INDIRECT($C$5&amp;"生成成长"),2))/((VLOOKUP($B234,INDIRECT($B$5&amp;"生成成长"),4))/(VLOOKUP(BI$72,INDIRECT($C$5&amp;"生成成长"),5))*(VLOOKUP($B$5,标准坦克设计!$B$24:$U$30,MATCH("对"&amp;LEFT($C$5,2)&amp;"输出",标准坦克设计!$B$23:$U$23,0)))*(VLOOKUP($B234,INDIRECT($B$5&amp;"生成成长"),3))*(VLOOKUP($B$5,标准坦克设计!$B$14:$K$20,9)/30))</f>
        <v>1.062630612823674</v>
      </c>
      <c r="BJ234" s="172">
        <f ca="1">(VLOOKUP(BJ$72,INDIRECT($C$5&amp;"生成成长"),2))/((VLOOKUP($B234,INDIRECT($B$5&amp;"生成成长"),4))/(VLOOKUP(BJ$72,INDIRECT($C$5&amp;"生成成长"),5))*(VLOOKUP($B$5,标准坦克设计!$B$24:$U$30,MATCH("对"&amp;LEFT($C$5,2)&amp;"输出",标准坦克设计!$B$23:$U$23,0)))*(VLOOKUP($B234,INDIRECT($B$5&amp;"生成成长"),3))*(VLOOKUP($B$5,标准坦克设计!$B$14:$K$20,9)/30))</f>
        <v>1.1896155239336332</v>
      </c>
      <c r="BK234" s="172">
        <f ca="1">(VLOOKUP(BK$72,INDIRECT($C$5&amp;"生成成长"),2))/((VLOOKUP($B234,INDIRECT($B$5&amp;"生成成长"),4))/(VLOOKUP(BK$72,INDIRECT($C$5&amp;"生成成长"),5))*(VLOOKUP($B$5,标准坦克设计!$B$24:$U$30,MATCH("对"&amp;LEFT($C$5,2)&amp;"输出",标准坦克设计!$B$23:$U$23,0)))*(VLOOKUP($B234,INDIRECT($B$5&amp;"生成成长"),3))*(VLOOKUP($B$5,标准坦克设计!$B$14:$K$20,9)/30))</f>
        <v>1.3237657278334958</v>
      </c>
      <c r="BL234" s="172">
        <f ca="1">(VLOOKUP(BL$72,INDIRECT($C$5&amp;"生成成长"),2))/((VLOOKUP($B234,INDIRECT($B$5&amp;"生成成长"),4))/(VLOOKUP(BL$72,INDIRECT($C$5&amp;"生成成长"),5))*(VLOOKUP($B$5,标准坦克设计!$B$24:$U$30,MATCH("对"&amp;LEFT($C$5,2)&amp;"输出",标准坦克设计!$B$23:$U$23,0)))*(VLOOKUP($B234,INDIRECT($B$5&amp;"生成成长"),3))*(VLOOKUP($B$5,标准坦克设计!$B$14:$K$20,9)/30))</f>
        <v>1.4650812245232625</v>
      </c>
      <c r="BM234" s="172">
        <f ca="1">(VLOOKUP(BM$72,INDIRECT($C$5&amp;"生成成长"),2))/((VLOOKUP($B234,INDIRECT($B$5&amp;"生成成长"),4))/(VLOOKUP(BM$72,INDIRECT($C$5&amp;"生成成长"),5))*(VLOOKUP($B$5,标准坦克设计!$B$24:$U$30,MATCH("对"&amp;LEFT($C$5,2)&amp;"输出",标准坦克设计!$B$23:$U$23,0)))*(VLOOKUP($B234,INDIRECT($B$5&amp;"生成成长"),3))*(VLOOKUP($B$5,标准坦克设计!$B$14:$K$20,9)/30))</f>
        <v>1.6135620140029325</v>
      </c>
      <c r="BN234" s="172">
        <f ca="1">(VLOOKUP(BN$72,INDIRECT($C$5&amp;"生成成长"),2))/((VLOOKUP($B234,INDIRECT($B$5&amp;"生成成长"),4))/(VLOOKUP(BN$72,INDIRECT($C$5&amp;"生成成长"),5))*(VLOOKUP($B$5,标准坦克设计!$B$24:$U$30,MATCH("对"&amp;LEFT($C$5,2)&amp;"输出",标准坦克设计!$B$23:$U$23,0)))*(VLOOKUP($B234,INDIRECT($B$5&amp;"生成成长"),3))*(VLOOKUP($B$5,标准坦克设计!$B$14:$K$20,9)/30))</f>
        <v>1.7692080962725063</v>
      </c>
      <c r="BO234" s="172">
        <f ca="1">(VLOOKUP(BO$72,INDIRECT($C$5&amp;"生成成长"),2))/((VLOOKUP($B234,INDIRECT($B$5&amp;"生成成长"),4))/(VLOOKUP(BO$72,INDIRECT($C$5&amp;"生成成长"),5))*(VLOOKUP($B$5,标准坦克设计!$B$24:$U$30,MATCH("对"&amp;LEFT($C$5,2)&amp;"输出",标准坦克设计!$B$23:$U$23,0)))*(VLOOKUP($B234,INDIRECT($B$5&amp;"生成成长"),3))*(VLOOKUP($B$5,标准坦克设计!$B$14:$K$20,9)/30))</f>
        <v>1.9320194713319834</v>
      </c>
      <c r="BP234" s="172">
        <f ca="1">(VLOOKUP(BP$72,INDIRECT($C$5&amp;"生成成长"),2))/((VLOOKUP($B234,INDIRECT($B$5&amp;"生成成长"),4))/(VLOOKUP(BP$72,INDIRECT($C$5&amp;"生成成长"),5))*(VLOOKUP($B$5,标准坦克设计!$B$24:$U$30,MATCH("对"&amp;LEFT($C$5,2)&amp;"输出",标准坦克设计!$B$23:$U$23,0)))*(VLOOKUP($B234,INDIRECT($B$5&amp;"生成成长"),3))*(VLOOKUP($B$5,标准坦克设计!$B$14:$K$20,9)/30))</f>
        <v>2.1019961391813649</v>
      </c>
      <c r="BQ234" s="172">
        <f ca="1">(VLOOKUP(BQ$72,INDIRECT($C$5&amp;"生成成长"),2))/((VLOOKUP($B234,INDIRECT($B$5&amp;"生成成长"),4))/(VLOOKUP(BQ$72,INDIRECT($C$5&amp;"生成成长"),5))*(VLOOKUP($B$5,标准坦克设计!$B$24:$U$30,MATCH("对"&amp;LEFT($C$5,2)&amp;"输出",标准坦克设计!$B$23:$U$23,0)))*(VLOOKUP($B234,INDIRECT($B$5&amp;"生成成长"),3))*(VLOOKUP($B$5,标准坦克设计!$B$14:$K$20,9)/30))</f>
        <v>2.2791380998206487</v>
      </c>
      <c r="BR234" s="172">
        <f ca="1">(VLOOKUP(BR$72,INDIRECT($C$5&amp;"生成成长"),2))/((VLOOKUP($B234,INDIRECT($B$5&amp;"生成成长"),4))/(VLOOKUP(BR$72,INDIRECT($C$5&amp;"生成成长"),5))*(VLOOKUP($B$5,标准坦克设计!$B$24:$U$30,MATCH("对"&amp;LEFT($C$5,2)&amp;"输出",标准坦克设计!$B$23:$U$23,0)))*(VLOOKUP($B234,INDIRECT($B$5&amp;"生成成长"),3))*(VLOOKUP($B$5,标准坦克设计!$B$14:$K$20,9)/30))</f>
        <v>2.4843662389882599</v>
      </c>
      <c r="BS234" s="172">
        <f ca="1">(VLOOKUP(BS$72,INDIRECT($C$5&amp;"生成成长"),2))/((VLOOKUP($B234,INDIRECT($B$5&amp;"生成成长"),4))/(VLOOKUP(BS$72,INDIRECT($C$5&amp;"生成成长"),5))*(VLOOKUP($B$5,标准坦克设计!$B$24:$U$30,MATCH("对"&amp;LEFT($C$5,2)&amp;"输出",标准坦克设计!$B$23:$U$23,0)))*(VLOOKUP($B234,INDIRECT($B$5&amp;"生成成长"),3))*(VLOOKUP($B$5,标准坦克设计!$B$14:$K$20,9)/30))</f>
        <v>2.6984404186372335</v>
      </c>
      <c r="BT234" s="172">
        <f ca="1">(VLOOKUP(BT$72,INDIRECT($C$5&amp;"生成成长"),2))/((VLOOKUP($B234,INDIRECT($B$5&amp;"生成成长"),4))/(VLOOKUP(BT$72,INDIRECT($C$5&amp;"生成成长"),5))*(VLOOKUP($B$5,标准坦克设计!$B$24:$U$30,MATCH("对"&amp;LEFT($C$5,2)&amp;"输出",标准坦克设计!$B$23:$U$23,0)))*(VLOOKUP($B234,INDIRECT($B$5&amp;"生成成长"),3))*(VLOOKUP($B$5,标准坦克设计!$B$14:$K$20,9)/30))</f>
        <v>2.9213606387675686</v>
      </c>
      <c r="BU234" s="172">
        <f ca="1">(VLOOKUP(BU$72,INDIRECT($C$5&amp;"生成成长"),2))/((VLOOKUP($B234,INDIRECT($B$5&amp;"生成成长"),4))/(VLOOKUP(BU$72,INDIRECT($C$5&amp;"生成成长"),5))*(VLOOKUP($B$5,标准坦克设计!$B$24:$U$30,MATCH("对"&amp;LEFT($C$5,2)&amp;"输出",标准坦克设计!$B$23:$U$23,0)))*(VLOOKUP($B234,INDIRECT($B$5&amp;"生成成长"),3))*(VLOOKUP($B$5,标准坦克设计!$B$14:$K$20,9)/30))</f>
        <v>3.1531268993792669</v>
      </c>
      <c r="BV234" s="172">
        <f ca="1">(VLOOKUP(BV$72,INDIRECT($C$5&amp;"生成成长"),2))/((VLOOKUP($B234,INDIRECT($B$5&amp;"生成成长"),4))/(VLOOKUP(BV$72,INDIRECT($C$5&amp;"生成成长"),5))*(VLOOKUP($B$5,标准坦克设计!$B$24:$U$30,MATCH("对"&amp;LEFT($C$5,2)&amp;"输出",标准坦克设计!$B$23:$U$23,0)))*(VLOOKUP($B234,INDIRECT($B$5&amp;"生成成长"),3))*(VLOOKUP($B$5,标准坦克设计!$B$14:$K$20,9)/30))</f>
        <v>3.3937392004723277</v>
      </c>
      <c r="BW234" s="172">
        <f ca="1">(VLOOKUP(BW$72,INDIRECT($C$5&amp;"生成成长"),2))/((VLOOKUP($B234,INDIRECT($B$5&amp;"生成成长"),4))/(VLOOKUP(BW$72,INDIRECT($C$5&amp;"生成成长"),5))*(VLOOKUP($B$5,标准坦克设计!$B$24:$U$30,MATCH("对"&amp;LEFT($C$5,2)&amp;"输出",标准坦克设计!$B$23:$U$23,0)))*(VLOOKUP($B234,INDIRECT($B$5&amp;"生成成长"),3))*(VLOOKUP($B$5,标准坦克设计!$B$14:$K$20,9)/30))</f>
        <v>1.5466859479638317</v>
      </c>
      <c r="BX234" s="172">
        <f ca="1">(VLOOKUP(BX$72,INDIRECT($C$5&amp;"生成成长"),2))/((VLOOKUP($B234,INDIRECT($B$5&amp;"生成成长"),4))/(VLOOKUP(BX$72,INDIRECT($C$5&amp;"生成成长"),5))*(VLOOKUP($B$5,标准坦克设计!$B$24:$U$30,MATCH("对"&amp;LEFT($C$5,2)&amp;"输出",标准坦克设计!$B$23:$U$23,0)))*(VLOOKUP($B234,INDIRECT($B$5&amp;"生成成长"),3))*(VLOOKUP($B$5,标准坦克设计!$B$14:$K$20,9)/30))</f>
        <v>1.7165299252059922</v>
      </c>
      <c r="BY234" s="172">
        <f ca="1">(VLOOKUP(BY$72,INDIRECT($C$5&amp;"生成成长"),2))/((VLOOKUP($B234,INDIRECT($B$5&amp;"生成成长"),4))/(VLOOKUP(BY$72,INDIRECT($C$5&amp;"生成成长"),5))*(VLOOKUP($B$5,标准坦克设计!$B$24:$U$30,MATCH("对"&amp;LEFT($C$5,2)&amp;"输出",标准坦克设计!$B$23:$U$23,0)))*(VLOOKUP($B234,INDIRECT($B$5&amp;"生成成长"),3))*(VLOOKUP($B$5,标准坦克设计!$B$14:$K$20,9)/30))</f>
        <v>1.8952199429295153</v>
      </c>
      <c r="BZ234" s="172">
        <f ca="1">(VLOOKUP(BZ$72,INDIRECT($C$5&amp;"生成成长"),2))/((VLOOKUP($B234,INDIRECT($B$5&amp;"生成成长"),4))/(VLOOKUP(BZ$72,INDIRECT($C$5&amp;"生成成长"),5))*(VLOOKUP($B$5,标准坦克设计!$B$24:$U$30,MATCH("对"&amp;LEFT($C$5,2)&amp;"输出",标准坦克设计!$B$23:$U$23,0)))*(VLOOKUP($B234,INDIRECT($B$5&amp;"生成成长"),3))*(VLOOKUP($B$5,标准坦克设计!$B$14:$K$20,9)/30))</f>
        <v>2.0827560011344013</v>
      </c>
      <c r="CA234" s="172">
        <f ca="1">(VLOOKUP(CA$72,INDIRECT($C$5&amp;"生成成长"),2))/((VLOOKUP($B234,INDIRECT($B$5&amp;"生成成长"),4))/(VLOOKUP(CA$72,INDIRECT($C$5&amp;"生成成长"),5))*(VLOOKUP($B$5,标准坦克设计!$B$24:$U$30,MATCH("对"&amp;LEFT($C$5,2)&amp;"输出",标准坦克设计!$B$23:$U$23,0)))*(VLOOKUP($B234,INDIRECT($B$5&amp;"生成成长"),3))*(VLOOKUP($B$5,标准坦克设计!$B$14:$K$20,9)/30))</f>
        <v>2.2791380998206487</v>
      </c>
      <c r="CB234" s="172">
        <f ca="1">(VLOOKUP(CB$72,INDIRECT($C$5&amp;"生成成长"),2))/((VLOOKUP($B234,INDIRECT($B$5&amp;"生成成长"),4))/(VLOOKUP(CB$72,INDIRECT($C$5&amp;"生成成长"),5))*(VLOOKUP($B$5,标准坦克设计!$B$24:$U$30,MATCH("对"&amp;LEFT($C$5,2)&amp;"输出",标准坦克设计!$B$23:$U$23,0)))*(VLOOKUP($B234,INDIRECT($B$5&amp;"生成成长"),3))*(VLOOKUP($B$5,标准坦克设计!$B$14:$K$20,9)/30))</f>
        <v>2.4843662389882599</v>
      </c>
      <c r="CC234" s="172">
        <f ca="1">(VLOOKUP(CC$72,INDIRECT($C$5&amp;"生成成长"),2))/((VLOOKUP($B234,INDIRECT($B$5&amp;"生成成长"),4))/(VLOOKUP(CC$72,INDIRECT($C$5&amp;"生成成长"),5))*(VLOOKUP($B$5,标准坦克设计!$B$24:$U$30,MATCH("对"&amp;LEFT($C$5,2)&amp;"输出",标准坦克设计!$B$23:$U$23,0)))*(VLOOKUP($B234,INDIRECT($B$5&amp;"生成成长"),3))*(VLOOKUP($B$5,标准坦克设计!$B$14:$K$20,9)/30))</f>
        <v>2.6984404186372335</v>
      </c>
      <c r="CD234" s="172">
        <f ca="1">(VLOOKUP(CD$72,INDIRECT($C$5&amp;"生成成长"),2))/((VLOOKUP($B234,INDIRECT($B$5&amp;"生成成长"),4))/(VLOOKUP(CD$72,INDIRECT($C$5&amp;"生成成长"),5))*(VLOOKUP($B$5,标准坦克设计!$B$24:$U$30,MATCH("对"&amp;LEFT($C$5,2)&amp;"输出",标准坦克设计!$B$23:$U$23,0)))*(VLOOKUP($B234,INDIRECT($B$5&amp;"生成成长"),3))*(VLOOKUP($B$5,标准坦克设计!$B$14:$K$20,9)/30))</f>
        <v>2.9213606387675686</v>
      </c>
      <c r="CE234" s="172">
        <f ca="1">(VLOOKUP(CE$72,INDIRECT($C$5&amp;"生成成长"),2))/((VLOOKUP($B234,INDIRECT($B$5&amp;"生成成长"),4))/(VLOOKUP(CE$72,INDIRECT($C$5&amp;"生成成长"),5))*(VLOOKUP($B$5,标准坦克设计!$B$24:$U$30,MATCH("对"&amp;LEFT($C$5,2)&amp;"输出",标准坦克设计!$B$23:$U$23,0)))*(VLOOKUP($B234,INDIRECT($B$5&amp;"生成成长"),3))*(VLOOKUP($B$5,标准坦克设计!$B$14:$K$20,9)/30))</f>
        <v>3.1531268993792669</v>
      </c>
      <c r="CF234" s="172">
        <f ca="1">(VLOOKUP(CF$72,INDIRECT($C$5&amp;"生成成长"),2))/((VLOOKUP($B234,INDIRECT($B$5&amp;"生成成长"),4))/(VLOOKUP(CF$72,INDIRECT($C$5&amp;"生成成长"),5))*(VLOOKUP($B$5,标准坦克设计!$B$24:$U$30,MATCH("对"&amp;LEFT($C$5,2)&amp;"输出",标准坦克设计!$B$23:$U$23,0)))*(VLOOKUP($B234,INDIRECT($B$5&amp;"生成成长"),3))*(VLOOKUP($B$5,标准坦克设计!$B$14:$K$20,9)/30))</f>
        <v>3.3937392004723277</v>
      </c>
      <c r="CG234" s="172">
        <f ca="1">(VLOOKUP(CG$72,INDIRECT($C$5&amp;"生成成长"),2))/((VLOOKUP($B234,INDIRECT($B$5&amp;"生成成长"),4))/(VLOOKUP(CG$72,INDIRECT($C$5&amp;"生成成长"),5))*(VLOOKUP($B$5,标准坦克设计!$B$24:$U$30,MATCH("对"&amp;LEFT($C$5,2)&amp;"输出",标准坦克设计!$B$23:$U$23,0)))*(VLOOKUP($B234,INDIRECT($B$5&amp;"生成成长"),3))*(VLOOKUP($B$5,标准坦克设计!$B$14:$K$20,9)/30))</f>
        <v>3.6431975420467513</v>
      </c>
      <c r="CH234" s="172">
        <f ca="1">(VLOOKUP(CH$72,INDIRECT($C$5&amp;"生成成长"),2))/((VLOOKUP($B234,INDIRECT($B$5&amp;"生成成长"),4))/(VLOOKUP(CH$72,INDIRECT($C$5&amp;"生成成长"),5))*(VLOOKUP($B$5,标准坦克设计!$B$24:$U$30,MATCH("对"&amp;LEFT($C$5,2)&amp;"输出",标准坦克设计!$B$23:$U$23,0)))*(VLOOKUP($B234,INDIRECT($B$5&amp;"生成成长"),3))*(VLOOKUP($B$5,标准坦克设计!$B$14:$K$20,9)/30))</f>
        <v>3.9015019241025377</v>
      </c>
      <c r="CI234" s="172">
        <f ca="1">(VLOOKUP(CI$72,INDIRECT($C$5&amp;"生成成长"),2))/((VLOOKUP($B234,INDIRECT($B$5&amp;"生成成长"),4))/(VLOOKUP(CI$72,INDIRECT($C$5&amp;"生成成长"),5))*(VLOOKUP($B$5,标准坦克设计!$B$24:$U$30,MATCH("对"&amp;LEFT($C$5,2)&amp;"输出",标准坦克设计!$B$23:$U$23,0)))*(VLOOKUP($B234,INDIRECT($B$5&amp;"生成成长"),3))*(VLOOKUP($B$5,标准坦克设计!$B$14:$K$20,9)/30))</f>
        <v>4.1958539211198751</v>
      </c>
      <c r="CJ234" s="172">
        <f ca="1">(VLOOKUP(CJ$72,INDIRECT($C$5&amp;"生成成长"),2))/((VLOOKUP($B234,INDIRECT($B$5&amp;"生成成长"),4))/(VLOOKUP(CJ$72,INDIRECT($C$5&amp;"生成成长"),5))*(VLOOKUP($B$5,标准坦克设计!$B$24:$U$30,MATCH("对"&amp;LEFT($C$5,2)&amp;"输出",标准坦克设计!$B$23:$U$23,0)))*(VLOOKUP($B234,INDIRECT($B$5&amp;"生成成长"),3))*(VLOOKUP($B$5,标准坦克设计!$B$14:$K$20,9)/30))</f>
        <v>4.5009096271196629</v>
      </c>
      <c r="CK234" s="172">
        <f ca="1">(VLOOKUP(CK$72,INDIRECT($C$5&amp;"生成成长"),2))/((VLOOKUP($B234,INDIRECT($B$5&amp;"生成成长"),4))/(VLOOKUP(CK$72,INDIRECT($C$5&amp;"生成成长"),5))*(VLOOKUP($B$5,标准坦克设计!$B$24:$U$30,MATCH("对"&amp;LEFT($C$5,2)&amp;"输出",标准坦克设计!$B$23:$U$23,0)))*(VLOOKUP($B234,INDIRECT($B$5&amp;"生成成长"),3))*(VLOOKUP($B$5,标准坦克设计!$B$14:$K$20,9)/30))</f>
        <v>4.8166690421018972</v>
      </c>
      <c r="CL234" s="172">
        <f ca="1">(VLOOKUP(CL$72,INDIRECT($C$5&amp;"生成成长"),2))/((VLOOKUP($B234,INDIRECT($B$5&amp;"生成成长"),4))/(VLOOKUP(CL$72,INDIRECT($C$5&amp;"生成成长"),5))*(VLOOKUP($B$5,标准坦克设计!$B$24:$U$30,MATCH("对"&amp;LEFT($C$5,2)&amp;"输出",标准坦克设计!$B$23:$U$23,0)))*(VLOOKUP($B234,INDIRECT($B$5&amp;"生成成长"),3))*(VLOOKUP($B$5,标准坦克设计!$B$14:$K$20,9)/30))</f>
        <v>5.1431321660665823</v>
      </c>
      <c r="CM234" s="172">
        <f ca="1">(VLOOKUP(CM$72,INDIRECT($C$5&amp;"生成成长"),2))/((VLOOKUP($B234,INDIRECT($B$5&amp;"生成成长"),4))/(VLOOKUP(CM$72,INDIRECT($C$5&amp;"生成成长"),5))*(VLOOKUP($B$5,标准坦克设计!$B$24:$U$30,MATCH("对"&amp;LEFT($C$5,2)&amp;"输出",标准坦克设计!$B$23:$U$23,0)))*(VLOOKUP($B234,INDIRECT($B$5&amp;"生成成长"),3))*(VLOOKUP($B$5,标准坦克设计!$B$14:$K$20,9)/30))</f>
        <v>5.4802989990137148</v>
      </c>
      <c r="CN234" s="172">
        <f ca="1">(VLOOKUP(CN$72,INDIRECT($C$5&amp;"生成成长"),2))/((VLOOKUP($B234,INDIRECT($B$5&amp;"生成成长"),4))/(VLOOKUP(CN$72,INDIRECT($C$5&amp;"生成成长"),5))*(VLOOKUP($B$5,标准坦克设计!$B$24:$U$30,MATCH("对"&amp;LEFT($C$5,2)&amp;"输出",标准坦克设计!$B$23:$U$23,0)))*(VLOOKUP($B234,INDIRECT($B$5&amp;"生成成长"),3))*(VLOOKUP($B$5,标准坦克设计!$B$14:$K$20,9)/30))</f>
        <v>5.8281695409432972</v>
      </c>
      <c r="CO234" s="172">
        <f ca="1">(VLOOKUP(CO$72,INDIRECT($C$5&amp;"生成成长"),2))/((VLOOKUP($B234,INDIRECT($B$5&amp;"生成成长"),4))/(VLOOKUP(CO$72,INDIRECT($C$5&amp;"生成成长"),5))*(VLOOKUP($B$5,标准坦克设计!$B$24:$U$30,MATCH("对"&amp;LEFT($C$5,2)&amp;"输出",标准坦克设计!$B$23:$U$23,0)))*(VLOOKUP($B234,INDIRECT($B$5&amp;"生成成长"),3))*(VLOOKUP($B$5,标准坦克设计!$B$14:$K$20,9)/30))</f>
        <v>2.6117492219198808</v>
      </c>
      <c r="CP234" s="172">
        <f ca="1">(VLOOKUP(CP$72,INDIRECT($C$5&amp;"生成成长"),2))/((VLOOKUP($B234,INDIRECT($B$5&amp;"生成成长"),4))/(VLOOKUP(CP$72,INDIRECT($C$5&amp;"生成成长"),5))*(VLOOKUP($B$5,标准坦克设计!$B$24:$U$30,MATCH("对"&amp;LEFT($C$5,2)&amp;"输出",标准坦克设计!$B$23:$U$23,0)))*(VLOOKUP($B234,INDIRECT($B$5&amp;"生成成长"),3))*(VLOOKUP($B$5,标准坦克设计!$B$14:$K$20,9)/30))</f>
        <v>2.8535557384779251</v>
      </c>
      <c r="CQ234" s="172">
        <f ca="1">(VLOOKUP(CQ$72,INDIRECT($C$5&amp;"生成成长"),2))/((VLOOKUP($B234,INDIRECT($B$5&amp;"生成成长"),4))/(VLOOKUP(CQ$72,INDIRECT($C$5&amp;"生成成长"),5))*(VLOOKUP($B$5,标准坦克设计!$B$24:$U$30,MATCH("对"&amp;LEFT($C$5,2)&amp;"输出",标准坦克设计!$B$23:$U$23,0)))*(VLOOKUP($B234,INDIRECT($B$5&amp;"生成成长"),3))*(VLOOKUP($B$5,标准坦克设计!$B$14:$K$20,9)/30))</f>
        <v>3.1060659640184185</v>
      </c>
      <c r="CR234" s="172">
        <f ca="1">(VLOOKUP(CR$72,INDIRECT($C$5&amp;"生成成长"),2))/((VLOOKUP($B234,INDIRECT($B$5&amp;"生成成长"),4))/(VLOOKUP(CR$72,INDIRECT($C$5&amp;"生成成长"),5))*(VLOOKUP($B$5,标准坦克设计!$B$24:$U$30,MATCH("对"&amp;LEFT($C$5,2)&amp;"输出",标准坦克设计!$B$23:$U$23,0)))*(VLOOKUP($B234,INDIRECT($B$5&amp;"生成成长"),3))*(VLOOKUP($B$5,标准坦克设计!$B$14:$K$20,9)/30))</f>
        <v>3.369279898541361</v>
      </c>
      <c r="CS234" s="172">
        <f ca="1">(VLOOKUP(CS$72,INDIRECT($C$5&amp;"生成成长"),2))/((VLOOKUP($B234,INDIRECT($B$5&amp;"生成成长"),4))/(VLOOKUP(CS$72,INDIRECT($C$5&amp;"生成成长"),5))*(VLOOKUP($B$5,标准坦克设计!$B$24:$U$30,MATCH("对"&amp;LEFT($C$5,2)&amp;"输出",标准坦克设计!$B$23:$U$23,0)))*(VLOOKUP($B234,INDIRECT($B$5&amp;"生成成长"),3))*(VLOOKUP($B$5,标准坦克设计!$B$14:$K$20,9)/30))</f>
        <v>3.6431975420467513</v>
      </c>
      <c r="CT234" s="172">
        <f ca="1">(VLOOKUP(CT$72,INDIRECT($C$5&amp;"生成成长"),2))/((VLOOKUP($B234,INDIRECT($B$5&amp;"生成成长"),4))/(VLOOKUP(CT$72,INDIRECT($C$5&amp;"生成成长"),5))*(VLOOKUP($B$5,标准坦克设计!$B$24:$U$30,MATCH("对"&amp;LEFT($C$5,2)&amp;"输出",标准坦克设计!$B$23:$U$23,0)))*(VLOOKUP($B234,INDIRECT($B$5&amp;"生成成长"),3))*(VLOOKUP($B$5,标准坦克设计!$B$14:$K$20,9)/30))</f>
        <v>3.9278188945345911</v>
      </c>
      <c r="CU234" s="172">
        <f ca="1">(VLOOKUP(CU$72,INDIRECT($C$5&amp;"生成成长"),2))/((VLOOKUP($B234,INDIRECT($B$5&amp;"生成成长"),4))/(VLOOKUP(CU$72,INDIRECT($C$5&amp;"生成成长"),5))*(VLOOKUP($B$5,标准坦克设计!$B$24:$U$30,MATCH("对"&amp;LEFT($C$5,2)&amp;"输出",标准坦克设计!$B$23:$U$23,0)))*(VLOOKUP($B234,INDIRECT($B$5&amp;"生成成长"),3))*(VLOOKUP($B$5,标准坦克设计!$B$14:$K$20,9)/30))</f>
        <v>4.2231439560048791</v>
      </c>
      <c r="CV234" s="172">
        <f ca="1">(VLOOKUP(CV$72,INDIRECT($C$5&amp;"生成成长"),2))/((VLOOKUP($B234,INDIRECT($B$5&amp;"生成成长"),4))/(VLOOKUP(CV$72,INDIRECT($C$5&amp;"生成成长"),5))*(VLOOKUP($B$5,标准坦克设计!$B$24:$U$30,MATCH("对"&amp;LEFT($C$5,2)&amp;"输出",标准坦克设计!$B$23:$U$23,0)))*(VLOOKUP($B234,INDIRECT($B$5&amp;"生成成长"),3))*(VLOOKUP($B$5,标准坦克设计!$B$14:$K$20,9)/30))</f>
        <v>4.5291727264576167</v>
      </c>
      <c r="CW234" s="172">
        <f ca="1">(VLOOKUP(CW$72,INDIRECT($C$5&amp;"生成成长"),2))/((VLOOKUP($B234,INDIRECT($B$5&amp;"生成成长"),4))/(VLOOKUP(CW$72,INDIRECT($C$5&amp;"生成成长"),5))*(VLOOKUP($B$5,标准坦克设计!$B$24:$U$30,MATCH("对"&amp;LEFT($C$5,2)&amp;"输出",标准坦克设计!$B$23:$U$23,0)))*(VLOOKUP($B234,INDIRECT($B$5&amp;"生成成长"),3))*(VLOOKUP($B$5,标准坦克设计!$B$14:$K$20,9)/30))</f>
        <v>4.8459052058928007</v>
      </c>
      <c r="CX234" s="172">
        <f ca="1">(VLOOKUP(CX$72,INDIRECT($C$5&amp;"生成成长"),2))/((VLOOKUP($B234,INDIRECT($B$5&amp;"生成成长"),4))/(VLOOKUP(CX$72,INDIRECT($C$5&amp;"生成成长"),5))*(VLOOKUP($B$5,标准坦克设计!$B$24:$U$30,MATCH("对"&amp;LEFT($C$5,2)&amp;"输出",标准坦克设计!$B$23:$U$23,0)))*(VLOOKUP($B234,INDIRECT($B$5&amp;"生成成长"),3))*(VLOOKUP($B$5,标准坦克设计!$B$14:$K$20,9)/30))</f>
        <v>5.1733413943104365</v>
      </c>
      <c r="CY234" s="172">
        <f ca="1">(VLOOKUP(CY$72,INDIRECT($C$5&amp;"生成成长"),2))/((VLOOKUP($B234,INDIRECT($B$5&amp;"生成成长"),4))/(VLOOKUP(CY$72,INDIRECT($C$5&amp;"生成成长"),5))*(VLOOKUP($B$5,标准坦克设计!$B$24:$U$30,MATCH("对"&amp;LEFT($C$5,2)&amp;"输出",标准坦克设计!$B$23:$U$23,0)))*(VLOOKUP($B234,INDIRECT($B$5&amp;"生成成长"),3))*(VLOOKUP($B$5,标准坦克设计!$B$14:$K$20,9)/30))</f>
        <v>5.5114812917105169</v>
      </c>
      <c r="CZ234" s="172">
        <f ca="1">(VLOOKUP(CZ$72,INDIRECT($C$5&amp;"生成成长"),2))/((VLOOKUP($B234,INDIRECT($B$5&amp;"生成成长"),4))/(VLOOKUP(CZ$72,INDIRECT($C$5&amp;"生成成长"),5))*(VLOOKUP($B$5,标准坦克设计!$B$24:$U$30,MATCH("对"&amp;LEFT($C$5,2)&amp;"输出",标准坦克设计!$B$23:$U$23,0)))*(VLOOKUP($B234,INDIRECT($B$5&amp;"生成成长"),3))*(VLOOKUP($B$5,标准坦克设计!$B$14:$K$20,9)/30))</f>
        <v>5.86032489809305</v>
      </c>
      <c r="DA234" s="172">
        <f ca="1">(VLOOKUP(DA$72,INDIRECT($C$5&amp;"生成成长"),2))/((VLOOKUP($B234,INDIRECT($B$5&amp;"生成成长"),4))/(VLOOKUP(DA$72,INDIRECT($C$5&amp;"生成成长"),5))*(VLOOKUP($B$5,标准坦克设计!$B$24:$U$30,MATCH("对"&amp;LEFT($C$5,2)&amp;"输出",标准坦克设计!$B$23:$U$23,0)))*(VLOOKUP($B234,INDIRECT($B$5&amp;"生成成长"),3))*(VLOOKUP($B$5,标准坦克设计!$B$14:$K$20,9)/30))</f>
        <v>6.2198722134580295</v>
      </c>
      <c r="DB234" s="172">
        <f ca="1">(VLOOKUP(DB$72,INDIRECT($C$5&amp;"生成成长"),2))/((VLOOKUP($B234,INDIRECT($B$5&amp;"生成成长"),4))/(VLOOKUP(DB$72,INDIRECT($C$5&amp;"生成成长"),5))*(VLOOKUP($B$5,标准坦克设计!$B$24:$U$30,MATCH("对"&amp;LEFT($C$5,2)&amp;"输出",标准坦克设计!$B$23:$U$23,0)))*(VLOOKUP($B234,INDIRECT($B$5&amp;"生成成长"),3))*(VLOOKUP($B$5,标准坦克设计!$B$14:$K$20,9)/30))</f>
        <v>6.5901232378054573</v>
      </c>
      <c r="DC234" s="172">
        <f ca="1">(VLOOKUP(DC$72,INDIRECT($C$5&amp;"生成成长"),2))/((VLOOKUP($B234,INDIRECT($B$5&amp;"生成成长"),4))/(VLOOKUP(DC$72,INDIRECT($C$5&amp;"生成成长"),5))*(VLOOKUP($B$5,标准坦克设计!$B$24:$U$30,MATCH("对"&amp;LEFT($C$5,2)&amp;"输出",标准坦克设计!$B$23:$U$23,0)))*(VLOOKUP($B234,INDIRECT($B$5&amp;"生成成长"),3))*(VLOOKUP($B$5,标准坦克设计!$B$14:$K$20,9)/30))</f>
        <v>7.0062409820487526</v>
      </c>
      <c r="DD234" s="172">
        <f ca="1">(VLOOKUP(DD$72,INDIRECT($C$5&amp;"生成成长"),2))/((VLOOKUP($B234,INDIRECT($B$5&amp;"生成成长"),4))/(VLOOKUP(DD$72,INDIRECT($C$5&amp;"生成成长"),5))*(VLOOKUP($B$5,标准坦克设计!$B$24:$U$30,MATCH("对"&amp;LEFT($C$5,2)&amp;"输出",标准坦克设计!$B$23:$U$23,0)))*(VLOOKUP($B234,INDIRECT($B$5&amp;"生成成长"),3))*(VLOOKUP($B$5,标准坦克设计!$B$14:$K$20,9)/30))</f>
        <v>7.4350970245852066</v>
      </c>
      <c r="DE234" s="172">
        <f ca="1">(VLOOKUP(DE$72,INDIRECT($C$5&amp;"生成成长"),2))/((VLOOKUP($B234,INDIRECT($B$5&amp;"生成成长"),4))/(VLOOKUP(DE$72,INDIRECT($C$5&amp;"生成成长"),5))*(VLOOKUP($B$5,标准坦克设计!$B$24:$U$30,MATCH("对"&amp;LEFT($C$5,2)&amp;"输出",标准坦克设计!$B$23:$U$23,0)))*(VLOOKUP($B234,INDIRECT($B$5&amp;"生成成长"),3))*(VLOOKUP($B$5,标准坦克设计!$B$14:$K$20,9)/30))</f>
        <v>7.8766913654148256</v>
      </c>
      <c r="DF234" s="172">
        <f ca="1">(VLOOKUP(DF$72,INDIRECT($C$5&amp;"生成成长"),2))/((VLOOKUP($B234,INDIRECT($B$5&amp;"生成成长"),4))/(VLOOKUP(DF$72,INDIRECT($C$5&amp;"生成成长"),5))*(VLOOKUP($B$5,标准坦克设计!$B$24:$U$30,MATCH("对"&amp;LEFT($C$5,2)&amp;"输出",标准坦克设计!$B$23:$U$23,0)))*(VLOOKUP($B234,INDIRECT($B$5&amp;"生成成长"),3))*(VLOOKUP($B$5,标准坦克设计!$B$14:$K$20,9)/30))</f>
        <v>8.3310240045376052</v>
      </c>
      <c r="DG234" s="172">
        <f ca="1">(VLOOKUP(DG$72,INDIRECT($C$5&amp;"生成成长"),2))/((VLOOKUP($B234,INDIRECT($B$5&amp;"生成成长"),4))/(VLOOKUP(DG$72,INDIRECT($C$5&amp;"生成成长"),5))*(VLOOKUP($B$5,标准坦克设计!$B$24:$U$30,MATCH("对"&amp;LEFT($C$5,2)&amp;"输出",标准坦克设计!$B$23:$U$23,0)))*(VLOOKUP($B234,INDIRECT($B$5&amp;"生成成长"),3))*(VLOOKUP($B$5,标准坦克设计!$B$14:$K$20,9)/30))</f>
        <v>8.7980949419535452</v>
      </c>
      <c r="DH234" s="172">
        <f ca="1">(VLOOKUP(DH$72,INDIRECT($C$5&amp;"生成成长"),2))/((VLOOKUP($B234,INDIRECT($B$5&amp;"生成成长"),4))/(VLOOKUP(DH$72,INDIRECT($C$5&amp;"生成成长"),5))*(VLOOKUP($B$5,标准坦克设计!$B$24:$U$30,MATCH("对"&amp;LEFT($C$5,2)&amp;"输出",标准坦克设计!$B$23:$U$23,0)))*(VLOOKUP($B234,INDIRECT($B$5&amp;"生成成长"),3))*(VLOOKUP($B$5,标准坦克设计!$B$14:$K$20,9)/30))</f>
        <v>9.2779041776626503</v>
      </c>
      <c r="DI234" s="172">
        <f ca="1">(VLOOKUP(DI$72,INDIRECT($C$5&amp;"生成成长"),2))/((VLOOKUP($B234,INDIRECT($B$5&amp;"生成成长"),4))/(VLOOKUP(DI$72,INDIRECT($C$5&amp;"生成成长"),5))*(VLOOKUP($B$5,标准坦克设计!$B$24:$U$30,MATCH("对"&amp;LEFT($C$5,2)&amp;"输出",标准坦克设计!$B$23:$U$23,0)))*(VLOOKUP($B234,INDIRECT($B$5&amp;"生成成长"),3))*(VLOOKUP($B$5,标准坦克设计!$B$14:$K$20,9)/30))</f>
        <v>9.770451711664915</v>
      </c>
      <c r="DJ234" s="172">
        <f ca="1">(VLOOKUP(DJ$72,INDIRECT($C$5&amp;"生成成长"),2))/((VLOOKUP($B234,INDIRECT($B$5&amp;"生成成长"),4))/(VLOOKUP(DJ$72,INDIRECT($C$5&amp;"生成成长"),5))*(VLOOKUP($B$5,标准坦克设计!$B$24:$U$30,MATCH("对"&amp;LEFT($C$5,2)&amp;"输出",标准坦克设计!$B$23:$U$23,0)))*(VLOOKUP($B234,INDIRECT($B$5&amp;"生成成长"),3))*(VLOOKUP($B$5,标准坦克设计!$B$14:$K$20,9)/30))</f>
        <v>0.98195472363364777</v>
      </c>
      <c r="DK234" s="172">
        <f ca="1">(VLOOKUP(DK$72,INDIRECT($C$5&amp;"生成成长"),2))/((VLOOKUP($B234,INDIRECT($B$5&amp;"生成成长"),4))/(VLOOKUP(DK$72,INDIRECT($C$5&amp;"生成成长"),5))*(VLOOKUP($B$5,标准坦克设计!$B$24:$U$30,MATCH("对"&amp;LEFT($C$5,2)&amp;"输出",标准坦克设计!$B$23:$U$23,0)))*(VLOOKUP($B234,INDIRECT($B$5&amp;"生成成长"),3))*(VLOOKUP($B$5,标准坦克设计!$B$14:$K$20,9)/30))</f>
        <v>1.1041627728836709</v>
      </c>
      <c r="DL234" s="172">
        <f ca="1">(VLOOKUP(DL$72,INDIRECT($C$5&amp;"生成成长"),2))/((VLOOKUP($B234,INDIRECT($B$5&amp;"生成成长"),4))/(VLOOKUP(DL$72,INDIRECT($C$5&amp;"生成成长"),5))*(VLOOKUP($B$5,标准坦克设计!$B$24:$U$30,MATCH("对"&amp;LEFT($C$5,2)&amp;"输出",标准坦克设计!$B$23:$U$23,0)))*(VLOOKUP($B234,INDIRECT($B$5&amp;"生成成长"),3))*(VLOOKUP($B$5,标准坦克设计!$B$14:$K$20,9)/30))</f>
        <v>1.2335361149235979</v>
      </c>
      <c r="DM234" s="172">
        <f ca="1">(VLOOKUP(DM$72,INDIRECT($C$5&amp;"生成成长"),2))/((VLOOKUP($B234,INDIRECT($B$5&amp;"生成成长"),4))/(VLOOKUP(DM$72,INDIRECT($C$5&amp;"生成成长"),5))*(VLOOKUP($B$5,标准坦克设计!$B$24:$U$30,MATCH("对"&amp;LEFT($C$5,2)&amp;"输出",标准坦克设计!$B$23:$U$23,0)))*(VLOOKUP($B234,INDIRECT($B$5&amp;"生成成长"),3))*(VLOOKUP($B$5,标准坦克设计!$B$14:$K$20,9)/30))</f>
        <v>1.3700747497534287</v>
      </c>
      <c r="DN234" s="172">
        <f ca="1">(VLOOKUP(DN$72,INDIRECT($C$5&amp;"生成成长"),2))/((VLOOKUP($B234,INDIRECT($B$5&amp;"生成成长"),4))/(VLOOKUP(DN$72,INDIRECT($C$5&amp;"生成成长"),5))*(VLOOKUP($B$5,标准坦克设计!$B$24:$U$30,MATCH("对"&amp;LEFT($C$5,2)&amp;"输出",标准坦克设计!$B$23:$U$23,0)))*(VLOOKUP($B234,INDIRECT($B$5&amp;"生成成长"),3))*(VLOOKUP($B$5,标准坦克设计!$B$14:$K$20,9)/30))</f>
        <v>1.513778677373163</v>
      </c>
      <c r="DO234" s="172">
        <f ca="1">(VLOOKUP(DO$72,INDIRECT($C$5&amp;"生成成长"),2))/((VLOOKUP($B234,INDIRECT($B$5&amp;"生成成长"),4))/(VLOOKUP(DO$72,INDIRECT($C$5&amp;"生成成长"),5))*(VLOOKUP($B$5,标准坦克设计!$B$24:$U$30,MATCH("对"&amp;LEFT($C$5,2)&amp;"输出",标准坦克设计!$B$23:$U$23,0)))*(VLOOKUP($B234,INDIRECT($B$5&amp;"生成成长"),3))*(VLOOKUP($B$5,标准坦克设计!$B$14:$K$20,9)/30))</f>
        <v>1.6646478977828012</v>
      </c>
      <c r="DP234" s="172">
        <f ca="1">(VLOOKUP(DP$72,INDIRECT($C$5&amp;"生成成长"),2))/((VLOOKUP($B234,INDIRECT($B$5&amp;"生成成长"),4))/(VLOOKUP(DP$72,INDIRECT($C$5&amp;"生成成长"),5))*(VLOOKUP($B$5,标准坦克设计!$B$24:$U$30,MATCH("对"&amp;LEFT($C$5,2)&amp;"输出",标准坦克设计!$B$23:$U$23,0)))*(VLOOKUP($B234,INDIRECT($B$5&amp;"生成成长"),3))*(VLOOKUP($B$5,标准坦克设计!$B$14:$K$20,9)/30))</f>
        <v>1.822682410982343</v>
      </c>
      <c r="DQ234" s="172">
        <f ca="1">(VLOOKUP(DQ$72,INDIRECT($C$5&amp;"生成成长"),2))/((VLOOKUP($B234,INDIRECT($B$5&amp;"生成成长"),4))/(VLOOKUP(DQ$72,INDIRECT($C$5&amp;"生成成长"),5))*(VLOOKUP($B$5,标准坦克设计!$B$24:$U$30,MATCH("对"&amp;LEFT($C$5,2)&amp;"输出",标准坦克设计!$B$23:$U$23,0)))*(VLOOKUP($B234,INDIRECT($B$5&amp;"生成成长"),3))*(VLOOKUP($B$5,标准坦克设计!$B$14:$K$20,9)/30))</f>
        <v>1.987882216971788</v>
      </c>
      <c r="DR234" s="172">
        <f ca="1">(VLOOKUP(DR$72,INDIRECT($C$5&amp;"生成成长"),2))/((VLOOKUP($B234,INDIRECT($B$5&amp;"生成成长"),4))/(VLOOKUP(DR$72,INDIRECT($C$5&amp;"生成成长"),5))*(VLOOKUP($B$5,标准坦克设计!$B$24:$U$30,MATCH("对"&amp;LEFT($C$5,2)&amp;"输出",标准坦克设计!$B$23:$U$23,0)))*(VLOOKUP($B234,INDIRECT($B$5&amp;"生成成长"),3))*(VLOOKUP($B$5,标准坦克设计!$B$14:$K$20,9)/30))</f>
        <v>2.1602473157511373</v>
      </c>
      <c r="DS234" s="172">
        <f ca="1">(VLOOKUP(DS$72,INDIRECT($C$5&amp;"生成成长"),2))/((VLOOKUP($B234,INDIRECT($B$5&amp;"生成成长"),4))/(VLOOKUP(DS$72,INDIRECT($C$5&amp;"生成成长"),5))*(VLOOKUP($B$5,标准坦克设计!$B$24:$U$30,MATCH("对"&amp;LEFT($C$5,2)&amp;"输出",标准坦克设计!$B$23:$U$23,0)))*(VLOOKUP($B234,INDIRECT($B$5&amp;"生成成长"),3))*(VLOOKUP($B$5,标准坦克设计!$B$14:$K$20,9)/30))</f>
        <v>2.3397777073203896</v>
      </c>
      <c r="DT234" s="172">
        <f ca="1">(VLOOKUP(DT$72,INDIRECT($C$5&amp;"生成成长"),2))/((VLOOKUP($B234,INDIRECT($B$5&amp;"生成成长"),4))/(VLOOKUP(DT$72,INDIRECT($C$5&amp;"生成成长"),5))*(VLOOKUP($B$5,标准坦克设计!$B$24:$U$30,MATCH("对"&amp;LEFT($C$5,2)&amp;"输出",标准坦克设计!$B$23:$U$23,0)))*(VLOOKUP($B234,INDIRECT($B$5&amp;"生成成长"),3))*(VLOOKUP($B$5,标准坦克设计!$B$14:$K$20,9)/30))</f>
        <v>2.5689343859900857</v>
      </c>
      <c r="DU234" s="172">
        <f ca="1">(VLOOKUP(DU$72,INDIRECT($C$5&amp;"生成成长"),2))/((VLOOKUP($B234,INDIRECT($B$5&amp;"生成成长"),4))/(VLOOKUP(DU$72,INDIRECT($C$5&amp;"生成成长"),5))*(VLOOKUP($B$5,标准坦克设计!$B$24:$U$30,MATCH("对"&amp;LEFT($C$5,2)&amp;"输出",标准坦克设计!$B$23:$U$23,0)))*(VLOOKUP($B234,INDIRECT($B$5&amp;"生成成长"),3))*(VLOOKUP($B$5,标准坦克设计!$B$14:$K$20,9)/30))</f>
        <v>2.808794773642231</v>
      </c>
      <c r="DV234" s="172">
        <f ca="1">(VLOOKUP(DV$72,INDIRECT($C$5&amp;"生成成长"),2))/((VLOOKUP($B234,INDIRECT($B$5&amp;"生成成长"),4))/(VLOOKUP(DV$72,INDIRECT($C$5&amp;"生成成长"),5))*(VLOOKUP($B$5,标准坦克设计!$B$24:$U$30,MATCH("对"&amp;LEFT($C$5,2)&amp;"输出",标准坦克设计!$B$23:$U$23,0)))*(VLOOKUP($B234,INDIRECT($B$5&amp;"生成成长"),3))*(VLOOKUP($B$5,标准坦克设计!$B$14:$K$20,9)/30))</f>
        <v>3.0593588702768244</v>
      </c>
      <c r="DW234" s="172">
        <f ca="1">(VLOOKUP(DW$72,INDIRECT($C$5&amp;"生成成长"),2))/((VLOOKUP($B234,INDIRECT($B$5&amp;"生成成长"),4))/(VLOOKUP(DW$72,INDIRECT($C$5&amp;"生成成长"),5))*(VLOOKUP($B$5,标准坦克设计!$B$24:$U$30,MATCH("对"&amp;LEFT($C$5,2)&amp;"输出",标准坦克设计!$B$23:$U$23,0)))*(VLOOKUP($B234,INDIRECT($B$5&amp;"生成成长"),3))*(VLOOKUP($B$5,标准坦克设计!$B$14:$K$20,9)/30))</f>
        <v>3.3206266758938665</v>
      </c>
      <c r="DX234" s="172">
        <f ca="1">(VLOOKUP(DX$72,INDIRECT($C$5&amp;"生成成长"),2))/((VLOOKUP($B234,INDIRECT($B$5&amp;"生成成长"),4))/(VLOOKUP(DX$72,INDIRECT($C$5&amp;"生成成长"),5))*(VLOOKUP($B$5,标准坦克设计!$B$24:$U$30,MATCH("对"&amp;LEFT($C$5,2)&amp;"输出",标准坦克设计!$B$23:$U$23,0)))*(VLOOKUP($B234,INDIRECT($B$5&amp;"生成成长"),3))*(VLOOKUP($B$5,标准坦克设计!$B$14:$K$20,9)/30))</f>
        <v>3.5925981904933586</v>
      </c>
      <c r="DY234" s="172">
        <f ca="1">(VLOOKUP(DY$72,INDIRECT($C$5&amp;"生成成长"),2))/((VLOOKUP($B234,INDIRECT($B$5&amp;"生成成长"),4))/(VLOOKUP(DY$72,INDIRECT($C$5&amp;"生成成长"),5))*(VLOOKUP($B$5,标准坦克设计!$B$24:$U$30,MATCH("对"&amp;LEFT($C$5,2)&amp;"输出",标准坦克设计!$B$23:$U$23,0)))*(VLOOKUP($B234,INDIRECT($B$5&amp;"生成成长"),3))*(VLOOKUP($B$5,标准坦克设计!$B$14:$K$20,9)/30))</f>
        <v>1.6135620140029325</v>
      </c>
      <c r="DZ234" s="172">
        <f ca="1">(VLOOKUP(DZ$72,INDIRECT($C$5&amp;"生成成长"),2))/((VLOOKUP($B234,INDIRECT($B$5&amp;"生成成长"),4))/(VLOOKUP(DZ$72,INDIRECT($C$5&amp;"生成成长"),5))*(VLOOKUP($B$5,标准坦克设计!$B$24:$U$30,MATCH("对"&amp;LEFT($C$5,2)&amp;"输出",标准坦克设计!$B$23:$U$23,0)))*(VLOOKUP($B234,INDIRECT($B$5&amp;"生成成长"),3))*(VLOOKUP($B$5,标准坦克设计!$B$14:$K$20,9)/30))</f>
        <v>1.7869444074376382</v>
      </c>
      <c r="EA234" s="172">
        <f ca="1">(VLOOKUP(EA$72,INDIRECT($C$5&amp;"生成成长"),2))/((VLOOKUP($B234,INDIRECT($B$5&amp;"生成成长"),4))/(VLOOKUP(EA$72,INDIRECT($C$5&amp;"生成成长"),5))*(VLOOKUP($B$5,标准坦克设计!$B$24:$U$30,MATCH("对"&amp;LEFT($C$5,2)&amp;"输出",标准坦克设计!$B$23:$U$23,0)))*(VLOOKUP($B234,INDIRECT($B$5&amp;"生成成长"),3))*(VLOOKUP($B$5,标准坦克设计!$B$14:$K$20,9)/30))</f>
        <v>1.9691728413537064</v>
      </c>
      <c r="EB234" s="172">
        <f ca="1">(VLOOKUP(EB$72,INDIRECT($C$5&amp;"生成成长"),2))/((VLOOKUP($B234,INDIRECT($B$5&amp;"生成成长"),4))/(VLOOKUP(EB$72,INDIRECT($C$5&amp;"生成成长"),5))*(VLOOKUP($B$5,标准坦克设计!$B$24:$U$30,MATCH("对"&amp;LEFT($C$5,2)&amp;"输出",标准坦克设计!$B$23:$U$23,0)))*(VLOOKUP($B234,INDIRECT($B$5&amp;"生成成长"),3))*(VLOOKUP($B$5,标准坦克设计!$B$14:$K$20,9)/30))</f>
        <v>2.1602473157511373</v>
      </c>
      <c r="EC234" s="172">
        <f ca="1">(VLOOKUP(EC$72,INDIRECT($C$5&amp;"生成成长"),2))/((VLOOKUP($B234,INDIRECT($B$5&amp;"生成成长"),4))/(VLOOKUP(EC$72,INDIRECT($C$5&amp;"生成成长"),5))*(VLOOKUP($B$5,标准坦克设计!$B$24:$U$30,MATCH("对"&amp;LEFT($C$5,2)&amp;"输出",标准坦克设计!$B$23:$U$23,0)))*(VLOOKUP($B234,INDIRECT($B$5&amp;"生成成长"),3))*(VLOOKUP($B$5,标准坦克设计!$B$14:$K$20,9)/30))</f>
        <v>2.3601678306299299</v>
      </c>
      <c r="ED234" s="172">
        <f ca="1">(VLOOKUP(ED$72,INDIRECT($C$5&amp;"生成成长"),2))/((VLOOKUP($B234,INDIRECT($B$5&amp;"生成成长"),4))/(VLOOKUP(ED$72,INDIRECT($C$5&amp;"生成成长"),5))*(VLOOKUP($B$5,标准坦克设计!$B$24:$U$30,MATCH("对"&amp;LEFT($C$5,2)&amp;"输出",标准坦克设计!$B$23:$U$23,0)))*(VLOOKUP($B234,INDIRECT($B$5&amp;"生成成长"),3))*(VLOOKUP($B$5,标准坦克设计!$B$14:$K$20,9)/30))</f>
        <v>2.5689343859900857</v>
      </c>
      <c r="EE234" s="172">
        <f ca="1">(VLOOKUP(EE$72,INDIRECT($C$5&amp;"生成成长"),2))/((VLOOKUP($B234,INDIRECT($B$5&amp;"生成成长"),4))/(VLOOKUP(EE$72,INDIRECT($C$5&amp;"生成成长"),5))*(VLOOKUP($B$5,标准坦克设计!$B$24:$U$30,MATCH("对"&amp;LEFT($C$5,2)&amp;"输出",标准坦克设计!$B$23:$U$23,0)))*(VLOOKUP($B234,INDIRECT($B$5&amp;"生成成长"),3))*(VLOOKUP($B$5,标准坦克设计!$B$14:$K$20,9)/30))</f>
        <v>2.7865469818316035</v>
      </c>
      <c r="EF234" s="172">
        <f ca="1">(VLOOKUP(EF$72,INDIRECT($C$5&amp;"生成成长"),2))/((VLOOKUP($B234,INDIRECT($B$5&amp;"生成成长"),4))/(VLOOKUP(EF$72,INDIRECT($C$5&amp;"生成成长"),5))*(VLOOKUP($B$5,标准坦克设计!$B$24:$U$30,MATCH("对"&amp;LEFT($C$5,2)&amp;"输出",标准坦克设计!$B$23:$U$23,0)))*(VLOOKUP($B234,INDIRECT($B$5&amp;"生成成长"),3))*(VLOOKUP($B$5,标准坦克设计!$B$14:$K$20,9)/30))</f>
        <v>3.0130056181544846</v>
      </c>
      <c r="EG234" s="172">
        <f ca="1">(VLOOKUP(EG$72,INDIRECT($C$5&amp;"生成成长"),2))/((VLOOKUP($B234,INDIRECT($B$5&amp;"生成成长"),4))/(VLOOKUP(EG$72,INDIRECT($C$5&amp;"生成成长"),5))*(VLOOKUP($B$5,标准坦克设计!$B$24:$U$30,MATCH("对"&amp;LEFT($C$5,2)&amp;"输出",标准坦克设计!$B$23:$U$23,0)))*(VLOOKUP($B234,INDIRECT($B$5&amp;"生成成长"),3))*(VLOOKUP($B$5,标准坦克设计!$B$14:$K$20,9)/30))</f>
        <v>3.2483102949587281</v>
      </c>
      <c r="EH234" s="172">
        <f ca="1">(VLOOKUP(EH$72,INDIRECT($C$5&amp;"生成成长"),2))/((VLOOKUP($B234,INDIRECT($B$5&amp;"生成成长"),4))/(VLOOKUP(EH$72,INDIRECT($C$5&amp;"生成成长"),5))*(VLOOKUP($B$5,标准坦克设计!$B$24:$U$30,MATCH("对"&amp;LEFT($C$5,2)&amp;"输出",标准坦克设计!$B$23:$U$23,0)))*(VLOOKUP($B234,INDIRECT($B$5&amp;"生成成长"),3))*(VLOOKUP($B$5,标准坦克设计!$B$14:$K$20,9)/30))</f>
        <v>3.4924610122443345</v>
      </c>
      <c r="EI234" s="172">
        <f ca="1">(VLOOKUP(EI$72,INDIRECT($C$5&amp;"生成成长"),2))/((VLOOKUP($B234,INDIRECT($B$5&amp;"生成成长"),4))/(VLOOKUP(EI$72,INDIRECT($C$5&amp;"生成成长"),5))*(VLOOKUP($B$5,标准坦克设计!$B$24:$U$30,MATCH("对"&amp;LEFT($C$5,2)&amp;"输出",标准坦克设计!$B$23:$U$23,0)))*(VLOOKUP($B234,INDIRECT($B$5&amp;"生成成长"),3))*(VLOOKUP($B$5,标准坦克设计!$B$14:$K$20,9)/30))</f>
        <v>3.7454577700113032</v>
      </c>
      <c r="EJ234" s="172">
        <f ca="1">(VLOOKUP(EJ$72,INDIRECT($C$5&amp;"生成成长"),2))/((VLOOKUP($B234,INDIRECT($B$5&amp;"生成成长"),4))/(VLOOKUP(EJ$72,INDIRECT($C$5&amp;"生成成长"),5))*(VLOOKUP($B$5,标准坦克设计!$B$24:$U$30,MATCH("对"&amp;LEFT($C$5,2)&amp;"输出",标准坦克设计!$B$23:$U$23,0)))*(VLOOKUP($B234,INDIRECT($B$5&amp;"生成成长"),3))*(VLOOKUP($B$5,标准坦克设计!$B$14:$K$20,9)/30))</f>
        <v>4.007300568259633</v>
      </c>
      <c r="EK234" s="172">
        <f ca="1">(VLOOKUP(EK$72,INDIRECT($C$5&amp;"生成成长"),2))/((VLOOKUP($B234,INDIRECT($B$5&amp;"生成成长"),4))/(VLOOKUP(EK$72,INDIRECT($C$5&amp;"生成成长"),5))*(VLOOKUP($B$5,标准坦克设计!$B$24:$U$30,MATCH("对"&amp;LEFT($C$5,2)&amp;"输出",标准坦克设计!$B$23:$U$23,0)))*(VLOOKUP($B234,INDIRECT($B$5&amp;"生成成长"),3))*(VLOOKUP($B$5,标准坦克设计!$B$14:$K$20,9)/30))</f>
        <v>4.3331886995930295</v>
      </c>
      <c r="EL234" s="172">
        <f ca="1">(VLOOKUP(EL$72,INDIRECT($C$5&amp;"生成成长"),2))/((VLOOKUP($B234,INDIRECT($B$5&amp;"生成成长"),4))/(VLOOKUP(EL$72,INDIRECT($C$5&amp;"生成成长"),5))*(VLOOKUP($B$5,标准坦克设计!$B$24:$U$30,MATCH("对"&amp;LEFT($C$5,2)&amp;"输出",标准坦克设计!$B$23:$U$23,0)))*(VLOOKUP($B234,INDIRECT($B$5&amp;"生成成长"),3))*(VLOOKUP($B$5,标准坦克设计!$B$14:$K$20,9)/30))</f>
        <v>4.6718151292195857</v>
      </c>
      <c r="EM234" s="172">
        <f ca="1">(VLOOKUP(EM$72,INDIRECT($C$5&amp;"生成成长"),2))/((VLOOKUP($B234,INDIRECT($B$5&amp;"生成成长"),4))/(VLOOKUP(EM$72,INDIRECT($C$5&amp;"生成成长"),5))*(VLOOKUP($B$5,标准坦克设计!$B$24:$U$30,MATCH("对"&amp;LEFT($C$5,2)&amp;"输出",标准坦克设计!$B$23:$U$23,0)))*(VLOOKUP($B234,INDIRECT($B$5&amp;"生成成长"),3))*(VLOOKUP($B$5,标准坦克设计!$B$14:$K$20,9)/30))</f>
        <v>5.0231798571393069</v>
      </c>
      <c r="EN234" s="172">
        <f ca="1">(VLOOKUP(EN$72,INDIRECT($C$5&amp;"生成成长"),2))/((VLOOKUP($B234,INDIRECT($B$5&amp;"生成成长"),4))/(VLOOKUP(EN$72,INDIRECT($C$5&amp;"生成成长"),5))*(VLOOKUP($B$5,标准坦克设计!$B$24:$U$30,MATCH("对"&amp;LEFT($C$5,2)&amp;"输出",标准坦克设计!$B$23:$U$23,0)))*(VLOOKUP($B234,INDIRECT($B$5&amp;"生成成长"),3))*(VLOOKUP($B$5,标准坦克设计!$B$14:$K$20,9)/30))</f>
        <v>5.3872828833521886</v>
      </c>
      <c r="EO234" s="172">
        <f ca="1">(VLOOKUP(EO$72,INDIRECT($C$5&amp;"生成成长"),2))/((VLOOKUP($B234,INDIRECT($B$5&amp;"生成成长"),4))/(VLOOKUP(EO$72,INDIRECT($C$5&amp;"生成成长"),5))*(VLOOKUP($B$5,标准坦克设计!$B$24:$U$30,MATCH("对"&amp;LEFT($C$5,2)&amp;"输出",标准坦克设计!$B$23:$U$23,0)))*(VLOOKUP($B234,INDIRECT($B$5&amp;"生成成长"),3))*(VLOOKUP($B$5,标准坦克设计!$B$14:$K$20,9)/30))</f>
        <v>5.7641242078582327</v>
      </c>
      <c r="EP234" s="172">
        <f ca="1">(VLOOKUP(EP$72,INDIRECT($C$5&amp;"生成成长"),2))/((VLOOKUP($B234,INDIRECT($B$5&amp;"生成成长"),4))/(VLOOKUP(EP$72,INDIRECT($C$5&amp;"生成成长"),5))*(VLOOKUP($B$5,标准坦克设计!$B$24:$U$30,MATCH("对"&amp;LEFT($C$5,2)&amp;"输出",标准坦克设计!$B$23:$U$23,0)))*(VLOOKUP($B234,INDIRECT($B$5&amp;"生成成长"),3))*(VLOOKUP($B$5,标准坦克设计!$B$14:$K$20,9)/30))</f>
        <v>6.1537038306574381</v>
      </c>
      <c r="EQ234" s="172">
        <f ca="1">(VLOOKUP(EQ$72,INDIRECT($C$5&amp;"生成成长"),2))/((VLOOKUP($B234,INDIRECT($B$5&amp;"生成成长"),4))/(VLOOKUP(EQ$72,INDIRECT($C$5&amp;"生成成长"),5))*(VLOOKUP($B$5,标准坦克设计!$B$24:$U$30,MATCH("对"&amp;LEFT($C$5,2)&amp;"输出",标准坦克设计!$B$23:$U$23,0)))*(VLOOKUP($B234,INDIRECT($B$5&amp;"生成成长"),3))*(VLOOKUP($B$5,标准坦克设计!$B$14:$K$20,9)/30))</f>
        <v>2.7203343688286057</v>
      </c>
      <c r="ER234" s="172">
        <f ca="1">(VLOOKUP(ER$72,INDIRECT($C$5&amp;"生成成长"),2))/((VLOOKUP($B234,INDIRECT($B$5&amp;"生成成长"),4))/(VLOOKUP(ER$72,INDIRECT($C$5&amp;"生成成长"),5))*(VLOOKUP($B$5,标准坦克设计!$B$24:$U$30,MATCH("对"&amp;LEFT($C$5,2)&amp;"输出",标准坦克设计!$B$23:$U$23,0)))*(VLOOKUP($B234,INDIRECT($B$5&amp;"生成成长"),3))*(VLOOKUP($B$5,标准坦克设计!$B$14:$K$20,9)/30))</f>
        <v>2.9670062076514001</v>
      </c>
      <c r="ES234" s="172">
        <f ca="1">(VLOOKUP(ES$72,INDIRECT($C$5&amp;"生成成长"),2))/((VLOOKUP($B234,INDIRECT($B$5&amp;"生成成长"),4))/(VLOOKUP(ES$72,INDIRECT($C$5&amp;"生成成长"),5))*(VLOOKUP($B$5,标准坦克设计!$B$24:$U$30,MATCH("对"&amp;LEFT($C$5,2)&amp;"输出",标准坦克设计!$B$23:$U$23,0)))*(VLOOKUP($B234,INDIRECT($B$5&amp;"生成成长"),3))*(VLOOKUP($B$5,标准坦克设计!$B$14:$K$20,9)/30))</f>
        <v>3.2243817554566419</v>
      </c>
      <c r="ET234" s="172">
        <f ca="1">(VLOOKUP(ET$72,INDIRECT($C$5&amp;"生成成长"),2))/((VLOOKUP($B234,INDIRECT($B$5&amp;"生成成长"),4))/(VLOOKUP(ET$72,INDIRECT($C$5&amp;"生成成长"),5))*(VLOOKUP($B$5,标准坦克设计!$B$24:$U$30,MATCH("对"&amp;LEFT($C$5,2)&amp;"输出",标准坦克设计!$B$23:$U$23,0)))*(VLOOKUP($B234,INDIRECT($B$5&amp;"生成成长"),3))*(VLOOKUP($B$5,标准坦克设计!$B$14:$K$20,9)/30))</f>
        <v>3.4924610122443345</v>
      </c>
      <c r="EU234" s="172">
        <f ca="1">(VLOOKUP(EU$72,INDIRECT($C$5&amp;"生成成长"),2))/((VLOOKUP($B234,INDIRECT($B$5&amp;"生成成长"),4))/(VLOOKUP(EU$72,INDIRECT($C$5&amp;"生成成长"),5))*(VLOOKUP($B$5,标准坦克设计!$B$24:$U$30,MATCH("对"&amp;LEFT($C$5,2)&amp;"输出",标准坦克设计!$B$23:$U$23,0)))*(VLOOKUP($B234,INDIRECT($B$5&amp;"生成成长"),3))*(VLOOKUP($B$5,标准坦克设计!$B$14:$K$20,9)/30))</f>
        <v>3.7712439780144744</v>
      </c>
      <c r="EV234" s="172">
        <f ca="1">(VLOOKUP(EV$72,INDIRECT($C$5&amp;"生成成长"),2))/((VLOOKUP($B234,INDIRECT($B$5&amp;"生成成长"),4))/(VLOOKUP(EV$72,INDIRECT($C$5&amp;"生成成长"),5))*(VLOOKUP($B$5,标准坦克设计!$B$24:$U$30,MATCH("对"&amp;LEFT($C$5,2)&amp;"输出",标准坦克设计!$B$23:$U$23,0)))*(VLOOKUP($B234,INDIRECT($B$5&amp;"生成成长"),3))*(VLOOKUP($B$5,标准坦克设计!$B$14:$K$20,9)/30))</f>
        <v>4.060730652767063</v>
      </c>
      <c r="EW234" s="172">
        <f ca="1">(VLOOKUP(EW$72,INDIRECT($C$5&amp;"生成成长"),2))/((VLOOKUP($B234,INDIRECT($B$5&amp;"生成成长"),4))/(VLOOKUP(EW$72,INDIRECT($C$5&amp;"生成成长"),5))*(VLOOKUP($B$5,标准坦克设计!$B$24:$U$30,MATCH("对"&amp;LEFT($C$5,2)&amp;"输出",标准坦克设计!$B$23:$U$23,0)))*(VLOOKUP($B234,INDIRECT($B$5&amp;"生成成长"),3))*(VLOOKUP($B$5,标准坦克设计!$B$14:$K$20,9)/30))</f>
        <v>4.3609210365021003</v>
      </c>
      <c r="EX234" s="172">
        <f ca="1">(VLOOKUP(EX$72,INDIRECT($C$5&amp;"生成成长"),2))/((VLOOKUP($B234,INDIRECT($B$5&amp;"生成成长"),4))/(VLOOKUP(EX$72,INDIRECT($C$5&amp;"生成成长"),5))*(VLOOKUP($B$5,标准坦克设计!$B$24:$U$30,MATCH("对"&amp;LEFT($C$5,2)&amp;"输出",标准坦克设计!$B$23:$U$23,0)))*(VLOOKUP($B234,INDIRECT($B$5&amp;"生成成长"),3))*(VLOOKUP($B$5,标准坦克设计!$B$14:$K$20,9)/30))</f>
        <v>4.6718151292195857</v>
      </c>
      <c r="EY234" s="172">
        <f ca="1">(VLOOKUP(EY$72,INDIRECT($C$5&amp;"生成成长"),2))/((VLOOKUP($B234,INDIRECT($B$5&amp;"生成成长"),4))/(VLOOKUP(EY$72,INDIRECT($C$5&amp;"生成成长"),5))*(VLOOKUP($B$5,标准坦克设计!$B$24:$U$30,MATCH("对"&amp;LEFT($C$5,2)&amp;"输出",标准坦克设计!$B$23:$U$23,0)))*(VLOOKUP($B234,INDIRECT($B$5&amp;"生成成长"),3))*(VLOOKUP($B$5,标准坦克设计!$B$14:$K$20,9)/30))</f>
        <v>4.9934129309195212</v>
      </c>
      <c r="EZ234" s="172">
        <f ca="1">(VLOOKUP(EZ$72,INDIRECT($C$5&amp;"生成成长"),2))/((VLOOKUP($B234,INDIRECT($B$5&amp;"生成成长"),4))/(VLOOKUP(EZ$72,INDIRECT($C$5&amp;"生成成长"),5))*(VLOOKUP($B$5,标准坦克设计!$B$24:$U$30,MATCH("对"&amp;LEFT($C$5,2)&amp;"输出",标准坦克设计!$B$23:$U$23,0)))*(VLOOKUP($B234,INDIRECT($B$5&amp;"生成成长"),3))*(VLOOKUP($B$5,标准坦克设计!$B$14:$K$20,9)/30))</f>
        <v>5.3257144416019058</v>
      </c>
      <c r="FA234" s="172">
        <f ca="1">(VLOOKUP(FA$72,INDIRECT($C$5&amp;"生成成长"),2))/((VLOOKUP($B234,INDIRECT($B$5&amp;"生成成长"),4))/(VLOOKUP(FA$72,INDIRECT($C$5&amp;"生成成长"),5))*(VLOOKUP($B$5,标准坦克设计!$B$24:$U$30,MATCH("对"&amp;LEFT($C$5,2)&amp;"输出",标准坦克设计!$B$23:$U$23,0)))*(VLOOKUP($B234,INDIRECT($B$5&amp;"生成成长"),3))*(VLOOKUP($B$5,标准坦克设计!$B$14:$K$20,9)/30))</f>
        <v>5.6687196612667368</v>
      </c>
      <c r="FB234" s="172">
        <f ca="1">(VLOOKUP(FB$72,INDIRECT($C$5&amp;"生成成长"),2))/((VLOOKUP($B234,INDIRECT($B$5&amp;"生成成长"),4))/(VLOOKUP(FB$72,INDIRECT($C$5&amp;"生成成长"),5))*(VLOOKUP($B$5,标准坦克设计!$B$24:$U$30,MATCH("对"&amp;LEFT($C$5,2)&amp;"输出",标准坦克设计!$B$23:$U$23,0)))*(VLOOKUP($B234,INDIRECT($B$5&amp;"生成成长"),3))*(VLOOKUP($B$5,标准坦克设计!$B$14:$K$20,9)/30))</f>
        <v>6.0224285899140186</v>
      </c>
      <c r="FC234" s="172">
        <f ca="1">(VLOOKUP(FC$72,INDIRECT($C$5&amp;"生成成长"),2))/((VLOOKUP($B234,INDIRECT($B$5&amp;"生成成长"),4))/(VLOOKUP(FC$72,INDIRECT($C$5&amp;"生成成长"),5))*(VLOOKUP($B$5,标准坦克设计!$B$24:$U$30,MATCH("对"&amp;LEFT($C$5,2)&amp;"输出",标准坦克设计!$B$23:$U$23,0)))*(VLOOKUP($B234,INDIRECT($B$5&amp;"生成成长"),3))*(VLOOKUP($B$5,标准坦克设计!$B$14:$K$20,9)/30))</f>
        <v>6.3868412275437469</v>
      </c>
      <c r="FD234" s="172">
        <f ca="1">(VLOOKUP(FD$72,INDIRECT($C$5&amp;"生成成长"),2))/((VLOOKUP($B234,INDIRECT($B$5&amp;"生成成长"),4))/(VLOOKUP(FD$72,INDIRECT($C$5&amp;"生成成长"),5))*(VLOOKUP($B$5,标准坦克设计!$B$24:$U$30,MATCH("对"&amp;LEFT($C$5,2)&amp;"输出",标准坦克设计!$B$23:$U$23,0)))*(VLOOKUP($B234,INDIRECT($B$5&amp;"生成成长"),3))*(VLOOKUP($B$5,标准坦克设计!$B$14:$K$20,9)/30))</f>
        <v>6.7619575741559244</v>
      </c>
      <c r="FE234" s="172">
        <f ca="1">(VLOOKUP(FE$72,INDIRECT($C$5&amp;"生成成长"),2))/((VLOOKUP($B234,INDIRECT($B$5&amp;"生成成长"),4))/(VLOOKUP(FE$72,INDIRECT($C$5&amp;"生成成长"),5))*(VLOOKUP($B$5,标准坦克设计!$B$24:$U$30,MATCH("对"&amp;LEFT($C$5,2)&amp;"输出",标准坦克设计!$B$23:$U$23,0)))*(VLOOKUP($B234,INDIRECT($B$5&amp;"生成成长"),3))*(VLOOKUP($B$5,标准坦克设计!$B$14:$K$20,9)/30))</f>
        <v>7.2190767160303331</v>
      </c>
      <c r="FF234" s="172">
        <f ca="1">(VLOOKUP(FF$72,INDIRECT($C$5&amp;"生成成长"),2))/((VLOOKUP($B234,INDIRECT($B$5&amp;"生成成长"),4))/(VLOOKUP(FF$72,INDIRECT($C$5&amp;"生成成长"),5))*(VLOOKUP($B$5,标准坦克设计!$B$24:$U$30,MATCH("对"&amp;LEFT($C$5,2)&amp;"输出",标准坦克设计!$B$23:$U$23,0)))*(VLOOKUP($B234,INDIRECT($B$5&amp;"生成成长"),3))*(VLOOKUP($B$5,标准坦克设计!$B$14:$K$20,9)/30))</f>
        <v>7.6911456663182456</v>
      </c>
      <c r="FG234" s="172">
        <f ca="1">(VLOOKUP(FG$72,INDIRECT($C$5&amp;"生成成长"),2))/((VLOOKUP($B234,INDIRECT($B$5&amp;"生成成长"),4))/(VLOOKUP(FG$72,INDIRECT($C$5&amp;"生成成长"),5))*(VLOOKUP($B$5,标准坦克设计!$B$24:$U$30,MATCH("对"&amp;LEFT($C$5,2)&amp;"输出",标准坦克设计!$B$23:$U$23,0)))*(VLOOKUP($B234,INDIRECT($B$5&amp;"生成成长"),3))*(VLOOKUP($B$5,标准坦克设计!$B$14:$K$20,9)/30))</f>
        <v>8.178164425019661</v>
      </c>
      <c r="FH234" s="172">
        <f ca="1">(VLOOKUP(FH$72,INDIRECT($C$5&amp;"生成成长"),2))/((VLOOKUP($B234,INDIRECT($B$5&amp;"生成成长"),4))/(VLOOKUP(FH$72,INDIRECT($C$5&amp;"生成成长"),5))*(VLOOKUP($B$5,标准坦克设计!$B$24:$U$30,MATCH("对"&amp;LEFT($C$5,2)&amp;"输出",标准坦克设计!$B$23:$U$23,0)))*(VLOOKUP($B234,INDIRECT($B$5&amp;"生成成长"),3))*(VLOOKUP($B$5,标准坦克设计!$B$14:$K$20,9)/30))</f>
        <v>8.6801329921345758</v>
      </c>
      <c r="FI234" s="172">
        <f ca="1">(VLOOKUP(FI$72,INDIRECT($C$5&amp;"生成成长"),2))/((VLOOKUP($B234,INDIRECT($B$5&amp;"生成成长"),4))/(VLOOKUP(FI$72,INDIRECT($C$5&amp;"生成成长"),5))*(VLOOKUP($B$5,标准坦克设计!$B$24:$U$30,MATCH("对"&amp;LEFT($C$5,2)&amp;"输出",标准坦克设计!$B$23:$U$23,0)))*(VLOOKUP($B234,INDIRECT($B$5&amp;"生成成长"),3))*(VLOOKUP($B$5,标准坦克设计!$B$14:$K$20,9)/30))</f>
        <v>9.197051367662997</v>
      </c>
      <c r="FJ234" s="172">
        <f ca="1">(VLOOKUP(FJ$72,INDIRECT($C$5&amp;"生成成长"),2))/((VLOOKUP($B234,INDIRECT($B$5&amp;"生成成长"),4))/(VLOOKUP(FJ$72,INDIRECT($C$5&amp;"生成成长"),5))*(VLOOKUP($B$5,标准坦克设计!$B$24:$U$30,MATCH("对"&amp;LEFT($C$5,2)&amp;"输出",标准坦克设计!$B$23:$U$23,0)))*(VLOOKUP($B234,INDIRECT($B$5&amp;"生成成长"),3))*(VLOOKUP($B$5,标准坦克设计!$B$14:$K$20,9)/30))</f>
        <v>9.7289195516049158</v>
      </c>
      <c r="FK234" s="172">
        <f ca="1">(VLOOKUP(FK$72,INDIRECT($C$5&amp;"生成成长"),2))/((VLOOKUP($B234,INDIRECT($B$5&amp;"生成成长"),4))/(VLOOKUP(FK$72,INDIRECT($C$5&amp;"生成成长"),5))*(VLOOKUP($B$5,标准坦克设计!$B$24:$U$30,MATCH("对"&amp;LEFT($C$5,2)&amp;"输出",标准坦克设计!$B$23:$U$23,0)))*(VLOOKUP($B234,INDIRECT($B$5&amp;"生成成长"),3))*(VLOOKUP($B$5,标准坦克设计!$B$14:$K$20,9)/30))</f>
        <v>10.275737543960343</v>
      </c>
    </row>
    <row r="235" spans="1:167" x14ac:dyDescent="0.15">
      <c r="A235" s="170" t="str">
        <f t="shared" si="13"/>
        <v>T5高品质19级</v>
      </c>
      <c r="B235" s="171">
        <v>30519</v>
      </c>
      <c r="C235" s="172">
        <f ca="1">(VLOOKUP(C$72,INDIRECT($C$5&amp;"生成成长"),2))/((VLOOKUP($B235,INDIRECT($B$5&amp;"生成成长"),4))/(VLOOKUP(C$72,INDIRECT($C$5&amp;"生成成长"),5))*(VLOOKUP($B$5,标准坦克设计!$B$24:$U$30,MATCH("对"&amp;LEFT($C$5,2)&amp;"输出",标准坦克设计!$B$23:$U$23,0)))*(VLOOKUP($B235,INDIRECT($B$5&amp;"生成成长"),3))*(VLOOKUP($B$5,标准坦克设计!$B$14:$K$20,9)/30))</f>
        <v>0.41670434903740405</v>
      </c>
      <c r="D235" s="172">
        <f ca="1">(VLOOKUP(D$72,INDIRECT($C$5&amp;"生成成长"),2))/((VLOOKUP($B235,INDIRECT($B$5&amp;"生成成长"),4))/(VLOOKUP(D$72,INDIRECT($C$5&amp;"生成成长"),5))*(VLOOKUP($B$5,标准坦克设计!$B$24:$U$30,MATCH("对"&amp;LEFT($C$5,2)&amp;"输出",标准坦克设计!$B$23:$U$23,0)))*(VLOOKUP($B235,INDIRECT($B$5&amp;"生成成长"),3))*(VLOOKUP($B$5,标准坦克设计!$B$14:$K$20,9)/30))</f>
        <v>0.46820900657842712</v>
      </c>
      <c r="E235" s="172">
        <f ca="1">(VLOOKUP(E$72,INDIRECT($C$5&amp;"生成成长"),2))/((VLOOKUP($B235,INDIRECT($B$5&amp;"生成成长"),4))/(VLOOKUP(E$72,INDIRECT($C$5&amp;"生成成长"),5))*(VLOOKUP($B$5,标准坦克设计!$B$24:$U$30,MATCH("对"&amp;LEFT($C$5,2)&amp;"输出",标准坦克设计!$B$23:$U$23,0)))*(VLOOKUP($B235,INDIRECT($B$5&amp;"生成成长"),3))*(VLOOKUP($B$5,标准坦克设计!$B$14:$K$20,9)/30))</f>
        <v>0.52271393543251965</v>
      </c>
      <c r="F235" s="172">
        <f ca="1">(VLOOKUP(F$72,INDIRECT($C$5&amp;"生成成长"),2))/((VLOOKUP($B235,INDIRECT($B$5&amp;"生成成长"),4))/(VLOOKUP(F$72,INDIRECT($C$5&amp;"生成成长"),5))*(VLOOKUP($B$5,标准坦克设计!$B$24:$U$30,MATCH("对"&amp;LEFT($C$5,2)&amp;"输出",标准坦克设计!$B$23:$U$23,0)))*(VLOOKUP($B235,INDIRECT($B$5&amp;"生成成长"),3))*(VLOOKUP($B$5,标准坦克设计!$B$14:$K$20,9)/30))</f>
        <v>0.58021913559968141</v>
      </c>
      <c r="G235" s="172">
        <f ca="1">(VLOOKUP(G$72,INDIRECT($C$5&amp;"生成成长"),2))/((VLOOKUP($B235,INDIRECT($B$5&amp;"生成成长"),4))/(VLOOKUP(G$72,INDIRECT($C$5&amp;"生成成长"),5))*(VLOOKUP($B$5,标准坦克设计!$B$24:$U$30,MATCH("对"&amp;LEFT($C$5,2)&amp;"输出",标准坦克设计!$B$23:$U$23,0)))*(VLOOKUP($B235,INDIRECT($B$5&amp;"生成成长"),3))*(VLOOKUP($B$5,标准坦克设计!$B$14:$K$20,9)/30))</f>
        <v>0.64072460707991252</v>
      </c>
      <c r="H235" s="172">
        <f ca="1">(VLOOKUP(H$72,INDIRECT($C$5&amp;"生成成长"),2))/((VLOOKUP($B235,INDIRECT($B$5&amp;"生成成长"),4))/(VLOOKUP(H$72,INDIRECT($C$5&amp;"生成成长"),5))*(VLOOKUP($B$5,标准坦克设计!$B$24:$U$30,MATCH("对"&amp;LEFT($C$5,2)&amp;"输出",标准坦克设计!$B$23:$U$23,0)))*(VLOOKUP($B235,INDIRECT($B$5&amp;"生成成长"),3))*(VLOOKUP($B$5,标准坦克设计!$B$14:$K$20,9)/30))</f>
        <v>0.56071737206473082</v>
      </c>
      <c r="I235" s="172">
        <f ca="1">(VLOOKUP(I$72,INDIRECT($C$5&amp;"生成成长"),2))/((VLOOKUP($B235,INDIRECT($B$5&amp;"生成成长"),4))/(VLOOKUP(I$72,INDIRECT($C$5&amp;"生成成长"),5))*(VLOOKUP($B$5,标准坦克设计!$B$24:$U$30,MATCH("对"&amp;LEFT($C$5,2)&amp;"输出",标准坦克设计!$B$23:$U$23,0)))*(VLOOKUP($B235,INDIRECT($B$5&amp;"生成成长"),3))*(VLOOKUP($B$5,标准坦克设计!$B$14:$K$20,9)/30))</f>
        <v>0.64072460707991252</v>
      </c>
      <c r="J235" s="172">
        <f ca="1">(VLOOKUP(J$72,INDIRECT($C$5&amp;"生成成长"),2))/((VLOOKUP($B235,INDIRECT($B$5&amp;"生成成长"),4))/(VLOOKUP(J$72,INDIRECT($C$5&amp;"生成成长"),5))*(VLOOKUP($B$5,标准坦克设计!$B$24:$U$30,MATCH("对"&amp;LEFT($C$5,2)&amp;"输出",标准坦克设计!$B$23:$U$23,0)))*(VLOOKUP($B235,INDIRECT($B$5&amp;"生成成长"),3))*(VLOOKUP($B$5,标准坦克设计!$B$14:$K$20,9)/30))</f>
        <v>0.72606565776277288</v>
      </c>
      <c r="K235" s="172">
        <f ca="1">(VLOOKUP(K$72,INDIRECT($C$5&amp;"生成成长"),2))/((VLOOKUP($B235,INDIRECT($B$5&amp;"生成成长"),4))/(VLOOKUP(K$72,INDIRECT($C$5&amp;"生成成长"),5))*(VLOOKUP($B$5,标准坦克设计!$B$24:$U$30,MATCH("对"&amp;LEFT($C$5,2)&amp;"输出",标准坦克设计!$B$23:$U$23,0)))*(VLOOKUP($B235,INDIRECT($B$5&amp;"生成成长"),3))*(VLOOKUP($B$5,标准坦克设计!$B$14:$K$20,9)/30))</f>
        <v>0.81674052411331188</v>
      </c>
      <c r="L235" s="172">
        <f ca="1">(VLOOKUP(L$72,INDIRECT($C$5&amp;"生成成长"),2))/((VLOOKUP($B235,INDIRECT($B$5&amp;"生成成长"),4))/(VLOOKUP(L$72,INDIRECT($C$5&amp;"生成成长"),5))*(VLOOKUP($B$5,标准坦克设计!$B$24:$U$30,MATCH("对"&amp;LEFT($C$5,2)&amp;"输出",标准坦克设计!$B$23:$U$23,0)))*(VLOOKUP($B235,INDIRECT($B$5&amp;"生成成长"),3))*(VLOOKUP($B$5,标准坦克设计!$B$14:$K$20,9)/30))</f>
        <v>0.91274920613152977</v>
      </c>
      <c r="M235" s="172">
        <f ca="1">(VLOOKUP(M$72,INDIRECT($C$5&amp;"生成成长"),2))/((VLOOKUP($B235,INDIRECT($B$5&amp;"生成成长"),4))/(VLOOKUP(M$72,INDIRECT($C$5&amp;"生成成长"),5))*(VLOOKUP($B$5,标准坦克设计!$B$24:$U$30,MATCH("对"&amp;LEFT($C$5,2)&amp;"输出",标准坦克设计!$B$23:$U$23,0)))*(VLOOKUP($B235,INDIRECT($B$5&amp;"生成成长"),3))*(VLOOKUP($B$5,标准坦克设计!$B$14:$K$20,9)/30))</f>
        <v>1.0140917038174264</v>
      </c>
      <c r="N235" s="172">
        <f ca="1">(VLOOKUP(N$72,INDIRECT($C$5&amp;"生成成长"),2))/((VLOOKUP($B235,INDIRECT($B$5&amp;"生成成长"),4))/(VLOOKUP(N$72,INDIRECT($C$5&amp;"生成成长"),5))*(VLOOKUP($B$5,标准坦克设计!$B$24:$U$30,MATCH("对"&amp;LEFT($C$5,2)&amp;"输出",标准坦克设计!$B$23:$U$23,0)))*(VLOOKUP($B235,INDIRECT($B$5&amp;"生成成长"),3))*(VLOOKUP($B$5,标准坦克设计!$B$14:$K$20,9)/30))</f>
        <v>1.1207680171710019</v>
      </c>
      <c r="O235" s="172">
        <f ca="1">(VLOOKUP(O$72,INDIRECT($C$5&amp;"生成成长"),2))/((VLOOKUP($B235,INDIRECT($B$5&amp;"生成成长"),4))/(VLOOKUP(O$72,INDIRECT($C$5&amp;"生成成长"),5))*(VLOOKUP($B$5,标准坦克设计!$B$24:$U$30,MATCH("对"&amp;LEFT($C$5,2)&amp;"输出",标准坦克设计!$B$23:$U$23,0)))*(VLOOKUP($B235,INDIRECT($B$5&amp;"生成成长"),3))*(VLOOKUP($B$5,标准坦克设计!$B$14:$K$20,9)/30))</f>
        <v>0.85211872334658745</v>
      </c>
      <c r="P235" s="172">
        <f ca="1">(VLOOKUP(P$72,INDIRECT($C$5&amp;"生成成长"),2))/((VLOOKUP($B235,INDIRECT($B$5&amp;"生成成长"),4))/(VLOOKUP(P$72,INDIRECT($C$5&amp;"生成成长"),5))*(VLOOKUP($B$5,标准坦克设计!$B$24:$U$30,MATCH("对"&amp;LEFT($C$5,2)&amp;"输出",标准坦克设计!$B$23:$U$23,0)))*(VLOOKUP($B235,INDIRECT($B$5&amp;"生成成长"),3))*(VLOOKUP($B$5,标准坦克设计!$B$14:$K$20,9)/30))</f>
        <v>0.96275372801601833</v>
      </c>
      <c r="Q235" s="172">
        <f ca="1">(VLOOKUP(Q$72,INDIRECT($C$5&amp;"生成成长"),2))/((VLOOKUP($B235,INDIRECT($B$5&amp;"生成成长"),4))/(VLOOKUP(Q$72,INDIRECT($C$5&amp;"生成成长"),5))*(VLOOKUP($B$5,标准坦克设计!$B$24:$U$30,MATCH("对"&amp;LEFT($C$5,2)&amp;"输出",标准坦克设计!$B$23:$U$23,0)))*(VLOOKUP($B235,INDIRECT($B$5&amp;"生成成长"),3))*(VLOOKUP($B$5,标准坦克设计!$B$14:$K$20,9)/30))</f>
        <v>1.0801393431398547</v>
      </c>
      <c r="R235" s="172">
        <f ca="1">(VLOOKUP(R$72,INDIRECT($C$5&amp;"生成成长"),2))/((VLOOKUP($B235,INDIRECT($B$5&amp;"生成成长"),4))/(VLOOKUP(R$72,INDIRECT($C$5&amp;"生成成长"),5))*(VLOOKUP($B$5,标准坦克设计!$B$24:$U$30,MATCH("对"&amp;LEFT($C$5,2)&amp;"输出",标准坦克设计!$B$23:$U$23,0)))*(VLOOKUP($B235,INDIRECT($B$5&amp;"生成成长"),3))*(VLOOKUP($B$5,标准坦克设计!$B$14:$K$20,9)/30))</f>
        <v>1.2042755687180977</v>
      </c>
      <c r="S235" s="172">
        <f ca="1">(VLOOKUP(S$72,INDIRECT($C$5&amp;"生成成长"),2))/((VLOOKUP($B235,INDIRECT($B$5&amp;"生成成长"),4))/(VLOOKUP(S$72,INDIRECT($C$5&amp;"生成成长"),5))*(VLOOKUP($B$5,标准坦克设计!$B$24:$U$30,MATCH("对"&amp;LEFT($C$5,2)&amp;"输出",标准坦克设计!$B$23:$U$23,0)))*(VLOOKUP($B235,INDIRECT($B$5&amp;"生成成长"),3))*(VLOOKUP($B$5,标准坦克设计!$B$14:$K$20,9)/30))</f>
        <v>1.335162404750746</v>
      </c>
      <c r="T235" s="172">
        <f ca="1">(VLOOKUP(T$72,INDIRECT($C$5&amp;"生成成长"),2))/((VLOOKUP($B235,INDIRECT($B$5&amp;"生成成长"),4))/(VLOOKUP(T$72,INDIRECT($C$5&amp;"生成成长"),5))*(VLOOKUP($B$5,标准坦克设计!$B$24:$U$30,MATCH("对"&amp;LEFT($C$5,2)&amp;"输出",标准坦克设计!$B$23:$U$23,0)))*(VLOOKUP($B235,INDIRECT($B$5&amp;"生成成长"),3))*(VLOOKUP($B$5,标准坦克设计!$B$14:$K$20,9)/30))</f>
        <v>1.4727998512378004</v>
      </c>
      <c r="U235" s="172">
        <f ca="1">(VLOOKUP(U$72,INDIRECT($C$5&amp;"生成成长"),2))/((VLOOKUP($B235,INDIRECT($B$5&amp;"生成成长"),4))/(VLOOKUP(U$72,INDIRECT($C$5&amp;"生成成长"),5))*(VLOOKUP($B$5,标准坦克设计!$B$24:$U$30,MATCH("对"&amp;LEFT($C$5,2)&amp;"输出",标准坦克设计!$B$23:$U$23,0)))*(VLOOKUP($B235,INDIRECT($B$5&amp;"生成成长"),3))*(VLOOKUP($B$5,标准坦克设计!$B$14:$K$20,9)/30))</f>
        <v>1.6171879081792613</v>
      </c>
      <c r="V235" s="172">
        <f ca="1">(VLOOKUP(V$72,INDIRECT($C$5&amp;"生成成长"),2))/((VLOOKUP($B235,INDIRECT($B$5&amp;"生成成长"),4))/(VLOOKUP(V$72,INDIRECT($C$5&amp;"生成成长"),5))*(VLOOKUP($B$5,标准坦克设计!$B$24:$U$30,MATCH("对"&amp;LEFT($C$5,2)&amp;"输出",标准坦克设计!$B$23:$U$23,0)))*(VLOOKUP($B235,INDIRECT($B$5&amp;"生成成长"),3))*(VLOOKUP($B$5,标准坦克设计!$B$14:$K$20,9)/30))</f>
        <v>1.7683265755751278</v>
      </c>
      <c r="W235" s="172">
        <f ca="1">(VLOOKUP(W$72,INDIRECT($C$5&amp;"生成成长"),2))/((VLOOKUP($B235,INDIRECT($B$5&amp;"生成成长"),4))/(VLOOKUP(W$72,INDIRECT($C$5&amp;"生成成长"),5))*(VLOOKUP($B$5,标准坦克设计!$B$24:$U$30,MATCH("对"&amp;LEFT($C$5,2)&amp;"输出",标准坦克设计!$B$23:$U$23,0)))*(VLOOKUP($B235,INDIRECT($B$5&amp;"生成成长"),3))*(VLOOKUP($B$5,标准坦克设计!$B$14:$K$20,9)/30))</f>
        <v>1.9262158534253999</v>
      </c>
      <c r="X235" s="172">
        <f ca="1">(VLOOKUP(X$72,INDIRECT($C$5&amp;"生成成长"),2))/((VLOOKUP($B235,INDIRECT($B$5&amp;"生成成长"),4))/(VLOOKUP(X$72,INDIRECT($C$5&amp;"生成成长"),5))*(VLOOKUP($B$5,标准坦克设计!$B$24:$U$30,MATCH("对"&amp;LEFT($C$5,2)&amp;"输出",标准坦克设计!$B$23:$U$23,0)))*(VLOOKUP($B235,INDIRECT($B$5&amp;"生成成长"),3))*(VLOOKUP($B$5,标准坦克设计!$B$14:$K$20,9)/30))</f>
        <v>1.3955011944913622</v>
      </c>
      <c r="Y235" s="172">
        <f ca="1">(VLOOKUP(Y$72,INDIRECT($C$5&amp;"生成成长"),2))/((VLOOKUP($B235,INDIRECT($B$5&amp;"生成成长"),4))/(VLOOKUP(Y$72,INDIRECT($C$5&amp;"生成成长"),5))*(VLOOKUP($B$5,标准坦克设计!$B$24:$U$30,MATCH("对"&amp;LEFT($C$5,2)&amp;"输出",标准坦克设计!$B$23:$U$23,0)))*(VLOOKUP($B235,INDIRECT($B$5&amp;"生成成长"),3))*(VLOOKUP($B$5,标准坦克设计!$B$14:$K$20,9)/30))</f>
        <v>1.552182029729426</v>
      </c>
      <c r="Z235" s="172">
        <f ca="1">(VLOOKUP(Z$72,INDIRECT($C$5&amp;"生成成长"),2))/((VLOOKUP($B235,INDIRECT($B$5&amp;"生成成长"),4))/(VLOOKUP(Z$72,INDIRECT($C$5&amp;"生成成长"),5))*(VLOOKUP($B$5,标准坦克设计!$B$24:$U$30,MATCH("对"&amp;LEFT($C$5,2)&amp;"输出",标准坦克设计!$B$23:$U$23,0)))*(VLOOKUP($B235,INDIRECT($B$5&amp;"生成成长"),3))*(VLOOKUP($B$5,标准坦克设计!$B$14:$K$20,9)/30))</f>
        <v>1.7171969519482384</v>
      </c>
      <c r="AA235" s="172">
        <f ca="1">(VLOOKUP(AA$72,INDIRECT($C$5&amp;"生成成长"),2))/((VLOOKUP($B235,INDIRECT($B$5&amp;"生成成长"),4))/(VLOOKUP(AA$72,INDIRECT($C$5&amp;"生成成长"),5))*(VLOOKUP($B$5,标准坦克设计!$B$24:$U$30,MATCH("对"&amp;LEFT($C$5,2)&amp;"输出",标准坦克设计!$B$23:$U$23,0)))*(VLOOKUP($B235,INDIRECT($B$5&amp;"生成成长"),3))*(VLOOKUP($B$5,标准坦克设计!$B$14:$K$20,9)/30))</f>
        <v>1.8905459611477984</v>
      </c>
      <c r="AB235" s="172">
        <f ca="1">(VLOOKUP(AB$72,INDIRECT($C$5&amp;"生成成长"),2))/((VLOOKUP($B235,INDIRECT($B$5&amp;"生成成长"),4))/(VLOOKUP(AB$72,INDIRECT($C$5&amp;"生成成长"),5))*(VLOOKUP($B$5,标准坦克设计!$B$24:$U$30,MATCH("对"&amp;LEFT($C$5,2)&amp;"输出",标准坦克设计!$B$23:$U$23,0)))*(VLOOKUP($B235,INDIRECT($B$5&amp;"生成成长"),3))*(VLOOKUP($B$5,标准坦克设计!$B$14:$K$20,9)/30))</f>
        <v>2.0722290573281064</v>
      </c>
      <c r="AC235" s="172">
        <f ca="1">(VLOOKUP(AC$72,INDIRECT($C$5&amp;"生成成长"),2))/((VLOOKUP($B235,INDIRECT($B$5&amp;"生成成长"),4))/(VLOOKUP(AC$72,INDIRECT($C$5&amp;"生成成长"),5))*(VLOOKUP($B$5,标准坦克设计!$B$24:$U$30,MATCH("对"&amp;LEFT($C$5,2)&amp;"输出",标准坦克设计!$B$23:$U$23,0)))*(VLOOKUP($B235,INDIRECT($B$5&amp;"生成成长"),3))*(VLOOKUP($B$5,标准坦克设计!$B$14:$K$20,9)/30))</f>
        <v>2.2622462404891626</v>
      </c>
      <c r="AD235" s="172">
        <f ca="1">(VLOOKUP(AD$72,INDIRECT($C$5&amp;"生成成长"),2))/((VLOOKUP($B235,INDIRECT($B$5&amp;"生成成长"),4))/(VLOOKUP(AD$72,INDIRECT($C$5&amp;"生成成长"),5))*(VLOOKUP($B$5,标准坦克设计!$B$24:$U$30,MATCH("对"&amp;LEFT($C$5,2)&amp;"输出",标准坦克设计!$B$23:$U$23,0)))*(VLOOKUP($B235,INDIRECT($B$5&amp;"生成成长"),3))*(VLOOKUP($B$5,标准坦克设计!$B$14:$K$20,9)/30))</f>
        <v>2.4605975106309672</v>
      </c>
      <c r="AE235" s="172">
        <f ca="1">(VLOOKUP(AE$72,INDIRECT($C$5&amp;"生成成长"),2))/((VLOOKUP($B235,INDIRECT($B$5&amp;"生成成长"),4))/(VLOOKUP(AE$72,INDIRECT($C$5&amp;"生成成长"),5))*(VLOOKUP($B$5,标准坦克设计!$B$24:$U$30,MATCH("对"&amp;LEFT($C$5,2)&amp;"输出",标准坦克设计!$B$23:$U$23,0)))*(VLOOKUP($B235,INDIRECT($B$5&amp;"生成成长"),3))*(VLOOKUP($B$5,标准坦克设计!$B$14:$K$20,9)/30))</f>
        <v>2.667282867753519</v>
      </c>
      <c r="AF235" s="172">
        <f ca="1">(VLOOKUP(AF$72,INDIRECT($C$5&amp;"生成成长"),2))/((VLOOKUP($B235,INDIRECT($B$5&amp;"生成成长"),4))/(VLOOKUP(AF$72,INDIRECT($C$5&amp;"生成成长"),5))*(VLOOKUP($B$5,标准坦克设计!$B$24:$U$30,MATCH("对"&amp;LEFT($C$5,2)&amp;"输出",标准坦克设计!$B$23:$U$23,0)))*(VLOOKUP($B235,INDIRECT($B$5&amp;"生成成长"),3))*(VLOOKUP($B$5,标准坦克设计!$B$14:$K$20,9)/30))</f>
        <v>2.8823023118568196</v>
      </c>
      <c r="AG235" s="172">
        <f ca="1">(VLOOKUP(AG$72,INDIRECT($C$5&amp;"生成成长"),2))/((VLOOKUP($B235,INDIRECT($B$5&amp;"生成成长"),4))/(VLOOKUP(AG$72,INDIRECT($C$5&amp;"生成成长"),5))*(VLOOKUP($B$5,标准坦克设计!$B$24:$U$30,MATCH("对"&amp;LEFT($C$5,2)&amp;"输出",标准坦克设计!$B$23:$U$23,0)))*(VLOOKUP($B235,INDIRECT($B$5&amp;"生成成长"),3))*(VLOOKUP($B$5,标准坦克设计!$B$14:$K$20,9)/30))</f>
        <v>3.1056558429408687</v>
      </c>
      <c r="AH235" s="172">
        <f ca="1">(VLOOKUP(AH$72,INDIRECT($C$5&amp;"生成成长"),2))/((VLOOKUP($B235,INDIRECT($B$5&amp;"生成成长"),4))/(VLOOKUP(AH$72,INDIRECT($C$5&amp;"生成成长"),5))*(VLOOKUP($B$5,标准坦克设计!$B$24:$U$30,MATCH("对"&amp;LEFT($C$5,2)&amp;"输出",标准坦克设计!$B$23:$U$23,0)))*(VLOOKUP($B235,INDIRECT($B$5&amp;"生成成长"),3))*(VLOOKUP($B$5,标准坦克设计!$B$14:$K$20,9)/30))</f>
        <v>3.3373434610056649</v>
      </c>
      <c r="AI235" s="172">
        <f ca="1">(VLOOKUP(AI$72,INDIRECT($C$5&amp;"生成成长"),2))/((VLOOKUP($B235,INDIRECT($B$5&amp;"生成成长"),4))/(VLOOKUP(AI$72,INDIRECT($C$5&amp;"生成成长"),5))*(VLOOKUP($B$5,标准坦克设计!$B$24:$U$30,MATCH("对"&amp;LEFT($C$5,2)&amp;"输出",标准坦克设计!$B$23:$U$23,0)))*(VLOOKUP($B235,INDIRECT($B$5&amp;"生成成长"),3))*(VLOOKUP($B$5,标准坦克设计!$B$14:$K$20,9)/30))</f>
        <v>2.3603801146874712</v>
      </c>
      <c r="AJ235" s="172">
        <f ca="1">(VLOOKUP(AJ$72,INDIRECT($C$5&amp;"生成成长"),2))/((VLOOKUP($B235,INDIRECT($B$5&amp;"生成成长"),4))/(VLOOKUP(AJ$72,INDIRECT($C$5&amp;"生成成长"),5))*(VLOOKUP($B$5,标准坦克设计!$B$24:$U$30,MATCH("对"&amp;LEFT($C$5,2)&amp;"输出",标准坦克设计!$B$23:$U$23,0)))*(VLOOKUP($B235,INDIRECT($B$5&amp;"生成成长"),3))*(VLOOKUP($B$5,标准坦克设计!$B$14:$K$20,9)/30))</f>
        <v>2.5836086344668088</v>
      </c>
      <c r="AK235" s="172">
        <f ca="1">(VLOOKUP(AK$72,INDIRECT($C$5&amp;"生成成长"),2))/((VLOOKUP($B235,INDIRECT($B$5&amp;"生成成长"),4))/(VLOOKUP(AK$72,INDIRECT($C$5&amp;"生成成长"),5))*(VLOOKUP($B$5,标准坦克设计!$B$24:$U$30,MATCH("对"&amp;LEFT($C$5,2)&amp;"输出",标准坦克设计!$B$23:$U$23,0)))*(VLOOKUP($B235,INDIRECT($B$5&amp;"生成成长"),3))*(VLOOKUP($B$5,标准坦克设计!$B$14:$K$20,9)/30))</f>
        <v>2.816921399492851</v>
      </c>
      <c r="AL235" s="172">
        <f ca="1">(VLOOKUP(AL$72,INDIRECT($C$5&amp;"生成成长"),2))/((VLOOKUP($B235,INDIRECT($B$5&amp;"生成成长"),4))/(VLOOKUP(AL$72,INDIRECT($C$5&amp;"生成成长"),5))*(VLOOKUP($B$5,标准坦克设计!$B$24:$U$30,MATCH("对"&amp;LEFT($C$5,2)&amp;"输出",标准坦克设计!$B$23:$U$23,0)))*(VLOOKUP($B235,INDIRECT($B$5&amp;"生成成长"),3))*(VLOOKUP($B$5,标准坦克设计!$B$14:$K$20,9)/30))</f>
        <v>3.0603184097655989</v>
      </c>
      <c r="AM235" s="172">
        <f ca="1">(VLOOKUP(AM$72,INDIRECT($C$5&amp;"生成成长"),2))/((VLOOKUP($B235,INDIRECT($B$5&amp;"生成成长"),4))/(VLOOKUP(AM$72,INDIRECT($C$5&amp;"生成成长"),5))*(VLOOKUP($B$5,标准坦克设计!$B$24:$U$30,MATCH("对"&amp;LEFT($C$5,2)&amp;"输出",标准坦克设计!$B$23:$U$23,0)))*(VLOOKUP($B235,INDIRECT($B$5&amp;"生成成长"),3))*(VLOOKUP($B$5,标准坦克设计!$B$14:$K$20,9)/30))</f>
        <v>3.3137996652850519</v>
      </c>
      <c r="AN235" s="172">
        <f ca="1">(VLOOKUP(AN$72,INDIRECT($C$5&amp;"生成成长"),2))/((VLOOKUP($B235,INDIRECT($B$5&amp;"生成成长"),4))/(VLOOKUP(AN$72,INDIRECT($C$5&amp;"生成成长"),5))*(VLOOKUP($B$5,标准坦克设计!$B$24:$U$30,MATCH("对"&amp;LEFT($C$5,2)&amp;"输出",标准坦克设计!$B$23:$U$23,0)))*(VLOOKUP($B235,INDIRECT($B$5&amp;"生成成长"),3))*(VLOOKUP($B$5,标准坦克设计!$B$14:$K$20,9)/30))</f>
        <v>3.5773651660512096</v>
      </c>
      <c r="AO235" s="172">
        <f ca="1">(VLOOKUP(AO$72,INDIRECT($C$5&amp;"生成成长"),2))/((VLOOKUP($B235,INDIRECT($B$5&amp;"生成成长"),4))/(VLOOKUP(AO$72,INDIRECT($C$5&amp;"生成成长"),5))*(VLOOKUP($B$5,标准坦克设计!$B$24:$U$30,MATCH("对"&amp;LEFT($C$5,2)&amp;"输出",标准坦克设计!$B$23:$U$23,0)))*(VLOOKUP($B235,INDIRECT($B$5&amp;"生成成长"),3))*(VLOOKUP($B$5,标准坦克设计!$B$14:$K$20,9)/30))</f>
        <v>3.8510149120640733</v>
      </c>
      <c r="AP235" s="172">
        <f ca="1">(VLOOKUP(AP$72,INDIRECT($C$5&amp;"生成成长"),2))/((VLOOKUP($B235,INDIRECT($B$5&amp;"生成成长"),4))/(VLOOKUP(AP$72,INDIRECT($C$5&amp;"生成成长"),5))*(VLOOKUP($B$5,标准坦克设计!$B$24:$U$30,MATCH("对"&amp;LEFT($C$5,2)&amp;"输出",标准坦克设计!$B$23:$U$23,0)))*(VLOOKUP($B235,INDIRECT($B$5&amp;"生成成长"),3))*(VLOOKUP($B$5,标准坦克设计!$B$14:$K$20,9)/30))</f>
        <v>4.1347489033236418</v>
      </c>
      <c r="AQ235" s="172">
        <f ca="1">(VLOOKUP(AQ$72,INDIRECT($C$5&amp;"生成成长"),2))/((VLOOKUP($B235,INDIRECT($B$5&amp;"生成成长"),4))/(VLOOKUP(AQ$72,INDIRECT($C$5&amp;"生成成长"),5))*(VLOOKUP($B$5,标准坦克设计!$B$24:$U$30,MATCH("对"&amp;LEFT($C$5,2)&amp;"输出",标准坦克设计!$B$23:$U$23,0)))*(VLOOKUP($B235,INDIRECT($B$5&amp;"生成成长"),3))*(VLOOKUP($B$5,标准坦克设计!$B$14:$K$20,9)/30))</f>
        <v>4.4285671398299149</v>
      </c>
      <c r="AR235" s="172">
        <f ca="1">(VLOOKUP(AR$72,INDIRECT($C$5&amp;"生成成长"),2))/((VLOOKUP($B235,INDIRECT($B$5&amp;"生成成长"),4))/(VLOOKUP(AR$72,INDIRECT($C$5&amp;"生成成长"),5))*(VLOOKUP($B$5,标准坦克设计!$B$24:$U$30,MATCH("对"&amp;LEFT($C$5,2)&amp;"输出",标准坦克设计!$B$23:$U$23,0)))*(VLOOKUP($B235,INDIRECT($B$5&amp;"生成成长"),3))*(VLOOKUP($B$5,标准坦克设计!$B$14:$K$20,9)/30))</f>
        <v>4.7324696215828927</v>
      </c>
      <c r="AS235" s="172">
        <f ca="1">(VLOOKUP(AS$72,INDIRECT($C$5&amp;"生成成长"),2))/((VLOOKUP($B235,INDIRECT($B$5&amp;"生成成长"),4))/(VLOOKUP(AS$72,INDIRECT($C$5&amp;"生成成长"),5))*(VLOOKUP($B$5,标准坦克设计!$B$24:$U$30,MATCH("对"&amp;LEFT($C$5,2)&amp;"输出",标准坦克设计!$B$23:$U$23,0)))*(VLOOKUP($B235,INDIRECT($B$5&amp;"生成成长"),3))*(VLOOKUP($B$5,标准坦克设计!$B$14:$K$20,9)/30))</f>
        <v>5.046456348582578</v>
      </c>
      <c r="AT235" s="172">
        <f ca="1">(VLOOKUP(AT$72,INDIRECT($C$5&amp;"生成成长"),2))/((VLOOKUP($B235,INDIRECT($B$5&amp;"生成成长"),4))/(VLOOKUP(AT$72,INDIRECT($C$5&amp;"生成成长"),5))*(VLOOKUP($B$5,标准坦克设计!$B$24:$U$30,MATCH("对"&amp;LEFT($C$5,2)&amp;"输出",标准坦克设计!$B$23:$U$23,0)))*(VLOOKUP($B235,INDIRECT($B$5&amp;"生成成长"),3))*(VLOOKUP($B$5,标准坦克设计!$B$14:$K$20,9)/30))</f>
        <v>5.3705273208289661</v>
      </c>
      <c r="AU235" s="172">
        <f ca="1">(VLOOKUP(AU$72,INDIRECT($C$5&amp;"生成成长"),2))/((VLOOKUP($B235,INDIRECT($B$5&amp;"生成成长"),4))/(VLOOKUP(AU$72,INDIRECT($C$5&amp;"生成成长"),5))*(VLOOKUP($B$5,标准坦克设计!$B$24:$U$30,MATCH("对"&amp;LEFT($C$5,2)&amp;"输出",标准坦克设计!$B$23:$U$23,0)))*(VLOOKUP($B235,INDIRECT($B$5&amp;"生成成长"),3))*(VLOOKUP($B$5,标准坦克设计!$B$14:$K$20,9)/30))</f>
        <v>5.7046825383220616</v>
      </c>
      <c r="AV235" s="172">
        <f ca="1">(VLOOKUP(AV$72,INDIRECT($C$5&amp;"生成成长"),2))/((VLOOKUP($B235,INDIRECT($B$5&amp;"生成成长"),4))/(VLOOKUP(AV$72,INDIRECT($C$5&amp;"生成成长"),5))*(VLOOKUP($B$5,标准坦克设计!$B$24:$U$30,MATCH("对"&amp;LEFT($C$5,2)&amp;"输出",标准坦克设计!$B$23:$U$23,0)))*(VLOOKUP($B235,INDIRECT($B$5&amp;"生成成长"),3))*(VLOOKUP($B$5,标准坦克设计!$B$14:$K$20,9)/30))</f>
        <v>0.58021913559968141</v>
      </c>
      <c r="AW235" s="172">
        <f ca="1">(VLOOKUP(AW$72,INDIRECT($C$5&amp;"生成成长"),2))/((VLOOKUP($B235,INDIRECT($B$5&amp;"生成成长"),4))/(VLOOKUP(AW$72,INDIRECT($C$5&amp;"生成成长"),5))*(VLOOKUP($B$5,标准坦克设计!$B$24:$U$30,MATCH("对"&amp;LEFT($C$5,2)&amp;"输出",标准坦克设计!$B$23:$U$23,0)))*(VLOOKUP($B235,INDIRECT($B$5&amp;"生成成长"),3))*(VLOOKUP($B$5,标准坦克设计!$B$14:$K$20,9)/30))</f>
        <v>0.66155982453178253</v>
      </c>
      <c r="AX235" s="172">
        <f ca="1">(VLOOKUP(AX$72,INDIRECT($C$5&amp;"生成成长"),2))/((VLOOKUP($B235,INDIRECT($B$5&amp;"生成成长"),4))/(VLOOKUP(AX$72,INDIRECT($C$5&amp;"生成成长"),5))*(VLOOKUP($B$5,标准坦克设计!$B$24:$U$30,MATCH("对"&amp;LEFT($C$5,2)&amp;"输出",标准坦克设计!$B$23:$U$23,0)))*(VLOOKUP($B235,INDIRECT($B$5&amp;"生成成长"),3))*(VLOOKUP($B$5,标准坦克设计!$B$14:$K$20,9)/30))</f>
        <v>0.74823432913156274</v>
      </c>
      <c r="AY235" s="172">
        <f ca="1">(VLOOKUP(AY$72,INDIRECT($C$5&amp;"生成成长"),2))/((VLOOKUP($B235,INDIRECT($B$5&amp;"生成成长"),4))/(VLOOKUP(AY$72,INDIRECT($C$5&amp;"生成成长"),5))*(VLOOKUP($B$5,标准坦克设计!$B$24:$U$30,MATCH("对"&amp;LEFT($C$5,2)&amp;"输出",标准坦克设计!$B$23:$U$23,0)))*(VLOOKUP($B235,INDIRECT($B$5&amp;"生成成长"),3))*(VLOOKUP($B$5,标准坦克设计!$B$14:$K$20,9)/30))</f>
        <v>0.84024264939902138</v>
      </c>
      <c r="AZ235" s="172">
        <f ca="1">(VLOOKUP(AZ$72,INDIRECT($C$5&amp;"生成成长"),2))/((VLOOKUP($B235,INDIRECT($B$5&amp;"生成成长"),4))/(VLOOKUP(AZ$72,INDIRECT($C$5&amp;"生成成长"),5))*(VLOOKUP($B$5,标准坦克设计!$B$24:$U$30,MATCH("对"&amp;LEFT($C$5,2)&amp;"输出",标准坦克设计!$B$23:$U$23,0)))*(VLOOKUP($B235,INDIRECT($B$5&amp;"生成成长"),3))*(VLOOKUP($B$5,标准坦克设计!$B$14:$K$20,9)/30))</f>
        <v>0.93758478533415901</v>
      </c>
      <c r="BA235" s="172">
        <f ca="1">(VLOOKUP(BA$72,INDIRECT($C$5&amp;"生成成长"),2))/((VLOOKUP($B235,INDIRECT($B$5&amp;"生成成长"),4))/(VLOOKUP(BA$72,INDIRECT($C$5&amp;"生成成长"),5))*(VLOOKUP($B$5,标准坦克设计!$B$24:$U$30,MATCH("对"&amp;LEFT($C$5,2)&amp;"输出",标准坦克设计!$B$23:$U$23,0)))*(VLOOKUP($B235,INDIRECT($B$5&amp;"生成成长"),3))*(VLOOKUP($B$5,标准坦克设计!$B$14:$K$20,9)/30))</f>
        <v>1.0402607369369756</v>
      </c>
      <c r="BB235" s="172">
        <f ca="1">(VLOOKUP(BB$72,INDIRECT($C$5&amp;"生成成长"),2))/((VLOOKUP($B235,INDIRECT($B$5&amp;"生成成长"),4))/(VLOOKUP(BB$72,INDIRECT($C$5&amp;"生成成长"),5))*(VLOOKUP($B$5,标准坦克设计!$B$24:$U$30,MATCH("对"&amp;LEFT($C$5,2)&amp;"输出",标准坦克设计!$B$23:$U$23,0)))*(VLOOKUP($B235,INDIRECT($B$5&amp;"生成成长"),3))*(VLOOKUP($B$5,标准坦克设计!$B$14:$K$20,9)/30))</f>
        <v>1.1482705042074706</v>
      </c>
      <c r="BC235" s="172">
        <f ca="1">(VLOOKUP(BC$72,INDIRECT($C$5&amp;"生成成长"),2))/((VLOOKUP($B235,INDIRECT($B$5&amp;"生成成长"),4))/(VLOOKUP(BC$72,INDIRECT($C$5&amp;"生成成长"),5))*(VLOOKUP($B$5,标准坦克设计!$B$24:$U$30,MATCH("对"&amp;LEFT($C$5,2)&amp;"输出",标准坦克设计!$B$23:$U$23,0)))*(VLOOKUP($B235,INDIRECT($B$5&amp;"生成成长"),3))*(VLOOKUP($B$5,标准坦克设计!$B$14:$K$20,9)/30))</f>
        <v>1.2616140871456445</v>
      </c>
      <c r="BD235" s="172">
        <f ca="1">(VLOOKUP(BD$72,INDIRECT($C$5&amp;"生成成长"),2))/((VLOOKUP($B235,INDIRECT($B$5&amp;"生成成长"),4))/(VLOOKUP(BD$72,INDIRECT($C$5&amp;"生成成长"),5))*(VLOOKUP($B$5,标准坦克设计!$B$24:$U$30,MATCH("对"&amp;LEFT($C$5,2)&amp;"输出",标准坦克设计!$B$23:$U$23,0)))*(VLOOKUP($B235,INDIRECT($B$5&amp;"生成成长"),3))*(VLOOKUP($B$5,标准坦克设计!$B$14:$K$20,9)/30))</f>
        <v>1.3955011944913622</v>
      </c>
      <c r="BE235" s="172">
        <f ca="1">(VLOOKUP(BE$72,INDIRECT($C$5&amp;"生成成长"),2))/((VLOOKUP($B235,INDIRECT($B$5&amp;"生成成长"),4))/(VLOOKUP(BE$72,INDIRECT($C$5&amp;"生成成长"),5))*(VLOOKUP($B$5,标准坦克设计!$B$24:$U$30,MATCH("对"&amp;LEFT($C$5,2)&amp;"输出",标准坦克设计!$B$23:$U$23,0)))*(VLOOKUP($B235,INDIRECT($B$5&amp;"生成成长"),3))*(VLOOKUP($B$5,标准坦克设计!$B$14:$K$20,9)/30))</f>
        <v>1.5361389122914861</v>
      </c>
      <c r="BF235" s="172">
        <f ca="1">(VLOOKUP(BF$72,INDIRECT($C$5&amp;"生成成长"),2))/((VLOOKUP($B235,INDIRECT($B$5&amp;"生成成长"),4))/(VLOOKUP(BF$72,INDIRECT($C$5&amp;"生成成长"),5))*(VLOOKUP($B$5,标准坦克设计!$B$24:$U$30,MATCH("对"&amp;LEFT($C$5,2)&amp;"输出",标准坦克设计!$B$23:$U$23,0)))*(VLOOKUP($B235,INDIRECT($B$5&amp;"生成成长"),3))*(VLOOKUP($B$5,标准坦克设计!$B$14:$K$20,9)/30))</f>
        <v>1.683527240546016</v>
      </c>
      <c r="BG235" s="172">
        <f ca="1">(VLOOKUP(BG$72,INDIRECT($C$5&amp;"生成成长"),2))/((VLOOKUP($B235,INDIRECT($B$5&amp;"生成成长"),4))/(VLOOKUP(BG$72,INDIRECT($C$5&amp;"生成成长"),5))*(VLOOKUP($B$5,标准坦克设计!$B$24:$U$30,MATCH("对"&amp;LEFT($C$5,2)&amp;"输出",标准坦克设计!$B$23:$U$23,0)))*(VLOOKUP($B235,INDIRECT($B$5&amp;"生成成长"),3))*(VLOOKUP($B$5,标准坦克设计!$B$14:$K$20,9)/30))</f>
        <v>1.837666179254952</v>
      </c>
      <c r="BH235" s="172">
        <f ca="1">(VLOOKUP(BH$72,INDIRECT($C$5&amp;"生成成长"),2))/((VLOOKUP($B235,INDIRECT($B$5&amp;"生成成长"),4))/(VLOOKUP(BH$72,INDIRECT($C$5&amp;"生成成长"),5))*(VLOOKUP($B$5,标准坦克设计!$B$24:$U$30,MATCH("对"&amp;LEFT($C$5,2)&amp;"输出",标准坦克设计!$B$23:$U$23,0)))*(VLOOKUP($B235,INDIRECT($B$5&amp;"生成成长"),3))*(VLOOKUP($B$5,标准坦克设计!$B$14:$K$20,9)/30))</f>
        <v>0.88824699040813038</v>
      </c>
      <c r="BI235" s="172">
        <f ca="1">(VLOOKUP(BI$72,INDIRECT($C$5&amp;"生成成长"),2))/((VLOOKUP($B235,INDIRECT($B$5&amp;"生成成长"),4))/(VLOOKUP(BI$72,INDIRECT($C$5&amp;"生成成长"),5))*(VLOOKUP($B$5,标准坦克设计!$B$24:$U$30,MATCH("对"&amp;LEFT($C$5,2)&amp;"输出",标准坦克设计!$B$23:$U$23,0)))*(VLOOKUP($B235,INDIRECT($B$5&amp;"生成成长"),3))*(VLOOKUP($B$5,标准坦克设计!$B$14:$K$20,9)/30))</f>
        <v>1.0011321985623631</v>
      </c>
      <c r="BJ235" s="172">
        <f ca="1">(VLOOKUP(BJ$72,INDIRECT($C$5&amp;"生成成长"),2))/((VLOOKUP($B235,INDIRECT($B$5&amp;"生成成长"),4))/(VLOOKUP(BJ$72,INDIRECT($C$5&amp;"生成成长"),5))*(VLOOKUP($B$5,标准坦克设计!$B$24:$U$30,MATCH("对"&amp;LEFT($C$5,2)&amp;"输出",标准坦克设计!$B$23:$U$23,0)))*(VLOOKUP($B235,INDIRECT($B$5&amp;"生成成长"),3))*(VLOOKUP($B$5,标准坦克设计!$B$14:$K$20,9)/30))</f>
        <v>1.1207680171710019</v>
      </c>
      <c r="BK235" s="172">
        <f ca="1">(VLOOKUP(BK$72,INDIRECT($C$5&amp;"生成成长"),2))/((VLOOKUP($B235,INDIRECT($B$5&amp;"生成成长"),4))/(VLOOKUP(BK$72,INDIRECT($C$5&amp;"生成成长"),5))*(VLOOKUP($B$5,标准坦克设计!$B$24:$U$30,MATCH("对"&amp;LEFT($C$5,2)&amp;"输出",标准坦克设计!$B$23:$U$23,0)))*(VLOOKUP($B235,INDIRECT($B$5&amp;"生成成长"),3))*(VLOOKUP($B$5,标准坦克设计!$B$14:$K$20,9)/30))</f>
        <v>1.2471544462340465</v>
      </c>
      <c r="BL235" s="172">
        <f ca="1">(VLOOKUP(BL$72,INDIRECT($C$5&amp;"生成成长"),2))/((VLOOKUP($B235,INDIRECT($B$5&amp;"生成成长"),4))/(VLOOKUP(BL$72,INDIRECT($C$5&amp;"生成成长"),5))*(VLOOKUP($B$5,标准坦克设计!$B$24:$U$30,MATCH("对"&amp;LEFT($C$5,2)&amp;"输出",标准坦克设计!$B$23:$U$23,0)))*(VLOOKUP($B235,INDIRECT($B$5&amp;"生成成长"),3))*(VLOOKUP($B$5,标准坦克设计!$B$14:$K$20,9)/30))</f>
        <v>1.380291485751497</v>
      </c>
      <c r="BM235" s="172">
        <f ca="1">(VLOOKUP(BM$72,INDIRECT($C$5&amp;"生成成长"),2))/((VLOOKUP($B235,INDIRECT($B$5&amp;"生成成长"),4))/(VLOOKUP(BM$72,INDIRECT($C$5&amp;"生成成长"),5))*(VLOOKUP($B$5,标准坦克设计!$B$24:$U$30,MATCH("对"&amp;LEFT($C$5,2)&amp;"输出",标准坦克设计!$B$23:$U$23,0)))*(VLOOKUP($B235,INDIRECT($B$5&amp;"生成成长"),3))*(VLOOKUP($B$5,标准坦克设计!$B$14:$K$20,9)/30))</f>
        <v>1.5201791357233536</v>
      </c>
      <c r="BN235" s="172">
        <f ca="1">(VLOOKUP(BN$72,INDIRECT($C$5&amp;"生成成长"),2))/((VLOOKUP($B235,INDIRECT($B$5&amp;"生成成长"),4))/(VLOOKUP(BN$72,INDIRECT($C$5&amp;"生成成长"),5))*(VLOOKUP($B$5,标准坦克设计!$B$24:$U$30,MATCH("对"&amp;LEFT($C$5,2)&amp;"输出",标准坦克设计!$B$23:$U$23,0)))*(VLOOKUP($B235,INDIRECT($B$5&amp;"生成成长"),3))*(VLOOKUP($B$5,标准坦克设计!$B$14:$K$20,9)/30))</f>
        <v>1.6668173961496162</v>
      </c>
      <c r="BO235" s="172">
        <f ca="1">(VLOOKUP(BO$72,INDIRECT($C$5&amp;"生成成长"),2))/((VLOOKUP($B235,INDIRECT($B$5&amp;"生成成长"),4))/(VLOOKUP(BO$72,INDIRECT($C$5&amp;"生成成长"),5))*(VLOOKUP($B$5,标准坦克设计!$B$24:$U$30,MATCH("对"&amp;LEFT($C$5,2)&amp;"输出",标准坦克设计!$B$23:$U$23,0)))*(VLOOKUP($B235,INDIRECT($B$5&amp;"生成成长"),3))*(VLOOKUP($B$5,标准坦克设计!$B$14:$K$20,9)/30))</f>
        <v>1.8202062670302843</v>
      </c>
      <c r="BP235" s="172">
        <f ca="1">(VLOOKUP(BP$72,INDIRECT($C$5&amp;"生成成长"),2))/((VLOOKUP($B235,INDIRECT($B$5&amp;"生成成长"),4))/(VLOOKUP(BP$72,INDIRECT($C$5&amp;"生成成长"),5))*(VLOOKUP($B$5,标准坦克设计!$B$24:$U$30,MATCH("对"&amp;LEFT($C$5,2)&amp;"输出",标准坦克设计!$B$23:$U$23,0)))*(VLOOKUP($B235,INDIRECT($B$5&amp;"生成成长"),3))*(VLOOKUP($B$5,标准坦克设计!$B$14:$K$20,9)/30))</f>
        <v>1.9803457483653588</v>
      </c>
      <c r="BQ235" s="172">
        <f ca="1">(VLOOKUP(BQ$72,INDIRECT($C$5&amp;"生成成长"),2))/((VLOOKUP($B235,INDIRECT($B$5&amp;"生成成长"),4))/(VLOOKUP(BQ$72,INDIRECT($C$5&amp;"生成成长"),5))*(VLOOKUP($B$5,标准坦克设计!$B$24:$U$30,MATCH("对"&amp;LEFT($C$5,2)&amp;"输出",标准坦克设计!$B$23:$U$23,0)))*(VLOOKUP($B235,INDIRECT($B$5&amp;"生成成长"),3))*(VLOOKUP($B$5,标准坦克设计!$B$14:$K$20,9)/30))</f>
        <v>2.1472358401548393</v>
      </c>
      <c r="BR235" s="172">
        <f ca="1">(VLOOKUP(BR$72,INDIRECT($C$5&amp;"生成成长"),2))/((VLOOKUP($B235,INDIRECT($B$5&amp;"生成成长"),4))/(VLOOKUP(BR$72,INDIRECT($C$5&amp;"生成成长"),5))*(VLOOKUP($B$5,标准坦克设计!$B$24:$U$30,MATCH("对"&amp;LEFT($C$5,2)&amp;"输出",标准坦克设计!$B$23:$U$23,0)))*(VLOOKUP($B235,INDIRECT($B$5&amp;"生成成长"),3))*(VLOOKUP($B$5,标准坦克设计!$B$14:$K$20,9)/30))</f>
        <v>2.3405866581081942</v>
      </c>
      <c r="BS235" s="172">
        <f ca="1">(VLOOKUP(BS$72,INDIRECT($C$5&amp;"生成成长"),2))/((VLOOKUP($B235,INDIRECT($B$5&amp;"生成成长"),4))/(VLOOKUP(BS$72,INDIRECT($C$5&amp;"生成成长"),5))*(VLOOKUP($B$5,标准坦克设计!$B$24:$U$30,MATCH("对"&amp;LEFT($C$5,2)&amp;"输出",标准坦克设计!$B$23:$U$23,0)))*(VLOOKUP($B235,INDIRECT($B$5&amp;"生成成长"),3))*(VLOOKUP($B$5,标准坦克设计!$B$14:$K$20,9)/30))</f>
        <v>2.5422715630422981</v>
      </c>
      <c r="BT235" s="172">
        <f ca="1">(VLOOKUP(BT$72,INDIRECT($C$5&amp;"生成成长"),2))/((VLOOKUP($B235,INDIRECT($B$5&amp;"生成成长"),4))/(VLOOKUP(BT$72,INDIRECT($C$5&amp;"生成成长"),5))*(VLOOKUP($B$5,标准坦克设计!$B$24:$U$30,MATCH("对"&amp;LEFT($C$5,2)&amp;"输出",标准坦克设计!$B$23:$U$23,0)))*(VLOOKUP($B235,INDIRECT($B$5&amp;"生成成长"),3))*(VLOOKUP($B$5,标准坦克设计!$B$14:$K$20,9)/30))</f>
        <v>2.7522905549571499</v>
      </c>
      <c r="BU235" s="172">
        <f ca="1">(VLOOKUP(BU$72,INDIRECT($C$5&amp;"生成成长"),2))/((VLOOKUP($B235,INDIRECT($B$5&amp;"生成成长"),4))/(VLOOKUP(BU$72,INDIRECT($C$5&amp;"生成成长"),5))*(VLOOKUP($B$5,标准坦克设计!$B$24:$U$30,MATCH("对"&amp;LEFT($C$5,2)&amp;"输出",标准坦克设计!$B$23:$U$23,0)))*(VLOOKUP($B235,INDIRECT($B$5&amp;"生成成长"),3))*(VLOOKUP($B$5,标准坦克设计!$B$14:$K$20,9)/30))</f>
        <v>2.9706436338527498</v>
      </c>
      <c r="BV235" s="172">
        <f ca="1">(VLOOKUP(BV$72,INDIRECT($C$5&amp;"生成成长"),2))/((VLOOKUP($B235,INDIRECT($B$5&amp;"生成成长"),4))/(VLOOKUP(BV$72,INDIRECT($C$5&amp;"生成成长"),5))*(VLOOKUP($B$5,标准坦克设计!$B$24:$U$30,MATCH("对"&amp;LEFT($C$5,2)&amp;"输出",标准坦克设计!$B$23:$U$23,0)))*(VLOOKUP($B235,INDIRECT($B$5&amp;"生成成长"),3))*(VLOOKUP($B$5,标准坦克设计!$B$14:$K$20,9)/30))</f>
        <v>3.1973307997290972</v>
      </c>
      <c r="BW235" s="172">
        <f ca="1">(VLOOKUP(BW$72,INDIRECT($C$5&amp;"生成成长"),2))/((VLOOKUP($B235,INDIRECT($B$5&amp;"生成成长"),4))/(VLOOKUP(BW$72,INDIRECT($C$5&amp;"生成成长"),5))*(VLOOKUP($B$5,标准坦克设计!$B$24:$U$30,MATCH("对"&amp;LEFT($C$5,2)&amp;"输出",标准坦克设计!$B$23:$U$23,0)))*(VLOOKUP($B235,INDIRECT($B$5&amp;"生成成长"),3))*(VLOOKUP($B$5,标准坦克设计!$B$14:$K$20,9)/30))</f>
        <v>1.4571734381488983</v>
      </c>
      <c r="BX235" s="172">
        <f ca="1">(VLOOKUP(BX$72,INDIRECT($C$5&amp;"生成成长"),2))/((VLOOKUP($B235,INDIRECT($B$5&amp;"生成成长"),4))/(VLOOKUP(BX$72,INDIRECT($C$5&amp;"生成成长"),5))*(VLOOKUP($B$5,标准坦克设计!$B$24:$U$30,MATCH("对"&amp;LEFT($C$5,2)&amp;"输出",标准坦克设计!$B$23:$U$23,0)))*(VLOOKUP($B235,INDIRECT($B$5&amp;"生成成长"),3))*(VLOOKUP($B$5,标准坦克设计!$B$14:$K$20,9)/30))</f>
        <v>1.6171879081792613</v>
      </c>
      <c r="BY235" s="172">
        <f ca="1">(VLOOKUP(BY$72,INDIRECT($C$5&amp;"生成成长"),2))/((VLOOKUP($B235,INDIRECT($B$5&amp;"生成成长"),4))/(VLOOKUP(BY$72,INDIRECT($C$5&amp;"生成成长"),5))*(VLOOKUP($B$5,标准坦克设计!$B$24:$U$30,MATCH("对"&amp;LEFT($C$5,2)&amp;"输出",标准坦克设计!$B$23:$U$23,0)))*(VLOOKUP($B235,INDIRECT($B$5&amp;"生成成长"),3))*(VLOOKUP($B$5,标准坦克设计!$B$14:$K$20,9)/30))</f>
        <v>1.7855364651903727</v>
      </c>
      <c r="BZ235" s="172">
        <f ca="1">(VLOOKUP(BZ$72,INDIRECT($C$5&amp;"生成成长"),2))/((VLOOKUP($B235,INDIRECT($B$5&amp;"生成成长"),4))/(VLOOKUP(BZ$72,INDIRECT($C$5&amp;"生成成长"),5))*(VLOOKUP($B$5,标准坦克设计!$B$24:$U$30,MATCH("对"&amp;LEFT($C$5,2)&amp;"输出",标准坦克设计!$B$23:$U$23,0)))*(VLOOKUP($B235,INDIRECT($B$5&amp;"生成成长"),3))*(VLOOKUP($B$5,标准坦克设计!$B$14:$K$20,9)/30))</f>
        <v>1.9622191091822321</v>
      </c>
      <c r="CA235" s="172">
        <f ca="1">(VLOOKUP(CA$72,INDIRECT($C$5&amp;"生成成长"),2))/((VLOOKUP($B235,INDIRECT($B$5&amp;"生成成长"),4))/(VLOOKUP(CA$72,INDIRECT($C$5&amp;"生成成长"),5))*(VLOOKUP($B$5,标准坦克设计!$B$24:$U$30,MATCH("对"&amp;LEFT($C$5,2)&amp;"输出",标准坦克设计!$B$23:$U$23,0)))*(VLOOKUP($B235,INDIRECT($B$5&amp;"生成成长"),3))*(VLOOKUP($B$5,标准坦克设计!$B$14:$K$20,9)/30))</f>
        <v>2.1472358401548393</v>
      </c>
      <c r="CB235" s="172">
        <f ca="1">(VLOOKUP(CB$72,INDIRECT($C$5&amp;"生成成长"),2))/((VLOOKUP($B235,INDIRECT($B$5&amp;"生成成长"),4))/(VLOOKUP(CB$72,INDIRECT($C$5&amp;"生成成长"),5))*(VLOOKUP($B$5,标准坦克设计!$B$24:$U$30,MATCH("对"&amp;LEFT($C$5,2)&amp;"输出",标准坦克设计!$B$23:$U$23,0)))*(VLOOKUP($B235,INDIRECT($B$5&amp;"生成成长"),3))*(VLOOKUP($B$5,标准坦克设计!$B$14:$K$20,9)/30))</f>
        <v>2.3405866581081942</v>
      </c>
      <c r="CC235" s="172">
        <f ca="1">(VLOOKUP(CC$72,INDIRECT($C$5&amp;"生成成长"),2))/((VLOOKUP($B235,INDIRECT($B$5&amp;"生成成长"),4))/(VLOOKUP(CC$72,INDIRECT($C$5&amp;"生成成长"),5))*(VLOOKUP($B$5,标准坦克设计!$B$24:$U$30,MATCH("对"&amp;LEFT($C$5,2)&amp;"输出",标准坦克设计!$B$23:$U$23,0)))*(VLOOKUP($B235,INDIRECT($B$5&amp;"生成成长"),3))*(VLOOKUP($B$5,标准坦克设计!$B$14:$K$20,9)/30))</f>
        <v>2.5422715630422981</v>
      </c>
      <c r="CD235" s="172">
        <f ca="1">(VLOOKUP(CD$72,INDIRECT($C$5&amp;"生成成长"),2))/((VLOOKUP($B235,INDIRECT($B$5&amp;"生成成长"),4))/(VLOOKUP(CD$72,INDIRECT($C$5&amp;"生成成长"),5))*(VLOOKUP($B$5,标准坦克设计!$B$24:$U$30,MATCH("对"&amp;LEFT($C$5,2)&amp;"输出",标准坦克设计!$B$23:$U$23,0)))*(VLOOKUP($B235,INDIRECT($B$5&amp;"生成成长"),3))*(VLOOKUP($B$5,标准坦克设计!$B$14:$K$20,9)/30))</f>
        <v>2.7522905549571499</v>
      </c>
      <c r="CE235" s="172">
        <f ca="1">(VLOOKUP(CE$72,INDIRECT($C$5&amp;"生成成长"),2))/((VLOOKUP($B235,INDIRECT($B$5&amp;"生成成长"),4))/(VLOOKUP(CE$72,INDIRECT($C$5&amp;"生成成长"),5))*(VLOOKUP($B$5,标准坦克设计!$B$24:$U$30,MATCH("对"&amp;LEFT($C$5,2)&amp;"输出",标准坦克设计!$B$23:$U$23,0)))*(VLOOKUP($B235,INDIRECT($B$5&amp;"生成成长"),3))*(VLOOKUP($B$5,标准坦克设计!$B$14:$K$20,9)/30))</f>
        <v>2.9706436338527498</v>
      </c>
      <c r="CF235" s="172">
        <f ca="1">(VLOOKUP(CF$72,INDIRECT($C$5&amp;"生成成长"),2))/((VLOOKUP($B235,INDIRECT($B$5&amp;"生成成长"),4))/(VLOOKUP(CF$72,INDIRECT($C$5&amp;"生成成长"),5))*(VLOOKUP($B$5,标准坦克设计!$B$24:$U$30,MATCH("对"&amp;LEFT($C$5,2)&amp;"输出",标准坦克设计!$B$23:$U$23,0)))*(VLOOKUP($B235,INDIRECT($B$5&amp;"生成成长"),3))*(VLOOKUP($B$5,标准坦克设计!$B$14:$K$20,9)/30))</f>
        <v>3.1973307997290972</v>
      </c>
      <c r="CG235" s="172">
        <f ca="1">(VLOOKUP(CG$72,INDIRECT($C$5&amp;"生成成长"),2))/((VLOOKUP($B235,INDIRECT($B$5&amp;"生成成长"),4))/(VLOOKUP(CG$72,INDIRECT($C$5&amp;"生成成长"),5))*(VLOOKUP($B$5,标准坦克设计!$B$24:$U$30,MATCH("对"&amp;LEFT($C$5,2)&amp;"输出",标准坦克设计!$B$23:$U$23,0)))*(VLOOKUP($B235,INDIRECT($B$5&amp;"生成成长"),3))*(VLOOKUP($B$5,标准坦克设计!$B$14:$K$20,9)/30))</f>
        <v>3.4323520525861926</v>
      </c>
      <c r="CH235" s="172">
        <f ca="1">(VLOOKUP(CH$72,INDIRECT($C$5&amp;"生成成长"),2))/((VLOOKUP($B235,INDIRECT($B$5&amp;"生成成长"),4))/(VLOOKUP(CH$72,INDIRECT($C$5&amp;"生成成长"),5))*(VLOOKUP($B$5,标准坦克设计!$B$24:$U$30,MATCH("对"&amp;LEFT($C$5,2)&amp;"输出",标准坦克设计!$B$23:$U$23,0)))*(VLOOKUP($B235,INDIRECT($B$5&amp;"生成成长"),3))*(VLOOKUP($B$5,标准坦克设计!$B$14:$K$20,9)/30))</f>
        <v>3.6757073924240373</v>
      </c>
      <c r="CI235" s="172">
        <f ca="1">(VLOOKUP(CI$72,INDIRECT($C$5&amp;"生成成长"),2))/((VLOOKUP($B235,INDIRECT($B$5&amp;"生成成长"),4))/(VLOOKUP(CI$72,INDIRECT($C$5&amp;"生成成长"),5))*(VLOOKUP($B$5,标准坦克设计!$B$24:$U$30,MATCH("对"&amp;LEFT($C$5,2)&amp;"输出",标准坦克设计!$B$23:$U$23,0)))*(VLOOKUP($B235,INDIRECT($B$5&amp;"生成成长"),3))*(VLOOKUP($B$5,标准坦克设计!$B$14:$K$20,9)/30))</f>
        <v>3.9530241367084287</v>
      </c>
      <c r="CJ235" s="172">
        <f ca="1">(VLOOKUP(CJ$72,INDIRECT($C$5&amp;"生成成长"),2))/((VLOOKUP($B235,INDIRECT($B$5&amp;"生成成长"),4))/(VLOOKUP(CJ$72,INDIRECT($C$5&amp;"生成成长"),5))*(VLOOKUP($B$5,标准坦克设计!$B$24:$U$30,MATCH("对"&amp;LEFT($C$5,2)&amp;"输出",标准坦克设计!$B$23:$U$23,0)))*(VLOOKUP($B235,INDIRECT($B$5&amp;"生成成长"),3))*(VLOOKUP($B$5,标准坦克设计!$B$14:$K$20,9)/30))</f>
        <v>4.2404251262395274</v>
      </c>
      <c r="CK235" s="172">
        <f ca="1">(VLOOKUP(CK$72,INDIRECT($C$5&amp;"生成成长"),2))/((VLOOKUP($B235,INDIRECT($B$5&amp;"生成成长"),4))/(VLOOKUP(CK$72,INDIRECT($C$5&amp;"生成成长"),5))*(VLOOKUP($B$5,标准坦克设计!$B$24:$U$30,MATCH("对"&amp;LEFT($C$5,2)&amp;"输出",标准坦克设计!$B$23:$U$23,0)))*(VLOOKUP($B235,INDIRECT($B$5&amp;"生成成长"),3))*(VLOOKUP($B$5,标准坦克设计!$B$14:$K$20,9)/30))</f>
        <v>4.5379103610173299</v>
      </c>
      <c r="CL235" s="172">
        <f ca="1">(VLOOKUP(CL$72,INDIRECT($C$5&amp;"生成成长"),2))/((VLOOKUP($B235,INDIRECT($B$5&amp;"生成成长"),4))/(VLOOKUP(CL$72,INDIRECT($C$5&amp;"生成成长"),5))*(VLOOKUP($B$5,标准坦克设计!$B$24:$U$30,MATCH("对"&amp;LEFT($C$5,2)&amp;"输出",标准坦克设计!$B$23:$U$23,0)))*(VLOOKUP($B235,INDIRECT($B$5&amp;"生成成长"),3))*(VLOOKUP($B$5,标准坦克设计!$B$14:$K$20,9)/30))</f>
        <v>4.8454798410418372</v>
      </c>
      <c r="CM235" s="172">
        <f ca="1">(VLOOKUP(CM$72,INDIRECT($C$5&amp;"生成成长"),2))/((VLOOKUP($B235,INDIRECT($B$5&amp;"生成成长"),4))/(VLOOKUP(CM$72,INDIRECT($C$5&amp;"生成成长"),5))*(VLOOKUP($B$5,标准坦克设计!$B$24:$U$30,MATCH("对"&amp;LEFT($C$5,2)&amp;"输出",标准坦克设计!$B$23:$U$23,0)))*(VLOOKUP($B235,INDIRECT($B$5&amp;"生成成长"),3))*(VLOOKUP($B$5,标准坦克设计!$B$14:$K$20,9)/30))</f>
        <v>5.1631335663130509</v>
      </c>
      <c r="CN235" s="172">
        <f ca="1">(VLOOKUP(CN$72,INDIRECT($C$5&amp;"生成成长"),2))/((VLOOKUP($B235,INDIRECT($B$5&amp;"生成成长"),4))/(VLOOKUP(CN$72,INDIRECT($C$5&amp;"生成成长"),5))*(VLOOKUP($B$5,标准坦克设计!$B$24:$U$30,MATCH("对"&amp;LEFT($C$5,2)&amp;"输出",标准坦克设计!$B$23:$U$23,0)))*(VLOOKUP($B235,INDIRECT($B$5&amp;"生成成长"),3))*(VLOOKUP($B$5,标准坦克设计!$B$14:$K$20,9)/30))</f>
        <v>5.4908715368309702</v>
      </c>
      <c r="CO235" s="172">
        <f ca="1">(VLOOKUP(CO$72,INDIRECT($C$5&amp;"生成成长"),2))/((VLOOKUP($B235,INDIRECT($B$5&amp;"生成成长"),4))/(VLOOKUP(CO$72,INDIRECT($C$5&amp;"生成成长"),5))*(VLOOKUP($B$5,标准坦克设计!$B$24:$U$30,MATCH("对"&amp;LEFT($C$5,2)&amp;"输出",标准坦克设计!$B$23:$U$23,0)))*(VLOOKUP($B235,INDIRECT($B$5&amp;"生成成长"),3))*(VLOOKUP($B$5,标准坦克设计!$B$14:$K$20,9)/30))</f>
        <v>2.4605975106309672</v>
      </c>
      <c r="CP235" s="172">
        <f ca="1">(VLOOKUP(CP$72,INDIRECT($C$5&amp;"生成成长"),2))/((VLOOKUP($B235,INDIRECT($B$5&amp;"生成成长"),4))/(VLOOKUP(CP$72,INDIRECT($C$5&amp;"生成成长"),5))*(VLOOKUP($B$5,标准坦克设计!$B$24:$U$30,MATCH("对"&amp;LEFT($C$5,2)&amp;"输出",标准坦克设计!$B$23:$U$23,0)))*(VLOOKUP($B235,INDIRECT($B$5&amp;"生成成长"),3))*(VLOOKUP($B$5,标准坦克设计!$B$14:$K$20,9)/30))</f>
        <v>2.6884097782497158</v>
      </c>
      <c r="CQ235" s="172">
        <f ca="1">(VLOOKUP(CQ$72,INDIRECT($C$5&amp;"生成成长"),2))/((VLOOKUP($B235,INDIRECT($B$5&amp;"生成成长"),4))/(VLOOKUP(CQ$72,INDIRECT($C$5&amp;"生成成长"),5))*(VLOOKUP($B$5,标准坦克设计!$B$24:$U$30,MATCH("对"&amp;LEFT($C$5,2)&amp;"输出",标准坦克设计!$B$23:$U$23,0)))*(VLOOKUP($B235,INDIRECT($B$5&amp;"生成成长"),3))*(VLOOKUP($B$5,标准坦克设计!$B$14:$K$20,9)/30))</f>
        <v>2.9263062911151696</v>
      </c>
      <c r="CR235" s="172">
        <f ca="1">(VLOOKUP(CR$72,INDIRECT($C$5&amp;"生成成长"),2))/((VLOOKUP($B235,INDIRECT($B$5&amp;"生成成长"),4))/(VLOOKUP(CR$72,INDIRECT($C$5&amp;"生成成长"),5))*(VLOOKUP($B$5,标准坦克设计!$B$24:$U$30,MATCH("对"&amp;LEFT($C$5,2)&amp;"输出",标准坦克设计!$B$23:$U$23,0)))*(VLOOKUP($B235,INDIRECT($B$5&amp;"生成成长"),3))*(VLOOKUP($B$5,标准坦克设计!$B$14:$K$20,9)/30))</f>
        <v>3.1742870492273285</v>
      </c>
      <c r="CS235" s="172">
        <f ca="1">(VLOOKUP(CS$72,INDIRECT($C$5&amp;"生成成长"),2))/((VLOOKUP($B235,INDIRECT($B$5&amp;"生成成长"),4))/(VLOOKUP(CS$72,INDIRECT($C$5&amp;"生成成长"),5))*(VLOOKUP($B$5,标准坦克设计!$B$24:$U$30,MATCH("对"&amp;LEFT($C$5,2)&amp;"输出",标准坦克设计!$B$23:$U$23,0)))*(VLOOKUP($B235,INDIRECT($B$5&amp;"生成成长"),3))*(VLOOKUP($B$5,标准坦克设计!$B$14:$K$20,9)/30))</f>
        <v>3.4323520525861926</v>
      </c>
      <c r="CT235" s="172">
        <f ca="1">(VLOOKUP(CT$72,INDIRECT($C$5&amp;"生成成长"),2))/((VLOOKUP($B235,INDIRECT($B$5&amp;"生成成长"),4))/(VLOOKUP(CT$72,INDIRECT($C$5&amp;"生成成长"),5))*(VLOOKUP($B$5,标准坦克设计!$B$24:$U$30,MATCH("对"&amp;LEFT($C$5,2)&amp;"输出",标准坦克设计!$B$23:$U$23,0)))*(VLOOKUP($B235,INDIRECT($B$5&amp;"生成成长"),3))*(VLOOKUP($B$5,标准坦克设计!$B$14:$K$20,9)/30))</f>
        <v>3.7005013011917622</v>
      </c>
      <c r="CU235" s="172">
        <f ca="1">(VLOOKUP(CU$72,INDIRECT($C$5&amp;"生成成长"),2))/((VLOOKUP($B235,INDIRECT($B$5&amp;"生成成长"),4))/(VLOOKUP(CU$72,INDIRECT($C$5&amp;"生成成长"),5))*(VLOOKUP($B$5,标准坦克设计!$B$24:$U$30,MATCH("对"&amp;LEFT($C$5,2)&amp;"输出",标准坦克设计!$B$23:$U$23,0)))*(VLOOKUP($B235,INDIRECT($B$5&amp;"生成成长"),3))*(VLOOKUP($B$5,标准坦克设计!$B$14:$K$20,9)/30))</f>
        <v>3.978734795044037</v>
      </c>
      <c r="CV235" s="172">
        <f ca="1">(VLOOKUP(CV$72,INDIRECT($C$5&amp;"生成成长"),2))/((VLOOKUP($B235,INDIRECT($B$5&amp;"生成成长"),4))/(VLOOKUP(CV$72,INDIRECT($C$5&amp;"生成成长"),5))*(VLOOKUP($B$5,标准坦克设计!$B$24:$U$30,MATCH("对"&amp;LEFT($C$5,2)&amp;"输出",标准坦克设计!$B$23:$U$23,0)))*(VLOOKUP($B235,INDIRECT($B$5&amp;"生成成长"),3))*(VLOOKUP($B$5,标准坦克设计!$B$14:$K$20,9)/30))</f>
        <v>4.2670525341430166</v>
      </c>
      <c r="CW235" s="172">
        <f ca="1">(VLOOKUP(CW$72,INDIRECT($C$5&amp;"生成成长"),2))/((VLOOKUP($B235,INDIRECT($B$5&amp;"生成成长"),4))/(VLOOKUP(CW$72,INDIRECT($C$5&amp;"生成成长"),5))*(VLOOKUP($B$5,标准坦克设计!$B$24:$U$30,MATCH("对"&amp;LEFT($C$5,2)&amp;"输出",标准坦克设计!$B$23:$U$23,0)))*(VLOOKUP($B235,INDIRECT($B$5&amp;"生成成长"),3))*(VLOOKUP($B$5,标准坦克设计!$B$14:$K$20,9)/30))</f>
        <v>4.5654545184887017</v>
      </c>
      <c r="CX235" s="172">
        <f ca="1">(VLOOKUP(CX$72,INDIRECT($C$5&amp;"生成成长"),2))/((VLOOKUP($B235,INDIRECT($B$5&amp;"生成成长"),4))/(VLOOKUP(CX$72,INDIRECT($C$5&amp;"生成成长"),5))*(VLOOKUP($B$5,标准坦克设计!$B$24:$U$30,MATCH("对"&amp;LEFT($C$5,2)&amp;"输出",标准坦克设计!$B$23:$U$23,0)))*(VLOOKUP($B235,INDIRECT($B$5&amp;"生成成长"),3))*(VLOOKUP($B$5,标准坦克设计!$B$14:$K$20,9)/30))</f>
        <v>4.8739407480810923</v>
      </c>
      <c r="CY235" s="172">
        <f ca="1">(VLOOKUP(CY$72,INDIRECT($C$5&amp;"生成成长"),2))/((VLOOKUP($B235,INDIRECT($B$5&amp;"生成成长"),4))/(VLOOKUP(CY$72,INDIRECT($C$5&amp;"生成成长"),5))*(VLOOKUP($B$5,标准坦克设计!$B$24:$U$30,MATCH("对"&amp;LEFT($C$5,2)&amp;"输出",标准坦克设计!$B$23:$U$23,0)))*(VLOOKUP($B235,INDIRECT($B$5&amp;"生成成长"),3))*(VLOOKUP($B$5,标准坦克设计!$B$14:$K$20,9)/30))</f>
        <v>5.1925112229201869</v>
      </c>
      <c r="CZ235" s="172">
        <f ca="1">(VLOOKUP(CZ$72,INDIRECT($C$5&amp;"生成成长"),2))/((VLOOKUP($B235,INDIRECT($B$5&amp;"生成成长"),4))/(VLOOKUP(CZ$72,INDIRECT($C$5&amp;"生成成长"),5))*(VLOOKUP($B$5,标准坦克设计!$B$24:$U$30,MATCH("对"&amp;LEFT($C$5,2)&amp;"输出",标准坦克设计!$B$23:$U$23,0)))*(VLOOKUP($B235,INDIRECT($B$5&amp;"生成成长"),3))*(VLOOKUP($B$5,标准坦克设计!$B$14:$K$20,9)/30))</f>
        <v>5.5211659430059878</v>
      </c>
      <c r="DA235" s="172">
        <f ca="1">(VLOOKUP(DA$72,INDIRECT($C$5&amp;"生成成长"),2))/((VLOOKUP($B235,INDIRECT($B$5&amp;"生成成长"),4))/(VLOOKUP(DA$72,INDIRECT($C$5&amp;"生成成长"),5))*(VLOOKUP($B$5,标准坦克设计!$B$24:$U$30,MATCH("对"&amp;LEFT($C$5,2)&amp;"输出",标准坦克设计!$B$23:$U$23,0)))*(VLOOKUP($B235,INDIRECT($B$5&amp;"生成成长"),3))*(VLOOKUP($B$5,标准坦克设计!$B$14:$K$20,9)/30))</f>
        <v>5.8599049083384944</v>
      </c>
      <c r="DB235" s="172">
        <f ca="1">(VLOOKUP(DB$72,INDIRECT($C$5&amp;"生成成长"),2))/((VLOOKUP($B235,INDIRECT($B$5&amp;"生成成长"),4))/(VLOOKUP(DB$72,INDIRECT($C$5&amp;"生成成长"),5))*(VLOOKUP($B$5,标准坦克设计!$B$24:$U$30,MATCH("对"&amp;LEFT($C$5,2)&amp;"输出",标准坦克设计!$B$23:$U$23,0)))*(VLOOKUP($B235,INDIRECT($B$5&amp;"生成成长"),3))*(VLOOKUP($B$5,标准坦克设计!$B$14:$K$20,9)/30))</f>
        <v>6.2087281189177039</v>
      </c>
      <c r="DC235" s="172">
        <f ca="1">(VLOOKUP(DC$72,INDIRECT($C$5&amp;"生成成长"),2))/((VLOOKUP($B235,INDIRECT($B$5&amp;"生成成长"),4))/(VLOOKUP(DC$72,INDIRECT($C$5&amp;"生成成长"),5))*(VLOOKUP($B$5,标准坦克设计!$B$24:$U$30,MATCH("对"&amp;LEFT($C$5,2)&amp;"输出",标准坦克设计!$B$23:$U$23,0)))*(VLOOKUP($B235,INDIRECT($B$5&amp;"生成成长"),3))*(VLOOKUP($B$5,标准坦克设计!$B$14:$K$20,9)/30))</f>
        <v>6.6007635704920933</v>
      </c>
      <c r="DD235" s="172">
        <f ca="1">(VLOOKUP(DD$72,INDIRECT($C$5&amp;"生成成长"),2))/((VLOOKUP($B235,INDIRECT($B$5&amp;"生成成长"),4))/(VLOOKUP(DD$72,INDIRECT($C$5&amp;"生成成长"),5))*(VLOOKUP($B$5,标准坦克设计!$B$24:$U$30,MATCH("对"&amp;LEFT($C$5,2)&amp;"输出",标准坦克设计!$B$23:$U$23,0)))*(VLOOKUP($B235,INDIRECT($B$5&amp;"生成成长"),3))*(VLOOKUP($B$5,标准坦克设计!$B$14:$K$20,9)/30))</f>
        <v>7.0048001073187613</v>
      </c>
      <c r="DE235" s="172">
        <f ca="1">(VLOOKUP(DE$72,INDIRECT($C$5&amp;"生成成长"),2))/((VLOOKUP($B235,INDIRECT($B$5&amp;"生成成长"),4))/(VLOOKUP(DE$72,INDIRECT($C$5&amp;"生成成长"),5))*(VLOOKUP($B$5,标准坦克设计!$B$24:$U$30,MATCH("对"&amp;LEFT($C$5,2)&amp;"输出",标准坦克设计!$B$23:$U$23,0)))*(VLOOKUP($B235,INDIRECT($B$5&amp;"生成成长"),3))*(VLOOKUP($B$5,标准坦克设计!$B$14:$K$20,9)/30))</f>
        <v>7.4208377293977046</v>
      </c>
      <c r="DF235" s="172">
        <f ca="1">(VLOOKUP(DF$72,INDIRECT($C$5&amp;"生成成长"),2))/((VLOOKUP($B235,INDIRECT($B$5&amp;"生成成长"),4))/(VLOOKUP(DF$72,INDIRECT($C$5&amp;"生成成长"),5))*(VLOOKUP($B$5,标准坦克设计!$B$24:$U$30,MATCH("对"&amp;LEFT($C$5,2)&amp;"输出",标准坦克设计!$B$23:$U$23,0)))*(VLOOKUP($B235,INDIRECT($B$5&amp;"生成成长"),3))*(VLOOKUP($B$5,标准坦克设计!$B$14:$K$20,9)/30))</f>
        <v>7.8488764367289283</v>
      </c>
      <c r="DG235" s="172">
        <f ca="1">(VLOOKUP(DG$72,INDIRECT($C$5&amp;"生成成长"),2))/((VLOOKUP($B235,INDIRECT($B$5&amp;"生成成长"),4))/(VLOOKUP(DG$72,INDIRECT($C$5&amp;"生成成长"),5))*(VLOOKUP($B$5,标准坦克设计!$B$24:$U$30,MATCH("对"&amp;LEFT($C$5,2)&amp;"输出",标准坦克设计!$B$23:$U$23,0)))*(VLOOKUP($B235,INDIRECT($B$5&amp;"生成成长"),3))*(VLOOKUP($B$5,标准坦克设计!$B$14:$K$20,9)/30))</f>
        <v>8.2889162293124254</v>
      </c>
      <c r="DH235" s="172">
        <f ca="1">(VLOOKUP(DH$72,INDIRECT($C$5&amp;"生成成长"),2))/((VLOOKUP($B235,INDIRECT($B$5&amp;"生成成长"),4))/(VLOOKUP(DH$72,INDIRECT($C$5&amp;"生成成长"),5))*(VLOOKUP($B$5,标准坦克设计!$B$24:$U$30,MATCH("对"&amp;LEFT($C$5,2)&amp;"输出",标准坦克设计!$B$23:$U$23,0)))*(VLOOKUP($B235,INDIRECT($B$5&amp;"生成成长"),3))*(VLOOKUP($B$5,标准坦克设计!$B$14:$K$20,9)/30))</f>
        <v>8.7409571071482013</v>
      </c>
      <c r="DI235" s="172">
        <f ca="1">(VLOOKUP(DI$72,INDIRECT($C$5&amp;"生成成长"),2))/((VLOOKUP($B235,INDIRECT($B$5&amp;"生成成长"),4))/(VLOOKUP(DI$72,INDIRECT($C$5&amp;"生成成长"),5))*(VLOOKUP($B$5,标准坦克设计!$B$24:$U$30,MATCH("对"&amp;LEFT($C$5,2)&amp;"输出",标准坦克设计!$B$23:$U$23,0)))*(VLOOKUP($B235,INDIRECT($B$5&amp;"生成成长"),3))*(VLOOKUP($B$5,标准坦克设计!$B$14:$K$20,9)/30))</f>
        <v>9.2049990702362567</v>
      </c>
      <c r="DJ235" s="172">
        <f ca="1">(VLOOKUP(DJ$72,INDIRECT($C$5&amp;"生成成长"),2))/((VLOOKUP($B235,INDIRECT($B$5&amp;"生成成长"),4))/(VLOOKUP(DJ$72,INDIRECT($C$5&amp;"生成成长"),5))*(VLOOKUP($B$5,标准坦克设计!$B$24:$U$30,MATCH("对"&amp;LEFT($C$5,2)&amp;"输出",标准坦克设计!$B$23:$U$23,0)))*(VLOOKUP($B235,INDIRECT($B$5&amp;"生成成长"),3))*(VLOOKUP($B$5,标准坦克设计!$B$14:$K$20,9)/30))</f>
        <v>0.92512532529794056</v>
      </c>
      <c r="DK235" s="172">
        <f ca="1">(VLOOKUP(DK$72,INDIRECT($C$5&amp;"生成成长"),2))/((VLOOKUP($B235,INDIRECT($B$5&amp;"生成成长"),4))/(VLOOKUP(DK$72,INDIRECT($C$5&amp;"生成成长"),5))*(VLOOKUP($B$5,标准坦克设计!$B$24:$U$30,MATCH("对"&amp;LEFT($C$5,2)&amp;"输出",标准坦克设计!$B$23:$U$23,0)))*(VLOOKUP($B235,INDIRECT($B$5&amp;"生成成长"),3))*(VLOOKUP($B$5,标准坦克设计!$B$14:$K$20,9)/30))</f>
        <v>1.0402607369369756</v>
      </c>
      <c r="DL235" s="172">
        <f ca="1">(VLOOKUP(DL$72,INDIRECT($C$5&amp;"生成成长"),2))/((VLOOKUP($B235,INDIRECT($B$5&amp;"生成成长"),4))/(VLOOKUP(DL$72,INDIRECT($C$5&amp;"生成成长"),5))*(VLOOKUP($B$5,标准坦克设计!$B$24:$U$30,MATCH("对"&amp;LEFT($C$5,2)&amp;"输出",标准坦克设计!$B$23:$U$23,0)))*(VLOOKUP($B235,INDIRECT($B$5&amp;"生成成长"),3))*(VLOOKUP($B$5,标准坦克设计!$B$14:$K$20,9)/30))</f>
        <v>1.162146759030416</v>
      </c>
      <c r="DM235" s="172">
        <f ca="1">(VLOOKUP(DM$72,INDIRECT($C$5&amp;"生成成长"),2))/((VLOOKUP($B235,INDIRECT($B$5&amp;"生成成长"),4))/(VLOOKUP(DM$72,INDIRECT($C$5&amp;"生成成长"),5))*(VLOOKUP($B$5,标准坦克设计!$B$24:$U$30,MATCH("对"&amp;LEFT($C$5,2)&amp;"输出",标准坦克设计!$B$23:$U$23,0)))*(VLOOKUP($B235,INDIRECT($B$5&amp;"生成成长"),3))*(VLOOKUP($B$5,标准坦克设计!$B$14:$K$20,9)/30))</f>
        <v>1.2907833915782627</v>
      </c>
      <c r="DN235" s="172">
        <f ca="1">(VLOOKUP(DN$72,INDIRECT($C$5&amp;"生成成长"),2))/((VLOOKUP($B235,INDIRECT($B$5&amp;"生成成长"),4))/(VLOOKUP(DN$72,INDIRECT($C$5&amp;"生成成长"),5))*(VLOOKUP($B$5,标准坦克设计!$B$24:$U$30,MATCH("对"&amp;LEFT($C$5,2)&amp;"输出",标准坦克设计!$B$23:$U$23,0)))*(VLOOKUP($B235,INDIRECT($B$5&amp;"生成成长"),3))*(VLOOKUP($B$5,标准坦克设计!$B$14:$K$20,9)/30))</f>
        <v>1.4261706345805154</v>
      </c>
      <c r="DO235" s="172">
        <f ca="1">(VLOOKUP(DO$72,INDIRECT($C$5&amp;"生成成长"),2))/((VLOOKUP($B235,INDIRECT($B$5&amp;"生成成长"),4))/(VLOOKUP(DO$72,INDIRECT($C$5&amp;"生成成长"),5))*(VLOOKUP($B$5,标准坦克设计!$B$24:$U$30,MATCH("对"&amp;LEFT($C$5,2)&amp;"输出",标准坦克设计!$B$23:$U$23,0)))*(VLOOKUP($B235,INDIRECT($B$5&amp;"生成成长"),3))*(VLOOKUP($B$5,标准坦克设计!$B$14:$K$20,9)/30))</f>
        <v>1.5683084880371736</v>
      </c>
      <c r="DP235" s="172">
        <f ca="1">(VLOOKUP(DP$72,INDIRECT($C$5&amp;"生成成长"),2))/((VLOOKUP($B235,INDIRECT($B$5&amp;"生成成长"),4))/(VLOOKUP(DP$72,INDIRECT($C$5&amp;"生成成长"),5))*(VLOOKUP($B$5,标准坦克设计!$B$24:$U$30,MATCH("对"&amp;LEFT($C$5,2)&amp;"输出",标准坦克设计!$B$23:$U$23,0)))*(VLOOKUP($B235,INDIRECT($B$5&amp;"生成成长"),3))*(VLOOKUP($B$5,标准坦克设计!$B$14:$K$20,9)/30))</f>
        <v>1.7171969519482384</v>
      </c>
      <c r="DQ235" s="172">
        <f ca="1">(VLOOKUP(DQ$72,INDIRECT($C$5&amp;"生成成长"),2))/((VLOOKUP($B235,INDIRECT($B$5&amp;"生成成长"),4))/(VLOOKUP(DQ$72,INDIRECT($C$5&amp;"生成成长"),5))*(VLOOKUP($B$5,标准坦克设计!$B$24:$U$30,MATCH("对"&amp;LEFT($C$5,2)&amp;"输出",标准坦克设计!$B$23:$U$23,0)))*(VLOOKUP($B235,INDIRECT($B$5&amp;"生成成长"),3))*(VLOOKUP($B$5,标准坦克设计!$B$14:$K$20,9)/30))</f>
        <v>1.8728360263137085</v>
      </c>
      <c r="DR235" s="172">
        <f ca="1">(VLOOKUP(DR$72,INDIRECT($C$5&amp;"生成成长"),2))/((VLOOKUP($B235,INDIRECT($B$5&amp;"生成成长"),4))/(VLOOKUP(DR$72,INDIRECT($C$5&amp;"生成成长"),5))*(VLOOKUP($B$5,标准坦克设计!$B$24:$U$30,MATCH("对"&amp;LEFT($C$5,2)&amp;"输出",标准坦克设计!$B$23:$U$23,0)))*(VLOOKUP($B235,INDIRECT($B$5&amp;"生成成长"),3))*(VLOOKUP($B$5,标准坦克设计!$B$14:$K$20,9)/30))</f>
        <v>2.0352257111335845</v>
      </c>
      <c r="DS235" s="172">
        <f ca="1">(VLOOKUP(DS$72,INDIRECT($C$5&amp;"生成成长"),2))/((VLOOKUP($B235,INDIRECT($B$5&amp;"生成成长"),4))/(VLOOKUP(DS$72,INDIRECT($C$5&amp;"生成成长"),5))*(VLOOKUP($B$5,标准坦克设计!$B$24:$U$30,MATCH("对"&amp;LEFT($C$5,2)&amp;"输出",标准坦克设计!$B$23:$U$23,0)))*(VLOOKUP($B235,INDIRECT($B$5&amp;"生成成长"),3))*(VLOOKUP($B$5,标准坦克设计!$B$14:$K$20,9)/30))</f>
        <v>2.204366006407867</v>
      </c>
      <c r="DT235" s="172">
        <f ca="1">(VLOOKUP(DT$72,INDIRECT($C$5&amp;"生成成长"),2))/((VLOOKUP($B235,INDIRECT($B$5&amp;"生成成长"),4))/(VLOOKUP(DT$72,INDIRECT($C$5&amp;"生成成长"),5))*(VLOOKUP($B$5,标准坦克设计!$B$24:$U$30,MATCH("对"&amp;LEFT($C$5,2)&amp;"输出",标准坦克设计!$B$23:$U$23,0)))*(VLOOKUP($B235,INDIRECT($B$5&amp;"生成成长"),3))*(VLOOKUP($B$5,标准坦克设计!$B$14:$K$20,9)/30))</f>
        <v>2.4202605296441462</v>
      </c>
      <c r="DU235" s="172">
        <f ca="1">(VLOOKUP(DU$72,INDIRECT($C$5&amp;"生成成长"),2))/((VLOOKUP($B235,INDIRECT($B$5&amp;"生成成长"),4))/(VLOOKUP(DU$72,INDIRECT($C$5&amp;"生成成长"),5))*(VLOOKUP($B$5,标准坦克设计!$B$24:$U$30,MATCH("对"&amp;LEFT($C$5,2)&amp;"输出",标准坦克设计!$B$23:$U$23,0)))*(VLOOKUP($B235,INDIRECT($B$5&amp;"生成成长"),3))*(VLOOKUP($B$5,标准坦克设计!$B$14:$K$20,9)/30))</f>
        <v>2.6462392981271301</v>
      </c>
      <c r="DV235" s="172">
        <f ca="1">(VLOOKUP(DV$72,INDIRECT($C$5&amp;"生成成长"),2))/((VLOOKUP($B235,INDIRECT($B$5&amp;"生成成长"),4))/(VLOOKUP(DV$72,INDIRECT($C$5&amp;"生成成长"),5))*(VLOOKUP($B$5,标准坦克设计!$B$24:$U$30,MATCH("对"&amp;LEFT($C$5,2)&amp;"输出",标准坦克设计!$B$23:$U$23,0)))*(VLOOKUP($B235,INDIRECT($B$5&amp;"生成成长"),3))*(VLOOKUP($B$5,标准坦克设计!$B$14:$K$20,9)/30))</f>
        <v>2.8823023118568196</v>
      </c>
      <c r="DW235" s="172">
        <f ca="1">(VLOOKUP(DW$72,INDIRECT($C$5&amp;"生成成长"),2))/((VLOOKUP($B235,INDIRECT($B$5&amp;"生成成长"),4))/(VLOOKUP(DW$72,INDIRECT($C$5&amp;"生成成长"),5))*(VLOOKUP($B$5,标准坦克设计!$B$24:$U$30,MATCH("对"&amp;LEFT($C$5,2)&amp;"输出",标准坦克设计!$B$23:$U$23,0)))*(VLOOKUP($B235,INDIRECT($B$5&amp;"生成成长"),3))*(VLOOKUP($B$5,标准坦克设计!$B$14:$K$20,9)/30))</f>
        <v>3.1284495708332143</v>
      </c>
      <c r="DX235" s="172">
        <f ca="1">(VLOOKUP(DX$72,INDIRECT($C$5&amp;"生成成长"),2))/((VLOOKUP($B235,INDIRECT($B$5&amp;"生成成长"),4))/(VLOOKUP(DX$72,INDIRECT($C$5&amp;"生成成长"),5))*(VLOOKUP($B$5,标准坦克设计!$B$24:$U$30,MATCH("对"&amp;LEFT($C$5,2)&amp;"输出",标准坦克设计!$B$23:$U$23,0)))*(VLOOKUP($B235,INDIRECT($B$5&amp;"生成成长"),3))*(VLOOKUP($B$5,标准坦克设计!$B$14:$K$20,9)/30))</f>
        <v>3.3846810750563137</v>
      </c>
      <c r="DY235" s="172">
        <f ca="1">(VLOOKUP(DY$72,INDIRECT($C$5&amp;"生成成长"),2))/((VLOOKUP($B235,INDIRECT($B$5&amp;"生成成长"),4))/(VLOOKUP(DY$72,INDIRECT($C$5&amp;"生成成长"),5))*(VLOOKUP($B$5,标准坦克设计!$B$24:$U$30,MATCH("对"&amp;LEFT($C$5,2)&amp;"输出",标准坦克设计!$B$23:$U$23,0)))*(VLOOKUP($B235,INDIRECT($B$5&amp;"生成成长"),3))*(VLOOKUP($B$5,标准坦克设计!$B$14:$K$20,9)/30))</f>
        <v>1.5201791357233536</v>
      </c>
      <c r="DZ235" s="172">
        <f ca="1">(VLOOKUP(DZ$72,INDIRECT($C$5&amp;"生成成长"),2))/((VLOOKUP($B235,INDIRECT($B$5&amp;"生成成长"),4))/(VLOOKUP(DZ$72,INDIRECT($C$5&amp;"生成成长"),5))*(VLOOKUP($B$5,标准坦克设计!$B$24:$U$30,MATCH("对"&amp;LEFT($C$5,2)&amp;"输出",标准坦克设计!$B$23:$U$23,0)))*(VLOOKUP($B235,INDIRECT($B$5&amp;"生成成长"),3))*(VLOOKUP($B$5,标准坦克设计!$B$14:$K$20,9)/30))</f>
        <v>1.683527240546016</v>
      </c>
      <c r="EA235" s="172">
        <f ca="1">(VLOOKUP(EA$72,INDIRECT($C$5&amp;"生成成长"),2))/((VLOOKUP($B235,INDIRECT($B$5&amp;"生成成长"),4))/(VLOOKUP(EA$72,INDIRECT($C$5&amp;"生成成长"),5))*(VLOOKUP($B$5,标准坦克设计!$B$24:$U$30,MATCH("对"&amp;LEFT($C$5,2)&amp;"输出",标准坦克设计!$B$23:$U$23,0)))*(VLOOKUP($B235,INDIRECT($B$5&amp;"生成成长"),3))*(VLOOKUP($B$5,标准坦克设计!$B$14:$K$20,9)/30))</f>
        <v>1.8552094323494261</v>
      </c>
      <c r="EB235" s="172">
        <f ca="1">(VLOOKUP(EB$72,INDIRECT($C$5&amp;"生成成长"),2))/((VLOOKUP($B235,INDIRECT($B$5&amp;"生成成长"),4))/(VLOOKUP(EB$72,INDIRECT($C$5&amp;"生成成长"),5))*(VLOOKUP($B$5,标准坦克设计!$B$24:$U$30,MATCH("对"&amp;LEFT($C$5,2)&amp;"输出",标准坦克设计!$B$23:$U$23,0)))*(VLOOKUP($B235,INDIRECT($B$5&amp;"生成成长"),3))*(VLOOKUP($B$5,标准坦克设计!$B$14:$K$20,9)/30))</f>
        <v>2.0352257111335845</v>
      </c>
      <c r="EC235" s="172">
        <f ca="1">(VLOOKUP(EC$72,INDIRECT($C$5&amp;"生成成长"),2))/((VLOOKUP($B235,INDIRECT($B$5&amp;"生成成长"),4))/(VLOOKUP(EC$72,INDIRECT($C$5&amp;"生成成长"),5))*(VLOOKUP($B$5,标准坦克设计!$B$24:$U$30,MATCH("对"&amp;LEFT($C$5,2)&amp;"输出",标准坦克设计!$B$23:$U$23,0)))*(VLOOKUP($B235,INDIRECT($B$5&amp;"生成成长"),3))*(VLOOKUP($B$5,标准坦克设计!$B$14:$K$20,9)/30))</f>
        <v>2.2235760768984911</v>
      </c>
      <c r="ED235" s="172">
        <f ca="1">(VLOOKUP(ED$72,INDIRECT($C$5&amp;"生成成长"),2))/((VLOOKUP($B235,INDIRECT($B$5&amp;"生成成长"),4))/(VLOOKUP(ED$72,INDIRECT($C$5&amp;"生成成长"),5))*(VLOOKUP($B$5,标准坦克设计!$B$24:$U$30,MATCH("对"&amp;LEFT($C$5,2)&amp;"输出",标准坦克设计!$B$23:$U$23,0)))*(VLOOKUP($B235,INDIRECT($B$5&amp;"生成成长"),3))*(VLOOKUP($B$5,标准坦克设计!$B$14:$K$20,9)/30))</f>
        <v>2.4202605296441462</v>
      </c>
      <c r="EE235" s="172">
        <f ca="1">(VLOOKUP(EE$72,INDIRECT($C$5&amp;"生成成长"),2))/((VLOOKUP($B235,INDIRECT($B$5&amp;"生成成长"),4))/(VLOOKUP(EE$72,INDIRECT($C$5&amp;"生成成长"),5))*(VLOOKUP($B$5,标准坦克设计!$B$24:$U$30,MATCH("对"&amp;LEFT($C$5,2)&amp;"输出",标准坦克设计!$B$23:$U$23,0)))*(VLOOKUP($B235,INDIRECT($B$5&amp;"生成成长"),3))*(VLOOKUP($B$5,标准坦克设计!$B$14:$K$20,9)/30))</f>
        <v>2.6252790693705488</v>
      </c>
      <c r="EF235" s="172">
        <f ca="1">(VLOOKUP(EF$72,INDIRECT($C$5&amp;"生成成长"),2))/((VLOOKUP($B235,INDIRECT($B$5&amp;"生成成长"),4))/(VLOOKUP(EF$72,INDIRECT($C$5&amp;"生成成长"),5))*(VLOOKUP($B$5,标准坦克设计!$B$24:$U$30,MATCH("对"&amp;LEFT($C$5,2)&amp;"输出",标准坦克设计!$B$23:$U$23,0)))*(VLOOKUP($B235,INDIRECT($B$5&amp;"生成成长"),3))*(VLOOKUP($B$5,标准坦克设计!$B$14:$K$20,9)/30))</f>
        <v>2.8386316960776994</v>
      </c>
      <c r="EG235" s="172">
        <f ca="1">(VLOOKUP(EG$72,INDIRECT($C$5&amp;"生成成长"),2))/((VLOOKUP($B235,INDIRECT($B$5&amp;"生成成长"),4))/(VLOOKUP(EG$72,INDIRECT($C$5&amp;"生成成长"),5))*(VLOOKUP($B$5,标准坦克设计!$B$24:$U$30,MATCH("对"&amp;LEFT($C$5,2)&amp;"输出",标准坦克设计!$B$23:$U$23,0)))*(VLOOKUP($B235,INDIRECT($B$5&amp;"生成成长"),3))*(VLOOKUP($B$5,标准坦克设计!$B$14:$K$20,9)/30))</f>
        <v>3.0603184097655989</v>
      </c>
      <c r="EH235" s="172">
        <f ca="1">(VLOOKUP(EH$72,INDIRECT($C$5&amp;"生成成长"),2))/((VLOOKUP($B235,INDIRECT($B$5&amp;"生成成长"),4))/(VLOOKUP(EH$72,INDIRECT($C$5&amp;"生成成长"),5))*(VLOOKUP($B$5,标准坦克设计!$B$24:$U$30,MATCH("对"&amp;LEFT($C$5,2)&amp;"输出",标准坦克设计!$B$23:$U$23,0)))*(VLOOKUP($B235,INDIRECT($B$5&amp;"生成成长"),3))*(VLOOKUP($B$5,标准坦克设计!$B$14:$K$20,9)/30))</f>
        <v>3.2903392104342459</v>
      </c>
      <c r="EI235" s="172">
        <f ca="1">(VLOOKUP(EI$72,INDIRECT($C$5&amp;"生成成长"),2))/((VLOOKUP($B235,INDIRECT($B$5&amp;"生成成长"),4))/(VLOOKUP(EI$72,INDIRECT($C$5&amp;"生成成长"),5))*(VLOOKUP($B$5,标准坦克设计!$B$24:$U$30,MATCH("对"&amp;LEFT($C$5,2)&amp;"输出",标准坦克设计!$B$23:$U$23,0)))*(VLOOKUP($B235,INDIRECT($B$5&amp;"生成成长"),3))*(VLOOKUP($B$5,标准坦克设计!$B$14:$K$20,9)/30))</f>
        <v>3.528694098083641</v>
      </c>
      <c r="EJ235" s="172">
        <f ca="1">(VLOOKUP(EJ$72,INDIRECT($C$5&amp;"生成成长"),2))/((VLOOKUP($B235,INDIRECT($B$5&amp;"生成成长"),4))/(VLOOKUP(EJ$72,INDIRECT($C$5&amp;"生成成长"),5))*(VLOOKUP($B$5,标准坦克设计!$B$24:$U$30,MATCH("对"&amp;LEFT($C$5,2)&amp;"输出",标准坦克设计!$B$23:$U$23,0)))*(VLOOKUP($B235,INDIRECT($B$5&amp;"生成成长"),3))*(VLOOKUP($B$5,标准坦克设计!$B$14:$K$20,9)/30))</f>
        <v>3.7753830727137845</v>
      </c>
      <c r="EK235" s="172">
        <f ca="1">(VLOOKUP(EK$72,INDIRECT($C$5&amp;"生成成长"),2))/((VLOOKUP($B235,INDIRECT($B$5&amp;"生成成长"),4))/(VLOOKUP(EK$72,INDIRECT($C$5&amp;"生成成长"),5))*(VLOOKUP($B$5,标准坦克设计!$B$24:$U$30,MATCH("对"&amp;LEFT($C$5,2)&amp;"输出",标准坦克设计!$B$23:$U$23,0)))*(VLOOKUP($B235,INDIRECT($B$5&amp;"生成成长"),3))*(VLOOKUP($B$5,标准坦克设计!$B$14:$K$20,9)/30))</f>
        <v>4.0824108370845433</v>
      </c>
      <c r="EL235" s="172">
        <f ca="1">(VLOOKUP(EL$72,INDIRECT($C$5&amp;"生成成长"),2))/((VLOOKUP($B235,INDIRECT($B$5&amp;"生成成长"),4))/(VLOOKUP(EL$72,INDIRECT($C$5&amp;"生成成长"),5))*(VLOOKUP($B$5,标准坦克设计!$B$24:$U$30,MATCH("对"&amp;LEFT($C$5,2)&amp;"输出",标准坦克设计!$B$23:$U$23,0)))*(VLOOKUP($B235,INDIRECT($B$5&amp;"生成成长"),3))*(VLOOKUP($B$5,标准坦克设计!$B$14:$K$20,9)/30))</f>
        <v>4.4014396867075796</v>
      </c>
      <c r="EM235" s="172">
        <f ca="1">(VLOOKUP(EM$72,INDIRECT($C$5&amp;"生成成长"),2))/((VLOOKUP($B235,INDIRECT($B$5&amp;"生成成长"),4))/(VLOOKUP(EM$72,INDIRECT($C$5&amp;"生成成长"),5))*(VLOOKUP($B$5,标准坦克设计!$B$24:$U$30,MATCH("对"&amp;LEFT($C$5,2)&amp;"输出",标准坦克设计!$B$23:$U$23,0)))*(VLOOKUP($B235,INDIRECT($B$5&amp;"生成成长"),3))*(VLOOKUP($B$5,标准坦克设计!$B$14:$K$20,9)/30))</f>
        <v>4.7324696215828927</v>
      </c>
      <c r="EN235" s="172">
        <f ca="1">(VLOOKUP(EN$72,INDIRECT($C$5&amp;"生成成长"),2))/((VLOOKUP($B235,INDIRECT($B$5&amp;"生成成长"),4))/(VLOOKUP(EN$72,INDIRECT($C$5&amp;"生成成长"),5))*(VLOOKUP($B$5,标准坦克设计!$B$24:$U$30,MATCH("对"&amp;LEFT($C$5,2)&amp;"输出",标准坦克设计!$B$23:$U$23,0)))*(VLOOKUP($B235,INDIRECT($B$5&amp;"生成成长"),3))*(VLOOKUP($B$5,标准坦克设计!$B$14:$K$20,9)/30))</f>
        <v>5.0755006417104838</v>
      </c>
      <c r="EO235" s="172">
        <f ca="1">(VLOOKUP(EO$72,INDIRECT($C$5&amp;"生成成长"),2))/((VLOOKUP($B235,INDIRECT($B$5&amp;"生成成长"),4))/(VLOOKUP(EO$72,INDIRECT($C$5&amp;"生成成长"),5))*(VLOOKUP($B$5,标准坦克设计!$B$24:$U$30,MATCH("对"&amp;LEFT($C$5,2)&amp;"输出",标准坦克设计!$B$23:$U$23,0)))*(VLOOKUP($B235,INDIRECT($B$5&amp;"生成成长"),3))*(VLOOKUP($B$5,标准坦克设计!$B$14:$K$20,9)/30))</f>
        <v>5.4305327470903535</v>
      </c>
      <c r="EP235" s="172">
        <f ca="1">(VLOOKUP(EP$72,INDIRECT($C$5&amp;"生成成长"),2))/((VLOOKUP($B235,INDIRECT($B$5&amp;"生成成长"),4))/(VLOOKUP(EP$72,INDIRECT($C$5&amp;"生成成长"),5))*(VLOOKUP($B$5,标准坦克设计!$B$24:$U$30,MATCH("对"&amp;LEFT($C$5,2)&amp;"输出",标准坦克设计!$B$23:$U$23,0)))*(VLOOKUP($B235,INDIRECT($B$5&amp;"生成成长"),3))*(VLOOKUP($B$5,标准坦克设计!$B$14:$K$20,9)/30))</f>
        <v>5.7975659377224984</v>
      </c>
      <c r="EQ235" s="172">
        <f ca="1">(VLOOKUP(EQ$72,INDIRECT($C$5&amp;"生成成长"),2))/((VLOOKUP($B235,INDIRECT($B$5&amp;"生成成长"),4))/(VLOOKUP(EQ$72,INDIRECT($C$5&amp;"生成成长"),5))*(VLOOKUP($B$5,标准坦克设计!$B$24:$U$30,MATCH("对"&amp;LEFT($C$5,2)&amp;"输出",标准坦克设计!$B$23:$U$23,0)))*(VLOOKUP($B235,INDIRECT($B$5&amp;"生成成长"),3))*(VLOOKUP($B$5,标准坦克设计!$B$14:$K$20,9)/30))</f>
        <v>2.5628984283196501</v>
      </c>
      <c r="ER235" s="172">
        <f ca="1">(VLOOKUP(ER$72,INDIRECT($C$5&amp;"生成成长"),2))/((VLOOKUP($B235,INDIRECT($B$5&amp;"生成成长"),4))/(VLOOKUP(ER$72,INDIRECT($C$5&amp;"生成成长"),5))*(VLOOKUP($B$5,标准坦克设计!$B$24:$U$30,MATCH("对"&amp;LEFT($C$5,2)&amp;"输出",标准坦克设计!$B$23:$U$23,0)))*(VLOOKUP($B235,INDIRECT($B$5&amp;"生成成长"),3))*(VLOOKUP($B$5,标准坦克设计!$B$14:$K$20,9)/30))</f>
        <v>2.7952944437778098</v>
      </c>
      <c r="ES235" s="172">
        <f ca="1">(VLOOKUP(ES$72,INDIRECT($C$5&amp;"生成成长"),2))/((VLOOKUP($B235,INDIRECT($B$5&amp;"生成成长"),4))/(VLOOKUP(ES$72,INDIRECT($C$5&amp;"生成成长"),5))*(VLOOKUP($B$5,标准坦克设计!$B$24:$U$30,MATCH("对"&amp;LEFT($C$5,2)&amp;"输出",标准坦克设计!$B$23:$U$23,0)))*(VLOOKUP($B235,INDIRECT($B$5&amp;"生成成长"),3))*(VLOOKUP($B$5,标准坦克设计!$B$14:$K$20,9)/30))</f>
        <v>3.0377747044826751</v>
      </c>
      <c r="ET235" s="172">
        <f ca="1">(VLOOKUP(ET$72,INDIRECT($C$5&amp;"生成成长"),2))/((VLOOKUP($B235,INDIRECT($B$5&amp;"生成成长"),4))/(VLOOKUP(ET$72,INDIRECT($C$5&amp;"生成成长"),5))*(VLOOKUP($B$5,标准坦克设计!$B$24:$U$30,MATCH("对"&amp;LEFT($C$5,2)&amp;"输出",标准坦克设计!$B$23:$U$23,0)))*(VLOOKUP($B235,INDIRECT($B$5&amp;"生成成长"),3))*(VLOOKUP($B$5,标准坦克设计!$B$14:$K$20,9)/30))</f>
        <v>3.2903392104342459</v>
      </c>
      <c r="EU235" s="172">
        <f ca="1">(VLOOKUP(EU$72,INDIRECT($C$5&amp;"生成成长"),2))/((VLOOKUP($B235,INDIRECT($B$5&amp;"生成成长"),4))/(VLOOKUP(EU$72,INDIRECT($C$5&amp;"生成成长"),5))*(VLOOKUP($B$5,标准坦克设计!$B$24:$U$30,MATCH("对"&amp;LEFT($C$5,2)&amp;"输出",标准坦克设计!$B$23:$U$23,0)))*(VLOOKUP($B235,INDIRECT($B$5&amp;"生成成长"),3))*(VLOOKUP($B$5,标准坦克设计!$B$14:$K$20,9)/30))</f>
        <v>3.5529879616325215</v>
      </c>
      <c r="EV235" s="172">
        <f ca="1">(VLOOKUP(EV$72,INDIRECT($C$5&amp;"生成成长"),2))/((VLOOKUP($B235,INDIRECT($B$5&amp;"生成成长"),4))/(VLOOKUP(EV$72,INDIRECT($C$5&amp;"生成成长"),5))*(VLOOKUP($B$5,标准坦克设计!$B$24:$U$30,MATCH("对"&amp;LEFT($C$5,2)&amp;"输出",标准坦克设计!$B$23:$U$23,0)))*(VLOOKUP($B235,INDIRECT($B$5&amp;"生成成长"),3))*(VLOOKUP($B$5,标准坦克设计!$B$14:$K$20,9)/30))</f>
        <v>3.8257209580775022</v>
      </c>
      <c r="EW235" s="172">
        <f ca="1">(VLOOKUP(EW$72,INDIRECT($C$5&amp;"生成成长"),2))/((VLOOKUP($B235,INDIRECT($B$5&amp;"生成成长"),4))/(VLOOKUP(EW$72,INDIRECT($C$5&amp;"生成成长"),5))*(VLOOKUP($B$5,标准坦克设计!$B$24:$U$30,MATCH("对"&amp;LEFT($C$5,2)&amp;"输出",标准坦克设计!$B$23:$U$23,0)))*(VLOOKUP($B235,INDIRECT($B$5&amp;"生成成长"),3))*(VLOOKUP($B$5,标准坦克设计!$B$14:$K$20,9)/30))</f>
        <v>4.108538199769189</v>
      </c>
      <c r="EX235" s="172">
        <f ca="1">(VLOOKUP(EX$72,INDIRECT($C$5&amp;"生成成长"),2))/((VLOOKUP($B235,INDIRECT($B$5&amp;"生成成长"),4))/(VLOOKUP(EX$72,INDIRECT($C$5&amp;"生成成长"),5))*(VLOOKUP($B$5,标准坦克设计!$B$24:$U$30,MATCH("对"&amp;LEFT($C$5,2)&amp;"输出",标准坦克设计!$B$23:$U$23,0)))*(VLOOKUP($B235,INDIRECT($B$5&amp;"生成成长"),3))*(VLOOKUP($B$5,标准坦克设计!$B$14:$K$20,9)/30))</f>
        <v>4.4014396867075796</v>
      </c>
      <c r="EY235" s="172">
        <f ca="1">(VLOOKUP(EY$72,INDIRECT($C$5&amp;"生成成长"),2))/((VLOOKUP($B235,INDIRECT($B$5&amp;"生成成长"),4))/(VLOOKUP(EY$72,INDIRECT($C$5&amp;"生成成长"),5))*(VLOOKUP($B$5,标准坦克设计!$B$24:$U$30,MATCH("对"&amp;LEFT($C$5,2)&amp;"输出",标准坦克设计!$B$23:$U$23,0)))*(VLOOKUP($B235,INDIRECT($B$5&amp;"生成成长"),3))*(VLOOKUP($B$5,标准坦克设计!$B$14:$K$20,9)/30))</f>
        <v>4.7044254188926757</v>
      </c>
      <c r="EZ235" s="172">
        <f ca="1">(VLOOKUP(EZ$72,INDIRECT($C$5&amp;"生成成长"),2))/((VLOOKUP($B235,INDIRECT($B$5&amp;"生成成长"),4))/(VLOOKUP(EZ$72,INDIRECT($C$5&amp;"生成成长"),5))*(VLOOKUP($B$5,标准坦克设计!$B$24:$U$30,MATCH("对"&amp;LEFT($C$5,2)&amp;"输出",标准坦克设计!$B$23:$U$23,0)))*(VLOOKUP($B235,INDIRECT($B$5&amp;"生成成长"),3))*(VLOOKUP($B$5,标准坦克设计!$B$14:$K$20,9)/30))</f>
        <v>5.0174953963244793</v>
      </c>
      <c r="FA235" s="172">
        <f ca="1">(VLOOKUP(FA$72,INDIRECT($C$5&amp;"生成成长"),2))/((VLOOKUP($B235,INDIRECT($B$5&amp;"生成成长"),4))/(VLOOKUP(FA$72,INDIRECT($C$5&amp;"生成成长"),5))*(VLOOKUP($B$5,标准坦克设计!$B$24:$U$30,MATCH("对"&amp;LEFT($C$5,2)&amp;"输出",标准坦克设计!$B$23:$U$23,0)))*(VLOOKUP($B235,INDIRECT($B$5&amp;"生成成长"),3))*(VLOOKUP($B$5,标准坦克设计!$B$14:$K$20,9)/30))</f>
        <v>5.340649619002984</v>
      </c>
      <c r="FB235" s="172">
        <f ca="1">(VLOOKUP(FB$72,INDIRECT($C$5&amp;"生成成长"),2))/((VLOOKUP($B235,INDIRECT($B$5&amp;"生成成长"),4))/(VLOOKUP(FB$72,INDIRECT($C$5&amp;"生成成长"),5))*(VLOOKUP($B$5,标准坦克设计!$B$24:$U$30,MATCH("对"&amp;LEFT($C$5,2)&amp;"输出",标准坦克设计!$B$23:$U$23,0)))*(VLOOKUP($B235,INDIRECT($B$5&amp;"生成成长"),3))*(VLOOKUP($B$5,标准坦克设计!$B$14:$K$20,9)/30))</f>
        <v>5.673888086928196</v>
      </c>
      <c r="FC235" s="172">
        <f ca="1">(VLOOKUP(FC$72,INDIRECT($C$5&amp;"生成成长"),2))/((VLOOKUP($B235,INDIRECT($B$5&amp;"生成成长"),4))/(VLOOKUP(FC$72,INDIRECT($C$5&amp;"生成成长"),5))*(VLOOKUP($B$5,标准坦克设计!$B$24:$U$30,MATCH("对"&amp;LEFT($C$5,2)&amp;"输出",标准坦克设计!$B$23:$U$23,0)))*(VLOOKUP($B235,INDIRECT($B$5&amp;"生成成长"),3))*(VLOOKUP($B$5,标准坦克设计!$B$14:$K$20,9)/30))</f>
        <v>6.0172108001001137</v>
      </c>
      <c r="FD235" s="172">
        <f ca="1">(VLOOKUP(FD$72,INDIRECT($C$5&amp;"生成成长"),2))/((VLOOKUP($B235,INDIRECT($B$5&amp;"生成成长"),4))/(VLOOKUP(FD$72,INDIRECT($C$5&amp;"生成成长"),5))*(VLOOKUP($B$5,标准坦克设计!$B$24:$U$30,MATCH("对"&amp;LEFT($C$5,2)&amp;"输出",标准坦克设计!$B$23:$U$23,0)))*(VLOOKUP($B235,INDIRECT($B$5&amp;"生成成长"),3))*(VLOOKUP($B$5,标准坦克设计!$B$14:$K$20,9)/30))</f>
        <v>6.370617758518736</v>
      </c>
      <c r="FE235" s="172">
        <f ca="1">(VLOOKUP(FE$72,INDIRECT($C$5&amp;"生成成长"),2))/((VLOOKUP($B235,INDIRECT($B$5&amp;"生成成长"),4))/(VLOOKUP(FE$72,INDIRECT($C$5&amp;"生成成长"),5))*(VLOOKUP($B$5,标准坦克设计!$B$24:$U$30,MATCH("对"&amp;LEFT($C$5,2)&amp;"输出",标准坦克设计!$B$23:$U$23,0)))*(VLOOKUP($B235,INDIRECT($B$5&amp;"生成成长"),3))*(VLOOKUP($B$5,标准坦克设计!$B$14:$K$20,9)/30))</f>
        <v>6.8012817032488941</v>
      </c>
      <c r="FF235" s="172">
        <f ca="1">(VLOOKUP(FF$72,INDIRECT($C$5&amp;"生成成长"),2))/((VLOOKUP($B235,INDIRECT($B$5&amp;"生成成长"),4))/(VLOOKUP(FF$72,INDIRECT($C$5&amp;"生成成长"),5))*(VLOOKUP($B$5,标准坦克设计!$B$24:$U$30,MATCH("对"&amp;LEFT($C$5,2)&amp;"输出",标准坦克设计!$B$23:$U$23,0)))*(VLOOKUP($B235,INDIRECT($B$5&amp;"生成成长"),3))*(VLOOKUP($B$5,标准坦克设计!$B$14:$K$20,9)/30))</f>
        <v>7.246030254976513</v>
      </c>
      <c r="FG235" s="172">
        <f ca="1">(VLOOKUP(FG$72,INDIRECT($C$5&amp;"生成成长"),2))/((VLOOKUP($B235,INDIRECT($B$5&amp;"生成成长"),4))/(VLOOKUP(FG$72,INDIRECT($C$5&amp;"生成成长"),5))*(VLOOKUP($B$5,标准坦克设计!$B$24:$U$30,MATCH("对"&amp;LEFT($C$5,2)&amp;"输出",标准坦克设计!$B$23:$U$23,0)))*(VLOOKUP($B235,INDIRECT($B$5&amp;"生成成长"),3))*(VLOOKUP($B$5,标准坦克设计!$B$14:$K$20,9)/30))</f>
        <v>7.7048634137015997</v>
      </c>
      <c r="FH235" s="172">
        <f ca="1">(VLOOKUP(FH$72,INDIRECT($C$5&amp;"生成成长"),2))/((VLOOKUP($B235,INDIRECT($B$5&amp;"生成成长"),4))/(VLOOKUP(FH$72,INDIRECT($C$5&amp;"生成成长"),5))*(VLOOKUP($B$5,标准坦克设计!$B$24:$U$30,MATCH("对"&amp;LEFT($C$5,2)&amp;"输出",标准坦克设计!$B$23:$U$23,0)))*(VLOOKUP($B235,INDIRECT($B$5&amp;"生成成长"),3))*(VLOOKUP($B$5,标准坦克设计!$B$14:$K$20,9)/30))</f>
        <v>8.1777811794241497</v>
      </c>
      <c r="FI235" s="172">
        <f ca="1">(VLOOKUP(FI$72,INDIRECT($C$5&amp;"生成成长"),2))/((VLOOKUP($B235,INDIRECT($B$5&amp;"生成成长"),4))/(VLOOKUP(FI$72,INDIRECT($C$5&amp;"生成成长"),5))*(VLOOKUP($B$5,标准坦克设计!$B$24:$U$30,MATCH("对"&amp;LEFT($C$5,2)&amp;"输出",标准坦克设计!$B$23:$U$23,0)))*(VLOOKUP($B235,INDIRECT($B$5&amp;"生成成长"),3))*(VLOOKUP($B$5,标准坦克设计!$B$14:$K$20,9)/30))</f>
        <v>8.664783552144165</v>
      </c>
      <c r="FJ235" s="172">
        <f ca="1">(VLOOKUP(FJ$72,INDIRECT($C$5&amp;"生成成长"),2))/((VLOOKUP($B235,INDIRECT($B$5&amp;"生成成长"),4))/(VLOOKUP(FJ$72,INDIRECT($C$5&amp;"生成成长"),5))*(VLOOKUP($B$5,标准坦克设计!$B$24:$U$30,MATCH("对"&amp;LEFT($C$5,2)&amp;"输出",标准坦克设计!$B$23:$U$23,0)))*(VLOOKUP($B235,INDIRECT($B$5&amp;"生成成长"),3))*(VLOOKUP($B$5,标准坦克设计!$B$14:$K$20,9)/30))</f>
        <v>9.1658705318616427</v>
      </c>
      <c r="FK235" s="172">
        <f ca="1">(VLOOKUP(FK$72,INDIRECT($C$5&amp;"生成成长"),2))/((VLOOKUP($B235,INDIRECT($B$5&amp;"生成成长"),4))/(VLOOKUP(FK$72,INDIRECT($C$5&amp;"生成成长"),5))*(VLOOKUP($B$5,标准坦克设计!$B$24:$U$30,MATCH("对"&amp;LEFT($C$5,2)&amp;"输出",标准坦克设计!$B$23:$U$23,0)))*(VLOOKUP($B235,INDIRECT($B$5&amp;"生成成长"),3))*(VLOOKUP($B$5,标准坦克设计!$B$14:$K$20,9)/30))</f>
        <v>9.6810421185765847</v>
      </c>
    </row>
    <row r="236" spans="1:167" x14ac:dyDescent="0.15">
      <c r="A236" s="170" t="str">
        <f t="shared" si="13"/>
        <v>T5高品质20级</v>
      </c>
      <c r="B236" s="171">
        <v>30520</v>
      </c>
      <c r="C236" s="172">
        <f ca="1">(VLOOKUP(C$72,INDIRECT($C$5&amp;"生成成长"),2))/((VLOOKUP($B236,INDIRECT($B$5&amp;"生成成长"),4))/(VLOOKUP(C$72,INDIRECT($C$5&amp;"生成成长"),5))*(VLOOKUP($B$5,标准坦克设计!$B$24:$U$30,MATCH("对"&amp;LEFT($C$5,2)&amp;"输出",标准坦克设计!$B$23:$U$23,0)))*(VLOOKUP($B236,INDIRECT($B$5&amp;"生成成长"),3))*(VLOOKUP($B$5,标准坦克设计!$B$14:$K$20,9)/30))</f>
        <v>0.3942306415137512</v>
      </c>
      <c r="D236" s="172">
        <f ca="1">(VLOOKUP(D$72,INDIRECT($C$5&amp;"生成成长"),2))/((VLOOKUP($B236,INDIRECT($B$5&amp;"生成成长"),4))/(VLOOKUP(D$72,INDIRECT($C$5&amp;"生成成长"),5))*(VLOOKUP($B$5,标准坦克设计!$B$24:$U$30,MATCH("对"&amp;LEFT($C$5,2)&amp;"输出",标准坦克设计!$B$23:$U$23,0)))*(VLOOKUP($B236,INDIRECT($B$5&amp;"生成成长"),3))*(VLOOKUP($B$5,标准坦克设计!$B$14:$K$20,9)/30))</f>
        <v>0.44295754880485089</v>
      </c>
      <c r="E236" s="172">
        <f ca="1">(VLOOKUP(E$72,INDIRECT($C$5&amp;"生成成长"),2))/((VLOOKUP($B236,INDIRECT($B$5&amp;"生成成长"),4))/(VLOOKUP(E$72,INDIRECT($C$5&amp;"生成成长"),5))*(VLOOKUP($B$5,标准坦克设计!$B$24:$U$30,MATCH("对"&amp;LEFT($C$5,2)&amp;"输出",标准坦克设计!$B$23:$U$23,0)))*(VLOOKUP($B236,INDIRECT($B$5&amp;"生成成长"),3))*(VLOOKUP($B$5,标准坦克设计!$B$14:$K$20,9)/30))</f>
        <v>0.49452291671484944</v>
      </c>
      <c r="F236" s="172">
        <f ca="1">(VLOOKUP(F$72,INDIRECT($C$5&amp;"生成成长"),2))/((VLOOKUP($B236,INDIRECT($B$5&amp;"生成成长"),4))/(VLOOKUP(F$72,INDIRECT($C$5&amp;"生成成长"),5))*(VLOOKUP($B$5,标准坦克设计!$B$24:$U$30,MATCH("对"&amp;LEFT($C$5,2)&amp;"输出",标准坦克设计!$B$23:$U$23,0)))*(VLOOKUP($B236,INDIRECT($B$5&amp;"生成成长"),3))*(VLOOKUP($B$5,标准坦克设计!$B$14:$K$20,9)/30))</f>
        <v>0.54892674524374718</v>
      </c>
      <c r="G236" s="172">
        <f ca="1">(VLOOKUP(G$72,INDIRECT($C$5&amp;"生成成长"),2))/((VLOOKUP($B236,INDIRECT($B$5&amp;"生成成长"),4))/(VLOOKUP(G$72,INDIRECT($C$5&amp;"生成成长"),5))*(VLOOKUP($B$5,标准坦克设计!$B$24:$U$30,MATCH("对"&amp;LEFT($C$5,2)&amp;"输出",标准坦克设计!$B$23:$U$23,0)))*(VLOOKUP($B236,INDIRECT($B$5&amp;"生成成长"),3))*(VLOOKUP($B$5,标准坦克设计!$B$14:$K$20,9)/30))</f>
        <v>0.6061690343915439</v>
      </c>
      <c r="H236" s="172">
        <f ca="1">(VLOOKUP(H$72,INDIRECT($C$5&amp;"生成成长"),2))/((VLOOKUP($B236,INDIRECT($B$5&amp;"生成成长"),4))/(VLOOKUP(H$72,INDIRECT($C$5&amp;"生成成长"),5))*(VLOOKUP($B$5,标准坦克设计!$B$24:$U$30,MATCH("对"&amp;LEFT($C$5,2)&amp;"输出",标准坦克设计!$B$23:$U$23,0)))*(VLOOKUP($B236,INDIRECT($B$5&amp;"生成成长"),3))*(VLOOKUP($B$5,标准坦克设计!$B$14:$K$20,9)/30))</f>
        <v>0.53047675122090365</v>
      </c>
      <c r="I236" s="172">
        <f ca="1">(VLOOKUP(I$72,INDIRECT($C$5&amp;"生成成长"),2))/((VLOOKUP($B236,INDIRECT($B$5&amp;"生成成长"),4))/(VLOOKUP(I$72,INDIRECT($C$5&amp;"生成成长"),5))*(VLOOKUP($B$5,标准坦克设计!$B$24:$U$30,MATCH("对"&amp;LEFT($C$5,2)&amp;"输出",标准坦克设计!$B$23:$U$23,0)))*(VLOOKUP($B236,INDIRECT($B$5&amp;"生成成长"),3))*(VLOOKUP($B$5,标准坦克设计!$B$14:$K$20,9)/30))</f>
        <v>0.6061690343915439</v>
      </c>
      <c r="J236" s="172">
        <f ca="1">(VLOOKUP(J$72,INDIRECT($C$5&amp;"生成成长"),2))/((VLOOKUP($B236,INDIRECT($B$5&amp;"生成成长"),4))/(VLOOKUP(J$72,INDIRECT($C$5&amp;"生成成长"),5))*(VLOOKUP($B$5,标准坦克设计!$B$24:$U$30,MATCH("对"&amp;LEFT($C$5,2)&amp;"输出",标准坦克设计!$B$23:$U$23,0)))*(VLOOKUP($B236,INDIRECT($B$5&amp;"生成成长"),3))*(VLOOKUP($B$5,标准坦克设计!$B$14:$K$20,9)/30))</f>
        <v>0.6869074697735601</v>
      </c>
      <c r="K236" s="172">
        <f ca="1">(VLOOKUP(K$72,INDIRECT($C$5&amp;"生成成长"),2))/((VLOOKUP($B236,INDIRECT($B$5&amp;"生成成长"),4))/(VLOOKUP(K$72,INDIRECT($C$5&amp;"生成成长"),5))*(VLOOKUP($B$5,标准坦克设计!$B$24:$U$30,MATCH("对"&amp;LEFT($C$5,2)&amp;"输出",标准坦克设计!$B$23:$U$23,0)))*(VLOOKUP($B236,INDIRECT($B$5&amp;"生成成长"),3))*(VLOOKUP($B$5,标准坦克设计!$B$14:$K$20,9)/30))</f>
        <v>0.77269205736695235</v>
      </c>
      <c r="L236" s="172">
        <f ca="1">(VLOOKUP(L$72,INDIRECT($C$5&amp;"生成成长"),2))/((VLOOKUP($B236,INDIRECT($B$5&amp;"生成成长"),4))/(VLOOKUP(L$72,INDIRECT($C$5&amp;"生成成长"),5))*(VLOOKUP($B$5,标准坦克设计!$B$24:$U$30,MATCH("对"&amp;LEFT($C$5,2)&amp;"输出",标准坦克设计!$B$23:$U$23,0)))*(VLOOKUP($B236,INDIRECT($B$5&amp;"生成成长"),3))*(VLOOKUP($B$5,标准坦克设计!$B$14:$K$20,9)/30))</f>
        <v>0.86352279717172065</v>
      </c>
      <c r="M236" s="172">
        <f ca="1">(VLOOKUP(M$72,INDIRECT($C$5&amp;"生成成长"),2))/((VLOOKUP($B236,INDIRECT($B$5&amp;"生成成长"),4))/(VLOOKUP(M$72,INDIRECT($C$5&amp;"生成成长"),5))*(VLOOKUP($B$5,标准坦克设计!$B$24:$U$30,MATCH("对"&amp;LEFT($C$5,2)&amp;"输出",标准坦克设计!$B$23:$U$23,0)))*(VLOOKUP($B236,INDIRECT($B$5&amp;"生成成长"),3))*(VLOOKUP($B$5,标准坦克设计!$B$14:$K$20,9)/30))</f>
        <v>0.95939968918786489</v>
      </c>
      <c r="N236" s="172">
        <f ca="1">(VLOOKUP(N$72,INDIRECT($C$5&amp;"生成成长"),2))/((VLOOKUP($B236,INDIRECT($B$5&amp;"生成成长"),4))/(VLOOKUP(N$72,INDIRECT($C$5&amp;"生成成长"),5))*(VLOOKUP($B$5,标准坦克设计!$B$24:$U$30,MATCH("对"&amp;LEFT($C$5,2)&amp;"输出",标准坦克设计!$B$23:$U$23,0)))*(VLOOKUP($B236,INDIRECT($B$5&amp;"生成成长"),3))*(VLOOKUP($B$5,标准坦克设计!$B$14:$K$20,9)/30))</f>
        <v>1.0603227334153853</v>
      </c>
      <c r="O236" s="172">
        <f ca="1">(VLOOKUP(O$72,INDIRECT($C$5&amp;"生成成长"),2))/((VLOOKUP($B236,INDIRECT($B$5&amp;"生成成长"),4))/(VLOOKUP(O$72,INDIRECT($C$5&amp;"生成成长"),5))*(VLOOKUP($B$5,标准坦克设计!$B$24:$U$30,MATCH("对"&amp;LEFT($C$5,2)&amp;"输出",标准坦克设计!$B$23:$U$23,0)))*(VLOOKUP($B236,INDIRECT($B$5&amp;"生成成长"),3))*(VLOOKUP($B$5,标准坦克设计!$B$14:$K$20,9)/30))</f>
        <v>0.80616223883146998</v>
      </c>
      <c r="P236" s="172">
        <f ca="1">(VLOOKUP(P$72,INDIRECT($C$5&amp;"生成成长"),2))/((VLOOKUP($B236,INDIRECT($B$5&amp;"生成成长"),4))/(VLOOKUP(P$72,INDIRECT($C$5&amp;"生成成长"),5))*(VLOOKUP($B$5,标准坦克设计!$B$24:$U$30,MATCH("对"&amp;LEFT($C$5,2)&amp;"输出",标准坦克设计!$B$23:$U$23,0)))*(VLOOKUP($B236,INDIRECT($B$5&amp;"生成成长"),3))*(VLOOKUP($B$5,标准坦克设计!$B$14:$K$20,9)/30))</f>
        <v>0.91083047415337071</v>
      </c>
      <c r="Q236" s="172">
        <f ca="1">(VLOOKUP(Q$72,INDIRECT($C$5&amp;"生成成长"),2))/((VLOOKUP($B236,INDIRECT($B$5&amp;"生成成长"),4))/(VLOOKUP(Q$72,INDIRECT($C$5&amp;"生成成长"),5))*(VLOOKUP($B$5,标准坦克设计!$B$24:$U$30,MATCH("对"&amp;LEFT($C$5,2)&amp;"输出",标准坦克设计!$B$23:$U$23,0)))*(VLOOKUP($B236,INDIRECT($B$5&amp;"生成成长"),3))*(VLOOKUP($B$5,标准坦克设计!$B$14:$K$20,9)/30))</f>
        <v>1.0218852458677945</v>
      </c>
      <c r="R236" s="172">
        <f ca="1">(VLOOKUP(R$72,INDIRECT($C$5&amp;"生成成长"),2))/((VLOOKUP($B236,INDIRECT($B$5&amp;"生成成长"),4))/(VLOOKUP(R$72,INDIRECT($C$5&amp;"生成成长"),5))*(VLOOKUP($B$5,标准坦克设计!$B$24:$U$30,MATCH("对"&amp;LEFT($C$5,2)&amp;"输出",标准坦克设计!$B$23:$U$23,0)))*(VLOOKUP($B236,INDIRECT($B$5&amp;"生成成长"),3))*(VLOOKUP($B$5,标准坦克设计!$B$14:$K$20,9)/30))</f>
        <v>1.139326553974741</v>
      </c>
      <c r="S236" s="172">
        <f ca="1">(VLOOKUP(S$72,INDIRECT($C$5&amp;"生成成长"),2))/((VLOOKUP($B236,INDIRECT($B$5&amp;"生成成长"),4))/(VLOOKUP(S$72,INDIRECT($C$5&amp;"生成成长"),5))*(VLOOKUP($B$5,标准坦克设计!$B$24:$U$30,MATCH("对"&amp;LEFT($C$5,2)&amp;"输出",标准坦克设计!$B$23:$U$23,0)))*(VLOOKUP($B236,INDIRECT($B$5&amp;"生成成长"),3))*(VLOOKUP($B$5,标准坦克设计!$B$14:$K$20,9)/30))</f>
        <v>1.2631543984742102</v>
      </c>
      <c r="T236" s="172">
        <f ca="1">(VLOOKUP(T$72,INDIRECT($C$5&amp;"生成成长"),2))/((VLOOKUP($B236,INDIRECT($B$5&amp;"生成成长"),4))/(VLOOKUP(T$72,INDIRECT($C$5&amp;"生成成长"),5))*(VLOOKUP($B$5,标准坦克设计!$B$24:$U$30,MATCH("对"&amp;LEFT($C$5,2)&amp;"输出",标准坦克设计!$B$23:$U$23,0)))*(VLOOKUP($B236,INDIRECT($B$5&amp;"生成成长"),3))*(VLOOKUP($B$5,标准坦克设计!$B$14:$K$20,9)/30))</f>
        <v>1.3933687793662024</v>
      </c>
      <c r="U236" s="172">
        <f ca="1">(VLOOKUP(U$72,INDIRECT($C$5&amp;"生成成长"),2))/((VLOOKUP($B236,INDIRECT($B$5&amp;"生成成长"),4))/(VLOOKUP(U$72,INDIRECT($C$5&amp;"生成成长"),5))*(VLOOKUP($B$5,标准坦克设计!$B$24:$U$30,MATCH("对"&amp;LEFT($C$5,2)&amp;"输出",标准坦克设计!$B$23:$U$23,0)))*(VLOOKUP($B236,INDIRECT($B$5&amp;"生成成长"),3))*(VLOOKUP($B$5,标准坦克设计!$B$14:$K$20,9)/30))</f>
        <v>1.5299696966507172</v>
      </c>
      <c r="V236" s="172">
        <f ca="1">(VLOOKUP(V$72,INDIRECT($C$5&amp;"生成成长"),2))/((VLOOKUP($B236,INDIRECT($B$5&amp;"生成成长"),4))/(VLOOKUP(V$72,INDIRECT($C$5&amp;"生成成长"),5))*(VLOOKUP($B$5,标准坦克设计!$B$24:$U$30,MATCH("对"&amp;LEFT($C$5,2)&amp;"输出",标准坦克设计!$B$23:$U$23,0)))*(VLOOKUP($B236,INDIRECT($B$5&amp;"生成成长"),3))*(VLOOKUP($B$5,标准坦克设计!$B$14:$K$20,9)/30))</f>
        <v>1.6729571503277547</v>
      </c>
      <c r="W236" s="172">
        <f ca="1">(VLOOKUP(W$72,INDIRECT($C$5&amp;"生成成长"),2))/((VLOOKUP($B236,INDIRECT($B$5&amp;"生成成长"),4))/(VLOOKUP(W$72,INDIRECT($C$5&amp;"生成成长"),5))*(VLOOKUP($B$5,标准坦克设计!$B$24:$U$30,MATCH("对"&amp;LEFT($C$5,2)&amp;"输出",标准坦克设计!$B$23:$U$23,0)))*(VLOOKUP($B236,INDIRECT($B$5&amp;"生成成长"),3))*(VLOOKUP($B$5,标准坦克设计!$B$14:$K$20,9)/30))</f>
        <v>1.8223311403973153</v>
      </c>
      <c r="X236" s="172">
        <f ca="1">(VLOOKUP(X$72,INDIRECT($C$5&amp;"生成成长"),2))/((VLOOKUP($B236,INDIRECT($B$5&amp;"生成成长"),4))/(VLOOKUP(X$72,INDIRECT($C$5&amp;"生成成长"),5))*(VLOOKUP($B$5,标准坦克设计!$B$24:$U$30,MATCH("对"&amp;LEFT($C$5,2)&amp;"输出",标准坦克设计!$B$23:$U$23,0)))*(VLOOKUP($B236,INDIRECT($B$5&amp;"生成成长"),3))*(VLOOKUP($B$5,标准坦克设计!$B$14:$K$20,9)/30))</f>
        <v>1.3202389953654015</v>
      </c>
      <c r="Y236" s="172">
        <f ca="1">(VLOOKUP(Y$72,INDIRECT($C$5&amp;"生成成长"),2))/((VLOOKUP($B236,INDIRECT($B$5&amp;"生成成长"),4))/(VLOOKUP(Y$72,INDIRECT($C$5&amp;"生成成长"),5))*(VLOOKUP($B$5,标准坦克设计!$B$24:$U$30,MATCH("对"&amp;LEFT($C$5,2)&amp;"输出",标准坦克设计!$B$23:$U$23,0)))*(VLOOKUP($B236,INDIRECT($B$5&amp;"生成成长"),3))*(VLOOKUP($B$5,标准坦克设计!$B$14:$K$20,9)/30))</f>
        <v>1.4684697165745719</v>
      </c>
      <c r="Z236" s="172">
        <f ca="1">(VLOOKUP(Z$72,INDIRECT($C$5&amp;"生成成长"),2))/((VLOOKUP($B236,INDIRECT($B$5&amp;"生成成长"),4))/(VLOOKUP(Z$72,INDIRECT($C$5&amp;"生成成长"),5))*(VLOOKUP($B$5,标准坦克设计!$B$24:$U$30,MATCH("对"&amp;LEFT($C$5,2)&amp;"输出",标准坦克设计!$B$23:$U$23,0)))*(VLOOKUP($B236,INDIRECT($B$5&amp;"生成成长"),3))*(VLOOKUP($B$5,标准坦克设计!$B$14:$K$20,9)/30))</f>
        <v>1.6245850506140174</v>
      </c>
      <c r="AA236" s="172">
        <f ca="1">(VLOOKUP(AA$72,INDIRECT($C$5&amp;"生成成长"),2))/((VLOOKUP($B236,INDIRECT($B$5&amp;"生成成长"),4))/(VLOOKUP(AA$72,INDIRECT($C$5&amp;"生成成长"),5))*(VLOOKUP($B$5,标准坦克设计!$B$24:$U$30,MATCH("对"&amp;LEFT($C$5,2)&amp;"输出",标准坦克设计!$B$23:$U$23,0)))*(VLOOKUP($B236,INDIRECT($B$5&amp;"生成成长"),3))*(VLOOKUP($B$5,标准坦克设计!$B$14:$K$20,9)/30))</f>
        <v>1.7885849974837378</v>
      </c>
      <c r="AB236" s="172">
        <f ca="1">(VLOOKUP(AB$72,INDIRECT($C$5&amp;"生成成长"),2))/((VLOOKUP($B236,INDIRECT($B$5&amp;"生成成长"),4))/(VLOOKUP(AB$72,INDIRECT($C$5&amp;"生成成长"),5))*(VLOOKUP($B$5,标准坦克设计!$B$24:$U$30,MATCH("对"&amp;LEFT($C$5,2)&amp;"输出",标准坦克设计!$B$23:$U$23,0)))*(VLOOKUP($B236,INDIRECT($B$5&amp;"生成成长"),3))*(VLOOKUP($B$5,标准坦克设计!$B$14:$K$20,9)/30))</f>
        <v>1.9604695571837332</v>
      </c>
      <c r="AC236" s="172">
        <f ca="1">(VLOOKUP(AC$72,INDIRECT($C$5&amp;"生成成长"),2))/((VLOOKUP($B236,INDIRECT($B$5&amp;"生成成长"),4))/(VLOOKUP(AC$72,INDIRECT($C$5&amp;"生成成长"),5))*(VLOOKUP($B$5,标准坦克设计!$B$24:$U$30,MATCH("对"&amp;LEFT($C$5,2)&amp;"输出",标准坦克设计!$B$23:$U$23,0)))*(VLOOKUP($B236,INDIRECT($B$5&amp;"生成成长"),3))*(VLOOKUP($B$5,标准坦克设计!$B$14:$K$20,9)/30))</f>
        <v>2.1402387297140035</v>
      </c>
      <c r="AD236" s="172">
        <f ca="1">(VLOOKUP(AD$72,INDIRECT($C$5&amp;"生成成长"),2))/((VLOOKUP($B236,INDIRECT($B$5&amp;"生成成长"),4))/(VLOOKUP(AD$72,INDIRECT($C$5&amp;"生成成长"),5))*(VLOOKUP($B$5,标准坦克设计!$B$24:$U$30,MATCH("对"&amp;LEFT($C$5,2)&amp;"输出",标准坦克设计!$B$23:$U$23,0)))*(VLOOKUP($B236,INDIRECT($B$5&amp;"生成成长"),3))*(VLOOKUP($B$5,标准坦克设计!$B$14:$K$20,9)/30))</f>
        <v>2.3278925150745495</v>
      </c>
      <c r="AE236" s="172">
        <f ca="1">(VLOOKUP(AE$72,INDIRECT($C$5&amp;"生成成长"),2))/((VLOOKUP($B236,INDIRECT($B$5&amp;"生成成长"),4))/(VLOOKUP(AE$72,INDIRECT($C$5&amp;"生成成长"),5))*(VLOOKUP($B$5,标准坦克设计!$B$24:$U$30,MATCH("对"&amp;LEFT($C$5,2)&amp;"输出",标准坦克设计!$B$23:$U$23,0)))*(VLOOKUP($B236,INDIRECT($B$5&amp;"生成成长"),3))*(VLOOKUP($B$5,标准坦克设计!$B$14:$K$20,9)/30))</f>
        <v>2.5234309132653703</v>
      </c>
      <c r="AF236" s="172">
        <f ca="1">(VLOOKUP(AF$72,INDIRECT($C$5&amp;"生成成长"),2))/((VLOOKUP($B236,INDIRECT($B$5&amp;"生成成长"),4))/(VLOOKUP(AF$72,INDIRECT($C$5&amp;"生成成长"),5))*(VLOOKUP($B$5,标准坦克设计!$B$24:$U$30,MATCH("对"&amp;LEFT($C$5,2)&amp;"输出",标准坦克设计!$B$23:$U$23,0)))*(VLOOKUP($B236,INDIRECT($B$5&amp;"生成成长"),3))*(VLOOKUP($B$5,标准坦克设计!$B$14:$K$20,9)/30))</f>
        <v>2.7268539242864658</v>
      </c>
      <c r="AG236" s="172">
        <f ca="1">(VLOOKUP(AG$72,INDIRECT($C$5&amp;"生成成长"),2))/((VLOOKUP($B236,INDIRECT($B$5&amp;"生成成长"),4))/(VLOOKUP(AG$72,INDIRECT($C$5&amp;"生成成长"),5))*(VLOOKUP($B$5,标准坦克设计!$B$24:$U$30,MATCH("对"&amp;LEFT($C$5,2)&amp;"输出",标准坦克设计!$B$23:$U$23,0)))*(VLOOKUP($B236,INDIRECT($B$5&amp;"生成成长"),3))*(VLOOKUP($B$5,标准坦克设计!$B$14:$K$20,9)/30))</f>
        <v>2.9381615481378365</v>
      </c>
      <c r="AH236" s="172">
        <f ca="1">(VLOOKUP(AH$72,INDIRECT($C$5&amp;"生成成长"),2))/((VLOOKUP($B236,INDIRECT($B$5&amp;"生成成长"),4))/(VLOOKUP(AH$72,INDIRECT($C$5&amp;"生成成长"),5))*(VLOOKUP($B$5,标准坦克设计!$B$24:$U$30,MATCH("对"&amp;LEFT($C$5,2)&amp;"输出",标准坦克设计!$B$23:$U$23,0)))*(VLOOKUP($B236,INDIRECT($B$5&amp;"生成成长"),3))*(VLOOKUP($B$5,标准坦克设计!$B$14:$K$20,9)/30))</f>
        <v>3.1573537848194819</v>
      </c>
      <c r="AI236" s="172">
        <f ca="1">(VLOOKUP(AI$72,INDIRECT($C$5&amp;"生成成长"),2))/((VLOOKUP($B236,INDIRECT($B$5&amp;"生成成长"),4))/(VLOOKUP(AI$72,INDIRECT($C$5&amp;"生成成长"),5))*(VLOOKUP($B$5,标准坦克设计!$B$24:$U$30,MATCH("对"&amp;LEFT($C$5,2)&amp;"输出",标准坦克设计!$B$23:$U$23,0)))*(VLOOKUP($B236,INDIRECT($B$5&amp;"生成成长"),3))*(VLOOKUP($B$5,标准坦克设计!$B$14:$K$20,9)/30))</f>
        <v>2.233080045790492</v>
      </c>
      <c r="AJ236" s="172">
        <f ca="1">(VLOOKUP(AJ$72,INDIRECT($C$5&amp;"生成成长"),2))/((VLOOKUP($B236,INDIRECT($B$5&amp;"生成成长"),4))/(VLOOKUP(AJ$72,INDIRECT($C$5&amp;"生成成长"),5))*(VLOOKUP($B$5,标准坦克设计!$B$24:$U$30,MATCH("对"&amp;LEFT($C$5,2)&amp;"输出",标准坦克设计!$B$23:$U$23,0)))*(VLOOKUP($B236,INDIRECT($B$5&amp;"生成成长"),3))*(VLOOKUP($B$5,标准坦克设计!$B$14:$K$20,9)/30))</f>
        <v>2.4442694004494085</v>
      </c>
      <c r="AK236" s="172">
        <f ca="1">(VLOOKUP(AK$72,INDIRECT($C$5&amp;"生成成长"),2))/((VLOOKUP($B236,INDIRECT($B$5&amp;"生成成长"),4))/(VLOOKUP(AK$72,INDIRECT($C$5&amp;"生成成长"),5))*(VLOOKUP($B$5,标准坦克设计!$B$24:$U$30,MATCH("对"&amp;LEFT($C$5,2)&amp;"输出",标准坦克设计!$B$23:$U$23,0)))*(VLOOKUP($B236,INDIRECT($B$5&amp;"生成成长"),3))*(VLOOKUP($B$5,标准坦克设计!$B$14:$K$20,9)/30))</f>
        <v>2.6649991366329582</v>
      </c>
      <c r="AL236" s="172">
        <f ca="1">(VLOOKUP(AL$72,INDIRECT($C$5&amp;"生成成长"),2))/((VLOOKUP($B236,INDIRECT($B$5&amp;"生成成长"),4))/(VLOOKUP(AL$72,INDIRECT($C$5&amp;"生成成长"),5))*(VLOOKUP($B$5,标准坦克设计!$B$24:$U$30,MATCH("对"&amp;LEFT($C$5,2)&amp;"输出",标准坦克设计!$B$23:$U$23,0)))*(VLOOKUP($B236,INDIRECT($B$5&amp;"生成成长"),3))*(VLOOKUP($B$5,标准坦克设计!$B$14:$K$20,9)/30))</f>
        <v>2.8952692543411405</v>
      </c>
      <c r="AM236" s="172">
        <f ca="1">(VLOOKUP(AM$72,INDIRECT($C$5&amp;"生成成长"),2))/((VLOOKUP($B236,INDIRECT($B$5&amp;"生成成长"),4))/(VLOOKUP(AM$72,INDIRECT($C$5&amp;"生成成长"),5))*(VLOOKUP($B$5,标准坦克设计!$B$24:$U$30,MATCH("对"&amp;LEFT($C$5,2)&amp;"输出",标准坦克设计!$B$23:$U$23,0)))*(VLOOKUP($B236,INDIRECT($B$5&amp;"生成成长"),3))*(VLOOKUP($B$5,标准坦克设计!$B$14:$K$20,9)/30))</f>
        <v>3.1350797535739554</v>
      </c>
      <c r="AN236" s="172">
        <f ca="1">(VLOOKUP(AN$72,INDIRECT($C$5&amp;"生成成长"),2))/((VLOOKUP($B236,INDIRECT($B$5&amp;"生成成长"),4))/(VLOOKUP(AN$72,INDIRECT($C$5&amp;"生成成长"),5))*(VLOOKUP($B$5,标准坦克设计!$B$24:$U$30,MATCH("对"&amp;LEFT($C$5,2)&amp;"输出",标准坦克设计!$B$23:$U$23,0)))*(VLOOKUP($B236,INDIRECT($B$5&amp;"生成成长"),3))*(VLOOKUP($B$5,标准坦克设计!$B$14:$K$20,9)/30))</f>
        <v>3.3844306343314026</v>
      </c>
      <c r="AO236" s="172">
        <f ca="1">(VLOOKUP(AO$72,INDIRECT($C$5&amp;"生成成长"),2))/((VLOOKUP($B236,INDIRECT($B$5&amp;"生成成长"),4))/(VLOOKUP(AO$72,INDIRECT($C$5&amp;"生成成长"),5))*(VLOOKUP($B$5,标准坦克设计!$B$24:$U$30,MATCH("对"&amp;LEFT($C$5,2)&amp;"输出",标准坦克设计!$B$23:$U$23,0)))*(VLOOKUP($B236,INDIRECT($B$5&amp;"生成成长"),3))*(VLOOKUP($B$5,标准坦克设计!$B$14:$K$20,9)/30))</f>
        <v>3.6433218966134828</v>
      </c>
      <c r="AP236" s="172">
        <f ca="1">(VLOOKUP(AP$72,INDIRECT($C$5&amp;"生成成长"),2))/((VLOOKUP($B236,INDIRECT($B$5&amp;"生成成长"),4))/(VLOOKUP(AP$72,INDIRECT($C$5&amp;"生成成长"),5))*(VLOOKUP($B$5,标准坦克设计!$B$24:$U$30,MATCH("对"&amp;LEFT($C$5,2)&amp;"输出",标准坦克设计!$B$23:$U$23,0)))*(VLOOKUP($B236,INDIRECT($B$5&amp;"生成成长"),3))*(VLOOKUP($B$5,标准坦克设计!$B$14:$K$20,9)/30))</f>
        <v>3.9117535404201962</v>
      </c>
      <c r="AQ236" s="172">
        <f ca="1">(VLOOKUP(AQ$72,INDIRECT($C$5&amp;"生成成长"),2))/((VLOOKUP($B236,INDIRECT($B$5&amp;"生成成长"),4))/(VLOOKUP(AQ$72,INDIRECT($C$5&amp;"生成成长"),5))*(VLOOKUP($B$5,标准坦克设计!$B$24:$U$30,MATCH("对"&amp;LEFT($C$5,2)&amp;"输出",标准坦克设计!$B$23:$U$23,0)))*(VLOOKUP($B236,INDIRECT($B$5&amp;"生成成长"),3))*(VLOOKUP($B$5,标准坦克设计!$B$14:$K$20,9)/30))</f>
        <v>4.1897255657515426</v>
      </c>
      <c r="AR236" s="172">
        <f ca="1">(VLOOKUP(AR$72,INDIRECT($C$5&amp;"生成成长"),2))/((VLOOKUP($B236,INDIRECT($B$5&amp;"生成成长"),4))/(VLOOKUP(AR$72,INDIRECT($C$5&amp;"生成成长"),5))*(VLOOKUP($B$5,标准坦克设计!$B$24:$U$30,MATCH("对"&amp;LEFT($C$5,2)&amp;"输出",标准坦克设计!$B$23:$U$23,0)))*(VLOOKUP($B236,INDIRECT($B$5&amp;"生成成长"),3))*(VLOOKUP($B$5,标准坦克设计!$B$14:$K$20,9)/30))</f>
        <v>4.4772379726075213</v>
      </c>
      <c r="AS236" s="172">
        <f ca="1">(VLOOKUP(AS$72,INDIRECT($C$5&amp;"生成成长"),2))/((VLOOKUP($B236,INDIRECT($B$5&amp;"生成成长"),4))/(VLOOKUP(AS$72,INDIRECT($C$5&amp;"生成成长"),5))*(VLOOKUP($B$5,标准坦克设计!$B$24:$U$30,MATCH("对"&amp;LEFT($C$5,2)&amp;"输出",标准坦克设计!$B$23:$U$23,0)))*(VLOOKUP($B236,INDIRECT($B$5&amp;"生成成长"),3))*(VLOOKUP($B$5,标准坦克设计!$B$14:$K$20,9)/30))</f>
        <v>4.7742907609881327</v>
      </c>
      <c r="AT236" s="172">
        <f ca="1">(VLOOKUP(AT$72,INDIRECT($C$5&amp;"生成成长"),2))/((VLOOKUP($B236,INDIRECT($B$5&amp;"生成成长"),4))/(VLOOKUP(AT$72,INDIRECT($C$5&amp;"生成成长"),5))*(VLOOKUP($B$5,标准坦克设计!$B$24:$U$30,MATCH("对"&amp;LEFT($C$5,2)&amp;"输出",标准坦克设计!$B$23:$U$23,0)))*(VLOOKUP($B236,INDIRECT($B$5&amp;"生成成长"),3))*(VLOOKUP($B$5,标准坦克设计!$B$14:$K$20,9)/30))</f>
        <v>5.0808839308933766</v>
      </c>
      <c r="AU236" s="172">
        <f ca="1">(VLOOKUP(AU$72,INDIRECT($C$5&amp;"生成成长"),2))/((VLOOKUP($B236,INDIRECT($B$5&amp;"生成成长"),4))/(VLOOKUP(AU$72,INDIRECT($C$5&amp;"生成成长"),5))*(VLOOKUP($B$5,标准坦克设计!$B$24:$U$30,MATCH("对"&amp;LEFT($C$5,2)&amp;"输出",标准坦克设计!$B$23:$U$23,0)))*(VLOOKUP($B236,INDIRECT($B$5&amp;"生成成长"),3))*(VLOOKUP($B$5,标准坦克设计!$B$14:$K$20,9)/30))</f>
        <v>5.3970174823232542</v>
      </c>
      <c r="AV236" s="172">
        <f ca="1">(VLOOKUP(AV$72,INDIRECT($C$5&amp;"生成成长"),2))/((VLOOKUP($B236,INDIRECT($B$5&amp;"生成成长"),4))/(VLOOKUP(AV$72,INDIRECT($C$5&amp;"生成成长"),5))*(VLOOKUP($B$5,标准坦克设计!$B$24:$U$30,MATCH("对"&amp;LEFT($C$5,2)&amp;"输出",标准坦克设计!$B$23:$U$23,0)))*(VLOOKUP($B236,INDIRECT($B$5&amp;"生成成长"),3))*(VLOOKUP($B$5,标准坦克设计!$B$14:$K$20,9)/30))</f>
        <v>0.54892674524374718</v>
      </c>
      <c r="AW236" s="172">
        <f ca="1">(VLOOKUP(AW$72,INDIRECT($C$5&amp;"生成成长"),2))/((VLOOKUP($B236,INDIRECT($B$5&amp;"生成成长"),4))/(VLOOKUP(AW$72,INDIRECT($C$5&amp;"生成成长"),5))*(VLOOKUP($B$5,标准坦克设计!$B$24:$U$30,MATCH("对"&amp;LEFT($C$5,2)&amp;"输出",标准坦克设计!$B$23:$U$23,0)))*(VLOOKUP($B236,INDIRECT($B$5&amp;"生成成长"),3))*(VLOOKUP($B$5,标准坦克设计!$B$14:$K$20,9)/30))</f>
        <v>0.62588056646723134</v>
      </c>
      <c r="AX236" s="172">
        <f ca="1">(VLOOKUP(AX$72,INDIRECT($C$5&amp;"生成成长"),2))/((VLOOKUP($B236,INDIRECT($B$5&amp;"生成成长"),4))/(VLOOKUP(AX$72,INDIRECT($C$5&amp;"生成成长"),5))*(VLOOKUP($B$5,标准坦克设计!$B$24:$U$30,MATCH("对"&amp;LEFT($C$5,2)&amp;"输出",标准坦克设计!$B$23:$U$23,0)))*(VLOOKUP($B236,INDIRECT($B$5&amp;"生成成长"),3))*(VLOOKUP($B$5,标准坦克设计!$B$14:$K$20,9)/30))</f>
        <v>0.70788053990209165</v>
      </c>
      <c r="AY236" s="172">
        <f ca="1">(VLOOKUP(AY$72,INDIRECT($C$5&amp;"生成成长"),2))/((VLOOKUP($B236,INDIRECT($B$5&amp;"生成成长"),4))/(VLOOKUP(AY$72,INDIRECT($C$5&amp;"生成成长"),5))*(VLOOKUP($B$5,标准坦克设计!$B$24:$U$30,MATCH("对"&amp;LEFT($C$5,2)&amp;"输出",标准坦克设计!$B$23:$U$23,0)))*(VLOOKUP($B236,INDIRECT($B$5&amp;"生成成长"),3))*(VLOOKUP($B$5,标准坦克设计!$B$14:$K$20,9)/30))</f>
        <v>0.79492666554832792</v>
      </c>
      <c r="AZ236" s="172">
        <f ca="1">(VLOOKUP(AZ$72,INDIRECT($C$5&amp;"生成成长"),2))/((VLOOKUP($B236,INDIRECT($B$5&amp;"生成成长"),4))/(VLOOKUP(AZ$72,INDIRECT($C$5&amp;"生成成长"),5))*(VLOOKUP($B$5,标准坦克设计!$B$24:$U$30,MATCH("对"&amp;LEFT($C$5,2)&amp;"输出",标准坦克设计!$B$23:$U$23,0)))*(VLOOKUP($B236,INDIRECT($B$5&amp;"生成成长"),3))*(VLOOKUP($B$5,标准坦克设计!$B$14:$K$20,9)/30))</f>
        <v>0.88701894340594023</v>
      </c>
      <c r="BA236" s="172">
        <f ca="1">(VLOOKUP(BA$72,INDIRECT($C$5&amp;"生成成长"),2))/((VLOOKUP($B236,INDIRECT($B$5&amp;"生成成长"),4))/(VLOOKUP(BA$72,INDIRECT($C$5&amp;"生成成长"),5))*(VLOOKUP($B$5,标准坦克设计!$B$24:$U$30,MATCH("对"&amp;LEFT($C$5,2)&amp;"输出",标准坦克设计!$B$23:$U$23,0)))*(VLOOKUP($B236,INDIRECT($B$5&amp;"生成成长"),3))*(VLOOKUP($B$5,标准坦克设计!$B$14:$K$20,9)/30))</f>
        <v>0.9841573734749286</v>
      </c>
      <c r="BB236" s="172">
        <f ca="1">(VLOOKUP(BB$72,INDIRECT($C$5&amp;"生成成长"),2))/((VLOOKUP($B236,INDIRECT($B$5&amp;"生成成长"),4))/(VLOOKUP(BB$72,INDIRECT($C$5&amp;"生成成长"),5))*(VLOOKUP($B$5,标准坦克设计!$B$24:$U$30,MATCH("对"&amp;LEFT($C$5,2)&amp;"输出",标准坦克设计!$B$23:$U$23,0)))*(VLOOKUP($B236,INDIRECT($B$5&amp;"生成成长"),3))*(VLOOKUP($B$5,标准坦克设计!$B$14:$K$20,9)/30))</f>
        <v>1.0863419557552929</v>
      </c>
      <c r="BC236" s="172">
        <f ca="1">(VLOOKUP(BC$72,INDIRECT($C$5&amp;"生成成长"),2))/((VLOOKUP($B236,INDIRECT($B$5&amp;"生成成长"),4))/(VLOOKUP(BC$72,INDIRECT($C$5&amp;"生成成长"),5))*(VLOOKUP($B$5,标准坦克设计!$B$24:$U$30,MATCH("对"&amp;LEFT($C$5,2)&amp;"输出",标准坦克设计!$B$23:$U$23,0)))*(VLOOKUP($B236,INDIRECT($B$5&amp;"生成成长"),3))*(VLOOKUP($B$5,标准坦克设计!$B$14:$K$20,9)/30))</f>
        <v>1.1935726902470332</v>
      </c>
      <c r="BD236" s="172">
        <f ca="1">(VLOOKUP(BD$72,INDIRECT($C$5&amp;"生成成长"),2))/((VLOOKUP($B236,INDIRECT($B$5&amp;"生成成长"),4))/(VLOOKUP(BD$72,INDIRECT($C$5&amp;"生成成长"),5))*(VLOOKUP($B$5,标准坦克设计!$B$24:$U$30,MATCH("对"&amp;LEFT($C$5,2)&amp;"输出",标准坦克设计!$B$23:$U$23,0)))*(VLOOKUP($B236,INDIRECT($B$5&amp;"生成成长"),3))*(VLOOKUP($B$5,标准坦克设计!$B$14:$K$20,9)/30))</f>
        <v>1.3202389953654015</v>
      </c>
      <c r="BE236" s="172">
        <f ca="1">(VLOOKUP(BE$72,INDIRECT($C$5&amp;"生成成长"),2))/((VLOOKUP($B236,INDIRECT($B$5&amp;"生成成长"),4))/(VLOOKUP(BE$72,INDIRECT($C$5&amp;"生成成长"),5))*(VLOOKUP($B$5,标准坦克设计!$B$24:$U$30,MATCH("对"&amp;LEFT($C$5,2)&amp;"输出",标准坦克设计!$B$23:$U$23,0)))*(VLOOKUP($B236,INDIRECT($B$5&amp;"生成成长"),3))*(VLOOKUP($B$5,标准坦克设计!$B$14:$K$20,9)/30))</f>
        <v>1.4532918368762924</v>
      </c>
      <c r="BF236" s="172">
        <f ca="1">(VLOOKUP(BF$72,INDIRECT($C$5&amp;"生成成长"),2))/((VLOOKUP($B236,INDIRECT($B$5&amp;"生成成长"),4))/(VLOOKUP(BF$72,INDIRECT($C$5&amp;"生成成长"),5))*(VLOOKUP($B$5,标准坦克设计!$B$24:$U$30,MATCH("对"&amp;LEFT($C$5,2)&amp;"输出",标准坦克设计!$B$23:$U$23,0)))*(VLOOKUP($B236,INDIRECT($B$5&amp;"生成成长"),3))*(VLOOKUP($B$5,标准坦克设计!$B$14:$K$20,9)/30))</f>
        <v>1.5927312147797064</v>
      </c>
      <c r="BG236" s="172">
        <f ca="1">(VLOOKUP(BG$72,INDIRECT($C$5&amp;"生成成长"),2))/((VLOOKUP($B236,INDIRECT($B$5&amp;"生成成长"),4))/(VLOOKUP(BG$72,INDIRECT($C$5&amp;"生成成长"),5))*(VLOOKUP($B$5,标准坦克设计!$B$24:$U$30,MATCH("对"&amp;LEFT($C$5,2)&amp;"输出",标准坦克设计!$B$23:$U$23,0)))*(VLOOKUP($B236,INDIRECT($B$5&amp;"生成成长"),3))*(VLOOKUP($B$5,标准坦克设计!$B$14:$K$20,9)/30))</f>
        <v>1.738557129075643</v>
      </c>
      <c r="BH236" s="172">
        <f ca="1">(VLOOKUP(BH$72,INDIRECT($C$5&amp;"生成成长"),2))/((VLOOKUP($B236,INDIRECT($B$5&amp;"生成成长"),4))/(VLOOKUP(BH$72,INDIRECT($C$5&amp;"生成成长"),5))*(VLOOKUP($B$5,标准坦克设计!$B$24:$U$30,MATCH("对"&amp;LEFT($C$5,2)&amp;"输出",标准坦克设计!$B$23:$U$23,0)))*(VLOOKUP($B236,INDIRECT($B$5&amp;"生成成长"),3))*(VLOOKUP($B$5,标准坦克设计!$B$14:$K$20,9)/30))</f>
        <v>0.84034203545071195</v>
      </c>
      <c r="BI236" s="172">
        <f ca="1">(VLOOKUP(BI$72,INDIRECT($C$5&amp;"生成成长"),2))/((VLOOKUP($B236,INDIRECT($B$5&amp;"生成成长"),4))/(VLOOKUP(BI$72,INDIRECT($C$5&amp;"生成成长"),5))*(VLOOKUP($B$5,标准坦克设计!$B$24:$U$30,MATCH("对"&amp;LEFT($C$5,2)&amp;"输出",标准坦克设计!$B$23:$U$23,0)))*(VLOOKUP($B236,INDIRECT($B$5&amp;"生成成长"),3))*(VLOOKUP($B$5,标准坦克设计!$B$14:$K$20,9)/30))</f>
        <v>0.94713911623678726</v>
      </c>
      <c r="BJ236" s="172">
        <f ca="1">(VLOOKUP(BJ$72,INDIRECT($C$5&amp;"生成成长"),2))/((VLOOKUP($B236,INDIRECT($B$5&amp;"生成成长"),4))/(VLOOKUP(BJ$72,INDIRECT($C$5&amp;"生成成长"),5))*(VLOOKUP($B$5,标准坦克设计!$B$24:$U$30,MATCH("对"&amp;LEFT($C$5,2)&amp;"输出",标准坦克设计!$B$23:$U$23,0)))*(VLOOKUP($B236,INDIRECT($B$5&amp;"生成成长"),3))*(VLOOKUP($B$5,标准坦克设计!$B$14:$K$20,9)/30))</f>
        <v>1.0603227334153853</v>
      </c>
      <c r="BK236" s="172">
        <f ca="1">(VLOOKUP(BK$72,INDIRECT($C$5&amp;"生成成长"),2))/((VLOOKUP($B236,INDIRECT($B$5&amp;"生成成长"),4))/(VLOOKUP(BK$72,INDIRECT($C$5&amp;"生成成长"),5))*(VLOOKUP($B$5,标准坦克设计!$B$24:$U$30,MATCH("对"&amp;LEFT($C$5,2)&amp;"输出",标准坦克设计!$B$23:$U$23,0)))*(VLOOKUP($B236,INDIRECT($B$5&amp;"生成成长"),3))*(VLOOKUP($B$5,标准坦克设计!$B$14:$K$20,9)/30))</f>
        <v>1.179892886986506</v>
      </c>
      <c r="BL236" s="172">
        <f ca="1">(VLOOKUP(BL$72,INDIRECT($C$5&amp;"生成成长"),2))/((VLOOKUP($B236,INDIRECT($B$5&amp;"生成成长"),4))/(VLOOKUP(BL$72,INDIRECT($C$5&amp;"生成成长"),5))*(VLOOKUP($B$5,标准坦克设计!$B$24:$U$30,MATCH("对"&amp;LEFT($C$5,2)&amp;"输出",标准坦克设计!$B$23:$U$23,0)))*(VLOOKUP($B236,INDIRECT($B$5&amp;"生成成长"),3))*(VLOOKUP($B$5,标准坦克设计!$B$14:$K$20,9)/30))</f>
        <v>1.3058495769501495</v>
      </c>
      <c r="BM236" s="172">
        <f ca="1">(VLOOKUP(BM$72,INDIRECT($C$5&amp;"生成成长"),2))/((VLOOKUP($B236,INDIRECT($B$5&amp;"生成成长"),4))/(VLOOKUP(BM$72,INDIRECT($C$5&amp;"生成成长"),5))*(VLOOKUP($B$5,标准坦克设计!$B$24:$U$30,MATCH("对"&amp;LEFT($C$5,2)&amp;"输出",标准坦克设计!$B$23:$U$23,0)))*(VLOOKUP($B236,INDIRECT($B$5&amp;"生成成长"),3))*(VLOOKUP($B$5,标准坦克设计!$B$14:$K$20,9)/30))</f>
        <v>1.438192803306316</v>
      </c>
      <c r="BN236" s="172">
        <f ca="1">(VLOOKUP(BN$72,INDIRECT($C$5&amp;"生成成长"),2))/((VLOOKUP($B236,INDIRECT($B$5&amp;"生成成长"),4))/(VLOOKUP(BN$72,INDIRECT($C$5&amp;"生成成长"),5))*(VLOOKUP($B$5,标准坦克设计!$B$24:$U$30,MATCH("对"&amp;LEFT($C$5,2)&amp;"输出",标准坦克设计!$B$23:$U$23,0)))*(VLOOKUP($B236,INDIRECT($B$5&amp;"生成成长"),3))*(VLOOKUP($B$5,标准坦克设计!$B$14:$K$20,9)/30))</f>
        <v>1.5769225660550048</v>
      </c>
      <c r="BO236" s="172">
        <f ca="1">(VLOOKUP(BO$72,INDIRECT($C$5&amp;"生成成长"),2))/((VLOOKUP($B236,INDIRECT($B$5&amp;"生成成长"),4))/(VLOOKUP(BO$72,INDIRECT($C$5&amp;"生成成长"),5))*(VLOOKUP($B$5,标准坦克设计!$B$24:$U$30,MATCH("对"&amp;LEFT($C$5,2)&amp;"输出",标准坦克设计!$B$23:$U$23,0)))*(VLOOKUP($B236,INDIRECT($B$5&amp;"生成成长"),3))*(VLOOKUP($B$5,标准坦克设计!$B$14:$K$20,9)/30))</f>
        <v>1.7220388651962169</v>
      </c>
      <c r="BP236" s="172">
        <f ca="1">(VLOOKUP(BP$72,INDIRECT($C$5&amp;"生成成长"),2))/((VLOOKUP($B236,INDIRECT($B$5&amp;"生成成长"),4))/(VLOOKUP(BP$72,INDIRECT($C$5&amp;"生成成长"),5))*(VLOOKUP($B$5,标准坦克设计!$B$24:$U$30,MATCH("对"&amp;LEFT($C$5,2)&amp;"输出",标准坦克设计!$B$23:$U$23,0)))*(VLOOKUP($B236,INDIRECT($B$5&amp;"生成成长"),3))*(VLOOKUP($B$5,标准坦克设计!$B$14:$K$20,9)/30))</f>
        <v>1.8735417007299513</v>
      </c>
      <c r="BQ236" s="172">
        <f ca="1">(VLOOKUP(BQ$72,INDIRECT($C$5&amp;"生成成长"),2))/((VLOOKUP($B236,INDIRECT($B$5&amp;"生成成长"),4))/(VLOOKUP(BQ$72,INDIRECT($C$5&amp;"生成成长"),5))*(VLOOKUP($B$5,标准坦克设计!$B$24:$U$30,MATCH("对"&amp;LEFT($C$5,2)&amp;"输出",标准坦克设计!$B$23:$U$23,0)))*(VLOOKUP($B236,INDIRECT($B$5&amp;"生成成长"),3))*(VLOOKUP($B$5,标准坦克设计!$B$14:$K$20,9)/30))</f>
        <v>2.031431072656209</v>
      </c>
      <c r="BR236" s="172">
        <f ca="1">(VLOOKUP(BR$72,INDIRECT($C$5&amp;"生成成长"),2))/((VLOOKUP($B236,INDIRECT($B$5&amp;"生成成长"),4))/(VLOOKUP(BR$72,INDIRECT($C$5&amp;"生成成长"),5))*(VLOOKUP($B$5,标准坦克设计!$B$24:$U$30,MATCH("对"&amp;LEFT($C$5,2)&amp;"输出",标准坦克设计!$B$23:$U$23,0)))*(VLOOKUP($B236,INDIRECT($B$5&amp;"生成成长"),3))*(VLOOKUP($B$5,标准坦克设计!$B$14:$K$20,9)/30))</f>
        <v>2.2143540903185892</v>
      </c>
      <c r="BS236" s="172">
        <f ca="1">(VLOOKUP(BS$72,INDIRECT($C$5&amp;"生成成长"),2))/((VLOOKUP($B236,INDIRECT($B$5&amp;"生成成长"),4))/(VLOOKUP(BS$72,INDIRECT($C$5&amp;"生成成长"),5))*(VLOOKUP($B$5,标准坦克设计!$B$24:$U$30,MATCH("对"&amp;LEFT($C$5,2)&amp;"输出",标准坦克设计!$B$23:$U$23,0)))*(VLOOKUP($B236,INDIRECT($B$5&amp;"生成成长"),3))*(VLOOKUP($B$5,标准坦克设计!$B$14:$K$20,9)/30))</f>
        <v>2.405161720811245</v>
      </c>
      <c r="BT236" s="172">
        <f ca="1">(VLOOKUP(BT$72,INDIRECT($C$5&amp;"生成成长"),2))/((VLOOKUP($B236,INDIRECT($B$5&amp;"生成成长"),4))/(VLOOKUP(BT$72,INDIRECT($C$5&amp;"生成成长"),5))*(VLOOKUP($B$5,标准坦克设计!$B$24:$U$30,MATCH("对"&amp;LEFT($C$5,2)&amp;"输出",标准坦克设计!$B$23:$U$23,0)))*(VLOOKUP($B236,INDIRECT($B$5&amp;"生成成长"),3))*(VLOOKUP($B$5,标准坦克设计!$B$14:$K$20,9)/30))</f>
        <v>2.6038539641341756</v>
      </c>
      <c r="BU236" s="172">
        <f ca="1">(VLOOKUP(BU$72,INDIRECT($C$5&amp;"生成成长"),2))/((VLOOKUP($B236,INDIRECT($B$5&amp;"生成成长"),4))/(VLOOKUP(BU$72,INDIRECT($C$5&amp;"生成成长"),5))*(VLOOKUP($B$5,标准坦克设计!$B$24:$U$30,MATCH("对"&amp;LEFT($C$5,2)&amp;"输出",标准坦克设计!$B$23:$U$23,0)))*(VLOOKUP($B236,INDIRECT($B$5&amp;"生成成长"),3))*(VLOOKUP($B$5,标准坦克设计!$B$14:$K$20,9)/30))</f>
        <v>2.8104308202873809</v>
      </c>
      <c r="BV236" s="172">
        <f ca="1">(VLOOKUP(BV$72,INDIRECT($C$5&amp;"生成成长"),2))/((VLOOKUP($B236,INDIRECT($B$5&amp;"生成成长"),4))/(VLOOKUP(BV$72,INDIRECT($C$5&amp;"生成成长"),5))*(VLOOKUP($B$5,标准坦克设计!$B$24:$U$30,MATCH("对"&amp;LEFT($C$5,2)&amp;"输出",标准坦克设计!$B$23:$U$23,0)))*(VLOOKUP($B236,INDIRECT($B$5&amp;"生成成长"),3))*(VLOOKUP($B$5,标准坦克设计!$B$14:$K$20,9)/30))</f>
        <v>3.0248922892708614</v>
      </c>
      <c r="BW236" s="172">
        <f ca="1">(VLOOKUP(BW$72,INDIRECT($C$5&amp;"生成成长"),2))/((VLOOKUP($B236,INDIRECT($B$5&amp;"生成成长"),4))/(VLOOKUP(BW$72,INDIRECT($C$5&amp;"生成成长"),5))*(VLOOKUP($B$5,标准坦克设计!$B$24:$U$30,MATCH("对"&amp;LEFT($C$5,2)&amp;"输出",标准坦克设计!$B$23:$U$23,0)))*(VLOOKUP($B236,INDIRECT($B$5&amp;"生成成长"),3))*(VLOOKUP($B$5,标准坦克设计!$B$14:$K$20,9)/30))</f>
        <v>1.3785851303094365</v>
      </c>
      <c r="BX236" s="172">
        <f ca="1">(VLOOKUP(BX$72,INDIRECT($C$5&amp;"生成成长"),2))/((VLOOKUP($B236,INDIRECT($B$5&amp;"生成成长"),4))/(VLOOKUP(BX$72,INDIRECT($C$5&amp;"生成成长"),5))*(VLOOKUP($B$5,标准坦克设计!$B$24:$U$30,MATCH("对"&amp;LEFT($C$5,2)&amp;"输出",标准坦克设计!$B$23:$U$23,0)))*(VLOOKUP($B236,INDIRECT($B$5&amp;"生成成长"),3))*(VLOOKUP($B$5,标准坦克设计!$B$14:$K$20,9)/30))</f>
        <v>1.5299696966507172</v>
      </c>
      <c r="BY236" s="172">
        <f ca="1">(VLOOKUP(BY$72,INDIRECT($C$5&amp;"生成成长"),2))/((VLOOKUP($B236,INDIRECT($B$5&amp;"生成成长"),4))/(VLOOKUP(BY$72,INDIRECT($C$5&amp;"生成成长"),5))*(VLOOKUP($B$5,标准坦克设计!$B$24:$U$30,MATCH("对"&amp;LEFT($C$5,2)&amp;"输出",标准坦克设计!$B$23:$U$23,0)))*(VLOOKUP($B236,INDIRECT($B$5&amp;"生成成长"),3))*(VLOOKUP($B$5,标准坦克设计!$B$14:$K$20,9)/30))</f>
        <v>1.6892388758222727</v>
      </c>
      <c r="BZ236" s="172">
        <f ca="1">(VLOOKUP(BZ$72,INDIRECT($C$5&amp;"生成成长"),2))/((VLOOKUP($B236,INDIRECT($B$5&amp;"生成成长"),4))/(VLOOKUP(BZ$72,INDIRECT($C$5&amp;"生成成长"),5))*(VLOOKUP($B$5,标准坦克设计!$B$24:$U$30,MATCH("对"&amp;LEFT($C$5,2)&amp;"输出",标准坦克设计!$B$23:$U$23,0)))*(VLOOKUP($B236,INDIRECT($B$5&amp;"生成成长"),3))*(VLOOKUP($B$5,标准坦克设计!$B$14:$K$20,9)/30))</f>
        <v>1.8563926678241032</v>
      </c>
      <c r="CA236" s="172">
        <f ca="1">(VLOOKUP(CA$72,INDIRECT($C$5&amp;"生成成长"),2))/((VLOOKUP($B236,INDIRECT($B$5&amp;"生成成长"),4))/(VLOOKUP(CA$72,INDIRECT($C$5&amp;"生成成长"),5))*(VLOOKUP($B$5,标准坦克设计!$B$24:$U$30,MATCH("对"&amp;LEFT($C$5,2)&amp;"输出",标准坦克设计!$B$23:$U$23,0)))*(VLOOKUP($B236,INDIRECT($B$5&amp;"生成成长"),3))*(VLOOKUP($B$5,标准坦克设计!$B$14:$K$20,9)/30))</f>
        <v>2.031431072656209</v>
      </c>
      <c r="CB236" s="172">
        <f ca="1">(VLOOKUP(CB$72,INDIRECT($C$5&amp;"生成成长"),2))/((VLOOKUP($B236,INDIRECT($B$5&amp;"生成成长"),4))/(VLOOKUP(CB$72,INDIRECT($C$5&amp;"生成成长"),5))*(VLOOKUP($B$5,标准坦克设计!$B$24:$U$30,MATCH("对"&amp;LEFT($C$5,2)&amp;"输出",标准坦克设计!$B$23:$U$23,0)))*(VLOOKUP($B236,INDIRECT($B$5&amp;"生成成长"),3))*(VLOOKUP($B$5,标准坦克设计!$B$14:$K$20,9)/30))</f>
        <v>2.2143540903185892</v>
      </c>
      <c r="CC236" s="172">
        <f ca="1">(VLOOKUP(CC$72,INDIRECT($C$5&amp;"生成成长"),2))/((VLOOKUP($B236,INDIRECT($B$5&amp;"生成成长"),4))/(VLOOKUP(CC$72,INDIRECT($C$5&amp;"生成成长"),5))*(VLOOKUP($B$5,标准坦克设计!$B$24:$U$30,MATCH("对"&amp;LEFT($C$5,2)&amp;"输出",标准坦克设计!$B$23:$U$23,0)))*(VLOOKUP($B236,INDIRECT($B$5&amp;"生成成长"),3))*(VLOOKUP($B$5,标准坦克设计!$B$14:$K$20,9)/30))</f>
        <v>2.405161720811245</v>
      </c>
      <c r="CD236" s="172">
        <f ca="1">(VLOOKUP(CD$72,INDIRECT($C$5&amp;"生成成长"),2))/((VLOOKUP($B236,INDIRECT($B$5&amp;"生成成长"),4))/(VLOOKUP(CD$72,INDIRECT($C$5&amp;"生成成长"),5))*(VLOOKUP($B$5,标准坦克设计!$B$24:$U$30,MATCH("对"&amp;LEFT($C$5,2)&amp;"输出",标准坦克设计!$B$23:$U$23,0)))*(VLOOKUP($B236,INDIRECT($B$5&amp;"生成成长"),3))*(VLOOKUP($B$5,标准坦克设计!$B$14:$K$20,9)/30))</f>
        <v>2.6038539641341756</v>
      </c>
      <c r="CE236" s="172">
        <f ca="1">(VLOOKUP(CE$72,INDIRECT($C$5&amp;"生成成长"),2))/((VLOOKUP($B236,INDIRECT($B$5&amp;"生成成长"),4))/(VLOOKUP(CE$72,INDIRECT($C$5&amp;"生成成长"),5))*(VLOOKUP($B$5,标准坦克设计!$B$24:$U$30,MATCH("对"&amp;LEFT($C$5,2)&amp;"输出",标准坦克设计!$B$23:$U$23,0)))*(VLOOKUP($B236,INDIRECT($B$5&amp;"生成成长"),3))*(VLOOKUP($B$5,标准坦克设计!$B$14:$K$20,9)/30))</f>
        <v>2.8104308202873809</v>
      </c>
      <c r="CF236" s="172">
        <f ca="1">(VLOOKUP(CF$72,INDIRECT($C$5&amp;"生成成长"),2))/((VLOOKUP($B236,INDIRECT($B$5&amp;"生成成长"),4))/(VLOOKUP(CF$72,INDIRECT($C$5&amp;"生成成长"),5))*(VLOOKUP($B$5,标准坦克设计!$B$24:$U$30,MATCH("对"&amp;LEFT($C$5,2)&amp;"输出",标准坦克设计!$B$23:$U$23,0)))*(VLOOKUP($B236,INDIRECT($B$5&amp;"生成成长"),3))*(VLOOKUP($B$5,标准坦克设计!$B$14:$K$20,9)/30))</f>
        <v>3.0248922892708614</v>
      </c>
      <c r="CG236" s="172">
        <f ca="1">(VLOOKUP(CG$72,INDIRECT($C$5&amp;"生成成长"),2))/((VLOOKUP($B236,INDIRECT($B$5&amp;"生成成长"),4))/(VLOOKUP(CG$72,INDIRECT($C$5&amp;"生成成长"),5))*(VLOOKUP($B$5,标准坦克设计!$B$24:$U$30,MATCH("对"&amp;LEFT($C$5,2)&amp;"输出",标准坦克设计!$B$23:$U$23,0)))*(VLOOKUP($B236,INDIRECT($B$5&amp;"生成成长"),3))*(VLOOKUP($B$5,标准坦克设计!$B$14:$K$20,9)/30))</f>
        <v>3.2472383710846175</v>
      </c>
      <c r="CH236" s="172">
        <f ca="1">(VLOOKUP(CH$72,INDIRECT($C$5&amp;"生成成长"),2))/((VLOOKUP($B236,INDIRECT($B$5&amp;"生成成长"),4))/(VLOOKUP(CH$72,INDIRECT($C$5&amp;"生成成长"),5))*(VLOOKUP($B$5,标准坦克设计!$B$24:$U$30,MATCH("对"&amp;LEFT($C$5,2)&amp;"输出",标准坦克设计!$B$23:$U$23,0)))*(VLOOKUP($B236,INDIRECT($B$5&amp;"生成成长"),3))*(VLOOKUP($B$5,标准坦克设计!$B$14:$K$20,9)/30))</f>
        <v>3.4774690657286484</v>
      </c>
      <c r="CI236" s="172">
        <f ca="1">(VLOOKUP(CI$72,INDIRECT($C$5&amp;"生成成长"),2))/((VLOOKUP($B236,INDIRECT($B$5&amp;"生成成长"),4))/(VLOOKUP(CI$72,INDIRECT($C$5&amp;"生成成长"),5))*(VLOOKUP($B$5,标准坦克设计!$B$24:$U$30,MATCH("对"&amp;LEFT($C$5,2)&amp;"输出",标准坦克设计!$B$23:$U$23,0)))*(VLOOKUP($B236,INDIRECT($B$5&amp;"生成成长"),3))*(VLOOKUP($B$5,标准坦克设计!$B$14:$K$20,9)/30))</f>
        <v>3.7398295576560496</v>
      </c>
      <c r="CJ236" s="172">
        <f ca="1">(VLOOKUP(CJ$72,INDIRECT($C$5&amp;"生成成长"),2))/((VLOOKUP($B236,INDIRECT($B$5&amp;"生成成长"),4))/(VLOOKUP(CJ$72,INDIRECT($C$5&amp;"生成成长"),5))*(VLOOKUP($B$5,标准坦克设计!$B$24:$U$30,MATCH("对"&amp;LEFT($C$5,2)&amp;"输出",标准坦克设计!$B$23:$U$23,0)))*(VLOOKUP($B236,INDIRECT($B$5&amp;"生成成长"),3))*(VLOOKUP($B$5,标准坦克设计!$B$14:$K$20,9)/30))</f>
        <v>4.0117304311080844</v>
      </c>
      <c r="CK236" s="172">
        <f ca="1">(VLOOKUP(CK$72,INDIRECT($C$5&amp;"生成成长"),2))/((VLOOKUP($B236,INDIRECT($B$5&amp;"生成成长"),4))/(VLOOKUP(CK$72,INDIRECT($C$5&amp;"生成成长"),5))*(VLOOKUP($B$5,标准坦克设计!$B$24:$U$30,MATCH("对"&amp;LEFT($C$5,2)&amp;"输出",标准坦克设计!$B$23:$U$23,0)))*(VLOOKUP($B236,INDIRECT($B$5&amp;"生成成长"),3))*(VLOOKUP($B$5,标准坦克设计!$B$14:$K$20,9)/30))</f>
        <v>4.2931716860847509</v>
      </c>
      <c r="CL236" s="172">
        <f ca="1">(VLOOKUP(CL$72,INDIRECT($C$5&amp;"生成成长"),2))/((VLOOKUP($B236,INDIRECT($B$5&amp;"生成成长"),4))/(VLOOKUP(CL$72,INDIRECT($C$5&amp;"生成成长"),5))*(VLOOKUP($B$5,标准坦克设计!$B$24:$U$30,MATCH("对"&amp;LEFT($C$5,2)&amp;"输出",标准坦克设计!$B$23:$U$23,0)))*(VLOOKUP($B236,INDIRECT($B$5&amp;"生成成长"),3))*(VLOOKUP($B$5,标准坦克设计!$B$14:$K$20,9)/30))</f>
        <v>4.5841533225860509</v>
      </c>
      <c r="CM236" s="172">
        <f ca="1">(VLOOKUP(CM$72,INDIRECT($C$5&amp;"生成成长"),2))/((VLOOKUP($B236,INDIRECT($B$5&amp;"生成成长"),4))/(VLOOKUP(CM$72,INDIRECT($C$5&amp;"生成成长"),5))*(VLOOKUP($B$5,标准坦克设计!$B$24:$U$30,MATCH("对"&amp;LEFT($C$5,2)&amp;"输出",标准坦克设计!$B$23:$U$23,0)))*(VLOOKUP($B236,INDIRECT($B$5&amp;"生成成长"),3))*(VLOOKUP($B$5,标准坦克设计!$B$14:$K$20,9)/30))</f>
        <v>4.8846753406119827</v>
      </c>
      <c r="CN236" s="172">
        <f ca="1">(VLOOKUP(CN$72,INDIRECT($C$5&amp;"生成成长"),2))/((VLOOKUP($B236,INDIRECT($B$5&amp;"生成成长"),4))/(VLOOKUP(CN$72,INDIRECT($C$5&amp;"生成成长"),5))*(VLOOKUP($B$5,标准坦克设计!$B$24:$U$30,MATCH("对"&amp;LEFT($C$5,2)&amp;"输出",标准坦克设计!$B$23:$U$23,0)))*(VLOOKUP($B236,INDIRECT($B$5&amp;"生成成长"),3))*(VLOOKUP($B$5,标准坦克设计!$B$14:$K$20,9)/30))</f>
        <v>5.1947377401625481</v>
      </c>
      <c r="CO236" s="172">
        <f ca="1">(VLOOKUP(CO$72,INDIRECT($C$5&amp;"生成成长"),2))/((VLOOKUP($B236,INDIRECT($B$5&amp;"生成成长"),4))/(VLOOKUP(CO$72,INDIRECT($C$5&amp;"生成成长"),5))*(VLOOKUP($B$5,标准坦克设计!$B$24:$U$30,MATCH("对"&amp;LEFT($C$5,2)&amp;"输出",标准坦克设计!$B$23:$U$23,0)))*(VLOOKUP($B236,INDIRECT($B$5&amp;"生成成长"),3))*(VLOOKUP($B$5,标准坦克设计!$B$14:$K$20,9)/30))</f>
        <v>2.3278925150745495</v>
      </c>
      <c r="CP236" s="172">
        <f ca="1">(VLOOKUP(CP$72,INDIRECT($C$5&amp;"生成成长"),2))/((VLOOKUP($B236,INDIRECT($B$5&amp;"生成成长"),4))/(VLOOKUP(CP$72,INDIRECT($C$5&amp;"生成成长"),5))*(VLOOKUP($B$5,标准坦克设计!$B$24:$U$30,MATCH("对"&amp;LEFT($C$5,2)&amp;"输出",标准坦克设计!$B$23:$U$23,0)))*(VLOOKUP($B236,INDIRECT($B$5&amp;"生成成长"),3))*(VLOOKUP($B$5,标准坦克设计!$B$14:$K$20,9)/30))</f>
        <v>2.5434184067901171</v>
      </c>
      <c r="CQ236" s="172">
        <f ca="1">(VLOOKUP(CQ$72,INDIRECT($C$5&amp;"生成成长"),2))/((VLOOKUP($B236,INDIRECT($B$5&amp;"生成成长"),4))/(VLOOKUP(CQ$72,INDIRECT($C$5&amp;"生成成长"),5))*(VLOOKUP($B$5,标准坦克设计!$B$24:$U$30,MATCH("对"&amp;LEFT($C$5,2)&amp;"输出",标准坦克设计!$B$23:$U$23,0)))*(VLOOKUP($B236,INDIRECT($B$5&amp;"生成成长"),3))*(VLOOKUP($B$5,标准坦克设计!$B$14:$K$20,9)/30))</f>
        <v>2.7684846800303173</v>
      </c>
      <c r="CR236" s="172">
        <f ca="1">(VLOOKUP(CR$72,INDIRECT($C$5&amp;"生成成长"),2))/((VLOOKUP($B236,INDIRECT($B$5&amp;"生成成长"),4))/(VLOOKUP(CR$72,INDIRECT($C$5&amp;"生成成长"),5))*(VLOOKUP($B$5,标准坦克设计!$B$24:$U$30,MATCH("对"&amp;LEFT($C$5,2)&amp;"输出",标准坦克设计!$B$23:$U$23,0)))*(VLOOKUP($B236,INDIRECT($B$5&amp;"生成成长"),3))*(VLOOKUP($B$5,标准坦克设计!$B$14:$K$20,9)/30))</f>
        <v>3.0030913347951511</v>
      </c>
      <c r="CS236" s="172">
        <f ca="1">(VLOOKUP(CS$72,INDIRECT($C$5&amp;"生成成长"),2))/((VLOOKUP($B236,INDIRECT($B$5&amp;"生成成长"),4))/(VLOOKUP(CS$72,INDIRECT($C$5&amp;"生成成长"),5))*(VLOOKUP($B$5,标准坦克设计!$B$24:$U$30,MATCH("对"&amp;LEFT($C$5,2)&amp;"输出",标准坦克设计!$B$23:$U$23,0)))*(VLOOKUP($B236,INDIRECT($B$5&amp;"生成成长"),3))*(VLOOKUP($B$5,标准坦克设计!$B$14:$K$20,9)/30))</f>
        <v>3.2472383710846175</v>
      </c>
      <c r="CT236" s="172">
        <f ca="1">(VLOOKUP(CT$72,INDIRECT($C$5&amp;"生成成长"),2))/((VLOOKUP($B236,INDIRECT($B$5&amp;"生成成长"),4))/(VLOOKUP(CT$72,INDIRECT($C$5&amp;"生成成长"),5))*(VLOOKUP($B$5,标准坦克设计!$B$24:$U$30,MATCH("对"&amp;LEFT($C$5,2)&amp;"输出",标准坦克设计!$B$23:$U$23,0)))*(VLOOKUP($B236,INDIRECT($B$5&amp;"生成成长"),3))*(VLOOKUP($B$5,标准坦克设计!$B$14:$K$20,9)/30))</f>
        <v>3.5009257888987162</v>
      </c>
      <c r="CU236" s="172">
        <f ca="1">(VLOOKUP(CU$72,INDIRECT($C$5&amp;"生成成长"),2))/((VLOOKUP($B236,INDIRECT($B$5&amp;"生成成长"),4))/(VLOOKUP(CU$72,INDIRECT($C$5&amp;"生成成长"),5))*(VLOOKUP($B$5,标准坦克设计!$B$24:$U$30,MATCH("对"&amp;LEFT($C$5,2)&amp;"输出",标准坦克设计!$B$23:$U$23,0)))*(VLOOKUP($B236,INDIRECT($B$5&amp;"生成成长"),3))*(VLOOKUP($B$5,标准坦克设计!$B$14:$K$20,9)/30))</f>
        <v>3.7641535882374479</v>
      </c>
      <c r="CV236" s="172">
        <f ca="1">(VLOOKUP(CV$72,INDIRECT($C$5&amp;"生成成长"),2))/((VLOOKUP($B236,INDIRECT($B$5&amp;"生成成长"),4))/(VLOOKUP(CV$72,INDIRECT($C$5&amp;"生成成长"),5))*(VLOOKUP($B$5,标准坦克设计!$B$24:$U$30,MATCH("对"&amp;LEFT($C$5,2)&amp;"输出",标准坦克设计!$B$23:$U$23,0)))*(VLOOKUP($B236,INDIRECT($B$5&amp;"生成成长"),3))*(VLOOKUP($B$5,标准坦克设计!$B$14:$K$20,9)/30))</f>
        <v>4.0369217691008128</v>
      </c>
      <c r="CW236" s="172">
        <f ca="1">(VLOOKUP(CW$72,INDIRECT($C$5&amp;"生成成长"),2))/((VLOOKUP($B236,INDIRECT($B$5&amp;"生成成长"),4))/(VLOOKUP(CW$72,INDIRECT($C$5&amp;"生成成长"),5))*(VLOOKUP($B$5,标准坦克设计!$B$24:$U$30,MATCH("对"&amp;LEFT($C$5,2)&amp;"输出",标准坦克设计!$B$23:$U$23,0)))*(VLOOKUP($B236,INDIRECT($B$5&amp;"生成成长"),3))*(VLOOKUP($B$5,标准坦克设计!$B$14:$K$20,9)/30))</f>
        <v>4.319230331488809</v>
      </c>
      <c r="CX236" s="172">
        <f ca="1">(VLOOKUP(CX$72,INDIRECT($C$5&amp;"生成成长"),2))/((VLOOKUP($B236,INDIRECT($B$5&amp;"生成成长"),4))/(VLOOKUP(CX$72,INDIRECT($C$5&amp;"生成成长"),5))*(VLOOKUP($B$5,标准坦克设计!$B$24:$U$30,MATCH("对"&amp;LEFT($C$5,2)&amp;"输出",标准坦克设计!$B$23:$U$23,0)))*(VLOOKUP($B236,INDIRECT($B$5&amp;"生成成长"),3))*(VLOOKUP($B$5,标准坦克设计!$B$14:$K$20,9)/30))</f>
        <v>4.6110792754014396</v>
      </c>
      <c r="CY236" s="172">
        <f ca="1">(VLOOKUP(CY$72,INDIRECT($C$5&amp;"生成成长"),2))/((VLOOKUP($B236,INDIRECT($B$5&amp;"生成成长"),4))/(VLOOKUP(CY$72,INDIRECT($C$5&amp;"生成成长"),5))*(VLOOKUP($B$5,标准坦克设计!$B$24:$U$30,MATCH("对"&amp;LEFT($C$5,2)&amp;"输出",标准坦克设计!$B$23:$U$23,0)))*(VLOOKUP($B236,INDIRECT($B$5&amp;"生成成长"),3))*(VLOOKUP($B$5,标准坦克设计!$B$14:$K$20,9)/30))</f>
        <v>4.912468600838702</v>
      </c>
      <c r="CZ236" s="172">
        <f ca="1">(VLOOKUP(CZ$72,INDIRECT($C$5&amp;"生成成长"),2))/((VLOOKUP($B236,INDIRECT($B$5&amp;"生成成长"),4))/(VLOOKUP(CZ$72,INDIRECT($C$5&amp;"生成成长"),5))*(VLOOKUP($B$5,标准坦克设计!$B$24:$U$30,MATCH("对"&amp;LEFT($C$5,2)&amp;"输出",标准坦克设计!$B$23:$U$23,0)))*(VLOOKUP($B236,INDIRECT($B$5&amp;"生成成长"),3))*(VLOOKUP($B$5,标准坦克设计!$B$14:$K$20,9)/30))</f>
        <v>5.2233983078005979</v>
      </c>
      <c r="DA236" s="172">
        <f ca="1">(VLOOKUP(DA$72,INDIRECT($C$5&amp;"生成成长"),2))/((VLOOKUP($B236,INDIRECT($B$5&amp;"生成成长"),4))/(VLOOKUP(DA$72,INDIRECT($C$5&amp;"生成成长"),5))*(VLOOKUP($B$5,标准坦克设计!$B$24:$U$30,MATCH("对"&amp;LEFT($C$5,2)&amp;"输出",标准坦克设计!$B$23:$U$23,0)))*(VLOOKUP($B236,INDIRECT($B$5&amp;"生成成长"),3))*(VLOOKUP($B$5,标准坦克设计!$B$14:$K$20,9)/30))</f>
        <v>5.5438683962871274</v>
      </c>
      <c r="DB236" s="172">
        <f ca="1">(VLOOKUP(DB$72,INDIRECT($C$5&amp;"生成成长"),2))/((VLOOKUP($B236,INDIRECT($B$5&amp;"生成成长"),4))/(VLOOKUP(DB$72,INDIRECT($C$5&amp;"生成成长"),5))*(VLOOKUP($B$5,标准坦克设计!$B$24:$U$30,MATCH("对"&amp;LEFT($C$5,2)&amp;"输出",标准坦克设计!$B$23:$U$23,0)))*(VLOOKUP($B236,INDIRECT($B$5&amp;"生成成长"),3))*(VLOOKUP($B$5,标准坦克设计!$B$14:$K$20,9)/30))</f>
        <v>5.8738788662982877</v>
      </c>
      <c r="DC236" s="172">
        <f ca="1">(VLOOKUP(DC$72,INDIRECT($C$5&amp;"生成成长"),2))/((VLOOKUP($B236,INDIRECT($B$5&amp;"生成成长"),4))/(VLOOKUP(DC$72,INDIRECT($C$5&amp;"生成成长"),5))*(VLOOKUP($B$5,标准坦克设计!$B$24:$U$30,MATCH("对"&amp;LEFT($C$5,2)&amp;"输出",标准坦克设计!$B$23:$U$23,0)))*(VLOOKUP($B236,INDIRECT($B$5&amp;"生成成长"),3))*(VLOOKUP($B$5,标准坦克设计!$B$14:$K$20,9)/30))</f>
        <v>6.2447710538344241</v>
      </c>
      <c r="DD236" s="172">
        <f ca="1">(VLOOKUP(DD$72,INDIRECT($C$5&amp;"生成成长"),2))/((VLOOKUP($B236,INDIRECT($B$5&amp;"生成成长"),4))/(VLOOKUP(DD$72,INDIRECT($C$5&amp;"生成成长"),5))*(VLOOKUP($B$5,标准坦克设计!$B$24:$U$30,MATCH("对"&amp;LEFT($C$5,2)&amp;"输出",标准坦克设计!$B$23:$U$23,0)))*(VLOOKUP($B236,INDIRECT($B$5&amp;"生成成长"),3))*(VLOOKUP($B$5,标准坦克设计!$B$14:$K$20,9)/30))</f>
        <v>6.6270170838461588</v>
      </c>
      <c r="DE236" s="172">
        <f ca="1">(VLOOKUP(DE$72,INDIRECT($C$5&amp;"生成成长"),2))/((VLOOKUP($B236,INDIRECT($B$5&amp;"生成成长"),4))/(VLOOKUP(DE$72,INDIRECT($C$5&amp;"生成成长"),5))*(VLOOKUP($B$5,标准坦克设计!$B$24:$U$30,MATCH("对"&amp;LEFT($C$5,2)&amp;"输出",标准坦克设计!$B$23:$U$23,0)))*(VLOOKUP($B236,INDIRECT($B$5&amp;"生成成长"),3))*(VLOOKUP($B$5,标准坦克设计!$B$14:$K$20,9)/30))</f>
        <v>7.0206169563334866</v>
      </c>
      <c r="DF236" s="172">
        <f ca="1">(VLOOKUP(DF$72,INDIRECT($C$5&amp;"生成成长"),2))/((VLOOKUP($B236,INDIRECT($B$5&amp;"生成成长"),4))/(VLOOKUP(DF$72,INDIRECT($C$5&amp;"生成成长"),5))*(VLOOKUP($B$5,标准坦克设计!$B$24:$U$30,MATCH("对"&amp;LEFT($C$5,2)&amp;"输出",标准坦克设计!$B$23:$U$23,0)))*(VLOOKUP($B236,INDIRECT($B$5&amp;"生成成长"),3))*(VLOOKUP($B$5,标准坦克设计!$B$14:$K$20,9)/30))</f>
        <v>7.4255706712964127</v>
      </c>
      <c r="DG236" s="172">
        <f ca="1">(VLOOKUP(DG$72,INDIRECT($C$5&amp;"生成成长"),2))/((VLOOKUP($B236,INDIRECT($B$5&amp;"生成成长"),4))/(VLOOKUP(DG$72,INDIRECT($C$5&amp;"生成成长"),5))*(VLOOKUP($B$5,标准坦克设计!$B$24:$U$30,MATCH("对"&amp;LEFT($C$5,2)&amp;"输出",标准坦克设计!$B$23:$U$23,0)))*(VLOOKUP($B236,INDIRECT($B$5&amp;"生成成长"),3))*(VLOOKUP($B$5,标准坦克设计!$B$14:$K$20,9)/30))</f>
        <v>7.8418782287349327</v>
      </c>
      <c r="DH236" s="172">
        <f ca="1">(VLOOKUP(DH$72,INDIRECT($C$5&amp;"生成成长"),2))/((VLOOKUP($B236,INDIRECT($B$5&amp;"生成成长"),4))/(VLOOKUP(DH$72,INDIRECT($C$5&amp;"生成成长"),5))*(VLOOKUP($B$5,标准坦克设计!$B$24:$U$30,MATCH("对"&amp;LEFT($C$5,2)&amp;"输出",标准坦克设计!$B$23:$U$23,0)))*(VLOOKUP($B236,INDIRECT($B$5&amp;"生成成长"),3))*(VLOOKUP($B$5,标准坦克设计!$B$14:$K$20,9)/30))</f>
        <v>8.269539628649051</v>
      </c>
      <c r="DI236" s="172">
        <f ca="1">(VLOOKUP(DI$72,INDIRECT($C$5&amp;"生成成长"),2))/((VLOOKUP($B236,INDIRECT($B$5&amp;"生成成长"),4))/(VLOOKUP(DI$72,INDIRECT($C$5&amp;"生成成长"),5))*(VLOOKUP($B$5,标准坦克设计!$B$24:$U$30,MATCH("对"&amp;LEFT($C$5,2)&amp;"输出",标准坦克设计!$B$23:$U$23,0)))*(VLOOKUP($B236,INDIRECT($B$5&amp;"生成成长"),3))*(VLOOKUP($B$5,标准坦克设计!$B$14:$K$20,9)/30))</f>
        <v>8.7085548710387641</v>
      </c>
      <c r="DJ236" s="172">
        <f ca="1">(VLOOKUP(DJ$72,INDIRECT($C$5&amp;"生成成长"),2))/((VLOOKUP($B236,INDIRECT($B$5&amp;"生成成长"),4))/(VLOOKUP(DJ$72,INDIRECT($C$5&amp;"生成成长"),5))*(VLOOKUP($B$5,标准坦克设计!$B$24:$U$30,MATCH("对"&amp;LEFT($C$5,2)&amp;"输出",标准坦克设计!$B$23:$U$23,0)))*(VLOOKUP($B236,INDIRECT($B$5&amp;"生成成长"),3))*(VLOOKUP($B$5,标准坦克设计!$B$14:$K$20,9)/30))</f>
        <v>0.87523144722467905</v>
      </c>
      <c r="DK236" s="172">
        <f ca="1">(VLOOKUP(DK$72,INDIRECT($C$5&amp;"生成成长"),2))/((VLOOKUP($B236,INDIRECT($B$5&amp;"生成成长"),4))/(VLOOKUP(DK$72,INDIRECT($C$5&amp;"生成成长"),5))*(VLOOKUP($B$5,标准坦克设计!$B$24:$U$30,MATCH("对"&amp;LEFT($C$5,2)&amp;"输出",标准坦克设计!$B$23:$U$23,0)))*(VLOOKUP($B236,INDIRECT($B$5&amp;"生成成长"),3))*(VLOOKUP($B$5,标准坦克设计!$B$14:$K$20,9)/30))</f>
        <v>0.9841573734749286</v>
      </c>
      <c r="DL236" s="172">
        <f ca="1">(VLOOKUP(DL$72,INDIRECT($C$5&amp;"生成成长"),2))/((VLOOKUP($B236,INDIRECT($B$5&amp;"生成成长"),4))/(VLOOKUP(DL$72,INDIRECT($C$5&amp;"生成成长"),5))*(VLOOKUP($B$5,标准坦克设计!$B$24:$U$30,MATCH("对"&amp;LEFT($C$5,2)&amp;"输出",标准坦克设计!$B$23:$U$23,0)))*(VLOOKUP($B236,INDIRECT($B$5&amp;"生成成长"),3))*(VLOOKUP($B$5,标准坦克设计!$B$14:$K$20,9)/30))</f>
        <v>1.0994698361177009</v>
      </c>
      <c r="DM236" s="172">
        <f ca="1">(VLOOKUP(DM$72,INDIRECT($C$5&amp;"生成成长"),2))/((VLOOKUP($B236,INDIRECT($B$5&amp;"生成成长"),4))/(VLOOKUP(DM$72,INDIRECT($C$5&amp;"生成成长"),5))*(VLOOKUP($B$5,标准坦克设计!$B$24:$U$30,MATCH("对"&amp;LEFT($C$5,2)&amp;"输出",标准坦克设计!$B$23:$U$23,0)))*(VLOOKUP($B236,INDIRECT($B$5&amp;"生成成长"),3))*(VLOOKUP($B$5,标准坦克设计!$B$14:$K$20,9)/30))</f>
        <v>1.2211688351529957</v>
      </c>
      <c r="DN236" s="172">
        <f ca="1">(VLOOKUP(DN$72,INDIRECT($C$5&amp;"生成成长"),2))/((VLOOKUP($B236,INDIRECT($B$5&amp;"生成成长"),4))/(VLOOKUP(DN$72,INDIRECT($C$5&amp;"生成成长"),5))*(VLOOKUP($B$5,标准坦克设计!$B$24:$U$30,MATCH("对"&amp;LEFT($C$5,2)&amp;"输出",标准坦克设计!$B$23:$U$23,0)))*(VLOOKUP($B236,INDIRECT($B$5&amp;"生成成长"),3))*(VLOOKUP($B$5,标准坦克设计!$B$14:$K$20,9)/30))</f>
        <v>1.3492543705808135</v>
      </c>
      <c r="DO236" s="172">
        <f ca="1">(VLOOKUP(DO$72,INDIRECT($C$5&amp;"生成成长"),2))/((VLOOKUP($B236,INDIRECT($B$5&amp;"生成成长"),4))/(VLOOKUP(DO$72,INDIRECT($C$5&amp;"生成成长"),5))*(VLOOKUP($B$5,标准坦克设计!$B$24:$U$30,MATCH("对"&amp;LEFT($C$5,2)&amp;"输出",标准坦克设计!$B$23:$U$23,0)))*(VLOOKUP($B236,INDIRECT($B$5&amp;"生成成长"),3))*(VLOOKUP($B$5,标准坦克设计!$B$14:$K$20,9)/30))</f>
        <v>1.483726442401154</v>
      </c>
      <c r="DP236" s="172">
        <f ca="1">(VLOOKUP(DP$72,INDIRECT($C$5&amp;"生成成长"),2))/((VLOOKUP($B236,INDIRECT($B$5&amp;"生成成长"),4))/(VLOOKUP(DP$72,INDIRECT($C$5&amp;"生成成长"),5))*(VLOOKUP($B$5,标准坦克设计!$B$24:$U$30,MATCH("对"&amp;LEFT($C$5,2)&amp;"输出",标准坦克设计!$B$23:$U$23,0)))*(VLOOKUP($B236,INDIRECT($B$5&amp;"生成成长"),3))*(VLOOKUP($B$5,标准坦克设计!$B$14:$K$20,9)/30))</f>
        <v>1.6245850506140174</v>
      </c>
      <c r="DQ236" s="172">
        <f ca="1">(VLOOKUP(DQ$72,INDIRECT($C$5&amp;"生成成长"),2))/((VLOOKUP($B236,INDIRECT($B$5&amp;"生成成长"),4))/(VLOOKUP(DQ$72,INDIRECT($C$5&amp;"生成成长"),5))*(VLOOKUP($B$5,标准坦克设计!$B$24:$U$30,MATCH("对"&amp;LEFT($C$5,2)&amp;"输出",标准坦克设计!$B$23:$U$23,0)))*(VLOOKUP($B236,INDIRECT($B$5&amp;"生成成长"),3))*(VLOOKUP($B$5,标准坦克设计!$B$14:$K$20,9)/30))</f>
        <v>1.7718301952194035</v>
      </c>
      <c r="DR236" s="172">
        <f ca="1">(VLOOKUP(DR$72,INDIRECT($C$5&amp;"生成成长"),2))/((VLOOKUP($B236,INDIRECT($B$5&amp;"生成成长"),4))/(VLOOKUP(DR$72,INDIRECT($C$5&amp;"生成成长"),5))*(VLOOKUP($B$5,标准坦克设计!$B$24:$U$30,MATCH("对"&amp;LEFT($C$5,2)&amp;"输出",标准坦克设计!$B$23:$U$23,0)))*(VLOOKUP($B236,INDIRECT($B$5&amp;"生成成长"),3))*(VLOOKUP($B$5,标准坦克设计!$B$14:$K$20,9)/30))</f>
        <v>1.9254618762173121</v>
      </c>
      <c r="DS236" s="172">
        <f ca="1">(VLOOKUP(DS$72,INDIRECT($C$5&amp;"生成成长"),2))/((VLOOKUP($B236,INDIRECT($B$5&amp;"生成成长"),4))/(VLOOKUP(DS$72,INDIRECT($C$5&amp;"生成成长"),5))*(VLOOKUP($B$5,标准坦克设计!$B$24:$U$30,MATCH("对"&amp;LEFT($C$5,2)&amp;"输出",标准坦克设计!$B$23:$U$23,0)))*(VLOOKUP($B236,INDIRECT($B$5&amp;"生成成长"),3))*(VLOOKUP($B$5,标准坦克设计!$B$14:$K$20,9)/30))</f>
        <v>2.0854800936077442</v>
      </c>
      <c r="DT236" s="172">
        <f ca="1">(VLOOKUP(DT$72,INDIRECT($C$5&amp;"生成成长"),2))/((VLOOKUP($B236,INDIRECT($B$5&amp;"生成成长"),4))/(VLOOKUP(DT$72,INDIRECT($C$5&amp;"生成成长"),5))*(VLOOKUP($B$5,标准坦克设计!$B$24:$U$30,MATCH("对"&amp;LEFT($C$5,2)&amp;"输出",标准坦克设计!$B$23:$U$23,0)))*(VLOOKUP($B236,INDIRECT($B$5&amp;"生成成长"),3))*(VLOOKUP($B$5,标准坦克设计!$B$14:$K$20,9)/30))</f>
        <v>2.289730988976018</v>
      </c>
      <c r="DU236" s="172">
        <f ca="1">(VLOOKUP(DU$72,INDIRECT($C$5&amp;"生成成长"),2))/((VLOOKUP($B236,INDIRECT($B$5&amp;"生成成长"),4))/(VLOOKUP(DU$72,INDIRECT($C$5&amp;"生成成长"),5))*(VLOOKUP($B$5,标准坦克设计!$B$24:$U$30,MATCH("对"&amp;LEFT($C$5,2)&amp;"输出",标准坦克设计!$B$23:$U$23,0)))*(VLOOKUP($B236,INDIRECT($B$5&amp;"生成成长"),3))*(VLOOKUP($B$5,标准坦克设计!$B$14:$K$20,9)/30))</f>
        <v>2.5035222658689253</v>
      </c>
      <c r="DV236" s="172">
        <f ca="1">(VLOOKUP(DV$72,INDIRECT($C$5&amp;"生成成长"),2))/((VLOOKUP($B236,INDIRECT($B$5&amp;"生成成长"),4))/(VLOOKUP(DV$72,INDIRECT($C$5&amp;"生成成长"),5))*(VLOOKUP($B$5,标准坦克设计!$B$24:$U$30,MATCH("对"&amp;LEFT($C$5,2)&amp;"输出",标准坦克设计!$B$23:$U$23,0)))*(VLOOKUP($B236,INDIRECT($B$5&amp;"生成成长"),3))*(VLOOKUP($B$5,标准坦克设计!$B$14:$K$20,9)/30))</f>
        <v>2.7268539242864658</v>
      </c>
      <c r="DW236" s="172">
        <f ca="1">(VLOOKUP(DW$72,INDIRECT($C$5&amp;"生成成长"),2))/((VLOOKUP($B236,INDIRECT($B$5&amp;"生成成长"),4))/(VLOOKUP(DW$72,INDIRECT($C$5&amp;"生成成长"),5))*(VLOOKUP($B$5,标准坦克设计!$B$24:$U$30,MATCH("对"&amp;LEFT($C$5,2)&amp;"输出",标准坦克设计!$B$23:$U$23,0)))*(VLOOKUP($B236,INDIRECT($B$5&amp;"生成成长"),3))*(VLOOKUP($B$5,标准坦克设计!$B$14:$K$20,9)/30))</f>
        <v>2.959725964228638</v>
      </c>
      <c r="DX236" s="172">
        <f ca="1">(VLOOKUP(DX$72,INDIRECT($C$5&amp;"生成成长"),2))/((VLOOKUP($B236,INDIRECT($B$5&amp;"生成成长"),4))/(VLOOKUP(DX$72,INDIRECT($C$5&amp;"生成成长"),5))*(VLOOKUP($B$5,标准坦克设计!$B$24:$U$30,MATCH("对"&amp;LEFT($C$5,2)&amp;"输出",标准坦克设计!$B$23:$U$23,0)))*(VLOOKUP($B236,INDIRECT($B$5&amp;"生成成长"),3))*(VLOOKUP($B$5,标准坦克设计!$B$14:$K$20,9)/30))</f>
        <v>3.2021383856954446</v>
      </c>
      <c r="DY236" s="172">
        <f ca="1">(VLOOKUP(DY$72,INDIRECT($C$5&amp;"生成成长"),2))/((VLOOKUP($B236,INDIRECT($B$5&amp;"生成成长"),4))/(VLOOKUP(DY$72,INDIRECT($C$5&amp;"生成成长"),5))*(VLOOKUP($B$5,标准坦克设计!$B$24:$U$30,MATCH("对"&amp;LEFT($C$5,2)&amp;"输出",标准坦克设计!$B$23:$U$23,0)))*(VLOOKUP($B236,INDIRECT($B$5&amp;"生成成长"),3))*(VLOOKUP($B$5,标准坦克设计!$B$14:$K$20,9)/30))</f>
        <v>1.438192803306316</v>
      </c>
      <c r="DZ236" s="172">
        <f ca="1">(VLOOKUP(DZ$72,INDIRECT($C$5&amp;"生成成长"),2))/((VLOOKUP($B236,INDIRECT($B$5&amp;"生成成长"),4))/(VLOOKUP(DZ$72,INDIRECT($C$5&amp;"生成成长"),5))*(VLOOKUP($B$5,标准坦克设计!$B$24:$U$30,MATCH("对"&amp;LEFT($C$5,2)&amp;"输出",标准坦克设计!$B$23:$U$23,0)))*(VLOOKUP($B236,INDIRECT($B$5&amp;"生成成长"),3))*(VLOOKUP($B$5,标准坦克设计!$B$14:$K$20,9)/30))</f>
        <v>1.5927312147797064</v>
      </c>
      <c r="EA236" s="172">
        <f ca="1">(VLOOKUP(EA$72,INDIRECT($C$5&amp;"生成成长"),2))/((VLOOKUP($B236,INDIRECT($B$5&amp;"生成成长"),4))/(VLOOKUP(EA$72,INDIRECT($C$5&amp;"生成成长"),5))*(VLOOKUP($B$5,标准坦克设计!$B$24:$U$30,MATCH("对"&amp;LEFT($C$5,2)&amp;"输出",标准坦克设计!$B$23:$U$23,0)))*(VLOOKUP($B236,INDIRECT($B$5&amp;"生成成长"),3))*(VLOOKUP($B$5,标准坦克设计!$B$14:$K$20,9)/30))</f>
        <v>1.7551542390833716</v>
      </c>
      <c r="EB236" s="172">
        <f ca="1">(VLOOKUP(EB$72,INDIRECT($C$5&amp;"生成成长"),2))/((VLOOKUP($B236,INDIRECT($B$5&amp;"生成成长"),4))/(VLOOKUP(EB$72,INDIRECT($C$5&amp;"生成成长"),5))*(VLOOKUP($B$5,标准坦克设计!$B$24:$U$30,MATCH("对"&amp;LEFT($C$5,2)&amp;"输出",标准坦克设计!$B$23:$U$23,0)))*(VLOOKUP($B236,INDIRECT($B$5&amp;"生成成长"),3))*(VLOOKUP($B$5,标准坦克设计!$B$14:$K$20,9)/30))</f>
        <v>1.9254618762173121</v>
      </c>
      <c r="EC236" s="172">
        <f ca="1">(VLOOKUP(EC$72,INDIRECT($C$5&amp;"生成成长"),2))/((VLOOKUP($B236,INDIRECT($B$5&amp;"生成成长"),4))/(VLOOKUP(EC$72,INDIRECT($C$5&amp;"生成成长"),5))*(VLOOKUP($B$5,标准坦克设计!$B$24:$U$30,MATCH("对"&amp;LEFT($C$5,2)&amp;"输出",标准坦克设计!$B$23:$U$23,0)))*(VLOOKUP($B236,INDIRECT($B$5&amp;"生成成长"),3))*(VLOOKUP($B$5,标准坦克设计!$B$14:$K$20,9)/30))</f>
        <v>2.103654126181528</v>
      </c>
      <c r="ED236" s="172">
        <f ca="1">(VLOOKUP(ED$72,INDIRECT($C$5&amp;"生成成长"),2))/((VLOOKUP($B236,INDIRECT($B$5&amp;"生成成长"),4))/(VLOOKUP(ED$72,INDIRECT($C$5&amp;"生成成长"),5))*(VLOOKUP($B$5,标准坦克设计!$B$24:$U$30,MATCH("对"&amp;LEFT($C$5,2)&amp;"输出",标准坦克设计!$B$23:$U$23,0)))*(VLOOKUP($B236,INDIRECT($B$5&amp;"生成成长"),3))*(VLOOKUP($B$5,标准坦克设计!$B$14:$K$20,9)/30))</f>
        <v>2.289730988976018</v>
      </c>
      <c r="EE236" s="172">
        <f ca="1">(VLOOKUP(EE$72,INDIRECT($C$5&amp;"生成成长"),2))/((VLOOKUP($B236,INDIRECT($B$5&amp;"生成成长"),4))/(VLOOKUP(EE$72,INDIRECT($C$5&amp;"生成成长"),5))*(VLOOKUP($B$5,标准坦克设计!$B$24:$U$30,MATCH("对"&amp;LEFT($C$5,2)&amp;"输出",标准坦克设计!$B$23:$U$23,0)))*(VLOOKUP($B236,INDIRECT($B$5&amp;"生成成长"),3))*(VLOOKUP($B$5,标准坦克设计!$B$14:$K$20,9)/30))</f>
        <v>2.4836924646007841</v>
      </c>
      <c r="EF236" s="172">
        <f ca="1">(VLOOKUP(EF$72,INDIRECT($C$5&amp;"生成成长"),2))/((VLOOKUP($B236,INDIRECT($B$5&amp;"生成成长"),4))/(VLOOKUP(EF$72,INDIRECT($C$5&amp;"生成成长"),5))*(VLOOKUP($B$5,标准坦克设计!$B$24:$U$30,MATCH("对"&amp;LEFT($C$5,2)&amp;"输出",标准坦克设计!$B$23:$U$23,0)))*(VLOOKUP($B236,INDIRECT($B$5&amp;"生成成长"),3))*(VLOOKUP($B$5,标准坦克设计!$B$14:$K$20,9)/30))</f>
        <v>2.6855385530558249</v>
      </c>
      <c r="EG236" s="172">
        <f ca="1">(VLOOKUP(EG$72,INDIRECT($C$5&amp;"生成成长"),2))/((VLOOKUP($B236,INDIRECT($B$5&amp;"生成成长"),4))/(VLOOKUP(EG$72,INDIRECT($C$5&amp;"生成成长"),5))*(VLOOKUP($B$5,标准坦克设计!$B$24:$U$30,MATCH("对"&amp;LEFT($C$5,2)&amp;"输出",标准坦克设计!$B$23:$U$23,0)))*(VLOOKUP($B236,INDIRECT($B$5&amp;"生成成长"),3))*(VLOOKUP($B$5,标准坦克设计!$B$14:$K$20,9)/30))</f>
        <v>2.8952692543411405</v>
      </c>
      <c r="EH236" s="172">
        <f ca="1">(VLOOKUP(EH$72,INDIRECT($C$5&amp;"生成成长"),2))/((VLOOKUP($B236,INDIRECT($B$5&amp;"生成成长"),4))/(VLOOKUP(EH$72,INDIRECT($C$5&amp;"生成成长"),5))*(VLOOKUP($B$5,标准坦克设计!$B$24:$U$30,MATCH("对"&amp;LEFT($C$5,2)&amp;"输出",标准坦克设计!$B$23:$U$23,0)))*(VLOOKUP($B236,INDIRECT($B$5&amp;"生成成长"),3))*(VLOOKUP($B$5,标准坦克设计!$B$14:$K$20,9)/30))</f>
        <v>3.1128845684567303</v>
      </c>
      <c r="EI236" s="172">
        <f ca="1">(VLOOKUP(EI$72,INDIRECT($C$5&amp;"生成成长"),2))/((VLOOKUP($B236,INDIRECT($B$5&amp;"生成成长"),4))/(VLOOKUP(EI$72,INDIRECT($C$5&amp;"生成成长"),5))*(VLOOKUP($B$5,标准坦克设计!$B$24:$U$30,MATCH("对"&amp;LEFT($C$5,2)&amp;"输出",标准坦克设计!$B$23:$U$23,0)))*(VLOOKUP($B236,INDIRECT($B$5&amp;"生成成长"),3))*(VLOOKUP($B$5,标准坦克设计!$B$14:$K$20,9)/30))</f>
        <v>3.3383844954025963</v>
      </c>
      <c r="EJ236" s="172">
        <f ca="1">(VLOOKUP(EJ$72,INDIRECT($C$5&amp;"生成成长"),2))/((VLOOKUP($B236,INDIRECT($B$5&amp;"生成成长"),4))/(VLOOKUP(EJ$72,INDIRECT($C$5&amp;"生成成长"),5))*(VLOOKUP($B$5,标准坦克设计!$B$24:$U$30,MATCH("对"&amp;LEFT($C$5,2)&amp;"输出",标准坦克设计!$B$23:$U$23,0)))*(VLOOKUP($B236,INDIRECT($B$5&amp;"生成成长"),3))*(VLOOKUP($B$5,标准坦克设计!$B$14:$K$20,9)/30))</f>
        <v>3.571769035178737</v>
      </c>
      <c r="EK236" s="172">
        <f ca="1">(VLOOKUP(EK$72,INDIRECT($C$5&amp;"生成成长"),2))/((VLOOKUP($B236,INDIRECT($B$5&amp;"生成成长"),4))/(VLOOKUP(EK$72,INDIRECT($C$5&amp;"生成成长"),5))*(VLOOKUP($B$5,标准坦克设计!$B$24:$U$30,MATCH("对"&amp;LEFT($C$5,2)&amp;"输出",标准坦克设计!$B$23:$U$23,0)))*(VLOOKUP($B236,INDIRECT($B$5&amp;"生成成长"),3))*(VLOOKUP($B$5,标准坦克设计!$B$14:$K$20,9)/30))</f>
        <v>3.862238171846069</v>
      </c>
      <c r="EL236" s="172">
        <f ca="1">(VLOOKUP(EL$72,INDIRECT($C$5&amp;"生成成长"),2))/((VLOOKUP($B236,INDIRECT($B$5&amp;"生成成长"),4))/(VLOOKUP(EL$72,INDIRECT($C$5&amp;"生成成长"),5))*(VLOOKUP($B$5,标准坦克设计!$B$24:$U$30,MATCH("对"&amp;LEFT($C$5,2)&amp;"输出",标准坦克设计!$B$23:$U$23,0)))*(VLOOKUP($B236,INDIRECT($B$5&amp;"生成成长"),3))*(VLOOKUP($B$5,标准坦克设计!$B$14:$K$20,9)/30))</f>
        <v>4.1640611509889967</v>
      </c>
      <c r="EM236" s="172">
        <f ca="1">(VLOOKUP(EM$72,INDIRECT($C$5&amp;"生成成长"),2))/((VLOOKUP($B236,INDIRECT($B$5&amp;"生成成长"),4))/(VLOOKUP(EM$72,INDIRECT($C$5&amp;"生成成长"),5))*(VLOOKUP($B$5,标准坦克设计!$B$24:$U$30,MATCH("对"&amp;LEFT($C$5,2)&amp;"输出",标准坦克设计!$B$23:$U$23,0)))*(VLOOKUP($B236,INDIRECT($B$5&amp;"生成成长"),3))*(VLOOKUP($B$5,标准坦克设计!$B$14:$K$20,9)/30))</f>
        <v>4.4772379726075213</v>
      </c>
      <c r="EN236" s="172">
        <f ca="1">(VLOOKUP(EN$72,INDIRECT($C$5&amp;"生成成长"),2))/((VLOOKUP($B236,INDIRECT($B$5&amp;"生成成长"),4))/(VLOOKUP(EN$72,INDIRECT($C$5&amp;"生成成长"),5))*(VLOOKUP($B$5,标准坦克设计!$B$24:$U$30,MATCH("对"&amp;LEFT($C$5,2)&amp;"输出",标准坦克设计!$B$23:$U$23,0)))*(VLOOKUP($B236,INDIRECT($B$5&amp;"生成成长"),3))*(VLOOKUP($B$5,标准坦克设计!$B$14:$K$20,9)/30))</f>
        <v>4.8017686367016408</v>
      </c>
      <c r="EO236" s="172">
        <f ca="1">(VLOOKUP(EO$72,INDIRECT($C$5&amp;"生成成长"),2))/((VLOOKUP($B236,INDIRECT($B$5&amp;"生成成长"),4))/(VLOOKUP(EO$72,INDIRECT($C$5&amp;"生成成长"),5))*(VLOOKUP($B$5,标准坦克设计!$B$24:$U$30,MATCH("对"&amp;LEFT($C$5,2)&amp;"输出",标准坦克设计!$B$23:$U$23,0)))*(VLOOKUP($B236,INDIRECT($B$5&amp;"生成成长"),3))*(VLOOKUP($B$5,标准坦克设计!$B$14:$K$20,9)/30))</f>
        <v>5.1376531432713568</v>
      </c>
      <c r="EP236" s="172">
        <f ca="1">(VLOOKUP(EP$72,INDIRECT($C$5&amp;"生成成长"),2))/((VLOOKUP($B236,INDIRECT($B$5&amp;"生成成长"),4))/(VLOOKUP(EP$72,INDIRECT($C$5&amp;"生成成长"),5))*(VLOOKUP($B$5,标准坦克设计!$B$24:$U$30,MATCH("对"&amp;LEFT($C$5,2)&amp;"输出",标准坦克设计!$B$23:$U$23,0)))*(VLOOKUP($B236,INDIRECT($B$5&amp;"生成成长"),3))*(VLOOKUP($B$5,标准坦克设计!$B$14:$K$20,9)/30))</f>
        <v>5.4848914923166694</v>
      </c>
      <c r="EQ236" s="172">
        <f ca="1">(VLOOKUP(EQ$72,INDIRECT($C$5&amp;"生成成长"),2))/((VLOOKUP($B236,INDIRECT($B$5&amp;"生成成长"),4))/(VLOOKUP(EQ$72,INDIRECT($C$5&amp;"生成成长"),5))*(VLOOKUP($B$5,标准坦克设计!$B$24:$U$30,MATCH("对"&amp;LEFT($C$5,2)&amp;"输出",标准坦克设计!$B$23:$U$23,0)))*(VLOOKUP($B236,INDIRECT($B$5&amp;"生成成长"),3))*(VLOOKUP($B$5,标准坦克设计!$B$14:$K$20,9)/30))</f>
        <v>2.4246761375661756</v>
      </c>
      <c r="ER236" s="172">
        <f ca="1">(VLOOKUP(ER$72,INDIRECT($C$5&amp;"生成成长"),2))/((VLOOKUP($B236,INDIRECT($B$5&amp;"生成成长"),4))/(VLOOKUP(ER$72,INDIRECT($C$5&amp;"生成成长"),5))*(VLOOKUP($B$5,标准坦克设计!$B$24:$U$30,MATCH("对"&amp;LEFT($C$5,2)&amp;"输出",标准坦克设计!$B$23:$U$23,0)))*(VLOOKUP($B236,INDIRECT($B$5&amp;"生成成长"),3))*(VLOOKUP($B$5,标准坦克设计!$B$14:$K$20,9)/30))</f>
        <v>2.6445385663383947</v>
      </c>
      <c r="ES236" s="172">
        <f ca="1">(VLOOKUP(ES$72,INDIRECT($C$5&amp;"生成成长"),2))/((VLOOKUP($B236,INDIRECT($B$5&amp;"生成成长"),4))/(VLOOKUP(ES$72,INDIRECT($C$5&amp;"生成成长"),5))*(VLOOKUP($B$5,标准坦克设计!$B$24:$U$30,MATCH("对"&amp;LEFT($C$5,2)&amp;"输出",标准坦克设计!$B$23:$U$23,0)))*(VLOOKUP($B236,INDIRECT($B$5&amp;"生成成长"),3))*(VLOOKUP($B$5,标准坦克设计!$B$14:$K$20,9)/30))</f>
        <v>2.8739413766352464</v>
      </c>
      <c r="ET236" s="172">
        <f ca="1">(VLOOKUP(ET$72,INDIRECT($C$5&amp;"生成成长"),2))/((VLOOKUP($B236,INDIRECT($B$5&amp;"生成成长"),4))/(VLOOKUP(ET$72,INDIRECT($C$5&amp;"生成成长"),5))*(VLOOKUP($B$5,标准坦克设计!$B$24:$U$30,MATCH("对"&amp;LEFT($C$5,2)&amp;"输出",标准坦克设计!$B$23:$U$23,0)))*(VLOOKUP($B236,INDIRECT($B$5&amp;"生成成长"),3))*(VLOOKUP($B$5,标准坦克设计!$B$14:$K$20,9)/30))</f>
        <v>3.1128845684567303</v>
      </c>
      <c r="EU236" s="172">
        <f ca="1">(VLOOKUP(EU$72,INDIRECT($C$5&amp;"生成成长"),2))/((VLOOKUP($B236,INDIRECT($B$5&amp;"生成成长"),4))/(VLOOKUP(EU$72,INDIRECT($C$5&amp;"生成成长"),5))*(VLOOKUP($B$5,标准坦克设计!$B$24:$U$30,MATCH("对"&amp;LEFT($C$5,2)&amp;"输出",标准坦克设计!$B$23:$U$23,0)))*(VLOOKUP($B236,INDIRECT($B$5&amp;"生成成长"),3))*(VLOOKUP($B$5,标准坦克设计!$B$14:$K$20,9)/30))</f>
        <v>3.3613681418028478</v>
      </c>
      <c r="EV236" s="172">
        <f ca="1">(VLOOKUP(EV$72,INDIRECT($C$5&amp;"生成成长"),2))/((VLOOKUP($B236,INDIRECT($B$5&amp;"生成成长"),4))/(VLOOKUP(EV$72,INDIRECT($C$5&amp;"生成成长"),5))*(VLOOKUP($B$5,标准坦克设计!$B$24:$U$30,MATCH("对"&amp;LEFT($C$5,2)&amp;"输出",标准坦克设计!$B$23:$U$23,0)))*(VLOOKUP($B236,INDIRECT($B$5&amp;"生成成长"),3))*(VLOOKUP($B$5,标准坦克设计!$B$14:$K$20,9)/30))</f>
        <v>3.6193920966735984</v>
      </c>
      <c r="EW236" s="172">
        <f ca="1">(VLOOKUP(EW$72,INDIRECT($C$5&amp;"生成成长"),2))/((VLOOKUP($B236,INDIRECT($B$5&amp;"生成成长"),4))/(VLOOKUP(EW$72,INDIRECT($C$5&amp;"生成成长"),5))*(VLOOKUP($B$5,标准坦克设计!$B$24:$U$30,MATCH("对"&amp;LEFT($C$5,2)&amp;"输出",标准坦克设计!$B$23:$U$23,0)))*(VLOOKUP($B236,INDIRECT($B$5&amp;"生成成长"),3))*(VLOOKUP($B$5,标准坦克设计!$B$14:$K$20,9)/30))</f>
        <v>3.8869564330689812</v>
      </c>
      <c r="EX236" s="172">
        <f ca="1">(VLOOKUP(EX$72,INDIRECT($C$5&amp;"生成成长"),2))/((VLOOKUP($B236,INDIRECT($B$5&amp;"生成成长"),4))/(VLOOKUP(EX$72,INDIRECT($C$5&amp;"生成成长"),5))*(VLOOKUP($B$5,标准坦克设计!$B$24:$U$30,MATCH("对"&amp;LEFT($C$5,2)&amp;"输出",标准坦克设计!$B$23:$U$23,0)))*(VLOOKUP($B236,INDIRECT($B$5&amp;"生成成长"),3))*(VLOOKUP($B$5,标准坦克设计!$B$14:$K$20,9)/30))</f>
        <v>4.1640611509889967</v>
      </c>
      <c r="EY236" s="172">
        <f ca="1">(VLOOKUP(EY$72,INDIRECT($C$5&amp;"生成成长"),2))/((VLOOKUP($B236,INDIRECT($B$5&amp;"生成成长"),4))/(VLOOKUP(EY$72,INDIRECT($C$5&amp;"生成成长"),5))*(VLOOKUP($B$5,标准坦克设计!$B$24:$U$30,MATCH("对"&amp;LEFT($C$5,2)&amp;"输出",标准坦克设计!$B$23:$U$23,0)))*(VLOOKUP($B236,INDIRECT($B$5&amp;"生成成长"),3))*(VLOOKUP($B$5,标准坦克设计!$B$14:$K$20,9)/30))</f>
        <v>4.4507062504336456</v>
      </c>
      <c r="EZ236" s="172">
        <f ca="1">(VLOOKUP(EZ$72,INDIRECT($C$5&amp;"生成成长"),2))/((VLOOKUP($B236,INDIRECT($B$5&amp;"生成成长"),4))/(VLOOKUP(EZ$72,INDIRECT($C$5&amp;"生成成长"),5))*(VLOOKUP($B$5,标准坦克设计!$B$24:$U$30,MATCH("对"&amp;LEFT($C$5,2)&amp;"输出",标准坦克设计!$B$23:$U$23,0)))*(VLOOKUP($B236,INDIRECT($B$5&amp;"生成成长"),3))*(VLOOKUP($B$5,标准坦克设计!$B$14:$K$20,9)/30))</f>
        <v>4.7468917314029273</v>
      </c>
      <c r="FA236" s="172">
        <f ca="1">(VLOOKUP(FA$72,INDIRECT($C$5&amp;"生成成长"),2))/((VLOOKUP($B236,INDIRECT($B$5&amp;"生成成长"),4))/(VLOOKUP(FA$72,INDIRECT($C$5&amp;"生成成长"),5))*(VLOOKUP($B$5,标准坦克设计!$B$24:$U$30,MATCH("对"&amp;LEFT($C$5,2)&amp;"输出",标准坦克设计!$B$23:$U$23,0)))*(VLOOKUP($B236,INDIRECT($B$5&amp;"生成成长"),3))*(VLOOKUP($B$5,标准坦克设计!$B$14:$K$20,9)/30))</f>
        <v>5.0526175938968407</v>
      </c>
      <c r="FB236" s="172">
        <f ca="1">(VLOOKUP(FB$72,INDIRECT($C$5&amp;"生成成长"),2))/((VLOOKUP($B236,INDIRECT($B$5&amp;"生成成长"),4))/(VLOOKUP(FB$72,INDIRECT($C$5&amp;"生成成长"),5))*(VLOOKUP($B$5,标准坦克设计!$B$24:$U$30,MATCH("对"&amp;LEFT($C$5,2)&amp;"输出",标准坦克设计!$B$23:$U$23,0)))*(VLOOKUP($B236,INDIRECT($B$5&amp;"生成成长"),3))*(VLOOKUP($B$5,标准坦克设计!$B$14:$K$20,9)/30))</f>
        <v>5.3678838379153877</v>
      </c>
      <c r="FC236" s="172">
        <f ca="1">(VLOOKUP(FC$72,INDIRECT($C$5&amp;"生成成长"),2))/((VLOOKUP($B236,INDIRECT($B$5&amp;"生成成长"),4))/(VLOOKUP(FC$72,INDIRECT($C$5&amp;"生成成长"),5))*(VLOOKUP($B$5,标准坦克设计!$B$24:$U$30,MATCH("对"&amp;LEFT($C$5,2)&amp;"输出",标准坦克设计!$B$23:$U$23,0)))*(VLOOKUP($B236,INDIRECT($B$5&amp;"生成成长"),3))*(VLOOKUP($B$5,标准坦克设计!$B$14:$K$20,9)/30))</f>
        <v>5.6926904634585673</v>
      </c>
      <c r="FD236" s="172">
        <f ca="1">(VLOOKUP(FD$72,INDIRECT($C$5&amp;"生成成长"),2))/((VLOOKUP($B236,INDIRECT($B$5&amp;"生成成长"),4))/(VLOOKUP(FD$72,INDIRECT($C$5&amp;"生成成长"),5))*(VLOOKUP($B$5,标准坦克设计!$B$24:$U$30,MATCH("对"&amp;LEFT($C$5,2)&amp;"输出",标准坦克设计!$B$23:$U$23,0)))*(VLOOKUP($B236,INDIRECT($B$5&amp;"生成成长"),3))*(VLOOKUP($B$5,标准坦克设计!$B$14:$K$20,9)/30))</f>
        <v>6.0270374705263796</v>
      </c>
      <c r="FE236" s="172">
        <f ca="1">(VLOOKUP(FE$72,INDIRECT($C$5&amp;"生成成长"),2))/((VLOOKUP($B236,INDIRECT($B$5&amp;"生成成长"),4))/(VLOOKUP(FE$72,INDIRECT($C$5&amp;"生成成长"),5))*(VLOOKUP($B$5,标准坦克设计!$B$24:$U$30,MATCH("对"&amp;LEFT($C$5,2)&amp;"输出",标准坦克设计!$B$23:$U$23,0)))*(VLOOKUP($B236,INDIRECT($B$5&amp;"生成成长"),3))*(VLOOKUP($B$5,标准坦克设计!$B$14:$K$20,9)/30))</f>
        <v>6.4344748385308419</v>
      </c>
      <c r="FF236" s="172">
        <f ca="1">(VLOOKUP(FF$72,INDIRECT($C$5&amp;"生成成长"),2))/((VLOOKUP($B236,INDIRECT($B$5&amp;"生成成长"),4))/(VLOOKUP(FF$72,INDIRECT($C$5&amp;"生成成长"),5))*(VLOOKUP($B$5,标准坦克设计!$B$24:$U$30,MATCH("对"&amp;LEFT($C$5,2)&amp;"输出",标准坦克设计!$B$23:$U$23,0)))*(VLOOKUP($B236,INDIRECT($B$5&amp;"生成成长"),3))*(VLOOKUP($B$5,标准坦克设计!$B$14:$K$20,9)/30))</f>
        <v>6.8552372022184684</v>
      </c>
      <c r="FG236" s="172">
        <f ca="1">(VLOOKUP(FG$72,INDIRECT($C$5&amp;"生成成长"),2))/((VLOOKUP($B236,INDIRECT($B$5&amp;"生成成长"),4))/(VLOOKUP(FG$72,INDIRECT($C$5&amp;"生成成长"),5))*(VLOOKUP($B$5,标准坦克设计!$B$24:$U$30,MATCH("对"&amp;LEFT($C$5,2)&amp;"输出",标准坦克设计!$B$23:$U$23,0)))*(VLOOKUP($B236,INDIRECT($B$5&amp;"生成成长"),3))*(VLOOKUP($B$5,标准坦克设计!$B$14:$K$20,9)/30))</f>
        <v>7.289324561589261</v>
      </c>
      <c r="FH236" s="172">
        <f ca="1">(VLOOKUP(FH$72,INDIRECT($C$5&amp;"生成成长"),2))/((VLOOKUP($B236,INDIRECT($B$5&amp;"生成成长"),4))/(VLOOKUP(FH$72,INDIRECT($C$5&amp;"生成成长"),5))*(VLOOKUP($B$5,标准坦克设计!$B$24:$U$30,MATCH("对"&amp;LEFT($C$5,2)&amp;"输出",标准坦克设计!$B$23:$U$23,0)))*(VLOOKUP($B236,INDIRECT($B$5&amp;"生成成长"),3))*(VLOOKUP($B$5,标准坦克设计!$B$14:$K$20,9)/30))</f>
        <v>7.7367369166432161</v>
      </c>
      <c r="FI236" s="172">
        <f ca="1">(VLOOKUP(FI$72,INDIRECT($C$5&amp;"生成成长"),2))/((VLOOKUP($B236,INDIRECT($B$5&amp;"生成成长"),4))/(VLOOKUP(FI$72,INDIRECT($C$5&amp;"生成成长"),5))*(VLOOKUP($B$5,标准坦克设计!$B$24:$U$30,MATCH("对"&amp;LEFT($C$5,2)&amp;"输出",标准坦克设计!$B$23:$U$23,0)))*(VLOOKUP($B236,INDIRECT($B$5&amp;"生成成长"),3))*(VLOOKUP($B$5,标准坦克设计!$B$14:$K$20,9)/30))</f>
        <v>8.197474267380338</v>
      </c>
      <c r="FJ236" s="172">
        <f ca="1">(VLOOKUP(FJ$72,INDIRECT($C$5&amp;"生成成长"),2))/((VLOOKUP($B236,INDIRECT($B$5&amp;"生成成长"),4))/(VLOOKUP(FJ$72,INDIRECT($C$5&amp;"生成成长"),5))*(VLOOKUP($B$5,标准坦克设计!$B$24:$U$30,MATCH("对"&amp;LEFT($C$5,2)&amp;"输出",标准坦克设计!$B$23:$U$23,0)))*(VLOOKUP($B236,INDIRECT($B$5&amp;"生成成长"),3))*(VLOOKUP($B$5,标准坦克设计!$B$14:$K$20,9)/30))</f>
        <v>8.6715366138006225</v>
      </c>
      <c r="FK236" s="172">
        <f ca="1">(VLOOKUP(FK$72,INDIRECT($C$5&amp;"生成成长"),2))/((VLOOKUP($B236,INDIRECT($B$5&amp;"生成成长"),4))/(VLOOKUP(FK$72,INDIRECT($C$5&amp;"生成成长"),5))*(VLOOKUP($B$5,标准坦克设计!$B$24:$U$30,MATCH("对"&amp;LEFT($C$5,2)&amp;"输出",标准坦克设计!$B$23:$U$23,0)))*(VLOOKUP($B236,INDIRECT($B$5&amp;"生成成长"),3))*(VLOOKUP($B$5,标准坦克设计!$B$14:$K$20,9)/30))</f>
        <v>9.158923955904072</v>
      </c>
    </row>
    <row r="237" spans="1:167" x14ac:dyDescent="0.15">
      <c r="A237" s="170" t="str">
        <f t="shared" si="13"/>
        <v>T5高品质21级</v>
      </c>
      <c r="B237" s="171">
        <v>30521</v>
      </c>
      <c r="C237" s="172">
        <f ca="1">(VLOOKUP(C$72,INDIRECT($C$5&amp;"生成成长"),2))/((VLOOKUP($B237,INDIRECT($B$5&amp;"生成成长"),4))/(VLOOKUP(C$72,INDIRECT($C$5&amp;"生成成长"),5))*(VLOOKUP($B$5,标准坦克设计!$B$24:$U$30,MATCH("对"&amp;LEFT($C$5,2)&amp;"输出",标准坦克设计!$B$23:$U$23,0)))*(VLOOKUP($B237,INDIRECT($B$5&amp;"生成成长"),3))*(VLOOKUP($B$5,标准坦克设计!$B$14:$K$20,9)/30))</f>
        <v>0.37352727653739548</v>
      </c>
      <c r="D237" s="172">
        <f ca="1">(VLOOKUP(D$72,INDIRECT($C$5&amp;"生成成长"),2))/((VLOOKUP($B237,INDIRECT($B$5&amp;"生成成长"),4))/(VLOOKUP(D$72,INDIRECT($C$5&amp;"生成成长"),5))*(VLOOKUP($B$5,标准坦克设计!$B$24:$U$30,MATCH("对"&amp;LEFT($C$5,2)&amp;"输出",标准坦克设计!$B$23:$U$23,0)))*(VLOOKUP($B237,INDIRECT($B$5&amp;"生成成长"),3))*(VLOOKUP($B$5,标准坦克设计!$B$14:$K$20,9)/30))</f>
        <v>0.41969524791741764</v>
      </c>
      <c r="E237" s="172">
        <f ca="1">(VLOOKUP(E$72,INDIRECT($C$5&amp;"生成成长"),2))/((VLOOKUP($B237,INDIRECT($B$5&amp;"生成成长"),4))/(VLOOKUP(E$72,INDIRECT($C$5&amp;"生成成长"),5))*(VLOOKUP($B$5,标准坦克设计!$B$24:$U$30,MATCH("对"&amp;LEFT($C$5,2)&amp;"输出",标准坦克设计!$B$23:$U$23,0)))*(VLOOKUP($B237,INDIRECT($B$5&amp;"生成成长"),3))*(VLOOKUP($B$5,标准坦克设计!$B$14:$K$20,9)/30))</f>
        <v>0.46855261568850881</v>
      </c>
      <c r="F237" s="172">
        <f ca="1">(VLOOKUP(F$72,INDIRECT($C$5&amp;"生成成长"),2))/((VLOOKUP($B237,INDIRECT($B$5&amp;"生成成长"),4))/(VLOOKUP(F$72,INDIRECT($C$5&amp;"生成成长"),5))*(VLOOKUP($B$5,标准坦克设计!$B$24:$U$30,MATCH("对"&amp;LEFT($C$5,2)&amp;"输出",标准坦克设计!$B$23:$U$23,0)))*(VLOOKUP($B237,INDIRECT($B$5&amp;"生成成长"),3))*(VLOOKUP($B$5,标准坦克设计!$B$14:$K$20,9)/30))</f>
        <v>0.52009937985066956</v>
      </c>
      <c r="G237" s="172">
        <f ca="1">(VLOOKUP(G$72,INDIRECT($C$5&amp;"生成成长"),2))/((VLOOKUP($B237,INDIRECT($B$5&amp;"生成成长"),4))/(VLOOKUP(G$72,INDIRECT($C$5&amp;"生成成长"),5))*(VLOOKUP($B$5,标准坦克设计!$B$24:$U$30,MATCH("对"&amp;LEFT($C$5,2)&amp;"输出",标准坦克设计!$B$23:$U$23,0)))*(VLOOKUP($B237,INDIRECT($B$5&amp;"生成成长"),3))*(VLOOKUP($B$5,标准坦克设计!$B$14:$K$20,9)/30))</f>
        <v>0.57433554040389934</v>
      </c>
      <c r="H237" s="172">
        <f ca="1">(VLOOKUP(H$72,INDIRECT($C$5&amp;"生成成长"),2))/((VLOOKUP($B237,INDIRECT($B$5&amp;"生成成长"),4))/(VLOOKUP(H$72,INDIRECT($C$5&amp;"生成成长"),5))*(VLOOKUP($B$5,标准坦克设计!$B$24:$U$30,MATCH("对"&amp;LEFT($C$5,2)&amp;"输出",标准坦克设计!$B$23:$U$23,0)))*(VLOOKUP($B237,INDIRECT($B$5&amp;"生成成长"),3))*(VLOOKUP($B$5,标准坦克设计!$B$14:$K$20,9)/30))</f>
        <v>0.50261830330871948</v>
      </c>
      <c r="I237" s="172">
        <f ca="1">(VLOOKUP(I$72,INDIRECT($C$5&amp;"生成成长"),2))/((VLOOKUP($B237,INDIRECT($B$5&amp;"生成成长"),4))/(VLOOKUP(I$72,INDIRECT($C$5&amp;"生成成长"),5))*(VLOOKUP($B$5,标准坦克设计!$B$24:$U$30,MATCH("对"&amp;LEFT($C$5,2)&amp;"输出",标准坦克设计!$B$23:$U$23,0)))*(VLOOKUP($B237,INDIRECT($B$5&amp;"生成成长"),3))*(VLOOKUP($B$5,标准坦克设计!$B$14:$K$20,9)/30))</f>
        <v>0.57433554040389934</v>
      </c>
      <c r="J237" s="172">
        <f ca="1">(VLOOKUP(J$72,INDIRECT($C$5&amp;"生成成长"),2))/((VLOOKUP($B237,INDIRECT($B$5&amp;"生成成长"),4))/(VLOOKUP(J$72,INDIRECT($C$5&amp;"生成成长"),5))*(VLOOKUP($B$5,标准坦克设计!$B$24:$U$30,MATCH("对"&amp;LEFT($C$5,2)&amp;"输出",标准坦克设计!$B$23:$U$23,0)))*(VLOOKUP($B237,INDIRECT($B$5&amp;"生成成长"),3))*(VLOOKUP($B$5,标准坦克设计!$B$14:$K$20,9)/30))</f>
        <v>0.65083392663875794</v>
      </c>
      <c r="K237" s="172">
        <f ca="1">(VLOOKUP(K$72,INDIRECT($C$5&amp;"生成成长"),2))/((VLOOKUP($B237,INDIRECT($B$5&amp;"生成成长"),4))/(VLOOKUP(K$72,INDIRECT($C$5&amp;"生成成长"),5))*(VLOOKUP($B$5,标准坦克设计!$B$24:$U$30,MATCH("对"&amp;LEFT($C$5,2)&amp;"输出",标准坦克设计!$B$23:$U$23,0)))*(VLOOKUP($B237,INDIRECT($B$5&amp;"生成成长"),3))*(VLOOKUP($B$5,标准坦克设计!$B$14:$K$20,9)/30))</f>
        <v>0.73211346201329519</v>
      </c>
      <c r="L237" s="172">
        <f ca="1">(VLOOKUP(L$72,INDIRECT($C$5&amp;"生成成长"),2))/((VLOOKUP($B237,INDIRECT($B$5&amp;"生成成长"),4))/(VLOOKUP(L$72,INDIRECT($C$5&amp;"生成成长"),5))*(VLOOKUP($B$5,标准坦克设计!$B$24:$U$30,MATCH("对"&amp;LEFT($C$5,2)&amp;"输出",标准坦克设计!$B$23:$U$23,0)))*(VLOOKUP($B237,INDIRECT($B$5&amp;"生成成长"),3))*(VLOOKUP($B$5,标准坦克设计!$B$14:$K$20,9)/30))</f>
        <v>0.81817414652751119</v>
      </c>
      <c r="M237" s="172">
        <f ca="1">(VLOOKUP(M$72,INDIRECT($C$5&amp;"生成成长"),2))/((VLOOKUP($B237,INDIRECT($B$5&amp;"生成成长"),4))/(VLOOKUP(M$72,INDIRECT($C$5&amp;"生成成长"),5))*(VLOOKUP($B$5,标准坦克设计!$B$24:$U$30,MATCH("对"&amp;LEFT($C$5,2)&amp;"输出",标准坦克设计!$B$23:$U$23,0)))*(VLOOKUP($B237,INDIRECT($B$5&amp;"生成成长"),3))*(VLOOKUP($B$5,标准坦克设计!$B$14:$K$20,9)/30))</f>
        <v>0.90901598018140572</v>
      </c>
      <c r="N237" s="172">
        <f ca="1">(VLOOKUP(N$72,INDIRECT($C$5&amp;"生成成长"),2))/((VLOOKUP($B237,INDIRECT($B$5&amp;"生成成长"),4))/(VLOOKUP(N$72,INDIRECT($C$5&amp;"生成成长"),5))*(VLOOKUP($B$5,标准坦克设计!$B$24:$U$30,MATCH("对"&amp;LEFT($C$5,2)&amp;"输出",标准坦克设计!$B$23:$U$23,0)))*(VLOOKUP($B237,INDIRECT($B$5&amp;"生成成长"),3))*(VLOOKUP($B$5,标准坦克设计!$B$14:$K$20,9)/30))</f>
        <v>1.004638962974979</v>
      </c>
      <c r="O237" s="172">
        <f ca="1">(VLOOKUP(O$72,INDIRECT($C$5&amp;"生成成长"),2))/((VLOOKUP($B237,INDIRECT($B$5&amp;"生成成长"),4))/(VLOOKUP(O$72,INDIRECT($C$5&amp;"生成成长"),5))*(VLOOKUP($B$5,标准坦克设计!$B$24:$U$30,MATCH("对"&amp;LEFT($C$5,2)&amp;"输出",标准坦克设计!$B$23:$U$23,0)))*(VLOOKUP($B237,INDIRECT($B$5&amp;"生成成长"),3))*(VLOOKUP($B$5,标准坦克设计!$B$14:$K$20,9)/30))</f>
        <v>0.76382592779132008</v>
      </c>
      <c r="P237" s="172">
        <f ca="1">(VLOOKUP(P$72,INDIRECT($C$5&amp;"生成成长"),2))/((VLOOKUP($B237,INDIRECT($B$5&amp;"生成成长"),4))/(VLOOKUP(P$72,INDIRECT($C$5&amp;"生成成长"),5))*(VLOOKUP($B$5,标准坦克设计!$B$24:$U$30,MATCH("对"&amp;LEFT($C$5,2)&amp;"输出",标准坦克设计!$B$23:$U$23,0)))*(VLOOKUP($B237,INDIRECT($B$5&amp;"生成成长"),3))*(VLOOKUP($B$5,标准坦克设计!$B$14:$K$20,9)/30))</f>
        <v>0.86299741971199873</v>
      </c>
      <c r="Q237" s="172">
        <f ca="1">(VLOOKUP(Q$72,INDIRECT($C$5&amp;"生成成长"),2))/((VLOOKUP($B237,INDIRECT($B$5&amp;"生成成长"),4))/(VLOOKUP(Q$72,INDIRECT($C$5&amp;"生成成长"),5))*(VLOOKUP($B$5,标准坦克设计!$B$24:$U$30,MATCH("对"&amp;LEFT($C$5,2)&amp;"输出",标准坦克设计!$B$23:$U$23,0)))*(VLOOKUP($B237,INDIRECT($B$5&amp;"生成成长"),3))*(VLOOKUP($B$5,标准坦克设计!$B$14:$K$20,9)/30))</f>
        <v>0.96822005351258289</v>
      </c>
      <c r="R237" s="172">
        <f ca="1">(VLOOKUP(R$72,INDIRECT($C$5&amp;"生成成长"),2))/((VLOOKUP($B237,INDIRECT($B$5&amp;"生成成长"),4))/(VLOOKUP(R$72,INDIRECT($C$5&amp;"生成成长"),5))*(VLOOKUP($B$5,标准坦克设计!$B$24:$U$30,MATCH("对"&amp;LEFT($C$5,2)&amp;"输出",标准坦克设计!$B$23:$U$23,0)))*(VLOOKUP($B237,INDIRECT($B$5&amp;"生成成长"),3))*(VLOOKUP($B$5,标准坦克设计!$B$14:$K$20,9)/30))</f>
        <v>1.0794938291930729</v>
      </c>
      <c r="S237" s="172">
        <f ca="1">(VLOOKUP(S$72,INDIRECT($C$5&amp;"生成成长"),2))/((VLOOKUP($B237,INDIRECT($B$5&amp;"生成成长"),4))/(VLOOKUP(S$72,INDIRECT($C$5&amp;"生成成长"),5))*(VLOOKUP($B$5,标准坦克设计!$B$24:$U$30,MATCH("对"&amp;LEFT($C$5,2)&amp;"输出",标准坦克设计!$B$23:$U$23,0)))*(VLOOKUP($B237,INDIRECT($B$5&amp;"生成成长"),3))*(VLOOKUP($B$5,标准坦克设计!$B$14:$K$20,9)/30))</f>
        <v>1.1968187467534688</v>
      </c>
      <c r="T237" s="172">
        <f ca="1">(VLOOKUP(T$72,INDIRECT($C$5&amp;"生成成长"),2))/((VLOOKUP($B237,INDIRECT($B$5&amp;"生成成长"),4))/(VLOOKUP(T$72,INDIRECT($C$5&amp;"生成成长"),5))*(VLOOKUP($B$5,标准坦克设计!$B$24:$U$30,MATCH("对"&amp;LEFT($C$5,2)&amp;"输出",标准坦克设计!$B$23:$U$23,0)))*(VLOOKUP($B237,INDIRECT($B$5&amp;"生成成长"),3))*(VLOOKUP($B$5,标准坦克设计!$B$14:$K$20,9)/30))</f>
        <v>1.3201948061937709</v>
      </c>
      <c r="U237" s="172">
        <f ca="1">(VLOOKUP(U$72,INDIRECT($C$5&amp;"生成成长"),2))/((VLOOKUP($B237,INDIRECT($B$5&amp;"生成成长"),4))/(VLOOKUP(U$72,INDIRECT($C$5&amp;"生成成长"),5))*(VLOOKUP($B$5,标准坦克设计!$B$24:$U$30,MATCH("对"&amp;LEFT($C$5,2)&amp;"输出",标准坦克设计!$B$23:$U$23,0)))*(VLOOKUP($B237,INDIRECT($B$5&amp;"生成成长"),3))*(VLOOKUP($B$5,标准坦克设计!$B$14:$K$20,9)/30))</f>
        <v>1.4496220075139783</v>
      </c>
      <c r="V237" s="172">
        <f ca="1">(VLOOKUP(V$72,INDIRECT($C$5&amp;"生成成长"),2))/((VLOOKUP($B237,INDIRECT($B$5&amp;"生成成长"),4))/(VLOOKUP(V$72,INDIRECT($C$5&amp;"生成成长"),5))*(VLOOKUP($B$5,标准坦克设计!$B$24:$U$30,MATCH("对"&amp;LEFT($C$5,2)&amp;"输出",标准坦克设计!$B$23:$U$23,0)))*(VLOOKUP($B237,INDIRECT($B$5&amp;"生成成长"),3))*(VLOOKUP($B$5,标准坦克设计!$B$14:$K$20,9)/30))</f>
        <v>1.5851003507140922</v>
      </c>
      <c r="W237" s="172">
        <f ca="1">(VLOOKUP(W$72,INDIRECT($C$5&amp;"生成成长"),2))/((VLOOKUP($B237,INDIRECT($B$5&amp;"生成成长"),4))/(VLOOKUP(W$72,INDIRECT($C$5&amp;"生成成长"),5))*(VLOOKUP($B$5,标准坦克设计!$B$24:$U$30,MATCH("对"&amp;LEFT($C$5,2)&amp;"输出",标准坦克设计!$B$23:$U$23,0)))*(VLOOKUP($B237,INDIRECT($B$5&amp;"生成成长"),3))*(VLOOKUP($B$5,标准坦克设计!$B$14:$K$20,9)/30))</f>
        <v>1.7266298357941106</v>
      </c>
      <c r="X237" s="172">
        <f ca="1">(VLOOKUP(X$72,INDIRECT($C$5&amp;"生成成长"),2))/((VLOOKUP($B237,INDIRECT($B$5&amp;"生成成长"),4))/(VLOOKUP(X$72,INDIRECT($C$5&amp;"生成成长"),5))*(VLOOKUP($B$5,标准坦克设计!$B$24:$U$30,MATCH("对"&amp;LEFT($C$5,2)&amp;"输出",标准坦克设计!$B$23:$U$23,0)))*(VLOOKUP($B237,INDIRECT($B$5&amp;"生成成长"),3))*(VLOOKUP($B$5,标准坦克设计!$B$14:$K$20,9)/30))</f>
        <v>1.2509054963960839</v>
      </c>
      <c r="Y237" s="172">
        <f ca="1">(VLOOKUP(Y$72,INDIRECT($C$5&amp;"生成成长"),2))/((VLOOKUP($B237,INDIRECT($B$5&amp;"生成成长"),4))/(VLOOKUP(Y$72,INDIRECT($C$5&amp;"生成成长"),5))*(VLOOKUP($B$5,标准坦克设计!$B$24:$U$30,MATCH("对"&amp;LEFT($C$5,2)&amp;"输出",标准坦克设计!$B$23:$U$23,0)))*(VLOOKUP($B237,INDIRECT($B$5&amp;"生成成长"),3))*(VLOOKUP($B$5,标准坦克设计!$B$14:$K$20,9)/30))</f>
        <v>1.3913517523741445</v>
      </c>
      <c r="Z237" s="172">
        <f ca="1">(VLOOKUP(Z$72,INDIRECT($C$5&amp;"生成成长"),2))/((VLOOKUP($B237,INDIRECT($B$5&amp;"生成成长"),4))/(VLOOKUP(Z$72,INDIRECT($C$5&amp;"生成成长"),5))*(VLOOKUP($B$5,标准坦克设计!$B$24:$U$30,MATCH("对"&amp;LEFT($C$5,2)&amp;"输出",标准坦克设计!$B$23:$U$23,0)))*(VLOOKUP($B237,INDIRECT($B$5&amp;"生成成长"),3))*(VLOOKUP($B$5,标准坦克设计!$B$14:$K$20,9)/30))</f>
        <v>1.5392685538829531</v>
      </c>
      <c r="AA237" s="172">
        <f ca="1">(VLOOKUP(AA$72,INDIRECT($C$5&amp;"生成成长"),2))/((VLOOKUP($B237,INDIRECT($B$5&amp;"生成成长"),4))/(VLOOKUP(AA$72,INDIRECT($C$5&amp;"生成成长"),5))*(VLOOKUP($B$5,标准坦克设计!$B$24:$U$30,MATCH("对"&amp;LEFT($C$5,2)&amp;"输出",标准坦克设计!$B$23:$U$23,0)))*(VLOOKUP($B237,INDIRECT($B$5&amp;"生成成长"),3))*(VLOOKUP($B$5,标准坦克设计!$B$14:$K$20,9)/30))</f>
        <v>1.69465590092251</v>
      </c>
      <c r="AB237" s="172">
        <f ca="1">(VLOOKUP(AB$72,INDIRECT($C$5&amp;"生成成长"),2))/((VLOOKUP($B237,INDIRECT($B$5&amp;"生成成长"),4))/(VLOOKUP(AB$72,INDIRECT($C$5&amp;"生成成长"),5))*(VLOOKUP($B$5,标准坦克设计!$B$24:$U$30,MATCH("对"&amp;LEFT($C$5,2)&amp;"输出",标准坦克设计!$B$23:$U$23,0)))*(VLOOKUP($B237,INDIRECT($B$5&amp;"生成成长"),3))*(VLOOKUP($B$5,标准坦克设计!$B$14:$K$20,9)/30))</f>
        <v>1.8575137934928139</v>
      </c>
      <c r="AC237" s="172">
        <f ca="1">(VLOOKUP(AC$72,INDIRECT($C$5&amp;"生成成长"),2))/((VLOOKUP($B237,INDIRECT($B$5&amp;"生成成长"),4))/(VLOOKUP(AC$72,INDIRECT($C$5&amp;"生成成长"),5))*(VLOOKUP($B$5,标准坦克设计!$B$24:$U$30,MATCH("对"&amp;LEFT($C$5,2)&amp;"输出",标准坦克设计!$B$23:$U$23,0)))*(VLOOKUP($B237,INDIRECT($B$5&amp;"生成成长"),3))*(VLOOKUP($B$5,标准坦克设计!$B$14:$K$20,9)/30))</f>
        <v>2.0278422315938665</v>
      </c>
      <c r="AD237" s="172">
        <f ca="1">(VLOOKUP(AD$72,INDIRECT($C$5&amp;"生成成长"),2))/((VLOOKUP($B237,INDIRECT($B$5&amp;"生成成长"),4))/(VLOOKUP(AD$72,INDIRECT($C$5&amp;"生成成长"),5))*(VLOOKUP($B$5,标准坦克设计!$B$24:$U$30,MATCH("对"&amp;LEFT($C$5,2)&amp;"输出",标准坦克设计!$B$23:$U$23,0)))*(VLOOKUP($B237,INDIRECT($B$5&amp;"生成成长"),3))*(VLOOKUP($B$5,标准坦克设计!$B$14:$K$20,9)/30))</f>
        <v>2.2056412152256666</v>
      </c>
      <c r="AE237" s="172">
        <f ca="1">(VLOOKUP(AE$72,INDIRECT($C$5&amp;"生成成长"),2))/((VLOOKUP($B237,INDIRECT($B$5&amp;"生成成长"),4))/(VLOOKUP(AE$72,INDIRECT($C$5&amp;"生成成长"),5))*(VLOOKUP($B$5,标准坦克设计!$B$24:$U$30,MATCH("对"&amp;LEFT($C$5,2)&amp;"输出",标准坦克设计!$B$23:$U$23,0)))*(VLOOKUP($B237,INDIRECT($B$5&amp;"生成成长"),3))*(VLOOKUP($B$5,标准坦克设计!$B$14:$K$20,9)/30))</f>
        <v>2.3909107443882149</v>
      </c>
      <c r="AF237" s="172">
        <f ca="1">(VLOOKUP(AF$72,INDIRECT($C$5&amp;"生成成长"),2))/((VLOOKUP($B237,INDIRECT($B$5&amp;"生成成长"),4))/(VLOOKUP(AF$72,INDIRECT($C$5&amp;"生成成长"),5))*(VLOOKUP($B$5,标准坦克设计!$B$24:$U$30,MATCH("对"&amp;LEFT($C$5,2)&amp;"输出",标准坦克设计!$B$23:$U$23,0)))*(VLOOKUP($B237,INDIRECT($B$5&amp;"生成成长"),3))*(VLOOKUP($B$5,标准坦克设计!$B$14:$K$20,9)/30))</f>
        <v>2.5836508190815106</v>
      </c>
      <c r="AG237" s="172">
        <f ca="1">(VLOOKUP(AG$72,INDIRECT($C$5&amp;"生成成长"),2))/((VLOOKUP($B237,INDIRECT($B$5&amp;"生成成长"),4))/(VLOOKUP(AG$72,INDIRECT($C$5&amp;"生成成长"),5))*(VLOOKUP($B$5,标准坦克设计!$B$24:$U$30,MATCH("对"&amp;LEFT($C$5,2)&amp;"输出",标准坦克设计!$B$23:$U$23,0)))*(VLOOKUP($B237,INDIRECT($B$5&amp;"生成成长"),3))*(VLOOKUP($B$5,标准坦克设计!$B$14:$K$20,9)/30))</f>
        <v>2.783861439305555</v>
      </c>
      <c r="AH237" s="172">
        <f ca="1">(VLOOKUP(AH$72,INDIRECT($C$5&amp;"生成成长"),2))/((VLOOKUP($B237,INDIRECT($B$5&amp;"生成成长"),4))/(VLOOKUP(AH$72,INDIRECT($C$5&amp;"生成成长"),5))*(VLOOKUP($B$5,标准坦克设计!$B$24:$U$30,MATCH("对"&amp;LEFT($C$5,2)&amp;"输出",标准坦克设计!$B$23:$U$23,0)))*(VLOOKUP($B237,INDIRECT($B$5&amp;"生成成长"),3))*(VLOOKUP($B$5,标准坦克设计!$B$14:$K$20,9)/30))</f>
        <v>2.9915426050603471</v>
      </c>
      <c r="AI237" s="172">
        <f ca="1">(VLOOKUP(AI$72,INDIRECT($C$5&amp;"生成成长"),2))/((VLOOKUP($B237,INDIRECT($B$5&amp;"生成成长"),4))/(VLOOKUP(AI$72,INDIRECT($C$5&amp;"生成成长"),5))*(VLOOKUP($B$5,标准坦克设计!$B$24:$U$30,MATCH("对"&amp;LEFT($C$5,2)&amp;"输出",标准坦克设计!$B$23:$U$23,0)))*(VLOOKUP($B237,INDIRECT($B$5&amp;"生成成长"),3))*(VLOOKUP($B$5,标准坦克设计!$B$14:$K$20,9)/30))</f>
        <v>2.1158079052184235</v>
      </c>
      <c r="AJ237" s="172">
        <f ca="1">(VLOOKUP(AJ$72,INDIRECT($C$5&amp;"生成成长"),2))/((VLOOKUP($B237,INDIRECT($B$5&amp;"生成成长"),4))/(VLOOKUP(AJ$72,INDIRECT($C$5&amp;"生成成长"),5))*(VLOOKUP($B$5,标准坦克设计!$B$24:$U$30,MATCH("对"&amp;LEFT($C$5,2)&amp;"输出",标准坦克设计!$B$23:$U$23,0)))*(VLOOKUP($B237,INDIRECT($B$5&amp;"生成成长"),3))*(VLOOKUP($B$5,标准坦克设计!$B$14:$K$20,9)/30))</f>
        <v>2.3159064672595062</v>
      </c>
      <c r="AK237" s="172">
        <f ca="1">(VLOOKUP(AK$72,INDIRECT($C$5&amp;"生成成长"),2))/((VLOOKUP($B237,INDIRECT($B$5&amp;"生成成长"),4))/(VLOOKUP(AK$72,INDIRECT($C$5&amp;"生成成长"),5))*(VLOOKUP($B$5,标准坦克设计!$B$24:$U$30,MATCH("对"&amp;LEFT($C$5,2)&amp;"输出",标准坦克设计!$B$23:$U$23,0)))*(VLOOKUP($B237,INDIRECT($B$5&amp;"生成成长"),3))*(VLOOKUP($B$5,标准坦克设计!$B$14:$K$20,9)/30))</f>
        <v>2.5250443893927939</v>
      </c>
      <c r="AL237" s="172">
        <f ca="1">(VLOOKUP(AL$72,INDIRECT($C$5&amp;"生成成长"),2))/((VLOOKUP($B237,INDIRECT($B$5&amp;"生成成长"),4))/(VLOOKUP(AL$72,INDIRECT($C$5&amp;"生成成长"),5))*(VLOOKUP($B$5,标准坦克设计!$B$24:$U$30,MATCH("对"&amp;LEFT($C$5,2)&amp;"输出",标准坦克设计!$B$23:$U$23,0)))*(VLOOKUP($B237,INDIRECT($B$5&amp;"生成成长"),3))*(VLOOKUP($B$5,标准坦克设计!$B$14:$K$20,9)/30))</f>
        <v>2.7432216716182865</v>
      </c>
      <c r="AM237" s="172">
        <f ca="1">(VLOOKUP(AM$72,INDIRECT($C$5&amp;"生成成长"),2))/((VLOOKUP($B237,INDIRECT($B$5&amp;"生成成长"),4))/(VLOOKUP(AM$72,INDIRECT($C$5&amp;"生成成长"),5))*(VLOOKUP($B$5,标准坦克设计!$B$24:$U$30,MATCH("对"&amp;LEFT($C$5,2)&amp;"输出",标准坦克设计!$B$23:$U$23,0)))*(VLOOKUP($B237,INDIRECT($B$5&amp;"生成成长"),3))*(VLOOKUP($B$5,标准坦克设计!$B$14:$K$20,9)/30))</f>
        <v>2.9704383139359845</v>
      </c>
      <c r="AN237" s="172">
        <f ca="1">(VLOOKUP(AN$72,INDIRECT($C$5&amp;"生成成长"),2))/((VLOOKUP($B237,INDIRECT($B$5&amp;"生成成长"),4))/(VLOOKUP(AN$72,INDIRECT($C$5&amp;"生成成长"),5))*(VLOOKUP($B$5,标准坦克设计!$B$24:$U$30,MATCH("对"&amp;LEFT($C$5,2)&amp;"输出",标准坦克设计!$B$23:$U$23,0)))*(VLOOKUP($B237,INDIRECT($B$5&amp;"生成成长"),3))*(VLOOKUP($B$5,标准坦克设计!$B$14:$K$20,9)/30))</f>
        <v>3.206694316345887</v>
      </c>
      <c r="AO237" s="172">
        <f ca="1">(VLOOKUP(AO$72,INDIRECT($C$5&amp;"生成成长"),2))/((VLOOKUP($B237,INDIRECT($B$5&amp;"生成成长"),4))/(VLOOKUP(AO$72,INDIRECT($C$5&amp;"生成成长"),5))*(VLOOKUP($B$5,标准坦克设计!$B$24:$U$30,MATCH("对"&amp;LEFT($C$5,2)&amp;"输出",标准坦克设计!$B$23:$U$23,0)))*(VLOOKUP($B237,INDIRECT($B$5&amp;"生成成长"),3))*(VLOOKUP($B$5,标准坦克设计!$B$14:$K$20,9)/30))</f>
        <v>3.4519896788479949</v>
      </c>
      <c r="AP237" s="172">
        <f ca="1">(VLOOKUP(AP$72,INDIRECT($C$5&amp;"生成成长"),2))/((VLOOKUP($B237,INDIRECT($B$5&amp;"生成成长"),4))/(VLOOKUP(AP$72,INDIRECT($C$5&amp;"生成成长"),5))*(VLOOKUP($B$5,标准坦克设计!$B$24:$U$30,MATCH("对"&amp;LEFT($C$5,2)&amp;"输出",标准坦克设计!$B$23:$U$23,0)))*(VLOOKUP($B237,INDIRECT($B$5&amp;"生成成长"),3))*(VLOOKUP($B$5,标准坦克设计!$B$14:$K$20,9)/30))</f>
        <v>3.7063244014423073</v>
      </c>
      <c r="AQ237" s="172">
        <f ca="1">(VLOOKUP(AQ$72,INDIRECT($C$5&amp;"生成成长"),2))/((VLOOKUP($B237,INDIRECT($B$5&amp;"生成成长"),4))/(VLOOKUP(AQ$72,INDIRECT($C$5&amp;"生成成长"),5))*(VLOOKUP($B$5,标准坦克设计!$B$24:$U$30,MATCH("对"&amp;LEFT($C$5,2)&amp;"输出",标准坦克设计!$B$23:$U$23,0)))*(VLOOKUP($B237,INDIRECT($B$5&amp;"生成成长"),3))*(VLOOKUP($B$5,标准坦克设计!$B$14:$K$20,9)/30))</f>
        <v>3.9696984841288248</v>
      </c>
      <c r="AR237" s="172">
        <f ca="1">(VLOOKUP(AR$72,INDIRECT($C$5&amp;"生成成长"),2))/((VLOOKUP($B237,INDIRECT($B$5&amp;"生成成长"),4))/(VLOOKUP(AR$72,INDIRECT($C$5&amp;"生成成长"),5))*(VLOOKUP($B$5,标准坦克设计!$B$24:$U$30,MATCH("对"&amp;LEFT($C$5,2)&amp;"输出",标准坦克设计!$B$23:$U$23,0)))*(VLOOKUP($B237,INDIRECT($B$5&amp;"生成成长"),3))*(VLOOKUP($B$5,标准坦克设计!$B$14:$K$20,9)/30))</f>
        <v>4.2421119269075467</v>
      </c>
      <c r="AS237" s="172">
        <f ca="1">(VLOOKUP(AS$72,INDIRECT($C$5&amp;"生成成长"),2))/((VLOOKUP($B237,INDIRECT($B$5&amp;"生成成长"),4))/(VLOOKUP(AS$72,INDIRECT($C$5&amp;"生成成长"),5))*(VLOOKUP($B$5,标准坦克设计!$B$24:$U$30,MATCH("对"&amp;LEFT($C$5,2)&amp;"输出",标准坦克设计!$B$23:$U$23,0)))*(VLOOKUP($B237,INDIRECT($B$5&amp;"生成成长"),3))*(VLOOKUP($B$5,标准坦克设计!$B$14:$K$20,9)/30))</f>
        <v>4.5235647297784753</v>
      </c>
      <c r="AT237" s="172">
        <f ca="1">(VLOOKUP(AT$72,INDIRECT($C$5&amp;"生成成长"),2))/((VLOOKUP($B237,INDIRECT($B$5&amp;"生成成长"),4))/(VLOOKUP(AT$72,INDIRECT($C$5&amp;"生成成长"),5))*(VLOOKUP($B$5,标准坦克设计!$B$24:$U$30,MATCH("对"&amp;LEFT($C$5,2)&amp;"输出",标准坦克设计!$B$23:$U$23,0)))*(VLOOKUP($B237,INDIRECT($B$5&amp;"生成成长"),3))*(VLOOKUP($B$5,标准坦克设计!$B$14:$K$20,9)/30))</f>
        <v>4.8140568927416076</v>
      </c>
      <c r="AU237" s="172">
        <f ca="1">(VLOOKUP(AU$72,INDIRECT($C$5&amp;"生成成长"),2))/((VLOOKUP($B237,INDIRECT($B$5&amp;"生成成长"),4))/(VLOOKUP(AU$72,INDIRECT($C$5&amp;"生成成长"),5))*(VLOOKUP($B$5,标准坦克设计!$B$24:$U$30,MATCH("对"&amp;LEFT($C$5,2)&amp;"输出",标准坦克设计!$B$23:$U$23,0)))*(VLOOKUP($B237,INDIRECT($B$5&amp;"生成成长"),3))*(VLOOKUP($B$5,标准坦克设计!$B$14:$K$20,9)/30))</f>
        <v>5.1135884157969445</v>
      </c>
      <c r="AV237" s="172">
        <f ca="1">(VLOOKUP(AV$72,INDIRECT($C$5&amp;"生成成长"),2))/((VLOOKUP($B237,INDIRECT($B$5&amp;"生成成长"),4))/(VLOOKUP(AV$72,INDIRECT($C$5&amp;"生成成长"),5))*(VLOOKUP($B$5,标准坦克设计!$B$24:$U$30,MATCH("对"&amp;LEFT($C$5,2)&amp;"输出",标准坦克设计!$B$23:$U$23,0)))*(VLOOKUP($B237,INDIRECT($B$5&amp;"生成成长"),3))*(VLOOKUP($B$5,标准坦克设计!$B$14:$K$20,9)/30))</f>
        <v>0.52009937985066956</v>
      </c>
      <c r="AW237" s="172">
        <f ca="1">(VLOOKUP(AW$72,INDIRECT($C$5&amp;"生成成长"),2))/((VLOOKUP($B237,INDIRECT($B$5&amp;"生成成长"),4))/(VLOOKUP(AW$72,INDIRECT($C$5&amp;"生成成长"),5))*(VLOOKUP($B$5,标准坦克设计!$B$24:$U$30,MATCH("对"&amp;LEFT($C$5,2)&amp;"输出",标准坦克设计!$B$23:$U$23,0)))*(VLOOKUP($B237,INDIRECT($B$5&amp;"生成成长"),3))*(VLOOKUP($B$5,标准坦克设计!$B$14:$K$20,9)/30))</f>
        <v>0.5930119042307691</v>
      </c>
      <c r="AX237" s="172">
        <f ca="1">(VLOOKUP(AX$72,INDIRECT($C$5&amp;"生成成长"),2))/((VLOOKUP($B237,INDIRECT($B$5&amp;"生成成长"),4))/(VLOOKUP(AX$72,INDIRECT($C$5&amp;"生成成长"),5))*(VLOOKUP($B$5,标准坦克设计!$B$24:$U$30,MATCH("对"&amp;LEFT($C$5,2)&amp;"输出",标准坦克设计!$B$23:$U$23,0)))*(VLOOKUP($B237,INDIRECT($B$5&amp;"生成成长"),3))*(VLOOKUP($B$5,标准坦克设计!$B$14:$K$20,9)/30))</f>
        <v>0.67070557775054729</v>
      </c>
      <c r="AY237" s="172">
        <f ca="1">(VLOOKUP(AY$72,INDIRECT($C$5&amp;"生成成长"),2))/((VLOOKUP($B237,INDIRECT($B$5&amp;"生成成长"),4))/(VLOOKUP(AY$72,INDIRECT($C$5&amp;"生成成长"),5))*(VLOOKUP($B$5,标准坦克设计!$B$24:$U$30,MATCH("对"&amp;LEFT($C$5,2)&amp;"输出",标准坦克设计!$B$23:$U$23,0)))*(VLOOKUP($B237,INDIRECT($B$5&amp;"生成成长"),3))*(VLOOKUP($B$5,标准坦克设计!$B$14:$K$20,9)/30))</f>
        <v>0.75318040041000434</v>
      </c>
      <c r="AZ237" s="172">
        <f ca="1">(VLOOKUP(AZ$72,INDIRECT($C$5&amp;"生成成长"),2))/((VLOOKUP($B237,INDIRECT($B$5&amp;"生成成长"),4))/(VLOOKUP(AZ$72,INDIRECT($C$5&amp;"生成成长"),5))*(VLOOKUP($B$5,标准坦克设计!$B$24:$U$30,MATCH("对"&amp;LEFT($C$5,2)&amp;"输出",标准坦克设计!$B$23:$U$23,0)))*(VLOOKUP($B237,INDIRECT($B$5&amp;"生成成长"),3))*(VLOOKUP($B$5,标准坦克设计!$B$14:$K$20,9)/30))</f>
        <v>0.84043637220913991</v>
      </c>
      <c r="BA237" s="172">
        <f ca="1">(VLOOKUP(BA$72,INDIRECT($C$5&amp;"生成成长"),2))/((VLOOKUP($B237,INDIRECT($B$5&amp;"生成成长"),4))/(VLOOKUP(BA$72,INDIRECT($C$5&amp;"生成成长"),5))*(VLOOKUP($B$5,标准坦克设计!$B$24:$U$30,MATCH("对"&amp;LEFT($C$5,2)&amp;"输出",标准坦克设计!$B$23:$U$23,0)))*(VLOOKUP($B237,INDIRECT($B$5&amp;"生成成长"),3))*(VLOOKUP($B$5,标准坦克设计!$B$14:$K$20,9)/30))</f>
        <v>0.93247349314795414</v>
      </c>
      <c r="BB237" s="172">
        <f ca="1">(VLOOKUP(BB$72,INDIRECT($C$5&amp;"生成成长"),2))/((VLOOKUP($B237,INDIRECT($B$5&amp;"生成成长"),4))/(VLOOKUP(BB$72,INDIRECT($C$5&amp;"生成成长"),5))*(VLOOKUP($B$5,标准坦克设计!$B$24:$U$30,MATCH("对"&amp;LEFT($C$5,2)&amp;"输出",标准坦克设计!$B$23:$U$23,0)))*(VLOOKUP($B237,INDIRECT($B$5&amp;"生成成长"),3))*(VLOOKUP($B$5,标准坦克设计!$B$14:$K$20,9)/30))</f>
        <v>1.0292917632264469</v>
      </c>
      <c r="BC237" s="172">
        <f ca="1">(VLOOKUP(BC$72,INDIRECT($C$5&amp;"生成成长"),2))/((VLOOKUP($B237,INDIRECT($B$5&amp;"生成成长"),4))/(VLOOKUP(BC$72,INDIRECT($C$5&amp;"生成成长"),5))*(VLOOKUP($B$5,标准坦克设计!$B$24:$U$30,MATCH("对"&amp;LEFT($C$5,2)&amp;"输出",标准坦克设计!$B$23:$U$23,0)))*(VLOOKUP($B237,INDIRECT($B$5&amp;"生成成长"),3))*(VLOOKUP($B$5,标准坦克设计!$B$14:$K$20,9)/30))</f>
        <v>1.1308911824446188</v>
      </c>
      <c r="BD237" s="172">
        <f ca="1">(VLOOKUP(BD$72,INDIRECT($C$5&amp;"生成成长"),2))/((VLOOKUP($B237,INDIRECT($B$5&amp;"生成成长"),4))/(VLOOKUP(BD$72,INDIRECT($C$5&amp;"生成成长"),5))*(VLOOKUP($B$5,标准坦克设计!$B$24:$U$30,MATCH("对"&amp;LEFT($C$5,2)&amp;"输出",标准坦克设计!$B$23:$U$23,0)))*(VLOOKUP($B237,INDIRECT($B$5&amp;"生成成长"),3))*(VLOOKUP($B$5,标准坦克设计!$B$14:$K$20,9)/30))</f>
        <v>1.2509054963960839</v>
      </c>
      <c r="BE237" s="172">
        <f ca="1">(VLOOKUP(BE$72,INDIRECT($C$5&amp;"生成成长"),2))/((VLOOKUP($B237,INDIRECT($B$5&amp;"生成成长"),4))/(VLOOKUP(BE$72,INDIRECT($C$5&amp;"生成成长"),5))*(VLOOKUP($B$5,标准坦克设计!$B$24:$U$30,MATCH("对"&amp;LEFT($C$5,2)&amp;"输出",标准坦克设计!$B$23:$U$23,0)))*(VLOOKUP($B237,INDIRECT($B$5&amp;"生成成长"),3))*(VLOOKUP($B$5,标准坦克设计!$B$14:$K$20,9)/30))</f>
        <v>1.3769709522274547</v>
      </c>
      <c r="BF237" s="172">
        <f ca="1">(VLOOKUP(BF$72,INDIRECT($C$5&amp;"生成成长"),2))/((VLOOKUP($B237,INDIRECT($B$5&amp;"生成成长"),4))/(VLOOKUP(BF$72,INDIRECT($C$5&amp;"生成成长"),5))*(VLOOKUP($B$5,标准坦克设计!$B$24:$U$30,MATCH("对"&amp;LEFT($C$5,2)&amp;"输出",标准坦克设计!$B$23:$U$23,0)))*(VLOOKUP($B237,INDIRECT($B$5&amp;"生成成长"),3))*(VLOOKUP($B$5,标准坦克设计!$B$14:$K$20,9)/30))</f>
        <v>1.5090875499387317</v>
      </c>
      <c r="BG237" s="172">
        <f ca="1">(VLOOKUP(BG$72,INDIRECT($C$5&amp;"生成成长"),2))/((VLOOKUP($B237,INDIRECT($B$5&amp;"生成成长"),4))/(VLOOKUP(BG$72,INDIRECT($C$5&amp;"生成成长"),5))*(VLOOKUP($B$5,标准坦克设计!$B$24:$U$30,MATCH("对"&amp;LEFT($C$5,2)&amp;"输出",标准坦克设计!$B$23:$U$23,0)))*(VLOOKUP($B237,INDIRECT($B$5&amp;"生成成长"),3))*(VLOOKUP($B$5,标准坦克设计!$B$14:$K$20,9)/30))</f>
        <v>1.6472552895299144</v>
      </c>
      <c r="BH237" s="172">
        <f ca="1">(VLOOKUP(BH$72,INDIRECT($C$5&amp;"生成成长"),2))/((VLOOKUP($B237,INDIRECT($B$5&amp;"生成成长"),4))/(VLOOKUP(BH$72,INDIRECT($C$5&amp;"生成成长"),5))*(VLOOKUP($B$5,标准坦克设计!$B$24:$U$30,MATCH("对"&amp;LEFT($C$5,2)&amp;"输出",标准坦克设计!$B$23:$U$23,0)))*(VLOOKUP($B237,INDIRECT($B$5&amp;"生成成长"),3))*(VLOOKUP($B$5,标准坦克设计!$B$14:$K$20,9)/30))</f>
        <v>0.79621074266711234</v>
      </c>
      <c r="BI237" s="172">
        <f ca="1">(VLOOKUP(BI$72,INDIRECT($C$5&amp;"生成成长"),2))/((VLOOKUP($B237,INDIRECT($B$5&amp;"生成成长"),4))/(VLOOKUP(BI$72,INDIRECT($C$5&amp;"生成成长"),5))*(VLOOKUP($B$5,标准坦克设计!$B$24:$U$30,MATCH("对"&amp;LEFT($C$5,2)&amp;"输出",标准坦克设计!$B$23:$U$23,0)))*(VLOOKUP($B237,INDIRECT($B$5&amp;"生成成长"),3))*(VLOOKUP($B$5,标准坦克设计!$B$14:$K$20,9)/30))</f>
        <v>0.89739928188109264</v>
      </c>
      <c r="BJ237" s="172">
        <f ca="1">(VLOOKUP(BJ$72,INDIRECT($C$5&amp;"生成成长"),2))/((VLOOKUP($B237,INDIRECT($B$5&amp;"生成成长"),4))/(VLOOKUP(BJ$72,INDIRECT($C$5&amp;"生成成长"),5))*(VLOOKUP($B$5,标准坦克设计!$B$24:$U$30,MATCH("对"&amp;LEFT($C$5,2)&amp;"输出",标准坦克设计!$B$23:$U$23,0)))*(VLOOKUP($B237,INDIRECT($B$5&amp;"生成成长"),3))*(VLOOKUP($B$5,标准坦克设计!$B$14:$K$20,9)/30))</f>
        <v>1.004638962974979</v>
      </c>
      <c r="BK237" s="172">
        <f ca="1">(VLOOKUP(BK$72,INDIRECT($C$5&amp;"生成成长"),2))/((VLOOKUP($B237,INDIRECT($B$5&amp;"生成成长"),4))/(VLOOKUP(BK$72,INDIRECT($C$5&amp;"生成成长"),5))*(VLOOKUP($B$5,标准坦克设计!$B$24:$U$30,MATCH("对"&amp;LEFT($C$5,2)&amp;"输出",标准坦克设计!$B$23:$U$23,0)))*(VLOOKUP($B237,INDIRECT($B$5&amp;"生成成长"),3))*(VLOOKUP($B$5,标准坦克设计!$B$14:$K$20,9)/30))</f>
        <v>1.1179297859487711</v>
      </c>
      <c r="BL237" s="172">
        <f ca="1">(VLOOKUP(BL$72,INDIRECT($C$5&amp;"生成成长"),2))/((VLOOKUP($B237,INDIRECT($B$5&amp;"生成成长"),4))/(VLOOKUP(BL$72,INDIRECT($C$5&amp;"生成成长"),5))*(VLOOKUP($B$5,标准坦克设计!$B$24:$U$30,MATCH("对"&amp;LEFT($C$5,2)&amp;"输出",标准坦克设计!$B$23:$U$23,0)))*(VLOOKUP($B237,INDIRECT($B$5&amp;"生成成长"),3))*(VLOOKUP($B$5,标准坦克设计!$B$14:$K$20,9)/30))</f>
        <v>1.2372717508024687</v>
      </c>
      <c r="BM237" s="172">
        <f ca="1">(VLOOKUP(BM$72,INDIRECT($C$5&amp;"生成成长"),2))/((VLOOKUP($B237,INDIRECT($B$5&amp;"生成成长"),4))/(VLOOKUP(BM$72,INDIRECT($C$5&amp;"生成成长"),5))*(VLOOKUP($B$5,标准坦克设计!$B$24:$U$30,MATCH("对"&amp;LEFT($C$5,2)&amp;"输出",标准坦克设计!$B$23:$U$23,0)))*(VLOOKUP($B237,INDIRECT($B$5&amp;"生成成长"),3))*(VLOOKUP($B$5,标准坦克设计!$B$14:$K$20,9)/30))</f>
        <v>1.3626648575360727</v>
      </c>
      <c r="BN237" s="172">
        <f ca="1">(VLOOKUP(BN$72,INDIRECT($C$5&amp;"生成成长"),2))/((VLOOKUP($B237,INDIRECT($B$5&amp;"生成成长"),4))/(VLOOKUP(BN$72,INDIRECT($C$5&amp;"生成成长"),5))*(VLOOKUP($B$5,标准坦克设计!$B$24:$U$30,MATCH("对"&amp;LEFT($C$5,2)&amp;"输出",标准坦克设计!$B$23:$U$23,0)))*(VLOOKUP($B237,INDIRECT($B$5&amp;"生成成长"),3))*(VLOOKUP($B$5,标准坦克设计!$B$14:$K$20,9)/30))</f>
        <v>1.4941091061495819</v>
      </c>
      <c r="BO237" s="172">
        <f ca="1">(VLOOKUP(BO$72,INDIRECT($C$5&amp;"生成成长"),2))/((VLOOKUP($B237,INDIRECT($B$5&amp;"生成成长"),4))/(VLOOKUP(BO$72,INDIRECT($C$5&amp;"生成成长"),5))*(VLOOKUP($B$5,标准坦克设计!$B$24:$U$30,MATCH("对"&amp;LEFT($C$5,2)&amp;"输出",标准坦克设计!$B$23:$U$23,0)))*(VLOOKUP($B237,INDIRECT($B$5&amp;"生成成长"),3))*(VLOOKUP($B$5,标准坦克设计!$B$14:$K$20,9)/30))</f>
        <v>1.6316044966429972</v>
      </c>
      <c r="BP237" s="172">
        <f ca="1">(VLOOKUP(BP$72,INDIRECT($C$5&amp;"生成成长"),2))/((VLOOKUP($B237,INDIRECT($B$5&amp;"生成成长"),4))/(VLOOKUP(BP$72,INDIRECT($C$5&amp;"生成成长"),5))*(VLOOKUP($B$5,标准坦克设计!$B$24:$U$30,MATCH("对"&amp;LEFT($C$5,2)&amp;"输出",标准坦克设计!$B$23:$U$23,0)))*(VLOOKUP($B237,INDIRECT($B$5&amp;"生成成长"),3))*(VLOOKUP($B$5,标准坦克设计!$B$14:$K$20,9)/30))</f>
        <v>1.7751510290163188</v>
      </c>
      <c r="BQ237" s="172">
        <f ca="1">(VLOOKUP(BQ$72,INDIRECT($C$5&amp;"生成成长"),2))/((VLOOKUP($B237,INDIRECT($B$5&amp;"生成成长"),4))/(VLOOKUP(BQ$72,INDIRECT($C$5&amp;"生成成长"),5))*(VLOOKUP($B$5,标准坦克设计!$B$24:$U$30,MATCH("对"&amp;LEFT($C$5,2)&amp;"输出",标准坦克设计!$B$23:$U$23,0)))*(VLOOKUP($B237,INDIRECT($B$5&amp;"生成成长"),3))*(VLOOKUP($B$5,标准坦克设计!$B$14:$K$20,9)/30))</f>
        <v>1.9247487032695454</v>
      </c>
      <c r="BR237" s="172">
        <f ca="1">(VLOOKUP(BR$72,INDIRECT($C$5&amp;"生成成长"),2))/((VLOOKUP($B237,INDIRECT($B$5&amp;"生成成长"),4))/(VLOOKUP(BR$72,INDIRECT($C$5&amp;"生成成长"),5))*(VLOOKUP($B$5,标准坦克设计!$B$24:$U$30,MATCH("对"&amp;LEFT($C$5,2)&amp;"输出",标准坦克设计!$B$23:$U$23,0)))*(VLOOKUP($B237,INDIRECT($B$5&amp;"生成成长"),3))*(VLOOKUP($B$5,标准坦克设计!$B$14:$K$20,9)/30))</f>
        <v>2.0980653595828969</v>
      </c>
      <c r="BS237" s="172">
        <f ca="1">(VLOOKUP(BS$72,INDIRECT($C$5&amp;"生成成长"),2))/((VLOOKUP($B237,INDIRECT($B$5&amp;"生成成长"),4))/(VLOOKUP(BS$72,INDIRECT($C$5&amp;"生成成长"),5))*(VLOOKUP($B$5,标准坦克设计!$B$24:$U$30,MATCH("对"&amp;LEFT($C$5,2)&amp;"输出",标准坦克设计!$B$23:$U$23,0)))*(VLOOKUP($B237,INDIRECT($B$5&amp;"生成成长"),3))*(VLOOKUP($B$5,标准坦克设计!$B$14:$K$20,9)/30))</f>
        <v>2.2788525614269965</v>
      </c>
      <c r="BT237" s="172">
        <f ca="1">(VLOOKUP(BT$72,INDIRECT($C$5&amp;"生成成长"),2))/((VLOOKUP($B237,INDIRECT($B$5&amp;"生成成长"),4))/(VLOOKUP(BT$72,INDIRECT($C$5&amp;"生成成长"),5))*(VLOOKUP($B$5,标准坦克设计!$B$24:$U$30,MATCH("对"&amp;LEFT($C$5,2)&amp;"输出",标准坦克设计!$B$23:$U$23,0)))*(VLOOKUP($B237,INDIRECT($B$5&amp;"生成成长"),3))*(VLOOKUP($B$5,标准坦克设计!$B$14:$K$20,9)/30))</f>
        <v>2.4671103088018436</v>
      </c>
      <c r="BU237" s="172">
        <f ca="1">(VLOOKUP(BU$72,INDIRECT($C$5&amp;"生成成长"),2))/((VLOOKUP($B237,INDIRECT($B$5&amp;"生成成长"),4))/(VLOOKUP(BU$72,INDIRECT($C$5&amp;"生成成长"),5))*(VLOOKUP($B$5,标准坦克设计!$B$24:$U$30,MATCH("对"&amp;LEFT($C$5,2)&amp;"输出",标准坦克设计!$B$23:$U$23,0)))*(VLOOKUP($B237,INDIRECT($B$5&amp;"生成成长"),3))*(VLOOKUP($B$5,标准坦克设计!$B$14:$K$20,9)/30))</f>
        <v>2.6628386017074388</v>
      </c>
      <c r="BV237" s="172">
        <f ca="1">(VLOOKUP(BV$72,INDIRECT($C$5&amp;"生成成长"),2))/((VLOOKUP($B237,INDIRECT($B$5&amp;"生成成长"),4))/(VLOOKUP(BV$72,INDIRECT($C$5&amp;"生成成长"),5))*(VLOOKUP($B$5,标准坦克设计!$B$24:$U$30,MATCH("对"&amp;LEFT($C$5,2)&amp;"输出",标准坦克设计!$B$23:$U$23,0)))*(VLOOKUP($B237,INDIRECT($B$5&amp;"生成成长"),3))*(VLOOKUP($B$5,标准坦克设计!$B$14:$K$20,9)/30))</f>
        <v>2.8660374401437818</v>
      </c>
      <c r="BW237" s="172">
        <f ca="1">(VLOOKUP(BW$72,INDIRECT($C$5&amp;"生成成长"),2))/((VLOOKUP($B237,INDIRECT($B$5&amp;"生成成长"),4))/(VLOOKUP(BW$72,INDIRECT($C$5&amp;"生成成长"),5))*(VLOOKUP($B$5,标准坦克设计!$B$24:$U$30,MATCH("对"&amp;LEFT($C$5,2)&amp;"输出",标准坦克设计!$B$23:$U$23,0)))*(VLOOKUP($B237,INDIRECT($B$5&amp;"生成成长"),3))*(VLOOKUP($B$5,标准坦克设计!$B$14:$K$20,9)/30))</f>
        <v>1.3061875333236184</v>
      </c>
      <c r="BX237" s="172">
        <f ca="1">(VLOOKUP(BX$72,INDIRECT($C$5&amp;"生成成长"),2))/((VLOOKUP($B237,INDIRECT($B$5&amp;"生成成长"),4))/(VLOOKUP(BX$72,INDIRECT($C$5&amp;"生成成长"),5))*(VLOOKUP($B$5,标准坦克设计!$B$24:$U$30,MATCH("对"&amp;LEFT($C$5,2)&amp;"输出",标准坦克设计!$B$23:$U$23,0)))*(VLOOKUP($B237,INDIRECT($B$5&amp;"生成成长"),3))*(VLOOKUP($B$5,标准坦克设计!$B$14:$K$20,9)/30))</f>
        <v>1.4496220075139783</v>
      </c>
      <c r="BY237" s="172">
        <f ca="1">(VLOOKUP(BY$72,INDIRECT($C$5&amp;"生成成长"),2))/((VLOOKUP($B237,INDIRECT($B$5&amp;"生成成长"),4))/(VLOOKUP(BY$72,INDIRECT($C$5&amp;"生成成长"),5))*(VLOOKUP($B$5,标准坦克设计!$B$24:$U$30,MATCH("对"&amp;LEFT($C$5,2)&amp;"输出",标准坦克设计!$B$23:$U$23,0)))*(VLOOKUP($B237,INDIRECT($B$5&amp;"生成成长"),3))*(VLOOKUP($B$5,标准坦克设计!$B$14:$K$20,9)/30))</f>
        <v>1.6005270272350858</v>
      </c>
      <c r="BZ237" s="172">
        <f ca="1">(VLOOKUP(BZ$72,INDIRECT($C$5&amp;"生成成长"),2))/((VLOOKUP($B237,INDIRECT($B$5&amp;"生成成长"),4))/(VLOOKUP(BZ$72,INDIRECT($C$5&amp;"生成成长"),5))*(VLOOKUP($B$5,标准坦克设计!$B$24:$U$30,MATCH("对"&amp;LEFT($C$5,2)&amp;"输出",标准坦克设计!$B$23:$U$23,0)))*(VLOOKUP($B237,INDIRECT($B$5&amp;"生成成长"),3))*(VLOOKUP($B$5,标准坦克设计!$B$14:$K$20,9)/30))</f>
        <v>1.7589025924869417</v>
      </c>
      <c r="CA237" s="172">
        <f ca="1">(VLOOKUP(CA$72,INDIRECT($C$5&amp;"生成成长"),2))/((VLOOKUP($B237,INDIRECT($B$5&amp;"生成成长"),4))/(VLOOKUP(CA$72,INDIRECT($C$5&amp;"生成成长"),5))*(VLOOKUP($B$5,标准坦克设计!$B$24:$U$30,MATCH("对"&amp;LEFT($C$5,2)&amp;"输出",标准坦克设计!$B$23:$U$23,0)))*(VLOOKUP($B237,INDIRECT($B$5&amp;"生成成长"),3))*(VLOOKUP($B$5,标准坦克设计!$B$14:$K$20,9)/30))</f>
        <v>1.9247487032695454</v>
      </c>
      <c r="CB237" s="172">
        <f ca="1">(VLOOKUP(CB$72,INDIRECT($C$5&amp;"生成成长"),2))/((VLOOKUP($B237,INDIRECT($B$5&amp;"生成成长"),4))/(VLOOKUP(CB$72,INDIRECT($C$5&amp;"生成成长"),5))*(VLOOKUP($B$5,标准坦克设计!$B$24:$U$30,MATCH("对"&amp;LEFT($C$5,2)&amp;"输出",标准坦克设计!$B$23:$U$23,0)))*(VLOOKUP($B237,INDIRECT($B$5&amp;"生成成长"),3))*(VLOOKUP($B$5,标准坦克设计!$B$14:$K$20,9)/30))</f>
        <v>2.0980653595828969</v>
      </c>
      <c r="CC237" s="172">
        <f ca="1">(VLOOKUP(CC$72,INDIRECT($C$5&amp;"生成成长"),2))/((VLOOKUP($B237,INDIRECT($B$5&amp;"生成成长"),4))/(VLOOKUP(CC$72,INDIRECT($C$5&amp;"生成成长"),5))*(VLOOKUP($B$5,标准坦克设计!$B$24:$U$30,MATCH("对"&amp;LEFT($C$5,2)&amp;"输出",标准坦克设计!$B$23:$U$23,0)))*(VLOOKUP($B237,INDIRECT($B$5&amp;"生成成长"),3))*(VLOOKUP($B$5,标准坦克设计!$B$14:$K$20,9)/30))</f>
        <v>2.2788525614269965</v>
      </c>
      <c r="CD237" s="172">
        <f ca="1">(VLOOKUP(CD$72,INDIRECT($C$5&amp;"生成成长"),2))/((VLOOKUP($B237,INDIRECT($B$5&amp;"生成成长"),4))/(VLOOKUP(CD$72,INDIRECT($C$5&amp;"生成成长"),5))*(VLOOKUP($B$5,标准坦克设计!$B$24:$U$30,MATCH("对"&amp;LEFT($C$5,2)&amp;"输出",标准坦克设计!$B$23:$U$23,0)))*(VLOOKUP($B237,INDIRECT($B$5&amp;"生成成长"),3))*(VLOOKUP($B$5,标准坦克设计!$B$14:$K$20,9)/30))</f>
        <v>2.4671103088018436</v>
      </c>
      <c r="CE237" s="172">
        <f ca="1">(VLOOKUP(CE$72,INDIRECT($C$5&amp;"生成成长"),2))/((VLOOKUP($B237,INDIRECT($B$5&amp;"生成成长"),4))/(VLOOKUP(CE$72,INDIRECT($C$5&amp;"生成成长"),5))*(VLOOKUP($B$5,标准坦克设计!$B$24:$U$30,MATCH("对"&amp;LEFT($C$5,2)&amp;"输出",标准坦克设计!$B$23:$U$23,0)))*(VLOOKUP($B237,INDIRECT($B$5&amp;"生成成长"),3))*(VLOOKUP($B$5,标准坦克设计!$B$14:$K$20,9)/30))</f>
        <v>2.6628386017074388</v>
      </c>
      <c r="CF237" s="172">
        <f ca="1">(VLOOKUP(CF$72,INDIRECT($C$5&amp;"生成成长"),2))/((VLOOKUP($B237,INDIRECT($B$5&amp;"生成成长"),4))/(VLOOKUP(CF$72,INDIRECT($C$5&amp;"生成成长"),5))*(VLOOKUP($B$5,标准坦克设计!$B$24:$U$30,MATCH("对"&amp;LEFT($C$5,2)&amp;"输出",标准坦克设计!$B$23:$U$23,0)))*(VLOOKUP($B237,INDIRECT($B$5&amp;"生成成长"),3))*(VLOOKUP($B$5,标准坦克设计!$B$14:$K$20,9)/30))</f>
        <v>2.8660374401437818</v>
      </c>
      <c r="CG237" s="172">
        <f ca="1">(VLOOKUP(CG$72,INDIRECT($C$5&amp;"生成成长"),2))/((VLOOKUP($B237,INDIRECT($B$5&amp;"生成成长"),4))/(VLOOKUP(CG$72,INDIRECT($C$5&amp;"生成成长"),5))*(VLOOKUP($B$5,标准坦克设计!$B$24:$U$30,MATCH("对"&amp;LEFT($C$5,2)&amp;"输出",标准坦克设计!$B$23:$U$23,0)))*(VLOOKUP($B237,INDIRECT($B$5&amp;"生成成长"),3))*(VLOOKUP($B$5,标准坦克设计!$B$14:$K$20,9)/30))</f>
        <v>3.0767068241108726</v>
      </c>
      <c r="CH237" s="172">
        <f ca="1">(VLOOKUP(CH$72,INDIRECT($C$5&amp;"生成成长"),2))/((VLOOKUP($B237,INDIRECT($B$5&amp;"生成成长"),4))/(VLOOKUP(CH$72,INDIRECT($C$5&amp;"生成成长"),5))*(VLOOKUP($B$5,标准坦克设计!$B$24:$U$30,MATCH("对"&amp;LEFT($C$5,2)&amp;"输出",标准坦克设计!$B$23:$U$23,0)))*(VLOOKUP($B237,INDIRECT($B$5&amp;"生成成长"),3))*(VLOOKUP($B$5,标准坦克设计!$B$14:$K$20,9)/30))</f>
        <v>3.2948467536087125</v>
      </c>
      <c r="CI237" s="172">
        <f ca="1">(VLOOKUP(CI$72,INDIRECT($C$5&amp;"生成成长"),2))/((VLOOKUP($B237,INDIRECT($B$5&amp;"生成成长"),4))/(VLOOKUP(CI$72,INDIRECT($C$5&amp;"生成成长"),5))*(VLOOKUP($B$5,标准坦克设计!$B$24:$U$30,MATCH("对"&amp;LEFT($C$5,2)&amp;"输出",标准坦克设计!$B$23:$U$23,0)))*(VLOOKUP($B237,INDIRECT($B$5&amp;"生成成长"),3))*(VLOOKUP($B$5,标准坦克设计!$B$14:$K$20,9)/30))</f>
        <v>3.5434291561443492</v>
      </c>
      <c r="CJ237" s="172">
        <f ca="1">(VLOOKUP(CJ$72,INDIRECT($C$5&amp;"生成成长"),2))/((VLOOKUP($B237,INDIRECT($B$5&amp;"生成成长"),4))/(VLOOKUP(CJ$72,INDIRECT($C$5&amp;"生成成长"),5))*(VLOOKUP($B$5,标准坦克设计!$B$24:$U$30,MATCH("对"&amp;LEFT($C$5,2)&amp;"输出",标准坦克设计!$B$23:$U$23,0)))*(VLOOKUP($B237,INDIRECT($B$5&amp;"生成成长"),3))*(VLOOKUP($B$5,标准坦克设计!$B$14:$K$20,9)/30))</f>
        <v>3.8010509187721908</v>
      </c>
      <c r="CK237" s="172">
        <f ca="1">(VLOOKUP(CK$72,INDIRECT($C$5&amp;"生成成长"),2))/((VLOOKUP($B237,INDIRECT($B$5&amp;"生成成长"),4))/(VLOOKUP(CK$72,INDIRECT($C$5&amp;"生成成长"),5))*(VLOOKUP($B$5,标准坦克设计!$B$24:$U$30,MATCH("对"&amp;LEFT($C$5,2)&amp;"输出",标准坦克设计!$B$23:$U$23,0)))*(VLOOKUP($B237,INDIRECT($B$5&amp;"生成成长"),3))*(VLOOKUP($B$5,标准坦克设计!$B$14:$K$20,9)/30))</f>
        <v>4.0677120414922365</v>
      </c>
      <c r="CL237" s="172">
        <f ca="1">(VLOOKUP(CL$72,INDIRECT($C$5&amp;"生成成长"),2))/((VLOOKUP($B237,INDIRECT($B$5&amp;"生成成长"),4))/(VLOOKUP(CL$72,INDIRECT($C$5&amp;"生成成长"),5))*(VLOOKUP($B$5,标准坦克设计!$B$24:$U$30,MATCH("对"&amp;LEFT($C$5,2)&amp;"输出",标准坦克设计!$B$23:$U$23,0)))*(VLOOKUP($B237,INDIRECT($B$5&amp;"生成成长"),3))*(VLOOKUP($B$5,标准坦克设计!$B$14:$K$20,9)/30))</f>
        <v>4.3434125243044885</v>
      </c>
      <c r="CM237" s="172">
        <f ca="1">(VLOOKUP(CM$72,INDIRECT($C$5&amp;"生成成长"),2))/((VLOOKUP($B237,INDIRECT($B$5&amp;"生成成长"),4))/(VLOOKUP(CM$72,INDIRECT($C$5&amp;"生成成长"),5))*(VLOOKUP($B$5,标准坦克设计!$B$24:$U$30,MATCH("对"&amp;LEFT($C$5,2)&amp;"输出",标准坦克设计!$B$23:$U$23,0)))*(VLOOKUP($B237,INDIRECT($B$5&amp;"生成成长"),3))*(VLOOKUP($B$5,标准坦克设计!$B$14:$K$20,9)/30))</f>
        <v>4.6281523672089451</v>
      </c>
      <c r="CN237" s="172">
        <f ca="1">(VLOOKUP(CN$72,INDIRECT($C$5&amp;"生成成长"),2))/((VLOOKUP($B237,INDIRECT($B$5&amp;"生成成长"),4))/(VLOOKUP(CN$72,INDIRECT($C$5&amp;"生成成长"),5))*(VLOOKUP($B$5,标准坦克设计!$B$24:$U$30,MATCH("对"&amp;LEFT($C$5,2)&amp;"输出",标准坦克设计!$B$23:$U$23,0)))*(VLOOKUP($B237,INDIRECT($B$5&amp;"生成成长"),3))*(VLOOKUP($B$5,标准坦克设计!$B$14:$K$20,9)/30))</f>
        <v>4.9219315702056061</v>
      </c>
      <c r="CO237" s="172">
        <f ca="1">(VLOOKUP(CO$72,INDIRECT($C$5&amp;"生成成长"),2))/((VLOOKUP($B237,INDIRECT($B$5&amp;"生成成长"),4))/(VLOOKUP(CO$72,INDIRECT($C$5&amp;"生成成长"),5))*(VLOOKUP($B$5,标准坦克设计!$B$24:$U$30,MATCH("对"&amp;LEFT($C$5,2)&amp;"输出",标准坦克设计!$B$23:$U$23,0)))*(VLOOKUP($B237,INDIRECT($B$5&amp;"生成成长"),3))*(VLOOKUP($B$5,标准坦克设计!$B$14:$K$20,9)/30))</f>
        <v>2.2056412152256666</v>
      </c>
      <c r="CP237" s="172">
        <f ca="1">(VLOOKUP(CP$72,INDIRECT($C$5&amp;"生成成长"),2))/((VLOOKUP($B237,INDIRECT($B$5&amp;"生成成长"),4))/(VLOOKUP(CP$72,INDIRECT($C$5&amp;"生成成长"),5))*(VLOOKUP($B$5,标准坦克设计!$B$24:$U$30,MATCH("对"&amp;LEFT($C$5,2)&amp;"输出",标准坦克设计!$B$23:$U$23,0)))*(VLOOKUP($B237,INDIRECT($B$5&amp;"生成成长"),3))*(VLOOKUP($B$5,标准坦克设计!$B$14:$K$20,9)/30))</f>
        <v>2.4098485773086611</v>
      </c>
      <c r="CQ237" s="172">
        <f ca="1">(VLOOKUP(CQ$72,INDIRECT($C$5&amp;"生成成长"),2))/((VLOOKUP($B237,INDIRECT($B$5&amp;"生成成长"),4))/(VLOOKUP(CQ$72,INDIRECT($C$5&amp;"生成成长"),5))*(VLOOKUP($B$5,标准坦克设计!$B$24:$U$30,MATCH("对"&amp;LEFT($C$5,2)&amp;"输出",标准坦克设计!$B$23:$U$23,0)))*(VLOOKUP($B237,INDIRECT($B$5&amp;"生成成长"),3))*(VLOOKUP($B$5,标准坦克设计!$B$14:$K$20,9)/30))</f>
        <v>2.6230952994838597</v>
      </c>
      <c r="CR237" s="172">
        <f ca="1">(VLOOKUP(CR$72,INDIRECT($C$5&amp;"生成成长"),2))/((VLOOKUP($B237,INDIRECT($B$5&amp;"生成成长"),4))/(VLOOKUP(CR$72,INDIRECT($C$5&amp;"生成成长"),5))*(VLOOKUP($B$5,标准坦克设计!$B$24:$U$30,MATCH("对"&amp;LEFT($C$5,2)&amp;"输出",标准坦克设计!$B$23:$U$23,0)))*(VLOOKUP($B237,INDIRECT($B$5&amp;"生成成长"),3))*(VLOOKUP($B$5,标准坦克设计!$B$14:$K$20,9)/30))</f>
        <v>2.8453813817512641</v>
      </c>
      <c r="CS237" s="172">
        <f ca="1">(VLOOKUP(CS$72,INDIRECT($C$5&amp;"生成成长"),2))/((VLOOKUP($B237,INDIRECT($B$5&amp;"生成成长"),4))/(VLOOKUP(CS$72,INDIRECT($C$5&amp;"生成成长"),5))*(VLOOKUP($B$5,标准坦克设计!$B$24:$U$30,MATCH("对"&amp;LEFT($C$5,2)&amp;"输出",标准坦克设计!$B$23:$U$23,0)))*(VLOOKUP($B237,INDIRECT($B$5&amp;"生成成长"),3))*(VLOOKUP($B$5,标准坦克设计!$B$14:$K$20,9)/30))</f>
        <v>3.0767068241108726</v>
      </c>
      <c r="CT237" s="172">
        <f ca="1">(VLOOKUP(CT$72,INDIRECT($C$5&amp;"生成成长"),2))/((VLOOKUP($B237,INDIRECT($B$5&amp;"生成成长"),4))/(VLOOKUP(CT$72,INDIRECT($C$5&amp;"生成成长"),5))*(VLOOKUP($B$5,标准坦克设计!$B$24:$U$30,MATCH("对"&amp;LEFT($C$5,2)&amp;"输出",标准坦克设计!$B$23:$U$23,0)))*(VLOOKUP($B237,INDIRECT($B$5&amp;"生成成长"),3))*(VLOOKUP($B$5,标准坦克设计!$B$14:$K$20,9)/30))</f>
        <v>3.3170716265626869</v>
      </c>
      <c r="CU237" s="172">
        <f ca="1">(VLOOKUP(CU$72,INDIRECT($C$5&amp;"生成成长"),2))/((VLOOKUP($B237,INDIRECT($B$5&amp;"生成成长"),4))/(VLOOKUP(CU$72,INDIRECT($C$5&amp;"生成成长"),5))*(VLOOKUP($B$5,标准坦克设计!$B$24:$U$30,MATCH("对"&amp;LEFT($C$5,2)&amp;"输出",标准坦克设计!$B$23:$U$23,0)))*(VLOOKUP($B237,INDIRECT($B$5&amp;"生成成长"),3))*(VLOOKUP($B$5,标准坦克设计!$B$14:$K$20,9)/30))</f>
        <v>3.5664757891067063</v>
      </c>
      <c r="CV237" s="172">
        <f ca="1">(VLOOKUP(CV$72,INDIRECT($C$5&amp;"生成成长"),2))/((VLOOKUP($B237,INDIRECT($B$5&amp;"生成成长"),4))/(VLOOKUP(CV$72,INDIRECT($C$5&amp;"生成成长"),5))*(VLOOKUP($B$5,标准坦克设计!$B$24:$U$30,MATCH("对"&amp;LEFT($C$5,2)&amp;"输出",标准坦克设计!$B$23:$U$23,0)))*(VLOOKUP($B237,INDIRECT($B$5&amp;"生成成长"),3))*(VLOOKUP($B$5,标准坦克设计!$B$14:$K$20,9)/30))</f>
        <v>3.8249193117429297</v>
      </c>
      <c r="CW237" s="172">
        <f ca="1">(VLOOKUP(CW$72,INDIRECT($C$5&amp;"生成成长"),2))/((VLOOKUP($B237,INDIRECT($B$5&amp;"生成成长"),4))/(VLOOKUP(CW$72,INDIRECT($C$5&amp;"生成成长"),5))*(VLOOKUP($B$5,标准坦克设计!$B$24:$U$30,MATCH("对"&amp;LEFT($C$5,2)&amp;"输出",标准坦克设计!$B$23:$U$23,0)))*(VLOOKUP($B237,INDIRECT($B$5&amp;"生成成长"),3))*(VLOOKUP($B$5,标准坦克设计!$B$14:$K$20,9)/30))</f>
        <v>4.0924021944713589</v>
      </c>
      <c r="CX237" s="172">
        <f ca="1">(VLOOKUP(CX$72,INDIRECT($C$5&amp;"生成成长"),2))/((VLOOKUP($B237,INDIRECT($B$5&amp;"生成成长"),4))/(VLOOKUP(CX$72,INDIRECT($C$5&amp;"生成成长"),5))*(VLOOKUP($B$5,标准坦克设计!$B$24:$U$30,MATCH("对"&amp;LEFT($C$5,2)&amp;"输出",标准坦克设计!$B$23:$U$23,0)))*(VLOOKUP($B237,INDIRECT($B$5&amp;"生成成长"),3))*(VLOOKUP($B$5,标准坦克设计!$B$14:$K$20,9)/30))</f>
        <v>4.3689244372919926</v>
      </c>
      <c r="CY237" s="172">
        <f ca="1">(VLOOKUP(CY$72,INDIRECT($C$5&amp;"生成成长"),2))/((VLOOKUP($B237,INDIRECT($B$5&amp;"生成成长"),4))/(VLOOKUP(CY$72,INDIRECT($C$5&amp;"生成成长"),5))*(VLOOKUP($B$5,标准坦克设计!$B$24:$U$30,MATCH("对"&amp;LEFT($C$5,2)&amp;"输出",标准坦克设计!$B$23:$U$23,0)))*(VLOOKUP($B237,INDIRECT($B$5&amp;"生成成长"),3))*(VLOOKUP($B$5,标准坦克设计!$B$14:$K$20,9)/30))</f>
        <v>4.6544860402048327</v>
      </c>
      <c r="CZ237" s="172">
        <f ca="1">(VLOOKUP(CZ$72,INDIRECT($C$5&amp;"生成成长"),2))/((VLOOKUP($B237,INDIRECT($B$5&amp;"生成成长"),4))/(VLOOKUP(CZ$72,INDIRECT($C$5&amp;"生成成长"),5))*(VLOOKUP($B$5,标准坦克设计!$B$24:$U$30,MATCH("对"&amp;LEFT($C$5,2)&amp;"输出",标准坦克设计!$B$23:$U$23,0)))*(VLOOKUP($B237,INDIRECT($B$5&amp;"生成成长"),3))*(VLOOKUP($B$5,标准坦克设计!$B$14:$K$20,9)/30))</f>
        <v>4.9490870032098746</v>
      </c>
      <c r="DA237" s="172">
        <f ca="1">(VLOOKUP(DA$72,INDIRECT($C$5&amp;"生成成长"),2))/((VLOOKUP($B237,INDIRECT($B$5&amp;"生成成长"),4))/(VLOOKUP(DA$72,INDIRECT($C$5&amp;"生成成长"),5))*(VLOOKUP($B$5,标准坦克设计!$B$24:$U$30,MATCH("对"&amp;LEFT($C$5,2)&amp;"输出",标准坦克设计!$B$23:$U$23,0)))*(VLOOKUP($B237,INDIRECT($B$5&amp;"生成成长"),3))*(VLOOKUP($B$5,标准坦克设计!$B$14:$K$20,9)/30))</f>
        <v>5.2527273263071246</v>
      </c>
      <c r="DB237" s="172">
        <f ca="1">(VLOOKUP(DB$72,INDIRECT($C$5&amp;"生成成长"),2))/((VLOOKUP($B237,INDIRECT($B$5&amp;"生成成长"),4))/(VLOOKUP(DB$72,INDIRECT($C$5&amp;"生成成长"),5))*(VLOOKUP($B$5,标准坦克设计!$B$24:$U$30,MATCH("对"&amp;LEFT($C$5,2)&amp;"输出",标准坦克设计!$B$23:$U$23,0)))*(VLOOKUP($B237,INDIRECT($B$5&amp;"生成成长"),3))*(VLOOKUP($B$5,标准坦克设计!$B$14:$K$20,9)/30))</f>
        <v>5.5654070094965782</v>
      </c>
      <c r="DC237" s="172">
        <f ca="1">(VLOOKUP(DC$72,INDIRECT($C$5&amp;"生成成长"),2))/((VLOOKUP($B237,INDIRECT($B$5&amp;"生成成长"),4))/(VLOOKUP(DC$72,INDIRECT($C$5&amp;"生成成长"),5))*(VLOOKUP($B$5,标准坦克设计!$B$24:$U$30,MATCH("对"&amp;LEFT($C$5,2)&amp;"输出",标准坦克设计!$B$23:$U$23,0)))*(VLOOKUP($B237,INDIRECT($B$5&amp;"生成成长"),3))*(VLOOKUP($B$5,标准坦克设计!$B$14:$K$20,9)/30))</f>
        <v>5.9168214712629608</v>
      </c>
      <c r="DD237" s="172">
        <f ca="1">(VLOOKUP(DD$72,INDIRECT($C$5&amp;"生成成长"),2))/((VLOOKUP($B237,INDIRECT($B$5&amp;"生成成长"),4))/(VLOOKUP(DD$72,INDIRECT($C$5&amp;"生成成长"),5))*(VLOOKUP($B$5,标准坦克设计!$B$24:$U$30,MATCH("对"&amp;LEFT($C$5,2)&amp;"输出",标准坦克设计!$B$23:$U$23,0)))*(VLOOKUP($B237,INDIRECT($B$5&amp;"生成成长"),3))*(VLOOKUP($B$5,标准坦克设计!$B$14:$K$20,9)/30))</f>
        <v>6.2789935185936194</v>
      </c>
      <c r="DE237" s="172">
        <f ca="1">(VLOOKUP(DE$72,INDIRECT($C$5&amp;"生成成长"),2))/((VLOOKUP($B237,INDIRECT($B$5&amp;"生成成长"),4))/(VLOOKUP(DE$72,INDIRECT($C$5&amp;"生成成长"),5))*(VLOOKUP($B$5,标准坦克设计!$B$24:$U$30,MATCH("对"&amp;LEFT($C$5,2)&amp;"输出",标准坦克设计!$B$23:$U$23,0)))*(VLOOKUP($B237,INDIRECT($B$5&amp;"生成成长"),3))*(VLOOKUP($B$5,标准坦克设计!$B$14:$K$20,9)/30))</f>
        <v>6.6519231514885542</v>
      </c>
      <c r="DF237" s="172">
        <f ca="1">(VLOOKUP(DF$72,INDIRECT($C$5&amp;"生成成长"),2))/((VLOOKUP($B237,INDIRECT($B$5&amp;"生成成长"),4))/(VLOOKUP(DF$72,INDIRECT($C$5&amp;"生成成长"),5))*(VLOOKUP($B$5,标准坦克设计!$B$24:$U$30,MATCH("对"&amp;LEFT($C$5,2)&amp;"输出",标准坦克设计!$B$23:$U$23,0)))*(VLOOKUP($B237,INDIRECT($B$5&amp;"生成成长"),3))*(VLOOKUP($B$5,标准坦克设计!$B$14:$K$20,9)/30))</f>
        <v>7.0356103699477668</v>
      </c>
      <c r="DG237" s="172">
        <f ca="1">(VLOOKUP(DG$72,INDIRECT($C$5&amp;"生成成长"),2))/((VLOOKUP($B237,INDIRECT($B$5&amp;"生成成长"),4))/(VLOOKUP(DG$72,INDIRECT($C$5&amp;"生成成长"),5))*(VLOOKUP($B$5,标准坦克设计!$B$24:$U$30,MATCH("对"&amp;LEFT($C$5,2)&amp;"输出",标准坦克设计!$B$23:$U$23,0)))*(VLOOKUP($B237,INDIRECT($B$5&amp;"生成成长"),3))*(VLOOKUP($B$5,标准坦克设计!$B$14:$K$20,9)/30))</f>
        <v>7.4300551739712555</v>
      </c>
      <c r="DH237" s="172">
        <f ca="1">(VLOOKUP(DH$72,INDIRECT($C$5&amp;"生成成长"),2))/((VLOOKUP($B237,INDIRECT($B$5&amp;"生成成长"),4))/(VLOOKUP(DH$72,INDIRECT($C$5&amp;"生成成长"),5))*(VLOOKUP($B$5,标准坦克设计!$B$24:$U$30,MATCH("对"&amp;LEFT($C$5,2)&amp;"输出",标准坦克设计!$B$23:$U$23,0)))*(VLOOKUP($B237,INDIRECT($B$5&amp;"生成成长"),3))*(VLOOKUP($B$5,标准坦克设计!$B$14:$K$20,9)/30))</f>
        <v>7.8352575635590229</v>
      </c>
      <c r="DI237" s="172">
        <f ca="1">(VLOOKUP(DI$72,INDIRECT($C$5&amp;"生成成长"),2))/((VLOOKUP($B237,INDIRECT($B$5&amp;"生成成长"),4))/(VLOOKUP(DI$72,INDIRECT($C$5&amp;"生成成长"),5))*(VLOOKUP($B$5,标准坦克设计!$B$24:$U$30,MATCH("对"&amp;LEFT($C$5,2)&amp;"输出",标准坦克设计!$B$23:$U$23,0)))*(VLOOKUP($B237,INDIRECT($B$5&amp;"生成成长"),3))*(VLOOKUP($B$5,标准坦克设计!$B$14:$K$20,9)/30))</f>
        <v>8.2512175387110656</v>
      </c>
      <c r="DJ237" s="172">
        <f ca="1">(VLOOKUP(DJ$72,INDIRECT($C$5&amp;"生成成长"),2))/((VLOOKUP($B237,INDIRECT($B$5&amp;"生成成长"),4))/(VLOOKUP(DJ$72,INDIRECT($C$5&amp;"生成成长"),5))*(VLOOKUP($B$5,标准坦克设计!$B$24:$U$30,MATCH("对"&amp;LEFT($C$5,2)&amp;"输出",标准坦克设计!$B$23:$U$23,0)))*(VLOOKUP($B237,INDIRECT($B$5&amp;"生成成长"),3))*(VLOOKUP($B$5,标准坦克设计!$B$14:$K$20,9)/30))</f>
        <v>0.82926790664067174</v>
      </c>
      <c r="DK237" s="172">
        <f ca="1">(VLOOKUP(DK$72,INDIRECT($C$5&amp;"生成成长"),2))/((VLOOKUP($B237,INDIRECT($B$5&amp;"生成成长"),4))/(VLOOKUP(DK$72,INDIRECT($C$5&amp;"生成成长"),5))*(VLOOKUP($B$5,标准坦克设计!$B$24:$U$30,MATCH("对"&amp;LEFT($C$5,2)&amp;"输出",标准坦克设计!$B$23:$U$23,0)))*(VLOOKUP($B237,INDIRECT($B$5&amp;"生成成长"),3))*(VLOOKUP($B$5,标准坦克设计!$B$14:$K$20,9)/30))</f>
        <v>0.93247349314795414</v>
      </c>
      <c r="DL237" s="172">
        <f ca="1">(VLOOKUP(DL$72,INDIRECT($C$5&amp;"生成成长"),2))/((VLOOKUP($B237,INDIRECT($B$5&amp;"生成成长"),4))/(VLOOKUP(DL$72,INDIRECT($C$5&amp;"生成成长"),5))*(VLOOKUP($B$5,标准坦克设计!$B$24:$U$30,MATCH("对"&amp;LEFT($C$5,2)&amp;"输出",标准坦克设计!$B$23:$U$23,0)))*(VLOOKUP($B237,INDIRECT($B$5&amp;"生成成长"),3))*(VLOOKUP($B$5,标准坦克设计!$B$14:$K$20,9)/30))</f>
        <v>1.0417302215351423</v>
      </c>
      <c r="DM237" s="172">
        <f ca="1">(VLOOKUP(DM$72,INDIRECT($C$5&amp;"生成成长"),2))/((VLOOKUP($B237,INDIRECT($B$5&amp;"生成成长"),4))/(VLOOKUP(DM$72,INDIRECT($C$5&amp;"生成成长"),5))*(VLOOKUP($B$5,标准坦克设计!$B$24:$U$30,MATCH("对"&amp;LEFT($C$5,2)&amp;"输出",标准坦克设计!$B$23:$U$23,0)))*(VLOOKUP($B237,INDIRECT($B$5&amp;"生成成长"),3))*(VLOOKUP($B$5,标准坦克设计!$B$14:$K$20,9)/30))</f>
        <v>1.1570380918022363</v>
      </c>
      <c r="DN237" s="172">
        <f ca="1">(VLOOKUP(DN$72,INDIRECT($C$5&amp;"生成成长"),2))/((VLOOKUP($B237,INDIRECT($B$5&amp;"生成成长"),4))/(VLOOKUP(DN$72,INDIRECT($C$5&amp;"生成成长"),5))*(VLOOKUP($B$5,标准坦克设计!$B$24:$U$30,MATCH("对"&amp;LEFT($C$5,2)&amp;"输出",标准坦克设计!$B$23:$U$23,0)))*(VLOOKUP($B237,INDIRECT($B$5&amp;"生成成长"),3))*(VLOOKUP($B$5,标准坦克设计!$B$14:$K$20,9)/30))</f>
        <v>1.2783971039492361</v>
      </c>
      <c r="DO237" s="172">
        <f ca="1">(VLOOKUP(DO$72,INDIRECT($C$5&amp;"生成成长"),2))/((VLOOKUP($B237,INDIRECT($B$5&amp;"生成成长"),4))/(VLOOKUP(DO$72,INDIRECT($C$5&amp;"生成成长"),5))*(VLOOKUP($B$5,标准坦克设计!$B$24:$U$30,MATCH("对"&amp;LEFT($C$5,2)&amp;"输出",标准坦克设计!$B$23:$U$23,0)))*(VLOOKUP($B237,INDIRECT($B$5&amp;"生成成长"),3))*(VLOOKUP($B$5,标准坦克设计!$B$14:$K$20,9)/30))</f>
        <v>1.4058072579761416</v>
      </c>
      <c r="DP237" s="172">
        <f ca="1">(VLOOKUP(DP$72,INDIRECT($C$5&amp;"生成成长"),2))/((VLOOKUP($B237,INDIRECT($B$5&amp;"生成成长"),4))/(VLOOKUP(DP$72,INDIRECT($C$5&amp;"生成成长"),5))*(VLOOKUP($B$5,标准坦克设计!$B$24:$U$30,MATCH("对"&amp;LEFT($C$5,2)&amp;"输出",标准坦克设计!$B$23:$U$23,0)))*(VLOOKUP($B237,INDIRECT($B$5&amp;"生成成长"),3))*(VLOOKUP($B$5,标准坦克设计!$B$14:$K$20,9)/30))</f>
        <v>1.5392685538829531</v>
      </c>
      <c r="DQ237" s="172">
        <f ca="1">(VLOOKUP(DQ$72,INDIRECT($C$5&amp;"生成成长"),2))/((VLOOKUP($B237,INDIRECT($B$5&amp;"生成成长"),4))/(VLOOKUP(DQ$72,INDIRECT($C$5&amp;"生成成长"),5))*(VLOOKUP($B$5,标准坦克设计!$B$24:$U$30,MATCH("对"&amp;LEFT($C$5,2)&amp;"输出",标准坦克设计!$B$23:$U$23,0)))*(VLOOKUP($B237,INDIRECT($B$5&amp;"生成成长"),3))*(VLOOKUP($B$5,标准坦克设计!$B$14:$K$20,9)/30))</f>
        <v>1.6787809916696705</v>
      </c>
      <c r="DR237" s="172">
        <f ca="1">(VLOOKUP(DR$72,INDIRECT($C$5&amp;"生成成长"),2))/((VLOOKUP($B237,INDIRECT($B$5&amp;"生成成长"),4))/(VLOOKUP(DR$72,INDIRECT($C$5&amp;"生成成长"),5))*(VLOOKUP($B$5,标准坦克设计!$B$24:$U$30,MATCH("对"&amp;LEFT($C$5,2)&amp;"输出",标准坦克设计!$B$23:$U$23,0)))*(VLOOKUP($B237,INDIRECT($B$5&amp;"生成成长"),3))*(VLOOKUP($B$5,标准坦克设计!$B$14:$K$20,9)/30))</f>
        <v>1.8243445713362938</v>
      </c>
      <c r="DS237" s="172">
        <f ca="1">(VLOOKUP(DS$72,INDIRECT($C$5&amp;"生成成长"),2))/((VLOOKUP($B237,INDIRECT($B$5&amp;"生成成长"),4))/(VLOOKUP(DS$72,INDIRECT($C$5&amp;"生成成长"),5))*(VLOOKUP($B$5,标准坦克设计!$B$24:$U$30,MATCH("对"&amp;LEFT($C$5,2)&amp;"输出",标准坦克设计!$B$23:$U$23,0)))*(VLOOKUP($B237,INDIRECT($B$5&amp;"生成成长"),3))*(VLOOKUP($B$5,标准坦克设计!$B$14:$K$20,9)/30))</f>
        <v>1.9759592928828222</v>
      </c>
      <c r="DT237" s="172">
        <f ca="1">(VLOOKUP(DT$72,INDIRECT($C$5&amp;"生成成长"),2))/((VLOOKUP($B237,INDIRECT($B$5&amp;"生成成长"),4))/(VLOOKUP(DT$72,INDIRECT($C$5&amp;"生成成长"),5))*(VLOOKUP($B$5,标准坦克设计!$B$24:$U$30,MATCH("对"&amp;LEFT($C$5,2)&amp;"输出",标准坦克设计!$B$23:$U$23,0)))*(VLOOKUP($B237,INDIRECT($B$5&amp;"生成成长"),3))*(VLOOKUP($B$5,标准坦克设计!$B$14:$K$20,9)/30))</f>
        <v>2.1694837748568467</v>
      </c>
      <c r="DU237" s="172">
        <f ca="1">(VLOOKUP(DU$72,INDIRECT($C$5&amp;"生成成长"),2))/((VLOOKUP($B237,INDIRECT($B$5&amp;"生成成长"),4))/(VLOOKUP(DU$72,INDIRECT($C$5&amp;"生成成长"),5))*(VLOOKUP($B$5,标准坦克设计!$B$24:$U$30,MATCH("对"&amp;LEFT($C$5,2)&amp;"输出",标准坦克设计!$B$23:$U$23,0)))*(VLOOKUP($B237,INDIRECT($B$5&amp;"生成成长"),3))*(VLOOKUP($B$5,标准坦克设计!$B$14:$K$20,9)/30))</f>
        <v>2.3720476169230764</v>
      </c>
      <c r="DV237" s="172">
        <f ca="1">(VLOOKUP(DV$72,INDIRECT($C$5&amp;"生成成长"),2))/((VLOOKUP($B237,INDIRECT($B$5&amp;"生成成长"),4))/(VLOOKUP(DV$72,INDIRECT($C$5&amp;"生成成长"),5))*(VLOOKUP($B$5,标准坦克设计!$B$24:$U$30,MATCH("对"&amp;LEFT($C$5,2)&amp;"输出",标准坦克设计!$B$23:$U$23,0)))*(VLOOKUP($B237,INDIRECT($B$5&amp;"生成成长"),3))*(VLOOKUP($B$5,标准坦克设计!$B$14:$K$20,9)/30))</f>
        <v>2.5836508190815106</v>
      </c>
      <c r="DW237" s="172">
        <f ca="1">(VLOOKUP(DW$72,INDIRECT($C$5&amp;"生成成长"),2))/((VLOOKUP($B237,INDIRECT($B$5&amp;"生成成长"),4))/(VLOOKUP(DW$72,INDIRECT($C$5&amp;"生成成长"),5))*(VLOOKUP($B$5,标准坦克设计!$B$24:$U$30,MATCH("对"&amp;LEFT($C$5,2)&amp;"输出",标准坦克设计!$B$23:$U$23,0)))*(VLOOKUP($B237,INDIRECT($B$5&amp;"生成成长"),3))*(VLOOKUP($B$5,标准坦克设计!$B$14:$K$20,9)/30))</f>
        <v>2.8042933813321502</v>
      </c>
      <c r="DX237" s="172">
        <f ca="1">(VLOOKUP(DX$72,INDIRECT($C$5&amp;"生成成长"),2))/((VLOOKUP($B237,INDIRECT($B$5&amp;"生成成长"),4))/(VLOOKUP(DX$72,INDIRECT($C$5&amp;"生成成长"),5))*(VLOOKUP($B$5,标准坦克设计!$B$24:$U$30,MATCH("对"&amp;LEFT($C$5,2)&amp;"输出",标准坦克设计!$B$23:$U$23,0)))*(VLOOKUP($B237,INDIRECT($B$5&amp;"生成成长"),3))*(VLOOKUP($B$5,标准坦克设计!$B$14:$K$20,9)/30))</f>
        <v>3.0339753036749952</v>
      </c>
      <c r="DY237" s="172">
        <f ca="1">(VLOOKUP(DY$72,INDIRECT($C$5&amp;"生成成长"),2))/((VLOOKUP($B237,INDIRECT($B$5&amp;"生成成长"),4))/(VLOOKUP(DY$72,INDIRECT($C$5&amp;"生成成长"),5))*(VLOOKUP($B$5,标准坦克设计!$B$24:$U$30,MATCH("对"&amp;LEFT($C$5,2)&amp;"输出",标准坦克设计!$B$23:$U$23,0)))*(VLOOKUP($B237,INDIRECT($B$5&amp;"生成成长"),3))*(VLOOKUP($B$5,标准坦克设计!$B$14:$K$20,9)/30))</f>
        <v>1.3626648575360727</v>
      </c>
      <c r="DZ237" s="172">
        <f ca="1">(VLOOKUP(DZ$72,INDIRECT($C$5&amp;"生成成长"),2))/((VLOOKUP($B237,INDIRECT($B$5&amp;"生成成长"),4))/(VLOOKUP(DZ$72,INDIRECT($C$5&amp;"生成成长"),5))*(VLOOKUP($B$5,标准坦克设计!$B$24:$U$30,MATCH("对"&amp;LEFT($C$5,2)&amp;"输出",标准坦克设计!$B$23:$U$23,0)))*(VLOOKUP($B237,INDIRECT($B$5&amp;"生成成长"),3))*(VLOOKUP($B$5,标准坦克设计!$B$14:$K$20,9)/30))</f>
        <v>1.5090875499387317</v>
      </c>
      <c r="EA237" s="172">
        <f ca="1">(VLOOKUP(EA$72,INDIRECT($C$5&amp;"生成成长"),2))/((VLOOKUP($B237,INDIRECT($B$5&amp;"生成成长"),4))/(VLOOKUP(EA$72,INDIRECT($C$5&amp;"生成成长"),5))*(VLOOKUP($B$5,标准坦克设计!$B$24:$U$30,MATCH("对"&amp;LEFT($C$5,2)&amp;"输出",标准坦克设计!$B$23:$U$23,0)))*(VLOOKUP($B237,INDIRECT($B$5&amp;"生成成长"),3))*(VLOOKUP($B$5,标准坦克设计!$B$14:$K$20,9)/30))</f>
        <v>1.6629807878721385</v>
      </c>
      <c r="EB237" s="172">
        <f ca="1">(VLOOKUP(EB$72,INDIRECT($C$5&amp;"生成成长"),2))/((VLOOKUP($B237,INDIRECT($B$5&amp;"生成成长"),4))/(VLOOKUP(EB$72,INDIRECT($C$5&amp;"生成成长"),5))*(VLOOKUP($B$5,标准坦克设计!$B$24:$U$30,MATCH("对"&amp;LEFT($C$5,2)&amp;"输出",标准坦克设计!$B$23:$U$23,0)))*(VLOOKUP($B237,INDIRECT($B$5&amp;"生成成长"),3))*(VLOOKUP($B$5,标准坦克设计!$B$14:$K$20,9)/30))</f>
        <v>1.8243445713362938</v>
      </c>
      <c r="EC237" s="172">
        <f ca="1">(VLOOKUP(EC$72,INDIRECT($C$5&amp;"生成成长"),2))/((VLOOKUP($B237,INDIRECT($B$5&amp;"生成成长"),4))/(VLOOKUP(EC$72,INDIRECT($C$5&amp;"生成成长"),5))*(VLOOKUP($B$5,标准坦克设计!$B$24:$U$30,MATCH("对"&amp;LEFT($C$5,2)&amp;"输出",标准坦克设计!$B$23:$U$23,0)))*(VLOOKUP($B237,INDIRECT($B$5&amp;"生成成长"),3))*(VLOOKUP($B$5,标准坦克设计!$B$14:$K$20,9)/30))</f>
        <v>1.9931789003311962</v>
      </c>
      <c r="ED237" s="172">
        <f ca="1">(VLOOKUP(ED$72,INDIRECT($C$5&amp;"生成成长"),2))/((VLOOKUP($B237,INDIRECT($B$5&amp;"生成成长"),4))/(VLOOKUP(ED$72,INDIRECT($C$5&amp;"生成成长"),5))*(VLOOKUP($B$5,标准坦克设计!$B$24:$U$30,MATCH("对"&amp;LEFT($C$5,2)&amp;"输出",标准坦克设计!$B$23:$U$23,0)))*(VLOOKUP($B237,INDIRECT($B$5&amp;"生成成长"),3))*(VLOOKUP($B$5,标准坦克设计!$B$14:$K$20,9)/30))</f>
        <v>2.1694837748568467</v>
      </c>
      <c r="EE237" s="172">
        <f ca="1">(VLOOKUP(EE$72,INDIRECT($C$5&amp;"生成成长"),2))/((VLOOKUP($B237,INDIRECT($B$5&amp;"生成成长"),4))/(VLOOKUP(EE$72,INDIRECT($C$5&amp;"生成成长"),5))*(VLOOKUP($B$5,标准坦克设计!$B$24:$U$30,MATCH("对"&amp;LEFT($C$5,2)&amp;"输出",标准坦克设计!$B$23:$U$23,0)))*(VLOOKUP($B237,INDIRECT($B$5&amp;"生成成长"),3))*(VLOOKUP($B$5,标准坦克设计!$B$14:$K$20,9)/30))</f>
        <v>2.3532591949132455</v>
      </c>
      <c r="EF237" s="172">
        <f ca="1">(VLOOKUP(EF$72,INDIRECT($C$5&amp;"生成成长"),2))/((VLOOKUP($B237,INDIRECT($B$5&amp;"生成成长"),4))/(VLOOKUP(EF$72,INDIRECT($C$5&amp;"生成成长"),5))*(VLOOKUP($B$5,标准坦克设计!$B$24:$U$30,MATCH("对"&amp;LEFT($C$5,2)&amp;"输出",标准坦克设计!$B$23:$U$23,0)))*(VLOOKUP($B237,INDIRECT($B$5&amp;"生成成长"),3))*(VLOOKUP($B$5,标准坦克设计!$B$14:$K$20,9)/30))</f>
        <v>2.5445051605003921</v>
      </c>
      <c r="EG237" s="172">
        <f ca="1">(VLOOKUP(EG$72,INDIRECT($C$5&amp;"生成成长"),2))/((VLOOKUP($B237,INDIRECT($B$5&amp;"生成成长"),4))/(VLOOKUP(EG$72,INDIRECT($C$5&amp;"生成成长"),5))*(VLOOKUP($B$5,标准坦克设计!$B$24:$U$30,MATCH("对"&amp;LEFT($C$5,2)&amp;"输出",标准坦克设计!$B$23:$U$23,0)))*(VLOOKUP($B237,INDIRECT($B$5&amp;"生成成长"),3))*(VLOOKUP($B$5,标准坦克设计!$B$14:$K$20,9)/30))</f>
        <v>2.7432216716182865</v>
      </c>
      <c r="EH237" s="172">
        <f ca="1">(VLOOKUP(EH$72,INDIRECT($C$5&amp;"生成成长"),2))/((VLOOKUP($B237,INDIRECT($B$5&amp;"生成成长"),4))/(VLOOKUP(EH$72,INDIRECT($C$5&amp;"生成成长"),5))*(VLOOKUP($B$5,标准坦克设计!$B$24:$U$30,MATCH("对"&amp;LEFT($C$5,2)&amp;"输出",标准坦克设计!$B$23:$U$23,0)))*(VLOOKUP($B237,INDIRECT($B$5&amp;"生成成长"),3))*(VLOOKUP($B$5,标准坦克设计!$B$14:$K$20,9)/30))</f>
        <v>2.949408728266929</v>
      </c>
      <c r="EI237" s="172">
        <f ca="1">(VLOOKUP(EI$72,INDIRECT($C$5&amp;"生成成长"),2))/((VLOOKUP($B237,INDIRECT($B$5&amp;"生成成长"),4))/(VLOOKUP(EI$72,INDIRECT($C$5&amp;"生成成长"),5))*(VLOOKUP($B$5,标准坦克设计!$B$24:$U$30,MATCH("对"&amp;LEFT($C$5,2)&amp;"输出",标准坦克设计!$B$23:$U$23,0)))*(VLOOKUP($B237,INDIRECT($B$5&amp;"生成成长"),3))*(VLOOKUP($B$5,标准坦克设计!$B$14:$K$20,9)/30))</f>
        <v>3.1630663304463189</v>
      </c>
      <c r="EJ237" s="172">
        <f ca="1">(VLOOKUP(EJ$72,INDIRECT($C$5&amp;"生成成长"),2))/((VLOOKUP($B237,INDIRECT($B$5&amp;"生成成长"),4))/(VLOOKUP(EJ$72,INDIRECT($C$5&amp;"生成成长"),5))*(VLOOKUP($B$5,标准坦克设计!$B$24:$U$30,MATCH("对"&amp;LEFT($C$5,2)&amp;"输出",标准坦克设计!$B$23:$U$23,0)))*(VLOOKUP($B237,INDIRECT($B$5&amp;"生成成长"),3))*(VLOOKUP($B$5,标准坦克设计!$B$14:$K$20,9)/30))</f>
        <v>3.384194478156457</v>
      </c>
      <c r="EK237" s="172">
        <f ca="1">(VLOOKUP(EK$72,INDIRECT($C$5&amp;"生成成长"),2))/((VLOOKUP($B237,INDIRECT($B$5&amp;"生成成长"),4))/(VLOOKUP(EK$72,INDIRECT($C$5&amp;"生成成长"),5))*(VLOOKUP($B$5,标准坦克设计!$B$24:$U$30,MATCH("对"&amp;LEFT($C$5,2)&amp;"输出",标准坦克设计!$B$23:$U$23,0)))*(VLOOKUP($B237,INDIRECT($B$5&amp;"生成成长"),3))*(VLOOKUP($B$5,标准坦克设计!$B$14:$K$20,9)/30))</f>
        <v>3.6594093755092101</v>
      </c>
      <c r="EL237" s="172">
        <f ca="1">(VLOOKUP(EL$72,INDIRECT($C$5&amp;"生成成长"),2))/((VLOOKUP($B237,INDIRECT($B$5&amp;"生成成长"),4))/(VLOOKUP(EL$72,INDIRECT($C$5&amp;"生成成长"),5))*(VLOOKUP($B$5,标准坦克设计!$B$24:$U$30,MATCH("对"&amp;LEFT($C$5,2)&amp;"输出",标准坦克设计!$B$23:$U$23,0)))*(VLOOKUP($B237,INDIRECT($B$5&amp;"生成成长"),3))*(VLOOKUP($B$5,标准坦克设计!$B$14:$K$20,9)/30))</f>
        <v>3.9453818584262392</v>
      </c>
      <c r="EM237" s="172">
        <f ca="1">(VLOOKUP(EM$72,INDIRECT($C$5&amp;"生成成长"),2))/((VLOOKUP($B237,INDIRECT($B$5&amp;"生成成长"),4))/(VLOOKUP(EM$72,INDIRECT($C$5&amp;"生成成长"),5))*(VLOOKUP($B$5,标准坦克设计!$B$24:$U$30,MATCH("对"&amp;LEFT($C$5,2)&amp;"输出",标准坦克设计!$B$23:$U$23,0)))*(VLOOKUP($B237,INDIRECT($B$5&amp;"生成成长"),3))*(VLOOKUP($B$5,标准坦克设计!$B$14:$K$20,9)/30))</f>
        <v>4.2421119269075467</v>
      </c>
      <c r="EN237" s="172">
        <f ca="1">(VLOOKUP(EN$72,INDIRECT($C$5&amp;"生成成长"),2))/((VLOOKUP($B237,INDIRECT($B$5&amp;"生成成长"),4))/(VLOOKUP(EN$72,INDIRECT($C$5&amp;"生成成长"),5))*(VLOOKUP($B$5,标准坦克设计!$B$24:$U$30,MATCH("对"&amp;LEFT($C$5,2)&amp;"输出",标准坦克设计!$B$23:$U$23,0)))*(VLOOKUP($B237,INDIRECT($B$5&amp;"生成成长"),3))*(VLOOKUP($B$5,标准坦克设计!$B$14:$K$20,9)/30))</f>
        <v>4.5495995809531316</v>
      </c>
      <c r="EO237" s="172">
        <f ca="1">(VLOOKUP(EO$72,INDIRECT($C$5&amp;"生成成长"),2))/((VLOOKUP($B237,INDIRECT($B$5&amp;"生成成长"),4))/(VLOOKUP(EO$72,INDIRECT($C$5&amp;"生成成长"),5))*(VLOOKUP($B$5,标准坦克设计!$B$24:$U$30,MATCH("对"&amp;LEFT($C$5,2)&amp;"输出",标准坦克设计!$B$23:$U$23,0)))*(VLOOKUP($B237,INDIRECT($B$5&amp;"生成成长"),3))*(VLOOKUP($B$5,标准坦克设计!$B$14:$K$20,9)/30))</f>
        <v>4.8678448205629925</v>
      </c>
      <c r="EP237" s="172">
        <f ca="1">(VLOOKUP(EP$72,INDIRECT($C$5&amp;"生成成长"),2))/((VLOOKUP($B237,INDIRECT($B$5&amp;"生成成长"),4))/(VLOOKUP(EP$72,INDIRECT($C$5&amp;"生成成长"),5))*(VLOOKUP($B$5,标准坦克设计!$B$24:$U$30,MATCH("对"&amp;LEFT($C$5,2)&amp;"输出",标准坦克设计!$B$23:$U$23,0)))*(VLOOKUP($B237,INDIRECT($B$5&amp;"生成成长"),3))*(VLOOKUP($B$5,标准坦克设计!$B$14:$K$20,9)/30))</f>
        <v>5.1968476457371304</v>
      </c>
      <c r="EQ237" s="172">
        <f ca="1">(VLOOKUP(EQ$72,INDIRECT($C$5&amp;"生成成长"),2))/((VLOOKUP($B237,INDIRECT($B$5&amp;"生成成长"),4))/(VLOOKUP(EQ$72,INDIRECT($C$5&amp;"生成成长"),5))*(VLOOKUP($B$5,标准坦克设计!$B$24:$U$30,MATCH("对"&amp;LEFT($C$5,2)&amp;"输出",标准坦克设计!$B$23:$U$23,0)))*(VLOOKUP($B237,INDIRECT($B$5&amp;"生成成长"),3))*(VLOOKUP($B$5,标准坦克设计!$B$14:$K$20,9)/30))</f>
        <v>2.2973421616155973</v>
      </c>
      <c r="ER237" s="172">
        <f ca="1">(VLOOKUP(ER$72,INDIRECT($C$5&amp;"生成成长"),2))/((VLOOKUP($B237,INDIRECT($B$5&amp;"生成成长"),4))/(VLOOKUP(ER$72,INDIRECT($C$5&amp;"生成成长"),5))*(VLOOKUP($B$5,标准坦克设计!$B$24:$U$30,MATCH("对"&amp;LEFT($C$5,2)&amp;"输出",标准坦克设计!$B$23:$U$23,0)))*(VLOOKUP($B237,INDIRECT($B$5&amp;"生成成长"),3))*(VLOOKUP($B$5,标准坦克设计!$B$14:$K$20,9)/30))</f>
        <v>2.5056583237405028</v>
      </c>
      <c r="ES237" s="172">
        <f ca="1">(VLOOKUP(ES$72,INDIRECT($C$5&amp;"生成成长"),2))/((VLOOKUP($B237,INDIRECT($B$5&amp;"生成成长"),4))/(VLOOKUP(ES$72,INDIRECT($C$5&amp;"生成成长"),5))*(VLOOKUP($B$5,标准坦克设计!$B$24:$U$30,MATCH("对"&amp;LEFT($C$5,2)&amp;"输出",标准坦克设计!$B$23:$U$23,0)))*(VLOOKUP($B237,INDIRECT($B$5&amp;"生成成长"),3))*(VLOOKUP($B$5,标准坦克设计!$B$14:$K$20,9)/30))</f>
        <v>2.7230138459576128</v>
      </c>
      <c r="ET237" s="172">
        <f ca="1">(VLOOKUP(ET$72,INDIRECT($C$5&amp;"生成成长"),2))/((VLOOKUP($B237,INDIRECT($B$5&amp;"生成成长"),4))/(VLOOKUP(ET$72,INDIRECT($C$5&amp;"生成成长"),5))*(VLOOKUP($B$5,标准坦克设计!$B$24:$U$30,MATCH("对"&amp;LEFT($C$5,2)&amp;"输出",标准坦克设计!$B$23:$U$23,0)))*(VLOOKUP($B237,INDIRECT($B$5&amp;"生成成长"),3))*(VLOOKUP($B$5,标准坦克设计!$B$14:$K$20,9)/30))</f>
        <v>2.949408728266929</v>
      </c>
      <c r="EU237" s="172">
        <f ca="1">(VLOOKUP(EU$72,INDIRECT($C$5&amp;"生成成长"),2))/((VLOOKUP($B237,INDIRECT($B$5&amp;"生成成长"),4))/(VLOOKUP(EU$72,INDIRECT($C$5&amp;"生成成长"),5))*(VLOOKUP($B$5,标准坦克设计!$B$24:$U$30,MATCH("对"&amp;LEFT($C$5,2)&amp;"输出",标准坦克设计!$B$23:$U$23,0)))*(VLOOKUP($B237,INDIRECT($B$5&amp;"生成成长"),3))*(VLOOKUP($B$5,标准坦克设计!$B$14:$K$20,9)/30))</f>
        <v>3.1848429706684493</v>
      </c>
      <c r="EV237" s="172">
        <f ca="1">(VLOOKUP(EV$72,INDIRECT($C$5&amp;"生成成长"),2))/((VLOOKUP($B237,INDIRECT($B$5&amp;"生成成长"),4))/(VLOOKUP(EV$72,INDIRECT($C$5&amp;"生成成长"),5))*(VLOOKUP($B$5,标准坦克设计!$B$24:$U$30,MATCH("对"&amp;LEFT($C$5,2)&amp;"输出",标准坦克设计!$B$23:$U$23,0)))*(VLOOKUP($B237,INDIRECT($B$5&amp;"生成成长"),3))*(VLOOKUP($B$5,标准坦克设计!$B$14:$K$20,9)/30))</f>
        <v>3.4293165731621746</v>
      </c>
      <c r="EW237" s="172">
        <f ca="1">(VLOOKUP(EW$72,INDIRECT($C$5&amp;"生成成长"),2))/((VLOOKUP($B237,INDIRECT($B$5&amp;"生成成长"),4))/(VLOOKUP(EW$72,INDIRECT($C$5&amp;"生成成长"),5))*(VLOOKUP($B$5,标准坦克设计!$B$24:$U$30,MATCH("对"&amp;LEFT($C$5,2)&amp;"输出",标准坦克设计!$B$23:$U$23,0)))*(VLOOKUP($B237,INDIRECT($B$5&amp;"生成成长"),3))*(VLOOKUP($B$5,标准坦克设计!$B$14:$K$20,9)/30))</f>
        <v>3.6828295357481049</v>
      </c>
      <c r="EX237" s="172">
        <f ca="1">(VLOOKUP(EX$72,INDIRECT($C$5&amp;"生成成长"),2))/((VLOOKUP($B237,INDIRECT($B$5&amp;"生成成长"),4))/(VLOOKUP(EX$72,INDIRECT($C$5&amp;"生成成长"),5))*(VLOOKUP($B$5,标准坦克设计!$B$24:$U$30,MATCH("对"&amp;LEFT($C$5,2)&amp;"输出",标准坦克设计!$B$23:$U$23,0)))*(VLOOKUP($B237,INDIRECT($B$5&amp;"生成成长"),3))*(VLOOKUP($B$5,标准坦克设计!$B$14:$K$20,9)/30))</f>
        <v>3.9453818584262392</v>
      </c>
      <c r="EY237" s="172">
        <f ca="1">(VLOOKUP(EY$72,INDIRECT($C$5&amp;"生成成长"),2))/((VLOOKUP($B237,INDIRECT($B$5&amp;"生成成长"),4))/(VLOOKUP(EY$72,INDIRECT($C$5&amp;"生成成长"),5))*(VLOOKUP($B$5,标准坦克设计!$B$24:$U$30,MATCH("对"&amp;LEFT($C$5,2)&amp;"输出",标准坦克设计!$B$23:$U$23,0)))*(VLOOKUP($B237,INDIRECT($B$5&amp;"生成成长"),3))*(VLOOKUP($B$5,标准坦克设计!$B$14:$K$20,9)/30))</f>
        <v>4.2169735411965803</v>
      </c>
      <c r="EZ237" s="172">
        <f ca="1">(VLOOKUP(EZ$72,INDIRECT($C$5&amp;"生成成长"),2))/((VLOOKUP($B237,INDIRECT($B$5&amp;"生成成长"),4))/(VLOOKUP(EZ$72,INDIRECT($C$5&amp;"生成成长"),5))*(VLOOKUP($B$5,标准坦克设计!$B$24:$U$30,MATCH("对"&amp;LEFT($C$5,2)&amp;"输出",标准坦克设计!$B$23:$U$23,0)))*(VLOOKUP($B237,INDIRECT($B$5&amp;"生成成长"),3))*(VLOOKUP($B$5,标准坦克设计!$B$14:$K$20,9)/30))</f>
        <v>4.4976045840591254</v>
      </c>
      <c r="FA237" s="172">
        <f ca="1">(VLOOKUP(FA$72,INDIRECT($C$5&amp;"生成成长"),2))/((VLOOKUP($B237,INDIRECT($B$5&amp;"生成成长"),4))/(VLOOKUP(FA$72,INDIRECT($C$5&amp;"生成成长"),5))*(VLOOKUP($B$5,标准坦克设计!$B$24:$U$30,MATCH("对"&amp;LEFT($C$5,2)&amp;"输出",标准坦克设计!$B$23:$U$23,0)))*(VLOOKUP($B237,INDIRECT($B$5&amp;"生成成长"),3))*(VLOOKUP($B$5,标准坦克设计!$B$14:$K$20,9)/30))</f>
        <v>4.7872749870138751</v>
      </c>
      <c r="FB237" s="172">
        <f ca="1">(VLOOKUP(FB$72,INDIRECT($C$5&amp;"生成成长"),2))/((VLOOKUP($B237,INDIRECT($B$5&amp;"生成成长"),4))/(VLOOKUP(FB$72,INDIRECT($C$5&amp;"生成成长"),5))*(VLOOKUP($B$5,标准坦克设计!$B$24:$U$30,MATCH("对"&amp;LEFT($C$5,2)&amp;"输出",标准坦克设计!$B$23:$U$23,0)))*(VLOOKUP($B237,INDIRECT($B$5&amp;"生成成长"),3))*(VLOOKUP($B$5,标准坦克设计!$B$14:$K$20,9)/30))</f>
        <v>5.0859847500608311</v>
      </c>
      <c r="FC237" s="172">
        <f ca="1">(VLOOKUP(FC$72,INDIRECT($C$5&amp;"生成成长"),2))/((VLOOKUP($B237,INDIRECT($B$5&amp;"生成成长"),4))/(VLOOKUP(FC$72,INDIRECT($C$5&amp;"生成成长"),5))*(VLOOKUP($B$5,标准坦克设计!$B$24:$U$30,MATCH("对"&amp;LEFT($C$5,2)&amp;"输出",标准坦克设计!$B$23:$U$23,0)))*(VLOOKUP($B237,INDIRECT($B$5&amp;"生成成长"),3))*(VLOOKUP($B$5,标准坦克设计!$B$14:$K$20,9)/30))</f>
        <v>5.3937338731999915</v>
      </c>
      <c r="FD237" s="172">
        <f ca="1">(VLOOKUP(FD$72,INDIRECT($C$5&amp;"生成成长"),2))/((VLOOKUP($B237,INDIRECT($B$5&amp;"生成成长"),4))/(VLOOKUP(FD$72,INDIRECT($C$5&amp;"生成成长"),5))*(VLOOKUP($B$5,标准坦克设计!$B$24:$U$30,MATCH("对"&amp;LEFT($C$5,2)&amp;"输出",标准坦克设计!$B$23:$U$23,0)))*(VLOOKUP($B237,INDIRECT($B$5&amp;"生成成长"),3))*(VLOOKUP($B$5,标准坦克设计!$B$14:$K$20,9)/30))</f>
        <v>5.7105223564313574</v>
      </c>
      <c r="FE237" s="172">
        <f ca="1">(VLOOKUP(FE$72,INDIRECT($C$5&amp;"生成成长"),2))/((VLOOKUP($B237,INDIRECT($B$5&amp;"生成成长"),4))/(VLOOKUP(FE$72,INDIRECT($C$5&amp;"生成成长"),5))*(VLOOKUP($B$5,标准坦克设计!$B$24:$U$30,MATCH("对"&amp;LEFT($C$5,2)&amp;"输出",标准坦克设计!$B$23:$U$23,0)))*(VLOOKUP($B237,INDIRECT($B$5&amp;"生成成长"),3))*(VLOOKUP($B$5,标准坦克设计!$B$14:$K$20,9)/30))</f>
        <v>6.0965627967327549</v>
      </c>
      <c r="FF237" s="172">
        <f ca="1">(VLOOKUP(FF$72,INDIRECT($C$5&amp;"生成成长"),2))/((VLOOKUP($B237,INDIRECT($B$5&amp;"生成成长"),4))/(VLOOKUP(FF$72,INDIRECT($C$5&amp;"生成成长"),5))*(VLOOKUP($B$5,标准坦克设计!$B$24:$U$30,MATCH("对"&amp;LEFT($C$5,2)&amp;"输出",标准坦克设计!$B$23:$U$23,0)))*(VLOOKUP($B237,INDIRECT($B$5&amp;"生成成长"),3))*(VLOOKUP($B$5,标准坦克设计!$B$14:$K$20,9)/30))</f>
        <v>6.4952284589811171</v>
      </c>
      <c r="FG237" s="172">
        <f ca="1">(VLOOKUP(FG$72,INDIRECT($C$5&amp;"生成成长"),2))/((VLOOKUP($B237,INDIRECT($B$5&amp;"生成成长"),4))/(VLOOKUP(FG$72,INDIRECT($C$5&amp;"生成成长"),5))*(VLOOKUP($B$5,标准坦克设计!$B$24:$U$30,MATCH("对"&amp;LEFT($C$5,2)&amp;"输出",标准坦克设计!$B$23:$U$23,0)))*(VLOOKUP($B237,INDIRECT($B$5&amp;"生成成长"),3))*(VLOOKUP($B$5,标准坦克设计!$B$14:$K$20,9)/30))</f>
        <v>6.9065193431764422</v>
      </c>
      <c r="FH237" s="172">
        <f ca="1">(VLOOKUP(FH$72,INDIRECT($C$5&amp;"生成成长"),2))/((VLOOKUP($B237,INDIRECT($B$5&amp;"生成成长"),4))/(VLOOKUP(FH$72,INDIRECT($C$5&amp;"生成成长"),5))*(VLOOKUP($B$5,标准坦克设计!$B$24:$U$30,MATCH("对"&amp;LEFT($C$5,2)&amp;"输出",标准坦克设计!$B$23:$U$23,0)))*(VLOOKUP($B237,INDIRECT($B$5&amp;"生成成长"),3))*(VLOOKUP($B$5,标准坦克设计!$B$14:$K$20,9)/30))</f>
        <v>7.3304354493187329</v>
      </c>
      <c r="FI237" s="172">
        <f ca="1">(VLOOKUP(FI$72,INDIRECT($C$5&amp;"生成成长"),2))/((VLOOKUP($B237,INDIRECT($B$5&amp;"生成成长"),4))/(VLOOKUP(FI$72,INDIRECT($C$5&amp;"生成成长"),5))*(VLOOKUP($B$5,标准坦克设计!$B$24:$U$30,MATCH("对"&amp;LEFT($C$5,2)&amp;"输出",标准坦克设计!$B$23:$U$23,0)))*(VLOOKUP($B237,INDIRECT($B$5&amp;"生成成长"),3))*(VLOOKUP($B$5,标准坦克设计!$B$14:$K$20,9)/30))</f>
        <v>7.7669767774079874</v>
      </c>
      <c r="FJ237" s="172">
        <f ca="1">(VLOOKUP(FJ$72,INDIRECT($C$5&amp;"生成成长"),2))/((VLOOKUP($B237,INDIRECT($B$5&amp;"生成成长"),4))/(VLOOKUP(FJ$72,INDIRECT($C$5&amp;"生成成长"),5))*(VLOOKUP($B$5,标准坦克设计!$B$24:$U$30,MATCH("对"&amp;LEFT($C$5,2)&amp;"输出",标准坦克设计!$B$23:$U$23,0)))*(VLOOKUP($B237,INDIRECT($B$5&amp;"生成成长"),3))*(VLOOKUP($B$5,标准坦克设计!$B$14:$K$20,9)/30))</f>
        <v>8.2161433274442057</v>
      </c>
      <c r="FK237" s="172">
        <f ca="1">(VLOOKUP(FK$72,INDIRECT($C$5&amp;"生成成长"),2))/((VLOOKUP($B237,INDIRECT($B$5&amp;"生成成长"),4))/(VLOOKUP(FK$72,INDIRECT($C$5&amp;"生成成长"),5))*(VLOOKUP($B$5,标准坦克设计!$B$24:$U$30,MATCH("对"&amp;LEFT($C$5,2)&amp;"输出",标准坦克设计!$B$23:$U$23,0)))*(VLOOKUP($B237,INDIRECT($B$5&amp;"生成成长"),3))*(VLOOKUP($B$5,标准坦克设计!$B$14:$K$20,9)/30))</f>
        <v>8.6779350994273869</v>
      </c>
    </row>
  </sheetData>
  <mergeCells count="9">
    <mergeCell ref="A28:B28"/>
    <mergeCell ref="A29:B29"/>
    <mergeCell ref="P40:Q40"/>
    <mergeCell ref="P41:Q41"/>
    <mergeCell ref="B7:E7"/>
    <mergeCell ref="B8:F8"/>
    <mergeCell ref="B9:E9"/>
    <mergeCell ref="A12:B12"/>
    <mergeCell ref="A13:B13"/>
  </mergeCells>
  <phoneticPr fontId="32" type="noConversion"/>
  <conditionalFormatting sqref="C14:M25">
    <cfRule type="colorScale" priority="3">
      <colorScale>
        <cfvo type="min"/>
        <cfvo type="percent" val="2"/>
        <cfvo type="max"/>
        <color theme="4" tint="0.39994506668294322"/>
        <color rgb="FFFCFCFF"/>
        <color rgb="FFF8696B"/>
      </colorScale>
    </cfRule>
  </conditionalFormatting>
  <conditionalFormatting sqref="R14:AM37">
    <cfRule type="colorScale" priority="6">
      <colorScale>
        <cfvo type="min"/>
        <cfvo type="percent" val="1"/>
        <cfvo type="max"/>
        <color theme="4" tint="0.39994506668294322"/>
        <color rgb="FFFCFCFF"/>
        <color rgb="FFF8696B"/>
      </colorScale>
    </cfRule>
  </conditionalFormatting>
  <conditionalFormatting sqref="C30:M41">
    <cfRule type="colorScale" priority="2">
      <colorScale>
        <cfvo type="min"/>
        <cfvo type="percent" val="2"/>
        <cfvo type="max"/>
        <color theme="4" tint="0.39994506668294322"/>
        <color rgb="FFFCFCFF"/>
        <color rgb="FFF8696B"/>
      </colorScale>
    </cfRule>
  </conditionalFormatting>
  <conditionalFormatting sqref="R42:AM65">
    <cfRule type="colorScale" priority="1">
      <colorScale>
        <cfvo type="min"/>
        <cfvo type="percent" val="1"/>
        <cfvo type="max"/>
        <color theme="4" tint="0.39994506668294322"/>
        <color rgb="FFFCFCFF"/>
        <color rgb="FFF8696B"/>
      </colorScale>
    </cfRule>
  </conditionalFormatting>
  <conditionalFormatting sqref="C73:FK237">
    <cfRule type="colorScale" priority="9">
      <colorScale>
        <cfvo type="min"/>
        <cfvo type="percent" val="2"/>
        <cfvo type="max"/>
        <color theme="9" tint="0.79995117038483843"/>
        <color rgb="FFFCFCFF"/>
        <color rgb="FFF8696B"/>
      </colorScale>
    </cfRule>
  </conditionalFormatting>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B00-000000000000}">
          <x14:formula1>
            <xm:f>标准坦克设计!$B$40:$B$46</xm:f>
          </x14:formula1>
          <xm:sqref>B5:C5</xm:sqref>
        </x14:dataValidation>
      </x14:dataValidation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3"/>
  <dimension ref="B2:CI309"/>
  <sheetViews>
    <sheetView workbookViewId="0">
      <selection activeCell="K15" sqref="H3:K15"/>
    </sheetView>
  </sheetViews>
  <sheetFormatPr defaultColWidth="9" defaultRowHeight="14.25" x14ac:dyDescent="0.3"/>
  <cols>
    <col min="1" max="4" width="9" style="1"/>
    <col min="5" max="6" width="8.625" style="1" customWidth="1"/>
    <col min="7" max="11" width="9" style="1"/>
    <col min="12" max="12" width="10.5" style="1" customWidth="1"/>
    <col min="13" max="18" width="9" style="1"/>
    <col min="19" max="19" width="10.5" style="1" customWidth="1"/>
    <col min="20" max="16384" width="9" style="1"/>
  </cols>
  <sheetData>
    <row r="2" spans="2:87" ht="15.75" customHeight="1" x14ac:dyDescent="0.3">
      <c r="B2" s="2" t="s">
        <v>871</v>
      </c>
      <c r="C2" s="2" t="s">
        <v>872</v>
      </c>
      <c r="D2" s="25"/>
      <c r="E2" s="25"/>
      <c r="F2" s="25"/>
      <c r="H2" s="352" t="s">
        <v>873</v>
      </c>
      <c r="I2" s="353"/>
      <c r="J2" s="353"/>
      <c r="K2" s="353"/>
      <c r="L2" s="353"/>
      <c r="M2" s="353"/>
      <c r="N2" s="353"/>
      <c r="O2" s="353"/>
      <c r="P2" s="354"/>
      <c r="Q2" s="25"/>
      <c r="S2" s="351" t="s">
        <v>874</v>
      </c>
      <c r="T2" s="351"/>
      <c r="U2" s="351"/>
      <c r="V2" s="351"/>
      <c r="W2" s="351"/>
      <c r="X2" s="351"/>
      <c r="Y2" s="351"/>
      <c r="Z2" s="351"/>
      <c r="AA2" s="351"/>
      <c r="AB2" s="351"/>
      <c r="AC2" s="351"/>
      <c r="AD2" s="351"/>
      <c r="AE2" s="351"/>
      <c r="AF2" s="25"/>
      <c r="AH2" s="351" t="s">
        <v>875</v>
      </c>
      <c r="AI2" s="351"/>
      <c r="AJ2" s="351"/>
      <c r="AK2" s="351"/>
      <c r="AL2" s="351"/>
      <c r="AM2" s="351"/>
      <c r="AN2" s="351"/>
      <c r="AO2" s="351"/>
      <c r="AP2" s="25"/>
      <c r="AQ2" s="351" t="s">
        <v>876</v>
      </c>
      <c r="AR2" s="351"/>
      <c r="AS2" s="351"/>
      <c r="AT2" s="351"/>
      <c r="AU2" s="351"/>
      <c r="AV2" s="351"/>
      <c r="AW2" s="351"/>
      <c r="AX2" s="351"/>
      <c r="AY2" s="351"/>
      <c r="AZ2" s="25"/>
      <c r="BA2" s="351" t="s">
        <v>877</v>
      </c>
      <c r="BB2" s="351"/>
      <c r="BC2" s="351"/>
      <c r="BD2" s="351"/>
      <c r="BE2" s="351"/>
      <c r="BF2" s="351"/>
      <c r="BG2" s="25"/>
      <c r="BH2" s="351" t="s">
        <v>878</v>
      </c>
      <c r="BI2" s="351"/>
      <c r="BJ2" s="351"/>
      <c r="BK2" s="351"/>
      <c r="BL2" s="351"/>
      <c r="BM2" s="351"/>
      <c r="BN2" s="351"/>
      <c r="BO2" s="351"/>
      <c r="BP2" s="351"/>
      <c r="BQ2" s="351"/>
      <c r="BR2" s="351"/>
      <c r="BS2" s="351"/>
      <c r="BT2" s="351"/>
      <c r="BU2" s="351"/>
      <c r="BV2" s="351"/>
      <c r="BW2" s="351"/>
      <c r="BX2" s="351"/>
      <c r="BY2" s="351"/>
      <c r="CA2" s="351" t="s">
        <v>879</v>
      </c>
      <c r="CB2" s="351"/>
      <c r="CC2" s="351"/>
      <c r="CD2" s="351"/>
      <c r="CE2" s="351"/>
      <c r="CF2" s="351"/>
      <c r="CG2" s="351"/>
      <c r="CH2" s="351"/>
      <c r="CI2" s="351"/>
    </row>
    <row r="3" spans="2:87" x14ac:dyDescent="0.3">
      <c r="B3" s="21">
        <v>2</v>
      </c>
      <c r="C3" s="155">
        <v>0.6</v>
      </c>
      <c r="D3" s="160"/>
      <c r="E3" s="160"/>
      <c r="F3" s="160"/>
      <c r="H3" s="2" t="s">
        <v>593</v>
      </c>
      <c r="I3" s="2" t="s">
        <v>594</v>
      </c>
      <c r="J3" s="2" t="s">
        <v>346</v>
      </c>
      <c r="K3" s="2" t="s">
        <v>880</v>
      </c>
      <c r="L3" s="2" t="s">
        <v>881</v>
      </c>
      <c r="M3" s="2" t="s">
        <v>882</v>
      </c>
      <c r="N3" s="2" t="s">
        <v>883</v>
      </c>
      <c r="O3" s="2" t="s">
        <v>884</v>
      </c>
      <c r="P3" s="2" t="s">
        <v>885</v>
      </c>
      <c r="Q3" s="25"/>
      <c r="S3" s="2" t="s">
        <v>886</v>
      </c>
      <c r="T3" s="2" t="s">
        <v>886</v>
      </c>
      <c r="U3" s="2" t="s">
        <v>275</v>
      </c>
      <c r="V3" s="2" t="s">
        <v>71</v>
      </c>
      <c r="W3" s="2" t="s">
        <v>602</v>
      </c>
      <c r="X3" s="2" t="s">
        <v>887</v>
      </c>
      <c r="Y3" s="2" t="s">
        <v>593</v>
      </c>
      <c r="Z3" s="2" t="s">
        <v>759</v>
      </c>
      <c r="AA3" s="2" t="s">
        <v>760</v>
      </c>
      <c r="AB3" s="2" t="s">
        <v>761</v>
      </c>
      <c r="AC3" s="2" t="s">
        <v>76</v>
      </c>
      <c r="AD3" s="2" t="s">
        <v>124</v>
      </c>
      <c r="AE3" s="2" t="s">
        <v>762</v>
      </c>
      <c r="AF3" s="25"/>
      <c r="AH3" s="2" t="s">
        <v>886</v>
      </c>
      <c r="AI3" s="2" t="s">
        <v>275</v>
      </c>
      <c r="AJ3" s="2" t="s">
        <v>888</v>
      </c>
      <c r="AK3" s="2" t="s">
        <v>889</v>
      </c>
      <c r="AL3" s="2" t="s">
        <v>890</v>
      </c>
      <c r="AM3" s="2" t="s">
        <v>845</v>
      </c>
      <c r="AN3" s="2" t="s">
        <v>90</v>
      </c>
      <c r="AO3" s="2" t="s">
        <v>891</v>
      </c>
      <c r="AP3" s="25"/>
      <c r="AQ3" s="2" t="s">
        <v>886</v>
      </c>
      <c r="AR3" s="2" t="s">
        <v>275</v>
      </c>
      <c r="AS3" s="2" t="s">
        <v>71</v>
      </c>
      <c r="AT3" s="2" t="s">
        <v>888</v>
      </c>
      <c r="AU3" s="2" t="s">
        <v>889</v>
      </c>
      <c r="AV3" s="2" t="s">
        <v>890</v>
      </c>
      <c r="AW3" s="2" t="s">
        <v>845</v>
      </c>
      <c r="AX3" s="2" t="s">
        <v>90</v>
      </c>
      <c r="AY3" s="2" t="s">
        <v>891</v>
      </c>
      <c r="AZ3" s="25"/>
      <c r="BA3" s="2" t="s">
        <v>888</v>
      </c>
      <c r="BB3" s="2" t="s">
        <v>889</v>
      </c>
      <c r="BC3" s="2" t="s">
        <v>890</v>
      </c>
      <c r="BD3" s="2" t="s">
        <v>845</v>
      </c>
      <c r="BE3" s="2" t="s">
        <v>891</v>
      </c>
      <c r="BF3" s="2" t="s">
        <v>762</v>
      </c>
      <c r="BG3" s="25"/>
      <c r="BH3" s="2" t="s">
        <v>892</v>
      </c>
      <c r="BI3" s="2" t="s">
        <v>886</v>
      </c>
      <c r="BJ3" s="2" t="s">
        <v>275</v>
      </c>
      <c r="BK3" s="2" t="s">
        <v>602</v>
      </c>
      <c r="BL3" s="2" t="s">
        <v>594</v>
      </c>
      <c r="BM3" s="2" t="s">
        <v>759</v>
      </c>
      <c r="BN3" s="2" t="s">
        <v>760</v>
      </c>
      <c r="BO3" s="2" t="s">
        <v>761</v>
      </c>
      <c r="BP3" s="2" t="s">
        <v>76</v>
      </c>
      <c r="BQ3" s="2" t="s">
        <v>124</v>
      </c>
      <c r="BR3" s="2" t="s">
        <v>762</v>
      </c>
      <c r="BS3" s="2" t="s">
        <v>888</v>
      </c>
      <c r="BT3" s="2" t="s">
        <v>889</v>
      </c>
      <c r="BU3" s="2" t="s">
        <v>890</v>
      </c>
      <c r="BV3" s="2" t="s">
        <v>88</v>
      </c>
      <c r="BW3" s="2" t="s">
        <v>89</v>
      </c>
      <c r="BX3" s="2" t="s">
        <v>90</v>
      </c>
      <c r="BY3" s="2" t="s">
        <v>845</v>
      </c>
      <c r="CA3" s="2" t="s">
        <v>886</v>
      </c>
      <c r="CB3" s="2" t="s">
        <v>275</v>
      </c>
      <c r="CC3" s="2" t="s">
        <v>71</v>
      </c>
      <c r="CD3" s="2" t="s">
        <v>602</v>
      </c>
      <c r="CE3" s="2" t="s">
        <v>759</v>
      </c>
      <c r="CF3" s="2" t="s">
        <v>760</v>
      </c>
      <c r="CG3" s="2" t="s">
        <v>761</v>
      </c>
      <c r="CH3" s="2" t="s">
        <v>76</v>
      </c>
      <c r="CI3" s="2" t="s">
        <v>124</v>
      </c>
    </row>
    <row r="4" spans="2:87" x14ac:dyDescent="0.3">
      <c r="H4" s="2" t="str">
        <f>坦克等级成长!B13&amp;坦克等级成长!C13</f>
        <v>T1低</v>
      </c>
      <c r="I4" s="2">
        <v>5</v>
      </c>
      <c r="J4" s="2">
        <f>坦克等级成长!J13</f>
        <v>1</v>
      </c>
      <c r="K4" s="2">
        <f>坦克等级成长!K13</f>
        <v>1.3</v>
      </c>
      <c r="L4" s="2">
        <f>坦克等级成长!E13</f>
        <v>3</v>
      </c>
      <c r="M4" s="2">
        <f>IFERROR(VLOOKUP(L4,坦克部件!$N$3:$R$9,5,FALSE),VLOOKUP(L4-1,坦克部件!$N$3:$R$9,5,FALSE))</f>
        <v>0.20200000000000001</v>
      </c>
      <c r="N4" s="2">
        <f t="shared" ref="N4:N15" si="0">J4*M4</f>
        <v>0.20200000000000001</v>
      </c>
      <c r="O4" s="161">
        <f t="shared" ref="O4:O15" si="1">1-P4</f>
        <v>0.7</v>
      </c>
      <c r="P4" s="154">
        <v>0.3</v>
      </c>
      <c r="Q4" s="162"/>
      <c r="S4" s="2" t="str">
        <f t="shared" ref="S4:S35" si="2">U4&amp;X4</f>
        <v>雷诺FT初始</v>
      </c>
      <c r="T4" s="2">
        <v>1</v>
      </c>
      <c r="U4" s="2" t="str">
        <f t="shared" ref="U4:U35" si="3">VLOOKUP(T4,$B$5:$C$35,2,FALSE)</f>
        <v>雷诺FT</v>
      </c>
      <c r="V4" s="2" t="str">
        <f>VLOOKUP(U4,坦克个性化设定!$B$18:$F$48,5,FALSE)</f>
        <v>轻坦弹夹</v>
      </c>
      <c r="W4" s="29" t="str">
        <f>VLOOKUP(U4,坦克个性化细分!$I$3:$J$33,2,FALSE)</f>
        <v>低</v>
      </c>
      <c r="X4" s="21" t="s">
        <v>777</v>
      </c>
      <c r="Y4" s="2" t="str">
        <f>VLOOKUP(VLOOKUP(U4,坦克个性化设定!$B$18:$F$48,4,FALSE)&amp;W4,坦克等级成长!$P$12:$U$24,MATCH(X4,坦克等级成长!$P$12:$U$12,0),FALSE)</f>
        <v>T1低1</v>
      </c>
      <c r="Z4" s="42">
        <f ca="1">VLOOKUP($Y4,INDIRECT($V4&amp;"_阶段属性"),MATCH(Z$3,属性标头_阶段属性,0),FALSE)*VLOOKUP($U4,坦克个性化设定!$B$84:$D$114,2,FALSE)</f>
        <v>632.83455863768916</v>
      </c>
      <c r="AA4" s="42">
        <f ca="1">VLOOKUP($Y4,INDIRECT($V4&amp;"_阶段属性"),MATCH(AA$3,属性标头_阶段属性,0),FALSE)*VLOOKUP($U4,坦克个性化设定!$B$84:$D$114,3,FALSE)</f>
        <v>56.358231711532774</v>
      </c>
      <c r="AB4" s="2">
        <f t="shared" ref="AB4:AE23" ca="1" si="4">VLOOKUP($Y4,INDIRECT($V4&amp;"_阶段属性"),MATCH(AB$3,属性标头_阶段属性,0),FALSE)</f>
        <v>329</v>
      </c>
      <c r="AC4" s="2">
        <f t="shared" ca="1" si="4"/>
        <v>131</v>
      </c>
      <c r="AD4" s="2">
        <f t="shared" ca="1" si="4"/>
        <v>300</v>
      </c>
      <c r="AE4" s="2">
        <f t="shared" ca="1" si="4"/>
        <v>80</v>
      </c>
      <c r="AF4" s="25"/>
      <c r="AH4" s="2">
        <v>1</v>
      </c>
      <c r="AI4" s="2" t="str">
        <f t="shared" ref="AI4:AI33" si="5">VLOOKUP(AH4,$B$5:$C$35,2,FALSE)</f>
        <v>雷诺FT</v>
      </c>
      <c r="AJ4" s="2">
        <f>VLOOKUP($AI4,坦克个性化细分!$I$3:$P$33,MATCH(AJ$3,坦克个性化细分!$I$3:$P$3,0),FALSE)</f>
        <v>47.1</v>
      </c>
      <c r="AK4" s="2">
        <f>VLOOKUP($AI4,坦克个性化细分!$I$3:$P$33,MATCH(AK$3,坦克个性化细分!$I$3:$P$3,0),FALSE)</f>
        <v>45</v>
      </c>
      <c r="AL4" s="2">
        <f>VLOOKUP($AI4,坦克个性化细分!$I$3:$P$33,MATCH(AL$3,坦克个性化细分!$I$3:$P$3,0),FALSE)</f>
        <v>10.5</v>
      </c>
      <c r="AM4" s="34">
        <f>VLOOKUP(AI4,坦克个性化细分!$AA$3:$AP$33,MATCH("射击偏移角",坦克个性化细分!$AA$3:$AP$3,0),FALSE)/VLOOKUP(AI4,坦克个性化细分!$AA$3:$AP$33,MATCH("原瞄准速度",坦克个性化细分!$AA$3:$AP$3,0),FALSE)</f>
        <v>0.375</v>
      </c>
      <c r="AN4" s="34">
        <f>VLOOKUP(AI4,坦克个性化细分!$AA$3:$AP$33,MATCH(AN$3,坦克个性化细分!$AA$3:$AP$3,0),FALSE)</f>
        <v>0.60000000000000009</v>
      </c>
      <c r="AO4" s="2">
        <f>VLOOKUP(AI4,坦克个性化细分!$AA$3:$AP$33,MATCH("原换弹时间",坦克个性化细分!$AA$3:$AP$3,0),FALSE)</f>
        <v>7.56</v>
      </c>
      <c r="AP4" s="132"/>
      <c r="AQ4" s="2">
        <v>1</v>
      </c>
      <c r="AR4" s="2" t="str">
        <f t="shared" ref="AR4:AR33" si="6">VLOOKUP(AQ4,$B$5:$C$35,2,FALSE)</f>
        <v>雷诺FT</v>
      </c>
      <c r="AS4" s="2" t="s">
        <v>78</v>
      </c>
      <c r="AT4" s="34">
        <f>VLOOKUP(AR4,坦克个性化细分!$I$3:$P$33,MATCH("养成区间1",坦克个性化细分!$I$3:$P$3,0),FALSE)</f>
        <v>11.774999999999997</v>
      </c>
      <c r="AU4" s="2">
        <f>VLOOKUP(AR4,坦克个性化细分!$I$3:$P$33,MATCH("养成区间2",坦克个性化细分!$I$3:$P$3,0),FALSE)</f>
        <v>11.249999999999998</v>
      </c>
      <c r="AV4" s="2">
        <f>VLOOKUP(AR4,坦克个性化细分!$I$3:$P$33,MATCH("养成区间3",坦克个性化细分!$I$3:$P$3,0),FALSE)</f>
        <v>0</v>
      </c>
      <c r="AW4" s="34">
        <f>VLOOKUP(AR4,坦克个性化细分!$AA$3:$AP$33,MATCH("瞄准区间",坦克个性化细分!$AA$3:$AP$3,0),FALSE)</f>
        <v>6.25E-2</v>
      </c>
      <c r="AX4" s="34">
        <f>VLOOKUP(AI4,坦克个性化细分!$AA$3:$AP$33,MATCH("后射击间隔",坦克个性化细分!$AA$3:$AP$3,0),FALSE)-VLOOKUP(AI4,坦克个性化细分!$AA$3:$AP$33,MATCH(AN$3,坦克个性化细分!$AA$3:$AP$3,0),FALSE)</f>
        <v>-0.35000000000000009</v>
      </c>
      <c r="AY4" s="34">
        <f>VLOOKUP(AR4,坦克个性化细分!$AA$3:$AP$33,MATCH("换弹区间",坦克个性化细分!$AA$3:$AP$3,0),FALSE)</f>
        <v>-4.710172189408353</v>
      </c>
      <c r="AZ4" s="132"/>
      <c r="BA4" s="34">
        <f>AT4/AJ4</f>
        <v>0.24999999999999992</v>
      </c>
      <c r="BB4" s="34">
        <f>AU4/AK4</f>
        <v>0.24999999999999997</v>
      </c>
      <c r="BC4" s="34">
        <f>AV4/AL4</f>
        <v>0</v>
      </c>
      <c r="BD4" s="34">
        <f>AW4/AM4</f>
        <v>0.16666666666666666</v>
      </c>
      <c r="BE4" s="34">
        <f>AY4/AO4</f>
        <v>-0.62303864939263931</v>
      </c>
      <c r="BF4" s="34"/>
      <c r="BG4" s="132"/>
      <c r="BH4" s="2" t="str">
        <f>BJ4&amp;BL4</f>
        <v>雷诺FT0</v>
      </c>
      <c r="BI4" s="2">
        <v>1</v>
      </c>
      <c r="BJ4" s="2" t="str">
        <f>VLOOKUP(BI4,$B$5:$C$35,2,FALSE)</f>
        <v>雷诺FT</v>
      </c>
      <c r="BK4" s="29" t="str">
        <f>VLOOKUP(BJ4,坦克个性化细分!$I$3:$J$33,2,FALSE)</f>
        <v>低</v>
      </c>
      <c r="BL4" s="2">
        <f t="shared" ref="BL4:BL67" si="7">IF(BJ4&lt;&gt;BJ3,0,BL3+1)</f>
        <v>0</v>
      </c>
      <c r="BM4" s="103">
        <f ca="1">ROUND(VLOOKUP($BJ4&amp;"初始",$S$3:$AE$63,MATCH(BM$3,$S$3:$AE$3,0),FALSE)+((VLOOKUP($BJ4&amp;"最终",$S$3:$AE$63,MATCH(BM$3,$S$3:$AE$3,0),FALSE)*坦克个性化细分!$C$9-VLOOKUP($BJ4&amp;"初始",$S$3:$AE$63,MATCH(BM$3,$S$3:$AE$3,0),FALSE))-(VLOOKUP($BJ4&amp;"最终",$S$3:$AE$63,MATCH(BM$3,$S$3:$AE$3,0),FALSE)-VLOOKUP($BJ4&amp;"初始",$S$3:$AE$63,MATCH(BM$3,$S$3:$AE$3,0),FALSE))*VLOOKUP(VLOOKUP($BJ4,坦克个性化设定!$B$18:$E$48,4,FALSE)&amp;$BK4,坦克属性分配比例,MATCH("部件比例",坦克属性分配比例标头,0),FALSE))*$BL4/VLOOKUP(VLOOKUP($BJ4,坦克个性化设定!$B$18:$E$48,4,FALSE)&amp;$BK4,坦克属性分配比例,MATCH("升星次数",坦克属性分配比例标头,0),FALSE),0)</f>
        <v>633</v>
      </c>
      <c r="BN4" s="103">
        <f ca="1">ROUND(VLOOKUP($BJ4&amp;"初始",$S$3:$AE$63,MATCH(BN$3,$S$3:$AE$3,0),FALSE)+(VLOOKUP($BJ4&amp;"最终",$S$3:$AE$63,MATCH(BN$3,$S$3:$AE$3,0),FALSE)-VLOOKUP($BJ4&amp;"初始",$S$3:$AE$63,MATCH(BN$3,$S$3:$AE$3,0),FALSE))*$BL4/VLOOKUP(VLOOKUP($BJ4,坦克个性化设定!$B$18:$E$48,4,FALSE)&amp;$BK4,坦克属性分配比例,MATCH("升星次数",坦克属性分配比例标头,0),FALSE)*VLOOKUP(VLOOKUP($BJ4,坦克个性化设定!$B$18:$E$48,4,FALSE)&amp;$BK4,坦克属性分配比例,MATCH("升星比例",坦克属性分配比例标头,0),FALSE),0)</f>
        <v>56</v>
      </c>
      <c r="BO4" s="103">
        <f ca="1">ROUND(VLOOKUP($BJ4&amp;"初始",$S$3:$AE$63,MATCH(BO$3,$S$3:$AE$3,0),FALSE)+(VLOOKUP($BJ4&amp;"最终",$S$3:$AE$63,MATCH(BO$3,$S$3:$AE$3,0),FALSE)-VLOOKUP($BJ4&amp;"初始",$S$3:$AE$63,MATCH(BO$3,$S$3:$AE$3,0),FALSE))*$BL4/VLOOKUP(VLOOKUP($BJ4,坦克个性化设定!$B$18:$E$48,4,FALSE)&amp;$BK4,坦克属性分配比例,MATCH("升星次数",坦克属性分配比例标头,0),FALSE)*(VLOOKUP(VLOOKUP($BJ4,坦克个性化设定!$B$18:$E$48,4,FALSE)&amp;$BK4,坦克属性分配比例,MATCH("升星比例",坦克属性分配比例标头,0),FALSE)+VLOOKUP(VLOOKUP($BJ4,坦克个性化设定!$B$18:$E$48,4,FALSE)&amp;$BK4,坦克属性分配比例,MATCH("部件比例",坦克属性分配比例标头,0),FALSE)*$C$3),0)</f>
        <v>329</v>
      </c>
      <c r="BP4" s="103">
        <f ca="1">ROUND(VLOOKUP($BJ4&amp;"初始",$S$3:$AE$63,MATCH(BP$3,$S$3:$AE$3,0),FALSE)+(VLOOKUP($BJ4&amp;"最终",$S$3:$AE$63,MATCH(BP$3,$S$3:$AE$3,0),FALSE)-VLOOKUP($BJ4&amp;"初始",$S$3:$AE$63,MATCH(BP$3,$S$3:$AE$3,0),FALSE))*$BL4/VLOOKUP(VLOOKUP($BJ4,坦克个性化设定!$B$18:$E$48,4,FALSE)&amp;$BK4,坦克属性分配比例,MATCH("升星次数",坦克属性分配比例标头,0),FALSE)*(VLOOKUP(VLOOKUP($BJ4,坦克个性化设定!$B$18:$E$48,4,FALSE)&amp;$BK4,坦克属性分配比例,MATCH("升星比例",坦克属性分配比例标头,0),FALSE)+VLOOKUP(VLOOKUP($BJ4,坦克个性化设定!$B$18:$E$48,4,FALSE)&amp;$BK4,坦克属性分配比例,MATCH("部件比例",坦克属性分配比例标头,0),FALSE)*$C$3),0)</f>
        <v>131</v>
      </c>
      <c r="BQ4" s="103">
        <f ca="1">ROUND(VLOOKUP($BJ4&amp;"初始",$S$3:$AE$63,MATCH(BQ$3,$S$3:$AE$3,0),FALSE)+(VLOOKUP($BJ4&amp;"最终",$S$3:$AE$63,MATCH(BQ$3,$S$3:$AE$3,0),FALSE)-VLOOKUP($BJ4&amp;"初始",$S$3:$AE$63,MATCH(BQ$3,$S$3:$AE$3,0),FALSE))*$BL4/VLOOKUP(VLOOKUP($BJ4,坦克个性化设定!$B$18:$E$48,4,FALSE)&amp;$BK4,坦克属性分配比例,MATCH("升星次数",坦克属性分配比例标头,0),FALSE)*VLOOKUP(VLOOKUP($BJ4,坦克个性化设定!$B$18:$E$48,4,FALSE)&amp;$BK4,坦克属性分配比例,MATCH("升星比例",坦克属性分配比例标头,0),FALSE),0)</f>
        <v>300</v>
      </c>
      <c r="BR4" s="2">
        <f ca="1">ROUND(VLOOKUP($BJ4&amp;"初始",$S$3:$AE$63,MATCH(BR$3,$S$3:$AE$3,0),FALSE)+(VLOOKUP($BJ4&amp;"最终",$S$3:$AE$63,MATCH(BR$3,$S$3:$AE$3,0),FALSE)-VLOOKUP($BJ4&amp;"初始",$S$3:$AE$63,MATCH(BR$3,$S$3:$AE$3,0),FALSE))*$BL4/VLOOKUP(VLOOKUP($BJ4,坦克个性化设定!$B$18:$E$48,4,FALSE)&amp;$BK4,坦克属性分配比例,MATCH("升星次数",坦克属性分配比例标头,0),FALSE),0)</f>
        <v>80</v>
      </c>
      <c r="BS4" s="2">
        <f>ROUND(VLOOKUP($BJ4,$AI$3:$AO$33,MATCH(BS$3,$AI$3:$AO$3,0),FALSE)+$BL4/VLOOKUP(VLOOKUP($BJ4,坦克个性化设定!$B$18:$E$48,4,FALSE)&amp;$BK4,坦克属性分配比例,MATCH("升星次数",坦克属性分配比例标头,0),FALSE)*VLOOKUP($BJ4,$AR$3:$AY$33,MATCH(BS$3,$AR$3:$AY$3,0),FALSE),1)</f>
        <v>47.1</v>
      </c>
      <c r="BT4" s="2">
        <f>ROUND(VLOOKUP($BJ4,$AI$3:$AO$33,MATCH(BT$3,$AI$3:$AO$3,0),FALSE)+$BL4/VLOOKUP(VLOOKUP($BJ4,坦克个性化设定!$B$18:$E$48,4,FALSE)&amp;$BK4,坦克属性分配比例,MATCH("升星次数",坦克属性分配比例标头,0),FALSE)*VLOOKUP($BJ4,$AR$3:$AY$33,MATCH(BT$3,$AR$3:$AY$3,0),FALSE),1)</f>
        <v>45</v>
      </c>
      <c r="BU4" s="2">
        <f>ROUND(VLOOKUP($BJ4,$AI$3:$AO$33,MATCH(BU$3,$AI$3:$AO$3,0),FALSE)+$BL4/VLOOKUP(VLOOKUP($BJ4,坦克个性化设定!$B$18:$E$48,4,FALSE)&amp;$BK4,坦克属性分配比例,MATCH("升星次数",坦克属性分配比例标头,0),FALSE)*VLOOKUP($BJ4,$AR$3:$AY$33,MATCH(BU$3,$AR$3:$AY$3,0),FALSE),1)</f>
        <v>10.5</v>
      </c>
      <c r="BV4" s="2">
        <f>IF(VLOOKUP(BJ4,坦克个性化设定!$B$18:$BC$48,MATCH("装弹类型",坦克个性化设定!$B$18:$BC$18,0),FALSE)="弹夹换弹",0,ROUND(VLOOKUP($BJ4,$AI$3:$AO$33,MATCH("换弹时间",$AI$3:$AO$3,0),FALSE)-$BL4/VLOOKUP(VLOOKUP($BJ4,坦克个性化设定!$B$18:$E$48,4,FALSE)&amp;$BK4,坦克属性分配比例,MATCH("升星次数",坦克属性分配比例标头,0),FALSE)*VLOOKUP($BJ4,$AR$3:$AY$33,MATCH("换弹时间",$AR$3:$AY$3,0),FALSE),2))</f>
        <v>0</v>
      </c>
      <c r="BW4" s="2">
        <f>IF(VLOOKUP(BJ4,坦克个性化设定!$B$18:$BC$48,MATCH("装弹类型",坦克个性化设定!$B$18:$BC$18,0),FALSE)="弹夹换弹",ROUND(VLOOKUP($BJ4,$AI$3:$AO$33,MATCH("换弹时间",$AI$3:$AO$3,0),FALSE)-$BL4/VLOOKUP(VLOOKUP($BJ4,坦克个性化设定!$B$18:$E$48,4,FALSE)&amp;$BK4,坦克属性分配比例,MATCH("升星次数",坦克属性分配比例标头,0),FALSE)*VLOOKUP($BJ4,$AR$3:$AY$33,MATCH("换弹时间",$AR$3:$AY$3,0),FALSE),1),0)</f>
        <v>7.6</v>
      </c>
      <c r="BX4" s="2">
        <f>ROUND(VLOOKUP($BJ4,$AI$3:$AO$33,MATCH(BX$3,$AI$3:$AO$3,0),FALSE)+$BL4/VLOOKUP(VLOOKUP($BJ4,坦克个性化设定!$B$18:$E$48,4,FALSE)&amp;$BK4,坦克属性分配比例,MATCH("升星次数",坦克属性分配比例标头,0),FALSE)*VLOOKUP($BJ4,$AR$3:$AY$33,MATCH(BX$3,$AR$3:$AY$3,0),FALSE),2)</f>
        <v>0.6</v>
      </c>
      <c r="BY4" s="2">
        <f>ROUND(VLOOKUP($BJ4,$AI$3:$AO$33,MATCH(BY$3,$AI$3:$AO$3,0),FALSE)-$BL4/VLOOKUP(VLOOKUP($BJ4,坦克个性化设定!$B$18:$E$48,4,FALSE)&amp;$BK4,坦克属性分配比例,MATCH("升星次数",坦克属性分配比例标头,0),FALSE)*VLOOKUP($BJ4,$AR$3:$AY$33,MATCH(BY$3,$AR$3:$AY$3,0),FALSE),2)</f>
        <v>0.38</v>
      </c>
      <c r="CA4" s="2">
        <v>1</v>
      </c>
      <c r="CB4" s="2" t="str">
        <f>VLOOKUP(CA4,$B$5:$C$35,2,FALSE)</f>
        <v>雷诺FT</v>
      </c>
      <c r="CC4" s="2" t="str">
        <f>VLOOKUP(CB4,坦克个性化设定!$B$18:$F$48,5,FALSE)</f>
        <v>轻坦弹夹</v>
      </c>
      <c r="CD4" s="29" t="str">
        <f>VLOOKUP(CB4,坦克个性化细分!$I$3:$J$33,2,FALSE)</f>
        <v>低</v>
      </c>
      <c r="CE4" s="42">
        <f ca="1">(VLOOKUP($CB4&amp;"最终",$S$3:$AE$63,MATCH(CE$3,$S$3:$AE$3,0),FALSE)-VLOOKUP($CB4&amp;"初始",$S$3:$AE$63,MATCH(CE$3,$S$3:$AE$3,0),FALSE))*VLOOKUP(VLOOKUP($CB4,坦克个性化设定!$B$18:$E$48,4,FALSE)&amp;$CD4,坦克属性分配比例,MATCH("部件比例",坦克属性分配比例标头,0),FALSE)</f>
        <v>139.22360290029155</v>
      </c>
      <c r="CF4" s="42">
        <f ca="1">(VLOOKUP($CB4&amp;"最终",$S$3:$AE$63,MATCH(CF$3,$S$3:$AE$3,0),FALSE)-VLOOKUP($CB4&amp;"初始",$S$3:$AE$63,MATCH(CF$3,$S$3:$AE$3,0),FALSE))*VLOOKUP(VLOOKUP($CB4,坦克个性化设定!$B$18:$E$48,4,FALSE)&amp;$CD4,坦克属性分配比例,MATCH("部件比例",坦克属性分配比例标头,0),FALSE)</f>
        <v>5.0362675146476095</v>
      </c>
      <c r="CG4" s="42">
        <f ca="1">(VLOOKUP($CB4&amp;"最终",$S$3:$AE$63,MATCH(CG$3,$S$3:$AE$3,0),FALSE)-VLOOKUP($CB4&amp;"初始",$S$3:$AE$63,MATCH(CG$3,$S$3:$AE$3,0),FALSE))*VLOOKUP(VLOOKUP($CB4,坦克个性化设定!$B$18:$E$48,4,FALSE)&amp;$CD4,坦克属性分配比例,MATCH("部件比例",坦克属性分配比例标头,0),FALSE)*(1-$C$3)</f>
        <v>11.76</v>
      </c>
      <c r="CH4" s="42">
        <f ca="1">(VLOOKUP($CB4&amp;"最终",$S$3:$AE$63,MATCH(CH$3,$S$3:$AE$3,0),FALSE)-VLOOKUP($CB4&amp;"初始",$S$3:$AE$63,MATCH(CH$3,$S$3:$AE$3,0),FALSE))*VLOOKUP(VLOOKUP($CB4,坦克个性化设定!$B$18:$E$48,4,FALSE)&amp;$CD4,坦克属性分配比例,MATCH("部件比例",坦克属性分配比例标头,0),FALSE)*(1-$C$3)</f>
        <v>4.8000000000000007</v>
      </c>
      <c r="CI4" s="42">
        <f ca="1">(VLOOKUP($CB4&amp;"最终",$S$3:$AE$63,MATCH(CI$3,$S$3:$AE$3,0),FALSE)-VLOOKUP($CB4&amp;"初始",$S$3:$AE$63,MATCH(CI$3,$S$3:$AE$3,0),FALSE))*VLOOKUP(VLOOKUP($CB4,坦克个性化设定!$B$18:$E$48,4,FALSE)&amp;$CD4,坦克属性分配比例,MATCH("部件比例",坦克属性分配比例标头,0),FALSE)</f>
        <v>27</v>
      </c>
    </row>
    <row r="5" spans="2:87" x14ac:dyDescent="0.3">
      <c r="B5" s="2" t="s">
        <v>598</v>
      </c>
      <c r="C5" s="2" t="s">
        <v>599</v>
      </c>
      <c r="D5" s="2" t="s">
        <v>569</v>
      </c>
      <c r="E5" s="2" t="s">
        <v>600</v>
      </c>
      <c r="F5" s="2" t="s">
        <v>601</v>
      </c>
      <c r="G5" s="25"/>
      <c r="H5" s="2" t="str">
        <f>坦克等级成长!B14&amp;坦克等级成长!C14</f>
        <v>T2低</v>
      </c>
      <c r="I5" s="2">
        <v>7</v>
      </c>
      <c r="J5" s="2">
        <f>坦克等级成长!J14</f>
        <v>1.2</v>
      </c>
      <c r="K5" s="2">
        <f>坦克等级成长!K14</f>
        <v>1.7</v>
      </c>
      <c r="L5" s="2">
        <f>坦克等级成长!E14</f>
        <v>4</v>
      </c>
      <c r="M5" s="2">
        <f>IFERROR(VLOOKUP(L5,坦克部件!$N$3:$R$9,5,FALSE),VLOOKUP(L5-1,坦克部件!$N$3:$R$9,5,FALSE))</f>
        <v>0.25700000000000001</v>
      </c>
      <c r="N5" s="2">
        <f t="shared" si="0"/>
        <v>0.30840000000000001</v>
      </c>
      <c r="O5" s="161">
        <f t="shared" si="1"/>
        <v>0.65</v>
      </c>
      <c r="P5" s="154">
        <v>0.35</v>
      </c>
      <c r="Q5" s="162"/>
      <c r="R5" s="25"/>
      <c r="S5" s="2" t="str">
        <f t="shared" si="2"/>
        <v>雷诺FT最终</v>
      </c>
      <c r="T5" s="2">
        <f>IF(COUNTIF(U$4:U4,U4)&gt;=$B$3,T4+1,T4)</f>
        <v>1</v>
      </c>
      <c r="U5" s="2" t="str">
        <f t="shared" si="3"/>
        <v>雷诺FT</v>
      </c>
      <c r="V5" s="2" t="str">
        <f>VLOOKUP(U5,坦克个性化设定!$B$18:$F$48,5,FALSE)</f>
        <v>轻坦弹夹</v>
      </c>
      <c r="W5" s="29" t="str">
        <f>VLOOKUP(U5,坦克个性化细分!$I$3:$J$33,2,FALSE)</f>
        <v>低</v>
      </c>
      <c r="X5" s="21" t="s">
        <v>778</v>
      </c>
      <c r="Y5" s="2" t="str">
        <f>VLOOKUP(VLOOKUP(U5,坦克个性化设定!$B$18:$F$48,4,FALSE)&amp;W5,坦克等级成长!$P$12:$U$24,MATCH(X5,坦克等级成长!$P$12:$U$12,0),FALSE)</f>
        <v>T1低3</v>
      </c>
      <c r="Z5" s="42">
        <f ca="1">VLOOKUP($Y5,INDIRECT($V5&amp;"_阶段属性"),MATCH(Z$3,属性标头_阶段属性,0),FALSE)*VLOOKUP($U5,坦克个性化设定!$B$84:$D$114,2,FALSE)</f>
        <v>1096.9132349719944</v>
      </c>
      <c r="AA5" s="42">
        <f ca="1">VLOOKUP($Y5,INDIRECT($V5&amp;"_阶段属性"),MATCH(AA$3,属性标头_阶段属性,0),FALSE)*VLOOKUP($U5,坦克个性化设定!$B$84:$D$114,3,FALSE)</f>
        <v>73.145790093691474</v>
      </c>
      <c r="AB5" s="2">
        <f t="shared" ca="1" si="4"/>
        <v>427</v>
      </c>
      <c r="AC5" s="2">
        <f t="shared" ca="1" si="4"/>
        <v>171</v>
      </c>
      <c r="AD5" s="2">
        <f t="shared" ca="1" si="4"/>
        <v>390</v>
      </c>
      <c r="AE5" s="2">
        <f t="shared" ca="1" si="4"/>
        <v>104</v>
      </c>
      <c r="AF5" s="25"/>
      <c r="AH5" s="2">
        <v>2</v>
      </c>
      <c r="AI5" s="2" t="str">
        <f t="shared" si="5"/>
        <v>二号</v>
      </c>
      <c r="AJ5" s="2">
        <f>VLOOKUP($AI5,坦克个性化细分!$I$3:$P$33,MATCH(AJ$3,坦克个性化细分!$I$3:$P$3,0),FALSE)</f>
        <v>47.1</v>
      </c>
      <c r="AK5" s="2">
        <f>VLOOKUP($AI5,坦克个性化细分!$I$3:$P$33,MATCH(AK$3,坦克个性化细分!$I$3:$P$3,0),FALSE)</f>
        <v>45</v>
      </c>
      <c r="AL5" s="2">
        <f>VLOOKUP($AI5,坦克个性化细分!$I$3:$P$33,MATCH(AL$3,坦克个性化细分!$I$3:$P$3,0),FALSE)</f>
        <v>10.5</v>
      </c>
      <c r="AM5" s="34">
        <f>VLOOKUP(AI5,坦克个性化细分!$AA$3:$AP$33,MATCH("射击偏移角",坦克个性化细分!$AA$3:$AP$3,0),FALSE)/VLOOKUP(AI5,坦克个性化细分!$AA$3:$AP$33,MATCH("原瞄准速度",坦克个性化细分!$AA$3:$AP$3,0),FALSE)</f>
        <v>0.3666666666666667</v>
      </c>
      <c r="AN5" s="34">
        <f>VLOOKUP(AI5,坦克个性化细分!$AA$3:$AP$33,MATCH(AN$3,坦克个性化细分!$AA$3:$AP$3,0),FALSE)</f>
        <v>0.60000000000000009</v>
      </c>
      <c r="AO5" s="2">
        <f>VLOOKUP(AI5,坦克个性化细分!$AA$3:$AP$33,MATCH("原换弹时间",坦克个性化细分!$AA$3:$AP$3,0),FALSE)</f>
        <v>11.2</v>
      </c>
      <c r="AP5" s="132"/>
      <c r="AQ5" s="2">
        <v>2</v>
      </c>
      <c r="AR5" s="2" t="str">
        <f t="shared" si="6"/>
        <v>二号</v>
      </c>
      <c r="AS5" s="2" t="s">
        <v>78</v>
      </c>
      <c r="AT5" s="34">
        <f>VLOOKUP(AR5,坦克个性化细分!$I$3:$P$33,MATCH("养成区间1",坦克个性化细分!$I$3:$P$3,0),FALSE)</f>
        <v>11.774999999999997</v>
      </c>
      <c r="AU5" s="2">
        <f>VLOOKUP(AR5,坦克个性化细分!$I$3:$P$33,MATCH("养成区间2",坦克个性化细分!$I$3:$P$3,0),FALSE)</f>
        <v>11.249999999999998</v>
      </c>
      <c r="AV5" s="2">
        <f>VLOOKUP(AR5,坦克个性化细分!$I$3:$P$33,MATCH("养成区间3",坦克个性化细分!$I$3:$P$3,0),FALSE)</f>
        <v>0</v>
      </c>
      <c r="AW5" s="34">
        <f>VLOOKUP(AR5,坦克个性化细分!$AA$3:$AP$33,MATCH("瞄准区间",坦克个性化细分!$AA$3:$AP$3,0),FALSE)</f>
        <v>6.1111111111111116E-2</v>
      </c>
      <c r="AX5" s="34">
        <f>VLOOKUP(AI5,坦克个性化细分!$AA$3:$AP$33,MATCH("后射击间隔",坦克个性化细分!$AA$3:$AP$3,0),FALSE)-VLOOKUP(AI5,坦克个性化细分!$AA$3:$AP$33,MATCH(AN$3,坦克个性化细分!$AA$3:$AP$3,0),FALSE)</f>
        <v>0</v>
      </c>
      <c r="AY5" s="34">
        <f>VLOOKUP(AR5,坦克个性化细分!$AA$3:$AP$33,MATCH("换弹区间",坦克个性化细分!$AA$3:$AP$3,0),FALSE)</f>
        <v>4.0716599190283347</v>
      </c>
      <c r="AZ5" s="132"/>
      <c r="BA5" s="34">
        <f t="shared" ref="BA5:BA33" si="8">AT5/AJ5</f>
        <v>0.24999999999999992</v>
      </c>
      <c r="BB5" s="34">
        <f t="shared" ref="BB5:BB33" si="9">AU5/AK5</f>
        <v>0.24999999999999997</v>
      </c>
      <c r="BC5" s="34">
        <f t="shared" ref="BC5:BC33" si="10">AV5/AL5</f>
        <v>0</v>
      </c>
      <c r="BD5" s="34">
        <f t="shared" ref="BD5:BD33" si="11">AW5/AM5</f>
        <v>0.16666666666666666</v>
      </c>
      <c r="BE5" s="34">
        <f t="shared" ref="BE5:BE33" si="12">AY5/AO5</f>
        <v>0.36354106419895849</v>
      </c>
      <c r="BF5" s="34"/>
      <c r="BG5" s="132"/>
      <c r="BH5" s="2" t="str">
        <f t="shared" ref="BH5:BH68" si="13">BJ5&amp;BL5</f>
        <v>雷诺FT1</v>
      </c>
      <c r="BI5" s="2">
        <f>IF(BL4&gt;=VLOOKUP(VLOOKUP(BJ4,坦克个性化设定!$B$18:$E$48,4,FALSE)&amp;BK4,坦克属性分配比例,MATCH("升星次数",坦克属性分配比例标头,0),FALSE),BI4+1,BI4)</f>
        <v>1</v>
      </c>
      <c r="BJ5" s="2" t="str">
        <f t="shared" ref="BJ5:BJ68" si="14">VLOOKUP(BI5,$B$5:$C$35,2,FALSE)</f>
        <v>雷诺FT</v>
      </c>
      <c r="BK5" s="29" t="str">
        <f>VLOOKUP(BJ5,坦克个性化细分!$I$3:$J$33,2,FALSE)</f>
        <v>低</v>
      </c>
      <c r="BL5" s="2">
        <f t="shared" si="7"/>
        <v>1</v>
      </c>
      <c r="BM5" s="103">
        <f ca="1">ROUND(VLOOKUP($BJ5&amp;"初始",$S$3:$AE$63,MATCH(BM$3,$S$3:$AE$3,0),FALSE)+((VLOOKUP($BJ5&amp;"最终",$S$3:$AE$63,MATCH(BM$3,$S$3:$AE$3,0),FALSE)*坦克个性化细分!$C$9-VLOOKUP($BJ5&amp;"初始",$S$3:$AE$63,MATCH(BM$3,$S$3:$AE$3,0),FALSE))-(VLOOKUP($BJ5&amp;"最终",$S$3:$AE$63,MATCH(BM$3,$S$3:$AE$3,0),FALSE)-VLOOKUP($BJ5&amp;"初始",$S$3:$AE$63,MATCH(BM$3,$S$3:$AE$3,0),FALSE))*VLOOKUP(VLOOKUP($BJ5,坦克个性化设定!$B$18:$E$48,4,FALSE)&amp;$BK5,坦克属性分配比例,MATCH("部件比例",坦克属性分配比例标头,0),FALSE))*$BL5/VLOOKUP(VLOOKUP($BJ5,坦克个性化设定!$B$18:$E$48,4,FALSE)&amp;$BK5,坦克属性分配比例,MATCH("升星次数",坦克属性分配比例标头,0),FALSE),0)</f>
        <v>731</v>
      </c>
      <c r="BN5" s="103">
        <f ca="1">ROUND(VLOOKUP($BJ5&amp;"初始",$S$3:$AE$63,MATCH(BN$3,$S$3:$AE$3,0),FALSE)+(VLOOKUP($BJ5&amp;"最终",$S$3:$AE$63,MATCH(BN$3,$S$3:$AE$3,0),FALSE)-VLOOKUP($BJ5&amp;"初始",$S$3:$AE$63,MATCH(BN$3,$S$3:$AE$3,0),FALSE))*$BL5/VLOOKUP(VLOOKUP($BJ5,坦克个性化设定!$B$18:$E$48,4,FALSE)&amp;$BK5,坦克属性分配比例,MATCH("升星次数",坦克属性分配比例标头,0),FALSE)*VLOOKUP(VLOOKUP($BJ5,坦克个性化设定!$B$18:$E$48,4,FALSE)&amp;$BK5,坦克属性分配比例,MATCH("升星比例",坦克属性分配比例标头,0),FALSE),0)</f>
        <v>59</v>
      </c>
      <c r="BO5" s="103">
        <f ca="1">ROUND(VLOOKUP($BJ5&amp;"初始",$S$3:$AE$63,MATCH(BO$3,$S$3:$AE$3,0),FALSE)+(VLOOKUP($BJ5&amp;"最终",$S$3:$AE$63,MATCH(BO$3,$S$3:$AE$3,0),FALSE)-VLOOKUP($BJ5&amp;"初始",$S$3:$AE$63,MATCH(BO$3,$S$3:$AE$3,0),FALSE))*$BL5/VLOOKUP(VLOOKUP($BJ5,坦克个性化设定!$B$18:$E$48,4,FALSE)&amp;$BK5,坦克属性分配比例,MATCH("升星次数",坦克属性分配比例标头,0),FALSE)*(VLOOKUP(VLOOKUP($BJ5,坦克个性化设定!$B$18:$E$48,4,FALSE)&amp;$BK5,坦克属性分配比例,MATCH("升星比例",坦克属性分配比例标头,0),FALSE)+VLOOKUP(VLOOKUP($BJ5,坦克个性化设定!$B$18:$E$48,4,FALSE)&amp;$BK5,坦克属性分配比例,MATCH("部件比例",坦克属性分配比例标头,0),FALSE)*$C$3),0)</f>
        <v>346</v>
      </c>
      <c r="BP5" s="103">
        <f ca="1">ROUND(VLOOKUP($BJ5&amp;"初始",$S$3:$AE$63,MATCH(BP$3,$S$3:$AE$3,0),FALSE)+(VLOOKUP($BJ5&amp;"最终",$S$3:$AE$63,MATCH(BP$3,$S$3:$AE$3,0),FALSE)-VLOOKUP($BJ5&amp;"初始",$S$3:$AE$63,MATCH(BP$3,$S$3:$AE$3,0),FALSE))*$BL5/VLOOKUP(VLOOKUP($BJ5,坦克个性化设定!$B$18:$E$48,4,FALSE)&amp;$BK5,坦克属性分配比例,MATCH("升星次数",坦克属性分配比例标头,0),FALSE)*(VLOOKUP(VLOOKUP($BJ5,坦克个性化设定!$B$18:$E$48,4,FALSE)&amp;$BK5,坦克属性分配比例,MATCH("升星比例",坦克属性分配比例标头,0),FALSE)+VLOOKUP(VLOOKUP($BJ5,坦克个性化设定!$B$18:$E$48,4,FALSE)&amp;$BK5,坦克属性分配比例,MATCH("部件比例",坦克属性分配比例标头,0),FALSE)*$C$3),0)</f>
        <v>138</v>
      </c>
      <c r="BQ5" s="103">
        <f ca="1">ROUND(VLOOKUP($BJ5&amp;"初始",$S$3:$AE$63,MATCH(BQ$3,$S$3:$AE$3,0),FALSE)+(VLOOKUP($BJ5&amp;"最终",$S$3:$AE$63,MATCH(BQ$3,$S$3:$AE$3,0),FALSE)-VLOOKUP($BJ5&amp;"初始",$S$3:$AE$63,MATCH(BQ$3,$S$3:$AE$3,0),FALSE))*$BL5/VLOOKUP(VLOOKUP($BJ5,坦克个性化设定!$B$18:$E$48,4,FALSE)&amp;$BK5,坦克属性分配比例,MATCH("升星次数",坦克属性分配比例标头,0),FALSE)*VLOOKUP(VLOOKUP($BJ5,坦克个性化设定!$B$18:$E$48,4,FALSE)&amp;$BK5,坦克属性分配比例,MATCH("升星比例",坦克属性分配比例标头,0),FALSE),0)</f>
        <v>313</v>
      </c>
      <c r="BR5" s="2">
        <f ca="1">ROUND(VLOOKUP($BJ5&amp;"初始",$S$3:$AE$63,MATCH(BR$3,$S$3:$AE$3,0),FALSE)+(VLOOKUP($BJ5&amp;"最终",$S$3:$AE$63,MATCH(BR$3,$S$3:$AE$3,0),FALSE)-VLOOKUP($BJ5&amp;"初始",$S$3:$AE$63,MATCH(BR$3,$S$3:$AE$3,0),FALSE))*$BL5/VLOOKUP(VLOOKUP($BJ5,坦克个性化设定!$B$18:$E$48,4,FALSE)&amp;$BK5,坦克属性分配比例,MATCH("升星次数",坦克属性分配比例标头,0),FALSE),0)</f>
        <v>85</v>
      </c>
      <c r="BS5" s="2">
        <f>ROUND(VLOOKUP($BJ5,$AI$3:$AO$33,MATCH(BS$3,$AI$3:$AO$3,0),FALSE)+$BL5/VLOOKUP(VLOOKUP($BJ5,坦克个性化设定!$B$18:$E$48,4,FALSE)&amp;$BK5,坦克属性分配比例,MATCH("升星次数",坦克属性分配比例标头,0),FALSE)*VLOOKUP($BJ5,$AR$3:$AY$33,MATCH(BS$3,$AR$3:$AY$3,0),FALSE),1)</f>
        <v>49.5</v>
      </c>
      <c r="BT5" s="2">
        <f>ROUND(VLOOKUP($BJ5,$AI$3:$AO$33,MATCH(BT$3,$AI$3:$AO$3,0),FALSE)+$BL5/VLOOKUP(VLOOKUP($BJ5,坦克个性化设定!$B$18:$E$48,4,FALSE)&amp;$BK5,坦克属性分配比例,MATCH("升星次数",坦克属性分配比例标头,0),FALSE)*VLOOKUP($BJ5,$AR$3:$AY$33,MATCH(BT$3,$AR$3:$AY$3,0),FALSE),1)</f>
        <v>47.3</v>
      </c>
      <c r="BU5" s="2">
        <f>ROUND(VLOOKUP($BJ5,$AI$3:$AO$33,MATCH(BU$3,$AI$3:$AO$3,0),FALSE)+$BL5/VLOOKUP(VLOOKUP($BJ5,坦克个性化设定!$B$18:$E$48,4,FALSE)&amp;$BK5,坦克属性分配比例,MATCH("升星次数",坦克属性分配比例标头,0),FALSE)*VLOOKUP($BJ5,$AR$3:$AY$33,MATCH(BU$3,$AR$3:$AY$3,0),FALSE),1)</f>
        <v>10.5</v>
      </c>
      <c r="BV5" s="2">
        <f>IF(VLOOKUP(BJ5,坦克个性化设定!$B$18:$BC$48,MATCH("装弹类型",坦克个性化设定!$B$18:$BC$18,0),FALSE)="弹夹换弹",0,ROUND(VLOOKUP($BJ5,$AI$3:$AO$33,MATCH("换弹时间",$AI$3:$AO$3,0),FALSE)-$BL5/VLOOKUP(VLOOKUP($BJ5,坦克个性化设定!$B$18:$E$48,4,FALSE)&amp;$BK5,坦克属性分配比例,MATCH("升星次数",坦克属性分配比例标头,0),FALSE)*VLOOKUP($BJ5,$AR$3:$AY$33,MATCH("换弹时间",$AR$3:$AY$3,0),FALSE),2))</f>
        <v>0</v>
      </c>
      <c r="BW5" s="2">
        <f>IF(VLOOKUP(BJ5,坦克个性化设定!$B$18:$BC$48,MATCH("装弹类型",坦克个性化设定!$B$18:$BC$18,0),FALSE)="弹夹换弹",ROUND(VLOOKUP($BJ5,$AI$3:$AO$33,MATCH("换弹时间",$AI$3:$AO$3,0),FALSE)-$BL5/VLOOKUP(VLOOKUP($BJ5,坦克个性化设定!$B$18:$E$48,4,FALSE)&amp;$BK5,坦克属性分配比例,MATCH("升星次数",坦克属性分配比例标头,0),FALSE)*VLOOKUP($BJ5,$AR$3:$AY$33,MATCH("换弹时间",$AR$3:$AY$3,0),FALSE),1),0)</f>
        <v>8.5</v>
      </c>
      <c r="BX5" s="2">
        <f>ROUND(VLOOKUP($BJ5,$AI$3:$AO$33,MATCH(BX$3,$AI$3:$AO$3,0),FALSE)+$BL5/VLOOKUP(VLOOKUP($BJ5,坦克个性化设定!$B$18:$E$48,4,FALSE)&amp;$BK5,坦克属性分配比例,MATCH("升星次数",坦克属性分配比例标头,0),FALSE)*VLOOKUP($BJ5,$AR$3:$AY$33,MATCH(BX$3,$AR$3:$AY$3,0),FALSE),2)</f>
        <v>0.53</v>
      </c>
      <c r="BY5" s="2">
        <f>ROUND(VLOOKUP($BJ5,$AI$3:$AO$33,MATCH(BY$3,$AI$3:$AO$3,0),FALSE)-$BL5/VLOOKUP(VLOOKUP($BJ5,坦克个性化设定!$B$18:$E$48,4,FALSE)&amp;$BK5,坦克属性分配比例,MATCH("升星次数",坦克属性分配比例标头,0),FALSE)*VLOOKUP($BJ5,$AR$3:$AY$33,MATCH(BY$3,$AR$3:$AY$3,0),FALSE),2)</f>
        <v>0.36</v>
      </c>
      <c r="CA5" s="2">
        <v>2</v>
      </c>
      <c r="CB5" s="2" t="str">
        <f t="shared" ref="CB5:CB33" si="15">VLOOKUP(CA5,$B$5:$C$35,2,FALSE)</f>
        <v>二号</v>
      </c>
      <c r="CC5" s="2" t="str">
        <f>VLOOKUP(CB5,坦克个性化设定!$B$18:$F$48,5,FALSE)</f>
        <v>轻坦弹夹</v>
      </c>
      <c r="CD5" s="29" t="str">
        <f>VLOOKUP(CB5,坦克个性化细分!$I$3:$J$33,2,FALSE)</f>
        <v>低</v>
      </c>
      <c r="CE5" s="42">
        <f ca="1">(VLOOKUP($CB5&amp;"最终",$S$3:$AE$63,MATCH(CE$3,$S$3:$AE$3,0),FALSE)-VLOOKUP($CB5&amp;"初始",$S$3:$AE$63,MATCH(CE$3,$S$3:$AE$3,0),FALSE))*VLOOKUP(VLOOKUP($CB5,坦克个性化设定!$B$18:$E$48,4,FALSE)&amp;$CD5,坦克属性分配比例,MATCH("部件比例",坦克属性分配比例标头,0),FALSE)</f>
        <v>119.48696815618514</v>
      </c>
      <c r="CF5" s="42">
        <f ca="1">(VLOOKUP($CB5&amp;"最终",$S$3:$AE$63,MATCH(CF$3,$S$3:$AE$3,0),FALSE)-VLOOKUP($CB5&amp;"初始",$S$3:$AE$63,MATCH(CF$3,$S$3:$AE$3,0),FALSE))*VLOOKUP(VLOOKUP($CB5,坦克个性化设定!$B$18:$E$48,4,FALSE)&amp;$CD5,坦克属性分配比例,MATCH("部件比例",坦克属性分配比例标头,0),FALSE)</f>
        <v>10.639992229456423</v>
      </c>
      <c r="CG5" s="42">
        <f ca="1">(VLOOKUP($CB5&amp;"最终",$S$3:$AE$63,MATCH(CG$3,$S$3:$AE$3,0),FALSE)-VLOOKUP($CB5&amp;"初始",$S$3:$AE$63,MATCH(CG$3,$S$3:$AE$3,0),FALSE))*VLOOKUP(VLOOKUP($CB5,坦克个性化设定!$B$18:$E$48,4,FALSE)&amp;$CD5,坦克属性分配比例,MATCH("部件比例",坦克属性分配比例标头,0),FALSE)*(1-$C$3)</f>
        <v>23.099999999999998</v>
      </c>
      <c r="CH5" s="42">
        <f ca="1">(VLOOKUP($CB5&amp;"最终",$S$3:$AE$63,MATCH(CH$3,$S$3:$AE$3,0),FALSE)-VLOOKUP($CB5&amp;"初始",$S$3:$AE$63,MATCH(CH$3,$S$3:$AE$3,0),FALSE))*VLOOKUP(VLOOKUP($CB5,坦克个性化设定!$B$18:$E$48,4,FALSE)&amp;$CD5,坦克属性分配比例,MATCH("部件比例",坦克属性分配比例标头,0),FALSE)*(1-$C$3)</f>
        <v>9.1</v>
      </c>
      <c r="CI5" s="42">
        <f ca="1">(VLOOKUP($CB5&amp;"最终",$S$3:$AE$63,MATCH(CI$3,$S$3:$AE$3,0),FALSE)-VLOOKUP($CB5&amp;"初始",$S$3:$AE$63,MATCH(CI$3,$S$3:$AE$3,0),FALSE))*VLOOKUP(VLOOKUP($CB5,坦克个性化设定!$B$18:$E$48,4,FALSE)&amp;$CD5,坦克属性分配比例,MATCH("部件比例",坦克属性分配比例标头,0),FALSE)</f>
        <v>52.5</v>
      </c>
    </row>
    <row r="6" spans="2:87" x14ac:dyDescent="0.3">
      <c r="B6" s="2">
        <v>1</v>
      </c>
      <c r="C6" s="2" t="str">
        <f>坦克个性化设定!B19</f>
        <v>雷诺FT</v>
      </c>
      <c r="D6" s="2">
        <v>1111</v>
      </c>
      <c r="E6" s="2" t="s">
        <v>603</v>
      </c>
      <c r="F6" s="2">
        <v>1</v>
      </c>
      <c r="G6" s="25" t="str">
        <f>C6</f>
        <v>雷诺FT</v>
      </c>
      <c r="H6" s="2" t="str">
        <f>坦克等级成长!B15&amp;坦克等级成长!C15</f>
        <v>T2中</v>
      </c>
      <c r="I6" s="2">
        <v>7</v>
      </c>
      <c r="J6" s="2">
        <f>坦克等级成长!J15</f>
        <v>1.22</v>
      </c>
      <c r="K6" s="2">
        <f>坦克等级成长!K15</f>
        <v>1.7599999999999998</v>
      </c>
      <c r="L6" s="2">
        <f>坦克等级成长!E15</f>
        <v>4</v>
      </c>
      <c r="M6" s="2">
        <f>IFERROR(VLOOKUP(L6,坦克部件!$N$3:$R$9,5,FALSE),VLOOKUP(L6-1,坦克部件!$N$3:$R$9,5,FALSE))</f>
        <v>0.25700000000000001</v>
      </c>
      <c r="N6" s="2">
        <f t="shared" si="0"/>
        <v>0.31353999999999999</v>
      </c>
      <c r="O6" s="161">
        <f t="shared" si="1"/>
        <v>0.65</v>
      </c>
      <c r="P6" s="154">
        <v>0.35</v>
      </c>
      <c r="Q6" s="162"/>
      <c r="R6" s="25"/>
      <c r="S6" s="2" t="str">
        <f t="shared" si="2"/>
        <v>二号初始</v>
      </c>
      <c r="T6" s="2">
        <f>IF(COUNTIF(U$4:U5,U5)&gt;=$B$3,T5+1,T5)</f>
        <v>2</v>
      </c>
      <c r="U6" s="2" t="str">
        <f t="shared" si="3"/>
        <v>二号</v>
      </c>
      <c r="V6" s="2" t="str">
        <f>VLOOKUP(U6,坦克个性化设定!$B$18:$F$48,5,FALSE)</f>
        <v>轻坦弹夹</v>
      </c>
      <c r="W6" s="29" t="str">
        <f>VLOOKUP(U6,坦克个性化细分!$I$3:$J$33,2,FALSE)</f>
        <v>低</v>
      </c>
      <c r="X6" s="2" t="str">
        <f t="shared" ref="X6:X37" si="16">X4</f>
        <v>初始</v>
      </c>
      <c r="Y6" s="2" t="str">
        <f>VLOOKUP(VLOOKUP(U6,坦克个性化设定!$B$18:$F$48,4,FALSE)&amp;W6,坦克等级成长!$P$12:$U$24,MATCH(X6,坦克等级成长!$P$12:$U$12,0),FALSE)</f>
        <v>T2低2</v>
      </c>
      <c r="Z6" s="42">
        <f ca="1">VLOOKUP($Y6,INDIRECT($V6&amp;"_阶段属性"),MATCH(Z$3,属性标头_阶段属性,0),FALSE)*VLOOKUP($U6,坦克个性化设定!$B$84:$D$114,2,FALSE)</f>
        <v>875.74299642421443</v>
      </c>
      <c r="AA6" s="42">
        <f ca="1">VLOOKUP($Y6,INDIRECT($V6&amp;"_阶段属性"),MATCH(AA$3,属性标头_阶段属性,0),FALSE)*VLOOKUP($U6,坦克个性化设定!$B$84:$D$114,3,FALSE)</f>
        <v>75.339075413542375</v>
      </c>
      <c r="AB6" s="2">
        <f t="shared" ca="1" si="4"/>
        <v>394</v>
      </c>
      <c r="AC6" s="2">
        <f t="shared" ca="1" si="4"/>
        <v>158</v>
      </c>
      <c r="AD6" s="2">
        <f t="shared" ca="1" si="4"/>
        <v>360</v>
      </c>
      <c r="AE6" s="2">
        <f t="shared" ca="1" si="4"/>
        <v>96</v>
      </c>
      <c r="AF6" s="25"/>
      <c r="AH6" s="2">
        <v>3</v>
      </c>
      <c r="AI6" s="2" t="str">
        <f t="shared" si="5"/>
        <v>Puma</v>
      </c>
      <c r="AJ6" s="2">
        <f>VLOOKUP($AI6,坦克个性化细分!$I$3:$P$33,MATCH(AJ$3,坦克个性化细分!$I$3:$P$3,0),FALSE)</f>
        <v>43.3</v>
      </c>
      <c r="AK6" s="2">
        <f>VLOOKUP($AI6,坦克个性化细分!$I$3:$P$33,MATCH(AK$3,坦克个性化细分!$I$3:$P$3,0),FALSE)</f>
        <v>51</v>
      </c>
      <c r="AL6" s="2">
        <f>VLOOKUP($AI6,坦克个性化细分!$I$3:$P$33,MATCH(AL$3,坦克个性化细分!$I$3:$P$3,0),FALSE)</f>
        <v>10.199999999999999</v>
      </c>
      <c r="AM6" s="34">
        <f>VLOOKUP(AI6,坦克个性化细分!$AA$3:$AP$33,MATCH("射击偏移角",坦克个性化细分!$AA$3:$AP$3,0),FALSE)/VLOOKUP(AI6,坦克个性化细分!$AA$3:$AP$33,MATCH("原瞄准速度",坦克个性化细分!$AA$3:$AP$3,0),FALSE)</f>
        <v>0.51666666666666672</v>
      </c>
      <c r="AN6" s="34">
        <f>VLOOKUP(AI6,坦克个性化细分!$AA$3:$AP$33,MATCH(AN$3,坦克个性化细分!$AA$3:$AP$3,0),FALSE)</f>
        <v>0.8</v>
      </c>
      <c r="AO6" s="2">
        <f>VLOOKUP(AI6,坦克个性化细分!$AA$3:$AP$33,MATCH("原换弹时间",坦克个性化细分!$AA$3:$AP$3,0),FALSE)</f>
        <v>4.7249999999999996</v>
      </c>
      <c r="AP6" s="132"/>
      <c r="AQ6" s="2">
        <v>3</v>
      </c>
      <c r="AR6" s="2" t="str">
        <f t="shared" si="6"/>
        <v>Puma</v>
      </c>
      <c r="AS6" s="2" t="s">
        <v>77</v>
      </c>
      <c r="AT6" s="34">
        <f>VLOOKUP(AR6,坦克个性化细分!$I$3:$P$33,MATCH("养成区间1",坦克个性化细分!$I$3:$P$3,0),FALSE)</f>
        <v>10.824999999999996</v>
      </c>
      <c r="AU6" s="2">
        <f>VLOOKUP(AR6,坦克个性化细分!$I$3:$P$33,MATCH("养成区间2",坦克个性化细分!$I$3:$P$3,0),FALSE)</f>
        <v>12.749999999999996</v>
      </c>
      <c r="AV6" s="2">
        <f>VLOOKUP(AR6,坦克个性化细分!$I$3:$P$33,MATCH("养成区间3",坦克个性化细分!$I$3:$P$3,0),FALSE)</f>
        <v>0</v>
      </c>
      <c r="AW6" s="34">
        <f>VLOOKUP(AR6,坦克个性化细分!$AA$3:$AP$33,MATCH("瞄准区间",坦克个性化细分!$AA$3:$AP$3,0),FALSE)</f>
        <v>8.6111111111111138E-2</v>
      </c>
      <c r="AX6" s="34">
        <f>VLOOKUP(AI6,坦克个性化细分!$AA$3:$AP$33,MATCH("后射击间隔",坦克个性化细分!$AA$3:$AP$3,0),FALSE)-VLOOKUP(AI6,坦克个性化细分!$AA$3:$AP$33,MATCH(AN$3,坦克个性化细分!$AA$3:$AP$3,0),FALSE)</f>
        <v>0</v>
      </c>
      <c r="AY6" s="34">
        <f>VLOOKUP(AR6,坦克个性化细分!$AA$3:$AP$33,MATCH("换弹区间",坦克个性化细分!$AA$3:$AP$3,0),FALSE)</f>
        <v>1.7060808142634283</v>
      </c>
      <c r="AZ6" s="132"/>
      <c r="BA6" s="34">
        <f t="shared" si="8"/>
        <v>0.24999999999999992</v>
      </c>
      <c r="BB6" s="34">
        <f t="shared" si="9"/>
        <v>0.24999999999999992</v>
      </c>
      <c r="BC6" s="34">
        <f t="shared" si="10"/>
        <v>0</v>
      </c>
      <c r="BD6" s="34">
        <f t="shared" si="11"/>
        <v>0.16666666666666671</v>
      </c>
      <c r="BE6" s="34">
        <f t="shared" si="12"/>
        <v>0.36107530460601661</v>
      </c>
      <c r="BF6" s="34"/>
      <c r="BG6" s="132"/>
      <c r="BH6" s="2" t="str">
        <f t="shared" si="13"/>
        <v>雷诺FT2</v>
      </c>
      <c r="BI6" s="2">
        <f>IF(BL5&gt;=VLOOKUP(VLOOKUP(BJ5,坦克个性化设定!$B$18:$E$48,4,FALSE)&amp;BK5,坦克属性分配比例,MATCH("升星次数",坦克属性分配比例标头,0),FALSE),BI5+1,BI5)</f>
        <v>1</v>
      </c>
      <c r="BJ6" s="2" t="str">
        <f t="shared" si="14"/>
        <v>雷诺FT</v>
      </c>
      <c r="BK6" s="29" t="str">
        <f>VLOOKUP(BJ6,坦克个性化细分!$I$3:$J$33,2,FALSE)</f>
        <v>低</v>
      </c>
      <c r="BL6" s="2">
        <f t="shared" si="7"/>
        <v>2</v>
      </c>
      <c r="BM6" s="103">
        <f ca="1">ROUND(VLOOKUP($BJ6&amp;"初始",$S$3:$AE$63,MATCH(BM$3,$S$3:$AE$3,0),FALSE)+((VLOOKUP($BJ6&amp;"最终",$S$3:$AE$63,MATCH(BM$3,$S$3:$AE$3,0),FALSE)*坦克个性化细分!$C$9-VLOOKUP($BJ6&amp;"初始",$S$3:$AE$63,MATCH(BM$3,$S$3:$AE$3,0),FALSE))-(VLOOKUP($BJ6&amp;"最终",$S$3:$AE$63,MATCH(BM$3,$S$3:$AE$3,0),FALSE)-VLOOKUP($BJ6&amp;"初始",$S$3:$AE$63,MATCH(BM$3,$S$3:$AE$3,0),FALSE))*VLOOKUP(VLOOKUP($BJ6,坦克个性化设定!$B$18:$E$48,4,FALSE)&amp;$BK6,坦克属性分配比例,MATCH("部件比例",坦克属性分配比例标头,0),FALSE))*$BL6/VLOOKUP(VLOOKUP($BJ6,坦克个性化设定!$B$18:$E$48,4,FALSE)&amp;$BK6,坦克属性分配比例,MATCH("升星次数",坦克属性分配比例标头,0),FALSE),0)</f>
        <v>829</v>
      </c>
      <c r="BN6" s="103">
        <f ca="1">ROUND(VLOOKUP($BJ6&amp;"初始",$S$3:$AE$63,MATCH(BN$3,$S$3:$AE$3,0),FALSE)+(VLOOKUP($BJ6&amp;"最终",$S$3:$AE$63,MATCH(BN$3,$S$3:$AE$3,0),FALSE)-VLOOKUP($BJ6&amp;"初始",$S$3:$AE$63,MATCH(BN$3,$S$3:$AE$3,0),FALSE))*$BL6/VLOOKUP(VLOOKUP($BJ6,坦克个性化设定!$B$18:$E$48,4,FALSE)&amp;$BK6,坦克属性分配比例,MATCH("升星次数",坦克属性分配比例标头,0),FALSE)*VLOOKUP(VLOOKUP($BJ6,坦克个性化设定!$B$18:$E$48,4,FALSE)&amp;$BK6,坦克属性分配比例,MATCH("升星比例",坦克属性分配比例标头,0),FALSE),0)</f>
        <v>61</v>
      </c>
      <c r="BO6" s="103">
        <f ca="1">ROUND(VLOOKUP($BJ6&amp;"初始",$S$3:$AE$63,MATCH(BO$3,$S$3:$AE$3,0),FALSE)+(VLOOKUP($BJ6&amp;"最终",$S$3:$AE$63,MATCH(BO$3,$S$3:$AE$3,0),FALSE)-VLOOKUP($BJ6&amp;"初始",$S$3:$AE$63,MATCH(BO$3,$S$3:$AE$3,0),FALSE))*$BL6/VLOOKUP(VLOOKUP($BJ6,坦克个性化设定!$B$18:$E$48,4,FALSE)&amp;$BK6,坦克属性分配比例,MATCH("升星次数",坦克属性分配比例标头,0),FALSE)*(VLOOKUP(VLOOKUP($BJ6,坦克个性化设定!$B$18:$E$48,4,FALSE)&amp;$BK6,坦克属性分配比例,MATCH("升星比例",坦克属性分配比例标头,0),FALSE)+VLOOKUP(VLOOKUP($BJ6,坦克个性化设定!$B$18:$E$48,4,FALSE)&amp;$BK6,坦克属性分配比例,MATCH("部件比例",坦克属性分配比例标头,0),FALSE)*$C$3),0)</f>
        <v>363</v>
      </c>
      <c r="BP6" s="103">
        <f ca="1">ROUND(VLOOKUP($BJ6&amp;"初始",$S$3:$AE$63,MATCH(BP$3,$S$3:$AE$3,0),FALSE)+(VLOOKUP($BJ6&amp;"最终",$S$3:$AE$63,MATCH(BP$3,$S$3:$AE$3,0),FALSE)-VLOOKUP($BJ6&amp;"初始",$S$3:$AE$63,MATCH(BP$3,$S$3:$AE$3,0),FALSE))*$BL6/VLOOKUP(VLOOKUP($BJ6,坦克个性化设定!$B$18:$E$48,4,FALSE)&amp;$BK6,坦克属性分配比例,MATCH("升星次数",坦克属性分配比例标头,0),FALSE)*(VLOOKUP(VLOOKUP($BJ6,坦克个性化设定!$B$18:$E$48,4,FALSE)&amp;$BK6,坦克属性分配比例,MATCH("升星比例",坦克属性分配比例标头,0),FALSE)+VLOOKUP(VLOOKUP($BJ6,坦克个性化设定!$B$18:$E$48,4,FALSE)&amp;$BK6,坦克属性分配比例,MATCH("部件比例",坦克属性分配比例标头,0),FALSE)*$C$3),0)</f>
        <v>145</v>
      </c>
      <c r="BQ6" s="103">
        <f ca="1">ROUND(VLOOKUP($BJ6&amp;"初始",$S$3:$AE$63,MATCH(BQ$3,$S$3:$AE$3,0),FALSE)+(VLOOKUP($BJ6&amp;"最终",$S$3:$AE$63,MATCH(BQ$3,$S$3:$AE$3,0),FALSE)-VLOOKUP($BJ6&amp;"初始",$S$3:$AE$63,MATCH(BQ$3,$S$3:$AE$3,0),FALSE))*$BL6/VLOOKUP(VLOOKUP($BJ6,坦克个性化设定!$B$18:$E$48,4,FALSE)&amp;$BK6,坦克属性分配比例,MATCH("升星次数",坦克属性分配比例标头,0),FALSE)*VLOOKUP(VLOOKUP($BJ6,坦克个性化设定!$B$18:$E$48,4,FALSE)&amp;$BK6,坦克属性分配比例,MATCH("升星比例",坦克属性分配比例标头,0),FALSE),0)</f>
        <v>325</v>
      </c>
      <c r="BR6" s="2">
        <f ca="1">ROUND(VLOOKUP($BJ6&amp;"初始",$S$3:$AE$63,MATCH(BR$3,$S$3:$AE$3,0),FALSE)+(VLOOKUP($BJ6&amp;"最终",$S$3:$AE$63,MATCH(BR$3,$S$3:$AE$3,0),FALSE)-VLOOKUP($BJ6&amp;"初始",$S$3:$AE$63,MATCH(BR$3,$S$3:$AE$3,0),FALSE))*$BL6/VLOOKUP(VLOOKUP($BJ6,坦克个性化设定!$B$18:$E$48,4,FALSE)&amp;$BK6,坦克属性分配比例,MATCH("升星次数",坦克属性分配比例标头,0),FALSE),0)</f>
        <v>90</v>
      </c>
      <c r="BS6" s="2">
        <f>ROUND(VLOOKUP($BJ6,$AI$3:$AO$33,MATCH(BS$3,$AI$3:$AO$3,0),FALSE)+$BL6/VLOOKUP(VLOOKUP($BJ6,坦克个性化设定!$B$18:$E$48,4,FALSE)&amp;$BK6,坦克属性分配比例,MATCH("升星次数",坦克属性分配比例标头,0),FALSE)*VLOOKUP($BJ6,$AR$3:$AY$33,MATCH(BS$3,$AR$3:$AY$3,0),FALSE),1)</f>
        <v>51.8</v>
      </c>
      <c r="BT6" s="2">
        <f>ROUND(VLOOKUP($BJ6,$AI$3:$AO$33,MATCH(BT$3,$AI$3:$AO$3,0),FALSE)+$BL6/VLOOKUP(VLOOKUP($BJ6,坦克个性化设定!$B$18:$E$48,4,FALSE)&amp;$BK6,坦克属性分配比例,MATCH("升星次数",坦克属性分配比例标头,0),FALSE)*VLOOKUP($BJ6,$AR$3:$AY$33,MATCH(BT$3,$AR$3:$AY$3,0),FALSE),1)</f>
        <v>49.5</v>
      </c>
      <c r="BU6" s="2">
        <f>ROUND(VLOOKUP($BJ6,$AI$3:$AO$33,MATCH(BU$3,$AI$3:$AO$3,0),FALSE)+$BL6/VLOOKUP(VLOOKUP($BJ6,坦克个性化设定!$B$18:$E$48,4,FALSE)&amp;$BK6,坦克属性分配比例,MATCH("升星次数",坦克属性分配比例标头,0),FALSE)*VLOOKUP($BJ6,$AR$3:$AY$33,MATCH(BU$3,$AR$3:$AY$3,0),FALSE),1)</f>
        <v>10.5</v>
      </c>
      <c r="BV6" s="2">
        <f>IF(VLOOKUP(BJ6,坦克个性化设定!$B$18:$BC$48,MATCH("装弹类型",坦克个性化设定!$B$18:$BC$18,0),FALSE)="弹夹换弹",0,ROUND(VLOOKUP($BJ6,$AI$3:$AO$33,MATCH("换弹时间",$AI$3:$AO$3,0),FALSE)-$BL6/VLOOKUP(VLOOKUP($BJ6,坦克个性化设定!$B$18:$E$48,4,FALSE)&amp;$BK6,坦克属性分配比例,MATCH("升星次数",坦克属性分配比例标头,0),FALSE)*VLOOKUP($BJ6,$AR$3:$AY$33,MATCH("换弹时间",$AR$3:$AY$3,0),FALSE),2))</f>
        <v>0</v>
      </c>
      <c r="BW6" s="2">
        <f>IF(VLOOKUP(BJ6,坦克个性化设定!$B$18:$BC$48,MATCH("装弹类型",坦克个性化设定!$B$18:$BC$18,0),FALSE)="弹夹换弹",ROUND(VLOOKUP($BJ6,$AI$3:$AO$33,MATCH("换弹时间",$AI$3:$AO$3,0),FALSE)-$BL6/VLOOKUP(VLOOKUP($BJ6,坦克个性化设定!$B$18:$E$48,4,FALSE)&amp;$BK6,坦克属性分配比例,MATCH("升星次数",坦克属性分配比例标头,0),FALSE)*VLOOKUP($BJ6,$AR$3:$AY$33,MATCH("换弹时间",$AR$3:$AY$3,0),FALSE),1),0)</f>
        <v>9.4</v>
      </c>
      <c r="BX6" s="2">
        <f>ROUND(VLOOKUP($BJ6,$AI$3:$AO$33,MATCH(BX$3,$AI$3:$AO$3,0),FALSE)+$BL6/VLOOKUP(VLOOKUP($BJ6,坦克个性化设定!$B$18:$E$48,4,FALSE)&amp;$BK6,坦克属性分配比例,MATCH("升星次数",坦克属性分配比例标头,0),FALSE)*VLOOKUP($BJ6,$AR$3:$AY$33,MATCH(BX$3,$AR$3:$AY$3,0),FALSE),2)</f>
        <v>0.46</v>
      </c>
      <c r="BY6" s="2">
        <f>ROUND(VLOOKUP($BJ6,$AI$3:$AO$33,MATCH(BY$3,$AI$3:$AO$3,0),FALSE)-$BL6/VLOOKUP(VLOOKUP($BJ6,坦克个性化设定!$B$18:$E$48,4,FALSE)&amp;$BK6,坦克属性分配比例,MATCH("升星次数",坦克属性分配比例标头,0),FALSE)*VLOOKUP($BJ6,$AR$3:$AY$33,MATCH(BY$3,$AR$3:$AY$3,0),FALSE),2)</f>
        <v>0.35</v>
      </c>
      <c r="CA6" s="2">
        <v>3</v>
      </c>
      <c r="CB6" s="2" t="str">
        <f t="shared" si="15"/>
        <v>Puma</v>
      </c>
      <c r="CC6" s="2" t="str">
        <f>VLOOKUP(CB6,坦克个性化设定!$B$18:$F$48,5,FALSE)</f>
        <v>轻坦弹夹</v>
      </c>
      <c r="CD6" s="29" t="str">
        <f>VLOOKUP(CB6,坦克个性化细分!$I$3:$J$33,2,FALSE)</f>
        <v>中</v>
      </c>
      <c r="CE6" s="42">
        <f ca="1">(VLOOKUP($CB6&amp;"最终",$S$3:$AE$63,MATCH(CE$3,$S$3:$AE$3,0),FALSE)-VLOOKUP($CB6&amp;"初始",$S$3:$AE$63,MATCH(CE$3,$S$3:$AE$3,0),FALSE))*VLOOKUP(VLOOKUP($CB6,坦克个性化设定!$B$18:$E$48,4,FALSE)&amp;$CD6,坦克属性分配比例,MATCH("部件比例",坦克属性分配比例标头,0),FALSE)</f>
        <v>163.2201055400717</v>
      </c>
      <c r="CF6" s="42">
        <f ca="1">(VLOOKUP($CB6&amp;"最终",$S$3:$AE$63,MATCH(CF$3,$S$3:$AE$3,0),FALSE)-VLOOKUP($CB6&amp;"初始",$S$3:$AE$63,MATCH(CF$3,$S$3:$AE$3,0),FALSE))*VLOOKUP(VLOOKUP($CB6,坦克个性化设定!$B$18:$E$48,4,FALSE)&amp;$CD6,坦克属性分配比例,MATCH("部件比例",坦克属性分配比例标头,0),FALSE)</f>
        <v>13.13928813107994</v>
      </c>
      <c r="CG6" s="42">
        <f ca="1">(VLOOKUP($CB6&amp;"最终",$S$3:$AE$63,MATCH(CG$3,$S$3:$AE$3,0),FALSE)-VLOOKUP($CB6&amp;"初始",$S$3:$AE$63,MATCH(CG$3,$S$3:$AE$3,0),FALSE))*VLOOKUP(VLOOKUP($CB6,坦克个性化设定!$B$18:$E$48,4,FALSE)&amp;$CD6,坦克属性分配比例,MATCH("部件比例",坦克属性分配比例标头,0),FALSE)*(1-$C$3)</f>
        <v>24.78</v>
      </c>
      <c r="CH6" s="42">
        <f ca="1">(VLOOKUP($CB6&amp;"最终",$S$3:$AE$63,MATCH(CH$3,$S$3:$AE$3,0),FALSE)-VLOOKUP($CB6&amp;"初始",$S$3:$AE$63,MATCH(CH$3,$S$3:$AE$3,0),FALSE))*VLOOKUP(VLOOKUP($CB6,坦克个性化设定!$B$18:$E$48,4,FALSE)&amp;$CD6,坦克属性分配比例,MATCH("部件比例",坦克属性分配比例标头,0),FALSE)*(1-$C$3)</f>
        <v>9.94</v>
      </c>
      <c r="CI6" s="42">
        <f ca="1">(VLOOKUP($CB6&amp;"最终",$S$3:$AE$63,MATCH(CI$3,$S$3:$AE$3,0),FALSE)-VLOOKUP($CB6&amp;"初始",$S$3:$AE$63,MATCH(CI$3,$S$3:$AE$3,0),FALSE))*VLOOKUP(VLOOKUP($CB6,坦克个性化设定!$B$18:$E$48,4,FALSE)&amp;$CD6,坦克属性分配比例,MATCH("部件比例",坦克属性分配比例标头,0),FALSE)</f>
        <v>56.699999999999996</v>
      </c>
    </row>
    <row r="7" spans="2:87" x14ac:dyDescent="0.3">
      <c r="B7" s="2">
        <v>2</v>
      </c>
      <c r="C7" s="2" t="str">
        <f>坦克个性化设定!B20</f>
        <v>二号</v>
      </c>
      <c r="D7" s="2">
        <v>1211</v>
      </c>
      <c r="E7" s="2" t="s">
        <v>605</v>
      </c>
      <c r="F7" s="2">
        <v>1</v>
      </c>
      <c r="G7" s="25" t="str">
        <f t="shared" ref="G7:G36" si="17">C7</f>
        <v>二号</v>
      </c>
      <c r="H7" s="2" t="str">
        <f>坦克等级成长!B16&amp;坦克等级成长!C16</f>
        <v>T3低</v>
      </c>
      <c r="I7" s="2">
        <v>9</v>
      </c>
      <c r="J7" s="2">
        <f>坦克等级成长!J16</f>
        <v>1.48</v>
      </c>
      <c r="K7" s="2">
        <f>坦克等级成长!K16</f>
        <v>2.17</v>
      </c>
      <c r="L7" s="2">
        <f>坦克等级成长!E16</f>
        <v>5</v>
      </c>
      <c r="M7" s="2">
        <f>IFERROR(VLOOKUP(L7,坦克部件!$N$3:$R$9,5,FALSE),VLOOKUP(L7-1,坦克部件!$N$3:$R$9,5,FALSE))</f>
        <v>0.309</v>
      </c>
      <c r="N7" s="2">
        <f t="shared" si="0"/>
        <v>0.45732</v>
      </c>
      <c r="O7" s="161">
        <f t="shared" si="1"/>
        <v>0.6</v>
      </c>
      <c r="P7" s="154">
        <v>0.4</v>
      </c>
      <c r="Q7" s="162"/>
      <c r="R7" s="25"/>
      <c r="S7" s="2" t="str">
        <f t="shared" si="2"/>
        <v>二号最终</v>
      </c>
      <c r="T7" s="2">
        <f>IF(COUNTIF(U$4:U6,U6)&gt;=$B$3,T6+1,T6)</f>
        <v>2</v>
      </c>
      <c r="U7" s="2" t="str">
        <f t="shared" si="3"/>
        <v>二号</v>
      </c>
      <c r="V7" s="2" t="str">
        <f>VLOOKUP(U7,坦克个性化设定!$B$18:$F$48,5,FALSE)</f>
        <v>轻坦弹夹</v>
      </c>
      <c r="W7" s="29" t="str">
        <f>VLOOKUP(U7,坦克个性化细分!$I$3:$J$33,2,FALSE)</f>
        <v>低</v>
      </c>
      <c r="X7" s="2" t="str">
        <f t="shared" si="16"/>
        <v>最终</v>
      </c>
      <c r="Y7" s="2" t="str">
        <f>VLOOKUP(VLOOKUP(U7,坦克个性化设定!$B$18:$F$48,4,FALSE)&amp;W7,坦克等级成长!$P$12:$U$24,MATCH(X7,坦克等级成长!$P$12:$U$12,0),FALSE)</f>
        <v>T2低4</v>
      </c>
      <c r="Z7" s="42">
        <f ca="1">VLOOKUP($Y7,INDIRECT($V7&amp;"_阶段属性"),MATCH(Z$3,属性标头_阶段属性,0),FALSE)*VLOOKUP($U7,坦克个性化设定!$B$84:$D$114,2,FALSE)</f>
        <v>1217.1343340133149</v>
      </c>
      <c r="AA7" s="42">
        <f ca="1">VLOOKUP($Y7,INDIRECT($V7&amp;"_阶段属性"),MATCH(AA$3,属性标头_阶段属性,0),FALSE)*VLOOKUP($U7,坦克个性化设定!$B$84:$D$114,3,FALSE)</f>
        <v>105.7390532119893</v>
      </c>
      <c r="AB7" s="2">
        <f t="shared" ca="1" si="4"/>
        <v>559</v>
      </c>
      <c r="AC7" s="2">
        <f t="shared" ca="1" si="4"/>
        <v>223</v>
      </c>
      <c r="AD7" s="2">
        <f t="shared" ca="1" si="4"/>
        <v>510</v>
      </c>
      <c r="AE7" s="2">
        <f t="shared" ca="1" si="4"/>
        <v>136</v>
      </c>
      <c r="AF7" s="25"/>
      <c r="AH7" s="2">
        <v>4</v>
      </c>
      <c r="AI7" s="2" t="str">
        <f t="shared" si="5"/>
        <v>35(t)</v>
      </c>
      <c r="AJ7" s="2">
        <f>VLOOKUP($AI7,坦克个性化细分!$I$3:$P$33,MATCH(AJ$3,坦克个性化细分!$I$3:$P$3,0),FALSE)</f>
        <v>42.4</v>
      </c>
      <c r="AK7" s="2">
        <f>VLOOKUP($AI7,坦克个性化细分!$I$3:$P$33,MATCH(AK$3,坦克个性化细分!$I$3:$P$3,0),FALSE)</f>
        <v>50</v>
      </c>
      <c r="AL7" s="2">
        <f>VLOOKUP($AI7,坦克个性化细分!$I$3:$P$33,MATCH(AL$3,坦克个性化细分!$I$3:$P$3,0),FALSE)</f>
        <v>10</v>
      </c>
      <c r="AM7" s="34">
        <f>VLOOKUP(AI7,坦克个性化细分!$AA$3:$AP$33,MATCH("射击偏移角",坦克个性化细分!$AA$3:$AP$3,0),FALSE)/VLOOKUP(AI7,坦克个性化细分!$AA$3:$AP$33,MATCH("原瞄准速度",坦克个性化细分!$AA$3:$AP$3,0),FALSE)</f>
        <v>0.47499999999999998</v>
      </c>
      <c r="AN7" s="34">
        <f>VLOOKUP(AI7,坦克个性化细分!$AA$3:$AP$33,MATCH(AN$3,坦克个性化细分!$AA$3:$AP$3,0),FALSE)</f>
        <v>0.8</v>
      </c>
      <c r="AO7" s="2">
        <f>VLOOKUP(AI7,坦克个性化细分!$AA$3:$AP$33,MATCH("原换弹时间",坦克个性化细分!$AA$3:$AP$3,0),FALSE)</f>
        <v>9.7999999999999989</v>
      </c>
      <c r="AP7" s="132"/>
      <c r="AQ7" s="2">
        <v>4</v>
      </c>
      <c r="AR7" s="2" t="str">
        <f t="shared" si="6"/>
        <v>35(t)</v>
      </c>
      <c r="AS7" s="2" t="s">
        <v>77</v>
      </c>
      <c r="AT7" s="34">
        <f>VLOOKUP(AR7,坦克个性化细分!$I$3:$P$33,MATCH("养成区间1",坦克个性化细分!$I$3:$P$3,0),FALSE)</f>
        <v>10.599999999999996</v>
      </c>
      <c r="AU7" s="2">
        <f>VLOOKUP(AR7,坦克个性化细分!$I$3:$P$33,MATCH("养成区间2",坦克个性化细分!$I$3:$P$3,0),FALSE)</f>
        <v>12.499999999999996</v>
      </c>
      <c r="AV7" s="2">
        <f>VLOOKUP(AR7,坦克个性化细分!$I$3:$P$33,MATCH("养成区间3",坦克个性化细分!$I$3:$P$3,0),FALSE)</f>
        <v>0</v>
      </c>
      <c r="AW7" s="34">
        <f>VLOOKUP(AR7,坦克个性化细分!$AA$3:$AP$33,MATCH("瞄准区间",坦克个性化细分!$AA$3:$AP$3,0),FALSE)</f>
        <v>7.9166666666666663E-2</v>
      </c>
      <c r="AX7" s="34">
        <f>VLOOKUP(AI7,坦克个性化细分!$AA$3:$AP$33,MATCH("后射击间隔",坦克个性化细分!$AA$3:$AP$3,0),FALSE)-VLOOKUP(AI7,坦克个性化细分!$AA$3:$AP$33,MATCH(AN$3,坦克个性化细分!$AA$3:$AP$3,0),FALSE)</f>
        <v>0</v>
      </c>
      <c r="AY7" s="34">
        <f>VLOOKUP(AR7,坦克个性化细分!$AA$3:$AP$33,MATCH("换弹区间",坦克个性化细分!$AA$3:$AP$3,0),FALSE)</f>
        <v>3.5207924088563303</v>
      </c>
      <c r="AZ7" s="132"/>
      <c r="BA7" s="34">
        <f t="shared" si="8"/>
        <v>0.24999999999999992</v>
      </c>
      <c r="BB7" s="34">
        <f t="shared" si="9"/>
        <v>0.24999999999999992</v>
      </c>
      <c r="BC7" s="34">
        <f t="shared" si="10"/>
        <v>0</v>
      </c>
      <c r="BD7" s="34">
        <f t="shared" si="11"/>
        <v>0.16666666666666666</v>
      </c>
      <c r="BE7" s="34">
        <f t="shared" si="12"/>
        <v>0.35926453151595211</v>
      </c>
      <c r="BF7" s="34"/>
      <c r="BG7" s="132"/>
      <c r="BH7" s="2" t="str">
        <f t="shared" si="13"/>
        <v>雷诺FT3</v>
      </c>
      <c r="BI7" s="2">
        <f>IF(BL6&gt;=VLOOKUP(VLOOKUP(BJ6,坦克个性化设定!$B$18:$E$48,4,FALSE)&amp;BK6,坦克属性分配比例,MATCH("升星次数",坦克属性分配比例标头,0),FALSE),BI6+1,BI6)</f>
        <v>1</v>
      </c>
      <c r="BJ7" s="2" t="str">
        <f t="shared" si="14"/>
        <v>雷诺FT</v>
      </c>
      <c r="BK7" s="29" t="str">
        <f>VLOOKUP(BJ7,坦克个性化细分!$I$3:$J$33,2,FALSE)</f>
        <v>低</v>
      </c>
      <c r="BL7" s="2">
        <f t="shared" si="7"/>
        <v>3</v>
      </c>
      <c r="BM7" s="103">
        <f ca="1">ROUND(VLOOKUP($BJ7&amp;"初始",$S$3:$AE$63,MATCH(BM$3,$S$3:$AE$3,0),FALSE)+((VLOOKUP($BJ7&amp;"最终",$S$3:$AE$63,MATCH(BM$3,$S$3:$AE$3,0),FALSE)*坦克个性化细分!$C$9-VLOOKUP($BJ7&amp;"初始",$S$3:$AE$63,MATCH(BM$3,$S$3:$AE$3,0),FALSE))-(VLOOKUP($BJ7&amp;"最终",$S$3:$AE$63,MATCH(BM$3,$S$3:$AE$3,0),FALSE)-VLOOKUP($BJ7&amp;"初始",$S$3:$AE$63,MATCH(BM$3,$S$3:$AE$3,0),FALSE))*VLOOKUP(VLOOKUP($BJ7,坦克个性化设定!$B$18:$E$48,4,FALSE)&amp;$BK7,坦克属性分配比例,MATCH("部件比例",坦克属性分配比例标头,0),FALSE))*$BL7/VLOOKUP(VLOOKUP($BJ7,坦克个性化设定!$B$18:$E$48,4,FALSE)&amp;$BK7,坦克属性分配比例,MATCH("升星次数",坦克属性分配比例标头,0),FALSE),0)</f>
        <v>926</v>
      </c>
      <c r="BN7" s="103">
        <f ca="1">ROUND(VLOOKUP($BJ7&amp;"初始",$S$3:$AE$63,MATCH(BN$3,$S$3:$AE$3,0),FALSE)+(VLOOKUP($BJ7&amp;"最终",$S$3:$AE$63,MATCH(BN$3,$S$3:$AE$3,0),FALSE)-VLOOKUP($BJ7&amp;"初始",$S$3:$AE$63,MATCH(BN$3,$S$3:$AE$3,0),FALSE))*$BL7/VLOOKUP(VLOOKUP($BJ7,坦克个性化设定!$B$18:$E$48,4,FALSE)&amp;$BK7,坦克属性分配比例,MATCH("升星次数",坦克属性分配比例标头,0),FALSE)*VLOOKUP(VLOOKUP($BJ7,坦克个性化设定!$B$18:$E$48,4,FALSE)&amp;$BK7,坦克属性分配比例,MATCH("升星比例",坦克属性分配比例标头,0),FALSE),0)</f>
        <v>63</v>
      </c>
      <c r="BO7" s="103">
        <f ca="1">ROUND(VLOOKUP($BJ7&amp;"初始",$S$3:$AE$63,MATCH(BO$3,$S$3:$AE$3,0),FALSE)+(VLOOKUP($BJ7&amp;"最终",$S$3:$AE$63,MATCH(BO$3,$S$3:$AE$3,0),FALSE)-VLOOKUP($BJ7&amp;"初始",$S$3:$AE$63,MATCH(BO$3,$S$3:$AE$3,0),FALSE))*$BL7/VLOOKUP(VLOOKUP($BJ7,坦克个性化设定!$B$18:$E$48,4,FALSE)&amp;$BK7,坦克属性分配比例,MATCH("升星次数",坦克属性分配比例标头,0),FALSE)*(VLOOKUP(VLOOKUP($BJ7,坦克个性化设定!$B$18:$E$48,4,FALSE)&amp;$BK7,坦克属性分配比例,MATCH("升星比例",坦克属性分配比例标头,0),FALSE)+VLOOKUP(VLOOKUP($BJ7,坦克个性化设定!$B$18:$E$48,4,FALSE)&amp;$BK7,坦克属性分配比例,MATCH("部件比例",坦克属性分配比例标头,0),FALSE)*$C$3),0)</f>
        <v>381</v>
      </c>
      <c r="BP7" s="103">
        <f ca="1">ROUND(VLOOKUP($BJ7&amp;"初始",$S$3:$AE$63,MATCH(BP$3,$S$3:$AE$3,0),FALSE)+(VLOOKUP($BJ7&amp;"最终",$S$3:$AE$63,MATCH(BP$3,$S$3:$AE$3,0),FALSE)-VLOOKUP($BJ7&amp;"初始",$S$3:$AE$63,MATCH(BP$3,$S$3:$AE$3,0),FALSE))*$BL7/VLOOKUP(VLOOKUP($BJ7,坦克个性化设定!$B$18:$E$48,4,FALSE)&amp;$BK7,坦克属性分配比例,MATCH("升星次数",坦克属性分配比例标头,0),FALSE)*(VLOOKUP(VLOOKUP($BJ7,坦克个性化设定!$B$18:$E$48,4,FALSE)&amp;$BK7,坦克属性分配比例,MATCH("升星比例",坦克属性分配比例标头,0),FALSE)+VLOOKUP(VLOOKUP($BJ7,坦克个性化设定!$B$18:$E$48,4,FALSE)&amp;$BK7,坦克属性分配比例,MATCH("部件比例",坦克属性分配比例标头,0),FALSE)*$C$3),0)</f>
        <v>152</v>
      </c>
      <c r="BQ7" s="103">
        <f ca="1">ROUND(VLOOKUP($BJ7&amp;"初始",$S$3:$AE$63,MATCH(BQ$3,$S$3:$AE$3,0),FALSE)+(VLOOKUP($BJ7&amp;"最终",$S$3:$AE$63,MATCH(BQ$3,$S$3:$AE$3,0),FALSE)-VLOOKUP($BJ7&amp;"初始",$S$3:$AE$63,MATCH(BQ$3,$S$3:$AE$3,0),FALSE))*$BL7/VLOOKUP(VLOOKUP($BJ7,坦克个性化设定!$B$18:$E$48,4,FALSE)&amp;$BK7,坦克属性分配比例,MATCH("升星次数",坦克属性分配比例标头,0),FALSE)*VLOOKUP(VLOOKUP($BJ7,坦克个性化设定!$B$18:$E$48,4,FALSE)&amp;$BK7,坦克属性分配比例,MATCH("升星比例",坦克属性分配比例标头,0),FALSE),0)</f>
        <v>338</v>
      </c>
      <c r="BR7" s="2">
        <f ca="1">ROUND(VLOOKUP($BJ7&amp;"初始",$S$3:$AE$63,MATCH(BR$3,$S$3:$AE$3,0),FALSE)+(VLOOKUP($BJ7&amp;"最终",$S$3:$AE$63,MATCH(BR$3,$S$3:$AE$3,0),FALSE)-VLOOKUP($BJ7&amp;"初始",$S$3:$AE$63,MATCH(BR$3,$S$3:$AE$3,0),FALSE))*$BL7/VLOOKUP(VLOOKUP($BJ7,坦克个性化设定!$B$18:$E$48,4,FALSE)&amp;$BK7,坦克属性分配比例,MATCH("升星次数",坦克属性分配比例标头,0),FALSE),0)</f>
        <v>94</v>
      </c>
      <c r="BS7" s="2">
        <f>ROUND(VLOOKUP($BJ7,$AI$3:$AO$33,MATCH(BS$3,$AI$3:$AO$3,0),FALSE)+$BL7/VLOOKUP(VLOOKUP($BJ7,坦克个性化设定!$B$18:$E$48,4,FALSE)&amp;$BK7,坦克属性分配比例,MATCH("升星次数",坦克属性分配比例标头,0),FALSE)*VLOOKUP($BJ7,$AR$3:$AY$33,MATCH(BS$3,$AR$3:$AY$3,0),FALSE),1)</f>
        <v>54.2</v>
      </c>
      <c r="BT7" s="2">
        <f>ROUND(VLOOKUP($BJ7,$AI$3:$AO$33,MATCH(BT$3,$AI$3:$AO$3,0),FALSE)+$BL7/VLOOKUP(VLOOKUP($BJ7,坦克个性化设定!$B$18:$E$48,4,FALSE)&amp;$BK7,坦克属性分配比例,MATCH("升星次数",坦克属性分配比例标头,0),FALSE)*VLOOKUP($BJ7,$AR$3:$AY$33,MATCH(BT$3,$AR$3:$AY$3,0),FALSE),1)</f>
        <v>51.8</v>
      </c>
      <c r="BU7" s="2">
        <f>ROUND(VLOOKUP($BJ7,$AI$3:$AO$33,MATCH(BU$3,$AI$3:$AO$3,0),FALSE)+$BL7/VLOOKUP(VLOOKUP($BJ7,坦克个性化设定!$B$18:$E$48,4,FALSE)&amp;$BK7,坦克属性分配比例,MATCH("升星次数",坦克属性分配比例标头,0),FALSE)*VLOOKUP($BJ7,$AR$3:$AY$33,MATCH(BU$3,$AR$3:$AY$3,0),FALSE),1)</f>
        <v>10.5</v>
      </c>
      <c r="BV7" s="2">
        <f>IF(VLOOKUP(BJ7,坦克个性化设定!$B$18:$BC$48,MATCH("装弹类型",坦克个性化设定!$B$18:$BC$18,0),FALSE)="弹夹换弹",0,ROUND(VLOOKUP($BJ7,$AI$3:$AO$33,MATCH("换弹时间",$AI$3:$AO$3,0),FALSE)-$BL7/VLOOKUP(VLOOKUP($BJ7,坦克个性化设定!$B$18:$E$48,4,FALSE)&amp;$BK7,坦克属性分配比例,MATCH("升星次数",坦克属性分配比例标头,0),FALSE)*VLOOKUP($BJ7,$AR$3:$AY$33,MATCH("换弹时间",$AR$3:$AY$3,0),FALSE),2))</f>
        <v>0</v>
      </c>
      <c r="BW7" s="2">
        <f>IF(VLOOKUP(BJ7,坦克个性化设定!$B$18:$BC$48,MATCH("装弹类型",坦克个性化设定!$B$18:$BC$18,0),FALSE)="弹夹换弹",ROUND(VLOOKUP($BJ7,$AI$3:$AO$33,MATCH("换弹时间",$AI$3:$AO$3,0),FALSE)-$BL7/VLOOKUP(VLOOKUP($BJ7,坦克个性化设定!$B$18:$E$48,4,FALSE)&amp;$BK7,坦克属性分配比例,MATCH("升星次数",坦克属性分配比例标头,0),FALSE)*VLOOKUP($BJ7,$AR$3:$AY$33,MATCH("换弹时间",$AR$3:$AY$3,0),FALSE),1),0)</f>
        <v>10.4</v>
      </c>
      <c r="BX7" s="2">
        <f>ROUND(VLOOKUP($BJ7,$AI$3:$AO$33,MATCH(BX$3,$AI$3:$AO$3,0),FALSE)+$BL7/VLOOKUP(VLOOKUP($BJ7,坦克个性化设定!$B$18:$E$48,4,FALSE)&amp;$BK7,坦克属性分配比例,MATCH("升星次数",坦克属性分配比例标头,0),FALSE)*VLOOKUP($BJ7,$AR$3:$AY$33,MATCH(BX$3,$AR$3:$AY$3,0),FALSE),2)</f>
        <v>0.39</v>
      </c>
      <c r="BY7" s="2">
        <f>ROUND(VLOOKUP($BJ7,$AI$3:$AO$33,MATCH(BY$3,$AI$3:$AO$3,0),FALSE)-$BL7/VLOOKUP(VLOOKUP($BJ7,坦克个性化设定!$B$18:$E$48,4,FALSE)&amp;$BK7,坦克属性分配比例,MATCH("升星次数",坦克属性分配比例标头,0),FALSE)*VLOOKUP($BJ7,$AR$3:$AY$33,MATCH(BY$3,$AR$3:$AY$3,0),FALSE),2)</f>
        <v>0.34</v>
      </c>
      <c r="CA7" s="2">
        <v>4</v>
      </c>
      <c r="CB7" s="2" t="str">
        <f t="shared" si="15"/>
        <v>35(t)</v>
      </c>
      <c r="CC7" s="2" t="str">
        <f>VLOOKUP(CB7,坦克个性化设定!$B$18:$F$48,5,FALSE)</f>
        <v>轻坦弹夹</v>
      </c>
      <c r="CD7" s="29" t="str">
        <f>VLOOKUP(CB7,坦克个性化细分!$I$3:$J$33,2,FALSE)</f>
        <v>低</v>
      </c>
      <c r="CE7" s="42">
        <f ca="1">(VLOOKUP($CB7&amp;"最终",$S$3:$AE$63,MATCH(CE$3,$S$3:$AE$3,0),FALSE)-VLOOKUP($CB7&amp;"初始",$S$3:$AE$63,MATCH(CE$3,$S$3:$AE$3,0),FALSE))*VLOOKUP(VLOOKUP($CB7,坦克个性化设定!$B$18:$E$48,4,FALSE)&amp;$CD7,坦克属性分配比例,MATCH("部件比例",坦克属性分配比例标头,0),FALSE)</f>
        <v>208.20222340190696</v>
      </c>
      <c r="CF7" s="42">
        <f ca="1">(VLOOKUP($CB7&amp;"最终",$S$3:$AE$63,MATCH(CF$3,$S$3:$AE$3,0),FALSE)-VLOOKUP($CB7&amp;"初始",$S$3:$AE$63,MATCH(CF$3,$S$3:$AE$3,0),FALSE))*VLOOKUP(VLOOKUP($CB7,坦克个性化设定!$B$18:$E$48,4,FALSE)&amp;$CD7,坦克属性分配比例,MATCH("部件比例",坦克属性分配比例标头,0),FALSE)</f>
        <v>19.186824585379401</v>
      </c>
      <c r="CG7" s="42">
        <f ca="1">(VLOOKUP($CB7&amp;"最终",$S$3:$AE$63,MATCH(CG$3,$S$3:$AE$3,0),FALSE)-VLOOKUP($CB7&amp;"初始",$S$3:$AE$63,MATCH(CG$3,$S$3:$AE$3,0),FALSE))*VLOOKUP(VLOOKUP($CB7,坦克个性化设定!$B$18:$E$48,4,FALSE)&amp;$CD7,坦克属性分配比例,MATCH("部件比例",坦克属性分配比例标头,0),FALSE)*(1-$C$3)</f>
        <v>36.320000000000007</v>
      </c>
      <c r="CH7" s="42">
        <f ca="1">(VLOOKUP($CB7&amp;"最终",$S$3:$AE$63,MATCH(CH$3,$S$3:$AE$3,0),FALSE)-VLOOKUP($CB7&amp;"初始",$S$3:$AE$63,MATCH(CH$3,$S$3:$AE$3,0),FALSE))*VLOOKUP(VLOOKUP($CB7,坦克个性化设定!$B$18:$E$48,4,FALSE)&amp;$CD7,坦克属性分配比例,MATCH("部件比例",坦克属性分配比例标头,0),FALSE)*(1-$C$3)</f>
        <v>14.4</v>
      </c>
      <c r="CI7" s="42">
        <f ca="1">(VLOOKUP($CB7&amp;"最终",$S$3:$AE$63,MATCH(CI$3,$S$3:$AE$3,0),FALSE)-VLOOKUP($CB7&amp;"初始",$S$3:$AE$63,MATCH(CI$3,$S$3:$AE$3,0),FALSE))*VLOOKUP(VLOOKUP($CB7,坦克个性化设定!$B$18:$E$48,4,FALSE)&amp;$CD7,坦克属性分配比例,MATCH("部件比例",坦克属性分配比例标头,0),FALSE)</f>
        <v>82.800000000000011</v>
      </c>
    </row>
    <row r="8" spans="2:87" x14ac:dyDescent="0.3">
      <c r="B8" s="2">
        <v>3</v>
      </c>
      <c r="C8" s="2" t="str">
        <f>坦克个性化设定!B21</f>
        <v>Puma</v>
      </c>
      <c r="D8" s="2">
        <v>1221</v>
      </c>
      <c r="E8" s="2" t="s">
        <v>608</v>
      </c>
      <c r="F8" s="2">
        <v>1</v>
      </c>
      <c r="G8" s="25" t="str">
        <f t="shared" si="17"/>
        <v>Puma</v>
      </c>
      <c r="H8" s="2" t="str">
        <f>坦克等级成长!B17&amp;坦克等级成长!C17</f>
        <v>T3中</v>
      </c>
      <c r="I8" s="2">
        <v>9</v>
      </c>
      <c r="J8" s="2">
        <f>坦克等级成长!J17</f>
        <v>1.54</v>
      </c>
      <c r="K8" s="2">
        <f>坦克等级成长!K17</f>
        <v>2.2800000000000002</v>
      </c>
      <c r="L8" s="2">
        <f>坦克等级成长!E17</f>
        <v>5</v>
      </c>
      <c r="M8" s="2">
        <f>IFERROR(VLOOKUP(L8,坦克部件!$N$3:$R$9,5,FALSE),VLOOKUP(L8-1,坦克部件!$N$3:$R$9,5,FALSE))</f>
        <v>0.309</v>
      </c>
      <c r="N8" s="2">
        <f t="shared" si="0"/>
        <v>0.47586000000000001</v>
      </c>
      <c r="O8" s="161">
        <f t="shared" si="1"/>
        <v>0.6</v>
      </c>
      <c r="P8" s="154">
        <v>0.4</v>
      </c>
      <c r="Q8" s="162"/>
      <c r="R8" s="25"/>
      <c r="S8" s="2" t="str">
        <f t="shared" si="2"/>
        <v>Puma初始</v>
      </c>
      <c r="T8" s="2">
        <f>IF(COUNTIF(U$4:U7,U7)&gt;=$B$3,T7+1,T7)</f>
        <v>3</v>
      </c>
      <c r="U8" s="2" t="str">
        <f t="shared" si="3"/>
        <v>Puma</v>
      </c>
      <c r="V8" s="2" t="str">
        <f>VLOOKUP(U8,坦克个性化设定!$B$18:$F$48,5,FALSE)</f>
        <v>轻坦弹夹</v>
      </c>
      <c r="W8" s="29" t="str">
        <f>VLOOKUP(U8,坦克个性化细分!$I$3:$J$33,2,FALSE)</f>
        <v>中</v>
      </c>
      <c r="X8" s="2" t="str">
        <f t="shared" si="16"/>
        <v>初始</v>
      </c>
      <c r="Y8" s="2" t="str">
        <f>VLOOKUP(VLOOKUP(U8,坦克个性化设定!$B$18:$F$48,4,FALSE)&amp;W8,坦克等级成长!$P$12:$U$24,MATCH(X8,坦克等级成长!$P$12:$U$12,0),FALSE)</f>
        <v>T2中2</v>
      </c>
      <c r="Z8" s="42">
        <f ca="1">VLOOKUP($Y8,INDIRECT($V8&amp;"_阶段属性"),MATCH(Z$3,属性标头_阶段属性,0),FALSE)*VLOOKUP($U8,坦克个性化设定!$B$84:$D$114,2,FALSE)</f>
        <v>1053.590099253373</v>
      </c>
      <c r="AA8" s="42">
        <f ca="1">VLOOKUP($Y8,INDIRECT($V8&amp;"_阶段属性"),MATCH(AA$3,属性标头_阶段属性,0),FALSE)*VLOOKUP($U8,坦克个性化设定!$B$84:$D$114,3,FALSE)</f>
        <v>87.09470989744419</v>
      </c>
      <c r="AB8" s="2">
        <f t="shared" ca="1" si="4"/>
        <v>401</v>
      </c>
      <c r="AC8" s="2">
        <f t="shared" ca="1" si="4"/>
        <v>160</v>
      </c>
      <c r="AD8" s="2">
        <f t="shared" ca="1" si="4"/>
        <v>366</v>
      </c>
      <c r="AE8" s="2">
        <f t="shared" ca="1" si="4"/>
        <v>98</v>
      </c>
      <c r="AF8" s="25"/>
      <c r="AH8" s="2">
        <v>5</v>
      </c>
      <c r="AI8" s="2" t="str">
        <f t="shared" si="5"/>
        <v>十字军</v>
      </c>
      <c r="AJ8" s="2">
        <f>VLOOKUP($AI8,坦克个性化细分!$I$3:$P$33,MATCH(AJ$3,坦克个性化细分!$I$3:$P$3,0),FALSE)</f>
        <v>48.1</v>
      </c>
      <c r="AK8" s="2">
        <f>VLOOKUP($AI8,坦克个性化细分!$I$3:$P$33,MATCH(AK$3,坦克个性化细分!$I$3:$P$3,0),FALSE)</f>
        <v>45.9</v>
      </c>
      <c r="AL8" s="2">
        <f>VLOOKUP($AI8,坦克个性化细分!$I$3:$P$33,MATCH(AL$3,坦克个性化细分!$I$3:$P$3,0),FALSE)</f>
        <v>10.7</v>
      </c>
      <c r="AM8" s="34">
        <f>VLOOKUP(AI8,坦克个性化细分!$AA$3:$AP$33,MATCH("射击偏移角",坦克个性化细分!$AA$3:$AP$3,0),FALSE)/VLOOKUP(AI8,坦克个性化细分!$AA$3:$AP$33,MATCH("原瞄准速度",坦克个性化细分!$AA$3:$AP$3,0),FALSE)</f>
        <v>0.375</v>
      </c>
      <c r="AN8" s="34">
        <f>VLOOKUP(AI8,坦克个性化细分!$AA$3:$AP$33,MATCH(AN$3,坦克个性化细分!$AA$3:$AP$3,0),FALSE)</f>
        <v>0.60000000000000009</v>
      </c>
      <c r="AO8" s="2">
        <f>VLOOKUP(AI8,坦克个性化细分!$AA$3:$AP$33,MATCH("原换弹时间",坦克个性化细分!$AA$3:$AP$3,0),FALSE)</f>
        <v>12.6</v>
      </c>
      <c r="AP8" s="132"/>
      <c r="AQ8" s="2">
        <v>5</v>
      </c>
      <c r="AR8" s="2" t="str">
        <f t="shared" si="6"/>
        <v>十字军</v>
      </c>
      <c r="AS8" s="2" t="s">
        <v>78</v>
      </c>
      <c r="AT8" s="34">
        <f>VLOOKUP(AR8,坦克个性化细分!$I$3:$P$33,MATCH("养成区间1",坦克个性化细分!$I$3:$P$3,0),FALSE)</f>
        <v>12.024999999999997</v>
      </c>
      <c r="AU8" s="2">
        <f>VLOOKUP(AR8,坦克个性化细分!$I$3:$P$33,MATCH("养成区间2",坦克个性化细分!$I$3:$P$3,0),FALSE)</f>
        <v>11.474999999999996</v>
      </c>
      <c r="AV8" s="2">
        <f>VLOOKUP(AR8,坦克个性化细分!$I$3:$P$33,MATCH("养成区间3",坦克个性化细分!$I$3:$P$3,0),FALSE)</f>
        <v>0</v>
      </c>
      <c r="AW8" s="34">
        <f>VLOOKUP(AR8,坦克个性化细分!$AA$3:$AP$33,MATCH("瞄准区间",坦克个性化细分!$AA$3:$AP$3,0),FALSE)</f>
        <v>6.25E-2</v>
      </c>
      <c r="AX8" s="34">
        <f>VLOOKUP(AI8,坦克个性化细分!$AA$3:$AP$33,MATCH("后射击间隔",坦克个性化细分!$AA$3:$AP$3,0),FALSE)-VLOOKUP(AI8,坦克个性化细分!$AA$3:$AP$33,MATCH(AN$3,坦克个性化细分!$AA$3:$AP$3,0),FALSE)</f>
        <v>0</v>
      </c>
      <c r="AY8" s="34">
        <f>VLOOKUP(AR8,坦克个性化细分!$AA$3:$AP$33,MATCH("换弹区间",坦克个性化细分!$AA$3:$AP$3,0),FALSE)</f>
        <v>4.0911517548195704</v>
      </c>
      <c r="AZ8" s="132"/>
      <c r="BA8" s="34">
        <f t="shared" si="8"/>
        <v>0.24999999999999992</v>
      </c>
      <c r="BB8" s="34">
        <f t="shared" si="9"/>
        <v>0.24999999999999992</v>
      </c>
      <c r="BC8" s="34">
        <f t="shared" si="10"/>
        <v>0</v>
      </c>
      <c r="BD8" s="34">
        <f t="shared" si="11"/>
        <v>0.16666666666666666</v>
      </c>
      <c r="BE8" s="34">
        <f t="shared" si="12"/>
        <v>0.32469458371583892</v>
      </c>
      <c r="BF8" s="34"/>
      <c r="BG8" s="132"/>
      <c r="BH8" s="2" t="str">
        <f t="shared" si="13"/>
        <v>雷诺FT4</v>
      </c>
      <c r="BI8" s="2">
        <f>IF(BL7&gt;=VLOOKUP(VLOOKUP(BJ7,坦克个性化设定!$B$18:$E$48,4,FALSE)&amp;BK7,坦克属性分配比例,MATCH("升星次数",坦克属性分配比例标头,0),FALSE),BI7+1,BI7)</f>
        <v>1</v>
      </c>
      <c r="BJ8" s="2" t="str">
        <f t="shared" si="14"/>
        <v>雷诺FT</v>
      </c>
      <c r="BK8" s="29" t="str">
        <f>VLOOKUP(BJ8,坦克个性化细分!$I$3:$J$33,2,FALSE)</f>
        <v>低</v>
      </c>
      <c r="BL8" s="2">
        <f t="shared" si="7"/>
        <v>4</v>
      </c>
      <c r="BM8" s="103">
        <f ca="1">ROUND(VLOOKUP($BJ8&amp;"初始",$S$3:$AE$63,MATCH(BM$3,$S$3:$AE$3,0),FALSE)+((VLOOKUP($BJ8&amp;"最终",$S$3:$AE$63,MATCH(BM$3,$S$3:$AE$3,0),FALSE)*坦克个性化细分!$C$9-VLOOKUP($BJ8&amp;"初始",$S$3:$AE$63,MATCH(BM$3,$S$3:$AE$3,0),FALSE))-(VLOOKUP($BJ8&amp;"最终",$S$3:$AE$63,MATCH(BM$3,$S$3:$AE$3,0),FALSE)-VLOOKUP($BJ8&amp;"初始",$S$3:$AE$63,MATCH(BM$3,$S$3:$AE$3,0),FALSE))*VLOOKUP(VLOOKUP($BJ8,坦克个性化设定!$B$18:$E$48,4,FALSE)&amp;$BK8,坦克属性分配比例,MATCH("部件比例",坦克属性分配比例标头,0),FALSE))*$BL8/VLOOKUP(VLOOKUP($BJ8,坦克个性化设定!$B$18:$E$48,4,FALSE)&amp;$BK8,坦克属性分配比例,MATCH("升星次数",坦克属性分配比例标头,0),FALSE),0)</f>
        <v>1024</v>
      </c>
      <c r="BN8" s="103">
        <f ca="1">ROUND(VLOOKUP($BJ8&amp;"初始",$S$3:$AE$63,MATCH(BN$3,$S$3:$AE$3,0),FALSE)+(VLOOKUP($BJ8&amp;"最终",$S$3:$AE$63,MATCH(BN$3,$S$3:$AE$3,0),FALSE)-VLOOKUP($BJ8&amp;"初始",$S$3:$AE$63,MATCH(BN$3,$S$3:$AE$3,0),FALSE))*$BL8/VLOOKUP(VLOOKUP($BJ8,坦克个性化设定!$B$18:$E$48,4,FALSE)&amp;$BK8,坦克属性分配比例,MATCH("升星次数",坦克属性分配比例标头,0),FALSE)*VLOOKUP(VLOOKUP($BJ8,坦克个性化设定!$B$18:$E$48,4,FALSE)&amp;$BK8,坦克属性分配比例,MATCH("升星比例",坦克属性分配比例标头,0),FALSE),0)</f>
        <v>66</v>
      </c>
      <c r="BO8" s="103">
        <f ca="1">ROUND(VLOOKUP($BJ8&amp;"初始",$S$3:$AE$63,MATCH(BO$3,$S$3:$AE$3,0),FALSE)+(VLOOKUP($BJ8&amp;"最终",$S$3:$AE$63,MATCH(BO$3,$S$3:$AE$3,0),FALSE)-VLOOKUP($BJ8&amp;"初始",$S$3:$AE$63,MATCH(BO$3,$S$3:$AE$3,0),FALSE))*$BL8/VLOOKUP(VLOOKUP($BJ8,坦克个性化设定!$B$18:$E$48,4,FALSE)&amp;$BK8,坦克属性分配比例,MATCH("升星次数",坦克属性分配比例标头,0),FALSE)*(VLOOKUP(VLOOKUP($BJ8,坦克个性化设定!$B$18:$E$48,4,FALSE)&amp;$BK8,坦克属性分配比例,MATCH("升星比例",坦克属性分配比例标头,0),FALSE)+VLOOKUP(VLOOKUP($BJ8,坦克个性化设定!$B$18:$E$48,4,FALSE)&amp;$BK8,坦克属性分配比例,MATCH("部件比例",坦克属性分配比例标头,0),FALSE)*$C$3),0)</f>
        <v>398</v>
      </c>
      <c r="BP8" s="103">
        <f ca="1">ROUND(VLOOKUP($BJ8&amp;"初始",$S$3:$AE$63,MATCH(BP$3,$S$3:$AE$3,0),FALSE)+(VLOOKUP($BJ8&amp;"最终",$S$3:$AE$63,MATCH(BP$3,$S$3:$AE$3,0),FALSE)-VLOOKUP($BJ8&amp;"初始",$S$3:$AE$63,MATCH(BP$3,$S$3:$AE$3,0),FALSE))*$BL8/VLOOKUP(VLOOKUP($BJ8,坦克个性化设定!$B$18:$E$48,4,FALSE)&amp;$BK8,坦克属性分配比例,MATCH("升星次数",坦克属性分配比例标头,0),FALSE)*(VLOOKUP(VLOOKUP($BJ8,坦克个性化设定!$B$18:$E$48,4,FALSE)&amp;$BK8,坦克属性分配比例,MATCH("升星比例",坦克属性分配比例标头,0),FALSE)+VLOOKUP(VLOOKUP($BJ8,坦克个性化设定!$B$18:$E$48,4,FALSE)&amp;$BK8,坦克属性分配比例,MATCH("部件比例",坦克属性分配比例标头,0),FALSE)*$C$3),0)</f>
        <v>159</v>
      </c>
      <c r="BQ8" s="103">
        <f ca="1">ROUND(VLOOKUP($BJ8&amp;"初始",$S$3:$AE$63,MATCH(BQ$3,$S$3:$AE$3,0),FALSE)+(VLOOKUP($BJ8&amp;"最终",$S$3:$AE$63,MATCH(BQ$3,$S$3:$AE$3,0),FALSE)-VLOOKUP($BJ8&amp;"初始",$S$3:$AE$63,MATCH(BQ$3,$S$3:$AE$3,0),FALSE))*$BL8/VLOOKUP(VLOOKUP($BJ8,坦克个性化设定!$B$18:$E$48,4,FALSE)&amp;$BK8,坦克属性分配比例,MATCH("升星次数",坦克属性分配比例标头,0),FALSE)*VLOOKUP(VLOOKUP($BJ8,坦克个性化设定!$B$18:$E$48,4,FALSE)&amp;$BK8,坦克属性分配比例,MATCH("升星比例",坦克属性分配比例标头,0),FALSE),0)</f>
        <v>350</v>
      </c>
      <c r="BR8" s="2">
        <f ca="1">ROUND(VLOOKUP($BJ8&amp;"初始",$S$3:$AE$63,MATCH(BR$3,$S$3:$AE$3,0),FALSE)+(VLOOKUP($BJ8&amp;"最终",$S$3:$AE$63,MATCH(BR$3,$S$3:$AE$3,0),FALSE)-VLOOKUP($BJ8&amp;"初始",$S$3:$AE$63,MATCH(BR$3,$S$3:$AE$3,0),FALSE))*$BL8/VLOOKUP(VLOOKUP($BJ8,坦克个性化设定!$B$18:$E$48,4,FALSE)&amp;$BK8,坦克属性分配比例,MATCH("升星次数",坦克属性分配比例标头,0),FALSE),0)</f>
        <v>99</v>
      </c>
      <c r="BS8" s="2">
        <f>ROUND(VLOOKUP($BJ8,$AI$3:$AO$33,MATCH(BS$3,$AI$3:$AO$3,0),FALSE)+$BL8/VLOOKUP(VLOOKUP($BJ8,坦克个性化设定!$B$18:$E$48,4,FALSE)&amp;$BK8,坦克属性分配比例,MATCH("升星次数",坦克属性分配比例标头,0),FALSE)*VLOOKUP($BJ8,$AR$3:$AY$33,MATCH(BS$3,$AR$3:$AY$3,0),FALSE),1)</f>
        <v>56.5</v>
      </c>
      <c r="BT8" s="2">
        <f>ROUND(VLOOKUP($BJ8,$AI$3:$AO$33,MATCH(BT$3,$AI$3:$AO$3,0),FALSE)+$BL8/VLOOKUP(VLOOKUP($BJ8,坦克个性化设定!$B$18:$E$48,4,FALSE)&amp;$BK8,坦克属性分配比例,MATCH("升星次数",坦克属性分配比例标头,0),FALSE)*VLOOKUP($BJ8,$AR$3:$AY$33,MATCH(BT$3,$AR$3:$AY$3,0),FALSE),1)</f>
        <v>54</v>
      </c>
      <c r="BU8" s="2">
        <f>ROUND(VLOOKUP($BJ8,$AI$3:$AO$33,MATCH(BU$3,$AI$3:$AO$3,0),FALSE)+$BL8/VLOOKUP(VLOOKUP($BJ8,坦克个性化设定!$B$18:$E$48,4,FALSE)&amp;$BK8,坦克属性分配比例,MATCH("升星次数",坦克属性分配比例标头,0),FALSE)*VLOOKUP($BJ8,$AR$3:$AY$33,MATCH(BU$3,$AR$3:$AY$3,0),FALSE),1)</f>
        <v>10.5</v>
      </c>
      <c r="BV8" s="2">
        <f>IF(VLOOKUP(BJ8,坦克个性化设定!$B$18:$BC$48,MATCH("装弹类型",坦克个性化设定!$B$18:$BC$18,0),FALSE)="弹夹换弹",0,ROUND(VLOOKUP($BJ8,$AI$3:$AO$33,MATCH("换弹时间",$AI$3:$AO$3,0),FALSE)-$BL8/VLOOKUP(VLOOKUP($BJ8,坦克个性化设定!$B$18:$E$48,4,FALSE)&amp;$BK8,坦克属性分配比例,MATCH("升星次数",坦克属性分配比例标头,0),FALSE)*VLOOKUP($BJ8,$AR$3:$AY$33,MATCH("换弹时间",$AR$3:$AY$3,0),FALSE),2))</f>
        <v>0</v>
      </c>
      <c r="BW8" s="2">
        <f>IF(VLOOKUP(BJ8,坦克个性化设定!$B$18:$BC$48,MATCH("装弹类型",坦克个性化设定!$B$18:$BC$18,0),FALSE)="弹夹换弹",ROUND(VLOOKUP($BJ8,$AI$3:$AO$33,MATCH("换弹时间",$AI$3:$AO$3,0),FALSE)-$BL8/VLOOKUP(VLOOKUP($BJ8,坦克个性化设定!$B$18:$E$48,4,FALSE)&amp;$BK8,坦克属性分配比例,MATCH("升星次数",坦克属性分配比例标头,0),FALSE)*VLOOKUP($BJ8,$AR$3:$AY$33,MATCH("换弹时间",$AR$3:$AY$3,0),FALSE),1),0)</f>
        <v>11.3</v>
      </c>
      <c r="BX8" s="2">
        <f>ROUND(VLOOKUP($BJ8,$AI$3:$AO$33,MATCH(BX$3,$AI$3:$AO$3,0),FALSE)+$BL8/VLOOKUP(VLOOKUP($BJ8,坦克个性化设定!$B$18:$E$48,4,FALSE)&amp;$BK8,坦克属性分配比例,MATCH("升星次数",坦克属性分配比例标头,0),FALSE)*VLOOKUP($BJ8,$AR$3:$AY$33,MATCH(BX$3,$AR$3:$AY$3,0),FALSE),2)</f>
        <v>0.32</v>
      </c>
      <c r="BY8" s="2">
        <f>ROUND(VLOOKUP($BJ8,$AI$3:$AO$33,MATCH(BY$3,$AI$3:$AO$3,0),FALSE)-$BL8/VLOOKUP(VLOOKUP($BJ8,坦克个性化设定!$B$18:$E$48,4,FALSE)&amp;$BK8,坦克属性分配比例,MATCH("升星次数",坦克属性分配比例标头,0),FALSE)*VLOOKUP($BJ8,$AR$3:$AY$33,MATCH(BY$3,$AR$3:$AY$3,0),FALSE),2)</f>
        <v>0.33</v>
      </c>
      <c r="CA8" s="2">
        <v>5</v>
      </c>
      <c r="CB8" s="2" t="str">
        <f t="shared" si="15"/>
        <v>十字军</v>
      </c>
      <c r="CC8" s="2" t="str">
        <f>VLOOKUP(CB8,坦克个性化设定!$B$18:$F$48,5,FALSE)</f>
        <v>轻坦弹夹</v>
      </c>
      <c r="CD8" s="29" t="str">
        <f>VLOOKUP(CB8,坦克个性化细分!$I$3:$J$33,2,FALSE)</f>
        <v>中</v>
      </c>
      <c r="CE8" s="42">
        <f ca="1">(VLOOKUP($CB8&amp;"最终",$S$3:$AE$63,MATCH(CE$3,$S$3:$AE$3,0),FALSE)-VLOOKUP($CB8&amp;"初始",$S$3:$AE$63,MATCH(CE$3,$S$3:$AE$3,0),FALSE))*VLOOKUP(VLOOKUP($CB8,坦克个性化设定!$B$18:$E$48,4,FALSE)&amp;$CD8,坦克属性分配比例,MATCH("部件比例",坦克属性分配比例标头,0),FALSE)</f>
        <v>242.86306097415775</v>
      </c>
      <c r="CF8" s="42">
        <f ca="1">(VLOOKUP($CB8&amp;"最终",$S$3:$AE$63,MATCH(CF$3,$S$3:$AE$3,0),FALSE)-VLOOKUP($CB8&amp;"初始",$S$3:$AE$63,MATCH(CF$3,$S$3:$AE$3,0),FALSE))*VLOOKUP(VLOOKUP($CB8,坦克个性化设定!$B$18:$E$48,4,FALSE)&amp;$CD8,坦克属性分配比例,MATCH("部件比例",坦克属性分配比例标头,0),FALSE)</f>
        <v>13.559304506721601</v>
      </c>
      <c r="CG8" s="42">
        <f ca="1">(VLOOKUP($CB8&amp;"最终",$S$3:$AE$63,MATCH(CG$3,$S$3:$AE$3,0),FALSE)-VLOOKUP($CB8&amp;"初始",$S$3:$AE$63,MATCH(CG$3,$S$3:$AE$3,0),FALSE))*VLOOKUP(VLOOKUP($CB8,坦克个性化设定!$B$18:$E$48,4,FALSE)&amp;$CD8,坦克属性分配比例,MATCH("部件比例",坦克属性分配比例标头,0),FALSE)*(1-$C$3)</f>
        <v>38.880000000000003</v>
      </c>
      <c r="CH8" s="42">
        <f ca="1">(VLOOKUP($CB8&amp;"最终",$S$3:$AE$63,MATCH(CH$3,$S$3:$AE$3,0),FALSE)-VLOOKUP($CB8&amp;"初始",$S$3:$AE$63,MATCH(CH$3,$S$3:$AE$3,0),FALSE))*VLOOKUP(VLOOKUP($CB8,坦克个性化设定!$B$18:$E$48,4,FALSE)&amp;$CD8,坦克属性分配比例,MATCH("部件比例",坦克属性分配比例标头,0),FALSE)*(1-$C$3)</f>
        <v>15.680000000000001</v>
      </c>
      <c r="CI8" s="42">
        <f ca="1">(VLOOKUP($CB8&amp;"最终",$S$3:$AE$63,MATCH(CI$3,$S$3:$AE$3,0),FALSE)-VLOOKUP($CB8&amp;"初始",$S$3:$AE$63,MATCH(CI$3,$S$3:$AE$3,0),FALSE))*VLOOKUP(VLOOKUP($CB8,坦克个性化设定!$B$18:$E$48,4,FALSE)&amp;$CD8,坦克属性分配比例,MATCH("部件比例",坦克属性分配比例标头,0),FALSE)</f>
        <v>88.800000000000011</v>
      </c>
    </row>
    <row r="9" spans="2:87" x14ac:dyDescent="0.3">
      <c r="B9" s="2">
        <v>4</v>
      </c>
      <c r="C9" s="2" t="str">
        <f>坦克个性化设定!B22</f>
        <v>35(t)</v>
      </c>
      <c r="D9" s="2">
        <v>1311</v>
      </c>
      <c r="E9" s="2" t="s">
        <v>609</v>
      </c>
      <c r="F9" s="2">
        <v>1</v>
      </c>
      <c r="G9" s="25" t="str">
        <f t="shared" si="17"/>
        <v>35(t)</v>
      </c>
      <c r="H9" s="2" t="str">
        <f>坦克等级成长!B18&amp;坦克等级成长!C18</f>
        <v>T3高</v>
      </c>
      <c r="I9" s="2">
        <v>9</v>
      </c>
      <c r="J9" s="2">
        <f>坦克等级成长!J18</f>
        <v>1.54</v>
      </c>
      <c r="K9" s="2">
        <f>坦克等级成长!K18</f>
        <v>2.33</v>
      </c>
      <c r="L9" s="2">
        <f>坦克等级成长!E18</f>
        <v>5</v>
      </c>
      <c r="M9" s="2">
        <f>IFERROR(VLOOKUP(L9,坦克部件!$N$3:$R$9,5,FALSE),VLOOKUP(L9-1,坦克部件!$N$3:$R$9,5,FALSE))</f>
        <v>0.309</v>
      </c>
      <c r="N9" s="2">
        <f t="shared" si="0"/>
        <v>0.47586000000000001</v>
      </c>
      <c r="O9" s="161">
        <f t="shared" si="1"/>
        <v>0.6</v>
      </c>
      <c r="P9" s="154">
        <v>0.4</v>
      </c>
      <c r="Q9" s="162"/>
      <c r="R9" s="25"/>
      <c r="S9" s="2" t="str">
        <f t="shared" si="2"/>
        <v>Puma最终</v>
      </c>
      <c r="T9" s="2">
        <f>IF(COUNTIF(U$4:U8,U8)&gt;=$B$3,T8+1,T8)</f>
        <v>3</v>
      </c>
      <c r="U9" s="2" t="str">
        <f t="shared" si="3"/>
        <v>Puma</v>
      </c>
      <c r="V9" s="2" t="str">
        <f>VLOOKUP(U9,坦克个性化设定!$B$18:$F$48,5,FALSE)</f>
        <v>轻坦弹夹</v>
      </c>
      <c r="W9" s="29" t="str">
        <f>VLOOKUP(U9,坦克个性化细分!$I$3:$J$33,2,FALSE)</f>
        <v>中</v>
      </c>
      <c r="X9" s="2" t="str">
        <f t="shared" si="16"/>
        <v>最终</v>
      </c>
      <c r="Y9" s="2" t="str">
        <f>VLOOKUP(VLOOKUP(U9,坦克个性化设定!$B$18:$F$48,4,FALSE)&amp;W9,坦克等级成长!$P$12:$U$24,MATCH(X9,坦克等级成长!$P$12:$U$12,0),FALSE)</f>
        <v>T2中4</v>
      </c>
      <c r="Z9" s="42">
        <f ca="1">VLOOKUP($Y9,INDIRECT($V9&amp;"_阶段属性"),MATCH(Z$3,属性标头_阶段属性,0),FALSE)*VLOOKUP($U9,坦克个性化设定!$B$84:$D$114,2,FALSE)</f>
        <v>1519.9332579392922</v>
      </c>
      <c r="AA9" s="42">
        <f ca="1">VLOOKUP($Y9,INDIRECT($V9&amp;"_阶段属性"),MATCH(AA$3,属性标头_阶段属性,0),FALSE)*VLOOKUP($U9,坦克个性化设定!$B$84:$D$114,3,FALSE)</f>
        <v>124.63553312910116</v>
      </c>
      <c r="AB9" s="2">
        <f t="shared" ca="1" si="4"/>
        <v>578</v>
      </c>
      <c r="AC9" s="2">
        <f t="shared" ca="1" si="4"/>
        <v>231</v>
      </c>
      <c r="AD9" s="2">
        <f t="shared" ca="1" si="4"/>
        <v>528</v>
      </c>
      <c r="AE9" s="2">
        <f t="shared" ca="1" si="4"/>
        <v>141</v>
      </c>
      <c r="AF9" s="25"/>
      <c r="AH9" s="2">
        <v>6</v>
      </c>
      <c r="AI9" s="2" t="str">
        <f t="shared" si="5"/>
        <v>AMX-13</v>
      </c>
      <c r="AJ9" s="2">
        <f>VLOOKUP($AI9,坦克个性化细分!$I$3:$P$33,MATCH(AJ$3,坦克个性化细分!$I$3:$P$3,0),FALSE)</f>
        <v>39.6</v>
      </c>
      <c r="AK9" s="2">
        <f>VLOOKUP($AI9,坦克个性化细分!$I$3:$P$33,MATCH(AK$3,坦克个性化细分!$I$3:$P$3,0),FALSE)</f>
        <v>59.1</v>
      </c>
      <c r="AL9" s="2">
        <f>VLOOKUP($AI9,坦克个性化细分!$I$3:$P$33,MATCH(AL$3,坦克个性化细分!$I$3:$P$3,0),FALSE)</f>
        <v>9.9</v>
      </c>
      <c r="AM9" s="34">
        <f>VLOOKUP(AI9,坦克个性化细分!$AA$3:$AP$33,MATCH("射击偏移角",坦克个性化细分!$AA$3:$AP$3,0),FALSE)/VLOOKUP(AI9,坦克个性化细分!$AA$3:$AP$33,MATCH("原瞄准速度",坦克个性化细分!$AA$3:$AP$3,0),FALSE)</f>
        <v>0.47499999999999998</v>
      </c>
      <c r="AN9" s="34">
        <f>VLOOKUP(AI9,坦克个性化细分!$AA$3:$AP$33,MATCH(AN$3,坦克个性化细分!$AA$3:$AP$3,0),FALSE)</f>
        <v>0.8</v>
      </c>
      <c r="AO9" s="2">
        <f>VLOOKUP(AI9,坦克个性化细分!$AA$3:$AP$33,MATCH("原换弹时间",坦克个性化细分!$AA$3:$AP$3,0),FALSE)</f>
        <v>9.7999999999999989</v>
      </c>
      <c r="AP9" s="132"/>
      <c r="AQ9" s="2">
        <v>6</v>
      </c>
      <c r="AR9" s="2" t="str">
        <f t="shared" si="6"/>
        <v>AMX-13</v>
      </c>
      <c r="AS9" s="2" t="s">
        <v>79</v>
      </c>
      <c r="AT9" s="34">
        <f>VLOOKUP(AR9,坦克个性化细分!$I$3:$P$33,MATCH("养成区间1",坦克个性化细分!$I$3:$P$3,0),FALSE)</f>
        <v>9.8999999999999986</v>
      </c>
      <c r="AU9" s="2">
        <f>VLOOKUP(AR9,坦克个性化细分!$I$3:$P$33,MATCH("养成区间2",坦克个性化细分!$I$3:$P$3,0),FALSE)</f>
        <v>14.774999999999997</v>
      </c>
      <c r="AV9" s="2">
        <f>VLOOKUP(AR9,坦克个性化细分!$I$3:$P$33,MATCH("养成区间3",坦克个性化细分!$I$3:$P$3,0),FALSE)</f>
        <v>0</v>
      </c>
      <c r="AW9" s="34">
        <f>VLOOKUP(AR9,坦克个性化细分!$AA$3:$AP$33,MATCH("瞄准区间",坦克个性化细分!$AA$3:$AP$3,0),FALSE)</f>
        <v>7.9166666666666663E-2</v>
      </c>
      <c r="AX9" s="34">
        <f>VLOOKUP(AI9,坦克个性化细分!$AA$3:$AP$33,MATCH("后射击间隔",坦克个性化细分!$AA$3:$AP$3,0),FALSE)-VLOOKUP(AI9,坦克个性化细分!$AA$3:$AP$33,MATCH(AN$3,坦克个性化细分!$AA$3:$AP$3,0),FALSE)</f>
        <v>0</v>
      </c>
      <c r="AY9" s="34">
        <f>VLOOKUP(AR9,坦克个性化细分!$AA$3:$AP$33,MATCH("换弹区间",坦克个性化细分!$AA$3:$AP$3,0),FALSE)</f>
        <v>3.5207924088563303</v>
      </c>
      <c r="AZ9" s="132"/>
      <c r="BA9" s="34">
        <f t="shared" si="8"/>
        <v>0.24999999999999994</v>
      </c>
      <c r="BB9" s="34">
        <f t="shared" si="9"/>
        <v>0.24999999999999994</v>
      </c>
      <c r="BC9" s="34">
        <f t="shared" si="10"/>
        <v>0</v>
      </c>
      <c r="BD9" s="34">
        <f t="shared" si="11"/>
        <v>0.16666666666666666</v>
      </c>
      <c r="BE9" s="34">
        <f t="shared" si="12"/>
        <v>0.35926453151595211</v>
      </c>
      <c r="BF9" s="34"/>
      <c r="BG9" s="132"/>
      <c r="BH9" s="2" t="str">
        <f t="shared" si="13"/>
        <v>雷诺FT5</v>
      </c>
      <c r="BI9" s="2">
        <f>IF(BL8&gt;=VLOOKUP(VLOOKUP(BJ8,坦克个性化设定!$B$18:$E$48,4,FALSE)&amp;BK8,坦克属性分配比例,MATCH("升星次数",坦克属性分配比例标头,0),FALSE),BI8+1,BI8)</f>
        <v>1</v>
      </c>
      <c r="BJ9" s="2" t="str">
        <f t="shared" si="14"/>
        <v>雷诺FT</v>
      </c>
      <c r="BK9" s="29" t="str">
        <f>VLOOKUP(BJ9,坦克个性化细分!$I$3:$J$33,2,FALSE)</f>
        <v>低</v>
      </c>
      <c r="BL9" s="2">
        <f t="shared" si="7"/>
        <v>5</v>
      </c>
      <c r="BM9" s="103">
        <f ca="1">ROUND(VLOOKUP($BJ9&amp;"初始",$S$3:$AE$63,MATCH(BM$3,$S$3:$AE$3,0),FALSE)+((VLOOKUP($BJ9&amp;"最终",$S$3:$AE$63,MATCH(BM$3,$S$3:$AE$3,0),FALSE)*坦克个性化细分!$C$9-VLOOKUP($BJ9&amp;"初始",$S$3:$AE$63,MATCH(BM$3,$S$3:$AE$3,0),FALSE))-(VLOOKUP($BJ9&amp;"最终",$S$3:$AE$63,MATCH(BM$3,$S$3:$AE$3,0),FALSE)-VLOOKUP($BJ9&amp;"初始",$S$3:$AE$63,MATCH(BM$3,$S$3:$AE$3,0),FALSE))*VLOOKUP(VLOOKUP($BJ9,坦克个性化设定!$B$18:$E$48,4,FALSE)&amp;$BK9,坦克属性分配比例,MATCH("部件比例",坦克属性分配比例标头,0),FALSE))*$BL9/VLOOKUP(VLOOKUP($BJ9,坦克个性化设定!$B$18:$E$48,4,FALSE)&amp;$BK9,坦克属性分配比例,MATCH("升星次数",坦克属性分配比例标头,0),FALSE),0)</f>
        <v>1122</v>
      </c>
      <c r="BN9" s="103">
        <f ca="1">ROUND(VLOOKUP($BJ9&amp;"初始",$S$3:$AE$63,MATCH(BN$3,$S$3:$AE$3,0),FALSE)+(VLOOKUP($BJ9&amp;"最终",$S$3:$AE$63,MATCH(BN$3,$S$3:$AE$3,0),FALSE)-VLOOKUP($BJ9&amp;"初始",$S$3:$AE$63,MATCH(BN$3,$S$3:$AE$3,0),FALSE))*$BL9/VLOOKUP(VLOOKUP($BJ9,坦克个性化设定!$B$18:$E$48,4,FALSE)&amp;$BK9,坦克属性分配比例,MATCH("升星次数",坦克属性分配比例标头,0),FALSE)*VLOOKUP(VLOOKUP($BJ9,坦克个性化设定!$B$18:$E$48,4,FALSE)&amp;$BK9,坦克属性分配比例,MATCH("升星比例",坦克属性分配比例标头,0),FALSE),0)</f>
        <v>68</v>
      </c>
      <c r="BO9" s="103">
        <f ca="1">ROUND(VLOOKUP($BJ9&amp;"初始",$S$3:$AE$63,MATCH(BO$3,$S$3:$AE$3,0),FALSE)+(VLOOKUP($BJ9&amp;"最终",$S$3:$AE$63,MATCH(BO$3,$S$3:$AE$3,0),FALSE)-VLOOKUP($BJ9&amp;"初始",$S$3:$AE$63,MATCH(BO$3,$S$3:$AE$3,0),FALSE))*$BL9/VLOOKUP(VLOOKUP($BJ9,坦克个性化设定!$B$18:$E$48,4,FALSE)&amp;$BK9,坦克属性分配比例,MATCH("升星次数",坦克属性分配比例标头,0),FALSE)*(VLOOKUP(VLOOKUP($BJ9,坦克个性化设定!$B$18:$E$48,4,FALSE)&amp;$BK9,坦克属性分配比例,MATCH("升星比例",坦克属性分配比例标头,0),FALSE)+VLOOKUP(VLOOKUP($BJ9,坦克个性化设定!$B$18:$E$48,4,FALSE)&amp;$BK9,坦克属性分配比例,MATCH("部件比例",坦克属性分配比例标头,0),FALSE)*$C$3),0)</f>
        <v>415</v>
      </c>
      <c r="BP9" s="103">
        <f ca="1">ROUND(VLOOKUP($BJ9&amp;"初始",$S$3:$AE$63,MATCH(BP$3,$S$3:$AE$3,0),FALSE)+(VLOOKUP($BJ9&amp;"最终",$S$3:$AE$63,MATCH(BP$3,$S$3:$AE$3,0),FALSE)-VLOOKUP($BJ9&amp;"初始",$S$3:$AE$63,MATCH(BP$3,$S$3:$AE$3,0),FALSE))*$BL9/VLOOKUP(VLOOKUP($BJ9,坦克个性化设定!$B$18:$E$48,4,FALSE)&amp;$BK9,坦克属性分配比例,MATCH("升星次数",坦克属性分配比例标头,0),FALSE)*(VLOOKUP(VLOOKUP($BJ9,坦克个性化设定!$B$18:$E$48,4,FALSE)&amp;$BK9,坦克属性分配比例,MATCH("升星比例",坦克属性分配比例标头,0),FALSE)+VLOOKUP(VLOOKUP($BJ9,坦克个性化设定!$B$18:$E$48,4,FALSE)&amp;$BK9,坦克属性分配比例,MATCH("部件比例",坦克属性分配比例标头,0),FALSE)*$C$3),0)</f>
        <v>166</v>
      </c>
      <c r="BQ9" s="103">
        <f ca="1">ROUND(VLOOKUP($BJ9&amp;"初始",$S$3:$AE$63,MATCH(BQ$3,$S$3:$AE$3,0),FALSE)+(VLOOKUP($BJ9&amp;"最终",$S$3:$AE$63,MATCH(BQ$3,$S$3:$AE$3,0),FALSE)-VLOOKUP($BJ9&amp;"初始",$S$3:$AE$63,MATCH(BQ$3,$S$3:$AE$3,0),FALSE))*$BL9/VLOOKUP(VLOOKUP($BJ9,坦克个性化设定!$B$18:$E$48,4,FALSE)&amp;$BK9,坦克属性分配比例,MATCH("升星次数",坦克属性分配比例标头,0),FALSE)*VLOOKUP(VLOOKUP($BJ9,坦克个性化设定!$B$18:$E$48,4,FALSE)&amp;$BK9,坦克属性分配比例,MATCH("升星比例",坦克属性分配比例标头,0),FALSE),0)</f>
        <v>363</v>
      </c>
      <c r="BR9" s="2">
        <f ca="1">ROUND(VLOOKUP($BJ9&amp;"初始",$S$3:$AE$63,MATCH(BR$3,$S$3:$AE$3,0),FALSE)+(VLOOKUP($BJ9&amp;"最终",$S$3:$AE$63,MATCH(BR$3,$S$3:$AE$3,0),FALSE)-VLOOKUP($BJ9&amp;"初始",$S$3:$AE$63,MATCH(BR$3,$S$3:$AE$3,0),FALSE))*$BL9/VLOOKUP(VLOOKUP($BJ9,坦克个性化设定!$B$18:$E$48,4,FALSE)&amp;$BK9,坦克属性分配比例,MATCH("升星次数",坦克属性分配比例标头,0),FALSE),0)</f>
        <v>104</v>
      </c>
      <c r="BS9" s="2">
        <f>ROUND(VLOOKUP($BJ9,$AI$3:$AO$33,MATCH(BS$3,$AI$3:$AO$3,0),FALSE)+$BL9/VLOOKUP(VLOOKUP($BJ9,坦克个性化设定!$B$18:$E$48,4,FALSE)&amp;$BK9,坦克属性分配比例,MATCH("升星次数",坦克属性分配比例标头,0),FALSE)*VLOOKUP($BJ9,$AR$3:$AY$33,MATCH(BS$3,$AR$3:$AY$3,0),FALSE),1)</f>
        <v>58.9</v>
      </c>
      <c r="BT9" s="2">
        <f>ROUND(VLOOKUP($BJ9,$AI$3:$AO$33,MATCH(BT$3,$AI$3:$AO$3,0),FALSE)+$BL9/VLOOKUP(VLOOKUP($BJ9,坦克个性化设定!$B$18:$E$48,4,FALSE)&amp;$BK9,坦克属性分配比例,MATCH("升星次数",坦克属性分配比例标头,0),FALSE)*VLOOKUP($BJ9,$AR$3:$AY$33,MATCH(BT$3,$AR$3:$AY$3,0),FALSE),1)</f>
        <v>56.3</v>
      </c>
      <c r="BU9" s="2">
        <f>ROUND(VLOOKUP($BJ9,$AI$3:$AO$33,MATCH(BU$3,$AI$3:$AO$3,0),FALSE)+$BL9/VLOOKUP(VLOOKUP($BJ9,坦克个性化设定!$B$18:$E$48,4,FALSE)&amp;$BK9,坦克属性分配比例,MATCH("升星次数",坦克属性分配比例标头,0),FALSE)*VLOOKUP($BJ9,$AR$3:$AY$33,MATCH(BU$3,$AR$3:$AY$3,0),FALSE),1)</f>
        <v>10.5</v>
      </c>
      <c r="BV9" s="2">
        <f>IF(VLOOKUP(BJ9,坦克个性化设定!$B$18:$BC$48,MATCH("装弹类型",坦克个性化设定!$B$18:$BC$18,0),FALSE)="弹夹换弹",0,ROUND(VLOOKUP($BJ9,$AI$3:$AO$33,MATCH("换弹时间",$AI$3:$AO$3,0),FALSE)-$BL9/VLOOKUP(VLOOKUP($BJ9,坦克个性化设定!$B$18:$E$48,4,FALSE)&amp;$BK9,坦克属性分配比例,MATCH("升星次数",坦克属性分配比例标头,0),FALSE)*VLOOKUP($BJ9,$AR$3:$AY$33,MATCH("换弹时间",$AR$3:$AY$3,0),FALSE),2))</f>
        <v>0</v>
      </c>
      <c r="BW9" s="2">
        <f>IF(VLOOKUP(BJ9,坦克个性化设定!$B$18:$BC$48,MATCH("装弹类型",坦克个性化设定!$B$18:$BC$18,0),FALSE)="弹夹换弹",ROUND(VLOOKUP($BJ9,$AI$3:$AO$33,MATCH("换弹时间",$AI$3:$AO$3,0),FALSE)-$BL9/VLOOKUP(VLOOKUP($BJ9,坦克个性化设定!$B$18:$E$48,4,FALSE)&amp;$BK9,坦克属性分配比例,MATCH("升星次数",坦克属性分配比例标头,0),FALSE)*VLOOKUP($BJ9,$AR$3:$AY$33,MATCH("换弹时间",$AR$3:$AY$3,0),FALSE),1),0)</f>
        <v>12.3</v>
      </c>
      <c r="BX9" s="2">
        <f>ROUND(VLOOKUP($BJ9,$AI$3:$AO$33,MATCH(BX$3,$AI$3:$AO$3,0),FALSE)+$BL9/VLOOKUP(VLOOKUP($BJ9,坦克个性化设定!$B$18:$E$48,4,FALSE)&amp;$BK9,坦克属性分配比例,MATCH("升星次数",坦克属性分配比例标头,0),FALSE)*VLOOKUP($BJ9,$AR$3:$AY$33,MATCH(BX$3,$AR$3:$AY$3,0),FALSE),2)</f>
        <v>0.25</v>
      </c>
      <c r="BY9" s="2">
        <f>ROUND(VLOOKUP($BJ9,$AI$3:$AO$33,MATCH(BY$3,$AI$3:$AO$3,0),FALSE)-$BL9/VLOOKUP(VLOOKUP($BJ9,坦克个性化设定!$B$18:$E$48,4,FALSE)&amp;$BK9,坦克属性分配比例,MATCH("升星次数",坦克属性分配比例标头,0),FALSE)*VLOOKUP($BJ9,$AR$3:$AY$33,MATCH(BY$3,$AR$3:$AY$3,0),FALSE),2)</f>
        <v>0.31</v>
      </c>
      <c r="BZ9" s="133"/>
      <c r="CA9" s="2">
        <v>6</v>
      </c>
      <c r="CB9" s="2" t="str">
        <f t="shared" si="15"/>
        <v>AMX-13</v>
      </c>
      <c r="CC9" s="2" t="str">
        <f>VLOOKUP(CB9,坦克个性化设定!$B$18:$F$48,5,FALSE)</f>
        <v>轻坦弹夹</v>
      </c>
      <c r="CD9" s="29" t="str">
        <f>VLOOKUP(CB9,坦克个性化细分!$I$3:$J$33,2,FALSE)</f>
        <v>高</v>
      </c>
      <c r="CE9" s="42">
        <f ca="1">(VLOOKUP($CB9&amp;"最终",$S$3:$AE$63,MATCH(CE$3,$S$3:$AE$3,0),FALSE)-VLOOKUP($CB9&amp;"初始",$S$3:$AE$63,MATCH(CE$3,$S$3:$AE$3,0),FALSE))*VLOOKUP(VLOOKUP($CB9,坦克个性化设定!$B$18:$E$48,4,FALSE)&amp;$CD9,坦克属性分配比例,MATCH("部件比例",坦克属性分配比例标头,0),FALSE)</f>
        <v>224.58751385068965</v>
      </c>
      <c r="CF9" s="42">
        <f ca="1">(VLOOKUP($CB9&amp;"最终",$S$3:$AE$63,MATCH(CF$3,$S$3:$AE$3,0),FALSE)-VLOOKUP($CB9&amp;"初始",$S$3:$AE$63,MATCH(CF$3,$S$3:$AE$3,0),FALSE))*VLOOKUP(VLOOKUP($CB9,坦克个性化设定!$B$18:$E$48,4,FALSE)&amp;$CD9,坦克属性分配比例,MATCH("部件比例",坦克属性分配比例标头,0),FALSE)</f>
        <v>20.178173741765473</v>
      </c>
      <c r="CG9" s="42">
        <f ca="1">(VLOOKUP($CB9&amp;"最终",$S$3:$AE$63,MATCH(CG$3,$S$3:$AE$3,0),FALSE)-VLOOKUP($CB9&amp;"初始",$S$3:$AE$63,MATCH(CG$3,$S$3:$AE$3,0),FALSE))*VLOOKUP(VLOOKUP($CB9,坦克个性化设定!$B$18:$E$48,4,FALSE)&amp;$CD9,坦克属性分配比例,MATCH("部件比例",坦克属性分配比例标头,0),FALSE)*(1-$C$3)</f>
        <v>41.6</v>
      </c>
      <c r="CH9" s="42">
        <f ca="1">(VLOOKUP($CB9&amp;"最终",$S$3:$AE$63,MATCH(CH$3,$S$3:$AE$3,0),FALSE)-VLOOKUP($CB9&amp;"初始",$S$3:$AE$63,MATCH(CH$3,$S$3:$AE$3,0),FALSE))*VLOOKUP(VLOOKUP($CB9,坦克个性化设定!$B$18:$E$48,4,FALSE)&amp;$CD9,坦克属性分配比例,MATCH("部件比例",坦克属性分配比例标头,0),FALSE)*(1-$C$3)</f>
        <v>16.64</v>
      </c>
      <c r="CI9" s="42">
        <f ca="1">(VLOOKUP($CB9&amp;"最终",$S$3:$AE$63,MATCH(CI$3,$S$3:$AE$3,0),FALSE)-VLOOKUP($CB9&amp;"初始",$S$3:$AE$63,MATCH(CI$3,$S$3:$AE$3,0),FALSE))*VLOOKUP(VLOOKUP($CB9,坦克个性化设定!$B$18:$E$48,4,FALSE)&amp;$CD9,坦克属性分配比例,MATCH("部件比例",坦克属性分配比例标头,0),FALSE)</f>
        <v>94.800000000000011</v>
      </c>
    </row>
    <row r="10" spans="2:87" x14ac:dyDescent="0.3">
      <c r="B10" s="2">
        <v>5</v>
      </c>
      <c r="C10" s="2" t="str">
        <f>坦克个性化设定!B23</f>
        <v>十字军</v>
      </c>
      <c r="D10" s="2">
        <v>1321</v>
      </c>
      <c r="E10" s="2" t="s">
        <v>612</v>
      </c>
      <c r="F10" s="2">
        <v>1</v>
      </c>
      <c r="G10" s="25" t="str">
        <f t="shared" si="17"/>
        <v>十字军</v>
      </c>
      <c r="H10" s="2" t="str">
        <f>坦克等级成长!B19&amp;坦克等级成长!C19</f>
        <v>T4低</v>
      </c>
      <c r="I10" s="2">
        <v>11</v>
      </c>
      <c r="J10" s="2">
        <f>坦克等级成长!J19</f>
        <v>1.92</v>
      </c>
      <c r="K10" s="2">
        <f>坦克等级成长!K19</f>
        <v>3.2800000000000002</v>
      </c>
      <c r="L10" s="2">
        <f>坦克等级成长!E19</f>
        <v>7</v>
      </c>
      <c r="M10" s="2">
        <f>IFERROR(VLOOKUP(L10,坦克部件!$N$3:$R$9,5,FALSE),VLOOKUP(L10-1,坦克部件!$N$3:$R$9,5,FALSE))</f>
        <v>0.35499999999999998</v>
      </c>
      <c r="N10" s="2">
        <f t="shared" si="0"/>
        <v>0.68159999999999998</v>
      </c>
      <c r="O10" s="161">
        <f t="shared" si="1"/>
        <v>0.55000000000000004</v>
      </c>
      <c r="P10" s="154">
        <v>0.45</v>
      </c>
      <c r="Q10" s="162"/>
      <c r="R10" s="25"/>
      <c r="S10" s="2" t="str">
        <f t="shared" si="2"/>
        <v>35(t)初始</v>
      </c>
      <c r="T10" s="2">
        <f>IF(COUNTIF(U$4:U9,U9)&gt;=$B$3,T9+1,T9)</f>
        <v>4</v>
      </c>
      <c r="U10" s="2" t="str">
        <f t="shared" si="3"/>
        <v>35(t)</v>
      </c>
      <c r="V10" s="2" t="str">
        <f>VLOOKUP(U10,坦克个性化设定!$B$18:$F$48,5,FALSE)</f>
        <v>轻坦弹夹</v>
      </c>
      <c r="W10" s="29" t="str">
        <f>VLOOKUP(U10,坦克个性化细分!$I$3:$J$33,2,FALSE)</f>
        <v>低</v>
      </c>
      <c r="X10" s="2" t="str">
        <f t="shared" si="16"/>
        <v>初始</v>
      </c>
      <c r="Y10" s="2" t="str">
        <f>VLOOKUP(VLOOKUP(U10,坦克个性化设定!$B$18:$F$48,4,FALSE)&amp;W10,坦克等级成长!$P$12:$U$24,MATCH(X10,坦克等级成长!$P$12:$U$12,0),FALSE)</f>
        <v>T3低3</v>
      </c>
      <c r="Z10" s="42">
        <f ca="1">VLOOKUP($Y10,INDIRECT($V10&amp;"_阶段属性"),MATCH(Z$3,属性标头_阶段属性,0),FALSE)*VLOOKUP($U10,坦克个性化设定!$B$84:$D$114,2,FALSE)</f>
        <v>1203.6691040422745</v>
      </c>
      <c r="AA10" s="42">
        <f ca="1">VLOOKUP($Y10,INDIRECT($V10&amp;"_阶段属性"),MATCH(AA$3,属性标头_阶段属性,0),FALSE)*VLOOKUP($U10,坦克个性化设定!$B$84:$D$114,3,FALSE)</f>
        <v>104.92794695129358</v>
      </c>
      <c r="AB10" s="2">
        <f t="shared" ca="1" si="4"/>
        <v>486</v>
      </c>
      <c r="AC10" s="2">
        <f t="shared" ca="1" si="4"/>
        <v>195</v>
      </c>
      <c r="AD10" s="2">
        <f t="shared" ca="1" si="4"/>
        <v>444</v>
      </c>
      <c r="AE10" s="2">
        <f t="shared" ca="1" si="4"/>
        <v>118</v>
      </c>
      <c r="AF10" s="25"/>
      <c r="AH10" s="2">
        <v>7</v>
      </c>
      <c r="AI10" s="2" t="str">
        <f t="shared" si="5"/>
        <v>霞飞</v>
      </c>
      <c r="AJ10" s="2">
        <f>VLOOKUP($AI10,坦克个性化细分!$I$3:$P$33,MATCH(AJ$3,坦克个性化细分!$I$3:$P$3,0),FALSE)</f>
        <v>42.4</v>
      </c>
      <c r="AK10" s="2">
        <f>VLOOKUP($AI10,坦克个性化细分!$I$3:$P$33,MATCH(AK$3,坦克个性化细分!$I$3:$P$3,0),FALSE)</f>
        <v>50</v>
      </c>
      <c r="AL10" s="2">
        <f>VLOOKUP($AI10,坦克个性化细分!$I$3:$P$33,MATCH(AL$3,坦克个性化细分!$I$3:$P$3,0),FALSE)</f>
        <v>10</v>
      </c>
      <c r="AM10" s="34">
        <f>VLOOKUP(AI10,坦克个性化细分!$AA$3:$AP$33,MATCH("射击偏移角",坦克个性化细分!$AA$3:$AP$3,0),FALSE)/VLOOKUP(AI10,坦克个性化细分!$AA$3:$AP$33,MATCH("原瞄准速度",坦克个性化细分!$AA$3:$AP$3,0),FALSE)</f>
        <v>0.4</v>
      </c>
      <c r="AN10" s="34">
        <f>VLOOKUP(AI10,坦克个性化细分!$AA$3:$AP$33,MATCH(AN$3,坦克个性化细分!$AA$3:$AP$3,0),FALSE)</f>
        <v>0.60000000000000009</v>
      </c>
      <c r="AO10" s="2">
        <f>VLOOKUP(AI10,坦克个性化细分!$AA$3:$AP$33,MATCH("原换弹时间",坦克个性化细分!$AA$3:$AP$3,0),FALSE)</f>
        <v>9.7999999999999989</v>
      </c>
      <c r="AP10" s="132"/>
      <c r="AQ10" s="2">
        <v>7</v>
      </c>
      <c r="AR10" s="2" t="str">
        <f t="shared" si="6"/>
        <v>霞飞</v>
      </c>
      <c r="AS10" s="2" t="s">
        <v>77</v>
      </c>
      <c r="AT10" s="34">
        <f>VLOOKUP(AR10,坦克个性化细分!$I$3:$P$33,MATCH("养成区间1",坦克个性化细分!$I$3:$P$3,0),FALSE)</f>
        <v>10.599999999999996</v>
      </c>
      <c r="AU10" s="2">
        <f>VLOOKUP(AR10,坦克个性化细分!$I$3:$P$33,MATCH("养成区间2",坦克个性化细分!$I$3:$P$3,0),FALSE)</f>
        <v>12.499999999999996</v>
      </c>
      <c r="AV10" s="2">
        <f>VLOOKUP(AR10,坦克个性化细分!$I$3:$P$33,MATCH("养成区间3",坦克个性化细分!$I$3:$P$3,0),FALSE)</f>
        <v>0</v>
      </c>
      <c r="AW10" s="34">
        <f>VLOOKUP(AR10,坦克个性化细分!$AA$3:$AP$33,MATCH("瞄准区间",坦克个性化细分!$AA$3:$AP$3,0),FALSE)</f>
        <v>6.6666666666666707E-2</v>
      </c>
      <c r="AX10" s="34">
        <f>VLOOKUP(AI10,坦克个性化细分!$AA$3:$AP$33,MATCH("后射击间隔",坦克个性化细分!$AA$3:$AP$3,0),FALSE)-VLOOKUP(AI10,坦克个性化细分!$AA$3:$AP$33,MATCH(AN$3,坦克个性化细分!$AA$3:$AP$3,0),FALSE)</f>
        <v>0</v>
      </c>
      <c r="AY10" s="34">
        <f>VLOOKUP(AR10,坦克个性化细分!$AA$3:$AP$33,MATCH("换弹区间",坦克个性化细分!$AA$3:$AP$3,0),FALSE)</f>
        <v>2.9403542364767805</v>
      </c>
      <c r="AZ10" s="132"/>
      <c r="BA10" s="34">
        <f t="shared" si="8"/>
        <v>0.24999999999999992</v>
      </c>
      <c r="BB10" s="34">
        <f t="shared" si="9"/>
        <v>0.24999999999999992</v>
      </c>
      <c r="BC10" s="34">
        <f t="shared" si="10"/>
        <v>0</v>
      </c>
      <c r="BD10" s="34">
        <f t="shared" si="11"/>
        <v>0.16666666666666677</v>
      </c>
      <c r="BE10" s="34">
        <f t="shared" si="12"/>
        <v>0.30003614657926336</v>
      </c>
      <c r="BF10" s="34"/>
      <c r="BG10" s="132"/>
      <c r="BH10" s="2" t="str">
        <f t="shared" si="13"/>
        <v>二号0</v>
      </c>
      <c r="BI10" s="2">
        <f>IF(BL9&gt;=VLOOKUP(VLOOKUP(BJ9,坦克个性化设定!$B$18:$E$48,4,FALSE)&amp;BK9,坦克属性分配比例,MATCH("升星次数",坦克属性分配比例标头,0),FALSE),BI9+1,BI9)</f>
        <v>2</v>
      </c>
      <c r="BJ10" s="2" t="str">
        <f t="shared" si="14"/>
        <v>二号</v>
      </c>
      <c r="BK10" s="29" t="str">
        <f>VLOOKUP(BJ10,坦克个性化细分!$I$3:$J$33,2,FALSE)</f>
        <v>低</v>
      </c>
      <c r="BL10" s="2">
        <f t="shared" si="7"/>
        <v>0</v>
      </c>
      <c r="BM10" s="103">
        <f ca="1">ROUND(VLOOKUP($BJ10&amp;"初始",$S$3:$AE$63,MATCH(BM$3,$S$3:$AE$3,0),FALSE)+((VLOOKUP($BJ10&amp;"最终",$S$3:$AE$63,MATCH(BM$3,$S$3:$AE$3,0),FALSE)*坦克个性化细分!$C$9-VLOOKUP($BJ10&amp;"初始",$S$3:$AE$63,MATCH(BM$3,$S$3:$AE$3,0),FALSE))-(VLOOKUP($BJ10&amp;"最终",$S$3:$AE$63,MATCH(BM$3,$S$3:$AE$3,0),FALSE)-VLOOKUP($BJ10&amp;"初始",$S$3:$AE$63,MATCH(BM$3,$S$3:$AE$3,0),FALSE))*VLOOKUP(VLOOKUP($BJ10,坦克个性化设定!$B$18:$E$48,4,FALSE)&amp;$BK10,坦克属性分配比例,MATCH("部件比例",坦克属性分配比例标头,0),FALSE))*$BL10/VLOOKUP(VLOOKUP($BJ10,坦克个性化设定!$B$18:$E$48,4,FALSE)&amp;$BK10,坦克属性分配比例,MATCH("升星次数",坦克属性分配比例标头,0),FALSE),0)</f>
        <v>876</v>
      </c>
      <c r="BN10" s="103">
        <f ca="1">ROUND(VLOOKUP($BJ10&amp;"初始",$S$3:$AE$63,MATCH(BN$3,$S$3:$AE$3,0),FALSE)+(VLOOKUP($BJ10&amp;"最终",$S$3:$AE$63,MATCH(BN$3,$S$3:$AE$3,0),FALSE)-VLOOKUP($BJ10&amp;"初始",$S$3:$AE$63,MATCH(BN$3,$S$3:$AE$3,0),FALSE))*$BL10/VLOOKUP(VLOOKUP($BJ10,坦克个性化设定!$B$18:$E$48,4,FALSE)&amp;$BK10,坦克属性分配比例,MATCH("升星次数",坦克属性分配比例标头,0),FALSE)*VLOOKUP(VLOOKUP($BJ10,坦克个性化设定!$B$18:$E$48,4,FALSE)&amp;$BK10,坦克属性分配比例,MATCH("升星比例",坦克属性分配比例标头,0),FALSE),0)</f>
        <v>75</v>
      </c>
      <c r="BO10" s="103">
        <f ca="1">ROUND(VLOOKUP($BJ10&amp;"初始",$S$3:$AE$63,MATCH(BO$3,$S$3:$AE$3,0),FALSE)+(VLOOKUP($BJ10&amp;"最终",$S$3:$AE$63,MATCH(BO$3,$S$3:$AE$3,0),FALSE)-VLOOKUP($BJ10&amp;"初始",$S$3:$AE$63,MATCH(BO$3,$S$3:$AE$3,0),FALSE))*$BL10/VLOOKUP(VLOOKUP($BJ10,坦克个性化设定!$B$18:$E$48,4,FALSE)&amp;$BK10,坦克属性分配比例,MATCH("升星次数",坦克属性分配比例标头,0),FALSE)*(VLOOKUP(VLOOKUP($BJ10,坦克个性化设定!$B$18:$E$48,4,FALSE)&amp;$BK10,坦克属性分配比例,MATCH("升星比例",坦克属性分配比例标头,0),FALSE)+VLOOKUP(VLOOKUP($BJ10,坦克个性化设定!$B$18:$E$48,4,FALSE)&amp;$BK10,坦克属性分配比例,MATCH("部件比例",坦克属性分配比例标头,0),FALSE)*$C$3),0)</f>
        <v>394</v>
      </c>
      <c r="BP10" s="103">
        <f ca="1">ROUND(VLOOKUP($BJ10&amp;"初始",$S$3:$AE$63,MATCH(BP$3,$S$3:$AE$3,0),FALSE)+(VLOOKUP($BJ10&amp;"最终",$S$3:$AE$63,MATCH(BP$3,$S$3:$AE$3,0),FALSE)-VLOOKUP($BJ10&amp;"初始",$S$3:$AE$63,MATCH(BP$3,$S$3:$AE$3,0),FALSE))*$BL10/VLOOKUP(VLOOKUP($BJ10,坦克个性化设定!$B$18:$E$48,4,FALSE)&amp;$BK10,坦克属性分配比例,MATCH("升星次数",坦克属性分配比例标头,0),FALSE)*(VLOOKUP(VLOOKUP($BJ10,坦克个性化设定!$B$18:$E$48,4,FALSE)&amp;$BK10,坦克属性分配比例,MATCH("升星比例",坦克属性分配比例标头,0),FALSE)+VLOOKUP(VLOOKUP($BJ10,坦克个性化设定!$B$18:$E$48,4,FALSE)&amp;$BK10,坦克属性分配比例,MATCH("部件比例",坦克属性分配比例标头,0),FALSE)*$C$3),0)</f>
        <v>158</v>
      </c>
      <c r="BQ10" s="103">
        <f ca="1">ROUND(VLOOKUP($BJ10&amp;"初始",$S$3:$AE$63,MATCH(BQ$3,$S$3:$AE$3,0),FALSE)+(VLOOKUP($BJ10&amp;"最终",$S$3:$AE$63,MATCH(BQ$3,$S$3:$AE$3,0),FALSE)-VLOOKUP($BJ10&amp;"初始",$S$3:$AE$63,MATCH(BQ$3,$S$3:$AE$3,0),FALSE))*$BL10/VLOOKUP(VLOOKUP($BJ10,坦克个性化设定!$B$18:$E$48,4,FALSE)&amp;$BK10,坦克属性分配比例,MATCH("升星次数",坦克属性分配比例标头,0),FALSE)*VLOOKUP(VLOOKUP($BJ10,坦克个性化设定!$B$18:$E$48,4,FALSE)&amp;$BK10,坦克属性分配比例,MATCH("升星比例",坦克属性分配比例标头,0),FALSE),0)</f>
        <v>360</v>
      </c>
      <c r="BR10" s="2">
        <f ca="1">ROUND(VLOOKUP($BJ10&amp;"初始",$S$3:$AE$63,MATCH(BR$3,$S$3:$AE$3,0),FALSE)+(VLOOKUP($BJ10&amp;"最终",$S$3:$AE$63,MATCH(BR$3,$S$3:$AE$3,0),FALSE)-VLOOKUP($BJ10&amp;"初始",$S$3:$AE$63,MATCH(BR$3,$S$3:$AE$3,0),FALSE))*$BL10/VLOOKUP(VLOOKUP($BJ10,坦克个性化设定!$B$18:$E$48,4,FALSE)&amp;$BK10,坦克属性分配比例,MATCH("升星次数",坦克属性分配比例标头,0),FALSE),0)</f>
        <v>96</v>
      </c>
      <c r="BS10" s="2">
        <f>ROUND(VLOOKUP($BJ10,$AI$3:$AO$33,MATCH(BS$3,$AI$3:$AO$3,0),FALSE)+$BL10/VLOOKUP(VLOOKUP($BJ10,坦克个性化设定!$B$18:$E$48,4,FALSE)&amp;$BK10,坦克属性分配比例,MATCH("升星次数",坦克属性分配比例标头,0),FALSE)*VLOOKUP($BJ10,$AR$3:$AY$33,MATCH(BS$3,$AR$3:$AY$3,0),FALSE),1)</f>
        <v>47.1</v>
      </c>
      <c r="BT10" s="2">
        <f>ROUND(VLOOKUP($BJ10,$AI$3:$AO$33,MATCH(BT$3,$AI$3:$AO$3,0),FALSE)+$BL10/VLOOKUP(VLOOKUP($BJ10,坦克个性化设定!$B$18:$E$48,4,FALSE)&amp;$BK10,坦克属性分配比例,MATCH("升星次数",坦克属性分配比例标头,0),FALSE)*VLOOKUP($BJ10,$AR$3:$AY$33,MATCH(BT$3,$AR$3:$AY$3,0),FALSE),1)</f>
        <v>45</v>
      </c>
      <c r="BU10" s="2">
        <f>ROUND(VLOOKUP($BJ10,$AI$3:$AO$33,MATCH(BU$3,$AI$3:$AO$3,0),FALSE)+$BL10/VLOOKUP(VLOOKUP($BJ10,坦克个性化设定!$B$18:$E$48,4,FALSE)&amp;$BK10,坦克属性分配比例,MATCH("升星次数",坦克属性分配比例标头,0),FALSE)*VLOOKUP($BJ10,$AR$3:$AY$33,MATCH(BU$3,$AR$3:$AY$3,0),FALSE),1)</f>
        <v>10.5</v>
      </c>
      <c r="BV10" s="2">
        <f>IF(VLOOKUP(BJ10,坦克个性化设定!$B$18:$BC$48,MATCH("装弹类型",坦克个性化设定!$B$18:$BC$18,0),FALSE)="弹夹换弹",0,ROUND(VLOOKUP($BJ10,$AI$3:$AO$33,MATCH("换弹时间",$AI$3:$AO$3,0),FALSE)-$BL10/VLOOKUP(VLOOKUP($BJ10,坦克个性化设定!$B$18:$E$48,4,FALSE)&amp;$BK10,坦克属性分配比例,MATCH("升星次数",坦克属性分配比例标头,0),FALSE)*VLOOKUP($BJ10,$AR$3:$AY$33,MATCH("换弹时间",$AR$3:$AY$3,0),FALSE),2))</f>
        <v>0</v>
      </c>
      <c r="BW10" s="2">
        <f>IF(VLOOKUP(BJ10,坦克个性化设定!$B$18:$BC$48,MATCH("装弹类型",坦克个性化设定!$B$18:$BC$18,0),FALSE)="弹夹换弹",ROUND(VLOOKUP($BJ10,$AI$3:$AO$33,MATCH("换弹时间",$AI$3:$AO$3,0),FALSE)-$BL10/VLOOKUP(VLOOKUP($BJ10,坦克个性化设定!$B$18:$E$48,4,FALSE)&amp;$BK10,坦克属性分配比例,MATCH("升星次数",坦克属性分配比例标头,0),FALSE)*VLOOKUP($BJ10,$AR$3:$AY$33,MATCH("换弹时间",$AR$3:$AY$3,0),FALSE),1),0)</f>
        <v>11.2</v>
      </c>
      <c r="BX10" s="2">
        <f>ROUND(VLOOKUP($BJ10,$AI$3:$AO$33,MATCH(BX$3,$AI$3:$AO$3,0),FALSE)+$BL10/VLOOKUP(VLOOKUP($BJ10,坦克个性化设定!$B$18:$E$48,4,FALSE)&amp;$BK10,坦克属性分配比例,MATCH("升星次数",坦克属性分配比例标头,0),FALSE)*VLOOKUP($BJ10,$AR$3:$AY$33,MATCH(BX$3,$AR$3:$AY$3,0),FALSE),2)</f>
        <v>0.6</v>
      </c>
      <c r="BY10" s="2">
        <f>ROUND(VLOOKUP($BJ10,$AI$3:$AO$33,MATCH(BY$3,$AI$3:$AO$3,0),FALSE)-$BL10/VLOOKUP(VLOOKUP($BJ10,坦克个性化设定!$B$18:$E$48,4,FALSE)&amp;$BK10,坦克属性分配比例,MATCH("升星次数",坦克属性分配比例标头,0),FALSE)*VLOOKUP($BJ10,$AR$3:$AY$33,MATCH(BY$3,$AR$3:$AY$3,0),FALSE),2)</f>
        <v>0.37</v>
      </c>
      <c r="CA10" s="2">
        <v>7</v>
      </c>
      <c r="CB10" s="2" t="str">
        <f t="shared" si="15"/>
        <v>霞飞</v>
      </c>
      <c r="CC10" s="2" t="str">
        <f>VLOOKUP(CB10,坦克个性化设定!$B$18:$F$48,5,FALSE)</f>
        <v>轻坦弹夹</v>
      </c>
      <c r="CD10" s="29" t="str">
        <f>VLOOKUP(CB10,坦克个性化细分!$I$3:$J$33,2,FALSE)</f>
        <v>低</v>
      </c>
      <c r="CE10" s="42" t="e">
        <f ca="1">(VLOOKUP($CB10&amp;"最终",$S$3:$AE$63,MATCH(CE$3,$S$3:$AE$3,0),FALSE)-VLOOKUP($CB10&amp;"初始",$S$3:$AE$63,MATCH(CE$3,$S$3:$AE$3,0),FALSE))*VLOOKUP(VLOOKUP($CB10,坦克个性化设定!$B$18:$E$48,4,FALSE)&amp;$CD10,坦克属性分配比例,MATCH("部件比例",坦克属性分配比例标头,0),FALSE)</f>
        <v>#N/A</v>
      </c>
      <c r="CF10" s="42" t="e">
        <f ca="1">(VLOOKUP($CB10&amp;"最终",$S$3:$AE$63,MATCH(CF$3,$S$3:$AE$3,0),FALSE)-VLOOKUP($CB10&amp;"初始",$S$3:$AE$63,MATCH(CF$3,$S$3:$AE$3,0),FALSE))*VLOOKUP(VLOOKUP($CB10,坦克个性化设定!$B$18:$E$48,4,FALSE)&amp;$CD10,坦克属性分配比例,MATCH("部件比例",坦克属性分配比例标头,0),FALSE)</f>
        <v>#N/A</v>
      </c>
      <c r="CG10" s="42" t="e">
        <f ca="1">(VLOOKUP($CB10&amp;"最终",$S$3:$AE$63,MATCH(CG$3,$S$3:$AE$3,0),FALSE)-VLOOKUP($CB10&amp;"初始",$S$3:$AE$63,MATCH(CG$3,$S$3:$AE$3,0),FALSE))*VLOOKUP(VLOOKUP($CB10,坦克个性化设定!$B$18:$E$48,4,FALSE)&amp;$CD10,坦克属性分配比例,MATCH("部件比例",坦克属性分配比例标头,0),FALSE)*(1-$C$3)</f>
        <v>#N/A</v>
      </c>
      <c r="CH10" s="42" t="e">
        <f ca="1">(VLOOKUP($CB10&amp;"最终",$S$3:$AE$63,MATCH(CH$3,$S$3:$AE$3,0),FALSE)-VLOOKUP($CB10&amp;"初始",$S$3:$AE$63,MATCH(CH$3,$S$3:$AE$3,0),FALSE))*VLOOKUP(VLOOKUP($CB10,坦克个性化设定!$B$18:$E$48,4,FALSE)&amp;$CD10,坦克属性分配比例,MATCH("部件比例",坦克属性分配比例标头,0),FALSE)*(1-$C$3)</f>
        <v>#N/A</v>
      </c>
      <c r="CI10" s="42" t="e">
        <f ca="1">(VLOOKUP($CB10&amp;"最终",$S$3:$AE$63,MATCH(CI$3,$S$3:$AE$3,0),FALSE)-VLOOKUP($CB10&amp;"初始",$S$3:$AE$63,MATCH(CI$3,$S$3:$AE$3,0),FALSE))*VLOOKUP(VLOOKUP($CB10,坦克个性化设定!$B$18:$E$48,4,FALSE)&amp;$CD10,坦克属性分配比例,MATCH("部件比例",坦克属性分配比例标头,0),FALSE)</f>
        <v>#N/A</v>
      </c>
    </row>
    <row r="11" spans="2:87" x14ac:dyDescent="0.3">
      <c r="B11" s="2">
        <v>6</v>
      </c>
      <c r="C11" s="2" t="str">
        <f>坦克个性化设定!B24</f>
        <v>AMX-13</v>
      </c>
      <c r="D11" s="2">
        <v>1331</v>
      </c>
      <c r="E11" s="2" t="s">
        <v>614</v>
      </c>
      <c r="F11" s="2">
        <v>0</v>
      </c>
      <c r="G11" s="25" t="str">
        <f t="shared" si="17"/>
        <v>AMX-13</v>
      </c>
      <c r="H11" s="2" t="str">
        <f>坦克等级成长!B20&amp;坦克等级成长!C20</f>
        <v>T4中</v>
      </c>
      <c r="I11" s="2">
        <v>11</v>
      </c>
      <c r="J11" s="2">
        <f>坦克等级成长!J20</f>
        <v>2</v>
      </c>
      <c r="K11" s="2">
        <f>坦克等级成长!K20</f>
        <v>3.43</v>
      </c>
      <c r="L11" s="2">
        <f>坦克等级成长!E20</f>
        <v>7</v>
      </c>
      <c r="M11" s="2">
        <f>IFERROR(VLOOKUP(L11,坦克部件!$N$3:$R$9,5,FALSE),VLOOKUP(L11-1,坦克部件!$N$3:$R$9,5,FALSE))</f>
        <v>0.35499999999999998</v>
      </c>
      <c r="N11" s="2">
        <f t="shared" si="0"/>
        <v>0.71</v>
      </c>
      <c r="O11" s="161">
        <f t="shared" si="1"/>
        <v>0.55000000000000004</v>
      </c>
      <c r="P11" s="154">
        <v>0.45</v>
      </c>
      <c r="Q11" s="162"/>
      <c r="R11" s="25"/>
      <c r="S11" s="2" t="str">
        <f t="shared" si="2"/>
        <v>35(t)最终</v>
      </c>
      <c r="T11" s="2">
        <f>IF(COUNTIF(U$4:U10,U10)&gt;=$B$3,T10+1,T10)</f>
        <v>4</v>
      </c>
      <c r="U11" s="2" t="str">
        <f t="shared" si="3"/>
        <v>35(t)</v>
      </c>
      <c r="V11" s="2" t="str">
        <f>VLOOKUP(U11,坦克个性化设定!$B$18:$F$48,5,FALSE)</f>
        <v>轻坦弹夹</v>
      </c>
      <c r="W11" s="29" t="str">
        <f>VLOOKUP(U11,坦克个性化细分!$I$3:$J$33,2,FALSE)</f>
        <v>低</v>
      </c>
      <c r="X11" s="2" t="str">
        <f t="shared" si="16"/>
        <v>最终</v>
      </c>
      <c r="Y11" s="2" t="str">
        <f>VLOOKUP(VLOOKUP(U11,坦克个性化设定!$B$18:$F$48,4,FALSE)&amp;W11,坦克等级成长!$P$12:$U$24,MATCH(X11,坦克等级成长!$P$12:$U$12,0),FALSE)</f>
        <v>T3低5</v>
      </c>
      <c r="Z11" s="42">
        <f ca="1">VLOOKUP($Y11,INDIRECT($V11&amp;"_阶段属性"),MATCH(Z$3,属性标头_阶段属性,0),FALSE)*VLOOKUP($U11,坦克个性化设定!$B$84:$D$114,2,FALSE)</f>
        <v>1724.1746625470419</v>
      </c>
      <c r="AA11" s="42">
        <f ca="1">VLOOKUP($Y11,INDIRECT($V11&amp;"_阶段属性"),MATCH(AA$3,属性标头_阶段属性,0),FALSE)*VLOOKUP($U11,坦克个性化设定!$B$84:$D$114,3,FALSE)</f>
        <v>152.89500841474208</v>
      </c>
      <c r="AB11" s="2">
        <f t="shared" ca="1" si="4"/>
        <v>713</v>
      </c>
      <c r="AC11" s="2">
        <f t="shared" ca="1" si="4"/>
        <v>285</v>
      </c>
      <c r="AD11" s="2">
        <f t="shared" ca="1" si="4"/>
        <v>651</v>
      </c>
      <c r="AE11" s="2">
        <f t="shared" ca="1" si="4"/>
        <v>174</v>
      </c>
      <c r="AF11" s="25"/>
      <c r="AH11" s="2">
        <v>8</v>
      </c>
      <c r="AI11" s="2" t="str">
        <f t="shared" si="5"/>
        <v>M-41</v>
      </c>
      <c r="AJ11" s="2">
        <f>VLOOKUP($AI11,坦克个性化细分!$I$3:$P$33,MATCH(AJ$3,坦克个性化细分!$I$3:$P$3,0),FALSE)</f>
        <v>38.5</v>
      </c>
      <c r="AK11" s="2">
        <f>VLOOKUP($AI11,坦克个性化细分!$I$3:$P$33,MATCH(AK$3,坦克个性化细分!$I$3:$P$3,0),FALSE)</f>
        <v>57.4</v>
      </c>
      <c r="AL11" s="2">
        <f>VLOOKUP($AI11,坦克个性化细分!$I$3:$P$33,MATCH(AL$3,坦克个性化细分!$I$3:$P$3,0),FALSE)</f>
        <v>9.6</v>
      </c>
      <c r="AM11" s="34">
        <f>VLOOKUP(AI11,坦克个性化细分!$AA$3:$AP$33,MATCH("射击偏移角",坦克个性化细分!$AA$3:$AP$3,0),FALSE)/VLOOKUP(AI11,坦克个性化细分!$AA$3:$AP$33,MATCH("原瞄准速度",坦克个性化细分!$AA$3:$AP$3,0),FALSE)</f>
        <v>0.45833333333333337</v>
      </c>
      <c r="AN11" s="34">
        <f>VLOOKUP(AI11,坦克个性化细分!$AA$3:$AP$33,MATCH(AN$3,坦克个性化细分!$AA$3:$AP$3,0),FALSE)</f>
        <v>0.8</v>
      </c>
      <c r="AO11" s="2">
        <f>VLOOKUP(AI11,坦克个性化细分!$AA$3:$AP$33,MATCH("原换弹时间",坦克个性化细分!$AA$3:$AP$3,0),FALSE)</f>
        <v>12.6</v>
      </c>
      <c r="AP11" s="132"/>
      <c r="AQ11" s="2">
        <v>8</v>
      </c>
      <c r="AR11" s="2" t="str">
        <f t="shared" si="6"/>
        <v>M-41</v>
      </c>
      <c r="AS11" s="2" t="s">
        <v>79</v>
      </c>
      <c r="AT11" s="34">
        <f>VLOOKUP(AR11,坦克个性化细分!$I$3:$P$33,MATCH("养成区间1",坦克个性化细分!$I$3:$P$3,0),FALSE)</f>
        <v>9.6249999999999982</v>
      </c>
      <c r="AU11" s="2">
        <f>VLOOKUP(AR11,坦克个性化细分!$I$3:$P$33,MATCH("养成区间2",坦克个性化细分!$I$3:$P$3,0),FALSE)</f>
        <v>14.349999999999996</v>
      </c>
      <c r="AV11" s="2">
        <f>VLOOKUP(AR11,坦克个性化细分!$I$3:$P$33,MATCH("养成区间3",坦克个性化细分!$I$3:$P$3,0),FALSE)</f>
        <v>0</v>
      </c>
      <c r="AW11" s="34">
        <f>VLOOKUP(AR11,坦克个性化细分!$AA$3:$AP$33,MATCH("瞄准区间",坦克个性化细分!$AA$3:$AP$3,0),FALSE)</f>
        <v>7.6388888888888895E-2</v>
      </c>
      <c r="AX11" s="34">
        <f>VLOOKUP(AI11,坦克个性化细分!$AA$3:$AP$33,MATCH("后射击间隔",坦克个性化细分!$AA$3:$AP$3,0),FALSE)-VLOOKUP(AI11,坦克个性化细分!$AA$3:$AP$33,MATCH(AN$3,坦克个性化细分!$AA$3:$AP$3,0),FALSE)</f>
        <v>0</v>
      </c>
      <c r="AY11" s="34">
        <f>VLOOKUP(AR11,坦克个性化细分!$AA$3:$AP$33,MATCH("换弹区间",坦克个性化细分!$AA$3:$AP$3,0),FALSE)</f>
        <v>4.9802408797346782</v>
      </c>
      <c r="AZ11" s="132"/>
      <c r="BA11" s="34">
        <f t="shared" si="8"/>
        <v>0.24999999999999994</v>
      </c>
      <c r="BB11" s="34">
        <f t="shared" si="9"/>
        <v>0.24999999999999994</v>
      </c>
      <c r="BC11" s="34">
        <f t="shared" si="10"/>
        <v>0</v>
      </c>
      <c r="BD11" s="34">
        <f t="shared" si="11"/>
        <v>0.16666666666666666</v>
      </c>
      <c r="BE11" s="34">
        <f t="shared" si="12"/>
        <v>0.39525721267735542</v>
      </c>
      <c r="BF11" s="34"/>
      <c r="BG11" s="132"/>
      <c r="BH11" s="2" t="str">
        <f t="shared" si="13"/>
        <v>二号1</v>
      </c>
      <c r="BI11" s="2">
        <f>IF(BL10&gt;=VLOOKUP(VLOOKUP(BJ10,坦克个性化设定!$B$18:$E$48,4,FALSE)&amp;BK10,坦克属性分配比例,MATCH("升星次数",坦克属性分配比例标头,0),FALSE),BI10+1,BI10)</f>
        <v>2</v>
      </c>
      <c r="BJ11" s="2" t="str">
        <f t="shared" si="14"/>
        <v>二号</v>
      </c>
      <c r="BK11" s="29" t="str">
        <f>VLOOKUP(BJ11,坦克个性化细分!$I$3:$J$33,2,FALSE)</f>
        <v>低</v>
      </c>
      <c r="BL11" s="2">
        <f t="shared" si="7"/>
        <v>1</v>
      </c>
      <c r="BM11" s="103">
        <f ca="1">ROUND(VLOOKUP($BJ11&amp;"初始",$S$3:$AE$63,MATCH(BM$3,$S$3:$AE$3,0),FALSE)+((VLOOKUP($BJ11&amp;"最终",$S$3:$AE$63,MATCH(BM$3,$S$3:$AE$3,0),FALSE)*坦克个性化细分!$C$9-VLOOKUP($BJ11&amp;"初始",$S$3:$AE$63,MATCH(BM$3,$S$3:$AE$3,0),FALSE))-(VLOOKUP($BJ11&amp;"最终",$S$3:$AE$63,MATCH(BM$3,$S$3:$AE$3,0),FALSE)-VLOOKUP($BJ11&amp;"初始",$S$3:$AE$63,MATCH(BM$3,$S$3:$AE$3,0),FALSE))*VLOOKUP(VLOOKUP($BJ11,坦克个性化设定!$B$18:$E$48,4,FALSE)&amp;$BK11,坦克属性分配比例,MATCH("部件比例",坦克属性分配比例标头,0),FALSE))*$BL11/VLOOKUP(VLOOKUP($BJ11,坦克个性化设定!$B$18:$E$48,4,FALSE)&amp;$BK11,坦克属性分配比例,MATCH("升星次数",坦克属性分配比例标头,0),FALSE),0)</f>
        <v>934</v>
      </c>
      <c r="BN11" s="103">
        <f ca="1">ROUND(VLOOKUP($BJ11&amp;"初始",$S$3:$AE$63,MATCH(BN$3,$S$3:$AE$3,0),FALSE)+(VLOOKUP($BJ11&amp;"最终",$S$3:$AE$63,MATCH(BN$3,$S$3:$AE$3,0),FALSE)-VLOOKUP($BJ11&amp;"初始",$S$3:$AE$63,MATCH(BN$3,$S$3:$AE$3,0),FALSE))*$BL11/VLOOKUP(VLOOKUP($BJ11,坦克个性化设定!$B$18:$E$48,4,FALSE)&amp;$BK11,坦克属性分配比例,MATCH("升星次数",坦克属性分配比例标头,0),FALSE)*VLOOKUP(VLOOKUP($BJ11,坦克个性化设定!$B$18:$E$48,4,FALSE)&amp;$BK11,坦克属性分配比例,MATCH("升星比例",坦克属性分配比例标头,0),FALSE),0)</f>
        <v>78</v>
      </c>
      <c r="BO11" s="103">
        <f ca="1">ROUND(VLOOKUP($BJ11&amp;"初始",$S$3:$AE$63,MATCH(BO$3,$S$3:$AE$3,0),FALSE)+(VLOOKUP($BJ11&amp;"最终",$S$3:$AE$63,MATCH(BO$3,$S$3:$AE$3,0),FALSE)-VLOOKUP($BJ11&amp;"初始",$S$3:$AE$63,MATCH(BO$3,$S$3:$AE$3,0),FALSE))*$BL11/VLOOKUP(VLOOKUP($BJ11,坦克个性化设定!$B$18:$E$48,4,FALSE)&amp;$BK11,坦克属性分配比例,MATCH("升星次数",坦克属性分配比例标头,0),FALSE)*(VLOOKUP(VLOOKUP($BJ11,坦克个性化设定!$B$18:$E$48,4,FALSE)&amp;$BK11,坦克属性分配比例,MATCH("升星比例",坦克属性分配比例标头,0),FALSE)+VLOOKUP(VLOOKUP($BJ11,坦克个性化设定!$B$18:$E$48,4,FALSE)&amp;$BK11,坦克属性分配比例,MATCH("部件比例",坦克属性分配比例标头,0),FALSE)*$C$3),0)</f>
        <v>414</v>
      </c>
      <c r="BP11" s="103">
        <f ca="1">ROUND(VLOOKUP($BJ11&amp;"初始",$S$3:$AE$63,MATCH(BP$3,$S$3:$AE$3,0),FALSE)+(VLOOKUP($BJ11&amp;"最终",$S$3:$AE$63,MATCH(BP$3,$S$3:$AE$3,0),FALSE)-VLOOKUP($BJ11&amp;"初始",$S$3:$AE$63,MATCH(BP$3,$S$3:$AE$3,0),FALSE))*$BL11/VLOOKUP(VLOOKUP($BJ11,坦克个性化设定!$B$18:$E$48,4,FALSE)&amp;$BK11,坦克属性分配比例,MATCH("升星次数",坦克属性分配比例标头,0),FALSE)*(VLOOKUP(VLOOKUP($BJ11,坦克个性化设定!$B$18:$E$48,4,FALSE)&amp;$BK11,坦克属性分配比例,MATCH("升星比例",坦克属性分配比例标头,0),FALSE)+VLOOKUP(VLOOKUP($BJ11,坦克个性化设定!$B$18:$E$48,4,FALSE)&amp;$BK11,坦克属性分配比例,MATCH("部件比例",坦克属性分配比例标头,0),FALSE)*$C$3),0)</f>
        <v>166</v>
      </c>
      <c r="BQ11" s="103">
        <f ca="1">ROUND(VLOOKUP($BJ11&amp;"初始",$S$3:$AE$63,MATCH(BQ$3,$S$3:$AE$3,0),FALSE)+(VLOOKUP($BJ11&amp;"最终",$S$3:$AE$63,MATCH(BQ$3,$S$3:$AE$3,0),FALSE)-VLOOKUP($BJ11&amp;"初始",$S$3:$AE$63,MATCH(BQ$3,$S$3:$AE$3,0),FALSE))*$BL11/VLOOKUP(VLOOKUP($BJ11,坦克个性化设定!$B$18:$E$48,4,FALSE)&amp;$BK11,坦克属性分配比例,MATCH("升星次数",坦克属性分配比例标头,0),FALSE)*VLOOKUP(VLOOKUP($BJ11,坦克个性化设定!$B$18:$E$48,4,FALSE)&amp;$BK11,坦克属性分配比例,MATCH("升星比例",坦克属性分配比例标头,0),FALSE),0)</f>
        <v>374</v>
      </c>
      <c r="BR11" s="2">
        <f ca="1">ROUND(VLOOKUP($BJ11&amp;"初始",$S$3:$AE$63,MATCH(BR$3,$S$3:$AE$3,0),FALSE)+(VLOOKUP($BJ11&amp;"最终",$S$3:$AE$63,MATCH(BR$3,$S$3:$AE$3,0),FALSE)-VLOOKUP($BJ11&amp;"初始",$S$3:$AE$63,MATCH(BR$3,$S$3:$AE$3,0),FALSE))*$BL11/VLOOKUP(VLOOKUP($BJ11,坦克个性化设定!$B$18:$E$48,4,FALSE)&amp;$BK11,坦克属性分配比例,MATCH("升星次数",坦克属性分配比例标头,0),FALSE),0)</f>
        <v>102</v>
      </c>
      <c r="BS11" s="2">
        <f>ROUND(VLOOKUP($BJ11,$AI$3:$AO$33,MATCH(BS$3,$AI$3:$AO$3,0),FALSE)+$BL11/VLOOKUP(VLOOKUP($BJ11,坦克个性化设定!$B$18:$E$48,4,FALSE)&amp;$BK11,坦克属性分配比例,MATCH("升星次数",坦克属性分配比例标头,0),FALSE)*VLOOKUP($BJ11,$AR$3:$AY$33,MATCH(BS$3,$AR$3:$AY$3,0),FALSE),1)</f>
        <v>48.8</v>
      </c>
      <c r="BT11" s="2">
        <f>ROUND(VLOOKUP($BJ11,$AI$3:$AO$33,MATCH(BT$3,$AI$3:$AO$3,0),FALSE)+$BL11/VLOOKUP(VLOOKUP($BJ11,坦克个性化设定!$B$18:$E$48,4,FALSE)&amp;$BK11,坦克属性分配比例,MATCH("升星次数",坦克属性分配比例标头,0),FALSE)*VLOOKUP($BJ11,$AR$3:$AY$33,MATCH(BT$3,$AR$3:$AY$3,0),FALSE),1)</f>
        <v>46.6</v>
      </c>
      <c r="BU11" s="2">
        <f>ROUND(VLOOKUP($BJ11,$AI$3:$AO$33,MATCH(BU$3,$AI$3:$AO$3,0),FALSE)+$BL11/VLOOKUP(VLOOKUP($BJ11,坦克个性化设定!$B$18:$E$48,4,FALSE)&amp;$BK11,坦克属性分配比例,MATCH("升星次数",坦克属性分配比例标头,0),FALSE)*VLOOKUP($BJ11,$AR$3:$AY$33,MATCH(BU$3,$AR$3:$AY$3,0),FALSE),1)</f>
        <v>10.5</v>
      </c>
      <c r="BV11" s="2">
        <f>IF(VLOOKUP(BJ11,坦克个性化设定!$B$18:$BC$48,MATCH("装弹类型",坦克个性化设定!$B$18:$BC$18,0),FALSE)="弹夹换弹",0,ROUND(VLOOKUP($BJ11,$AI$3:$AO$33,MATCH("换弹时间",$AI$3:$AO$3,0),FALSE)-$BL11/VLOOKUP(VLOOKUP($BJ11,坦克个性化设定!$B$18:$E$48,4,FALSE)&amp;$BK11,坦克属性分配比例,MATCH("升星次数",坦克属性分配比例标头,0),FALSE)*VLOOKUP($BJ11,$AR$3:$AY$33,MATCH("换弹时间",$AR$3:$AY$3,0),FALSE),2))</f>
        <v>0</v>
      </c>
      <c r="BW11" s="2">
        <f>IF(VLOOKUP(BJ11,坦克个性化设定!$B$18:$BC$48,MATCH("装弹类型",坦克个性化设定!$B$18:$BC$18,0),FALSE)="弹夹换弹",ROUND(VLOOKUP($BJ11,$AI$3:$AO$33,MATCH("换弹时间",$AI$3:$AO$3,0),FALSE)-$BL11/VLOOKUP(VLOOKUP($BJ11,坦克个性化设定!$B$18:$E$48,4,FALSE)&amp;$BK11,坦克属性分配比例,MATCH("升星次数",坦克属性分配比例标头,0),FALSE)*VLOOKUP($BJ11,$AR$3:$AY$33,MATCH("换弹时间",$AR$3:$AY$3,0),FALSE),1),0)</f>
        <v>10.6</v>
      </c>
      <c r="BX11" s="2">
        <f>ROUND(VLOOKUP($BJ11,$AI$3:$AO$33,MATCH(BX$3,$AI$3:$AO$3,0),FALSE)+$BL11/VLOOKUP(VLOOKUP($BJ11,坦克个性化设定!$B$18:$E$48,4,FALSE)&amp;$BK11,坦克属性分配比例,MATCH("升星次数",坦克属性分配比例标头,0),FALSE)*VLOOKUP($BJ11,$AR$3:$AY$33,MATCH(BX$3,$AR$3:$AY$3,0),FALSE),2)</f>
        <v>0.6</v>
      </c>
      <c r="BY11" s="2">
        <f>ROUND(VLOOKUP($BJ11,$AI$3:$AO$33,MATCH(BY$3,$AI$3:$AO$3,0),FALSE)-$BL11/VLOOKUP(VLOOKUP($BJ11,坦克个性化设定!$B$18:$E$48,4,FALSE)&amp;$BK11,坦克属性分配比例,MATCH("升星次数",坦克属性分配比例标头,0),FALSE)*VLOOKUP($BJ11,$AR$3:$AY$33,MATCH(BY$3,$AR$3:$AY$3,0),FALSE),2)</f>
        <v>0.36</v>
      </c>
      <c r="BZ11" s="133"/>
      <c r="CA11" s="2">
        <v>8</v>
      </c>
      <c r="CB11" s="2" t="str">
        <f t="shared" si="15"/>
        <v>M-41</v>
      </c>
      <c r="CC11" s="2" t="str">
        <f>VLOOKUP(CB11,坦克个性化设定!$B$18:$F$48,5,FALSE)</f>
        <v>轻坦弹夹</v>
      </c>
      <c r="CD11" s="29" t="str">
        <f>VLOOKUP(CB11,坦克个性化细分!$I$3:$J$33,2,FALSE)</f>
        <v>中</v>
      </c>
      <c r="CE11" s="42" t="e">
        <f ca="1">(VLOOKUP($CB11&amp;"最终",$S$3:$AE$63,MATCH(CE$3,$S$3:$AE$3,0),FALSE)-VLOOKUP($CB11&amp;"初始",$S$3:$AE$63,MATCH(CE$3,$S$3:$AE$3,0),FALSE))*VLOOKUP(VLOOKUP($CB11,坦克个性化设定!$B$18:$E$48,4,FALSE)&amp;$CD11,坦克属性分配比例,MATCH("部件比例",坦克属性分配比例标头,0),FALSE)</f>
        <v>#N/A</v>
      </c>
      <c r="CF11" s="42" t="e">
        <f ca="1">(VLOOKUP($CB11&amp;"最终",$S$3:$AE$63,MATCH(CF$3,$S$3:$AE$3,0),FALSE)-VLOOKUP($CB11&amp;"初始",$S$3:$AE$63,MATCH(CF$3,$S$3:$AE$3,0),FALSE))*VLOOKUP(VLOOKUP($CB11,坦克个性化设定!$B$18:$E$48,4,FALSE)&amp;$CD11,坦克属性分配比例,MATCH("部件比例",坦克属性分配比例标头,0),FALSE)</f>
        <v>#N/A</v>
      </c>
      <c r="CG11" s="42" t="e">
        <f ca="1">(VLOOKUP($CB11&amp;"最终",$S$3:$AE$63,MATCH(CG$3,$S$3:$AE$3,0),FALSE)-VLOOKUP($CB11&amp;"初始",$S$3:$AE$63,MATCH(CG$3,$S$3:$AE$3,0),FALSE))*VLOOKUP(VLOOKUP($CB11,坦克个性化设定!$B$18:$E$48,4,FALSE)&amp;$CD11,坦克属性分配比例,MATCH("部件比例",坦克属性分配比例标头,0),FALSE)*(1-$C$3)</f>
        <v>#N/A</v>
      </c>
      <c r="CH11" s="42" t="e">
        <f ca="1">(VLOOKUP($CB11&amp;"最终",$S$3:$AE$63,MATCH(CH$3,$S$3:$AE$3,0),FALSE)-VLOOKUP($CB11&amp;"初始",$S$3:$AE$63,MATCH(CH$3,$S$3:$AE$3,0),FALSE))*VLOOKUP(VLOOKUP($CB11,坦克个性化设定!$B$18:$E$48,4,FALSE)&amp;$CD11,坦克属性分配比例,MATCH("部件比例",坦克属性分配比例标头,0),FALSE)*(1-$C$3)</f>
        <v>#N/A</v>
      </c>
      <c r="CI11" s="42" t="e">
        <f ca="1">(VLOOKUP($CB11&amp;"最终",$S$3:$AE$63,MATCH(CI$3,$S$3:$AE$3,0),FALSE)-VLOOKUP($CB11&amp;"初始",$S$3:$AE$63,MATCH(CI$3,$S$3:$AE$3,0),FALSE))*VLOOKUP(VLOOKUP($CB11,坦克个性化设定!$B$18:$E$48,4,FALSE)&amp;$CD11,坦克属性分配比例,MATCH("部件比例",坦克属性分配比例标头,0),FALSE)</f>
        <v>#N/A</v>
      </c>
    </row>
    <row r="12" spans="2:87" x14ac:dyDescent="0.3">
      <c r="B12" s="2">
        <v>7</v>
      </c>
      <c r="C12" s="2" t="str">
        <f>坦克个性化设定!B25</f>
        <v>霞飞</v>
      </c>
      <c r="D12" s="2">
        <v>1411</v>
      </c>
      <c r="E12" s="2" t="s">
        <v>616</v>
      </c>
      <c r="F12" s="2">
        <v>0</v>
      </c>
      <c r="G12" s="25" t="str">
        <f t="shared" si="17"/>
        <v>霞飞</v>
      </c>
      <c r="H12" s="2" t="str">
        <f>坦克等级成长!B21&amp;坦克等级成长!C21</f>
        <v>T4高</v>
      </c>
      <c r="I12" s="2">
        <v>11</v>
      </c>
      <c r="J12" s="2">
        <f>坦克等级成长!J21</f>
        <v>2</v>
      </c>
      <c r="K12" s="2">
        <f>坦克等级成长!K21</f>
        <v>3.5</v>
      </c>
      <c r="L12" s="2">
        <f>坦克等级成长!E21</f>
        <v>7</v>
      </c>
      <c r="M12" s="2">
        <f>IFERROR(VLOOKUP(L12,坦克部件!$N$3:$R$9,5,FALSE),VLOOKUP(L12-1,坦克部件!$N$3:$R$9,5,FALSE))</f>
        <v>0.35499999999999998</v>
      </c>
      <c r="N12" s="2">
        <f t="shared" si="0"/>
        <v>0.71</v>
      </c>
      <c r="O12" s="161">
        <f t="shared" si="1"/>
        <v>0.55000000000000004</v>
      </c>
      <c r="P12" s="154">
        <v>0.45</v>
      </c>
      <c r="Q12" s="162"/>
      <c r="R12" s="25"/>
      <c r="S12" s="2" t="str">
        <f t="shared" si="2"/>
        <v>十字军初始</v>
      </c>
      <c r="T12" s="2">
        <f>IF(COUNTIF(U$4:U11,U11)&gt;=$B$3,T11+1,T11)</f>
        <v>5</v>
      </c>
      <c r="U12" s="2" t="str">
        <f t="shared" si="3"/>
        <v>十字军</v>
      </c>
      <c r="V12" s="2" t="str">
        <f>VLOOKUP(U12,坦克个性化设定!$B$18:$F$48,5,FALSE)</f>
        <v>轻坦弹夹</v>
      </c>
      <c r="W12" s="29" t="str">
        <f>VLOOKUP(U12,坦克个性化细分!$I$3:$J$33,2,FALSE)</f>
        <v>中</v>
      </c>
      <c r="X12" s="2" t="str">
        <f t="shared" si="16"/>
        <v>初始</v>
      </c>
      <c r="Y12" s="2" t="str">
        <f>VLOOKUP(VLOOKUP(U12,坦克个性化设定!$B$18:$F$48,4,FALSE)&amp;W12,坦克等级成长!$P$12:$U$24,MATCH(X12,坦克等级成长!$P$12:$U$12,0),FALSE)</f>
        <v>T3中3</v>
      </c>
      <c r="Z12" s="42">
        <f ca="1">VLOOKUP($Y12,INDIRECT($V12&amp;"_阶段属性"),MATCH(Z$3,属性标头_阶段属性,0),FALSE)*VLOOKUP($U12,坦克个性化设定!$B$84:$D$114,2,FALSE)</f>
        <v>1263.5443037169016</v>
      </c>
      <c r="AA12" s="42">
        <f ca="1">VLOOKUP($Y12,INDIRECT($V12&amp;"_阶段属性"),MATCH(AA$3,属性标头_阶段属性,0),FALSE)*VLOOKUP($U12,坦克个性化设定!$B$84:$D$114,3,FALSE)</f>
        <v>72.781560955196824</v>
      </c>
      <c r="AB12" s="2">
        <f t="shared" ca="1" si="4"/>
        <v>506</v>
      </c>
      <c r="AC12" s="2">
        <f t="shared" ca="1" si="4"/>
        <v>202</v>
      </c>
      <c r="AD12" s="2">
        <f t="shared" ca="1" si="4"/>
        <v>462</v>
      </c>
      <c r="AE12" s="2">
        <f t="shared" ca="1" si="4"/>
        <v>123</v>
      </c>
      <c r="AF12" s="25"/>
      <c r="AH12" s="2">
        <v>9</v>
      </c>
      <c r="AI12" s="2" t="str">
        <f t="shared" si="5"/>
        <v>BMP-3</v>
      </c>
      <c r="AJ12" s="2">
        <f>VLOOKUP($AI12,坦克个性化细分!$I$3:$P$33,MATCH(AJ$3,坦克个性化细分!$I$3:$P$3,0),FALSE)</f>
        <v>44.5</v>
      </c>
      <c r="AK12" s="2">
        <f>VLOOKUP($AI12,坦克个性化细分!$I$3:$P$33,MATCH(AK$3,坦克个性化细分!$I$3:$P$3,0),FALSE)</f>
        <v>52.5</v>
      </c>
      <c r="AL12" s="2">
        <f>VLOOKUP($AI12,坦克个性化细分!$I$3:$P$33,MATCH(AL$3,坦克个性化细分!$I$3:$P$3,0),FALSE)</f>
        <v>10.5</v>
      </c>
      <c r="AM12" s="34">
        <f>VLOOKUP(AI12,坦克个性化细分!$AA$3:$AP$33,MATCH("射击偏移角",坦克个性化细分!$AA$3:$AP$3,0),FALSE)/VLOOKUP(AI12,坦克个性化细分!$AA$3:$AP$33,MATCH("原瞄准速度",坦克个性化细分!$AA$3:$AP$3,0),FALSE)</f>
        <v>0.51666666666666672</v>
      </c>
      <c r="AN12" s="34">
        <f>VLOOKUP(AI12,坦克个性化细分!$AA$3:$AP$33,MATCH(AN$3,坦克个性化细分!$AA$3:$AP$3,0),FALSE)</f>
        <v>0.8</v>
      </c>
      <c r="AO12" s="2">
        <f>VLOOKUP(AI12,坦克个性化细分!$AA$3:$AP$33,MATCH("原换弹时间",坦克个性化细分!$AA$3:$AP$3,0),FALSE)</f>
        <v>6.3</v>
      </c>
      <c r="AP12" s="132"/>
      <c r="AQ12" s="2">
        <v>9</v>
      </c>
      <c r="AR12" s="2" t="str">
        <f t="shared" si="6"/>
        <v>BMP-3</v>
      </c>
      <c r="AS12" s="2" t="s">
        <v>77</v>
      </c>
      <c r="AT12" s="34">
        <f>VLOOKUP(AR12,坦克个性化细分!$I$3:$P$33,MATCH("养成区间1",坦克个性化细分!$I$3:$P$3,0),FALSE)</f>
        <v>11.124999999999998</v>
      </c>
      <c r="AU12" s="2">
        <f>VLOOKUP(AR12,坦克个性化细分!$I$3:$P$33,MATCH("养成区间2",坦克个性化细分!$I$3:$P$3,0),FALSE)</f>
        <v>13.124999999999996</v>
      </c>
      <c r="AV12" s="2">
        <f>VLOOKUP(AR12,坦克个性化细分!$I$3:$P$33,MATCH("养成区间3",坦克个性化细分!$I$3:$P$3,0),FALSE)</f>
        <v>0</v>
      </c>
      <c r="AW12" s="34">
        <f>VLOOKUP(AR12,坦克个性化细分!$AA$3:$AP$33,MATCH("瞄准区间",坦克个性化细分!$AA$3:$AP$3,0),FALSE)</f>
        <v>8.6111111111111138E-2</v>
      </c>
      <c r="AX12" s="34">
        <f>VLOOKUP(AI12,坦克个性化细分!$AA$3:$AP$33,MATCH("后射击间隔",坦克个性化细分!$AA$3:$AP$3,0),FALSE)-VLOOKUP(AI12,坦克个性化细分!$AA$3:$AP$33,MATCH(AN$3,坦克个性化细分!$AA$3:$AP$3,0),FALSE)</f>
        <v>0</v>
      </c>
      <c r="AY12" s="34">
        <f>VLOOKUP(AR12,坦克个性化细分!$AA$3:$AP$33,MATCH("换弹区间",坦克个性化细分!$AA$3:$AP$3,0),FALSE)</f>
        <v>1.9875914706113766</v>
      </c>
      <c r="AZ12" s="132"/>
      <c r="BA12" s="34">
        <f t="shared" si="8"/>
        <v>0.24999999999999997</v>
      </c>
      <c r="BB12" s="34">
        <f t="shared" si="9"/>
        <v>0.24999999999999994</v>
      </c>
      <c r="BC12" s="34">
        <f t="shared" si="10"/>
        <v>0</v>
      </c>
      <c r="BD12" s="34">
        <f t="shared" si="11"/>
        <v>0.16666666666666671</v>
      </c>
      <c r="BE12" s="34">
        <f t="shared" si="12"/>
        <v>0.31549070962085346</v>
      </c>
      <c r="BF12" s="34"/>
      <c r="BG12" s="132"/>
      <c r="BH12" s="2" t="str">
        <f t="shared" si="13"/>
        <v>二号2</v>
      </c>
      <c r="BI12" s="2">
        <f>IF(BL11&gt;=VLOOKUP(VLOOKUP(BJ11,坦克个性化设定!$B$18:$E$48,4,FALSE)&amp;BK11,坦克属性分配比例,MATCH("升星次数",坦克属性分配比例标头,0),FALSE),BI11+1,BI11)</f>
        <v>2</v>
      </c>
      <c r="BJ12" s="2" t="str">
        <f t="shared" si="14"/>
        <v>二号</v>
      </c>
      <c r="BK12" s="29" t="str">
        <f>VLOOKUP(BJ12,坦克个性化细分!$I$3:$J$33,2,FALSE)</f>
        <v>低</v>
      </c>
      <c r="BL12" s="2">
        <f t="shared" si="7"/>
        <v>2</v>
      </c>
      <c r="BM12" s="103">
        <f ca="1">ROUND(VLOOKUP($BJ12&amp;"初始",$S$3:$AE$63,MATCH(BM$3,$S$3:$AE$3,0),FALSE)+((VLOOKUP($BJ12&amp;"最终",$S$3:$AE$63,MATCH(BM$3,$S$3:$AE$3,0),FALSE)*坦克个性化细分!$C$9-VLOOKUP($BJ12&amp;"初始",$S$3:$AE$63,MATCH(BM$3,$S$3:$AE$3,0),FALSE))-(VLOOKUP($BJ12&amp;"最终",$S$3:$AE$63,MATCH(BM$3,$S$3:$AE$3,0),FALSE)-VLOOKUP($BJ12&amp;"初始",$S$3:$AE$63,MATCH(BM$3,$S$3:$AE$3,0),FALSE))*VLOOKUP(VLOOKUP($BJ12,坦克个性化设定!$B$18:$E$48,4,FALSE)&amp;$BK12,坦克属性分配比例,MATCH("部件比例",坦克属性分配比例标头,0),FALSE))*$BL12/VLOOKUP(VLOOKUP($BJ12,坦克个性化设定!$B$18:$E$48,4,FALSE)&amp;$BK12,坦克属性分配比例,MATCH("升星次数",坦克属性分配比例标头,0),FALSE),0)</f>
        <v>991</v>
      </c>
      <c r="BN12" s="103">
        <f ca="1">ROUND(VLOOKUP($BJ12&amp;"初始",$S$3:$AE$63,MATCH(BN$3,$S$3:$AE$3,0),FALSE)+(VLOOKUP($BJ12&amp;"最终",$S$3:$AE$63,MATCH(BN$3,$S$3:$AE$3,0),FALSE)-VLOOKUP($BJ12&amp;"初始",$S$3:$AE$63,MATCH(BN$3,$S$3:$AE$3,0),FALSE))*$BL12/VLOOKUP(VLOOKUP($BJ12,坦克个性化设定!$B$18:$E$48,4,FALSE)&amp;$BK12,坦克属性分配比例,MATCH("升星次数",坦克属性分配比例标头,0),FALSE)*VLOOKUP(VLOOKUP($BJ12,坦克个性化设定!$B$18:$E$48,4,FALSE)&amp;$BK12,坦克属性分配比例,MATCH("升星比例",坦克属性分配比例标头,0),FALSE),0)</f>
        <v>81</v>
      </c>
      <c r="BO12" s="103">
        <f ca="1">ROUND(VLOOKUP($BJ12&amp;"初始",$S$3:$AE$63,MATCH(BO$3,$S$3:$AE$3,0),FALSE)+(VLOOKUP($BJ12&amp;"最终",$S$3:$AE$63,MATCH(BO$3,$S$3:$AE$3,0),FALSE)-VLOOKUP($BJ12&amp;"初始",$S$3:$AE$63,MATCH(BO$3,$S$3:$AE$3,0),FALSE))*$BL12/VLOOKUP(VLOOKUP($BJ12,坦克个性化设定!$B$18:$E$48,4,FALSE)&amp;$BK12,坦克属性分配比例,MATCH("升星次数",坦克属性分配比例标头,0),FALSE)*(VLOOKUP(VLOOKUP($BJ12,坦克个性化设定!$B$18:$E$48,4,FALSE)&amp;$BK12,坦克属性分配比例,MATCH("升星比例",坦克属性分配比例标头,0),FALSE)+VLOOKUP(VLOOKUP($BJ12,坦克个性化设定!$B$18:$E$48,4,FALSE)&amp;$BK12,坦克属性分配比例,MATCH("部件比例",坦克属性分配比例标头,0),FALSE)*$C$3),0)</f>
        <v>435</v>
      </c>
      <c r="BP12" s="103">
        <f ca="1">ROUND(VLOOKUP($BJ12&amp;"初始",$S$3:$AE$63,MATCH(BP$3,$S$3:$AE$3,0),FALSE)+(VLOOKUP($BJ12&amp;"最终",$S$3:$AE$63,MATCH(BP$3,$S$3:$AE$3,0),FALSE)-VLOOKUP($BJ12&amp;"初始",$S$3:$AE$63,MATCH(BP$3,$S$3:$AE$3,0),FALSE))*$BL12/VLOOKUP(VLOOKUP($BJ12,坦克个性化设定!$B$18:$E$48,4,FALSE)&amp;$BK12,坦克属性分配比例,MATCH("升星次数",坦克属性分配比例标头,0),FALSE)*(VLOOKUP(VLOOKUP($BJ12,坦克个性化设定!$B$18:$E$48,4,FALSE)&amp;$BK12,坦克属性分配比例,MATCH("升星比例",坦克属性分配比例标头,0),FALSE)+VLOOKUP(VLOOKUP($BJ12,坦克个性化设定!$B$18:$E$48,4,FALSE)&amp;$BK12,坦克属性分配比例,MATCH("部件比例",坦克属性分配比例标头,0),FALSE)*$C$3),0)</f>
        <v>174</v>
      </c>
      <c r="BQ12" s="103">
        <f ca="1">ROUND(VLOOKUP($BJ12&amp;"初始",$S$3:$AE$63,MATCH(BQ$3,$S$3:$AE$3,0),FALSE)+(VLOOKUP($BJ12&amp;"最终",$S$3:$AE$63,MATCH(BQ$3,$S$3:$AE$3,0),FALSE)-VLOOKUP($BJ12&amp;"初始",$S$3:$AE$63,MATCH(BQ$3,$S$3:$AE$3,0),FALSE))*$BL12/VLOOKUP(VLOOKUP($BJ12,坦克个性化设定!$B$18:$E$48,4,FALSE)&amp;$BK12,坦克属性分配比例,MATCH("升星次数",坦克属性分配比例标头,0),FALSE)*VLOOKUP(VLOOKUP($BJ12,坦克个性化设定!$B$18:$E$48,4,FALSE)&amp;$BK12,坦克属性分配比例,MATCH("升星比例",坦克属性分配比例标头,0),FALSE),0)</f>
        <v>388</v>
      </c>
      <c r="BR12" s="2">
        <f ca="1">ROUND(VLOOKUP($BJ12&amp;"初始",$S$3:$AE$63,MATCH(BR$3,$S$3:$AE$3,0),FALSE)+(VLOOKUP($BJ12&amp;"最终",$S$3:$AE$63,MATCH(BR$3,$S$3:$AE$3,0),FALSE)-VLOOKUP($BJ12&amp;"初始",$S$3:$AE$63,MATCH(BR$3,$S$3:$AE$3,0),FALSE))*$BL12/VLOOKUP(VLOOKUP($BJ12,坦克个性化设定!$B$18:$E$48,4,FALSE)&amp;$BK12,坦克属性分配比例,MATCH("升星次数",坦克属性分配比例标头,0),FALSE),0)</f>
        <v>107</v>
      </c>
      <c r="BS12" s="2">
        <f>ROUND(VLOOKUP($BJ12,$AI$3:$AO$33,MATCH(BS$3,$AI$3:$AO$3,0),FALSE)+$BL12/VLOOKUP(VLOOKUP($BJ12,坦克个性化设定!$B$18:$E$48,4,FALSE)&amp;$BK12,坦克属性分配比例,MATCH("升星次数",坦克属性分配比例标头,0),FALSE)*VLOOKUP($BJ12,$AR$3:$AY$33,MATCH(BS$3,$AR$3:$AY$3,0),FALSE),1)</f>
        <v>50.5</v>
      </c>
      <c r="BT12" s="2">
        <f>ROUND(VLOOKUP($BJ12,$AI$3:$AO$33,MATCH(BT$3,$AI$3:$AO$3,0),FALSE)+$BL12/VLOOKUP(VLOOKUP($BJ12,坦克个性化设定!$B$18:$E$48,4,FALSE)&amp;$BK12,坦克属性分配比例,MATCH("升星次数",坦克属性分配比例标头,0),FALSE)*VLOOKUP($BJ12,$AR$3:$AY$33,MATCH(BT$3,$AR$3:$AY$3,0),FALSE),1)</f>
        <v>48.2</v>
      </c>
      <c r="BU12" s="2">
        <f>ROUND(VLOOKUP($BJ12,$AI$3:$AO$33,MATCH(BU$3,$AI$3:$AO$3,0),FALSE)+$BL12/VLOOKUP(VLOOKUP($BJ12,坦克个性化设定!$B$18:$E$48,4,FALSE)&amp;$BK12,坦克属性分配比例,MATCH("升星次数",坦克属性分配比例标头,0),FALSE)*VLOOKUP($BJ12,$AR$3:$AY$33,MATCH(BU$3,$AR$3:$AY$3,0),FALSE),1)</f>
        <v>10.5</v>
      </c>
      <c r="BV12" s="2">
        <f>IF(VLOOKUP(BJ12,坦克个性化设定!$B$18:$BC$48,MATCH("装弹类型",坦克个性化设定!$B$18:$BC$18,0),FALSE)="弹夹换弹",0,ROUND(VLOOKUP($BJ12,$AI$3:$AO$33,MATCH("换弹时间",$AI$3:$AO$3,0),FALSE)-$BL12/VLOOKUP(VLOOKUP($BJ12,坦克个性化设定!$B$18:$E$48,4,FALSE)&amp;$BK12,坦克属性分配比例,MATCH("升星次数",坦克属性分配比例标头,0),FALSE)*VLOOKUP($BJ12,$AR$3:$AY$33,MATCH("换弹时间",$AR$3:$AY$3,0),FALSE),2))</f>
        <v>0</v>
      </c>
      <c r="BW12" s="2">
        <f>IF(VLOOKUP(BJ12,坦克个性化设定!$B$18:$BC$48,MATCH("装弹类型",坦克个性化设定!$B$18:$BC$18,0),FALSE)="弹夹换弹",ROUND(VLOOKUP($BJ12,$AI$3:$AO$33,MATCH("换弹时间",$AI$3:$AO$3,0),FALSE)-$BL12/VLOOKUP(VLOOKUP($BJ12,坦克个性化设定!$B$18:$E$48,4,FALSE)&amp;$BK12,坦克属性分配比例,MATCH("升星次数",坦克属性分配比例标头,0),FALSE)*VLOOKUP($BJ12,$AR$3:$AY$33,MATCH("换弹时间",$AR$3:$AY$3,0),FALSE),1),0)</f>
        <v>10</v>
      </c>
      <c r="BX12" s="2">
        <f>ROUND(VLOOKUP($BJ12,$AI$3:$AO$33,MATCH(BX$3,$AI$3:$AO$3,0),FALSE)+$BL12/VLOOKUP(VLOOKUP($BJ12,坦克个性化设定!$B$18:$E$48,4,FALSE)&amp;$BK12,坦克属性分配比例,MATCH("升星次数",坦克属性分配比例标头,0),FALSE)*VLOOKUP($BJ12,$AR$3:$AY$33,MATCH(BX$3,$AR$3:$AY$3,0),FALSE),2)</f>
        <v>0.6</v>
      </c>
      <c r="BY12" s="2">
        <f>ROUND(VLOOKUP($BJ12,$AI$3:$AO$33,MATCH(BY$3,$AI$3:$AO$3,0),FALSE)-$BL12/VLOOKUP(VLOOKUP($BJ12,坦克个性化设定!$B$18:$E$48,4,FALSE)&amp;$BK12,坦克属性分配比例,MATCH("升星次数",坦克属性分配比例标头,0),FALSE)*VLOOKUP($BJ12,$AR$3:$AY$33,MATCH(BY$3,$AR$3:$AY$3,0),FALSE),2)</f>
        <v>0.35</v>
      </c>
      <c r="CA12" s="2">
        <v>9</v>
      </c>
      <c r="CB12" s="2" t="str">
        <f t="shared" si="15"/>
        <v>BMP-3</v>
      </c>
      <c r="CC12" s="2" t="str">
        <f>VLOOKUP(CB12,坦克个性化设定!$B$18:$F$48,5,FALSE)</f>
        <v>轻坦弹夹</v>
      </c>
      <c r="CD12" s="29" t="str">
        <f>VLOOKUP(CB12,坦克个性化细分!$I$3:$J$33,2,FALSE)</f>
        <v>高</v>
      </c>
      <c r="CE12" s="42" t="e">
        <f ca="1">(VLOOKUP($CB12&amp;"最终",$S$3:$AE$63,MATCH(CE$3,$S$3:$AE$3,0),FALSE)-VLOOKUP($CB12&amp;"初始",$S$3:$AE$63,MATCH(CE$3,$S$3:$AE$3,0),FALSE))*VLOOKUP(VLOOKUP($CB12,坦克个性化设定!$B$18:$E$48,4,FALSE)&amp;$CD12,坦克属性分配比例,MATCH("部件比例",坦克属性分配比例标头,0),FALSE)</f>
        <v>#N/A</v>
      </c>
      <c r="CF12" s="42" t="e">
        <f ca="1">(VLOOKUP($CB12&amp;"最终",$S$3:$AE$63,MATCH(CF$3,$S$3:$AE$3,0),FALSE)-VLOOKUP($CB12&amp;"初始",$S$3:$AE$63,MATCH(CF$3,$S$3:$AE$3,0),FALSE))*VLOOKUP(VLOOKUP($CB12,坦克个性化设定!$B$18:$E$48,4,FALSE)&amp;$CD12,坦克属性分配比例,MATCH("部件比例",坦克属性分配比例标头,0),FALSE)</f>
        <v>#N/A</v>
      </c>
      <c r="CG12" s="42" t="e">
        <f ca="1">(VLOOKUP($CB12&amp;"最终",$S$3:$AE$63,MATCH(CG$3,$S$3:$AE$3,0),FALSE)-VLOOKUP($CB12&amp;"初始",$S$3:$AE$63,MATCH(CG$3,$S$3:$AE$3,0),FALSE))*VLOOKUP(VLOOKUP($CB12,坦克个性化设定!$B$18:$E$48,4,FALSE)&amp;$CD12,坦克属性分配比例,MATCH("部件比例",坦克属性分配比例标头,0),FALSE)*(1-$C$3)</f>
        <v>#N/A</v>
      </c>
      <c r="CH12" s="42" t="e">
        <f ca="1">(VLOOKUP($CB12&amp;"最终",$S$3:$AE$63,MATCH(CH$3,$S$3:$AE$3,0),FALSE)-VLOOKUP($CB12&amp;"初始",$S$3:$AE$63,MATCH(CH$3,$S$3:$AE$3,0),FALSE))*VLOOKUP(VLOOKUP($CB12,坦克个性化设定!$B$18:$E$48,4,FALSE)&amp;$CD12,坦克属性分配比例,MATCH("部件比例",坦克属性分配比例标头,0),FALSE)*(1-$C$3)</f>
        <v>#N/A</v>
      </c>
      <c r="CI12" s="42" t="e">
        <f ca="1">(VLOOKUP($CB12&amp;"最终",$S$3:$AE$63,MATCH(CI$3,$S$3:$AE$3,0),FALSE)-VLOOKUP($CB12&amp;"初始",$S$3:$AE$63,MATCH(CI$3,$S$3:$AE$3,0),FALSE))*VLOOKUP(VLOOKUP($CB12,坦克个性化设定!$B$18:$E$48,4,FALSE)&amp;$CD12,坦克属性分配比例,MATCH("部件比例",坦克属性分配比例标头,0),FALSE)</f>
        <v>#N/A</v>
      </c>
    </row>
    <row r="13" spans="2:87" x14ac:dyDescent="0.3">
      <c r="B13" s="2">
        <v>8</v>
      </c>
      <c r="C13" s="2" t="str">
        <f>坦克个性化设定!B26</f>
        <v>M-41</v>
      </c>
      <c r="D13" s="2">
        <v>1421</v>
      </c>
      <c r="E13" s="2" t="s">
        <v>619</v>
      </c>
      <c r="F13" s="2">
        <v>0</v>
      </c>
      <c r="G13" s="25" t="str">
        <f t="shared" si="17"/>
        <v>M-41</v>
      </c>
      <c r="H13" s="2" t="str">
        <f>坦克等级成长!B22&amp;坦克等级成长!C22</f>
        <v>T5低</v>
      </c>
      <c r="I13" s="2">
        <v>13</v>
      </c>
      <c r="J13" s="2">
        <f>坦克等级成长!J22</f>
        <v>2.52</v>
      </c>
      <c r="K13" s="2">
        <f>坦克等级成长!K22</f>
        <v>4.18</v>
      </c>
      <c r="L13" s="2">
        <f>坦克等级成长!E22</f>
        <v>8</v>
      </c>
      <c r="M13" s="2" t="e">
        <f>IFERROR(VLOOKUP(L13,坦克部件!$N$3:$R$9,5,FALSE),VLOOKUP(L13-1,坦克部件!$N$3:$R$9,5,FALSE))</f>
        <v>#N/A</v>
      </c>
      <c r="N13" s="2" t="e">
        <f t="shared" si="0"/>
        <v>#N/A</v>
      </c>
      <c r="O13" s="161">
        <f t="shared" si="1"/>
        <v>0.5</v>
      </c>
      <c r="P13" s="154">
        <v>0.5</v>
      </c>
      <c r="Q13" s="162"/>
      <c r="R13" s="25"/>
      <c r="S13" s="2" t="str">
        <f t="shared" si="2"/>
        <v>十字军最终</v>
      </c>
      <c r="T13" s="2">
        <f>IF(COUNTIF(U$4:U12,U12)&gt;=$B$3,T12+1,T12)</f>
        <v>5</v>
      </c>
      <c r="U13" s="2" t="str">
        <f t="shared" si="3"/>
        <v>十字军</v>
      </c>
      <c r="V13" s="2" t="str">
        <f>VLOOKUP(U13,坦克个性化设定!$B$18:$F$48,5,FALSE)</f>
        <v>轻坦弹夹</v>
      </c>
      <c r="W13" s="29" t="str">
        <f>VLOOKUP(U13,坦克个性化细分!$I$3:$J$33,2,FALSE)</f>
        <v>中</v>
      </c>
      <c r="X13" s="2" t="str">
        <f t="shared" si="16"/>
        <v>最终</v>
      </c>
      <c r="Y13" s="2" t="str">
        <f>VLOOKUP(VLOOKUP(U13,坦克个性化设定!$B$18:$F$48,4,FALSE)&amp;W13,坦克等级成长!$P$12:$U$24,MATCH(X13,坦克等级成长!$P$12:$U$12,0),FALSE)</f>
        <v>T3中5</v>
      </c>
      <c r="Z13" s="42">
        <f ca="1">VLOOKUP($Y13,INDIRECT($V13&amp;"_阶段属性"),MATCH(Z$3,属性标头_阶段属性,0),FALSE)*VLOOKUP($U13,坦克个性化设定!$B$84:$D$114,2,FALSE)</f>
        <v>1870.7019561522959</v>
      </c>
      <c r="AA13" s="42">
        <f ca="1">VLOOKUP($Y13,INDIRECT($V13&amp;"_阶段属性"),MATCH(AA$3,属性标头_阶段属性,0),FALSE)*VLOOKUP($U13,坦克个性化设定!$B$84:$D$114,3,FALSE)</f>
        <v>106.67982222200082</v>
      </c>
      <c r="AB13" s="2">
        <f t="shared" ca="1" si="4"/>
        <v>749</v>
      </c>
      <c r="AC13" s="2">
        <f t="shared" ca="1" si="4"/>
        <v>300</v>
      </c>
      <c r="AD13" s="2">
        <f t="shared" ca="1" si="4"/>
        <v>684</v>
      </c>
      <c r="AE13" s="2">
        <f t="shared" ca="1" si="4"/>
        <v>182</v>
      </c>
      <c r="AF13" s="25"/>
      <c r="AH13" s="2">
        <v>10</v>
      </c>
      <c r="AI13" s="2" t="str">
        <f t="shared" si="5"/>
        <v>59式</v>
      </c>
      <c r="AJ13" s="2">
        <f>VLOOKUP($AI13,坦克个性化细分!$I$3:$P$33,MATCH(AJ$3,坦克个性化细分!$I$3:$P$3,0),FALSE)</f>
        <v>37.700000000000003</v>
      </c>
      <c r="AK13" s="2">
        <f>VLOOKUP($AI13,坦克个性化细分!$I$3:$P$33,MATCH(AK$3,坦克个性化细分!$I$3:$P$3,0),FALSE)</f>
        <v>56.3</v>
      </c>
      <c r="AL13" s="2">
        <f>VLOOKUP($AI13,坦克个性化细分!$I$3:$P$33,MATCH(AL$3,坦克个性化细分!$I$3:$P$3,0),FALSE)</f>
        <v>9.5</v>
      </c>
      <c r="AM13" s="34">
        <f>VLOOKUP(AI13,坦克个性化细分!$AA$3:$AP$33,MATCH("射击偏移角",坦克个性化细分!$AA$3:$AP$3,0),FALSE)/VLOOKUP(AI13,坦克个性化细分!$AA$3:$AP$33,MATCH("原瞄准速度",坦克个性化细分!$AA$3:$AP$3,0),FALSE)</f>
        <v>0.47499999999999998</v>
      </c>
      <c r="AN13" s="34">
        <f>VLOOKUP(AI13,坦克个性化细分!$AA$3:$AP$33,MATCH(AN$3,坦克个性化细分!$AA$3:$AP$3,0),FALSE)</f>
        <v>0.8</v>
      </c>
      <c r="AO13" s="2">
        <f>VLOOKUP(AI13,坦克个性化细分!$AA$3:$AP$33,MATCH("原换弹时间",坦克个性化细分!$AA$3:$AP$3,0),FALSE)</f>
        <v>9.7999999999999989</v>
      </c>
      <c r="AP13" s="132"/>
      <c r="AQ13" s="2">
        <v>10</v>
      </c>
      <c r="AR13" s="2" t="str">
        <f t="shared" si="6"/>
        <v>59式</v>
      </c>
      <c r="AS13" s="2" t="s">
        <v>79</v>
      </c>
      <c r="AT13" s="34">
        <f>VLOOKUP(AR13,坦克个性化细分!$I$3:$P$33,MATCH("养成区间1",坦克个性化细分!$I$3:$P$3,0),FALSE)</f>
        <v>9.4249999999999972</v>
      </c>
      <c r="AU13" s="2">
        <f>VLOOKUP(AR13,坦克个性化细分!$I$3:$P$33,MATCH("养成区间2",坦克个性化细分!$I$3:$P$3,0),FALSE)</f>
        <v>14.074999999999994</v>
      </c>
      <c r="AV13" s="2">
        <f>VLOOKUP(AR13,坦克个性化细分!$I$3:$P$33,MATCH("养成区间3",坦克个性化细分!$I$3:$P$3,0),FALSE)</f>
        <v>0</v>
      </c>
      <c r="AW13" s="34">
        <f>VLOOKUP(AR13,坦克个性化细分!$AA$3:$AP$33,MATCH("瞄准区间",坦克个性化细分!$AA$3:$AP$3,0),FALSE)</f>
        <v>7.9166666666666663E-2</v>
      </c>
      <c r="AX13" s="34">
        <f>VLOOKUP(AI13,坦克个性化细分!$AA$3:$AP$33,MATCH("后射击间隔",坦克个性化细分!$AA$3:$AP$3,0),FALSE)-VLOOKUP(AI13,坦克个性化细分!$AA$3:$AP$33,MATCH(AN$3,坦克个性化细分!$AA$3:$AP$3,0),FALSE)</f>
        <v>0</v>
      </c>
      <c r="AY13" s="34">
        <f>VLOOKUP(AR13,坦克个性化细分!$AA$3:$AP$33,MATCH("换弹区间",坦克个性化细分!$AA$3:$AP$3,0),FALSE)</f>
        <v>3.5207924088563303</v>
      </c>
      <c r="AZ13" s="132"/>
      <c r="BA13" s="34">
        <f t="shared" si="8"/>
        <v>0.24999999999999992</v>
      </c>
      <c r="BB13" s="34">
        <f t="shared" si="9"/>
        <v>0.24999999999999992</v>
      </c>
      <c r="BC13" s="34">
        <f t="shared" si="10"/>
        <v>0</v>
      </c>
      <c r="BD13" s="34">
        <f t="shared" si="11"/>
        <v>0.16666666666666666</v>
      </c>
      <c r="BE13" s="34">
        <f t="shared" si="12"/>
        <v>0.35926453151595211</v>
      </c>
      <c r="BF13" s="34"/>
      <c r="BG13" s="132"/>
      <c r="BH13" s="2" t="str">
        <f t="shared" si="13"/>
        <v>二号3</v>
      </c>
      <c r="BI13" s="2">
        <f>IF(BL12&gt;=VLOOKUP(VLOOKUP(BJ12,坦克个性化设定!$B$18:$E$48,4,FALSE)&amp;BK12,坦克属性分配比例,MATCH("升星次数",坦克属性分配比例标头,0),FALSE),BI12+1,BI12)</f>
        <v>2</v>
      </c>
      <c r="BJ13" s="2" t="str">
        <f t="shared" si="14"/>
        <v>二号</v>
      </c>
      <c r="BK13" s="29" t="str">
        <f>VLOOKUP(BJ13,坦克个性化细分!$I$3:$J$33,2,FALSE)</f>
        <v>低</v>
      </c>
      <c r="BL13" s="2">
        <f t="shared" si="7"/>
        <v>3</v>
      </c>
      <c r="BM13" s="103">
        <f ca="1">ROUND(VLOOKUP($BJ13&amp;"初始",$S$3:$AE$63,MATCH(BM$3,$S$3:$AE$3,0),FALSE)+((VLOOKUP($BJ13&amp;"最终",$S$3:$AE$63,MATCH(BM$3,$S$3:$AE$3,0),FALSE)*坦克个性化细分!$C$9-VLOOKUP($BJ13&amp;"初始",$S$3:$AE$63,MATCH(BM$3,$S$3:$AE$3,0),FALSE))-(VLOOKUP($BJ13&amp;"最终",$S$3:$AE$63,MATCH(BM$3,$S$3:$AE$3,0),FALSE)-VLOOKUP($BJ13&amp;"初始",$S$3:$AE$63,MATCH(BM$3,$S$3:$AE$3,0),FALSE))*VLOOKUP(VLOOKUP($BJ13,坦克个性化设定!$B$18:$E$48,4,FALSE)&amp;$BK13,坦克属性分配比例,MATCH("部件比例",坦克属性分配比例标头,0),FALSE))*$BL13/VLOOKUP(VLOOKUP($BJ13,坦克个性化设定!$B$18:$E$48,4,FALSE)&amp;$BK13,坦克属性分配比例,MATCH("升星次数",坦克属性分配比例标头,0),FALSE),0)</f>
        <v>1049</v>
      </c>
      <c r="BN13" s="103">
        <f ca="1">ROUND(VLOOKUP($BJ13&amp;"初始",$S$3:$AE$63,MATCH(BN$3,$S$3:$AE$3,0),FALSE)+(VLOOKUP($BJ13&amp;"最终",$S$3:$AE$63,MATCH(BN$3,$S$3:$AE$3,0),FALSE)-VLOOKUP($BJ13&amp;"初始",$S$3:$AE$63,MATCH(BN$3,$S$3:$AE$3,0),FALSE))*$BL13/VLOOKUP(VLOOKUP($BJ13,坦克个性化设定!$B$18:$E$48,4,FALSE)&amp;$BK13,坦克属性分配比例,MATCH("升星次数",坦克属性分配比例标头,0),FALSE)*VLOOKUP(VLOOKUP($BJ13,坦克个性化设定!$B$18:$E$48,4,FALSE)&amp;$BK13,坦克属性分配比例,MATCH("升星比例",坦克属性分配比例标头,0),FALSE),0)</f>
        <v>84</v>
      </c>
      <c r="BO13" s="103">
        <f ca="1">ROUND(VLOOKUP($BJ13&amp;"初始",$S$3:$AE$63,MATCH(BO$3,$S$3:$AE$3,0),FALSE)+(VLOOKUP($BJ13&amp;"最终",$S$3:$AE$63,MATCH(BO$3,$S$3:$AE$3,0),FALSE)-VLOOKUP($BJ13&amp;"初始",$S$3:$AE$63,MATCH(BO$3,$S$3:$AE$3,0),FALSE))*$BL13/VLOOKUP(VLOOKUP($BJ13,坦克个性化设定!$B$18:$E$48,4,FALSE)&amp;$BK13,坦克属性分配比例,MATCH("升星次数",坦克属性分配比例标头,0),FALSE)*(VLOOKUP(VLOOKUP($BJ13,坦克个性化设定!$B$18:$E$48,4,FALSE)&amp;$BK13,坦克属性分配比例,MATCH("升星比例",坦克属性分配比例标头,0),FALSE)+VLOOKUP(VLOOKUP($BJ13,坦克个性化设定!$B$18:$E$48,4,FALSE)&amp;$BK13,坦克属性分配比例,MATCH("部件比例",坦克属性分配比例标头,0),FALSE)*$C$3),0)</f>
        <v>455</v>
      </c>
      <c r="BP13" s="103">
        <f ca="1">ROUND(VLOOKUP($BJ13&amp;"初始",$S$3:$AE$63,MATCH(BP$3,$S$3:$AE$3,0),FALSE)+(VLOOKUP($BJ13&amp;"最终",$S$3:$AE$63,MATCH(BP$3,$S$3:$AE$3,0),FALSE)-VLOOKUP($BJ13&amp;"初始",$S$3:$AE$63,MATCH(BP$3,$S$3:$AE$3,0),FALSE))*$BL13/VLOOKUP(VLOOKUP($BJ13,坦克个性化设定!$B$18:$E$48,4,FALSE)&amp;$BK13,坦克属性分配比例,MATCH("升星次数",坦克属性分配比例标头,0),FALSE)*(VLOOKUP(VLOOKUP($BJ13,坦克个性化设定!$B$18:$E$48,4,FALSE)&amp;$BK13,坦克属性分配比例,MATCH("升星比例",坦克属性分配比例标头,0),FALSE)+VLOOKUP(VLOOKUP($BJ13,坦克个性化设定!$B$18:$E$48,4,FALSE)&amp;$BK13,坦克属性分配比例,MATCH("部件比例",坦克属性分配比例标头,0),FALSE)*$C$3),0)</f>
        <v>182</v>
      </c>
      <c r="BQ13" s="103">
        <f ca="1">ROUND(VLOOKUP($BJ13&amp;"初始",$S$3:$AE$63,MATCH(BQ$3,$S$3:$AE$3,0),FALSE)+(VLOOKUP($BJ13&amp;"最终",$S$3:$AE$63,MATCH(BQ$3,$S$3:$AE$3,0),FALSE)-VLOOKUP($BJ13&amp;"初始",$S$3:$AE$63,MATCH(BQ$3,$S$3:$AE$3,0),FALSE))*$BL13/VLOOKUP(VLOOKUP($BJ13,坦克个性化设定!$B$18:$E$48,4,FALSE)&amp;$BK13,坦克属性分配比例,MATCH("升星次数",坦克属性分配比例标头,0),FALSE)*VLOOKUP(VLOOKUP($BJ13,坦克个性化设定!$B$18:$E$48,4,FALSE)&amp;$BK13,坦克属性分配比例,MATCH("升星比例",坦克属性分配比例标头,0),FALSE),0)</f>
        <v>402</v>
      </c>
      <c r="BR13" s="2">
        <f ca="1">ROUND(VLOOKUP($BJ13&amp;"初始",$S$3:$AE$63,MATCH(BR$3,$S$3:$AE$3,0),FALSE)+(VLOOKUP($BJ13&amp;"最终",$S$3:$AE$63,MATCH(BR$3,$S$3:$AE$3,0),FALSE)-VLOOKUP($BJ13&amp;"初始",$S$3:$AE$63,MATCH(BR$3,$S$3:$AE$3,0),FALSE))*$BL13/VLOOKUP(VLOOKUP($BJ13,坦克个性化设定!$B$18:$E$48,4,FALSE)&amp;$BK13,坦克属性分配比例,MATCH("升星次数",坦克属性分配比例标头,0),FALSE),0)</f>
        <v>113</v>
      </c>
      <c r="BS13" s="2">
        <f>ROUND(VLOOKUP($BJ13,$AI$3:$AO$33,MATCH(BS$3,$AI$3:$AO$3,0),FALSE)+$BL13/VLOOKUP(VLOOKUP($BJ13,坦克个性化设定!$B$18:$E$48,4,FALSE)&amp;$BK13,坦克属性分配比例,MATCH("升星次数",坦克属性分配比例标头,0),FALSE)*VLOOKUP($BJ13,$AR$3:$AY$33,MATCH(BS$3,$AR$3:$AY$3,0),FALSE),1)</f>
        <v>52.1</v>
      </c>
      <c r="BT13" s="2">
        <f>ROUND(VLOOKUP($BJ13,$AI$3:$AO$33,MATCH(BT$3,$AI$3:$AO$3,0),FALSE)+$BL13/VLOOKUP(VLOOKUP($BJ13,坦克个性化设定!$B$18:$E$48,4,FALSE)&amp;$BK13,坦克属性分配比例,MATCH("升星次数",坦克属性分配比例标头,0),FALSE)*VLOOKUP($BJ13,$AR$3:$AY$33,MATCH(BT$3,$AR$3:$AY$3,0),FALSE),1)</f>
        <v>49.8</v>
      </c>
      <c r="BU13" s="2">
        <f>ROUND(VLOOKUP($BJ13,$AI$3:$AO$33,MATCH(BU$3,$AI$3:$AO$3,0),FALSE)+$BL13/VLOOKUP(VLOOKUP($BJ13,坦克个性化设定!$B$18:$E$48,4,FALSE)&amp;$BK13,坦克属性分配比例,MATCH("升星次数",坦克属性分配比例标头,0),FALSE)*VLOOKUP($BJ13,$AR$3:$AY$33,MATCH(BU$3,$AR$3:$AY$3,0),FALSE),1)</f>
        <v>10.5</v>
      </c>
      <c r="BV13" s="2">
        <f>IF(VLOOKUP(BJ13,坦克个性化设定!$B$18:$BC$48,MATCH("装弹类型",坦克个性化设定!$B$18:$BC$18,0),FALSE)="弹夹换弹",0,ROUND(VLOOKUP($BJ13,$AI$3:$AO$33,MATCH("换弹时间",$AI$3:$AO$3,0),FALSE)-$BL13/VLOOKUP(VLOOKUP($BJ13,坦克个性化设定!$B$18:$E$48,4,FALSE)&amp;$BK13,坦克属性分配比例,MATCH("升星次数",坦克属性分配比例标头,0),FALSE)*VLOOKUP($BJ13,$AR$3:$AY$33,MATCH("换弹时间",$AR$3:$AY$3,0),FALSE),2))</f>
        <v>0</v>
      </c>
      <c r="BW13" s="2">
        <f>IF(VLOOKUP(BJ13,坦克个性化设定!$B$18:$BC$48,MATCH("装弹类型",坦克个性化设定!$B$18:$BC$18,0),FALSE)="弹夹换弹",ROUND(VLOOKUP($BJ13,$AI$3:$AO$33,MATCH("换弹时间",$AI$3:$AO$3,0),FALSE)-$BL13/VLOOKUP(VLOOKUP($BJ13,坦克个性化设定!$B$18:$E$48,4,FALSE)&amp;$BK13,坦克属性分配比例,MATCH("升星次数",坦克属性分配比例标头,0),FALSE)*VLOOKUP($BJ13,$AR$3:$AY$33,MATCH("换弹时间",$AR$3:$AY$3,0),FALSE),1),0)</f>
        <v>9.5</v>
      </c>
      <c r="BX13" s="2">
        <f>ROUND(VLOOKUP($BJ13,$AI$3:$AO$33,MATCH(BX$3,$AI$3:$AO$3,0),FALSE)+$BL13/VLOOKUP(VLOOKUP($BJ13,坦克个性化设定!$B$18:$E$48,4,FALSE)&amp;$BK13,坦克属性分配比例,MATCH("升星次数",坦克属性分配比例标头,0),FALSE)*VLOOKUP($BJ13,$AR$3:$AY$33,MATCH(BX$3,$AR$3:$AY$3,0),FALSE),2)</f>
        <v>0.6</v>
      </c>
      <c r="BY13" s="2">
        <f>ROUND(VLOOKUP($BJ13,$AI$3:$AO$33,MATCH(BY$3,$AI$3:$AO$3,0),FALSE)-$BL13/VLOOKUP(VLOOKUP($BJ13,坦克个性化设定!$B$18:$E$48,4,FALSE)&amp;$BK13,坦克属性分配比例,MATCH("升星次数",坦克属性分配比例标头,0),FALSE)*VLOOKUP($BJ13,$AR$3:$AY$33,MATCH(BY$3,$AR$3:$AY$3,0),FALSE),2)</f>
        <v>0.34</v>
      </c>
      <c r="CA13" s="2">
        <v>10</v>
      </c>
      <c r="CB13" s="2" t="str">
        <f t="shared" si="15"/>
        <v>59式</v>
      </c>
      <c r="CC13" s="2" t="str">
        <f>VLOOKUP(CB13,坦克个性化设定!$B$18:$F$48,5,FALSE)</f>
        <v>轻坦弹夹</v>
      </c>
      <c r="CD13" s="29" t="str">
        <f>VLOOKUP(CB13,坦克个性化细分!$I$3:$J$33,2,FALSE)</f>
        <v>低</v>
      </c>
      <c r="CE13" s="42" t="e">
        <f ca="1">(VLOOKUP($CB13&amp;"最终",$S$3:$AE$63,MATCH(CE$3,$S$3:$AE$3,0),FALSE)-VLOOKUP($CB13&amp;"初始",$S$3:$AE$63,MATCH(CE$3,$S$3:$AE$3,0),FALSE))*VLOOKUP(VLOOKUP($CB13,坦克个性化设定!$B$18:$E$48,4,FALSE)&amp;$CD13,坦克属性分配比例,MATCH("部件比例",坦克属性分配比例标头,0),FALSE)</f>
        <v>#N/A</v>
      </c>
      <c r="CF13" s="42" t="e">
        <f ca="1">(VLOOKUP($CB13&amp;"最终",$S$3:$AE$63,MATCH(CF$3,$S$3:$AE$3,0),FALSE)-VLOOKUP($CB13&amp;"初始",$S$3:$AE$63,MATCH(CF$3,$S$3:$AE$3,0),FALSE))*VLOOKUP(VLOOKUP($CB13,坦克个性化设定!$B$18:$E$48,4,FALSE)&amp;$CD13,坦克属性分配比例,MATCH("部件比例",坦克属性分配比例标头,0),FALSE)</f>
        <v>#N/A</v>
      </c>
      <c r="CG13" s="42" t="e">
        <f ca="1">(VLOOKUP($CB13&amp;"最终",$S$3:$AE$63,MATCH(CG$3,$S$3:$AE$3,0),FALSE)-VLOOKUP($CB13&amp;"初始",$S$3:$AE$63,MATCH(CG$3,$S$3:$AE$3,0),FALSE))*VLOOKUP(VLOOKUP($CB13,坦克个性化设定!$B$18:$E$48,4,FALSE)&amp;$CD13,坦克属性分配比例,MATCH("部件比例",坦克属性分配比例标头,0),FALSE)*(1-$C$3)</f>
        <v>#N/A</v>
      </c>
      <c r="CH13" s="42" t="e">
        <f ca="1">(VLOOKUP($CB13&amp;"最终",$S$3:$AE$63,MATCH(CH$3,$S$3:$AE$3,0),FALSE)-VLOOKUP($CB13&amp;"初始",$S$3:$AE$63,MATCH(CH$3,$S$3:$AE$3,0),FALSE))*VLOOKUP(VLOOKUP($CB13,坦克个性化设定!$B$18:$E$48,4,FALSE)&amp;$CD13,坦克属性分配比例,MATCH("部件比例",坦克属性分配比例标头,0),FALSE)*(1-$C$3)</f>
        <v>#N/A</v>
      </c>
      <c r="CI13" s="42" t="e">
        <f ca="1">(VLOOKUP($CB13&amp;"最终",$S$3:$AE$63,MATCH(CI$3,$S$3:$AE$3,0),FALSE)-VLOOKUP($CB13&amp;"初始",$S$3:$AE$63,MATCH(CI$3,$S$3:$AE$3,0),FALSE))*VLOOKUP(VLOOKUP($CB13,坦克个性化设定!$B$18:$E$48,4,FALSE)&amp;$CD13,坦克属性分配比例,MATCH("部件比例",坦克属性分配比例标头,0),FALSE)</f>
        <v>#N/A</v>
      </c>
    </row>
    <row r="14" spans="2:87" x14ac:dyDescent="0.3">
      <c r="B14" s="2">
        <v>9</v>
      </c>
      <c r="C14" s="2" t="str">
        <f>坦克个性化设定!B27</f>
        <v>BMP-3</v>
      </c>
      <c r="D14" s="2">
        <v>1431</v>
      </c>
      <c r="E14" s="2" t="s">
        <v>621</v>
      </c>
      <c r="F14" s="2">
        <v>0</v>
      </c>
      <c r="G14" s="25" t="str">
        <f t="shared" si="17"/>
        <v>BMP-3</v>
      </c>
      <c r="H14" s="2" t="str">
        <f>坦克等级成长!B23&amp;坦克等级成长!C23</f>
        <v>T5中</v>
      </c>
      <c r="I14" s="2">
        <v>13</v>
      </c>
      <c r="J14" s="2">
        <f>坦克等级成长!J23</f>
        <v>2.62</v>
      </c>
      <c r="K14" s="2">
        <f>坦克等级成长!K23</f>
        <v>4.3600000000000003</v>
      </c>
      <c r="L14" s="2">
        <f>坦克等级成长!E23</f>
        <v>8</v>
      </c>
      <c r="M14" s="2" t="e">
        <f>IFERROR(VLOOKUP(L14,坦克部件!$N$3:$R$9,5,FALSE),VLOOKUP(L14-1,坦克部件!$N$3:$R$9,5,FALSE))</f>
        <v>#N/A</v>
      </c>
      <c r="N14" s="2" t="e">
        <f t="shared" si="0"/>
        <v>#N/A</v>
      </c>
      <c r="O14" s="161">
        <f t="shared" si="1"/>
        <v>0.5</v>
      </c>
      <c r="P14" s="154">
        <v>0.5</v>
      </c>
      <c r="Q14" s="162"/>
      <c r="R14" s="25"/>
      <c r="S14" s="2" t="str">
        <f t="shared" si="2"/>
        <v>AMX-13初始</v>
      </c>
      <c r="T14" s="2">
        <f>IF(COUNTIF(U$4:U13,U13)&gt;=$B$3,T13+1,T13)</f>
        <v>6</v>
      </c>
      <c r="U14" s="2" t="str">
        <f t="shared" si="3"/>
        <v>AMX-13</v>
      </c>
      <c r="V14" s="2" t="str">
        <f>VLOOKUP(U14,坦克个性化设定!$B$18:$F$48,5,FALSE)</f>
        <v>轻坦弹夹</v>
      </c>
      <c r="W14" s="29" t="str">
        <f>VLOOKUP(U14,坦克个性化细分!$I$3:$J$33,2,FALSE)</f>
        <v>高</v>
      </c>
      <c r="X14" s="2" t="str">
        <f t="shared" si="16"/>
        <v>初始</v>
      </c>
      <c r="Y14" s="2" t="str">
        <f>VLOOKUP(VLOOKUP(U14,坦克个性化设定!$B$18:$F$48,4,FALSE)&amp;W14,坦克等级成长!$P$12:$U$24,MATCH(X14,坦克等级成长!$P$12:$U$12,0),FALSE)</f>
        <v>T3高3</v>
      </c>
      <c r="Z14" s="42">
        <f ca="1">VLOOKUP($Y14,INDIRECT($V14&amp;"_阶段属性"),MATCH(Z$3,属性标头_阶段属性,0),FALSE)*VLOOKUP($U14,坦克个性化设定!$B$84:$D$114,2,FALSE)</f>
        <v>1168.4620653042637</v>
      </c>
      <c r="AA14" s="42">
        <f ca="1">VLOOKUP($Y14,INDIRECT($V14&amp;"_阶段属性"),MATCH(AA$3,属性标头_阶段属性,0),FALSE)*VLOOKUP($U14,坦克个性化设定!$B$84:$D$114,3,FALSE)</f>
        <v>99.527478591140536</v>
      </c>
      <c r="AB14" s="2">
        <f t="shared" ca="1" si="4"/>
        <v>506</v>
      </c>
      <c r="AC14" s="2">
        <f t="shared" ca="1" si="4"/>
        <v>202</v>
      </c>
      <c r="AD14" s="2">
        <f t="shared" ca="1" si="4"/>
        <v>462</v>
      </c>
      <c r="AE14" s="2">
        <f t="shared" ca="1" si="4"/>
        <v>123</v>
      </c>
      <c r="AF14" s="25"/>
      <c r="AH14" s="2">
        <v>11</v>
      </c>
      <c r="AI14" s="2" t="str">
        <f t="shared" si="5"/>
        <v>Stuart</v>
      </c>
      <c r="AJ14" s="2">
        <f>VLOOKUP($AI14,坦克个性化细分!$I$3:$P$33,MATCH(AJ$3,坦克个性化细分!$I$3:$P$3,0),FALSE)</f>
        <v>44.5</v>
      </c>
      <c r="AK14" s="2">
        <f>VLOOKUP($AI14,坦克个性化细分!$I$3:$P$33,MATCH(AK$3,坦克个性化细分!$I$3:$P$3,0),FALSE)</f>
        <v>40</v>
      </c>
      <c r="AL14" s="2">
        <f>VLOOKUP($AI14,坦克个性化细分!$I$3:$P$33,MATCH(AL$3,坦克个性化细分!$I$3:$P$3,0),FALSE)</f>
        <v>8</v>
      </c>
      <c r="AM14" s="34">
        <f>VLOOKUP(AI14,坦克个性化细分!$AA$3:$AP$33,MATCH("射击偏移角",坦克个性化细分!$AA$3:$AP$3,0),FALSE)/VLOOKUP(AI14,坦克个性化细分!$AA$3:$AP$33,MATCH("原瞄准速度",坦克个性化细分!$AA$3:$AP$3,0),FALSE)</f>
        <v>1</v>
      </c>
      <c r="AN14" s="34">
        <f>VLOOKUP(AI14,坦克个性化细分!$AA$3:$AP$33,MATCH(AN$3,坦克个性化细分!$AA$3:$AP$3,0),FALSE)</f>
        <v>0.30000000000000004</v>
      </c>
      <c r="AO14" s="2">
        <f>VLOOKUP(AI14,坦克个性化细分!$AA$3:$AP$33,MATCH("原换弹时间",坦克个性化细分!$AA$3:$AP$3,0),FALSE)</f>
        <v>3.2</v>
      </c>
      <c r="AP14" s="132"/>
      <c r="AQ14" s="2">
        <v>11</v>
      </c>
      <c r="AR14" s="2" t="str">
        <f t="shared" si="6"/>
        <v>Stuart</v>
      </c>
      <c r="AS14" s="2" t="s">
        <v>80</v>
      </c>
      <c r="AT14" s="34">
        <f>VLOOKUP(AR14,坦克个性化细分!$I$3:$P$33,MATCH("养成区间1",坦克个性化细分!$I$3:$P$3,0),FALSE)</f>
        <v>11.124999999999998</v>
      </c>
      <c r="AU14" s="2">
        <f>VLOOKUP(AR14,坦克个性化细分!$I$3:$P$33,MATCH("养成区间2",坦克个性化细分!$I$3:$P$3,0),FALSE)</f>
        <v>9.9999999999999982</v>
      </c>
      <c r="AV14" s="2">
        <f>VLOOKUP(AR14,坦克个性化细分!$I$3:$P$33,MATCH("养成区间3",坦克个性化细分!$I$3:$P$3,0),FALSE)</f>
        <v>0</v>
      </c>
      <c r="AW14" s="34">
        <f>VLOOKUP(AR14,坦克个性化细分!$AA$3:$AP$33,MATCH("瞄准区间",坦克个性化细分!$AA$3:$AP$3,0),FALSE)</f>
        <v>0.16666666666666663</v>
      </c>
      <c r="AX14" s="34">
        <f>VLOOKUP(AI14,坦克个性化细分!$AA$3:$AP$33,MATCH("后射击间隔",坦克个性化细分!$AA$3:$AP$3,0),FALSE)-VLOOKUP(AI14,坦克个性化细分!$AA$3:$AP$33,MATCH(AN$3,坦克个性化细分!$AA$3:$AP$3,0),FALSE)</f>
        <v>0</v>
      </c>
      <c r="AY14" s="34">
        <f>VLOOKUP(AR14,坦克个性化细分!$AA$3:$AP$33,MATCH("换弹区间",坦克个性化细分!$AA$3:$AP$3,0),FALSE)</f>
        <v>0.58134206219312601</v>
      </c>
      <c r="AZ14" s="132"/>
      <c r="BA14" s="34">
        <f t="shared" si="8"/>
        <v>0.24999999999999997</v>
      </c>
      <c r="BB14" s="34">
        <f t="shared" si="9"/>
        <v>0.24999999999999994</v>
      </c>
      <c r="BC14" s="34">
        <f t="shared" si="10"/>
        <v>0</v>
      </c>
      <c r="BD14" s="34">
        <f t="shared" si="11"/>
        <v>0.16666666666666663</v>
      </c>
      <c r="BE14" s="34">
        <f t="shared" si="12"/>
        <v>0.18166939443535188</v>
      </c>
      <c r="BF14" s="34"/>
      <c r="BG14" s="132"/>
      <c r="BH14" s="2" t="str">
        <f t="shared" si="13"/>
        <v>二号4</v>
      </c>
      <c r="BI14" s="2">
        <f>IF(BL13&gt;=VLOOKUP(VLOOKUP(BJ13,坦克个性化设定!$B$18:$E$48,4,FALSE)&amp;BK13,坦克属性分配比例,MATCH("升星次数",坦克属性分配比例标头,0),FALSE),BI13+1,BI13)</f>
        <v>2</v>
      </c>
      <c r="BJ14" s="2" t="str">
        <f t="shared" si="14"/>
        <v>二号</v>
      </c>
      <c r="BK14" s="29" t="str">
        <f>VLOOKUP(BJ14,坦克个性化细分!$I$3:$J$33,2,FALSE)</f>
        <v>低</v>
      </c>
      <c r="BL14" s="2">
        <f t="shared" si="7"/>
        <v>4</v>
      </c>
      <c r="BM14" s="103">
        <f ca="1">ROUND(VLOOKUP($BJ14&amp;"初始",$S$3:$AE$63,MATCH(BM$3,$S$3:$AE$3,0),FALSE)+((VLOOKUP($BJ14&amp;"最终",$S$3:$AE$63,MATCH(BM$3,$S$3:$AE$3,0),FALSE)*坦克个性化细分!$C$9-VLOOKUP($BJ14&amp;"初始",$S$3:$AE$63,MATCH(BM$3,$S$3:$AE$3,0),FALSE))-(VLOOKUP($BJ14&amp;"最终",$S$3:$AE$63,MATCH(BM$3,$S$3:$AE$3,0),FALSE)-VLOOKUP($BJ14&amp;"初始",$S$3:$AE$63,MATCH(BM$3,$S$3:$AE$3,0),FALSE))*VLOOKUP(VLOOKUP($BJ14,坦克个性化设定!$B$18:$E$48,4,FALSE)&amp;$BK14,坦克属性分配比例,MATCH("部件比例",坦克属性分配比例标头,0),FALSE))*$BL14/VLOOKUP(VLOOKUP($BJ14,坦克个性化设定!$B$18:$E$48,4,FALSE)&amp;$BK14,坦克属性分配比例,MATCH("升星次数",坦克属性分配比例标头,0),FALSE),0)</f>
        <v>1107</v>
      </c>
      <c r="BN14" s="103">
        <f ca="1">ROUND(VLOOKUP($BJ14&amp;"初始",$S$3:$AE$63,MATCH(BN$3,$S$3:$AE$3,0),FALSE)+(VLOOKUP($BJ14&amp;"最终",$S$3:$AE$63,MATCH(BN$3,$S$3:$AE$3,0),FALSE)-VLOOKUP($BJ14&amp;"初始",$S$3:$AE$63,MATCH(BN$3,$S$3:$AE$3,0),FALSE))*$BL14/VLOOKUP(VLOOKUP($BJ14,坦克个性化设定!$B$18:$E$48,4,FALSE)&amp;$BK14,坦克属性分配比例,MATCH("升星次数",坦克属性分配比例标头,0),FALSE)*VLOOKUP(VLOOKUP($BJ14,坦克个性化设定!$B$18:$E$48,4,FALSE)&amp;$BK14,坦克属性分配比例,MATCH("升星比例",坦克属性分配比例标头,0),FALSE),0)</f>
        <v>87</v>
      </c>
      <c r="BO14" s="103">
        <f ca="1">ROUND(VLOOKUP($BJ14&amp;"初始",$S$3:$AE$63,MATCH(BO$3,$S$3:$AE$3,0),FALSE)+(VLOOKUP($BJ14&amp;"最终",$S$3:$AE$63,MATCH(BO$3,$S$3:$AE$3,0),FALSE)-VLOOKUP($BJ14&amp;"初始",$S$3:$AE$63,MATCH(BO$3,$S$3:$AE$3,0),FALSE))*$BL14/VLOOKUP(VLOOKUP($BJ14,坦克个性化设定!$B$18:$E$48,4,FALSE)&amp;$BK14,坦克属性分配比例,MATCH("升星次数",坦克属性分配比例标头,0),FALSE)*(VLOOKUP(VLOOKUP($BJ14,坦克个性化设定!$B$18:$E$48,4,FALSE)&amp;$BK14,坦克属性分配比例,MATCH("升星比例",坦克属性分配比例标头,0),FALSE)+VLOOKUP(VLOOKUP($BJ14,坦克个性化设定!$B$18:$E$48,4,FALSE)&amp;$BK14,坦克属性分配比例,MATCH("部件比例",坦克属性分配比例标头,0),FALSE)*$C$3),0)</f>
        <v>475</v>
      </c>
      <c r="BP14" s="103">
        <f ca="1">ROUND(VLOOKUP($BJ14&amp;"初始",$S$3:$AE$63,MATCH(BP$3,$S$3:$AE$3,0),FALSE)+(VLOOKUP($BJ14&amp;"最终",$S$3:$AE$63,MATCH(BP$3,$S$3:$AE$3,0),FALSE)-VLOOKUP($BJ14&amp;"初始",$S$3:$AE$63,MATCH(BP$3,$S$3:$AE$3,0),FALSE))*$BL14/VLOOKUP(VLOOKUP($BJ14,坦克个性化设定!$B$18:$E$48,4,FALSE)&amp;$BK14,坦克属性分配比例,MATCH("升星次数",坦克属性分配比例标头,0),FALSE)*(VLOOKUP(VLOOKUP($BJ14,坦克个性化设定!$B$18:$E$48,4,FALSE)&amp;$BK14,坦克属性分配比例,MATCH("升星比例",坦克属性分配比例标头,0),FALSE)+VLOOKUP(VLOOKUP($BJ14,坦克个性化设定!$B$18:$E$48,4,FALSE)&amp;$BK14,坦克属性分配比例,MATCH("部件比例",坦克属性分配比例标头,0),FALSE)*$C$3),0)</f>
        <v>190</v>
      </c>
      <c r="BQ14" s="103">
        <f ca="1">ROUND(VLOOKUP($BJ14&amp;"初始",$S$3:$AE$63,MATCH(BQ$3,$S$3:$AE$3,0),FALSE)+(VLOOKUP($BJ14&amp;"最终",$S$3:$AE$63,MATCH(BQ$3,$S$3:$AE$3,0),FALSE)-VLOOKUP($BJ14&amp;"初始",$S$3:$AE$63,MATCH(BQ$3,$S$3:$AE$3,0),FALSE))*$BL14/VLOOKUP(VLOOKUP($BJ14,坦克个性化设定!$B$18:$E$48,4,FALSE)&amp;$BK14,坦克属性分配比例,MATCH("升星次数",坦克属性分配比例标头,0),FALSE)*VLOOKUP(VLOOKUP($BJ14,坦克个性化设定!$B$18:$E$48,4,FALSE)&amp;$BK14,坦克属性分配比例,MATCH("升星比例",坦克属性分配比例标头,0),FALSE),0)</f>
        <v>416</v>
      </c>
      <c r="BR14" s="2">
        <f ca="1">ROUND(VLOOKUP($BJ14&amp;"初始",$S$3:$AE$63,MATCH(BR$3,$S$3:$AE$3,0),FALSE)+(VLOOKUP($BJ14&amp;"最终",$S$3:$AE$63,MATCH(BR$3,$S$3:$AE$3,0),FALSE)-VLOOKUP($BJ14&amp;"初始",$S$3:$AE$63,MATCH(BR$3,$S$3:$AE$3,0),FALSE))*$BL14/VLOOKUP(VLOOKUP($BJ14,坦克个性化设定!$B$18:$E$48,4,FALSE)&amp;$BK14,坦克属性分配比例,MATCH("升星次数",坦克属性分配比例标头,0),FALSE),0)</f>
        <v>119</v>
      </c>
      <c r="BS14" s="2">
        <f>ROUND(VLOOKUP($BJ14,$AI$3:$AO$33,MATCH(BS$3,$AI$3:$AO$3,0),FALSE)+$BL14/VLOOKUP(VLOOKUP($BJ14,坦克个性化设定!$B$18:$E$48,4,FALSE)&amp;$BK14,坦克属性分配比例,MATCH("升星次数",坦克属性分配比例标头,0),FALSE)*VLOOKUP($BJ14,$AR$3:$AY$33,MATCH(BS$3,$AR$3:$AY$3,0),FALSE),1)</f>
        <v>53.8</v>
      </c>
      <c r="BT14" s="2">
        <f>ROUND(VLOOKUP($BJ14,$AI$3:$AO$33,MATCH(BT$3,$AI$3:$AO$3,0),FALSE)+$BL14/VLOOKUP(VLOOKUP($BJ14,坦克个性化设定!$B$18:$E$48,4,FALSE)&amp;$BK14,坦克属性分配比例,MATCH("升星次数",坦克属性分配比例标头,0),FALSE)*VLOOKUP($BJ14,$AR$3:$AY$33,MATCH(BT$3,$AR$3:$AY$3,0),FALSE),1)</f>
        <v>51.4</v>
      </c>
      <c r="BU14" s="2">
        <f>ROUND(VLOOKUP($BJ14,$AI$3:$AO$33,MATCH(BU$3,$AI$3:$AO$3,0),FALSE)+$BL14/VLOOKUP(VLOOKUP($BJ14,坦克个性化设定!$B$18:$E$48,4,FALSE)&amp;$BK14,坦克属性分配比例,MATCH("升星次数",坦克属性分配比例标头,0),FALSE)*VLOOKUP($BJ14,$AR$3:$AY$33,MATCH(BU$3,$AR$3:$AY$3,0),FALSE),1)</f>
        <v>10.5</v>
      </c>
      <c r="BV14" s="2">
        <f>IF(VLOOKUP(BJ14,坦克个性化设定!$B$18:$BC$48,MATCH("装弹类型",坦克个性化设定!$B$18:$BC$18,0),FALSE)="弹夹换弹",0,ROUND(VLOOKUP($BJ14,$AI$3:$AO$33,MATCH("换弹时间",$AI$3:$AO$3,0),FALSE)-$BL14/VLOOKUP(VLOOKUP($BJ14,坦克个性化设定!$B$18:$E$48,4,FALSE)&amp;$BK14,坦克属性分配比例,MATCH("升星次数",坦克属性分配比例标头,0),FALSE)*VLOOKUP($BJ14,$AR$3:$AY$33,MATCH("换弹时间",$AR$3:$AY$3,0),FALSE),2))</f>
        <v>0</v>
      </c>
      <c r="BW14" s="2">
        <f>IF(VLOOKUP(BJ14,坦克个性化设定!$B$18:$BC$48,MATCH("装弹类型",坦克个性化设定!$B$18:$BC$18,0),FALSE)="弹夹换弹",ROUND(VLOOKUP($BJ14,$AI$3:$AO$33,MATCH("换弹时间",$AI$3:$AO$3,0),FALSE)-$BL14/VLOOKUP(VLOOKUP($BJ14,坦克个性化设定!$B$18:$E$48,4,FALSE)&amp;$BK14,坦克属性分配比例,MATCH("升星次数",坦克属性分配比例标头,0),FALSE)*VLOOKUP($BJ14,$AR$3:$AY$33,MATCH("换弹时间",$AR$3:$AY$3,0),FALSE),1),0)</f>
        <v>8.9</v>
      </c>
      <c r="BX14" s="2">
        <f>ROUND(VLOOKUP($BJ14,$AI$3:$AO$33,MATCH(BX$3,$AI$3:$AO$3,0),FALSE)+$BL14/VLOOKUP(VLOOKUP($BJ14,坦克个性化设定!$B$18:$E$48,4,FALSE)&amp;$BK14,坦克属性分配比例,MATCH("升星次数",坦克属性分配比例标头,0),FALSE)*VLOOKUP($BJ14,$AR$3:$AY$33,MATCH(BX$3,$AR$3:$AY$3,0),FALSE),2)</f>
        <v>0.6</v>
      </c>
      <c r="BY14" s="2">
        <f>ROUND(VLOOKUP($BJ14,$AI$3:$AO$33,MATCH(BY$3,$AI$3:$AO$3,0),FALSE)-$BL14/VLOOKUP(VLOOKUP($BJ14,坦克个性化设定!$B$18:$E$48,4,FALSE)&amp;$BK14,坦克属性分配比例,MATCH("升星次数",坦克属性分配比例标头,0),FALSE)*VLOOKUP($BJ14,$AR$3:$AY$33,MATCH(BY$3,$AR$3:$AY$3,0),FALSE),2)</f>
        <v>0.33</v>
      </c>
      <c r="CA14" s="2">
        <v>11</v>
      </c>
      <c r="CB14" s="2" t="str">
        <f t="shared" si="15"/>
        <v>Stuart</v>
      </c>
      <c r="CC14" s="2" t="str">
        <f>VLOOKUP(CB14,坦克个性化设定!$B$18:$F$48,5,FALSE)</f>
        <v>中坦自动</v>
      </c>
      <c r="CD14" s="29" t="str">
        <f>VLOOKUP(CB14,坦克个性化细分!$I$3:$J$33,2,FALSE)</f>
        <v>低</v>
      </c>
      <c r="CE14" s="42">
        <f ca="1">(VLOOKUP($CB14&amp;"最终",$S$3:$AE$63,MATCH(CE$3,$S$3:$AE$3,0),FALSE)-VLOOKUP($CB14&amp;"初始",$S$3:$AE$63,MATCH(CE$3,$S$3:$AE$3,0),FALSE))*VLOOKUP(VLOOKUP($CB14,坦克个性化设定!$B$18:$E$48,4,FALSE)&amp;$CD14,坦克属性分配比例,MATCH("部件比例",坦克属性分配比例标头,0),FALSE)</f>
        <v>137.46060508977965</v>
      </c>
      <c r="CF14" s="42">
        <f ca="1">(VLOOKUP($CB14&amp;"最终",$S$3:$AE$63,MATCH(CF$3,$S$3:$AE$3,0),FALSE)-VLOOKUP($CB14&amp;"初始",$S$3:$AE$63,MATCH(CF$3,$S$3:$AE$3,0),FALSE))*VLOOKUP(VLOOKUP($CB14,坦克个性化设定!$B$18:$E$48,4,FALSE)&amp;$CD14,坦克属性分配比例,MATCH("部件比例",坦克属性分配比例标头,0),FALSE)</f>
        <v>13.089273304131597</v>
      </c>
      <c r="CG14" s="42">
        <f ca="1">(VLOOKUP($CB14&amp;"最终",$S$3:$AE$63,MATCH(CG$3,$S$3:$AE$3,0),FALSE)-VLOOKUP($CB14&amp;"初始",$S$3:$AE$63,MATCH(CG$3,$S$3:$AE$3,0),FALSE))*VLOOKUP(VLOOKUP($CB14,坦克个性化设定!$B$18:$E$48,4,FALSE)&amp;$CD14,坦克属性分配比例,MATCH("部件比例",坦克属性分配比例标头,0),FALSE)*(1-$C$3)</f>
        <v>11.76</v>
      </c>
      <c r="CH14" s="42">
        <f ca="1">(VLOOKUP($CB14&amp;"最终",$S$3:$AE$63,MATCH(CH$3,$S$3:$AE$3,0),FALSE)-VLOOKUP($CB14&amp;"初始",$S$3:$AE$63,MATCH(CH$3,$S$3:$AE$3,0),FALSE))*VLOOKUP(VLOOKUP($CB14,坦克个性化设定!$B$18:$E$48,4,FALSE)&amp;$CD14,坦克属性分配比例,MATCH("部件比例",坦克属性分配比例标头,0),FALSE)*(1-$C$3)</f>
        <v>5.28</v>
      </c>
      <c r="CI14" s="42">
        <f ca="1">(VLOOKUP($CB14&amp;"最终",$S$3:$AE$63,MATCH(CI$3,$S$3:$AE$3,0),FALSE)-VLOOKUP($CB14&amp;"初始",$S$3:$AE$63,MATCH(CI$3,$S$3:$AE$3,0),FALSE))*VLOOKUP(VLOOKUP($CB14,坦克个性化设定!$B$18:$E$48,4,FALSE)&amp;$CD14,坦克属性分配比例,MATCH("部件比例",坦克属性分配比例标头,0),FALSE)</f>
        <v>32.4</v>
      </c>
    </row>
    <row r="15" spans="2:87" x14ac:dyDescent="0.3">
      <c r="B15" s="2">
        <v>10</v>
      </c>
      <c r="C15" s="2" t="str">
        <f>坦克个性化设定!B28</f>
        <v>59式</v>
      </c>
      <c r="D15" s="2">
        <v>1511</v>
      </c>
      <c r="E15" s="2" t="s">
        <v>623</v>
      </c>
      <c r="F15" s="2">
        <v>0</v>
      </c>
      <c r="G15" s="25" t="str">
        <f t="shared" si="17"/>
        <v>59式</v>
      </c>
      <c r="H15" s="2" t="str">
        <f>坦克等级成长!B24&amp;坦克等级成长!C24</f>
        <v>T5高</v>
      </c>
      <c r="I15" s="2">
        <v>13</v>
      </c>
      <c r="J15" s="2">
        <f>坦克等级成长!J24</f>
        <v>2.62</v>
      </c>
      <c r="K15" s="2">
        <f>坦克等级成长!K24</f>
        <v>4.4400000000000004</v>
      </c>
      <c r="L15" s="2">
        <f>坦克等级成长!E24</f>
        <v>8</v>
      </c>
      <c r="M15" s="2" t="e">
        <f>IFERROR(VLOOKUP(L15,坦克部件!$N$3:$R$9,5,FALSE),VLOOKUP(L15-1,坦克部件!$N$3:$R$9,5,FALSE))</f>
        <v>#N/A</v>
      </c>
      <c r="N15" s="2" t="e">
        <f t="shared" si="0"/>
        <v>#N/A</v>
      </c>
      <c r="O15" s="161">
        <f t="shared" si="1"/>
        <v>0.5</v>
      </c>
      <c r="P15" s="154">
        <v>0.5</v>
      </c>
      <c r="Q15" s="162"/>
      <c r="R15" s="25"/>
      <c r="S15" s="2" t="str">
        <f t="shared" si="2"/>
        <v>AMX-13最终</v>
      </c>
      <c r="T15" s="2">
        <f>IF(COUNTIF(U$4:U14,U14)&gt;=$B$3,T14+1,T14)</f>
        <v>6</v>
      </c>
      <c r="U15" s="2" t="str">
        <f t="shared" si="3"/>
        <v>AMX-13</v>
      </c>
      <c r="V15" s="2" t="str">
        <f>VLOOKUP(U15,坦克个性化设定!$B$18:$F$48,5,FALSE)</f>
        <v>轻坦弹夹</v>
      </c>
      <c r="W15" s="29" t="str">
        <f>VLOOKUP(U15,坦克个性化细分!$I$3:$J$33,2,FALSE)</f>
        <v>高</v>
      </c>
      <c r="X15" s="2" t="str">
        <f t="shared" si="16"/>
        <v>最终</v>
      </c>
      <c r="Y15" s="2" t="str">
        <f>VLOOKUP(VLOOKUP(U15,坦克个性化设定!$B$18:$F$48,4,FALSE)&amp;W15,坦克等级成长!$P$12:$U$24,MATCH(X15,坦克等级成长!$P$12:$U$12,0),FALSE)</f>
        <v>T3高5</v>
      </c>
      <c r="Z15" s="42">
        <f ca="1">VLOOKUP($Y15,INDIRECT($V15&amp;"_阶段属性"),MATCH(Z$3,属性标头_阶段属性,0),FALSE)*VLOOKUP($U15,坦克个性化设定!$B$84:$D$114,2,FALSE)</f>
        <v>1729.9308499309877</v>
      </c>
      <c r="AA15" s="42">
        <f ca="1">VLOOKUP($Y15,INDIRECT($V15&amp;"_阶段属性"),MATCH(AA$3,属性标头_阶段属性,0),FALSE)*VLOOKUP($U15,坦克个性化设定!$B$84:$D$114,3,FALSE)</f>
        <v>149.97291294555421</v>
      </c>
      <c r="AB15" s="2">
        <f t="shared" ca="1" si="4"/>
        <v>766</v>
      </c>
      <c r="AC15" s="2">
        <f t="shared" ca="1" si="4"/>
        <v>306</v>
      </c>
      <c r="AD15" s="2">
        <f t="shared" ca="1" si="4"/>
        <v>699</v>
      </c>
      <c r="AE15" s="2">
        <f t="shared" ca="1" si="4"/>
        <v>186</v>
      </c>
      <c r="AF15" s="25"/>
      <c r="AH15" s="2">
        <v>12</v>
      </c>
      <c r="AI15" s="2" t="str">
        <f t="shared" si="5"/>
        <v>T-34</v>
      </c>
      <c r="AJ15" s="2">
        <f>VLOOKUP($AI15,坦克个性化细分!$I$3:$P$33,MATCH(AJ$3,坦克个性化细分!$I$3:$P$3,0),FALSE)</f>
        <v>44.5</v>
      </c>
      <c r="AK15" s="2">
        <f>VLOOKUP($AI15,坦克个性化细分!$I$3:$P$33,MATCH(AK$3,坦克个性化细分!$I$3:$P$3,0),FALSE)</f>
        <v>40</v>
      </c>
      <c r="AL15" s="2">
        <f>VLOOKUP($AI15,坦克个性化细分!$I$3:$P$33,MATCH(AL$3,坦克个性化细分!$I$3:$P$3,0),FALSE)</f>
        <v>8</v>
      </c>
      <c r="AM15" s="34">
        <f>VLOOKUP(AI15,坦克个性化细分!$AA$3:$AP$33,MATCH("射击偏移角",坦克个性化细分!$AA$3:$AP$3,0),FALSE)/VLOOKUP(AI15,坦克个性化细分!$AA$3:$AP$33,MATCH("原瞄准速度",坦克个性化细分!$AA$3:$AP$3,0),FALSE)</f>
        <v>1.01</v>
      </c>
      <c r="AN15" s="34">
        <f>VLOOKUP(AI15,坦克个性化细分!$AA$3:$AP$33,MATCH(AN$3,坦克个性化细分!$AA$3:$AP$3,0),FALSE)</f>
        <v>0.32</v>
      </c>
      <c r="AO15" s="2">
        <f>VLOOKUP(AI15,坦克个性化细分!$AA$3:$AP$33,MATCH("原换弹时间",坦克个性化细分!$AA$3:$AP$3,0),FALSE)</f>
        <v>3.2</v>
      </c>
      <c r="AP15" s="132"/>
      <c r="AQ15" s="2">
        <v>12</v>
      </c>
      <c r="AR15" s="2" t="str">
        <f t="shared" si="6"/>
        <v>T-34</v>
      </c>
      <c r="AS15" s="2" t="s">
        <v>80</v>
      </c>
      <c r="AT15" s="34">
        <f>VLOOKUP(AR15,坦克个性化细分!$I$3:$P$33,MATCH("养成区间1",坦克个性化细分!$I$3:$P$3,0),FALSE)</f>
        <v>11.124999999999998</v>
      </c>
      <c r="AU15" s="2">
        <f>VLOOKUP(AR15,坦克个性化细分!$I$3:$P$33,MATCH("养成区间2",坦克个性化细分!$I$3:$P$3,0),FALSE)</f>
        <v>9.9999999999999982</v>
      </c>
      <c r="AV15" s="2">
        <f>VLOOKUP(AR15,坦克个性化细分!$I$3:$P$33,MATCH("养成区间3",坦克个性化细分!$I$3:$P$3,0),FALSE)</f>
        <v>0</v>
      </c>
      <c r="AW15" s="34">
        <f>VLOOKUP(AR15,坦克个性化细分!$AA$3:$AP$33,MATCH("瞄准区间",坦克个性化细分!$AA$3:$AP$3,0),FALSE)</f>
        <v>0.16833333333333333</v>
      </c>
      <c r="AX15" s="34">
        <f>VLOOKUP(AI15,坦克个性化细分!$AA$3:$AP$33,MATCH("后射击间隔",坦克个性化细分!$AA$3:$AP$3,0),FALSE)-VLOOKUP(AI15,坦克个性化细分!$AA$3:$AP$33,MATCH(AN$3,坦克个性化细分!$AA$3:$AP$3,0),FALSE)</f>
        <v>0.67999999999999994</v>
      </c>
      <c r="AY15" s="34">
        <f>VLOOKUP(AR15,坦克个性化细分!$AA$3:$AP$33,MATCH("换弹区间",坦克个性化细分!$AA$3:$AP$3,0),FALSE)</f>
        <v>0.58134206219312601</v>
      </c>
      <c r="AZ15" s="132"/>
      <c r="BA15" s="34">
        <f t="shared" si="8"/>
        <v>0.24999999999999997</v>
      </c>
      <c r="BB15" s="34">
        <f t="shared" si="9"/>
        <v>0.24999999999999994</v>
      </c>
      <c r="BC15" s="34">
        <f t="shared" si="10"/>
        <v>0</v>
      </c>
      <c r="BD15" s="34">
        <f t="shared" si="11"/>
        <v>0.16666666666666666</v>
      </c>
      <c r="BE15" s="34">
        <f t="shared" si="12"/>
        <v>0.18166939443535188</v>
      </c>
      <c r="BF15" s="34"/>
      <c r="BG15" s="132"/>
      <c r="BH15" s="2" t="str">
        <f t="shared" si="13"/>
        <v>二号5</v>
      </c>
      <c r="BI15" s="2">
        <f>IF(BL14&gt;=VLOOKUP(VLOOKUP(BJ14,坦克个性化设定!$B$18:$E$48,4,FALSE)&amp;BK14,坦克属性分配比例,MATCH("升星次数",坦克属性分配比例标头,0),FALSE),BI14+1,BI14)</f>
        <v>2</v>
      </c>
      <c r="BJ15" s="2" t="str">
        <f t="shared" si="14"/>
        <v>二号</v>
      </c>
      <c r="BK15" s="29" t="str">
        <f>VLOOKUP(BJ15,坦克个性化细分!$I$3:$J$33,2,FALSE)</f>
        <v>低</v>
      </c>
      <c r="BL15" s="2">
        <f t="shared" si="7"/>
        <v>5</v>
      </c>
      <c r="BM15" s="103">
        <f ca="1">ROUND(VLOOKUP($BJ15&amp;"初始",$S$3:$AE$63,MATCH(BM$3,$S$3:$AE$3,0),FALSE)+((VLOOKUP($BJ15&amp;"最终",$S$3:$AE$63,MATCH(BM$3,$S$3:$AE$3,0),FALSE)*坦克个性化细分!$C$9-VLOOKUP($BJ15&amp;"初始",$S$3:$AE$63,MATCH(BM$3,$S$3:$AE$3,0),FALSE))-(VLOOKUP($BJ15&amp;"最终",$S$3:$AE$63,MATCH(BM$3,$S$3:$AE$3,0),FALSE)-VLOOKUP($BJ15&amp;"初始",$S$3:$AE$63,MATCH(BM$3,$S$3:$AE$3,0),FALSE))*VLOOKUP(VLOOKUP($BJ15,坦克个性化设定!$B$18:$E$48,4,FALSE)&amp;$BK15,坦克属性分配比例,MATCH("部件比例",坦克属性分配比例标头,0),FALSE))*$BL15/VLOOKUP(VLOOKUP($BJ15,坦克个性化设定!$B$18:$E$48,4,FALSE)&amp;$BK15,坦克属性分配比例,MATCH("升星次数",坦克属性分配比例标头,0),FALSE),0)</f>
        <v>1165</v>
      </c>
      <c r="BN15" s="103">
        <f ca="1">ROUND(VLOOKUP($BJ15&amp;"初始",$S$3:$AE$63,MATCH(BN$3,$S$3:$AE$3,0),FALSE)+(VLOOKUP($BJ15&amp;"最终",$S$3:$AE$63,MATCH(BN$3,$S$3:$AE$3,0),FALSE)-VLOOKUP($BJ15&amp;"初始",$S$3:$AE$63,MATCH(BN$3,$S$3:$AE$3,0),FALSE))*$BL15/VLOOKUP(VLOOKUP($BJ15,坦克个性化设定!$B$18:$E$48,4,FALSE)&amp;$BK15,坦克属性分配比例,MATCH("升星次数",坦克属性分配比例标头,0),FALSE)*VLOOKUP(VLOOKUP($BJ15,坦克个性化设定!$B$18:$E$48,4,FALSE)&amp;$BK15,坦克属性分配比例,MATCH("升星比例",坦克属性分配比例标头,0),FALSE),0)</f>
        <v>89</v>
      </c>
      <c r="BO15" s="103">
        <f ca="1">ROUND(VLOOKUP($BJ15&amp;"初始",$S$3:$AE$63,MATCH(BO$3,$S$3:$AE$3,0),FALSE)+(VLOOKUP($BJ15&amp;"最终",$S$3:$AE$63,MATCH(BO$3,$S$3:$AE$3,0),FALSE)-VLOOKUP($BJ15&amp;"初始",$S$3:$AE$63,MATCH(BO$3,$S$3:$AE$3,0),FALSE))*$BL15/VLOOKUP(VLOOKUP($BJ15,坦克个性化设定!$B$18:$E$48,4,FALSE)&amp;$BK15,坦克属性分配比例,MATCH("升星次数",坦克属性分配比例标头,0),FALSE)*(VLOOKUP(VLOOKUP($BJ15,坦克个性化设定!$B$18:$E$48,4,FALSE)&amp;$BK15,坦克属性分配比例,MATCH("升星比例",坦克属性分配比例标头,0),FALSE)+VLOOKUP(VLOOKUP($BJ15,坦克个性化设定!$B$18:$E$48,4,FALSE)&amp;$BK15,坦克属性分配比例,MATCH("部件比例",坦克属性分配比例标头,0),FALSE)*$C$3),0)</f>
        <v>495</v>
      </c>
      <c r="BP15" s="103">
        <f ca="1">ROUND(VLOOKUP($BJ15&amp;"初始",$S$3:$AE$63,MATCH(BP$3,$S$3:$AE$3,0),FALSE)+(VLOOKUP($BJ15&amp;"最终",$S$3:$AE$63,MATCH(BP$3,$S$3:$AE$3,0),FALSE)-VLOOKUP($BJ15&amp;"初始",$S$3:$AE$63,MATCH(BP$3,$S$3:$AE$3,0),FALSE))*$BL15/VLOOKUP(VLOOKUP($BJ15,坦克个性化设定!$B$18:$E$48,4,FALSE)&amp;$BK15,坦克属性分配比例,MATCH("升星次数",坦克属性分配比例标头,0),FALSE)*(VLOOKUP(VLOOKUP($BJ15,坦克个性化设定!$B$18:$E$48,4,FALSE)&amp;$BK15,坦克属性分配比例,MATCH("升星比例",坦克属性分配比例标头,0),FALSE)+VLOOKUP(VLOOKUP($BJ15,坦克个性化设定!$B$18:$E$48,4,FALSE)&amp;$BK15,坦克属性分配比例,MATCH("部件比例",坦克属性分配比例标头,0),FALSE)*$C$3),0)</f>
        <v>198</v>
      </c>
      <c r="BQ15" s="103">
        <f ca="1">ROUND(VLOOKUP($BJ15&amp;"初始",$S$3:$AE$63,MATCH(BQ$3,$S$3:$AE$3,0),FALSE)+(VLOOKUP($BJ15&amp;"最终",$S$3:$AE$63,MATCH(BQ$3,$S$3:$AE$3,0),FALSE)-VLOOKUP($BJ15&amp;"初始",$S$3:$AE$63,MATCH(BQ$3,$S$3:$AE$3,0),FALSE))*$BL15/VLOOKUP(VLOOKUP($BJ15,坦克个性化设定!$B$18:$E$48,4,FALSE)&amp;$BK15,坦克属性分配比例,MATCH("升星次数",坦克属性分配比例标头,0),FALSE)*VLOOKUP(VLOOKUP($BJ15,坦克个性化设定!$B$18:$E$48,4,FALSE)&amp;$BK15,坦克属性分配比例,MATCH("升星比例",坦克属性分配比例标头,0),FALSE),0)</f>
        <v>430</v>
      </c>
      <c r="BR15" s="2">
        <f ca="1">ROUND(VLOOKUP($BJ15&amp;"初始",$S$3:$AE$63,MATCH(BR$3,$S$3:$AE$3,0),FALSE)+(VLOOKUP($BJ15&amp;"最终",$S$3:$AE$63,MATCH(BR$3,$S$3:$AE$3,0),FALSE)-VLOOKUP($BJ15&amp;"初始",$S$3:$AE$63,MATCH(BR$3,$S$3:$AE$3,0),FALSE))*$BL15/VLOOKUP(VLOOKUP($BJ15,坦克个性化设定!$B$18:$E$48,4,FALSE)&amp;$BK15,坦克属性分配比例,MATCH("升星次数",坦克属性分配比例标头,0),FALSE),0)</f>
        <v>125</v>
      </c>
      <c r="BS15" s="2">
        <f>ROUND(VLOOKUP($BJ15,$AI$3:$AO$33,MATCH(BS$3,$AI$3:$AO$3,0),FALSE)+$BL15/VLOOKUP(VLOOKUP($BJ15,坦克个性化设定!$B$18:$E$48,4,FALSE)&amp;$BK15,坦克属性分配比例,MATCH("升星次数",坦克属性分配比例标头,0),FALSE)*VLOOKUP($BJ15,$AR$3:$AY$33,MATCH(BS$3,$AR$3:$AY$3,0),FALSE),1)</f>
        <v>55.5</v>
      </c>
      <c r="BT15" s="2">
        <f>ROUND(VLOOKUP($BJ15,$AI$3:$AO$33,MATCH(BT$3,$AI$3:$AO$3,0),FALSE)+$BL15/VLOOKUP(VLOOKUP($BJ15,坦克个性化设定!$B$18:$E$48,4,FALSE)&amp;$BK15,坦克属性分配比例,MATCH("升星次数",坦克属性分配比例标头,0),FALSE)*VLOOKUP($BJ15,$AR$3:$AY$33,MATCH(BT$3,$AR$3:$AY$3,0),FALSE),1)</f>
        <v>53</v>
      </c>
      <c r="BU15" s="2">
        <f>ROUND(VLOOKUP($BJ15,$AI$3:$AO$33,MATCH(BU$3,$AI$3:$AO$3,0),FALSE)+$BL15/VLOOKUP(VLOOKUP($BJ15,坦克个性化设定!$B$18:$E$48,4,FALSE)&amp;$BK15,坦克属性分配比例,MATCH("升星次数",坦克属性分配比例标头,0),FALSE)*VLOOKUP($BJ15,$AR$3:$AY$33,MATCH(BU$3,$AR$3:$AY$3,0),FALSE),1)</f>
        <v>10.5</v>
      </c>
      <c r="BV15" s="2">
        <f>IF(VLOOKUP(BJ15,坦克个性化设定!$B$18:$BC$48,MATCH("装弹类型",坦克个性化设定!$B$18:$BC$18,0),FALSE)="弹夹换弹",0,ROUND(VLOOKUP($BJ15,$AI$3:$AO$33,MATCH("换弹时间",$AI$3:$AO$3,0),FALSE)-$BL15/VLOOKUP(VLOOKUP($BJ15,坦克个性化设定!$B$18:$E$48,4,FALSE)&amp;$BK15,坦克属性分配比例,MATCH("升星次数",坦克属性分配比例标头,0),FALSE)*VLOOKUP($BJ15,$AR$3:$AY$33,MATCH("换弹时间",$AR$3:$AY$3,0),FALSE),2))</f>
        <v>0</v>
      </c>
      <c r="BW15" s="2">
        <f>IF(VLOOKUP(BJ15,坦克个性化设定!$B$18:$BC$48,MATCH("装弹类型",坦克个性化设定!$B$18:$BC$18,0),FALSE)="弹夹换弹",ROUND(VLOOKUP($BJ15,$AI$3:$AO$33,MATCH("换弹时间",$AI$3:$AO$3,0),FALSE)-$BL15/VLOOKUP(VLOOKUP($BJ15,坦克个性化设定!$B$18:$E$48,4,FALSE)&amp;$BK15,坦克属性分配比例,MATCH("升星次数",坦克属性分配比例标头,0),FALSE)*VLOOKUP($BJ15,$AR$3:$AY$33,MATCH("换弹时间",$AR$3:$AY$3,0),FALSE),1),0)</f>
        <v>8.3000000000000007</v>
      </c>
      <c r="BX15" s="2">
        <f>ROUND(VLOOKUP($BJ15,$AI$3:$AO$33,MATCH(BX$3,$AI$3:$AO$3,0),FALSE)+$BL15/VLOOKUP(VLOOKUP($BJ15,坦克个性化设定!$B$18:$E$48,4,FALSE)&amp;$BK15,坦克属性分配比例,MATCH("升星次数",坦克属性分配比例标头,0),FALSE)*VLOOKUP($BJ15,$AR$3:$AY$33,MATCH(BX$3,$AR$3:$AY$3,0),FALSE),2)</f>
        <v>0.6</v>
      </c>
      <c r="BY15" s="2">
        <f>ROUND(VLOOKUP($BJ15,$AI$3:$AO$33,MATCH(BY$3,$AI$3:$AO$3,0),FALSE)-$BL15/VLOOKUP(VLOOKUP($BJ15,坦克个性化设定!$B$18:$E$48,4,FALSE)&amp;$BK15,坦克属性分配比例,MATCH("升星次数",坦克属性分配比例标头,0),FALSE)*VLOOKUP($BJ15,$AR$3:$AY$33,MATCH(BY$3,$AR$3:$AY$3,0),FALSE),2)</f>
        <v>0.32</v>
      </c>
      <c r="CA15" s="2">
        <v>12</v>
      </c>
      <c r="CB15" s="2" t="str">
        <f t="shared" si="15"/>
        <v>T-34</v>
      </c>
      <c r="CC15" s="2" t="str">
        <f>VLOOKUP(CB15,坦克个性化设定!$B$18:$F$48,5,FALSE)</f>
        <v>中坦自动</v>
      </c>
      <c r="CD15" s="29" t="str">
        <f>VLOOKUP(CB15,坦克个性化细分!$I$3:$J$33,2,FALSE)</f>
        <v>低</v>
      </c>
      <c r="CE15" s="42">
        <f ca="1">(VLOOKUP($CB15&amp;"最终",$S$3:$AE$63,MATCH(CE$3,$S$3:$AE$3,0),FALSE)-VLOOKUP($CB15&amp;"初始",$S$3:$AE$63,MATCH(CE$3,$S$3:$AE$3,0),FALSE))*VLOOKUP(VLOOKUP($CB15,坦克个性化设定!$B$18:$E$48,4,FALSE)&amp;$CD15,坦克属性分配比例,MATCH("部件比例",坦克属性分配比例标头,0),FALSE)</f>
        <v>125.60313701833306</v>
      </c>
      <c r="CF15" s="42">
        <f ca="1">(VLOOKUP($CB15&amp;"最终",$S$3:$AE$63,MATCH(CF$3,$S$3:$AE$3,0),FALSE)-VLOOKUP($CB15&amp;"初始",$S$3:$AE$63,MATCH(CF$3,$S$3:$AE$3,0),FALSE))*VLOOKUP(VLOOKUP($CB15,坦克个性化设定!$B$18:$E$48,4,FALSE)&amp;$CD15,坦克属性分配比例,MATCH("部件比例",坦克属性分配比例标头,0),FALSE)</f>
        <v>20.705215345221909</v>
      </c>
      <c r="CG15" s="42">
        <f ca="1">(VLOOKUP($CB15&amp;"最终",$S$3:$AE$63,MATCH(CG$3,$S$3:$AE$3,0),FALSE)-VLOOKUP($CB15&amp;"初始",$S$3:$AE$63,MATCH(CG$3,$S$3:$AE$3,0),FALSE))*VLOOKUP(VLOOKUP($CB15,坦克个性化设定!$B$18:$E$48,4,FALSE)&amp;$CD15,坦克属性分配比例,MATCH("部件比例",坦克属性分配比例标头,0),FALSE)*(1-$C$3)</f>
        <v>23.099999999999998</v>
      </c>
      <c r="CH15" s="42">
        <f ca="1">(VLOOKUP($CB15&amp;"最终",$S$3:$AE$63,MATCH(CH$3,$S$3:$AE$3,0),FALSE)-VLOOKUP($CB15&amp;"初始",$S$3:$AE$63,MATCH(CH$3,$S$3:$AE$3,0),FALSE))*VLOOKUP(VLOOKUP($CB15,坦克个性化设定!$B$18:$E$48,4,FALSE)&amp;$CD15,坦克属性分配比例,MATCH("部件比例",坦克属性分配比例标头,0),FALSE)*(1-$C$3)</f>
        <v>10.36</v>
      </c>
      <c r="CI15" s="42">
        <f ca="1">(VLOOKUP($CB15&amp;"最终",$S$3:$AE$63,MATCH(CI$3,$S$3:$AE$3,0),FALSE)-VLOOKUP($CB15&amp;"初始",$S$3:$AE$63,MATCH(CI$3,$S$3:$AE$3,0),FALSE))*VLOOKUP(VLOOKUP($CB15,坦克个性化设定!$B$18:$E$48,4,FALSE)&amp;$CD15,坦克属性分配比例,MATCH("部件比例",坦克属性分配比例标头,0),FALSE)</f>
        <v>62.999999999999993</v>
      </c>
    </row>
    <row r="16" spans="2:87" x14ac:dyDescent="0.3">
      <c r="B16" s="2">
        <v>11</v>
      </c>
      <c r="C16" s="2" t="str">
        <f>坦克个性化设定!B29</f>
        <v>Stuart</v>
      </c>
      <c r="D16" s="2">
        <v>2111</v>
      </c>
      <c r="E16" s="2" t="s">
        <v>625</v>
      </c>
      <c r="F16" s="2">
        <v>1</v>
      </c>
      <c r="G16" s="25" t="str">
        <f t="shared" si="17"/>
        <v>Stuart</v>
      </c>
      <c r="H16" s="25"/>
      <c r="I16" s="25"/>
      <c r="J16" s="25"/>
      <c r="K16" s="25"/>
      <c r="L16" s="25"/>
      <c r="M16" s="25"/>
      <c r="N16" s="25"/>
      <c r="O16" s="25"/>
      <c r="P16" s="25"/>
      <c r="Q16" s="25"/>
      <c r="R16" s="25"/>
      <c r="S16" s="2" t="str">
        <f t="shared" si="2"/>
        <v>霞飞初始</v>
      </c>
      <c r="T16" s="2">
        <f>IF(COUNTIF(U$4:U15,U15)&gt;=$B$3,T15+1,T15)</f>
        <v>7</v>
      </c>
      <c r="U16" s="2" t="str">
        <f t="shared" si="3"/>
        <v>霞飞</v>
      </c>
      <c r="V16" s="2" t="str">
        <f>VLOOKUP(U16,坦克个性化设定!$B$18:$F$48,5,FALSE)</f>
        <v>轻坦弹夹</v>
      </c>
      <c r="W16" s="29" t="str">
        <f>VLOOKUP(U16,坦克个性化细分!$I$3:$J$33,2,FALSE)</f>
        <v>低</v>
      </c>
      <c r="X16" s="2" t="str">
        <f t="shared" si="16"/>
        <v>初始</v>
      </c>
      <c r="Y16" s="2" t="str">
        <f>VLOOKUP(VLOOKUP(U16,坦克个性化设定!$B$18:$F$48,4,FALSE)&amp;W16,坦克等级成长!$P$12:$U$24,MATCH(X16,坦克等级成长!$P$12:$U$12,0),FALSE)</f>
        <v>T4低4</v>
      </c>
      <c r="Z16" s="42">
        <f ca="1">VLOOKUP($Y16,INDIRECT($V16&amp;"_阶段属性"),MATCH(Z$3,属性标头_阶段属性,0),FALSE)*VLOOKUP($U16,坦克个性化设定!$B$84:$D$114,2,FALSE)</f>
        <v>1467.2456516442787</v>
      </c>
      <c r="AA16" s="42">
        <f ca="1">VLOOKUP($Y16,INDIRECT($V16&amp;"_阶段属性"),MATCH(AA$3,属性标头_阶段属性,0),FALSE)*VLOOKUP($U16,坦克个性化设定!$B$84:$D$114,3,FALSE)</f>
        <v>105.40431140119009</v>
      </c>
      <c r="AB16" s="2">
        <f t="shared" ca="1" si="4"/>
        <v>631</v>
      </c>
      <c r="AC16" s="2">
        <f t="shared" ca="1" si="4"/>
        <v>252</v>
      </c>
      <c r="AD16" s="2">
        <f t="shared" ca="1" si="4"/>
        <v>576</v>
      </c>
      <c r="AE16" s="2">
        <f t="shared" ca="1" si="4"/>
        <v>154</v>
      </c>
      <c r="AF16" s="25"/>
      <c r="AH16" s="2">
        <v>13</v>
      </c>
      <c r="AI16" s="2" t="str">
        <f t="shared" si="5"/>
        <v>四号</v>
      </c>
      <c r="AJ16" s="2">
        <f>VLOOKUP($AI16,坦克个性化细分!$I$3:$P$33,MATCH(AJ$3,坦克个性化细分!$I$3:$P$3,0),FALSE)</f>
        <v>36.299999999999997</v>
      </c>
      <c r="AK16" s="2">
        <f>VLOOKUP($AI16,坦克个性化细分!$I$3:$P$33,MATCH(AK$3,坦克个性化细分!$I$3:$P$3,0),FALSE)</f>
        <v>51</v>
      </c>
      <c r="AL16" s="2">
        <f>VLOOKUP($AI16,坦克个性化细分!$I$3:$P$33,MATCH(AL$3,坦克个性化细分!$I$3:$P$3,0),FALSE)</f>
        <v>7.3</v>
      </c>
      <c r="AM16" s="34">
        <f>VLOOKUP(AI16,坦克个性化细分!$AA$3:$AP$33,MATCH("射击偏移角",坦克个性化细分!$AA$3:$AP$3,0),FALSE)/VLOOKUP(AI16,坦克个性化细分!$AA$3:$AP$33,MATCH("原瞄准速度",坦克个性化细分!$AA$3:$AP$3,0),FALSE)</f>
        <v>1.4</v>
      </c>
      <c r="AN16" s="34">
        <f>VLOOKUP(AI16,坦克个性化细分!$AA$3:$AP$33,MATCH(AN$3,坦克个性化细分!$AA$3:$AP$3,0),FALSE)</f>
        <v>0.4</v>
      </c>
      <c r="AO16" s="2">
        <f>VLOOKUP(AI16,坦克个性化细分!$AA$3:$AP$33,MATCH("原换弹时间",坦克个性化细分!$AA$3:$AP$3,0),FALSE)</f>
        <v>2.4</v>
      </c>
      <c r="AP16" s="132"/>
      <c r="AQ16" s="2">
        <v>13</v>
      </c>
      <c r="AR16" s="2" t="str">
        <f t="shared" si="6"/>
        <v>四号</v>
      </c>
      <c r="AS16" s="2" t="s">
        <v>860</v>
      </c>
      <c r="AT16" s="34">
        <f>VLOOKUP(AR16,坦克个性化细分!$I$3:$P$33,MATCH("养成区间1",坦克个性化细分!$I$3:$P$3,0),FALSE)</f>
        <v>9.0749999999999957</v>
      </c>
      <c r="AU16" s="2">
        <f>VLOOKUP(AR16,坦克个性化细分!$I$3:$P$33,MATCH("养成区间2",坦克个性化细分!$I$3:$P$3,0),FALSE)</f>
        <v>12.749999999999996</v>
      </c>
      <c r="AV16" s="2">
        <f>VLOOKUP(AR16,坦克个性化细分!$I$3:$P$33,MATCH("养成区间3",坦克个性化细分!$I$3:$P$3,0),FALSE)</f>
        <v>0</v>
      </c>
      <c r="AW16" s="34">
        <f>VLOOKUP(AR16,坦克个性化细分!$AA$3:$AP$33,MATCH("瞄准区间",坦克个性化细分!$AA$3:$AP$3,0),FALSE)</f>
        <v>0.23333333333333317</v>
      </c>
      <c r="AX16" s="34">
        <f>VLOOKUP(AI16,坦克个性化细分!$AA$3:$AP$33,MATCH("后射击间隔",坦克个性化细分!$AA$3:$AP$3,0),FALSE)-VLOOKUP(AI16,坦克个性化细分!$AA$3:$AP$33,MATCH(AN$3,坦克个性化细分!$AA$3:$AP$3,0),FALSE)</f>
        <v>0</v>
      </c>
      <c r="AY16" s="34">
        <f>VLOOKUP(AR16,坦克个性化细分!$AA$3:$AP$33,MATCH("换弹区间",坦克个性化细分!$AA$3:$AP$3,0),FALSE)</f>
        <v>0.37639123102866767</v>
      </c>
      <c r="AZ16" s="132"/>
      <c r="BA16" s="34">
        <f t="shared" si="8"/>
        <v>0.24999999999999989</v>
      </c>
      <c r="BB16" s="34">
        <f t="shared" si="9"/>
        <v>0.24999999999999992</v>
      </c>
      <c r="BC16" s="34">
        <f t="shared" si="10"/>
        <v>0</v>
      </c>
      <c r="BD16" s="34">
        <f t="shared" si="11"/>
        <v>0.16666666666666657</v>
      </c>
      <c r="BE16" s="34">
        <f t="shared" si="12"/>
        <v>0.15682967959527822</v>
      </c>
      <c r="BF16" s="34"/>
      <c r="BG16" s="132"/>
      <c r="BH16" s="2" t="str">
        <f t="shared" si="13"/>
        <v>二号6</v>
      </c>
      <c r="BI16" s="2">
        <f>IF(BL15&gt;=VLOOKUP(VLOOKUP(BJ15,坦克个性化设定!$B$18:$E$48,4,FALSE)&amp;BK15,坦克属性分配比例,MATCH("升星次数",坦克属性分配比例标头,0),FALSE),BI15+1,BI15)</f>
        <v>2</v>
      </c>
      <c r="BJ16" s="2" t="str">
        <f t="shared" si="14"/>
        <v>二号</v>
      </c>
      <c r="BK16" s="29" t="str">
        <f>VLOOKUP(BJ16,坦克个性化细分!$I$3:$J$33,2,FALSE)</f>
        <v>低</v>
      </c>
      <c r="BL16" s="2">
        <f t="shared" si="7"/>
        <v>6</v>
      </c>
      <c r="BM16" s="103">
        <f ca="1">ROUND(VLOOKUP($BJ16&amp;"初始",$S$3:$AE$63,MATCH(BM$3,$S$3:$AE$3,0),FALSE)+((VLOOKUP($BJ16&amp;"最终",$S$3:$AE$63,MATCH(BM$3,$S$3:$AE$3,0),FALSE)*坦克个性化细分!$C$9-VLOOKUP($BJ16&amp;"初始",$S$3:$AE$63,MATCH(BM$3,$S$3:$AE$3,0),FALSE))-(VLOOKUP($BJ16&amp;"最终",$S$3:$AE$63,MATCH(BM$3,$S$3:$AE$3,0),FALSE)-VLOOKUP($BJ16&amp;"初始",$S$3:$AE$63,MATCH(BM$3,$S$3:$AE$3,0),FALSE))*VLOOKUP(VLOOKUP($BJ16,坦克个性化设定!$B$18:$E$48,4,FALSE)&amp;$BK16,坦克属性分配比例,MATCH("部件比例",坦克属性分配比例标头,0),FALSE))*$BL16/VLOOKUP(VLOOKUP($BJ16,坦克个性化设定!$B$18:$E$48,4,FALSE)&amp;$BK16,坦克属性分配比例,MATCH("升星次数",坦克属性分配比例标头,0),FALSE),0)</f>
        <v>1222</v>
      </c>
      <c r="BN16" s="103">
        <f ca="1">ROUND(VLOOKUP($BJ16&amp;"初始",$S$3:$AE$63,MATCH(BN$3,$S$3:$AE$3,0),FALSE)+(VLOOKUP($BJ16&amp;"最终",$S$3:$AE$63,MATCH(BN$3,$S$3:$AE$3,0),FALSE)-VLOOKUP($BJ16&amp;"初始",$S$3:$AE$63,MATCH(BN$3,$S$3:$AE$3,0),FALSE))*$BL16/VLOOKUP(VLOOKUP($BJ16,坦克个性化设定!$B$18:$E$48,4,FALSE)&amp;$BK16,坦克属性分配比例,MATCH("升星次数",坦克属性分配比例标头,0),FALSE)*VLOOKUP(VLOOKUP($BJ16,坦克个性化设定!$B$18:$E$48,4,FALSE)&amp;$BK16,坦克属性分配比例,MATCH("升星比例",坦克属性分配比例标头,0),FALSE),0)</f>
        <v>92</v>
      </c>
      <c r="BO16" s="103">
        <f ca="1">ROUND(VLOOKUP($BJ16&amp;"初始",$S$3:$AE$63,MATCH(BO$3,$S$3:$AE$3,0),FALSE)+(VLOOKUP($BJ16&amp;"最终",$S$3:$AE$63,MATCH(BO$3,$S$3:$AE$3,0),FALSE)-VLOOKUP($BJ16&amp;"初始",$S$3:$AE$63,MATCH(BO$3,$S$3:$AE$3,0),FALSE))*$BL16/VLOOKUP(VLOOKUP($BJ16,坦克个性化设定!$B$18:$E$48,4,FALSE)&amp;$BK16,坦克属性分配比例,MATCH("升星次数",坦克属性分配比例标头,0),FALSE)*(VLOOKUP(VLOOKUP($BJ16,坦克个性化设定!$B$18:$E$48,4,FALSE)&amp;$BK16,坦克属性分配比例,MATCH("升星比例",坦克属性分配比例标头,0),FALSE)+VLOOKUP(VLOOKUP($BJ16,坦克个性化设定!$B$18:$E$48,4,FALSE)&amp;$BK16,坦克属性分配比例,MATCH("部件比例",坦克属性分配比例标头,0),FALSE)*$C$3),0)</f>
        <v>516</v>
      </c>
      <c r="BP16" s="103">
        <f ca="1">ROUND(VLOOKUP($BJ16&amp;"初始",$S$3:$AE$63,MATCH(BP$3,$S$3:$AE$3,0),FALSE)+(VLOOKUP($BJ16&amp;"最终",$S$3:$AE$63,MATCH(BP$3,$S$3:$AE$3,0),FALSE)-VLOOKUP($BJ16&amp;"初始",$S$3:$AE$63,MATCH(BP$3,$S$3:$AE$3,0),FALSE))*$BL16/VLOOKUP(VLOOKUP($BJ16,坦克个性化设定!$B$18:$E$48,4,FALSE)&amp;$BK16,坦克属性分配比例,MATCH("升星次数",坦克属性分配比例标头,0),FALSE)*(VLOOKUP(VLOOKUP($BJ16,坦克个性化设定!$B$18:$E$48,4,FALSE)&amp;$BK16,坦克属性分配比例,MATCH("升星比例",坦克属性分配比例标头,0),FALSE)+VLOOKUP(VLOOKUP($BJ16,坦克个性化设定!$B$18:$E$48,4,FALSE)&amp;$BK16,坦克属性分配比例,MATCH("部件比例",坦克属性分配比例标头,0),FALSE)*$C$3),0)</f>
        <v>206</v>
      </c>
      <c r="BQ16" s="103">
        <f ca="1">ROUND(VLOOKUP($BJ16&amp;"初始",$S$3:$AE$63,MATCH(BQ$3,$S$3:$AE$3,0),FALSE)+(VLOOKUP($BJ16&amp;"最终",$S$3:$AE$63,MATCH(BQ$3,$S$3:$AE$3,0),FALSE)-VLOOKUP($BJ16&amp;"初始",$S$3:$AE$63,MATCH(BQ$3,$S$3:$AE$3,0),FALSE))*$BL16/VLOOKUP(VLOOKUP($BJ16,坦克个性化设定!$B$18:$E$48,4,FALSE)&amp;$BK16,坦克属性分配比例,MATCH("升星次数",坦克属性分配比例标头,0),FALSE)*VLOOKUP(VLOOKUP($BJ16,坦克个性化设定!$B$18:$E$48,4,FALSE)&amp;$BK16,坦克属性分配比例,MATCH("升星比例",坦克属性分配比例标头,0),FALSE),0)</f>
        <v>444</v>
      </c>
      <c r="BR16" s="2">
        <f ca="1">ROUND(VLOOKUP($BJ16&amp;"初始",$S$3:$AE$63,MATCH(BR$3,$S$3:$AE$3,0),FALSE)+(VLOOKUP($BJ16&amp;"最终",$S$3:$AE$63,MATCH(BR$3,$S$3:$AE$3,0),FALSE)-VLOOKUP($BJ16&amp;"初始",$S$3:$AE$63,MATCH(BR$3,$S$3:$AE$3,0),FALSE))*$BL16/VLOOKUP(VLOOKUP($BJ16,坦克个性化设定!$B$18:$E$48,4,FALSE)&amp;$BK16,坦克属性分配比例,MATCH("升星次数",坦克属性分配比例标头,0),FALSE),0)</f>
        <v>130</v>
      </c>
      <c r="BS16" s="2">
        <f>ROUND(VLOOKUP($BJ16,$AI$3:$AO$33,MATCH(BS$3,$AI$3:$AO$3,0),FALSE)+$BL16/VLOOKUP(VLOOKUP($BJ16,坦克个性化设定!$B$18:$E$48,4,FALSE)&amp;$BK16,坦克属性分配比例,MATCH("升星次数",坦克属性分配比例标头,0),FALSE)*VLOOKUP($BJ16,$AR$3:$AY$33,MATCH(BS$3,$AR$3:$AY$3,0),FALSE),1)</f>
        <v>57.2</v>
      </c>
      <c r="BT16" s="2">
        <f>ROUND(VLOOKUP($BJ16,$AI$3:$AO$33,MATCH(BT$3,$AI$3:$AO$3,0),FALSE)+$BL16/VLOOKUP(VLOOKUP($BJ16,坦克个性化设定!$B$18:$E$48,4,FALSE)&amp;$BK16,坦克属性分配比例,MATCH("升星次数",坦克属性分配比例标头,0),FALSE)*VLOOKUP($BJ16,$AR$3:$AY$33,MATCH(BT$3,$AR$3:$AY$3,0),FALSE),1)</f>
        <v>54.6</v>
      </c>
      <c r="BU16" s="2">
        <f>ROUND(VLOOKUP($BJ16,$AI$3:$AO$33,MATCH(BU$3,$AI$3:$AO$3,0),FALSE)+$BL16/VLOOKUP(VLOOKUP($BJ16,坦克个性化设定!$B$18:$E$48,4,FALSE)&amp;$BK16,坦克属性分配比例,MATCH("升星次数",坦克属性分配比例标头,0),FALSE)*VLOOKUP($BJ16,$AR$3:$AY$33,MATCH(BU$3,$AR$3:$AY$3,0),FALSE),1)</f>
        <v>10.5</v>
      </c>
      <c r="BV16" s="2">
        <f>IF(VLOOKUP(BJ16,坦克个性化设定!$B$18:$BC$48,MATCH("装弹类型",坦克个性化设定!$B$18:$BC$18,0),FALSE)="弹夹换弹",0,ROUND(VLOOKUP($BJ16,$AI$3:$AO$33,MATCH("换弹时间",$AI$3:$AO$3,0),FALSE)-$BL16/VLOOKUP(VLOOKUP($BJ16,坦克个性化设定!$B$18:$E$48,4,FALSE)&amp;$BK16,坦克属性分配比例,MATCH("升星次数",坦克属性分配比例标头,0),FALSE)*VLOOKUP($BJ16,$AR$3:$AY$33,MATCH("换弹时间",$AR$3:$AY$3,0),FALSE),2))</f>
        <v>0</v>
      </c>
      <c r="BW16" s="2">
        <f>IF(VLOOKUP(BJ16,坦克个性化设定!$B$18:$BC$48,MATCH("装弹类型",坦克个性化设定!$B$18:$BC$18,0),FALSE)="弹夹换弹",ROUND(VLOOKUP($BJ16,$AI$3:$AO$33,MATCH("换弹时间",$AI$3:$AO$3,0),FALSE)-$BL16/VLOOKUP(VLOOKUP($BJ16,坦克个性化设定!$B$18:$E$48,4,FALSE)&amp;$BK16,坦克属性分配比例,MATCH("升星次数",坦克属性分配比例标头,0),FALSE)*VLOOKUP($BJ16,$AR$3:$AY$33,MATCH("换弹时间",$AR$3:$AY$3,0),FALSE),1),0)</f>
        <v>7.7</v>
      </c>
      <c r="BX16" s="2">
        <f>ROUND(VLOOKUP($BJ16,$AI$3:$AO$33,MATCH(BX$3,$AI$3:$AO$3,0),FALSE)+$BL16/VLOOKUP(VLOOKUP($BJ16,坦克个性化设定!$B$18:$E$48,4,FALSE)&amp;$BK16,坦克属性分配比例,MATCH("升星次数",坦克属性分配比例标头,0),FALSE)*VLOOKUP($BJ16,$AR$3:$AY$33,MATCH(BX$3,$AR$3:$AY$3,0),FALSE),2)</f>
        <v>0.6</v>
      </c>
      <c r="BY16" s="2">
        <f>ROUND(VLOOKUP($BJ16,$AI$3:$AO$33,MATCH(BY$3,$AI$3:$AO$3,0),FALSE)-$BL16/VLOOKUP(VLOOKUP($BJ16,坦克个性化设定!$B$18:$E$48,4,FALSE)&amp;$BK16,坦克属性分配比例,MATCH("升星次数",坦克属性分配比例标头,0),FALSE)*VLOOKUP($BJ16,$AR$3:$AY$33,MATCH(BY$3,$AR$3:$AY$3,0),FALSE),2)</f>
        <v>0.31</v>
      </c>
      <c r="CA16" s="2">
        <v>13</v>
      </c>
      <c r="CB16" s="2" t="str">
        <f t="shared" si="15"/>
        <v>四号</v>
      </c>
      <c r="CC16" s="2" t="str">
        <f>VLOOKUP(CB16,坦克个性化设定!$B$18:$F$48,5,FALSE)</f>
        <v>中坦自动</v>
      </c>
      <c r="CD16" s="29" t="str">
        <f>VLOOKUP(CB16,坦克个性化细分!$I$3:$J$33,2,FALSE)</f>
        <v>中</v>
      </c>
      <c r="CE16" s="42">
        <f ca="1">(VLOOKUP($CB16&amp;"最终",$S$3:$AE$63,MATCH(CE$3,$S$3:$AE$3,0),FALSE)-VLOOKUP($CB16&amp;"初始",$S$3:$AE$63,MATCH(CE$3,$S$3:$AE$3,0),FALSE))*VLOOKUP(VLOOKUP($CB16,坦克个性化设定!$B$18:$E$48,4,FALSE)&amp;$CD16,坦克属性分配比例,MATCH("部件比例",坦克属性分配比例标头,0),FALSE)</f>
        <v>152.65263735785138</v>
      </c>
      <c r="CF16" s="42">
        <f ca="1">(VLOOKUP($CB16&amp;"最终",$S$3:$AE$63,MATCH(CF$3,$S$3:$AE$3,0),FALSE)-VLOOKUP($CB16&amp;"初始",$S$3:$AE$63,MATCH(CF$3,$S$3:$AE$3,0),FALSE))*VLOOKUP(VLOOKUP($CB16,坦克个性化设定!$B$18:$E$48,4,FALSE)&amp;$CD16,坦克属性分配比例,MATCH("部件比例",坦克属性分配比例标头,0),FALSE)</f>
        <v>22.18292111471089</v>
      </c>
      <c r="CG16" s="42">
        <f ca="1">(VLOOKUP($CB16&amp;"最终",$S$3:$AE$63,MATCH(CG$3,$S$3:$AE$3,0),FALSE)-VLOOKUP($CB16&amp;"初始",$S$3:$AE$63,MATCH(CG$3,$S$3:$AE$3,0),FALSE))*VLOOKUP(VLOOKUP($CB16,坦克个性化设定!$B$18:$E$48,4,FALSE)&amp;$CD16,坦克属性分配比例,MATCH("部件比例",坦克属性分配比例标头,0),FALSE)*(1-$C$3)</f>
        <v>24.78</v>
      </c>
      <c r="CH16" s="42">
        <f ca="1">(VLOOKUP($CB16&amp;"最终",$S$3:$AE$63,MATCH(CH$3,$S$3:$AE$3,0),FALSE)-VLOOKUP($CB16&amp;"初始",$S$3:$AE$63,MATCH(CH$3,$S$3:$AE$3,0),FALSE))*VLOOKUP(VLOOKUP($CB16,坦克个性化设定!$B$18:$E$48,4,FALSE)&amp;$CD16,坦克属性分配比例,MATCH("部件比例",坦克属性分配比例标头,0),FALSE)*(1-$C$3)</f>
        <v>11.200000000000001</v>
      </c>
      <c r="CI16" s="42">
        <f ca="1">(VLOOKUP($CB16&amp;"最终",$S$3:$AE$63,MATCH(CI$3,$S$3:$AE$3,0),FALSE)-VLOOKUP($CB16&amp;"初始",$S$3:$AE$63,MATCH(CI$3,$S$3:$AE$3,0),FALSE))*VLOOKUP(VLOOKUP($CB16,坦克个性化设定!$B$18:$E$48,4,FALSE)&amp;$CD16,坦克属性分配比例,MATCH("部件比例",坦克属性分配比例标头,0),FALSE)</f>
        <v>68.25</v>
      </c>
    </row>
    <row r="17" spans="2:87" x14ac:dyDescent="0.3">
      <c r="B17" s="2">
        <v>12</v>
      </c>
      <c r="C17" s="2" t="str">
        <f>坦克个性化设定!B30</f>
        <v>T-34</v>
      </c>
      <c r="D17" s="2">
        <v>2211</v>
      </c>
      <c r="E17" s="2" t="s">
        <v>626</v>
      </c>
      <c r="F17" s="2">
        <v>1</v>
      </c>
      <c r="G17" s="25" t="str">
        <f t="shared" si="17"/>
        <v>T-34</v>
      </c>
      <c r="H17" s="25"/>
      <c r="I17" s="25"/>
      <c r="J17" s="25"/>
      <c r="K17" s="25"/>
      <c r="L17" s="25"/>
      <c r="M17" s="25"/>
      <c r="N17" s="25"/>
      <c r="O17" s="25"/>
      <c r="P17" s="25"/>
      <c r="Q17" s="25"/>
      <c r="R17" s="25"/>
      <c r="S17" s="2" t="str">
        <f t="shared" si="2"/>
        <v>霞飞最终</v>
      </c>
      <c r="T17" s="2">
        <f>IF(COUNTIF(U$4:U16,U16)&gt;=$B$3,T16+1,T16)</f>
        <v>7</v>
      </c>
      <c r="U17" s="2" t="str">
        <f t="shared" si="3"/>
        <v>霞飞</v>
      </c>
      <c r="V17" s="2" t="str">
        <f>VLOOKUP(U17,坦克个性化设定!$B$18:$F$48,5,FALSE)</f>
        <v>轻坦弹夹</v>
      </c>
      <c r="W17" s="29" t="str">
        <f>VLOOKUP(U17,坦克个性化细分!$I$3:$J$33,2,FALSE)</f>
        <v>低</v>
      </c>
      <c r="X17" s="2" t="str">
        <f t="shared" si="16"/>
        <v>最终</v>
      </c>
      <c r="Y17" s="2" t="str">
        <f>VLOOKUP(VLOOKUP(U17,坦克个性化设定!$B$18:$F$48,4,FALSE)&amp;W17,坦克等级成长!$P$12:$U$24,MATCH(X17,坦克等级成长!$P$12:$U$12,0),FALSE)</f>
        <v>T4低7</v>
      </c>
      <c r="Z17" s="42" t="e">
        <f ca="1">VLOOKUP($Y17,INDIRECT($V17&amp;"_阶段属性"),MATCH(Z$3,属性标头_阶段属性,0),FALSE)*VLOOKUP($U17,坦克个性化设定!$B$84:$D$114,2,FALSE)</f>
        <v>#N/A</v>
      </c>
      <c r="AA17" s="42" t="e">
        <f ca="1">VLOOKUP($Y17,INDIRECT($V17&amp;"_阶段属性"),MATCH(AA$3,属性标头_阶段属性,0),FALSE)*VLOOKUP($U17,坦克个性化设定!$B$84:$D$114,3,FALSE)</f>
        <v>#N/A</v>
      </c>
      <c r="AB17" s="2" t="e">
        <f t="shared" ca="1" si="4"/>
        <v>#N/A</v>
      </c>
      <c r="AC17" s="2" t="e">
        <f t="shared" ca="1" si="4"/>
        <v>#N/A</v>
      </c>
      <c r="AD17" s="2" t="e">
        <f t="shared" ca="1" si="4"/>
        <v>#N/A</v>
      </c>
      <c r="AE17" s="2" t="e">
        <f t="shared" ca="1" si="4"/>
        <v>#N/A</v>
      </c>
      <c r="AF17" s="25"/>
      <c r="AH17" s="2">
        <v>14</v>
      </c>
      <c r="AI17" s="2" t="str">
        <f t="shared" si="5"/>
        <v>玛蒂尔达</v>
      </c>
      <c r="AJ17" s="2">
        <f>VLOOKUP($AI17,坦克个性化细分!$I$3:$P$33,MATCH(AJ$3,坦克个性化细分!$I$3:$P$3,0),FALSE)</f>
        <v>44.5</v>
      </c>
      <c r="AK17" s="2">
        <f>VLOOKUP($AI17,坦克个性化细分!$I$3:$P$33,MATCH(AK$3,坦克个性化细分!$I$3:$P$3,0),FALSE)</f>
        <v>40</v>
      </c>
      <c r="AL17" s="2">
        <f>VLOOKUP($AI17,坦克个性化细分!$I$3:$P$33,MATCH(AL$3,坦克个性化细分!$I$3:$P$3,0),FALSE)</f>
        <v>8</v>
      </c>
      <c r="AM17" s="34">
        <f>VLOOKUP(AI17,坦克个性化细分!$AA$3:$AP$33,MATCH("射击偏移角",坦克个性化细分!$AA$3:$AP$3,0),FALSE)/VLOOKUP(AI17,坦克个性化细分!$AA$3:$AP$33,MATCH("原瞄准速度",坦克个性化细分!$AA$3:$AP$3,0),FALSE)</f>
        <v>0.99</v>
      </c>
      <c r="AN17" s="34">
        <f>VLOOKUP(AI17,坦克个性化细分!$AA$3:$AP$33,MATCH(AN$3,坦克个性化细分!$AA$3:$AP$3,0),FALSE)</f>
        <v>0.28000000000000003</v>
      </c>
      <c r="AO17" s="2">
        <f>VLOOKUP(AI17,坦克个性化细分!$AA$3:$AP$33,MATCH("原换弹时间",坦克个性化细分!$AA$3:$AP$3,0),FALSE)</f>
        <v>3.2</v>
      </c>
      <c r="AP17" s="132"/>
      <c r="AQ17" s="2">
        <v>14</v>
      </c>
      <c r="AR17" s="2" t="str">
        <f t="shared" si="6"/>
        <v>玛蒂尔达</v>
      </c>
      <c r="AS17" s="2" t="s">
        <v>80</v>
      </c>
      <c r="AT17" s="34">
        <f>VLOOKUP(AR17,坦克个性化细分!$I$3:$P$33,MATCH("养成区间1",坦克个性化细分!$I$3:$P$3,0),FALSE)</f>
        <v>11.124999999999998</v>
      </c>
      <c r="AU17" s="2">
        <f>VLOOKUP(AR17,坦克个性化细分!$I$3:$P$33,MATCH("养成区间2",坦克个性化细分!$I$3:$P$3,0),FALSE)</f>
        <v>9.9999999999999982</v>
      </c>
      <c r="AV17" s="2">
        <f>VLOOKUP(AR17,坦克个性化细分!$I$3:$P$33,MATCH("养成区间3",坦克个性化细分!$I$3:$P$3,0),FALSE)</f>
        <v>0</v>
      </c>
      <c r="AW17" s="34">
        <f>VLOOKUP(AR17,坦克个性化细分!$AA$3:$AP$33,MATCH("瞄准区间",坦克个性化细分!$AA$3:$AP$3,0),FALSE)</f>
        <v>0.16499999999999992</v>
      </c>
      <c r="AX17" s="34">
        <f>VLOOKUP(AI17,坦克个性化细分!$AA$3:$AP$33,MATCH("后射击间隔",坦克个性化细分!$AA$3:$AP$3,0),FALSE)-VLOOKUP(AI17,坦克个性化细分!$AA$3:$AP$33,MATCH(AN$3,坦克个性化细分!$AA$3:$AP$3,0),FALSE)</f>
        <v>0.31999999999999995</v>
      </c>
      <c r="AY17" s="34">
        <f>VLOOKUP(AR17,坦克个性化细分!$AA$3:$AP$33,MATCH("换弹区间",坦克个性化细分!$AA$3:$AP$3,0),FALSE)</f>
        <v>0.58134206219312601</v>
      </c>
      <c r="AZ17" s="132"/>
      <c r="BA17" s="34">
        <f t="shared" si="8"/>
        <v>0.24999999999999997</v>
      </c>
      <c r="BB17" s="34">
        <f t="shared" si="9"/>
        <v>0.24999999999999994</v>
      </c>
      <c r="BC17" s="34">
        <f t="shared" si="10"/>
        <v>0</v>
      </c>
      <c r="BD17" s="34">
        <f t="shared" si="11"/>
        <v>0.1666666666666666</v>
      </c>
      <c r="BE17" s="34">
        <f t="shared" si="12"/>
        <v>0.18166939443535188</v>
      </c>
      <c r="BF17" s="34"/>
      <c r="BG17" s="132"/>
      <c r="BH17" s="2" t="str">
        <f t="shared" si="13"/>
        <v>二号7</v>
      </c>
      <c r="BI17" s="2">
        <f>IF(BL16&gt;=VLOOKUP(VLOOKUP(BJ16,坦克个性化设定!$B$18:$E$48,4,FALSE)&amp;BK16,坦克属性分配比例,MATCH("升星次数",坦克属性分配比例标头,0),FALSE),BI16+1,BI16)</f>
        <v>2</v>
      </c>
      <c r="BJ17" s="2" t="str">
        <f t="shared" si="14"/>
        <v>二号</v>
      </c>
      <c r="BK17" s="29" t="str">
        <f>VLOOKUP(BJ17,坦克个性化细分!$I$3:$J$33,2,FALSE)</f>
        <v>低</v>
      </c>
      <c r="BL17" s="2">
        <f t="shared" si="7"/>
        <v>7</v>
      </c>
      <c r="BM17" s="103">
        <f ca="1">ROUND(VLOOKUP($BJ17&amp;"初始",$S$3:$AE$63,MATCH(BM$3,$S$3:$AE$3,0),FALSE)+((VLOOKUP($BJ17&amp;"最终",$S$3:$AE$63,MATCH(BM$3,$S$3:$AE$3,0),FALSE)*坦克个性化细分!$C$9-VLOOKUP($BJ17&amp;"初始",$S$3:$AE$63,MATCH(BM$3,$S$3:$AE$3,0),FALSE))-(VLOOKUP($BJ17&amp;"最终",$S$3:$AE$63,MATCH(BM$3,$S$3:$AE$3,0),FALSE)-VLOOKUP($BJ17&amp;"初始",$S$3:$AE$63,MATCH(BM$3,$S$3:$AE$3,0),FALSE))*VLOOKUP(VLOOKUP($BJ17,坦克个性化设定!$B$18:$E$48,4,FALSE)&amp;$BK17,坦克属性分配比例,MATCH("部件比例",坦克属性分配比例标头,0),FALSE))*$BL17/VLOOKUP(VLOOKUP($BJ17,坦克个性化设定!$B$18:$E$48,4,FALSE)&amp;$BK17,坦克属性分配比例,MATCH("升星次数",坦克属性分配比例标头,0),FALSE),0)</f>
        <v>1280</v>
      </c>
      <c r="BN17" s="103">
        <f ca="1">ROUND(VLOOKUP($BJ17&amp;"初始",$S$3:$AE$63,MATCH(BN$3,$S$3:$AE$3,0),FALSE)+(VLOOKUP($BJ17&amp;"最终",$S$3:$AE$63,MATCH(BN$3,$S$3:$AE$3,0),FALSE)-VLOOKUP($BJ17&amp;"初始",$S$3:$AE$63,MATCH(BN$3,$S$3:$AE$3,0),FALSE))*$BL17/VLOOKUP(VLOOKUP($BJ17,坦克个性化设定!$B$18:$E$48,4,FALSE)&amp;$BK17,坦克属性分配比例,MATCH("升星次数",坦克属性分配比例标头,0),FALSE)*VLOOKUP(VLOOKUP($BJ17,坦克个性化设定!$B$18:$E$48,4,FALSE)&amp;$BK17,坦克属性分配比例,MATCH("升星比例",坦克属性分配比例标头,0),FALSE),0)</f>
        <v>95</v>
      </c>
      <c r="BO17" s="103">
        <f ca="1">ROUND(VLOOKUP($BJ17&amp;"初始",$S$3:$AE$63,MATCH(BO$3,$S$3:$AE$3,0),FALSE)+(VLOOKUP($BJ17&amp;"最终",$S$3:$AE$63,MATCH(BO$3,$S$3:$AE$3,0),FALSE)-VLOOKUP($BJ17&amp;"初始",$S$3:$AE$63,MATCH(BO$3,$S$3:$AE$3,0),FALSE))*$BL17/VLOOKUP(VLOOKUP($BJ17,坦克个性化设定!$B$18:$E$48,4,FALSE)&amp;$BK17,坦克属性分配比例,MATCH("升星次数",坦克属性分配比例标头,0),FALSE)*(VLOOKUP(VLOOKUP($BJ17,坦克个性化设定!$B$18:$E$48,4,FALSE)&amp;$BK17,坦克属性分配比例,MATCH("升星比例",坦克属性分配比例标头,0),FALSE)+VLOOKUP(VLOOKUP($BJ17,坦克个性化设定!$B$18:$E$48,4,FALSE)&amp;$BK17,坦克属性分配比例,MATCH("部件比例",坦克属性分配比例标头,0),FALSE)*$C$3),0)</f>
        <v>536</v>
      </c>
      <c r="BP17" s="103">
        <f ca="1">ROUND(VLOOKUP($BJ17&amp;"初始",$S$3:$AE$63,MATCH(BP$3,$S$3:$AE$3,0),FALSE)+(VLOOKUP($BJ17&amp;"最终",$S$3:$AE$63,MATCH(BP$3,$S$3:$AE$3,0),FALSE)-VLOOKUP($BJ17&amp;"初始",$S$3:$AE$63,MATCH(BP$3,$S$3:$AE$3,0),FALSE))*$BL17/VLOOKUP(VLOOKUP($BJ17,坦克个性化设定!$B$18:$E$48,4,FALSE)&amp;$BK17,坦克属性分配比例,MATCH("升星次数",坦克属性分配比例标头,0),FALSE)*(VLOOKUP(VLOOKUP($BJ17,坦克个性化设定!$B$18:$E$48,4,FALSE)&amp;$BK17,坦克属性分配比例,MATCH("升星比例",坦克属性分配比例标头,0),FALSE)+VLOOKUP(VLOOKUP($BJ17,坦克个性化设定!$B$18:$E$48,4,FALSE)&amp;$BK17,坦克属性分配比例,MATCH("部件比例",坦克属性分配比例标头,0),FALSE)*$C$3),0)</f>
        <v>214</v>
      </c>
      <c r="BQ17" s="103">
        <f ca="1">ROUND(VLOOKUP($BJ17&amp;"初始",$S$3:$AE$63,MATCH(BQ$3,$S$3:$AE$3,0),FALSE)+(VLOOKUP($BJ17&amp;"最终",$S$3:$AE$63,MATCH(BQ$3,$S$3:$AE$3,0),FALSE)-VLOOKUP($BJ17&amp;"初始",$S$3:$AE$63,MATCH(BQ$3,$S$3:$AE$3,0),FALSE))*$BL17/VLOOKUP(VLOOKUP($BJ17,坦克个性化设定!$B$18:$E$48,4,FALSE)&amp;$BK17,坦克属性分配比例,MATCH("升星次数",坦克属性分配比例标头,0),FALSE)*VLOOKUP(VLOOKUP($BJ17,坦克个性化设定!$B$18:$E$48,4,FALSE)&amp;$BK17,坦克属性分配比例,MATCH("升星比例",坦克属性分配比例标头,0),FALSE),0)</f>
        <v>458</v>
      </c>
      <c r="BR17" s="2">
        <f ca="1">ROUND(VLOOKUP($BJ17&amp;"初始",$S$3:$AE$63,MATCH(BR$3,$S$3:$AE$3,0),FALSE)+(VLOOKUP($BJ17&amp;"最终",$S$3:$AE$63,MATCH(BR$3,$S$3:$AE$3,0),FALSE)-VLOOKUP($BJ17&amp;"初始",$S$3:$AE$63,MATCH(BR$3,$S$3:$AE$3,0),FALSE))*$BL17/VLOOKUP(VLOOKUP($BJ17,坦克个性化设定!$B$18:$E$48,4,FALSE)&amp;$BK17,坦克属性分配比例,MATCH("升星次数",坦克属性分配比例标头,0),FALSE),0)</f>
        <v>136</v>
      </c>
      <c r="BS17" s="2">
        <f>ROUND(VLOOKUP($BJ17,$AI$3:$AO$33,MATCH(BS$3,$AI$3:$AO$3,0),FALSE)+$BL17/VLOOKUP(VLOOKUP($BJ17,坦克个性化设定!$B$18:$E$48,4,FALSE)&amp;$BK17,坦克属性分配比例,MATCH("升星次数",坦克属性分配比例标头,0),FALSE)*VLOOKUP($BJ17,$AR$3:$AY$33,MATCH(BS$3,$AR$3:$AY$3,0),FALSE),1)</f>
        <v>58.9</v>
      </c>
      <c r="BT17" s="2">
        <f>ROUND(VLOOKUP($BJ17,$AI$3:$AO$33,MATCH(BT$3,$AI$3:$AO$3,0),FALSE)+$BL17/VLOOKUP(VLOOKUP($BJ17,坦克个性化设定!$B$18:$E$48,4,FALSE)&amp;$BK17,坦克属性分配比例,MATCH("升星次数",坦克属性分配比例标头,0),FALSE)*VLOOKUP($BJ17,$AR$3:$AY$33,MATCH(BT$3,$AR$3:$AY$3,0),FALSE),1)</f>
        <v>56.3</v>
      </c>
      <c r="BU17" s="2">
        <f>ROUND(VLOOKUP($BJ17,$AI$3:$AO$33,MATCH(BU$3,$AI$3:$AO$3,0),FALSE)+$BL17/VLOOKUP(VLOOKUP($BJ17,坦克个性化设定!$B$18:$E$48,4,FALSE)&amp;$BK17,坦克属性分配比例,MATCH("升星次数",坦克属性分配比例标头,0),FALSE)*VLOOKUP($BJ17,$AR$3:$AY$33,MATCH(BU$3,$AR$3:$AY$3,0),FALSE),1)</f>
        <v>10.5</v>
      </c>
      <c r="BV17" s="2">
        <f>IF(VLOOKUP(BJ17,坦克个性化设定!$B$18:$BC$48,MATCH("装弹类型",坦克个性化设定!$B$18:$BC$18,0),FALSE)="弹夹换弹",0,ROUND(VLOOKUP($BJ17,$AI$3:$AO$33,MATCH("换弹时间",$AI$3:$AO$3,0),FALSE)-$BL17/VLOOKUP(VLOOKUP($BJ17,坦克个性化设定!$B$18:$E$48,4,FALSE)&amp;$BK17,坦克属性分配比例,MATCH("升星次数",坦克属性分配比例标头,0),FALSE)*VLOOKUP($BJ17,$AR$3:$AY$33,MATCH("换弹时间",$AR$3:$AY$3,0),FALSE),2))</f>
        <v>0</v>
      </c>
      <c r="BW17" s="2">
        <f>IF(VLOOKUP(BJ17,坦克个性化设定!$B$18:$BC$48,MATCH("装弹类型",坦克个性化设定!$B$18:$BC$18,0),FALSE)="弹夹换弹",ROUND(VLOOKUP($BJ17,$AI$3:$AO$33,MATCH("换弹时间",$AI$3:$AO$3,0),FALSE)-$BL17/VLOOKUP(VLOOKUP($BJ17,坦克个性化设定!$B$18:$E$48,4,FALSE)&amp;$BK17,坦克属性分配比例,MATCH("升星次数",坦克属性分配比例标头,0),FALSE)*VLOOKUP($BJ17,$AR$3:$AY$33,MATCH("换弹时间",$AR$3:$AY$3,0),FALSE),1),0)</f>
        <v>7.1</v>
      </c>
      <c r="BX17" s="2">
        <f>ROUND(VLOOKUP($BJ17,$AI$3:$AO$33,MATCH(BX$3,$AI$3:$AO$3,0),FALSE)+$BL17/VLOOKUP(VLOOKUP($BJ17,坦克个性化设定!$B$18:$E$48,4,FALSE)&amp;$BK17,坦克属性分配比例,MATCH("升星次数",坦克属性分配比例标头,0),FALSE)*VLOOKUP($BJ17,$AR$3:$AY$33,MATCH(BX$3,$AR$3:$AY$3,0),FALSE),2)</f>
        <v>0.6</v>
      </c>
      <c r="BY17" s="2">
        <f>ROUND(VLOOKUP($BJ17,$AI$3:$AO$33,MATCH(BY$3,$AI$3:$AO$3,0),FALSE)-$BL17/VLOOKUP(VLOOKUP($BJ17,坦克个性化设定!$B$18:$E$48,4,FALSE)&amp;$BK17,坦克属性分配比例,MATCH("升星次数",坦克属性分配比例标头,0),FALSE)*VLOOKUP($BJ17,$AR$3:$AY$33,MATCH(BY$3,$AR$3:$AY$3,0),FALSE),2)</f>
        <v>0.31</v>
      </c>
      <c r="CA17" s="2">
        <v>14</v>
      </c>
      <c r="CB17" s="2" t="str">
        <f t="shared" si="15"/>
        <v>玛蒂尔达</v>
      </c>
      <c r="CC17" s="2" t="str">
        <f>VLOOKUP(CB17,坦克个性化设定!$B$18:$F$48,5,FALSE)</f>
        <v>中坦自动</v>
      </c>
      <c r="CD17" s="29" t="str">
        <f>VLOOKUP(CB17,坦克个性化细分!$I$3:$J$33,2,FALSE)</f>
        <v>低</v>
      </c>
      <c r="CE17" s="42">
        <f ca="1">(VLOOKUP($CB17&amp;"最终",$S$3:$AE$63,MATCH(CE$3,$S$3:$AE$3,0),FALSE)-VLOOKUP($CB17&amp;"初始",$S$3:$AE$63,MATCH(CE$3,$S$3:$AE$3,0),FALSE))*VLOOKUP(VLOOKUP($CB17,坦克个性化设定!$B$18:$E$48,4,FALSE)&amp;$CD17,坦克属性分配比例,MATCH("部件比例",坦克属性分配比例标头,0),FALSE)</f>
        <v>204.81688256736891</v>
      </c>
      <c r="CF17" s="42">
        <f ca="1">(VLOOKUP($CB17&amp;"最终",$S$3:$AE$63,MATCH(CF$3,$S$3:$AE$3,0),FALSE)-VLOOKUP($CB17&amp;"初始",$S$3:$AE$63,MATCH(CF$3,$S$3:$AE$3,0),FALSE))*VLOOKUP(VLOOKUP($CB17,坦克个性化设定!$B$18:$E$48,4,FALSE)&amp;$CD17,坦克属性分配比例,MATCH("部件比例",坦克属性分配比例标头,0),FALSE)</f>
        <v>32.241092224553086</v>
      </c>
      <c r="CG17" s="42">
        <f ca="1">(VLOOKUP($CB17&amp;"最终",$S$3:$AE$63,MATCH(CG$3,$S$3:$AE$3,0),FALSE)-VLOOKUP($CB17&amp;"初始",$S$3:$AE$63,MATCH(CG$3,$S$3:$AE$3,0),FALSE))*VLOOKUP(VLOOKUP($CB17,坦克个性化设定!$B$18:$E$48,4,FALSE)&amp;$CD17,坦克属性分配比例,MATCH("部件比例",坦克属性分配比例标头,0),FALSE)*(1-$C$3)</f>
        <v>36.320000000000007</v>
      </c>
      <c r="CH17" s="42">
        <f ca="1">(VLOOKUP($CB17&amp;"最终",$S$3:$AE$63,MATCH(CH$3,$S$3:$AE$3,0),FALSE)-VLOOKUP($CB17&amp;"初始",$S$3:$AE$63,MATCH(CH$3,$S$3:$AE$3,0),FALSE))*VLOOKUP(VLOOKUP($CB17,坦克个性化设定!$B$18:$E$48,4,FALSE)&amp;$CD17,坦克属性分配比例,MATCH("部件比例",坦克属性分配比例标头,0),FALSE)*(1-$C$3)</f>
        <v>16.320000000000004</v>
      </c>
      <c r="CI17" s="42">
        <f ca="1">(VLOOKUP($CB17&amp;"最终",$S$3:$AE$63,MATCH(CI$3,$S$3:$AE$3,0),FALSE)-VLOOKUP($CB17&amp;"初始",$S$3:$AE$63,MATCH(CI$3,$S$3:$AE$3,0),FALSE))*VLOOKUP(VLOOKUP($CB17,坦克个性化设定!$B$18:$E$48,4,FALSE)&amp;$CD17,坦克属性分配比例,MATCH("部件比例",坦克属性分配比例标头,0),FALSE)</f>
        <v>99.2</v>
      </c>
    </row>
    <row r="18" spans="2:87" x14ac:dyDescent="0.3">
      <c r="B18" s="2">
        <v>13</v>
      </c>
      <c r="C18" s="2" t="str">
        <f>坦克个性化设定!B31</f>
        <v>四号</v>
      </c>
      <c r="D18" s="2">
        <v>2221</v>
      </c>
      <c r="E18" s="2" t="s">
        <v>628</v>
      </c>
      <c r="F18" s="2">
        <v>1</v>
      </c>
      <c r="G18" s="25" t="str">
        <f t="shared" si="17"/>
        <v>四号</v>
      </c>
      <c r="H18" s="25"/>
      <c r="I18" s="25"/>
      <c r="J18" s="25"/>
      <c r="K18" s="25"/>
      <c r="L18" s="25"/>
      <c r="M18" s="25"/>
      <c r="N18" s="25"/>
      <c r="O18" s="25"/>
      <c r="P18" s="25"/>
      <c r="Q18" s="25"/>
      <c r="R18" s="25"/>
      <c r="S18" s="2" t="str">
        <f t="shared" si="2"/>
        <v>M-41初始</v>
      </c>
      <c r="T18" s="2">
        <f>IF(COUNTIF(U$4:U17,U17)&gt;=$B$3,T17+1,T17)</f>
        <v>8</v>
      </c>
      <c r="U18" s="2" t="str">
        <f t="shared" si="3"/>
        <v>M-41</v>
      </c>
      <c r="V18" s="2" t="str">
        <f>VLOOKUP(U18,坦克个性化设定!$B$18:$F$48,5,FALSE)</f>
        <v>轻坦弹夹</v>
      </c>
      <c r="W18" s="29" t="str">
        <f>VLOOKUP(U18,坦克个性化细分!$I$3:$J$33,2,FALSE)</f>
        <v>中</v>
      </c>
      <c r="X18" s="2" t="str">
        <f t="shared" si="16"/>
        <v>初始</v>
      </c>
      <c r="Y18" s="2" t="str">
        <f>VLOOKUP(VLOOKUP(U18,坦克个性化设定!$B$18:$F$48,4,FALSE)&amp;W18,坦克等级成长!$P$12:$U$24,MATCH(X18,坦克等级成长!$P$12:$U$12,0),FALSE)</f>
        <v>T4中4</v>
      </c>
      <c r="Z18" s="42">
        <f ca="1">VLOOKUP($Y18,INDIRECT($V18&amp;"_阶段属性"),MATCH(Z$3,属性标头_阶段属性,0),FALSE)*VLOOKUP($U18,坦克个性化设定!$B$84:$D$114,2,FALSE)</f>
        <v>1637.1695541722581</v>
      </c>
      <c r="AA18" s="42">
        <f ca="1">VLOOKUP($Y18,INDIRECT($V18&amp;"_阶段属性"),MATCH(AA$3,属性标头_阶段属性,0),FALSE)*VLOOKUP($U18,坦克个性化设定!$B$84:$D$114,3,FALSE)</f>
        <v>111.95852116740848</v>
      </c>
      <c r="AB18" s="2">
        <f t="shared" ca="1" si="4"/>
        <v>657</v>
      </c>
      <c r="AC18" s="2">
        <f t="shared" ca="1" si="4"/>
        <v>263</v>
      </c>
      <c r="AD18" s="2">
        <f t="shared" ca="1" si="4"/>
        <v>600</v>
      </c>
      <c r="AE18" s="2">
        <f t="shared" ca="1" si="4"/>
        <v>160</v>
      </c>
      <c r="AF18" s="25"/>
      <c r="AH18" s="2">
        <v>15</v>
      </c>
      <c r="AI18" s="2" t="str">
        <f t="shared" si="5"/>
        <v>谢尔曼</v>
      </c>
      <c r="AJ18" s="2">
        <f>VLOOKUP($AI18,坦克个性化细分!$I$3:$P$33,MATCH(AJ$3,坦克个性化细分!$I$3:$P$3,0),FALSE)</f>
        <v>36.299999999999997</v>
      </c>
      <c r="AK18" s="2">
        <f>VLOOKUP($AI18,坦克个性化细分!$I$3:$P$33,MATCH(AK$3,坦克个性化细分!$I$3:$P$3,0),FALSE)</f>
        <v>51</v>
      </c>
      <c r="AL18" s="2">
        <f>VLOOKUP($AI18,坦克个性化细分!$I$3:$P$33,MATCH(AL$3,坦克个性化细分!$I$3:$P$3,0),FALSE)</f>
        <v>7.3</v>
      </c>
      <c r="AM18" s="34">
        <f>VLOOKUP(AI18,坦克个性化细分!$AA$3:$AP$33,MATCH("射击偏移角",坦克个性化细分!$AA$3:$AP$3,0),FALSE)/VLOOKUP(AI18,坦克个性化细分!$AA$3:$AP$33,MATCH("原瞄准速度",坦克个性化细分!$AA$3:$AP$3,0),FALSE)</f>
        <v>1.4</v>
      </c>
      <c r="AN18" s="34">
        <f>VLOOKUP(AI18,坦克个性化细分!$AA$3:$AP$33,MATCH(AN$3,坦克个性化细分!$AA$3:$AP$3,0),FALSE)</f>
        <v>0.4</v>
      </c>
      <c r="AO18" s="2">
        <f>VLOOKUP(AI18,坦克个性化细分!$AA$3:$AP$33,MATCH("原换弹时间",坦克个性化细分!$AA$3:$AP$3,0),FALSE)</f>
        <v>2.4</v>
      </c>
      <c r="AP18" s="132"/>
      <c r="AQ18" s="2">
        <v>15</v>
      </c>
      <c r="AR18" s="2" t="str">
        <f t="shared" si="6"/>
        <v>谢尔曼</v>
      </c>
      <c r="AS18" s="2" t="s">
        <v>860</v>
      </c>
      <c r="AT18" s="34">
        <f>VLOOKUP(AR18,坦克个性化细分!$I$3:$P$33,MATCH("养成区间1",坦克个性化细分!$I$3:$P$3,0),FALSE)</f>
        <v>9.0749999999999957</v>
      </c>
      <c r="AU18" s="2">
        <f>VLOOKUP(AR18,坦克个性化细分!$I$3:$P$33,MATCH("养成区间2",坦克个性化细分!$I$3:$P$3,0),FALSE)</f>
        <v>12.749999999999996</v>
      </c>
      <c r="AV18" s="2">
        <f>VLOOKUP(AR18,坦克个性化细分!$I$3:$P$33,MATCH("养成区间3",坦克个性化细分!$I$3:$P$3,0),FALSE)</f>
        <v>0</v>
      </c>
      <c r="AW18" s="34">
        <f>VLOOKUP(AR18,坦克个性化细分!$AA$3:$AP$33,MATCH("瞄准区间",坦克个性化细分!$AA$3:$AP$3,0),FALSE)</f>
        <v>0.23333333333333317</v>
      </c>
      <c r="AX18" s="34">
        <f>VLOOKUP(AI18,坦克个性化细分!$AA$3:$AP$33,MATCH("后射击间隔",坦克个性化细分!$AA$3:$AP$3,0),FALSE)-VLOOKUP(AI18,坦克个性化细分!$AA$3:$AP$33,MATCH(AN$3,坦克个性化细分!$AA$3:$AP$3,0),FALSE)</f>
        <v>0</v>
      </c>
      <c r="AY18" s="34">
        <f>VLOOKUP(AR18,坦克个性化细分!$AA$3:$AP$33,MATCH("换弹区间",坦克个性化细分!$AA$3:$AP$3,0),FALSE)</f>
        <v>0.37639123102866767</v>
      </c>
      <c r="AZ18" s="132"/>
      <c r="BA18" s="34">
        <f t="shared" si="8"/>
        <v>0.24999999999999989</v>
      </c>
      <c r="BB18" s="34">
        <f t="shared" si="9"/>
        <v>0.24999999999999992</v>
      </c>
      <c r="BC18" s="34">
        <f t="shared" si="10"/>
        <v>0</v>
      </c>
      <c r="BD18" s="34">
        <f t="shared" si="11"/>
        <v>0.16666666666666657</v>
      </c>
      <c r="BE18" s="34">
        <f t="shared" si="12"/>
        <v>0.15682967959527822</v>
      </c>
      <c r="BF18" s="34"/>
      <c r="BG18" s="132"/>
      <c r="BH18" s="2" t="str">
        <f t="shared" si="13"/>
        <v>Puma0</v>
      </c>
      <c r="BI18" s="2">
        <f>IF(BL17&gt;=VLOOKUP(VLOOKUP(BJ17,坦克个性化设定!$B$18:$E$48,4,FALSE)&amp;BK17,坦克属性分配比例,MATCH("升星次数",坦克属性分配比例标头,0),FALSE),BI17+1,BI17)</f>
        <v>3</v>
      </c>
      <c r="BJ18" s="2" t="str">
        <f t="shared" si="14"/>
        <v>Puma</v>
      </c>
      <c r="BK18" s="29" t="str">
        <f>VLOOKUP(BJ18,坦克个性化细分!$I$3:$J$33,2,FALSE)</f>
        <v>中</v>
      </c>
      <c r="BL18" s="2">
        <f t="shared" si="7"/>
        <v>0</v>
      </c>
      <c r="BM18" s="103">
        <f ca="1">ROUND(VLOOKUP($BJ18&amp;"初始",$S$3:$AE$63,MATCH(BM$3,$S$3:$AE$3,0),FALSE)+((VLOOKUP($BJ18&amp;"最终",$S$3:$AE$63,MATCH(BM$3,$S$3:$AE$3,0),FALSE)*坦克个性化细分!$C$9-VLOOKUP($BJ18&amp;"初始",$S$3:$AE$63,MATCH(BM$3,$S$3:$AE$3,0),FALSE))-(VLOOKUP($BJ18&amp;"最终",$S$3:$AE$63,MATCH(BM$3,$S$3:$AE$3,0),FALSE)-VLOOKUP($BJ18&amp;"初始",$S$3:$AE$63,MATCH(BM$3,$S$3:$AE$3,0),FALSE))*VLOOKUP(VLOOKUP($BJ18,坦克个性化设定!$B$18:$E$48,4,FALSE)&amp;$BK18,坦克属性分配比例,MATCH("部件比例",坦克属性分配比例标头,0),FALSE))*$BL18/VLOOKUP(VLOOKUP($BJ18,坦克个性化设定!$B$18:$E$48,4,FALSE)&amp;$BK18,坦克属性分配比例,MATCH("升星次数",坦克属性分配比例标头,0),FALSE),0)</f>
        <v>1054</v>
      </c>
      <c r="BN18" s="103">
        <f ca="1">ROUND(VLOOKUP($BJ18&amp;"初始",$S$3:$AE$63,MATCH(BN$3,$S$3:$AE$3,0),FALSE)+(VLOOKUP($BJ18&amp;"最终",$S$3:$AE$63,MATCH(BN$3,$S$3:$AE$3,0),FALSE)-VLOOKUP($BJ18&amp;"初始",$S$3:$AE$63,MATCH(BN$3,$S$3:$AE$3,0),FALSE))*$BL18/VLOOKUP(VLOOKUP($BJ18,坦克个性化设定!$B$18:$E$48,4,FALSE)&amp;$BK18,坦克属性分配比例,MATCH("升星次数",坦克属性分配比例标头,0),FALSE)*VLOOKUP(VLOOKUP($BJ18,坦克个性化设定!$B$18:$E$48,4,FALSE)&amp;$BK18,坦克属性分配比例,MATCH("升星比例",坦克属性分配比例标头,0),FALSE),0)</f>
        <v>87</v>
      </c>
      <c r="BO18" s="103">
        <f ca="1">ROUND(VLOOKUP($BJ18&amp;"初始",$S$3:$AE$63,MATCH(BO$3,$S$3:$AE$3,0),FALSE)+(VLOOKUP($BJ18&amp;"最终",$S$3:$AE$63,MATCH(BO$3,$S$3:$AE$3,0),FALSE)-VLOOKUP($BJ18&amp;"初始",$S$3:$AE$63,MATCH(BO$3,$S$3:$AE$3,0),FALSE))*$BL18/VLOOKUP(VLOOKUP($BJ18,坦克个性化设定!$B$18:$E$48,4,FALSE)&amp;$BK18,坦克属性分配比例,MATCH("升星次数",坦克属性分配比例标头,0),FALSE)*(VLOOKUP(VLOOKUP($BJ18,坦克个性化设定!$B$18:$E$48,4,FALSE)&amp;$BK18,坦克属性分配比例,MATCH("升星比例",坦克属性分配比例标头,0),FALSE)+VLOOKUP(VLOOKUP($BJ18,坦克个性化设定!$B$18:$E$48,4,FALSE)&amp;$BK18,坦克属性分配比例,MATCH("部件比例",坦克属性分配比例标头,0),FALSE)*$C$3),0)</f>
        <v>401</v>
      </c>
      <c r="BP18" s="103">
        <f ca="1">ROUND(VLOOKUP($BJ18&amp;"初始",$S$3:$AE$63,MATCH(BP$3,$S$3:$AE$3,0),FALSE)+(VLOOKUP($BJ18&amp;"最终",$S$3:$AE$63,MATCH(BP$3,$S$3:$AE$3,0),FALSE)-VLOOKUP($BJ18&amp;"初始",$S$3:$AE$63,MATCH(BP$3,$S$3:$AE$3,0),FALSE))*$BL18/VLOOKUP(VLOOKUP($BJ18,坦克个性化设定!$B$18:$E$48,4,FALSE)&amp;$BK18,坦克属性分配比例,MATCH("升星次数",坦克属性分配比例标头,0),FALSE)*(VLOOKUP(VLOOKUP($BJ18,坦克个性化设定!$B$18:$E$48,4,FALSE)&amp;$BK18,坦克属性分配比例,MATCH("升星比例",坦克属性分配比例标头,0),FALSE)+VLOOKUP(VLOOKUP($BJ18,坦克个性化设定!$B$18:$E$48,4,FALSE)&amp;$BK18,坦克属性分配比例,MATCH("部件比例",坦克属性分配比例标头,0),FALSE)*$C$3),0)</f>
        <v>160</v>
      </c>
      <c r="BQ18" s="103">
        <f ca="1">ROUND(VLOOKUP($BJ18&amp;"初始",$S$3:$AE$63,MATCH(BQ$3,$S$3:$AE$3,0),FALSE)+(VLOOKUP($BJ18&amp;"最终",$S$3:$AE$63,MATCH(BQ$3,$S$3:$AE$3,0),FALSE)-VLOOKUP($BJ18&amp;"初始",$S$3:$AE$63,MATCH(BQ$3,$S$3:$AE$3,0),FALSE))*$BL18/VLOOKUP(VLOOKUP($BJ18,坦克个性化设定!$B$18:$E$48,4,FALSE)&amp;$BK18,坦克属性分配比例,MATCH("升星次数",坦克属性分配比例标头,0),FALSE)*VLOOKUP(VLOOKUP($BJ18,坦克个性化设定!$B$18:$E$48,4,FALSE)&amp;$BK18,坦克属性分配比例,MATCH("升星比例",坦克属性分配比例标头,0),FALSE),0)</f>
        <v>366</v>
      </c>
      <c r="BR18" s="2">
        <f ca="1">ROUND(VLOOKUP($BJ18&amp;"初始",$S$3:$AE$63,MATCH(BR$3,$S$3:$AE$3,0),FALSE)+(VLOOKUP($BJ18&amp;"最终",$S$3:$AE$63,MATCH(BR$3,$S$3:$AE$3,0),FALSE)-VLOOKUP($BJ18&amp;"初始",$S$3:$AE$63,MATCH(BR$3,$S$3:$AE$3,0),FALSE))*$BL18/VLOOKUP(VLOOKUP($BJ18,坦克个性化设定!$B$18:$E$48,4,FALSE)&amp;$BK18,坦克属性分配比例,MATCH("升星次数",坦克属性分配比例标头,0),FALSE),0)</f>
        <v>98</v>
      </c>
      <c r="BS18" s="2">
        <f>ROUND(VLOOKUP($BJ18,$AI$3:$AO$33,MATCH(BS$3,$AI$3:$AO$3,0),FALSE)+$BL18/VLOOKUP(VLOOKUP($BJ18,坦克个性化设定!$B$18:$E$48,4,FALSE)&amp;$BK18,坦克属性分配比例,MATCH("升星次数",坦克属性分配比例标头,0),FALSE)*VLOOKUP($BJ18,$AR$3:$AY$33,MATCH(BS$3,$AR$3:$AY$3,0),FALSE),1)</f>
        <v>43.3</v>
      </c>
      <c r="BT18" s="2">
        <f>ROUND(VLOOKUP($BJ18,$AI$3:$AO$33,MATCH(BT$3,$AI$3:$AO$3,0),FALSE)+$BL18/VLOOKUP(VLOOKUP($BJ18,坦克个性化设定!$B$18:$E$48,4,FALSE)&amp;$BK18,坦克属性分配比例,MATCH("升星次数",坦克属性分配比例标头,0),FALSE)*VLOOKUP($BJ18,$AR$3:$AY$33,MATCH(BT$3,$AR$3:$AY$3,0),FALSE),1)</f>
        <v>51</v>
      </c>
      <c r="BU18" s="2">
        <f>ROUND(VLOOKUP($BJ18,$AI$3:$AO$33,MATCH(BU$3,$AI$3:$AO$3,0),FALSE)+$BL18/VLOOKUP(VLOOKUP($BJ18,坦克个性化设定!$B$18:$E$48,4,FALSE)&amp;$BK18,坦克属性分配比例,MATCH("升星次数",坦克属性分配比例标头,0),FALSE)*VLOOKUP($BJ18,$AR$3:$AY$33,MATCH(BU$3,$AR$3:$AY$3,0),FALSE),1)</f>
        <v>10.199999999999999</v>
      </c>
      <c r="BV18" s="2">
        <f>IF(VLOOKUP(BJ18,坦克个性化设定!$B$18:$BC$48,MATCH("装弹类型",坦克个性化设定!$B$18:$BC$18,0),FALSE)="弹夹换弹",0,ROUND(VLOOKUP($BJ18,$AI$3:$AO$33,MATCH("换弹时间",$AI$3:$AO$3,0),FALSE)-$BL18/VLOOKUP(VLOOKUP($BJ18,坦克个性化设定!$B$18:$E$48,4,FALSE)&amp;$BK18,坦克属性分配比例,MATCH("升星次数",坦克属性分配比例标头,0),FALSE)*VLOOKUP($BJ18,$AR$3:$AY$33,MATCH("换弹时间",$AR$3:$AY$3,0),FALSE),2))</f>
        <v>0</v>
      </c>
      <c r="BW18" s="2">
        <f>IF(VLOOKUP(BJ18,坦克个性化设定!$B$18:$BC$48,MATCH("装弹类型",坦克个性化设定!$B$18:$BC$18,0),FALSE)="弹夹换弹",ROUND(VLOOKUP($BJ18,$AI$3:$AO$33,MATCH("换弹时间",$AI$3:$AO$3,0),FALSE)-$BL18/VLOOKUP(VLOOKUP($BJ18,坦克个性化设定!$B$18:$E$48,4,FALSE)&amp;$BK18,坦克属性分配比例,MATCH("升星次数",坦克属性分配比例标头,0),FALSE)*VLOOKUP($BJ18,$AR$3:$AY$33,MATCH("换弹时间",$AR$3:$AY$3,0),FALSE),1),0)</f>
        <v>4.7</v>
      </c>
      <c r="BX18" s="2">
        <f>ROUND(VLOOKUP($BJ18,$AI$3:$AO$33,MATCH(BX$3,$AI$3:$AO$3,0),FALSE)+$BL18/VLOOKUP(VLOOKUP($BJ18,坦克个性化设定!$B$18:$E$48,4,FALSE)&amp;$BK18,坦克属性分配比例,MATCH("升星次数",坦克属性分配比例标头,0),FALSE)*VLOOKUP($BJ18,$AR$3:$AY$33,MATCH(BX$3,$AR$3:$AY$3,0),FALSE),2)</f>
        <v>0.8</v>
      </c>
      <c r="BY18" s="2">
        <f>ROUND(VLOOKUP($BJ18,$AI$3:$AO$33,MATCH(BY$3,$AI$3:$AO$3,0),FALSE)-$BL18/VLOOKUP(VLOOKUP($BJ18,坦克个性化设定!$B$18:$E$48,4,FALSE)&amp;$BK18,坦克属性分配比例,MATCH("升星次数",坦克属性分配比例标头,0),FALSE)*VLOOKUP($BJ18,$AR$3:$AY$33,MATCH(BY$3,$AR$3:$AY$3,0),FALSE),2)</f>
        <v>0.52</v>
      </c>
      <c r="CA18" s="2">
        <v>15</v>
      </c>
      <c r="CB18" s="2" t="str">
        <f t="shared" si="15"/>
        <v>谢尔曼</v>
      </c>
      <c r="CC18" s="2" t="str">
        <f>VLOOKUP(CB18,坦克个性化设定!$B$18:$F$48,5,FALSE)</f>
        <v>中坦自动</v>
      </c>
      <c r="CD18" s="29" t="str">
        <f>VLOOKUP(CB18,坦克个性化细分!$I$3:$J$33,2,FALSE)</f>
        <v>中</v>
      </c>
      <c r="CE18" s="42">
        <f ca="1">(VLOOKUP($CB18&amp;"最终",$S$3:$AE$63,MATCH(CE$3,$S$3:$AE$3,0),FALSE)-VLOOKUP($CB18&amp;"初始",$S$3:$AE$63,MATCH(CE$3,$S$3:$AE$3,0),FALSE))*VLOOKUP(VLOOKUP($CB18,坦克个性化设定!$B$18:$E$48,4,FALSE)&amp;$CD18,坦克属性分配比例,MATCH("部件比例",坦克属性分配比例标头,0),FALSE)</f>
        <v>243.70173807927006</v>
      </c>
      <c r="CF18" s="42">
        <f ca="1">(VLOOKUP($CB18&amp;"最终",$S$3:$AE$63,MATCH(CF$3,$S$3:$AE$3,0),FALSE)-VLOOKUP($CB18&amp;"初始",$S$3:$AE$63,MATCH(CF$3,$S$3:$AE$3,0),FALSE))*VLOOKUP(VLOOKUP($CB18,坦克个性化设定!$B$18:$E$48,4,FALSE)&amp;$CD18,坦克属性分配比例,MATCH("部件比例",坦克属性分配比例标头,0),FALSE)</f>
        <v>33.909631183514932</v>
      </c>
      <c r="CG18" s="42">
        <f ca="1">(VLOOKUP($CB18&amp;"最终",$S$3:$AE$63,MATCH(CG$3,$S$3:$AE$3,0),FALSE)-VLOOKUP($CB18&amp;"初始",$S$3:$AE$63,MATCH(CG$3,$S$3:$AE$3,0),FALSE))*VLOOKUP(VLOOKUP($CB18,坦克个性化设定!$B$18:$E$48,4,FALSE)&amp;$CD18,坦克属性分配比例,MATCH("部件比例",坦克属性分配比例标头,0),FALSE)*(1-$C$3)</f>
        <v>38.880000000000003</v>
      </c>
      <c r="CH18" s="42">
        <f ca="1">(VLOOKUP($CB18&amp;"最终",$S$3:$AE$63,MATCH(CH$3,$S$3:$AE$3,0),FALSE)-VLOOKUP($CB18&amp;"初始",$S$3:$AE$63,MATCH(CH$3,$S$3:$AE$3,0),FALSE))*VLOOKUP(VLOOKUP($CB18,坦克个性化设定!$B$18:$E$48,4,FALSE)&amp;$CD18,坦克属性分配比例,MATCH("部件比例",坦克属性分配比例标头,0),FALSE)*(1-$C$3)</f>
        <v>17.440000000000001</v>
      </c>
      <c r="CI18" s="42">
        <f ca="1">(VLOOKUP($CB18&amp;"最终",$S$3:$AE$63,MATCH(CI$3,$S$3:$AE$3,0),FALSE)-VLOOKUP($CB18&amp;"初始",$S$3:$AE$63,MATCH(CI$3,$S$3:$AE$3,0),FALSE))*VLOOKUP(VLOOKUP($CB18,坦克个性化设定!$B$18:$E$48,4,FALSE)&amp;$CD18,坦克属性分配比例,MATCH("部件比例",坦克属性分配比例标头,0),FALSE)</f>
        <v>106.80000000000001</v>
      </c>
    </row>
    <row r="19" spans="2:87" x14ac:dyDescent="0.3">
      <c r="B19" s="2">
        <v>14</v>
      </c>
      <c r="C19" s="2" t="str">
        <f>坦克个性化设定!B32</f>
        <v>玛蒂尔达</v>
      </c>
      <c r="D19" s="2">
        <v>2311</v>
      </c>
      <c r="E19" s="2" t="s">
        <v>629</v>
      </c>
      <c r="F19" s="2">
        <v>1</v>
      </c>
      <c r="G19" s="25" t="str">
        <f t="shared" si="17"/>
        <v>玛蒂尔达</v>
      </c>
      <c r="H19" s="25"/>
      <c r="I19" s="25"/>
      <c r="J19" s="25"/>
      <c r="K19" s="25"/>
      <c r="L19" s="25"/>
      <c r="M19" s="25"/>
      <c r="N19" s="25"/>
      <c r="O19" s="25"/>
      <c r="P19" s="25"/>
      <c r="Q19" s="25"/>
      <c r="R19" s="25"/>
      <c r="S19" s="2" t="str">
        <f t="shared" si="2"/>
        <v>M-41最终</v>
      </c>
      <c r="T19" s="2">
        <f>IF(COUNTIF(U$4:U18,U18)&gt;=$B$3,T18+1,T18)</f>
        <v>8</v>
      </c>
      <c r="U19" s="2" t="str">
        <f t="shared" si="3"/>
        <v>M-41</v>
      </c>
      <c r="V19" s="2" t="str">
        <f>VLOOKUP(U19,坦克个性化设定!$B$18:$F$48,5,FALSE)</f>
        <v>轻坦弹夹</v>
      </c>
      <c r="W19" s="29" t="str">
        <f>VLOOKUP(U19,坦克个性化细分!$I$3:$J$33,2,FALSE)</f>
        <v>中</v>
      </c>
      <c r="X19" s="2" t="str">
        <f t="shared" si="16"/>
        <v>最终</v>
      </c>
      <c r="Y19" s="2" t="str">
        <f>VLOOKUP(VLOOKUP(U19,坦克个性化设定!$B$18:$F$48,4,FALSE)&amp;W19,坦克等级成长!$P$12:$U$24,MATCH(X19,坦克等级成长!$P$12:$U$12,0),FALSE)</f>
        <v>T4中7</v>
      </c>
      <c r="Z19" s="42" t="e">
        <f ca="1">VLOOKUP($Y19,INDIRECT($V19&amp;"_阶段属性"),MATCH(Z$3,属性标头_阶段属性,0),FALSE)*VLOOKUP($U19,坦克个性化设定!$B$84:$D$114,2,FALSE)</f>
        <v>#N/A</v>
      </c>
      <c r="AA19" s="42" t="e">
        <f ca="1">VLOOKUP($Y19,INDIRECT($V19&amp;"_阶段属性"),MATCH(AA$3,属性标头_阶段属性,0),FALSE)*VLOOKUP($U19,坦克个性化设定!$B$84:$D$114,3,FALSE)</f>
        <v>#N/A</v>
      </c>
      <c r="AB19" s="2" t="e">
        <f t="shared" ca="1" si="4"/>
        <v>#N/A</v>
      </c>
      <c r="AC19" s="2" t="e">
        <f t="shared" ca="1" si="4"/>
        <v>#N/A</v>
      </c>
      <c r="AD19" s="2" t="e">
        <f t="shared" ca="1" si="4"/>
        <v>#N/A</v>
      </c>
      <c r="AE19" s="2" t="e">
        <f t="shared" ca="1" si="4"/>
        <v>#N/A</v>
      </c>
      <c r="AF19" s="25"/>
      <c r="AH19" s="2">
        <v>16</v>
      </c>
      <c r="AI19" s="2" t="str">
        <f t="shared" si="5"/>
        <v>彗星</v>
      </c>
      <c r="AJ19" s="2">
        <f>VLOOKUP($AI19,坦克个性化细分!$I$3:$P$33,MATCH(AJ$3,坦克个性化细分!$I$3:$P$3,0),FALSE)</f>
        <v>37.4</v>
      </c>
      <c r="AK19" s="2">
        <f>VLOOKUP($AI19,坦克个性化细分!$I$3:$P$33,MATCH(AK$3,坦克个性化细分!$I$3:$P$3,0),FALSE)</f>
        <v>52.5</v>
      </c>
      <c r="AL19" s="2">
        <f>VLOOKUP($AI19,坦克个性化细分!$I$3:$P$33,MATCH(AL$3,坦克个性化细分!$I$3:$P$3,0),FALSE)</f>
        <v>7.6</v>
      </c>
      <c r="AM19" s="34">
        <f>VLOOKUP(AI19,坦克个性化细分!$AA$3:$AP$33,MATCH("射击偏移角",坦克个性化细分!$AA$3:$AP$3,0),FALSE)/VLOOKUP(AI19,坦克个性化细分!$AA$3:$AP$33,MATCH("原瞄准速度",坦克个性化细分!$AA$3:$AP$3,0),FALSE)</f>
        <v>1.1499999999999999</v>
      </c>
      <c r="AN19" s="34">
        <f>VLOOKUP(AI19,坦克个性化细分!$AA$3:$AP$33,MATCH(AN$3,坦克个性化细分!$AA$3:$AP$3,0),FALSE)</f>
        <v>0.4</v>
      </c>
      <c r="AO19" s="2">
        <f>VLOOKUP(AI19,坦克个性化细分!$AA$3:$AP$33,MATCH("原换弹时间",坦克个性化细分!$AA$3:$AP$3,0),FALSE)</f>
        <v>3</v>
      </c>
      <c r="AP19" s="132"/>
      <c r="AQ19" s="2">
        <v>16</v>
      </c>
      <c r="AR19" s="2" t="str">
        <f t="shared" si="6"/>
        <v>彗星</v>
      </c>
      <c r="AS19" s="2" t="s">
        <v>860</v>
      </c>
      <c r="AT19" s="34">
        <f>VLOOKUP(AR19,坦克个性化细分!$I$3:$P$33,MATCH("养成区间1",坦克个性化细分!$I$3:$P$3,0),FALSE)</f>
        <v>9.3499999999999961</v>
      </c>
      <c r="AU19" s="2">
        <f>VLOOKUP(AR19,坦克个性化细分!$I$3:$P$33,MATCH("养成区间2",坦克个性化细分!$I$3:$P$3,0),FALSE)</f>
        <v>13.124999999999996</v>
      </c>
      <c r="AV19" s="2">
        <f>VLOOKUP(AR19,坦克个性化细分!$I$3:$P$33,MATCH("养成区间3",坦克个性化细分!$I$3:$P$3,0),FALSE)</f>
        <v>0</v>
      </c>
      <c r="AW19" s="34">
        <f>VLOOKUP(AR19,坦克个性化细分!$AA$3:$AP$33,MATCH("瞄准区间",坦克个性化细分!$AA$3:$AP$3,0),FALSE)</f>
        <v>0.19166666666666665</v>
      </c>
      <c r="AX19" s="34">
        <f>VLOOKUP(AI19,坦克个性化细分!$AA$3:$AP$33,MATCH("后射击间隔",坦克个性化细分!$AA$3:$AP$3,0),FALSE)-VLOOKUP(AI19,坦克个性化细分!$AA$3:$AP$33,MATCH(AN$3,坦克个性化细分!$AA$3:$AP$3,0),FALSE)</f>
        <v>0</v>
      </c>
      <c r="AY19" s="34">
        <f>VLOOKUP(AR19,坦克个性化细分!$AA$3:$AP$33,MATCH("换弹区间",坦克个性化细分!$AA$3:$AP$3,0),FALSE)</f>
        <v>0.52066115702479276</v>
      </c>
      <c r="AZ19" s="132"/>
      <c r="BA19" s="34">
        <f t="shared" si="8"/>
        <v>0.24999999999999992</v>
      </c>
      <c r="BB19" s="34">
        <f t="shared" si="9"/>
        <v>0.24999999999999994</v>
      </c>
      <c r="BC19" s="34">
        <f t="shared" si="10"/>
        <v>0</v>
      </c>
      <c r="BD19" s="34">
        <f t="shared" si="11"/>
        <v>0.16666666666666666</v>
      </c>
      <c r="BE19" s="34">
        <f t="shared" si="12"/>
        <v>0.17355371900826425</v>
      </c>
      <c r="BF19" s="34"/>
      <c r="BG19" s="132"/>
      <c r="BH19" s="2" t="str">
        <f t="shared" si="13"/>
        <v>Puma1</v>
      </c>
      <c r="BI19" s="2">
        <f>IF(BL18&gt;=VLOOKUP(VLOOKUP(BJ18,坦克个性化设定!$B$18:$E$48,4,FALSE)&amp;BK18,坦克属性分配比例,MATCH("升星次数",坦克属性分配比例标头,0),FALSE),BI18+1,BI18)</f>
        <v>3</v>
      </c>
      <c r="BJ19" s="2" t="str">
        <f t="shared" si="14"/>
        <v>Puma</v>
      </c>
      <c r="BK19" s="29" t="str">
        <f>VLOOKUP(BJ19,坦克个性化细分!$I$3:$J$33,2,FALSE)</f>
        <v>中</v>
      </c>
      <c r="BL19" s="2">
        <f t="shared" si="7"/>
        <v>1</v>
      </c>
      <c r="BM19" s="103">
        <f ca="1">ROUND(VLOOKUP($BJ19&amp;"初始",$S$3:$AE$63,MATCH(BM$3,$S$3:$AE$3,0),FALSE)+((VLOOKUP($BJ19&amp;"最终",$S$3:$AE$63,MATCH(BM$3,$S$3:$AE$3,0),FALSE)*坦克个性化细分!$C$9-VLOOKUP($BJ19&amp;"初始",$S$3:$AE$63,MATCH(BM$3,$S$3:$AE$3,0),FALSE))-(VLOOKUP($BJ19&amp;"最终",$S$3:$AE$63,MATCH(BM$3,$S$3:$AE$3,0),FALSE)-VLOOKUP($BJ19&amp;"初始",$S$3:$AE$63,MATCH(BM$3,$S$3:$AE$3,0),FALSE))*VLOOKUP(VLOOKUP($BJ19,坦克个性化设定!$B$18:$E$48,4,FALSE)&amp;$BK19,坦克属性分配比例,MATCH("部件比例",坦克属性分配比例标头,0),FALSE))*$BL19/VLOOKUP(VLOOKUP($BJ19,坦克个性化设定!$B$18:$E$48,4,FALSE)&amp;$BK19,坦克属性分配比例,MATCH("升星次数",坦克属性分配比例标头,0),FALSE),0)</f>
        <v>1129</v>
      </c>
      <c r="BN19" s="103">
        <f ca="1">ROUND(VLOOKUP($BJ19&amp;"初始",$S$3:$AE$63,MATCH(BN$3,$S$3:$AE$3,0),FALSE)+(VLOOKUP($BJ19&amp;"最终",$S$3:$AE$63,MATCH(BN$3,$S$3:$AE$3,0),FALSE)-VLOOKUP($BJ19&amp;"初始",$S$3:$AE$63,MATCH(BN$3,$S$3:$AE$3,0),FALSE))*$BL19/VLOOKUP(VLOOKUP($BJ19,坦克个性化设定!$B$18:$E$48,4,FALSE)&amp;$BK19,坦克属性分配比例,MATCH("升星次数",坦克属性分配比例标头,0),FALSE)*VLOOKUP(VLOOKUP($BJ19,坦克个性化设定!$B$18:$E$48,4,FALSE)&amp;$BK19,坦克属性分配比例,MATCH("升星比例",坦克属性分配比例标头,0),FALSE),0)</f>
        <v>91</v>
      </c>
      <c r="BO19" s="103">
        <f ca="1">ROUND(VLOOKUP($BJ19&amp;"初始",$S$3:$AE$63,MATCH(BO$3,$S$3:$AE$3,0),FALSE)+(VLOOKUP($BJ19&amp;"最终",$S$3:$AE$63,MATCH(BO$3,$S$3:$AE$3,0),FALSE)-VLOOKUP($BJ19&amp;"初始",$S$3:$AE$63,MATCH(BO$3,$S$3:$AE$3,0),FALSE))*$BL19/VLOOKUP(VLOOKUP($BJ19,坦克个性化设定!$B$18:$E$48,4,FALSE)&amp;$BK19,坦克属性分配比例,MATCH("升星次数",坦克属性分配比例标头,0),FALSE)*(VLOOKUP(VLOOKUP($BJ19,坦克个性化设定!$B$18:$E$48,4,FALSE)&amp;$BK19,坦克属性分配比例,MATCH("升星比例",坦克属性分配比例标头,0),FALSE)+VLOOKUP(VLOOKUP($BJ19,坦克个性化设定!$B$18:$E$48,4,FALSE)&amp;$BK19,坦克属性分配比例,MATCH("部件比例",坦克属性分配比例标头,0),FALSE)*$C$3),0)</f>
        <v>423</v>
      </c>
      <c r="BP19" s="103">
        <f ca="1">ROUND(VLOOKUP($BJ19&amp;"初始",$S$3:$AE$63,MATCH(BP$3,$S$3:$AE$3,0),FALSE)+(VLOOKUP($BJ19&amp;"最终",$S$3:$AE$63,MATCH(BP$3,$S$3:$AE$3,0),FALSE)-VLOOKUP($BJ19&amp;"初始",$S$3:$AE$63,MATCH(BP$3,$S$3:$AE$3,0),FALSE))*$BL19/VLOOKUP(VLOOKUP($BJ19,坦克个性化设定!$B$18:$E$48,4,FALSE)&amp;$BK19,坦克属性分配比例,MATCH("升星次数",坦克属性分配比例标头,0),FALSE)*(VLOOKUP(VLOOKUP($BJ19,坦克个性化设定!$B$18:$E$48,4,FALSE)&amp;$BK19,坦克属性分配比例,MATCH("升星比例",坦克属性分配比例标头,0),FALSE)+VLOOKUP(VLOOKUP($BJ19,坦克个性化设定!$B$18:$E$48,4,FALSE)&amp;$BK19,坦克属性分配比例,MATCH("部件比例",坦克属性分配比例标头,0),FALSE)*$C$3),0)</f>
        <v>169</v>
      </c>
      <c r="BQ19" s="103">
        <f ca="1">ROUND(VLOOKUP($BJ19&amp;"初始",$S$3:$AE$63,MATCH(BQ$3,$S$3:$AE$3,0),FALSE)+(VLOOKUP($BJ19&amp;"最终",$S$3:$AE$63,MATCH(BQ$3,$S$3:$AE$3,0),FALSE)-VLOOKUP($BJ19&amp;"初始",$S$3:$AE$63,MATCH(BQ$3,$S$3:$AE$3,0),FALSE))*$BL19/VLOOKUP(VLOOKUP($BJ19,坦克个性化设定!$B$18:$E$48,4,FALSE)&amp;$BK19,坦克属性分配比例,MATCH("升星次数",坦克属性分配比例标头,0),FALSE)*VLOOKUP(VLOOKUP($BJ19,坦克个性化设定!$B$18:$E$48,4,FALSE)&amp;$BK19,坦克属性分配比例,MATCH("升星比例",坦克属性分配比例标头,0),FALSE),0)</f>
        <v>381</v>
      </c>
      <c r="BR19" s="2">
        <f ca="1">ROUND(VLOOKUP($BJ19&amp;"初始",$S$3:$AE$63,MATCH(BR$3,$S$3:$AE$3,0),FALSE)+(VLOOKUP($BJ19&amp;"最终",$S$3:$AE$63,MATCH(BR$3,$S$3:$AE$3,0),FALSE)-VLOOKUP($BJ19&amp;"初始",$S$3:$AE$63,MATCH(BR$3,$S$3:$AE$3,0),FALSE))*$BL19/VLOOKUP(VLOOKUP($BJ19,坦克个性化设定!$B$18:$E$48,4,FALSE)&amp;$BK19,坦克属性分配比例,MATCH("升星次数",坦克属性分配比例标头,0),FALSE),0)</f>
        <v>104</v>
      </c>
      <c r="BS19" s="2">
        <f>ROUND(VLOOKUP($BJ19,$AI$3:$AO$33,MATCH(BS$3,$AI$3:$AO$3,0),FALSE)+$BL19/VLOOKUP(VLOOKUP($BJ19,坦克个性化设定!$B$18:$E$48,4,FALSE)&amp;$BK19,坦克属性分配比例,MATCH("升星次数",坦克属性分配比例标头,0),FALSE)*VLOOKUP($BJ19,$AR$3:$AY$33,MATCH(BS$3,$AR$3:$AY$3,0),FALSE),1)</f>
        <v>44.8</v>
      </c>
      <c r="BT19" s="2">
        <f>ROUND(VLOOKUP($BJ19,$AI$3:$AO$33,MATCH(BT$3,$AI$3:$AO$3,0),FALSE)+$BL19/VLOOKUP(VLOOKUP($BJ19,坦克个性化设定!$B$18:$E$48,4,FALSE)&amp;$BK19,坦克属性分配比例,MATCH("升星次数",坦克属性分配比例标头,0),FALSE)*VLOOKUP($BJ19,$AR$3:$AY$33,MATCH(BT$3,$AR$3:$AY$3,0),FALSE),1)</f>
        <v>52.8</v>
      </c>
      <c r="BU19" s="2">
        <f>ROUND(VLOOKUP($BJ19,$AI$3:$AO$33,MATCH(BU$3,$AI$3:$AO$3,0),FALSE)+$BL19/VLOOKUP(VLOOKUP($BJ19,坦克个性化设定!$B$18:$E$48,4,FALSE)&amp;$BK19,坦克属性分配比例,MATCH("升星次数",坦克属性分配比例标头,0),FALSE)*VLOOKUP($BJ19,$AR$3:$AY$33,MATCH(BU$3,$AR$3:$AY$3,0),FALSE),1)</f>
        <v>10.199999999999999</v>
      </c>
      <c r="BV19" s="2">
        <f>IF(VLOOKUP(BJ19,坦克个性化设定!$B$18:$BC$48,MATCH("装弹类型",坦克个性化设定!$B$18:$BC$18,0),FALSE)="弹夹换弹",0,ROUND(VLOOKUP($BJ19,$AI$3:$AO$33,MATCH("换弹时间",$AI$3:$AO$3,0),FALSE)-$BL19/VLOOKUP(VLOOKUP($BJ19,坦克个性化设定!$B$18:$E$48,4,FALSE)&amp;$BK19,坦克属性分配比例,MATCH("升星次数",坦克属性分配比例标头,0),FALSE)*VLOOKUP($BJ19,$AR$3:$AY$33,MATCH("换弹时间",$AR$3:$AY$3,0),FALSE),2))</f>
        <v>0</v>
      </c>
      <c r="BW19" s="2">
        <f>IF(VLOOKUP(BJ19,坦克个性化设定!$B$18:$BC$48,MATCH("装弹类型",坦克个性化设定!$B$18:$BC$18,0),FALSE)="弹夹换弹",ROUND(VLOOKUP($BJ19,$AI$3:$AO$33,MATCH("换弹时间",$AI$3:$AO$3,0),FALSE)-$BL19/VLOOKUP(VLOOKUP($BJ19,坦克个性化设定!$B$18:$E$48,4,FALSE)&amp;$BK19,坦克属性分配比例,MATCH("升星次数",坦克属性分配比例标头,0),FALSE)*VLOOKUP($BJ19,$AR$3:$AY$33,MATCH("换弹时间",$AR$3:$AY$3,0),FALSE),1),0)</f>
        <v>4.5</v>
      </c>
      <c r="BX19" s="2">
        <f>ROUND(VLOOKUP($BJ19,$AI$3:$AO$33,MATCH(BX$3,$AI$3:$AO$3,0),FALSE)+$BL19/VLOOKUP(VLOOKUP($BJ19,坦克个性化设定!$B$18:$E$48,4,FALSE)&amp;$BK19,坦克属性分配比例,MATCH("升星次数",坦克属性分配比例标头,0),FALSE)*VLOOKUP($BJ19,$AR$3:$AY$33,MATCH(BX$3,$AR$3:$AY$3,0),FALSE),2)</f>
        <v>0.8</v>
      </c>
      <c r="BY19" s="2">
        <f>ROUND(VLOOKUP($BJ19,$AI$3:$AO$33,MATCH(BY$3,$AI$3:$AO$3,0),FALSE)-$BL19/VLOOKUP(VLOOKUP($BJ19,坦克个性化设定!$B$18:$E$48,4,FALSE)&amp;$BK19,坦克属性分配比例,MATCH("升星次数",坦克属性分配比例标头,0),FALSE)*VLOOKUP($BJ19,$AR$3:$AY$33,MATCH(BY$3,$AR$3:$AY$3,0),FALSE),2)</f>
        <v>0.5</v>
      </c>
      <c r="CA19" s="2">
        <v>16</v>
      </c>
      <c r="CB19" s="2" t="str">
        <f t="shared" si="15"/>
        <v>彗星</v>
      </c>
      <c r="CC19" s="2" t="str">
        <f>VLOOKUP(CB19,坦克个性化设定!$B$18:$F$48,5,FALSE)</f>
        <v>中坦自动</v>
      </c>
      <c r="CD19" s="29" t="str">
        <f>VLOOKUP(CB19,坦克个性化细分!$I$3:$J$33,2,FALSE)</f>
        <v>高</v>
      </c>
      <c r="CE19" s="42">
        <f ca="1">(VLOOKUP($CB19&amp;"最终",$S$3:$AE$63,MATCH(CE$3,$S$3:$AE$3,0),FALSE)-VLOOKUP($CB19&amp;"初始",$S$3:$AE$63,MATCH(CE$3,$S$3:$AE$3,0),FALSE))*VLOOKUP(VLOOKUP($CB19,坦克个性化设定!$B$18:$E$48,4,FALSE)&amp;$CD19,坦克属性分配比例,MATCH("部件比例",坦克属性分配比例标头,0),FALSE)</f>
        <v>250.96768147085615</v>
      </c>
      <c r="CF19" s="42">
        <f ca="1">(VLOOKUP($CB19&amp;"最终",$S$3:$AE$63,MATCH(CF$3,$S$3:$AE$3,0),FALSE)-VLOOKUP($CB19&amp;"初始",$S$3:$AE$63,MATCH(CF$3,$S$3:$AE$3,0),FALSE))*VLOOKUP(VLOOKUP($CB19,坦克个性化设定!$B$18:$E$48,4,FALSE)&amp;$CD19,坦克属性分配比例,MATCH("部件比例",坦克属性分配比例标头,0),FALSE)</f>
        <v>36.225831368210152</v>
      </c>
      <c r="CG19" s="42">
        <f ca="1">(VLOOKUP($CB19&amp;"最终",$S$3:$AE$63,MATCH(CG$3,$S$3:$AE$3,0),FALSE)-VLOOKUP($CB19&amp;"初始",$S$3:$AE$63,MATCH(CG$3,$S$3:$AE$3,0),FALSE))*VLOOKUP(VLOOKUP($CB19,坦克个性化设定!$B$18:$E$48,4,FALSE)&amp;$CD19,坦克属性分配比例,MATCH("部件比例",坦克属性分配比例标头,0),FALSE)*(1-$C$3)</f>
        <v>41.6</v>
      </c>
      <c r="CH19" s="42">
        <f ca="1">(VLOOKUP($CB19&amp;"最终",$S$3:$AE$63,MATCH(CH$3,$S$3:$AE$3,0),FALSE)-VLOOKUP($CB19&amp;"初始",$S$3:$AE$63,MATCH(CH$3,$S$3:$AE$3,0),FALSE))*VLOOKUP(VLOOKUP($CB19,坦克个性化设定!$B$18:$E$48,4,FALSE)&amp;$CD19,坦克属性分配比例,MATCH("部件比例",坦克属性分配比例标头,0),FALSE)*(1-$C$3)</f>
        <v>18.720000000000002</v>
      </c>
      <c r="CI19" s="42">
        <f ca="1">(VLOOKUP($CB19&amp;"最终",$S$3:$AE$63,MATCH(CI$3,$S$3:$AE$3,0),FALSE)-VLOOKUP($CB19&amp;"初始",$S$3:$AE$63,MATCH(CI$3,$S$3:$AE$3,0),FALSE))*VLOOKUP(VLOOKUP($CB19,坦克个性化设定!$B$18:$E$48,4,FALSE)&amp;$CD19,坦克属性分配比例,MATCH("部件比例",坦克属性分配比例标头,0),FALSE)</f>
        <v>114</v>
      </c>
    </row>
    <row r="20" spans="2:87" x14ac:dyDescent="0.3">
      <c r="B20" s="2">
        <v>15</v>
      </c>
      <c r="C20" s="2" t="str">
        <f>坦克个性化设定!B33</f>
        <v>谢尔曼</v>
      </c>
      <c r="D20" s="2">
        <v>2321</v>
      </c>
      <c r="E20" s="2" t="s">
        <v>631</v>
      </c>
      <c r="F20" s="2">
        <v>1</v>
      </c>
      <c r="G20" s="25" t="str">
        <f t="shared" si="17"/>
        <v>谢尔曼</v>
      </c>
      <c r="H20" s="25"/>
      <c r="I20" s="25"/>
      <c r="J20" s="25"/>
      <c r="K20" s="25"/>
      <c r="L20" s="25"/>
      <c r="M20" s="25"/>
      <c r="N20" s="25"/>
      <c r="O20" s="25"/>
      <c r="P20" s="25"/>
      <c r="Q20" s="25"/>
      <c r="R20" s="25"/>
      <c r="S20" s="2" t="str">
        <f t="shared" si="2"/>
        <v>BMP-3初始</v>
      </c>
      <c r="T20" s="2">
        <f>IF(COUNTIF(U$4:U19,U19)&gt;=$B$3,T19+1,T19)</f>
        <v>9</v>
      </c>
      <c r="U20" s="2" t="str">
        <f t="shared" si="3"/>
        <v>BMP-3</v>
      </c>
      <c r="V20" s="2" t="str">
        <f>VLOOKUP(U20,坦克个性化设定!$B$18:$F$48,5,FALSE)</f>
        <v>轻坦弹夹</v>
      </c>
      <c r="W20" s="29" t="str">
        <f>VLOOKUP(U20,坦克个性化细分!$I$3:$J$33,2,FALSE)</f>
        <v>高</v>
      </c>
      <c r="X20" s="2" t="str">
        <f t="shared" si="16"/>
        <v>初始</v>
      </c>
      <c r="Y20" s="2" t="str">
        <f>VLOOKUP(VLOOKUP(U20,坦克个性化设定!$B$18:$F$48,4,FALSE)&amp;W20,坦克等级成长!$P$12:$U$24,MATCH(X20,坦克等级成长!$P$12:$U$12,0),FALSE)</f>
        <v>T4高4</v>
      </c>
      <c r="Z20" s="42">
        <f ca="1">VLOOKUP($Y20,INDIRECT($V20&amp;"_阶段属性"),MATCH(Z$3,属性标头_阶段属性,0),FALSE)*VLOOKUP($U20,坦克个性化设定!$B$84:$D$114,2,FALSE)</f>
        <v>1787.4041552661115</v>
      </c>
      <c r="AA20" s="42">
        <f ca="1">VLOOKUP($Y20,INDIRECT($V20&amp;"_阶段属性"),MATCH(AA$3,属性标头_阶段属性,0),FALSE)*VLOOKUP($U20,坦克个性化设定!$B$84:$D$114,3,FALSE)</f>
        <v>114.57944068402992</v>
      </c>
      <c r="AB20" s="2">
        <f t="shared" ca="1" si="4"/>
        <v>657</v>
      </c>
      <c r="AC20" s="2">
        <f t="shared" ca="1" si="4"/>
        <v>263</v>
      </c>
      <c r="AD20" s="2">
        <f t="shared" ca="1" si="4"/>
        <v>600</v>
      </c>
      <c r="AE20" s="2">
        <f t="shared" ca="1" si="4"/>
        <v>160</v>
      </c>
      <c r="AF20" s="25"/>
      <c r="AH20" s="2">
        <v>17</v>
      </c>
      <c r="AI20" s="2" t="str">
        <f t="shared" si="5"/>
        <v>M-48</v>
      </c>
      <c r="AJ20" s="2">
        <f>VLOOKUP($AI20,坦克个性化细分!$I$3:$P$33,MATCH(AJ$3,坦克个性化细分!$I$3:$P$3,0),FALSE)</f>
        <v>44.5</v>
      </c>
      <c r="AK20" s="2">
        <f>VLOOKUP($AI20,坦克个性化细分!$I$3:$P$33,MATCH(AK$3,坦克个性化细分!$I$3:$P$3,0),FALSE)</f>
        <v>40</v>
      </c>
      <c r="AL20" s="2">
        <f>VLOOKUP($AI20,坦克个性化细分!$I$3:$P$33,MATCH(AL$3,坦克个性化细分!$I$3:$P$3,0),FALSE)</f>
        <v>8</v>
      </c>
      <c r="AM20" s="34">
        <f>VLOOKUP(AI20,坦克个性化细分!$AA$3:$AP$33,MATCH("射击偏移角",坦克个性化细分!$AA$3:$AP$3,0),FALSE)/VLOOKUP(AI20,坦克个性化细分!$AA$3:$AP$33,MATCH("原瞄准速度",坦克个性化细分!$AA$3:$AP$3,0),FALSE)</f>
        <v>1.36</v>
      </c>
      <c r="AN20" s="34">
        <f>VLOOKUP(AI20,坦克个性化细分!$AA$3:$AP$33,MATCH(AN$3,坦克个性化细分!$AA$3:$AP$3,0),FALSE)</f>
        <v>0.32</v>
      </c>
      <c r="AO20" s="2">
        <f>VLOOKUP(AI20,坦克个性化细分!$AA$3:$AP$33,MATCH("原换弹时间",坦克个性化细分!$AA$3:$AP$3,0),FALSE)</f>
        <v>2.4</v>
      </c>
      <c r="AP20" s="132"/>
      <c r="AQ20" s="2">
        <v>17</v>
      </c>
      <c r="AR20" s="2" t="str">
        <f t="shared" si="6"/>
        <v>M-48</v>
      </c>
      <c r="AS20" s="2" t="s">
        <v>80</v>
      </c>
      <c r="AT20" s="34">
        <f>VLOOKUP(AR20,坦克个性化细分!$I$3:$P$33,MATCH("养成区间1",坦克个性化细分!$I$3:$P$3,0),FALSE)</f>
        <v>11.124999999999998</v>
      </c>
      <c r="AU20" s="2">
        <f>VLOOKUP(AR20,坦克个性化细分!$I$3:$P$33,MATCH("养成区间2",坦克个性化细分!$I$3:$P$3,0),FALSE)</f>
        <v>9.9999999999999982</v>
      </c>
      <c r="AV20" s="2">
        <f>VLOOKUP(AR20,坦克个性化细分!$I$3:$P$33,MATCH("养成区间3",坦克个性化细分!$I$3:$P$3,0),FALSE)</f>
        <v>0</v>
      </c>
      <c r="AW20" s="34">
        <f>VLOOKUP(AR20,坦克个性化细分!$AA$3:$AP$33,MATCH("瞄准区间",坦克个性化细分!$AA$3:$AP$3,0),FALSE)</f>
        <v>0.22666666666666657</v>
      </c>
      <c r="AX20" s="34">
        <f>VLOOKUP(AI20,坦克个性化细分!$AA$3:$AP$33,MATCH("后射击间隔",坦克个性化细分!$AA$3:$AP$3,0),FALSE)-VLOOKUP(AI20,坦克个性化细分!$AA$3:$AP$33,MATCH(AN$3,坦克个性化细分!$AA$3:$AP$3,0),FALSE)</f>
        <v>0.43</v>
      </c>
      <c r="AY20" s="34">
        <f>VLOOKUP(AR20,坦克个性化细分!$AA$3:$AP$33,MATCH("换弹区间",坦克个性化细分!$AA$3:$AP$3,0),FALSE)</f>
        <v>0.37639123102866767</v>
      </c>
      <c r="AZ20" s="132"/>
      <c r="BA20" s="34">
        <f t="shared" si="8"/>
        <v>0.24999999999999997</v>
      </c>
      <c r="BB20" s="34">
        <f t="shared" si="9"/>
        <v>0.24999999999999994</v>
      </c>
      <c r="BC20" s="34">
        <f t="shared" si="10"/>
        <v>0</v>
      </c>
      <c r="BD20" s="34">
        <f t="shared" si="11"/>
        <v>0.16666666666666657</v>
      </c>
      <c r="BE20" s="34">
        <f t="shared" si="12"/>
        <v>0.15682967959527822</v>
      </c>
      <c r="BF20" s="34"/>
      <c r="BG20" s="132"/>
      <c r="BH20" s="2" t="str">
        <f t="shared" si="13"/>
        <v>Puma2</v>
      </c>
      <c r="BI20" s="2">
        <f>IF(BL19&gt;=VLOOKUP(VLOOKUP(BJ19,坦克个性化设定!$B$18:$E$48,4,FALSE)&amp;BK19,坦克属性分配比例,MATCH("升星次数",坦克属性分配比例标头,0),FALSE),BI19+1,BI19)</f>
        <v>3</v>
      </c>
      <c r="BJ20" s="2" t="str">
        <f t="shared" si="14"/>
        <v>Puma</v>
      </c>
      <c r="BK20" s="29" t="str">
        <f>VLOOKUP(BJ20,坦克个性化细分!$I$3:$J$33,2,FALSE)</f>
        <v>中</v>
      </c>
      <c r="BL20" s="2">
        <f t="shared" si="7"/>
        <v>2</v>
      </c>
      <c r="BM20" s="103">
        <f ca="1">ROUND(VLOOKUP($BJ20&amp;"初始",$S$3:$AE$63,MATCH(BM$3,$S$3:$AE$3,0),FALSE)+((VLOOKUP($BJ20&amp;"最终",$S$3:$AE$63,MATCH(BM$3,$S$3:$AE$3,0),FALSE)*坦克个性化细分!$C$9-VLOOKUP($BJ20&amp;"初始",$S$3:$AE$63,MATCH(BM$3,$S$3:$AE$3,0),FALSE))-(VLOOKUP($BJ20&amp;"最终",$S$3:$AE$63,MATCH(BM$3,$S$3:$AE$3,0),FALSE)-VLOOKUP($BJ20&amp;"初始",$S$3:$AE$63,MATCH(BM$3,$S$3:$AE$3,0),FALSE))*VLOOKUP(VLOOKUP($BJ20,坦克个性化设定!$B$18:$E$48,4,FALSE)&amp;$BK20,坦克属性分配比例,MATCH("部件比例",坦克属性分配比例标头,0),FALSE))*$BL20/VLOOKUP(VLOOKUP($BJ20,坦克个性化设定!$B$18:$E$48,4,FALSE)&amp;$BK20,坦克属性分配比例,MATCH("升星次数",坦克属性分配比例标头,0),FALSE),0)</f>
        <v>1205</v>
      </c>
      <c r="BN20" s="103">
        <f ca="1">ROUND(VLOOKUP($BJ20&amp;"初始",$S$3:$AE$63,MATCH(BN$3,$S$3:$AE$3,0),FALSE)+(VLOOKUP($BJ20&amp;"最终",$S$3:$AE$63,MATCH(BN$3,$S$3:$AE$3,0),FALSE)-VLOOKUP($BJ20&amp;"初始",$S$3:$AE$63,MATCH(BN$3,$S$3:$AE$3,0),FALSE))*$BL20/VLOOKUP(VLOOKUP($BJ20,坦克个性化设定!$B$18:$E$48,4,FALSE)&amp;$BK20,坦克属性分配比例,MATCH("升星次数",坦克属性分配比例标头,0),FALSE)*VLOOKUP(VLOOKUP($BJ20,坦克个性化设定!$B$18:$E$48,4,FALSE)&amp;$BK20,坦克属性分配比例,MATCH("升星比例",坦克属性分配比例标头,0),FALSE),0)</f>
        <v>94</v>
      </c>
      <c r="BO20" s="103">
        <f ca="1">ROUND(VLOOKUP($BJ20&amp;"初始",$S$3:$AE$63,MATCH(BO$3,$S$3:$AE$3,0),FALSE)+(VLOOKUP($BJ20&amp;"最终",$S$3:$AE$63,MATCH(BO$3,$S$3:$AE$3,0),FALSE)-VLOOKUP($BJ20&amp;"初始",$S$3:$AE$63,MATCH(BO$3,$S$3:$AE$3,0),FALSE))*$BL20/VLOOKUP(VLOOKUP($BJ20,坦克个性化设定!$B$18:$E$48,4,FALSE)&amp;$BK20,坦克属性分配比例,MATCH("升星次数",坦克属性分配比例标头,0),FALSE)*(VLOOKUP(VLOOKUP($BJ20,坦克个性化设定!$B$18:$E$48,4,FALSE)&amp;$BK20,坦克属性分配比例,MATCH("升星比例",坦克属性分配比例标头,0),FALSE)+VLOOKUP(VLOOKUP($BJ20,坦克个性化设定!$B$18:$E$48,4,FALSE)&amp;$BK20,坦克属性分配比例,MATCH("部件比例",坦克属性分配比例标头,0),FALSE)*$C$3),0)</f>
        <v>444</v>
      </c>
      <c r="BP20" s="103">
        <f ca="1">ROUND(VLOOKUP($BJ20&amp;"初始",$S$3:$AE$63,MATCH(BP$3,$S$3:$AE$3,0),FALSE)+(VLOOKUP($BJ20&amp;"最终",$S$3:$AE$63,MATCH(BP$3,$S$3:$AE$3,0),FALSE)-VLOOKUP($BJ20&amp;"初始",$S$3:$AE$63,MATCH(BP$3,$S$3:$AE$3,0),FALSE))*$BL20/VLOOKUP(VLOOKUP($BJ20,坦克个性化设定!$B$18:$E$48,4,FALSE)&amp;$BK20,坦克属性分配比例,MATCH("升星次数",坦克属性分配比例标头,0),FALSE)*(VLOOKUP(VLOOKUP($BJ20,坦克个性化设定!$B$18:$E$48,4,FALSE)&amp;$BK20,坦克属性分配比例,MATCH("升星比例",坦克属性分配比例标头,0),FALSE)+VLOOKUP(VLOOKUP($BJ20,坦克个性化设定!$B$18:$E$48,4,FALSE)&amp;$BK20,坦克属性分配比例,MATCH("部件比例",坦克属性分配比例标头,0),FALSE)*$C$3),0)</f>
        <v>177</v>
      </c>
      <c r="BQ20" s="103">
        <f ca="1">ROUND(VLOOKUP($BJ20&amp;"初始",$S$3:$AE$63,MATCH(BQ$3,$S$3:$AE$3,0),FALSE)+(VLOOKUP($BJ20&amp;"最终",$S$3:$AE$63,MATCH(BQ$3,$S$3:$AE$3,0),FALSE)-VLOOKUP($BJ20&amp;"初始",$S$3:$AE$63,MATCH(BQ$3,$S$3:$AE$3,0),FALSE))*$BL20/VLOOKUP(VLOOKUP($BJ20,坦克个性化设定!$B$18:$E$48,4,FALSE)&amp;$BK20,坦克属性分配比例,MATCH("升星次数",坦克属性分配比例标头,0),FALSE)*VLOOKUP(VLOOKUP($BJ20,坦克个性化设定!$B$18:$E$48,4,FALSE)&amp;$BK20,坦克属性分配比例,MATCH("升星比例",坦克属性分配比例标头,0),FALSE),0)</f>
        <v>396</v>
      </c>
      <c r="BR20" s="2">
        <f ca="1">ROUND(VLOOKUP($BJ20&amp;"初始",$S$3:$AE$63,MATCH(BR$3,$S$3:$AE$3,0),FALSE)+(VLOOKUP($BJ20&amp;"最终",$S$3:$AE$63,MATCH(BR$3,$S$3:$AE$3,0),FALSE)-VLOOKUP($BJ20&amp;"初始",$S$3:$AE$63,MATCH(BR$3,$S$3:$AE$3,0),FALSE))*$BL20/VLOOKUP(VLOOKUP($BJ20,坦克个性化设定!$B$18:$E$48,4,FALSE)&amp;$BK20,坦克属性分配比例,MATCH("升星次数",坦克属性分配比例标头,0),FALSE),0)</f>
        <v>110</v>
      </c>
      <c r="BS20" s="2">
        <f>ROUND(VLOOKUP($BJ20,$AI$3:$AO$33,MATCH(BS$3,$AI$3:$AO$3,0),FALSE)+$BL20/VLOOKUP(VLOOKUP($BJ20,坦克个性化设定!$B$18:$E$48,4,FALSE)&amp;$BK20,坦克属性分配比例,MATCH("升星次数",坦克属性分配比例标头,0),FALSE)*VLOOKUP($BJ20,$AR$3:$AY$33,MATCH(BS$3,$AR$3:$AY$3,0),FALSE),1)</f>
        <v>46.4</v>
      </c>
      <c r="BT20" s="2">
        <f>ROUND(VLOOKUP($BJ20,$AI$3:$AO$33,MATCH(BT$3,$AI$3:$AO$3,0),FALSE)+$BL20/VLOOKUP(VLOOKUP($BJ20,坦克个性化设定!$B$18:$E$48,4,FALSE)&amp;$BK20,坦克属性分配比例,MATCH("升星次数",坦克属性分配比例标头,0),FALSE)*VLOOKUP($BJ20,$AR$3:$AY$33,MATCH(BT$3,$AR$3:$AY$3,0),FALSE),1)</f>
        <v>54.6</v>
      </c>
      <c r="BU20" s="2">
        <f>ROUND(VLOOKUP($BJ20,$AI$3:$AO$33,MATCH(BU$3,$AI$3:$AO$3,0),FALSE)+$BL20/VLOOKUP(VLOOKUP($BJ20,坦克个性化设定!$B$18:$E$48,4,FALSE)&amp;$BK20,坦克属性分配比例,MATCH("升星次数",坦克属性分配比例标头,0),FALSE)*VLOOKUP($BJ20,$AR$3:$AY$33,MATCH(BU$3,$AR$3:$AY$3,0),FALSE),1)</f>
        <v>10.199999999999999</v>
      </c>
      <c r="BV20" s="2">
        <f>IF(VLOOKUP(BJ20,坦克个性化设定!$B$18:$BC$48,MATCH("装弹类型",坦克个性化设定!$B$18:$BC$18,0),FALSE)="弹夹换弹",0,ROUND(VLOOKUP($BJ20,$AI$3:$AO$33,MATCH("换弹时间",$AI$3:$AO$3,0),FALSE)-$BL20/VLOOKUP(VLOOKUP($BJ20,坦克个性化设定!$B$18:$E$48,4,FALSE)&amp;$BK20,坦克属性分配比例,MATCH("升星次数",坦克属性分配比例标头,0),FALSE)*VLOOKUP($BJ20,$AR$3:$AY$33,MATCH("换弹时间",$AR$3:$AY$3,0),FALSE),2))</f>
        <v>0</v>
      </c>
      <c r="BW20" s="2">
        <f>IF(VLOOKUP(BJ20,坦克个性化设定!$B$18:$BC$48,MATCH("装弹类型",坦克个性化设定!$B$18:$BC$18,0),FALSE)="弹夹换弹",ROUND(VLOOKUP($BJ20,$AI$3:$AO$33,MATCH("换弹时间",$AI$3:$AO$3,0),FALSE)-$BL20/VLOOKUP(VLOOKUP($BJ20,坦克个性化设定!$B$18:$E$48,4,FALSE)&amp;$BK20,坦克属性分配比例,MATCH("升星次数",坦克属性分配比例标头,0),FALSE)*VLOOKUP($BJ20,$AR$3:$AY$33,MATCH("换弹时间",$AR$3:$AY$3,0),FALSE),1),0)</f>
        <v>4.2</v>
      </c>
      <c r="BX20" s="2">
        <f>ROUND(VLOOKUP($BJ20,$AI$3:$AO$33,MATCH(BX$3,$AI$3:$AO$3,0),FALSE)+$BL20/VLOOKUP(VLOOKUP($BJ20,坦克个性化设定!$B$18:$E$48,4,FALSE)&amp;$BK20,坦克属性分配比例,MATCH("升星次数",坦克属性分配比例标头,0),FALSE)*VLOOKUP($BJ20,$AR$3:$AY$33,MATCH(BX$3,$AR$3:$AY$3,0),FALSE),2)</f>
        <v>0.8</v>
      </c>
      <c r="BY20" s="2">
        <f>ROUND(VLOOKUP($BJ20,$AI$3:$AO$33,MATCH(BY$3,$AI$3:$AO$3,0),FALSE)-$BL20/VLOOKUP(VLOOKUP($BJ20,坦克个性化设定!$B$18:$E$48,4,FALSE)&amp;$BK20,坦克属性分配比例,MATCH("升星次数",坦克属性分配比例标头,0),FALSE)*VLOOKUP($BJ20,$AR$3:$AY$33,MATCH(BY$3,$AR$3:$AY$3,0),FALSE),2)</f>
        <v>0.49</v>
      </c>
      <c r="CA20" s="2">
        <v>17</v>
      </c>
      <c r="CB20" s="2" t="str">
        <f t="shared" si="15"/>
        <v>M-48</v>
      </c>
      <c r="CC20" s="2" t="str">
        <f>VLOOKUP(CB20,坦克个性化设定!$B$18:$F$48,5,FALSE)</f>
        <v>中坦自动</v>
      </c>
      <c r="CD20" s="29" t="str">
        <f>VLOOKUP(CB20,坦克个性化细分!$I$3:$J$33,2,FALSE)</f>
        <v>低</v>
      </c>
      <c r="CE20" s="42" t="e">
        <f ca="1">(VLOOKUP($CB20&amp;"最终",$S$3:$AE$63,MATCH(CE$3,$S$3:$AE$3,0),FALSE)-VLOOKUP($CB20&amp;"初始",$S$3:$AE$63,MATCH(CE$3,$S$3:$AE$3,0),FALSE))*VLOOKUP(VLOOKUP($CB20,坦克个性化设定!$B$18:$E$48,4,FALSE)&amp;$CD20,坦克属性分配比例,MATCH("部件比例",坦克属性分配比例标头,0),FALSE)</f>
        <v>#N/A</v>
      </c>
      <c r="CF20" s="42" t="e">
        <f ca="1">(VLOOKUP($CB20&amp;"最终",$S$3:$AE$63,MATCH(CF$3,$S$3:$AE$3,0),FALSE)-VLOOKUP($CB20&amp;"初始",$S$3:$AE$63,MATCH(CF$3,$S$3:$AE$3,0),FALSE))*VLOOKUP(VLOOKUP($CB20,坦克个性化设定!$B$18:$E$48,4,FALSE)&amp;$CD20,坦克属性分配比例,MATCH("部件比例",坦克属性分配比例标头,0),FALSE)</f>
        <v>#N/A</v>
      </c>
      <c r="CG20" s="42" t="e">
        <f ca="1">(VLOOKUP($CB20&amp;"最终",$S$3:$AE$63,MATCH(CG$3,$S$3:$AE$3,0),FALSE)-VLOOKUP($CB20&amp;"初始",$S$3:$AE$63,MATCH(CG$3,$S$3:$AE$3,0),FALSE))*VLOOKUP(VLOOKUP($CB20,坦克个性化设定!$B$18:$E$48,4,FALSE)&amp;$CD20,坦克属性分配比例,MATCH("部件比例",坦克属性分配比例标头,0),FALSE)*(1-$C$3)</f>
        <v>#N/A</v>
      </c>
      <c r="CH20" s="42" t="e">
        <f ca="1">(VLOOKUP($CB20&amp;"最终",$S$3:$AE$63,MATCH(CH$3,$S$3:$AE$3,0),FALSE)-VLOOKUP($CB20&amp;"初始",$S$3:$AE$63,MATCH(CH$3,$S$3:$AE$3,0),FALSE))*VLOOKUP(VLOOKUP($CB20,坦克个性化设定!$B$18:$E$48,4,FALSE)&amp;$CD20,坦克属性分配比例,MATCH("部件比例",坦克属性分配比例标头,0),FALSE)*(1-$C$3)</f>
        <v>#N/A</v>
      </c>
      <c r="CI20" s="42" t="e">
        <f ca="1">(VLOOKUP($CB20&amp;"最终",$S$3:$AE$63,MATCH(CI$3,$S$3:$AE$3,0),FALSE)-VLOOKUP($CB20&amp;"初始",$S$3:$AE$63,MATCH(CI$3,$S$3:$AE$3,0),FALSE))*VLOOKUP(VLOOKUP($CB20,坦克个性化设定!$B$18:$E$48,4,FALSE)&amp;$CD20,坦克属性分配比例,MATCH("部件比例",坦克属性分配比例标头,0),FALSE)</f>
        <v>#N/A</v>
      </c>
    </row>
    <row r="21" spans="2:87" x14ac:dyDescent="0.3">
      <c r="B21" s="2">
        <v>16</v>
      </c>
      <c r="C21" s="2" t="str">
        <f>坦克个性化设定!B34</f>
        <v>彗星</v>
      </c>
      <c r="D21" s="2">
        <v>2331</v>
      </c>
      <c r="E21" s="2" t="s">
        <v>633</v>
      </c>
      <c r="F21" s="2">
        <v>0</v>
      </c>
      <c r="G21" s="25" t="str">
        <f t="shared" si="17"/>
        <v>彗星</v>
      </c>
      <c r="H21" s="25"/>
      <c r="I21" s="25"/>
      <c r="J21" s="25"/>
      <c r="K21" s="25"/>
      <c r="L21" s="25"/>
      <c r="M21" s="25"/>
      <c r="N21" s="25"/>
      <c r="O21" s="25"/>
      <c r="P21" s="25"/>
      <c r="Q21" s="25"/>
      <c r="R21" s="25"/>
      <c r="S21" s="2" t="str">
        <f t="shared" si="2"/>
        <v>BMP-3最终</v>
      </c>
      <c r="T21" s="2">
        <f>IF(COUNTIF(U$4:U20,U20)&gt;=$B$3,T20+1,T20)</f>
        <v>9</v>
      </c>
      <c r="U21" s="2" t="str">
        <f t="shared" si="3"/>
        <v>BMP-3</v>
      </c>
      <c r="V21" s="2" t="str">
        <f>VLOOKUP(U21,坦克个性化设定!$B$18:$F$48,5,FALSE)</f>
        <v>轻坦弹夹</v>
      </c>
      <c r="W21" s="29" t="str">
        <f>VLOOKUP(U21,坦克个性化细分!$I$3:$J$33,2,FALSE)</f>
        <v>高</v>
      </c>
      <c r="X21" s="2" t="str">
        <f t="shared" si="16"/>
        <v>最终</v>
      </c>
      <c r="Y21" s="2" t="str">
        <f>VLOOKUP(VLOOKUP(U21,坦克个性化设定!$B$18:$F$48,4,FALSE)&amp;W21,坦克等级成长!$P$12:$U$24,MATCH(X21,坦克等级成长!$P$12:$U$12,0),FALSE)</f>
        <v>T4高7</v>
      </c>
      <c r="Z21" s="42" t="e">
        <f ca="1">VLOOKUP($Y21,INDIRECT($V21&amp;"_阶段属性"),MATCH(Z$3,属性标头_阶段属性,0),FALSE)*VLOOKUP($U21,坦克个性化设定!$B$84:$D$114,2,FALSE)</f>
        <v>#N/A</v>
      </c>
      <c r="AA21" s="42" t="e">
        <f ca="1">VLOOKUP($Y21,INDIRECT($V21&amp;"_阶段属性"),MATCH(AA$3,属性标头_阶段属性,0),FALSE)*VLOOKUP($U21,坦克个性化设定!$B$84:$D$114,3,FALSE)</f>
        <v>#N/A</v>
      </c>
      <c r="AB21" s="2" t="e">
        <f t="shared" ca="1" si="4"/>
        <v>#N/A</v>
      </c>
      <c r="AC21" s="2" t="e">
        <f t="shared" ca="1" si="4"/>
        <v>#N/A</v>
      </c>
      <c r="AD21" s="2" t="e">
        <f t="shared" ca="1" si="4"/>
        <v>#N/A</v>
      </c>
      <c r="AE21" s="2" t="e">
        <f t="shared" ca="1" si="4"/>
        <v>#N/A</v>
      </c>
      <c r="AF21" s="25"/>
      <c r="AH21" s="2">
        <v>18</v>
      </c>
      <c r="AI21" s="2" t="str">
        <f t="shared" si="5"/>
        <v>潘兴</v>
      </c>
      <c r="AJ21" s="2">
        <f>VLOOKUP($AI21,坦克个性化细分!$I$3:$P$33,MATCH(AJ$3,坦克个性化细分!$I$3:$P$3,0),FALSE)</f>
        <v>36.299999999999997</v>
      </c>
      <c r="AK21" s="2">
        <f>VLOOKUP($AI21,坦克个性化细分!$I$3:$P$33,MATCH(AK$3,坦克个性化细分!$I$3:$P$3,0),FALSE)</f>
        <v>51</v>
      </c>
      <c r="AL21" s="2">
        <f>VLOOKUP($AI21,坦克个性化细分!$I$3:$P$33,MATCH(AL$3,坦克个性化细分!$I$3:$P$3,0),FALSE)</f>
        <v>7.3</v>
      </c>
      <c r="AM21" s="34">
        <f>VLOOKUP(AI21,坦克个性化细分!$AA$3:$AP$33,MATCH("射击偏移角",坦克个性化细分!$AA$3:$AP$3,0),FALSE)/VLOOKUP(AI21,坦克个性化细分!$AA$3:$AP$33,MATCH("原瞄准速度",坦克个性化细分!$AA$3:$AP$3,0),FALSE)</f>
        <v>1</v>
      </c>
      <c r="AN21" s="34">
        <f>VLOOKUP(AI21,坦克个性化细分!$AA$3:$AP$33,MATCH(AN$3,坦克个性化细分!$AA$3:$AP$3,0),FALSE)</f>
        <v>0.4</v>
      </c>
      <c r="AO21" s="2">
        <f>VLOOKUP(AI21,坦克个性化细分!$AA$3:$AP$33,MATCH("原换弹时间",坦克个性化细分!$AA$3:$AP$3,0),FALSE)</f>
        <v>3.6</v>
      </c>
      <c r="AP21" s="132"/>
      <c r="AQ21" s="2">
        <v>18</v>
      </c>
      <c r="AR21" s="2" t="str">
        <f t="shared" si="6"/>
        <v>潘兴</v>
      </c>
      <c r="AS21" s="2" t="s">
        <v>860</v>
      </c>
      <c r="AT21" s="34">
        <f>VLOOKUP(AR21,坦克个性化细分!$I$3:$P$33,MATCH("养成区间1",坦克个性化细分!$I$3:$P$3,0),FALSE)</f>
        <v>9.0749999999999957</v>
      </c>
      <c r="AU21" s="2">
        <f>VLOOKUP(AR21,坦克个性化细分!$I$3:$P$33,MATCH("养成区间2",坦克个性化细分!$I$3:$P$3,0),FALSE)</f>
        <v>12.749999999999996</v>
      </c>
      <c r="AV21" s="2">
        <f>VLOOKUP(AR21,坦克个性化细分!$I$3:$P$33,MATCH("养成区间3",坦克个性化细分!$I$3:$P$3,0),FALSE)</f>
        <v>0</v>
      </c>
      <c r="AW21" s="34">
        <f>VLOOKUP(AR21,坦克个性化细分!$AA$3:$AP$33,MATCH("瞄准区间",坦克个性化细分!$AA$3:$AP$3,0),FALSE)</f>
        <v>0.16666666666666663</v>
      </c>
      <c r="AX21" s="34">
        <f>VLOOKUP(AI21,坦克个性化细分!$AA$3:$AP$33,MATCH("后射击间隔",坦克个性化细分!$AA$3:$AP$3,0),FALSE)-VLOOKUP(AI21,坦克个性化细分!$AA$3:$AP$33,MATCH(AN$3,坦克个性化细分!$AA$3:$AP$3,0),FALSE)</f>
        <v>0</v>
      </c>
      <c r="AY21" s="34">
        <f>VLOOKUP(AR21,坦克个性化细分!$AA$3:$AP$33,MATCH("换弹区间",坦克个性化细分!$AA$3:$AP$3,0),FALSE)</f>
        <v>0.69677419354838666</v>
      </c>
      <c r="AZ21" s="132"/>
      <c r="BA21" s="34">
        <f t="shared" si="8"/>
        <v>0.24999999999999989</v>
      </c>
      <c r="BB21" s="34">
        <f t="shared" si="9"/>
        <v>0.24999999999999992</v>
      </c>
      <c r="BC21" s="34">
        <f t="shared" si="10"/>
        <v>0</v>
      </c>
      <c r="BD21" s="34">
        <f t="shared" si="11"/>
        <v>0.16666666666666663</v>
      </c>
      <c r="BE21" s="34">
        <f t="shared" si="12"/>
        <v>0.19354838709677408</v>
      </c>
      <c r="BF21" s="34"/>
      <c r="BG21" s="132"/>
      <c r="BH21" s="2" t="str">
        <f t="shared" si="13"/>
        <v>Puma3</v>
      </c>
      <c r="BI21" s="2">
        <f>IF(BL20&gt;=VLOOKUP(VLOOKUP(BJ20,坦克个性化设定!$B$18:$E$48,4,FALSE)&amp;BK20,坦克属性分配比例,MATCH("升星次数",坦克属性分配比例标头,0),FALSE),BI20+1,BI20)</f>
        <v>3</v>
      </c>
      <c r="BJ21" s="2" t="str">
        <f t="shared" si="14"/>
        <v>Puma</v>
      </c>
      <c r="BK21" s="29" t="str">
        <f>VLOOKUP(BJ21,坦克个性化细分!$I$3:$J$33,2,FALSE)</f>
        <v>中</v>
      </c>
      <c r="BL21" s="2">
        <f t="shared" si="7"/>
        <v>3</v>
      </c>
      <c r="BM21" s="103">
        <f ca="1">ROUND(VLOOKUP($BJ21&amp;"初始",$S$3:$AE$63,MATCH(BM$3,$S$3:$AE$3,0),FALSE)+((VLOOKUP($BJ21&amp;"最终",$S$3:$AE$63,MATCH(BM$3,$S$3:$AE$3,0),FALSE)*坦克个性化细分!$C$9-VLOOKUP($BJ21&amp;"初始",$S$3:$AE$63,MATCH(BM$3,$S$3:$AE$3,0),FALSE))-(VLOOKUP($BJ21&amp;"最终",$S$3:$AE$63,MATCH(BM$3,$S$3:$AE$3,0),FALSE)-VLOOKUP($BJ21&amp;"初始",$S$3:$AE$63,MATCH(BM$3,$S$3:$AE$3,0),FALSE))*VLOOKUP(VLOOKUP($BJ21,坦克个性化设定!$B$18:$E$48,4,FALSE)&amp;$BK21,坦克属性分配比例,MATCH("部件比例",坦克属性分配比例标头,0),FALSE))*$BL21/VLOOKUP(VLOOKUP($BJ21,坦克个性化设定!$B$18:$E$48,4,FALSE)&amp;$BK21,坦克属性分配比例,MATCH("升星次数",坦克属性分配比例标头,0),FALSE),0)</f>
        <v>1281</v>
      </c>
      <c r="BN21" s="103">
        <f ca="1">ROUND(VLOOKUP($BJ21&amp;"初始",$S$3:$AE$63,MATCH(BN$3,$S$3:$AE$3,0),FALSE)+(VLOOKUP($BJ21&amp;"最终",$S$3:$AE$63,MATCH(BN$3,$S$3:$AE$3,0),FALSE)-VLOOKUP($BJ21&amp;"初始",$S$3:$AE$63,MATCH(BN$3,$S$3:$AE$3,0),FALSE))*$BL21/VLOOKUP(VLOOKUP($BJ21,坦克个性化设定!$B$18:$E$48,4,FALSE)&amp;$BK21,坦克属性分配比例,MATCH("升星次数",坦克属性分配比例标头,0),FALSE)*VLOOKUP(VLOOKUP($BJ21,坦克个性化设定!$B$18:$E$48,4,FALSE)&amp;$BK21,坦克属性分配比例,MATCH("升星比例",坦克属性分配比例标头,0),FALSE),0)</f>
        <v>98</v>
      </c>
      <c r="BO21" s="103">
        <f ca="1">ROUND(VLOOKUP($BJ21&amp;"初始",$S$3:$AE$63,MATCH(BO$3,$S$3:$AE$3,0),FALSE)+(VLOOKUP($BJ21&amp;"最终",$S$3:$AE$63,MATCH(BO$3,$S$3:$AE$3,0),FALSE)-VLOOKUP($BJ21&amp;"初始",$S$3:$AE$63,MATCH(BO$3,$S$3:$AE$3,0),FALSE))*$BL21/VLOOKUP(VLOOKUP($BJ21,坦克个性化设定!$B$18:$E$48,4,FALSE)&amp;$BK21,坦克属性分配比例,MATCH("升星次数",坦克属性分配比例标头,0),FALSE)*(VLOOKUP(VLOOKUP($BJ21,坦克个性化设定!$B$18:$E$48,4,FALSE)&amp;$BK21,坦克属性分配比例,MATCH("升星比例",坦克属性分配比例标头,0),FALSE)+VLOOKUP(VLOOKUP($BJ21,坦克个性化设定!$B$18:$E$48,4,FALSE)&amp;$BK21,坦克属性分配比例,MATCH("部件比例",坦克属性分配比例标头,0),FALSE)*$C$3),0)</f>
        <v>466</v>
      </c>
      <c r="BP21" s="103">
        <f ca="1">ROUND(VLOOKUP($BJ21&amp;"初始",$S$3:$AE$63,MATCH(BP$3,$S$3:$AE$3,0),FALSE)+(VLOOKUP($BJ21&amp;"最终",$S$3:$AE$63,MATCH(BP$3,$S$3:$AE$3,0),FALSE)-VLOOKUP($BJ21&amp;"初始",$S$3:$AE$63,MATCH(BP$3,$S$3:$AE$3,0),FALSE))*$BL21/VLOOKUP(VLOOKUP($BJ21,坦克个性化设定!$B$18:$E$48,4,FALSE)&amp;$BK21,坦克属性分配比例,MATCH("升星次数",坦克属性分配比例标头,0),FALSE)*(VLOOKUP(VLOOKUP($BJ21,坦克个性化设定!$B$18:$E$48,4,FALSE)&amp;$BK21,坦克属性分配比例,MATCH("升星比例",坦克属性分配比例标头,0),FALSE)+VLOOKUP(VLOOKUP($BJ21,坦克个性化设定!$B$18:$E$48,4,FALSE)&amp;$BK21,坦克属性分配比例,MATCH("部件比例",坦克属性分配比例标头,0),FALSE)*$C$3),0)</f>
        <v>186</v>
      </c>
      <c r="BQ21" s="103">
        <f ca="1">ROUND(VLOOKUP($BJ21&amp;"初始",$S$3:$AE$63,MATCH(BQ$3,$S$3:$AE$3,0),FALSE)+(VLOOKUP($BJ21&amp;"最终",$S$3:$AE$63,MATCH(BQ$3,$S$3:$AE$3,0),FALSE)-VLOOKUP($BJ21&amp;"初始",$S$3:$AE$63,MATCH(BQ$3,$S$3:$AE$3,0),FALSE))*$BL21/VLOOKUP(VLOOKUP($BJ21,坦克个性化设定!$B$18:$E$48,4,FALSE)&amp;$BK21,坦克属性分配比例,MATCH("升星次数",坦克属性分配比例标头,0),FALSE)*VLOOKUP(VLOOKUP($BJ21,坦克个性化设定!$B$18:$E$48,4,FALSE)&amp;$BK21,坦克属性分配比例,MATCH("升星比例",坦克属性分配比例标头,0),FALSE),0)</f>
        <v>411</v>
      </c>
      <c r="BR21" s="2">
        <f ca="1">ROUND(VLOOKUP($BJ21&amp;"初始",$S$3:$AE$63,MATCH(BR$3,$S$3:$AE$3,0),FALSE)+(VLOOKUP($BJ21&amp;"最终",$S$3:$AE$63,MATCH(BR$3,$S$3:$AE$3,0),FALSE)-VLOOKUP($BJ21&amp;"初始",$S$3:$AE$63,MATCH(BR$3,$S$3:$AE$3,0),FALSE))*$BL21/VLOOKUP(VLOOKUP($BJ21,坦克个性化设定!$B$18:$E$48,4,FALSE)&amp;$BK21,坦克属性分配比例,MATCH("升星次数",坦克属性分配比例标头,0),FALSE),0)</f>
        <v>116</v>
      </c>
      <c r="BS21" s="2">
        <f>ROUND(VLOOKUP($BJ21,$AI$3:$AO$33,MATCH(BS$3,$AI$3:$AO$3,0),FALSE)+$BL21/VLOOKUP(VLOOKUP($BJ21,坦克个性化设定!$B$18:$E$48,4,FALSE)&amp;$BK21,坦克属性分配比例,MATCH("升星次数",坦克属性分配比例标头,0),FALSE)*VLOOKUP($BJ21,$AR$3:$AY$33,MATCH(BS$3,$AR$3:$AY$3,0),FALSE),1)</f>
        <v>47.9</v>
      </c>
      <c r="BT21" s="2">
        <f>ROUND(VLOOKUP($BJ21,$AI$3:$AO$33,MATCH(BT$3,$AI$3:$AO$3,0),FALSE)+$BL21/VLOOKUP(VLOOKUP($BJ21,坦克个性化设定!$B$18:$E$48,4,FALSE)&amp;$BK21,坦克属性分配比例,MATCH("升星次数",坦克属性分配比例标头,0),FALSE)*VLOOKUP($BJ21,$AR$3:$AY$33,MATCH(BT$3,$AR$3:$AY$3,0),FALSE),1)</f>
        <v>56.5</v>
      </c>
      <c r="BU21" s="2">
        <f>ROUND(VLOOKUP($BJ21,$AI$3:$AO$33,MATCH(BU$3,$AI$3:$AO$3,0),FALSE)+$BL21/VLOOKUP(VLOOKUP($BJ21,坦克个性化设定!$B$18:$E$48,4,FALSE)&amp;$BK21,坦克属性分配比例,MATCH("升星次数",坦克属性分配比例标头,0),FALSE)*VLOOKUP($BJ21,$AR$3:$AY$33,MATCH(BU$3,$AR$3:$AY$3,0),FALSE),1)</f>
        <v>10.199999999999999</v>
      </c>
      <c r="BV21" s="2">
        <f>IF(VLOOKUP(BJ21,坦克个性化设定!$B$18:$BC$48,MATCH("装弹类型",坦克个性化设定!$B$18:$BC$18,0),FALSE)="弹夹换弹",0,ROUND(VLOOKUP($BJ21,$AI$3:$AO$33,MATCH("换弹时间",$AI$3:$AO$3,0),FALSE)-$BL21/VLOOKUP(VLOOKUP($BJ21,坦克个性化设定!$B$18:$E$48,4,FALSE)&amp;$BK21,坦克属性分配比例,MATCH("升星次数",坦克属性分配比例标头,0),FALSE)*VLOOKUP($BJ21,$AR$3:$AY$33,MATCH("换弹时间",$AR$3:$AY$3,0),FALSE),2))</f>
        <v>0</v>
      </c>
      <c r="BW21" s="2">
        <f>IF(VLOOKUP(BJ21,坦克个性化设定!$B$18:$BC$48,MATCH("装弹类型",坦克个性化设定!$B$18:$BC$18,0),FALSE)="弹夹换弹",ROUND(VLOOKUP($BJ21,$AI$3:$AO$33,MATCH("换弹时间",$AI$3:$AO$3,0),FALSE)-$BL21/VLOOKUP(VLOOKUP($BJ21,坦克个性化设定!$B$18:$E$48,4,FALSE)&amp;$BK21,坦克属性分配比例,MATCH("升星次数",坦克属性分配比例标头,0),FALSE)*VLOOKUP($BJ21,$AR$3:$AY$33,MATCH("换弹时间",$AR$3:$AY$3,0),FALSE),1),0)</f>
        <v>4</v>
      </c>
      <c r="BX21" s="2">
        <f>ROUND(VLOOKUP($BJ21,$AI$3:$AO$33,MATCH(BX$3,$AI$3:$AO$3,0),FALSE)+$BL21/VLOOKUP(VLOOKUP($BJ21,坦克个性化设定!$B$18:$E$48,4,FALSE)&amp;$BK21,坦克属性分配比例,MATCH("升星次数",坦克属性分配比例标头,0),FALSE)*VLOOKUP($BJ21,$AR$3:$AY$33,MATCH(BX$3,$AR$3:$AY$3,0),FALSE),2)</f>
        <v>0.8</v>
      </c>
      <c r="BY21" s="2">
        <f>ROUND(VLOOKUP($BJ21,$AI$3:$AO$33,MATCH(BY$3,$AI$3:$AO$3,0),FALSE)-$BL21/VLOOKUP(VLOOKUP($BJ21,坦克个性化设定!$B$18:$E$48,4,FALSE)&amp;$BK21,坦克属性分配比例,MATCH("升星次数",坦克属性分配比例标头,0),FALSE)*VLOOKUP($BJ21,$AR$3:$AY$33,MATCH(BY$3,$AR$3:$AY$3,0),FALSE),2)</f>
        <v>0.48</v>
      </c>
      <c r="CA21" s="2">
        <v>18</v>
      </c>
      <c r="CB21" s="2" t="str">
        <f t="shared" si="15"/>
        <v>潘兴</v>
      </c>
      <c r="CC21" s="2" t="str">
        <f>VLOOKUP(CB21,坦克个性化设定!$B$18:$F$48,5,FALSE)</f>
        <v>中坦自动</v>
      </c>
      <c r="CD21" s="29" t="str">
        <f>VLOOKUP(CB21,坦克个性化细分!$I$3:$J$33,2,FALSE)</f>
        <v>中</v>
      </c>
      <c r="CE21" s="42" t="e">
        <f ca="1">(VLOOKUP($CB21&amp;"最终",$S$3:$AE$63,MATCH(CE$3,$S$3:$AE$3,0),FALSE)-VLOOKUP($CB21&amp;"初始",$S$3:$AE$63,MATCH(CE$3,$S$3:$AE$3,0),FALSE))*VLOOKUP(VLOOKUP($CB21,坦克个性化设定!$B$18:$E$48,4,FALSE)&amp;$CD21,坦克属性分配比例,MATCH("部件比例",坦克属性分配比例标头,0),FALSE)</f>
        <v>#N/A</v>
      </c>
      <c r="CF21" s="42" t="e">
        <f ca="1">(VLOOKUP($CB21&amp;"最终",$S$3:$AE$63,MATCH(CF$3,$S$3:$AE$3,0),FALSE)-VLOOKUP($CB21&amp;"初始",$S$3:$AE$63,MATCH(CF$3,$S$3:$AE$3,0),FALSE))*VLOOKUP(VLOOKUP($CB21,坦克个性化设定!$B$18:$E$48,4,FALSE)&amp;$CD21,坦克属性分配比例,MATCH("部件比例",坦克属性分配比例标头,0),FALSE)</f>
        <v>#N/A</v>
      </c>
      <c r="CG21" s="42" t="e">
        <f ca="1">(VLOOKUP($CB21&amp;"最终",$S$3:$AE$63,MATCH(CG$3,$S$3:$AE$3,0),FALSE)-VLOOKUP($CB21&amp;"初始",$S$3:$AE$63,MATCH(CG$3,$S$3:$AE$3,0),FALSE))*VLOOKUP(VLOOKUP($CB21,坦克个性化设定!$B$18:$E$48,4,FALSE)&amp;$CD21,坦克属性分配比例,MATCH("部件比例",坦克属性分配比例标头,0),FALSE)*(1-$C$3)</f>
        <v>#N/A</v>
      </c>
      <c r="CH21" s="42" t="e">
        <f ca="1">(VLOOKUP($CB21&amp;"最终",$S$3:$AE$63,MATCH(CH$3,$S$3:$AE$3,0),FALSE)-VLOOKUP($CB21&amp;"初始",$S$3:$AE$63,MATCH(CH$3,$S$3:$AE$3,0),FALSE))*VLOOKUP(VLOOKUP($CB21,坦克个性化设定!$B$18:$E$48,4,FALSE)&amp;$CD21,坦克属性分配比例,MATCH("部件比例",坦克属性分配比例标头,0),FALSE)*(1-$C$3)</f>
        <v>#N/A</v>
      </c>
      <c r="CI21" s="42" t="e">
        <f ca="1">(VLOOKUP($CB21&amp;"最终",$S$3:$AE$63,MATCH(CI$3,$S$3:$AE$3,0),FALSE)-VLOOKUP($CB21&amp;"初始",$S$3:$AE$63,MATCH(CI$3,$S$3:$AE$3,0),FALSE))*VLOOKUP(VLOOKUP($CB21,坦克个性化设定!$B$18:$E$48,4,FALSE)&amp;$CD21,坦克属性分配比例,MATCH("部件比例",坦克属性分配比例标头,0),FALSE)</f>
        <v>#N/A</v>
      </c>
    </row>
    <row r="22" spans="2:87" x14ac:dyDescent="0.3">
      <c r="B22" s="2">
        <v>17</v>
      </c>
      <c r="C22" s="2" t="str">
        <f>坦克个性化设定!B35</f>
        <v>M-48</v>
      </c>
      <c r="D22" s="2">
        <v>2411</v>
      </c>
      <c r="E22" s="2" t="s">
        <v>635</v>
      </c>
      <c r="F22" s="2">
        <v>0</v>
      </c>
      <c r="G22" s="25" t="str">
        <f t="shared" si="17"/>
        <v>M-48</v>
      </c>
      <c r="H22" s="25"/>
      <c r="I22" s="25"/>
      <c r="J22" s="25"/>
      <c r="K22" s="25"/>
      <c r="L22" s="25"/>
      <c r="M22" s="25"/>
      <c r="N22" s="25"/>
      <c r="O22" s="25"/>
      <c r="P22" s="25"/>
      <c r="Q22" s="25"/>
      <c r="R22" s="25"/>
      <c r="S22" s="2" t="str">
        <f t="shared" si="2"/>
        <v>59式初始</v>
      </c>
      <c r="T22" s="2">
        <f>IF(COUNTIF(U$4:U21,U21)&gt;=$B$3,T21+1,T21)</f>
        <v>10</v>
      </c>
      <c r="U22" s="2" t="str">
        <f t="shared" si="3"/>
        <v>59式</v>
      </c>
      <c r="V22" s="2" t="str">
        <f>VLOOKUP(U22,坦克个性化设定!$B$18:$F$48,5,FALSE)</f>
        <v>轻坦弹夹</v>
      </c>
      <c r="W22" s="29" t="str">
        <f>VLOOKUP(U22,坦克个性化细分!$I$3:$J$33,2,FALSE)</f>
        <v>低</v>
      </c>
      <c r="X22" s="2" t="str">
        <f t="shared" si="16"/>
        <v>初始</v>
      </c>
      <c r="Y22" s="2" t="str">
        <f>VLOOKUP(VLOOKUP(U22,坦克个性化设定!$B$18:$F$48,4,FALSE)&amp;W22,坦克等级成长!$P$12:$U$24,MATCH(X22,坦克等级成长!$P$12:$U$12,0),FALSE)</f>
        <v>T5低5</v>
      </c>
      <c r="Z22" s="42">
        <f ca="1">VLOOKUP($Y22,INDIRECT($V22&amp;"_阶段属性"),MATCH(Z$3,属性标头_阶段属性,0),FALSE)*VLOOKUP($U22,坦克个性化设定!$B$84:$D$114,2,FALSE)</f>
        <v>2125.7393092806724</v>
      </c>
      <c r="AA22" s="42">
        <f ca="1">VLOOKUP($Y22,INDIRECT($V22&amp;"_阶段属性"),MATCH(AA$3,属性标头_阶段属性,0),FALSE)*VLOOKUP($U22,坦克个性化设定!$B$84:$D$114,3,FALSE)</f>
        <v>145.93233680695172</v>
      </c>
      <c r="AB22" s="2">
        <f t="shared" ca="1" si="4"/>
        <v>828</v>
      </c>
      <c r="AC22" s="2">
        <f t="shared" ca="1" si="4"/>
        <v>331</v>
      </c>
      <c r="AD22" s="2">
        <f t="shared" ca="1" si="4"/>
        <v>756</v>
      </c>
      <c r="AE22" s="2">
        <f t="shared" ca="1" si="4"/>
        <v>202</v>
      </c>
      <c r="AF22" s="25"/>
      <c r="AH22" s="2">
        <v>19</v>
      </c>
      <c r="AI22" s="2" t="str">
        <f t="shared" si="5"/>
        <v>百夫长</v>
      </c>
      <c r="AJ22" s="2">
        <f>VLOOKUP($AI22,坦克个性化细分!$I$3:$P$33,MATCH(AJ$3,坦克个性化细分!$I$3:$P$3,0),FALSE)</f>
        <v>46.7</v>
      </c>
      <c r="AK22" s="2">
        <f>VLOOKUP($AI22,坦克个性化细分!$I$3:$P$33,MATCH(AK$3,坦克个性化细分!$I$3:$P$3,0),FALSE)</f>
        <v>42</v>
      </c>
      <c r="AL22" s="2">
        <f>VLOOKUP($AI22,坦克个性化细分!$I$3:$P$33,MATCH(AL$3,坦克个性化细分!$I$3:$P$3,0),FALSE)</f>
        <v>8.4</v>
      </c>
      <c r="AM22" s="34">
        <f>VLOOKUP(AI22,坦克个性化细分!$AA$3:$AP$33,MATCH("射击偏移角",坦克个性化细分!$AA$3:$AP$3,0),FALSE)/VLOOKUP(AI22,坦克个性化细分!$AA$3:$AP$33,MATCH("原瞄准速度",坦克个性化细分!$AA$3:$AP$3,0),FALSE)</f>
        <v>1.87</v>
      </c>
      <c r="AN22" s="34">
        <f>VLOOKUP(AI22,坦克个性化细分!$AA$3:$AP$33,MATCH(AN$3,坦克个性化细分!$AA$3:$AP$3,0),FALSE)</f>
        <v>0.26</v>
      </c>
      <c r="AO22" s="2">
        <f>VLOOKUP(AI22,坦克个性化细分!$AA$3:$AP$33,MATCH("原换弹时间",坦克个性化细分!$AA$3:$AP$3,0),FALSE)</f>
        <v>2.4</v>
      </c>
      <c r="AP22" s="132"/>
      <c r="AQ22" s="2">
        <v>19</v>
      </c>
      <c r="AR22" s="2" t="str">
        <f t="shared" si="6"/>
        <v>百夫长</v>
      </c>
      <c r="AS22" s="2" t="s">
        <v>860</v>
      </c>
      <c r="AT22" s="34">
        <f>VLOOKUP(AR22,坦克个性化细分!$I$3:$P$33,MATCH("养成区间1",坦克个性化细分!$I$3:$P$3,0),FALSE)</f>
        <v>11.674999999999997</v>
      </c>
      <c r="AU22" s="2">
        <f>VLOOKUP(AR22,坦克个性化细分!$I$3:$P$33,MATCH("养成区间2",坦克个性化细分!$I$3:$P$3,0),FALSE)</f>
        <v>10.499999999999998</v>
      </c>
      <c r="AV22" s="2">
        <f>VLOOKUP(AR22,坦克个性化细分!$I$3:$P$33,MATCH("养成区间3",坦克个性化细分!$I$3:$P$3,0),FALSE)</f>
        <v>0</v>
      </c>
      <c r="AW22" s="34">
        <f>VLOOKUP(AR22,坦克个性化细分!$AA$3:$AP$33,MATCH("瞄准区间",坦克个性化细分!$AA$3:$AP$3,0),FALSE)</f>
        <v>0.31166666666666654</v>
      </c>
      <c r="AX22" s="34">
        <f>VLOOKUP(AI22,坦克个性化细分!$AA$3:$AP$33,MATCH("后射击间隔",坦克个性化细分!$AA$3:$AP$3,0),FALSE)-VLOOKUP(AI22,坦克个性化细分!$AA$3:$AP$33,MATCH(AN$3,坦克个性化细分!$AA$3:$AP$3,0),FALSE)</f>
        <v>0</v>
      </c>
      <c r="AY22" s="34">
        <f>VLOOKUP(AR22,坦克个性化细分!$AA$3:$AP$33,MATCH("换弹区间",坦克个性化细分!$AA$3:$AP$3,0),FALSE)</f>
        <v>0.35570698466780204</v>
      </c>
      <c r="AZ22" s="132"/>
      <c r="BA22" s="34">
        <f t="shared" si="8"/>
        <v>0.24999999999999992</v>
      </c>
      <c r="BB22" s="34">
        <f t="shared" si="9"/>
        <v>0.24999999999999994</v>
      </c>
      <c r="BC22" s="34">
        <f t="shared" si="10"/>
        <v>0</v>
      </c>
      <c r="BD22" s="34">
        <f t="shared" si="11"/>
        <v>0.16666666666666657</v>
      </c>
      <c r="BE22" s="34">
        <f t="shared" si="12"/>
        <v>0.14821124361158419</v>
      </c>
      <c r="BF22" s="34"/>
      <c r="BG22" s="132"/>
      <c r="BH22" s="2" t="str">
        <f t="shared" si="13"/>
        <v>Puma4</v>
      </c>
      <c r="BI22" s="2">
        <f>IF(BL21&gt;=VLOOKUP(VLOOKUP(BJ21,坦克个性化设定!$B$18:$E$48,4,FALSE)&amp;BK21,坦克属性分配比例,MATCH("升星次数",坦克属性分配比例标头,0),FALSE),BI21+1,BI21)</f>
        <v>3</v>
      </c>
      <c r="BJ22" s="2" t="str">
        <f t="shared" si="14"/>
        <v>Puma</v>
      </c>
      <c r="BK22" s="29" t="str">
        <f>VLOOKUP(BJ22,坦克个性化细分!$I$3:$J$33,2,FALSE)</f>
        <v>中</v>
      </c>
      <c r="BL22" s="2">
        <f t="shared" si="7"/>
        <v>4</v>
      </c>
      <c r="BM22" s="103">
        <f ca="1">ROUND(VLOOKUP($BJ22&amp;"初始",$S$3:$AE$63,MATCH(BM$3,$S$3:$AE$3,0),FALSE)+((VLOOKUP($BJ22&amp;"最终",$S$3:$AE$63,MATCH(BM$3,$S$3:$AE$3,0),FALSE)*坦克个性化细分!$C$9-VLOOKUP($BJ22&amp;"初始",$S$3:$AE$63,MATCH(BM$3,$S$3:$AE$3,0),FALSE))-(VLOOKUP($BJ22&amp;"最终",$S$3:$AE$63,MATCH(BM$3,$S$3:$AE$3,0),FALSE)-VLOOKUP($BJ22&amp;"初始",$S$3:$AE$63,MATCH(BM$3,$S$3:$AE$3,0),FALSE))*VLOOKUP(VLOOKUP($BJ22,坦克个性化设定!$B$18:$E$48,4,FALSE)&amp;$BK22,坦克属性分配比例,MATCH("部件比例",坦克属性分配比例标头,0),FALSE))*$BL22/VLOOKUP(VLOOKUP($BJ22,坦克个性化设定!$B$18:$E$48,4,FALSE)&amp;$BK22,坦克属性分配比例,MATCH("升星次数",坦克属性分配比例标头,0),FALSE),0)</f>
        <v>1357</v>
      </c>
      <c r="BN22" s="103">
        <f ca="1">ROUND(VLOOKUP($BJ22&amp;"初始",$S$3:$AE$63,MATCH(BN$3,$S$3:$AE$3,0),FALSE)+(VLOOKUP($BJ22&amp;"最终",$S$3:$AE$63,MATCH(BN$3,$S$3:$AE$3,0),FALSE)-VLOOKUP($BJ22&amp;"初始",$S$3:$AE$63,MATCH(BN$3,$S$3:$AE$3,0),FALSE))*$BL22/VLOOKUP(VLOOKUP($BJ22,坦克个性化设定!$B$18:$E$48,4,FALSE)&amp;$BK22,坦克属性分配比例,MATCH("升星次数",坦克属性分配比例标头,0),FALSE)*VLOOKUP(VLOOKUP($BJ22,坦克个性化设定!$B$18:$E$48,4,FALSE)&amp;$BK22,坦克属性分配比例,MATCH("升星比例",坦克属性分配比例标头,0),FALSE),0)</f>
        <v>101</v>
      </c>
      <c r="BO22" s="103">
        <f ca="1">ROUND(VLOOKUP($BJ22&amp;"初始",$S$3:$AE$63,MATCH(BO$3,$S$3:$AE$3,0),FALSE)+(VLOOKUP($BJ22&amp;"最终",$S$3:$AE$63,MATCH(BO$3,$S$3:$AE$3,0),FALSE)-VLOOKUP($BJ22&amp;"初始",$S$3:$AE$63,MATCH(BO$3,$S$3:$AE$3,0),FALSE))*$BL22/VLOOKUP(VLOOKUP($BJ22,坦克个性化设定!$B$18:$E$48,4,FALSE)&amp;$BK22,坦克属性分配比例,MATCH("升星次数",坦克属性分配比例标头,0),FALSE)*(VLOOKUP(VLOOKUP($BJ22,坦克个性化设定!$B$18:$E$48,4,FALSE)&amp;$BK22,坦克属性分配比例,MATCH("升星比例",坦克属性分配比例标头,0),FALSE)+VLOOKUP(VLOOKUP($BJ22,坦克个性化设定!$B$18:$E$48,4,FALSE)&amp;$BK22,坦克属性分配比例,MATCH("部件比例",坦克属性分配比例标头,0),FALSE)*$C$3),0)</f>
        <v>488</v>
      </c>
      <c r="BP22" s="103">
        <f ca="1">ROUND(VLOOKUP($BJ22&amp;"初始",$S$3:$AE$63,MATCH(BP$3,$S$3:$AE$3,0),FALSE)+(VLOOKUP($BJ22&amp;"最终",$S$3:$AE$63,MATCH(BP$3,$S$3:$AE$3,0),FALSE)-VLOOKUP($BJ22&amp;"初始",$S$3:$AE$63,MATCH(BP$3,$S$3:$AE$3,0),FALSE))*$BL22/VLOOKUP(VLOOKUP($BJ22,坦克个性化设定!$B$18:$E$48,4,FALSE)&amp;$BK22,坦克属性分配比例,MATCH("升星次数",坦克属性分配比例标头,0),FALSE)*(VLOOKUP(VLOOKUP($BJ22,坦克个性化设定!$B$18:$E$48,4,FALSE)&amp;$BK22,坦克属性分配比例,MATCH("升星比例",坦克属性分配比例标头,0),FALSE)+VLOOKUP(VLOOKUP($BJ22,坦克个性化设定!$B$18:$E$48,4,FALSE)&amp;$BK22,坦克属性分配比例,MATCH("部件比例",坦克属性分配比例标头,0),FALSE)*$C$3),0)</f>
        <v>195</v>
      </c>
      <c r="BQ22" s="103">
        <f ca="1">ROUND(VLOOKUP($BJ22&amp;"初始",$S$3:$AE$63,MATCH(BQ$3,$S$3:$AE$3,0),FALSE)+(VLOOKUP($BJ22&amp;"最终",$S$3:$AE$63,MATCH(BQ$3,$S$3:$AE$3,0),FALSE)-VLOOKUP($BJ22&amp;"初始",$S$3:$AE$63,MATCH(BQ$3,$S$3:$AE$3,0),FALSE))*$BL22/VLOOKUP(VLOOKUP($BJ22,坦克个性化设定!$B$18:$E$48,4,FALSE)&amp;$BK22,坦克属性分配比例,MATCH("升星次数",坦克属性分配比例标头,0),FALSE)*VLOOKUP(VLOOKUP($BJ22,坦克个性化设定!$B$18:$E$48,4,FALSE)&amp;$BK22,坦克属性分配比例,MATCH("升星比例",坦克属性分配比例标头,0),FALSE),0)</f>
        <v>426</v>
      </c>
      <c r="BR22" s="2">
        <f ca="1">ROUND(VLOOKUP($BJ22&amp;"初始",$S$3:$AE$63,MATCH(BR$3,$S$3:$AE$3,0),FALSE)+(VLOOKUP($BJ22&amp;"最终",$S$3:$AE$63,MATCH(BR$3,$S$3:$AE$3,0),FALSE)-VLOOKUP($BJ22&amp;"初始",$S$3:$AE$63,MATCH(BR$3,$S$3:$AE$3,0),FALSE))*$BL22/VLOOKUP(VLOOKUP($BJ22,坦克个性化设定!$B$18:$E$48,4,FALSE)&amp;$BK22,坦克属性分配比例,MATCH("升星次数",坦克属性分配比例标头,0),FALSE),0)</f>
        <v>123</v>
      </c>
      <c r="BS22" s="2">
        <f>ROUND(VLOOKUP($BJ22,$AI$3:$AO$33,MATCH(BS$3,$AI$3:$AO$3,0),FALSE)+$BL22/VLOOKUP(VLOOKUP($BJ22,坦克个性化设定!$B$18:$E$48,4,FALSE)&amp;$BK22,坦克属性分配比例,MATCH("升星次数",坦克属性分配比例标头,0),FALSE)*VLOOKUP($BJ22,$AR$3:$AY$33,MATCH(BS$3,$AR$3:$AY$3,0),FALSE),1)</f>
        <v>49.5</v>
      </c>
      <c r="BT22" s="2">
        <f>ROUND(VLOOKUP($BJ22,$AI$3:$AO$33,MATCH(BT$3,$AI$3:$AO$3,0),FALSE)+$BL22/VLOOKUP(VLOOKUP($BJ22,坦克个性化设定!$B$18:$E$48,4,FALSE)&amp;$BK22,坦克属性分配比例,MATCH("升星次数",坦克属性分配比例标头,0),FALSE)*VLOOKUP($BJ22,$AR$3:$AY$33,MATCH(BT$3,$AR$3:$AY$3,0),FALSE),1)</f>
        <v>58.3</v>
      </c>
      <c r="BU22" s="2">
        <f>ROUND(VLOOKUP($BJ22,$AI$3:$AO$33,MATCH(BU$3,$AI$3:$AO$3,0),FALSE)+$BL22/VLOOKUP(VLOOKUP($BJ22,坦克个性化设定!$B$18:$E$48,4,FALSE)&amp;$BK22,坦克属性分配比例,MATCH("升星次数",坦克属性分配比例标头,0),FALSE)*VLOOKUP($BJ22,$AR$3:$AY$33,MATCH(BU$3,$AR$3:$AY$3,0),FALSE),1)</f>
        <v>10.199999999999999</v>
      </c>
      <c r="BV22" s="2">
        <f>IF(VLOOKUP(BJ22,坦克个性化设定!$B$18:$BC$48,MATCH("装弹类型",坦克个性化设定!$B$18:$BC$18,0),FALSE)="弹夹换弹",0,ROUND(VLOOKUP($BJ22,$AI$3:$AO$33,MATCH("换弹时间",$AI$3:$AO$3,0),FALSE)-$BL22/VLOOKUP(VLOOKUP($BJ22,坦克个性化设定!$B$18:$E$48,4,FALSE)&amp;$BK22,坦克属性分配比例,MATCH("升星次数",坦克属性分配比例标头,0),FALSE)*VLOOKUP($BJ22,$AR$3:$AY$33,MATCH("换弹时间",$AR$3:$AY$3,0),FALSE),2))</f>
        <v>0</v>
      </c>
      <c r="BW22" s="2">
        <f>IF(VLOOKUP(BJ22,坦克个性化设定!$B$18:$BC$48,MATCH("装弹类型",坦克个性化设定!$B$18:$BC$18,0),FALSE)="弹夹换弹",ROUND(VLOOKUP($BJ22,$AI$3:$AO$33,MATCH("换弹时间",$AI$3:$AO$3,0),FALSE)-$BL22/VLOOKUP(VLOOKUP($BJ22,坦克个性化设定!$B$18:$E$48,4,FALSE)&amp;$BK22,坦克属性分配比例,MATCH("升星次数",坦克属性分配比例标头,0),FALSE)*VLOOKUP($BJ22,$AR$3:$AY$33,MATCH("换弹时间",$AR$3:$AY$3,0),FALSE),1),0)</f>
        <v>3.8</v>
      </c>
      <c r="BX22" s="2">
        <f>ROUND(VLOOKUP($BJ22,$AI$3:$AO$33,MATCH(BX$3,$AI$3:$AO$3,0),FALSE)+$BL22/VLOOKUP(VLOOKUP($BJ22,坦克个性化设定!$B$18:$E$48,4,FALSE)&amp;$BK22,坦克属性分配比例,MATCH("升星次数",坦克属性分配比例标头,0),FALSE)*VLOOKUP($BJ22,$AR$3:$AY$33,MATCH(BX$3,$AR$3:$AY$3,0),FALSE),2)</f>
        <v>0.8</v>
      </c>
      <c r="BY22" s="2">
        <f>ROUND(VLOOKUP($BJ22,$AI$3:$AO$33,MATCH(BY$3,$AI$3:$AO$3,0),FALSE)-$BL22/VLOOKUP(VLOOKUP($BJ22,坦克个性化设定!$B$18:$E$48,4,FALSE)&amp;$BK22,坦克属性分配比例,MATCH("升星次数",坦克属性分配比例标头,0),FALSE)*VLOOKUP($BJ22,$AR$3:$AY$33,MATCH(BY$3,$AR$3:$AY$3,0),FALSE),2)</f>
        <v>0.47</v>
      </c>
      <c r="CA22" s="2">
        <v>19</v>
      </c>
      <c r="CB22" s="2" t="str">
        <f t="shared" si="15"/>
        <v>百夫长</v>
      </c>
      <c r="CC22" s="2" t="str">
        <f>VLOOKUP(CB22,坦克个性化设定!$B$18:$F$48,5,FALSE)</f>
        <v>中坦自动</v>
      </c>
      <c r="CD22" s="29" t="str">
        <f>VLOOKUP(CB22,坦克个性化细分!$I$3:$J$33,2,FALSE)</f>
        <v>高</v>
      </c>
      <c r="CE22" s="42" t="e">
        <f ca="1">(VLOOKUP($CB22&amp;"最终",$S$3:$AE$63,MATCH(CE$3,$S$3:$AE$3,0),FALSE)-VLOOKUP($CB22&amp;"初始",$S$3:$AE$63,MATCH(CE$3,$S$3:$AE$3,0),FALSE))*VLOOKUP(VLOOKUP($CB22,坦克个性化设定!$B$18:$E$48,4,FALSE)&amp;$CD22,坦克属性分配比例,MATCH("部件比例",坦克属性分配比例标头,0),FALSE)</f>
        <v>#N/A</v>
      </c>
      <c r="CF22" s="42" t="e">
        <f ca="1">(VLOOKUP($CB22&amp;"最终",$S$3:$AE$63,MATCH(CF$3,$S$3:$AE$3,0),FALSE)-VLOOKUP($CB22&amp;"初始",$S$3:$AE$63,MATCH(CF$3,$S$3:$AE$3,0),FALSE))*VLOOKUP(VLOOKUP($CB22,坦克个性化设定!$B$18:$E$48,4,FALSE)&amp;$CD22,坦克属性分配比例,MATCH("部件比例",坦克属性分配比例标头,0),FALSE)</f>
        <v>#N/A</v>
      </c>
      <c r="CG22" s="42" t="e">
        <f ca="1">(VLOOKUP($CB22&amp;"最终",$S$3:$AE$63,MATCH(CG$3,$S$3:$AE$3,0),FALSE)-VLOOKUP($CB22&amp;"初始",$S$3:$AE$63,MATCH(CG$3,$S$3:$AE$3,0),FALSE))*VLOOKUP(VLOOKUP($CB22,坦克个性化设定!$B$18:$E$48,4,FALSE)&amp;$CD22,坦克属性分配比例,MATCH("部件比例",坦克属性分配比例标头,0),FALSE)*(1-$C$3)</f>
        <v>#N/A</v>
      </c>
      <c r="CH22" s="42" t="e">
        <f ca="1">(VLOOKUP($CB22&amp;"最终",$S$3:$AE$63,MATCH(CH$3,$S$3:$AE$3,0),FALSE)-VLOOKUP($CB22&amp;"初始",$S$3:$AE$63,MATCH(CH$3,$S$3:$AE$3,0),FALSE))*VLOOKUP(VLOOKUP($CB22,坦克个性化设定!$B$18:$E$48,4,FALSE)&amp;$CD22,坦克属性分配比例,MATCH("部件比例",坦克属性分配比例标头,0),FALSE)*(1-$C$3)</f>
        <v>#N/A</v>
      </c>
      <c r="CI22" s="42" t="e">
        <f ca="1">(VLOOKUP($CB22&amp;"最终",$S$3:$AE$63,MATCH(CI$3,$S$3:$AE$3,0),FALSE)-VLOOKUP($CB22&amp;"初始",$S$3:$AE$63,MATCH(CI$3,$S$3:$AE$3,0),FALSE))*VLOOKUP(VLOOKUP($CB22,坦克个性化设定!$B$18:$E$48,4,FALSE)&amp;$CD22,坦克属性分配比例,MATCH("部件比例",坦克属性分配比例标头,0),FALSE)</f>
        <v>#N/A</v>
      </c>
    </row>
    <row r="23" spans="2:87" x14ac:dyDescent="0.3">
      <c r="B23" s="2">
        <v>18</v>
      </c>
      <c r="C23" s="2" t="str">
        <f>坦克个性化设定!B36</f>
        <v>潘兴</v>
      </c>
      <c r="D23" s="2">
        <v>2421</v>
      </c>
      <c r="E23" s="2" t="s">
        <v>637</v>
      </c>
      <c r="F23" s="2">
        <v>0</v>
      </c>
      <c r="G23" s="25" t="str">
        <f t="shared" si="17"/>
        <v>潘兴</v>
      </c>
      <c r="H23" s="25"/>
      <c r="I23" s="25"/>
      <c r="J23" s="25"/>
      <c r="K23" s="25"/>
      <c r="L23" s="25"/>
      <c r="M23" s="25"/>
      <c r="N23" s="25"/>
      <c r="O23" s="25"/>
      <c r="P23" s="25"/>
      <c r="Q23" s="25"/>
      <c r="R23" s="25"/>
      <c r="S23" s="2" t="str">
        <f t="shared" si="2"/>
        <v>59式最终</v>
      </c>
      <c r="T23" s="2">
        <f>IF(COUNTIF(U$4:U22,U22)&gt;=$B$3,T22+1,T22)</f>
        <v>10</v>
      </c>
      <c r="U23" s="2" t="str">
        <f t="shared" si="3"/>
        <v>59式</v>
      </c>
      <c r="V23" s="2" t="str">
        <f>VLOOKUP(U23,坦克个性化设定!$B$18:$F$48,5,FALSE)</f>
        <v>轻坦弹夹</v>
      </c>
      <c r="W23" s="29" t="str">
        <f>VLOOKUP(U23,坦克个性化细分!$I$3:$J$33,2,FALSE)</f>
        <v>低</v>
      </c>
      <c r="X23" s="2" t="str">
        <f t="shared" si="16"/>
        <v>最终</v>
      </c>
      <c r="Y23" s="2" t="str">
        <f>VLOOKUP(VLOOKUP(U23,坦克个性化设定!$B$18:$F$48,4,FALSE)&amp;W23,坦克等级成长!$P$12:$U$24,MATCH(X23,坦克等级成长!$P$12:$U$12,0),FALSE)</f>
        <v>T5低8</v>
      </c>
      <c r="Z23" s="42" t="e">
        <f ca="1">VLOOKUP($Y23,INDIRECT($V23&amp;"_阶段属性"),MATCH(Z$3,属性标头_阶段属性,0),FALSE)*VLOOKUP($U23,坦克个性化设定!$B$84:$D$114,2,FALSE)</f>
        <v>#N/A</v>
      </c>
      <c r="AA23" s="42" t="e">
        <f ca="1">VLOOKUP($Y23,INDIRECT($V23&amp;"_阶段属性"),MATCH(AA$3,属性标头_阶段属性,0),FALSE)*VLOOKUP($U23,坦克个性化设定!$B$84:$D$114,3,FALSE)</f>
        <v>#N/A</v>
      </c>
      <c r="AB23" s="2" t="e">
        <f t="shared" ca="1" si="4"/>
        <v>#N/A</v>
      </c>
      <c r="AC23" s="2" t="e">
        <f t="shared" ca="1" si="4"/>
        <v>#N/A</v>
      </c>
      <c r="AD23" s="2" t="e">
        <f t="shared" ca="1" si="4"/>
        <v>#N/A</v>
      </c>
      <c r="AE23" s="2" t="e">
        <f t="shared" ca="1" si="4"/>
        <v>#N/A</v>
      </c>
      <c r="AF23" s="25"/>
      <c r="AH23" s="2">
        <v>20</v>
      </c>
      <c r="AI23" s="2" t="str">
        <f t="shared" si="5"/>
        <v>挑战者</v>
      </c>
      <c r="AJ23" s="2">
        <f>VLOOKUP($AI23,坦克个性化细分!$I$3:$P$33,MATCH(AJ$3,坦克个性化细分!$I$3:$P$3,0),FALSE)</f>
        <v>35.6</v>
      </c>
      <c r="AK23" s="2">
        <f>VLOOKUP($AI23,坦克个性化细分!$I$3:$P$33,MATCH(AK$3,坦克个性化细分!$I$3:$P$3,0),FALSE)</f>
        <v>50</v>
      </c>
      <c r="AL23" s="2">
        <f>VLOOKUP($AI23,坦克个性化细分!$I$3:$P$33,MATCH(AL$3,坦克个性化细分!$I$3:$P$3,0),FALSE)</f>
        <v>7.2</v>
      </c>
      <c r="AM23" s="34">
        <f>VLOOKUP(AI23,坦克个性化细分!$AA$3:$AP$33,MATCH("射击偏移角",坦克个性化细分!$AA$3:$AP$3,0),FALSE)/VLOOKUP(AI23,坦克个性化细分!$AA$3:$AP$33,MATCH("原瞄准速度",坦克个性化细分!$AA$3:$AP$3,0),FALSE)</f>
        <v>1.4</v>
      </c>
      <c r="AN23" s="34">
        <f>VLOOKUP(AI23,坦克个性化细分!$AA$3:$AP$33,MATCH(AN$3,坦克个性化细分!$AA$3:$AP$3,0),FALSE)</f>
        <v>0.4</v>
      </c>
      <c r="AO23" s="2">
        <f>VLOOKUP(AI23,坦克个性化细分!$AA$3:$AP$33,MATCH("原换弹时间",坦克个性化细分!$AA$3:$AP$3,0),FALSE)</f>
        <v>2.4</v>
      </c>
      <c r="AP23" s="132"/>
      <c r="AQ23" s="2">
        <v>20</v>
      </c>
      <c r="AR23" s="2" t="str">
        <f t="shared" si="6"/>
        <v>挑战者</v>
      </c>
      <c r="AS23" s="2" t="s">
        <v>860</v>
      </c>
      <c r="AT23" s="34">
        <f>VLOOKUP(AR23,坦克个性化细分!$I$3:$P$33,MATCH("养成区间1",坦克个性化细分!$I$3:$P$3,0),FALSE)</f>
        <v>8.8999999999999986</v>
      </c>
      <c r="AU23" s="2">
        <f>VLOOKUP(AR23,坦克个性化细分!$I$3:$P$33,MATCH("养成区间2",坦克个性化细分!$I$3:$P$3,0),FALSE)</f>
        <v>12.499999999999996</v>
      </c>
      <c r="AV23" s="2">
        <f>VLOOKUP(AR23,坦克个性化细分!$I$3:$P$33,MATCH("养成区间3",坦克个性化细分!$I$3:$P$3,0),FALSE)</f>
        <v>0</v>
      </c>
      <c r="AW23" s="34">
        <f>VLOOKUP(AR23,坦克个性化细分!$AA$3:$AP$33,MATCH("瞄准区间",坦克个性化细分!$AA$3:$AP$3,0),FALSE)</f>
        <v>0.23333333333333317</v>
      </c>
      <c r="AX23" s="34">
        <f>VLOOKUP(AI23,坦克个性化细分!$AA$3:$AP$33,MATCH("后射击间隔",坦克个性化细分!$AA$3:$AP$3,0),FALSE)-VLOOKUP(AI23,坦克个性化细分!$AA$3:$AP$33,MATCH(AN$3,坦克个性化细分!$AA$3:$AP$3,0),FALSE)</f>
        <v>0</v>
      </c>
      <c r="AY23" s="34">
        <f>VLOOKUP(AR23,坦克个性化细分!$AA$3:$AP$33,MATCH("换弹区间",坦克个性化细分!$AA$3:$AP$3,0),FALSE)</f>
        <v>0.37639123102866767</v>
      </c>
      <c r="AZ23" s="132"/>
      <c r="BA23" s="34">
        <f t="shared" si="8"/>
        <v>0.24999999999999994</v>
      </c>
      <c r="BB23" s="34">
        <f t="shared" si="9"/>
        <v>0.24999999999999992</v>
      </c>
      <c r="BC23" s="34">
        <f t="shared" si="10"/>
        <v>0</v>
      </c>
      <c r="BD23" s="34">
        <f t="shared" si="11"/>
        <v>0.16666666666666657</v>
      </c>
      <c r="BE23" s="34">
        <f t="shared" si="12"/>
        <v>0.15682967959527822</v>
      </c>
      <c r="BF23" s="34"/>
      <c r="BG23" s="132"/>
      <c r="BH23" s="2" t="str">
        <f t="shared" si="13"/>
        <v>Puma5</v>
      </c>
      <c r="BI23" s="2">
        <f>IF(BL22&gt;=VLOOKUP(VLOOKUP(BJ22,坦克个性化设定!$B$18:$E$48,4,FALSE)&amp;BK22,坦克属性分配比例,MATCH("升星次数",坦克属性分配比例标头,0),FALSE),BI22+1,BI22)</f>
        <v>3</v>
      </c>
      <c r="BJ23" s="2" t="str">
        <f t="shared" si="14"/>
        <v>Puma</v>
      </c>
      <c r="BK23" s="29" t="str">
        <f>VLOOKUP(BJ23,坦克个性化细分!$I$3:$J$33,2,FALSE)</f>
        <v>中</v>
      </c>
      <c r="BL23" s="2">
        <f t="shared" si="7"/>
        <v>5</v>
      </c>
      <c r="BM23" s="103">
        <f ca="1">ROUND(VLOOKUP($BJ23&amp;"初始",$S$3:$AE$63,MATCH(BM$3,$S$3:$AE$3,0),FALSE)+((VLOOKUP($BJ23&amp;"最终",$S$3:$AE$63,MATCH(BM$3,$S$3:$AE$3,0),FALSE)*坦克个性化细分!$C$9-VLOOKUP($BJ23&amp;"初始",$S$3:$AE$63,MATCH(BM$3,$S$3:$AE$3,0),FALSE))-(VLOOKUP($BJ23&amp;"最终",$S$3:$AE$63,MATCH(BM$3,$S$3:$AE$3,0),FALSE)-VLOOKUP($BJ23&amp;"初始",$S$3:$AE$63,MATCH(BM$3,$S$3:$AE$3,0),FALSE))*VLOOKUP(VLOOKUP($BJ23,坦克个性化设定!$B$18:$E$48,4,FALSE)&amp;$BK23,坦克属性分配比例,MATCH("部件比例",坦克属性分配比例标头,0),FALSE))*$BL23/VLOOKUP(VLOOKUP($BJ23,坦克个性化设定!$B$18:$E$48,4,FALSE)&amp;$BK23,坦克属性分配比例,MATCH("升星次数",坦克属性分配比例标头,0),FALSE),0)</f>
        <v>1433</v>
      </c>
      <c r="BN23" s="103">
        <f ca="1">ROUND(VLOOKUP($BJ23&amp;"初始",$S$3:$AE$63,MATCH(BN$3,$S$3:$AE$3,0),FALSE)+(VLOOKUP($BJ23&amp;"最终",$S$3:$AE$63,MATCH(BN$3,$S$3:$AE$3,0),FALSE)-VLOOKUP($BJ23&amp;"初始",$S$3:$AE$63,MATCH(BN$3,$S$3:$AE$3,0),FALSE))*$BL23/VLOOKUP(VLOOKUP($BJ23,坦克个性化设定!$B$18:$E$48,4,FALSE)&amp;$BK23,坦克属性分配比例,MATCH("升星次数",坦克属性分配比例标头,0),FALSE)*VLOOKUP(VLOOKUP($BJ23,坦克个性化设定!$B$18:$E$48,4,FALSE)&amp;$BK23,坦克属性分配比例,MATCH("升星比例",坦克属性分配比例标头,0),FALSE),0)</f>
        <v>105</v>
      </c>
      <c r="BO23" s="103">
        <f ca="1">ROUND(VLOOKUP($BJ23&amp;"初始",$S$3:$AE$63,MATCH(BO$3,$S$3:$AE$3,0),FALSE)+(VLOOKUP($BJ23&amp;"最终",$S$3:$AE$63,MATCH(BO$3,$S$3:$AE$3,0),FALSE)-VLOOKUP($BJ23&amp;"初始",$S$3:$AE$63,MATCH(BO$3,$S$3:$AE$3,0),FALSE))*$BL23/VLOOKUP(VLOOKUP($BJ23,坦克个性化设定!$B$18:$E$48,4,FALSE)&amp;$BK23,坦克属性分配比例,MATCH("升星次数",坦克属性分配比例标头,0),FALSE)*(VLOOKUP(VLOOKUP($BJ23,坦克个性化设定!$B$18:$E$48,4,FALSE)&amp;$BK23,坦克属性分配比例,MATCH("升星比例",坦克属性分配比例标头,0),FALSE)+VLOOKUP(VLOOKUP($BJ23,坦克个性化设定!$B$18:$E$48,4,FALSE)&amp;$BK23,坦克属性分配比例,MATCH("部件比例",坦克属性分配比例标头,0),FALSE)*$C$3),0)</f>
        <v>510</v>
      </c>
      <c r="BP23" s="103">
        <f ca="1">ROUND(VLOOKUP($BJ23&amp;"初始",$S$3:$AE$63,MATCH(BP$3,$S$3:$AE$3,0),FALSE)+(VLOOKUP($BJ23&amp;"最终",$S$3:$AE$63,MATCH(BP$3,$S$3:$AE$3,0),FALSE)-VLOOKUP($BJ23&amp;"初始",$S$3:$AE$63,MATCH(BP$3,$S$3:$AE$3,0),FALSE))*$BL23/VLOOKUP(VLOOKUP($BJ23,坦克个性化设定!$B$18:$E$48,4,FALSE)&amp;$BK23,坦克属性分配比例,MATCH("升星次数",坦克属性分配比例标头,0),FALSE)*(VLOOKUP(VLOOKUP($BJ23,坦克个性化设定!$B$18:$E$48,4,FALSE)&amp;$BK23,坦克属性分配比例,MATCH("升星比例",坦克属性分配比例标头,0),FALSE)+VLOOKUP(VLOOKUP($BJ23,坦克个性化设定!$B$18:$E$48,4,FALSE)&amp;$BK23,坦克属性分配比例,MATCH("部件比例",坦克属性分配比例标头,0),FALSE)*$C$3),0)</f>
        <v>204</v>
      </c>
      <c r="BQ23" s="103">
        <f ca="1">ROUND(VLOOKUP($BJ23&amp;"初始",$S$3:$AE$63,MATCH(BQ$3,$S$3:$AE$3,0),FALSE)+(VLOOKUP($BJ23&amp;"最终",$S$3:$AE$63,MATCH(BQ$3,$S$3:$AE$3,0),FALSE)-VLOOKUP($BJ23&amp;"初始",$S$3:$AE$63,MATCH(BQ$3,$S$3:$AE$3,0),FALSE))*$BL23/VLOOKUP(VLOOKUP($BJ23,坦克个性化设定!$B$18:$E$48,4,FALSE)&amp;$BK23,坦克属性分配比例,MATCH("升星次数",坦克属性分配比例标头,0),FALSE)*VLOOKUP(VLOOKUP($BJ23,坦克个性化设定!$B$18:$E$48,4,FALSE)&amp;$BK23,坦克属性分配比例,MATCH("升星比例",坦克属性分配比例标头,0),FALSE),0)</f>
        <v>441</v>
      </c>
      <c r="BR23" s="2">
        <f ca="1">ROUND(VLOOKUP($BJ23&amp;"初始",$S$3:$AE$63,MATCH(BR$3,$S$3:$AE$3,0),FALSE)+(VLOOKUP($BJ23&amp;"最终",$S$3:$AE$63,MATCH(BR$3,$S$3:$AE$3,0),FALSE)-VLOOKUP($BJ23&amp;"初始",$S$3:$AE$63,MATCH(BR$3,$S$3:$AE$3,0),FALSE))*$BL23/VLOOKUP(VLOOKUP($BJ23,坦克个性化设定!$B$18:$E$48,4,FALSE)&amp;$BK23,坦克属性分配比例,MATCH("升星次数",坦克属性分配比例标头,0),FALSE),0)</f>
        <v>129</v>
      </c>
      <c r="BS23" s="2">
        <f>ROUND(VLOOKUP($BJ23,$AI$3:$AO$33,MATCH(BS$3,$AI$3:$AO$3,0),FALSE)+$BL23/VLOOKUP(VLOOKUP($BJ23,坦克个性化设定!$B$18:$E$48,4,FALSE)&amp;$BK23,坦克属性分配比例,MATCH("升星次数",坦克属性分配比例标头,0),FALSE)*VLOOKUP($BJ23,$AR$3:$AY$33,MATCH(BS$3,$AR$3:$AY$3,0),FALSE),1)</f>
        <v>51</v>
      </c>
      <c r="BT23" s="2">
        <f>ROUND(VLOOKUP($BJ23,$AI$3:$AO$33,MATCH(BT$3,$AI$3:$AO$3,0),FALSE)+$BL23/VLOOKUP(VLOOKUP($BJ23,坦克个性化设定!$B$18:$E$48,4,FALSE)&amp;$BK23,坦克属性分配比例,MATCH("升星次数",坦克属性分配比例标头,0),FALSE)*VLOOKUP($BJ23,$AR$3:$AY$33,MATCH(BT$3,$AR$3:$AY$3,0),FALSE),1)</f>
        <v>60.1</v>
      </c>
      <c r="BU23" s="2">
        <f>ROUND(VLOOKUP($BJ23,$AI$3:$AO$33,MATCH(BU$3,$AI$3:$AO$3,0),FALSE)+$BL23/VLOOKUP(VLOOKUP($BJ23,坦克个性化设定!$B$18:$E$48,4,FALSE)&amp;$BK23,坦克属性分配比例,MATCH("升星次数",坦克属性分配比例标头,0),FALSE)*VLOOKUP($BJ23,$AR$3:$AY$33,MATCH(BU$3,$AR$3:$AY$3,0),FALSE),1)</f>
        <v>10.199999999999999</v>
      </c>
      <c r="BV23" s="2">
        <f>IF(VLOOKUP(BJ23,坦克个性化设定!$B$18:$BC$48,MATCH("装弹类型",坦克个性化设定!$B$18:$BC$18,0),FALSE)="弹夹换弹",0,ROUND(VLOOKUP($BJ23,$AI$3:$AO$33,MATCH("换弹时间",$AI$3:$AO$3,0),FALSE)-$BL23/VLOOKUP(VLOOKUP($BJ23,坦克个性化设定!$B$18:$E$48,4,FALSE)&amp;$BK23,坦克属性分配比例,MATCH("升星次数",坦克属性分配比例标头,0),FALSE)*VLOOKUP($BJ23,$AR$3:$AY$33,MATCH("换弹时间",$AR$3:$AY$3,0),FALSE),2))</f>
        <v>0</v>
      </c>
      <c r="BW23" s="2">
        <f>IF(VLOOKUP(BJ23,坦克个性化设定!$B$18:$BC$48,MATCH("装弹类型",坦克个性化设定!$B$18:$BC$18,0),FALSE)="弹夹换弹",ROUND(VLOOKUP($BJ23,$AI$3:$AO$33,MATCH("换弹时间",$AI$3:$AO$3,0),FALSE)-$BL23/VLOOKUP(VLOOKUP($BJ23,坦克个性化设定!$B$18:$E$48,4,FALSE)&amp;$BK23,坦克属性分配比例,MATCH("升星次数",坦克属性分配比例标头,0),FALSE)*VLOOKUP($BJ23,$AR$3:$AY$33,MATCH("换弹时间",$AR$3:$AY$3,0),FALSE),1),0)</f>
        <v>3.5</v>
      </c>
      <c r="BX23" s="2">
        <f>ROUND(VLOOKUP($BJ23,$AI$3:$AO$33,MATCH(BX$3,$AI$3:$AO$3,0),FALSE)+$BL23/VLOOKUP(VLOOKUP($BJ23,坦克个性化设定!$B$18:$E$48,4,FALSE)&amp;$BK23,坦克属性分配比例,MATCH("升星次数",坦克属性分配比例标头,0),FALSE)*VLOOKUP($BJ23,$AR$3:$AY$33,MATCH(BX$3,$AR$3:$AY$3,0),FALSE),2)</f>
        <v>0.8</v>
      </c>
      <c r="BY23" s="2">
        <f>ROUND(VLOOKUP($BJ23,$AI$3:$AO$33,MATCH(BY$3,$AI$3:$AO$3,0),FALSE)-$BL23/VLOOKUP(VLOOKUP($BJ23,坦克个性化设定!$B$18:$E$48,4,FALSE)&amp;$BK23,坦克属性分配比例,MATCH("升星次数",坦克属性分配比例标头,0),FALSE)*VLOOKUP($BJ23,$AR$3:$AY$33,MATCH(BY$3,$AR$3:$AY$3,0),FALSE),2)</f>
        <v>0.46</v>
      </c>
      <c r="CA23" s="2">
        <v>20</v>
      </c>
      <c r="CB23" s="2" t="str">
        <f t="shared" si="15"/>
        <v>挑战者</v>
      </c>
      <c r="CC23" s="2" t="str">
        <f>VLOOKUP(CB23,坦克个性化设定!$B$18:$F$48,5,FALSE)</f>
        <v>中坦自动</v>
      </c>
      <c r="CD23" s="29" t="str">
        <f>VLOOKUP(CB23,坦克个性化细分!$I$3:$J$33,2,FALSE)</f>
        <v>低</v>
      </c>
      <c r="CE23" s="42" t="e">
        <f ca="1">(VLOOKUP($CB23&amp;"最终",$S$3:$AE$63,MATCH(CE$3,$S$3:$AE$3,0),FALSE)-VLOOKUP($CB23&amp;"初始",$S$3:$AE$63,MATCH(CE$3,$S$3:$AE$3,0),FALSE))*VLOOKUP(VLOOKUP($CB23,坦克个性化设定!$B$18:$E$48,4,FALSE)&amp;$CD23,坦克属性分配比例,MATCH("部件比例",坦克属性分配比例标头,0),FALSE)</f>
        <v>#N/A</v>
      </c>
      <c r="CF23" s="42" t="e">
        <f ca="1">(VLOOKUP($CB23&amp;"最终",$S$3:$AE$63,MATCH(CF$3,$S$3:$AE$3,0),FALSE)-VLOOKUP($CB23&amp;"初始",$S$3:$AE$63,MATCH(CF$3,$S$3:$AE$3,0),FALSE))*VLOOKUP(VLOOKUP($CB23,坦克个性化设定!$B$18:$E$48,4,FALSE)&amp;$CD23,坦克属性分配比例,MATCH("部件比例",坦克属性分配比例标头,0),FALSE)</f>
        <v>#N/A</v>
      </c>
      <c r="CG23" s="42" t="e">
        <f ca="1">(VLOOKUP($CB23&amp;"最终",$S$3:$AE$63,MATCH(CG$3,$S$3:$AE$3,0),FALSE)-VLOOKUP($CB23&amp;"初始",$S$3:$AE$63,MATCH(CG$3,$S$3:$AE$3,0),FALSE))*VLOOKUP(VLOOKUP($CB23,坦克个性化设定!$B$18:$E$48,4,FALSE)&amp;$CD23,坦克属性分配比例,MATCH("部件比例",坦克属性分配比例标头,0),FALSE)*(1-$C$3)</f>
        <v>#N/A</v>
      </c>
      <c r="CH23" s="42" t="e">
        <f ca="1">(VLOOKUP($CB23&amp;"最终",$S$3:$AE$63,MATCH(CH$3,$S$3:$AE$3,0),FALSE)-VLOOKUP($CB23&amp;"初始",$S$3:$AE$63,MATCH(CH$3,$S$3:$AE$3,0),FALSE))*VLOOKUP(VLOOKUP($CB23,坦克个性化设定!$B$18:$E$48,4,FALSE)&amp;$CD23,坦克属性分配比例,MATCH("部件比例",坦克属性分配比例标头,0),FALSE)*(1-$C$3)</f>
        <v>#N/A</v>
      </c>
      <c r="CI23" s="42" t="e">
        <f ca="1">(VLOOKUP($CB23&amp;"最终",$S$3:$AE$63,MATCH(CI$3,$S$3:$AE$3,0),FALSE)-VLOOKUP($CB23&amp;"初始",$S$3:$AE$63,MATCH(CI$3,$S$3:$AE$3,0),FALSE))*VLOOKUP(VLOOKUP($CB23,坦克个性化设定!$B$18:$E$48,4,FALSE)&amp;$CD23,坦克属性分配比例,MATCH("部件比例",坦克属性分配比例标头,0),FALSE)</f>
        <v>#N/A</v>
      </c>
    </row>
    <row r="24" spans="2:87" x14ac:dyDescent="0.3">
      <c r="B24" s="2">
        <v>19</v>
      </c>
      <c r="C24" s="2" t="str">
        <f>坦克个性化设定!B37</f>
        <v>百夫长</v>
      </c>
      <c r="D24" s="2">
        <v>2431</v>
      </c>
      <c r="E24" s="2" t="s">
        <v>639</v>
      </c>
      <c r="F24" s="2">
        <v>0</v>
      </c>
      <c r="G24" s="25" t="str">
        <f t="shared" si="17"/>
        <v>百夫长</v>
      </c>
      <c r="H24" s="25"/>
      <c r="I24" s="25"/>
      <c r="J24" s="25"/>
      <c r="K24" s="25"/>
      <c r="L24" s="25"/>
      <c r="M24" s="25"/>
      <c r="N24" s="25"/>
      <c r="O24" s="25"/>
      <c r="P24" s="25"/>
      <c r="Q24" s="25"/>
      <c r="R24" s="25"/>
      <c r="S24" s="2" t="str">
        <f t="shared" si="2"/>
        <v>Stuart初始</v>
      </c>
      <c r="T24" s="2">
        <f>IF(COUNTIF(U$4:U23,U23)&gt;=$B$3,T23+1,T23)</f>
        <v>11</v>
      </c>
      <c r="U24" s="2" t="str">
        <f t="shared" si="3"/>
        <v>Stuart</v>
      </c>
      <c r="V24" s="2" t="str">
        <f>VLOOKUP(U24,坦克个性化设定!$B$18:$F$48,5,FALSE)</f>
        <v>中坦自动</v>
      </c>
      <c r="W24" s="29" t="str">
        <f>VLOOKUP(U24,坦克个性化细分!$I$3:$J$33,2,FALSE)</f>
        <v>低</v>
      </c>
      <c r="X24" s="2" t="str">
        <f t="shared" si="16"/>
        <v>初始</v>
      </c>
      <c r="Y24" s="2" t="str">
        <f>VLOOKUP(VLOOKUP(U24,坦克个性化设定!$B$18:$F$48,4,FALSE)&amp;W24,坦克等级成长!$P$12:$U$24,MATCH(X24,坦克等级成长!$P$12:$U$12,0),FALSE)</f>
        <v>T1低1</v>
      </c>
      <c r="Z24" s="42">
        <f ca="1">VLOOKUP($Y24,INDIRECT($V24&amp;"_阶段属性"),MATCH(Z$3,属性标头_阶段属性,0),FALSE)*VLOOKUP($U24,坦克个性化设定!$B$84:$D$114,2,FALSE)</f>
        <v>624.10274724670057</v>
      </c>
      <c r="AA24" s="42">
        <f ca="1">VLOOKUP($Y24,INDIRECT($V24&amp;"_阶段属性"),MATCH(AA$3,属性标头_阶段属性,0),FALSE)*VLOOKUP($U24,坦克个性化设定!$B$84:$D$114,3,FALSE)</f>
        <v>145.93787477020288</v>
      </c>
      <c r="AB24" s="2">
        <f t="shared" ref="AB24:AE43" ca="1" si="18">VLOOKUP($Y24,INDIRECT($V24&amp;"_阶段属性"),MATCH(AB$3,属性标头_阶段属性,0),FALSE)</f>
        <v>329</v>
      </c>
      <c r="AC24" s="2">
        <f t="shared" ca="1" si="18"/>
        <v>148</v>
      </c>
      <c r="AD24" s="2">
        <f t="shared" ca="1" si="18"/>
        <v>360</v>
      </c>
      <c r="AE24" s="2">
        <f t="shared" ca="1" si="18"/>
        <v>84</v>
      </c>
      <c r="AF24" s="25"/>
      <c r="AH24" s="2">
        <v>21</v>
      </c>
      <c r="AI24" s="2" t="str">
        <f t="shared" si="5"/>
        <v>B-1</v>
      </c>
      <c r="AJ24" s="2">
        <f>VLOOKUP($AI24,坦克个性化细分!$I$3:$P$33,MATCH(AJ$3,坦克个性化细分!$I$3:$P$3,0),FALSE)</f>
        <v>38.299999999999997</v>
      </c>
      <c r="AK24" s="2">
        <f>VLOOKUP($AI24,坦克个性化细分!$I$3:$P$33,MATCH(AK$3,坦克个性化细分!$I$3:$P$3,0),FALSE)</f>
        <v>28</v>
      </c>
      <c r="AL24" s="2">
        <f>VLOOKUP($AI24,坦克个性化细分!$I$3:$P$33,MATCH(AL$3,坦克个性化细分!$I$3:$P$3,0),FALSE)</f>
        <v>7</v>
      </c>
      <c r="AM24" s="34">
        <f>VLOOKUP(AI24,坦克个性化细分!$AA$3:$AP$33,MATCH("射击偏移角",坦克个性化细分!$AA$3:$AP$3,0),FALSE)/VLOOKUP(AI24,坦克个性化细分!$AA$3:$AP$33,MATCH("原瞄准速度",坦克个性化细分!$AA$3:$AP$3,0),FALSE)</f>
        <v>2.5</v>
      </c>
      <c r="AN24" s="34">
        <f>VLOOKUP(AI24,坦克个性化细分!$AA$3:$AP$33,MATCH(AN$3,坦克个性化细分!$AA$3:$AP$3,0),FALSE)</f>
        <v>2.8</v>
      </c>
      <c r="AO24" s="2">
        <f>VLOOKUP(AI24,坦克个性化细分!$AA$3:$AP$33,MATCH("原换弹时间",坦克个性化细分!$AA$3:$AP$3,0),FALSE)</f>
        <v>5.3999999999999995</v>
      </c>
      <c r="AP24" s="132"/>
      <c r="AQ24" s="2">
        <v>21</v>
      </c>
      <c r="AR24" s="2" t="str">
        <f t="shared" si="6"/>
        <v>B-1</v>
      </c>
      <c r="AS24" s="2" t="s">
        <v>82</v>
      </c>
      <c r="AT24" s="34">
        <f>VLOOKUP(AR24,坦克个性化细分!$I$3:$P$33,MATCH("养成区间1",坦克个性化细分!$I$3:$P$3,0),FALSE)</f>
        <v>9.5749999999999957</v>
      </c>
      <c r="AU24" s="2">
        <f>VLOOKUP(AR24,坦克个性化细分!$I$3:$P$33,MATCH("养成区间2",坦克个性化细分!$I$3:$P$3,0),FALSE)</f>
        <v>6.9999999999999982</v>
      </c>
      <c r="AV24" s="2">
        <f>VLOOKUP(AR24,坦克个性化细分!$I$3:$P$33,MATCH("养成区间3",坦克个性化细分!$I$3:$P$3,0),FALSE)</f>
        <v>0</v>
      </c>
      <c r="AW24" s="34">
        <f>VLOOKUP(AR24,坦克个性化细分!$AA$3:$AP$33,MATCH("瞄准区间",坦克个性化细分!$AA$3:$AP$3,0),FALSE)</f>
        <v>0.41666666666666652</v>
      </c>
      <c r="AX24" s="34">
        <f>VLOOKUP(AI24,坦克个性化细分!$AA$3:$AP$33,MATCH("后射击间隔",坦克个性化细分!$AA$3:$AP$3,0),FALSE)-VLOOKUP(AI24,坦克个性化细分!$AA$3:$AP$33,MATCH(AN$3,坦克个性化细分!$AA$3:$AP$3,0),FALSE)</f>
        <v>0</v>
      </c>
      <c r="AY24" s="34">
        <f>VLOOKUP(AR24,坦克个性化细分!$AA$3:$AP$33,MATCH("换弹区间",坦克个性化细分!$AA$3:$AP$3,0),FALSE)</f>
        <v>0.75883111302105721</v>
      </c>
      <c r="AZ24" s="132"/>
      <c r="BA24" s="34">
        <f t="shared" si="8"/>
        <v>0.24999999999999992</v>
      </c>
      <c r="BB24" s="34">
        <f t="shared" si="9"/>
        <v>0.24999999999999994</v>
      </c>
      <c r="BC24" s="34">
        <f t="shared" si="10"/>
        <v>0</v>
      </c>
      <c r="BD24" s="34">
        <f t="shared" si="11"/>
        <v>0.1666666666666666</v>
      </c>
      <c r="BE24" s="34">
        <f t="shared" si="12"/>
        <v>0.14052428018908469</v>
      </c>
      <c r="BF24" s="34"/>
      <c r="BG24" s="132"/>
      <c r="BH24" s="2" t="str">
        <f t="shared" si="13"/>
        <v>Puma6</v>
      </c>
      <c r="BI24" s="2">
        <f>IF(BL23&gt;=VLOOKUP(VLOOKUP(BJ23,坦克个性化设定!$B$18:$E$48,4,FALSE)&amp;BK23,坦克属性分配比例,MATCH("升星次数",坦克属性分配比例标头,0),FALSE),BI23+1,BI23)</f>
        <v>3</v>
      </c>
      <c r="BJ24" s="2" t="str">
        <f t="shared" si="14"/>
        <v>Puma</v>
      </c>
      <c r="BK24" s="29" t="str">
        <f>VLOOKUP(BJ24,坦克个性化细分!$I$3:$J$33,2,FALSE)</f>
        <v>中</v>
      </c>
      <c r="BL24" s="2">
        <f t="shared" si="7"/>
        <v>6</v>
      </c>
      <c r="BM24" s="103">
        <f ca="1">ROUND(VLOOKUP($BJ24&amp;"初始",$S$3:$AE$63,MATCH(BM$3,$S$3:$AE$3,0),FALSE)+((VLOOKUP($BJ24&amp;"最终",$S$3:$AE$63,MATCH(BM$3,$S$3:$AE$3,0),FALSE)*坦克个性化细分!$C$9-VLOOKUP($BJ24&amp;"初始",$S$3:$AE$63,MATCH(BM$3,$S$3:$AE$3,0),FALSE))-(VLOOKUP($BJ24&amp;"最终",$S$3:$AE$63,MATCH(BM$3,$S$3:$AE$3,0),FALSE)-VLOOKUP($BJ24&amp;"初始",$S$3:$AE$63,MATCH(BM$3,$S$3:$AE$3,0),FALSE))*VLOOKUP(VLOOKUP($BJ24,坦克个性化设定!$B$18:$E$48,4,FALSE)&amp;$BK24,坦克属性分配比例,MATCH("部件比例",坦克属性分配比例标头,0),FALSE))*$BL24/VLOOKUP(VLOOKUP($BJ24,坦克个性化设定!$B$18:$E$48,4,FALSE)&amp;$BK24,坦克属性分配比例,MATCH("升星次数",坦克属性分配比例标头,0),FALSE),0)</f>
        <v>1509</v>
      </c>
      <c r="BN24" s="103">
        <f ca="1">ROUND(VLOOKUP($BJ24&amp;"初始",$S$3:$AE$63,MATCH(BN$3,$S$3:$AE$3,0),FALSE)+(VLOOKUP($BJ24&amp;"最终",$S$3:$AE$63,MATCH(BN$3,$S$3:$AE$3,0),FALSE)-VLOOKUP($BJ24&amp;"初始",$S$3:$AE$63,MATCH(BN$3,$S$3:$AE$3,0),FALSE))*$BL24/VLOOKUP(VLOOKUP($BJ24,坦克个性化设定!$B$18:$E$48,4,FALSE)&amp;$BK24,坦克属性分配比例,MATCH("升星次数",坦克属性分配比例标头,0),FALSE)*VLOOKUP(VLOOKUP($BJ24,坦克个性化设定!$B$18:$E$48,4,FALSE)&amp;$BK24,坦克属性分配比例,MATCH("升星比例",坦克属性分配比例标头,0),FALSE),0)</f>
        <v>108</v>
      </c>
      <c r="BO24" s="103">
        <f ca="1">ROUND(VLOOKUP($BJ24&amp;"初始",$S$3:$AE$63,MATCH(BO$3,$S$3:$AE$3,0),FALSE)+(VLOOKUP($BJ24&amp;"最终",$S$3:$AE$63,MATCH(BO$3,$S$3:$AE$3,0),FALSE)-VLOOKUP($BJ24&amp;"初始",$S$3:$AE$63,MATCH(BO$3,$S$3:$AE$3,0),FALSE))*$BL24/VLOOKUP(VLOOKUP($BJ24,坦克个性化设定!$B$18:$E$48,4,FALSE)&amp;$BK24,坦克属性分配比例,MATCH("升星次数",坦克属性分配比例标头,0),FALSE)*(VLOOKUP(VLOOKUP($BJ24,坦克个性化设定!$B$18:$E$48,4,FALSE)&amp;$BK24,坦克属性分配比例,MATCH("升星比例",坦克属性分配比例标头,0),FALSE)+VLOOKUP(VLOOKUP($BJ24,坦克个性化设定!$B$18:$E$48,4,FALSE)&amp;$BK24,坦克属性分配比例,MATCH("部件比例",坦克属性分配比例标头,0),FALSE)*$C$3),0)</f>
        <v>531</v>
      </c>
      <c r="BP24" s="103">
        <f ca="1">ROUND(VLOOKUP($BJ24&amp;"初始",$S$3:$AE$63,MATCH(BP$3,$S$3:$AE$3,0),FALSE)+(VLOOKUP($BJ24&amp;"最终",$S$3:$AE$63,MATCH(BP$3,$S$3:$AE$3,0),FALSE)-VLOOKUP($BJ24&amp;"初始",$S$3:$AE$63,MATCH(BP$3,$S$3:$AE$3,0),FALSE))*$BL24/VLOOKUP(VLOOKUP($BJ24,坦克个性化设定!$B$18:$E$48,4,FALSE)&amp;$BK24,坦克属性分配比例,MATCH("升星次数",坦克属性分配比例标头,0),FALSE)*(VLOOKUP(VLOOKUP($BJ24,坦克个性化设定!$B$18:$E$48,4,FALSE)&amp;$BK24,坦克属性分配比例,MATCH("升星比例",坦克属性分配比例标头,0),FALSE)+VLOOKUP(VLOOKUP($BJ24,坦克个性化设定!$B$18:$E$48,4,FALSE)&amp;$BK24,坦克属性分配比例,MATCH("部件比例",坦克属性分配比例标头,0),FALSE)*$C$3),0)</f>
        <v>212</v>
      </c>
      <c r="BQ24" s="103">
        <f ca="1">ROUND(VLOOKUP($BJ24&amp;"初始",$S$3:$AE$63,MATCH(BQ$3,$S$3:$AE$3,0),FALSE)+(VLOOKUP($BJ24&amp;"最终",$S$3:$AE$63,MATCH(BQ$3,$S$3:$AE$3,0),FALSE)-VLOOKUP($BJ24&amp;"初始",$S$3:$AE$63,MATCH(BQ$3,$S$3:$AE$3,0),FALSE))*$BL24/VLOOKUP(VLOOKUP($BJ24,坦克个性化设定!$B$18:$E$48,4,FALSE)&amp;$BK24,坦克属性分配比例,MATCH("升星次数",坦克属性分配比例标头,0),FALSE)*VLOOKUP(VLOOKUP($BJ24,坦克个性化设定!$B$18:$E$48,4,FALSE)&amp;$BK24,坦克属性分配比例,MATCH("升星比例",坦克属性分配比例标头,0),FALSE),0)</f>
        <v>456</v>
      </c>
      <c r="BR24" s="2">
        <f ca="1">ROUND(VLOOKUP($BJ24&amp;"初始",$S$3:$AE$63,MATCH(BR$3,$S$3:$AE$3,0),FALSE)+(VLOOKUP($BJ24&amp;"最终",$S$3:$AE$63,MATCH(BR$3,$S$3:$AE$3,0),FALSE)-VLOOKUP($BJ24&amp;"初始",$S$3:$AE$63,MATCH(BR$3,$S$3:$AE$3,0),FALSE))*$BL24/VLOOKUP(VLOOKUP($BJ24,坦克个性化设定!$B$18:$E$48,4,FALSE)&amp;$BK24,坦克属性分配比例,MATCH("升星次数",坦克属性分配比例标头,0),FALSE),0)</f>
        <v>135</v>
      </c>
      <c r="BS24" s="2">
        <f>ROUND(VLOOKUP($BJ24,$AI$3:$AO$33,MATCH(BS$3,$AI$3:$AO$3,0),FALSE)+$BL24/VLOOKUP(VLOOKUP($BJ24,坦克个性化设定!$B$18:$E$48,4,FALSE)&amp;$BK24,坦克属性分配比例,MATCH("升星次数",坦克属性分配比例标头,0),FALSE)*VLOOKUP($BJ24,$AR$3:$AY$33,MATCH(BS$3,$AR$3:$AY$3,0),FALSE),1)</f>
        <v>52.6</v>
      </c>
      <c r="BT24" s="2">
        <f>ROUND(VLOOKUP($BJ24,$AI$3:$AO$33,MATCH(BT$3,$AI$3:$AO$3,0),FALSE)+$BL24/VLOOKUP(VLOOKUP($BJ24,坦克个性化设定!$B$18:$E$48,4,FALSE)&amp;$BK24,坦克属性分配比例,MATCH("升星次数",坦克属性分配比例标头,0),FALSE)*VLOOKUP($BJ24,$AR$3:$AY$33,MATCH(BT$3,$AR$3:$AY$3,0),FALSE),1)</f>
        <v>61.9</v>
      </c>
      <c r="BU24" s="2">
        <f>ROUND(VLOOKUP($BJ24,$AI$3:$AO$33,MATCH(BU$3,$AI$3:$AO$3,0),FALSE)+$BL24/VLOOKUP(VLOOKUP($BJ24,坦克个性化设定!$B$18:$E$48,4,FALSE)&amp;$BK24,坦克属性分配比例,MATCH("升星次数",坦克属性分配比例标头,0),FALSE)*VLOOKUP($BJ24,$AR$3:$AY$33,MATCH(BU$3,$AR$3:$AY$3,0),FALSE),1)</f>
        <v>10.199999999999999</v>
      </c>
      <c r="BV24" s="2">
        <f>IF(VLOOKUP(BJ24,坦克个性化设定!$B$18:$BC$48,MATCH("装弹类型",坦克个性化设定!$B$18:$BC$18,0),FALSE)="弹夹换弹",0,ROUND(VLOOKUP($BJ24,$AI$3:$AO$33,MATCH("换弹时间",$AI$3:$AO$3,0),FALSE)-$BL24/VLOOKUP(VLOOKUP($BJ24,坦克个性化设定!$B$18:$E$48,4,FALSE)&amp;$BK24,坦克属性分配比例,MATCH("升星次数",坦克属性分配比例标头,0),FALSE)*VLOOKUP($BJ24,$AR$3:$AY$33,MATCH("换弹时间",$AR$3:$AY$3,0),FALSE),2))</f>
        <v>0</v>
      </c>
      <c r="BW24" s="2">
        <f>IF(VLOOKUP(BJ24,坦克个性化设定!$B$18:$BC$48,MATCH("装弹类型",坦克个性化设定!$B$18:$BC$18,0),FALSE)="弹夹换弹",ROUND(VLOOKUP($BJ24,$AI$3:$AO$33,MATCH("换弹时间",$AI$3:$AO$3,0),FALSE)-$BL24/VLOOKUP(VLOOKUP($BJ24,坦克个性化设定!$B$18:$E$48,4,FALSE)&amp;$BK24,坦克属性分配比例,MATCH("升星次数",坦克属性分配比例标头,0),FALSE)*VLOOKUP($BJ24,$AR$3:$AY$33,MATCH("换弹时间",$AR$3:$AY$3,0),FALSE),1),0)</f>
        <v>3.3</v>
      </c>
      <c r="BX24" s="2">
        <f>ROUND(VLOOKUP($BJ24,$AI$3:$AO$33,MATCH(BX$3,$AI$3:$AO$3,0),FALSE)+$BL24/VLOOKUP(VLOOKUP($BJ24,坦克个性化设定!$B$18:$E$48,4,FALSE)&amp;$BK24,坦克属性分配比例,MATCH("升星次数",坦克属性分配比例标头,0),FALSE)*VLOOKUP($BJ24,$AR$3:$AY$33,MATCH(BX$3,$AR$3:$AY$3,0),FALSE),2)</f>
        <v>0.8</v>
      </c>
      <c r="BY24" s="2">
        <f>ROUND(VLOOKUP($BJ24,$AI$3:$AO$33,MATCH(BY$3,$AI$3:$AO$3,0),FALSE)-$BL24/VLOOKUP(VLOOKUP($BJ24,坦克个性化设定!$B$18:$E$48,4,FALSE)&amp;$BK24,坦克属性分配比例,MATCH("升星次数",坦克属性分配比例标头,0),FALSE)*VLOOKUP($BJ24,$AR$3:$AY$33,MATCH(BY$3,$AR$3:$AY$3,0),FALSE),2)</f>
        <v>0.44</v>
      </c>
      <c r="CA24" s="2">
        <v>21</v>
      </c>
      <c r="CB24" s="2" t="str">
        <f t="shared" si="15"/>
        <v>B-1</v>
      </c>
      <c r="CC24" s="2" t="str">
        <f>VLOOKUP(CB24,坦克个性化设定!$B$18:$F$48,5,FALSE)</f>
        <v>重坦自动</v>
      </c>
      <c r="CD24" s="29" t="str">
        <f>VLOOKUP(CB24,坦克个性化细分!$I$3:$J$33,2,FALSE)</f>
        <v>低</v>
      </c>
      <c r="CE24" s="42">
        <f ca="1">(VLOOKUP($CB24&amp;"最终",$S$3:$AE$63,MATCH(CE$3,$S$3:$AE$3,0),FALSE)-VLOOKUP($CB24&amp;"初始",$S$3:$AE$63,MATCH(CE$3,$S$3:$AE$3,0),FALSE))*VLOOKUP(VLOOKUP($CB24,坦克个性化设定!$B$18:$E$48,4,FALSE)&amp;$CD24,坦克属性分配比例,MATCH("部件比例",坦克属性分配比例标头,0),FALSE)</f>
        <v>148.29710675704354</v>
      </c>
      <c r="CF24" s="42">
        <f ca="1">(VLOOKUP($CB24&amp;"最终",$S$3:$AE$63,MATCH(CF$3,$S$3:$AE$3,0),FALSE)-VLOOKUP($CB24&amp;"初始",$S$3:$AE$63,MATCH(CF$3,$S$3:$AE$3,0),FALSE))*VLOOKUP(VLOOKUP($CB24,坦克个性化设定!$B$18:$E$48,4,FALSE)&amp;$CD24,坦克属性分配比例,MATCH("部件比例",坦克属性分配比例标头,0),FALSE)</f>
        <v>37.308292692932135</v>
      </c>
      <c r="CG24" s="42">
        <f ca="1">(VLOOKUP($CB24&amp;"最终",$S$3:$AE$63,MATCH(CG$3,$S$3:$AE$3,0),FALSE)-VLOOKUP($CB24&amp;"初始",$S$3:$AE$63,MATCH(CG$3,$S$3:$AE$3,0),FALSE))*VLOOKUP(VLOOKUP($CB24,坦克个性化设定!$B$18:$E$48,4,FALSE)&amp;$CD24,坦克属性分配比例,MATCH("部件比例",坦克属性分配比例标头,0),FALSE)*(1-$C$3)</f>
        <v>4.2</v>
      </c>
      <c r="CH24" s="42">
        <f ca="1">(VLOOKUP($CB24&amp;"最终",$S$3:$AE$63,MATCH(CH$3,$S$3:$AE$3,0),FALSE)-VLOOKUP($CB24&amp;"初始",$S$3:$AE$63,MATCH(CH$3,$S$3:$AE$3,0),FALSE))*VLOOKUP(VLOOKUP($CB24,坦克个性化设定!$B$18:$E$48,4,FALSE)&amp;$CD24,坦克属性分配比例,MATCH("部件比例",坦克属性分配比例标头,0),FALSE)*(1-$C$3)</f>
        <v>10.200000000000001</v>
      </c>
      <c r="CI24" s="42">
        <f ca="1">(VLOOKUP($CB24&amp;"最终",$S$3:$AE$63,MATCH(CI$3,$S$3:$AE$3,0),FALSE)-VLOOKUP($CB24&amp;"初始",$S$3:$AE$63,MATCH(CI$3,$S$3:$AE$3,0),FALSE))*VLOOKUP(VLOOKUP($CB24,坦克个性化设定!$B$18:$E$48,4,FALSE)&amp;$CD24,坦克属性分配比例,MATCH("部件比例",坦克属性分配比例标头,0),FALSE)</f>
        <v>37.799999999999997</v>
      </c>
    </row>
    <row r="25" spans="2:87" x14ac:dyDescent="0.3">
      <c r="B25" s="2">
        <v>20</v>
      </c>
      <c r="C25" s="2" t="str">
        <f>坦克个性化设定!B38</f>
        <v>挑战者</v>
      </c>
      <c r="D25" s="2">
        <v>2511</v>
      </c>
      <c r="E25" s="2" t="s">
        <v>641</v>
      </c>
      <c r="F25" s="2">
        <v>0</v>
      </c>
      <c r="G25" s="25" t="str">
        <f t="shared" si="17"/>
        <v>挑战者</v>
      </c>
      <c r="H25" s="25"/>
      <c r="I25" s="25"/>
      <c r="J25" s="25"/>
      <c r="K25" s="25"/>
      <c r="L25" s="25"/>
      <c r="M25" s="25"/>
      <c r="N25" s="25"/>
      <c r="O25" s="25"/>
      <c r="P25" s="25"/>
      <c r="Q25" s="25"/>
      <c r="R25" s="25"/>
      <c r="S25" s="2" t="str">
        <f t="shared" si="2"/>
        <v>Stuart最终</v>
      </c>
      <c r="T25" s="2">
        <f>IF(COUNTIF(U$4:U24,U24)&gt;=$B$3,T24+1,T24)</f>
        <v>11</v>
      </c>
      <c r="U25" s="2" t="str">
        <f t="shared" si="3"/>
        <v>Stuart</v>
      </c>
      <c r="V25" s="2" t="str">
        <f>VLOOKUP(U25,坦克个性化设定!$B$18:$F$48,5,FALSE)</f>
        <v>中坦自动</v>
      </c>
      <c r="W25" s="29" t="str">
        <f>VLOOKUP(U25,坦克个性化细分!$I$3:$J$33,2,FALSE)</f>
        <v>低</v>
      </c>
      <c r="X25" s="2" t="str">
        <f t="shared" si="16"/>
        <v>最终</v>
      </c>
      <c r="Y25" s="2" t="str">
        <f>VLOOKUP(VLOOKUP(U25,坦克个性化设定!$B$18:$F$48,4,FALSE)&amp;W25,坦克等级成长!$P$12:$U$24,MATCH(X25,坦克等级成长!$P$12:$U$12,0),FALSE)</f>
        <v>T1低3</v>
      </c>
      <c r="Z25" s="42">
        <f ca="1">VLOOKUP($Y25,INDIRECT($V25&amp;"_阶段属性"),MATCH(Z$3,属性标头_阶段属性,0),FALSE)*VLOOKUP($U25,坦克个性化设定!$B$84:$D$114,2,FALSE)</f>
        <v>1082.3047642126328</v>
      </c>
      <c r="AA25" s="42">
        <f ca="1">VLOOKUP($Y25,INDIRECT($V25&amp;"_阶段属性"),MATCH(AA$3,属性标头_阶段属性,0),FALSE)*VLOOKUP($U25,坦克个性化设定!$B$84:$D$114,3,FALSE)</f>
        <v>189.56878578397487</v>
      </c>
      <c r="AB25" s="2">
        <f t="shared" ca="1" si="18"/>
        <v>427</v>
      </c>
      <c r="AC25" s="2">
        <f t="shared" ca="1" si="18"/>
        <v>192</v>
      </c>
      <c r="AD25" s="2">
        <f t="shared" ca="1" si="18"/>
        <v>468</v>
      </c>
      <c r="AE25" s="2">
        <f t="shared" ca="1" si="18"/>
        <v>110</v>
      </c>
      <c r="AF25" s="25"/>
      <c r="AH25" s="2">
        <v>22</v>
      </c>
      <c r="AI25" s="2" t="str">
        <f t="shared" si="5"/>
        <v>KV-1</v>
      </c>
      <c r="AJ25" s="2">
        <f>VLOOKUP($AI25,坦克个性化细分!$I$3:$P$33,MATCH(AJ$3,坦克个性化细分!$I$3:$P$3,0),FALSE)</f>
        <v>38.299999999999997</v>
      </c>
      <c r="AK25" s="2">
        <f>VLOOKUP($AI25,坦克个性化细分!$I$3:$P$33,MATCH(AK$3,坦克个性化细分!$I$3:$P$3,0),FALSE)</f>
        <v>28</v>
      </c>
      <c r="AL25" s="2">
        <f>VLOOKUP($AI25,坦克个性化细分!$I$3:$P$33,MATCH(AL$3,坦克个性化细分!$I$3:$P$3,0),FALSE)</f>
        <v>7</v>
      </c>
      <c r="AM25" s="34">
        <f>VLOOKUP(AI25,坦克个性化细分!$AA$3:$AP$33,MATCH("射击偏移角",坦克个性化细分!$AA$3:$AP$3,0),FALSE)/VLOOKUP(AI25,坦克个性化细分!$AA$3:$AP$33,MATCH("原瞄准速度",坦克个性化细分!$AA$3:$AP$3,0),FALSE)</f>
        <v>2.1916666666666669</v>
      </c>
      <c r="AN25" s="34">
        <f>VLOOKUP(AI25,坦克个性化细分!$AA$3:$AP$33,MATCH(AN$3,坦克个性化细分!$AA$3:$AP$3,0),FALSE)</f>
        <v>1.88</v>
      </c>
      <c r="AO25" s="2">
        <f>VLOOKUP(AI25,坦克个性化细分!$AA$3:$AP$33,MATCH("原换弹时间",坦克个性化细分!$AA$3:$AP$3,0),FALSE)</f>
        <v>3.6</v>
      </c>
      <c r="AP25" s="132"/>
      <c r="AQ25" s="2">
        <v>22</v>
      </c>
      <c r="AR25" s="2" t="str">
        <f t="shared" si="6"/>
        <v>KV-1</v>
      </c>
      <c r="AS25" s="2" t="s">
        <v>82</v>
      </c>
      <c r="AT25" s="34">
        <f>VLOOKUP(AR25,坦克个性化细分!$I$3:$P$33,MATCH("养成区间1",坦克个性化细分!$I$3:$P$3,0),FALSE)</f>
        <v>9.5749999999999957</v>
      </c>
      <c r="AU25" s="2">
        <f>VLOOKUP(AR25,坦克个性化细分!$I$3:$P$33,MATCH("养成区间2",坦克个性化细分!$I$3:$P$3,0),FALSE)</f>
        <v>6.9999999999999982</v>
      </c>
      <c r="AV25" s="2">
        <f>VLOOKUP(AR25,坦克个性化细分!$I$3:$P$33,MATCH("养成区间3",坦克个性化细分!$I$3:$P$3,0),FALSE)</f>
        <v>0</v>
      </c>
      <c r="AW25" s="34">
        <f>VLOOKUP(AR25,坦克个性化细分!$AA$3:$AP$33,MATCH("瞄准区间",坦克个性化细分!$AA$3:$AP$3,0),FALSE)</f>
        <v>0.36527777777777803</v>
      </c>
      <c r="AX25" s="34">
        <f>VLOOKUP(AI25,坦克个性化细分!$AA$3:$AP$33,MATCH("后射击间隔",坦克个性化细分!$AA$3:$AP$3,0),FALSE)-VLOOKUP(AI25,坦克个性化细分!$AA$3:$AP$33,MATCH(AN$3,坦克个性化细分!$AA$3:$AP$3,0),FALSE)</f>
        <v>0</v>
      </c>
      <c r="AY25" s="34">
        <f>VLOOKUP(AR25,坦克个性化细分!$AA$3:$AP$33,MATCH("换弹区间",坦克个性化细分!$AA$3:$AP$3,0),FALSE)</f>
        <v>0.51780821917808195</v>
      </c>
      <c r="AZ25" s="132"/>
      <c r="BA25" s="34">
        <f t="shared" si="8"/>
        <v>0.24999999999999992</v>
      </c>
      <c r="BB25" s="34">
        <f t="shared" si="9"/>
        <v>0.24999999999999994</v>
      </c>
      <c r="BC25" s="34">
        <f t="shared" si="10"/>
        <v>0</v>
      </c>
      <c r="BD25" s="34">
        <f t="shared" si="11"/>
        <v>0.16666666666666677</v>
      </c>
      <c r="BE25" s="34">
        <f t="shared" si="12"/>
        <v>0.1438356164383561</v>
      </c>
      <c r="BF25" s="34"/>
      <c r="BG25" s="132"/>
      <c r="BH25" s="2" t="str">
        <f t="shared" si="13"/>
        <v>Puma7</v>
      </c>
      <c r="BI25" s="2">
        <f>IF(BL24&gt;=VLOOKUP(VLOOKUP(BJ24,坦克个性化设定!$B$18:$E$48,4,FALSE)&amp;BK24,坦克属性分配比例,MATCH("升星次数",坦克属性分配比例标头,0),FALSE),BI24+1,BI24)</f>
        <v>3</v>
      </c>
      <c r="BJ25" s="2" t="str">
        <f t="shared" si="14"/>
        <v>Puma</v>
      </c>
      <c r="BK25" s="29" t="str">
        <f>VLOOKUP(BJ25,坦克个性化细分!$I$3:$J$33,2,FALSE)</f>
        <v>中</v>
      </c>
      <c r="BL25" s="2">
        <f t="shared" si="7"/>
        <v>7</v>
      </c>
      <c r="BM25" s="103">
        <f ca="1">ROUND(VLOOKUP($BJ25&amp;"初始",$S$3:$AE$63,MATCH(BM$3,$S$3:$AE$3,0),FALSE)+((VLOOKUP($BJ25&amp;"最终",$S$3:$AE$63,MATCH(BM$3,$S$3:$AE$3,0),FALSE)*坦克个性化细分!$C$9-VLOOKUP($BJ25&amp;"初始",$S$3:$AE$63,MATCH(BM$3,$S$3:$AE$3,0),FALSE))-(VLOOKUP($BJ25&amp;"最终",$S$3:$AE$63,MATCH(BM$3,$S$3:$AE$3,0),FALSE)-VLOOKUP($BJ25&amp;"初始",$S$3:$AE$63,MATCH(BM$3,$S$3:$AE$3,0),FALSE))*VLOOKUP(VLOOKUP($BJ25,坦克个性化设定!$B$18:$E$48,4,FALSE)&amp;$BK25,坦克属性分配比例,MATCH("部件比例",坦克属性分配比例标头,0),FALSE))*$BL25/VLOOKUP(VLOOKUP($BJ25,坦克个性化设定!$B$18:$E$48,4,FALSE)&amp;$BK25,坦克属性分配比例,MATCH("升星次数",坦克属性分配比例标头,0),FALSE),0)</f>
        <v>1585</v>
      </c>
      <c r="BN25" s="103">
        <f ca="1">ROUND(VLOOKUP($BJ25&amp;"初始",$S$3:$AE$63,MATCH(BN$3,$S$3:$AE$3,0),FALSE)+(VLOOKUP($BJ25&amp;"最终",$S$3:$AE$63,MATCH(BN$3,$S$3:$AE$3,0),FALSE)-VLOOKUP($BJ25&amp;"初始",$S$3:$AE$63,MATCH(BN$3,$S$3:$AE$3,0),FALSE))*$BL25/VLOOKUP(VLOOKUP($BJ25,坦克个性化设定!$B$18:$E$48,4,FALSE)&amp;$BK25,坦克属性分配比例,MATCH("升星次数",坦克属性分配比例标头,0),FALSE)*VLOOKUP(VLOOKUP($BJ25,坦克个性化设定!$B$18:$E$48,4,FALSE)&amp;$BK25,坦克属性分配比例,MATCH("升星比例",坦克属性分配比例标头,0),FALSE),0)</f>
        <v>111</v>
      </c>
      <c r="BO25" s="103">
        <f ca="1">ROUND(VLOOKUP($BJ25&amp;"初始",$S$3:$AE$63,MATCH(BO$3,$S$3:$AE$3,0),FALSE)+(VLOOKUP($BJ25&amp;"最终",$S$3:$AE$63,MATCH(BO$3,$S$3:$AE$3,0),FALSE)-VLOOKUP($BJ25&amp;"初始",$S$3:$AE$63,MATCH(BO$3,$S$3:$AE$3,0),FALSE))*$BL25/VLOOKUP(VLOOKUP($BJ25,坦克个性化设定!$B$18:$E$48,4,FALSE)&amp;$BK25,坦克属性分配比例,MATCH("升星次数",坦克属性分配比例标头,0),FALSE)*(VLOOKUP(VLOOKUP($BJ25,坦克个性化设定!$B$18:$E$48,4,FALSE)&amp;$BK25,坦克属性分配比例,MATCH("升星比例",坦克属性分配比例标头,0),FALSE)+VLOOKUP(VLOOKUP($BJ25,坦克个性化设定!$B$18:$E$48,4,FALSE)&amp;$BK25,坦克属性分配比例,MATCH("部件比例",坦克属性分配比例标头,0),FALSE)*$C$3),0)</f>
        <v>553</v>
      </c>
      <c r="BP25" s="103">
        <f ca="1">ROUND(VLOOKUP($BJ25&amp;"初始",$S$3:$AE$63,MATCH(BP$3,$S$3:$AE$3,0),FALSE)+(VLOOKUP($BJ25&amp;"最终",$S$3:$AE$63,MATCH(BP$3,$S$3:$AE$3,0),FALSE)-VLOOKUP($BJ25&amp;"初始",$S$3:$AE$63,MATCH(BP$3,$S$3:$AE$3,0),FALSE))*$BL25/VLOOKUP(VLOOKUP($BJ25,坦克个性化设定!$B$18:$E$48,4,FALSE)&amp;$BK25,坦克属性分配比例,MATCH("升星次数",坦克属性分配比例标头,0),FALSE)*(VLOOKUP(VLOOKUP($BJ25,坦克个性化设定!$B$18:$E$48,4,FALSE)&amp;$BK25,坦克属性分配比例,MATCH("升星比例",坦克属性分配比例标头,0),FALSE)+VLOOKUP(VLOOKUP($BJ25,坦克个性化设定!$B$18:$E$48,4,FALSE)&amp;$BK25,坦克属性分配比例,MATCH("部件比例",坦克属性分配比例标头,0),FALSE)*$C$3),0)</f>
        <v>221</v>
      </c>
      <c r="BQ25" s="103">
        <f ca="1">ROUND(VLOOKUP($BJ25&amp;"初始",$S$3:$AE$63,MATCH(BQ$3,$S$3:$AE$3,0),FALSE)+(VLOOKUP($BJ25&amp;"最终",$S$3:$AE$63,MATCH(BQ$3,$S$3:$AE$3,0),FALSE)-VLOOKUP($BJ25&amp;"初始",$S$3:$AE$63,MATCH(BQ$3,$S$3:$AE$3,0),FALSE))*$BL25/VLOOKUP(VLOOKUP($BJ25,坦克个性化设定!$B$18:$E$48,4,FALSE)&amp;$BK25,坦克属性分配比例,MATCH("升星次数",坦克属性分配比例标头,0),FALSE)*VLOOKUP(VLOOKUP($BJ25,坦克个性化设定!$B$18:$E$48,4,FALSE)&amp;$BK25,坦克属性分配比例,MATCH("升星比例",坦克属性分配比例标头,0),FALSE),0)</f>
        <v>471</v>
      </c>
      <c r="BR25" s="2">
        <f ca="1">ROUND(VLOOKUP($BJ25&amp;"初始",$S$3:$AE$63,MATCH(BR$3,$S$3:$AE$3,0),FALSE)+(VLOOKUP($BJ25&amp;"最终",$S$3:$AE$63,MATCH(BR$3,$S$3:$AE$3,0),FALSE)-VLOOKUP($BJ25&amp;"初始",$S$3:$AE$63,MATCH(BR$3,$S$3:$AE$3,0),FALSE))*$BL25/VLOOKUP(VLOOKUP($BJ25,坦克个性化设定!$B$18:$E$48,4,FALSE)&amp;$BK25,坦克属性分配比例,MATCH("升星次数",坦克属性分配比例标头,0),FALSE),0)</f>
        <v>141</v>
      </c>
      <c r="BS25" s="2">
        <f>ROUND(VLOOKUP($BJ25,$AI$3:$AO$33,MATCH(BS$3,$AI$3:$AO$3,0),FALSE)+$BL25/VLOOKUP(VLOOKUP($BJ25,坦克个性化设定!$B$18:$E$48,4,FALSE)&amp;$BK25,坦克属性分配比例,MATCH("升星次数",坦克属性分配比例标头,0),FALSE)*VLOOKUP($BJ25,$AR$3:$AY$33,MATCH(BS$3,$AR$3:$AY$3,0),FALSE),1)</f>
        <v>54.1</v>
      </c>
      <c r="BT25" s="2">
        <f>ROUND(VLOOKUP($BJ25,$AI$3:$AO$33,MATCH(BT$3,$AI$3:$AO$3,0),FALSE)+$BL25/VLOOKUP(VLOOKUP($BJ25,坦克个性化设定!$B$18:$E$48,4,FALSE)&amp;$BK25,坦克属性分配比例,MATCH("升星次数",坦克属性分配比例标头,0),FALSE)*VLOOKUP($BJ25,$AR$3:$AY$33,MATCH(BT$3,$AR$3:$AY$3,0),FALSE),1)</f>
        <v>63.8</v>
      </c>
      <c r="BU25" s="2">
        <f>ROUND(VLOOKUP($BJ25,$AI$3:$AO$33,MATCH(BU$3,$AI$3:$AO$3,0),FALSE)+$BL25/VLOOKUP(VLOOKUP($BJ25,坦克个性化设定!$B$18:$E$48,4,FALSE)&amp;$BK25,坦克属性分配比例,MATCH("升星次数",坦克属性分配比例标头,0),FALSE)*VLOOKUP($BJ25,$AR$3:$AY$33,MATCH(BU$3,$AR$3:$AY$3,0),FALSE),1)</f>
        <v>10.199999999999999</v>
      </c>
      <c r="BV25" s="2">
        <f>IF(VLOOKUP(BJ25,坦克个性化设定!$B$18:$BC$48,MATCH("装弹类型",坦克个性化设定!$B$18:$BC$18,0),FALSE)="弹夹换弹",0,ROUND(VLOOKUP($BJ25,$AI$3:$AO$33,MATCH("换弹时间",$AI$3:$AO$3,0),FALSE)-$BL25/VLOOKUP(VLOOKUP($BJ25,坦克个性化设定!$B$18:$E$48,4,FALSE)&amp;$BK25,坦克属性分配比例,MATCH("升星次数",坦克属性分配比例标头,0),FALSE)*VLOOKUP($BJ25,$AR$3:$AY$33,MATCH("换弹时间",$AR$3:$AY$3,0),FALSE),2))</f>
        <v>0</v>
      </c>
      <c r="BW25" s="2">
        <f>IF(VLOOKUP(BJ25,坦克个性化设定!$B$18:$BC$48,MATCH("装弹类型",坦克个性化设定!$B$18:$BC$18,0),FALSE)="弹夹换弹",ROUND(VLOOKUP($BJ25,$AI$3:$AO$33,MATCH("换弹时间",$AI$3:$AO$3,0),FALSE)-$BL25/VLOOKUP(VLOOKUP($BJ25,坦克个性化设定!$B$18:$E$48,4,FALSE)&amp;$BK25,坦克属性分配比例,MATCH("升星次数",坦克属性分配比例标头,0),FALSE)*VLOOKUP($BJ25,$AR$3:$AY$33,MATCH("换弹时间",$AR$3:$AY$3,0),FALSE),1),0)</f>
        <v>3</v>
      </c>
      <c r="BX25" s="2">
        <f>ROUND(VLOOKUP($BJ25,$AI$3:$AO$33,MATCH(BX$3,$AI$3:$AO$3,0),FALSE)+$BL25/VLOOKUP(VLOOKUP($BJ25,坦克个性化设定!$B$18:$E$48,4,FALSE)&amp;$BK25,坦克属性分配比例,MATCH("升星次数",坦克属性分配比例标头,0),FALSE)*VLOOKUP($BJ25,$AR$3:$AY$33,MATCH(BX$3,$AR$3:$AY$3,0),FALSE),2)</f>
        <v>0.8</v>
      </c>
      <c r="BY25" s="2">
        <f>ROUND(VLOOKUP($BJ25,$AI$3:$AO$33,MATCH(BY$3,$AI$3:$AO$3,0),FALSE)-$BL25/VLOOKUP(VLOOKUP($BJ25,坦克个性化设定!$B$18:$E$48,4,FALSE)&amp;$BK25,坦克属性分配比例,MATCH("升星次数",坦克属性分配比例标头,0),FALSE)*VLOOKUP($BJ25,$AR$3:$AY$33,MATCH(BY$3,$AR$3:$AY$3,0),FALSE),2)</f>
        <v>0.43</v>
      </c>
      <c r="CA25" s="2">
        <v>22</v>
      </c>
      <c r="CB25" s="2" t="str">
        <f t="shared" si="15"/>
        <v>KV-1</v>
      </c>
      <c r="CC25" s="2" t="str">
        <f>VLOOKUP(CB25,坦克个性化设定!$B$18:$F$48,5,FALSE)</f>
        <v>重坦自动</v>
      </c>
      <c r="CD25" s="29" t="str">
        <f>VLOOKUP(CB25,坦克个性化细分!$I$3:$J$33,2,FALSE)</f>
        <v>低</v>
      </c>
      <c r="CE25" s="42">
        <f ca="1">(VLOOKUP($CB25&amp;"最终",$S$3:$AE$63,MATCH(CE$3,$S$3:$AE$3,0),FALSE)-VLOOKUP($CB25&amp;"初始",$S$3:$AE$63,MATCH(CE$3,$S$3:$AE$3,0),FALSE))*VLOOKUP(VLOOKUP($CB25,坦克个性化设定!$B$18:$E$48,4,FALSE)&amp;$CD25,坦克属性分配比例,MATCH("部件比例",坦克属性分配比例标头,0),FALSE)</f>
        <v>140.4829449862342</v>
      </c>
      <c r="CF25" s="42">
        <f ca="1">(VLOOKUP($CB25&amp;"最终",$S$3:$AE$63,MATCH(CF$3,$S$3:$AE$3,0),FALSE)-VLOOKUP($CB25&amp;"初始",$S$3:$AE$63,MATCH(CF$3,$S$3:$AE$3,0),FALSE))*VLOOKUP(VLOOKUP($CB25,坦克个性化设定!$B$18:$E$48,4,FALSE)&amp;$CD25,坦克属性分配比例,MATCH("部件比例",坦克属性分配比例标头,0),FALSE)</f>
        <v>47.497402625306847</v>
      </c>
      <c r="CG25" s="42">
        <f ca="1">(VLOOKUP($CB25&amp;"最终",$S$3:$AE$63,MATCH(CG$3,$S$3:$AE$3,0),FALSE)-VLOOKUP($CB25&amp;"初始",$S$3:$AE$63,MATCH(CG$3,$S$3:$AE$3,0),FALSE))*VLOOKUP(VLOOKUP($CB25,坦克个性化设定!$B$18:$E$48,4,FALSE)&amp;$CD25,坦克属性分配比例,MATCH("部件比例",坦克属性分配比例标头,0),FALSE)*(1-$C$3)</f>
        <v>7.98</v>
      </c>
      <c r="CH25" s="42">
        <f ca="1">(VLOOKUP($CB25&amp;"最终",$S$3:$AE$63,MATCH(CH$3,$S$3:$AE$3,0),FALSE)-VLOOKUP($CB25&amp;"初始",$S$3:$AE$63,MATCH(CH$3,$S$3:$AE$3,0),FALSE))*VLOOKUP(VLOOKUP($CB25,坦克个性化设定!$B$18:$E$48,4,FALSE)&amp;$CD25,坦克属性分配比例,MATCH("部件比例",坦克属性分配比例标头,0),FALSE)*(1-$C$3)</f>
        <v>20.02</v>
      </c>
      <c r="CI25" s="42">
        <f ca="1">(VLOOKUP($CB25&amp;"最终",$S$3:$AE$63,MATCH(CI$3,$S$3:$AE$3,0),FALSE)-VLOOKUP($CB25&amp;"初始",$S$3:$AE$63,MATCH(CI$3,$S$3:$AE$3,0),FALSE))*VLOOKUP(VLOOKUP($CB25,坦克个性化设定!$B$18:$E$48,4,FALSE)&amp;$CD25,坦克属性分配比例,MATCH("部件比例",坦克属性分配比例标头,0),FALSE)</f>
        <v>73.5</v>
      </c>
    </row>
    <row r="26" spans="2:87" x14ac:dyDescent="0.3">
      <c r="B26" s="2">
        <v>21</v>
      </c>
      <c r="C26" s="2" t="str">
        <f>坦克个性化设定!B39</f>
        <v>B-1</v>
      </c>
      <c r="D26" s="2">
        <v>3111</v>
      </c>
      <c r="E26" s="2" t="s">
        <v>643</v>
      </c>
      <c r="F26" s="2">
        <v>1</v>
      </c>
      <c r="G26" s="25" t="str">
        <f t="shared" si="17"/>
        <v>B-1</v>
      </c>
      <c r="H26" s="25"/>
      <c r="I26" s="25"/>
      <c r="J26" s="25"/>
      <c r="K26" s="25"/>
      <c r="L26" s="25"/>
      <c r="M26" s="25"/>
      <c r="N26" s="25"/>
      <c r="O26" s="25"/>
      <c r="P26" s="25"/>
      <c r="Q26" s="25"/>
      <c r="R26" s="25"/>
      <c r="S26" s="2" t="str">
        <f t="shared" si="2"/>
        <v>T-34初始</v>
      </c>
      <c r="T26" s="2">
        <f>IF(COUNTIF(U$4:U25,U25)&gt;=$B$3,T25+1,T25)</f>
        <v>12</v>
      </c>
      <c r="U26" s="2" t="str">
        <f t="shared" si="3"/>
        <v>T-34</v>
      </c>
      <c r="V26" s="2" t="str">
        <f>VLOOKUP(U26,坦克个性化设定!$B$18:$F$48,5,FALSE)</f>
        <v>中坦自动</v>
      </c>
      <c r="W26" s="29" t="str">
        <f>VLOOKUP(U26,坦克个性化细分!$I$3:$J$33,2,FALSE)</f>
        <v>低</v>
      </c>
      <c r="X26" s="2" t="str">
        <f t="shared" si="16"/>
        <v>初始</v>
      </c>
      <c r="Y26" s="2" t="str">
        <f>VLOOKUP(VLOOKUP(U26,坦克个性化设定!$B$18:$F$48,4,FALSE)&amp;W26,坦克等级成长!$P$12:$U$24,MATCH(X26,坦克等级成长!$P$12:$U$12,0),FALSE)</f>
        <v>T2低2</v>
      </c>
      <c r="Z26" s="42">
        <f ca="1">VLOOKUP($Y26,INDIRECT($V26&amp;"_阶段属性"),MATCH(Z$3,属性标头_阶段属性,0),FALSE)*VLOOKUP($U26,坦克个性化设定!$B$84:$D$114,2,FALSE)</f>
        <v>922.66608588587246</v>
      </c>
      <c r="AA26" s="42">
        <f ca="1">VLOOKUP($Y26,INDIRECT($V26&amp;"_阶段属性"),MATCH(AA$3,属性标头_阶段属性,0),FALSE)*VLOOKUP($U26,坦克个性化设定!$B$84:$D$114,3,FALSE)</f>
        <v>142.96458214557981</v>
      </c>
      <c r="AB26" s="2">
        <f t="shared" ca="1" si="18"/>
        <v>394</v>
      </c>
      <c r="AC26" s="2">
        <f t="shared" ca="1" si="18"/>
        <v>177</v>
      </c>
      <c r="AD26" s="2">
        <f t="shared" ca="1" si="18"/>
        <v>432</v>
      </c>
      <c r="AE26" s="2">
        <f t="shared" ca="1" si="18"/>
        <v>101</v>
      </c>
      <c r="AF26" s="25"/>
      <c r="AH26" s="2">
        <v>23</v>
      </c>
      <c r="AI26" s="2" t="str">
        <f t="shared" si="5"/>
        <v>丘吉尔</v>
      </c>
      <c r="AJ26" s="2">
        <f>VLOOKUP($AI26,坦克个性化细分!$I$3:$P$33,MATCH(AJ$3,坦克个性化细分!$I$3:$P$3,0),FALSE)</f>
        <v>31.3</v>
      </c>
      <c r="AK26" s="2">
        <f>VLOOKUP($AI26,坦克个性化细分!$I$3:$P$33,MATCH(AK$3,坦克个性化细分!$I$3:$P$3,0),FALSE)</f>
        <v>31.4</v>
      </c>
      <c r="AL26" s="2">
        <f>VLOOKUP($AI26,坦克个性化细分!$I$3:$P$33,MATCH(AL$3,坦克个性化细分!$I$3:$P$3,0),FALSE)</f>
        <v>6.4</v>
      </c>
      <c r="AM26" s="34">
        <f>VLOOKUP(AI26,坦克个性化细分!$AA$3:$AP$33,MATCH("射击偏移角",坦克个性化细分!$AA$3:$AP$3,0),FALSE)/VLOOKUP(AI26,坦克个性化细分!$AA$3:$AP$33,MATCH("原瞄准速度",坦克个性化细分!$AA$3:$AP$3,0),FALSE)</f>
        <v>3</v>
      </c>
      <c r="AN26" s="34">
        <f>VLOOKUP(AI26,坦克个性化细分!$AA$3:$AP$33,MATCH(AN$3,坦克个性化细分!$AA$3:$AP$3,0),FALSE)</f>
        <v>0</v>
      </c>
      <c r="AO26" s="2">
        <f>VLOOKUP(AI26,坦克个性化细分!$AA$3:$AP$33,MATCH("原换弹时间",坦克个性化细分!$AA$3:$AP$3,0),FALSE)</f>
        <v>6</v>
      </c>
      <c r="AP26" s="132"/>
      <c r="AQ26" s="2">
        <v>23</v>
      </c>
      <c r="AR26" s="2" t="str">
        <f t="shared" si="6"/>
        <v>丘吉尔</v>
      </c>
      <c r="AS26" s="2" t="s">
        <v>83</v>
      </c>
      <c r="AT26" s="34">
        <f>VLOOKUP(AR26,坦克个性化细分!$I$3:$P$33,MATCH("养成区间1",坦克个性化细分!$I$3:$P$3,0),FALSE)</f>
        <v>7.8249999999999984</v>
      </c>
      <c r="AU26" s="2">
        <f>VLOOKUP(AR26,坦克个性化细分!$I$3:$P$33,MATCH("养成区间2",坦克个性化细分!$I$3:$P$3,0),FALSE)</f>
        <v>7.849999999999997</v>
      </c>
      <c r="AV26" s="2">
        <f>VLOOKUP(AR26,坦克个性化细分!$I$3:$P$33,MATCH("养成区间3",坦克个性化细分!$I$3:$P$3,0),FALSE)</f>
        <v>0</v>
      </c>
      <c r="AW26" s="34">
        <f>VLOOKUP(AR26,坦克个性化细分!$AA$3:$AP$33,MATCH("瞄准区间",坦克个性化细分!$AA$3:$AP$3,0),FALSE)</f>
        <v>0.5</v>
      </c>
      <c r="AX26" s="34">
        <f>VLOOKUP(AI26,坦克个性化细分!$AA$3:$AP$33,MATCH("后射击间隔",坦克个性化细分!$AA$3:$AP$3,0),FALSE)-VLOOKUP(AI26,坦克个性化细分!$AA$3:$AP$33,MATCH(AN$3,坦克个性化细分!$AA$3:$AP$3,0),FALSE)</f>
        <v>0</v>
      </c>
      <c r="AY26" s="34">
        <f>VLOOKUP(AR26,坦克个性化细分!$AA$3:$AP$33,MATCH("换弹区间",坦克个性化细分!$AA$3:$AP$3,0),FALSE)</f>
        <v>0.84978540772532085</v>
      </c>
      <c r="AZ26" s="132"/>
      <c r="BA26" s="34">
        <f t="shared" si="8"/>
        <v>0.24999999999999994</v>
      </c>
      <c r="BB26" s="34">
        <f t="shared" si="9"/>
        <v>0.24999999999999992</v>
      </c>
      <c r="BC26" s="34">
        <f t="shared" si="10"/>
        <v>0</v>
      </c>
      <c r="BD26" s="34">
        <f t="shared" si="11"/>
        <v>0.16666666666666666</v>
      </c>
      <c r="BE26" s="34">
        <f t="shared" si="12"/>
        <v>0.14163090128755348</v>
      </c>
      <c r="BF26" s="34"/>
      <c r="BG26" s="132"/>
      <c r="BH26" s="2" t="str">
        <f t="shared" si="13"/>
        <v>35(t)0</v>
      </c>
      <c r="BI26" s="2">
        <f>IF(BL25&gt;=VLOOKUP(VLOOKUP(BJ25,坦克个性化设定!$B$18:$E$48,4,FALSE)&amp;BK25,坦克属性分配比例,MATCH("升星次数",坦克属性分配比例标头,0),FALSE),BI25+1,BI25)</f>
        <v>4</v>
      </c>
      <c r="BJ26" s="2" t="str">
        <f t="shared" si="14"/>
        <v>35(t)</v>
      </c>
      <c r="BK26" s="29" t="str">
        <f>VLOOKUP(BJ26,坦克个性化细分!$I$3:$J$33,2,FALSE)</f>
        <v>低</v>
      </c>
      <c r="BL26" s="2">
        <f t="shared" si="7"/>
        <v>0</v>
      </c>
      <c r="BM26" s="103">
        <f ca="1">ROUND(VLOOKUP($BJ26&amp;"初始",$S$3:$AE$63,MATCH(BM$3,$S$3:$AE$3,0),FALSE)+((VLOOKUP($BJ26&amp;"最终",$S$3:$AE$63,MATCH(BM$3,$S$3:$AE$3,0),FALSE)*坦克个性化细分!$C$9-VLOOKUP($BJ26&amp;"初始",$S$3:$AE$63,MATCH(BM$3,$S$3:$AE$3,0),FALSE))-(VLOOKUP($BJ26&amp;"最终",$S$3:$AE$63,MATCH(BM$3,$S$3:$AE$3,0),FALSE)-VLOOKUP($BJ26&amp;"初始",$S$3:$AE$63,MATCH(BM$3,$S$3:$AE$3,0),FALSE))*VLOOKUP(VLOOKUP($BJ26,坦克个性化设定!$B$18:$E$48,4,FALSE)&amp;$BK26,坦克属性分配比例,MATCH("部件比例",坦克属性分配比例标头,0),FALSE))*$BL26/VLOOKUP(VLOOKUP($BJ26,坦克个性化设定!$B$18:$E$48,4,FALSE)&amp;$BK26,坦克属性分配比例,MATCH("升星次数",坦克属性分配比例标头,0),FALSE),0)</f>
        <v>1204</v>
      </c>
      <c r="BN26" s="103">
        <f ca="1">ROUND(VLOOKUP($BJ26&amp;"初始",$S$3:$AE$63,MATCH(BN$3,$S$3:$AE$3,0),FALSE)+(VLOOKUP($BJ26&amp;"最终",$S$3:$AE$63,MATCH(BN$3,$S$3:$AE$3,0),FALSE)-VLOOKUP($BJ26&amp;"初始",$S$3:$AE$63,MATCH(BN$3,$S$3:$AE$3,0),FALSE))*$BL26/VLOOKUP(VLOOKUP($BJ26,坦克个性化设定!$B$18:$E$48,4,FALSE)&amp;$BK26,坦克属性分配比例,MATCH("升星次数",坦克属性分配比例标头,0),FALSE)*VLOOKUP(VLOOKUP($BJ26,坦克个性化设定!$B$18:$E$48,4,FALSE)&amp;$BK26,坦克属性分配比例,MATCH("升星比例",坦克属性分配比例标头,0),FALSE),0)</f>
        <v>105</v>
      </c>
      <c r="BO26" s="103">
        <f ca="1">ROUND(VLOOKUP($BJ26&amp;"初始",$S$3:$AE$63,MATCH(BO$3,$S$3:$AE$3,0),FALSE)+(VLOOKUP($BJ26&amp;"最终",$S$3:$AE$63,MATCH(BO$3,$S$3:$AE$3,0),FALSE)-VLOOKUP($BJ26&amp;"初始",$S$3:$AE$63,MATCH(BO$3,$S$3:$AE$3,0),FALSE))*$BL26/VLOOKUP(VLOOKUP($BJ26,坦克个性化设定!$B$18:$E$48,4,FALSE)&amp;$BK26,坦克属性分配比例,MATCH("升星次数",坦克属性分配比例标头,0),FALSE)*(VLOOKUP(VLOOKUP($BJ26,坦克个性化设定!$B$18:$E$48,4,FALSE)&amp;$BK26,坦克属性分配比例,MATCH("升星比例",坦克属性分配比例标头,0),FALSE)+VLOOKUP(VLOOKUP($BJ26,坦克个性化设定!$B$18:$E$48,4,FALSE)&amp;$BK26,坦克属性分配比例,MATCH("部件比例",坦克属性分配比例标头,0),FALSE)*$C$3),0)</f>
        <v>486</v>
      </c>
      <c r="BP26" s="103">
        <f ca="1">ROUND(VLOOKUP($BJ26&amp;"初始",$S$3:$AE$63,MATCH(BP$3,$S$3:$AE$3,0),FALSE)+(VLOOKUP($BJ26&amp;"最终",$S$3:$AE$63,MATCH(BP$3,$S$3:$AE$3,0),FALSE)-VLOOKUP($BJ26&amp;"初始",$S$3:$AE$63,MATCH(BP$3,$S$3:$AE$3,0),FALSE))*$BL26/VLOOKUP(VLOOKUP($BJ26,坦克个性化设定!$B$18:$E$48,4,FALSE)&amp;$BK26,坦克属性分配比例,MATCH("升星次数",坦克属性分配比例标头,0),FALSE)*(VLOOKUP(VLOOKUP($BJ26,坦克个性化设定!$B$18:$E$48,4,FALSE)&amp;$BK26,坦克属性分配比例,MATCH("升星比例",坦克属性分配比例标头,0),FALSE)+VLOOKUP(VLOOKUP($BJ26,坦克个性化设定!$B$18:$E$48,4,FALSE)&amp;$BK26,坦克属性分配比例,MATCH("部件比例",坦克属性分配比例标头,0),FALSE)*$C$3),0)</f>
        <v>195</v>
      </c>
      <c r="BQ26" s="103">
        <f ca="1">ROUND(VLOOKUP($BJ26&amp;"初始",$S$3:$AE$63,MATCH(BQ$3,$S$3:$AE$3,0),FALSE)+(VLOOKUP($BJ26&amp;"最终",$S$3:$AE$63,MATCH(BQ$3,$S$3:$AE$3,0),FALSE)-VLOOKUP($BJ26&amp;"初始",$S$3:$AE$63,MATCH(BQ$3,$S$3:$AE$3,0),FALSE))*$BL26/VLOOKUP(VLOOKUP($BJ26,坦克个性化设定!$B$18:$E$48,4,FALSE)&amp;$BK26,坦克属性分配比例,MATCH("升星次数",坦克属性分配比例标头,0),FALSE)*VLOOKUP(VLOOKUP($BJ26,坦克个性化设定!$B$18:$E$48,4,FALSE)&amp;$BK26,坦克属性分配比例,MATCH("升星比例",坦克属性分配比例标头,0),FALSE),0)</f>
        <v>444</v>
      </c>
      <c r="BR26" s="2">
        <f ca="1">ROUND(VLOOKUP($BJ26&amp;"初始",$S$3:$AE$63,MATCH(BR$3,$S$3:$AE$3,0),FALSE)+(VLOOKUP($BJ26&amp;"最终",$S$3:$AE$63,MATCH(BR$3,$S$3:$AE$3,0),FALSE)-VLOOKUP($BJ26&amp;"初始",$S$3:$AE$63,MATCH(BR$3,$S$3:$AE$3,0),FALSE))*$BL26/VLOOKUP(VLOOKUP($BJ26,坦克个性化设定!$B$18:$E$48,4,FALSE)&amp;$BK26,坦克属性分配比例,MATCH("升星次数",坦克属性分配比例标头,0),FALSE),0)</f>
        <v>118</v>
      </c>
      <c r="BS26" s="2">
        <f>ROUND(VLOOKUP($BJ26,$AI$3:$AO$33,MATCH(BS$3,$AI$3:$AO$3,0),FALSE)+$BL26/VLOOKUP(VLOOKUP($BJ26,坦克个性化设定!$B$18:$E$48,4,FALSE)&amp;$BK26,坦克属性分配比例,MATCH("升星次数",坦克属性分配比例标头,0),FALSE)*VLOOKUP($BJ26,$AR$3:$AY$33,MATCH(BS$3,$AR$3:$AY$3,0),FALSE),1)</f>
        <v>42.4</v>
      </c>
      <c r="BT26" s="2">
        <f>ROUND(VLOOKUP($BJ26,$AI$3:$AO$33,MATCH(BT$3,$AI$3:$AO$3,0),FALSE)+$BL26/VLOOKUP(VLOOKUP($BJ26,坦克个性化设定!$B$18:$E$48,4,FALSE)&amp;$BK26,坦克属性分配比例,MATCH("升星次数",坦克属性分配比例标头,0),FALSE)*VLOOKUP($BJ26,$AR$3:$AY$33,MATCH(BT$3,$AR$3:$AY$3,0),FALSE),1)</f>
        <v>50</v>
      </c>
      <c r="BU26" s="2">
        <f>ROUND(VLOOKUP($BJ26,$AI$3:$AO$33,MATCH(BU$3,$AI$3:$AO$3,0),FALSE)+$BL26/VLOOKUP(VLOOKUP($BJ26,坦克个性化设定!$B$18:$E$48,4,FALSE)&amp;$BK26,坦克属性分配比例,MATCH("升星次数",坦克属性分配比例标头,0),FALSE)*VLOOKUP($BJ26,$AR$3:$AY$33,MATCH(BU$3,$AR$3:$AY$3,0),FALSE),1)</f>
        <v>10</v>
      </c>
      <c r="BV26" s="2">
        <f>IF(VLOOKUP(BJ26,坦克个性化设定!$B$18:$BC$48,MATCH("装弹类型",坦克个性化设定!$B$18:$BC$18,0),FALSE)="弹夹换弹",0,ROUND(VLOOKUP($BJ26,$AI$3:$AO$33,MATCH("换弹时间",$AI$3:$AO$3,0),FALSE)-$BL26/VLOOKUP(VLOOKUP($BJ26,坦克个性化设定!$B$18:$E$48,4,FALSE)&amp;$BK26,坦克属性分配比例,MATCH("升星次数",坦克属性分配比例标头,0),FALSE)*VLOOKUP($BJ26,$AR$3:$AY$33,MATCH("换弹时间",$AR$3:$AY$3,0),FALSE),2))</f>
        <v>0</v>
      </c>
      <c r="BW26" s="2">
        <f>IF(VLOOKUP(BJ26,坦克个性化设定!$B$18:$BC$48,MATCH("装弹类型",坦克个性化设定!$B$18:$BC$18,0),FALSE)="弹夹换弹",ROUND(VLOOKUP($BJ26,$AI$3:$AO$33,MATCH("换弹时间",$AI$3:$AO$3,0),FALSE)-$BL26/VLOOKUP(VLOOKUP($BJ26,坦克个性化设定!$B$18:$E$48,4,FALSE)&amp;$BK26,坦克属性分配比例,MATCH("升星次数",坦克属性分配比例标头,0),FALSE)*VLOOKUP($BJ26,$AR$3:$AY$33,MATCH("换弹时间",$AR$3:$AY$3,0),FALSE),1),0)</f>
        <v>9.8000000000000007</v>
      </c>
      <c r="BX26" s="2">
        <f>ROUND(VLOOKUP($BJ26,$AI$3:$AO$33,MATCH(BX$3,$AI$3:$AO$3,0),FALSE)+$BL26/VLOOKUP(VLOOKUP($BJ26,坦克个性化设定!$B$18:$E$48,4,FALSE)&amp;$BK26,坦克属性分配比例,MATCH("升星次数",坦克属性分配比例标头,0),FALSE)*VLOOKUP($BJ26,$AR$3:$AY$33,MATCH(BX$3,$AR$3:$AY$3,0),FALSE),2)</f>
        <v>0.8</v>
      </c>
      <c r="BY26" s="2">
        <f>ROUND(VLOOKUP($BJ26,$AI$3:$AO$33,MATCH(BY$3,$AI$3:$AO$3,0),FALSE)-$BL26/VLOOKUP(VLOOKUP($BJ26,坦克个性化设定!$B$18:$E$48,4,FALSE)&amp;$BK26,坦克属性分配比例,MATCH("升星次数",坦克属性分配比例标头,0),FALSE)*VLOOKUP($BJ26,$AR$3:$AY$33,MATCH(BY$3,$AR$3:$AY$3,0),FALSE),2)</f>
        <v>0.48</v>
      </c>
      <c r="CA26" s="2">
        <v>23</v>
      </c>
      <c r="CB26" s="2" t="str">
        <f t="shared" si="15"/>
        <v>丘吉尔</v>
      </c>
      <c r="CC26" s="2" t="str">
        <f>VLOOKUP(CB26,坦克个性化设定!$B$18:$F$48,5,FALSE)</f>
        <v>重坦单发</v>
      </c>
      <c r="CD26" s="29" t="str">
        <f>VLOOKUP(CB26,坦克个性化细分!$I$3:$J$33,2,FALSE)</f>
        <v>中</v>
      </c>
      <c r="CE26" s="42">
        <f ca="1">(VLOOKUP($CB26&amp;"最终",$S$3:$AE$63,MATCH(CE$3,$S$3:$AE$3,0),FALSE)-VLOOKUP($CB26&amp;"初始",$S$3:$AE$63,MATCH(CE$3,$S$3:$AE$3,0),FALSE))*VLOOKUP(VLOOKUP($CB26,坦克个性化设定!$B$18:$E$48,4,FALSE)&amp;$CD26,坦克属性分配比例,MATCH("部件比例",坦克属性分配比例标头,0),FALSE)</f>
        <v>167.45486363727056</v>
      </c>
      <c r="CF26" s="42">
        <f ca="1">(VLOOKUP($CB26&amp;"最终",$S$3:$AE$63,MATCH(CF$3,$S$3:$AE$3,0),FALSE)-VLOOKUP($CB26&amp;"初始",$S$3:$AE$63,MATCH(CF$3,$S$3:$AE$3,0),FALSE))*VLOOKUP(VLOOKUP($CB26,坦克个性化设定!$B$18:$E$48,4,FALSE)&amp;$CD26,坦克属性分配比例,MATCH("部件比例",坦克属性分配比例标头,0),FALSE)</f>
        <v>80.621605767413385</v>
      </c>
      <c r="CG26" s="42">
        <f ca="1">(VLOOKUP($CB26&amp;"最终",$S$3:$AE$63,MATCH(CG$3,$S$3:$AE$3,0),FALSE)-VLOOKUP($CB26&amp;"初始",$S$3:$AE$63,MATCH(CG$3,$S$3:$AE$3,0),FALSE))*VLOOKUP(VLOOKUP($CB26,坦克个性化设定!$B$18:$E$48,4,FALSE)&amp;$CD26,坦克属性分配比例,MATCH("部件比例",坦克属性分配比例标头,0),FALSE)*(1-$C$3)</f>
        <v>9.52</v>
      </c>
      <c r="CH26" s="42">
        <f ca="1">(VLOOKUP($CB26&amp;"最终",$S$3:$AE$63,MATCH(CH$3,$S$3:$AE$3,0),FALSE)-VLOOKUP($CB26&amp;"初始",$S$3:$AE$63,MATCH(CH$3,$S$3:$AE$3,0),FALSE))*VLOOKUP(VLOOKUP($CB26,坦克个性化设定!$B$18:$E$48,4,FALSE)&amp;$CD26,坦克属性分配比例,MATCH("部件比例",坦克属性分配比例标头,0),FALSE)*(1-$C$3)</f>
        <v>23.799999999999997</v>
      </c>
      <c r="CI26" s="42">
        <f ca="1">(VLOOKUP($CB26&amp;"最终",$S$3:$AE$63,MATCH(CI$3,$S$3:$AE$3,0),FALSE)-VLOOKUP($CB26&amp;"初始",$S$3:$AE$63,MATCH(CI$3,$S$3:$AE$3,0),FALSE))*VLOOKUP(VLOOKUP($CB26,坦克个性化设定!$B$18:$E$48,4,FALSE)&amp;$CD26,坦克属性分配比例,MATCH("部件比例",坦克属性分配比例标头,0),FALSE)</f>
        <v>79.449999999999989</v>
      </c>
    </row>
    <row r="27" spans="2:87" x14ac:dyDescent="0.3">
      <c r="B27" s="2">
        <v>22</v>
      </c>
      <c r="C27" s="2" t="str">
        <f>坦克个性化设定!B40</f>
        <v>KV-1</v>
      </c>
      <c r="D27" s="2">
        <v>3211</v>
      </c>
      <c r="E27" s="2" t="s">
        <v>645</v>
      </c>
      <c r="F27" s="2">
        <v>1</v>
      </c>
      <c r="G27" s="25" t="str">
        <f t="shared" si="17"/>
        <v>KV-1</v>
      </c>
      <c r="H27" s="25"/>
      <c r="I27" s="25"/>
      <c r="J27" s="25"/>
      <c r="K27" s="25"/>
      <c r="L27" s="25"/>
      <c r="M27" s="25"/>
      <c r="N27" s="25"/>
      <c r="O27" s="25"/>
      <c r="P27" s="25"/>
      <c r="Q27" s="25"/>
      <c r="R27" s="25"/>
      <c r="S27" s="2" t="str">
        <f t="shared" si="2"/>
        <v>T-34最终</v>
      </c>
      <c r="T27" s="2">
        <f>IF(COUNTIF(U$4:U26,U26)&gt;=$B$3,T26+1,T26)</f>
        <v>12</v>
      </c>
      <c r="U27" s="2" t="str">
        <f t="shared" si="3"/>
        <v>T-34</v>
      </c>
      <c r="V27" s="2" t="str">
        <f>VLOOKUP(U27,坦克个性化设定!$B$18:$F$48,5,FALSE)</f>
        <v>中坦自动</v>
      </c>
      <c r="W27" s="29" t="str">
        <f>VLOOKUP(U27,坦克个性化细分!$I$3:$J$33,2,FALSE)</f>
        <v>低</v>
      </c>
      <c r="X27" s="2" t="str">
        <f t="shared" si="16"/>
        <v>最终</v>
      </c>
      <c r="Y27" s="2" t="str">
        <f>VLOOKUP(VLOOKUP(U27,坦克个性化设定!$B$18:$F$48,4,FALSE)&amp;W27,坦克等级成长!$P$12:$U$24,MATCH(X27,坦克等级成长!$P$12:$U$12,0),FALSE)</f>
        <v>T2低4</v>
      </c>
      <c r="Z27" s="42">
        <f ca="1">VLOOKUP($Y27,INDIRECT($V27&amp;"_阶段属性"),MATCH(Z$3,属性标头_阶段属性,0),FALSE)*VLOOKUP($U27,坦克个性化设定!$B$84:$D$114,2,FALSE)</f>
        <v>1281.5321916525384</v>
      </c>
      <c r="AA27" s="42">
        <f ca="1">VLOOKUP($Y27,INDIRECT($V27&amp;"_阶段属性"),MATCH(AA$3,属性标头_阶段属性,0),FALSE)*VLOOKUP($U27,坦克个性化设定!$B$84:$D$114,3,FALSE)</f>
        <v>202.12234027478527</v>
      </c>
      <c r="AB27" s="2">
        <f t="shared" ca="1" si="18"/>
        <v>559</v>
      </c>
      <c r="AC27" s="2">
        <f t="shared" ca="1" si="18"/>
        <v>251</v>
      </c>
      <c r="AD27" s="2">
        <f t="shared" ca="1" si="18"/>
        <v>612</v>
      </c>
      <c r="AE27" s="2">
        <f t="shared" ca="1" si="18"/>
        <v>143</v>
      </c>
      <c r="AF27" s="25"/>
      <c r="AH27" s="2">
        <v>24</v>
      </c>
      <c r="AI27" s="2" t="str">
        <f t="shared" si="5"/>
        <v>黑豹</v>
      </c>
      <c r="AJ27" s="2">
        <f>VLOOKUP($AI27,坦克个性化细分!$I$3:$P$33,MATCH(AJ$3,坦克个性化细分!$I$3:$P$3,0),FALSE)</f>
        <v>30.7</v>
      </c>
      <c r="AK27" s="2">
        <f>VLOOKUP($AI27,坦克个性化细分!$I$3:$P$33,MATCH(AK$3,坦克个性化细分!$I$3:$P$3,0),FALSE)</f>
        <v>33.6</v>
      </c>
      <c r="AL27" s="2">
        <f>VLOOKUP($AI27,坦克个性化细分!$I$3:$P$33,MATCH(AL$3,坦克个性化细分!$I$3:$P$3,0),FALSE)</f>
        <v>6.3</v>
      </c>
      <c r="AM27" s="34">
        <f>VLOOKUP(AI27,坦克个性化细分!$AA$3:$AP$33,MATCH("射击偏移角",坦克个性化细分!$AA$3:$AP$3,0),FALSE)/VLOOKUP(AI27,坦克个性化细分!$AA$3:$AP$33,MATCH("原瞄准速度",坦克个性化细分!$AA$3:$AP$3,0),FALSE)</f>
        <v>3</v>
      </c>
      <c r="AN27" s="34">
        <f>VLOOKUP(AI27,坦克个性化细分!$AA$3:$AP$33,MATCH(AN$3,坦克个性化细分!$AA$3:$AP$3,0),FALSE)</f>
        <v>0</v>
      </c>
      <c r="AO27" s="2">
        <f>VLOOKUP(AI27,坦克个性化细分!$AA$3:$AP$33,MATCH("原换弹时间",坦克个性化细分!$AA$3:$AP$3,0),FALSE)</f>
        <v>6</v>
      </c>
      <c r="AP27" s="132"/>
      <c r="AQ27" s="2">
        <v>24</v>
      </c>
      <c r="AR27" s="2" t="str">
        <f t="shared" si="6"/>
        <v>黑豹</v>
      </c>
      <c r="AS27" s="2" t="s">
        <v>83</v>
      </c>
      <c r="AT27" s="34">
        <f>VLOOKUP(AR27,坦克个性化细分!$I$3:$P$33,MATCH("养成区间1",坦克个性化细分!$I$3:$P$3,0),FALSE)</f>
        <v>7.674999999999998</v>
      </c>
      <c r="AU27" s="2">
        <f>VLOOKUP(AR27,坦克个性化细分!$I$3:$P$33,MATCH("养成区间2",坦克个性化细分!$I$3:$P$3,0),FALSE)</f>
        <v>8.3999999999999986</v>
      </c>
      <c r="AV27" s="2">
        <f>VLOOKUP(AR27,坦克个性化细分!$I$3:$P$33,MATCH("养成区间3",坦克个性化细分!$I$3:$P$3,0),FALSE)</f>
        <v>0</v>
      </c>
      <c r="AW27" s="34">
        <f>VLOOKUP(AR27,坦克个性化细分!$AA$3:$AP$33,MATCH("瞄准区间",坦克个性化细分!$AA$3:$AP$3,0),FALSE)</f>
        <v>0.5</v>
      </c>
      <c r="AX27" s="34">
        <f>VLOOKUP(AI27,坦克个性化细分!$AA$3:$AP$33,MATCH("后射击间隔",坦克个性化细分!$AA$3:$AP$3,0),FALSE)-VLOOKUP(AI27,坦克个性化细分!$AA$3:$AP$33,MATCH(AN$3,坦克个性化细分!$AA$3:$AP$3,0),FALSE)</f>
        <v>0</v>
      </c>
      <c r="AY27" s="34">
        <f>VLOOKUP(AR27,坦克个性化细分!$AA$3:$AP$33,MATCH("换弹区间",坦克个性化细分!$AA$3:$AP$3,0),FALSE)</f>
        <v>0.84978540772532085</v>
      </c>
      <c r="AZ27" s="132"/>
      <c r="BA27" s="34">
        <f t="shared" si="8"/>
        <v>0.24999999999999994</v>
      </c>
      <c r="BB27" s="34">
        <f t="shared" si="9"/>
        <v>0.24999999999999994</v>
      </c>
      <c r="BC27" s="34">
        <f t="shared" si="10"/>
        <v>0</v>
      </c>
      <c r="BD27" s="34">
        <f t="shared" si="11"/>
        <v>0.16666666666666666</v>
      </c>
      <c r="BE27" s="34">
        <f t="shared" si="12"/>
        <v>0.14163090128755348</v>
      </c>
      <c r="BF27" s="34"/>
      <c r="BG27" s="132"/>
      <c r="BH27" s="2" t="str">
        <f t="shared" si="13"/>
        <v>35(t)1</v>
      </c>
      <c r="BI27" s="2">
        <f>IF(BL26&gt;=VLOOKUP(VLOOKUP(BJ26,坦克个性化设定!$B$18:$E$48,4,FALSE)&amp;BK26,坦克属性分配比例,MATCH("升星次数",坦克属性分配比例标头,0),FALSE),BI26+1,BI26)</f>
        <v>4</v>
      </c>
      <c r="BJ27" s="2" t="str">
        <f t="shared" si="14"/>
        <v>35(t)</v>
      </c>
      <c r="BK27" s="29" t="str">
        <f>VLOOKUP(BJ27,坦克个性化细分!$I$3:$J$33,2,FALSE)</f>
        <v>低</v>
      </c>
      <c r="BL27" s="2">
        <f t="shared" si="7"/>
        <v>1</v>
      </c>
      <c r="BM27" s="103">
        <f ca="1">ROUND(VLOOKUP($BJ27&amp;"初始",$S$3:$AE$63,MATCH(BM$3,$S$3:$AE$3,0),FALSE)+((VLOOKUP($BJ27&amp;"最终",$S$3:$AE$63,MATCH(BM$3,$S$3:$AE$3,0),FALSE)*坦克个性化细分!$C$9-VLOOKUP($BJ27&amp;"初始",$S$3:$AE$63,MATCH(BM$3,$S$3:$AE$3,0),FALSE))-(VLOOKUP($BJ27&amp;"最终",$S$3:$AE$63,MATCH(BM$3,$S$3:$AE$3,0),FALSE)-VLOOKUP($BJ27&amp;"初始",$S$3:$AE$63,MATCH(BM$3,$S$3:$AE$3,0),FALSE))*VLOOKUP(VLOOKUP($BJ27,坦克个性化设定!$B$18:$E$48,4,FALSE)&amp;$BK27,坦克属性分配比例,MATCH("部件比例",坦克属性分配比例标头,0),FALSE))*$BL27/VLOOKUP(VLOOKUP($BJ27,坦克个性化设定!$B$18:$E$48,4,FALSE)&amp;$BK27,坦克属性分配比例,MATCH("升星次数",坦克属性分配比例标头,0),FALSE),0)</f>
        <v>1267</v>
      </c>
      <c r="BN27" s="103">
        <f ca="1">ROUND(VLOOKUP($BJ27&amp;"初始",$S$3:$AE$63,MATCH(BN$3,$S$3:$AE$3,0),FALSE)+(VLOOKUP($BJ27&amp;"最终",$S$3:$AE$63,MATCH(BN$3,$S$3:$AE$3,0),FALSE)-VLOOKUP($BJ27&amp;"初始",$S$3:$AE$63,MATCH(BN$3,$S$3:$AE$3,0),FALSE))*$BL27/VLOOKUP(VLOOKUP($BJ27,坦克个性化设定!$B$18:$E$48,4,FALSE)&amp;$BK27,坦克属性分配比例,MATCH("升星次数",坦克属性分配比例标头,0),FALSE)*VLOOKUP(VLOOKUP($BJ27,坦克个性化设定!$B$18:$E$48,4,FALSE)&amp;$BK27,坦克属性分配比例,MATCH("升星比例",坦克属性分配比例标头,0),FALSE),0)</f>
        <v>108</v>
      </c>
      <c r="BO27" s="103">
        <f ca="1">ROUND(VLOOKUP($BJ27&amp;"初始",$S$3:$AE$63,MATCH(BO$3,$S$3:$AE$3,0),FALSE)+(VLOOKUP($BJ27&amp;"最终",$S$3:$AE$63,MATCH(BO$3,$S$3:$AE$3,0),FALSE)-VLOOKUP($BJ27&amp;"初始",$S$3:$AE$63,MATCH(BO$3,$S$3:$AE$3,0),FALSE))*$BL27/VLOOKUP(VLOOKUP($BJ27,坦克个性化设定!$B$18:$E$48,4,FALSE)&amp;$BK27,坦克属性分配比例,MATCH("升星次数",坦克属性分配比例标头,0),FALSE)*(VLOOKUP(VLOOKUP($BJ27,坦克个性化设定!$B$18:$E$48,4,FALSE)&amp;$BK27,坦克属性分配比例,MATCH("升星比例",坦克属性分配比例标头,0),FALSE)+VLOOKUP(VLOOKUP($BJ27,坦克个性化设定!$B$18:$E$48,4,FALSE)&amp;$BK27,坦克属性分配比例,MATCH("部件比例",坦克属性分配比例标头,0),FALSE)*$C$3),0)</f>
        <v>507</v>
      </c>
      <c r="BP27" s="103">
        <f ca="1">ROUND(VLOOKUP($BJ27&amp;"初始",$S$3:$AE$63,MATCH(BP$3,$S$3:$AE$3,0),FALSE)+(VLOOKUP($BJ27&amp;"最终",$S$3:$AE$63,MATCH(BP$3,$S$3:$AE$3,0),FALSE)-VLOOKUP($BJ27&amp;"初始",$S$3:$AE$63,MATCH(BP$3,$S$3:$AE$3,0),FALSE))*$BL27/VLOOKUP(VLOOKUP($BJ27,坦克个性化设定!$B$18:$E$48,4,FALSE)&amp;$BK27,坦克属性分配比例,MATCH("升星次数",坦克属性分配比例标头,0),FALSE)*(VLOOKUP(VLOOKUP($BJ27,坦克个性化设定!$B$18:$E$48,4,FALSE)&amp;$BK27,坦克属性分配比例,MATCH("升星比例",坦克属性分配比例标头,0),FALSE)+VLOOKUP(VLOOKUP($BJ27,坦克个性化设定!$B$18:$E$48,4,FALSE)&amp;$BK27,坦克属性分配比例,MATCH("部件比例",坦克属性分配比例标头,0),FALSE)*$C$3),0)</f>
        <v>203</v>
      </c>
      <c r="BQ27" s="103">
        <f ca="1">ROUND(VLOOKUP($BJ27&amp;"初始",$S$3:$AE$63,MATCH(BQ$3,$S$3:$AE$3,0),FALSE)+(VLOOKUP($BJ27&amp;"最终",$S$3:$AE$63,MATCH(BQ$3,$S$3:$AE$3,0),FALSE)-VLOOKUP($BJ27&amp;"初始",$S$3:$AE$63,MATCH(BQ$3,$S$3:$AE$3,0),FALSE))*$BL27/VLOOKUP(VLOOKUP($BJ27,坦克个性化设定!$B$18:$E$48,4,FALSE)&amp;$BK27,坦克属性分配比例,MATCH("升星次数",坦克属性分配比例标头,0),FALSE)*VLOOKUP(VLOOKUP($BJ27,坦克个性化设定!$B$18:$E$48,4,FALSE)&amp;$BK27,坦克属性分配比例,MATCH("升星比例",坦克属性分配比例标头,0),FALSE),0)</f>
        <v>458</v>
      </c>
      <c r="BR27" s="2">
        <f ca="1">ROUND(VLOOKUP($BJ27&amp;"初始",$S$3:$AE$63,MATCH(BR$3,$S$3:$AE$3,0),FALSE)+(VLOOKUP($BJ27&amp;"最终",$S$3:$AE$63,MATCH(BR$3,$S$3:$AE$3,0),FALSE)-VLOOKUP($BJ27&amp;"初始",$S$3:$AE$63,MATCH(BR$3,$S$3:$AE$3,0),FALSE))*$BL27/VLOOKUP(VLOOKUP($BJ27,坦克个性化设定!$B$18:$E$48,4,FALSE)&amp;$BK27,坦克属性分配比例,MATCH("升星次数",坦克属性分配比例标头,0),FALSE),0)</f>
        <v>124</v>
      </c>
      <c r="BS27" s="2">
        <f>ROUND(VLOOKUP($BJ27,$AI$3:$AO$33,MATCH(BS$3,$AI$3:$AO$3,0),FALSE)+$BL27/VLOOKUP(VLOOKUP($BJ27,坦克个性化设定!$B$18:$E$48,4,FALSE)&amp;$BK27,坦克属性分配比例,MATCH("升星次数",坦克属性分配比例标头,0),FALSE)*VLOOKUP($BJ27,$AR$3:$AY$33,MATCH(BS$3,$AR$3:$AY$3,0),FALSE),1)</f>
        <v>43.6</v>
      </c>
      <c r="BT27" s="2">
        <f>ROUND(VLOOKUP($BJ27,$AI$3:$AO$33,MATCH(BT$3,$AI$3:$AO$3,0),FALSE)+$BL27/VLOOKUP(VLOOKUP($BJ27,坦克个性化设定!$B$18:$E$48,4,FALSE)&amp;$BK27,坦克属性分配比例,MATCH("升星次数",坦克属性分配比例标头,0),FALSE)*VLOOKUP($BJ27,$AR$3:$AY$33,MATCH(BT$3,$AR$3:$AY$3,0),FALSE),1)</f>
        <v>51.4</v>
      </c>
      <c r="BU27" s="2">
        <f>ROUND(VLOOKUP($BJ27,$AI$3:$AO$33,MATCH(BU$3,$AI$3:$AO$3,0),FALSE)+$BL27/VLOOKUP(VLOOKUP($BJ27,坦克个性化设定!$B$18:$E$48,4,FALSE)&amp;$BK27,坦克属性分配比例,MATCH("升星次数",坦克属性分配比例标头,0),FALSE)*VLOOKUP($BJ27,$AR$3:$AY$33,MATCH(BU$3,$AR$3:$AY$3,0),FALSE),1)</f>
        <v>10</v>
      </c>
      <c r="BV27" s="2">
        <f>IF(VLOOKUP(BJ27,坦克个性化设定!$B$18:$BC$48,MATCH("装弹类型",坦克个性化设定!$B$18:$BC$18,0),FALSE)="弹夹换弹",0,ROUND(VLOOKUP($BJ27,$AI$3:$AO$33,MATCH("换弹时间",$AI$3:$AO$3,0),FALSE)-$BL27/VLOOKUP(VLOOKUP($BJ27,坦克个性化设定!$B$18:$E$48,4,FALSE)&amp;$BK27,坦克属性分配比例,MATCH("升星次数",坦克属性分配比例标头,0),FALSE)*VLOOKUP($BJ27,$AR$3:$AY$33,MATCH("换弹时间",$AR$3:$AY$3,0),FALSE),2))</f>
        <v>0</v>
      </c>
      <c r="BW27" s="2">
        <f>IF(VLOOKUP(BJ27,坦克个性化设定!$B$18:$BC$48,MATCH("装弹类型",坦克个性化设定!$B$18:$BC$18,0),FALSE)="弹夹换弹",ROUND(VLOOKUP($BJ27,$AI$3:$AO$33,MATCH("换弹时间",$AI$3:$AO$3,0),FALSE)-$BL27/VLOOKUP(VLOOKUP($BJ27,坦克个性化设定!$B$18:$E$48,4,FALSE)&amp;$BK27,坦克属性分配比例,MATCH("升星次数",坦克属性分配比例标头,0),FALSE)*VLOOKUP($BJ27,$AR$3:$AY$33,MATCH("换弹时间",$AR$3:$AY$3,0),FALSE),1),0)</f>
        <v>9.4</v>
      </c>
      <c r="BX27" s="2">
        <f>ROUND(VLOOKUP($BJ27,$AI$3:$AO$33,MATCH(BX$3,$AI$3:$AO$3,0),FALSE)+$BL27/VLOOKUP(VLOOKUP($BJ27,坦克个性化设定!$B$18:$E$48,4,FALSE)&amp;$BK27,坦克属性分配比例,MATCH("升星次数",坦克属性分配比例标头,0),FALSE)*VLOOKUP($BJ27,$AR$3:$AY$33,MATCH(BX$3,$AR$3:$AY$3,0),FALSE),2)</f>
        <v>0.8</v>
      </c>
      <c r="BY27" s="2">
        <f>ROUND(VLOOKUP($BJ27,$AI$3:$AO$33,MATCH(BY$3,$AI$3:$AO$3,0),FALSE)-$BL27/VLOOKUP(VLOOKUP($BJ27,坦克个性化设定!$B$18:$E$48,4,FALSE)&amp;$BK27,坦克属性分配比例,MATCH("升星次数",坦克属性分配比例标头,0),FALSE)*VLOOKUP($BJ27,$AR$3:$AY$33,MATCH(BY$3,$AR$3:$AY$3,0),FALSE),2)</f>
        <v>0.47</v>
      </c>
      <c r="CA27" s="2">
        <v>24</v>
      </c>
      <c r="CB27" s="2" t="str">
        <f t="shared" si="15"/>
        <v>黑豹</v>
      </c>
      <c r="CC27" s="2" t="str">
        <f>VLOOKUP(CB27,坦克个性化设定!$B$18:$F$48,5,FALSE)</f>
        <v>重坦单发</v>
      </c>
      <c r="CD27" s="29" t="str">
        <f>VLOOKUP(CB27,坦克个性化细分!$I$3:$J$33,2,FALSE)</f>
        <v>低</v>
      </c>
      <c r="CE27" s="42">
        <f ca="1">(VLOOKUP($CB27&amp;"最终",$S$3:$AE$63,MATCH(CE$3,$S$3:$AE$3,0),FALSE)-VLOOKUP($CB27&amp;"初始",$S$3:$AE$63,MATCH(CE$3,$S$3:$AE$3,0),FALSE))*VLOOKUP(VLOOKUP($CB27,坦克个性化设定!$B$18:$E$48,4,FALSE)&amp;$CD27,坦克属性分配比例,MATCH("部件比例",坦克属性分配比例标头,0),FALSE)</f>
        <v>234.43550533572898</v>
      </c>
      <c r="CF27" s="42">
        <f ca="1">(VLOOKUP($CB27&amp;"最终",$S$3:$AE$63,MATCH(CF$3,$S$3:$AE$3,0),FALSE)-VLOOKUP($CB27&amp;"初始",$S$3:$AE$63,MATCH(CF$3,$S$3:$AE$3,0),FALSE))*VLOOKUP(VLOOKUP($CB27,坦克个性化设定!$B$18:$E$48,4,FALSE)&amp;$CD27,坦克属性分配比例,MATCH("部件比例",坦克属性分配比例标头,0),FALSE)</f>
        <v>113.79709725195004</v>
      </c>
      <c r="CG27" s="42">
        <f ca="1">(VLOOKUP($CB27&amp;"最终",$S$3:$AE$63,MATCH(CG$3,$S$3:$AE$3,0),FALSE)-VLOOKUP($CB27&amp;"初始",$S$3:$AE$63,MATCH(CG$3,$S$3:$AE$3,0),FALSE))*VLOOKUP(VLOOKUP($CB27,坦克个性化设定!$B$18:$E$48,4,FALSE)&amp;$CD27,坦克属性分配比例,MATCH("部件比例",坦克属性分配比例标头,0),FALSE)*(1-$C$3)</f>
        <v>13.920000000000002</v>
      </c>
      <c r="CH27" s="42">
        <f ca="1">(VLOOKUP($CB27&amp;"最终",$S$3:$AE$63,MATCH(CH$3,$S$3:$AE$3,0),FALSE)-VLOOKUP($CB27&amp;"初始",$S$3:$AE$63,MATCH(CH$3,$S$3:$AE$3,0),FALSE))*VLOOKUP(VLOOKUP($CB27,坦克个性化设定!$B$18:$E$48,4,FALSE)&amp;$CD27,坦克属性分配比例,MATCH("部件比例",坦克属性分配比例标头,0),FALSE)*(1-$C$3)</f>
        <v>34.720000000000006</v>
      </c>
      <c r="CI27" s="42">
        <f ca="1">(VLOOKUP($CB27&amp;"最终",$S$3:$AE$63,MATCH(CI$3,$S$3:$AE$3,0),FALSE)-VLOOKUP($CB27&amp;"初始",$S$3:$AE$63,MATCH(CI$3,$S$3:$AE$3,0),FALSE))*VLOOKUP(VLOOKUP($CB27,坦克个性化设定!$B$18:$E$48,4,FALSE)&amp;$CD27,坦克属性分配比例,MATCH("部件比例",坦克属性分配比例标头,0),FALSE)</f>
        <v>115.60000000000001</v>
      </c>
    </row>
    <row r="28" spans="2:87" x14ac:dyDescent="0.3">
      <c r="B28" s="2">
        <v>23</v>
      </c>
      <c r="C28" s="2" t="str">
        <f>坦克个性化设定!B41</f>
        <v>丘吉尔</v>
      </c>
      <c r="D28" s="2">
        <v>3221</v>
      </c>
      <c r="E28" s="2" t="s">
        <v>647</v>
      </c>
      <c r="F28" s="2">
        <v>1</v>
      </c>
      <c r="G28" s="25" t="str">
        <f t="shared" si="17"/>
        <v>丘吉尔</v>
      </c>
      <c r="H28" s="25"/>
      <c r="I28" s="25"/>
      <c r="J28" s="25"/>
      <c r="K28" s="25"/>
      <c r="L28" s="25"/>
      <c r="M28" s="25"/>
      <c r="N28" s="25"/>
      <c r="O28" s="25"/>
      <c r="P28" s="25"/>
      <c r="Q28" s="25"/>
      <c r="R28" s="25"/>
      <c r="S28" s="2" t="str">
        <f t="shared" si="2"/>
        <v>四号初始</v>
      </c>
      <c r="T28" s="2">
        <f>IF(COUNTIF(U$4:U27,U27)&gt;=$B$3,T27+1,T27)</f>
        <v>13</v>
      </c>
      <c r="U28" s="2" t="str">
        <f t="shared" si="3"/>
        <v>四号</v>
      </c>
      <c r="V28" s="2" t="str">
        <f>VLOOKUP(U28,坦克个性化设定!$B$18:$F$48,5,FALSE)</f>
        <v>中坦自动</v>
      </c>
      <c r="W28" s="29" t="str">
        <f>VLOOKUP(U28,坦克个性化细分!$I$3:$J$33,2,FALSE)</f>
        <v>中</v>
      </c>
      <c r="X28" s="2" t="str">
        <f t="shared" si="16"/>
        <v>初始</v>
      </c>
      <c r="Y28" s="2" t="str">
        <f>VLOOKUP(VLOOKUP(U28,坦克个性化设定!$B$18:$F$48,4,FALSE)&amp;W28,坦克等级成长!$P$12:$U$24,MATCH(X28,坦克等级成长!$P$12:$U$12,0),FALSE)</f>
        <v>T2中2</v>
      </c>
      <c r="Z28" s="42">
        <f ca="1">VLOOKUP($Y28,INDIRECT($V28&amp;"_阶段属性"),MATCH(Z$3,属性标头_阶段属性,0),FALSE)*VLOOKUP($U28,坦克个性化设定!$B$84:$D$114,2,FALSE)</f>
        <v>983.25132333252657</v>
      </c>
      <c r="AA28" s="42">
        <f ca="1">VLOOKUP($Y28,INDIRECT($V28&amp;"_阶段属性"),MATCH(AA$3,属性标头_阶段属性,0),FALSE)*VLOOKUP($U28,坦克个性化设定!$B$84:$D$114,3,FALSE)</f>
        <v>143.82333469977391</v>
      </c>
      <c r="AB28" s="2">
        <f t="shared" ca="1" si="18"/>
        <v>401</v>
      </c>
      <c r="AC28" s="2">
        <f t="shared" ca="1" si="18"/>
        <v>180</v>
      </c>
      <c r="AD28" s="2">
        <f t="shared" ca="1" si="18"/>
        <v>439</v>
      </c>
      <c r="AE28" s="2">
        <f t="shared" ca="1" si="18"/>
        <v>103</v>
      </c>
      <c r="AF28" s="25"/>
      <c r="AH28" s="2">
        <v>25</v>
      </c>
      <c r="AI28" s="2" t="str">
        <f t="shared" si="5"/>
        <v>虎式</v>
      </c>
      <c r="AJ28" s="2">
        <f>VLOOKUP($AI28,坦克个性化细分!$I$3:$P$33,MATCH(AJ$3,坦克个性化细分!$I$3:$P$3,0),FALSE)</f>
        <v>31.3</v>
      </c>
      <c r="AK28" s="2">
        <f>VLOOKUP($AI28,坦克个性化细分!$I$3:$P$33,MATCH(AK$3,坦克个性化细分!$I$3:$P$3,0),FALSE)</f>
        <v>35.700000000000003</v>
      </c>
      <c r="AL28" s="2">
        <f>VLOOKUP($AI28,坦克个性化细分!$I$3:$P$33,MATCH(AL$3,坦克个性化细分!$I$3:$P$3,0),FALSE)</f>
        <v>6.4</v>
      </c>
      <c r="AM28" s="34">
        <f>VLOOKUP(AI28,坦克个性化细分!$AA$3:$AP$33,MATCH("射击偏移角",坦克个性化细分!$AA$3:$AP$3,0),FALSE)/VLOOKUP(AI28,坦克个性化细分!$AA$3:$AP$33,MATCH("原瞄准速度",坦克个性化细分!$AA$3:$AP$3,0),FALSE)</f>
        <v>3</v>
      </c>
      <c r="AN28" s="34">
        <f>VLOOKUP(AI28,坦克个性化细分!$AA$3:$AP$33,MATCH(AN$3,坦克个性化细分!$AA$3:$AP$3,0),FALSE)</f>
        <v>0</v>
      </c>
      <c r="AO28" s="2">
        <f>VLOOKUP(AI28,坦克个性化细分!$AA$3:$AP$33,MATCH("原换弹时间",坦克个性化细分!$AA$3:$AP$3,0),FALSE)</f>
        <v>6</v>
      </c>
      <c r="AP28" s="132"/>
      <c r="AQ28" s="2">
        <v>25</v>
      </c>
      <c r="AR28" s="2" t="str">
        <f t="shared" si="6"/>
        <v>虎式</v>
      </c>
      <c r="AS28" s="2" t="s">
        <v>83</v>
      </c>
      <c r="AT28" s="34">
        <f>VLOOKUP(AR28,坦克个性化细分!$I$3:$P$33,MATCH("养成区间1",坦克个性化细分!$I$3:$P$3,0),FALSE)</f>
        <v>7.8249999999999984</v>
      </c>
      <c r="AU28" s="2">
        <f>VLOOKUP(AR28,坦克个性化细分!$I$3:$P$33,MATCH("养成区间2",坦克个性化细分!$I$3:$P$3,0),FALSE)</f>
        <v>8.9249999999999972</v>
      </c>
      <c r="AV28" s="2">
        <f>VLOOKUP(AR28,坦克个性化细分!$I$3:$P$33,MATCH("养成区间3",坦克个性化细分!$I$3:$P$3,0),FALSE)</f>
        <v>0</v>
      </c>
      <c r="AW28" s="34">
        <f>VLOOKUP(AR28,坦克个性化细分!$AA$3:$AP$33,MATCH("瞄准区间",坦克个性化细分!$AA$3:$AP$3,0),FALSE)</f>
        <v>0.5</v>
      </c>
      <c r="AX28" s="34">
        <f>VLOOKUP(AI28,坦克个性化细分!$AA$3:$AP$33,MATCH("后射击间隔",坦克个性化细分!$AA$3:$AP$3,0),FALSE)-VLOOKUP(AI28,坦克个性化细分!$AA$3:$AP$33,MATCH(AN$3,坦克个性化细分!$AA$3:$AP$3,0),FALSE)</f>
        <v>0</v>
      </c>
      <c r="AY28" s="34">
        <f>VLOOKUP(AR28,坦克个性化细分!$AA$3:$AP$33,MATCH("换弹区间",坦克个性化细分!$AA$3:$AP$3,0),FALSE)</f>
        <v>0.84978540772532085</v>
      </c>
      <c r="AZ28" s="132"/>
      <c r="BA28" s="34">
        <f t="shared" si="8"/>
        <v>0.24999999999999994</v>
      </c>
      <c r="BB28" s="34">
        <f t="shared" si="9"/>
        <v>0.24999999999999989</v>
      </c>
      <c r="BC28" s="34">
        <f t="shared" si="10"/>
        <v>0</v>
      </c>
      <c r="BD28" s="34">
        <f t="shared" si="11"/>
        <v>0.16666666666666666</v>
      </c>
      <c r="BE28" s="34">
        <f t="shared" si="12"/>
        <v>0.14163090128755348</v>
      </c>
      <c r="BF28" s="34"/>
      <c r="BG28" s="132"/>
      <c r="BH28" s="2" t="str">
        <f t="shared" si="13"/>
        <v>35(t)2</v>
      </c>
      <c r="BI28" s="2">
        <f>IF(BL27&gt;=VLOOKUP(VLOOKUP(BJ27,坦克个性化设定!$B$18:$E$48,4,FALSE)&amp;BK27,坦克属性分配比例,MATCH("升星次数",坦克属性分配比例标头,0),FALSE),BI27+1,BI27)</f>
        <v>4</v>
      </c>
      <c r="BJ28" s="2" t="str">
        <f t="shared" si="14"/>
        <v>35(t)</v>
      </c>
      <c r="BK28" s="29" t="str">
        <f>VLOOKUP(BJ28,坦克个性化细分!$I$3:$J$33,2,FALSE)</f>
        <v>低</v>
      </c>
      <c r="BL28" s="2">
        <f t="shared" si="7"/>
        <v>2</v>
      </c>
      <c r="BM28" s="103">
        <f ca="1">ROUND(VLOOKUP($BJ28&amp;"初始",$S$3:$AE$63,MATCH(BM$3,$S$3:$AE$3,0),FALSE)+((VLOOKUP($BJ28&amp;"最终",$S$3:$AE$63,MATCH(BM$3,$S$3:$AE$3,0),FALSE)*坦克个性化细分!$C$9-VLOOKUP($BJ28&amp;"初始",$S$3:$AE$63,MATCH(BM$3,$S$3:$AE$3,0),FALSE))-(VLOOKUP($BJ28&amp;"最终",$S$3:$AE$63,MATCH(BM$3,$S$3:$AE$3,0),FALSE)-VLOOKUP($BJ28&amp;"初始",$S$3:$AE$63,MATCH(BM$3,$S$3:$AE$3,0),FALSE))*VLOOKUP(VLOOKUP($BJ28,坦克个性化设定!$B$18:$E$48,4,FALSE)&amp;$BK28,坦克属性分配比例,MATCH("部件比例",坦克属性分配比例标头,0),FALSE))*$BL28/VLOOKUP(VLOOKUP($BJ28,坦克个性化设定!$B$18:$E$48,4,FALSE)&amp;$BK28,坦克属性分配比例,MATCH("升星次数",坦克属性分配比例标头,0),FALSE),0)</f>
        <v>1331</v>
      </c>
      <c r="BN28" s="103">
        <f ca="1">ROUND(VLOOKUP($BJ28&amp;"初始",$S$3:$AE$63,MATCH(BN$3,$S$3:$AE$3,0),FALSE)+(VLOOKUP($BJ28&amp;"最终",$S$3:$AE$63,MATCH(BN$3,$S$3:$AE$3,0),FALSE)-VLOOKUP($BJ28&amp;"初始",$S$3:$AE$63,MATCH(BN$3,$S$3:$AE$3,0),FALSE))*$BL28/VLOOKUP(VLOOKUP($BJ28,坦克个性化设定!$B$18:$E$48,4,FALSE)&amp;$BK28,坦克属性分配比例,MATCH("升星次数",坦克属性分配比例标头,0),FALSE)*VLOOKUP(VLOOKUP($BJ28,坦克个性化设定!$B$18:$E$48,4,FALSE)&amp;$BK28,坦克属性分配比例,MATCH("升星比例",坦克属性分配比例标头,0),FALSE),0)</f>
        <v>111</v>
      </c>
      <c r="BO28" s="103">
        <f ca="1">ROUND(VLOOKUP($BJ28&amp;"初始",$S$3:$AE$63,MATCH(BO$3,$S$3:$AE$3,0),FALSE)+(VLOOKUP($BJ28&amp;"最终",$S$3:$AE$63,MATCH(BO$3,$S$3:$AE$3,0),FALSE)-VLOOKUP($BJ28&amp;"初始",$S$3:$AE$63,MATCH(BO$3,$S$3:$AE$3,0),FALSE))*$BL28/VLOOKUP(VLOOKUP($BJ28,坦克个性化设定!$B$18:$E$48,4,FALSE)&amp;$BK28,坦克属性分配比例,MATCH("升星次数",坦克属性分配比例标头,0),FALSE)*(VLOOKUP(VLOOKUP($BJ28,坦克个性化设定!$B$18:$E$48,4,FALSE)&amp;$BK28,坦克属性分配比例,MATCH("升星比例",坦克属性分配比例标头,0),FALSE)+VLOOKUP(VLOOKUP($BJ28,坦克个性化设定!$B$18:$E$48,4,FALSE)&amp;$BK28,坦克属性分配比例,MATCH("部件比例",坦克属性分配比例标头,0),FALSE)*$C$3),0)</f>
        <v>528</v>
      </c>
      <c r="BP28" s="103">
        <f ca="1">ROUND(VLOOKUP($BJ28&amp;"初始",$S$3:$AE$63,MATCH(BP$3,$S$3:$AE$3,0),FALSE)+(VLOOKUP($BJ28&amp;"最终",$S$3:$AE$63,MATCH(BP$3,$S$3:$AE$3,0),FALSE)-VLOOKUP($BJ28&amp;"初始",$S$3:$AE$63,MATCH(BP$3,$S$3:$AE$3,0),FALSE))*$BL28/VLOOKUP(VLOOKUP($BJ28,坦克个性化设定!$B$18:$E$48,4,FALSE)&amp;$BK28,坦克属性分配比例,MATCH("升星次数",坦克属性分配比例标头,0),FALSE)*(VLOOKUP(VLOOKUP($BJ28,坦克个性化设定!$B$18:$E$48,4,FALSE)&amp;$BK28,坦克属性分配比例,MATCH("升星比例",坦克属性分配比例标头,0),FALSE)+VLOOKUP(VLOOKUP($BJ28,坦克个性化设定!$B$18:$E$48,4,FALSE)&amp;$BK28,坦克属性分配比例,MATCH("部件比例",坦克属性分配比例标头,0),FALSE)*$C$3),0)</f>
        <v>212</v>
      </c>
      <c r="BQ28" s="103">
        <f ca="1">ROUND(VLOOKUP($BJ28&amp;"初始",$S$3:$AE$63,MATCH(BQ$3,$S$3:$AE$3,0),FALSE)+(VLOOKUP($BJ28&amp;"最终",$S$3:$AE$63,MATCH(BQ$3,$S$3:$AE$3,0),FALSE)-VLOOKUP($BJ28&amp;"初始",$S$3:$AE$63,MATCH(BQ$3,$S$3:$AE$3,0),FALSE))*$BL28/VLOOKUP(VLOOKUP($BJ28,坦克个性化设定!$B$18:$E$48,4,FALSE)&amp;$BK28,坦克属性分配比例,MATCH("升星次数",坦克属性分配比例标头,0),FALSE)*VLOOKUP(VLOOKUP($BJ28,坦克个性化设定!$B$18:$E$48,4,FALSE)&amp;$BK28,坦克属性分配比例,MATCH("升星比例",坦克属性分配比例标头,0),FALSE),0)</f>
        <v>472</v>
      </c>
      <c r="BR28" s="2">
        <f ca="1">ROUND(VLOOKUP($BJ28&amp;"初始",$S$3:$AE$63,MATCH(BR$3,$S$3:$AE$3,0),FALSE)+(VLOOKUP($BJ28&amp;"最终",$S$3:$AE$63,MATCH(BR$3,$S$3:$AE$3,0),FALSE)-VLOOKUP($BJ28&amp;"初始",$S$3:$AE$63,MATCH(BR$3,$S$3:$AE$3,0),FALSE))*$BL28/VLOOKUP(VLOOKUP($BJ28,坦克个性化设定!$B$18:$E$48,4,FALSE)&amp;$BK28,坦克属性分配比例,MATCH("升星次数",坦克属性分配比例标头,0),FALSE),0)</f>
        <v>130</v>
      </c>
      <c r="BS28" s="2">
        <f>ROUND(VLOOKUP($BJ28,$AI$3:$AO$33,MATCH(BS$3,$AI$3:$AO$3,0),FALSE)+$BL28/VLOOKUP(VLOOKUP($BJ28,坦克个性化设定!$B$18:$E$48,4,FALSE)&amp;$BK28,坦克属性分配比例,MATCH("升星次数",坦克属性分配比例标头,0),FALSE)*VLOOKUP($BJ28,$AR$3:$AY$33,MATCH(BS$3,$AR$3:$AY$3,0),FALSE),1)</f>
        <v>44.8</v>
      </c>
      <c r="BT28" s="2">
        <f>ROUND(VLOOKUP($BJ28,$AI$3:$AO$33,MATCH(BT$3,$AI$3:$AO$3,0),FALSE)+$BL28/VLOOKUP(VLOOKUP($BJ28,坦克个性化设定!$B$18:$E$48,4,FALSE)&amp;$BK28,坦克属性分配比例,MATCH("升星次数",坦克属性分配比例标头,0),FALSE)*VLOOKUP($BJ28,$AR$3:$AY$33,MATCH(BT$3,$AR$3:$AY$3,0),FALSE),1)</f>
        <v>52.8</v>
      </c>
      <c r="BU28" s="2">
        <f>ROUND(VLOOKUP($BJ28,$AI$3:$AO$33,MATCH(BU$3,$AI$3:$AO$3,0),FALSE)+$BL28/VLOOKUP(VLOOKUP($BJ28,坦克个性化设定!$B$18:$E$48,4,FALSE)&amp;$BK28,坦克属性分配比例,MATCH("升星次数",坦克属性分配比例标头,0),FALSE)*VLOOKUP($BJ28,$AR$3:$AY$33,MATCH(BU$3,$AR$3:$AY$3,0),FALSE),1)</f>
        <v>10</v>
      </c>
      <c r="BV28" s="2">
        <f>IF(VLOOKUP(BJ28,坦克个性化设定!$B$18:$BC$48,MATCH("装弹类型",坦克个性化设定!$B$18:$BC$18,0),FALSE)="弹夹换弹",0,ROUND(VLOOKUP($BJ28,$AI$3:$AO$33,MATCH("换弹时间",$AI$3:$AO$3,0),FALSE)-$BL28/VLOOKUP(VLOOKUP($BJ28,坦克个性化设定!$B$18:$E$48,4,FALSE)&amp;$BK28,坦克属性分配比例,MATCH("升星次数",坦克属性分配比例标头,0),FALSE)*VLOOKUP($BJ28,$AR$3:$AY$33,MATCH("换弹时间",$AR$3:$AY$3,0),FALSE),2))</f>
        <v>0</v>
      </c>
      <c r="BW28" s="2">
        <f>IF(VLOOKUP(BJ28,坦克个性化设定!$B$18:$BC$48,MATCH("装弹类型",坦克个性化设定!$B$18:$BC$18,0),FALSE)="弹夹换弹",ROUND(VLOOKUP($BJ28,$AI$3:$AO$33,MATCH("换弹时间",$AI$3:$AO$3,0),FALSE)-$BL28/VLOOKUP(VLOOKUP($BJ28,坦克个性化设定!$B$18:$E$48,4,FALSE)&amp;$BK28,坦克属性分配比例,MATCH("升星次数",坦克属性分配比例标头,0),FALSE)*VLOOKUP($BJ28,$AR$3:$AY$33,MATCH("换弹时间",$AR$3:$AY$3,0),FALSE),1),0)</f>
        <v>9</v>
      </c>
      <c r="BX28" s="2">
        <f>ROUND(VLOOKUP($BJ28,$AI$3:$AO$33,MATCH(BX$3,$AI$3:$AO$3,0),FALSE)+$BL28/VLOOKUP(VLOOKUP($BJ28,坦克个性化设定!$B$18:$E$48,4,FALSE)&amp;$BK28,坦克属性分配比例,MATCH("升星次数",坦克属性分配比例标头,0),FALSE)*VLOOKUP($BJ28,$AR$3:$AY$33,MATCH(BX$3,$AR$3:$AY$3,0),FALSE),2)</f>
        <v>0.8</v>
      </c>
      <c r="BY28" s="2">
        <f>ROUND(VLOOKUP($BJ28,$AI$3:$AO$33,MATCH(BY$3,$AI$3:$AO$3,0),FALSE)-$BL28/VLOOKUP(VLOOKUP($BJ28,坦克个性化设定!$B$18:$E$48,4,FALSE)&amp;$BK28,坦克属性分配比例,MATCH("升星次数",坦克属性分配比例标头,0),FALSE)*VLOOKUP($BJ28,$AR$3:$AY$33,MATCH(BY$3,$AR$3:$AY$3,0),FALSE),2)</f>
        <v>0.46</v>
      </c>
      <c r="CA28" s="2">
        <v>25</v>
      </c>
      <c r="CB28" s="2" t="str">
        <f t="shared" si="15"/>
        <v>虎式</v>
      </c>
      <c r="CC28" s="2" t="str">
        <f>VLOOKUP(CB28,坦克个性化设定!$B$18:$F$48,5,FALSE)</f>
        <v>重坦单发</v>
      </c>
      <c r="CD28" s="29" t="str">
        <f>VLOOKUP(CB28,坦克个性化细分!$I$3:$J$33,2,FALSE)</f>
        <v>中</v>
      </c>
      <c r="CE28" s="42">
        <f ca="1">(VLOOKUP($CB28&amp;"最终",$S$3:$AE$63,MATCH(CE$3,$S$3:$AE$3,0),FALSE)-VLOOKUP($CB28&amp;"初始",$S$3:$AE$63,MATCH(CE$3,$S$3:$AE$3,0),FALSE))*VLOOKUP(VLOOKUP($CB28,坦克个性化设定!$B$18:$E$48,4,FALSE)&amp;$CD28,坦克属性分配比例,MATCH("部件比例",坦克属性分配比例标头,0),FALSE)</f>
        <v>259.92384542078224</v>
      </c>
      <c r="CF28" s="42">
        <f ca="1">(VLOOKUP($CB28&amp;"最终",$S$3:$AE$63,MATCH(CF$3,$S$3:$AE$3,0),FALSE)-VLOOKUP($CB28&amp;"初始",$S$3:$AE$63,MATCH(CF$3,$S$3:$AE$3,0),FALSE))*VLOOKUP(VLOOKUP($CB28,坦克个性化设定!$B$18:$E$48,4,FALSE)&amp;$CD28,坦克属性分配比例,MATCH("部件比例",坦克属性分配比例标头,0),FALSE)</f>
        <v>126.76820761349619</v>
      </c>
      <c r="CG28" s="42">
        <f ca="1">(VLOOKUP($CB28&amp;"最终",$S$3:$AE$63,MATCH(CG$3,$S$3:$AE$3,0),FALSE)-VLOOKUP($CB28&amp;"初始",$S$3:$AE$63,MATCH(CG$3,$S$3:$AE$3,0),FALSE))*VLOOKUP(VLOOKUP($CB28,坦克个性化设定!$B$18:$E$48,4,FALSE)&amp;$CD28,坦克属性分配比例,MATCH("部件比例",坦克属性分配比例标头,0),FALSE)*(1-$C$3)</f>
        <v>14.880000000000003</v>
      </c>
      <c r="CH28" s="42">
        <f ca="1">(VLOOKUP($CB28&amp;"最终",$S$3:$AE$63,MATCH(CH$3,$S$3:$AE$3,0),FALSE)-VLOOKUP($CB28&amp;"初始",$S$3:$AE$63,MATCH(CH$3,$S$3:$AE$3,0),FALSE))*VLOOKUP(VLOOKUP($CB28,坦克个性化设定!$B$18:$E$48,4,FALSE)&amp;$CD28,坦克属性分配比例,MATCH("部件比例",坦克属性分配比例标头,0),FALSE)*(1-$C$3)</f>
        <v>37.28</v>
      </c>
      <c r="CI28" s="42">
        <f ca="1">(VLOOKUP($CB28&amp;"最终",$S$3:$AE$63,MATCH(CI$3,$S$3:$AE$3,0),FALSE)-VLOOKUP($CB28&amp;"初始",$S$3:$AE$63,MATCH(CI$3,$S$3:$AE$3,0),FALSE))*VLOOKUP(VLOOKUP($CB28,坦克个性化设定!$B$18:$E$48,4,FALSE)&amp;$CD28,坦克属性分配比例,MATCH("部件比例",坦克属性分配比例标头,0),FALSE)</f>
        <v>124.4</v>
      </c>
    </row>
    <row r="29" spans="2:87" x14ac:dyDescent="0.3">
      <c r="B29" s="2">
        <v>24</v>
      </c>
      <c r="C29" s="2" t="str">
        <f>坦克个性化设定!B42</f>
        <v>黑豹</v>
      </c>
      <c r="D29" s="2">
        <v>3311</v>
      </c>
      <c r="E29" s="2" t="s">
        <v>648</v>
      </c>
      <c r="F29" s="2">
        <v>1</v>
      </c>
      <c r="G29" s="25" t="str">
        <f t="shared" si="17"/>
        <v>黑豹</v>
      </c>
      <c r="H29" s="25"/>
      <c r="I29" s="25"/>
      <c r="J29" s="25"/>
      <c r="K29" s="25"/>
      <c r="L29" s="25"/>
      <c r="M29" s="25"/>
      <c r="N29" s="25"/>
      <c r="O29" s="25"/>
      <c r="P29" s="25"/>
      <c r="Q29" s="25"/>
      <c r="R29" s="25"/>
      <c r="S29" s="2" t="str">
        <f t="shared" si="2"/>
        <v>四号最终</v>
      </c>
      <c r="T29" s="2">
        <f>IF(COUNTIF(U$4:U28,U28)&gt;=$B$3,T28+1,T28)</f>
        <v>13</v>
      </c>
      <c r="U29" s="2" t="str">
        <f t="shared" si="3"/>
        <v>四号</v>
      </c>
      <c r="V29" s="2" t="str">
        <f>VLOOKUP(U29,坦克个性化设定!$B$18:$F$48,5,FALSE)</f>
        <v>中坦自动</v>
      </c>
      <c r="W29" s="29" t="str">
        <f>VLOOKUP(U29,坦克个性化细分!$I$3:$J$33,2,FALSE)</f>
        <v>中</v>
      </c>
      <c r="X29" s="2" t="str">
        <f t="shared" si="16"/>
        <v>最终</v>
      </c>
      <c r="Y29" s="2" t="str">
        <f>VLOOKUP(VLOOKUP(U29,坦克个性化设定!$B$18:$F$48,4,FALSE)&amp;W29,坦克等级成长!$P$12:$U$24,MATCH(X29,坦克等级成长!$P$12:$U$12,0),FALSE)</f>
        <v>T2中4</v>
      </c>
      <c r="Z29" s="42">
        <f ca="1">VLOOKUP($Y29,INDIRECT($V29&amp;"_阶段属性"),MATCH(Z$3,属性标头_阶段属性,0),FALSE)*VLOOKUP($U29,坦克个性化设定!$B$84:$D$114,2,FALSE)</f>
        <v>1419.4017157835306</v>
      </c>
      <c r="AA29" s="42">
        <f ca="1">VLOOKUP($Y29,INDIRECT($V29&amp;"_阶段属性"),MATCH(AA$3,属性标头_阶段属性,0),FALSE)*VLOOKUP($U29,坦克个性化设定!$B$84:$D$114,3,FALSE)</f>
        <v>207.2031093132336</v>
      </c>
      <c r="AB29" s="2">
        <f t="shared" ca="1" si="18"/>
        <v>578</v>
      </c>
      <c r="AC29" s="2">
        <f t="shared" ca="1" si="18"/>
        <v>260</v>
      </c>
      <c r="AD29" s="2">
        <f t="shared" ca="1" si="18"/>
        <v>634</v>
      </c>
      <c r="AE29" s="2">
        <f t="shared" ca="1" si="18"/>
        <v>148</v>
      </c>
      <c r="AF29" s="25"/>
      <c r="AH29" s="2">
        <v>26</v>
      </c>
      <c r="AI29" s="2" t="str">
        <f t="shared" si="5"/>
        <v>KV-2</v>
      </c>
      <c r="AJ29" s="2">
        <f>VLOOKUP($AI29,坦克个性化细分!$I$3:$P$33,MATCH(AJ$3,坦克个性化细分!$I$3:$P$3,0),FALSE)</f>
        <v>40.299999999999997</v>
      </c>
      <c r="AK29" s="2">
        <f>VLOOKUP($AI29,坦克个性化细分!$I$3:$P$33,MATCH(AK$3,坦克个性化细分!$I$3:$P$3,0),FALSE)</f>
        <v>29.4</v>
      </c>
      <c r="AL29" s="2">
        <f>VLOOKUP($AI29,坦克个性化细分!$I$3:$P$33,MATCH(AL$3,坦克个性化细分!$I$3:$P$3,0),FALSE)</f>
        <v>7.4</v>
      </c>
      <c r="AM29" s="34">
        <f>VLOOKUP(AI29,坦克个性化细分!$AA$3:$AP$33,MATCH("射击偏移角",坦克个性化细分!$AA$3:$AP$3,0),FALSE)/VLOOKUP(AI29,坦克个性化细分!$AA$3:$AP$33,MATCH("原瞄准速度",坦克个性化细分!$AA$3:$AP$3,0),FALSE)</f>
        <v>2.2500000000000004</v>
      </c>
      <c r="AN29" s="34">
        <f>VLOOKUP(AI29,坦克个性化细分!$AA$3:$AP$33,MATCH(AN$3,坦克个性化细分!$AA$3:$AP$3,0),FALSE)</f>
        <v>2</v>
      </c>
      <c r="AO29" s="2">
        <f>VLOOKUP(AI29,坦克个性化细分!$AA$3:$AP$33,MATCH("原换弹时间",坦克个性化细分!$AA$3:$AP$3,0),FALSE)</f>
        <v>4.05</v>
      </c>
      <c r="AP29" s="132"/>
      <c r="AQ29" s="2">
        <v>26</v>
      </c>
      <c r="AR29" s="2" t="str">
        <f t="shared" si="6"/>
        <v>KV-2</v>
      </c>
      <c r="AS29" s="2" t="s">
        <v>82</v>
      </c>
      <c r="AT29" s="34">
        <f>VLOOKUP(AR29,坦克个性化细分!$I$3:$P$33,MATCH("养成区间1",坦克个性化细分!$I$3:$P$3,0),FALSE)</f>
        <v>10.074999999999996</v>
      </c>
      <c r="AU29" s="2">
        <f>VLOOKUP(AR29,坦克个性化细分!$I$3:$P$33,MATCH("养成区间2",坦克个性化细分!$I$3:$P$3,0),FALSE)</f>
        <v>7.349999999999997</v>
      </c>
      <c r="AV29" s="2">
        <f>VLOOKUP(AR29,坦克个性化细分!$I$3:$P$33,MATCH("养成区间3",坦克个性化细分!$I$3:$P$3,0),FALSE)</f>
        <v>0</v>
      </c>
      <c r="AW29" s="34">
        <f>VLOOKUP(AR29,坦克个性化细分!$AA$3:$AP$33,MATCH("瞄准区间",坦克个性化细分!$AA$3:$AP$3,0),FALSE)</f>
        <v>0.37500000000000022</v>
      </c>
      <c r="AX29" s="34">
        <f>VLOOKUP(AI29,坦克个性化细分!$AA$3:$AP$33,MATCH("后射击间隔",坦克个性化细分!$AA$3:$AP$3,0),FALSE)-VLOOKUP(AI29,坦克个性化细分!$AA$3:$AP$33,MATCH(AN$3,坦克个性化细分!$AA$3:$AP$3,0),FALSE)</f>
        <v>0</v>
      </c>
      <c r="AY29" s="34">
        <f>VLOOKUP(AR29,坦克个性化细分!$AA$3:$AP$33,MATCH("换弹区间",坦克个性化细分!$AA$3:$AP$3,0),FALSE)</f>
        <v>0.58920102542191843</v>
      </c>
      <c r="AZ29" s="132"/>
      <c r="BA29" s="34">
        <f t="shared" si="8"/>
        <v>0.24999999999999992</v>
      </c>
      <c r="BB29" s="34">
        <f t="shared" si="9"/>
        <v>0.24999999999999992</v>
      </c>
      <c r="BC29" s="34">
        <f t="shared" si="10"/>
        <v>0</v>
      </c>
      <c r="BD29" s="34">
        <f t="shared" si="11"/>
        <v>0.16666666666666674</v>
      </c>
      <c r="BE29" s="34">
        <f t="shared" si="12"/>
        <v>0.14548173467207864</v>
      </c>
      <c r="BF29" s="34"/>
      <c r="BG29" s="132"/>
      <c r="BH29" s="2" t="str">
        <f t="shared" si="13"/>
        <v>35(t)3</v>
      </c>
      <c r="BI29" s="2">
        <f>IF(BL28&gt;=VLOOKUP(VLOOKUP(BJ28,坦克个性化设定!$B$18:$E$48,4,FALSE)&amp;BK28,坦克属性分配比例,MATCH("升星次数",坦克属性分配比例标头,0),FALSE),BI28+1,BI28)</f>
        <v>4</v>
      </c>
      <c r="BJ29" s="2" t="str">
        <f t="shared" si="14"/>
        <v>35(t)</v>
      </c>
      <c r="BK29" s="29" t="str">
        <f>VLOOKUP(BJ29,坦克个性化细分!$I$3:$J$33,2,FALSE)</f>
        <v>低</v>
      </c>
      <c r="BL29" s="2">
        <f t="shared" si="7"/>
        <v>3</v>
      </c>
      <c r="BM29" s="103">
        <f ca="1">ROUND(VLOOKUP($BJ29&amp;"初始",$S$3:$AE$63,MATCH(BM$3,$S$3:$AE$3,0),FALSE)+((VLOOKUP($BJ29&amp;"最终",$S$3:$AE$63,MATCH(BM$3,$S$3:$AE$3,0),FALSE)*坦克个性化细分!$C$9-VLOOKUP($BJ29&amp;"初始",$S$3:$AE$63,MATCH(BM$3,$S$3:$AE$3,0),FALSE))-(VLOOKUP($BJ29&amp;"最终",$S$3:$AE$63,MATCH(BM$3,$S$3:$AE$3,0),FALSE)-VLOOKUP($BJ29&amp;"初始",$S$3:$AE$63,MATCH(BM$3,$S$3:$AE$3,0),FALSE))*VLOOKUP(VLOOKUP($BJ29,坦克个性化设定!$B$18:$E$48,4,FALSE)&amp;$BK29,坦克属性分配比例,MATCH("部件比例",坦克属性分配比例标头,0),FALSE))*$BL29/VLOOKUP(VLOOKUP($BJ29,坦克个性化设定!$B$18:$E$48,4,FALSE)&amp;$BK29,坦克属性分配比例,MATCH("升星次数",坦克属性分配比例标头,0),FALSE),0)</f>
        <v>1394</v>
      </c>
      <c r="BN29" s="103">
        <f ca="1">ROUND(VLOOKUP($BJ29&amp;"初始",$S$3:$AE$63,MATCH(BN$3,$S$3:$AE$3,0),FALSE)+(VLOOKUP($BJ29&amp;"最终",$S$3:$AE$63,MATCH(BN$3,$S$3:$AE$3,0),FALSE)-VLOOKUP($BJ29&amp;"初始",$S$3:$AE$63,MATCH(BN$3,$S$3:$AE$3,0),FALSE))*$BL29/VLOOKUP(VLOOKUP($BJ29,坦克个性化设定!$B$18:$E$48,4,FALSE)&amp;$BK29,坦克属性分配比例,MATCH("升星次数",坦克属性分配比例标头,0),FALSE)*VLOOKUP(VLOOKUP($BJ29,坦克个性化设定!$B$18:$E$48,4,FALSE)&amp;$BK29,坦克属性分配比例,MATCH("升星比例",坦克属性分配比例标头,0),FALSE),0)</f>
        <v>115</v>
      </c>
      <c r="BO29" s="103">
        <f ca="1">ROUND(VLOOKUP($BJ29&amp;"初始",$S$3:$AE$63,MATCH(BO$3,$S$3:$AE$3,0),FALSE)+(VLOOKUP($BJ29&amp;"最终",$S$3:$AE$63,MATCH(BO$3,$S$3:$AE$3,0),FALSE)-VLOOKUP($BJ29&amp;"初始",$S$3:$AE$63,MATCH(BO$3,$S$3:$AE$3,0),FALSE))*$BL29/VLOOKUP(VLOOKUP($BJ29,坦克个性化设定!$B$18:$E$48,4,FALSE)&amp;$BK29,坦克属性分配比例,MATCH("升星次数",坦克属性分配比例标头,0),FALSE)*(VLOOKUP(VLOOKUP($BJ29,坦克个性化设定!$B$18:$E$48,4,FALSE)&amp;$BK29,坦克属性分配比例,MATCH("升星比例",坦克属性分配比例标头,0),FALSE)+VLOOKUP(VLOOKUP($BJ29,坦克个性化设定!$B$18:$E$48,4,FALSE)&amp;$BK29,坦克属性分配比例,MATCH("部件比例",坦克属性分配比例标头,0),FALSE)*$C$3),0)</f>
        <v>550</v>
      </c>
      <c r="BP29" s="103">
        <f ca="1">ROUND(VLOOKUP($BJ29&amp;"初始",$S$3:$AE$63,MATCH(BP$3,$S$3:$AE$3,0),FALSE)+(VLOOKUP($BJ29&amp;"最终",$S$3:$AE$63,MATCH(BP$3,$S$3:$AE$3,0),FALSE)-VLOOKUP($BJ29&amp;"初始",$S$3:$AE$63,MATCH(BP$3,$S$3:$AE$3,0),FALSE))*$BL29/VLOOKUP(VLOOKUP($BJ29,坦克个性化设定!$B$18:$E$48,4,FALSE)&amp;$BK29,坦克属性分配比例,MATCH("升星次数",坦克属性分配比例标头,0),FALSE)*(VLOOKUP(VLOOKUP($BJ29,坦克个性化设定!$B$18:$E$48,4,FALSE)&amp;$BK29,坦克属性分配比例,MATCH("升星比例",坦克属性分配比例标头,0),FALSE)+VLOOKUP(VLOOKUP($BJ29,坦克个性化设定!$B$18:$E$48,4,FALSE)&amp;$BK29,坦克属性分配比例,MATCH("部件比例",坦克属性分配比例标头,0),FALSE)*$C$3),0)</f>
        <v>220</v>
      </c>
      <c r="BQ29" s="103">
        <f ca="1">ROUND(VLOOKUP($BJ29&amp;"初始",$S$3:$AE$63,MATCH(BQ$3,$S$3:$AE$3,0),FALSE)+(VLOOKUP($BJ29&amp;"最终",$S$3:$AE$63,MATCH(BQ$3,$S$3:$AE$3,0),FALSE)-VLOOKUP($BJ29&amp;"初始",$S$3:$AE$63,MATCH(BQ$3,$S$3:$AE$3,0),FALSE))*$BL29/VLOOKUP(VLOOKUP($BJ29,坦克个性化设定!$B$18:$E$48,4,FALSE)&amp;$BK29,坦克属性分配比例,MATCH("升星次数",坦克属性分配比例标头,0),FALSE)*VLOOKUP(VLOOKUP($BJ29,坦克个性化设定!$B$18:$E$48,4,FALSE)&amp;$BK29,坦克属性分配比例,MATCH("升星比例",坦克属性分配比例标头,0),FALSE),0)</f>
        <v>485</v>
      </c>
      <c r="BR29" s="2">
        <f ca="1">ROUND(VLOOKUP($BJ29&amp;"初始",$S$3:$AE$63,MATCH(BR$3,$S$3:$AE$3,0),FALSE)+(VLOOKUP($BJ29&amp;"最终",$S$3:$AE$63,MATCH(BR$3,$S$3:$AE$3,0),FALSE)-VLOOKUP($BJ29&amp;"初始",$S$3:$AE$63,MATCH(BR$3,$S$3:$AE$3,0),FALSE))*$BL29/VLOOKUP(VLOOKUP($BJ29,坦克个性化设定!$B$18:$E$48,4,FALSE)&amp;$BK29,坦克属性分配比例,MATCH("升星次数",坦克属性分配比例标头,0),FALSE),0)</f>
        <v>137</v>
      </c>
      <c r="BS29" s="2">
        <f>ROUND(VLOOKUP($BJ29,$AI$3:$AO$33,MATCH(BS$3,$AI$3:$AO$3,0),FALSE)+$BL29/VLOOKUP(VLOOKUP($BJ29,坦克个性化设定!$B$18:$E$48,4,FALSE)&amp;$BK29,坦克属性分配比例,MATCH("升星次数",坦克属性分配比例标头,0),FALSE)*VLOOKUP($BJ29,$AR$3:$AY$33,MATCH(BS$3,$AR$3:$AY$3,0),FALSE),1)</f>
        <v>45.9</v>
      </c>
      <c r="BT29" s="2">
        <f>ROUND(VLOOKUP($BJ29,$AI$3:$AO$33,MATCH(BT$3,$AI$3:$AO$3,0),FALSE)+$BL29/VLOOKUP(VLOOKUP($BJ29,坦克个性化设定!$B$18:$E$48,4,FALSE)&amp;$BK29,坦克属性分配比例,MATCH("升星次数",坦克属性分配比例标头,0),FALSE)*VLOOKUP($BJ29,$AR$3:$AY$33,MATCH(BT$3,$AR$3:$AY$3,0),FALSE),1)</f>
        <v>54.2</v>
      </c>
      <c r="BU29" s="2">
        <f>ROUND(VLOOKUP($BJ29,$AI$3:$AO$33,MATCH(BU$3,$AI$3:$AO$3,0),FALSE)+$BL29/VLOOKUP(VLOOKUP($BJ29,坦克个性化设定!$B$18:$E$48,4,FALSE)&amp;$BK29,坦克属性分配比例,MATCH("升星次数",坦克属性分配比例标头,0),FALSE)*VLOOKUP($BJ29,$AR$3:$AY$33,MATCH(BU$3,$AR$3:$AY$3,0),FALSE),1)</f>
        <v>10</v>
      </c>
      <c r="BV29" s="2">
        <f>IF(VLOOKUP(BJ29,坦克个性化设定!$B$18:$BC$48,MATCH("装弹类型",坦克个性化设定!$B$18:$BC$18,0),FALSE)="弹夹换弹",0,ROUND(VLOOKUP($BJ29,$AI$3:$AO$33,MATCH("换弹时间",$AI$3:$AO$3,0),FALSE)-$BL29/VLOOKUP(VLOOKUP($BJ29,坦克个性化设定!$B$18:$E$48,4,FALSE)&amp;$BK29,坦克属性分配比例,MATCH("升星次数",坦克属性分配比例标头,0),FALSE)*VLOOKUP($BJ29,$AR$3:$AY$33,MATCH("换弹时间",$AR$3:$AY$3,0),FALSE),2))</f>
        <v>0</v>
      </c>
      <c r="BW29" s="2">
        <f>IF(VLOOKUP(BJ29,坦克个性化设定!$B$18:$BC$48,MATCH("装弹类型",坦克个性化设定!$B$18:$BC$18,0),FALSE)="弹夹换弹",ROUND(VLOOKUP($BJ29,$AI$3:$AO$33,MATCH("换弹时间",$AI$3:$AO$3,0),FALSE)-$BL29/VLOOKUP(VLOOKUP($BJ29,坦克个性化设定!$B$18:$E$48,4,FALSE)&amp;$BK29,坦克属性分配比例,MATCH("升星次数",坦克属性分配比例标头,0),FALSE)*VLOOKUP($BJ29,$AR$3:$AY$33,MATCH("换弹时间",$AR$3:$AY$3,0),FALSE),1),0)</f>
        <v>8.6</v>
      </c>
      <c r="BX29" s="2">
        <f>ROUND(VLOOKUP($BJ29,$AI$3:$AO$33,MATCH(BX$3,$AI$3:$AO$3,0),FALSE)+$BL29/VLOOKUP(VLOOKUP($BJ29,坦克个性化设定!$B$18:$E$48,4,FALSE)&amp;$BK29,坦克属性分配比例,MATCH("升星次数",坦克属性分配比例标头,0),FALSE)*VLOOKUP($BJ29,$AR$3:$AY$33,MATCH(BX$3,$AR$3:$AY$3,0),FALSE),2)</f>
        <v>0.8</v>
      </c>
      <c r="BY29" s="2">
        <f>ROUND(VLOOKUP($BJ29,$AI$3:$AO$33,MATCH(BY$3,$AI$3:$AO$3,0),FALSE)-$BL29/VLOOKUP(VLOOKUP($BJ29,坦克个性化设定!$B$18:$E$48,4,FALSE)&amp;$BK29,坦克属性分配比例,MATCH("升星次数",坦克属性分配比例标头,0),FALSE)*VLOOKUP($BJ29,$AR$3:$AY$33,MATCH(BY$3,$AR$3:$AY$3,0),FALSE),2)</f>
        <v>0.45</v>
      </c>
      <c r="CA29" s="2">
        <v>26</v>
      </c>
      <c r="CB29" s="2" t="str">
        <f t="shared" si="15"/>
        <v>KV-2</v>
      </c>
      <c r="CC29" s="2" t="str">
        <f>VLOOKUP(CB29,坦克个性化设定!$B$18:$F$48,5,FALSE)</f>
        <v>重坦自动</v>
      </c>
      <c r="CD29" s="29" t="str">
        <f>VLOOKUP(CB29,坦克个性化细分!$I$3:$J$33,2,FALSE)</f>
        <v>高</v>
      </c>
      <c r="CE29" s="42">
        <f ca="1">(VLOOKUP($CB29&amp;"最终",$S$3:$AE$63,MATCH(CE$3,$S$3:$AE$3,0),FALSE)-VLOOKUP($CB29&amp;"初始",$S$3:$AE$63,MATCH(CE$3,$S$3:$AE$3,0),FALSE))*VLOOKUP(VLOOKUP($CB29,坦克个性化设定!$B$18:$E$48,4,FALSE)&amp;$CD29,坦克属性分配比例,MATCH("部件比例",坦克属性分配比例标头,0),FALSE)</f>
        <v>264.87522071685146</v>
      </c>
      <c r="CF29" s="42">
        <f ca="1">(VLOOKUP($CB29&amp;"最终",$S$3:$AE$63,MATCH(CF$3,$S$3:$AE$3,0),FALSE)-VLOOKUP($CB29&amp;"初始",$S$3:$AE$63,MATCH(CF$3,$S$3:$AE$3,0),FALSE))*VLOOKUP(VLOOKUP($CB29,坦克个性化设定!$B$18:$E$48,4,FALSE)&amp;$CD29,坦克属性分配比例,MATCH("部件比例",坦克属性分配比例标头,0),FALSE)</f>
        <v>91.757577759220979</v>
      </c>
      <c r="CG29" s="42">
        <f ca="1">(VLOOKUP($CB29&amp;"最终",$S$3:$AE$63,MATCH(CG$3,$S$3:$AE$3,0),FALSE)-VLOOKUP($CB29&amp;"初始",$S$3:$AE$63,MATCH(CG$3,$S$3:$AE$3,0),FALSE))*VLOOKUP(VLOOKUP($CB29,坦克个性化设定!$B$18:$E$48,4,FALSE)&amp;$CD29,坦克属性分配比例,MATCH("部件比例",坦克属性分配比例标头,0),FALSE)*(1-$C$3)</f>
        <v>14.4</v>
      </c>
      <c r="CH29" s="42">
        <f ca="1">(VLOOKUP($CB29&amp;"最终",$S$3:$AE$63,MATCH(CH$3,$S$3:$AE$3,0),FALSE)-VLOOKUP($CB29&amp;"初始",$S$3:$AE$63,MATCH(CH$3,$S$3:$AE$3,0),FALSE))*VLOOKUP(VLOOKUP($CB29,坦克个性化设定!$B$18:$E$48,4,FALSE)&amp;$CD29,坦克属性分配比例,MATCH("部件比例",坦克属性分配比例标头,0),FALSE)*(1-$C$3)</f>
        <v>36.160000000000004</v>
      </c>
      <c r="CI29" s="42">
        <f ca="1">(VLOOKUP($CB29&amp;"最终",$S$3:$AE$63,MATCH(CI$3,$S$3:$AE$3,0),FALSE)-VLOOKUP($CB29&amp;"初始",$S$3:$AE$63,MATCH(CI$3,$S$3:$AE$3,0),FALSE))*VLOOKUP(VLOOKUP($CB29,坦克个性化设定!$B$18:$E$48,4,FALSE)&amp;$CD29,坦克属性分配比例,MATCH("部件比例",坦克属性分配比例标头,0),FALSE)</f>
        <v>132.80000000000001</v>
      </c>
    </row>
    <row r="30" spans="2:87" x14ac:dyDescent="0.3">
      <c r="B30" s="2">
        <v>25</v>
      </c>
      <c r="C30" s="2" t="str">
        <f>坦克个性化设定!B43</f>
        <v>虎式</v>
      </c>
      <c r="D30" s="2">
        <v>3321</v>
      </c>
      <c r="E30" s="2" t="s">
        <v>650</v>
      </c>
      <c r="F30" s="2">
        <v>1</v>
      </c>
      <c r="G30" s="25" t="str">
        <f t="shared" si="17"/>
        <v>虎式</v>
      </c>
      <c r="H30" s="25"/>
      <c r="I30" s="25"/>
      <c r="J30" s="25"/>
      <c r="K30" s="25"/>
      <c r="L30" s="25"/>
      <c r="M30" s="25"/>
      <c r="N30" s="25"/>
      <c r="O30" s="25"/>
      <c r="P30" s="25"/>
      <c r="Q30" s="25"/>
      <c r="R30" s="25"/>
      <c r="S30" s="2" t="str">
        <f t="shared" si="2"/>
        <v>玛蒂尔达初始</v>
      </c>
      <c r="T30" s="2">
        <f>IF(COUNTIF(U$4:U29,U29)&gt;=$B$3,T29+1,T29)</f>
        <v>14</v>
      </c>
      <c r="U30" s="2" t="str">
        <f t="shared" si="3"/>
        <v>玛蒂尔达</v>
      </c>
      <c r="V30" s="2" t="str">
        <f>VLOOKUP(U30,坦克个性化设定!$B$18:$F$48,5,FALSE)</f>
        <v>中坦自动</v>
      </c>
      <c r="W30" s="29" t="str">
        <f>VLOOKUP(U30,坦克个性化细分!$I$3:$J$33,2,FALSE)</f>
        <v>低</v>
      </c>
      <c r="X30" s="2" t="str">
        <f t="shared" si="16"/>
        <v>初始</v>
      </c>
      <c r="Y30" s="2" t="str">
        <f>VLOOKUP(VLOOKUP(U30,坦克个性化设定!$B$18:$F$48,4,FALSE)&amp;W30,坦克等级成长!$P$12:$U$24,MATCH(X30,坦克等级成长!$P$12:$U$12,0),FALSE)</f>
        <v>T3低3</v>
      </c>
      <c r="Z30" s="42">
        <f ca="1">VLOOKUP($Y30,INDIRECT($V30&amp;"_阶段属性"),MATCH(Z$3,属性标头_阶段属性,0),FALSE)*VLOOKUP($U30,坦克个性化设定!$B$84:$D$114,2,FALSE)</f>
        <v>1185.5819547498907</v>
      </c>
      <c r="AA30" s="42">
        <f ca="1">VLOOKUP($Y30,INDIRECT($V30&amp;"_阶段属性"),MATCH(AA$3,属性标头_阶段属性,0),FALSE)*VLOOKUP($U30,坦克个性化设定!$B$84:$D$114,3,FALSE)</f>
        <v>172.03269358623473</v>
      </c>
      <c r="AB30" s="2">
        <f t="shared" ca="1" si="18"/>
        <v>486</v>
      </c>
      <c r="AC30" s="2">
        <f t="shared" ca="1" si="18"/>
        <v>219</v>
      </c>
      <c r="AD30" s="2">
        <f t="shared" ca="1" si="18"/>
        <v>533</v>
      </c>
      <c r="AE30" s="2">
        <f t="shared" ca="1" si="18"/>
        <v>125</v>
      </c>
      <c r="AF30" s="25"/>
      <c r="AH30" s="2">
        <v>27</v>
      </c>
      <c r="AI30" s="2" t="str">
        <f t="shared" si="5"/>
        <v>征服者</v>
      </c>
      <c r="AJ30" s="2">
        <f>VLOOKUP($AI30,坦克个性化细分!$I$3:$P$33,MATCH(AJ$3,坦克个性化细分!$I$3:$P$3,0),FALSE)</f>
        <v>30.7</v>
      </c>
      <c r="AK30" s="2">
        <f>VLOOKUP($AI30,坦克个性化细分!$I$3:$P$33,MATCH(AK$3,坦克个性化细分!$I$3:$P$3,0),FALSE)</f>
        <v>35</v>
      </c>
      <c r="AL30" s="2">
        <f>VLOOKUP($AI30,坦克个性化细分!$I$3:$P$33,MATCH(AL$3,坦克个性化细分!$I$3:$P$3,0),FALSE)</f>
        <v>6.3</v>
      </c>
      <c r="AM30" s="34">
        <f>VLOOKUP(AI30,坦克个性化细分!$AA$3:$AP$33,MATCH("射击偏移角",坦克个性化细分!$AA$3:$AP$3,0),FALSE)/VLOOKUP(AI30,坦克个性化细分!$AA$3:$AP$33,MATCH("原瞄准速度",坦克个性化细分!$AA$3:$AP$3,0),FALSE)</f>
        <v>3</v>
      </c>
      <c r="AN30" s="34">
        <f>VLOOKUP(AI30,坦克个性化细分!$AA$3:$AP$33,MATCH(AN$3,坦克个性化细分!$AA$3:$AP$3,0),FALSE)</f>
        <v>0</v>
      </c>
      <c r="AO30" s="2">
        <f>VLOOKUP(AI30,坦克个性化细分!$AA$3:$AP$33,MATCH("原换弹时间",坦克个性化细分!$AA$3:$AP$3,0),FALSE)</f>
        <v>6</v>
      </c>
      <c r="AP30" s="132"/>
      <c r="AQ30" s="2">
        <v>27</v>
      </c>
      <c r="AR30" s="2" t="str">
        <f t="shared" si="6"/>
        <v>征服者</v>
      </c>
      <c r="AS30" s="2" t="s">
        <v>83</v>
      </c>
      <c r="AT30" s="34">
        <f>VLOOKUP(AR30,坦克个性化细分!$I$3:$P$33,MATCH("养成区间1",坦克个性化细分!$I$3:$P$3,0),FALSE)</f>
        <v>7.674999999999998</v>
      </c>
      <c r="AU30" s="2">
        <f>VLOOKUP(AR30,坦克个性化细分!$I$3:$P$33,MATCH("养成区间2",坦克个性化细分!$I$3:$P$3,0),FALSE)</f>
        <v>8.7499999999999982</v>
      </c>
      <c r="AV30" s="2">
        <f>VLOOKUP(AR30,坦克个性化细分!$I$3:$P$33,MATCH("养成区间3",坦克个性化细分!$I$3:$P$3,0),FALSE)</f>
        <v>0</v>
      </c>
      <c r="AW30" s="34">
        <f>VLOOKUP(AR30,坦克个性化细分!$AA$3:$AP$33,MATCH("瞄准区间",坦克个性化细分!$AA$3:$AP$3,0),FALSE)</f>
        <v>0.5</v>
      </c>
      <c r="AX30" s="34">
        <f>VLOOKUP(AI30,坦克个性化细分!$AA$3:$AP$33,MATCH("后射击间隔",坦克个性化细分!$AA$3:$AP$3,0),FALSE)-VLOOKUP(AI30,坦克个性化细分!$AA$3:$AP$33,MATCH(AN$3,坦克个性化细分!$AA$3:$AP$3,0),FALSE)</f>
        <v>0</v>
      </c>
      <c r="AY30" s="34">
        <f>VLOOKUP(AR30,坦克个性化细分!$AA$3:$AP$33,MATCH("换弹区间",坦克个性化细分!$AA$3:$AP$3,0),FALSE)</f>
        <v>0.84978540772532085</v>
      </c>
      <c r="AZ30" s="132"/>
      <c r="BA30" s="34">
        <f t="shared" si="8"/>
        <v>0.24999999999999994</v>
      </c>
      <c r="BB30" s="34">
        <f t="shared" si="9"/>
        <v>0.24999999999999994</v>
      </c>
      <c r="BC30" s="34">
        <f t="shared" si="10"/>
        <v>0</v>
      </c>
      <c r="BD30" s="34">
        <f t="shared" si="11"/>
        <v>0.16666666666666666</v>
      </c>
      <c r="BE30" s="34">
        <f t="shared" si="12"/>
        <v>0.14163090128755348</v>
      </c>
      <c r="BF30" s="34"/>
      <c r="BG30" s="132"/>
      <c r="BH30" s="2" t="str">
        <f t="shared" si="13"/>
        <v>35(t)4</v>
      </c>
      <c r="BI30" s="2">
        <f>IF(BL29&gt;=VLOOKUP(VLOOKUP(BJ29,坦克个性化设定!$B$18:$E$48,4,FALSE)&amp;BK29,坦克属性分配比例,MATCH("升星次数",坦克属性分配比例标头,0),FALSE),BI29+1,BI29)</f>
        <v>4</v>
      </c>
      <c r="BJ30" s="2" t="str">
        <f t="shared" si="14"/>
        <v>35(t)</v>
      </c>
      <c r="BK30" s="29" t="str">
        <f>VLOOKUP(BJ30,坦克个性化细分!$I$3:$J$33,2,FALSE)</f>
        <v>低</v>
      </c>
      <c r="BL30" s="2">
        <f t="shared" si="7"/>
        <v>4</v>
      </c>
      <c r="BM30" s="103">
        <f ca="1">ROUND(VLOOKUP($BJ30&amp;"初始",$S$3:$AE$63,MATCH(BM$3,$S$3:$AE$3,0),FALSE)+((VLOOKUP($BJ30&amp;"最终",$S$3:$AE$63,MATCH(BM$3,$S$3:$AE$3,0),FALSE)*坦克个性化细分!$C$9-VLOOKUP($BJ30&amp;"初始",$S$3:$AE$63,MATCH(BM$3,$S$3:$AE$3,0),FALSE))-(VLOOKUP($BJ30&amp;"最终",$S$3:$AE$63,MATCH(BM$3,$S$3:$AE$3,0),FALSE)-VLOOKUP($BJ30&amp;"初始",$S$3:$AE$63,MATCH(BM$3,$S$3:$AE$3,0),FALSE))*VLOOKUP(VLOOKUP($BJ30,坦克个性化设定!$B$18:$E$48,4,FALSE)&amp;$BK30,坦克属性分配比例,MATCH("部件比例",坦克属性分配比例标头,0),FALSE))*$BL30/VLOOKUP(VLOOKUP($BJ30,坦克个性化设定!$B$18:$E$48,4,FALSE)&amp;$BK30,坦克属性分配比例,MATCH("升星次数",坦克属性分配比例标头,0),FALSE),0)</f>
        <v>1457</v>
      </c>
      <c r="BN30" s="103">
        <f ca="1">ROUND(VLOOKUP($BJ30&amp;"初始",$S$3:$AE$63,MATCH(BN$3,$S$3:$AE$3,0),FALSE)+(VLOOKUP($BJ30&amp;"最终",$S$3:$AE$63,MATCH(BN$3,$S$3:$AE$3,0),FALSE)-VLOOKUP($BJ30&amp;"初始",$S$3:$AE$63,MATCH(BN$3,$S$3:$AE$3,0),FALSE))*$BL30/VLOOKUP(VLOOKUP($BJ30,坦克个性化设定!$B$18:$E$48,4,FALSE)&amp;$BK30,坦克属性分配比例,MATCH("升星次数",坦克属性分配比例标头,0),FALSE)*VLOOKUP(VLOOKUP($BJ30,坦克个性化设定!$B$18:$E$48,4,FALSE)&amp;$BK30,坦克属性分配比例,MATCH("升星比例",坦克属性分配比例标头,0),FALSE),0)</f>
        <v>118</v>
      </c>
      <c r="BO30" s="103">
        <f ca="1">ROUND(VLOOKUP($BJ30&amp;"初始",$S$3:$AE$63,MATCH(BO$3,$S$3:$AE$3,0),FALSE)+(VLOOKUP($BJ30&amp;"最终",$S$3:$AE$63,MATCH(BO$3,$S$3:$AE$3,0),FALSE)-VLOOKUP($BJ30&amp;"初始",$S$3:$AE$63,MATCH(BO$3,$S$3:$AE$3,0),FALSE))*$BL30/VLOOKUP(VLOOKUP($BJ30,坦克个性化设定!$B$18:$E$48,4,FALSE)&amp;$BK30,坦克属性分配比例,MATCH("升星次数",坦克属性分配比例标头,0),FALSE)*(VLOOKUP(VLOOKUP($BJ30,坦克个性化设定!$B$18:$E$48,4,FALSE)&amp;$BK30,坦克属性分配比例,MATCH("升星比例",坦克属性分配比例标头,0),FALSE)+VLOOKUP(VLOOKUP($BJ30,坦克个性化设定!$B$18:$E$48,4,FALSE)&amp;$BK30,坦克属性分配比例,MATCH("部件比例",坦克属性分配比例标头,0),FALSE)*$C$3),0)</f>
        <v>571</v>
      </c>
      <c r="BP30" s="103">
        <f ca="1">ROUND(VLOOKUP($BJ30&amp;"初始",$S$3:$AE$63,MATCH(BP$3,$S$3:$AE$3,0),FALSE)+(VLOOKUP($BJ30&amp;"最终",$S$3:$AE$63,MATCH(BP$3,$S$3:$AE$3,0),FALSE)-VLOOKUP($BJ30&amp;"初始",$S$3:$AE$63,MATCH(BP$3,$S$3:$AE$3,0),FALSE))*$BL30/VLOOKUP(VLOOKUP($BJ30,坦克个性化设定!$B$18:$E$48,4,FALSE)&amp;$BK30,坦克属性分配比例,MATCH("升星次数",坦克属性分配比例标头,0),FALSE)*(VLOOKUP(VLOOKUP($BJ30,坦克个性化设定!$B$18:$E$48,4,FALSE)&amp;$BK30,坦克属性分配比例,MATCH("升星比例",坦克属性分配比例标头,0),FALSE)+VLOOKUP(VLOOKUP($BJ30,坦克个性化设定!$B$18:$E$48,4,FALSE)&amp;$BK30,坦克属性分配比例,MATCH("部件比例",坦克属性分配比例标头,0),FALSE)*$C$3),0)</f>
        <v>229</v>
      </c>
      <c r="BQ30" s="103">
        <f ca="1">ROUND(VLOOKUP($BJ30&amp;"初始",$S$3:$AE$63,MATCH(BQ$3,$S$3:$AE$3,0),FALSE)+(VLOOKUP($BJ30&amp;"最终",$S$3:$AE$63,MATCH(BQ$3,$S$3:$AE$3,0),FALSE)-VLOOKUP($BJ30&amp;"初始",$S$3:$AE$63,MATCH(BQ$3,$S$3:$AE$3,0),FALSE))*$BL30/VLOOKUP(VLOOKUP($BJ30,坦克个性化设定!$B$18:$E$48,4,FALSE)&amp;$BK30,坦克属性分配比例,MATCH("升星次数",坦克属性分配比例标头,0),FALSE)*VLOOKUP(VLOOKUP($BJ30,坦克个性化设定!$B$18:$E$48,4,FALSE)&amp;$BK30,坦克属性分配比例,MATCH("升星比例",坦克属性分配比例标头,0),FALSE),0)</f>
        <v>499</v>
      </c>
      <c r="BR30" s="2">
        <f ca="1">ROUND(VLOOKUP($BJ30&amp;"初始",$S$3:$AE$63,MATCH(BR$3,$S$3:$AE$3,0),FALSE)+(VLOOKUP($BJ30&amp;"最终",$S$3:$AE$63,MATCH(BR$3,$S$3:$AE$3,0),FALSE)-VLOOKUP($BJ30&amp;"初始",$S$3:$AE$63,MATCH(BR$3,$S$3:$AE$3,0),FALSE))*$BL30/VLOOKUP(VLOOKUP($BJ30,坦克个性化设定!$B$18:$E$48,4,FALSE)&amp;$BK30,坦克属性分配比例,MATCH("升星次数",坦克属性分配比例标头,0),FALSE),0)</f>
        <v>143</v>
      </c>
      <c r="BS30" s="2">
        <f>ROUND(VLOOKUP($BJ30,$AI$3:$AO$33,MATCH(BS$3,$AI$3:$AO$3,0),FALSE)+$BL30/VLOOKUP(VLOOKUP($BJ30,坦克个性化设定!$B$18:$E$48,4,FALSE)&amp;$BK30,坦克属性分配比例,MATCH("升星次数",坦克属性分配比例标头,0),FALSE)*VLOOKUP($BJ30,$AR$3:$AY$33,MATCH(BS$3,$AR$3:$AY$3,0),FALSE),1)</f>
        <v>47.1</v>
      </c>
      <c r="BT30" s="2">
        <f>ROUND(VLOOKUP($BJ30,$AI$3:$AO$33,MATCH(BT$3,$AI$3:$AO$3,0),FALSE)+$BL30/VLOOKUP(VLOOKUP($BJ30,坦克个性化设定!$B$18:$E$48,4,FALSE)&amp;$BK30,坦克属性分配比例,MATCH("升星次数",坦克属性分配比例标头,0),FALSE)*VLOOKUP($BJ30,$AR$3:$AY$33,MATCH(BT$3,$AR$3:$AY$3,0),FALSE),1)</f>
        <v>55.6</v>
      </c>
      <c r="BU30" s="2">
        <f>ROUND(VLOOKUP($BJ30,$AI$3:$AO$33,MATCH(BU$3,$AI$3:$AO$3,0),FALSE)+$BL30/VLOOKUP(VLOOKUP($BJ30,坦克个性化设定!$B$18:$E$48,4,FALSE)&amp;$BK30,坦克属性分配比例,MATCH("升星次数",坦克属性分配比例标头,0),FALSE)*VLOOKUP($BJ30,$AR$3:$AY$33,MATCH(BU$3,$AR$3:$AY$3,0),FALSE),1)</f>
        <v>10</v>
      </c>
      <c r="BV30" s="2">
        <f>IF(VLOOKUP(BJ30,坦克个性化设定!$B$18:$BC$48,MATCH("装弹类型",坦克个性化设定!$B$18:$BC$18,0),FALSE)="弹夹换弹",0,ROUND(VLOOKUP($BJ30,$AI$3:$AO$33,MATCH("换弹时间",$AI$3:$AO$3,0),FALSE)-$BL30/VLOOKUP(VLOOKUP($BJ30,坦克个性化设定!$B$18:$E$48,4,FALSE)&amp;$BK30,坦克属性分配比例,MATCH("升星次数",坦克属性分配比例标头,0),FALSE)*VLOOKUP($BJ30,$AR$3:$AY$33,MATCH("换弹时间",$AR$3:$AY$3,0),FALSE),2))</f>
        <v>0</v>
      </c>
      <c r="BW30" s="2">
        <f>IF(VLOOKUP(BJ30,坦克个性化设定!$B$18:$BC$48,MATCH("装弹类型",坦克个性化设定!$B$18:$BC$18,0),FALSE)="弹夹换弹",ROUND(VLOOKUP($BJ30,$AI$3:$AO$33,MATCH("换弹时间",$AI$3:$AO$3,0),FALSE)-$BL30/VLOOKUP(VLOOKUP($BJ30,坦克个性化设定!$B$18:$E$48,4,FALSE)&amp;$BK30,坦克属性分配比例,MATCH("升星次数",坦克属性分配比例标头,0),FALSE)*VLOOKUP($BJ30,$AR$3:$AY$33,MATCH("换弹时间",$AR$3:$AY$3,0),FALSE),1),0)</f>
        <v>8.1999999999999993</v>
      </c>
      <c r="BX30" s="2">
        <f>ROUND(VLOOKUP($BJ30,$AI$3:$AO$33,MATCH(BX$3,$AI$3:$AO$3,0),FALSE)+$BL30/VLOOKUP(VLOOKUP($BJ30,坦克个性化设定!$B$18:$E$48,4,FALSE)&amp;$BK30,坦克属性分配比例,MATCH("升星次数",坦克属性分配比例标头,0),FALSE)*VLOOKUP($BJ30,$AR$3:$AY$33,MATCH(BX$3,$AR$3:$AY$3,0),FALSE),2)</f>
        <v>0.8</v>
      </c>
      <c r="BY30" s="2">
        <f>ROUND(VLOOKUP($BJ30,$AI$3:$AO$33,MATCH(BY$3,$AI$3:$AO$3,0),FALSE)-$BL30/VLOOKUP(VLOOKUP($BJ30,坦克个性化设定!$B$18:$E$48,4,FALSE)&amp;$BK30,坦克属性分配比例,MATCH("升星次数",坦克属性分配比例标头,0),FALSE)*VLOOKUP($BJ30,$AR$3:$AY$33,MATCH(BY$3,$AR$3:$AY$3,0),FALSE),2)</f>
        <v>0.44</v>
      </c>
      <c r="CA30" s="2">
        <v>27</v>
      </c>
      <c r="CB30" s="2" t="str">
        <f t="shared" si="15"/>
        <v>征服者</v>
      </c>
      <c r="CC30" s="2" t="str">
        <f>VLOOKUP(CB30,坦克个性化设定!$B$18:$F$48,5,FALSE)</f>
        <v>重坦单发</v>
      </c>
      <c r="CD30" s="29" t="str">
        <f>VLOOKUP(CB30,坦克个性化细分!$I$3:$J$33,2,FALSE)</f>
        <v>低</v>
      </c>
      <c r="CE30" s="42" t="e">
        <f ca="1">(VLOOKUP($CB30&amp;"最终",$S$3:$AE$63,MATCH(CE$3,$S$3:$AE$3,0),FALSE)-VLOOKUP($CB30&amp;"初始",$S$3:$AE$63,MATCH(CE$3,$S$3:$AE$3,0),FALSE))*VLOOKUP(VLOOKUP($CB30,坦克个性化设定!$B$18:$E$48,4,FALSE)&amp;$CD30,坦克属性分配比例,MATCH("部件比例",坦克属性分配比例标头,0),FALSE)</f>
        <v>#N/A</v>
      </c>
      <c r="CF30" s="42" t="e">
        <f ca="1">(VLOOKUP($CB30&amp;"最终",$S$3:$AE$63,MATCH(CF$3,$S$3:$AE$3,0),FALSE)-VLOOKUP($CB30&amp;"初始",$S$3:$AE$63,MATCH(CF$3,$S$3:$AE$3,0),FALSE))*VLOOKUP(VLOOKUP($CB30,坦克个性化设定!$B$18:$E$48,4,FALSE)&amp;$CD30,坦克属性分配比例,MATCH("部件比例",坦克属性分配比例标头,0),FALSE)</f>
        <v>#N/A</v>
      </c>
      <c r="CG30" s="42" t="e">
        <f ca="1">(VLOOKUP($CB30&amp;"最终",$S$3:$AE$63,MATCH(CG$3,$S$3:$AE$3,0),FALSE)-VLOOKUP($CB30&amp;"初始",$S$3:$AE$63,MATCH(CG$3,$S$3:$AE$3,0),FALSE))*VLOOKUP(VLOOKUP($CB30,坦克个性化设定!$B$18:$E$48,4,FALSE)&amp;$CD30,坦克属性分配比例,MATCH("部件比例",坦克属性分配比例标头,0),FALSE)*(1-$C$3)</f>
        <v>#N/A</v>
      </c>
      <c r="CH30" s="42" t="e">
        <f ca="1">(VLOOKUP($CB30&amp;"最终",$S$3:$AE$63,MATCH(CH$3,$S$3:$AE$3,0),FALSE)-VLOOKUP($CB30&amp;"初始",$S$3:$AE$63,MATCH(CH$3,$S$3:$AE$3,0),FALSE))*VLOOKUP(VLOOKUP($CB30,坦克个性化设定!$B$18:$E$48,4,FALSE)&amp;$CD30,坦克属性分配比例,MATCH("部件比例",坦克属性分配比例标头,0),FALSE)*(1-$C$3)</f>
        <v>#N/A</v>
      </c>
      <c r="CI30" s="42" t="e">
        <f ca="1">(VLOOKUP($CB30&amp;"最终",$S$3:$AE$63,MATCH(CI$3,$S$3:$AE$3,0),FALSE)-VLOOKUP($CB30&amp;"初始",$S$3:$AE$63,MATCH(CI$3,$S$3:$AE$3,0),FALSE))*VLOOKUP(VLOOKUP($CB30,坦克个性化设定!$B$18:$E$48,4,FALSE)&amp;$CD30,坦克属性分配比例,MATCH("部件比例",坦克属性分配比例标头,0),FALSE)</f>
        <v>#N/A</v>
      </c>
    </row>
    <row r="31" spans="2:87" x14ac:dyDescent="0.3">
      <c r="B31" s="2">
        <v>26</v>
      </c>
      <c r="C31" s="2" t="str">
        <f>坦克个性化设定!B44</f>
        <v>KV-2</v>
      </c>
      <c r="D31" s="2">
        <v>3331</v>
      </c>
      <c r="E31" s="2" t="s">
        <v>652</v>
      </c>
      <c r="F31" s="2">
        <v>0</v>
      </c>
      <c r="G31" s="25" t="str">
        <f t="shared" si="17"/>
        <v>KV-2</v>
      </c>
      <c r="H31" s="25"/>
      <c r="I31" s="25"/>
      <c r="J31" s="25"/>
      <c r="K31" s="25"/>
      <c r="L31" s="25"/>
      <c r="M31" s="25"/>
      <c r="N31" s="25"/>
      <c r="O31" s="25"/>
      <c r="P31" s="25"/>
      <c r="Q31" s="25"/>
      <c r="R31" s="25"/>
      <c r="S31" s="2" t="str">
        <f t="shared" si="2"/>
        <v>玛蒂尔达最终</v>
      </c>
      <c r="T31" s="2">
        <f>IF(COUNTIF(U$4:U30,U30)&gt;=$B$3,T30+1,T30)</f>
        <v>14</v>
      </c>
      <c r="U31" s="2" t="str">
        <f t="shared" si="3"/>
        <v>玛蒂尔达</v>
      </c>
      <c r="V31" s="2" t="str">
        <f>VLOOKUP(U31,坦克个性化设定!$B$18:$F$48,5,FALSE)</f>
        <v>中坦自动</v>
      </c>
      <c r="W31" s="29" t="str">
        <f>VLOOKUP(U31,坦克个性化细分!$I$3:$J$33,2,FALSE)</f>
        <v>低</v>
      </c>
      <c r="X31" s="2" t="str">
        <f t="shared" si="16"/>
        <v>最终</v>
      </c>
      <c r="Y31" s="2" t="str">
        <f>VLOOKUP(VLOOKUP(U31,坦克个性化设定!$B$18:$F$48,4,FALSE)&amp;W31,坦克等级成长!$P$12:$U$24,MATCH(X31,坦克等级成长!$P$12:$U$12,0),FALSE)</f>
        <v>T3低5</v>
      </c>
      <c r="Z31" s="42">
        <f ca="1">VLOOKUP($Y31,INDIRECT($V31&amp;"_阶段属性"),MATCH(Z$3,属性标头_阶段属性,0),FALSE)*VLOOKUP($U31,坦克个性化设定!$B$84:$D$114,2,FALSE)</f>
        <v>1697.6241611683129</v>
      </c>
      <c r="AA31" s="42">
        <f ca="1">VLOOKUP($Y31,INDIRECT($V31&amp;"_阶段属性"),MATCH(AA$3,属性标头_阶段属性,0),FALSE)*VLOOKUP($U31,坦克个性化设定!$B$84:$D$114,3,FALSE)</f>
        <v>252.63542414761744</v>
      </c>
      <c r="AB31" s="2">
        <f t="shared" ca="1" si="18"/>
        <v>713</v>
      </c>
      <c r="AC31" s="2">
        <f t="shared" ca="1" si="18"/>
        <v>321</v>
      </c>
      <c r="AD31" s="2">
        <f t="shared" ca="1" si="18"/>
        <v>781</v>
      </c>
      <c r="AE31" s="2">
        <f t="shared" ca="1" si="18"/>
        <v>183</v>
      </c>
      <c r="AF31" s="25"/>
      <c r="AH31" s="2">
        <v>28</v>
      </c>
      <c r="AI31" s="2" t="str">
        <f t="shared" si="5"/>
        <v>IS-4</v>
      </c>
      <c r="AJ31" s="2">
        <f>VLOOKUP($AI31,坦克个性化细分!$I$3:$P$33,MATCH(AJ$3,坦克个性化细分!$I$3:$P$3,0),FALSE)</f>
        <v>31.3</v>
      </c>
      <c r="AK31" s="2">
        <f>VLOOKUP($AI31,坦克个性化细分!$I$3:$P$33,MATCH(AK$3,坦克个性化细分!$I$3:$P$3,0),FALSE)</f>
        <v>35.700000000000003</v>
      </c>
      <c r="AL31" s="2">
        <f>VLOOKUP($AI31,坦克个性化细分!$I$3:$P$33,MATCH(AL$3,坦克个性化细分!$I$3:$P$3,0),FALSE)</f>
        <v>6.4</v>
      </c>
      <c r="AM31" s="34">
        <f>VLOOKUP(AI31,坦克个性化细分!$AA$3:$AP$33,MATCH("射击偏移角",坦克个性化细分!$AA$3:$AP$3,0),FALSE)/VLOOKUP(AI31,坦克个性化细分!$AA$3:$AP$33,MATCH("原瞄准速度",坦克个性化细分!$AA$3:$AP$3,0),FALSE)</f>
        <v>2.2500000000000004</v>
      </c>
      <c r="AN31" s="34">
        <f>VLOOKUP(AI31,坦克个性化细分!$AA$3:$AP$33,MATCH(AN$3,坦克个性化细分!$AA$3:$AP$3,0),FALSE)</f>
        <v>2</v>
      </c>
      <c r="AO31" s="2">
        <f>VLOOKUP(AI31,坦克个性化细分!$AA$3:$AP$33,MATCH("原换弹时间",坦克个性化细分!$AA$3:$AP$3,0),FALSE)</f>
        <v>4.5</v>
      </c>
      <c r="AP31" s="132"/>
      <c r="AQ31" s="2">
        <v>28</v>
      </c>
      <c r="AR31" s="2" t="str">
        <f t="shared" si="6"/>
        <v>IS-4</v>
      </c>
      <c r="AS31" s="2" t="s">
        <v>82</v>
      </c>
      <c r="AT31" s="34">
        <f>VLOOKUP(AR31,坦克个性化细分!$I$3:$P$33,MATCH("养成区间1",坦克个性化细分!$I$3:$P$3,0),FALSE)</f>
        <v>7.8249999999999984</v>
      </c>
      <c r="AU31" s="2">
        <f>VLOOKUP(AR31,坦克个性化细分!$I$3:$P$33,MATCH("养成区间2",坦克个性化细分!$I$3:$P$3,0),FALSE)</f>
        <v>8.9249999999999972</v>
      </c>
      <c r="AV31" s="2">
        <f>VLOOKUP(AR31,坦克个性化细分!$I$3:$P$33,MATCH("养成区间3",坦克个性化细分!$I$3:$P$3,0),FALSE)</f>
        <v>0</v>
      </c>
      <c r="AW31" s="34">
        <f>VLOOKUP(AR31,坦克个性化细分!$AA$3:$AP$33,MATCH("瞄准区间",坦克个性化细分!$AA$3:$AP$3,0),FALSE)</f>
        <v>0.37500000000000022</v>
      </c>
      <c r="AX31" s="34">
        <f>VLOOKUP(AI31,坦克个性化细分!$AA$3:$AP$33,MATCH("后射击间隔",坦克个性化细分!$AA$3:$AP$3,0),FALSE)-VLOOKUP(AI31,坦克个性化细分!$AA$3:$AP$33,MATCH(AN$3,坦克个性化细分!$AA$3:$AP$3,0),FALSE)</f>
        <v>0</v>
      </c>
      <c r="AY31" s="34">
        <f>VLOOKUP(AR31,坦克个性化细分!$AA$3:$AP$33,MATCH("换弹区间",坦克个性化细分!$AA$3:$AP$3,0),FALSE)</f>
        <v>0.66204690831556512</v>
      </c>
      <c r="AZ31" s="132"/>
      <c r="BA31" s="34">
        <f t="shared" si="8"/>
        <v>0.24999999999999994</v>
      </c>
      <c r="BB31" s="34">
        <f t="shared" si="9"/>
        <v>0.24999999999999989</v>
      </c>
      <c r="BC31" s="34">
        <f t="shared" si="10"/>
        <v>0</v>
      </c>
      <c r="BD31" s="34">
        <f t="shared" si="11"/>
        <v>0.16666666666666674</v>
      </c>
      <c r="BE31" s="34">
        <f t="shared" si="12"/>
        <v>0.14712153518123669</v>
      </c>
      <c r="BF31" s="34"/>
      <c r="BG31" s="132"/>
      <c r="BH31" s="2" t="str">
        <f t="shared" si="13"/>
        <v>35(t)5</v>
      </c>
      <c r="BI31" s="2">
        <f>IF(BL30&gt;=VLOOKUP(VLOOKUP(BJ30,坦克个性化设定!$B$18:$E$48,4,FALSE)&amp;BK30,坦克属性分配比例,MATCH("升星次数",坦克属性分配比例标头,0),FALSE),BI30+1,BI30)</f>
        <v>4</v>
      </c>
      <c r="BJ31" s="2" t="str">
        <f t="shared" si="14"/>
        <v>35(t)</v>
      </c>
      <c r="BK31" s="29" t="str">
        <f>VLOOKUP(BJ31,坦克个性化细分!$I$3:$J$33,2,FALSE)</f>
        <v>低</v>
      </c>
      <c r="BL31" s="2">
        <f t="shared" si="7"/>
        <v>5</v>
      </c>
      <c r="BM31" s="103">
        <f ca="1">ROUND(VLOOKUP($BJ31&amp;"初始",$S$3:$AE$63,MATCH(BM$3,$S$3:$AE$3,0),FALSE)+((VLOOKUP($BJ31&amp;"最终",$S$3:$AE$63,MATCH(BM$3,$S$3:$AE$3,0),FALSE)*坦克个性化细分!$C$9-VLOOKUP($BJ31&amp;"初始",$S$3:$AE$63,MATCH(BM$3,$S$3:$AE$3,0),FALSE))-(VLOOKUP($BJ31&amp;"最终",$S$3:$AE$63,MATCH(BM$3,$S$3:$AE$3,0),FALSE)-VLOOKUP($BJ31&amp;"初始",$S$3:$AE$63,MATCH(BM$3,$S$3:$AE$3,0),FALSE))*VLOOKUP(VLOOKUP($BJ31,坦克个性化设定!$B$18:$E$48,4,FALSE)&amp;$BK31,坦克属性分配比例,MATCH("部件比例",坦克属性分配比例标头,0),FALSE))*$BL31/VLOOKUP(VLOOKUP($BJ31,坦克个性化设定!$B$18:$E$48,4,FALSE)&amp;$BK31,坦克属性分配比例,MATCH("升星次数",坦克属性分配比例标头,0),FALSE),0)</f>
        <v>1521</v>
      </c>
      <c r="BN31" s="103">
        <f ca="1">ROUND(VLOOKUP($BJ31&amp;"初始",$S$3:$AE$63,MATCH(BN$3,$S$3:$AE$3,0),FALSE)+(VLOOKUP($BJ31&amp;"最终",$S$3:$AE$63,MATCH(BN$3,$S$3:$AE$3,0),FALSE)-VLOOKUP($BJ31&amp;"初始",$S$3:$AE$63,MATCH(BN$3,$S$3:$AE$3,0),FALSE))*$BL31/VLOOKUP(VLOOKUP($BJ31,坦克个性化设定!$B$18:$E$48,4,FALSE)&amp;$BK31,坦克属性分配比例,MATCH("升星次数",坦克属性分配比例标头,0),FALSE)*VLOOKUP(VLOOKUP($BJ31,坦克个性化设定!$B$18:$E$48,4,FALSE)&amp;$BK31,坦克属性分配比例,MATCH("升星比例",坦克属性分配比例标头,0),FALSE),0)</f>
        <v>121</v>
      </c>
      <c r="BO31" s="103">
        <f ca="1">ROUND(VLOOKUP($BJ31&amp;"初始",$S$3:$AE$63,MATCH(BO$3,$S$3:$AE$3,0),FALSE)+(VLOOKUP($BJ31&amp;"最终",$S$3:$AE$63,MATCH(BO$3,$S$3:$AE$3,0),FALSE)-VLOOKUP($BJ31&amp;"初始",$S$3:$AE$63,MATCH(BO$3,$S$3:$AE$3,0),FALSE))*$BL31/VLOOKUP(VLOOKUP($BJ31,坦克个性化设定!$B$18:$E$48,4,FALSE)&amp;$BK31,坦克属性分配比例,MATCH("升星次数",坦克属性分配比例标头,0),FALSE)*(VLOOKUP(VLOOKUP($BJ31,坦克个性化设定!$B$18:$E$48,4,FALSE)&amp;$BK31,坦克属性分配比例,MATCH("升星比例",坦克属性分配比例标头,0),FALSE)+VLOOKUP(VLOOKUP($BJ31,坦克个性化设定!$B$18:$E$48,4,FALSE)&amp;$BK31,坦克属性分配比例,MATCH("部件比例",坦克属性分配比例标头,0),FALSE)*$C$3),0)</f>
        <v>592</v>
      </c>
      <c r="BP31" s="103">
        <f ca="1">ROUND(VLOOKUP($BJ31&amp;"初始",$S$3:$AE$63,MATCH(BP$3,$S$3:$AE$3,0),FALSE)+(VLOOKUP($BJ31&amp;"最终",$S$3:$AE$63,MATCH(BP$3,$S$3:$AE$3,0),FALSE)-VLOOKUP($BJ31&amp;"初始",$S$3:$AE$63,MATCH(BP$3,$S$3:$AE$3,0),FALSE))*$BL31/VLOOKUP(VLOOKUP($BJ31,坦克个性化设定!$B$18:$E$48,4,FALSE)&amp;$BK31,坦克属性分配比例,MATCH("升星次数",坦克属性分配比例标头,0),FALSE)*(VLOOKUP(VLOOKUP($BJ31,坦克个性化设定!$B$18:$E$48,4,FALSE)&amp;$BK31,坦克属性分配比例,MATCH("升星比例",坦克属性分配比例标头,0),FALSE)+VLOOKUP(VLOOKUP($BJ31,坦克个性化设定!$B$18:$E$48,4,FALSE)&amp;$BK31,坦克属性分配比例,MATCH("部件比例",坦克属性分配比例标头,0),FALSE)*$C$3),0)</f>
        <v>237</v>
      </c>
      <c r="BQ31" s="103">
        <f ca="1">ROUND(VLOOKUP($BJ31&amp;"初始",$S$3:$AE$63,MATCH(BQ$3,$S$3:$AE$3,0),FALSE)+(VLOOKUP($BJ31&amp;"最终",$S$3:$AE$63,MATCH(BQ$3,$S$3:$AE$3,0),FALSE)-VLOOKUP($BJ31&amp;"初始",$S$3:$AE$63,MATCH(BQ$3,$S$3:$AE$3,0),FALSE))*$BL31/VLOOKUP(VLOOKUP($BJ31,坦克个性化设定!$B$18:$E$48,4,FALSE)&amp;$BK31,坦克属性分配比例,MATCH("升星次数",坦克属性分配比例标头,0),FALSE)*VLOOKUP(VLOOKUP($BJ31,坦克个性化设定!$B$18:$E$48,4,FALSE)&amp;$BK31,坦克属性分配比例,MATCH("升星比例",坦克属性分配比例标头,0),FALSE),0)</f>
        <v>513</v>
      </c>
      <c r="BR31" s="2">
        <f ca="1">ROUND(VLOOKUP($BJ31&amp;"初始",$S$3:$AE$63,MATCH(BR$3,$S$3:$AE$3,0),FALSE)+(VLOOKUP($BJ31&amp;"最终",$S$3:$AE$63,MATCH(BR$3,$S$3:$AE$3,0),FALSE)-VLOOKUP($BJ31&amp;"初始",$S$3:$AE$63,MATCH(BR$3,$S$3:$AE$3,0),FALSE))*$BL31/VLOOKUP(VLOOKUP($BJ31,坦克个性化设定!$B$18:$E$48,4,FALSE)&amp;$BK31,坦克属性分配比例,MATCH("升星次数",坦克属性分配比例标头,0),FALSE),0)</f>
        <v>149</v>
      </c>
      <c r="BS31" s="2">
        <f>ROUND(VLOOKUP($BJ31,$AI$3:$AO$33,MATCH(BS$3,$AI$3:$AO$3,0),FALSE)+$BL31/VLOOKUP(VLOOKUP($BJ31,坦克个性化设定!$B$18:$E$48,4,FALSE)&amp;$BK31,坦克属性分配比例,MATCH("升星次数",坦克属性分配比例标头,0),FALSE)*VLOOKUP($BJ31,$AR$3:$AY$33,MATCH(BS$3,$AR$3:$AY$3,0),FALSE),1)</f>
        <v>48.3</v>
      </c>
      <c r="BT31" s="2">
        <f>ROUND(VLOOKUP($BJ31,$AI$3:$AO$33,MATCH(BT$3,$AI$3:$AO$3,0),FALSE)+$BL31/VLOOKUP(VLOOKUP($BJ31,坦克个性化设定!$B$18:$E$48,4,FALSE)&amp;$BK31,坦克属性分配比例,MATCH("升星次数",坦克属性分配比例标头,0),FALSE)*VLOOKUP($BJ31,$AR$3:$AY$33,MATCH(BT$3,$AR$3:$AY$3,0),FALSE),1)</f>
        <v>56.9</v>
      </c>
      <c r="BU31" s="2">
        <f>ROUND(VLOOKUP($BJ31,$AI$3:$AO$33,MATCH(BU$3,$AI$3:$AO$3,0),FALSE)+$BL31/VLOOKUP(VLOOKUP($BJ31,坦克个性化设定!$B$18:$E$48,4,FALSE)&amp;$BK31,坦克属性分配比例,MATCH("升星次数",坦克属性分配比例标头,0),FALSE)*VLOOKUP($BJ31,$AR$3:$AY$33,MATCH(BU$3,$AR$3:$AY$3,0),FALSE),1)</f>
        <v>10</v>
      </c>
      <c r="BV31" s="2">
        <f>IF(VLOOKUP(BJ31,坦克个性化设定!$B$18:$BC$48,MATCH("装弹类型",坦克个性化设定!$B$18:$BC$18,0),FALSE)="弹夹换弹",0,ROUND(VLOOKUP($BJ31,$AI$3:$AO$33,MATCH("换弹时间",$AI$3:$AO$3,0),FALSE)-$BL31/VLOOKUP(VLOOKUP($BJ31,坦克个性化设定!$B$18:$E$48,4,FALSE)&amp;$BK31,坦克属性分配比例,MATCH("升星次数",坦克属性分配比例标头,0),FALSE)*VLOOKUP($BJ31,$AR$3:$AY$33,MATCH("换弹时间",$AR$3:$AY$3,0),FALSE),2))</f>
        <v>0</v>
      </c>
      <c r="BW31" s="2">
        <f>IF(VLOOKUP(BJ31,坦克个性化设定!$B$18:$BC$48,MATCH("装弹类型",坦克个性化设定!$B$18:$BC$18,0),FALSE)="弹夹换弹",ROUND(VLOOKUP($BJ31,$AI$3:$AO$33,MATCH("换弹时间",$AI$3:$AO$3,0),FALSE)-$BL31/VLOOKUP(VLOOKUP($BJ31,坦克个性化设定!$B$18:$E$48,4,FALSE)&amp;$BK31,坦克属性分配比例,MATCH("升星次数",坦克属性分配比例标头,0),FALSE)*VLOOKUP($BJ31,$AR$3:$AY$33,MATCH("换弹时间",$AR$3:$AY$3,0),FALSE),1),0)</f>
        <v>7.8</v>
      </c>
      <c r="BX31" s="2">
        <f>ROUND(VLOOKUP($BJ31,$AI$3:$AO$33,MATCH(BX$3,$AI$3:$AO$3,0),FALSE)+$BL31/VLOOKUP(VLOOKUP($BJ31,坦克个性化设定!$B$18:$E$48,4,FALSE)&amp;$BK31,坦克属性分配比例,MATCH("升星次数",坦克属性分配比例标头,0),FALSE)*VLOOKUP($BJ31,$AR$3:$AY$33,MATCH(BX$3,$AR$3:$AY$3,0),FALSE),2)</f>
        <v>0.8</v>
      </c>
      <c r="BY31" s="2">
        <f>ROUND(VLOOKUP($BJ31,$AI$3:$AO$33,MATCH(BY$3,$AI$3:$AO$3,0),FALSE)-$BL31/VLOOKUP(VLOOKUP($BJ31,坦克个性化设定!$B$18:$E$48,4,FALSE)&amp;$BK31,坦克属性分配比例,MATCH("升星次数",坦克属性分配比例标头,0),FALSE)*VLOOKUP($BJ31,$AR$3:$AY$33,MATCH(BY$3,$AR$3:$AY$3,0),FALSE),2)</f>
        <v>0.43</v>
      </c>
      <c r="CA31" s="2">
        <v>28</v>
      </c>
      <c r="CB31" s="2" t="str">
        <f t="shared" si="15"/>
        <v>IS-4</v>
      </c>
      <c r="CC31" s="2" t="str">
        <f>VLOOKUP(CB31,坦克个性化设定!$B$18:$F$48,5,FALSE)</f>
        <v>重坦自动</v>
      </c>
      <c r="CD31" s="29" t="str">
        <f>VLOOKUP(CB31,坦克个性化细分!$I$3:$J$33,2,FALSE)</f>
        <v>中</v>
      </c>
      <c r="CE31" s="42" t="e">
        <f ca="1">(VLOOKUP($CB31&amp;"最终",$S$3:$AE$63,MATCH(CE$3,$S$3:$AE$3,0),FALSE)-VLOOKUP($CB31&amp;"初始",$S$3:$AE$63,MATCH(CE$3,$S$3:$AE$3,0),FALSE))*VLOOKUP(VLOOKUP($CB31,坦克个性化设定!$B$18:$E$48,4,FALSE)&amp;$CD31,坦克属性分配比例,MATCH("部件比例",坦克属性分配比例标头,0),FALSE)</f>
        <v>#N/A</v>
      </c>
      <c r="CF31" s="42" t="e">
        <f ca="1">(VLOOKUP($CB31&amp;"最终",$S$3:$AE$63,MATCH(CF$3,$S$3:$AE$3,0),FALSE)-VLOOKUP($CB31&amp;"初始",$S$3:$AE$63,MATCH(CF$3,$S$3:$AE$3,0),FALSE))*VLOOKUP(VLOOKUP($CB31,坦克个性化设定!$B$18:$E$48,4,FALSE)&amp;$CD31,坦克属性分配比例,MATCH("部件比例",坦克属性分配比例标头,0),FALSE)</f>
        <v>#N/A</v>
      </c>
      <c r="CG31" s="42" t="e">
        <f ca="1">(VLOOKUP($CB31&amp;"最终",$S$3:$AE$63,MATCH(CG$3,$S$3:$AE$3,0),FALSE)-VLOOKUP($CB31&amp;"初始",$S$3:$AE$63,MATCH(CG$3,$S$3:$AE$3,0),FALSE))*VLOOKUP(VLOOKUP($CB31,坦克个性化设定!$B$18:$E$48,4,FALSE)&amp;$CD31,坦克属性分配比例,MATCH("部件比例",坦克属性分配比例标头,0),FALSE)*(1-$C$3)</f>
        <v>#N/A</v>
      </c>
      <c r="CH31" s="42" t="e">
        <f ca="1">(VLOOKUP($CB31&amp;"最终",$S$3:$AE$63,MATCH(CH$3,$S$3:$AE$3,0),FALSE)-VLOOKUP($CB31&amp;"初始",$S$3:$AE$63,MATCH(CH$3,$S$3:$AE$3,0),FALSE))*VLOOKUP(VLOOKUP($CB31,坦克个性化设定!$B$18:$E$48,4,FALSE)&amp;$CD31,坦克属性分配比例,MATCH("部件比例",坦克属性分配比例标头,0),FALSE)*(1-$C$3)</f>
        <v>#N/A</v>
      </c>
      <c r="CI31" s="42" t="e">
        <f ca="1">(VLOOKUP($CB31&amp;"最终",$S$3:$AE$63,MATCH(CI$3,$S$3:$AE$3,0),FALSE)-VLOOKUP($CB31&amp;"初始",$S$3:$AE$63,MATCH(CI$3,$S$3:$AE$3,0),FALSE))*VLOOKUP(VLOOKUP($CB31,坦克个性化设定!$B$18:$E$48,4,FALSE)&amp;$CD31,坦克属性分配比例,MATCH("部件比例",坦克属性分配比例标头,0),FALSE)</f>
        <v>#N/A</v>
      </c>
    </row>
    <row r="32" spans="2:87" x14ac:dyDescent="0.3">
      <c r="B32" s="2">
        <v>27</v>
      </c>
      <c r="C32" s="2" t="str">
        <f>坦克个性化设定!B45</f>
        <v>征服者</v>
      </c>
      <c r="D32" s="2">
        <v>3411</v>
      </c>
      <c r="E32" s="2" t="s">
        <v>654</v>
      </c>
      <c r="F32" s="2">
        <v>0</v>
      </c>
      <c r="G32" s="25" t="str">
        <f t="shared" si="17"/>
        <v>征服者</v>
      </c>
      <c r="H32" s="25"/>
      <c r="I32" s="25"/>
      <c r="J32" s="25"/>
      <c r="K32" s="25"/>
      <c r="L32" s="25"/>
      <c r="M32" s="25"/>
      <c r="N32" s="25"/>
      <c r="O32" s="25"/>
      <c r="P32" s="25"/>
      <c r="Q32" s="25"/>
      <c r="R32" s="25"/>
      <c r="S32" s="2" t="str">
        <f t="shared" si="2"/>
        <v>谢尔曼初始</v>
      </c>
      <c r="T32" s="2">
        <f>IF(COUNTIF(U$4:U31,U31)&gt;=$B$3,T31+1,T31)</f>
        <v>15</v>
      </c>
      <c r="U32" s="2" t="str">
        <f t="shared" si="3"/>
        <v>谢尔曼</v>
      </c>
      <c r="V32" s="2" t="str">
        <f>VLOOKUP(U32,坦克个性化设定!$B$18:$F$48,5,FALSE)</f>
        <v>中坦自动</v>
      </c>
      <c r="W32" s="29" t="str">
        <f>VLOOKUP(U32,坦克个性化细分!$I$3:$J$33,2,FALSE)</f>
        <v>中</v>
      </c>
      <c r="X32" s="2" t="str">
        <f t="shared" si="16"/>
        <v>初始</v>
      </c>
      <c r="Y32" s="2" t="str">
        <f>VLOOKUP(VLOOKUP(U32,坦克个性化设定!$B$18:$F$48,4,FALSE)&amp;W32,坦克等级成长!$P$12:$U$24,MATCH(X32,坦克等级成长!$P$12:$U$12,0),FALSE)</f>
        <v>T3中3</v>
      </c>
      <c r="Z32" s="42">
        <f ca="1">VLOOKUP($Y32,INDIRECT($V32&amp;"_阶段属性"),MATCH(Z$3,属性标头_阶段属性,0),FALSE)*VLOOKUP($U32,坦克个性化设定!$B$84:$D$114,2,FALSE)</f>
        <v>1267.32714754364</v>
      </c>
      <c r="AA32" s="42">
        <f ca="1">VLOOKUP($Y32,INDIRECT($V32&amp;"_阶段属性"),MATCH(AA$3,属性标头_阶段属性,0),FALSE)*VLOOKUP($U32,坦克个性化设定!$B$84:$D$114,3,FALSE)</f>
        <v>177.90616360365223</v>
      </c>
      <c r="AB32" s="2">
        <f t="shared" ca="1" si="18"/>
        <v>506</v>
      </c>
      <c r="AC32" s="2">
        <f t="shared" ca="1" si="18"/>
        <v>228</v>
      </c>
      <c r="AD32" s="2">
        <f t="shared" ca="1" si="18"/>
        <v>554</v>
      </c>
      <c r="AE32" s="2">
        <f t="shared" ca="1" si="18"/>
        <v>130</v>
      </c>
      <c r="AF32" s="25"/>
      <c r="AH32" s="2">
        <v>29</v>
      </c>
      <c r="AI32" s="2" t="str">
        <f t="shared" si="5"/>
        <v>T-32</v>
      </c>
      <c r="AJ32" s="2">
        <f>VLOOKUP($AI32,坦克个性化细分!$I$3:$P$33,MATCH(AJ$3,坦克个性化细分!$I$3:$P$3,0),FALSE)</f>
        <v>32.200000000000003</v>
      </c>
      <c r="AK32" s="2">
        <f>VLOOKUP($AI32,坦克个性化细分!$I$3:$P$33,MATCH(AK$3,坦克个性化细分!$I$3:$P$3,0),FALSE)</f>
        <v>36.799999999999997</v>
      </c>
      <c r="AL32" s="2">
        <f>VLOOKUP($AI32,坦克个性化细分!$I$3:$P$33,MATCH(AL$3,坦克个性化细分!$I$3:$P$3,0),FALSE)</f>
        <v>6.6</v>
      </c>
      <c r="AM32" s="34">
        <f>VLOOKUP(AI32,坦克个性化细分!$AA$3:$AP$33,MATCH("射击偏移角",坦克个性化细分!$AA$3:$AP$3,0),FALSE)/VLOOKUP(AI32,坦克个性化细分!$AA$3:$AP$33,MATCH("原瞄准速度",坦克个性化细分!$AA$3:$AP$3,0),FALSE)</f>
        <v>3</v>
      </c>
      <c r="AN32" s="34">
        <f>VLOOKUP(AI32,坦克个性化细分!$AA$3:$AP$33,MATCH(AN$3,坦克个性化细分!$AA$3:$AP$3,0),FALSE)</f>
        <v>0</v>
      </c>
      <c r="AO32" s="2">
        <f>VLOOKUP(AI32,坦克个性化细分!$AA$3:$AP$33,MATCH("原换弹时间",坦克个性化细分!$AA$3:$AP$3,0),FALSE)</f>
        <v>6</v>
      </c>
      <c r="AP32" s="132"/>
      <c r="AQ32" s="2">
        <v>29</v>
      </c>
      <c r="AR32" s="2" t="str">
        <f t="shared" si="6"/>
        <v>T-32</v>
      </c>
      <c r="AS32" s="2" t="s">
        <v>83</v>
      </c>
      <c r="AT32" s="34">
        <f>VLOOKUP(AR32,坦克个性化细分!$I$3:$P$33,MATCH("养成区间1",坦克个性化细分!$I$3:$P$3,0),FALSE)</f>
        <v>8.0499999999999989</v>
      </c>
      <c r="AU32" s="2">
        <f>VLOOKUP(AR32,坦克个性化细分!$I$3:$P$33,MATCH("养成区间2",坦克个性化细分!$I$3:$P$3,0),FALSE)</f>
        <v>9.1999999999999957</v>
      </c>
      <c r="AV32" s="2">
        <f>VLOOKUP(AR32,坦克个性化细分!$I$3:$P$33,MATCH("养成区间3",坦克个性化细分!$I$3:$P$3,0),FALSE)</f>
        <v>0</v>
      </c>
      <c r="AW32" s="34">
        <f>VLOOKUP(AR32,坦克个性化细分!$AA$3:$AP$33,MATCH("瞄准区间",坦克个性化细分!$AA$3:$AP$3,0),FALSE)</f>
        <v>0.5</v>
      </c>
      <c r="AX32" s="34">
        <f>VLOOKUP(AI32,坦克个性化细分!$AA$3:$AP$33,MATCH("后射击间隔",坦克个性化细分!$AA$3:$AP$3,0),FALSE)-VLOOKUP(AI32,坦克个性化细分!$AA$3:$AP$33,MATCH(AN$3,坦克个性化细分!$AA$3:$AP$3,0),FALSE)</f>
        <v>0</v>
      </c>
      <c r="AY32" s="34">
        <f>VLOOKUP(AR32,坦克个性化细分!$AA$3:$AP$33,MATCH("换弹区间",坦克个性化细分!$AA$3:$AP$3,0),FALSE)</f>
        <v>0.84978540772532085</v>
      </c>
      <c r="AZ32" s="132"/>
      <c r="BA32" s="34">
        <f t="shared" si="8"/>
        <v>0.24999999999999994</v>
      </c>
      <c r="BB32" s="34">
        <f t="shared" si="9"/>
        <v>0.24999999999999992</v>
      </c>
      <c r="BC32" s="34">
        <f t="shared" si="10"/>
        <v>0</v>
      </c>
      <c r="BD32" s="34">
        <f t="shared" si="11"/>
        <v>0.16666666666666666</v>
      </c>
      <c r="BE32" s="34">
        <f t="shared" si="12"/>
        <v>0.14163090128755348</v>
      </c>
      <c r="BF32" s="34"/>
      <c r="BG32" s="132"/>
      <c r="BH32" s="2" t="str">
        <f t="shared" si="13"/>
        <v>35(t)6</v>
      </c>
      <c r="BI32" s="2">
        <f>IF(BL31&gt;=VLOOKUP(VLOOKUP(BJ31,坦克个性化设定!$B$18:$E$48,4,FALSE)&amp;BK31,坦克属性分配比例,MATCH("升星次数",坦克属性分配比例标头,0),FALSE),BI31+1,BI31)</f>
        <v>4</v>
      </c>
      <c r="BJ32" s="2" t="str">
        <f t="shared" si="14"/>
        <v>35(t)</v>
      </c>
      <c r="BK32" s="29" t="str">
        <f>VLOOKUP(BJ32,坦克个性化细分!$I$3:$J$33,2,FALSE)</f>
        <v>低</v>
      </c>
      <c r="BL32" s="2">
        <f t="shared" si="7"/>
        <v>6</v>
      </c>
      <c r="BM32" s="103">
        <f ca="1">ROUND(VLOOKUP($BJ32&amp;"初始",$S$3:$AE$63,MATCH(BM$3,$S$3:$AE$3,0),FALSE)+((VLOOKUP($BJ32&amp;"最终",$S$3:$AE$63,MATCH(BM$3,$S$3:$AE$3,0),FALSE)*坦克个性化细分!$C$9-VLOOKUP($BJ32&amp;"初始",$S$3:$AE$63,MATCH(BM$3,$S$3:$AE$3,0),FALSE))-(VLOOKUP($BJ32&amp;"最终",$S$3:$AE$63,MATCH(BM$3,$S$3:$AE$3,0),FALSE)-VLOOKUP($BJ32&amp;"初始",$S$3:$AE$63,MATCH(BM$3,$S$3:$AE$3,0),FALSE))*VLOOKUP(VLOOKUP($BJ32,坦克个性化设定!$B$18:$E$48,4,FALSE)&amp;$BK32,坦克属性分配比例,MATCH("部件比例",坦克属性分配比例标头,0),FALSE))*$BL32/VLOOKUP(VLOOKUP($BJ32,坦克个性化设定!$B$18:$E$48,4,FALSE)&amp;$BK32,坦克属性分配比例,MATCH("升星次数",坦克属性分配比例标头,0),FALSE),0)</f>
        <v>1584</v>
      </c>
      <c r="BN32" s="103">
        <f ca="1">ROUND(VLOOKUP($BJ32&amp;"初始",$S$3:$AE$63,MATCH(BN$3,$S$3:$AE$3,0),FALSE)+(VLOOKUP($BJ32&amp;"最终",$S$3:$AE$63,MATCH(BN$3,$S$3:$AE$3,0),FALSE)-VLOOKUP($BJ32&amp;"初始",$S$3:$AE$63,MATCH(BN$3,$S$3:$AE$3,0),FALSE))*$BL32/VLOOKUP(VLOOKUP($BJ32,坦克个性化设定!$B$18:$E$48,4,FALSE)&amp;$BK32,坦克属性分配比例,MATCH("升星次数",坦克属性分配比例标头,0),FALSE)*VLOOKUP(VLOOKUP($BJ32,坦克个性化设定!$B$18:$E$48,4,FALSE)&amp;$BK32,坦克属性分配比例,MATCH("升星比例",坦克属性分配比例标头,0),FALSE),0)</f>
        <v>124</v>
      </c>
      <c r="BO32" s="103">
        <f ca="1">ROUND(VLOOKUP($BJ32&amp;"初始",$S$3:$AE$63,MATCH(BO$3,$S$3:$AE$3,0),FALSE)+(VLOOKUP($BJ32&amp;"最终",$S$3:$AE$63,MATCH(BO$3,$S$3:$AE$3,0),FALSE)-VLOOKUP($BJ32&amp;"初始",$S$3:$AE$63,MATCH(BO$3,$S$3:$AE$3,0),FALSE))*$BL32/VLOOKUP(VLOOKUP($BJ32,坦克个性化设定!$B$18:$E$48,4,FALSE)&amp;$BK32,坦克属性分配比例,MATCH("升星次数",坦克属性分配比例标头,0),FALSE)*(VLOOKUP(VLOOKUP($BJ32,坦克个性化设定!$B$18:$E$48,4,FALSE)&amp;$BK32,坦克属性分配比例,MATCH("升星比例",坦克属性分配比例标头,0),FALSE)+VLOOKUP(VLOOKUP($BJ32,坦克个性化设定!$B$18:$E$48,4,FALSE)&amp;$BK32,坦克属性分配比例,MATCH("部件比例",坦克属性分配比例标头,0),FALSE)*$C$3),0)</f>
        <v>613</v>
      </c>
      <c r="BP32" s="103">
        <f ca="1">ROUND(VLOOKUP($BJ32&amp;"初始",$S$3:$AE$63,MATCH(BP$3,$S$3:$AE$3,0),FALSE)+(VLOOKUP($BJ32&amp;"最终",$S$3:$AE$63,MATCH(BP$3,$S$3:$AE$3,0),FALSE)-VLOOKUP($BJ32&amp;"初始",$S$3:$AE$63,MATCH(BP$3,$S$3:$AE$3,0),FALSE))*$BL32/VLOOKUP(VLOOKUP($BJ32,坦克个性化设定!$B$18:$E$48,4,FALSE)&amp;$BK32,坦克属性分配比例,MATCH("升星次数",坦克属性分配比例标头,0),FALSE)*(VLOOKUP(VLOOKUP($BJ32,坦克个性化设定!$B$18:$E$48,4,FALSE)&amp;$BK32,坦克属性分配比例,MATCH("升星比例",坦克属性分配比例标头,0),FALSE)+VLOOKUP(VLOOKUP($BJ32,坦克个性化设定!$B$18:$E$48,4,FALSE)&amp;$BK32,坦克属性分配比例,MATCH("部件比例",坦克属性分配比例标头,0),FALSE)*$C$3),0)</f>
        <v>245</v>
      </c>
      <c r="BQ32" s="103">
        <f ca="1">ROUND(VLOOKUP($BJ32&amp;"初始",$S$3:$AE$63,MATCH(BQ$3,$S$3:$AE$3,0),FALSE)+(VLOOKUP($BJ32&amp;"最终",$S$3:$AE$63,MATCH(BQ$3,$S$3:$AE$3,0),FALSE)-VLOOKUP($BJ32&amp;"初始",$S$3:$AE$63,MATCH(BQ$3,$S$3:$AE$3,0),FALSE))*$BL32/VLOOKUP(VLOOKUP($BJ32,坦克个性化设定!$B$18:$E$48,4,FALSE)&amp;$BK32,坦克属性分配比例,MATCH("升星次数",坦克属性分配比例标头,0),FALSE)*VLOOKUP(VLOOKUP($BJ32,坦克个性化设定!$B$18:$E$48,4,FALSE)&amp;$BK32,坦克属性分配比例,MATCH("升星比例",坦克属性分配比例标头,0),FALSE),0)</f>
        <v>527</v>
      </c>
      <c r="BR32" s="2">
        <f ca="1">ROUND(VLOOKUP($BJ32&amp;"初始",$S$3:$AE$63,MATCH(BR$3,$S$3:$AE$3,0),FALSE)+(VLOOKUP($BJ32&amp;"最终",$S$3:$AE$63,MATCH(BR$3,$S$3:$AE$3,0),FALSE)-VLOOKUP($BJ32&amp;"初始",$S$3:$AE$63,MATCH(BR$3,$S$3:$AE$3,0),FALSE))*$BL32/VLOOKUP(VLOOKUP($BJ32,坦克个性化设定!$B$18:$E$48,4,FALSE)&amp;$BK32,坦克属性分配比例,MATCH("升星次数",坦克属性分配比例标头,0),FALSE),0)</f>
        <v>155</v>
      </c>
      <c r="BS32" s="2">
        <f>ROUND(VLOOKUP($BJ32,$AI$3:$AO$33,MATCH(BS$3,$AI$3:$AO$3,0),FALSE)+$BL32/VLOOKUP(VLOOKUP($BJ32,坦克个性化设定!$B$18:$E$48,4,FALSE)&amp;$BK32,坦克属性分配比例,MATCH("升星次数",坦克属性分配比例标头,0),FALSE)*VLOOKUP($BJ32,$AR$3:$AY$33,MATCH(BS$3,$AR$3:$AY$3,0),FALSE),1)</f>
        <v>49.5</v>
      </c>
      <c r="BT32" s="2">
        <f>ROUND(VLOOKUP($BJ32,$AI$3:$AO$33,MATCH(BT$3,$AI$3:$AO$3,0),FALSE)+$BL32/VLOOKUP(VLOOKUP($BJ32,坦克个性化设定!$B$18:$E$48,4,FALSE)&amp;$BK32,坦克属性分配比例,MATCH("升星次数",坦克属性分配比例标头,0),FALSE)*VLOOKUP($BJ32,$AR$3:$AY$33,MATCH(BT$3,$AR$3:$AY$3,0),FALSE),1)</f>
        <v>58.3</v>
      </c>
      <c r="BU32" s="2">
        <f>ROUND(VLOOKUP($BJ32,$AI$3:$AO$33,MATCH(BU$3,$AI$3:$AO$3,0),FALSE)+$BL32/VLOOKUP(VLOOKUP($BJ32,坦克个性化设定!$B$18:$E$48,4,FALSE)&amp;$BK32,坦克属性分配比例,MATCH("升星次数",坦克属性分配比例标头,0),FALSE)*VLOOKUP($BJ32,$AR$3:$AY$33,MATCH(BU$3,$AR$3:$AY$3,0),FALSE),1)</f>
        <v>10</v>
      </c>
      <c r="BV32" s="2">
        <f>IF(VLOOKUP(BJ32,坦克个性化设定!$B$18:$BC$48,MATCH("装弹类型",坦克个性化设定!$B$18:$BC$18,0),FALSE)="弹夹换弹",0,ROUND(VLOOKUP($BJ32,$AI$3:$AO$33,MATCH("换弹时间",$AI$3:$AO$3,0),FALSE)-$BL32/VLOOKUP(VLOOKUP($BJ32,坦克个性化设定!$B$18:$E$48,4,FALSE)&amp;$BK32,坦克属性分配比例,MATCH("升星次数",坦克属性分配比例标头,0),FALSE)*VLOOKUP($BJ32,$AR$3:$AY$33,MATCH("换弹时间",$AR$3:$AY$3,0),FALSE),2))</f>
        <v>0</v>
      </c>
      <c r="BW32" s="2">
        <f>IF(VLOOKUP(BJ32,坦克个性化设定!$B$18:$BC$48,MATCH("装弹类型",坦克个性化设定!$B$18:$BC$18,0),FALSE)="弹夹换弹",ROUND(VLOOKUP($BJ32,$AI$3:$AO$33,MATCH("换弹时间",$AI$3:$AO$3,0),FALSE)-$BL32/VLOOKUP(VLOOKUP($BJ32,坦克个性化设定!$B$18:$E$48,4,FALSE)&amp;$BK32,坦克属性分配比例,MATCH("升星次数",坦克属性分配比例标头,0),FALSE)*VLOOKUP($BJ32,$AR$3:$AY$33,MATCH("换弹时间",$AR$3:$AY$3,0),FALSE),1),0)</f>
        <v>7.5</v>
      </c>
      <c r="BX32" s="2">
        <f>ROUND(VLOOKUP($BJ32,$AI$3:$AO$33,MATCH(BX$3,$AI$3:$AO$3,0),FALSE)+$BL32/VLOOKUP(VLOOKUP($BJ32,坦克个性化设定!$B$18:$E$48,4,FALSE)&amp;$BK32,坦克属性分配比例,MATCH("升星次数",坦克属性分配比例标头,0),FALSE)*VLOOKUP($BJ32,$AR$3:$AY$33,MATCH(BX$3,$AR$3:$AY$3,0),FALSE),2)</f>
        <v>0.8</v>
      </c>
      <c r="BY32" s="2">
        <f>ROUND(VLOOKUP($BJ32,$AI$3:$AO$33,MATCH(BY$3,$AI$3:$AO$3,0),FALSE)-$BL32/VLOOKUP(VLOOKUP($BJ32,坦克个性化设定!$B$18:$E$48,4,FALSE)&amp;$BK32,坦克属性分配比例,MATCH("升星次数",坦克属性分配比例标头,0),FALSE)*VLOOKUP($BJ32,$AR$3:$AY$33,MATCH(BY$3,$AR$3:$AY$3,0),FALSE),2)</f>
        <v>0.42</v>
      </c>
      <c r="CA32" s="2">
        <v>29</v>
      </c>
      <c r="CB32" s="2" t="str">
        <f t="shared" si="15"/>
        <v>T-32</v>
      </c>
      <c r="CC32" s="2" t="str">
        <f>VLOOKUP(CB32,坦克个性化设定!$B$18:$F$48,5,FALSE)</f>
        <v>重坦单发</v>
      </c>
      <c r="CD32" s="29" t="str">
        <f>VLOOKUP(CB32,坦克个性化细分!$I$3:$J$33,2,FALSE)</f>
        <v>高</v>
      </c>
      <c r="CE32" s="42" t="e">
        <f ca="1">(VLOOKUP($CB32&amp;"最终",$S$3:$AE$63,MATCH(CE$3,$S$3:$AE$3,0),FALSE)-VLOOKUP($CB32&amp;"初始",$S$3:$AE$63,MATCH(CE$3,$S$3:$AE$3,0),FALSE))*VLOOKUP(VLOOKUP($CB32,坦克个性化设定!$B$18:$E$48,4,FALSE)&amp;$CD32,坦克属性分配比例,MATCH("部件比例",坦克属性分配比例标头,0),FALSE)</f>
        <v>#N/A</v>
      </c>
      <c r="CF32" s="42" t="e">
        <f ca="1">(VLOOKUP($CB32&amp;"最终",$S$3:$AE$63,MATCH(CF$3,$S$3:$AE$3,0),FALSE)-VLOOKUP($CB32&amp;"初始",$S$3:$AE$63,MATCH(CF$3,$S$3:$AE$3,0),FALSE))*VLOOKUP(VLOOKUP($CB32,坦克个性化设定!$B$18:$E$48,4,FALSE)&amp;$CD32,坦克属性分配比例,MATCH("部件比例",坦克属性分配比例标头,0),FALSE)</f>
        <v>#N/A</v>
      </c>
      <c r="CG32" s="42" t="e">
        <f ca="1">(VLOOKUP($CB32&amp;"最终",$S$3:$AE$63,MATCH(CG$3,$S$3:$AE$3,0),FALSE)-VLOOKUP($CB32&amp;"初始",$S$3:$AE$63,MATCH(CG$3,$S$3:$AE$3,0),FALSE))*VLOOKUP(VLOOKUP($CB32,坦克个性化设定!$B$18:$E$48,4,FALSE)&amp;$CD32,坦克属性分配比例,MATCH("部件比例",坦克属性分配比例标头,0),FALSE)*(1-$C$3)</f>
        <v>#N/A</v>
      </c>
      <c r="CH32" s="42" t="e">
        <f ca="1">(VLOOKUP($CB32&amp;"最终",$S$3:$AE$63,MATCH(CH$3,$S$3:$AE$3,0),FALSE)-VLOOKUP($CB32&amp;"初始",$S$3:$AE$63,MATCH(CH$3,$S$3:$AE$3,0),FALSE))*VLOOKUP(VLOOKUP($CB32,坦克个性化设定!$B$18:$E$48,4,FALSE)&amp;$CD32,坦克属性分配比例,MATCH("部件比例",坦克属性分配比例标头,0),FALSE)*(1-$C$3)</f>
        <v>#N/A</v>
      </c>
      <c r="CI32" s="42" t="e">
        <f ca="1">(VLOOKUP($CB32&amp;"最终",$S$3:$AE$63,MATCH(CI$3,$S$3:$AE$3,0),FALSE)-VLOOKUP($CB32&amp;"初始",$S$3:$AE$63,MATCH(CI$3,$S$3:$AE$3,0),FALSE))*VLOOKUP(VLOOKUP($CB32,坦克个性化设定!$B$18:$E$48,4,FALSE)&amp;$CD32,坦克属性分配比例,MATCH("部件比例",坦克属性分配比例标头,0),FALSE)</f>
        <v>#N/A</v>
      </c>
    </row>
    <row r="33" spans="2:87" x14ac:dyDescent="0.3">
      <c r="B33" s="2">
        <v>28</v>
      </c>
      <c r="C33" s="2" t="str">
        <f>坦克个性化设定!B46</f>
        <v>IS-4</v>
      </c>
      <c r="D33" s="2">
        <v>3421</v>
      </c>
      <c r="E33" s="2" t="s">
        <v>656</v>
      </c>
      <c r="F33" s="2">
        <v>0</v>
      </c>
      <c r="G33" s="25" t="str">
        <f t="shared" si="17"/>
        <v>IS-4</v>
      </c>
      <c r="H33" s="25"/>
      <c r="I33" s="25"/>
      <c r="J33" s="25"/>
      <c r="K33" s="25"/>
      <c r="L33" s="25"/>
      <c r="M33" s="25"/>
      <c r="N33" s="25"/>
      <c r="O33" s="25"/>
      <c r="P33" s="25"/>
      <c r="Q33" s="25"/>
      <c r="R33" s="25"/>
      <c r="S33" s="2" t="str">
        <f t="shared" si="2"/>
        <v>谢尔曼最终</v>
      </c>
      <c r="T33" s="2">
        <f>IF(COUNTIF(U$4:U32,U32)&gt;=$B$3,T32+1,T32)</f>
        <v>15</v>
      </c>
      <c r="U33" s="2" t="str">
        <f t="shared" si="3"/>
        <v>谢尔曼</v>
      </c>
      <c r="V33" s="2" t="str">
        <f>VLOOKUP(U33,坦克个性化设定!$B$18:$F$48,5,FALSE)</f>
        <v>中坦自动</v>
      </c>
      <c r="W33" s="29" t="str">
        <f>VLOOKUP(U33,坦克个性化细分!$I$3:$J$33,2,FALSE)</f>
        <v>中</v>
      </c>
      <c r="X33" s="2" t="str">
        <f t="shared" si="16"/>
        <v>最终</v>
      </c>
      <c r="Y33" s="2" t="str">
        <f>VLOOKUP(VLOOKUP(U33,坦克个性化设定!$B$18:$F$48,4,FALSE)&amp;W33,坦克等级成长!$P$12:$U$24,MATCH(X33,坦克等级成长!$P$12:$U$12,0),FALSE)</f>
        <v>T3中5</v>
      </c>
      <c r="Z33" s="42">
        <f ca="1">VLOOKUP($Y33,INDIRECT($V33&amp;"_阶段属性"),MATCH(Z$3,属性标头_阶段属性,0),FALSE)*VLOOKUP($U33,坦克个性化设定!$B$84:$D$114,2,FALSE)</f>
        <v>1876.5814927418151</v>
      </c>
      <c r="AA33" s="42">
        <f ca="1">VLOOKUP($Y33,INDIRECT($V33&amp;"_阶段属性"),MATCH(AA$3,属性标头_阶段属性,0),FALSE)*VLOOKUP($U33,坦克个性化设定!$B$84:$D$114,3,FALSE)</f>
        <v>262.68024156243956</v>
      </c>
      <c r="AB33" s="2">
        <f t="shared" ca="1" si="18"/>
        <v>749</v>
      </c>
      <c r="AC33" s="2">
        <f t="shared" ca="1" si="18"/>
        <v>337</v>
      </c>
      <c r="AD33" s="2">
        <f t="shared" ca="1" si="18"/>
        <v>821</v>
      </c>
      <c r="AE33" s="2">
        <f t="shared" ca="1" si="18"/>
        <v>192</v>
      </c>
      <c r="AF33" s="25"/>
      <c r="AH33" s="2">
        <v>30</v>
      </c>
      <c r="AI33" s="2" t="str">
        <f t="shared" si="5"/>
        <v>M1A2</v>
      </c>
      <c r="AJ33" s="2">
        <f>VLOOKUP($AI33,坦克个性化细分!$I$3:$P$33,MATCH(AJ$3,坦克个性化细分!$I$3:$P$3,0),FALSE)</f>
        <v>30.7</v>
      </c>
      <c r="AK33" s="2">
        <f>VLOOKUP($AI33,坦克个性化细分!$I$3:$P$33,MATCH(AK$3,坦克个性化细分!$I$3:$P$3,0),FALSE)</f>
        <v>35</v>
      </c>
      <c r="AL33" s="2">
        <f>VLOOKUP($AI33,坦克个性化细分!$I$3:$P$33,MATCH(AL$3,坦克个性化细分!$I$3:$P$3,0),FALSE)</f>
        <v>6.3</v>
      </c>
      <c r="AM33" s="34">
        <f>VLOOKUP(AI33,坦克个性化细分!$AA$3:$AP$33,MATCH("射击偏移角",坦克个性化细分!$AA$3:$AP$3,0),FALSE)/VLOOKUP(AI33,坦克个性化细分!$AA$3:$AP$33,MATCH("原瞄准速度",坦克个性化细分!$AA$3:$AP$3,0),FALSE)</f>
        <v>3</v>
      </c>
      <c r="AN33" s="34">
        <f>VLOOKUP(AI33,坦克个性化细分!$AA$3:$AP$33,MATCH(AN$3,坦克个性化细分!$AA$3:$AP$3,0),FALSE)</f>
        <v>0</v>
      </c>
      <c r="AO33" s="2">
        <f>VLOOKUP(AI33,坦克个性化细分!$AA$3:$AP$33,MATCH("原换弹时间",坦克个性化细分!$AA$3:$AP$3,0),FALSE)</f>
        <v>6</v>
      </c>
      <c r="AP33" s="132"/>
      <c r="AQ33" s="2">
        <v>30</v>
      </c>
      <c r="AR33" s="2" t="str">
        <f t="shared" si="6"/>
        <v>M1A2</v>
      </c>
      <c r="AS33" s="2" t="s">
        <v>83</v>
      </c>
      <c r="AT33" s="34">
        <f>VLOOKUP(AR33,坦克个性化细分!$I$3:$P$33,MATCH("养成区间1",坦克个性化细分!$I$3:$P$3,0),FALSE)</f>
        <v>7.674999999999998</v>
      </c>
      <c r="AU33" s="2">
        <f>VLOOKUP(AR33,坦克个性化细分!$I$3:$P$33,MATCH("养成区间2",坦克个性化细分!$I$3:$P$3,0),FALSE)</f>
        <v>8.7499999999999982</v>
      </c>
      <c r="AV33" s="2">
        <f>VLOOKUP(AR33,坦克个性化细分!$I$3:$P$33,MATCH("养成区间3",坦克个性化细分!$I$3:$P$3,0),FALSE)</f>
        <v>0</v>
      </c>
      <c r="AW33" s="34">
        <f>VLOOKUP(AR33,坦克个性化细分!$AA$3:$AP$33,MATCH("瞄准区间",坦克个性化细分!$AA$3:$AP$3,0),FALSE)</f>
        <v>0.5</v>
      </c>
      <c r="AX33" s="34">
        <f>VLOOKUP(AI33,坦克个性化细分!$AA$3:$AP$33,MATCH("后射击间隔",坦克个性化细分!$AA$3:$AP$3,0),FALSE)-VLOOKUP(AI33,坦克个性化细分!$AA$3:$AP$33,MATCH(AN$3,坦克个性化细分!$AA$3:$AP$3,0),FALSE)</f>
        <v>0</v>
      </c>
      <c r="AY33" s="34">
        <f>VLOOKUP(AR33,坦克个性化细分!$AA$3:$AP$33,MATCH("换弹区间",坦克个性化细分!$AA$3:$AP$3,0),FALSE)</f>
        <v>0.84978540772532085</v>
      </c>
      <c r="AZ33" s="132"/>
      <c r="BA33" s="34">
        <f t="shared" si="8"/>
        <v>0.24999999999999994</v>
      </c>
      <c r="BB33" s="34">
        <f t="shared" si="9"/>
        <v>0.24999999999999994</v>
      </c>
      <c r="BC33" s="34">
        <f t="shared" si="10"/>
        <v>0</v>
      </c>
      <c r="BD33" s="34">
        <f t="shared" si="11"/>
        <v>0.16666666666666666</v>
      </c>
      <c r="BE33" s="34">
        <f t="shared" si="12"/>
        <v>0.14163090128755348</v>
      </c>
      <c r="BF33" s="34"/>
      <c r="BG33" s="132"/>
      <c r="BH33" s="2" t="str">
        <f t="shared" si="13"/>
        <v>35(t)7</v>
      </c>
      <c r="BI33" s="2">
        <f>IF(BL32&gt;=VLOOKUP(VLOOKUP(BJ32,坦克个性化设定!$B$18:$E$48,4,FALSE)&amp;BK32,坦克属性分配比例,MATCH("升星次数",坦克属性分配比例标头,0),FALSE),BI32+1,BI32)</f>
        <v>4</v>
      </c>
      <c r="BJ33" s="2" t="str">
        <f t="shared" si="14"/>
        <v>35(t)</v>
      </c>
      <c r="BK33" s="29" t="str">
        <f>VLOOKUP(BJ33,坦克个性化细分!$I$3:$J$33,2,FALSE)</f>
        <v>低</v>
      </c>
      <c r="BL33" s="2">
        <f t="shared" si="7"/>
        <v>7</v>
      </c>
      <c r="BM33" s="103">
        <f ca="1">ROUND(VLOOKUP($BJ33&amp;"初始",$S$3:$AE$63,MATCH(BM$3,$S$3:$AE$3,0),FALSE)+((VLOOKUP($BJ33&amp;"最终",$S$3:$AE$63,MATCH(BM$3,$S$3:$AE$3,0),FALSE)*坦克个性化细分!$C$9-VLOOKUP($BJ33&amp;"初始",$S$3:$AE$63,MATCH(BM$3,$S$3:$AE$3,0),FALSE))-(VLOOKUP($BJ33&amp;"最终",$S$3:$AE$63,MATCH(BM$3,$S$3:$AE$3,0),FALSE)-VLOOKUP($BJ33&amp;"初始",$S$3:$AE$63,MATCH(BM$3,$S$3:$AE$3,0),FALSE))*VLOOKUP(VLOOKUP($BJ33,坦克个性化设定!$B$18:$E$48,4,FALSE)&amp;$BK33,坦克属性分配比例,MATCH("部件比例",坦克属性分配比例标头,0),FALSE))*$BL33/VLOOKUP(VLOOKUP($BJ33,坦克个性化设定!$B$18:$E$48,4,FALSE)&amp;$BK33,坦克属性分配比例,MATCH("升星次数",坦克属性分配比例标头,0),FALSE),0)</f>
        <v>1648</v>
      </c>
      <c r="BN33" s="103">
        <f ca="1">ROUND(VLOOKUP($BJ33&amp;"初始",$S$3:$AE$63,MATCH(BN$3,$S$3:$AE$3,0),FALSE)+(VLOOKUP($BJ33&amp;"最终",$S$3:$AE$63,MATCH(BN$3,$S$3:$AE$3,0),FALSE)-VLOOKUP($BJ33&amp;"初始",$S$3:$AE$63,MATCH(BN$3,$S$3:$AE$3,0),FALSE))*$BL33/VLOOKUP(VLOOKUP($BJ33,坦克个性化设定!$B$18:$E$48,4,FALSE)&amp;$BK33,坦克属性分配比例,MATCH("升星次数",坦克属性分配比例标头,0),FALSE)*VLOOKUP(VLOOKUP($BJ33,坦克个性化设定!$B$18:$E$48,4,FALSE)&amp;$BK33,坦克属性分配比例,MATCH("升星比例",坦克属性分配比例标头,0),FALSE),0)</f>
        <v>127</v>
      </c>
      <c r="BO33" s="103">
        <f ca="1">ROUND(VLOOKUP($BJ33&amp;"初始",$S$3:$AE$63,MATCH(BO$3,$S$3:$AE$3,0),FALSE)+(VLOOKUP($BJ33&amp;"最终",$S$3:$AE$63,MATCH(BO$3,$S$3:$AE$3,0),FALSE)-VLOOKUP($BJ33&amp;"初始",$S$3:$AE$63,MATCH(BO$3,$S$3:$AE$3,0),FALSE))*$BL33/VLOOKUP(VLOOKUP($BJ33,坦克个性化设定!$B$18:$E$48,4,FALSE)&amp;$BK33,坦克属性分配比例,MATCH("升星次数",坦克属性分配比例标头,0),FALSE)*(VLOOKUP(VLOOKUP($BJ33,坦克个性化设定!$B$18:$E$48,4,FALSE)&amp;$BK33,坦克属性分配比例,MATCH("升星比例",坦克属性分配比例标头,0),FALSE)+VLOOKUP(VLOOKUP($BJ33,坦克个性化设定!$B$18:$E$48,4,FALSE)&amp;$BK33,坦克属性分配比例,MATCH("部件比例",坦克属性分配比例标头,0),FALSE)*$C$3),0)</f>
        <v>634</v>
      </c>
      <c r="BP33" s="103">
        <f ca="1">ROUND(VLOOKUP($BJ33&amp;"初始",$S$3:$AE$63,MATCH(BP$3,$S$3:$AE$3,0),FALSE)+(VLOOKUP($BJ33&amp;"最终",$S$3:$AE$63,MATCH(BP$3,$S$3:$AE$3,0),FALSE)-VLOOKUP($BJ33&amp;"初始",$S$3:$AE$63,MATCH(BP$3,$S$3:$AE$3,0),FALSE))*$BL33/VLOOKUP(VLOOKUP($BJ33,坦克个性化设定!$B$18:$E$48,4,FALSE)&amp;$BK33,坦克属性分配比例,MATCH("升星次数",坦克属性分配比例标头,0),FALSE)*(VLOOKUP(VLOOKUP($BJ33,坦克个性化设定!$B$18:$E$48,4,FALSE)&amp;$BK33,坦克属性分配比例,MATCH("升星比例",坦克属性分配比例标头,0),FALSE)+VLOOKUP(VLOOKUP($BJ33,坦克个性化设定!$B$18:$E$48,4,FALSE)&amp;$BK33,坦克属性分配比例,MATCH("部件比例",坦克属性分配比例标头,0),FALSE)*$C$3),0)</f>
        <v>254</v>
      </c>
      <c r="BQ33" s="103">
        <f ca="1">ROUND(VLOOKUP($BJ33&amp;"初始",$S$3:$AE$63,MATCH(BQ$3,$S$3:$AE$3,0),FALSE)+(VLOOKUP($BJ33&amp;"最终",$S$3:$AE$63,MATCH(BQ$3,$S$3:$AE$3,0),FALSE)-VLOOKUP($BJ33&amp;"初始",$S$3:$AE$63,MATCH(BQ$3,$S$3:$AE$3,0),FALSE))*$BL33/VLOOKUP(VLOOKUP($BJ33,坦克个性化设定!$B$18:$E$48,4,FALSE)&amp;$BK33,坦克属性分配比例,MATCH("升星次数",坦克属性分配比例标头,0),FALSE)*VLOOKUP(VLOOKUP($BJ33,坦克个性化设定!$B$18:$E$48,4,FALSE)&amp;$BK33,坦克属性分配比例,MATCH("升星比例",坦克属性分配比例标头,0),FALSE),0)</f>
        <v>541</v>
      </c>
      <c r="BR33" s="2">
        <f ca="1">ROUND(VLOOKUP($BJ33&amp;"初始",$S$3:$AE$63,MATCH(BR$3,$S$3:$AE$3,0),FALSE)+(VLOOKUP($BJ33&amp;"最终",$S$3:$AE$63,MATCH(BR$3,$S$3:$AE$3,0),FALSE)-VLOOKUP($BJ33&amp;"初始",$S$3:$AE$63,MATCH(BR$3,$S$3:$AE$3,0),FALSE))*$BL33/VLOOKUP(VLOOKUP($BJ33,坦克个性化设定!$B$18:$E$48,4,FALSE)&amp;$BK33,坦克属性分配比例,MATCH("升星次数",坦克属性分配比例标头,0),FALSE),0)</f>
        <v>162</v>
      </c>
      <c r="BS33" s="2">
        <f>ROUND(VLOOKUP($BJ33,$AI$3:$AO$33,MATCH(BS$3,$AI$3:$AO$3,0),FALSE)+$BL33/VLOOKUP(VLOOKUP($BJ33,坦克个性化设定!$B$18:$E$48,4,FALSE)&amp;$BK33,坦克属性分配比例,MATCH("升星次数",坦克属性分配比例标头,0),FALSE)*VLOOKUP($BJ33,$AR$3:$AY$33,MATCH(BS$3,$AR$3:$AY$3,0),FALSE),1)</f>
        <v>50.6</v>
      </c>
      <c r="BT33" s="2">
        <f>ROUND(VLOOKUP($BJ33,$AI$3:$AO$33,MATCH(BT$3,$AI$3:$AO$3,0),FALSE)+$BL33/VLOOKUP(VLOOKUP($BJ33,坦克个性化设定!$B$18:$E$48,4,FALSE)&amp;$BK33,坦克属性分配比例,MATCH("升星次数",坦克属性分配比例标头,0),FALSE)*VLOOKUP($BJ33,$AR$3:$AY$33,MATCH(BT$3,$AR$3:$AY$3,0),FALSE),1)</f>
        <v>59.7</v>
      </c>
      <c r="BU33" s="2">
        <f>ROUND(VLOOKUP($BJ33,$AI$3:$AO$33,MATCH(BU$3,$AI$3:$AO$3,0),FALSE)+$BL33/VLOOKUP(VLOOKUP($BJ33,坦克个性化设定!$B$18:$E$48,4,FALSE)&amp;$BK33,坦克属性分配比例,MATCH("升星次数",坦克属性分配比例标头,0),FALSE)*VLOOKUP($BJ33,$AR$3:$AY$33,MATCH(BU$3,$AR$3:$AY$3,0),FALSE),1)</f>
        <v>10</v>
      </c>
      <c r="BV33" s="2">
        <f>IF(VLOOKUP(BJ33,坦克个性化设定!$B$18:$BC$48,MATCH("装弹类型",坦克个性化设定!$B$18:$BC$18,0),FALSE)="弹夹换弹",0,ROUND(VLOOKUP($BJ33,$AI$3:$AO$33,MATCH("换弹时间",$AI$3:$AO$3,0),FALSE)-$BL33/VLOOKUP(VLOOKUP($BJ33,坦克个性化设定!$B$18:$E$48,4,FALSE)&amp;$BK33,坦克属性分配比例,MATCH("升星次数",坦克属性分配比例标头,0),FALSE)*VLOOKUP($BJ33,$AR$3:$AY$33,MATCH("换弹时间",$AR$3:$AY$3,0),FALSE),2))</f>
        <v>0</v>
      </c>
      <c r="BW33" s="2">
        <f>IF(VLOOKUP(BJ33,坦克个性化设定!$B$18:$BC$48,MATCH("装弹类型",坦克个性化设定!$B$18:$BC$18,0),FALSE)="弹夹换弹",ROUND(VLOOKUP($BJ33,$AI$3:$AO$33,MATCH("换弹时间",$AI$3:$AO$3,0),FALSE)-$BL33/VLOOKUP(VLOOKUP($BJ33,坦克个性化设定!$B$18:$E$48,4,FALSE)&amp;$BK33,坦克属性分配比例,MATCH("升星次数",坦克属性分配比例标头,0),FALSE)*VLOOKUP($BJ33,$AR$3:$AY$33,MATCH("换弹时间",$AR$3:$AY$3,0),FALSE),1),0)</f>
        <v>7.1</v>
      </c>
      <c r="BX33" s="2">
        <f>ROUND(VLOOKUP($BJ33,$AI$3:$AO$33,MATCH(BX$3,$AI$3:$AO$3,0),FALSE)+$BL33/VLOOKUP(VLOOKUP($BJ33,坦克个性化设定!$B$18:$E$48,4,FALSE)&amp;$BK33,坦克属性分配比例,MATCH("升星次数",坦克属性分配比例标头,0),FALSE)*VLOOKUP($BJ33,$AR$3:$AY$33,MATCH(BX$3,$AR$3:$AY$3,0),FALSE),2)</f>
        <v>0.8</v>
      </c>
      <c r="BY33" s="2">
        <f>ROUND(VLOOKUP($BJ33,$AI$3:$AO$33,MATCH(BY$3,$AI$3:$AO$3,0),FALSE)-$BL33/VLOOKUP(VLOOKUP($BJ33,坦克个性化设定!$B$18:$E$48,4,FALSE)&amp;$BK33,坦克属性分配比例,MATCH("升星次数",坦克属性分配比例标头,0),FALSE)*VLOOKUP($BJ33,$AR$3:$AY$33,MATCH(BY$3,$AR$3:$AY$3,0),FALSE),2)</f>
        <v>0.41</v>
      </c>
      <c r="CA33" s="2">
        <v>30</v>
      </c>
      <c r="CB33" s="2" t="str">
        <f t="shared" si="15"/>
        <v>M1A2</v>
      </c>
      <c r="CC33" s="2" t="str">
        <f>VLOOKUP(CB33,坦克个性化设定!$B$18:$F$48,5,FALSE)</f>
        <v>重坦单发</v>
      </c>
      <c r="CD33" s="29" t="str">
        <f>VLOOKUP(CB33,坦克个性化细分!$I$3:$J$33,2,FALSE)</f>
        <v>低</v>
      </c>
      <c r="CE33" s="42" t="e">
        <f ca="1">(VLOOKUP($CB33&amp;"最终",$S$3:$AE$63,MATCH(CE$3,$S$3:$AE$3,0),FALSE)-VLOOKUP($CB33&amp;"初始",$S$3:$AE$63,MATCH(CE$3,$S$3:$AE$3,0),FALSE))*VLOOKUP(VLOOKUP($CB33,坦克个性化设定!$B$18:$E$48,4,FALSE)&amp;$CD33,坦克属性分配比例,MATCH("部件比例",坦克属性分配比例标头,0),FALSE)</f>
        <v>#N/A</v>
      </c>
      <c r="CF33" s="42" t="e">
        <f ca="1">(VLOOKUP($CB33&amp;"最终",$S$3:$AE$63,MATCH(CF$3,$S$3:$AE$3,0),FALSE)-VLOOKUP($CB33&amp;"初始",$S$3:$AE$63,MATCH(CF$3,$S$3:$AE$3,0),FALSE))*VLOOKUP(VLOOKUP($CB33,坦克个性化设定!$B$18:$E$48,4,FALSE)&amp;$CD33,坦克属性分配比例,MATCH("部件比例",坦克属性分配比例标头,0),FALSE)</f>
        <v>#N/A</v>
      </c>
      <c r="CG33" s="42" t="e">
        <f ca="1">(VLOOKUP($CB33&amp;"最终",$S$3:$AE$63,MATCH(CG$3,$S$3:$AE$3,0),FALSE)-VLOOKUP($CB33&amp;"初始",$S$3:$AE$63,MATCH(CG$3,$S$3:$AE$3,0),FALSE))*VLOOKUP(VLOOKUP($CB33,坦克个性化设定!$B$18:$E$48,4,FALSE)&amp;$CD33,坦克属性分配比例,MATCH("部件比例",坦克属性分配比例标头,0),FALSE)*(1-$C$3)</f>
        <v>#N/A</v>
      </c>
      <c r="CH33" s="42" t="e">
        <f ca="1">(VLOOKUP($CB33&amp;"最终",$S$3:$AE$63,MATCH(CH$3,$S$3:$AE$3,0),FALSE)-VLOOKUP($CB33&amp;"初始",$S$3:$AE$63,MATCH(CH$3,$S$3:$AE$3,0),FALSE))*VLOOKUP(VLOOKUP($CB33,坦克个性化设定!$B$18:$E$48,4,FALSE)&amp;$CD33,坦克属性分配比例,MATCH("部件比例",坦克属性分配比例标头,0),FALSE)*(1-$C$3)</f>
        <v>#N/A</v>
      </c>
      <c r="CI33" s="42" t="e">
        <f ca="1">(VLOOKUP($CB33&amp;"最终",$S$3:$AE$63,MATCH(CI$3,$S$3:$AE$3,0),FALSE)-VLOOKUP($CB33&amp;"初始",$S$3:$AE$63,MATCH(CI$3,$S$3:$AE$3,0),FALSE))*VLOOKUP(VLOOKUP($CB33,坦克个性化设定!$B$18:$E$48,4,FALSE)&amp;$CD33,坦克属性分配比例,MATCH("部件比例",坦克属性分配比例标头,0),FALSE)</f>
        <v>#N/A</v>
      </c>
    </row>
    <row r="34" spans="2:87" x14ac:dyDescent="0.3">
      <c r="B34" s="2">
        <v>29</v>
      </c>
      <c r="C34" s="2" t="str">
        <f>坦克个性化设定!B47</f>
        <v>T-32</v>
      </c>
      <c r="D34" s="2">
        <v>3431</v>
      </c>
      <c r="E34" s="2" t="s">
        <v>658</v>
      </c>
      <c r="F34" s="2">
        <v>0</v>
      </c>
      <c r="G34" s="25" t="str">
        <f t="shared" si="17"/>
        <v>T-32</v>
      </c>
      <c r="H34" s="25"/>
      <c r="I34" s="25"/>
      <c r="J34" s="25"/>
      <c r="K34" s="25"/>
      <c r="L34" s="25"/>
      <c r="M34" s="25"/>
      <c r="N34" s="25"/>
      <c r="O34" s="25"/>
      <c r="P34" s="25"/>
      <c r="Q34" s="25"/>
      <c r="R34" s="25"/>
      <c r="S34" s="2" t="str">
        <f t="shared" si="2"/>
        <v>彗星初始</v>
      </c>
      <c r="T34" s="2">
        <f>IF(COUNTIF(U$4:U33,U33)&gt;=$B$3,T33+1,T33)</f>
        <v>16</v>
      </c>
      <c r="U34" s="2" t="str">
        <f t="shared" si="3"/>
        <v>彗星</v>
      </c>
      <c r="V34" s="2" t="str">
        <f>VLOOKUP(U34,坦克个性化设定!$B$18:$F$48,5,FALSE)</f>
        <v>中坦自动</v>
      </c>
      <c r="W34" s="29" t="str">
        <f>VLOOKUP(U34,坦克个性化细分!$I$3:$J$33,2,FALSE)</f>
        <v>高</v>
      </c>
      <c r="X34" s="2" t="str">
        <f t="shared" si="16"/>
        <v>初始</v>
      </c>
      <c r="Y34" s="2" t="str">
        <f>VLOOKUP(VLOOKUP(U34,坦克个性化设定!$B$18:$F$48,4,FALSE)&amp;W34,坦克等级成长!$P$12:$U$24,MATCH(X34,坦克等级成长!$P$12:$U$12,0),FALSE)</f>
        <v>T3高3</v>
      </c>
      <c r="Z34" s="42">
        <f ca="1">VLOOKUP($Y34,INDIRECT($V34&amp;"_阶段属性"),MATCH(Z$3,属性标头_阶段属性,0),FALSE)*VLOOKUP($U34,坦克个性化设定!$B$84:$D$114,2,FALSE)</f>
        <v>1305.1123820078981</v>
      </c>
      <c r="AA34" s="42">
        <f ca="1">VLOOKUP($Y34,INDIRECT($V34&amp;"_阶段属性"),MATCH(AA$3,属性标头_阶段属性,0),FALSE)*VLOOKUP($U34,坦克个性化设定!$B$84:$D$114,3,FALSE)</f>
        <v>177.55423927181943</v>
      </c>
      <c r="AB34" s="2">
        <f t="shared" ca="1" si="18"/>
        <v>506</v>
      </c>
      <c r="AC34" s="2">
        <f t="shared" ca="1" si="18"/>
        <v>228</v>
      </c>
      <c r="AD34" s="2">
        <f t="shared" ca="1" si="18"/>
        <v>554</v>
      </c>
      <c r="AE34" s="2">
        <f t="shared" ca="1" si="18"/>
        <v>130</v>
      </c>
      <c r="AF34" s="25"/>
      <c r="BH34" s="2" t="str">
        <f t="shared" si="13"/>
        <v>35(t)8</v>
      </c>
      <c r="BI34" s="2">
        <f>IF(BL33&gt;=VLOOKUP(VLOOKUP(BJ33,坦克个性化设定!$B$18:$E$48,4,FALSE)&amp;BK33,坦克属性分配比例,MATCH("升星次数",坦克属性分配比例标头,0),FALSE),BI33+1,BI33)</f>
        <v>4</v>
      </c>
      <c r="BJ34" s="2" t="str">
        <f t="shared" si="14"/>
        <v>35(t)</v>
      </c>
      <c r="BK34" s="29" t="str">
        <f>VLOOKUP(BJ34,坦克个性化细分!$I$3:$J$33,2,FALSE)</f>
        <v>低</v>
      </c>
      <c r="BL34" s="2">
        <f t="shared" si="7"/>
        <v>8</v>
      </c>
      <c r="BM34" s="103">
        <f ca="1">ROUND(VLOOKUP($BJ34&amp;"初始",$S$3:$AE$63,MATCH(BM$3,$S$3:$AE$3,0),FALSE)+((VLOOKUP($BJ34&amp;"最终",$S$3:$AE$63,MATCH(BM$3,$S$3:$AE$3,0),FALSE)*坦克个性化细分!$C$9-VLOOKUP($BJ34&amp;"初始",$S$3:$AE$63,MATCH(BM$3,$S$3:$AE$3,0),FALSE))-(VLOOKUP($BJ34&amp;"最终",$S$3:$AE$63,MATCH(BM$3,$S$3:$AE$3,0),FALSE)-VLOOKUP($BJ34&amp;"初始",$S$3:$AE$63,MATCH(BM$3,$S$3:$AE$3,0),FALSE))*VLOOKUP(VLOOKUP($BJ34,坦克个性化设定!$B$18:$E$48,4,FALSE)&amp;$BK34,坦克属性分配比例,MATCH("部件比例",坦克属性分配比例标头,0),FALSE))*$BL34/VLOOKUP(VLOOKUP($BJ34,坦克个性化设定!$B$18:$E$48,4,FALSE)&amp;$BK34,坦克属性分配比例,MATCH("升星次数",坦克属性分配比例标头,0),FALSE),0)</f>
        <v>1711</v>
      </c>
      <c r="BN34" s="103">
        <f ca="1">ROUND(VLOOKUP($BJ34&amp;"初始",$S$3:$AE$63,MATCH(BN$3,$S$3:$AE$3,0),FALSE)+(VLOOKUP($BJ34&amp;"最终",$S$3:$AE$63,MATCH(BN$3,$S$3:$AE$3,0),FALSE)-VLOOKUP($BJ34&amp;"初始",$S$3:$AE$63,MATCH(BN$3,$S$3:$AE$3,0),FALSE))*$BL34/VLOOKUP(VLOOKUP($BJ34,坦克个性化设定!$B$18:$E$48,4,FALSE)&amp;$BK34,坦克属性分配比例,MATCH("升星次数",坦克属性分配比例标头,0),FALSE)*VLOOKUP(VLOOKUP($BJ34,坦克个性化设定!$B$18:$E$48,4,FALSE)&amp;$BK34,坦克属性分配比例,MATCH("升星比例",坦克属性分配比例标头,0),FALSE),0)</f>
        <v>131</v>
      </c>
      <c r="BO34" s="103">
        <f ca="1">ROUND(VLOOKUP($BJ34&amp;"初始",$S$3:$AE$63,MATCH(BO$3,$S$3:$AE$3,0),FALSE)+(VLOOKUP($BJ34&amp;"最终",$S$3:$AE$63,MATCH(BO$3,$S$3:$AE$3,0),FALSE)-VLOOKUP($BJ34&amp;"初始",$S$3:$AE$63,MATCH(BO$3,$S$3:$AE$3,0),FALSE))*$BL34/VLOOKUP(VLOOKUP($BJ34,坦克个性化设定!$B$18:$E$48,4,FALSE)&amp;$BK34,坦克属性分配比例,MATCH("升星次数",坦克属性分配比例标头,0),FALSE)*(VLOOKUP(VLOOKUP($BJ34,坦克个性化设定!$B$18:$E$48,4,FALSE)&amp;$BK34,坦克属性分配比例,MATCH("升星比例",坦克属性分配比例标头,0),FALSE)+VLOOKUP(VLOOKUP($BJ34,坦克个性化设定!$B$18:$E$48,4,FALSE)&amp;$BK34,坦克属性分配比例,MATCH("部件比例",坦克属性分配比例标头,0),FALSE)*$C$3),0)</f>
        <v>655</v>
      </c>
      <c r="BP34" s="103">
        <f ca="1">ROUND(VLOOKUP($BJ34&amp;"初始",$S$3:$AE$63,MATCH(BP$3,$S$3:$AE$3,0),FALSE)+(VLOOKUP($BJ34&amp;"最终",$S$3:$AE$63,MATCH(BP$3,$S$3:$AE$3,0),FALSE)-VLOOKUP($BJ34&amp;"初始",$S$3:$AE$63,MATCH(BP$3,$S$3:$AE$3,0),FALSE))*$BL34/VLOOKUP(VLOOKUP($BJ34,坦克个性化设定!$B$18:$E$48,4,FALSE)&amp;$BK34,坦克属性分配比例,MATCH("升星次数",坦克属性分配比例标头,0),FALSE)*(VLOOKUP(VLOOKUP($BJ34,坦克个性化设定!$B$18:$E$48,4,FALSE)&amp;$BK34,坦克属性分配比例,MATCH("升星比例",坦克属性分配比例标头,0),FALSE)+VLOOKUP(VLOOKUP($BJ34,坦克个性化设定!$B$18:$E$48,4,FALSE)&amp;$BK34,坦克属性分配比例,MATCH("部件比例",坦克属性分配比例标头,0),FALSE)*$C$3),0)</f>
        <v>262</v>
      </c>
      <c r="BQ34" s="103">
        <f ca="1">ROUND(VLOOKUP($BJ34&amp;"初始",$S$3:$AE$63,MATCH(BQ$3,$S$3:$AE$3,0),FALSE)+(VLOOKUP($BJ34&amp;"最终",$S$3:$AE$63,MATCH(BQ$3,$S$3:$AE$3,0),FALSE)-VLOOKUP($BJ34&amp;"初始",$S$3:$AE$63,MATCH(BQ$3,$S$3:$AE$3,0),FALSE))*$BL34/VLOOKUP(VLOOKUP($BJ34,坦克个性化设定!$B$18:$E$48,4,FALSE)&amp;$BK34,坦克属性分配比例,MATCH("升星次数",坦克属性分配比例标头,0),FALSE)*VLOOKUP(VLOOKUP($BJ34,坦克个性化设定!$B$18:$E$48,4,FALSE)&amp;$BK34,坦克属性分配比例,MATCH("升星比例",坦克属性分配比例标头,0),FALSE),0)</f>
        <v>554</v>
      </c>
      <c r="BR34" s="2">
        <f ca="1">ROUND(VLOOKUP($BJ34&amp;"初始",$S$3:$AE$63,MATCH(BR$3,$S$3:$AE$3,0),FALSE)+(VLOOKUP($BJ34&amp;"最终",$S$3:$AE$63,MATCH(BR$3,$S$3:$AE$3,0),FALSE)-VLOOKUP($BJ34&amp;"初始",$S$3:$AE$63,MATCH(BR$3,$S$3:$AE$3,0),FALSE))*$BL34/VLOOKUP(VLOOKUP($BJ34,坦克个性化设定!$B$18:$E$48,4,FALSE)&amp;$BK34,坦克属性分配比例,MATCH("升星次数",坦克属性分配比例标头,0),FALSE),0)</f>
        <v>168</v>
      </c>
      <c r="BS34" s="2">
        <f>ROUND(VLOOKUP($BJ34,$AI$3:$AO$33,MATCH(BS$3,$AI$3:$AO$3,0),FALSE)+$BL34/VLOOKUP(VLOOKUP($BJ34,坦克个性化设定!$B$18:$E$48,4,FALSE)&amp;$BK34,坦克属性分配比例,MATCH("升星次数",坦克属性分配比例标头,0),FALSE)*VLOOKUP($BJ34,$AR$3:$AY$33,MATCH(BS$3,$AR$3:$AY$3,0),FALSE),1)</f>
        <v>51.8</v>
      </c>
      <c r="BT34" s="2">
        <f>ROUND(VLOOKUP($BJ34,$AI$3:$AO$33,MATCH(BT$3,$AI$3:$AO$3,0),FALSE)+$BL34/VLOOKUP(VLOOKUP($BJ34,坦克个性化设定!$B$18:$E$48,4,FALSE)&amp;$BK34,坦克属性分配比例,MATCH("升星次数",坦克属性分配比例标头,0),FALSE)*VLOOKUP($BJ34,$AR$3:$AY$33,MATCH(BT$3,$AR$3:$AY$3,0),FALSE),1)</f>
        <v>61.1</v>
      </c>
      <c r="BU34" s="2">
        <f>ROUND(VLOOKUP($BJ34,$AI$3:$AO$33,MATCH(BU$3,$AI$3:$AO$3,0),FALSE)+$BL34/VLOOKUP(VLOOKUP($BJ34,坦克个性化设定!$B$18:$E$48,4,FALSE)&amp;$BK34,坦克属性分配比例,MATCH("升星次数",坦克属性分配比例标头,0),FALSE)*VLOOKUP($BJ34,$AR$3:$AY$33,MATCH(BU$3,$AR$3:$AY$3,0),FALSE),1)</f>
        <v>10</v>
      </c>
      <c r="BV34" s="2">
        <f>IF(VLOOKUP(BJ34,坦克个性化设定!$B$18:$BC$48,MATCH("装弹类型",坦克个性化设定!$B$18:$BC$18,0),FALSE)="弹夹换弹",0,ROUND(VLOOKUP($BJ34,$AI$3:$AO$33,MATCH("换弹时间",$AI$3:$AO$3,0),FALSE)-$BL34/VLOOKUP(VLOOKUP($BJ34,坦克个性化设定!$B$18:$E$48,4,FALSE)&amp;$BK34,坦克属性分配比例,MATCH("升星次数",坦克属性分配比例标头,0),FALSE)*VLOOKUP($BJ34,$AR$3:$AY$33,MATCH("换弹时间",$AR$3:$AY$3,0),FALSE),2))</f>
        <v>0</v>
      </c>
      <c r="BW34" s="2">
        <f>IF(VLOOKUP(BJ34,坦克个性化设定!$B$18:$BC$48,MATCH("装弹类型",坦克个性化设定!$B$18:$BC$18,0),FALSE)="弹夹换弹",ROUND(VLOOKUP($BJ34,$AI$3:$AO$33,MATCH("换弹时间",$AI$3:$AO$3,0),FALSE)-$BL34/VLOOKUP(VLOOKUP($BJ34,坦克个性化设定!$B$18:$E$48,4,FALSE)&amp;$BK34,坦克属性分配比例,MATCH("升星次数",坦克属性分配比例标头,0),FALSE)*VLOOKUP($BJ34,$AR$3:$AY$33,MATCH("换弹时间",$AR$3:$AY$3,0),FALSE),1),0)</f>
        <v>6.7</v>
      </c>
      <c r="BX34" s="2">
        <f>ROUND(VLOOKUP($BJ34,$AI$3:$AO$33,MATCH(BX$3,$AI$3:$AO$3,0),FALSE)+$BL34/VLOOKUP(VLOOKUP($BJ34,坦克个性化设定!$B$18:$E$48,4,FALSE)&amp;$BK34,坦克属性分配比例,MATCH("升星次数",坦克属性分配比例标头,0),FALSE)*VLOOKUP($BJ34,$AR$3:$AY$33,MATCH(BX$3,$AR$3:$AY$3,0),FALSE),2)</f>
        <v>0.8</v>
      </c>
      <c r="BY34" s="2">
        <f>ROUND(VLOOKUP($BJ34,$AI$3:$AO$33,MATCH(BY$3,$AI$3:$AO$3,0),FALSE)-$BL34/VLOOKUP(VLOOKUP($BJ34,坦克个性化设定!$B$18:$E$48,4,FALSE)&amp;$BK34,坦克属性分配比例,MATCH("升星次数",坦克属性分配比例标头,0),FALSE)*VLOOKUP($BJ34,$AR$3:$AY$33,MATCH(BY$3,$AR$3:$AY$3,0),FALSE),2)</f>
        <v>0.4</v>
      </c>
    </row>
    <row r="35" spans="2:87" x14ac:dyDescent="0.3">
      <c r="B35" s="2">
        <v>30</v>
      </c>
      <c r="C35" s="2" t="str">
        <f>坦克个性化设定!B48</f>
        <v>M1A2</v>
      </c>
      <c r="D35" s="2">
        <v>3511</v>
      </c>
      <c r="E35" s="2" t="s">
        <v>660</v>
      </c>
      <c r="F35" s="2">
        <v>0</v>
      </c>
      <c r="G35" s="25" t="str">
        <f t="shared" si="17"/>
        <v>M1A2</v>
      </c>
      <c r="H35" s="25"/>
      <c r="I35" s="25"/>
      <c r="J35" s="25"/>
      <c r="K35" s="25"/>
      <c r="L35" s="25"/>
      <c r="M35" s="25"/>
      <c r="N35" s="25"/>
      <c r="O35" s="25"/>
      <c r="P35" s="25"/>
      <c r="Q35" s="25"/>
      <c r="R35" s="25"/>
      <c r="S35" s="2" t="str">
        <f t="shared" si="2"/>
        <v>彗星最终</v>
      </c>
      <c r="T35" s="2">
        <f>IF(COUNTIF(U$4:U34,U34)&gt;=$B$3,T34+1,T34)</f>
        <v>16</v>
      </c>
      <c r="U35" s="2" t="str">
        <f t="shared" si="3"/>
        <v>彗星</v>
      </c>
      <c r="V35" s="2" t="str">
        <f>VLOOKUP(U35,坦克个性化设定!$B$18:$F$48,5,FALSE)</f>
        <v>中坦自动</v>
      </c>
      <c r="W35" s="29" t="str">
        <f>VLOOKUP(U35,坦克个性化细分!$I$3:$J$33,2,FALSE)</f>
        <v>高</v>
      </c>
      <c r="X35" s="2" t="str">
        <f t="shared" si="16"/>
        <v>最终</v>
      </c>
      <c r="Y35" s="2" t="str">
        <f>VLOOKUP(VLOOKUP(U35,坦克个性化设定!$B$18:$F$48,4,FALSE)&amp;W35,坦克等级成长!$P$12:$U$24,MATCH(X35,坦克等级成长!$P$12:$U$12,0),FALSE)</f>
        <v>T3高5</v>
      </c>
      <c r="Z35" s="42">
        <f ca="1">VLOOKUP($Y35,INDIRECT($V35&amp;"_阶段属性"),MATCH(Z$3,属性标头_阶段属性,0),FALSE)*VLOOKUP($U35,坦克个性化设定!$B$84:$D$114,2,FALSE)</f>
        <v>1932.5315856850384</v>
      </c>
      <c r="AA35" s="42">
        <f ca="1">VLOOKUP($Y35,INDIRECT($V35&amp;"_阶段属性"),MATCH(AA$3,属性标头_阶段属性,0),FALSE)*VLOOKUP($U35,坦克个性化设定!$B$84:$D$114,3,FALSE)</f>
        <v>268.11881769234481</v>
      </c>
      <c r="AB35" s="2">
        <f t="shared" ca="1" si="18"/>
        <v>766</v>
      </c>
      <c r="AC35" s="2">
        <f t="shared" ca="1" si="18"/>
        <v>345</v>
      </c>
      <c r="AD35" s="2">
        <f t="shared" ca="1" si="18"/>
        <v>839</v>
      </c>
      <c r="AE35" s="2">
        <f t="shared" ca="1" si="18"/>
        <v>196</v>
      </c>
      <c r="AF35" s="25"/>
      <c r="BH35" s="2" t="str">
        <f t="shared" si="13"/>
        <v>35(t)9</v>
      </c>
      <c r="BI35" s="2">
        <f>IF(BL34&gt;=VLOOKUP(VLOOKUP(BJ34,坦克个性化设定!$B$18:$E$48,4,FALSE)&amp;BK34,坦克属性分配比例,MATCH("升星次数",坦克属性分配比例标头,0),FALSE),BI34+1,BI34)</f>
        <v>4</v>
      </c>
      <c r="BJ35" s="2" t="str">
        <f t="shared" si="14"/>
        <v>35(t)</v>
      </c>
      <c r="BK35" s="29" t="str">
        <f>VLOOKUP(BJ35,坦克个性化细分!$I$3:$J$33,2,FALSE)</f>
        <v>低</v>
      </c>
      <c r="BL35" s="2">
        <f t="shared" si="7"/>
        <v>9</v>
      </c>
      <c r="BM35" s="103">
        <f ca="1">ROUND(VLOOKUP($BJ35&amp;"初始",$S$3:$AE$63,MATCH(BM$3,$S$3:$AE$3,0),FALSE)+((VLOOKUP($BJ35&amp;"最终",$S$3:$AE$63,MATCH(BM$3,$S$3:$AE$3,0),FALSE)*坦克个性化细分!$C$9-VLOOKUP($BJ35&amp;"初始",$S$3:$AE$63,MATCH(BM$3,$S$3:$AE$3,0),FALSE))-(VLOOKUP($BJ35&amp;"最终",$S$3:$AE$63,MATCH(BM$3,$S$3:$AE$3,0),FALSE)-VLOOKUP($BJ35&amp;"初始",$S$3:$AE$63,MATCH(BM$3,$S$3:$AE$3,0),FALSE))*VLOOKUP(VLOOKUP($BJ35,坦克个性化设定!$B$18:$E$48,4,FALSE)&amp;$BK35,坦克属性分配比例,MATCH("部件比例",坦克属性分配比例标头,0),FALSE))*$BL35/VLOOKUP(VLOOKUP($BJ35,坦克个性化设定!$B$18:$E$48,4,FALSE)&amp;$BK35,坦克属性分配比例,MATCH("升星次数",坦克属性分配比例标头,0),FALSE),0)</f>
        <v>1775</v>
      </c>
      <c r="BN35" s="103">
        <f ca="1">ROUND(VLOOKUP($BJ35&amp;"初始",$S$3:$AE$63,MATCH(BN$3,$S$3:$AE$3,0),FALSE)+(VLOOKUP($BJ35&amp;"最终",$S$3:$AE$63,MATCH(BN$3,$S$3:$AE$3,0),FALSE)-VLOOKUP($BJ35&amp;"初始",$S$3:$AE$63,MATCH(BN$3,$S$3:$AE$3,0),FALSE))*$BL35/VLOOKUP(VLOOKUP($BJ35,坦克个性化设定!$B$18:$E$48,4,FALSE)&amp;$BK35,坦克属性分配比例,MATCH("升星次数",坦克属性分配比例标头,0),FALSE)*VLOOKUP(VLOOKUP($BJ35,坦克个性化设定!$B$18:$E$48,4,FALSE)&amp;$BK35,坦克属性分配比例,MATCH("升星比例",坦克属性分配比例标头,0),FALSE),0)</f>
        <v>134</v>
      </c>
      <c r="BO35" s="103">
        <f ca="1">ROUND(VLOOKUP($BJ35&amp;"初始",$S$3:$AE$63,MATCH(BO$3,$S$3:$AE$3,0),FALSE)+(VLOOKUP($BJ35&amp;"最终",$S$3:$AE$63,MATCH(BO$3,$S$3:$AE$3,0),FALSE)-VLOOKUP($BJ35&amp;"初始",$S$3:$AE$63,MATCH(BO$3,$S$3:$AE$3,0),FALSE))*$BL35/VLOOKUP(VLOOKUP($BJ35,坦克个性化设定!$B$18:$E$48,4,FALSE)&amp;$BK35,坦克属性分配比例,MATCH("升星次数",坦克属性分配比例标头,0),FALSE)*(VLOOKUP(VLOOKUP($BJ35,坦克个性化设定!$B$18:$E$48,4,FALSE)&amp;$BK35,坦克属性分配比例,MATCH("升星比例",坦克属性分配比例标头,0),FALSE)+VLOOKUP(VLOOKUP($BJ35,坦克个性化设定!$B$18:$E$48,4,FALSE)&amp;$BK35,坦克属性分配比例,MATCH("部件比例",坦克属性分配比例标头,0),FALSE)*$C$3),0)</f>
        <v>677</v>
      </c>
      <c r="BP35" s="103">
        <f ca="1">ROUND(VLOOKUP($BJ35&amp;"初始",$S$3:$AE$63,MATCH(BP$3,$S$3:$AE$3,0),FALSE)+(VLOOKUP($BJ35&amp;"最终",$S$3:$AE$63,MATCH(BP$3,$S$3:$AE$3,0),FALSE)-VLOOKUP($BJ35&amp;"初始",$S$3:$AE$63,MATCH(BP$3,$S$3:$AE$3,0),FALSE))*$BL35/VLOOKUP(VLOOKUP($BJ35,坦克个性化设定!$B$18:$E$48,4,FALSE)&amp;$BK35,坦克属性分配比例,MATCH("升星次数",坦克属性分配比例标头,0),FALSE)*(VLOOKUP(VLOOKUP($BJ35,坦克个性化设定!$B$18:$E$48,4,FALSE)&amp;$BK35,坦克属性分配比例,MATCH("升星比例",坦克属性分配比例标头,0),FALSE)+VLOOKUP(VLOOKUP($BJ35,坦克个性化设定!$B$18:$E$48,4,FALSE)&amp;$BK35,坦克属性分配比例,MATCH("部件比例",坦克属性分配比例标头,0),FALSE)*$C$3),0)</f>
        <v>271</v>
      </c>
      <c r="BQ35" s="103">
        <f ca="1">ROUND(VLOOKUP($BJ35&amp;"初始",$S$3:$AE$63,MATCH(BQ$3,$S$3:$AE$3,0),FALSE)+(VLOOKUP($BJ35&amp;"最终",$S$3:$AE$63,MATCH(BQ$3,$S$3:$AE$3,0),FALSE)-VLOOKUP($BJ35&amp;"初始",$S$3:$AE$63,MATCH(BQ$3,$S$3:$AE$3,0),FALSE))*$BL35/VLOOKUP(VLOOKUP($BJ35,坦克个性化设定!$B$18:$E$48,4,FALSE)&amp;$BK35,坦克属性分配比例,MATCH("升星次数",坦克属性分配比例标头,0),FALSE)*VLOOKUP(VLOOKUP($BJ35,坦克个性化设定!$B$18:$E$48,4,FALSE)&amp;$BK35,坦克属性分配比例,MATCH("升星比例",坦克属性分配比例标头,0),FALSE),0)</f>
        <v>568</v>
      </c>
      <c r="BR35" s="2">
        <f ca="1">ROUND(VLOOKUP($BJ35&amp;"初始",$S$3:$AE$63,MATCH(BR$3,$S$3:$AE$3,0),FALSE)+(VLOOKUP($BJ35&amp;"最终",$S$3:$AE$63,MATCH(BR$3,$S$3:$AE$3,0),FALSE)-VLOOKUP($BJ35&amp;"初始",$S$3:$AE$63,MATCH(BR$3,$S$3:$AE$3,0),FALSE))*$BL35/VLOOKUP(VLOOKUP($BJ35,坦克个性化设定!$B$18:$E$48,4,FALSE)&amp;$BK35,坦克属性分配比例,MATCH("升星次数",坦克属性分配比例标头,0),FALSE),0)</f>
        <v>174</v>
      </c>
      <c r="BS35" s="2">
        <f>ROUND(VLOOKUP($BJ35,$AI$3:$AO$33,MATCH(BS$3,$AI$3:$AO$3,0),FALSE)+$BL35/VLOOKUP(VLOOKUP($BJ35,坦克个性化设定!$B$18:$E$48,4,FALSE)&amp;$BK35,坦克属性分配比例,MATCH("升星次数",坦克属性分配比例标头,0),FALSE)*VLOOKUP($BJ35,$AR$3:$AY$33,MATCH(BS$3,$AR$3:$AY$3,0),FALSE),1)</f>
        <v>53</v>
      </c>
      <c r="BT35" s="2">
        <f>ROUND(VLOOKUP($BJ35,$AI$3:$AO$33,MATCH(BT$3,$AI$3:$AO$3,0),FALSE)+$BL35/VLOOKUP(VLOOKUP($BJ35,坦克个性化设定!$B$18:$E$48,4,FALSE)&amp;$BK35,坦克属性分配比例,MATCH("升星次数",坦克属性分配比例标头,0),FALSE)*VLOOKUP($BJ35,$AR$3:$AY$33,MATCH(BT$3,$AR$3:$AY$3,0),FALSE),1)</f>
        <v>62.5</v>
      </c>
      <c r="BU35" s="2">
        <f>ROUND(VLOOKUP($BJ35,$AI$3:$AO$33,MATCH(BU$3,$AI$3:$AO$3,0),FALSE)+$BL35/VLOOKUP(VLOOKUP($BJ35,坦克个性化设定!$B$18:$E$48,4,FALSE)&amp;$BK35,坦克属性分配比例,MATCH("升星次数",坦克属性分配比例标头,0),FALSE)*VLOOKUP($BJ35,$AR$3:$AY$33,MATCH(BU$3,$AR$3:$AY$3,0),FALSE),1)</f>
        <v>10</v>
      </c>
      <c r="BV35" s="2">
        <f>IF(VLOOKUP(BJ35,坦克个性化设定!$B$18:$BC$48,MATCH("装弹类型",坦克个性化设定!$B$18:$BC$18,0),FALSE)="弹夹换弹",0,ROUND(VLOOKUP($BJ35,$AI$3:$AO$33,MATCH("换弹时间",$AI$3:$AO$3,0),FALSE)-$BL35/VLOOKUP(VLOOKUP($BJ35,坦克个性化设定!$B$18:$E$48,4,FALSE)&amp;$BK35,坦克属性分配比例,MATCH("升星次数",坦克属性分配比例标头,0),FALSE)*VLOOKUP($BJ35,$AR$3:$AY$33,MATCH("换弹时间",$AR$3:$AY$3,0),FALSE),2))</f>
        <v>0</v>
      </c>
      <c r="BW35" s="2">
        <f>IF(VLOOKUP(BJ35,坦克个性化设定!$B$18:$BC$48,MATCH("装弹类型",坦克个性化设定!$B$18:$BC$18,0),FALSE)="弹夹换弹",ROUND(VLOOKUP($BJ35,$AI$3:$AO$33,MATCH("换弹时间",$AI$3:$AO$3,0),FALSE)-$BL35/VLOOKUP(VLOOKUP($BJ35,坦克个性化设定!$B$18:$E$48,4,FALSE)&amp;$BK35,坦克属性分配比例,MATCH("升星次数",坦克属性分配比例标头,0),FALSE)*VLOOKUP($BJ35,$AR$3:$AY$33,MATCH("换弹时间",$AR$3:$AY$3,0),FALSE),1),0)</f>
        <v>6.3</v>
      </c>
      <c r="BX35" s="2">
        <f>ROUND(VLOOKUP($BJ35,$AI$3:$AO$33,MATCH(BX$3,$AI$3:$AO$3,0),FALSE)+$BL35/VLOOKUP(VLOOKUP($BJ35,坦克个性化设定!$B$18:$E$48,4,FALSE)&amp;$BK35,坦克属性分配比例,MATCH("升星次数",坦克属性分配比例标头,0),FALSE)*VLOOKUP($BJ35,$AR$3:$AY$33,MATCH(BX$3,$AR$3:$AY$3,0),FALSE),2)</f>
        <v>0.8</v>
      </c>
      <c r="BY35" s="2">
        <f>ROUND(VLOOKUP($BJ35,$AI$3:$AO$33,MATCH(BY$3,$AI$3:$AO$3,0),FALSE)-$BL35/VLOOKUP(VLOOKUP($BJ35,坦克个性化设定!$B$18:$E$48,4,FALSE)&amp;$BK35,坦克属性分配比例,MATCH("升星次数",坦克属性分配比例标头,0),FALSE)*VLOOKUP($BJ35,$AR$3:$AY$33,MATCH(BY$3,$AR$3:$AY$3,0),FALSE),2)</f>
        <v>0.4</v>
      </c>
    </row>
    <row r="36" spans="2:87" x14ac:dyDescent="0.3">
      <c r="B36" s="2">
        <v>31</v>
      </c>
      <c r="C36" s="2" t="s">
        <v>893</v>
      </c>
      <c r="D36" s="2">
        <v>3341</v>
      </c>
      <c r="E36" s="2" t="s">
        <v>662</v>
      </c>
      <c r="F36" s="2">
        <v>1</v>
      </c>
      <c r="G36" s="25" t="str">
        <f t="shared" si="17"/>
        <v>PZIII</v>
      </c>
      <c r="S36" s="2" t="str">
        <f t="shared" ref="S36:S63" si="19">U36&amp;X36</f>
        <v>M-48初始</v>
      </c>
      <c r="T36" s="2">
        <f>IF(COUNTIF(U$4:U35,U35)&gt;=$B$3,T35+1,T35)</f>
        <v>17</v>
      </c>
      <c r="U36" s="2" t="str">
        <f t="shared" ref="U36:U63" si="20">VLOOKUP(T36,$B$5:$C$35,2,FALSE)</f>
        <v>M-48</v>
      </c>
      <c r="V36" s="2" t="str">
        <f>VLOOKUP(U36,坦克个性化设定!$B$18:$F$48,5,FALSE)</f>
        <v>中坦自动</v>
      </c>
      <c r="W36" s="29" t="str">
        <f>VLOOKUP(U36,坦克个性化细分!$I$3:$J$33,2,FALSE)</f>
        <v>低</v>
      </c>
      <c r="X36" s="2" t="str">
        <f t="shared" si="16"/>
        <v>初始</v>
      </c>
      <c r="Y36" s="2" t="str">
        <f>VLOOKUP(VLOOKUP(U36,坦克个性化设定!$B$18:$F$48,4,FALSE)&amp;W36,坦克等级成长!$P$12:$U$24,MATCH(X36,坦克等级成长!$P$12:$U$12,0),FALSE)</f>
        <v>T4低4</v>
      </c>
      <c r="Z36" s="42">
        <f ca="1">VLOOKUP($Y36,INDIRECT($V36&amp;"_阶段属性"),MATCH(Z$3,属性标头_阶段属性,0),FALSE)*VLOOKUP($U36,坦克个性化设定!$B$84:$D$114,2,FALSE)</f>
        <v>1737.0133985387956</v>
      </c>
      <c r="AA36" s="42">
        <f ca="1">VLOOKUP($Y36,INDIRECT($V36&amp;"_阶段属性"),MATCH(AA$3,属性标头_阶段属性,0),FALSE)*VLOOKUP($U36,坦克个性化设定!$B$84:$D$114,3,FALSE)</f>
        <v>195.73251437553975</v>
      </c>
      <c r="AB36" s="2">
        <f t="shared" ca="1" si="18"/>
        <v>631</v>
      </c>
      <c r="AC36" s="2">
        <f t="shared" ca="1" si="18"/>
        <v>284</v>
      </c>
      <c r="AD36" s="2">
        <f t="shared" ca="1" si="18"/>
        <v>691</v>
      </c>
      <c r="AE36" s="2">
        <f t="shared" ca="1" si="18"/>
        <v>162</v>
      </c>
      <c r="AF36" s="25"/>
      <c r="AP36" s="129"/>
      <c r="BH36" s="2" t="str">
        <f t="shared" si="13"/>
        <v>十字军0</v>
      </c>
      <c r="BI36" s="2">
        <f>IF(BL35&gt;=VLOOKUP(VLOOKUP(BJ35,坦克个性化设定!$B$18:$E$48,4,FALSE)&amp;BK35,坦克属性分配比例,MATCH("升星次数",坦克属性分配比例标头,0),FALSE),BI35+1,BI35)</f>
        <v>5</v>
      </c>
      <c r="BJ36" s="2" t="str">
        <f t="shared" si="14"/>
        <v>十字军</v>
      </c>
      <c r="BK36" s="29" t="str">
        <f>VLOOKUP(BJ36,坦克个性化细分!$I$3:$J$33,2,FALSE)</f>
        <v>中</v>
      </c>
      <c r="BL36" s="2">
        <f t="shared" si="7"/>
        <v>0</v>
      </c>
      <c r="BM36" s="103">
        <f ca="1">ROUND(VLOOKUP($BJ36&amp;"初始",$S$3:$AE$63,MATCH(BM$3,$S$3:$AE$3,0),FALSE)+((VLOOKUP($BJ36&amp;"最终",$S$3:$AE$63,MATCH(BM$3,$S$3:$AE$3,0),FALSE)*坦克个性化细分!$C$9-VLOOKUP($BJ36&amp;"初始",$S$3:$AE$63,MATCH(BM$3,$S$3:$AE$3,0),FALSE))-(VLOOKUP($BJ36&amp;"最终",$S$3:$AE$63,MATCH(BM$3,$S$3:$AE$3,0),FALSE)-VLOOKUP($BJ36&amp;"初始",$S$3:$AE$63,MATCH(BM$3,$S$3:$AE$3,0),FALSE))*VLOOKUP(VLOOKUP($BJ36,坦克个性化设定!$B$18:$E$48,4,FALSE)&amp;$BK36,坦克属性分配比例,MATCH("部件比例",坦克属性分配比例标头,0),FALSE))*$BL36/VLOOKUP(VLOOKUP($BJ36,坦克个性化设定!$B$18:$E$48,4,FALSE)&amp;$BK36,坦克属性分配比例,MATCH("升星次数",坦克属性分配比例标头,0),FALSE),0)</f>
        <v>1264</v>
      </c>
      <c r="BN36" s="103">
        <f ca="1">ROUND(VLOOKUP($BJ36&amp;"初始",$S$3:$AE$63,MATCH(BN$3,$S$3:$AE$3,0),FALSE)+(VLOOKUP($BJ36&amp;"最终",$S$3:$AE$63,MATCH(BN$3,$S$3:$AE$3,0),FALSE)-VLOOKUP($BJ36&amp;"初始",$S$3:$AE$63,MATCH(BN$3,$S$3:$AE$3,0),FALSE))*$BL36/VLOOKUP(VLOOKUP($BJ36,坦克个性化设定!$B$18:$E$48,4,FALSE)&amp;$BK36,坦克属性分配比例,MATCH("升星次数",坦克属性分配比例标头,0),FALSE)*VLOOKUP(VLOOKUP($BJ36,坦克个性化设定!$B$18:$E$48,4,FALSE)&amp;$BK36,坦克属性分配比例,MATCH("升星比例",坦克属性分配比例标头,0),FALSE),0)</f>
        <v>73</v>
      </c>
      <c r="BO36" s="103">
        <f ca="1">ROUND(VLOOKUP($BJ36&amp;"初始",$S$3:$AE$63,MATCH(BO$3,$S$3:$AE$3,0),FALSE)+(VLOOKUP($BJ36&amp;"最终",$S$3:$AE$63,MATCH(BO$3,$S$3:$AE$3,0),FALSE)-VLOOKUP($BJ36&amp;"初始",$S$3:$AE$63,MATCH(BO$3,$S$3:$AE$3,0),FALSE))*$BL36/VLOOKUP(VLOOKUP($BJ36,坦克个性化设定!$B$18:$E$48,4,FALSE)&amp;$BK36,坦克属性分配比例,MATCH("升星次数",坦克属性分配比例标头,0),FALSE)*(VLOOKUP(VLOOKUP($BJ36,坦克个性化设定!$B$18:$E$48,4,FALSE)&amp;$BK36,坦克属性分配比例,MATCH("升星比例",坦克属性分配比例标头,0),FALSE)+VLOOKUP(VLOOKUP($BJ36,坦克个性化设定!$B$18:$E$48,4,FALSE)&amp;$BK36,坦克属性分配比例,MATCH("部件比例",坦克属性分配比例标头,0),FALSE)*$C$3),0)</f>
        <v>506</v>
      </c>
      <c r="BP36" s="103">
        <f ca="1">ROUND(VLOOKUP($BJ36&amp;"初始",$S$3:$AE$63,MATCH(BP$3,$S$3:$AE$3,0),FALSE)+(VLOOKUP($BJ36&amp;"最终",$S$3:$AE$63,MATCH(BP$3,$S$3:$AE$3,0),FALSE)-VLOOKUP($BJ36&amp;"初始",$S$3:$AE$63,MATCH(BP$3,$S$3:$AE$3,0),FALSE))*$BL36/VLOOKUP(VLOOKUP($BJ36,坦克个性化设定!$B$18:$E$48,4,FALSE)&amp;$BK36,坦克属性分配比例,MATCH("升星次数",坦克属性分配比例标头,0),FALSE)*(VLOOKUP(VLOOKUP($BJ36,坦克个性化设定!$B$18:$E$48,4,FALSE)&amp;$BK36,坦克属性分配比例,MATCH("升星比例",坦克属性分配比例标头,0),FALSE)+VLOOKUP(VLOOKUP($BJ36,坦克个性化设定!$B$18:$E$48,4,FALSE)&amp;$BK36,坦克属性分配比例,MATCH("部件比例",坦克属性分配比例标头,0),FALSE)*$C$3),0)</f>
        <v>202</v>
      </c>
      <c r="BQ36" s="103">
        <f ca="1">ROUND(VLOOKUP($BJ36&amp;"初始",$S$3:$AE$63,MATCH(BQ$3,$S$3:$AE$3,0),FALSE)+(VLOOKUP($BJ36&amp;"最终",$S$3:$AE$63,MATCH(BQ$3,$S$3:$AE$3,0),FALSE)-VLOOKUP($BJ36&amp;"初始",$S$3:$AE$63,MATCH(BQ$3,$S$3:$AE$3,0),FALSE))*$BL36/VLOOKUP(VLOOKUP($BJ36,坦克个性化设定!$B$18:$E$48,4,FALSE)&amp;$BK36,坦克属性分配比例,MATCH("升星次数",坦克属性分配比例标头,0),FALSE)*VLOOKUP(VLOOKUP($BJ36,坦克个性化设定!$B$18:$E$48,4,FALSE)&amp;$BK36,坦克属性分配比例,MATCH("升星比例",坦克属性分配比例标头,0),FALSE),0)</f>
        <v>462</v>
      </c>
      <c r="BR36" s="2">
        <f ca="1">ROUND(VLOOKUP($BJ36&amp;"初始",$S$3:$AE$63,MATCH(BR$3,$S$3:$AE$3,0),FALSE)+(VLOOKUP($BJ36&amp;"最终",$S$3:$AE$63,MATCH(BR$3,$S$3:$AE$3,0),FALSE)-VLOOKUP($BJ36&amp;"初始",$S$3:$AE$63,MATCH(BR$3,$S$3:$AE$3,0),FALSE))*$BL36/VLOOKUP(VLOOKUP($BJ36,坦克个性化设定!$B$18:$E$48,4,FALSE)&amp;$BK36,坦克属性分配比例,MATCH("升星次数",坦克属性分配比例标头,0),FALSE),0)</f>
        <v>123</v>
      </c>
      <c r="BS36" s="2">
        <f>ROUND(VLOOKUP($BJ36,$AI$3:$AO$33,MATCH(BS$3,$AI$3:$AO$3,0),FALSE)+$BL36/VLOOKUP(VLOOKUP($BJ36,坦克个性化设定!$B$18:$E$48,4,FALSE)&amp;$BK36,坦克属性分配比例,MATCH("升星次数",坦克属性分配比例标头,0),FALSE)*VLOOKUP($BJ36,$AR$3:$AY$33,MATCH(BS$3,$AR$3:$AY$3,0),FALSE),1)</f>
        <v>48.1</v>
      </c>
      <c r="BT36" s="2">
        <f>ROUND(VLOOKUP($BJ36,$AI$3:$AO$33,MATCH(BT$3,$AI$3:$AO$3,0),FALSE)+$BL36/VLOOKUP(VLOOKUP($BJ36,坦克个性化设定!$B$18:$E$48,4,FALSE)&amp;$BK36,坦克属性分配比例,MATCH("升星次数",坦克属性分配比例标头,0),FALSE)*VLOOKUP($BJ36,$AR$3:$AY$33,MATCH(BT$3,$AR$3:$AY$3,0),FALSE),1)</f>
        <v>45.9</v>
      </c>
      <c r="BU36" s="2">
        <f>ROUND(VLOOKUP($BJ36,$AI$3:$AO$33,MATCH(BU$3,$AI$3:$AO$3,0),FALSE)+$BL36/VLOOKUP(VLOOKUP($BJ36,坦克个性化设定!$B$18:$E$48,4,FALSE)&amp;$BK36,坦克属性分配比例,MATCH("升星次数",坦克属性分配比例标头,0),FALSE)*VLOOKUP($BJ36,$AR$3:$AY$33,MATCH(BU$3,$AR$3:$AY$3,0),FALSE),1)</f>
        <v>10.7</v>
      </c>
      <c r="BV36" s="2">
        <f>IF(VLOOKUP(BJ36,坦克个性化设定!$B$18:$BC$48,MATCH("装弹类型",坦克个性化设定!$B$18:$BC$18,0),FALSE)="弹夹换弹",0,ROUND(VLOOKUP($BJ36,$AI$3:$AO$33,MATCH("换弹时间",$AI$3:$AO$3,0),FALSE)-$BL36/VLOOKUP(VLOOKUP($BJ36,坦克个性化设定!$B$18:$E$48,4,FALSE)&amp;$BK36,坦克属性分配比例,MATCH("升星次数",坦克属性分配比例标头,0),FALSE)*VLOOKUP($BJ36,$AR$3:$AY$33,MATCH("换弹时间",$AR$3:$AY$3,0),FALSE),2))</f>
        <v>0</v>
      </c>
      <c r="BW36" s="2">
        <f>IF(VLOOKUP(BJ36,坦克个性化设定!$B$18:$BC$48,MATCH("装弹类型",坦克个性化设定!$B$18:$BC$18,0),FALSE)="弹夹换弹",ROUND(VLOOKUP($BJ36,$AI$3:$AO$33,MATCH("换弹时间",$AI$3:$AO$3,0),FALSE)-$BL36/VLOOKUP(VLOOKUP($BJ36,坦克个性化设定!$B$18:$E$48,4,FALSE)&amp;$BK36,坦克属性分配比例,MATCH("升星次数",坦克属性分配比例标头,0),FALSE)*VLOOKUP($BJ36,$AR$3:$AY$33,MATCH("换弹时间",$AR$3:$AY$3,0),FALSE),1),0)</f>
        <v>12.6</v>
      </c>
      <c r="BX36" s="2">
        <f>ROUND(VLOOKUP($BJ36,$AI$3:$AO$33,MATCH(BX$3,$AI$3:$AO$3,0),FALSE)+$BL36/VLOOKUP(VLOOKUP($BJ36,坦克个性化设定!$B$18:$E$48,4,FALSE)&amp;$BK36,坦克属性分配比例,MATCH("升星次数",坦克属性分配比例标头,0),FALSE)*VLOOKUP($BJ36,$AR$3:$AY$33,MATCH(BX$3,$AR$3:$AY$3,0),FALSE),2)</f>
        <v>0.6</v>
      </c>
      <c r="BY36" s="2">
        <f>ROUND(VLOOKUP($BJ36,$AI$3:$AO$33,MATCH(BY$3,$AI$3:$AO$3,0),FALSE)-$BL36/VLOOKUP(VLOOKUP($BJ36,坦克个性化设定!$B$18:$E$48,4,FALSE)&amp;$BK36,坦克属性分配比例,MATCH("升星次数",坦克属性分配比例标头,0),FALSE)*VLOOKUP($BJ36,$AR$3:$AY$33,MATCH(BY$3,$AR$3:$AY$3,0),FALSE),2)</f>
        <v>0.38</v>
      </c>
    </row>
    <row r="37" spans="2:87" x14ac:dyDescent="0.3">
      <c r="S37" s="2" t="str">
        <f t="shared" si="19"/>
        <v>M-48最终</v>
      </c>
      <c r="T37" s="2">
        <f>IF(COUNTIF(U$4:U36,U36)&gt;=$B$3,T36+1,T36)</f>
        <v>17</v>
      </c>
      <c r="U37" s="2" t="str">
        <f t="shared" si="20"/>
        <v>M-48</v>
      </c>
      <c r="V37" s="2" t="str">
        <f>VLOOKUP(U37,坦克个性化设定!$B$18:$F$48,5,FALSE)</f>
        <v>中坦自动</v>
      </c>
      <c r="W37" s="29" t="str">
        <f>VLOOKUP(U37,坦克个性化细分!$I$3:$J$33,2,FALSE)</f>
        <v>低</v>
      </c>
      <c r="X37" s="2" t="str">
        <f t="shared" si="16"/>
        <v>最终</v>
      </c>
      <c r="Y37" s="2" t="str">
        <f>VLOOKUP(VLOOKUP(U37,坦克个性化设定!$B$18:$F$48,4,FALSE)&amp;W37,坦克等级成长!$P$12:$U$24,MATCH(X37,坦克等级成长!$P$12:$U$12,0),FALSE)</f>
        <v>T4低7</v>
      </c>
      <c r="Z37" s="42" t="e">
        <f ca="1">VLOOKUP($Y37,INDIRECT($V37&amp;"_阶段属性"),MATCH(Z$3,属性标头_阶段属性,0),FALSE)*VLOOKUP($U37,坦克个性化设定!$B$84:$D$114,2,FALSE)</f>
        <v>#N/A</v>
      </c>
      <c r="AA37" s="42" t="e">
        <f ca="1">VLOOKUP($Y37,INDIRECT($V37&amp;"_阶段属性"),MATCH(AA$3,属性标头_阶段属性,0),FALSE)*VLOOKUP($U37,坦克个性化设定!$B$84:$D$114,3,FALSE)</f>
        <v>#N/A</v>
      </c>
      <c r="AB37" s="2" t="e">
        <f t="shared" ca="1" si="18"/>
        <v>#N/A</v>
      </c>
      <c r="AC37" s="2" t="e">
        <f t="shared" ca="1" si="18"/>
        <v>#N/A</v>
      </c>
      <c r="AD37" s="2" t="e">
        <f t="shared" ca="1" si="18"/>
        <v>#N/A</v>
      </c>
      <c r="AE37" s="2" t="e">
        <f t="shared" ca="1" si="18"/>
        <v>#N/A</v>
      </c>
      <c r="AF37" s="25"/>
      <c r="BH37" s="2" t="str">
        <f t="shared" si="13"/>
        <v>十字军1</v>
      </c>
      <c r="BI37" s="2">
        <f>IF(BL36&gt;=VLOOKUP(VLOOKUP(BJ36,坦克个性化设定!$B$18:$E$48,4,FALSE)&amp;BK36,坦克属性分配比例,MATCH("升星次数",坦克属性分配比例标头,0),FALSE),BI36+1,BI36)</f>
        <v>5</v>
      </c>
      <c r="BJ37" s="2" t="str">
        <f t="shared" si="14"/>
        <v>十字军</v>
      </c>
      <c r="BK37" s="29" t="str">
        <f>VLOOKUP(BJ37,坦克个性化细分!$I$3:$J$33,2,FALSE)</f>
        <v>中</v>
      </c>
      <c r="BL37" s="2">
        <f t="shared" si="7"/>
        <v>1</v>
      </c>
      <c r="BM37" s="103">
        <f ca="1">ROUND(VLOOKUP($BJ37&amp;"初始",$S$3:$AE$63,MATCH(BM$3,$S$3:$AE$3,0),FALSE)+((VLOOKUP($BJ37&amp;"最终",$S$3:$AE$63,MATCH(BM$3,$S$3:$AE$3,0),FALSE)*坦克个性化细分!$C$9-VLOOKUP($BJ37&amp;"初始",$S$3:$AE$63,MATCH(BM$3,$S$3:$AE$3,0),FALSE))-(VLOOKUP($BJ37&amp;"最终",$S$3:$AE$63,MATCH(BM$3,$S$3:$AE$3,0),FALSE)-VLOOKUP($BJ37&amp;"初始",$S$3:$AE$63,MATCH(BM$3,$S$3:$AE$3,0),FALSE))*VLOOKUP(VLOOKUP($BJ37,坦克个性化设定!$B$18:$E$48,4,FALSE)&amp;$BK37,坦克属性分配比例,MATCH("部件比例",坦克属性分配比例标头,0),FALSE))*$BL37/VLOOKUP(VLOOKUP($BJ37,坦克个性化设定!$B$18:$E$48,4,FALSE)&amp;$BK37,坦克属性分配比例,MATCH("升星次数",坦克属性分配比例标头,0),FALSE),0)</f>
        <v>1335</v>
      </c>
      <c r="BN37" s="103">
        <f ca="1">ROUND(VLOOKUP($BJ37&amp;"初始",$S$3:$AE$63,MATCH(BN$3,$S$3:$AE$3,0),FALSE)+(VLOOKUP($BJ37&amp;"最终",$S$3:$AE$63,MATCH(BN$3,$S$3:$AE$3,0),FALSE)-VLOOKUP($BJ37&amp;"初始",$S$3:$AE$63,MATCH(BN$3,$S$3:$AE$3,0),FALSE))*$BL37/VLOOKUP(VLOOKUP($BJ37,坦克个性化设定!$B$18:$E$48,4,FALSE)&amp;$BK37,坦克属性分配比例,MATCH("升星次数",坦克属性分配比例标头,0),FALSE)*VLOOKUP(VLOOKUP($BJ37,坦克个性化设定!$B$18:$E$48,4,FALSE)&amp;$BK37,坦克属性分配比例,MATCH("升星比例",坦克属性分配比例标头,0),FALSE),0)</f>
        <v>75</v>
      </c>
      <c r="BO37" s="103">
        <f ca="1">ROUND(VLOOKUP($BJ37&amp;"初始",$S$3:$AE$63,MATCH(BO$3,$S$3:$AE$3,0),FALSE)+(VLOOKUP($BJ37&amp;"最终",$S$3:$AE$63,MATCH(BO$3,$S$3:$AE$3,0),FALSE)-VLOOKUP($BJ37&amp;"初始",$S$3:$AE$63,MATCH(BO$3,$S$3:$AE$3,0),FALSE))*$BL37/VLOOKUP(VLOOKUP($BJ37,坦克个性化设定!$B$18:$E$48,4,FALSE)&amp;$BK37,坦克属性分配比例,MATCH("升星次数",坦克属性分配比例标头,0),FALSE)*(VLOOKUP(VLOOKUP($BJ37,坦克个性化设定!$B$18:$E$48,4,FALSE)&amp;$BK37,坦克属性分配比例,MATCH("升星比例",坦克属性分配比例标头,0),FALSE)+VLOOKUP(VLOOKUP($BJ37,坦克个性化设定!$B$18:$E$48,4,FALSE)&amp;$BK37,坦克属性分配比例,MATCH("部件比例",坦克属性分配比例标头,0),FALSE)*$C$3),0)</f>
        <v>529</v>
      </c>
      <c r="BP37" s="103">
        <f ca="1">ROUND(VLOOKUP($BJ37&amp;"初始",$S$3:$AE$63,MATCH(BP$3,$S$3:$AE$3,0),FALSE)+(VLOOKUP($BJ37&amp;"最终",$S$3:$AE$63,MATCH(BP$3,$S$3:$AE$3,0),FALSE)-VLOOKUP($BJ37&amp;"初始",$S$3:$AE$63,MATCH(BP$3,$S$3:$AE$3,0),FALSE))*$BL37/VLOOKUP(VLOOKUP($BJ37,坦克个性化设定!$B$18:$E$48,4,FALSE)&amp;$BK37,坦克属性分配比例,MATCH("升星次数",坦克属性分配比例标头,0),FALSE)*(VLOOKUP(VLOOKUP($BJ37,坦克个性化设定!$B$18:$E$48,4,FALSE)&amp;$BK37,坦克属性分配比例,MATCH("升星比例",坦克属性分配比例标头,0),FALSE)+VLOOKUP(VLOOKUP($BJ37,坦克个性化设定!$B$18:$E$48,4,FALSE)&amp;$BK37,坦克属性分配比例,MATCH("部件比例",坦克属性分配比例标头,0),FALSE)*$C$3),0)</f>
        <v>211</v>
      </c>
      <c r="BQ37" s="103">
        <f ca="1">ROUND(VLOOKUP($BJ37&amp;"初始",$S$3:$AE$63,MATCH(BQ$3,$S$3:$AE$3,0),FALSE)+(VLOOKUP($BJ37&amp;"最终",$S$3:$AE$63,MATCH(BQ$3,$S$3:$AE$3,0),FALSE)-VLOOKUP($BJ37&amp;"初始",$S$3:$AE$63,MATCH(BQ$3,$S$3:$AE$3,0),FALSE))*$BL37/VLOOKUP(VLOOKUP($BJ37,坦克个性化设定!$B$18:$E$48,4,FALSE)&amp;$BK37,坦克属性分配比例,MATCH("升星次数",坦克属性分配比例标头,0),FALSE)*VLOOKUP(VLOOKUP($BJ37,坦克个性化设定!$B$18:$E$48,4,FALSE)&amp;$BK37,坦克属性分配比例,MATCH("升星比例",坦克属性分配比例标头,0),FALSE),0)</f>
        <v>477</v>
      </c>
      <c r="BR37" s="2">
        <f ca="1">ROUND(VLOOKUP($BJ37&amp;"初始",$S$3:$AE$63,MATCH(BR$3,$S$3:$AE$3,0),FALSE)+(VLOOKUP($BJ37&amp;"最终",$S$3:$AE$63,MATCH(BR$3,$S$3:$AE$3,0),FALSE)-VLOOKUP($BJ37&amp;"初始",$S$3:$AE$63,MATCH(BR$3,$S$3:$AE$3,0),FALSE))*$BL37/VLOOKUP(VLOOKUP($BJ37,坦克个性化设定!$B$18:$E$48,4,FALSE)&amp;$BK37,坦克属性分配比例,MATCH("升星次数",坦克属性分配比例标头,0),FALSE),0)</f>
        <v>130</v>
      </c>
      <c r="BS37" s="2">
        <f>ROUND(VLOOKUP($BJ37,$AI$3:$AO$33,MATCH(BS$3,$AI$3:$AO$3,0),FALSE)+$BL37/VLOOKUP(VLOOKUP($BJ37,坦克个性化设定!$B$18:$E$48,4,FALSE)&amp;$BK37,坦克属性分配比例,MATCH("升星次数",坦克属性分配比例标头,0),FALSE)*VLOOKUP($BJ37,$AR$3:$AY$33,MATCH(BS$3,$AR$3:$AY$3,0),FALSE),1)</f>
        <v>49.4</v>
      </c>
      <c r="BT37" s="2">
        <f>ROUND(VLOOKUP($BJ37,$AI$3:$AO$33,MATCH(BT$3,$AI$3:$AO$3,0),FALSE)+$BL37/VLOOKUP(VLOOKUP($BJ37,坦克个性化设定!$B$18:$E$48,4,FALSE)&amp;$BK37,坦克属性分配比例,MATCH("升星次数",坦克属性分配比例标头,0),FALSE)*VLOOKUP($BJ37,$AR$3:$AY$33,MATCH(BT$3,$AR$3:$AY$3,0),FALSE),1)</f>
        <v>47.2</v>
      </c>
      <c r="BU37" s="2">
        <f>ROUND(VLOOKUP($BJ37,$AI$3:$AO$33,MATCH(BU$3,$AI$3:$AO$3,0),FALSE)+$BL37/VLOOKUP(VLOOKUP($BJ37,坦克个性化设定!$B$18:$E$48,4,FALSE)&amp;$BK37,坦克属性分配比例,MATCH("升星次数",坦克属性分配比例标头,0),FALSE)*VLOOKUP($BJ37,$AR$3:$AY$33,MATCH(BU$3,$AR$3:$AY$3,0),FALSE),1)</f>
        <v>10.7</v>
      </c>
      <c r="BV37" s="2">
        <f>IF(VLOOKUP(BJ37,坦克个性化设定!$B$18:$BC$48,MATCH("装弹类型",坦克个性化设定!$B$18:$BC$18,0),FALSE)="弹夹换弹",0,ROUND(VLOOKUP($BJ37,$AI$3:$AO$33,MATCH("换弹时间",$AI$3:$AO$3,0),FALSE)-$BL37/VLOOKUP(VLOOKUP($BJ37,坦克个性化设定!$B$18:$E$48,4,FALSE)&amp;$BK37,坦克属性分配比例,MATCH("升星次数",坦克属性分配比例标头,0),FALSE)*VLOOKUP($BJ37,$AR$3:$AY$33,MATCH("换弹时间",$AR$3:$AY$3,0),FALSE),2))</f>
        <v>0</v>
      </c>
      <c r="BW37" s="2">
        <f>IF(VLOOKUP(BJ37,坦克个性化设定!$B$18:$BC$48,MATCH("装弹类型",坦克个性化设定!$B$18:$BC$18,0),FALSE)="弹夹换弹",ROUND(VLOOKUP($BJ37,$AI$3:$AO$33,MATCH("换弹时间",$AI$3:$AO$3,0),FALSE)-$BL37/VLOOKUP(VLOOKUP($BJ37,坦克个性化设定!$B$18:$E$48,4,FALSE)&amp;$BK37,坦克属性分配比例,MATCH("升星次数",坦克属性分配比例标头,0),FALSE)*VLOOKUP($BJ37,$AR$3:$AY$33,MATCH("换弹时间",$AR$3:$AY$3,0),FALSE),1),0)</f>
        <v>12.1</v>
      </c>
      <c r="BX37" s="2">
        <f>ROUND(VLOOKUP($BJ37,$AI$3:$AO$33,MATCH(BX$3,$AI$3:$AO$3,0),FALSE)+$BL37/VLOOKUP(VLOOKUP($BJ37,坦克个性化设定!$B$18:$E$48,4,FALSE)&amp;$BK37,坦克属性分配比例,MATCH("升星次数",坦克属性分配比例标头,0),FALSE)*VLOOKUP($BJ37,$AR$3:$AY$33,MATCH(BX$3,$AR$3:$AY$3,0),FALSE),2)</f>
        <v>0.6</v>
      </c>
      <c r="BY37" s="2">
        <f>ROUND(VLOOKUP($BJ37,$AI$3:$AO$33,MATCH(BY$3,$AI$3:$AO$3,0),FALSE)-$BL37/VLOOKUP(VLOOKUP($BJ37,坦克个性化设定!$B$18:$E$48,4,FALSE)&amp;$BK37,坦克属性分配比例,MATCH("升星次数",坦克属性分配比例标头,0),FALSE)*VLOOKUP($BJ37,$AR$3:$AY$33,MATCH(BY$3,$AR$3:$AY$3,0),FALSE),2)</f>
        <v>0.37</v>
      </c>
    </row>
    <row r="38" spans="2:87" x14ac:dyDescent="0.3">
      <c r="S38" s="2" t="str">
        <f t="shared" si="19"/>
        <v>潘兴初始</v>
      </c>
      <c r="T38" s="2">
        <f>IF(COUNTIF(U$4:U37,U37)&gt;=$B$3,T37+1,T37)</f>
        <v>18</v>
      </c>
      <c r="U38" s="2" t="str">
        <f t="shared" si="20"/>
        <v>潘兴</v>
      </c>
      <c r="V38" s="2" t="str">
        <f>VLOOKUP(U38,坦克个性化设定!$B$18:$F$48,5,FALSE)</f>
        <v>中坦自动</v>
      </c>
      <c r="W38" s="29" t="str">
        <f>VLOOKUP(U38,坦克个性化细分!$I$3:$J$33,2,FALSE)</f>
        <v>中</v>
      </c>
      <c r="X38" s="2" t="str">
        <f t="shared" ref="X38:X63" si="21">X36</f>
        <v>初始</v>
      </c>
      <c r="Y38" s="2" t="str">
        <f>VLOOKUP(VLOOKUP(U38,坦克个性化设定!$B$18:$F$48,4,FALSE)&amp;W38,坦克等级成长!$P$12:$U$24,MATCH(X38,坦克等级成长!$P$12:$U$12,0),FALSE)</f>
        <v>T4中4</v>
      </c>
      <c r="Z38" s="42">
        <f ca="1">VLOOKUP($Y38,INDIRECT($V38&amp;"_阶段属性"),MATCH(Z$3,属性标头_阶段属性,0),FALSE)*VLOOKUP($U38,坦克个性化设定!$B$84:$D$114,2,FALSE)</f>
        <v>1676.7106731093118</v>
      </c>
      <c r="AA38" s="42">
        <f ca="1">VLOOKUP($Y38,INDIRECT($V38&amp;"_阶段属性"),MATCH(AA$3,属性标头_阶段属性,0),FALSE)*VLOOKUP($U38,坦克个性化设定!$B$84:$D$114,3,FALSE)</f>
        <v>228.29994970886463</v>
      </c>
      <c r="AB38" s="2">
        <f t="shared" ca="1" si="18"/>
        <v>657</v>
      </c>
      <c r="AC38" s="2">
        <f t="shared" ca="1" si="18"/>
        <v>296</v>
      </c>
      <c r="AD38" s="2">
        <f t="shared" ca="1" si="18"/>
        <v>720</v>
      </c>
      <c r="AE38" s="2">
        <f t="shared" ca="1" si="18"/>
        <v>169</v>
      </c>
      <c r="AF38" s="25"/>
      <c r="BH38" s="2" t="str">
        <f t="shared" si="13"/>
        <v>十字军2</v>
      </c>
      <c r="BI38" s="2">
        <f>IF(BL37&gt;=VLOOKUP(VLOOKUP(BJ37,坦克个性化设定!$B$18:$E$48,4,FALSE)&amp;BK37,坦克属性分配比例,MATCH("升星次数",坦克属性分配比例标头,0),FALSE),BI37+1,BI37)</f>
        <v>5</v>
      </c>
      <c r="BJ38" s="2" t="str">
        <f t="shared" si="14"/>
        <v>十字军</v>
      </c>
      <c r="BK38" s="29" t="str">
        <f>VLOOKUP(BJ38,坦克个性化细分!$I$3:$J$33,2,FALSE)</f>
        <v>中</v>
      </c>
      <c r="BL38" s="2">
        <f t="shared" si="7"/>
        <v>2</v>
      </c>
      <c r="BM38" s="103">
        <f ca="1">ROUND(VLOOKUP($BJ38&amp;"初始",$S$3:$AE$63,MATCH(BM$3,$S$3:$AE$3,0),FALSE)+((VLOOKUP($BJ38&amp;"最终",$S$3:$AE$63,MATCH(BM$3,$S$3:$AE$3,0),FALSE)*坦克个性化细分!$C$9-VLOOKUP($BJ38&amp;"初始",$S$3:$AE$63,MATCH(BM$3,$S$3:$AE$3,0),FALSE))-(VLOOKUP($BJ38&amp;"最终",$S$3:$AE$63,MATCH(BM$3,$S$3:$AE$3,0),FALSE)-VLOOKUP($BJ38&amp;"初始",$S$3:$AE$63,MATCH(BM$3,$S$3:$AE$3,0),FALSE))*VLOOKUP(VLOOKUP($BJ38,坦克个性化设定!$B$18:$E$48,4,FALSE)&amp;$BK38,坦克属性分配比例,MATCH("部件比例",坦克属性分配比例标头,0),FALSE))*$BL38/VLOOKUP(VLOOKUP($BJ38,坦克个性化设定!$B$18:$E$48,4,FALSE)&amp;$BK38,坦克属性分配比例,MATCH("升星次数",坦克属性分配比例标头,0),FALSE),0)</f>
        <v>1407</v>
      </c>
      <c r="BN38" s="103">
        <f ca="1">ROUND(VLOOKUP($BJ38&amp;"初始",$S$3:$AE$63,MATCH(BN$3,$S$3:$AE$3,0),FALSE)+(VLOOKUP($BJ38&amp;"最终",$S$3:$AE$63,MATCH(BN$3,$S$3:$AE$3,0),FALSE)-VLOOKUP($BJ38&amp;"初始",$S$3:$AE$63,MATCH(BN$3,$S$3:$AE$3,0),FALSE))*$BL38/VLOOKUP(VLOOKUP($BJ38,坦克个性化设定!$B$18:$E$48,4,FALSE)&amp;$BK38,坦克属性分配比例,MATCH("升星次数",坦克属性分配比例标头,0),FALSE)*VLOOKUP(VLOOKUP($BJ38,坦克个性化设定!$B$18:$E$48,4,FALSE)&amp;$BK38,坦克属性分配比例,MATCH("升星比例",坦克属性分配比例标头,0),FALSE),0)</f>
        <v>77</v>
      </c>
      <c r="BO38" s="103">
        <f ca="1">ROUND(VLOOKUP($BJ38&amp;"初始",$S$3:$AE$63,MATCH(BO$3,$S$3:$AE$3,0),FALSE)+(VLOOKUP($BJ38&amp;"最终",$S$3:$AE$63,MATCH(BO$3,$S$3:$AE$3,0),FALSE)-VLOOKUP($BJ38&amp;"初始",$S$3:$AE$63,MATCH(BO$3,$S$3:$AE$3,0),FALSE))*$BL38/VLOOKUP(VLOOKUP($BJ38,坦克个性化设定!$B$18:$E$48,4,FALSE)&amp;$BK38,坦克属性分配比例,MATCH("升星次数",坦克属性分配比例标头,0),FALSE)*(VLOOKUP(VLOOKUP($BJ38,坦克个性化设定!$B$18:$E$48,4,FALSE)&amp;$BK38,坦克属性分配比例,MATCH("升星比例",坦克属性分配比例标头,0),FALSE)+VLOOKUP(VLOOKUP($BJ38,坦克个性化设定!$B$18:$E$48,4,FALSE)&amp;$BK38,坦克属性分配比例,MATCH("部件比例",坦克属性分配比例标头,0),FALSE)*$C$3),0)</f>
        <v>551</v>
      </c>
      <c r="BP38" s="103">
        <f ca="1">ROUND(VLOOKUP($BJ38&amp;"初始",$S$3:$AE$63,MATCH(BP$3,$S$3:$AE$3,0),FALSE)+(VLOOKUP($BJ38&amp;"最终",$S$3:$AE$63,MATCH(BP$3,$S$3:$AE$3,0),FALSE)-VLOOKUP($BJ38&amp;"初始",$S$3:$AE$63,MATCH(BP$3,$S$3:$AE$3,0),FALSE))*$BL38/VLOOKUP(VLOOKUP($BJ38,坦克个性化设定!$B$18:$E$48,4,FALSE)&amp;$BK38,坦克属性分配比例,MATCH("升星次数",坦克属性分配比例标头,0),FALSE)*(VLOOKUP(VLOOKUP($BJ38,坦克个性化设定!$B$18:$E$48,4,FALSE)&amp;$BK38,坦克属性分配比例,MATCH("升星比例",坦克属性分配比例标头,0),FALSE)+VLOOKUP(VLOOKUP($BJ38,坦克个性化设定!$B$18:$E$48,4,FALSE)&amp;$BK38,坦克属性分配比例,MATCH("部件比例",坦克属性分配比例标头,0),FALSE)*$C$3),0)</f>
        <v>220</v>
      </c>
      <c r="BQ38" s="103">
        <f ca="1">ROUND(VLOOKUP($BJ38&amp;"初始",$S$3:$AE$63,MATCH(BQ$3,$S$3:$AE$3,0),FALSE)+(VLOOKUP($BJ38&amp;"最终",$S$3:$AE$63,MATCH(BQ$3,$S$3:$AE$3,0),FALSE)-VLOOKUP($BJ38&amp;"初始",$S$3:$AE$63,MATCH(BQ$3,$S$3:$AE$3,0),FALSE))*$BL38/VLOOKUP(VLOOKUP($BJ38,坦克个性化设定!$B$18:$E$48,4,FALSE)&amp;$BK38,坦克属性分配比例,MATCH("升星次数",坦克属性分配比例标头,0),FALSE)*VLOOKUP(VLOOKUP($BJ38,坦克个性化设定!$B$18:$E$48,4,FALSE)&amp;$BK38,坦克属性分配比例,MATCH("升星比例",坦克属性分配比例标头,0),FALSE),0)</f>
        <v>492</v>
      </c>
      <c r="BR38" s="2">
        <f ca="1">ROUND(VLOOKUP($BJ38&amp;"初始",$S$3:$AE$63,MATCH(BR$3,$S$3:$AE$3,0),FALSE)+(VLOOKUP($BJ38&amp;"最终",$S$3:$AE$63,MATCH(BR$3,$S$3:$AE$3,0),FALSE)-VLOOKUP($BJ38&amp;"初始",$S$3:$AE$63,MATCH(BR$3,$S$3:$AE$3,0),FALSE))*$BL38/VLOOKUP(VLOOKUP($BJ38,坦克个性化设定!$B$18:$E$48,4,FALSE)&amp;$BK38,坦克属性分配比例,MATCH("升星次数",坦克属性分配比例标头,0),FALSE),0)</f>
        <v>136</v>
      </c>
      <c r="BS38" s="2">
        <f>ROUND(VLOOKUP($BJ38,$AI$3:$AO$33,MATCH(BS$3,$AI$3:$AO$3,0),FALSE)+$BL38/VLOOKUP(VLOOKUP($BJ38,坦克个性化设定!$B$18:$E$48,4,FALSE)&amp;$BK38,坦克属性分配比例,MATCH("升星次数",坦克属性分配比例标头,0),FALSE)*VLOOKUP($BJ38,$AR$3:$AY$33,MATCH(BS$3,$AR$3:$AY$3,0),FALSE),1)</f>
        <v>50.8</v>
      </c>
      <c r="BT38" s="2">
        <f>ROUND(VLOOKUP($BJ38,$AI$3:$AO$33,MATCH(BT$3,$AI$3:$AO$3,0),FALSE)+$BL38/VLOOKUP(VLOOKUP($BJ38,坦克个性化设定!$B$18:$E$48,4,FALSE)&amp;$BK38,坦克属性分配比例,MATCH("升星次数",坦克属性分配比例标头,0),FALSE)*VLOOKUP($BJ38,$AR$3:$AY$33,MATCH(BT$3,$AR$3:$AY$3,0),FALSE),1)</f>
        <v>48.5</v>
      </c>
      <c r="BU38" s="2">
        <f>ROUND(VLOOKUP($BJ38,$AI$3:$AO$33,MATCH(BU$3,$AI$3:$AO$3,0),FALSE)+$BL38/VLOOKUP(VLOOKUP($BJ38,坦克个性化设定!$B$18:$E$48,4,FALSE)&amp;$BK38,坦克属性分配比例,MATCH("升星次数",坦克属性分配比例标头,0),FALSE)*VLOOKUP($BJ38,$AR$3:$AY$33,MATCH(BU$3,$AR$3:$AY$3,0),FALSE),1)</f>
        <v>10.7</v>
      </c>
      <c r="BV38" s="2">
        <f>IF(VLOOKUP(BJ38,坦克个性化设定!$B$18:$BC$48,MATCH("装弹类型",坦克个性化设定!$B$18:$BC$18,0),FALSE)="弹夹换弹",0,ROUND(VLOOKUP($BJ38,$AI$3:$AO$33,MATCH("换弹时间",$AI$3:$AO$3,0),FALSE)-$BL38/VLOOKUP(VLOOKUP($BJ38,坦克个性化设定!$B$18:$E$48,4,FALSE)&amp;$BK38,坦克属性分配比例,MATCH("升星次数",坦克属性分配比例标头,0),FALSE)*VLOOKUP($BJ38,$AR$3:$AY$33,MATCH("换弹时间",$AR$3:$AY$3,0),FALSE),2))</f>
        <v>0</v>
      </c>
      <c r="BW38" s="2">
        <f>IF(VLOOKUP(BJ38,坦克个性化设定!$B$18:$BC$48,MATCH("装弹类型",坦克个性化设定!$B$18:$BC$18,0),FALSE)="弹夹换弹",ROUND(VLOOKUP($BJ38,$AI$3:$AO$33,MATCH("换弹时间",$AI$3:$AO$3,0),FALSE)-$BL38/VLOOKUP(VLOOKUP($BJ38,坦克个性化设定!$B$18:$E$48,4,FALSE)&amp;$BK38,坦克属性分配比例,MATCH("升星次数",坦克属性分配比例标头,0),FALSE)*VLOOKUP($BJ38,$AR$3:$AY$33,MATCH("换弹时间",$AR$3:$AY$3,0),FALSE),1),0)</f>
        <v>11.7</v>
      </c>
      <c r="BX38" s="2">
        <f>ROUND(VLOOKUP($BJ38,$AI$3:$AO$33,MATCH(BX$3,$AI$3:$AO$3,0),FALSE)+$BL38/VLOOKUP(VLOOKUP($BJ38,坦克个性化设定!$B$18:$E$48,4,FALSE)&amp;$BK38,坦克属性分配比例,MATCH("升星次数",坦克属性分配比例标头,0),FALSE)*VLOOKUP($BJ38,$AR$3:$AY$33,MATCH(BX$3,$AR$3:$AY$3,0),FALSE),2)</f>
        <v>0.6</v>
      </c>
      <c r="BY38" s="2">
        <f>ROUND(VLOOKUP($BJ38,$AI$3:$AO$33,MATCH(BY$3,$AI$3:$AO$3,0),FALSE)-$BL38/VLOOKUP(VLOOKUP($BJ38,坦克个性化设定!$B$18:$E$48,4,FALSE)&amp;$BK38,坦克属性分配比例,MATCH("升星次数",坦克属性分配比例标头,0),FALSE)*VLOOKUP($BJ38,$AR$3:$AY$33,MATCH(BY$3,$AR$3:$AY$3,0),FALSE),2)</f>
        <v>0.36</v>
      </c>
    </row>
    <row r="39" spans="2:87" x14ac:dyDescent="0.3">
      <c r="S39" s="2" t="str">
        <f t="shared" si="19"/>
        <v>潘兴最终</v>
      </c>
      <c r="T39" s="2">
        <f>IF(COUNTIF(U$4:U38,U38)&gt;=$B$3,T38+1,T38)</f>
        <v>18</v>
      </c>
      <c r="U39" s="2" t="str">
        <f t="shared" si="20"/>
        <v>潘兴</v>
      </c>
      <c r="V39" s="2" t="str">
        <f>VLOOKUP(U39,坦克个性化设定!$B$18:$F$48,5,FALSE)</f>
        <v>中坦自动</v>
      </c>
      <c r="W39" s="29" t="str">
        <f>VLOOKUP(U39,坦克个性化细分!$I$3:$J$33,2,FALSE)</f>
        <v>中</v>
      </c>
      <c r="X39" s="2" t="str">
        <f t="shared" si="21"/>
        <v>最终</v>
      </c>
      <c r="Y39" s="2" t="str">
        <f>VLOOKUP(VLOOKUP(U39,坦克个性化设定!$B$18:$F$48,4,FALSE)&amp;W39,坦克等级成长!$P$12:$U$24,MATCH(X39,坦克等级成长!$P$12:$U$12,0),FALSE)</f>
        <v>T4中7</v>
      </c>
      <c r="Z39" s="42" t="e">
        <f ca="1">VLOOKUP($Y39,INDIRECT($V39&amp;"_阶段属性"),MATCH(Z$3,属性标头_阶段属性,0),FALSE)*VLOOKUP($U39,坦克个性化设定!$B$84:$D$114,2,FALSE)</f>
        <v>#N/A</v>
      </c>
      <c r="AA39" s="42" t="e">
        <f ca="1">VLOOKUP($Y39,INDIRECT($V39&amp;"_阶段属性"),MATCH(AA$3,属性标头_阶段属性,0),FALSE)*VLOOKUP($U39,坦克个性化设定!$B$84:$D$114,3,FALSE)</f>
        <v>#N/A</v>
      </c>
      <c r="AB39" s="2" t="e">
        <f t="shared" ca="1" si="18"/>
        <v>#N/A</v>
      </c>
      <c r="AC39" s="2" t="e">
        <f t="shared" ca="1" si="18"/>
        <v>#N/A</v>
      </c>
      <c r="AD39" s="2" t="e">
        <f t="shared" ca="1" si="18"/>
        <v>#N/A</v>
      </c>
      <c r="AE39" s="2" t="e">
        <f t="shared" ca="1" si="18"/>
        <v>#N/A</v>
      </c>
      <c r="AF39" s="25"/>
      <c r="BH39" s="2" t="str">
        <f t="shared" si="13"/>
        <v>十字军3</v>
      </c>
      <c r="BI39" s="2">
        <f>IF(BL38&gt;=VLOOKUP(VLOOKUP(BJ38,坦克个性化设定!$B$18:$E$48,4,FALSE)&amp;BK38,坦克属性分配比例,MATCH("升星次数",坦克属性分配比例标头,0),FALSE),BI38+1,BI38)</f>
        <v>5</v>
      </c>
      <c r="BJ39" s="2" t="str">
        <f t="shared" si="14"/>
        <v>十字军</v>
      </c>
      <c r="BK39" s="29" t="str">
        <f>VLOOKUP(BJ39,坦克个性化细分!$I$3:$J$33,2,FALSE)</f>
        <v>中</v>
      </c>
      <c r="BL39" s="2">
        <f t="shared" si="7"/>
        <v>3</v>
      </c>
      <c r="BM39" s="103">
        <f ca="1">ROUND(VLOOKUP($BJ39&amp;"初始",$S$3:$AE$63,MATCH(BM$3,$S$3:$AE$3,0),FALSE)+((VLOOKUP($BJ39&amp;"最终",$S$3:$AE$63,MATCH(BM$3,$S$3:$AE$3,0),FALSE)*坦克个性化细分!$C$9-VLOOKUP($BJ39&amp;"初始",$S$3:$AE$63,MATCH(BM$3,$S$3:$AE$3,0),FALSE))-(VLOOKUP($BJ39&amp;"最终",$S$3:$AE$63,MATCH(BM$3,$S$3:$AE$3,0),FALSE)-VLOOKUP($BJ39&amp;"初始",$S$3:$AE$63,MATCH(BM$3,$S$3:$AE$3,0),FALSE))*VLOOKUP(VLOOKUP($BJ39,坦克个性化设定!$B$18:$E$48,4,FALSE)&amp;$BK39,坦克属性分配比例,MATCH("部件比例",坦克属性分配比例标头,0),FALSE))*$BL39/VLOOKUP(VLOOKUP($BJ39,坦克个性化设定!$B$18:$E$48,4,FALSE)&amp;$BK39,坦克属性分配比例,MATCH("升星次数",坦克属性分配比例标头,0),FALSE),0)</f>
        <v>1479</v>
      </c>
      <c r="BN39" s="103">
        <f ca="1">ROUND(VLOOKUP($BJ39&amp;"初始",$S$3:$AE$63,MATCH(BN$3,$S$3:$AE$3,0),FALSE)+(VLOOKUP($BJ39&amp;"最终",$S$3:$AE$63,MATCH(BN$3,$S$3:$AE$3,0),FALSE)-VLOOKUP($BJ39&amp;"初始",$S$3:$AE$63,MATCH(BN$3,$S$3:$AE$3,0),FALSE))*$BL39/VLOOKUP(VLOOKUP($BJ39,坦克个性化设定!$B$18:$E$48,4,FALSE)&amp;$BK39,坦克属性分配比例,MATCH("升星次数",坦克属性分配比例标头,0),FALSE)*VLOOKUP(VLOOKUP($BJ39,坦克个性化设定!$B$18:$E$48,4,FALSE)&amp;$BK39,坦克属性分配比例,MATCH("升星比例",坦克属性分配比例标头,0),FALSE),0)</f>
        <v>80</v>
      </c>
      <c r="BO39" s="103">
        <f ca="1">ROUND(VLOOKUP($BJ39&amp;"初始",$S$3:$AE$63,MATCH(BO$3,$S$3:$AE$3,0),FALSE)+(VLOOKUP($BJ39&amp;"最终",$S$3:$AE$63,MATCH(BO$3,$S$3:$AE$3,0),FALSE)-VLOOKUP($BJ39&amp;"初始",$S$3:$AE$63,MATCH(BO$3,$S$3:$AE$3,0),FALSE))*$BL39/VLOOKUP(VLOOKUP($BJ39,坦克个性化设定!$B$18:$E$48,4,FALSE)&amp;$BK39,坦克属性分配比例,MATCH("升星次数",坦克属性分配比例标头,0),FALSE)*(VLOOKUP(VLOOKUP($BJ39,坦克个性化设定!$B$18:$E$48,4,FALSE)&amp;$BK39,坦克属性分配比例,MATCH("升星比例",坦克属性分配比例标头,0),FALSE)+VLOOKUP(VLOOKUP($BJ39,坦克个性化设定!$B$18:$E$48,4,FALSE)&amp;$BK39,坦克属性分配比例,MATCH("部件比例",坦克属性分配比例标头,0),FALSE)*$C$3),0)</f>
        <v>574</v>
      </c>
      <c r="BP39" s="103">
        <f ca="1">ROUND(VLOOKUP($BJ39&amp;"初始",$S$3:$AE$63,MATCH(BP$3,$S$3:$AE$3,0),FALSE)+(VLOOKUP($BJ39&amp;"最终",$S$3:$AE$63,MATCH(BP$3,$S$3:$AE$3,0),FALSE)-VLOOKUP($BJ39&amp;"初始",$S$3:$AE$63,MATCH(BP$3,$S$3:$AE$3,0),FALSE))*$BL39/VLOOKUP(VLOOKUP($BJ39,坦克个性化设定!$B$18:$E$48,4,FALSE)&amp;$BK39,坦克属性分配比例,MATCH("升星次数",坦克属性分配比例标头,0),FALSE)*(VLOOKUP(VLOOKUP($BJ39,坦克个性化设定!$B$18:$E$48,4,FALSE)&amp;$BK39,坦克属性分配比例,MATCH("升星比例",坦克属性分配比例标头,0),FALSE)+VLOOKUP(VLOOKUP($BJ39,坦克个性化设定!$B$18:$E$48,4,FALSE)&amp;$BK39,坦克属性分配比例,MATCH("部件比例",坦克属性分配比例标头,0),FALSE)*$C$3),0)</f>
        <v>229</v>
      </c>
      <c r="BQ39" s="103">
        <f ca="1">ROUND(VLOOKUP($BJ39&amp;"初始",$S$3:$AE$63,MATCH(BQ$3,$S$3:$AE$3,0),FALSE)+(VLOOKUP($BJ39&amp;"最终",$S$3:$AE$63,MATCH(BQ$3,$S$3:$AE$3,0),FALSE)-VLOOKUP($BJ39&amp;"初始",$S$3:$AE$63,MATCH(BQ$3,$S$3:$AE$3,0),FALSE))*$BL39/VLOOKUP(VLOOKUP($BJ39,坦克个性化设定!$B$18:$E$48,4,FALSE)&amp;$BK39,坦克属性分配比例,MATCH("升星次数",坦克属性分配比例标头,0),FALSE)*VLOOKUP(VLOOKUP($BJ39,坦克个性化设定!$B$18:$E$48,4,FALSE)&amp;$BK39,坦克属性分配比例,MATCH("升星比例",坦克属性分配比例标头,0),FALSE),0)</f>
        <v>506</v>
      </c>
      <c r="BR39" s="2">
        <f ca="1">ROUND(VLOOKUP($BJ39&amp;"初始",$S$3:$AE$63,MATCH(BR$3,$S$3:$AE$3,0),FALSE)+(VLOOKUP($BJ39&amp;"最终",$S$3:$AE$63,MATCH(BR$3,$S$3:$AE$3,0),FALSE)-VLOOKUP($BJ39&amp;"初始",$S$3:$AE$63,MATCH(BR$3,$S$3:$AE$3,0),FALSE))*$BL39/VLOOKUP(VLOOKUP($BJ39,坦克个性化设定!$B$18:$E$48,4,FALSE)&amp;$BK39,坦克属性分配比例,MATCH("升星次数",坦克属性分配比例标头,0),FALSE),0)</f>
        <v>143</v>
      </c>
      <c r="BS39" s="2">
        <f>ROUND(VLOOKUP($BJ39,$AI$3:$AO$33,MATCH(BS$3,$AI$3:$AO$3,0),FALSE)+$BL39/VLOOKUP(VLOOKUP($BJ39,坦克个性化设定!$B$18:$E$48,4,FALSE)&amp;$BK39,坦克属性分配比例,MATCH("升星次数",坦克属性分配比例标头,0),FALSE)*VLOOKUP($BJ39,$AR$3:$AY$33,MATCH(BS$3,$AR$3:$AY$3,0),FALSE),1)</f>
        <v>52.1</v>
      </c>
      <c r="BT39" s="2">
        <f>ROUND(VLOOKUP($BJ39,$AI$3:$AO$33,MATCH(BT$3,$AI$3:$AO$3,0),FALSE)+$BL39/VLOOKUP(VLOOKUP($BJ39,坦克个性化设定!$B$18:$E$48,4,FALSE)&amp;$BK39,坦克属性分配比例,MATCH("升星次数",坦克属性分配比例标头,0),FALSE)*VLOOKUP($BJ39,$AR$3:$AY$33,MATCH(BT$3,$AR$3:$AY$3,0),FALSE),1)</f>
        <v>49.7</v>
      </c>
      <c r="BU39" s="2">
        <f>ROUND(VLOOKUP($BJ39,$AI$3:$AO$33,MATCH(BU$3,$AI$3:$AO$3,0),FALSE)+$BL39/VLOOKUP(VLOOKUP($BJ39,坦克个性化设定!$B$18:$E$48,4,FALSE)&amp;$BK39,坦克属性分配比例,MATCH("升星次数",坦克属性分配比例标头,0),FALSE)*VLOOKUP($BJ39,$AR$3:$AY$33,MATCH(BU$3,$AR$3:$AY$3,0),FALSE),1)</f>
        <v>10.7</v>
      </c>
      <c r="BV39" s="2">
        <f>IF(VLOOKUP(BJ39,坦克个性化设定!$B$18:$BC$48,MATCH("装弹类型",坦克个性化设定!$B$18:$BC$18,0),FALSE)="弹夹换弹",0,ROUND(VLOOKUP($BJ39,$AI$3:$AO$33,MATCH("换弹时间",$AI$3:$AO$3,0),FALSE)-$BL39/VLOOKUP(VLOOKUP($BJ39,坦克个性化设定!$B$18:$E$48,4,FALSE)&amp;$BK39,坦克属性分配比例,MATCH("升星次数",坦克属性分配比例标头,0),FALSE)*VLOOKUP($BJ39,$AR$3:$AY$33,MATCH("换弹时间",$AR$3:$AY$3,0),FALSE),2))</f>
        <v>0</v>
      </c>
      <c r="BW39" s="2">
        <f>IF(VLOOKUP(BJ39,坦克个性化设定!$B$18:$BC$48,MATCH("装弹类型",坦克个性化设定!$B$18:$BC$18,0),FALSE)="弹夹换弹",ROUND(VLOOKUP($BJ39,$AI$3:$AO$33,MATCH("换弹时间",$AI$3:$AO$3,0),FALSE)-$BL39/VLOOKUP(VLOOKUP($BJ39,坦克个性化设定!$B$18:$E$48,4,FALSE)&amp;$BK39,坦克属性分配比例,MATCH("升星次数",坦克属性分配比例标头,0),FALSE)*VLOOKUP($BJ39,$AR$3:$AY$33,MATCH("换弹时间",$AR$3:$AY$3,0),FALSE),1),0)</f>
        <v>11.2</v>
      </c>
      <c r="BX39" s="2">
        <f>ROUND(VLOOKUP($BJ39,$AI$3:$AO$33,MATCH(BX$3,$AI$3:$AO$3,0),FALSE)+$BL39/VLOOKUP(VLOOKUP($BJ39,坦克个性化设定!$B$18:$E$48,4,FALSE)&amp;$BK39,坦克属性分配比例,MATCH("升星次数",坦克属性分配比例标头,0),FALSE)*VLOOKUP($BJ39,$AR$3:$AY$33,MATCH(BX$3,$AR$3:$AY$3,0),FALSE),2)</f>
        <v>0.6</v>
      </c>
      <c r="BY39" s="2">
        <f>ROUND(VLOOKUP($BJ39,$AI$3:$AO$33,MATCH(BY$3,$AI$3:$AO$3,0),FALSE)-$BL39/VLOOKUP(VLOOKUP($BJ39,坦克个性化设定!$B$18:$E$48,4,FALSE)&amp;$BK39,坦克属性分配比例,MATCH("升星次数",坦克属性分配比例标头,0),FALSE)*VLOOKUP($BJ39,$AR$3:$AY$33,MATCH(BY$3,$AR$3:$AY$3,0),FALSE),2)</f>
        <v>0.35</v>
      </c>
    </row>
    <row r="40" spans="2:87" x14ac:dyDescent="0.3">
      <c r="S40" s="2" t="str">
        <f t="shared" si="19"/>
        <v>百夫长初始</v>
      </c>
      <c r="T40" s="2">
        <f>IF(COUNTIF(U$4:U39,U39)&gt;=$B$3,T39+1,T39)</f>
        <v>19</v>
      </c>
      <c r="U40" s="2" t="str">
        <f t="shared" si="20"/>
        <v>百夫长</v>
      </c>
      <c r="V40" s="2" t="str">
        <f>VLOOKUP(U40,坦克个性化设定!$B$18:$F$48,5,FALSE)</f>
        <v>中坦自动</v>
      </c>
      <c r="W40" s="29" t="str">
        <f>VLOOKUP(U40,坦克个性化细分!$I$3:$J$33,2,FALSE)</f>
        <v>高</v>
      </c>
      <c r="X40" s="2" t="str">
        <f t="shared" si="21"/>
        <v>初始</v>
      </c>
      <c r="Y40" s="2" t="str">
        <f>VLOOKUP(VLOOKUP(U40,坦克个性化设定!$B$18:$F$48,4,FALSE)&amp;W40,坦克等级成长!$P$12:$U$24,MATCH(X40,坦克等级成长!$P$12:$U$12,0),FALSE)</f>
        <v>T4高4</v>
      </c>
      <c r="Z40" s="42">
        <f ca="1">VLOOKUP($Y40,INDIRECT($V40&amp;"_阶段属性"),MATCH(Z$3,属性标头_阶段属性,0),FALSE)*VLOOKUP($U40,坦克个性化设定!$B$84:$D$114,2,FALSE)</f>
        <v>1898.421882210891</v>
      </c>
      <c r="AA40" s="42">
        <f ca="1">VLOOKUP($Y40,INDIRECT($V40&amp;"_阶段属性"),MATCH(AA$3,属性标头_阶段属性,0),FALSE)*VLOOKUP($U40,坦克个性化设定!$B$84:$D$114,3,FALSE)</f>
        <v>218.15114594475739</v>
      </c>
      <c r="AB40" s="2">
        <f t="shared" ca="1" si="18"/>
        <v>657</v>
      </c>
      <c r="AC40" s="2">
        <f t="shared" ca="1" si="18"/>
        <v>296</v>
      </c>
      <c r="AD40" s="2">
        <f t="shared" ca="1" si="18"/>
        <v>720</v>
      </c>
      <c r="AE40" s="2">
        <f t="shared" ca="1" si="18"/>
        <v>169</v>
      </c>
      <c r="AF40" s="25"/>
      <c r="BH40" s="2" t="str">
        <f t="shared" si="13"/>
        <v>十字军4</v>
      </c>
      <c r="BI40" s="2">
        <f>IF(BL39&gt;=VLOOKUP(VLOOKUP(BJ39,坦克个性化设定!$B$18:$E$48,4,FALSE)&amp;BK39,坦克属性分配比例,MATCH("升星次数",坦克属性分配比例标头,0),FALSE),BI39+1,BI39)</f>
        <v>5</v>
      </c>
      <c r="BJ40" s="2" t="str">
        <f t="shared" si="14"/>
        <v>十字军</v>
      </c>
      <c r="BK40" s="29" t="str">
        <f>VLOOKUP(BJ40,坦克个性化细分!$I$3:$J$33,2,FALSE)</f>
        <v>中</v>
      </c>
      <c r="BL40" s="2">
        <f t="shared" si="7"/>
        <v>4</v>
      </c>
      <c r="BM40" s="103">
        <f ca="1">ROUND(VLOOKUP($BJ40&amp;"初始",$S$3:$AE$63,MATCH(BM$3,$S$3:$AE$3,0),FALSE)+((VLOOKUP($BJ40&amp;"最终",$S$3:$AE$63,MATCH(BM$3,$S$3:$AE$3,0),FALSE)*坦克个性化细分!$C$9-VLOOKUP($BJ40&amp;"初始",$S$3:$AE$63,MATCH(BM$3,$S$3:$AE$3,0),FALSE))-(VLOOKUP($BJ40&amp;"最终",$S$3:$AE$63,MATCH(BM$3,$S$3:$AE$3,0),FALSE)-VLOOKUP($BJ40&amp;"初始",$S$3:$AE$63,MATCH(BM$3,$S$3:$AE$3,0),FALSE))*VLOOKUP(VLOOKUP($BJ40,坦克个性化设定!$B$18:$E$48,4,FALSE)&amp;$BK40,坦克属性分配比例,MATCH("部件比例",坦克属性分配比例标头,0),FALSE))*$BL40/VLOOKUP(VLOOKUP($BJ40,坦克个性化设定!$B$18:$E$48,4,FALSE)&amp;$BK40,坦克属性分配比例,MATCH("升星次数",坦克属性分配比例标头,0),FALSE),0)</f>
        <v>1550</v>
      </c>
      <c r="BN40" s="103">
        <f ca="1">ROUND(VLOOKUP($BJ40&amp;"初始",$S$3:$AE$63,MATCH(BN$3,$S$3:$AE$3,0),FALSE)+(VLOOKUP($BJ40&amp;"最终",$S$3:$AE$63,MATCH(BN$3,$S$3:$AE$3,0),FALSE)-VLOOKUP($BJ40&amp;"初始",$S$3:$AE$63,MATCH(BN$3,$S$3:$AE$3,0),FALSE))*$BL40/VLOOKUP(VLOOKUP($BJ40,坦克个性化设定!$B$18:$E$48,4,FALSE)&amp;$BK40,坦克属性分配比例,MATCH("升星次数",坦克属性分配比例标头,0),FALSE)*VLOOKUP(VLOOKUP($BJ40,坦克个性化设定!$B$18:$E$48,4,FALSE)&amp;$BK40,坦克属性分配比例,MATCH("升星比例",坦克属性分配比例标头,0),FALSE),0)</f>
        <v>82</v>
      </c>
      <c r="BO40" s="103">
        <f ca="1">ROUND(VLOOKUP($BJ40&amp;"初始",$S$3:$AE$63,MATCH(BO$3,$S$3:$AE$3,0),FALSE)+(VLOOKUP($BJ40&amp;"最终",$S$3:$AE$63,MATCH(BO$3,$S$3:$AE$3,0),FALSE)-VLOOKUP($BJ40&amp;"初始",$S$3:$AE$63,MATCH(BO$3,$S$3:$AE$3,0),FALSE))*$BL40/VLOOKUP(VLOOKUP($BJ40,坦克个性化设定!$B$18:$E$48,4,FALSE)&amp;$BK40,坦克属性分配比例,MATCH("升星次数",坦克属性分配比例标头,0),FALSE)*(VLOOKUP(VLOOKUP($BJ40,坦克个性化设定!$B$18:$E$48,4,FALSE)&amp;$BK40,坦克属性分配比例,MATCH("升星比例",坦克属性分配比例标头,0),FALSE)+VLOOKUP(VLOOKUP($BJ40,坦克个性化设定!$B$18:$E$48,4,FALSE)&amp;$BK40,坦克属性分配比例,MATCH("部件比例",坦克属性分配比例标头,0),FALSE)*$C$3),0)</f>
        <v>597</v>
      </c>
      <c r="BP40" s="103">
        <f ca="1">ROUND(VLOOKUP($BJ40&amp;"初始",$S$3:$AE$63,MATCH(BP$3,$S$3:$AE$3,0),FALSE)+(VLOOKUP($BJ40&amp;"最终",$S$3:$AE$63,MATCH(BP$3,$S$3:$AE$3,0),FALSE)-VLOOKUP($BJ40&amp;"初始",$S$3:$AE$63,MATCH(BP$3,$S$3:$AE$3,0),FALSE))*$BL40/VLOOKUP(VLOOKUP($BJ40,坦克个性化设定!$B$18:$E$48,4,FALSE)&amp;$BK40,坦克属性分配比例,MATCH("升星次数",坦克属性分配比例标头,0),FALSE)*(VLOOKUP(VLOOKUP($BJ40,坦克个性化设定!$B$18:$E$48,4,FALSE)&amp;$BK40,坦克属性分配比例,MATCH("升星比例",坦克属性分配比例标头,0),FALSE)+VLOOKUP(VLOOKUP($BJ40,坦克个性化设定!$B$18:$E$48,4,FALSE)&amp;$BK40,坦克属性分配比例,MATCH("部件比例",坦克属性分配比例标头,0),FALSE)*$C$3),0)</f>
        <v>239</v>
      </c>
      <c r="BQ40" s="103">
        <f ca="1">ROUND(VLOOKUP($BJ40&amp;"初始",$S$3:$AE$63,MATCH(BQ$3,$S$3:$AE$3,0),FALSE)+(VLOOKUP($BJ40&amp;"最终",$S$3:$AE$63,MATCH(BQ$3,$S$3:$AE$3,0),FALSE)-VLOOKUP($BJ40&amp;"初始",$S$3:$AE$63,MATCH(BQ$3,$S$3:$AE$3,0),FALSE))*$BL40/VLOOKUP(VLOOKUP($BJ40,坦克个性化设定!$B$18:$E$48,4,FALSE)&amp;$BK40,坦克属性分配比例,MATCH("升星次数",坦克属性分配比例标头,0),FALSE)*VLOOKUP(VLOOKUP($BJ40,坦克个性化设定!$B$18:$E$48,4,FALSE)&amp;$BK40,坦克属性分配比例,MATCH("升星比例",坦克属性分配比例标头,0),FALSE),0)</f>
        <v>521</v>
      </c>
      <c r="BR40" s="2">
        <f ca="1">ROUND(VLOOKUP($BJ40&amp;"初始",$S$3:$AE$63,MATCH(BR$3,$S$3:$AE$3,0),FALSE)+(VLOOKUP($BJ40&amp;"最终",$S$3:$AE$63,MATCH(BR$3,$S$3:$AE$3,0),FALSE)-VLOOKUP($BJ40&amp;"初始",$S$3:$AE$63,MATCH(BR$3,$S$3:$AE$3,0),FALSE))*$BL40/VLOOKUP(VLOOKUP($BJ40,坦克个性化设定!$B$18:$E$48,4,FALSE)&amp;$BK40,坦克属性分配比例,MATCH("升星次数",坦克属性分配比例标头,0),FALSE),0)</f>
        <v>149</v>
      </c>
      <c r="BS40" s="2">
        <f>ROUND(VLOOKUP($BJ40,$AI$3:$AO$33,MATCH(BS$3,$AI$3:$AO$3,0),FALSE)+$BL40/VLOOKUP(VLOOKUP($BJ40,坦克个性化设定!$B$18:$E$48,4,FALSE)&amp;$BK40,坦克属性分配比例,MATCH("升星次数",坦克属性分配比例标头,0),FALSE)*VLOOKUP($BJ40,$AR$3:$AY$33,MATCH(BS$3,$AR$3:$AY$3,0),FALSE),1)</f>
        <v>53.4</v>
      </c>
      <c r="BT40" s="2">
        <f>ROUND(VLOOKUP($BJ40,$AI$3:$AO$33,MATCH(BT$3,$AI$3:$AO$3,0),FALSE)+$BL40/VLOOKUP(VLOOKUP($BJ40,坦克个性化设定!$B$18:$E$48,4,FALSE)&amp;$BK40,坦克属性分配比例,MATCH("升星次数",坦克属性分配比例标头,0),FALSE)*VLOOKUP($BJ40,$AR$3:$AY$33,MATCH(BT$3,$AR$3:$AY$3,0),FALSE),1)</f>
        <v>51</v>
      </c>
      <c r="BU40" s="2">
        <f>ROUND(VLOOKUP($BJ40,$AI$3:$AO$33,MATCH(BU$3,$AI$3:$AO$3,0),FALSE)+$BL40/VLOOKUP(VLOOKUP($BJ40,坦克个性化设定!$B$18:$E$48,4,FALSE)&amp;$BK40,坦克属性分配比例,MATCH("升星次数",坦克属性分配比例标头,0),FALSE)*VLOOKUP($BJ40,$AR$3:$AY$33,MATCH(BU$3,$AR$3:$AY$3,0),FALSE),1)</f>
        <v>10.7</v>
      </c>
      <c r="BV40" s="2">
        <f>IF(VLOOKUP(BJ40,坦克个性化设定!$B$18:$BC$48,MATCH("装弹类型",坦克个性化设定!$B$18:$BC$18,0),FALSE)="弹夹换弹",0,ROUND(VLOOKUP($BJ40,$AI$3:$AO$33,MATCH("换弹时间",$AI$3:$AO$3,0),FALSE)-$BL40/VLOOKUP(VLOOKUP($BJ40,坦克个性化设定!$B$18:$E$48,4,FALSE)&amp;$BK40,坦克属性分配比例,MATCH("升星次数",坦克属性分配比例标头,0),FALSE)*VLOOKUP($BJ40,$AR$3:$AY$33,MATCH("换弹时间",$AR$3:$AY$3,0),FALSE),2))</f>
        <v>0</v>
      </c>
      <c r="BW40" s="2">
        <f>IF(VLOOKUP(BJ40,坦克个性化设定!$B$18:$BC$48,MATCH("装弹类型",坦克个性化设定!$B$18:$BC$18,0),FALSE)="弹夹换弹",ROUND(VLOOKUP($BJ40,$AI$3:$AO$33,MATCH("换弹时间",$AI$3:$AO$3,0),FALSE)-$BL40/VLOOKUP(VLOOKUP($BJ40,坦克个性化设定!$B$18:$E$48,4,FALSE)&amp;$BK40,坦克属性分配比例,MATCH("升星次数",坦克属性分配比例标头,0),FALSE)*VLOOKUP($BJ40,$AR$3:$AY$33,MATCH("换弹时间",$AR$3:$AY$3,0),FALSE),1),0)</f>
        <v>10.8</v>
      </c>
      <c r="BX40" s="2">
        <f>ROUND(VLOOKUP($BJ40,$AI$3:$AO$33,MATCH(BX$3,$AI$3:$AO$3,0),FALSE)+$BL40/VLOOKUP(VLOOKUP($BJ40,坦克个性化设定!$B$18:$E$48,4,FALSE)&amp;$BK40,坦克属性分配比例,MATCH("升星次数",坦克属性分配比例标头,0),FALSE)*VLOOKUP($BJ40,$AR$3:$AY$33,MATCH(BX$3,$AR$3:$AY$3,0),FALSE),2)</f>
        <v>0.6</v>
      </c>
      <c r="BY40" s="2">
        <f>ROUND(VLOOKUP($BJ40,$AI$3:$AO$33,MATCH(BY$3,$AI$3:$AO$3,0),FALSE)-$BL40/VLOOKUP(VLOOKUP($BJ40,坦克个性化设定!$B$18:$E$48,4,FALSE)&amp;$BK40,坦克属性分配比例,MATCH("升星次数",坦克属性分配比例标头,0),FALSE)*VLOOKUP($BJ40,$AR$3:$AY$33,MATCH(BY$3,$AR$3:$AY$3,0),FALSE),2)</f>
        <v>0.35</v>
      </c>
    </row>
    <row r="41" spans="2:87" x14ac:dyDescent="0.3">
      <c r="S41" s="2" t="str">
        <f t="shared" si="19"/>
        <v>百夫长最终</v>
      </c>
      <c r="T41" s="2">
        <f>IF(COUNTIF(U$4:U40,U40)&gt;=$B$3,T40+1,T40)</f>
        <v>19</v>
      </c>
      <c r="U41" s="2" t="str">
        <f t="shared" si="20"/>
        <v>百夫长</v>
      </c>
      <c r="V41" s="2" t="str">
        <f>VLOOKUP(U41,坦克个性化设定!$B$18:$F$48,5,FALSE)</f>
        <v>中坦自动</v>
      </c>
      <c r="W41" s="29" t="str">
        <f>VLOOKUP(U41,坦克个性化细分!$I$3:$J$33,2,FALSE)</f>
        <v>高</v>
      </c>
      <c r="X41" s="2" t="str">
        <f t="shared" si="21"/>
        <v>最终</v>
      </c>
      <c r="Y41" s="2" t="str">
        <f>VLOOKUP(VLOOKUP(U41,坦克个性化设定!$B$18:$F$48,4,FALSE)&amp;W41,坦克等级成长!$P$12:$U$24,MATCH(X41,坦克等级成长!$P$12:$U$12,0),FALSE)</f>
        <v>T4高7</v>
      </c>
      <c r="Z41" s="42" t="e">
        <f ca="1">VLOOKUP($Y41,INDIRECT($V41&amp;"_阶段属性"),MATCH(Z$3,属性标头_阶段属性,0),FALSE)*VLOOKUP($U41,坦克个性化设定!$B$84:$D$114,2,FALSE)</f>
        <v>#N/A</v>
      </c>
      <c r="AA41" s="42" t="e">
        <f ca="1">VLOOKUP($Y41,INDIRECT($V41&amp;"_阶段属性"),MATCH(AA$3,属性标头_阶段属性,0),FALSE)*VLOOKUP($U41,坦克个性化设定!$B$84:$D$114,3,FALSE)</f>
        <v>#N/A</v>
      </c>
      <c r="AB41" s="2" t="e">
        <f t="shared" ca="1" si="18"/>
        <v>#N/A</v>
      </c>
      <c r="AC41" s="2" t="e">
        <f t="shared" ca="1" si="18"/>
        <v>#N/A</v>
      </c>
      <c r="AD41" s="2" t="e">
        <f t="shared" ca="1" si="18"/>
        <v>#N/A</v>
      </c>
      <c r="AE41" s="2" t="e">
        <f t="shared" ca="1" si="18"/>
        <v>#N/A</v>
      </c>
      <c r="AF41" s="25"/>
      <c r="BH41" s="2" t="str">
        <f t="shared" si="13"/>
        <v>十字军5</v>
      </c>
      <c r="BI41" s="2">
        <f>IF(BL40&gt;=VLOOKUP(VLOOKUP(BJ40,坦克个性化设定!$B$18:$E$48,4,FALSE)&amp;BK40,坦克属性分配比例,MATCH("升星次数",坦克属性分配比例标头,0),FALSE),BI40+1,BI40)</f>
        <v>5</v>
      </c>
      <c r="BJ41" s="2" t="str">
        <f t="shared" si="14"/>
        <v>十字军</v>
      </c>
      <c r="BK41" s="29" t="str">
        <f>VLOOKUP(BJ41,坦克个性化细分!$I$3:$J$33,2,FALSE)</f>
        <v>中</v>
      </c>
      <c r="BL41" s="2">
        <f t="shared" si="7"/>
        <v>5</v>
      </c>
      <c r="BM41" s="103">
        <f ca="1">ROUND(VLOOKUP($BJ41&amp;"初始",$S$3:$AE$63,MATCH(BM$3,$S$3:$AE$3,0),FALSE)+((VLOOKUP($BJ41&amp;"最终",$S$3:$AE$63,MATCH(BM$3,$S$3:$AE$3,0),FALSE)*坦克个性化细分!$C$9-VLOOKUP($BJ41&amp;"初始",$S$3:$AE$63,MATCH(BM$3,$S$3:$AE$3,0),FALSE))-(VLOOKUP($BJ41&amp;"最终",$S$3:$AE$63,MATCH(BM$3,$S$3:$AE$3,0),FALSE)-VLOOKUP($BJ41&amp;"初始",$S$3:$AE$63,MATCH(BM$3,$S$3:$AE$3,0),FALSE))*VLOOKUP(VLOOKUP($BJ41,坦克个性化设定!$B$18:$E$48,4,FALSE)&amp;$BK41,坦克属性分配比例,MATCH("部件比例",坦克属性分配比例标头,0),FALSE))*$BL41/VLOOKUP(VLOOKUP($BJ41,坦克个性化设定!$B$18:$E$48,4,FALSE)&amp;$BK41,坦克属性分配比例,MATCH("升星次数",坦克属性分配比例标头,0),FALSE),0)</f>
        <v>1622</v>
      </c>
      <c r="BN41" s="103">
        <f ca="1">ROUND(VLOOKUP($BJ41&amp;"初始",$S$3:$AE$63,MATCH(BN$3,$S$3:$AE$3,0),FALSE)+(VLOOKUP($BJ41&amp;"最终",$S$3:$AE$63,MATCH(BN$3,$S$3:$AE$3,0),FALSE)-VLOOKUP($BJ41&amp;"初始",$S$3:$AE$63,MATCH(BN$3,$S$3:$AE$3,0),FALSE))*$BL41/VLOOKUP(VLOOKUP($BJ41,坦克个性化设定!$B$18:$E$48,4,FALSE)&amp;$BK41,坦克属性分配比例,MATCH("升星次数",坦克属性分配比例标头,0),FALSE)*VLOOKUP(VLOOKUP($BJ41,坦克个性化设定!$B$18:$E$48,4,FALSE)&amp;$BK41,坦克属性分配比例,MATCH("升星比例",坦克属性分配比例标头,0),FALSE),0)</f>
        <v>84</v>
      </c>
      <c r="BO41" s="103">
        <f ca="1">ROUND(VLOOKUP($BJ41&amp;"初始",$S$3:$AE$63,MATCH(BO$3,$S$3:$AE$3,0),FALSE)+(VLOOKUP($BJ41&amp;"最终",$S$3:$AE$63,MATCH(BO$3,$S$3:$AE$3,0),FALSE)-VLOOKUP($BJ41&amp;"初始",$S$3:$AE$63,MATCH(BO$3,$S$3:$AE$3,0),FALSE))*$BL41/VLOOKUP(VLOOKUP($BJ41,坦克个性化设定!$B$18:$E$48,4,FALSE)&amp;$BK41,坦克属性分配比例,MATCH("升星次数",坦克属性分配比例标头,0),FALSE)*(VLOOKUP(VLOOKUP($BJ41,坦克个性化设定!$B$18:$E$48,4,FALSE)&amp;$BK41,坦克属性分配比例,MATCH("升星比例",坦克属性分配比例标头,0),FALSE)+VLOOKUP(VLOOKUP($BJ41,坦克个性化设定!$B$18:$E$48,4,FALSE)&amp;$BK41,坦克属性分配比例,MATCH("部件比例",坦克属性分配比例标头,0),FALSE)*$C$3),0)</f>
        <v>619</v>
      </c>
      <c r="BP41" s="103">
        <f ca="1">ROUND(VLOOKUP($BJ41&amp;"初始",$S$3:$AE$63,MATCH(BP$3,$S$3:$AE$3,0),FALSE)+(VLOOKUP($BJ41&amp;"最终",$S$3:$AE$63,MATCH(BP$3,$S$3:$AE$3,0),FALSE)-VLOOKUP($BJ41&amp;"初始",$S$3:$AE$63,MATCH(BP$3,$S$3:$AE$3,0),FALSE))*$BL41/VLOOKUP(VLOOKUP($BJ41,坦克个性化设定!$B$18:$E$48,4,FALSE)&amp;$BK41,坦克属性分配比例,MATCH("升星次数",坦克属性分配比例标头,0),FALSE)*(VLOOKUP(VLOOKUP($BJ41,坦克个性化设定!$B$18:$E$48,4,FALSE)&amp;$BK41,坦克属性分配比例,MATCH("升星比例",坦克属性分配比例标头,0),FALSE)+VLOOKUP(VLOOKUP($BJ41,坦克个性化设定!$B$18:$E$48,4,FALSE)&amp;$BK41,坦克属性分配比例,MATCH("部件比例",坦克属性分配比例标头,0),FALSE)*$C$3),0)</f>
        <v>248</v>
      </c>
      <c r="BQ41" s="103">
        <f ca="1">ROUND(VLOOKUP($BJ41&amp;"初始",$S$3:$AE$63,MATCH(BQ$3,$S$3:$AE$3,0),FALSE)+(VLOOKUP($BJ41&amp;"最终",$S$3:$AE$63,MATCH(BQ$3,$S$3:$AE$3,0),FALSE)-VLOOKUP($BJ41&amp;"初始",$S$3:$AE$63,MATCH(BQ$3,$S$3:$AE$3,0),FALSE))*$BL41/VLOOKUP(VLOOKUP($BJ41,坦克个性化设定!$B$18:$E$48,4,FALSE)&amp;$BK41,坦克属性分配比例,MATCH("升星次数",坦克属性分配比例标头,0),FALSE)*VLOOKUP(VLOOKUP($BJ41,坦克个性化设定!$B$18:$E$48,4,FALSE)&amp;$BK41,坦克属性分配比例,MATCH("升星比例",坦克属性分配比例标头,0),FALSE),0)</f>
        <v>536</v>
      </c>
      <c r="BR41" s="2">
        <f ca="1">ROUND(VLOOKUP($BJ41&amp;"初始",$S$3:$AE$63,MATCH(BR$3,$S$3:$AE$3,0),FALSE)+(VLOOKUP($BJ41&amp;"最终",$S$3:$AE$63,MATCH(BR$3,$S$3:$AE$3,0),FALSE)-VLOOKUP($BJ41&amp;"初始",$S$3:$AE$63,MATCH(BR$3,$S$3:$AE$3,0),FALSE))*$BL41/VLOOKUP(VLOOKUP($BJ41,坦克个性化设定!$B$18:$E$48,4,FALSE)&amp;$BK41,坦克属性分配比例,MATCH("升星次数",坦克属性分配比例标头,0),FALSE),0)</f>
        <v>156</v>
      </c>
      <c r="BS41" s="2">
        <f>ROUND(VLOOKUP($BJ41,$AI$3:$AO$33,MATCH(BS$3,$AI$3:$AO$3,0),FALSE)+$BL41/VLOOKUP(VLOOKUP($BJ41,坦克个性化设定!$B$18:$E$48,4,FALSE)&amp;$BK41,坦克属性分配比例,MATCH("升星次数",坦克属性分配比例标头,0),FALSE)*VLOOKUP($BJ41,$AR$3:$AY$33,MATCH(BS$3,$AR$3:$AY$3,0),FALSE),1)</f>
        <v>54.8</v>
      </c>
      <c r="BT41" s="2">
        <f>ROUND(VLOOKUP($BJ41,$AI$3:$AO$33,MATCH(BT$3,$AI$3:$AO$3,0),FALSE)+$BL41/VLOOKUP(VLOOKUP($BJ41,坦克个性化设定!$B$18:$E$48,4,FALSE)&amp;$BK41,坦克属性分配比例,MATCH("升星次数",坦克属性分配比例标头,0),FALSE)*VLOOKUP($BJ41,$AR$3:$AY$33,MATCH(BT$3,$AR$3:$AY$3,0),FALSE),1)</f>
        <v>52.3</v>
      </c>
      <c r="BU41" s="2">
        <f>ROUND(VLOOKUP($BJ41,$AI$3:$AO$33,MATCH(BU$3,$AI$3:$AO$3,0),FALSE)+$BL41/VLOOKUP(VLOOKUP($BJ41,坦克个性化设定!$B$18:$E$48,4,FALSE)&amp;$BK41,坦克属性分配比例,MATCH("升星次数",坦克属性分配比例标头,0),FALSE)*VLOOKUP($BJ41,$AR$3:$AY$33,MATCH(BU$3,$AR$3:$AY$3,0),FALSE),1)</f>
        <v>10.7</v>
      </c>
      <c r="BV41" s="2">
        <f>IF(VLOOKUP(BJ41,坦克个性化设定!$B$18:$BC$48,MATCH("装弹类型",坦克个性化设定!$B$18:$BC$18,0),FALSE)="弹夹换弹",0,ROUND(VLOOKUP($BJ41,$AI$3:$AO$33,MATCH("换弹时间",$AI$3:$AO$3,0),FALSE)-$BL41/VLOOKUP(VLOOKUP($BJ41,坦克个性化设定!$B$18:$E$48,4,FALSE)&amp;$BK41,坦克属性分配比例,MATCH("升星次数",坦克属性分配比例标头,0),FALSE)*VLOOKUP($BJ41,$AR$3:$AY$33,MATCH("换弹时间",$AR$3:$AY$3,0),FALSE),2))</f>
        <v>0</v>
      </c>
      <c r="BW41" s="2">
        <f>IF(VLOOKUP(BJ41,坦克个性化设定!$B$18:$BC$48,MATCH("装弹类型",坦克个性化设定!$B$18:$BC$18,0),FALSE)="弹夹换弹",ROUND(VLOOKUP($BJ41,$AI$3:$AO$33,MATCH("换弹时间",$AI$3:$AO$3,0),FALSE)-$BL41/VLOOKUP(VLOOKUP($BJ41,坦克个性化设定!$B$18:$E$48,4,FALSE)&amp;$BK41,坦克属性分配比例,MATCH("升星次数",坦克属性分配比例标头,0),FALSE)*VLOOKUP($BJ41,$AR$3:$AY$33,MATCH("换弹时间",$AR$3:$AY$3,0),FALSE),1),0)</f>
        <v>10.3</v>
      </c>
      <c r="BX41" s="2">
        <f>ROUND(VLOOKUP($BJ41,$AI$3:$AO$33,MATCH(BX$3,$AI$3:$AO$3,0),FALSE)+$BL41/VLOOKUP(VLOOKUP($BJ41,坦克个性化设定!$B$18:$E$48,4,FALSE)&amp;$BK41,坦克属性分配比例,MATCH("升星次数",坦克属性分配比例标头,0),FALSE)*VLOOKUP($BJ41,$AR$3:$AY$33,MATCH(BX$3,$AR$3:$AY$3,0),FALSE),2)</f>
        <v>0.6</v>
      </c>
      <c r="BY41" s="2">
        <f>ROUND(VLOOKUP($BJ41,$AI$3:$AO$33,MATCH(BY$3,$AI$3:$AO$3,0),FALSE)-$BL41/VLOOKUP(VLOOKUP($BJ41,坦克个性化设定!$B$18:$E$48,4,FALSE)&amp;$BK41,坦克属性分配比例,MATCH("升星次数",坦克属性分配比例标头,0),FALSE)*VLOOKUP($BJ41,$AR$3:$AY$33,MATCH(BY$3,$AR$3:$AY$3,0),FALSE),2)</f>
        <v>0.34</v>
      </c>
    </row>
    <row r="42" spans="2:87" x14ac:dyDescent="0.3">
      <c r="S42" s="2" t="str">
        <f t="shared" si="19"/>
        <v>挑战者初始</v>
      </c>
      <c r="T42" s="2">
        <f>IF(COUNTIF(U$4:U41,U41)&gt;=$B$3,T41+1,T41)</f>
        <v>20</v>
      </c>
      <c r="U42" s="2" t="str">
        <f t="shared" si="20"/>
        <v>挑战者</v>
      </c>
      <c r="V42" s="2" t="str">
        <f>VLOOKUP(U42,坦克个性化设定!$B$18:$F$48,5,FALSE)</f>
        <v>中坦自动</v>
      </c>
      <c r="W42" s="29" t="str">
        <f>VLOOKUP(U42,坦克个性化细分!$I$3:$J$33,2,FALSE)</f>
        <v>低</v>
      </c>
      <c r="X42" s="2" t="str">
        <f t="shared" si="21"/>
        <v>初始</v>
      </c>
      <c r="Y42" s="2" t="str">
        <f>VLOOKUP(VLOOKUP(U42,坦克个性化设定!$B$18:$F$48,4,FALSE)&amp;W42,坦克等级成长!$P$12:$U$24,MATCH(X42,坦克等级成长!$P$12:$U$12,0),FALSE)</f>
        <v>T5低5</v>
      </c>
      <c r="Z42" s="42">
        <f ca="1">VLOOKUP($Y42,INDIRECT($V42&amp;"_阶段属性"),MATCH(Z$3,属性标头_阶段属性,0),FALSE)*VLOOKUP($U42,坦克个性化设定!$B$84:$D$114,2,FALSE)</f>
        <v>2396.7828574850219</v>
      </c>
      <c r="AA42" s="42">
        <f ca="1">VLOOKUP($Y42,INDIRECT($V42&amp;"_阶段属性"),MATCH(AA$3,属性标头_阶段属性,0),FALSE)*VLOOKUP($U42,坦克个性化设定!$B$84:$D$114,3,FALSE)</f>
        <v>251.0445906607242</v>
      </c>
      <c r="AB42" s="2">
        <f t="shared" ca="1" si="18"/>
        <v>828</v>
      </c>
      <c r="AC42" s="2">
        <f t="shared" ca="1" si="18"/>
        <v>373</v>
      </c>
      <c r="AD42" s="2">
        <f t="shared" ca="1" si="18"/>
        <v>907</v>
      </c>
      <c r="AE42" s="2">
        <f t="shared" ca="1" si="18"/>
        <v>212</v>
      </c>
      <c r="AF42" s="25"/>
      <c r="BH42" s="2" t="str">
        <f t="shared" si="13"/>
        <v>十字军6</v>
      </c>
      <c r="BI42" s="2">
        <f>IF(BL41&gt;=VLOOKUP(VLOOKUP(BJ41,坦克个性化设定!$B$18:$E$48,4,FALSE)&amp;BK41,坦克属性分配比例,MATCH("升星次数",坦克属性分配比例标头,0),FALSE),BI41+1,BI41)</f>
        <v>5</v>
      </c>
      <c r="BJ42" s="2" t="str">
        <f t="shared" si="14"/>
        <v>十字军</v>
      </c>
      <c r="BK42" s="29" t="str">
        <f>VLOOKUP(BJ42,坦克个性化细分!$I$3:$J$33,2,FALSE)</f>
        <v>中</v>
      </c>
      <c r="BL42" s="2">
        <f t="shared" si="7"/>
        <v>6</v>
      </c>
      <c r="BM42" s="103">
        <f ca="1">ROUND(VLOOKUP($BJ42&amp;"初始",$S$3:$AE$63,MATCH(BM$3,$S$3:$AE$3,0),FALSE)+((VLOOKUP($BJ42&amp;"最终",$S$3:$AE$63,MATCH(BM$3,$S$3:$AE$3,0),FALSE)*坦克个性化细分!$C$9-VLOOKUP($BJ42&amp;"初始",$S$3:$AE$63,MATCH(BM$3,$S$3:$AE$3,0),FALSE))-(VLOOKUP($BJ42&amp;"最终",$S$3:$AE$63,MATCH(BM$3,$S$3:$AE$3,0),FALSE)-VLOOKUP($BJ42&amp;"初始",$S$3:$AE$63,MATCH(BM$3,$S$3:$AE$3,0),FALSE))*VLOOKUP(VLOOKUP($BJ42,坦克个性化设定!$B$18:$E$48,4,FALSE)&amp;$BK42,坦克属性分配比例,MATCH("部件比例",坦克属性分配比例标头,0),FALSE))*$BL42/VLOOKUP(VLOOKUP($BJ42,坦克个性化设定!$B$18:$E$48,4,FALSE)&amp;$BK42,坦克属性分配比例,MATCH("升星次数",坦克属性分配比例标头,0),FALSE),0)</f>
        <v>1693</v>
      </c>
      <c r="BN42" s="103">
        <f ca="1">ROUND(VLOOKUP($BJ42&amp;"初始",$S$3:$AE$63,MATCH(BN$3,$S$3:$AE$3,0),FALSE)+(VLOOKUP($BJ42&amp;"最终",$S$3:$AE$63,MATCH(BN$3,$S$3:$AE$3,0),FALSE)-VLOOKUP($BJ42&amp;"初始",$S$3:$AE$63,MATCH(BN$3,$S$3:$AE$3,0),FALSE))*$BL42/VLOOKUP(VLOOKUP($BJ42,坦克个性化设定!$B$18:$E$48,4,FALSE)&amp;$BK42,坦克属性分配比例,MATCH("升星次数",坦克属性分配比例标头,0),FALSE)*VLOOKUP(VLOOKUP($BJ42,坦克个性化设定!$B$18:$E$48,4,FALSE)&amp;$BK42,坦克属性分配比例,MATCH("升星比例",坦克属性分配比例标头,0),FALSE),0)</f>
        <v>86</v>
      </c>
      <c r="BO42" s="103">
        <f ca="1">ROUND(VLOOKUP($BJ42&amp;"初始",$S$3:$AE$63,MATCH(BO$3,$S$3:$AE$3,0),FALSE)+(VLOOKUP($BJ42&amp;"最终",$S$3:$AE$63,MATCH(BO$3,$S$3:$AE$3,0),FALSE)-VLOOKUP($BJ42&amp;"初始",$S$3:$AE$63,MATCH(BO$3,$S$3:$AE$3,0),FALSE))*$BL42/VLOOKUP(VLOOKUP($BJ42,坦克个性化设定!$B$18:$E$48,4,FALSE)&amp;$BK42,坦克属性分配比例,MATCH("升星次数",坦克属性分配比例标头,0),FALSE)*(VLOOKUP(VLOOKUP($BJ42,坦克个性化设定!$B$18:$E$48,4,FALSE)&amp;$BK42,坦克属性分配比例,MATCH("升星比例",坦克属性分配比例标头,0),FALSE)+VLOOKUP(VLOOKUP($BJ42,坦克个性化设定!$B$18:$E$48,4,FALSE)&amp;$BK42,坦克属性分配比例,MATCH("部件比例",坦克属性分配比例标头,0),FALSE)*$C$3),0)</f>
        <v>642</v>
      </c>
      <c r="BP42" s="103">
        <f ca="1">ROUND(VLOOKUP($BJ42&amp;"初始",$S$3:$AE$63,MATCH(BP$3,$S$3:$AE$3,0),FALSE)+(VLOOKUP($BJ42&amp;"最终",$S$3:$AE$63,MATCH(BP$3,$S$3:$AE$3,0),FALSE)-VLOOKUP($BJ42&amp;"初始",$S$3:$AE$63,MATCH(BP$3,$S$3:$AE$3,0),FALSE))*$BL42/VLOOKUP(VLOOKUP($BJ42,坦克个性化设定!$B$18:$E$48,4,FALSE)&amp;$BK42,坦克属性分配比例,MATCH("升星次数",坦克属性分配比例标头,0),FALSE)*(VLOOKUP(VLOOKUP($BJ42,坦克个性化设定!$B$18:$E$48,4,FALSE)&amp;$BK42,坦克属性分配比例,MATCH("升星比例",坦克属性分配比例标头,0),FALSE)+VLOOKUP(VLOOKUP($BJ42,坦克个性化设定!$B$18:$E$48,4,FALSE)&amp;$BK42,坦克属性分配比例,MATCH("部件比例",坦克属性分配比例标头,0),FALSE)*$C$3),0)</f>
        <v>257</v>
      </c>
      <c r="BQ42" s="103">
        <f ca="1">ROUND(VLOOKUP($BJ42&amp;"初始",$S$3:$AE$63,MATCH(BQ$3,$S$3:$AE$3,0),FALSE)+(VLOOKUP($BJ42&amp;"最终",$S$3:$AE$63,MATCH(BQ$3,$S$3:$AE$3,0),FALSE)-VLOOKUP($BJ42&amp;"初始",$S$3:$AE$63,MATCH(BQ$3,$S$3:$AE$3,0),FALSE))*$BL42/VLOOKUP(VLOOKUP($BJ42,坦克个性化设定!$B$18:$E$48,4,FALSE)&amp;$BK42,坦克属性分配比例,MATCH("升星次数",坦克属性分配比例标头,0),FALSE)*VLOOKUP(VLOOKUP($BJ42,坦克个性化设定!$B$18:$E$48,4,FALSE)&amp;$BK42,坦克属性分配比例,MATCH("升星比例",坦克属性分配比例标头,0),FALSE),0)</f>
        <v>551</v>
      </c>
      <c r="BR42" s="2">
        <f ca="1">ROUND(VLOOKUP($BJ42&amp;"初始",$S$3:$AE$63,MATCH(BR$3,$S$3:$AE$3,0),FALSE)+(VLOOKUP($BJ42&amp;"最终",$S$3:$AE$63,MATCH(BR$3,$S$3:$AE$3,0),FALSE)-VLOOKUP($BJ42&amp;"初始",$S$3:$AE$63,MATCH(BR$3,$S$3:$AE$3,0),FALSE))*$BL42/VLOOKUP(VLOOKUP($BJ42,坦克个性化设定!$B$18:$E$48,4,FALSE)&amp;$BK42,坦克属性分配比例,MATCH("升星次数",坦克属性分配比例标头,0),FALSE),0)</f>
        <v>162</v>
      </c>
      <c r="BS42" s="2">
        <f>ROUND(VLOOKUP($BJ42,$AI$3:$AO$33,MATCH(BS$3,$AI$3:$AO$3,0),FALSE)+$BL42/VLOOKUP(VLOOKUP($BJ42,坦克个性化设定!$B$18:$E$48,4,FALSE)&amp;$BK42,坦克属性分配比例,MATCH("升星次数",坦克属性分配比例标头,0),FALSE)*VLOOKUP($BJ42,$AR$3:$AY$33,MATCH(BS$3,$AR$3:$AY$3,0),FALSE),1)</f>
        <v>56.1</v>
      </c>
      <c r="BT42" s="2">
        <f>ROUND(VLOOKUP($BJ42,$AI$3:$AO$33,MATCH(BT$3,$AI$3:$AO$3,0),FALSE)+$BL42/VLOOKUP(VLOOKUP($BJ42,坦克个性化设定!$B$18:$E$48,4,FALSE)&amp;$BK42,坦克属性分配比例,MATCH("升星次数",坦克属性分配比例标头,0),FALSE)*VLOOKUP($BJ42,$AR$3:$AY$33,MATCH(BT$3,$AR$3:$AY$3,0),FALSE),1)</f>
        <v>53.6</v>
      </c>
      <c r="BU42" s="2">
        <f>ROUND(VLOOKUP($BJ42,$AI$3:$AO$33,MATCH(BU$3,$AI$3:$AO$3,0),FALSE)+$BL42/VLOOKUP(VLOOKUP($BJ42,坦克个性化设定!$B$18:$E$48,4,FALSE)&amp;$BK42,坦克属性分配比例,MATCH("升星次数",坦克属性分配比例标头,0),FALSE)*VLOOKUP($BJ42,$AR$3:$AY$33,MATCH(BU$3,$AR$3:$AY$3,0),FALSE),1)</f>
        <v>10.7</v>
      </c>
      <c r="BV42" s="2">
        <f>IF(VLOOKUP(BJ42,坦克个性化设定!$B$18:$BC$48,MATCH("装弹类型",坦克个性化设定!$B$18:$BC$18,0),FALSE)="弹夹换弹",0,ROUND(VLOOKUP($BJ42,$AI$3:$AO$33,MATCH("换弹时间",$AI$3:$AO$3,0),FALSE)-$BL42/VLOOKUP(VLOOKUP($BJ42,坦克个性化设定!$B$18:$E$48,4,FALSE)&amp;$BK42,坦克属性分配比例,MATCH("升星次数",坦克属性分配比例标头,0),FALSE)*VLOOKUP($BJ42,$AR$3:$AY$33,MATCH("换弹时间",$AR$3:$AY$3,0),FALSE),2))</f>
        <v>0</v>
      </c>
      <c r="BW42" s="2">
        <f>IF(VLOOKUP(BJ42,坦克个性化设定!$B$18:$BC$48,MATCH("装弹类型",坦克个性化设定!$B$18:$BC$18,0),FALSE)="弹夹换弹",ROUND(VLOOKUP($BJ42,$AI$3:$AO$33,MATCH("换弹时间",$AI$3:$AO$3,0),FALSE)-$BL42/VLOOKUP(VLOOKUP($BJ42,坦克个性化设定!$B$18:$E$48,4,FALSE)&amp;$BK42,坦克属性分配比例,MATCH("升星次数",坦克属性分配比例标头,0),FALSE)*VLOOKUP($BJ42,$AR$3:$AY$33,MATCH("换弹时间",$AR$3:$AY$3,0),FALSE),1),0)</f>
        <v>9.9</v>
      </c>
      <c r="BX42" s="2">
        <f>ROUND(VLOOKUP($BJ42,$AI$3:$AO$33,MATCH(BX$3,$AI$3:$AO$3,0),FALSE)+$BL42/VLOOKUP(VLOOKUP($BJ42,坦克个性化设定!$B$18:$E$48,4,FALSE)&amp;$BK42,坦克属性分配比例,MATCH("升星次数",坦克属性分配比例标头,0),FALSE)*VLOOKUP($BJ42,$AR$3:$AY$33,MATCH(BX$3,$AR$3:$AY$3,0),FALSE),2)</f>
        <v>0.6</v>
      </c>
      <c r="BY42" s="2">
        <f>ROUND(VLOOKUP($BJ42,$AI$3:$AO$33,MATCH(BY$3,$AI$3:$AO$3,0),FALSE)-$BL42/VLOOKUP(VLOOKUP($BJ42,坦克个性化设定!$B$18:$E$48,4,FALSE)&amp;$BK42,坦克属性分配比例,MATCH("升星次数",坦克属性分配比例标头,0),FALSE)*VLOOKUP($BJ42,$AR$3:$AY$33,MATCH(BY$3,$AR$3:$AY$3,0),FALSE),2)</f>
        <v>0.33</v>
      </c>
    </row>
    <row r="43" spans="2:87" x14ac:dyDescent="0.3">
      <c r="S43" s="2" t="str">
        <f t="shared" si="19"/>
        <v>挑战者最终</v>
      </c>
      <c r="T43" s="2">
        <f>IF(COUNTIF(U$4:U42,U42)&gt;=$B$3,T42+1,T42)</f>
        <v>20</v>
      </c>
      <c r="U43" s="2" t="str">
        <f t="shared" si="20"/>
        <v>挑战者</v>
      </c>
      <c r="V43" s="2" t="str">
        <f>VLOOKUP(U43,坦克个性化设定!$B$18:$F$48,5,FALSE)</f>
        <v>中坦自动</v>
      </c>
      <c r="W43" s="29" t="str">
        <f>VLOOKUP(U43,坦克个性化细分!$I$3:$J$33,2,FALSE)</f>
        <v>低</v>
      </c>
      <c r="X43" s="2" t="str">
        <f t="shared" si="21"/>
        <v>最终</v>
      </c>
      <c r="Y43" s="2" t="str">
        <f>VLOOKUP(VLOOKUP(U43,坦克个性化设定!$B$18:$F$48,4,FALSE)&amp;W43,坦克等级成长!$P$12:$U$24,MATCH(X43,坦克等级成长!$P$12:$U$12,0),FALSE)</f>
        <v>T5低8</v>
      </c>
      <c r="Z43" s="42" t="e">
        <f ca="1">VLOOKUP($Y43,INDIRECT($V43&amp;"_阶段属性"),MATCH(Z$3,属性标头_阶段属性,0),FALSE)*VLOOKUP($U43,坦克个性化设定!$B$84:$D$114,2,FALSE)</f>
        <v>#N/A</v>
      </c>
      <c r="AA43" s="42" t="e">
        <f ca="1">VLOOKUP($Y43,INDIRECT($V43&amp;"_阶段属性"),MATCH(AA$3,属性标头_阶段属性,0),FALSE)*VLOOKUP($U43,坦克个性化设定!$B$84:$D$114,3,FALSE)</f>
        <v>#N/A</v>
      </c>
      <c r="AB43" s="2" t="e">
        <f t="shared" ca="1" si="18"/>
        <v>#N/A</v>
      </c>
      <c r="AC43" s="2" t="e">
        <f t="shared" ca="1" si="18"/>
        <v>#N/A</v>
      </c>
      <c r="AD43" s="2" t="e">
        <f t="shared" ca="1" si="18"/>
        <v>#N/A</v>
      </c>
      <c r="AE43" s="2" t="e">
        <f t="shared" ca="1" si="18"/>
        <v>#N/A</v>
      </c>
      <c r="AF43" s="25"/>
      <c r="BH43" s="2" t="str">
        <f t="shared" si="13"/>
        <v>十字军7</v>
      </c>
      <c r="BI43" s="2">
        <f>IF(BL42&gt;=VLOOKUP(VLOOKUP(BJ42,坦克个性化设定!$B$18:$E$48,4,FALSE)&amp;BK42,坦克属性分配比例,MATCH("升星次数",坦克属性分配比例标头,0),FALSE),BI42+1,BI42)</f>
        <v>5</v>
      </c>
      <c r="BJ43" s="2" t="str">
        <f t="shared" si="14"/>
        <v>十字军</v>
      </c>
      <c r="BK43" s="29" t="str">
        <f>VLOOKUP(BJ43,坦克个性化细分!$I$3:$J$33,2,FALSE)</f>
        <v>中</v>
      </c>
      <c r="BL43" s="2">
        <f t="shared" si="7"/>
        <v>7</v>
      </c>
      <c r="BM43" s="103">
        <f ca="1">ROUND(VLOOKUP($BJ43&amp;"初始",$S$3:$AE$63,MATCH(BM$3,$S$3:$AE$3,0),FALSE)+((VLOOKUP($BJ43&amp;"最终",$S$3:$AE$63,MATCH(BM$3,$S$3:$AE$3,0),FALSE)*坦克个性化细分!$C$9-VLOOKUP($BJ43&amp;"初始",$S$3:$AE$63,MATCH(BM$3,$S$3:$AE$3,0),FALSE))-(VLOOKUP($BJ43&amp;"最终",$S$3:$AE$63,MATCH(BM$3,$S$3:$AE$3,0),FALSE)-VLOOKUP($BJ43&amp;"初始",$S$3:$AE$63,MATCH(BM$3,$S$3:$AE$3,0),FALSE))*VLOOKUP(VLOOKUP($BJ43,坦克个性化设定!$B$18:$E$48,4,FALSE)&amp;$BK43,坦克属性分配比例,MATCH("部件比例",坦克属性分配比例标头,0),FALSE))*$BL43/VLOOKUP(VLOOKUP($BJ43,坦克个性化设定!$B$18:$E$48,4,FALSE)&amp;$BK43,坦克属性分配比例,MATCH("升星次数",坦克属性分配比例标头,0),FALSE),0)</f>
        <v>1765</v>
      </c>
      <c r="BN43" s="103">
        <f ca="1">ROUND(VLOOKUP($BJ43&amp;"初始",$S$3:$AE$63,MATCH(BN$3,$S$3:$AE$3,0),FALSE)+(VLOOKUP($BJ43&amp;"最终",$S$3:$AE$63,MATCH(BN$3,$S$3:$AE$3,0),FALSE)-VLOOKUP($BJ43&amp;"初始",$S$3:$AE$63,MATCH(BN$3,$S$3:$AE$3,0),FALSE))*$BL43/VLOOKUP(VLOOKUP($BJ43,坦克个性化设定!$B$18:$E$48,4,FALSE)&amp;$BK43,坦克属性分配比例,MATCH("升星次数",坦克属性分配比例标头,0),FALSE)*VLOOKUP(VLOOKUP($BJ43,坦克个性化设定!$B$18:$E$48,4,FALSE)&amp;$BK43,坦克属性分配比例,MATCH("升星比例",坦克属性分配比例标头,0),FALSE),0)</f>
        <v>89</v>
      </c>
      <c r="BO43" s="103">
        <f ca="1">ROUND(VLOOKUP($BJ43&amp;"初始",$S$3:$AE$63,MATCH(BO$3,$S$3:$AE$3,0),FALSE)+(VLOOKUP($BJ43&amp;"最终",$S$3:$AE$63,MATCH(BO$3,$S$3:$AE$3,0),FALSE)-VLOOKUP($BJ43&amp;"初始",$S$3:$AE$63,MATCH(BO$3,$S$3:$AE$3,0),FALSE))*$BL43/VLOOKUP(VLOOKUP($BJ43,坦克个性化设定!$B$18:$E$48,4,FALSE)&amp;$BK43,坦克属性分配比例,MATCH("升星次数",坦克属性分配比例标头,0),FALSE)*(VLOOKUP(VLOOKUP($BJ43,坦克个性化设定!$B$18:$E$48,4,FALSE)&amp;$BK43,坦克属性分配比例,MATCH("升星比例",坦克属性分配比例标头,0),FALSE)+VLOOKUP(VLOOKUP($BJ43,坦克个性化设定!$B$18:$E$48,4,FALSE)&amp;$BK43,坦克属性分配比例,MATCH("部件比例",坦克属性分配比例标头,0),FALSE)*$C$3),0)</f>
        <v>665</v>
      </c>
      <c r="BP43" s="103">
        <f ca="1">ROUND(VLOOKUP($BJ43&amp;"初始",$S$3:$AE$63,MATCH(BP$3,$S$3:$AE$3,0),FALSE)+(VLOOKUP($BJ43&amp;"最终",$S$3:$AE$63,MATCH(BP$3,$S$3:$AE$3,0),FALSE)-VLOOKUP($BJ43&amp;"初始",$S$3:$AE$63,MATCH(BP$3,$S$3:$AE$3,0),FALSE))*$BL43/VLOOKUP(VLOOKUP($BJ43,坦克个性化设定!$B$18:$E$48,4,FALSE)&amp;$BK43,坦克属性分配比例,MATCH("升星次数",坦克属性分配比例标头,0),FALSE)*(VLOOKUP(VLOOKUP($BJ43,坦克个性化设定!$B$18:$E$48,4,FALSE)&amp;$BK43,坦克属性分配比例,MATCH("升星比例",坦克属性分配比例标头,0),FALSE)+VLOOKUP(VLOOKUP($BJ43,坦克个性化设定!$B$18:$E$48,4,FALSE)&amp;$BK43,坦克属性分配比例,MATCH("部件比例",坦克属性分配比例标头,0),FALSE)*$C$3),0)</f>
        <v>266</v>
      </c>
      <c r="BQ43" s="103">
        <f ca="1">ROUND(VLOOKUP($BJ43&amp;"初始",$S$3:$AE$63,MATCH(BQ$3,$S$3:$AE$3,0),FALSE)+(VLOOKUP($BJ43&amp;"最终",$S$3:$AE$63,MATCH(BQ$3,$S$3:$AE$3,0),FALSE)-VLOOKUP($BJ43&amp;"初始",$S$3:$AE$63,MATCH(BQ$3,$S$3:$AE$3,0),FALSE))*$BL43/VLOOKUP(VLOOKUP($BJ43,坦克个性化设定!$B$18:$E$48,4,FALSE)&amp;$BK43,坦克属性分配比例,MATCH("升星次数",坦克属性分配比例标头,0),FALSE)*VLOOKUP(VLOOKUP($BJ43,坦克个性化设定!$B$18:$E$48,4,FALSE)&amp;$BK43,坦克属性分配比例,MATCH("升星比例",坦克属性分配比例标头,0),FALSE),0)</f>
        <v>566</v>
      </c>
      <c r="BR43" s="2">
        <f ca="1">ROUND(VLOOKUP($BJ43&amp;"初始",$S$3:$AE$63,MATCH(BR$3,$S$3:$AE$3,0),FALSE)+(VLOOKUP($BJ43&amp;"最终",$S$3:$AE$63,MATCH(BR$3,$S$3:$AE$3,0),FALSE)-VLOOKUP($BJ43&amp;"初始",$S$3:$AE$63,MATCH(BR$3,$S$3:$AE$3,0),FALSE))*$BL43/VLOOKUP(VLOOKUP($BJ43,坦克个性化设定!$B$18:$E$48,4,FALSE)&amp;$BK43,坦克属性分配比例,MATCH("升星次数",坦克属性分配比例标头,0),FALSE),0)</f>
        <v>169</v>
      </c>
      <c r="BS43" s="2">
        <f>ROUND(VLOOKUP($BJ43,$AI$3:$AO$33,MATCH(BS$3,$AI$3:$AO$3,0),FALSE)+$BL43/VLOOKUP(VLOOKUP($BJ43,坦克个性化设定!$B$18:$E$48,4,FALSE)&amp;$BK43,坦克属性分配比例,MATCH("升星次数",坦克属性分配比例标头,0),FALSE)*VLOOKUP($BJ43,$AR$3:$AY$33,MATCH(BS$3,$AR$3:$AY$3,0),FALSE),1)</f>
        <v>57.5</v>
      </c>
      <c r="BT43" s="2">
        <f>ROUND(VLOOKUP($BJ43,$AI$3:$AO$33,MATCH(BT$3,$AI$3:$AO$3,0),FALSE)+$BL43/VLOOKUP(VLOOKUP($BJ43,坦克个性化设定!$B$18:$E$48,4,FALSE)&amp;$BK43,坦克属性分配比例,MATCH("升星次数",坦克属性分配比例标头,0),FALSE)*VLOOKUP($BJ43,$AR$3:$AY$33,MATCH(BT$3,$AR$3:$AY$3,0),FALSE),1)</f>
        <v>54.8</v>
      </c>
      <c r="BU43" s="2">
        <f>ROUND(VLOOKUP($BJ43,$AI$3:$AO$33,MATCH(BU$3,$AI$3:$AO$3,0),FALSE)+$BL43/VLOOKUP(VLOOKUP($BJ43,坦克个性化设定!$B$18:$E$48,4,FALSE)&amp;$BK43,坦克属性分配比例,MATCH("升星次数",坦克属性分配比例标头,0),FALSE)*VLOOKUP($BJ43,$AR$3:$AY$33,MATCH(BU$3,$AR$3:$AY$3,0),FALSE),1)</f>
        <v>10.7</v>
      </c>
      <c r="BV43" s="2">
        <f>IF(VLOOKUP(BJ43,坦克个性化设定!$B$18:$BC$48,MATCH("装弹类型",坦克个性化设定!$B$18:$BC$18,0),FALSE)="弹夹换弹",0,ROUND(VLOOKUP($BJ43,$AI$3:$AO$33,MATCH("换弹时间",$AI$3:$AO$3,0),FALSE)-$BL43/VLOOKUP(VLOOKUP($BJ43,坦克个性化设定!$B$18:$E$48,4,FALSE)&amp;$BK43,坦克属性分配比例,MATCH("升星次数",坦克属性分配比例标头,0),FALSE)*VLOOKUP($BJ43,$AR$3:$AY$33,MATCH("换弹时间",$AR$3:$AY$3,0),FALSE),2))</f>
        <v>0</v>
      </c>
      <c r="BW43" s="2">
        <f>IF(VLOOKUP(BJ43,坦克个性化设定!$B$18:$BC$48,MATCH("装弹类型",坦克个性化设定!$B$18:$BC$18,0),FALSE)="弹夹换弹",ROUND(VLOOKUP($BJ43,$AI$3:$AO$33,MATCH("换弹时间",$AI$3:$AO$3,0),FALSE)-$BL43/VLOOKUP(VLOOKUP($BJ43,坦克个性化设定!$B$18:$E$48,4,FALSE)&amp;$BK43,坦克属性分配比例,MATCH("升星次数",坦克属性分配比例标头,0),FALSE)*VLOOKUP($BJ43,$AR$3:$AY$33,MATCH("换弹时间",$AR$3:$AY$3,0),FALSE),1),0)</f>
        <v>9.4</v>
      </c>
      <c r="BX43" s="2">
        <f>ROUND(VLOOKUP($BJ43,$AI$3:$AO$33,MATCH(BX$3,$AI$3:$AO$3,0),FALSE)+$BL43/VLOOKUP(VLOOKUP($BJ43,坦克个性化设定!$B$18:$E$48,4,FALSE)&amp;$BK43,坦克属性分配比例,MATCH("升星次数",坦克属性分配比例标头,0),FALSE)*VLOOKUP($BJ43,$AR$3:$AY$33,MATCH(BX$3,$AR$3:$AY$3,0),FALSE),2)</f>
        <v>0.6</v>
      </c>
      <c r="BY43" s="2">
        <f>ROUND(VLOOKUP($BJ43,$AI$3:$AO$33,MATCH(BY$3,$AI$3:$AO$3,0),FALSE)-$BL43/VLOOKUP(VLOOKUP($BJ43,坦克个性化设定!$B$18:$E$48,4,FALSE)&amp;$BK43,坦克属性分配比例,MATCH("升星次数",坦克属性分配比例标头,0),FALSE)*VLOOKUP($BJ43,$AR$3:$AY$33,MATCH(BY$3,$AR$3:$AY$3,0),FALSE),2)</f>
        <v>0.33</v>
      </c>
    </row>
    <row r="44" spans="2:87" x14ac:dyDescent="0.3">
      <c r="S44" s="2" t="str">
        <f t="shared" si="19"/>
        <v>B-1初始</v>
      </c>
      <c r="T44" s="2">
        <f>IF(COUNTIF(U$4:U43,U43)&gt;=$B$3,T43+1,T43)</f>
        <v>21</v>
      </c>
      <c r="U44" s="2" t="str">
        <f t="shared" si="20"/>
        <v>B-1</v>
      </c>
      <c r="V44" s="2" t="str">
        <f>VLOOKUP(U44,坦克个性化设定!$B$18:$F$48,5,FALSE)</f>
        <v>重坦自动</v>
      </c>
      <c r="W44" s="29" t="str">
        <f>VLOOKUP(U44,坦克个性化细分!$I$3:$J$33,2,FALSE)</f>
        <v>低</v>
      </c>
      <c r="X44" s="2" t="str">
        <f t="shared" si="21"/>
        <v>初始</v>
      </c>
      <c r="Y44" s="2" t="str">
        <f>VLOOKUP(VLOOKUP(U44,坦克个性化设定!$B$18:$F$48,4,FALSE)&amp;W44,坦克等级成长!$P$12:$U$24,MATCH(X44,坦克等级成长!$P$12:$U$12,0),FALSE)</f>
        <v>T1低1</v>
      </c>
      <c r="Z44" s="42">
        <f ca="1">VLOOKUP($Y44,INDIRECT($V44&amp;"_阶段属性"),MATCH(Z$3,属性标头_阶段属性,0),FALSE)*VLOOKUP($U44,坦克个性化设定!$B$84:$D$114,2,FALSE)</f>
        <v>675.24615943373806</v>
      </c>
      <c r="AA44" s="42">
        <f ca="1">VLOOKUP($Y44,INDIRECT($V44&amp;"_阶段属性"),MATCH(AA$3,属性标头_阶段属性,0),FALSE)*VLOOKUP($U44,坦克个性化设定!$B$84:$D$114,3,FALSE)</f>
        <v>415.87380026888485</v>
      </c>
      <c r="AB44" s="2">
        <f t="shared" ref="AB44:AE63" ca="1" si="22">VLOOKUP($Y44,INDIRECT($V44&amp;"_阶段属性"),MATCH(AB$3,属性标头_阶段属性,0),FALSE)</f>
        <v>114</v>
      </c>
      <c r="AC44" s="2">
        <f t="shared" ca="1" si="22"/>
        <v>286</v>
      </c>
      <c r="AD44" s="2">
        <f t="shared" ca="1" si="22"/>
        <v>420</v>
      </c>
      <c r="AE44" s="2">
        <f t="shared" ca="1" si="22"/>
        <v>91</v>
      </c>
      <c r="AF44" s="25"/>
      <c r="BH44" s="2" t="str">
        <f t="shared" si="13"/>
        <v>十字军8</v>
      </c>
      <c r="BI44" s="2">
        <f>IF(BL43&gt;=VLOOKUP(VLOOKUP(BJ43,坦克个性化设定!$B$18:$E$48,4,FALSE)&amp;BK43,坦克属性分配比例,MATCH("升星次数",坦克属性分配比例标头,0),FALSE),BI43+1,BI43)</f>
        <v>5</v>
      </c>
      <c r="BJ44" s="2" t="str">
        <f t="shared" si="14"/>
        <v>十字军</v>
      </c>
      <c r="BK44" s="29" t="str">
        <f>VLOOKUP(BJ44,坦克个性化细分!$I$3:$J$33,2,FALSE)</f>
        <v>中</v>
      </c>
      <c r="BL44" s="2">
        <f t="shared" si="7"/>
        <v>8</v>
      </c>
      <c r="BM44" s="103">
        <f ca="1">ROUND(VLOOKUP($BJ44&amp;"初始",$S$3:$AE$63,MATCH(BM$3,$S$3:$AE$3,0),FALSE)+((VLOOKUP($BJ44&amp;"最终",$S$3:$AE$63,MATCH(BM$3,$S$3:$AE$3,0),FALSE)*坦克个性化细分!$C$9-VLOOKUP($BJ44&amp;"初始",$S$3:$AE$63,MATCH(BM$3,$S$3:$AE$3,0),FALSE))-(VLOOKUP($BJ44&amp;"最终",$S$3:$AE$63,MATCH(BM$3,$S$3:$AE$3,0),FALSE)-VLOOKUP($BJ44&amp;"初始",$S$3:$AE$63,MATCH(BM$3,$S$3:$AE$3,0),FALSE))*VLOOKUP(VLOOKUP($BJ44,坦克个性化设定!$B$18:$E$48,4,FALSE)&amp;$BK44,坦克属性分配比例,MATCH("部件比例",坦克属性分配比例标头,0),FALSE))*$BL44/VLOOKUP(VLOOKUP($BJ44,坦克个性化设定!$B$18:$E$48,4,FALSE)&amp;$BK44,坦克属性分配比例,MATCH("升星次数",坦克属性分配比例标头,0),FALSE),0)</f>
        <v>1837</v>
      </c>
      <c r="BN44" s="103">
        <f ca="1">ROUND(VLOOKUP($BJ44&amp;"初始",$S$3:$AE$63,MATCH(BN$3,$S$3:$AE$3,0),FALSE)+(VLOOKUP($BJ44&amp;"最终",$S$3:$AE$63,MATCH(BN$3,$S$3:$AE$3,0),FALSE)-VLOOKUP($BJ44&amp;"初始",$S$3:$AE$63,MATCH(BN$3,$S$3:$AE$3,0),FALSE))*$BL44/VLOOKUP(VLOOKUP($BJ44,坦克个性化设定!$B$18:$E$48,4,FALSE)&amp;$BK44,坦克属性分配比例,MATCH("升星次数",坦克属性分配比例标头,0),FALSE)*VLOOKUP(VLOOKUP($BJ44,坦克个性化设定!$B$18:$E$48,4,FALSE)&amp;$BK44,坦克属性分配比例,MATCH("升星比例",坦克属性分配比例标头,0),FALSE),0)</f>
        <v>91</v>
      </c>
      <c r="BO44" s="103">
        <f ca="1">ROUND(VLOOKUP($BJ44&amp;"初始",$S$3:$AE$63,MATCH(BO$3,$S$3:$AE$3,0),FALSE)+(VLOOKUP($BJ44&amp;"最终",$S$3:$AE$63,MATCH(BO$3,$S$3:$AE$3,0),FALSE)-VLOOKUP($BJ44&amp;"初始",$S$3:$AE$63,MATCH(BO$3,$S$3:$AE$3,0),FALSE))*$BL44/VLOOKUP(VLOOKUP($BJ44,坦克个性化设定!$B$18:$E$48,4,FALSE)&amp;$BK44,坦克属性分配比例,MATCH("升星次数",坦克属性分配比例标头,0),FALSE)*(VLOOKUP(VLOOKUP($BJ44,坦克个性化设定!$B$18:$E$48,4,FALSE)&amp;$BK44,坦克属性分配比例,MATCH("升星比例",坦克属性分配比例标头,0),FALSE)+VLOOKUP(VLOOKUP($BJ44,坦克个性化设定!$B$18:$E$48,4,FALSE)&amp;$BK44,坦克属性分配比例,MATCH("部件比例",坦克属性分配比例标头,0),FALSE)*$C$3),0)</f>
        <v>687</v>
      </c>
      <c r="BP44" s="103">
        <f ca="1">ROUND(VLOOKUP($BJ44&amp;"初始",$S$3:$AE$63,MATCH(BP$3,$S$3:$AE$3,0),FALSE)+(VLOOKUP($BJ44&amp;"最终",$S$3:$AE$63,MATCH(BP$3,$S$3:$AE$3,0),FALSE)-VLOOKUP($BJ44&amp;"初始",$S$3:$AE$63,MATCH(BP$3,$S$3:$AE$3,0),FALSE))*$BL44/VLOOKUP(VLOOKUP($BJ44,坦克个性化设定!$B$18:$E$48,4,FALSE)&amp;$BK44,坦克属性分配比例,MATCH("升星次数",坦克属性分配比例标头,0),FALSE)*(VLOOKUP(VLOOKUP($BJ44,坦克个性化设定!$B$18:$E$48,4,FALSE)&amp;$BK44,坦克属性分配比例,MATCH("升星比例",坦克属性分配比例标头,0),FALSE)+VLOOKUP(VLOOKUP($BJ44,坦克个性化设定!$B$18:$E$48,4,FALSE)&amp;$BK44,坦克属性分配比例,MATCH("部件比例",坦克属性分配比例标头,0),FALSE)*$C$3),0)</f>
        <v>275</v>
      </c>
      <c r="BQ44" s="103">
        <f ca="1">ROUND(VLOOKUP($BJ44&amp;"初始",$S$3:$AE$63,MATCH(BQ$3,$S$3:$AE$3,0),FALSE)+(VLOOKUP($BJ44&amp;"最终",$S$3:$AE$63,MATCH(BQ$3,$S$3:$AE$3,0),FALSE)-VLOOKUP($BJ44&amp;"初始",$S$3:$AE$63,MATCH(BQ$3,$S$3:$AE$3,0),FALSE))*$BL44/VLOOKUP(VLOOKUP($BJ44,坦克个性化设定!$B$18:$E$48,4,FALSE)&amp;$BK44,坦克属性分配比例,MATCH("升星次数",坦克属性分配比例标头,0),FALSE)*VLOOKUP(VLOOKUP($BJ44,坦克个性化设定!$B$18:$E$48,4,FALSE)&amp;$BK44,坦克属性分配比例,MATCH("升星比例",坦克属性分配比例标头,0),FALSE),0)</f>
        <v>580</v>
      </c>
      <c r="BR44" s="2">
        <f ca="1">ROUND(VLOOKUP($BJ44&amp;"初始",$S$3:$AE$63,MATCH(BR$3,$S$3:$AE$3,0),FALSE)+(VLOOKUP($BJ44&amp;"最终",$S$3:$AE$63,MATCH(BR$3,$S$3:$AE$3,0),FALSE)-VLOOKUP($BJ44&amp;"初始",$S$3:$AE$63,MATCH(BR$3,$S$3:$AE$3,0),FALSE))*$BL44/VLOOKUP(VLOOKUP($BJ44,坦克个性化设定!$B$18:$E$48,4,FALSE)&amp;$BK44,坦克属性分配比例,MATCH("升星次数",坦克属性分配比例标头,0),FALSE),0)</f>
        <v>175</v>
      </c>
      <c r="BS44" s="2">
        <f>ROUND(VLOOKUP($BJ44,$AI$3:$AO$33,MATCH(BS$3,$AI$3:$AO$3,0),FALSE)+$BL44/VLOOKUP(VLOOKUP($BJ44,坦克个性化设定!$B$18:$E$48,4,FALSE)&amp;$BK44,坦克属性分配比例,MATCH("升星次数",坦克属性分配比例标头,0),FALSE)*VLOOKUP($BJ44,$AR$3:$AY$33,MATCH(BS$3,$AR$3:$AY$3,0),FALSE),1)</f>
        <v>58.8</v>
      </c>
      <c r="BT44" s="2">
        <f>ROUND(VLOOKUP($BJ44,$AI$3:$AO$33,MATCH(BT$3,$AI$3:$AO$3,0),FALSE)+$BL44/VLOOKUP(VLOOKUP($BJ44,坦克个性化设定!$B$18:$E$48,4,FALSE)&amp;$BK44,坦克属性分配比例,MATCH("升星次数",坦克属性分配比例标头,0),FALSE)*VLOOKUP($BJ44,$AR$3:$AY$33,MATCH(BT$3,$AR$3:$AY$3,0),FALSE),1)</f>
        <v>56.1</v>
      </c>
      <c r="BU44" s="2">
        <f>ROUND(VLOOKUP($BJ44,$AI$3:$AO$33,MATCH(BU$3,$AI$3:$AO$3,0),FALSE)+$BL44/VLOOKUP(VLOOKUP($BJ44,坦克个性化设定!$B$18:$E$48,4,FALSE)&amp;$BK44,坦克属性分配比例,MATCH("升星次数",坦克属性分配比例标头,0),FALSE)*VLOOKUP($BJ44,$AR$3:$AY$33,MATCH(BU$3,$AR$3:$AY$3,0),FALSE),1)</f>
        <v>10.7</v>
      </c>
      <c r="BV44" s="2">
        <f>IF(VLOOKUP(BJ44,坦克个性化设定!$B$18:$BC$48,MATCH("装弹类型",坦克个性化设定!$B$18:$BC$18,0),FALSE)="弹夹换弹",0,ROUND(VLOOKUP($BJ44,$AI$3:$AO$33,MATCH("换弹时间",$AI$3:$AO$3,0),FALSE)-$BL44/VLOOKUP(VLOOKUP($BJ44,坦克个性化设定!$B$18:$E$48,4,FALSE)&amp;$BK44,坦克属性分配比例,MATCH("升星次数",坦克属性分配比例标头,0),FALSE)*VLOOKUP($BJ44,$AR$3:$AY$33,MATCH("换弹时间",$AR$3:$AY$3,0),FALSE),2))</f>
        <v>0</v>
      </c>
      <c r="BW44" s="2">
        <f>IF(VLOOKUP(BJ44,坦克个性化设定!$B$18:$BC$48,MATCH("装弹类型",坦克个性化设定!$B$18:$BC$18,0),FALSE)="弹夹换弹",ROUND(VLOOKUP($BJ44,$AI$3:$AO$33,MATCH("换弹时间",$AI$3:$AO$3,0),FALSE)-$BL44/VLOOKUP(VLOOKUP($BJ44,坦克个性化设定!$B$18:$E$48,4,FALSE)&amp;$BK44,坦克属性分配比例,MATCH("升星次数",坦克属性分配比例标头,0),FALSE)*VLOOKUP($BJ44,$AR$3:$AY$33,MATCH("换弹时间",$AR$3:$AY$3,0),FALSE),1),0)</f>
        <v>9</v>
      </c>
      <c r="BX44" s="2">
        <f>ROUND(VLOOKUP($BJ44,$AI$3:$AO$33,MATCH(BX$3,$AI$3:$AO$3,0),FALSE)+$BL44/VLOOKUP(VLOOKUP($BJ44,坦克个性化设定!$B$18:$E$48,4,FALSE)&amp;$BK44,坦克属性分配比例,MATCH("升星次数",坦克属性分配比例标头,0),FALSE)*VLOOKUP($BJ44,$AR$3:$AY$33,MATCH(BX$3,$AR$3:$AY$3,0),FALSE),2)</f>
        <v>0.6</v>
      </c>
      <c r="BY44" s="2">
        <f>ROUND(VLOOKUP($BJ44,$AI$3:$AO$33,MATCH(BY$3,$AI$3:$AO$3,0),FALSE)-$BL44/VLOOKUP(VLOOKUP($BJ44,坦克个性化设定!$B$18:$E$48,4,FALSE)&amp;$BK44,坦克属性分配比例,MATCH("升星次数",坦克属性分配比例标头,0),FALSE)*VLOOKUP($BJ44,$AR$3:$AY$33,MATCH(BY$3,$AR$3:$AY$3,0),FALSE),2)</f>
        <v>0.32</v>
      </c>
    </row>
    <row r="45" spans="2:87" x14ac:dyDescent="0.3">
      <c r="S45" s="2" t="str">
        <f t="shared" si="19"/>
        <v>B-1最终</v>
      </c>
      <c r="T45" s="2">
        <f>IF(COUNTIF(U$4:U44,U44)&gt;=$B$3,T44+1,T44)</f>
        <v>21</v>
      </c>
      <c r="U45" s="2" t="str">
        <f t="shared" si="20"/>
        <v>B-1</v>
      </c>
      <c r="V45" s="2" t="str">
        <f>VLOOKUP(U45,坦克个性化设定!$B$18:$F$48,5,FALSE)</f>
        <v>重坦自动</v>
      </c>
      <c r="W45" s="29" t="str">
        <f>VLOOKUP(U45,坦克个性化细分!$I$3:$J$33,2,FALSE)</f>
        <v>低</v>
      </c>
      <c r="X45" s="2" t="str">
        <f t="shared" si="21"/>
        <v>最终</v>
      </c>
      <c r="Y45" s="2" t="str">
        <f>VLOOKUP(VLOOKUP(U45,坦克个性化设定!$B$18:$F$48,4,FALSE)&amp;W45,坦克等级成长!$P$12:$U$24,MATCH(X45,坦克等级成长!$P$12:$U$12,0),FALSE)</f>
        <v>T1低3</v>
      </c>
      <c r="Z45" s="42">
        <f ca="1">VLOOKUP($Y45,INDIRECT($V45&amp;"_阶段属性"),MATCH(Z$3,属性标头_阶段属性,0),FALSE)*VLOOKUP($U45,坦克个性化设定!$B$84:$D$114,2,FALSE)</f>
        <v>1169.5698486238832</v>
      </c>
      <c r="AA45" s="42">
        <f ca="1">VLOOKUP($Y45,INDIRECT($V45&amp;"_阶段属性"),MATCH(AA$3,属性标头_阶段属性,0),FALSE)*VLOOKUP($U45,坦克个性化设定!$B$84:$D$114,3,FALSE)</f>
        <v>540.23477591199196</v>
      </c>
      <c r="AB45" s="2">
        <f t="shared" ca="1" si="22"/>
        <v>149</v>
      </c>
      <c r="AC45" s="2">
        <f t="shared" ca="1" si="22"/>
        <v>371</v>
      </c>
      <c r="AD45" s="2">
        <f t="shared" ca="1" si="22"/>
        <v>546</v>
      </c>
      <c r="AE45" s="2">
        <f t="shared" ca="1" si="22"/>
        <v>118</v>
      </c>
      <c r="AF45" s="25"/>
      <c r="BH45" s="2" t="str">
        <f t="shared" si="13"/>
        <v>十字军9</v>
      </c>
      <c r="BI45" s="2">
        <f>IF(BL44&gt;=VLOOKUP(VLOOKUP(BJ44,坦克个性化设定!$B$18:$E$48,4,FALSE)&amp;BK44,坦克属性分配比例,MATCH("升星次数",坦克属性分配比例标头,0),FALSE),BI44+1,BI44)</f>
        <v>5</v>
      </c>
      <c r="BJ45" s="2" t="str">
        <f t="shared" si="14"/>
        <v>十字军</v>
      </c>
      <c r="BK45" s="29" t="str">
        <f>VLOOKUP(BJ45,坦克个性化细分!$I$3:$J$33,2,FALSE)</f>
        <v>中</v>
      </c>
      <c r="BL45" s="2">
        <f t="shared" si="7"/>
        <v>9</v>
      </c>
      <c r="BM45" s="103">
        <f ca="1">ROUND(VLOOKUP($BJ45&amp;"初始",$S$3:$AE$63,MATCH(BM$3,$S$3:$AE$3,0),FALSE)+((VLOOKUP($BJ45&amp;"最终",$S$3:$AE$63,MATCH(BM$3,$S$3:$AE$3,0),FALSE)*坦克个性化细分!$C$9-VLOOKUP($BJ45&amp;"初始",$S$3:$AE$63,MATCH(BM$3,$S$3:$AE$3,0),FALSE))-(VLOOKUP($BJ45&amp;"最终",$S$3:$AE$63,MATCH(BM$3,$S$3:$AE$3,0),FALSE)-VLOOKUP($BJ45&amp;"初始",$S$3:$AE$63,MATCH(BM$3,$S$3:$AE$3,0),FALSE))*VLOOKUP(VLOOKUP($BJ45,坦克个性化设定!$B$18:$E$48,4,FALSE)&amp;$BK45,坦克属性分配比例,MATCH("部件比例",坦克属性分配比例标头,0),FALSE))*$BL45/VLOOKUP(VLOOKUP($BJ45,坦克个性化设定!$B$18:$E$48,4,FALSE)&amp;$BK45,坦克属性分配比例,MATCH("升星次数",坦克属性分配比例标头,0),FALSE),0)</f>
        <v>1908</v>
      </c>
      <c r="BN45" s="103">
        <f ca="1">ROUND(VLOOKUP($BJ45&amp;"初始",$S$3:$AE$63,MATCH(BN$3,$S$3:$AE$3,0),FALSE)+(VLOOKUP($BJ45&amp;"最终",$S$3:$AE$63,MATCH(BN$3,$S$3:$AE$3,0),FALSE)-VLOOKUP($BJ45&amp;"初始",$S$3:$AE$63,MATCH(BN$3,$S$3:$AE$3,0),FALSE))*$BL45/VLOOKUP(VLOOKUP($BJ45,坦克个性化设定!$B$18:$E$48,4,FALSE)&amp;$BK45,坦克属性分配比例,MATCH("升星次数",坦克属性分配比例标头,0),FALSE)*VLOOKUP(VLOOKUP($BJ45,坦克个性化设定!$B$18:$E$48,4,FALSE)&amp;$BK45,坦克属性分配比例,MATCH("升星比例",坦克属性分配比例标头,0),FALSE),0)</f>
        <v>93</v>
      </c>
      <c r="BO45" s="103">
        <f ca="1">ROUND(VLOOKUP($BJ45&amp;"初始",$S$3:$AE$63,MATCH(BO$3,$S$3:$AE$3,0),FALSE)+(VLOOKUP($BJ45&amp;"最终",$S$3:$AE$63,MATCH(BO$3,$S$3:$AE$3,0),FALSE)-VLOOKUP($BJ45&amp;"初始",$S$3:$AE$63,MATCH(BO$3,$S$3:$AE$3,0),FALSE))*$BL45/VLOOKUP(VLOOKUP($BJ45,坦克个性化设定!$B$18:$E$48,4,FALSE)&amp;$BK45,坦克属性分配比例,MATCH("升星次数",坦克属性分配比例标头,0),FALSE)*(VLOOKUP(VLOOKUP($BJ45,坦克个性化设定!$B$18:$E$48,4,FALSE)&amp;$BK45,坦克属性分配比例,MATCH("升星比例",坦克属性分配比例标头,0),FALSE)+VLOOKUP(VLOOKUP($BJ45,坦克个性化设定!$B$18:$E$48,4,FALSE)&amp;$BK45,坦克属性分配比例,MATCH("部件比例",坦克属性分配比例标头,0),FALSE)*$C$3),0)</f>
        <v>710</v>
      </c>
      <c r="BP45" s="103">
        <f ca="1">ROUND(VLOOKUP($BJ45&amp;"初始",$S$3:$AE$63,MATCH(BP$3,$S$3:$AE$3,0),FALSE)+(VLOOKUP($BJ45&amp;"最终",$S$3:$AE$63,MATCH(BP$3,$S$3:$AE$3,0),FALSE)-VLOOKUP($BJ45&amp;"初始",$S$3:$AE$63,MATCH(BP$3,$S$3:$AE$3,0),FALSE))*$BL45/VLOOKUP(VLOOKUP($BJ45,坦克个性化设定!$B$18:$E$48,4,FALSE)&amp;$BK45,坦克属性分配比例,MATCH("升星次数",坦克属性分配比例标头,0),FALSE)*(VLOOKUP(VLOOKUP($BJ45,坦克个性化设定!$B$18:$E$48,4,FALSE)&amp;$BK45,坦克属性分配比例,MATCH("升星比例",坦克属性分配比例标头,0),FALSE)+VLOOKUP(VLOOKUP($BJ45,坦克个性化设定!$B$18:$E$48,4,FALSE)&amp;$BK45,坦克属性分配比例,MATCH("部件比例",坦克属性分配比例标头,0),FALSE)*$C$3),0)</f>
        <v>284</v>
      </c>
      <c r="BQ45" s="103">
        <f ca="1">ROUND(VLOOKUP($BJ45&amp;"初始",$S$3:$AE$63,MATCH(BQ$3,$S$3:$AE$3,0),FALSE)+(VLOOKUP($BJ45&amp;"最终",$S$3:$AE$63,MATCH(BQ$3,$S$3:$AE$3,0),FALSE)-VLOOKUP($BJ45&amp;"初始",$S$3:$AE$63,MATCH(BQ$3,$S$3:$AE$3,0),FALSE))*$BL45/VLOOKUP(VLOOKUP($BJ45,坦克个性化设定!$B$18:$E$48,4,FALSE)&amp;$BK45,坦克属性分配比例,MATCH("升星次数",坦克属性分配比例标头,0),FALSE)*VLOOKUP(VLOOKUP($BJ45,坦克个性化设定!$B$18:$E$48,4,FALSE)&amp;$BK45,坦克属性分配比例,MATCH("升星比例",坦克属性分配比例标头,0),FALSE),0)</f>
        <v>595</v>
      </c>
      <c r="BR45" s="2">
        <f ca="1">ROUND(VLOOKUP($BJ45&amp;"初始",$S$3:$AE$63,MATCH(BR$3,$S$3:$AE$3,0),FALSE)+(VLOOKUP($BJ45&amp;"最终",$S$3:$AE$63,MATCH(BR$3,$S$3:$AE$3,0),FALSE)-VLOOKUP($BJ45&amp;"初始",$S$3:$AE$63,MATCH(BR$3,$S$3:$AE$3,0),FALSE))*$BL45/VLOOKUP(VLOOKUP($BJ45,坦克个性化设定!$B$18:$E$48,4,FALSE)&amp;$BK45,坦克属性分配比例,MATCH("升星次数",坦克属性分配比例标头,0),FALSE),0)</f>
        <v>182</v>
      </c>
      <c r="BS45" s="2">
        <f>ROUND(VLOOKUP($BJ45,$AI$3:$AO$33,MATCH(BS$3,$AI$3:$AO$3,0),FALSE)+$BL45/VLOOKUP(VLOOKUP($BJ45,坦克个性化设定!$B$18:$E$48,4,FALSE)&amp;$BK45,坦克属性分配比例,MATCH("升星次数",坦克属性分配比例标头,0),FALSE)*VLOOKUP($BJ45,$AR$3:$AY$33,MATCH(BS$3,$AR$3:$AY$3,0),FALSE),1)</f>
        <v>60.1</v>
      </c>
      <c r="BT45" s="2">
        <f>ROUND(VLOOKUP($BJ45,$AI$3:$AO$33,MATCH(BT$3,$AI$3:$AO$3,0),FALSE)+$BL45/VLOOKUP(VLOOKUP($BJ45,坦克个性化设定!$B$18:$E$48,4,FALSE)&amp;$BK45,坦克属性分配比例,MATCH("升星次数",坦克属性分配比例标头,0),FALSE)*VLOOKUP($BJ45,$AR$3:$AY$33,MATCH(BT$3,$AR$3:$AY$3,0),FALSE),1)</f>
        <v>57.4</v>
      </c>
      <c r="BU45" s="2">
        <f>ROUND(VLOOKUP($BJ45,$AI$3:$AO$33,MATCH(BU$3,$AI$3:$AO$3,0),FALSE)+$BL45/VLOOKUP(VLOOKUP($BJ45,坦克个性化设定!$B$18:$E$48,4,FALSE)&amp;$BK45,坦克属性分配比例,MATCH("升星次数",坦克属性分配比例标头,0),FALSE)*VLOOKUP($BJ45,$AR$3:$AY$33,MATCH(BU$3,$AR$3:$AY$3,0),FALSE),1)</f>
        <v>10.7</v>
      </c>
      <c r="BV45" s="2">
        <f>IF(VLOOKUP(BJ45,坦克个性化设定!$B$18:$BC$48,MATCH("装弹类型",坦克个性化设定!$B$18:$BC$18,0),FALSE)="弹夹换弹",0,ROUND(VLOOKUP($BJ45,$AI$3:$AO$33,MATCH("换弹时间",$AI$3:$AO$3,0),FALSE)-$BL45/VLOOKUP(VLOOKUP($BJ45,坦克个性化设定!$B$18:$E$48,4,FALSE)&amp;$BK45,坦克属性分配比例,MATCH("升星次数",坦克属性分配比例标头,0),FALSE)*VLOOKUP($BJ45,$AR$3:$AY$33,MATCH("换弹时间",$AR$3:$AY$3,0),FALSE),2))</f>
        <v>0</v>
      </c>
      <c r="BW45" s="2">
        <f>IF(VLOOKUP(BJ45,坦克个性化设定!$B$18:$BC$48,MATCH("装弹类型",坦克个性化设定!$B$18:$BC$18,0),FALSE)="弹夹换弹",ROUND(VLOOKUP($BJ45,$AI$3:$AO$33,MATCH("换弹时间",$AI$3:$AO$3,0),FALSE)-$BL45/VLOOKUP(VLOOKUP($BJ45,坦克个性化设定!$B$18:$E$48,4,FALSE)&amp;$BK45,坦克属性分配比例,MATCH("升星次数",坦克属性分配比例标头,0),FALSE)*VLOOKUP($BJ45,$AR$3:$AY$33,MATCH("换弹时间",$AR$3:$AY$3,0),FALSE),1),0)</f>
        <v>8.5</v>
      </c>
      <c r="BX45" s="2">
        <f>ROUND(VLOOKUP($BJ45,$AI$3:$AO$33,MATCH(BX$3,$AI$3:$AO$3,0),FALSE)+$BL45/VLOOKUP(VLOOKUP($BJ45,坦克个性化设定!$B$18:$E$48,4,FALSE)&amp;$BK45,坦克属性分配比例,MATCH("升星次数",坦克属性分配比例标头,0),FALSE)*VLOOKUP($BJ45,$AR$3:$AY$33,MATCH(BX$3,$AR$3:$AY$3,0),FALSE),2)</f>
        <v>0.6</v>
      </c>
      <c r="BY45" s="2">
        <f>ROUND(VLOOKUP($BJ45,$AI$3:$AO$33,MATCH(BY$3,$AI$3:$AO$3,0),FALSE)-$BL45/VLOOKUP(VLOOKUP($BJ45,坦克个性化设定!$B$18:$E$48,4,FALSE)&amp;$BK45,坦克属性分配比例,MATCH("升星次数",坦克属性分配比例标头,0),FALSE)*VLOOKUP($BJ45,$AR$3:$AY$33,MATCH(BY$3,$AR$3:$AY$3,0),FALSE),2)</f>
        <v>0.31</v>
      </c>
    </row>
    <row r="46" spans="2:87" x14ac:dyDescent="0.3">
      <c r="S46" s="2" t="str">
        <f t="shared" si="19"/>
        <v>KV-1初始</v>
      </c>
      <c r="T46" s="2">
        <f>IF(COUNTIF(U$4:U45,U45)&gt;=$B$3,T45+1,T45)</f>
        <v>22</v>
      </c>
      <c r="U46" s="2" t="str">
        <f t="shared" si="20"/>
        <v>KV-1</v>
      </c>
      <c r="V46" s="2" t="str">
        <f>VLOOKUP(U46,坦克个性化设定!$B$18:$F$48,5,FALSE)</f>
        <v>重坦自动</v>
      </c>
      <c r="W46" s="29" t="str">
        <f>VLOOKUP(U46,坦克个性化细分!$I$3:$J$33,2,FALSE)</f>
        <v>低</v>
      </c>
      <c r="X46" s="2" t="str">
        <f t="shared" si="21"/>
        <v>初始</v>
      </c>
      <c r="Y46" s="2" t="str">
        <f>VLOOKUP(VLOOKUP(U46,坦克个性化设定!$B$18:$F$48,4,FALSE)&amp;W46,坦克等级成长!$P$12:$U$24,MATCH(X46,坦克等级成长!$P$12:$U$12,0),FALSE)</f>
        <v>T2低2</v>
      </c>
      <c r="Z46" s="42">
        <f ca="1">VLOOKUP($Y46,INDIRECT($V46&amp;"_阶段属性"),MATCH(Z$3,属性标头_阶段属性,0),FALSE)*VLOOKUP($U46,坦克个性化设定!$B$84:$D$114,2,FALSE)</f>
        <v>1028.8352056952988</v>
      </c>
      <c r="AA46" s="42">
        <f ca="1">VLOOKUP($Y46,INDIRECT($V46&amp;"_阶段属性"),MATCH(AA$3,属性标头_阶段属性,0),FALSE)*VLOOKUP($U46,坦克个性化设定!$B$84:$D$114,3,FALSE)</f>
        <v>326.57200330395312</v>
      </c>
      <c r="AB46" s="2">
        <f t="shared" ca="1" si="22"/>
        <v>137</v>
      </c>
      <c r="AC46" s="2">
        <f t="shared" ca="1" si="22"/>
        <v>343</v>
      </c>
      <c r="AD46" s="2">
        <f t="shared" ca="1" si="22"/>
        <v>504</v>
      </c>
      <c r="AE46" s="2">
        <f t="shared" ca="1" si="22"/>
        <v>109</v>
      </c>
      <c r="AF46" s="25"/>
      <c r="BH46" s="2" t="str">
        <f t="shared" si="13"/>
        <v>AMX-130</v>
      </c>
      <c r="BI46" s="2">
        <f>IF(BL45&gt;=VLOOKUP(VLOOKUP(BJ45,坦克个性化设定!$B$18:$E$48,4,FALSE)&amp;BK45,坦克属性分配比例,MATCH("升星次数",坦克属性分配比例标头,0),FALSE),BI45+1,BI45)</f>
        <v>6</v>
      </c>
      <c r="BJ46" s="2" t="str">
        <f t="shared" si="14"/>
        <v>AMX-13</v>
      </c>
      <c r="BK46" s="29" t="str">
        <f>VLOOKUP(BJ46,坦克个性化细分!$I$3:$J$33,2,FALSE)</f>
        <v>高</v>
      </c>
      <c r="BL46" s="2">
        <f t="shared" si="7"/>
        <v>0</v>
      </c>
      <c r="BM46" s="103">
        <f ca="1">ROUND(VLOOKUP($BJ46&amp;"初始",$S$3:$AE$63,MATCH(BM$3,$S$3:$AE$3,0),FALSE)+((VLOOKUP($BJ46&amp;"最终",$S$3:$AE$63,MATCH(BM$3,$S$3:$AE$3,0),FALSE)*坦克个性化细分!$C$9-VLOOKUP($BJ46&amp;"初始",$S$3:$AE$63,MATCH(BM$3,$S$3:$AE$3,0),FALSE))-(VLOOKUP($BJ46&amp;"最终",$S$3:$AE$63,MATCH(BM$3,$S$3:$AE$3,0),FALSE)-VLOOKUP($BJ46&amp;"初始",$S$3:$AE$63,MATCH(BM$3,$S$3:$AE$3,0),FALSE))*VLOOKUP(VLOOKUP($BJ46,坦克个性化设定!$B$18:$E$48,4,FALSE)&amp;$BK46,坦克属性分配比例,MATCH("部件比例",坦克属性分配比例标头,0),FALSE))*$BL46/VLOOKUP(VLOOKUP($BJ46,坦克个性化设定!$B$18:$E$48,4,FALSE)&amp;$BK46,坦克属性分配比例,MATCH("升星次数",坦克属性分配比例标头,0),FALSE),0)</f>
        <v>1168</v>
      </c>
      <c r="BN46" s="103">
        <f ca="1">ROUND(VLOOKUP($BJ46&amp;"初始",$S$3:$AE$63,MATCH(BN$3,$S$3:$AE$3,0),FALSE)+(VLOOKUP($BJ46&amp;"最终",$S$3:$AE$63,MATCH(BN$3,$S$3:$AE$3,0),FALSE)-VLOOKUP($BJ46&amp;"初始",$S$3:$AE$63,MATCH(BN$3,$S$3:$AE$3,0),FALSE))*$BL46/VLOOKUP(VLOOKUP($BJ46,坦克个性化设定!$B$18:$E$48,4,FALSE)&amp;$BK46,坦克属性分配比例,MATCH("升星次数",坦克属性分配比例标头,0),FALSE)*VLOOKUP(VLOOKUP($BJ46,坦克个性化设定!$B$18:$E$48,4,FALSE)&amp;$BK46,坦克属性分配比例,MATCH("升星比例",坦克属性分配比例标头,0),FALSE),0)</f>
        <v>100</v>
      </c>
      <c r="BO46" s="103">
        <f ca="1">ROUND(VLOOKUP($BJ46&amp;"初始",$S$3:$AE$63,MATCH(BO$3,$S$3:$AE$3,0),FALSE)+(VLOOKUP($BJ46&amp;"最终",$S$3:$AE$63,MATCH(BO$3,$S$3:$AE$3,0),FALSE)-VLOOKUP($BJ46&amp;"初始",$S$3:$AE$63,MATCH(BO$3,$S$3:$AE$3,0),FALSE))*$BL46/VLOOKUP(VLOOKUP($BJ46,坦克个性化设定!$B$18:$E$48,4,FALSE)&amp;$BK46,坦克属性分配比例,MATCH("升星次数",坦克属性分配比例标头,0),FALSE)*(VLOOKUP(VLOOKUP($BJ46,坦克个性化设定!$B$18:$E$48,4,FALSE)&amp;$BK46,坦克属性分配比例,MATCH("升星比例",坦克属性分配比例标头,0),FALSE)+VLOOKUP(VLOOKUP($BJ46,坦克个性化设定!$B$18:$E$48,4,FALSE)&amp;$BK46,坦克属性分配比例,MATCH("部件比例",坦克属性分配比例标头,0),FALSE)*$C$3),0)</f>
        <v>506</v>
      </c>
      <c r="BP46" s="103">
        <f ca="1">ROUND(VLOOKUP($BJ46&amp;"初始",$S$3:$AE$63,MATCH(BP$3,$S$3:$AE$3,0),FALSE)+(VLOOKUP($BJ46&amp;"最终",$S$3:$AE$63,MATCH(BP$3,$S$3:$AE$3,0),FALSE)-VLOOKUP($BJ46&amp;"初始",$S$3:$AE$63,MATCH(BP$3,$S$3:$AE$3,0),FALSE))*$BL46/VLOOKUP(VLOOKUP($BJ46,坦克个性化设定!$B$18:$E$48,4,FALSE)&amp;$BK46,坦克属性分配比例,MATCH("升星次数",坦克属性分配比例标头,0),FALSE)*(VLOOKUP(VLOOKUP($BJ46,坦克个性化设定!$B$18:$E$48,4,FALSE)&amp;$BK46,坦克属性分配比例,MATCH("升星比例",坦克属性分配比例标头,0),FALSE)+VLOOKUP(VLOOKUP($BJ46,坦克个性化设定!$B$18:$E$48,4,FALSE)&amp;$BK46,坦克属性分配比例,MATCH("部件比例",坦克属性分配比例标头,0),FALSE)*$C$3),0)</f>
        <v>202</v>
      </c>
      <c r="BQ46" s="103">
        <f ca="1">ROUND(VLOOKUP($BJ46&amp;"初始",$S$3:$AE$63,MATCH(BQ$3,$S$3:$AE$3,0),FALSE)+(VLOOKUP($BJ46&amp;"最终",$S$3:$AE$63,MATCH(BQ$3,$S$3:$AE$3,0),FALSE)-VLOOKUP($BJ46&amp;"初始",$S$3:$AE$63,MATCH(BQ$3,$S$3:$AE$3,0),FALSE))*$BL46/VLOOKUP(VLOOKUP($BJ46,坦克个性化设定!$B$18:$E$48,4,FALSE)&amp;$BK46,坦克属性分配比例,MATCH("升星次数",坦克属性分配比例标头,0),FALSE)*VLOOKUP(VLOOKUP($BJ46,坦克个性化设定!$B$18:$E$48,4,FALSE)&amp;$BK46,坦克属性分配比例,MATCH("升星比例",坦克属性分配比例标头,0),FALSE),0)</f>
        <v>462</v>
      </c>
      <c r="BR46" s="2">
        <f ca="1">ROUND(VLOOKUP($BJ46&amp;"初始",$S$3:$AE$63,MATCH(BR$3,$S$3:$AE$3,0),FALSE)+(VLOOKUP($BJ46&amp;"最终",$S$3:$AE$63,MATCH(BR$3,$S$3:$AE$3,0),FALSE)-VLOOKUP($BJ46&amp;"初始",$S$3:$AE$63,MATCH(BR$3,$S$3:$AE$3,0),FALSE))*$BL46/VLOOKUP(VLOOKUP($BJ46,坦克个性化设定!$B$18:$E$48,4,FALSE)&amp;$BK46,坦克属性分配比例,MATCH("升星次数",坦克属性分配比例标头,0),FALSE),0)</f>
        <v>123</v>
      </c>
      <c r="BS46" s="2">
        <f>ROUND(VLOOKUP($BJ46,$AI$3:$AO$33,MATCH(BS$3,$AI$3:$AO$3,0),FALSE)+$BL46/VLOOKUP(VLOOKUP($BJ46,坦克个性化设定!$B$18:$E$48,4,FALSE)&amp;$BK46,坦克属性分配比例,MATCH("升星次数",坦克属性分配比例标头,0),FALSE)*VLOOKUP($BJ46,$AR$3:$AY$33,MATCH(BS$3,$AR$3:$AY$3,0),FALSE),1)</f>
        <v>39.6</v>
      </c>
      <c r="BT46" s="2">
        <f>ROUND(VLOOKUP($BJ46,$AI$3:$AO$33,MATCH(BT$3,$AI$3:$AO$3,0),FALSE)+$BL46/VLOOKUP(VLOOKUP($BJ46,坦克个性化设定!$B$18:$E$48,4,FALSE)&amp;$BK46,坦克属性分配比例,MATCH("升星次数",坦克属性分配比例标头,0),FALSE)*VLOOKUP($BJ46,$AR$3:$AY$33,MATCH(BT$3,$AR$3:$AY$3,0),FALSE),1)</f>
        <v>59.1</v>
      </c>
      <c r="BU46" s="2">
        <f>ROUND(VLOOKUP($BJ46,$AI$3:$AO$33,MATCH(BU$3,$AI$3:$AO$3,0),FALSE)+$BL46/VLOOKUP(VLOOKUP($BJ46,坦克个性化设定!$B$18:$E$48,4,FALSE)&amp;$BK46,坦克属性分配比例,MATCH("升星次数",坦克属性分配比例标头,0),FALSE)*VLOOKUP($BJ46,$AR$3:$AY$33,MATCH(BU$3,$AR$3:$AY$3,0),FALSE),1)</f>
        <v>9.9</v>
      </c>
      <c r="BV46" s="2">
        <f>IF(VLOOKUP(BJ46,坦克个性化设定!$B$18:$BC$48,MATCH("装弹类型",坦克个性化设定!$B$18:$BC$18,0),FALSE)="弹夹换弹",0,ROUND(VLOOKUP($BJ46,$AI$3:$AO$33,MATCH("换弹时间",$AI$3:$AO$3,0),FALSE)-$BL46/VLOOKUP(VLOOKUP($BJ46,坦克个性化设定!$B$18:$E$48,4,FALSE)&amp;$BK46,坦克属性分配比例,MATCH("升星次数",坦克属性分配比例标头,0),FALSE)*VLOOKUP($BJ46,$AR$3:$AY$33,MATCH("换弹时间",$AR$3:$AY$3,0),FALSE),2))</f>
        <v>0</v>
      </c>
      <c r="BW46" s="2">
        <f>IF(VLOOKUP(BJ46,坦克个性化设定!$B$18:$BC$48,MATCH("装弹类型",坦克个性化设定!$B$18:$BC$18,0),FALSE)="弹夹换弹",ROUND(VLOOKUP($BJ46,$AI$3:$AO$33,MATCH("换弹时间",$AI$3:$AO$3,0),FALSE)-$BL46/VLOOKUP(VLOOKUP($BJ46,坦克个性化设定!$B$18:$E$48,4,FALSE)&amp;$BK46,坦克属性分配比例,MATCH("升星次数",坦克属性分配比例标头,0),FALSE)*VLOOKUP($BJ46,$AR$3:$AY$33,MATCH("换弹时间",$AR$3:$AY$3,0),FALSE),1),0)</f>
        <v>9.8000000000000007</v>
      </c>
      <c r="BX46" s="2">
        <f>ROUND(VLOOKUP($BJ46,$AI$3:$AO$33,MATCH(BX$3,$AI$3:$AO$3,0),FALSE)+$BL46/VLOOKUP(VLOOKUP($BJ46,坦克个性化设定!$B$18:$E$48,4,FALSE)&amp;$BK46,坦克属性分配比例,MATCH("升星次数",坦克属性分配比例标头,0),FALSE)*VLOOKUP($BJ46,$AR$3:$AY$33,MATCH(BX$3,$AR$3:$AY$3,0),FALSE),2)</f>
        <v>0.8</v>
      </c>
      <c r="BY46" s="2">
        <f>ROUND(VLOOKUP($BJ46,$AI$3:$AO$33,MATCH(BY$3,$AI$3:$AO$3,0),FALSE)-$BL46/VLOOKUP(VLOOKUP($BJ46,坦克个性化设定!$B$18:$E$48,4,FALSE)&amp;$BK46,坦克属性分配比例,MATCH("升星次数",坦克属性分配比例标头,0),FALSE)*VLOOKUP($BJ46,$AR$3:$AY$33,MATCH(BY$3,$AR$3:$AY$3,0),FALSE),2)</f>
        <v>0.48</v>
      </c>
    </row>
    <row r="47" spans="2:87" x14ac:dyDescent="0.3">
      <c r="S47" s="2" t="str">
        <f t="shared" si="19"/>
        <v>KV-1最终</v>
      </c>
      <c r="T47" s="2">
        <f>IF(COUNTIF(U$4:U46,U46)&gt;=$B$3,T46+1,T46)</f>
        <v>22</v>
      </c>
      <c r="U47" s="2" t="str">
        <f t="shared" si="20"/>
        <v>KV-1</v>
      </c>
      <c r="V47" s="2" t="str">
        <f>VLOOKUP(U47,坦克个性化设定!$B$18:$F$48,5,FALSE)</f>
        <v>重坦自动</v>
      </c>
      <c r="W47" s="29" t="str">
        <f>VLOOKUP(U47,坦克个性化细分!$I$3:$J$33,2,FALSE)</f>
        <v>低</v>
      </c>
      <c r="X47" s="2" t="str">
        <f t="shared" si="21"/>
        <v>最终</v>
      </c>
      <c r="Y47" s="2" t="str">
        <f>VLOOKUP(VLOOKUP(U47,坦克个性化设定!$B$18:$F$48,4,FALSE)&amp;W47,坦克等级成长!$P$12:$U$24,MATCH(X47,坦克等级成长!$P$12:$U$12,0),FALSE)</f>
        <v>T2低4</v>
      </c>
      <c r="Z47" s="42">
        <f ca="1">VLOOKUP($Y47,INDIRECT($V47&amp;"_阶段属性"),MATCH(Z$3,属性标头_阶段属性,0),FALSE)*VLOOKUP($U47,坦克个性化设定!$B$84:$D$114,2,FALSE)</f>
        <v>1430.2150485131108</v>
      </c>
      <c r="AA47" s="42">
        <f ca="1">VLOOKUP($Y47,INDIRECT($V47&amp;"_阶段属性"),MATCH(AA$3,属性标头_阶段属性,0),FALSE)*VLOOKUP($U47,坦克个性化设定!$B$84:$D$114,3,FALSE)</f>
        <v>462.27886794768699</v>
      </c>
      <c r="AB47" s="2">
        <f t="shared" ca="1" si="22"/>
        <v>194</v>
      </c>
      <c r="AC47" s="2">
        <f t="shared" ca="1" si="22"/>
        <v>486</v>
      </c>
      <c r="AD47" s="2">
        <f t="shared" ca="1" si="22"/>
        <v>714</v>
      </c>
      <c r="AE47" s="2">
        <f t="shared" ca="1" si="22"/>
        <v>155</v>
      </c>
      <c r="AF47" s="25"/>
      <c r="BH47" s="2" t="str">
        <f t="shared" si="13"/>
        <v>AMX-131</v>
      </c>
      <c r="BI47" s="2">
        <f>IF(BL46&gt;=VLOOKUP(VLOOKUP(BJ46,坦克个性化设定!$B$18:$E$48,4,FALSE)&amp;BK46,坦克属性分配比例,MATCH("升星次数",坦克属性分配比例标头,0),FALSE),BI46+1,BI46)</f>
        <v>6</v>
      </c>
      <c r="BJ47" s="2" t="str">
        <f t="shared" si="14"/>
        <v>AMX-13</v>
      </c>
      <c r="BK47" s="29" t="str">
        <f>VLOOKUP(BJ47,坦克个性化细分!$I$3:$J$33,2,FALSE)</f>
        <v>高</v>
      </c>
      <c r="BL47" s="2">
        <f t="shared" si="7"/>
        <v>1</v>
      </c>
      <c r="BM47" s="103">
        <f ca="1">ROUND(VLOOKUP($BJ47&amp;"初始",$S$3:$AE$63,MATCH(BM$3,$S$3:$AE$3,0),FALSE)+((VLOOKUP($BJ47&amp;"最终",$S$3:$AE$63,MATCH(BM$3,$S$3:$AE$3,0),FALSE)*坦克个性化细分!$C$9-VLOOKUP($BJ47&amp;"初始",$S$3:$AE$63,MATCH(BM$3,$S$3:$AE$3,0),FALSE))-(VLOOKUP($BJ47&amp;"最终",$S$3:$AE$63,MATCH(BM$3,$S$3:$AE$3,0),FALSE)-VLOOKUP($BJ47&amp;"初始",$S$3:$AE$63,MATCH(BM$3,$S$3:$AE$3,0),FALSE))*VLOOKUP(VLOOKUP($BJ47,坦克个性化设定!$B$18:$E$48,4,FALSE)&amp;$BK47,坦克属性分配比例,MATCH("部件比例",坦克属性分配比例标头,0),FALSE))*$BL47/VLOOKUP(VLOOKUP($BJ47,坦克个性化设定!$B$18:$E$48,4,FALSE)&amp;$BK47,坦克属性分配比例,MATCH("升星次数",坦克属性分配比例标头,0),FALSE),0)</f>
        <v>1235</v>
      </c>
      <c r="BN47" s="103">
        <f ca="1">ROUND(VLOOKUP($BJ47&amp;"初始",$S$3:$AE$63,MATCH(BN$3,$S$3:$AE$3,0),FALSE)+(VLOOKUP($BJ47&amp;"最终",$S$3:$AE$63,MATCH(BN$3,$S$3:$AE$3,0),FALSE)-VLOOKUP($BJ47&amp;"初始",$S$3:$AE$63,MATCH(BN$3,$S$3:$AE$3,0),FALSE))*$BL47/VLOOKUP(VLOOKUP($BJ47,坦克个性化设定!$B$18:$E$48,4,FALSE)&amp;$BK47,坦克属性分配比例,MATCH("升星次数",坦克属性分配比例标头,0),FALSE)*VLOOKUP(VLOOKUP($BJ47,坦克个性化设定!$B$18:$E$48,4,FALSE)&amp;$BK47,坦克属性分配比例,MATCH("升星比例",坦克属性分配比例标头,0),FALSE),0)</f>
        <v>103</v>
      </c>
      <c r="BO47" s="103">
        <f ca="1">ROUND(VLOOKUP($BJ47&amp;"初始",$S$3:$AE$63,MATCH(BO$3,$S$3:$AE$3,0),FALSE)+(VLOOKUP($BJ47&amp;"最终",$S$3:$AE$63,MATCH(BO$3,$S$3:$AE$3,0),FALSE)-VLOOKUP($BJ47&amp;"初始",$S$3:$AE$63,MATCH(BO$3,$S$3:$AE$3,0),FALSE))*$BL47/VLOOKUP(VLOOKUP($BJ47,坦克个性化设定!$B$18:$E$48,4,FALSE)&amp;$BK47,坦克属性分配比例,MATCH("升星次数",坦克属性分配比例标头,0),FALSE)*(VLOOKUP(VLOOKUP($BJ47,坦克个性化设定!$B$18:$E$48,4,FALSE)&amp;$BK47,坦克属性分配比例,MATCH("升星比例",坦克属性分配比例标头,0),FALSE)+VLOOKUP(VLOOKUP($BJ47,坦克个性化设定!$B$18:$E$48,4,FALSE)&amp;$BK47,坦克属性分配比例,MATCH("部件比例",坦克属性分配比例标头,0),FALSE)*$C$3),0)</f>
        <v>530</v>
      </c>
      <c r="BP47" s="103">
        <f ca="1">ROUND(VLOOKUP($BJ47&amp;"初始",$S$3:$AE$63,MATCH(BP$3,$S$3:$AE$3,0),FALSE)+(VLOOKUP($BJ47&amp;"最终",$S$3:$AE$63,MATCH(BP$3,$S$3:$AE$3,0),FALSE)-VLOOKUP($BJ47&amp;"初始",$S$3:$AE$63,MATCH(BP$3,$S$3:$AE$3,0),FALSE))*$BL47/VLOOKUP(VLOOKUP($BJ47,坦克个性化设定!$B$18:$E$48,4,FALSE)&amp;$BK47,坦克属性分配比例,MATCH("升星次数",坦克属性分配比例标头,0),FALSE)*(VLOOKUP(VLOOKUP($BJ47,坦克个性化设定!$B$18:$E$48,4,FALSE)&amp;$BK47,坦克属性分配比例,MATCH("升星比例",坦克属性分配比例标头,0),FALSE)+VLOOKUP(VLOOKUP($BJ47,坦克个性化设定!$B$18:$E$48,4,FALSE)&amp;$BK47,坦克属性分配比例,MATCH("部件比例",坦克属性分配比例标头,0),FALSE)*$C$3),0)</f>
        <v>212</v>
      </c>
      <c r="BQ47" s="103">
        <f ca="1">ROUND(VLOOKUP($BJ47&amp;"初始",$S$3:$AE$63,MATCH(BQ$3,$S$3:$AE$3,0),FALSE)+(VLOOKUP($BJ47&amp;"最终",$S$3:$AE$63,MATCH(BQ$3,$S$3:$AE$3,0),FALSE)-VLOOKUP($BJ47&amp;"初始",$S$3:$AE$63,MATCH(BQ$3,$S$3:$AE$3,0),FALSE))*$BL47/VLOOKUP(VLOOKUP($BJ47,坦克个性化设定!$B$18:$E$48,4,FALSE)&amp;$BK47,坦克属性分配比例,MATCH("升星次数",坦克属性分配比例标头,0),FALSE)*VLOOKUP(VLOOKUP($BJ47,坦克个性化设定!$B$18:$E$48,4,FALSE)&amp;$BK47,坦克属性分配比例,MATCH("升星比例",坦克属性分配比例标头,0),FALSE),0)</f>
        <v>478</v>
      </c>
      <c r="BR47" s="2">
        <f ca="1">ROUND(VLOOKUP($BJ47&amp;"初始",$S$3:$AE$63,MATCH(BR$3,$S$3:$AE$3,0),FALSE)+(VLOOKUP($BJ47&amp;"最终",$S$3:$AE$63,MATCH(BR$3,$S$3:$AE$3,0),FALSE)-VLOOKUP($BJ47&amp;"初始",$S$3:$AE$63,MATCH(BR$3,$S$3:$AE$3,0),FALSE))*$BL47/VLOOKUP(VLOOKUP($BJ47,坦克个性化设定!$B$18:$E$48,4,FALSE)&amp;$BK47,坦克属性分配比例,MATCH("升星次数",坦克属性分配比例标头,0),FALSE),0)</f>
        <v>130</v>
      </c>
      <c r="BS47" s="2">
        <f>ROUND(VLOOKUP($BJ47,$AI$3:$AO$33,MATCH(BS$3,$AI$3:$AO$3,0),FALSE)+$BL47/VLOOKUP(VLOOKUP($BJ47,坦克个性化设定!$B$18:$E$48,4,FALSE)&amp;$BK47,坦克属性分配比例,MATCH("升星次数",坦克属性分配比例标头,0),FALSE)*VLOOKUP($BJ47,$AR$3:$AY$33,MATCH(BS$3,$AR$3:$AY$3,0),FALSE),1)</f>
        <v>40.700000000000003</v>
      </c>
      <c r="BT47" s="2">
        <f>ROUND(VLOOKUP($BJ47,$AI$3:$AO$33,MATCH(BT$3,$AI$3:$AO$3,0),FALSE)+$BL47/VLOOKUP(VLOOKUP($BJ47,坦克个性化设定!$B$18:$E$48,4,FALSE)&amp;$BK47,坦克属性分配比例,MATCH("升星次数",坦克属性分配比例标头,0),FALSE)*VLOOKUP($BJ47,$AR$3:$AY$33,MATCH(BT$3,$AR$3:$AY$3,0),FALSE),1)</f>
        <v>60.7</v>
      </c>
      <c r="BU47" s="2">
        <f>ROUND(VLOOKUP($BJ47,$AI$3:$AO$33,MATCH(BU$3,$AI$3:$AO$3,0),FALSE)+$BL47/VLOOKUP(VLOOKUP($BJ47,坦克个性化设定!$B$18:$E$48,4,FALSE)&amp;$BK47,坦克属性分配比例,MATCH("升星次数",坦克属性分配比例标头,0),FALSE)*VLOOKUP($BJ47,$AR$3:$AY$33,MATCH(BU$3,$AR$3:$AY$3,0),FALSE),1)</f>
        <v>9.9</v>
      </c>
      <c r="BV47" s="2">
        <f>IF(VLOOKUP(BJ47,坦克个性化设定!$B$18:$BC$48,MATCH("装弹类型",坦克个性化设定!$B$18:$BC$18,0),FALSE)="弹夹换弹",0,ROUND(VLOOKUP($BJ47,$AI$3:$AO$33,MATCH("换弹时间",$AI$3:$AO$3,0),FALSE)-$BL47/VLOOKUP(VLOOKUP($BJ47,坦克个性化设定!$B$18:$E$48,4,FALSE)&amp;$BK47,坦克属性分配比例,MATCH("升星次数",坦克属性分配比例标头,0),FALSE)*VLOOKUP($BJ47,$AR$3:$AY$33,MATCH("换弹时间",$AR$3:$AY$3,0),FALSE),2))</f>
        <v>0</v>
      </c>
      <c r="BW47" s="2">
        <f>IF(VLOOKUP(BJ47,坦克个性化设定!$B$18:$BC$48,MATCH("装弹类型",坦克个性化设定!$B$18:$BC$18,0),FALSE)="弹夹换弹",ROUND(VLOOKUP($BJ47,$AI$3:$AO$33,MATCH("换弹时间",$AI$3:$AO$3,0),FALSE)-$BL47/VLOOKUP(VLOOKUP($BJ47,坦克个性化设定!$B$18:$E$48,4,FALSE)&amp;$BK47,坦克属性分配比例,MATCH("升星次数",坦克属性分配比例标头,0),FALSE)*VLOOKUP($BJ47,$AR$3:$AY$33,MATCH("换弹时间",$AR$3:$AY$3,0),FALSE),1),0)</f>
        <v>9.4</v>
      </c>
      <c r="BX47" s="2">
        <f>ROUND(VLOOKUP($BJ47,$AI$3:$AO$33,MATCH(BX$3,$AI$3:$AO$3,0),FALSE)+$BL47/VLOOKUP(VLOOKUP($BJ47,坦克个性化设定!$B$18:$E$48,4,FALSE)&amp;$BK47,坦克属性分配比例,MATCH("升星次数",坦克属性分配比例标头,0),FALSE)*VLOOKUP($BJ47,$AR$3:$AY$33,MATCH(BX$3,$AR$3:$AY$3,0),FALSE),2)</f>
        <v>0.8</v>
      </c>
      <c r="BY47" s="2">
        <f>ROUND(VLOOKUP($BJ47,$AI$3:$AO$33,MATCH(BY$3,$AI$3:$AO$3,0),FALSE)-$BL47/VLOOKUP(VLOOKUP($BJ47,坦克个性化设定!$B$18:$E$48,4,FALSE)&amp;$BK47,坦克属性分配比例,MATCH("升星次数",坦克属性分配比例标头,0),FALSE)*VLOOKUP($BJ47,$AR$3:$AY$33,MATCH(BY$3,$AR$3:$AY$3,0),FALSE),2)</f>
        <v>0.47</v>
      </c>
    </row>
    <row r="48" spans="2:87" x14ac:dyDescent="0.3">
      <c r="S48" s="2" t="str">
        <f t="shared" si="19"/>
        <v>丘吉尔初始</v>
      </c>
      <c r="T48" s="2">
        <f>IF(COUNTIF(U$4:U47,U47)&gt;=$B$3,T47+1,T47)</f>
        <v>23</v>
      </c>
      <c r="U48" s="2" t="str">
        <f t="shared" si="20"/>
        <v>丘吉尔</v>
      </c>
      <c r="V48" s="2" t="str">
        <f>VLOOKUP(U48,坦克个性化设定!$B$18:$F$48,5,FALSE)</f>
        <v>重坦单发</v>
      </c>
      <c r="W48" s="29" t="str">
        <f>VLOOKUP(U48,坦克个性化细分!$I$3:$J$33,2,FALSE)</f>
        <v>中</v>
      </c>
      <c r="X48" s="2" t="str">
        <f t="shared" si="21"/>
        <v>初始</v>
      </c>
      <c r="Y48" s="2" t="str">
        <f>VLOOKUP(VLOOKUP(U48,坦克个性化设定!$B$18:$F$48,4,FALSE)&amp;W48,坦克等级成长!$P$12:$U$24,MATCH(X48,坦克等级成长!$P$12:$U$12,0),FALSE)</f>
        <v>T2中2</v>
      </c>
      <c r="Z48" s="42">
        <f ca="1">VLOOKUP($Y48,INDIRECT($V48&amp;"_阶段属性"),MATCH(Z$3,属性标头_阶段属性,0),FALSE)*VLOOKUP($U48,坦克个性化设定!$B$84:$D$114,2,FALSE)</f>
        <v>1079.4128840729986</v>
      </c>
      <c r="AA48" s="42">
        <f ca="1">VLOOKUP($Y48,INDIRECT($V48&amp;"_阶段属性"),MATCH(AA$3,属性标头_阶段属性,0),FALSE)*VLOOKUP($U48,坦克个性化设定!$B$84:$D$114,3,FALSE)</f>
        <v>520.33842497845887</v>
      </c>
      <c r="AB48" s="2">
        <f t="shared" ca="1" si="22"/>
        <v>153</v>
      </c>
      <c r="AC48" s="2">
        <f t="shared" ca="1" si="22"/>
        <v>383</v>
      </c>
      <c r="AD48" s="2">
        <f t="shared" ca="1" si="22"/>
        <v>512</v>
      </c>
      <c r="AE48" s="2">
        <f t="shared" ca="1" si="22"/>
        <v>111</v>
      </c>
      <c r="AF48" s="25"/>
      <c r="BH48" s="2" t="str">
        <f t="shared" si="13"/>
        <v>AMX-132</v>
      </c>
      <c r="BI48" s="2">
        <f>IF(BL47&gt;=VLOOKUP(VLOOKUP(BJ47,坦克个性化设定!$B$18:$E$48,4,FALSE)&amp;BK47,坦克属性分配比例,MATCH("升星次数",坦克属性分配比例标头,0),FALSE),BI47+1,BI47)</f>
        <v>6</v>
      </c>
      <c r="BJ48" s="2" t="str">
        <f t="shared" si="14"/>
        <v>AMX-13</v>
      </c>
      <c r="BK48" s="29" t="str">
        <f>VLOOKUP(BJ48,坦克个性化细分!$I$3:$J$33,2,FALSE)</f>
        <v>高</v>
      </c>
      <c r="BL48" s="2">
        <f t="shared" si="7"/>
        <v>2</v>
      </c>
      <c r="BM48" s="103">
        <f ca="1">ROUND(VLOOKUP($BJ48&amp;"初始",$S$3:$AE$63,MATCH(BM$3,$S$3:$AE$3,0),FALSE)+((VLOOKUP($BJ48&amp;"最终",$S$3:$AE$63,MATCH(BM$3,$S$3:$AE$3,0),FALSE)*坦克个性化细分!$C$9-VLOOKUP($BJ48&amp;"初始",$S$3:$AE$63,MATCH(BM$3,$S$3:$AE$3,0),FALSE))-(VLOOKUP($BJ48&amp;"最终",$S$3:$AE$63,MATCH(BM$3,$S$3:$AE$3,0),FALSE)-VLOOKUP($BJ48&amp;"初始",$S$3:$AE$63,MATCH(BM$3,$S$3:$AE$3,0),FALSE))*VLOOKUP(VLOOKUP($BJ48,坦克个性化设定!$B$18:$E$48,4,FALSE)&amp;$BK48,坦克属性分配比例,MATCH("部件比例",坦克属性分配比例标头,0),FALSE))*$BL48/VLOOKUP(VLOOKUP($BJ48,坦克个性化设定!$B$18:$E$48,4,FALSE)&amp;$BK48,坦克属性分配比例,MATCH("升星次数",坦克属性分配比例标头,0),FALSE),0)</f>
        <v>1301</v>
      </c>
      <c r="BN48" s="103">
        <f ca="1">ROUND(VLOOKUP($BJ48&amp;"初始",$S$3:$AE$63,MATCH(BN$3,$S$3:$AE$3,0),FALSE)+(VLOOKUP($BJ48&amp;"最终",$S$3:$AE$63,MATCH(BN$3,$S$3:$AE$3,0),FALSE)-VLOOKUP($BJ48&amp;"初始",$S$3:$AE$63,MATCH(BN$3,$S$3:$AE$3,0),FALSE))*$BL48/VLOOKUP(VLOOKUP($BJ48,坦克个性化设定!$B$18:$E$48,4,FALSE)&amp;$BK48,坦克属性分配比例,MATCH("升星次数",坦克属性分配比例标头,0),FALSE)*VLOOKUP(VLOOKUP($BJ48,坦克个性化设定!$B$18:$E$48,4,FALSE)&amp;$BK48,坦克属性分配比例,MATCH("升星比例",坦克属性分配比例标头,0),FALSE),0)</f>
        <v>106</v>
      </c>
      <c r="BO48" s="103">
        <f ca="1">ROUND(VLOOKUP($BJ48&amp;"初始",$S$3:$AE$63,MATCH(BO$3,$S$3:$AE$3,0),FALSE)+(VLOOKUP($BJ48&amp;"最终",$S$3:$AE$63,MATCH(BO$3,$S$3:$AE$3,0),FALSE)-VLOOKUP($BJ48&amp;"初始",$S$3:$AE$63,MATCH(BO$3,$S$3:$AE$3,0),FALSE))*$BL48/VLOOKUP(VLOOKUP($BJ48,坦克个性化设定!$B$18:$E$48,4,FALSE)&amp;$BK48,坦克属性分配比例,MATCH("升星次数",坦克属性分配比例标头,0),FALSE)*(VLOOKUP(VLOOKUP($BJ48,坦克个性化设定!$B$18:$E$48,4,FALSE)&amp;$BK48,坦克属性分配比例,MATCH("升星比例",坦克属性分配比例标头,0),FALSE)+VLOOKUP(VLOOKUP($BJ48,坦克个性化设定!$B$18:$E$48,4,FALSE)&amp;$BK48,坦克属性分配比例,MATCH("部件比例",坦克属性分配比例标头,0),FALSE)*$C$3),0)</f>
        <v>555</v>
      </c>
      <c r="BP48" s="103">
        <f ca="1">ROUND(VLOOKUP($BJ48&amp;"初始",$S$3:$AE$63,MATCH(BP$3,$S$3:$AE$3,0),FALSE)+(VLOOKUP($BJ48&amp;"最终",$S$3:$AE$63,MATCH(BP$3,$S$3:$AE$3,0),FALSE)-VLOOKUP($BJ48&amp;"初始",$S$3:$AE$63,MATCH(BP$3,$S$3:$AE$3,0),FALSE))*$BL48/VLOOKUP(VLOOKUP($BJ48,坦克个性化设定!$B$18:$E$48,4,FALSE)&amp;$BK48,坦克属性分配比例,MATCH("升星次数",坦克属性分配比例标头,0),FALSE)*(VLOOKUP(VLOOKUP($BJ48,坦克个性化设定!$B$18:$E$48,4,FALSE)&amp;$BK48,坦克属性分配比例,MATCH("升星比例",坦克属性分配比例标头,0),FALSE)+VLOOKUP(VLOOKUP($BJ48,坦克个性化设定!$B$18:$E$48,4,FALSE)&amp;$BK48,坦克属性分配比例,MATCH("部件比例",坦克属性分配比例标头,0),FALSE)*$C$3),0)</f>
        <v>221</v>
      </c>
      <c r="BQ48" s="103">
        <f ca="1">ROUND(VLOOKUP($BJ48&amp;"初始",$S$3:$AE$63,MATCH(BQ$3,$S$3:$AE$3,0),FALSE)+(VLOOKUP($BJ48&amp;"最终",$S$3:$AE$63,MATCH(BQ$3,$S$3:$AE$3,0),FALSE)-VLOOKUP($BJ48&amp;"初始",$S$3:$AE$63,MATCH(BQ$3,$S$3:$AE$3,0),FALSE))*$BL48/VLOOKUP(VLOOKUP($BJ48,坦克个性化设定!$B$18:$E$48,4,FALSE)&amp;$BK48,坦克属性分配比例,MATCH("升星次数",坦克属性分配比例标头,0),FALSE)*VLOOKUP(VLOOKUP($BJ48,坦克个性化设定!$B$18:$E$48,4,FALSE)&amp;$BK48,坦克属性分配比例,MATCH("升星比例",坦克属性分配比例标头,0),FALSE),0)</f>
        <v>494</v>
      </c>
      <c r="BR48" s="2">
        <f ca="1">ROUND(VLOOKUP($BJ48&amp;"初始",$S$3:$AE$63,MATCH(BR$3,$S$3:$AE$3,0),FALSE)+(VLOOKUP($BJ48&amp;"最终",$S$3:$AE$63,MATCH(BR$3,$S$3:$AE$3,0),FALSE)-VLOOKUP($BJ48&amp;"初始",$S$3:$AE$63,MATCH(BR$3,$S$3:$AE$3,0),FALSE))*$BL48/VLOOKUP(VLOOKUP($BJ48,坦克个性化设定!$B$18:$E$48,4,FALSE)&amp;$BK48,坦克属性分配比例,MATCH("升星次数",坦克属性分配比例标头,0),FALSE),0)</f>
        <v>137</v>
      </c>
      <c r="BS48" s="2">
        <f>ROUND(VLOOKUP($BJ48,$AI$3:$AO$33,MATCH(BS$3,$AI$3:$AO$3,0),FALSE)+$BL48/VLOOKUP(VLOOKUP($BJ48,坦克个性化设定!$B$18:$E$48,4,FALSE)&amp;$BK48,坦克属性分配比例,MATCH("升星次数",坦克属性分配比例标头,0),FALSE)*VLOOKUP($BJ48,$AR$3:$AY$33,MATCH(BS$3,$AR$3:$AY$3,0),FALSE),1)</f>
        <v>41.8</v>
      </c>
      <c r="BT48" s="2">
        <f>ROUND(VLOOKUP($BJ48,$AI$3:$AO$33,MATCH(BT$3,$AI$3:$AO$3,0),FALSE)+$BL48/VLOOKUP(VLOOKUP($BJ48,坦克个性化设定!$B$18:$E$48,4,FALSE)&amp;$BK48,坦克属性分配比例,MATCH("升星次数",坦克属性分配比例标头,0),FALSE)*VLOOKUP($BJ48,$AR$3:$AY$33,MATCH(BT$3,$AR$3:$AY$3,0),FALSE),1)</f>
        <v>62.4</v>
      </c>
      <c r="BU48" s="2">
        <f>ROUND(VLOOKUP($BJ48,$AI$3:$AO$33,MATCH(BU$3,$AI$3:$AO$3,0),FALSE)+$BL48/VLOOKUP(VLOOKUP($BJ48,坦克个性化设定!$B$18:$E$48,4,FALSE)&amp;$BK48,坦克属性分配比例,MATCH("升星次数",坦克属性分配比例标头,0),FALSE)*VLOOKUP($BJ48,$AR$3:$AY$33,MATCH(BU$3,$AR$3:$AY$3,0),FALSE),1)</f>
        <v>9.9</v>
      </c>
      <c r="BV48" s="2">
        <f>IF(VLOOKUP(BJ48,坦克个性化设定!$B$18:$BC$48,MATCH("装弹类型",坦克个性化设定!$B$18:$BC$18,0),FALSE)="弹夹换弹",0,ROUND(VLOOKUP($BJ48,$AI$3:$AO$33,MATCH("换弹时间",$AI$3:$AO$3,0),FALSE)-$BL48/VLOOKUP(VLOOKUP($BJ48,坦克个性化设定!$B$18:$E$48,4,FALSE)&amp;$BK48,坦克属性分配比例,MATCH("升星次数",坦克属性分配比例标头,0),FALSE)*VLOOKUP($BJ48,$AR$3:$AY$33,MATCH("换弹时间",$AR$3:$AY$3,0),FALSE),2))</f>
        <v>0</v>
      </c>
      <c r="BW48" s="2">
        <f>IF(VLOOKUP(BJ48,坦克个性化设定!$B$18:$BC$48,MATCH("装弹类型",坦克个性化设定!$B$18:$BC$18,0),FALSE)="弹夹换弹",ROUND(VLOOKUP($BJ48,$AI$3:$AO$33,MATCH("换弹时间",$AI$3:$AO$3,0),FALSE)-$BL48/VLOOKUP(VLOOKUP($BJ48,坦克个性化设定!$B$18:$E$48,4,FALSE)&amp;$BK48,坦克属性分配比例,MATCH("升星次数",坦克属性分配比例标头,0),FALSE)*VLOOKUP($BJ48,$AR$3:$AY$33,MATCH("换弹时间",$AR$3:$AY$3,0),FALSE),1),0)</f>
        <v>9</v>
      </c>
      <c r="BX48" s="2">
        <f>ROUND(VLOOKUP($BJ48,$AI$3:$AO$33,MATCH(BX$3,$AI$3:$AO$3,0),FALSE)+$BL48/VLOOKUP(VLOOKUP($BJ48,坦克个性化设定!$B$18:$E$48,4,FALSE)&amp;$BK48,坦克属性分配比例,MATCH("升星次数",坦克属性分配比例标头,0),FALSE)*VLOOKUP($BJ48,$AR$3:$AY$33,MATCH(BX$3,$AR$3:$AY$3,0),FALSE),2)</f>
        <v>0.8</v>
      </c>
      <c r="BY48" s="2">
        <f>ROUND(VLOOKUP($BJ48,$AI$3:$AO$33,MATCH(BY$3,$AI$3:$AO$3,0),FALSE)-$BL48/VLOOKUP(VLOOKUP($BJ48,坦克个性化设定!$B$18:$E$48,4,FALSE)&amp;$BK48,坦克属性分配比例,MATCH("升星次数",坦克属性分配比例标头,0),FALSE)*VLOOKUP($BJ48,$AR$3:$AY$33,MATCH(BY$3,$AR$3:$AY$3,0),FALSE),2)</f>
        <v>0.46</v>
      </c>
    </row>
    <row r="49" spans="19:77" x14ac:dyDescent="0.3">
      <c r="S49" s="2" t="str">
        <f t="shared" si="19"/>
        <v>丘吉尔最终</v>
      </c>
      <c r="T49" s="2">
        <f>IF(COUNTIF(U$4:U48,U48)&gt;=$B$3,T48+1,T48)</f>
        <v>23</v>
      </c>
      <c r="U49" s="2" t="str">
        <f t="shared" si="20"/>
        <v>丘吉尔</v>
      </c>
      <c r="V49" s="2" t="str">
        <f>VLOOKUP(U49,坦克个性化设定!$B$18:$F$48,5,FALSE)</f>
        <v>重坦单发</v>
      </c>
      <c r="W49" s="29" t="str">
        <f>VLOOKUP(U49,坦克个性化细分!$I$3:$J$33,2,FALSE)</f>
        <v>中</v>
      </c>
      <c r="X49" s="2" t="str">
        <f t="shared" si="21"/>
        <v>最终</v>
      </c>
      <c r="Y49" s="2" t="str">
        <f>VLOOKUP(VLOOKUP(U49,坦克个性化设定!$B$18:$F$48,4,FALSE)&amp;W49,坦克等级成长!$P$12:$U$24,MATCH(X49,坦克等级成长!$P$12:$U$12,0),FALSE)</f>
        <v>T2中4</v>
      </c>
      <c r="Z49" s="42">
        <f ca="1">VLOOKUP($Y49,INDIRECT($V49&amp;"_阶段属性"),MATCH(Z$3,属性标头_阶段属性,0),FALSE)*VLOOKUP($U49,坦克个性化设定!$B$84:$D$114,2,FALSE)</f>
        <v>1557.8553516080574</v>
      </c>
      <c r="AA49" s="42">
        <f ca="1">VLOOKUP($Y49,INDIRECT($V49&amp;"_阶段属性"),MATCH(AA$3,属性标头_阶段属性,0),FALSE)*VLOOKUP($U49,坦克个性化设定!$B$84:$D$114,3,FALSE)</f>
        <v>750.68587002821141</v>
      </c>
      <c r="AB49" s="2">
        <f t="shared" ca="1" si="22"/>
        <v>221</v>
      </c>
      <c r="AC49" s="2">
        <f t="shared" ca="1" si="22"/>
        <v>553</v>
      </c>
      <c r="AD49" s="2">
        <f t="shared" ca="1" si="22"/>
        <v>739</v>
      </c>
      <c r="AE49" s="2">
        <f t="shared" ca="1" si="22"/>
        <v>160</v>
      </c>
      <c r="AF49" s="25"/>
      <c r="BH49" s="2" t="str">
        <f t="shared" si="13"/>
        <v>AMX-133</v>
      </c>
      <c r="BI49" s="2">
        <f>IF(BL48&gt;=VLOOKUP(VLOOKUP(BJ48,坦克个性化设定!$B$18:$E$48,4,FALSE)&amp;BK48,坦克属性分配比例,MATCH("升星次数",坦克属性分配比例标头,0),FALSE),BI48+1,BI48)</f>
        <v>6</v>
      </c>
      <c r="BJ49" s="2" t="str">
        <f t="shared" si="14"/>
        <v>AMX-13</v>
      </c>
      <c r="BK49" s="29" t="str">
        <f>VLOOKUP(BJ49,坦克个性化细分!$I$3:$J$33,2,FALSE)</f>
        <v>高</v>
      </c>
      <c r="BL49" s="2">
        <f t="shared" si="7"/>
        <v>3</v>
      </c>
      <c r="BM49" s="103">
        <f ca="1">ROUND(VLOOKUP($BJ49&amp;"初始",$S$3:$AE$63,MATCH(BM$3,$S$3:$AE$3,0),FALSE)+((VLOOKUP($BJ49&amp;"最终",$S$3:$AE$63,MATCH(BM$3,$S$3:$AE$3,0),FALSE)*坦克个性化细分!$C$9-VLOOKUP($BJ49&amp;"初始",$S$3:$AE$63,MATCH(BM$3,$S$3:$AE$3,0),FALSE))-(VLOOKUP($BJ49&amp;"最终",$S$3:$AE$63,MATCH(BM$3,$S$3:$AE$3,0),FALSE)-VLOOKUP($BJ49&amp;"初始",$S$3:$AE$63,MATCH(BM$3,$S$3:$AE$3,0),FALSE))*VLOOKUP(VLOOKUP($BJ49,坦克个性化设定!$B$18:$E$48,4,FALSE)&amp;$BK49,坦克属性分配比例,MATCH("部件比例",坦克属性分配比例标头,0),FALSE))*$BL49/VLOOKUP(VLOOKUP($BJ49,坦克个性化设定!$B$18:$E$48,4,FALSE)&amp;$BK49,坦克属性分配比例,MATCH("升星次数",坦克属性分配比例标头,0),FALSE),0)</f>
        <v>1367</v>
      </c>
      <c r="BN49" s="103">
        <f ca="1">ROUND(VLOOKUP($BJ49&amp;"初始",$S$3:$AE$63,MATCH(BN$3,$S$3:$AE$3,0),FALSE)+(VLOOKUP($BJ49&amp;"最终",$S$3:$AE$63,MATCH(BN$3,$S$3:$AE$3,0),FALSE)-VLOOKUP($BJ49&amp;"初始",$S$3:$AE$63,MATCH(BN$3,$S$3:$AE$3,0),FALSE))*$BL49/VLOOKUP(VLOOKUP($BJ49,坦克个性化设定!$B$18:$E$48,4,FALSE)&amp;$BK49,坦克属性分配比例,MATCH("升星次数",坦克属性分配比例标头,0),FALSE)*VLOOKUP(VLOOKUP($BJ49,坦克个性化设定!$B$18:$E$48,4,FALSE)&amp;$BK49,坦克属性分配比例,MATCH("升星比例",坦克属性分配比例标头,0),FALSE),0)</f>
        <v>110</v>
      </c>
      <c r="BO49" s="103">
        <f ca="1">ROUND(VLOOKUP($BJ49&amp;"初始",$S$3:$AE$63,MATCH(BO$3,$S$3:$AE$3,0),FALSE)+(VLOOKUP($BJ49&amp;"最终",$S$3:$AE$63,MATCH(BO$3,$S$3:$AE$3,0),FALSE)-VLOOKUP($BJ49&amp;"初始",$S$3:$AE$63,MATCH(BO$3,$S$3:$AE$3,0),FALSE))*$BL49/VLOOKUP(VLOOKUP($BJ49,坦克个性化设定!$B$18:$E$48,4,FALSE)&amp;$BK49,坦克属性分配比例,MATCH("升星次数",坦克属性分配比例标头,0),FALSE)*(VLOOKUP(VLOOKUP($BJ49,坦克个性化设定!$B$18:$E$48,4,FALSE)&amp;$BK49,坦克属性分配比例,MATCH("升星比例",坦克属性分配比例标头,0),FALSE)+VLOOKUP(VLOOKUP($BJ49,坦克个性化设定!$B$18:$E$48,4,FALSE)&amp;$BK49,坦克属性分配比例,MATCH("部件比例",坦克属性分配比例标头,0),FALSE)*$C$3),0)</f>
        <v>579</v>
      </c>
      <c r="BP49" s="103">
        <f ca="1">ROUND(VLOOKUP($BJ49&amp;"初始",$S$3:$AE$63,MATCH(BP$3,$S$3:$AE$3,0),FALSE)+(VLOOKUP($BJ49&amp;"最终",$S$3:$AE$63,MATCH(BP$3,$S$3:$AE$3,0),FALSE)-VLOOKUP($BJ49&amp;"初始",$S$3:$AE$63,MATCH(BP$3,$S$3:$AE$3,0),FALSE))*$BL49/VLOOKUP(VLOOKUP($BJ49,坦克个性化设定!$B$18:$E$48,4,FALSE)&amp;$BK49,坦克属性分配比例,MATCH("升星次数",坦克属性分配比例标头,0),FALSE)*(VLOOKUP(VLOOKUP($BJ49,坦克个性化设定!$B$18:$E$48,4,FALSE)&amp;$BK49,坦克属性分配比例,MATCH("升星比例",坦克属性分配比例标头,0),FALSE)+VLOOKUP(VLOOKUP($BJ49,坦克个性化设定!$B$18:$E$48,4,FALSE)&amp;$BK49,坦克属性分配比例,MATCH("部件比例",坦克属性分配比例标头,0),FALSE)*$C$3),0)</f>
        <v>231</v>
      </c>
      <c r="BQ49" s="103">
        <f ca="1">ROUND(VLOOKUP($BJ49&amp;"初始",$S$3:$AE$63,MATCH(BQ$3,$S$3:$AE$3,0),FALSE)+(VLOOKUP($BJ49&amp;"最终",$S$3:$AE$63,MATCH(BQ$3,$S$3:$AE$3,0),FALSE)-VLOOKUP($BJ49&amp;"初始",$S$3:$AE$63,MATCH(BQ$3,$S$3:$AE$3,0),FALSE))*$BL49/VLOOKUP(VLOOKUP($BJ49,坦克个性化设定!$B$18:$E$48,4,FALSE)&amp;$BK49,坦克属性分配比例,MATCH("升星次数",坦克属性分配比例标头,0),FALSE)*VLOOKUP(VLOOKUP($BJ49,坦克个性化设定!$B$18:$E$48,4,FALSE)&amp;$BK49,坦克属性分配比例,MATCH("升星比例",坦克属性分配比例标头,0),FALSE),0)</f>
        <v>509</v>
      </c>
      <c r="BR49" s="2">
        <f ca="1">ROUND(VLOOKUP($BJ49&amp;"初始",$S$3:$AE$63,MATCH(BR$3,$S$3:$AE$3,0),FALSE)+(VLOOKUP($BJ49&amp;"最终",$S$3:$AE$63,MATCH(BR$3,$S$3:$AE$3,0),FALSE)-VLOOKUP($BJ49&amp;"初始",$S$3:$AE$63,MATCH(BR$3,$S$3:$AE$3,0),FALSE))*$BL49/VLOOKUP(VLOOKUP($BJ49,坦克个性化设定!$B$18:$E$48,4,FALSE)&amp;$BK49,坦克属性分配比例,MATCH("升星次数",坦克属性分配比例标头,0),FALSE),0)</f>
        <v>144</v>
      </c>
      <c r="BS49" s="2">
        <f>ROUND(VLOOKUP($BJ49,$AI$3:$AO$33,MATCH(BS$3,$AI$3:$AO$3,0),FALSE)+$BL49/VLOOKUP(VLOOKUP($BJ49,坦克个性化设定!$B$18:$E$48,4,FALSE)&amp;$BK49,坦克属性分配比例,MATCH("升星次数",坦克属性分配比例标头,0),FALSE)*VLOOKUP($BJ49,$AR$3:$AY$33,MATCH(BS$3,$AR$3:$AY$3,0),FALSE),1)</f>
        <v>42.9</v>
      </c>
      <c r="BT49" s="2">
        <f>ROUND(VLOOKUP($BJ49,$AI$3:$AO$33,MATCH(BT$3,$AI$3:$AO$3,0),FALSE)+$BL49/VLOOKUP(VLOOKUP($BJ49,坦克个性化设定!$B$18:$E$48,4,FALSE)&amp;$BK49,坦克属性分配比例,MATCH("升星次数",坦克属性分配比例标头,0),FALSE)*VLOOKUP($BJ49,$AR$3:$AY$33,MATCH(BT$3,$AR$3:$AY$3,0),FALSE),1)</f>
        <v>64</v>
      </c>
      <c r="BU49" s="2">
        <f>ROUND(VLOOKUP($BJ49,$AI$3:$AO$33,MATCH(BU$3,$AI$3:$AO$3,0),FALSE)+$BL49/VLOOKUP(VLOOKUP($BJ49,坦克个性化设定!$B$18:$E$48,4,FALSE)&amp;$BK49,坦克属性分配比例,MATCH("升星次数",坦克属性分配比例标头,0),FALSE)*VLOOKUP($BJ49,$AR$3:$AY$33,MATCH(BU$3,$AR$3:$AY$3,0),FALSE),1)</f>
        <v>9.9</v>
      </c>
      <c r="BV49" s="2">
        <f>IF(VLOOKUP(BJ49,坦克个性化设定!$B$18:$BC$48,MATCH("装弹类型",坦克个性化设定!$B$18:$BC$18,0),FALSE)="弹夹换弹",0,ROUND(VLOOKUP($BJ49,$AI$3:$AO$33,MATCH("换弹时间",$AI$3:$AO$3,0),FALSE)-$BL49/VLOOKUP(VLOOKUP($BJ49,坦克个性化设定!$B$18:$E$48,4,FALSE)&amp;$BK49,坦克属性分配比例,MATCH("升星次数",坦克属性分配比例标头,0),FALSE)*VLOOKUP($BJ49,$AR$3:$AY$33,MATCH("换弹时间",$AR$3:$AY$3,0),FALSE),2))</f>
        <v>0</v>
      </c>
      <c r="BW49" s="2">
        <f>IF(VLOOKUP(BJ49,坦克个性化设定!$B$18:$BC$48,MATCH("装弹类型",坦克个性化设定!$B$18:$BC$18,0),FALSE)="弹夹换弹",ROUND(VLOOKUP($BJ49,$AI$3:$AO$33,MATCH("换弹时间",$AI$3:$AO$3,0),FALSE)-$BL49/VLOOKUP(VLOOKUP($BJ49,坦克个性化设定!$B$18:$E$48,4,FALSE)&amp;$BK49,坦克属性分配比例,MATCH("升星次数",坦克属性分配比例标头,0),FALSE)*VLOOKUP($BJ49,$AR$3:$AY$33,MATCH("换弹时间",$AR$3:$AY$3,0),FALSE),1),0)</f>
        <v>8.6</v>
      </c>
      <c r="BX49" s="2">
        <f>ROUND(VLOOKUP($BJ49,$AI$3:$AO$33,MATCH(BX$3,$AI$3:$AO$3,0),FALSE)+$BL49/VLOOKUP(VLOOKUP($BJ49,坦克个性化设定!$B$18:$E$48,4,FALSE)&amp;$BK49,坦克属性分配比例,MATCH("升星次数",坦克属性分配比例标头,0),FALSE)*VLOOKUP($BJ49,$AR$3:$AY$33,MATCH(BX$3,$AR$3:$AY$3,0),FALSE),2)</f>
        <v>0.8</v>
      </c>
      <c r="BY49" s="2">
        <f>ROUND(VLOOKUP($BJ49,$AI$3:$AO$33,MATCH(BY$3,$AI$3:$AO$3,0),FALSE)-$BL49/VLOOKUP(VLOOKUP($BJ49,坦克个性化设定!$B$18:$E$48,4,FALSE)&amp;$BK49,坦克属性分配比例,MATCH("升星次数",坦克属性分配比例标头,0),FALSE)*VLOOKUP($BJ49,$AR$3:$AY$33,MATCH(BY$3,$AR$3:$AY$3,0),FALSE),2)</f>
        <v>0.45</v>
      </c>
    </row>
    <row r="50" spans="19:77" x14ac:dyDescent="0.3">
      <c r="S50" s="2" t="str">
        <f t="shared" si="19"/>
        <v>黑豹初始</v>
      </c>
      <c r="T50" s="2">
        <f>IF(COUNTIF(U$4:U49,U49)&gt;=$B$3,T49+1,T49)</f>
        <v>24</v>
      </c>
      <c r="U50" s="2" t="str">
        <f t="shared" si="20"/>
        <v>黑豹</v>
      </c>
      <c r="V50" s="2" t="str">
        <f>VLOOKUP(U50,坦克个性化设定!$B$18:$F$48,5,FALSE)</f>
        <v>重坦单发</v>
      </c>
      <c r="W50" s="29" t="str">
        <f>VLOOKUP(U50,坦克个性化细分!$I$3:$J$33,2,FALSE)</f>
        <v>低</v>
      </c>
      <c r="X50" s="2" t="str">
        <f t="shared" si="21"/>
        <v>初始</v>
      </c>
      <c r="Y50" s="2" t="str">
        <f>VLOOKUP(VLOOKUP(U50,坦克个性化设定!$B$18:$F$48,4,FALSE)&amp;W50,坦克等级成长!$P$12:$U$24,MATCH(X50,坦克等级成长!$P$12:$U$12,0),FALSE)</f>
        <v>T3低3</v>
      </c>
      <c r="Z50" s="42">
        <f ca="1">VLOOKUP($Y50,INDIRECT($V50&amp;"_阶段属性"),MATCH(Z$3,属性标头_阶段属性,0),FALSE)*VLOOKUP($U50,坦克个性化设定!$B$84:$D$114,2,FALSE)</f>
        <v>1354.1364737874223</v>
      </c>
      <c r="AA50" s="42">
        <f ca="1">VLOOKUP($Y50,INDIRECT($V50&amp;"_阶段属性"),MATCH(AA$3,属性标头_阶段属性,0),FALSE)*VLOOKUP($U50,坦克个性化设定!$B$84:$D$114,3,FALSE)</f>
        <v>610.76414084525641</v>
      </c>
      <c r="AB50" s="2">
        <f t="shared" ca="1" si="22"/>
        <v>186</v>
      </c>
      <c r="AC50" s="2">
        <f t="shared" ca="1" si="22"/>
        <v>465</v>
      </c>
      <c r="AD50" s="2">
        <f t="shared" ca="1" si="22"/>
        <v>622</v>
      </c>
      <c r="AE50" s="2">
        <f t="shared" ca="1" si="22"/>
        <v>135</v>
      </c>
      <c r="AF50" s="25"/>
      <c r="BH50" s="2" t="str">
        <f t="shared" si="13"/>
        <v>AMX-134</v>
      </c>
      <c r="BI50" s="2">
        <f>IF(BL49&gt;=VLOOKUP(VLOOKUP(BJ49,坦克个性化设定!$B$18:$E$48,4,FALSE)&amp;BK49,坦克属性分配比例,MATCH("升星次数",坦克属性分配比例标头,0),FALSE),BI49+1,BI49)</f>
        <v>6</v>
      </c>
      <c r="BJ50" s="2" t="str">
        <f t="shared" si="14"/>
        <v>AMX-13</v>
      </c>
      <c r="BK50" s="29" t="str">
        <f>VLOOKUP(BJ50,坦克个性化细分!$I$3:$J$33,2,FALSE)</f>
        <v>高</v>
      </c>
      <c r="BL50" s="2">
        <f t="shared" si="7"/>
        <v>4</v>
      </c>
      <c r="BM50" s="103">
        <f ca="1">ROUND(VLOOKUP($BJ50&amp;"初始",$S$3:$AE$63,MATCH(BM$3,$S$3:$AE$3,0),FALSE)+((VLOOKUP($BJ50&amp;"最终",$S$3:$AE$63,MATCH(BM$3,$S$3:$AE$3,0),FALSE)*坦克个性化细分!$C$9-VLOOKUP($BJ50&amp;"初始",$S$3:$AE$63,MATCH(BM$3,$S$3:$AE$3,0),FALSE))-(VLOOKUP($BJ50&amp;"最终",$S$3:$AE$63,MATCH(BM$3,$S$3:$AE$3,0),FALSE)-VLOOKUP($BJ50&amp;"初始",$S$3:$AE$63,MATCH(BM$3,$S$3:$AE$3,0),FALSE))*VLOOKUP(VLOOKUP($BJ50,坦克个性化设定!$B$18:$E$48,4,FALSE)&amp;$BK50,坦克属性分配比例,MATCH("部件比例",坦克属性分配比例标头,0),FALSE))*$BL50/VLOOKUP(VLOOKUP($BJ50,坦克个性化设定!$B$18:$E$48,4,FALSE)&amp;$BK50,坦克属性分配比例,MATCH("升星次数",坦克属性分配比例标头,0),FALSE),0)</f>
        <v>1434</v>
      </c>
      <c r="BN50" s="103">
        <f ca="1">ROUND(VLOOKUP($BJ50&amp;"初始",$S$3:$AE$63,MATCH(BN$3,$S$3:$AE$3,0),FALSE)+(VLOOKUP($BJ50&amp;"最终",$S$3:$AE$63,MATCH(BN$3,$S$3:$AE$3,0),FALSE)-VLOOKUP($BJ50&amp;"初始",$S$3:$AE$63,MATCH(BN$3,$S$3:$AE$3,0),FALSE))*$BL50/VLOOKUP(VLOOKUP($BJ50,坦克个性化设定!$B$18:$E$48,4,FALSE)&amp;$BK50,坦克属性分配比例,MATCH("升星次数",坦克属性分配比例标头,0),FALSE)*VLOOKUP(VLOOKUP($BJ50,坦克个性化设定!$B$18:$E$48,4,FALSE)&amp;$BK50,坦克属性分配比例,MATCH("升星比例",坦克属性分配比例标头,0),FALSE),0)</f>
        <v>113</v>
      </c>
      <c r="BO50" s="103">
        <f ca="1">ROUND(VLOOKUP($BJ50&amp;"初始",$S$3:$AE$63,MATCH(BO$3,$S$3:$AE$3,0),FALSE)+(VLOOKUP($BJ50&amp;"最终",$S$3:$AE$63,MATCH(BO$3,$S$3:$AE$3,0),FALSE)-VLOOKUP($BJ50&amp;"初始",$S$3:$AE$63,MATCH(BO$3,$S$3:$AE$3,0),FALSE))*$BL50/VLOOKUP(VLOOKUP($BJ50,坦克个性化设定!$B$18:$E$48,4,FALSE)&amp;$BK50,坦克属性分配比例,MATCH("升星次数",坦克属性分配比例标头,0),FALSE)*(VLOOKUP(VLOOKUP($BJ50,坦克个性化设定!$B$18:$E$48,4,FALSE)&amp;$BK50,坦克属性分配比例,MATCH("升星比例",坦克属性分配比例标头,0),FALSE)+VLOOKUP(VLOOKUP($BJ50,坦克个性化设定!$B$18:$E$48,4,FALSE)&amp;$BK50,坦克属性分配比例,MATCH("部件比例",坦克属性分配比例标头,0),FALSE)*$C$3),0)</f>
        <v>603</v>
      </c>
      <c r="BP50" s="103">
        <f ca="1">ROUND(VLOOKUP($BJ50&amp;"初始",$S$3:$AE$63,MATCH(BP$3,$S$3:$AE$3,0),FALSE)+(VLOOKUP($BJ50&amp;"最终",$S$3:$AE$63,MATCH(BP$3,$S$3:$AE$3,0),FALSE)-VLOOKUP($BJ50&amp;"初始",$S$3:$AE$63,MATCH(BP$3,$S$3:$AE$3,0),FALSE))*$BL50/VLOOKUP(VLOOKUP($BJ50,坦克个性化设定!$B$18:$E$48,4,FALSE)&amp;$BK50,坦克属性分配比例,MATCH("升星次数",坦克属性分配比例标头,0),FALSE)*(VLOOKUP(VLOOKUP($BJ50,坦克个性化设定!$B$18:$E$48,4,FALSE)&amp;$BK50,坦克属性分配比例,MATCH("升星比例",坦克属性分配比例标头,0),FALSE)+VLOOKUP(VLOOKUP($BJ50,坦克个性化设定!$B$18:$E$48,4,FALSE)&amp;$BK50,坦克属性分配比例,MATCH("部件比例",坦克属性分配比例标头,0),FALSE)*$C$3),0)</f>
        <v>241</v>
      </c>
      <c r="BQ50" s="103">
        <f ca="1">ROUND(VLOOKUP($BJ50&amp;"初始",$S$3:$AE$63,MATCH(BQ$3,$S$3:$AE$3,0),FALSE)+(VLOOKUP($BJ50&amp;"最终",$S$3:$AE$63,MATCH(BQ$3,$S$3:$AE$3,0),FALSE)-VLOOKUP($BJ50&amp;"初始",$S$3:$AE$63,MATCH(BQ$3,$S$3:$AE$3,0),FALSE))*$BL50/VLOOKUP(VLOOKUP($BJ50,坦克个性化设定!$B$18:$E$48,4,FALSE)&amp;$BK50,坦克属性分配比例,MATCH("升星次数",坦克属性分配比例标头,0),FALSE)*VLOOKUP(VLOOKUP($BJ50,坦克个性化设定!$B$18:$E$48,4,FALSE)&amp;$BK50,坦克属性分配比例,MATCH("升星比例",坦克属性分配比例标头,0),FALSE),0)</f>
        <v>525</v>
      </c>
      <c r="BR50" s="2">
        <f ca="1">ROUND(VLOOKUP($BJ50&amp;"初始",$S$3:$AE$63,MATCH(BR$3,$S$3:$AE$3,0),FALSE)+(VLOOKUP($BJ50&amp;"最终",$S$3:$AE$63,MATCH(BR$3,$S$3:$AE$3,0),FALSE)-VLOOKUP($BJ50&amp;"初始",$S$3:$AE$63,MATCH(BR$3,$S$3:$AE$3,0),FALSE))*$BL50/VLOOKUP(VLOOKUP($BJ50,坦克个性化设定!$B$18:$E$48,4,FALSE)&amp;$BK50,坦克属性分配比例,MATCH("升星次数",坦克属性分配比例标头,0),FALSE),0)</f>
        <v>151</v>
      </c>
      <c r="BS50" s="2">
        <f>ROUND(VLOOKUP($BJ50,$AI$3:$AO$33,MATCH(BS$3,$AI$3:$AO$3,0),FALSE)+$BL50/VLOOKUP(VLOOKUP($BJ50,坦克个性化设定!$B$18:$E$48,4,FALSE)&amp;$BK50,坦克属性分配比例,MATCH("升星次数",坦克属性分配比例标头,0),FALSE)*VLOOKUP($BJ50,$AR$3:$AY$33,MATCH(BS$3,$AR$3:$AY$3,0),FALSE),1)</f>
        <v>44</v>
      </c>
      <c r="BT50" s="2">
        <f>ROUND(VLOOKUP($BJ50,$AI$3:$AO$33,MATCH(BT$3,$AI$3:$AO$3,0),FALSE)+$BL50/VLOOKUP(VLOOKUP($BJ50,坦克个性化设定!$B$18:$E$48,4,FALSE)&amp;$BK50,坦克属性分配比例,MATCH("升星次数",坦克属性分配比例标头,0),FALSE)*VLOOKUP($BJ50,$AR$3:$AY$33,MATCH(BT$3,$AR$3:$AY$3,0),FALSE),1)</f>
        <v>65.7</v>
      </c>
      <c r="BU50" s="2">
        <f>ROUND(VLOOKUP($BJ50,$AI$3:$AO$33,MATCH(BU$3,$AI$3:$AO$3,0),FALSE)+$BL50/VLOOKUP(VLOOKUP($BJ50,坦克个性化设定!$B$18:$E$48,4,FALSE)&amp;$BK50,坦克属性分配比例,MATCH("升星次数",坦克属性分配比例标头,0),FALSE)*VLOOKUP($BJ50,$AR$3:$AY$33,MATCH(BU$3,$AR$3:$AY$3,0),FALSE),1)</f>
        <v>9.9</v>
      </c>
      <c r="BV50" s="2">
        <f>IF(VLOOKUP(BJ50,坦克个性化设定!$B$18:$BC$48,MATCH("装弹类型",坦克个性化设定!$B$18:$BC$18,0),FALSE)="弹夹换弹",0,ROUND(VLOOKUP($BJ50,$AI$3:$AO$33,MATCH("换弹时间",$AI$3:$AO$3,0),FALSE)-$BL50/VLOOKUP(VLOOKUP($BJ50,坦克个性化设定!$B$18:$E$48,4,FALSE)&amp;$BK50,坦克属性分配比例,MATCH("升星次数",坦克属性分配比例标头,0),FALSE)*VLOOKUP($BJ50,$AR$3:$AY$33,MATCH("换弹时间",$AR$3:$AY$3,0),FALSE),2))</f>
        <v>0</v>
      </c>
      <c r="BW50" s="2">
        <f>IF(VLOOKUP(BJ50,坦克个性化设定!$B$18:$BC$48,MATCH("装弹类型",坦克个性化设定!$B$18:$BC$18,0),FALSE)="弹夹换弹",ROUND(VLOOKUP($BJ50,$AI$3:$AO$33,MATCH("换弹时间",$AI$3:$AO$3,0),FALSE)-$BL50/VLOOKUP(VLOOKUP($BJ50,坦克个性化设定!$B$18:$E$48,4,FALSE)&amp;$BK50,坦克属性分配比例,MATCH("升星次数",坦克属性分配比例标头,0),FALSE)*VLOOKUP($BJ50,$AR$3:$AY$33,MATCH("换弹时间",$AR$3:$AY$3,0),FALSE),1),0)</f>
        <v>8.1999999999999993</v>
      </c>
      <c r="BX50" s="2">
        <f>ROUND(VLOOKUP($BJ50,$AI$3:$AO$33,MATCH(BX$3,$AI$3:$AO$3,0),FALSE)+$BL50/VLOOKUP(VLOOKUP($BJ50,坦克个性化设定!$B$18:$E$48,4,FALSE)&amp;$BK50,坦克属性分配比例,MATCH("升星次数",坦克属性分配比例标头,0),FALSE)*VLOOKUP($BJ50,$AR$3:$AY$33,MATCH(BX$3,$AR$3:$AY$3,0),FALSE),2)</f>
        <v>0.8</v>
      </c>
      <c r="BY50" s="2">
        <f>ROUND(VLOOKUP($BJ50,$AI$3:$AO$33,MATCH(BY$3,$AI$3:$AO$3,0),FALSE)-$BL50/VLOOKUP(VLOOKUP($BJ50,坦克个性化设定!$B$18:$E$48,4,FALSE)&amp;$BK50,坦克属性分配比例,MATCH("升星次数",坦克属性分配比例标头,0),FALSE)*VLOOKUP($BJ50,$AR$3:$AY$33,MATCH(BY$3,$AR$3:$AY$3,0),FALSE),2)</f>
        <v>0.44</v>
      </c>
    </row>
    <row r="51" spans="19:77" x14ac:dyDescent="0.3">
      <c r="S51" s="2" t="str">
        <f t="shared" si="19"/>
        <v>黑豹最终</v>
      </c>
      <c r="T51" s="2">
        <f>IF(COUNTIF(U$4:U50,U50)&gt;=$B$3,T50+1,T50)</f>
        <v>24</v>
      </c>
      <c r="U51" s="2" t="str">
        <f t="shared" si="20"/>
        <v>黑豹</v>
      </c>
      <c r="V51" s="2" t="str">
        <f>VLOOKUP(U51,坦克个性化设定!$B$18:$F$48,5,FALSE)</f>
        <v>重坦单发</v>
      </c>
      <c r="W51" s="29" t="str">
        <f>VLOOKUP(U51,坦克个性化细分!$I$3:$J$33,2,FALSE)</f>
        <v>低</v>
      </c>
      <c r="X51" s="2" t="str">
        <f t="shared" si="21"/>
        <v>最终</v>
      </c>
      <c r="Y51" s="2" t="str">
        <f>VLOOKUP(VLOOKUP(U51,坦克个性化设定!$B$18:$F$48,4,FALSE)&amp;W51,坦克等级成长!$P$12:$U$24,MATCH(X51,坦克等级成长!$P$12:$U$12,0),FALSE)</f>
        <v>T3低5</v>
      </c>
      <c r="Z51" s="42">
        <f ca="1">VLOOKUP($Y51,INDIRECT($V51&amp;"_阶段属性"),MATCH(Z$3,属性标头_阶段属性,0),FALSE)*VLOOKUP($U51,坦克个性化设定!$B$84:$D$114,2,FALSE)</f>
        <v>1940.2252371267448</v>
      </c>
      <c r="AA51" s="42">
        <f ca="1">VLOOKUP($Y51,INDIRECT($V51&amp;"_阶段属性"),MATCH(AA$3,属性标头_阶段属性,0),FALSE)*VLOOKUP($U51,坦克个性化设定!$B$84:$D$114,3,FALSE)</f>
        <v>895.25688397513147</v>
      </c>
      <c r="AB51" s="2">
        <f t="shared" ca="1" si="22"/>
        <v>273</v>
      </c>
      <c r="AC51" s="2">
        <f t="shared" ca="1" si="22"/>
        <v>682</v>
      </c>
      <c r="AD51" s="2">
        <f t="shared" ca="1" si="22"/>
        <v>911</v>
      </c>
      <c r="AE51" s="2">
        <f t="shared" ca="1" si="22"/>
        <v>198</v>
      </c>
      <c r="AF51" s="25"/>
      <c r="BH51" s="2" t="str">
        <f t="shared" si="13"/>
        <v>AMX-135</v>
      </c>
      <c r="BI51" s="2">
        <f>IF(BL50&gt;=VLOOKUP(VLOOKUP(BJ50,坦克个性化设定!$B$18:$E$48,4,FALSE)&amp;BK50,坦克属性分配比例,MATCH("升星次数",坦克属性分配比例标头,0),FALSE),BI50+1,BI50)</f>
        <v>6</v>
      </c>
      <c r="BJ51" s="2" t="str">
        <f t="shared" si="14"/>
        <v>AMX-13</v>
      </c>
      <c r="BK51" s="29" t="str">
        <f>VLOOKUP(BJ51,坦克个性化细分!$I$3:$J$33,2,FALSE)</f>
        <v>高</v>
      </c>
      <c r="BL51" s="2">
        <f t="shared" si="7"/>
        <v>5</v>
      </c>
      <c r="BM51" s="103">
        <f ca="1">ROUND(VLOOKUP($BJ51&amp;"初始",$S$3:$AE$63,MATCH(BM$3,$S$3:$AE$3,0),FALSE)+((VLOOKUP($BJ51&amp;"最终",$S$3:$AE$63,MATCH(BM$3,$S$3:$AE$3,0),FALSE)*坦克个性化细分!$C$9-VLOOKUP($BJ51&amp;"初始",$S$3:$AE$63,MATCH(BM$3,$S$3:$AE$3,0),FALSE))-(VLOOKUP($BJ51&amp;"最终",$S$3:$AE$63,MATCH(BM$3,$S$3:$AE$3,0),FALSE)-VLOOKUP($BJ51&amp;"初始",$S$3:$AE$63,MATCH(BM$3,$S$3:$AE$3,0),FALSE))*VLOOKUP(VLOOKUP($BJ51,坦克个性化设定!$B$18:$E$48,4,FALSE)&amp;$BK51,坦克属性分配比例,MATCH("部件比例",坦克属性分配比例标头,0),FALSE))*$BL51/VLOOKUP(VLOOKUP($BJ51,坦克个性化设定!$B$18:$E$48,4,FALSE)&amp;$BK51,坦克属性分配比例,MATCH("升星次数",坦克属性分配比例标头,0),FALSE),0)</f>
        <v>1500</v>
      </c>
      <c r="BN51" s="103">
        <f ca="1">ROUND(VLOOKUP($BJ51&amp;"初始",$S$3:$AE$63,MATCH(BN$3,$S$3:$AE$3,0),FALSE)+(VLOOKUP($BJ51&amp;"最终",$S$3:$AE$63,MATCH(BN$3,$S$3:$AE$3,0),FALSE)-VLOOKUP($BJ51&amp;"初始",$S$3:$AE$63,MATCH(BN$3,$S$3:$AE$3,0),FALSE))*$BL51/VLOOKUP(VLOOKUP($BJ51,坦克个性化设定!$B$18:$E$48,4,FALSE)&amp;$BK51,坦克属性分配比例,MATCH("升星次数",坦克属性分配比例标头,0),FALSE)*VLOOKUP(VLOOKUP($BJ51,坦克个性化设定!$B$18:$E$48,4,FALSE)&amp;$BK51,坦克属性分配比例,MATCH("升星比例",坦克属性分配比例标头,0),FALSE),0)</f>
        <v>116</v>
      </c>
      <c r="BO51" s="103">
        <f ca="1">ROUND(VLOOKUP($BJ51&amp;"初始",$S$3:$AE$63,MATCH(BO$3,$S$3:$AE$3,0),FALSE)+(VLOOKUP($BJ51&amp;"最终",$S$3:$AE$63,MATCH(BO$3,$S$3:$AE$3,0),FALSE)-VLOOKUP($BJ51&amp;"初始",$S$3:$AE$63,MATCH(BO$3,$S$3:$AE$3,0),FALSE))*$BL51/VLOOKUP(VLOOKUP($BJ51,坦克个性化设定!$B$18:$E$48,4,FALSE)&amp;$BK51,坦克属性分配比例,MATCH("升星次数",坦克属性分配比例标头,0),FALSE)*(VLOOKUP(VLOOKUP($BJ51,坦克个性化设定!$B$18:$E$48,4,FALSE)&amp;$BK51,坦克属性分配比例,MATCH("升星比例",坦克属性分配比例标头,0),FALSE)+VLOOKUP(VLOOKUP($BJ51,坦克个性化设定!$B$18:$E$48,4,FALSE)&amp;$BK51,坦克属性分配比例,MATCH("部件比例",坦克属性分配比例标头,0),FALSE)*$C$3),0)</f>
        <v>627</v>
      </c>
      <c r="BP51" s="103">
        <f ca="1">ROUND(VLOOKUP($BJ51&amp;"初始",$S$3:$AE$63,MATCH(BP$3,$S$3:$AE$3,0),FALSE)+(VLOOKUP($BJ51&amp;"最终",$S$3:$AE$63,MATCH(BP$3,$S$3:$AE$3,0),FALSE)-VLOOKUP($BJ51&amp;"初始",$S$3:$AE$63,MATCH(BP$3,$S$3:$AE$3,0),FALSE))*$BL51/VLOOKUP(VLOOKUP($BJ51,坦克个性化设定!$B$18:$E$48,4,FALSE)&amp;$BK51,坦克属性分配比例,MATCH("升星次数",坦克属性分配比例标头,0),FALSE)*(VLOOKUP(VLOOKUP($BJ51,坦克个性化设定!$B$18:$E$48,4,FALSE)&amp;$BK51,坦克属性分配比例,MATCH("升星比例",坦克属性分配比例标头,0),FALSE)+VLOOKUP(VLOOKUP($BJ51,坦克个性化设定!$B$18:$E$48,4,FALSE)&amp;$BK51,坦克属性分配比例,MATCH("部件比例",坦克属性分配比例标头,0),FALSE)*$C$3),0)</f>
        <v>251</v>
      </c>
      <c r="BQ51" s="103">
        <f ca="1">ROUND(VLOOKUP($BJ51&amp;"初始",$S$3:$AE$63,MATCH(BQ$3,$S$3:$AE$3,0),FALSE)+(VLOOKUP($BJ51&amp;"最终",$S$3:$AE$63,MATCH(BQ$3,$S$3:$AE$3,0),FALSE)-VLOOKUP($BJ51&amp;"初始",$S$3:$AE$63,MATCH(BQ$3,$S$3:$AE$3,0),FALSE))*$BL51/VLOOKUP(VLOOKUP($BJ51,坦克个性化设定!$B$18:$E$48,4,FALSE)&amp;$BK51,坦克属性分配比例,MATCH("升星次数",坦克属性分配比例标头,0),FALSE)*VLOOKUP(VLOOKUP($BJ51,坦克个性化设定!$B$18:$E$48,4,FALSE)&amp;$BK51,坦克属性分配比例,MATCH("升星比例",坦克属性分配比例标头,0),FALSE),0)</f>
        <v>541</v>
      </c>
      <c r="BR51" s="2">
        <f ca="1">ROUND(VLOOKUP($BJ51&amp;"初始",$S$3:$AE$63,MATCH(BR$3,$S$3:$AE$3,0),FALSE)+(VLOOKUP($BJ51&amp;"最终",$S$3:$AE$63,MATCH(BR$3,$S$3:$AE$3,0),FALSE)-VLOOKUP($BJ51&amp;"初始",$S$3:$AE$63,MATCH(BR$3,$S$3:$AE$3,0),FALSE))*$BL51/VLOOKUP(VLOOKUP($BJ51,坦克个性化设定!$B$18:$E$48,4,FALSE)&amp;$BK51,坦克属性分配比例,MATCH("升星次数",坦克属性分配比例标头,0),FALSE),0)</f>
        <v>158</v>
      </c>
      <c r="BS51" s="2">
        <f>ROUND(VLOOKUP($BJ51,$AI$3:$AO$33,MATCH(BS$3,$AI$3:$AO$3,0),FALSE)+$BL51/VLOOKUP(VLOOKUP($BJ51,坦克个性化设定!$B$18:$E$48,4,FALSE)&amp;$BK51,坦克属性分配比例,MATCH("升星次数",坦克属性分配比例标头,0),FALSE)*VLOOKUP($BJ51,$AR$3:$AY$33,MATCH(BS$3,$AR$3:$AY$3,0),FALSE),1)</f>
        <v>45.1</v>
      </c>
      <c r="BT51" s="2">
        <f>ROUND(VLOOKUP($BJ51,$AI$3:$AO$33,MATCH(BT$3,$AI$3:$AO$3,0),FALSE)+$BL51/VLOOKUP(VLOOKUP($BJ51,坦克个性化设定!$B$18:$E$48,4,FALSE)&amp;$BK51,坦克属性分配比例,MATCH("升星次数",坦克属性分配比例标头,0),FALSE)*VLOOKUP($BJ51,$AR$3:$AY$33,MATCH(BT$3,$AR$3:$AY$3,0),FALSE),1)</f>
        <v>67.3</v>
      </c>
      <c r="BU51" s="2">
        <f>ROUND(VLOOKUP($BJ51,$AI$3:$AO$33,MATCH(BU$3,$AI$3:$AO$3,0),FALSE)+$BL51/VLOOKUP(VLOOKUP($BJ51,坦克个性化设定!$B$18:$E$48,4,FALSE)&amp;$BK51,坦克属性分配比例,MATCH("升星次数",坦克属性分配比例标头,0),FALSE)*VLOOKUP($BJ51,$AR$3:$AY$33,MATCH(BU$3,$AR$3:$AY$3,0),FALSE),1)</f>
        <v>9.9</v>
      </c>
      <c r="BV51" s="2">
        <f>IF(VLOOKUP(BJ51,坦克个性化设定!$B$18:$BC$48,MATCH("装弹类型",坦克个性化设定!$B$18:$BC$18,0),FALSE)="弹夹换弹",0,ROUND(VLOOKUP($BJ51,$AI$3:$AO$33,MATCH("换弹时间",$AI$3:$AO$3,0),FALSE)-$BL51/VLOOKUP(VLOOKUP($BJ51,坦克个性化设定!$B$18:$E$48,4,FALSE)&amp;$BK51,坦克属性分配比例,MATCH("升星次数",坦克属性分配比例标头,0),FALSE)*VLOOKUP($BJ51,$AR$3:$AY$33,MATCH("换弹时间",$AR$3:$AY$3,0),FALSE),2))</f>
        <v>0</v>
      </c>
      <c r="BW51" s="2">
        <f>IF(VLOOKUP(BJ51,坦克个性化设定!$B$18:$BC$48,MATCH("装弹类型",坦克个性化设定!$B$18:$BC$18,0),FALSE)="弹夹换弹",ROUND(VLOOKUP($BJ51,$AI$3:$AO$33,MATCH("换弹时间",$AI$3:$AO$3,0),FALSE)-$BL51/VLOOKUP(VLOOKUP($BJ51,坦克个性化设定!$B$18:$E$48,4,FALSE)&amp;$BK51,坦克属性分配比例,MATCH("升星次数",坦克属性分配比例标头,0),FALSE)*VLOOKUP($BJ51,$AR$3:$AY$33,MATCH("换弹时间",$AR$3:$AY$3,0),FALSE),1),0)</f>
        <v>7.8</v>
      </c>
      <c r="BX51" s="2">
        <f>ROUND(VLOOKUP($BJ51,$AI$3:$AO$33,MATCH(BX$3,$AI$3:$AO$3,0),FALSE)+$BL51/VLOOKUP(VLOOKUP($BJ51,坦克个性化设定!$B$18:$E$48,4,FALSE)&amp;$BK51,坦克属性分配比例,MATCH("升星次数",坦克属性分配比例标头,0),FALSE)*VLOOKUP($BJ51,$AR$3:$AY$33,MATCH(BX$3,$AR$3:$AY$3,0),FALSE),2)</f>
        <v>0.8</v>
      </c>
      <c r="BY51" s="2">
        <f>ROUND(VLOOKUP($BJ51,$AI$3:$AO$33,MATCH(BY$3,$AI$3:$AO$3,0),FALSE)-$BL51/VLOOKUP(VLOOKUP($BJ51,坦克个性化设定!$B$18:$E$48,4,FALSE)&amp;$BK51,坦克属性分配比例,MATCH("升星次数",坦克属性分配比例标头,0),FALSE)*VLOOKUP($BJ51,$AR$3:$AY$33,MATCH(BY$3,$AR$3:$AY$3,0),FALSE),2)</f>
        <v>0.43</v>
      </c>
    </row>
    <row r="52" spans="19:77" x14ac:dyDescent="0.3">
      <c r="S52" s="2" t="str">
        <f t="shared" si="19"/>
        <v>虎式初始</v>
      </c>
      <c r="T52" s="2">
        <f>IF(COUNTIF(U$4:U51,U51)&gt;=$B$3,T51+1,T51)</f>
        <v>25</v>
      </c>
      <c r="U52" s="2" t="str">
        <f t="shared" si="20"/>
        <v>虎式</v>
      </c>
      <c r="V52" s="2" t="str">
        <f>VLOOKUP(U52,坦克个性化设定!$B$18:$F$48,5,FALSE)</f>
        <v>重坦单发</v>
      </c>
      <c r="W52" s="29" t="str">
        <f>VLOOKUP(U52,坦克个性化细分!$I$3:$J$33,2,FALSE)</f>
        <v>中</v>
      </c>
      <c r="X52" s="2" t="str">
        <f t="shared" si="21"/>
        <v>初始</v>
      </c>
      <c r="Y52" s="2" t="str">
        <f>VLOOKUP(VLOOKUP(U52,坦克个性化设定!$B$18:$F$48,4,FALSE)&amp;W52,坦克等级成长!$P$12:$U$24,MATCH(X52,坦克等级成长!$P$12:$U$12,0),FALSE)</f>
        <v>T3中3</v>
      </c>
      <c r="Z52" s="42">
        <f ca="1">VLOOKUP($Y52,INDIRECT($V52&amp;"_阶段属性"),MATCH(Z$3,属性标头_阶段属性,0),FALSE)*VLOOKUP($U52,坦克个性化设定!$B$84:$D$114,2,FALSE)</f>
        <v>1353.6895664187839</v>
      </c>
      <c r="AA52" s="42">
        <f ca="1">VLOOKUP($Y52,INDIRECT($V52&amp;"_阶段属性"),MATCH(AA$3,属性标头_阶段属性,0),FALSE)*VLOOKUP($U52,坦克个性化设定!$B$84:$D$114,3,FALSE)</f>
        <v>661.80461327634021</v>
      </c>
      <c r="AB52" s="2">
        <f t="shared" ca="1" si="22"/>
        <v>194</v>
      </c>
      <c r="AC52" s="2">
        <f t="shared" ca="1" si="22"/>
        <v>484</v>
      </c>
      <c r="AD52" s="2">
        <f t="shared" ca="1" si="22"/>
        <v>647</v>
      </c>
      <c r="AE52" s="2">
        <f t="shared" ca="1" si="22"/>
        <v>140</v>
      </c>
      <c r="AF52" s="25"/>
      <c r="BH52" s="2" t="str">
        <f t="shared" si="13"/>
        <v>AMX-136</v>
      </c>
      <c r="BI52" s="2">
        <f>IF(BL51&gt;=VLOOKUP(VLOOKUP(BJ51,坦克个性化设定!$B$18:$E$48,4,FALSE)&amp;BK51,坦克属性分配比例,MATCH("升星次数",坦克属性分配比例标头,0),FALSE),BI51+1,BI51)</f>
        <v>6</v>
      </c>
      <c r="BJ52" s="2" t="str">
        <f t="shared" si="14"/>
        <v>AMX-13</v>
      </c>
      <c r="BK52" s="29" t="str">
        <f>VLOOKUP(BJ52,坦克个性化细分!$I$3:$J$33,2,FALSE)</f>
        <v>高</v>
      </c>
      <c r="BL52" s="2">
        <f t="shared" si="7"/>
        <v>6</v>
      </c>
      <c r="BM52" s="103">
        <f ca="1">ROUND(VLOOKUP($BJ52&amp;"初始",$S$3:$AE$63,MATCH(BM$3,$S$3:$AE$3,0),FALSE)+((VLOOKUP($BJ52&amp;"最终",$S$3:$AE$63,MATCH(BM$3,$S$3:$AE$3,0),FALSE)*坦克个性化细分!$C$9-VLOOKUP($BJ52&amp;"初始",$S$3:$AE$63,MATCH(BM$3,$S$3:$AE$3,0),FALSE))-(VLOOKUP($BJ52&amp;"最终",$S$3:$AE$63,MATCH(BM$3,$S$3:$AE$3,0),FALSE)-VLOOKUP($BJ52&amp;"初始",$S$3:$AE$63,MATCH(BM$3,$S$3:$AE$3,0),FALSE))*VLOOKUP(VLOOKUP($BJ52,坦克个性化设定!$B$18:$E$48,4,FALSE)&amp;$BK52,坦克属性分配比例,MATCH("部件比例",坦克属性分配比例标头,0),FALSE))*$BL52/VLOOKUP(VLOOKUP($BJ52,坦克个性化设定!$B$18:$E$48,4,FALSE)&amp;$BK52,坦克属性分配比例,MATCH("升星次数",坦克属性分配比例标头,0),FALSE),0)</f>
        <v>1566</v>
      </c>
      <c r="BN52" s="103">
        <f ca="1">ROUND(VLOOKUP($BJ52&amp;"初始",$S$3:$AE$63,MATCH(BN$3,$S$3:$AE$3,0),FALSE)+(VLOOKUP($BJ52&amp;"最终",$S$3:$AE$63,MATCH(BN$3,$S$3:$AE$3,0),FALSE)-VLOOKUP($BJ52&amp;"初始",$S$3:$AE$63,MATCH(BN$3,$S$3:$AE$3,0),FALSE))*$BL52/VLOOKUP(VLOOKUP($BJ52,坦克个性化设定!$B$18:$E$48,4,FALSE)&amp;$BK52,坦克属性分配比例,MATCH("升星次数",坦克属性分配比例标头,0),FALSE)*VLOOKUP(VLOOKUP($BJ52,坦克个性化设定!$B$18:$E$48,4,FALSE)&amp;$BK52,坦克属性分配比例,MATCH("升星比例",坦克属性分配比例标头,0),FALSE),0)</f>
        <v>120</v>
      </c>
      <c r="BO52" s="103">
        <f ca="1">ROUND(VLOOKUP($BJ52&amp;"初始",$S$3:$AE$63,MATCH(BO$3,$S$3:$AE$3,0),FALSE)+(VLOOKUP($BJ52&amp;"最终",$S$3:$AE$63,MATCH(BO$3,$S$3:$AE$3,0),FALSE)-VLOOKUP($BJ52&amp;"初始",$S$3:$AE$63,MATCH(BO$3,$S$3:$AE$3,0),FALSE))*$BL52/VLOOKUP(VLOOKUP($BJ52,坦克个性化设定!$B$18:$E$48,4,FALSE)&amp;$BK52,坦克属性分配比例,MATCH("升星次数",坦克属性分配比例标头,0),FALSE)*(VLOOKUP(VLOOKUP($BJ52,坦克个性化设定!$B$18:$E$48,4,FALSE)&amp;$BK52,坦克属性分配比例,MATCH("升星比例",坦克属性分配比例标头,0),FALSE)+VLOOKUP(VLOOKUP($BJ52,坦克个性化设定!$B$18:$E$48,4,FALSE)&amp;$BK52,坦克属性分配比例,MATCH("部件比例",坦克属性分配比例标头,0),FALSE)*$C$3),0)</f>
        <v>652</v>
      </c>
      <c r="BP52" s="103">
        <f ca="1">ROUND(VLOOKUP($BJ52&amp;"初始",$S$3:$AE$63,MATCH(BP$3,$S$3:$AE$3,0),FALSE)+(VLOOKUP($BJ52&amp;"最终",$S$3:$AE$63,MATCH(BP$3,$S$3:$AE$3,0),FALSE)-VLOOKUP($BJ52&amp;"初始",$S$3:$AE$63,MATCH(BP$3,$S$3:$AE$3,0),FALSE))*$BL52/VLOOKUP(VLOOKUP($BJ52,坦克个性化设定!$B$18:$E$48,4,FALSE)&amp;$BK52,坦克属性分配比例,MATCH("升星次数",坦克属性分配比例标头,0),FALSE)*(VLOOKUP(VLOOKUP($BJ52,坦克个性化设定!$B$18:$E$48,4,FALSE)&amp;$BK52,坦克属性分配比例,MATCH("升星比例",坦克属性分配比例标头,0),FALSE)+VLOOKUP(VLOOKUP($BJ52,坦克个性化设定!$B$18:$E$48,4,FALSE)&amp;$BK52,坦克属性分配比例,MATCH("部件比例",坦克属性分配比例标头,0),FALSE)*$C$3),0)</f>
        <v>260</v>
      </c>
      <c r="BQ52" s="103">
        <f ca="1">ROUND(VLOOKUP($BJ52&amp;"初始",$S$3:$AE$63,MATCH(BQ$3,$S$3:$AE$3,0),FALSE)+(VLOOKUP($BJ52&amp;"最终",$S$3:$AE$63,MATCH(BQ$3,$S$3:$AE$3,0),FALSE)-VLOOKUP($BJ52&amp;"初始",$S$3:$AE$63,MATCH(BQ$3,$S$3:$AE$3,0),FALSE))*$BL52/VLOOKUP(VLOOKUP($BJ52,坦克个性化设定!$B$18:$E$48,4,FALSE)&amp;$BK52,坦克属性分配比例,MATCH("升星次数",坦克属性分配比例标头,0),FALSE)*VLOOKUP(VLOOKUP($BJ52,坦克个性化设定!$B$18:$E$48,4,FALSE)&amp;$BK52,坦克属性分配比例,MATCH("升星比例",坦克属性分配比例标头,0),FALSE),0)</f>
        <v>557</v>
      </c>
      <c r="BR52" s="2">
        <f ca="1">ROUND(VLOOKUP($BJ52&amp;"初始",$S$3:$AE$63,MATCH(BR$3,$S$3:$AE$3,0),FALSE)+(VLOOKUP($BJ52&amp;"最终",$S$3:$AE$63,MATCH(BR$3,$S$3:$AE$3,0),FALSE)-VLOOKUP($BJ52&amp;"初始",$S$3:$AE$63,MATCH(BR$3,$S$3:$AE$3,0),FALSE))*$BL52/VLOOKUP(VLOOKUP($BJ52,坦克个性化设定!$B$18:$E$48,4,FALSE)&amp;$BK52,坦克属性分配比例,MATCH("升星次数",坦克属性分配比例标头,0),FALSE),0)</f>
        <v>165</v>
      </c>
      <c r="BS52" s="2">
        <f>ROUND(VLOOKUP($BJ52,$AI$3:$AO$33,MATCH(BS$3,$AI$3:$AO$3,0),FALSE)+$BL52/VLOOKUP(VLOOKUP($BJ52,坦克个性化设定!$B$18:$E$48,4,FALSE)&amp;$BK52,坦克属性分配比例,MATCH("升星次数",坦克属性分配比例标头,0),FALSE)*VLOOKUP($BJ52,$AR$3:$AY$33,MATCH(BS$3,$AR$3:$AY$3,0),FALSE),1)</f>
        <v>46.2</v>
      </c>
      <c r="BT52" s="2">
        <f>ROUND(VLOOKUP($BJ52,$AI$3:$AO$33,MATCH(BT$3,$AI$3:$AO$3,0),FALSE)+$BL52/VLOOKUP(VLOOKUP($BJ52,坦克个性化设定!$B$18:$E$48,4,FALSE)&amp;$BK52,坦克属性分配比例,MATCH("升星次数",坦克属性分配比例标头,0),FALSE)*VLOOKUP($BJ52,$AR$3:$AY$33,MATCH(BT$3,$AR$3:$AY$3,0),FALSE),1)</f>
        <v>69</v>
      </c>
      <c r="BU52" s="2">
        <f>ROUND(VLOOKUP($BJ52,$AI$3:$AO$33,MATCH(BU$3,$AI$3:$AO$3,0),FALSE)+$BL52/VLOOKUP(VLOOKUP($BJ52,坦克个性化设定!$B$18:$E$48,4,FALSE)&amp;$BK52,坦克属性分配比例,MATCH("升星次数",坦克属性分配比例标头,0),FALSE)*VLOOKUP($BJ52,$AR$3:$AY$33,MATCH(BU$3,$AR$3:$AY$3,0),FALSE),1)</f>
        <v>9.9</v>
      </c>
      <c r="BV52" s="2">
        <f>IF(VLOOKUP(BJ52,坦克个性化设定!$B$18:$BC$48,MATCH("装弹类型",坦克个性化设定!$B$18:$BC$18,0),FALSE)="弹夹换弹",0,ROUND(VLOOKUP($BJ52,$AI$3:$AO$33,MATCH("换弹时间",$AI$3:$AO$3,0),FALSE)-$BL52/VLOOKUP(VLOOKUP($BJ52,坦克个性化设定!$B$18:$E$48,4,FALSE)&amp;$BK52,坦克属性分配比例,MATCH("升星次数",坦克属性分配比例标头,0),FALSE)*VLOOKUP($BJ52,$AR$3:$AY$33,MATCH("换弹时间",$AR$3:$AY$3,0),FALSE),2))</f>
        <v>0</v>
      </c>
      <c r="BW52" s="2">
        <f>IF(VLOOKUP(BJ52,坦克个性化设定!$B$18:$BC$48,MATCH("装弹类型",坦克个性化设定!$B$18:$BC$18,0),FALSE)="弹夹换弹",ROUND(VLOOKUP($BJ52,$AI$3:$AO$33,MATCH("换弹时间",$AI$3:$AO$3,0),FALSE)-$BL52/VLOOKUP(VLOOKUP($BJ52,坦克个性化设定!$B$18:$E$48,4,FALSE)&amp;$BK52,坦克属性分配比例,MATCH("升星次数",坦克属性分配比例标头,0),FALSE)*VLOOKUP($BJ52,$AR$3:$AY$33,MATCH("换弹时间",$AR$3:$AY$3,0),FALSE),1),0)</f>
        <v>7.5</v>
      </c>
      <c r="BX52" s="2">
        <f>ROUND(VLOOKUP($BJ52,$AI$3:$AO$33,MATCH(BX$3,$AI$3:$AO$3,0),FALSE)+$BL52/VLOOKUP(VLOOKUP($BJ52,坦克个性化设定!$B$18:$E$48,4,FALSE)&amp;$BK52,坦克属性分配比例,MATCH("升星次数",坦克属性分配比例标头,0),FALSE)*VLOOKUP($BJ52,$AR$3:$AY$33,MATCH(BX$3,$AR$3:$AY$3,0),FALSE),2)</f>
        <v>0.8</v>
      </c>
      <c r="BY52" s="2">
        <f>ROUND(VLOOKUP($BJ52,$AI$3:$AO$33,MATCH(BY$3,$AI$3:$AO$3,0),FALSE)-$BL52/VLOOKUP(VLOOKUP($BJ52,坦克个性化设定!$B$18:$E$48,4,FALSE)&amp;$BK52,坦克属性分配比例,MATCH("升星次数",坦克属性分配比例标头,0),FALSE)*VLOOKUP($BJ52,$AR$3:$AY$33,MATCH(BY$3,$AR$3:$AY$3,0),FALSE),2)</f>
        <v>0.42</v>
      </c>
    </row>
    <row r="53" spans="19:77" x14ac:dyDescent="0.3">
      <c r="S53" s="2" t="str">
        <f t="shared" si="19"/>
        <v>虎式最终</v>
      </c>
      <c r="T53" s="2">
        <f>IF(COUNTIF(U$4:U52,U52)&gt;=$B$3,T52+1,T52)</f>
        <v>25</v>
      </c>
      <c r="U53" s="2" t="str">
        <f t="shared" si="20"/>
        <v>虎式</v>
      </c>
      <c r="V53" s="2" t="str">
        <f>VLOOKUP(U53,坦克个性化设定!$B$18:$F$48,5,FALSE)</f>
        <v>重坦单发</v>
      </c>
      <c r="W53" s="29" t="str">
        <f>VLOOKUP(U53,坦克个性化细分!$I$3:$J$33,2,FALSE)</f>
        <v>中</v>
      </c>
      <c r="X53" s="2" t="str">
        <f t="shared" si="21"/>
        <v>最终</v>
      </c>
      <c r="Y53" s="2" t="str">
        <f>VLOOKUP(VLOOKUP(U53,坦克个性化设定!$B$18:$F$48,4,FALSE)&amp;W53,坦克等级成长!$P$12:$U$24,MATCH(X53,坦克等级成长!$P$12:$U$12,0),FALSE)</f>
        <v>T3中5</v>
      </c>
      <c r="Z53" s="42">
        <f ca="1">VLOOKUP($Y53,INDIRECT($V53&amp;"_阶段属性"),MATCH(Z$3,属性标头_阶段属性,0),FALSE)*VLOOKUP($U53,坦克个性化设定!$B$84:$D$114,2,FALSE)</f>
        <v>2003.4991799707395</v>
      </c>
      <c r="AA53" s="42">
        <f ca="1">VLOOKUP($Y53,INDIRECT($V53&amp;"_阶段属性"),MATCH(AA$3,属性标头_阶段属性,0),FALSE)*VLOOKUP($U53,坦克个性化设定!$B$84:$D$114,3,FALSE)</f>
        <v>978.72513231008065</v>
      </c>
      <c r="AB53" s="2">
        <f t="shared" ca="1" si="22"/>
        <v>287</v>
      </c>
      <c r="AC53" s="2">
        <f t="shared" ca="1" si="22"/>
        <v>717</v>
      </c>
      <c r="AD53" s="2">
        <f t="shared" ca="1" si="22"/>
        <v>958</v>
      </c>
      <c r="AE53" s="2">
        <f t="shared" ca="1" si="22"/>
        <v>208</v>
      </c>
      <c r="AF53" s="25"/>
      <c r="BH53" s="2" t="str">
        <f t="shared" si="13"/>
        <v>AMX-137</v>
      </c>
      <c r="BI53" s="2">
        <f>IF(BL52&gt;=VLOOKUP(VLOOKUP(BJ52,坦克个性化设定!$B$18:$E$48,4,FALSE)&amp;BK52,坦克属性分配比例,MATCH("升星次数",坦克属性分配比例标头,0),FALSE),BI52+1,BI52)</f>
        <v>6</v>
      </c>
      <c r="BJ53" s="2" t="str">
        <f t="shared" si="14"/>
        <v>AMX-13</v>
      </c>
      <c r="BK53" s="29" t="str">
        <f>VLOOKUP(BJ53,坦克个性化细分!$I$3:$J$33,2,FALSE)</f>
        <v>高</v>
      </c>
      <c r="BL53" s="2">
        <f t="shared" si="7"/>
        <v>7</v>
      </c>
      <c r="BM53" s="103">
        <f ca="1">ROUND(VLOOKUP($BJ53&amp;"初始",$S$3:$AE$63,MATCH(BM$3,$S$3:$AE$3,0),FALSE)+((VLOOKUP($BJ53&amp;"最终",$S$3:$AE$63,MATCH(BM$3,$S$3:$AE$3,0),FALSE)*坦克个性化细分!$C$9-VLOOKUP($BJ53&amp;"初始",$S$3:$AE$63,MATCH(BM$3,$S$3:$AE$3,0),FALSE))-(VLOOKUP($BJ53&amp;"最终",$S$3:$AE$63,MATCH(BM$3,$S$3:$AE$3,0),FALSE)-VLOOKUP($BJ53&amp;"初始",$S$3:$AE$63,MATCH(BM$3,$S$3:$AE$3,0),FALSE))*VLOOKUP(VLOOKUP($BJ53,坦克个性化设定!$B$18:$E$48,4,FALSE)&amp;$BK53,坦克属性分配比例,MATCH("部件比例",坦克属性分配比例标头,0),FALSE))*$BL53/VLOOKUP(VLOOKUP($BJ53,坦克个性化设定!$B$18:$E$48,4,FALSE)&amp;$BK53,坦克属性分配比例,MATCH("升星次数",坦克属性分配比例标头,0),FALSE),0)</f>
        <v>1632</v>
      </c>
      <c r="BN53" s="103">
        <f ca="1">ROUND(VLOOKUP($BJ53&amp;"初始",$S$3:$AE$63,MATCH(BN$3,$S$3:$AE$3,0),FALSE)+(VLOOKUP($BJ53&amp;"最终",$S$3:$AE$63,MATCH(BN$3,$S$3:$AE$3,0),FALSE)-VLOOKUP($BJ53&amp;"初始",$S$3:$AE$63,MATCH(BN$3,$S$3:$AE$3,0),FALSE))*$BL53/VLOOKUP(VLOOKUP($BJ53,坦克个性化设定!$B$18:$E$48,4,FALSE)&amp;$BK53,坦克属性分配比例,MATCH("升星次数",坦克属性分配比例标头,0),FALSE)*VLOOKUP(VLOOKUP($BJ53,坦克个性化设定!$B$18:$E$48,4,FALSE)&amp;$BK53,坦克属性分配比例,MATCH("升星比例",坦克属性分配比例标头,0),FALSE),0)</f>
        <v>123</v>
      </c>
      <c r="BO53" s="103">
        <f ca="1">ROUND(VLOOKUP($BJ53&amp;"初始",$S$3:$AE$63,MATCH(BO$3,$S$3:$AE$3,0),FALSE)+(VLOOKUP($BJ53&amp;"最终",$S$3:$AE$63,MATCH(BO$3,$S$3:$AE$3,0),FALSE)-VLOOKUP($BJ53&amp;"初始",$S$3:$AE$63,MATCH(BO$3,$S$3:$AE$3,0),FALSE))*$BL53/VLOOKUP(VLOOKUP($BJ53,坦克个性化设定!$B$18:$E$48,4,FALSE)&amp;$BK53,坦克属性分配比例,MATCH("升星次数",坦克属性分配比例标头,0),FALSE)*(VLOOKUP(VLOOKUP($BJ53,坦克个性化设定!$B$18:$E$48,4,FALSE)&amp;$BK53,坦克属性分配比例,MATCH("升星比例",坦克属性分配比例标头,0),FALSE)+VLOOKUP(VLOOKUP($BJ53,坦克个性化设定!$B$18:$E$48,4,FALSE)&amp;$BK53,坦克属性分配比例,MATCH("部件比例",坦克属性分配比例标头,0),FALSE)*$C$3),0)</f>
        <v>676</v>
      </c>
      <c r="BP53" s="103">
        <f ca="1">ROUND(VLOOKUP($BJ53&amp;"初始",$S$3:$AE$63,MATCH(BP$3,$S$3:$AE$3,0),FALSE)+(VLOOKUP($BJ53&amp;"最终",$S$3:$AE$63,MATCH(BP$3,$S$3:$AE$3,0),FALSE)-VLOOKUP($BJ53&amp;"初始",$S$3:$AE$63,MATCH(BP$3,$S$3:$AE$3,0),FALSE))*$BL53/VLOOKUP(VLOOKUP($BJ53,坦克个性化设定!$B$18:$E$48,4,FALSE)&amp;$BK53,坦克属性分配比例,MATCH("升星次数",坦克属性分配比例标头,0),FALSE)*(VLOOKUP(VLOOKUP($BJ53,坦克个性化设定!$B$18:$E$48,4,FALSE)&amp;$BK53,坦克属性分配比例,MATCH("升星比例",坦克属性分配比例标头,0),FALSE)+VLOOKUP(VLOOKUP($BJ53,坦克个性化设定!$B$18:$E$48,4,FALSE)&amp;$BK53,坦克属性分配比例,MATCH("部件比例",坦克属性分配比例标头,0),FALSE)*$C$3),0)</f>
        <v>270</v>
      </c>
      <c r="BQ53" s="103">
        <f ca="1">ROUND(VLOOKUP($BJ53&amp;"初始",$S$3:$AE$63,MATCH(BQ$3,$S$3:$AE$3,0),FALSE)+(VLOOKUP($BJ53&amp;"最终",$S$3:$AE$63,MATCH(BQ$3,$S$3:$AE$3,0),FALSE)-VLOOKUP($BJ53&amp;"初始",$S$3:$AE$63,MATCH(BQ$3,$S$3:$AE$3,0),FALSE))*$BL53/VLOOKUP(VLOOKUP($BJ53,坦克个性化设定!$B$18:$E$48,4,FALSE)&amp;$BK53,坦克属性分配比例,MATCH("升星次数",坦克属性分配比例标头,0),FALSE)*VLOOKUP(VLOOKUP($BJ53,坦克个性化设定!$B$18:$E$48,4,FALSE)&amp;$BK53,坦克属性分配比例,MATCH("升星比例",坦克属性分配比例标头,0),FALSE),0)</f>
        <v>573</v>
      </c>
      <c r="BR53" s="2">
        <f ca="1">ROUND(VLOOKUP($BJ53&amp;"初始",$S$3:$AE$63,MATCH(BR$3,$S$3:$AE$3,0),FALSE)+(VLOOKUP($BJ53&amp;"最终",$S$3:$AE$63,MATCH(BR$3,$S$3:$AE$3,0),FALSE)-VLOOKUP($BJ53&amp;"初始",$S$3:$AE$63,MATCH(BR$3,$S$3:$AE$3,0),FALSE))*$BL53/VLOOKUP(VLOOKUP($BJ53,坦克个性化设定!$B$18:$E$48,4,FALSE)&amp;$BK53,坦克属性分配比例,MATCH("升星次数",坦克属性分配比例标头,0),FALSE),0)</f>
        <v>172</v>
      </c>
      <c r="BS53" s="2">
        <f>ROUND(VLOOKUP($BJ53,$AI$3:$AO$33,MATCH(BS$3,$AI$3:$AO$3,0),FALSE)+$BL53/VLOOKUP(VLOOKUP($BJ53,坦克个性化设定!$B$18:$E$48,4,FALSE)&amp;$BK53,坦克属性分配比例,MATCH("升星次数",坦克属性分配比例标头,0),FALSE)*VLOOKUP($BJ53,$AR$3:$AY$33,MATCH(BS$3,$AR$3:$AY$3,0),FALSE),1)</f>
        <v>47.3</v>
      </c>
      <c r="BT53" s="2">
        <f>ROUND(VLOOKUP($BJ53,$AI$3:$AO$33,MATCH(BT$3,$AI$3:$AO$3,0),FALSE)+$BL53/VLOOKUP(VLOOKUP($BJ53,坦克个性化设定!$B$18:$E$48,4,FALSE)&amp;$BK53,坦克属性分配比例,MATCH("升星次数",坦克属性分配比例标头,0),FALSE)*VLOOKUP($BJ53,$AR$3:$AY$33,MATCH(BT$3,$AR$3:$AY$3,0),FALSE),1)</f>
        <v>70.599999999999994</v>
      </c>
      <c r="BU53" s="2">
        <f>ROUND(VLOOKUP($BJ53,$AI$3:$AO$33,MATCH(BU$3,$AI$3:$AO$3,0),FALSE)+$BL53/VLOOKUP(VLOOKUP($BJ53,坦克个性化设定!$B$18:$E$48,4,FALSE)&amp;$BK53,坦克属性分配比例,MATCH("升星次数",坦克属性分配比例标头,0),FALSE)*VLOOKUP($BJ53,$AR$3:$AY$33,MATCH(BU$3,$AR$3:$AY$3,0),FALSE),1)</f>
        <v>9.9</v>
      </c>
      <c r="BV53" s="2">
        <f>IF(VLOOKUP(BJ53,坦克个性化设定!$B$18:$BC$48,MATCH("装弹类型",坦克个性化设定!$B$18:$BC$18,0),FALSE)="弹夹换弹",0,ROUND(VLOOKUP($BJ53,$AI$3:$AO$33,MATCH("换弹时间",$AI$3:$AO$3,0),FALSE)-$BL53/VLOOKUP(VLOOKUP($BJ53,坦克个性化设定!$B$18:$E$48,4,FALSE)&amp;$BK53,坦克属性分配比例,MATCH("升星次数",坦克属性分配比例标头,0),FALSE)*VLOOKUP($BJ53,$AR$3:$AY$33,MATCH("换弹时间",$AR$3:$AY$3,0),FALSE),2))</f>
        <v>0</v>
      </c>
      <c r="BW53" s="2">
        <f>IF(VLOOKUP(BJ53,坦克个性化设定!$B$18:$BC$48,MATCH("装弹类型",坦克个性化设定!$B$18:$BC$18,0),FALSE)="弹夹换弹",ROUND(VLOOKUP($BJ53,$AI$3:$AO$33,MATCH("换弹时间",$AI$3:$AO$3,0),FALSE)-$BL53/VLOOKUP(VLOOKUP($BJ53,坦克个性化设定!$B$18:$E$48,4,FALSE)&amp;$BK53,坦克属性分配比例,MATCH("升星次数",坦克属性分配比例标头,0),FALSE)*VLOOKUP($BJ53,$AR$3:$AY$33,MATCH("换弹时间",$AR$3:$AY$3,0),FALSE),1),0)</f>
        <v>7.1</v>
      </c>
      <c r="BX53" s="2">
        <f>ROUND(VLOOKUP($BJ53,$AI$3:$AO$33,MATCH(BX$3,$AI$3:$AO$3,0),FALSE)+$BL53/VLOOKUP(VLOOKUP($BJ53,坦克个性化设定!$B$18:$E$48,4,FALSE)&amp;$BK53,坦克属性分配比例,MATCH("升星次数",坦克属性分配比例标头,0),FALSE)*VLOOKUP($BJ53,$AR$3:$AY$33,MATCH(BX$3,$AR$3:$AY$3,0),FALSE),2)</f>
        <v>0.8</v>
      </c>
      <c r="BY53" s="2">
        <f>ROUND(VLOOKUP($BJ53,$AI$3:$AO$33,MATCH(BY$3,$AI$3:$AO$3,0),FALSE)-$BL53/VLOOKUP(VLOOKUP($BJ53,坦克个性化设定!$B$18:$E$48,4,FALSE)&amp;$BK53,坦克属性分配比例,MATCH("升星次数",坦克属性分配比例标头,0),FALSE)*VLOOKUP($BJ53,$AR$3:$AY$33,MATCH(BY$3,$AR$3:$AY$3,0),FALSE),2)</f>
        <v>0.41</v>
      </c>
    </row>
    <row r="54" spans="19:77" x14ac:dyDescent="0.3">
      <c r="S54" s="2" t="str">
        <f t="shared" si="19"/>
        <v>KV-2初始</v>
      </c>
      <c r="T54" s="2">
        <f>IF(COUNTIF(U$4:U53,U53)&gt;=$B$3,T53+1,T53)</f>
        <v>26</v>
      </c>
      <c r="U54" s="2" t="str">
        <f t="shared" si="20"/>
        <v>KV-2</v>
      </c>
      <c r="V54" s="2" t="str">
        <f>VLOOKUP(U54,坦克个性化设定!$B$18:$F$48,5,FALSE)</f>
        <v>重坦自动</v>
      </c>
      <c r="W54" s="29" t="str">
        <f>VLOOKUP(U54,坦克个性化细分!$I$3:$J$33,2,FALSE)</f>
        <v>高</v>
      </c>
      <c r="X54" s="2" t="str">
        <f t="shared" si="21"/>
        <v>初始</v>
      </c>
      <c r="Y54" s="2" t="str">
        <f>VLOOKUP(VLOOKUP(U54,坦克个性化设定!$B$18:$F$48,4,FALSE)&amp;W54,坦克等级成长!$P$12:$U$24,MATCH(X54,坦克等级成长!$P$12:$U$12,0),FALSE)</f>
        <v>T3高3</v>
      </c>
      <c r="Z54" s="42">
        <f ca="1">VLOOKUP($Y54,INDIRECT($V54&amp;"_阶段属性"),MATCH(Z$3,属性标头_阶段属性,0),FALSE)*VLOOKUP($U54,坦克个性化设定!$B$84:$D$114,2,FALSE)</f>
        <v>1379.4764466754302</v>
      </c>
      <c r="AA54" s="42">
        <f ca="1">VLOOKUP($Y54,INDIRECT($V54&amp;"_阶段属性"),MATCH(AA$3,属性标头_阶段属性,0),FALSE)*VLOOKUP($U54,坦克个性化设定!$B$84:$D$114,3,FALSE)</f>
        <v>447.55226702966968</v>
      </c>
      <c r="AB54" s="2">
        <f t="shared" ca="1" si="22"/>
        <v>176</v>
      </c>
      <c r="AC54" s="2">
        <f t="shared" ca="1" si="22"/>
        <v>440</v>
      </c>
      <c r="AD54" s="2">
        <f t="shared" ca="1" si="22"/>
        <v>647</v>
      </c>
      <c r="AE54" s="2">
        <f t="shared" ca="1" si="22"/>
        <v>140</v>
      </c>
      <c r="AF54" s="25"/>
      <c r="BH54" s="2" t="str">
        <f t="shared" si="13"/>
        <v>AMX-138</v>
      </c>
      <c r="BI54" s="2">
        <f>IF(BL53&gt;=VLOOKUP(VLOOKUP(BJ53,坦克个性化设定!$B$18:$E$48,4,FALSE)&amp;BK53,坦克属性分配比例,MATCH("升星次数",坦克属性分配比例标头,0),FALSE),BI53+1,BI53)</f>
        <v>6</v>
      </c>
      <c r="BJ54" s="2" t="str">
        <f t="shared" si="14"/>
        <v>AMX-13</v>
      </c>
      <c r="BK54" s="29" t="str">
        <f>VLOOKUP(BJ54,坦克个性化细分!$I$3:$J$33,2,FALSE)</f>
        <v>高</v>
      </c>
      <c r="BL54" s="2">
        <f t="shared" si="7"/>
        <v>8</v>
      </c>
      <c r="BM54" s="103">
        <f ca="1">ROUND(VLOOKUP($BJ54&amp;"初始",$S$3:$AE$63,MATCH(BM$3,$S$3:$AE$3,0),FALSE)+((VLOOKUP($BJ54&amp;"最终",$S$3:$AE$63,MATCH(BM$3,$S$3:$AE$3,0),FALSE)*坦克个性化细分!$C$9-VLOOKUP($BJ54&amp;"初始",$S$3:$AE$63,MATCH(BM$3,$S$3:$AE$3,0),FALSE))-(VLOOKUP($BJ54&amp;"最终",$S$3:$AE$63,MATCH(BM$3,$S$3:$AE$3,0),FALSE)-VLOOKUP($BJ54&amp;"初始",$S$3:$AE$63,MATCH(BM$3,$S$3:$AE$3,0),FALSE))*VLOOKUP(VLOOKUP($BJ54,坦克个性化设定!$B$18:$E$48,4,FALSE)&amp;$BK54,坦克属性分配比例,MATCH("部件比例",坦克属性分配比例标头,0),FALSE))*$BL54/VLOOKUP(VLOOKUP($BJ54,坦克个性化设定!$B$18:$E$48,4,FALSE)&amp;$BK54,坦克属性分配比例,MATCH("升星次数",坦克属性分配比例标头,0),FALSE),0)</f>
        <v>1699</v>
      </c>
      <c r="BN54" s="103">
        <f ca="1">ROUND(VLOOKUP($BJ54&amp;"初始",$S$3:$AE$63,MATCH(BN$3,$S$3:$AE$3,0),FALSE)+(VLOOKUP($BJ54&amp;"最终",$S$3:$AE$63,MATCH(BN$3,$S$3:$AE$3,0),FALSE)-VLOOKUP($BJ54&amp;"初始",$S$3:$AE$63,MATCH(BN$3,$S$3:$AE$3,0),FALSE))*$BL54/VLOOKUP(VLOOKUP($BJ54,坦克个性化设定!$B$18:$E$48,4,FALSE)&amp;$BK54,坦克属性分配比例,MATCH("升星次数",坦克属性分配比例标头,0),FALSE)*VLOOKUP(VLOOKUP($BJ54,坦克个性化设定!$B$18:$E$48,4,FALSE)&amp;$BK54,坦克属性分配比例,MATCH("升星比例",坦克属性分配比例标头,0),FALSE),0)</f>
        <v>126</v>
      </c>
      <c r="BO54" s="103">
        <f ca="1">ROUND(VLOOKUP($BJ54&amp;"初始",$S$3:$AE$63,MATCH(BO$3,$S$3:$AE$3,0),FALSE)+(VLOOKUP($BJ54&amp;"最终",$S$3:$AE$63,MATCH(BO$3,$S$3:$AE$3,0),FALSE)-VLOOKUP($BJ54&amp;"初始",$S$3:$AE$63,MATCH(BO$3,$S$3:$AE$3,0),FALSE))*$BL54/VLOOKUP(VLOOKUP($BJ54,坦克个性化设定!$B$18:$E$48,4,FALSE)&amp;$BK54,坦克属性分配比例,MATCH("升星次数",坦克属性分配比例标头,0),FALSE)*(VLOOKUP(VLOOKUP($BJ54,坦克个性化设定!$B$18:$E$48,4,FALSE)&amp;$BK54,坦克属性分配比例,MATCH("升星比例",坦克属性分配比例标头,0),FALSE)+VLOOKUP(VLOOKUP($BJ54,坦克个性化设定!$B$18:$E$48,4,FALSE)&amp;$BK54,坦克属性分配比例,MATCH("部件比例",坦克属性分配比例标头,0),FALSE)*$C$3),0)</f>
        <v>700</v>
      </c>
      <c r="BP54" s="103">
        <f ca="1">ROUND(VLOOKUP($BJ54&amp;"初始",$S$3:$AE$63,MATCH(BP$3,$S$3:$AE$3,0),FALSE)+(VLOOKUP($BJ54&amp;"最终",$S$3:$AE$63,MATCH(BP$3,$S$3:$AE$3,0),FALSE)-VLOOKUP($BJ54&amp;"初始",$S$3:$AE$63,MATCH(BP$3,$S$3:$AE$3,0),FALSE))*$BL54/VLOOKUP(VLOOKUP($BJ54,坦克个性化设定!$B$18:$E$48,4,FALSE)&amp;$BK54,坦克属性分配比例,MATCH("升星次数",坦克属性分配比例标头,0),FALSE)*(VLOOKUP(VLOOKUP($BJ54,坦克个性化设定!$B$18:$E$48,4,FALSE)&amp;$BK54,坦克属性分配比例,MATCH("升星比例",坦克属性分配比例标头,0),FALSE)+VLOOKUP(VLOOKUP($BJ54,坦克个性化设定!$B$18:$E$48,4,FALSE)&amp;$BK54,坦克属性分配比例,MATCH("部件比例",坦克属性分配比例标头,0),FALSE)*$C$3),0)</f>
        <v>280</v>
      </c>
      <c r="BQ54" s="103">
        <f ca="1">ROUND(VLOOKUP($BJ54&amp;"初始",$S$3:$AE$63,MATCH(BQ$3,$S$3:$AE$3,0),FALSE)+(VLOOKUP($BJ54&amp;"最终",$S$3:$AE$63,MATCH(BQ$3,$S$3:$AE$3,0),FALSE)-VLOOKUP($BJ54&amp;"初始",$S$3:$AE$63,MATCH(BQ$3,$S$3:$AE$3,0),FALSE))*$BL54/VLOOKUP(VLOOKUP($BJ54,坦克个性化设定!$B$18:$E$48,4,FALSE)&amp;$BK54,坦克属性分配比例,MATCH("升星次数",坦克属性分配比例标头,0),FALSE)*VLOOKUP(VLOOKUP($BJ54,坦克个性化设定!$B$18:$E$48,4,FALSE)&amp;$BK54,坦克属性分配比例,MATCH("升星比例",坦克属性分配比例标头,0),FALSE),0)</f>
        <v>588</v>
      </c>
      <c r="BR54" s="2">
        <f ca="1">ROUND(VLOOKUP($BJ54&amp;"初始",$S$3:$AE$63,MATCH(BR$3,$S$3:$AE$3,0),FALSE)+(VLOOKUP($BJ54&amp;"最终",$S$3:$AE$63,MATCH(BR$3,$S$3:$AE$3,0),FALSE)-VLOOKUP($BJ54&amp;"初始",$S$3:$AE$63,MATCH(BR$3,$S$3:$AE$3,0),FALSE))*$BL54/VLOOKUP(VLOOKUP($BJ54,坦克个性化设定!$B$18:$E$48,4,FALSE)&amp;$BK54,坦克属性分配比例,MATCH("升星次数",坦克属性分配比例标头,0),FALSE),0)</f>
        <v>179</v>
      </c>
      <c r="BS54" s="2">
        <f>ROUND(VLOOKUP($BJ54,$AI$3:$AO$33,MATCH(BS$3,$AI$3:$AO$3,0),FALSE)+$BL54/VLOOKUP(VLOOKUP($BJ54,坦克个性化设定!$B$18:$E$48,4,FALSE)&amp;$BK54,坦克属性分配比例,MATCH("升星次数",坦克属性分配比例标头,0),FALSE)*VLOOKUP($BJ54,$AR$3:$AY$33,MATCH(BS$3,$AR$3:$AY$3,0),FALSE),1)</f>
        <v>48.4</v>
      </c>
      <c r="BT54" s="2">
        <f>ROUND(VLOOKUP($BJ54,$AI$3:$AO$33,MATCH(BT$3,$AI$3:$AO$3,0),FALSE)+$BL54/VLOOKUP(VLOOKUP($BJ54,坦克个性化设定!$B$18:$E$48,4,FALSE)&amp;$BK54,坦克属性分配比例,MATCH("升星次数",坦克属性分配比例标头,0),FALSE)*VLOOKUP($BJ54,$AR$3:$AY$33,MATCH(BT$3,$AR$3:$AY$3,0),FALSE),1)</f>
        <v>72.2</v>
      </c>
      <c r="BU54" s="2">
        <f>ROUND(VLOOKUP($BJ54,$AI$3:$AO$33,MATCH(BU$3,$AI$3:$AO$3,0),FALSE)+$BL54/VLOOKUP(VLOOKUP($BJ54,坦克个性化设定!$B$18:$E$48,4,FALSE)&amp;$BK54,坦克属性分配比例,MATCH("升星次数",坦克属性分配比例标头,0),FALSE)*VLOOKUP($BJ54,$AR$3:$AY$33,MATCH(BU$3,$AR$3:$AY$3,0),FALSE),1)</f>
        <v>9.9</v>
      </c>
      <c r="BV54" s="2">
        <f>IF(VLOOKUP(BJ54,坦克个性化设定!$B$18:$BC$48,MATCH("装弹类型",坦克个性化设定!$B$18:$BC$18,0),FALSE)="弹夹换弹",0,ROUND(VLOOKUP($BJ54,$AI$3:$AO$33,MATCH("换弹时间",$AI$3:$AO$3,0),FALSE)-$BL54/VLOOKUP(VLOOKUP($BJ54,坦克个性化设定!$B$18:$E$48,4,FALSE)&amp;$BK54,坦克属性分配比例,MATCH("升星次数",坦克属性分配比例标头,0),FALSE)*VLOOKUP($BJ54,$AR$3:$AY$33,MATCH("换弹时间",$AR$3:$AY$3,0),FALSE),2))</f>
        <v>0</v>
      </c>
      <c r="BW54" s="2">
        <f>IF(VLOOKUP(BJ54,坦克个性化设定!$B$18:$BC$48,MATCH("装弹类型",坦克个性化设定!$B$18:$BC$18,0),FALSE)="弹夹换弹",ROUND(VLOOKUP($BJ54,$AI$3:$AO$33,MATCH("换弹时间",$AI$3:$AO$3,0),FALSE)-$BL54/VLOOKUP(VLOOKUP($BJ54,坦克个性化设定!$B$18:$E$48,4,FALSE)&amp;$BK54,坦克属性分配比例,MATCH("升星次数",坦克属性分配比例标头,0),FALSE)*VLOOKUP($BJ54,$AR$3:$AY$33,MATCH("换弹时间",$AR$3:$AY$3,0),FALSE),1),0)</f>
        <v>6.7</v>
      </c>
      <c r="BX54" s="2">
        <f>ROUND(VLOOKUP($BJ54,$AI$3:$AO$33,MATCH(BX$3,$AI$3:$AO$3,0),FALSE)+$BL54/VLOOKUP(VLOOKUP($BJ54,坦克个性化设定!$B$18:$E$48,4,FALSE)&amp;$BK54,坦克属性分配比例,MATCH("升星次数",坦克属性分配比例标头,0),FALSE)*VLOOKUP($BJ54,$AR$3:$AY$33,MATCH(BX$3,$AR$3:$AY$3,0),FALSE),2)</f>
        <v>0.8</v>
      </c>
      <c r="BY54" s="2">
        <f>ROUND(VLOOKUP($BJ54,$AI$3:$AO$33,MATCH(BY$3,$AI$3:$AO$3,0),FALSE)-$BL54/VLOOKUP(VLOOKUP($BJ54,坦克个性化设定!$B$18:$E$48,4,FALSE)&amp;$BK54,坦克属性分配比例,MATCH("升星次数",坦克属性分配比例标头,0),FALSE)*VLOOKUP($BJ54,$AR$3:$AY$33,MATCH(BY$3,$AR$3:$AY$3,0),FALSE),2)</f>
        <v>0.4</v>
      </c>
    </row>
    <row r="55" spans="19:77" x14ac:dyDescent="0.3">
      <c r="S55" s="2" t="str">
        <f t="shared" si="19"/>
        <v>KV-2最终</v>
      </c>
      <c r="T55" s="2">
        <f>IF(COUNTIF(U$4:U54,U54)&gt;=$B$3,T54+1,T54)</f>
        <v>26</v>
      </c>
      <c r="U55" s="2" t="str">
        <f t="shared" si="20"/>
        <v>KV-2</v>
      </c>
      <c r="V55" s="2" t="str">
        <f>VLOOKUP(U55,坦克个性化设定!$B$18:$F$48,5,FALSE)</f>
        <v>重坦自动</v>
      </c>
      <c r="W55" s="29" t="str">
        <f>VLOOKUP(U55,坦克个性化细分!$I$3:$J$33,2,FALSE)</f>
        <v>高</v>
      </c>
      <c r="X55" s="2" t="str">
        <f t="shared" si="21"/>
        <v>最终</v>
      </c>
      <c r="Y55" s="2" t="str">
        <f>VLOOKUP(VLOOKUP(U55,坦克个性化设定!$B$18:$F$48,4,FALSE)&amp;W55,坦克等级成长!$P$12:$U$24,MATCH(X55,坦克等级成长!$P$12:$U$12,0),FALSE)</f>
        <v>T3高5</v>
      </c>
      <c r="Z55" s="42">
        <f ca="1">VLOOKUP($Y55,INDIRECT($V55&amp;"_阶段属性"),MATCH(Z$3,属性标头_阶段属性,0),FALSE)*VLOOKUP($U55,坦克个性化设定!$B$84:$D$114,2,FALSE)</f>
        <v>2041.6644984675588</v>
      </c>
      <c r="AA55" s="42">
        <f ca="1">VLOOKUP($Y55,INDIRECT($V55&amp;"_阶段属性"),MATCH(AA$3,属性标头_阶段属性,0),FALSE)*VLOOKUP($U55,坦克个性化设定!$B$84:$D$114,3,FALSE)</f>
        <v>676.94621142772212</v>
      </c>
      <c r="AB55" s="2">
        <f t="shared" ca="1" si="22"/>
        <v>266</v>
      </c>
      <c r="AC55" s="2">
        <f t="shared" ca="1" si="22"/>
        <v>666</v>
      </c>
      <c r="AD55" s="2">
        <f t="shared" ca="1" si="22"/>
        <v>979</v>
      </c>
      <c r="AE55" s="2">
        <f t="shared" ca="1" si="22"/>
        <v>212</v>
      </c>
      <c r="AF55" s="25"/>
      <c r="BH55" s="2" t="str">
        <f t="shared" si="13"/>
        <v>AMX-139</v>
      </c>
      <c r="BI55" s="2">
        <f>IF(BL54&gt;=VLOOKUP(VLOOKUP(BJ54,坦克个性化设定!$B$18:$E$48,4,FALSE)&amp;BK54,坦克属性分配比例,MATCH("升星次数",坦克属性分配比例标头,0),FALSE),BI54+1,BI54)</f>
        <v>6</v>
      </c>
      <c r="BJ55" s="2" t="str">
        <f t="shared" si="14"/>
        <v>AMX-13</v>
      </c>
      <c r="BK55" s="29" t="str">
        <f>VLOOKUP(BJ55,坦克个性化细分!$I$3:$J$33,2,FALSE)</f>
        <v>高</v>
      </c>
      <c r="BL55" s="2">
        <f t="shared" si="7"/>
        <v>9</v>
      </c>
      <c r="BM55" s="103">
        <f ca="1">ROUND(VLOOKUP($BJ55&amp;"初始",$S$3:$AE$63,MATCH(BM$3,$S$3:$AE$3,0),FALSE)+((VLOOKUP($BJ55&amp;"最终",$S$3:$AE$63,MATCH(BM$3,$S$3:$AE$3,0),FALSE)*坦克个性化细分!$C$9-VLOOKUP($BJ55&amp;"初始",$S$3:$AE$63,MATCH(BM$3,$S$3:$AE$3,0),FALSE))-(VLOOKUP($BJ55&amp;"最终",$S$3:$AE$63,MATCH(BM$3,$S$3:$AE$3,0),FALSE)-VLOOKUP($BJ55&amp;"初始",$S$3:$AE$63,MATCH(BM$3,$S$3:$AE$3,0),FALSE))*VLOOKUP(VLOOKUP($BJ55,坦克个性化设定!$B$18:$E$48,4,FALSE)&amp;$BK55,坦克属性分配比例,MATCH("部件比例",坦克属性分配比例标头,0),FALSE))*$BL55/VLOOKUP(VLOOKUP($BJ55,坦克个性化设定!$B$18:$E$48,4,FALSE)&amp;$BK55,坦克属性分配比例,MATCH("升星次数",坦克属性分配比例标头,0),FALSE),0)</f>
        <v>1765</v>
      </c>
      <c r="BN55" s="103">
        <f ca="1">ROUND(VLOOKUP($BJ55&amp;"初始",$S$3:$AE$63,MATCH(BN$3,$S$3:$AE$3,0),FALSE)+(VLOOKUP($BJ55&amp;"最终",$S$3:$AE$63,MATCH(BN$3,$S$3:$AE$3,0),FALSE)-VLOOKUP($BJ55&amp;"初始",$S$3:$AE$63,MATCH(BN$3,$S$3:$AE$3,0),FALSE))*$BL55/VLOOKUP(VLOOKUP($BJ55,坦克个性化设定!$B$18:$E$48,4,FALSE)&amp;$BK55,坦克属性分配比例,MATCH("升星次数",坦克属性分配比例标头,0),FALSE)*VLOOKUP(VLOOKUP($BJ55,坦克个性化设定!$B$18:$E$48,4,FALSE)&amp;$BK55,坦克属性分配比例,MATCH("升星比例",坦克属性分配比例标头,0),FALSE),0)</f>
        <v>130</v>
      </c>
      <c r="BO55" s="103">
        <f ca="1">ROUND(VLOOKUP($BJ55&amp;"初始",$S$3:$AE$63,MATCH(BO$3,$S$3:$AE$3,0),FALSE)+(VLOOKUP($BJ55&amp;"最终",$S$3:$AE$63,MATCH(BO$3,$S$3:$AE$3,0),FALSE)-VLOOKUP($BJ55&amp;"初始",$S$3:$AE$63,MATCH(BO$3,$S$3:$AE$3,0),FALSE))*$BL55/VLOOKUP(VLOOKUP($BJ55,坦克个性化设定!$B$18:$E$48,4,FALSE)&amp;$BK55,坦克属性分配比例,MATCH("升星次数",坦克属性分配比例标头,0),FALSE)*(VLOOKUP(VLOOKUP($BJ55,坦克个性化设定!$B$18:$E$48,4,FALSE)&amp;$BK55,坦克属性分配比例,MATCH("升星比例",坦克属性分配比例标头,0),FALSE)+VLOOKUP(VLOOKUP($BJ55,坦克个性化设定!$B$18:$E$48,4,FALSE)&amp;$BK55,坦克属性分配比例,MATCH("部件比例",坦克属性分配比例标头,0),FALSE)*$C$3),0)</f>
        <v>724</v>
      </c>
      <c r="BP55" s="103">
        <f ca="1">ROUND(VLOOKUP($BJ55&amp;"初始",$S$3:$AE$63,MATCH(BP$3,$S$3:$AE$3,0),FALSE)+(VLOOKUP($BJ55&amp;"最终",$S$3:$AE$63,MATCH(BP$3,$S$3:$AE$3,0),FALSE)-VLOOKUP($BJ55&amp;"初始",$S$3:$AE$63,MATCH(BP$3,$S$3:$AE$3,0),FALSE))*$BL55/VLOOKUP(VLOOKUP($BJ55,坦克个性化设定!$B$18:$E$48,4,FALSE)&amp;$BK55,坦克属性分配比例,MATCH("升星次数",坦克属性分配比例标头,0),FALSE)*(VLOOKUP(VLOOKUP($BJ55,坦克个性化设定!$B$18:$E$48,4,FALSE)&amp;$BK55,坦克属性分配比例,MATCH("升星比例",坦克属性分配比例标头,0),FALSE)+VLOOKUP(VLOOKUP($BJ55,坦克个性化设定!$B$18:$E$48,4,FALSE)&amp;$BK55,坦克属性分配比例,MATCH("部件比例",坦克属性分配比例标头,0),FALSE)*$C$3),0)</f>
        <v>289</v>
      </c>
      <c r="BQ55" s="103">
        <f ca="1">ROUND(VLOOKUP($BJ55&amp;"初始",$S$3:$AE$63,MATCH(BQ$3,$S$3:$AE$3,0),FALSE)+(VLOOKUP($BJ55&amp;"最终",$S$3:$AE$63,MATCH(BQ$3,$S$3:$AE$3,0),FALSE)-VLOOKUP($BJ55&amp;"初始",$S$3:$AE$63,MATCH(BQ$3,$S$3:$AE$3,0),FALSE))*$BL55/VLOOKUP(VLOOKUP($BJ55,坦克个性化设定!$B$18:$E$48,4,FALSE)&amp;$BK55,坦克属性分配比例,MATCH("升星次数",坦克属性分配比例标头,0),FALSE)*VLOOKUP(VLOOKUP($BJ55,坦克个性化设定!$B$18:$E$48,4,FALSE)&amp;$BK55,坦克属性分配比例,MATCH("升星比例",坦克属性分配比例标头,0),FALSE),0)</f>
        <v>604</v>
      </c>
      <c r="BR55" s="2">
        <f ca="1">ROUND(VLOOKUP($BJ55&amp;"初始",$S$3:$AE$63,MATCH(BR$3,$S$3:$AE$3,0),FALSE)+(VLOOKUP($BJ55&amp;"最终",$S$3:$AE$63,MATCH(BR$3,$S$3:$AE$3,0),FALSE)-VLOOKUP($BJ55&amp;"初始",$S$3:$AE$63,MATCH(BR$3,$S$3:$AE$3,0),FALSE))*$BL55/VLOOKUP(VLOOKUP($BJ55,坦克个性化设定!$B$18:$E$48,4,FALSE)&amp;$BK55,坦克属性分配比例,MATCH("升星次数",坦克属性分配比例标头,0),FALSE),0)</f>
        <v>186</v>
      </c>
      <c r="BS55" s="2">
        <f>ROUND(VLOOKUP($BJ55,$AI$3:$AO$33,MATCH(BS$3,$AI$3:$AO$3,0),FALSE)+$BL55/VLOOKUP(VLOOKUP($BJ55,坦克个性化设定!$B$18:$E$48,4,FALSE)&amp;$BK55,坦克属性分配比例,MATCH("升星次数",坦克属性分配比例标头,0),FALSE)*VLOOKUP($BJ55,$AR$3:$AY$33,MATCH(BS$3,$AR$3:$AY$3,0),FALSE),1)</f>
        <v>49.5</v>
      </c>
      <c r="BT55" s="2">
        <f>ROUND(VLOOKUP($BJ55,$AI$3:$AO$33,MATCH(BT$3,$AI$3:$AO$3,0),FALSE)+$BL55/VLOOKUP(VLOOKUP($BJ55,坦克个性化设定!$B$18:$E$48,4,FALSE)&amp;$BK55,坦克属性分配比例,MATCH("升星次数",坦克属性分配比例标头,0),FALSE)*VLOOKUP($BJ55,$AR$3:$AY$33,MATCH(BT$3,$AR$3:$AY$3,0),FALSE),1)</f>
        <v>73.900000000000006</v>
      </c>
      <c r="BU55" s="2">
        <f>ROUND(VLOOKUP($BJ55,$AI$3:$AO$33,MATCH(BU$3,$AI$3:$AO$3,0),FALSE)+$BL55/VLOOKUP(VLOOKUP($BJ55,坦克个性化设定!$B$18:$E$48,4,FALSE)&amp;$BK55,坦克属性分配比例,MATCH("升星次数",坦克属性分配比例标头,0),FALSE)*VLOOKUP($BJ55,$AR$3:$AY$33,MATCH(BU$3,$AR$3:$AY$3,0),FALSE),1)</f>
        <v>9.9</v>
      </c>
      <c r="BV55" s="2">
        <f>IF(VLOOKUP(BJ55,坦克个性化设定!$B$18:$BC$48,MATCH("装弹类型",坦克个性化设定!$B$18:$BC$18,0),FALSE)="弹夹换弹",0,ROUND(VLOOKUP($BJ55,$AI$3:$AO$33,MATCH("换弹时间",$AI$3:$AO$3,0),FALSE)-$BL55/VLOOKUP(VLOOKUP($BJ55,坦克个性化设定!$B$18:$E$48,4,FALSE)&amp;$BK55,坦克属性分配比例,MATCH("升星次数",坦克属性分配比例标头,0),FALSE)*VLOOKUP($BJ55,$AR$3:$AY$33,MATCH("换弹时间",$AR$3:$AY$3,0),FALSE),2))</f>
        <v>0</v>
      </c>
      <c r="BW55" s="2">
        <f>IF(VLOOKUP(BJ55,坦克个性化设定!$B$18:$BC$48,MATCH("装弹类型",坦克个性化设定!$B$18:$BC$18,0),FALSE)="弹夹换弹",ROUND(VLOOKUP($BJ55,$AI$3:$AO$33,MATCH("换弹时间",$AI$3:$AO$3,0),FALSE)-$BL55/VLOOKUP(VLOOKUP($BJ55,坦克个性化设定!$B$18:$E$48,4,FALSE)&amp;$BK55,坦克属性分配比例,MATCH("升星次数",坦克属性分配比例标头,0),FALSE)*VLOOKUP($BJ55,$AR$3:$AY$33,MATCH("换弹时间",$AR$3:$AY$3,0),FALSE),1),0)</f>
        <v>6.3</v>
      </c>
      <c r="BX55" s="2">
        <f>ROUND(VLOOKUP($BJ55,$AI$3:$AO$33,MATCH(BX$3,$AI$3:$AO$3,0),FALSE)+$BL55/VLOOKUP(VLOOKUP($BJ55,坦克个性化设定!$B$18:$E$48,4,FALSE)&amp;$BK55,坦克属性分配比例,MATCH("升星次数",坦克属性分配比例标头,0),FALSE)*VLOOKUP($BJ55,$AR$3:$AY$33,MATCH(BX$3,$AR$3:$AY$3,0),FALSE),2)</f>
        <v>0.8</v>
      </c>
      <c r="BY55" s="2">
        <f>ROUND(VLOOKUP($BJ55,$AI$3:$AO$33,MATCH(BY$3,$AI$3:$AO$3,0),FALSE)-$BL55/VLOOKUP(VLOOKUP($BJ55,坦克个性化设定!$B$18:$E$48,4,FALSE)&amp;$BK55,坦克属性分配比例,MATCH("升星次数",坦克属性分配比例标头,0),FALSE)*VLOOKUP($BJ55,$AR$3:$AY$33,MATCH(BY$3,$AR$3:$AY$3,0),FALSE),2)</f>
        <v>0.4</v>
      </c>
    </row>
    <row r="56" spans="19:77" x14ac:dyDescent="0.3">
      <c r="S56" s="2" t="str">
        <f t="shared" si="19"/>
        <v>征服者初始</v>
      </c>
      <c r="T56" s="2">
        <f>IF(COUNTIF(U$4:U55,U55)&gt;=$B$3,T55+1,T55)</f>
        <v>27</v>
      </c>
      <c r="U56" s="2" t="str">
        <f t="shared" si="20"/>
        <v>征服者</v>
      </c>
      <c r="V56" s="2" t="str">
        <f>VLOOKUP(U56,坦克个性化设定!$B$18:$F$48,5,FALSE)</f>
        <v>重坦单发</v>
      </c>
      <c r="W56" s="29" t="str">
        <f>VLOOKUP(U56,坦克个性化细分!$I$3:$J$33,2,FALSE)</f>
        <v>低</v>
      </c>
      <c r="X56" s="2" t="str">
        <f t="shared" si="21"/>
        <v>初始</v>
      </c>
      <c r="Y56" s="2" t="str">
        <f>VLOOKUP(VLOOKUP(U56,坦克个性化设定!$B$18:$F$48,4,FALSE)&amp;W56,坦克等级成长!$P$12:$U$24,MATCH(X56,坦克等级成长!$P$12:$U$12,0),FALSE)</f>
        <v>T4低4</v>
      </c>
      <c r="Z56" s="42">
        <f ca="1">VLOOKUP($Y56,INDIRECT($V56&amp;"_阶段属性"),MATCH(Z$3,属性标头_阶段属性,0),FALSE)*VLOOKUP($U56,坦克个性化设定!$B$84:$D$114,2,FALSE)</f>
        <v>1881.0579826603289</v>
      </c>
      <c r="AA56" s="42">
        <f ca="1">VLOOKUP($Y56,INDIRECT($V56&amp;"_阶段属性"),MATCH(AA$3,属性标头_阶段属性,0),FALSE)*VLOOKUP($U56,坦克个性化设定!$B$84:$D$114,3,FALSE)</f>
        <v>739.69437030971767</v>
      </c>
      <c r="AB56" s="2">
        <f t="shared" ca="1" si="22"/>
        <v>241</v>
      </c>
      <c r="AC56" s="2">
        <f t="shared" ca="1" si="22"/>
        <v>603</v>
      </c>
      <c r="AD56" s="2">
        <f t="shared" ca="1" si="22"/>
        <v>806</v>
      </c>
      <c r="AE56" s="2">
        <f t="shared" ca="1" si="22"/>
        <v>175</v>
      </c>
      <c r="AF56" s="25"/>
      <c r="BH56" s="2" t="str">
        <f t="shared" si="13"/>
        <v>霞飞0</v>
      </c>
      <c r="BI56" s="2">
        <f>IF(BL55&gt;=VLOOKUP(VLOOKUP(BJ55,坦克个性化设定!$B$18:$E$48,4,FALSE)&amp;BK55,坦克属性分配比例,MATCH("升星次数",坦克属性分配比例标头,0),FALSE),BI55+1,BI55)</f>
        <v>7</v>
      </c>
      <c r="BJ56" s="2" t="str">
        <f t="shared" si="14"/>
        <v>霞飞</v>
      </c>
      <c r="BK56" s="29" t="str">
        <f>VLOOKUP(BJ56,坦克个性化细分!$I$3:$J$33,2,FALSE)</f>
        <v>低</v>
      </c>
      <c r="BL56" s="2">
        <f t="shared" si="7"/>
        <v>0</v>
      </c>
      <c r="BM56" s="103" t="e">
        <f ca="1">ROUND(VLOOKUP($BJ56&amp;"初始",$S$3:$AE$63,MATCH(BM$3,$S$3:$AE$3,0),FALSE)+((VLOOKUP($BJ56&amp;"最终",$S$3:$AE$63,MATCH(BM$3,$S$3:$AE$3,0),FALSE)*坦克个性化细分!$C$9-VLOOKUP($BJ56&amp;"初始",$S$3:$AE$63,MATCH(BM$3,$S$3:$AE$3,0),FALSE))-(VLOOKUP($BJ56&amp;"最终",$S$3:$AE$63,MATCH(BM$3,$S$3:$AE$3,0),FALSE)-VLOOKUP($BJ56&amp;"初始",$S$3:$AE$63,MATCH(BM$3,$S$3:$AE$3,0),FALSE))*VLOOKUP(VLOOKUP($BJ56,坦克个性化设定!$B$18:$E$48,4,FALSE)&amp;$BK56,坦克属性分配比例,MATCH("部件比例",坦克属性分配比例标头,0),FALSE))*$BL56/VLOOKUP(VLOOKUP($BJ56,坦克个性化设定!$B$18:$E$48,4,FALSE)&amp;$BK56,坦克属性分配比例,MATCH("升星次数",坦克属性分配比例标头,0),FALSE),0)</f>
        <v>#N/A</v>
      </c>
      <c r="BN56" s="103" t="e">
        <f ca="1">ROUND(VLOOKUP($BJ56&amp;"初始",$S$3:$AE$63,MATCH(BN$3,$S$3:$AE$3,0),FALSE)+(VLOOKUP($BJ56&amp;"最终",$S$3:$AE$63,MATCH(BN$3,$S$3:$AE$3,0),FALSE)-VLOOKUP($BJ56&amp;"初始",$S$3:$AE$63,MATCH(BN$3,$S$3:$AE$3,0),FALSE))*$BL56/VLOOKUP(VLOOKUP($BJ56,坦克个性化设定!$B$18:$E$48,4,FALSE)&amp;$BK56,坦克属性分配比例,MATCH("升星次数",坦克属性分配比例标头,0),FALSE)*VLOOKUP(VLOOKUP($BJ56,坦克个性化设定!$B$18:$E$48,4,FALSE)&amp;$BK56,坦克属性分配比例,MATCH("升星比例",坦克属性分配比例标头,0),FALSE),0)</f>
        <v>#N/A</v>
      </c>
      <c r="BO56" s="103" t="e">
        <f ca="1">ROUND(VLOOKUP($BJ56&amp;"初始",$S$3:$AE$63,MATCH(BO$3,$S$3:$AE$3,0),FALSE)+(VLOOKUP($BJ56&amp;"最终",$S$3:$AE$63,MATCH(BO$3,$S$3:$AE$3,0),FALSE)-VLOOKUP($BJ56&amp;"初始",$S$3:$AE$63,MATCH(BO$3,$S$3:$AE$3,0),FALSE))*$BL56/VLOOKUP(VLOOKUP($BJ56,坦克个性化设定!$B$18:$E$48,4,FALSE)&amp;$BK56,坦克属性分配比例,MATCH("升星次数",坦克属性分配比例标头,0),FALSE)*(VLOOKUP(VLOOKUP($BJ56,坦克个性化设定!$B$18:$E$48,4,FALSE)&amp;$BK56,坦克属性分配比例,MATCH("升星比例",坦克属性分配比例标头,0),FALSE)+VLOOKUP(VLOOKUP($BJ56,坦克个性化设定!$B$18:$E$48,4,FALSE)&amp;$BK56,坦克属性分配比例,MATCH("部件比例",坦克属性分配比例标头,0),FALSE)*$C$3),0)</f>
        <v>#N/A</v>
      </c>
      <c r="BP56" s="103" t="e">
        <f ca="1">ROUND(VLOOKUP($BJ56&amp;"初始",$S$3:$AE$63,MATCH(BP$3,$S$3:$AE$3,0),FALSE)+(VLOOKUP($BJ56&amp;"最终",$S$3:$AE$63,MATCH(BP$3,$S$3:$AE$3,0),FALSE)-VLOOKUP($BJ56&amp;"初始",$S$3:$AE$63,MATCH(BP$3,$S$3:$AE$3,0),FALSE))*$BL56/VLOOKUP(VLOOKUP($BJ56,坦克个性化设定!$B$18:$E$48,4,FALSE)&amp;$BK56,坦克属性分配比例,MATCH("升星次数",坦克属性分配比例标头,0),FALSE)*(VLOOKUP(VLOOKUP($BJ56,坦克个性化设定!$B$18:$E$48,4,FALSE)&amp;$BK56,坦克属性分配比例,MATCH("升星比例",坦克属性分配比例标头,0),FALSE)+VLOOKUP(VLOOKUP($BJ56,坦克个性化设定!$B$18:$E$48,4,FALSE)&amp;$BK56,坦克属性分配比例,MATCH("部件比例",坦克属性分配比例标头,0),FALSE)*$C$3),0)</f>
        <v>#N/A</v>
      </c>
      <c r="BQ56" s="103" t="e">
        <f ca="1">ROUND(VLOOKUP($BJ56&amp;"初始",$S$3:$AE$63,MATCH(BQ$3,$S$3:$AE$3,0),FALSE)+(VLOOKUP($BJ56&amp;"最终",$S$3:$AE$63,MATCH(BQ$3,$S$3:$AE$3,0),FALSE)-VLOOKUP($BJ56&amp;"初始",$S$3:$AE$63,MATCH(BQ$3,$S$3:$AE$3,0),FALSE))*$BL56/VLOOKUP(VLOOKUP($BJ56,坦克个性化设定!$B$18:$E$48,4,FALSE)&amp;$BK56,坦克属性分配比例,MATCH("升星次数",坦克属性分配比例标头,0),FALSE)*VLOOKUP(VLOOKUP($BJ56,坦克个性化设定!$B$18:$E$48,4,FALSE)&amp;$BK56,坦克属性分配比例,MATCH("升星比例",坦克属性分配比例标头,0),FALSE),0)</f>
        <v>#N/A</v>
      </c>
      <c r="BR56" s="2" t="e">
        <f ca="1">ROUND(VLOOKUP($BJ56&amp;"初始",$S$3:$AE$63,MATCH(BR$3,$S$3:$AE$3,0),FALSE)+(VLOOKUP($BJ56&amp;"最终",$S$3:$AE$63,MATCH(BR$3,$S$3:$AE$3,0),FALSE)-VLOOKUP($BJ56&amp;"初始",$S$3:$AE$63,MATCH(BR$3,$S$3:$AE$3,0),FALSE))*$BL56/VLOOKUP(VLOOKUP($BJ56,坦克个性化设定!$B$18:$E$48,4,FALSE)&amp;$BK56,坦克属性分配比例,MATCH("升星次数",坦克属性分配比例标头,0),FALSE),0)</f>
        <v>#N/A</v>
      </c>
      <c r="BS56" s="2">
        <f>ROUND(VLOOKUP($BJ56,$AI$3:$AO$33,MATCH(BS$3,$AI$3:$AO$3,0),FALSE)+$BL56/VLOOKUP(VLOOKUP($BJ56,坦克个性化设定!$B$18:$E$48,4,FALSE)&amp;$BK56,坦克属性分配比例,MATCH("升星次数",坦克属性分配比例标头,0),FALSE)*VLOOKUP($BJ56,$AR$3:$AY$33,MATCH(BS$3,$AR$3:$AY$3,0),FALSE),1)</f>
        <v>42.4</v>
      </c>
      <c r="BT56" s="2">
        <f>ROUND(VLOOKUP($BJ56,$AI$3:$AO$33,MATCH(BT$3,$AI$3:$AO$3,0),FALSE)+$BL56/VLOOKUP(VLOOKUP($BJ56,坦克个性化设定!$B$18:$E$48,4,FALSE)&amp;$BK56,坦克属性分配比例,MATCH("升星次数",坦克属性分配比例标头,0),FALSE)*VLOOKUP($BJ56,$AR$3:$AY$33,MATCH(BT$3,$AR$3:$AY$3,0),FALSE),1)</f>
        <v>50</v>
      </c>
      <c r="BU56" s="2">
        <f>ROUND(VLOOKUP($BJ56,$AI$3:$AO$33,MATCH(BU$3,$AI$3:$AO$3,0),FALSE)+$BL56/VLOOKUP(VLOOKUP($BJ56,坦克个性化设定!$B$18:$E$48,4,FALSE)&amp;$BK56,坦克属性分配比例,MATCH("升星次数",坦克属性分配比例标头,0),FALSE)*VLOOKUP($BJ56,$AR$3:$AY$33,MATCH(BU$3,$AR$3:$AY$3,0),FALSE),1)</f>
        <v>10</v>
      </c>
      <c r="BV56" s="2">
        <f>IF(VLOOKUP(BJ56,坦克个性化设定!$B$18:$BC$48,MATCH("装弹类型",坦克个性化设定!$B$18:$BC$18,0),FALSE)="弹夹换弹",0,ROUND(VLOOKUP($BJ56,$AI$3:$AO$33,MATCH("换弹时间",$AI$3:$AO$3,0),FALSE)-$BL56/VLOOKUP(VLOOKUP($BJ56,坦克个性化设定!$B$18:$E$48,4,FALSE)&amp;$BK56,坦克属性分配比例,MATCH("升星次数",坦克属性分配比例标头,0),FALSE)*VLOOKUP($BJ56,$AR$3:$AY$33,MATCH("换弹时间",$AR$3:$AY$3,0),FALSE),2))</f>
        <v>0</v>
      </c>
      <c r="BW56" s="2">
        <f>IF(VLOOKUP(BJ56,坦克个性化设定!$B$18:$BC$48,MATCH("装弹类型",坦克个性化设定!$B$18:$BC$18,0),FALSE)="弹夹换弹",ROUND(VLOOKUP($BJ56,$AI$3:$AO$33,MATCH("换弹时间",$AI$3:$AO$3,0),FALSE)-$BL56/VLOOKUP(VLOOKUP($BJ56,坦克个性化设定!$B$18:$E$48,4,FALSE)&amp;$BK56,坦克属性分配比例,MATCH("升星次数",坦克属性分配比例标头,0),FALSE)*VLOOKUP($BJ56,$AR$3:$AY$33,MATCH("换弹时间",$AR$3:$AY$3,0),FALSE),1),0)</f>
        <v>9.8000000000000007</v>
      </c>
      <c r="BX56" s="2">
        <f>ROUND(VLOOKUP($BJ56,$AI$3:$AO$33,MATCH(BX$3,$AI$3:$AO$3,0),FALSE)+$BL56/VLOOKUP(VLOOKUP($BJ56,坦克个性化设定!$B$18:$E$48,4,FALSE)&amp;$BK56,坦克属性分配比例,MATCH("升星次数",坦克属性分配比例标头,0),FALSE)*VLOOKUP($BJ56,$AR$3:$AY$33,MATCH(BX$3,$AR$3:$AY$3,0),FALSE),2)</f>
        <v>0.6</v>
      </c>
      <c r="BY56" s="2">
        <f>ROUND(VLOOKUP($BJ56,$AI$3:$AO$33,MATCH(BY$3,$AI$3:$AO$3,0),FALSE)-$BL56/VLOOKUP(VLOOKUP($BJ56,坦克个性化设定!$B$18:$E$48,4,FALSE)&amp;$BK56,坦克属性分配比例,MATCH("升星次数",坦克属性分配比例标头,0),FALSE)*VLOOKUP($BJ56,$AR$3:$AY$33,MATCH(BY$3,$AR$3:$AY$3,0),FALSE),2)</f>
        <v>0.4</v>
      </c>
    </row>
    <row r="57" spans="19:77" x14ac:dyDescent="0.3">
      <c r="S57" s="2" t="str">
        <f t="shared" si="19"/>
        <v>征服者最终</v>
      </c>
      <c r="T57" s="2">
        <f>IF(COUNTIF(U$4:U56,U56)&gt;=$B$3,T56+1,T56)</f>
        <v>27</v>
      </c>
      <c r="U57" s="2" t="str">
        <f t="shared" si="20"/>
        <v>征服者</v>
      </c>
      <c r="V57" s="2" t="str">
        <f>VLOOKUP(U57,坦克个性化设定!$B$18:$F$48,5,FALSE)</f>
        <v>重坦单发</v>
      </c>
      <c r="W57" s="29" t="str">
        <f>VLOOKUP(U57,坦克个性化细分!$I$3:$J$33,2,FALSE)</f>
        <v>低</v>
      </c>
      <c r="X57" s="2" t="str">
        <f t="shared" si="21"/>
        <v>最终</v>
      </c>
      <c r="Y57" s="2" t="str">
        <f>VLOOKUP(VLOOKUP(U57,坦克个性化设定!$B$18:$F$48,4,FALSE)&amp;W57,坦克等级成长!$P$12:$U$24,MATCH(X57,坦克等级成长!$P$12:$U$12,0),FALSE)</f>
        <v>T4低7</v>
      </c>
      <c r="Z57" s="42" t="e">
        <f ca="1">VLOOKUP($Y57,INDIRECT($V57&amp;"_阶段属性"),MATCH(Z$3,属性标头_阶段属性,0),FALSE)*VLOOKUP($U57,坦克个性化设定!$B$84:$D$114,2,FALSE)</f>
        <v>#N/A</v>
      </c>
      <c r="AA57" s="42" t="e">
        <f ca="1">VLOOKUP($Y57,INDIRECT($V57&amp;"_阶段属性"),MATCH(AA$3,属性标头_阶段属性,0),FALSE)*VLOOKUP($U57,坦克个性化设定!$B$84:$D$114,3,FALSE)</f>
        <v>#N/A</v>
      </c>
      <c r="AB57" s="2" t="e">
        <f t="shared" ca="1" si="22"/>
        <v>#N/A</v>
      </c>
      <c r="AC57" s="2" t="e">
        <f t="shared" ca="1" si="22"/>
        <v>#N/A</v>
      </c>
      <c r="AD57" s="2" t="e">
        <f t="shared" ca="1" si="22"/>
        <v>#N/A</v>
      </c>
      <c r="AE57" s="2" t="e">
        <f t="shared" ca="1" si="22"/>
        <v>#N/A</v>
      </c>
      <c r="AF57" s="25"/>
      <c r="BH57" s="2" t="str">
        <f t="shared" si="13"/>
        <v>霞飞1</v>
      </c>
      <c r="BI57" s="2">
        <f>IF(BL56&gt;=VLOOKUP(VLOOKUP(BJ56,坦克个性化设定!$B$18:$E$48,4,FALSE)&amp;BK56,坦克属性分配比例,MATCH("升星次数",坦克属性分配比例标头,0),FALSE),BI56+1,BI56)</f>
        <v>7</v>
      </c>
      <c r="BJ57" s="2" t="str">
        <f t="shared" si="14"/>
        <v>霞飞</v>
      </c>
      <c r="BK57" s="29" t="str">
        <f>VLOOKUP(BJ57,坦克个性化细分!$I$3:$J$33,2,FALSE)</f>
        <v>低</v>
      </c>
      <c r="BL57" s="2">
        <f t="shared" si="7"/>
        <v>1</v>
      </c>
      <c r="BM57" s="103" t="e">
        <f ca="1">ROUND(VLOOKUP($BJ57&amp;"初始",$S$3:$AE$63,MATCH(BM$3,$S$3:$AE$3,0),FALSE)+((VLOOKUP($BJ57&amp;"最终",$S$3:$AE$63,MATCH(BM$3,$S$3:$AE$3,0),FALSE)*坦克个性化细分!$C$9-VLOOKUP($BJ57&amp;"初始",$S$3:$AE$63,MATCH(BM$3,$S$3:$AE$3,0),FALSE))-(VLOOKUP($BJ57&amp;"最终",$S$3:$AE$63,MATCH(BM$3,$S$3:$AE$3,0),FALSE)-VLOOKUP($BJ57&amp;"初始",$S$3:$AE$63,MATCH(BM$3,$S$3:$AE$3,0),FALSE))*VLOOKUP(VLOOKUP($BJ57,坦克个性化设定!$B$18:$E$48,4,FALSE)&amp;$BK57,坦克属性分配比例,MATCH("部件比例",坦克属性分配比例标头,0),FALSE))*$BL57/VLOOKUP(VLOOKUP($BJ57,坦克个性化设定!$B$18:$E$48,4,FALSE)&amp;$BK57,坦克属性分配比例,MATCH("升星次数",坦克属性分配比例标头,0),FALSE),0)</f>
        <v>#N/A</v>
      </c>
      <c r="BN57" s="103" t="e">
        <f ca="1">ROUND(VLOOKUP($BJ57&amp;"初始",$S$3:$AE$63,MATCH(BN$3,$S$3:$AE$3,0),FALSE)+(VLOOKUP($BJ57&amp;"最终",$S$3:$AE$63,MATCH(BN$3,$S$3:$AE$3,0),FALSE)-VLOOKUP($BJ57&amp;"初始",$S$3:$AE$63,MATCH(BN$3,$S$3:$AE$3,0),FALSE))*$BL57/VLOOKUP(VLOOKUP($BJ57,坦克个性化设定!$B$18:$E$48,4,FALSE)&amp;$BK57,坦克属性分配比例,MATCH("升星次数",坦克属性分配比例标头,0),FALSE)*VLOOKUP(VLOOKUP($BJ57,坦克个性化设定!$B$18:$E$48,4,FALSE)&amp;$BK57,坦克属性分配比例,MATCH("升星比例",坦克属性分配比例标头,0),FALSE),0)</f>
        <v>#N/A</v>
      </c>
      <c r="BO57" s="103" t="e">
        <f ca="1">ROUND(VLOOKUP($BJ57&amp;"初始",$S$3:$AE$63,MATCH(BO$3,$S$3:$AE$3,0),FALSE)+(VLOOKUP($BJ57&amp;"最终",$S$3:$AE$63,MATCH(BO$3,$S$3:$AE$3,0),FALSE)-VLOOKUP($BJ57&amp;"初始",$S$3:$AE$63,MATCH(BO$3,$S$3:$AE$3,0),FALSE))*$BL57/VLOOKUP(VLOOKUP($BJ57,坦克个性化设定!$B$18:$E$48,4,FALSE)&amp;$BK57,坦克属性分配比例,MATCH("升星次数",坦克属性分配比例标头,0),FALSE)*(VLOOKUP(VLOOKUP($BJ57,坦克个性化设定!$B$18:$E$48,4,FALSE)&amp;$BK57,坦克属性分配比例,MATCH("升星比例",坦克属性分配比例标头,0),FALSE)+VLOOKUP(VLOOKUP($BJ57,坦克个性化设定!$B$18:$E$48,4,FALSE)&amp;$BK57,坦克属性分配比例,MATCH("部件比例",坦克属性分配比例标头,0),FALSE)*$C$3),0)</f>
        <v>#N/A</v>
      </c>
      <c r="BP57" s="103" t="e">
        <f ca="1">ROUND(VLOOKUP($BJ57&amp;"初始",$S$3:$AE$63,MATCH(BP$3,$S$3:$AE$3,0),FALSE)+(VLOOKUP($BJ57&amp;"最终",$S$3:$AE$63,MATCH(BP$3,$S$3:$AE$3,0),FALSE)-VLOOKUP($BJ57&amp;"初始",$S$3:$AE$63,MATCH(BP$3,$S$3:$AE$3,0),FALSE))*$BL57/VLOOKUP(VLOOKUP($BJ57,坦克个性化设定!$B$18:$E$48,4,FALSE)&amp;$BK57,坦克属性分配比例,MATCH("升星次数",坦克属性分配比例标头,0),FALSE)*(VLOOKUP(VLOOKUP($BJ57,坦克个性化设定!$B$18:$E$48,4,FALSE)&amp;$BK57,坦克属性分配比例,MATCH("升星比例",坦克属性分配比例标头,0),FALSE)+VLOOKUP(VLOOKUP($BJ57,坦克个性化设定!$B$18:$E$48,4,FALSE)&amp;$BK57,坦克属性分配比例,MATCH("部件比例",坦克属性分配比例标头,0),FALSE)*$C$3),0)</f>
        <v>#N/A</v>
      </c>
      <c r="BQ57" s="103" t="e">
        <f ca="1">ROUND(VLOOKUP($BJ57&amp;"初始",$S$3:$AE$63,MATCH(BQ$3,$S$3:$AE$3,0),FALSE)+(VLOOKUP($BJ57&amp;"最终",$S$3:$AE$63,MATCH(BQ$3,$S$3:$AE$3,0),FALSE)-VLOOKUP($BJ57&amp;"初始",$S$3:$AE$63,MATCH(BQ$3,$S$3:$AE$3,0),FALSE))*$BL57/VLOOKUP(VLOOKUP($BJ57,坦克个性化设定!$B$18:$E$48,4,FALSE)&amp;$BK57,坦克属性分配比例,MATCH("升星次数",坦克属性分配比例标头,0),FALSE)*VLOOKUP(VLOOKUP($BJ57,坦克个性化设定!$B$18:$E$48,4,FALSE)&amp;$BK57,坦克属性分配比例,MATCH("升星比例",坦克属性分配比例标头,0),FALSE),0)</f>
        <v>#N/A</v>
      </c>
      <c r="BR57" s="2" t="e">
        <f ca="1">ROUND(VLOOKUP($BJ57&amp;"初始",$S$3:$AE$63,MATCH(BR$3,$S$3:$AE$3,0),FALSE)+(VLOOKUP($BJ57&amp;"最终",$S$3:$AE$63,MATCH(BR$3,$S$3:$AE$3,0),FALSE)-VLOOKUP($BJ57&amp;"初始",$S$3:$AE$63,MATCH(BR$3,$S$3:$AE$3,0),FALSE))*$BL57/VLOOKUP(VLOOKUP($BJ57,坦克个性化设定!$B$18:$E$48,4,FALSE)&amp;$BK57,坦克属性分配比例,MATCH("升星次数",坦克属性分配比例标头,0),FALSE),0)</f>
        <v>#N/A</v>
      </c>
      <c r="BS57" s="2">
        <f>ROUND(VLOOKUP($BJ57,$AI$3:$AO$33,MATCH(BS$3,$AI$3:$AO$3,0),FALSE)+$BL57/VLOOKUP(VLOOKUP($BJ57,坦克个性化设定!$B$18:$E$48,4,FALSE)&amp;$BK57,坦克属性分配比例,MATCH("升星次数",坦克属性分配比例标头,0),FALSE)*VLOOKUP($BJ57,$AR$3:$AY$33,MATCH(BS$3,$AR$3:$AY$3,0),FALSE),1)</f>
        <v>43.4</v>
      </c>
      <c r="BT57" s="2">
        <f>ROUND(VLOOKUP($BJ57,$AI$3:$AO$33,MATCH(BT$3,$AI$3:$AO$3,0),FALSE)+$BL57/VLOOKUP(VLOOKUP($BJ57,坦克个性化设定!$B$18:$E$48,4,FALSE)&amp;$BK57,坦克属性分配比例,MATCH("升星次数",坦克属性分配比例标头,0),FALSE)*VLOOKUP($BJ57,$AR$3:$AY$33,MATCH(BT$3,$AR$3:$AY$3,0),FALSE),1)</f>
        <v>51.1</v>
      </c>
      <c r="BU57" s="2">
        <f>ROUND(VLOOKUP($BJ57,$AI$3:$AO$33,MATCH(BU$3,$AI$3:$AO$3,0),FALSE)+$BL57/VLOOKUP(VLOOKUP($BJ57,坦克个性化设定!$B$18:$E$48,4,FALSE)&amp;$BK57,坦克属性分配比例,MATCH("升星次数",坦克属性分配比例标头,0),FALSE)*VLOOKUP($BJ57,$AR$3:$AY$33,MATCH(BU$3,$AR$3:$AY$3,0),FALSE),1)</f>
        <v>10</v>
      </c>
      <c r="BV57" s="2">
        <f>IF(VLOOKUP(BJ57,坦克个性化设定!$B$18:$BC$48,MATCH("装弹类型",坦克个性化设定!$B$18:$BC$18,0),FALSE)="弹夹换弹",0,ROUND(VLOOKUP($BJ57,$AI$3:$AO$33,MATCH("换弹时间",$AI$3:$AO$3,0),FALSE)-$BL57/VLOOKUP(VLOOKUP($BJ57,坦克个性化设定!$B$18:$E$48,4,FALSE)&amp;$BK57,坦克属性分配比例,MATCH("升星次数",坦克属性分配比例标头,0),FALSE)*VLOOKUP($BJ57,$AR$3:$AY$33,MATCH("换弹时间",$AR$3:$AY$3,0),FALSE),2))</f>
        <v>0</v>
      </c>
      <c r="BW57" s="2">
        <f>IF(VLOOKUP(BJ57,坦克个性化设定!$B$18:$BC$48,MATCH("装弹类型",坦克个性化设定!$B$18:$BC$18,0),FALSE)="弹夹换弹",ROUND(VLOOKUP($BJ57,$AI$3:$AO$33,MATCH("换弹时间",$AI$3:$AO$3,0),FALSE)-$BL57/VLOOKUP(VLOOKUP($BJ57,坦克个性化设定!$B$18:$E$48,4,FALSE)&amp;$BK57,坦克属性分配比例,MATCH("升星次数",坦克属性分配比例标头,0),FALSE)*VLOOKUP($BJ57,$AR$3:$AY$33,MATCH("换弹时间",$AR$3:$AY$3,0),FALSE),1),0)</f>
        <v>9.5</v>
      </c>
      <c r="BX57" s="2">
        <f>ROUND(VLOOKUP($BJ57,$AI$3:$AO$33,MATCH(BX$3,$AI$3:$AO$3,0),FALSE)+$BL57/VLOOKUP(VLOOKUP($BJ57,坦克个性化设定!$B$18:$E$48,4,FALSE)&amp;$BK57,坦克属性分配比例,MATCH("升星次数",坦克属性分配比例标头,0),FALSE)*VLOOKUP($BJ57,$AR$3:$AY$33,MATCH(BX$3,$AR$3:$AY$3,0),FALSE),2)</f>
        <v>0.6</v>
      </c>
      <c r="BY57" s="2">
        <f>ROUND(VLOOKUP($BJ57,$AI$3:$AO$33,MATCH(BY$3,$AI$3:$AO$3,0),FALSE)-$BL57/VLOOKUP(VLOOKUP($BJ57,坦克个性化设定!$B$18:$E$48,4,FALSE)&amp;$BK57,坦克属性分配比例,MATCH("升星次数",坦克属性分配比例标头,0),FALSE)*VLOOKUP($BJ57,$AR$3:$AY$33,MATCH(BY$3,$AR$3:$AY$3,0),FALSE),2)</f>
        <v>0.39</v>
      </c>
    </row>
    <row r="58" spans="19:77" x14ac:dyDescent="0.3">
      <c r="S58" s="2" t="str">
        <f t="shared" si="19"/>
        <v>IS-4初始</v>
      </c>
      <c r="T58" s="2">
        <f>IF(COUNTIF(U$4:U57,U57)&gt;=$B$3,T57+1,T57)</f>
        <v>28</v>
      </c>
      <c r="U58" s="2" t="str">
        <f t="shared" si="20"/>
        <v>IS-4</v>
      </c>
      <c r="V58" s="2" t="str">
        <f>VLOOKUP(U58,坦克个性化设定!$B$18:$F$48,5,FALSE)</f>
        <v>重坦自动</v>
      </c>
      <c r="W58" s="29" t="str">
        <f>VLOOKUP(U58,坦克个性化细分!$I$3:$J$33,2,FALSE)</f>
        <v>中</v>
      </c>
      <c r="X58" s="2" t="str">
        <f t="shared" si="21"/>
        <v>初始</v>
      </c>
      <c r="Y58" s="2" t="str">
        <f>VLOOKUP(VLOOKUP(U58,坦克个性化设定!$B$18:$F$48,4,FALSE)&amp;W58,坦克等级成长!$P$12:$U$24,MATCH(X58,坦克等级成长!$P$12:$U$12,0),FALSE)</f>
        <v>T4中4</v>
      </c>
      <c r="Z58" s="42">
        <f ca="1">VLOOKUP($Y58,INDIRECT($V58&amp;"_阶段属性"),MATCH(Z$3,属性标头_阶段属性,0),FALSE)*VLOOKUP($U58,坦克个性化设定!$B$84:$D$114,2,FALSE)</f>
        <v>1804.2211093491237</v>
      </c>
      <c r="AA58" s="42">
        <f ca="1">VLOOKUP($Y58,INDIRECT($V58&amp;"_阶段属性"),MATCH(AA$3,属性标头_阶段属性,0),FALSE)*VLOOKUP($U58,坦克个性化设定!$B$84:$D$114,3,FALSE)</f>
        <v>637.30702909748084</v>
      </c>
      <c r="AB58" s="2">
        <f t="shared" ca="1" si="22"/>
        <v>229</v>
      </c>
      <c r="AC58" s="2">
        <f t="shared" ca="1" si="22"/>
        <v>571</v>
      </c>
      <c r="AD58" s="2">
        <f t="shared" ca="1" si="22"/>
        <v>840</v>
      </c>
      <c r="AE58" s="2">
        <f t="shared" ca="1" si="22"/>
        <v>182</v>
      </c>
      <c r="AF58" s="25"/>
      <c r="BH58" s="2" t="str">
        <f t="shared" si="13"/>
        <v>霞飞2</v>
      </c>
      <c r="BI58" s="2">
        <f>IF(BL57&gt;=VLOOKUP(VLOOKUP(BJ57,坦克个性化设定!$B$18:$E$48,4,FALSE)&amp;BK57,坦克属性分配比例,MATCH("升星次数",坦克属性分配比例标头,0),FALSE),BI57+1,BI57)</f>
        <v>7</v>
      </c>
      <c r="BJ58" s="2" t="str">
        <f t="shared" si="14"/>
        <v>霞飞</v>
      </c>
      <c r="BK58" s="29" t="str">
        <f>VLOOKUP(BJ58,坦克个性化细分!$I$3:$J$33,2,FALSE)</f>
        <v>低</v>
      </c>
      <c r="BL58" s="2">
        <f t="shared" si="7"/>
        <v>2</v>
      </c>
      <c r="BM58" s="103" t="e">
        <f ca="1">ROUND(VLOOKUP($BJ58&amp;"初始",$S$3:$AE$63,MATCH(BM$3,$S$3:$AE$3,0),FALSE)+((VLOOKUP($BJ58&amp;"最终",$S$3:$AE$63,MATCH(BM$3,$S$3:$AE$3,0),FALSE)*坦克个性化细分!$C$9-VLOOKUP($BJ58&amp;"初始",$S$3:$AE$63,MATCH(BM$3,$S$3:$AE$3,0),FALSE))-(VLOOKUP($BJ58&amp;"最终",$S$3:$AE$63,MATCH(BM$3,$S$3:$AE$3,0),FALSE)-VLOOKUP($BJ58&amp;"初始",$S$3:$AE$63,MATCH(BM$3,$S$3:$AE$3,0),FALSE))*VLOOKUP(VLOOKUP($BJ58,坦克个性化设定!$B$18:$E$48,4,FALSE)&amp;$BK58,坦克属性分配比例,MATCH("部件比例",坦克属性分配比例标头,0),FALSE))*$BL58/VLOOKUP(VLOOKUP($BJ58,坦克个性化设定!$B$18:$E$48,4,FALSE)&amp;$BK58,坦克属性分配比例,MATCH("升星次数",坦克属性分配比例标头,0),FALSE),0)</f>
        <v>#N/A</v>
      </c>
      <c r="BN58" s="103" t="e">
        <f ca="1">ROUND(VLOOKUP($BJ58&amp;"初始",$S$3:$AE$63,MATCH(BN$3,$S$3:$AE$3,0),FALSE)+(VLOOKUP($BJ58&amp;"最终",$S$3:$AE$63,MATCH(BN$3,$S$3:$AE$3,0),FALSE)-VLOOKUP($BJ58&amp;"初始",$S$3:$AE$63,MATCH(BN$3,$S$3:$AE$3,0),FALSE))*$BL58/VLOOKUP(VLOOKUP($BJ58,坦克个性化设定!$B$18:$E$48,4,FALSE)&amp;$BK58,坦克属性分配比例,MATCH("升星次数",坦克属性分配比例标头,0),FALSE)*VLOOKUP(VLOOKUP($BJ58,坦克个性化设定!$B$18:$E$48,4,FALSE)&amp;$BK58,坦克属性分配比例,MATCH("升星比例",坦克属性分配比例标头,0),FALSE),0)</f>
        <v>#N/A</v>
      </c>
      <c r="BO58" s="103" t="e">
        <f ca="1">ROUND(VLOOKUP($BJ58&amp;"初始",$S$3:$AE$63,MATCH(BO$3,$S$3:$AE$3,0),FALSE)+(VLOOKUP($BJ58&amp;"最终",$S$3:$AE$63,MATCH(BO$3,$S$3:$AE$3,0),FALSE)-VLOOKUP($BJ58&amp;"初始",$S$3:$AE$63,MATCH(BO$3,$S$3:$AE$3,0),FALSE))*$BL58/VLOOKUP(VLOOKUP($BJ58,坦克个性化设定!$B$18:$E$48,4,FALSE)&amp;$BK58,坦克属性分配比例,MATCH("升星次数",坦克属性分配比例标头,0),FALSE)*(VLOOKUP(VLOOKUP($BJ58,坦克个性化设定!$B$18:$E$48,4,FALSE)&amp;$BK58,坦克属性分配比例,MATCH("升星比例",坦克属性分配比例标头,0),FALSE)+VLOOKUP(VLOOKUP($BJ58,坦克个性化设定!$B$18:$E$48,4,FALSE)&amp;$BK58,坦克属性分配比例,MATCH("部件比例",坦克属性分配比例标头,0),FALSE)*$C$3),0)</f>
        <v>#N/A</v>
      </c>
      <c r="BP58" s="103" t="e">
        <f ca="1">ROUND(VLOOKUP($BJ58&amp;"初始",$S$3:$AE$63,MATCH(BP$3,$S$3:$AE$3,0),FALSE)+(VLOOKUP($BJ58&amp;"最终",$S$3:$AE$63,MATCH(BP$3,$S$3:$AE$3,0),FALSE)-VLOOKUP($BJ58&amp;"初始",$S$3:$AE$63,MATCH(BP$3,$S$3:$AE$3,0),FALSE))*$BL58/VLOOKUP(VLOOKUP($BJ58,坦克个性化设定!$B$18:$E$48,4,FALSE)&amp;$BK58,坦克属性分配比例,MATCH("升星次数",坦克属性分配比例标头,0),FALSE)*(VLOOKUP(VLOOKUP($BJ58,坦克个性化设定!$B$18:$E$48,4,FALSE)&amp;$BK58,坦克属性分配比例,MATCH("升星比例",坦克属性分配比例标头,0),FALSE)+VLOOKUP(VLOOKUP($BJ58,坦克个性化设定!$B$18:$E$48,4,FALSE)&amp;$BK58,坦克属性分配比例,MATCH("部件比例",坦克属性分配比例标头,0),FALSE)*$C$3),0)</f>
        <v>#N/A</v>
      </c>
      <c r="BQ58" s="103" t="e">
        <f ca="1">ROUND(VLOOKUP($BJ58&amp;"初始",$S$3:$AE$63,MATCH(BQ$3,$S$3:$AE$3,0),FALSE)+(VLOOKUP($BJ58&amp;"最终",$S$3:$AE$63,MATCH(BQ$3,$S$3:$AE$3,0),FALSE)-VLOOKUP($BJ58&amp;"初始",$S$3:$AE$63,MATCH(BQ$3,$S$3:$AE$3,0),FALSE))*$BL58/VLOOKUP(VLOOKUP($BJ58,坦克个性化设定!$B$18:$E$48,4,FALSE)&amp;$BK58,坦克属性分配比例,MATCH("升星次数",坦克属性分配比例标头,0),FALSE)*VLOOKUP(VLOOKUP($BJ58,坦克个性化设定!$B$18:$E$48,4,FALSE)&amp;$BK58,坦克属性分配比例,MATCH("升星比例",坦克属性分配比例标头,0),FALSE),0)</f>
        <v>#N/A</v>
      </c>
      <c r="BR58" s="2" t="e">
        <f ca="1">ROUND(VLOOKUP($BJ58&amp;"初始",$S$3:$AE$63,MATCH(BR$3,$S$3:$AE$3,0),FALSE)+(VLOOKUP($BJ58&amp;"最终",$S$3:$AE$63,MATCH(BR$3,$S$3:$AE$3,0),FALSE)-VLOOKUP($BJ58&amp;"初始",$S$3:$AE$63,MATCH(BR$3,$S$3:$AE$3,0),FALSE))*$BL58/VLOOKUP(VLOOKUP($BJ58,坦克个性化设定!$B$18:$E$48,4,FALSE)&amp;$BK58,坦克属性分配比例,MATCH("升星次数",坦克属性分配比例标头,0),FALSE),0)</f>
        <v>#N/A</v>
      </c>
      <c r="BS58" s="2">
        <f>ROUND(VLOOKUP($BJ58,$AI$3:$AO$33,MATCH(BS$3,$AI$3:$AO$3,0),FALSE)+$BL58/VLOOKUP(VLOOKUP($BJ58,坦克个性化设定!$B$18:$E$48,4,FALSE)&amp;$BK58,坦克属性分配比例,MATCH("升星次数",坦克属性分配比例标头,0),FALSE)*VLOOKUP($BJ58,$AR$3:$AY$33,MATCH(BS$3,$AR$3:$AY$3,0),FALSE),1)</f>
        <v>44.3</v>
      </c>
      <c r="BT58" s="2">
        <f>ROUND(VLOOKUP($BJ58,$AI$3:$AO$33,MATCH(BT$3,$AI$3:$AO$3,0),FALSE)+$BL58/VLOOKUP(VLOOKUP($BJ58,坦克个性化设定!$B$18:$E$48,4,FALSE)&amp;$BK58,坦克属性分配比例,MATCH("升星次数",坦克属性分配比例标头,0),FALSE)*VLOOKUP($BJ58,$AR$3:$AY$33,MATCH(BT$3,$AR$3:$AY$3,0),FALSE),1)</f>
        <v>52.3</v>
      </c>
      <c r="BU58" s="2">
        <f>ROUND(VLOOKUP($BJ58,$AI$3:$AO$33,MATCH(BU$3,$AI$3:$AO$3,0),FALSE)+$BL58/VLOOKUP(VLOOKUP($BJ58,坦克个性化设定!$B$18:$E$48,4,FALSE)&amp;$BK58,坦克属性分配比例,MATCH("升星次数",坦克属性分配比例标头,0),FALSE)*VLOOKUP($BJ58,$AR$3:$AY$33,MATCH(BU$3,$AR$3:$AY$3,0),FALSE),1)</f>
        <v>10</v>
      </c>
      <c r="BV58" s="2">
        <f>IF(VLOOKUP(BJ58,坦克个性化设定!$B$18:$BC$48,MATCH("装弹类型",坦克个性化设定!$B$18:$BC$18,0),FALSE)="弹夹换弹",0,ROUND(VLOOKUP($BJ58,$AI$3:$AO$33,MATCH("换弹时间",$AI$3:$AO$3,0),FALSE)-$BL58/VLOOKUP(VLOOKUP($BJ58,坦克个性化设定!$B$18:$E$48,4,FALSE)&amp;$BK58,坦克属性分配比例,MATCH("升星次数",坦克属性分配比例标头,0),FALSE)*VLOOKUP($BJ58,$AR$3:$AY$33,MATCH("换弹时间",$AR$3:$AY$3,0),FALSE),2))</f>
        <v>0</v>
      </c>
      <c r="BW58" s="2">
        <f>IF(VLOOKUP(BJ58,坦克个性化设定!$B$18:$BC$48,MATCH("装弹类型",坦克个性化设定!$B$18:$BC$18,0),FALSE)="弹夹换弹",ROUND(VLOOKUP($BJ58,$AI$3:$AO$33,MATCH("换弹时间",$AI$3:$AO$3,0),FALSE)-$BL58/VLOOKUP(VLOOKUP($BJ58,坦克个性化设定!$B$18:$E$48,4,FALSE)&amp;$BK58,坦克属性分配比例,MATCH("升星次数",坦克属性分配比例标头,0),FALSE)*VLOOKUP($BJ58,$AR$3:$AY$33,MATCH("换弹时间",$AR$3:$AY$3,0),FALSE),1),0)</f>
        <v>9.3000000000000007</v>
      </c>
      <c r="BX58" s="2">
        <f>ROUND(VLOOKUP($BJ58,$AI$3:$AO$33,MATCH(BX$3,$AI$3:$AO$3,0),FALSE)+$BL58/VLOOKUP(VLOOKUP($BJ58,坦克个性化设定!$B$18:$E$48,4,FALSE)&amp;$BK58,坦克属性分配比例,MATCH("升星次数",坦克属性分配比例标头,0),FALSE)*VLOOKUP($BJ58,$AR$3:$AY$33,MATCH(BX$3,$AR$3:$AY$3,0),FALSE),2)</f>
        <v>0.6</v>
      </c>
      <c r="BY58" s="2">
        <f>ROUND(VLOOKUP($BJ58,$AI$3:$AO$33,MATCH(BY$3,$AI$3:$AO$3,0),FALSE)-$BL58/VLOOKUP(VLOOKUP($BJ58,坦克个性化设定!$B$18:$E$48,4,FALSE)&amp;$BK58,坦克属性分配比例,MATCH("升星次数",坦克属性分配比例标头,0),FALSE)*VLOOKUP($BJ58,$AR$3:$AY$33,MATCH(BY$3,$AR$3:$AY$3,0),FALSE),2)</f>
        <v>0.39</v>
      </c>
    </row>
    <row r="59" spans="19:77" x14ac:dyDescent="0.3">
      <c r="S59" s="2" t="str">
        <f t="shared" si="19"/>
        <v>IS-4最终</v>
      </c>
      <c r="T59" s="2">
        <f>IF(COUNTIF(U$4:U58,U58)&gt;=$B$3,T58+1,T58)</f>
        <v>28</v>
      </c>
      <c r="U59" s="2" t="str">
        <f t="shared" si="20"/>
        <v>IS-4</v>
      </c>
      <c r="V59" s="2" t="str">
        <f>VLOOKUP(U59,坦克个性化设定!$B$18:$F$48,5,FALSE)</f>
        <v>重坦自动</v>
      </c>
      <c r="W59" s="29" t="str">
        <f>VLOOKUP(U59,坦克个性化细分!$I$3:$J$33,2,FALSE)</f>
        <v>中</v>
      </c>
      <c r="X59" s="2" t="str">
        <f t="shared" si="21"/>
        <v>最终</v>
      </c>
      <c r="Y59" s="2" t="str">
        <f>VLOOKUP(VLOOKUP(U59,坦克个性化设定!$B$18:$F$48,4,FALSE)&amp;W59,坦克等级成长!$P$12:$U$24,MATCH(X59,坦克等级成长!$P$12:$U$12,0),FALSE)</f>
        <v>T4中7</v>
      </c>
      <c r="Z59" s="42" t="e">
        <f ca="1">VLOOKUP($Y59,INDIRECT($V59&amp;"_阶段属性"),MATCH(Z$3,属性标头_阶段属性,0),FALSE)*VLOOKUP($U59,坦克个性化设定!$B$84:$D$114,2,FALSE)</f>
        <v>#N/A</v>
      </c>
      <c r="AA59" s="42" t="e">
        <f ca="1">VLOOKUP($Y59,INDIRECT($V59&amp;"_阶段属性"),MATCH(AA$3,属性标头_阶段属性,0),FALSE)*VLOOKUP($U59,坦克个性化设定!$B$84:$D$114,3,FALSE)</f>
        <v>#N/A</v>
      </c>
      <c r="AB59" s="2" t="e">
        <f t="shared" ca="1" si="22"/>
        <v>#N/A</v>
      </c>
      <c r="AC59" s="2" t="e">
        <f t="shared" ca="1" si="22"/>
        <v>#N/A</v>
      </c>
      <c r="AD59" s="2" t="e">
        <f t="shared" ca="1" si="22"/>
        <v>#N/A</v>
      </c>
      <c r="AE59" s="2" t="e">
        <f t="shared" ca="1" si="22"/>
        <v>#N/A</v>
      </c>
      <c r="AF59" s="25"/>
      <c r="BH59" s="2" t="str">
        <f t="shared" si="13"/>
        <v>霞飞3</v>
      </c>
      <c r="BI59" s="2">
        <f>IF(BL58&gt;=VLOOKUP(VLOOKUP(BJ58,坦克个性化设定!$B$18:$E$48,4,FALSE)&amp;BK58,坦克属性分配比例,MATCH("升星次数",坦克属性分配比例标头,0),FALSE),BI58+1,BI58)</f>
        <v>7</v>
      </c>
      <c r="BJ59" s="2" t="str">
        <f t="shared" si="14"/>
        <v>霞飞</v>
      </c>
      <c r="BK59" s="29" t="str">
        <f>VLOOKUP(BJ59,坦克个性化细分!$I$3:$J$33,2,FALSE)</f>
        <v>低</v>
      </c>
      <c r="BL59" s="2">
        <f t="shared" si="7"/>
        <v>3</v>
      </c>
      <c r="BM59" s="103" t="e">
        <f ca="1">ROUND(VLOOKUP($BJ59&amp;"初始",$S$3:$AE$63,MATCH(BM$3,$S$3:$AE$3,0),FALSE)+((VLOOKUP($BJ59&amp;"最终",$S$3:$AE$63,MATCH(BM$3,$S$3:$AE$3,0),FALSE)*坦克个性化细分!$C$9-VLOOKUP($BJ59&amp;"初始",$S$3:$AE$63,MATCH(BM$3,$S$3:$AE$3,0),FALSE))-(VLOOKUP($BJ59&amp;"最终",$S$3:$AE$63,MATCH(BM$3,$S$3:$AE$3,0),FALSE)-VLOOKUP($BJ59&amp;"初始",$S$3:$AE$63,MATCH(BM$3,$S$3:$AE$3,0),FALSE))*VLOOKUP(VLOOKUP($BJ59,坦克个性化设定!$B$18:$E$48,4,FALSE)&amp;$BK59,坦克属性分配比例,MATCH("部件比例",坦克属性分配比例标头,0),FALSE))*$BL59/VLOOKUP(VLOOKUP($BJ59,坦克个性化设定!$B$18:$E$48,4,FALSE)&amp;$BK59,坦克属性分配比例,MATCH("升星次数",坦克属性分配比例标头,0),FALSE),0)</f>
        <v>#N/A</v>
      </c>
      <c r="BN59" s="103" t="e">
        <f ca="1">ROUND(VLOOKUP($BJ59&amp;"初始",$S$3:$AE$63,MATCH(BN$3,$S$3:$AE$3,0),FALSE)+(VLOOKUP($BJ59&amp;"最终",$S$3:$AE$63,MATCH(BN$3,$S$3:$AE$3,0),FALSE)-VLOOKUP($BJ59&amp;"初始",$S$3:$AE$63,MATCH(BN$3,$S$3:$AE$3,0),FALSE))*$BL59/VLOOKUP(VLOOKUP($BJ59,坦克个性化设定!$B$18:$E$48,4,FALSE)&amp;$BK59,坦克属性分配比例,MATCH("升星次数",坦克属性分配比例标头,0),FALSE)*VLOOKUP(VLOOKUP($BJ59,坦克个性化设定!$B$18:$E$48,4,FALSE)&amp;$BK59,坦克属性分配比例,MATCH("升星比例",坦克属性分配比例标头,0),FALSE),0)</f>
        <v>#N/A</v>
      </c>
      <c r="BO59" s="103" t="e">
        <f ca="1">ROUND(VLOOKUP($BJ59&amp;"初始",$S$3:$AE$63,MATCH(BO$3,$S$3:$AE$3,0),FALSE)+(VLOOKUP($BJ59&amp;"最终",$S$3:$AE$63,MATCH(BO$3,$S$3:$AE$3,0),FALSE)-VLOOKUP($BJ59&amp;"初始",$S$3:$AE$63,MATCH(BO$3,$S$3:$AE$3,0),FALSE))*$BL59/VLOOKUP(VLOOKUP($BJ59,坦克个性化设定!$B$18:$E$48,4,FALSE)&amp;$BK59,坦克属性分配比例,MATCH("升星次数",坦克属性分配比例标头,0),FALSE)*(VLOOKUP(VLOOKUP($BJ59,坦克个性化设定!$B$18:$E$48,4,FALSE)&amp;$BK59,坦克属性分配比例,MATCH("升星比例",坦克属性分配比例标头,0),FALSE)+VLOOKUP(VLOOKUP($BJ59,坦克个性化设定!$B$18:$E$48,4,FALSE)&amp;$BK59,坦克属性分配比例,MATCH("部件比例",坦克属性分配比例标头,0),FALSE)*$C$3),0)</f>
        <v>#N/A</v>
      </c>
      <c r="BP59" s="103" t="e">
        <f ca="1">ROUND(VLOOKUP($BJ59&amp;"初始",$S$3:$AE$63,MATCH(BP$3,$S$3:$AE$3,0),FALSE)+(VLOOKUP($BJ59&amp;"最终",$S$3:$AE$63,MATCH(BP$3,$S$3:$AE$3,0),FALSE)-VLOOKUP($BJ59&amp;"初始",$S$3:$AE$63,MATCH(BP$3,$S$3:$AE$3,0),FALSE))*$BL59/VLOOKUP(VLOOKUP($BJ59,坦克个性化设定!$B$18:$E$48,4,FALSE)&amp;$BK59,坦克属性分配比例,MATCH("升星次数",坦克属性分配比例标头,0),FALSE)*(VLOOKUP(VLOOKUP($BJ59,坦克个性化设定!$B$18:$E$48,4,FALSE)&amp;$BK59,坦克属性分配比例,MATCH("升星比例",坦克属性分配比例标头,0),FALSE)+VLOOKUP(VLOOKUP($BJ59,坦克个性化设定!$B$18:$E$48,4,FALSE)&amp;$BK59,坦克属性分配比例,MATCH("部件比例",坦克属性分配比例标头,0),FALSE)*$C$3),0)</f>
        <v>#N/A</v>
      </c>
      <c r="BQ59" s="103" t="e">
        <f ca="1">ROUND(VLOOKUP($BJ59&amp;"初始",$S$3:$AE$63,MATCH(BQ$3,$S$3:$AE$3,0),FALSE)+(VLOOKUP($BJ59&amp;"最终",$S$3:$AE$63,MATCH(BQ$3,$S$3:$AE$3,0),FALSE)-VLOOKUP($BJ59&amp;"初始",$S$3:$AE$63,MATCH(BQ$3,$S$3:$AE$3,0),FALSE))*$BL59/VLOOKUP(VLOOKUP($BJ59,坦克个性化设定!$B$18:$E$48,4,FALSE)&amp;$BK59,坦克属性分配比例,MATCH("升星次数",坦克属性分配比例标头,0),FALSE)*VLOOKUP(VLOOKUP($BJ59,坦克个性化设定!$B$18:$E$48,4,FALSE)&amp;$BK59,坦克属性分配比例,MATCH("升星比例",坦克属性分配比例标头,0),FALSE),0)</f>
        <v>#N/A</v>
      </c>
      <c r="BR59" s="2" t="e">
        <f ca="1">ROUND(VLOOKUP($BJ59&amp;"初始",$S$3:$AE$63,MATCH(BR$3,$S$3:$AE$3,0),FALSE)+(VLOOKUP($BJ59&amp;"最终",$S$3:$AE$63,MATCH(BR$3,$S$3:$AE$3,0),FALSE)-VLOOKUP($BJ59&amp;"初始",$S$3:$AE$63,MATCH(BR$3,$S$3:$AE$3,0),FALSE))*$BL59/VLOOKUP(VLOOKUP($BJ59,坦克个性化设定!$B$18:$E$48,4,FALSE)&amp;$BK59,坦克属性分配比例,MATCH("升星次数",坦克属性分配比例标头,0),FALSE),0)</f>
        <v>#N/A</v>
      </c>
      <c r="BS59" s="2">
        <f>ROUND(VLOOKUP($BJ59,$AI$3:$AO$33,MATCH(BS$3,$AI$3:$AO$3,0),FALSE)+$BL59/VLOOKUP(VLOOKUP($BJ59,坦克个性化设定!$B$18:$E$48,4,FALSE)&amp;$BK59,坦克属性分配比例,MATCH("升星次数",坦克属性分配比例标头,0),FALSE)*VLOOKUP($BJ59,$AR$3:$AY$33,MATCH(BS$3,$AR$3:$AY$3,0),FALSE),1)</f>
        <v>45.3</v>
      </c>
      <c r="BT59" s="2">
        <f>ROUND(VLOOKUP($BJ59,$AI$3:$AO$33,MATCH(BT$3,$AI$3:$AO$3,0),FALSE)+$BL59/VLOOKUP(VLOOKUP($BJ59,坦克个性化设定!$B$18:$E$48,4,FALSE)&amp;$BK59,坦克属性分配比例,MATCH("升星次数",坦克属性分配比例标头,0),FALSE)*VLOOKUP($BJ59,$AR$3:$AY$33,MATCH(BT$3,$AR$3:$AY$3,0),FALSE),1)</f>
        <v>53.4</v>
      </c>
      <c r="BU59" s="2">
        <f>ROUND(VLOOKUP($BJ59,$AI$3:$AO$33,MATCH(BU$3,$AI$3:$AO$3,0),FALSE)+$BL59/VLOOKUP(VLOOKUP($BJ59,坦克个性化设定!$B$18:$E$48,4,FALSE)&amp;$BK59,坦克属性分配比例,MATCH("升星次数",坦克属性分配比例标头,0),FALSE)*VLOOKUP($BJ59,$AR$3:$AY$33,MATCH(BU$3,$AR$3:$AY$3,0),FALSE),1)</f>
        <v>10</v>
      </c>
      <c r="BV59" s="2">
        <f>IF(VLOOKUP(BJ59,坦克个性化设定!$B$18:$BC$48,MATCH("装弹类型",坦克个性化设定!$B$18:$BC$18,0),FALSE)="弹夹换弹",0,ROUND(VLOOKUP($BJ59,$AI$3:$AO$33,MATCH("换弹时间",$AI$3:$AO$3,0),FALSE)-$BL59/VLOOKUP(VLOOKUP($BJ59,坦克个性化设定!$B$18:$E$48,4,FALSE)&amp;$BK59,坦克属性分配比例,MATCH("升星次数",坦克属性分配比例标头,0),FALSE)*VLOOKUP($BJ59,$AR$3:$AY$33,MATCH("换弹时间",$AR$3:$AY$3,0),FALSE),2))</f>
        <v>0</v>
      </c>
      <c r="BW59" s="2">
        <f>IF(VLOOKUP(BJ59,坦克个性化设定!$B$18:$BC$48,MATCH("装弹类型",坦克个性化设定!$B$18:$BC$18,0),FALSE)="弹夹换弹",ROUND(VLOOKUP($BJ59,$AI$3:$AO$33,MATCH("换弹时间",$AI$3:$AO$3,0),FALSE)-$BL59/VLOOKUP(VLOOKUP($BJ59,坦克个性化设定!$B$18:$E$48,4,FALSE)&amp;$BK59,坦克属性分配比例,MATCH("升星次数",坦克属性分配比例标头,0),FALSE)*VLOOKUP($BJ59,$AR$3:$AY$33,MATCH("换弹时间",$AR$3:$AY$3,0),FALSE),1),0)</f>
        <v>9</v>
      </c>
      <c r="BX59" s="2">
        <f>ROUND(VLOOKUP($BJ59,$AI$3:$AO$33,MATCH(BX$3,$AI$3:$AO$3,0),FALSE)+$BL59/VLOOKUP(VLOOKUP($BJ59,坦克个性化设定!$B$18:$E$48,4,FALSE)&amp;$BK59,坦克属性分配比例,MATCH("升星次数",坦克属性分配比例标头,0),FALSE)*VLOOKUP($BJ59,$AR$3:$AY$33,MATCH(BX$3,$AR$3:$AY$3,0),FALSE),2)</f>
        <v>0.6</v>
      </c>
      <c r="BY59" s="2">
        <f>ROUND(VLOOKUP($BJ59,$AI$3:$AO$33,MATCH(BY$3,$AI$3:$AO$3,0),FALSE)-$BL59/VLOOKUP(VLOOKUP($BJ59,坦克个性化设定!$B$18:$E$48,4,FALSE)&amp;$BK59,坦克属性分配比例,MATCH("升星次数",坦克属性分配比例标头,0),FALSE)*VLOOKUP($BJ59,$AR$3:$AY$33,MATCH(BY$3,$AR$3:$AY$3,0),FALSE),2)</f>
        <v>0.38</v>
      </c>
    </row>
    <row r="60" spans="19:77" x14ac:dyDescent="0.3">
      <c r="S60" s="2" t="str">
        <f t="shared" si="19"/>
        <v>T-32初始</v>
      </c>
      <c r="T60" s="2">
        <f>IF(COUNTIF(U$4:U59,U59)&gt;=$B$3,T59+1,T59)</f>
        <v>29</v>
      </c>
      <c r="U60" s="2" t="str">
        <f t="shared" si="20"/>
        <v>T-32</v>
      </c>
      <c r="V60" s="2" t="str">
        <f>VLOOKUP(U60,坦克个性化设定!$B$18:$F$48,5,FALSE)</f>
        <v>重坦单发</v>
      </c>
      <c r="W60" s="29" t="str">
        <f>VLOOKUP(U60,坦克个性化细分!$I$3:$J$33,2,FALSE)</f>
        <v>高</v>
      </c>
      <c r="X60" s="2" t="str">
        <f t="shared" si="21"/>
        <v>初始</v>
      </c>
      <c r="Y60" s="2" t="str">
        <f>VLOOKUP(VLOOKUP(U60,坦克个性化设定!$B$18:$F$48,4,FALSE)&amp;W60,坦克等级成长!$P$12:$U$24,MATCH(X60,坦克等级成长!$P$12:$U$12,0),FALSE)</f>
        <v>T4高4</v>
      </c>
      <c r="Z60" s="42">
        <f ca="1">VLOOKUP($Y60,INDIRECT($V60&amp;"_阶段属性"),MATCH(Z$3,属性标头_阶段属性,0),FALSE)*VLOOKUP($U60,坦克个性化设定!$B$84:$D$114,2,FALSE)</f>
        <v>1709.0624784111556</v>
      </c>
      <c r="AA60" s="42">
        <f ca="1">VLOOKUP($Y60,INDIRECT($V60&amp;"_阶段属性"),MATCH(AA$3,属性标头_阶段属性,0),FALSE)*VLOOKUP($U60,坦克个性化设定!$B$84:$D$114,3,FALSE)</f>
        <v>882.81149405529629</v>
      </c>
      <c r="AB60" s="2">
        <f t="shared" ca="1" si="22"/>
        <v>251</v>
      </c>
      <c r="AC60" s="2">
        <f t="shared" ca="1" si="22"/>
        <v>629</v>
      </c>
      <c r="AD60" s="2">
        <f t="shared" ca="1" si="22"/>
        <v>840</v>
      </c>
      <c r="AE60" s="2">
        <f t="shared" ca="1" si="22"/>
        <v>182</v>
      </c>
      <c r="AF60" s="25"/>
      <c r="BH60" s="2" t="str">
        <f t="shared" si="13"/>
        <v>霞飞4</v>
      </c>
      <c r="BI60" s="2">
        <f>IF(BL59&gt;=VLOOKUP(VLOOKUP(BJ59,坦克个性化设定!$B$18:$E$48,4,FALSE)&amp;BK59,坦克属性分配比例,MATCH("升星次数",坦克属性分配比例标头,0),FALSE),BI59+1,BI59)</f>
        <v>7</v>
      </c>
      <c r="BJ60" s="2" t="str">
        <f t="shared" si="14"/>
        <v>霞飞</v>
      </c>
      <c r="BK60" s="29" t="str">
        <f>VLOOKUP(BJ60,坦克个性化细分!$I$3:$J$33,2,FALSE)</f>
        <v>低</v>
      </c>
      <c r="BL60" s="2">
        <f t="shared" si="7"/>
        <v>4</v>
      </c>
      <c r="BM60" s="103" t="e">
        <f ca="1">ROUND(VLOOKUP($BJ60&amp;"初始",$S$3:$AE$63,MATCH(BM$3,$S$3:$AE$3,0),FALSE)+((VLOOKUP($BJ60&amp;"最终",$S$3:$AE$63,MATCH(BM$3,$S$3:$AE$3,0),FALSE)*坦克个性化细分!$C$9-VLOOKUP($BJ60&amp;"初始",$S$3:$AE$63,MATCH(BM$3,$S$3:$AE$3,0),FALSE))-(VLOOKUP($BJ60&amp;"最终",$S$3:$AE$63,MATCH(BM$3,$S$3:$AE$3,0),FALSE)-VLOOKUP($BJ60&amp;"初始",$S$3:$AE$63,MATCH(BM$3,$S$3:$AE$3,0),FALSE))*VLOOKUP(VLOOKUP($BJ60,坦克个性化设定!$B$18:$E$48,4,FALSE)&amp;$BK60,坦克属性分配比例,MATCH("部件比例",坦克属性分配比例标头,0),FALSE))*$BL60/VLOOKUP(VLOOKUP($BJ60,坦克个性化设定!$B$18:$E$48,4,FALSE)&amp;$BK60,坦克属性分配比例,MATCH("升星次数",坦克属性分配比例标头,0),FALSE),0)</f>
        <v>#N/A</v>
      </c>
      <c r="BN60" s="103" t="e">
        <f ca="1">ROUND(VLOOKUP($BJ60&amp;"初始",$S$3:$AE$63,MATCH(BN$3,$S$3:$AE$3,0),FALSE)+(VLOOKUP($BJ60&amp;"最终",$S$3:$AE$63,MATCH(BN$3,$S$3:$AE$3,0),FALSE)-VLOOKUP($BJ60&amp;"初始",$S$3:$AE$63,MATCH(BN$3,$S$3:$AE$3,0),FALSE))*$BL60/VLOOKUP(VLOOKUP($BJ60,坦克个性化设定!$B$18:$E$48,4,FALSE)&amp;$BK60,坦克属性分配比例,MATCH("升星次数",坦克属性分配比例标头,0),FALSE)*VLOOKUP(VLOOKUP($BJ60,坦克个性化设定!$B$18:$E$48,4,FALSE)&amp;$BK60,坦克属性分配比例,MATCH("升星比例",坦克属性分配比例标头,0),FALSE),0)</f>
        <v>#N/A</v>
      </c>
      <c r="BO60" s="103" t="e">
        <f ca="1">ROUND(VLOOKUP($BJ60&amp;"初始",$S$3:$AE$63,MATCH(BO$3,$S$3:$AE$3,0),FALSE)+(VLOOKUP($BJ60&amp;"最终",$S$3:$AE$63,MATCH(BO$3,$S$3:$AE$3,0),FALSE)-VLOOKUP($BJ60&amp;"初始",$S$3:$AE$63,MATCH(BO$3,$S$3:$AE$3,0),FALSE))*$BL60/VLOOKUP(VLOOKUP($BJ60,坦克个性化设定!$B$18:$E$48,4,FALSE)&amp;$BK60,坦克属性分配比例,MATCH("升星次数",坦克属性分配比例标头,0),FALSE)*(VLOOKUP(VLOOKUP($BJ60,坦克个性化设定!$B$18:$E$48,4,FALSE)&amp;$BK60,坦克属性分配比例,MATCH("升星比例",坦克属性分配比例标头,0),FALSE)+VLOOKUP(VLOOKUP($BJ60,坦克个性化设定!$B$18:$E$48,4,FALSE)&amp;$BK60,坦克属性分配比例,MATCH("部件比例",坦克属性分配比例标头,0),FALSE)*$C$3),0)</f>
        <v>#N/A</v>
      </c>
      <c r="BP60" s="103" t="e">
        <f ca="1">ROUND(VLOOKUP($BJ60&amp;"初始",$S$3:$AE$63,MATCH(BP$3,$S$3:$AE$3,0),FALSE)+(VLOOKUP($BJ60&amp;"最终",$S$3:$AE$63,MATCH(BP$3,$S$3:$AE$3,0),FALSE)-VLOOKUP($BJ60&amp;"初始",$S$3:$AE$63,MATCH(BP$3,$S$3:$AE$3,0),FALSE))*$BL60/VLOOKUP(VLOOKUP($BJ60,坦克个性化设定!$B$18:$E$48,4,FALSE)&amp;$BK60,坦克属性分配比例,MATCH("升星次数",坦克属性分配比例标头,0),FALSE)*(VLOOKUP(VLOOKUP($BJ60,坦克个性化设定!$B$18:$E$48,4,FALSE)&amp;$BK60,坦克属性分配比例,MATCH("升星比例",坦克属性分配比例标头,0),FALSE)+VLOOKUP(VLOOKUP($BJ60,坦克个性化设定!$B$18:$E$48,4,FALSE)&amp;$BK60,坦克属性分配比例,MATCH("部件比例",坦克属性分配比例标头,0),FALSE)*$C$3),0)</f>
        <v>#N/A</v>
      </c>
      <c r="BQ60" s="103" t="e">
        <f ca="1">ROUND(VLOOKUP($BJ60&amp;"初始",$S$3:$AE$63,MATCH(BQ$3,$S$3:$AE$3,0),FALSE)+(VLOOKUP($BJ60&amp;"最终",$S$3:$AE$63,MATCH(BQ$3,$S$3:$AE$3,0),FALSE)-VLOOKUP($BJ60&amp;"初始",$S$3:$AE$63,MATCH(BQ$3,$S$3:$AE$3,0),FALSE))*$BL60/VLOOKUP(VLOOKUP($BJ60,坦克个性化设定!$B$18:$E$48,4,FALSE)&amp;$BK60,坦克属性分配比例,MATCH("升星次数",坦克属性分配比例标头,0),FALSE)*VLOOKUP(VLOOKUP($BJ60,坦克个性化设定!$B$18:$E$48,4,FALSE)&amp;$BK60,坦克属性分配比例,MATCH("升星比例",坦克属性分配比例标头,0),FALSE),0)</f>
        <v>#N/A</v>
      </c>
      <c r="BR60" s="2" t="e">
        <f ca="1">ROUND(VLOOKUP($BJ60&amp;"初始",$S$3:$AE$63,MATCH(BR$3,$S$3:$AE$3,0),FALSE)+(VLOOKUP($BJ60&amp;"最终",$S$3:$AE$63,MATCH(BR$3,$S$3:$AE$3,0),FALSE)-VLOOKUP($BJ60&amp;"初始",$S$3:$AE$63,MATCH(BR$3,$S$3:$AE$3,0),FALSE))*$BL60/VLOOKUP(VLOOKUP($BJ60,坦克个性化设定!$B$18:$E$48,4,FALSE)&amp;$BK60,坦克属性分配比例,MATCH("升星次数",坦克属性分配比例标头,0),FALSE),0)</f>
        <v>#N/A</v>
      </c>
      <c r="BS60" s="2">
        <f>ROUND(VLOOKUP($BJ60,$AI$3:$AO$33,MATCH(BS$3,$AI$3:$AO$3,0),FALSE)+$BL60/VLOOKUP(VLOOKUP($BJ60,坦克个性化设定!$B$18:$E$48,4,FALSE)&amp;$BK60,坦克属性分配比例,MATCH("升星次数",坦克属性分配比例标头,0),FALSE)*VLOOKUP($BJ60,$AR$3:$AY$33,MATCH(BS$3,$AR$3:$AY$3,0),FALSE),1)</f>
        <v>46.3</v>
      </c>
      <c r="BT60" s="2">
        <f>ROUND(VLOOKUP($BJ60,$AI$3:$AO$33,MATCH(BT$3,$AI$3:$AO$3,0),FALSE)+$BL60/VLOOKUP(VLOOKUP($BJ60,坦克个性化设定!$B$18:$E$48,4,FALSE)&amp;$BK60,坦克属性分配比例,MATCH("升星次数",坦克属性分配比例标头,0),FALSE)*VLOOKUP($BJ60,$AR$3:$AY$33,MATCH(BT$3,$AR$3:$AY$3,0),FALSE),1)</f>
        <v>54.5</v>
      </c>
      <c r="BU60" s="2">
        <f>ROUND(VLOOKUP($BJ60,$AI$3:$AO$33,MATCH(BU$3,$AI$3:$AO$3,0),FALSE)+$BL60/VLOOKUP(VLOOKUP($BJ60,坦克个性化设定!$B$18:$E$48,4,FALSE)&amp;$BK60,坦克属性分配比例,MATCH("升星次数",坦克属性分配比例标头,0),FALSE)*VLOOKUP($BJ60,$AR$3:$AY$33,MATCH(BU$3,$AR$3:$AY$3,0),FALSE),1)</f>
        <v>10</v>
      </c>
      <c r="BV60" s="2">
        <f>IF(VLOOKUP(BJ60,坦克个性化设定!$B$18:$BC$48,MATCH("装弹类型",坦克个性化设定!$B$18:$BC$18,0),FALSE)="弹夹换弹",0,ROUND(VLOOKUP($BJ60,$AI$3:$AO$33,MATCH("换弹时间",$AI$3:$AO$3,0),FALSE)-$BL60/VLOOKUP(VLOOKUP($BJ60,坦克个性化设定!$B$18:$E$48,4,FALSE)&amp;$BK60,坦克属性分配比例,MATCH("升星次数",坦克属性分配比例标头,0),FALSE)*VLOOKUP($BJ60,$AR$3:$AY$33,MATCH("换弹时间",$AR$3:$AY$3,0),FALSE),2))</f>
        <v>0</v>
      </c>
      <c r="BW60" s="2">
        <f>IF(VLOOKUP(BJ60,坦克个性化设定!$B$18:$BC$48,MATCH("装弹类型",坦克个性化设定!$B$18:$BC$18,0),FALSE)="弹夹换弹",ROUND(VLOOKUP($BJ60,$AI$3:$AO$33,MATCH("换弹时间",$AI$3:$AO$3,0),FALSE)-$BL60/VLOOKUP(VLOOKUP($BJ60,坦克个性化设定!$B$18:$E$48,4,FALSE)&amp;$BK60,坦克属性分配比例,MATCH("升星次数",坦克属性分配比例标头,0),FALSE)*VLOOKUP($BJ60,$AR$3:$AY$33,MATCH("换弹时间",$AR$3:$AY$3,0),FALSE),1),0)</f>
        <v>8.6999999999999993</v>
      </c>
      <c r="BX60" s="2">
        <f>ROUND(VLOOKUP($BJ60,$AI$3:$AO$33,MATCH(BX$3,$AI$3:$AO$3,0),FALSE)+$BL60/VLOOKUP(VLOOKUP($BJ60,坦克个性化设定!$B$18:$E$48,4,FALSE)&amp;$BK60,坦克属性分配比例,MATCH("升星次数",坦克属性分配比例标头,0),FALSE)*VLOOKUP($BJ60,$AR$3:$AY$33,MATCH(BX$3,$AR$3:$AY$3,0),FALSE),2)</f>
        <v>0.6</v>
      </c>
      <c r="BY60" s="2">
        <f>ROUND(VLOOKUP($BJ60,$AI$3:$AO$33,MATCH(BY$3,$AI$3:$AO$3,0),FALSE)-$BL60/VLOOKUP(VLOOKUP($BJ60,坦克个性化设定!$B$18:$E$48,4,FALSE)&amp;$BK60,坦克属性分配比例,MATCH("升星次数",坦克属性分配比例标头,0),FALSE)*VLOOKUP($BJ60,$AR$3:$AY$33,MATCH(BY$3,$AR$3:$AY$3,0),FALSE),2)</f>
        <v>0.38</v>
      </c>
    </row>
    <row r="61" spans="19:77" x14ac:dyDescent="0.3">
      <c r="S61" s="2" t="str">
        <f t="shared" si="19"/>
        <v>T-32最终</v>
      </c>
      <c r="T61" s="2">
        <f>IF(COUNTIF(U$4:U60,U60)&gt;=$B$3,T60+1,T60)</f>
        <v>29</v>
      </c>
      <c r="U61" s="2" t="str">
        <f t="shared" si="20"/>
        <v>T-32</v>
      </c>
      <c r="V61" s="2" t="str">
        <f>VLOOKUP(U61,坦克个性化设定!$B$18:$F$48,5,FALSE)</f>
        <v>重坦单发</v>
      </c>
      <c r="W61" s="29" t="str">
        <f>VLOOKUP(U61,坦克个性化细分!$I$3:$J$33,2,FALSE)</f>
        <v>高</v>
      </c>
      <c r="X61" s="2" t="str">
        <f t="shared" si="21"/>
        <v>最终</v>
      </c>
      <c r="Y61" s="2" t="str">
        <f>VLOOKUP(VLOOKUP(U61,坦克个性化设定!$B$18:$F$48,4,FALSE)&amp;W61,坦克等级成长!$P$12:$U$24,MATCH(X61,坦克等级成长!$P$12:$U$12,0),FALSE)</f>
        <v>T4高7</v>
      </c>
      <c r="Z61" s="42" t="e">
        <f ca="1">VLOOKUP($Y61,INDIRECT($V61&amp;"_阶段属性"),MATCH(Z$3,属性标头_阶段属性,0),FALSE)*VLOOKUP($U61,坦克个性化设定!$B$84:$D$114,2,FALSE)</f>
        <v>#N/A</v>
      </c>
      <c r="AA61" s="42" t="e">
        <f ca="1">VLOOKUP($Y61,INDIRECT($V61&amp;"_阶段属性"),MATCH(AA$3,属性标头_阶段属性,0),FALSE)*VLOOKUP($U61,坦克个性化设定!$B$84:$D$114,3,FALSE)</f>
        <v>#N/A</v>
      </c>
      <c r="AB61" s="2" t="e">
        <f t="shared" ca="1" si="22"/>
        <v>#N/A</v>
      </c>
      <c r="AC61" s="2" t="e">
        <f t="shared" ca="1" si="22"/>
        <v>#N/A</v>
      </c>
      <c r="AD61" s="2" t="e">
        <f t="shared" ca="1" si="22"/>
        <v>#N/A</v>
      </c>
      <c r="AE61" s="2" t="e">
        <f t="shared" ca="1" si="22"/>
        <v>#N/A</v>
      </c>
      <c r="AF61" s="25"/>
      <c r="BH61" s="2" t="str">
        <f t="shared" si="13"/>
        <v>霞飞5</v>
      </c>
      <c r="BI61" s="2">
        <f>IF(BL60&gt;=VLOOKUP(VLOOKUP(BJ60,坦克个性化设定!$B$18:$E$48,4,FALSE)&amp;BK60,坦克属性分配比例,MATCH("升星次数",坦克属性分配比例标头,0),FALSE),BI60+1,BI60)</f>
        <v>7</v>
      </c>
      <c r="BJ61" s="2" t="str">
        <f t="shared" si="14"/>
        <v>霞飞</v>
      </c>
      <c r="BK61" s="29" t="str">
        <f>VLOOKUP(BJ61,坦克个性化细分!$I$3:$J$33,2,FALSE)</f>
        <v>低</v>
      </c>
      <c r="BL61" s="2">
        <f t="shared" si="7"/>
        <v>5</v>
      </c>
      <c r="BM61" s="103" t="e">
        <f ca="1">ROUND(VLOOKUP($BJ61&amp;"初始",$S$3:$AE$63,MATCH(BM$3,$S$3:$AE$3,0),FALSE)+((VLOOKUP($BJ61&amp;"最终",$S$3:$AE$63,MATCH(BM$3,$S$3:$AE$3,0),FALSE)*坦克个性化细分!$C$9-VLOOKUP($BJ61&amp;"初始",$S$3:$AE$63,MATCH(BM$3,$S$3:$AE$3,0),FALSE))-(VLOOKUP($BJ61&amp;"最终",$S$3:$AE$63,MATCH(BM$3,$S$3:$AE$3,0),FALSE)-VLOOKUP($BJ61&amp;"初始",$S$3:$AE$63,MATCH(BM$3,$S$3:$AE$3,0),FALSE))*VLOOKUP(VLOOKUP($BJ61,坦克个性化设定!$B$18:$E$48,4,FALSE)&amp;$BK61,坦克属性分配比例,MATCH("部件比例",坦克属性分配比例标头,0),FALSE))*$BL61/VLOOKUP(VLOOKUP($BJ61,坦克个性化设定!$B$18:$E$48,4,FALSE)&amp;$BK61,坦克属性分配比例,MATCH("升星次数",坦克属性分配比例标头,0),FALSE),0)</f>
        <v>#N/A</v>
      </c>
      <c r="BN61" s="103" t="e">
        <f ca="1">ROUND(VLOOKUP($BJ61&amp;"初始",$S$3:$AE$63,MATCH(BN$3,$S$3:$AE$3,0),FALSE)+(VLOOKUP($BJ61&amp;"最终",$S$3:$AE$63,MATCH(BN$3,$S$3:$AE$3,0),FALSE)-VLOOKUP($BJ61&amp;"初始",$S$3:$AE$63,MATCH(BN$3,$S$3:$AE$3,0),FALSE))*$BL61/VLOOKUP(VLOOKUP($BJ61,坦克个性化设定!$B$18:$E$48,4,FALSE)&amp;$BK61,坦克属性分配比例,MATCH("升星次数",坦克属性分配比例标头,0),FALSE)*VLOOKUP(VLOOKUP($BJ61,坦克个性化设定!$B$18:$E$48,4,FALSE)&amp;$BK61,坦克属性分配比例,MATCH("升星比例",坦克属性分配比例标头,0),FALSE),0)</f>
        <v>#N/A</v>
      </c>
      <c r="BO61" s="103" t="e">
        <f ca="1">ROUND(VLOOKUP($BJ61&amp;"初始",$S$3:$AE$63,MATCH(BO$3,$S$3:$AE$3,0),FALSE)+(VLOOKUP($BJ61&amp;"最终",$S$3:$AE$63,MATCH(BO$3,$S$3:$AE$3,0),FALSE)-VLOOKUP($BJ61&amp;"初始",$S$3:$AE$63,MATCH(BO$3,$S$3:$AE$3,0),FALSE))*$BL61/VLOOKUP(VLOOKUP($BJ61,坦克个性化设定!$B$18:$E$48,4,FALSE)&amp;$BK61,坦克属性分配比例,MATCH("升星次数",坦克属性分配比例标头,0),FALSE)*(VLOOKUP(VLOOKUP($BJ61,坦克个性化设定!$B$18:$E$48,4,FALSE)&amp;$BK61,坦克属性分配比例,MATCH("升星比例",坦克属性分配比例标头,0),FALSE)+VLOOKUP(VLOOKUP($BJ61,坦克个性化设定!$B$18:$E$48,4,FALSE)&amp;$BK61,坦克属性分配比例,MATCH("部件比例",坦克属性分配比例标头,0),FALSE)*$C$3),0)</f>
        <v>#N/A</v>
      </c>
      <c r="BP61" s="103" t="e">
        <f ca="1">ROUND(VLOOKUP($BJ61&amp;"初始",$S$3:$AE$63,MATCH(BP$3,$S$3:$AE$3,0),FALSE)+(VLOOKUP($BJ61&amp;"最终",$S$3:$AE$63,MATCH(BP$3,$S$3:$AE$3,0),FALSE)-VLOOKUP($BJ61&amp;"初始",$S$3:$AE$63,MATCH(BP$3,$S$3:$AE$3,0),FALSE))*$BL61/VLOOKUP(VLOOKUP($BJ61,坦克个性化设定!$B$18:$E$48,4,FALSE)&amp;$BK61,坦克属性分配比例,MATCH("升星次数",坦克属性分配比例标头,0),FALSE)*(VLOOKUP(VLOOKUP($BJ61,坦克个性化设定!$B$18:$E$48,4,FALSE)&amp;$BK61,坦克属性分配比例,MATCH("升星比例",坦克属性分配比例标头,0),FALSE)+VLOOKUP(VLOOKUP($BJ61,坦克个性化设定!$B$18:$E$48,4,FALSE)&amp;$BK61,坦克属性分配比例,MATCH("部件比例",坦克属性分配比例标头,0),FALSE)*$C$3),0)</f>
        <v>#N/A</v>
      </c>
      <c r="BQ61" s="103" t="e">
        <f ca="1">ROUND(VLOOKUP($BJ61&amp;"初始",$S$3:$AE$63,MATCH(BQ$3,$S$3:$AE$3,0),FALSE)+(VLOOKUP($BJ61&amp;"最终",$S$3:$AE$63,MATCH(BQ$3,$S$3:$AE$3,0),FALSE)-VLOOKUP($BJ61&amp;"初始",$S$3:$AE$63,MATCH(BQ$3,$S$3:$AE$3,0),FALSE))*$BL61/VLOOKUP(VLOOKUP($BJ61,坦克个性化设定!$B$18:$E$48,4,FALSE)&amp;$BK61,坦克属性分配比例,MATCH("升星次数",坦克属性分配比例标头,0),FALSE)*VLOOKUP(VLOOKUP($BJ61,坦克个性化设定!$B$18:$E$48,4,FALSE)&amp;$BK61,坦克属性分配比例,MATCH("升星比例",坦克属性分配比例标头,0),FALSE),0)</f>
        <v>#N/A</v>
      </c>
      <c r="BR61" s="2" t="e">
        <f ca="1">ROUND(VLOOKUP($BJ61&amp;"初始",$S$3:$AE$63,MATCH(BR$3,$S$3:$AE$3,0),FALSE)+(VLOOKUP($BJ61&amp;"最终",$S$3:$AE$63,MATCH(BR$3,$S$3:$AE$3,0),FALSE)-VLOOKUP($BJ61&amp;"初始",$S$3:$AE$63,MATCH(BR$3,$S$3:$AE$3,0),FALSE))*$BL61/VLOOKUP(VLOOKUP($BJ61,坦克个性化设定!$B$18:$E$48,4,FALSE)&amp;$BK61,坦克属性分配比例,MATCH("升星次数",坦克属性分配比例标头,0),FALSE),0)</f>
        <v>#N/A</v>
      </c>
      <c r="BS61" s="2">
        <f>ROUND(VLOOKUP($BJ61,$AI$3:$AO$33,MATCH(BS$3,$AI$3:$AO$3,0),FALSE)+$BL61/VLOOKUP(VLOOKUP($BJ61,坦克个性化设定!$B$18:$E$48,4,FALSE)&amp;$BK61,坦克属性分配比例,MATCH("升星次数",坦克属性分配比例标头,0),FALSE)*VLOOKUP($BJ61,$AR$3:$AY$33,MATCH(BS$3,$AR$3:$AY$3,0),FALSE),1)</f>
        <v>47.2</v>
      </c>
      <c r="BT61" s="2">
        <f>ROUND(VLOOKUP($BJ61,$AI$3:$AO$33,MATCH(BT$3,$AI$3:$AO$3,0),FALSE)+$BL61/VLOOKUP(VLOOKUP($BJ61,坦克个性化设定!$B$18:$E$48,4,FALSE)&amp;$BK61,坦克属性分配比例,MATCH("升星次数",坦克属性分配比例标头,0),FALSE)*VLOOKUP($BJ61,$AR$3:$AY$33,MATCH(BT$3,$AR$3:$AY$3,0),FALSE),1)</f>
        <v>55.7</v>
      </c>
      <c r="BU61" s="2">
        <f>ROUND(VLOOKUP($BJ61,$AI$3:$AO$33,MATCH(BU$3,$AI$3:$AO$3,0),FALSE)+$BL61/VLOOKUP(VLOOKUP($BJ61,坦克个性化设定!$B$18:$E$48,4,FALSE)&amp;$BK61,坦克属性分配比例,MATCH("升星次数",坦克属性分配比例标头,0),FALSE)*VLOOKUP($BJ61,$AR$3:$AY$33,MATCH(BU$3,$AR$3:$AY$3,0),FALSE),1)</f>
        <v>10</v>
      </c>
      <c r="BV61" s="2">
        <f>IF(VLOOKUP(BJ61,坦克个性化设定!$B$18:$BC$48,MATCH("装弹类型",坦克个性化设定!$B$18:$BC$18,0),FALSE)="弹夹换弹",0,ROUND(VLOOKUP($BJ61,$AI$3:$AO$33,MATCH("换弹时间",$AI$3:$AO$3,0),FALSE)-$BL61/VLOOKUP(VLOOKUP($BJ61,坦克个性化设定!$B$18:$E$48,4,FALSE)&amp;$BK61,坦克属性分配比例,MATCH("升星次数",坦克属性分配比例标头,0),FALSE)*VLOOKUP($BJ61,$AR$3:$AY$33,MATCH("换弹时间",$AR$3:$AY$3,0),FALSE),2))</f>
        <v>0</v>
      </c>
      <c r="BW61" s="2">
        <f>IF(VLOOKUP(BJ61,坦克个性化设定!$B$18:$BC$48,MATCH("装弹类型",坦克个性化设定!$B$18:$BC$18,0),FALSE)="弹夹换弹",ROUND(VLOOKUP($BJ61,$AI$3:$AO$33,MATCH("换弹时间",$AI$3:$AO$3,0),FALSE)-$BL61/VLOOKUP(VLOOKUP($BJ61,坦克个性化设定!$B$18:$E$48,4,FALSE)&amp;$BK61,坦克属性分配比例,MATCH("升星次数",坦克属性分配比例标头,0),FALSE)*VLOOKUP($BJ61,$AR$3:$AY$33,MATCH("换弹时间",$AR$3:$AY$3,0),FALSE),1),0)</f>
        <v>8.5</v>
      </c>
      <c r="BX61" s="2">
        <f>ROUND(VLOOKUP($BJ61,$AI$3:$AO$33,MATCH(BX$3,$AI$3:$AO$3,0),FALSE)+$BL61/VLOOKUP(VLOOKUP($BJ61,坦克个性化设定!$B$18:$E$48,4,FALSE)&amp;$BK61,坦克属性分配比例,MATCH("升星次数",坦克属性分配比例标头,0),FALSE)*VLOOKUP($BJ61,$AR$3:$AY$33,MATCH(BX$3,$AR$3:$AY$3,0),FALSE),2)</f>
        <v>0.6</v>
      </c>
      <c r="BY61" s="2">
        <f>ROUND(VLOOKUP($BJ61,$AI$3:$AO$33,MATCH(BY$3,$AI$3:$AO$3,0),FALSE)-$BL61/VLOOKUP(VLOOKUP($BJ61,坦克个性化设定!$B$18:$E$48,4,FALSE)&amp;$BK61,坦克属性分配比例,MATCH("升星次数",坦克属性分配比例标头,0),FALSE)*VLOOKUP($BJ61,$AR$3:$AY$33,MATCH(BY$3,$AR$3:$AY$3,0),FALSE),2)</f>
        <v>0.37</v>
      </c>
    </row>
    <row r="62" spans="19:77" x14ac:dyDescent="0.3">
      <c r="S62" s="2" t="str">
        <f t="shared" si="19"/>
        <v>M1A2初始</v>
      </c>
      <c r="T62" s="2">
        <f>IF(COUNTIF(U$4:U61,U61)&gt;=$B$3,T61+1,T61)</f>
        <v>30</v>
      </c>
      <c r="U62" s="2" t="str">
        <f t="shared" si="20"/>
        <v>M1A2</v>
      </c>
      <c r="V62" s="2" t="str">
        <f>VLOOKUP(U62,坦克个性化设定!$B$18:$F$48,5,FALSE)</f>
        <v>重坦单发</v>
      </c>
      <c r="W62" s="29" t="str">
        <f>VLOOKUP(U62,坦克个性化细分!$I$3:$J$33,2,FALSE)</f>
        <v>低</v>
      </c>
      <c r="X62" s="2" t="str">
        <f t="shared" si="21"/>
        <v>初始</v>
      </c>
      <c r="Y62" s="2" t="str">
        <f>VLOOKUP(VLOOKUP(U62,坦克个性化设定!$B$18:$F$48,4,FALSE)&amp;W62,坦克等级成长!$P$12:$U$24,MATCH(X62,坦克等级成长!$P$12:$U$12,0),FALSE)</f>
        <v>T5低5</v>
      </c>
      <c r="Z62" s="42">
        <f ca="1">VLOOKUP($Y62,INDIRECT($V62&amp;"_阶段属性"),MATCH(Z$3,属性标头_阶段属性,0),FALSE)*VLOOKUP($U62,坦克个性化设定!$B$84:$D$114,2,FALSE)</f>
        <v>2435.8456796970545</v>
      </c>
      <c r="AA62" s="42">
        <f ca="1">VLOOKUP($Y62,INDIRECT($V62&amp;"_阶段属性"),MATCH(AA$3,属性标头_阶段属性,0),FALSE)*VLOOKUP($U62,坦克个性化设定!$B$84:$D$114,3,FALSE)</f>
        <v>984.14691044719336</v>
      </c>
      <c r="AB62" s="2">
        <f t="shared" ca="1" si="22"/>
        <v>317</v>
      </c>
      <c r="AC62" s="2">
        <f t="shared" ca="1" si="22"/>
        <v>792</v>
      </c>
      <c r="AD62" s="2">
        <f t="shared" ca="1" si="22"/>
        <v>1058</v>
      </c>
      <c r="AE62" s="2">
        <f t="shared" ca="1" si="22"/>
        <v>229</v>
      </c>
      <c r="AF62" s="25"/>
      <c r="BH62" s="2" t="str">
        <f t="shared" si="13"/>
        <v>霞飞6</v>
      </c>
      <c r="BI62" s="2">
        <f>IF(BL61&gt;=VLOOKUP(VLOOKUP(BJ61,坦克个性化设定!$B$18:$E$48,4,FALSE)&amp;BK61,坦克属性分配比例,MATCH("升星次数",坦克属性分配比例标头,0),FALSE),BI61+1,BI61)</f>
        <v>7</v>
      </c>
      <c r="BJ62" s="2" t="str">
        <f t="shared" si="14"/>
        <v>霞飞</v>
      </c>
      <c r="BK62" s="29" t="str">
        <f>VLOOKUP(BJ62,坦克个性化细分!$I$3:$J$33,2,FALSE)</f>
        <v>低</v>
      </c>
      <c r="BL62" s="2">
        <f t="shared" si="7"/>
        <v>6</v>
      </c>
      <c r="BM62" s="103" t="e">
        <f ca="1">ROUND(VLOOKUP($BJ62&amp;"初始",$S$3:$AE$63,MATCH(BM$3,$S$3:$AE$3,0),FALSE)+((VLOOKUP($BJ62&amp;"最终",$S$3:$AE$63,MATCH(BM$3,$S$3:$AE$3,0),FALSE)*坦克个性化细分!$C$9-VLOOKUP($BJ62&amp;"初始",$S$3:$AE$63,MATCH(BM$3,$S$3:$AE$3,0),FALSE))-(VLOOKUP($BJ62&amp;"最终",$S$3:$AE$63,MATCH(BM$3,$S$3:$AE$3,0),FALSE)-VLOOKUP($BJ62&amp;"初始",$S$3:$AE$63,MATCH(BM$3,$S$3:$AE$3,0),FALSE))*VLOOKUP(VLOOKUP($BJ62,坦克个性化设定!$B$18:$E$48,4,FALSE)&amp;$BK62,坦克属性分配比例,MATCH("部件比例",坦克属性分配比例标头,0),FALSE))*$BL62/VLOOKUP(VLOOKUP($BJ62,坦克个性化设定!$B$18:$E$48,4,FALSE)&amp;$BK62,坦克属性分配比例,MATCH("升星次数",坦克属性分配比例标头,0),FALSE),0)</f>
        <v>#N/A</v>
      </c>
      <c r="BN62" s="103" t="e">
        <f ca="1">ROUND(VLOOKUP($BJ62&amp;"初始",$S$3:$AE$63,MATCH(BN$3,$S$3:$AE$3,0),FALSE)+(VLOOKUP($BJ62&amp;"最终",$S$3:$AE$63,MATCH(BN$3,$S$3:$AE$3,0),FALSE)-VLOOKUP($BJ62&amp;"初始",$S$3:$AE$63,MATCH(BN$3,$S$3:$AE$3,0),FALSE))*$BL62/VLOOKUP(VLOOKUP($BJ62,坦克个性化设定!$B$18:$E$48,4,FALSE)&amp;$BK62,坦克属性分配比例,MATCH("升星次数",坦克属性分配比例标头,0),FALSE)*VLOOKUP(VLOOKUP($BJ62,坦克个性化设定!$B$18:$E$48,4,FALSE)&amp;$BK62,坦克属性分配比例,MATCH("升星比例",坦克属性分配比例标头,0),FALSE),0)</f>
        <v>#N/A</v>
      </c>
      <c r="BO62" s="103" t="e">
        <f ca="1">ROUND(VLOOKUP($BJ62&amp;"初始",$S$3:$AE$63,MATCH(BO$3,$S$3:$AE$3,0),FALSE)+(VLOOKUP($BJ62&amp;"最终",$S$3:$AE$63,MATCH(BO$3,$S$3:$AE$3,0),FALSE)-VLOOKUP($BJ62&amp;"初始",$S$3:$AE$63,MATCH(BO$3,$S$3:$AE$3,0),FALSE))*$BL62/VLOOKUP(VLOOKUP($BJ62,坦克个性化设定!$B$18:$E$48,4,FALSE)&amp;$BK62,坦克属性分配比例,MATCH("升星次数",坦克属性分配比例标头,0),FALSE)*(VLOOKUP(VLOOKUP($BJ62,坦克个性化设定!$B$18:$E$48,4,FALSE)&amp;$BK62,坦克属性分配比例,MATCH("升星比例",坦克属性分配比例标头,0),FALSE)+VLOOKUP(VLOOKUP($BJ62,坦克个性化设定!$B$18:$E$48,4,FALSE)&amp;$BK62,坦克属性分配比例,MATCH("部件比例",坦克属性分配比例标头,0),FALSE)*$C$3),0)</f>
        <v>#N/A</v>
      </c>
      <c r="BP62" s="103" t="e">
        <f ca="1">ROUND(VLOOKUP($BJ62&amp;"初始",$S$3:$AE$63,MATCH(BP$3,$S$3:$AE$3,0),FALSE)+(VLOOKUP($BJ62&amp;"最终",$S$3:$AE$63,MATCH(BP$3,$S$3:$AE$3,0),FALSE)-VLOOKUP($BJ62&amp;"初始",$S$3:$AE$63,MATCH(BP$3,$S$3:$AE$3,0),FALSE))*$BL62/VLOOKUP(VLOOKUP($BJ62,坦克个性化设定!$B$18:$E$48,4,FALSE)&amp;$BK62,坦克属性分配比例,MATCH("升星次数",坦克属性分配比例标头,0),FALSE)*(VLOOKUP(VLOOKUP($BJ62,坦克个性化设定!$B$18:$E$48,4,FALSE)&amp;$BK62,坦克属性分配比例,MATCH("升星比例",坦克属性分配比例标头,0),FALSE)+VLOOKUP(VLOOKUP($BJ62,坦克个性化设定!$B$18:$E$48,4,FALSE)&amp;$BK62,坦克属性分配比例,MATCH("部件比例",坦克属性分配比例标头,0),FALSE)*$C$3),0)</f>
        <v>#N/A</v>
      </c>
      <c r="BQ62" s="103" t="e">
        <f ca="1">ROUND(VLOOKUP($BJ62&amp;"初始",$S$3:$AE$63,MATCH(BQ$3,$S$3:$AE$3,0),FALSE)+(VLOOKUP($BJ62&amp;"最终",$S$3:$AE$63,MATCH(BQ$3,$S$3:$AE$3,0),FALSE)-VLOOKUP($BJ62&amp;"初始",$S$3:$AE$63,MATCH(BQ$3,$S$3:$AE$3,0),FALSE))*$BL62/VLOOKUP(VLOOKUP($BJ62,坦克个性化设定!$B$18:$E$48,4,FALSE)&amp;$BK62,坦克属性分配比例,MATCH("升星次数",坦克属性分配比例标头,0),FALSE)*VLOOKUP(VLOOKUP($BJ62,坦克个性化设定!$B$18:$E$48,4,FALSE)&amp;$BK62,坦克属性分配比例,MATCH("升星比例",坦克属性分配比例标头,0),FALSE),0)</f>
        <v>#N/A</v>
      </c>
      <c r="BR62" s="2" t="e">
        <f ca="1">ROUND(VLOOKUP($BJ62&amp;"初始",$S$3:$AE$63,MATCH(BR$3,$S$3:$AE$3,0),FALSE)+(VLOOKUP($BJ62&amp;"最终",$S$3:$AE$63,MATCH(BR$3,$S$3:$AE$3,0),FALSE)-VLOOKUP($BJ62&amp;"初始",$S$3:$AE$63,MATCH(BR$3,$S$3:$AE$3,0),FALSE))*$BL62/VLOOKUP(VLOOKUP($BJ62,坦克个性化设定!$B$18:$E$48,4,FALSE)&amp;$BK62,坦克属性分配比例,MATCH("升星次数",坦克属性分配比例标头,0),FALSE),0)</f>
        <v>#N/A</v>
      </c>
      <c r="BS62" s="2">
        <f>ROUND(VLOOKUP($BJ62,$AI$3:$AO$33,MATCH(BS$3,$AI$3:$AO$3,0),FALSE)+$BL62/VLOOKUP(VLOOKUP($BJ62,坦克个性化设定!$B$18:$E$48,4,FALSE)&amp;$BK62,坦克属性分配比例,MATCH("升星次数",坦克属性分配比例标头,0),FALSE)*VLOOKUP($BJ62,$AR$3:$AY$33,MATCH(BS$3,$AR$3:$AY$3,0),FALSE),1)</f>
        <v>48.2</v>
      </c>
      <c r="BT62" s="2">
        <f>ROUND(VLOOKUP($BJ62,$AI$3:$AO$33,MATCH(BT$3,$AI$3:$AO$3,0),FALSE)+$BL62/VLOOKUP(VLOOKUP($BJ62,坦克个性化设定!$B$18:$E$48,4,FALSE)&amp;$BK62,坦克属性分配比例,MATCH("升星次数",坦克属性分配比例标头,0),FALSE)*VLOOKUP($BJ62,$AR$3:$AY$33,MATCH(BT$3,$AR$3:$AY$3,0),FALSE),1)</f>
        <v>56.8</v>
      </c>
      <c r="BU62" s="2">
        <f>ROUND(VLOOKUP($BJ62,$AI$3:$AO$33,MATCH(BU$3,$AI$3:$AO$3,0),FALSE)+$BL62/VLOOKUP(VLOOKUP($BJ62,坦克个性化设定!$B$18:$E$48,4,FALSE)&amp;$BK62,坦克属性分配比例,MATCH("升星次数",坦克属性分配比例标头,0),FALSE)*VLOOKUP($BJ62,$AR$3:$AY$33,MATCH(BU$3,$AR$3:$AY$3,0),FALSE),1)</f>
        <v>10</v>
      </c>
      <c r="BV62" s="2">
        <f>IF(VLOOKUP(BJ62,坦克个性化设定!$B$18:$BC$48,MATCH("装弹类型",坦克个性化设定!$B$18:$BC$18,0),FALSE)="弹夹换弹",0,ROUND(VLOOKUP($BJ62,$AI$3:$AO$33,MATCH("换弹时间",$AI$3:$AO$3,0),FALSE)-$BL62/VLOOKUP(VLOOKUP($BJ62,坦克个性化设定!$B$18:$E$48,4,FALSE)&amp;$BK62,坦克属性分配比例,MATCH("升星次数",坦克属性分配比例标头,0),FALSE)*VLOOKUP($BJ62,$AR$3:$AY$33,MATCH("换弹时间",$AR$3:$AY$3,0),FALSE),2))</f>
        <v>0</v>
      </c>
      <c r="BW62" s="2">
        <f>IF(VLOOKUP(BJ62,坦克个性化设定!$B$18:$BC$48,MATCH("装弹类型",坦克个性化设定!$B$18:$BC$18,0),FALSE)="弹夹换弹",ROUND(VLOOKUP($BJ62,$AI$3:$AO$33,MATCH("换弹时间",$AI$3:$AO$3,0),FALSE)-$BL62/VLOOKUP(VLOOKUP($BJ62,坦克个性化设定!$B$18:$E$48,4,FALSE)&amp;$BK62,坦克属性分配比例,MATCH("升星次数",坦克属性分配比例标头,0),FALSE)*VLOOKUP($BJ62,$AR$3:$AY$33,MATCH("换弹时间",$AR$3:$AY$3,0),FALSE),1),0)</f>
        <v>8.1999999999999993</v>
      </c>
      <c r="BX62" s="2">
        <f>ROUND(VLOOKUP($BJ62,$AI$3:$AO$33,MATCH(BX$3,$AI$3:$AO$3,0),FALSE)+$BL62/VLOOKUP(VLOOKUP($BJ62,坦克个性化设定!$B$18:$E$48,4,FALSE)&amp;$BK62,坦克属性分配比例,MATCH("升星次数",坦克属性分配比例标头,0),FALSE)*VLOOKUP($BJ62,$AR$3:$AY$33,MATCH(BX$3,$AR$3:$AY$3,0),FALSE),2)</f>
        <v>0.6</v>
      </c>
      <c r="BY62" s="2">
        <f>ROUND(VLOOKUP($BJ62,$AI$3:$AO$33,MATCH(BY$3,$AI$3:$AO$3,0),FALSE)-$BL62/VLOOKUP(VLOOKUP($BJ62,坦克个性化设定!$B$18:$E$48,4,FALSE)&amp;$BK62,坦克属性分配比例,MATCH("升星次数",坦克属性分配比例标头,0),FALSE)*VLOOKUP($BJ62,$AR$3:$AY$33,MATCH(BY$3,$AR$3:$AY$3,0),FALSE),2)</f>
        <v>0.36</v>
      </c>
    </row>
    <row r="63" spans="19:77" x14ac:dyDescent="0.3">
      <c r="S63" s="2" t="str">
        <f t="shared" si="19"/>
        <v>M1A2最终</v>
      </c>
      <c r="T63" s="2">
        <f>IF(COUNTIF(U$4:U62,U62)&gt;=$B$3,T62+1,T62)</f>
        <v>30</v>
      </c>
      <c r="U63" s="2" t="str">
        <f t="shared" si="20"/>
        <v>M1A2</v>
      </c>
      <c r="V63" s="2" t="str">
        <f>VLOOKUP(U63,坦克个性化设定!$B$18:$F$48,5,FALSE)</f>
        <v>重坦单发</v>
      </c>
      <c r="W63" s="29" t="str">
        <f>VLOOKUP(U63,坦克个性化细分!$I$3:$J$33,2,FALSE)</f>
        <v>低</v>
      </c>
      <c r="X63" s="2" t="str">
        <f t="shared" si="21"/>
        <v>最终</v>
      </c>
      <c r="Y63" s="2" t="str">
        <f>VLOOKUP(VLOOKUP(U63,坦克个性化设定!$B$18:$F$48,4,FALSE)&amp;W63,坦克等级成长!$P$12:$U$24,MATCH(X63,坦克等级成长!$P$12:$U$12,0),FALSE)</f>
        <v>T5低8</v>
      </c>
      <c r="Z63" s="42" t="e">
        <f ca="1">VLOOKUP($Y63,INDIRECT($V63&amp;"_阶段属性"),MATCH(Z$3,属性标头_阶段属性,0),FALSE)*VLOOKUP($U63,坦克个性化设定!$B$84:$D$114,2,FALSE)</f>
        <v>#N/A</v>
      </c>
      <c r="AA63" s="42" t="e">
        <f ca="1">VLOOKUP($Y63,INDIRECT($V63&amp;"_阶段属性"),MATCH(AA$3,属性标头_阶段属性,0),FALSE)*VLOOKUP($U63,坦克个性化设定!$B$84:$D$114,3,FALSE)</f>
        <v>#N/A</v>
      </c>
      <c r="AB63" s="2" t="e">
        <f t="shared" ca="1" si="22"/>
        <v>#N/A</v>
      </c>
      <c r="AC63" s="2" t="e">
        <f t="shared" ca="1" si="22"/>
        <v>#N/A</v>
      </c>
      <c r="AD63" s="2" t="e">
        <f t="shared" ca="1" si="22"/>
        <v>#N/A</v>
      </c>
      <c r="AE63" s="2" t="e">
        <f t="shared" ca="1" si="22"/>
        <v>#N/A</v>
      </c>
      <c r="AF63" s="25"/>
      <c r="BH63" s="2" t="str">
        <f t="shared" si="13"/>
        <v>霞飞7</v>
      </c>
      <c r="BI63" s="2">
        <f>IF(BL62&gt;=VLOOKUP(VLOOKUP(BJ62,坦克个性化设定!$B$18:$E$48,4,FALSE)&amp;BK62,坦克属性分配比例,MATCH("升星次数",坦克属性分配比例标头,0),FALSE),BI62+1,BI62)</f>
        <v>7</v>
      </c>
      <c r="BJ63" s="2" t="str">
        <f t="shared" si="14"/>
        <v>霞飞</v>
      </c>
      <c r="BK63" s="29" t="str">
        <f>VLOOKUP(BJ63,坦克个性化细分!$I$3:$J$33,2,FALSE)</f>
        <v>低</v>
      </c>
      <c r="BL63" s="2">
        <f t="shared" si="7"/>
        <v>7</v>
      </c>
      <c r="BM63" s="103" t="e">
        <f ca="1">ROUND(VLOOKUP($BJ63&amp;"初始",$S$3:$AE$63,MATCH(BM$3,$S$3:$AE$3,0),FALSE)+((VLOOKUP($BJ63&amp;"最终",$S$3:$AE$63,MATCH(BM$3,$S$3:$AE$3,0),FALSE)*坦克个性化细分!$C$9-VLOOKUP($BJ63&amp;"初始",$S$3:$AE$63,MATCH(BM$3,$S$3:$AE$3,0),FALSE))-(VLOOKUP($BJ63&amp;"最终",$S$3:$AE$63,MATCH(BM$3,$S$3:$AE$3,0),FALSE)-VLOOKUP($BJ63&amp;"初始",$S$3:$AE$63,MATCH(BM$3,$S$3:$AE$3,0),FALSE))*VLOOKUP(VLOOKUP($BJ63,坦克个性化设定!$B$18:$E$48,4,FALSE)&amp;$BK63,坦克属性分配比例,MATCH("部件比例",坦克属性分配比例标头,0),FALSE))*$BL63/VLOOKUP(VLOOKUP($BJ63,坦克个性化设定!$B$18:$E$48,4,FALSE)&amp;$BK63,坦克属性分配比例,MATCH("升星次数",坦克属性分配比例标头,0),FALSE),0)</f>
        <v>#N/A</v>
      </c>
      <c r="BN63" s="103" t="e">
        <f ca="1">ROUND(VLOOKUP($BJ63&amp;"初始",$S$3:$AE$63,MATCH(BN$3,$S$3:$AE$3,0),FALSE)+(VLOOKUP($BJ63&amp;"最终",$S$3:$AE$63,MATCH(BN$3,$S$3:$AE$3,0),FALSE)-VLOOKUP($BJ63&amp;"初始",$S$3:$AE$63,MATCH(BN$3,$S$3:$AE$3,0),FALSE))*$BL63/VLOOKUP(VLOOKUP($BJ63,坦克个性化设定!$B$18:$E$48,4,FALSE)&amp;$BK63,坦克属性分配比例,MATCH("升星次数",坦克属性分配比例标头,0),FALSE)*VLOOKUP(VLOOKUP($BJ63,坦克个性化设定!$B$18:$E$48,4,FALSE)&amp;$BK63,坦克属性分配比例,MATCH("升星比例",坦克属性分配比例标头,0),FALSE),0)</f>
        <v>#N/A</v>
      </c>
      <c r="BO63" s="103" t="e">
        <f ca="1">ROUND(VLOOKUP($BJ63&amp;"初始",$S$3:$AE$63,MATCH(BO$3,$S$3:$AE$3,0),FALSE)+(VLOOKUP($BJ63&amp;"最终",$S$3:$AE$63,MATCH(BO$3,$S$3:$AE$3,0),FALSE)-VLOOKUP($BJ63&amp;"初始",$S$3:$AE$63,MATCH(BO$3,$S$3:$AE$3,0),FALSE))*$BL63/VLOOKUP(VLOOKUP($BJ63,坦克个性化设定!$B$18:$E$48,4,FALSE)&amp;$BK63,坦克属性分配比例,MATCH("升星次数",坦克属性分配比例标头,0),FALSE)*(VLOOKUP(VLOOKUP($BJ63,坦克个性化设定!$B$18:$E$48,4,FALSE)&amp;$BK63,坦克属性分配比例,MATCH("升星比例",坦克属性分配比例标头,0),FALSE)+VLOOKUP(VLOOKUP($BJ63,坦克个性化设定!$B$18:$E$48,4,FALSE)&amp;$BK63,坦克属性分配比例,MATCH("部件比例",坦克属性分配比例标头,0),FALSE)*$C$3),0)</f>
        <v>#N/A</v>
      </c>
      <c r="BP63" s="103" t="e">
        <f ca="1">ROUND(VLOOKUP($BJ63&amp;"初始",$S$3:$AE$63,MATCH(BP$3,$S$3:$AE$3,0),FALSE)+(VLOOKUP($BJ63&amp;"最终",$S$3:$AE$63,MATCH(BP$3,$S$3:$AE$3,0),FALSE)-VLOOKUP($BJ63&amp;"初始",$S$3:$AE$63,MATCH(BP$3,$S$3:$AE$3,0),FALSE))*$BL63/VLOOKUP(VLOOKUP($BJ63,坦克个性化设定!$B$18:$E$48,4,FALSE)&amp;$BK63,坦克属性分配比例,MATCH("升星次数",坦克属性分配比例标头,0),FALSE)*(VLOOKUP(VLOOKUP($BJ63,坦克个性化设定!$B$18:$E$48,4,FALSE)&amp;$BK63,坦克属性分配比例,MATCH("升星比例",坦克属性分配比例标头,0),FALSE)+VLOOKUP(VLOOKUP($BJ63,坦克个性化设定!$B$18:$E$48,4,FALSE)&amp;$BK63,坦克属性分配比例,MATCH("部件比例",坦克属性分配比例标头,0),FALSE)*$C$3),0)</f>
        <v>#N/A</v>
      </c>
      <c r="BQ63" s="103" t="e">
        <f ca="1">ROUND(VLOOKUP($BJ63&amp;"初始",$S$3:$AE$63,MATCH(BQ$3,$S$3:$AE$3,0),FALSE)+(VLOOKUP($BJ63&amp;"最终",$S$3:$AE$63,MATCH(BQ$3,$S$3:$AE$3,0),FALSE)-VLOOKUP($BJ63&amp;"初始",$S$3:$AE$63,MATCH(BQ$3,$S$3:$AE$3,0),FALSE))*$BL63/VLOOKUP(VLOOKUP($BJ63,坦克个性化设定!$B$18:$E$48,4,FALSE)&amp;$BK63,坦克属性分配比例,MATCH("升星次数",坦克属性分配比例标头,0),FALSE)*VLOOKUP(VLOOKUP($BJ63,坦克个性化设定!$B$18:$E$48,4,FALSE)&amp;$BK63,坦克属性分配比例,MATCH("升星比例",坦克属性分配比例标头,0),FALSE),0)</f>
        <v>#N/A</v>
      </c>
      <c r="BR63" s="2" t="e">
        <f ca="1">ROUND(VLOOKUP($BJ63&amp;"初始",$S$3:$AE$63,MATCH(BR$3,$S$3:$AE$3,0),FALSE)+(VLOOKUP($BJ63&amp;"最终",$S$3:$AE$63,MATCH(BR$3,$S$3:$AE$3,0),FALSE)-VLOOKUP($BJ63&amp;"初始",$S$3:$AE$63,MATCH(BR$3,$S$3:$AE$3,0),FALSE))*$BL63/VLOOKUP(VLOOKUP($BJ63,坦克个性化设定!$B$18:$E$48,4,FALSE)&amp;$BK63,坦克属性分配比例,MATCH("升星次数",坦克属性分配比例标头,0),FALSE),0)</f>
        <v>#N/A</v>
      </c>
      <c r="BS63" s="2">
        <f>ROUND(VLOOKUP($BJ63,$AI$3:$AO$33,MATCH(BS$3,$AI$3:$AO$3,0),FALSE)+$BL63/VLOOKUP(VLOOKUP($BJ63,坦克个性化设定!$B$18:$E$48,4,FALSE)&amp;$BK63,坦克属性分配比例,MATCH("升星次数",坦克属性分配比例标头,0),FALSE)*VLOOKUP($BJ63,$AR$3:$AY$33,MATCH(BS$3,$AR$3:$AY$3,0),FALSE),1)</f>
        <v>49.1</v>
      </c>
      <c r="BT63" s="2">
        <f>ROUND(VLOOKUP($BJ63,$AI$3:$AO$33,MATCH(BT$3,$AI$3:$AO$3,0),FALSE)+$BL63/VLOOKUP(VLOOKUP($BJ63,坦克个性化设定!$B$18:$E$48,4,FALSE)&amp;$BK63,坦克属性分配比例,MATCH("升星次数",坦克属性分配比例标头,0),FALSE)*VLOOKUP($BJ63,$AR$3:$AY$33,MATCH(BT$3,$AR$3:$AY$3,0),FALSE),1)</f>
        <v>58</v>
      </c>
      <c r="BU63" s="2">
        <f>ROUND(VLOOKUP($BJ63,$AI$3:$AO$33,MATCH(BU$3,$AI$3:$AO$3,0),FALSE)+$BL63/VLOOKUP(VLOOKUP($BJ63,坦克个性化设定!$B$18:$E$48,4,FALSE)&amp;$BK63,坦克属性分配比例,MATCH("升星次数",坦克属性分配比例标头,0),FALSE)*VLOOKUP($BJ63,$AR$3:$AY$33,MATCH(BU$3,$AR$3:$AY$3,0),FALSE),1)</f>
        <v>10</v>
      </c>
      <c r="BV63" s="2">
        <f>IF(VLOOKUP(BJ63,坦克个性化设定!$B$18:$BC$48,MATCH("装弹类型",坦克个性化设定!$B$18:$BC$18,0),FALSE)="弹夹换弹",0,ROUND(VLOOKUP($BJ63,$AI$3:$AO$33,MATCH("换弹时间",$AI$3:$AO$3,0),FALSE)-$BL63/VLOOKUP(VLOOKUP($BJ63,坦克个性化设定!$B$18:$E$48,4,FALSE)&amp;$BK63,坦克属性分配比例,MATCH("升星次数",坦克属性分配比例标头,0),FALSE)*VLOOKUP($BJ63,$AR$3:$AY$33,MATCH("换弹时间",$AR$3:$AY$3,0),FALSE),2))</f>
        <v>0</v>
      </c>
      <c r="BW63" s="2">
        <f>IF(VLOOKUP(BJ63,坦克个性化设定!$B$18:$BC$48,MATCH("装弹类型",坦克个性化设定!$B$18:$BC$18,0),FALSE)="弹夹换弹",ROUND(VLOOKUP($BJ63,$AI$3:$AO$33,MATCH("换弹时间",$AI$3:$AO$3,0),FALSE)-$BL63/VLOOKUP(VLOOKUP($BJ63,坦克个性化设定!$B$18:$E$48,4,FALSE)&amp;$BK63,坦克属性分配比例,MATCH("升星次数",坦克属性分配比例标头,0),FALSE)*VLOOKUP($BJ63,$AR$3:$AY$33,MATCH("换弹时间",$AR$3:$AY$3,0),FALSE),1),0)</f>
        <v>7.9</v>
      </c>
      <c r="BX63" s="2">
        <f>ROUND(VLOOKUP($BJ63,$AI$3:$AO$33,MATCH(BX$3,$AI$3:$AO$3,0),FALSE)+$BL63/VLOOKUP(VLOOKUP($BJ63,坦克个性化设定!$B$18:$E$48,4,FALSE)&amp;$BK63,坦克属性分配比例,MATCH("升星次数",坦克属性分配比例标头,0),FALSE)*VLOOKUP($BJ63,$AR$3:$AY$33,MATCH(BX$3,$AR$3:$AY$3,0),FALSE),2)</f>
        <v>0.6</v>
      </c>
      <c r="BY63" s="2">
        <f>ROUND(VLOOKUP($BJ63,$AI$3:$AO$33,MATCH(BY$3,$AI$3:$AO$3,0),FALSE)-$BL63/VLOOKUP(VLOOKUP($BJ63,坦克个性化设定!$B$18:$E$48,4,FALSE)&amp;$BK63,坦克属性分配比例,MATCH("升星次数",坦克属性分配比例标头,0),FALSE)*VLOOKUP($BJ63,$AR$3:$AY$33,MATCH(BY$3,$AR$3:$AY$3,0),FALSE),2)</f>
        <v>0.36</v>
      </c>
    </row>
    <row r="64" spans="19:77" x14ac:dyDescent="0.3">
      <c r="S64" s="1" t="s">
        <v>894</v>
      </c>
      <c r="Z64" s="133" t="e">
        <f ca="1">MROUND(MAX(Z4:Z63)*1.15,10)</f>
        <v>#N/A</v>
      </c>
      <c r="AA64" s="133" t="e">
        <f ca="1">MROUND(MAX(AA4:AA63)*1.15,10)</f>
        <v>#N/A</v>
      </c>
      <c r="AB64" s="133" t="e">
        <f ca="1">MROUND(MAX(AB4:AB63)*1.15,10)</f>
        <v>#N/A</v>
      </c>
      <c r="AC64" s="133" t="e">
        <f ca="1">MROUND(MAX(AC4:AC63)*1.15,10)</f>
        <v>#N/A</v>
      </c>
      <c r="AD64" s="133" t="e">
        <f ca="1">MROUND(MAX(AD4:AD63)*1.15,10)</f>
        <v>#N/A</v>
      </c>
      <c r="BH64" s="2" t="str">
        <f t="shared" si="13"/>
        <v>霞飞8</v>
      </c>
      <c r="BI64" s="2">
        <f>IF(BL63&gt;=VLOOKUP(VLOOKUP(BJ63,坦克个性化设定!$B$18:$E$48,4,FALSE)&amp;BK63,坦克属性分配比例,MATCH("升星次数",坦克属性分配比例标头,0),FALSE),BI63+1,BI63)</f>
        <v>7</v>
      </c>
      <c r="BJ64" s="2" t="str">
        <f t="shared" si="14"/>
        <v>霞飞</v>
      </c>
      <c r="BK64" s="29" t="str">
        <f>VLOOKUP(BJ64,坦克个性化细分!$I$3:$J$33,2,FALSE)</f>
        <v>低</v>
      </c>
      <c r="BL64" s="2">
        <f t="shared" si="7"/>
        <v>8</v>
      </c>
      <c r="BM64" s="103" t="e">
        <f ca="1">ROUND(VLOOKUP($BJ64&amp;"初始",$S$3:$AE$63,MATCH(BM$3,$S$3:$AE$3,0),FALSE)+((VLOOKUP($BJ64&amp;"最终",$S$3:$AE$63,MATCH(BM$3,$S$3:$AE$3,0),FALSE)*坦克个性化细分!$C$9-VLOOKUP($BJ64&amp;"初始",$S$3:$AE$63,MATCH(BM$3,$S$3:$AE$3,0),FALSE))-(VLOOKUP($BJ64&amp;"最终",$S$3:$AE$63,MATCH(BM$3,$S$3:$AE$3,0),FALSE)-VLOOKUP($BJ64&amp;"初始",$S$3:$AE$63,MATCH(BM$3,$S$3:$AE$3,0),FALSE))*VLOOKUP(VLOOKUP($BJ64,坦克个性化设定!$B$18:$E$48,4,FALSE)&amp;$BK64,坦克属性分配比例,MATCH("部件比例",坦克属性分配比例标头,0),FALSE))*$BL64/VLOOKUP(VLOOKUP($BJ64,坦克个性化设定!$B$18:$E$48,4,FALSE)&amp;$BK64,坦克属性分配比例,MATCH("升星次数",坦克属性分配比例标头,0),FALSE),0)</f>
        <v>#N/A</v>
      </c>
      <c r="BN64" s="103" t="e">
        <f ca="1">ROUND(VLOOKUP($BJ64&amp;"初始",$S$3:$AE$63,MATCH(BN$3,$S$3:$AE$3,0),FALSE)+(VLOOKUP($BJ64&amp;"最终",$S$3:$AE$63,MATCH(BN$3,$S$3:$AE$3,0),FALSE)-VLOOKUP($BJ64&amp;"初始",$S$3:$AE$63,MATCH(BN$3,$S$3:$AE$3,0),FALSE))*$BL64/VLOOKUP(VLOOKUP($BJ64,坦克个性化设定!$B$18:$E$48,4,FALSE)&amp;$BK64,坦克属性分配比例,MATCH("升星次数",坦克属性分配比例标头,0),FALSE)*VLOOKUP(VLOOKUP($BJ64,坦克个性化设定!$B$18:$E$48,4,FALSE)&amp;$BK64,坦克属性分配比例,MATCH("升星比例",坦克属性分配比例标头,0),FALSE),0)</f>
        <v>#N/A</v>
      </c>
      <c r="BO64" s="103" t="e">
        <f ca="1">ROUND(VLOOKUP($BJ64&amp;"初始",$S$3:$AE$63,MATCH(BO$3,$S$3:$AE$3,0),FALSE)+(VLOOKUP($BJ64&amp;"最终",$S$3:$AE$63,MATCH(BO$3,$S$3:$AE$3,0),FALSE)-VLOOKUP($BJ64&amp;"初始",$S$3:$AE$63,MATCH(BO$3,$S$3:$AE$3,0),FALSE))*$BL64/VLOOKUP(VLOOKUP($BJ64,坦克个性化设定!$B$18:$E$48,4,FALSE)&amp;$BK64,坦克属性分配比例,MATCH("升星次数",坦克属性分配比例标头,0),FALSE)*(VLOOKUP(VLOOKUP($BJ64,坦克个性化设定!$B$18:$E$48,4,FALSE)&amp;$BK64,坦克属性分配比例,MATCH("升星比例",坦克属性分配比例标头,0),FALSE)+VLOOKUP(VLOOKUP($BJ64,坦克个性化设定!$B$18:$E$48,4,FALSE)&amp;$BK64,坦克属性分配比例,MATCH("部件比例",坦克属性分配比例标头,0),FALSE)*$C$3),0)</f>
        <v>#N/A</v>
      </c>
      <c r="BP64" s="103" t="e">
        <f ca="1">ROUND(VLOOKUP($BJ64&amp;"初始",$S$3:$AE$63,MATCH(BP$3,$S$3:$AE$3,0),FALSE)+(VLOOKUP($BJ64&amp;"最终",$S$3:$AE$63,MATCH(BP$3,$S$3:$AE$3,0),FALSE)-VLOOKUP($BJ64&amp;"初始",$S$3:$AE$63,MATCH(BP$3,$S$3:$AE$3,0),FALSE))*$BL64/VLOOKUP(VLOOKUP($BJ64,坦克个性化设定!$B$18:$E$48,4,FALSE)&amp;$BK64,坦克属性分配比例,MATCH("升星次数",坦克属性分配比例标头,0),FALSE)*(VLOOKUP(VLOOKUP($BJ64,坦克个性化设定!$B$18:$E$48,4,FALSE)&amp;$BK64,坦克属性分配比例,MATCH("升星比例",坦克属性分配比例标头,0),FALSE)+VLOOKUP(VLOOKUP($BJ64,坦克个性化设定!$B$18:$E$48,4,FALSE)&amp;$BK64,坦克属性分配比例,MATCH("部件比例",坦克属性分配比例标头,0),FALSE)*$C$3),0)</f>
        <v>#N/A</v>
      </c>
      <c r="BQ64" s="103" t="e">
        <f ca="1">ROUND(VLOOKUP($BJ64&amp;"初始",$S$3:$AE$63,MATCH(BQ$3,$S$3:$AE$3,0),FALSE)+(VLOOKUP($BJ64&amp;"最终",$S$3:$AE$63,MATCH(BQ$3,$S$3:$AE$3,0),FALSE)-VLOOKUP($BJ64&amp;"初始",$S$3:$AE$63,MATCH(BQ$3,$S$3:$AE$3,0),FALSE))*$BL64/VLOOKUP(VLOOKUP($BJ64,坦克个性化设定!$B$18:$E$48,4,FALSE)&amp;$BK64,坦克属性分配比例,MATCH("升星次数",坦克属性分配比例标头,0),FALSE)*VLOOKUP(VLOOKUP($BJ64,坦克个性化设定!$B$18:$E$48,4,FALSE)&amp;$BK64,坦克属性分配比例,MATCH("升星比例",坦克属性分配比例标头,0),FALSE),0)</f>
        <v>#N/A</v>
      </c>
      <c r="BR64" s="2" t="e">
        <f ca="1">ROUND(VLOOKUP($BJ64&amp;"初始",$S$3:$AE$63,MATCH(BR$3,$S$3:$AE$3,0),FALSE)+(VLOOKUP($BJ64&amp;"最终",$S$3:$AE$63,MATCH(BR$3,$S$3:$AE$3,0),FALSE)-VLOOKUP($BJ64&amp;"初始",$S$3:$AE$63,MATCH(BR$3,$S$3:$AE$3,0),FALSE))*$BL64/VLOOKUP(VLOOKUP($BJ64,坦克个性化设定!$B$18:$E$48,4,FALSE)&amp;$BK64,坦克属性分配比例,MATCH("升星次数",坦克属性分配比例标头,0),FALSE),0)</f>
        <v>#N/A</v>
      </c>
      <c r="BS64" s="2">
        <f>ROUND(VLOOKUP($BJ64,$AI$3:$AO$33,MATCH(BS$3,$AI$3:$AO$3,0),FALSE)+$BL64/VLOOKUP(VLOOKUP($BJ64,坦克个性化设定!$B$18:$E$48,4,FALSE)&amp;$BK64,坦克属性分配比例,MATCH("升星次数",坦克属性分配比例标头,0),FALSE)*VLOOKUP($BJ64,$AR$3:$AY$33,MATCH(BS$3,$AR$3:$AY$3,0),FALSE),1)</f>
        <v>50.1</v>
      </c>
      <c r="BT64" s="2">
        <f>ROUND(VLOOKUP($BJ64,$AI$3:$AO$33,MATCH(BT$3,$AI$3:$AO$3,0),FALSE)+$BL64/VLOOKUP(VLOOKUP($BJ64,坦克个性化设定!$B$18:$E$48,4,FALSE)&amp;$BK64,坦克属性分配比例,MATCH("升星次数",坦克属性分配比例标头,0),FALSE)*VLOOKUP($BJ64,$AR$3:$AY$33,MATCH(BT$3,$AR$3:$AY$3,0),FALSE),1)</f>
        <v>59.1</v>
      </c>
      <c r="BU64" s="2">
        <f>ROUND(VLOOKUP($BJ64,$AI$3:$AO$33,MATCH(BU$3,$AI$3:$AO$3,0),FALSE)+$BL64/VLOOKUP(VLOOKUP($BJ64,坦克个性化设定!$B$18:$E$48,4,FALSE)&amp;$BK64,坦克属性分配比例,MATCH("升星次数",坦克属性分配比例标头,0),FALSE)*VLOOKUP($BJ64,$AR$3:$AY$33,MATCH(BU$3,$AR$3:$AY$3,0),FALSE),1)</f>
        <v>10</v>
      </c>
      <c r="BV64" s="2">
        <f>IF(VLOOKUP(BJ64,坦克个性化设定!$B$18:$BC$48,MATCH("装弹类型",坦克个性化设定!$B$18:$BC$18,0),FALSE)="弹夹换弹",0,ROUND(VLOOKUP($BJ64,$AI$3:$AO$33,MATCH("换弹时间",$AI$3:$AO$3,0),FALSE)-$BL64/VLOOKUP(VLOOKUP($BJ64,坦克个性化设定!$B$18:$E$48,4,FALSE)&amp;$BK64,坦克属性分配比例,MATCH("升星次数",坦克属性分配比例标头,0),FALSE)*VLOOKUP($BJ64,$AR$3:$AY$33,MATCH("换弹时间",$AR$3:$AY$3,0),FALSE),2))</f>
        <v>0</v>
      </c>
      <c r="BW64" s="2">
        <f>IF(VLOOKUP(BJ64,坦克个性化设定!$B$18:$BC$48,MATCH("装弹类型",坦克个性化设定!$B$18:$BC$18,0),FALSE)="弹夹换弹",ROUND(VLOOKUP($BJ64,$AI$3:$AO$33,MATCH("换弹时间",$AI$3:$AO$3,0),FALSE)-$BL64/VLOOKUP(VLOOKUP($BJ64,坦克个性化设定!$B$18:$E$48,4,FALSE)&amp;$BK64,坦克属性分配比例,MATCH("升星次数",坦克属性分配比例标头,0),FALSE)*VLOOKUP($BJ64,$AR$3:$AY$33,MATCH("换弹时间",$AR$3:$AY$3,0),FALSE),1),0)</f>
        <v>7.7</v>
      </c>
      <c r="BX64" s="2">
        <f>ROUND(VLOOKUP($BJ64,$AI$3:$AO$33,MATCH(BX$3,$AI$3:$AO$3,0),FALSE)+$BL64/VLOOKUP(VLOOKUP($BJ64,坦克个性化设定!$B$18:$E$48,4,FALSE)&amp;$BK64,坦克属性分配比例,MATCH("升星次数",坦克属性分配比例标头,0),FALSE)*VLOOKUP($BJ64,$AR$3:$AY$33,MATCH(BX$3,$AR$3:$AY$3,0),FALSE),2)</f>
        <v>0.6</v>
      </c>
      <c r="BY64" s="2">
        <f>ROUND(VLOOKUP($BJ64,$AI$3:$AO$33,MATCH(BY$3,$AI$3:$AO$3,0),FALSE)-$BL64/VLOOKUP(VLOOKUP($BJ64,坦克个性化设定!$B$18:$E$48,4,FALSE)&amp;$BK64,坦克属性分配比例,MATCH("升星次数",坦克属性分配比例标头,0),FALSE)*VLOOKUP($BJ64,$AR$3:$AY$33,MATCH(BY$3,$AR$3:$AY$3,0),FALSE),2)</f>
        <v>0.35</v>
      </c>
    </row>
    <row r="65" spans="27:77" x14ac:dyDescent="0.3">
      <c r="AA65" s="133"/>
      <c r="BH65" s="2" t="str">
        <f t="shared" si="13"/>
        <v>霞飞9</v>
      </c>
      <c r="BI65" s="2">
        <f>IF(BL64&gt;=VLOOKUP(VLOOKUP(BJ64,坦克个性化设定!$B$18:$E$48,4,FALSE)&amp;BK64,坦克属性分配比例,MATCH("升星次数",坦克属性分配比例标头,0),FALSE),BI64+1,BI64)</f>
        <v>7</v>
      </c>
      <c r="BJ65" s="2" t="str">
        <f t="shared" si="14"/>
        <v>霞飞</v>
      </c>
      <c r="BK65" s="29" t="str">
        <f>VLOOKUP(BJ65,坦克个性化细分!$I$3:$J$33,2,FALSE)</f>
        <v>低</v>
      </c>
      <c r="BL65" s="2">
        <f t="shared" si="7"/>
        <v>9</v>
      </c>
      <c r="BM65" s="103" t="e">
        <f ca="1">ROUND(VLOOKUP($BJ65&amp;"初始",$S$3:$AE$63,MATCH(BM$3,$S$3:$AE$3,0),FALSE)+((VLOOKUP($BJ65&amp;"最终",$S$3:$AE$63,MATCH(BM$3,$S$3:$AE$3,0),FALSE)*坦克个性化细分!$C$9-VLOOKUP($BJ65&amp;"初始",$S$3:$AE$63,MATCH(BM$3,$S$3:$AE$3,0),FALSE))-(VLOOKUP($BJ65&amp;"最终",$S$3:$AE$63,MATCH(BM$3,$S$3:$AE$3,0),FALSE)-VLOOKUP($BJ65&amp;"初始",$S$3:$AE$63,MATCH(BM$3,$S$3:$AE$3,0),FALSE))*VLOOKUP(VLOOKUP($BJ65,坦克个性化设定!$B$18:$E$48,4,FALSE)&amp;$BK65,坦克属性分配比例,MATCH("部件比例",坦克属性分配比例标头,0),FALSE))*$BL65/VLOOKUP(VLOOKUP($BJ65,坦克个性化设定!$B$18:$E$48,4,FALSE)&amp;$BK65,坦克属性分配比例,MATCH("升星次数",坦克属性分配比例标头,0),FALSE),0)</f>
        <v>#N/A</v>
      </c>
      <c r="BN65" s="103" t="e">
        <f ca="1">ROUND(VLOOKUP($BJ65&amp;"初始",$S$3:$AE$63,MATCH(BN$3,$S$3:$AE$3,0),FALSE)+(VLOOKUP($BJ65&amp;"最终",$S$3:$AE$63,MATCH(BN$3,$S$3:$AE$3,0),FALSE)-VLOOKUP($BJ65&amp;"初始",$S$3:$AE$63,MATCH(BN$3,$S$3:$AE$3,0),FALSE))*$BL65/VLOOKUP(VLOOKUP($BJ65,坦克个性化设定!$B$18:$E$48,4,FALSE)&amp;$BK65,坦克属性分配比例,MATCH("升星次数",坦克属性分配比例标头,0),FALSE)*VLOOKUP(VLOOKUP($BJ65,坦克个性化设定!$B$18:$E$48,4,FALSE)&amp;$BK65,坦克属性分配比例,MATCH("升星比例",坦克属性分配比例标头,0),FALSE),0)</f>
        <v>#N/A</v>
      </c>
      <c r="BO65" s="103" t="e">
        <f ca="1">ROUND(VLOOKUP($BJ65&amp;"初始",$S$3:$AE$63,MATCH(BO$3,$S$3:$AE$3,0),FALSE)+(VLOOKUP($BJ65&amp;"最终",$S$3:$AE$63,MATCH(BO$3,$S$3:$AE$3,0),FALSE)-VLOOKUP($BJ65&amp;"初始",$S$3:$AE$63,MATCH(BO$3,$S$3:$AE$3,0),FALSE))*$BL65/VLOOKUP(VLOOKUP($BJ65,坦克个性化设定!$B$18:$E$48,4,FALSE)&amp;$BK65,坦克属性分配比例,MATCH("升星次数",坦克属性分配比例标头,0),FALSE)*(VLOOKUP(VLOOKUP($BJ65,坦克个性化设定!$B$18:$E$48,4,FALSE)&amp;$BK65,坦克属性分配比例,MATCH("升星比例",坦克属性分配比例标头,0),FALSE)+VLOOKUP(VLOOKUP($BJ65,坦克个性化设定!$B$18:$E$48,4,FALSE)&amp;$BK65,坦克属性分配比例,MATCH("部件比例",坦克属性分配比例标头,0),FALSE)*$C$3),0)</f>
        <v>#N/A</v>
      </c>
      <c r="BP65" s="103" t="e">
        <f ca="1">ROUND(VLOOKUP($BJ65&amp;"初始",$S$3:$AE$63,MATCH(BP$3,$S$3:$AE$3,0),FALSE)+(VLOOKUP($BJ65&amp;"最终",$S$3:$AE$63,MATCH(BP$3,$S$3:$AE$3,0),FALSE)-VLOOKUP($BJ65&amp;"初始",$S$3:$AE$63,MATCH(BP$3,$S$3:$AE$3,0),FALSE))*$BL65/VLOOKUP(VLOOKUP($BJ65,坦克个性化设定!$B$18:$E$48,4,FALSE)&amp;$BK65,坦克属性分配比例,MATCH("升星次数",坦克属性分配比例标头,0),FALSE)*(VLOOKUP(VLOOKUP($BJ65,坦克个性化设定!$B$18:$E$48,4,FALSE)&amp;$BK65,坦克属性分配比例,MATCH("升星比例",坦克属性分配比例标头,0),FALSE)+VLOOKUP(VLOOKUP($BJ65,坦克个性化设定!$B$18:$E$48,4,FALSE)&amp;$BK65,坦克属性分配比例,MATCH("部件比例",坦克属性分配比例标头,0),FALSE)*$C$3),0)</f>
        <v>#N/A</v>
      </c>
      <c r="BQ65" s="103" t="e">
        <f ca="1">ROUND(VLOOKUP($BJ65&amp;"初始",$S$3:$AE$63,MATCH(BQ$3,$S$3:$AE$3,0),FALSE)+(VLOOKUP($BJ65&amp;"最终",$S$3:$AE$63,MATCH(BQ$3,$S$3:$AE$3,0),FALSE)-VLOOKUP($BJ65&amp;"初始",$S$3:$AE$63,MATCH(BQ$3,$S$3:$AE$3,0),FALSE))*$BL65/VLOOKUP(VLOOKUP($BJ65,坦克个性化设定!$B$18:$E$48,4,FALSE)&amp;$BK65,坦克属性分配比例,MATCH("升星次数",坦克属性分配比例标头,0),FALSE)*VLOOKUP(VLOOKUP($BJ65,坦克个性化设定!$B$18:$E$48,4,FALSE)&amp;$BK65,坦克属性分配比例,MATCH("升星比例",坦克属性分配比例标头,0),FALSE),0)</f>
        <v>#N/A</v>
      </c>
      <c r="BR65" s="2" t="e">
        <f ca="1">ROUND(VLOOKUP($BJ65&amp;"初始",$S$3:$AE$63,MATCH(BR$3,$S$3:$AE$3,0),FALSE)+(VLOOKUP($BJ65&amp;"最终",$S$3:$AE$63,MATCH(BR$3,$S$3:$AE$3,0),FALSE)-VLOOKUP($BJ65&amp;"初始",$S$3:$AE$63,MATCH(BR$3,$S$3:$AE$3,0),FALSE))*$BL65/VLOOKUP(VLOOKUP($BJ65,坦克个性化设定!$B$18:$E$48,4,FALSE)&amp;$BK65,坦克属性分配比例,MATCH("升星次数",坦克属性分配比例标头,0),FALSE),0)</f>
        <v>#N/A</v>
      </c>
      <c r="BS65" s="2">
        <f>ROUND(VLOOKUP($BJ65,$AI$3:$AO$33,MATCH(BS$3,$AI$3:$AO$3,0),FALSE)+$BL65/VLOOKUP(VLOOKUP($BJ65,坦克个性化设定!$B$18:$E$48,4,FALSE)&amp;$BK65,坦克属性分配比例,MATCH("升星次数",坦克属性分配比例标头,0),FALSE)*VLOOKUP($BJ65,$AR$3:$AY$33,MATCH(BS$3,$AR$3:$AY$3,0),FALSE),1)</f>
        <v>51.1</v>
      </c>
      <c r="BT65" s="2">
        <f>ROUND(VLOOKUP($BJ65,$AI$3:$AO$33,MATCH(BT$3,$AI$3:$AO$3,0),FALSE)+$BL65/VLOOKUP(VLOOKUP($BJ65,坦克个性化设定!$B$18:$E$48,4,FALSE)&amp;$BK65,坦克属性分配比例,MATCH("升星次数",坦克属性分配比例标头,0),FALSE)*VLOOKUP($BJ65,$AR$3:$AY$33,MATCH(BT$3,$AR$3:$AY$3,0),FALSE),1)</f>
        <v>60.2</v>
      </c>
      <c r="BU65" s="2">
        <f>ROUND(VLOOKUP($BJ65,$AI$3:$AO$33,MATCH(BU$3,$AI$3:$AO$3,0),FALSE)+$BL65/VLOOKUP(VLOOKUP($BJ65,坦克个性化设定!$B$18:$E$48,4,FALSE)&amp;$BK65,坦克属性分配比例,MATCH("升星次数",坦克属性分配比例标头,0),FALSE)*VLOOKUP($BJ65,$AR$3:$AY$33,MATCH(BU$3,$AR$3:$AY$3,0),FALSE),1)</f>
        <v>10</v>
      </c>
      <c r="BV65" s="2">
        <f>IF(VLOOKUP(BJ65,坦克个性化设定!$B$18:$BC$48,MATCH("装弹类型",坦克个性化设定!$B$18:$BC$18,0),FALSE)="弹夹换弹",0,ROUND(VLOOKUP($BJ65,$AI$3:$AO$33,MATCH("换弹时间",$AI$3:$AO$3,0),FALSE)-$BL65/VLOOKUP(VLOOKUP($BJ65,坦克个性化设定!$B$18:$E$48,4,FALSE)&amp;$BK65,坦克属性分配比例,MATCH("升星次数",坦克属性分配比例标头,0),FALSE)*VLOOKUP($BJ65,$AR$3:$AY$33,MATCH("换弹时间",$AR$3:$AY$3,0),FALSE),2))</f>
        <v>0</v>
      </c>
      <c r="BW65" s="2">
        <f>IF(VLOOKUP(BJ65,坦克个性化设定!$B$18:$BC$48,MATCH("装弹类型",坦克个性化设定!$B$18:$BC$18,0),FALSE)="弹夹换弹",ROUND(VLOOKUP($BJ65,$AI$3:$AO$33,MATCH("换弹时间",$AI$3:$AO$3,0),FALSE)-$BL65/VLOOKUP(VLOOKUP($BJ65,坦克个性化设定!$B$18:$E$48,4,FALSE)&amp;$BK65,坦克属性分配比例,MATCH("升星次数",坦克属性分配比例标头,0),FALSE)*VLOOKUP($BJ65,$AR$3:$AY$33,MATCH("换弹时间",$AR$3:$AY$3,0),FALSE),1),0)</f>
        <v>7.4</v>
      </c>
      <c r="BX65" s="2">
        <f>ROUND(VLOOKUP($BJ65,$AI$3:$AO$33,MATCH(BX$3,$AI$3:$AO$3,0),FALSE)+$BL65/VLOOKUP(VLOOKUP($BJ65,坦克个性化设定!$B$18:$E$48,4,FALSE)&amp;$BK65,坦克属性分配比例,MATCH("升星次数",坦克属性分配比例标头,0),FALSE)*VLOOKUP($BJ65,$AR$3:$AY$33,MATCH(BX$3,$AR$3:$AY$3,0),FALSE),2)</f>
        <v>0.6</v>
      </c>
      <c r="BY65" s="2">
        <f>ROUND(VLOOKUP($BJ65,$AI$3:$AO$33,MATCH(BY$3,$AI$3:$AO$3,0),FALSE)-$BL65/VLOOKUP(VLOOKUP($BJ65,坦克个性化设定!$B$18:$E$48,4,FALSE)&amp;$BK65,坦克属性分配比例,MATCH("升星次数",坦克属性分配比例标头,0),FALSE)*VLOOKUP($BJ65,$AR$3:$AY$33,MATCH(BY$3,$AR$3:$AY$3,0),FALSE),2)</f>
        <v>0.35</v>
      </c>
    </row>
    <row r="66" spans="27:77" x14ac:dyDescent="0.3">
      <c r="BH66" s="2" t="str">
        <f t="shared" si="13"/>
        <v>霞飞10</v>
      </c>
      <c r="BI66" s="2">
        <f>IF(BL65&gt;=VLOOKUP(VLOOKUP(BJ65,坦克个性化设定!$B$18:$E$48,4,FALSE)&amp;BK65,坦克属性分配比例,MATCH("升星次数",坦克属性分配比例标头,0),FALSE),BI65+1,BI65)</f>
        <v>7</v>
      </c>
      <c r="BJ66" s="2" t="str">
        <f t="shared" si="14"/>
        <v>霞飞</v>
      </c>
      <c r="BK66" s="29" t="str">
        <f>VLOOKUP(BJ66,坦克个性化细分!$I$3:$J$33,2,FALSE)</f>
        <v>低</v>
      </c>
      <c r="BL66" s="2">
        <f t="shared" si="7"/>
        <v>10</v>
      </c>
      <c r="BM66" s="103" t="e">
        <f ca="1">ROUND(VLOOKUP($BJ66&amp;"初始",$S$3:$AE$63,MATCH(BM$3,$S$3:$AE$3,0),FALSE)+((VLOOKUP($BJ66&amp;"最终",$S$3:$AE$63,MATCH(BM$3,$S$3:$AE$3,0),FALSE)*坦克个性化细分!$C$9-VLOOKUP($BJ66&amp;"初始",$S$3:$AE$63,MATCH(BM$3,$S$3:$AE$3,0),FALSE))-(VLOOKUP($BJ66&amp;"最终",$S$3:$AE$63,MATCH(BM$3,$S$3:$AE$3,0),FALSE)-VLOOKUP($BJ66&amp;"初始",$S$3:$AE$63,MATCH(BM$3,$S$3:$AE$3,0),FALSE))*VLOOKUP(VLOOKUP($BJ66,坦克个性化设定!$B$18:$E$48,4,FALSE)&amp;$BK66,坦克属性分配比例,MATCH("部件比例",坦克属性分配比例标头,0),FALSE))*$BL66/VLOOKUP(VLOOKUP($BJ66,坦克个性化设定!$B$18:$E$48,4,FALSE)&amp;$BK66,坦克属性分配比例,MATCH("升星次数",坦克属性分配比例标头,0),FALSE),0)</f>
        <v>#N/A</v>
      </c>
      <c r="BN66" s="103" t="e">
        <f ca="1">ROUND(VLOOKUP($BJ66&amp;"初始",$S$3:$AE$63,MATCH(BN$3,$S$3:$AE$3,0),FALSE)+(VLOOKUP($BJ66&amp;"最终",$S$3:$AE$63,MATCH(BN$3,$S$3:$AE$3,0),FALSE)-VLOOKUP($BJ66&amp;"初始",$S$3:$AE$63,MATCH(BN$3,$S$3:$AE$3,0),FALSE))*$BL66/VLOOKUP(VLOOKUP($BJ66,坦克个性化设定!$B$18:$E$48,4,FALSE)&amp;$BK66,坦克属性分配比例,MATCH("升星次数",坦克属性分配比例标头,0),FALSE)*VLOOKUP(VLOOKUP($BJ66,坦克个性化设定!$B$18:$E$48,4,FALSE)&amp;$BK66,坦克属性分配比例,MATCH("升星比例",坦克属性分配比例标头,0),FALSE),0)</f>
        <v>#N/A</v>
      </c>
      <c r="BO66" s="103" t="e">
        <f ca="1">ROUND(VLOOKUP($BJ66&amp;"初始",$S$3:$AE$63,MATCH(BO$3,$S$3:$AE$3,0),FALSE)+(VLOOKUP($BJ66&amp;"最终",$S$3:$AE$63,MATCH(BO$3,$S$3:$AE$3,0),FALSE)-VLOOKUP($BJ66&amp;"初始",$S$3:$AE$63,MATCH(BO$3,$S$3:$AE$3,0),FALSE))*$BL66/VLOOKUP(VLOOKUP($BJ66,坦克个性化设定!$B$18:$E$48,4,FALSE)&amp;$BK66,坦克属性分配比例,MATCH("升星次数",坦克属性分配比例标头,0),FALSE)*(VLOOKUP(VLOOKUP($BJ66,坦克个性化设定!$B$18:$E$48,4,FALSE)&amp;$BK66,坦克属性分配比例,MATCH("升星比例",坦克属性分配比例标头,0),FALSE)+VLOOKUP(VLOOKUP($BJ66,坦克个性化设定!$B$18:$E$48,4,FALSE)&amp;$BK66,坦克属性分配比例,MATCH("部件比例",坦克属性分配比例标头,0),FALSE)*$C$3),0)</f>
        <v>#N/A</v>
      </c>
      <c r="BP66" s="103" t="e">
        <f ca="1">ROUND(VLOOKUP($BJ66&amp;"初始",$S$3:$AE$63,MATCH(BP$3,$S$3:$AE$3,0),FALSE)+(VLOOKUP($BJ66&amp;"最终",$S$3:$AE$63,MATCH(BP$3,$S$3:$AE$3,0),FALSE)-VLOOKUP($BJ66&amp;"初始",$S$3:$AE$63,MATCH(BP$3,$S$3:$AE$3,0),FALSE))*$BL66/VLOOKUP(VLOOKUP($BJ66,坦克个性化设定!$B$18:$E$48,4,FALSE)&amp;$BK66,坦克属性分配比例,MATCH("升星次数",坦克属性分配比例标头,0),FALSE)*(VLOOKUP(VLOOKUP($BJ66,坦克个性化设定!$B$18:$E$48,4,FALSE)&amp;$BK66,坦克属性分配比例,MATCH("升星比例",坦克属性分配比例标头,0),FALSE)+VLOOKUP(VLOOKUP($BJ66,坦克个性化设定!$B$18:$E$48,4,FALSE)&amp;$BK66,坦克属性分配比例,MATCH("部件比例",坦克属性分配比例标头,0),FALSE)*$C$3),0)</f>
        <v>#N/A</v>
      </c>
      <c r="BQ66" s="103" t="e">
        <f ca="1">ROUND(VLOOKUP($BJ66&amp;"初始",$S$3:$AE$63,MATCH(BQ$3,$S$3:$AE$3,0),FALSE)+(VLOOKUP($BJ66&amp;"最终",$S$3:$AE$63,MATCH(BQ$3,$S$3:$AE$3,0),FALSE)-VLOOKUP($BJ66&amp;"初始",$S$3:$AE$63,MATCH(BQ$3,$S$3:$AE$3,0),FALSE))*$BL66/VLOOKUP(VLOOKUP($BJ66,坦克个性化设定!$B$18:$E$48,4,FALSE)&amp;$BK66,坦克属性分配比例,MATCH("升星次数",坦克属性分配比例标头,0),FALSE)*VLOOKUP(VLOOKUP($BJ66,坦克个性化设定!$B$18:$E$48,4,FALSE)&amp;$BK66,坦克属性分配比例,MATCH("升星比例",坦克属性分配比例标头,0),FALSE),0)</f>
        <v>#N/A</v>
      </c>
      <c r="BR66" s="2" t="e">
        <f ca="1">ROUND(VLOOKUP($BJ66&amp;"初始",$S$3:$AE$63,MATCH(BR$3,$S$3:$AE$3,0),FALSE)+(VLOOKUP($BJ66&amp;"最终",$S$3:$AE$63,MATCH(BR$3,$S$3:$AE$3,0),FALSE)-VLOOKUP($BJ66&amp;"初始",$S$3:$AE$63,MATCH(BR$3,$S$3:$AE$3,0),FALSE))*$BL66/VLOOKUP(VLOOKUP($BJ66,坦克个性化设定!$B$18:$E$48,4,FALSE)&amp;$BK66,坦克属性分配比例,MATCH("升星次数",坦克属性分配比例标头,0),FALSE),0)</f>
        <v>#N/A</v>
      </c>
      <c r="BS66" s="2">
        <f>ROUND(VLOOKUP($BJ66,$AI$3:$AO$33,MATCH(BS$3,$AI$3:$AO$3,0),FALSE)+$BL66/VLOOKUP(VLOOKUP($BJ66,坦克个性化设定!$B$18:$E$48,4,FALSE)&amp;$BK66,坦克属性分配比例,MATCH("升星次数",坦克属性分配比例标头,0),FALSE)*VLOOKUP($BJ66,$AR$3:$AY$33,MATCH(BS$3,$AR$3:$AY$3,0),FALSE),1)</f>
        <v>52</v>
      </c>
      <c r="BT66" s="2">
        <f>ROUND(VLOOKUP($BJ66,$AI$3:$AO$33,MATCH(BT$3,$AI$3:$AO$3,0),FALSE)+$BL66/VLOOKUP(VLOOKUP($BJ66,坦克个性化设定!$B$18:$E$48,4,FALSE)&amp;$BK66,坦克属性分配比例,MATCH("升星次数",坦克属性分配比例标头,0),FALSE)*VLOOKUP($BJ66,$AR$3:$AY$33,MATCH(BT$3,$AR$3:$AY$3,0),FALSE),1)</f>
        <v>61.4</v>
      </c>
      <c r="BU66" s="2">
        <f>ROUND(VLOOKUP($BJ66,$AI$3:$AO$33,MATCH(BU$3,$AI$3:$AO$3,0),FALSE)+$BL66/VLOOKUP(VLOOKUP($BJ66,坦克个性化设定!$B$18:$E$48,4,FALSE)&amp;$BK66,坦克属性分配比例,MATCH("升星次数",坦克属性分配比例标头,0),FALSE)*VLOOKUP($BJ66,$AR$3:$AY$33,MATCH(BU$3,$AR$3:$AY$3,0),FALSE),1)</f>
        <v>10</v>
      </c>
      <c r="BV66" s="2">
        <f>IF(VLOOKUP(BJ66,坦克个性化设定!$B$18:$BC$48,MATCH("装弹类型",坦克个性化设定!$B$18:$BC$18,0),FALSE)="弹夹换弹",0,ROUND(VLOOKUP($BJ66,$AI$3:$AO$33,MATCH("换弹时间",$AI$3:$AO$3,0),FALSE)-$BL66/VLOOKUP(VLOOKUP($BJ66,坦克个性化设定!$B$18:$E$48,4,FALSE)&amp;$BK66,坦克属性分配比例,MATCH("升星次数",坦克属性分配比例标头,0),FALSE)*VLOOKUP($BJ66,$AR$3:$AY$33,MATCH("换弹时间",$AR$3:$AY$3,0),FALSE),2))</f>
        <v>0</v>
      </c>
      <c r="BW66" s="2">
        <f>IF(VLOOKUP(BJ66,坦克个性化设定!$B$18:$BC$48,MATCH("装弹类型",坦克个性化设定!$B$18:$BC$18,0),FALSE)="弹夹换弹",ROUND(VLOOKUP($BJ66,$AI$3:$AO$33,MATCH("换弹时间",$AI$3:$AO$3,0),FALSE)-$BL66/VLOOKUP(VLOOKUP($BJ66,坦克个性化设定!$B$18:$E$48,4,FALSE)&amp;$BK66,坦克属性分配比例,MATCH("升星次数",坦克属性分配比例标头,0),FALSE)*VLOOKUP($BJ66,$AR$3:$AY$33,MATCH("换弹时间",$AR$3:$AY$3,0),FALSE),1),0)</f>
        <v>7.1</v>
      </c>
      <c r="BX66" s="2">
        <f>ROUND(VLOOKUP($BJ66,$AI$3:$AO$33,MATCH(BX$3,$AI$3:$AO$3,0),FALSE)+$BL66/VLOOKUP(VLOOKUP($BJ66,坦克个性化设定!$B$18:$E$48,4,FALSE)&amp;$BK66,坦克属性分配比例,MATCH("升星次数",坦克属性分配比例标头,0),FALSE)*VLOOKUP($BJ66,$AR$3:$AY$33,MATCH(BX$3,$AR$3:$AY$3,0),FALSE),2)</f>
        <v>0.6</v>
      </c>
      <c r="BY66" s="2">
        <f>ROUND(VLOOKUP($BJ66,$AI$3:$AO$33,MATCH(BY$3,$AI$3:$AO$3,0),FALSE)-$BL66/VLOOKUP(VLOOKUP($BJ66,坦克个性化设定!$B$18:$E$48,4,FALSE)&amp;$BK66,坦克属性分配比例,MATCH("升星次数",坦克属性分配比例标头,0),FALSE)*VLOOKUP($BJ66,$AR$3:$AY$33,MATCH(BY$3,$AR$3:$AY$3,0),FALSE),2)</f>
        <v>0.34</v>
      </c>
    </row>
    <row r="67" spans="27:77" x14ac:dyDescent="0.3">
      <c r="BH67" s="2" t="str">
        <f t="shared" si="13"/>
        <v>霞飞11</v>
      </c>
      <c r="BI67" s="2">
        <f>IF(BL66&gt;=VLOOKUP(VLOOKUP(BJ66,坦克个性化设定!$B$18:$E$48,4,FALSE)&amp;BK66,坦克属性分配比例,MATCH("升星次数",坦克属性分配比例标头,0),FALSE),BI66+1,BI66)</f>
        <v>7</v>
      </c>
      <c r="BJ67" s="2" t="str">
        <f t="shared" si="14"/>
        <v>霞飞</v>
      </c>
      <c r="BK67" s="29" t="str">
        <f>VLOOKUP(BJ67,坦克个性化细分!$I$3:$J$33,2,FALSE)</f>
        <v>低</v>
      </c>
      <c r="BL67" s="2">
        <f t="shared" si="7"/>
        <v>11</v>
      </c>
      <c r="BM67" s="103" t="e">
        <f ca="1">ROUND(VLOOKUP($BJ67&amp;"初始",$S$3:$AE$63,MATCH(BM$3,$S$3:$AE$3,0),FALSE)+((VLOOKUP($BJ67&amp;"最终",$S$3:$AE$63,MATCH(BM$3,$S$3:$AE$3,0),FALSE)*坦克个性化细分!$C$9-VLOOKUP($BJ67&amp;"初始",$S$3:$AE$63,MATCH(BM$3,$S$3:$AE$3,0),FALSE))-(VLOOKUP($BJ67&amp;"最终",$S$3:$AE$63,MATCH(BM$3,$S$3:$AE$3,0),FALSE)-VLOOKUP($BJ67&amp;"初始",$S$3:$AE$63,MATCH(BM$3,$S$3:$AE$3,0),FALSE))*VLOOKUP(VLOOKUP($BJ67,坦克个性化设定!$B$18:$E$48,4,FALSE)&amp;$BK67,坦克属性分配比例,MATCH("部件比例",坦克属性分配比例标头,0),FALSE))*$BL67/VLOOKUP(VLOOKUP($BJ67,坦克个性化设定!$B$18:$E$48,4,FALSE)&amp;$BK67,坦克属性分配比例,MATCH("升星次数",坦克属性分配比例标头,0),FALSE),0)</f>
        <v>#N/A</v>
      </c>
      <c r="BN67" s="103" t="e">
        <f ca="1">ROUND(VLOOKUP($BJ67&amp;"初始",$S$3:$AE$63,MATCH(BN$3,$S$3:$AE$3,0),FALSE)+(VLOOKUP($BJ67&amp;"最终",$S$3:$AE$63,MATCH(BN$3,$S$3:$AE$3,0),FALSE)-VLOOKUP($BJ67&amp;"初始",$S$3:$AE$63,MATCH(BN$3,$S$3:$AE$3,0),FALSE))*$BL67/VLOOKUP(VLOOKUP($BJ67,坦克个性化设定!$B$18:$E$48,4,FALSE)&amp;$BK67,坦克属性分配比例,MATCH("升星次数",坦克属性分配比例标头,0),FALSE)*VLOOKUP(VLOOKUP($BJ67,坦克个性化设定!$B$18:$E$48,4,FALSE)&amp;$BK67,坦克属性分配比例,MATCH("升星比例",坦克属性分配比例标头,0),FALSE),0)</f>
        <v>#N/A</v>
      </c>
      <c r="BO67" s="103" t="e">
        <f ca="1">ROUND(VLOOKUP($BJ67&amp;"初始",$S$3:$AE$63,MATCH(BO$3,$S$3:$AE$3,0),FALSE)+(VLOOKUP($BJ67&amp;"最终",$S$3:$AE$63,MATCH(BO$3,$S$3:$AE$3,0),FALSE)-VLOOKUP($BJ67&amp;"初始",$S$3:$AE$63,MATCH(BO$3,$S$3:$AE$3,0),FALSE))*$BL67/VLOOKUP(VLOOKUP($BJ67,坦克个性化设定!$B$18:$E$48,4,FALSE)&amp;$BK67,坦克属性分配比例,MATCH("升星次数",坦克属性分配比例标头,0),FALSE)*(VLOOKUP(VLOOKUP($BJ67,坦克个性化设定!$B$18:$E$48,4,FALSE)&amp;$BK67,坦克属性分配比例,MATCH("升星比例",坦克属性分配比例标头,0),FALSE)+VLOOKUP(VLOOKUP($BJ67,坦克个性化设定!$B$18:$E$48,4,FALSE)&amp;$BK67,坦克属性分配比例,MATCH("部件比例",坦克属性分配比例标头,0),FALSE)*$C$3),0)</f>
        <v>#N/A</v>
      </c>
      <c r="BP67" s="103" t="e">
        <f ca="1">ROUND(VLOOKUP($BJ67&amp;"初始",$S$3:$AE$63,MATCH(BP$3,$S$3:$AE$3,0),FALSE)+(VLOOKUP($BJ67&amp;"最终",$S$3:$AE$63,MATCH(BP$3,$S$3:$AE$3,0),FALSE)-VLOOKUP($BJ67&amp;"初始",$S$3:$AE$63,MATCH(BP$3,$S$3:$AE$3,0),FALSE))*$BL67/VLOOKUP(VLOOKUP($BJ67,坦克个性化设定!$B$18:$E$48,4,FALSE)&amp;$BK67,坦克属性分配比例,MATCH("升星次数",坦克属性分配比例标头,0),FALSE)*(VLOOKUP(VLOOKUP($BJ67,坦克个性化设定!$B$18:$E$48,4,FALSE)&amp;$BK67,坦克属性分配比例,MATCH("升星比例",坦克属性分配比例标头,0),FALSE)+VLOOKUP(VLOOKUP($BJ67,坦克个性化设定!$B$18:$E$48,4,FALSE)&amp;$BK67,坦克属性分配比例,MATCH("部件比例",坦克属性分配比例标头,0),FALSE)*$C$3),0)</f>
        <v>#N/A</v>
      </c>
      <c r="BQ67" s="103" t="e">
        <f ca="1">ROUND(VLOOKUP($BJ67&amp;"初始",$S$3:$AE$63,MATCH(BQ$3,$S$3:$AE$3,0),FALSE)+(VLOOKUP($BJ67&amp;"最终",$S$3:$AE$63,MATCH(BQ$3,$S$3:$AE$3,0),FALSE)-VLOOKUP($BJ67&amp;"初始",$S$3:$AE$63,MATCH(BQ$3,$S$3:$AE$3,0),FALSE))*$BL67/VLOOKUP(VLOOKUP($BJ67,坦克个性化设定!$B$18:$E$48,4,FALSE)&amp;$BK67,坦克属性分配比例,MATCH("升星次数",坦克属性分配比例标头,0),FALSE)*VLOOKUP(VLOOKUP($BJ67,坦克个性化设定!$B$18:$E$48,4,FALSE)&amp;$BK67,坦克属性分配比例,MATCH("升星比例",坦克属性分配比例标头,0),FALSE),0)</f>
        <v>#N/A</v>
      </c>
      <c r="BR67" s="2" t="e">
        <f ca="1">ROUND(VLOOKUP($BJ67&amp;"初始",$S$3:$AE$63,MATCH(BR$3,$S$3:$AE$3,0),FALSE)+(VLOOKUP($BJ67&amp;"最终",$S$3:$AE$63,MATCH(BR$3,$S$3:$AE$3,0),FALSE)-VLOOKUP($BJ67&amp;"初始",$S$3:$AE$63,MATCH(BR$3,$S$3:$AE$3,0),FALSE))*$BL67/VLOOKUP(VLOOKUP($BJ67,坦克个性化设定!$B$18:$E$48,4,FALSE)&amp;$BK67,坦克属性分配比例,MATCH("升星次数",坦克属性分配比例标头,0),FALSE),0)</f>
        <v>#N/A</v>
      </c>
      <c r="BS67" s="2">
        <f>ROUND(VLOOKUP($BJ67,$AI$3:$AO$33,MATCH(BS$3,$AI$3:$AO$3,0),FALSE)+$BL67/VLOOKUP(VLOOKUP($BJ67,坦克个性化设定!$B$18:$E$48,4,FALSE)&amp;$BK67,坦克属性分配比例,MATCH("升星次数",坦克属性分配比例标头,0),FALSE)*VLOOKUP($BJ67,$AR$3:$AY$33,MATCH(BS$3,$AR$3:$AY$3,0),FALSE),1)</f>
        <v>53</v>
      </c>
      <c r="BT67" s="2">
        <f>ROUND(VLOOKUP($BJ67,$AI$3:$AO$33,MATCH(BT$3,$AI$3:$AO$3,0),FALSE)+$BL67/VLOOKUP(VLOOKUP($BJ67,坦克个性化设定!$B$18:$E$48,4,FALSE)&amp;$BK67,坦克属性分配比例,MATCH("升星次数",坦克属性分配比例标头,0),FALSE)*VLOOKUP($BJ67,$AR$3:$AY$33,MATCH(BT$3,$AR$3:$AY$3,0),FALSE),1)</f>
        <v>62.5</v>
      </c>
      <c r="BU67" s="2">
        <f>ROUND(VLOOKUP($BJ67,$AI$3:$AO$33,MATCH(BU$3,$AI$3:$AO$3,0),FALSE)+$BL67/VLOOKUP(VLOOKUP($BJ67,坦克个性化设定!$B$18:$E$48,4,FALSE)&amp;$BK67,坦克属性分配比例,MATCH("升星次数",坦克属性分配比例标头,0),FALSE)*VLOOKUP($BJ67,$AR$3:$AY$33,MATCH(BU$3,$AR$3:$AY$3,0),FALSE),1)</f>
        <v>10</v>
      </c>
      <c r="BV67" s="2">
        <f>IF(VLOOKUP(BJ67,坦克个性化设定!$B$18:$BC$48,MATCH("装弹类型",坦克个性化设定!$B$18:$BC$18,0),FALSE)="弹夹换弹",0,ROUND(VLOOKUP($BJ67,$AI$3:$AO$33,MATCH("换弹时间",$AI$3:$AO$3,0),FALSE)-$BL67/VLOOKUP(VLOOKUP($BJ67,坦克个性化设定!$B$18:$E$48,4,FALSE)&amp;$BK67,坦克属性分配比例,MATCH("升星次数",坦克属性分配比例标头,0),FALSE)*VLOOKUP($BJ67,$AR$3:$AY$33,MATCH("换弹时间",$AR$3:$AY$3,0),FALSE),2))</f>
        <v>0</v>
      </c>
      <c r="BW67" s="2">
        <f>IF(VLOOKUP(BJ67,坦克个性化设定!$B$18:$BC$48,MATCH("装弹类型",坦克个性化设定!$B$18:$BC$18,0),FALSE)="弹夹换弹",ROUND(VLOOKUP($BJ67,$AI$3:$AO$33,MATCH("换弹时间",$AI$3:$AO$3,0),FALSE)-$BL67/VLOOKUP(VLOOKUP($BJ67,坦克个性化设定!$B$18:$E$48,4,FALSE)&amp;$BK67,坦克属性分配比例,MATCH("升星次数",坦克属性分配比例标头,0),FALSE)*VLOOKUP($BJ67,$AR$3:$AY$33,MATCH("换弹时间",$AR$3:$AY$3,0),FALSE),1),0)</f>
        <v>6.9</v>
      </c>
      <c r="BX67" s="2">
        <f>ROUND(VLOOKUP($BJ67,$AI$3:$AO$33,MATCH(BX$3,$AI$3:$AO$3,0),FALSE)+$BL67/VLOOKUP(VLOOKUP($BJ67,坦克个性化设定!$B$18:$E$48,4,FALSE)&amp;$BK67,坦克属性分配比例,MATCH("升星次数",坦克属性分配比例标头,0),FALSE)*VLOOKUP($BJ67,$AR$3:$AY$33,MATCH(BX$3,$AR$3:$AY$3,0),FALSE),2)</f>
        <v>0.6</v>
      </c>
      <c r="BY67" s="2">
        <f>ROUND(VLOOKUP($BJ67,$AI$3:$AO$33,MATCH(BY$3,$AI$3:$AO$3,0),FALSE)-$BL67/VLOOKUP(VLOOKUP($BJ67,坦克个性化设定!$B$18:$E$48,4,FALSE)&amp;$BK67,坦克属性分配比例,MATCH("升星次数",坦克属性分配比例标头,0),FALSE)*VLOOKUP($BJ67,$AR$3:$AY$33,MATCH(BY$3,$AR$3:$AY$3,0),FALSE),2)</f>
        <v>0.33</v>
      </c>
    </row>
    <row r="68" spans="27:77" x14ac:dyDescent="0.3">
      <c r="BH68" s="2" t="str">
        <f t="shared" si="13"/>
        <v>M-410</v>
      </c>
      <c r="BI68" s="2">
        <f>IF(BL67&gt;=VLOOKUP(VLOOKUP(BJ67,坦克个性化设定!$B$18:$E$48,4,FALSE)&amp;BK67,坦克属性分配比例,MATCH("升星次数",坦克属性分配比例标头,0),FALSE),BI67+1,BI67)</f>
        <v>8</v>
      </c>
      <c r="BJ68" s="2" t="str">
        <f t="shared" si="14"/>
        <v>M-41</v>
      </c>
      <c r="BK68" s="29" t="str">
        <f>VLOOKUP(BJ68,坦克个性化细分!$I$3:$J$33,2,FALSE)</f>
        <v>中</v>
      </c>
      <c r="BL68" s="2">
        <f t="shared" ref="BL68:BL131" si="23">IF(BJ68&lt;&gt;BJ67,0,BL67+1)</f>
        <v>0</v>
      </c>
      <c r="BM68" s="103" t="e">
        <f ca="1">ROUND(VLOOKUP($BJ68&amp;"初始",$S$3:$AE$63,MATCH(BM$3,$S$3:$AE$3,0),FALSE)+((VLOOKUP($BJ68&amp;"最终",$S$3:$AE$63,MATCH(BM$3,$S$3:$AE$3,0),FALSE)*坦克个性化细分!$C$9-VLOOKUP($BJ68&amp;"初始",$S$3:$AE$63,MATCH(BM$3,$S$3:$AE$3,0),FALSE))-(VLOOKUP($BJ68&amp;"最终",$S$3:$AE$63,MATCH(BM$3,$S$3:$AE$3,0),FALSE)-VLOOKUP($BJ68&amp;"初始",$S$3:$AE$63,MATCH(BM$3,$S$3:$AE$3,0),FALSE))*VLOOKUP(VLOOKUP($BJ68,坦克个性化设定!$B$18:$E$48,4,FALSE)&amp;$BK68,坦克属性分配比例,MATCH("部件比例",坦克属性分配比例标头,0),FALSE))*$BL68/VLOOKUP(VLOOKUP($BJ68,坦克个性化设定!$B$18:$E$48,4,FALSE)&amp;$BK68,坦克属性分配比例,MATCH("升星次数",坦克属性分配比例标头,0),FALSE),0)</f>
        <v>#N/A</v>
      </c>
      <c r="BN68" s="103" t="e">
        <f ca="1">ROUND(VLOOKUP($BJ68&amp;"初始",$S$3:$AE$63,MATCH(BN$3,$S$3:$AE$3,0),FALSE)+(VLOOKUP($BJ68&amp;"最终",$S$3:$AE$63,MATCH(BN$3,$S$3:$AE$3,0),FALSE)-VLOOKUP($BJ68&amp;"初始",$S$3:$AE$63,MATCH(BN$3,$S$3:$AE$3,0),FALSE))*$BL68/VLOOKUP(VLOOKUP($BJ68,坦克个性化设定!$B$18:$E$48,4,FALSE)&amp;$BK68,坦克属性分配比例,MATCH("升星次数",坦克属性分配比例标头,0),FALSE)*VLOOKUP(VLOOKUP($BJ68,坦克个性化设定!$B$18:$E$48,4,FALSE)&amp;$BK68,坦克属性分配比例,MATCH("升星比例",坦克属性分配比例标头,0),FALSE),0)</f>
        <v>#N/A</v>
      </c>
      <c r="BO68" s="103" t="e">
        <f ca="1">ROUND(VLOOKUP($BJ68&amp;"初始",$S$3:$AE$63,MATCH(BO$3,$S$3:$AE$3,0),FALSE)+(VLOOKUP($BJ68&amp;"最终",$S$3:$AE$63,MATCH(BO$3,$S$3:$AE$3,0),FALSE)-VLOOKUP($BJ68&amp;"初始",$S$3:$AE$63,MATCH(BO$3,$S$3:$AE$3,0),FALSE))*$BL68/VLOOKUP(VLOOKUP($BJ68,坦克个性化设定!$B$18:$E$48,4,FALSE)&amp;$BK68,坦克属性分配比例,MATCH("升星次数",坦克属性分配比例标头,0),FALSE)*(VLOOKUP(VLOOKUP($BJ68,坦克个性化设定!$B$18:$E$48,4,FALSE)&amp;$BK68,坦克属性分配比例,MATCH("升星比例",坦克属性分配比例标头,0),FALSE)+VLOOKUP(VLOOKUP($BJ68,坦克个性化设定!$B$18:$E$48,4,FALSE)&amp;$BK68,坦克属性分配比例,MATCH("部件比例",坦克属性分配比例标头,0),FALSE)*$C$3),0)</f>
        <v>#N/A</v>
      </c>
      <c r="BP68" s="103" t="e">
        <f ca="1">ROUND(VLOOKUP($BJ68&amp;"初始",$S$3:$AE$63,MATCH(BP$3,$S$3:$AE$3,0),FALSE)+(VLOOKUP($BJ68&amp;"最终",$S$3:$AE$63,MATCH(BP$3,$S$3:$AE$3,0),FALSE)-VLOOKUP($BJ68&amp;"初始",$S$3:$AE$63,MATCH(BP$3,$S$3:$AE$3,0),FALSE))*$BL68/VLOOKUP(VLOOKUP($BJ68,坦克个性化设定!$B$18:$E$48,4,FALSE)&amp;$BK68,坦克属性分配比例,MATCH("升星次数",坦克属性分配比例标头,0),FALSE)*(VLOOKUP(VLOOKUP($BJ68,坦克个性化设定!$B$18:$E$48,4,FALSE)&amp;$BK68,坦克属性分配比例,MATCH("升星比例",坦克属性分配比例标头,0),FALSE)+VLOOKUP(VLOOKUP($BJ68,坦克个性化设定!$B$18:$E$48,4,FALSE)&amp;$BK68,坦克属性分配比例,MATCH("部件比例",坦克属性分配比例标头,0),FALSE)*$C$3),0)</f>
        <v>#N/A</v>
      </c>
      <c r="BQ68" s="103" t="e">
        <f ca="1">ROUND(VLOOKUP($BJ68&amp;"初始",$S$3:$AE$63,MATCH(BQ$3,$S$3:$AE$3,0),FALSE)+(VLOOKUP($BJ68&amp;"最终",$S$3:$AE$63,MATCH(BQ$3,$S$3:$AE$3,0),FALSE)-VLOOKUP($BJ68&amp;"初始",$S$3:$AE$63,MATCH(BQ$3,$S$3:$AE$3,0),FALSE))*$BL68/VLOOKUP(VLOOKUP($BJ68,坦克个性化设定!$B$18:$E$48,4,FALSE)&amp;$BK68,坦克属性分配比例,MATCH("升星次数",坦克属性分配比例标头,0),FALSE)*VLOOKUP(VLOOKUP($BJ68,坦克个性化设定!$B$18:$E$48,4,FALSE)&amp;$BK68,坦克属性分配比例,MATCH("升星比例",坦克属性分配比例标头,0),FALSE),0)</f>
        <v>#N/A</v>
      </c>
      <c r="BR68" s="2" t="e">
        <f ca="1">ROUND(VLOOKUP($BJ68&amp;"初始",$S$3:$AE$63,MATCH(BR$3,$S$3:$AE$3,0),FALSE)+(VLOOKUP($BJ68&amp;"最终",$S$3:$AE$63,MATCH(BR$3,$S$3:$AE$3,0),FALSE)-VLOOKUP($BJ68&amp;"初始",$S$3:$AE$63,MATCH(BR$3,$S$3:$AE$3,0),FALSE))*$BL68/VLOOKUP(VLOOKUP($BJ68,坦克个性化设定!$B$18:$E$48,4,FALSE)&amp;$BK68,坦克属性分配比例,MATCH("升星次数",坦克属性分配比例标头,0),FALSE),0)</f>
        <v>#N/A</v>
      </c>
      <c r="BS68" s="2">
        <f>ROUND(VLOOKUP($BJ68,$AI$3:$AO$33,MATCH(BS$3,$AI$3:$AO$3,0),FALSE)+$BL68/VLOOKUP(VLOOKUP($BJ68,坦克个性化设定!$B$18:$E$48,4,FALSE)&amp;$BK68,坦克属性分配比例,MATCH("升星次数",坦克属性分配比例标头,0),FALSE)*VLOOKUP($BJ68,$AR$3:$AY$33,MATCH(BS$3,$AR$3:$AY$3,0),FALSE),1)</f>
        <v>38.5</v>
      </c>
      <c r="BT68" s="2">
        <f>ROUND(VLOOKUP($BJ68,$AI$3:$AO$33,MATCH(BT$3,$AI$3:$AO$3,0),FALSE)+$BL68/VLOOKUP(VLOOKUP($BJ68,坦克个性化设定!$B$18:$E$48,4,FALSE)&amp;$BK68,坦克属性分配比例,MATCH("升星次数",坦克属性分配比例标头,0),FALSE)*VLOOKUP($BJ68,$AR$3:$AY$33,MATCH(BT$3,$AR$3:$AY$3,0),FALSE),1)</f>
        <v>57.4</v>
      </c>
      <c r="BU68" s="2">
        <f>ROUND(VLOOKUP($BJ68,$AI$3:$AO$33,MATCH(BU$3,$AI$3:$AO$3,0),FALSE)+$BL68/VLOOKUP(VLOOKUP($BJ68,坦克个性化设定!$B$18:$E$48,4,FALSE)&amp;$BK68,坦克属性分配比例,MATCH("升星次数",坦克属性分配比例标头,0),FALSE)*VLOOKUP($BJ68,$AR$3:$AY$33,MATCH(BU$3,$AR$3:$AY$3,0),FALSE),1)</f>
        <v>9.6</v>
      </c>
      <c r="BV68" s="2">
        <f>IF(VLOOKUP(BJ68,坦克个性化设定!$B$18:$BC$48,MATCH("装弹类型",坦克个性化设定!$B$18:$BC$18,0),FALSE)="弹夹换弹",0,ROUND(VLOOKUP($BJ68,$AI$3:$AO$33,MATCH("换弹时间",$AI$3:$AO$3,0),FALSE)-$BL68/VLOOKUP(VLOOKUP($BJ68,坦克个性化设定!$B$18:$E$48,4,FALSE)&amp;$BK68,坦克属性分配比例,MATCH("升星次数",坦克属性分配比例标头,0),FALSE)*VLOOKUP($BJ68,$AR$3:$AY$33,MATCH("换弹时间",$AR$3:$AY$3,0),FALSE),2))</f>
        <v>0</v>
      </c>
      <c r="BW68" s="2">
        <f>IF(VLOOKUP(BJ68,坦克个性化设定!$B$18:$BC$48,MATCH("装弹类型",坦克个性化设定!$B$18:$BC$18,0),FALSE)="弹夹换弹",ROUND(VLOOKUP($BJ68,$AI$3:$AO$33,MATCH("换弹时间",$AI$3:$AO$3,0),FALSE)-$BL68/VLOOKUP(VLOOKUP($BJ68,坦克个性化设定!$B$18:$E$48,4,FALSE)&amp;$BK68,坦克属性分配比例,MATCH("升星次数",坦克属性分配比例标头,0),FALSE)*VLOOKUP($BJ68,$AR$3:$AY$33,MATCH("换弹时间",$AR$3:$AY$3,0),FALSE),1),0)</f>
        <v>12.6</v>
      </c>
      <c r="BX68" s="2">
        <f>ROUND(VLOOKUP($BJ68,$AI$3:$AO$33,MATCH(BX$3,$AI$3:$AO$3,0),FALSE)+$BL68/VLOOKUP(VLOOKUP($BJ68,坦克个性化设定!$B$18:$E$48,4,FALSE)&amp;$BK68,坦克属性分配比例,MATCH("升星次数",坦克属性分配比例标头,0),FALSE)*VLOOKUP($BJ68,$AR$3:$AY$33,MATCH(BX$3,$AR$3:$AY$3,0),FALSE),2)</f>
        <v>0.8</v>
      </c>
      <c r="BY68" s="2">
        <f>ROUND(VLOOKUP($BJ68,$AI$3:$AO$33,MATCH(BY$3,$AI$3:$AO$3,0),FALSE)-$BL68/VLOOKUP(VLOOKUP($BJ68,坦克个性化设定!$B$18:$E$48,4,FALSE)&amp;$BK68,坦克属性分配比例,MATCH("升星次数",坦克属性分配比例标头,0),FALSE)*VLOOKUP($BJ68,$AR$3:$AY$33,MATCH(BY$3,$AR$3:$AY$3,0),FALSE),2)</f>
        <v>0.46</v>
      </c>
    </row>
    <row r="69" spans="27:77" x14ac:dyDescent="0.3">
      <c r="BH69" s="2" t="str">
        <f t="shared" ref="BH69:BH132" si="24">BJ69&amp;BL69</f>
        <v>M-411</v>
      </c>
      <c r="BI69" s="2">
        <f>IF(BL68&gt;=VLOOKUP(VLOOKUP(BJ68,坦克个性化设定!$B$18:$E$48,4,FALSE)&amp;BK68,坦克属性分配比例,MATCH("升星次数",坦克属性分配比例标头,0),FALSE),BI68+1,BI68)</f>
        <v>8</v>
      </c>
      <c r="BJ69" s="2" t="str">
        <f t="shared" ref="BJ69:BJ132" si="25">VLOOKUP(BI69,$B$5:$C$35,2,FALSE)</f>
        <v>M-41</v>
      </c>
      <c r="BK69" s="29" t="str">
        <f>VLOOKUP(BJ69,坦克个性化细分!$I$3:$J$33,2,FALSE)</f>
        <v>中</v>
      </c>
      <c r="BL69" s="2">
        <f t="shared" si="23"/>
        <v>1</v>
      </c>
      <c r="BM69" s="103" t="e">
        <f ca="1">ROUND(VLOOKUP($BJ69&amp;"初始",$S$3:$AE$63,MATCH(BM$3,$S$3:$AE$3,0),FALSE)+((VLOOKUP($BJ69&amp;"最终",$S$3:$AE$63,MATCH(BM$3,$S$3:$AE$3,0),FALSE)*坦克个性化细分!$C$9-VLOOKUP($BJ69&amp;"初始",$S$3:$AE$63,MATCH(BM$3,$S$3:$AE$3,0),FALSE))-(VLOOKUP($BJ69&amp;"最终",$S$3:$AE$63,MATCH(BM$3,$S$3:$AE$3,0),FALSE)-VLOOKUP($BJ69&amp;"初始",$S$3:$AE$63,MATCH(BM$3,$S$3:$AE$3,0),FALSE))*VLOOKUP(VLOOKUP($BJ69,坦克个性化设定!$B$18:$E$48,4,FALSE)&amp;$BK69,坦克属性分配比例,MATCH("部件比例",坦克属性分配比例标头,0),FALSE))*$BL69/VLOOKUP(VLOOKUP($BJ69,坦克个性化设定!$B$18:$E$48,4,FALSE)&amp;$BK69,坦克属性分配比例,MATCH("升星次数",坦克属性分配比例标头,0),FALSE),0)</f>
        <v>#N/A</v>
      </c>
      <c r="BN69" s="103" t="e">
        <f ca="1">ROUND(VLOOKUP($BJ69&amp;"初始",$S$3:$AE$63,MATCH(BN$3,$S$3:$AE$3,0),FALSE)+(VLOOKUP($BJ69&amp;"最终",$S$3:$AE$63,MATCH(BN$3,$S$3:$AE$3,0),FALSE)-VLOOKUP($BJ69&amp;"初始",$S$3:$AE$63,MATCH(BN$3,$S$3:$AE$3,0),FALSE))*$BL69/VLOOKUP(VLOOKUP($BJ69,坦克个性化设定!$B$18:$E$48,4,FALSE)&amp;$BK69,坦克属性分配比例,MATCH("升星次数",坦克属性分配比例标头,0),FALSE)*VLOOKUP(VLOOKUP($BJ69,坦克个性化设定!$B$18:$E$48,4,FALSE)&amp;$BK69,坦克属性分配比例,MATCH("升星比例",坦克属性分配比例标头,0),FALSE),0)</f>
        <v>#N/A</v>
      </c>
      <c r="BO69" s="103" t="e">
        <f ca="1">ROUND(VLOOKUP($BJ69&amp;"初始",$S$3:$AE$63,MATCH(BO$3,$S$3:$AE$3,0),FALSE)+(VLOOKUP($BJ69&amp;"最终",$S$3:$AE$63,MATCH(BO$3,$S$3:$AE$3,0),FALSE)-VLOOKUP($BJ69&amp;"初始",$S$3:$AE$63,MATCH(BO$3,$S$3:$AE$3,0),FALSE))*$BL69/VLOOKUP(VLOOKUP($BJ69,坦克个性化设定!$B$18:$E$48,4,FALSE)&amp;$BK69,坦克属性分配比例,MATCH("升星次数",坦克属性分配比例标头,0),FALSE)*(VLOOKUP(VLOOKUP($BJ69,坦克个性化设定!$B$18:$E$48,4,FALSE)&amp;$BK69,坦克属性分配比例,MATCH("升星比例",坦克属性分配比例标头,0),FALSE)+VLOOKUP(VLOOKUP($BJ69,坦克个性化设定!$B$18:$E$48,4,FALSE)&amp;$BK69,坦克属性分配比例,MATCH("部件比例",坦克属性分配比例标头,0),FALSE)*$C$3),0)</f>
        <v>#N/A</v>
      </c>
      <c r="BP69" s="103" t="e">
        <f ca="1">ROUND(VLOOKUP($BJ69&amp;"初始",$S$3:$AE$63,MATCH(BP$3,$S$3:$AE$3,0),FALSE)+(VLOOKUP($BJ69&amp;"最终",$S$3:$AE$63,MATCH(BP$3,$S$3:$AE$3,0),FALSE)-VLOOKUP($BJ69&amp;"初始",$S$3:$AE$63,MATCH(BP$3,$S$3:$AE$3,0),FALSE))*$BL69/VLOOKUP(VLOOKUP($BJ69,坦克个性化设定!$B$18:$E$48,4,FALSE)&amp;$BK69,坦克属性分配比例,MATCH("升星次数",坦克属性分配比例标头,0),FALSE)*(VLOOKUP(VLOOKUP($BJ69,坦克个性化设定!$B$18:$E$48,4,FALSE)&amp;$BK69,坦克属性分配比例,MATCH("升星比例",坦克属性分配比例标头,0),FALSE)+VLOOKUP(VLOOKUP($BJ69,坦克个性化设定!$B$18:$E$48,4,FALSE)&amp;$BK69,坦克属性分配比例,MATCH("部件比例",坦克属性分配比例标头,0),FALSE)*$C$3),0)</f>
        <v>#N/A</v>
      </c>
      <c r="BQ69" s="103" t="e">
        <f ca="1">ROUND(VLOOKUP($BJ69&amp;"初始",$S$3:$AE$63,MATCH(BQ$3,$S$3:$AE$3,0),FALSE)+(VLOOKUP($BJ69&amp;"最终",$S$3:$AE$63,MATCH(BQ$3,$S$3:$AE$3,0),FALSE)-VLOOKUP($BJ69&amp;"初始",$S$3:$AE$63,MATCH(BQ$3,$S$3:$AE$3,0),FALSE))*$BL69/VLOOKUP(VLOOKUP($BJ69,坦克个性化设定!$B$18:$E$48,4,FALSE)&amp;$BK69,坦克属性分配比例,MATCH("升星次数",坦克属性分配比例标头,0),FALSE)*VLOOKUP(VLOOKUP($BJ69,坦克个性化设定!$B$18:$E$48,4,FALSE)&amp;$BK69,坦克属性分配比例,MATCH("升星比例",坦克属性分配比例标头,0),FALSE),0)</f>
        <v>#N/A</v>
      </c>
      <c r="BR69" s="2" t="e">
        <f ca="1">ROUND(VLOOKUP($BJ69&amp;"初始",$S$3:$AE$63,MATCH(BR$3,$S$3:$AE$3,0),FALSE)+(VLOOKUP($BJ69&amp;"最终",$S$3:$AE$63,MATCH(BR$3,$S$3:$AE$3,0),FALSE)-VLOOKUP($BJ69&amp;"初始",$S$3:$AE$63,MATCH(BR$3,$S$3:$AE$3,0),FALSE))*$BL69/VLOOKUP(VLOOKUP($BJ69,坦克个性化设定!$B$18:$E$48,4,FALSE)&amp;$BK69,坦克属性分配比例,MATCH("升星次数",坦克属性分配比例标头,0),FALSE),0)</f>
        <v>#N/A</v>
      </c>
      <c r="BS69" s="2">
        <f>ROUND(VLOOKUP($BJ69,$AI$3:$AO$33,MATCH(BS$3,$AI$3:$AO$3,0),FALSE)+$BL69/VLOOKUP(VLOOKUP($BJ69,坦克个性化设定!$B$18:$E$48,4,FALSE)&amp;$BK69,坦克属性分配比例,MATCH("升星次数",坦克属性分配比例标头,0),FALSE)*VLOOKUP($BJ69,$AR$3:$AY$33,MATCH(BS$3,$AR$3:$AY$3,0),FALSE),1)</f>
        <v>39.4</v>
      </c>
      <c r="BT69" s="2">
        <f>ROUND(VLOOKUP($BJ69,$AI$3:$AO$33,MATCH(BT$3,$AI$3:$AO$3,0),FALSE)+$BL69/VLOOKUP(VLOOKUP($BJ69,坦克个性化设定!$B$18:$E$48,4,FALSE)&amp;$BK69,坦克属性分配比例,MATCH("升星次数",坦克属性分配比例标头,0),FALSE)*VLOOKUP($BJ69,$AR$3:$AY$33,MATCH(BT$3,$AR$3:$AY$3,0),FALSE),1)</f>
        <v>58.7</v>
      </c>
      <c r="BU69" s="2">
        <f>ROUND(VLOOKUP($BJ69,$AI$3:$AO$33,MATCH(BU$3,$AI$3:$AO$3,0),FALSE)+$BL69/VLOOKUP(VLOOKUP($BJ69,坦克个性化设定!$B$18:$E$48,4,FALSE)&amp;$BK69,坦克属性分配比例,MATCH("升星次数",坦克属性分配比例标头,0),FALSE)*VLOOKUP($BJ69,$AR$3:$AY$33,MATCH(BU$3,$AR$3:$AY$3,0),FALSE),1)</f>
        <v>9.6</v>
      </c>
      <c r="BV69" s="2">
        <f>IF(VLOOKUP(BJ69,坦克个性化设定!$B$18:$BC$48,MATCH("装弹类型",坦克个性化设定!$B$18:$BC$18,0),FALSE)="弹夹换弹",0,ROUND(VLOOKUP($BJ69,$AI$3:$AO$33,MATCH("换弹时间",$AI$3:$AO$3,0),FALSE)-$BL69/VLOOKUP(VLOOKUP($BJ69,坦克个性化设定!$B$18:$E$48,4,FALSE)&amp;$BK69,坦克属性分配比例,MATCH("升星次数",坦克属性分配比例标头,0),FALSE)*VLOOKUP($BJ69,$AR$3:$AY$33,MATCH("换弹时间",$AR$3:$AY$3,0),FALSE),2))</f>
        <v>0</v>
      </c>
      <c r="BW69" s="2">
        <f>IF(VLOOKUP(BJ69,坦克个性化设定!$B$18:$BC$48,MATCH("装弹类型",坦克个性化设定!$B$18:$BC$18,0),FALSE)="弹夹换弹",ROUND(VLOOKUP($BJ69,$AI$3:$AO$33,MATCH("换弹时间",$AI$3:$AO$3,0),FALSE)-$BL69/VLOOKUP(VLOOKUP($BJ69,坦克个性化设定!$B$18:$E$48,4,FALSE)&amp;$BK69,坦克属性分配比例,MATCH("升星次数",坦克属性分配比例标头,0),FALSE)*VLOOKUP($BJ69,$AR$3:$AY$33,MATCH("换弹时间",$AR$3:$AY$3,0),FALSE),1),0)</f>
        <v>12.1</v>
      </c>
      <c r="BX69" s="2">
        <f>ROUND(VLOOKUP($BJ69,$AI$3:$AO$33,MATCH(BX$3,$AI$3:$AO$3,0),FALSE)+$BL69/VLOOKUP(VLOOKUP($BJ69,坦克个性化设定!$B$18:$E$48,4,FALSE)&amp;$BK69,坦克属性分配比例,MATCH("升星次数",坦克属性分配比例标头,0),FALSE)*VLOOKUP($BJ69,$AR$3:$AY$33,MATCH(BX$3,$AR$3:$AY$3,0),FALSE),2)</f>
        <v>0.8</v>
      </c>
      <c r="BY69" s="2">
        <f>ROUND(VLOOKUP($BJ69,$AI$3:$AO$33,MATCH(BY$3,$AI$3:$AO$3,0),FALSE)-$BL69/VLOOKUP(VLOOKUP($BJ69,坦克个性化设定!$B$18:$E$48,4,FALSE)&amp;$BK69,坦克属性分配比例,MATCH("升星次数",坦克属性分配比例标头,0),FALSE)*VLOOKUP($BJ69,$AR$3:$AY$33,MATCH(BY$3,$AR$3:$AY$3,0),FALSE),2)</f>
        <v>0.45</v>
      </c>
    </row>
    <row r="70" spans="27:77" x14ac:dyDescent="0.3">
      <c r="BH70" s="2" t="str">
        <f t="shared" si="24"/>
        <v>M-412</v>
      </c>
      <c r="BI70" s="2">
        <f>IF(BL69&gt;=VLOOKUP(VLOOKUP(BJ69,坦克个性化设定!$B$18:$E$48,4,FALSE)&amp;BK69,坦克属性分配比例,MATCH("升星次数",坦克属性分配比例标头,0),FALSE),BI69+1,BI69)</f>
        <v>8</v>
      </c>
      <c r="BJ70" s="2" t="str">
        <f t="shared" si="25"/>
        <v>M-41</v>
      </c>
      <c r="BK70" s="29" t="str">
        <f>VLOOKUP(BJ70,坦克个性化细分!$I$3:$J$33,2,FALSE)</f>
        <v>中</v>
      </c>
      <c r="BL70" s="2">
        <f t="shared" si="23"/>
        <v>2</v>
      </c>
      <c r="BM70" s="103" t="e">
        <f ca="1">ROUND(VLOOKUP($BJ70&amp;"初始",$S$3:$AE$63,MATCH(BM$3,$S$3:$AE$3,0),FALSE)+((VLOOKUP($BJ70&amp;"最终",$S$3:$AE$63,MATCH(BM$3,$S$3:$AE$3,0),FALSE)*坦克个性化细分!$C$9-VLOOKUP($BJ70&amp;"初始",$S$3:$AE$63,MATCH(BM$3,$S$3:$AE$3,0),FALSE))-(VLOOKUP($BJ70&amp;"最终",$S$3:$AE$63,MATCH(BM$3,$S$3:$AE$3,0),FALSE)-VLOOKUP($BJ70&amp;"初始",$S$3:$AE$63,MATCH(BM$3,$S$3:$AE$3,0),FALSE))*VLOOKUP(VLOOKUP($BJ70,坦克个性化设定!$B$18:$E$48,4,FALSE)&amp;$BK70,坦克属性分配比例,MATCH("部件比例",坦克属性分配比例标头,0),FALSE))*$BL70/VLOOKUP(VLOOKUP($BJ70,坦克个性化设定!$B$18:$E$48,4,FALSE)&amp;$BK70,坦克属性分配比例,MATCH("升星次数",坦克属性分配比例标头,0),FALSE),0)</f>
        <v>#N/A</v>
      </c>
      <c r="BN70" s="103" t="e">
        <f ca="1">ROUND(VLOOKUP($BJ70&amp;"初始",$S$3:$AE$63,MATCH(BN$3,$S$3:$AE$3,0),FALSE)+(VLOOKUP($BJ70&amp;"最终",$S$3:$AE$63,MATCH(BN$3,$S$3:$AE$3,0),FALSE)-VLOOKUP($BJ70&amp;"初始",$S$3:$AE$63,MATCH(BN$3,$S$3:$AE$3,0),FALSE))*$BL70/VLOOKUP(VLOOKUP($BJ70,坦克个性化设定!$B$18:$E$48,4,FALSE)&amp;$BK70,坦克属性分配比例,MATCH("升星次数",坦克属性分配比例标头,0),FALSE)*VLOOKUP(VLOOKUP($BJ70,坦克个性化设定!$B$18:$E$48,4,FALSE)&amp;$BK70,坦克属性分配比例,MATCH("升星比例",坦克属性分配比例标头,0),FALSE),0)</f>
        <v>#N/A</v>
      </c>
      <c r="BO70" s="103" t="e">
        <f ca="1">ROUND(VLOOKUP($BJ70&amp;"初始",$S$3:$AE$63,MATCH(BO$3,$S$3:$AE$3,0),FALSE)+(VLOOKUP($BJ70&amp;"最终",$S$3:$AE$63,MATCH(BO$3,$S$3:$AE$3,0),FALSE)-VLOOKUP($BJ70&amp;"初始",$S$3:$AE$63,MATCH(BO$3,$S$3:$AE$3,0),FALSE))*$BL70/VLOOKUP(VLOOKUP($BJ70,坦克个性化设定!$B$18:$E$48,4,FALSE)&amp;$BK70,坦克属性分配比例,MATCH("升星次数",坦克属性分配比例标头,0),FALSE)*(VLOOKUP(VLOOKUP($BJ70,坦克个性化设定!$B$18:$E$48,4,FALSE)&amp;$BK70,坦克属性分配比例,MATCH("升星比例",坦克属性分配比例标头,0),FALSE)+VLOOKUP(VLOOKUP($BJ70,坦克个性化设定!$B$18:$E$48,4,FALSE)&amp;$BK70,坦克属性分配比例,MATCH("部件比例",坦克属性分配比例标头,0),FALSE)*$C$3),0)</f>
        <v>#N/A</v>
      </c>
      <c r="BP70" s="103" t="e">
        <f ca="1">ROUND(VLOOKUP($BJ70&amp;"初始",$S$3:$AE$63,MATCH(BP$3,$S$3:$AE$3,0),FALSE)+(VLOOKUP($BJ70&amp;"最终",$S$3:$AE$63,MATCH(BP$3,$S$3:$AE$3,0),FALSE)-VLOOKUP($BJ70&amp;"初始",$S$3:$AE$63,MATCH(BP$3,$S$3:$AE$3,0),FALSE))*$BL70/VLOOKUP(VLOOKUP($BJ70,坦克个性化设定!$B$18:$E$48,4,FALSE)&amp;$BK70,坦克属性分配比例,MATCH("升星次数",坦克属性分配比例标头,0),FALSE)*(VLOOKUP(VLOOKUP($BJ70,坦克个性化设定!$B$18:$E$48,4,FALSE)&amp;$BK70,坦克属性分配比例,MATCH("升星比例",坦克属性分配比例标头,0),FALSE)+VLOOKUP(VLOOKUP($BJ70,坦克个性化设定!$B$18:$E$48,4,FALSE)&amp;$BK70,坦克属性分配比例,MATCH("部件比例",坦克属性分配比例标头,0),FALSE)*$C$3),0)</f>
        <v>#N/A</v>
      </c>
      <c r="BQ70" s="103" t="e">
        <f ca="1">ROUND(VLOOKUP($BJ70&amp;"初始",$S$3:$AE$63,MATCH(BQ$3,$S$3:$AE$3,0),FALSE)+(VLOOKUP($BJ70&amp;"最终",$S$3:$AE$63,MATCH(BQ$3,$S$3:$AE$3,0),FALSE)-VLOOKUP($BJ70&amp;"初始",$S$3:$AE$63,MATCH(BQ$3,$S$3:$AE$3,0),FALSE))*$BL70/VLOOKUP(VLOOKUP($BJ70,坦克个性化设定!$B$18:$E$48,4,FALSE)&amp;$BK70,坦克属性分配比例,MATCH("升星次数",坦克属性分配比例标头,0),FALSE)*VLOOKUP(VLOOKUP($BJ70,坦克个性化设定!$B$18:$E$48,4,FALSE)&amp;$BK70,坦克属性分配比例,MATCH("升星比例",坦克属性分配比例标头,0),FALSE),0)</f>
        <v>#N/A</v>
      </c>
      <c r="BR70" s="2" t="e">
        <f ca="1">ROUND(VLOOKUP($BJ70&amp;"初始",$S$3:$AE$63,MATCH(BR$3,$S$3:$AE$3,0),FALSE)+(VLOOKUP($BJ70&amp;"最终",$S$3:$AE$63,MATCH(BR$3,$S$3:$AE$3,0),FALSE)-VLOOKUP($BJ70&amp;"初始",$S$3:$AE$63,MATCH(BR$3,$S$3:$AE$3,0),FALSE))*$BL70/VLOOKUP(VLOOKUP($BJ70,坦克个性化设定!$B$18:$E$48,4,FALSE)&amp;$BK70,坦克属性分配比例,MATCH("升星次数",坦克属性分配比例标头,0),FALSE),0)</f>
        <v>#N/A</v>
      </c>
      <c r="BS70" s="2">
        <f>ROUND(VLOOKUP($BJ70,$AI$3:$AO$33,MATCH(BS$3,$AI$3:$AO$3,0),FALSE)+$BL70/VLOOKUP(VLOOKUP($BJ70,坦克个性化设定!$B$18:$E$48,4,FALSE)&amp;$BK70,坦克属性分配比例,MATCH("升星次数",坦克属性分配比例标头,0),FALSE)*VLOOKUP($BJ70,$AR$3:$AY$33,MATCH(BS$3,$AR$3:$AY$3,0),FALSE),1)</f>
        <v>40.299999999999997</v>
      </c>
      <c r="BT70" s="2">
        <f>ROUND(VLOOKUP($BJ70,$AI$3:$AO$33,MATCH(BT$3,$AI$3:$AO$3,0),FALSE)+$BL70/VLOOKUP(VLOOKUP($BJ70,坦克个性化设定!$B$18:$E$48,4,FALSE)&amp;$BK70,坦克属性分配比例,MATCH("升星次数",坦克属性分配比例标头,0),FALSE)*VLOOKUP($BJ70,$AR$3:$AY$33,MATCH(BT$3,$AR$3:$AY$3,0),FALSE),1)</f>
        <v>60</v>
      </c>
      <c r="BU70" s="2">
        <f>ROUND(VLOOKUP($BJ70,$AI$3:$AO$33,MATCH(BU$3,$AI$3:$AO$3,0),FALSE)+$BL70/VLOOKUP(VLOOKUP($BJ70,坦克个性化设定!$B$18:$E$48,4,FALSE)&amp;$BK70,坦克属性分配比例,MATCH("升星次数",坦克属性分配比例标头,0),FALSE)*VLOOKUP($BJ70,$AR$3:$AY$33,MATCH(BU$3,$AR$3:$AY$3,0),FALSE),1)</f>
        <v>9.6</v>
      </c>
      <c r="BV70" s="2">
        <f>IF(VLOOKUP(BJ70,坦克个性化设定!$B$18:$BC$48,MATCH("装弹类型",坦克个性化设定!$B$18:$BC$18,0),FALSE)="弹夹换弹",0,ROUND(VLOOKUP($BJ70,$AI$3:$AO$33,MATCH("换弹时间",$AI$3:$AO$3,0),FALSE)-$BL70/VLOOKUP(VLOOKUP($BJ70,坦克个性化设定!$B$18:$E$48,4,FALSE)&amp;$BK70,坦克属性分配比例,MATCH("升星次数",坦克属性分配比例标头,0),FALSE)*VLOOKUP($BJ70,$AR$3:$AY$33,MATCH("换弹时间",$AR$3:$AY$3,0),FALSE),2))</f>
        <v>0</v>
      </c>
      <c r="BW70" s="2">
        <f>IF(VLOOKUP(BJ70,坦克个性化设定!$B$18:$BC$48,MATCH("装弹类型",坦克个性化设定!$B$18:$BC$18,0),FALSE)="弹夹换弹",ROUND(VLOOKUP($BJ70,$AI$3:$AO$33,MATCH("换弹时间",$AI$3:$AO$3,0),FALSE)-$BL70/VLOOKUP(VLOOKUP($BJ70,坦克个性化设定!$B$18:$E$48,4,FALSE)&amp;$BK70,坦克属性分配比例,MATCH("升星次数",坦克属性分配比例标头,0),FALSE)*VLOOKUP($BJ70,$AR$3:$AY$33,MATCH("换弹时间",$AR$3:$AY$3,0),FALSE),1),0)</f>
        <v>11.7</v>
      </c>
      <c r="BX70" s="2">
        <f>ROUND(VLOOKUP($BJ70,$AI$3:$AO$33,MATCH(BX$3,$AI$3:$AO$3,0),FALSE)+$BL70/VLOOKUP(VLOOKUP($BJ70,坦克个性化设定!$B$18:$E$48,4,FALSE)&amp;$BK70,坦克属性分配比例,MATCH("升星次数",坦克属性分配比例标头,0),FALSE)*VLOOKUP($BJ70,$AR$3:$AY$33,MATCH(BX$3,$AR$3:$AY$3,0),FALSE),2)</f>
        <v>0.8</v>
      </c>
      <c r="BY70" s="2">
        <f>ROUND(VLOOKUP($BJ70,$AI$3:$AO$33,MATCH(BY$3,$AI$3:$AO$3,0),FALSE)-$BL70/VLOOKUP(VLOOKUP($BJ70,坦克个性化设定!$B$18:$E$48,4,FALSE)&amp;$BK70,坦克属性分配比例,MATCH("升星次数",坦克属性分配比例标头,0),FALSE)*VLOOKUP($BJ70,$AR$3:$AY$33,MATCH(BY$3,$AR$3:$AY$3,0),FALSE),2)</f>
        <v>0.44</v>
      </c>
    </row>
    <row r="71" spans="27:77" x14ac:dyDescent="0.3">
      <c r="BH71" s="2" t="str">
        <f t="shared" si="24"/>
        <v>M-413</v>
      </c>
      <c r="BI71" s="2">
        <f>IF(BL70&gt;=VLOOKUP(VLOOKUP(BJ70,坦克个性化设定!$B$18:$E$48,4,FALSE)&amp;BK70,坦克属性分配比例,MATCH("升星次数",坦克属性分配比例标头,0),FALSE),BI70+1,BI70)</f>
        <v>8</v>
      </c>
      <c r="BJ71" s="2" t="str">
        <f t="shared" si="25"/>
        <v>M-41</v>
      </c>
      <c r="BK71" s="29" t="str">
        <f>VLOOKUP(BJ71,坦克个性化细分!$I$3:$J$33,2,FALSE)</f>
        <v>中</v>
      </c>
      <c r="BL71" s="2">
        <f t="shared" si="23"/>
        <v>3</v>
      </c>
      <c r="BM71" s="103" t="e">
        <f ca="1">ROUND(VLOOKUP($BJ71&amp;"初始",$S$3:$AE$63,MATCH(BM$3,$S$3:$AE$3,0),FALSE)+((VLOOKUP($BJ71&amp;"最终",$S$3:$AE$63,MATCH(BM$3,$S$3:$AE$3,0),FALSE)*坦克个性化细分!$C$9-VLOOKUP($BJ71&amp;"初始",$S$3:$AE$63,MATCH(BM$3,$S$3:$AE$3,0),FALSE))-(VLOOKUP($BJ71&amp;"最终",$S$3:$AE$63,MATCH(BM$3,$S$3:$AE$3,0),FALSE)-VLOOKUP($BJ71&amp;"初始",$S$3:$AE$63,MATCH(BM$3,$S$3:$AE$3,0),FALSE))*VLOOKUP(VLOOKUP($BJ71,坦克个性化设定!$B$18:$E$48,4,FALSE)&amp;$BK71,坦克属性分配比例,MATCH("部件比例",坦克属性分配比例标头,0),FALSE))*$BL71/VLOOKUP(VLOOKUP($BJ71,坦克个性化设定!$B$18:$E$48,4,FALSE)&amp;$BK71,坦克属性分配比例,MATCH("升星次数",坦克属性分配比例标头,0),FALSE),0)</f>
        <v>#N/A</v>
      </c>
      <c r="BN71" s="103" t="e">
        <f ca="1">ROUND(VLOOKUP($BJ71&amp;"初始",$S$3:$AE$63,MATCH(BN$3,$S$3:$AE$3,0),FALSE)+(VLOOKUP($BJ71&amp;"最终",$S$3:$AE$63,MATCH(BN$3,$S$3:$AE$3,0),FALSE)-VLOOKUP($BJ71&amp;"初始",$S$3:$AE$63,MATCH(BN$3,$S$3:$AE$3,0),FALSE))*$BL71/VLOOKUP(VLOOKUP($BJ71,坦克个性化设定!$B$18:$E$48,4,FALSE)&amp;$BK71,坦克属性分配比例,MATCH("升星次数",坦克属性分配比例标头,0),FALSE)*VLOOKUP(VLOOKUP($BJ71,坦克个性化设定!$B$18:$E$48,4,FALSE)&amp;$BK71,坦克属性分配比例,MATCH("升星比例",坦克属性分配比例标头,0),FALSE),0)</f>
        <v>#N/A</v>
      </c>
      <c r="BO71" s="103" t="e">
        <f ca="1">ROUND(VLOOKUP($BJ71&amp;"初始",$S$3:$AE$63,MATCH(BO$3,$S$3:$AE$3,0),FALSE)+(VLOOKUP($BJ71&amp;"最终",$S$3:$AE$63,MATCH(BO$3,$S$3:$AE$3,0),FALSE)-VLOOKUP($BJ71&amp;"初始",$S$3:$AE$63,MATCH(BO$3,$S$3:$AE$3,0),FALSE))*$BL71/VLOOKUP(VLOOKUP($BJ71,坦克个性化设定!$B$18:$E$48,4,FALSE)&amp;$BK71,坦克属性分配比例,MATCH("升星次数",坦克属性分配比例标头,0),FALSE)*(VLOOKUP(VLOOKUP($BJ71,坦克个性化设定!$B$18:$E$48,4,FALSE)&amp;$BK71,坦克属性分配比例,MATCH("升星比例",坦克属性分配比例标头,0),FALSE)+VLOOKUP(VLOOKUP($BJ71,坦克个性化设定!$B$18:$E$48,4,FALSE)&amp;$BK71,坦克属性分配比例,MATCH("部件比例",坦克属性分配比例标头,0),FALSE)*$C$3),0)</f>
        <v>#N/A</v>
      </c>
      <c r="BP71" s="103" t="e">
        <f ca="1">ROUND(VLOOKUP($BJ71&amp;"初始",$S$3:$AE$63,MATCH(BP$3,$S$3:$AE$3,0),FALSE)+(VLOOKUP($BJ71&amp;"最终",$S$3:$AE$63,MATCH(BP$3,$S$3:$AE$3,0),FALSE)-VLOOKUP($BJ71&amp;"初始",$S$3:$AE$63,MATCH(BP$3,$S$3:$AE$3,0),FALSE))*$BL71/VLOOKUP(VLOOKUP($BJ71,坦克个性化设定!$B$18:$E$48,4,FALSE)&amp;$BK71,坦克属性分配比例,MATCH("升星次数",坦克属性分配比例标头,0),FALSE)*(VLOOKUP(VLOOKUP($BJ71,坦克个性化设定!$B$18:$E$48,4,FALSE)&amp;$BK71,坦克属性分配比例,MATCH("升星比例",坦克属性分配比例标头,0),FALSE)+VLOOKUP(VLOOKUP($BJ71,坦克个性化设定!$B$18:$E$48,4,FALSE)&amp;$BK71,坦克属性分配比例,MATCH("部件比例",坦克属性分配比例标头,0),FALSE)*$C$3),0)</f>
        <v>#N/A</v>
      </c>
      <c r="BQ71" s="103" t="e">
        <f ca="1">ROUND(VLOOKUP($BJ71&amp;"初始",$S$3:$AE$63,MATCH(BQ$3,$S$3:$AE$3,0),FALSE)+(VLOOKUP($BJ71&amp;"最终",$S$3:$AE$63,MATCH(BQ$3,$S$3:$AE$3,0),FALSE)-VLOOKUP($BJ71&amp;"初始",$S$3:$AE$63,MATCH(BQ$3,$S$3:$AE$3,0),FALSE))*$BL71/VLOOKUP(VLOOKUP($BJ71,坦克个性化设定!$B$18:$E$48,4,FALSE)&amp;$BK71,坦克属性分配比例,MATCH("升星次数",坦克属性分配比例标头,0),FALSE)*VLOOKUP(VLOOKUP($BJ71,坦克个性化设定!$B$18:$E$48,4,FALSE)&amp;$BK71,坦克属性分配比例,MATCH("升星比例",坦克属性分配比例标头,0),FALSE),0)</f>
        <v>#N/A</v>
      </c>
      <c r="BR71" s="2" t="e">
        <f ca="1">ROUND(VLOOKUP($BJ71&amp;"初始",$S$3:$AE$63,MATCH(BR$3,$S$3:$AE$3,0),FALSE)+(VLOOKUP($BJ71&amp;"最终",$S$3:$AE$63,MATCH(BR$3,$S$3:$AE$3,0),FALSE)-VLOOKUP($BJ71&amp;"初始",$S$3:$AE$63,MATCH(BR$3,$S$3:$AE$3,0),FALSE))*$BL71/VLOOKUP(VLOOKUP($BJ71,坦克个性化设定!$B$18:$E$48,4,FALSE)&amp;$BK71,坦克属性分配比例,MATCH("升星次数",坦克属性分配比例标头,0),FALSE),0)</f>
        <v>#N/A</v>
      </c>
      <c r="BS71" s="2">
        <f>ROUND(VLOOKUP($BJ71,$AI$3:$AO$33,MATCH(BS$3,$AI$3:$AO$3,0),FALSE)+$BL71/VLOOKUP(VLOOKUP($BJ71,坦克个性化设定!$B$18:$E$48,4,FALSE)&amp;$BK71,坦克属性分配比例,MATCH("升星次数",坦克属性分配比例标头,0),FALSE)*VLOOKUP($BJ71,$AR$3:$AY$33,MATCH(BS$3,$AR$3:$AY$3,0),FALSE),1)</f>
        <v>41.1</v>
      </c>
      <c r="BT71" s="2">
        <f>ROUND(VLOOKUP($BJ71,$AI$3:$AO$33,MATCH(BT$3,$AI$3:$AO$3,0),FALSE)+$BL71/VLOOKUP(VLOOKUP($BJ71,坦克个性化设定!$B$18:$E$48,4,FALSE)&amp;$BK71,坦克属性分配比例,MATCH("升星次数",坦克属性分配比例标头,0),FALSE)*VLOOKUP($BJ71,$AR$3:$AY$33,MATCH(BT$3,$AR$3:$AY$3,0),FALSE),1)</f>
        <v>61.3</v>
      </c>
      <c r="BU71" s="2">
        <f>ROUND(VLOOKUP($BJ71,$AI$3:$AO$33,MATCH(BU$3,$AI$3:$AO$3,0),FALSE)+$BL71/VLOOKUP(VLOOKUP($BJ71,坦克个性化设定!$B$18:$E$48,4,FALSE)&amp;$BK71,坦克属性分配比例,MATCH("升星次数",坦克属性分配比例标头,0),FALSE)*VLOOKUP($BJ71,$AR$3:$AY$33,MATCH(BU$3,$AR$3:$AY$3,0),FALSE),1)</f>
        <v>9.6</v>
      </c>
      <c r="BV71" s="2">
        <f>IF(VLOOKUP(BJ71,坦克个性化设定!$B$18:$BC$48,MATCH("装弹类型",坦克个性化设定!$B$18:$BC$18,0),FALSE)="弹夹换弹",0,ROUND(VLOOKUP($BJ71,$AI$3:$AO$33,MATCH("换弹时间",$AI$3:$AO$3,0),FALSE)-$BL71/VLOOKUP(VLOOKUP($BJ71,坦克个性化设定!$B$18:$E$48,4,FALSE)&amp;$BK71,坦克属性分配比例,MATCH("升星次数",坦克属性分配比例标头,0),FALSE)*VLOOKUP($BJ71,$AR$3:$AY$33,MATCH("换弹时间",$AR$3:$AY$3,0),FALSE),2))</f>
        <v>0</v>
      </c>
      <c r="BW71" s="2">
        <f>IF(VLOOKUP(BJ71,坦克个性化设定!$B$18:$BC$48,MATCH("装弹类型",坦克个性化设定!$B$18:$BC$18,0),FALSE)="弹夹换弹",ROUND(VLOOKUP($BJ71,$AI$3:$AO$33,MATCH("换弹时间",$AI$3:$AO$3,0),FALSE)-$BL71/VLOOKUP(VLOOKUP($BJ71,坦克个性化设定!$B$18:$E$48,4,FALSE)&amp;$BK71,坦克属性分配比例,MATCH("升星次数",坦克属性分配比例标头,0),FALSE)*VLOOKUP($BJ71,$AR$3:$AY$33,MATCH("换弹时间",$AR$3:$AY$3,0),FALSE),1),0)</f>
        <v>11.2</v>
      </c>
      <c r="BX71" s="2">
        <f>ROUND(VLOOKUP($BJ71,$AI$3:$AO$33,MATCH(BX$3,$AI$3:$AO$3,0),FALSE)+$BL71/VLOOKUP(VLOOKUP($BJ71,坦克个性化设定!$B$18:$E$48,4,FALSE)&amp;$BK71,坦克属性分配比例,MATCH("升星次数",坦克属性分配比例标头,0),FALSE)*VLOOKUP($BJ71,$AR$3:$AY$33,MATCH(BX$3,$AR$3:$AY$3,0),FALSE),2)</f>
        <v>0.8</v>
      </c>
      <c r="BY71" s="2">
        <f>ROUND(VLOOKUP($BJ71,$AI$3:$AO$33,MATCH(BY$3,$AI$3:$AO$3,0),FALSE)-$BL71/VLOOKUP(VLOOKUP($BJ71,坦克个性化设定!$B$18:$E$48,4,FALSE)&amp;$BK71,坦克属性分配比例,MATCH("升星次数",坦克属性分配比例标头,0),FALSE)*VLOOKUP($BJ71,$AR$3:$AY$33,MATCH(BY$3,$AR$3:$AY$3,0),FALSE),2)</f>
        <v>0.44</v>
      </c>
    </row>
    <row r="72" spans="27:77" x14ac:dyDescent="0.3">
      <c r="BH72" s="2" t="str">
        <f t="shared" si="24"/>
        <v>M-414</v>
      </c>
      <c r="BI72" s="2">
        <f>IF(BL71&gt;=VLOOKUP(VLOOKUP(BJ71,坦克个性化设定!$B$18:$E$48,4,FALSE)&amp;BK71,坦克属性分配比例,MATCH("升星次数",坦克属性分配比例标头,0),FALSE),BI71+1,BI71)</f>
        <v>8</v>
      </c>
      <c r="BJ72" s="2" t="str">
        <f t="shared" si="25"/>
        <v>M-41</v>
      </c>
      <c r="BK72" s="29" t="str">
        <f>VLOOKUP(BJ72,坦克个性化细分!$I$3:$J$33,2,FALSE)</f>
        <v>中</v>
      </c>
      <c r="BL72" s="2">
        <f t="shared" si="23"/>
        <v>4</v>
      </c>
      <c r="BM72" s="103" t="e">
        <f ca="1">ROUND(VLOOKUP($BJ72&amp;"初始",$S$3:$AE$63,MATCH(BM$3,$S$3:$AE$3,0),FALSE)+((VLOOKUP($BJ72&amp;"最终",$S$3:$AE$63,MATCH(BM$3,$S$3:$AE$3,0),FALSE)*坦克个性化细分!$C$9-VLOOKUP($BJ72&amp;"初始",$S$3:$AE$63,MATCH(BM$3,$S$3:$AE$3,0),FALSE))-(VLOOKUP($BJ72&amp;"最终",$S$3:$AE$63,MATCH(BM$3,$S$3:$AE$3,0),FALSE)-VLOOKUP($BJ72&amp;"初始",$S$3:$AE$63,MATCH(BM$3,$S$3:$AE$3,0),FALSE))*VLOOKUP(VLOOKUP($BJ72,坦克个性化设定!$B$18:$E$48,4,FALSE)&amp;$BK72,坦克属性分配比例,MATCH("部件比例",坦克属性分配比例标头,0),FALSE))*$BL72/VLOOKUP(VLOOKUP($BJ72,坦克个性化设定!$B$18:$E$48,4,FALSE)&amp;$BK72,坦克属性分配比例,MATCH("升星次数",坦克属性分配比例标头,0),FALSE),0)</f>
        <v>#N/A</v>
      </c>
      <c r="BN72" s="103" t="e">
        <f ca="1">ROUND(VLOOKUP($BJ72&amp;"初始",$S$3:$AE$63,MATCH(BN$3,$S$3:$AE$3,0),FALSE)+(VLOOKUP($BJ72&amp;"最终",$S$3:$AE$63,MATCH(BN$3,$S$3:$AE$3,0),FALSE)-VLOOKUP($BJ72&amp;"初始",$S$3:$AE$63,MATCH(BN$3,$S$3:$AE$3,0),FALSE))*$BL72/VLOOKUP(VLOOKUP($BJ72,坦克个性化设定!$B$18:$E$48,4,FALSE)&amp;$BK72,坦克属性分配比例,MATCH("升星次数",坦克属性分配比例标头,0),FALSE)*VLOOKUP(VLOOKUP($BJ72,坦克个性化设定!$B$18:$E$48,4,FALSE)&amp;$BK72,坦克属性分配比例,MATCH("升星比例",坦克属性分配比例标头,0),FALSE),0)</f>
        <v>#N/A</v>
      </c>
      <c r="BO72" s="103" t="e">
        <f ca="1">ROUND(VLOOKUP($BJ72&amp;"初始",$S$3:$AE$63,MATCH(BO$3,$S$3:$AE$3,0),FALSE)+(VLOOKUP($BJ72&amp;"最终",$S$3:$AE$63,MATCH(BO$3,$S$3:$AE$3,0),FALSE)-VLOOKUP($BJ72&amp;"初始",$S$3:$AE$63,MATCH(BO$3,$S$3:$AE$3,0),FALSE))*$BL72/VLOOKUP(VLOOKUP($BJ72,坦克个性化设定!$B$18:$E$48,4,FALSE)&amp;$BK72,坦克属性分配比例,MATCH("升星次数",坦克属性分配比例标头,0),FALSE)*(VLOOKUP(VLOOKUP($BJ72,坦克个性化设定!$B$18:$E$48,4,FALSE)&amp;$BK72,坦克属性分配比例,MATCH("升星比例",坦克属性分配比例标头,0),FALSE)+VLOOKUP(VLOOKUP($BJ72,坦克个性化设定!$B$18:$E$48,4,FALSE)&amp;$BK72,坦克属性分配比例,MATCH("部件比例",坦克属性分配比例标头,0),FALSE)*$C$3),0)</f>
        <v>#N/A</v>
      </c>
      <c r="BP72" s="103" t="e">
        <f ca="1">ROUND(VLOOKUP($BJ72&amp;"初始",$S$3:$AE$63,MATCH(BP$3,$S$3:$AE$3,0),FALSE)+(VLOOKUP($BJ72&amp;"最终",$S$3:$AE$63,MATCH(BP$3,$S$3:$AE$3,0),FALSE)-VLOOKUP($BJ72&amp;"初始",$S$3:$AE$63,MATCH(BP$3,$S$3:$AE$3,0),FALSE))*$BL72/VLOOKUP(VLOOKUP($BJ72,坦克个性化设定!$B$18:$E$48,4,FALSE)&amp;$BK72,坦克属性分配比例,MATCH("升星次数",坦克属性分配比例标头,0),FALSE)*(VLOOKUP(VLOOKUP($BJ72,坦克个性化设定!$B$18:$E$48,4,FALSE)&amp;$BK72,坦克属性分配比例,MATCH("升星比例",坦克属性分配比例标头,0),FALSE)+VLOOKUP(VLOOKUP($BJ72,坦克个性化设定!$B$18:$E$48,4,FALSE)&amp;$BK72,坦克属性分配比例,MATCH("部件比例",坦克属性分配比例标头,0),FALSE)*$C$3),0)</f>
        <v>#N/A</v>
      </c>
      <c r="BQ72" s="103" t="e">
        <f ca="1">ROUND(VLOOKUP($BJ72&amp;"初始",$S$3:$AE$63,MATCH(BQ$3,$S$3:$AE$3,0),FALSE)+(VLOOKUP($BJ72&amp;"最终",$S$3:$AE$63,MATCH(BQ$3,$S$3:$AE$3,0),FALSE)-VLOOKUP($BJ72&amp;"初始",$S$3:$AE$63,MATCH(BQ$3,$S$3:$AE$3,0),FALSE))*$BL72/VLOOKUP(VLOOKUP($BJ72,坦克个性化设定!$B$18:$E$48,4,FALSE)&amp;$BK72,坦克属性分配比例,MATCH("升星次数",坦克属性分配比例标头,0),FALSE)*VLOOKUP(VLOOKUP($BJ72,坦克个性化设定!$B$18:$E$48,4,FALSE)&amp;$BK72,坦克属性分配比例,MATCH("升星比例",坦克属性分配比例标头,0),FALSE),0)</f>
        <v>#N/A</v>
      </c>
      <c r="BR72" s="2" t="e">
        <f ca="1">ROUND(VLOOKUP($BJ72&amp;"初始",$S$3:$AE$63,MATCH(BR$3,$S$3:$AE$3,0),FALSE)+(VLOOKUP($BJ72&amp;"最终",$S$3:$AE$63,MATCH(BR$3,$S$3:$AE$3,0),FALSE)-VLOOKUP($BJ72&amp;"初始",$S$3:$AE$63,MATCH(BR$3,$S$3:$AE$3,0),FALSE))*$BL72/VLOOKUP(VLOOKUP($BJ72,坦克个性化设定!$B$18:$E$48,4,FALSE)&amp;$BK72,坦克属性分配比例,MATCH("升星次数",坦克属性分配比例标头,0),FALSE),0)</f>
        <v>#N/A</v>
      </c>
      <c r="BS72" s="2">
        <f>ROUND(VLOOKUP($BJ72,$AI$3:$AO$33,MATCH(BS$3,$AI$3:$AO$3,0),FALSE)+$BL72/VLOOKUP(VLOOKUP($BJ72,坦克个性化设定!$B$18:$E$48,4,FALSE)&amp;$BK72,坦克属性分配比例,MATCH("升星次数",坦克属性分配比例标头,0),FALSE)*VLOOKUP($BJ72,$AR$3:$AY$33,MATCH(BS$3,$AR$3:$AY$3,0),FALSE),1)</f>
        <v>42</v>
      </c>
      <c r="BT72" s="2">
        <f>ROUND(VLOOKUP($BJ72,$AI$3:$AO$33,MATCH(BT$3,$AI$3:$AO$3,0),FALSE)+$BL72/VLOOKUP(VLOOKUP($BJ72,坦克个性化设定!$B$18:$E$48,4,FALSE)&amp;$BK72,坦克属性分配比例,MATCH("升星次数",坦克属性分配比例标头,0),FALSE)*VLOOKUP($BJ72,$AR$3:$AY$33,MATCH(BT$3,$AR$3:$AY$3,0),FALSE),1)</f>
        <v>62.6</v>
      </c>
      <c r="BU72" s="2">
        <f>ROUND(VLOOKUP($BJ72,$AI$3:$AO$33,MATCH(BU$3,$AI$3:$AO$3,0),FALSE)+$BL72/VLOOKUP(VLOOKUP($BJ72,坦克个性化设定!$B$18:$E$48,4,FALSE)&amp;$BK72,坦克属性分配比例,MATCH("升星次数",坦克属性分配比例标头,0),FALSE)*VLOOKUP($BJ72,$AR$3:$AY$33,MATCH(BU$3,$AR$3:$AY$3,0),FALSE),1)</f>
        <v>9.6</v>
      </c>
      <c r="BV72" s="2">
        <f>IF(VLOOKUP(BJ72,坦克个性化设定!$B$18:$BC$48,MATCH("装弹类型",坦克个性化设定!$B$18:$BC$18,0),FALSE)="弹夹换弹",0,ROUND(VLOOKUP($BJ72,$AI$3:$AO$33,MATCH("换弹时间",$AI$3:$AO$3,0),FALSE)-$BL72/VLOOKUP(VLOOKUP($BJ72,坦克个性化设定!$B$18:$E$48,4,FALSE)&amp;$BK72,坦克属性分配比例,MATCH("升星次数",坦克属性分配比例标头,0),FALSE)*VLOOKUP($BJ72,$AR$3:$AY$33,MATCH("换弹时间",$AR$3:$AY$3,0),FALSE),2))</f>
        <v>0</v>
      </c>
      <c r="BW72" s="2">
        <f>IF(VLOOKUP(BJ72,坦克个性化设定!$B$18:$BC$48,MATCH("装弹类型",坦克个性化设定!$B$18:$BC$18,0),FALSE)="弹夹换弹",ROUND(VLOOKUP($BJ72,$AI$3:$AO$33,MATCH("换弹时间",$AI$3:$AO$3,0),FALSE)-$BL72/VLOOKUP(VLOOKUP($BJ72,坦克个性化设定!$B$18:$E$48,4,FALSE)&amp;$BK72,坦克属性分配比例,MATCH("升星次数",坦克属性分配比例标头,0),FALSE)*VLOOKUP($BJ72,$AR$3:$AY$33,MATCH("换弹时间",$AR$3:$AY$3,0),FALSE),1),0)</f>
        <v>10.8</v>
      </c>
      <c r="BX72" s="2">
        <f>ROUND(VLOOKUP($BJ72,$AI$3:$AO$33,MATCH(BX$3,$AI$3:$AO$3,0),FALSE)+$BL72/VLOOKUP(VLOOKUP($BJ72,坦克个性化设定!$B$18:$E$48,4,FALSE)&amp;$BK72,坦克属性分配比例,MATCH("升星次数",坦克属性分配比例标头,0),FALSE)*VLOOKUP($BJ72,$AR$3:$AY$33,MATCH(BX$3,$AR$3:$AY$3,0),FALSE),2)</f>
        <v>0.8</v>
      </c>
      <c r="BY72" s="2">
        <f>ROUND(VLOOKUP($BJ72,$AI$3:$AO$33,MATCH(BY$3,$AI$3:$AO$3,0),FALSE)-$BL72/VLOOKUP(VLOOKUP($BJ72,坦克个性化设定!$B$18:$E$48,4,FALSE)&amp;$BK72,坦克属性分配比例,MATCH("升星次数",坦克属性分配比例标头,0),FALSE)*VLOOKUP($BJ72,$AR$3:$AY$33,MATCH(BY$3,$AR$3:$AY$3,0),FALSE),2)</f>
        <v>0.43</v>
      </c>
    </row>
    <row r="73" spans="27:77" x14ac:dyDescent="0.3">
      <c r="BH73" s="2" t="str">
        <f t="shared" si="24"/>
        <v>M-415</v>
      </c>
      <c r="BI73" s="2">
        <f>IF(BL72&gt;=VLOOKUP(VLOOKUP(BJ72,坦克个性化设定!$B$18:$E$48,4,FALSE)&amp;BK72,坦克属性分配比例,MATCH("升星次数",坦克属性分配比例标头,0),FALSE),BI72+1,BI72)</f>
        <v>8</v>
      </c>
      <c r="BJ73" s="2" t="str">
        <f t="shared" si="25"/>
        <v>M-41</v>
      </c>
      <c r="BK73" s="29" t="str">
        <f>VLOOKUP(BJ73,坦克个性化细分!$I$3:$J$33,2,FALSE)</f>
        <v>中</v>
      </c>
      <c r="BL73" s="2">
        <f t="shared" si="23"/>
        <v>5</v>
      </c>
      <c r="BM73" s="103" t="e">
        <f ca="1">ROUND(VLOOKUP($BJ73&amp;"初始",$S$3:$AE$63,MATCH(BM$3,$S$3:$AE$3,0),FALSE)+((VLOOKUP($BJ73&amp;"最终",$S$3:$AE$63,MATCH(BM$3,$S$3:$AE$3,0),FALSE)*坦克个性化细分!$C$9-VLOOKUP($BJ73&amp;"初始",$S$3:$AE$63,MATCH(BM$3,$S$3:$AE$3,0),FALSE))-(VLOOKUP($BJ73&amp;"最终",$S$3:$AE$63,MATCH(BM$3,$S$3:$AE$3,0),FALSE)-VLOOKUP($BJ73&amp;"初始",$S$3:$AE$63,MATCH(BM$3,$S$3:$AE$3,0),FALSE))*VLOOKUP(VLOOKUP($BJ73,坦克个性化设定!$B$18:$E$48,4,FALSE)&amp;$BK73,坦克属性分配比例,MATCH("部件比例",坦克属性分配比例标头,0),FALSE))*$BL73/VLOOKUP(VLOOKUP($BJ73,坦克个性化设定!$B$18:$E$48,4,FALSE)&amp;$BK73,坦克属性分配比例,MATCH("升星次数",坦克属性分配比例标头,0),FALSE),0)</f>
        <v>#N/A</v>
      </c>
      <c r="BN73" s="103" t="e">
        <f ca="1">ROUND(VLOOKUP($BJ73&amp;"初始",$S$3:$AE$63,MATCH(BN$3,$S$3:$AE$3,0),FALSE)+(VLOOKUP($BJ73&amp;"最终",$S$3:$AE$63,MATCH(BN$3,$S$3:$AE$3,0),FALSE)-VLOOKUP($BJ73&amp;"初始",$S$3:$AE$63,MATCH(BN$3,$S$3:$AE$3,0),FALSE))*$BL73/VLOOKUP(VLOOKUP($BJ73,坦克个性化设定!$B$18:$E$48,4,FALSE)&amp;$BK73,坦克属性分配比例,MATCH("升星次数",坦克属性分配比例标头,0),FALSE)*VLOOKUP(VLOOKUP($BJ73,坦克个性化设定!$B$18:$E$48,4,FALSE)&amp;$BK73,坦克属性分配比例,MATCH("升星比例",坦克属性分配比例标头,0),FALSE),0)</f>
        <v>#N/A</v>
      </c>
      <c r="BO73" s="103" t="e">
        <f ca="1">ROUND(VLOOKUP($BJ73&amp;"初始",$S$3:$AE$63,MATCH(BO$3,$S$3:$AE$3,0),FALSE)+(VLOOKUP($BJ73&amp;"最终",$S$3:$AE$63,MATCH(BO$3,$S$3:$AE$3,0),FALSE)-VLOOKUP($BJ73&amp;"初始",$S$3:$AE$63,MATCH(BO$3,$S$3:$AE$3,0),FALSE))*$BL73/VLOOKUP(VLOOKUP($BJ73,坦克个性化设定!$B$18:$E$48,4,FALSE)&amp;$BK73,坦克属性分配比例,MATCH("升星次数",坦克属性分配比例标头,0),FALSE)*(VLOOKUP(VLOOKUP($BJ73,坦克个性化设定!$B$18:$E$48,4,FALSE)&amp;$BK73,坦克属性分配比例,MATCH("升星比例",坦克属性分配比例标头,0),FALSE)+VLOOKUP(VLOOKUP($BJ73,坦克个性化设定!$B$18:$E$48,4,FALSE)&amp;$BK73,坦克属性分配比例,MATCH("部件比例",坦克属性分配比例标头,0),FALSE)*$C$3),0)</f>
        <v>#N/A</v>
      </c>
      <c r="BP73" s="103" t="e">
        <f ca="1">ROUND(VLOOKUP($BJ73&amp;"初始",$S$3:$AE$63,MATCH(BP$3,$S$3:$AE$3,0),FALSE)+(VLOOKUP($BJ73&amp;"最终",$S$3:$AE$63,MATCH(BP$3,$S$3:$AE$3,0),FALSE)-VLOOKUP($BJ73&amp;"初始",$S$3:$AE$63,MATCH(BP$3,$S$3:$AE$3,0),FALSE))*$BL73/VLOOKUP(VLOOKUP($BJ73,坦克个性化设定!$B$18:$E$48,4,FALSE)&amp;$BK73,坦克属性分配比例,MATCH("升星次数",坦克属性分配比例标头,0),FALSE)*(VLOOKUP(VLOOKUP($BJ73,坦克个性化设定!$B$18:$E$48,4,FALSE)&amp;$BK73,坦克属性分配比例,MATCH("升星比例",坦克属性分配比例标头,0),FALSE)+VLOOKUP(VLOOKUP($BJ73,坦克个性化设定!$B$18:$E$48,4,FALSE)&amp;$BK73,坦克属性分配比例,MATCH("部件比例",坦克属性分配比例标头,0),FALSE)*$C$3),0)</f>
        <v>#N/A</v>
      </c>
      <c r="BQ73" s="103" t="e">
        <f ca="1">ROUND(VLOOKUP($BJ73&amp;"初始",$S$3:$AE$63,MATCH(BQ$3,$S$3:$AE$3,0),FALSE)+(VLOOKUP($BJ73&amp;"最终",$S$3:$AE$63,MATCH(BQ$3,$S$3:$AE$3,0),FALSE)-VLOOKUP($BJ73&amp;"初始",$S$3:$AE$63,MATCH(BQ$3,$S$3:$AE$3,0),FALSE))*$BL73/VLOOKUP(VLOOKUP($BJ73,坦克个性化设定!$B$18:$E$48,4,FALSE)&amp;$BK73,坦克属性分配比例,MATCH("升星次数",坦克属性分配比例标头,0),FALSE)*VLOOKUP(VLOOKUP($BJ73,坦克个性化设定!$B$18:$E$48,4,FALSE)&amp;$BK73,坦克属性分配比例,MATCH("升星比例",坦克属性分配比例标头,0),FALSE),0)</f>
        <v>#N/A</v>
      </c>
      <c r="BR73" s="2" t="e">
        <f ca="1">ROUND(VLOOKUP($BJ73&amp;"初始",$S$3:$AE$63,MATCH(BR$3,$S$3:$AE$3,0),FALSE)+(VLOOKUP($BJ73&amp;"最终",$S$3:$AE$63,MATCH(BR$3,$S$3:$AE$3,0),FALSE)-VLOOKUP($BJ73&amp;"初始",$S$3:$AE$63,MATCH(BR$3,$S$3:$AE$3,0),FALSE))*$BL73/VLOOKUP(VLOOKUP($BJ73,坦克个性化设定!$B$18:$E$48,4,FALSE)&amp;$BK73,坦克属性分配比例,MATCH("升星次数",坦克属性分配比例标头,0),FALSE),0)</f>
        <v>#N/A</v>
      </c>
      <c r="BS73" s="2">
        <f>ROUND(VLOOKUP($BJ73,$AI$3:$AO$33,MATCH(BS$3,$AI$3:$AO$3,0),FALSE)+$BL73/VLOOKUP(VLOOKUP($BJ73,坦克个性化设定!$B$18:$E$48,4,FALSE)&amp;$BK73,坦克属性分配比例,MATCH("升星次数",坦克属性分配比例标头,0),FALSE)*VLOOKUP($BJ73,$AR$3:$AY$33,MATCH(BS$3,$AR$3:$AY$3,0),FALSE),1)</f>
        <v>42.9</v>
      </c>
      <c r="BT73" s="2">
        <f>ROUND(VLOOKUP($BJ73,$AI$3:$AO$33,MATCH(BT$3,$AI$3:$AO$3,0),FALSE)+$BL73/VLOOKUP(VLOOKUP($BJ73,坦克个性化设定!$B$18:$E$48,4,FALSE)&amp;$BK73,坦克属性分配比例,MATCH("升星次数",坦克属性分配比例标头,0),FALSE)*VLOOKUP($BJ73,$AR$3:$AY$33,MATCH(BT$3,$AR$3:$AY$3,0),FALSE),1)</f>
        <v>63.9</v>
      </c>
      <c r="BU73" s="2">
        <f>ROUND(VLOOKUP($BJ73,$AI$3:$AO$33,MATCH(BU$3,$AI$3:$AO$3,0),FALSE)+$BL73/VLOOKUP(VLOOKUP($BJ73,坦克个性化设定!$B$18:$E$48,4,FALSE)&amp;$BK73,坦克属性分配比例,MATCH("升星次数",坦克属性分配比例标头,0),FALSE)*VLOOKUP($BJ73,$AR$3:$AY$33,MATCH(BU$3,$AR$3:$AY$3,0),FALSE),1)</f>
        <v>9.6</v>
      </c>
      <c r="BV73" s="2">
        <f>IF(VLOOKUP(BJ73,坦克个性化设定!$B$18:$BC$48,MATCH("装弹类型",坦克个性化设定!$B$18:$BC$18,0),FALSE)="弹夹换弹",0,ROUND(VLOOKUP($BJ73,$AI$3:$AO$33,MATCH("换弹时间",$AI$3:$AO$3,0),FALSE)-$BL73/VLOOKUP(VLOOKUP($BJ73,坦克个性化设定!$B$18:$E$48,4,FALSE)&amp;$BK73,坦克属性分配比例,MATCH("升星次数",坦克属性分配比例标头,0),FALSE)*VLOOKUP($BJ73,$AR$3:$AY$33,MATCH("换弹时间",$AR$3:$AY$3,0),FALSE),2))</f>
        <v>0</v>
      </c>
      <c r="BW73" s="2">
        <f>IF(VLOOKUP(BJ73,坦克个性化设定!$B$18:$BC$48,MATCH("装弹类型",坦克个性化设定!$B$18:$BC$18,0),FALSE)="弹夹换弹",ROUND(VLOOKUP($BJ73,$AI$3:$AO$33,MATCH("换弹时间",$AI$3:$AO$3,0),FALSE)-$BL73/VLOOKUP(VLOOKUP($BJ73,坦克个性化设定!$B$18:$E$48,4,FALSE)&amp;$BK73,坦克属性分配比例,MATCH("升星次数",坦克属性分配比例标头,0),FALSE)*VLOOKUP($BJ73,$AR$3:$AY$33,MATCH("换弹时间",$AR$3:$AY$3,0),FALSE),1),0)</f>
        <v>10.3</v>
      </c>
      <c r="BX73" s="2">
        <f>ROUND(VLOOKUP($BJ73,$AI$3:$AO$33,MATCH(BX$3,$AI$3:$AO$3,0),FALSE)+$BL73/VLOOKUP(VLOOKUP($BJ73,坦克个性化设定!$B$18:$E$48,4,FALSE)&amp;$BK73,坦克属性分配比例,MATCH("升星次数",坦克属性分配比例标头,0),FALSE)*VLOOKUP($BJ73,$AR$3:$AY$33,MATCH(BX$3,$AR$3:$AY$3,0),FALSE),2)</f>
        <v>0.8</v>
      </c>
      <c r="BY73" s="2">
        <f>ROUND(VLOOKUP($BJ73,$AI$3:$AO$33,MATCH(BY$3,$AI$3:$AO$3,0),FALSE)-$BL73/VLOOKUP(VLOOKUP($BJ73,坦克个性化设定!$B$18:$E$48,4,FALSE)&amp;$BK73,坦克属性分配比例,MATCH("升星次数",坦克属性分配比例标头,0),FALSE)*VLOOKUP($BJ73,$AR$3:$AY$33,MATCH(BY$3,$AR$3:$AY$3,0),FALSE),2)</f>
        <v>0.42</v>
      </c>
    </row>
    <row r="74" spans="27:77" x14ac:dyDescent="0.3">
      <c r="BH74" s="2" t="str">
        <f t="shared" si="24"/>
        <v>M-416</v>
      </c>
      <c r="BI74" s="2">
        <f>IF(BL73&gt;=VLOOKUP(VLOOKUP(BJ73,坦克个性化设定!$B$18:$E$48,4,FALSE)&amp;BK73,坦克属性分配比例,MATCH("升星次数",坦克属性分配比例标头,0),FALSE),BI73+1,BI73)</f>
        <v>8</v>
      </c>
      <c r="BJ74" s="2" t="str">
        <f t="shared" si="25"/>
        <v>M-41</v>
      </c>
      <c r="BK74" s="29" t="str">
        <f>VLOOKUP(BJ74,坦克个性化细分!$I$3:$J$33,2,FALSE)</f>
        <v>中</v>
      </c>
      <c r="BL74" s="2">
        <f t="shared" si="23"/>
        <v>6</v>
      </c>
      <c r="BM74" s="103" t="e">
        <f ca="1">ROUND(VLOOKUP($BJ74&amp;"初始",$S$3:$AE$63,MATCH(BM$3,$S$3:$AE$3,0),FALSE)+((VLOOKUP($BJ74&amp;"最终",$S$3:$AE$63,MATCH(BM$3,$S$3:$AE$3,0),FALSE)*坦克个性化细分!$C$9-VLOOKUP($BJ74&amp;"初始",$S$3:$AE$63,MATCH(BM$3,$S$3:$AE$3,0),FALSE))-(VLOOKUP($BJ74&amp;"最终",$S$3:$AE$63,MATCH(BM$3,$S$3:$AE$3,0),FALSE)-VLOOKUP($BJ74&amp;"初始",$S$3:$AE$63,MATCH(BM$3,$S$3:$AE$3,0),FALSE))*VLOOKUP(VLOOKUP($BJ74,坦克个性化设定!$B$18:$E$48,4,FALSE)&amp;$BK74,坦克属性分配比例,MATCH("部件比例",坦克属性分配比例标头,0),FALSE))*$BL74/VLOOKUP(VLOOKUP($BJ74,坦克个性化设定!$B$18:$E$48,4,FALSE)&amp;$BK74,坦克属性分配比例,MATCH("升星次数",坦克属性分配比例标头,0),FALSE),0)</f>
        <v>#N/A</v>
      </c>
      <c r="BN74" s="103" t="e">
        <f ca="1">ROUND(VLOOKUP($BJ74&amp;"初始",$S$3:$AE$63,MATCH(BN$3,$S$3:$AE$3,0),FALSE)+(VLOOKUP($BJ74&amp;"最终",$S$3:$AE$63,MATCH(BN$3,$S$3:$AE$3,0),FALSE)-VLOOKUP($BJ74&amp;"初始",$S$3:$AE$63,MATCH(BN$3,$S$3:$AE$3,0),FALSE))*$BL74/VLOOKUP(VLOOKUP($BJ74,坦克个性化设定!$B$18:$E$48,4,FALSE)&amp;$BK74,坦克属性分配比例,MATCH("升星次数",坦克属性分配比例标头,0),FALSE)*VLOOKUP(VLOOKUP($BJ74,坦克个性化设定!$B$18:$E$48,4,FALSE)&amp;$BK74,坦克属性分配比例,MATCH("升星比例",坦克属性分配比例标头,0),FALSE),0)</f>
        <v>#N/A</v>
      </c>
      <c r="BO74" s="103" t="e">
        <f ca="1">ROUND(VLOOKUP($BJ74&amp;"初始",$S$3:$AE$63,MATCH(BO$3,$S$3:$AE$3,0),FALSE)+(VLOOKUP($BJ74&amp;"最终",$S$3:$AE$63,MATCH(BO$3,$S$3:$AE$3,0),FALSE)-VLOOKUP($BJ74&amp;"初始",$S$3:$AE$63,MATCH(BO$3,$S$3:$AE$3,0),FALSE))*$BL74/VLOOKUP(VLOOKUP($BJ74,坦克个性化设定!$B$18:$E$48,4,FALSE)&amp;$BK74,坦克属性分配比例,MATCH("升星次数",坦克属性分配比例标头,0),FALSE)*(VLOOKUP(VLOOKUP($BJ74,坦克个性化设定!$B$18:$E$48,4,FALSE)&amp;$BK74,坦克属性分配比例,MATCH("升星比例",坦克属性分配比例标头,0),FALSE)+VLOOKUP(VLOOKUP($BJ74,坦克个性化设定!$B$18:$E$48,4,FALSE)&amp;$BK74,坦克属性分配比例,MATCH("部件比例",坦克属性分配比例标头,0),FALSE)*$C$3),0)</f>
        <v>#N/A</v>
      </c>
      <c r="BP74" s="103" t="e">
        <f ca="1">ROUND(VLOOKUP($BJ74&amp;"初始",$S$3:$AE$63,MATCH(BP$3,$S$3:$AE$3,0),FALSE)+(VLOOKUP($BJ74&amp;"最终",$S$3:$AE$63,MATCH(BP$3,$S$3:$AE$3,0),FALSE)-VLOOKUP($BJ74&amp;"初始",$S$3:$AE$63,MATCH(BP$3,$S$3:$AE$3,0),FALSE))*$BL74/VLOOKUP(VLOOKUP($BJ74,坦克个性化设定!$B$18:$E$48,4,FALSE)&amp;$BK74,坦克属性分配比例,MATCH("升星次数",坦克属性分配比例标头,0),FALSE)*(VLOOKUP(VLOOKUP($BJ74,坦克个性化设定!$B$18:$E$48,4,FALSE)&amp;$BK74,坦克属性分配比例,MATCH("升星比例",坦克属性分配比例标头,0),FALSE)+VLOOKUP(VLOOKUP($BJ74,坦克个性化设定!$B$18:$E$48,4,FALSE)&amp;$BK74,坦克属性分配比例,MATCH("部件比例",坦克属性分配比例标头,0),FALSE)*$C$3),0)</f>
        <v>#N/A</v>
      </c>
      <c r="BQ74" s="103" t="e">
        <f ca="1">ROUND(VLOOKUP($BJ74&amp;"初始",$S$3:$AE$63,MATCH(BQ$3,$S$3:$AE$3,0),FALSE)+(VLOOKUP($BJ74&amp;"最终",$S$3:$AE$63,MATCH(BQ$3,$S$3:$AE$3,0),FALSE)-VLOOKUP($BJ74&amp;"初始",$S$3:$AE$63,MATCH(BQ$3,$S$3:$AE$3,0),FALSE))*$BL74/VLOOKUP(VLOOKUP($BJ74,坦克个性化设定!$B$18:$E$48,4,FALSE)&amp;$BK74,坦克属性分配比例,MATCH("升星次数",坦克属性分配比例标头,0),FALSE)*VLOOKUP(VLOOKUP($BJ74,坦克个性化设定!$B$18:$E$48,4,FALSE)&amp;$BK74,坦克属性分配比例,MATCH("升星比例",坦克属性分配比例标头,0),FALSE),0)</f>
        <v>#N/A</v>
      </c>
      <c r="BR74" s="2" t="e">
        <f ca="1">ROUND(VLOOKUP($BJ74&amp;"初始",$S$3:$AE$63,MATCH(BR$3,$S$3:$AE$3,0),FALSE)+(VLOOKUP($BJ74&amp;"最终",$S$3:$AE$63,MATCH(BR$3,$S$3:$AE$3,0),FALSE)-VLOOKUP($BJ74&amp;"初始",$S$3:$AE$63,MATCH(BR$3,$S$3:$AE$3,0),FALSE))*$BL74/VLOOKUP(VLOOKUP($BJ74,坦克个性化设定!$B$18:$E$48,4,FALSE)&amp;$BK74,坦克属性分配比例,MATCH("升星次数",坦克属性分配比例标头,0),FALSE),0)</f>
        <v>#N/A</v>
      </c>
      <c r="BS74" s="2">
        <f>ROUND(VLOOKUP($BJ74,$AI$3:$AO$33,MATCH(BS$3,$AI$3:$AO$3,0),FALSE)+$BL74/VLOOKUP(VLOOKUP($BJ74,坦克个性化设定!$B$18:$E$48,4,FALSE)&amp;$BK74,坦克属性分配比例,MATCH("升星次数",坦克属性分配比例标头,0),FALSE)*VLOOKUP($BJ74,$AR$3:$AY$33,MATCH(BS$3,$AR$3:$AY$3,0),FALSE),1)</f>
        <v>43.8</v>
      </c>
      <c r="BT74" s="2">
        <f>ROUND(VLOOKUP($BJ74,$AI$3:$AO$33,MATCH(BT$3,$AI$3:$AO$3,0),FALSE)+$BL74/VLOOKUP(VLOOKUP($BJ74,坦克个性化设定!$B$18:$E$48,4,FALSE)&amp;$BK74,坦克属性分配比例,MATCH("升星次数",坦克属性分配比例标头,0),FALSE)*VLOOKUP($BJ74,$AR$3:$AY$33,MATCH(BT$3,$AR$3:$AY$3,0),FALSE),1)</f>
        <v>65.2</v>
      </c>
      <c r="BU74" s="2">
        <f>ROUND(VLOOKUP($BJ74,$AI$3:$AO$33,MATCH(BU$3,$AI$3:$AO$3,0),FALSE)+$BL74/VLOOKUP(VLOOKUP($BJ74,坦克个性化设定!$B$18:$E$48,4,FALSE)&amp;$BK74,坦克属性分配比例,MATCH("升星次数",坦克属性分配比例标头,0),FALSE)*VLOOKUP($BJ74,$AR$3:$AY$33,MATCH(BU$3,$AR$3:$AY$3,0),FALSE),1)</f>
        <v>9.6</v>
      </c>
      <c r="BV74" s="2">
        <f>IF(VLOOKUP(BJ74,坦克个性化设定!$B$18:$BC$48,MATCH("装弹类型",坦克个性化设定!$B$18:$BC$18,0),FALSE)="弹夹换弹",0,ROUND(VLOOKUP($BJ74,$AI$3:$AO$33,MATCH("换弹时间",$AI$3:$AO$3,0),FALSE)-$BL74/VLOOKUP(VLOOKUP($BJ74,坦克个性化设定!$B$18:$E$48,4,FALSE)&amp;$BK74,坦克属性分配比例,MATCH("升星次数",坦克属性分配比例标头,0),FALSE)*VLOOKUP($BJ74,$AR$3:$AY$33,MATCH("换弹时间",$AR$3:$AY$3,0),FALSE),2))</f>
        <v>0</v>
      </c>
      <c r="BW74" s="2">
        <f>IF(VLOOKUP(BJ74,坦克个性化设定!$B$18:$BC$48,MATCH("装弹类型",坦克个性化设定!$B$18:$BC$18,0),FALSE)="弹夹换弹",ROUND(VLOOKUP($BJ74,$AI$3:$AO$33,MATCH("换弹时间",$AI$3:$AO$3,0),FALSE)-$BL74/VLOOKUP(VLOOKUP($BJ74,坦克个性化设定!$B$18:$E$48,4,FALSE)&amp;$BK74,坦克属性分配比例,MATCH("升星次数",坦克属性分配比例标头,0),FALSE)*VLOOKUP($BJ74,$AR$3:$AY$33,MATCH("换弹时间",$AR$3:$AY$3,0),FALSE),1),0)</f>
        <v>9.9</v>
      </c>
      <c r="BX74" s="2">
        <f>ROUND(VLOOKUP($BJ74,$AI$3:$AO$33,MATCH(BX$3,$AI$3:$AO$3,0),FALSE)+$BL74/VLOOKUP(VLOOKUP($BJ74,坦克个性化设定!$B$18:$E$48,4,FALSE)&amp;$BK74,坦克属性分配比例,MATCH("升星次数",坦克属性分配比例标头,0),FALSE)*VLOOKUP($BJ74,$AR$3:$AY$33,MATCH(BX$3,$AR$3:$AY$3,0),FALSE),2)</f>
        <v>0.8</v>
      </c>
      <c r="BY74" s="2">
        <f>ROUND(VLOOKUP($BJ74,$AI$3:$AO$33,MATCH(BY$3,$AI$3:$AO$3,0),FALSE)-$BL74/VLOOKUP(VLOOKUP($BJ74,坦克个性化设定!$B$18:$E$48,4,FALSE)&amp;$BK74,坦克属性分配比例,MATCH("升星次数",坦克属性分配比例标头,0),FALSE)*VLOOKUP($BJ74,$AR$3:$AY$33,MATCH(BY$3,$AR$3:$AY$3,0),FALSE),2)</f>
        <v>0.42</v>
      </c>
    </row>
    <row r="75" spans="27:77" x14ac:dyDescent="0.3">
      <c r="BH75" s="2" t="str">
        <f t="shared" si="24"/>
        <v>M-417</v>
      </c>
      <c r="BI75" s="2">
        <f>IF(BL74&gt;=VLOOKUP(VLOOKUP(BJ74,坦克个性化设定!$B$18:$E$48,4,FALSE)&amp;BK74,坦克属性分配比例,MATCH("升星次数",坦克属性分配比例标头,0),FALSE),BI74+1,BI74)</f>
        <v>8</v>
      </c>
      <c r="BJ75" s="2" t="str">
        <f t="shared" si="25"/>
        <v>M-41</v>
      </c>
      <c r="BK75" s="29" t="str">
        <f>VLOOKUP(BJ75,坦克个性化细分!$I$3:$J$33,2,FALSE)</f>
        <v>中</v>
      </c>
      <c r="BL75" s="2">
        <f t="shared" si="23"/>
        <v>7</v>
      </c>
      <c r="BM75" s="103" t="e">
        <f ca="1">ROUND(VLOOKUP($BJ75&amp;"初始",$S$3:$AE$63,MATCH(BM$3,$S$3:$AE$3,0),FALSE)+((VLOOKUP($BJ75&amp;"最终",$S$3:$AE$63,MATCH(BM$3,$S$3:$AE$3,0),FALSE)*坦克个性化细分!$C$9-VLOOKUP($BJ75&amp;"初始",$S$3:$AE$63,MATCH(BM$3,$S$3:$AE$3,0),FALSE))-(VLOOKUP($BJ75&amp;"最终",$S$3:$AE$63,MATCH(BM$3,$S$3:$AE$3,0),FALSE)-VLOOKUP($BJ75&amp;"初始",$S$3:$AE$63,MATCH(BM$3,$S$3:$AE$3,0),FALSE))*VLOOKUP(VLOOKUP($BJ75,坦克个性化设定!$B$18:$E$48,4,FALSE)&amp;$BK75,坦克属性分配比例,MATCH("部件比例",坦克属性分配比例标头,0),FALSE))*$BL75/VLOOKUP(VLOOKUP($BJ75,坦克个性化设定!$B$18:$E$48,4,FALSE)&amp;$BK75,坦克属性分配比例,MATCH("升星次数",坦克属性分配比例标头,0),FALSE),0)</f>
        <v>#N/A</v>
      </c>
      <c r="BN75" s="103" t="e">
        <f ca="1">ROUND(VLOOKUP($BJ75&amp;"初始",$S$3:$AE$63,MATCH(BN$3,$S$3:$AE$3,0),FALSE)+(VLOOKUP($BJ75&amp;"最终",$S$3:$AE$63,MATCH(BN$3,$S$3:$AE$3,0),FALSE)-VLOOKUP($BJ75&amp;"初始",$S$3:$AE$63,MATCH(BN$3,$S$3:$AE$3,0),FALSE))*$BL75/VLOOKUP(VLOOKUP($BJ75,坦克个性化设定!$B$18:$E$48,4,FALSE)&amp;$BK75,坦克属性分配比例,MATCH("升星次数",坦克属性分配比例标头,0),FALSE)*VLOOKUP(VLOOKUP($BJ75,坦克个性化设定!$B$18:$E$48,4,FALSE)&amp;$BK75,坦克属性分配比例,MATCH("升星比例",坦克属性分配比例标头,0),FALSE),0)</f>
        <v>#N/A</v>
      </c>
      <c r="BO75" s="103" t="e">
        <f ca="1">ROUND(VLOOKUP($BJ75&amp;"初始",$S$3:$AE$63,MATCH(BO$3,$S$3:$AE$3,0),FALSE)+(VLOOKUP($BJ75&amp;"最终",$S$3:$AE$63,MATCH(BO$3,$S$3:$AE$3,0),FALSE)-VLOOKUP($BJ75&amp;"初始",$S$3:$AE$63,MATCH(BO$3,$S$3:$AE$3,0),FALSE))*$BL75/VLOOKUP(VLOOKUP($BJ75,坦克个性化设定!$B$18:$E$48,4,FALSE)&amp;$BK75,坦克属性分配比例,MATCH("升星次数",坦克属性分配比例标头,0),FALSE)*(VLOOKUP(VLOOKUP($BJ75,坦克个性化设定!$B$18:$E$48,4,FALSE)&amp;$BK75,坦克属性分配比例,MATCH("升星比例",坦克属性分配比例标头,0),FALSE)+VLOOKUP(VLOOKUP($BJ75,坦克个性化设定!$B$18:$E$48,4,FALSE)&amp;$BK75,坦克属性分配比例,MATCH("部件比例",坦克属性分配比例标头,0),FALSE)*$C$3),0)</f>
        <v>#N/A</v>
      </c>
      <c r="BP75" s="103" t="e">
        <f ca="1">ROUND(VLOOKUP($BJ75&amp;"初始",$S$3:$AE$63,MATCH(BP$3,$S$3:$AE$3,0),FALSE)+(VLOOKUP($BJ75&amp;"最终",$S$3:$AE$63,MATCH(BP$3,$S$3:$AE$3,0),FALSE)-VLOOKUP($BJ75&amp;"初始",$S$3:$AE$63,MATCH(BP$3,$S$3:$AE$3,0),FALSE))*$BL75/VLOOKUP(VLOOKUP($BJ75,坦克个性化设定!$B$18:$E$48,4,FALSE)&amp;$BK75,坦克属性分配比例,MATCH("升星次数",坦克属性分配比例标头,0),FALSE)*(VLOOKUP(VLOOKUP($BJ75,坦克个性化设定!$B$18:$E$48,4,FALSE)&amp;$BK75,坦克属性分配比例,MATCH("升星比例",坦克属性分配比例标头,0),FALSE)+VLOOKUP(VLOOKUP($BJ75,坦克个性化设定!$B$18:$E$48,4,FALSE)&amp;$BK75,坦克属性分配比例,MATCH("部件比例",坦克属性分配比例标头,0),FALSE)*$C$3),0)</f>
        <v>#N/A</v>
      </c>
      <c r="BQ75" s="103" t="e">
        <f ca="1">ROUND(VLOOKUP($BJ75&amp;"初始",$S$3:$AE$63,MATCH(BQ$3,$S$3:$AE$3,0),FALSE)+(VLOOKUP($BJ75&amp;"最终",$S$3:$AE$63,MATCH(BQ$3,$S$3:$AE$3,0),FALSE)-VLOOKUP($BJ75&amp;"初始",$S$3:$AE$63,MATCH(BQ$3,$S$3:$AE$3,0),FALSE))*$BL75/VLOOKUP(VLOOKUP($BJ75,坦克个性化设定!$B$18:$E$48,4,FALSE)&amp;$BK75,坦克属性分配比例,MATCH("升星次数",坦克属性分配比例标头,0),FALSE)*VLOOKUP(VLOOKUP($BJ75,坦克个性化设定!$B$18:$E$48,4,FALSE)&amp;$BK75,坦克属性分配比例,MATCH("升星比例",坦克属性分配比例标头,0),FALSE),0)</f>
        <v>#N/A</v>
      </c>
      <c r="BR75" s="2" t="e">
        <f ca="1">ROUND(VLOOKUP($BJ75&amp;"初始",$S$3:$AE$63,MATCH(BR$3,$S$3:$AE$3,0),FALSE)+(VLOOKUP($BJ75&amp;"最终",$S$3:$AE$63,MATCH(BR$3,$S$3:$AE$3,0),FALSE)-VLOOKUP($BJ75&amp;"初始",$S$3:$AE$63,MATCH(BR$3,$S$3:$AE$3,0),FALSE))*$BL75/VLOOKUP(VLOOKUP($BJ75,坦克个性化设定!$B$18:$E$48,4,FALSE)&amp;$BK75,坦克属性分配比例,MATCH("升星次数",坦克属性分配比例标头,0),FALSE),0)</f>
        <v>#N/A</v>
      </c>
      <c r="BS75" s="2">
        <f>ROUND(VLOOKUP($BJ75,$AI$3:$AO$33,MATCH(BS$3,$AI$3:$AO$3,0),FALSE)+$BL75/VLOOKUP(VLOOKUP($BJ75,坦克个性化设定!$B$18:$E$48,4,FALSE)&amp;$BK75,坦克属性分配比例,MATCH("升星次数",坦克属性分配比例标头,0),FALSE)*VLOOKUP($BJ75,$AR$3:$AY$33,MATCH(BS$3,$AR$3:$AY$3,0),FALSE),1)</f>
        <v>44.6</v>
      </c>
      <c r="BT75" s="2">
        <f>ROUND(VLOOKUP($BJ75,$AI$3:$AO$33,MATCH(BT$3,$AI$3:$AO$3,0),FALSE)+$BL75/VLOOKUP(VLOOKUP($BJ75,坦克个性化设定!$B$18:$E$48,4,FALSE)&amp;$BK75,坦克属性分配比例,MATCH("升星次数",坦克属性分配比例标头,0),FALSE)*VLOOKUP($BJ75,$AR$3:$AY$33,MATCH(BT$3,$AR$3:$AY$3,0),FALSE),1)</f>
        <v>66.5</v>
      </c>
      <c r="BU75" s="2">
        <f>ROUND(VLOOKUP($BJ75,$AI$3:$AO$33,MATCH(BU$3,$AI$3:$AO$3,0),FALSE)+$BL75/VLOOKUP(VLOOKUP($BJ75,坦克个性化设定!$B$18:$E$48,4,FALSE)&amp;$BK75,坦克属性分配比例,MATCH("升星次数",坦克属性分配比例标头,0),FALSE)*VLOOKUP($BJ75,$AR$3:$AY$33,MATCH(BU$3,$AR$3:$AY$3,0),FALSE),1)</f>
        <v>9.6</v>
      </c>
      <c r="BV75" s="2">
        <f>IF(VLOOKUP(BJ75,坦克个性化设定!$B$18:$BC$48,MATCH("装弹类型",坦克个性化设定!$B$18:$BC$18,0),FALSE)="弹夹换弹",0,ROUND(VLOOKUP($BJ75,$AI$3:$AO$33,MATCH("换弹时间",$AI$3:$AO$3,0),FALSE)-$BL75/VLOOKUP(VLOOKUP($BJ75,坦克个性化设定!$B$18:$E$48,4,FALSE)&amp;$BK75,坦克属性分配比例,MATCH("升星次数",坦克属性分配比例标头,0),FALSE)*VLOOKUP($BJ75,$AR$3:$AY$33,MATCH("换弹时间",$AR$3:$AY$3,0),FALSE),2))</f>
        <v>0</v>
      </c>
      <c r="BW75" s="2">
        <f>IF(VLOOKUP(BJ75,坦克个性化设定!$B$18:$BC$48,MATCH("装弹类型",坦克个性化设定!$B$18:$BC$18,0),FALSE)="弹夹换弹",ROUND(VLOOKUP($BJ75,$AI$3:$AO$33,MATCH("换弹时间",$AI$3:$AO$3,0),FALSE)-$BL75/VLOOKUP(VLOOKUP($BJ75,坦克个性化设定!$B$18:$E$48,4,FALSE)&amp;$BK75,坦克属性分配比例,MATCH("升星次数",坦克属性分配比例标头,0),FALSE)*VLOOKUP($BJ75,$AR$3:$AY$33,MATCH("换弹时间",$AR$3:$AY$3,0),FALSE),1),0)</f>
        <v>9.4</v>
      </c>
      <c r="BX75" s="2">
        <f>ROUND(VLOOKUP($BJ75,$AI$3:$AO$33,MATCH(BX$3,$AI$3:$AO$3,0),FALSE)+$BL75/VLOOKUP(VLOOKUP($BJ75,坦克个性化设定!$B$18:$E$48,4,FALSE)&amp;$BK75,坦克属性分配比例,MATCH("升星次数",坦克属性分配比例标头,0),FALSE)*VLOOKUP($BJ75,$AR$3:$AY$33,MATCH(BX$3,$AR$3:$AY$3,0),FALSE),2)</f>
        <v>0.8</v>
      </c>
      <c r="BY75" s="2">
        <f>ROUND(VLOOKUP($BJ75,$AI$3:$AO$33,MATCH(BY$3,$AI$3:$AO$3,0),FALSE)-$BL75/VLOOKUP(VLOOKUP($BJ75,坦克个性化设定!$B$18:$E$48,4,FALSE)&amp;$BK75,坦克属性分配比例,MATCH("升星次数",坦克属性分配比例标头,0),FALSE)*VLOOKUP($BJ75,$AR$3:$AY$33,MATCH(BY$3,$AR$3:$AY$3,0),FALSE),2)</f>
        <v>0.41</v>
      </c>
    </row>
    <row r="76" spans="27:77" x14ac:dyDescent="0.3">
      <c r="BH76" s="2" t="str">
        <f t="shared" si="24"/>
        <v>M-418</v>
      </c>
      <c r="BI76" s="2">
        <f>IF(BL75&gt;=VLOOKUP(VLOOKUP(BJ75,坦克个性化设定!$B$18:$E$48,4,FALSE)&amp;BK75,坦克属性分配比例,MATCH("升星次数",坦克属性分配比例标头,0),FALSE),BI75+1,BI75)</f>
        <v>8</v>
      </c>
      <c r="BJ76" s="2" t="str">
        <f t="shared" si="25"/>
        <v>M-41</v>
      </c>
      <c r="BK76" s="29" t="str">
        <f>VLOOKUP(BJ76,坦克个性化细分!$I$3:$J$33,2,FALSE)</f>
        <v>中</v>
      </c>
      <c r="BL76" s="2">
        <f t="shared" si="23"/>
        <v>8</v>
      </c>
      <c r="BM76" s="103" t="e">
        <f ca="1">ROUND(VLOOKUP($BJ76&amp;"初始",$S$3:$AE$63,MATCH(BM$3,$S$3:$AE$3,0),FALSE)+((VLOOKUP($BJ76&amp;"最终",$S$3:$AE$63,MATCH(BM$3,$S$3:$AE$3,0),FALSE)*坦克个性化细分!$C$9-VLOOKUP($BJ76&amp;"初始",$S$3:$AE$63,MATCH(BM$3,$S$3:$AE$3,0),FALSE))-(VLOOKUP($BJ76&amp;"最终",$S$3:$AE$63,MATCH(BM$3,$S$3:$AE$3,0),FALSE)-VLOOKUP($BJ76&amp;"初始",$S$3:$AE$63,MATCH(BM$3,$S$3:$AE$3,0),FALSE))*VLOOKUP(VLOOKUP($BJ76,坦克个性化设定!$B$18:$E$48,4,FALSE)&amp;$BK76,坦克属性分配比例,MATCH("部件比例",坦克属性分配比例标头,0),FALSE))*$BL76/VLOOKUP(VLOOKUP($BJ76,坦克个性化设定!$B$18:$E$48,4,FALSE)&amp;$BK76,坦克属性分配比例,MATCH("升星次数",坦克属性分配比例标头,0),FALSE),0)</f>
        <v>#N/A</v>
      </c>
      <c r="BN76" s="103" t="e">
        <f ca="1">ROUND(VLOOKUP($BJ76&amp;"初始",$S$3:$AE$63,MATCH(BN$3,$S$3:$AE$3,0),FALSE)+(VLOOKUP($BJ76&amp;"最终",$S$3:$AE$63,MATCH(BN$3,$S$3:$AE$3,0),FALSE)-VLOOKUP($BJ76&amp;"初始",$S$3:$AE$63,MATCH(BN$3,$S$3:$AE$3,0),FALSE))*$BL76/VLOOKUP(VLOOKUP($BJ76,坦克个性化设定!$B$18:$E$48,4,FALSE)&amp;$BK76,坦克属性分配比例,MATCH("升星次数",坦克属性分配比例标头,0),FALSE)*VLOOKUP(VLOOKUP($BJ76,坦克个性化设定!$B$18:$E$48,4,FALSE)&amp;$BK76,坦克属性分配比例,MATCH("升星比例",坦克属性分配比例标头,0),FALSE),0)</f>
        <v>#N/A</v>
      </c>
      <c r="BO76" s="103" t="e">
        <f ca="1">ROUND(VLOOKUP($BJ76&amp;"初始",$S$3:$AE$63,MATCH(BO$3,$S$3:$AE$3,0),FALSE)+(VLOOKUP($BJ76&amp;"最终",$S$3:$AE$63,MATCH(BO$3,$S$3:$AE$3,0),FALSE)-VLOOKUP($BJ76&amp;"初始",$S$3:$AE$63,MATCH(BO$3,$S$3:$AE$3,0),FALSE))*$BL76/VLOOKUP(VLOOKUP($BJ76,坦克个性化设定!$B$18:$E$48,4,FALSE)&amp;$BK76,坦克属性分配比例,MATCH("升星次数",坦克属性分配比例标头,0),FALSE)*(VLOOKUP(VLOOKUP($BJ76,坦克个性化设定!$B$18:$E$48,4,FALSE)&amp;$BK76,坦克属性分配比例,MATCH("升星比例",坦克属性分配比例标头,0),FALSE)+VLOOKUP(VLOOKUP($BJ76,坦克个性化设定!$B$18:$E$48,4,FALSE)&amp;$BK76,坦克属性分配比例,MATCH("部件比例",坦克属性分配比例标头,0),FALSE)*$C$3),0)</f>
        <v>#N/A</v>
      </c>
      <c r="BP76" s="103" t="e">
        <f ca="1">ROUND(VLOOKUP($BJ76&amp;"初始",$S$3:$AE$63,MATCH(BP$3,$S$3:$AE$3,0),FALSE)+(VLOOKUP($BJ76&amp;"最终",$S$3:$AE$63,MATCH(BP$3,$S$3:$AE$3,0),FALSE)-VLOOKUP($BJ76&amp;"初始",$S$3:$AE$63,MATCH(BP$3,$S$3:$AE$3,0),FALSE))*$BL76/VLOOKUP(VLOOKUP($BJ76,坦克个性化设定!$B$18:$E$48,4,FALSE)&amp;$BK76,坦克属性分配比例,MATCH("升星次数",坦克属性分配比例标头,0),FALSE)*(VLOOKUP(VLOOKUP($BJ76,坦克个性化设定!$B$18:$E$48,4,FALSE)&amp;$BK76,坦克属性分配比例,MATCH("升星比例",坦克属性分配比例标头,0),FALSE)+VLOOKUP(VLOOKUP($BJ76,坦克个性化设定!$B$18:$E$48,4,FALSE)&amp;$BK76,坦克属性分配比例,MATCH("部件比例",坦克属性分配比例标头,0),FALSE)*$C$3),0)</f>
        <v>#N/A</v>
      </c>
      <c r="BQ76" s="103" t="e">
        <f ca="1">ROUND(VLOOKUP($BJ76&amp;"初始",$S$3:$AE$63,MATCH(BQ$3,$S$3:$AE$3,0),FALSE)+(VLOOKUP($BJ76&amp;"最终",$S$3:$AE$63,MATCH(BQ$3,$S$3:$AE$3,0),FALSE)-VLOOKUP($BJ76&amp;"初始",$S$3:$AE$63,MATCH(BQ$3,$S$3:$AE$3,0),FALSE))*$BL76/VLOOKUP(VLOOKUP($BJ76,坦克个性化设定!$B$18:$E$48,4,FALSE)&amp;$BK76,坦克属性分配比例,MATCH("升星次数",坦克属性分配比例标头,0),FALSE)*VLOOKUP(VLOOKUP($BJ76,坦克个性化设定!$B$18:$E$48,4,FALSE)&amp;$BK76,坦克属性分配比例,MATCH("升星比例",坦克属性分配比例标头,0),FALSE),0)</f>
        <v>#N/A</v>
      </c>
      <c r="BR76" s="2" t="e">
        <f ca="1">ROUND(VLOOKUP($BJ76&amp;"初始",$S$3:$AE$63,MATCH(BR$3,$S$3:$AE$3,0),FALSE)+(VLOOKUP($BJ76&amp;"最终",$S$3:$AE$63,MATCH(BR$3,$S$3:$AE$3,0),FALSE)-VLOOKUP($BJ76&amp;"初始",$S$3:$AE$63,MATCH(BR$3,$S$3:$AE$3,0),FALSE))*$BL76/VLOOKUP(VLOOKUP($BJ76,坦克个性化设定!$B$18:$E$48,4,FALSE)&amp;$BK76,坦克属性分配比例,MATCH("升星次数",坦克属性分配比例标头,0),FALSE),0)</f>
        <v>#N/A</v>
      </c>
      <c r="BS76" s="2">
        <f>ROUND(VLOOKUP($BJ76,$AI$3:$AO$33,MATCH(BS$3,$AI$3:$AO$3,0),FALSE)+$BL76/VLOOKUP(VLOOKUP($BJ76,坦克个性化设定!$B$18:$E$48,4,FALSE)&amp;$BK76,坦克属性分配比例,MATCH("升星次数",坦克属性分配比例标头,0),FALSE)*VLOOKUP($BJ76,$AR$3:$AY$33,MATCH(BS$3,$AR$3:$AY$3,0),FALSE),1)</f>
        <v>45.5</v>
      </c>
      <c r="BT76" s="2">
        <f>ROUND(VLOOKUP($BJ76,$AI$3:$AO$33,MATCH(BT$3,$AI$3:$AO$3,0),FALSE)+$BL76/VLOOKUP(VLOOKUP($BJ76,坦克个性化设定!$B$18:$E$48,4,FALSE)&amp;$BK76,坦克属性分配比例,MATCH("升星次数",坦克属性分配比例标头,0),FALSE)*VLOOKUP($BJ76,$AR$3:$AY$33,MATCH(BT$3,$AR$3:$AY$3,0),FALSE),1)</f>
        <v>67.8</v>
      </c>
      <c r="BU76" s="2">
        <f>ROUND(VLOOKUP($BJ76,$AI$3:$AO$33,MATCH(BU$3,$AI$3:$AO$3,0),FALSE)+$BL76/VLOOKUP(VLOOKUP($BJ76,坦克个性化设定!$B$18:$E$48,4,FALSE)&amp;$BK76,坦克属性分配比例,MATCH("升星次数",坦克属性分配比例标头,0),FALSE)*VLOOKUP($BJ76,$AR$3:$AY$33,MATCH(BU$3,$AR$3:$AY$3,0),FALSE),1)</f>
        <v>9.6</v>
      </c>
      <c r="BV76" s="2">
        <f>IF(VLOOKUP(BJ76,坦克个性化设定!$B$18:$BC$48,MATCH("装弹类型",坦克个性化设定!$B$18:$BC$18,0),FALSE)="弹夹换弹",0,ROUND(VLOOKUP($BJ76,$AI$3:$AO$33,MATCH("换弹时间",$AI$3:$AO$3,0),FALSE)-$BL76/VLOOKUP(VLOOKUP($BJ76,坦克个性化设定!$B$18:$E$48,4,FALSE)&amp;$BK76,坦克属性分配比例,MATCH("升星次数",坦克属性分配比例标头,0),FALSE)*VLOOKUP($BJ76,$AR$3:$AY$33,MATCH("换弹时间",$AR$3:$AY$3,0),FALSE),2))</f>
        <v>0</v>
      </c>
      <c r="BW76" s="2">
        <f>IF(VLOOKUP(BJ76,坦克个性化设定!$B$18:$BC$48,MATCH("装弹类型",坦克个性化设定!$B$18:$BC$18,0),FALSE)="弹夹换弹",ROUND(VLOOKUP($BJ76,$AI$3:$AO$33,MATCH("换弹时间",$AI$3:$AO$3,0),FALSE)-$BL76/VLOOKUP(VLOOKUP($BJ76,坦克个性化设定!$B$18:$E$48,4,FALSE)&amp;$BK76,坦克属性分配比例,MATCH("升星次数",坦克属性分配比例标头,0),FALSE)*VLOOKUP($BJ76,$AR$3:$AY$33,MATCH("换弹时间",$AR$3:$AY$3,0),FALSE),1),0)</f>
        <v>9</v>
      </c>
      <c r="BX76" s="2">
        <f>ROUND(VLOOKUP($BJ76,$AI$3:$AO$33,MATCH(BX$3,$AI$3:$AO$3,0),FALSE)+$BL76/VLOOKUP(VLOOKUP($BJ76,坦克个性化设定!$B$18:$E$48,4,FALSE)&amp;$BK76,坦克属性分配比例,MATCH("升星次数",坦克属性分配比例标头,0),FALSE)*VLOOKUP($BJ76,$AR$3:$AY$33,MATCH(BX$3,$AR$3:$AY$3,0),FALSE),2)</f>
        <v>0.8</v>
      </c>
      <c r="BY76" s="2">
        <f>ROUND(VLOOKUP($BJ76,$AI$3:$AO$33,MATCH(BY$3,$AI$3:$AO$3,0),FALSE)-$BL76/VLOOKUP(VLOOKUP($BJ76,坦克个性化设定!$B$18:$E$48,4,FALSE)&amp;$BK76,坦克属性分配比例,MATCH("升星次数",坦克属性分配比例标头,0),FALSE)*VLOOKUP($BJ76,$AR$3:$AY$33,MATCH(BY$3,$AR$3:$AY$3,0),FALSE),2)</f>
        <v>0.4</v>
      </c>
    </row>
    <row r="77" spans="27:77" x14ac:dyDescent="0.3">
      <c r="BH77" s="2" t="str">
        <f t="shared" si="24"/>
        <v>M-419</v>
      </c>
      <c r="BI77" s="2">
        <f>IF(BL76&gt;=VLOOKUP(VLOOKUP(BJ76,坦克个性化设定!$B$18:$E$48,4,FALSE)&amp;BK76,坦克属性分配比例,MATCH("升星次数",坦克属性分配比例标头,0),FALSE),BI76+1,BI76)</f>
        <v>8</v>
      </c>
      <c r="BJ77" s="2" t="str">
        <f t="shared" si="25"/>
        <v>M-41</v>
      </c>
      <c r="BK77" s="29" t="str">
        <f>VLOOKUP(BJ77,坦克个性化细分!$I$3:$J$33,2,FALSE)</f>
        <v>中</v>
      </c>
      <c r="BL77" s="2">
        <f t="shared" si="23"/>
        <v>9</v>
      </c>
      <c r="BM77" s="103" t="e">
        <f ca="1">ROUND(VLOOKUP($BJ77&amp;"初始",$S$3:$AE$63,MATCH(BM$3,$S$3:$AE$3,0),FALSE)+((VLOOKUP($BJ77&amp;"最终",$S$3:$AE$63,MATCH(BM$3,$S$3:$AE$3,0),FALSE)*坦克个性化细分!$C$9-VLOOKUP($BJ77&amp;"初始",$S$3:$AE$63,MATCH(BM$3,$S$3:$AE$3,0),FALSE))-(VLOOKUP($BJ77&amp;"最终",$S$3:$AE$63,MATCH(BM$3,$S$3:$AE$3,0),FALSE)-VLOOKUP($BJ77&amp;"初始",$S$3:$AE$63,MATCH(BM$3,$S$3:$AE$3,0),FALSE))*VLOOKUP(VLOOKUP($BJ77,坦克个性化设定!$B$18:$E$48,4,FALSE)&amp;$BK77,坦克属性分配比例,MATCH("部件比例",坦克属性分配比例标头,0),FALSE))*$BL77/VLOOKUP(VLOOKUP($BJ77,坦克个性化设定!$B$18:$E$48,4,FALSE)&amp;$BK77,坦克属性分配比例,MATCH("升星次数",坦克属性分配比例标头,0),FALSE),0)</f>
        <v>#N/A</v>
      </c>
      <c r="BN77" s="103" t="e">
        <f ca="1">ROUND(VLOOKUP($BJ77&amp;"初始",$S$3:$AE$63,MATCH(BN$3,$S$3:$AE$3,0),FALSE)+(VLOOKUP($BJ77&amp;"最终",$S$3:$AE$63,MATCH(BN$3,$S$3:$AE$3,0),FALSE)-VLOOKUP($BJ77&amp;"初始",$S$3:$AE$63,MATCH(BN$3,$S$3:$AE$3,0),FALSE))*$BL77/VLOOKUP(VLOOKUP($BJ77,坦克个性化设定!$B$18:$E$48,4,FALSE)&amp;$BK77,坦克属性分配比例,MATCH("升星次数",坦克属性分配比例标头,0),FALSE)*VLOOKUP(VLOOKUP($BJ77,坦克个性化设定!$B$18:$E$48,4,FALSE)&amp;$BK77,坦克属性分配比例,MATCH("升星比例",坦克属性分配比例标头,0),FALSE),0)</f>
        <v>#N/A</v>
      </c>
      <c r="BO77" s="103" t="e">
        <f ca="1">ROUND(VLOOKUP($BJ77&amp;"初始",$S$3:$AE$63,MATCH(BO$3,$S$3:$AE$3,0),FALSE)+(VLOOKUP($BJ77&amp;"最终",$S$3:$AE$63,MATCH(BO$3,$S$3:$AE$3,0),FALSE)-VLOOKUP($BJ77&amp;"初始",$S$3:$AE$63,MATCH(BO$3,$S$3:$AE$3,0),FALSE))*$BL77/VLOOKUP(VLOOKUP($BJ77,坦克个性化设定!$B$18:$E$48,4,FALSE)&amp;$BK77,坦克属性分配比例,MATCH("升星次数",坦克属性分配比例标头,0),FALSE)*(VLOOKUP(VLOOKUP($BJ77,坦克个性化设定!$B$18:$E$48,4,FALSE)&amp;$BK77,坦克属性分配比例,MATCH("升星比例",坦克属性分配比例标头,0),FALSE)+VLOOKUP(VLOOKUP($BJ77,坦克个性化设定!$B$18:$E$48,4,FALSE)&amp;$BK77,坦克属性分配比例,MATCH("部件比例",坦克属性分配比例标头,0),FALSE)*$C$3),0)</f>
        <v>#N/A</v>
      </c>
      <c r="BP77" s="103" t="e">
        <f ca="1">ROUND(VLOOKUP($BJ77&amp;"初始",$S$3:$AE$63,MATCH(BP$3,$S$3:$AE$3,0),FALSE)+(VLOOKUP($BJ77&amp;"最终",$S$3:$AE$63,MATCH(BP$3,$S$3:$AE$3,0),FALSE)-VLOOKUP($BJ77&amp;"初始",$S$3:$AE$63,MATCH(BP$3,$S$3:$AE$3,0),FALSE))*$BL77/VLOOKUP(VLOOKUP($BJ77,坦克个性化设定!$B$18:$E$48,4,FALSE)&amp;$BK77,坦克属性分配比例,MATCH("升星次数",坦克属性分配比例标头,0),FALSE)*(VLOOKUP(VLOOKUP($BJ77,坦克个性化设定!$B$18:$E$48,4,FALSE)&amp;$BK77,坦克属性分配比例,MATCH("升星比例",坦克属性分配比例标头,0),FALSE)+VLOOKUP(VLOOKUP($BJ77,坦克个性化设定!$B$18:$E$48,4,FALSE)&amp;$BK77,坦克属性分配比例,MATCH("部件比例",坦克属性分配比例标头,0),FALSE)*$C$3),0)</f>
        <v>#N/A</v>
      </c>
      <c r="BQ77" s="103" t="e">
        <f ca="1">ROUND(VLOOKUP($BJ77&amp;"初始",$S$3:$AE$63,MATCH(BQ$3,$S$3:$AE$3,0),FALSE)+(VLOOKUP($BJ77&amp;"最终",$S$3:$AE$63,MATCH(BQ$3,$S$3:$AE$3,0),FALSE)-VLOOKUP($BJ77&amp;"初始",$S$3:$AE$63,MATCH(BQ$3,$S$3:$AE$3,0),FALSE))*$BL77/VLOOKUP(VLOOKUP($BJ77,坦克个性化设定!$B$18:$E$48,4,FALSE)&amp;$BK77,坦克属性分配比例,MATCH("升星次数",坦克属性分配比例标头,0),FALSE)*VLOOKUP(VLOOKUP($BJ77,坦克个性化设定!$B$18:$E$48,4,FALSE)&amp;$BK77,坦克属性分配比例,MATCH("升星比例",坦克属性分配比例标头,0),FALSE),0)</f>
        <v>#N/A</v>
      </c>
      <c r="BR77" s="2" t="e">
        <f ca="1">ROUND(VLOOKUP($BJ77&amp;"初始",$S$3:$AE$63,MATCH(BR$3,$S$3:$AE$3,0),FALSE)+(VLOOKUP($BJ77&amp;"最终",$S$3:$AE$63,MATCH(BR$3,$S$3:$AE$3,0),FALSE)-VLOOKUP($BJ77&amp;"初始",$S$3:$AE$63,MATCH(BR$3,$S$3:$AE$3,0),FALSE))*$BL77/VLOOKUP(VLOOKUP($BJ77,坦克个性化设定!$B$18:$E$48,4,FALSE)&amp;$BK77,坦克属性分配比例,MATCH("升星次数",坦克属性分配比例标头,0),FALSE),0)</f>
        <v>#N/A</v>
      </c>
      <c r="BS77" s="2">
        <f>ROUND(VLOOKUP($BJ77,$AI$3:$AO$33,MATCH(BS$3,$AI$3:$AO$3,0),FALSE)+$BL77/VLOOKUP(VLOOKUP($BJ77,坦克个性化设定!$B$18:$E$48,4,FALSE)&amp;$BK77,坦克属性分配比例,MATCH("升星次数",坦克属性分配比例标头,0),FALSE)*VLOOKUP($BJ77,$AR$3:$AY$33,MATCH(BS$3,$AR$3:$AY$3,0),FALSE),1)</f>
        <v>46.4</v>
      </c>
      <c r="BT77" s="2">
        <f>ROUND(VLOOKUP($BJ77,$AI$3:$AO$33,MATCH(BT$3,$AI$3:$AO$3,0),FALSE)+$BL77/VLOOKUP(VLOOKUP($BJ77,坦克个性化设定!$B$18:$E$48,4,FALSE)&amp;$BK77,坦克属性分配比例,MATCH("升星次数",坦克属性分配比例标头,0),FALSE)*VLOOKUP($BJ77,$AR$3:$AY$33,MATCH(BT$3,$AR$3:$AY$3,0),FALSE),1)</f>
        <v>69.099999999999994</v>
      </c>
      <c r="BU77" s="2">
        <f>ROUND(VLOOKUP($BJ77,$AI$3:$AO$33,MATCH(BU$3,$AI$3:$AO$3,0),FALSE)+$BL77/VLOOKUP(VLOOKUP($BJ77,坦克个性化设定!$B$18:$E$48,4,FALSE)&amp;$BK77,坦克属性分配比例,MATCH("升星次数",坦克属性分配比例标头,0),FALSE)*VLOOKUP($BJ77,$AR$3:$AY$33,MATCH(BU$3,$AR$3:$AY$3,0),FALSE),1)</f>
        <v>9.6</v>
      </c>
      <c r="BV77" s="2">
        <f>IF(VLOOKUP(BJ77,坦克个性化设定!$B$18:$BC$48,MATCH("装弹类型",坦克个性化设定!$B$18:$BC$18,0),FALSE)="弹夹换弹",0,ROUND(VLOOKUP($BJ77,$AI$3:$AO$33,MATCH("换弹时间",$AI$3:$AO$3,0),FALSE)-$BL77/VLOOKUP(VLOOKUP($BJ77,坦克个性化设定!$B$18:$E$48,4,FALSE)&amp;$BK77,坦克属性分配比例,MATCH("升星次数",坦克属性分配比例标头,0),FALSE)*VLOOKUP($BJ77,$AR$3:$AY$33,MATCH("换弹时间",$AR$3:$AY$3,0),FALSE),2))</f>
        <v>0</v>
      </c>
      <c r="BW77" s="2">
        <f>IF(VLOOKUP(BJ77,坦克个性化设定!$B$18:$BC$48,MATCH("装弹类型",坦克个性化设定!$B$18:$BC$18,0),FALSE)="弹夹换弹",ROUND(VLOOKUP($BJ77,$AI$3:$AO$33,MATCH("换弹时间",$AI$3:$AO$3,0),FALSE)-$BL77/VLOOKUP(VLOOKUP($BJ77,坦克个性化设定!$B$18:$E$48,4,FALSE)&amp;$BK77,坦克属性分配比例,MATCH("升星次数",坦克属性分配比例标头,0),FALSE)*VLOOKUP($BJ77,$AR$3:$AY$33,MATCH("换弹时间",$AR$3:$AY$3,0),FALSE),1),0)</f>
        <v>8.5</v>
      </c>
      <c r="BX77" s="2">
        <f>ROUND(VLOOKUP($BJ77,$AI$3:$AO$33,MATCH(BX$3,$AI$3:$AO$3,0),FALSE)+$BL77/VLOOKUP(VLOOKUP($BJ77,坦克个性化设定!$B$18:$E$48,4,FALSE)&amp;$BK77,坦克属性分配比例,MATCH("升星次数",坦克属性分配比例标头,0),FALSE)*VLOOKUP($BJ77,$AR$3:$AY$33,MATCH(BX$3,$AR$3:$AY$3,0),FALSE),2)</f>
        <v>0.8</v>
      </c>
      <c r="BY77" s="2">
        <f>ROUND(VLOOKUP($BJ77,$AI$3:$AO$33,MATCH(BY$3,$AI$3:$AO$3,0),FALSE)-$BL77/VLOOKUP(VLOOKUP($BJ77,坦克个性化设定!$B$18:$E$48,4,FALSE)&amp;$BK77,坦克属性分配比例,MATCH("升星次数",坦克属性分配比例标头,0),FALSE)*VLOOKUP($BJ77,$AR$3:$AY$33,MATCH(BY$3,$AR$3:$AY$3,0),FALSE),2)</f>
        <v>0.4</v>
      </c>
    </row>
    <row r="78" spans="27:77" x14ac:dyDescent="0.3">
      <c r="BH78" s="2" t="str">
        <f t="shared" si="24"/>
        <v>M-4110</v>
      </c>
      <c r="BI78" s="2">
        <f>IF(BL77&gt;=VLOOKUP(VLOOKUP(BJ77,坦克个性化设定!$B$18:$E$48,4,FALSE)&amp;BK77,坦克属性分配比例,MATCH("升星次数",坦克属性分配比例标头,0),FALSE),BI77+1,BI77)</f>
        <v>8</v>
      </c>
      <c r="BJ78" s="2" t="str">
        <f t="shared" si="25"/>
        <v>M-41</v>
      </c>
      <c r="BK78" s="29" t="str">
        <f>VLOOKUP(BJ78,坦克个性化细分!$I$3:$J$33,2,FALSE)</f>
        <v>中</v>
      </c>
      <c r="BL78" s="2">
        <f t="shared" si="23"/>
        <v>10</v>
      </c>
      <c r="BM78" s="103" t="e">
        <f ca="1">ROUND(VLOOKUP($BJ78&amp;"初始",$S$3:$AE$63,MATCH(BM$3,$S$3:$AE$3,0),FALSE)+((VLOOKUP($BJ78&amp;"最终",$S$3:$AE$63,MATCH(BM$3,$S$3:$AE$3,0),FALSE)*坦克个性化细分!$C$9-VLOOKUP($BJ78&amp;"初始",$S$3:$AE$63,MATCH(BM$3,$S$3:$AE$3,0),FALSE))-(VLOOKUP($BJ78&amp;"最终",$S$3:$AE$63,MATCH(BM$3,$S$3:$AE$3,0),FALSE)-VLOOKUP($BJ78&amp;"初始",$S$3:$AE$63,MATCH(BM$3,$S$3:$AE$3,0),FALSE))*VLOOKUP(VLOOKUP($BJ78,坦克个性化设定!$B$18:$E$48,4,FALSE)&amp;$BK78,坦克属性分配比例,MATCH("部件比例",坦克属性分配比例标头,0),FALSE))*$BL78/VLOOKUP(VLOOKUP($BJ78,坦克个性化设定!$B$18:$E$48,4,FALSE)&amp;$BK78,坦克属性分配比例,MATCH("升星次数",坦克属性分配比例标头,0),FALSE),0)</f>
        <v>#N/A</v>
      </c>
      <c r="BN78" s="103" t="e">
        <f ca="1">ROUND(VLOOKUP($BJ78&amp;"初始",$S$3:$AE$63,MATCH(BN$3,$S$3:$AE$3,0),FALSE)+(VLOOKUP($BJ78&amp;"最终",$S$3:$AE$63,MATCH(BN$3,$S$3:$AE$3,0),FALSE)-VLOOKUP($BJ78&amp;"初始",$S$3:$AE$63,MATCH(BN$3,$S$3:$AE$3,0),FALSE))*$BL78/VLOOKUP(VLOOKUP($BJ78,坦克个性化设定!$B$18:$E$48,4,FALSE)&amp;$BK78,坦克属性分配比例,MATCH("升星次数",坦克属性分配比例标头,0),FALSE)*VLOOKUP(VLOOKUP($BJ78,坦克个性化设定!$B$18:$E$48,4,FALSE)&amp;$BK78,坦克属性分配比例,MATCH("升星比例",坦克属性分配比例标头,0),FALSE),0)</f>
        <v>#N/A</v>
      </c>
      <c r="BO78" s="103" t="e">
        <f ca="1">ROUND(VLOOKUP($BJ78&amp;"初始",$S$3:$AE$63,MATCH(BO$3,$S$3:$AE$3,0),FALSE)+(VLOOKUP($BJ78&amp;"最终",$S$3:$AE$63,MATCH(BO$3,$S$3:$AE$3,0),FALSE)-VLOOKUP($BJ78&amp;"初始",$S$3:$AE$63,MATCH(BO$3,$S$3:$AE$3,0),FALSE))*$BL78/VLOOKUP(VLOOKUP($BJ78,坦克个性化设定!$B$18:$E$48,4,FALSE)&amp;$BK78,坦克属性分配比例,MATCH("升星次数",坦克属性分配比例标头,0),FALSE)*(VLOOKUP(VLOOKUP($BJ78,坦克个性化设定!$B$18:$E$48,4,FALSE)&amp;$BK78,坦克属性分配比例,MATCH("升星比例",坦克属性分配比例标头,0),FALSE)+VLOOKUP(VLOOKUP($BJ78,坦克个性化设定!$B$18:$E$48,4,FALSE)&amp;$BK78,坦克属性分配比例,MATCH("部件比例",坦克属性分配比例标头,0),FALSE)*$C$3),0)</f>
        <v>#N/A</v>
      </c>
      <c r="BP78" s="103" t="e">
        <f ca="1">ROUND(VLOOKUP($BJ78&amp;"初始",$S$3:$AE$63,MATCH(BP$3,$S$3:$AE$3,0),FALSE)+(VLOOKUP($BJ78&amp;"最终",$S$3:$AE$63,MATCH(BP$3,$S$3:$AE$3,0),FALSE)-VLOOKUP($BJ78&amp;"初始",$S$3:$AE$63,MATCH(BP$3,$S$3:$AE$3,0),FALSE))*$BL78/VLOOKUP(VLOOKUP($BJ78,坦克个性化设定!$B$18:$E$48,4,FALSE)&amp;$BK78,坦克属性分配比例,MATCH("升星次数",坦克属性分配比例标头,0),FALSE)*(VLOOKUP(VLOOKUP($BJ78,坦克个性化设定!$B$18:$E$48,4,FALSE)&amp;$BK78,坦克属性分配比例,MATCH("升星比例",坦克属性分配比例标头,0),FALSE)+VLOOKUP(VLOOKUP($BJ78,坦克个性化设定!$B$18:$E$48,4,FALSE)&amp;$BK78,坦克属性分配比例,MATCH("部件比例",坦克属性分配比例标头,0),FALSE)*$C$3),0)</f>
        <v>#N/A</v>
      </c>
      <c r="BQ78" s="103" t="e">
        <f ca="1">ROUND(VLOOKUP($BJ78&amp;"初始",$S$3:$AE$63,MATCH(BQ$3,$S$3:$AE$3,0),FALSE)+(VLOOKUP($BJ78&amp;"最终",$S$3:$AE$63,MATCH(BQ$3,$S$3:$AE$3,0),FALSE)-VLOOKUP($BJ78&amp;"初始",$S$3:$AE$63,MATCH(BQ$3,$S$3:$AE$3,0),FALSE))*$BL78/VLOOKUP(VLOOKUP($BJ78,坦克个性化设定!$B$18:$E$48,4,FALSE)&amp;$BK78,坦克属性分配比例,MATCH("升星次数",坦克属性分配比例标头,0),FALSE)*VLOOKUP(VLOOKUP($BJ78,坦克个性化设定!$B$18:$E$48,4,FALSE)&amp;$BK78,坦克属性分配比例,MATCH("升星比例",坦克属性分配比例标头,0),FALSE),0)</f>
        <v>#N/A</v>
      </c>
      <c r="BR78" s="2" t="e">
        <f ca="1">ROUND(VLOOKUP($BJ78&amp;"初始",$S$3:$AE$63,MATCH(BR$3,$S$3:$AE$3,0),FALSE)+(VLOOKUP($BJ78&amp;"最终",$S$3:$AE$63,MATCH(BR$3,$S$3:$AE$3,0),FALSE)-VLOOKUP($BJ78&amp;"初始",$S$3:$AE$63,MATCH(BR$3,$S$3:$AE$3,0),FALSE))*$BL78/VLOOKUP(VLOOKUP($BJ78,坦克个性化设定!$B$18:$E$48,4,FALSE)&amp;$BK78,坦克属性分配比例,MATCH("升星次数",坦克属性分配比例标头,0),FALSE),0)</f>
        <v>#N/A</v>
      </c>
      <c r="BS78" s="2">
        <f>ROUND(VLOOKUP($BJ78,$AI$3:$AO$33,MATCH(BS$3,$AI$3:$AO$3,0),FALSE)+$BL78/VLOOKUP(VLOOKUP($BJ78,坦克个性化设定!$B$18:$E$48,4,FALSE)&amp;$BK78,坦克属性分配比例,MATCH("升星次数",坦克属性分配比例标头,0),FALSE)*VLOOKUP($BJ78,$AR$3:$AY$33,MATCH(BS$3,$AR$3:$AY$3,0),FALSE),1)</f>
        <v>47.3</v>
      </c>
      <c r="BT78" s="2">
        <f>ROUND(VLOOKUP($BJ78,$AI$3:$AO$33,MATCH(BT$3,$AI$3:$AO$3,0),FALSE)+$BL78/VLOOKUP(VLOOKUP($BJ78,坦克个性化设定!$B$18:$E$48,4,FALSE)&amp;$BK78,坦克属性分配比例,MATCH("升星次数",坦克属性分配比例标头,0),FALSE)*VLOOKUP($BJ78,$AR$3:$AY$33,MATCH(BT$3,$AR$3:$AY$3,0),FALSE),1)</f>
        <v>70.400000000000006</v>
      </c>
      <c r="BU78" s="2">
        <f>ROUND(VLOOKUP($BJ78,$AI$3:$AO$33,MATCH(BU$3,$AI$3:$AO$3,0),FALSE)+$BL78/VLOOKUP(VLOOKUP($BJ78,坦克个性化设定!$B$18:$E$48,4,FALSE)&amp;$BK78,坦克属性分配比例,MATCH("升星次数",坦克属性分配比例标头,0),FALSE)*VLOOKUP($BJ78,$AR$3:$AY$33,MATCH(BU$3,$AR$3:$AY$3,0),FALSE),1)</f>
        <v>9.6</v>
      </c>
      <c r="BV78" s="2">
        <f>IF(VLOOKUP(BJ78,坦克个性化设定!$B$18:$BC$48,MATCH("装弹类型",坦克个性化设定!$B$18:$BC$18,0),FALSE)="弹夹换弹",0,ROUND(VLOOKUP($BJ78,$AI$3:$AO$33,MATCH("换弹时间",$AI$3:$AO$3,0),FALSE)-$BL78/VLOOKUP(VLOOKUP($BJ78,坦克个性化设定!$B$18:$E$48,4,FALSE)&amp;$BK78,坦克属性分配比例,MATCH("升星次数",坦克属性分配比例标头,0),FALSE)*VLOOKUP($BJ78,$AR$3:$AY$33,MATCH("换弹时间",$AR$3:$AY$3,0),FALSE),2))</f>
        <v>0</v>
      </c>
      <c r="BW78" s="2">
        <f>IF(VLOOKUP(BJ78,坦克个性化设定!$B$18:$BC$48,MATCH("装弹类型",坦克个性化设定!$B$18:$BC$18,0),FALSE)="弹夹换弹",ROUND(VLOOKUP($BJ78,$AI$3:$AO$33,MATCH("换弹时间",$AI$3:$AO$3,0),FALSE)-$BL78/VLOOKUP(VLOOKUP($BJ78,坦克个性化设定!$B$18:$E$48,4,FALSE)&amp;$BK78,坦克属性分配比例,MATCH("升星次数",坦克属性分配比例标头,0),FALSE)*VLOOKUP($BJ78,$AR$3:$AY$33,MATCH("换弹时间",$AR$3:$AY$3,0),FALSE),1),0)</f>
        <v>8.1</v>
      </c>
      <c r="BX78" s="2">
        <f>ROUND(VLOOKUP($BJ78,$AI$3:$AO$33,MATCH(BX$3,$AI$3:$AO$3,0),FALSE)+$BL78/VLOOKUP(VLOOKUP($BJ78,坦克个性化设定!$B$18:$E$48,4,FALSE)&amp;$BK78,坦克属性分配比例,MATCH("升星次数",坦克属性分配比例标头,0),FALSE)*VLOOKUP($BJ78,$AR$3:$AY$33,MATCH(BX$3,$AR$3:$AY$3,0),FALSE),2)</f>
        <v>0.8</v>
      </c>
      <c r="BY78" s="2">
        <f>ROUND(VLOOKUP($BJ78,$AI$3:$AO$33,MATCH(BY$3,$AI$3:$AO$3,0),FALSE)-$BL78/VLOOKUP(VLOOKUP($BJ78,坦克个性化设定!$B$18:$E$48,4,FALSE)&amp;$BK78,坦克属性分配比例,MATCH("升星次数",坦克属性分配比例标头,0),FALSE)*VLOOKUP($BJ78,$AR$3:$AY$33,MATCH(BY$3,$AR$3:$AY$3,0),FALSE),2)</f>
        <v>0.39</v>
      </c>
    </row>
    <row r="79" spans="27:77" x14ac:dyDescent="0.3">
      <c r="BH79" s="2" t="str">
        <f t="shared" si="24"/>
        <v>M-4111</v>
      </c>
      <c r="BI79" s="2">
        <f>IF(BL78&gt;=VLOOKUP(VLOOKUP(BJ78,坦克个性化设定!$B$18:$E$48,4,FALSE)&amp;BK78,坦克属性分配比例,MATCH("升星次数",坦克属性分配比例标头,0),FALSE),BI78+1,BI78)</f>
        <v>8</v>
      </c>
      <c r="BJ79" s="2" t="str">
        <f t="shared" si="25"/>
        <v>M-41</v>
      </c>
      <c r="BK79" s="29" t="str">
        <f>VLOOKUP(BJ79,坦克个性化细分!$I$3:$J$33,2,FALSE)</f>
        <v>中</v>
      </c>
      <c r="BL79" s="2">
        <f t="shared" si="23"/>
        <v>11</v>
      </c>
      <c r="BM79" s="103" t="e">
        <f ca="1">ROUND(VLOOKUP($BJ79&amp;"初始",$S$3:$AE$63,MATCH(BM$3,$S$3:$AE$3,0),FALSE)+((VLOOKUP($BJ79&amp;"最终",$S$3:$AE$63,MATCH(BM$3,$S$3:$AE$3,0),FALSE)*坦克个性化细分!$C$9-VLOOKUP($BJ79&amp;"初始",$S$3:$AE$63,MATCH(BM$3,$S$3:$AE$3,0),FALSE))-(VLOOKUP($BJ79&amp;"最终",$S$3:$AE$63,MATCH(BM$3,$S$3:$AE$3,0),FALSE)-VLOOKUP($BJ79&amp;"初始",$S$3:$AE$63,MATCH(BM$3,$S$3:$AE$3,0),FALSE))*VLOOKUP(VLOOKUP($BJ79,坦克个性化设定!$B$18:$E$48,4,FALSE)&amp;$BK79,坦克属性分配比例,MATCH("部件比例",坦克属性分配比例标头,0),FALSE))*$BL79/VLOOKUP(VLOOKUP($BJ79,坦克个性化设定!$B$18:$E$48,4,FALSE)&amp;$BK79,坦克属性分配比例,MATCH("升星次数",坦克属性分配比例标头,0),FALSE),0)</f>
        <v>#N/A</v>
      </c>
      <c r="BN79" s="103" t="e">
        <f ca="1">ROUND(VLOOKUP($BJ79&amp;"初始",$S$3:$AE$63,MATCH(BN$3,$S$3:$AE$3,0),FALSE)+(VLOOKUP($BJ79&amp;"最终",$S$3:$AE$63,MATCH(BN$3,$S$3:$AE$3,0),FALSE)-VLOOKUP($BJ79&amp;"初始",$S$3:$AE$63,MATCH(BN$3,$S$3:$AE$3,0),FALSE))*$BL79/VLOOKUP(VLOOKUP($BJ79,坦克个性化设定!$B$18:$E$48,4,FALSE)&amp;$BK79,坦克属性分配比例,MATCH("升星次数",坦克属性分配比例标头,0),FALSE)*VLOOKUP(VLOOKUP($BJ79,坦克个性化设定!$B$18:$E$48,4,FALSE)&amp;$BK79,坦克属性分配比例,MATCH("升星比例",坦克属性分配比例标头,0),FALSE),0)</f>
        <v>#N/A</v>
      </c>
      <c r="BO79" s="103" t="e">
        <f ca="1">ROUND(VLOOKUP($BJ79&amp;"初始",$S$3:$AE$63,MATCH(BO$3,$S$3:$AE$3,0),FALSE)+(VLOOKUP($BJ79&amp;"最终",$S$3:$AE$63,MATCH(BO$3,$S$3:$AE$3,0),FALSE)-VLOOKUP($BJ79&amp;"初始",$S$3:$AE$63,MATCH(BO$3,$S$3:$AE$3,0),FALSE))*$BL79/VLOOKUP(VLOOKUP($BJ79,坦克个性化设定!$B$18:$E$48,4,FALSE)&amp;$BK79,坦克属性分配比例,MATCH("升星次数",坦克属性分配比例标头,0),FALSE)*(VLOOKUP(VLOOKUP($BJ79,坦克个性化设定!$B$18:$E$48,4,FALSE)&amp;$BK79,坦克属性分配比例,MATCH("升星比例",坦克属性分配比例标头,0),FALSE)+VLOOKUP(VLOOKUP($BJ79,坦克个性化设定!$B$18:$E$48,4,FALSE)&amp;$BK79,坦克属性分配比例,MATCH("部件比例",坦克属性分配比例标头,0),FALSE)*$C$3),0)</f>
        <v>#N/A</v>
      </c>
      <c r="BP79" s="103" t="e">
        <f ca="1">ROUND(VLOOKUP($BJ79&amp;"初始",$S$3:$AE$63,MATCH(BP$3,$S$3:$AE$3,0),FALSE)+(VLOOKUP($BJ79&amp;"最终",$S$3:$AE$63,MATCH(BP$3,$S$3:$AE$3,0),FALSE)-VLOOKUP($BJ79&amp;"初始",$S$3:$AE$63,MATCH(BP$3,$S$3:$AE$3,0),FALSE))*$BL79/VLOOKUP(VLOOKUP($BJ79,坦克个性化设定!$B$18:$E$48,4,FALSE)&amp;$BK79,坦克属性分配比例,MATCH("升星次数",坦克属性分配比例标头,0),FALSE)*(VLOOKUP(VLOOKUP($BJ79,坦克个性化设定!$B$18:$E$48,4,FALSE)&amp;$BK79,坦克属性分配比例,MATCH("升星比例",坦克属性分配比例标头,0),FALSE)+VLOOKUP(VLOOKUP($BJ79,坦克个性化设定!$B$18:$E$48,4,FALSE)&amp;$BK79,坦克属性分配比例,MATCH("部件比例",坦克属性分配比例标头,0),FALSE)*$C$3),0)</f>
        <v>#N/A</v>
      </c>
      <c r="BQ79" s="103" t="e">
        <f ca="1">ROUND(VLOOKUP($BJ79&amp;"初始",$S$3:$AE$63,MATCH(BQ$3,$S$3:$AE$3,0),FALSE)+(VLOOKUP($BJ79&amp;"最终",$S$3:$AE$63,MATCH(BQ$3,$S$3:$AE$3,0),FALSE)-VLOOKUP($BJ79&amp;"初始",$S$3:$AE$63,MATCH(BQ$3,$S$3:$AE$3,0),FALSE))*$BL79/VLOOKUP(VLOOKUP($BJ79,坦克个性化设定!$B$18:$E$48,4,FALSE)&amp;$BK79,坦克属性分配比例,MATCH("升星次数",坦克属性分配比例标头,0),FALSE)*VLOOKUP(VLOOKUP($BJ79,坦克个性化设定!$B$18:$E$48,4,FALSE)&amp;$BK79,坦克属性分配比例,MATCH("升星比例",坦克属性分配比例标头,0),FALSE),0)</f>
        <v>#N/A</v>
      </c>
      <c r="BR79" s="2" t="e">
        <f ca="1">ROUND(VLOOKUP($BJ79&amp;"初始",$S$3:$AE$63,MATCH(BR$3,$S$3:$AE$3,0),FALSE)+(VLOOKUP($BJ79&amp;"最终",$S$3:$AE$63,MATCH(BR$3,$S$3:$AE$3,0),FALSE)-VLOOKUP($BJ79&amp;"初始",$S$3:$AE$63,MATCH(BR$3,$S$3:$AE$3,0),FALSE))*$BL79/VLOOKUP(VLOOKUP($BJ79,坦克个性化设定!$B$18:$E$48,4,FALSE)&amp;$BK79,坦克属性分配比例,MATCH("升星次数",坦克属性分配比例标头,0),FALSE),0)</f>
        <v>#N/A</v>
      </c>
      <c r="BS79" s="2">
        <f>ROUND(VLOOKUP($BJ79,$AI$3:$AO$33,MATCH(BS$3,$AI$3:$AO$3,0),FALSE)+$BL79/VLOOKUP(VLOOKUP($BJ79,坦克个性化设定!$B$18:$E$48,4,FALSE)&amp;$BK79,坦克属性分配比例,MATCH("升星次数",坦克属性分配比例标头,0),FALSE)*VLOOKUP($BJ79,$AR$3:$AY$33,MATCH(BS$3,$AR$3:$AY$3,0),FALSE),1)</f>
        <v>48.1</v>
      </c>
      <c r="BT79" s="2">
        <f>ROUND(VLOOKUP($BJ79,$AI$3:$AO$33,MATCH(BT$3,$AI$3:$AO$3,0),FALSE)+$BL79/VLOOKUP(VLOOKUP($BJ79,坦克个性化设定!$B$18:$E$48,4,FALSE)&amp;$BK79,坦克属性分配比例,MATCH("升星次数",坦克属性分配比例标头,0),FALSE)*VLOOKUP($BJ79,$AR$3:$AY$33,MATCH(BT$3,$AR$3:$AY$3,0),FALSE),1)</f>
        <v>71.8</v>
      </c>
      <c r="BU79" s="2">
        <f>ROUND(VLOOKUP($BJ79,$AI$3:$AO$33,MATCH(BU$3,$AI$3:$AO$3,0),FALSE)+$BL79/VLOOKUP(VLOOKUP($BJ79,坦克个性化设定!$B$18:$E$48,4,FALSE)&amp;$BK79,坦克属性分配比例,MATCH("升星次数",坦克属性分配比例标头,0),FALSE)*VLOOKUP($BJ79,$AR$3:$AY$33,MATCH(BU$3,$AR$3:$AY$3,0),FALSE),1)</f>
        <v>9.6</v>
      </c>
      <c r="BV79" s="2">
        <f>IF(VLOOKUP(BJ79,坦克个性化设定!$B$18:$BC$48,MATCH("装弹类型",坦克个性化设定!$B$18:$BC$18,0),FALSE)="弹夹换弹",0,ROUND(VLOOKUP($BJ79,$AI$3:$AO$33,MATCH("换弹时间",$AI$3:$AO$3,0),FALSE)-$BL79/VLOOKUP(VLOOKUP($BJ79,坦克个性化设定!$B$18:$E$48,4,FALSE)&amp;$BK79,坦克属性分配比例,MATCH("升星次数",坦克属性分配比例标头,0),FALSE)*VLOOKUP($BJ79,$AR$3:$AY$33,MATCH("换弹时间",$AR$3:$AY$3,0),FALSE),2))</f>
        <v>0</v>
      </c>
      <c r="BW79" s="2">
        <f>IF(VLOOKUP(BJ79,坦克个性化设定!$B$18:$BC$48,MATCH("装弹类型",坦克个性化设定!$B$18:$BC$18,0),FALSE)="弹夹换弹",ROUND(VLOOKUP($BJ79,$AI$3:$AO$33,MATCH("换弹时间",$AI$3:$AO$3,0),FALSE)-$BL79/VLOOKUP(VLOOKUP($BJ79,坦克个性化设定!$B$18:$E$48,4,FALSE)&amp;$BK79,坦克属性分配比例,MATCH("升星次数",坦克属性分配比例标头,0),FALSE)*VLOOKUP($BJ79,$AR$3:$AY$33,MATCH("换弹时间",$AR$3:$AY$3,0),FALSE),1),0)</f>
        <v>7.6</v>
      </c>
      <c r="BX79" s="2">
        <f>ROUND(VLOOKUP($BJ79,$AI$3:$AO$33,MATCH(BX$3,$AI$3:$AO$3,0),FALSE)+$BL79/VLOOKUP(VLOOKUP($BJ79,坦克个性化设定!$B$18:$E$48,4,FALSE)&amp;$BK79,坦克属性分配比例,MATCH("升星次数",坦克属性分配比例标头,0),FALSE)*VLOOKUP($BJ79,$AR$3:$AY$33,MATCH(BX$3,$AR$3:$AY$3,0),FALSE),2)</f>
        <v>0.8</v>
      </c>
      <c r="BY79" s="2">
        <f>ROUND(VLOOKUP($BJ79,$AI$3:$AO$33,MATCH(BY$3,$AI$3:$AO$3,0),FALSE)-$BL79/VLOOKUP(VLOOKUP($BJ79,坦克个性化设定!$B$18:$E$48,4,FALSE)&amp;$BK79,坦克属性分配比例,MATCH("升星次数",坦克属性分配比例标头,0),FALSE)*VLOOKUP($BJ79,$AR$3:$AY$33,MATCH(BY$3,$AR$3:$AY$3,0),FALSE),2)</f>
        <v>0.38</v>
      </c>
    </row>
    <row r="80" spans="27:77" x14ac:dyDescent="0.3">
      <c r="BH80" s="2" t="str">
        <f t="shared" si="24"/>
        <v>BMP-30</v>
      </c>
      <c r="BI80" s="2">
        <f>IF(BL79&gt;=VLOOKUP(VLOOKUP(BJ79,坦克个性化设定!$B$18:$E$48,4,FALSE)&amp;BK79,坦克属性分配比例,MATCH("升星次数",坦克属性分配比例标头,0),FALSE),BI79+1,BI79)</f>
        <v>9</v>
      </c>
      <c r="BJ80" s="2" t="str">
        <f t="shared" si="25"/>
        <v>BMP-3</v>
      </c>
      <c r="BK80" s="29" t="str">
        <f>VLOOKUP(BJ80,坦克个性化细分!$I$3:$J$33,2,FALSE)</f>
        <v>高</v>
      </c>
      <c r="BL80" s="2">
        <f t="shared" si="23"/>
        <v>0</v>
      </c>
      <c r="BM80" s="103" t="e">
        <f ca="1">ROUND(VLOOKUP($BJ80&amp;"初始",$S$3:$AE$63,MATCH(BM$3,$S$3:$AE$3,0),FALSE)+((VLOOKUP($BJ80&amp;"最终",$S$3:$AE$63,MATCH(BM$3,$S$3:$AE$3,0),FALSE)*坦克个性化细分!$C$9-VLOOKUP($BJ80&amp;"初始",$S$3:$AE$63,MATCH(BM$3,$S$3:$AE$3,0),FALSE))-(VLOOKUP($BJ80&amp;"最终",$S$3:$AE$63,MATCH(BM$3,$S$3:$AE$3,0),FALSE)-VLOOKUP($BJ80&amp;"初始",$S$3:$AE$63,MATCH(BM$3,$S$3:$AE$3,0),FALSE))*VLOOKUP(VLOOKUP($BJ80,坦克个性化设定!$B$18:$E$48,4,FALSE)&amp;$BK80,坦克属性分配比例,MATCH("部件比例",坦克属性分配比例标头,0),FALSE))*$BL80/VLOOKUP(VLOOKUP($BJ80,坦克个性化设定!$B$18:$E$48,4,FALSE)&amp;$BK80,坦克属性分配比例,MATCH("升星次数",坦克属性分配比例标头,0),FALSE),0)</f>
        <v>#N/A</v>
      </c>
      <c r="BN80" s="103" t="e">
        <f ca="1">ROUND(VLOOKUP($BJ80&amp;"初始",$S$3:$AE$63,MATCH(BN$3,$S$3:$AE$3,0),FALSE)+(VLOOKUP($BJ80&amp;"最终",$S$3:$AE$63,MATCH(BN$3,$S$3:$AE$3,0),FALSE)-VLOOKUP($BJ80&amp;"初始",$S$3:$AE$63,MATCH(BN$3,$S$3:$AE$3,0),FALSE))*$BL80/VLOOKUP(VLOOKUP($BJ80,坦克个性化设定!$B$18:$E$48,4,FALSE)&amp;$BK80,坦克属性分配比例,MATCH("升星次数",坦克属性分配比例标头,0),FALSE)*VLOOKUP(VLOOKUP($BJ80,坦克个性化设定!$B$18:$E$48,4,FALSE)&amp;$BK80,坦克属性分配比例,MATCH("升星比例",坦克属性分配比例标头,0),FALSE),0)</f>
        <v>#N/A</v>
      </c>
      <c r="BO80" s="103" t="e">
        <f ca="1">ROUND(VLOOKUP($BJ80&amp;"初始",$S$3:$AE$63,MATCH(BO$3,$S$3:$AE$3,0),FALSE)+(VLOOKUP($BJ80&amp;"最终",$S$3:$AE$63,MATCH(BO$3,$S$3:$AE$3,0),FALSE)-VLOOKUP($BJ80&amp;"初始",$S$3:$AE$63,MATCH(BO$3,$S$3:$AE$3,0),FALSE))*$BL80/VLOOKUP(VLOOKUP($BJ80,坦克个性化设定!$B$18:$E$48,4,FALSE)&amp;$BK80,坦克属性分配比例,MATCH("升星次数",坦克属性分配比例标头,0),FALSE)*(VLOOKUP(VLOOKUP($BJ80,坦克个性化设定!$B$18:$E$48,4,FALSE)&amp;$BK80,坦克属性分配比例,MATCH("升星比例",坦克属性分配比例标头,0),FALSE)+VLOOKUP(VLOOKUP($BJ80,坦克个性化设定!$B$18:$E$48,4,FALSE)&amp;$BK80,坦克属性分配比例,MATCH("部件比例",坦克属性分配比例标头,0),FALSE)*$C$3),0)</f>
        <v>#N/A</v>
      </c>
      <c r="BP80" s="103" t="e">
        <f ca="1">ROUND(VLOOKUP($BJ80&amp;"初始",$S$3:$AE$63,MATCH(BP$3,$S$3:$AE$3,0),FALSE)+(VLOOKUP($BJ80&amp;"最终",$S$3:$AE$63,MATCH(BP$3,$S$3:$AE$3,0),FALSE)-VLOOKUP($BJ80&amp;"初始",$S$3:$AE$63,MATCH(BP$3,$S$3:$AE$3,0),FALSE))*$BL80/VLOOKUP(VLOOKUP($BJ80,坦克个性化设定!$B$18:$E$48,4,FALSE)&amp;$BK80,坦克属性分配比例,MATCH("升星次数",坦克属性分配比例标头,0),FALSE)*(VLOOKUP(VLOOKUP($BJ80,坦克个性化设定!$B$18:$E$48,4,FALSE)&amp;$BK80,坦克属性分配比例,MATCH("升星比例",坦克属性分配比例标头,0),FALSE)+VLOOKUP(VLOOKUP($BJ80,坦克个性化设定!$B$18:$E$48,4,FALSE)&amp;$BK80,坦克属性分配比例,MATCH("部件比例",坦克属性分配比例标头,0),FALSE)*$C$3),0)</f>
        <v>#N/A</v>
      </c>
      <c r="BQ80" s="103" t="e">
        <f ca="1">ROUND(VLOOKUP($BJ80&amp;"初始",$S$3:$AE$63,MATCH(BQ$3,$S$3:$AE$3,0),FALSE)+(VLOOKUP($BJ80&amp;"最终",$S$3:$AE$63,MATCH(BQ$3,$S$3:$AE$3,0),FALSE)-VLOOKUP($BJ80&amp;"初始",$S$3:$AE$63,MATCH(BQ$3,$S$3:$AE$3,0),FALSE))*$BL80/VLOOKUP(VLOOKUP($BJ80,坦克个性化设定!$B$18:$E$48,4,FALSE)&amp;$BK80,坦克属性分配比例,MATCH("升星次数",坦克属性分配比例标头,0),FALSE)*VLOOKUP(VLOOKUP($BJ80,坦克个性化设定!$B$18:$E$48,4,FALSE)&amp;$BK80,坦克属性分配比例,MATCH("升星比例",坦克属性分配比例标头,0),FALSE),0)</f>
        <v>#N/A</v>
      </c>
      <c r="BR80" s="2" t="e">
        <f ca="1">ROUND(VLOOKUP($BJ80&amp;"初始",$S$3:$AE$63,MATCH(BR$3,$S$3:$AE$3,0),FALSE)+(VLOOKUP($BJ80&amp;"最终",$S$3:$AE$63,MATCH(BR$3,$S$3:$AE$3,0),FALSE)-VLOOKUP($BJ80&amp;"初始",$S$3:$AE$63,MATCH(BR$3,$S$3:$AE$3,0),FALSE))*$BL80/VLOOKUP(VLOOKUP($BJ80,坦克个性化设定!$B$18:$E$48,4,FALSE)&amp;$BK80,坦克属性分配比例,MATCH("升星次数",坦克属性分配比例标头,0),FALSE),0)</f>
        <v>#N/A</v>
      </c>
      <c r="BS80" s="2">
        <f>ROUND(VLOOKUP($BJ80,$AI$3:$AO$33,MATCH(BS$3,$AI$3:$AO$3,0),FALSE)+$BL80/VLOOKUP(VLOOKUP($BJ80,坦克个性化设定!$B$18:$E$48,4,FALSE)&amp;$BK80,坦克属性分配比例,MATCH("升星次数",坦克属性分配比例标头,0),FALSE)*VLOOKUP($BJ80,$AR$3:$AY$33,MATCH(BS$3,$AR$3:$AY$3,0),FALSE),1)</f>
        <v>44.5</v>
      </c>
      <c r="BT80" s="2">
        <f>ROUND(VLOOKUP($BJ80,$AI$3:$AO$33,MATCH(BT$3,$AI$3:$AO$3,0),FALSE)+$BL80/VLOOKUP(VLOOKUP($BJ80,坦克个性化设定!$B$18:$E$48,4,FALSE)&amp;$BK80,坦克属性分配比例,MATCH("升星次数",坦克属性分配比例标头,0),FALSE)*VLOOKUP($BJ80,$AR$3:$AY$33,MATCH(BT$3,$AR$3:$AY$3,0),FALSE),1)</f>
        <v>52.5</v>
      </c>
      <c r="BU80" s="2">
        <f>ROUND(VLOOKUP($BJ80,$AI$3:$AO$33,MATCH(BU$3,$AI$3:$AO$3,0),FALSE)+$BL80/VLOOKUP(VLOOKUP($BJ80,坦克个性化设定!$B$18:$E$48,4,FALSE)&amp;$BK80,坦克属性分配比例,MATCH("升星次数",坦克属性分配比例标头,0),FALSE)*VLOOKUP($BJ80,$AR$3:$AY$33,MATCH(BU$3,$AR$3:$AY$3,0),FALSE),1)</f>
        <v>10.5</v>
      </c>
      <c r="BV80" s="2">
        <f>IF(VLOOKUP(BJ80,坦克个性化设定!$B$18:$BC$48,MATCH("装弹类型",坦克个性化设定!$B$18:$BC$18,0),FALSE)="弹夹换弹",0,ROUND(VLOOKUP($BJ80,$AI$3:$AO$33,MATCH("换弹时间",$AI$3:$AO$3,0),FALSE)-$BL80/VLOOKUP(VLOOKUP($BJ80,坦克个性化设定!$B$18:$E$48,4,FALSE)&amp;$BK80,坦克属性分配比例,MATCH("升星次数",坦克属性分配比例标头,0),FALSE)*VLOOKUP($BJ80,$AR$3:$AY$33,MATCH("换弹时间",$AR$3:$AY$3,0),FALSE),2))</f>
        <v>0</v>
      </c>
      <c r="BW80" s="2">
        <f>IF(VLOOKUP(BJ80,坦克个性化设定!$B$18:$BC$48,MATCH("装弹类型",坦克个性化设定!$B$18:$BC$18,0),FALSE)="弹夹换弹",ROUND(VLOOKUP($BJ80,$AI$3:$AO$33,MATCH("换弹时间",$AI$3:$AO$3,0),FALSE)-$BL80/VLOOKUP(VLOOKUP($BJ80,坦克个性化设定!$B$18:$E$48,4,FALSE)&amp;$BK80,坦克属性分配比例,MATCH("升星次数",坦克属性分配比例标头,0),FALSE)*VLOOKUP($BJ80,$AR$3:$AY$33,MATCH("换弹时间",$AR$3:$AY$3,0),FALSE),1),0)</f>
        <v>6.3</v>
      </c>
      <c r="BX80" s="2">
        <f>ROUND(VLOOKUP($BJ80,$AI$3:$AO$33,MATCH(BX$3,$AI$3:$AO$3,0),FALSE)+$BL80/VLOOKUP(VLOOKUP($BJ80,坦克个性化设定!$B$18:$E$48,4,FALSE)&amp;$BK80,坦克属性分配比例,MATCH("升星次数",坦克属性分配比例标头,0),FALSE)*VLOOKUP($BJ80,$AR$3:$AY$33,MATCH(BX$3,$AR$3:$AY$3,0),FALSE),2)</f>
        <v>0.8</v>
      </c>
      <c r="BY80" s="2">
        <f>ROUND(VLOOKUP($BJ80,$AI$3:$AO$33,MATCH(BY$3,$AI$3:$AO$3,0),FALSE)-$BL80/VLOOKUP(VLOOKUP($BJ80,坦克个性化设定!$B$18:$E$48,4,FALSE)&amp;$BK80,坦克属性分配比例,MATCH("升星次数",坦克属性分配比例标头,0),FALSE)*VLOOKUP($BJ80,$AR$3:$AY$33,MATCH(BY$3,$AR$3:$AY$3,0),FALSE),2)</f>
        <v>0.52</v>
      </c>
    </row>
    <row r="81" spans="60:77" x14ac:dyDescent="0.3">
      <c r="BH81" s="2" t="str">
        <f t="shared" si="24"/>
        <v>BMP-31</v>
      </c>
      <c r="BI81" s="2">
        <f>IF(BL80&gt;=VLOOKUP(VLOOKUP(BJ80,坦克个性化设定!$B$18:$E$48,4,FALSE)&amp;BK80,坦克属性分配比例,MATCH("升星次数",坦克属性分配比例标头,0),FALSE),BI80+1,BI80)</f>
        <v>9</v>
      </c>
      <c r="BJ81" s="2" t="str">
        <f t="shared" si="25"/>
        <v>BMP-3</v>
      </c>
      <c r="BK81" s="29" t="str">
        <f>VLOOKUP(BJ81,坦克个性化细分!$I$3:$J$33,2,FALSE)</f>
        <v>高</v>
      </c>
      <c r="BL81" s="2">
        <f t="shared" si="23"/>
        <v>1</v>
      </c>
      <c r="BM81" s="103" t="e">
        <f ca="1">ROUND(VLOOKUP($BJ81&amp;"初始",$S$3:$AE$63,MATCH(BM$3,$S$3:$AE$3,0),FALSE)+((VLOOKUP($BJ81&amp;"最终",$S$3:$AE$63,MATCH(BM$3,$S$3:$AE$3,0),FALSE)*坦克个性化细分!$C$9-VLOOKUP($BJ81&amp;"初始",$S$3:$AE$63,MATCH(BM$3,$S$3:$AE$3,0),FALSE))-(VLOOKUP($BJ81&amp;"最终",$S$3:$AE$63,MATCH(BM$3,$S$3:$AE$3,0),FALSE)-VLOOKUP($BJ81&amp;"初始",$S$3:$AE$63,MATCH(BM$3,$S$3:$AE$3,0),FALSE))*VLOOKUP(VLOOKUP($BJ81,坦克个性化设定!$B$18:$E$48,4,FALSE)&amp;$BK81,坦克属性分配比例,MATCH("部件比例",坦克属性分配比例标头,0),FALSE))*$BL81/VLOOKUP(VLOOKUP($BJ81,坦克个性化设定!$B$18:$E$48,4,FALSE)&amp;$BK81,坦克属性分配比例,MATCH("升星次数",坦克属性分配比例标头,0),FALSE),0)</f>
        <v>#N/A</v>
      </c>
      <c r="BN81" s="103" t="e">
        <f ca="1">ROUND(VLOOKUP($BJ81&amp;"初始",$S$3:$AE$63,MATCH(BN$3,$S$3:$AE$3,0),FALSE)+(VLOOKUP($BJ81&amp;"最终",$S$3:$AE$63,MATCH(BN$3,$S$3:$AE$3,0),FALSE)-VLOOKUP($BJ81&amp;"初始",$S$3:$AE$63,MATCH(BN$3,$S$3:$AE$3,0),FALSE))*$BL81/VLOOKUP(VLOOKUP($BJ81,坦克个性化设定!$B$18:$E$48,4,FALSE)&amp;$BK81,坦克属性分配比例,MATCH("升星次数",坦克属性分配比例标头,0),FALSE)*VLOOKUP(VLOOKUP($BJ81,坦克个性化设定!$B$18:$E$48,4,FALSE)&amp;$BK81,坦克属性分配比例,MATCH("升星比例",坦克属性分配比例标头,0),FALSE),0)</f>
        <v>#N/A</v>
      </c>
      <c r="BO81" s="103" t="e">
        <f ca="1">ROUND(VLOOKUP($BJ81&amp;"初始",$S$3:$AE$63,MATCH(BO$3,$S$3:$AE$3,0),FALSE)+(VLOOKUP($BJ81&amp;"最终",$S$3:$AE$63,MATCH(BO$3,$S$3:$AE$3,0),FALSE)-VLOOKUP($BJ81&amp;"初始",$S$3:$AE$63,MATCH(BO$3,$S$3:$AE$3,0),FALSE))*$BL81/VLOOKUP(VLOOKUP($BJ81,坦克个性化设定!$B$18:$E$48,4,FALSE)&amp;$BK81,坦克属性分配比例,MATCH("升星次数",坦克属性分配比例标头,0),FALSE)*(VLOOKUP(VLOOKUP($BJ81,坦克个性化设定!$B$18:$E$48,4,FALSE)&amp;$BK81,坦克属性分配比例,MATCH("升星比例",坦克属性分配比例标头,0),FALSE)+VLOOKUP(VLOOKUP($BJ81,坦克个性化设定!$B$18:$E$48,4,FALSE)&amp;$BK81,坦克属性分配比例,MATCH("部件比例",坦克属性分配比例标头,0),FALSE)*$C$3),0)</f>
        <v>#N/A</v>
      </c>
      <c r="BP81" s="103" t="e">
        <f ca="1">ROUND(VLOOKUP($BJ81&amp;"初始",$S$3:$AE$63,MATCH(BP$3,$S$3:$AE$3,0),FALSE)+(VLOOKUP($BJ81&amp;"最终",$S$3:$AE$63,MATCH(BP$3,$S$3:$AE$3,0),FALSE)-VLOOKUP($BJ81&amp;"初始",$S$3:$AE$63,MATCH(BP$3,$S$3:$AE$3,0),FALSE))*$BL81/VLOOKUP(VLOOKUP($BJ81,坦克个性化设定!$B$18:$E$48,4,FALSE)&amp;$BK81,坦克属性分配比例,MATCH("升星次数",坦克属性分配比例标头,0),FALSE)*(VLOOKUP(VLOOKUP($BJ81,坦克个性化设定!$B$18:$E$48,4,FALSE)&amp;$BK81,坦克属性分配比例,MATCH("升星比例",坦克属性分配比例标头,0),FALSE)+VLOOKUP(VLOOKUP($BJ81,坦克个性化设定!$B$18:$E$48,4,FALSE)&amp;$BK81,坦克属性分配比例,MATCH("部件比例",坦克属性分配比例标头,0),FALSE)*$C$3),0)</f>
        <v>#N/A</v>
      </c>
      <c r="BQ81" s="103" t="e">
        <f ca="1">ROUND(VLOOKUP($BJ81&amp;"初始",$S$3:$AE$63,MATCH(BQ$3,$S$3:$AE$3,0),FALSE)+(VLOOKUP($BJ81&amp;"最终",$S$3:$AE$63,MATCH(BQ$3,$S$3:$AE$3,0),FALSE)-VLOOKUP($BJ81&amp;"初始",$S$3:$AE$63,MATCH(BQ$3,$S$3:$AE$3,0),FALSE))*$BL81/VLOOKUP(VLOOKUP($BJ81,坦克个性化设定!$B$18:$E$48,4,FALSE)&amp;$BK81,坦克属性分配比例,MATCH("升星次数",坦克属性分配比例标头,0),FALSE)*VLOOKUP(VLOOKUP($BJ81,坦克个性化设定!$B$18:$E$48,4,FALSE)&amp;$BK81,坦克属性分配比例,MATCH("升星比例",坦克属性分配比例标头,0),FALSE),0)</f>
        <v>#N/A</v>
      </c>
      <c r="BR81" s="2" t="e">
        <f ca="1">ROUND(VLOOKUP($BJ81&amp;"初始",$S$3:$AE$63,MATCH(BR$3,$S$3:$AE$3,0),FALSE)+(VLOOKUP($BJ81&amp;"最终",$S$3:$AE$63,MATCH(BR$3,$S$3:$AE$3,0),FALSE)-VLOOKUP($BJ81&amp;"初始",$S$3:$AE$63,MATCH(BR$3,$S$3:$AE$3,0),FALSE))*$BL81/VLOOKUP(VLOOKUP($BJ81,坦克个性化设定!$B$18:$E$48,4,FALSE)&amp;$BK81,坦克属性分配比例,MATCH("升星次数",坦克属性分配比例标头,0),FALSE),0)</f>
        <v>#N/A</v>
      </c>
      <c r="BS81" s="2">
        <f>ROUND(VLOOKUP($BJ81,$AI$3:$AO$33,MATCH(BS$3,$AI$3:$AO$3,0),FALSE)+$BL81/VLOOKUP(VLOOKUP($BJ81,坦克个性化设定!$B$18:$E$48,4,FALSE)&amp;$BK81,坦克属性分配比例,MATCH("升星次数",坦克属性分配比例标头,0),FALSE)*VLOOKUP($BJ81,$AR$3:$AY$33,MATCH(BS$3,$AR$3:$AY$3,0),FALSE),1)</f>
        <v>45.5</v>
      </c>
      <c r="BT81" s="2">
        <f>ROUND(VLOOKUP($BJ81,$AI$3:$AO$33,MATCH(BT$3,$AI$3:$AO$3,0),FALSE)+$BL81/VLOOKUP(VLOOKUP($BJ81,坦克个性化设定!$B$18:$E$48,4,FALSE)&amp;$BK81,坦克属性分配比例,MATCH("升星次数",坦克属性分配比例标头,0),FALSE)*VLOOKUP($BJ81,$AR$3:$AY$33,MATCH(BT$3,$AR$3:$AY$3,0),FALSE),1)</f>
        <v>53.7</v>
      </c>
      <c r="BU81" s="2">
        <f>ROUND(VLOOKUP($BJ81,$AI$3:$AO$33,MATCH(BU$3,$AI$3:$AO$3,0),FALSE)+$BL81/VLOOKUP(VLOOKUP($BJ81,坦克个性化设定!$B$18:$E$48,4,FALSE)&amp;$BK81,坦克属性分配比例,MATCH("升星次数",坦克属性分配比例标头,0),FALSE)*VLOOKUP($BJ81,$AR$3:$AY$33,MATCH(BU$3,$AR$3:$AY$3,0),FALSE),1)</f>
        <v>10.5</v>
      </c>
      <c r="BV81" s="2">
        <f>IF(VLOOKUP(BJ81,坦克个性化设定!$B$18:$BC$48,MATCH("装弹类型",坦克个性化设定!$B$18:$BC$18,0),FALSE)="弹夹换弹",0,ROUND(VLOOKUP($BJ81,$AI$3:$AO$33,MATCH("换弹时间",$AI$3:$AO$3,0),FALSE)-$BL81/VLOOKUP(VLOOKUP($BJ81,坦克个性化设定!$B$18:$E$48,4,FALSE)&amp;$BK81,坦克属性分配比例,MATCH("升星次数",坦克属性分配比例标头,0),FALSE)*VLOOKUP($BJ81,$AR$3:$AY$33,MATCH("换弹时间",$AR$3:$AY$3,0),FALSE),2))</f>
        <v>0</v>
      </c>
      <c r="BW81" s="2">
        <f>IF(VLOOKUP(BJ81,坦克个性化设定!$B$18:$BC$48,MATCH("装弹类型",坦克个性化设定!$B$18:$BC$18,0),FALSE)="弹夹换弹",ROUND(VLOOKUP($BJ81,$AI$3:$AO$33,MATCH("换弹时间",$AI$3:$AO$3,0),FALSE)-$BL81/VLOOKUP(VLOOKUP($BJ81,坦克个性化设定!$B$18:$E$48,4,FALSE)&amp;$BK81,坦克属性分配比例,MATCH("升星次数",坦克属性分配比例标头,0),FALSE)*VLOOKUP($BJ81,$AR$3:$AY$33,MATCH("换弹时间",$AR$3:$AY$3,0),FALSE),1),0)</f>
        <v>6.1</v>
      </c>
      <c r="BX81" s="2">
        <f>ROUND(VLOOKUP($BJ81,$AI$3:$AO$33,MATCH(BX$3,$AI$3:$AO$3,0),FALSE)+$BL81/VLOOKUP(VLOOKUP($BJ81,坦克个性化设定!$B$18:$E$48,4,FALSE)&amp;$BK81,坦克属性分配比例,MATCH("升星次数",坦克属性分配比例标头,0),FALSE)*VLOOKUP($BJ81,$AR$3:$AY$33,MATCH(BX$3,$AR$3:$AY$3,0),FALSE),2)</f>
        <v>0.8</v>
      </c>
      <c r="BY81" s="2">
        <f>ROUND(VLOOKUP($BJ81,$AI$3:$AO$33,MATCH(BY$3,$AI$3:$AO$3,0),FALSE)-$BL81/VLOOKUP(VLOOKUP($BJ81,坦克个性化设定!$B$18:$E$48,4,FALSE)&amp;$BK81,坦克属性分配比例,MATCH("升星次数",坦克属性分配比例标头,0),FALSE)*VLOOKUP($BJ81,$AR$3:$AY$33,MATCH(BY$3,$AR$3:$AY$3,0),FALSE),2)</f>
        <v>0.51</v>
      </c>
    </row>
    <row r="82" spans="60:77" x14ac:dyDescent="0.3">
      <c r="BH82" s="2" t="str">
        <f t="shared" si="24"/>
        <v>BMP-32</v>
      </c>
      <c r="BI82" s="2">
        <f>IF(BL81&gt;=VLOOKUP(VLOOKUP(BJ81,坦克个性化设定!$B$18:$E$48,4,FALSE)&amp;BK81,坦克属性分配比例,MATCH("升星次数",坦克属性分配比例标头,0),FALSE),BI81+1,BI81)</f>
        <v>9</v>
      </c>
      <c r="BJ82" s="2" t="str">
        <f t="shared" si="25"/>
        <v>BMP-3</v>
      </c>
      <c r="BK82" s="29" t="str">
        <f>VLOOKUP(BJ82,坦克个性化细分!$I$3:$J$33,2,FALSE)</f>
        <v>高</v>
      </c>
      <c r="BL82" s="2">
        <f t="shared" si="23"/>
        <v>2</v>
      </c>
      <c r="BM82" s="103" t="e">
        <f ca="1">ROUND(VLOOKUP($BJ82&amp;"初始",$S$3:$AE$63,MATCH(BM$3,$S$3:$AE$3,0),FALSE)+((VLOOKUP($BJ82&amp;"最终",$S$3:$AE$63,MATCH(BM$3,$S$3:$AE$3,0),FALSE)*坦克个性化细分!$C$9-VLOOKUP($BJ82&amp;"初始",$S$3:$AE$63,MATCH(BM$3,$S$3:$AE$3,0),FALSE))-(VLOOKUP($BJ82&amp;"最终",$S$3:$AE$63,MATCH(BM$3,$S$3:$AE$3,0),FALSE)-VLOOKUP($BJ82&amp;"初始",$S$3:$AE$63,MATCH(BM$3,$S$3:$AE$3,0),FALSE))*VLOOKUP(VLOOKUP($BJ82,坦克个性化设定!$B$18:$E$48,4,FALSE)&amp;$BK82,坦克属性分配比例,MATCH("部件比例",坦克属性分配比例标头,0),FALSE))*$BL82/VLOOKUP(VLOOKUP($BJ82,坦克个性化设定!$B$18:$E$48,4,FALSE)&amp;$BK82,坦克属性分配比例,MATCH("升星次数",坦克属性分配比例标头,0),FALSE),0)</f>
        <v>#N/A</v>
      </c>
      <c r="BN82" s="103" t="e">
        <f ca="1">ROUND(VLOOKUP($BJ82&amp;"初始",$S$3:$AE$63,MATCH(BN$3,$S$3:$AE$3,0),FALSE)+(VLOOKUP($BJ82&amp;"最终",$S$3:$AE$63,MATCH(BN$3,$S$3:$AE$3,0),FALSE)-VLOOKUP($BJ82&amp;"初始",$S$3:$AE$63,MATCH(BN$3,$S$3:$AE$3,0),FALSE))*$BL82/VLOOKUP(VLOOKUP($BJ82,坦克个性化设定!$B$18:$E$48,4,FALSE)&amp;$BK82,坦克属性分配比例,MATCH("升星次数",坦克属性分配比例标头,0),FALSE)*VLOOKUP(VLOOKUP($BJ82,坦克个性化设定!$B$18:$E$48,4,FALSE)&amp;$BK82,坦克属性分配比例,MATCH("升星比例",坦克属性分配比例标头,0),FALSE),0)</f>
        <v>#N/A</v>
      </c>
      <c r="BO82" s="103" t="e">
        <f ca="1">ROUND(VLOOKUP($BJ82&amp;"初始",$S$3:$AE$63,MATCH(BO$3,$S$3:$AE$3,0),FALSE)+(VLOOKUP($BJ82&amp;"最终",$S$3:$AE$63,MATCH(BO$3,$S$3:$AE$3,0),FALSE)-VLOOKUP($BJ82&amp;"初始",$S$3:$AE$63,MATCH(BO$3,$S$3:$AE$3,0),FALSE))*$BL82/VLOOKUP(VLOOKUP($BJ82,坦克个性化设定!$B$18:$E$48,4,FALSE)&amp;$BK82,坦克属性分配比例,MATCH("升星次数",坦克属性分配比例标头,0),FALSE)*(VLOOKUP(VLOOKUP($BJ82,坦克个性化设定!$B$18:$E$48,4,FALSE)&amp;$BK82,坦克属性分配比例,MATCH("升星比例",坦克属性分配比例标头,0),FALSE)+VLOOKUP(VLOOKUP($BJ82,坦克个性化设定!$B$18:$E$48,4,FALSE)&amp;$BK82,坦克属性分配比例,MATCH("部件比例",坦克属性分配比例标头,0),FALSE)*$C$3),0)</f>
        <v>#N/A</v>
      </c>
      <c r="BP82" s="103" t="e">
        <f ca="1">ROUND(VLOOKUP($BJ82&amp;"初始",$S$3:$AE$63,MATCH(BP$3,$S$3:$AE$3,0),FALSE)+(VLOOKUP($BJ82&amp;"最终",$S$3:$AE$63,MATCH(BP$3,$S$3:$AE$3,0),FALSE)-VLOOKUP($BJ82&amp;"初始",$S$3:$AE$63,MATCH(BP$3,$S$3:$AE$3,0),FALSE))*$BL82/VLOOKUP(VLOOKUP($BJ82,坦克个性化设定!$B$18:$E$48,4,FALSE)&amp;$BK82,坦克属性分配比例,MATCH("升星次数",坦克属性分配比例标头,0),FALSE)*(VLOOKUP(VLOOKUP($BJ82,坦克个性化设定!$B$18:$E$48,4,FALSE)&amp;$BK82,坦克属性分配比例,MATCH("升星比例",坦克属性分配比例标头,0),FALSE)+VLOOKUP(VLOOKUP($BJ82,坦克个性化设定!$B$18:$E$48,4,FALSE)&amp;$BK82,坦克属性分配比例,MATCH("部件比例",坦克属性分配比例标头,0),FALSE)*$C$3),0)</f>
        <v>#N/A</v>
      </c>
      <c r="BQ82" s="103" t="e">
        <f ca="1">ROUND(VLOOKUP($BJ82&amp;"初始",$S$3:$AE$63,MATCH(BQ$3,$S$3:$AE$3,0),FALSE)+(VLOOKUP($BJ82&amp;"最终",$S$3:$AE$63,MATCH(BQ$3,$S$3:$AE$3,0),FALSE)-VLOOKUP($BJ82&amp;"初始",$S$3:$AE$63,MATCH(BQ$3,$S$3:$AE$3,0),FALSE))*$BL82/VLOOKUP(VLOOKUP($BJ82,坦克个性化设定!$B$18:$E$48,4,FALSE)&amp;$BK82,坦克属性分配比例,MATCH("升星次数",坦克属性分配比例标头,0),FALSE)*VLOOKUP(VLOOKUP($BJ82,坦克个性化设定!$B$18:$E$48,4,FALSE)&amp;$BK82,坦克属性分配比例,MATCH("升星比例",坦克属性分配比例标头,0),FALSE),0)</f>
        <v>#N/A</v>
      </c>
      <c r="BR82" s="2" t="e">
        <f ca="1">ROUND(VLOOKUP($BJ82&amp;"初始",$S$3:$AE$63,MATCH(BR$3,$S$3:$AE$3,0),FALSE)+(VLOOKUP($BJ82&amp;"最终",$S$3:$AE$63,MATCH(BR$3,$S$3:$AE$3,0),FALSE)-VLOOKUP($BJ82&amp;"初始",$S$3:$AE$63,MATCH(BR$3,$S$3:$AE$3,0),FALSE))*$BL82/VLOOKUP(VLOOKUP($BJ82,坦克个性化设定!$B$18:$E$48,4,FALSE)&amp;$BK82,坦克属性分配比例,MATCH("升星次数",坦克属性分配比例标头,0),FALSE),0)</f>
        <v>#N/A</v>
      </c>
      <c r="BS82" s="2">
        <f>ROUND(VLOOKUP($BJ82,$AI$3:$AO$33,MATCH(BS$3,$AI$3:$AO$3,0),FALSE)+$BL82/VLOOKUP(VLOOKUP($BJ82,坦克个性化设定!$B$18:$E$48,4,FALSE)&amp;$BK82,坦克属性分配比例,MATCH("升星次数",坦克属性分配比例标头,0),FALSE)*VLOOKUP($BJ82,$AR$3:$AY$33,MATCH(BS$3,$AR$3:$AY$3,0),FALSE),1)</f>
        <v>46.5</v>
      </c>
      <c r="BT82" s="2">
        <f>ROUND(VLOOKUP($BJ82,$AI$3:$AO$33,MATCH(BT$3,$AI$3:$AO$3,0),FALSE)+$BL82/VLOOKUP(VLOOKUP($BJ82,坦克个性化设定!$B$18:$E$48,4,FALSE)&amp;$BK82,坦克属性分配比例,MATCH("升星次数",坦克属性分配比例标头,0),FALSE)*VLOOKUP($BJ82,$AR$3:$AY$33,MATCH(BT$3,$AR$3:$AY$3,0),FALSE),1)</f>
        <v>54.9</v>
      </c>
      <c r="BU82" s="2">
        <f>ROUND(VLOOKUP($BJ82,$AI$3:$AO$33,MATCH(BU$3,$AI$3:$AO$3,0),FALSE)+$BL82/VLOOKUP(VLOOKUP($BJ82,坦克个性化设定!$B$18:$E$48,4,FALSE)&amp;$BK82,坦克属性分配比例,MATCH("升星次数",坦克属性分配比例标头,0),FALSE)*VLOOKUP($BJ82,$AR$3:$AY$33,MATCH(BU$3,$AR$3:$AY$3,0),FALSE),1)</f>
        <v>10.5</v>
      </c>
      <c r="BV82" s="2">
        <f>IF(VLOOKUP(BJ82,坦克个性化设定!$B$18:$BC$48,MATCH("装弹类型",坦克个性化设定!$B$18:$BC$18,0),FALSE)="弹夹换弹",0,ROUND(VLOOKUP($BJ82,$AI$3:$AO$33,MATCH("换弹时间",$AI$3:$AO$3,0),FALSE)-$BL82/VLOOKUP(VLOOKUP($BJ82,坦克个性化设定!$B$18:$E$48,4,FALSE)&amp;$BK82,坦克属性分配比例,MATCH("升星次数",坦克属性分配比例标头,0),FALSE)*VLOOKUP($BJ82,$AR$3:$AY$33,MATCH("换弹时间",$AR$3:$AY$3,0),FALSE),2))</f>
        <v>0</v>
      </c>
      <c r="BW82" s="2">
        <f>IF(VLOOKUP(BJ82,坦克个性化设定!$B$18:$BC$48,MATCH("装弹类型",坦克个性化设定!$B$18:$BC$18,0),FALSE)="弹夹换弹",ROUND(VLOOKUP($BJ82,$AI$3:$AO$33,MATCH("换弹时间",$AI$3:$AO$3,0),FALSE)-$BL82/VLOOKUP(VLOOKUP($BJ82,坦克个性化设定!$B$18:$E$48,4,FALSE)&amp;$BK82,坦克属性分配比例,MATCH("升星次数",坦克属性分配比例标头,0),FALSE)*VLOOKUP($BJ82,$AR$3:$AY$33,MATCH("换弹时间",$AR$3:$AY$3,0),FALSE),1),0)</f>
        <v>5.9</v>
      </c>
      <c r="BX82" s="2">
        <f>ROUND(VLOOKUP($BJ82,$AI$3:$AO$33,MATCH(BX$3,$AI$3:$AO$3,0),FALSE)+$BL82/VLOOKUP(VLOOKUP($BJ82,坦克个性化设定!$B$18:$E$48,4,FALSE)&amp;$BK82,坦克属性分配比例,MATCH("升星次数",坦克属性分配比例标头,0),FALSE)*VLOOKUP($BJ82,$AR$3:$AY$33,MATCH(BX$3,$AR$3:$AY$3,0),FALSE),2)</f>
        <v>0.8</v>
      </c>
      <c r="BY82" s="2">
        <f>ROUND(VLOOKUP($BJ82,$AI$3:$AO$33,MATCH(BY$3,$AI$3:$AO$3,0),FALSE)-$BL82/VLOOKUP(VLOOKUP($BJ82,坦克个性化设定!$B$18:$E$48,4,FALSE)&amp;$BK82,坦克属性分配比例,MATCH("升星次数",坦克属性分配比例标头,0),FALSE)*VLOOKUP($BJ82,$AR$3:$AY$33,MATCH(BY$3,$AR$3:$AY$3,0),FALSE),2)</f>
        <v>0.5</v>
      </c>
    </row>
    <row r="83" spans="60:77" x14ac:dyDescent="0.3">
      <c r="BH83" s="2" t="str">
        <f t="shared" si="24"/>
        <v>BMP-33</v>
      </c>
      <c r="BI83" s="2">
        <f>IF(BL82&gt;=VLOOKUP(VLOOKUP(BJ82,坦克个性化设定!$B$18:$E$48,4,FALSE)&amp;BK82,坦克属性分配比例,MATCH("升星次数",坦克属性分配比例标头,0),FALSE),BI82+1,BI82)</f>
        <v>9</v>
      </c>
      <c r="BJ83" s="2" t="str">
        <f t="shared" si="25"/>
        <v>BMP-3</v>
      </c>
      <c r="BK83" s="29" t="str">
        <f>VLOOKUP(BJ83,坦克个性化细分!$I$3:$J$33,2,FALSE)</f>
        <v>高</v>
      </c>
      <c r="BL83" s="2">
        <f t="shared" si="23"/>
        <v>3</v>
      </c>
      <c r="BM83" s="103" t="e">
        <f ca="1">ROUND(VLOOKUP($BJ83&amp;"初始",$S$3:$AE$63,MATCH(BM$3,$S$3:$AE$3,0),FALSE)+((VLOOKUP($BJ83&amp;"最终",$S$3:$AE$63,MATCH(BM$3,$S$3:$AE$3,0),FALSE)*坦克个性化细分!$C$9-VLOOKUP($BJ83&amp;"初始",$S$3:$AE$63,MATCH(BM$3,$S$3:$AE$3,0),FALSE))-(VLOOKUP($BJ83&amp;"最终",$S$3:$AE$63,MATCH(BM$3,$S$3:$AE$3,0),FALSE)-VLOOKUP($BJ83&amp;"初始",$S$3:$AE$63,MATCH(BM$3,$S$3:$AE$3,0),FALSE))*VLOOKUP(VLOOKUP($BJ83,坦克个性化设定!$B$18:$E$48,4,FALSE)&amp;$BK83,坦克属性分配比例,MATCH("部件比例",坦克属性分配比例标头,0),FALSE))*$BL83/VLOOKUP(VLOOKUP($BJ83,坦克个性化设定!$B$18:$E$48,4,FALSE)&amp;$BK83,坦克属性分配比例,MATCH("升星次数",坦克属性分配比例标头,0),FALSE),0)</f>
        <v>#N/A</v>
      </c>
      <c r="BN83" s="103" t="e">
        <f ca="1">ROUND(VLOOKUP($BJ83&amp;"初始",$S$3:$AE$63,MATCH(BN$3,$S$3:$AE$3,0),FALSE)+(VLOOKUP($BJ83&amp;"最终",$S$3:$AE$63,MATCH(BN$3,$S$3:$AE$3,0),FALSE)-VLOOKUP($BJ83&amp;"初始",$S$3:$AE$63,MATCH(BN$3,$S$3:$AE$3,0),FALSE))*$BL83/VLOOKUP(VLOOKUP($BJ83,坦克个性化设定!$B$18:$E$48,4,FALSE)&amp;$BK83,坦克属性分配比例,MATCH("升星次数",坦克属性分配比例标头,0),FALSE)*VLOOKUP(VLOOKUP($BJ83,坦克个性化设定!$B$18:$E$48,4,FALSE)&amp;$BK83,坦克属性分配比例,MATCH("升星比例",坦克属性分配比例标头,0),FALSE),0)</f>
        <v>#N/A</v>
      </c>
      <c r="BO83" s="103" t="e">
        <f ca="1">ROUND(VLOOKUP($BJ83&amp;"初始",$S$3:$AE$63,MATCH(BO$3,$S$3:$AE$3,0),FALSE)+(VLOOKUP($BJ83&amp;"最终",$S$3:$AE$63,MATCH(BO$3,$S$3:$AE$3,0),FALSE)-VLOOKUP($BJ83&amp;"初始",$S$3:$AE$63,MATCH(BO$3,$S$3:$AE$3,0),FALSE))*$BL83/VLOOKUP(VLOOKUP($BJ83,坦克个性化设定!$B$18:$E$48,4,FALSE)&amp;$BK83,坦克属性分配比例,MATCH("升星次数",坦克属性分配比例标头,0),FALSE)*(VLOOKUP(VLOOKUP($BJ83,坦克个性化设定!$B$18:$E$48,4,FALSE)&amp;$BK83,坦克属性分配比例,MATCH("升星比例",坦克属性分配比例标头,0),FALSE)+VLOOKUP(VLOOKUP($BJ83,坦克个性化设定!$B$18:$E$48,4,FALSE)&amp;$BK83,坦克属性分配比例,MATCH("部件比例",坦克属性分配比例标头,0),FALSE)*$C$3),0)</f>
        <v>#N/A</v>
      </c>
      <c r="BP83" s="103" t="e">
        <f ca="1">ROUND(VLOOKUP($BJ83&amp;"初始",$S$3:$AE$63,MATCH(BP$3,$S$3:$AE$3,0),FALSE)+(VLOOKUP($BJ83&amp;"最终",$S$3:$AE$63,MATCH(BP$3,$S$3:$AE$3,0),FALSE)-VLOOKUP($BJ83&amp;"初始",$S$3:$AE$63,MATCH(BP$3,$S$3:$AE$3,0),FALSE))*$BL83/VLOOKUP(VLOOKUP($BJ83,坦克个性化设定!$B$18:$E$48,4,FALSE)&amp;$BK83,坦克属性分配比例,MATCH("升星次数",坦克属性分配比例标头,0),FALSE)*(VLOOKUP(VLOOKUP($BJ83,坦克个性化设定!$B$18:$E$48,4,FALSE)&amp;$BK83,坦克属性分配比例,MATCH("升星比例",坦克属性分配比例标头,0),FALSE)+VLOOKUP(VLOOKUP($BJ83,坦克个性化设定!$B$18:$E$48,4,FALSE)&amp;$BK83,坦克属性分配比例,MATCH("部件比例",坦克属性分配比例标头,0),FALSE)*$C$3),0)</f>
        <v>#N/A</v>
      </c>
      <c r="BQ83" s="103" t="e">
        <f ca="1">ROUND(VLOOKUP($BJ83&amp;"初始",$S$3:$AE$63,MATCH(BQ$3,$S$3:$AE$3,0),FALSE)+(VLOOKUP($BJ83&amp;"最终",$S$3:$AE$63,MATCH(BQ$3,$S$3:$AE$3,0),FALSE)-VLOOKUP($BJ83&amp;"初始",$S$3:$AE$63,MATCH(BQ$3,$S$3:$AE$3,0),FALSE))*$BL83/VLOOKUP(VLOOKUP($BJ83,坦克个性化设定!$B$18:$E$48,4,FALSE)&amp;$BK83,坦克属性分配比例,MATCH("升星次数",坦克属性分配比例标头,0),FALSE)*VLOOKUP(VLOOKUP($BJ83,坦克个性化设定!$B$18:$E$48,4,FALSE)&amp;$BK83,坦克属性分配比例,MATCH("升星比例",坦克属性分配比例标头,0),FALSE),0)</f>
        <v>#N/A</v>
      </c>
      <c r="BR83" s="2" t="e">
        <f ca="1">ROUND(VLOOKUP($BJ83&amp;"初始",$S$3:$AE$63,MATCH(BR$3,$S$3:$AE$3,0),FALSE)+(VLOOKUP($BJ83&amp;"最终",$S$3:$AE$63,MATCH(BR$3,$S$3:$AE$3,0),FALSE)-VLOOKUP($BJ83&amp;"初始",$S$3:$AE$63,MATCH(BR$3,$S$3:$AE$3,0),FALSE))*$BL83/VLOOKUP(VLOOKUP($BJ83,坦克个性化设定!$B$18:$E$48,4,FALSE)&amp;$BK83,坦克属性分配比例,MATCH("升星次数",坦克属性分配比例标头,0),FALSE),0)</f>
        <v>#N/A</v>
      </c>
      <c r="BS83" s="2">
        <f>ROUND(VLOOKUP($BJ83,$AI$3:$AO$33,MATCH(BS$3,$AI$3:$AO$3,0),FALSE)+$BL83/VLOOKUP(VLOOKUP($BJ83,坦克个性化设定!$B$18:$E$48,4,FALSE)&amp;$BK83,坦克属性分配比例,MATCH("升星次数",坦克属性分配比例标头,0),FALSE)*VLOOKUP($BJ83,$AR$3:$AY$33,MATCH(BS$3,$AR$3:$AY$3,0),FALSE),1)</f>
        <v>47.5</v>
      </c>
      <c r="BT83" s="2">
        <f>ROUND(VLOOKUP($BJ83,$AI$3:$AO$33,MATCH(BT$3,$AI$3:$AO$3,0),FALSE)+$BL83/VLOOKUP(VLOOKUP($BJ83,坦克个性化设定!$B$18:$E$48,4,FALSE)&amp;$BK83,坦克属性分配比例,MATCH("升星次数",坦克属性分配比例标头,0),FALSE)*VLOOKUP($BJ83,$AR$3:$AY$33,MATCH(BT$3,$AR$3:$AY$3,0),FALSE),1)</f>
        <v>56.1</v>
      </c>
      <c r="BU83" s="2">
        <f>ROUND(VLOOKUP($BJ83,$AI$3:$AO$33,MATCH(BU$3,$AI$3:$AO$3,0),FALSE)+$BL83/VLOOKUP(VLOOKUP($BJ83,坦克个性化设定!$B$18:$E$48,4,FALSE)&amp;$BK83,坦克属性分配比例,MATCH("升星次数",坦克属性分配比例标头,0),FALSE)*VLOOKUP($BJ83,$AR$3:$AY$33,MATCH(BU$3,$AR$3:$AY$3,0),FALSE),1)</f>
        <v>10.5</v>
      </c>
      <c r="BV83" s="2">
        <f>IF(VLOOKUP(BJ83,坦克个性化设定!$B$18:$BC$48,MATCH("装弹类型",坦克个性化设定!$B$18:$BC$18,0),FALSE)="弹夹换弹",0,ROUND(VLOOKUP($BJ83,$AI$3:$AO$33,MATCH("换弹时间",$AI$3:$AO$3,0),FALSE)-$BL83/VLOOKUP(VLOOKUP($BJ83,坦克个性化设定!$B$18:$E$48,4,FALSE)&amp;$BK83,坦克属性分配比例,MATCH("升星次数",坦克属性分配比例标头,0),FALSE)*VLOOKUP($BJ83,$AR$3:$AY$33,MATCH("换弹时间",$AR$3:$AY$3,0),FALSE),2))</f>
        <v>0</v>
      </c>
      <c r="BW83" s="2">
        <f>IF(VLOOKUP(BJ83,坦克个性化设定!$B$18:$BC$48,MATCH("装弹类型",坦克个性化设定!$B$18:$BC$18,0),FALSE)="弹夹换弹",ROUND(VLOOKUP($BJ83,$AI$3:$AO$33,MATCH("换弹时间",$AI$3:$AO$3,0),FALSE)-$BL83/VLOOKUP(VLOOKUP($BJ83,坦克个性化设定!$B$18:$E$48,4,FALSE)&amp;$BK83,坦克属性分配比例,MATCH("升星次数",坦克属性分配比例标头,0),FALSE)*VLOOKUP($BJ83,$AR$3:$AY$33,MATCH("换弹时间",$AR$3:$AY$3,0),FALSE),1),0)</f>
        <v>5.8</v>
      </c>
      <c r="BX83" s="2">
        <f>ROUND(VLOOKUP($BJ83,$AI$3:$AO$33,MATCH(BX$3,$AI$3:$AO$3,0),FALSE)+$BL83/VLOOKUP(VLOOKUP($BJ83,坦克个性化设定!$B$18:$E$48,4,FALSE)&amp;$BK83,坦克属性分配比例,MATCH("升星次数",坦克属性分配比例标头,0),FALSE)*VLOOKUP($BJ83,$AR$3:$AY$33,MATCH(BX$3,$AR$3:$AY$3,0),FALSE),2)</f>
        <v>0.8</v>
      </c>
      <c r="BY83" s="2">
        <f>ROUND(VLOOKUP($BJ83,$AI$3:$AO$33,MATCH(BY$3,$AI$3:$AO$3,0),FALSE)-$BL83/VLOOKUP(VLOOKUP($BJ83,坦克个性化设定!$B$18:$E$48,4,FALSE)&amp;$BK83,坦克属性分配比例,MATCH("升星次数",坦克属性分配比例标头,0),FALSE)*VLOOKUP($BJ83,$AR$3:$AY$33,MATCH(BY$3,$AR$3:$AY$3,0),FALSE),2)</f>
        <v>0.49</v>
      </c>
    </row>
    <row r="84" spans="60:77" x14ac:dyDescent="0.3">
      <c r="BH84" s="2" t="str">
        <f t="shared" si="24"/>
        <v>BMP-34</v>
      </c>
      <c r="BI84" s="2">
        <f>IF(BL83&gt;=VLOOKUP(VLOOKUP(BJ83,坦克个性化设定!$B$18:$E$48,4,FALSE)&amp;BK83,坦克属性分配比例,MATCH("升星次数",坦克属性分配比例标头,0),FALSE),BI83+1,BI83)</f>
        <v>9</v>
      </c>
      <c r="BJ84" s="2" t="str">
        <f t="shared" si="25"/>
        <v>BMP-3</v>
      </c>
      <c r="BK84" s="29" t="str">
        <f>VLOOKUP(BJ84,坦克个性化细分!$I$3:$J$33,2,FALSE)</f>
        <v>高</v>
      </c>
      <c r="BL84" s="2">
        <f t="shared" si="23"/>
        <v>4</v>
      </c>
      <c r="BM84" s="103" t="e">
        <f ca="1">ROUND(VLOOKUP($BJ84&amp;"初始",$S$3:$AE$63,MATCH(BM$3,$S$3:$AE$3,0),FALSE)+((VLOOKUP($BJ84&amp;"最终",$S$3:$AE$63,MATCH(BM$3,$S$3:$AE$3,0),FALSE)*坦克个性化细分!$C$9-VLOOKUP($BJ84&amp;"初始",$S$3:$AE$63,MATCH(BM$3,$S$3:$AE$3,0),FALSE))-(VLOOKUP($BJ84&amp;"最终",$S$3:$AE$63,MATCH(BM$3,$S$3:$AE$3,0),FALSE)-VLOOKUP($BJ84&amp;"初始",$S$3:$AE$63,MATCH(BM$3,$S$3:$AE$3,0),FALSE))*VLOOKUP(VLOOKUP($BJ84,坦克个性化设定!$B$18:$E$48,4,FALSE)&amp;$BK84,坦克属性分配比例,MATCH("部件比例",坦克属性分配比例标头,0),FALSE))*$BL84/VLOOKUP(VLOOKUP($BJ84,坦克个性化设定!$B$18:$E$48,4,FALSE)&amp;$BK84,坦克属性分配比例,MATCH("升星次数",坦克属性分配比例标头,0),FALSE),0)</f>
        <v>#N/A</v>
      </c>
      <c r="BN84" s="103" t="e">
        <f ca="1">ROUND(VLOOKUP($BJ84&amp;"初始",$S$3:$AE$63,MATCH(BN$3,$S$3:$AE$3,0),FALSE)+(VLOOKUP($BJ84&amp;"最终",$S$3:$AE$63,MATCH(BN$3,$S$3:$AE$3,0),FALSE)-VLOOKUP($BJ84&amp;"初始",$S$3:$AE$63,MATCH(BN$3,$S$3:$AE$3,0),FALSE))*$BL84/VLOOKUP(VLOOKUP($BJ84,坦克个性化设定!$B$18:$E$48,4,FALSE)&amp;$BK84,坦克属性分配比例,MATCH("升星次数",坦克属性分配比例标头,0),FALSE)*VLOOKUP(VLOOKUP($BJ84,坦克个性化设定!$B$18:$E$48,4,FALSE)&amp;$BK84,坦克属性分配比例,MATCH("升星比例",坦克属性分配比例标头,0),FALSE),0)</f>
        <v>#N/A</v>
      </c>
      <c r="BO84" s="103" t="e">
        <f ca="1">ROUND(VLOOKUP($BJ84&amp;"初始",$S$3:$AE$63,MATCH(BO$3,$S$3:$AE$3,0),FALSE)+(VLOOKUP($BJ84&amp;"最终",$S$3:$AE$63,MATCH(BO$3,$S$3:$AE$3,0),FALSE)-VLOOKUP($BJ84&amp;"初始",$S$3:$AE$63,MATCH(BO$3,$S$3:$AE$3,0),FALSE))*$BL84/VLOOKUP(VLOOKUP($BJ84,坦克个性化设定!$B$18:$E$48,4,FALSE)&amp;$BK84,坦克属性分配比例,MATCH("升星次数",坦克属性分配比例标头,0),FALSE)*(VLOOKUP(VLOOKUP($BJ84,坦克个性化设定!$B$18:$E$48,4,FALSE)&amp;$BK84,坦克属性分配比例,MATCH("升星比例",坦克属性分配比例标头,0),FALSE)+VLOOKUP(VLOOKUP($BJ84,坦克个性化设定!$B$18:$E$48,4,FALSE)&amp;$BK84,坦克属性分配比例,MATCH("部件比例",坦克属性分配比例标头,0),FALSE)*$C$3),0)</f>
        <v>#N/A</v>
      </c>
      <c r="BP84" s="103" t="e">
        <f ca="1">ROUND(VLOOKUP($BJ84&amp;"初始",$S$3:$AE$63,MATCH(BP$3,$S$3:$AE$3,0),FALSE)+(VLOOKUP($BJ84&amp;"最终",$S$3:$AE$63,MATCH(BP$3,$S$3:$AE$3,0),FALSE)-VLOOKUP($BJ84&amp;"初始",$S$3:$AE$63,MATCH(BP$3,$S$3:$AE$3,0),FALSE))*$BL84/VLOOKUP(VLOOKUP($BJ84,坦克个性化设定!$B$18:$E$48,4,FALSE)&amp;$BK84,坦克属性分配比例,MATCH("升星次数",坦克属性分配比例标头,0),FALSE)*(VLOOKUP(VLOOKUP($BJ84,坦克个性化设定!$B$18:$E$48,4,FALSE)&amp;$BK84,坦克属性分配比例,MATCH("升星比例",坦克属性分配比例标头,0),FALSE)+VLOOKUP(VLOOKUP($BJ84,坦克个性化设定!$B$18:$E$48,4,FALSE)&amp;$BK84,坦克属性分配比例,MATCH("部件比例",坦克属性分配比例标头,0),FALSE)*$C$3),0)</f>
        <v>#N/A</v>
      </c>
      <c r="BQ84" s="103" t="e">
        <f ca="1">ROUND(VLOOKUP($BJ84&amp;"初始",$S$3:$AE$63,MATCH(BQ$3,$S$3:$AE$3,0),FALSE)+(VLOOKUP($BJ84&amp;"最终",$S$3:$AE$63,MATCH(BQ$3,$S$3:$AE$3,0),FALSE)-VLOOKUP($BJ84&amp;"初始",$S$3:$AE$63,MATCH(BQ$3,$S$3:$AE$3,0),FALSE))*$BL84/VLOOKUP(VLOOKUP($BJ84,坦克个性化设定!$B$18:$E$48,4,FALSE)&amp;$BK84,坦克属性分配比例,MATCH("升星次数",坦克属性分配比例标头,0),FALSE)*VLOOKUP(VLOOKUP($BJ84,坦克个性化设定!$B$18:$E$48,4,FALSE)&amp;$BK84,坦克属性分配比例,MATCH("升星比例",坦克属性分配比例标头,0),FALSE),0)</f>
        <v>#N/A</v>
      </c>
      <c r="BR84" s="2" t="e">
        <f ca="1">ROUND(VLOOKUP($BJ84&amp;"初始",$S$3:$AE$63,MATCH(BR$3,$S$3:$AE$3,0),FALSE)+(VLOOKUP($BJ84&amp;"最终",$S$3:$AE$63,MATCH(BR$3,$S$3:$AE$3,0),FALSE)-VLOOKUP($BJ84&amp;"初始",$S$3:$AE$63,MATCH(BR$3,$S$3:$AE$3,0),FALSE))*$BL84/VLOOKUP(VLOOKUP($BJ84,坦克个性化设定!$B$18:$E$48,4,FALSE)&amp;$BK84,坦克属性分配比例,MATCH("升星次数",坦克属性分配比例标头,0),FALSE),0)</f>
        <v>#N/A</v>
      </c>
      <c r="BS84" s="2">
        <f>ROUND(VLOOKUP($BJ84,$AI$3:$AO$33,MATCH(BS$3,$AI$3:$AO$3,0),FALSE)+$BL84/VLOOKUP(VLOOKUP($BJ84,坦克个性化设定!$B$18:$E$48,4,FALSE)&amp;$BK84,坦克属性分配比例,MATCH("升星次数",坦克属性分配比例标头,0),FALSE)*VLOOKUP($BJ84,$AR$3:$AY$33,MATCH(BS$3,$AR$3:$AY$3,0),FALSE),1)</f>
        <v>48.5</v>
      </c>
      <c r="BT84" s="2">
        <f>ROUND(VLOOKUP($BJ84,$AI$3:$AO$33,MATCH(BT$3,$AI$3:$AO$3,0),FALSE)+$BL84/VLOOKUP(VLOOKUP($BJ84,坦克个性化设定!$B$18:$E$48,4,FALSE)&amp;$BK84,坦克属性分配比例,MATCH("升星次数",坦克属性分配比例标头,0),FALSE)*VLOOKUP($BJ84,$AR$3:$AY$33,MATCH(BT$3,$AR$3:$AY$3,0),FALSE),1)</f>
        <v>57.3</v>
      </c>
      <c r="BU84" s="2">
        <f>ROUND(VLOOKUP($BJ84,$AI$3:$AO$33,MATCH(BU$3,$AI$3:$AO$3,0),FALSE)+$BL84/VLOOKUP(VLOOKUP($BJ84,坦克个性化设定!$B$18:$E$48,4,FALSE)&amp;$BK84,坦克属性分配比例,MATCH("升星次数",坦克属性分配比例标头,0),FALSE)*VLOOKUP($BJ84,$AR$3:$AY$33,MATCH(BU$3,$AR$3:$AY$3,0),FALSE),1)</f>
        <v>10.5</v>
      </c>
      <c r="BV84" s="2">
        <f>IF(VLOOKUP(BJ84,坦克个性化设定!$B$18:$BC$48,MATCH("装弹类型",坦克个性化设定!$B$18:$BC$18,0),FALSE)="弹夹换弹",0,ROUND(VLOOKUP($BJ84,$AI$3:$AO$33,MATCH("换弹时间",$AI$3:$AO$3,0),FALSE)-$BL84/VLOOKUP(VLOOKUP($BJ84,坦克个性化设定!$B$18:$E$48,4,FALSE)&amp;$BK84,坦克属性分配比例,MATCH("升星次数",坦克属性分配比例标头,0),FALSE)*VLOOKUP($BJ84,$AR$3:$AY$33,MATCH("换弹时间",$AR$3:$AY$3,0),FALSE),2))</f>
        <v>0</v>
      </c>
      <c r="BW84" s="2">
        <f>IF(VLOOKUP(BJ84,坦克个性化设定!$B$18:$BC$48,MATCH("装弹类型",坦克个性化设定!$B$18:$BC$18,0),FALSE)="弹夹换弹",ROUND(VLOOKUP($BJ84,$AI$3:$AO$33,MATCH("换弹时间",$AI$3:$AO$3,0),FALSE)-$BL84/VLOOKUP(VLOOKUP($BJ84,坦克个性化设定!$B$18:$E$48,4,FALSE)&amp;$BK84,坦克属性分配比例,MATCH("升星次数",坦克属性分配比例标头,0),FALSE)*VLOOKUP($BJ84,$AR$3:$AY$33,MATCH("换弹时间",$AR$3:$AY$3,0),FALSE),1),0)</f>
        <v>5.6</v>
      </c>
      <c r="BX84" s="2">
        <f>ROUND(VLOOKUP($BJ84,$AI$3:$AO$33,MATCH(BX$3,$AI$3:$AO$3,0),FALSE)+$BL84/VLOOKUP(VLOOKUP($BJ84,坦克个性化设定!$B$18:$E$48,4,FALSE)&amp;$BK84,坦克属性分配比例,MATCH("升星次数",坦克属性分配比例标头,0),FALSE)*VLOOKUP($BJ84,$AR$3:$AY$33,MATCH(BX$3,$AR$3:$AY$3,0),FALSE),2)</f>
        <v>0.8</v>
      </c>
      <c r="BY84" s="2">
        <f>ROUND(VLOOKUP($BJ84,$AI$3:$AO$33,MATCH(BY$3,$AI$3:$AO$3,0),FALSE)-$BL84/VLOOKUP(VLOOKUP($BJ84,坦克个性化设定!$B$18:$E$48,4,FALSE)&amp;$BK84,坦克属性分配比例,MATCH("升星次数",坦克属性分配比例标头,0),FALSE)*VLOOKUP($BJ84,$AR$3:$AY$33,MATCH(BY$3,$AR$3:$AY$3,0),FALSE),2)</f>
        <v>0.49</v>
      </c>
    </row>
    <row r="85" spans="60:77" x14ac:dyDescent="0.3">
      <c r="BH85" s="2" t="str">
        <f t="shared" si="24"/>
        <v>BMP-35</v>
      </c>
      <c r="BI85" s="2">
        <f>IF(BL84&gt;=VLOOKUP(VLOOKUP(BJ84,坦克个性化设定!$B$18:$E$48,4,FALSE)&amp;BK84,坦克属性分配比例,MATCH("升星次数",坦克属性分配比例标头,0),FALSE),BI84+1,BI84)</f>
        <v>9</v>
      </c>
      <c r="BJ85" s="2" t="str">
        <f t="shared" si="25"/>
        <v>BMP-3</v>
      </c>
      <c r="BK85" s="29" t="str">
        <f>VLOOKUP(BJ85,坦克个性化细分!$I$3:$J$33,2,FALSE)</f>
        <v>高</v>
      </c>
      <c r="BL85" s="2">
        <f t="shared" si="23"/>
        <v>5</v>
      </c>
      <c r="BM85" s="103" t="e">
        <f ca="1">ROUND(VLOOKUP($BJ85&amp;"初始",$S$3:$AE$63,MATCH(BM$3,$S$3:$AE$3,0),FALSE)+((VLOOKUP($BJ85&amp;"最终",$S$3:$AE$63,MATCH(BM$3,$S$3:$AE$3,0),FALSE)*坦克个性化细分!$C$9-VLOOKUP($BJ85&amp;"初始",$S$3:$AE$63,MATCH(BM$3,$S$3:$AE$3,0),FALSE))-(VLOOKUP($BJ85&amp;"最终",$S$3:$AE$63,MATCH(BM$3,$S$3:$AE$3,0),FALSE)-VLOOKUP($BJ85&amp;"初始",$S$3:$AE$63,MATCH(BM$3,$S$3:$AE$3,0),FALSE))*VLOOKUP(VLOOKUP($BJ85,坦克个性化设定!$B$18:$E$48,4,FALSE)&amp;$BK85,坦克属性分配比例,MATCH("部件比例",坦克属性分配比例标头,0),FALSE))*$BL85/VLOOKUP(VLOOKUP($BJ85,坦克个性化设定!$B$18:$E$48,4,FALSE)&amp;$BK85,坦克属性分配比例,MATCH("升星次数",坦克属性分配比例标头,0),FALSE),0)</f>
        <v>#N/A</v>
      </c>
      <c r="BN85" s="103" t="e">
        <f ca="1">ROUND(VLOOKUP($BJ85&amp;"初始",$S$3:$AE$63,MATCH(BN$3,$S$3:$AE$3,0),FALSE)+(VLOOKUP($BJ85&amp;"最终",$S$3:$AE$63,MATCH(BN$3,$S$3:$AE$3,0),FALSE)-VLOOKUP($BJ85&amp;"初始",$S$3:$AE$63,MATCH(BN$3,$S$3:$AE$3,0),FALSE))*$BL85/VLOOKUP(VLOOKUP($BJ85,坦克个性化设定!$B$18:$E$48,4,FALSE)&amp;$BK85,坦克属性分配比例,MATCH("升星次数",坦克属性分配比例标头,0),FALSE)*VLOOKUP(VLOOKUP($BJ85,坦克个性化设定!$B$18:$E$48,4,FALSE)&amp;$BK85,坦克属性分配比例,MATCH("升星比例",坦克属性分配比例标头,0),FALSE),0)</f>
        <v>#N/A</v>
      </c>
      <c r="BO85" s="103" t="e">
        <f ca="1">ROUND(VLOOKUP($BJ85&amp;"初始",$S$3:$AE$63,MATCH(BO$3,$S$3:$AE$3,0),FALSE)+(VLOOKUP($BJ85&amp;"最终",$S$3:$AE$63,MATCH(BO$3,$S$3:$AE$3,0),FALSE)-VLOOKUP($BJ85&amp;"初始",$S$3:$AE$63,MATCH(BO$3,$S$3:$AE$3,0),FALSE))*$BL85/VLOOKUP(VLOOKUP($BJ85,坦克个性化设定!$B$18:$E$48,4,FALSE)&amp;$BK85,坦克属性分配比例,MATCH("升星次数",坦克属性分配比例标头,0),FALSE)*(VLOOKUP(VLOOKUP($BJ85,坦克个性化设定!$B$18:$E$48,4,FALSE)&amp;$BK85,坦克属性分配比例,MATCH("升星比例",坦克属性分配比例标头,0),FALSE)+VLOOKUP(VLOOKUP($BJ85,坦克个性化设定!$B$18:$E$48,4,FALSE)&amp;$BK85,坦克属性分配比例,MATCH("部件比例",坦克属性分配比例标头,0),FALSE)*$C$3),0)</f>
        <v>#N/A</v>
      </c>
      <c r="BP85" s="103" t="e">
        <f ca="1">ROUND(VLOOKUP($BJ85&amp;"初始",$S$3:$AE$63,MATCH(BP$3,$S$3:$AE$3,0),FALSE)+(VLOOKUP($BJ85&amp;"最终",$S$3:$AE$63,MATCH(BP$3,$S$3:$AE$3,0),FALSE)-VLOOKUP($BJ85&amp;"初始",$S$3:$AE$63,MATCH(BP$3,$S$3:$AE$3,0),FALSE))*$BL85/VLOOKUP(VLOOKUP($BJ85,坦克个性化设定!$B$18:$E$48,4,FALSE)&amp;$BK85,坦克属性分配比例,MATCH("升星次数",坦克属性分配比例标头,0),FALSE)*(VLOOKUP(VLOOKUP($BJ85,坦克个性化设定!$B$18:$E$48,4,FALSE)&amp;$BK85,坦克属性分配比例,MATCH("升星比例",坦克属性分配比例标头,0),FALSE)+VLOOKUP(VLOOKUP($BJ85,坦克个性化设定!$B$18:$E$48,4,FALSE)&amp;$BK85,坦克属性分配比例,MATCH("部件比例",坦克属性分配比例标头,0),FALSE)*$C$3),0)</f>
        <v>#N/A</v>
      </c>
      <c r="BQ85" s="103" t="e">
        <f ca="1">ROUND(VLOOKUP($BJ85&amp;"初始",$S$3:$AE$63,MATCH(BQ$3,$S$3:$AE$3,0),FALSE)+(VLOOKUP($BJ85&amp;"最终",$S$3:$AE$63,MATCH(BQ$3,$S$3:$AE$3,0),FALSE)-VLOOKUP($BJ85&amp;"初始",$S$3:$AE$63,MATCH(BQ$3,$S$3:$AE$3,0),FALSE))*$BL85/VLOOKUP(VLOOKUP($BJ85,坦克个性化设定!$B$18:$E$48,4,FALSE)&amp;$BK85,坦克属性分配比例,MATCH("升星次数",坦克属性分配比例标头,0),FALSE)*VLOOKUP(VLOOKUP($BJ85,坦克个性化设定!$B$18:$E$48,4,FALSE)&amp;$BK85,坦克属性分配比例,MATCH("升星比例",坦克属性分配比例标头,0),FALSE),0)</f>
        <v>#N/A</v>
      </c>
      <c r="BR85" s="2" t="e">
        <f ca="1">ROUND(VLOOKUP($BJ85&amp;"初始",$S$3:$AE$63,MATCH(BR$3,$S$3:$AE$3,0),FALSE)+(VLOOKUP($BJ85&amp;"最终",$S$3:$AE$63,MATCH(BR$3,$S$3:$AE$3,0),FALSE)-VLOOKUP($BJ85&amp;"初始",$S$3:$AE$63,MATCH(BR$3,$S$3:$AE$3,0),FALSE))*$BL85/VLOOKUP(VLOOKUP($BJ85,坦克个性化设定!$B$18:$E$48,4,FALSE)&amp;$BK85,坦克属性分配比例,MATCH("升星次数",坦克属性分配比例标头,0),FALSE),0)</f>
        <v>#N/A</v>
      </c>
      <c r="BS85" s="2">
        <f>ROUND(VLOOKUP($BJ85,$AI$3:$AO$33,MATCH(BS$3,$AI$3:$AO$3,0),FALSE)+$BL85/VLOOKUP(VLOOKUP($BJ85,坦克个性化设定!$B$18:$E$48,4,FALSE)&amp;$BK85,坦克属性分配比例,MATCH("升星次数",坦克属性分配比例标头,0),FALSE)*VLOOKUP($BJ85,$AR$3:$AY$33,MATCH(BS$3,$AR$3:$AY$3,0),FALSE),1)</f>
        <v>49.6</v>
      </c>
      <c r="BT85" s="2">
        <f>ROUND(VLOOKUP($BJ85,$AI$3:$AO$33,MATCH(BT$3,$AI$3:$AO$3,0),FALSE)+$BL85/VLOOKUP(VLOOKUP($BJ85,坦克个性化设定!$B$18:$E$48,4,FALSE)&amp;$BK85,坦克属性分配比例,MATCH("升星次数",坦克属性分配比例标头,0),FALSE)*VLOOKUP($BJ85,$AR$3:$AY$33,MATCH(BT$3,$AR$3:$AY$3,0),FALSE),1)</f>
        <v>58.5</v>
      </c>
      <c r="BU85" s="2">
        <f>ROUND(VLOOKUP($BJ85,$AI$3:$AO$33,MATCH(BU$3,$AI$3:$AO$3,0),FALSE)+$BL85/VLOOKUP(VLOOKUP($BJ85,坦克个性化设定!$B$18:$E$48,4,FALSE)&amp;$BK85,坦克属性分配比例,MATCH("升星次数",坦克属性分配比例标头,0),FALSE)*VLOOKUP($BJ85,$AR$3:$AY$33,MATCH(BU$3,$AR$3:$AY$3,0),FALSE),1)</f>
        <v>10.5</v>
      </c>
      <c r="BV85" s="2">
        <f>IF(VLOOKUP(BJ85,坦克个性化设定!$B$18:$BC$48,MATCH("装弹类型",坦克个性化设定!$B$18:$BC$18,0),FALSE)="弹夹换弹",0,ROUND(VLOOKUP($BJ85,$AI$3:$AO$33,MATCH("换弹时间",$AI$3:$AO$3,0),FALSE)-$BL85/VLOOKUP(VLOOKUP($BJ85,坦克个性化设定!$B$18:$E$48,4,FALSE)&amp;$BK85,坦克属性分配比例,MATCH("升星次数",坦克属性分配比例标头,0),FALSE)*VLOOKUP($BJ85,$AR$3:$AY$33,MATCH("换弹时间",$AR$3:$AY$3,0),FALSE),2))</f>
        <v>0</v>
      </c>
      <c r="BW85" s="2">
        <f>IF(VLOOKUP(BJ85,坦克个性化设定!$B$18:$BC$48,MATCH("装弹类型",坦克个性化设定!$B$18:$BC$18,0),FALSE)="弹夹换弹",ROUND(VLOOKUP($BJ85,$AI$3:$AO$33,MATCH("换弹时间",$AI$3:$AO$3,0),FALSE)-$BL85/VLOOKUP(VLOOKUP($BJ85,坦克个性化设定!$B$18:$E$48,4,FALSE)&amp;$BK85,坦克属性分配比例,MATCH("升星次数",坦克属性分配比例标头,0),FALSE)*VLOOKUP($BJ85,$AR$3:$AY$33,MATCH("换弹时间",$AR$3:$AY$3,0),FALSE),1),0)</f>
        <v>5.4</v>
      </c>
      <c r="BX85" s="2">
        <f>ROUND(VLOOKUP($BJ85,$AI$3:$AO$33,MATCH(BX$3,$AI$3:$AO$3,0),FALSE)+$BL85/VLOOKUP(VLOOKUP($BJ85,坦克个性化设定!$B$18:$E$48,4,FALSE)&amp;$BK85,坦克属性分配比例,MATCH("升星次数",坦克属性分配比例标头,0),FALSE)*VLOOKUP($BJ85,$AR$3:$AY$33,MATCH(BX$3,$AR$3:$AY$3,0),FALSE),2)</f>
        <v>0.8</v>
      </c>
      <c r="BY85" s="2">
        <f>ROUND(VLOOKUP($BJ85,$AI$3:$AO$33,MATCH(BY$3,$AI$3:$AO$3,0),FALSE)-$BL85/VLOOKUP(VLOOKUP($BJ85,坦克个性化设定!$B$18:$E$48,4,FALSE)&amp;$BK85,坦克属性分配比例,MATCH("升星次数",坦克属性分配比例标头,0),FALSE)*VLOOKUP($BJ85,$AR$3:$AY$33,MATCH(BY$3,$AR$3:$AY$3,0),FALSE),2)</f>
        <v>0.48</v>
      </c>
    </row>
    <row r="86" spans="60:77" x14ac:dyDescent="0.3">
      <c r="BH86" s="2" t="str">
        <f t="shared" si="24"/>
        <v>BMP-36</v>
      </c>
      <c r="BI86" s="2">
        <f>IF(BL85&gt;=VLOOKUP(VLOOKUP(BJ85,坦克个性化设定!$B$18:$E$48,4,FALSE)&amp;BK85,坦克属性分配比例,MATCH("升星次数",坦克属性分配比例标头,0),FALSE),BI85+1,BI85)</f>
        <v>9</v>
      </c>
      <c r="BJ86" s="2" t="str">
        <f t="shared" si="25"/>
        <v>BMP-3</v>
      </c>
      <c r="BK86" s="29" t="str">
        <f>VLOOKUP(BJ86,坦克个性化细分!$I$3:$J$33,2,FALSE)</f>
        <v>高</v>
      </c>
      <c r="BL86" s="2">
        <f t="shared" si="23"/>
        <v>6</v>
      </c>
      <c r="BM86" s="103" t="e">
        <f ca="1">ROUND(VLOOKUP($BJ86&amp;"初始",$S$3:$AE$63,MATCH(BM$3,$S$3:$AE$3,0),FALSE)+((VLOOKUP($BJ86&amp;"最终",$S$3:$AE$63,MATCH(BM$3,$S$3:$AE$3,0),FALSE)*坦克个性化细分!$C$9-VLOOKUP($BJ86&amp;"初始",$S$3:$AE$63,MATCH(BM$3,$S$3:$AE$3,0),FALSE))-(VLOOKUP($BJ86&amp;"最终",$S$3:$AE$63,MATCH(BM$3,$S$3:$AE$3,0),FALSE)-VLOOKUP($BJ86&amp;"初始",$S$3:$AE$63,MATCH(BM$3,$S$3:$AE$3,0),FALSE))*VLOOKUP(VLOOKUP($BJ86,坦克个性化设定!$B$18:$E$48,4,FALSE)&amp;$BK86,坦克属性分配比例,MATCH("部件比例",坦克属性分配比例标头,0),FALSE))*$BL86/VLOOKUP(VLOOKUP($BJ86,坦克个性化设定!$B$18:$E$48,4,FALSE)&amp;$BK86,坦克属性分配比例,MATCH("升星次数",坦克属性分配比例标头,0),FALSE),0)</f>
        <v>#N/A</v>
      </c>
      <c r="BN86" s="103" t="e">
        <f ca="1">ROUND(VLOOKUP($BJ86&amp;"初始",$S$3:$AE$63,MATCH(BN$3,$S$3:$AE$3,0),FALSE)+(VLOOKUP($BJ86&amp;"最终",$S$3:$AE$63,MATCH(BN$3,$S$3:$AE$3,0),FALSE)-VLOOKUP($BJ86&amp;"初始",$S$3:$AE$63,MATCH(BN$3,$S$3:$AE$3,0),FALSE))*$BL86/VLOOKUP(VLOOKUP($BJ86,坦克个性化设定!$B$18:$E$48,4,FALSE)&amp;$BK86,坦克属性分配比例,MATCH("升星次数",坦克属性分配比例标头,0),FALSE)*VLOOKUP(VLOOKUP($BJ86,坦克个性化设定!$B$18:$E$48,4,FALSE)&amp;$BK86,坦克属性分配比例,MATCH("升星比例",坦克属性分配比例标头,0),FALSE),0)</f>
        <v>#N/A</v>
      </c>
      <c r="BO86" s="103" t="e">
        <f ca="1">ROUND(VLOOKUP($BJ86&amp;"初始",$S$3:$AE$63,MATCH(BO$3,$S$3:$AE$3,0),FALSE)+(VLOOKUP($BJ86&amp;"最终",$S$3:$AE$63,MATCH(BO$3,$S$3:$AE$3,0),FALSE)-VLOOKUP($BJ86&amp;"初始",$S$3:$AE$63,MATCH(BO$3,$S$3:$AE$3,0),FALSE))*$BL86/VLOOKUP(VLOOKUP($BJ86,坦克个性化设定!$B$18:$E$48,4,FALSE)&amp;$BK86,坦克属性分配比例,MATCH("升星次数",坦克属性分配比例标头,0),FALSE)*(VLOOKUP(VLOOKUP($BJ86,坦克个性化设定!$B$18:$E$48,4,FALSE)&amp;$BK86,坦克属性分配比例,MATCH("升星比例",坦克属性分配比例标头,0),FALSE)+VLOOKUP(VLOOKUP($BJ86,坦克个性化设定!$B$18:$E$48,4,FALSE)&amp;$BK86,坦克属性分配比例,MATCH("部件比例",坦克属性分配比例标头,0),FALSE)*$C$3),0)</f>
        <v>#N/A</v>
      </c>
      <c r="BP86" s="103" t="e">
        <f ca="1">ROUND(VLOOKUP($BJ86&amp;"初始",$S$3:$AE$63,MATCH(BP$3,$S$3:$AE$3,0),FALSE)+(VLOOKUP($BJ86&amp;"最终",$S$3:$AE$63,MATCH(BP$3,$S$3:$AE$3,0),FALSE)-VLOOKUP($BJ86&amp;"初始",$S$3:$AE$63,MATCH(BP$3,$S$3:$AE$3,0),FALSE))*$BL86/VLOOKUP(VLOOKUP($BJ86,坦克个性化设定!$B$18:$E$48,4,FALSE)&amp;$BK86,坦克属性分配比例,MATCH("升星次数",坦克属性分配比例标头,0),FALSE)*(VLOOKUP(VLOOKUP($BJ86,坦克个性化设定!$B$18:$E$48,4,FALSE)&amp;$BK86,坦克属性分配比例,MATCH("升星比例",坦克属性分配比例标头,0),FALSE)+VLOOKUP(VLOOKUP($BJ86,坦克个性化设定!$B$18:$E$48,4,FALSE)&amp;$BK86,坦克属性分配比例,MATCH("部件比例",坦克属性分配比例标头,0),FALSE)*$C$3),0)</f>
        <v>#N/A</v>
      </c>
      <c r="BQ86" s="103" t="e">
        <f ca="1">ROUND(VLOOKUP($BJ86&amp;"初始",$S$3:$AE$63,MATCH(BQ$3,$S$3:$AE$3,0),FALSE)+(VLOOKUP($BJ86&amp;"最终",$S$3:$AE$63,MATCH(BQ$3,$S$3:$AE$3,0),FALSE)-VLOOKUP($BJ86&amp;"初始",$S$3:$AE$63,MATCH(BQ$3,$S$3:$AE$3,0),FALSE))*$BL86/VLOOKUP(VLOOKUP($BJ86,坦克个性化设定!$B$18:$E$48,4,FALSE)&amp;$BK86,坦克属性分配比例,MATCH("升星次数",坦克属性分配比例标头,0),FALSE)*VLOOKUP(VLOOKUP($BJ86,坦克个性化设定!$B$18:$E$48,4,FALSE)&amp;$BK86,坦克属性分配比例,MATCH("升星比例",坦克属性分配比例标头,0),FALSE),0)</f>
        <v>#N/A</v>
      </c>
      <c r="BR86" s="2" t="e">
        <f ca="1">ROUND(VLOOKUP($BJ86&amp;"初始",$S$3:$AE$63,MATCH(BR$3,$S$3:$AE$3,0),FALSE)+(VLOOKUP($BJ86&amp;"最终",$S$3:$AE$63,MATCH(BR$3,$S$3:$AE$3,0),FALSE)-VLOOKUP($BJ86&amp;"初始",$S$3:$AE$63,MATCH(BR$3,$S$3:$AE$3,0),FALSE))*$BL86/VLOOKUP(VLOOKUP($BJ86,坦克个性化设定!$B$18:$E$48,4,FALSE)&amp;$BK86,坦克属性分配比例,MATCH("升星次数",坦克属性分配比例标头,0),FALSE),0)</f>
        <v>#N/A</v>
      </c>
      <c r="BS86" s="2">
        <f>ROUND(VLOOKUP($BJ86,$AI$3:$AO$33,MATCH(BS$3,$AI$3:$AO$3,0),FALSE)+$BL86/VLOOKUP(VLOOKUP($BJ86,坦克个性化设定!$B$18:$E$48,4,FALSE)&amp;$BK86,坦克属性分配比例,MATCH("升星次数",坦克属性分配比例标头,0),FALSE)*VLOOKUP($BJ86,$AR$3:$AY$33,MATCH(BS$3,$AR$3:$AY$3,0),FALSE),1)</f>
        <v>50.6</v>
      </c>
      <c r="BT86" s="2">
        <f>ROUND(VLOOKUP($BJ86,$AI$3:$AO$33,MATCH(BT$3,$AI$3:$AO$3,0),FALSE)+$BL86/VLOOKUP(VLOOKUP($BJ86,坦克个性化设定!$B$18:$E$48,4,FALSE)&amp;$BK86,坦克属性分配比例,MATCH("升星次数",坦克属性分配比例标头,0),FALSE)*VLOOKUP($BJ86,$AR$3:$AY$33,MATCH(BT$3,$AR$3:$AY$3,0),FALSE),1)</f>
        <v>59.7</v>
      </c>
      <c r="BU86" s="2">
        <f>ROUND(VLOOKUP($BJ86,$AI$3:$AO$33,MATCH(BU$3,$AI$3:$AO$3,0),FALSE)+$BL86/VLOOKUP(VLOOKUP($BJ86,坦克个性化设定!$B$18:$E$48,4,FALSE)&amp;$BK86,坦克属性分配比例,MATCH("升星次数",坦克属性分配比例标头,0),FALSE)*VLOOKUP($BJ86,$AR$3:$AY$33,MATCH(BU$3,$AR$3:$AY$3,0),FALSE),1)</f>
        <v>10.5</v>
      </c>
      <c r="BV86" s="2">
        <f>IF(VLOOKUP(BJ86,坦克个性化设定!$B$18:$BC$48,MATCH("装弹类型",坦克个性化设定!$B$18:$BC$18,0),FALSE)="弹夹换弹",0,ROUND(VLOOKUP($BJ86,$AI$3:$AO$33,MATCH("换弹时间",$AI$3:$AO$3,0),FALSE)-$BL86/VLOOKUP(VLOOKUP($BJ86,坦克个性化设定!$B$18:$E$48,4,FALSE)&amp;$BK86,坦克属性分配比例,MATCH("升星次数",坦克属性分配比例标头,0),FALSE)*VLOOKUP($BJ86,$AR$3:$AY$33,MATCH("换弹时间",$AR$3:$AY$3,0),FALSE),2))</f>
        <v>0</v>
      </c>
      <c r="BW86" s="2">
        <f>IF(VLOOKUP(BJ86,坦克个性化设定!$B$18:$BC$48,MATCH("装弹类型",坦克个性化设定!$B$18:$BC$18,0),FALSE)="弹夹换弹",ROUND(VLOOKUP($BJ86,$AI$3:$AO$33,MATCH("换弹时间",$AI$3:$AO$3,0),FALSE)-$BL86/VLOOKUP(VLOOKUP($BJ86,坦克个性化设定!$B$18:$E$48,4,FALSE)&amp;$BK86,坦克属性分配比例,MATCH("升星次数",坦克属性分配比例标头,0),FALSE)*VLOOKUP($BJ86,$AR$3:$AY$33,MATCH("换弹时间",$AR$3:$AY$3,0),FALSE),1),0)</f>
        <v>5.2</v>
      </c>
      <c r="BX86" s="2">
        <f>ROUND(VLOOKUP($BJ86,$AI$3:$AO$33,MATCH(BX$3,$AI$3:$AO$3,0),FALSE)+$BL86/VLOOKUP(VLOOKUP($BJ86,坦克个性化设定!$B$18:$E$48,4,FALSE)&amp;$BK86,坦克属性分配比例,MATCH("升星次数",坦克属性分配比例标头,0),FALSE)*VLOOKUP($BJ86,$AR$3:$AY$33,MATCH(BX$3,$AR$3:$AY$3,0),FALSE),2)</f>
        <v>0.8</v>
      </c>
      <c r="BY86" s="2">
        <f>ROUND(VLOOKUP($BJ86,$AI$3:$AO$33,MATCH(BY$3,$AI$3:$AO$3,0),FALSE)-$BL86/VLOOKUP(VLOOKUP($BJ86,坦克个性化设定!$B$18:$E$48,4,FALSE)&amp;$BK86,坦克属性分配比例,MATCH("升星次数",坦克属性分配比例标头,0),FALSE)*VLOOKUP($BJ86,$AR$3:$AY$33,MATCH(BY$3,$AR$3:$AY$3,0),FALSE),2)</f>
        <v>0.47</v>
      </c>
    </row>
    <row r="87" spans="60:77" x14ac:dyDescent="0.3">
      <c r="BH87" s="2" t="str">
        <f t="shared" si="24"/>
        <v>BMP-37</v>
      </c>
      <c r="BI87" s="2">
        <f>IF(BL86&gt;=VLOOKUP(VLOOKUP(BJ86,坦克个性化设定!$B$18:$E$48,4,FALSE)&amp;BK86,坦克属性分配比例,MATCH("升星次数",坦克属性分配比例标头,0),FALSE),BI86+1,BI86)</f>
        <v>9</v>
      </c>
      <c r="BJ87" s="2" t="str">
        <f t="shared" si="25"/>
        <v>BMP-3</v>
      </c>
      <c r="BK87" s="29" t="str">
        <f>VLOOKUP(BJ87,坦克个性化细分!$I$3:$J$33,2,FALSE)</f>
        <v>高</v>
      </c>
      <c r="BL87" s="2">
        <f t="shared" si="23"/>
        <v>7</v>
      </c>
      <c r="BM87" s="103" t="e">
        <f ca="1">ROUND(VLOOKUP($BJ87&amp;"初始",$S$3:$AE$63,MATCH(BM$3,$S$3:$AE$3,0),FALSE)+((VLOOKUP($BJ87&amp;"最终",$S$3:$AE$63,MATCH(BM$3,$S$3:$AE$3,0),FALSE)*坦克个性化细分!$C$9-VLOOKUP($BJ87&amp;"初始",$S$3:$AE$63,MATCH(BM$3,$S$3:$AE$3,0),FALSE))-(VLOOKUP($BJ87&amp;"最终",$S$3:$AE$63,MATCH(BM$3,$S$3:$AE$3,0),FALSE)-VLOOKUP($BJ87&amp;"初始",$S$3:$AE$63,MATCH(BM$3,$S$3:$AE$3,0),FALSE))*VLOOKUP(VLOOKUP($BJ87,坦克个性化设定!$B$18:$E$48,4,FALSE)&amp;$BK87,坦克属性分配比例,MATCH("部件比例",坦克属性分配比例标头,0),FALSE))*$BL87/VLOOKUP(VLOOKUP($BJ87,坦克个性化设定!$B$18:$E$48,4,FALSE)&amp;$BK87,坦克属性分配比例,MATCH("升星次数",坦克属性分配比例标头,0),FALSE),0)</f>
        <v>#N/A</v>
      </c>
      <c r="BN87" s="103" t="e">
        <f ca="1">ROUND(VLOOKUP($BJ87&amp;"初始",$S$3:$AE$63,MATCH(BN$3,$S$3:$AE$3,0),FALSE)+(VLOOKUP($BJ87&amp;"最终",$S$3:$AE$63,MATCH(BN$3,$S$3:$AE$3,0),FALSE)-VLOOKUP($BJ87&amp;"初始",$S$3:$AE$63,MATCH(BN$3,$S$3:$AE$3,0),FALSE))*$BL87/VLOOKUP(VLOOKUP($BJ87,坦克个性化设定!$B$18:$E$48,4,FALSE)&amp;$BK87,坦克属性分配比例,MATCH("升星次数",坦克属性分配比例标头,0),FALSE)*VLOOKUP(VLOOKUP($BJ87,坦克个性化设定!$B$18:$E$48,4,FALSE)&amp;$BK87,坦克属性分配比例,MATCH("升星比例",坦克属性分配比例标头,0),FALSE),0)</f>
        <v>#N/A</v>
      </c>
      <c r="BO87" s="103" t="e">
        <f ca="1">ROUND(VLOOKUP($BJ87&amp;"初始",$S$3:$AE$63,MATCH(BO$3,$S$3:$AE$3,0),FALSE)+(VLOOKUP($BJ87&amp;"最终",$S$3:$AE$63,MATCH(BO$3,$S$3:$AE$3,0),FALSE)-VLOOKUP($BJ87&amp;"初始",$S$3:$AE$63,MATCH(BO$3,$S$3:$AE$3,0),FALSE))*$BL87/VLOOKUP(VLOOKUP($BJ87,坦克个性化设定!$B$18:$E$48,4,FALSE)&amp;$BK87,坦克属性分配比例,MATCH("升星次数",坦克属性分配比例标头,0),FALSE)*(VLOOKUP(VLOOKUP($BJ87,坦克个性化设定!$B$18:$E$48,4,FALSE)&amp;$BK87,坦克属性分配比例,MATCH("升星比例",坦克属性分配比例标头,0),FALSE)+VLOOKUP(VLOOKUP($BJ87,坦克个性化设定!$B$18:$E$48,4,FALSE)&amp;$BK87,坦克属性分配比例,MATCH("部件比例",坦克属性分配比例标头,0),FALSE)*$C$3),0)</f>
        <v>#N/A</v>
      </c>
      <c r="BP87" s="103" t="e">
        <f ca="1">ROUND(VLOOKUP($BJ87&amp;"初始",$S$3:$AE$63,MATCH(BP$3,$S$3:$AE$3,0),FALSE)+(VLOOKUP($BJ87&amp;"最终",$S$3:$AE$63,MATCH(BP$3,$S$3:$AE$3,0),FALSE)-VLOOKUP($BJ87&amp;"初始",$S$3:$AE$63,MATCH(BP$3,$S$3:$AE$3,0),FALSE))*$BL87/VLOOKUP(VLOOKUP($BJ87,坦克个性化设定!$B$18:$E$48,4,FALSE)&amp;$BK87,坦克属性分配比例,MATCH("升星次数",坦克属性分配比例标头,0),FALSE)*(VLOOKUP(VLOOKUP($BJ87,坦克个性化设定!$B$18:$E$48,4,FALSE)&amp;$BK87,坦克属性分配比例,MATCH("升星比例",坦克属性分配比例标头,0),FALSE)+VLOOKUP(VLOOKUP($BJ87,坦克个性化设定!$B$18:$E$48,4,FALSE)&amp;$BK87,坦克属性分配比例,MATCH("部件比例",坦克属性分配比例标头,0),FALSE)*$C$3),0)</f>
        <v>#N/A</v>
      </c>
      <c r="BQ87" s="103" t="e">
        <f ca="1">ROUND(VLOOKUP($BJ87&amp;"初始",$S$3:$AE$63,MATCH(BQ$3,$S$3:$AE$3,0),FALSE)+(VLOOKUP($BJ87&amp;"最终",$S$3:$AE$63,MATCH(BQ$3,$S$3:$AE$3,0),FALSE)-VLOOKUP($BJ87&amp;"初始",$S$3:$AE$63,MATCH(BQ$3,$S$3:$AE$3,0),FALSE))*$BL87/VLOOKUP(VLOOKUP($BJ87,坦克个性化设定!$B$18:$E$48,4,FALSE)&amp;$BK87,坦克属性分配比例,MATCH("升星次数",坦克属性分配比例标头,0),FALSE)*VLOOKUP(VLOOKUP($BJ87,坦克个性化设定!$B$18:$E$48,4,FALSE)&amp;$BK87,坦克属性分配比例,MATCH("升星比例",坦克属性分配比例标头,0),FALSE),0)</f>
        <v>#N/A</v>
      </c>
      <c r="BR87" s="2" t="e">
        <f ca="1">ROUND(VLOOKUP($BJ87&amp;"初始",$S$3:$AE$63,MATCH(BR$3,$S$3:$AE$3,0),FALSE)+(VLOOKUP($BJ87&amp;"最终",$S$3:$AE$63,MATCH(BR$3,$S$3:$AE$3,0),FALSE)-VLOOKUP($BJ87&amp;"初始",$S$3:$AE$63,MATCH(BR$3,$S$3:$AE$3,0),FALSE))*$BL87/VLOOKUP(VLOOKUP($BJ87,坦克个性化设定!$B$18:$E$48,4,FALSE)&amp;$BK87,坦克属性分配比例,MATCH("升星次数",坦克属性分配比例标头,0),FALSE),0)</f>
        <v>#N/A</v>
      </c>
      <c r="BS87" s="2">
        <f>ROUND(VLOOKUP($BJ87,$AI$3:$AO$33,MATCH(BS$3,$AI$3:$AO$3,0),FALSE)+$BL87/VLOOKUP(VLOOKUP($BJ87,坦克个性化设定!$B$18:$E$48,4,FALSE)&amp;$BK87,坦克属性分配比例,MATCH("升星次数",坦克属性分配比例标头,0),FALSE)*VLOOKUP($BJ87,$AR$3:$AY$33,MATCH(BS$3,$AR$3:$AY$3,0),FALSE),1)</f>
        <v>51.6</v>
      </c>
      <c r="BT87" s="2">
        <f>ROUND(VLOOKUP($BJ87,$AI$3:$AO$33,MATCH(BT$3,$AI$3:$AO$3,0),FALSE)+$BL87/VLOOKUP(VLOOKUP($BJ87,坦克个性化设定!$B$18:$E$48,4,FALSE)&amp;$BK87,坦克属性分配比例,MATCH("升星次数",坦克属性分配比例标头,0),FALSE)*VLOOKUP($BJ87,$AR$3:$AY$33,MATCH(BT$3,$AR$3:$AY$3,0),FALSE),1)</f>
        <v>60.9</v>
      </c>
      <c r="BU87" s="2">
        <f>ROUND(VLOOKUP($BJ87,$AI$3:$AO$33,MATCH(BU$3,$AI$3:$AO$3,0),FALSE)+$BL87/VLOOKUP(VLOOKUP($BJ87,坦克个性化设定!$B$18:$E$48,4,FALSE)&amp;$BK87,坦克属性分配比例,MATCH("升星次数",坦克属性分配比例标头,0),FALSE)*VLOOKUP($BJ87,$AR$3:$AY$33,MATCH(BU$3,$AR$3:$AY$3,0),FALSE),1)</f>
        <v>10.5</v>
      </c>
      <c r="BV87" s="2">
        <f>IF(VLOOKUP(BJ87,坦克个性化设定!$B$18:$BC$48,MATCH("装弹类型",坦克个性化设定!$B$18:$BC$18,0),FALSE)="弹夹换弹",0,ROUND(VLOOKUP($BJ87,$AI$3:$AO$33,MATCH("换弹时间",$AI$3:$AO$3,0),FALSE)-$BL87/VLOOKUP(VLOOKUP($BJ87,坦克个性化设定!$B$18:$E$48,4,FALSE)&amp;$BK87,坦克属性分配比例,MATCH("升星次数",坦克属性分配比例标头,0),FALSE)*VLOOKUP($BJ87,$AR$3:$AY$33,MATCH("换弹时间",$AR$3:$AY$3,0),FALSE),2))</f>
        <v>0</v>
      </c>
      <c r="BW87" s="2">
        <f>IF(VLOOKUP(BJ87,坦克个性化设定!$B$18:$BC$48,MATCH("装弹类型",坦克个性化设定!$B$18:$BC$18,0),FALSE)="弹夹换弹",ROUND(VLOOKUP($BJ87,$AI$3:$AO$33,MATCH("换弹时间",$AI$3:$AO$3,0),FALSE)-$BL87/VLOOKUP(VLOOKUP($BJ87,坦克个性化设定!$B$18:$E$48,4,FALSE)&amp;$BK87,坦克属性分配比例,MATCH("升星次数",坦克属性分配比例标头,0),FALSE)*VLOOKUP($BJ87,$AR$3:$AY$33,MATCH("换弹时间",$AR$3:$AY$3,0),FALSE),1),0)</f>
        <v>5</v>
      </c>
      <c r="BX87" s="2">
        <f>ROUND(VLOOKUP($BJ87,$AI$3:$AO$33,MATCH(BX$3,$AI$3:$AO$3,0),FALSE)+$BL87/VLOOKUP(VLOOKUP($BJ87,坦克个性化设定!$B$18:$E$48,4,FALSE)&amp;$BK87,坦克属性分配比例,MATCH("升星次数",坦克属性分配比例标头,0),FALSE)*VLOOKUP($BJ87,$AR$3:$AY$33,MATCH(BX$3,$AR$3:$AY$3,0),FALSE),2)</f>
        <v>0.8</v>
      </c>
      <c r="BY87" s="2">
        <f>ROUND(VLOOKUP($BJ87,$AI$3:$AO$33,MATCH(BY$3,$AI$3:$AO$3,0),FALSE)-$BL87/VLOOKUP(VLOOKUP($BJ87,坦克个性化设定!$B$18:$E$48,4,FALSE)&amp;$BK87,坦克属性分配比例,MATCH("升星次数",坦克属性分配比例标头,0),FALSE)*VLOOKUP($BJ87,$AR$3:$AY$33,MATCH(BY$3,$AR$3:$AY$3,0),FALSE),2)</f>
        <v>0.46</v>
      </c>
    </row>
    <row r="88" spans="60:77" x14ac:dyDescent="0.3">
      <c r="BH88" s="2" t="str">
        <f t="shared" si="24"/>
        <v>BMP-38</v>
      </c>
      <c r="BI88" s="2">
        <f>IF(BL87&gt;=VLOOKUP(VLOOKUP(BJ87,坦克个性化设定!$B$18:$E$48,4,FALSE)&amp;BK87,坦克属性分配比例,MATCH("升星次数",坦克属性分配比例标头,0),FALSE),BI87+1,BI87)</f>
        <v>9</v>
      </c>
      <c r="BJ88" s="2" t="str">
        <f t="shared" si="25"/>
        <v>BMP-3</v>
      </c>
      <c r="BK88" s="29" t="str">
        <f>VLOOKUP(BJ88,坦克个性化细分!$I$3:$J$33,2,FALSE)</f>
        <v>高</v>
      </c>
      <c r="BL88" s="2">
        <f t="shared" si="23"/>
        <v>8</v>
      </c>
      <c r="BM88" s="103" t="e">
        <f ca="1">ROUND(VLOOKUP($BJ88&amp;"初始",$S$3:$AE$63,MATCH(BM$3,$S$3:$AE$3,0),FALSE)+((VLOOKUP($BJ88&amp;"最终",$S$3:$AE$63,MATCH(BM$3,$S$3:$AE$3,0),FALSE)*坦克个性化细分!$C$9-VLOOKUP($BJ88&amp;"初始",$S$3:$AE$63,MATCH(BM$3,$S$3:$AE$3,0),FALSE))-(VLOOKUP($BJ88&amp;"最终",$S$3:$AE$63,MATCH(BM$3,$S$3:$AE$3,0),FALSE)-VLOOKUP($BJ88&amp;"初始",$S$3:$AE$63,MATCH(BM$3,$S$3:$AE$3,0),FALSE))*VLOOKUP(VLOOKUP($BJ88,坦克个性化设定!$B$18:$E$48,4,FALSE)&amp;$BK88,坦克属性分配比例,MATCH("部件比例",坦克属性分配比例标头,0),FALSE))*$BL88/VLOOKUP(VLOOKUP($BJ88,坦克个性化设定!$B$18:$E$48,4,FALSE)&amp;$BK88,坦克属性分配比例,MATCH("升星次数",坦克属性分配比例标头,0),FALSE),0)</f>
        <v>#N/A</v>
      </c>
      <c r="BN88" s="103" t="e">
        <f ca="1">ROUND(VLOOKUP($BJ88&amp;"初始",$S$3:$AE$63,MATCH(BN$3,$S$3:$AE$3,0),FALSE)+(VLOOKUP($BJ88&amp;"最终",$S$3:$AE$63,MATCH(BN$3,$S$3:$AE$3,0),FALSE)-VLOOKUP($BJ88&amp;"初始",$S$3:$AE$63,MATCH(BN$3,$S$3:$AE$3,0),FALSE))*$BL88/VLOOKUP(VLOOKUP($BJ88,坦克个性化设定!$B$18:$E$48,4,FALSE)&amp;$BK88,坦克属性分配比例,MATCH("升星次数",坦克属性分配比例标头,0),FALSE)*VLOOKUP(VLOOKUP($BJ88,坦克个性化设定!$B$18:$E$48,4,FALSE)&amp;$BK88,坦克属性分配比例,MATCH("升星比例",坦克属性分配比例标头,0),FALSE),0)</f>
        <v>#N/A</v>
      </c>
      <c r="BO88" s="103" t="e">
        <f ca="1">ROUND(VLOOKUP($BJ88&amp;"初始",$S$3:$AE$63,MATCH(BO$3,$S$3:$AE$3,0),FALSE)+(VLOOKUP($BJ88&amp;"最终",$S$3:$AE$63,MATCH(BO$3,$S$3:$AE$3,0),FALSE)-VLOOKUP($BJ88&amp;"初始",$S$3:$AE$63,MATCH(BO$3,$S$3:$AE$3,0),FALSE))*$BL88/VLOOKUP(VLOOKUP($BJ88,坦克个性化设定!$B$18:$E$48,4,FALSE)&amp;$BK88,坦克属性分配比例,MATCH("升星次数",坦克属性分配比例标头,0),FALSE)*(VLOOKUP(VLOOKUP($BJ88,坦克个性化设定!$B$18:$E$48,4,FALSE)&amp;$BK88,坦克属性分配比例,MATCH("升星比例",坦克属性分配比例标头,0),FALSE)+VLOOKUP(VLOOKUP($BJ88,坦克个性化设定!$B$18:$E$48,4,FALSE)&amp;$BK88,坦克属性分配比例,MATCH("部件比例",坦克属性分配比例标头,0),FALSE)*$C$3),0)</f>
        <v>#N/A</v>
      </c>
      <c r="BP88" s="103" t="e">
        <f ca="1">ROUND(VLOOKUP($BJ88&amp;"初始",$S$3:$AE$63,MATCH(BP$3,$S$3:$AE$3,0),FALSE)+(VLOOKUP($BJ88&amp;"最终",$S$3:$AE$63,MATCH(BP$3,$S$3:$AE$3,0),FALSE)-VLOOKUP($BJ88&amp;"初始",$S$3:$AE$63,MATCH(BP$3,$S$3:$AE$3,0),FALSE))*$BL88/VLOOKUP(VLOOKUP($BJ88,坦克个性化设定!$B$18:$E$48,4,FALSE)&amp;$BK88,坦克属性分配比例,MATCH("升星次数",坦克属性分配比例标头,0),FALSE)*(VLOOKUP(VLOOKUP($BJ88,坦克个性化设定!$B$18:$E$48,4,FALSE)&amp;$BK88,坦克属性分配比例,MATCH("升星比例",坦克属性分配比例标头,0),FALSE)+VLOOKUP(VLOOKUP($BJ88,坦克个性化设定!$B$18:$E$48,4,FALSE)&amp;$BK88,坦克属性分配比例,MATCH("部件比例",坦克属性分配比例标头,0),FALSE)*$C$3),0)</f>
        <v>#N/A</v>
      </c>
      <c r="BQ88" s="103" t="e">
        <f ca="1">ROUND(VLOOKUP($BJ88&amp;"初始",$S$3:$AE$63,MATCH(BQ$3,$S$3:$AE$3,0),FALSE)+(VLOOKUP($BJ88&amp;"最终",$S$3:$AE$63,MATCH(BQ$3,$S$3:$AE$3,0),FALSE)-VLOOKUP($BJ88&amp;"初始",$S$3:$AE$63,MATCH(BQ$3,$S$3:$AE$3,0),FALSE))*$BL88/VLOOKUP(VLOOKUP($BJ88,坦克个性化设定!$B$18:$E$48,4,FALSE)&amp;$BK88,坦克属性分配比例,MATCH("升星次数",坦克属性分配比例标头,0),FALSE)*VLOOKUP(VLOOKUP($BJ88,坦克个性化设定!$B$18:$E$48,4,FALSE)&amp;$BK88,坦克属性分配比例,MATCH("升星比例",坦克属性分配比例标头,0),FALSE),0)</f>
        <v>#N/A</v>
      </c>
      <c r="BR88" s="2" t="e">
        <f ca="1">ROUND(VLOOKUP($BJ88&amp;"初始",$S$3:$AE$63,MATCH(BR$3,$S$3:$AE$3,0),FALSE)+(VLOOKUP($BJ88&amp;"最终",$S$3:$AE$63,MATCH(BR$3,$S$3:$AE$3,0),FALSE)-VLOOKUP($BJ88&amp;"初始",$S$3:$AE$63,MATCH(BR$3,$S$3:$AE$3,0),FALSE))*$BL88/VLOOKUP(VLOOKUP($BJ88,坦克个性化设定!$B$18:$E$48,4,FALSE)&amp;$BK88,坦克属性分配比例,MATCH("升星次数",坦克属性分配比例标头,0),FALSE),0)</f>
        <v>#N/A</v>
      </c>
      <c r="BS88" s="2">
        <f>ROUND(VLOOKUP($BJ88,$AI$3:$AO$33,MATCH(BS$3,$AI$3:$AO$3,0),FALSE)+$BL88/VLOOKUP(VLOOKUP($BJ88,坦克个性化设定!$B$18:$E$48,4,FALSE)&amp;$BK88,坦克属性分配比例,MATCH("升星次数",坦克属性分配比例标头,0),FALSE)*VLOOKUP($BJ88,$AR$3:$AY$33,MATCH(BS$3,$AR$3:$AY$3,0),FALSE),1)</f>
        <v>52.6</v>
      </c>
      <c r="BT88" s="2">
        <f>ROUND(VLOOKUP($BJ88,$AI$3:$AO$33,MATCH(BT$3,$AI$3:$AO$3,0),FALSE)+$BL88/VLOOKUP(VLOOKUP($BJ88,坦克个性化设定!$B$18:$E$48,4,FALSE)&amp;$BK88,坦克属性分配比例,MATCH("升星次数",坦克属性分配比例标头,0),FALSE)*VLOOKUP($BJ88,$AR$3:$AY$33,MATCH(BT$3,$AR$3:$AY$3,0),FALSE),1)</f>
        <v>62</v>
      </c>
      <c r="BU88" s="2">
        <f>ROUND(VLOOKUP($BJ88,$AI$3:$AO$33,MATCH(BU$3,$AI$3:$AO$3,0),FALSE)+$BL88/VLOOKUP(VLOOKUP($BJ88,坦克个性化设定!$B$18:$E$48,4,FALSE)&amp;$BK88,坦克属性分配比例,MATCH("升星次数",坦克属性分配比例标头,0),FALSE)*VLOOKUP($BJ88,$AR$3:$AY$33,MATCH(BU$3,$AR$3:$AY$3,0),FALSE),1)</f>
        <v>10.5</v>
      </c>
      <c r="BV88" s="2">
        <f>IF(VLOOKUP(BJ88,坦克个性化设定!$B$18:$BC$48,MATCH("装弹类型",坦克个性化设定!$B$18:$BC$18,0),FALSE)="弹夹换弹",0,ROUND(VLOOKUP($BJ88,$AI$3:$AO$33,MATCH("换弹时间",$AI$3:$AO$3,0),FALSE)-$BL88/VLOOKUP(VLOOKUP($BJ88,坦克个性化设定!$B$18:$E$48,4,FALSE)&amp;$BK88,坦克属性分配比例,MATCH("升星次数",坦克属性分配比例标头,0),FALSE)*VLOOKUP($BJ88,$AR$3:$AY$33,MATCH("换弹时间",$AR$3:$AY$3,0),FALSE),2))</f>
        <v>0</v>
      </c>
      <c r="BW88" s="2">
        <f>IF(VLOOKUP(BJ88,坦克个性化设定!$B$18:$BC$48,MATCH("装弹类型",坦克个性化设定!$B$18:$BC$18,0),FALSE)="弹夹换弹",ROUND(VLOOKUP($BJ88,$AI$3:$AO$33,MATCH("换弹时间",$AI$3:$AO$3,0),FALSE)-$BL88/VLOOKUP(VLOOKUP($BJ88,坦克个性化设定!$B$18:$E$48,4,FALSE)&amp;$BK88,坦克属性分配比例,MATCH("升星次数",坦克属性分配比例标头,0),FALSE)*VLOOKUP($BJ88,$AR$3:$AY$33,MATCH("换弹时间",$AR$3:$AY$3,0),FALSE),1),0)</f>
        <v>4.9000000000000004</v>
      </c>
      <c r="BX88" s="2">
        <f>ROUND(VLOOKUP($BJ88,$AI$3:$AO$33,MATCH(BX$3,$AI$3:$AO$3,0),FALSE)+$BL88/VLOOKUP(VLOOKUP($BJ88,坦克个性化设定!$B$18:$E$48,4,FALSE)&amp;$BK88,坦克属性分配比例,MATCH("升星次数",坦克属性分配比例标头,0),FALSE)*VLOOKUP($BJ88,$AR$3:$AY$33,MATCH(BX$3,$AR$3:$AY$3,0),FALSE),2)</f>
        <v>0.8</v>
      </c>
      <c r="BY88" s="2">
        <f>ROUND(VLOOKUP($BJ88,$AI$3:$AO$33,MATCH(BY$3,$AI$3:$AO$3,0),FALSE)-$BL88/VLOOKUP(VLOOKUP($BJ88,坦克个性化设定!$B$18:$E$48,4,FALSE)&amp;$BK88,坦克属性分配比例,MATCH("升星次数",坦克属性分配比例标头,0),FALSE)*VLOOKUP($BJ88,$AR$3:$AY$33,MATCH(BY$3,$AR$3:$AY$3,0),FALSE),2)</f>
        <v>0.45</v>
      </c>
    </row>
    <row r="89" spans="60:77" x14ac:dyDescent="0.3">
      <c r="BH89" s="2" t="str">
        <f t="shared" si="24"/>
        <v>BMP-39</v>
      </c>
      <c r="BI89" s="2">
        <f>IF(BL88&gt;=VLOOKUP(VLOOKUP(BJ88,坦克个性化设定!$B$18:$E$48,4,FALSE)&amp;BK88,坦克属性分配比例,MATCH("升星次数",坦克属性分配比例标头,0),FALSE),BI88+1,BI88)</f>
        <v>9</v>
      </c>
      <c r="BJ89" s="2" t="str">
        <f t="shared" si="25"/>
        <v>BMP-3</v>
      </c>
      <c r="BK89" s="29" t="str">
        <f>VLOOKUP(BJ89,坦克个性化细分!$I$3:$J$33,2,FALSE)</f>
        <v>高</v>
      </c>
      <c r="BL89" s="2">
        <f t="shared" si="23"/>
        <v>9</v>
      </c>
      <c r="BM89" s="103" t="e">
        <f ca="1">ROUND(VLOOKUP($BJ89&amp;"初始",$S$3:$AE$63,MATCH(BM$3,$S$3:$AE$3,0),FALSE)+((VLOOKUP($BJ89&amp;"最终",$S$3:$AE$63,MATCH(BM$3,$S$3:$AE$3,0),FALSE)*坦克个性化细分!$C$9-VLOOKUP($BJ89&amp;"初始",$S$3:$AE$63,MATCH(BM$3,$S$3:$AE$3,0),FALSE))-(VLOOKUP($BJ89&amp;"最终",$S$3:$AE$63,MATCH(BM$3,$S$3:$AE$3,0),FALSE)-VLOOKUP($BJ89&amp;"初始",$S$3:$AE$63,MATCH(BM$3,$S$3:$AE$3,0),FALSE))*VLOOKUP(VLOOKUP($BJ89,坦克个性化设定!$B$18:$E$48,4,FALSE)&amp;$BK89,坦克属性分配比例,MATCH("部件比例",坦克属性分配比例标头,0),FALSE))*$BL89/VLOOKUP(VLOOKUP($BJ89,坦克个性化设定!$B$18:$E$48,4,FALSE)&amp;$BK89,坦克属性分配比例,MATCH("升星次数",坦克属性分配比例标头,0),FALSE),0)</f>
        <v>#N/A</v>
      </c>
      <c r="BN89" s="103" t="e">
        <f ca="1">ROUND(VLOOKUP($BJ89&amp;"初始",$S$3:$AE$63,MATCH(BN$3,$S$3:$AE$3,0),FALSE)+(VLOOKUP($BJ89&amp;"最终",$S$3:$AE$63,MATCH(BN$3,$S$3:$AE$3,0),FALSE)-VLOOKUP($BJ89&amp;"初始",$S$3:$AE$63,MATCH(BN$3,$S$3:$AE$3,0),FALSE))*$BL89/VLOOKUP(VLOOKUP($BJ89,坦克个性化设定!$B$18:$E$48,4,FALSE)&amp;$BK89,坦克属性分配比例,MATCH("升星次数",坦克属性分配比例标头,0),FALSE)*VLOOKUP(VLOOKUP($BJ89,坦克个性化设定!$B$18:$E$48,4,FALSE)&amp;$BK89,坦克属性分配比例,MATCH("升星比例",坦克属性分配比例标头,0),FALSE),0)</f>
        <v>#N/A</v>
      </c>
      <c r="BO89" s="103" t="e">
        <f ca="1">ROUND(VLOOKUP($BJ89&amp;"初始",$S$3:$AE$63,MATCH(BO$3,$S$3:$AE$3,0),FALSE)+(VLOOKUP($BJ89&amp;"最终",$S$3:$AE$63,MATCH(BO$3,$S$3:$AE$3,0),FALSE)-VLOOKUP($BJ89&amp;"初始",$S$3:$AE$63,MATCH(BO$3,$S$3:$AE$3,0),FALSE))*$BL89/VLOOKUP(VLOOKUP($BJ89,坦克个性化设定!$B$18:$E$48,4,FALSE)&amp;$BK89,坦克属性分配比例,MATCH("升星次数",坦克属性分配比例标头,0),FALSE)*(VLOOKUP(VLOOKUP($BJ89,坦克个性化设定!$B$18:$E$48,4,FALSE)&amp;$BK89,坦克属性分配比例,MATCH("升星比例",坦克属性分配比例标头,0),FALSE)+VLOOKUP(VLOOKUP($BJ89,坦克个性化设定!$B$18:$E$48,4,FALSE)&amp;$BK89,坦克属性分配比例,MATCH("部件比例",坦克属性分配比例标头,0),FALSE)*$C$3),0)</f>
        <v>#N/A</v>
      </c>
      <c r="BP89" s="103" t="e">
        <f ca="1">ROUND(VLOOKUP($BJ89&amp;"初始",$S$3:$AE$63,MATCH(BP$3,$S$3:$AE$3,0),FALSE)+(VLOOKUP($BJ89&amp;"最终",$S$3:$AE$63,MATCH(BP$3,$S$3:$AE$3,0),FALSE)-VLOOKUP($BJ89&amp;"初始",$S$3:$AE$63,MATCH(BP$3,$S$3:$AE$3,0),FALSE))*$BL89/VLOOKUP(VLOOKUP($BJ89,坦克个性化设定!$B$18:$E$48,4,FALSE)&amp;$BK89,坦克属性分配比例,MATCH("升星次数",坦克属性分配比例标头,0),FALSE)*(VLOOKUP(VLOOKUP($BJ89,坦克个性化设定!$B$18:$E$48,4,FALSE)&amp;$BK89,坦克属性分配比例,MATCH("升星比例",坦克属性分配比例标头,0),FALSE)+VLOOKUP(VLOOKUP($BJ89,坦克个性化设定!$B$18:$E$48,4,FALSE)&amp;$BK89,坦克属性分配比例,MATCH("部件比例",坦克属性分配比例标头,0),FALSE)*$C$3),0)</f>
        <v>#N/A</v>
      </c>
      <c r="BQ89" s="103" t="e">
        <f ca="1">ROUND(VLOOKUP($BJ89&amp;"初始",$S$3:$AE$63,MATCH(BQ$3,$S$3:$AE$3,0),FALSE)+(VLOOKUP($BJ89&amp;"最终",$S$3:$AE$63,MATCH(BQ$3,$S$3:$AE$3,0),FALSE)-VLOOKUP($BJ89&amp;"初始",$S$3:$AE$63,MATCH(BQ$3,$S$3:$AE$3,0),FALSE))*$BL89/VLOOKUP(VLOOKUP($BJ89,坦克个性化设定!$B$18:$E$48,4,FALSE)&amp;$BK89,坦克属性分配比例,MATCH("升星次数",坦克属性分配比例标头,0),FALSE)*VLOOKUP(VLOOKUP($BJ89,坦克个性化设定!$B$18:$E$48,4,FALSE)&amp;$BK89,坦克属性分配比例,MATCH("升星比例",坦克属性分配比例标头,0),FALSE),0)</f>
        <v>#N/A</v>
      </c>
      <c r="BR89" s="2" t="e">
        <f ca="1">ROUND(VLOOKUP($BJ89&amp;"初始",$S$3:$AE$63,MATCH(BR$3,$S$3:$AE$3,0),FALSE)+(VLOOKUP($BJ89&amp;"最终",$S$3:$AE$63,MATCH(BR$3,$S$3:$AE$3,0),FALSE)-VLOOKUP($BJ89&amp;"初始",$S$3:$AE$63,MATCH(BR$3,$S$3:$AE$3,0),FALSE))*$BL89/VLOOKUP(VLOOKUP($BJ89,坦克个性化设定!$B$18:$E$48,4,FALSE)&amp;$BK89,坦克属性分配比例,MATCH("升星次数",坦克属性分配比例标头,0),FALSE),0)</f>
        <v>#N/A</v>
      </c>
      <c r="BS89" s="2">
        <f>ROUND(VLOOKUP($BJ89,$AI$3:$AO$33,MATCH(BS$3,$AI$3:$AO$3,0),FALSE)+$BL89/VLOOKUP(VLOOKUP($BJ89,坦克个性化设定!$B$18:$E$48,4,FALSE)&amp;$BK89,坦克属性分配比例,MATCH("升星次数",坦克属性分配比例标头,0),FALSE)*VLOOKUP($BJ89,$AR$3:$AY$33,MATCH(BS$3,$AR$3:$AY$3,0),FALSE),1)</f>
        <v>53.6</v>
      </c>
      <c r="BT89" s="2">
        <f>ROUND(VLOOKUP($BJ89,$AI$3:$AO$33,MATCH(BT$3,$AI$3:$AO$3,0),FALSE)+$BL89/VLOOKUP(VLOOKUP($BJ89,坦克个性化设定!$B$18:$E$48,4,FALSE)&amp;$BK89,坦克属性分配比例,MATCH("升星次数",坦克属性分配比例标头,0),FALSE)*VLOOKUP($BJ89,$AR$3:$AY$33,MATCH(BT$3,$AR$3:$AY$3,0),FALSE),1)</f>
        <v>63.2</v>
      </c>
      <c r="BU89" s="2">
        <f>ROUND(VLOOKUP($BJ89,$AI$3:$AO$33,MATCH(BU$3,$AI$3:$AO$3,0),FALSE)+$BL89/VLOOKUP(VLOOKUP($BJ89,坦克个性化设定!$B$18:$E$48,4,FALSE)&amp;$BK89,坦克属性分配比例,MATCH("升星次数",坦克属性分配比例标头,0),FALSE)*VLOOKUP($BJ89,$AR$3:$AY$33,MATCH(BU$3,$AR$3:$AY$3,0),FALSE),1)</f>
        <v>10.5</v>
      </c>
      <c r="BV89" s="2">
        <f>IF(VLOOKUP(BJ89,坦克个性化设定!$B$18:$BC$48,MATCH("装弹类型",坦克个性化设定!$B$18:$BC$18,0),FALSE)="弹夹换弹",0,ROUND(VLOOKUP($BJ89,$AI$3:$AO$33,MATCH("换弹时间",$AI$3:$AO$3,0),FALSE)-$BL89/VLOOKUP(VLOOKUP($BJ89,坦克个性化设定!$B$18:$E$48,4,FALSE)&amp;$BK89,坦克属性分配比例,MATCH("升星次数",坦克属性分配比例标头,0),FALSE)*VLOOKUP($BJ89,$AR$3:$AY$33,MATCH("换弹时间",$AR$3:$AY$3,0),FALSE),2))</f>
        <v>0</v>
      </c>
      <c r="BW89" s="2">
        <f>IF(VLOOKUP(BJ89,坦克个性化设定!$B$18:$BC$48,MATCH("装弹类型",坦克个性化设定!$B$18:$BC$18,0),FALSE)="弹夹换弹",ROUND(VLOOKUP($BJ89,$AI$3:$AO$33,MATCH("换弹时间",$AI$3:$AO$3,0),FALSE)-$BL89/VLOOKUP(VLOOKUP($BJ89,坦克个性化设定!$B$18:$E$48,4,FALSE)&amp;$BK89,坦克属性分配比例,MATCH("升星次数",坦克属性分配比例标头,0),FALSE)*VLOOKUP($BJ89,$AR$3:$AY$33,MATCH("换弹时间",$AR$3:$AY$3,0),FALSE),1),0)</f>
        <v>4.7</v>
      </c>
      <c r="BX89" s="2">
        <f>ROUND(VLOOKUP($BJ89,$AI$3:$AO$33,MATCH(BX$3,$AI$3:$AO$3,0),FALSE)+$BL89/VLOOKUP(VLOOKUP($BJ89,坦克个性化设定!$B$18:$E$48,4,FALSE)&amp;$BK89,坦克属性分配比例,MATCH("升星次数",坦克属性分配比例标头,0),FALSE)*VLOOKUP($BJ89,$AR$3:$AY$33,MATCH(BX$3,$AR$3:$AY$3,0),FALSE),2)</f>
        <v>0.8</v>
      </c>
      <c r="BY89" s="2">
        <f>ROUND(VLOOKUP($BJ89,$AI$3:$AO$33,MATCH(BY$3,$AI$3:$AO$3,0),FALSE)-$BL89/VLOOKUP(VLOOKUP($BJ89,坦克个性化设定!$B$18:$E$48,4,FALSE)&amp;$BK89,坦克属性分配比例,MATCH("升星次数",坦克属性分配比例标头,0),FALSE)*VLOOKUP($BJ89,$AR$3:$AY$33,MATCH(BY$3,$AR$3:$AY$3,0),FALSE),2)</f>
        <v>0.45</v>
      </c>
    </row>
    <row r="90" spans="60:77" x14ac:dyDescent="0.3">
      <c r="BH90" s="2" t="str">
        <f t="shared" si="24"/>
        <v>BMP-310</v>
      </c>
      <c r="BI90" s="2">
        <f>IF(BL89&gt;=VLOOKUP(VLOOKUP(BJ89,坦克个性化设定!$B$18:$E$48,4,FALSE)&amp;BK89,坦克属性分配比例,MATCH("升星次数",坦克属性分配比例标头,0),FALSE),BI89+1,BI89)</f>
        <v>9</v>
      </c>
      <c r="BJ90" s="2" t="str">
        <f t="shared" si="25"/>
        <v>BMP-3</v>
      </c>
      <c r="BK90" s="29" t="str">
        <f>VLOOKUP(BJ90,坦克个性化细分!$I$3:$J$33,2,FALSE)</f>
        <v>高</v>
      </c>
      <c r="BL90" s="2">
        <f t="shared" si="23"/>
        <v>10</v>
      </c>
      <c r="BM90" s="103" t="e">
        <f ca="1">ROUND(VLOOKUP($BJ90&amp;"初始",$S$3:$AE$63,MATCH(BM$3,$S$3:$AE$3,0),FALSE)+((VLOOKUP($BJ90&amp;"最终",$S$3:$AE$63,MATCH(BM$3,$S$3:$AE$3,0),FALSE)*坦克个性化细分!$C$9-VLOOKUP($BJ90&amp;"初始",$S$3:$AE$63,MATCH(BM$3,$S$3:$AE$3,0),FALSE))-(VLOOKUP($BJ90&amp;"最终",$S$3:$AE$63,MATCH(BM$3,$S$3:$AE$3,0),FALSE)-VLOOKUP($BJ90&amp;"初始",$S$3:$AE$63,MATCH(BM$3,$S$3:$AE$3,0),FALSE))*VLOOKUP(VLOOKUP($BJ90,坦克个性化设定!$B$18:$E$48,4,FALSE)&amp;$BK90,坦克属性分配比例,MATCH("部件比例",坦克属性分配比例标头,0),FALSE))*$BL90/VLOOKUP(VLOOKUP($BJ90,坦克个性化设定!$B$18:$E$48,4,FALSE)&amp;$BK90,坦克属性分配比例,MATCH("升星次数",坦克属性分配比例标头,0),FALSE),0)</f>
        <v>#N/A</v>
      </c>
      <c r="BN90" s="103" t="e">
        <f ca="1">ROUND(VLOOKUP($BJ90&amp;"初始",$S$3:$AE$63,MATCH(BN$3,$S$3:$AE$3,0),FALSE)+(VLOOKUP($BJ90&amp;"最终",$S$3:$AE$63,MATCH(BN$3,$S$3:$AE$3,0),FALSE)-VLOOKUP($BJ90&amp;"初始",$S$3:$AE$63,MATCH(BN$3,$S$3:$AE$3,0),FALSE))*$BL90/VLOOKUP(VLOOKUP($BJ90,坦克个性化设定!$B$18:$E$48,4,FALSE)&amp;$BK90,坦克属性分配比例,MATCH("升星次数",坦克属性分配比例标头,0),FALSE)*VLOOKUP(VLOOKUP($BJ90,坦克个性化设定!$B$18:$E$48,4,FALSE)&amp;$BK90,坦克属性分配比例,MATCH("升星比例",坦克属性分配比例标头,0),FALSE),0)</f>
        <v>#N/A</v>
      </c>
      <c r="BO90" s="103" t="e">
        <f ca="1">ROUND(VLOOKUP($BJ90&amp;"初始",$S$3:$AE$63,MATCH(BO$3,$S$3:$AE$3,0),FALSE)+(VLOOKUP($BJ90&amp;"最终",$S$3:$AE$63,MATCH(BO$3,$S$3:$AE$3,0),FALSE)-VLOOKUP($BJ90&amp;"初始",$S$3:$AE$63,MATCH(BO$3,$S$3:$AE$3,0),FALSE))*$BL90/VLOOKUP(VLOOKUP($BJ90,坦克个性化设定!$B$18:$E$48,4,FALSE)&amp;$BK90,坦克属性分配比例,MATCH("升星次数",坦克属性分配比例标头,0),FALSE)*(VLOOKUP(VLOOKUP($BJ90,坦克个性化设定!$B$18:$E$48,4,FALSE)&amp;$BK90,坦克属性分配比例,MATCH("升星比例",坦克属性分配比例标头,0),FALSE)+VLOOKUP(VLOOKUP($BJ90,坦克个性化设定!$B$18:$E$48,4,FALSE)&amp;$BK90,坦克属性分配比例,MATCH("部件比例",坦克属性分配比例标头,0),FALSE)*$C$3),0)</f>
        <v>#N/A</v>
      </c>
      <c r="BP90" s="103" t="e">
        <f ca="1">ROUND(VLOOKUP($BJ90&amp;"初始",$S$3:$AE$63,MATCH(BP$3,$S$3:$AE$3,0),FALSE)+(VLOOKUP($BJ90&amp;"最终",$S$3:$AE$63,MATCH(BP$3,$S$3:$AE$3,0),FALSE)-VLOOKUP($BJ90&amp;"初始",$S$3:$AE$63,MATCH(BP$3,$S$3:$AE$3,0),FALSE))*$BL90/VLOOKUP(VLOOKUP($BJ90,坦克个性化设定!$B$18:$E$48,4,FALSE)&amp;$BK90,坦克属性分配比例,MATCH("升星次数",坦克属性分配比例标头,0),FALSE)*(VLOOKUP(VLOOKUP($BJ90,坦克个性化设定!$B$18:$E$48,4,FALSE)&amp;$BK90,坦克属性分配比例,MATCH("升星比例",坦克属性分配比例标头,0),FALSE)+VLOOKUP(VLOOKUP($BJ90,坦克个性化设定!$B$18:$E$48,4,FALSE)&amp;$BK90,坦克属性分配比例,MATCH("部件比例",坦克属性分配比例标头,0),FALSE)*$C$3),0)</f>
        <v>#N/A</v>
      </c>
      <c r="BQ90" s="103" t="e">
        <f ca="1">ROUND(VLOOKUP($BJ90&amp;"初始",$S$3:$AE$63,MATCH(BQ$3,$S$3:$AE$3,0),FALSE)+(VLOOKUP($BJ90&amp;"最终",$S$3:$AE$63,MATCH(BQ$3,$S$3:$AE$3,0),FALSE)-VLOOKUP($BJ90&amp;"初始",$S$3:$AE$63,MATCH(BQ$3,$S$3:$AE$3,0),FALSE))*$BL90/VLOOKUP(VLOOKUP($BJ90,坦克个性化设定!$B$18:$E$48,4,FALSE)&amp;$BK90,坦克属性分配比例,MATCH("升星次数",坦克属性分配比例标头,0),FALSE)*VLOOKUP(VLOOKUP($BJ90,坦克个性化设定!$B$18:$E$48,4,FALSE)&amp;$BK90,坦克属性分配比例,MATCH("升星比例",坦克属性分配比例标头,0),FALSE),0)</f>
        <v>#N/A</v>
      </c>
      <c r="BR90" s="2" t="e">
        <f ca="1">ROUND(VLOOKUP($BJ90&amp;"初始",$S$3:$AE$63,MATCH(BR$3,$S$3:$AE$3,0),FALSE)+(VLOOKUP($BJ90&amp;"最终",$S$3:$AE$63,MATCH(BR$3,$S$3:$AE$3,0),FALSE)-VLOOKUP($BJ90&amp;"初始",$S$3:$AE$63,MATCH(BR$3,$S$3:$AE$3,0),FALSE))*$BL90/VLOOKUP(VLOOKUP($BJ90,坦克个性化设定!$B$18:$E$48,4,FALSE)&amp;$BK90,坦克属性分配比例,MATCH("升星次数",坦克属性分配比例标头,0),FALSE),0)</f>
        <v>#N/A</v>
      </c>
      <c r="BS90" s="2">
        <f>ROUND(VLOOKUP($BJ90,$AI$3:$AO$33,MATCH(BS$3,$AI$3:$AO$3,0),FALSE)+$BL90/VLOOKUP(VLOOKUP($BJ90,坦克个性化设定!$B$18:$E$48,4,FALSE)&amp;$BK90,坦克属性分配比例,MATCH("升星次数",坦克属性分配比例标头,0),FALSE)*VLOOKUP($BJ90,$AR$3:$AY$33,MATCH(BS$3,$AR$3:$AY$3,0),FALSE),1)</f>
        <v>54.6</v>
      </c>
      <c r="BT90" s="2">
        <f>ROUND(VLOOKUP($BJ90,$AI$3:$AO$33,MATCH(BT$3,$AI$3:$AO$3,0),FALSE)+$BL90/VLOOKUP(VLOOKUP($BJ90,坦克个性化设定!$B$18:$E$48,4,FALSE)&amp;$BK90,坦克属性分配比例,MATCH("升星次数",坦克属性分配比例标头,0),FALSE)*VLOOKUP($BJ90,$AR$3:$AY$33,MATCH(BT$3,$AR$3:$AY$3,0),FALSE),1)</f>
        <v>64.400000000000006</v>
      </c>
      <c r="BU90" s="2">
        <f>ROUND(VLOOKUP($BJ90,$AI$3:$AO$33,MATCH(BU$3,$AI$3:$AO$3,0),FALSE)+$BL90/VLOOKUP(VLOOKUP($BJ90,坦克个性化设定!$B$18:$E$48,4,FALSE)&amp;$BK90,坦克属性分配比例,MATCH("升星次数",坦克属性分配比例标头,0),FALSE)*VLOOKUP($BJ90,$AR$3:$AY$33,MATCH(BU$3,$AR$3:$AY$3,0),FALSE),1)</f>
        <v>10.5</v>
      </c>
      <c r="BV90" s="2">
        <f>IF(VLOOKUP(BJ90,坦克个性化设定!$B$18:$BC$48,MATCH("装弹类型",坦克个性化设定!$B$18:$BC$18,0),FALSE)="弹夹换弹",0,ROUND(VLOOKUP($BJ90,$AI$3:$AO$33,MATCH("换弹时间",$AI$3:$AO$3,0),FALSE)-$BL90/VLOOKUP(VLOOKUP($BJ90,坦克个性化设定!$B$18:$E$48,4,FALSE)&amp;$BK90,坦克属性分配比例,MATCH("升星次数",坦克属性分配比例标头,0),FALSE)*VLOOKUP($BJ90,$AR$3:$AY$33,MATCH("换弹时间",$AR$3:$AY$3,0),FALSE),2))</f>
        <v>0</v>
      </c>
      <c r="BW90" s="2">
        <f>IF(VLOOKUP(BJ90,坦克个性化设定!$B$18:$BC$48,MATCH("装弹类型",坦克个性化设定!$B$18:$BC$18,0),FALSE)="弹夹换弹",ROUND(VLOOKUP($BJ90,$AI$3:$AO$33,MATCH("换弹时间",$AI$3:$AO$3,0),FALSE)-$BL90/VLOOKUP(VLOOKUP($BJ90,坦克个性化设定!$B$18:$E$48,4,FALSE)&amp;$BK90,坦克属性分配比例,MATCH("升星次数",坦克属性分配比例标头,0),FALSE)*VLOOKUP($BJ90,$AR$3:$AY$33,MATCH("换弹时间",$AR$3:$AY$3,0),FALSE),1),0)</f>
        <v>4.5</v>
      </c>
      <c r="BX90" s="2">
        <f>ROUND(VLOOKUP($BJ90,$AI$3:$AO$33,MATCH(BX$3,$AI$3:$AO$3,0),FALSE)+$BL90/VLOOKUP(VLOOKUP($BJ90,坦克个性化设定!$B$18:$E$48,4,FALSE)&amp;$BK90,坦克属性分配比例,MATCH("升星次数",坦克属性分配比例标头,0),FALSE)*VLOOKUP($BJ90,$AR$3:$AY$33,MATCH(BX$3,$AR$3:$AY$3,0),FALSE),2)</f>
        <v>0.8</v>
      </c>
      <c r="BY90" s="2">
        <f>ROUND(VLOOKUP($BJ90,$AI$3:$AO$33,MATCH(BY$3,$AI$3:$AO$3,0),FALSE)-$BL90/VLOOKUP(VLOOKUP($BJ90,坦克个性化设定!$B$18:$E$48,4,FALSE)&amp;$BK90,坦克属性分配比例,MATCH("升星次数",坦克属性分配比例标头,0),FALSE)*VLOOKUP($BJ90,$AR$3:$AY$33,MATCH(BY$3,$AR$3:$AY$3,0),FALSE),2)</f>
        <v>0.44</v>
      </c>
    </row>
    <row r="91" spans="60:77" x14ac:dyDescent="0.3">
      <c r="BH91" s="2" t="str">
        <f t="shared" si="24"/>
        <v>BMP-311</v>
      </c>
      <c r="BI91" s="2">
        <f>IF(BL90&gt;=VLOOKUP(VLOOKUP(BJ90,坦克个性化设定!$B$18:$E$48,4,FALSE)&amp;BK90,坦克属性分配比例,MATCH("升星次数",坦克属性分配比例标头,0),FALSE),BI90+1,BI90)</f>
        <v>9</v>
      </c>
      <c r="BJ91" s="2" t="str">
        <f t="shared" si="25"/>
        <v>BMP-3</v>
      </c>
      <c r="BK91" s="29" t="str">
        <f>VLOOKUP(BJ91,坦克个性化细分!$I$3:$J$33,2,FALSE)</f>
        <v>高</v>
      </c>
      <c r="BL91" s="2">
        <f t="shared" si="23"/>
        <v>11</v>
      </c>
      <c r="BM91" s="103" t="e">
        <f ca="1">ROUND(VLOOKUP($BJ91&amp;"初始",$S$3:$AE$63,MATCH(BM$3,$S$3:$AE$3,0),FALSE)+((VLOOKUP($BJ91&amp;"最终",$S$3:$AE$63,MATCH(BM$3,$S$3:$AE$3,0),FALSE)*坦克个性化细分!$C$9-VLOOKUP($BJ91&amp;"初始",$S$3:$AE$63,MATCH(BM$3,$S$3:$AE$3,0),FALSE))-(VLOOKUP($BJ91&amp;"最终",$S$3:$AE$63,MATCH(BM$3,$S$3:$AE$3,0),FALSE)-VLOOKUP($BJ91&amp;"初始",$S$3:$AE$63,MATCH(BM$3,$S$3:$AE$3,0),FALSE))*VLOOKUP(VLOOKUP($BJ91,坦克个性化设定!$B$18:$E$48,4,FALSE)&amp;$BK91,坦克属性分配比例,MATCH("部件比例",坦克属性分配比例标头,0),FALSE))*$BL91/VLOOKUP(VLOOKUP($BJ91,坦克个性化设定!$B$18:$E$48,4,FALSE)&amp;$BK91,坦克属性分配比例,MATCH("升星次数",坦克属性分配比例标头,0),FALSE),0)</f>
        <v>#N/A</v>
      </c>
      <c r="BN91" s="103" t="e">
        <f ca="1">ROUND(VLOOKUP($BJ91&amp;"初始",$S$3:$AE$63,MATCH(BN$3,$S$3:$AE$3,0),FALSE)+(VLOOKUP($BJ91&amp;"最终",$S$3:$AE$63,MATCH(BN$3,$S$3:$AE$3,0),FALSE)-VLOOKUP($BJ91&amp;"初始",$S$3:$AE$63,MATCH(BN$3,$S$3:$AE$3,0),FALSE))*$BL91/VLOOKUP(VLOOKUP($BJ91,坦克个性化设定!$B$18:$E$48,4,FALSE)&amp;$BK91,坦克属性分配比例,MATCH("升星次数",坦克属性分配比例标头,0),FALSE)*VLOOKUP(VLOOKUP($BJ91,坦克个性化设定!$B$18:$E$48,4,FALSE)&amp;$BK91,坦克属性分配比例,MATCH("升星比例",坦克属性分配比例标头,0),FALSE),0)</f>
        <v>#N/A</v>
      </c>
      <c r="BO91" s="103" t="e">
        <f ca="1">ROUND(VLOOKUP($BJ91&amp;"初始",$S$3:$AE$63,MATCH(BO$3,$S$3:$AE$3,0),FALSE)+(VLOOKUP($BJ91&amp;"最终",$S$3:$AE$63,MATCH(BO$3,$S$3:$AE$3,0),FALSE)-VLOOKUP($BJ91&amp;"初始",$S$3:$AE$63,MATCH(BO$3,$S$3:$AE$3,0),FALSE))*$BL91/VLOOKUP(VLOOKUP($BJ91,坦克个性化设定!$B$18:$E$48,4,FALSE)&amp;$BK91,坦克属性分配比例,MATCH("升星次数",坦克属性分配比例标头,0),FALSE)*(VLOOKUP(VLOOKUP($BJ91,坦克个性化设定!$B$18:$E$48,4,FALSE)&amp;$BK91,坦克属性分配比例,MATCH("升星比例",坦克属性分配比例标头,0),FALSE)+VLOOKUP(VLOOKUP($BJ91,坦克个性化设定!$B$18:$E$48,4,FALSE)&amp;$BK91,坦克属性分配比例,MATCH("部件比例",坦克属性分配比例标头,0),FALSE)*$C$3),0)</f>
        <v>#N/A</v>
      </c>
      <c r="BP91" s="103" t="e">
        <f ca="1">ROUND(VLOOKUP($BJ91&amp;"初始",$S$3:$AE$63,MATCH(BP$3,$S$3:$AE$3,0),FALSE)+(VLOOKUP($BJ91&amp;"最终",$S$3:$AE$63,MATCH(BP$3,$S$3:$AE$3,0),FALSE)-VLOOKUP($BJ91&amp;"初始",$S$3:$AE$63,MATCH(BP$3,$S$3:$AE$3,0),FALSE))*$BL91/VLOOKUP(VLOOKUP($BJ91,坦克个性化设定!$B$18:$E$48,4,FALSE)&amp;$BK91,坦克属性分配比例,MATCH("升星次数",坦克属性分配比例标头,0),FALSE)*(VLOOKUP(VLOOKUP($BJ91,坦克个性化设定!$B$18:$E$48,4,FALSE)&amp;$BK91,坦克属性分配比例,MATCH("升星比例",坦克属性分配比例标头,0),FALSE)+VLOOKUP(VLOOKUP($BJ91,坦克个性化设定!$B$18:$E$48,4,FALSE)&amp;$BK91,坦克属性分配比例,MATCH("部件比例",坦克属性分配比例标头,0),FALSE)*$C$3),0)</f>
        <v>#N/A</v>
      </c>
      <c r="BQ91" s="103" t="e">
        <f ca="1">ROUND(VLOOKUP($BJ91&amp;"初始",$S$3:$AE$63,MATCH(BQ$3,$S$3:$AE$3,0),FALSE)+(VLOOKUP($BJ91&amp;"最终",$S$3:$AE$63,MATCH(BQ$3,$S$3:$AE$3,0),FALSE)-VLOOKUP($BJ91&amp;"初始",$S$3:$AE$63,MATCH(BQ$3,$S$3:$AE$3,0),FALSE))*$BL91/VLOOKUP(VLOOKUP($BJ91,坦克个性化设定!$B$18:$E$48,4,FALSE)&amp;$BK91,坦克属性分配比例,MATCH("升星次数",坦克属性分配比例标头,0),FALSE)*VLOOKUP(VLOOKUP($BJ91,坦克个性化设定!$B$18:$E$48,4,FALSE)&amp;$BK91,坦克属性分配比例,MATCH("升星比例",坦克属性分配比例标头,0),FALSE),0)</f>
        <v>#N/A</v>
      </c>
      <c r="BR91" s="2" t="e">
        <f ca="1">ROUND(VLOOKUP($BJ91&amp;"初始",$S$3:$AE$63,MATCH(BR$3,$S$3:$AE$3,0),FALSE)+(VLOOKUP($BJ91&amp;"最终",$S$3:$AE$63,MATCH(BR$3,$S$3:$AE$3,0),FALSE)-VLOOKUP($BJ91&amp;"初始",$S$3:$AE$63,MATCH(BR$3,$S$3:$AE$3,0),FALSE))*$BL91/VLOOKUP(VLOOKUP($BJ91,坦克个性化设定!$B$18:$E$48,4,FALSE)&amp;$BK91,坦克属性分配比例,MATCH("升星次数",坦克属性分配比例标头,0),FALSE),0)</f>
        <v>#N/A</v>
      </c>
      <c r="BS91" s="2">
        <f>ROUND(VLOOKUP($BJ91,$AI$3:$AO$33,MATCH(BS$3,$AI$3:$AO$3,0),FALSE)+$BL91/VLOOKUP(VLOOKUP($BJ91,坦克个性化设定!$B$18:$E$48,4,FALSE)&amp;$BK91,坦克属性分配比例,MATCH("升星次数",坦克属性分配比例标头,0),FALSE)*VLOOKUP($BJ91,$AR$3:$AY$33,MATCH(BS$3,$AR$3:$AY$3,0),FALSE),1)</f>
        <v>55.6</v>
      </c>
      <c r="BT91" s="2">
        <f>ROUND(VLOOKUP($BJ91,$AI$3:$AO$33,MATCH(BT$3,$AI$3:$AO$3,0),FALSE)+$BL91/VLOOKUP(VLOOKUP($BJ91,坦克个性化设定!$B$18:$E$48,4,FALSE)&amp;$BK91,坦克属性分配比例,MATCH("升星次数",坦克属性分配比例标头,0),FALSE)*VLOOKUP($BJ91,$AR$3:$AY$33,MATCH(BT$3,$AR$3:$AY$3,0),FALSE),1)</f>
        <v>65.599999999999994</v>
      </c>
      <c r="BU91" s="2">
        <f>ROUND(VLOOKUP($BJ91,$AI$3:$AO$33,MATCH(BU$3,$AI$3:$AO$3,0),FALSE)+$BL91/VLOOKUP(VLOOKUP($BJ91,坦克个性化设定!$B$18:$E$48,4,FALSE)&amp;$BK91,坦克属性分配比例,MATCH("升星次数",坦克属性分配比例标头,0),FALSE)*VLOOKUP($BJ91,$AR$3:$AY$33,MATCH(BU$3,$AR$3:$AY$3,0),FALSE),1)</f>
        <v>10.5</v>
      </c>
      <c r="BV91" s="2">
        <f>IF(VLOOKUP(BJ91,坦克个性化设定!$B$18:$BC$48,MATCH("装弹类型",坦克个性化设定!$B$18:$BC$18,0),FALSE)="弹夹换弹",0,ROUND(VLOOKUP($BJ91,$AI$3:$AO$33,MATCH("换弹时间",$AI$3:$AO$3,0),FALSE)-$BL91/VLOOKUP(VLOOKUP($BJ91,坦克个性化设定!$B$18:$E$48,4,FALSE)&amp;$BK91,坦克属性分配比例,MATCH("升星次数",坦克属性分配比例标头,0),FALSE)*VLOOKUP($BJ91,$AR$3:$AY$33,MATCH("换弹时间",$AR$3:$AY$3,0),FALSE),2))</f>
        <v>0</v>
      </c>
      <c r="BW91" s="2">
        <f>IF(VLOOKUP(BJ91,坦克个性化设定!$B$18:$BC$48,MATCH("装弹类型",坦克个性化设定!$B$18:$BC$18,0),FALSE)="弹夹换弹",ROUND(VLOOKUP($BJ91,$AI$3:$AO$33,MATCH("换弹时间",$AI$3:$AO$3,0),FALSE)-$BL91/VLOOKUP(VLOOKUP($BJ91,坦克个性化设定!$B$18:$E$48,4,FALSE)&amp;$BK91,坦克属性分配比例,MATCH("升星次数",坦克属性分配比例标头,0),FALSE)*VLOOKUP($BJ91,$AR$3:$AY$33,MATCH("换弹时间",$AR$3:$AY$3,0),FALSE),1),0)</f>
        <v>4.3</v>
      </c>
      <c r="BX91" s="2">
        <f>ROUND(VLOOKUP($BJ91,$AI$3:$AO$33,MATCH(BX$3,$AI$3:$AO$3,0),FALSE)+$BL91/VLOOKUP(VLOOKUP($BJ91,坦克个性化设定!$B$18:$E$48,4,FALSE)&amp;$BK91,坦克属性分配比例,MATCH("升星次数",坦克属性分配比例标头,0),FALSE)*VLOOKUP($BJ91,$AR$3:$AY$33,MATCH(BX$3,$AR$3:$AY$3,0),FALSE),2)</f>
        <v>0.8</v>
      </c>
      <c r="BY91" s="2">
        <f>ROUND(VLOOKUP($BJ91,$AI$3:$AO$33,MATCH(BY$3,$AI$3:$AO$3,0),FALSE)-$BL91/VLOOKUP(VLOOKUP($BJ91,坦克个性化设定!$B$18:$E$48,4,FALSE)&amp;$BK91,坦克属性分配比例,MATCH("升星次数",坦克属性分配比例标头,0),FALSE)*VLOOKUP($BJ91,$AR$3:$AY$33,MATCH(BY$3,$AR$3:$AY$3,0),FALSE),2)</f>
        <v>0.43</v>
      </c>
    </row>
    <row r="92" spans="60:77" x14ac:dyDescent="0.3">
      <c r="BH92" s="2" t="str">
        <f t="shared" si="24"/>
        <v>59式0</v>
      </c>
      <c r="BI92" s="2">
        <f>IF(BL91&gt;=VLOOKUP(VLOOKUP(BJ91,坦克个性化设定!$B$18:$E$48,4,FALSE)&amp;BK91,坦克属性分配比例,MATCH("升星次数",坦克属性分配比例标头,0),FALSE),BI91+1,BI91)</f>
        <v>10</v>
      </c>
      <c r="BJ92" s="2" t="str">
        <f t="shared" si="25"/>
        <v>59式</v>
      </c>
      <c r="BK92" s="29" t="str">
        <f>VLOOKUP(BJ92,坦克个性化细分!$I$3:$J$33,2,FALSE)</f>
        <v>低</v>
      </c>
      <c r="BL92" s="2">
        <f t="shared" si="23"/>
        <v>0</v>
      </c>
      <c r="BM92" s="103" t="e">
        <f ca="1">ROUND(VLOOKUP($BJ92&amp;"初始",$S$3:$AE$63,MATCH(BM$3,$S$3:$AE$3,0),FALSE)+((VLOOKUP($BJ92&amp;"最终",$S$3:$AE$63,MATCH(BM$3,$S$3:$AE$3,0),FALSE)*坦克个性化细分!$C$9-VLOOKUP($BJ92&amp;"初始",$S$3:$AE$63,MATCH(BM$3,$S$3:$AE$3,0),FALSE))-(VLOOKUP($BJ92&amp;"最终",$S$3:$AE$63,MATCH(BM$3,$S$3:$AE$3,0),FALSE)-VLOOKUP($BJ92&amp;"初始",$S$3:$AE$63,MATCH(BM$3,$S$3:$AE$3,0),FALSE))*VLOOKUP(VLOOKUP($BJ92,坦克个性化设定!$B$18:$E$48,4,FALSE)&amp;$BK92,坦克属性分配比例,MATCH("部件比例",坦克属性分配比例标头,0),FALSE))*$BL92/VLOOKUP(VLOOKUP($BJ92,坦克个性化设定!$B$18:$E$48,4,FALSE)&amp;$BK92,坦克属性分配比例,MATCH("升星次数",坦克属性分配比例标头,0),FALSE),0)</f>
        <v>#N/A</v>
      </c>
      <c r="BN92" s="103" t="e">
        <f ca="1">ROUND(VLOOKUP($BJ92&amp;"初始",$S$3:$AE$63,MATCH(BN$3,$S$3:$AE$3,0),FALSE)+(VLOOKUP($BJ92&amp;"最终",$S$3:$AE$63,MATCH(BN$3,$S$3:$AE$3,0),FALSE)-VLOOKUP($BJ92&amp;"初始",$S$3:$AE$63,MATCH(BN$3,$S$3:$AE$3,0),FALSE))*$BL92/VLOOKUP(VLOOKUP($BJ92,坦克个性化设定!$B$18:$E$48,4,FALSE)&amp;$BK92,坦克属性分配比例,MATCH("升星次数",坦克属性分配比例标头,0),FALSE)*VLOOKUP(VLOOKUP($BJ92,坦克个性化设定!$B$18:$E$48,4,FALSE)&amp;$BK92,坦克属性分配比例,MATCH("升星比例",坦克属性分配比例标头,0),FALSE),0)</f>
        <v>#N/A</v>
      </c>
      <c r="BO92" s="103" t="e">
        <f ca="1">ROUND(VLOOKUP($BJ92&amp;"初始",$S$3:$AE$63,MATCH(BO$3,$S$3:$AE$3,0),FALSE)+(VLOOKUP($BJ92&amp;"最终",$S$3:$AE$63,MATCH(BO$3,$S$3:$AE$3,0),FALSE)-VLOOKUP($BJ92&amp;"初始",$S$3:$AE$63,MATCH(BO$3,$S$3:$AE$3,0),FALSE))*$BL92/VLOOKUP(VLOOKUP($BJ92,坦克个性化设定!$B$18:$E$48,4,FALSE)&amp;$BK92,坦克属性分配比例,MATCH("升星次数",坦克属性分配比例标头,0),FALSE)*(VLOOKUP(VLOOKUP($BJ92,坦克个性化设定!$B$18:$E$48,4,FALSE)&amp;$BK92,坦克属性分配比例,MATCH("升星比例",坦克属性分配比例标头,0),FALSE)+VLOOKUP(VLOOKUP($BJ92,坦克个性化设定!$B$18:$E$48,4,FALSE)&amp;$BK92,坦克属性分配比例,MATCH("部件比例",坦克属性分配比例标头,0),FALSE)*$C$3),0)</f>
        <v>#N/A</v>
      </c>
      <c r="BP92" s="103" t="e">
        <f ca="1">ROUND(VLOOKUP($BJ92&amp;"初始",$S$3:$AE$63,MATCH(BP$3,$S$3:$AE$3,0),FALSE)+(VLOOKUP($BJ92&amp;"最终",$S$3:$AE$63,MATCH(BP$3,$S$3:$AE$3,0),FALSE)-VLOOKUP($BJ92&amp;"初始",$S$3:$AE$63,MATCH(BP$3,$S$3:$AE$3,0),FALSE))*$BL92/VLOOKUP(VLOOKUP($BJ92,坦克个性化设定!$B$18:$E$48,4,FALSE)&amp;$BK92,坦克属性分配比例,MATCH("升星次数",坦克属性分配比例标头,0),FALSE)*(VLOOKUP(VLOOKUP($BJ92,坦克个性化设定!$B$18:$E$48,4,FALSE)&amp;$BK92,坦克属性分配比例,MATCH("升星比例",坦克属性分配比例标头,0),FALSE)+VLOOKUP(VLOOKUP($BJ92,坦克个性化设定!$B$18:$E$48,4,FALSE)&amp;$BK92,坦克属性分配比例,MATCH("部件比例",坦克属性分配比例标头,0),FALSE)*$C$3),0)</f>
        <v>#N/A</v>
      </c>
      <c r="BQ92" s="103" t="e">
        <f ca="1">ROUND(VLOOKUP($BJ92&amp;"初始",$S$3:$AE$63,MATCH(BQ$3,$S$3:$AE$3,0),FALSE)+(VLOOKUP($BJ92&amp;"最终",$S$3:$AE$63,MATCH(BQ$3,$S$3:$AE$3,0),FALSE)-VLOOKUP($BJ92&amp;"初始",$S$3:$AE$63,MATCH(BQ$3,$S$3:$AE$3,0),FALSE))*$BL92/VLOOKUP(VLOOKUP($BJ92,坦克个性化设定!$B$18:$E$48,4,FALSE)&amp;$BK92,坦克属性分配比例,MATCH("升星次数",坦克属性分配比例标头,0),FALSE)*VLOOKUP(VLOOKUP($BJ92,坦克个性化设定!$B$18:$E$48,4,FALSE)&amp;$BK92,坦克属性分配比例,MATCH("升星比例",坦克属性分配比例标头,0),FALSE),0)</f>
        <v>#N/A</v>
      </c>
      <c r="BR92" s="2" t="e">
        <f ca="1">ROUND(VLOOKUP($BJ92&amp;"初始",$S$3:$AE$63,MATCH(BR$3,$S$3:$AE$3,0),FALSE)+(VLOOKUP($BJ92&amp;"最终",$S$3:$AE$63,MATCH(BR$3,$S$3:$AE$3,0),FALSE)-VLOOKUP($BJ92&amp;"初始",$S$3:$AE$63,MATCH(BR$3,$S$3:$AE$3,0),FALSE))*$BL92/VLOOKUP(VLOOKUP($BJ92,坦克个性化设定!$B$18:$E$48,4,FALSE)&amp;$BK92,坦克属性分配比例,MATCH("升星次数",坦克属性分配比例标头,0),FALSE),0)</f>
        <v>#N/A</v>
      </c>
      <c r="BS92" s="2">
        <f>ROUND(VLOOKUP($BJ92,$AI$3:$AO$33,MATCH(BS$3,$AI$3:$AO$3,0),FALSE)+$BL92/VLOOKUP(VLOOKUP($BJ92,坦克个性化设定!$B$18:$E$48,4,FALSE)&amp;$BK92,坦克属性分配比例,MATCH("升星次数",坦克属性分配比例标头,0),FALSE)*VLOOKUP($BJ92,$AR$3:$AY$33,MATCH(BS$3,$AR$3:$AY$3,0),FALSE),1)</f>
        <v>37.700000000000003</v>
      </c>
      <c r="BT92" s="2">
        <f>ROUND(VLOOKUP($BJ92,$AI$3:$AO$33,MATCH(BT$3,$AI$3:$AO$3,0),FALSE)+$BL92/VLOOKUP(VLOOKUP($BJ92,坦克个性化设定!$B$18:$E$48,4,FALSE)&amp;$BK92,坦克属性分配比例,MATCH("升星次数",坦克属性分配比例标头,0),FALSE)*VLOOKUP($BJ92,$AR$3:$AY$33,MATCH(BT$3,$AR$3:$AY$3,0),FALSE),1)</f>
        <v>56.3</v>
      </c>
      <c r="BU92" s="2">
        <f>ROUND(VLOOKUP($BJ92,$AI$3:$AO$33,MATCH(BU$3,$AI$3:$AO$3,0),FALSE)+$BL92/VLOOKUP(VLOOKUP($BJ92,坦克个性化设定!$B$18:$E$48,4,FALSE)&amp;$BK92,坦克属性分配比例,MATCH("升星次数",坦克属性分配比例标头,0),FALSE)*VLOOKUP($BJ92,$AR$3:$AY$33,MATCH(BU$3,$AR$3:$AY$3,0),FALSE),1)</f>
        <v>9.5</v>
      </c>
      <c r="BV92" s="2">
        <f>IF(VLOOKUP(BJ92,坦克个性化设定!$B$18:$BC$48,MATCH("装弹类型",坦克个性化设定!$B$18:$BC$18,0),FALSE)="弹夹换弹",0,ROUND(VLOOKUP($BJ92,$AI$3:$AO$33,MATCH("换弹时间",$AI$3:$AO$3,0),FALSE)-$BL92/VLOOKUP(VLOOKUP($BJ92,坦克个性化设定!$B$18:$E$48,4,FALSE)&amp;$BK92,坦克属性分配比例,MATCH("升星次数",坦克属性分配比例标头,0),FALSE)*VLOOKUP($BJ92,$AR$3:$AY$33,MATCH("换弹时间",$AR$3:$AY$3,0),FALSE),2))</f>
        <v>0</v>
      </c>
      <c r="BW92" s="2">
        <f>IF(VLOOKUP(BJ92,坦克个性化设定!$B$18:$BC$48,MATCH("装弹类型",坦克个性化设定!$B$18:$BC$18,0),FALSE)="弹夹换弹",ROUND(VLOOKUP($BJ92,$AI$3:$AO$33,MATCH("换弹时间",$AI$3:$AO$3,0),FALSE)-$BL92/VLOOKUP(VLOOKUP($BJ92,坦克个性化设定!$B$18:$E$48,4,FALSE)&amp;$BK92,坦克属性分配比例,MATCH("升星次数",坦克属性分配比例标头,0),FALSE)*VLOOKUP($BJ92,$AR$3:$AY$33,MATCH("换弹时间",$AR$3:$AY$3,0),FALSE),1),0)</f>
        <v>9.8000000000000007</v>
      </c>
      <c r="BX92" s="2">
        <f>ROUND(VLOOKUP($BJ92,$AI$3:$AO$33,MATCH(BX$3,$AI$3:$AO$3,0),FALSE)+$BL92/VLOOKUP(VLOOKUP($BJ92,坦克个性化设定!$B$18:$E$48,4,FALSE)&amp;$BK92,坦克属性分配比例,MATCH("升星次数",坦克属性分配比例标头,0),FALSE)*VLOOKUP($BJ92,$AR$3:$AY$33,MATCH(BX$3,$AR$3:$AY$3,0),FALSE),2)</f>
        <v>0.8</v>
      </c>
      <c r="BY92" s="2">
        <f>ROUND(VLOOKUP($BJ92,$AI$3:$AO$33,MATCH(BY$3,$AI$3:$AO$3,0),FALSE)-$BL92/VLOOKUP(VLOOKUP($BJ92,坦克个性化设定!$B$18:$E$48,4,FALSE)&amp;$BK92,坦克属性分配比例,MATCH("升星次数",坦克属性分配比例标头,0),FALSE)*VLOOKUP($BJ92,$AR$3:$AY$33,MATCH(BY$3,$AR$3:$AY$3,0),FALSE),2)</f>
        <v>0.48</v>
      </c>
    </row>
    <row r="93" spans="60:77" x14ac:dyDescent="0.3">
      <c r="BH93" s="2" t="str">
        <f t="shared" si="24"/>
        <v>59式1</v>
      </c>
      <c r="BI93" s="2">
        <f>IF(BL92&gt;=VLOOKUP(VLOOKUP(BJ92,坦克个性化设定!$B$18:$E$48,4,FALSE)&amp;BK92,坦克属性分配比例,MATCH("升星次数",坦克属性分配比例标头,0),FALSE),BI92+1,BI92)</f>
        <v>10</v>
      </c>
      <c r="BJ93" s="2" t="str">
        <f t="shared" si="25"/>
        <v>59式</v>
      </c>
      <c r="BK93" s="29" t="str">
        <f>VLOOKUP(BJ93,坦克个性化细分!$I$3:$J$33,2,FALSE)</f>
        <v>低</v>
      </c>
      <c r="BL93" s="2">
        <f t="shared" si="23"/>
        <v>1</v>
      </c>
      <c r="BM93" s="103" t="e">
        <f ca="1">ROUND(VLOOKUP($BJ93&amp;"初始",$S$3:$AE$63,MATCH(BM$3,$S$3:$AE$3,0),FALSE)+((VLOOKUP($BJ93&amp;"最终",$S$3:$AE$63,MATCH(BM$3,$S$3:$AE$3,0),FALSE)*坦克个性化细分!$C$9-VLOOKUP($BJ93&amp;"初始",$S$3:$AE$63,MATCH(BM$3,$S$3:$AE$3,0),FALSE))-(VLOOKUP($BJ93&amp;"最终",$S$3:$AE$63,MATCH(BM$3,$S$3:$AE$3,0),FALSE)-VLOOKUP($BJ93&amp;"初始",$S$3:$AE$63,MATCH(BM$3,$S$3:$AE$3,0),FALSE))*VLOOKUP(VLOOKUP($BJ93,坦克个性化设定!$B$18:$E$48,4,FALSE)&amp;$BK93,坦克属性分配比例,MATCH("部件比例",坦克属性分配比例标头,0),FALSE))*$BL93/VLOOKUP(VLOOKUP($BJ93,坦克个性化设定!$B$18:$E$48,4,FALSE)&amp;$BK93,坦克属性分配比例,MATCH("升星次数",坦克属性分配比例标头,0),FALSE),0)</f>
        <v>#N/A</v>
      </c>
      <c r="BN93" s="103" t="e">
        <f ca="1">ROUND(VLOOKUP($BJ93&amp;"初始",$S$3:$AE$63,MATCH(BN$3,$S$3:$AE$3,0),FALSE)+(VLOOKUP($BJ93&amp;"最终",$S$3:$AE$63,MATCH(BN$3,$S$3:$AE$3,0),FALSE)-VLOOKUP($BJ93&amp;"初始",$S$3:$AE$63,MATCH(BN$3,$S$3:$AE$3,0),FALSE))*$BL93/VLOOKUP(VLOOKUP($BJ93,坦克个性化设定!$B$18:$E$48,4,FALSE)&amp;$BK93,坦克属性分配比例,MATCH("升星次数",坦克属性分配比例标头,0),FALSE)*VLOOKUP(VLOOKUP($BJ93,坦克个性化设定!$B$18:$E$48,4,FALSE)&amp;$BK93,坦克属性分配比例,MATCH("升星比例",坦克属性分配比例标头,0),FALSE),0)</f>
        <v>#N/A</v>
      </c>
      <c r="BO93" s="103" t="e">
        <f ca="1">ROUND(VLOOKUP($BJ93&amp;"初始",$S$3:$AE$63,MATCH(BO$3,$S$3:$AE$3,0),FALSE)+(VLOOKUP($BJ93&amp;"最终",$S$3:$AE$63,MATCH(BO$3,$S$3:$AE$3,0),FALSE)-VLOOKUP($BJ93&amp;"初始",$S$3:$AE$63,MATCH(BO$3,$S$3:$AE$3,0),FALSE))*$BL93/VLOOKUP(VLOOKUP($BJ93,坦克个性化设定!$B$18:$E$48,4,FALSE)&amp;$BK93,坦克属性分配比例,MATCH("升星次数",坦克属性分配比例标头,0),FALSE)*(VLOOKUP(VLOOKUP($BJ93,坦克个性化设定!$B$18:$E$48,4,FALSE)&amp;$BK93,坦克属性分配比例,MATCH("升星比例",坦克属性分配比例标头,0),FALSE)+VLOOKUP(VLOOKUP($BJ93,坦克个性化设定!$B$18:$E$48,4,FALSE)&amp;$BK93,坦克属性分配比例,MATCH("部件比例",坦克属性分配比例标头,0),FALSE)*$C$3),0)</f>
        <v>#N/A</v>
      </c>
      <c r="BP93" s="103" t="e">
        <f ca="1">ROUND(VLOOKUP($BJ93&amp;"初始",$S$3:$AE$63,MATCH(BP$3,$S$3:$AE$3,0),FALSE)+(VLOOKUP($BJ93&amp;"最终",$S$3:$AE$63,MATCH(BP$3,$S$3:$AE$3,0),FALSE)-VLOOKUP($BJ93&amp;"初始",$S$3:$AE$63,MATCH(BP$3,$S$3:$AE$3,0),FALSE))*$BL93/VLOOKUP(VLOOKUP($BJ93,坦克个性化设定!$B$18:$E$48,4,FALSE)&amp;$BK93,坦克属性分配比例,MATCH("升星次数",坦克属性分配比例标头,0),FALSE)*(VLOOKUP(VLOOKUP($BJ93,坦克个性化设定!$B$18:$E$48,4,FALSE)&amp;$BK93,坦克属性分配比例,MATCH("升星比例",坦克属性分配比例标头,0),FALSE)+VLOOKUP(VLOOKUP($BJ93,坦克个性化设定!$B$18:$E$48,4,FALSE)&amp;$BK93,坦克属性分配比例,MATCH("部件比例",坦克属性分配比例标头,0),FALSE)*$C$3),0)</f>
        <v>#N/A</v>
      </c>
      <c r="BQ93" s="103" t="e">
        <f ca="1">ROUND(VLOOKUP($BJ93&amp;"初始",$S$3:$AE$63,MATCH(BQ$3,$S$3:$AE$3,0),FALSE)+(VLOOKUP($BJ93&amp;"最终",$S$3:$AE$63,MATCH(BQ$3,$S$3:$AE$3,0),FALSE)-VLOOKUP($BJ93&amp;"初始",$S$3:$AE$63,MATCH(BQ$3,$S$3:$AE$3,0),FALSE))*$BL93/VLOOKUP(VLOOKUP($BJ93,坦克个性化设定!$B$18:$E$48,4,FALSE)&amp;$BK93,坦克属性分配比例,MATCH("升星次数",坦克属性分配比例标头,0),FALSE)*VLOOKUP(VLOOKUP($BJ93,坦克个性化设定!$B$18:$E$48,4,FALSE)&amp;$BK93,坦克属性分配比例,MATCH("升星比例",坦克属性分配比例标头,0),FALSE),0)</f>
        <v>#N/A</v>
      </c>
      <c r="BR93" s="2" t="e">
        <f ca="1">ROUND(VLOOKUP($BJ93&amp;"初始",$S$3:$AE$63,MATCH(BR$3,$S$3:$AE$3,0),FALSE)+(VLOOKUP($BJ93&amp;"最终",$S$3:$AE$63,MATCH(BR$3,$S$3:$AE$3,0),FALSE)-VLOOKUP($BJ93&amp;"初始",$S$3:$AE$63,MATCH(BR$3,$S$3:$AE$3,0),FALSE))*$BL93/VLOOKUP(VLOOKUP($BJ93,坦克个性化设定!$B$18:$E$48,4,FALSE)&amp;$BK93,坦克属性分配比例,MATCH("升星次数",坦克属性分配比例标头,0),FALSE),0)</f>
        <v>#N/A</v>
      </c>
      <c r="BS93" s="2">
        <f>ROUND(VLOOKUP($BJ93,$AI$3:$AO$33,MATCH(BS$3,$AI$3:$AO$3,0),FALSE)+$BL93/VLOOKUP(VLOOKUP($BJ93,坦克个性化设定!$B$18:$E$48,4,FALSE)&amp;$BK93,坦克属性分配比例,MATCH("升星次数",坦克属性分配比例标头,0),FALSE)*VLOOKUP($BJ93,$AR$3:$AY$33,MATCH(BS$3,$AR$3:$AY$3,0),FALSE),1)</f>
        <v>38.4</v>
      </c>
      <c r="BT93" s="2">
        <f>ROUND(VLOOKUP($BJ93,$AI$3:$AO$33,MATCH(BT$3,$AI$3:$AO$3,0),FALSE)+$BL93/VLOOKUP(VLOOKUP($BJ93,坦克个性化设定!$B$18:$E$48,4,FALSE)&amp;$BK93,坦克属性分配比例,MATCH("升星次数",坦克属性分配比例标头,0),FALSE)*VLOOKUP($BJ93,$AR$3:$AY$33,MATCH(BT$3,$AR$3:$AY$3,0),FALSE),1)</f>
        <v>57.4</v>
      </c>
      <c r="BU93" s="2">
        <f>ROUND(VLOOKUP($BJ93,$AI$3:$AO$33,MATCH(BU$3,$AI$3:$AO$3,0),FALSE)+$BL93/VLOOKUP(VLOOKUP($BJ93,坦克个性化设定!$B$18:$E$48,4,FALSE)&amp;$BK93,坦克属性分配比例,MATCH("升星次数",坦克属性分配比例标头,0),FALSE)*VLOOKUP($BJ93,$AR$3:$AY$33,MATCH(BU$3,$AR$3:$AY$3,0),FALSE),1)</f>
        <v>9.5</v>
      </c>
      <c r="BV93" s="2">
        <f>IF(VLOOKUP(BJ93,坦克个性化设定!$B$18:$BC$48,MATCH("装弹类型",坦克个性化设定!$B$18:$BC$18,0),FALSE)="弹夹换弹",0,ROUND(VLOOKUP($BJ93,$AI$3:$AO$33,MATCH("换弹时间",$AI$3:$AO$3,0),FALSE)-$BL93/VLOOKUP(VLOOKUP($BJ93,坦克个性化设定!$B$18:$E$48,4,FALSE)&amp;$BK93,坦克属性分配比例,MATCH("升星次数",坦克属性分配比例标头,0),FALSE)*VLOOKUP($BJ93,$AR$3:$AY$33,MATCH("换弹时间",$AR$3:$AY$3,0),FALSE),2))</f>
        <v>0</v>
      </c>
      <c r="BW93" s="2">
        <f>IF(VLOOKUP(BJ93,坦克个性化设定!$B$18:$BC$48,MATCH("装弹类型",坦克个性化设定!$B$18:$BC$18,0),FALSE)="弹夹换弹",ROUND(VLOOKUP($BJ93,$AI$3:$AO$33,MATCH("换弹时间",$AI$3:$AO$3,0),FALSE)-$BL93/VLOOKUP(VLOOKUP($BJ93,坦克个性化设定!$B$18:$E$48,4,FALSE)&amp;$BK93,坦克属性分配比例,MATCH("升星次数",坦克属性分配比例标头,0),FALSE)*VLOOKUP($BJ93,$AR$3:$AY$33,MATCH("换弹时间",$AR$3:$AY$3,0),FALSE),1),0)</f>
        <v>9.5</v>
      </c>
      <c r="BX93" s="2">
        <f>ROUND(VLOOKUP($BJ93,$AI$3:$AO$33,MATCH(BX$3,$AI$3:$AO$3,0),FALSE)+$BL93/VLOOKUP(VLOOKUP($BJ93,坦克个性化设定!$B$18:$E$48,4,FALSE)&amp;$BK93,坦克属性分配比例,MATCH("升星次数",坦克属性分配比例标头,0),FALSE)*VLOOKUP($BJ93,$AR$3:$AY$33,MATCH(BX$3,$AR$3:$AY$3,0),FALSE),2)</f>
        <v>0.8</v>
      </c>
      <c r="BY93" s="2">
        <f>ROUND(VLOOKUP($BJ93,$AI$3:$AO$33,MATCH(BY$3,$AI$3:$AO$3,0),FALSE)-$BL93/VLOOKUP(VLOOKUP($BJ93,坦克个性化设定!$B$18:$E$48,4,FALSE)&amp;$BK93,坦克属性分配比例,MATCH("升星次数",坦克属性分配比例标头,0),FALSE)*VLOOKUP($BJ93,$AR$3:$AY$33,MATCH(BY$3,$AR$3:$AY$3,0),FALSE),2)</f>
        <v>0.47</v>
      </c>
    </row>
    <row r="94" spans="60:77" x14ac:dyDescent="0.3">
      <c r="BH94" s="2" t="str">
        <f t="shared" si="24"/>
        <v>59式2</v>
      </c>
      <c r="BI94" s="2">
        <f>IF(BL93&gt;=VLOOKUP(VLOOKUP(BJ93,坦克个性化设定!$B$18:$E$48,4,FALSE)&amp;BK93,坦克属性分配比例,MATCH("升星次数",坦克属性分配比例标头,0),FALSE),BI93+1,BI93)</f>
        <v>10</v>
      </c>
      <c r="BJ94" s="2" t="str">
        <f t="shared" si="25"/>
        <v>59式</v>
      </c>
      <c r="BK94" s="29" t="str">
        <f>VLOOKUP(BJ94,坦克个性化细分!$I$3:$J$33,2,FALSE)</f>
        <v>低</v>
      </c>
      <c r="BL94" s="2">
        <f t="shared" si="23"/>
        <v>2</v>
      </c>
      <c r="BM94" s="103" t="e">
        <f ca="1">ROUND(VLOOKUP($BJ94&amp;"初始",$S$3:$AE$63,MATCH(BM$3,$S$3:$AE$3,0),FALSE)+((VLOOKUP($BJ94&amp;"最终",$S$3:$AE$63,MATCH(BM$3,$S$3:$AE$3,0),FALSE)*坦克个性化细分!$C$9-VLOOKUP($BJ94&amp;"初始",$S$3:$AE$63,MATCH(BM$3,$S$3:$AE$3,0),FALSE))-(VLOOKUP($BJ94&amp;"最终",$S$3:$AE$63,MATCH(BM$3,$S$3:$AE$3,0),FALSE)-VLOOKUP($BJ94&amp;"初始",$S$3:$AE$63,MATCH(BM$3,$S$3:$AE$3,0),FALSE))*VLOOKUP(VLOOKUP($BJ94,坦克个性化设定!$B$18:$E$48,4,FALSE)&amp;$BK94,坦克属性分配比例,MATCH("部件比例",坦克属性分配比例标头,0),FALSE))*$BL94/VLOOKUP(VLOOKUP($BJ94,坦克个性化设定!$B$18:$E$48,4,FALSE)&amp;$BK94,坦克属性分配比例,MATCH("升星次数",坦克属性分配比例标头,0),FALSE),0)</f>
        <v>#N/A</v>
      </c>
      <c r="BN94" s="103" t="e">
        <f ca="1">ROUND(VLOOKUP($BJ94&amp;"初始",$S$3:$AE$63,MATCH(BN$3,$S$3:$AE$3,0),FALSE)+(VLOOKUP($BJ94&amp;"最终",$S$3:$AE$63,MATCH(BN$3,$S$3:$AE$3,0),FALSE)-VLOOKUP($BJ94&amp;"初始",$S$3:$AE$63,MATCH(BN$3,$S$3:$AE$3,0),FALSE))*$BL94/VLOOKUP(VLOOKUP($BJ94,坦克个性化设定!$B$18:$E$48,4,FALSE)&amp;$BK94,坦克属性分配比例,MATCH("升星次数",坦克属性分配比例标头,0),FALSE)*VLOOKUP(VLOOKUP($BJ94,坦克个性化设定!$B$18:$E$48,4,FALSE)&amp;$BK94,坦克属性分配比例,MATCH("升星比例",坦克属性分配比例标头,0),FALSE),0)</f>
        <v>#N/A</v>
      </c>
      <c r="BO94" s="103" t="e">
        <f ca="1">ROUND(VLOOKUP($BJ94&amp;"初始",$S$3:$AE$63,MATCH(BO$3,$S$3:$AE$3,0),FALSE)+(VLOOKUP($BJ94&amp;"最终",$S$3:$AE$63,MATCH(BO$3,$S$3:$AE$3,0),FALSE)-VLOOKUP($BJ94&amp;"初始",$S$3:$AE$63,MATCH(BO$3,$S$3:$AE$3,0),FALSE))*$BL94/VLOOKUP(VLOOKUP($BJ94,坦克个性化设定!$B$18:$E$48,4,FALSE)&amp;$BK94,坦克属性分配比例,MATCH("升星次数",坦克属性分配比例标头,0),FALSE)*(VLOOKUP(VLOOKUP($BJ94,坦克个性化设定!$B$18:$E$48,4,FALSE)&amp;$BK94,坦克属性分配比例,MATCH("升星比例",坦克属性分配比例标头,0),FALSE)+VLOOKUP(VLOOKUP($BJ94,坦克个性化设定!$B$18:$E$48,4,FALSE)&amp;$BK94,坦克属性分配比例,MATCH("部件比例",坦克属性分配比例标头,0),FALSE)*$C$3),0)</f>
        <v>#N/A</v>
      </c>
      <c r="BP94" s="103" t="e">
        <f ca="1">ROUND(VLOOKUP($BJ94&amp;"初始",$S$3:$AE$63,MATCH(BP$3,$S$3:$AE$3,0),FALSE)+(VLOOKUP($BJ94&amp;"最终",$S$3:$AE$63,MATCH(BP$3,$S$3:$AE$3,0),FALSE)-VLOOKUP($BJ94&amp;"初始",$S$3:$AE$63,MATCH(BP$3,$S$3:$AE$3,0),FALSE))*$BL94/VLOOKUP(VLOOKUP($BJ94,坦克个性化设定!$B$18:$E$48,4,FALSE)&amp;$BK94,坦克属性分配比例,MATCH("升星次数",坦克属性分配比例标头,0),FALSE)*(VLOOKUP(VLOOKUP($BJ94,坦克个性化设定!$B$18:$E$48,4,FALSE)&amp;$BK94,坦克属性分配比例,MATCH("升星比例",坦克属性分配比例标头,0),FALSE)+VLOOKUP(VLOOKUP($BJ94,坦克个性化设定!$B$18:$E$48,4,FALSE)&amp;$BK94,坦克属性分配比例,MATCH("部件比例",坦克属性分配比例标头,0),FALSE)*$C$3),0)</f>
        <v>#N/A</v>
      </c>
      <c r="BQ94" s="103" t="e">
        <f ca="1">ROUND(VLOOKUP($BJ94&amp;"初始",$S$3:$AE$63,MATCH(BQ$3,$S$3:$AE$3,0),FALSE)+(VLOOKUP($BJ94&amp;"最终",$S$3:$AE$63,MATCH(BQ$3,$S$3:$AE$3,0),FALSE)-VLOOKUP($BJ94&amp;"初始",$S$3:$AE$63,MATCH(BQ$3,$S$3:$AE$3,0),FALSE))*$BL94/VLOOKUP(VLOOKUP($BJ94,坦克个性化设定!$B$18:$E$48,4,FALSE)&amp;$BK94,坦克属性分配比例,MATCH("升星次数",坦克属性分配比例标头,0),FALSE)*VLOOKUP(VLOOKUP($BJ94,坦克个性化设定!$B$18:$E$48,4,FALSE)&amp;$BK94,坦克属性分配比例,MATCH("升星比例",坦克属性分配比例标头,0),FALSE),0)</f>
        <v>#N/A</v>
      </c>
      <c r="BR94" s="2" t="e">
        <f ca="1">ROUND(VLOOKUP($BJ94&amp;"初始",$S$3:$AE$63,MATCH(BR$3,$S$3:$AE$3,0),FALSE)+(VLOOKUP($BJ94&amp;"最终",$S$3:$AE$63,MATCH(BR$3,$S$3:$AE$3,0),FALSE)-VLOOKUP($BJ94&amp;"初始",$S$3:$AE$63,MATCH(BR$3,$S$3:$AE$3,0),FALSE))*$BL94/VLOOKUP(VLOOKUP($BJ94,坦克个性化设定!$B$18:$E$48,4,FALSE)&amp;$BK94,坦克属性分配比例,MATCH("升星次数",坦克属性分配比例标头,0),FALSE),0)</f>
        <v>#N/A</v>
      </c>
      <c r="BS94" s="2">
        <f>ROUND(VLOOKUP($BJ94,$AI$3:$AO$33,MATCH(BS$3,$AI$3:$AO$3,0),FALSE)+$BL94/VLOOKUP(VLOOKUP($BJ94,坦克个性化设定!$B$18:$E$48,4,FALSE)&amp;$BK94,坦克属性分配比例,MATCH("升星次数",坦克属性分配比例标头,0),FALSE)*VLOOKUP($BJ94,$AR$3:$AY$33,MATCH(BS$3,$AR$3:$AY$3,0),FALSE),1)</f>
        <v>39.200000000000003</v>
      </c>
      <c r="BT94" s="2">
        <f>ROUND(VLOOKUP($BJ94,$AI$3:$AO$33,MATCH(BT$3,$AI$3:$AO$3,0),FALSE)+$BL94/VLOOKUP(VLOOKUP($BJ94,坦克个性化设定!$B$18:$E$48,4,FALSE)&amp;$BK94,坦克属性分配比例,MATCH("升星次数",坦克属性分配比例标头,0),FALSE)*VLOOKUP($BJ94,$AR$3:$AY$33,MATCH(BT$3,$AR$3:$AY$3,0),FALSE),1)</f>
        <v>58.5</v>
      </c>
      <c r="BU94" s="2">
        <f>ROUND(VLOOKUP($BJ94,$AI$3:$AO$33,MATCH(BU$3,$AI$3:$AO$3,0),FALSE)+$BL94/VLOOKUP(VLOOKUP($BJ94,坦克个性化设定!$B$18:$E$48,4,FALSE)&amp;$BK94,坦克属性分配比例,MATCH("升星次数",坦克属性分配比例标头,0),FALSE)*VLOOKUP($BJ94,$AR$3:$AY$33,MATCH(BU$3,$AR$3:$AY$3,0),FALSE),1)</f>
        <v>9.5</v>
      </c>
      <c r="BV94" s="2">
        <f>IF(VLOOKUP(BJ94,坦克个性化设定!$B$18:$BC$48,MATCH("装弹类型",坦克个性化设定!$B$18:$BC$18,0),FALSE)="弹夹换弹",0,ROUND(VLOOKUP($BJ94,$AI$3:$AO$33,MATCH("换弹时间",$AI$3:$AO$3,0),FALSE)-$BL94/VLOOKUP(VLOOKUP($BJ94,坦克个性化设定!$B$18:$E$48,4,FALSE)&amp;$BK94,坦克属性分配比例,MATCH("升星次数",坦克属性分配比例标头,0),FALSE)*VLOOKUP($BJ94,$AR$3:$AY$33,MATCH("换弹时间",$AR$3:$AY$3,0),FALSE),2))</f>
        <v>0</v>
      </c>
      <c r="BW94" s="2">
        <f>IF(VLOOKUP(BJ94,坦克个性化设定!$B$18:$BC$48,MATCH("装弹类型",坦克个性化设定!$B$18:$BC$18,0),FALSE)="弹夹换弹",ROUND(VLOOKUP($BJ94,$AI$3:$AO$33,MATCH("换弹时间",$AI$3:$AO$3,0),FALSE)-$BL94/VLOOKUP(VLOOKUP($BJ94,坦克个性化设定!$B$18:$E$48,4,FALSE)&amp;$BK94,坦克属性分配比例,MATCH("升星次数",坦克属性分配比例标头,0),FALSE)*VLOOKUP($BJ94,$AR$3:$AY$33,MATCH("换弹时间",$AR$3:$AY$3,0),FALSE),1),0)</f>
        <v>9.3000000000000007</v>
      </c>
      <c r="BX94" s="2">
        <f>ROUND(VLOOKUP($BJ94,$AI$3:$AO$33,MATCH(BX$3,$AI$3:$AO$3,0),FALSE)+$BL94/VLOOKUP(VLOOKUP($BJ94,坦克个性化设定!$B$18:$E$48,4,FALSE)&amp;$BK94,坦克属性分配比例,MATCH("升星次数",坦克属性分配比例标头,0),FALSE)*VLOOKUP($BJ94,$AR$3:$AY$33,MATCH(BX$3,$AR$3:$AY$3,0),FALSE),2)</f>
        <v>0.8</v>
      </c>
      <c r="BY94" s="2">
        <f>ROUND(VLOOKUP($BJ94,$AI$3:$AO$33,MATCH(BY$3,$AI$3:$AO$3,0),FALSE)-$BL94/VLOOKUP(VLOOKUP($BJ94,坦克个性化设定!$B$18:$E$48,4,FALSE)&amp;$BK94,坦克属性分配比例,MATCH("升星次数",坦克属性分配比例标头,0),FALSE)*VLOOKUP($BJ94,$AR$3:$AY$33,MATCH(BY$3,$AR$3:$AY$3,0),FALSE),2)</f>
        <v>0.46</v>
      </c>
    </row>
    <row r="95" spans="60:77" x14ac:dyDescent="0.3">
      <c r="BH95" s="2" t="str">
        <f t="shared" si="24"/>
        <v>59式3</v>
      </c>
      <c r="BI95" s="2">
        <f>IF(BL94&gt;=VLOOKUP(VLOOKUP(BJ94,坦克个性化设定!$B$18:$E$48,4,FALSE)&amp;BK94,坦克属性分配比例,MATCH("升星次数",坦克属性分配比例标头,0),FALSE),BI94+1,BI94)</f>
        <v>10</v>
      </c>
      <c r="BJ95" s="2" t="str">
        <f t="shared" si="25"/>
        <v>59式</v>
      </c>
      <c r="BK95" s="29" t="str">
        <f>VLOOKUP(BJ95,坦克个性化细分!$I$3:$J$33,2,FALSE)</f>
        <v>低</v>
      </c>
      <c r="BL95" s="2">
        <f t="shared" si="23"/>
        <v>3</v>
      </c>
      <c r="BM95" s="103" t="e">
        <f ca="1">ROUND(VLOOKUP($BJ95&amp;"初始",$S$3:$AE$63,MATCH(BM$3,$S$3:$AE$3,0),FALSE)+((VLOOKUP($BJ95&amp;"最终",$S$3:$AE$63,MATCH(BM$3,$S$3:$AE$3,0),FALSE)*坦克个性化细分!$C$9-VLOOKUP($BJ95&amp;"初始",$S$3:$AE$63,MATCH(BM$3,$S$3:$AE$3,0),FALSE))-(VLOOKUP($BJ95&amp;"最终",$S$3:$AE$63,MATCH(BM$3,$S$3:$AE$3,0),FALSE)-VLOOKUP($BJ95&amp;"初始",$S$3:$AE$63,MATCH(BM$3,$S$3:$AE$3,0),FALSE))*VLOOKUP(VLOOKUP($BJ95,坦克个性化设定!$B$18:$E$48,4,FALSE)&amp;$BK95,坦克属性分配比例,MATCH("部件比例",坦克属性分配比例标头,0),FALSE))*$BL95/VLOOKUP(VLOOKUP($BJ95,坦克个性化设定!$B$18:$E$48,4,FALSE)&amp;$BK95,坦克属性分配比例,MATCH("升星次数",坦克属性分配比例标头,0),FALSE),0)</f>
        <v>#N/A</v>
      </c>
      <c r="BN95" s="103" t="e">
        <f ca="1">ROUND(VLOOKUP($BJ95&amp;"初始",$S$3:$AE$63,MATCH(BN$3,$S$3:$AE$3,0),FALSE)+(VLOOKUP($BJ95&amp;"最终",$S$3:$AE$63,MATCH(BN$3,$S$3:$AE$3,0),FALSE)-VLOOKUP($BJ95&amp;"初始",$S$3:$AE$63,MATCH(BN$3,$S$3:$AE$3,0),FALSE))*$BL95/VLOOKUP(VLOOKUP($BJ95,坦克个性化设定!$B$18:$E$48,4,FALSE)&amp;$BK95,坦克属性分配比例,MATCH("升星次数",坦克属性分配比例标头,0),FALSE)*VLOOKUP(VLOOKUP($BJ95,坦克个性化设定!$B$18:$E$48,4,FALSE)&amp;$BK95,坦克属性分配比例,MATCH("升星比例",坦克属性分配比例标头,0),FALSE),0)</f>
        <v>#N/A</v>
      </c>
      <c r="BO95" s="103" t="e">
        <f ca="1">ROUND(VLOOKUP($BJ95&amp;"初始",$S$3:$AE$63,MATCH(BO$3,$S$3:$AE$3,0),FALSE)+(VLOOKUP($BJ95&amp;"最终",$S$3:$AE$63,MATCH(BO$3,$S$3:$AE$3,0),FALSE)-VLOOKUP($BJ95&amp;"初始",$S$3:$AE$63,MATCH(BO$3,$S$3:$AE$3,0),FALSE))*$BL95/VLOOKUP(VLOOKUP($BJ95,坦克个性化设定!$B$18:$E$48,4,FALSE)&amp;$BK95,坦克属性分配比例,MATCH("升星次数",坦克属性分配比例标头,0),FALSE)*(VLOOKUP(VLOOKUP($BJ95,坦克个性化设定!$B$18:$E$48,4,FALSE)&amp;$BK95,坦克属性分配比例,MATCH("升星比例",坦克属性分配比例标头,0),FALSE)+VLOOKUP(VLOOKUP($BJ95,坦克个性化设定!$B$18:$E$48,4,FALSE)&amp;$BK95,坦克属性分配比例,MATCH("部件比例",坦克属性分配比例标头,0),FALSE)*$C$3),0)</f>
        <v>#N/A</v>
      </c>
      <c r="BP95" s="103" t="e">
        <f ca="1">ROUND(VLOOKUP($BJ95&amp;"初始",$S$3:$AE$63,MATCH(BP$3,$S$3:$AE$3,0),FALSE)+(VLOOKUP($BJ95&amp;"最终",$S$3:$AE$63,MATCH(BP$3,$S$3:$AE$3,0),FALSE)-VLOOKUP($BJ95&amp;"初始",$S$3:$AE$63,MATCH(BP$3,$S$3:$AE$3,0),FALSE))*$BL95/VLOOKUP(VLOOKUP($BJ95,坦克个性化设定!$B$18:$E$48,4,FALSE)&amp;$BK95,坦克属性分配比例,MATCH("升星次数",坦克属性分配比例标头,0),FALSE)*(VLOOKUP(VLOOKUP($BJ95,坦克个性化设定!$B$18:$E$48,4,FALSE)&amp;$BK95,坦克属性分配比例,MATCH("升星比例",坦克属性分配比例标头,0),FALSE)+VLOOKUP(VLOOKUP($BJ95,坦克个性化设定!$B$18:$E$48,4,FALSE)&amp;$BK95,坦克属性分配比例,MATCH("部件比例",坦克属性分配比例标头,0),FALSE)*$C$3),0)</f>
        <v>#N/A</v>
      </c>
      <c r="BQ95" s="103" t="e">
        <f ca="1">ROUND(VLOOKUP($BJ95&amp;"初始",$S$3:$AE$63,MATCH(BQ$3,$S$3:$AE$3,0),FALSE)+(VLOOKUP($BJ95&amp;"最终",$S$3:$AE$63,MATCH(BQ$3,$S$3:$AE$3,0),FALSE)-VLOOKUP($BJ95&amp;"初始",$S$3:$AE$63,MATCH(BQ$3,$S$3:$AE$3,0),FALSE))*$BL95/VLOOKUP(VLOOKUP($BJ95,坦克个性化设定!$B$18:$E$48,4,FALSE)&amp;$BK95,坦克属性分配比例,MATCH("升星次数",坦克属性分配比例标头,0),FALSE)*VLOOKUP(VLOOKUP($BJ95,坦克个性化设定!$B$18:$E$48,4,FALSE)&amp;$BK95,坦克属性分配比例,MATCH("升星比例",坦克属性分配比例标头,0),FALSE),0)</f>
        <v>#N/A</v>
      </c>
      <c r="BR95" s="2" t="e">
        <f ca="1">ROUND(VLOOKUP($BJ95&amp;"初始",$S$3:$AE$63,MATCH(BR$3,$S$3:$AE$3,0),FALSE)+(VLOOKUP($BJ95&amp;"最终",$S$3:$AE$63,MATCH(BR$3,$S$3:$AE$3,0),FALSE)-VLOOKUP($BJ95&amp;"初始",$S$3:$AE$63,MATCH(BR$3,$S$3:$AE$3,0),FALSE))*$BL95/VLOOKUP(VLOOKUP($BJ95,坦克个性化设定!$B$18:$E$48,4,FALSE)&amp;$BK95,坦克属性分配比例,MATCH("升星次数",坦克属性分配比例标头,0),FALSE),0)</f>
        <v>#N/A</v>
      </c>
      <c r="BS95" s="2">
        <f>ROUND(VLOOKUP($BJ95,$AI$3:$AO$33,MATCH(BS$3,$AI$3:$AO$3,0),FALSE)+$BL95/VLOOKUP(VLOOKUP($BJ95,坦克个性化设定!$B$18:$E$48,4,FALSE)&amp;$BK95,坦克属性分配比例,MATCH("升星次数",坦克属性分配比例标头,0),FALSE)*VLOOKUP($BJ95,$AR$3:$AY$33,MATCH(BS$3,$AR$3:$AY$3,0),FALSE),1)</f>
        <v>39.9</v>
      </c>
      <c r="BT95" s="2">
        <f>ROUND(VLOOKUP($BJ95,$AI$3:$AO$33,MATCH(BT$3,$AI$3:$AO$3,0),FALSE)+$BL95/VLOOKUP(VLOOKUP($BJ95,坦克个性化设定!$B$18:$E$48,4,FALSE)&amp;$BK95,坦克属性分配比例,MATCH("升星次数",坦克属性分配比例标头,0),FALSE)*VLOOKUP($BJ95,$AR$3:$AY$33,MATCH(BT$3,$AR$3:$AY$3,0),FALSE),1)</f>
        <v>59.5</v>
      </c>
      <c r="BU95" s="2">
        <f>ROUND(VLOOKUP($BJ95,$AI$3:$AO$33,MATCH(BU$3,$AI$3:$AO$3,0),FALSE)+$BL95/VLOOKUP(VLOOKUP($BJ95,坦克个性化设定!$B$18:$E$48,4,FALSE)&amp;$BK95,坦克属性分配比例,MATCH("升星次数",坦克属性分配比例标头,0),FALSE)*VLOOKUP($BJ95,$AR$3:$AY$33,MATCH(BU$3,$AR$3:$AY$3,0),FALSE),1)</f>
        <v>9.5</v>
      </c>
      <c r="BV95" s="2">
        <f>IF(VLOOKUP(BJ95,坦克个性化设定!$B$18:$BC$48,MATCH("装弹类型",坦克个性化设定!$B$18:$BC$18,0),FALSE)="弹夹换弹",0,ROUND(VLOOKUP($BJ95,$AI$3:$AO$33,MATCH("换弹时间",$AI$3:$AO$3,0),FALSE)-$BL95/VLOOKUP(VLOOKUP($BJ95,坦克个性化设定!$B$18:$E$48,4,FALSE)&amp;$BK95,坦克属性分配比例,MATCH("升星次数",坦克属性分配比例标头,0),FALSE)*VLOOKUP($BJ95,$AR$3:$AY$33,MATCH("换弹时间",$AR$3:$AY$3,0),FALSE),2))</f>
        <v>0</v>
      </c>
      <c r="BW95" s="2">
        <f>IF(VLOOKUP(BJ95,坦克个性化设定!$B$18:$BC$48,MATCH("装弹类型",坦克个性化设定!$B$18:$BC$18,0),FALSE)="弹夹换弹",ROUND(VLOOKUP($BJ95,$AI$3:$AO$33,MATCH("换弹时间",$AI$3:$AO$3,0),FALSE)-$BL95/VLOOKUP(VLOOKUP($BJ95,坦克个性化设定!$B$18:$E$48,4,FALSE)&amp;$BK95,坦克属性分配比例,MATCH("升星次数",坦克属性分配比例标头,0),FALSE)*VLOOKUP($BJ95,$AR$3:$AY$33,MATCH("换弹时间",$AR$3:$AY$3,0),FALSE),1),0)</f>
        <v>9</v>
      </c>
      <c r="BX95" s="2">
        <f>ROUND(VLOOKUP($BJ95,$AI$3:$AO$33,MATCH(BX$3,$AI$3:$AO$3,0),FALSE)+$BL95/VLOOKUP(VLOOKUP($BJ95,坦克个性化设定!$B$18:$E$48,4,FALSE)&amp;$BK95,坦克属性分配比例,MATCH("升星次数",坦克属性分配比例标头,0),FALSE)*VLOOKUP($BJ95,$AR$3:$AY$33,MATCH(BX$3,$AR$3:$AY$3,0),FALSE),2)</f>
        <v>0.8</v>
      </c>
      <c r="BY95" s="2">
        <f>ROUND(VLOOKUP($BJ95,$AI$3:$AO$33,MATCH(BY$3,$AI$3:$AO$3,0),FALSE)-$BL95/VLOOKUP(VLOOKUP($BJ95,坦克个性化设定!$B$18:$E$48,4,FALSE)&amp;$BK95,坦克属性分配比例,MATCH("升星次数",坦克属性分配比例标头,0),FALSE)*VLOOKUP($BJ95,$AR$3:$AY$33,MATCH(BY$3,$AR$3:$AY$3,0),FALSE),2)</f>
        <v>0.46</v>
      </c>
    </row>
    <row r="96" spans="60:77" x14ac:dyDescent="0.3">
      <c r="BH96" s="2" t="str">
        <f t="shared" si="24"/>
        <v>59式4</v>
      </c>
      <c r="BI96" s="2">
        <f>IF(BL95&gt;=VLOOKUP(VLOOKUP(BJ95,坦克个性化设定!$B$18:$E$48,4,FALSE)&amp;BK95,坦克属性分配比例,MATCH("升星次数",坦克属性分配比例标头,0),FALSE),BI95+1,BI95)</f>
        <v>10</v>
      </c>
      <c r="BJ96" s="2" t="str">
        <f t="shared" si="25"/>
        <v>59式</v>
      </c>
      <c r="BK96" s="29" t="str">
        <f>VLOOKUP(BJ96,坦克个性化细分!$I$3:$J$33,2,FALSE)</f>
        <v>低</v>
      </c>
      <c r="BL96" s="2">
        <f t="shared" si="23"/>
        <v>4</v>
      </c>
      <c r="BM96" s="103" t="e">
        <f ca="1">ROUND(VLOOKUP($BJ96&amp;"初始",$S$3:$AE$63,MATCH(BM$3,$S$3:$AE$3,0),FALSE)+((VLOOKUP($BJ96&amp;"最终",$S$3:$AE$63,MATCH(BM$3,$S$3:$AE$3,0),FALSE)*坦克个性化细分!$C$9-VLOOKUP($BJ96&amp;"初始",$S$3:$AE$63,MATCH(BM$3,$S$3:$AE$3,0),FALSE))-(VLOOKUP($BJ96&amp;"最终",$S$3:$AE$63,MATCH(BM$3,$S$3:$AE$3,0),FALSE)-VLOOKUP($BJ96&amp;"初始",$S$3:$AE$63,MATCH(BM$3,$S$3:$AE$3,0),FALSE))*VLOOKUP(VLOOKUP($BJ96,坦克个性化设定!$B$18:$E$48,4,FALSE)&amp;$BK96,坦克属性分配比例,MATCH("部件比例",坦克属性分配比例标头,0),FALSE))*$BL96/VLOOKUP(VLOOKUP($BJ96,坦克个性化设定!$B$18:$E$48,4,FALSE)&amp;$BK96,坦克属性分配比例,MATCH("升星次数",坦克属性分配比例标头,0),FALSE),0)</f>
        <v>#N/A</v>
      </c>
      <c r="BN96" s="103" t="e">
        <f ca="1">ROUND(VLOOKUP($BJ96&amp;"初始",$S$3:$AE$63,MATCH(BN$3,$S$3:$AE$3,0),FALSE)+(VLOOKUP($BJ96&amp;"最终",$S$3:$AE$63,MATCH(BN$3,$S$3:$AE$3,0),FALSE)-VLOOKUP($BJ96&amp;"初始",$S$3:$AE$63,MATCH(BN$3,$S$3:$AE$3,0),FALSE))*$BL96/VLOOKUP(VLOOKUP($BJ96,坦克个性化设定!$B$18:$E$48,4,FALSE)&amp;$BK96,坦克属性分配比例,MATCH("升星次数",坦克属性分配比例标头,0),FALSE)*VLOOKUP(VLOOKUP($BJ96,坦克个性化设定!$B$18:$E$48,4,FALSE)&amp;$BK96,坦克属性分配比例,MATCH("升星比例",坦克属性分配比例标头,0),FALSE),0)</f>
        <v>#N/A</v>
      </c>
      <c r="BO96" s="103" t="e">
        <f ca="1">ROUND(VLOOKUP($BJ96&amp;"初始",$S$3:$AE$63,MATCH(BO$3,$S$3:$AE$3,0),FALSE)+(VLOOKUP($BJ96&amp;"最终",$S$3:$AE$63,MATCH(BO$3,$S$3:$AE$3,0),FALSE)-VLOOKUP($BJ96&amp;"初始",$S$3:$AE$63,MATCH(BO$3,$S$3:$AE$3,0),FALSE))*$BL96/VLOOKUP(VLOOKUP($BJ96,坦克个性化设定!$B$18:$E$48,4,FALSE)&amp;$BK96,坦克属性分配比例,MATCH("升星次数",坦克属性分配比例标头,0),FALSE)*(VLOOKUP(VLOOKUP($BJ96,坦克个性化设定!$B$18:$E$48,4,FALSE)&amp;$BK96,坦克属性分配比例,MATCH("升星比例",坦克属性分配比例标头,0),FALSE)+VLOOKUP(VLOOKUP($BJ96,坦克个性化设定!$B$18:$E$48,4,FALSE)&amp;$BK96,坦克属性分配比例,MATCH("部件比例",坦克属性分配比例标头,0),FALSE)*$C$3),0)</f>
        <v>#N/A</v>
      </c>
      <c r="BP96" s="103" t="e">
        <f ca="1">ROUND(VLOOKUP($BJ96&amp;"初始",$S$3:$AE$63,MATCH(BP$3,$S$3:$AE$3,0),FALSE)+(VLOOKUP($BJ96&amp;"最终",$S$3:$AE$63,MATCH(BP$3,$S$3:$AE$3,0),FALSE)-VLOOKUP($BJ96&amp;"初始",$S$3:$AE$63,MATCH(BP$3,$S$3:$AE$3,0),FALSE))*$BL96/VLOOKUP(VLOOKUP($BJ96,坦克个性化设定!$B$18:$E$48,4,FALSE)&amp;$BK96,坦克属性分配比例,MATCH("升星次数",坦克属性分配比例标头,0),FALSE)*(VLOOKUP(VLOOKUP($BJ96,坦克个性化设定!$B$18:$E$48,4,FALSE)&amp;$BK96,坦克属性分配比例,MATCH("升星比例",坦克属性分配比例标头,0),FALSE)+VLOOKUP(VLOOKUP($BJ96,坦克个性化设定!$B$18:$E$48,4,FALSE)&amp;$BK96,坦克属性分配比例,MATCH("部件比例",坦克属性分配比例标头,0),FALSE)*$C$3),0)</f>
        <v>#N/A</v>
      </c>
      <c r="BQ96" s="103" t="e">
        <f ca="1">ROUND(VLOOKUP($BJ96&amp;"初始",$S$3:$AE$63,MATCH(BQ$3,$S$3:$AE$3,0),FALSE)+(VLOOKUP($BJ96&amp;"最终",$S$3:$AE$63,MATCH(BQ$3,$S$3:$AE$3,0),FALSE)-VLOOKUP($BJ96&amp;"初始",$S$3:$AE$63,MATCH(BQ$3,$S$3:$AE$3,0),FALSE))*$BL96/VLOOKUP(VLOOKUP($BJ96,坦克个性化设定!$B$18:$E$48,4,FALSE)&amp;$BK96,坦克属性分配比例,MATCH("升星次数",坦克属性分配比例标头,0),FALSE)*VLOOKUP(VLOOKUP($BJ96,坦克个性化设定!$B$18:$E$48,4,FALSE)&amp;$BK96,坦克属性分配比例,MATCH("升星比例",坦克属性分配比例标头,0),FALSE),0)</f>
        <v>#N/A</v>
      </c>
      <c r="BR96" s="2" t="e">
        <f ca="1">ROUND(VLOOKUP($BJ96&amp;"初始",$S$3:$AE$63,MATCH(BR$3,$S$3:$AE$3,0),FALSE)+(VLOOKUP($BJ96&amp;"最终",$S$3:$AE$63,MATCH(BR$3,$S$3:$AE$3,0),FALSE)-VLOOKUP($BJ96&amp;"初始",$S$3:$AE$63,MATCH(BR$3,$S$3:$AE$3,0),FALSE))*$BL96/VLOOKUP(VLOOKUP($BJ96,坦克个性化设定!$B$18:$E$48,4,FALSE)&amp;$BK96,坦克属性分配比例,MATCH("升星次数",坦克属性分配比例标头,0),FALSE),0)</f>
        <v>#N/A</v>
      </c>
      <c r="BS96" s="2">
        <f>ROUND(VLOOKUP($BJ96,$AI$3:$AO$33,MATCH(BS$3,$AI$3:$AO$3,0),FALSE)+$BL96/VLOOKUP(VLOOKUP($BJ96,坦克个性化设定!$B$18:$E$48,4,FALSE)&amp;$BK96,坦克属性分配比例,MATCH("升星次数",坦克属性分配比例标头,0),FALSE)*VLOOKUP($BJ96,$AR$3:$AY$33,MATCH(BS$3,$AR$3:$AY$3,0),FALSE),1)</f>
        <v>40.6</v>
      </c>
      <c r="BT96" s="2">
        <f>ROUND(VLOOKUP($BJ96,$AI$3:$AO$33,MATCH(BT$3,$AI$3:$AO$3,0),FALSE)+$BL96/VLOOKUP(VLOOKUP($BJ96,坦克个性化设定!$B$18:$E$48,4,FALSE)&amp;$BK96,坦克属性分配比例,MATCH("升星次数",坦克属性分配比例标头,0),FALSE)*VLOOKUP($BJ96,$AR$3:$AY$33,MATCH(BT$3,$AR$3:$AY$3,0),FALSE),1)</f>
        <v>60.6</v>
      </c>
      <c r="BU96" s="2">
        <f>ROUND(VLOOKUP($BJ96,$AI$3:$AO$33,MATCH(BU$3,$AI$3:$AO$3,0),FALSE)+$BL96/VLOOKUP(VLOOKUP($BJ96,坦克个性化设定!$B$18:$E$48,4,FALSE)&amp;$BK96,坦克属性分配比例,MATCH("升星次数",坦克属性分配比例标头,0),FALSE)*VLOOKUP($BJ96,$AR$3:$AY$33,MATCH(BU$3,$AR$3:$AY$3,0),FALSE),1)</f>
        <v>9.5</v>
      </c>
      <c r="BV96" s="2">
        <f>IF(VLOOKUP(BJ96,坦克个性化设定!$B$18:$BC$48,MATCH("装弹类型",坦克个性化设定!$B$18:$BC$18,0),FALSE)="弹夹换弹",0,ROUND(VLOOKUP($BJ96,$AI$3:$AO$33,MATCH("换弹时间",$AI$3:$AO$3,0),FALSE)-$BL96/VLOOKUP(VLOOKUP($BJ96,坦克个性化设定!$B$18:$E$48,4,FALSE)&amp;$BK96,坦克属性分配比例,MATCH("升星次数",坦克属性分配比例标头,0),FALSE)*VLOOKUP($BJ96,$AR$3:$AY$33,MATCH("换弹时间",$AR$3:$AY$3,0),FALSE),2))</f>
        <v>0</v>
      </c>
      <c r="BW96" s="2">
        <f>IF(VLOOKUP(BJ96,坦克个性化设定!$B$18:$BC$48,MATCH("装弹类型",坦克个性化设定!$B$18:$BC$18,0),FALSE)="弹夹换弹",ROUND(VLOOKUP($BJ96,$AI$3:$AO$33,MATCH("换弹时间",$AI$3:$AO$3,0),FALSE)-$BL96/VLOOKUP(VLOOKUP($BJ96,坦克个性化设定!$B$18:$E$48,4,FALSE)&amp;$BK96,坦克属性分配比例,MATCH("升星次数",坦克属性分配比例标头,0),FALSE)*VLOOKUP($BJ96,$AR$3:$AY$33,MATCH("换弹时间",$AR$3:$AY$3,0),FALSE),1),0)</f>
        <v>8.6999999999999993</v>
      </c>
      <c r="BX96" s="2">
        <f>ROUND(VLOOKUP($BJ96,$AI$3:$AO$33,MATCH(BX$3,$AI$3:$AO$3,0),FALSE)+$BL96/VLOOKUP(VLOOKUP($BJ96,坦克个性化设定!$B$18:$E$48,4,FALSE)&amp;$BK96,坦克属性分配比例,MATCH("升星次数",坦克属性分配比例标头,0),FALSE)*VLOOKUP($BJ96,$AR$3:$AY$33,MATCH(BX$3,$AR$3:$AY$3,0),FALSE),2)</f>
        <v>0.8</v>
      </c>
      <c r="BY96" s="2">
        <f>ROUND(VLOOKUP($BJ96,$AI$3:$AO$33,MATCH(BY$3,$AI$3:$AO$3,0),FALSE)-$BL96/VLOOKUP(VLOOKUP($BJ96,坦克个性化设定!$B$18:$E$48,4,FALSE)&amp;$BK96,坦克属性分配比例,MATCH("升星次数",坦克属性分配比例标头,0),FALSE)*VLOOKUP($BJ96,$AR$3:$AY$33,MATCH(BY$3,$AR$3:$AY$3,0),FALSE),2)</f>
        <v>0.45</v>
      </c>
    </row>
    <row r="97" spans="60:77" x14ac:dyDescent="0.3">
      <c r="BH97" s="2" t="str">
        <f t="shared" si="24"/>
        <v>59式5</v>
      </c>
      <c r="BI97" s="2">
        <f>IF(BL96&gt;=VLOOKUP(VLOOKUP(BJ96,坦克个性化设定!$B$18:$E$48,4,FALSE)&amp;BK96,坦克属性分配比例,MATCH("升星次数",坦克属性分配比例标头,0),FALSE),BI96+1,BI96)</f>
        <v>10</v>
      </c>
      <c r="BJ97" s="2" t="str">
        <f t="shared" si="25"/>
        <v>59式</v>
      </c>
      <c r="BK97" s="29" t="str">
        <f>VLOOKUP(BJ97,坦克个性化细分!$I$3:$J$33,2,FALSE)</f>
        <v>低</v>
      </c>
      <c r="BL97" s="2">
        <f t="shared" si="23"/>
        <v>5</v>
      </c>
      <c r="BM97" s="103" t="e">
        <f ca="1">ROUND(VLOOKUP($BJ97&amp;"初始",$S$3:$AE$63,MATCH(BM$3,$S$3:$AE$3,0),FALSE)+((VLOOKUP($BJ97&amp;"最终",$S$3:$AE$63,MATCH(BM$3,$S$3:$AE$3,0),FALSE)*坦克个性化细分!$C$9-VLOOKUP($BJ97&amp;"初始",$S$3:$AE$63,MATCH(BM$3,$S$3:$AE$3,0),FALSE))-(VLOOKUP($BJ97&amp;"最终",$S$3:$AE$63,MATCH(BM$3,$S$3:$AE$3,0),FALSE)-VLOOKUP($BJ97&amp;"初始",$S$3:$AE$63,MATCH(BM$3,$S$3:$AE$3,0),FALSE))*VLOOKUP(VLOOKUP($BJ97,坦克个性化设定!$B$18:$E$48,4,FALSE)&amp;$BK97,坦克属性分配比例,MATCH("部件比例",坦克属性分配比例标头,0),FALSE))*$BL97/VLOOKUP(VLOOKUP($BJ97,坦克个性化设定!$B$18:$E$48,4,FALSE)&amp;$BK97,坦克属性分配比例,MATCH("升星次数",坦克属性分配比例标头,0),FALSE),0)</f>
        <v>#N/A</v>
      </c>
      <c r="BN97" s="103" t="e">
        <f ca="1">ROUND(VLOOKUP($BJ97&amp;"初始",$S$3:$AE$63,MATCH(BN$3,$S$3:$AE$3,0),FALSE)+(VLOOKUP($BJ97&amp;"最终",$S$3:$AE$63,MATCH(BN$3,$S$3:$AE$3,0),FALSE)-VLOOKUP($BJ97&amp;"初始",$S$3:$AE$63,MATCH(BN$3,$S$3:$AE$3,0),FALSE))*$BL97/VLOOKUP(VLOOKUP($BJ97,坦克个性化设定!$B$18:$E$48,4,FALSE)&amp;$BK97,坦克属性分配比例,MATCH("升星次数",坦克属性分配比例标头,0),FALSE)*VLOOKUP(VLOOKUP($BJ97,坦克个性化设定!$B$18:$E$48,4,FALSE)&amp;$BK97,坦克属性分配比例,MATCH("升星比例",坦克属性分配比例标头,0),FALSE),0)</f>
        <v>#N/A</v>
      </c>
      <c r="BO97" s="103" t="e">
        <f ca="1">ROUND(VLOOKUP($BJ97&amp;"初始",$S$3:$AE$63,MATCH(BO$3,$S$3:$AE$3,0),FALSE)+(VLOOKUP($BJ97&amp;"最终",$S$3:$AE$63,MATCH(BO$3,$S$3:$AE$3,0),FALSE)-VLOOKUP($BJ97&amp;"初始",$S$3:$AE$63,MATCH(BO$3,$S$3:$AE$3,0),FALSE))*$BL97/VLOOKUP(VLOOKUP($BJ97,坦克个性化设定!$B$18:$E$48,4,FALSE)&amp;$BK97,坦克属性分配比例,MATCH("升星次数",坦克属性分配比例标头,0),FALSE)*(VLOOKUP(VLOOKUP($BJ97,坦克个性化设定!$B$18:$E$48,4,FALSE)&amp;$BK97,坦克属性分配比例,MATCH("升星比例",坦克属性分配比例标头,0),FALSE)+VLOOKUP(VLOOKUP($BJ97,坦克个性化设定!$B$18:$E$48,4,FALSE)&amp;$BK97,坦克属性分配比例,MATCH("部件比例",坦克属性分配比例标头,0),FALSE)*$C$3),0)</f>
        <v>#N/A</v>
      </c>
      <c r="BP97" s="103" t="e">
        <f ca="1">ROUND(VLOOKUP($BJ97&amp;"初始",$S$3:$AE$63,MATCH(BP$3,$S$3:$AE$3,0),FALSE)+(VLOOKUP($BJ97&amp;"最终",$S$3:$AE$63,MATCH(BP$3,$S$3:$AE$3,0),FALSE)-VLOOKUP($BJ97&amp;"初始",$S$3:$AE$63,MATCH(BP$3,$S$3:$AE$3,0),FALSE))*$BL97/VLOOKUP(VLOOKUP($BJ97,坦克个性化设定!$B$18:$E$48,4,FALSE)&amp;$BK97,坦克属性分配比例,MATCH("升星次数",坦克属性分配比例标头,0),FALSE)*(VLOOKUP(VLOOKUP($BJ97,坦克个性化设定!$B$18:$E$48,4,FALSE)&amp;$BK97,坦克属性分配比例,MATCH("升星比例",坦克属性分配比例标头,0),FALSE)+VLOOKUP(VLOOKUP($BJ97,坦克个性化设定!$B$18:$E$48,4,FALSE)&amp;$BK97,坦克属性分配比例,MATCH("部件比例",坦克属性分配比例标头,0),FALSE)*$C$3),0)</f>
        <v>#N/A</v>
      </c>
      <c r="BQ97" s="103" t="e">
        <f ca="1">ROUND(VLOOKUP($BJ97&amp;"初始",$S$3:$AE$63,MATCH(BQ$3,$S$3:$AE$3,0),FALSE)+(VLOOKUP($BJ97&amp;"最终",$S$3:$AE$63,MATCH(BQ$3,$S$3:$AE$3,0),FALSE)-VLOOKUP($BJ97&amp;"初始",$S$3:$AE$63,MATCH(BQ$3,$S$3:$AE$3,0),FALSE))*$BL97/VLOOKUP(VLOOKUP($BJ97,坦克个性化设定!$B$18:$E$48,4,FALSE)&amp;$BK97,坦克属性分配比例,MATCH("升星次数",坦克属性分配比例标头,0),FALSE)*VLOOKUP(VLOOKUP($BJ97,坦克个性化设定!$B$18:$E$48,4,FALSE)&amp;$BK97,坦克属性分配比例,MATCH("升星比例",坦克属性分配比例标头,0),FALSE),0)</f>
        <v>#N/A</v>
      </c>
      <c r="BR97" s="2" t="e">
        <f ca="1">ROUND(VLOOKUP($BJ97&amp;"初始",$S$3:$AE$63,MATCH(BR$3,$S$3:$AE$3,0),FALSE)+(VLOOKUP($BJ97&amp;"最终",$S$3:$AE$63,MATCH(BR$3,$S$3:$AE$3,0),FALSE)-VLOOKUP($BJ97&amp;"初始",$S$3:$AE$63,MATCH(BR$3,$S$3:$AE$3,0),FALSE))*$BL97/VLOOKUP(VLOOKUP($BJ97,坦克个性化设定!$B$18:$E$48,4,FALSE)&amp;$BK97,坦克属性分配比例,MATCH("升星次数",坦克属性分配比例标头,0),FALSE),0)</f>
        <v>#N/A</v>
      </c>
      <c r="BS97" s="2">
        <f>ROUND(VLOOKUP($BJ97,$AI$3:$AO$33,MATCH(BS$3,$AI$3:$AO$3,0),FALSE)+$BL97/VLOOKUP(VLOOKUP($BJ97,坦克个性化设定!$B$18:$E$48,4,FALSE)&amp;$BK97,坦克属性分配比例,MATCH("升星次数",坦克属性分配比例标头,0),FALSE)*VLOOKUP($BJ97,$AR$3:$AY$33,MATCH(BS$3,$AR$3:$AY$3,0),FALSE),1)</f>
        <v>41.3</v>
      </c>
      <c r="BT97" s="2">
        <f>ROUND(VLOOKUP($BJ97,$AI$3:$AO$33,MATCH(BT$3,$AI$3:$AO$3,0),FALSE)+$BL97/VLOOKUP(VLOOKUP($BJ97,坦克个性化设定!$B$18:$E$48,4,FALSE)&amp;$BK97,坦克属性分配比例,MATCH("升星次数",坦克属性分配比例标头,0),FALSE)*VLOOKUP($BJ97,$AR$3:$AY$33,MATCH(BT$3,$AR$3:$AY$3,0),FALSE),1)</f>
        <v>61.7</v>
      </c>
      <c r="BU97" s="2">
        <f>ROUND(VLOOKUP($BJ97,$AI$3:$AO$33,MATCH(BU$3,$AI$3:$AO$3,0),FALSE)+$BL97/VLOOKUP(VLOOKUP($BJ97,坦克个性化设定!$B$18:$E$48,4,FALSE)&amp;$BK97,坦克属性分配比例,MATCH("升星次数",坦克属性分配比例标头,0),FALSE)*VLOOKUP($BJ97,$AR$3:$AY$33,MATCH(BU$3,$AR$3:$AY$3,0),FALSE),1)</f>
        <v>9.5</v>
      </c>
      <c r="BV97" s="2">
        <f>IF(VLOOKUP(BJ97,坦克个性化设定!$B$18:$BC$48,MATCH("装弹类型",坦克个性化设定!$B$18:$BC$18,0),FALSE)="弹夹换弹",0,ROUND(VLOOKUP($BJ97,$AI$3:$AO$33,MATCH("换弹时间",$AI$3:$AO$3,0),FALSE)-$BL97/VLOOKUP(VLOOKUP($BJ97,坦克个性化设定!$B$18:$E$48,4,FALSE)&amp;$BK97,坦克属性分配比例,MATCH("升星次数",坦克属性分配比例标头,0),FALSE)*VLOOKUP($BJ97,$AR$3:$AY$33,MATCH("换弹时间",$AR$3:$AY$3,0),FALSE),2))</f>
        <v>0</v>
      </c>
      <c r="BW97" s="2">
        <f>IF(VLOOKUP(BJ97,坦克个性化设定!$B$18:$BC$48,MATCH("装弹类型",坦克个性化设定!$B$18:$BC$18,0),FALSE)="弹夹换弹",ROUND(VLOOKUP($BJ97,$AI$3:$AO$33,MATCH("换弹时间",$AI$3:$AO$3,0),FALSE)-$BL97/VLOOKUP(VLOOKUP($BJ97,坦克个性化设定!$B$18:$E$48,4,FALSE)&amp;$BK97,坦克属性分配比例,MATCH("升星次数",坦克属性分配比例标头,0),FALSE)*VLOOKUP($BJ97,$AR$3:$AY$33,MATCH("换弹时间",$AR$3:$AY$3,0),FALSE),1),0)</f>
        <v>8.4</v>
      </c>
      <c r="BX97" s="2">
        <f>ROUND(VLOOKUP($BJ97,$AI$3:$AO$33,MATCH(BX$3,$AI$3:$AO$3,0),FALSE)+$BL97/VLOOKUP(VLOOKUP($BJ97,坦克个性化设定!$B$18:$E$48,4,FALSE)&amp;$BK97,坦克属性分配比例,MATCH("升星次数",坦克属性分配比例标头,0),FALSE)*VLOOKUP($BJ97,$AR$3:$AY$33,MATCH(BX$3,$AR$3:$AY$3,0),FALSE),2)</f>
        <v>0.8</v>
      </c>
      <c r="BY97" s="2">
        <f>ROUND(VLOOKUP($BJ97,$AI$3:$AO$33,MATCH(BY$3,$AI$3:$AO$3,0),FALSE)-$BL97/VLOOKUP(VLOOKUP($BJ97,坦克个性化设定!$B$18:$E$48,4,FALSE)&amp;$BK97,坦克属性分配比例,MATCH("升星次数",坦克属性分配比例标头,0),FALSE)*VLOOKUP($BJ97,$AR$3:$AY$33,MATCH(BY$3,$AR$3:$AY$3,0),FALSE),2)</f>
        <v>0.44</v>
      </c>
    </row>
    <row r="98" spans="60:77" x14ac:dyDescent="0.3">
      <c r="BH98" s="2" t="str">
        <f t="shared" si="24"/>
        <v>59式6</v>
      </c>
      <c r="BI98" s="2">
        <f>IF(BL97&gt;=VLOOKUP(VLOOKUP(BJ97,坦克个性化设定!$B$18:$E$48,4,FALSE)&amp;BK97,坦克属性分配比例,MATCH("升星次数",坦克属性分配比例标头,0),FALSE),BI97+1,BI97)</f>
        <v>10</v>
      </c>
      <c r="BJ98" s="2" t="str">
        <f t="shared" si="25"/>
        <v>59式</v>
      </c>
      <c r="BK98" s="29" t="str">
        <f>VLOOKUP(BJ98,坦克个性化细分!$I$3:$J$33,2,FALSE)</f>
        <v>低</v>
      </c>
      <c r="BL98" s="2">
        <f t="shared" si="23"/>
        <v>6</v>
      </c>
      <c r="BM98" s="103" t="e">
        <f ca="1">ROUND(VLOOKUP($BJ98&amp;"初始",$S$3:$AE$63,MATCH(BM$3,$S$3:$AE$3,0),FALSE)+((VLOOKUP($BJ98&amp;"最终",$S$3:$AE$63,MATCH(BM$3,$S$3:$AE$3,0),FALSE)*坦克个性化细分!$C$9-VLOOKUP($BJ98&amp;"初始",$S$3:$AE$63,MATCH(BM$3,$S$3:$AE$3,0),FALSE))-(VLOOKUP($BJ98&amp;"最终",$S$3:$AE$63,MATCH(BM$3,$S$3:$AE$3,0),FALSE)-VLOOKUP($BJ98&amp;"初始",$S$3:$AE$63,MATCH(BM$3,$S$3:$AE$3,0),FALSE))*VLOOKUP(VLOOKUP($BJ98,坦克个性化设定!$B$18:$E$48,4,FALSE)&amp;$BK98,坦克属性分配比例,MATCH("部件比例",坦克属性分配比例标头,0),FALSE))*$BL98/VLOOKUP(VLOOKUP($BJ98,坦克个性化设定!$B$18:$E$48,4,FALSE)&amp;$BK98,坦克属性分配比例,MATCH("升星次数",坦克属性分配比例标头,0),FALSE),0)</f>
        <v>#N/A</v>
      </c>
      <c r="BN98" s="103" t="e">
        <f ca="1">ROUND(VLOOKUP($BJ98&amp;"初始",$S$3:$AE$63,MATCH(BN$3,$S$3:$AE$3,0),FALSE)+(VLOOKUP($BJ98&amp;"最终",$S$3:$AE$63,MATCH(BN$3,$S$3:$AE$3,0),FALSE)-VLOOKUP($BJ98&amp;"初始",$S$3:$AE$63,MATCH(BN$3,$S$3:$AE$3,0),FALSE))*$BL98/VLOOKUP(VLOOKUP($BJ98,坦克个性化设定!$B$18:$E$48,4,FALSE)&amp;$BK98,坦克属性分配比例,MATCH("升星次数",坦克属性分配比例标头,0),FALSE)*VLOOKUP(VLOOKUP($BJ98,坦克个性化设定!$B$18:$E$48,4,FALSE)&amp;$BK98,坦克属性分配比例,MATCH("升星比例",坦克属性分配比例标头,0),FALSE),0)</f>
        <v>#N/A</v>
      </c>
      <c r="BO98" s="103" t="e">
        <f ca="1">ROUND(VLOOKUP($BJ98&amp;"初始",$S$3:$AE$63,MATCH(BO$3,$S$3:$AE$3,0),FALSE)+(VLOOKUP($BJ98&amp;"最终",$S$3:$AE$63,MATCH(BO$3,$S$3:$AE$3,0),FALSE)-VLOOKUP($BJ98&amp;"初始",$S$3:$AE$63,MATCH(BO$3,$S$3:$AE$3,0),FALSE))*$BL98/VLOOKUP(VLOOKUP($BJ98,坦克个性化设定!$B$18:$E$48,4,FALSE)&amp;$BK98,坦克属性分配比例,MATCH("升星次数",坦克属性分配比例标头,0),FALSE)*(VLOOKUP(VLOOKUP($BJ98,坦克个性化设定!$B$18:$E$48,4,FALSE)&amp;$BK98,坦克属性分配比例,MATCH("升星比例",坦克属性分配比例标头,0),FALSE)+VLOOKUP(VLOOKUP($BJ98,坦克个性化设定!$B$18:$E$48,4,FALSE)&amp;$BK98,坦克属性分配比例,MATCH("部件比例",坦克属性分配比例标头,0),FALSE)*$C$3),0)</f>
        <v>#N/A</v>
      </c>
      <c r="BP98" s="103" t="e">
        <f ca="1">ROUND(VLOOKUP($BJ98&amp;"初始",$S$3:$AE$63,MATCH(BP$3,$S$3:$AE$3,0),FALSE)+(VLOOKUP($BJ98&amp;"最终",$S$3:$AE$63,MATCH(BP$3,$S$3:$AE$3,0),FALSE)-VLOOKUP($BJ98&amp;"初始",$S$3:$AE$63,MATCH(BP$3,$S$3:$AE$3,0),FALSE))*$BL98/VLOOKUP(VLOOKUP($BJ98,坦克个性化设定!$B$18:$E$48,4,FALSE)&amp;$BK98,坦克属性分配比例,MATCH("升星次数",坦克属性分配比例标头,0),FALSE)*(VLOOKUP(VLOOKUP($BJ98,坦克个性化设定!$B$18:$E$48,4,FALSE)&amp;$BK98,坦克属性分配比例,MATCH("升星比例",坦克属性分配比例标头,0),FALSE)+VLOOKUP(VLOOKUP($BJ98,坦克个性化设定!$B$18:$E$48,4,FALSE)&amp;$BK98,坦克属性分配比例,MATCH("部件比例",坦克属性分配比例标头,0),FALSE)*$C$3),0)</f>
        <v>#N/A</v>
      </c>
      <c r="BQ98" s="103" t="e">
        <f ca="1">ROUND(VLOOKUP($BJ98&amp;"初始",$S$3:$AE$63,MATCH(BQ$3,$S$3:$AE$3,0),FALSE)+(VLOOKUP($BJ98&amp;"最终",$S$3:$AE$63,MATCH(BQ$3,$S$3:$AE$3,0),FALSE)-VLOOKUP($BJ98&amp;"初始",$S$3:$AE$63,MATCH(BQ$3,$S$3:$AE$3,0),FALSE))*$BL98/VLOOKUP(VLOOKUP($BJ98,坦克个性化设定!$B$18:$E$48,4,FALSE)&amp;$BK98,坦克属性分配比例,MATCH("升星次数",坦克属性分配比例标头,0),FALSE)*VLOOKUP(VLOOKUP($BJ98,坦克个性化设定!$B$18:$E$48,4,FALSE)&amp;$BK98,坦克属性分配比例,MATCH("升星比例",坦克属性分配比例标头,0),FALSE),0)</f>
        <v>#N/A</v>
      </c>
      <c r="BR98" s="2" t="e">
        <f ca="1">ROUND(VLOOKUP($BJ98&amp;"初始",$S$3:$AE$63,MATCH(BR$3,$S$3:$AE$3,0),FALSE)+(VLOOKUP($BJ98&amp;"最终",$S$3:$AE$63,MATCH(BR$3,$S$3:$AE$3,0),FALSE)-VLOOKUP($BJ98&amp;"初始",$S$3:$AE$63,MATCH(BR$3,$S$3:$AE$3,0),FALSE))*$BL98/VLOOKUP(VLOOKUP($BJ98,坦克个性化设定!$B$18:$E$48,4,FALSE)&amp;$BK98,坦克属性分配比例,MATCH("升星次数",坦克属性分配比例标头,0),FALSE),0)</f>
        <v>#N/A</v>
      </c>
      <c r="BS98" s="2">
        <f>ROUND(VLOOKUP($BJ98,$AI$3:$AO$33,MATCH(BS$3,$AI$3:$AO$3,0),FALSE)+$BL98/VLOOKUP(VLOOKUP($BJ98,坦克个性化设定!$B$18:$E$48,4,FALSE)&amp;$BK98,坦克属性分配比例,MATCH("升星次数",坦克属性分配比例标头,0),FALSE)*VLOOKUP($BJ98,$AR$3:$AY$33,MATCH(BS$3,$AR$3:$AY$3,0),FALSE),1)</f>
        <v>42.1</v>
      </c>
      <c r="BT98" s="2">
        <f>ROUND(VLOOKUP($BJ98,$AI$3:$AO$33,MATCH(BT$3,$AI$3:$AO$3,0),FALSE)+$BL98/VLOOKUP(VLOOKUP($BJ98,坦克个性化设定!$B$18:$E$48,4,FALSE)&amp;$BK98,坦克属性分配比例,MATCH("升星次数",坦克属性分配比例标头,0),FALSE)*VLOOKUP($BJ98,$AR$3:$AY$33,MATCH(BT$3,$AR$3:$AY$3,0),FALSE),1)</f>
        <v>62.8</v>
      </c>
      <c r="BU98" s="2">
        <f>ROUND(VLOOKUP($BJ98,$AI$3:$AO$33,MATCH(BU$3,$AI$3:$AO$3,0),FALSE)+$BL98/VLOOKUP(VLOOKUP($BJ98,坦克个性化设定!$B$18:$E$48,4,FALSE)&amp;$BK98,坦克属性分配比例,MATCH("升星次数",坦克属性分配比例标头,0),FALSE)*VLOOKUP($BJ98,$AR$3:$AY$33,MATCH(BU$3,$AR$3:$AY$3,0),FALSE),1)</f>
        <v>9.5</v>
      </c>
      <c r="BV98" s="2">
        <f>IF(VLOOKUP(BJ98,坦克个性化设定!$B$18:$BC$48,MATCH("装弹类型",坦克个性化设定!$B$18:$BC$18,0),FALSE)="弹夹换弹",0,ROUND(VLOOKUP($BJ98,$AI$3:$AO$33,MATCH("换弹时间",$AI$3:$AO$3,0),FALSE)-$BL98/VLOOKUP(VLOOKUP($BJ98,坦克个性化设定!$B$18:$E$48,4,FALSE)&amp;$BK98,坦克属性分配比例,MATCH("升星次数",坦克属性分配比例标头,0),FALSE)*VLOOKUP($BJ98,$AR$3:$AY$33,MATCH("换弹时间",$AR$3:$AY$3,0),FALSE),2))</f>
        <v>0</v>
      </c>
      <c r="BW98" s="2">
        <f>IF(VLOOKUP(BJ98,坦克个性化设定!$B$18:$BC$48,MATCH("装弹类型",坦克个性化设定!$B$18:$BC$18,0),FALSE)="弹夹换弹",ROUND(VLOOKUP($BJ98,$AI$3:$AO$33,MATCH("换弹时间",$AI$3:$AO$3,0),FALSE)-$BL98/VLOOKUP(VLOOKUP($BJ98,坦克个性化设定!$B$18:$E$48,4,FALSE)&amp;$BK98,坦克属性分配比例,MATCH("升星次数",坦克属性分配比例标头,0),FALSE)*VLOOKUP($BJ98,$AR$3:$AY$33,MATCH("换弹时间",$AR$3:$AY$3,0),FALSE),1),0)</f>
        <v>8.1999999999999993</v>
      </c>
      <c r="BX98" s="2">
        <f>ROUND(VLOOKUP($BJ98,$AI$3:$AO$33,MATCH(BX$3,$AI$3:$AO$3,0),FALSE)+$BL98/VLOOKUP(VLOOKUP($BJ98,坦克个性化设定!$B$18:$E$48,4,FALSE)&amp;$BK98,坦克属性分配比例,MATCH("升星次数",坦克属性分配比例标头,0),FALSE)*VLOOKUP($BJ98,$AR$3:$AY$33,MATCH(BX$3,$AR$3:$AY$3,0),FALSE),2)</f>
        <v>0.8</v>
      </c>
      <c r="BY98" s="2">
        <f>ROUND(VLOOKUP($BJ98,$AI$3:$AO$33,MATCH(BY$3,$AI$3:$AO$3,0),FALSE)-$BL98/VLOOKUP(VLOOKUP($BJ98,坦克个性化设定!$B$18:$E$48,4,FALSE)&amp;$BK98,坦克属性分配比例,MATCH("升星次数",坦克属性分配比例标头,0),FALSE)*VLOOKUP($BJ98,$AR$3:$AY$33,MATCH(BY$3,$AR$3:$AY$3,0),FALSE),2)</f>
        <v>0.44</v>
      </c>
    </row>
    <row r="99" spans="60:77" x14ac:dyDescent="0.3">
      <c r="BH99" s="2" t="str">
        <f t="shared" si="24"/>
        <v>59式7</v>
      </c>
      <c r="BI99" s="2">
        <f>IF(BL98&gt;=VLOOKUP(VLOOKUP(BJ98,坦克个性化设定!$B$18:$E$48,4,FALSE)&amp;BK98,坦克属性分配比例,MATCH("升星次数",坦克属性分配比例标头,0),FALSE),BI98+1,BI98)</f>
        <v>10</v>
      </c>
      <c r="BJ99" s="2" t="str">
        <f t="shared" si="25"/>
        <v>59式</v>
      </c>
      <c r="BK99" s="29" t="str">
        <f>VLOOKUP(BJ99,坦克个性化细分!$I$3:$J$33,2,FALSE)</f>
        <v>低</v>
      </c>
      <c r="BL99" s="2">
        <f t="shared" si="23"/>
        <v>7</v>
      </c>
      <c r="BM99" s="103" t="e">
        <f ca="1">ROUND(VLOOKUP($BJ99&amp;"初始",$S$3:$AE$63,MATCH(BM$3,$S$3:$AE$3,0),FALSE)+((VLOOKUP($BJ99&amp;"最终",$S$3:$AE$63,MATCH(BM$3,$S$3:$AE$3,0),FALSE)*坦克个性化细分!$C$9-VLOOKUP($BJ99&amp;"初始",$S$3:$AE$63,MATCH(BM$3,$S$3:$AE$3,0),FALSE))-(VLOOKUP($BJ99&amp;"最终",$S$3:$AE$63,MATCH(BM$3,$S$3:$AE$3,0),FALSE)-VLOOKUP($BJ99&amp;"初始",$S$3:$AE$63,MATCH(BM$3,$S$3:$AE$3,0),FALSE))*VLOOKUP(VLOOKUP($BJ99,坦克个性化设定!$B$18:$E$48,4,FALSE)&amp;$BK99,坦克属性分配比例,MATCH("部件比例",坦克属性分配比例标头,0),FALSE))*$BL99/VLOOKUP(VLOOKUP($BJ99,坦克个性化设定!$B$18:$E$48,4,FALSE)&amp;$BK99,坦克属性分配比例,MATCH("升星次数",坦克属性分配比例标头,0),FALSE),0)</f>
        <v>#N/A</v>
      </c>
      <c r="BN99" s="103" t="e">
        <f ca="1">ROUND(VLOOKUP($BJ99&amp;"初始",$S$3:$AE$63,MATCH(BN$3,$S$3:$AE$3,0),FALSE)+(VLOOKUP($BJ99&amp;"最终",$S$3:$AE$63,MATCH(BN$3,$S$3:$AE$3,0),FALSE)-VLOOKUP($BJ99&amp;"初始",$S$3:$AE$63,MATCH(BN$3,$S$3:$AE$3,0),FALSE))*$BL99/VLOOKUP(VLOOKUP($BJ99,坦克个性化设定!$B$18:$E$48,4,FALSE)&amp;$BK99,坦克属性分配比例,MATCH("升星次数",坦克属性分配比例标头,0),FALSE)*VLOOKUP(VLOOKUP($BJ99,坦克个性化设定!$B$18:$E$48,4,FALSE)&amp;$BK99,坦克属性分配比例,MATCH("升星比例",坦克属性分配比例标头,0),FALSE),0)</f>
        <v>#N/A</v>
      </c>
      <c r="BO99" s="103" t="e">
        <f ca="1">ROUND(VLOOKUP($BJ99&amp;"初始",$S$3:$AE$63,MATCH(BO$3,$S$3:$AE$3,0),FALSE)+(VLOOKUP($BJ99&amp;"最终",$S$3:$AE$63,MATCH(BO$3,$S$3:$AE$3,0),FALSE)-VLOOKUP($BJ99&amp;"初始",$S$3:$AE$63,MATCH(BO$3,$S$3:$AE$3,0),FALSE))*$BL99/VLOOKUP(VLOOKUP($BJ99,坦克个性化设定!$B$18:$E$48,4,FALSE)&amp;$BK99,坦克属性分配比例,MATCH("升星次数",坦克属性分配比例标头,0),FALSE)*(VLOOKUP(VLOOKUP($BJ99,坦克个性化设定!$B$18:$E$48,4,FALSE)&amp;$BK99,坦克属性分配比例,MATCH("升星比例",坦克属性分配比例标头,0),FALSE)+VLOOKUP(VLOOKUP($BJ99,坦克个性化设定!$B$18:$E$48,4,FALSE)&amp;$BK99,坦克属性分配比例,MATCH("部件比例",坦克属性分配比例标头,0),FALSE)*$C$3),0)</f>
        <v>#N/A</v>
      </c>
      <c r="BP99" s="103" t="e">
        <f ca="1">ROUND(VLOOKUP($BJ99&amp;"初始",$S$3:$AE$63,MATCH(BP$3,$S$3:$AE$3,0),FALSE)+(VLOOKUP($BJ99&amp;"最终",$S$3:$AE$63,MATCH(BP$3,$S$3:$AE$3,0),FALSE)-VLOOKUP($BJ99&amp;"初始",$S$3:$AE$63,MATCH(BP$3,$S$3:$AE$3,0),FALSE))*$BL99/VLOOKUP(VLOOKUP($BJ99,坦克个性化设定!$B$18:$E$48,4,FALSE)&amp;$BK99,坦克属性分配比例,MATCH("升星次数",坦克属性分配比例标头,0),FALSE)*(VLOOKUP(VLOOKUP($BJ99,坦克个性化设定!$B$18:$E$48,4,FALSE)&amp;$BK99,坦克属性分配比例,MATCH("升星比例",坦克属性分配比例标头,0),FALSE)+VLOOKUP(VLOOKUP($BJ99,坦克个性化设定!$B$18:$E$48,4,FALSE)&amp;$BK99,坦克属性分配比例,MATCH("部件比例",坦克属性分配比例标头,0),FALSE)*$C$3),0)</f>
        <v>#N/A</v>
      </c>
      <c r="BQ99" s="103" t="e">
        <f ca="1">ROUND(VLOOKUP($BJ99&amp;"初始",$S$3:$AE$63,MATCH(BQ$3,$S$3:$AE$3,0),FALSE)+(VLOOKUP($BJ99&amp;"最终",$S$3:$AE$63,MATCH(BQ$3,$S$3:$AE$3,0),FALSE)-VLOOKUP($BJ99&amp;"初始",$S$3:$AE$63,MATCH(BQ$3,$S$3:$AE$3,0),FALSE))*$BL99/VLOOKUP(VLOOKUP($BJ99,坦克个性化设定!$B$18:$E$48,4,FALSE)&amp;$BK99,坦克属性分配比例,MATCH("升星次数",坦克属性分配比例标头,0),FALSE)*VLOOKUP(VLOOKUP($BJ99,坦克个性化设定!$B$18:$E$48,4,FALSE)&amp;$BK99,坦克属性分配比例,MATCH("升星比例",坦克属性分配比例标头,0),FALSE),0)</f>
        <v>#N/A</v>
      </c>
      <c r="BR99" s="2" t="e">
        <f ca="1">ROUND(VLOOKUP($BJ99&amp;"初始",$S$3:$AE$63,MATCH(BR$3,$S$3:$AE$3,0),FALSE)+(VLOOKUP($BJ99&amp;"最终",$S$3:$AE$63,MATCH(BR$3,$S$3:$AE$3,0),FALSE)-VLOOKUP($BJ99&amp;"初始",$S$3:$AE$63,MATCH(BR$3,$S$3:$AE$3,0),FALSE))*$BL99/VLOOKUP(VLOOKUP($BJ99,坦克个性化设定!$B$18:$E$48,4,FALSE)&amp;$BK99,坦克属性分配比例,MATCH("升星次数",坦克属性分配比例标头,0),FALSE),0)</f>
        <v>#N/A</v>
      </c>
      <c r="BS99" s="2">
        <f>ROUND(VLOOKUP($BJ99,$AI$3:$AO$33,MATCH(BS$3,$AI$3:$AO$3,0),FALSE)+$BL99/VLOOKUP(VLOOKUP($BJ99,坦克个性化设定!$B$18:$E$48,4,FALSE)&amp;$BK99,坦克属性分配比例,MATCH("升星次数",坦克属性分配比例标头,0),FALSE)*VLOOKUP($BJ99,$AR$3:$AY$33,MATCH(BS$3,$AR$3:$AY$3,0),FALSE),1)</f>
        <v>42.8</v>
      </c>
      <c r="BT99" s="2">
        <f>ROUND(VLOOKUP($BJ99,$AI$3:$AO$33,MATCH(BT$3,$AI$3:$AO$3,0),FALSE)+$BL99/VLOOKUP(VLOOKUP($BJ99,坦克个性化设定!$B$18:$E$48,4,FALSE)&amp;$BK99,坦克属性分配比例,MATCH("升星次数",坦克属性分配比例标头,0),FALSE)*VLOOKUP($BJ99,$AR$3:$AY$33,MATCH(BT$3,$AR$3:$AY$3,0),FALSE),1)</f>
        <v>63.9</v>
      </c>
      <c r="BU99" s="2">
        <f>ROUND(VLOOKUP($BJ99,$AI$3:$AO$33,MATCH(BU$3,$AI$3:$AO$3,0),FALSE)+$BL99/VLOOKUP(VLOOKUP($BJ99,坦克个性化设定!$B$18:$E$48,4,FALSE)&amp;$BK99,坦克属性分配比例,MATCH("升星次数",坦克属性分配比例标头,0),FALSE)*VLOOKUP($BJ99,$AR$3:$AY$33,MATCH(BU$3,$AR$3:$AY$3,0),FALSE),1)</f>
        <v>9.5</v>
      </c>
      <c r="BV99" s="2">
        <f>IF(VLOOKUP(BJ99,坦克个性化设定!$B$18:$BC$48,MATCH("装弹类型",坦克个性化设定!$B$18:$BC$18,0),FALSE)="弹夹换弹",0,ROUND(VLOOKUP($BJ99,$AI$3:$AO$33,MATCH("换弹时间",$AI$3:$AO$3,0),FALSE)-$BL99/VLOOKUP(VLOOKUP($BJ99,坦克个性化设定!$B$18:$E$48,4,FALSE)&amp;$BK99,坦克属性分配比例,MATCH("升星次数",坦克属性分配比例标头,0),FALSE)*VLOOKUP($BJ99,$AR$3:$AY$33,MATCH("换弹时间",$AR$3:$AY$3,0),FALSE),2))</f>
        <v>0</v>
      </c>
      <c r="BW99" s="2">
        <f>IF(VLOOKUP(BJ99,坦克个性化设定!$B$18:$BC$48,MATCH("装弹类型",坦克个性化设定!$B$18:$BC$18,0),FALSE)="弹夹换弹",ROUND(VLOOKUP($BJ99,$AI$3:$AO$33,MATCH("换弹时间",$AI$3:$AO$3,0),FALSE)-$BL99/VLOOKUP(VLOOKUP($BJ99,坦克个性化设定!$B$18:$E$48,4,FALSE)&amp;$BK99,坦克属性分配比例,MATCH("升星次数",坦克属性分配比例标头,0),FALSE)*VLOOKUP($BJ99,$AR$3:$AY$33,MATCH("换弹时间",$AR$3:$AY$3,0),FALSE),1),0)</f>
        <v>7.9</v>
      </c>
      <c r="BX99" s="2">
        <f>ROUND(VLOOKUP($BJ99,$AI$3:$AO$33,MATCH(BX$3,$AI$3:$AO$3,0),FALSE)+$BL99/VLOOKUP(VLOOKUP($BJ99,坦克个性化设定!$B$18:$E$48,4,FALSE)&amp;$BK99,坦克属性分配比例,MATCH("升星次数",坦克属性分配比例标头,0),FALSE)*VLOOKUP($BJ99,$AR$3:$AY$33,MATCH(BX$3,$AR$3:$AY$3,0),FALSE),2)</f>
        <v>0.8</v>
      </c>
      <c r="BY99" s="2">
        <f>ROUND(VLOOKUP($BJ99,$AI$3:$AO$33,MATCH(BY$3,$AI$3:$AO$3,0),FALSE)-$BL99/VLOOKUP(VLOOKUP($BJ99,坦克个性化设定!$B$18:$E$48,4,FALSE)&amp;$BK99,坦克属性分配比例,MATCH("升星次数",坦克属性分配比例标头,0),FALSE)*VLOOKUP($BJ99,$AR$3:$AY$33,MATCH(BY$3,$AR$3:$AY$3,0),FALSE),2)</f>
        <v>0.43</v>
      </c>
    </row>
    <row r="100" spans="60:77" x14ac:dyDescent="0.3">
      <c r="BH100" s="2" t="str">
        <f t="shared" si="24"/>
        <v>59式8</v>
      </c>
      <c r="BI100" s="2">
        <f>IF(BL99&gt;=VLOOKUP(VLOOKUP(BJ99,坦克个性化设定!$B$18:$E$48,4,FALSE)&amp;BK99,坦克属性分配比例,MATCH("升星次数",坦克属性分配比例标头,0),FALSE),BI99+1,BI99)</f>
        <v>10</v>
      </c>
      <c r="BJ100" s="2" t="str">
        <f t="shared" si="25"/>
        <v>59式</v>
      </c>
      <c r="BK100" s="29" t="str">
        <f>VLOOKUP(BJ100,坦克个性化细分!$I$3:$J$33,2,FALSE)</f>
        <v>低</v>
      </c>
      <c r="BL100" s="2">
        <f t="shared" si="23"/>
        <v>8</v>
      </c>
      <c r="BM100" s="103" t="e">
        <f ca="1">ROUND(VLOOKUP($BJ100&amp;"初始",$S$3:$AE$63,MATCH(BM$3,$S$3:$AE$3,0),FALSE)+((VLOOKUP($BJ100&amp;"最终",$S$3:$AE$63,MATCH(BM$3,$S$3:$AE$3,0),FALSE)*坦克个性化细分!$C$9-VLOOKUP($BJ100&amp;"初始",$S$3:$AE$63,MATCH(BM$3,$S$3:$AE$3,0),FALSE))-(VLOOKUP($BJ100&amp;"最终",$S$3:$AE$63,MATCH(BM$3,$S$3:$AE$3,0),FALSE)-VLOOKUP($BJ100&amp;"初始",$S$3:$AE$63,MATCH(BM$3,$S$3:$AE$3,0),FALSE))*VLOOKUP(VLOOKUP($BJ100,坦克个性化设定!$B$18:$E$48,4,FALSE)&amp;$BK100,坦克属性分配比例,MATCH("部件比例",坦克属性分配比例标头,0),FALSE))*$BL100/VLOOKUP(VLOOKUP($BJ100,坦克个性化设定!$B$18:$E$48,4,FALSE)&amp;$BK100,坦克属性分配比例,MATCH("升星次数",坦克属性分配比例标头,0),FALSE),0)</f>
        <v>#N/A</v>
      </c>
      <c r="BN100" s="103" t="e">
        <f ca="1">ROUND(VLOOKUP($BJ100&amp;"初始",$S$3:$AE$63,MATCH(BN$3,$S$3:$AE$3,0),FALSE)+(VLOOKUP($BJ100&amp;"最终",$S$3:$AE$63,MATCH(BN$3,$S$3:$AE$3,0),FALSE)-VLOOKUP($BJ100&amp;"初始",$S$3:$AE$63,MATCH(BN$3,$S$3:$AE$3,0),FALSE))*$BL100/VLOOKUP(VLOOKUP($BJ100,坦克个性化设定!$B$18:$E$48,4,FALSE)&amp;$BK100,坦克属性分配比例,MATCH("升星次数",坦克属性分配比例标头,0),FALSE)*VLOOKUP(VLOOKUP($BJ100,坦克个性化设定!$B$18:$E$48,4,FALSE)&amp;$BK100,坦克属性分配比例,MATCH("升星比例",坦克属性分配比例标头,0),FALSE),0)</f>
        <v>#N/A</v>
      </c>
      <c r="BO100" s="103" t="e">
        <f ca="1">ROUND(VLOOKUP($BJ100&amp;"初始",$S$3:$AE$63,MATCH(BO$3,$S$3:$AE$3,0),FALSE)+(VLOOKUP($BJ100&amp;"最终",$S$3:$AE$63,MATCH(BO$3,$S$3:$AE$3,0),FALSE)-VLOOKUP($BJ100&amp;"初始",$S$3:$AE$63,MATCH(BO$3,$S$3:$AE$3,0),FALSE))*$BL100/VLOOKUP(VLOOKUP($BJ100,坦克个性化设定!$B$18:$E$48,4,FALSE)&amp;$BK100,坦克属性分配比例,MATCH("升星次数",坦克属性分配比例标头,0),FALSE)*(VLOOKUP(VLOOKUP($BJ100,坦克个性化设定!$B$18:$E$48,4,FALSE)&amp;$BK100,坦克属性分配比例,MATCH("升星比例",坦克属性分配比例标头,0),FALSE)+VLOOKUP(VLOOKUP($BJ100,坦克个性化设定!$B$18:$E$48,4,FALSE)&amp;$BK100,坦克属性分配比例,MATCH("部件比例",坦克属性分配比例标头,0),FALSE)*$C$3),0)</f>
        <v>#N/A</v>
      </c>
      <c r="BP100" s="103" t="e">
        <f ca="1">ROUND(VLOOKUP($BJ100&amp;"初始",$S$3:$AE$63,MATCH(BP$3,$S$3:$AE$3,0),FALSE)+(VLOOKUP($BJ100&amp;"最终",$S$3:$AE$63,MATCH(BP$3,$S$3:$AE$3,0),FALSE)-VLOOKUP($BJ100&amp;"初始",$S$3:$AE$63,MATCH(BP$3,$S$3:$AE$3,0),FALSE))*$BL100/VLOOKUP(VLOOKUP($BJ100,坦克个性化设定!$B$18:$E$48,4,FALSE)&amp;$BK100,坦克属性分配比例,MATCH("升星次数",坦克属性分配比例标头,0),FALSE)*(VLOOKUP(VLOOKUP($BJ100,坦克个性化设定!$B$18:$E$48,4,FALSE)&amp;$BK100,坦克属性分配比例,MATCH("升星比例",坦克属性分配比例标头,0),FALSE)+VLOOKUP(VLOOKUP($BJ100,坦克个性化设定!$B$18:$E$48,4,FALSE)&amp;$BK100,坦克属性分配比例,MATCH("部件比例",坦克属性分配比例标头,0),FALSE)*$C$3),0)</f>
        <v>#N/A</v>
      </c>
      <c r="BQ100" s="103" t="e">
        <f ca="1">ROUND(VLOOKUP($BJ100&amp;"初始",$S$3:$AE$63,MATCH(BQ$3,$S$3:$AE$3,0),FALSE)+(VLOOKUP($BJ100&amp;"最终",$S$3:$AE$63,MATCH(BQ$3,$S$3:$AE$3,0),FALSE)-VLOOKUP($BJ100&amp;"初始",$S$3:$AE$63,MATCH(BQ$3,$S$3:$AE$3,0),FALSE))*$BL100/VLOOKUP(VLOOKUP($BJ100,坦克个性化设定!$B$18:$E$48,4,FALSE)&amp;$BK100,坦克属性分配比例,MATCH("升星次数",坦克属性分配比例标头,0),FALSE)*VLOOKUP(VLOOKUP($BJ100,坦克个性化设定!$B$18:$E$48,4,FALSE)&amp;$BK100,坦克属性分配比例,MATCH("升星比例",坦克属性分配比例标头,0),FALSE),0)</f>
        <v>#N/A</v>
      </c>
      <c r="BR100" s="2" t="e">
        <f ca="1">ROUND(VLOOKUP($BJ100&amp;"初始",$S$3:$AE$63,MATCH(BR$3,$S$3:$AE$3,0),FALSE)+(VLOOKUP($BJ100&amp;"最终",$S$3:$AE$63,MATCH(BR$3,$S$3:$AE$3,0),FALSE)-VLOOKUP($BJ100&amp;"初始",$S$3:$AE$63,MATCH(BR$3,$S$3:$AE$3,0),FALSE))*$BL100/VLOOKUP(VLOOKUP($BJ100,坦克个性化设定!$B$18:$E$48,4,FALSE)&amp;$BK100,坦克属性分配比例,MATCH("升星次数",坦克属性分配比例标头,0),FALSE),0)</f>
        <v>#N/A</v>
      </c>
      <c r="BS100" s="2">
        <f>ROUND(VLOOKUP($BJ100,$AI$3:$AO$33,MATCH(BS$3,$AI$3:$AO$3,0),FALSE)+$BL100/VLOOKUP(VLOOKUP($BJ100,坦克个性化设定!$B$18:$E$48,4,FALSE)&amp;$BK100,坦克属性分配比例,MATCH("升星次数",坦克属性分配比例标头,0),FALSE)*VLOOKUP($BJ100,$AR$3:$AY$33,MATCH(BS$3,$AR$3:$AY$3,0),FALSE),1)</f>
        <v>43.5</v>
      </c>
      <c r="BT100" s="2">
        <f>ROUND(VLOOKUP($BJ100,$AI$3:$AO$33,MATCH(BT$3,$AI$3:$AO$3,0),FALSE)+$BL100/VLOOKUP(VLOOKUP($BJ100,坦克个性化设定!$B$18:$E$48,4,FALSE)&amp;$BK100,坦克属性分配比例,MATCH("升星次数",坦克属性分配比例标头,0),FALSE)*VLOOKUP($BJ100,$AR$3:$AY$33,MATCH(BT$3,$AR$3:$AY$3,0),FALSE),1)</f>
        <v>65</v>
      </c>
      <c r="BU100" s="2">
        <f>ROUND(VLOOKUP($BJ100,$AI$3:$AO$33,MATCH(BU$3,$AI$3:$AO$3,0),FALSE)+$BL100/VLOOKUP(VLOOKUP($BJ100,坦克个性化设定!$B$18:$E$48,4,FALSE)&amp;$BK100,坦克属性分配比例,MATCH("升星次数",坦克属性分配比例标头,0),FALSE)*VLOOKUP($BJ100,$AR$3:$AY$33,MATCH(BU$3,$AR$3:$AY$3,0),FALSE),1)</f>
        <v>9.5</v>
      </c>
      <c r="BV100" s="2">
        <f>IF(VLOOKUP(BJ100,坦克个性化设定!$B$18:$BC$48,MATCH("装弹类型",坦克个性化设定!$B$18:$BC$18,0),FALSE)="弹夹换弹",0,ROUND(VLOOKUP($BJ100,$AI$3:$AO$33,MATCH("换弹时间",$AI$3:$AO$3,0),FALSE)-$BL100/VLOOKUP(VLOOKUP($BJ100,坦克个性化设定!$B$18:$E$48,4,FALSE)&amp;$BK100,坦克属性分配比例,MATCH("升星次数",坦克属性分配比例标头,0),FALSE)*VLOOKUP($BJ100,$AR$3:$AY$33,MATCH("换弹时间",$AR$3:$AY$3,0),FALSE),2))</f>
        <v>0</v>
      </c>
      <c r="BW100" s="2">
        <f>IF(VLOOKUP(BJ100,坦克个性化设定!$B$18:$BC$48,MATCH("装弹类型",坦克个性化设定!$B$18:$BC$18,0),FALSE)="弹夹换弹",ROUND(VLOOKUP($BJ100,$AI$3:$AO$33,MATCH("换弹时间",$AI$3:$AO$3,0),FALSE)-$BL100/VLOOKUP(VLOOKUP($BJ100,坦克个性化设定!$B$18:$E$48,4,FALSE)&amp;$BK100,坦克属性分配比例,MATCH("升星次数",坦克属性分配比例标头,0),FALSE)*VLOOKUP($BJ100,$AR$3:$AY$33,MATCH("换弹时间",$AR$3:$AY$3,0),FALSE),1),0)</f>
        <v>7.6</v>
      </c>
      <c r="BX100" s="2">
        <f>ROUND(VLOOKUP($BJ100,$AI$3:$AO$33,MATCH(BX$3,$AI$3:$AO$3,0),FALSE)+$BL100/VLOOKUP(VLOOKUP($BJ100,坦克个性化设定!$B$18:$E$48,4,FALSE)&amp;$BK100,坦克属性分配比例,MATCH("升星次数",坦克属性分配比例标头,0),FALSE)*VLOOKUP($BJ100,$AR$3:$AY$33,MATCH(BX$3,$AR$3:$AY$3,0),FALSE),2)</f>
        <v>0.8</v>
      </c>
      <c r="BY100" s="2">
        <f>ROUND(VLOOKUP($BJ100,$AI$3:$AO$33,MATCH(BY$3,$AI$3:$AO$3,0),FALSE)-$BL100/VLOOKUP(VLOOKUP($BJ100,坦克个性化设定!$B$18:$E$48,4,FALSE)&amp;$BK100,坦克属性分配比例,MATCH("升星次数",坦克属性分配比例标头,0),FALSE)*VLOOKUP($BJ100,$AR$3:$AY$33,MATCH(BY$3,$AR$3:$AY$3,0),FALSE),2)</f>
        <v>0.43</v>
      </c>
    </row>
    <row r="101" spans="60:77" x14ac:dyDescent="0.3">
      <c r="BH101" s="2" t="str">
        <f t="shared" si="24"/>
        <v>59式9</v>
      </c>
      <c r="BI101" s="2">
        <f>IF(BL100&gt;=VLOOKUP(VLOOKUP(BJ100,坦克个性化设定!$B$18:$E$48,4,FALSE)&amp;BK100,坦克属性分配比例,MATCH("升星次数",坦克属性分配比例标头,0),FALSE),BI100+1,BI100)</f>
        <v>10</v>
      </c>
      <c r="BJ101" s="2" t="str">
        <f t="shared" si="25"/>
        <v>59式</v>
      </c>
      <c r="BK101" s="29" t="str">
        <f>VLOOKUP(BJ101,坦克个性化细分!$I$3:$J$33,2,FALSE)</f>
        <v>低</v>
      </c>
      <c r="BL101" s="2">
        <f t="shared" si="23"/>
        <v>9</v>
      </c>
      <c r="BM101" s="103" t="e">
        <f ca="1">ROUND(VLOOKUP($BJ101&amp;"初始",$S$3:$AE$63,MATCH(BM$3,$S$3:$AE$3,0),FALSE)+((VLOOKUP($BJ101&amp;"最终",$S$3:$AE$63,MATCH(BM$3,$S$3:$AE$3,0),FALSE)*坦克个性化细分!$C$9-VLOOKUP($BJ101&amp;"初始",$S$3:$AE$63,MATCH(BM$3,$S$3:$AE$3,0),FALSE))-(VLOOKUP($BJ101&amp;"最终",$S$3:$AE$63,MATCH(BM$3,$S$3:$AE$3,0),FALSE)-VLOOKUP($BJ101&amp;"初始",$S$3:$AE$63,MATCH(BM$3,$S$3:$AE$3,0),FALSE))*VLOOKUP(VLOOKUP($BJ101,坦克个性化设定!$B$18:$E$48,4,FALSE)&amp;$BK101,坦克属性分配比例,MATCH("部件比例",坦克属性分配比例标头,0),FALSE))*$BL101/VLOOKUP(VLOOKUP($BJ101,坦克个性化设定!$B$18:$E$48,4,FALSE)&amp;$BK101,坦克属性分配比例,MATCH("升星次数",坦克属性分配比例标头,0),FALSE),0)</f>
        <v>#N/A</v>
      </c>
      <c r="BN101" s="103" t="e">
        <f ca="1">ROUND(VLOOKUP($BJ101&amp;"初始",$S$3:$AE$63,MATCH(BN$3,$S$3:$AE$3,0),FALSE)+(VLOOKUP($BJ101&amp;"最终",$S$3:$AE$63,MATCH(BN$3,$S$3:$AE$3,0),FALSE)-VLOOKUP($BJ101&amp;"初始",$S$3:$AE$63,MATCH(BN$3,$S$3:$AE$3,0),FALSE))*$BL101/VLOOKUP(VLOOKUP($BJ101,坦克个性化设定!$B$18:$E$48,4,FALSE)&amp;$BK101,坦克属性分配比例,MATCH("升星次数",坦克属性分配比例标头,0),FALSE)*VLOOKUP(VLOOKUP($BJ101,坦克个性化设定!$B$18:$E$48,4,FALSE)&amp;$BK101,坦克属性分配比例,MATCH("升星比例",坦克属性分配比例标头,0),FALSE),0)</f>
        <v>#N/A</v>
      </c>
      <c r="BO101" s="103" t="e">
        <f ca="1">ROUND(VLOOKUP($BJ101&amp;"初始",$S$3:$AE$63,MATCH(BO$3,$S$3:$AE$3,0),FALSE)+(VLOOKUP($BJ101&amp;"最终",$S$3:$AE$63,MATCH(BO$3,$S$3:$AE$3,0),FALSE)-VLOOKUP($BJ101&amp;"初始",$S$3:$AE$63,MATCH(BO$3,$S$3:$AE$3,0),FALSE))*$BL101/VLOOKUP(VLOOKUP($BJ101,坦克个性化设定!$B$18:$E$48,4,FALSE)&amp;$BK101,坦克属性分配比例,MATCH("升星次数",坦克属性分配比例标头,0),FALSE)*(VLOOKUP(VLOOKUP($BJ101,坦克个性化设定!$B$18:$E$48,4,FALSE)&amp;$BK101,坦克属性分配比例,MATCH("升星比例",坦克属性分配比例标头,0),FALSE)+VLOOKUP(VLOOKUP($BJ101,坦克个性化设定!$B$18:$E$48,4,FALSE)&amp;$BK101,坦克属性分配比例,MATCH("部件比例",坦克属性分配比例标头,0),FALSE)*$C$3),0)</f>
        <v>#N/A</v>
      </c>
      <c r="BP101" s="103" t="e">
        <f ca="1">ROUND(VLOOKUP($BJ101&amp;"初始",$S$3:$AE$63,MATCH(BP$3,$S$3:$AE$3,0),FALSE)+(VLOOKUP($BJ101&amp;"最终",$S$3:$AE$63,MATCH(BP$3,$S$3:$AE$3,0),FALSE)-VLOOKUP($BJ101&amp;"初始",$S$3:$AE$63,MATCH(BP$3,$S$3:$AE$3,0),FALSE))*$BL101/VLOOKUP(VLOOKUP($BJ101,坦克个性化设定!$B$18:$E$48,4,FALSE)&amp;$BK101,坦克属性分配比例,MATCH("升星次数",坦克属性分配比例标头,0),FALSE)*(VLOOKUP(VLOOKUP($BJ101,坦克个性化设定!$B$18:$E$48,4,FALSE)&amp;$BK101,坦克属性分配比例,MATCH("升星比例",坦克属性分配比例标头,0),FALSE)+VLOOKUP(VLOOKUP($BJ101,坦克个性化设定!$B$18:$E$48,4,FALSE)&amp;$BK101,坦克属性分配比例,MATCH("部件比例",坦克属性分配比例标头,0),FALSE)*$C$3),0)</f>
        <v>#N/A</v>
      </c>
      <c r="BQ101" s="103" t="e">
        <f ca="1">ROUND(VLOOKUP($BJ101&amp;"初始",$S$3:$AE$63,MATCH(BQ$3,$S$3:$AE$3,0),FALSE)+(VLOOKUP($BJ101&amp;"最终",$S$3:$AE$63,MATCH(BQ$3,$S$3:$AE$3,0),FALSE)-VLOOKUP($BJ101&amp;"初始",$S$3:$AE$63,MATCH(BQ$3,$S$3:$AE$3,0),FALSE))*$BL101/VLOOKUP(VLOOKUP($BJ101,坦克个性化设定!$B$18:$E$48,4,FALSE)&amp;$BK101,坦克属性分配比例,MATCH("升星次数",坦克属性分配比例标头,0),FALSE)*VLOOKUP(VLOOKUP($BJ101,坦克个性化设定!$B$18:$E$48,4,FALSE)&amp;$BK101,坦克属性分配比例,MATCH("升星比例",坦克属性分配比例标头,0),FALSE),0)</f>
        <v>#N/A</v>
      </c>
      <c r="BR101" s="2" t="e">
        <f ca="1">ROUND(VLOOKUP($BJ101&amp;"初始",$S$3:$AE$63,MATCH(BR$3,$S$3:$AE$3,0),FALSE)+(VLOOKUP($BJ101&amp;"最终",$S$3:$AE$63,MATCH(BR$3,$S$3:$AE$3,0),FALSE)-VLOOKUP($BJ101&amp;"初始",$S$3:$AE$63,MATCH(BR$3,$S$3:$AE$3,0),FALSE))*$BL101/VLOOKUP(VLOOKUP($BJ101,坦克个性化设定!$B$18:$E$48,4,FALSE)&amp;$BK101,坦克属性分配比例,MATCH("升星次数",坦克属性分配比例标头,0),FALSE),0)</f>
        <v>#N/A</v>
      </c>
      <c r="BS101" s="2">
        <f>ROUND(VLOOKUP($BJ101,$AI$3:$AO$33,MATCH(BS$3,$AI$3:$AO$3,0),FALSE)+$BL101/VLOOKUP(VLOOKUP($BJ101,坦克个性化设定!$B$18:$E$48,4,FALSE)&amp;$BK101,坦克属性分配比例,MATCH("升星次数",坦克属性分配比例标头,0),FALSE)*VLOOKUP($BJ101,$AR$3:$AY$33,MATCH(BS$3,$AR$3:$AY$3,0),FALSE),1)</f>
        <v>44.2</v>
      </c>
      <c r="BT101" s="2">
        <f>ROUND(VLOOKUP($BJ101,$AI$3:$AO$33,MATCH(BT$3,$AI$3:$AO$3,0),FALSE)+$BL101/VLOOKUP(VLOOKUP($BJ101,坦克个性化设定!$B$18:$E$48,4,FALSE)&amp;$BK101,坦克属性分配比例,MATCH("升星次数",坦克属性分配比例标头,0),FALSE)*VLOOKUP($BJ101,$AR$3:$AY$33,MATCH(BT$3,$AR$3:$AY$3,0),FALSE),1)</f>
        <v>66</v>
      </c>
      <c r="BU101" s="2">
        <f>ROUND(VLOOKUP($BJ101,$AI$3:$AO$33,MATCH(BU$3,$AI$3:$AO$3,0),FALSE)+$BL101/VLOOKUP(VLOOKUP($BJ101,坦克个性化设定!$B$18:$E$48,4,FALSE)&amp;$BK101,坦克属性分配比例,MATCH("升星次数",坦克属性分配比例标头,0),FALSE)*VLOOKUP($BJ101,$AR$3:$AY$33,MATCH(BU$3,$AR$3:$AY$3,0),FALSE),1)</f>
        <v>9.5</v>
      </c>
      <c r="BV101" s="2">
        <f>IF(VLOOKUP(BJ101,坦克个性化设定!$B$18:$BC$48,MATCH("装弹类型",坦克个性化设定!$B$18:$BC$18,0),FALSE)="弹夹换弹",0,ROUND(VLOOKUP($BJ101,$AI$3:$AO$33,MATCH("换弹时间",$AI$3:$AO$3,0),FALSE)-$BL101/VLOOKUP(VLOOKUP($BJ101,坦克个性化设定!$B$18:$E$48,4,FALSE)&amp;$BK101,坦克属性分配比例,MATCH("升星次数",坦克属性分配比例标头,0),FALSE)*VLOOKUP($BJ101,$AR$3:$AY$33,MATCH("换弹时间",$AR$3:$AY$3,0),FALSE),2))</f>
        <v>0</v>
      </c>
      <c r="BW101" s="2">
        <f>IF(VLOOKUP(BJ101,坦克个性化设定!$B$18:$BC$48,MATCH("装弹类型",坦克个性化设定!$B$18:$BC$18,0),FALSE)="弹夹换弹",ROUND(VLOOKUP($BJ101,$AI$3:$AO$33,MATCH("换弹时间",$AI$3:$AO$3,0),FALSE)-$BL101/VLOOKUP(VLOOKUP($BJ101,坦克个性化设定!$B$18:$E$48,4,FALSE)&amp;$BK101,坦克属性分配比例,MATCH("升星次数",坦克属性分配比例标头,0),FALSE)*VLOOKUP($BJ101,$AR$3:$AY$33,MATCH("换弹时间",$AR$3:$AY$3,0),FALSE),1),0)</f>
        <v>7.4</v>
      </c>
      <c r="BX101" s="2">
        <f>ROUND(VLOOKUP($BJ101,$AI$3:$AO$33,MATCH(BX$3,$AI$3:$AO$3,0),FALSE)+$BL101/VLOOKUP(VLOOKUP($BJ101,坦克个性化设定!$B$18:$E$48,4,FALSE)&amp;$BK101,坦克属性分配比例,MATCH("升星次数",坦克属性分配比例标头,0),FALSE)*VLOOKUP($BJ101,$AR$3:$AY$33,MATCH(BX$3,$AR$3:$AY$3,0),FALSE),2)</f>
        <v>0.8</v>
      </c>
      <c r="BY101" s="2">
        <f>ROUND(VLOOKUP($BJ101,$AI$3:$AO$33,MATCH(BY$3,$AI$3:$AO$3,0),FALSE)-$BL101/VLOOKUP(VLOOKUP($BJ101,坦克个性化设定!$B$18:$E$48,4,FALSE)&amp;$BK101,坦克属性分配比例,MATCH("升星次数",坦克属性分配比例标头,0),FALSE)*VLOOKUP($BJ101,$AR$3:$AY$33,MATCH(BY$3,$AR$3:$AY$3,0),FALSE),2)</f>
        <v>0.42</v>
      </c>
    </row>
    <row r="102" spans="60:77" x14ac:dyDescent="0.3">
      <c r="BH102" s="2" t="str">
        <f t="shared" si="24"/>
        <v>59式10</v>
      </c>
      <c r="BI102" s="2">
        <f>IF(BL101&gt;=VLOOKUP(VLOOKUP(BJ101,坦克个性化设定!$B$18:$E$48,4,FALSE)&amp;BK101,坦克属性分配比例,MATCH("升星次数",坦克属性分配比例标头,0),FALSE),BI101+1,BI101)</f>
        <v>10</v>
      </c>
      <c r="BJ102" s="2" t="str">
        <f t="shared" si="25"/>
        <v>59式</v>
      </c>
      <c r="BK102" s="29" t="str">
        <f>VLOOKUP(BJ102,坦克个性化细分!$I$3:$J$33,2,FALSE)</f>
        <v>低</v>
      </c>
      <c r="BL102" s="2">
        <f t="shared" si="23"/>
        <v>10</v>
      </c>
      <c r="BM102" s="103" t="e">
        <f ca="1">ROUND(VLOOKUP($BJ102&amp;"初始",$S$3:$AE$63,MATCH(BM$3,$S$3:$AE$3,0),FALSE)+((VLOOKUP($BJ102&amp;"最终",$S$3:$AE$63,MATCH(BM$3,$S$3:$AE$3,0),FALSE)*坦克个性化细分!$C$9-VLOOKUP($BJ102&amp;"初始",$S$3:$AE$63,MATCH(BM$3,$S$3:$AE$3,0),FALSE))-(VLOOKUP($BJ102&amp;"最终",$S$3:$AE$63,MATCH(BM$3,$S$3:$AE$3,0),FALSE)-VLOOKUP($BJ102&amp;"初始",$S$3:$AE$63,MATCH(BM$3,$S$3:$AE$3,0),FALSE))*VLOOKUP(VLOOKUP($BJ102,坦克个性化设定!$B$18:$E$48,4,FALSE)&amp;$BK102,坦克属性分配比例,MATCH("部件比例",坦克属性分配比例标头,0),FALSE))*$BL102/VLOOKUP(VLOOKUP($BJ102,坦克个性化设定!$B$18:$E$48,4,FALSE)&amp;$BK102,坦克属性分配比例,MATCH("升星次数",坦克属性分配比例标头,0),FALSE),0)</f>
        <v>#N/A</v>
      </c>
      <c r="BN102" s="103" t="e">
        <f ca="1">ROUND(VLOOKUP($BJ102&amp;"初始",$S$3:$AE$63,MATCH(BN$3,$S$3:$AE$3,0),FALSE)+(VLOOKUP($BJ102&amp;"最终",$S$3:$AE$63,MATCH(BN$3,$S$3:$AE$3,0),FALSE)-VLOOKUP($BJ102&amp;"初始",$S$3:$AE$63,MATCH(BN$3,$S$3:$AE$3,0),FALSE))*$BL102/VLOOKUP(VLOOKUP($BJ102,坦克个性化设定!$B$18:$E$48,4,FALSE)&amp;$BK102,坦克属性分配比例,MATCH("升星次数",坦克属性分配比例标头,0),FALSE)*VLOOKUP(VLOOKUP($BJ102,坦克个性化设定!$B$18:$E$48,4,FALSE)&amp;$BK102,坦克属性分配比例,MATCH("升星比例",坦克属性分配比例标头,0),FALSE),0)</f>
        <v>#N/A</v>
      </c>
      <c r="BO102" s="103" t="e">
        <f ca="1">ROUND(VLOOKUP($BJ102&amp;"初始",$S$3:$AE$63,MATCH(BO$3,$S$3:$AE$3,0),FALSE)+(VLOOKUP($BJ102&amp;"最终",$S$3:$AE$63,MATCH(BO$3,$S$3:$AE$3,0),FALSE)-VLOOKUP($BJ102&amp;"初始",$S$3:$AE$63,MATCH(BO$3,$S$3:$AE$3,0),FALSE))*$BL102/VLOOKUP(VLOOKUP($BJ102,坦克个性化设定!$B$18:$E$48,4,FALSE)&amp;$BK102,坦克属性分配比例,MATCH("升星次数",坦克属性分配比例标头,0),FALSE)*(VLOOKUP(VLOOKUP($BJ102,坦克个性化设定!$B$18:$E$48,4,FALSE)&amp;$BK102,坦克属性分配比例,MATCH("升星比例",坦克属性分配比例标头,0),FALSE)+VLOOKUP(VLOOKUP($BJ102,坦克个性化设定!$B$18:$E$48,4,FALSE)&amp;$BK102,坦克属性分配比例,MATCH("部件比例",坦克属性分配比例标头,0),FALSE)*$C$3),0)</f>
        <v>#N/A</v>
      </c>
      <c r="BP102" s="103" t="e">
        <f ca="1">ROUND(VLOOKUP($BJ102&amp;"初始",$S$3:$AE$63,MATCH(BP$3,$S$3:$AE$3,0),FALSE)+(VLOOKUP($BJ102&amp;"最终",$S$3:$AE$63,MATCH(BP$3,$S$3:$AE$3,0),FALSE)-VLOOKUP($BJ102&amp;"初始",$S$3:$AE$63,MATCH(BP$3,$S$3:$AE$3,0),FALSE))*$BL102/VLOOKUP(VLOOKUP($BJ102,坦克个性化设定!$B$18:$E$48,4,FALSE)&amp;$BK102,坦克属性分配比例,MATCH("升星次数",坦克属性分配比例标头,0),FALSE)*(VLOOKUP(VLOOKUP($BJ102,坦克个性化设定!$B$18:$E$48,4,FALSE)&amp;$BK102,坦克属性分配比例,MATCH("升星比例",坦克属性分配比例标头,0),FALSE)+VLOOKUP(VLOOKUP($BJ102,坦克个性化设定!$B$18:$E$48,4,FALSE)&amp;$BK102,坦克属性分配比例,MATCH("部件比例",坦克属性分配比例标头,0),FALSE)*$C$3),0)</f>
        <v>#N/A</v>
      </c>
      <c r="BQ102" s="103" t="e">
        <f ca="1">ROUND(VLOOKUP($BJ102&amp;"初始",$S$3:$AE$63,MATCH(BQ$3,$S$3:$AE$3,0),FALSE)+(VLOOKUP($BJ102&amp;"最终",$S$3:$AE$63,MATCH(BQ$3,$S$3:$AE$3,0),FALSE)-VLOOKUP($BJ102&amp;"初始",$S$3:$AE$63,MATCH(BQ$3,$S$3:$AE$3,0),FALSE))*$BL102/VLOOKUP(VLOOKUP($BJ102,坦克个性化设定!$B$18:$E$48,4,FALSE)&amp;$BK102,坦克属性分配比例,MATCH("升星次数",坦克属性分配比例标头,0),FALSE)*VLOOKUP(VLOOKUP($BJ102,坦克个性化设定!$B$18:$E$48,4,FALSE)&amp;$BK102,坦克属性分配比例,MATCH("升星比例",坦克属性分配比例标头,0),FALSE),0)</f>
        <v>#N/A</v>
      </c>
      <c r="BR102" s="2" t="e">
        <f ca="1">ROUND(VLOOKUP($BJ102&amp;"初始",$S$3:$AE$63,MATCH(BR$3,$S$3:$AE$3,0),FALSE)+(VLOOKUP($BJ102&amp;"最终",$S$3:$AE$63,MATCH(BR$3,$S$3:$AE$3,0),FALSE)-VLOOKUP($BJ102&amp;"初始",$S$3:$AE$63,MATCH(BR$3,$S$3:$AE$3,0),FALSE))*$BL102/VLOOKUP(VLOOKUP($BJ102,坦克个性化设定!$B$18:$E$48,4,FALSE)&amp;$BK102,坦克属性分配比例,MATCH("升星次数",坦克属性分配比例标头,0),FALSE),0)</f>
        <v>#N/A</v>
      </c>
      <c r="BS102" s="2">
        <f>ROUND(VLOOKUP($BJ102,$AI$3:$AO$33,MATCH(BS$3,$AI$3:$AO$3,0),FALSE)+$BL102/VLOOKUP(VLOOKUP($BJ102,坦克个性化设定!$B$18:$E$48,4,FALSE)&amp;$BK102,坦克属性分配比例,MATCH("升星次数",坦克属性分配比例标头,0),FALSE)*VLOOKUP($BJ102,$AR$3:$AY$33,MATCH(BS$3,$AR$3:$AY$3,0),FALSE),1)</f>
        <v>45</v>
      </c>
      <c r="BT102" s="2">
        <f>ROUND(VLOOKUP($BJ102,$AI$3:$AO$33,MATCH(BT$3,$AI$3:$AO$3,0),FALSE)+$BL102/VLOOKUP(VLOOKUP($BJ102,坦克个性化设定!$B$18:$E$48,4,FALSE)&amp;$BK102,坦克属性分配比例,MATCH("升星次数",坦克属性分配比例标头,0),FALSE)*VLOOKUP($BJ102,$AR$3:$AY$33,MATCH(BT$3,$AR$3:$AY$3,0),FALSE),1)</f>
        <v>67.099999999999994</v>
      </c>
      <c r="BU102" s="2">
        <f>ROUND(VLOOKUP($BJ102,$AI$3:$AO$33,MATCH(BU$3,$AI$3:$AO$3,0),FALSE)+$BL102/VLOOKUP(VLOOKUP($BJ102,坦克个性化设定!$B$18:$E$48,4,FALSE)&amp;$BK102,坦克属性分配比例,MATCH("升星次数",坦克属性分配比例标头,0),FALSE)*VLOOKUP($BJ102,$AR$3:$AY$33,MATCH(BU$3,$AR$3:$AY$3,0),FALSE),1)</f>
        <v>9.5</v>
      </c>
      <c r="BV102" s="2">
        <f>IF(VLOOKUP(BJ102,坦克个性化设定!$B$18:$BC$48,MATCH("装弹类型",坦克个性化设定!$B$18:$BC$18,0),FALSE)="弹夹换弹",0,ROUND(VLOOKUP($BJ102,$AI$3:$AO$33,MATCH("换弹时间",$AI$3:$AO$3,0),FALSE)-$BL102/VLOOKUP(VLOOKUP($BJ102,坦克个性化设定!$B$18:$E$48,4,FALSE)&amp;$BK102,坦克属性分配比例,MATCH("升星次数",坦克属性分配比例标头,0),FALSE)*VLOOKUP($BJ102,$AR$3:$AY$33,MATCH("换弹时间",$AR$3:$AY$3,0),FALSE),2))</f>
        <v>0</v>
      </c>
      <c r="BW102" s="2">
        <f>IF(VLOOKUP(BJ102,坦克个性化设定!$B$18:$BC$48,MATCH("装弹类型",坦克个性化设定!$B$18:$BC$18,0),FALSE)="弹夹换弹",ROUND(VLOOKUP($BJ102,$AI$3:$AO$33,MATCH("换弹时间",$AI$3:$AO$3,0),FALSE)-$BL102/VLOOKUP(VLOOKUP($BJ102,坦克个性化设定!$B$18:$E$48,4,FALSE)&amp;$BK102,坦克属性分配比例,MATCH("升星次数",坦克属性分配比例标头,0),FALSE)*VLOOKUP($BJ102,$AR$3:$AY$33,MATCH("换弹时间",$AR$3:$AY$3,0),FALSE),1),0)</f>
        <v>7.1</v>
      </c>
      <c r="BX102" s="2">
        <f>ROUND(VLOOKUP($BJ102,$AI$3:$AO$33,MATCH(BX$3,$AI$3:$AO$3,0),FALSE)+$BL102/VLOOKUP(VLOOKUP($BJ102,坦克个性化设定!$B$18:$E$48,4,FALSE)&amp;$BK102,坦克属性分配比例,MATCH("升星次数",坦克属性分配比例标头,0),FALSE)*VLOOKUP($BJ102,$AR$3:$AY$33,MATCH(BX$3,$AR$3:$AY$3,0),FALSE),2)</f>
        <v>0.8</v>
      </c>
      <c r="BY102" s="2">
        <f>ROUND(VLOOKUP($BJ102,$AI$3:$AO$33,MATCH(BY$3,$AI$3:$AO$3,0),FALSE)-$BL102/VLOOKUP(VLOOKUP($BJ102,坦克个性化设定!$B$18:$E$48,4,FALSE)&amp;$BK102,坦克属性分配比例,MATCH("升星次数",坦克属性分配比例标头,0),FALSE)*VLOOKUP($BJ102,$AR$3:$AY$33,MATCH(BY$3,$AR$3:$AY$3,0),FALSE),2)</f>
        <v>0.41</v>
      </c>
    </row>
    <row r="103" spans="60:77" x14ac:dyDescent="0.3">
      <c r="BH103" s="2" t="str">
        <f t="shared" si="24"/>
        <v>59式11</v>
      </c>
      <c r="BI103" s="2">
        <f>IF(BL102&gt;=VLOOKUP(VLOOKUP(BJ102,坦克个性化设定!$B$18:$E$48,4,FALSE)&amp;BK102,坦克属性分配比例,MATCH("升星次数",坦克属性分配比例标头,0),FALSE),BI102+1,BI102)</f>
        <v>10</v>
      </c>
      <c r="BJ103" s="2" t="str">
        <f t="shared" si="25"/>
        <v>59式</v>
      </c>
      <c r="BK103" s="29" t="str">
        <f>VLOOKUP(BJ103,坦克个性化细分!$I$3:$J$33,2,FALSE)</f>
        <v>低</v>
      </c>
      <c r="BL103" s="2">
        <f t="shared" si="23"/>
        <v>11</v>
      </c>
      <c r="BM103" s="103" t="e">
        <f ca="1">ROUND(VLOOKUP($BJ103&amp;"初始",$S$3:$AE$63,MATCH(BM$3,$S$3:$AE$3,0),FALSE)+((VLOOKUP($BJ103&amp;"最终",$S$3:$AE$63,MATCH(BM$3,$S$3:$AE$3,0),FALSE)*坦克个性化细分!$C$9-VLOOKUP($BJ103&amp;"初始",$S$3:$AE$63,MATCH(BM$3,$S$3:$AE$3,0),FALSE))-(VLOOKUP($BJ103&amp;"最终",$S$3:$AE$63,MATCH(BM$3,$S$3:$AE$3,0),FALSE)-VLOOKUP($BJ103&amp;"初始",$S$3:$AE$63,MATCH(BM$3,$S$3:$AE$3,0),FALSE))*VLOOKUP(VLOOKUP($BJ103,坦克个性化设定!$B$18:$E$48,4,FALSE)&amp;$BK103,坦克属性分配比例,MATCH("部件比例",坦克属性分配比例标头,0),FALSE))*$BL103/VLOOKUP(VLOOKUP($BJ103,坦克个性化设定!$B$18:$E$48,4,FALSE)&amp;$BK103,坦克属性分配比例,MATCH("升星次数",坦克属性分配比例标头,0),FALSE),0)</f>
        <v>#N/A</v>
      </c>
      <c r="BN103" s="103" t="e">
        <f ca="1">ROUND(VLOOKUP($BJ103&amp;"初始",$S$3:$AE$63,MATCH(BN$3,$S$3:$AE$3,0),FALSE)+(VLOOKUP($BJ103&amp;"最终",$S$3:$AE$63,MATCH(BN$3,$S$3:$AE$3,0),FALSE)-VLOOKUP($BJ103&amp;"初始",$S$3:$AE$63,MATCH(BN$3,$S$3:$AE$3,0),FALSE))*$BL103/VLOOKUP(VLOOKUP($BJ103,坦克个性化设定!$B$18:$E$48,4,FALSE)&amp;$BK103,坦克属性分配比例,MATCH("升星次数",坦克属性分配比例标头,0),FALSE)*VLOOKUP(VLOOKUP($BJ103,坦克个性化设定!$B$18:$E$48,4,FALSE)&amp;$BK103,坦克属性分配比例,MATCH("升星比例",坦克属性分配比例标头,0),FALSE),0)</f>
        <v>#N/A</v>
      </c>
      <c r="BO103" s="103" t="e">
        <f ca="1">ROUND(VLOOKUP($BJ103&amp;"初始",$S$3:$AE$63,MATCH(BO$3,$S$3:$AE$3,0),FALSE)+(VLOOKUP($BJ103&amp;"最终",$S$3:$AE$63,MATCH(BO$3,$S$3:$AE$3,0),FALSE)-VLOOKUP($BJ103&amp;"初始",$S$3:$AE$63,MATCH(BO$3,$S$3:$AE$3,0),FALSE))*$BL103/VLOOKUP(VLOOKUP($BJ103,坦克个性化设定!$B$18:$E$48,4,FALSE)&amp;$BK103,坦克属性分配比例,MATCH("升星次数",坦克属性分配比例标头,0),FALSE)*(VLOOKUP(VLOOKUP($BJ103,坦克个性化设定!$B$18:$E$48,4,FALSE)&amp;$BK103,坦克属性分配比例,MATCH("升星比例",坦克属性分配比例标头,0),FALSE)+VLOOKUP(VLOOKUP($BJ103,坦克个性化设定!$B$18:$E$48,4,FALSE)&amp;$BK103,坦克属性分配比例,MATCH("部件比例",坦克属性分配比例标头,0),FALSE)*$C$3),0)</f>
        <v>#N/A</v>
      </c>
      <c r="BP103" s="103" t="e">
        <f ca="1">ROUND(VLOOKUP($BJ103&amp;"初始",$S$3:$AE$63,MATCH(BP$3,$S$3:$AE$3,0),FALSE)+(VLOOKUP($BJ103&amp;"最终",$S$3:$AE$63,MATCH(BP$3,$S$3:$AE$3,0),FALSE)-VLOOKUP($BJ103&amp;"初始",$S$3:$AE$63,MATCH(BP$3,$S$3:$AE$3,0),FALSE))*$BL103/VLOOKUP(VLOOKUP($BJ103,坦克个性化设定!$B$18:$E$48,4,FALSE)&amp;$BK103,坦克属性分配比例,MATCH("升星次数",坦克属性分配比例标头,0),FALSE)*(VLOOKUP(VLOOKUP($BJ103,坦克个性化设定!$B$18:$E$48,4,FALSE)&amp;$BK103,坦克属性分配比例,MATCH("升星比例",坦克属性分配比例标头,0),FALSE)+VLOOKUP(VLOOKUP($BJ103,坦克个性化设定!$B$18:$E$48,4,FALSE)&amp;$BK103,坦克属性分配比例,MATCH("部件比例",坦克属性分配比例标头,0),FALSE)*$C$3),0)</f>
        <v>#N/A</v>
      </c>
      <c r="BQ103" s="103" t="e">
        <f ca="1">ROUND(VLOOKUP($BJ103&amp;"初始",$S$3:$AE$63,MATCH(BQ$3,$S$3:$AE$3,0),FALSE)+(VLOOKUP($BJ103&amp;"最终",$S$3:$AE$63,MATCH(BQ$3,$S$3:$AE$3,0),FALSE)-VLOOKUP($BJ103&amp;"初始",$S$3:$AE$63,MATCH(BQ$3,$S$3:$AE$3,0),FALSE))*$BL103/VLOOKUP(VLOOKUP($BJ103,坦克个性化设定!$B$18:$E$48,4,FALSE)&amp;$BK103,坦克属性分配比例,MATCH("升星次数",坦克属性分配比例标头,0),FALSE)*VLOOKUP(VLOOKUP($BJ103,坦克个性化设定!$B$18:$E$48,4,FALSE)&amp;$BK103,坦克属性分配比例,MATCH("升星比例",坦克属性分配比例标头,0),FALSE),0)</f>
        <v>#N/A</v>
      </c>
      <c r="BR103" s="2" t="e">
        <f ca="1">ROUND(VLOOKUP($BJ103&amp;"初始",$S$3:$AE$63,MATCH(BR$3,$S$3:$AE$3,0),FALSE)+(VLOOKUP($BJ103&amp;"最终",$S$3:$AE$63,MATCH(BR$3,$S$3:$AE$3,0),FALSE)-VLOOKUP($BJ103&amp;"初始",$S$3:$AE$63,MATCH(BR$3,$S$3:$AE$3,0),FALSE))*$BL103/VLOOKUP(VLOOKUP($BJ103,坦克个性化设定!$B$18:$E$48,4,FALSE)&amp;$BK103,坦克属性分配比例,MATCH("升星次数",坦克属性分配比例标头,0),FALSE),0)</f>
        <v>#N/A</v>
      </c>
      <c r="BS103" s="2">
        <f>ROUND(VLOOKUP($BJ103,$AI$3:$AO$33,MATCH(BS$3,$AI$3:$AO$3,0),FALSE)+$BL103/VLOOKUP(VLOOKUP($BJ103,坦克个性化设定!$B$18:$E$48,4,FALSE)&amp;$BK103,坦克属性分配比例,MATCH("升星次数",坦克属性分配比例标头,0),FALSE)*VLOOKUP($BJ103,$AR$3:$AY$33,MATCH(BS$3,$AR$3:$AY$3,0),FALSE),1)</f>
        <v>45.7</v>
      </c>
      <c r="BT103" s="2">
        <f>ROUND(VLOOKUP($BJ103,$AI$3:$AO$33,MATCH(BT$3,$AI$3:$AO$3,0),FALSE)+$BL103/VLOOKUP(VLOOKUP($BJ103,坦克个性化设定!$B$18:$E$48,4,FALSE)&amp;$BK103,坦克属性分配比例,MATCH("升星次数",坦克属性分配比例标头,0),FALSE)*VLOOKUP($BJ103,$AR$3:$AY$33,MATCH(BT$3,$AR$3:$AY$3,0),FALSE),1)</f>
        <v>68.2</v>
      </c>
      <c r="BU103" s="2">
        <f>ROUND(VLOOKUP($BJ103,$AI$3:$AO$33,MATCH(BU$3,$AI$3:$AO$3,0),FALSE)+$BL103/VLOOKUP(VLOOKUP($BJ103,坦克个性化设定!$B$18:$E$48,4,FALSE)&amp;$BK103,坦克属性分配比例,MATCH("升星次数",坦克属性分配比例标头,0),FALSE)*VLOOKUP($BJ103,$AR$3:$AY$33,MATCH(BU$3,$AR$3:$AY$3,0),FALSE),1)</f>
        <v>9.5</v>
      </c>
      <c r="BV103" s="2">
        <f>IF(VLOOKUP(BJ103,坦克个性化设定!$B$18:$BC$48,MATCH("装弹类型",坦克个性化设定!$B$18:$BC$18,0),FALSE)="弹夹换弹",0,ROUND(VLOOKUP($BJ103,$AI$3:$AO$33,MATCH("换弹时间",$AI$3:$AO$3,0),FALSE)-$BL103/VLOOKUP(VLOOKUP($BJ103,坦克个性化设定!$B$18:$E$48,4,FALSE)&amp;$BK103,坦克属性分配比例,MATCH("升星次数",坦克属性分配比例标头,0),FALSE)*VLOOKUP($BJ103,$AR$3:$AY$33,MATCH("换弹时间",$AR$3:$AY$3,0),FALSE),2))</f>
        <v>0</v>
      </c>
      <c r="BW103" s="2">
        <f>IF(VLOOKUP(BJ103,坦克个性化设定!$B$18:$BC$48,MATCH("装弹类型",坦克个性化设定!$B$18:$BC$18,0),FALSE)="弹夹换弹",ROUND(VLOOKUP($BJ103,$AI$3:$AO$33,MATCH("换弹时间",$AI$3:$AO$3,0),FALSE)-$BL103/VLOOKUP(VLOOKUP($BJ103,坦克个性化设定!$B$18:$E$48,4,FALSE)&amp;$BK103,坦克属性分配比例,MATCH("升星次数",坦克属性分配比例标头,0),FALSE)*VLOOKUP($BJ103,$AR$3:$AY$33,MATCH("换弹时间",$AR$3:$AY$3,0),FALSE),1),0)</f>
        <v>6.8</v>
      </c>
      <c r="BX103" s="2">
        <f>ROUND(VLOOKUP($BJ103,$AI$3:$AO$33,MATCH(BX$3,$AI$3:$AO$3,0),FALSE)+$BL103/VLOOKUP(VLOOKUP($BJ103,坦克个性化设定!$B$18:$E$48,4,FALSE)&amp;$BK103,坦克属性分配比例,MATCH("升星次数",坦克属性分配比例标头,0),FALSE)*VLOOKUP($BJ103,$AR$3:$AY$33,MATCH(BX$3,$AR$3:$AY$3,0),FALSE),2)</f>
        <v>0.8</v>
      </c>
      <c r="BY103" s="2">
        <f>ROUND(VLOOKUP($BJ103,$AI$3:$AO$33,MATCH(BY$3,$AI$3:$AO$3,0),FALSE)-$BL103/VLOOKUP(VLOOKUP($BJ103,坦克个性化设定!$B$18:$E$48,4,FALSE)&amp;$BK103,坦克属性分配比例,MATCH("升星次数",坦克属性分配比例标头,0),FALSE)*VLOOKUP($BJ103,$AR$3:$AY$33,MATCH(BY$3,$AR$3:$AY$3,0),FALSE),2)</f>
        <v>0.41</v>
      </c>
    </row>
    <row r="104" spans="60:77" x14ac:dyDescent="0.3">
      <c r="BH104" s="2" t="str">
        <f t="shared" si="24"/>
        <v>59式12</v>
      </c>
      <c r="BI104" s="2">
        <f>IF(BL103&gt;=VLOOKUP(VLOOKUP(BJ103,坦克个性化设定!$B$18:$E$48,4,FALSE)&amp;BK103,坦克属性分配比例,MATCH("升星次数",坦克属性分配比例标头,0),FALSE),BI103+1,BI103)</f>
        <v>10</v>
      </c>
      <c r="BJ104" s="2" t="str">
        <f t="shared" si="25"/>
        <v>59式</v>
      </c>
      <c r="BK104" s="29" t="str">
        <f>VLOOKUP(BJ104,坦克个性化细分!$I$3:$J$33,2,FALSE)</f>
        <v>低</v>
      </c>
      <c r="BL104" s="2">
        <f t="shared" si="23"/>
        <v>12</v>
      </c>
      <c r="BM104" s="103" t="e">
        <f ca="1">ROUND(VLOOKUP($BJ104&amp;"初始",$S$3:$AE$63,MATCH(BM$3,$S$3:$AE$3,0),FALSE)+((VLOOKUP($BJ104&amp;"最终",$S$3:$AE$63,MATCH(BM$3,$S$3:$AE$3,0),FALSE)*坦克个性化细分!$C$9-VLOOKUP($BJ104&amp;"初始",$S$3:$AE$63,MATCH(BM$3,$S$3:$AE$3,0),FALSE))-(VLOOKUP($BJ104&amp;"最终",$S$3:$AE$63,MATCH(BM$3,$S$3:$AE$3,0),FALSE)-VLOOKUP($BJ104&amp;"初始",$S$3:$AE$63,MATCH(BM$3,$S$3:$AE$3,0),FALSE))*VLOOKUP(VLOOKUP($BJ104,坦克个性化设定!$B$18:$E$48,4,FALSE)&amp;$BK104,坦克属性分配比例,MATCH("部件比例",坦克属性分配比例标头,0),FALSE))*$BL104/VLOOKUP(VLOOKUP($BJ104,坦克个性化设定!$B$18:$E$48,4,FALSE)&amp;$BK104,坦克属性分配比例,MATCH("升星次数",坦克属性分配比例标头,0),FALSE),0)</f>
        <v>#N/A</v>
      </c>
      <c r="BN104" s="103" t="e">
        <f ca="1">ROUND(VLOOKUP($BJ104&amp;"初始",$S$3:$AE$63,MATCH(BN$3,$S$3:$AE$3,0),FALSE)+(VLOOKUP($BJ104&amp;"最终",$S$3:$AE$63,MATCH(BN$3,$S$3:$AE$3,0),FALSE)-VLOOKUP($BJ104&amp;"初始",$S$3:$AE$63,MATCH(BN$3,$S$3:$AE$3,0),FALSE))*$BL104/VLOOKUP(VLOOKUP($BJ104,坦克个性化设定!$B$18:$E$48,4,FALSE)&amp;$BK104,坦克属性分配比例,MATCH("升星次数",坦克属性分配比例标头,0),FALSE)*VLOOKUP(VLOOKUP($BJ104,坦克个性化设定!$B$18:$E$48,4,FALSE)&amp;$BK104,坦克属性分配比例,MATCH("升星比例",坦克属性分配比例标头,0),FALSE),0)</f>
        <v>#N/A</v>
      </c>
      <c r="BO104" s="103" t="e">
        <f ca="1">ROUND(VLOOKUP($BJ104&amp;"初始",$S$3:$AE$63,MATCH(BO$3,$S$3:$AE$3,0),FALSE)+(VLOOKUP($BJ104&amp;"最终",$S$3:$AE$63,MATCH(BO$3,$S$3:$AE$3,0),FALSE)-VLOOKUP($BJ104&amp;"初始",$S$3:$AE$63,MATCH(BO$3,$S$3:$AE$3,0),FALSE))*$BL104/VLOOKUP(VLOOKUP($BJ104,坦克个性化设定!$B$18:$E$48,4,FALSE)&amp;$BK104,坦克属性分配比例,MATCH("升星次数",坦克属性分配比例标头,0),FALSE)*(VLOOKUP(VLOOKUP($BJ104,坦克个性化设定!$B$18:$E$48,4,FALSE)&amp;$BK104,坦克属性分配比例,MATCH("升星比例",坦克属性分配比例标头,0),FALSE)+VLOOKUP(VLOOKUP($BJ104,坦克个性化设定!$B$18:$E$48,4,FALSE)&amp;$BK104,坦克属性分配比例,MATCH("部件比例",坦克属性分配比例标头,0),FALSE)*$C$3),0)</f>
        <v>#N/A</v>
      </c>
      <c r="BP104" s="103" t="e">
        <f ca="1">ROUND(VLOOKUP($BJ104&amp;"初始",$S$3:$AE$63,MATCH(BP$3,$S$3:$AE$3,0),FALSE)+(VLOOKUP($BJ104&amp;"最终",$S$3:$AE$63,MATCH(BP$3,$S$3:$AE$3,0),FALSE)-VLOOKUP($BJ104&amp;"初始",$S$3:$AE$63,MATCH(BP$3,$S$3:$AE$3,0),FALSE))*$BL104/VLOOKUP(VLOOKUP($BJ104,坦克个性化设定!$B$18:$E$48,4,FALSE)&amp;$BK104,坦克属性分配比例,MATCH("升星次数",坦克属性分配比例标头,0),FALSE)*(VLOOKUP(VLOOKUP($BJ104,坦克个性化设定!$B$18:$E$48,4,FALSE)&amp;$BK104,坦克属性分配比例,MATCH("升星比例",坦克属性分配比例标头,0),FALSE)+VLOOKUP(VLOOKUP($BJ104,坦克个性化设定!$B$18:$E$48,4,FALSE)&amp;$BK104,坦克属性分配比例,MATCH("部件比例",坦克属性分配比例标头,0),FALSE)*$C$3),0)</f>
        <v>#N/A</v>
      </c>
      <c r="BQ104" s="103" t="e">
        <f ca="1">ROUND(VLOOKUP($BJ104&amp;"初始",$S$3:$AE$63,MATCH(BQ$3,$S$3:$AE$3,0),FALSE)+(VLOOKUP($BJ104&amp;"最终",$S$3:$AE$63,MATCH(BQ$3,$S$3:$AE$3,0),FALSE)-VLOOKUP($BJ104&amp;"初始",$S$3:$AE$63,MATCH(BQ$3,$S$3:$AE$3,0),FALSE))*$BL104/VLOOKUP(VLOOKUP($BJ104,坦克个性化设定!$B$18:$E$48,4,FALSE)&amp;$BK104,坦克属性分配比例,MATCH("升星次数",坦克属性分配比例标头,0),FALSE)*VLOOKUP(VLOOKUP($BJ104,坦克个性化设定!$B$18:$E$48,4,FALSE)&amp;$BK104,坦克属性分配比例,MATCH("升星比例",坦克属性分配比例标头,0),FALSE),0)</f>
        <v>#N/A</v>
      </c>
      <c r="BR104" s="2" t="e">
        <f ca="1">ROUND(VLOOKUP($BJ104&amp;"初始",$S$3:$AE$63,MATCH(BR$3,$S$3:$AE$3,0),FALSE)+(VLOOKUP($BJ104&amp;"最终",$S$3:$AE$63,MATCH(BR$3,$S$3:$AE$3,0),FALSE)-VLOOKUP($BJ104&amp;"初始",$S$3:$AE$63,MATCH(BR$3,$S$3:$AE$3,0),FALSE))*$BL104/VLOOKUP(VLOOKUP($BJ104,坦克个性化设定!$B$18:$E$48,4,FALSE)&amp;$BK104,坦克属性分配比例,MATCH("升星次数",坦克属性分配比例标头,0),FALSE),0)</f>
        <v>#N/A</v>
      </c>
      <c r="BS104" s="2">
        <f>ROUND(VLOOKUP($BJ104,$AI$3:$AO$33,MATCH(BS$3,$AI$3:$AO$3,0),FALSE)+$BL104/VLOOKUP(VLOOKUP($BJ104,坦克个性化设定!$B$18:$E$48,4,FALSE)&amp;$BK104,坦克属性分配比例,MATCH("升星次数",坦克属性分配比例标头,0),FALSE)*VLOOKUP($BJ104,$AR$3:$AY$33,MATCH(BS$3,$AR$3:$AY$3,0),FALSE),1)</f>
        <v>46.4</v>
      </c>
      <c r="BT104" s="2">
        <f>ROUND(VLOOKUP($BJ104,$AI$3:$AO$33,MATCH(BT$3,$AI$3:$AO$3,0),FALSE)+$BL104/VLOOKUP(VLOOKUP($BJ104,坦克个性化设定!$B$18:$E$48,4,FALSE)&amp;$BK104,坦克属性分配比例,MATCH("升星次数",坦克属性分配比例标头,0),FALSE)*VLOOKUP($BJ104,$AR$3:$AY$33,MATCH(BT$3,$AR$3:$AY$3,0),FALSE),1)</f>
        <v>69.3</v>
      </c>
      <c r="BU104" s="2">
        <f>ROUND(VLOOKUP($BJ104,$AI$3:$AO$33,MATCH(BU$3,$AI$3:$AO$3,0),FALSE)+$BL104/VLOOKUP(VLOOKUP($BJ104,坦克个性化设定!$B$18:$E$48,4,FALSE)&amp;$BK104,坦克属性分配比例,MATCH("升星次数",坦克属性分配比例标头,0),FALSE)*VLOOKUP($BJ104,$AR$3:$AY$33,MATCH(BU$3,$AR$3:$AY$3,0),FALSE),1)</f>
        <v>9.5</v>
      </c>
      <c r="BV104" s="2">
        <f>IF(VLOOKUP(BJ104,坦克个性化设定!$B$18:$BC$48,MATCH("装弹类型",坦克个性化设定!$B$18:$BC$18,0),FALSE)="弹夹换弹",0,ROUND(VLOOKUP($BJ104,$AI$3:$AO$33,MATCH("换弹时间",$AI$3:$AO$3,0),FALSE)-$BL104/VLOOKUP(VLOOKUP($BJ104,坦克个性化设定!$B$18:$E$48,4,FALSE)&amp;$BK104,坦克属性分配比例,MATCH("升星次数",坦克属性分配比例标头,0),FALSE)*VLOOKUP($BJ104,$AR$3:$AY$33,MATCH("换弹时间",$AR$3:$AY$3,0),FALSE),2))</f>
        <v>0</v>
      </c>
      <c r="BW104" s="2">
        <f>IF(VLOOKUP(BJ104,坦克个性化设定!$B$18:$BC$48,MATCH("装弹类型",坦克个性化设定!$B$18:$BC$18,0),FALSE)="弹夹换弹",ROUND(VLOOKUP($BJ104,$AI$3:$AO$33,MATCH("换弹时间",$AI$3:$AO$3,0),FALSE)-$BL104/VLOOKUP(VLOOKUP($BJ104,坦克个性化设定!$B$18:$E$48,4,FALSE)&amp;$BK104,坦克属性分配比例,MATCH("升星次数",坦克属性分配比例标头,0),FALSE)*VLOOKUP($BJ104,$AR$3:$AY$33,MATCH("换弹时间",$AR$3:$AY$3,0),FALSE),1),0)</f>
        <v>6.6</v>
      </c>
      <c r="BX104" s="2">
        <f>ROUND(VLOOKUP($BJ104,$AI$3:$AO$33,MATCH(BX$3,$AI$3:$AO$3,0),FALSE)+$BL104/VLOOKUP(VLOOKUP($BJ104,坦克个性化设定!$B$18:$E$48,4,FALSE)&amp;$BK104,坦克属性分配比例,MATCH("升星次数",坦克属性分配比例标头,0),FALSE)*VLOOKUP($BJ104,$AR$3:$AY$33,MATCH(BX$3,$AR$3:$AY$3,0),FALSE),2)</f>
        <v>0.8</v>
      </c>
      <c r="BY104" s="2">
        <f>ROUND(VLOOKUP($BJ104,$AI$3:$AO$33,MATCH(BY$3,$AI$3:$AO$3,0),FALSE)-$BL104/VLOOKUP(VLOOKUP($BJ104,坦克个性化设定!$B$18:$E$48,4,FALSE)&amp;$BK104,坦克属性分配比例,MATCH("升星次数",坦克属性分配比例标头,0),FALSE)*VLOOKUP($BJ104,$AR$3:$AY$33,MATCH(BY$3,$AR$3:$AY$3,0),FALSE),2)</f>
        <v>0.4</v>
      </c>
    </row>
    <row r="105" spans="60:77" x14ac:dyDescent="0.3">
      <c r="BH105" s="2" t="str">
        <f t="shared" si="24"/>
        <v>59式13</v>
      </c>
      <c r="BI105" s="2">
        <f>IF(BL104&gt;=VLOOKUP(VLOOKUP(BJ104,坦克个性化设定!$B$18:$E$48,4,FALSE)&amp;BK104,坦克属性分配比例,MATCH("升星次数",坦克属性分配比例标头,0),FALSE),BI104+1,BI104)</f>
        <v>10</v>
      </c>
      <c r="BJ105" s="2" t="str">
        <f t="shared" si="25"/>
        <v>59式</v>
      </c>
      <c r="BK105" s="29" t="str">
        <f>VLOOKUP(BJ105,坦克个性化细分!$I$3:$J$33,2,FALSE)</f>
        <v>低</v>
      </c>
      <c r="BL105" s="2">
        <f t="shared" si="23"/>
        <v>13</v>
      </c>
      <c r="BM105" s="103" t="e">
        <f ca="1">ROUND(VLOOKUP($BJ105&amp;"初始",$S$3:$AE$63,MATCH(BM$3,$S$3:$AE$3,0),FALSE)+((VLOOKUP($BJ105&amp;"最终",$S$3:$AE$63,MATCH(BM$3,$S$3:$AE$3,0),FALSE)*坦克个性化细分!$C$9-VLOOKUP($BJ105&amp;"初始",$S$3:$AE$63,MATCH(BM$3,$S$3:$AE$3,0),FALSE))-(VLOOKUP($BJ105&amp;"最终",$S$3:$AE$63,MATCH(BM$3,$S$3:$AE$3,0),FALSE)-VLOOKUP($BJ105&amp;"初始",$S$3:$AE$63,MATCH(BM$3,$S$3:$AE$3,0),FALSE))*VLOOKUP(VLOOKUP($BJ105,坦克个性化设定!$B$18:$E$48,4,FALSE)&amp;$BK105,坦克属性分配比例,MATCH("部件比例",坦克属性分配比例标头,0),FALSE))*$BL105/VLOOKUP(VLOOKUP($BJ105,坦克个性化设定!$B$18:$E$48,4,FALSE)&amp;$BK105,坦克属性分配比例,MATCH("升星次数",坦克属性分配比例标头,0),FALSE),0)</f>
        <v>#N/A</v>
      </c>
      <c r="BN105" s="103" t="e">
        <f ca="1">ROUND(VLOOKUP($BJ105&amp;"初始",$S$3:$AE$63,MATCH(BN$3,$S$3:$AE$3,0),FALSE)+(VLOOKUP($BJ105&amp;"最终",$S$3:$AE$63,MATCH(BN$3,$S$3:$AE$3,0),FALSE)-VLOOKUP($BJ105&amp;"初始",$S$3:$AE$63,MATCH(BN$3,$S$3:$AE$3,0),FALSE))*$BL105/VLOOKUP(VLOOKUP($BJ105,坦克个性化设定!$B$18:$E$48,4,FALSE)&amp;$BK105,坦克属性分配比例,MATCH("升星次数",坦克属性分配比例标头,0),FALSE)*VLOOKUP(VLOOKUP($BJ105,坦克个性化设定!$B$18:$E$48,4,FALSE)&amp;$BK105,坦克属性分配比例,MATCH("升星比例",坦克属性分配比例标头,0),FALSE),0)</f>
        <v>#N/A</v>
      </c>
      <c r="BO105" s="103" t="e">
        <f ca="1">ROUND(VLOOKUP($BJ105&amp;"初始",$S$3:$AE$63,MATCH(BO$3,$S$3:$AE$3,0),FALSE)+(VLOOKUP($BJ105&amp;"最终",$S$3:$AE$63,MATCH(BO$3,$S$3:$AE$3,0),FALSE)-VLOOKUP($BJ105&amp;"初始",$S$3:$AE$63,MATCH(BO$3,$S$3:$AE$3,0),FALSE))*$BL105/VLOOKUP(VLOOKUP($BJ105,坦克个性化设定!$B$18:$E$48,4,FALSE)&amp;$BK105,坦克属性分配比例,MATCH("升星次数",坦克属性分配比例标头,0),FALSE)*(VLOOKUP(VLOOKUP($BJ105,坦克个性化设定!$B$18:$E$48,4,FALSE)&amp;$BK105,坦克属性分配比例,MATCH("升星比例",坦克属性分配比例标头,0),FALSE)+VLOOKUP(VLOOKUP($BJ105,坦克个性化设定!$B$18:$E$48,4,FALSE)&amp;$BK105,坦克属性分配比例,MATCH("部件比例",坦克属性分配比例标头,0),FALSE)*$C$3),0)</f>
        <v>#N/A</v>
      </c>
      <c r="BP105" s="103" t="e">
        <f ca="1">ROUND(VLOOKUP($BJ105&amp;"初始",$S$3:$AE$63,MATCH(BP$3,$S$3:$AE$3,0),FALSE)+(VLOOKUP($BJ105&amp;"最终",$S$3:$AE$63,MATCH(BP$3,$S$3:$AE$3,0),FALSE)-VLOOKUP($BJ105&amp;"初始",$S$3:$AE$63,MATCH(BP$3,$S$3:$AE$3,0),FALSE))*$BL105/VLOOKUP(VLOOKUP($BJ105,坦克个性化设定!$B$18:$E$48,4,FALSE)&amp;$BK105,坦克属性分配比例,MATCH("升星次数",坦克属性分配比例标头,0),FALSE)*(VLOOKUP(VLOOKUP($BJ105,坦克个性化设定!$B$18:$E$48,4,FALSE)&amp;$BK105,坦克属性分配比例,MATCH("升星比例",坦克属性分配比例标头,0),FALSE)+VLOOKUP(VLOOKUP($BJ105,坦克个性化设定!$B$18:$E$48,4,FALSE)&amp;$BK105,坦克属性分配比例,MATCH("部件比例",坦克属性分配比例标头,0),FALSE)*$C$3),0)</f>
        <v>#N/A</v>
      </c>
      <c r="BQ105" s="103" t="e">
        <f ca="1">ROUND(VLOOKUP($BJ105&amp;"初始",$S$3:$AE$63,MATCH(BQ$3,$S$3:$AE$3,0),FALSE)+(VLOOKUP($BJ105&amp;"最终",$S$3:$AE$63,MATCH(BQ$3,$S$3:$AE$3,0),FALSE)-VLOOKUP($BJ105&amp;"初始",$S$3:$AE$63,MATCH(BQ$3,$S$3:$AE$3,0),FALSE))*$BL105/VLOOKUP(VLOOKUP($BJ105,坦克个性化设定!$B$18:$E$48,4,FALSE)&amp;$BK105,坦克属性分配比例,MATCH("升星次数",坦克属性分配比例标头,0),FALSE)*VLOOKUP(VLOOKUP($BJ105,坦克个性化设定!$B$18:$E$48,4,FALSE)&amp;$BK105,坦克属性分配比例,MATCH("升星比例",坦克属性分配比例标头,0),FALSE),0)</f>
        <v>#N/A</v>
      </c>
      <c r="BR105" s="2" t="e">
        <f ca="1">ROUND(VLOOKUP($BJ105&amp;"初始",$S$3:$AE$63,MATCH(BR$3,$S$3:$AE$3,0),FALSE)+(VLOOKUP($BJ105&amp;"最终",$S$3:$AE$63,MATCH(BR$3,$S$3:$AE$3,0),FALSE)-VLOOKUP($BJ105&amp;"初始",$S$3:$AE$63,MATCH(BR$3,$S$3:$AE$3,0),FALSE))*$BL105/VLOOKUP(VLOOKUP($BJ105,坦克个性化设定!$B$18:$E$48,4,FALSE)&amp;$BK105,坦克属性分配比例,MATCH("升星次数",坦克属性分配比例标头,0),FALSE),0)</f>
        <v>#N/A</v>
      </c>
      <c r="BS105" s="2">
        <f>ROUND(VLOOKUP($BJ105,$AI$3:$AO$33,MATCH(BS$3,$AI$3:$AO$3,0),FALSE)+$BL105/VLOOKUP(VLOOKUP($BJ105,坦克个性化设定!$B$18:$E$48,4,FALSE)&amp;$BK105,坦克属性分配比例,MATCH("升星次数",坦克属性分配比例标头,0),FALSE)*VLOOKUP($BJ105,$AR$3:$AY$33,MATCH(BS$3,$AR$3:$AY$3,0),FALSE),1)</f>
        <v>47.1</v>
      </c>
      <c r="BT105" s="2">
        <f>ROUND(VLOOKUP($BJ105,$AI$3:$AO$33,MATCH(BT$3,$AI$3:$AO$3,0),FALSE)+$BL105/VLOOKUP(VLOOKUP($BJ105,坦克个性化设定!$B$18:$E$48,4,FALSE)&amp;$BK105,坦克属性分配比例,MATCH("升星次数",坦克属性分配比例标头,0),FALSE)*VLOOKUP($BJ105,$AR$3:$AY$33,MATCH(BT$3,$AR$3:$AY$3,0),FALSE),1)</f>
        <v>70.400000000000006</v>
      </c>
      <c r="BU105" s="2">
        <f>ROUND(VLOOKUP($BJ105,$AI$3:$AO$33,MATCH(BU$3,$AI$3:$AO$3,0),FALSE)+$BL105/VLOOKUP(VLOOKUP($BJ105,坦克个性化设定!$B$18:$E$48,4,FALSE)&amp;$BK105,坦克属性分配比例,MATCH("升星次数",坦克属性分配比例标头,0),FALSE)*VLOOKUP($BJ105,$AR$3:$AY$33,MATCH(BU$3,$AR$3:$AY$3,0),FALSE),1)</f>
        <v>9.5</v>
      </c>
      <c r="BV105" s="2">
        <f>IF(VLOOKUP(BJ105,坦克个性化设定!$B$18:$BC$48,MATCH("装弹类型",坦克个性化设定!$B$18:$BC$18,0),FALSE)="弹夹换弹",0,ROUND(VLOOKUP($BJ105,$AI$3:$AO$33,MATCH("换弹时间",$AI$3:$AO$3,0),FALSE)-$BL105/VLOOKUP(VLOOKUP($BJ105,坦克个性化设定!$B$18:$E$48,4,FALSE)&amp;$BK105,坦克属性分配比例,MATCH("升星次数",坦克属性分配比例标头,0),FALSE)*VLOOKUP($BJ105,$AR$3:$AY$33,MATCH("换弹时间",$AR$3:$AY$3,0),FALSE),2))</f>
        <v>0</v>
      </c>
      <c r="BW105" s="2">
        <f>IF(VLOOKUP(BJ105,坦克个性化设定!$B$18:$BC$48,MATCH("装弹类型",坦克个性化设定!$B$18:$BC$18,0),FALSE)="弹夹换弹",ROUND(VLOOKUP($BJ105,$AI$3:$AO$33,MATCH("换弹时间",$AI$3:$AO$3,0),FALSE)-$BL105/VLOOKUP(VLOOKUP($BJ105,坦克个性化设定!$B$18:$E$48,4,FALSE)&amp;$BK105,坦克属性分配比例,MATCH("升星次数",坦克属性分配比例标头,0),FALSE)*VLOOKUP($BJ105,$AR$3:$AY$33,MATCH("换弹时间",$AR$3:$AY$3,0),FALSE),1),0)</f>
        <v>6.3</v>
      </c>
      <c r="BX105" s="2">
        <f>ROUND(VLOOKUP($BJ105,$AI$3:$AO$33,MATCH(BX$3,$AI$3:$AO$3,0),FALSE)+$BL105/VLOOKUP(VLOOKUP($BJ105,坦克个性化设定!$B$18:$E$48,4,FALSE)&amp;$BK105,坦克属性分配比例,MATCH("升星次数",坦克属性分配比例标头,0),FALSE)*VLOOKUP($BJ105,$AR$3:$AY$33,MATCH(BX$3,$AR$3:$AY$3,0),FALSE),2)</f>
        <v>0.8</v>
      </c>
      <c r="BY105" s="2">
        <f>ROUND(VLOOKUP($BJ105,$AI$3:$AO$33,MATCH(BY$3,$AI$3:$AO$3,0),FALSE)-$BL105/VLOOKUP(VLOOKUP($BJ105,坦克个性化设定!$B$18:$E$48,4,FALSE)&amp;$BK105,坦克属性分配比例,MATCH("升星次数",坦克属性分配比例标头,0),FALSE)*VLOOKUP($BJ105,$AR$3:$AY$33,MATCH(BY$3,$AR$3:$AY$3,0),FALSE),2)</f>
        <v>0.4</v>
      </c>
    </row>
    <row r="106" spans="60:77" x14ac:dyDescent="0.3">
      <c r="BH106" s="2" t="str">
        <f t="shared" si="24"/>
        <v>Stuart0</v>
      </c>
      <c r="BI106" s="2">
        <f>IF(BL105&gt;=VLOOKUP(VLOOKUP(BJ105,坦克个性化设定!$B$18:$E$48,4,FALSE)&amp;BK105,坦克属性分配比例,MATCH("升星次数",坦克属性分配比例标头,0),FALSE),BI105+1,BI105)</f>
        <v>11</v>
      </c>
      <c r="BJ106" s="2" t="str">
        <f t="shared" si="25"/>
        <v>Stuart</v>
      </c>
      <c r="BK106" s="29" t="str">
        <f>VLOOKUP(BJ106,坦克个性化细分!$I$3:$J$33,2,FALSE)</f>
        <v>低</v>
      </c>
      <c r="BL106" s="2">
        <f t="shared" si="23"/>
        <v>0</v>
      </c>
      <c r="BM106" s="103">
        <f ca="1">ROUND(VLOOKUP($BJ106&amp;"初始",$S$3:$AE$63,MATCH(BM$3,$S$3:$AE$3,0),FALSE)+((VLOOKUP($BJ106&amp;"最终",$S$3:$AE$63,MATCH(BM$3,$S$3:$AE$3,0),FALSE)*坦克个性化细分!$C$9-VLOOKUP($BJ106&amp;"初始",$S$3:$AE$63,MATCH(BM$3,$S$3:$AE$3,0),FALSE))-(VLOOKUP($BJ106&amp;"最终",$S$3:$AE$63,MATCH(BM$3,$S$3:$AE$3,0),FALSE)-VLOOKUP($BJ106&amp;"初始",$S$3:$AE$63,MATCH(BM$3,$S$3:$AE$3,0),FALSE))*VLOOKUP(VLOOKUP($BJ106,坦克个性化设定!$B$18:$E$48,4,FALSE)&amp;$BK106,坦克属性分配比例,MATCH("部件比例",坦克属性分配比例标头,0),FALSE))*$BL106/VLOOKUP(VLOOKUP($BJ106,坦克个性化设定!$B$18:$E$48,4,FALSE)&amp;$BK106,坦克属性分配比例,MATCH("升星次数",坦克属性分配比例标头,0),FALSE),0)</f>
        <v>624</v>
      </c>
      <c r="BN106" s="103">
        <f ca="1">ROUND(VLOOKUP($BJ106&amp;"初始",$S$3:$AE$63,MATCH(BN$3,$S$3:$AE$3,0),FALSE)+(VLOOKUP($BJ106&amp;"最终",$S$3:$AE$63,MATCH(BN$3,$S$3:$AE$3,0),FALSE)-VLOOKUP($BJ106&amp;"初始",$S$3:$AE$63,MATCH(BN$3,$S$3:$AE$3,0),FALSE))*$BL106/VLOOKUP(VLOOKUP($BJ106,坦克个性化设定!$B$18:$E$48,4,FALSE)&amp;$BK106,坦克属性分配比例,MATCH("升星次数",坦克属性分配比例标头,0),FALSE)*VLOOKUP(VLOOKUP($BJ106,坦克个性化设定!$B$18:$E$48,4,FALSE)&amp;$BK106,坦克属性分配比例,MATCH("升星比例",坦克属性分配比例标头,0),FALSE),0)</f>
        <v>146</v>
      </c>
      <c r="BO106" s="103">
        <f ca="1">ROUND(VLOOKUP($BJ106&amp;"初始",$S$3:$AE$63,MATCH(BO$3,$S$3:$AE$3,0),FALSE)+(VLOOKUP($BJ106&amp;"最终",$S$3:$AE$63,MATCH(BO$3,$S$3:$AE$3,0),FALSE)-VLOOKUP($BJ106&amp;"初始",$S$3:$AE$63,MATCH(BO$3,$S$3:$AE$3,0),FALSE))*$BL106/VLOOKUP(VLOOKUP($BJ106,坦克个性化设定!$B$18:$E$48,4,FALSE)&amp;$BK106,坦克属性分配比例,MATCH("升星次数",坦克属性分配比例标头,0),FALSE)*(VLOOKUP(VLOOKUP($BJ106,坦克个性化设定!$B$18:$E$48,4,FALSE)&amp;$BK106,坦克属性分配比例,MATCH("升星比例",坦克属性分配比例标头,0),FALSE)+VLOOKUP(VLOOKUP($BJ106,坦克个性化设定!$B$18:$E$48,4,FALSE)&amp;$BK106,坦克属性分配比例,MATCH("部件比例",坦克属性分配比例标头,0),FALSE)*$C$3),0)</f>
        <v>329</v>
      </c>
      <c r="BP106" s="103">
        <f ca="1">ROUND(VLOOKUP($BJ106&amp;"初始",$S$3:$AE$63,MATCH(BP$3,$S$3:$AE$3,0),FALSE)+(VLOOKUP($BJ106&amp;"最终",$S$3:$AE$63,MATCH(BP$3,$S$3:$AE$3,0),FALSE)-VLOOKUP($BJ106&amp;"初始",$S$3:$AE$63,MATCH(BP$3,$S$3:$AE$3,0),FALSE))*$BL106/VLOOKUP(VLOOKUP($BJ106,坦克个性化设定!$B$18:$E$48,4,FALSE)&amp;$BK106,坦克属性分配比例,MATCH("升星次数",坦克属性分配比例标头,0),FALSE)*(VLOOKUP(VLOOKUP($BJ106,坦克个性化设定!$B$18:$E$48,4,FALSE)&amp;$BK106,坦克属性分配比例,MATCH("升星比例",坦克属性分配比例标头,0),FALSE)+VLOOKUP(VLOOKUP($BJ106,坦克个性化设定!$B$18:$E$48,4,FALSE)&amp;$BK106,坦克属性分配比例,MATCH("部件比例",坦克属性分配比例标头,0),FALSE)*$C$3),0)</f>
        <v>148</v>
      </c>
      <c r="BQ106" s="103">
        <f ca="1">ROUND(VLOOKUP($BJ106&amp;"初始",$S$3:$AE$63,MATCH(BQ$3,$S$3:$AE$3,0),FALSE)+(VLOOKUP($BJ106&amp;"最终",$S$3:$AE$63,MATCH(BQ$3,$S$3:$AE$3,0),FALSE)-VLOOKUP($BJ106&amp;"初始",$S$3:$AE$63,MATCH(BQ$3,$S$3:$AE$3,0),FALSE))*$BL106/VLOOKUP(VLOOKUP($BJ106,坦克个性化设定!$B$18:$E$48,4,FALSE)&amp;$BK106,坦克属性分配比例,MATCH("升星次数",坦克属性分配比例标头,0),FALSE)*VLOOKUP(VLOOKUP($BJ106,坦克个性化设定!$B$18:$E$48,4,FALSE)&amp;$BK106,坦克属性分配比例,MATCH("升星比例",坦克属性分配比例标头,0),FALSE),0)</f>
        <v>360</v>
      </c>
      <c r="BR106" s="2">
        <f ca="1">ROUND(VLOOKUP($BJ106&amp;"初始",$S$3:$AE$63,MATCH(BR$3,$S$3:$AE$3,0),FALSE)+(VLOOKUP($BJ106&amp;"最终",$S$3:$AE$63,MATCH(BR$3,$S$3:$AE$3,0),FALSE)-VLOOKUP($BJ106&amp;"初始",$S$3:$AE$63,MATCH(BR$3,$S$3:$AE$3,0),FALSE))*$BL106/VLOOKUP(VLOOKUP($BJ106,坦克个性化设定!$B$18:$E$48,4,FALSE)&amp;$BK106,坦克属性分配比例,MATCH("升星次数",坦克属性分配比例标头,0),FALSE),0)</f>
        <v>84</v>
      </c>
      <c r="BS106" s="2">
        <f>ROUND(VLOOKUP($BJ106,$AI$3:$AO$33,MATCH(BS$3,$AI$3:$AO$3,0),FALSE)+$BL106/VLOOKUP(VLOOKUP($BJ106,坦克个性化设定!$B$18:$E$48,4,FALSE)&amp;$BK106,坦克属性分配比例,MATCH("升星次数",坦克属性分配比例标头,0),FALSE)*VLOOKUP($BJ106,$AR$3:$AY$33,MATCH(BS$3,$AR$3:$AY$3,0),FALSE),1)</f>
        <v>44.5</v>
      </c>
      <c r="BT106" s="2">
        <f>ROUND(VLOOKUP($BJ106,$AI$3:$AO$33,MATCH(BT$3,$AI$3:$AO$3,0),FALSE)+$BL106/VLOOKUP(VLOOKUP($BJ106,坦克个性化设定!$B$18:$E$48,4,FALSE)&amp;$BK106,坦克属性分配比例,MATCH("升星次数",坦克属性分配比例标头,0),FALSE)*VLOOKUP($BJ106,$AR$3:$AY$33,MATCH(BT$3,$AR$3:$AY$3,0),FALSE),1)</f>
        <v>40</v>
      </c>
      <c r="BU106" s="2">
        <f>ROUND(VLOOKUP($BJ106,$AI$3:$AO$33,MATCH(BU$3,$AI$3:$AO$3,0),FALSE)+$BL106/VLOOKUP(VLOOKUP($BJ106,坦克个性化设定!$B$18:$E$48,4,FALSE)&amp;$BK106,坦克属性分配比例,MATCH("升星次数",坦克属性分配比例标头,0),FALSE)*VLOOKUP($BJ106,$AR$3:$AY$33,MATCH(BU$3,$AR$3:$AY$3,0),FALSE),1)</f>
        <v>8</v>
      </c>
      <c r="BV106" s="2">
        <f>IF(VLOOKUP(BJ106,坦克个性化设定!$B$18:$BC$48,MATCH("装弹类型",坦克个性化设定!$B$18:$BC$18,0),FALSE)="弹夹换弹",0,ROUND(VLOOKUP($BJ106,$AI$3:$AO$33,MATCH("换弹时间",$AI$3:$AO$3,0),FALSE)-$BL106/VLOOKUP(VLOOKUP($BJ106,坦克个性化设定!$B$18:$E$48,4,FALSE)&amp;$BK106,坦克属性分配比例,MATCH("升星次数",坦克属性分配比例标头,0),FALSE)*VLOOKUP($BJ106,$AR$3:$AY$33,MATCH("换弹时间",$AR$3:$AY$3,0),FALSE),2))</f>
        <v>0</v>
      </c>
      <c r="BW106" s="2">
        <f>IF(VLOOKUP(BJ106,坦克个性化设定!$B$18:$BC$48,MATCH("装弹类型",坦克个性化设定!$B$18:$BC$18,0),FALSE)="弹夹换弹",ROUND(VLOOKUP($BJ106,$AI$3:$AO$33,MATCH("换弹时间",$AI$3:$AO$3,0),FALSE)-$BL106/VLOOKUP(VLOOKUP($BJ106,坦克个性化设定!$B$18:$E$48,4,FALSE)&amp;$BK106,坦克属性分配比例,MATCH("升星次数",坦克属性分配比例标头,0),FALSE)*VLOOKUP($BJ106,$AR$3:$AY$33,MATCH("换弹时间",$AR$3:$AY$3,0),FALSE),1),0)</f>
        <v>3.2</v>
      </c>
      <c r="BX106" s="2">
        <f>ROUND(VLOOKUP($BJ106,$AI$3:$AO$33,MATCH(BX$3,$AI$3:$AO$3,0),FALSE)+$BL106/VLOOKUP(VLOOKUP($BJ106,坦克个性化设定!$B$18:$E$48,4,FALSE)&amp;$BK106,坦克属性分配比例,MATCH("升星次数",坦克属性分配比例标头,0),FALSE)*VLOOKUP($BJ106,$AR$3:$AY$33,MATCH(BX$3,$AR$3:$AY$3,0),FALSE),2)</f>
        <v>0.3</v>
      </c>
      <c r="BY106" s="2">
        <f>ROUND(VLOOKUP($BJ106,$AI$3:$AO$33,MATCH(BY$3,$AI$3:$AO$3,0),FALSE)-$BL106/VLOOKUP(VLOOKUP($BJ106,坦克个性化设定!$B$18:$E$48,4,FALSE)&amp;$BK106,坦克属性分配比例,MATCH("升星次数",坦克属性分配比例标头,0),FALSE)*VLOOKUP($BJ106,$AR$3:$AY$33,MATCH(BY$3,$AR$3:$AY$3,0),FALSE),2)</f>
        <v>1</v>
      </c>
    </row>
    <row r="107" spans="60:77" x14ac:dyDescent="0.3">
      <c r="BH107" s="2" t="str">
        <f t="shared" si="24"/>
        <v>Stuart1</v>
      </c>
      <c r="BI107" s="2">
        <f>IF(BL106&gt;=VLOOKUP(VLOOKUP(BJ106,坦克个性化设定!$B$18:$E$48,4,FALSE)&amp;BK106,坦克属性分配比例,MATCH("升星次数",坦克属性分配比例标头,0),FALSE),BI106+1,BI106)</f>
        <v>11</v>
      </c>
      <c r="BJ107" s="2" t="str">
        <f t="shared" si="25"/>
        <v>Stuart</v>
      </c>
      <c r="BK107" s="29" t="str">
        <f>VLOOKUP(BJ107,坦克个性化细分!$I$3:$J$33,2,FALSE)</f>
        <v>低</v>
      </c>
      <c r="BL107" s="2">
        <f t="shared" si="23"/>
        <v>1</v>
      </c>
      <c r="BM107" s="103">
        <f ca="1">ROUND(VLOOKUP($BJ107&amp;"初始",$S$3:$AE$63,MATCH(BM$3,$S$3:$AE$3,0),FALSE)+((VLOOKUP($BJ107&amp;"最终",$S$3:$AE$63,MATCH(BM$3,$S$3:$AE$3,0),FALSE)*坦克个性化细分!$C$9-VLOOKUP($BJ107&amp;"初始",$S$3:$AE$63,MATCH(BM$3,$S$3:$AE$3,0),FALSE))-(VLOOKUP($BJ107&amp;"最终",$S$3:$AE$63,MATCH(BM$3,$S$3:$AE$3,0),FALSE)-VLOOKUP($BJ107&amp;"初始",$S$3:$AE$63,MATCH(BM$3,$S$3:$AE$3,0),FALSE))*VLOOKUP(VLOOKUP($BJ107,坦克个性化设定!$B$18:$E$48,4,FALSE)&amp;$BK107,坦克属性分配比例,MATCH("部件比例",坦克属性分配比例标头,0),FALSE))*$BL107/VLOOKUP(VLOOKUP($BJ107,坦克个性化设定!$B$18:$E$48,4,FALSE)&amp;$BK107,坦克属性分配比例,MATCH("升星次数",坦克属性分配比例标头,0),FALSE),0)</f>
        <v>721</v>
      </c>
      <c r="BN107" s="103">
        <f ca="1">ROUND(VLOOKUP($BJ107&amp;"初始",$S$3:$AE$63,MATCH(BN$3,$S$3:$AE$3,0),FALSE)+(VLOOKUP($BJ107&amp;"最终",$S$3:$AE$63,MATCH(BN$3,$S$3:$AE$3,0),FALSE)-VLOOKUP($BJ107&amp;"初始",$S$3:$AE$63,MATCH(BN$3,$S$3:$AE$3,0),FALSE))*$BL107/VLOOKUP(VLOOKUP($BJ107,坦克个性化设定!$B$18:$E$48,4,FALSE)&amp;$BK107,坦克属性分配比例,MATCH("升星次数",坦克属性分配比例标头,0),FALSE)*VLOOKUP(VLOOKUP($BJ107,坦克个性化设定!$B$18:$E$48,4,FALSE)&amp;$BK107,坦克属性分配比例,MATCH("升星比例",坦克属性分配比例标头,0),FALSE),0)</f>
        <v>152</v>
      </c>
      <c r="BO107" s="103">
        <f ca="1">ROUND(VLOOKUP($BJ107&amp;"初始",$S$3:$AE$63,MATCH(BO$3,$S$3:$AE$3,0),FALSE)+(VLOOKUP($BJ107&amp;"最终",$S$3:$AE$63,MATCH(BO$3,$S$3:$AE$3,0),FALSE)-VLOOKUP($BJ107&amp;"初始",$S$3:$AE$63,MATCH(BO$3,$S$3:$AE$3,0),FALSE))*$BL107/VLOOKUP(VLOOKUP($BJ107,坦克个性化设定!$B$18:$E$48,4,FALSE)&amp;$BK107,坦克属性分配比例,MATCH("升星次数",坦克属性分配比例标头,0),FALSE)*(VLOOKUP(VLOOKUP($BJ107,坦克个性化设定!$B$18:$E$48,4,FALSE)&amp;$BK107,坦克属性分配比例,MATCH("升星比例",坦克属性分配比例标头,0),FALSE)+VLOOKUP(VLOOKUP($BJ107,坦克个性化设定!$B$18:$E$48,4,FALSE)&amp;$BK107,坦克属性分配比例,MATCH("部件比例",坦克属性分配比例标头,0),FALSE)*$C$3),0)</f>
        <v>346</v>
      </c>
      <c r="BP107" s="103">
        <f ca="1">ROUND(VLOOKUP($BJ107&amp;"初始",$S$3:$AE$63,MATCH(BP$3,$S$3:$AE$3,0),FALSE)+(VLOOKUP($BJ107&amp;"最终",$S$3:$AE$63,MATCH(BP$3,$S$3:$AE$3,0),FALSE)-VLOOKUP($BJ107&amp;"初始",$S$3:$AE$63,MATCH(BP$3,$S$3:$AE$3,0),FALSE))*$BL107/VLOOKUP(VLOOKUP($BJ107,坦克个性化设定!$B$18:$E$48,4,FALSE)&amp;$BK107,坦克属性分配比例,MATCH("升星次数",坦克属性分配比例标头,0),FALSE)*(VLOOKUP(VLOOKUP($BJ107,坦克个性化设定!$B$18:$E$48,4,FALSE)&amp;$BK107,坦克属性分配比例,MATCH("升星比例",坦克属性分配比例标头,0),FALSE)+VLOOKUP(VLOOKUP($BJ107,坦克个性化设定!$B$18:$E$48,4,FALSE)&amp;$BK107,坦克属性分配比例,MATCH("部件比例",坦克属性分配比例标头,0),FALSE)*$C$3),0)</f>
        <v>156</v>
      </c>
      <c r="BQ107" s="103">
        <f ca="1">ROUND(VLOOKUP($BJ107&amp;"初始",$S$3:$AE$63,MATCH(BQ$3,$S$3:$AE$3,0),FALSE)+(VLOOKUP($BJ107&amp;"最终",$S$3:$AE$63,MATCH(BQ$3,$S$3:$AE$3,0),FALSE)-VLOOKUP($BJ107&amp;"初始",$S$3:$AE$63,MATCH(BQ$3,$S$3:$AE$3,0),FALSE))*$BL107/VLOOKUP(VLOOKUP($BJ107,坦克个性化设定!$B$18:$E$48,4,FALSE)&amp;$BK107,坦克属性分配比例,MATCH("升星次数",坦克属性分配比例标头,0),FALSE)*VLOOKUP(VLOOKUP($BJ107,坦克个性化设定!$B$18:$E$48,4,FALSE)&amp;$BK107,坦克属性分配比例,MATCH("升星比例",坦克属性分配比例标头,0),FALSE),0)</f>
        <v>375</v>
      </c>
      <c r="BR107" s="2">
        <f ca="1">ROUND(VLOOKUP($BJ107&amp;"初始",$S$3:$AE$63,MATCH(BR$3,$S$3:$AE$3,0),FALSE)+(VLOOKUP($BJ107&amp;"最终",$S$3:$AE$63,MATCH(BR$3,$S$3:$AE$3,0),FALSE)-VLOOKUP($BJ107&amp;"初始",$S$3:$AE$63,MATCH(BR$3,$S$3:$AE$3,0),FALSE))*$BL107/VLOOKUP(VLOOKUP($BJ107,坦克个性化设定!$B$18:$E$48,4,FALSE)&amp;$BK107,坦克属性分配比例,MATCH("升星次数",坦克属性分配比例标头,0),FALSE),0)</f>
        <v>89</v>
      </c>
      <c r="BS107" s="2">
        <f>ROUND(VLOOKUP($BJ107,$AI$3:$AO$33,MATCH(BS$3,$AI$3:$AO$3,0),FALSE)+$BL107/VLOOKUP(VLOOKUP($BJ107,坦克个性化设定!$B$18:$E$48,4,FALSE)&amp;$BK107,坦克属性分配比例,MATCH("升星次数",坦克属性分配比例标头,0),FALSE)*VLOOKUP($BJ107,$AR$3:$AY$33,MATCH(BS$3,$AR$3:$AY$3,0),FALSE),1)</f>
        <v>46.7</v>
      </c>
      <c r="BT107" s="2">
        <f>ROUND(VLOOKUP($BJ107,$AI$3:$AO$33,MATCH(BT$3,$AI$3:$AO$3,0),FALSE)+$BL107/VLOOKUP(VLOOKUP($BJ107,坦克个性化设定!$B$18:$E$48,4,FALSE)&amp;$BK107,坦克属性分配比例,MATCH("升星次数",坦克属性分配比例标头,0),FALSE)*VLOOKUP($BJ107,$AR$3:$AY$33,MATCH(BT$3,$AR$3:$AY$3,0),FALSE),1)</f>
        <v>42</v>
      </c>
      <c r="BU107" s="2">
        <f>ROUND(VLOOKUP($BJ107,$AI$3:$AO$33,MATCH(BU$3,$AI$3:$AO$3,0),FALSE)+$BL107/VLOOKUP(VLOOKUP($BJ107,坦克个性化设定!$B$18:$E$48,4,FALSE)&amp;$BK107,坦克属性分配比例,MATCH("升星次数",坦克属性分配比例标头,0),FALSE)*VLOOKUP($BJ107,$AR$3:$AY$33,MATCH(BU$3,$AR$3:$AY$3,0),FALSE),1)</f>
        <v>8</v>
      </c>
      <c r="BV107" s="2">
        <f>IF(VLOOKUP(BJ107,坦克个性化设定!$B$18:$BC$48,MATCH("装弹类型",坦克个性化设定!$B$18:$BC$18,0),FALSE)="弹夹换弹",0,ROUND(VLOOKUP($BJ107,$AI$3:$AO$33,MATCH("换弹时间",$AI$3:$AO$3,0),FALSE)-$BL107/VLOOKUP(VLOOKUP($BJ107,坦克个性化设定!$B$18:$E$48,4,FALSE)&amp;$BK107,坦克属性分配比例,MATCH("升星次数",坦克属性分配比例标头,0),FALSE)*VLOOKUP($BJ107,$AR$3:$AY$33,MATCH("换弹时间",$AR$3:$AY$3,0),FALSE),2))</f>
        <v>0</v>
      </c>
      <c r="BW107" s="2">
        <f>IF(VLOOKUP(BJ107,坦克个性化设定!$B$18:$BC$48,MATCH("装弹类型",坦克个性化设定!$B$18:$BC$18,0),FALSE)="弹夹换弹",ROUND(VLOOKUP($BJ107,$AI$3:$AO$33,MATCH("换弹时间",$AI$3:$AO$3,0),FALSE)-$BL107/VLOOKUP(VLOOKUP($BJ107,坦克个性化设定!$B$18:$E$48,4,FALSE)&amp;$BK107,坦克属性分配比例,MATCH("升星次数",坦克属性分配比例标头,0),FALSE)*VLOOKUP($BJ107,$AR$3:$AY$33,MATCH("换弹时间",$AR$3:$AY$3,0),FALSE),1),0)</f>
        <v>3.1</v>
      </c>
      <c r="BX107" s="2">
        <f>ROUND(VLOOKUP($BJ107,$AI$3:$AO$33,MATCH(BX$3,$AI$3:$AO$3,0),FALSE)+$BL107/VLOOKUP(VLOOKUP($BJ107,坦克个性化设定!$B$18:$E$48,4,FALSE)&amp;$BK107,坦克属性分配比例,MATCH("升星次数",坦克属性分配比例标头,0),FALSE)*VLOOKUP($BJ107,$AR$3:$AY$33,MATCH(BX$3,$AR$3:$AY$3,0),FALSE),2)</f>
        <v>0.3</v>
      </c>
      <c r="BY107" s="2">
        <f>ROUND(VLOOKUP($BJ107,$AI$3:$AO$33,MATCH(BY$3,$AI$3:$AO$3,0),FALSE)-$BL107/VLOOKUP(VLOOKUP($BJ107,坦克个性化设定!$B$18:$E$48,4,FALSE)&amp;$BK107,坦克属性分配比例,MATCH("升星次数",坦克属性分配比例标头,0),FALSE)*VLOOKUP($BJ107,$AR$3:$AY$33,MATCH(BY$3,$AR$3:$AY$3,0),FALSE),2)</f>
        <v>0.97</v>
      </c>
    </row>
    <row r="108" spans="60:77" x14ac:dyDescent="0.3">
      <c r="BH108" s="2" t="str">
        <f t="shared" si="24"/>
        <v>Stuart2</v>
      </c>
      <c r="BI108" s="2">
        <f>IF(BL107&gt;=VLOOKUP(VLOOKUP(BJ107,坦克个性化设定!$B$18:$E$48,4,FALSE)&amp;BK107,坦克属性分配比例,MATCH("升星次数",坦克属性分配比例标头,0),FALSE),BI107+1,BI107)</f>
        <v>11</v>
      </c>
      <c r="BJ108" s="2" t="str">
        <f t="shared" si="25"/>
        <v>Stuart</v>
      </c>
      <c r="BK108" s="29" t="str">
        <f>VLOOKUP(BJ108,坦克个性化细分!$I$3:$J$33,2,FALSE)</f>
        <v>低</v>
      </c>
      <c r="BL108" s="2">
        <f t="shared" si="23"/>
        <v>2</v>
      </c>
      <c r="BM108" s="103">
        <f ca="1">ROUND(VLOOKUP($BJ108&amp;"初始",$S$3:$AE$63,MATCH(BM$3,$S$3:$AE$3,0),FALSE)+((VLOOKUP($BJ108&amp;"最终",$S$3:$AE$63,MATCH(BM$3,$S$3:$AE$3,0),FALSE)*坦克个性化细分!$C$9-VLOOKUP($BJ108&amp;"初始",$S$3:$AE$63,MATCH(BM$3,$S$3:$AE$3,0),FALSE))-(VLOOKUP($BJ108&amp;"最终",$S$3:$AE$63,MATCH(BM$3,$S$3:$AE$3,0),FALSE)-VLOOKUP($BJ108&amp;"初始",$S$3:$AE$63,MATCH(BM$3,$S$3:$AE$3,0),FALSE))*VLOOKUP(VLOOKUP($BJ108,坦克个性化设定!$B$18:$E$48,4,FALSE)&amp;$BK108,坦克属性分配比例,MATCH("部件比例",坦克属性分配比例标头,0),FALSE))*$BL108/VLOOKUP(VLOOKUP($BJ108,坦克个性化设定!$B$18:$E$48,4,FALSE)&amp;$BK108,坦克属性分配比例,MATCH("升星次数",坦克属性分配比例标头,0),FALSE),0)</f>
        <v>817</v>
      </c>
      <c r="BN108" s="103">
        <f ca="1">ROUND(VLOOKUP($BJ108&amp;"初始",$S$3:$AE$63,MATCH(BN$3,$S$3:$AE$3,0),FALSE)+(VLOOKUP($BJ108&amp;"最终",$S$3:$AE$63,MATCH(BN$3,$S$3:$AE$3,0),FALSE)-VLOOKUP($BJ108&amp;"初始",$S$3:$AE$63,MATCH(BN$3,$S$3:$AE$3,0),FALSE))*$BL108/VLOOKUP(VLOOKUP($BJ108,坦克个性化设定!$B$18:$E$48,4,FALSE)&amp;$BK108,坦克属性分配比例,MATCH("升星次数",坦克属性分配比例标头,0),FALSE)*VLOOKUP(VLOOKUP($BJ108,坦克个性化设定!$B$18:$E$48,4,FALSE)&amp;$BK108,坦克属性分配比例,MATCH("升星比例",坦克属性分配比例标头,0),FALSE),0)</f>
        <v>158</v>
      </c>
      <c r="BO108" s="103">
        <f ca="1">ROUND(VLOOKUP($BJ108&amp;"初始",$S$3:$AE$63,MATCH(BO$3,$S$3:$AE$3,0),FALSE)+(VLOOKUP($BJ108&amp;"最终",$S$3:$AE$63,MATCH(BO$3,$S$3:$AE$3,0),FALSE)-VLOOKUP($BJ108&amp;"初始",$S$3:$AE$63,MATCH(BO$3,$S$3:$AE$3,0),FALSE))*$BL108/VLOOKUP(VLOOKUP($BJ108,坦克个性化设定!$B$18:$E$48,4,FALSE)&amp;$BK108,坦克属性分配比例,MATCH("升星次数",坦克属性分配比例标头,0),FALSE)*(VLOOKUP(VLOOKUP($BJ108,坦克个性化设定!$B$18:$E$48,4,FALSE)&amp;$BK108,坦克属性分配比例,MATCH("升星比例",坦克属性分配比例标头,0),FALSE)+VLOOKUP(VLOOKUP($BJ108,坦克个性化设定!$B$18:$E$48,4,FALSE)&amp;$BK108,坦克属性分配比例,MATCH("部件比例",坦克属性分配比例标头,0),FALSE)*$C$3),0)</f>
        <v>363</v>
      </c>
      <c r="BP108" s="103">
        <f ca="1">ROUND(VLOOKUP($BJ108&amp;"初始",$S$3:$AE$63,MATCH(BP$3,$S$3:$AE$3,0),FALSE)+(VLOOKUP($BJ108&amp;"最终",$S$3:$AE$63,MATCH(BP$3,$S$3:$AE$3,0),FALSE)-VLOOKUP($BJ108&amp;"初始",$S$3:$AE$63,MATCH(BP$3,$S$3:$AE$3,0),FALSE))*$BL108/VLOOKUP(VLOOKUP($BJ108,坦克个性化设定!$B$18:$E$48,4,FALSE)&amp;$BK108,坦克属性分配比例,MATCH("升星次数",坦克属性分配比例标头,0),FALSE)*(VLOOKUP(VLOOKUP($BJ108,坦克个性化设定!$B$18:$E$48,4,FALSE)&amp;$BK108,坦克属性分配比例,MATCH("升星比例",坦克属性分配比例标头,0),FALSE)+VLOOKUP(VLOOKUP($BJ108,坦克个性化设定!$B$18:$E$48,4,FALSE)&amp;$BK108,坦克属性分配比例,MATCH("部件比例",坦克属性分配比例标头,0),FALSE)*$C$3),0)</f>
        <v>163</v>
      </c>
      <c r="BQ108" s="103">
        <f ca="1">ROUND(VLOOKUP($BJ108&amp;"初始",$S$3:$AE$63,MATCH(BQ$3,$S$3:$AE$3,0),FALSE)+(VLOOKUP($BJ108&amp;"最终",$S$3:$AE$63,MATCH(BQ$3,$S$3:$AE$3,0),FALSE)-VLOOKUP($BJ108&amp;"初始",$S$3:$AE$63,MATCH(BQ$3,$S$3:$AE$3,0),FALSE))*$BL108/VLOOKUP(VLOOKUP($BJ108,坦克个性化设定!$B$18:$E$48,4,FALSE)&amp;$BK108,坦克属性分配比例,MATCH("升星次数",坦克属性分配比例标头,0),FALSE)*VLOOKUP(VLOOKUP($BJ108,坦克个性化设定!$B$18:$E$48,4,FALSE)&amp;$BK108,坦克属性分配比例,MATCH("升星比例",坦克属性分配比例标头,0),FALSE),0)</f>
        <v>390</v>
      </c>
      <c r="BR108" s="2">
        <f ca="1">ROUND(VLOOKUP($BJ108&amp;"初始",$S$3:$AE$63,MATCH(BR$3,$S$3:$AE$3,0),FALSE)+(VLOOKUP($BJ108&amp;"最终",$S$3:$AE$63,MATCH(BR$3,$S$3:$AE$3,0),FALSE)-VLOOKUP($BJ108&amp;"初始",$S$3:$AE$63,MATCH(BR$3,$S$3:$AE$3,0),FALSE))*$BL108/VLOOKUP(VLOOKUP($BJ108,坦克个性化设定!$B$18:$E$48,4,FALSE)&amp;$BK108,坦克属性分配比例,MATCH("升星次数",坦克属性分配比例标头,0),FALSE),0)</f>
        <v>94</v>
      </c>
      <c r="BS108" s="2">
        <f>ROUND(VLOOKUP($BJ108,$AI$3:$AO$33,MATCH(BS$3,$AI$3:$AO$3,0),FALSE)+$BL108/VLOOKUP(VLOOKUP($BJ108,坦克个性化设定!$B$18:$E$48,4,FALSE)&amp;$BK108,坦克属性分配比例,MATCH("升星次数",坦克属性分配比例标头,0),FALSE)*VLOOKUP($BJ108,$AR$3:$AY$33,MATCH(BS$3,$AR$3:$AY$3,0),FALSE),1)</f>
        <v>49</v>
      </c>
      <c r="BT108" s="2">
        <f>ROUND(VLOOKUP($BJ108,$AI$3:$AO$33,MATCH(BT$3,$AI$3:$AO$3,0),FALSE)+$BL108/VLOOKUP(VLOOKUP($BJ108,坦克个性化设定!$B$18:$E$48,4,FALSE)&amp;$BK108,坦克属性分配比例,MATCH("升星次数",坦克属性分配比例标头,0),FALSE)*VLOOKUP($BJ108,$AR$3:$AY$33,MATCH(BT$3,$AR$3:$AY$3,0),FALSE),1)</f>
        <v>44</v>
      </c>
      <c r="BU108" s="2">
        <f>ROUND(VLOOKUP($BJ108,$AI$3:$AO$33,MATCH(BU$3,$AI$3:$AO$3,0),FALSE)+$BL108/VLOOKUP(VLOOKUP($BJ108,坦克个性化设定!$B$18:$E$48,4,FALSE)&amp;$BK108,坦克属性分配比例,MATCH("升星次数",坦克属性分配比例标头,0),FALSE)*VLOOKUP($BJ108,$AR$3:$AY$33,MATCH(BU$3,$AR$3:$AY$3,0),FALSE),1)</f>
        <v>8</v>
      </c>
      <c r="BV108" s="2">
        <f>IF(VLOOKUP(BJ108,坦克个性化设定!$B$18:$BC$48,MATCH("装弹类型",坦克个性化设定!$B$18:$BC$18,0),FALSE)="弹夹换弹",0,ROUND(VLOOKUP($BJ108,$AI$3:$AO$33,MATCH("换弹时间",$AI$3:$AO$3,0),FALSE)-$BL108/VLOOKUP(VLOOKUP($BJ108,坦克个性化设定!$B$18:$E$48,4,FALSE)&amp;$BK108,坦克属性分配比例,MATCH("升星次数",坦克属性分配比例标头,0),FALSE)*VLOOKUP($BJ108,$AR$3:$AY$33,MATCH("换弹时间",$AR$3:$AY$3,0),FALSE),2))</f>
        <v>0</v>
      </c>
      <c r="BW108" s="2">
        <f>IF(VLOOKUP(BJ108,坦克个性化设定!$B$18:$BC$48,MATCH("装弹类型",坦克个性化设定!$B$18:$BC$18,0),FALSE)="弹夹换弹",ROUND(VLOOKUP($BJ108,$AI$3:$AO$33,MATCH("换弹时间",$AI$3:$AO$3,0),FALSE)-$BL108/VLOOKUP(VLOOKUP($BJ108,坦克个性化设定!$B$18:$E$48,4,FALSE)&amp;$BK108,坦克属性分配比例,MATCH("升星次数",坦克属性分配比例标头,0),FALSE)*VLOOKUP($BJ108,$AR$3:$AY$33,MATCH("换弹时间",$AR$3:$AY$3,0),FALSE),1),0)</f>
        <v>3</v>
      </c>
      <c r="BX108" s="2">
        <f>ROUND(VLOOKUP($BJ108,$AI$3:$AO$33,MATCH(BX$3,$AI$3:$AO$3,0),FALSE)+$BL108/VLOOKUP(VLOOKUP($BJ108,坦克个性化设定!$B$18:$E$48,4,FALSE)&amp;$BK108,坦克属性分配比例,MATCH("升星次数",坦克属性分配比例标头,0),FALSE)*VLOOKUP($BJ108,$AR$3:$AY$33,MATCH(BX$3,$AR$3:$AY$3,0),FALSE),2)</f>
        <v>0.3</v>
      </c>
      <c r="BY108" s="2">
        <f>ROUND(VLOOKUP($BJ108,$AI$3:$AO$33,MATCH(BY$3,$AI$3:$AO$3,0),FALSE)-$BL108/VLOOKUP(VLOOKUP($BJ108,坦克个性化设定!$B$18:$E$48,4,FALSE)&amp;$BK108,坦克属性分配比例,MATCH("升星次数",坦克属性分配比例标头,0),FALSE)*VLOOKUP($BJ108,$AR$3:$AY$33,MATCH(BY$3,$AR$3:$AY$3,0),FALSE),2)</f>
        <v>0.93</v>
      </c>
    </row>
    <row r="109" spans="60:77" x14ac:dyDescent="0.3">
      <c r="BH109" s="2" t="str">
        <f t="shared" si="24"/>
        <v>Stuart3</v>
      </c>
      <c r="BI109" s="2">
        <f>IF(BL108&gt;=VLOOKUP(VLOOKUP(BJ108,坦克个性化设定!$B$18:$E$48,4,FALSE)&amp;BK108,坦克属性分配比例,MATCH("升星次数",坦克属性分配比例标头,0),FALSE),BI108+1,BI108)</f>
        <v>11</v>
      </c>
      <c r="BJ109" s="2" t="str">
        <f t="shared" si="25"/>
        <v>Stuart</v>
      </c>
      <c r="BK109" s="29" t="str">
        <f>VLOOKUP(BJ109,坦克个性化细分!$I$3:$J$33,2,FALSE)</f>
        <v>低</v>
      </c>
      <c r="BL109" s="2">
        <f t="shared" si="23"/>
        <v>3</v>
      </c>
      <c r="BM109" s="103">
        <f ca="1">ROUND(VLOOKUP($BJ109&amp;"初始",$S$3:$AE$63,MATCH(BM$3,$S$3:$AE$3,0),FALSE)+((VLOOKUP($BJ109&amp;"最终",$S$3:$AE$63,MATCH(BM$3,$S$3:$AE$3,0),FALSE)*坦克个性化细分!$C$9-VLOOKUP($BJ109&amp;"初始",$S$3:$AE$63,MATCH(BM$3,$S$3:$AE$3,0),FALSE))-(VLOOKUP($BJ109&amp;"最终",$S$3:$AE$63,MATCH(BM$3,$S$3:$AE$3,0),FALSE)-VLOOKUP($BJ109&amp;"初始",$S$3:$AE$63,MATCH(BM$3,$S$3:$AE$3,0),FALSE))*VLOOKUP(VLOOKUP($BJ109,坦克个性化设定!$B$18:$E$48,4,FALSE)&amp;$BK109,坦克属性分配比例,MATCH("部件比例",坦克属性分配比例标头,0),FALSE))*$BL109/VLOOKUP(VLOOKUP($BJ109,坦克个性化设定!$B$18:$E$48,4,FALSE)&amp;$BK109,坦克属性分配比例,MATCH("升星次数",坦克属性分配比例标头,0),FALSE),0)</f>
        <v>914</v>
      </c>
      <c r="BN109" s="103">
        <f ca="1">ROUND(VLOOKUP($BJ109&amp;"初始",$S$3:$AE$63,MATCH(BN$3,$S$3:$AE$3,0),FALSE)+(VLOOKUP($BJ109&amp;"最终",$S$3:$AE$63,MATCH(BN$3,$S$3:$AE$3,0),FALSE)-VLOOKUP($BJ109&amp;"初始",$S$3:$AE$63,MATCH(BN$3,$S$3:$AE$3,0),FALSE))*$BL109/VLOOKUP(VLOOKUP($BJ109,坦克个性化设定!$B$18:$E$48,4,FALSE)&amp;$BK109,坦克属性分配比例,MATCH("升星次数",坦克属性分配比例标头,0),FALSE)*VLOOKUP(VLOOKUP($BJ109,坦克个性化设定!$B$18:$E$48,4,FALSE)&amp;$BK109,坦克属性分配比例,MATCH("升星比例",坦克属性分配比例标头,0),FALSE),0)</f>
        <v>164</v>
      </c>
      <c r="BO109" s="103">
        <f ca="1">ROUND(VLOOKUP($BJ109&amp;"初始",$S$3:$AE$63,MATCH(BO$3,$S$3:$AE$3,0),FALSE)+(VLOOKUP($BJ109&amp;"最终",$S$3:$AE$63,MATCH(BO$3,$S$3:$AE$3,0),FALSE)-VLOOKUP($BJ109&amp;"初始",$S$3:$AE$63,MATCH(BO$3,$S$3:$AE$3,0),FALSE))*$BL109/VLOOKUP(VLOOKUP($BJ109,坦克个性化设定!$B$18:$E$48,4,FALSE)&amp;$BK109,坦克属性分配比例,MATCH("升星次数",坦克属性分配比例标头,0),FALSE)*(VLOOKUP(VLOOKUP($BJ109,坦克个性化设定!$B$18:$E$48,4,FALSE)&amp;$BK109,坦克属性分配比例,MATCH("升星比例",坦克属性分配比例标头,0),FALSE)+VLOOKUP(VLOOKUP($BJ109,坦克个性化设定!$B$18:$E$48,4,FALSE)&amp;$BK109,坦克属性分配比例,MATCH("部件比例",坦克属性分配比例标头,0),FALSE)*$C$3),0)</f>
        <v>381</v>
      </c>
      <c r="BP109" s="103">
        <f ca="1">ROUND(VLOOKUP($BJ109&amp;"初始",$S$3:$AE$63,MATCH(BP$3,$S$3:$AE$3,0),FALSE)+(VLOOKUP($BJ109&amp;"最终",$S$3:$AE$63,MATCH(BP$3,$S$3:$AE$3,0),FALSE)-VLOOKUP($BJ109&amp;"初始",$S$3:$AE$63,MATCH(BP$3,$S$3:$AE$3,0),FALSE))*$BL109/VLOOKUP(VLOOKUP($BJ109,坦克个性化设定!$B$18:$E$48,4,FALSE)&amp;$BK109,坦克属性分配比例,MATCH("升星次数",坦克属性分配比例标头,0),FALSE)*(VLOOKUP(VLOOKUP($BJ109,坦克个性化设定!$B$18:$E$48,4,FALSE)&amp;$BK109,坦克属性分配比例,MATCH("升星比例",坦克属性分配比例标头,0),FALSE)+VLOOKUP(VLOOKUP($BJ109,坦克个性化设定!$B$18:$E$48,4,FALSE)&amp;$BK109,坦克属性分配比例,MATCH("部件比例",坦克属性分配比例标头,0),FALSE)*$C$3),0)</f>
        <v>171</v>
      </c>
      <c r="BQ109" s="103">
        <f ca="1">ROUND(VLOOKUP($BJ109&amp;"初始",$S$3:$AE$63,MATCH(BQ$3,$S$3:$AE$3,0),FALSE)+(VLOOKUP($BJ109&amp;"最终",$S$3:$AE$63,MATCH(BQ$3,$S$3:$AE$3,0),FALSE)-VLOOKUP($BJ109&amp;"初始",$S$3:$AE$63,MATCH(BQ$3,$S$3:$AE$3,0),FALSE))*$BL109/VLOOKUP(VLOOKUP($BJ109,坦克个性化设定!$B$18:$E$48,4,FALSE)&amp;$BK109,坦克属性分配比例,MATCH("升星次数",坦克属性分配比例标头,0),FALSE)*VLOOKUP(VLOOKUP($BJ109,坦克个性化设定!$B$18:$E$48,4,FALSE)&amp;$BK109,坦克属性分配比例,MATCH("升星比例",坦克属性分配比例标头,0),FALSE),0)</f>
        <v>405</v>
      </c>
      <c r="BR109" s="2">
        <f ca="1">ROUND(VLOOKUP($BJ109&amp;"初始",$S$3:$AE$63,MATCH(BR$3,$S$3:$AE$3,0),FALSE)+(VLOOKUP($BJ109&amp;"最终",$S$3:$AE$63,MATCH(BR$3,$S$3:$AE$3,0),FALSE)-VLOOKUP($BJ109&amp;"初始",$S$3:$AE$63,MATCH(BR$3,$S$3:$AE$3,0),FALSE))*$BL109/VLOOKUP(VLOOKUP($BJ109,坦克个性化设定!$B$18:$E$48,4,FALSE)&amp;$BK109,坦克属性分配比例,MATCH("升星次数",坦克属性分配比例标头,0),FALSE),0)</f>
        <v>100</v>
      </c>
      <c r="BS109" s="2">
        <f>ROUND(VLOOKUP($BJ109,$AI$3:$AO$33,MATCH(BS$3,$AI$3:$AO$3,0),FALSE)+$BL109/VLOOKUP(VLOOKUP($BJ109,坦克个性化设定!$B$18:$E$48,4,FALSE)&amp;$BK109,坦克属性分配比例,MATCH("升星次数",坦克属性分配比例标头,0),FALSE)*VLOOKUP($BJ109,$AR$3:$AY$33,MATCH(BS$3,$AR$3:$AY$3,0),FALSE),1)</f>
        <v>51.2</v>
      </c>
      <c r="BT109" s="2">
        <f>ROUND(VLOOKUP($BJ109,$AI$3:$AO$33,MATCH(BT$3,$AI$3:$AO$3,0),FALSE)+$BL109/VLOOKUP(VLOOKUP($BJ109,坦克个性化设定!$B$18:$E$48,4,FALSE)&amp;$BK109,坦克属性分配比例,MATCH("升星次数",坦克属性分配比例标头,0),FALSE)*VLOOKUP($BJ109,$AR$3:$AY$33,MATCH(BT$3,$AR$3:$AY$3,0),FALSE),1)</f>
        <v>46</v>
      </c>
      <c r="BU109" s="2">
        <f>ROUND(VLOOKUP($BJ109,$AI$3:$AO$33,MATCH(BU$3,$AI$3:$AO$3,0),FALSE)+$BL109/VLOOKUP(VLOOKUP($BJ109,坦克个性化设定!$B$18:$E$48,4,FALSE)&amp;$BK109,坦克属性分配比例,MATCH("升星次数",坦克属性分配比例标头,0),FALSE)*VLOOKUP($BJ109,$AR$3:$AY$33,MATCH(BU$3,$AR$3:$AY$3,0),FALSE),1)</f>
        <v>8</v>
      </c>
      <c r="BV109" s="2">
        <f>IF(VLOOKUP(BJ109,坦克个性化设定!$B$18:$BC$48,MATCH("装弹类型",坦克个性化设定!$B$18:$BC$18,0),FALSE)="弹夹换弹",0,ROUND(VLOOKUP($BJ109,$AI$3:$AO$33,MATCH("换弹时间",$AI$3:$AO$3,0),FALSE)-$BL109/VLOOKUP(VLOOKUP($BJ109,坦克个性化设定!$B$18:$E$48,4,FALSE)&amp;$BK109,坦克属性分配比例,MATCH("升星次数",坦克属性分配比例标头,0),FALSE)*VLOOKUP($BJ109,$AR$3:$AY$33,MATCH("换弹时间",$AR$3:$AY$3,0),FALSE),2))</f>
        <v>0</v>
      </c>
      <c r="BW109" s="2">
        <f>IF(VLOOKUP(BJ109,坦克个性化设定!$B$18:$BC$48,MATCH("装弹类型",坦克个性化设定!$B$18:$BC$18,0),FALSE)="弹夹换弹",ROUND(VLOOKUP($BJ109,$AI$3:$AO$33,MATCH("换弹时间",$AI$3:$AO$3,0),FALSE)-$BL109/VLOOKUP(VLOOKUP($BJ109,坦克个性化设定!$B$18:$E$48,4,FALSE)&amp;$BK109,坦克属性分配比例,MATCH("升星次数",坦克属性分配比例标头,0),FALSE)*VLOOKUP($BJ109,$AR$3:$AY$33,MATCH("换弹时间",$AR$3:$AY$3,0),FALSE),1),0)</f>
        <v>2.9</v>
      </c>
      <c r="BX109" s="2">
        <f>ROUND(VLOOKUP($BJ109,$AI$3:$AO$33,MATCH(BX$3,$AI$3:$AO$3,0),FALSE)+$BL109/VLOOKUP(VLOOKUP($BJ109,坦克个性化设定!$B$18:$E$48,4,FALSE)&amp;$BK109,坦克属性分配比例,MATCH("升星次数",坦克属性分配比例标头,0),FALSE)*VLOOKUP($BJ109,$AR$3:$AY$33,MATCH(BX$3,$AR$3:$AY$3,0),FALSE),2)</f>
        <v>0.3</v>
      </c>
      <c r="BY109" s="2">
        <f>ROUND(VLOOKUP($BJ109,$AI$3:$AO$33,MATCH(BY$3,$AI$3:$AO$3,0),FALSE)-$BL109/VLOOKUP(VLOOKUP($BJ109,坦克个性化设定!$B$18:$E$48,4,FALSE)&amp;$BK109,坦克属性分配比例,MATCH("升星次数",坦克属性分配比例标头,0),FALSE)*VLOOKUP($BJ109,$AR$3:$AY$33,MATCH(BY$3,$AR$3:$AY$3,0),FALSE),2)</f>
        <v>0.9</v>
      </c>
    </row>
    <row r="110" spans="60:77" x14ac:dyDescent="0.3">
      <c r="BH110" s="2" t="str">
        <f t="shared" si="24"/>
        <v>Stuart4</v>
      </c>
      <c r="BI110" s="2">
        <f>IF(BL109&gt;=VLOOKUP(VLOOKUP(BJ109,坦克个性化设定!$B$18:$E$48,4,FALSE)&amp;BK109,坦克属性分配比例,MATCH("升星次数",坦克属性分配比例标头,0),FALSE),BI109+1,BI109)</f>
        <v>11</v>
      </c>
      <c r="BJ110" s="2" t="str">
        <f t="shared" si="25"/>
        <v>Stuart</v>
      </c>
      <c r="BK110" s="29" t="str">
        <f>VLOOKUP(BJ110,坦克个性化细分!$I$3:$J$33,2,FALSE)</f>
        <v>低</v>
      </c>
      <c r="BL110" s="2">
        <f t="shared" si="23"/>
        <v>4</v>
      </c>
      <c r="BM110" s="103">
        <f ca="1">ROUND(VLOOKUP($BJ110&amp;"初始",$S$3:$AE$63,MATCH(BM$3,$S$3:$AE$3,0),FALSE)+((VLOOKUP($BJ110&amp;"最终",$S$3:$AE$63,MATCH(BM$3,$S$3:$AE$3,0),FALSE)*坦克个性化细分!$C$9-VLOOKUP($BJ110&amp;"初始",$S$3:$AE$63,MATCH(BM$3,$S$3:$AE$3,0),FALSE))-(VLOOKUP($BJ110&amp;"最终",$S$3:$AE$63,MATCH(BM$3,$S$3:$AE$3,0),FALSE)-VLOOKUP($BJ110&amp;"初始",$S$3:$AE$63,MATCH(BM$3,$S$3:$AE$3,0),FALSE))*VLOOKUP(VLOOKUP($BJ110,坦克个性化设定!$B$18:$E$48,4,FALSE)&amp;$BK110,坦克属性分配比例,MATCH("部件比例",坦克属性分配比例标头,0),FALSE))*$BL110/VLOOKUP(VLOOKUP($BJ110,坦克个性化设定!$B$18:$E$48,4,FALSE)&amp;$BK110,坦克属性分配比例,MATCH("升星次数",坦克属性分配比例标头,0),FALSE),0)</f>
        <v>1011</v>
      </c>
      <c r="BN110" s="103">
        <f ca="1">ROUND(VLOOKUP($BJ110&amp;"初始",$S$3:$AE$63,MATCH(BN$3,$S$3:$AE$3,0),FALSE)+(VLOOKUP($BJ110&amp;"最终",$S$3:$AE$63,MATCH(BN$3,$S$3:$AE$3,0),FALSE)-VLOOKUP($BJ110&amp;"初始",$S$3:$AE$63,MATCH(BN$3,$S$3:$AE$3,0),FALSE))*$BL110/VLOOKUP(VLOOKUP($BJ110,坦克个性化设定!$B$18:$E$48,4,FALSE)&amp;$BK110,坦克属性分配比例,MATCH("升星次数",坦克属性分配比例标头,0),FALSE)*VLOOKUP(VLOOKUP($BJ110,坦克个性化设定!$B$18:$E$48,4,FALSE)&amp;$BK110,坦克属性分配比例,MATCH("升星比例",坦克属性分配比例标头,0),FALSE),0)</f>
        <v>170</v>
      </c>
      <c r="BO110" s="103">
        <f ca="1">ROUND(VLOOKUP($BJ110&amp;"初始",$S$3:$AE$63,MATCH(BO$3,$S$3:$AE$3,0),FALSE)+(VLOOKUP($BJ110&amp;"最终",$S$3:$AE$63,MATCH(BO$3,$S$3:$AE$3,0),FALSE)-VLOOKUP($BJ110&amp;"初始",$S$3:$AE$63,MATCH(BO$3,$S$3:$AE$3,0),FALSE))*$BL110/VLOOKUP(VLOOKUP($BJ110,坦克个性化设定!$B$18:$E$48,4,FALSE)&amp;$BK110,坦克属性分配比例,MATCH("升星次数",坦克属性分配比例标头,0),FALSE)*(VLOOKUP(VLOOKUP($BJ110,坦克个性化设定!$B$18:$E$48,4,FALSE)&amp;$BK110,坦克属性分配比例,MATCH("升星比例",坦克属性分配比例标头,0),FALSE)+VLOOKUP(VLOOKUP($BJ110,坦克个性化设定!$B$18:$E$48,4,FALSE)&amp;$BK110,坦克属性分配比例,MATCH("部件比例",坦克属性分配比例标头,0),FALSE)*$C$3),0)</f>
        <v>398</v>
      </c>
      <c r="BP110" s="103">
        <f ca="1">ROUND(VLOOKUP($BJ110&amp;"初始",$S$3:$AE$63,MATCH(BP$3,$S$3:$AE$3,0),FALSE)+(VLOOKUP($BJ110&amp;"最终",$S$3:$AE$63,MATCH(BP$3,$S$3:$AE$3,0),FALSE)-VLOOKUP($BJ110&amp;"初始",$S$3:$AE$63,MATCH(BP$3,$S$3:$AE$3,0),FALSE))*$BL110/VLOOKUP(VLOOKUP($BJ110,坦克个性化设定!$B$18:$E$48,4,FALSE)&amp;$BK110,坦克属性分配比例,MATCH("升星次数",坦克属性分配比例标头,0),FALSE)*(VLOOKUP(VLOOKUP($BJ110,坦克个性化设定!$B$18:$E$48,4,FALSE)&amp;$BK110,坦克属性分配比例,MATCH("升星比例",坦克属性分配比例标头,0),FALSE)+VLOOKUP(VLOOKUP($BJ110,坦克个性化设定!$B$18:$E$48,4,FALSE)&amp;$BK110,坦克属性分配比例,MATCH("部件比例",坦克属性分配比例标头,0),FALSE)*$C$3),0)</f>
        <v>179</v>
      </c>
      <c r="BQ110" s="103">
        <f ca="1">ROUND(VLOOKUP($BJ110&amp;"初始",$S$3:$AE$63,MATCH(BQ$3,$S$3:$AE$3,0),FALSE)+(VLOOKUP($BJ110&amp;"最终",$S$3:$AE$63,MATCH(BQ$3,$S$3:$AE$3,0),FALSE)-VLOOKUP($BJ110&amp;"初始",$S$3:$AE$63,MATCH(BQ$3,$S$3:$AE$3,0),FALSE))*$BL110/VLOOKUP(VLOOKUP($BJ110,坦克个性化设定!$B$18:$E$48,4,FALSE)&amp;$BK110,坦克属性分配比例,MATCH("升星次数",坦克属性分配比例标头,0),FALSE)*VLOOKUP(VLOOKUP($BJ110,坦克个性化设定!$B$18:$E$48,4,FALSE)&amp;$BK110,坦克属性分配比例,MATCH("升星比例",坦克属性分配比例标头,0),FALSE),0)</f>
        <v>420</v>
      </c>
      <c r="BR110" s="2">
        <f ca="1">ROUND(VLOOKUP($BJ110&amp;"初始",$S$3:$AE$63,MATCH(BR$3,$S$3:$AE$3,0),FALSE)+(VLOOKUP($BJ110&amp;"最终",$S$3:$AE$63,MATCH(BR$3,$S$3:$AE$3,0),FALSE)-VLOOKUP($BJ110&amp;"初始",$S$3:$AE$63,MATCH(BR$3,$S$3:$AE$3,0),FALSE))*$BL110/VLOOKUP(VLOOKUP($BJ110,坦克个性化设定!$B$18:$E$48,4,FALSE)&amp;$BK110,坦克属性分配比例,MATCH("升星次数",坦克属性分配比例标头,0),FALSE),0)</f>
        <v>105</v>
      </c>
      <c r="BS110" s="2">
        <f>ROUND(VLOOKUP($BJ110,$AI$3:$AO$33,MATCH(BS$3,$AI$3:$AO$3,0),FALSE)+$BL110/VLOOKUP(VLOOKUP($BJ110,坦克个性化设定!$B$18:$E$48,4,FALSE)&amp;$BK110,坦克属性分配比例,MATCH("升星次数",坦克属性分配比例标头,0),FALSE)*VLOOKUP($BJ110,$AR$3:$AY$33,MATCH(BS$3,$AR$3:$AY$3,0),FALSE),1)</f>
        <v>53.4</v>
      </c>
      <c r="BT110" s="2">
        <f>ROUND(VLOOKUP($BJ110,$AI$3:$AO$33,MATCH(BT$3,$AI$3:$AO$3,0),FALSE)+$BL110/VLOOKUP(VLOOKUP($BJ110,坦克个性化设定!$B$18:$E$48,4,FALSE)&amp;$BK110,坦克属性分配比例,MATCH("升星次数",坦克属性分配比例标头,0),FALSE)*VLOOKUP($BJ110,$AR$3:$AY$33,MATCH(BT$3,$AR$3:$AY$3,0),FALSE),1)</f>
        <v>48</v>
      </c>
      <c r="BU110" s="2">
        <f>ROUND(VLOOKUP($BJ110,$AI$3:$AO$33,MATCH(BU$3,$AI$3:$AO$3,0),FALSE)+$BL110/VLOOKUP(VLOOKUP($BJ110,坦克个性化设定!$B$18:$E$48,4,FALSE)&amp;$BK110,坦克属性分配比例,MATCH("升星次数",坦克属性分配比例标头,0),FALSE)*VLOOKUP($BJ110,$AR$3:$AY$33,MATCH(BU$3,$AR$3:$AY$3,0),FALSE),1)</f>
        <v>8</v>
      </c>
      <c r="BV110" s="2">
        <f>IF(VLOOKUP(BJ110,坦克个性化设定!$B$18:$BC$48,MATCH("装弹类型",坦克个性化设定!$B$18:$BC$18,0),FALSE)="弹夹换弹",0,ROUND(VLOOKUP($BJ110,$AI$3:$AO$33,MATCH("换弹时间",$AI$3:$AO$3,0),FALSE)-$BL110/VLOOKUP(VLOOKUP($BJ110,坦克个性化设定!$B$18:$E$48,4,FALSE)&amp;$BK110,坦克属性分配比例,MATCH("升星次数",坦克属性分配比例标头,0),FALSE)*VLOOKUP($BJ110,$AR$3:$AY$33,MATCH("换弹时间",$AR$3:$AY$3,0),FALSE),2))</f>
        <v>0</v>
      </c>
      <c r="BW110" s="2">
        <f>IF(VLOOKUP(BJ110,坦克个性化设定!$B$18:$BC$48,MATCH("装弹类型",坦克个性化设定!$B$18:$BC$18,0),FALSE)="弹夹换弹",ROUND(VLOOKUP($BJ110,$AI$3:$AO$33,MATCH("换弹时间",$AI$3:$AO$3,0),FALSE)-$BL110/VLOOKUP(VLOOKUP($BJ110,坦克个性化设定!$B$18:$E$48,4,FALSE)&amp;$BK110,坦克属性分配比例,MATCH("升星次数",坦克属性分配比例标头,0),FALSE)*VLOOKUP($BJ110,$AR$3:$AY$33,MATCH("换弹时间",$AR$3:$AY$3,0),FALSE),1),0)</f>
        <v>2.7</v>
      </c>
      <c r="BX110" s="2">
        <f>ROUND(VLOOKUP($BJ110,$AI$3:$AO$33,MATCH(BX$3,$AI$3:$AO$3,0),FALSE)+$BL110/VLOOKUP(VLOOKUP($BJ110,坦克个性化设定!$B$18:$E$48,4,FALSE)&amp;$BK110,坦克属性分配比例,MATCH("升星次数",坦克属性分配比例标头,0),FALSE)*VLOOKUP($BJ110,$AR$3:$AY$33,MATCH(BX$3,$AR$3:$AY$3,0),FALSE),2)</f>
        <v>0.3</v>
      </c>
      <c r="BY110" s="2">
        <f>ROUND(VLOOKUP($BJ110,$AI$3:$AO$33,MATCH(BY$3,$AI$3:$AO$3,0),FALSE)-$BL110/VLOOKUP(VLOOKUP($BJ110,坦克个性化设定!$B$18:$E$48,4,FALSE)&amp;$BK110,坦克属性分配比例,MATCH("升星次数",坦克属性分配比例标头,0),FALSE)*VLOOKUP($BJ110,$AR$3:$AY$33,MATCH(BY$3,$AR$3:$AY$3,0),FALSE),2)</f>
        <v>0.87</v>
      </c>
    </row>
    <row r="111" spans="60:77" x14ac:dyDescent="0.3">
      <c r="BH111" s="2" t="str">
        <f t="shared" si="24"/>
        <v>Stuart5</v>
      </c>
      <c r="BI111" s="2">
        <f>IF(BL110&gt;=VLOOKUP(VLOOKUP(BJ110,坦克个性化设定!$B$18:$E$48,4,FALSE)&amp;BK110,坦克属性分配比例,MATCH("升星次数",坦克属性分配比例标头,0),FALSE),BI110+1,BI110)</f>
        <v>11</v>
      </c>
      <c r="BJ111" s="2" t="str">
        <f t="shared" si="25"/>
        <v>Stuart</v>
      </c>
      <c r="BK111" s="29" t="str">
        <f>VLOOKUP(BJ111,坦克个性化细分!$I$3:$J$33,2,FALSE)</f>
        <v>低</v>
      </c>
      <c r="BL111" s="2">
        <f t="shared" si="23"/>
        <v>5</v>
      </c>
      <c r="BM111" s="103">
        <f ca="1">ROUND(VLOOKUP($BJ111&amp;"初始",$S$3:$AE$63,MATCH(BM$3,$S$3:$AE$3,0),FALSE)+((VLOOKUP($BJ111&amp;"最终",$S$3:$AE$63,MATCH(BM$3,$S$3:$AE$3,0),FALSE)*坦克个性化细分!$C$9-VLOOKUP($BJ111&amp;"初始",$S$3:$AE$63,MATCH(BM$3,$S$3:$AE$3,0),FALSE))-(VLOOKUP($BJ111&amp;"最终",$S$3:$AE$63,MATCH(BM$3,$S$3:$AE$3,0),FALSE)-VLOOKUP($BJ111&amp;"初始",$S$3:$AE$63,MATCH(BM$3,$S$3:$AE$3,0),FALSE))*VLOOKUP(VLOOKUP($BJ111,坦克个性化设定!$B$18:$E$48,4,FALSE)&amp;$BK111,坦克属性分配比例,MATCH("部件比例",坦克属性分配比例标头,0),FALSE))*$BL111/VLOOKUP(VLOOKUP($BJ111,坦克个性化设定!$B$18:$E$48,4,FALSE)&amp;$BK111,坦克属性分配比例,MATCH("升星次数",坦克属性分配比例标头,0),FALSE),0)</f>
        <v>1107</v>
      </c>
      <c r="BN111" s="103">
        <f ca="1">ROUND(VLOOKUP($BJ111&amp;"初始",$S$3:$AE$63,MATCH(BN$3,$S$3:$AE$3,0),FALSE)+(VLOOKUP($BJ111&amp;"最终",$S$3:$AE$63,MATCH(BN$3,$S$3:$AE$3,0),FALSE)-VLOOKUP($BJ111&amp;"初始",$S$3:$AE$63,MATCH(BN$3,$S$3:$AE$3,0),FALSE))*$BL111/VLOOKUP(VLOOKUP($BJ111,坦克个性化设定!$B$18:$E$48,4,FALSE)&amp;$BK111,坦克属性分配比例,MATCH("升星次数",坦克属性分配比例标头,0),FALSE)*VLOOKUP(VLOOKUP($BJ111,坦克个性化设定!$B$18:$E$48,4,FALSE)&amp;$BK111,坦克属性分配比例,MATCH("升星比例",坦克属性分配比例标头,0),FALSE),0)</f>
        <v>176</v>
      </c>
      <c r="BO111" s="103">
        <f ca="1">ROUND(VLOOKUP($BJ111&amp;"初始",$S$3:$AE$63,MATCH(BO$3,$S$3:$AE$3,0),FALSE)+(VLOOKUP($BJ111&amp;"最终",$S$3:$AE$63,MATCH(BO$3,$S$3:$AE$3,0),FALSE)-VLOOKUP($BJ111&amp;"初始",$S$3:$AE$63,MATCH(BO$3,$S$3:$AE$3,0),FALSE))*$BL111/VLOOKUP(VLOOKUP($BJ111,坦克个性化设定!$B$18:$E$48,4,FALSE)&amp;$BK111,坦克属性分配比例,MATCH("升星次数",坦克属性分配比例标头,0),FALSE)*(VLOOKUP(VLOOKUP($BJ111,坦克个性化设定!$B$18:$E$48,4,FALSE)&amp;$BK111,坦克属性分配比例,MATCH("升星比例",坦克属性分配比例标头,0),FALSE)+VLOOKUP(VLOOKUP($BJ111,坦克个性化设定!$B$18:$E$48,4,FALSE)&amp;$BK111,坦克属性分配比例,MATCH("部件比例",坦克属性分配比例标头,0),FALSE)*$C$3),0)</f>
        <v>415</v>
      </c>
      <c r="BP111" s="103">
        <f ca="1">ROUND(VLOOKUP($BJ111&amp;"初始",$S$3:$AE$63,MATCH(BP$3,$S$3:$AE$3,0),FALSE)+(VLOOKUP($BJ111&amp;"最终",$S$3:$AE$63,MATCH(BP$3,$S$3:$AE$3,0),FALSE)-VLOOKUP($BJ111&amp;"初始",$S$3:$AE$63,MATCH(BP$3,$S$3:$AE$3,0),FALSE))*$BL111/VLOOKUP(VLOOKUP($BJ111,坦克个性化设定!$B$18:$E$48,4,FALSE)&amp;$BK111,坦克属性分配比例,MATCH("升星次数",坦克属性分配比例标头,0),FALSE)*(VLOOKUP(VLOOKUP($BJ111,坦克个性化设定!$B$18:$E$48,4,FALSE)&amp;$BK111,坦克属性分配比例,MATCH("升星比例",坦克属性分配比例标头,0),FALSE)+VLOOKUP(VLOOKUP($BJ111,坦克个性化设定!$B$18:$E$48,4,FALSE)&amp;$BK111,坦克属性分配比例,MATCH("部件比例",坦克属性分配比例标头,0),FALSE)*$C$3),0)</f>
        <v>187</v>
      </c>
      <c r="BQ111" s="103">
        <f ca="1">ROUND(VLOOKUP($BJ111&amp;"初始",$S$3:$AE$63,MATCH(BQ$3,$S$3:$AE$3,0),FALSE)+(VLOOKUP($BJ111&amp;"最终",$S$3:$AE$63,MATCH(BQ$3,$S$3:$AE$3,0),FALSE)-VLOOKUP($BJ111&amp;"初始",$S$3:$AE$63,MATCH(BQ$3,$S$3:$AE$3,0),FALSE))*$BL111/VLOOKUP(VLOOKUP($BJ111,坦克个性化设定!$B$18:$E$48,4,FALSE)&amp;$BK111,坦克属性分配比例,MATCH("升星次数",坦克属性分配比例标头,0),FALSE)*VLOOKUP(VLOOKUP($BJ111,坦克个性化设定!$B$18:$E$48,4,FALSE)&amp;$BK111,坦克属性分配比例,MATCH("升星比例",坦克属性分配比例标头,0),FALSE),0)</f>
        <v>436</v>
      </c>
      <c r="BR111" s="2">
        <f ca="1">ROUND(VLOOKUP($BJ111&amp;"初始",$S$3:$AE$63,MATCH(BR$3,$S$3:$AE$3,0),FALSE)+(VLOOKUP($BJ111&amp;"最终",$S$3:$AE$63,MATCH(BR$3,$S$3:$AE$3,0),FALSE)-VLOOKUP($BJ111&amp;"初始",$S$3:$AE$63,MATCH(BR$3,$S$3:$AE$3,0),FALSE))*$BL111/VLOOKUP(VLOOKUP($BJ111,坦克个性化设定!$B$18:$E$48,4,FALSE)&amp;$BK111,坦克属性分配比例,MATCH("升星次数",坦克属性分配比例标头,0),FALSE),0)</f>
        <v>110</v>
      </c>
      <c r="BS111" s="2">
        <f>ROUND(VLOOKUP($BJ111,$AI$3:$AO$33,MATCH(BS$3,$AI$3:$AO$3,0),FALSE)+$BL111/VLOOKUP(VLOOKUP($BJ111,坦克个性化设定!$B$18:$E$48,4,FALSE)&amp;$BK111,坦克属性分配比例,MATCH("升星次数",坦克属性分配比例标头,0),FALSE)*VLOOKUP($BJ111,$AR$3:$AY$33,MATCH(BS$3,$AR$3:$AY$3,0),FALSE),1)</f>
        <v>55.6</v>
      </c>
      <c r="BT111" s="2">
        <f>ROUND(VLOOKUP($BJ111,$AI$3:$AO$33,MATCH(BT$3,$AI$3:$AO$3,0),FALSE)+$BL111/VLOOKUP(VLOOKUP($BJ111,坦克个性化设定!$B$18:$E$48,4,FALSE)&amp;$BK111,坦克属性分配比例,MATCH("升星次数",坦克属性分配比例标头,0),FALSE)*VLOOKUP($BJ111,$AR$3:$AY$33,MATCH(BT$3,$AR$3:$AY$3,0),FALSE),1)</f>
        <v>50</v>
      </c>
      <c r="BU111" s="2">
        <f>ROUND(VLOOKUP($BJ111,$AI$3:$AO$33,MATCH(BU$3,$AI$3:$AO$3,0),FALSE)+$BL111/VLOOKUP(VLOOKUP($BJ111,坦克个性化设定!$B$18:$E$48,4,FALSE)&amp;$BK111,坦克属性分配比例,MATCH("升星次数",坦克属性分配比例标头,0),FALSE)*VLOOKUP($BJ111,$AR$3:$AY$33,MATCH(BU$3,$AR$3:$AY$3,0),FALSE),1)</f>
        <v>8</v>
      </c>
      <c r="BV111" s="2">
        <f>IF(VLOOKUP(BJ111,坦克个性化设定!$B$18:$BC$48,MATCH("装弹类型",坦克个性化设定!$B$18:$BC$18,0),FALSE)="弹夹换弹",0,ROUND(VLOOKUP($BJ111,$AI$3:$AO$33,MATCH("换弹时间",$AI$3:$AO$3,0),FALSE)-$BL111/VLOOKUP(VLOOKUP($BJ111,坦克个性化设定!$B$18:$E$48,4,FALSE)&amp;$BK111,坦克属性分配比例,MATCH("升星次数",坦克属性分配比例标头,0),FALSE)*VLOOKUP($BJ111,$AR$3:$AY$33,MATCH("换弹时间",$AR$3:$AY$3,0),FALSE),2))</f>
        <v>0</v>
      </c>
      <c r="BW111" s="2">
        <f>IF(VLOOKUP(BJ111,坦克个性化设定!$B$18:$BC$48,MATCH("装弹类型",坦克个性化设定!$B$18:$BC$18,0),FALSE)="弹夹换弹",ROUND(VLOOKUP($BJ111,$AI$3:$AO$33,MATCH("换弹时间",$AI$3:$AO$3,0),FALSE)-$BL111/VLOOKUP(VLOOKUP($BJ111,坦克个性化设定!$B$18:$E$48,4,FALSE)&amp;$BK111,坦克属性分配比例,MATCH("升星次数",坦克属性分配比例标头,0),FALSE)*VLOOKUP($BJ111,$AR$3:$AY$33,MATCH("换弹时间",$AR$3:$AY$3,0),FALSE),1),0)</f>
        <v>2.6</v>
      </c>
      <c r="BX111" s="2">
        <f>ROUND(VLOOKUP($BJ111,$AI$3:$AO$33,MATCH(BX$3,$AI$3:$AO$3,0),FALSE)+$BL111/VLOOKUP(VLOOKUP($BJ111,坦克个性化设定!$B$18:$E$48,4,FALSE)&amp;$BK111,坦克属性分配比例,MATCH("升星次数",坦克属性分配比例标头,0),FALSE)*VLOOKUP($BJ111,$AR$3:$AY$33,MATCH(BX$3,$AR$3:$AY$3,0),FALSE),2)</f>
        <v>0.3</v>
      </c>
      <c r="BY111" s="2">
        <f>ROUND(VLOOKUP($BJ111,$AI$3:$AO$33,MATCH(BY$3,$AI$3:$AO$3,0),FALSE)-$BL111/VLOOKUP(VLOOKUP($BJ111,坦克个性化设定!$B$18:$E$48,4,FALSE)&amp;$BK111,坦克属性分配比例,MATCH("升星次数",坦克属性分配比例标头,0),FALSE)*VLOOKUP($BJ111,$AR$3:$AY$33,MATCH(BY$3,$AR$3:$AY$3,0),FALSE),2)</f>
        <v>0.83</v>
      </c>
    </row>
    <row r="112" spans="60:77" x14ac:dyDescent="0.3">
      <c r="BH112" s="2" t="str">
        <f t="shared" si="24"/>
        <v>T-340</v>
      </c>
      <c r="BI112" s="2">
        <f>IF(BL111&gt;=VLOOKUP(VLOOKUP(BJ111,坦克个性化设定!$B$18:$E$48,4,FALSE)&amp;BK111,坦克属性分配比例,MATCH("升星次数",坦克属性分配比例标头,0),FALSE),BI111+1,BI111)</f>
        <v>12</v>
      </c>
      <c r="BJ112" s="2" t="str">
        <f t="shared" si="25"/>
        <v>T-34</v>
      </c>
      <c r="BK112" s="29" t="str">
        <f>VLOOKUP(BJ112,坦克个性化细分!$I$3:$J$33,2,FALSE)</f>
        <v>低</v>
      </c>
      <c r="BL112" s="2">
        <f t="shared" si="23"/>
        <v>0</v>
      </c>
      <c r="BM112" s="103">
        <f ca="1">ROUND(VLOOKUP($BJ112&amp;"初始",$S$3:$AE$63,MATCH(BM$3,$S$3:$AE$3,0),FALSE)+((VLOOKUP($BJ112&amp;"最终",$S$3:$AE$63,MATCH(BM$3,$S$3:$AE$3,0),FALSE)*坦克个性化细分!$C$9-VLOOKUP($BJ112&amp;"初始",$S$3:$AE$63,MATCH(BM$3,$S$3:$AE$3,0),FALSE))-(VLOOKUP($BJ112&amp;"最终",$S$3:$AE$63,MATCH(BM$3,$S$3:$AE$3,0),FALSE)-VLOOKUP($BJ112&amp;"初始",$S$3:$AE$63,MATCH(BM$3,$S$3:$AE$3,0),FALSE))*VLOOKUP(VLOOKUP($BJ112,坦克个性化设定!$B$18:$E$48,4,FALSE)&amp;$BK112,坦克属性分配比例,MATCH("部件比例",坦克属性分配比例标头,0),FALSE))*$BL112/VLOOKUP(VLOOKUP($BJ112,坦克个性化设定!$B$18:$E$48,4,FALSE)&amp;$BK112,坦克属性分配比例,MATCH("升星次数",坦克属性分配比例标头,0),FALSE),0)</f>
        <v>923</v>
      </c>
      <c r="BN112" s="103">
        <f ca="1">ROUND(VLOOKUP($BJ112&amp;"初始",$S$3:$AE$63,MATCH(BN$3,$S$3:$AE$3,0),FALSE)+(VLOOKUP($BJ112&amp;"最终",$S$3:$AE$63,MATCH(BN$3,$S$3:$AE$3,0),FALSE)-VLOOKUP($BJ112&amp;"初始",$S$3:$AE$63,MATCH(BN$3,$S$3:$AE$3,0),FALSE))*$BL112/VLOOKUP(VLOOKUP($BJ112,坦克个性化设定!$B$18:$E$48,4,FALSE)&amp;$BK112,坦克属性分配比例,MATCH("升星次数",坦克属性分配比例标头,0),FALSE)*VLOOKUP(VLOOKUP($BJ112,坦克个性化设定!$B$18:$E$48,4,FALSE)&amp;$BK112,坦克属性分配比例,MATCH("升星比例",坦克属性分配比例标头,0),FALSE),0)</f>
        <v>143</v>
      </c>
      <c r="BO112" s="103">
        <f ca="1">ROUND(VLOOKUP($BJ112&amp;"初始",$S$3:$AE$63,MATCH(BO$3,$S$3:$AE$3,0),FALSE)+(VLOOKUP($BJ112&amp;"最终",$S$3:$AE$63,MATCH(BO$3,$S$3:$AE$3,0),FALSE)-VLOOKUP($BJ112&amp;"初始",$S$3:$AE$63,MATCH(BO$3,$S$3:$AE$3,0),FALSE))*$BL112/VLOOKUP(VLOOKUP($BJ112,坦克个性化设定!$B$18:$E$48,4,FALSE)&amp;$BK112,坦克属性分配比例,MATCH("升星次数",坦克属性分配比例标头,0),FALSE)*(VLOOKUP(VLOOKUP($BJ112,坦克个性化设定!$B$18:$E$48,4,FALSE)&amp;$BK112,坦克属性分配比例,MATCH("升星比例",坦克属性分配比例标头,0),FALSE)+VLOOKUP(VLOOKUP($BJ112,坦克个性化设定!$B$18:$E$48,4,FALSE)&amp;$BK112,坦克属性分配比例,MATCH("部件比例",坦克属性分配比例标头,0),FALSE)*$C$3),0)</f>
        <v>394</v>
      </c>
      <c r="BP112" s="103">
        <f ca="1">ROUND(VLOOKUP($BJ112&amp;"初始",$S$3:$AE$63,MATCH(BP$3,$S$3:$AE$3,0),FALSE)+(VLOOKUP($BJ112&amp;"最终",$S$3:$AE$63,MATCH(BP$3,$S$3:$AE$3,0),FALSE)-VLOOKUP($BJ112&amp;"初始",$S$3:$AE$63,MATCH(BP$3,$S$3:$AE$3,0),FALSE))*$BL112/VLOOKUP(VLOOKUP($BJ112,坦克个性化设定!$B$18:$E$48,4,FALSE)&amp;$BK112,坦克属性分配比例,MATCH("升星次数",坦克属性分配比例标头,0),FALSE)*(VLOOKUP(VLOOKUP($BJ112,坦克个性化设定!$B$18:$E$48,4,FALSE)&amp;$BK112,坦克属性分配比例,MATCH("升星比例",坦克属性分配比例标头,0),FALSE)+VLOOKUP(VLOOKUP($BJ112,坦克个性化设定!$B$18:$E$48,4,FALSE)&amp;$BK112,坦克属性分配比例,MATCH("部件比例",坦克属性分配比例标头,0),FALSE)*$C$3),0)</f>
        <v>177</v>
      </c>
      <c r="BQ112" s="103">
        <f ca="1">ROUND(VLOOKUP($BJ112&amp;"初始",$S$3:$AE$63,MATCH(BQ$3,$S$3:$AE$3,0),FALSE)+(VLOOKUP($BJ112&amp;"最终",$S$3:$AE$63,MATCH(BQ$3,$S$3:$AE$3,0),FALSE)-VLOOKUP($BJ112&amp;"初始",$S$3:$AE$63,MATCH(BQ$3,$S$3:$AE$3,0),FALSE))*$BL112/VLOOKUP(VLOOKUP($BJ112,坦克个性化设定!$B$18:$E$48,4,FALSE)&amp;$BK112,坦克属性分配比例,MATCH("升星次数",坦克属性分配比例标头,0),FALSE)*VLOOKUP(VLOOKUP($BJ112,坦克个性化设定!$B$18:$E$48,4,FALSE)&amp;$BK112,坦克属性分配比例,MATCH("升星比例",坦克属性分配比例标头,0),FALSE),0)</f>
        <v>432</v>
      </c>
      <c r="BR112" s="2">
        <f ca="1">ROUND(VLOOKUP($BJ112&amp;"初始",$S$3:$AE$63,MATCH(BR$3,$S$3:$AE$3,0),FALSE)+(VLOOKUP($BJ112&amp;"最终",$S$3:$AE$63,MATCH(BR$3,$S$3:$AE$3,0),FALSE)-VLOOKUP($BJ112&amp;"初始",$S$3:$AE$63,MATCH(BR$3,$S$3:$AE$3,0),FALSE))*$BL112/VLOOKUP(VLOOKUP($BJ112,坦克个性化设定!$B$18:$E$48,4,FALSE)&amp;$BK112,坦克属性分配比例,MATCH("升星次数",坦克属性分配比例标头,0),FALSE),0)</f>
        <v>101</v>
      </c>
      <c r="BS112" s="2">
        <f>ROUND(VLOOKUP($BJ112,$AI$3:$AO$33,MATCH(BS$3,$AI$3:$AO$3,0),FALSE)+$BL112/VLOOKUP(VLOOKUP($BJ112,坦克个性化设定!$B$18:$E$48,4,FALSE)&amp;$BK112,坦克属性分配比例,MATCH("升星次数",坦克属性分配比例标头,0),FALSE)*VLOOKUP($BJ112,$AR$3:$AY$33,MATCH(BS$3,$AR$3:$AY$3,0),FALSE),1)</f>
        <v>44.5</v>
      </c>
      <c r="BT112" s="2">
        <f>ROUND(VLOOKUP($BJ112,$AI$3:$AO$33,MATCH(BT$3,$AI$3:$AO$3,0),FALSE)+$BL112/VLOOKUP(VLOOKUP($BJ112,坦克个性化设定!$B$18:$E$48,4,FALSE)&amp;$BK112,坦克属性分配比例,MATCH("升星次数",坦克属性分配比例标头,0),FALSE)*VLOOKUP($BJ112,$AR$3:$AY$33,MATCH(BT$3,$AR$3:$AY$3,0),FALSE),1)</f>
        <v>40</v>
      </c>
      <c r="BU112" s="2">
        <f>ROUND(VLOOKUP($BJ112,$AI$3:$AO$33,MATCH(BU$3,$AI$3:$AO$3,0),FALSE)+$BL112/VLOOKUP(VLOOKUP($BJ112,坦克个性化设定!$B$18:$E$48,4,FALSE)&amp;$BK112,坦克属性分配比例,MATCH("升星次数",坦克属性分配比例标头,0),FALSE)*VLOOKUP($BJ112,$AR$3:$AY$33,MATCH(BU$3,$AR$3:$AY$3,0),FALSE),1)</f>
        <v>8</v>
      </c>
      <c r="BV112" s="2">
        <f>IF(VLOOKUP(BJ112,坦克个性化设定!$B$18:$BC$48,MATCH("装弹类型",坦克个性化设定!$B$18:$BC$18,0),FALSE)="弹夹换弹",0,ROUND(VLOOKUP($BJ112,$AI$3:$AO$33,MATCH("换弹时间",$AI$3:$AO$3,0),FALSE)-$BL112/VLOOKUP(VLOOKUP($BJ112,坦克个性化设定!$B$18:$E$48,4,FALSE)&amp;$BK112,坦克属性分配比例,MATCH("升星次数",坦克属性分配比例标头,0),FALSE)*VLOOKUP($BJ112,$AR$3:$AY$33,MATCH("换弹时间",$AR$3:$AY$3,0),FALSE),2))</f>
        <v>0</v>
      </c>
      <c r="BW112" s="2">
        <f>IF(VLOOKUP(BJ112,坦克个性化设定!$B$18:$BC$48,MATCH("装弹类型",坦克个性化设定!$B$18:$BC$18,0),FALSE)="弹夹换弹",ROUND(VLOOKUP($BJ112,$AI$3:$AO$33,MATCH("换弹时间",$AI$3:$AO$3,0),FALSE)-$BL112/VLOOKUP(VLOOKUP($BJ112,坦克个性化设定!$B$18:$E$48,4,FALSE)&amp;$BK112,坦克属性分配比例,MATCH("升星次数",坦克属性分配比例标头,0),FALSE)*VLOOKUP($BJ112,$AR$3:$AY$33,MATCH("换弹时间",$AR$3:$AY$3,0),FALSE),1),0)</f>
        <v>3.2</v>
      </c>
      <c r="BX112" s="2">
        <f>ROUND(VLOOKUP($BJ112,$AI$3:$AO$33,MATCH(BX$3,$AI$3:$AO$3,0),FALSE)+$BL112/VLOOKUP(VLOOKUP($BJ112,坦克个性化设定!$B$18:$E$48,4,FALSE)&amp;$BK112,坦克属性分配比例,MATCH("升星次数",坦克属性分配比例标头,0),FALSE)*VLOOKUP($BJ112,$AR$3:$AY$33,MATCH(BX$3,$AR$3:$AY$3,0),FALSE),2)</f>
        <v>0.32</v>
      </c>
      <c r="BY112" s="2">
        <f>ROUND(VLOOKUP($BJ112,$AI$3:$AO$33,MATCH(BY$3,$AI$3:$AO$3,0),FALSE)-$BL112/VLOOKUP(VLOOKUP($BJ112,坦克个性化设定!$B$18:$E$48,4,FALSE)&amp;$BK112,坦克属性分配比例,MATCH("升星次数",坦克属性分配比例标头,0),FALSE)*VLOOKUP($BJ112,$AR$3:$AY$33,MATCH(BY$3,$AR$3:$AY$3,0),FALSE),2)</f>
        <v>1.01</v>
      </c>
    </row>
    <row r="113" spans="60:77" x14ac:dyDescent="0.3">
      <c r="BH113" s="2" t="str">
        <f t="shared" si="24"/>
        <v>T-341</v>
      </c>
      <c r="BI113" s="2">
        <f>IF(BL112&gt;=VLOOKUP(VLOOKUP(BJ112,坦克个性化设定!$B$18:$E$48,4,FALSE)&amp;BK112,坦克属性分配比例,MATCH("升星次数",坦克属性分配比例标头,0),FALSE),BI112+1,BI112)</f>
        <v>12</v>
      </c>
      <c r="BJ113" s="2" t="str">
        <f t="shared" si="25"/>
        <v>T-34</v>
      </c>
      <c r="BK113" s="29" t="str">
        <f>VLOOKUP(BJ113,坦克个性化细分!$I$3:$J$33,2,FALSE)</f>
        <v>低</v>
      </c>
      <c r="BL113" s="2">
        <f t="shared" si="23"/>
        <v>1</v>
      </c>
      <c r="BM113" s="103">
        <f ca="1">ROUND(VLOOKUP($BJ113&amp;"初始",$S$3:$AE$63,MATCH(BM$3,$S$3:$AE$3,0),FALSE)+((VLOOKUP($BJ113&amp;"最终",$S$3:$AE$63,MATCH(BM$3,$S$3:$AE$3,0),FALSE)*坦克个性化细分!$C$9-VLOOKUP($BJ113&amp;"初始",$S$3:$AE$63,MATCH(BM$3,$S$3:$AE$3,0),FALSE))-(VLOOKUP($BJ113&amp;"最终",$S$3:$AE$63,MATCH(BM$3,$S$3:$AE$3,0),FALSE)-VLOOKUP($BJ113&amp;"初始",$S$3:$AE$63,MATCH(BM$3,$S$3:$AE$3,0),FALSE))*VLOOKUP(VLOOKUP($BJ113,坦克个性化设定!$B$18:$E$48,4,FALSE)&amp;$BK113,坦克属性分配比例,MATCH("部件比例",坦克属性分配比例标头,0),FALSE))*$BL113/VLOOKUP(VLOOKUP($BJ113,坦克个性化设定!$B$18:$E$48,4,FALSE)&amp;$BK113,坦克属性分配比例,MATCH("升星次数",坦克属性分配比例标头,0),FALSE),0)</f>
        <v>983</v>
      </c>
      <c r="BN113" s="103">
        <f ca="1">ROUND(VLOOKUP($BJ113&amp;"初始",$S$3:$AE$63,MATCH(BN$3,$S$3:$AE$3,0),FALSE)+(VLOOKUP($BJ113&amp;"最终",$S$3:$AE$63,MATCH(BN$3,$S$3:$AE$3,0),FALSE)-VLOOKUP($BJ113&amp;"初始",$S$3:$AE$63,MATCH(BN$3,$S$3:$AE$3,0),FALSE))*$BL113/VLOOKUP(VLOOKUP($BJ113,坦克个性化设定!$B$18:$E$48,4,FALSE)&amp;$BK113,坦克属性分配比例,MATCH("升星次数",坦克属性分配比例标头,0),FALSE)*VLOOKUP(VLOOKUP($BJ113,坦克个性化设定!$B$18:$E$48,4,FALSE)&amp;$BK113,坦克属性分配比例,MATCH("升星比例",坦克属性分配比例标头,0),FALSE),0)</f>
        <v>148</v>
      </c>
      <c r="BO113" s="103">
        <f ca="1">ROUND(VLOOKUP($BJ113&amp;"初始",$S$3:$AE$63,MATCH(BO$3,$S$3:$AE$3,0),FALSE)+(VLOOKUP($BJ113&amp;"最终",$S$3:$AE$63,MATCH(BO$3,$S$3:$AE$3,0),FALSE)-VLOOKUP($BJ113&amp;"初始",$S$3:$AE$63,MATCH(BO$3,$S$3:$AE$3,0),FALSE))*$BL113/VLOOKUP(VLOOKUP($BJ113,坦克个性化设定!$B$18:$E$48,4,FALSE)&amp;$BK113,坦克属性分配比例,MATCH("升星次数",坦克属性分配比例标头,0),FALSE)*(VLOOKUP(VLOOKUP($BJ113,坦克个性化设定!$B$18:$E$48,4,FALSE)&amp;$BK113,坦克属性分配比例,MATCH("升星比例",坦克属性分配比例标头,0),FALSE)+VLOOKUP(VLOOKUP($BJ113,坦克个性化设定!$B$18:$E$48,4,FALSE)&amp;$BK113,坦克属性分配比例,MATCH("部件比例",坦克属性分配比例标头,0),FALSE)*$C$3),0)</f>
        <v>414</v>
      </c>
      <c r="BP113" s="103">
        <f ca="1">ROUND(VLOOKUP($BJ113&amp;"初始",$S$3:$AE$63,MATCH(BP$3,$S$3:$AE$3,0),FALSE)+(VLOOKUP($BJ113&amp;"最终",$S$3:$AE$63,MATCH(BP$3,$S$3:$AE$3,0),FALSE)-VLOOKUP($BJ113&amp;"初始",$S$3:$AE$63,MATCH(BP$3,$S$3:$AE$3,0),FALSE))*$BL113/VLOOKUP(VLOOKUP($BJ113,坦克个性化设定!$B$18:$E$48,4,FALSE)&amp;$BK113,坦克属性分配比例,MATCH("升星次数",坦克属性分配比例标头,0),FALSE)*(VLOOKUP(VLOOKUP($BJ113,坦克个性化设定!$B$18:$E$48,4,FALSE)&amp;$BK113,坦克属性分配比例,MATCH("升星比例",坦克属性分配比例标头,0),FALSE)+VLOOKUP(VLOOKUP($BJ113,坦克个性化设定!$B$18:$E$48,4,FALSE)&amp;$BK113,坦克属性分配比例,MATCH("部件比例",坦克属性分配比例标头,0),FALSE)*$C$3),0)</f>
        <v>186</v>
      </c>
      <c r="BQ113" s="103">
        <f ca="1">ROUND(VLOOKUP($BJ113&amp;"初始",$S$3:$AE$63,MATCH(BQ$3,$S$3:$AE$3,0),FALSE)+(VLOOKUP($BJ113&amp;"最终",$S$3:$AE$63,MATCH(BQ$3,$S$3:$AE$3,0),FALSE)-VLOOKUP($BJ113&amp;"初始",$S$3:$AE$63,MATCH(BQ$3,$S$3:$AE$3,0),FALSE))*$BL113/VLOOKUP(VLOOKUP($BJ113,坦克个性化设定!$B$18:$E$48,4,FALSE)&amp;$BK113,坦克属性分配比例,MATCH("升星次数",坦克属性分配比例标头,0),FALSE)*VLOOKUP(VLOOKUP($BJ113,坦克个性化设定!$B$18:$E$48,4,FALSE)&amp;$BK113,坦克属性分配比例,MATCH("升星比例",坦克属性分配比例标头,0),FALSE),0)</f>
        <v>449</v>
      </c>
      <c r="BR113" s="2">
        <f ca="1">ROUND(VLOOKUP($BJ113&amp;"初始",$S$3:$AE$63,MATCH(BR$3,$S$3:$AE$3,0),FALSE)+(VLOOKUP($BJ113&amp;"最终",$S$3:$AE$63,MATCH(BR$3,$S$3:$AE$3,0),FALSE)-VLOOKUP($BJ113&amp;"初始",$S$3:$AE$63,MATCH(BR$3,$S$3:$AE$3,0),FALSE))*$BL113/VLOOKUP(VLOOKUP($BJ113,坦克个性化设定!$B$18:$E$48,4,FALSE)&amp;$BK113,坦克属性分配比例,MATCH("升星次数",坦克属性分配比例标头,0),FALSE),0)</f>
        <v>107</v>
      </c>
      <c r="BS113" s="2">
        <f>ROUND(VLOOKUP($BJ113,$AI$3:$AO$33,MATCH(BS$3,$AI$3:$AO$3,0),FALSE)+$BL113/VLOOKUP(VLOOKUP($BJ113,坦克个性化设定!$B$18:$E$48,4,FALSE)&amp;$BK113,坦克属性分配比例,MATCH("升星次数",坦克属性分配比例标头,0),FALSE)*VLOOKUP($BJ113,$AR$3:$AY$33,MATCH(BS$3,$AR$3:$AY$3,0),FALSE),1)</f>
        <v>46.1</v>
      </c>
      <c r="BT113" s="2">
        <f>ROUND(VLOOKUP($BJ113,$AI$3:$AO$33,MATCH(BT$3,$AI$3:$AO$3,0),FALSE)+$BL113/VLOOKUP(VLOOKUP($BJ113,坦克个性化设定!$B$18:$E$48,4,FALSE)&amp;$BK113,坦克属性分配比例,MATCH("升星次数",坦克属性分配比例标头,0),FALSE)*VLOOKUP($BJ113,$AR$3:$AY$33,MATCH(BT$3,$AR$3:$AY$3,0),FALSE),1)</f>
        <v>41.4</v>
      </c>
      <c r="BU113" s="2">
        <f>ROUND(VLOOKUP($BJ113,$AI$3:$AO$33,MATCH(BU$3,$AI$3:$AO$3,0),FALSE)+$BL113/VLOOKUP(VLOOKUP($BJ113,坦克个性化设定!$B$18:$E$48,4,FALSE)&amp;$BK113,坦克属性分配比例,MATCH("升星次数",坦克属性分配比例标头,0),FALSE)*VLOOKUP($BJ113,$AR$3:$AY$33,MATCH(BU$3,$AR$3:$AY$3,0),FALSE),1)</f>
        <v>8</v>
      </c>
      <c r="BV113" s="2">
        <f>IF(VLOOKUP(BJ113,坦克个性化设定!$B$18:$BC$48,MATCH("装弹类型",坦克个性化设定!$B$18:$BC$18,0),FALSE)="弹夹换弹",0,ROUND(VLOOKUP($BJ113,$AI$3:$AO$33,MATCH("换弹时间",$AI$3:$AO$3,0),FALSE)-$BL113/VLOOKUP(VLOOKUP($BJ113,坦克个性化设定!$B$18:$E$48,4,FALSE)&amp;$BK113,坦克属性分配比例,MATCH("升星次数",坦克属性分配比例标头,0),FALSE)*VLOOKUP($BJ113,$AR$3:$AY$33,MATCH("换弹时间",$AR$3:$AY$3,0),FALSE),2))</f>
        <v>0</v>
      </c>
      <c r="BW113" s="2">
        <f>IF(VLOOKUP(BJ113,坦克个性化设定!$B$18:$BC$48,MATCH("装弹类型",坦克个性化设定!$B$18:$BC$18,0),FALSE)="弹夹换弹",ROUND(VLOOKUP($BJ113,$AI$3:$AO$33,MATCH("换弹时间",$AI$3:$AO$3,0),FALSE)-$BL113/VLOOKUP(VLOOKUP($BJ113,坦克个性化设定!$B$18:$E$48,4,FALSE)&amp;$BK113,坦克属性分配比例,MATCH("升星次数",坦克属性分配比例标头,0),FALSE)*VLOOKUP($BJ113,$AR$3:$AY$33,MATCH("换弹时间",$AR$3:$AY$3,0),FALSE),1),0)</f>
        <v>3.1</v>
      </c>
      <c r="BX113" s="2">
        <f>ROUND(VLOOKUP($BJ113,$AI$3:$AO$33,MATCH(BX$3,$AI$3:$AO$3,0),FALSE)+$BL113/VLOOKUP(VLOOKUP($BJ113,坦克个性化设定!$B$18:$E$48,4,FALSE)&amp;$BK113,坦克属性分配比例,MATCH("升星次数",坦克属性分配比例标头,0),FALSE)*VLOOKUP($BJ113,$AR$3:$AY$33,MATCH(BX$3,$AR$3:$AY$3,0),FALSE),2)</f>
        <v>0.42</v>
      </c>
      <c r="BY113" s="2">
        <f>ROUND(VLOOKUP($BJ113,$AI$3:$AO$33,MATCH(BY$3,$AI$3:$AO$3,0),FALSE)-$BL113/VLOOKUP(VLOOKUP($BJ113,坦克个性化设定!$B$18:$E$48,4,FALSE)&amp;$BK113,坦克属性分配比例,MATCH("升星次数",坦克属性分配比例标头,0),FALSE)*VLOOKUP($BJ113,$AR$3:$AY$33,MATCH(BY$3,$AR$3:$AY$3,0),FALSE),2)</f>
        <v>0.99</v>
      </c>
    </row>
    <row r="114" spans="60:77" x14ac:dyDescent="0.3">
      <c r="BH114" s="2" t="str">
        <f t="shared" si="24"/>
        <v>T-342</v>
      </c>
      <c r="BI114" s="2">
        <f>IF(BL113&gt;=VLOOKUP(VLOOKUP(BJ113,坦克个性化设定!$B$18:$E$48,4,FALSE)&amp;BK113,坦克属性分配比例,MATCH("升星次数",坦克属性分配比例标头,0),FALSE),BI113+1,BI113)</f>
        <v>12</v>
      </c>
      <c r="BJ114" s="2" t="str">
        <f t="shared" si="25"/>
        <v>T-34</v>
      </c>
      <c r="BK114" s="29" t="str">
        <f>VLOOKUP(BJ114,坦克个性化细分!$I$3:$J$33,2,FALSE)</f>
        <v>低</v>
      </c>
      <c r="BL114" s="2">
        <f t="shared" si="23"/>
        <v>2</v>
      </c>
      <c r="BM114" s="103">
        <f ca="1">ROUND(VLOOKUP($BJ114&amp;"初始",$S$3:$AE$63,MATCH(BM$3,$S$3:$AE$3,0),FALSE)+((VLOOKUP($BJ114&amp;"最终",$S$3:$AE$63,MATCH(BM$3,$S$3:$AE$3,0),FALSE)*坦克个性化细分!$C$9-VLOOKUP($BJ114&amp;"初始",$S$3:$AE$63,MATCH(BM$3,$S$3:$AE$3,0),FALSE))-(VLOOKUP($BJ114&amp;"最终",$S$3:$AE$63,MATCH(BM$3,$S$3:$AE$3,0),FALSE)-VLOOKUP($BJ114&amp;"初始",$S$3:$AE$63,MATCH(BM$3,$S$3:$AE$3,0),FALSE))*VLOOKUP(VLOOKUP($BJ114,坦克个性化设定!$B$18:$E$48,4,FALSE)&amp;$BK114,坦克属性分配比例,MATCH("部件比例",坦克属性分配比例标头,0),FALSE))*$BL114/VLOOKUP(VLOOKUP($BJ114,坦克个性化设定!$B$18:$E$48,4,FALSE)&amp;$BK114,坦克属性分配比例,MATCH("升星次数",坦克属性分配比例标头,0),FALSE),0)</f>
        <v>1044</v>
      </c>
      <c r="BN114" s="103">
        <f ca="1">ROUND(VLOOKUP($BJ114&amp;"初始",$S$3:$AE$63,MATCH(BN$3,$S$3:$AE$3,0),FALSE)+(VLOOKUP($BJ114&amp;"最终",$S$3:$AE$63,MATCH(BN$3,$S$3:$AE$3,0),FALSE)-VLOOKUP($BJ114&amp;"初始",$S$3:$AE$63,MATCH(BN$3,$S$3:$AE$3,0),FALSE))*$BL114/VLOOKUP(VLOOKUP($BJ114,坦克个性化设定!$B$18:$E$48,4,FALSE)&amp;$BK114,坦克属性分配比例,MATCH("升星次数",坦克属性分配比例标头,0),FALSE)*VLOOKUP(VLOOKUP($BJ114,坦克个性化设定!$B$18:$E$48,4,FALSE)&amp;$BK114,坦克属性分配比例,MATCH("升星比例",坦克属性分配比例标头,0),FALSE),0)</f>
        <v>154</v>
      </c>
      <c r="BO114" s="103">
        <f ca="1">ROUND(VLOOKUP($BJ114&amp;"初始",$S$3:$AE$63,MATCH(BO$3,$S$3:$AE$3,0),FALSE)+(VLOOKUP($BJ114&amp;"最终",$S$3:$AE$63,MATCH(BO$3,$S$3:$AE$3,0),FALSE)-VLOOKUP($BJ114&amp;"初始",$S$3:$AE$63,MATCH(BO$3,$S$3:$AE$3,0),FALSE))*$BL114/VLOOKUP(VLOOKUP($BJ114,坦克个性化设定!$B$18:$E$48,4,FALSE)&amp;$BK114,坦克属性分配比例,MATCH("升星次数",坦克属性分配比例标头,0),FALSE)*(VLOOKUP(VLOOKUP($BJ114,坦克个性化设定!$B$18:$E$48,4,FALSE)&amp;$BK114,坦克属性分配比例,MATCH("升星比例",坦克属性分配比例标头,0),FALSE)+VLOOKUP(VLOOKUP($BJ114,坦克个性化设定!$B$18:$E$48,4,FALSE)&amp;$BK114,坦克属性分配比例,MATCH("部件比例",坦克属性分配比例标头,0),FALSE)*$C$3),0)</f>
        <v>435</v>
      </c>
      <c r="BP114" s="103">
        <f ca="1">ROUND(VLOOKUP($BJ114&amp;"初始",$S$3:$AE$63,MATCH(BP$3,$S$3:$AE$3,0),FALSE)+(VLOOKUP($BJ114&amp;"最终",$S$3:$AE$63,MATCH(BP$3,$S$3:$AE$3,0),FALSE)-VLOOKUP($BJ114&amp;"初始",$S$3:$AE$63,MATCH(BP$3,$S$3:$AE$3,0),FALSE))*$BL114/VLOOKUP(VLOOKUP($BJ114,坦克个性化设定!$B$18:$E$48,4,FALSE)&amp;$BK114,坦克属性分配比例,MATCH("升星次数",坦克属性分配比例标头,0),FALSE)*(VLOOKUP(VLOOKUP($BJ114,坦克个性化设定!$B$18:$E$48,4,FALSE)&amp;$BK114,坦克属性分配比例,MATCH("升星比例",坦克属性分配比例标头,0),FALSE)+VLOOKUP(VLOOKUP($BJ114,坦克个性化设定!$B$18:$E$48,4,FALSE)&amp;$BK114,坦克属性分配比例,MATCH("部件比例",坦克属性分配比例标头,0),FALSE)*$C$3),0)</f>
        <v>195</v>
      </c>
      <c r="BQ114" s="103">
        <f ca="1">ROUND(VLOOKUP($BJ114&amp;"初始",$S$3:$AE$63,MATCH(BQ$3,$S$3:$AE$3,0),FALSE)+(VLOOKUP($BJ114&amp;"最终",$S$3:$AE$63,MATCH(BQ$3,$S$3:$AE$3,0),FALSE)-VLOOKUP($BJ114&amp;"初始",$S$3:$AE$63,MATCH(BQ$3,$S$3:$AE$3,0),FALSE))*$BL114/VLOOKUP(VLOOKUP($BJ114,坦克个性化设定!$B$18:$E$48,4,FALSE)&amp;$BK114,坦克属性分配比例,MATCH("升星次数",坦克属性分配比例标头,0),FALSE)*VLOOKUP(VLOOKUP($BJ114,坦克个性化设定!$B$18:$E$48,4,FALSE)&amp;$BK114,坦克属性分配比例,MATCH("升星比例",坦克属性分配比例标头,0),FALSE),0)</f>
        <v>465</v>
      </c>
      <c r="BR114" s="2">
        <f ca="1">ROUND(VLOOKUP($BJ114&amp;"初始",$S$3:$AE$63,MATCH(BR$3,$S$3:$AE$3,0),FALSE)+(VLOOKUP($BJ114&amp;"最终",$S$3:$AE$63,MATCH(BR$3,$S$3:$AE$3,0),FALSE)-VLOOKUP($BJ114&amp;"初始",$S$3:$AE$63,MATCH(BR$3,$S$3:$AE$3,0),FALSE))*$BL114/VLOOKUP(VLOOKUP($BJ114,坦克个性化设定!$B$18:$E$48,4,FALSE)&amp;$BK114,坦克属性分配比例,MATCH("升星次数",坦克属性分配比例标头,0),FALSE),0)</f>
        <v>113</v>
      </c>
      <c r="BS114" s="2">
        <f>ROUND(VLOOKUP($BJ114,$AI$3:$AO$33,MATCH(BS$3,$AI$3:$AO$3,0),FALSE)+$BL114/VLOOKUP(VLOOKUP($BJ114,坦克个性化设定!$B$18:$E$48,4,FALSE)&amp;$BK114,坦克属性分配比例,MATCH("升星次数",坦克属性分配比例标头,0),FALSE)*VLOOKUP($BJ114,$AR$3:$AY$33,MATCH(BS$3,$AR$3:$AY$3,0),FALSE),1)</f>
        <v>47.7</v>
      </c>
      <c r="BT114" s="2">
        <f>ROUND(VLOOKUP($BJ114,$AI$3:$AO$33,MATCH(BT$3,$AI$3:$AO$3,0),FALSE)+$BL114/VLOOKUP(VLOOKUP($BJ114,坦克个性化设定!$B$18:$E$48,4,FALSE)&amp;$BK114,坦克属性分配比例,MATCH("升星次数",坦克属性分配比例标头,0),FALSE)*VLOOKUP($BJ114,$AR$3:$AY$33,MATCH(BT$3,$AR$3:$AY$3,0),FALSE),1)</f>
        <v>42.9</v>
      </c>
      <c r="BU114" s="2">
        <f>ROUND(VLOOKUP($BJ114,$AI$3:$AO$33,MATCH(BU$3,$AI$3:$AO$3,0),FALSE)+$BL114/VLOOKUP(VLOOKUP($BJ114,坦克个性化设定!$B$18:$E$48,4,FALSE)&amp;$BK114,坦克属性分配比例,MATCH("升星次数",坦克属性分配比例标头,0),FALSE)*VLOOKUP($BJ114,$AR$3:$AY$33,MATCH(BU$3,$AR$3:$AY$3,0),FALSE),1)</f>
        <v>8</v>
      </c>
      <c r="BV114" s="2">
        <f>IF(VLOOKUP(BJ114,坦克个性化设定!$B$18:$BC$48,MATCH("装弹类型",坦克个性化设定!$B$18:$BC$18,0),FALSE)="弹夹换弹",0,ROUND(VLOOKUP($BJ114,$AI$3:$AO$33,MATCH("换弹时间",$AI$3:$AO$3,0),FALSE)-$BL114/VLOOKUP(VLOOKUP($BJ114,坦克个性化设定!$B$18:$E$48,4,FALSE)&amp;$BK114,坦克属性分配比例,MATCH("升星次数",坦克属性分配比例标头,0),FALSE)*VLOOKUP($BJ114,$AR$3:$AY$33,MATCH("换弹时间",$AR$3:$AY$3,0),FALSE),2))</f>
        <v>0</v>
      </c>
      <c r="BW114" s="2">
        <f>IF(VLOOKUP(BJ114,坦克个性化设定!$B$18:$BC$48,MATCH("装弹类型",坦克个性化设定!$B$18:$BC$18,0),FALSE)="弹夹换弹",ROUND(VLOOKUP($BJ114,$AI$3:$AO$33,MATCH("换弹时间",$AI$3:$AO$3,0),FALSE)-$BL114/VLOOKUP(VLOOKUP($BJ114,坦克个性化设定!$B$18:$E$48,4,FALSE)&amp;$BK114,坦克属性分配比例,MATCH("升星次数",坦克属性分配比例标头,0),FALSE)*VLOOKUP($BJ114,$AR$3:$AY$33,MATCH("换弹时间",$AR$3:$AY$3,0),FALSE),1),0)</f>
        <v>3</v>
      </c>
      <c r="BX114" s="2">
        <f>ROUND(VLOOKUP($BJ114,$AI$3:$AO$33,MATCH(BX$3,$AI$3:$AO$3,0),FALSE)+$BL114/VLOOKUP(VLOOKUP($BJ114,坦克个性化设定!$B$18:$E$48,4,FALSE)&amp;$BK114,坦克属性分配比例,MATCH("升星次数",坦克属性分配比例标头,0),FALSE)*VLOOKUP($BJ114,$AR$3:$AY$33,MATCH(BX$3,$AR$3:$AY$3,0),FALSE),2)</f>
        <v>0.51</v>
      </c>
      <c r="BY114" s="2">
        <f>ROUND(VLOOKUP($BJ114,$AI$3:$AO$33,MATCH(BY$3,$AI$3:$AO$3,0),FALSE)-$BL114/VLOOKUP(VLOOKUP($BJ114,坦克个性化设定!$B$18:$E$48,4,FALSE)&amp;$BK114,坦克属性分配比例,MATCH("升星次数",坦克属性分配比例标头,0),FALSE)*VLOOKUP($BJ114,$AR$3:$AY$33,MATCH(BY$3,$AR$3:$AY$3,0),FALSE),2)</f>
        <v>0.96</v>
      </c>
    </row>
    <row r="115" spans="60:77" x14ac:dyDescent="0.3">
      <c r="BH115" s="2" t="str">
        <f t="shared" si="24"/>
        <v>T-343</v>
      </c>
      <c r="BI115" s="2">
        <f>IF(BL114&gt;=VLOOKUP(VLOOKUP(BJ114,坦克个性化设定!$B$18:$E$48,4,FALSE)&amp;BK114,坦克属性分配比例,MATCH("升星次数",坦克属性分配比例标头,0),FALSE),BI114+1,BI114)</f>
        <v>12</v>
      </c>
      <c r="BJ115" s="2" t="str">
        <f t="shared" si="25"/>
        <v>T-34</v>
      </c>
      <c r="BK115" s="29" t="str">
        <f>VLOOKUP(BJ115,坦克个性化细分!$I$3:$J$33,2,FALSE)</f>
        <v>低</v>
      </c>
      <c r="BL115" s="2">
        <f t="shared" si="23"/>
        <v>3</v>
      </c>
      <c r="BM115" s="103">
        <f ca="1">ROUND(VLOOKUP($BJ115&amp;"初始",$S$3:$AE$63,MATCH(BM$3,$S$3:$AE$3,0),FALSE)+((VLOOKUP($BJ115&amp;"最终",$S$3:$AE$63,MATCH(BM$3,$S$3:$AE$3,0),FALSE)*坦克个性化细分!$C$9-VLOOKUP($BJ115&amp;"初始",$S$3:$AE$63,MATCH(BM$3,$S$3:$AE$3,0),FALSE))-(VLOOKUP($BJ115&amp;"最终",$S$3:$AE$63,MATCH(BM$3,$S$3:$AE$3,0),FALSE)-VLOOKUP($BJ115&amp;"初始",$S$3:$AE$63,MATCH(BM$3,$S$3:$AE$3,0),FALSE))*VLOOKUP(VLOOKUP($BJ115,坦克个性化设定!$B$18:$E$48,4,FALSE)&amp;$BK115,坦克属性分配比例,MATCH("部件比例",坦克属性分配比例标头,0),FALSE))*$BL115/VLOOKUP(VLOOKUP($BJ115,坦克个性化设定!$B$18:$E$48,4,FALSE)&amp;$BK115,坦克属性分配比例,MATCH("升星次数",坦克属性分配比例标头,0),FALSE),0)</f>
        <v>1105</v>
      </c>
      <c r="BN115" s="103">
        <f ca="1">ROUND(VLOOKUP($BJ115&amp;"初始",$S$3:$AE$63,MATCH(BN$3,$S$3:$AE$3,0),FALSE)+(VLOOKUP($BJ115&amp;"最终",$S$3:$AE$63,MATCH(BN$3,$S$3:$AE$3,0),FALSE)-VLOOKUP($BJ115&amp;"初始",$S$3:$AE$63,MATCH(BN$3,$S$3:$AE$3,0),FALSE))*$BL115/VLOOKUP(VLOOKUP($BJ115,坦克个性化设定!$B$18:$E$48,4,FALSE)&amp;$BK115,坦克属性分配比例,MATCH("升星次数",坦克属性分配比例标头,0),FALSE)*VLOOKUP(VLOOKUP($BJ115,坦克个性化设定!$B$18:$E$48,4,FALSE)&amp;$BK115,坦克属性分配比例,MATCH("升星比例",坦克属性分配比例标头,0),FALSE),0)</f>
        <v>159</v>
      </c>
      <c r="BO115" s="103">
        <f ca="1">ROUND(VLOOKUP($BJ115&amp;"初始",$S$3:$AE$63,MATCH(BO$3,$S$3:$AE$3,0),FALSE)+(VLOOKUP($BJ115&amp;"最终",$S$3:$AE$63,MATCH(BO$3,$S$3:$AE$3,0),FALSE)-VLOOKUP($BJ115&amp;"初始",$S$3:$AE$63,MATCH(BO$3,$S$3:$AE$3,0),FALSE))*$BL115/VLOOKUP(VLOOKUP($BJ115,坦克个性化设定!$B$18:$E$48,4,FALSE)&amp;$BK115,坦克属性分配比例,MATCH("升星次数",坦克属性分配比例标头,0),FALSE)*(VLOOKUP(VLOOKUP($BJ115,坦克个性化设定!$B$18:$E$48,4,FALSE)&amp;$BK115,坦克属性分配比例,MATCH("升星比例",坦克属性分配比例标头,0),FALSE)+VLOOKUP(VLOOKUP($BJ115,坦克个性化设定!$B$18:$E$48,4,FALSE)&amp;$BK115,坦克属性分配比例,MATCH("部件比例",坦克属性分配比例标头,0),FALSE)*$C$3),0)</f>
        <v>455</v>
      </c>
      <c r="BP115" s="103">
        <f ca="1">ROUND(VLOOKUP($BJ115&amp;"初始",$S$3:$AE$63,MATCH(BP$3,$S$3:$AE$3,0),FALSE)+(VLOOKUP($BJ115&amp;"最终",$S$3:$AE$63,MATCH(BP$3,$S$3:$AE$3,0),FALSE)-VLOOKUP($BJ115&amp;"初始",$S$3:$AE$63,MATCH(BP$3,$S$3:$AE$3,0),FALSE))*$BL115/VLOOKUP(VLOOKUP($BJ115,坦克个性化设定!$B$18:$E$48,4,FALSE)&amp;$BK115,坦克属性分配比例,MATCH("升星次数",坦克属性分配比例标头,0),FALSE)*(VLOOKUP(VLOOKUP($BJ115,坦克个性化设定!$B$18:$E$48,4,FALSE)&amp;$BK115,坦克属性分配比例,MATCH("升星比例",坦克属性分配比例标头,0),FALSE)+VLOOKUP(VLOOKUP($BJ115,坦克个性化设定!$B$18:$E$48,4,FALSE)&amp;$BK115,坦克属性分配比例,MATCH("部件比例",坦克属性分配比例标头,0),FALSE)*$C$3),0)</f>
        <v>204</v>
      </c>
      <c r="BQ115" s="103">
        <f ca="1">ROUND(VLOOKUP($BJ115&amp;"初始",$S$3:$AE$63,MATCH(BQ$3,$S$3:$AE$3,0),FALSE)+(VLOOKUP($BJ115&amp;"最终",$S$3:$AE$63,MATCH(BQ$3,$S$3:$AE$3,0),FALSE)-VLOOKUP($BJ115&amp;"初始",$S$3:$AE$63,MATCH(BQ$3,$S$3:$AE$3,0),FALSE))*$BL115/VLOOKUP(VLOOKUP($BJ115,坦克个性化设定!$B$18:$E$48,4,FALSE)&amp;$BK115,坦克属性分配比例,MATCH("升星次数",坦克属性分配比例标头,0),FALSE)*VLOOKUP(VLOOKUP($BJ115,坦克个性化设定!$B$18:$E$48,4,FALSE)&amp;$BK115,坦克属性分配比例,MATCH("升星比例",坦克属性分配比例标头,0),FALSE),0)</f>
        <v>482</v>
      </c>
      <c r="BR115" s="2">
        <f ca="1">ROUND(VLOOKUP($BJ115&amp;"初始",$S$3:$AE$63,MATCH(BR$3,$S$3:$AE$3,0),FALSE)+(VLOOKUP($BJ115&amp;"最终",$S$3:$AE$63,MATCH(BR$3,$S$3:$AE$3,0),FALSE)-VLOOKUP($BJ115&amp;"初始",$S$3:$AE$63,MATCH(BR$3,$S$3:$AE$3,0),FALSE))*$BL115/VLOOKUP(VLOOKUP($BJ115,坦克个性化设定!$B$18:$E$48,4,FALSE)&amp;$BK115,坦克属性分配比例,MATCH("升星次数",坦克属性分配比例标头,0),FALSE),0)</f>
        <v>119</v>
      </c>
      <c r="BS115" s="2">
        <f>ROUND(VLOOKUP($BJ115,$AI$3:$AO$33,MATCH(BS$3,$AI$3:$AO$3,0),FALSE)+$BL115/VLOOKUP(VLOOKUP($BJ115,坦克个性化设定!$B$18:$E$48,4,FALSE)&amp;$BK115,坦克属性分配比例,MATCH("升星次数",坦克属性分配比例标头,0),FALSE)*VLOOKUP($BJ115,$AR$3:$AY$33,MATCH(BS$3,$AR$3:$AY$3,0),FALSE),1)</f>
        <v>49.3</v>
      </c>
      <c r="BT115" s="2">
        <f>ROUND(VLOOKUP($BJ115,$AI$3:$AO$33,MATCH(BT$3,$AI$3:$AO$3,0),FALSE)+$BL115/VLOOKUP(VLOOKUP($BJ115,坦克个性化设定!$B$18:$E$48,4,FALSE)&amp;$BK115,坦克属性分配比例,MATCH("升星次数",坦克属性分配比例标头,0),FALSE)*VLOOKUP($BJ115,$AR$3:$AY$33,MATCH(BT$3,$AR$3:$AY$3,0),FALSE),1)</f>
        <v>44.3</v>
      </c>
      <c r="BU115" s="2">
        <f>ROUND(VLOOKUP($BJ115,$AI$3:$AO$33,MATCH(BU$3,$AI$3:$AO$3,0),FALSE)+$BL115/VLOOKUP(VLOOKUP($BJ115,坦克个性化设定!$B$18:$E$48,4,FALSE)&amp;$BK115,坦克属性分配比例,MATCH("升星次数",坦克属性分配比例标头,0),FALSE)*VLOOKUP($BJ115,$AR$3:$AY$33,MATCH(BU$3,$AR$3:$AY$3,0),FALSE),1)</f>
        <v>8</v>
      </c>
      <c r="BV115" s="2">
        <f>IF(VLOOKUP(BJ115,坦克个性化设定!$B$18:$BC$48,MATCH("装弹类型",坦克个性化设定!$B$18:$BC$18,0),FALSE)="弹夹换弹",0,ROUND(VLOOKUP($BJ115,$AI$3:$AO$33,MATCH("换弹时间",$AI$3:$AO$3,0),FALSE)-$BL115/VLOOKUP(VLOOKUP($BJ115,坦克个性化设定!$B$18:$E$48,4,FALSE)&amp;$BK115,坦克属性分配比例,MATCH("升星次数",坦克属性分配比例标头,0),FALSE)*VLOOKUP($BJ115,$AR$3:$AY$33,MATCH("换弹时间",$AR$3:$AY$3,0),FALSE),2))</f>
        <v>0</v>
      </c>
      <c r="BW115" s="2">
        <f>IF(VLOOKUP(BJ115,坦克个性化设定!$B$18:$BC$48,MATCH("装弹类型",坦克个性化设定!$B$18:$BC$18,0),FALSE)="弹夹换弹",ROUND(VLOOKUP($BJ115,$AI$3:$AO$33,MATCH("换弹时间",$AI$3:$AO$3,0),FALSE)-$BL115/VLOOKUP(VLOOKUP($BJ115,坦克个性化设定!$B$18:$E$48,4,FALSE)&amp;$BK115,坦克属性分配比例,MATCH("升星次数",坦克属性分配比例标头,0),FALSE)*VLOOKUP($BJ115,$AR$3:$AY$33,MATCH("换弹时间",$AR$3:$AY$3,0),FALSE),1),0)</f>
        <v>3</v>
      </c>
      <c r="BX115" s="2">
        <f>ROUND(VLOOKUP($BJ115,$AI$3:$AO$33,MATCH(BX$3,$AI$3:$AO$3,0),FALSE)+$BL115/VLOOKUP(VLOOKUP($BJ115,坦克个性化设定!$B$18:$E$48,4,FALSE)&amp;$BK115,坦克属性分配比例,MATCH("升星次数",坦克属性分配比例标头,0),FALSE)*VLOOKUP($BJ115,$AR$3:$AY$33,MATCH(BX$3,$AR$3:$AY$3,0),FALSE),2)</f>
        <v>0.61</v>
      </c>
      <c r="BY115" s="2">
        <f>ROUND(VLOOKUP($BJ115,$AI$3:$AO$33,MATCH(BY$3,$AI$3:$AO$3,0),FALSE)-$BL115/VLOOKUP(VLOOKUP($BJ115,坦克个性化设定!$B$18:$E$48,4,FALSE)&amp;$BK115,坦克属性分配比例,MATCH("升星次数",坦克属性分配比例标头,0),FALSE)*VLOOKUP($BJ115,$AR$3:$AY$33,MATCH(BY$3,$AR$3:$AY$3,0),FALSE),2)</f>
        <v>0.94</v>
      </c>
    </row>
    <row r="116" spans="60:77" x14ac:dyDescent="0.3">
      <c r="BH116" s="2" t="str">
        <f t="shared" si="24"/>
        <v>T-344</v>
      </c>
      <c r="BI116" s="2">
        <f>IF(BL115&gt;=VLOOKUP(VLOOKUP(BJ115,坦克个性化设定!$B$18:$E$48,4,FALSE)&amp;BK115,坦克属性分配比例,MATCH("升星次数",坦克属性分配比例标头,0),FALSE),BI115+1,BI115)</f>
        <v>12</v>
      </c>
      <c r="BJ116" s="2" t="str">
        <f t="shared" si="25"/>
        <v>T-34</v>
      </c>
      <c r="BK116" s="29" t="str">
        <f>VLOOKUP(BJ116,坦克个性化细分!$I$3:$J$33,2,FALSE)</f>
        <v>低</v>
      </c>
      <c r="BL116" s="2">
        <f t="shared" si="23"/>
        <v>4</v>
      </c>
      <c r="BM116" s="103">
        <f ca="1">ROUND(VLOOKUP($BJ116&amp;"初始",$S$3:$AE$63,MATCH(BM$3,$S$3:$AE$3,0),FALSE)+((VLOOKUP($BJ116&amp;"最终",$S$3:$AE$63,MATCH(BM$3,$S$3:$AE$3,0),FALSE)*坦克个性化细分!$C$9-VLOOKUP($BJ116&amp;"初始",$S$3:$AE$63,MATCH(BM$3,$S$3:$AE$3,0),FALSE))-(VLOOKUP($BJ116&amp;"最终",$S$3:$AE$63,MATCH(BM$3,$S$3:$AE$3,0),FALSE)-VLOOKUP($BJ116&amp;"初始",$S$3:$AE$63,MATCH(BM$3,$S$3:$AE$3,0),FALSE))*VLOOKUP(VLOOKUP($BJ116,坦克个性化设定!$B$18:$E$48,4,FALSE)&amp;$BK116,坦克属性分配比例,MATCH("部件比例",坦克属性分配比例标头,0),FALSE))*$BL116/VLOOKUP(VLOOKUP($BJ116,坦克个性化设定!$B$18:$E$48,4,FALSE)&amp;$BK116,坦克属性分配比例,MATCH("升星次数",坦克属性分配比例标头,0),FALSE),0)</f>
        <v>1166</v>
      </c>
      <c r="BN116" s="103">
        <f ca="1">ROUND(VLOOKUP($BJ116&amp;"初始",$S$3:$AE$63,MATCH(BN$3,$S$3:$AE$3,0),FALSE)+(VLOOKUP($BJ116&amp;"最终",$S$3:$AE$63,MATCH(BN$3,$S$3:$AE$3,0),FALSE)-VLOOKUP($BJ116&amp;"初始",$S$3:$AE$63,MATCH(BN$3,$S$3:$AE$3,0),FALSE))*$BL116/VLOOKUP(VLOOKUP($BJ116,坦克个性化设定!$B$18:$E$48,4,FALSE)&amp;$BK116,坦克属性分配比例,MATCH("升星次数",坦克属性分配比例标头,0),FALSE)*VLOOKUP(VLOOKUP($BJ116,坦克个性化设定!$B$18:$E$48,4,FALSE)&amp;$BK116,坦克属性分配比例,MATCH("升星比例",坦克属性分配比例标头,0),FALSE),0)</f>
        <v>165</v>
      </c>
      <c r="BO116" s="103">
        <f ca="1">ROUND(VLOOKUP($BJ116&amp;"初始",$S$3:$AE$63,MATCH(BO$3,$S$3:$AE$3,0),FALSE)+(VLOOKUP($BJ116&amp;"最终",$S$3:$AE$63,MATCH(BO$3,$S$3:$AE$3,0),FALSE)-VLOOKUP($BJ116&amp;"初始",$S$3:$AE$63,MATCH(BO$3,$S$3:$AE$3,0),FALSE))*$BL116/VLOOKUP(VLOOKUP($BJ116,坦克个性化设定!$B$18:$E$48,4,FALSE)&amp;$BK116,坦克属性分配比例,MATCH("升星次数",坦克属性分配比例标头,0),FALSE)*(VLOOKUP(VLOOKUP($BJ116,坦克个性化设定!$B$18:$E$48,4,FALSE)&amp;$BK116,坦克属性分配比例,MATCH("升星比例",坦克属性分配比例标头,0),FALSE)+VLOOKUP(VLOOKUP($BJ116,坦克个性化设定!$B$18:$E$48,4,FALSE)&amp;$BK116,坦克属性分配比例,MATCH("部件比例",坦克属性分配比例标头,0),FALSE)*$C$3),0)</f>
        <v>475</v>
      </c>
      <c r="BP116" s="103">
        <f ca="1">ROUND(VLOOKUP($BJ116&amp;"初始",$S$3:$AE$63,MATCH(BP$3,$S$3:$AE$3,0),FALSE)+(VLOOKUP($BJ116&amp;"最终",$S$3:$AE$63,MATCH(BP$3,$S$3:$AE$3,0),FALSE)-VLOOKUP($BJ116&amp;"初始",$S$3:$AE$63,MATCH(BP$3,$S$3:$AE$3,0),FALSE))*$BL116/VLOOKUP(VLOOKUP($BJ116,坦克个性化设定!$B$18:$E$48,4,FALSE)&amp;$BK116,坦克属性分配比例,MATCH("升星次数",坦克属性分配比例标头,0),FALSE)*(VLOOKUP(VLOOKUP($BJ116,坦克个性化设定!$B$18:$E$48,4,FALSE)&amp;$BK116,坦克属性分配比例,MATCH("升星比例",坦克属性分配比例标头,0),FALSE)+VLOOKUP(VLOOKUP($BJ116,坦克个性化设定!$B$18:$E$48,4,FALSE)&amp;$BK116,坦克属性分配比例,MATCH("部件比例",坦克属性分配比例标头,0),FALSE)*$C$3),0)</f>
        <v>213</v>
      </c>
      <c r="BQ116" s="103">
        <f ca="1">ROUND(VLOOKUP($BJ116&amp;"初始",$S$3:$AE$63,MATCH(BQ$3,$S$3:$AE$3,0),FALSE)+(VLOOKUP($BJ116&amp;"最终",$S$3:$AE$63,MATCH(BQ$3,$S$3:$AE$3,0),FALSE)-VLOOKUP($BJ116&amp;"初始",$S$3:$AE$63,MATCH(BQ$3,$S$3:$AE$3,0),FALSE))*$BL116/VLOOKUP(VLOOKUP($BJ116,坦克个性化设定!$B$18:$E$48,4,FALSE)&amp;$BK116,坦克属性分配比例,MATCH("升星次数",坦克属性分配比例标头,0),FALSE)*VLOOKUP(VLOOKUP($BJ116,坦克个性化设定!$B$18:$E$48,4,FALSE)&amp;$BK116,坦克属性分配比例,MATCH("升星比例",坦克属性分配比例标头,0),FALSE),0)</f>
        <v>499</v>
      </c>
      <c r="BR116" s="2">
        <f ca="1">ROUND(VLOOKUP($BJ116&amp;"初始",$S$3:$AE$63,MATCH(BR$3,$S$3:$AE$3,0),FALSE)+(VLOOKUP($BJ116&amp;"最终",$S$3:$AE$63,MATCH(BR$3,$S$3:$AE$3,0),FALSE)-VLOOKUP($BJ116&amp;"初始",$S$3:$AE$63,MATCH(BR$3,$S$3:$AE$3,0),FALSE))*$BL116/VLOOKUP(VLOOKUP($BJ116,坦克个性化设定!$B$18:$E$48,4,FALSE)&amp;$BK116,坦克属性分配比例,MATCH("升星次数",坦克属性分配比例标头,0),FALSE),0)</f>
        <v>125</v>
      </c>
      <c r="BS116" s="2">
        <f>ROUND(VLOOKUP($BJ116,$AI$3:$AO$33,MATCH(BS$3,$AI$3:$AO$3,0),FALSE)+$BL116/VLOOKUP(VLOOKUP($BJ116,坦克个性化设定!$B$18:$E$48,4,FALSE)&amp;$BK116,坦克属性分配比例,MATCH("升星次数",坦克属性分配比例标头,0),FALSE)*VLOOKUP($BJ116,$AR$3:$AY$33,MATCH(BS$3,$AR$3:$AY$3,0),FALSE),1)</f>
        <v>50.9</v>
      </c>
      <c r="BT116" s="2">
        <f>ROUND(VLOOKUP($BJ116,$AI$3:$AO$33,MATCH(BT$3,$AI$3:$AO$3,0),FALSE)+$BL116/VLOOKUP(VLOOKUP($BJ116,坦克个性化设定!$B$18:$E$48,4,FALSE)&amp;$BK116,坦克属性分配比例,MATCH("升星次数",坦克属性分配比例标头,0),FALSE)*VLOOKUP($BJ116,$AR$3:$AY$33,MATCH(BT$3,$AR$3:$AY$3,0),FALSE),1)</f>
        <v>45.7</v>
      </c>
      <c r="BU116" s="2">
        <f>ROUND(VLOOKUP($BJ116,$AI$3:$AO$33,MATCH(BU$3,$AI$3:$AO$3,0),FALSE)+$BL116/VLOOKUP(VLOOKUP($BJ116,坦克个性化设定!$B$18:$E$48,4,FALSE)&amp;$BK116,坦克属性分配比例,MATCH("升星次数",坦克属性分配比例标头,0),FALSE)*VLOOKUP($BJ116,$AR$3:$AY$33,MATCH(BU$3,$AR$3:$AY$3,0),FALSE),1)</f>
        <v>8</v>
      </c>
      <c r="BV116" s="2">
        <f>IF(VLOOKUP(BJ116,坦克个性化设定!$B$18:$BC$48,MATCH("装弹类型",坦克个性化设定!$B$18:$BC$18,0),FALSE)="弹夹换弹",0,ROUND(VLOOKUP($BJ116,$AI$3:$AO$33,MATCH("换弹时间",$AI$3:$AO$3,0),FALSE)-$BL116/VLOOKUP(VLOOKUP($BJ116,坦克个性化设定!$B$18:$E$48,4,FALSE)&amp;$BK116,坦克属性分配比例,MATCH("升星次数",坦克属性分配比例标头,0),FALSE)*VLOOKUP($BJ116,$AR$3:$AY$33,MATCH("换弹时间",$AR$3:$AY$3,0),FALSE),2))</f>
        <v>0</v>
      </c>
      <c r="BW116" s="2">
        <f>IF(VLOOKUP(BJ116,坦克个性化设定!$B$18:$BC$48,MATCH("装弹类型",坦克个性化设定!$B$18:$BC$18,0),FALSE)="弹夹换弹",ROUND(VLOOKUP($BJ116,$AI$3:$AO$33,MATCH("换弹时间",$AI$3:$AO$3,0),FALSE)-$BL116/VLOOKUP(VLOOKUP($BJ116,坦克个性化设定!$B$18:$E$48,4,FALSE)&amp;$BK116,坦克属性分配比例,MATCH("升星次数",坦克属性分配比例标头,0),FALSE)*VLOOKUP($BJ116,$AR$3:$AY$33,MATCH("换弹时间",$AR$3:$AY$3,0),FALSE),1),0)</f>
        <v>2.9</v>
      </c>
      <c r="BX116" s="2">
        <f>ROUND(VLOOKUP($BJ116,$AI$3:$AO$33,MATCH(BX$3,$AI$3:$AO$3,0),FALSE)+$BL116/VLOOKUP(VLOOKUP($BJ116,坦克个性化设定!$B$18:$E$48,4,FALSE)&amp;$BK116,坦克属性分配比例,MATCH("升星次数",坦克属性分配比例标头,0),FALSE)*VLOOKUP($BJ116,$AR$3:$AY$33,MATCH(BX$3,$AR$3:$AY$3,0),FALSE),2)</f>
        <v>0.71</v>
      </c>
      <c r="BY116" s="2">
        <f>ROUND(VLOOKUP($BJ116,$AI$3:$AO$33,MATCH(BY$3,$AI$3:$AO$3,0),FALSE)-$BL116/VLOOKUP(VLOOKUP($BJ116,坦克个性化设定!$B$18:$E$48,4,FALSE)&amp;$BK116,坦克属性分配比例,MATCH("升星次数",坦克属性分配比例标头,0),FALSE)*VLOOKUP($BJ116,$AR$3:$AY$33,MATCH(BY$3,$AR$3:$AY$3,0),FALSE),2)</f>
        <v>0.91</v>
      </c>
    </row>
    <row r="117" spans="60:77" x14ac:dyDescent="0.3">
      <c r="BH117" s="2" t="str">
        <f t="shared" si="24"/>
        <v>T-345</v>
      </c>
      <c r="BI117" s="2">
        <f>IF(BL116&gt;=VLOOKUP(VLOOKUP(BJ116,坦克个性化设定!$B$18:$E$48,4,FALSE)&amp;BK116,坦克属性分配比例,MATCH("升星次数",坦克属性分配比例标头,0),FALSE),BI116+1,BI116)</f>
        <v>12</v>
      </c>
      <c r="BJ117" s="2" t="str">
        <f t="shared" si="25"/>
        <v>T-34</v>
      </c>
      <c r="BK117" s="29" t="str">
        <f>VLOOKUP(BJ117,坦克个性化细分!$I$3:$J$33,2,FALSE)</f>
        <v>低</v>
      </c>
      <c r="BL117" s="2">
        <f t="shared" si="23"/>
        <v>5</v>
      </c>
      <c r="BM117" s="103">
        <f ca="1">ROUND(VLOOKUP($BJ117&amp;"初始",$S$3:$AE$63,MATCH(BM$3,$S$3:$AE$3,0),FALSE)+((VLOOKUP($BJ117&amp;"最终",$S$3:$AE$63,MATCH(BM$3,$S$3:$AE$3,0),FALSE)*坦克个性化细分!$C$9-VLOOKUP($BJ117&amp;"初始",$S$3:$AE$63,MATCH(BM$3,$S$3:$AE$3,0),FALSE))-(VLOOKUP($BJ117&amp;"最终",$S$3:$AE$63,MATCH(BM$3,$S$3:$AE$3,0),FALSE)-VLOOKUP($BJ117&amp;"初始",$S$3:$AE$63,MATCH(BM$3,$S$3:$AE$3,0),FALSE))*VLOOKUP(VLOOKUP($BJ117,坦克个性化设定!$B$18:$E$48,4,FALSE)&amp;$BK117,坦克属性分配比例,MATCH("部件比例",坦克属性分配比例标头,0),FALSE))*$BL117/VLOOKUP(VLOOKUP($BJ117,坦克个性化设定!$B$18:$E$48,4,FALSE)&amp;$BK117,坦克属性分配比例,MATCH("升星次数",坦克属性分配比例标头,0),FALSE),0)</f>
        <v>1227</v>
      </c>
      <c r="BN117" s="103">
        <f ca="1">ROUND(VLOOKUP($BJ117&amp;"初始",$S$3:$AE$63,MATCH(BN$3,$S$3:$AE$3,0),FALSE)+(VLOOKUP($BJ117&amp;"最终",$S$3:$AE$63,MATCH(BN$3,$S$3:$AE$3,0),FALSE)-VLOOKUP($BJ117&amp;"初始",$S$3:$AE$63,MATCH(BN$3,$S$3:$AE$3,0),FALSE))*$BL117/VLOOKUP(VLOOKUP($BJ117,坦克个性化设定!$B$18:$E$48,4,FALSE)&amp;$BK117,坦克属性分配比例,MATCH("升星次数",坦克属性分配比例标头,0),FALSE)*VLOOKUP(VLOOKUP($BJ117,坦克个性化设定!$B$18:$E$48,4,FALSE)&amp;$BK117,坦克属性分配比例,MATCH("升星比例",坦克属性分配比例标头,0),FALSE),0)</f>
        <v>170</v>
      </c>
      <c r="BO117" s="103">
        <f ca="1">ROUND(VLOOKUP($BJ117&amp;"初始",$S$3:$AE$63,MATCH(BO$3,$S$3:$AE$3,0),FALSE)+(VLOOKUP($BJ117&amp;"最终",$S$3:$AE$63,MATCH(BO$3,$S$3:$AE$3,0),FALSE)-VLOOKUP($BJ117&amp;"初始",$S$3:$AE$63,MATCH(BO$3,$S$3:$AE$3,0),FALSE))*$BL117/VLOOKUP(VLOOKUP($BJ117,坦克个性化设定!$B$18:$E$48,4,FALSE)&amp;$BK117,坦克属性分配比例,MATCH("升星次数",坦克属性分配比例标头,0),FALSE)*(VLOOKUP(VLOOKUP($BJ117,坦克个性化设定!$B$18:$E$48,4,FALSE)&amp;$BK117,坦克属性分配比例,MATCH("升星比例",坦克属性分配比例标头,0),FALSE)+VLOOKUP(VLOOKUP($BJ117,坦克个性化设定!$B$18:$E$48,4,FALSE)&amp;$BK117,坦克属性分配比例,MATCH("部件比例",坦克属性分配比例标头,0),FALSE)*$C$3),0)</f>
        <v>495</v>
      </c>
      <c r="BP117" s="103">
        <f ca="1">ROUND(VLOOKUP($BJ117&amp;"初始",$S$3:$AE$63,MATCH(BP$3,$S$3:$AE$3,0),FALSE)+(VLOOKUP($BJ117&amp;"最终",$S$3:$AE$63,MATCH(BP$3,$S$3:$AE$3,0),FALSE)-VLOOKUP($BJ117&amp;"初始",$S$3:$AE$63,MATCH(BP$3,$S$3:$AE$3,0),FALSE))*$BL117/VLOOKUP(VLOOKUP($BJ117,坦克个性化设定!$B$18:$E$48,4,FALSE)&amp;$BK117,坦克属性分配比例,MATCH("升星次数",坦克属性分配比例标头,0),FALSE)*(VLOOKUP(VLOOKUP($BJ117,坦克个性化设定!$B$18:$E$48,4,FALSE)&amp;$BK117,坦克属性分配比例,MATCH("升星比例",坦克属性分配比例标头,0),FALSE)+VLOOKUP(VLOOKUP($BJ117,坦克个性化设定!$B$18:$E$48,4,FALSE)&amp;$BK117,坦克属性分配比例,MATCH("部件比例",坦克属性分配比例标头,0),FALSE)*$C$3),0)</f>
        <v>222</v>
      </c>
      <c r="BQ117" s="103">
        <f ca="1">ROUND(VLOOKUP($BJ117&amp;"初始",$S$3:$AE$63,MATCH(BQ$3,$S$3:$AE$3,0),FALSE)+(VLOOKUP($BJ117&amp;"最终",$S$3:$AE$63,MATCH(BQ$3,$S$3:$AE$3,0),FALSE)-VLOOKUP($BJ117&amp;"初始",$S$3:$AE$63,MATCH(BQ$3,$S$3:$AE$3,0),FALSE))*$BL117/VLOOKUP(VLOOKUP($BJ117,坦克个性化设定!$B$18:$E$48,4,FALSE)&amp;$BK117,坦克属性分配比例,MATCH("升星次数",坦克属性分配比例标头,0),FALSE)*VLOOKUP(VLOOKUP($BJ117,坦克个性化设定!$B$18:$E$48,4,FALSE)&amp;$BK117,坦克属性分配比例,MATCH("升星比例",坦克属性分配比例标头,0),FALSE),0)</f>
        <v>516</v>
      </c>
      <c r="BR117" s="2">
        <f ca="1">ROUND(VLOOKUP($BJ117&amp;"初始",$S$3:$AE$63,MATCH(BR$3,$S$3:$AE$3,0),FALSE)+(VLOOKUP($BJ117&amp;"最终",$S$3:$AE$63,MATCH(BR$3,$S$3:$AE$3,0),FALSE)-VLOOKUP($BJ117&amp;"初始",$S$3:$AE$63,MATCH(BR$3,$S$3:$AE$3,0),FALSE))*$BL117/VLOOKUP(VLOOKUP($BJ117,坦克个性化设定!$B$18:$E$48,4,FALSE)&amp;$BK117,坦克属性分配比例,MATCH("升星次数",坦克属性分配比例标头,0),FALSE),0)</f>
        <v>131</v>
      </c>
      <c r="BS117" s="2">
        <f>ROUND(VLOOKUP($BJ117,$AI$3:$AO$33,MATCH(BS$3,$AI$3:$AO$3,0),FALSE)+$BL117/VLOOKUP(VLOOKUP($BJ117,坦克个性化设定!$B$18:$E$48,4,FALSE)&amp;$BK117,坦克属性分配比例,MATCH("升星次数",坦克属性分配比例标头,0),FALSE)*VLOOKUP($BJ117,$AR$3:$AY$33,MATCH(BS$3,$AR$3:$AY$3,0),FALSE),1)</f>
        <v>52.4</v>
      </c>
      <c r="BT117" s="2">
        <f>ROUND(VLOOKUP($BJ117,$AI$3:$AO$33,MATCH(BT$3,$AI$3:$AO$3,0),FALSE)+$BL117/VLOOKUP(VLOOKUP($BJ117,坦克个性化设定!$B$18:$E$48,4,FALSE)&amp;$BK117,坦克属性分配比例,MATCH("升星次数",坦克属性分配比例标头,0),FALSE)*VLOOKUP($BJ117,$AR$3:$AY$33,MATCH(BT$3,$AR$3:$AY$3,0),FALSE),1)</f>
        <v>47.1</v>
      </c>
      <c r="BU117" s="2">
        <f>ROUND(VLOOKUP($BJ117,$AI$3:$AO$33,MATCH(BU$3,$AI$3:$AO$3,0),FALSE)+$BL117/VLOOKUP(VLOOKUP($BJ117,坦克个性化设定!$B$18:$E$48,4,FALSE)&amp;$BK117,坦克属性分配比例,MATCH("升星次数",坦克属性分配比例标头,0),FALSE)*VLOOKUP($BJ117,$AR$3:$AY$33,MATCH(BU$3,$AR$3:$AY$3,0),FALSE),1)</f>
        <v>8</v>
      </c>
      <c r="BV117" s="2">
        <f>IF(VLOOKUP(BJ117,坦克个性化设定!$B$18:$BC$48,MATCH("装弹类型",坦克个性化设定!$B$18:$BC$18,0),FALSE)="弹夹换弹",0,ROUND(VLOOKUP($BJ117,$AI$3:$AO$33,MATCH("换弹时间",$AI$3:$AO$3,0),FALSE)-$BL117/VLOOKUP(VLOOKUP($BJ117,坦克个性化设定!$B$18:$E$48,4,FALSE)&amp;$BK117,坦克属性分配比例,MATCH("升星次数",坦克属性分配比例标头,0),FALSE)*VLOOKUP($BJ117,$AR$3:$AY$33,MATCH("换弹时间",$AR$3:$AY$3,0),FALSE),2))</f>
        <v>0</v>
      </c>
      <c r="BW117" s="2">
        <f>IF(VLOOKUP(BJ117,坦克个性化设定!$B$18:$BC$48,MATCH("装弹类型",坦克个性化设定!$B$18:$BC$18,0),FALSE)="弹夹换弹",ROUND(VLOOKUP($BJ117,$AI$3:$AO$33,MATCH("换弹时间",$AI$3:$AO$3,0),FALSE)-$BL117/VLOOKUP(VLOOKUP($BJ117,坦克个性化设定!$B$18:$E$48,4,FALSE)&amp;$BK117,坦克属性分配比例,MATCH("升星次数",坦克属性分配比例标头,0),FALSE)*VLOOKUP($BJ117,$AR$3:$AY$33,MATCH("换弹时间",$AR$3:$AY$3,0),FALSE),1),0)</f>
        <v>2.8</v>
      </c>
      <c r="BX117" s="2">
        <f>ROUND(VLOOKUP($BJ117,$AI$3:$AO$33,MATCH(BX$3,$AI$3:$AO$3,0),FALSE)+$BL117/VLOOKUP(VLOOKUP($BJ117,坦克个性化设定!$B$18:$E$48,4,FALSE)&amp;$BK117,坦克属性分配比例,MATCH("升星次数",坦克属性分配比例标头,0),FALSE)*VLOOKUP($BJ117,$AR$3:$AY$33,MATCH(BX$3,$AR$3:$AY$3,0),FALSE),2)</f>
        <v>0.81</v>
      </c>
      <c r="BY117" s="2">
        <f>ROUND(VLOOKUP($BJ117,$AI$3:$AO$33,MATCH(BY$3,$AI$3:$AO$3,0),FALSE)-$BL117/VLOOKUP(VLOOKUP($BJ117,坦克个性化设定!$B$18:$E$48,4,FALSE)&amp;$BK117,坦克属性分配比例,MATCH("升星次数",坦克属性分配比例标头,0),FALSE)*VLOOKUP($BJ117,$AR$3:$AY$33,MATCH(BY$3,$AR$3:$AY$3,0),FALSE),2)</f>
        <v>0.89</v>
      </c>
    </row>
    <row r="118" spans="60:77" x14ac:dyDescent="0.3">
      <c r="BH118" s="2" t="str">
        <f t="shared" si="24"/>
        <v>T-346</v>
      </c>
      <c r="BI118" s="2">
        <f>IF(BL117&gt;=VLOOKUP(VLOOKUP(BJ117,坦克个性化设定!$B$18:$E$48,4,FALSE)&amp;BK117,坦克属性分配比例,MATCH("升星次数",坦克属性分配比例标头,0),FALSE),BI117+1,BI117)</f>
        <v>12</v>
      </c>
      <c r="BJ118" s="2" t="str">
        <f t="shared" si="25"/>
        <v>T-34</v>
      </c>
      <c r="BK118" s="29" t="str">
        <f>VLOOKUP(BJ118,坦克个性化细分!$I$3:$J$33,2,FALSE)</f>
        <v>低</v>
      </c>
      <c r="BL118" s="2">
        <f t="shared" si="23"/>
        <v>6</v>
      </c>
      <c r="BM118" s="103">
        <f ca="1">ROUND(VLOOKUP($BJ118&amp;"初始",$S$3:$AE$63,MATCH(BM$3,$S$3:$AE$3,0),FALSE)+((VLOOKUP($BJ118&amp;"最终",$S$3:$AE$63,MATCH(BM$3,$S$3:$AE$3,0),FALSE)*坦克个性化细分!$C$9-VLOOKUP($BJ118&amp;"初始",$S$3:$AE$63,MATCH(BM$3,$S$3:$AE$3,0),FALSE))-(VLOOKUP($BJ118&amp;"最终",$S$3:$AE$63,MATCH(BM$3,$S$3:$AE$3,0),FALSE)-VLOOKUP($BJ118&amp;"初始",$S$3:$AE$63,MATCH(BM$3,$S$3:$AE$3,0),FALSE))*VLOOKUP(VLOOKUP($BJ118,坦克个性化设定!$B$18:$E$48,4,FALSE)&amp;$BK118,坦克属性分配比例,MATCH("部件比例",坦克属性分配比例标头,0),FALSE))*$BL118/VLOOKUP(VLOOKUP($BJ118,坦克个性化设定!$B$18:$E$48,4,FALSE)&amp;$BK118,坦克属性分配比例,MATCH("升星次数",坦克属性分配比例标头,0),FALSE),0)</f>
        <v>1287</v>
      </c>
      <c r="BN118" s="103">
        <f ca="1">ROUND(VLOOKUP($BJ118&amp;"初始",$S$3:$AE$63,MATCH(BN$3,$S$3:$AE$3,0),FALSE)+(VLOOKUP($BJ118&amp;"最终",$S$3:$AE$63,MATCH(BN$3,$S$3:$AE$3,0),FALSE)-VLOOKUP($BJ118&amp;"初始",$S$3:$AE$63,MATCH(BN$3,$S$3:$AE$3,0),FALSE))*$BL118/VLOOKUP(VLOOKUP($BJ118,坦克个性化设定!$B$18:$E$48,4,FALSE)&amp;$BK118,坦克属性分配比例,MATCH("升星次数",坦克属性分配比例标头,0),FALSE)*VLOOKUP(VLOOKUP($BJ118,坦克个性化设定!$B$18:$E$48,4,FALSE)&amp;$BK118,坦克属性分配比例,MATCH("升星比例",坦克属性分配比例标头,0),FALSE),0)</f>
        <v>176</v>
      </c>
      <c r="BO118" s="103">
        <f ca="1">ROUND(VLOOKUP($BJ118&amp;"初始",$S$3:$AE$63,MATCH(BO$3,$S$3:$AE$3,0),FALSE)+(VLOOKUP($BJ118&amp;"最终",$S$3:$AE$63,MATCH(BO$3,$S$3:$AE$3,0),FALSE)-VLOOKUP($BJ118&amp;"初始",$S$3:$AE$63,MATCH(BO$3,$S$3:$AE$3,0),FALSE))*$BL118/VLOOKUP(VLOOKUP($BJ118,坦克个性化设定!$B$18:$E$48,4,FALSE)&amp;$BK118,坦克属性分配比例,MATCH("升星次数",坦克属性分配比例标头,0),FALSE)*(VLOOKUP(VLOOKUP($BJ118,坦克个性化设定!$B$18:$E$48,4,FALSE)&amp;$BK118,坦克属性分配比例,MATCH("升星比例",坦克属性分配比例标头,0),FALSE)+VLOOKUP(VLOOKUP($BJ118,坦克个性化设定!$B$18:$E$48,4,FALSE)&amp;$BK118,坦克属性分配比例,MATCH("部件比例",坦克属性分配比例标头,0),FALSE)*$C$3),0)</f>
        <v>516</v>
      </c>
      <c r="BP118" s="103">
        <f ca="1">ROUND(VLOOKUP($BJ118&amp;"初始",$S$3:$AE$63,MATCH(BP$3,$S$3:$AE$3,0),FALSE)+(VLOOKUP($BJ118&amp;"最终",$S$3:$AE$63,MATCH(BP$3,$S$3:$AE$3,0),FALSE)-VLOOKUP($BJ118&amp;"初始",$S$3:$AE$63,MATCH(BP$3,$S$3:$AE$3,0),FALSE))*$BL118/VLOOKUP(VLOOKUP($BJ118,坦克个性化设定!$B$18:$E$48,4,FALSE)&amp;$BK118,坦克属性分配比例,MATCH("升星次数",坦克属性分配比例标头,0),FALSE)*(VLOOKUP(VLOOKUP($BJ118,坦克个性化设定!$B$18:$E$48,4,FALSE)&amp;$BK118,坦克属性分配比例,MATCH("升星比例",坦克属性分配比例标头,0),FALSE)+VLOOKUP(VLOOKUP($BJ118,坦克个性化设定!$B$18:$E$48,4,FALSE)&amp;$BK118,坦克属性分配比例,MATCH("部件比例",坦克属性分配比例标头,0),FALSE)*$C$3),0)</f>
        <v>232</v>
      </c>
      <c r="BQ118" s="103">
        <f ca="1">ROUND(VLOOKUP($BJ118&amp;"初始",$S$3:$AE$63,MATCH(BQ$3,$S$3:$AE$3,0),FALSE)+(VLOOKUP($BJ118&amp;"最终",$S$3:$AE$63,MATCH(BQ$3,$S$3:$AE$3,0),FALSE)-VLOOKUP($BJ118&amp;"初始",$S$3:$AE$63,MATCH(BQ$3,$S$3:$AE$3,0),FALSE))*$BL118/VLOOKUP(VLOOKUP($BJ118,坦克个性化设定!$B$18:$E$48,4,FALSE)&amp;$BK118,坦克属性分配比例,MATCH("升星次数",坦克属性分配比例标头,0),FALSE)*VLOOKUP(VLOOKUP($BJ118,坦克个性化设定!$B$18:$E$48,4,FALSE)&amp;$BK118,坦克属性分配比例,MATCH("升星比例",坦克属性分配比例标头,0),FALSE),0)</f>
        <v>532</v>
      </c>
      <c r="BR118" s="2">
        <f ca="1">ROUND(VLOOKUP($BJ118&amp;"初始",$S$3:$AE$63,MATCH(BR$3,$S$3:$AE$3,0),FALSE)+(VLOOKUP($BJ118&amp;"最终",$S$3:$AE$63,MATCH(BR$3,$S$3:$AE$3,0),FALSE)-VLOOKUP($BJ118&amp;"初始",$S$3:$AE$63,MATCH(BR$3,$S$3:$AE$3,0),FALSE))*$BL118/VLOOKUP(VLOOKUP($BJ118,坦克个性化设定!$B$18:$E$48,4,FALSE)&amp;$BK118,坦克属性分配比例,MATCH("升星次数",坦克属性分配比例标头,0),FALSE),0)</f>
        <v>137</v>
      </c>
      <c r="BS118" s="2">
        <f>ROUND(VLOOKUP($BJ118,$AI$3:$AO$33,MATCH(BS$3,$AI$3:$AO$3,0),FALSE)+$BL118/VLOOKUP(VLOOKUP($BJ118,坦克个性化设定!$B$18:$E$48,4,FALSE)&amp;$BK118,坦克属性分配比例,MATCH("升星次数",坦克属性分配比例标头,0),FALSE)*VLOOKUP($BJ118,$AR$3:$AY$33,MATCH(BS$3,$AR$3:$AY$3,0),FALSE),1)</f>
        <v>54</v>
      </c>
      <c r="BT118" s="2">
        <f>ROUND(VLOOKUP($BJ118,$AI$3:$AO$33,MATCH(BT$3,$AI$3:$AO$3,0),FALSE)+$BL118/VLOOKUP(VLOOKUP($BJ118,坦克个性化设定!$B$18:$E$48,4,FALSE)&amp;$BK118,坦克属性分配比例,MATCH("升星次数",坦克属性分配比例标头,0),FALSE)*VLOOKUP($BJ118,$AR$3:$AY$33,MATCH(BT$3,$AR$3:$AY$3,0),FALSE),1)</f>
        <v>48.6</v>
      </c>
      <c r="BU118" s="2">
        <f>ROUND(VLOOKUP($BJ118,$AI$3:$AO$33,MATCH(BU$3,$AI$3:$AO$3,0),FALSE)+$BL118/VLOOKUP(VLOOKUP($BJ118,坦克个性化设定!$B$18:$E$48,4,FALSE)&amp;$BK118,坦克属性分配比例,MATCH("升星次数",坦克属性分配比例标头,0),FALSE)*VLOOKUP($BJ118,$AR$3:$AY$33,MATCH(BU$3,$AR$3:$AY$3,0),FALSE),1)</f>
        <v>8</v>
      </c>
      <c r="BV118" s="2">
        <f>IF(VLOOKUP(BJ118,坦克个性化设定!$B$18:$BC$48,MATCH("装弹类型",坦克个性化设定!$B$18:$BC$18,0),FALSE)="弹夹换弹",0,ROUND(VLOOKUP($BJ118,$AI$3:$AO$33,MATCH("换弹时间",$AI$3:$AO$3,0),FALSE)-$BL118/VLOOKUP(VLOOKUP($BJ118,坦克个性化设定!$B$18:$E$48,4,FALSE)&amp;$BK118,坦克属性分配比例,MATCH("升星次数",坦克属性分配比例标头,0),FALSE)*VLOOKUP($BJ118,$AR$3:$AY$33,MATCH("换弹时间",$AR$3:$AY$3,0),FALSE),2))</f>
        <v>0</v>
      </c>
      <c r="BW118" s="2">
        <f>IF(VLOOKUP(BJ118,坦克个性化设定!$B$18:$BC$48,MATCH("装弹类型",坦克个性化设定!$B$18:$BC$18,0),FALSE)="弹夹换弹",ROUND(VLOOKUP($BJ118,$AI$3:$AO$33,MATCH("换弹时间",$AI$3:$AO$3,0),FALSE)-$BL118/VLOOKUP(VLOOKUP($BJ118,坦克个性化设定!$B$18:$E$48,4,FALSE)&amp;$BK118,坦克属性分配比例,MATCH("升星次数",坦克属性分配比例标头,0),FALSE)*VLOOKUP($BJ118,$AR$3:$AY$33,MATCH("换弹时间",$AR$3:$AY$3,0),FALSE),1),0)</f>
        <v>2.7</v>
      </c>
      <c r="BX118" s="2">
        <f>ROUND(VLOOKUP($BJ118,$AI$3:$AO$33,MATCH(BX$3,$AI$3:$AO$3,0),FALSE)+$BL118/VLOOKUP(VLOOKUP($BJ118,坦克个性化设定!$B$18:$E$48,4,FALSE)&amp;$BK118,坦克属性分配比例,MATCH("升星次数",坦克属性分配比例标头,0),FALSE)*VLOOKUP($BJ118,$AR$3:$AY$33,MATCH(BX$3,$AR$3:$AY$3,0),FALSE),2)</f>
        <v>0.9</v>
      </c>
      <c r="BY118" s="2">
        <f>ROUND(VLOOKUP($BJ118,$AI$3:$AO$33,MATCH(BY$3,$AI$3:$AO$3,0),FALSE)-$BL118/VLOOKUP(VLOOKUP($BJ118,坦克个性化设定!$B$18:$E$48,4,FALSE)&amp;$BK118,坦克属性分配比例,MATCH("升星次数",坦克属性分配比例标头,0),FALSE)*VLOOKUP($BJ118,$AR$3:$AY$33,MATCH(BY$3,$AR$3:$AY$3,0),FALSE),2)</f>
        <v>0.87</v>
      </c>
    </row>
    <row r="119" spans="60:77" x14ac:dyDescent="0.3">
      <c r="BH119" s="2" t="str">
        <f t="shared" si="24"/>
        <v>T-347</v>
      </c>
      <c r="BI119" s="2">
        <f>IF(BL118&gt;=VLOOKUP(VLOOKUP(BJ118,坦克个性化设定!$B$18:$E$48,4,FALSE)&amp;BK118,坦克属性分配比例,MATCH("升星次数",坦克属性分配比例标头,0),FALSE),BI118+1,BI118)</f>
        <v>12</v>
      </c>
      <c r="BJ119" s="2" t="str">
        <f t="shared" si="25"/>
        <v>T-34</v>
      </c>
      <c r="BK119" s="29" t="str">
        <f>VLOOKUP(BJ119,坦克个性化细分!$I$3:$J$33,2,FALSE)</f>
        <v>低</v>
      </c>
      <c r="BL119" s="2">
        <f t="shared" si="23"/>
        <v>7</v>
      </c>
      <c r="BM119" s="103">
        <f ca="1">ROUND(VLOOKUP($BJ119&amp;"初始",$S$3:$AE$63,MATCH(BM$3,$S$3:$AE$3,0),FALSE)+((VLOOKUP($BJ119&amp;"最终",$S$3:$AE$63,MATCH(BM$3,$S$3:$AE$3,0),FALSE)*坦克个性化细分!$C$9-VLOOKUP($BJ119&amp;"初始",$S$3:$AE$63,MATCH(BM$3,$S$3:$AE$3,0),FALSE))-(VLOOKUP($BJ119&amp;"最终",$S$3:$AE$63,MATCH(BM$3,$S$3:$AE$3,0),FALSE)-VLOOKUP($BJ119&amp;"初始",$S$3:$AE$63,MATCH(BM$3,$S$3:$AE$3,0),FALSE))*VLOOKUP(VLOOKUP($BJ119,坦克个性化设定!$B$18:$E$48,4,FALSE)&amp;$BK119,坦克属性分配比例,MATCH("部件比例",坦克属性分配比例标头,0),FALSE))*$BL119/VLOOKUP(VLOOKUP($BJ119,坦克个性化设定!$B$18:$E$48,4,FALSE)&amp;$BK119,坦克属性分配比例,MATCH("升星次数",坦克属性分配比例标头,0),FALSE),0)</f>
        <v>1348</v>
      </c>
      <c r="BN119" s="103">
        <f ca="1">ROUND(VLOOKUP($BJ119&amp;"初始",$S$3:$AE$63,MATCH(BN$3,$S$3:$AE$3,0),FALSE)+(VLOOKUP($BJ119&amp;"最终",$S$3:$AE$63,MATCH(BN$3,$S$3:$AE$3,0),FALSE)-VLOOKUP($BJ119&amp;"初始",$S$3:$AE$63,MATCH(BN$3,$S$3:$AE$3,0),FALSE))*$BL119/VLOOKUP(VLOOKUP($BJ119,坦克个性化设定!$B$18:$E$48,4,FALSE)&amp;$BK119,坦克属性分配比例,MATCH("升星次数",坦克属性分配比例标头,0),FALSE)*VLOOKUP(VLOOKUP($BJ119,坦克个性化设定!$B$18:$E$48,4,FALSE)&amp;$BK119,坦克属性分配比例,MATCH("升星比例",坦克属性分配比例标头,0),FALSE),0)</f>
        <v>181</v>
      </c>
      <c r="BO119" s="103">
        <f ca="1">ROUND(VLOOKUP($BJ119&amp;"初始",$S$3:$AE$63,MATCH(BO$3,$S$3:$AE$3,0),FALSE)+(VLOOKUP($BJ119&amp;"最终",$S$3:$AE$63,MATCH(BO$3,$S$3:$AE$3,0),FALSE)-VLOOKUP($BJ119&amp;"初始",$S$3:$AE$63,MATCH(BO$3,$S$3:$AE$3,0),FALSE))*$BL119/VLOOKUP(VLOOKUP($BJ119,坦克个性化设定!$B$18:$E$48,4,FALSE)&amp;$BK119,坦克属性分配比例,MATCH("升星次数",坦克属性分配比例标头,0),FALSE)*(VLOOKUP(VLOOKUP($BJ119,坦克个性化设定!$B$18:$E$48,4,FALSE)&amp;$BK119,坦克属性分配比例,MATCH("升星比例",坦克属性分配比例标头,0),FALSE)+VLOOKUP(VLOOKUP($BJ119,坦克个性化设定!$B$18:$E$48,4,FALSE)&amp;$BK119,坦克属性分配比例,MATCH("部件比例",坦克属性分配比例标头,0),FALSE)*$C$3),0)</f>
        <v>536</v>
      </c>
      <c r="BP119" s="103">
        <f ca="1">ROUND(VLOOKUP($BJ119&amp;"初始",$S$3:$AE$63,MATCH(BP$3,$S$3:$AE$3,0),FALSE)+(VLOOKUP($BJ119&amp;"最终",$S$3:$AE$63,MATCH(BP$3,$S$3:$AE$3,0),FALSE)-VLOOKUP($BJ119&amp;"初始",$S$3:$AE$63,MATCH(BP$3,$S$3:$AE$3,0),FALSE))*$BL119/VLOOKUP(VLOOKUP($BJ119,坦克个性化设定!$B$18:$E$48,4,FALSE)&amp;$BK119,坦克属性分配比例,MATCH("升星次数",坦克属性分配比例标头,0),FALSE)*(VLOOKUP(VLOOKUP($BJ119,坦克个性化设定!$B$18:$E$48,4,FALSE)&amp;$BK119,坦克属性分配比例,MATCH("升星比例",坦克属性分配比例标头,0),FALSE)+VLOOKUP(VLOOKUP($BJ119,坦克个性化设定!$B$18:$E$48,4,FALSE)&amp;$BK119,坦克属性分配比例,MATCH("部件比例",坦克属性分配比例标头,0),FALSE)*$C$3),0)</f>
        <v>241</v>
      </c>
      <c r="BQ119" s="103">
        <f ca="1">ROUND(VLOOKUP($BJ119&amp;"初始",$S$3:$AE$63,MATCH(BQ$3,$S$3:$AE$3,0),FALSE)+(VLOOKUP($BJ119&amp;"最终",$S$3:$AE$63,MATCH(BQ$3,$S$3:$AE$3,0),FALSE)-VLOOKUP($BJ119&amp;"初始",$S$3:$AE$63,MATCH(BQ$3,$S$3:$AE$3,0),FALSE))*$BL119/VLOOKUP(VLOOKUP($BJ119,坦克个性化设定!$B$18:$E$48,4,FALSE)&amp;$BK119,坦克属性分配比例,MATCH("升星次数",坦克属性分配比例标头,0),FALSE)*VLOOKUP(VLOOKUP($BJ119,坦克个性化设定!$B$18:$E$48,4,FALSE)&amp;$BK119,坦克属性分配比例,MATCH("升星比例",坦克属性分配比例标头,0),FALSE),0)</f>
        <v>549</v>
      </c>
      <c r="BR119" s="2">
        <f ca="1">ROUND(VLOOKUP($BJ119&amp;"初始",$S$3:$AE$63,MATCH(BR$3,$S$3:$AE$3,0),FALSE)+(VLOOKUP($BJ119&amp;"最终",$S$3:$AE$63,MATCH(BR$3,$S$3:$AE$3,0),FALSE)-VLOOKUP($BJ119&amp;"初始",$S$3:$AE$63,MATCH(BR$3,$S$3:$AE$3,0),FALSE))*$BL119/VLOOKUP(VLOOKUP($BJ119,坦克个性化设定!$B$18:$E$48,4,FALSE)&amp;$BK119,坦克属性分配比例,MATCH("升星次数",坦克属性分配比例标头,0),FALSE),0)</f>
        <v>143</v>
      </c>
      <c r="BS119" s="2">
        <f>ROUND(VLOOKUP($BJ119,$AI$3:$AO$33,MATCH(BS$3,$AI$3:$AO$3,0),FALSE)+$BL119/VLOOKUP(VLOOKUP($BJ119,坦克个性化设定!$B$18:$E$48,4,FALSE)&amp;$BK119,坦克属性分配比例,MATCH("升星次数",坦克属性分配比例标头,0),FALSE)*VLOOKUP($BJ119,$AR$3:$AY$33,MATCH(BS$3,$AR$3:$AY$3,0),FALSE),1)</f>
        <v>55.6</v>
      </c>
      <c r="BT119" s="2">
        <f>ROUND(VLOOKUP($BJ119,$AI$3:$AO$33,MATCH(BT$3,$AI$3:$AO$3,0),FALSE)+$BL119/VLOOKUP(VLOOKUP($BJ119,坦克个性化设定!$B$18:$E$48,4,FALSE)&amp;$BK119,坦克属性分配比例,MATCH("升星次数",坦克属性分配比例标头,0),FALSE)*VLOOKUP($BJ119,$AR$3:$AY$33,MATCH(BT$3,$AR$3:$AY$3,0),FALSE),1)</f>
        <v>50</v>
      </c>
      <c r="BU119" s="2">
        <f>ROUND(VLOOKUP($BJ119,$AI$3:$AO$33,MATCH(BU$3,$AI$3:$AO$3,0),FALSE)+$BL119/VLOOKUP(VLOOKUP($BJ119,坦克个性化设定!$B$18:$E$48,4,FALSE)&amp;$BK119,坦克属性分配比例,MATCH("升星次数",坦克属性分配比例标头,0),FALSE)*VLOOKUP($BJ119,$AR$3:$AY$33,MATCH(BU$3,$AR$3:$AY$3,0),FALSE),1)</f>
        <v>8</v>
      </c>
      <c r="BV119" s="2">
        <f>IF(VLOOKUP(BJ119,坦克个性化设定!$B$18:$BC$48,MATCH("装弹类型",坦克个性化设定!$B$18:$BC$18,0),FALSE)="弹夹换弹",0,ROUND(VLOOKUP($BJ119,$AI$3:$AO$33,MATCH("换弹时间",$AI$3:$AO$3,0),FALSE)-$BL119/VLOOKUP(VLOOKUP($BJ119,坦克个性化设定!$B$18:$E$48,4,FALSE)&amp;$BK119,坦克属性分配比例,MATCH("升星次数",坦克属性分配比例标头,0),FALSE)*VLOOKUP($BJ119,$AR$3:$AY$33,MATCH("换弹时间",$AR$3:$AY$3,0),FALSE),2))</f>
        <v>0</v>
      </c>
      <c r="BW119" s="2">
        <f>IF(VLOOKUP(BJ119,坦克个性化设定!$B$18:$BC$48,MATCH("装弹类型",坦克个性化设定!$B$18:$BC$18,0),FALSE)="弹夹换弹",ROUND(VLOOKUP($BJ119,$AI$3:$AO$33,MATCH("换弹时间",$AI$3:$AO$3,0),FALSE)-$BL119/VLOOKUP(VLOOKUP($BJ119,坦克个性化设定!$B$18:$E$48,4,FALSE)&amp;$BK119,坦克属性分配比例,MATCH("升星次数",坦克属性分配比例标头,0),FALSE)*VLOOKUP($BJ119,$AR$3:$AY$33,MATCH("换弹时间",$AR$3:$AY$3,0),FALSE),1),0)</f>
        <v>2.6</v>
      </c>
      <c r="BX119" s="2">
        <f>ROUND(VLOOKUP($BJ119,$AI$3:$AO$33,MATCH(BX$3,$AI$3:$AO$3,0),FALSE)+$BL119/VLOOKUP(VLOOKUP($BJ119,坦克个性化设定!$B$18:$E$48,4,FALSE)&amp;$BK119,坦克属性分配比例,MATCH("升星次数",坦克属性分配比例标头,0),FALSE)*VLOOKUP($BJ119,$AR$3:$AY$33,MATCH(BX$3,$AR$3:$AY$3,0),FALSE),2)</f>
        <v>1</v>
      </c>
      <c r="BY119" s="2">
        <f>ROUND(VLOOKUP($BJ119,$AI$3:$AO$33,MATCH(BY$3,$AI$3:$AO$3,0),FALSE)-$BL119/VLOOKUP(VLOOKUP($BJ119,坦克个性化设定!$B$18:$E$48,4,FALSE)&amp;$BK119,坦克属性分配比例,MATCH("升星次数",坦克属性分配比例标头,0),FALSE)*VLOOKUP($BJ119,$AR$3:$AY$33,MATCH(BY$3,$AR$3:$AY$3,0),FALSE),2)</f>
        <v>0.84</v>
      </c>
    </row>
    <row r="120" spans="60:77" x14ac:dyDescent="0.3">
      <c r="BH120" s="2" t="str">
        <f t="shared" si="24"/>
        <v>四号0</v>
      </c>
      <c r="BI120" s="2">
        <f>IF(BL119&gt;=VLOOKUP(VLOOKUP(BJ119,坦克个性化设定!$B$18:$E$48,4,FALSE)&amp;BK119,坦克属性分配比例,MATCH("升星次数",坦克属性分配比例标头,0),FALSE),BI119+1,BI119)</f>
        <v>13</v>
      </c>
      <c r="BJ120" s="2" t="str">
        <f t="shared" si="25"/>
        <v>四号</v>
      </c>
      <c r="BK120" s="29" t="str">
        <f>VLOOKUP(BJ120,坦克个性化细分!$I$3:$J$33,2,FALSE)</f>
        <v>中</v>
      </c>
      <c r="BL120" s="2">
        <f t="shared" si="23"/>
        <v>0</v>
      </c>
      <c r="BM120" s="103">
        <f ca="1">ROUND(VLOOKUP($BJ120&amp;"初始",$S$3:$AE$63,MATCH(BM$3,$S$3:$AE$3,0),FALSE)+((VLOOKUP($BJ120&amp;"最终",$S$3:$AE$63,MATCH(BM$3,$S$3:$AE$3,0),FALSE)*坦克个性化细分!$C$9-VLOOKUP($BJ120&amp;"初始",$S$3:$AE$63,MATCH(BM$3,$S$3:$AE$3,0),FALSE))-(VLOOKUP($BJ120&amp;"最终",$S$3:$AE$63,MATCH(BM$3,$S$3:$AE$3,0),FALSE)-VLOOKUP($BJ120&amp;"初始",$S$3:$AE$63,MATCH(BM$3,$S$3:$AE$3,0),FALSE))*VLOOKUP(VLOOKUP($BJ120,坦克个性化设定!$B$18:$E$48,4,FALSE)&amp;$BK120,坦克属性分配比例,MATCH("部件比例",坦克属性分配比例标头,0),FALSE))*$BL120/VLOOKUP(VLOOKUP($BJ120,坦克个性化设定!$B$18:$E$48,4,FALSE)&amp;$BK120,坦克属性分配比例,MATCH("升星次数",坦克属性分配比例标头,0),FALSE),0)</f>
        <v>983</v>
      </c>
      <c r="BN120" s="103">
        <f ca="1">ROUND(VLOOKUP($BJ120&amp;"初始",$S$3:$AE$63,MATCH(BN$3,$S$3:$AE$3,0),FALSE)+(VLOOKUP($BJ120&amp;"最终",$S$3:$AE$63,MATCH(BN$3,$S$3:$AE$3,0),FALSE)-VLOOKUP($BJ120&amp;"初始",$S$3:$AE$63,MATCH(BN$3,$S$3:$AE$3,0),FALSE))*$BL120/VLOOKUP(VLOOKUP($BJ120,坦克个性化设定!$B$18:$E$48,4,FALSE)&amp;$BK120,坦克属性分配比例,MATCH("升星次数",坦克属性分配比例标头,0),FALSE)*VLOOKUP(VLOOKUP($BJ120,坦克个性化设定!$B$18:$E$48,4,FALSE)&amp;$BK120,坦克属性分配比例,MATCH("升星比例",坦克属性分配比例标头,0),FALSE),0)</f>
        <v>144</v>
      </c>
      <c r="BO120" s="103">
        <f ca="1">ROUND(VLOOKUP($BJ120&amp;"初始",$S$3:$AE$63,MATCH(BO$3,$S$3:$AE$3,0),FALSE)+(VLOOKUP($BJ120&amp;"最终",$S$3:$AE$63,MATCH(BO$3,$S$3:$AE$3,0),FALSE)-VLOOKUP($BJ120&amp;"初始",$S$3:$AE$63,MATCH(BO$3,$S$3:$AE$3,0),FALSE))*$BL120/VLOOKUP(VLOOKUP($BJ120,坦克个性化设定!$B$18:$E$48,4,FALSE)&amp;$BK120,坦克属性分配比例,MATCH("升星次数",坦克属性分配比例标头,0),FALSE)*(VLOOKUP(VLOOKUP($BJ120,坦克个性化设定!$B$18:$E$48,4,FALSE)&amp;$BK120,坦克属性分配比例,MATCH("升星比例",坦克属性分配比例标头,0),FALSE)+VLOOKUP(VLOOKUP($BJ120,坦克个性化设定!$B$18:$E$48,4,FALSE)&amp;$BK120,坦克属性分配比例,MATCH("部件比例",坦克属性分配比例标头,0),FALSE)*$C$3),0)</f>
        <v>401</v>
      </c>
      <c r="BP120" s="103">
        <f ca="1">ROUND(VLOOKUP($BJ120&amp;"初始",$S$3:$AE$63,MATCH(BP$3,$S$3:$AE$3,0),FALSE)+(VLOOKUP($BJ120&amp;"最终",$S$3:$AE$63,MATCH(BP$3,$S$3:$AE$3,0),FALSE)-VLOOKUP($BJ120&amp;"初始",$S$3:$AE$63,MATCH(BP$3,$S$3:$AE$3,0),FALSE))*$BL120/VLOOKUP(VLOOKUP($BJ120,坦克个性化设定!$B$18:$E$48,4,FALSE)&amp;$BK120,坦克属性分配比例,MATCH("升星次数",坦克属性分配比例标头,0),FALSE)*(VLOOKUP(VLOOKUP($BJ120,坦克个性化设定!$B$18:$E$48,4,FALSE)&amp;$BK120,坦克属性分配比例,MATCH("升星比例",坦克属性分配比例标头,0),FALSE)+VLOOKUP(VLOOKUP($BJ120,坦克个性化设定!$B$18:$E$48,4,FALSE)&amp;$BK120,坦克属性分配比例,MATCH("部件比例",坦克属性分配比例标头,0),FALSE)*$C$3),0)</f>
        <v>180</v>
      </c>
      <c r="BQ120" s="103">
        <f ca="1">ROUND(VLOOKUP($BJ120&amp;"初始",$S$3:$AE$63,MATCH(BQ$3,$S$3:$AE$3,0),FALSE)+(VLOOKUP($BJ120&amp;"最终",$S$3:$AE$63,MATCH(BQ$3,$S$3:$AE$3,0),FALSE)-VLOOKUP($BJ120&amp;"初始",$S$3:$AE$63,MATCH(BQ$3,$S$3:$AE$3,0),FALSE))*$BL120/VLOOKUP(VLOOKUP($BJ120,坦克个性化设定!$B$18:$E$48,4,FALSE)&amp;$BK120,坦克属性分配比例,MATCH("升星次数",坦克属性分配比例标头,0),FALSE)*VLOOKUP(VLOOKUP($BJ120,坦克个性化设定!$B$18:$E$48,4,FALSE)&amp;$BK120,坦克属性分配比例,MATCH("升星比例",坦克属性分配比例标头,0),FALSE),0)</f>
        <v>439</v>
      </c>
      <c r="BR120" s="2">
        <f ca="1">ROUND(VLOOKUP($BJ120&amp;"初始",$S$3:$AE$63,MATCH(BR$3,$S$3:$AE$3,0),FALSE)+(VLOOKUP($BJ120&amp;"最终",$S$3:$AE$63,MATCH(BR$3,$S$3:$AE$3,0),FALSE)-VLOOKUP($BJ120&amp;"初始",$S$3:$AE$63,MATCH(BR$3,$S$3:$AE$3,0),FALSE))*$BL120/VLOOKUP(VLOOKUP($BJ120,坦克个性化设定!$B$18:$E$48,4,FALSE)&amp;$BK120,坦克属性分配比例,MATCH("升星次数",坦克属性分配比例标头,0),FALSE),0)</f>
        <v>103</v>
      </c>
      <c r="BS120" s="2">
        <f>ROUND(VLOOKUP($BJ120,$AI$3:$AO$33,MATCH(BS$3,$AI$3:$AO$3,0),FALSE)+$BL120/VLOOKUP(VLOOKUP($BJ120,坦克个性化设定!$B$18:$E$48,4,FALSE)&amp;$BK120,坦克属性分配比例,MATCH("升星次数",坦克属性分配比例标头,0),FALSE)*VLOOKUP($BJ120,$AR$3:$AY$33,MATCH(BS$3,$AR$3:$AY$3,0),FALSE),1)</f>
        <v>36.299999999999997</v>
      </c>
      <c r="BT120" s="2">
        <f>ROUND(VLOOKUP($BJ120,$AI$3:$AO$33,MATCH(BT$3,$AI$3:$AO$3,0),FALSE)+$BL120/VLOOKUP(VLOOKUP($BJ120,坦克个性化设定!$B$18:$E$48,4,FALSE)&amp;$BK120,坦克属性分配比例,MATCH("升星次数",坦克属性分配比例标头,0),FALSE)*VLOOKUP($BJ120,$AR$3:$AY$33,MATCH(BT$3,$AR$3:$AY$3,0),FALSE),1)</f>
        <v>51</v>
      </c>
      <c r="BU120" s="2">
        <f>ROUND(VLOOKUP($BJ120,$AI$3:$AO$33,MATCH(BU$3,$AI$3:$AO$3,0),FALSE)+$BL120/VLOOKUP(VLOOKUP($BJ120,坦克个性化设定!$B$18:$E$48,4,FALSE)&amp;$BK120,坦克属性分配比例,MATCH("升星次数",坦克属性分配比例标头,0),FALSE)*VLOOKUP($BJ120,$AR$3:$AY$33,MATCH(BU$3,$AR$3:$AY$3,0),FALSE),1)</f>
        <v>7.3</v>
      </c>
      <c r="BV120" s="2">
        <f>IF(VLOOKUP(BJ120,坦克个性化设定!$B$18:$BC$48,MATCH("装弹类型",坦克个性化设定!$B$18:$BC$18,0),FALSE)="弹夹换弹",0,ROUND(VLOOKUP($BJ120,$AI$3:$AO$33,MATCH("换弹时间",$AI$3:$AO$3,0),FALSE)-$BL120/VLOOKUP(VLOOKUP($BJ120,坦克个性化设定!$B$18:$E$48,4,FALSE)&amp;$BK120,坦克属性分配比例,MATCH("升星次数",坦克属性分配比例标头,0),FALSE)*VLOOKUP($BJ120,$AR$3:$AY$33,MATCH("换弹时间",$AR$3:$AY$3,0),FALSE),2))</f>
        <v>2.4</v>
      </c>
      <c r="BW120" s="2">
        <f>IF(VLOOKUP(BJ120,坦克个性化设定!$B$18:$BC$48,MATCH("装弹类型",坦克个性化设定!$B$18:$BC$18,0),FALSE)="弹夹换弹",ROUND(VLOOKUP($BJ120,$AI$3:$AO$33,MATCH("换弹时间",$AI$3:$AO$3,0),FALSE)-$BL120/VLOOKUP(VLOOKUP($BJ120,坦克个性化设定!$B$18:$E$48,4,FALSE)&amp;$BK120,坦克属性分配比例,MATCH("升星次数",坦克属性分配比例标头,0),FALSE)*VLOOKUP($BJ120,$AR$3:$AY$33,MATCH("换弹时间",$AR$3:$AY$3,0),FALSE),1),0)</f>
        <v>0</v>
      </c>
      <c r="BX120" s="2">
        <f>ROUND(VLOOKUP($BJ120,$AI$3:$AO$33,MATCH(BX$3,$AI$3:$AO$3,0),FALSE)+$BL120/VLOOKUP(VLOOKUP($BJ120,坦克个性化设定!$B$18:$E$48,4,FALSE)&amp;$BK120,坦克属性分配比例,MATCH("升星次数",坦克属性分配比例标头,0),FALSE)*VLOOKUP($BJ120,$AR$3:$AY$33,MATCH(BX$3,$AR$3:$AY$3,0),FALSE),2)</f>
        <v>0.4</v>
      </c>
      <c r="BY120" s="2">
        <f>ROUND(VLOOKUP($BJ120,$AI$3:$AO$33,MATCH(BY$3,$AI$3:$AO$3,0),FALSE)-$BL120/VLOOKUP(VLOOKUP($BJ120,坦克个性化设定!$B$18:$E$48,4,FALSE)&amp;$BK120,坦克属性分配比例,MATCH("升星次数",坦克属性分配比例标头,0),FALSE)*VLOOKUP($BJ120,$AR$3:$AY$33,MATCH(BY$3,$AR$3:$AY$3,0),FALSE),2)</f>
        <v>1.4</v>
      </c>
    </row>
    <row r="121" spans="60:77" x14ac:dyDescent="0.3">
      <c r="BH121" s="2" t="str">
        <f t="shared" si="24"/>
        <v>四号1</v>
      </c>
      <c r="BI121" s="2">
        <f>IF(BL120&gt;=VLOOKUP(VLOOKUP(BJ120,坦克个性化设定!$B$18:$E$48,4,FALSE)&amp;BK120,坦克属性分配比例,MATCH("升星次数",坦克属性分配比例标头,0),FALSE),BI120+1,BI120)</f>
        <v>13</v>
      </c>
      <c r="BJ121" s="2" t="str">
        <f t="shared" si="25"/>
        <v>四号</v>
      </c>
      <c r="BK121" s="29" t="str">
        <f>VLOOKUP(BJ121,坦克个性化细分!$I$3:$J$33,2,FALSE)</f>
        <v>中</v>
      </c>
      <c r="BL121" s="2">
        <f t="shared" si="23"/>
        <v>1</v>
      </c>
      <c r="BM121" s="103">
        <f ca="1">ROUND(VLOOKUP($BJ121&amp;"初始",$S$3:$AE$63,MATCH(BM$3,$S$3:$AE$3,0),FALSE)+((VLOOKUP($BJ121&amp;"最终",$S$3:$AE$63,MATCH(BM$3,$S$3:$AE$3,0),FALSE)*坦克个性化细分!$C$9-VLOOKUP($BJ121&amp;"初始",$S$3:$AE$63,MATCH(BM$3,$S$3:$AE$3,0),FALSE))-(VLOOKUP($BJ121&amp;"最终",$S$3:$AE$63,MATCH(BM$3,$S$3:$AE$3,0),FALSE)-VLOOKUP($BJ121&amp;"初始",$S$3:$AE$63,MATCH(BM$3,$S$3:$AE$3,0),FALSE))*VLOOKUP(VLOOKUP($BJ121,坦克个性化设定!$B$18:$E$48,4,FALSE)&amp;$BK121,坦克属性分配比例,MATCH("部件比例",坦克属性分配比例标头,0),FALSE))*$BL121/VLOOKUP(VLOOKUP($BJ121,坦克个性化设定!$B$18:$E$48,4,FALSE)&amp;$BK121,坦克属性分配比例,MATCH("升星次数",坦克属性分配比例标头,0),FALSE),0)</f>
        <v>1054</v>
      </c>
      <c r="BN121" s="103">
        <f ca="1">ROUND(VLOOKUP($BJ121&amp;"初始",$S$3:$AE$63,MATCH(BN$3,$S$3:$AE$3,0),FALSE)+(VLOOKUP($BJ121&amp;"最终",$S$3:$AE$63,MATCH(BN$3,$S$3:$AE$3,0),FALSE)-VLOOKUP($BJ121&amp;"初始",$S$3:$AE$63,MATCH(BN$3,$S$3:$AE$3,0),FALSE))*$BL121/VLOOKUP(VLOOKUP($BJ121,坦克个性化设定!$B$18:$E$48,4,FALSE)&amp;$BK121,坦克属性分配比例,MATCH("升星次数",坦克属性分配比例标头,0),FALSE)*VLOOKUP(VLOOKUP($BJ121,坦克个性化设定!$B$18:$E$48,4,FALSE)&amp;$BK121,坦克属性分配比例,MATCH("升星比例",坦克属性分配比例标头,0),FALSE),0)</f>
        <v>150</v>
      </c>
      <c r="BO121" s="103">
        <f ca="1">ROUND(VLOOKUP($BJ121&amp;"初始",$S$3:$AE$63,MATCH(BO$3,$S$3:$AE$3,0),FALSE)+(VLOOKUP($BJ121&amp;"最终",$S$3:$AE$63,MATCH(BO$3,$S$3:$AE$3,0),FALSE)-VLOOKUP($BJ121&amp;"初始",$S$3:$AE$63,MATCH(BO$3,$S$3:$AE$3,0),FALSE))*$BL121/VLOOKUP(VLOOKUP($BJ121,坦克个性化设定!$B$18:$E$48,4,FALSE)&amp;$BK121,坦克属性分配比例,MATCH("升星次数",坦克属性分配比例标头,0),FALSE)*(VLOOKUP(VLOOKUP($BJ121,坦克个性化设定!$B$18:$E$48,4,FALSE)&amp;$BK121,坦克属性分配比例,MATCH("升星比例",坦克属性分配比例标头,0),FALSE)+VLOOKUP(VLOOKUP($BJ121,坦克个性化设定!$B$18:$E$48,4,FALSE)&amp;$BK121,坦克属性分配比例,MATCH("部件比例",坦克属性分配比例标头,0),FALSE)*$C$3),0)</f>
        <v>423</v>
      </c>
      <c r="BP121" s="103">
        <f ca="1">ROUND(VLOOKUP($BJ121&amp;"初始",$S$3:$AE$63,MATCH(BP$3,$S$3:$AE$3,0),FALSE)+(VLOOKUP($BJ121&amp;"最终",$S$3:$AE$63,MATCH(BP$3,$S$3:$AE$3,0),FALSE)-VLOOKUP($BJ121&amp;"初始",$S$3:$AE$63,MATCH(BP$3,$S$3:$AE$3,0),FALSE))*$BL121/VLOOKUP(VLOOKUP($BJ121,坦克个性化设定!$B$18:$E$48,4,FALSE)&amp;$BK121,坦克属性分配比例,MATCH("升星次数",坦克属性分配比例标头,0),FALSE)*(VLOOKUP(VLOOKUP($BJ121,坦克个性化设定!$B$18:$E$48,4,FALSE)&amp;$BK121,坦克属性分配比例,MATCH("升星比例",坦克属性分配比例标头,0),FALSE)+VLOOKUP(VLOOKUP($BJ121,坦克个性化设定!$B$18:$E$48,4,FALSE)&amp;$BK121,坦克属性分配比例,MATCH("部件比例",坦克属性分配比例标头,0),FALSE)*$C$3),0)</f>
        <v>190</v>
      </c>
      <c r="BQ121" s="103">
        <f ca="1">ROUND(VLOOKUP($BJ121&amp;"初始",$S$3:$AE$63,MATCH(BQ$3,$S$3:$AE$3,0),FALSE)+(VLOOKUP($BJ121&amp;"最终",$S$3:$AE$63,MATCH(BQ$3,$S$3:$AE$3,0),FALSE)-VLOOKUP($BJ121&amp;"初始",$S$3:$AE$63,MATCH(BQ$3,$S$3:$AE$3,0),FALSE))*$BL121/VLOOKUP(VLOOKUP($BJ121,坦克个性化设定!$B$18:$E$48,4,FALSE)&amp;$BK121,坦克属性分配比例,MATCH("升星次数",坦克属性分配比例标头,0),FALSE)*VLOOKUP(VLOOKUP($BJ121,坦克个性化设定!$B$18:$E$48,4,FALSE)&amp;$BK121,坦克属性分配比例,MATCH("升星比例",坦克属性分配比例标头,0),FALSE),0)</f>
        <v>457</v>
      </c>
      <c r="BR121" s="2">
        <f ca="1">ROUND(VLOOKUP($BJ121&amp;"初始",$S$3:$AE$63,MATCH(BR$3,$S$3:$AE$3,0),FALSE)+(VLOOKUP($BJ121&amp;"最终",$S$3:$AE$63,MATCH(BR$3,$S$3:$AE$3,0),FALSE)-VLOOKUP($BJ121&amp;"初始",$S$3:$AE$63,MATCH(BR$3,$S$3:$AE$3,0),FALSE))*$BL121/VLOOKUP(VLOOKUP($BJ121,坦克个性化设定!$B$18:$E$48,4,FALSE)&amp;$BK121,坦克属性分配比例,MATCH("升星次数",坦克属性分配比例标头,0),FALSE),0)</f>
        <v>109</v>
      </c>
      <c r="BS121" s="2">
        <f>ROUND(VLOOKUP($BJ121,$AI$3:$AO$33,MATCH(BS$3,$AI$3:$AO$3,0),FALSE)+$BL121/VLOOKUP(VLOOKUP($BJ121,坦克个性化设定!$B$18:$E$48,4,FALSE)&amp;$BK121,坦克属性分配比例,MATCH("升星次数",坦克属性分配比例标头,0),FALSE)*VLOOKUP($BJ121,$AR$3:$AY$33,MATCH(BS$3,$AR$3:$AY$3,0),FALSE),1)</f>
        <v>37.6</v>
      </c>
      <c r="BT121" s="2">
        <f>ROUND(VLOOKUP($BJ121,$AI$3:$AO$33,MATCH(BT$3,$AI$3:$AO$3,0),FALSE)+$BL121/VLOOKUP(VLOOKUP($BJ121,坦克个性化设定!$B$18:$E$48,4,FALSE)&amp;$BK121,坦克属性分配比例,MATCH("升星次数",坦克属性分配比例标头,0),FALSE)*VLOOKUP($BJ121,$AR$3:$AY$33,MATCH(BT$3,$AR$3:$AY$3,0),FALSE),1)</f>
        <v>52.8</v>
      </c>
      <c r="BU121" s="2">
        <f>ROUND(VLOOKUP($BJ121,$AI$3:$AO$33,MATCH(BU$3,$AI$3:$AO$3,0),FALSE)+$BL121/VLOOKUP(VLOOKUP($BJ121,坦克个性化设定!$B$18:$E$48,4,FALSE)&amp;$BK121,坦克属性分配比例,MATCH("升星次数",坦克属性分配比例标头,0),FALSE)*VLOOKUP($BJ121,$AR$3:$AY$33,MATCH(BU$3,$AR$3:$AY$3,0),FALSE),1)</f>
        <v>7.3</v>
      </c>
      <c r="BV121" s="2">
        <f>IF(VLOOKUP(BJ121,坦克个性化设定!$B$18:$BC$48,MATCH("装弹类型",坦克个性化设定!$B$18:$BC$18,0),FALSE)="弹夹换弹",0,ROUND(VLOOKUP($BJ121,$AI$3:$AO$33,MATCH("换弹时间",$AI$3:$AO$3,0),FALSE)-$BL121/VLOOKUP(VLOOKUP($BJ121,坦克个性化设定!$B$18:$E$48,4,FALSE)&amp;$BK121,坦克属性分配比例,MATCH("升星次数",坦克属性分配比例标头,0),FALSE)*VLOOKUP($BJ121,$AR$3:$AY$33,MATCH("换弹时间",$AR$3:$AY$3,0),FALSE),2))</f>
        <v>2.35</v>
      </c>
      <c r="BW121" s="2">
        <f>IF(VLOOKUP(BJ121,坦克个性化设定!$B$18:$BC$48,MATCH("装弹类型",坦克个性化设定!$B$18:$BC$18,0),FALSE)="弹夹换弹",ROUND(VLOOKUP($BJ121,$AI$3:$AO$33,MATCH("换弹时间",$AI$3:$AO$3,0),FALSE)-$BL121/VLOOKUP(VLOOKUP($BJ121,坦克个性化设定!$B$18:$E$48,4,FALSE)&amp;$BK121,坦克属性分配比例,MATCH("升星次数",坦克属性分配比例标头,0),FALSE)*VLOOKUP($BJ121,$AR$3:$AY$33,MATCH("换弹时间",$AR$3:$AY$3,0),FALSE),1),0)</f>
        <v>0</v>
      </c>
      <c r="BX121" s="2">
        <f>ROUND(VLOOKUP($BJ121,$AI$3:$AO$33,MATCH(BX$3,$AI$3:$AO$3,0),FALSE)+$BL121/VLOOKUP(VLOOKUP($BJ121,坦克个性化设定!$B$18:$E$48,4,FALSE)&amp;$BK121,坦克属性分配比例,MATCH("升星次数",坦克属性分配比例标头,0),FALSE)*VLOOKUP($BJ121,$AR$3:$AY$33,MATCH(BX$3,$AR$3:$AY$3,0),FALSE),2)</f>
        <v>0.4</v>
      </c>
      <c r="BY121" s="2">
        <f>ROUND(VLOOKUP($BJ121,$AI$3:$AO$33,MATCH(BY$3,$AI$3:$AO$3,0),FALSE)-$BL121/VLOOKUP(VLOOKUP($BJ121,坦克个性化设定!$B$18:$E$48,4,FALSE)&amp;$BK121,坦克属性分配比例,MATCH("升星次数",坦克属性分配比例标头,0),FALSE)*VLOOKUP($BJ121,$AR$3:$AY$33,MATCH(BY$3,$AR$3:$AY$3,0),FALSE),2)</f>
        <v>1.37</v>
      </c>
    </row>
    <row r="122" spans="60:77" x14ac:dyDescent="0.3">
      <c r="BH122" s="2" t="str">
        <f t="shared" si="24"/>
        <v>四号2</v>
      </c>
      <c r="BI122" s="2">
        <f>IF(BL121&gt;=VLOOKUP(VLOOKUP(BJ121,坦克个性化设定!$B$18:$E$48,4,FALSE)&amp;BK121,坦克属性分配比例,MATCH("升星次数",坦克属性分配比例标头,0),FALSE),BI121+1,BI121)</f>
        <v>13</v>
      </c>
      <c r="BJ122" s="2" t="str">
        <f t="shared" si="25"/>
        <v>四号</v>
      </c>
      <c r="BK122" s="29" t="str">
        <f>VLOOKUP(BJ122,坦克个性化细分!$I$3:$J$33,2,FALSE)</f>
        <v>中</v>
      </c>
      <c r="BL122" s="2">
        <f t="shared" si="23"/>
        <v>2</v>
      </c>
      <c r="BM122" s="103">
        <f ca="1">ROUND(VLOOKUP($BJ122&amp;"初始",$S$3:$AE$63,MATCH(BM$3,$S$3:$AE$3,0),FALSE)+((VLOOKUP($BJ122&amp;"最终",$S$3:$AE$63,MATCH(BM$3,$S$3:$AE$3,0),FALSE)*坦克个性化细分!$C$9-VLOOKUP($BJ122&amp;"初始",$S$3:$AE$63,MATCH(BM$3,$S$3:$AE$3,0),FALSE))-(VLOOKUP($BJ122&amp;"最终",$S$3:$AE$63,MATCH(BM$3,$S$3:$AE$3,0),FALSE)-VLOOKUP($BJ122&amp;"初始",$S$3:$AE$63,MATCH(BM$3,$S$3:$AE$3,0),FALSE))*VLOOKUP(VLOOKUP($BJ122,坦克个性化设定!$B$18:$E$48,4,FALSE)&amp;$BK122,坦克属性分配比例,MATCH("部件比例",坦克属性分配比例标头,0),FALSE))*$BL122/VLOOKUP(VLOOKUP($BJ122,坦克个性化设定!$B$18:$E$48,4,FALSE)&amp;$BK122,坦克属性分配比例,MATCH("升星次数",坦克属性分配比例标头,0),FALSE),0)</f>
        <v>1125</v>
      </c>
      <c r="BN122" s="103">
        <f ca="1">ROUND(VLOOKUP($BJ122&amp;"初始",$S$3:$AE$63,MATCH(BN$3,$S$3:$AE$3,0),FALSE)+(VLOOKUP($BJ122&amp;"最终",$S$3:$AE$63,MATCH(BN$3,$S$3:$AE$3,0),FALSE)-VLOOKUP($BJ122&amp;"初始",$S$3:$AE$63,MATCH(BN$3,$S$3:$AE$3,0),FALSE))*$BL122/VLOOKUP(VLOOKUP($BJ122,坦克个性化设定!$B$18:$E$48,4,FALSE)&amp;$BK122,坦克属性分配比例,MATCH("升星次数",坦克属性分配比例标头,0),FALSE)*VLOOKUP(VLOOKUP($BJ122,坦克个性化设定!$B$18:$E$48,4,FALSE)&amp;$BK122,坦克属性分配比例,MATCH("升星比例",坦克属性分配比例标头,0),FALSE),0)</f>
        <v>156</v>
      </c>
      <c r="BO122" s="103">
        <f ca="1">ROUND(VLOOKUP($BJ122&amp;"初始",$S$3:$AE$63,MATCH(BO$3,$S$3:$AE$3,0),FALSE)+(VLOOKUP($BJ122&amp;"最终",$S$3:$AE$63,MATCH(BO$3,$S$3:$AE$3,0),FALSE)-VLOOKUP($BJ122&amp;"初始",$S$3:$AE$63,MATCH(BO$3,$S$3:$AE$3,0),FALSE))*$BL122/VLOOKUP(VLOOKUP($BJ122,坦克个性化设定!$B$18:$E$48,4,FALSE)&amp;$BK122,坦克属性分配比例,MATCH("升星次数",坦克属性分配比例标头,0),FALSE)*(VLOOKUP(VLOOKUP($BJ122,坦克个性化设定!$B$18:$E$48,4,FALSE)&amp;$BK122,坦克属性分配比例,MATCH("升星比例",坦克属性分配比例标头,0),FALSE)+VLOOKUP(VLOOKUP($BJ122,坦克个性化设定!$B$18:$E$48,4,FALSE)&amp;$BK122,坦克属性分配比例,MATCH("部件比例",坦克属性分配比例标头,0),FALSE)*$C$3),0)</f>
        <v>444</v>
      </c>
      <c r="BP122" s="103">
        <f ca="1">ROUND(VLOOKUP($BJ122&amp;"初始",$S$3:$AE$63,MATCH(BP$3,$S$3:$AE$3,0),FALSE)+(VLOOKUP($BJ122&amp;"最终",$S$3:$AE$63,MATCH(BP$3,$S$3:$AE$3,0),FALSE)-VLOOKUP($BJ122&amp;"初始",$S$3:$AE$63,MATCH(BP$3,$S$3:$AE$3,0),FALSE))*$BL122/VLOOKUP(VLOOKUP($BJ122,坦克个性化设定!$B$18:$E$48,4,FALSE)&amp;$BK122,坦克属性分配比例,MATCH("升星次数",坦克属性分配比例标头,0),FALSE)*(VLOOKUP(VLOOKUP($BJ122,坦克个性化设定!$B$18:$E$48,4,FALSE)&amp;$BK122,坦克属性分配比例,MATCH("升星比例",坦克属性分配比例标头,0),FALSE)+VLOOKUP(VLOOKUP($BJ122,坦克个性化设定!$B$18:$E$48,4,FALSE)&amp;$BK122,坦克属性分配比例,MATCH("部件比例",坦克属性分配比例标头,0),FALSE)*$C$3),0)</f>
        <v>200</v>
      </c>
      <c r="BQ122" s="103">
        <f ca="1">ROUND(VLOOKUP($BJ122&amp;"初始",$S$3:$AE$63,MATCH(BQ$3,$S$3:$AE$3,0),FALSE)+(VLOOKUP($BJ122&amp;"最终",$S$3:$AE$63,MATCH(BQ$3,$S$3:$AE$3,0),FALSE)-VLOOKUP($BJ122&amp;"初始",$S$3:$AE$63,MATCH(BQ$3,$S$3:$AE$3,0),FALSE))*$BL122/VLOOKUP(VLOOKUP($BJ122,坦克个性化设定!$B$18:$E$48,4,FALSE)&amp;$BK122,坦克属性分配比例,MATCH("升星次数",坦克属性分配比例标头,0),FALSE)*VLOOKUP(VLOOKUP($BJ122,坦克个性化设定!$B$18:$E$48,4,FALSE)&amp;$BK122,坦克属性分配比例,MATCH("升星比例",坦克属性分配比例标头,0),FALSE),0)</f>
        <v>475</v>
      </c>
      <c r="BR122" s="2">
        <f ca="1">ROUND(VLOOKUP($BJ122&amp;"初始",$S$3:$AE$63,MATCH(BR$3,$S$3:$AE$3,0),FALSE)+(VLOOKUP($BJ122&amp;"最终",$S$3:$AE$63,MATCH(BR$3,$S$3:$AE$3,0),FALSE)-VLOOKUP($BJ122&amp;"初始",$S$3:$AE$63,MATCH(BR$3,$S$3:$AE$3,0),FALSE))*$BL122/VLOOKUP(VLOOKUP($BJ122,坦克个性化设定!$B$18:$E$48,4,FALSE)&amp;$BK122,坦克属性分配比例,MATCH("升星次数",坦克属性分配比例标头,0),FALSE),0)</f>
        <v>116</v>
      </c>
      <c r="BS122" s="2">
        <f>ROUND(VLOOKUP($BJ122,$AI$3:$AO$33,MATCH(BS$3,$AI$3:$AO$3,0),FALSE)+$BL122/VLOOKUP(VLOOKUP($BJ122,坦克个性化设定!$B$18:$E$48,4,FALSE)&amp;$BK122,坦克属性分配比例,MATCH("升星次数",坦克属性分配比例标头,0),FALSE)*VLOOKUP($BJ122,$AR$3:$AY$33,MATCH(BS$3,$AR$3:$AY$3,0),FALSE),1)</f>
        <v>38.9</v>
      </c>
      <c r="BT122" s="2">
        <f>ROUND(VLOOKUP($BJ122,$AI$3:$AO$33,MATCH(BT$3,$AI$3:$AO$3,0),FALSE)+$BL122/VLOOKUP(VLOOKUP($BJ122,坦克个性化设定!$B$18:$E$48,4,FALSE)&amp;$BK122,坦克属性分配比例,MATCH("升星次数",坦克属性分配比例标头,0),FALSE)*VLOOKUP($BJ122,$AR$3:$AY$33,MATCH(BT$3,$AR$3:$AY$3,0),FALSE),1)</f>
        <v>54.6</v>
      </c>
      <c r="BU122" s="2">
        <f>ROUND(VLOOKUP($BJ122,$AI$3:$AO$33,MATCH(BU$3,$AI$3:$AO$3,0),FALSE)+$BL122/VLOOKUP(VLOOKUP($BJ122,坦克个性化设定!$B$18:$E$48,4,FALSE)&amp;$BK122,坦克属性分配比例,MATCH("升星次数",坦克属性分配比例标头,0),FALSE)*VLOOKUP($BJ122,$AR$3:$AY$33,MATCH(BU$3,$AR$3:$AY$3,0),FALSE),1)</f>
        <v>7.3</v>
      </c>
      <c r="BV122" s="2">
        <f>IF(VLOOKUP(BJ122,坦克个性化设定!$B$18:$BC$48,MATCH("装弹类型",坦克个性化设定!$B$18:$BC$18,0),FALSE)="弹夹换弹",0,ROUND(VLOOKUP($BJ122,$AI$3:$AO$33,MATCH("换弹时间",$AI$3:$AO$3,0),FALSE)-$BL122/VLOOKUP(VLOOKUP($BJ122,坦克个性化设定!$B$18:$E$48,4,FALSE)&amp;$BK122,坦克属性分配比例,MATCH("升星次数",坦克属性分配比例标头,0),FALSE)*VLOOKUP($BJ122,$AR$3:$AY$33,MATCH("换弹时间",$AR$3:$AY$3,0),FALSE),2))</f>
        <v>2.29</v>
      </c>
      <c r="BW122" s="2">
        <f>IF(VLOOKUP(BJ122,坦克个性化设定!$B$18:$BC$48,MATCH("装弹类型",坦克个性化设定!$B$18:$BC$18,0),FALSE)="弹夹换弹",ROUND(VLOOKUP($BJ122,$AI$3:$AO$33,MATCH("换弹时间",$AI$3:$AO$3,0),FALSE)-$BL122/VLOOKUP(VLOOKUP($BJ122,坦克个性化设定!$B$18:$E$48,4,FALSE)&amp;$BK122,坦克属性分配比例,MATCH("升星次数",坦克属性分配比例标头,0),FALSE)*VLOOKUP($BJ122,$AR$3:$AY$33,MATCH("换弹时间",$AR$3:$AY$3,0),FALSE),1),0)</f>
        <v>0</v>
      </c>
      <c r="BX122" s="2">
        <f>ROUND(VLOOKUP($BJ122,$AI$3:$AO$33,MATCH(BX$3,$AI$3:$AO$3,0),FALSE)+$BL122/VLOOKUP(VLOOKUP($BJ122,坦克个性化设定!$B$18:$E$48,4,FALSE)&amp;$BK122,坦克属性分配比例,MATCH("升星次数",坦克属性分配比例标头,0),FALSE)*VLOOKUP($BJ122,$AR$3:$AY$33,MATCH(BX$3,$AR$3:$AY$3,0),FALSE),2)</f>
        <v>0.4</v>
      </c>
      <c r="BY122" s="2">
        <f>ROUND(VLOOKUP($BJ122,$AI$3:$AO$33,MATCH(BY$3,$AI$3:$AO$3,0),FALSE)-$BL122/VLOOKUP(VLOOKUP($BJ122,坦克个性化设定!$B$18:$E$48,4,FALSE)&amp;$BK122,坦克属性分配比例,MATCH("升星次数",坦克属性分配比例标头,0),FALSE)*VLOOKUP($BJ122,$AR$3:$AY$33,MATCH(BY$3,$AR$3:$AY$3,0),FALSE),2)</f>
        <v>1.33</v>
      </c>
    </row>
    <row r="123" spans="60:77" x14ac:dyDescent="0.3">
      <c r="BH123" s="2" t="str">
        <f t="shared" si="24"/>
        <v>四号3</v>
      </c>
      <c r="BI123" s="2">
        <f>IF(BL122&gt;=VLOOKUP(VLOOKUP(BJ122,坦克个性化设定!$B$18:$E$48,4,FALSE)&amp;BK122,坦克属性分配比例,MATCH("升星次数",坦克属性分配比例标头,0),FALSE),BI122+1,BI122)</f>
        <v>13</v>
      </c>
      <c r="BJ123" s="2" t="str">
        <f t="shared" si="25"/>
        <v>四号</v>
      </c>
      <c r="BK123" s="29" t="str">
        <f>VLOOKUP(BJ123,坦克个性化细分!$I$3:$J$33,2,FALSE)</f>
        <v>中</v>
      </c>
      <c r="BL123" s="2">
        <f t="shared" si="23"/>
        <v>3</v>
      </c>
      <c r="BM123" s="103">
        <f ca="1">ROUND(VLOOKUP($BJ123&amp;"初始",$S$3:$AE$63,MATCH(BM$3,$S$3:$AE$3,0),FALSE)+((VLOOKUP($BJ123&amp;"最终",$S$3:$AE$63,MATCH(BM$3,$S$3:$AE$3,0),FALSE)*坦克个性化细分!$C$9-VLOOKUP($BJ123&amp;"初始",$S$3:$AE$63,MATCH(BM$3,$S$3:$AE$3,0),FALSE))-(VLOOKUP($BJ123&amp;"最终",$S$3:$AE$63,MATCH(BM$3,$S$3:$AE$3,0),FALSE)-VLOOKUP($BJ123&amp;"初始",$S$3:$AE$63,MATCH(BM$3,$S$3:$AE$3,0),FALSE))*VLOOKUP(VLOOKUP($BJ123,坦克个性化设定!$B$18:$E$48,4,FALSE)&amp;$BK123,坦克属性分配比例,MATCH("部件比例",坦克属性分配比例标头,0),FALSE))*$BL123/VLOOKUP(VLOOKUP($BJ123,坦克个性化设定!$B$18:$E$48,4,FALSE)&amp;$BK123,坦克属性分配比例,MATCH("升星次数",坦克属性分配比例标头,0),FALSE),0)</f>
        <v>1196</v>
      </c>
      <c r="BN123" s="103">
        <f ca="1">ROUND(VLOOKUP($BJ123&amp;"初始",$S$3:$AE$63,MATCH(BN$3,$S$3:$AE$3,0),FALSE)+(VLOOKUP($BJ123&amp;"最终",$S$3:$AE$63,MATCH(BN$3,$S$3:$AE$3,0),FALSE)-VLOOKUP($BJ123&amp;"初始",$S$3:$AE$63,MATCH(BN$3,$S$3:$AE$3,0),FALSE))*$BL123/VLOOKUP(VLOOKUP($BJ123,坦克个性化设定!$B$18:$E$48,4,FALSE)&amp;$BK123,坦克属性分配比例,MATCH("升星次数",坦克属性分配比例标头,0),FALSE)*VLOOKUP(VLOOKUP($BJ123,坦克个性化设定!$B$18:$E$48,4,FALSE)&amp;$BK123,坦克属性分配比例,MATCH("升星比例",坦克属性分配比例标头,0),FALSE),0)</f>
        <v>161</v>
      </c>
      <c r="BO123" s="103">
        <f ca="1">ROUND(VLOOKUP($BJ123&amp;"初始",$S$3:$AE$63,MATCH(BO$3,$S$3:$AE$3,0),FALSE)+(VLOOKUP($BJ123&amp;"最终",$S$3:$AE$63,MATCH(BO$3,$S$3:$AE$3,0),FALSE)-VLOOKUP($BJ123&amp;"初始",$S$3:$AE$63,MATCH(BO$3,$S$3:$AE$3,0),FALSE))*$BL123/VLOOKUP(VLOOKUP($BJ123,坦克个性化设定!$B$18:$E$48,4,FALSE)&amp;$BK123,坦克属性分配比例,MATCH("升星次数",坦克属性分配比例标头,0),FALSE)*(VLOOKUP(VLOOKUP($BJ123,坦克个性化设定!$B$18:$E$48,4,FALSE)&amp;$BK123,坦克属性分配比例,MATCH("升星比例",坦克属性分配比例标头,0),FALSE)+VLOOKUP(VLOOKUP($BJ123,坦克个性化设定!$B$18:$E$48,4,FALSE)&amp;$BK123,坦克属性分配比例,MATCH("部件比例",坦克属性分配比例标头,0),FALSE)*$C$3),0)</f>
        <v>466</v>
      </c>
      <c r="BP123" s="103">
        <f ca="1">ROUND(VLOOKUP($BJ123&amp;"初始",$S$3:$AE$63,MATCH(BP$3,$S$3:$AE$3,0),FALSE)+(VLOOKUP($BJ123&amp;"最终",$S$3:$AE$63,MATCH(BP$3,$S$3:$AE$3,0),FALSE)-VLOOKUP($BJ123&amp;"初始",$S$3:$AE$63,MATCH(BP$3,$S$3:$AE$3,0),FALSE))*$BL123/VLOOKUP(VLOOKUP($BJ123,坦克个性化设定!$B$18:$E$48,4,FALSE)&amp;$BK123,坦克属性分配比例,MATCH("升星次数",坦克属性分配比例标头,0),FALSE)*(VLOOKUP(VLOOKUP($BJ123,坦克个性化设定!$B$18:$E$48,4,FALSE)&amp;$BK123,坦克属性分配比例,MATCH("升星比例",坦克属性分配比例标头,0),FALSE)+VLOOKUP(VLOOKUP($BJ123,坦克个性化设定!$B$18:$E$48,4,FALSE)&amp;$BK123,坦克属性分配比例,MATCH("部件比例",坦克属性分配比例标头,0),FALSE)*$C$3),0)</f>
        <v>209</v>
      </c>
      <c r="BQ123" s="103">
        <f ca="1">ROUND(VLOOKUP($BJ123&amp;"初始",$S$3:$AE$63,MATCH(BQ$3,$S$3:$AE$3,0),FALSE)+(VLOOKUP($BJ123&amp;"最终",$S$3:$AE$63,MATCH(BQ$3,$S$3:$AE$3,0),FALSE)-VLOOKUP($BJ123&amp;"初始",$S$3:$AE$63,MATCH(BQ$3,$S$3:$AE$3,0),FALSE))*$BL123/VLOOKUP(VLOOKUP($BJ123,坦克个性化设定!$B$18:$E$48,4,FALSE)&amp;$BK123,坦克属性分配比例,MATCH("升星次数",坦克属性分配比例标头,0),FALSE)*VLOOKUP(VLOOKUP($BJ123,坦克个性化设定!$B$18:$E$48,4,FALSE)&amp;$BK123,坦克属性分配比例,MATCH("升星比例",坦克属性分配比例标头,0),FALSE),0)</f>
        <v>493</v>
      </c>
      <c r="BR123" s="2">
        <f ca="1">ROUND(VLOOKUP($BJ123&amp;"初始",$S$3:$AE$63,MATCH(BR$3,$S$3:$AE$3,0),FALSE)+(VLOOKUP($BJ123&amp;"最终",$S$3:$AE$63,MATCH(BR$3,$S$3:$AE$3,0),FALSE)-VLOOKUP($BJ123&amp;"初始",$S$3:$AE$63,MATCH(BR$3,$S$3:$AE$3,0),FALSE))*$BL123/VLOOKUP(VLOOKUP($BJ123,坦克个性化设定!$B$18:$E$48,4,FALSE)&amp;$BK123,坦克属性分配比例,MATCH("升星次数",坦克属性分配比例标头,0),FALSE),0)</f>
        <v>122</v>
      </c>
      <c r="BS123" s="2">
        <f>ROUND(VLOOKUP($BJ123,$AI$3:$AO$33,MATCH(BS$3,$AI$3:$AO$3,0),FALSE)+$BL123/VLOOKUP(VLOOKUP($BJ123,坦克个性化设定!$B$18:$E$48,4,FALSE)&amp;$BK123,坦克属性分配比例,MATCH("升星次数",坦克属性分配比例标头,0),FALSE)*VLOOKUP($BJ123,$AR$3:$AY$33,MATCH(BS$3,$AR$3:$AY$3,0),FALSE),1)</f>
        <v>40.200000000000003</v>
      </c>
      <c r="BT123" s="2">
        <f>ROUND(VLOOKUP($BJ123,$AI$3:$AO$33,MATCH(BT$3,$AI$3:$AO$3,0),FALSE)+$BL123/VLOOKUP(VLOOKUP($BJ123,坦克个性化设定!$B$18:$E$48,4,FALSE)&amp;$BK123,坦克属性分配比例,MATCH("升星次数",坦克属性分配比例标头,0),FALSE)*VLOOKUP($BJ123,$AR$3:$AY$33,MATCH(BT$3,$AR$3:$AY$3,0),FALSE),1)</f>
        <v>56.5</v>
      </c>
      <c r="BU123" s="2">
        <f>ROUND(VLOOKUP($BJ123,$AI$3:$AO$33,MATCH(BU$3,$AI$3:$AO$3,0),FALSE)+$BL123/VLOOKUP(VLOOKUP($BJ123,坦克个性化设定!$B$18:$E$48,4,FALSE)&amp;$BK123,坦克属性分配比例,MATCH("升星次数",坦克属性分配比例标头,0),FALSE)*VLOOKUP($BJ123,$AR$3:$AY$33,MATCH(BU$3,$AR$3:$AY$3,0),FALSE),1)</f>
        <v>7.3</v>
      </c>
      <c r="BV123" s="2">
        <f>IF(VLOOKUP(BJ123,坦克个性化设定!$B$18:$BC$48,MATCH("装弹类型",坦克个性化设定!$B$18:$BC$18,0),FALSE)="弹夹换弹",0,ROUND(VLOOKUP($BJ123,$AI$3:$AO$33,MATCH("换弹时间",$AI$3:$AO$3,0),FALSE)-$BL123/VLOOKUP(VLOOKUP($BJ123,坦克个性化设定!$B$18:$E$48,4,FALSE)&amp;$BK123,坦克属性分配比例,MATCH("升星次数",坦克属性分配比例标头,0),FALSE)*VLOOKUP($BJ123,$AR$3:$AY$33,MATCH("换弹时间",$AR$3:$AY$3,0),FALSE),2))</f>
        <v>2.2400000000000002</v>
      </c>
      <c r="BW123" s="2">
        <f>IF(VLOOKUP(BJ123,坦克个性化设定!$B$18:$BC$48,MATCH("装弹类型",坦克个性化设定!$B$18:$BC$18,0),FALSE)="弹夹换弹",ROUND(VLOOKUP($BJ123,$AI$3:$AO$33,MATCH("换弹时间",$AI$3:$AO$3,0),FALSE)-$BL123/VLOOKUP(VLOOKUP($BJ123,坦克个性化设定!$B$18:$E$48,4,FALSE)&amp;$BK123,坦克属性分配比例,MATCH("升星次数",坦克属性分配比例标头,0),FALSE)*VLOOKUP($BJ123,$AR$3:$AY$33,MATCH("换弹时间",$AR$3:$AY$3,0),FALSE),1),0)</f>
        <v>0</v>
      </c>
      <c r="BX123" s="2">
        <f>ROUND(VLOOKUP($BJ123,$AI$3:$AO$33,MATCH(BX$3,$AI$3:$AO$3,0),FALSE)+$BL123/VLOOKUP(VLOOKUP($BJ123,坦克个性化设定!$B$18:$E$48,4,FALSE)&amp;$BK123,坦克属性分配比例,MATCH("升星次数",坦克属性分配比例标头,0),FALSE)*VLOOKUP($BJ123,$AR$3:$AY$33,MATCH(BX$3,$AR$3:$AY$3,0),FALSE),2)</f>
        <v>0.4</v>
      </c>
      <c r="BY123" s="2">
        <f>ROUND(VLOOKUP($BJ123,$AI$3:$AO$33,MATCH(BY$3,$AI$3:$AO$3,0),FALSE)-$BL123/VLOOKUP(VLOOKUP($BJ123,坦克个性化设定!$B$18:$E$48,4,FALSE)&amp;$BK123,坦克属性分配比例,MATCH("升星次数",坦克属性分配比例标头,0),FALSE)*VLOOKUP($BJ123,$AR$3:$AY$33,MATCH(BY$3,$AR$3:$AY$3,0),FALSE),2)</f>
        <v>1.3</v>
      </c>
    </row>
    <row r="124" spans="60:77" x14ac:dyDescent="0.3">
      <c r="BH124" s="2" t="str">
        <f t="shared" si="24"/>
        <v>四号4</v>
      </c>
      <c r="BI124" s="2">
        <f>IF(BL123&gt;=VLOOKUP(VLOOKUP(BJ123,坦克个性化设定!$B$18:$E$48,4,FALSE)&amp;BK123,坦克属性分配比例,MATCH("升星次数",坦克属性分配比例标头,0),FALSE),BI123+1,BI123)</f>
        <v>13</v>
      </c>
      <c r="BJ124" s="2" t="str">
        <f t="shared" si="25"/>
        <v>四号</v>
      </c>
      <c r="BK124" s="29" t="str">
        <f>VLOOKUP(BJ124,坦克个性化细分!$I$3:$J$33,2,FALSE)</f>
        <v>中</v>
      </c>
      <c r="BL124" s="2">
        <f t="shared" si="23"/>
        <v>4</v>
      </c>
      <c r="BM124" s="103">
        <f ca="1">ROUND(VLOOKUP($BJ124&amp;"初始",$S$3:$AE$63,MATCH(BM$3,$S$3:$AE$3,0),FALSE)+((VLOOKUP($BJ124&amp;"最终",$S$3:$AE$63,MATCH(BM$3,$S$3:$AE$3,0),FALSE)*坦克个性化细分!$C$9-VLOOKUP($BJ124&amp;"初始",$S$3:$AE$63,MATCH(BM$3,$S$3:$AE$3,0),FALSE))-(VLOOKUP($BJ124&amp;"最终",$S$3:$AE$63,MATCH(BM$3,$S$3:$AE$3,0),FALSE)-VLOOKUP($BJ124&amp;"初始",$S$3:$AE$63,MATCH(BM$3,$S$3:$AE$3,0),FALSE))*VLOOKUP(VLOOKUP($BJ124,坦克个性化设定!$B$18:$E$48,4,FALSE)&amp;$BK124,坦克属性分配比例,MATCH("部件比例",坦克属性分配比例标头,0),FALSE))*$BL124/VLOOKUP(VLOOKUP($BJ124,坦克个性化设定!$B$18:$E$48,4,FALSE)&amp;$BK124,坦克属性分配比例,MATCH("升星次数",坦克属性分配比例标头,0),FALSE),0)</f>
        <v>1267</v>
      </c>
      <c r="BN124" s="103">
        <f ca="1">ROUND(VLOOKUP($BJ124&amp;"初始",$S$3:$AE$63,MATCH(BN$3,$S$3:$AE$3,0),FALSE)+(VLOOKUP($BJ124&amp;"最终",$S$3:$AE$63,MATCH(BN$3,$S$3:$AE$3,0),FALSE)-VLOOKUP($BJ124&amp;"初始",$S$3:$AE$63,MATCH(BN$3,$S$3:$AE$3,0),FALSE))*$BL124/VLOOKUP(VLOOKUP($BJ124,坦克个性化设定!$B$18:$E$48,4,FALSE)&amp;$BK124,坦克属性分配比例,MATCH("升星次数",坦克属性分配比例标头,0),FALSE)*VLOOKUP(VLOOKUP($BJ124,坦克个性化设定!$B$18:$E$48,4,FALSE)&amp;$BK124,坦克属性分配比例,MATCH("升星比例",坦克属性分配比例标头,0),FALSE),0)</f>
        <v>167</v>
      </c>
      <c r="BO124" s="103">
        <f ca="1">ROUND(VLOOKUP($BJ124&amp;"初始",$S$3:$AE$63,MATCH(BO$3,$S$3:$AE$3,0),FALSE)+(VLOOKUP($BJ124&amp;"最终",$S$3:$AE$63,MATCH(BO$3,$S$3:$AE$3,0),FALSE)-VLOOKUP($BJ124&amp;"初始",$S$3:$AE$63,MATCH(BO$3,$S$3:$AE$3,0),FALSE))*$BL124/VLOOKUP(VLOOKUP($BJ124,坦克个性化设定!$B$18:$E$48,4,FALSE)&amp;$BK124,坦克属性分配比例,MATCH("升星次数",坦克属性分配比例标头,0),FALSE)*(VLOOKUP(VLOOKUP($BJ124,坦克个性化设定!$B$18:$E$48,4,FALSE)&amp;$BK124,坦克属性分配比例,MATCH("升星比例",坦克属性分配比例标头,0),FALSE)+VLOOKUP(VLOOKUP($BJ124,坦克个性化设定!$B$18:$E$48,4,FALSE)&amp;$BK124,坦克属性分配比例,MATCH("部件比例",坦克属性分配比例标头,0),FALSE)*$C$3),0)</f>
        <v>488</v>
      </c>
      <c r="BP124" s="103">
        <f ca="1">ROUND(VLOOKUP($BJ124&amp;"初始",$S$3:$AE$63,MATCH(BP$3,$S$3:$AE$3,0),FALSE)+(VLOOKUP($BJ124&amp;"最终",$S$3:$AE$63,MATCH(BP$3,$S$3:$AE$3,0),FALSE)-VLOOKUP($BJ124&amp;"初始",$S$3:$AE$63,MATCH(BP$3,$S$3:$AE$3,0),FALSE))*$BL124/VLOOKUP(VLOOKUP($BJ124,坦克个性化设定!$B$18:$E$48,4,FALSE)&amp;$BK124,坦克属性分配比例,MATCH("升星次数",坦克属性分配比例标头,0),FALSE)*(VLOOKUP(VLOOKUP($BJ124,坦克个性化设定!$B$18:$E$48,4,FALSE)&amp;$BK124,坦克属性分配比例,MATCH("升星比例",坦克属性分配比例标头,0),FALSE)+VLOOKUP(VLOOKUP($BJ124,坦克个性化设定!$B$18:$E$48,4,FALSE)&amp;$BK124,坦克属性分配比例,MATCH("部件比例",坦克属性分配比例标头,0),FALSE)*$C$3),0)</f>
        <v>219</v>
      </c>
      <c r="BQ124" s="103">
        <f ca="1">ROUND(VLOOKUP($BJ124&amp;"初始",$S$3:$AE$63,MATCH(BQ$3,$S$3:$AE$3,0),FALSE)+(VLOOKUP($BJ124&amp;"最终",$S$3:$AE$63,MATCH(BQ$3,$S$3:$AE$3,0),FALSE)-VLOOKUP($BJ124&amp;"初始",$S$3:$AE$63,MATCH(BQ$3,$S$3:$AE$3,0),FALSE))*$BL124/VLOOKUP(VLOOKUP($BJ124,坦克个性化设定!$B$18:$E$48,4,FALSE)&amp;$BK124,坦克属性分配比例,MATCH("升星次数",坦克属性分配比例标头,0),FALSE)*VLOOKUP(VLOOKUP($BJ124,坦克个性化设定!$B$18:$E$48,4,FALSE)&amp;$BK124,坦克属性分配比例,MATCH("升星比例",坦克属性分配比例标头,0),FALSE),0)</f>
        <v>511</v>
      </c>
      <c r="BR124" s="2">
        <f ca="1">ROUND(VLOOKUP($BJ124&amp;"初始",$S$3:$AE$63,MATCH(BR$3,$S$3:$AE$3,0),FALSE)+(VLOOKUP($BJ124&amp;"最终",$S$3:$AE$63,MATCH(BR$3,$S$3:$AE$3,0),FALSE)-VLOOKUP($BJ124&amp;"初始",$S$3:$AE$63,MATCH(BR$3,$S$3:$AE$3,0),FALSE))*$BL124/VLOOKUP(VLOOKUP($BJ124,坦克个性化设定!$B$18:$E$48,4,FALSE)&amp;$BK124,坦克属性分配比例,MATCH("升星次数",坦克属性分配比例标头,0),FALSE),0)</f>
        <v>129</v>
      </c>
      <c r="BS124" s="2">
        <f>ROUND(VLOOKUP($BJ124,$AI$3:$AO$33,MATCH(BS$3,$AI$3:$AO$3,0),FALSE)+$BL124/VLOOKUP(VLOOKUP($BJ124,坦克个性化设定!$B$18:$E$48,4,FALSE)&amp;$BK124,坦克属性分配比例,MATCH("升星次数",坦克属性分配比例标头,0),FALSE)*VLOOKUP($BJ124,$AR$3:$AY$33,MATCH(BS$3,$AR$3:$AY$3,0),FALSE),1)</f>
        <v>41.5</v>
      </c>
      <c r="BT124" s="2">
        <f>ROUND(VLOOKUP($BJ124,$AI$3:$AO$33,MATCH(BT$3,$AI$3:$AO$3,0),FALSE)+$BL124/VLOOKUP(VLOOKUP($BJ124,坦克个性化设定!$B$18:$E$48,4,FALSE)&amp;$BK124,坦克属性分配比例,MATCH("升星次数",坦克属性分配比例标头,0),FALSE)*VLOOKUP($BJ124,$AR$3:$AY$33,MATCH(BT$3,$AR$3:$AY$3,0),FALSE),1)</f>
        <v>58.3</v>
      </c>
      <c r="BU124" s="2">
        <f>ROUND(VLOOKUP($BJ124,$AI$3:$AO$33,MATCH(BU$3,$AI$3:$AO$3,0),FALSE)+$BL124/VLOOKUP(VLOOKUP($BJ124,坦克个性化设定!$B$18:$E$48,4,FALSE)&amp;$BK124,坦克属性分配比例,MATCH("升星次数",坦克属性分配比例标头,0),FALSE)*VLOOKUP($BJ124,$AR$3:$AY$33,MATCH(BU$3,$AR$3:$AY$3,0),FALSE),1)</f>
        <v>7.3</v>
      </c>
      <c r="BV124" s="2">
        <f>IF(VLOOKUP(BJ124,坦克个性化设定!$B$18:$BC$48,MATCH("装弹类型",坦克个性化设定!$B$18:$BC$18,0),FALSE)="弹夹换弹",0,ROUND(VLOOKUP($BJ124,$AI$3:$AO$33,MATCH("换弹时间",$AI$3:$AO$3,0),FALSE)-$BL124/VLOOKUP(VLOOKUP($BJ124,坦克个性化设定!$B$18:$E$48,4,FALSE)&amp;$BK124,坦克属性分配比例,MATCH("升星次数",坦克属性分配比例标头,0),FALSE)*VLOOKUP($BJ124,$AR$3:$AY$33,MATCH("换弹时间",$AR$3:$AY$3,0),FALSE),2))</f>
        <v>2.1800000000000002</v>
      </c>
      <c r="BW124" s="2">
        <f>IF(VLOOKUP(BJ124,坦克个性化设定!$B$18:$BC$48,MATCH("装弹类型",坦克个性化设定!$B$18:$BC$18,0),FALSE)="弹夹换弹",ROUND(VLOOKUP($BJ124,$AI$3:$AO$33,MATCH("换弹时间",$AI$3:$AO$3,0),FALSE)-$BL124/VLOOKUP(VLOOKUP($BJ124,坦克个性化设定!$B$18:$E$48,4,FALSE)&amp;$BK124,坦克属性分配比例,MATCH("升星次数",坦克属性分配比例标头,0),FALSE)*VLOOKUP($BJ124,$AR$3:$AY$33,MATCH("换弹时间",$AR$3:$AY$3,0),FALSE),1),0)</f>
        <v>0</v>
      </c>
      <c r="BX124" s="2">
        <f>ROUND(VLOOKUP($BJ124,$AI$3:$AO$33,MATCH(BX$3,$AI$3:$AO$3,0),FALSE)+$BL124/VLOOKUP(VLOOKUP($BJ124,坦克个性化设定!$B$18:$E$48,4,FALSE)&amp;$BK124,坦克属性分配比例,MATCH("升星次数",坦克属性分配比例标头,0),FALSE)*VLOOKUP($BJ124,$AR$3:$AY$33,MATCH(BX$3,$AR$3:$AY$3,0),FALSE),2)</f>
        <v>0.4</v>
      </c>
      <c r="BY124" s="2">
        <f>ROUND(VLOOKUP($BJ124,$AI$3:$AO$33,MATCH(BY$3,$AI$3:$AO$3,0),FALSE)-$BL124/VLOOKUP(VLOOKUP($BJ124,坦克个性化设定!$B$18:$E$48,4,FALSE)&amp;$BK124,坦克属性分配比例,MATCH("升星次数",坦克属性分配比例标头,0),FALSE)*VLOOKUP($BJ124,$AR$3:$AY$33,MATCH(BY$3,$AR$3:$AY$3,0),FALSE),2)</f>
        <v>1.27</v>
      </c>
    </row>
    <row r="125" spans="60:77" x14ac:dyDescent="0.3">
      <c r="BH125" s="2" t="str">
        <f t="shared" si="24"/>
        <v>四号5</v>
      </c>
      <c r="BI125" s="2">
        <f>IF(BL124&gt;=VLOOKUP(VLOOKUP(BJ124,坦克个性化设定!$B$18:$E$48,4,FALSE)&amp;BK124,坦克属性分配比例,MATCH("升星次数",坦克属性分配比例标头,0),FALSE),BI124+1,BI124)</f>
        <v>13</v>
      </c>
      <c r="BJ125" s="2" t="str">
        <f t="shared" si="25"/>
        <v>四号</v>
      </c>
      <c r="BK125" s="29" t="str">
        <f>VLOOKUP(BJ125,坦克个性化细分!$I$3:$J$33,2,FALSE)</f>
        <v>中</v>
      </c>
      <c r="BL125" s="2">
        <f t="shared" si="23"/>
        <v>5</v>
      </c>
      <c r="BM125" s="103">
        <f ca="1">ROUND(VLOOKUP($BJ125&amp;"初始",$S$3:$AE$63,MATCH(BM$3,$S$3:$AE$3,0),FALSE)+((VLOOKUP($BJ125&amp;"最终",$S$3:$AE$63,MATCH(BM$3,$S$3:$AE$3,0),FALSE)*坦克个性化细分!$C$9-VLOOKUP($BJ125&amp;"初始",$S$3:$AE$63,MATCH(BM$3,$S$3:$AE$3,0),FALSE))-(VLOOKUP($BJ125&amp;"最终",$S$3:$AE$63,MATCH(BM$3,$S$3:$AE$3,0),FALSE)-VLOOKUP($BJ125&amp;"初始",$S$3:$AE$63,MATCH(BM$3,$S$3:$AE$3,0),FALSE))*VLOOKUP(VLOOKUP($BJ125,坦克个性化设定!$B$18:$E$48,4,FALSE)&amp;$BK125,坦克属性分配比例,MATCH("部件比例",坦克属性分配比例标头,0),FALSE))*$BL125/VLOOKUP(VLOOKUP($BJ125,坦克个性化设定!$B$18:$E$48,4,FALSE)&amp;$BK125,坦克属性分配比例,MATCH("升星次数",坦克属性分配比例标头,0),FALSE),0)</f>
        <v>1338</v>
      </c>
      <c r="BN125" s="103">
        <f ca="1">ROUND(VLOOKUP($BJ125&amp;"初始",$S$3:$AE$63,MATCH(BN$3,$S$3:$AE$3,0),FALSE)+(VLOOKUP($BJ125&amp;"最终",$S$3:$AE$63,MATCH(BN$3,$S$3:$AE$3,0),FALSE)-VLOOKUP($BJ125&amp;"初始",$S$3:$AE$63,MATCH(BN$3,$S$3:$AE$3,0),FALSE))*$BL125/VLOOKUP(VLOOKUP($BJ125,坦克个性化设定!$B$18:$E$48,4,FALSE)&amp;$BK125,坦克属性分配比例,MATCH("升星次数",坦克属性分配比例标头,0),FALSE)*VLOOKUP(VLOOKUP($BJ125,坦克个性化设定!$B$18:$E$48,4,FALSE)&amp;$BK125,坦克属性分配比例,MATCH("升星比例",坦克属性分配比例标头,0),FALSE),0)</f>
        <v>173</v>
      </c>
      <c r="BO125" s="103">
        <f ca="1">ROUND(VLOOKUP($BJ125&amp;"初始",$S$3:$AE$63,MATCH(BO$3,$S$3:$AE$3,0),FALSE)+(VLOOKUP($BJ125&amp;"最终",$S$3:$AE$63,MATCH(BO$3,$S$3:$AE$3,0),FALSE)-VLOOKUP($BJ125&amp;"初始",$S$3:$AE$63,MATCH(BO$3,$S$3:$AE$3,0),FALSE))*$BL125/VLOOKUP(VLOOKUP($BJ125,坦克个性化设定!$B$18:$E$48,4,FALSE)&amp;$BK125,坦克属性分配比例,MATCH("升星次数",坦克属性分配比例标头,0),FALSE)*(VLOOKUP(VLOOKUP($BJ125,坦克个性化设定!$B$18:$E$48,4,FALSE)&amp;$BK125,坦克属性分配比例,MATCH("升星比例",坦克属性分配比例标头,0),FALSE)+VLOOKUP(VLOOKUP($BJ125,坦克个性化设定!$B$18:$E$48,4,FALSE)&amp;$BK125,坦克属性分配比例,MATCH("部件比例",坦克属性分配比例标头,0),FALSE)*$C$3),0)</f>
        <v>510</v>
      </c>
      <c r="BP125" s="103">
        <f ca="1">ROUND(VLOOKUP($BJ125&amp;"初始",$S$3:$AE$63,MATCH(BP$3,$S$3:$AE$3,0),FALSE)+(VLOOKUP($BJ125&amp;"最终",$S$3:$AE$63,MATCH(BP$3,$S$3:$AE$3,0),FALSE)-VLOOKUP($BJ125&amp;"初始",$S$3:$AE$63,MATCH(BP$3,$S$3:$AE$3,0),FALSE))*$BL125/VLOOKUP(VLOOKUP($BJ125,坦克个性化设定!$B$18:$E$48,4,FALSE)&amp;$BK125,坦克属性分配比例,MATCH("升星次数",坦克属性分配比例标头,0),FALSE)*(VLOOKUP(VLOOKUP($BJ125,坦克个性化设定!$B$18:$E$48,4,FALSE)&amp;$BK125,坦克属性分配比例,MATCH("升星比例",坦克属性分配比例标头,0),FALSE)+VLOOKUP(VLOOKUP($BJ125,坦克个性化设定!$B$18:$E$48,4,FALSE)&amp;$BK125,坦克属性分配比例,MATCH("部件比例",坦克属性分配比例标头,0),FALSE)*$C$3),0)</f>
        <v>229</v>
      </c>
      <c r="BQ125" s="103">
        <f ca="1">ROUND(VLOOKUP($BJ125&amp;"初始",$S$3:$AE$63,MATCH(BQ$3,$S$3:$AE$3,0),FALSE)+(VLOOKUP($BJ125&amp;"最终",$S$3:$AE$63,MATCH(BQ$3,$S$3:$AE$3,0),FALSE)-VLOOKUP($BJ125&amp;"初始",$S$3:$AE$63,MATCH(BQ$3,$S$3:$AE$3,0),FALSE))*$BL125/VLOOKUP(VLOOKUP($BJ125,坦克个性化设定!$B$18:$E$48,4,FALSE)&amp;$BK125,坦克属性分配比例,MATCH("升星次数",坦克属性分配比例标头,0),FALSE)*VLOOKUP(VLOOKUP($BJ125,坦克个性化设定!$B$18:$E$48,4,FALSE)&amp;$BK125,坦克属性分配比例,MATCH("升星比例",坦克属性分配比例标头,0),FALSE),0)</f>
        <v>530</v>
      </c>
      <c r="BR125" s="2">
        <f ca="1">ROUND(VLOOKUP($BJ125&amp;"初始",$S$3:$AE$63,MATCH(BR$3,$S$3:$AE$3,0),FALSE)+(VLOOKUP($BJ125&amp;"最终",$S$3:$AE$63,MATCH(BR$3,$S$3:$AE$3,0),FALSE)-VLOOKUP($BJ125&amp;"初始",$S$3:$AE$63,MATCH(BR$3,$S$3:$AE$3,0),FALSE))*$BL125/VLOOKUP(VLOOKUP($BJ125,坦克个性化设定!$B$18:$E$48,4,FALSE)&amp;$BK125,坦克属性分配比例,MATCH("升星次数",坦克属性分配比例标头,0),FALSE),0)</f>
        <v>135</v>
      </c>
      <c r="BS125" s="2">
        <f>ROUND(VLOOKUP($BJ125,$AI$3:$AO$33,MATCH(BS$3,$AI$3:$AO$3,0),FALSE)+$BL125/VLOOKUP(VLOOKUP($BJ125,坦克个性化设定!$B$18:$E$48,4,FALSE)&amp;$BK125,坦克属性分配比例,MATCH("升星次数",坦克属性分配比例标头,0),FALSE)*VLOOKUP($BJ125,$AR$3:$AY$33,MATCH(BS$3,$AR$3:$AY$3,0),FALSE),1)</f>
        <v>42.8</v>
      </c>
      <c r="BT125" s="2">
        <f>ROUND(VLOOKUP($BJ125,$AI$3:$AO$33,MATCH(BT$3,$AI$3:$AO$3,0),FALSE)+$BL125/VLOOKUP(VLOOKUP($BJ125,坦克个性化设定!$B$18:$E$48,4,FALSE)&amp;$BK125,坦克属性分配比例,MATCH("升星次数",坦克属性分配比例标头,0),FALSE)*VLOOKUP($BJ125,$AR$3:$AY$33,MATCH(BT$3,$AR$3:$AY$3,0),FALSE),1)</f>
        <v>60.1</v>
      </c>
      <c r="BU125" s="2">
        <f>ROUND(VLOOKUP($BJ125,$AI$3:$AO$33,MATCH(BU$3,$AI$3:$AO$3,0),FALSE)+$BL125/VLOOKUP(VLOOKUP($BJ125,坦克个性化设定!$B$18:$E$48,4,FALSE)&amp;$BK125,坦克属性分配比例,MATCH("升星次数",坦克属性分配比例标头,0),FALSE)*VLOOKUP($BJ125,$AR$3:$AY$33,MATCH(BU$3,$AR$3:$AY$3,0),FALSE),1)</f>
        <v>7.3</v>
      </c>
      <c r="BV125" s="2">
        <f>IF(VLOOKUP(BJ125,坦克个性化设定!$B$18:$BC$48,MATCH("装弹类型",坦克个性化设定!$B$18:$BC$18,0),FALSE)="弹夹换弹",0,ROUND(VLOOKUP($BJ125,$AI$3:$AO$33,MATCH("换弹时间",$AI$3:$AO$3,0),FALSE)-$BL125/VLOOKUP(VLOOKUP($BJ125,坦克个性化设定!$B$18:$E$48,4,FALSE)&amp;$BK125,坦克属性分配比例,MATCH("升星次数",坦克属性分配比例标头,0),FALSE)*VLOOKUP($BJ125,$AR$3:$AY$33,MATCH("换弹时间",$AR$3:$AY$3,0),FALSE),2))</f>
        <v>2.13</v>
      </c>
      <c r="BW125" s="2">
        <f>IF(VLOOKUP(BJ125,坦克个性化设定!$B$18:$BC$48,MATCH("装弹类型",坦克个性化设定!$B$18:$BC$18,0),FALSE)="弹夹换弹",ROUND(VLOOKUP($BJ125,$AI$3:$AO$33,MATCH("换弹时间",$AI$3:$AO$3,0),FALSE)-$BL125/VLOOKUP(VLOOKUP($BJ125,坦克个性化设定!$B$18:$E$48,4,FALSE)&amp;$BK125,坦克属性分配比例,MATCH("升星次数",坦克属性分配比例标头,0),FALSE)*VLOOKUP($BJ125,$AR$3:$AY$33,MATCH("换弹时间",$AR$3:$AY$3,0),FALSE),1),0)</f>
        <v>0</v>
      </c>
      <c r="BX125" s="2">
        <f>ROUND(VLOOKUP($BJ125,$AI$3:$AO$33,MATCH(BX$3,$AI$3:$AO$3,0),FALSE)+$BL125/VLOOKUP(VLOOKUP($BJ125,坦克个性化设定!$B$18:$E$48,4,FALSE)&amp;$BK125,坦克属性分配比例,MATCH("升星次数",坦克属性分配比例标头,0),FALSE)*VLOOKUP($BJ125,$AR$3:$AY$33,MATCH(BX$3,$AR$3:$AY$3,0),FALSE),2)</f>
        <v>0.4</v>
      </c>
      <c r="BY125" s="2">
        <f>ROUND(VLOOKUP($BJ125,$AI$3:$AO$33,MATCH(BY$3,$AI$3:$AO$3,0),FALSE)-$BL125/VLOOKUP(VLOOKUP($BJ125,坦克个性化设定!$B$18:$E$48,4,FALSE)&amp;$BK125,坦克属性分配比例,MATCH("升星次数",坦克属性分配比例标头,0),FALSE)*VLOOKUP($BJ125,$AR$3:$AY$33,MATCH(BY$3,$AR$3:$AY$3,0),FALSE),2)</f>
        <v>1.23</v>
      </c>
    </row>
    <row r="126" spans="60:77" x14ac:dyDescent="0.3">
      <c r="BH126" s="2" t="str">
        <f t="shared" si="24"/>
        <v>四号6</v>
      </c>
      <c r="BI126" s="2">
        <f>IF(BL125&gt;=VLOOKUP(VLOOKUP(BJ125,坦克个性化设定!$B$18:$E$48,4,FALSE)&amp;BK125,坦克属性分配比例,MATCH("升星次数",坦克属性分配比例标头,0),FALSE),BI125+1,BI125)</f>
        <v>13</v>
      </c>
      <c r="BJ126" s="2" t="str">
        <f t="shared" si="25"/>
        <v>四号</v>
      </c>
      <c r="BK126" s="29" t="str">
        <f>VLOOKUP(BJ126,坦克个性化细分!$I$3:$J$33,2,FALSE)</f>
        <v>中</v>
      </c>
      <c r="BL126" s="2">
        <f t="shared" si="23"/>
        <v>6</v>
      </c>
      <c r="BM126" s="103">
        <f ca="1">ROUND(VLOOKUP($BJ126&amp;"初始",$S$3:$AE$63,MATCH(BM$3,$S$3:$AE$3,0),FALSE)+((VLOOKUP($BJ126&amp;"最终",$S$3:$AE$63,MATCH(BM$3,$S$3:$AE$3,0),FALSE)*坦克个性化细分!$C$9-VLOOKUP($BJ126&amp;"初始",$S$3:$AE$63,MATCH(BM$3,$S$3:$AE$3,0),FALSE))-(VLOOKUP($BJ126&amp;"最终",$S$3:$AE$63,MATCH(BM$3,$S$3:$AE$3,0),FALSE)-VLOOKUP($BJ126&amp;"初始",$S$3:$AE$63,MATCH(BM$3,$S$3:$AE$3,0),FALSE))*VLOOKUP(VLOOKUP($BJ126,坦克个性化设定!$B$18:$E$48,4,FALSE)&amp;$BK126,坦克属性分配比例,MATCH("部件比例",坦克属性分配比例标头,0),FALSE))*$BL126/VLOOKUP(VLOOKUP($BJ126,坦克个性化设定!$B$18:$E$48,4,FALSE)&amp;$BK126,坦克属性分配比例,MATCH("升星次数",坦克属性分配比例标头,0),FALSE),0)</f>
        <v>1409</v>
      </c>
      <c r="BN126" s="103">
        <f ca="1">ROUND(VLOOKUP($BJ126&amp;"初始",$S$3:$AE$63,MATCH(BN$3,$S$3:$AE$3,0),FALSE)+(VLOOKUP($BJ126&amp;"最终",$S$3:$AE$63,MATCH(BN$3,$S$3:$AE$3,0),FALSE)-VLOOKUP($BJ126&amp;"初始",$S$3:$AE$63,MATCH(BN$3,$S$3:$AE$3,0),FALSE))*$BL126/VLOOKUP(VLOOKUP($BJ126,坦克个性化设定!$B$18:$E$48,4,FALSE)&amp;$BK126,坦克属性分配比例,MATCH("升星次数",坦克属性分配比例标头,0),FALSE)*VLOOKUP(VLOOKUP($BJ126,坦克个性化设定!$B$18:$E$48,4,FALSE)&amp;$BK126,坦克属性分配比例,MATCH("升星比例",坦克属性分配比例标头,0),FALSE),0)</f>
        <v>179</v>
      </c>
      <c r="BO126" s="103">
        <f ca="1">ROUND(VLOOKUP($BJ126&amp;"初始",$S$3:$AE$63,MATCH(BO$3,$S$3:$AE$3,0),FALSE)+(VLOOKUP($BJ126&amp;"最终",$S$3:$AE$63,MATCH(BO$3,$S$3:$AE$3,0),FALSE)-VLOOKUP($BJ126&amp;"初始",$S$3:$AE$63,MATCH(BO$3,$S$3:$AE$3,0),FALSE))*$BL126/VLOOKUP(VLOOKUP($BJ126,坦克个性化设定!$B$18:$E$48,4,FALSE)&amp;$BK126,坦克属性分配比例,MATCH("升星次数",坦克属性分配比例标头,0),FALSE)*(VLOOKUP(VLOOKUP($BJ126,坦克个性化设定!$B$18:$E$48,4,FALSE)&amp;$BK126,坦克属性分配比例,MATCH("升星比例",坦克属性分配比例标头,0),FALSE)+VLOOKUP(VLOOKUP($BJ126,坦克个性化设定!$B$18:$E$48,4,FALSE)&amp;$BK126,坦克属性分配比例,MATCH("部件比例",坦克属性分配比例标头,0),FALSE)*$C$3),0)</f>
        <v>531</v>
      </c>
      <c r="BP126" s="103">
        <f ca="1">ROUND(VLOOKUP($BJ126&amp;"初始",$S$3:$AE$63,MATCH(BP$3,$S$3:$AE$3,0),FALSE)+(VLOOKUP($BJ126&amp;"最终",$S$3:$AE$63,MATCH(BP$3,$S$3:$AE$3,0),FALSE)-VLOOKUP($BJ126&amp;"初始",$S$3:$AE$63,MATCH(BP$3,$S$3:$AE$3,0),FALSE))*$BL126/VLOOKUP(VLOOKUP($BJ126,坦克个性化设定!$B$18:$E$48,4,FALSE)&amp;$BK126,坦克属性分配比例,MATCH("升星次数",坦克属性分配比例标头,0),FALSE)*(VLOOKUP(VLOOKUP($BJ126,坦克个性化设定!$B$18:$E$48,4,FALSE)&amp;$BK126,坦克属性分配比例,MATCH("升星比例",坦克属性分配比例标头,0),FALSE)+VLOOKUP(VLOOKUP($BJ126,坦克个性化设定!$B$18:$E$48,4,FALSE)&amp;$BK126,坦克属性分配比例,MATCH("部件比例",坦克属性分配比例标头,0),FALSE)*$C$3),0)</f>
        <v>239</v>
      </c>
      <c r="BQ126" s="103">
        <f ca="1">ROUND(VLOOKUP($BJ126&amp;"初始",$S$3:$AE$63,MATCH(BQ$3,$S$3:$AE$3,0),FALSE)+(VLOOKUP($BJ126&amp;"最终",$S$3:$AE$63,MATCH(BQ$3,$S$3:$AE$3,0),FALSE)-VLOOKUP($BJ126&amp;"初始",$S$3:$AE$63,MATCH(BQ$3,$S$3:$AE$3,0),FALSE))*$BL126/VLOOKUP(VLOOKUP($BJ126,坦克个性化设定!$B$18:$E$48,4,FALSE)&amp;$BK126,坦克属性分配比例,MATCH("升星次数",坦克属性分配比例标头,0),FALSE)*VLOOKUP(VLOOKUP($BJ126,坦克个性化设定!$B$18:$E$48,4,FALSE)&amp;$BK126,坦克属性分配比例,MATCH("升星比例",坦克属性分配比例标头,0),FALSE),0)</f>
        <v>548</v>
      </c>
      <c r="BR126" s="2">
        <f ca="1">ROUND(VLOOKUP($BJ126&amp;"初始",$S$3:$AE$63,MATCH(BR$3,$S$3:$AE$3,0),FALSE)+(VLOOKUP($BJ126&amp;"最终",$S$3:$AE$63,MATCH(BR$3,$S$3:$AE$3,0),FALSE)-VLOOKUP($BJ126&amp;"初始",$S$3:$AE$63,MATCH(BR$3,$S$3:$AE$3,0),FALSE))*$BL126/VLOOKUP(VLOOKUP($BJ126,坦克个性化设定!$B$18:$E$48,4,FALSE)&amp;$BK126,坦克属性分配比例,MATCH("升星次数",坦克属性分配比例标头,0),FALSE),0)</f>
        <v>142</v>
      </c>
      <c r="BS126" s="2">
        <f>ROUND(VLOOKUP($BJ126,$AI$3:$AO$33,MATCH(BS$3,$AI$3:$AO$3,0),FALSE)+$BL126/VLOOKUP(VLOOKUP($BJ126,坦克个性化设定!$B$18:$E$48,4,FALSE)&amp;$BK126,坦克属性分配比例,MATCH("升星次数",坦克属性分配比例标头,0),FALSE)*VLOOKUP($BJ126,$AR$3:$AY$33,MATCH(BS$3,$AR$3:$AY$3,0),FALSE),1)</f>
        <v>44.1</v>
      </c>
      <c r="BT126" s="2">
        <f>ROUND(VLOOKUP($BJ126,$AI$3:$AO$33,MATCH(BT$3,$AI$3:$AO$3,0),FALSE)+$BL126/VLOOKUP(VLOOKUP($BJ126,坦克个性化设定!$B$18:$E$48,4,FALSE)&amp;$BK126,坦克属性分配比例,MATCH("升星次数",坦克属性分配比例标头,0),FALSE)*VLOOKUP($BJ126,$AR$3:$AY$33,MATCH(BT$3,$AR$3:$AY$3,0),FALSE),1)</f>
        <v>61.9</v>
      </c>
      <c r="BU126" s="2">
        <f>ROUND(VLOOKUP($BJ126,$AI$3:$AO$33,MATCH(BU$3,$AI$3:$AO$3,0),FALSE)+$BL126/VLOOKUP(VLOOKUP($BJ126,坦克个性化设定!$B$18:$E$48,4,FALSE)&amp;$BK126,坦克属性分配比例,MATCH("升星次数",坦克属性分配比例标头,0),FALSE)*VLOOKUP($BJ126,$AR$3:$AY$33,MATCH(BU$3,$AR$3:$AY$3,0),FALSE),1)</f>
        <v>7.3</v>
      </c>
      <c r="BV126" s="2">
        <f>IF(VLOOKUP(BJ126,坦克个性化设定!$B$18:$BC$48,MATCH("装弹类型",坦克个性化设定!$B$18:$BC$18,0),FALSE)="弹夹换弹",0,ROUND(VLOOKUP($BJ126,$AI$3:$AO$33,MATCH("换弹时间",$AI$3:$AO$3,0),FALSE)-$BL126/VLOOKUP(VLOOKUP($BJ126,坦克个性化设定!$B$18:$E$48,4,FALSE)&amp;$BK126,坦克属性分配比例,MATCH("升星次数",坦克属性分配比例标头,0),FALSE)*VLOOKUP($BJ126,$AR$3:$AY$33,MATCH("换弹时间",$AR$3:$AY$3,0),FALSE),2))</f>
        <v>2.08</v>
      </c>
      <c r="BW126" s="2">
        <f>IF(VLOOKUP(BJ126,坦克个性化设定!$B$18:$BC$48,MATCH("装弹类型",坦克个性化设定!$B$18:$BC$18,0),FALSE)="弹夹换弹",ROUND(VLOOKUP($BJ126,$AI$3:$AO$33,MATCH("换弹时间",$AI$3:$AO$3,0),FALSE)-$BL126/VLOOKUP(VLOOKUP($BJ126,坦克个性化设定!$B$18:$E$48,4,FALSE)&amp;$BK126,坦克属性分配比例,MATCH("升星次数",坦克属性分配比例标头,0),FALSE)*VLOOKUP($BJ126,$AR$3:$AY$33,MATCH("换弹时间",$AR$3:$AY$3,0),FALSE),1),0)</f>
        <v>0</v>
      </c>
      <c r="BX126" s="2">
        <f>ROUND(VLOOKUP($BJ126,$AI$3:$AO$33,MATCH(BX$3,$AI$3:$AO$3,0),FALSE)+$BL126/VLOOKUP(VLOOKUP($BJ126,坦克个性化设定!$B$18:$E$48,4,FALSE)&amp;$BK126,坦克属性分配比例,MATCH("升星次数",坦克属性分配比例标头,0),FALSE)*VLOOKUP($BJ126,$AR$3:$AY$33,MATCH(BX$3,$AR$3:$AY$3,0),FALSE),2)</f>
        <v>0.4</v>
      </c>
      <c r="BY126" s="2">
        <f>ROUND(VLOOKUP($BJ126,$AI$3:$AO$33,MATCH(BY$3,$AI$3:$AO$3,0),FALSE)-$BL126/VLOOKUP(VLOOKUP($BJ126,坦克个性化设定!$B$18:$E$48,4,FALSE)&amp;$BK126,坦克属性分配比例,MATCH("升星次数",坦克属性分配比例标头,0),FALSE)*VLOOKUP($BJ126,$AR$3:$AY$33,MATCH(BY$3,$AR$3:$AY$3,0),FALSE),2)</f>
        <v>1.2</v>
      </c>
    </row>
    <row r="127" spans="60:77" x14ac:dyDescent="0.3">
      <c r="BH127" s="2" t="str">
        <f t="shared" si="24"/>
        <v>四号7</v>
      </c>
      <c r="BI127" s="2">
        <f>IF(BL126&gt;=VLOOKUP(VLOOKUP(BJ126,坦克个性化设定!$B$18:$E$48,4,FALSE)&amp;BK126,坦克属性分配比例,MATCH("升星次数",坦克属性分配比例标头,0),FALSE),BI126+1,BI126)</f>
        <v>13</v>
      </c>
      <c r="BJ127" s="2" t="str">
        <f t="shared" si="25"/>
        <v>四号</v>
      </c>
      <c r="BK127" s="29" t="str">
        <f>VLOOKUP(BJ127,坦克个性化细分!$I$3:$J$33,2,FALSE)</f>
        <v>中</v>
      </c>
      <c r="BL127" s="2">
        <f t="shared" si="23"/>
        <v>7</v>
      </c>
      <c r="BM127" s="103">
        <f ca="1">ROUND(VLOOKUP($BJ127&amp;"初始",$S$3:$AE$63,MATCH(BM$3,$S$3:$AE$3,0),FALSE)+((VLOOKUP($BJ127&amp;"最终",$S$3:$AE$63,MATCH(BM$3,$S$3:$AE$3,0),FALSE)*坦克个性化细分!$C$9-VLOOKUP($BJ127&amp;"初始",$S$3:$AE$63,MATCH(BM$3,$S$3:$AE$3,0),FALSE))-(VLOOKUP($BJ127&amp;"最终",$S$3:$AE$63,MATCH(BM$3,$S$3:$AE$3,0),FALSE)-VLOOKUP($BJ127&amp;"初始",$S$3:$AE$63,MATCH(BM$3,$S$3:$AE$3,0),FALSE))*VLOOKUP(VLOOKUP($BJ127,坦克个性化设定!$B$18:$E$48,4,FALSE)&amp;$BK127,坦克属性分配比例,MATCH("部件比例",坦克属性分配比例标头,0),FALSE))*$BL127/VLOOKUP(VLOOKUP($BJ127,坦克个性化设定!$B$18:$E$48,4,FALSE)&amp;$BK127,坦克属性分配比例,MATCH("升星次数",坦克属性分配比例标头,0),FALSE),0)</f>
        <v>1480</v>
      </c>
      <c r="BN127" s="103">
        <f ca="1">ROUND(VLOOKUP($BJ127&amp;"初始",$S$3:$AE$63,MATCH(BN$3,$S$3:$AE$3,0),FALSE)+(VLOOKUP($BJ127&amp;"最终",$S$3:$AE$63,MATCH(BN$3,$S$3:$AE$3,0),FALSE)-VLOOKUP($BJ127&amp;"初始",$S$3:$AE$63,MATCH(BN$3,$S$3:$AE$3,0),FALSE))*$BL127/VLOOKUP(VLOOKUP($BJ127,坦克个性化设定!$B$18:$E$48,4,FALSE)&amp;$BK127,坦克属性分配比例,MATCH("升星次数",坦克属性分配比例标头,0),FALSE)*VLOOKUP(VLOOKUP($BJ127,坦克个性化设定!$B$18:$E$48,4,FALSE)&amp;$BK127,坦克属性分配比例,MATCH("升星比例",坦克属性分配比例标头,0),FALSE),0)</f>
        <v>185</v>
      </c>
      <c r="BO127" s="103">
        <f ca="1">ROUND(VLOOKUP($BJ127&amp;"初始",$S$3:$AE$63,MATCH(BO$3,$S$3:$AE$3,0),FALSE)+(VLOOKUP($BJ127&amp;"最终",$S$3:$AE$63,MATCH(BO$3,$S$3:$AE$3,0),FALSE)-VLOOKUP($BJ127&amp;"初始",$S$3:$AE$63,MATCH(BO$3,$S$3:$AE$3,0),FALSE))*$BL127/VLOOKUP(VLOOKUP($BJ127,坦克个性化设定!$B$18:$E$48,4,FALSE)&amp;$BK127,坦克属性分配比例,MATCH("升星次数",坦克属性分配比例标头,0),FALSE)*(VLOOKUP(VLOOKUP($BJ127,坦克个性化设定!$B$18:$E$48,4,FALSE)&amp;$BK127,坦克属性分配比例,MATCH("升星比例",坦克属性分配比例标头,0),FALSE)+VLOOKUP(VLOOKUP($BJ127,坦克个性化设定!$B$18:$E$48,4,FALSE)&amp;$BK127,坦克属性分配比例,MATCH("部件比例",坦克属性分配比例标头,0),FALSE)*$C$3),0)</f>
        <v>553</v>
      </c>
      <c r="BP127" s="103">
        <f ca="1">ROUND(VLOOKUP($BJ127&amp;"初始",$S$3:$AE$63,MATCH(BP$3,$S$3:$AE$3,0),FALSE)+(VLOOKUP($BJ127&amp;"最终",$S$3:$AE$63,MATCH(BP$3,$S$3:$AE$3,0),FALSE)-VLOOKUP($BJ127&amp;"初始",$S$3:$AE$63,MATCH(BP$3,$S$3:$AE$3,0),FALSE))*$BL127/VLOOKUP(VLOOKUP($BJ127,坦克个性化设定!$B$18:$E$48,4,FALSE)&amp;$BK127,坦克属性分配比例,MATCH("升星次数",坦克属性分配比例标头,0),FALSE)*(VLOOKUP(VLOOKUP($BJ127,坦克个性化设定!$B$18:$E$48,4,FALSE)&amp;$BK127,坦克属性分配比例,MATCH("升星比例",坦克属性分配比例标头,0),FALSE)+VLOOKUP(VLOOKUP($BJ127,坦克个性化设定!$B$18:$E$48,4,FALSE)&amp;$BK127,坦克属性分配比例,MATCH("部件比例",坦克属性分配比例标头,0),FALSE)*$C$3),0)</f>
        <v>249</v>
      </c>
      <c r="BQ127" s="103">
        <f ca="1">ROUND(VLOOKUP($BJ127&amp;"初始",$S$3:$AE$63,MATCH(BQ$3,$S$3:$AE$3,0),FALSE)+(VLOOKUP($BJ127&amp;"最终",$S$3:$AE$63,MATCH(BQ$3,$S$3:$AE$3,0),FALSE)-VLOOKUP($BJ127&amp;"初始",$S$3:$AE$63,MATCH(BQ$3,$S$3:$AE$3,0),FALSE))*$BL127/VLOOKUP(VLOOKUP($BJ127,坦克个性化设定!$B$18:$E$48,4,FALSE)&amp;$BK127,坦克属性分配比例,MATCH("升星次数",坦克属性分配比例标头,0),FALSE)*VLOOKUP(VLOOKUP($BJ127,坦克个性化设定!$B$18:$E$48,4,FALSE)&amp;$BK127,坦克属性分配比例,MATCH("升星比例",坦克属性分配比例标头,0),FALSE),0)</f>
        <v>566</v>
      </c>
      <c r="BR127" s="2">
        <f ca="1">ROUND(VLOOKUP($BJ127&amp;"初始",$S$3:$AE$63,MATCH(BR$3,$S$3:$AE$3,0),FALSE)+(VLOOKUP($BJ127&amp;"最终",$S$3:$AE$63,MATCH(BR$3,$S$3:$AE$3,0),FALSE)-VLOOKUP($BJ127&amp;"初始",$S$3:$AE$63,MATCH(BR$3,$S$3:$AE$3,0),FALSE))*$BL127/VLOOKUP(VLOOKUP($BJ127,坦克个性化设定!$B$18:$E$48,4,FALSE)&amp;$BK127,坦克属性分配比例,MATCH("升星次数",坦克属性分配比例标头,0),FALSE),0)</f>
        <v>148</v>
      </c>
      <c r="BS127" s="2">
        <f>ROUND(VLOOKUP($BJ127,$AI$3:$AO$33,MATCH(BS$3,$AI$3:$AO$3,0),FALSE)+$BL127/VLOOKUP(VLOOKUP($BJ127,坦克个性化设定!$B$18:$E$48,4,FALSE)&amp;$BK127,坦克属性分配比例,MATCH("升星次数",坦克属性分配比例标头,0),FALSE)*VLOOKUP($BJ127,$AR$3:$AY$33,MATCH(BS$3,$AR$3:$AY$3,0),FALSE),1)</f>
        <v>45.4</v>
      </c>
      <c r="BT127" s="2">
        <f>ROUND(VLOOKUP($BJ127,$AI$3:$AO$33,MATCH(BT$3,$AI$3:$AO$3,0),FALSE)+$BL127/VLOOKUP(VLOOKUP($BJ127,坦克个性化设定!$B$18:$E$48,4,FALSE)&amp;$BK127,坦克属性分配比例,MATCH("升星次数",坦克属性分配比例标头,0),FALSE)*VLOOKUP($BJ127,$AR$3:$AY$33,MATCH(BT$3,$AR$3:$AY$3,0),FALSE),1)</f>
        <v>63.8</v>
      </c>
      <c r="BU127" s="2">
        <f>ROUND(VLOOKUP($BJ127,$AI$3:$AO$33,MATCH(BU$3,$AI$3:$AO$3,0),FALSE)+$BL127/VLOOKUP(VLOOKUP($BJ127,坦克个性化设定!$B$18:$E$48,4,FALSE)&amp;$BK127,坦克属性分配比例,MATCH("升星次数",坦克属性分配比例标头,0),FALSE)*VLOOKUP($BJ127,$AR$3:$AY$33,MATCH(BU$3,$AR$3:$AY$3,0),FALSE),1)</f>
        <v>7.3</v>
      </c>
      <c r="BV127" s="2">
        <f>IF(VLOOKUP(BJ127,坦克个性化设定!$B$18:$BC$48,MATCH("装弹类型",坦克个性化设定!$B$18:$BC$18,0),FALSE)="弹夹换弹",0,ROUND(VLOOKUP($BJ127,$AI$3:$AO$33,MATCH("换弹时间",$AI$3:$AO$3,0),FALSE)-$BL127/VLOOKUP(VLOOKUP($BJ127,坦克个性化设定!$B$18:$E$48,4,FALSE)&amp;$BK127,坦克属性分配比例,MATCH("升星次数",坦克属性分配比例标头,0),FALSE)*VLOOKUP($BJ127,$AR$3:$AY$33,MATCH("换弹时间",$AR$3:$AY$3,0),FALSE),2))</f>
        <v>2.02</v>
      </c>
      <c r="BW127" s="2">
        <f>IF(VLOOKUP(BJ127,坦克个性化设定!$B$18:$BC$48,MATCH("装弹类型",坦克个性化设定!$B$18:$BC$18,0),FALSE)="弹夹换弹",ROUND(VLOOKUP($BJ127,$AI$3:$AO$33,MATCH("换弹时间",$AI$3:$AO$3,0),FALSE)-$BL127/VLOOKUP(VLOOKUP($BJ127,坦克个性化设定!$B$18:$E$48,4,FALSE)&amp;$BK127,坦克属性分配比例,MATCH("升星次数",坦克属性分配比例标头,0),FALSE)*VLOOKUP($BJ127,$AR$3:$AY$33,MATCH("换弹时间",$AR$3:$AY$3,0),FALSE),1),0)</f>
        <v>0</v>
      </c>
      <c r="BX127" s="2">
        <f>ROUND(VLOOKUP($BJ127,$AI$3:$AO$33,MATCH(BX$3,$AI$3:$AO$3,0),FALSE)+$BL127/VLOOKUP(VLOOKUP($BJ127,坦克个性化设定!$B$18:$E$48,4,FALSE)&amp;$BK127,坦克属性分配比例,MATCH("升星次数",坦克属性分配比例标头,0),FALSE)*VLOOKUP($BJ127,$AR$3:$AY$33,MATCH(BX$3,$AR$3:$AY$3,0),FALSE),2)</f>
        <v>0.4</v>
      </c>
      <c r="BY127" s="2">
        <f>ROUND(VLOOKUP($BJ127,$AI$3:$AO$33,MATCH(BY$3,$AI$3:$AO$3,0),FALSE)-$BL127/VLOOKUP(VLOOKUP($BJ127,坦克个性化设定!$B$18:$E$48,4,FALSE)&amp;$BK127,坦克属性分配比例,MATCH("升星次数",坦克属性分配比例标头,0),FALSE)*VLOOKUP($BJ127,$AR$3:$AY$33,MATCH(BY$3,$AR$3:$AY$3,0),FALSE),2)</f>
        <v>1.17</v>
      </c>
    </row>
    <row r="128" spans="60:77" x14ac:dyDescent="0.3">
      <c r="BH128" s="2" t="str">
        <f t="shared" si="24"/>
        <v>玛蒂尔达0</v>
      </c>
      <c r="BI128" s="2">
        <f>IF(BL127&gt;=VLOOKUP(VLOOKUP(BJ127,坦克个性化设定!$B$18:$E$48,4,FALSE)&amp;BK127,坦克属性分配比例,MATCH("升星次数",坦克属性分配比例标头,0),FALSE),BI127+1,BI127)</f>
        <v>14</v>
      </c>
      <c r="BJ128" s="2" t="str">
        <f t="shared" si="25"/>
        <v>玛蒂尔达</v>
      </c>
      <c r="BK128" s="29" t="str">
        <f>VLOOKUP(BJ128,坦克个性化细分!$I$3:$J$33,2,FALSE)</f>
        <v>低</v>
      </c>
      <c r="BL128" s="2">
        <f t="shared" si="23"/>
        <v>0</v>
      </c>
      <c r="BM128" s="103">
        <f ca="1">ROUND(VLOOKUP($BJ128&amp;"初始",$S$3:$AE$63,MATCH(BM$3,$S$3:$AE$3,0),FALSE)+((VLOOKUP($BJ128&amp;"最终",$S$3:$AE$63,MATCH(BM$3,$S$3:$AE$3,0),FALSE)*坦克个性化细分!$C$9-VLOOKUP($BJ128&amp;"初始",$S$3:$AE$63,MATCH(BM$3,$S$3:$AE$3,0),FALSE))-(VLOOKUP($BJ128&amp;"最终",$S$3:$AE$63,MATCH(BM$3,$S$3:$AE$3,0),FALSE)-VLOOKUP($BJ128&amp;"初始",$S$3:$AE$63,MATCH(BM$3,$S$3:$AE$3,0),FALSE))*VLOOKUP(VLOOKUP($BJ128,坦克个性化设定!$B$18:$E$48,4,FALSE)&amp;$BK128,坦克属性分配比例,MATCH("部件比例",坦克属性分配比例标头,0),FALSE))*$BL128/VLOOKUP(VLOOKUP($BJ128,坦克个性化设定!$B$18:$E$48,4,FALSE)&amp;$BK128,坦克属性分配比例,MATCH("升星次数",坦克属性分配比例标头,0),FALSE),0)</f>
        <v>1186</v>
      </c>
      <c r="BN128" s="103">
        <f ca="1">ROUND(VLOOKUP($BJ128&amp;"初始",$S$3:$AE$63,MATCH(BN$3,$S$3:$AE$3,0),FALSE)+(VLOOKUP($BJ128&amp;"最终",$S$3:$AE$63,MATCH(BN$3,$S$3:$AE$3,0),FALSE)-VLOOKUP($BJ128&amp;"初始",$S$3:$AE$63,MATCH(BN$3,$S$3:$AE$3,0),FALSE))*$BL128/VLOOKUP(VLOOKUP($BJ128,坦克个性化设定!$B$18:$E$48,4,FALSE)&amp;$BK128,坦克属性分配比例,MATCH("升星次数",坦克属性分配比例标头,0),FALSE)*VLOOKUP(VLOOKUP($BJ128,坦克个性化设定!$B$18:$E$48,4,FALSE)&amp;$BK128,坦克属性分配比例,MATCH("升星比例",坦克属性分配比例标头,0),FALSE),0)</f>
        <v>172</v>
      </c>
      <c r="BO128" s="103">
        <f ca="1">ROUND(VLOOKUP($BJ128&amp;"初始",$S$3:$AE$63,MATCH(BO$3,$S$3:$AE$3,0),FALSE)+(VLOOKUP($BJ128&amp;"最终",$S$3:$AE$63,MATCH(BO$3,$S$3:$AE$3,0),FALSE)-VLOOKUP($BJ128&amp;"初始",$S$3:$AE$63,MATCH(BO$3,$S$3:$AE$3,0),FALSE))*$BL128/VLOOKUP(VLOOKUP($BJ128,坦克个性化设定!$B$18:$E$48,4,FALSE)&amp;$BK128,坦克属性分配比例,MATCH("升星次数",坦克属性分配比例标头,0),FALSE)*(VLOOKUP(VLOOKUP($BJ128,坦克个性化设定!$B$18:$E$48,4,FALSE)&amp;$BK128,坦克属性分配比例,MATCH("升星比例",坦克属性分配比例标头,0),FALSE)+VLOOKUP(VLOOKUP($BJ128,坦克个性化设定!$B$18:$E$48,4,FALSE)&amp;$BK128,坦克属性分配比例,MATCH("部件比例",坦克属性分配比例标头,0),FALSE)*$C$3),0)</f>
        <v>486</v>
      </c>
      <c r="BP128" s="103">
        <f ca="1">ROUND(VLOOKUP($BJ128&amp;"初始",$S$3:$AE$63,MATCH(BP$3,$S$3:$AE$3,0),FALSE)+(VLOOKUP($BJ128&amp;"最终",$S$3:$AE$63,MATCH(BP$3,$S$3:$AE$3,0),FALSE)-VLOOKUP($BJ128&amp;"初始",$S$3:$AE$63,MATCH(BP$3,$S$3:$AE$3,0),FALSE))*$BL128/VLOOKUP(VLOOKUP($BJ128,坦克个性化设定!$B$18:$E$48,4,FALSE)&amp;$BK128,坦克属性分配比例,MATCH("升星次数",坦克属性分配比例标头,0),FALSE)*(VLOOKUP(VLOOKUP($BJ128,坦克个性化设定!$B$18:$E$48,4,FALSE)&amp;$BK128,坦克属性分配比例,MATCH("升星比例",坦克属性分配比例标头,0),FALSE)+VLOOKUP(VLOOKUP($BJ128,坦克个性化设定!$B$18:$E$48,4,FALSE)&amp;$BK128,坦克属性分配比例,MATCH("部件比例",坦克属性分配比例标头,0),FALSE)*$C$3),0)</f>
        <v>219</v>
      </c>
      <c r="BQ128" s="103">
        <f ca="1">ROUND(VLOOKUP($BJ128&amp;"初始",$S$3:$AE$63,MATCH(BQ$3,$S$3:$AE$3,0),FALSE)+(VLOOKUP($BJ128&amp;"最终",$S$3:$AE$63,MATCH(BQ$3,$S$3:$AE$3,0),FALSE)-VLOOKUP($BJ128&amp;"初始",$S$3:$AE$63,MATCH(BQ$3,$S$3:$AE$3,0),FALSE))*$BL128/VLOOKUP(VLOOKUP($BJ128,坦克个性化设定!$B$18:$E$48,4,FALSE)&amp;$BK128,坦克属性分配比例,MATCH("升星次数",坦克属性分配比例标头,0),FALSE)*VLOOKUP(VLOOKUP($BJ128,坦克个性化设定!$B$18:$E$48,4,FALSE)&amp;$BK128,坦克属性分配比例,MATCH("升星比例",坦克属性分配比例标头,0),FALSE),0)</f>
        <v>533</v>
      </c>
      <c r="BR128" s="2">
        <f ca="1">ROUND(VLOOKUP($BJ128&amp;"初始",$S$3:$AE$63,MATCH(BR$3,$S$3:$AE$3,0),FALSE)+(VLOOKUP($BJ128&amp;"最终",$S$3:$AE$63,MATCH(BR$3,$S$3:$AE$3,0),FALSE)-VLOOKUP($BJ128&amp;"初始",$S$3:$AE$63,MATCH(BR$3,$S$3:$AE$3,0),FALSE))*$BL128/VLOOKUP(VLOOKUP($BJ128,坦克个性化设定!$B$18:$E$48,4,FALSE)&amp;$BK128,坦克属性分配比例,MATCH("升星次数",坦克属性分配比例标头,0),FALSE),0)</f>
        <v>125</v>
      </c>
      <c r="BS128" s="2">
        <f>ROUND(VLOOKUP($BJ128,$AI$3:$AO$33,MATCH(BS$3,$AI$3:$AO$3,0),FALSE)+$BL128/VLOOKUP(VLOOKUP($BJ128,坦克个性化设定!$B$18:$E$48,4,FALSE)&amp;$BK128,坦克属性分配比例,MATCH("升星次数",坦克属性分配比例标头,0),FALSE)*VLOOKUP($BJ128,$AR$3:$AY$33,MATCH(BS$3,$AR$3:$AY$3,0),FALSE),1)</f>
        <v>44.5</v>
      </c>
      <c r="BT128" s="2">
        <f>ROUND(VLOOKUP($BJ128,$AI$3:$AO$33,MATCH(BT$3,$AI$3:$AO$3,0),FALSE)+$BL128/VLOOKUP(VLOOKUP($BJ128,坦克个性化设定!$B$18:$E$48,4,FALSE)&amp;$BK128,坦克属性分配比例,MATCH("升星次数",坦克属性分配比例标头,0),FALSE)*VLOOKUP($BJ128,$AR$3:$AY$33,MATCH(BT$3,$AR$3:$AY$3,0),FALSE),1)</f>
        <v>40</v>
      </c>
      <c r="BU128" s="2">
        <f>ROUND(VLOOKUP($BJ128,$AI$3:$AO$33,MATCH(BU$3,$AI$3:$AO$3,0),FALSE)+$BL128/VLOOKUP(VLOOKUP($BJ128,坦克个性化设定!$B$18:$E$48,4,FALSE)&amp;$BK128,坦克属性分配比例,MATCH("升星次数",坦克属性分配比例标头,0),FALSE)*VLOOKUP($BJ128,$AR$3:$AY$33,MATCH(BU$3,$AR$3:$AY$3,0),FALSE),1)</f>
        <v>8</v>
      </c>
      <c r="BV128" s="2">
        <f>IF(VLOOKUP(BJ128,坦克个性化设定!$B$18:$BC$48,MATCH("装弹类型",坦克个性化设定!$B$18:$BC$18,0),FALSE)="弹夹换弹",0,ROUND(VLOOKUP($BJ128,$AI$3:$AO$33,MATCH("换弹时间",$AI$3:$AO$3,0),FALSE)-$BL128/VLOOKUP(VLOOKUP($BJ128,坦克个性化设定!$B$18:$E$48,4,FALSE)&amp;$BK128,坦克属性分配比例,MATCH("升星次数",坦克属性分配比例标头,0),FALSE)*VLOOKUP($BJ128,$AR$3:$AY$33,MATCH("换弹时间",$AR$3:$AY$3,0),FALSE),2))</f>
        <v>0</v>
      </c>
      <c r="BW128" s="2">
        <f>IF(VLOOKUP(BJ128,坦克个性化设定!$B$18:$BC$48,MATCH("装弹类型",坦克个性化设定!$B$18:$BC$18,0),FALSE)="弹夹换弹",ROUND(VLOOKUP($BJ128,$AI$3:$AO$33,MATCH("换弹时间",$AI$3:$AO$3,0),FALSE)-$BL128/VLOOKUP(VLOOKUP($BJ128,坦克个性化设定!$B$18:$E$48,4,FALSE)&amp;$BK128,坦克属性分配比例,MATCH("升星次数",坦克属性分配比例标头,0),FALSE)*VLOOKUP($BJ128,$AR$3:$AY$33,MATCH("换弹时间",$AR$3:$AY$3,0),FALSE),1),0)</f>
        <v>3.2</v>
      </c>
      <c r="BX128" s="2">
        <f>ROUND(VLOOKUP($BJ128,$AI$3:$AO$33,MATCH(BX$3,$AI$3:$AO$3,0),FALSE)+$BL128/VLOOKUP(VLOOKUP($BJ128,坦克个性化设定!$B$18:$E$48,4,FALSE)&amp;$BK128,坦克属性分配比例,MATCH("升星次数",坦克属性分配比例标头,0),FALSE)*VLOOKUP($BJ128,$AR$3:$AY$33,MATCH(BX$3,$AR$3:$AY$3,0),FALSE),2)</f>
        <v>0.28000000000000003</v>
      </c>
      <c r="BY128" s="2">
        <f>ROUND(VLOOKUP($BJ128,$AI$3:$AO$33,MATCH(BY$3,$AI$3:$AO$3,0),FALSE)-$BL128/VLOOKUP(VLOOKUP($BJ128,坦克个性化设定!$B$18:$E$48,4,FALSE)&amp;$BK128,坦克属性分配比例,MATCH("升星次数",坦克属性分配比例标头,0),FALSE)*VLOOKUP($BJ128,$AR$3:$AY$33,MATCH(BY$3,$AR$3:$AY$3,0),FALSE),2)</f>
        <v>0.99</v>
      </c>
    </row>
    <row r="129" spans="60:77" x14ac:dyDescent="0.3">
      <c r="BH129" s="2" t="str">
        <f t="shared" si="24"/>
        <v>玛蒂尔达1</v>
      </c>
      <c r="BI129" s="2">
        <f>IF(BL128&gt;=VLOOKUP(VLOOKUP(BJ128,坦克个性化设定!$B$18:$E$48,4,FALSE)&amp;BK128,坦克属性分配比例,MATCH("升星次数",坦克属性分配比例标头,0),FALSE),BI128+1,BI128)</f>
        <v>14</v>
      </c>
      <c r="BJ129" s="2" t="str">
        <f t="shared" si="25"/>
        <v>玛蒂尔达</v>
      </c>
      <c r="BK129" s="29" t="str">
        <f>VLOOKUP(BJ129,坦克个性化细分!$I$3:$J$33,2,FALSE)</f>
        <v>低</v>
      </c>
      <c r="BL129" s="2">
        <f t="shared" si="23"/>
        <v>1</v>
      </c>
      <c r="BM129" s="103">
        <f ca="1">ROUND(VLOOKUP($BJ129&amp;"初始",$S$3:$AE$63,MATCH(BM$3,$S$3:$AE$3,0),FALSE)+((VLOOKUP($BJ129&amp;"最终",$S$3:$AE$63,MATCH(BM$3,$S$3:$AE$3,0),FALSE)*坦克个性化细分!$C$9-VLOOKUP($BJ129&amp;"初始",$S$3:$AE$63,MATCH(BM$3,$S$3:$AE$3,0),FALSE))-(VLOOKUP($BJ129&amp;"最终",$S$3:$AE$63,MATCH(BM$3,$S$3:$AE$3,0),FALSE)-VLOOKUP($BJ129&amp;"初始",$S$3:$AE$63,MATCH(BM$3,$S$3:$AE$3,0),FALSE))*VLOOKUP(VLOOKUP($BJ129,坦克个性化设定!$B$18:$E$48,4,FALSE)&amp;$BK129,坦克属性分配比例,MATCH("部件比例",坦克属性分配比例标头,0),FALSE))*$BL129/VLOOKUP(VLOOKUP($BJ129,坦克个性化设定!$B$18:$E$48,4,FALSE)&amp;$BK129,坦克属性分配比例,MATCH("升星次数",坦克属性分配比例标头,0),FALSE),0)</f>
        <v>1248</v>
      </c>
      <c r="BN129" s="103">
        <f ca="1">ROUND(VLOOKUP($BJ129&amp;"初始",$S$3:$AE$63,MATCH(BN$3,$S$3:$AE$3,0),FALSE)+(VLOOKUP($BJ129&amp;"最终",$S$3:$AE$63,MATCH(BN$3,$S$3:$AE$3,0),FALSE)-VLOOKUP($BJ129&amp;"初始",$S$3:$AE$63,MATCH(BN$3,$S$3:$AE$3,0),FALSE))*$BL129/VLOOKUP(VLOOKUP($BJ129,坦克个性化设定!$B$18:$E$48,4,FALSE)&amp;$BK129,坦克属性分配比例,MATCH("升星次数",坦克属性分配比例标头,0),FALSE)*VLOOKUP(VLOOKUP($BJ129,坦克个性化设定!$B$18:$E$48,4,FALSE)&amp;$BK129,坦克属性分配比例,MATCH("升星比例",坦克属性分配比例标头,0),FALSE),0)</f>
        <v>177</v>
      </c>
      <c r="BO129" s="103">
        <f ca="1">ROUND(VLOOKUP($BJ129&amp;"初始",$S$3:$AE$63,MATCH(BO$3,$S$3:$AE$3,0),FALSE)+(VLOOKUP($BJ129&amp;"最终",$S$3:$AE$63,MATCH(BO$3,$S$3:$AE$3,0),FALSE)-VLOOKUP($BJ129&amp;"初始",$S$3:$AE$63,MATCH(BO$3,$S$3:$AE$3,0),FALSE))*$BL129/VLOOKUP(VLOOKUP($BJ129,坦克个性化设定!$B$18:$E$48,4,FALSE)&amp;$BK129,坦克属性分配比例,MATCH("升星次数",坦克属性分配比例标头,0),FALSE)*(VLOOKUP(VLOOKUP($BJ129,坦克个性化设定!$B$18:$E$48,4,FALSE)&amp;$BK129,坦克属性分配比例,MATCH("升星比例",坦克属性分配比例标头,0),FALSE)+VLOOKUP(VLOOKUP($BJ129,坦克个性化设定!$B$18:$E$48,4,FALSE)&amp;$BK129,坦克属性分配比例,MATCH("部件比例",坦克属性分配比例标头,0),FALSE)*$C$3),0)</f>
        <v>507</v>
      </c>
      <c r="BP129" s="103">
        <f ca="1">ROUND(VLOOKUP($BJ129&amp;"初始",$S$3:$AE$63,MATCH(BP$3,$S$3:$AE$3,0),FALSE)+(VLOOKUP($BJ129&amp;"最终",$S$3:$AE$63,MATCH(BP$3,$S$3:$AE$3,0),FALSE)-VLOOKUP($BJ129&amp;"初始",$S$3:$AE$63,MATCH(BP$3,$S$3:$AE$3,0),FALSE))*$BL129/VLOOKUP(VLOOKUP($BJ129,坦克个性化设定!$B$18:$E$48,4,FALSE)&amp;$BK129,坦克属性分配比例,MATCH("升星次数",坦克属性分配比例标头,0),FALSE)*(VLOOKUP(VLOOKUP($BJ129,坦克个性化设定!$B$18:$E$48,4,FALSE)&amp;$BK129,坦克属性分配比例,MATCH("升星比例",坦克属性分配比例标头,0),FALSE)+VLOOKUP(VLOOKUP($BJ129,坦克个性化设定!$B$18:$E$48,4,FALSE)&amp;$BK129,坦克属性分配比例,MATCH("部件比例",坦克属性分配比例标头,0),FALSE)*$C$3),0)</f>
        <v>229</v>
      </c>
      <c r="BQ129" s="103">
        <f ca="1">ROUND(VLOOKUP($BJ129&amp;"初始",$S$3:$AE$63,MATCH(BQ$3,$S$3:$AE$3,0),FALSE)+(VLOOKUP($BJ129&amp;"最终",$S$3:$AE$63,MATCH(BQ$3,$S$3:$AE$3,0),FALSE)-VLOOKUP($BJ129&amp;"初始",$S$3:$AE$63,MATCH(BQ$3,$S$3:$AE$3,0),FALSE))*$BL129/VLOOKUP(VLOOKUP($BJ129,坦克个性化设定!$B$18:$E$48,4,FALSE)&amp;$BK129,坦克属性分配比例,MATCH("升星次数",坦克属性分配比例标头,0),FALSE)*VLOOKUP(VLOOKUP($BJ129,坦克个性化设定!$B$18:$E$48,4,FALSE)&amp;$BK129,坦克属性分配比例,MATCH("升星比例",坦克属性分配比例标头,0),FALSE),0)</f>
        <v>550</v>
      </c>
      <c r="BR129" s="2">
        <f ca="1">ROUND(VLOOKUP($BJ129&amp;"初始",$S$3:$AE$63,MATCH(BR$3,$S$3:$AE$3,0),FALSE)+(VLOOKUP($BJ129&amp;"最终",$S$3:$AE$63,MATCH(BR$3,$S$3:$AE$3,0),FALSE)-VLOOKUP($BJ129&amp;"初始",$S$3:$AE$63,MATCH(BR$3,$S$3:$AE$3,0),FALSE))*$BL129/VLOOKUP(VLOOKUP($BJ129,坦克个性化设定!$B$18:$E$48,4,FALSE)&amp;$BK129,坦克属性分配比例,MATCH("升星次数",坦克属性分配比例标头,0),FALSE),0)</f>
        <v>131</v>
      </c>
      <c r="BS129" s="2">
        <f>ROUND(VLOOKUP($BJ129,$AI$3:$AO$33,MATCH(BS$3,$AI$3:$AO$3,0),FALSE)+$BL129/VLOOKUP(VLOOKUP($BJ129,坦克个性化设定!$B$18:$E$48,4,FALSE)&amp;$BK129,坦克属性分配比例,MATCH("升星次数",坦克属性分配比例标头,0),FALSE)*VLOOKUP($BJ129,$AR$3:$AY$33,MATCH(BS$3,$AR$3:$AY$3,0),FALSE),1)</f>
        <v>45.7</v>
      </c>
      <c r="BT129" s="2">
        <f>ROUND(VLOOKUP($BJ129,$AI$3:$AO$33,MATCH(BT$3,$AI$3:$AO$3,0),FALSE)+$BL129/VLOOKUP(VLOOKUP($BJ129,坦克个性化设定!$B$18:$E$48,4,FALSE)&amp;$BK129,坦克属性分配比例,MATCH("升星次数",坦克属性分配比例标头,0),FALSE)*VLOOKUP($BJ129,$AR$3:$AY$33,MATCH(BT$3,$AR$3:$AY$3,0),FALSE),1)</f>
        <v>41.1</v>
      </c>
      <c r="BU129" s="2">
        <f>ROUND(VLOOKUP($BJ129,$AI$3:$AO$33,MATCH(BU$3,$AI$3:$AO$3,0),FALSE)+$BL129/VLOOKUP(VLOOKUP($BJ129,坦克个性化设定!$B$18:$E$48,4,FALSE)&amp;$BK129,坦克属性分配比例,MATCH("升星次数",坦克属性分配比例标头,0),FALSE)*VLOOKUP($BJ129,$AR$3:$AY$33,MATCH(BU$3,$AR$3:$AY$3,0),FALSE),1)</f>
        <v>8</v>
      </c>
      <c r="BV129" s="2">
        <f>IF(VLOOKUP(BJ129,坦克个性化设定!$B$18:$BC$48,MATCH("装弹类型",坦克个性化设定!$B$18:$BC$18,0),FALSE)="弹夹换弹",0,ROUND(VLOOKUP($BJ129,$AI$3:$AO$33,MATCH("换弹时间",$AI$3:$AO$3,0),FALSE)-$BL129/VLOOKUP(VLOOKUP($BJ129,坦克个性化设定!$B$18:$E$48,4,FALSE)&amp;$BK129,坦克属性分配比例,MATCH("升星次数",坦克属性分配比例标头,0),FALSE)*VLOOKUP($BJ129,$AR$3:$AY$33,MATCH("换弹时间",$AR$3:$AY$3,0),FALSE),2))</f>
        <v>0</v>
      </c>
      <c r="BW129" s="2">
        <f>IF(VLOOKUP(BJ129,坦克个性化设定!$B$18:$BC$48,MATCH("装弹类型",坦克个性化设定!$B$18:$BC$18,0),FALSE)="弹夹换弹",ROUND(VLOOKUP($BJ129,$AI$3:$AO$33,MATCH("换弹时间",$AI$3:$AO$3,0),FALSE)-$BL129/VLOOKUP(VLOOKUP($BJ129,坦克个性化设定!$B$18:$E$48,4,FALSE)&amp;$BK129,坦克属性分配比例,MATCH("升星次数",坦克属性分配比例标头,0),FALSE)*VLOOKUP($BJ129,$AR$3:$AY$33,MATCH("换弹时间",$AR$3:$AY$3,0),FALSE),1),0)</f>
        <v>3.1</v>
      </c>
      <c r="BX129" s="2">
        <f>ROUND(VLOOKUP($BJ129,$AI$3:$AO$33,MATCH(BX$3,$AI$3:$AO$3,0),FALSE)+$BL129/VLOOKUP(VLOOKUP($BJ129,坦克个性化设定!$B$18:$E$48,4,FALSE)&amp;$BK129,坦克属性分配比例,MATCH("升星次数",坦克属性分配比例标头,0),FALSE)*VLOOKUP($BJ129,$AR$3:$AY$33,MATCH(BX$3,$AR$3:$AY$3,0),FALSE),2)</f>
        <v>0.32</v>
      </c>
      <c r="BY129" s="2">
        <f>ROUND(VLOOKUP($BJ129,$AI$3:$AO$33,MATCH(BY$3,$AI$3:$AO$3,0),FALSE)-$BL129/VLOOKUP(VLOOKUP($BJ129,坦克个性化设定!$B$18:$E$48,4,FALSE)&amp;$BK129,坦克属性分配比例,MATCH("升星次数",坦克属性分配比例标头,0),FALSE)*VLOOKUP($BJ129,$AR$3:$AY$33,MATCH(BY$3,$AR$3:$AY$3,0),FALSE),2)</f>
        <v>0.97</v>
      </c>
    </row>
    <row r="130" spans="60:77" x14ac:dyDescent="0.3">
      <c r="BH130" s="2" t="str">
        <f t="shared" si="24"/>
        <v>玛蒂尔达2</v>
      </c>
      <c r="BI130" s="2">
        <f>IF(BL129&gt;=VLOOKUP(VLOOKUP(BJ129,坦克个性化设定!$B$18:$E$48,4,FALSE)&amp;BK129,坦克属性分配比例,MATCH("升星次数",坦克属性分配比例标头,0),FALSE),BI129+1,BI129)</f>
        <v>14</v>
      </c>
      <c r="BJ130" s="2" t="str">
        <f t="shared" si="25"/>
        <v>玛蒂尔达</v>
      </c>
      <c r="BK130" s="29" t="str">
        <f>VLOOKUP(BJ130,坦克个性化细分!$I$3:$J$33,2,FALSE)</f>
        <v>低</v>
      </c>
      <c r="BL130" s="2">
        <f t="shared" si="23"/>
        <v>2</v>
      </c>
      <c r="BM130" s="103">
        <f ca="1">ROUND(VLOOKUP($BJ130&amp;"初始",$S$3:$AE$63,MATCH(BM$3,$S$3:$AE$3,0),FALSE)+((VLOOKUP($BJ130&amp;"最终",$S$3:$AE$63,MATCH(BM$3,$S$3:$AE$3,0),FALSE)*坦克个性化细分!$C$9-VLOOKUP($BJ130&amp;"初始",$S$3:$AE$63,MATCH(BM$3,$S$3:$AE$3,0),FALSE))-(VLOOKUP($BJ130&amp;"最终",$S$3:$AE$63,MATCH(BM$3,$S$3:$AE$3,0),FALSE)-VLOOKUP($BJ130&amp;"初始",$S$3:$AE$63,MATCH(BM$3,$S$3:$AE$3,0),FALSE))*VLOOKUP(VLOOKUP($BJ130,坦克个性化设定!$B$18:$E$48,4,FALSE)&amp;$BK130,坦克属性分配比例,MATCH("部件比例",坦克属性分配比例标头,0),FALSE))*$BL130/VLOOKUP(VLOOKUP($BJ130,坦克个性化设定!$B$18:$E$48,4,FALSE)&amp;$BK130,坦克属性分配比例,MATCH("升星次数",坦克属性分配比例标头,0),FALSE),0)</f>
        <v>1310</v>
      </c>
      <c r="BN130" s="103">
        <f ca="1">ROUND(VLOOKUP($BJ130&amp;"初始",$S$3:$AE$63,MATCH(BN$3,$S$3:$AE$3,0),FALSE)+(VLOOKUP($BJ130&amp;"最终",$S$3:$AE$63,MATCH(BN$3,$S$3:$AE$3,0),FALSE)-VLOOKUP($BJ130&amp;"初始",$S$3:$AE$63,MATCH(BN$3,$S$3:$AE$3,0),FALSE))*$BL130/VLOOKUP(VLOOKUP($BJ130,坦克个性化设定!$B$18:$E$48,4,FALSE)&amp;$BK130,坦克属性分配比例,MATCH("升星次数",坦克属性分配比例标头,0),FALSE)*VLOOKUP(VLOOKUP($BJ130,坦克个性化设定!$B$18:$E$48,4,FALSE)&amp;$BK130,坦克属性分配比例,MATCH("升星比例",坦克属性分配比例标头,0),FALSE),0)</f>
        <v>183</v>
      </c>
      <c r="BO130" s="103">
        <f ca="1">ROUND(VLOOKUP($BJ130&amp;"初始",$S$3:$AE$63,MATCH(BO$3,$S$3:$AE$3,0),FALSE)+(VLOOKUP($BJ130&amp;"最终",$S$3:$AE$63,MATCH(BO$3,$S$3:$AE$3,0),FALSE)-VLOOKUP($BJ130&amp;"初始",$S$3:$AE$63,MATCH(BO$3,$S$3:$AE$3,0),FALSE))*$BL130/VLOOKUP(VLOOKUP($BJ130,坦克个性化设定!$B$18:$E$48,4,FALSE)&amp;$BK130,坦克属性分配比例,MATCH("升星次数",坦克属性分配比例标头,0),FALSE)*(VLOOKUP(VLOOKUP($BJ130,坦克个性化设定!$B$18:$E$48,4,FALSE)&amp;$BK130,坦克属性分配比例,MATCH("升星比例",坦克属性分配比例标头,0),FALSE)+VLOOKUP(VLOOKUP($BJ130,坦克个性化设定!$B$18:$E$48,4,FALSE)&amp;$BK130,坦克属性分配比例,MATCH("部件比例",坦克属性分配比例标头,0),FALSE)*$C$3),0)</f>
        <v>528</v>
      </c>
      <c r="BP130" s="103">
        <f ca="1">ROUND(VLOOKUP($BJ130&amp;"初始",$S$3:$AE$63,MATCH(BP$3,$S$3:$AE$3,0),FALSE)+(VLOOKUP($BJ130&amp;"最终",$S$3:$AE$63,MATCH(BP$3,$S$3:$AE$3,0),FALSE)-VLOOKUP($BJ130&amp;"初始",$S$3:$AE$63,MATCH(BP$3,$S$3:$AE$3,0),FALSE))*$BL130/VLOOKUP(VLOOKUP($BJ130,坦克个性化设定!$B$18:$E$48,4,FALSE)&amp;$BK130,坦克属性分配比例,MATCH("升星次数",坦克属性分配比例标头,0),FALSE)*(VLOOKUP(VLOOKUP($BJ130,坦克个性化设定!$B$18:$E$48,4,FALSE)&amp;$BK130,坦克属性分配比例,MATCH("升星比例",坦克属性分配比例标头,0),FALSE)+VLOOKUP(VLOOKUP($BJ130,坦克个性化设定!$B$18:$E$48,4,FALSE)&amp;$BK130,坦克属性分配比例,MATCH("部件比例",坦克属性分配比例标头,0),FALSE)*$C$3),0)</f>
        <v>238</v>
      </c>
      <c r="BQ130" s="103">
        <f ca="1">ROUND(VLOOKUP($BJ130&amp;"初始",$S$3:$AE$63,MATCH(BQ$3,$S$3:$AE$3,0),FALSE)+(VLOOKUP($BJ130&amp;"最终",$S$3:$AE$63,MATCH(BQ$3,$S$3:$AE$3,0),FALSE)-VLOOKUP($BJ130&amp;"初始",$S$3:$AE$63,MATCH(BQ$3,$S$3:$AE$3,0),FALSE))*$BL130/VLOOKUP(VLOOKUP($BJ130,坦克个性化设定!$B$18:$E$48,4,FALSE)&amp;$BK130,坦克属性分配比例,MATCH("升星次数",坦克属性分配比例标头,0),FALSE)*VLOOKUP(VLOOKUP($BJ130,坦克个性化设定!$B$18:$E$48,4,FALSE)&amp;$BK130,坦克属性分配比例,MATCH("升星比例",坦克属性分配比例标头,0),FALSE),0)</f>
        <v>566</v>
      </c>
      <c r="BR130" s="2">
        <f ca="1">ROUND(VLOOKUP($BJ130&amp;"初始",$S$3:$AE$63,MATCH(BR$3,$S$3:$AE$3,0),FALSE)+(VLOOKUP($BJ130&amp;"最终",$S$3:$AE$63,MATCH(BR$3,$S$3:$AE$3,0),FALSE)-VLOOKUP($BJ130&amp;"初始",$S$3:$AE$63,MATCH(BR$3,$S$3:$AE$3,0),FALSE))*$BL130/VLOOKUP(VLOOKUP($BJ130,坦克个性化设定!$B$18:$E$48,4,FALSE)&amp;$BK130,坦克属性分配比例,MATCH("升星次数",坦克属性分配比例标头,0),FALSE),0)</f>
        <v>138</v>
      </c>
      <c r="BS130" s="2">
        <f>ROUND(VLOOKUP($BJ130,$AI$3:$AO$33,MATCH(BS$3,$AI$3:$AO$3,0),FALSE)+$BL130/VLOOKUP(VLOOKUP($BJ130,坦克个性化设定!$B$18:$E$48,4,FALSE)&amp;$BK130,坦克属性分配比例,MATCH("升星次数",坦克属性分配比例标头,0),FALSE)*VLOOKUP($BJ130,$AR$3:$AY$33,MATCH(BS$3,$AR$3:$AY$3,0),FALSE),1)</f>
        <v>47</v>
      </c>
      <c r="BT130" s="2">
        <f>ROUND(VLOOKUP($BJ130,$AI$3:$AO$33,MATCH(BT$3,$AI$3:$AO$3,0),FALSE)+$BL130/VLOOKUP(VLOOKUP($BJ130,坦克个性化设定!$B$18:$E$48,4,FALSE)&amp;$BK130,坦克属性分配比例,MATCH("升星次数",坦克属性分配比例标头,0),FALSE)*VLOOKUP($BJ130,$AR$3:$AY$33,MATCH(BT$3,$AR$3:$AY$3,0),FALSE),1)</f>
        <v>42.2</v>
      </c>
      <c r="BU130" s="2">
        <f>ROUND(VLOOKUP($BJ130,$AI$3:$AO$33,MATCH(BU$3,$AI$3:$AO$3,0),FALSE)+$BL130/VLOOKUP(VLOOKUP($BJ130,坦克个性化设定!$B$18:$E$48,4,FALSE)&amp;$BK130,坦克属性分配比例,MATCH("升星次数",坦克属性分配比例标头,0),FALSE)*VLOOKUP($BJ130,$AR$3:$AY$33,MATCH(BU$3,$AR$3:$AY$3,0),FALSE),1)</f>
        <v>8</v>
      </c>
      <c r="BV130" s="2">
        <f>IF(VLOOKUP(BJ130,坦克个性化设定!$B$18:$BC$48,MATCH("装弹类型",坦克个性化设定!$B$18:$BC$18,0),FALSE)="弹夹换弹",0,ROUND(VLOOKUP($BJ130,$AI$3:$AO$33,MATCH("换弹时间",$AI$3:$AO$3,0),FALSE)-$BL130/VLOOKUP(VLOOKUP($BJ130,坦克个性化设定!$B$18:$E$48,4,FALSE)&amp;$BK130,坦克属性分配比例,MATCH("升星次数",坦克属性分配比例标头,0),FALSE)*VLOOKUP($BJ130,$AR$3:$AY$33,MATCH("换弹时间",$AR$3:$AY$3,0),FALSE),2))</f>
        <v>0</v>
      </c>
      <c r="BW130" s="2">
        <f>IF(VLOOKUP(BJ130,坦克个性化设定!$B$18:$BC$48,MATCH("装弹类型",坦克个性化设定!$B$18:$BC$18,0),FALSE)="弹夹换弹",ROUND(VLOOKUP($BJ130,$AI$3:$AO$33,MATCH("换弹时间",$AI$3:$AO$3,0),FALSE)-$BL130/VLOOKUP(VLOOKUP($BJ130,坦克个性化设定!$B$18:$E$48,4,FALSE)&amp;$BK130,坦克属性分配比例,MATCH("升星次数",坦克属性分配比例标头,0),FALSE)*VLOOKUP($BJ130,$AR$3:$AY$33,MATCH("换弹时间",$AR$3:$AY$3,0),FALSE),1),0)</f>
        <v>3.1</v>
      </c>
      <c r="BX130" s="2">
        <f>ROUND(VLOOKUP($BJ130,$AI$3:$AO$33,MATCH(BX$3,$AI$3:$AO$3,0),FALSE)+$BL130/VLOOKUP(VLOOKUP($BJ130,坦克个性化设定!$B$18:$E$48,4,FALSE)&amp;$BK130,坦克属性分配比例,MATCH("升星次数",坦克属性分配比例标头,0),FALSE)*VLOOKUP($BJ130,$AR$3:$AY$33,MATCH(BX$3,$AR$3:$AY$3,0),FALSE),2)</f>
        <v>0.35</v>
      </c>
      <c r="BY130" s="2">
        <f>ROUND(VLOOKUP($BJ130,$AI$3:$AO$33,MATCH(BY$3,$AI$3:$AO$3,0),FALSE)-$BL130/VLOOKUP(VLOOKUP($BJ130,坦克个性化设定!$B$18:$E$48,4,FALSE)&amp;$BK130,坦克属性分配比例,MATCH("升星次数",坦克属性分配比例标头,0),FALSE)*VLOOKUP($BJ130,$AR$3:$AY$33,MATCH(BY$3,$AR$3:$AY$3,0),FALSE),2)</f>
        <v>0.95</v>
      </c>
    </row>
    <row r="131" spans="60:77" x14ac:dyDescent="0.3">
      <c r="BH131" s="2" t="str">
        <f t="shared" si="24"/>
        <v>玛蒂尔达3</v>
      </c>
      <c r="BI131" s="2">
        <f>IF(BL130&gt;=VLOOKUP(VLOOKUP(BJ130,坦克个性化设定!$B$18:$E$48,4,FALSE)&amp;BK130,坦克属性分配比例,MATCH("升星次数",坦克属性分配比例标头,0),FALSE),BI130+1,BI130)</f>
        <v>14</v>
      </c>
      <c r="BJ131" s="2" t="str">
        <f t="shared" si="25"/>
        <v>玛蒂尔达</v>
      </c>
      <c r="BK131" s="29" t="str">
        <f>VLOOKUP(BJ131,坦克个性化细分!$I$3:$J$33,2,FALSE)</f>
        <v>低</v>
      </c>
      <c r="BL131" s="2">
        <f t="shared" si="23"/>
        <v>3</v>
      </c>
      <c r="BM131" s="103">
        <f ca="1">ROUND(VLOOKUP($BJ131&amp;"初始",$S$3:$AE$63,MATCH(BM$3,$S$3:$AE$3,0),FALSE)+((VLOOKUP($BJ131&amp;"最终",$S$3:$AE$63,MATCH(BM$3,$S$3:$AE$3,0),FALSE)*坦克个性化细分!$C$9-VLOOKUP($BJ131&amp;"初始",$S$3:$AE$63,MATCH(BM$3,$S$3:$AE$3,0),FALSE))-(VLOOKUP($BJ131&amp;"最终",$S$3:$AE$63,MATCH(BM$3,$S$3:$AE$3,0),FALSE)-VLOOKUP($BJ131&amp;"初始",$S$3:$AE$63,MATCH(BM$3,$S$3:$AE$3,0),FALSE))*VLOOKUP(VLOOKUP($BJ131,坦克个性化设定!$B$18:$E$48,4,FALSE)&amp;$BK131,坦克属性分配比例,MATCH("部件比例",坦克属性分配比例标头,0),FALSE))*$BL131/VLOOKUP(VLOOKUP($BJ131,坦克个性化设定!$B$18:$E$48,4,FALSE)&amp;$BK131,坦克属性分配比例,MATCH("升星次数",坦克属性分配比例标头,0),FALSE),0)</f>
        <v>1373</v>
      </c>
      <c r="BN131" s="103">
        <f ca="1">ROUND(VLOOKUP($BJ131&amp;"初始",$S$3:$AE$63,MATCH(BN$3,$S$3:$AE$3,0),FALSE)+(VLOOKUP($BJ131&amp;"最终",$S$3:$AE$63,MATCH(BN$3,$S$3:$AE$3,0),FALSE)-VLOOKUP($BJ131&amp;"初始",$S$3:$AE$63,MATCH(BN$3,$S$3:$AE$3,0),FALSE))*$BL131/VLOOKUP(VLOOKUP($BJ131,坦克个性化设定!$B$18:$E$48,4,FALSE)&amp;$BK131,坦克属性分配比例,MATCH("升星次数",坦克属性分配比例标头,0),FALSE)*VLOOKUP(VLOOKUP($BJ131,坦克个性化设定!$B$18:$E$48,4,FALSE)&amp;$BK131,坦克属性分配比例,MATCH("升星比例",坦克属性分配比例标头,0),FALSE),0)</f>
        <v>188</v>
      </c>
      <c r="BO131" s="103">
        <f ca="1">ROUND(VLOOKUP($BJ131&amp;"初始",$S$3:$AE$63,MATCH(BO$3,$S$3:$AE$3,0),FALSE)+(VLOOKUP($BJ131&amp;"最终",$S$3:$AE$63,MATCH(BO$3,$S$3:$AE$3,0),FALSE)-VLOOKUP($BJ131&amp;"初始",$S$3:$AE$63,MATCH(BO$3,$S$3:$AE$3,0),FALSE))*$BL131/VLOOKUP(VLOOKUP($BJ131,坦克个性化设定!$B$18:$E$48,4,FALSE)&amp;$BK131,坦克属性分配比例,MATCH("升星次数",坦克属性分配比例标头,0),FALSE)*(VLOOKUP(VLOOKUP($BJ131,坦克个性化设定!$B$18:$E$48,4,FALSE)&amp;$BK131,坦克属性分配比例,MATCH("升星比例",坦克属性分配比例标头,0),FALSE)+VLOOKUP(VLOOKUP($BJ131,坦克个性化设定!$B$18:$E$48,4,FALSE)&amp;$BK131,坦克属性分配比例,MATCH("部件比例",坦克属性分配比例标头,0),FALSE)*$C$3),0)</f>
        <v>550</v>
      </c>
      <c r="BP131" s="103">
        <f ca="1">ROUND(VLOOKUP($BJ131&amp;"初始",$S$3:$AE$63,MATCH(BP$3,$S$3:$AE$3,0),FALSE)+(VLOOKUP($BJ131&amp;"最终",$S$3:$AE$63,MATCH(BP$3,$S$3:$AE$3,0),FALSE)-VLOOKUP($BJ131&amp;"初始",$S$3:$AE$63,MATCH(BP$3,$S$3:$AE$3,0),FALSE))*$BL131/VLOOKUP(VLOOKUP($BJ131,坦克个性化设定!$B$18:$E$48,4,FALSE)&amp;$BK131,坦克属性分配比例,MATCH("升星次数",坦克属性分配比例标头,0),FALSE)*(VLOOKUP(VLOOKUP($BJ131,坦克个性化设定!$B$18:$E$48,4,FALSE)&amp;$BK131,坦克属性分配比例,MATCH("升星比例",坦克属性分配比例标头,0),FALSE)+VLOOKUP(VLOOKUP($BJ131,坦克个性化设定!$B$18:$E$48,4,FALSE)&amp;$BK131,坦克属性分配比例,MATCH("部件比例",坦克属性分配比例标头,0),FALSE)*$C$3),0)</f>
        <v>248</v>
      </c>
      <c r="BQ131" s="103">
        <f ca="1">ROUND(VLOOKUP($BJ131&amp;"初始",$S$3:$AE$63,MATCH(BQ$3,$S$3:$AE$3,0),FALSE)+(VLOOKUP($BJ131&amp;"最终",$S$3:$AE$63,MATCH(BQ$3,$S$3:$AE$3,0),FALSE)-VLOOKUP($BJ131&amp;"初始",$S$3:$AE$63,MATCH(BQ$3,$S$3:$AE$3,0),FALSE))*$BL131/VLOOKUP(VLOOKUP($BJ131,坦克个性化设定!$B$18:$E$48,4,FALSE)&amp;$BK131,坦克属性分配比例,MATCH("升星次数",坦克属性分配比例标头,0),FALSE)*VLOOKUP(VLOOKUP($BJ131,坦克个性化设定!$B$18:$E$48,4,FALSE)&amp;$BK131,坦克属性分配比例,MATCH("升星比例",坦克属性分配比例标头,0),FALSE),0)</f>
        <v>583</v>
      </c>
      <c r="BR131" s="2">
        <f ca="1">ROUND(VLOOKUP($BJ131&amp;"初始",$S$3:$AE$63,MATCH(BR$3,$S$3:$AE$3,0),FALSE)+(VLOOKUP($BJ131&amp;"最终",$S$3:$AE$63,MATCH(BR$3,$S$3:$AE$3,0),FALSE)-VLOOKUP($BJ131&amp;"初始",$S$3:$AE$63,MATCH(BR$3,$S$3:$AE$3,0),FALSE))*$BL131/VLOOKUP(VLOOKUP($BJ131,坦克个性化设定!$B$18:$E$48,4,FALSE)&amp;$BK131,坦克属性分配比例,MATCH("升星次数",坦克属性分配比例标头,0),FALSE),0)</f>
        <v>144</v>
      </c>
      <c r="BS131" s="2">
        <f>ROUND(VLOOKUP($BJ131,$AI$3:$AO$33,MATCH(BS$3,$AI$3:$AO$3,0),FALSE)+$BL131/VLOOKUP(VLOOKUP($BJ131,坦克个性化设定!$B$18:$E$48,4,FALSE)&amp;$BK131,坦克属性分配比例,MATCH("升星次数",坦克属性分配比例标头,0),FALSE)*VLOOKUP($BJ131,$AR$3:$AY$33,MATCH(BS$3,$AR$3:$AY$3,0),FALSE),1)</f>
        <v>48.2</v>
      </c>
      <c r="BT131" s="2">
        <f>ROUND(VLOOKUP($BJ131,$AI$3:$AO$33,MATCH(BT$3,$AI$3:$AO$3,0),FALSE)+$BL131/VLOOKUP(VLOOKUP($BJ131,坦克个性化设定!$B$18:$E$48,4,FALSE)&amp;$BK131,坦克属性分配比例,MATCH("升星次数",坦克属性分配比例标头,0),FALSE)*VLOOKUP($BJ131,$AR$3:$AY$33,MATCH(BT$3,$AR$3:$AY$3,0),FALSE),1)</f>
        <v>43.3</v>
      </c>
      <c r="BU131" s="2">
        <f>ROUND(VLOOKUP($BJ131,$AI$3:$AO$33,MATCH(BU$3,$AI$3:$AO$3,0),FALSE)+$BL131/VLOOKUP(VLOOKUP($BJ131,坦克个性化设定!$B$18:$E$48,4,FALSE)&amp;$BK131,坦克属性分配比例,MATCH("升星次数",坦克属性分配比例标头,0),FALSE)*VLOOKUP($BJ131,$AR$3:$AY$33,MATCH(BU$3,$AR$3:$AY$3,0),FALSE),1)</f>
        <v>8</v>
      </c>
      <c r="BV131" s="2">
        <f>IF(VLOOKUP(BJ131,坦克个性化设定!$B$18:$BC$48,MATCH("装弹类型",坦克个性化设定!$B$18:$BC$18,0),FALSE)="弹夹换弹",0,ROUND(VLOOKUP($BJ131,$AI$3:$AO$33,MATCH("换弹时间",$AI$3:$AO$3,0),FALSE)-$BL131/VLOOKUP(VLOOKUP($BJ131,坦克个性化设定!$B$18:$E$48,4,FALSE)&amp;$BK131,坦克属性分配比例,MATCH("升星次数",坦克属性分配比例标头,0),FALSE)*VLOOKUP($BJ131,$AR$3:$AY$33,MATCH("换弹时间",$AR$3:$AY$3,0),FALSE),2))</f>
        <v>0</v>
      </c>
      <c r="BW131" s="2">
        <f>IF(VLOOKUP(BJ131,坦克个性化设定!$B$18:$BC$48,MATCH("装弹类型",坦克个性化设定!$B$18:$BC$18,0),FALSE)="弹夹换弹",ROUND(VLOOKUP($BJ131,$AI$3:$AO$33,MATCH("换弹时间",$AI$3:$AO$3,0),FALSE)-$BL131/VLOOKUP(VLOOKUP($BJ131,坦克个性化设定!$B$18:$E$48,4,FALSE)&amp;$BK131,坦克属性分配比例,MATCH("升星次数",坦克属性分配比例标头,0),FALSE)*VLOOKUP($BJ131,$AR$3:$AY$33,MATCH("换弹时间",$AR$3:$AY$3,0),FALSE),1),0)</f>
        <v>3</v>
      </c>
      <c r="BX131" s="2">
        <f>ROUND(VLOOKUP($BJ131,$AI$3:$AO$33,MATCH(BX$3,$AI$3:$AO$3,0),FALSE)+$BL131/VLOOKUP(VLOOKUP($BJ131,坦克个性化设定!$B$18:$E$48,4,FALSE)&amp;$BK131,坦克属性分配比例,MATCH("升星次数",坦克属性分配比例标头,0),FALSE)*VLOOKUP($BJ131,$AR$3:$AY$33,MATCH(BX$3,$AR$3:$AY$3,0),FALSE),2)</f>
        <v>0.39</v>
      </c>
      <c r="BY131" s="2">
        <f>ROUND(VLOOKUP($BJ131,$AI$3:$AO$33,MATCH(BY$3,$AI$3:$AO$3,0),FALSE)-$BL131/VLOOKUP(VLOOKUP($BJ131,坦克个性化设定!$B$18:$E$48,4,FALSE)&amp;$BK131,坦克属性分配比例,MATCH("升星次数",坦克属性分配比例标头,0),FALSE)*VLOOKUP($BJ131,$AR$3:$AY$33,MATCH(BY$3,$AR$3:$AY$3,0),FALSE),2)</f>
        <v>0.94</v>
      </c>
    </row>
    <row r="132" spans="60:77" x14ac:dyDescent="0.3">
      <c r="BH132" s="2" t="str">
        <f t="shared" si="24"/>
        <v>玛蒂尔达4</v>
      </c>
      <c r="BI132" s="2">
        <f>IF(BL131&gt;=VLOOKUP(VLOOKUP(BJ131,坦克个性化设定!$B$18:$E$48,4,FALSE)&amp;BK131,坦克属性分配比例,MATCH("升星次数",坦克属性分配比例标头,0),FALSE),BI131+1,BI131)</f>
        <v>14</v>
      </c>
      <c r="BJ132" s="2" t="str">
        <f t="shared" si="25"/>
        <v>玛蒂尔达</v>
      </c>
      <c r="BK132" s="29" t="str">
        <f>VLOOKUP(BJ132,坦克个性化细分!$I$3:$J$33,2,FALSE)</f>
        <v>低</v>
      </c>
      <c r="BL132" s="2">
        <f t="shared" ref="BL132:BL195" si="26">IF(BJ132&lt;&gt;BJ131,0,BL131+1)</f>
        <v>4</v>
      </c>
      <c r="BM132" s="103">
        <f ca="1">ROUND(VLOOKUP($BJ132&amp;"初始",$S$3:$AE$63,MATCH(BM$3,$S$3:$AE$3,0),FALSE)+((VLOOKUP($BJ132&amp;"最终",$S$3:$AE$63,MATCH(BM$3,$S$3:$AE$3,0),FALSE)*坦克个性化细分!$C$9-VLOOKUP($BJ132&amp;"初始",$S$3:$AE$63,MATCH(BM$3,$S$3:$AE$3,0),FALSE))-(VLOOKUP($BJ132&amp;"最终",$S$3:$AE$63,MATCH(BM$3,$S$3:$AE$3,0),FALSE)-VLOOKUP($BJ132&amp;"初始",$S$3:$AE$63,MATCH(BM$3,$S$3:$AE$3,0),FALSE))*VLOOKUP(VLOOKUP($BJ132,坦克个性化设定!$B$18:$E$48,4,FALSE)&amp;$BK132,坦克属性分配比例,MATCH("部件比例",坦克属性分配比例标头,0),FALSE))*$BL132/VLOOKUP(VLOOKUP($BJ132,坦克个性化设定!$B$18:$E$48,4,FALSE)&amp;$BK132,坦克属性分配比例,MATCH("升星次数",坦克属性分配比例标头,0),FALSE),0)</f>
        <v>1435</v>
      </c>
      <c r="BN132" s="103">
        <f ca="1">ROUND(VLOOKUP($BJ132&amp;"初始",$S$3:$AE$63,MATCH(BN$3,$S$3:$AE$3,0),FALSE)+(VLOOKUP($BJ132&amp;"最终",$S$3:$AE$63,MATCH(BN$3,$S$3:$AE$3,0),FALSE)-VLOOKUP($BJ132&amp;"初始",$S$3:$AE$63,MATCH(BN$3,$S$3:$AE$3,0),FALSE))*$BL132/VLOOKUP(VLOOKUP($BJ132,坦克个性化设定!$B$18:$E$48,4,FALSE)&amp;$BK132,坦克属性分配比例,MATCH("升星次数",坦克属性分配比例标头,0),FALSE)*VLOOKUP(VLOOKUP($BJ132,坦克个性化设定!$B$18:$E$48,4,FALSE)&amp;$BK132,坦克属性分配比例,MATCH("升星比例",坦克属性分配比例标头,0),FALSE),0)</f>
        <v>194</v>
      </c>
      <c r="BO132" s="103">
        <f ca="1">ROUND(VLOOKUP($BJ132&amp;"初始",$S$3:$AE$63,MATCH(BO$3,$S$3:$AE$3,0),FALSE)+(VLOOKUP($BJ132&amp;"最终",$S$3:$AE$63,MATCH(BO$3,$S$3:$AE$3,0),FALSE)-VLOOKUP($BJ132&amp;"初始",$S$3:$AE$63,MATCH(BO$3,$S$3:$AE$3,0),FALSE))*$BL132/VLOOKUP(VLOOKUP($BJ132,坦克个性化设定!$B$18:$E$48,4,FALSE)&amp;$BK132,坦克属性分配比例,MATCH("升星次数",坦克属性分配比例标头,0),FALSE)*(VLOOKUP(VLOOKUP($BJ132,坦克个性化设定!$B$18:$E$48,4,FALSE)&amp;$BK132,坦克属性分配比例,MATCH("升星比例",坦克属性分配比例标头,0),FALSE)+VLOOKUP(VLOOKUP($BJ132,坦克个性化设定!$B$18:$E$48,4,FALSE)&amp;$BK132,坦克属性分配比例,MATCH("部件比例",坦克属性分配比例标头,0),FALSE)*$C$3),0)</f>
        <v>571</v>
      </c>
      <c r="BP132" s="103">
        <f ca="1">ROUND(VLOOKUP($BJ132&amp;"初始",$S$3:$AE$63,MATCH(BP$3,$S$3:$AE$3,0),FALSE)+(VLOOKUP($BJ132&amp;"最终",$S$3:$AE$63,MATCH(BP$3,$S$3:$AE$3,0),FALSE)-VLOOKUP($BJ132&amp;"初始",$S$3:$AE$63,MATCH(BP$3,$S$3:$AE$3,0),FALSE))*$BL132/VLOOKUP(VLOOKUP($BJ132,坦克个性化设定!$B$18:$E$48,4,FALSE)&amp;$BK132,坦克属性分配比例,MATCH("升星次数",坦克属性分配比例标头,0),FALSE)*(VLOOKUP(VLOOKUP($BJ132,坦克个性化设定!$B$18:$E$48,4,FALSE)&amp;$BK132,坦克属性分配比例,MATCH("升星比例",坦克属性分配比例标头,0),FALSE)+VLOOKUP(VLOOKUP($BJ132,坦克个性化设定!$B$18:$E$48,4,FALSE)&amp;$BK132,坦克属性分配比例,MATCH("部件比例",坦克属性分配比例标头,0),FALSE)*$C$3),0)</f>
        <v>257</v>
      </c>
      <c r="BQ132" s="103">
        <f ca="1">ROUND(VLOOKUP($BJ132&amp;"初始",$S$3:$AE$63,MATCH(BQ$3,$S$3:$AE$3,0),FALSE)+(VLOOKUP($BJ132&amp;"最终",$S$3:$AE$63,MATCH(BQ$3,$S$3:$AE$3,0),FALSE)-VLOOKUP($BJ132&amp;"初始",$S$3:$AE$63,MATCH(BQ$3,$S$3:$AE$3,0),FALSE))*$BL132/VLOOKUP(VLOOKUP($BJ132,坦克个性化设定!$B$18:$E$48,4,FALSE)&amp;$BK132,坦克属性分配比例,MATCH("升星次数",坦克属性分配比例标头,0),FALSE)*VLOOKUP(VLOOKUP($BJ132,坦克个性化设定!$B$18:$E$48,4,FALSE)&amp;$BK132,坦克属性分配比例,MATCH("升星比例",坦克属性分配比例标头,0),FALSE),0)</f>
        <v>599</v>
      </c>
      <c r="BR132" s="2">
        <f ca="1">ROUND(VLOOKUP($BJ132&amp;"初始",$S$3:$AE$63,MATCH(BR$3,$S$3:$AE$3,0),FALSE)+(VLOOKUP($BJ132&amp;"最终",$S$3:$AE$63,MATCH(BR$3,$S$3:$AE$3,0),FALSE)-VLOOKUP($BJ132&amp;"初始",$S$3:$AE$63,MATCH(BR$3,$S$3:$AE$3,0),FALSE))*$BL132/VLOOKUP(VLOOKUP($BJ132,坦克个性化设定!$B$18:$E$48,4,FALSE)&amp;$BK132,坦克属性分配比例,MATCH("升星次数",坦克属性分配比例标头,0),FALSE),0)</f>
        <v>151</v>
      </c>
      <c r="BS132" s="2">
        <f>ROUND(VLOOKUP($BJ132,$AI$3:$AO$33,MATCH(BS$3,$AI$3:$AO$3,0),FALSE)+$BL132/VLOOKUP(VLOOKUP($BJ132,坦克个性化设定!$B$18:$E$48,4,FALSE)&amp;$BK132,坦克属性分配比例,MATCH("升星次数",坦克属性分配比例标头,0),FALSE)*VLOOKUP($BJ132,$AR$3:$AY$33,MATCH(BS$3,$AR$3:$AY$3,0),FALSE),1)</f>
        <v>49.4</v>
      </c>
      <c r="BT132" s="2">
        <f>ROUND(VLOOKUP($BJ132,$AI$3:$AO$33,MATCH(BT$3,$AI$3:$AO$3,0),FALSE)+$BL132/VLOOKUP(VLOOKUP($BJ132,坦克个性化设定!$B$18:$E$48,4,FALSE)&amp;$BK132,坦克属性分配比例,MATCH("升星次数",坦克属性分配比例标头,0),FALSE)*VLOOKUP($BJ132,$AR$3:$AY$33,MATCH(BT$3,$AR$3:$AY$3,0),FALSE),1)</f>
        <v>44.4</v>
      </c>
      <c r="BU132" s="2">
        <f>ROUND(VLOOKUP($BJ132,$AI$3:$AO$33,MATCH(BU$3,$AI$3:$AO$3,0),FALSE)+$BL132/VLOOKUP(VLOOKUP($BJ132,坦克个性化设定!$B$18:$E$48,4,FALSE)&amp;$BK132,坦克属性分配比例,MATCH("升星次数",坦克属性分配比例标头,0),FALSE)*VLOOKUP($BJ132,$AR$3:$AY$33,MATCH(BU$3,$AR$3:$AY$3,0),FALSE),1)</f>
        <v>8</v>
      </c>
      <c r="BV132" s="2">
        <f>IF(VLOOKUP(BJ132,坦克个性化设定!$B$18:$BC$48,MATCH("装弹类型",坦克个性化设定!$B$18:$BC$18,0),FALSE)="弹夹换弹",0,ROUND(VLOOKUP($BJ132,$AI$3:$AO$33,MATCH("换弹时间",$AI$3:$AO$3,0),FALSE)-$BL132/VLOOKUP(VLOOKUP($BJ132,坦克个性化设定!$B$18:$E$48,4,FALSE)&amp;$BK132,坦克属性分配比例,MATCH("升星次数",坦克属性分配比例标头,0),FALSE)*VLOOKUP($BJ132,$AR$3:$AY$33,MATCH("换弹时间",$AR$3:$AY$3,0),FALSE),2))</f>
        <v>0</v>
      </c>
      <c r="BW132" s="2">
        <f>IF(VLOOKUP(BJ132,坦克个性化设定!$B$18:$BC$48,MATCH("装弹类型",坦克个性化设定!$B$18:$BC$18,0),FALSE)="弹夹换弹",ROUND(VLOOKUP($BJ132,$AI$3:$AO$33,MATCH("换弹时间",$AI$3:$AO$3,0),FALSE)-$BL132/VLOOKUP(VLOOKUP($BJ132,坦克个性化设定!$B$18:$E$48,4,FALSE)&amp;$BK132,坦克属性分配比例,MATCH("升星次数",坦克属性分配比例标头,0),FALSE)*VLOOKUP($BJ132,$AR$3:$AY$33,MATCH("换弹时间",$AR$3:$AY$3,0),FALSE),1),0)</f>
        <v>2.9</v>
      </c>
      <c r="BX132" s="2">
        <f>ROUND(VLOOKUP($BJ132,$AI$3:$AO$33,MATCH(BX$3,$AI$3:$AO$3,0),FALSE)+$BL132/VLOOKUP(VLOOKUP($BJ132,坦克个性化设定!$B$18:$E$48,4,FALSE)&amp;$BK132,坦克属性分配比例,MATCH("升星次数",坦克属性分配比例标头,0),FALSE)*VLOOKUP($BJ132,$AR$3:$AY$33,MATCH(BX$3,$AR$3:$AY$3,0),FALSE),2)</f>
        <v>0.42</v>
      </c>
      <c r="BY132" s="2">
        <f>ROUND(VLOOKUP($BJ132,$AI$3:$AO$33,MATCH(BY$3,$AI$3:$AO$3,0),FALSE)-$BL132/VLOOKUP(VLOOKUP($BJ132,坦克个性化设定!$B$18:$E$48,4,FALSE)&amp;$BK132,坦克属性分配比例,MATCH("升星次数",坦克属性分配比例标头,0),FALSE)*VLOOKUP($BJ132,$AR$3:$AY$33,MATCH(BY$3,$AR$3:$AY$3,0),FALSE),2)</f>
        <v>0.92</v>
      </c>
    </row>
    <row r="133" spans="60:77" x14ac:dyDescent="0.3">
      <c r="BH133" s="2" t="str">
        <f t="shared" ref="BH133:BH196" si="27">BJ133&amp;BL133</f>
        <v>玛蒂尔达5</v>
      </c>
      <c r="BI133" s="2">
        <f>IF(BL132&gt;=VLOOKUP(VLOOKUP(BJ132,坦克个性化设定!$B$18:$E$48,4,FALSE)&amp;BK132,坦克属性分配比例,MATCH("升星次数",坦克属性分配比例标头,0),FALSE),BI132+1,BI132)</f>
        <v>14</v>
      </c>
      <c r="BJ133" s="2" t="str">
        <f t="shared" ref="BJ133:BJ196" si="28">VLOOKUP(BI133,$B$5:$C$35,2,FALSE)</f>
        <v>玛蒂尔达</v>
      </c>
      <c r="BK133" s="29" t="str">
        <f>VLOOKUP(BJ133,坦克个性化细分!$I$3:$J$33,2,FALSE)</f>
        <v>低</v>
      </c>
      <c r="BL133" s="2">
        <f t="shared" si="26"/>
        <v>5</v>
      </c>
      <c r="BM133" s="103">
        <f ca="1">ROUND(VLOOKUP($BJ133&amp;"初始",$S$3:$AE$63,MATCH(BM$3,$S$3:$AE$3,0),FALSE)+((VLOOKUP($BJ133&amp;"最终",$S$3:$AE$63,MATCH(BM$3,$S$3:$AE$3,0),FALSE)*坦克个性化细分!$C$9-VLOOKUP($BJ133&amp;"初始",$S$3:$AE$63,MATCH(BM$3,$S$3:$AE$3,0),FALSE))-(VLOOKUP($BJ133&amp;"最终",$S$3:$AE$63,MATCH(BM$3,$S$3:$AE$3,0),FALSE)-VLOOKUP($BJ133&amp;"初始",$S$3:$AE$63,MATCH(BM$3,$S$3:$AE$3,0),FALSE))*VLOOKUP(VLOOKUP($BJ133,坦克个性化设定!$B$18:$E$48,4,FALSE)&amp;$BK133,坦克属性分配比例,MATCH("部件比例",坦克属性分配比例标头,0),FALSE))*$BL133/VLOOKUP(VLOOKUP($BJ133,坦克个性化设定!$B$18:$E$48,4,FALSE)&amp;$BK133,坦克属性分配比例,MATCH("升星次数",坦克属性分配比例标头,0),FALSE),0)</f>
        <v>1498</v>
      </c>
      <c r="BN133" s="103">
        <f ca="1">ROUND(VLOOKUP($BJ133&amp;"初始",$S$3:$AE$63,MATCH(BN$3,$S$3:$AE$3,0),FALSE)+(VLOOKUP($BJ133&amp;"最终",$S$3:$AE$63,MATCH(BN$3,$S$3:$AE$3,0),FALSE)-VLOOKUP($BJ133&amp;"初始",$S$3:$AE$63,MATCH(BN$3,$S$3:$AE$3,0),FALSE))*$BL133/VLOOKUP(VLOOKUP($BJ133,坦克个性化设定!$B$18:$E$48,4,FALSE)&amp;$BK133,坦克属性分配比例,MATCH("升星次数",坦克属性分配比例标头,0),FALSE)*VLOOKUP(VLOOKUP($BJ133,坦克个性化设定!$B$18:$E$48,4,FALSE)&amp;$BK133,坦克属性分配比例,MATCH("升星比例",坦克属性分配比例标头,0),FALSE),0)</f>
        <v>199</v>
      </c>
      <c r="BO133" s="103">
        <f ca="1">ROUND(VLOOKUP($BJ133&amp;"初始",$S$3:$AE$63,MATCH(BO$3,$S$3:$AE$3,0),FALSE)+(VLOOKUP($BJ133&amp;"最终",$S$3:$AE$63,MATCH(BO$3,$S$3:$AE$3,0),FALSE)-VLOOKUP($BJ133&amp;"初始",$S$3:$AE$63,MATCH(BO$3,$S$3:$AE$3,0),FALSE))*$BL133/VLOOKUP(VLOOKUP($BJ133,坦克个性化设定!$B$18:$E$48,4,FALSE)&amp;$BK133,坦克属性分配比例,MATCH("升星次数",坦克属性分配比例标头,0),FALSE)*(VLOOKUP(VLOOKUP($BJ133,坦克个性化设定!$B$18:$E$48,4,FALSE)&amp;$BK133,坦克属性分配比例,MATCH("升星比例",坦克属性分配比例标头,0),FALSE)+VLOOKUP(VLOOKUP($BJ133,坦克个性化设定!$B$18:$E$48,4,FALSE)&amp;$BK133,坦克属性分配比例,MATCH("部件比例",坦克属性分配比例标头,0),FALSE)*$C$3),0)</f>
        <v>592</v>
      </c>
      <c r="BP133" s="103">
        <f ca="1">ROUND(VLOOKUP($BJ133&amp;"初始",$S$3:$AE$63,MATCH(BP$3,$S$3:$AE$3,0),FALSE)+(VLOOKUP($BJ133&amp;"最终",$S$3:$AE$63,MATCH(BP$3,$S$3:$AE$3,0),FALSE)-VLOOKUP($BJ133&amp;"初始",$S$3:$AE$63,MATCH(BP$3,$S$3:$AE$3,0),FALSE))*$BL133/VLOOKUP(VLOOKUP($BJ133,坦克个性化设定!$B$18:$E$48,4,FALSE)&amp;$BK133,坦克属性分配比例,MATCH("升星次数",坦克属性分配比例标头,0),FALSE)*(VLOOKUP(VLOOKUP($BJ133,坦克个性化设定!$B$18:$E$48,4,FALSE)&amp;$BK133,坦克属性分配比例,MATCH("升星比例",坦克属性分配比例标头,0),FALSE)+VLOOKUP(VLOOKUP($BJ133,坦克个性化设定!$B$18:$E$48,4,FALSE)&amp;$BK133,坦克属性分配比例,MATCH("部件比例",坦克属性分配比例标头,0),FALSE)*$C$3),0)</f>
        <v>267</v>
      </c>
      <c r="BQ133" s="103">
        <f ca="1">ROUND(VLOOKUP($BJ133&amp;"初始",$S$3:$AE$63,MATCH(BQ$3,$S$3:$AE$3,0),FALSE)+(VLOOKUP($BJ133&amp;"最终",$S$3:$AE$63,MATCH(BQ$3,$S$3:$AE$3,0),FALSE)-VLOOKUP($BJ133&amp;"初始",$S$3:$AE$63,MATCH(BQ$3,$S$3:$AE$3,0),FALSE))*$BL133/VLOOKUP(VLOOKUP($BJ133,坦克个性化设定!$B$18:$E$48,4,FALSE)&amp;$BK133,坦克属性分配比例,MATCH("升星次数",坦克属性分配比例标头,0),FALSE)*VLOOKUP(VLOOKUP($BJ133,坦克个性化设定!$B$18:$E$48,4,FALSE)&amp;$BK133,坦克属性分配比例,MATCH("升星比例",坦克属性分配比例标头,0),FALSE),0)</f>
        <v>616</v>
      </c>
      <c r="BR133" s="2">
        <f ca="1">ROUND(VLOOKUP($BJ133&amp;"初始",$S$3:$AE$63,MATCH(BR$3,$S$3:$AE$3,0),FALSE)+(VLOOKUP($BJ133&amp;"最终",$S$3:$AE$63,MATCH(BR$3,$S$3:$AE$3,0),FALSE)-VLOOKUP($BJ133&amp;"初始",$S$3:$AE$63,MATCH(BR$3,$S$3:$AE$3,0),FALSE))*$BL133/VLOOKUP(VLOOKUP($BJ133,坦克个性化设定!$B$18:$E$48,4,FALSE)&amp;$BK133,坦克属性分配比例,MATCH("升星次数",坦克属性分配比例标头,0),FALSE),0)</f>
        <v>157</v>
      </c>
      <c r="BS133" s="2">
        <f>ROUND(VLOOKUP($BJ133,$AI$3:$AO$33,MATCH(BS$3,$AI$3:$AO$3,0),FALSE)+$BL133/VLOOKUP(VLOOKUP($BJ133,坦克个性化设定!$B$18:$E$48,4,FALSE)&amp;$BK133,坦克属性分配比例,MATCH("升星次数",坦克属性分配比例标头,0),FALSE)*VLOOKUP($BJ133,$AR$3:$AY$33,MATCH(BS$3,$AR$3:$AY$3,0),FALSE),1)</f>
        <v>50.7</v>
      </c>
      <c r="BT133" s="2">
        <f>ROUND(VLOOKUP($BJ133,$AI$3:$AO$33,MATCH(BT$3,$AI$3:$AO$3,0),FALSE)+$BL133/VLOOKUP(VLOOKUP($BJ133,坦克个性化设定!$B$18:$E$48,4,FALSE)&amp;$BK133,坦克属性分配比例,MATCH("升星次数",坦克属性分配比例标头,0),FALSE)*VLOOKUP($BJ133,$AR$3:$AY$33,MATCH(BT$3,$AR$3:$AY$3,0),FALSE),1)</f>
        <v>45.6</v>
      </c>
      <c r="BU133" s="2">
        <f>ROUND(VLOOKUP($BJ133,$AI$3:$AO$33,MATCH(BU$3,$AI$3:$AO$3,0),FALSE)+$BL133/VLOOKUP(VLOOKUP($BJ133,坦克个性化设定!$B$18:$E$48,4,FALSE)&amp;$BK133,坦克属性分配比例,MATCH("升星次数",坦克属性分配比例标头,0),FALSE)*VLOOKUP($BJ133,$AR$3:$AY$33,MATCH(BU$3,$AR$3:$AY$3,0),FALSE),1)</f>
        <v>8</v>
      </c>
      <c r="BV133" s="2">
        <f>IF(VLOOKUP(BJ133,坦克个性化设定!$B$18:$BC$48,MATCH("装弹类型",坦克个性化设定!$B$18:$BC$18,0),FALSE)="弹夹换弹",0,ROUND(VLOOKUP($BJ133,$AI$3:$AO$33,MATCH("换弹时间",$AI$3:$AO$3,0),FALSE)-$BL133/VLOOKUP(VLOOKUP($BJ133,坦克个性化设定!$B$18:$E$48,4,FALSE)&amp;$BK133,坦克属性分配比例,MATCH("升星次数",坦克属性分配比例标头,0),FALSE)*VLOOKUP($BJ133,$AR$3:$AY$33,MATCH("换弹时间",$AR$3:$AY$3,0),FALSE),2))</f>
        <v>0</v>
      </c>
      <c r="BW133" s="2">
        <f>IF(VLOOKUP(BJ133,坦克个性化设定!$B$18:$BC$48,MATCH("装弹类型",坦克个性化设定!$B$18:$BC$18,0),FALSE)="弹夹换弹",ROUND(VLOOKUP($BJ133,$AI$3:$AO$33,MATCH("换弹时间",$AI$3:$AO$3,0),FALSE)-$BL133/VLOOKUP(VLOOKUP($BJ133,坦克个性化设定!$B$18:$E$48,4,FALSE)&amp;$BK133,坦克属性分配比例,MATCH("升星次数",坦克属性分配比例标头,0),FALSE)*VLOOKUP($BJ133,$AR$3:$AY$33,MATCH("换弹时间",$AR$3:$AY$3,0),FALSE),1),0)</f>
        <v>2.9</v>
      </c>
      <c r="BX133" s="2">
        <f>ROUND(VLOOKUP($BJ133,$AI$3:$AO$33,MATCH(BX$3,$AI$3:$AO$3,0),FALSE)+$BL133/VLOOKUP(VLOOKUP($BJ133,坦克个性化设定!$B$18:$E$48,4,FALSE)&amp;$BK133,坦克属性分配比例,MATCH("升星次数",坦克属性分配比例标头,0),FALSE)*VLOOKUP($BJ133,$AR$3:$AY$33,MATCH(BX$3,$AR$3:$AY$3,0),FALSE),2)</f>
        <v>0.46</v>
      </c>
      <c r="BY133" s="2">
        <f>ROUND(VLOOKUP($BJ133,$AI$3:$AO$33,MATCH(BY$3,$AI$3:$AO$3,0),FALSE)-$BL133/VLOOKUP(VLOOKUP($BJ133,坦克个性化设定!$B$18:$E$48,4,FALSE)&amp;$BK133,坦克属性分配比例,MATCH("升星次数",坦克属性分配比例标头,0),FALSE)*VLOOKUP($BJ133,$AR$3:$AY$33,MATCH(BY$3,$AR$3:$AY$3,0),FALSE),2)</f>
        <v>0.9</v>
      </c>
    </row>
    <row r="134" spans="60:77" x14ac:dyDescent="0.3">
      <c r="BH134" s="2" t="str">
        <f t="shared" si="27"/>
        <v>玛蒂尔达6</v>
      </c>
      <c r="BI134" s="2">
        <f>IF(BL133&gt;=VLOOKUP(VLOOKUP(BJ133,坦克个性化设定!$B$18:$E$48,4,FALSE)&amp;BK133,坦克属性分配比例,MATCH("升星次数",坦克属性分配比例标头,0),FALSE),BI133+1,BI133)</f>
        <v>14</v>
      </c>
      <c r="BJ134" s="2" t="str">
        <f t="shared" si="28"/>
        <v>玛蒂尔达</v>
      </c>
      <c r="BK134" s="29" t="str">
        <f>VLOOKUP(BJ134,坦克个性化细分!$I$3:$J$33,2,FALSE)</f>
        <v>低</v>
      </c>
      <c r="BL134" s="2">
        <f t="shared" si="26"/>
        <v>6</v>
      </c>
      <c r="BM134" s="103">
        <f ca="1">ROUND(VLOOKUP($BJ134&amp;"初始",$S$3:$AE$63,MATCH(BM$3,$S$3:$AE$3,0),FALSE)+((VLOOKUP($BJ134&amp;"最终",$S$3:$AE$63,MATCH(BM$3,$S$3:$AE$3,0),FALSE)*坦克个性化细分!$C$9-VLOOKUP($BJ134&amp;"初始",$S$3:$AE$63,MATCH(BM$3,$S$3:$AE$3,0),FALSE))-(VLOOKUP($BJ134&amp;"最终",$S$3:$AE$63,MATCH(BM$3,$S$3:$AE$3,0),FALSE)-VLOOKUP($BJ134&amp;"初始",$S$3:$AE$63,MATCH(BM$3,$S$3:$AE$3,0),FALSE))*VLOOKUP(VLOOKUP($BJ134,坦克个性化设定!$B$18:$E$48,4,FALSE)&amp;$BK134,坦克属性分配比例,MATCH("部件比例",坦克属性分配比例标头,0),FALSE))*$BL134/VLOOKUP(VLOOKUP($BJ134,坦克个性化设定!$B$18:$E$48,4,FALSE)&amp;$BK134,坦克属性分配比例,MATCH("升星次数",坦克属性分配比例标头,0),FALSE),0)</f>
        <v>1560</v>
      </c>
      <c r="BN134" s="103">
        <f ca="1">ROUND(VLOOKUP($BJ134&amp;"初始",$S$3:$AE$63,MATCH(BN$3,$S$3:$AE$3,0),FALSE)+(VLOOKUP($BJ134&amp;"最终",$S$3:$AE$63,MATCH(BN$3,$S$3:$AE$3,0),FALSE)-VLOOKUP($BJ134&amp;"初始",$S$3:$AE$63,MATCH(BN$3,$S$3:$AE$3,0),FALSE))*$BL134/VLOOKUP(VLOOKUP($BJ134,坦克个性化设定!$B$18:$E$48,4,FALSE)&amp;$BK134,坦克属性分配比例,MATCH("升星次数",坦克属性分配比例标头,0),FALSE)*VLOOKUP(VLOOKUP($BJ134,坦克个性化设定!$B$18:$E$48,4,FALSE)&amp;$BK134,坦克属性分配比例,MATCH("升星比例",坦克属性分配比例标头,0),FALSE),0)</f>
        <v>204</v>
      </c>
      <c r="BO134" s="103">
        <f ca="1">ROUND(VLOOKUP($BJ134&amp;"初始",$S$3:$AE$63,MATCH(BO$3,$S$3:$AE$3,0),FALSE)+(VLOOKUP($BJ134&amp;"最终",$S$3:$AE$63,MATCH(BO$3,$S$3:$AE$3,0),FALSE)-VLOOKUP($BJ134&amp;"初始",$S$3:$AE$63,MATCH(BO$3,$S$3:$AE$3,0),FALSE))*$BL134/VLOOKUP(VLOOKUP($BJ134,坦克个性化设定!$B$18:$E$48,4,FALSE)&amp;$BK134,坦克属性分配比例,MATCH("升星次数",坦克属性分配比例标头,0),FALSE)*(VLOOKUP(VLOOKUP($BJ134,坦克个性化设定!$B$18:$E$48,4,FALSE)&amp;$BK134,坦克属性分配比例,MATCH("升星比例",坦克属性分配比例标头,0),FALSE)+VLOOKUP(VLOOKUP($BJ134,坦克个性化设定!$B$18:$E$48,4,FALSE)&amp;$BK134,坦克属性分配比例,MATCH("部件比例",坦克属性分配比例标头,0),FALSE)*$C$3),0)</f>
        <v>613</v>
      </c>
      <c r="BP134" s="103">
        <f ca="1">ROUND(VLOOKUP($BJ134&amp;"初始",$S$3:$AE$63,MATCH(BP$3,$S$3:$AE$3,0),FALSE)+(VLOOKUP($BJ134&amp;"最终",$S$3:$AE$63,MATCH(BP$3,$S$3:$AE$3,0),FALSE)-VLOOKUP($BJ134&amp;"初始",$S$3:$AE$63,MATCH(BP$3,$S$3:$AE$3,0),FALSE))*$BL134/VLOOKUP(VLOOKUP($BJ134,坦克个性化设定!$B$18:$E$48,4,FALSE)&amp;$BK134,坦克属性分配比例,MATCH("升星次数",坦克属性分配比例标头,0),FALSE)*(VLOOKUP(VLOOKUP($BJ134,坦克个性化设定!$B$18:$E$48,4,FALSE)&amp;$BK134,坦克属性分配比例,MATCH("升星比例",坦克属性分配比例标头,0),FALSE)+VLOOKUP(VLOOKUP($BJ134,坦克个性化设定!$B$18:$E$48,4,FALSE)&amp;$BK134,坦克属性分配比例,MATCH("部件比例",坦克属性分配比例标头,0),FALSE)*$C$3),0)</f>
        <v>276</v>
      </c>
      <c r="BQ134" s="103">
        <f ca="1">ROUND(VLOOKUP($BJ134&amp;"初始",$S$3:$AE$63,MATCH(BQ$3,$S$3:$AE$3,0),FALSE)+(VLOOKUP($BJ134&amp;"最终",$S$3:$AE$63,MATCH(BQ$3,$S$3:$AE$3,0),FALSE)-VLOOKUP($BJ134&amp;"初始",$S$3:$AE$63,MATCH(BQ$3,$S$3:$AE$3,0),FALSE))*$BL134/VLOOKUP(VLOOKUP($BJ134,坦克个性化设定!$B$18:$E$48,4,FALSE)&amp;$BK134,坦克属性分配比例,MATCH("升星次数",坦克属性分配比例标头,0),FALSE)*VLOOKUP(VLOOKUP($BJ134,坦克个性化设定!$B$18:$E$48,4,FALSE)&amp;$BK134,坦克属性分配比例,MATCH("升星比例",坦克属性分配比例标头,0),FALSE),0)</f>
        <v>632</v>
      </c>
      <c r="BR134" s="2">
        <f ca="1">ROUND(VLOOKUP($BJ134&amp;"初始",$S$3:$AE$63,MATCH(BR$3,$S$3:$AE$3,0),FALSE)+(VLOOKUP($BJ134&amp;"最终",$S$3:$AE$63,MATCH(BR$3,$S$3:$AE$3,0),FALSE)-VLOOKUP($BJ134&amp;"初始",$S$3:$AE$63,MATCH(BR$3,$S$3:$AE$3,0),FALSE))*$BL134/VLOOKUP(VLOOKUP($BJ134,坦克个性化设定!$B$18:$E$48,4,FALSE)&amp;$BK134,坦克属性分配比例,MATCH("升星次数",坦克属性分配比例标头,0),FALSE),0)</f>
        <v>164</v>
      </c>
      <c r="BS134" s="2">
        <f>ROUND(VLOOKUP($BJ134,$AI$3:$AO$33,MATCH(BS$3,$AI$3:$AO$3,0),FALSE)+$BL134/VLOOKUP(VLOOKUP($BJ134,坦克个性化设定!$B$18:$E$48,4,FALSE)&amp;$BK134,坦克属性分配比例,MATCH("升星次数",坦克属性分配比例标头,0),FALSE)*VLOOKUP($BJ134,$AR$3:$AY$33,MATCH(BS$3,$AR$3:$AY$3,0),FALSE),1)</f>
        <v>51.9</v>
      </c>
      <c r="BT134" s="2">
        <f>ROUND(VLOOKUP($BJ134,$AI$3:$AO$33,MATCH(BT$3,$AI$3:$AO$3,0),FALSE)+$BL134/VLOOKUP(VLOOKUP($BJ134,坦克个性化设定!$B$18:$E$48,4,FALSE)&amp;$BK134,坦克属性分配比例,MATCH("升星次数",坦克属性分配比例标头,0),FALSE)*VLOOKUP($BJ134,$AR$3:$AY$33,MATCH(BT$3,$AR$3:$AY$3,0),FALSE),1)</f>
        <v>46.7</v>
      </c>
      <c r="BU134" s="2">
        <f>ROUND(VLOOKUP($BJ134,$AI$3:$AO$33,MATCH(BU$3,$AI$3:$AO$3,0),FALSE)+$BL134/VLOOKUP(VLOOKUP($BJ134,坦克个性化设定!$B$18:$E$48,4,FALSE)&amp;$BK134,坦克属性分配比例,MATCH("升星次数",坦克属性分配比例标头,0),FALSE)*VLOOKUP($BJ134,$AR$3:$AY$33,MATCH(BU$3,$AR$3:$AY$3,0),FALSE),1)</f>
        <v>8</v>
      </c>
      <c r="BV134" s="2">
        <f>IF(VLOOKUP(BJ134,坦克个性化设定!$B$18:$BC$48,MATCH("装弹类型",坦克个性化设定!$B$18:$BC$18,0),FALSE)="弹夹换弹",0,ROUND(VLOOKUP($BJ134,$AI$3:$AO$33,MATCH("换弹时间",$AI$3:$AO$3,0),FALSE)-$BL134/VLOOKUP(VLOOKUP($BJ134,坦克个性化设定!$B$18:$E$48,4,FALSE)&amp;$BK134,坦克属性分配比例,MATCH("升星次数",坦克属性分配比例标头,0),FALSE)*VLOOKUP($BJ134,$AR$3:$AY$33,MATCH("换弹时间",$AR$3:$AY$3,0),FALSE),2))</f>
        <v>0</v>
      </c>
      <c r="BW134" s="2">
        <f>IF(VLOOKUP(BJ134,坦克个性化设定!$B$18:$BC$48,MATCH("装弹类型",坦克个性化设定!$B$18:$BC$18,0),FALSE)="弹夹换弹",ROUND(VLOOKUP($BJ134,$AI$3:$AO$33,MATCH("换弹时间",$AI$3:$AO$3,0),FALSE)-$BL134/VLOOKUP(VLOOKUP($BJ134,坦克个性化设定!$B$18:$E$48,4,FALSE)&amp;$BK134,坦克属性分配比例,MATCH("升星次数",坦克属性分配比例标头,0),FALSE)*VLOOKUP($BJ134,$AR$3:$AY$33,MATCH("换弹时间",$AR$3:$AY$3,0),FALSE),1),0)</f>
        <v>2.8</v>
      </c>
      <c r="BX134" s="2">
        <f>ROUND(VLOOKUP($BJ134,$AI$3:$AO$33,MATCH(BX$3,$AI$3:$AO$3,0),FALSE)+$BL134/VLOOKUP(VLOOKUP($BJ134,坦克个性化设定!$B$18:$E$48,4,FALSE)&amp;$BK134,坦克属性分配比例,MATCH("升星次数",坦克属性分配比例标头,0),FALSE)*VLOOKUP($BJ134,$AR$3:$AY$33,MATCH(BX$3,$AR$3:$AY$3,0),FALSE),2)</f>
        <v>0.49</v>
      </c>
      <c r="BY134" s="2">
        <f>ROUND(VLOOKUP($BJ134,$AI$3:$AO$33,MATCH(BY$3,$AI$3:$AO$3,0),FALSE)-$BL134/VLOOKUP(VLOOKUP($BJ134,坦克个性化设定!$B$18:$E$48,4,FALSE)&amp;$BK134,坦克属性分配比例,MATCH("升星次数",坦克属性分配比例标头,0),FALSE)*VLOOKUP($BJ134,$AR$3:$AY$33,MATCH(BY$3,$AR$3:$AY$3,0),FALSE),2)</f>
        <v>0.88</v>
      </c>
    </row>
    <row r="135" spans="60:77" x14ac:dyDescent="0.3">
      <c r="BH135" s="2" t="str">
        <f t="shared" si="27"/>
        <v>玛蒂尔达7</v>
      </c>
      <c r="BI135" s="2">
        <f>IF(BL134&gt;=VLOOKUP(VLOOKUP(BJ134,坦克个性化设定!$B$18:$E$48,4,FALSE)&amp;BK134,坦克属性分配比例,MATCH("升星次数",坦克属性分配比例标头,0),FALSE),BI134+1,BI134)</f>
        <v>14</v>
      </c>
      <c r="BJ135" s="2" t="str">
        <f t="shared" si="28"/>
        <v>玛蒂尔达</v>
      </c>
      <c r="BK135" s="29" t="str">
        <f>VLOOKUP(BJ135,坦克个性化细分!$I$3:$J$33,2,FALSE)</f>
        <v>低</v>
      </c>
      <c r="BL135" s="2">
        <f t="shared" si="26"/>
        <v>7</v>
      </c>
      <c r="BM135" s="103">
        <f ca="1">ROUND(VLOOKUP($BJ135&amp;"初始",$S$3:$AE$63,MATCH(BM$3,$S$3:$AE$3,0),FALSE)+((VLOOKUP($BJ135&amp;"最终",$S$3:$AE$63,MATCH(BM$3,$S$3:$AE$3,0),FALSE)*坦克个性化细分!$C$9-VLOOKUP($BJ135&amp;"初始",$S$3:$AE$63,MATCH(BM$3,$S$3:$AE$3,0),FALSE))-(VLOOKUP($BJ135&amp;"最终",$S$3:$AE$63,MATCH(BM$3,$S$3:$AE$3,0),FALSE)-VLOOKUP($BJ135&amp;"初始",$S$3:$AE$63,MATCH(BM$3,$S$3:$AE$3,0),FALSE))*VLOOKUP(VLOOKUP($BJ135,坦克个性化设定!$B$18:$E$48,4,FALSE)&amp;$BK135,坦克属性分配比例,MATCH("部件比例",坦克属性分配比例标头,0),FALSE))*$BL135/VLOOKUP(VLOOKUP($BJ135,坦克个性化设定!$B$18:$E$48,4,FALSE)&amp;$BK135,坦克属性分配比例,MATCH("升星次数",坦克属性分配比例标头,0),FALSE),0)</f>
        <v>1623</v>
      </c>
      <c r="BN135" s="103">
        <f ca="1">ROUND(VLOOKUP($BJ135&amp;"初始",$S$3:$AE$63,MATCH(BN$3,$S$3:$AE$3,0),FALSE)+(VLOOKUP($BJ135&amp;"最终",$S$3:$AE$63,MATCH(BN$3,$S$3:$AE$3,0),FALSE)-VLOOKUP($BJ135&amp;"初始",$S$3:$AE$63,MATCH(BN$3,$S$3:$AE$3,0),FALSE))*$BL135/VLOOKUP(VLOOKUP($BJ135,坦克个性化设定!$B$18:$E$48,4,FALSE)&amp;$BK135,坦克属性分配比例,MATCH("升星次数",坦克属性分配比例标头,0),FALSE)*VLOOKUP(VLOOKUP($BJ135,坦克个性化设定!$B$18:$E$48,4,FALSE)&amp;$BK135,坦克属性分配比例,MATCH("升星比例",坦克属性分配比例标头,0),FALSE),0)</f>
        <v>210</v>
      </c>
      <c r="BO135" s="103">
        <f ca="1">ROUND(VLOOKUP($BJ135&amp;"初始",$S$3:$AE$63,MATCH(BO$3,$S$3:$AE$3,0),FALSE)+(VLOOKUP($BJ135&amp;"最终",$S$3:$AE$63,MATCH(BO$3,$S$3:$AE$3,0),FALSE)-VLOOKUP($BJ135&amp;"初始",$S$3:$AE$63,MATCH(BO$3,$S$3:$AE$3,0),FALSE))*$BL135/VLOOKUP(VLOOKUP($BJ135,坦克个性化设定!$B$18:$E$48,4,FALSE)&amp;$BK135,坦克属性分配比例,MATCH("升星次数",坦克属性分配比例标头,0),FALSE)*(VLOOKUP(VLOOKUP($BJ135,坦克个性化设定!$B$18:$E$48,4,FALSE)&amp;$BK135,坦克属性分配比例,MATCH("升星比例",坦克属性分配比例标头,0),FALSE)+VLOOKUP(VLOOKUP($BJ135,坦克个性化设定!$B$18:$E$48,4,FALSE)&amp;$BK135,坦克属性分配比例,MATCH("部件比例",坦克属性分配比例标头,0),FALSE)*$C$3),0)</f>
        <v>634</v>
      </c>
      <c r="BP135" s="103">
        <f ca="1">ROUND(VLOOKUP($BJ135&amp;"初始",$S$3:$AE$63,MATCH(BP$3,$S$3:$AE$3,0),FALSE)+(VLOOKUP($BJ135&amp;"最终",$S$3:$AE$63,MATCH(BP$3,$S$3:$AE$3,0),FALSE)-VLOOKUP($BJ135&amp;"初始",$S$3:$AE$63,MATCH(BP$3,$S$3:$AE$3,0),FALSE))*$BL135/VLOOKUP(VLOOKUP($BJ135,坦克个性化设定!$B$18:$E$48,4,FALSE)&amp;$BK135,坦克属性分配比例,MATCH("升星次数",坦克属性分配比例标头,0),FALSE)*(VLOOKUP(VLOOKUP($BJ135,坦克个性化设定!$B$18:$E$48,4,FALSE)&amp;$BK135,坦克属性分配比例,MATCH("升星比例",坦克属性分配比例标头,0),FALSE)+VLOOKUP(VLOOKUP($BJ135,坦克个性化设定!$B$18:$E$48,4,FALSE)&amp;$BK135,坦克属性分配比例,MATCH("部件比例",坦克属性分配比例标头,0),FALSE)*$C$3),0)</f>
        <v>286</v>
      </c>
      <c r="BQ135" s="103">
        <f ca="1">ROUND(VLOOKUP($BJ135&amp;"初始",$S$3:$AE$63,MATCH(BQ$3,$S$3:$AE$3,0),FALSE)+(VLOOKUP($BJ135&amp;"最终",$S$3:$AE$63,MATCH(BQ$3,$S$3:$AE$3,0),FALSE)-VLOOKUP($BJ135&amp;"初始",$S$3:$AE$63,MATCH(BQ$3,$S$3:$AE$3,0),FALSE))*$BL135/VLOOKUP(VLOOKUP($BJ135,坦克个性化设定!$B$18:$E$48,4,FALSE)&amp;$BK135,坦克属性分配比例,MATCH("升星次数",坦克属性分配比例标头,0),FALSE)*VLOOKUP(VLOOKUP($BJ135,坦克个性化设定!$B$18:$E$48,4,FALSE)&amp;$BK135,坦克属性分配比例,MATCH("升星比例",坦克属性分配比例标头,0),FALSE),0)</f>
        <v>649</v>
      </c>
      <c r="BR135" s="2">
        <f ca="1">ROUND(VLOOKUP($BJ135&amp;"初始",$S$3:$AE$63,MATCH(BR$3,$S$3:$AE$3,0),FALSE)+(VLOOKUP($BJ135&amp;"最终",$S$3:$AE$63,MATCH(BR$3,$S$3:$AE$3,0),FALSE)-VLOOKUP($BJ135&amp;"初始",$S$3:$AE$63,MATCH(BR$3,$S$3:$AE$3,0),FALSE))*$BL135/VLOOKUP(VLOOKUP($BJ135,坦克个性化设定!$B$18:$E$48,4,FALSE)&amp;$BK135,坦克属性分配比例,MATCH("升星次数",坦克属性分配比例标头,0),FALSE),0)</f>
        <v>170</v>
      </c>
      <c r="BS135" s="2">
        <f>ROUND(VLOOKUP($BJ135,$AI$3:$AO$33,MATCH(BS$3,$AI$3:$AO$3,0),FALSE)+$BL135/VLOOKUP(VLOOKUP($BJ135,坦克个性化设定!$B$18:$E$48,4,FALSE)&amp;$BK135,坦克属性分配比例,MATCH("升星次数",坦克属性分配比例标头,0),FALSE)*VLOOKUP($BJ135,$AR$3:$AY$33,MATCH(BS$3,$AR$3:$AY$3,0),FALSE),1)</f>
        <v>53.2</v>
      </c>
      <c r="BT135" s="2">
        <f>ROUND(VLOOKUP($BJ135,$AI$3:$AO$33,MATCH(BT$3,$AI$3:$AO$3,0),FALSE)+$BL135/VLOOKUP(VLOOKUP($BJ135,坦克个性化设定!$B$18:$E$48,4,FALSE)&amp;$BK135,坦克属性分配比例,MATCH("升星次数",坦克属性分配比例标头,0),FALSE)*VLOOKUP($BJ135,$AR$3:$AY$33,MATCH(BT$3,$AR$3:$AY$3,0),FALSE),1)</f>
        <v>47.8</v>
      </c>
      <c r="BU135" s="2">
        <f>ROUND(VLOOKUP($BJ135,$AI$3:$AO$33,MATCH(BU$3,$AI$3:$AO$3,0),FALSE)+$BL135/VLOOKUP(VLOOKUP($BJ135,坦克个性化设定!$B$18:$E$48,4,FALSE)&amp;$BK135,坦克属性分配比例,MATCH("升星次数",坦克属性分配比例标头,0),FALSE)*VLOOKUP($BJ135,$AR$3:$AY$33,MATCH(BU$3,$AR$3:$AY$3,0),FALSE),1)</f>
        <v>8</v>
      </c>
      <c r="BV135" s="2">
        <f>IF(VLOOKUP(BJ135,坦克个性化设定!$B$18:$BC$48,MATCH("装弹类型",坦克个性化设定!$B$18:$BC$18,0),FALSE)="弹夹换弹",0,ROUND(VLOOKUP($BJ135,$AI$3:$AO$33,MATCH("换弹时间",$AI$3:$AO$3,0),FALSE)-$BL135/VLOOKUP(VLOOKUP($BJ135,坦克个性化设定!$B$18:$E$48,4,FALSE)&amp;$BK135,坦克属性分配比例,MATCH("升星次数",坦克属性分配比例标头,0),FALSE)*VLOOKUP($BJ135,$AR$3:$AY$33,MATCH("换弹时间",$AR$3:$AY$3,0),FALSE),2))</f>
        <v>0</v>
      </c>
      <c r="BW135" s="2">
        <f>IF(VLOOKUP(BJ135,坦克个性化设定!$B$18:$BC$48,MATCH("装弹类型",坦克个性化设定!$B$18:$BC$18,0),FALSE)="弹夹换弹",ROUND(VLOOKUP($BJ135,$AI$3:$AO$33,MATCH("换弹时间",$AI$3:$AO$3,0),FALSE)-$BL135/VLOOKUP(VLOOKUP($BJ135,坦克个性化设定!$B$18:$E$48,4,FALSE)&amp;$BK135,坦克属性分配比例,MATCH("升星次数",坦克属性分配比例标头,0),FALSE)*VLOOKUP($BJ135,$AR$3:$AY$33,MATCH("换弹时间",$AR$3:$AY$3,0),FALSE),1),0)</f>
        <v>2.7</v>
      </c>
      <c r="BX135" s="2">
        <f>ROUND(VLOOKUP($BJ135,$AI$3:$AO$33,MATCH(BX$3,$AI$3:$AO$3,0),FALSE)+$BL135/VLOOKUP(VLOOKUP($BJ135,坦克个性化设定!$B$18:$E$48,4,FALSE)&amp;$BK135,坦克属性分配比例,MATCH("升星次数",坦克属性分配比例标头,0),FALSE)*VLOOKUP($BJ135,$AR$3:$AY$33,MATCH(BX$3,$AR$3:$AY$3,0),FALSE),2)</f>
        <v>0.53</v>
      </c>
      <c r="BY135" s="2">
        <f>ROUND(VLOOKUP($BJ135,$AI$3:$AO$33,MATCH(BY$3,$AI$3:$AO$3,0),FALSE)-$BL135/VLOOKUP(VLOOKUP($BJ135,坦克个性化设定!$B$18:$E$48,4,FALSE)&amp;$BK135,坦克属性分配比例,MATCH("升星次数",坦克属性分配比例标头,0),FALSE)*VLOOKUP($BJ135,$AR$3:$AY$33,MATCH(BY$3,$AR$3:$AY$3,0),FALSE),2)</f>
        <v>0.86</v>
      </c>
    </row>
    <row r="136" spans="60:77" x14ac:dyDescent="0.3">
      <c r="BH136" s="2" t="str">
        <f t="shared" si="27"/>
        <v>玛蒂尔达8</v>
      </c>
      <c r="BI136" s="2">
        <f>IF(BL135&gt;=VLOOKUP(VLOOKUP(BJ135,坦克个性化设定!$B$18:$E$48,4,FALSE)&amp;BK135,坦克属性分配比例,MATCH("升星次数",坦克属性分配比例标头,0),FALSE),BI135+1,BI135)</f>
        <v>14</v>
      </c>
      <c r="BJ136" s="2" t="str">
        <f t="shared" si="28"/>
        <v>玛蒂尔达</v>
      </c>
      <c r="BK136" s="29" t="str">
        <f>VLOOKUP(BJ136,坦克个性化细分!$I$3:$J$33,2,FALSE)</f>
        <v>低</v>
      </c>
      <c r="BL136" s="2">
        <f t="shared" si="26"/>
        <v>8</v>
      </c>
      <c r="BM136" s="103">
        <f ca="1">ROUND(VLOOKUP($BJ136&amp;"初始",$S$3:$AE$63,MATCH(BM$3,$S$3:$AE$3,0),FALSE)+((VLOOKUP($BJ136&amp;"最终",$S$3:$AE$63,MATCH(BM$3,$S$3:$AE$3,0),FALSE)*坦克个性化细分!$C$9-VLOOKUP($BJ136&amp;"初始",$S$3:$AE$63,MATCH(BM$3,$S$3:$AE$3,0),FALSE))-(VLOOKUP($BJ136&amp;"最终",$S$3:$AE$63,MATCH(BM$3,$S$3:$AE$3,0),FALSE)-VLOOKUP($BJ136&amp;"初始",$S$3:$AE$63,MATCH(BM$3,$S$3:$AE$3,0),FALSE))*VLOOKUP(VLOOKUP($BJ136,坦克个性化设定!$B$18:$E$48,4,FALSE)&amp;$BK136,坦克属性分配比例,MATCH("部件比例",坦克属性分配比例标头,0),FALSE))*$BL136/VLOOKUP(VLOOKUP($BJ136,坦克个性化设定!$B$18:$E$48,4,FALSE)&amp;$BK136,坦克属性分配比例,MATCH("升星次数",坦克属性分配比例标头,0),FALSE),0)</f>
        <v>1685</v>
      </c>
      <c r="BN136" s="103">
        <f ca="1">ROUND(VLOOKUP($BJ136&amp;"初始",$S$3:$AE$63,MATCH(BN$3,$S$3:$AE$3,0),FALSE)+(VLOOKUP($BJ136&amp;"最终",$S$3:$AE$63,MATCH(BN$3,$S$3:$AE$3,0),FALSE)-VLOOKUP($BJ136&amp;"初始",$S$3:$AE$63,MATCH(BN$3,$S$3:$AE$3,0),FALSE))*$BL136/VLOOKUP(VLOOKUP($BJ136,坦克个性化设定!$B$18:$E$48,4,FALSE)&amp;$BK136,坦克属性分配比例,MATCH("升星次数",坦克属性分配比例标头,0),FALSE)*VLOOKUP(VLOOKUP($BJ136,坦克个性化设定!$B$18:$E$48,4,FALSE)&amp;$BK136,坦克属性分配比例,MATCH("升星比例",坦克属性分配比例标头,0),FALSE),0)</f>
        <v>215</v>
      </c>
      <c r="BO136" s="103">
        <f ca="1">ROUND(VLOOKUP($BJ136&amp;"初始",$S$3:$AE$63,MATCH(BO$3,$S$3:$AE$3,0),FALSE)+(VLOOKUP($BJ136&amp;"最终",$S$3:$AE$63,MATCH(BO$3,$S$3:$AE$3,0),FALSE)-VLOOKUP($BJ136&amp;"初始",$S$3:$AE$63,MATCH(BO$3,$S$3:$AE$3,0),FALSE))*$BL136/VLOOKUP(VLOOKUP($BJ136,坦克个性化设定!$B$18:$E$48,4,FALSE)&amp;$BK136,坦克属性分配比例,MATCH("升星次数",坦克属性分配比例标头,0),FALSE)*(VLOOKUP(VLOOKUP($BJ136,坦克个性化设定!$B$18:$E$48,4,FALSE)&amp;$BK136,坦克属性分配比例,MATCH("升星比例",坦克属性分配比例标头,0),FALSE)+VLOOKUP(VLOOKUP($BJ136,坦克个性化设定!$B$18:$E$48,4,FALSE)&amp;$BK136,坦克属性分配比例,MATCH("部件比例",坦克属性分配比例标头,0),FALSE)*$C$3),0)</f>
        <v>655</v>
      </c>
      <c r="BP136" s="103">
        <f ca="1">ROUND(VLOOKUP($BJ136&amp;"初始",$S$3:$AE$63,MATCH(BP$3,$S$3:$AE$3,0),FALSE)+(VLOOKUP($BJ136&amp;"最终",$S$3:$AE$63,MATCH(BP$3,$S$3:$AE$3,0),FALSE)-VLOOKUP($BJ136&amp;"初始",$S$3:$AE$63,MATCH(BP$3,$S$3:$AE$3,0),FALSE))*$BL136/VLOOKUP(VLOOKUP($BJ136,坦克个性化设定!$B$18:$E$48,4,FALSE)&amp;$BK136,坦克属性分配比例,MATCH("升星次数",坦克属性分配比例标头,0),FALSE)*(VLOOKUP(VLOOKUP($BJ136,坦克个性化设定!$B$18:$E$48,4,FALSE)&amp;$BK136,坦克属性分配比例,MATCH("升星比例",坦克属性分配比例标头,0),FALSE)+VLOOKUP(VLOOKUP($BJ136,坦克个性化设定!$B$18:$E$48,4,FALSE)&amp;$BK136,坦克属性分配比例,MATCH("部件比例",坦克属性分配比例标头,0),FALSE)*$C$3),0)</f>
        <v>295</v>
      </c>
      <c r="BQ136" s="103">
        <f ca="1">ROUND(VLOOKUP($BJ136&amp;"初始",$S$3:$AE$63,MATCH(BQ$3,$S$3:$AE$3,0),FALSE)+(VLOOKUP($BJ136&amp;"最终",$S$3:$AE$63,MATCH(BQ$3,$S$3:$AE$3,0),FALSE)-VLOOKUP($BJ136&amp;"初始",$S$3:$AE$63,MATCH(BQ$3,$S$3:$AE$3,0),FALSE))*$BL136/VLOOKUP(VLOOKUP($BJ136,坦克个性化设定!$B$18:$E$48,4,FALSE)&amp;$BK136,坦克属性分配比例,MATCH("升星次数",坦克属性分配比例标头,0),FALSE)*VLOOKUP(VLOOKUP($BJ136,坦克个性化设定!$B$18:$E$48,4,FALSE)&amp;$BK136,坦克属性分配比例,MATCH("升星比例",坦克属性分配比例标头,0),FALSE),0)</f>
        <v>665</v>
      </c>
      <c r="BR136" s="2">
        <f ca="1">ROUND(VLOOKUP($BJ136&amp;"初始",$S$3:$AE$63,MATCH(BR$3,$S$3:$AE$3,0),FALSE)+(VLOOKUP($BJ136&amp;"最终",$S$3:$AE$63,MATCH(BR$3,$S$3:$AE$3,0),FALSE)-VLOOKUP($BJ136&amp;"初始",$S$3:$AE$63,MATCH(BR$3,$S$3:$AE$3,0),FALSE))*$BL136/VLOOKUP(VLOOKUP($BJ136,坦克个性化设定!$B$18:$E$48,4,FALSE)&amp;$BK136,坦克属性分配比例,MATCH("升星次数",坦克属性分配比例标头,0),FALSE),0)</f>
        <v>177</v>
      </c>
      <c r="BS136" s="2">
        <f>ROUND(VLOOKUP($BJ136,$AI$3:$AO$33,MATCH(BS$3,$AI$3:$AO$3,0),FALSE)+$BL136/VLOOKUP(VLOOKUP($BJ136,坦克个性化设定!$B$18:$E$48,4,FALSE)&amp;$BK136,坦克属性分配比例,MATCH("升星次数",坦克属性分配比例标头,0),FALSE)*VLOOKUP($BJ136,$AR$3:$AY$33,MATCH(BS$3,$AR$3:$AY$3,0),FALSE),1)</f>
        <v>54.4</v>
      </c>
      <c r="BT136" s="2">
        <f>ROUND(VLOOKUP($BJ136,$AI$3:$AO$33,MATCH(BT$3,$AI$3:$AO$3,0),FALSE)+$BL136/VLOOKUP(VLOOKUP($BJ136,坦克个性化设定!$B$18:$E$48,4,FALSE)&amp;$BK136,坦克属性分配比例,MATCH("升星次数",坦克属性分配比例标头,0),FALSE)*VLOOKUP($BJ136,$AR$3:$AY$33,MATCH(BT$3,$AR$3:$AY$3,0),FALSE),1)</f>
        <v>48.9</v>
      </c>
      <c r="BU136" s="2">
        <f>ROUND(VLOOKUP($BJ136,$AI$3:$AO$33,MATCH(BU$3,$AI$3:$AO$3,0),FALSE)+$BL136/VLOOKUP(VLOOKUP($BJ136,坦克个性化设定!$B$18:$E$48,4,FALSE)&amp;$BK136,坦克属性分配比例,MATCH("升星次数",坦克属性分配比例标头,0),FALSE)*VLOOKUP($BJ136,$AR$3:$AY$33,MATCH(BU$3,$AR$3:$AY$3,0),FALSE),1)</f>
        <v>8</v>
      </c>
      <c r="BV136" s="2">
        <f>IF(VLOOKUP(BJ136,坦克个性化设定!$B$18:$BC$48,MATCH("装弹类型",坦克个性化设定!$B$18:$BC$18,0),FALSE)="弹夹换弹",0,ROUND(VLOOKUP($BJ136,$AI$3:$AO$33,MATCH("换弹时间",$AI$3:$AO$3,0),FALSE)-$BL136/VLOOKUP(VLOOKUP($BJ136,坦克个性化设定!$B$18:$E$48,4,FALSE)&amp;$BK136,坦克属性分配比例,MATCH("升星次数",坦克属性分配比例标头,0),FALSE)*VLOOKUP($BJ136,$AR$3:$AY$33,MATCH("换弹时间",$AR$3:$AY$3,0),FALSE),2))</f>
        <v>0</v>
      </c>
      <c r="BW136" s="2">
        <f>IF(VLOOKUP(BJ136,坦克个性化设定!$B$18:$BC$48,MATCH("装弹类型",坦克个性化设定!$B$18:$BC$18,0),FALSE)="弹夹换弹",ROUND(VLOOKUP($BJ136,$AI$3:$AO$33,MATCH("换弹时间",$AI$3:$AO$3,0),FALSE)-$BL136/VLOOKUP(VLOOKUP($BJ136,坦克个性化设定!$B$18:$E$48,4,FALSE)&amp;$BK136,坦克属性分配比例,MATCH("升星次数",坦克属性分配比例标头,0),FALSE)*VLOOKUP($BJ136,$AR$3:$AY$33,MATCH("换弹时间",$AR$3:$AY$3,0),FALSE),1),0)</f>
        <v>2.7</v>
      </c>
      <c r="BX136" s="2">
        <f>ROUND(VLOOKUP($BJ136,$AI$3:$AO$33,MATCH(BX$3,$AI$3:$AO$3,0),FALSE)+$BL136/VLOOKUP(VLOOKUP($BJ136,坦克个性化设定!$B$18:$E$48,4,FALSE)&amp;$BK136,坦克属性分配比例,MATCH("升星次数",坦克属性分配比例标头,0),FALSE)*VLOOKUP($BJ136,$AR$3:$AY$33,MATCH(BX$3,$AR$3:$AY$3,0),FALSE),2)</f>
        <v>0.56000000000000005</v>
      </c>
      <c r="BY136" s="2">
        <f>ROUND(VLOOKUP($BJ136,$AI$3:$AO$33,MATCH(BY$3,$AI$3:$AO$3,0),FALSE)-$BL136/VLOOKUP(VLOOKUP($BJ136,坦克个性化设定!$B$18:$E$48,4,FALSE)&amp;$BK136,坦克属性分配比例,MATCH("升星次数",坦克属性分配比例标头,0),FALSE)*VLOOKUP($BJ136,$AR$3:$AY$33,MATCH(BY$3,$AR$3:$AY$3,0),FALSE),2)</f>
        <v>0.84</v>
      </c>
    </row>
    <row r="137" spans="60:77" x14ac:dyDescent="0.3">
      <c r="BH137" s="2" t="str">
        <f t="shared" si="27"/>
        <v>玛蒂尔达9</v>
      </c>
      <c r="BI137" s="2">
        <f>IF(BL136&gt;=VLOOKUP(VLOOKUP(BJ136,坦克个性化设定!$B$18:$E$48,4,FALSE)&amp;BK136,坦克属性分配比例,MATCH("升星次数",坦克属性分配比例标头,0),FALSE),BI136+1,BI136)</f>
        <v>14</v>
      </c>
      <c r="BJ137" s="2" t="str">
        <f t="shared" si="28"/>
        <v>玛蒂尔达</v>
      </c>
      <c r="BK137" s="29" t="str">
        <f>VLOOKUP(BJ137,坦克个性化细分!$I$3:$J$33,2,FALSE)</f>
        <v>低</v>
      </c>
      <c r="BL137" s="2">
        <f t="shared" si="26"/>
        <v>9</v>
      </c>
      <c r="BM137" s="103">
        <f ca="1">ROUND(VLOOKUP($BJ137&amp;"初始",$S$3:$AE$63,MATCH(BM$3,$S$3:$AE$3,0),FALSE)+((VLOOKUP($BJ137&amp;"最终",$S$3:$AE$63,MATCH(BM$3,$S$3:$AE$3,0),FALSE)*坦克个性化细分!$C$9-VLOOKUP($BJ137&amp;"初始",$S$3:$AE$63,MATCH(BM$3,$S$3:$AE$3,0),FALSE))-(VLOOKUP($BJ137&amp;"最终",$S$3:$AE$63,MATCH(BM$3,$S$3:$AE$3,0),FALSE)-VLOOKUP($BJ137&amp;"初始",$S$3:$AE$63,MATCH(BM$3,$S$3:$AE$3,0),FALSE))*VLOOKUP(VLOOKUP($BJ137,坦克个性化设定!$B$18:$E$48,4,FALSE)&amp;$BK137,坦克属性分配比例,MATCH("部件比例",坦克属性分配比例标头,0),FALSE))*$BL137/VLOOKUP(VLOOKUP($BJ137,坦克个性化设定!$B$18:$E$48,4,FALSE)&amp;$BK137,坦克属性分配比例,MATCH("升星次数",坦克属性分配比例标头,0),FALSE),0)</f>
        <v>1747</v>
      </c>
      <c r="BN137" s="103">
        <f ca="1">ROUND(VLOOKUP($BJ137&amp;"初始",$S$3:$AE$63,MATCH(BN$3,$S$3:$AE$3,0),FALSE)+(VLOOKUP($BJ137&amp;"最终",$S$3:$AE$63,MATCH(BN$3,$S$3:$AE$3,0),FALSE)-VLOOKUP($BJ137&amp;"初始",$S$3:$AE$63,MATCH(BN$3,$S$3:$AE$3,0),FALSE))*$BL137/VLOOKUP(VLOOKUP($BJ137,坦克个性化设定!$B$18:$E$48,4,FALSE)&amp;$BK137,坦克属性分配比例,MATCH("升星次数",坦克属性分配比例标头,0),FALSE)*VLOOKUP(VLOOKUP($BJ137,坦克个性化设定!$B$18:$E$48,4,FALSE)&amp;$BK137,坦克属性分配比例,MATCH("升星比例",坦克属性分配比例标头,0),FALSE),0)</f>
        <v>220</v>
      </c>
      <c r="BO137" s="103">
        <f ca="1">ROUND(VLOOKUP($BJ137&amp;"初始",$S$3:$AE$63,MATCH(BO$3,$S$3:$AE$3,0),FALSE)+(VLOOKUP($BJ137&amp;"最终",$S$3:$AE$63,MATCH(BO$3,$S$3:$AE$3,0),FALSE)-VLOOKUP($BJ137&amp;"初始",$S$3:$AE$63,MATCH(BO$3,$S$3:$AE$3,0),FALSE))*$BL137/VLOOKUP(VLOOKUP($BJ137,坦克个性化设定!$B$18:$E$48,4,FALSE)&amp;$BK137,坦克属性分配比例,MATCH("升星次数",坦克属性分配比例标头,0),FALSE)*(VLOOKUP(VLOOKUP($BJ137,坦克个性化设定!$B$18:$E$48,4,FALSE)&amp;$BK137,坦克属性分配比例,MATCH("升星比例",坦克属性分配比例标头,0),FALSE)+VLOOKUP(VLOOKUP($BJ137,坦克个性化设定!$B$18:$E$48,4,FALSE)&amp;$BK137,坦克属性分配比例,MATCH("部件比例",坦克属性分配比例标头,0),FALSE)*$C$3),0)</f>
        <v>677</v>
      </c>
      <c r="BP137" s="103">
        <f ca="1">ROUND(VLOOKUP($BJ137&amp;"初始",$S$3:$AE$63,MATCH(BP$3,$S$3:$AE$3,0),FALSE)+(VLOOKUP($BJ137&amp;"最终",$S$3:$AE$63,MATCH(BP$3,$S$3:$AE$3,0),FALSE)-VLOOKUP($BJ137&amp;"初始",$S$3:$AE$63,MATCH(BP$3,$S$3:$AE$3,0),FALSE))*$BL137/VLOOKUP(VLOOKUP($BJ137,坦克个性化设定!$B$18:$E$48,4,FALSE)&amp;$BK137,坦克属性分配比例,MATCH("升星次数",坦克属性分配比例标头,0),FALSE)*(VLOOKUP(VLOOKUP($BJ137,坦克个性化设定!$B$18:$E$48,4,FALSE)&amp;$BK137,坦克属性分配比例,MATCH("升星比例",坦克属性分配比例标头,0),FALSE)+VLOOKUP(VLOOKUP($BJ137,坦克个性化设定!$B$18:$E$48,4,FALSE)&amp;$BK137,坦克属性分配比例,MATCH("部件比例",坦克属性分配比例标头,0),FALSE)*$C$3),0)</f>
        <v>305</v>
      </c>
      <c r="BQ137" s="103">
        <f ca="1">ROUND(VLOOKUP($BJ137&amp;"初始",$S$3:$AE$63,MATCH(BQ$3,$S$3:$AE$3,0),FALSE)+(VLOOKUP($BJ137&amp;"最终",$S$3:$AE$63,MATCH(BQ$3,$S$3:$AE$3,0),FALSE)-VLOOKUP($BJ137&amp;"初始",$S$3:$AE$63,MATCH(BQ$3,$S$3:$AE$3,0),FALSE))*$BL137/VLOOKUP(VLOOKUP($BJ137,坦克个性化设定!$B$18:$E$48,4,FALSE)&amp;$BK137,坦克属性分配比例,MATCH("升星次数",坦克属性分配比例标头,0),FALSE)*VLOOKUP(VLOOKUP($BJ137,坦克个性化设定!$B$18:$E$48,4,FALSE)&amp;$BK137,坦克属性分配比例,MATCH("升星比例",坦克属性分配比例标头,0),FALSE),0)</f>
        <v>682</v>
      </c>
      <c r="BR137" s="2">
        <f ca="1">ROUND(VLOOKUP($BJ137&amp;"初始",$S$3:$AE$63,MATCH(BR$3,$S$3:$AE$3,0),FALSE)+(VLOOKUP($BJ137&amp;"最终",$S$3:$AE$63,MATCH(BR$3,$S$3:$AE$3,0),FALSE)-VLOOKUP($BJ137&amp;"初始",$S$3:$AE$63,MATCH(BR$3,$S$3:$AE$3,0),FALSE))*$BL137/VLOOKUP(VLOOKUP($BJ137,坦克个性化设定!$B$18:$E$48,4,FALSE)&amp;$BK137,坦克属性分配比例,MATCH("升星次数",坦克属性分配比例标头,0),FALSE),0)</f>
        <v>183</v>
      </c>
      <c r="BS137" s="2">
        <f>ROUND(VLOOKUP($BJ137,$AI$3:$AO$33,MATCH(BS$3,$AI$3:$AO$3,0),FALSE)+$BL137/VLOOKUP(VLOOKUP($BJ137,坦克个性化设定!$B$18:$E$48,4,FALSE)&amp;$BK137,坦克属性分配比例,MATCH("升星次数",坦克属性分配比例标头,0),FALSE)*VLOOKUP($BJ137,$AR$3:$AY$33,MATCH(BS$3,$AR$3:$AY$3,0),FALSE),1)</f>
        <v>55.6</v>
      </c>
      <c r="BT137" s="2">
        <f>ROUND(VLOOKUP($BJ137,$AI$3:$AO$33,MATCH(BT$3,$AI$3:$AO$3,0),FALSE)+$BL137/VLOOKUP(VLOOKUP($BJ137,坦克个性化设定!$B$18:$E$48,4,FALSE)&amp;$BK137,坦克属性分配比例,MATCH("升星次数",坦克属性分配比例标头,0),FALSE)*VLOOKUP($BJ137,$AR$3:$AY$33,MATCH(BT$3,$AR$3:$AY$3,0),FALSE),1)</f>
        <v>50</v>
      </c>
      <c r="BU137" s="2">
        <f>ROUND(VLOOKUP($BJ137,$AI$3:$AO$33,MATCH(BU$3,$AI$3:$AO$3,0),FALSE)+$BL137/VLOOKUP(VLOOKUP($BJ137,坦克个性化设定!$B$18:$E$48,4,FALSE)&amp;$BK137,坦克属性分配比例,MATCH("升星次数",坦克属性分配比例标头,0),FALSE)*VLOOKUP($BJ137,$AR$3:$AY$33,MATCH(BU$3,$AR$3:$AY$3,0),FALSE),1)</f>
        <v>8</v>
      </c>
      <c r="BV137" s="2">
        <f>IF(VLOOKUP(BJ137,坦克个性化设定!$B$18:$BC$48,MATCH("装弹类型",坦克个性化设定!$B$18:$BC$18,0),FALSE)="弹夹换弹",0,ROUND(VLOOKUP($BJ137,$AI$3:$AO$33,MATCH("换弹时间",$AI$3:$AO$3,0),FALSE)-$BL137/VLOOKUP(VLOOKUP($BJ137,坦克个性化设定!$B$18:$E$48,4,FALSE)&amp;$BK137,坦克属性分配比例,MATCH("升星次数",坦克属性分配比例标头,0),FALSE)*VLOOKUP($BJ137,$AR$3:$AY$33,MATCH("换弹时间",$AR$3:$AY$3,0),FALSE),2))</f>
        <v>0</v>
      </c>
      <c r="BW137" s="2">
        <f>IF(VLOOKUP(BJ137,坦克个性化设定!$B$18:$BC$48,MATCH("装弹类型",坦克个性化设定!$B$18:$BC$18,0),FALSE)="弹夹换弹",ROUND(VLOOKUP($BJ137,$AI$3:$AO$33,MATCH("换弹时间",$AI$3:$AO$3,0),FALSE)-$BL137/VLOOKUP(VLOOKUP($BJ137,坦克个性化设定!$B$18:$E$48,4,FALSE)&amp;$BK137,坦克属性分配比例,MATCH("升星次数",坦克属性分配比例标头,0),FALSE)*VLOOKUP($BJ137,$AR$3:$AY$33,MATCH("换弹时间",$AR$3:$AY$3,0),FALSE),1),0)</f>
        <v>2.6</v>
      </c>
      <c r="BX137" s="2">
        <f>ROUND(VLOOKUP($BJ137,$AI$3:$AO$33,MATCH(BX$3,$AI$3:$AO$3,0),FALSE)+$BL137/VLOOKUP(VLOOKUP($BJ137,坦克个性化设定!$B$18:$E$48,4,FALSE)&amp;$BK137,坦克属性分配比例,MATCH("升星次数",坦克属性分配比例标头,0),FALSE)*VLOOKUP($BJ137,$AR$3:$AY$33,MATCH(BX$3,$AR$3:$AY$3,0),FALSE),2)</f>
        <v>0.6</v>
      </c>
      <c r="BY137" s="2">
        <f>ROUND(VLOOKUP($BJ137,$AI$3:$AO$33,MATCH(BY$3,$AI$3:$AO$3,0),FALSE)-$BL137/VLOOKUP(VLOOKUP($BJ137,坦克个性化设定!$B$18:$E$48,4,FALSE)&amp;$BK137,坦克属性分配比例,MATCH("升星次数",坦克属性分配比例标头,0),FALSE)*VLOOKUP($BJ137,$AR$3:$AY$33,MATCH(BY$3,$AR$3:$AY$3,0),FALSE),2)</f>
        <v>0.83</v>
      </c>
    </row>
    <row r="138" spans="60:77" x14ac:dyDescent="0.3">
      <c r="BH138" s="2" t="str">
        <f t="shared" si="27"/>
        <v>谢尔曼0</v>
      </c>
      <c r="BI138" s="2">
        <f>IF(BL137&gt;=VLOOKUP(VLOOKUP(BJ137,坦克个性化设定!$B$18:$E$48,4,FALSE)&amp;BK137,坦克属性分配比例,MATCH("升星次数",坦克属性分配比例标头,0),FALSE),BI137+1,BI137)</f>
        <v>15</v>
      </c>
      <c r="BJ138" s="2" t="str">
        <f t="shared" si="28"/>
        <v>谢尔曼</v>
      </c>
      <c r="BK138" s="29" t="str">
        <f>VLOOKUP(BJ138,坦克个性化细分!$I$3:$J$33,2,FALSE)</f>
        <v>中</v>
      </c>
      <c r="BL138" s="2">
        <f t="shared" si="26"/>
        <v>0</v>
      </c>
      <c r="BM138" s="103">
        <f ca="1">ROUND(VLOOKUP($BJ138&amp;"初始",$S$3:$AE$63,MATCH(BM$3,$S$3:$AE$3,0),FALSE)+((VLOOKUP($BJ138&amp;"最终",$S$3:$AE$63,MATCH(BM$3,$S$3:$AE$3,0),FALSE)*坦克个性化细分!$C$9-VLOOKUP($BJ138&amp;"初始",$S$3:$AE$63,MATCH(BM$3,$S$3:$AE$3,0),FALSE))-(VLOOKUP($BJ138&amp;"最终",$S$3:$AE$63,MATCH(BM$3,$S$3:$AE$3,0),FALSE)-VLOOKUP($BJ138&amp;"初始",$S$3:$AE$63,MATCH(BM$3,$S$3:$AE$3,0),FALSE))*VLOOKUP(VLOOKUP($BJ138,坦克个性化设定!$B$18:$E$48,4,FALSE)&amp;$BK138,坦克属性分配比例,MATCH("部件比例",坦克属性分配比例标头,0),FALSE))*$BL138/VLOOKUP(VLOOKUP($BJ138,坦克个性化设定!$B$18:$E$48,4,FALSE)&amp;$BK138,坦克属性分配比例,MATCH("升星次数",坦克属性分配比例标头,0),FALSE),0)</f>
        <v>1267</v>
      </c>
      <c r="BN138" s="103">
        <f ca="1">ROUND(VLOOKUP($BJ138&amp;"初始",$S$3:$AE$63,MATCH(BN$3,$S$3:$AE$3,0),FALSE)+(VLOOKUP($BJ138&amp;"最终",$S$3:$AE$63,MATCH(BN$3,$S$3:$AE$3,0),FALSE)-VLOOKUP($BJ138&amp;"初始",$S$3:$AE$63,MATCH(BN$3,$S$3:$AE$3,0),FALSE))*$BL138/VLOOKUP(VLOOKUP($BJ138,坦克个性化设定!$B$18:$E$48,4,FALSE)&amp;$BK138,坦克属性分配比例,MATCH("升星次数",坦克属性分配比例标头,0),FALSE)*VLOOKUP(VLOOKUP($BJ138,坦克个性化设定!$B$18:$E$48,4,FALSE)&amp;$BK138,坦克属性分配比例,MATCH("升星比例",坦克属性分配比例标头,0),FALSE),0)</f>
        <v>178</v>
      </c>
      <c r="BO138" s="103">
        <f ca="1">ROUND(VLOOKUP($BJ138&amp;"初始",$S$3:$AE$63,MATCH(BO$3,$S$3:$AE$3,0),FALSE)+(VLOOKUP($BJ138&amp;"最终",$S$3:$AE$63,MATCH(BO$3,$S$3:$AE$3,0),FALSE)-VLOOKUP($BJ138&amp;"初始",$S$3:$AE$63,MATCH(BO$3,$S$3:$AE$3,0),FALSE))*$BL138/VLOOKUP(VLOOKUP($BJ138,坦克个性化设定!$B$18:$E$48,4,FALSE)&amp;$BK138,坦克属性分配比例,MATCH("升星次数",坦克属性分配比例标头,0),FALSE)*(VLOOKUP(VLOOKUP($BJ138,坦克个性化设定!$B$18:$E$48,4,FALSE)&amp;$BK138,坦克属性分配比例,MATCH("升星比例",坦克属性分配比例标头,0),FALSE)+VLOOKUP(VLOOKUP($BJ138,坦克个性化设定!$B$18:$E$48,4,FALSE)&amp;$BK138,坦克属性分配比例,MATCH("部件比例",坦克属性分配比例标头,0),FALSE)*$C$3),0)</f>
        <v>506</v>
      </c>
      <c r="BP138" s="103">
        <f ca="1">ROUND(VLOOKUP($BJ138&amp;"初始",$S$3:$AE$63,MATCH(BP$3,$S$3:$AE$3,0),FALSE)+(VLOOKUP($BJ138&amp;"最终",$S$3:$AE$63,MATCH(BP$3,$S$3:$AE$3,0),FALSE)-VLOOKUP($BJ138&amp;"初始",$S$3:$AE$63,MATCH(BP$3,$S$3:$AE$3,0),FALSE))*$BL138/VLOOKUP(VLOOKUP($BJ138,坦克个性化设定!$B$18:$E$48,4,FALSE)&amp;$BK138,坦克属性分配比例,MATCH("升星次数",坦克属性分配比例标头,0),FALSE)*(VLOOKUP(VLOOKUP($BJ138,坦克个性化设定!$B$18:$E$48,4,FALSE)&amp;$BK138,坦克属性分配比例,MATCH("升星比例",坦克属性分配比例标头,0),FALSE)+VLOOKUP(VLOOKUP($BJ138,坦克个性化设定!$B$18:$E$48,4,FALSE)&amp;$BK138,坦克属性分配比例,MATCH("部件比例",坦克属性分配比例标头,0),FALSE)*$C$3),0)</f>
        <v>228</v>
      </c>
      <c r="BQ138" s="103">
        <f ca="1">ROUND(VLOOKUP($BJ138&amp;"初始",$S$3:$AE$63,MATCH(BQ$3,$S$3:$AE$3,0),FALSE)+(VLOOKUP($BJ138&amp;"最终",$S$3:$AE$63,MATCH(BQ$3,$S$3:$AE$3,0),FALSE)-VLOOKUP($BJ138&amp;"初始",$S$3:$AE$63,MATCH(BQ$3,$S$3:$AE$3,0),FALSE))*$BL138/VLOOKUP(VLOOKUP($BJ138,坦克个性化设定!$B$18:$E$48,4,FALSE)&amp;$BK138,坦克属性分配比例,MATCH("升星次数",坦克属性分配比例标头,0),FALSE)*VLOOKUP(VLOOKUP($BJ138,坦克个性化设定!$B$18:$E$48,4,FALSE)&amp;$BK138,坦克属性分配比例,MATCH("升星比例",坦克属性分配比例标头,0),FALSE),0)</f>
        <v>554</v>
      </c>
      <c r="BR138" s="2">
        <f ca="1">ROUND(VLOOKUP($BJ138&amp;"初始",$S$3:$AE$63,MATCH(BR$3,$S$3:$AE$3,0),FALSE)+(VLOOKUP($BJ138&amp;"最终",$S$3:$AE$63,MATCH(BR$3,$S$3:$AE$3,0),FALSE)-VLOOKUP($BJ138&amp;"初始",$S$3:$AE$63,MATCH(BR$3,$S$3:$AE$3,0),FALSE))*$BL138/VLOOKUP(VLOOKUP($BJ138,坦克个性化设定!$B$18:$E$48,4,FALSE)&amp;$BK138,坦克属性分配比例,MATCH("升星次数",坦克属性分配比例标头,0),FALSE),0)</f>
        <v>130</v>
      </c>
      <c r="BS138" s="2">
        <f>ROUND(VLOOKUP($BJ138,$AI$3:$AO$33,MATCH(BS$3,$AI$3:$AO$3,0),FALSE)+$BL138/VLOOKUP(VLOOKUP($BJ138,坦克个性化设定!$B$18:$E$48,4,FALSE)&amp;$BK138,坦克属性分配比例,MATCH("升星次数",坦克属性分配比例标头,0),FALSE)*VLOOKUP($BJ138,$AR$3:$AY$33,MATCH(BS$3,$AR$3:$AY$3,0),FALSE),1)</f>
        <v>36.299999999999997</v>
      </c>
      <c r="BT138" s="2">
        <f>ROUND(VLOOKUP($BJ138,$AI$3:$AO$33,MATCH(BT$3,$AI$3:$AO$3,0),FALSE)+$BL138/VLOOKUP(VLOOKUP($BJ138,坦克个性化设定!$B$18:$E$48,4,FALSE)&amp;$BK138,坦克属性分配比例,MATCH("升星次数",坦克属性分配比例标头,0),FALSE)*VLOOKUP($BJ138,$AR$3:$AY$33,MATCH(BT$3,$AR$3:$AY$3,0),FALSE),1)</f>
        <v>51</v>
      </c>
      <c r="BU138" s="2">
        <f>ROUND(VLOOKUP($BJ138,$AI$3:$AO$33,MATCH(BU$3,$AI$3:$AO$3,0),FALSE)+$BL138/VLOOKUP(VLOOKUP($BJ138,坦克个性化设定!$B$18:$E$48,4,FALSE)&amp;$BK138,坦克属性分配比例,MATCH("升星次数",坦克属性分配比例标头,0),FALSE)*VLOOKUP($BJ138,$AR$3:$AY$33,MATCH(BU$3,$AR$3:$AY$3,0),FALSE),1)</f>
        <v>7.3</v>
      </c>
      <c r="BV138" s="2">
        <f>IF(VLOOKUP(BJ138,坦克个性化设定!$B$18:$BC$48,MATCH("装弹类型",坦克个性化设定!$B$18:$BC$18,0),FALSE)="弹夹换弹",0,ROUND(VLOOKUP($BJ138,$AI$3:$AO$33,MATCH("换弹时间",$AI$3:$AO$3,0),FALSE)-$BL138/VLOOKUP(VLOOKUP($BJ138,坦克个性化设定!$B$18:$E$48,4,FALSE)&amp;$BK138,坦克属性分配比例,MATCH("升星次数",坦克属性分配比例标头,0),FALSE)*VLOOKUP($BJ138,$AR$3:$AY$33,MATCH("换弹时间",$AR$3:$AY$3,0),FALSE),2))</f>
        <v>2.4</v>
      </c>
      <c r="BW138" s="2">
        <f>IF(VLOOKUP(BJ138,坦克个性化设定!$B$18:$BC$48,MATCH("装弹类型",坦克个性化设定!$B$18:$BC$18,0),FALSE)="弹夹换弹",ROUND(VLOOKUP($BJ138,$AI$3:$AO$33,MATCH("换弹时间",$AI$3:$AO$3,0),FALSE)-$BL138/VLOOKUP(VLOOKUP($BJ138,坦克个性化设定!$B$18:$E$48,4,FALSE)&amp;$BK138,坦克属性分配比例,MATCH("升星次数",坦克属性分配比例标头,0),FALSE)*VLOOKUP($BJ138,$AR$3:$AY$33,MATCH("换弹时间",$AR$3:$AY$3,0),FALSE),1),0)</f>
        <v>0</v>
      </c>
      <c r="BX138" s="2">
        <f>ROUND(VLOOKUP($BJ138,$AI$3:$AO$33,MATCH(BX$3,$AI$3:$AO$3,0),FALSE)+$BL138/VLOOKUP(VLOOKUP($BJ138,坦克个性化设定!$B$18:$E$48,4,FALSE)&amp;$BK138,坦克属性分配比例,MATCH("升星次数",坦克属性分配比例标头,0),FALSE)*VLOOKUP($BJ138,$AR$3:$AY$33,MATCH(BX$3,$AR$3:$AY$3,0),FALSE),2)</f>
        <v>0.4</v>
      </c>
      <c r="BY138" s="2">
        <f>ROUND(VLOOKUP($BJ138,$AI$3:$AO$33,MATCH(BY$3,$AI$3:$AO$3,0),FALSE)-$BL138/VLOOKUP(VLOOKUP($BJ138,坦克个性化设定!$B$18:$E$48,4,FALSE)&amp;$BK138,坦克属性分配比例,MATCH("升星次数",坦克属性分配比例标头,0),FALSE)*VLOOKUP($BJ138,$AR$3:$AY$33,MATCH(BY$3,$AR$3:$AY$3,0),FALSE),2)</f>
        <v>1.4</v>
      </c>
    </row>
    <row r="139" spans="60:77" x14ac:dyDescent="0.3">
      <c r="BH139" s="2" t="str">
        <f t="shared" si="27"/>
        <v>谢尔曼1</v>
      </c>
      <c r="BI139" s="2">
        <f>IF(BL138&gt;=VLOOKUP(VLOOKUP(BJ138,坦克个性化设定!$B$18:$E$48,4,FALSE)&amp;BK138,坦克属性分配比例,MATCH("升星次数",坦克属性分配比例标头,0),FALSE),BI138+1,BI138)</f>
        <v>15</v>
      </c>
      <c r="BJ139" s="2" t="str">
        <f t="shared" si="28"/>
        <v>谢尔曼</v>
      </c>
      <c r="BK139" s="29" t="str">
        <f>VLOOKUP(BJ139,坦克个性化细分!$I$3:$J$33,2,FALSE)</f>
        <v>中</v>
      </c>
      <c r="BL139" s="2">
        <f t="shared" si="26"/>
        <v>1</v>
      </c>
      <c r="BM139" s="103">
        <f ca="1">ROUND(VLOOKUP($BJ139&amp;"初始",$S$3:$AE$63,MATCH(BM$3,$S$3:$AE$3,0),FALSE)+((VLOOKUP($BJ139&amp;"最终",$S$3:$AE$63,MATCH(BM$3,$S$3:$AE$3,0),FALSE)*坦克个性化细分!$C$9-VLOOKUP($BJ139&amp;"初始",$S$3:$AE$63,MATCH(BM$3,$S$3:$AE$3,0),FALSE))-(VLOOKUP($BJ139&amp;"最终",$S$3:$AE$63,MATCH(BM$3,$S$3:$AE$3,0),FALSE)-VLOOKUP($BJ139&amp;"初始",$S$3:$AE$63,MATCH(BM$3,$S$3:$AE$3,0),FALSE))*VLOOKUP(VLOOKUP($BJ139,坦克个性化设定!$B$18:$E$48,4,FALSE)&amp;$BK139,坦克属性分配比例,MATCH("部件比例",坦克属性分配比例标头,0),FALSE))*$BL139/VLOOKUP(VLOOKUP($BJ139,坦克个性化设定!$B$18:$E$48,4,FALSE)&amp;$BK139,坦克属性分配比例,MATCH("升星次数",坦克属性分配比例标头,0),FALSE),0)</f>
        <v>1339</v>
      </c>
      <c r="BN139" s="103">
        <f ca="1">ROUND(VLOOKUP($BJ139&amp;"初始",$S$3:$AE$63,MATCH(BN$3,$S$3:$AE$3,0),FALSE)+(VLOOKUP($BJ139&amp;"最终",$S$3:$AE$63,MATCH(BN$3,$S$3:$AE$3,0),FALSE)-VLOOKUP($BJ139&amp;"初始",$S$3:$AE$63,MATCH(BN$3,$S$3:$AE$3,0),FALSE))*$BL139/VLOOKUP(VLOOKUP($BJ139,坦克个性化设定!$B$18:$E$48,4,FALSE)&amp;$BK139,坦克属性分配比例,MATCH("升星次数",坦克属性分配比例标头,0),FALSE)*VLOOKUP(VLOOKUP($BJ139,坦克个性化设定!$B$18:$E$48,4,FALSE)&amp;$BK139,坦克属性分配比例,MATCH("升星比例",坦克属性分配比例标头,0),FALSE),0)</f>
        <v>184</v>
      </c>
      <c r="BO139" s="103">
        <f ca="1">ROUND(VLOOKUP($BJ139&amp;"初始",$S$3:$AE$63,MATCH(BO$3,$S$3:$AE$3,0),FALSE)+(VLOOKUP($BJ139&amp;"最终",$S$3:$AE$63,MATCH(BO$3,$S$3:$AE$3,0),FALSE)-VLOOKUP($BJ139&amp;"初始",$S$3:$AE$63,MATCH(BO$3,$S$3:$AE$3,0),FALSE))*$BL139/VLOOKUP(VLOOKUP($BJ139,坦克个性化设定!$B$18:$E$48,4,FALSE)&amp;$BK139,坦克属性分配比例,MATCH("升星次数",坦克属性分配比例标头,0),FALSE)*(VLOOKUP(VLOOKUP($BJ139,坦克个性化设定!$B$18:$E$48,4,FALSE)&amp;$BK139,坦克属性分配比例,MATCH("升星比例",坦克属性分配比例标头,0),FALSE)+VLOOKUP(VLOOKUP($BJ139,坦克个性化设定!$B$18:$E$48,4,FALSE)&amp;$BK139,坦克属性分配比例,MATCH("部件比例",坦克属性分配比例标头,0),FALSE)*$C$3),0)</f>
        <v>529</v>
      </c>
      <c r="BP139" s="103">
        <f ca="1">ROUND(VLOOKUP($BJ139&amp;"初始",$S$3:$AE$63,MATCH(BP$3,$S$3:$AE$3,0),FALSE)+(VLOOKUP($BJ139&amp;"最终",$S$3:$AE$63,MATCH(BP$3,$S$3:$AE$3,0),FALSE)-VLOOKUP($BJ139&amp;"初始",$S$3:$AE$63,MATCH(BP$3,$S$3:$AE$3,0),FALSE))*$BL139/VLOOKUP(VLOOKUP($BJ139,坦克个性化设定!$B$18:$E$48,4,FALSE)&amp;$BK139,坦克属性分配比例,MATCH("升星次数",坦克属性分配比例标头,0),FALSE)*(VLOOKUP(VLOOKUP($BJ139,坦克个性化设定!$B$18:$E$48,4,FALSE)&amp;$BK139,坦克属性分配比例,MATCH("升星比例",坦克属性分配比例标头,0),FALSE)+VLOOKUP(VLOOKUP($BJ139,坦克个性化设定!$B$18:$E$48,4,FALSE)&amp;$BK139,坦克属性分配比例,MATCH("部件比例",坦克属性分配比例标头,0),FALSE)*$C$3),0)</f>
        <v>238</v>
      </c>
      <c r="BQ139" s="103">
        <f ca="1">ROUND(VLOOKUP($BJ139&amp;"初始",$S$3:$AE$63,MATCH(BQ$3,$S$3:$AE$3,0),FALSE)+(VLOOKUP($BJ139&amp;"最终",$S$3:$AE$63,MATCH(BQ$3,$S$3:$AE$3,0),FALSE)-VLOOKUP($BJ139&amp;"初始",$S$3:$AE$63,MATCH(BQ$3,$S$3:$AE$3,0),FALSE))*$BL139/VLOOKUP(VLOOKUP($BJ139,坦克个性化设定!$B$18:$E$48,4,FALSE)&amp;$BK139,坦克属性分配比例,MATCH("升星次数",坦克属性分配比例标头,0),FALSE)*VLOOKUP(VLOOKUP($BJ139,坦克个性化设定!$B$18:$E$48,4,FALSE)&amp;$BK139,坦克属性分配比例,MATCH("升星比例",坦克属性分配比例标头,0),FALSE),0)</f>
        <v>572</v>
      </c>
      <c r="BR139" s="2">
        <f ca="1">ROUND(VLOOKUP($BJ139&amp;"初始",$S$3:$AE$63,MATCH(BR$3,$S$3:$AE$3,0),FALSE)+(VLOOKUP($BJ139&amp;"最终",$S$3:$AE$63,MATCH(BR$3,$S$3:$AE$3,0),FALSE)-VLOOKUP($BJ139&amp;"初始",$S$3:$AE$63,MATCH(BR$3,$S$3:$AE$3,0),FALSE))*$BL139/VLOOKUP(VLOOKUP($BJ139,坦克个性化设定!$B$18:$E$48,4,FALSE)&amp;$BK139,坦克属性分配比例,MATCH("升星次数",坦克属性分配比例标头,0),FALSE),0)</f>
        <v>137</v>
      </c>
      <c r="BS139" s="2">
        <f>ROUND(VLOOKUP($BJ139,$AI$3:$AO$33,MATCH(BS$3,$AI$3:$AO$3,0),FALSE)+$BL139/VLOOKUP(VLOOKUP($BJ139,坦克个性化设定!$B$18:$E$48,4,FALSE)&amp;$BK139,坦克属性分配比例,MATCH("升星次数",坦克属性分配比例标头,0),FALSE)*VLOOKUP($BJ139,$AR$3:$AY$33,MATCH(BS$3,$AR$3:$AY$3,0),FALSE),1)</f>
        <v>37.299999999999997</v>
      </c>
      <c r="BT139" s="2">
        <f>ROUND(VLOOKUP($BJ139,$AI$3:$AO$33,MATCH(BT$3,$AI$3:$AO$3,0),FALSE)+$BL139/VLOOKUP(VLOOKUP($BJ139,坦克个性化设定!$B$18:$E$48,4,FALSE)&amp;$BK139,坦克属性分配比例,MATCH("升星次数",坦克属性分配比例标头,0),FALSE)*VLOOKUP($BJ139,$AR$3:$AY$33,MATCH(BT$3,$AR$3:$AY$3,0),FALSE),1)</f>
        <v>52.4</v>
      </c>
      <c r="BU139" s="2">
        <f>ROUND(VLOOKUP($BJ139,$AI$3:$AO$33,MATCH(BU$3,$AI$3:$AO$3,0),FALSE)+$BL139/VLOOKUP(VLOOKUP($BJ139,坦克个性化设定!$B$18:$E$48,4,FALSE)&amp;$BK139,坦克属性分配比例,MATCH("升星次数",坦克属性分配比例标头,0),FALSE)*VLOOKUP($BJ139,$AR$3:$AY$33,MATCH(BU$3,$AR$3:$AY$3,0),FALSE),1)</f>
        <v>7.3</v>
      </c>
      <c r="BV139" s="2">
        <f>IF(VLOOKUP(BJ139,坦克个性化设定!$B$18:$BC$48,MATCH("装弹类型",坦克个性化设定!$B$18:$BC$18,0),FALSE)="弹夹换弹",0,ROUND(VLOOKUP($BJ139,$AI$3:$AO$33,MATCH("换弹时间",$AI$3:$AO$3,0),FALSE)-$BL139/VLOOKUP(VLOOKUP($BJ139,坦克个性化设定!$B$18:$E$48,4,FALSE)&amp;$BK139,坦克属性分配比例,MATCH("升星次数",坦克属性分配比例标头,0),FALSE)*VLOOKUP($BJ139,$AR$3:$AY$33,MATCH("换弹时间",$AR$3:$AY$3,0),FALSE),2))</f>
        <v>2.36</v>
      </c>
      <c r="BW139" s="2">
        <f>IF(VLOOKUP(BJ139,坦克个性化设定!$B$18:$BC$48,MATCH("装弹类型",坦克个性化设定!$B$18:$BC$18,0),FALSE)="弹夹换弹",ROUND(VLOOKUP($BJ139,$AI$3:$AO$33,MATCH("换弹时间",$AI$3:$AO$3,0),FALSE)-$BL139/VLOOKUP(VLOOKUP($BJ139,坦克个性化设定!$B$18:$E$48,4,FALSE)&amp;$BK139,坦克属性分配比例,MATCH("升星次数",坦克属性分配比例标头,0),FALSE)*VLOOKUP($BJ139,$AR$3:$AY$33,MATCH("换弹时间",$AR$3:$AY$3,0),FALSE),1),0)</f>
        <v>0</v>
      </c>
      <c r="BX139" s="2">
        <f>ROUND(VLOOKUP($BJ139,$AI$3:$AO$33,MATCH(BX$3,$AI$3:$AO$3,0),FALSE)+$BL139/VLOOKUP(VLOOKUP($BJ139,坦克个性化设定!$B$18:$E$48,4,FALSE)&amp;$BK139,坦克属性分配比例,MATCH("升星次数",坦克属性分配比例标头,0),FALSE)*VLOOKUP($BJ139,$AR$3:$AY$33,MATCH(BX$3,$AR$3:$AY$3,0),FALSE),2)</f>
        <v>0.4</v>
      </c>
      <c r="BY139" s="2">
        <f>ROUND(VLOOKUP($BJ139,$AI$3:$AO$33,MATCH(BY$3,$AI$3:$AO$3,0),FALSE)-$BL139/VLOOKUP(VLOOKUP($BJ139,坦克个性化设定!$B$18:$E$48,4,FALSE)&amp;$BK139,坦克属性分配比例,MATCH("升星次数",坦克属性分配比例标头,0),FALSE)*VLOOKUP($BJ139,$AR$3:$AY$33,MATCH(BY$3,$AR$3:$AY$3,0),FALSE),2)</f>
        <v>1.37</v>
      </c>
    </row>
    <row r="140" spans="60:77" x14ac:dyDescent="0.3">
      <c r="BH140" s="2" t="str">
        <f t="shared" si="27"/>
        <v>谢尔曼2</v>
      </c>
      <c r="BI140" s="2">
        <f>IF(BL139&gt;=VLOOKUP(VLOOKUP(BJ139,坦克个性化设定!$B$18:$E$48,4,FALSE)&amp;BK139,坦克属性分配比例,MATCH("升星次数",坦克属性分配比例标头,0),FALSE),BI139+1,BI139)</f>
        <v>15</v>
      </c>
      <c r="BJ140" s="2" t="str">
        <f t="shared" si="28"/>
        <v>谢尔曼</v>
      </c>
      <c r="BK140" s="29" t="str">
        <f>VLOOKUP(BJ140,坦克个性化细分!$I$3:$J$33,2,FALSE)</f>
        <v>中</v>
      </c>
      <c r="BL140" s="2">
        <f t="shared" si="26"/>
        <v>2</v>
      </c>
      <c r="BM140" s="103">
        <f ca="1">ROUND(VLOOKUP($BJ140&amp;"初始",$S$3:$AE$63,MATCH(BM$3,$S$3:$AE$3,0),FALSE)+((VLOOKUP($BJ140&amp;"最终",$S$3:$AE$63,MATCH(BM$3,$S$3:$AE$3,0),FALSE)*坦克个性化细分!$C$9-VLOOKUP($BJ140&amp;"初始",$S$3:$AE$63,MATCH(BM$3,$S$3:$AE$3,0),FALSE))-(VLOOKUP($BJ140&amp;"最终",$S$3:$AE$63,MATCH(BM$3,$S$3:$AE$3,0),FALSE)-VLOOKUP($BJ140&amp;"初始",$S$3:$AE$63,MATCH(BM$3,$S$3:$AE$3,0),FALSE))*VLOOKUP(VLOOKUP($BJ140,坦克个性化设定!$B$18:$E$48,4,FALSE)&amp;$BK140,坦克属性分配比例,MATCH("部件比例",坦克属性分配比例标头,0),FALSE))*$BL140/VLOOKUP(VLOOKUP($BJ140,坦克个性化设定!$B$18:$E$48,4,FALSE)&amp;$BK140,坦克属性分配比例,MATCH("升星次数",坦克属性分配比例标头,0),FALSE),0)</f>
        <v>1411</v>
      </c>
      <c r="BN140" s="103">
        <f ca="1">ROUND(VLOOKUP($BJ140&amp;"初始",$S$3:$AE$63,MATCH(BN$3,$S$3:$AE$3,0),FALSE)+(VLOOKUP($BJ140&amp;"最终",$S$3:$AE$63,MATCH(BN$3,$S$3:$AE$3,0),FALSE)-VLOOKUP($BJ140&amp;"初始",$S$3:$AE$63,MATCH(BN$3,$S$3:$AE$3,0),FALSE))*$BL140/VLOOKUP(VLOOKUP($BJ140,坦克个性化设定!$B$18:$E$48,4,FALSE)&amp;$BK140,坦克属性分配比例,MATCH("升星次数",坦克属性分配比例标头,0),FALSE)*VLOOKUP(VLOOKUP($BJ140,坦克个性化设定!$B$18:$E$48,4,FALSE)&amp;$BK140,坦克属性分配比例,MATCH("升星比例",坦克属性分配比例标头,0),FALSE),0)</f>
        <v>189</v>
      </c>
      <c r="BO140" s="103">
        <f ca="1">ROUND(VLOOKUP($BJ140&amp;"初始",$S$3:$AE$63,MATCH(BO$3,$S$3:$AE$3,0),FALSE)+(VLOOKUP($BJ140&amp;"最终",$S$3:$AE$63,MATCH(BO$3,$S$3:$AE$3,0),FALSE)-VLOOKUP($BJ140&amp;"初始",$S$3:$AE$63,MATCH(BO$3,$S$3:$AE$3,0),FALSE))*$BL140/VLOOKUP(VLOOKUP($BJ140,坦克个性化设定!$B$18:$E$48,4,FALSE)&amp;$BK140,坦克属性分配比例,MATCH("升星次数",坦克属性分配比例标头,0),FALSE)*(VLOOKUP(VLOOKUP($BJ140,坦克个性化设定!$B$18:$E$48,4,FALSE)&amp;$BK140,坦克属性分配比例,MATCH("升星比例",坦克属性分配比例标头,0),FALSE)+VLOOKUP(VLOOKUP($BJ140,坦克个性化设定!$B$18:$E$48,4,FALSE)&amp;$BK140,坦克属性分配比例,MATCH("部件比例",坦克属性分配比例标头,0),FALSE)*$C$3),0)</f>
        <v>551</v>
      </c>
      <c r="BP140" s="103">
        <f ca="1">ROUND(VLOOKUP($BJ140&amp;"初始",$S$3:$AE$63,MATCH(BP$3,$S$3:$AE$3,0),FALSE)+(VLOOKUP($BJ140&amp;"最终",$S$3:$AE$63,MATCH(BP$3,$S$3:$AE$3,0),FALSE)-VLOOKUP($BJ140&amp;"初始",$S$3:$AE$63,MATCH(BP$3,$S$3:$AE$3,0),FALSE))*$BL140/VLOOKUP(VLOOKUP($BJ140,坦克个性化设定!$B$18:$E$48,4,FALSE)&amp;$BK140,坦克属性分配比例,MATCH("升星次数",坦克属性分配比例标头,0),FALSE)*(VLOOKUP(VLOOKUP($BJ140,坦克个性化设定!$B$18:$E$48,4,FALSE)&amp;$BK140,坦克属性分配比例,MATCH("升星比例",坦克属性分配比例标头,0),FALSE)+VLOOKUP(VLOOKUP($BJ140,坦克个性化设定!$B$18:$E$48,4,FALSE)&amp;$BK140,坦克属性分配比例,MATCH("部件比例",坦克属性分配比例标头,0),FALSE)*$C$3),0)</f>
        <v>248</v>
      </c>
      <c r="BQ140" s="103">
        <f ca="1">ROUND(VLOOKUP($BJ140&amp;"初始",$S$3:$AE$63,MATCH(BQ$3,$S$3:$AE$3,0),FALSE)+(VLOOKUP($BJ140&amp;"最终",$S$3:$AE$63,MATCH(BQ$3,$S$3:$AE$3,0),FALSE)-VLOOKUP($BJ140&amp;"初始",$S$3:$AE$63,MATCH(BQ$3,$S$3:$AE$3,0),FALSE))*$BL140/VLOOKUP(VLOOKUP($BJ140,坦克个性化设定!$B$18:$E$48,4,FALSE)&amp;$BK140,坦克属性分配比例,MATCH("升星次数",坦克属性分配比例标头,0),FALSE)*VLOOKUP(VLOOKUP($BJ140,坦克个性化设定!$B$18:$E$48,4,FALSE)&amp;$BK140,坦克属性分配比例,MATCH("升星比例",坦克属性分配比例标头,0),FALSE),0)</f>
        <v>590</v>
      </c>
      <c r="BR140" s="2">
        <f ca="1">ROUND(VLOOKUP($BJ140&amp;"初始",$S$3:$AE$63,MATCH(BR$3,$S$3:$AE$3,0),FALSE)+(VLOOKUP($BJ140&amp;"最终",$S$3:$AE$63,MATCH(BR$3,$S$3:$AE$3,0),FALSE)-VLOOKUP($BJ140&amp;"初始",$S$3:$AE$63,MATCH(BR$3,$S$3:$AE$3,0),FALSE))*$BL140/VLOOKUP(VLOOKUP($BJ140,坦克个性化设定!$B$18:$E$48,4,FALSE)&amp;$BK140,坦克属性分配比例,MATCH("升星次数",坦克属性分配比例标头,0),FALSE),0)</f>
        <v>144</v>
      </c>
      <c r="BS140" s="2">
        <f>ROUND(VLOOKUP($BJ140,$AI$3:$AO$33,MATCH(BS$3,$AI$3:$AO$3,0),FALSE)+$BL140/VLOOKUP(VLOOKUP($BJ140,坦克个性化设定!$B$18:$E$48,4,FALSE)&amp;$BK140,坦克属性分配比例,MATCH("升星次数",坦克属性分配比例标头,0),FALSE)*VLOOKUP($BJ140,$AR$3:$AY$33,MATCH(BS$3,$AR$3:$AY$3,0),FALSE),1)</f>
        <v>38.299999999999997</v>
      </c>
      <c r="BT140" s="2">
        <f>ROUND(VLOOKUP($BJ140,$AI$3:$AO$33,MATCH(BT$3,$AI$3:$AO$3,0),FALSE)+$BL140/VLOOKUP(VLOOKUP($BJ140,坦克个性化设定!$B$18:$E$48,4,FALSE)&amp;$BK140,坦克属性分配比例,MATCH("升星次数",坦克属性分配比例标头,0),FALSE)*VLOOKUP($BJ140,$AR$3:$AY$33,MATCH(BT$3,$AR$3:$AY$3,0),FALSE),1)</f>
        <v>53.8</v>
      </c>
      <c r="BU140" s="2">
        <f>ROUND(VLOOKUP($BJ140,$AI$3:$AO$33,MATCH(BU$3,$AI$3:$AO$3,0),FALSE)+$BL140/VLOOKUP(VLOOKUP($BJ140,坦克个性化设定!$B$18:$E$48,4,FALSE)&amp;$BK140,坦克属性分配比例,MATCH("升星次数",坦克属性分配比例标头,0),FALSE)*VLOOKUP($BJ140,$AR$3:$AY$33,MATCH(BU$3,$AR$3:$AY$3,0),FALSE),1)</f>
        <v>7.3</v>
      </c>
      <c r="BV140" s="2">
        <f>IF(VLOOKUP(BJ140,坦克个性化设定!$B$18:$BC$48,MATCH("装弹类型",坦克个性化设定!$B$18:$BC$18,0),FALSE)="弹夹换弹",0,ROUND(VLOOKUP($BJ140,$AI$3:$AO$33,MATCH("换弹时间",$AI$3:$AO$3,0),FALSE)-$BL140/VLOOKUP(VLOOKUP($BJ140,坦克个性化设定!$B$18:$E$48,4,FALSE)&amp;$BK140,坦克属性分配比例,MATCH("升星次数",坦克属性分配比例标头,0),FALSE)*VLOOKUP($BJ140,$AR$3:$AY$33,MATCH("换弹时间",$AR$3:$AY$3,0),FALSE),2))</f>
        <v>2.3199999999999998</v>
      </c>
      <c r="BW140" s="2">
        <f>IF(VLOOKUP(BJ140,坦克个性化设定!$B$18:$BC$48,MATCH("装弹类型",坦克个性化设定!$B$18:$BC$18,0),FALSE)="弹夹换弹",ROUND(VLOOKUP($BJ140,$AI$3:$AO$33,MATCH("换弹时间",$AI$3:$AO$3,0),FALSE)-$BL140/VLOOKUP(VLOOKUP($BJ140,坦克个性化设定!$B$18:$E$48,4,FALSE)&amp;$BK140,坦克属性分配比例,MATCH("升星次数",坦克属性分配比例标头,0),FALSE)*VLOOKUP($BJ140,$AR$3:$AY$33,MATCH("换弹时间",$AR$3:$AY$3,0),FALSE),1),0)</f>
        <v>0</v>
      </c>
      <c r="BX140" s="2">
        <f>ROUND(VLOOKUP($BJ140,$AI$3:$AO$33,MATCH(BX$3,$AI$3:$AO$3,0),FALSE)+$BL140/VLOOKUP(VLOOKUP($BJ140,坦克个性化设定!$B$18:$E$48,4,FALSE)&amp;$BK140,坦克属性分配比例,MATCH("升星次数",坦克属性分配比例标头,0),FALSE)*VLOOKUP($BJ140,$AR$3:$AY$33,MATCH(BX$3,$AR$3:$AY$3,0),FALSE),2)</f>
        <v>0.4</v>
      </c>
      <c r="BY140" s="2">
        <f>ROUND(VLOOKUP($BJ140,$AI$3:$AO$33,MATCH(BY$3,$AI$3:$AO$3,0),FALSE)-$BL140/VLOOKUP(VLOOKUP($BJ140,坦克个性化设定!$B$18:$E$48,4,FALSE)&amp;$BK140,坦克属性分配比例,MATCH("升星次数",坦克属性分配比例标头,0),FALSE)*VLOOKUP($BJ140,$AR$3:$AY$33,MATCH(BY$3,$AR$3:$AY$3,0),FALSE),2)</f>
        <v>1.35</v>
      </c>
    </row>
    <row r="141" spans="60:77" x14ac:dyDescent="0.3">
      <c r="BH141" s="2" t="str">
        <f t="shared" si="27"/>
        <v>谢尔曼3</v>
      </c>
      <c r="BI141" s="2">
        <f>IF(BL140&gt;=VLOOKUP(VLOOKUP(BJ140,坦克个性化设定!$B$18:$E$48,4,FALSE)&amp;BK140,坦克属性分配比例,MATCH("升星次数",坦克属性分配比例标头,0),FALSE),BI140+1,BI140)</f>
        <v>15</v>
      </c>
      <c r="BJ141" s="2" t="str">
        <f t="shared" si="28"/>
        <v>谢尔曼</v>
      </c>
      <c r="BK141" s="29" t="str">
        <f>VLOOKUP(BJ141,坦克个性化细分!$I$3:$J$33,2,FALSE)</f>
        <v>中</v>
      </c>
      <c r="BL141" s="2">
        <f t="shared" si="26"/>
        <v>3</v>
      </c>
      <c r="BM141" s="103">
        <f ca="1">ROUND(VLOOKUP($BJ141&amp;"初始",$S$3:$AE$63,MATCH(BM$3,$S$3:$AE$3,0),FALSE)+((VLOOKUP($BJ141&amp;"最终",$S$3:$AE$63,MATCH(BM$3,$S$3:$AE$3,0),FALSE)*坦克个性化细分!$C$9-VLOOKUP($BJ141&amp;"初始",$S$3:$AE$63,MATCH(BM$3,$S$3:$AE$3,0),FALSE))-(VLOOKUP($BJ141&amp;"最终",$S$3:$AE$63,MATCH(BM$3,$S$3:$AE$3,0),FALSE)-VLOOKUP($BJ141&amp;"初始",$S$3:$AE$63,MATCH(BM$3,$S$3:$AE$3,0),FALSE))*VLOOKUP(VLOOKUP($BJ141,坦克个性化设定!$B$18:$E$48,4,FALSE)&amp;$BK141,坦克属性分配比例,MATCH("部件比例",坦克属性分配比例标头,0),FALSE))*$BL141/VLOOKUP(VLOOKUP($BJ141,坦克个性化设定!$B$18:$E$48,4,FALSE)&amp;$BK141,坦克属性分配比例,MATCH("升星次数",坦克属性分配比例标头,0),FALSE),0)</f>
        <v>1483</v>
      </c>
      <c r="BN141" s="103">
        <f ca="1">ROUND(VLOOKUP($BJ141&amp;"初始",$S$3:$AE$63,MATCH(BN$3,$S$3:$AE$3,0),FALSE)+(VLOOKUP($BJ141&amp;"最终",$S$3:$AE$63,MATCH(BN$3,$S$3:$AE$3,0),FALSE)-VLOOKUP($BJ141&amp;"初始",$S$3:$AE$63,MATCH(BN$3,$S$3:$AE$3,0),FALSE))*$BL141/VLOOKUP(VLOOKUP($BJ141,坦克个性化设定!$B$18:$E$48,4,FALSE)&amp;$BK141,坦克属性分配比例,MATCH("升星次数",坦克属性分配比例标头,0),FALSE)*VLOOKUP(VLOOKUP($BJ141,坦克个性化设定!$B$18:$E$48,4,FALSE)&amp;$BK141,坦克属性分配比例,MATCH("升星比例",坦克属性分配比例标头,0),FALSE),0)</f>
        <v>195</v>
      </c>
      <c r="BO141" s="103">
        <f ca="1">ROUND(VLOOKUP($BJ141&amp;"初始",$S$3:$AE$63,MATCH(BO$3,$S$3:$AE$3,0),FALSE)+(VLOOKUP($BJ141&amp;"最终",$S$3:$AE$63,MATCH(BO$3,$S$3:$AE$3,0),FALSE)-VLOOKUP($BJ141&amp;"初始",$S$3:$AE$63,MATCH(BO$3,$S$3:$AE$3,0),FALSE))*$BL141/VLOOKUP(VLOOKUP($BJ141,坦克个性化设定!$B$18:$E$48,4,FALSE)&amp;$BK141,坦克属性分配比例,MATCH("升星次数",坦克属性分配比例标头,0),FALSE)*(VLOOKUP(VLOOKUP($BJ141,坦克个性化设定!$B$18:$E$48,4,FALSE)&amp;$BK141,坦克属性分配比例,MATCH("升星比例",坦克属性分配比例标头,0),FALSE)+VLOOKUP(VLOOKUP($BJ141,坦克个性化设定!$B$18:$E$48,4,FALSE)&amp;$BK141,坦克属性分配比例,MATCH("部件比例",坦克属性分配比例标头,0),FALSE)*$C$3),0)</f>
        <v>574</v>
      </c>
      <c r="BP141" s="103">
        <f ca="1">ROUND(VLOOKUP($BJ141&amp;"初始",$S$3:$AE$63,MATCH(BP$3,$S$3:$AE$3,0),FALSE)+(VLOOKUP($BJ141&amp;"最终",$S$3:$AE$63,MATCH(BP$3,$S$3:$AE$3,0),FALSE)-VLOOKUP($BJ141&amp;"初始",$S$3:$AE$63,MATCH(BP$3,$S$3:$AE$3,0),FALSE))*$BL141/VLOOKUP(VLOOKUP($BJ141,坦克个性化设定!$B$18:$E$48,4,FALSE)&amp;$BK141,坦克属性分配比例,MATCH("升星次数",坦克属性分配比例标头,0),FALSE)*(VLOOKUP(VLOOKUP($BJ141,坦克个性化设定!$B$18:$E$48,4,FALSE)&amp;$BK141,坦克属性分配比例,MATCH("升星比例",坦克属性分配比例标头,0),FALSE)+VLOOKUP(VLOOKUP($BJ141,坦克个性化设定!$B$18:$E$48,4,FALSE)&amp;$BK141,坦克属性分配比例,MATCH("部件比例",坦克属性分配比例标头,0),FALSE)*$C$3),0)</f>
        <v>259</v>
      </c>
      <c r="BQ141" s="103">
        <f ca="1">ROUND(VLOOKUP($BJ141&amp;"初始",$S$3:$AE$63,MATCH(BQ$3,$S$3:$AE$3,0),FALSE)+(VLOOKUP($BJ141&amp;"最终",$S$3:$AE$63,MATCH(BQ$3,$S$3:$AE$3,0),FALSE)-VLOOKUP($BJ141&amp;"初始",$S$3:$AE$63,MATCH(BQ$3,$S$3:$AE$3,0),FALSE))*$BL141/VLOOKUP(VLOOKUP($BJ141,坦克个性化设定!$B$18:$E$48,4,FALSE)&amp;$BK141,坦克属性分配比例,MATCH("升星次数",坦克属性分配比例标头,0),FALSE)*VLOOKUP(VLOOKUP($BJ141,坦克个性化设定!$B$18:$E$48,4,FALSE)&amp;$BK141,坦克属性分配比例,MATCH("升星比例",坦克属性分配比例标头,0),FALSE),0)</f>
        <v>607</v>
      </c>
      <c r="BR141" s="2">
        <f ca="1">ROUND(VLOOKUP($BJ141&amp;"初始",$S$3:$AE$63,MATCH(BR$3,$S$3:$AE$3,0),FALSE)+(VLOOKUP($BJ141&amp;"最终",$S$3:$AE$63,MATCH(BR$3,$S$3:$AE$3,0),FALSE)-VLOOKUP($BJ141&amp;"初始",$S$3:$AE$63,MATCH(BR$3,$S$3:$AE$3,0),FALSE))*$BL141/VLOOKUP(VLOOKUP($BJ141,坦克个性化设定!$B$18:$E$48,4,FALSE)&amp;$BK141,坦克属性分配比例,MATCH("升星次数",坦克属性分配比例标头,0),FALSE),0)</f>
        <v>151</v>
      </c>
      <c r="BS141" s="2">
        <f>ROUND(VLOOKUP($BJ141,$AI$3:$AO$33,MATCH(BS$3,$AI$3:$AO$3,0),FALSE)+$BL141/VLOOKUP(VLOOKUP($BJ141,坦克个性化设定!$B$18:$E$48,4,FALSE)&amp;$BK141,坦克属性分配比例,MATCH("升星次数",坦克属性分配比例标头,0),FALSE)*VLOOKUP($BJ141,$AR$3:$AY$33,MATCH(BS$3,$AR$3:$AY$3,0),FALSE),1)</f>
        <v>39.299999999999997</v>
      </c>
      <c r="BT141" s="2">
        <f>ROUND(VLOOKUP($BJ141,$AI$3:$AO$33,MATCH(BT$3,$AI$3:$AO$3,0),FALSE)+$BL141/VLOOKUP(VLOOKUP($BJ141,坦克个性化设定!$B$18:$E$48,4,FALSE)&amp;$BK141,坦克属性分配比例,MATCH("升星次数",坦克属性分配比例标头,0),FALSE)*VLOOKUP($BJ141,$AR$3:$AY$33,MATCH(BT$3,$AR$3:$AY$3,0),FALSE),1)</f>
        <v>55.3</v>
      </c>
      <c r="BU141" s="2">
        <f>ROUND(VLOOKUP($BJ141,$AI$3:$AO$33,MATCH(BU$3,$AI$3:$AO$3,0),FALSE)+$BL141/VLOOKUP(VLOOKUP($BJ141,坦克个性化设定!$B$18:$E$48,4,FALSE)&amp;$BK141,坦克属性分配比例,MATCH("升星次数",坦克属性分配比例标头,0),FALSE)*VLOOKUP($BJ141,$AR$3:$AY$33,MATCH(BU$3,$AR$3:$AY$3,0),FALSE),1)</f>
        <v>7.3</v>
      </c>
      <c r="BV141" s="2">
        <f>IF(VLOOKUP(BJ141,坦克个性化设定!$B$18:$BC$48,MATCH("装弹类型",坦克个性化设定!$B$18:$BC$18,0),FALSE)="弹夹换弹",0,ROUND(VLOOKUP($BJ141,$AI$3:$AO$33,MATCH("换弹时间",$AI$3:$AO$3,0),FALSE)-$BL141/VLOOKUP(VLOOKUP($BJ141,坦克个性化设定!$B$18:$E$48,4,FALSE)&amp;$BK141,坦克属性分配比例,MATCH("升星次数",坦克属性分配比例标头,0),FALSE)*VLOOKUP($BJ141,$AR$3:$AY$33,MATCH("换弹时间",$AR$3:$AY$3,0),FALSE),2))</f>
        <v>2.27</v>
      </c>
      <c r="BW141" s="2">
        <f>IF(VLOOKUP(BJ141,坦克个性化设定!$B$18:$BC$48,MATCH("装弹类型",坦克个性化设定!$B$18:$BC$18,0),FALSE)="弹夹换弹",ROUND(VLOOKUP($BJ141,$AI$3:$AO$33,MATCH("换弹时间",$AI$3:$AO$3,0),FALSE)-$BL141/VLOOKUP(VLOOKUP($BJ141,坦克个性化设定!$B$18:$E$48,4,FALSE)&amp;$BK141,坦克属性分配比例,MATCH("升星次数",坦克属性分配比例标头,0),FALSE)*VLOOKUP($BJ141,$AR$3:$AY$33,MATCH("换弹时间",$AR$3:$AY$3,0),FALSE),1),0)</f>
        <v>0</v>
      </c>
      <c r="BX141" s="2">
        <f>ROUND(VLOOKUP($BJ141,$AI$3:$AO$33,MATCH(BX$3,$AI$3:$AO$3,0),FALSE)+$BL141/VLOOKUP(VLOOKUP($BJ141,坦克个性化设定!$B$18:$E$48,4,FALSE)&amp;$BK141,坦克属性分配比例,MATCH("升星次数",坦克属性分配比例标头,0),FALSE)*VLOOKUP($BJ141,$AR$3:$AY$33,MATCH(BX$3,$AR$3:$AY$3,0),FALSE),2)</f>
        <v>0.4</v>
      </c>
      <c r="BY141" s="2">
        <f>ROUND(VLOOKUP($BJ141,$AI$3:$AO$33,MATCH(BY$3,$AI$3:$AO$3,0),FALSE)-$BL141/VLOOKUP(VLOOKUP($BJ141,坦克个性化设定!$B$18:$E$48,4,FALSE)&amp;$BK141,坦克属性分配比例,MATCH("升星次数",坦克属性分配比例标头,0),FALSE)*VLOOKUP($BJ141,$AR$3:$AY$33,MATCH(BY$3,$AR$3:$AY$3,0),FALSE),2)</f>
        <v>1.32</v>
      </c>
    </row>
    <row r="142" spans="60:77" x14ac:dyDescent="0.3">
      <c r="BH142" s="2" t="str">
        <f t="shared" si="27"/>
        <v>谢尔曼4</v>
      </c>
      <c r="BI142" s="2">
        <f>IF(BL141&gt;=VLOOKUP(VLOOKUP(BJ141,坦克个性化设定!$B$18:$E$48,4,FALSE)&amp;BK141,坦克属性分配比例,MATCH("升星次数",坦克属性分配比例标头,0),FALSE),BI141+1,BI141)</f>
        <v>15</v>
      </c>
      <c r="BJ142" s="2" t="str">
        <f t="shared" si="28"/>
        <v>谢尔曼</v>
      </c>
      <c r="BK142" s="29" t="str">
        <f>VLOOKUP(BJ142,坦克个性化细分!$I$3:$J$33,2,FALSE)</f>
        <v>中</v>
      </c>
      <c r="BL142" s="2">
        <f t="shared" si="26"/>
        <v>4</v>
      </c>
      <c r="BM142" s="103">
        <f ca="1">ROUND(VLOOKUP($BJ142&amp;"初始",$S$3:$AE$63,MATCH(BM$3,$S$3:$AE$3,0),FALSE)+((VLOOKUP($BJ142&amp;"最终",$S$3:$AE$63,MATCH(BM$3,$S$3:$AE$3,0),FALSE)*坦克个性化细分!$C$9-VLOOKUP($BJ142&amp;"初始",$S$3:$AE$63,MATCH(BM$3,$S$3:$AE$3,0),FALSE))-(VLOOKUP($BJ142&amp;"最终",$S$3:$AE$63,MATCH(BM$3,$S$3:$AE$3,0),FALSE)-VLOOKUP($BJ142&amp;"初始",$S$3:$AE$63,MATCH(BM$3,$S$3:$AE$3,0),FALSE))*VLOOKUP(VLOOKUP($BJ142,坦克个性化设定!$B$18:$E$48,4,FALSE)&amp;$BK142,坦克属性分配比例,MATCH("部件比例",坦克属性分配比例标头,0),FALSE))*$BL142/VLOOKUP(VLOOKUP($BJ142,坦克个性化设定!$B$18:$E$48,4,FALSE)&amp;$BK142,坦克属性分配比例,MATCH("升星次数",坦克属性分配比例标头,0),FALSE),0)</f>
        <v>1555</v>
      </c>
      <c r="BN142" s="103">
        <f ca="1">ROUND(VLOOKUP($BJ142&amp;"初始",$S$3:$AE$63,MATCH(BN$3,$S$3:$AE$3,0),FALSE)+(VLOOKUP($BJ142&amp;"最终",$S$3:$AE$63,MATCH(BN$3,$S$3:$AE$3,0),FALSE)-VLOOKUP($BJ142&amp;"初始",$S$3:$AE$63,MATCH(BN$3,$S$3:$AE$3,0),FALSE))*$BL142/VLOOKUP(VLOOKUP($BJ142,坦克个性化设定!$B$18:$E$48,4,FALSE)&amp;$BK142,坦克属性分配比例,MATCH("升星次数",坦克属性分配比例标头,0),FALSE)*VLOOKUP(VLOOKUP($BJ142,坦克个性化设定!$B$18:$E$48,4,FALSE)&amp;$BK142,坦克属性分配比例,MATCH("升星比例",坦克属性分配比例标头,0),FALSE),0)</f>
        <v>201</v>
      </c>
      <c r="BO142" s="103">
        <f ca="1">ROUND(VLOOKUP($BJ142&amp;"初始",$S$3:$AE$63,MATCH(BO$3,$S$3:$AE$3,0),FALSE)+(VLOOKUP($BJ142&amp;"最终",$S$3:$AE$63,MATCH(BO$3,$S$3:$AE$3,0),FALSE)-VLOOKUP($BJ142&amp;"初始",$S$3:$AE$63,MATCH(BO$3,$S$3:$AE$3,0),FALSE))*$BL142/VLOOKUP(VLOOKUP($BJ142,坦克个性化设定!$B$18:$E$48,4,FALSE)&amp;$BK142,坦克属性分配比例,MATCH("升星次数",坦克属性分配比例标头,0),FALSE)*(VLOOKUP(VLOOKUP($BJ142,坦克个性化设定!$B$18:$E$48,4,FALSE)&amp;$BK142,坦克属性分配比例,MATCH("升星比例",坦克属性分配比例标头,0),FALSE)+VLOOKUP(VLOOKUP($BJ142,坦克个性化设定!$B$18:$E$48,4,FALSE)&amp;$BK142,坦克属性分配比例,MATCH("部件比例",坦克属性分配比例标头,0),FALSE)*$C$3),0)</f>
        <v>597</v>
      </c>
      <c r="BP142" s="103">
        <f ca="1">ROUND(VLOOKUP($BJ142&amp;"初始",$S$3:$AE$63,MATCH(BP$3,$S$3:$AE$3,0),FALSE)+(VLOOKUP($BJ142&amp;"最终",$S$3:$AE$63,MATCH(BP$3,$S$3:$AE$3,0),FALSE)-VLOOKUP($BJ142&amp;"初始",$S$3:$AE$63,MATCH(BP$3,$S$3:$AE$3,0),FALSE))*$BL142/VLOOKUP(VLOOKUP($BJ142,坦克个性化设定!$B$18:$E$48,4,FALSE)&amp;$BK142,坦克属性分配比例,MATCH("升星次数",坦克属性分配比例标头,0),FALSE)*(VLOOKUP(VLOOKUP($BJ142,坦克个性化设定!$B$18:$E$48,4,FALSE)&amp;$BK142,坦克属性分配比例,MATCH("升星比例",坦克属性分配比例标头,0),FALSE)+VLOOKUP(VLOOKUP($BJ142,坦克个性化设定!$B$18:$E$48,4,FALSE)&amp;$BK142,坦克属性分配比例,MATCH("部件比例",坦克属性分配比例标头,0),FALSE)*$C$3),0)</f>
        <v>269</v>
      </c>
      <c r="BQ142" s="103">
        <f ca="1">ROUND(VLOOKUP($BJ142&amp;"初始",$S$3:$AE$63,MATCH(BQ$3,$S$3:$AE$3,0),FALSE)+(VLOOKUP($BJ142&amp;"最终",$S$3:$AE$63,MATCH(BQ$3,$S$3:$AE$3,0),FALSE)-VLOOKUP($BJ142&amp;"初始",$S$3:$AE$63,MATCH(BQ$3,$S$3:$AE$3,0),FALSE))*$BL142/VLOOKUP(VLOOKUP($BJ142,坦克个性化设定!$B$18:$E$48,4,FALSE)&amp;$BK142,坦克属性分配比例,MATCH("升星次数",坦克属性分配比例标头,0),FALSE)*VLOOKUP(VLOOKUP($BJ142,坦克个性化设定!$B$18:$E$48,4,FALSE)&amp;$BK142,坦克属性分配比例,MATCH("升星比例",坦克属性分配比例标头,0),FALSE),0)</f>
        <v>625</v>
      </c>
      <c r="BR142" s="2">
        <f ca="1">ROUND(VLOOKUP($BJ142&amp;"初始",$S$3:$AE$63,MATCH(BR$3,$S$3:$AE$3,0),FALSE)+(VLOOKUP($BJ142&amp;"最终",$S$3:$AE$63,MATCH(BR$3,$S$3:$AE$3,0),FALSE)-VLOOKUP($BJ142&amp;"初始",$S$3:$AE$63,MATCH(BR$3,$S$3:$AE$3,0),FALSE))*$BL142/VLOOKUP(VLOOKUP($BJ142,坦克个性化设定!$B$18:$E$48,4,FALSE)&amp;$BK142,坦克属性分配比例,MATCH("升星次数",坦克属性分配比例标头,0),FALSE),0)</f>
        <v>158</v>
      </c>
      <c r="BS142" s="2">
        <f>ROUND(VLOOKUP($BJ142,$AI$3:$AO$33,MATCH(BS$3,$AI$3:$AO$3,0),FALSE)+$BL142/VLOOKUP(VLOOKUP($BJ142,坦克个性化设定!$B$18:$E$48,4,FALSE)&amp;$BK142,坦克属性分配比例,MATCH("升星次数",坦克属性分配比例标头,0),FALSE)*VLOOKUP($BJ142,$AR$3:$AY$33,MATCH(BS$3,$AR$3:$AY$3,0),FALSE),1)</f>
        <v>40.299999999999997</v>
      </c>
      <c r="BT142" s="2">
        <f>ROUND(VLOOKUP($BJ142,$AI$3:$AO$33,MATCH(BT$3,$AI$3:$AO$3,0),FALSE)+$BL142/VLOOKUP(VLOOKUP($BJ142,坦克个性化设定!$B$18:$E$48,4,FALSE)&amp;$BK142,坦克属性分配比例,MATCH("升星次数",坦克属性分配比例标头,0),FALSE)*VLOOKUP($BJ142,$AR$3:$AY$33,MATCH(BT$3,$AR$3:$AY$3,0),FALSE),1)</f>
        <v>56.7</v>
      </c>
      <c r="BU142" s="2">
        <f>ROUND(VLOOKUP($BJ142,$AI$3:$AO$33,MATCH(BU$3,$AI$3:$AO$3,0),FALSE)+$BL142/VLOOKUP(VLOOKUP($BJ142,坦克个性化设定!$B$18:$E$48,4,FALSE)&amp;$BK142,坦克属性分配比例,MATCH("升星次数",坦克属性分配比例标头,0),FALSE)*VLOOKUP($BJ142,$AR$3:$AY$33,MATCH(BU$3,$AR$3:$AY$3,0),FALSE),1)</f>
        <v>7.3</v>
      </c>
      <c r="BV142" s="2">
        <f>IF(VLOOKUP(BJ142,坦克个性化设定!$B$18:$BC$48,MATCH("装弹类型",坦克个性化设定!$B$18:$BC$18,0),FALSE)="弹夹换弹",0,ROUND(VLOOKUP($BJ142,$AI$3:$AO$33,MATCH("换弹时间",$AI$3:$AO$3,0),FALSE)-$BL142/VLOOKUP(VLOOKUP($BJ142,坦克个性化设定!$B$18:$E$48,4,FALSE)&amp;$BK142,坦克属性分配比例,MATCH("升星次数",坦克属性分配比例标头,0),FALSE)*VLOOKUP($BJ142,$AR$3:$AY$33,MATCH("换弹时间",$AR$3:$AY$3,0),FALSE),2))</f>
        <v>2.23</v>
      </c>
      <c r="BW142" s="2">
        <f>IF(VLOOKUP(BJ142,坦克个性化设定!$B$18:$BC$48,MATCH("装弹类型",坦克个性化设定!$B$18:$BC$18,0),FALSE)="弹夹换弹",ROUND(VLOOKUP($BJ142,$AI$3:$AO$33,MATCH("换弹时间",$AI$3:$AO$3,0),FALSE)-$BL142/VLOOKUP(VLOOKUP($BJ142,坦克个性化设定!$B$18:$E$48,4,FALSE)&amp;$BK142,坦克属性分配比例,MATCH("升星次数",坦克属性分配比例标头,0),FALSE)*VLOOKUP($BJ142,$AR$3:$AY$33,MATCH("换弹时间",$AR$3:$AY$3,0),FALSE),1),0)</f>
        <v>0</v>
      </c>
      <c r="BX142" s="2">
        <f>ROUND(VLOOKUP($BJ142,$AI$3:$AO$33,MATCH(BX$3,$AI$3:$AO$3,0),FALSE)+$BL142/VLOOKUP(VLOOKUP($BJ142,坦克个性化设定!$B$18:$E$48,4,FALSE)&amp;$BK142,坦克属性分配比例,MATCH("升星次数",坦克属性分配比例标头,0),FALSE)*VLOOKUP($BJ142,$AR$3:$AY$33,MATCH(BX$3,$AR$3:$AY$3,0),FALSE),2)</f>
        <v>0.4</v>
      </c>
      <c r="BY142" s="2">
        <f>ROUND(VLOOKUP($BJ142,$AI$3:$AO$33,MATCH(BY$3,$AI$3:$AO$3,0),FALSE)-$BL142/VLOOKUP(VLOOKUP($BJ142,坦克个性化设定!$B$18:$E$48,4,FALSE)&amp;$BK142,坦克属性分配比例,MATCH("升星次数",坦克属性分配比例标头,0),FALSE)*VLOOKUP($BJ142,$AR$3:$AY$33,MATCH(BY$3,$AR$3:$AY$3,0),FALSE),2)</f>
        <v>1.3</v>
      </c>
    </row>
    <row r="143" spans="60:77" x14ac:dyDescent="0.3">
      <c r="BH143" s="2" t="str">
        <f t="shared" si="27"/>
        <v>谢尔曼5</v>
      </c>
      <c r="BI143" s="2">
        <f>IF(BL142&gt;=VLOOKUP(VLOOKUP(BJ142,坦克个性化设定!$B$18:$E$48,4,FALSE)&amp;BK142,坦克属性分配比例,MATCH("升星次数",坦克属性分配比例标头,0),FALSE),BI142+1,BI142)</f>
        <v>15</v>
      </c>
      <c r="BJ143" s="2" t="str">
        <f t="shared" si="28"/>
        <v>谢尔曼</v>
      </c>
      <c r="BK143" s="29" t="str">
        <f>VLOOKUP(BJ143,坦克个性化细分!$I$3:$J$33,2,FALSE)</f>
        <v>中</v>
      </c>
      <c r="BL143" s="2">
        <f t="shared" si="26"/>
        <v>5</v>
      </c>
      <c r="BM143" s="103">
        <f ca="1">ROUND(VLOOKUP($BJ143&amp;"初始",$S$3:$AE$63,MATCH(BM$3,$S$3:$AE$3,0),FALSE)+((VLOOKUP($BJ143&amp;"最终",$S$3:$AE$63,MATCH(BM$3,$S$3:$AE$3,0),FALSE)*坦克个性化细分!$C$9-VLOOKUP($BJ143&amp;"初始",$S$3:$AE$63,MATCH(BM$3,$S$3:$AE$3,0),FALSE))-(VLOOKUP($BJ143&amp;"最终",$S$3:$AE$63,MATCH(BM$3,$S$3:$AE$3,0),FALSE)-VLOOKUP($BJ143&amp;"初始",$S$3:$AE$63,MATCH(BM$3,$S$3:$AE$3,0),FALSE))*VLOOKUP(VLOOKUP($BJ143,坦克个性化设定!$B$18:$E$48,4,FALSE)&amp;$BK143,坦克属性分配比例,MATCH("部件比例",坦克属性分配比例标头,0),FALSE))*$BL143/VLOOKUP(VLOOKUP($BJ143,坦克个性化设定!$B$18:$E$48,4,FALSE)&amp;$BK143,坦克属性分配比例,MATCH("升星次数",坦克属性分配比例标头,0),FALSE),0)</f>
        <v>1627</v>
      </c>
      <c r="BN143" s="103">
        <f ca="1">ROUND(VLOOKUP($BJ143&amp;"初始",$S$3:$AE$63,MATCH(BN$3,$S$3:$AE$3,0),FALSE)+(VLOOKUP($BJ143&amp;"最终",$S$3:$AE$63,MATCH(BN$3,$S$3:$AE$3,0),FALSE)-VLOOKUP($BJ143&amp;"初始",$S$3:$AE$63,MATCH(BN$3,$S$3:$AE$3,0),FALSE))*$BL143/VLOOKUP(VLOOKUP($BJ143,坦克个性化设定!$B$18:$E$48,4,FALSE)&amp;$BK143,坦克属性分配比例,MATCH("升星次数",坦克属性分配比例标头,0),FALSE)*VLOOKUP(VLOOKUP($BJ143,坦克个性化设定!$B$18:$E$48,4,FALSE)&amp;$BK143,坦克属性分配比例,MATCH("升星比例",坦克属性分配比例标头,0),FALSE),0)</f>
        <v>206</v>
      </c>
      <c r="BO143" s="103">
        <f ca="1">ROUND(VLOOKUP($BJ143&amp;"初始",$S$3:$AE$63,MATCH(BO$3,$S$3:$AE$3,0),FALSE)+(VLOOKUP($BJ143&amp;"最终",$S$3:$AE$63,MATCH(BO$3,$S$3:$AE$3,0),FALSE)-VLOOKUP($BJ143&amp;"初始",$S$3:$AE$63,MATCH(BO$3,$S$3:$AE$3,0),FALSE))*$BL143/VLOOKUP(VLOOKUP($BJ143,坦克个性化设定!$B$18:$E$48,4,FALSE)&amp;$BK143,坦克属性分配比例,MATCH("升星次数",坦克属性分配比例标头,0),FALSE)*(VLOOKUP(VLOOKUP($BJ143,坦克个性化设定!$B$18:$E$48,4,FALSE)&amp;$BK143,坦克属性分配比例,MATCH("升星比例",坦克属性分配比例标头,0),FALSE)+VLOOKUP(VLOOKUP($BJ143,坦克个性化设定!$B$18:$E$48,4,FALSE)&amp;$BK143,坦克属性分配比例,MATCH("部件比例",坦克属性分配比例标头,0),FALSE)*$C$3),0)</f>
        <v>619</v>
      </c>
      <c r="BP143" s="103">
        <f ca="1">ROUND(VLOOKUP($BJ143&amp;"初始",$S$3:$AE$63,MATCH(BP$3,$S$3:$AE$3,0),FALSE)+(VLOOKUP($BJ143&amp;"最终",$S$3:$AE$63,MATCH(BP$3,$S$3:$AE$3,0),FALSE)-VLOOKUP($BJ143&amp;"初始",$S$3:$AE$63,MATCH(BP$3,$S$3:$AE$3,0),FALSE))*$BL143/VLOOKUP(VLOOKUP($BJ143,坦克个性化设定!$B$18:$E$48,4,FALSE)&amp;$BK143,坦克属性分配比例,MATCH("升星次数",坦克属性分配比例标头,0),FALSE)*(VLOOKUP(VLOOKUP($BJ143,坦克个性化设定!$B$18:$E$48,4,FALSE)&amp;$BK143,坦克属性分配比例,MATCH("升星比例",坦克属性分配比例标头,0),FALSE)+VLOOKUP(VLOOKUP($BJ143,坦克个性化设定!$B$18:$E$48,4,FALSE)&amp;$BK143,坦克属性分配比例,MATCH("部件比例",坦克属性分配比例标头,0),FALSE)*$C$3),0)</f>
        <v>279</v>
      </c>
      <c r="BQ143" s="103">
        <f ca="1">ROUND(VLOOKUP($BJ143&amp;"初始",$S$3:$AE$63,MATCH(BQ$3,$S$3:$AE$3,0),FALSE)+(VLOOKUP($BJ143&amp;"最终",$S$3:$AE$63,MATCH(BQ$3,$S$3:$AE$3,0),FALSE)-VLOOKUP($BJ143&amp;"初始",$S$3:$AE$63,MATCH(BQ$3,$S$3:$AE$3,0),FALSE))*$BL143/VLOOKUP(VLOOKUP($BJ143,坦克个性化设定!$B$18:$E$48,4,FALSE)&amp;$BK143,坦克属性分配比例,MATCH("升星次数",坦克属性分配比例标头,0),FALSE)*VLOOKUP(VLOOKUP($BJ143,坦克个性化设定!$B$18:$E$48,4,FALSE)&amp;$BK143,坦克属性分配比例,MATCH("升星比例",坦克属性分配比例标头,0),FALSE),0)</f>
        <v>643</v>
      </c>
      <c r="BR143" s="2">
        <f ca="1">ROUND(VLOOKUP($BJ143&amp;"初始",$S$3:$AE$63,MATCH(BR$3,$S$3:$AE$3,0),FALSE)+(VLOOKUP($BJ143&amp;"最终",$S$3:$AE$63,MATCH(BR$3,$S$3:$AE$3,0),FALSE)-VLOOKUP($BJ143&amp;"初始",$S$3:$AE$63,MATCH(BR$3,$S$3:$AE$3,0),FALSE))*$BL143/VLOOKUP(VLOOKUP($BJ143,坦克个性化设定!$B$18:$E$48,4,FALSE)&amp;$BK143,坦克属性分配比例,MATCH("升星次数",坦克属性分配比例标头,0),FALSE),0)</f>
        <v>164</v>
      </c>
      <c r="BS143" s="2">
        <f>ROUND(VLOOKUP($BJ143,$AI$3:$AO$33,MATCH(BS$3,$AI$3:$AO$3,0),FALSE)+$BL143/VLOOKUP(VLOOKUP($BJ143,坦克个性化设定!$B$18:$E$48,4,FALSE)&amp;$BK143,坦克属性分配比例,MATCH("升星次数",坦克属性分配比例标头,0),FALSE)*VLOOKUP($BJ143,$AR$3:$AY$33,MATCH(BS$3,$AR$3:$AY$3,0),FALSE),1)</f>
        <v>41.3</v>
      </c>
      <c r="BT143" s="2">
        <f>ROUND(VLOOKUP($BJ143,$AI$3:$AO$33,MATCH(BT$3,$AI$3:$AO$3,0),FALSE)+$BL143/VLOOKUP(VLOOKUP($BJ143,坦克个性化设定!$B$18:$E$48,4,FALSE)&amp;$BK143,坦克属性分配比例,MATCH("升星次数",坦克属性分配比例标头,0),FALSE)*VLOOKUP($BJ143,$AR$3:$AY$33,MATCH(BT$3,$AR$3:$AY$3,0),FALSE),1)</f>
        <v>58.1</v>
      </c>
      <c r="BU143" s="2">
        <f>ROUND(VLOOKUP($BJ143,$AI$3:$AO$33,MATCH(BU$3,$AI$3:$AO$3,0),FALSE)+$BL143/VLOOKUP(VLOOKUP($BJ143,坦克个性化设定!$B$18:$E$48,4,FALSE)&amp;$BK143,坦克属性分配比例,MATCH("升星次数",坦克属性分配比例标头,0),FALSE)*VLOOKUP($BJ143,$AR$3:$AY$33,MATCH(BU$3,$AR$3:$AY$3,0),FALSE),1)</f>
        <v>7.3</v>
      </c>
      <c r="BV143" s="2">
        <f>IF(VLOOKUP(BJ143,坦克个性化设定!$B$18:$BC$48,MATCH("装弹类型",坦克个性化设定!$B$18:$BC$18,0),FALSE)="弹夹换弹",0,ROUND(VLOOKUP($BJ143,$AI$3:$AO$33,MATCH("换弹时间",$AI$3:$AO$3,0),FALSE)-$BL143/VLOOKUP(VLOOKUP($BJ143,坦克个性化设定!$B$18:$E$48,4,FALSE)&amp;$BK143,坦克属性分配比例,MATCH("升星次数",坦克属性分配比例标头,0),FALSE)*VLOOKUP($BJ143,$AR$3:$AY$33,MATCH("换弹时间",$AR$3:$AY$3,0),FALSE),2))</f>
        <v>2.19</v>
      </c>
      <c r="BW143" s="2">
        <f>IF(VLOOKUP(BJ143,坦克个性化设定!$B$18:$BC$48,MATCH("装弹类型",坦克个性化设定!$B$18:$BC$18,0),FALSE)="弹夹换弹",ROUND(VLOOKUP($BJ143,$AI$3:$AO$33,MATCH("换弹时间",$AI$3:$AO$3,0),FALSE)-$BL143/VLOOKUP(VLOOKUP($BJ143,坦克个性化设定!$B$18:$E$48,4,FALSE)&amp;$BK143,坦克属性分配比例,MATCH("升星次数",坦克属性分配比例标头,0),FALSE)*VLOOKUP($BJ143,$AR$3:$AY$33,MATCH("换弹时间",$AR$3:$AY$3,0),FALSE),1),0)</f>
        <v>0</v>
      </c>
      <c r="BX143" s="2">
        <f>ROUND(VLOOKUP($BJ143,$AI$3:$AO$33,MATCH(BX$3,$AI$3:$AO$3,0),FALSE)+$BL143/VLOOKUP(VLOOKUP($BJ143,坦克个性化设定!$B$18:$E$48,4,FALSE)&amp;$BK143,坦克属性分配比例,MATCH("升星次数",坦克属性分配比例标头,0),FALSE)*VLOOKUP($BJ143,$AR$3:$AY$33,MATCH(BX$3,$AR$3:$AY$3,0),FALSE),2)</f>
        <v>0.4</v>
      </c>
      <c r="BY143" s="2">
        <f>ROUND(VLOOKUP($BJ143,$AI$3:$AO$33,MATCH(BY$3,$AI$3:$AO$3,0),FALSE)-$BL143/VLOOKUP(VLOOKUP($BJ143,坦克个性化设定!$B$18:$E$48,4,FALSE)&amp;$BK143,坦克属性分配比例,MATCH("升星次数",坦克属性分配比例标头,0),FALSE)*VLOOKUP($BJ143,$AR$3:$AY$33,MATCH(BY$3,$AR$3:$AY$3,0),FALSE),2)</f>
        <v>1.27</v>
      </c>
    </row>
    <row r="144" spans="60:77" x14ac:dyDescent="0.3">
      <c r="BH144" s="2" t="str">
        <f t="shared" si="27"/>
        <v>谢尔曼6</v>
      </c>
      <c r="BI144" s="2">
        <f>IF(BL143&gt;=VLOOKUP(VLOOKUP(BJ143,坦克个性化设定!$B$18:$E$48,4,FALSE)&amp;BK143,坦克属性分配比例,MATCH("升星次数",坦克属性分配比例标头,0),FALSE),BI143+1,BI143)</f>
        <v>15</v>
      </c>
      <c r="BJ144" s="2" t="str">
        <f t="shared" si="28"/>
        <v>谢尔曼</v>
      </c>
      <c r="BK144" s="29" t="str">
        <f>VLOOKUP(BJ144,坦克个性化细分!$I$3:$J$33,2,FALSE)</f>
        <v>中</v>
      </c>
      <c r="BL144" s="2">
        <f t="shared" si="26"/>
        <v>6</v>
      </c>
      <c r="BM144" s="103">
        <f ca="1">ROUND(VLOOKUP($BJ144&amp;"初始",$S$3:$AE$63,MATCH(BM$3,$S$3:$AE$3,0),FALSE)+((VLOOKUP($BJ144&amp;"最终",$S$3:$AE$63,MATCH(BM$3,$S$3:$AE$3,0),FALSE)*坦克个性化细分!$C$9-VLOOKUP($BJ144&amp;"初始",$S$3:$AE$63,MATCH(BM$3,$S$3:$AE$3,0),FALSE))-(VLOOKUP($BJ144&amp;"最终",$S$3:$AE$63,MATCH(BM$3,$S$3:$AE$3,0),FALSE)-VLOOKUP($BJ144&amp;"初始",$S$3:$AE$63,MATCH(BM$3,$S$3:$AE$3,0),FALSE))*VLOOKUP(VLOOKUP($BJ144,坦克个性化设定!$B$18:$E$48,4,FALSE)&amp;$BK144,坦克属性分配比例,MATCH("部件比例",坦克属性分配比例标头,0),FALSE))*$BL144/VLOOKUP(VLOOKUP($BJ144,坦克个性化设定!$B$18:$E$48,4,FALSE)&amp;$BK144,坦克属性分配比例,MATCH("升星次数",坦克属性分配比例标头,0),FALSE),0)</f>
        <v>1699</v>
      </c>
      <c r="BN144" s="103">
        <f ca="1">ROUND(VLOOKUP($BJ144&amp;"初始",$S$3:$AE$63,MATCH(BN$3,$S$3:$AE$3,0),FALSE)+(VLOOKUP($BJ144&amp;"最终",$S$3:$AE$63,MATCH(BN$3,$S$3:$AE$3,0),FALSE)-VLOOKUP($BJ144&amp;"初始",$S$3:$AE$63,MATCH(BN$3,$S$3:$AE$3,0),FALSE))*$BL144/VLOOKUP(VLOOKUP($BJ144,坦克个性化设定!$B$18:$E$48,4,FALSE)&amp;$BK144,坦克属性分配比例,MATCH("升星次数",坦克属性分配比例标头,0),FALSE)*VLOOKUP(VLOOKUP($BJ144,坦克个性化设定!$B$18:$E$48,4,FALSE)&amp;$BK144,坦克属性分配比例,MATCH("升星比例",坦克属性分配比例标头,0),FALSE),0)</f>
        <v>212</v>
      </c>
      <c r="BO144" s="103">
        <f ca="1">ROUND(VLOOKUP($BJ144&amp;"初始",$S$3:$AE$63,MATCH(BO$3,$S$3:$AE$3,0),FALSE)+(VLOOKUP($BJ144&amp;"最终",$S$3:$AE$63,MATCH(BO$3,$S$3:$AE$3,0),FALSE)-VLOOKUP($BJ144&amp;"初始",$S$3:$AE$63,MATCH(BO$3,$S$3:$AE$3,0),FALSE))*$BL144/VLOOKUP(VLOOKUP($BJ144,坦克个性化设定!$B$18:$E$48,4,FALSE)&amp;$BK144,坦克属性分配比例,MATCH("升星次数",坦克属性分配比例标头,0),FALSE)*(VLOOKUP(VLOOKUP($BJ144,坦克个性化设定!$B$18:$E$48,4,FALSE)&amp;$BK144,坦克属性分配比例,MATCH("升星比例",坦克属性分配比例标头,0),FALSE)+VLOOKUP(VLOOKUP($BJ144,坦克个性化设定!$B$18:$E$48,4,FALSE)&amp;$BK144,坦克属性分配比例,MATCH("部件比例",坦克属性分配比例标头,0),FALSE)*$C$3),0)</f>
        <v>642</v>
      </c>
      <c r="BP144" s="103">
        <f ca="1">ROUND(VLOOKUP($BJ144&amp;"初始",$S$3:$AE$63,MATCH(BP$3,$S$3:$AE$3,0),FALSE)+(VLOOKUP($BJ144&amp;"最终",$S$3:$AE$63,MATCH(BP$3,$S$3:$AE$3,0),FALSE)-VLOOKUP($BJ144&amp;"初始",$S$3:$AE$63,MATCH(BP$3,$S$3:$AE$3,0),FALSE))*$BL144/VLOOKUP(VLOOKUP($BJ144,坦克个性化设定!$B$18:$E$48,4,FALSE)&amp;$BK144,坦克属性分配比例,MATCH("升星次数",坦克属性分配比例标头,0),FALSE)*(VLOOKUP(VLOOKUP($BJ144,坦克个性化设定!$B$18:$E$48,4,FALSE)&amp;$BK144,坦克属性分配比例,MATCH("升星比例",坦克属性分配比例标头,0),FALSE)+VLOOKUP(VLOOKUP($BJ144,坦克个性化设定!$B$18:$E$48,4,FALSE)&amp;$BK144,坦克属性分配比例,MATCH("部件比例",坦克属性分配比例标头,0),FALSE)*$C$3),0)</f>
        <v>289</v>
      </c>
      <c r="BQ144" s="103">
        <f ca="1">ROUND(VLOOKUP($BJ144&amp;"初始",$S$3:$AE$63,MATCH(BQ$3,$S$3:$AE$3,0),FALSE)+(VLOOKUP($BJ144&amp;"最终",$S$3:$AE$63,MATCH(BQ$3,$S$3:$AE$3,0),FALSE)-VLOOKUP($BJ144&amp;"初始",$S$3:$AE$63,MATCH(BQ$3,$S$3:$AE$3,0),FALSE))*$BL144/VLOOKUP(VLOOKUP($BJ144,坦克个性化设定!$B$18:$E$48,4,FALSE)&amp;$BK144,坦克属性分配比例,MATCH("升星次数",坦克属性分配比例标头,0),FALSE)*VLOOKUP(VLOOKUP($BJ144,坦克个性化设定!$B$18:$E$48,4,FALSE)&amp;$BK144,坦克属性分配比例,MATCH("升星比例",坦克属性分配比例标头,0),FALSE),0)</f>
        <v>661</v>
      </c>
      <c r="BR144" s="2">
        <f ca="1">ROUND(VLOOKUP($BJ144&amp;"初始",$S$3:$AE$63,MATCH(BR$3,$S$3:$AE$3,0),FALSE)+(VLOOKUP($BJ144&amp;"最终",$S$3:$AE$63,MATCH(BR$3,$S$3:$AE$3,0),FALSE)-VLOOKUP($BJ144&amp;"初始",$S$3:$AE$63,MATCH(BR$3,$S$3:$AE$3,0),FALSE))*$BL144/VLOOKUP(VLOOKUP($BJ144,坦克个性化设定!$B$18:$E$48,4,FALSE)&amp;$BK144,坦克属性分配比例,MATCH("升星次数",坦克属性分配比例标头,0),FALSE),0)</f>
        <v>171</v>
      </c>
      <c r="BS144" s="2">
        <f>ROUND(VLOOKUP($BJ144,$AI$3:$AO$33,MATCH(BS$3,$AI$3:$AO$3,0),FALSE)+$BL144/VLOOKUP(VLOOKUP($BJ144,坦克个性化设定!$B$18:$E$48,4,FALSE)&amp;$BK144,坦克属性分配比例,MATCH("升星次数",坦克属性分配比例标头,0),FALSE)*VLOOKUP($BJ144,$AR$3:$AY$33,MATCH(BS$3,$AR$3:$AY$3,0),FALSE),1)</f>
        <v>42.4</v>
      </c>
      <c r="BT144" s="2">
        <f>ROUND(VLOOKUP($BJ144,$AI$3:$AO$33,MATCH(BT$3,$AI$3:$AO$3,0),FALSE)+$BL144/VLOOKUP(VLOOKUP($BJ144,坦克个性化设定!$B$18:$E$48,4,FALSE)&amp;$BK144,坦克属性分配比例,MATCH("升星次数",坦克属性分配比例标头,0),FALSE)*VLOOKUP($BJ144,$AR$3:$AY$33,MATCH(BT$3,$AR$3:$AY$3,0),FALSE),1)</f>
        <v>59.5</v>
      </c>
      <c r="BU144" s="2">
        <f>ROUND(VLOOKUP($BJ144,$AI$3:$AO$33,MATCH(BU$3,$AI$3:$AO$3,0),FALSE)+$BL144/VLOOKUP(VLOOKUP($BJ144,坦克个性化设定!$B$18:$E$48,4,FALSE)&amp;$BK144,坦克属性分配比例,MATCH("升星次数",坦克属性分配比例标头,0),FALSE)*VLOOKUP($BJ144,$AR$3:$AY$33,MATCH(BU$3,$AR$3:$AY$3,0),FALSE),1)</f>
        <v>7.3</v>
      </c>
      <c r="BV144" s="2">
        <f>IF(VLOOKUP(BJ144,坦克个性化设定!$B$18:$BC$48,MATCH("装弹类型",坦克个性化设定!$B$18:$BC$18,0),FALSE)="弹夹换弹",0,ROUND(VLOOKUP($BJ144,$AI$3:$AO$33,MATCH("换弹时间",$AI$3:$AO$3,0),FALSE)-$BL144/VLOOKUP(VLOOKUP($BJ144,坦克个性化设定!$B$18:$E$48,4,FALSE)&amp;$BK144,坦克属性分配比例,MATCH("升星次数",坦克属性分配比例标头,0),FALSE)*VLOOKUP($BJ144,$AR$3:$AY$33,MATCH("换弹时间",$AR$3:$AY$3,0),FALSE),2))</f>
        <v>2.15</v>
      </c>
      <c r="BW144" s="2">
        <f>IF(VLOOKUP(BJ144,坦克个性化设定!$B$18:$BC$48,MATCH("装弹类型",坦克个性化设定!$B$18:$BC$18,0),FALSE)="弹夹换弹",ROUND(VLOOKUP($BJ144,$AI$3:$AO$33,MATCH("换弹时间",$AI$3:$AO$3,0),FALSE)-$BL144/VLOOKUP(VLOOKUP($BJ144,坦克个性化设定!$B$18:$E$48,4,FALSE)&amp;$BK144,坦克属性分配比例,MATCH("升星次数",坦克属性分配比例标头,0),FALSE)*VLOOKUP($BJ144,$AR$3:$AY$33,MATCH("换弹时间",$AR$3:$AY$3,0),FALSE),1),0)</f>
        <v>0</v>
      </c>
      <c r="BX144" s="2">
        <f>ROUND(VLOOKUP($BJ144,$AI$3:$AO$33,MATCH(BX$3,$AI$3:$AO$3,0),FALSE)+$BL144/VLOOKUP(VLOOKUP($BJ144,坦克个性化设定!$B$18:$E$48,4,FALSE)&amp;$BK144,坦克属性分配比例,MATCH("升星次数",坦克属性分配比例标头,0),FALSE)*VLOOKUP($BJ144,$AR$3:$AY$33,MATCH(BX$3,$AR$3:$AY$3,0),FALSE),2)</f>
        <v>0.4</v>
      </c>
      <c r="BY144" s="2">
        <f>ROUND(VLOOKUP($BJ144,$AI$3:$AO$33,MATCH(BY$3,$AI$3:$AO$3,0),FALSE)-$BL144/VLOOKUP(VLOOKUP($BJ144,坦克个性化设定!$B$18:$E$48,4,FALSE)&amp;$BK144,坦克属性分配比例,MATCH("升星次数",坦克属性分配比例标头,0),FALSE)*VLOOKUP($BJ144,$AR$3:$AY$33,MATCH(BY$3,$AR$3:$AY$3,0),FALSE),2)</f>
        <v>1.24</v>
      </c>
    </row>
    <row r="145" spans="60:77" x14ac:dyDescent="0.3">
      <c r="BH145" s="2" t="str">
        <f t="shared" si="27"/>
        <v>谢尔曼7</v>
      </c>
      <c r="BI145" s="2">
        <f>IF(BL144&gt;=VLOOKUP(VLOOKUP(BJ144,坦克个性化设定!$B$18:$E$48,4,FALSE)&amp;BK144,坦克属性分配比例,MATCH("升星次数",坦克属性分配比例标头,0),FALSE),BI144+1,BI144)</f>
        <v>15</v>
      </c>
      <c r="BJ145" s="2" t="str">
        <f t="shared" si="28"/>
        <v>谢尔曼</v>
      </c>
      <c r="BK145" s="29" t="str">
        <f>VLOOKUP(BJ145,坦克个性化细分!$I$3:$J$33,2,FALSE)</f>
        <v>中</v>
      </c>
      <c r="BL145" s="2">
        <f t="shared" si="26"/>
        <v>7</v>
      </c>
      <c r="BM145" s="103">
        <f ca="1">ROUND(VLOOKUP($BJ145&amp;"初始",$S$3:$AE$63,MATCH(BM$3,$S$3:$AE$3,0),FALSE)+((VLOOKUP($BJ145&amp;"最终",$S$3:$AE$63,MATCH(BM$3,$S$3:$AE$3,0),FALSE)*坦克个性化细分!$C$9-VLOOKUP($BJ145&amp;"初始",$S$3:$AE$63,MATCH(BM$3,$S$3:$AE$3,0),FALSE))-(VLOOKUP($BJ145&amp;"最终",$S$3:$AE$63,MATCH(BM$3,$S$3:$AE$3,0),FALSE)-VLOOKUP($BJ145&amp;"初始",$S$3:$AE$63,MATCH(BM$3,$S$3:$AE$3,0),FALSE))*VLOOKUP(VLOOKUP($BJ145,坦克个性化设定!$B$18:$E$48,4,FALSE)&amp;$BK145,坦克属性分配比例,MATCH("部件比例",坦克属性分配比例标头,0),FALSE))*$BL145/VLOOKUP(VLOOKUP($BJ145,坦克个性化设定!$B$18:$E$48,4,FALSE)&amp;$BK145,坦克属性分配比例,MATCH("升星次数",坦克属性分配比例标头,0),FALSE),0)</f>
        <v>1771</v>
      </c>
      <c r="BN145" s="103">
        <f ca="1">ROUND(VLOOKUP($BJ145&amp;"初始",$S$3:$AE$63,MATCH(BN$3,$S$3:$AE$3,0),FALSE)+(VLOOKUP($BJ145&amp;"最终",$S$3:$AE$63,MATCH(BN$3,$S$3:$AE$3,0),FALSE)-VLOOKUP($BJ145&amp;"初始",$S$3:$AE$63,MATCH(BN$3,$S$3:$AE$3,0),FALSE))*$BL145/VLOOKUP(VLOOKUP($BJ145,坦克个性化设定!$B$18:$E$48,4,FALSE)&amp;$BK145,坦克属性分配比例,MATCH("升星次数",坦克属性分配比例标头,0),FALSE)*VLOOKUP(VLOOKUP($BJ145,坦克个性化设定!$B$18:$E$48,4,FALSE)&amp;$BK145,坦克属性分配比例,MATCH("升星比例",坦克属性分配比例标头,0),FALSE),0)</f>
        <v>217</v>
      </c>
      <c r="BO145" s="103">
        <f ca="1">ROUND(VLOOKUP($BJ145&amp;"初始",$S$3:$AE$63,MATCH(BO$3,$S$3:$AE$3,0),FALSE)+(VLOOKUP($BJ145&amp;"最终",$S$3:$AE$63,MATCH(BO$3,$S$3:$AE$3,0),FALSE)-VLOOKUP($BJ145&amp;"初始",$S$3:$AE$63,MATCH(BO$3,$S$3:$AE$3,0),FALSE))*$BL145/VLOOKUP(VLOOKUP($BJ145,坦克个性化设定!$B$18:$E$48,4,FALSE)&amp;$BK145,坦克属性分配比例,MATCH("升星次数",坦克属性分配比例标头,0),FALSE)*(VLOOKUP(VLOOKUP($BJ145,坦克个性化设定!$B$18:$E$48,4,FALSE)&amp;$BK145,坦克属性分配比例,MATCH("升星比例",坦克属性分配比例标头,0),FALSE)+VLOOKUP(VLOOKUP($BJ145,坦克个性化设定!$B$18:$E$48,4,FALSE)&amp;$BK145,坦克属性分配比例,MATCH("部件比例",坦克属性分配比例标头,0),FALSE)*$C$3),0)</f>
        <v>665</v>
      </c>
      <c r="BP145" s="103">
        <f ca="1">ROUND(VLOOKUP($BJ145&amp;"初始",$S$3:$AE$63,MATCH(BP$3,$S$3:$AE$3,0),FALSE)+(VLOOKUP($BJ145&amp;"最终",$S$3:$AE$63,MATCH(BP$3,$S$3:$AE$3,0),FALSE)-VLOOKUP($BJ145&amp;"初始",$S$3:$AE$63,MATCH(BP$3,$S$3:$AE$3,0),FALSE))*$BL145/VLOOKUP(VLOOKUP($BJ145,坦克个性化设定!$B$18:$E$48,4,FALSE)&amp;$BK145,坦克属性分配比例,MATCH("升星次数",坦克属性分配比例标头,0),FALSE)*(VLOOKUP(VLOOKUP($BJ145,坦克个性化设定!$B$18:$E$48,4,FALSE)&amp;$BK145,坦克属性分配比例,MATCH("升星比例",坦克属性分配比例标头,0),FALSE)+VLOOKUP(VLOOKUP($BJ145,坦克个性化设定!$B$18:$E$48,4,FALSE)&amp;$BK145,坦克属性分配比例,MATCH("部件比例",坦克属性分配比例标头,0),FALSE)*$C$3),0)</f>
        <v>299</v>
      </c>
      <c r="BQ145" s="103">
        <f ca="1">ROUND(VLOOKUP($BJ145&amp;"初始",$S$3:$AE$63,MATCH(BQ$3,$S$3:$AE$3,0),FALSE)+(VLOOKUP($BJ145&amp;"最终",$S$3:$AE$63,MATCH(BQ$3,$S$3:$AE$3,0),FALSE)-VLOOKUP($BJ145&amp;"初始",$S$3:$AE$63,MATCH(BQ$3,$S$3:$AE$3,0),FALSE))*$BL145/VLOOKUP(VLOOKUP($BJ145,坦克个性化设定!$B$18:$E$48,4,FALSE)&amp;$BK145,坦克属性分配比例,MATCH("升星次数",坦克属性分配比例标头,0),FALSE)*VLOOKUP(VLOOKUP($BJ145,坦克个性化设定!$B$18:$E$48,4,FALSE)&amp;$BK145,坦克属性分配比例,MATCH("升星比例",坦克属性分配比例标头,0),FALSE),0)</f>
        <v>679</v>
      </c>
      <c r="BR145" s="2">
        <f ca="1">ROUND(VLOOKUP($BJ145&amp;"初始",$S$3:$AE$63,MATCH(BR$3,$S$3:$AE$3,0),FALSE)+(VLOOKUP($BJ145&amp;"最终",$S$3:$AE$63,MATCH(BR$3,$S$3:$AE$3,0),FALSE)-VLOOKUP($BJ145&amp;"初始",$S$3:$AE$63,MATCH(BR$3,$S$3:$AE$3,0),FALSE))*$BL145/VLOOKUP(VLOOKUP($BJ145,坦克个性化设定!$B$18:$E$48,4,FALSE)&amp;$BK145,坦克属性分配比例,MATCH("升星次数",坦克属性分配比例标头,0),FALSE),0)</f>
        <v>178</v>
      </c>
      <c r="BS145" s="2">
        <f>ROUND(VLOOKUP($BJ145,$AI$3:$AO$33,MATCH(BS$3,$AI$3:$AO$3,0),FALSE)+$BL145/VLOOKUP(VLOOKUP($BJ145,坦克个性化设定!$B$18:$E$48,4,FALSE)&amp;$BK145,坦克属性分配比例,MATCH("升星次数",坦克属性分配比例标头,0),FALSE)*VLOOKUP($BJ145,$AR$3:$AY$33,MATCH(BS$3,$AR$3:$AY$3,0),FALSE),1)</f>
        <v>43.4</v>
      </c>
      <c r="BT145" s="2">
        <f>ROUND(VLOOKUP($BJ145,$AI$3:$AO$33,MATCH(BT$3,$AI$3:$AO$3,0),FALSE)+$BL145/VLOOKUP(VLOOKUP($BJ145,坦克个性化设定!$B$18:$E$48,4,FALSE)&amp;$BK145,坦克属性分配比例,MATCH("升星次数",坦克属性分配比例标头,0),FALSE)*VLOOKUP($BJ145,$AR$3:$AY$33,MATCH(BT$3,$AR$3:$AY$3,0),FALSE),1)</f>
        <v>60.9</v>
      </c>
      <c r="BU145" s="2">
        <f>ROUND(VLOOKUP($BJ145,$AI$3:$AO$33,MATCH(BU$3,$AI$3:$AO$3,0),FALSE)+$BL145/VLOOKUP(VLOOKUP($BJ145,坦克个性化设定!$B$18:$E$48,4,FALSE)&amp;$BK145,坦克属性分配比例,MATCH("升星次数",坦克属性分配比例标头,0),FALSE)*VLOOKUP($BJ145,$AR$3:$AY$33,MATCH(BU$3,$AR$3:$AY$3,0),FALSE),1)</f>
        <v>7.3</v>
      </c>
      <c r="BV145" s="2">
        <f>IF(VLOOKUP(BJ145,坦克个性化设定!$B$18:$BC$48,MATCH("装弹类型",坦克个性化设定!$B$18:$BC$18,0),FALSE)="弹夹换弹",0,ROUND(VLOOKUP($BJ145,$AI$3:$AO$33,MATCH("换弹时间",$AI$3:$AO$3,0),FALSE)-$BL145/VLOOKUP(VLOOKUP($BJ145,坦克个性化设定!$B$18:$E$48,4,FALSE)&amp;$BK145,坦克属性分配比例,MATCH("升星次数",坦克属性分配比例标头,0),FALSE)*VLOOKUP($BJ145,$AR$3:$AY$33,MATCH("换弹时间",$AR$3:$AY$3,0),FALSE),2))</f>
        <v>2.11</v>
      </c>
      <c r="BW145" s="2">
        <f>IF(VLOOKUP(BJ145,坦克个性化设定!$B$18:$BC$48,MATCH("装弹类型",坦克个性化设定!$B$18:$BC$18,0),FALSE)="弹夹换弹",ROUND(VLOOKUP($BJ145,$AI$3:$AO$33,MATCH("换弹时间",$AI$3:$AO$3,0),FALSE)-$BL145/VLOOKUP(VLOOKUP($BJ145,坦克个性化设定!$B$18:$E$48,4,FALSE)&amp;$BK145,坦克属性分配比例,MATCH("升星次数",坦克属性分配比例标头,0),FALSE)*VLOOKUP($BJ145,$AR$3:$AY$33,MATCH("换弹时间",$AR$3:$AY$3,0),FALSE),1),0)</f>
        <v>0</v>
      </c>
      <c r="BX145" s="2">
        <f>ROUND(VLOOKUP($BJ145,$AI$3:$AO$33,MATCH(BX$3,$AI$3:$AO$3,0),FALSE)+$BL145/VLOOKUP(VLOOKUP($BJ145,坦克个性化设定!$B$18:$E$48,4,FALSE)&amp;$BK145,坦克属性分配比例,MATCH("升星次数",坦克属性分配比例标头,0),FALSE)*VLOOKUP($BJ145,$AR$3:$AY$33,MATCH(BX$3,$AR$3:$AY$3,0),FALSE),2)</f>
        <v>0.4</v>
      </c>
      <c r="BY145" s="2">
        <f>ROUND(VLOOKUP($BJ145,$AI$3:$AO$33,MATCH(BY$3,$AI$3:$AO$3,0),FALSE)-$BL145/VLOOKUP(VLOOKUP($BJ145,坦克个性化设定!$B$18:$E$48,4,FALSE)&amp;$BK145,坦克属性分配比例,MATCH("升星次数",坦克属性分配比例标头,0),FALSE)*VLOOKUP($BJ145,$AR$3:$AY$33,MATCH(BY$3,$AR$3:$AY$3,0),FALSE),2)</f>
        <v>1.22</v>
      </c>
    </row>
    <row r="146" spans="60:77" x14ac:dyDescent="0.3">
      <c r="BH146" s="2" t="str">
        <f t="shared" si="27"/>
        <v>谢尔曼8</v>
      </c>
      <c r="BI146" s="2">
        <f>IF(BL145&gt;=VLOOKUP(VLOOKUP(BJ145,坦克个性化设定!$B$18:$E$48,4,FALSE)&amp;BK145,坦克属性分配比例,MATCH("升星次数",坦克属性分配比例标头,0),FALSE),BI145+1,BI145)</f>
        <v>15</v>
      </c>
      <c r="BJ146" s="2" t="str">
        <f t="shared" si="28"/>
        <v>谢尔曼</v>
      </c>
      <c r="BK146" s="29" t="str">
        <f>VLOOKUP(BJ146,坦克个性化细分!$I$3:$J$33,2,FALSE)</f>
        <v>中</v>
      </c>
      <c r="BL146" s="2">
        <f t="shared" si="26"/>
        <v>8</v>
      </c>
      <c r="BM146" s="103">
        <f ca="1">ROUND(VLOOKUP($BJ146&amp;"初始",$S$3:$AE$63,MATCH(BM$3,$S$3:$AE$3,0),FALSE)+((VLOOKUP($BJ146&amp;"最终",$S$3:$AE$63,MATCH(BM$3,$S$3:$AE$3,0),FALSE)*坦克个性化细分!$C$9-VLOOKUP($BJ146&amp;"初始",$S$3:$AE$63,MATCH(BM$3,$S$3:$AE$3,0),FALSE))-(VLOOKUP($BJ146&amp;"最终",$S$3:$AE$63,MATCH(BM$3,$S$3:$AE$3,0),FALSE)-VLOOKUP($BJ146&amp;"初始",$S$3:$AE$63,MATCH(BM$3,$S$3:$AE$3,0),FALSE))*VLOOKUP(VLOOKUP($BJ146,坦克个性化设定!$B$18:$E$48,4,FALSE)&amp;$BK146,坦克属性分配比例,MATCH("部件比例",坦克属性分配比例标头,0),FALSE))*$BL146/VLOOKUP(VLOOKUP($BJ146,坦克个性化设定!$B$18:$E$48,4,FALSE)&amp;$BK146,坦克属性分配比例,MATCH("升星次数",坦克属性分配比例标头,0),FALSE),0)</f>
        <v>1842</v>
      </c>
      <c r="BN146" s="103">
        <f ca="1">ROUND(VLOOKUP($BJ146&amp;"初始",$S$3:$AE$63,MATCH(BN$3,$S$3:$AE$3,0),FALSE)+(VLOOKUP($BJ146&amp;"最终",$S$3:$AE$63,MATCH(BN$3,$S$3:$AE$3,0),FALSE)-VLOOKUP($BJ146&amp;"初始",$S$3:$AE$63,MATCH(BN$3,$S$3:$AE$3,0),FALSE))*$BL146/VLOOKUP(VLOOKUP($BJ146,坦克个性化设定!$B$18:$E$48,4,FALSE)&amp;$BK146,坦克属性分配比例,MATCH("升星次数",坦克属性分配比例标头,0),FALSE)*VLOOKUP(VLOOKUP($BJ146,坦克个性化设定!$B$18:$E$48,4,FALSE)&amp;$BK146,坦克属性分配比例,MATCH("升星比例",坦克属性分配比例标头,0),FALSE),0)</f>
        <v>223</v>
      </c>
      <c r="BO146" s="103">
        <f ca="1">ROUND(VLOOKUP($BJ146&amp;"初始",$S$3:$AE$63,MATCH(BO$3,$S$3:$AE$3,0),FALSE)+(VLOOKUP($BJ146&amp;"最终",$S$3:$AE$63,MATCH(BO$3,$S$3:$AE$3,0),FALSE)-VLOOKUP($BJ146&amp;"初始",$S$3:$AE$63,MATCH(BO$3,$S$3:$AE$3,0),FALSE))*$BL146/VLOOKUP(VLOOKUP($BJ146,坦克个性化设定!$B$18:$E$48,4,FALSE)&amp;$BK146,坦克属性分配比例,MATCH("升星次数",坦克属性分配比例标头,0),FALSE)*(VLOOKUP(VLOOKUP($BJ146,坦克个性化设定!$B$18:$E$48,4,FALSE)&amp;$BK146,坦克属性分配比例,MATCH("升星比例",坦克属性分配比例标头,0),FALSE)+VLOOKUP(VLOOKUP($BJ146,坦克个性化设定!$B$18:$E$48,4,FALSE)&amp;$BK146,坦克属性分配比例,MATCH("部件比例",坦克属性分配比例标头,0),FALSE)*$C$3),0)</f>
        <v>687</v>
      </c>
      <c r="BP146" s="103">
        <f ca="1">ROUND(VLOOKUP($BJ146&amp;"初始",$S$3:$AE$63,MATCH(BP$3,$S$3:$AE$3,0),FALSE)+(VLOOKUP($BJ146&amp;"最终",$S$3:$AE$63,MATCH(BP$3,$S$3:$AE$3,0),FALSE)-VLOOKUP($BJ146&amp;"初始",$S$3:$AE$63,MATCH(BP$3,$S$3:$AE$3,0),FALSE))*$BL146/VLOOKUP(VLOOKUP($BJ146,坦克个性化设定!$B$18:$E$48,4,FALSE)&amp;$BK146,坦克属性分配比例,MATCH("升星次数",坦克属性分配比例标头,0),FALSE)*(VLOOKUP(VLOOKUP($BJ146,坦克个性化设定!$B$18:$E$48,4,FALSE)&amp;$BK146,坦克属性分配比例,MATCH("升星比例",坦克属性分配比例标头,0),FALSE)+VLOOKUP(VLOOKUP($BJ146,坦克个性化设定!$B$18:$E$48,4,FALSE)&amp;$BK146,坦克属性分配比例,MATCH("部件比例",坦克属性分配比例标头,0),FALSE)*$C$3),0)</f>
        <v>309</v>
      </c>
      <c r="BQ146" s="103">
        <f ca="1">ROUND(VLOOKUP($BJ146&amp;"初始",$S$3:$AE$63,MATCH(BQ$3,$S$3:$AE$3,0),FALSE)+(VLOOKUP($BJ146&amp;"最终",$S$3:$AE$63,MATCH(BQ$3,$S$3:$AE$3,0),FALSE)-VLOOKUP($BJ146&amp;"初始",$S$3:$AE$63,MATCH(BQ$3,$S$3:$AE$3,0),FALSE))*$BL146/VLOOKUP(VLOOKUP($BJ146,坦克个性化设定!$B$18:$E$48,4,FALSE)&amp;$BK146,坦克属性分配比例,MATCH("升星次数",坦克属性分配比例标头,0),FALSE)*VLOOKUP(VLOOKUP($BJ146,坦克个性化设定!$B$18:$E$48,4,FALSE)&amp;$BK146,坦克属性分配比例,MATCH("升星比例",坦克属性分配比例标头,0),FALSE),0)</f>
        <v>696</v>
      </c>
      <c r="BR146" s="2">
        <f ca="1">ROUND(VLOOKUP($BJ146&amp;"初始",$S$3:$AE$63,MATCH(BR$3,$S$3:$AE$3,0),FALSE)+(VLOOKUP($BJ146&amp;"最终",$S$3:$AE$63,MATCH(BR$3,$S$3:$AE$3,0),FALSE)-VLOOKUP($BJ146&amp;"初始",$S$3:$AE$63,MATCH(BR$3,$S$3:$AE$3,0),FALSE))*$BL146/VLOOKUP(VLOOKUP($BJ146,坦克个性化设定!$B$18:$E$48,4,FALSE)&amp;$BK146,坦克属性分配比例,MATCH("升星次数",坦克属性分配比例标头,0),FALSE),0)</f>
        <v>185</v>
      </c>
      <c r="BS146" s="2">
        <f>ROUND(VLOOKUP($BJ146,$AI$3:$AO$33,MATCH(BS$3,$AI$3:$AO$3,0),FALSE)+$BL146/VLOOKUP(VLOOKUP($BJ146,坦克个性化设定!$B$18:$E$48,4,FALSE)&amp;$BK146,坦克属性分配比例,MATCH("升星次数",坦克属性分配比例标头,0),FALSE)*VLOOKUP($BJ146,$AR$3:$AY$33,MATCH(BS$3,$AR$3:$AY$3,0),FALSE),1)</f>
        <v>44.4</v>
      </c>
      <c r="BT146" s="2">
        <f>ROUND(VLOOKUP($BJ146,$AI$3:$AO$33,MATCH(BT$3,$AI$3:$AO$3,0),FALSE)+$BL146/VLOOKUP(VLOOKUP($BJ146,坦克个性化设定!$B$18:$E$48,4,FALSE)&amp;$BK146,坦克属性分配比例,MATCH("升星次数",坦克属性分配比例标头,0),FALSE)*VLOOKUP($BJ146,$AR$3:$AY$33,MATCH(BT$3,$AR$3:$AY$3,0),FALSE),1)</f>
        <v>62.3</v>
      </c>
      <c r="BU146" s="2">
        <f>ROUND(VLOOKUP($BJ146,$AI$3:$AO$33,MATCH(BU$3,$AI$3:$AO$3,0),FALSE)+$BL146/VLOOKUP(VLOOKUP($BJ146,坦克个性化设定!$B$18:$E$48,4,FALSE)&amp;$BK146,坦克属性分配比例,MATCH("升星次数",坦克属性分配比例标头,0),FALSE)*VLOOKUP($BJ146,$AR$3:$AY$33,MATCH(BU$3,$AR$3:$AY$3,0),FALSE),1)</f>
        <v>7.3</v>
      </c>
      <c r="BV146" s="2">
        <f>IF(VLOOKUP(BJ146,坦克个性化设定!$B$18:$BC$48,MATCH("装弹类型",坦克个性化设定!$B$18:$BC$18,0),FALSE)="弹夹换弹",0,ROUND(VLOOKUP($BJ146,$AI$3:$AO$33,MATCH("换弹时间",$AI$3:$AO$3,0),FALSE)-$BL146/VLOOKUP(VLOOKUP($BJ146,坦克个性化设定!$B$18:$E$48,4,FALSE)&amp;$BK146,坦克属性分配比例,MATCH("升星次数",坦克属性分配比例标头,0),FALSE)*VLOOKUP($BJ146,$AR$3:$AY$33,MATCH("换弹时间",$AR$3:$AY$3,0),FALSE),2))</f>
        <v>2.0699999999999998</v>
      </c>
      <c r="BW146" s="2">
        <f>IF(VLOOKUP(BJ146,坦克个性化设定!$B$18:$BC$48,MATCH("装弹类型",坦克个性化设定!$B$18:$BC$18,0),FALSE)="弹夹换弹",ROUND(VLOOKUP($BJ146,$AI$3:$AO$33,MATCH("换弹时间",$AI$3:$AO$3,0),FALSE)-$BL146/VLOOKUP(VLOOKUP($BJ146,坦克个性化设定!$B$18:$E$48,4,FALSE)&amp;$BK146,坦克属性分配比例,MATCH("升星次数",坦克属性分配比例标头,0),FALSE)*VLOOKUP($BJ146,$AR$3:$AY$33,MATCH("换弹时间",$AR$3:$AY$3,0),FALSE),1),0)</f>
        <v>0</v>
      </c>
      <c r="BX146" s="2">
        <f>ROUND(VLOOKUP($BJ146,$AI$3:$AO$33,MATCH(BX$3,$AI$3:$AO$3,0),FALSE)+$BL146/VLOOKUP(VLOOKUP($BJ146,坦克个性化设定!$B$18:$E$48,4,FALSE)&amp;$BK146,坦克属性分配比例,MATCH("升星次数",坦克属性分配比例标头,0),FALSE)*VLOOKUP($BJ146,$AR$3:$AY$33,MATCH(BX$3,$AR$3:$AY$3,0),FALSE),2)</f>
        <v>0.4</v>
      </c>
      <c r="BY146" s="2">
        <f>ROUND(VLOOKUP($BJ146,$AI$3:$AO$33,MATCH(BY$3,$AI$3:$AO$3,0),FALSE)-$BL146/VLOOKUP(VLOOKUP($BJ146,坦克个性化设定!$B$18:$E$48,4,FALSE)&amp;$BK146,坦克属性分配比例,MATCH("升星次数",坦克属性分配比例标头,0),FALSE)*VLOOKUP($BJ146,$AR$3:$AY$33,MATCH(BY$3,$AR$3:$AY$3,0),FALSE),2)</f>
        <v>1.19</v>
      </c>
    </row>
    <row r="147" spans="60:77" x14ac:dyDescent="0.3">
      <c r="BH147" s="2" t="str">
        <f t="shared" si="27"/>
        <v>谢尔曼9</v>
      </c>
      <c r="BI147" s="2">
        <f>IF(BL146&gt;=VLOOKUP(VLOOKUP(BJ146,坦克个性化设定!$B$18:$E$48,4,FALSE)&amp;BK146,坦克属性分配比例,MATCH("升星次数",坦克属性分配比例标头,0),FALSE),BI146+1,BI146)</f>
        <v>15</v>
      </c>
      <c r="BJ147" s="2" t="str">
        <f t="shared" si="28"/>
        <v>谢尔曼</v>
      </c>
      <c r="BK147" s="29" t="str">
        <f>VLOOKUP(BJ147,坦克个性化细分!$I$3:$J$33,2,FALSE)</f>
        <v>中</v>
      </c>
      <c r="BL147" s="2">
        <f t="shared" si="26"/>
        <v>9</v>
      </c>
      <c r="BM147" s="103">
        <f ca="1">ROUND(VLOOKUP($BJ147&amp;"初始",$S$3:$AE$63,MATCH(BM$3,$S$3:$AE$3,0),FALSE)+((VLOOKUP($BJ147&amp;"最终",$S$3:$AE$63,MATCH(BM$3,$S$3:$AE$3,0),FALSE)*坦克个性化细分!$C$9-VLOOKUP($BJ147&amp;"初始",$S$3:$AE$63,MATCH(BM$3,$S$3:$AE$3,0),FALSE))-(VLOOKUP($BJ147&amp;"最终",$S$3:$AE$63,MATCH(BM$3,$S$3:$AE$3,0),FALSE)-VLOOKUP($BJ147&amp;"初始",$S$3:$AE$63,MATCH(BM$3,$S$3:$AE$3,0),FALSE))*VLOOKUP(VLOOKUP($BJ147,坦克个性化设定!$B$18:$E$48,4,FALSE)&amp;$BK147,坦克属性分配比例,MATCH("部件比例",坦克属性分配比例标头,0),FALSE))*$BL147/VLOOKUP(VLOOKUP($BJ147,坦克个性化设定!$B$18:$E$48,4,FALSE)&amp;$BK147,坦克属性分配比例,MATCH("升星次数",坦克属性分配比例标头,0),FALSE),0)</f>
        <v>1914</v>
      </c>
      <c r="BN147" s="103">
        <f ca="1">ROUND(VLOOKUP($BJ147&amp;"初始",$S$3:$AE$63,MATCH(BN$3,$S$3:$AE$3,0),FALSE)+(VLOOKUP($BJ147&amp;"最终",$S$3:$AE$63,MATCH(BN$3,$S$3:$AE$3,0),FALSE)-VLOOKUP($BJ147&amp;"初始",$S$3:$AE$63,MATCH(BN$3,$S$3:$AE$3,0),FALSE))*$BL147/VLOOKUP(VLOOKUP($BJ147,坦克个性化设定!$B$18:$E$48,4,FALSE)&amp;$BK147,坦克属性分配比例,MATCH("升星次数",坦克属性分配比例标头,0),FALSE)*VLOOKUP(VLOOKUP($BJ147,坦克个性化设定!$B$18:$E$48,4,FALSE)&amp;$BK147,坦克属性分配比例,MATCH("升星比例",坦克属性分配比例标头,0),FALSE),0)</f>
        <v>229</v>
      </c>
      <c r="BO147" s="103">
        <f ca="1">ROUND(VLOOKUP($BJ147&amp;"初始",$S$3:$AE$63,MATCH(BO$3,$S$3:$AE$3,0),FALSE)+(VLOOKUP($BJ147&amp;"最终",$S$3:$AE$63,MATCH(BO$3,$S$3:$AE$3,0),FALSE)-VLOOKUP($BJ147&amp;"初始",$S$3:$AE$63,MATCH(BO$3,$S$3:$AE$3,0),FALSE))*$BL147/VLOOKUP(VLOOKUP($BJ147,坦克个性化设定!$B$18:$E$48,4,FALSE)&amp;$BK147,坦克属性分配比例,MATCH("升星次数",坦克属性分配比例标头,0),FALSE)*(VLOOKUP(VLOOKUP($BJ147,坦克个性化设定!$B$18:$E$48,4,FALSE)&amp;$BK147,坦克属性分配比例,MATCH("升星比例",坦克属性分配比例标头,0),FALSE)+VLOOKUP(VLOOKUP($BJ147,坦克个性化设定!$B$18:$E$48,4,FALSE)&amp;$BK147,坦克属性分配比例,MATCH("部件比例",坦克属性分配比例标头,0),FALSE)*$C$3),0)</f>
        <v>710</v>
      </c>
      <c r="BP147" s="103">
        <f ca="1">ROUND(VLOOKUP($BJ147&amp;"初始",$S$3:$AE$63,MATCH(BP$3,$S$3:$AE$3,0),FALSE)+(VLOOKUP($BJ147&amp;"最终",$S$3:$AE$63,MATCH(BP$3,$S$3:$AE$3,0),FALSE)-VLOOKUP($BJ147&amp;"初始",$S$3:$AE$63,MATCH(BP$3,$S$3:$AE$3,0),FALSE))*$BL147/VLOOKUP(VLOOKUP($BJ147,坦克个性化设定!$B$18:$E$48,4,FALSE)&amp;$BK147,坦克属性分配比例,MATCH("升星次数",坦克属性分配比例标头,0),FALSE)*(VLOOKUP(VLOOKUP($BJ147,坦克个性化设定!$B$18:$E$48,4,FALSE)&amp;$BK147,坦克属性分配比例,MATCH("升星比例",坦克属性分配比例标头,0),FALSE)+VLOOKUP(VLOOKUP($BJ147,坦克个性化设定!$B$18:$E$48,4,FALSE)&amp;$BK147,坦克属性分配比例,MATCH("部件比例",坦克属性分配比例标头,0),FALSE)*$C$3),0)</f>
        <v>320</v>
      </c>
      <c r="BQ147" s="103">
        <f ca="1">ROUND(VLOOKUP($BJ147&amp;"初始",$S$3:$AE$63,MATCH(BQ$3,$S$3:$AE$3,0),FALSE)+(VLOOKUP($BJ147&amp;"最终",$S$3:$AE$63,MATCH(BQ$3,$S$3:$AE$3,0),FALSE)-VLOOKUP($BJ147&amp;"初始",$S$3:$AE$63,MATCH(BQ$3,$S$3:$AE$3,0),FALSE))*$BL147/VLOOKUP(VLOOKUP($BJ147,坦克个性化设定!$B$18:$E$48,4,FALSE)&amp;$BK147,坦克属性分配比例,MATCH("升星次数",坦克属性分配比例标头,0),FALSE)*VLOOKUP(VLOOKUP($BJ147,坦克个性化设定!$B$18:$E$48,4,FALSE)&amp;$BK147,坦克属性分配比例,MATCH("升星比例",坦克属性分配比例标头,0),FALSE),0)</f>
        <v>714</v>
      </c>
      <c r="BR147" s="2">
        <f ca="1">ROUND(VLOOKUP($BJ147&amp;"初始",$S$3:$AE$63,MATCH(BR$3,$S$3:$AE$3,0),FALSE)+(VLOOKUP($BJ147&amp;"最终",$S$3:$AE$63,MATCH(BR$3,$S$3:$AE$3,0),FALSE)-VLOOKUP($BJ147&amp;"初始",$S$3:$AE$63,MATCH(BR$3,$S$3:$AE$3,0),FALSE))*$BL147/VLOOKUP(VLOOKUP($BJ147,坦克个性化设定!$B$18:$E$48,4,FALSE)&amp;$BK147,坦克属性分配比例,MATCH("升星次数",坦克属性分配比例标头,0),FALSE),0)</f>
        <v>192</v>
      </c>
      <c r="BS147" s="2">
        <f>ROUND(VLOOKUP($BJ147,$AI$3:$AO$33,MATCH(BS$3,$AI$3:$AO$3,0),FALSE)+$BL147/VLOOKUP(VLOOKUP($BJ147,坦克个性化设定!$B$18:$E$48,4,FALSE)&amp;$BK147,坦克属性分配比例,MATCH("升星次数",坦克属性分配比例标头,0),FALSE)*VLOOKUP($BJ147,$AR$3:$AY$33,MATCH(BS$3,$AR$3:$AY$3,0),FALSE),1)</f>
        <v>45.4</v>
      </c>
      <c r="BT147" s="2">
        <f>ROUND(VLOOKUP($BJ147,$AI$3:$AO$33,MATCH(BT$3,$AI$3:$AO$3,0),FALSE)+$BL147/VLOOKUP(VLOOKUP($BJ147,坦克个性化设定!$B$18:$E$48,4,FALSE)&amp;$BK147,坦克属性分配比例,MATCH("升星次数",坦克属性分配比例标头,0),FALSE)*VLOOKUP($BJ147,$AR$3:$AY$33,MATCH(BT$3,$AR$3:$AY$3,0),FALSE),1)</f>
        <v>63.8</v>
      </c>
      <c r="BU147" s="2">
        <f>ROUND(VLOOKUP($BJ147,$AI$3:$AO$33,MATCH(BU$3,$AI$3:$AO$3,0),FALSE)+$BL147/VLOOKUP(VLOOKUP($BJ147,坦克个性化设定!$B$18:$E$48,4,FALSE)&amp;$BK147,坦克属性分配比例,MATCH("升星次数",坦克属性分配比例标头,0),FALSE)*VLOOKUP($BJ147,$AR$3:$AY$33,MATCH(BU$3,$AR$3:$AY$3,0),FALSE),1)</f>
        <v>7.3</v>
      </c>
      <c r="BV147" s="2">
        <f>IF(VLOOKUP(BJ147,坦克个性化设定!$B$18:$BC$48,MATCH("装弹类型",坦克个性化设定!$B$18:$BC$18,0),FALSE)="弹夹换弹",0,ROUND(VLOOKUP($BJ147,$AI$3:$AO$33,MATCH("换弹时间",$AI$3:$AO$3,0),FALSE)-$BL147/VLOOKUP(VLOOKUP($BJ147,坦克个性化设定!$B$18:$E$48,4,FALSE)&amp;$BK147,坦克属性分配比例,MATCH("升星次数",坦克属性分配比例标头,0),FALSE)*VLOOKUP($BJ147,$AR$3:$AY$33,MATCH("换弹时间",$AR$3:$AY$3,0),FALSE),2))</f>
        <v>2.02</v>
      </c>
      <c r="BW147" s="2">
        <f>IF(VLOOKUP(BJ147,坦克个性化设定!$B$18:$BC$48,MATCH("装弹类型",坦克个性化设定!$B$18:$BC$18,0),FALSE)="弹夹换弹",ROUND(VLOOKUP($BJ147,$AI$3:$AO$33,MATCH("换弹时间",$AI$3:$AO$3,0),FALSE)-$BL147/VLOOKUP(VLOOKUP($BJ147,坦克个性化设定!$B$18:$E$48,4,FALSE)&amp;$BK147,坦克属性分配比例,MATCH("升星次数",坦克属性分配比例标头,0),FALSE)*VLOOKUP($BJ147,$AR$3:$AY$33,MATCH("换弹时间",$AR$3:$AY$3,0),FALSE),1),0)</f>
        <v>0</v>
      </c>
      <c r="BX147" s="2">
        <f>ROUND(VLOOKUP($BJ147,$AI$3:$AO$33,MATCH(BX$3,$AI$3:$AO$3,0),FALSE)+$BL147/VLOOKUP(VLOOKUP($BJ147,坦克个性化设定!$B$18:$E$48,4,FALSE)&amp;$BK147,坦克属性分配比例,MATCH("升星次数",坦克属性分配比例标头,0),FALSE)*VLOOKUP($BJ147,$AR$3:$AY$33,MATCH(BX$3,$AR$3:$AY$3,0),FALSE),2)</f>
        <v>0.4</v>
      </c>
      <c r="BY147" s="2">
        <f>ROUND(VLOOKUP($BJ147,$AI$3:$AO$33,MATCH(BY$3,$AI$3:$AO$3,0),FALSE)-$BL147/VLOOKUP(VLOOKUP($BJ147,坦克个性化设定!$B$18:$E$48,4,FALSE)&amp;$BK147,坦克属性分配比例,MATCH("升星次数",坦克属性分配比例标头,0),FALSE)*VLOOKUP($BJ147,$AR$3:$AY$33,MATCH(BY$3,$AR$3:$AY$3,0),FALSE),2)</f>
        <v>1.17</v>
      </c>
    </row>
    <row r="148" spans="60:77" x14ac:dyDescent="0.3">
      <c r="BH148" s="2" t="str">
        <f t="shared" si="27"/>
        <v>彗星0</v>
      </c>
      <c r="BI148" s="2">
        <f>IF(BL147&gt;=VLOOKUP(VLOOKUP(BJ147,坦克个性化设定!$B$18:$E$48,4,FALSE)&amp;BK147,坦克属性分配比例,MATCH("升星次数",坦克属性分配比例标头,0),FALSE),BI147+1,BI147)</f>
        <v>16</v>
      </c>
      <c r="BJ148" s="2" t="str">
        <f t="shared" si="28"/>
        <v>彗星</v>
      </c>
      <c r="BK148" s="29" t="str">
        <f>VLOOKUP(BJ148,坦克个性化细分!$I$3:$J$33,2,FALSE)</f>
        <v>高</v>
      </c>
      <c r="BL148" s="2">
        <f t="shared" si="26"/>
        <v>0</v>
      </c>
      <c r="BM148" s="103">
        <f ca="1">ROUND(VLOOKUP($BJ148&amp;"初始",$S$3:$AE$63,MATCH(BM$3,$S$3:$AE$3,0),FALSE)+((VLOOKUP($BJ148&amp;"最终",$S$3:$AE$63,MATCH(BM$3,$S$3:$AE$3,0),FALSE)*坦克个性化细分!$C$9-VLOOKUP($BJ148&amp;"初始",$S$3:$AE$63,MATCH(BM$3,$S$3:$AE$3,0),FALSE))-(VLOOKUP($BJ148&amp;"最终",$S$3:$AE$63,MATCH(BM$3,$S$3:$AE$3,0),FALSE)-VLOOKUP($BJ148&amp;"初始",$S$3:$AE$63,MATCH(BM$3,$S$3:$AE$3,0),FALSE))*VLOOKUP(VLOOKUP($BJ148,坦克个性化设定!$B$18:$E$48,4,FALSE)&amp;$BK148,坦克属性分配比例,MATCH("部件比例",坦克属性分配比例标头,0),FALSE))*$BL148/VLOOKUP(VLOOKUP($BJ148,坦克个性化设定!$B$18:$E$48,4,FALSE)&amp;$BK148,坦克属性分配比例,MATCH("升星次数",坦克属性分配比例标头,0),FALSE),0)</f>
        <v>1305</v>
      </c>
      <c r="BN148" s="103">
        <f ca="1">ROUND(VLOOKUP($BJ148&amp;"初始",$S$3:$AE$63,MATCH(BN$3,$S$3:$AE$3,0),FALSE)+(VLOOKUP($BJ148&amp;"最终",$S$3:$AE$63,MATCH(BN$3,$S$3:$AE$3,0),FALSE)-VLOOKUP($BJ148&amp;"初始",$S$3:$AE$63,MATCH(BN$3,$S$3:$AE$3,0),FALSE))*$BL148/VLOOKUP(VLOOKUP($BJ148,坦克个性化设定!$B$18:$E$48,4,FALSE)&amp;$BK148,坦克属性分配比例,MATCH("升星次数",坦克属性分配比例标头,0),FALSE)*VLOOKUP(VLOOKUP($BJ148,坦克个性化设定!$B$18:$E$48,4,FALSE)&amp;$BK148,坦克属性分配比例,MATCH("升星比例",坦克属性分配比例标头,0),FALSE),0)</f>
        <v>178</v>
      </c>
      <c r="BO148" s="103">
        <f ca="1">ROUND(VLOOKUP($BJ148&amp;"初始",$S$3:$AE$63,MATCH(BO$3,$S$3:$AE$3,0),FALSE)+(VLOOKUP($BJ148&amp;"最终",$S$3:$AE$63,MATCH(BO$3,$S$3:$AE$3,0),FALSE)-VLOOKUP($BJ148&amp;"初始",$S$3:$AE$63,MATCH(BO$3,$S$3:$AE$3,0),FALSE))*$BL148/VLOOKUP(VLOOKUP($BJ148,坦克个性化设定!$B$18:$E$48,4,FALSE)&amp;$BK148,坦克属性分配比例,MATCH("升星次数",坦克属性分配比例标头,0),FALSE)*(VLOOKUP(VLOOKUP($BJ148,坦克个性化设定!$B$18:$E$48,4,FALSE)&amp;$BK148,坦克属性分配比例,MATCH("升星比例",坦克属性分配比例标头,0),FALSE)+VLOOKUP(VLOOKUP($BJ148,坦克个性化设定!$B$18:$E$48,4,FALSE)&amp;$BK148,坦克属性分配比例,MATCH("部件比例",坦克属性分配比例标头,0),FALSE)*$C$3),0)</f>
        <v>506</v>
      </c>
      <c r="BP148" s="103">
        <f ca="1">ROUND(VLOOKUP($BJ148&amp;"初始",$S$3:$AE$63,MATCH(BP$3,$S$3:$AE$3,0),FALSE)+(VLOOKUP($BJ148&amp;"最终",$S$3:$AE$63,MATCH(BP$3,$S$3:$AE$3,0),FALSE)-VLOOKUP($BJ148&amp;"初始",$S$3:$AE$63,MATCH(BP$3,$S$3:$AE$3,0),FALSE))*$BL148/VLOOKUP(VLOOKUP($BJ148,坦克个性化设定!$B$18:$E$48,4,FALSE)&amp;$BK148,坦克属性分配比例,MATCH("升星次数",坦克属性分配比例标头,0),FALSE)*(VLOOKUP(VLOOKUP($BJ148,坦克个性化设定!$B$18:$E$48,4,FALSE)&amp;$BK148,坦克属性分配比例,MATCH("升星比例",坦克属性分配比例标头,0),FALSE)+VLOOKUP(VLOOKUP($BJ148,坦克个性化设定!$B$18:$E$48,4,FALSE)&amp;$BK148,坦克属性分配比例,MATCH("部件比例",坦克属性分配比例标头,0),FALSE)*$C$3),0)</f>
        <v>228</v>
      </c>
      <c r="BQ148" s="103">
        <f ca="1">ROUND(VLOOKUP($BJ148&amp;"初始",$S$3:$AE$63,MATCH(BQ$3,$S$3:$AE$3,0),FALSE)+(VLOOKUP($BJ148&amp;"最终",$S$3:$AE$63,MATCH(BQ$3,$S$3:$AE$3,0),FALSE)-VLOOKUP($BJ148&amp;"初始",$S$3:$AE$63,MATCH(BQ$3,$S$3:$AE$3,0),FALSE))*$BL148/VLOOKUP(VLOOKUP($BJ148,坦克个性化设定!$B$18:$E$48,4,FALSE)&amp;$BK148,坦克属性分配比例,MATCH("升星次数",坦克属性分配比例标头,0),FALSE)*VLOOKUP(VLOOKUP($BJ148,坦克个性化设定!$B$18:$E$48,4,FALSE)&amp;$BK148,坦克属性分配比例,MATCH("升星比例",坦克属性分配比例标头,0),FALSE),0)</f>
        <v>554</v>
      </c>
      <c r="BR148" s="2">
        <f ca="1">ROUND(VLOOKUP($BJ148&amp;"初始",$S$3:$AE$63,MATCH(BR$3,$S$3:$AE$3,0),FALSE)+(VLOOKUP($BJ148&amp;"最终",$S$3:$AE$63,MATCH(BR$3,$S$3:$AE$3,0),FALSE)-VLOOKUP($BJ148&amp;"初始",$S$3:$AE$63,MATCH(BR$3,$S$3:$AE$3,0),FALSE))*$BL148/VLOOKUP(VLOOKUP($BJ148,坦克个性化设定!$B$18:$E$48,4,FALSE)&amp;$BK148,坦克属性分配比例,MATCH("升星次数",坦克属性分配比例标头,0),FALSE),0)</f>
        <v>130</v>
      </c>
      <c r="BS148" s="2">
        <f>ROUND(VLOOKUP($BJ148,$AI$3:$AO$33,MATCH(BS$3,$AI$3:$AO$3,0),FALSE)+$BL148/VLOOKUP(VLOOKUP($BJ148,坦克个性化设定!$B$18:$E$48,4,FALSE)&amp;$BK148,坦克属性分配比例,MATCH("升星次数",坦克属性分配比例标头,0),FALSE)*VLOOKUP($BJ148,$AR$3:$AY$33,MATCH(BS$3,$AR$3:$AY$3,0),FALSE),1)</f>
        <v>37.4</v>
      </c>
      <c r="BT148" s="2">
        <f>ROUND(VLOOKUP($BJ148,$AI$3:$AO$33,MATCH(BT$3,$AI$3:$AO$3,0),FALSE)+$BL148/VLOOKUP(VLOOKUP($BJ148,坦克个性化设定!$B$18:$E$48,4,FALSE)&amp;$BK148,坦克属性分配比例,MATCH("升星次数",坦克属性分配比例标头,0),FALSE)*VLOOKUP($BJ148,$AR$3:$AY$33,MATCH(BT$3,$AR$3:$AY$3,0),FALSE),1)</f>
        <v>52.5</v>
      </c>
      <c r="BU148" s="2">
        <f>ROUND(VLOOKUP($BJ148,$AI$3:$AO$33,MATCH(BU$3,$AI$3:$AO$3,0),FALSE)+$BL148/VLOOKUP(VLOOKUP($BJ148,坦克个性化设定!$B$18:$E$48,4,FALSE)&amp;$BK148,坦克属性分配比例,MATCH("升星次数",坦克属性分配比例标头,0),FALSE)*VLOOKUP($BJ148,$AR$3:$AY$33,MATCH(BU$3,$AR$3:$AY$3,0),FALSE),1)</f>
        <v>7.6</v>
      </c>
      <c r="BV148" s="2">
        <f>IF(VLOOKUP(BJ148,坦克个性化设定!$B$18:$BC$48,MATCH("装弹类型",坦克个性化设定!$B$18:$BC$18,0),FALSE)="弹夹换弹",0,ROUND(VLOOKUP($BJ148,$AI$3:$AO$33,MATCH("换弹时间",$AI$3:$AO$3,0),FALSE)-$BL148/VLOOKUP(VLOOKUP($BJ148,坦克个性化设定!$B$18:$E$48,4,FALSE)&amp;$BK148,坦克属性分配比例,MATCH("升星次数",坦克属性分配比例标头,0),FALSE)*VLOOKUP($BJ148,$AR$3:$AY$33,MATCH("换弹时间",$AR$3:$AY$3,0),FALSE),2))</f>
        <v>3</v>
      </c>
      <c r="BW148" s="2">
        <f>IF(VLOOKUP(BJ148,坦克个性化设定!$B$18:$BC$48,MATCH("装弹类型",坦克个性化设定!$B$18:$BC$18,0),FALSE)="弹夹换弹",ROUND(VLOOKUP($BJ148,$AI$3:$AO$33,MATCH("换弹时间",$AI$3:$AO$3,0),FALSE)-$BL148/VLOOKUP(VLOOKUP($BJ148,坦克个性化设定!$B$18:$E$48,4,FALSE)&amp;$BK148,坦克属性分配比例,MATCH("升星次数",坦克属性分配比例标头,0),FALSE)*VLOOKUP($BJ148,$AR$3:$AY$33,MATCH("换弹时间",$AR$3:$AY$3,0),FALSE),1),0)</f>
        <v>0</v>
      </c>
      <c r="BX148" s="2">
        <f>ROUND(VLOOKUP($BJ148,$AI$3:$AO$33,MATCH(BX$3,$AI$3:$AO$3,0),FALSE)+$BL148/VLOOKUP(VLOOKUP($BJ148,坦克个性化设定!$B$18:$E$48,4,FALSE)&amp;$BK148,坦克属性分配比例,MATCH("升星次数",坦克属性分配比例标头,0),FALSE)*VLOOKUP($BJ148,$AR$3:$AY$33,MATCH(BX$3,$AR$3:$AY$3,0),FALSE),2)</f>
        <v>0.4</v>
      </c>
      <c r="BY148" s="2">
        <f>ROUND(VLOOKUP($BJ148,$AI$3:$AO$33,MATCH(BY$3,$AI$3:$AO$3,0),FALSE)-$BL148/VLOOKUP(VLOOKUP($BJ148,坦克个性化设定!$B$18:$E$48,4,FALSE)&amp;$BK148,坦克属性分配比例,MATCH("升星次数",坦克属性分配比例标头,0),FALSE)*VLOOKUP($BJ148,$AR$3:$AY$33,MATCH(BY$3,$AR$3:$AY$3,0),FALSE),2)</f>
        <v>1.1499999999999999</v>
      </c>
    </row>
    <row r="149" spans="60:77" x14ac:dyDescent="0.3">
      <c r="BH149" s="2" t="str">
        <f t="shared" si="27"/>
        <v>彗星1</v>
      </c>
      <c r="BI149" s="2">
        <f>IF(BL148&gt;=VLOOKUP(VLOOKUP(BJ148,坦克个性化设定!$B$18:$E$48,4,FALSE)&amp;BK148,坦克属性分配比例,MATCH("升星次数",坦克属性分配比例标头,0),FALSE),BI148+1,BI148)</f>
        <v>16</v>
      </c>
      <c r="BJ149" s="2" t="str">
        <f t="shared" si="28"/>
        <v>彗星</v>
      </c>
      <c r="BK149" s="29" t="str">
        <f>VLOOKUP(BJ149,坦克个性化细分!$I$3:$J$33,2,FALSE)</f>
        <v>高</v>
      </c>
      <c r="BL149" s="2">
        <f t="shared" si="26"/>
        <v>1</v>
      </c>
      <c r="BM149" s="103">
        <f ca="1">ROUND(VLOOKUP($BJ149&amp;"初始",$S$3:$AE$63,MATCH(BM$3,$S$3:$AE$3,0),FALSE)+((VLOOKUP($BJ149&amp;"最终",$S$3:$AE$63,MATCH(BM$3,$S$3:$AE$3,0),FALSE)*坦克个性化细分!$C$9-VLOOKUP($BJ149&amp;"初始",$S$3:$AE$63,MATCH(BM$3,$S$3:$AE$3,0),FALSE))-(VLOOKUP($BJ149&amp;"最终",$S$3:$AE$63,MATCH(BM$3,$S$3:$AE$3,0),FALSE)-VLOOKUP($BJ149&amp;"初始",$S$3:$AE$63,MATCH(BM$3,$S$3:$AE$3,0),FALSE))*VLOOKUP(VLOOKUP($BJ149,坦克个性化设定!$B$18:$E$48,4,FALSE)&amp;$BK149,坦克属性分配比例,MATCH("部件比例",坦克属性分配比例标头,0),FALSE))*$BL149/VLOOKUP(VLOOKUP($BJ149,坦克个性化设定!$B$18:$E$48,4,FALSE)&amp;$BK149,坦克属性分配比例,MATCH("升星次数",坦克属性分配比例标头,0),FALSE),0)</f>
        <v>1379</v>
      </c>
      <c r="BN149" s="103">
        <f ca="1">ROUND(VLOOKUP($BJ149&amp;"初始",$S$3:$AE$63,MATCH(BN$3,$S$3:$AE$3,0),FALSE)+(VLOOKUP($BJ149&amp;"最终",$S$3:$AE$63,MATCH(BN$3,$S$3:$AE$3,0),FALSE)-VLOOKUP($BJ149&amp;"初始",$S$3:$AE$63,MATCH(BN$3,$S$3:$AE$3,0),FALSE))*$BL149/VLOOKUP(VLOOKUP($BJ149,坦克个性化设定!$B$18:$E$48,4,FALSE)&amp;$BK149,坦克属性分配比例,MATCH("升星次数",坦克属性分配比例标头,0),FALSE)*VLOOKUP(VLOOKUP($BJ149,坦克个性化设定!$B$18:$E$48,4,FALSE)&amp;$BK149,坦克属性分配比例,MATCH("升星比例",坦克属性分配比例标头,0),FALSE),0)</f>
        <v>184</v>
      </c>
      <c r="BO149" s="103">
        <f ca="1">ROUND(VLOOKUP($BJ149&amp;"初始",$S$3:$AE$63,MATCH(BO$3,$S$3:$AE$3,0),FALSE)+(VLOOKUP($BJ149&amp;"最终",$S$3:$AE$63,MATCH(BO$3,$S$3:$AE$3,0),FALSE)-VLOOKUP($BJ149&amp;"初始",$S$3:$AE$63,MATCH(BO$3,$S$3:$AE$3,0),FALSE))*$BL149/VLOOKUP(VLOOKUP($BJ149,坦克个性化设定!$B$18:$E$48,4,FALSE)&amp;$BK149,坦克属性分配比例,MATCH("升星次数",坦克属性分配比例标头,0),FALSE)*(VLOOKUP(VLOOKUP($BJ149,坦克个性化设定!$B$18:$E$48,4,FALSE)&amp;$BK149,坦克属性分配比例,MATCH("升星比例",坦克属性分配比例标头,0),FALSE)+VLOOKUP(VLOOKUP($BJ149,坦克个性化设定!$B$18:$E$48,4,FALSE)&amp;$BK149,坦克属性分配比例,MATCH("部件比例",坦克属性分配比例标头,0),FALSE)*$C$3),0)</f>
        <v>530</v>
      </c>
      <c r="BP149" s="103">
        <f ca="1">ROUND(VLOOKUP($BJ149&amp;"初始",$S$3:$AE$63,MATCH(BP$3,$S$3:$AE$3,0),FALSE)+(VLOOKUP($BJ149&amp;"最终",$S$3:$AE$63,MATCH(BP$3,$S$3:$AE$3,0),FALSE)-VLOOKUP($BJ149&amp;"初始",$S$3:$AE$63,MATCH(BP$3,$S$3:$AE$3,0),FALSE))*$BL149/VLOOKUP(VLOOKUP($BJ149,坦克个性化设定!$B$18:$E$48,4,FALSE)&amp;$BK149,坦克属性分配比例,MATCH("升星次数",坦克属性分配比例标头,0),FALSE)*(VLOOKUP(VLOOKUP($BJ149,坦克个性化设定!$B$18:$E$48,4,FALSE)&amp;$BK149,坦克属性分配比例,MATCH("升星比例",坦克属性分配比例标头,0),FALSE)+VLOOKUP(VLOOKUP($BJ149,坦克个性化设定!$B$18:$E$48,4,FALSE)&amp;$BK149,坦克属性分配比例,MATCH("部件比例",坦克属性分配比例标头,0),FALSE)*$C$3),0)</f>
        <v>239</v>
      </c>
      <c r="BQ149" s="103">
        <f ca="1">ROUND(VLOOKUP($BJ149&amp;"初始",$S$3:$AE$63,MATCH(BQ$3,$S$3:$AE$3,0),FALSE)+(VLOOKUP($BJ149&amp;"最终",$S$3:$AE$63,MATCH(BQ$3,$S$3:$AE$3,0),FALSE)-VLOOKUP($BJ149&amp;"初始",$S$3:$AE$63,MATCH(BQ$3,$S$3:$AE$3,0),FALSE))*$BL149/VLOOKUP(VLOOKUP($BJ149,坦克个性化设定!$B$18:$E$48,4,FALSE)&amp;$BK149,坦克属性分配比例,MATCH("升星次数",坦克属性分配比例标头,0),FALSE)*VLOOKUP(VLOOKUP($BJ149,坦克个性化设定!$B$18:$E$48,4,FALSE)&amp;$BK149,坦克属性分配比例,MATCH("升星比例",坦克属性分配比例标头,0),FALSE),0)</f>
        <v>573</v>
      </c>
      <c r="BR149" s="2">
        <f ca="1">ROUND(VLOOKUP($BJ149&amp;"初始",$S$3:$AE$63,MATCH(BR$3,$S$3:$AE$3,0),FALSE)+(VLOOKUP($BJ149&amp;"最终",$S$3:$AE$63,MATCH(BR$3,$S$3:$AE$3,0),FALSE)-VLOOKUP($BJ149&amp;"初始",$S$3:$AE$63,MATCH(BR$3,$S$3:$AE$3,0),FALSE))*$BL149/VLOOKUP(VLOOKUP($BJ149,坦克个性化设定!$B$18:$E$48,4,FALSE)&amp;$BK149,坦克属性分配比例,MATCH("升星次数",坦克属性分配比例标头,0),FALSE),0)</f>
        <v>137</v>
      </c>
      <c r="BS149" s="2">
        <f>ROUND(VLOOKUP($BJ149,$AI$3:$AO$33,MATCH(BS$3,$AI$3:$AO$3,0),FALSE)+$BL149/VLOOKUP(VLOOKUP($BJ149,坦克个性化设定!$B$18:$E$48,4,FALSE)&amp;$BK149,坦克属性分配比例,MATCH("升星次数",坦克属性分配比例标头,0),FALSE)*VLOOKUP($BJ149,$AR$3:$AY$33,MATCH(BS$3,$AR$3:$AY$3,0),FALSE),1)</f>
        <v>38.4</v>
      </c>
      <c r="BT149" s="2">
        <f>ROUND(VLOOKUP($BJ149,$AI$3:$AO$33,MATCH(BT$3,$AI$3:$AO$3,0),FALSE)+$BL149/VLOOKUP(VLOOKUP($BJ149,坦克个性化设定!$B$18:$E$48,4,FALSE)&amp;$BK149,坦克属性分配比例,MATCH("升星次数",坦克属性分配比例标头,0),FALSE)*VLOOKUP($BJ149,$AR$3:$AY$33,MATCH(BT$3,$AR$3:$AY$3,0),FALSE),1)</f>
        <v>54</v>
      </c>
      <c r="BU149" s="2">
        <f>ROUND(VLOOKUP($BJ149,$AI$3:$AO$33,MATCH(BU$3,$AI$3:$AO$3,0),FALSE)+$BL149/VLOOKUP(VLOOKUP($BJ149,坦克个性化设定!$B$18:$E$48,4,FALSE)&amp;$BK149,坦克属性分配比例,MATCH("升星次数",坦克属性分配比例标头,0),FALSE)*VLOOKUP($BJ149,$AR$3:$AY$33,MATCH(BU$3,$AR$3:$AY$3,0),FALSE),1)</f>
        <v>7.6</v>
      </c>
      <c r="BV149" s="2">
        <f>IF(VLOOKUP(BJ149,坦克个性化设定!$B$18:$BC$48,MATCH("装弹类型",坦克个性化设定!$B$18:$BC$18,0),FALSE)="弹夹换弹",0,ROUND(VLOOKUP($BJ149,$AI$3:$AO$33,MATCH("换弹时间",$AI$3:$AO$3,0),FALSE)-$BL149/VLOOKUP(VLOOKUP($BJ149,坦克个性化设定!$B$18:$E$48,4,FALSE)&amp;$BK149,坦克属性分配比例,MATCH("升星次数",坦克属性分配比例标头,0),FALSE)*VLOOKUP($BJ149,$AR$3:$AY$33,MATCH("换弹时间",$AR$3:$AY$3,0),FALSE),2))</f>
        <v>2.94</v>
      </c>
      <c r="BW149" s="2">
        <f>IF(VLOOKUP(BJ149,坦克个性化设定!$B$18:$BC$48,MATCH("装弹类型",坦克个性化设定!$B$18:$BC$18,0),FALSE)="弹夹换弹",ROUND(VLOOKUP($BJ149,$AI$3:$AO$33,MATCH("换弹时间",$AI$3:$AO$3,0),FALSE)-$BL149/VLOOKUP(VLOOKUP($BJ149,坦克个性化设定!$B$18:$E$48,4,FALSE)&amp;$BK149,坦克属性分配比例,MATCH("升星次数",坦克属性分配比例标头,0),FALSE)*VLOOKUP($BJ149,$AR$3:$AY$33,MATCH("换弹时间",$AR$3:$AY$3,0),FALSE),1),0)</f>
        <v>0</v>
      </c>
      <c r="BX149" s="2">
        <f>ROUND(VLOOKUP($BJ149,$AI$3:$AO$33,MATCH(BX$3,$AI$3:$AO$3,0),FALSE)+$BL149/VLOOKUP(VLOOKUP($BJ149,坦克个性化设定!$B$18:$E$48,4,FALSE)&amp;$BK149,坦克属性分配比例,MATCH("升星次数",坦克属性分配比例标头,0),FALSE)*VLOOKUP($BJ149,$AR$3:$AY$33,MATCH(BX$3,$AR$3:$AY$3,0),FALSE),2)</f>
        <v>0.4</v>
      </c>
      <c r="BY149" s="2">
        <f>ROUND(VLOOKUP($BJ149,$AI$3:$AO$33,MATCH(BY$3,$AI$3:$AO$3,0),FALSE)-$BL149/VLOOKUP(VLOOKUP($BJ149,坦克个性化设定!$B$18:$E$48,4,FALSE)&amp;$BK149,坦克属性分配比例,MATCH("升星次数",坦克属性分配比例标头,0),FALSE)*VLOOKUP($BJ149,$AR$3:$AY$33,MATCH(BY$3,$AR$3:$AY$3,0),FALSE),2)</f>
        <v>1.1299999999999999</v>
      </c>
    </row>
    <row r="150" spans="60:77" x14ac:dyDescent="0.3">
      <c r="BH150" s="2" t="str">
        <f t="shared" si="27"/>
        <v>彗星2</v>
      </c>
      <c r="BI150" s="2">
        <f>IF(BL149&gt;=VLOOKUP(VLOOKUP(BJ149,坦克个性化设定!$B$18:$E$48,4,FALSE)&amp;BK149,坦克属性分配比例,MATCH("升星次数",坦克属性分配比例标头,0),FALSE),BI149+1,BI149)</f>
        <v>16</v>
      </c>
      <c r="BJ150" s="2" t="str">
        <f t="shared" si="28"/>
        <v>彗星</v>
      </c>
      <c r="BK150" s="29" t="str">
        <f>VLOOKUP(BJ150,坦克个性化细分!$I$3:$J$33,2,FALSE)</f>
        <v>高</v>
      </c>
      <c r="BL150" s="2">
        <f t="shared" si="26"/>
        <v>2</v>
      </c>
      <c r="BM150" s="103">
        <f ca="1">ROUND(VLOOKUP($BJ150&amp;"初始",$S$3:$AE$63,MATCH(BM$3,$S$3:$AE$3,0),FALSE)+((VLOOKUP($BJ150&amp;"最终",$S$3:$AE$63,MATCH(BM$3,$S$3:$AE$3,0),FALSE)*坦克个性化细分!$C$9-VLOOKUP($BJ150&amp;"初始",$S$3:$AE$63,MATCH(BM$3,$S$3:$AE$3,0),FALSE))-(VLOOKUP($BJ150&amp;"最终",$S$3:$AE$63,MATCH(BM$3,$S$3:$AE$3,0),FALSE)-VLOOKUP($BJ150&amp;"初始",$S$3:$AE$63,MATCH(BM$3,$S$3:$AE$3,0),FALSE))*VLOOKUP(VLOOKUP($BJ150,坦克个性化设定!$B$18:$E$48,4,FALSE)&amp;$BK150,坦克属性分配比例,MATCH("部件比例",坦克属性分配比例标头,0),FALSE))*$BL150/VLOOKUP(VLOOKUP($BJ150,坦克个性化设定!$B$18:$E$48,4,FALSE)&amp;$BK150,坦克属性分配比例,MATCH("升星次数",坦克属性分配比例标头,0),FALSE),0)</f>
        <v>1453</v>
      </c>
      <c r="BN150" s="103">
        <f ca="1">ROUND(VLOOKUP($BJ150&amp;"初始",$S$3:$AE$63,MATCH(BN$3,$S$3:$AE$3,0),FALSE)+(VLOOKUP($BJ150&amp;"最终",$S$3:$AE$63,MATCH(BN$3,$S$3:$AE$3,0),FALSE)-VLOOKUP($BJ150&amp;"初始",$S$3:$AE$63,MATCH(BN$3,$S$3:$AE$3,0),FALSE))*$BL150/VLOOKUP(VLOOKUP($BJ150,坦克个性化设定!$B$18:$E$48,4,FALSE)&amp;$BK150,坦克属性分配比例,MATCH("升星次数",坦克属性分配比例标头,0),FALSE)*VLOOKUP(VLOOKUP($BJ150,坦克个性化设定!$B$18:$E$48,4,FALSE)&amp;$BK150,坦克属性分配比例,MATCH("升星比例",坦克属性分配比例标头,0),FALSE),0)</f>
        <v>190</v>
      </c>
      <c r="BO150" s="103">
        <f ca="1">ROUND(VLOOKUP($BJ150&amp;"初始",$S$3:$AE$63,MATCH(BO$3,$S$3:$AE$3,0),FALSE)+(VLOOKUP($BJ150&amp;"最终",$S$3:$AE$63,MATCH(BO$3,$S$3:$AE$3,0),FALSE)-VLOOKUP($BJ150&amp;"初始",$S$3:$AE$63,MATCH(BO$3,$S$3:$AE$3,0),FALSE))*$BL150/VLOOKUP(VLOOKUP($BJ150,坦克个性化设定!$B$18:$E$48,4,FALSE)&amp;$BK150,坦克属性分配比例,MATCH("升星次数",坦克属性分配比例标头,0),FALSE)*(VLOOKUP(VLOOKUP($BJ150,坦克个性化设定!$B$18:$E$48,4,FALSE)&amp;$BK150,坦克属性分配比例,MATCH("升星比例",坦克属性分配比例标头,0),FALSE)+VLOOKUP(VLOOKUP($BJ150,坦克个性化设定!$B$18:$E$48,4,FALSE)&amp;$BK150,坦克属性分配比例,MATCH("部件比例",坦克属性分配比例标头,0),FALSE)*$C$3),0)</f>
        <v>555</v>
      </c>
      <c r="BP150" s="103">
        <f ca="1">ROUND(VLOOKUP($BJ150&amp;"初始",$S$3:$AE$63,MATCH(BP$3,$S$3:$AE$3,0),FALSE)+(VLOOKUP($BJ150&amp;"最终",$S$3:$AE$63,MATCH(BP$3,$S$3:$AE$3,0),FALSE)-VLOOKUP($BJ150&amp;"初始",$S$3:$AE$63,MATCH(BP$3,$S$3:$AE$3,0),FALSE))*$BL150/VLOOKUP(VLOOKUP($BJ150,坦克个性化设定!$B$18:$E$48,4,FALSE)&amp;$BK150,坦克属性分配比例,MATCH("升星次数",坦克属性分配比例标头,0),FALSE)*(VLOOKUP(VLOOKUP($BJ150,坦克个性化设定!$B$18:$E$48,4,FALSE)&amp;$BK150,坦克属性分配比例,MATCH("升星比例",坦克属性分配比例标头,0),FALSE)+VLOOKUP(VLOOKUP($BJ150,坦克个性化设定!$B$18:$E$48,4,FALSE)&amp;$BK150,坦克属性分配比例,MATCH("部件比例",坦克属性分配比例标头,0),FALSE)*$C$3),0)</f>
        <v>250</v>
      </c>
      <c r="BQ150" s="103">
        <f ca="1">ROUND(VLOOKUP($BJ150&amp;"初始",$S$3:$AE$63,MATCH(BQ$3,$S$3:$AE$3,0),FALSE)+(VLOOKUP($BJ150&amp;"最终",$S$3:$AE$63,MATCH(BQ$3,$S$3:$AE$3,0),FALSE)-VLOOKUP($BJ150&amp;"初始",$S$3:$AE$63,MATCH(BQ$3,$S$3:$AE$3,0),FALSE))*$BL150/VLOOKUP(VLOOKUP($BJ150,坦克个性化设定!$B$18:$E$48,4,FALSE)&amp;$BK150,坦克属性分配比例,MATCH("升星次数",坦克属性分配比例标头,0),FALSE)*VLOOKUP(VLOOKUP($BJ150,坦克个性化设定!$B$18:$E$48,4,FALSE)&amp;$BK150,坦克属性分配比例,MATCH("升星比例",坦克属性分配比例标头,0),FALSE),0)</f>
        <v>592</v>
      </c>
      <c r="BR150" s="2">
        <f ca="1">ROUND(VLOOKUP($BJ150&amp;"初始",$S$3:$AE$63,MATCH(BR$3,$S$3:$AE$3,0),FALSE)+(VLOOKUP($BJ150&amp;"最终",$S$3:$AE$63,MATCH(BR$3,$S$3:$AE$3,0),FALSE)-VLOOKUP($BJ150&amp;"初始",$S$3:$AE$63,MATCH(BR$3,$S$3:$AE$3,0),FALSE))*$BL150/VLOOKUP(VLOOKUP($BJ150,坦克个性化设定!$B$18:$E$48,4,FALSE)&amp;$BK150,坦克属性分配比例,MATCH("升星次数",坦克属性分配比例标头,0),FALSE),0)</f>
        <v>145</v>
      </c>
      <c r="BS150" s="2">
        <f>ROUND(VLOOKUP($BJ150,$AI$3:$AO$33,MATCH(BS$3,$AI$3:$AO$3,0),FALSE)+$BL150/VLOOKUP(VLOOKUP($BJ150,坦克个性化设定!$B$18:$E$48,4,FALSE)&amp;$BK150,坦克属性分配比例,MATCH("升星次数",坦克属性分配比例标头,0),FALSE)*VLOOKUP($BJ150,$AR$3:$AY$33,MATCH(BS$3,$AR$3:$AY$3,0),FALSE),1)</f>
        <v>39.5</v>
      </c>
      <c r="BT150" s="2">
        <f>ROUND(VLOOKUP($BJ150,$AI$3:$AO$33,MATCH(BT$3,$AI$3:$AO$3,0),FALSE)+$BL150/VLOOKUP(VLOOKUP($BJ150,坦克个性化设定!$B$18:$E$48,4,FALSE)&amp;$BK150,坦克属性分配比例,MATCH("升星次数",坦克属性分配比例标头,0),FALSE)*VLOOKUP($BJ150,$AR$3:$AY$33,MATCH(BT$3,$AR$3:$AY$3,0),FALSE),1)</f>
        <v>55.4</v>
      </c>
      <c r="BU150" s="2">
        <f>ROUND(VLOOKUP($BJ150,$AI$3:$AO$33,MATCH(BU$3,$AI$3:$AO$3,0),FALSE)+$BL150/VLOOKUP(VLOOKUP($BJ150,坦克个性化设定!$B$18:$E$48,4,FALSE)&amp;$BK150,坦克属性分配比例,MATCH("升星次数",坦克属性分配比例标头,0),FALSE)*VLOOKUP($BJ150,$AR$3:$AY$33,MATCH(BU$3,$AR$3:$AY$3,0),FALSE),1)</f>
        <v>7.6</v>
      </c>
      <c r="BV150" s="2">
        <f>IF(VLOOKUP(BJ150,坦克个性化设定!$B$18:$BC$48,MATCH("装弹类型",坦克个性化设定!$B$18:$BC$18,0),FALSE)="弹夹换弹",0,ROUND(VLOOKUP($BJ150,$AI$3:$AO$33,MATCH("换弹时间",$AI$3:$AO$3,0),FALSE)-$BL150/VLOOKUP(VLOOKUP($BJ150,坦克个性化设定!$B$18:$E$48,4,FALSE)&amp;$BK150,坦克属性分配比例,MATCH("升星次数",坦克属性分配比例标头,0),FALSE)*VLOOKUP($BJ150,$AR$3:$AY$33,MATCH("换弹时间",$AR$3:$AY$3,0),FALSE),2))</f>
        <v>2.88</v>
      </c>
      <c r="BW150" s="2">
        <f>IF(VLOOKUP(BJ150,坦克个性化设定!$B$18:$BC$48,MATCH("装弹类型",坦克个性化设定!$B$18:$BC$18,0),FALSE)="弹夹换弹",ROUND(VLOOKUP($BJ150,$AI$3:$AO$33,MATCH("换弹时间",$AI$3:$AO$3,0),FALSE)-$BL150/VLOOKUP(VLOOKUP($BJ150,坦克个性化设定!$B$18:$E$48,4,FALSE)&amp;$BK150,坦克属性分配比例,MATCH("升星次数",坦克属性分配比例标头,0),FALSE)*VLOOKUP($BJ150,$AR$3:$AY$33,MATCH("换弹时间",$AR$3:$AY$3,0),FALSE),1),0)</f>
        <v>0</v>
      </c>
      <c r="BX150" s="2">
        <f>ROUND(VLOOKUP($BJ150,$AI$3:$AO$33,MATCH(BX$3,$AI$3:$AO$3,0),FALSE)+$BL150/VLOOKUP(VLOOKUP($BJ150,坦克个性化设定!$B$18:$E$48,4,FALSE)&amp;$BK150,坦克属性分配比例,MATCH("升星次数",坦克属性分配比例标头,0),FALSE)*VLOOKUP($BJ150,$AR$3:$AY$33,MATCH(BX$3,$AR$3:$AY$3,0),FALSE),2)</f>
        <v>0.4</v>
      </c>
      <c r="BY150" s="2">
        <f>ROUND(VLOOKUP($BJ150,$AI$3:$AO$33,MATCH(BY$3,$AI$3:$AO$3,0),FALSE)-$BL150/VLOOKUP(VLOOKUP($BJ150,坦克个性化设定!$B$18:$E$48,4,FALSE)&amp;$BK150,坦克属性分配比例,MATCH("升星次数",坦克属性分配比例标头,0),FALSE)*VLOOKUP($BJ150,$AR$3:$AY$33,MATCH(BY$3,$AR$3:$AY$3,0),FALSE),2)</f>
        <v>1.1100000000000001</v>
      </c>
    </row>
    <row r="151" spans="60:77" x14ac:dyDescent="0.3">
      <c r="BH151" s="2" t="str">
        <f t="shared" si="27"/>
        <v>彗星3</v>
      </c>
      <c r="BI151" s="2">
        <f>IF(BL150&gt;=VLOOKUP(VLOOKUP(BJ150,坦克个性化设定!$B$18:$E$48,4,FALSE)&amp;BK150,坦克属性分配比例,MATCH("升星次数",坦克属性分配比例标头,0),FALSE),BI150+1,BI150)</f>
        <v>16</v>
      </c>
      <c r="BJ151" s="2" t="str">
        <f t="shared" si="28"/>
        <v>彗星</v>
      </c>
      <c r="BK151" s="29" t="str">
        <f>VLOOKUP(BJ151,坦克个性化细分!$I$3:$J$33,2,FALSE)</f>
        <v>高</v>
      </c>
      <c r="BL151" s="2">
        <f t="shared" si="26"/>
        <v>3</v>
      </c>
      <c r="BM151" s="103">
        <f ca="1">ROUND(VLOOKUP($BJ151&amp;"初始",$S$3:$AE$63,MATCH(BM$3,$S$3:$AE$3,0),FALSE)+((VLOOKUP($BJ151&amp;"最终",$S$3:$AE$63,MATCH(BM$3,$S$3:$AE$3,0),FALSE)*坦克个性化细分!$C$9-VLOOKUP($BJ151&amp;"初始",$S$3:$AE$63,MATCH(BM$3,$S$3:$AE$3,0),FALSE))-(VLOOKUP($BJ151&amp;"最终",$S$3:$AE$63,MATCH(BM$3,$S$3:$AE$3,0),FALSE)-VLOOKUP($BJ151&amp;"初始",$S$3:$AE$63,MATCH(BM$3,$S$3:$AE$3,0),FALSE))*VLOOKUP(VLOOKUP($BJ151,坦克个性化设定!$B$18:$E$48,4,FALSE)&amp;$BK151,坦克属性分配比例,MATCH("部件比例",坦克属性分配比例标头,0),FALSE))*$BL151/VLOOKUP(VLOOKUP($BJ151,坦克个性化设定!$B$18:$E$48,4,FALSE)&amp;$BK151,坦克属性分配比例,MATCH("升星次数",坦克属性分配比例标头,0),FALSE),0)</f>
        <v>1527</v>
      </c>
      <c r="BN151" s="103">
        <f ca="1">ROUND(VLOOKUP($BJ151&amp;"初始",$S$3:$AE$63,MATCH(BN$3,$S$3:$AE$3,0),FALSE)+(VLOOKUP($BJ151&amp;"最终",$S$3:$AE$63,MATCH(BN$3,$S$3:$AE$3,0),FALSE)-VLOOKUP($BJ151&amp;"初始",$S$3:$AE$63,MATCH(BN$3,$S$3:$AE$3,0),FALSE))*$BL151/VLOOKUP(VLOOKUP($BJ151,坦克个性化设定!$B$18:$E$48,4,FALSE)&amp;$BK151,坦克属性分配比例,MATCH("升星次数",坦克属性分配比例标头,0),FALSE)*VLOOKUP(VLOOKUP($BJ151,坦克个性化设定!$B$18:$E$48,4,FALSE)&amp;$BK151,坦克属性分配比例,MATCH("升星比例",坦克属性分配比例标头,0),FALSE),0)</f>
        <v>196</v>
      </c>
      <c r="BO151" s="103">
        <f ca="1">ROUND(VLOOKUP($BJ151&amp;"初始",$S$3:$AE$63,MATCH(BO$3,$S$3:$AE$3,0),FALSE)+(VLOOKUP($BJ151&amp;"最终",$S$3:$AE$63,MATCH(BO$3,$S$3:$AE$3,0),FALSE)-VLOOKUP($BJ151&amp;"初始",$S$3:$AE$63,MATCH(BO$3,$S$3:$AE$3,0),FALSE))*$BL151/VLOOKUP(VLOOKUP($BJ151,坦克个性化设定!$B$18:$E$48,4,FALSE)&amp;$BK151,坦克属性分配比例,MATCH("升星次数",坦克属性分配比例标头,0),FALSE)*(VLOOKUP(VLOOKUP($BJ151,坦克个性化设定!$B$18:$E$48,4,FALSE)&amp;$BK151,坦克属性分配比例,MATCH("升星比例",坦克属性分配比例标头,0),FALSE)+VLOOKUP(VLOOKUP($BJ151,坦克个性化设定!$B$18:$E$48,4,FALSE)&amp;$BK151,坦克属性分配比例,MATCH("部件比例",坦克属性分配比例标头,0),FALSE)*$C$3),0)</f>
        <v>579</v>
      </c>
      <c r="BP151" s="103">
        <f ca="1">ROUND(VLOOKUP($BJ151&amp;"初始",$S$3:$AE$63,MATCH(BP$3,$S$3:$AE$3,0),FALSE)+(VLOOKUP($BJ151&amp;"最终",$S$3:$AE$63,MATCH(BP$3,$S$3:$AE$3,0),FALSE)-VLOOKUP($BJ151&amp;"初始",$S$3:$AE$63,MATCH(BP$3,$S$3:$AE$3,0),FALSE))*$BL151/VLOOKUP(VLOOKUP($BJ151,坦克个性化设定!$B$18:$E$48,4,FALSE)&amp;$BK151,坦克属性分配比例,MATCH("升星次数",坦克属性分配比例标头,0),FALSE)*(VLOOKUP(VLOOKUP($BJ151,坦克个性化设定!$B$18:$E$48,4,FALSE)&amp;$BK151,坦克属性分配比例,MATCH("升星比例",坦克属性分配比例标头,0),FALSE)+VLOOKUP(VLOOKUP($BJ151,坦克个性化设定!$B$18:$E$48,4,FALSE)&amp;$BK151,坦克属性分配比例,MATCH("部件比例",坦克属性分配比例标头,0),FALSE)*$C$3),0)</f>
        <v>261</v>
      </c>
      <c r="BQ151" s="103">
        <f ca="1">ROUND(VLOOKUP($BJ151&amp;"初始",$S$3:$AE$63,MATCH(BQ$3,$S$3:$AE$3,0),FALSE)+(VLOOKUP($BJ151&amp;"最终",$S$3:$AE$63,MATCH(BQ$3,$S$3:$AE$3,0),FALSE)-VLOOKUP($BJ151&amp;"初始",$S$3:$AE$63,MATCH(BQ$3,$S$3:$AE$3,0),FALSE))*$BL151/VLOOKUP(VLOOKUP($BJ151,坦克个性化设定!$B$18:$E$48,4,FALSE)&amp;$BK151,坦克属性分配比例,MATCH("升星次数",坦克属性分配比例标头,0),FALSE)*VLOOKUP(VLOOKUP($BJ151,坦克个性化设定!$B$18:$E$48,4,FALSE)&amp;$BK151,坦克属性分配比例,MATCH("升星比例",坦克属性分配比例标头,0),FALSE),0)</f>
        <v>611</v>
      </c>
      <c r="BR151" s="2">
        <f ca="1">ROUND(VLOOKUP($BJ151&amp;"初始",$S$3:$AE$63,MATCH(BR$3,$S$3:$AE$3,0),FALSE)+(VLOOKUP($BJ151&amp;"最终",$S$3:$AE$63,MATCH(BR$3,$S$3:$AE$3,0),FALSE)-VLOOKUP($BJ151&amp;"初始",$S$3:$AE$63,MATCH(BR$3,$S$3:$AE$3,0),FALSE))*$BL151/VLOOKUP(VLOOKUP($BJ151,坦克个性化设定!$B$18:$E$48,4,FALSE)&amp;$BK151,坦克属性分配比例,MATCH("升星次数",坦克属性分配比例标头,0),FALSE),0)</f>
        <v>152</v>
      </c>
      <c r="BS151" s="2">
        <f>ROUND(VLOOKUP($BJ151,$AI$3:$AO$33,MATCH(BS$3,$AI$3:$AO$3,0),FALSE)+$BL151/VLOOKUP(VLOOKUP($BJ151,坦克个性化设定!$B$18:$E$48,4,FALSE)&amp;$BK151,坦克属性分配比例,MATCH("升星次数",坦克属性分配比例标头,0),FALSE)*VLOOKUP($BJ151,$AR$3:$AY$33,MATCH(BS$3,$AR$3:$AY$3,0),FALSE),1)</f>
        <v>40.5</v>
      </c>
      <c r="BT151" s="2">
        <f>ROUND(VLOOKUP($BJ151,$AI$3:$AO$33,MATCH(BT$3,$AI$3:$AO$3,0),FALSE)+$BL151/VLOOKUP(VLOOKUP($BJ151,坦克个性化设定!$B$18:$E$48,4,FALSE)&amp;$BK151,坦克属性分配比例,MATCH("升星次数",坦克属性分配比例标头,0),FALSE)*VLOOKUP($BJ151,$AR$3:$AY$33,MATCH(BT$3,$AR$3:$AY$3,0),FALSE),1)</f>
        <v>56.9</v>
      </c>
      <c r="BU151" s="2">
        <f>ROUND(VLOOKUP($BJ151,$AI$3:$AO$33,MATCH(BU$3,$AI$3:$AO$3,0),FALSE)+$BL151/VLOOKUP(VLOOKUP($BJ151,坦克个性化设定!$B$18:$E$48,4,FALSE)&amp;$BK151,坦克属性分配比例,MATCH("升星次数",坦克属性分配比例标头,0),FALSE)*VLOOKUP($BJ151,$AR$3:$AY$33,MATCH(BU$3,$AR$3:$AY$3,0),FALSE),1)</f>
        <v>7.6</v>
      </c>
      <c r="BV151" s="2">
        <f>IF(VLOOKUP(BJ151,坦克个性化设定!$B$18:$BC$48,MATCH("装弹类型",坦克个性化设定!$B$18:$BC$18,0),FALSE)="弹夹换弹",0,ROUND(VLOOKUP($BJ151,$AI$3:$AO$33,MATCH("换弹时间",$AI$3:$AO$3,0),FALSE)-$BL151/VLOOKUP(VLOOKUP($BJ151,坦克个性化设定!$B$18:$E$48,4,FALSE)&amp;$BK151,坦克属性分配比例,MATCH("升星次数",坦克属性分配比例标头,0),FALSE)*VLOOKUP($BJ151,$AR$3:$AY$33,MATCH("换弹时间",$AR$3:$AY$3,0),FALSE),2))</f>
        <v>2.83</v>
      </c>
      <c r="BW151" s="2">
        <f>IF(VLOOKUP(BJ151,坦克个性化设定!$B$18:$BC$48,MATCH("装弹类型",坦克个性化设定!$B$18:$BC$18,0),FALSE)="弹夹换弹",ROUND(VLOOKUP($BJ151,$AI$3:$AO$33,MATCH("换弹时间",$AI$3:$AO$3,0),FALSE)-$BL151/VLOOKUP(VLOOKUP($BJ151,坦克个性化设定!$B$18:$E$48,4,FALSE)&amp;$BK151,坦克属性分配比例,MATCH("升星次数",坦克属性分配比例标头,0),FALSE)*VLOOKUP($BJ151,$AR$3:$AY$33,MATCH("换弹时间",$AR$3:$AY$3,0),FALSE),1),0)</f>
        <v>0</v>
      </c>
      <c r="BX151" s="2">
        <f>ROUND(VLOOKUP($BJ151,$AI$3:$AO$33,MATCH(BX$3,$AI$3:$AO$3,0),FALSE)+$BL151/VLOOKUP(VLOOKUP($BJ151,坦克个性化设定!$B$18:$E$48,4,FALSE)&amp;$BK151,坦克属性分配比例,MATCH("升星次数",坦克属性分配比例标头,0),FALSE)*VLOOKUP($BJ151,$AR$3:$AY$33,MATCH(BX$3,$AR$3:$AY$3,0),FALSE),2)</f>
        <v>0.4</v>
      </c>
      <c r="BY151" s="2">
        <f>ROUND(VLOOKUP($BJ151,$AI$3:$AO$33,MATCH(BY$3,$AI$3:$AO$3,0),FALSE)-$BL151/VLOOKUP(VLOOKUP($BJ151,坦克个性化设定!$B$18:$E$48,4,FALSE)&amp;$BK151,坦克属性分配比例,MATCH("升星次数",坦克属性分配比例标头,0),FALSE)*VLOOKUP($BJ151,$AR$3:$AY$33,MATCH(BY$3,$AR$3:$AY$3,0),FALSE),2)</f>
        <v>1.0900000000000001</v>
      </c>
    </row>
    <row r="152" spans="60:77" x14ac:dyDescent="0.3">
      <c r="BH152" s="2" t="str">
        <f t="shared" si="27"/>
        <v>彗星4</v>
      </c>
      <c r="BI152" s="2">
        <f>IF(BL151&gt;=VLOOKUP(VLOOKUP(BJ151,坦克个性化设定!$B$18:$E$48,4,FALSE)&amp;BK151,坦克属性分配比例,MATCH("升星次数",坦克属性分配比例标头,0),FALSE),BI151+1,BI151)</f>
        <v>16</v>
      </c>
      <c r="BJ152" s="2" t="str">
        <f t="shared" si="28"/>
        <v>彗星</v>
      </c>
      <c r="BK152" s="29" t="str">
        <f>VLOOKUP(BJ152,坦克个性化细分!$I$3:$J$33,2,FALSE)</f>
        <v>高</v>
      </c>
      <c r="BL152" s="2">
        <f t="shared" si="26"/>
        <v>4</v>
      </c>
      <c r="BM152" s="103">
        <f ca="1">ROUND(VLOOKUP($BJ152&amp;"初始",$S$3:$AE$63,MATCH(BM$3,$S$3:$AE$3,0),FALSE)+((VLOOKUP($BJ152&amp;"最终",$S$3:$AE$63,MATCH(BM$3,$S$3:$AE$3,0),FALSE)*坦克个性化细分!$C$9-VLOOKUP($BJ152&amp;"初始",$S$3:$AE$63,MATCH(BM$3,$S$3:$AE$3,0),FALSE))-(VLOOKUP($BJ152&amp;"最终",$S$3:$AE$63,MATCH(BM$3,$S$3:$AE$3,0),FALSE)-VLOOKUP($BJ152&amp;"初始",$S$3:$AE$63,MATCH(BM$3,$S$3:$AE$3,0),FALSE))*VLOOKUP(VLOOKUP($BJ152,坦克个性化设定!$B$18:$E$48,4,FALSE)&amp;$BK152,坦克属性分配比例,MATCH("部件比例",坦克属性分配比例标头,0),FALSE))*$BL152/VLOOKUP(VLOOKUP($BJ152,坦克个性化设定!$B$18:$E$48,4,FALSE)&amp;$BK152,坦克属性分配比例,MATCH("升星次数",坦克属性分配比例标头,0),FALSE),0)</f>
        <v>1601</v>
      </c>
      <c r="BN152" s="103">
        <f ca="1">ROUND(VLOOKUP($BJ152&amp;"初始",$S$3:$AE$63,MATCH(BN$3,$S$3:$AE$3,0),FALSE)+(VLOOKUP($BJ152&amp;"最终",$S$3:$AE$63,MATCH(BN$3,$S$3:$AE$3,0),FALSE)-VLOOKUP($BJ152&amp;"初始",$S$3:$AE$63,MATCH(BN$3,$S$3:$AE$3,0),FALSE))*$BL152/VLOOKUP(VLOOKUP($BJ152,坦克个性化设定!$B$18:$E$48,4,FALSE)&amp;$BK152,坦克属性分配比例,MATCH("升星次数",坦克属性分配比例标头,0),FALSE)*VLOOKUP(VLOOKUP($BJ152,坦克个性化设定!$B$18:$E$48,4,FALSE)&amp;$BK152,坦克属性分配比例,MATCH("升星比例",坦克属性分配比例标头,0),FALSE),0)</f>
        <v>202</v>
      </c>
      <c r="BO152" s="103">
        <f ca="1">ROUND(VLOOKUP($BJ152&amp;"初始",$S$3:$AE$63,MATCH(BO$3,$S$3:$AE$3,0),FALSE)+(VLOOKUP($BJ152&amp;"最终",$S$3:$AE$63,MATCH(BO$3,$S$3:$AE$3,0),FALSE)-VLOOKUP($BJ152&amp;"初始",$S$3:$AE$63,MATCH(BO$3,$S$3:$AE$3,0),FALSE))*$BL152/VLOOKUP(VLOOKUP($BJ152,坦克个性化设定!$B$18:$E$48,4,FALSE)&amp;$BK152,坦克属性分配比例,MATCH("升星次数",坦克属性分配比例标头,0),FALSE)*(VLOOKUP(VLOOKUP($BJ152,坦克个性化设定!$B$18:$E$48,4,FALSE)&amp;$BK152,坦克属性分配比例,MATCH("升星比例",坦克属性分配比例标头,0),FALSE)+VLOOKUP(VLOOKUP($BJ152,坦克个性化设定!$B$18:$E$48,4,FALSE)&amp;$BK152,坦克属性分配比例,MATCH("部件比例",坦克属性分配比例标头,0),FALSE)*$C$3),0)</f>
        <v>603</v>
      </c>
      <c r="BP152" s="103">
        <f ca="1">ROUND(VLOOKUP($BJ152&amp;"初始",$S$3:$AE$63,MATCH(BP$3,$S$3:$AE$3,0),FALSE)+(VLOOKUP($BJ152&amp;"最终",$S$3:$AE$63,MATCH(BP$3,$S$3:$AE$3,0),FALSE)-VLOOKUP($BJ152&amp;"初始",$S$3:$AE$63,MATCH(BP$3,$S$3:$AE$3,0),FALSE))*$BL152/VLOOKUP(VLOOKUP($BJ152,坦克个性化设定!$B$18:$E$48,4,FALSE)&amp;$BK152,坦克属性分配比例,MATCH("升星次数",坦克属性分配比例标头,0),FALSE)*(VLOOKUP(VLOOKUP($BJ152,坦克个性化设定!$B$18:$E$48,4,FALSE)&amp;$BK152,坦克属性分配比例,MATCH("升星比例",坦克属性分配比例标头,0),FALSE)+VLOOKUP(VLOOKUP($BJ152,坦克个性化设定!$B$18:$E$48,4,FALSE)&amp;$BK152,坦克属性分配比例,MATCH("部件比例",坦克属性分配比例标头,0),FALSE)*$C$3),0)</f>
        <v>272</v>
      </c>
      <c r="BQ152" s="103">
        <f ca="1">ROUND(VLOOKUP($BJ152&amp;"初始",$S$3:$AE$63,MATCH(BQ$3,$S$3:$AE$3,0),FALSE)+(VLOOKUP($BJ152&amp;"最终",$S$3:$AE$63,MATCH(BQ$3,$S$3:$AE$3,0),FALSE)-VLOOKUP($BJ152&amp;"初始",$S$3:$AE$63,MATCH(BQ$3,$S$3:$AE$3,0),FALSE))*$BL152/VLOOKUP(VLOOKUP($BJ152,坦克个性化设定!$B$18:$E$48,4,FALSE)&amp;$BK152,坦克属性分配比例,MATCH("升星次数",坦克属性分配比例标头,0),FALSE)*VLOOKUP(VLOOKUP($BJ152,坦克个性化设定!$B$18:$E$48,4,FALSE)&amp;$BK152,坦克属性分配比例,MATCH("升星比例",坦克属性分配比例标头,0),FALSE),0)</f>
        <v>630</v>
      </c>
      <c r="BR152" s="2">
        <f ca="1">ROUND(VLOOKUP($BJ152&amp;"初始",$S$3:$AE$63,MATCH(BR$3,$S$3:$AE$3,0),FALSE)+(VLOOKUP($BJ152&amp;"最终",$S$3:$AE$63,MATCH(BR$3,$S$3:$AE$3,0),FALSE)-VLOOKUP($BJ152&amp;"初始",$S$3:$AE$63,MATCH(BR$3,$S$3:$AE$3,0),FALSE))*$BL152/VLOOKUP(VLOOKUP($BJ152,坦克个性化设定!$B$18:$E$48,4,FALSE)&amp;$BK152,坦克属性分配比例,MATCH("升星次数",坦克属性分配比例标头,0),FALSE),0)</f>
        <v>159</v>
      </c>
      <c r="BS152" s="2">
        <f>ROUND(VLOOKUP($BJ152,$AI$3:$AO$33,MATCH(BS$3,$AI$3:$AO$3,0),FALSE)+$BL152/VLOOKUP(VLOOKUP($BJ152,坦克个性化设定!$B$18:$E$48,4,FALSE)&amp;$BK152,坦克属性分配比例,MATCH("升星次数",坦克属性分配比例标头,0),FALSE)*VLOOKUP($BJ152,$AR$3:$AY$33,MATCH(BS$3,$AR$3:$AY$3,0),FALSE),1)</f>
        <v>41.6</v>
      </c>
      <c r="BT152" s="2">
        <f>ROUND(VLOOKUP($BJ152,$AI$3:$AO$33,MATCH(BT$3,$AI$3:$AO$3,0),FALSE)+$BL152/VLOOKUP(VLOOKUP($BJ152,坦克个性化设定!$B$18:$E$48,4,FALSE)&amp;$BK152,坦克属性分配比例,MATCH("升星次数",坦克属性分配比例标头,0),FALSE)*VLOOKUP($BJ152,$AR$3:$AY$33,MATCH(BT$3,$AR$3:$AY$3,0),FALSE),1)</f>
        <v>58.3</v>
      </c>
      <c r="BU152" s="2">
        <f>ROUND(VLOOKUP($BJ152,$AI$3:$AO$33,MATCH(BU$3,$AI$3:$AO$3,0),FALSE)+$BL152/VLOOKUP(VLOOKUP($BJ152,坦克个性化设定!$B$18:$E$48,4,FALSE)&amp;$BK152,坦克属性分配比例,MATCH("升星次数",坦克属性分配比例标头,0),FALSE)*VLOOKUP($BJ152,$AR$3:$AY$33,MATCH(BU$3,$AR$3:$AY$3,0),FALSE),1)</f>
        <v>7.6</v>
      </c>
      <c r="BV152" s="2">
        <f>IF(VLOOKUP(BJ152,坦克个性化设定!$B$18:$BC$48,MATCH("装弹类型",坦克个性化设定!$B$18:$BC$18,0),FALSE)="弹夹换弹",0,ROUND(VLOOKUP($BJ152,$AI$3:$AO$33,MATCH("换弹时间",$AI$3:$AO$3,0),FALSE)-$BL152/VLOOKUP(VLOOKUP($BJ152,坦克个性化设定!$B$18:$E$48,4,FALSE)&amp;$BK152,坦克属性分配比例,MATCH("升星次数",坦克属性分配比例标头,0),FALSE)*VLOOKUP($BJ152,$AR$3:$AY$33,MATCH("换弹时间",$AR$3:$AY$3,0),FALSE),2))</f>
        <v>2.77</v>
      </c>
      <c r="BW152" s="2">
        <f>IF(VLOOKUP(BJ152,坦克个性化设定!$B$18:$BC$48,MATCH("装弹类型",坦克个性化设定!$B$18:$BC$18,0),FALSE)="弹夹换弹",ROUND(VLOOKUP($BJ152,$AI$3:$AO$33,MATCH("换弹时间",$AI$3:$AO$3,0),FALSE)-$BL152/VLOOKUP(VLOOKUP($BJ152,坦克个性化设定!$B$18:$E$48,4,FALSE)&amp;$BK152,坦克属性分配比例,MATCH("升星次数",坦克属性分配比例标头,0),FALSE)*VLOOKUP($BJ152,$AR$3:$AY$33,MATCH("换弹时间",$AR$3:$AY$3,0),FALSE),1),0)</f>
        <v>0</v>
      </c>
      <c r="BX152" s="2">
        <f>ROUND(VLOOKUP($BJ152,$AI$3:$AO$33,MATCH(BX$3,$AI$3:$AO$3,0),FALSE)+$BL152/VLOOKUP(VLOOKUP($BJ152,坦克个性化设定!$B$18:$E$48,4,FALSE)&amp;$BK152,坦克属性分配比例,MATCH("升星次数",坦克属性分配比例标头,0),FALSE)*VLOOKUP($BJ152,$AR$3:$AY$33,MATCH(BX$3,$AR$3:$AY$3,0),FALSE),2)</f>
        <v>0.4</v>
      </c>
      <c r="BY152" s="2">
        <f>ROUND(VLOOKUP($BJ152,$AI$3:$AO$33,MATCH(BY$3,$AI$3:$AO$3,0),FALSE)-$BL152/VLOOKUP(VLOOKUP($BJ152,坦克个性化设定!$B$18:$E$48,4,FALSE)&amp;$BK152,坦克属性分配比例,MATCH("升星次数",坦克属性分配比例标头,0),FALSE)*VLOOKUP($BJ152,$AR$3:$AY$33,MATCH(BY$3,$AR$3:$AY$3,0),FALSE),2)</f>
        <v>1.06</v>
      </c>
    </row>
    <row r="153" spans="60:77" x14ac:dyDescent="0.3">
      <c r="BH153" s="2" t="str">
        <f t="shared" si="27"/>
        <v>彗星5</v>
      </c>
      <c r="BI153" s="2">
        <f>IF(BL152&gt;=VLOOKUP(VLOOKUP(BJ152,坦克个性化设定!$B$18:$E$48,4,FALSE)&amp;BK152,坦克属性分配比例,MATCH("升星次数",坦克属性分配比例标头,0),FALSE),BI152+1,BI152)</f>
        <v>16</v>
      </c>
      <c r="BJ153" s="2" t="str">
        <f t="shared" si="28"/>
        <v>彗星</v>
      </c>
      <c r="BK153" s="29" t="str">
        <f>VLOOKUP(BJ153,坦克个性化细分!$I$3:$J$33,2,FALSE)</f>
        <v>高</v>
      </c>
      <c r="BL153" s="2">
        <f t="shared" si="26"/>
        <v>5</v>
      </c>
      <c r="BM153" s="103">
        <f ca="1">ROUND(VLOOKUP($BJ153&amp;"初始",$S$3:$AE$63,MATCH(BM$3,$S$3:$AE$3,0),FALSE)+((VLOOKUP($BJ153&amp;"最终",$S$3:$AE$63,MATCH(BM$3,$S$3:$AE$3,0),FALSE)*坦克个性化细分!$C$9-VLOOKUP($BJ153&amp;"初始",$S$3:$AE$63,MATCH(BM$3,$S$3:$AE$3,0),FALSE))-(VLOOKUP($BJ153&amp;"最终",$S$3:$AE$63,MATCH(BM$3,$S$3:$AE$3,0),FALSE)-VLOOKUP($BJ153&amp;"初始",$S$3:$AE$63,MATCH(BM$3,$S$3:$AE$3,0),FALSE))*VLOOKUP(VLOOKUP($BJ153,坦克个性化设定!$B$18:$E$48,4,FALSE)&amp;$BK153,坦克属性分配比例,MATCH("部件比例",坦克属性分配比例标头,0),FALSE))*$BL153/VLOOKUP(VLOOKUP($BJ153,坦克个性化设定!$B$18:$E$48,4,FALSE)&amp;$BK153,坦克属性分配比例,MATCH("升星次数",坦克属性分配比例标头,0),FALSE),0)</f>
        <v>1675</v>
      </c>
      <c r="BN153" s="103">
        <f ca="1">ROUND(VLOOKUP($BJ153&amp;"初始",$S$3:$AE$63,MATCH(BN$3,$S$3:$AE$3,0),FALSE)+(VLOOKUP($BJ153&amp;"最终",$S$3:$AE$63,MATCH(BN$3,$S$3:$AE$3,0),FALSE)-VLOOKUP($BJ153&amp;"初始",$S$3:$AE$63,MATCH(BN$3,$S$3:$AE$3,0),FALSE))*$BL153/VLOOKUP(VLOOKUP($BJ153,坦克个性化设定!$B$18:$E$48,4,FALSE)&amp;$BK153,坦克属性分配比例,MATCH("升星次数",坦克属性分配比例标头,0),FALSE)*VLOOKUP(VLOOKUP($BJ153,坦克个性化设定!$B$18:$E$48,4,FALSE)&amp;$BK153,坦克属性分配比例,MATCH("升星比例",坦克属性分配比例标头,0),FALSE),0)</f>
        <v>208</v>
      </c>
      <c r="BO153" s="103">
        <f ca="1">ROUND(VLOOKUP($BJ153&amp;"初始",$S$3:$AE$63,MATCH(BO$3,$S$3:$AE$3,0),FALSE)+(VLOOKUP($BJ153&amp;"最终",$S$3:$AE$63,MATCH(BO$3,$S$3:$AE$3,0),FALSE)-VLOOKUP($BJ153&amp;"初始",$S$3:$AE$63,MATCH(BO$3,$S$3:$AE$3,0),FALSE))*$BL153/VLOOKUP(VLOOKUP($BJ153,坦克个性化设定!$B$18:$E$48,4,FALSE)&amp;$BK153,坦克属性分配比例,MATCH("升星次数",坦克属性分配比例标头,0),FALSE)*(VLOOKUP(VLOOKUP($BJ153,坦克个性化设定!$B$18:$E$48,4,FALSE)&amp;$BK153,坦克属性分配比例,MATCH("升星比例",坦克属性分配比例标头,0),FALSE)+VLOOKUP(VLOOKUP($BJ153,坦克个性化设定!$B$18:$E$48,4,FALSE)&amp;$BK153,坦克属性分配比例,MATCH("部件比例",坦克属性分配比例标头,0),FALSE)*$C$3),0)</f>
        <v>627</v>
      </c>
      <c r="BP153" s="103">
        <f ca="1">ROUND(VLOOKUP($BJ153&amp;"初始",$S$3:$AE$63,MATCH(BP$3,$S$3:$AE$3,0),FALSE)+(VLOOKUP($BJ153&amp;"最终",$S$3:$AE$63,MATCH(BP$3,$S$3:$AE$3,0),FALSE)-VLOOKUP($BJ153&amp;"初始",$S$3:$AE$63,MATCH(BP$3,$S$3:$AE$3,0),FALSE))*$BL153/VLOOKUP(VLOOKUP($BJ153,坦克个性化设定!$B$18:$E$48,4,FALSE)&amp;$BK153,坦克属性分配比例,MATCH("升星次数",坦克属性分配比例标头,0),FALSE)*(VLOOKUP(VLOOKUP($BJ153,坦克个性化设定!$B$18:$E$48,4,FALSE)&amp;$BK153,坦克属性分配比例,MATCH("升星比例",坦克属性分配比例标头,0),FALSE)+VLOOKUP(VLOOKUP($BJ153,坦克个性化设定!$B$18:$E$48,4,FALSE)&amp;$BK153,坦克属性分配比例,MATCH("部件比例",坦克属性分配比例标头,0),FALSE)*$C$3),0)</f>
        <v>283</v>
      </c>
      <c r="BQ153" s="103">
        <f ca="1">ROUND(VLOOKUP($BJ153&amp;"初始",$S$3:$AE$63,MATCH(BQ$3,$S$3:$AE$3,0),FALSE)+(VLOOKUP($BJ153&amp;"最终",$S$3:$AE$63,MATCH(BQ$3,$S$3:$AE$3,0),FALSE)-VLOOKUP($BJ153&amp;"初始",$S$3:$AE$63,MATCH(BQ$3,$S$3:$AE$3,0),FALSE))*$BL153/VLOOKUP(VLOOKUP($BJ153,坦克个性化设定!$B$18:$E$48,4,FALSE)&amp;$BK153,坦克属性分配比例,MATCH("升星次数",坦克属性分配比例标头,0),FALSE)*VLOOKUP(VLOOKUP($BJ153,坦克个性化设定!$B$18:$E$48,4,FALSE)&amp;$BK153,坦克属性分配比例,MATCH("升星比例",坦克属性分配比例标头,0),FALSE),0)</f>
        <v>649</v>
      </c>
      <c r="BR153" s="2">
        <f ca="1">ROUND(VLOOKUP($BJ153&amp;"初始",$S$3:$AE$63,MATCH(BR$3,$S$3:$AE$3,0),FALSE)+(VLOOKUP($BJ153&amp;"最终",$S$3:$AE$63,MATCH(BR$3,$S$3:$AE$3,0),FALSE)-VLOOKUP($BJ153&amp;"初始",$S$3:$AE$63,MATCH(BR$3,$S$3:$AE$3,0),FALSE))*$BL153/VLOOKUP(VLOOKUP($BJ153,坦克个性化设定!$B$18:$E$48,4,FALSE)&amp;$BK153,坦克属性分配比例,MATCH("升星次数",坦克属性分配比例标头,0),FALSE),0)</f>
        <v>167</v>
      </c>
      <c r="BS153" s="2">
        <f>ROUND(VLOOKUP($BJ153,$AI$3:$AO$33,MATCH(BS$3,$AI$3:$AO$3,0),FALSE)+$BL153/VLOOKUP(VLOOKUP($BJ153,坦克个性化设定!$B$18:$E$48,4,FALSE)&amp;$BK153,坦克属性分配比例,MATCH("升星次数",坦克属性分配比例标头,0),FALSE)*VLOOKUP($BJ153,$AR$3:$AY$33,MATCH(BS$3,$AR$3:$AY$3,0),FALSE),1)</f>
        <v>42.6</v>
      </c>
      <c r="BT153" s="2">
        <f>ROUND(VLOOKUP($BJ153,$AI$3:$AO$33,MATCH(BT$3,$AI$3:$AO$3,0),FALSE)+$BL153/VLOOKUP(VLOOKUP($BJ153,坦克个性化设定!$B$18:$E$48,4,FALSE)&amp;$BK153,坦克属性分配比例,MATCH("升星次数",坦克属性分配比例标头,0),FALSE)*VLOOKUP($BJ153,$AR$3:$AY$33,MATCH(BT$3,$AR$3:$AY$3,0),FALSE),1)</f>
        <v>59.8</v>
      </c>
      <c r="BU153" s="2">
        <f>ROUND(VLOOKUP($BJ153,$AI$3:$AO$33,MATCH(BU$3,$AI$3:$AO$3,0),FALSE)+$BL153/VLOOKUP(VLOOKUP($BJ153,坦克个性化设定!$B$18:$E$48,4,FALSE)&amp;$BK153,坦克属性分配比例,MATCH("升星次数",坦克属性分配比例标头,0),FALSE)*VLOOKUP($BJ153,$AR$3:$AY$33,MATCH(BU$3,$AR$3:$AY$3,0),FALSE),1)</f>
        <v>7.6</v>
      </c>
      <c r="BV153" s="2">
        <f>IF(VLOOKUP(BJ153,坦克个性化设定!$B$18:$BC$48,MATCH("装弹类型",坦克个性化设定!$B$18:$BC$18,0),FALSE)="弹夹换弹",0,ROUND(VLOOKUP($BJ153,$AI$3:$AO$33,MATCH("换弹时间",$AI$3:$AO$3,0),FALSE)-$BL153/VLOOKUP(VLOOKUP($BJ153,坦克个性化设定!$B$18:$E$48,4,FALSE)&amp;$BK153,坦克属性分配比例,MATCH("升星次数",坦克属性分配比例标头,0),FALSE)*VLOOKUP($BJ153,$AR$3:$AY$33,MATCH("换弹时间",$AR$3:$AY$3,0),FALSE),2))</f>
        <v>2.71</v>
      </c>
      <c r="BW153" s="2">
        <f>IF(VLOOKUP(BJ153,坦克个性化设定!$B$18:$BC$48,MATCH("装弹类型",坦克个性化设定!$B$18:$BC$18,0),FALSE)="弹夹换弹",ROUND(VLOOKUP($BJ153,$AI$3:$AO$33,MATCH("换弹时间",$AI$3:$AO$3,0),FALSE)-$BL153/VLOOKUP(VLOOKUP($BJ153,坦克个性化设定!$B$18:$E$48,4,FALSE)&amp;$BK153,坦克属性分配比例,MATCH("升星次数",坦克属性分配比例标头,0),FALSE)*VLOOKUP($BJ153,$AR$3:$AY$33,MATCH("换弹时间",$AR$3:$AY$3,0),FALSE),1),0)</f>
        <v>0</v>
      </c>
      <c r="BX153" s="2">
        <f>ROUND(VLOOKUP($BJ153,$AI$3:$AO$33,MATCH(BX$3,$AI$3:$AO$3,0),FALSE)+$BL153/VLOOKUP(VLOOKUP($BJ153,坦克个性化设定!$B$18:$E$48,4,FALSE)&amp;$BK153,坦克属性分配比例,MATCH("升星次数",坦克属性分配比例标头,0),FALSE)*VLOOKUP($BJ153,$AR$3:$AY$33,MATCH(BX$3,$AR$3:$AY$3,0),FALSE),2)</f>
        <v>0.4</v>
      </c>
      <c r="BY153" s="2">
        <f>ROUND(VLOOKUP($BJ153,$AI$3:$AO$33,MATCH(BY$3,$AI$3:$AO$3,0),FALSE)-$BL153/VLOOKUP(VLOOKUP($BJ153,坦克个性化设定!$B$18:$E$48,4,FALSE)&amp;$BK153,坦克属性分配比例,MATCH("升星次数",坦克属性分配比例标头,0),FALSE)*VLOOKUP($BJ153,$AR$3:$AY$33,MATCH(BY$3,$AR$3:$AY$3,0),FALSE),2)</f>
        <v>1.04</v>
      </c>
    </row>
    <row r="154" spans="60:77" x14ac:dyDescent="0.3">
      <c r="BH154" s="2" t="str">
        <f t="shared" si="27"/>
        <v>彗星6</v>
      </c>
      <c r="BI154" s="2">
        <f>IF(BL153&gt;=VLOOKUP(VLOOKUP(BJ153,坦克个性化设定!$B$18:$E$48,4,FALSE)&amp;BK153,坦克属性分配比例,MATCH("升星次数",坦克属性分配比例标头,0),FALSE),BI153+1,BI153)</f>
        <v>16</v>
      </c>
      <c r="BJ154" s="2" t="str">
        <f t="shared" si="28"/>
        <v>彗星</v>
      </c>
      <c r="BK154" s="29" t="str">
        <f>VLOOKUP(BJ154,坦克个性化细分!$I$3:$J$33,2,FALSE)</f>
        <v>高</v>
      </c>
      <c r="BL154" s="2">
        <f t="shared" si="26"/>
        <v>6</v>
      </c>
      <c r="BM154" s="103">
        <f ca="1">ROUND(VLOOKUP($BJ154&amp;"初始",$S$3:$AE$63,MATCH(BM$3,$S$3:$AE$3,0),FALSE)+((VLOOKUP($BJ154&amp;"最终",$S$3:$AE$63,MATCH(BM$3,$S$3:$AE$3,0),FALSE)*坦克个性化细分!$C$9-VLOOKUP($BJ154&amp;"初始",$S$3:$AE$63,MATCH(BM$3,$S$3:$AE$3,0),FALSE))-(VLOOKUP($BJ154&amp;"最终",$S$3:$AE$63,MATCH(BM$3,$S$3:$AE$3,0),FALSE)-VLOOKUP($BJ154&amp;"初始",$S$3:$AE$63,MATCH(BM$3,$S$3:$AE$3,0),FALSE))*VLOOKUP(VLOOKUP($BJ154,坦克个性化设定!$B$18:$E$48,4,FALSE)&amp;$BK154,坦克属性分配比例,MATCH("部件比例",坦克属性分配比例标头,0),FALSE))*$BL154/VLOOKUP(VLOOKUP($BJ154,坦克个性化设定!$B$18:$E$48,4,FALSE)&amp;$BK154,坦克属性分配比例,MATCH("升星次数",坦克属性分配比例标头,0),FALSE),0)</f>
        <v>1749</v>
      </c>
      <c r="BN154" s="103">
        <f ca="1">ROUND(VLOOKUP($BJ154&amp;"初始",$S$3:$AE$63,MATCH(BN$3,$S$3:$AE$3,0),FALSE)+(VLOOKUP($BJ154&amp;"最终",$S$3:$AE$63,MATCH(BN$3,$S$3:$AE$3,0),FALSE)-VLOOKUP($BJ154&amp;"初始",$S$3:$AE$63,MATCH(BN$3,$S$3:$AE$3,0),FALSE))*$BL154/VLOOKUP(VLOOKUP($BJ154,坦克个性化设定!$B$18:$E$48,4,FALSE)&amp;$BK154,坦克属性分配比例,MATCH("升星次数",坦克属性分配比例标头,0),FALSE)*VLOOKUP(VLOOKUP($BJ154,坦克个性化设定!$B$18:$E$48,4,FALSE)&amp;$BK154,坦克属性分配比例,MATCH("升星比例",坦克属性分配比例标头,0),FALSE),0)</f>
        <v>214</v>
      </c>
      <c r="BO154" s="103">
        <f ca="1">ROUND(VLOOKUP($BJ154&amp;"初始",$S$3:$AE$63,MATCH(BO$3,$S$3:$AE$3,0),FALSE)+(VLOOKUP($BJ154&amp;"最终",$S$3:$AE$63,MATCH(BO$3,$S$3:$AE$3,0),FALSE)-VLOOKUP($BJ154&amp;"初始",$S$3:$AE$63,MATCH(BO$3,$S$3:$AE$3,0),FALSE))*$BL154/VLOOKUP(VLOOKUP($BJ154,坦克个性化设定!$B$18:$E$48,4,FALSE)&amp;$BK154,坦克属性分配比例,MATCH("升星次数",坦克属性分配比例标头,0),FALSE)*(VLOOKUP(VLOOKUP($BJ154,坦克个性化设定!$B$18:$E$48,4,FALSE)&amp;$BK154,坦克属性分配比例,MATCH("升星比例",坦克属性分配比例标头,0),FALSE)+VLOOKUP(VLOOKUP($BJ154,坦克个性化设定!$B$18:$E$48,4,FALSE)&amp;$BK154,坦克属性分配比例,MATCH("部件比例",坦克属性分配比例标头,0),FALSE)*$C$3),0)</f>
        <v>652</v>
      </c>
      <c r="BP154" s="103">
        <f ca="1">ROUND(VLOOKUP($BJ154&amp;"初始",$S$3:$AE$63,MATCH(BP$3,$S$3:$AE$3,0),FALSE)+(VLOOKUP($BJ154&amp;"最终",$S$3:$AE$63,MATCH(BP$3,$S$3:$AE$3,0),FALSE)-VLOOKUP($BJ154&amp;"初始",$S$3:$AE$63,MATCH(BP$3,$S$3:$AE$3,0),FALSE))*$BL154/VLOOKUP(VLOOKUP($BJ154,坦克个性化设定!$B$18:$E$48,4,FALSE)&amp;$BK154,坦克属性分配比例,MATCH("升星次数",坦克属性分配比例标头,0),FALSE)*(VLOOKUP(VLOOKUP($BJ154,坦克个性化设定!$B$18:$E$48,4,FALSE)&amp;$BK154,坦克属性分配比例,MATCH("升星比例",坦克属性分配比例标头,0),FALSE)+VLOOKUP(VLOOKUP($BJ154,坦克个性化设定!$B$18:$E$48,4,FALSE)&amp;$BK154,坦克属性分配比例,MATCH("部件比例",坦克属性分配比例标头,0),FALSE)*$C$3),0)</f>
        <v>294</v>
      </c>
      <c r="BQ154" s="103">
        <f ca="1">ROUND(VLOOKUP($BJ154&amp;"初始",$S$3:$AE$63,MATCH(BQ$3,$S$3:$AE$3,0),FALSE)+(VLOOKUP($BJ154&amp;"最终",$S$3:$AE$63,MATCH(BQ$3,$S$3:$AE$3,0),FALSE)-VLOOKUP($BJ154&amp;"初始",$S$3:$AE$63,MATCH(BQ$3,$S$3:$AE$3,0),FALSE))*$BL154/VLOOKUP(VLOOKUP($BJ154,坦克个性化设定!$B$18:$E$48,4,FALSE)&amp;$BK154,坦克属性分配比例,MATCH("升星次数",坦克属性分配比例标头,0),FALSE)*VLOOKUP(VLOOKUP($BJ154,坦克个性化设定!$B$18:$E$48,4,FALSE)&amp;$BK154,坦克属性分配比例,MATCH("升星比例",坦克属性分配比例标头,0),FALSE),0)</f>
        <v>668</v>
      </c>
      <c r="BR154" s="2">
        <f ca="1">ROUND(VLOOKUP($BJ154&amp;"初始",$S$3:$AE$63,MATCH(BR$3,$S$3:$AE$3,0),FALSE)+(VLOOKUP($BJ154&amp;"最终",$S$3:$AE$63,MATCH(BR$3,$S$3:$AE$3,0),FALSE)-VLOOKUP($BJ154&amp;"初始",$S$3:$AE$63,MATCH(BR$3,$S$3:$AE$3,0),FALSE))*$BL154/VLOOKUP(VLOOKUP($BJ154,坦克个性化设定!$B$18:$E$48,4,FALSE)&amp;$BK154,坦克属性分配比例,MATCH("升星次数",坦克属性分配比例标头,0),FALSE),0)</f>
        <v>174</v>
      </c>
      <c r="BS154" s="2">
        <f>ROUND(VLOOKUP($BJ154,$AI$3:$AO$33,MATCH(BS$3,$AI$3:$AO$3,0),FALSE)+$BL154/VLOOKUP(VLOOKUP($BJ154,坦克个性化设定!$B$18:$E$48,4,FALSE)&amp;$BK154,坦克属性分配比例,MATCH("升星次数",坦克属性分配比例标头,0),FALSE)*VLOOKUP($BJ154,$AR$3:$AY$33,MATCH(BS$3,$AR$3:$AY$3,0),FALSE),1)</f>
        <v>43.6</v>
      </c>
      <c r="BT154" s="2">
        <f>ROUND(VLOOKUP($BJ154,$AI$3:$AO$33,MATCH(BT$3,$AI$3:$AO$3,0),FALSE)+$BL154/VLOOKUP(VLOOKUP($BJ154,坦克个性化设定!$B$18:$E$48,4,FALSE)&amp;$BK154,坦克属性分配比例,MATCH("升星次数",坦克属性分配比例标头,0),FALSE)*VLOOKUP($BJ154,$AR$3:$AY$33,MATCH(BT$3,$AR$3:$AY$3,0),FALSE),1)</f>
        <v>61.3</v>
      </c>
      <c r="BU154" s="2">
        <f>ROUND(VLOOKUP($BJ154,$AI$3:$AO$33,MATCH(BU$3,$AI$3:$AO$3,0),FALSE)+$BL154/VLOOKUP(VLOOKUP($BJ154,坦克个性化设定!$B$18:$E$48,4,FALSE)&amp;$BK154,坦克属性分配比例,MATCH("升星次数",坦克属性分配比例标头,0),FALSE)*VLOOKUP($BJ154,$AR$3:$AY$33,MATCH(BU$3,$AR$3:$AY$3,0),FALSE),1)</f>
        <v>7.6</v>
      </c>
      <c r="BV154" s="2">
        <f>IF(VLOOKUP(BJ154,坦克个性化设定!$B$18:$BC$48,MATCH("装弹类型",坦克个性化设定!$B$18:$BC$18,0),FALSE)="弹夹换弹",0,ROUND(VLOOKUP($BJ154,$AI$3:$AO$33,MATCH("换弹时间",$AI$3:$AO$3,0),FALSE)-$BL154/VLOOKUP(VLOOKUP($BJ154,坦克个性化设定!$B$18:$E$48,4,FALSE)&amp;$BK154,坦克属性分配比例,MATCH("升星次数",坦克属性分配比例标头,0),FALSE)*VLOOKUP($BJ154,$AR$3:$AY$33,MATCH("换弹时间",$AR$3:$AY$3,0),FALSE),2))</f>
        <v>2.65</v>
      </c>
      <c r="BW154" s="2">
        <f>IF(VLOOKUP(BJ154,坦克个性化设定!$B$18:$BC$48,MATCH("装弹类型",坦克个性化设定!$B$18:$BC$18,0),FALSE)="弹夹换弹",ROUND(VLOOKUP($BJ154,$AI$3:$AO$33,MATCH("换弹时间",$AI$3:$AO$3,0),FALSE)-$BL154/VLOOKUP(VLOOKUP($BJ154,坦克个性化设定!$B$18:$E$48,4,FALSE)&amp;$BK154,坦克属性分配比例,MATCH("升星次数",坦克属性分配比例标头,0),FALSE)*VLOOKUP($BJ154,$AR$3:$AY$33,MATCH("换弹时间",$AR$3:$AY$3,0),FALSE),1),0)</f>
        <v>0</v>
      </c>
      <c r="BX154" s="2">
        <f>ROUND(VLOOKUP($BJ154,$AI$3:$AO$33,MATCH(BX$3,$AI$3:$AO$3,0),FALSE)+$BL154/VLOOKUP(VLOOKUP($BJ154,坦克个性化设定!$B$18:$E$48,4,FALSE)&amp;$BK154,坦克属性分配比例,MATCH("升星次数",坦克属性分配比例标头,0),FALSE)*VLOOKUP($BJ154,$AR$3:$AY$33,MATCH(BX$3,$AR$3:$AY$3,0),FALSE),2)</f>
        <v>0.4</v>
      </c>
      <c r="BY154" s="2">
        <f>ROUND(VLOOKUP($BJ154,$AI$3:$AO$33,MATCH(BY$3,$AI$3:$AO$3,0),FALSE)-$BL154/VLOOKUP(VLOOKUP($BJ154,坦克个性化设定!$B$18:$E$48,4,FALSE)&amp;$BK154,坦克属性分配比例,MATCH("升星次数",坦克属性分配比例标头,0),FALSE)*VLOOKUP($BJ154,$AR$3:$AY$33,MATCH(BY$3,$AR$3:$AY$3,0),FALSE),2)</f>
        <v>1.02</v>
      </c>
    </row>
    <row r="155" spans="60:77" x14ac:dyDescent="0.3">
      <c r="BH155" s="2" t="str">
        <f t="shared" si="27"/>
        <v>彗星7</v>
      </c>
      <c r="BI155" s="2">
        <f>IF(BL154&gt;=VLOOKUP(VLOOKUP(BJ154,坦克个性化设定!$B$18:$E$48,4,FALSE)&amp;BK154,坦克属性分配比例,MATCH("升星次数",坦克属性分配比例标头,0),FALSE),BI154+1,BI154)</f>
        <v>16</v>
      </c>
      <c r="BJ155" s="2" t="str">
        <f t="shared" si="28"/>
        <v>彗星</v>
      </c>
      <c r="BK155" s="29" t="str">
        <f>VLOOKUP(BJ155,坦克个性化细分!$I$3:$J$33,2,FALSE)</f>
        <v>高</v>
      </c>
      <c r="BL155" s="2">
        <f t="shared" si="26"/>
        <v>7</v>
      </c>
      <c r="BM155" s="103">
        <f ca="1">ROUND(VLOOKUP($BJ155&amp;"初始",$S$3:$AE$63,MATCH(BM$3,$S$3:$AE$3,0),FALSE)+((VLOOKUP($BJ155&amp;"最终",$S$3:$AE$63,MATCH(BM$3,$S$3:$AE$3,0),FALSE)*坦克个性化细分!$C$9-VLOOKUP($BJ155&amp;"初始",$S$3:$AE$63,MATCH(BM$3,$S$3:$AE$3,0),FALSE))-(VLOOKUP($BJ155&amp;"最终",$S$3:$AE$63,MATCH(BM$3,$S$3:$AE$3,0),FALSE)-VLOOKUP($BJ155&amp;"初始",$S$3:$AE$63,MATCH(BM$3,$S$3:$AE$3,0),FALSE))*VLOOKUP(VLOOKUP($BJ155,坦克个性化设定!$B$18:$E$48,4,FALSE)&amp;$BK155,坦克属性分配比例,MATCH("部件比例",坦克属性分配比例标头,0),FALSE))*$BL155/VLOOKUP(VLOOKUP($BJ155,坦克个性化设定!$B$18:$E$48,4,FALSE)&amp;$BK155,坦克属性分配比例,MATCH("升星次数",坦克属性分配比例标头,0),FALSE),0)</f>
        <v>1823</v>
      </c>
      <c r="BN155" s="103">
        <f ca="1">ROUND(VLOOKUP($BJ155&amp;"初始",$S$3:$AE$63,MATCH(BN$3,$S$3:$AE$3,0),FALSE)+(VLOOKUP($BJ155&amp;"最终",$S$3:$AE$63,MATCH(BN$3,$S$3:$AE$3,0),FALSE)-VLOOKUP($BJ155&amp;"初始",$S$3:$AE$63,MATCH(BN$3,$S$3:$AE$3,0),FALSE))*$BL155/VLOOKUP(VLOOKUP($BJ155,坦克个性化设定!$B$18:$E$48,4,FALSE)&amp;$BK155,坦克属性分配比例,MATCH("升星次数",坦克属性分配比例标头,0),FALSE)*VLOOKUP(VLOOKUP($BJ155,坦克个性化设定!$B$18:$E$48,4,FALSE)&amp;$BK155,坦克属性分配比例,MATCH("升星比例",坦克属性分配比例标头,0),FALSE),0)</f>
        <v>220</v>
      </c>
      <c r="BO155" s="103">
        <f ca="1">ROUND(VLOOKUP($BJ155&amp;"初始",$S$3:$AE$63,MATCH(BO$3,$S$3:$AE$3,0),FALSE)+(VLOOKUP($BJ155&amp;"最终",$S$3:$AE$63,MATCH(BO$3,$S$3:$AE$3,0),FALSE)-VLOOKUP($BJ155&amp;"初始",$S$3:$AE$63,MATCH(BO$3,$S$3:$AE$3,0),FALSE))*$BL155/VLOOKUP(VLOOKUP($BJ155,坦克个性化设定!$B$18:$E$48,4,FALSE)&amp;$BK155,坦克属性分配比例,MATCH("升星次数",坦克属性分配比例标头,0),FALSE)*(VLOOKUP(VLOOKUP($BJ155,坦克个性化设定!$B$18:$E$48,4,FALSE)&amp;$BK155,坦克属性分配比例,MATCH("升星比例",坦克属性分配比例标头,0),FALSE)+VLOOKUP(VLOOKUP($BJ155,坦克个性化设定!$B$18:$E$48,4,FALSE)&amp;$BK155,坦克属性分配比例,MATCH("部件比例",坦克属性分配比例标头,0),FALSE)*$C$3),0)</f>
        <v>676</v>
      </c>
      <c r="BP155" s="103">
        <f ca="1">ROUND(VLOOKUP($BJ155&amp;"初始",$S$3:$AE$63,MATCH(BP$3,$S$3:$AE$3,0),FALSE)+(VLOOKUP($BJ155&amp;"最终",$S$3:$AE$63,MATCH(BP$3,$S$3:$AE$3,0),FALSE)-VLOOKUP($BJ155&amp;"初始",$S$3:$AE$63,MATCH(BP$3,$S$3:$AE$3,0),FALSE))*$BL155/VLOOKUP(VLOOKUP($BJ155,坦克个性化设定!$B$18:$E$48,4,FALSE)&amp;$BK155,坦克属性分配比例,MATCH("升星次数",坦克属性分配比例标头,0),FALSE)*(VLOOKUP(VLOOKUP($BJ155,坦克个性化设定!$B$18:$E$48,4,FALSE)&amp;$BK155,坦克属性分配比例,MATCH("升星比例",坦克属性分配比例标头,0),FALSE)+VLOOKUP(VLOOKUP($BJ155,坦克个性化设定!$B$18:$E$48,4,FALSE)&amp;$BK155,坦克属性分配比例,MATCH("部件比例",坦克属性分配比例标头,0),FALSE)*$C$3),0)</f>
        <v>304</v>
      </c>
      <c r="BQ155" s="103">
        <f ca="1">ROUND(VLOOKUP($BJ155&amp;"初始",$S$3:$AE$63,MATCH(BQ$3,$S$3:$AE$3,0),FALSE)+(VLOOKUP($BJ155&amp;"最终",$S$3:$AE$63,MATCH(BQ$3,$S$3:$AE$3,0),FALSE)-VLOOKUP($BJ155&amp;"初始",$S$3:$AE$63,MATCH(BQ$3,$S$3:$AE$3,0),FALSE))*$BL155/VLOOKUP(VLOOKUP($BJ155,坦克个性化设定!$B$18:$E$48,4,FALSE)&amp;$BK155,坦克属性分配比例,MATCH("升星次数",坦克属性分配比例标头,0),FALSE)*VLOOKUP(VLOOKUP($BJ155,坦克个性化设定!$B$18:$E$48,4,FALSE)&amp;$BK155,坦克属性分配比例,MATCH("升星比例",坦克属性分配比例标头,0),FALSE),0)</f>
        <v>687</v>
      </c>
      <c r="BR155" s="2">
        <f ca="1">ROUND(VLOOKUP($BJ155&amp;"初始",$S$3:$AE$63,MATCH(BR$3,$S$3:$AE$3,0),FALSE)+(VLOOKUP($BJ155&amp;"最终",$S$3:$AE$63,MATCH(BR$3,$S$3:$AE$3,0),FALSE)-VLOOKUP($BJ155&amp;"初始",$S$3:$AE$63,MATCH(BR$3,$S$3:$AE$3,0),FALSE))*$BL155/VLOOKUP(VLOOKUP($BJ155,坦克个性化设定!$B$18:$E$48,4,FALSE)&amp;$BK155,坦克属性分配比例,MATCH("升星次数",坦克属性分配比例标头,0),FALSE),0)</f>
        <v>181</v>
      </c>
      <c r="BS155" s="2">
        <f>ROUND(VLOOKUP($BJ155,$AI$3:$AO$33,MATCH(BS$3,$AI$3:$AO$3,0),FALSE)+$BL155/VLOOKUP(VLOOKUP($BJ155,坦克个性化设定!$B$18:$E$48,4,FALSE)&amp;$BK155,坦克属性分配比例,MATCH("升星次数",坦克属性分配比例标头,0),FALSE)*VLOOKUP($BJ155,$AR$3:$AY$33,MATCH(BS$3,$AR$3:$AY$3,0),FALSE),1)</f>
        <v>44.7</v>
      </c>
      <c r="BT155" s="2">
        <f>ROUND(VLOOKUP($BJ155,$AI$3:$AO$33,MATCH(BT$3,$AI$3:$AO$3,0),FALSE)+$BL155/VLOOKUP(VLOOKUP($BJ155,坦克个性化设定!$B$18:$E$48,4,FALSE)&amp;$BK155,坦克属性分配比例,MATCH("升星次数",坦克属性分配比例标头,0),FALSE)*VLOOKUP($BJ155,$AR$3:$AY$33,MATCH(BT$3,$AR$3:$AY$3,0),FALSE),1)</f>
        <v>62.7</v>
      </c>
      <c r="BU155" s="2">
        <f>ROUND(VLOOKUP($BJ155,$AI$3:$AO$33,MATCH(BU$3,$AI$3:$AO$3,0),FALSE)+$BL155/VLOOKUP(VLOOKUP($BJ155,坦克个性化设定!$B$18:$E$48,4,FALSE)&amp;$BK155,坦克属性分配比例,MATCH("升星次数",坦克属性分配比例标头,0),FALSE)*VLOOKUP($BJ155,$AR$3:$AY$33,MATCH(BU$3,$AR$3:$AY$3,0),FALSE),1)</f>
        <v>7.6</v>
      </c>
      <c r="BV155" s="2">
        <f>IF(VLOOKUP(BJ155,坦克个性化设定!$B$18:$BC$48,MATCH("装弹类型",坦克个性化设定!$B$18:$BC$18,0),FALSE)="弹夹换弹",0,ROUND(VLOOKUP($BJ155,$AI$3:$AO$33,MATCH("换弹时间",$AI$3:$AO$3,0),FALSE)-$BL155/VLOOKUP(VLOOKUP($BJ155,坦克个性化设定!$B$18:$E$48,4,FALSE)&amp;$BK155,坦克属性分配比例,MATCH("升星次数",坦克属性分配比例标头,0),FALSE)*VLOOKUP($BJ155,$AR$3:$AY$33,MATCH("换弹时间",$AR$3:$AY$3,0),FALSE),2))</f>
        <v>2.6</v>
      </c>
      <c r="BW155" s="2">
        <f>IF(VLOOKUP(BJ155,坦克个性化设定!$B$18:$BC$48,MATCH("装弹类型",坦克个性化设定!$B$18:$BC$18,0),FALSE)="弹夹换弹",ROUND(VLOOKUP($BJ155,$AI$3:$AO$33,MATCH("换弹时间",$AI$3:$AO$3,0),FALSE)-$BL155/VLOOKUP(VLOOKUP($BJ155,坦克个性化设定!$B$18:$E$48,4,FALSE)&amp;$BK155,坦克属性分配比例,MATCH("升星次数",坦克属性分配比例标头,0),FALSE)*VLOOKUP($BJ155,$AR$3:$AY$33,MATCH("换弹时间",$AR$3:$AY$3,0),FALSE),1),0)</f>
        <v>0</v>
      </c>
      <c r="BX155" s="2">
        <f>ROUND(VLOOKUP($BJ155,$AI$3:$AO$33,MATCH(BX$3,$AI$3:$AO$3,0),FALSE)+$BL155/VLOOKUP(VLOOKUP($BJ155,坦克个性化设定!$B$18:$E$48,4,FALSE)&amp;$BK155,坦克属性分配比例,MATCH("升星次数",坦克属性分配比例标头,0),FALSE)*VLOOKUP($BJ155,$AR$3:$AY$33,MATCH(BX$3,$AR$3:$AY$3,0),FALSE),2)</f>
        <v>0.4</v>
      </c>
      <c r="BY155" s="2">
        <f>ROUND(VLOOKUP($BJ155,$AI$3:$AO$33,MATCH(BY$3,$AI$3:$AO$3,0),FALSE)-$BL155/VLOOKUP(VLOOKUP($BJ155,坦克个性化设定!$B$18:$E$48,4,FALSE)&amp;$BK155,坦克属性分配比例,MATCH("升星次数",坦克属性分配比例标头,0),FALSE)*VLOOKUP($BJ155,$AR$3:$AY$33,MATCH(BY$3,$AR$3:$AY$3,0),FALSE),2)</f>
        <v>1</v>
      </c>
    </row>
    <row r="156" spans="60:77" x14ac:dyDescent="0.3">
      <c r="BH156" s="2" t="str">
        <f t="shared" si="27"/>
        <v>彗星8</v>
      </c>
      <c r="BI156" s="2">
        <f>IF(BL155&gt;=VLOOKUP(VLOOKUP(BJ155,坦克个性化设定!$B$18:$E$48,4,FALSE)&amp;BK155,坦克属性分配比例,MATCH("升星次数",坦克属性分配比例标头,0),FALSE),BI155+1,BI155)</f>
        <v>16</v>
      </c>
      <c r="BJ156" s="2" t="str">
        <f t="shared" si="28"/>
        <v>彗星</v>
      </c>
      <c r="BK156" s="29" t="str">
        <f>VLOOKUP(BJ156,坦克个性化细分!$I$3:$J$33,2,FALSE)</f>
        <v>高</v>
      </c>
      <c r="BL156" s="2">
        <f t="shared" si="26"/>
        <v>8</v>
      </c>
      <c r="BM156" s="103">
        <f ca="1">ROUND(VLOOKUP($BJ156&amp;"初始",$S$3:$AE$63,MATCH(BM$3,$S$3:$AE$3,0),FALSE)+((VLOOKUP($BJ156&amp;"最终",$S$3:$AE$63,MATCH(BM$3,$S$3:$AE$3,0),FALSE)*坦克个性化细分!$C$9-VLOOKUP($BJ156&amp;"初始",$S$3:$AE$63,MATCH(BM$3,$S$3:$AE$3,0),FALSE))-(VLOOKUP($BJ156&amp;"最终",$S$3:$AE$63,MATCH(BM$3,$S$3:$AE$3,0),FALSE)-VLOOKUP($BJ156&amp;"初始",$S$3:$AE$63,MATCH(BM$3,$S$3:$AE$3,0),FALSE))*VLOOKUP(VLOOKUP($BJ156,坦克个性化设定!$B$18:$E$48,4,FALSE)&amp;$BK156,坦克属性分配比例,MATCH("部件比例",坦克属性分配比例标头,0),FALSE))*$BL156/VLOOKUP(VLOOKUP($BJ156,坦克个性化设定!$B$18:$E$48,4,FALSE)&amp;$BK156,坦克属性分配比例,MATCH("升星次数",坦克属性分配比例标头,0),FALSE),0)</f>
        <v>1897</v>
      </c>
      <c r="BN156" s="103">
        <f ca="1">ROUND(VLOOKUP($BJ156&amp;"初始",$S$3:$AE$63,MATCH(BN$3,$S$3:$AE$3,0),FALSE)+(VLOOKUP($BJ156&amp;"最终",$S$3:$AE$63,MATCH(BN$3,$S$3:$AE$3,0),FALSE)-VLOOKUP($BJ156&amp;"初始",$S$3:$AE$63,MATCH(BN$3,$S$3:$AE$3,0),FALSE))*$BL156/VLOOKUP(VLOOKUP($BJ156,坦克个性化设定!$B$18:$E$48,4,FALSE)&amp;$BK156,坦克属性分配比例,MATCH("升星次数",坦克属性分配比例标头,0),FALSE)*VLOOKUP(VLOOKUP($BJ156,坦克个性化设定!$B$18:$E$48,4,FALSE)&amp;$BK156,坦克属性分配比例,MATCH("升星比例",坦克属性分配比例标头,0),FALSE),0)</f>
        <v>226</v>
      </c>
      <c r="BO156" s="103">
        <f ca="1">ROUND(VLOOKUP($BJ156&amp;"初始",$S$3:$AE$63,MATCH(BO$3,$S$3:$AE$3,0),FALSE)+(VLOOKUP($BJ156&amp;"最终",$S$3:$AE$63,MATCH(BO$3,$S$3:$AE$3,0),FALSE)-VLOOKUP($BJ156&amp;"初始",$S$3:$AE$63,MATCH(BO$3,$S$3:$AE$3,0),FALSE))*$BL156/VLOOKUP(VLOOKUP($BJ156,坦克个性化设定!$B$18:$E$48,4,FALSE)&amp;$BK156,坦克属性分配比例,MATCH("升星次数",坦克属性分配比例标头,0),FALSE)*(VLOOKUP(VLOOKUP($BJ156,坦克个性化设定!$B$18:$E$48,4,FALSE)&amp;$BK156,坦克属性分配比例,MATCH("升星比例",坦克属性分配比例标头,0),FALSE)+VLOOKUP(VLOOKUP($BJ156,坦克个性化设定!$B$18:$E$48,4,FALSE)&amp;$BK156,坦克属性分配比例,MATCH("部件比例",坦克属性分配比例标头,0),FALSE)*$C$3),0)</f>
        <v>700</v>
      </c>
      <c r="BP156" s="103">
        <f ca="1">ROUND(VLOOKUP($BJ156&amp;"初始",$S$3:$AE$63,MATCH(BP$3,$S$3:$AE$3,0),FALSE)+(VLOOKUP($BJ156&amp;"最终",$S$3:$AE$63,MATCH(BP$3,$S$3:$AE$3,0),FALSE)-VLOOKUP($BJ156&amp;"初始",$S$3:$AE$63,MATCH(BP$3,$S$3:$AE$3,0),FALSE))*$BL156/VLOOKUP(VLOOKUP($BJ156,坦克个性化设定!$B$18:$E$48,4,FALSE)&amp;$BK156,坦克属性分配比例,MATCH("升星次数",坦克属性分配比例标头,0),FALSE)*(VLOOKUP(VLOOKUP($BJ156,坦克个性化设定!$B$18:$E$48,4,FALSE)&amp;$BK156,坦克属性分配比例,MATCH("升星比例",坦克属性分配比例标头,0),FALSE)+VLOOKUP(VLOOKUP($BJ156,坦克个性化设定!$B$18:$E$48,4,FALSE)&amp;$BK156,坦克属性分配比例,MATCH("部件比例",坦克属性分配比例标头,0),FALSE)*$C$3),0)</f>
        <v>315</v>
      </c>
      <c r="BQ156" s="103">
        <f ca="1">ROUND(VLOOKUP($BJ156&amp;"初始",$S$3:$AE$63,MATCH(BQ$3,$S$3:$AE$3,0),FALSE)+(VLOOKUP($BJ156&amp;"最终",$S$3:$AE$63,MATCH(BQ$3,$S$3:$AE$3,0),FALSE)-VLOOKUP($BJ156&amp;"初始",$S$3:$AE$63,MATCH(BQ$3,$S$3:$AE$3,0),FALSE))*$BL156/VLOOKUP(VLOOKUP($BJ156,坦克个性化设定!$B$18:$E$48,4,FALSE)&amp;$BK156,坦克属性分配比例,MATCH("升星次数",坦克属性分配比例标头,0),FALSE)*VLOOKUP(VLOOKUP($BJ156,坦克个性化设定!$B$18:$E$48,4,FALSE)&amp;$BK156,坦克属性分配比例,MATCH("升星比例",坦克属性分配比例标头,0),FALSE),0)</f>
        <v>706</v>
      </c>
      <c r="BR156" s="2">
        <f ca="1">ROUND(VLOOKUP($BJ156&amp;"初始",$S$3:$AE$63,MATCH(BR$3,$S$3:$AE$3,0),FALSE)+(VLOOKUP($BJ156&amp;"最终",$S$3:$AE$63,MATCH(BR$3,$S$3:$AE$3,0),FALSE)-VLOOKUP($BJ156&amp;"初始",$S$3:$AE$63,MATCH(BR$3,$S$3:$AE$3,0),FALSE))*$BL156/VLOOKUP(VLOOKUP($BJ156,坦克个性化设定!$B$18:$E$48,4,FALSE)&amp;$BK156,坦克属性分配比例,MATCH("升星次数",坦克属性分配比例标头,0),FALSE),0)</f>
        <v>189</v>
      </c>
      <c r="BS156" s="2">
        <f>ROUND(VLOOKUP($BJ156,$AI$3:$AO$33,MATCH(BS$3,$AI$3:$AO$3,0),FALSE)+$BL156/VLOOKUP(VLOOKUP($BJ156,坦克个性化设定!$B$18:$E$48,4,FALSE)&amp;$BK156,坦克属性分配比例,MATCH("升星次数",坦克属性分配比例标头,0),FALSE)*VLOOKUP($BJ156,$AR$3:$AY$33,MATCH(BS$3,$AR$3:$AY$3,0),FALSE),1)</f>
        <v>45.7</v>
      </c>
      <c r="BT156" s="2">
        <f>ROUND(VLOOKUP($BJ156,$AI$3:$AO$33,MATCH(BT$3,$AI$3:$AO$3,0),FALSE)+$BL156/VLOOKUP(VLOOKUP($BJ156,坦克个性化设定!$B$18:$E$48,4,FALSE)&amp;$BK156,坦克属性分配比例,MATCH("升星次数",坦克属性分配比例标头,0),FALSE)*VLOOKUP($BJ156,$AR$3:$AY$33,MATCH(BT$3,$AR$3:$AY$3,0),FALSE),1)</f>
        <v>64.2</v>
      </c>
      <c r="BU156" s="2">
        <f>ROUND(VLOOKUP($BJ156,$AI$3:$AO$33,MATCH(BU$3,$AI$3:$AO$3,0),FALSE)+$BL156/VLOOKUP(VLOOKUP($BJ156,坦克个性化设定!$B$18:$E$48,4,FALSE)&amp;$BK156,坦克属性分配比例,MATCH("升星次数",坦克属性分配比例标头,0),FALSE)*VLOOKUP($BJ156,$AR$3:$AY$33,MATCH(BU$3,$AR$3:$AY$3,0),FALSE),1)</f>
        <v>7.6</v>
      </c>
      <c r="BV156" s="2">
        <f>IF(VLOOKUP(BJ156,坦克个性化设定!$B$18:$BC$48,MATCH("装弹类型",坦克个性化设定!$B$18:$BC$18,0),FALSE)="弹夹换弹",0,ROUND(VLOOKUP($BJ156,$AI$3:$AO$33,MATCH("换弹时间",$AI$3:$AO$3,0),FALSE)-$BL156/VLOOKUP(VLOOKUP($BJ156,坦克个性化设定!$B$18:$E$48,4,FALSE)&amp;$BK156,坦克属性分配比例,MATCH("升星次数",坦克属性分配比例标头,0),FALSE)*VLOOKUP($BJ156,$AR$3:$AY$33,MATCH("换弹时间",$AR$3:$AY$3,0),FALSE),2))</f>
        <v>2.54</v>
      </c>
      <c r="BW156" s="2">
        <f>IF(VLOOKUP(BJ156,坦克个性化设定!$B$18:$BC$48,MATCH("装弹类型",坦克个性化设定!$B$18:$BC$18,0),FALSE)="弹夹换弹",ROUND(VLOOKUP($BJ156,$AI$3:$AO$33,MATCH("换弹时间",$AI$3:$AO$3,0),FALSE)-$BL156/VLOOKUP(VLOOKUP($BJ156,坦克个性化设定!$B$18:$E$48,4,FALSE)&amp;$BK156,坦克属性分配比例,MATCH("升星次数",坦克属性分配比例标头,0),FALSE)*VLOOKUP($BJ156,$AR$3:$AY$33,MATCH("换弹时间",$AR$3:$AY$3,0),FALSE),1),0)</f>
        <v>0</v>
      </c>
      <c r="BX156" s="2">
        <f>ROUND(VLOOKUP($BJ156,$AI$3:$AO$33,MATCH(BX$3,$AI$3:$AO$3,0),FALSE)+$BL156/VLOOKUP(VLOOKUP($BJ156,坦克个性化设定!$B$18:$E$48,4,FALSE)&amp;$BK156,坦克属性分配比例,MATCH("升星次数",坦克属性分配比例标头,0),FALSE)*VLOOKUP($BJ156,$AR$3:$AY$33,MATCH(BX$3,$AR$3:$AY$3,0),FALSE),2)</f>
        <v>0.4</v>
      </c>
      <c r="BY156" s="2">
        <f>ROUND(VLOOKUP($BJ156,$AI$3:$AO$33,MATCH(BY$3,$AI$3:$AO$3,0),FALSE)-$BL156/VLOOKUP(VLOOKUP($BJ156,坦克个性化设定!$B$18:$E$48,4,FALSE)&amp;$BK156,坦克属性分配比例,MATCH("升星次数",坦克属性分配比例标头,0),FALSE)*VLOOKUP($BJ156,$AR$3:$AY$33,MATCH(BY$3,$AR$3:$AY$3,0),FALSE),2)</f>
        <v>0.98</v>
      </c>
    </row>
    <row r="157" spans="60:77" x14ac:dyDescent="0.3">
      <c r="BH157" s="2" t="str">
        <f t="shared" si="27"/>
        <v>彗星9</v>
      </c>
      <c r="BI157" s="2">
        <f>IF(BL156&gt;=VLOOKUP(VLOOKUP(BJ156,坦克个性化设定!$B$18:$E$48,4,FALSE)&amp;BK156,坦克属性分配比例,MATCH("升星次数",坦克属性分配比例标头,0),FALSE),BI156+1,BI156)</f>
        <v>16</v>
      </c>
      <c r="BJ157" s="2" t="str">
        <f t="shared" si="28"/>
        <v>彗星</v>
      </c>
      <c r="BK157" s="29" t="str">
        <f>VLOOKUP(BJ157,坦克个性化细分!$I$3:$J$33,2,FALSE)</f>
        <v>高</v>
      </c>
      <c r="BL157" s="2">
        <f t="shared" si="26"/>
        <v>9</v>
      </c>
      <c r="BM157" s="103">
        <f ca="1">ROUND(VLOOKUP($BJ157&amp;"初始",$S$3:$AE$63,MATCH(BM$3,$S$3:$AE$3,0),FALSE)+((VLOOKUP($BJ157&amp;"最终",$S$3:$AE$63,MATCH(BM$3,$S$3:$AE$3,0),FALSE)*坦克个性化细分!$C$9-VLOOKUP($BJ157&amp;"初始",$S$3:$AE$63,MATCH(BM$3,$S$3:$AE$3,0),FALSE))-(VLOOKUP($BJ157&amp;"最终",$S$3:$AE$63,MATCH(BM$3,$S$3:$AE$3,0),FALSE)-VLOOKUP($BJ157&amp;"初始",$S$3:$AE$63,MATCH(BM$3,$S$3:$AE$3,0),FALSE))*VLOOKUP(VLOOKUP($BJ157,坦克个性化设定!$B$18:$E$48,4,FALSE)&amp;$BK157,坦克属性分配比例,MATCH("部件比例",坦克属性分配比例标头,0),FALSE))*$BL157/VLOOKUP(VLOOKUP($BJ157,坦克个性化设定!$B$18:$E$48,4,FALSE)&amp;$BK157,坦克属性分配比例,MATCH("升星次数",坦克属性分配比例标头,0),FALSE),0)</f>
        <v>1971</v>
      </c>
      <c r="BN157" s="103">
        <f ca="1">ROUND(VLOOKUP($BJ157&amp;"初始",$S$3:$AE$63,MATCH(BN$3,$S$3:$AE$3,0),FALSE)+(VLOOKUP($BJ157&amp;"最终",$S$3:$AE$63,MATCH(BN$3,$S$3:$AE$3,0),FALSE)-VLOOKUP($BJ157&amp;"初始",$S$3:$AE$63,MATCH(BN$3,$S$3:$AE$3,0),FALSE))*$BL157/VLOOKUP(VLOOKUP($BJ157,坦克个性化设定!$B$18:$E$48,4,FALSE)&amp;$BK157,坦克属性分配比例,MATCH("升星次数",坦克属性分配比例标头,0),FALSE)*VLOOKUP(VLOOKUP($BJ157,坦克个性化设定!$B$18:$E$48,4,FALSE)&amp;$BK157,坦克属性分配比例,MATCH("升星比例",坦克属性分配比例标头,0),FALSE),0)</f>
        <v>232</v>
      </c>
      <c r="BO157" s="103">
        <f ca="1">ROUND(VLOOKUP($BJ157&amp;"初始",$S$3:$AE$63,MATCH(BO$3,$S$3:$AE$3,0),FALSE)+(VLOOKUP($BJ157&amp;"最终",$S$3:$AE$63,MATCH(BO$3,$S$3:$AE$3,0),FALSE)-VLOOKUP($BJ157&amp;"初始",$S$3:$AE$63,MATCH(BO$3,$S$3:$AE$3,0),FALSE))*$BL157/VLOOKUP(VLOOKUP($BJ157,坦克个性化设定!$B$18:$E$48,4,FALSE)&amp;$BK157,坦克属性分配比例,MATCH("升星次数",坦克属性分配比例标头,0),FALSE)*(VLOOKUP(VLOOKUP($BJ157,坦克个性化设定!$B$18:$E$48,4,FALSE)&amp;$BK157,坦克属性分配比例,MATCH("升星比例",坦克属性分配比例标头,0),FALSE)+VLOOKUP(VLOOKUP($BJ157,坦克个性化设定!$B$18:$E$48,4,FALSE)&amp;$BK157,坦克属性分配比例,MATCH("部件比例",坦克属性分配比例标头,0),FALSE)*$C$3),0)</f>
        <v>724</v>
      </c>
      <c r="BP157" s="103">
        <f ca="1">ROUND(VLOOKUP($BJ157&amp;"初始",$S$3:$AE$63,MATCH(BP$3,$S$3:$AE$3,0),FALSE)+(VLOOKUP($BJ157&amp;"最终",$S$3:$AE$63,MATCH(BP$3,$S$3:$AE$3,0),FALSE)-VLOOKUP($BJ157&amp;"初始",$S$3:$AE$63,MATCH(BP$3,$S$3:$AE$3,0),FALSE))*$BL157/VLOOKUP(VLOOKUP($BJ157,坦克个性化设定!$B$18:$E$48,4,FALSE)&amp;$BK157,坦克属性分配比例,MATCH("升星次数",坦克属性分配比例标头,0),FALSE)*(VLOOKUP(VLOOKUP($BJ157,坦克个性化设定!$B$18:$E$48,4,FALSE)&amp;$BK157,坦克属性分配比例,MATCH("升星比例",坦克属性分配比例标头,0),FALSE)+VLOOKUP(VLOOKUP($BJ157,坦克个性化设定!$B$18:$E$48,4,FALSE)&amp;$BK157,坦克属性分配比例,MATCH("部件比例",坦克属性分配比例标头,0),FALSE)*$C$3),0)</f>
        <v>326</v>
      </c>
      <c r="BQ157" s="103">
        <f ca="1">ROUND(VLOOKUP($BJ157&amp;"初始",$S$3:$AE$63,MATCH(BQ$3,$S$3:$AE$3,0),FALSE)+(VLOOKUP($BJ157&amp;"最终",$S$3:$AE$63,MATCH(BQ$3,$S$3:$AE$3,0),FALSE)-VLOOKUP($BJ157&amp;"初始",$S$3:$AE$63,MATCH(BQ$3,$S$3:$AE$3,0),FALSE))*$BL157/VLOOKUP(VLOOKUP($BJ157,坦克个性化设定!$B$18:$E$48,4,FALSE)&amp;$BK157,坦克属性分配比例,MATCH("升星次数",坦克属性分配比例标头,0),FALSE)*VLOOKUP(VLOOKUP($BJ157,坦克个性化设定!$B$18:$E$48,4,FALSE)&amp;$BK157,坦克属性分配比例,MATCH("升星比例",坦克属性分配比例标头,0),FALSE),0)</f>
        <v>725</v>
      </c>
      <c r="BR157" s="2">
        <f ca="1">ROUND(VLOOKUP($BJ157&amp;"初始",$S$3:$AE$63,MATCH(BR$3,$S$3:$AE$3,0),FALSE)+(VLOOKUP($BJ157&amp;"最终",$S$3:$AE$63,MATCH(BR$3,$S$3:$AE$3,0),FALSE)-VLOOKUP($BJ157&amp;"初始",$S$3:$AE$63,MATCH(BR$3,$S$3:$AE$3,0),FALSE))*$BL157/VLOOKUP(VLOOKUP($BJ157,坦克个性化设定!$B$18:$E$48,4,FALSE)&amp;$BK157,坦克属性分配比例,MATCH("升星次数",坦克属性分配比例标头,0),FALSE),0)</f>
        <v>196</v>
      </c>
      <c r="BS157" s="2">
        <f>ROUND(VLOOKUP($BJ157,$AI$3:$AO$33,MATCH(BS$3,$AI$3:$AO$3,0),FALSE)+$BL157/VLOOKUP(VLOOKUP($BJ157,坦克个性化设定!$B$18:$E$48,4,FALSE)&amp;$BK157,坦克属性分配比例,MATCH("升星次数",坦克属性分配比例标头,0),FALSE)*VLOOKUP($BJ157,$AR$3:$AY$33,MATCH(BS$3,$AR$3:$AY$3,0),FALSE),1)</f>
        <v>46.8</v>
      </c>
      <c r="BT157" s="2">
        <f>ROUND(VLOOKUP($BJ157,$AI$3:$AO$33,MATCH(BT$3,$AI$3:$AO$3,0),FALSE)+$BL157/VLOOKUP(VLOOKUP($BJ157,坦克个性化设定!$B$18:$E$48,4,FALSE)&amp;$BK157,坦克属性分配比例,MATCH("升星次数",坦克属性分配比例标头,0),FALSE)*VLOOKUP($BJ157,$AR$3:$AY$33,MATCH(BT$3,$AR$3:$AY$3,0),FALSE),1)</f>
        <v>65.599999999999994</v>
      </c>
      <c r="BU157" s="2">
        <f>ROUND(VLOOKUP($BJ157,$AI$3:$AO$33,MATCH(BU$3,$AI$3:$AO$3,0),FALSE)+$BL157/VLOOKUP(VLOOKUP($BJ157,坦克个性化设定!$B$18:$E$48,4,FALSE)&amp;$BK157,坦克属性分配比例,MATCH("升星次数",坦克属性分配比例标头,0),FALSE)*VLOOKUP($BJ157,$AR$3:$AY$33,MATCH(BU$3,$AR$3:$AY$3,0),FALSE),1)</f>
        <v>7.6</v>
      </c>
      <c r="BV157" s="2">
        <f>IF(VLOOKUP(BJ157,坦克个性化设定!$B$18:$BC$48,MATCH("装弹类型",坦克个性化设定!$B$18:$BC$18,0),FALSE)="弹夹换弹",0,ROUND(VLOOKUP($BJ157,$AI$3:$AO$33,MATCH("换弹时间",$AI$3:$AO$3,0),FALSE)-$BL157/VLOOKUP(VLOOKUP($BJ157,坦克个性化设定!$B$18:$E$48,4,FALSE)&amp;$BK157,坦克属性分配比例,MATCH("升星次数",坦克属性分配比例标头,0),FALSE)*VLOOKUP($BJ157,$AR$3:$AY$33,MATCH("换弹时间",$AR$3:$AY$3,0),FALSE),2))</f>
        <v>2.48</v>
      </c>
      <c r="BW157" s="2">
        <f>IF(VLOOKUP(BJ157,坦克个性化设定!$B$18:$BC$48,MATCH("装弹类型",坦克个性化设定!$B$18:$BC$18,0),FALSE)="弹夹换弹",ROUND(VLOOKUP($BJ157,$AI$3:$AO$33,MATCH("换弹时间",$AI$3:$AO$3,0),FALSE)-$BL157/VLOOKUP(VLOOKUP($BJ157,坦克个性化设定!$B$18:$E$48,4,FALSE)&amp;$BK157,坦克属性分配比例,MATCH("升星次数",坦克属性分配比例标头,0),FALSE)*VLOOKUP($BJ157,$AR$3:$AY$33,MATCH("换弹时间",$AR$3:$AY$3,0),FALSE),1),0)</f>
        <v>0</v>
      </c>
      <c r="BX157" s="2">
        <f>ROUND(VLOOKUP($BJ157,$AI$3:$AO$33,MATCH(BX$3,$AI$3:$AO$3,0),FALSE)+$BL157/VLOOKUP(VLOOKUP($BJ157,坦克个性化设定!$B$18:$E$48,4,FALSE)&amp;$BK157,坦克属性分配比例,MATCH("升星次数",坦克属性分配比例标头,0),FALSE)*VLOOKUP($BJ157,$AR$3:$AY$33,MATCH(BX$3,$AR$3:$AY$3,0),FALSE),2)</f>
        <v>0.4</v>
      </c>
      <c r="BY157" s="2">
        <f>ROUND(VLOOKUP($BJ157,$AI$3:$AO$33,MATCH(BY$3,$AI$3:$AO$3,0),FALSE)-$BL157/VLOOKUP(VLOOKUP($BJ157,坦克个性化设定!$B$18:$E$48,4,FALSE)&amp;$BK157,坦克属性分配比例,MATCH("升星次数",坦克属性分配比例标头,0),FALSE)*VLOOKUP($BJ157,$AR$3:$AY$33,MATCH(BY$3,$AR$3:$AY$3,0),FALSE),2)</f>
        <v>0.96</v>
      </c>
    </row>
    <row r="158" spans="60:77" x14ac:dyDescent="0.3">
      <c r="BH158" s="2" t="str">
        <f t="shared" si="27"/>
        <v>M-480</v>
      </c>
      <c r="BI158" s="2">
        <f>IF(BL157&gt;=VLOOKUP(VLOOKUP(BJ157,坦克个性化设定!$B$18:$E$48,4,FALSE)&amp;BK157,坦克属性分配比例,MATCH("升星次数",坦克属性分配比例标头,0),FALSE),BI157+1,BI157)</f>
        <v>17</v>
      </c>
      <c r="BJ158" s="2" t="str">
        <f t="shared" si="28"/>
        <v>M-48</v>
      </c>
      <c r="BK158" s="29" t="str">
        <f>VLOOKUP(BJ158,坦克个性化细分!$I$3:$J$33,2,FALSE)</f>
        <v>低</v>
      </c>
      <c r="BL158" s="2">
        <f t="shared" si="26"/>
        <v>0</v>
      </c>
      <c r="BM158" s="103" t="e">
        <f ca="1">ROUND(VLOOKUP($BJ158&amp;"初始",$S$3:$AE$63,MATCH(BM$3,$S$3:$AE$3,0),FALSE)+((VLOOKUP($BJ158&amp;"最终",$S$3:$AE$63,MATCH(BM$3,$S$3:$AE$3,0),FALSE)*坦克个性化细分!$C$9-VLOOKUP($BJ158&amp;"初始",$S$3:$AE$63,MATCH(BM$3,$S$3:$AE$3,0),FALSE))-(VLOOKUP($BJ158&amp;"最终",$S$3:$AE$63,MATCH(BM$3,$S$3:$AE$3,0),FALSE)-VLOOKUP($BJ158&amp;"初始",$S$3:$AE$63,MATCH(BM$3,$S$3:$AE$3,0),FALSE))*VLOOKUP(VLOOKUP($BJ158,坦克个性化设定!$B$18:$E$48,4,FALSE)&amp;$BK158,坦克属性分配比例,MATCH("部件比例",坦克属性分配比例标头,0),FALSE))*$BL158/VLOOKUP(VLOOKUP($BJ158,坦克个性化设定!$B$18:$E$48,4,FALSE)&amp;$BK158,坦克属性分配比例,MATCH("升星次数",坦克属性分配比例标头,0),FALSE),0)</f>
        <v>#N/A</v>
      </c>
      <c r="BN158" s="103" t="e">
        <f ca="1">ROUND(VLOOKUP($BJ158&amp;"初始",$S$3:$AE$63,MATCH(BN$3,$S$3:$AE$3,0),FALSE)+(VLOOKUP($BJ158&amp;"最终",$S$3:$AE$63,MATCH(BN$3,$S$3:$AE$3,0),FALSE)-VLOOKUP($BJ158&amp;"初始",$S$3:$AE$63,MATCH(BN$3,$S$3:$AE$3,0),FALSE))*$BL158/VLOOKUP(VLOOKUP($BJ158,坦克个性化设定!$B$18:$E$48,4,FALSE)&amp;$BK158,坦克属性分配比例,MATCH("升星次数",坦克属性分配比例标头,0),FALSE)*VLOOKUP(VLOOKUP($BJ158,坦克个性化设定!$B$18:$E$48,4,FALSE)&amp;$BK158,坦克属性分配比例,MATCH("升星比例",坦克属性分配比例标头,0),FALSE),0)</f>
        <v>#N/A</v>
      </c>
      <c r="BO158" s="103" t="e">
        <f ca="1">ROUND(VLOOKUP($BJ158&amp;"初始",$S$3:$AE$63,MATCH(BO$3,$S$3:$AE$3,0),FALSE)+(VLOOKUP($BJ158&amp;"最终",$S$3:$AE$63,MATCH(BO$3,$S$3:$AE$3,0),FALSE)-VLOOKUP($BJ158&amp;"初始",$S$3:$AE$63,MATCH(BO$3,$S$3:$AE$3,0),FALSE))*$BL158/VLOOKUP(VLOOKUP($BJ158,坦克个性化设定!$B$18:$E$48,4,FALSE)&amp;$BK158,坦克属性分配比例,MATCH("升星次数",坦克属性分配比例标头,0),FALSE)*(VLOOKUP(VLOOKUP($BJ158,坦克个性化设定!$B$18:$E$48,4,FALSE)&amp;$BK158,坦克属性分配比例,MATCH("升星比例",坦克属性分配比例标头,0),FALSE)+VLOOKUP(VLOOKUP($BJ158,坦克个性化设定!$B$18:$E$48,4,FALSE)&amp;$BK158,坦克属性分配比例,MATCH("部件比例",坦克属性分配比例标头,0),FALSE)*$C$3),0)</f>
        <v>#N/A</v>
      </c>
      <c r="BP158" s="103" t="e">
        <f ca="1">ROUND(VLOOKUP($BJ158&amp;"初始",$S$3:$AE$63,MATCH(BP$3,$S$3:$AE$3,0),FALSE)+(VLOOKUP($BJ158&amp;"最终",$S$3:$AE$63,MATCH(BP$3,$S$3:$AE$3,0),FALSE)-VLOOKUP($BJ158&amp;"初始",$S$3:$AE$63,MATCH(BP$3,$S$3:$AE$3,0),FALSE))*$BL158/VLOOKUP(VLOOKUP($BJ158,坦克个性化设定!$B$18:$E$48,4,FALSE)&amp;$BK158,坦克属性分配比例,MATCH("升星次数",坦克属性分配比例标头,0),FALSE)*(VLOOKUP(VLOOKUP($BJ158,坦克个性化设定!$B$18:$E$48,4,FALSE)&amp;$BK158,坦克属性分配比例,MATCH("升星比例",坦克属性分配比例标头,0),FALSE)+VLOOKUP(VLOOKUP($BJ158,坦克个性化设定!$B$18:$E$48,4,FALSE)&amp;$BK158,坦克属性分配比例,MATCH("部件比例",坦克属性分配比例标头,0),FALSE)*$C$3),0)</f>
        <v>#N/A</v>
      </c>
      <c r="BQ158" s="103" t="e">
        <f ca="1">ROUND(VLOOKUP($BJ158&amp;"初始",$S$3:$AE$63,MATCH(BQ$3,$S$3:$AE$3,0),FALSE)+(VLOOKUP($BJ158&amp;"最终",$S$3:$AE$63,MATCH(BQ$3,$S$3:$AE$3,0),FALSE)-VLOOKUP($BJ158&amp;"初始",$S$3:$AE$63,MATCH(BQ$3,$S$3:$AE$3,0),FALSE))*$BL158/VLOOKUP(VLOOKUP($BJ158,坦克个性化设定!$B$18:$E$48,4,FALSE)&amp;$BK158,坦克属性分配比例,MATCH("升星次数",坦克属性分配比例标头,0),FALSE)*VLOOKUP(VLOOKUP($BJ158,坦克个性化设定!$B$18:$E$48,4,FALSE)&amp;$BK158,坦克属性分配比例,MATCH("升星比例",坦克属性分配比例标头,0),FALSE),0)</f>
        <v>#N/A</v>
      </c>
      <c r="BR158" s="2" t="e">
        <f ca="1">ROUND(VLOOKUP($BJ158&amp;"初始",$S$3:$AE$63,MATCH(BR$3,$S$3:$AE$3,0),FALSE)+(VLOOKUP($BJ158&amp;"最终",$S$3:$AE$63,MATCH(BR$3,$S$3:$AE$3,0),FALSE)-VLOOKUP($BJ158&amp;"初始",$S$3:$AE$63,MATCH(BR$3,$S$3:$AE$3,0),FALSE))*$BL158/VLOOKUP(VLOOKUP($BJ158,坦克个性化设定!$B$18:$E$48,4,FALSE)&amp;$BK158,坦克属性分配比例,MATCH("升星次数",坦克属性分配比例标头,0),FALSE),0)</f>
        <v>#N/A</v>
      </c>
      <c r="BS158" s="2">
        <f>ROUND(VLOOKUP($BJ158,$AI$3:$AO$33,MATCH(BS$3,$AI$3:$AO$3,0),FALSE)+$BL158/VLOOKUP(VLOOKUP($BJ158,坦克个性化设定!$B$18:$E$48,4,FALSE)&amp;$BK158,坦克属性分配比例,MATCH("升星次数",坦克属性分配比例标头,0),FALSE)*VLOOKUP($BJ158,$AR$3:$AY$33,MATCH(BS$3,$AR$3:$AY$3,0),FALSE),1)</f>
        <v>44.5</v>
      </c>
      <c r="BT158" s="2">
        <f>ROUND(VLOOKUP($BJ158,$AI$3:$AO$33,MATCH(BT$3,$AI$3:$AO$3,0),FALSE)+$BL158/VLOOKUP(VLOOKUP($BJ158,坦克个性化设定!$B$18:$E$48,4,FALSE)&amp;$BK158,坦克属性分配比例,MATCH("升星次数",坦克属性分配比例标头,0),FALSE)*VLOOKUP($BJ158,$AR$3:$AY$33,MATCH(BT$3,$AR$3:$AY$3,0),FALSE),1)</f>
        <v>40</v>
      </c>
      <c r="BU158" s="2">
        <f>ROUND(VLOOKUP($BJ158,$AI$3:$AO$33,MATCH(BU$3,$AI$3:$AO$3,0),FALSE)+$BL158/VLOOKUP(VLOOKUP($BJ158,坦克个性化设定!$B$18:$E$48,4,FALSE)&amp;$BK158,坦克属性分配比例,MATCH("升星次数",坦克属性分配比例标头,0),FALSE)*VLOOKUP($BJ158,$AR$3:$AY$33,MATCH(BU$3,$AR$3:$AY$3,0),FALSE),1)</f>
        <v>8</v>
      </c>
      <c r="BV158" s="2">
        <f>IF(VLOOKUP(BJ158,坦克个性化设定!$B$18:$BC$48,MATCH("装弹类型",坦克个性化设定!$B$18:$BC$18,0),FALSE)="弹夹换弹",0,ROUND(VLOOKUP($BJ158,$AI$3:$AO$33,MATCH("换弹时间",$AI$3:$AO$3,0),FALSE)-$BL158/VLOOKUP(VLOOKUP($BJ158,坦克个性化设定!$B$18:$E$48,4,FALSE)&amp;$BK158,坦克属性分配比例,MATCH("升星次数",坦克属性分配比例标头,0),FALSE)*VLOOKUP($BJ158,$AR$3:$AY$33,MATCH("换弹时间",$AR$3:$AY$3,0),FALSE),2))</f>
        <v>0</v>
      </c>
      <c r="BW158" s="2">
        <f>IF(VLOOKUP(BJ158,坦克个性化设定!$B$18:$BC$48,MATCH("装弹类型",坦克个性化设定!$B$18:$BC$18,0),FALSE)="弹夹换弹",ROUND(VLOOKUP($BJ158,$AI$3:$AO$33,MATCH("换弹时间",$AI$3:$AO$3,0),FALSE)-$BL158/VLOOKUP(VLOOKUP($BJ158,坦克个性化设定!$B$18:$E$48,4,FALSE)&amp;$BK158,坦克属性分配比例,MATCH("升星次数",坦克属性分配比例标头,0),FALSE)*VLOOKUP($BJ158,$AR$3:$AY$33,MATCH("换弹时间",$AR$3:$AY$3,0),FALSE),1),0)</f>
        <v>2.4</v>
      </c>
      <c r="BX158" s="2">
        <f>ROUND(VLOOKUP($BJ158,$AI$3:$AO$33,MATCH(BX$3,$AI$3:$AO$3,0),FALSE)+$BL158/VLOOKUP(VLOOKUP($BJ158,坦克个性化设定!$B$18:$E$48,4,FALSE)&amp;$BK158,坦克属性分配比例,MATCH("升星次数",坦克属性分配比例标头,0),FALSE)*VLOOKUP($BJ158,$AR$3:$AY$33,MATCH(BX$3,$AR$3:$AY$3,0),FALSE),2)</f>
        <v>0.32</v>
      </c>
      <c r="BY158" s="2">
        <f>ROUND(VLOOKUP($BJ158,$AI$3:$AO$33,MATCH(BY$3,$AI$3:$AO$3,0),FALSE)-$BL158/VLOOKUP(VLOOKUP($BJ158,坦克个性化设定!$B$18:$E$48,4,FALSE)&amp;$BK158,坦克属性分配比例,MATCH("升星次数",坦克属性分配比例标头,0),FALSE)*VLOOKUP($BJ158,$AR$3:$AY$33,MATCH(BY$3,$AR$3:$AY$3,0),FALSE),2)</f>
        <v>1.36</v>
      </c>
    </row>
    <row r="159" spans="60:77" x14ac:dyDescent="0.3">
      <c r="BH159" s="2" t="str">
        <f t="shared" si="27"/>
        <v>M-481</v>
      </c>
      <c r="BI159" s="2">
        <f>IF(BL158&gt;=VLOOKUP(VLOOKUP(BJ158,坦克个性化设定!$B$18:$E$48,4,FALSE)&amp;BK158,坦克属性分配比例,MATCH("升星次数",坦克属性分配比例标头,0),FALSE),BI158+1,BI158)</f>
        <v>17</v>
      </c>
      <c r="BJ159" s="2" t="str">
        <f t="shared" si="28"/>
        <v>M-48</v>
      </c>
      <c r="BK159" s="29" t="str">
        <f>VLOOKUP(BJ159,坦克个性化细分!$I$3:$J$33,2,FALSE)</f>
        <v>低</v>
      </c>
      <c r="BL159" s="2">
        <f t="shared" si="26"/>
        <v>1</v>
      </c>
      <c r="BM159" s="103" t="e">
        <f ca="1">ROUND(VLOOKUP($BJ159&amp;"初始",$S$3:$AE$63,MATCH(BM$3,$S$3:$AE$3,0),FALSE)+((VLOOKUP($BJ159&amp;"最终",$S$3:$AE$63,MATCH(BM$3,$S$3:$AE$3,0),FALSE)*坦克个性化细分!$C$9-VLOOKUP($BJ159&amp;"初始",$S$3:$AE$63,MATCH(BM$3,$S$3:$AE$3,0),FALSE))-(VLOOKUP($BJ159&amp;"最终",$S$3:$AE$63,MATCH(BM$3,$S$3:$AE$3,0),FALSE)-VLOOKUP($BJ159&amp;"初始",$S$3:$AE$63,MATCH(BM$3,$S$3:$AE$3,0),FALSE))*VLOOKUP(VLOOKUP($BJ159,坦克个性化设定!$B$18:$E$48,4,FALSE)&amp;$BK159,坦克属性分配比例,MATCH("部件比例",坦克属性分配比例标头,0),FALSE))*$BL159/VLOOKUP(VLOOKUP($BJ159,坦克个性化设定!$B$18:$E$48,4,FALSE)&amp;$BK159,坦克属性分配比例,MATCH("升星次数",坦克属性分配比例标头,0),FALSE),0)</f>
        <v>#N/A</v>
      </c>
      <c r="BN159" s="103" t="e">
        <f ca="1">ROUND(VLOOKUP($BJ159&amp;"初始",$S$3:$AE$63,MATCH(BN$3,$S$3:$AE$3,0),FALSE)+(VLOOKUP($BJ159&amp;"最终",$S$3:$AE$63,MATCH(BN$3,$S$3:$AE$3,0),FALSE)-VLOOKUP($BJ159&amp;"初始",$S$3:$AE$63,MATCH(BN$3,$S$3:$AE$3,0),FALSE))*$BL159/VLOOKUP(VLOOKUP($BJ159,坦克个性化设定!$B$18:$E$48,4,FALSE)&amp;$BK159,坦克属性分配比例,MATCH("升星次数",坦克属性分配比例标头,0),FALSE)*VLOOKUP(VLOOKUP($BJ159,坦克个性化设定!$B$18:$E$48,4,FALSE)&amp;$BK159,坦克属性分配比例,MATCH("升星比例",坦克属性分配比例标头,0),FALSE),0)</f>
        <v>#N/A</v>
      </c>
      <c r="BO159" s="103" t="e">
        <f ca="1">ROUND(VLOOKUP($BJ159&amp;"初始",$S$3:$AE$63,MATCH(BO$3,$S$3:$AE$3,0),FALSE)+(VLOOKUP($BJ159&amp;"最终",$S$3:$AE$63,MATCH(BO$3,$S$3:$AE$3,0),FALSE)-VLOOKUP($BJ159&amp;"初始",$S$3:$AE$63,MATCH(BO$3,$S$3:$AE$3,0),FALSE))*$BL159/VLOOKUP(VLOOKUP($BJ159,坦克个性化设定!$B$18:$E$48,4,FALSE)&amp;$BK159,坦克属性分配比例,MATCH("升星次数",坦克属性分配比例标头,0),FALSE)*(VLOOKUP(VLOOKUP($BJ159,坦克个性化设定!$B$18:$E$48,4,FALSE)&amp;$BK159,坦克属性分配比例,MATCH("升星比例",坦克属性分配比例标头,0),FALSE)+VLOOKUP(VLOOKUP($BJ159,坦克个性化设定!$B$18:$E$48,4,FALSE)&amp;$BK159,坦克属性分配比例,MATCH("部件比例",坦克属性分配比例标头,0),FALSE)*$C$3),0)</f>
        <v>#N/A</v>
      </c>
      <c r="BP159" s="103" t="e">
        <f ca="1">ROUND(VLOOKUP($BJ159&amp;"初始",$S$3:$AE$63,MATCH(BP$3,$S$3:$AE$3,0),FALSE)+(VLOOKUP($BJ159&amp;"最终",$S$3:$AE$63,MATCH(BP$3,$S$3:$AE$3,0),FALSE)-VLOOKUP($BJ159&amp;"初始",$S$3:$AE$63,MATCH(BP$3,$S$3:$AE$3,0),FALSE))*$BL159/VLOOKUP(VLOOKUP($BJ159,坦克个性化设定!$B$18:$E$48,4,FALSE)&amp;$BK159,坦克属性分配比例,MATCH("升星次数",坦克属性分配比例标头,0),FALSE)*(VLOOKUP(VLOOKUP($BJ159,坦克个性化设定!$B$18:$E$48,4,FALSE)&amp;$BK159,坦克属性分配比例,MATCH("升星比例",坦克属性分配比例标头,0),FALSE)+VLOOKUP(VLOOKUP($BJ159,坦克个性化设定!$B$18:$E$48,4,FALSE)&amp;$BK159,坦克属性分配比例,MATCH("部件比例",坦克属性分配比例标头,0),FALSE)*$C$3),0)</f>
        <v>#N/A</v>
      </c>
      <c r="BQ159" s="103" t="e">
        <f ca="1">ROUND(VLOOKUP($BJ159&amp;"初始",$S$3:$AE$63,MATCH(BQ$3,$S$3:$AE$3,0),FALSE)+(VLOOKUP($BJ159&amp;"最终",$S$3:$AE$63,MATCH(BQ$3,$S$3:$AE$3,0),FALSE)-VLOOKUP($BJ159&amp;"初始",$S$3:$AE$63,MATCH(BQ$3,$S$3:$AE$3,0),FALSE))*$BL159/VLOOKUP(VLOOKUP($BJ159,坦克个性化设定!$B$18:$E$48,4,FALSE)&amp;$BK159,坦克属性分配比例,MATCH("升星次数",坦克属性分配比例标头,0),FALSE)*VLOOKUP(VLOOKUP($BJ159,坦克个性化设定!$B$18:$E$48,4,FALSE)&amp;$BK159,坦克属性分配比例,MATCH("升星比例",坦克属性分配比例标头,0),FALSE),0)</f>
        <v>#N/A</v>
      </c>
      <c r="BR159" s="2" t="e">
        <f ca="1">ROUND(VLOOKUP($BJ159&amp;"初始",$S$3:$AE$63,MATCH(BR$3,$S$3:$AE$3,0),FALSE)+(VLOOKUP($BJ159&amp;"最终",$S$3:$AE$63,MATCH(BR$3,$S$3:$AE$3,0),FALSE)-VLOOKUP($BJ159&amp;"初始",$S$3:$AE$63,MATCH(BR$3,$S$3:$AE$3,0),FALSE))*$BL159/VLOOKUP(VLOOKUP($BJ159,坦克个性化设定!$B$18:$E$48,4,FALSE)&amp;$BK159,坦克属性分配比例,MATCH("升星次数",坦克属性分配比例标头,0),FALSE),0)</f>
        <v>#N/A</v>
      </c>
      <c r="BS159" s="2">
        <f>ROUND(VLOOKUP($BJ159,$AI$3:$AO$33,MATCH(BS$3,$AI$3:$AO$3,0),FALSE)+$BL159/VLOOKUP(VLOOKUP($BJ159,坦克个性化设定!$B$18:$E$48,4,FALSE)&amp;$BK159,坦克属性分配比例,MATCH("升星次数",坦克属性分配比例标头,0),FALSE)*VLOOKUP($BJ159,$AR$3:$AY$33,MATCH(BS$3,$AR$3:$AY$3,0),FALSE),1)</f>
        <v>45.5</v>
      </c>
      <c r="BT159" s="2">
        <f>ROUND(VLOOKUP($BJ159,$AI$3:$AO$33,MATCH(BT$3,$AI$3:$AO$3,0),FALSE)+$BL159/VLOOKUP(VLOOKUP($BJ159,坦克个性化设定!$B$18:$E$48,4,FALSE)&amp;$BK159,坦克属性分配比例,MATCH("升星次数",坦克属性分配比例标头,0),FALSE)*VLOOKUP($BJ159,$AR$3:$AY$33,MATCH(BT$3,$AR$3:$AY$3,0),FALSE),1)</f>
        <v>40.9</v>
      </c>
      <c r="BU159" s="2">
        <f>ROUND(VLOOKUP($BJ159,$AI$3:$AO$33,MATCH(BU$3,$AI$3:$AO$3,0),FALSE)+$BL159/VLOOKUP(VLOOKUP($BJ159,坦克个性化设定!$B$18:$E$48,4,FALSE)&amp;$BK159,坦克属性分配比例,MATCH("升星次数",坦克属性分配比例标头,0),FALSE)*VLOOKUP($BJ159,$AR$3:$AY$33,MATCH(BU$3,$AR$3:$AY$3,0),FALSE),1)</f>
        <v>8</v>
      </c>
      <c r="BV159" s="2">
        <f>IF(VLOOKUP(BJ159,坦克个性化设定!$B$18:$BC$48,MATCH("装弹类型",坦克个性化设定!$B$18:$BC$18,0),FALSE)="弹夹换弹",0,ROUND(VLOOKUP($BJ159,$AI$3:$AO$33,MATCH("换弹时间",$AI$3:$AO$3,0),FALSE)-$BL159/VLOOKUP(VLOOKUP($BJ159,坦克个性化设定!$B$18:$E$48,4,FALSE)&amp;$BK159,坦克属性分配比例,MATCH("升星次数",坦克属性分配比例标头,0),FALSE)*VLOOKUP($BJ159,$AR$3:$AY$33,MATCH("换弹时间",$AR$3:$AY$3,0),FALSE),2))</f>
        <v>0</v>
      </c>
      <c r="BW159" s="2">
        <f>IF(VLOOKUP(BJ159,坦克个性化设定!$B$18:$BC$48,MATCH("装弹类型",坦克个性化设定!$B$18:$BC$18,0),FALSE)="弹夹换弹",ROUND(VLOOKUP($BJ159,$AI$3:$AO$33,MATCH("换弹时间",$AI$3:$AO$3,0),FALSE)-$BL159/VLOOKUP(VLOOKUP($BJ159,坦克个性化设定!$B$18:$E$48,4,FALSE)&amp;$BK159,坦克属性分配比例,MATCH("升星次数",坦克属性分配比例标头,0),FALSE)*VLOOKUP($BJ159,$AR$3:$AY$33,MATCH("换弹时间",$AR$3:$AY$3,0),FALSE),1),0)</f>
        <v>2.4</v>
      </c>
      <c r="BX159" s="2">
        <f>ROUND(VLOOKUP($BJ159,$AI$3:$AO$33,MATCH(BX$3,$AI$3:$AO$3,0),FALSE)+$BL159/VLOOKUP(VLOOKUP($BJ159,坦克个性化设定!$B$18:$E$48,4,FALSE)&amp;$BK159,坦克属性分配比例,MATCH("升星次数",坦克属性分配比例标头,0),FALSE)*VLOOKUP($BJ159,$AR$3:$AY$33,MATCH(BX$3,$AR$3:$AY$3,0),FALSE),2)</f>
        <v>0.36</v>
      </c>
      <c r="BY159" s="2">
        <f>ROUND(VLOOKUP($BJ159,$AI$3:$AO$33,MATCH(BY$3,$AI$3:$AO$3,0),FALSE)-$BL159/VLOOKUP(VLOOKUP($BJ159,坦克个性化设定!$B$18:$E$48,4,FALSE)&amp;$BK159,坦克属性分配比例,MATCH("升星次数",坦克属性分配比例标头,0),FALSE)*VLOOKUP($BJ159,$AR$3:$AY$33,MATCH(BY$3,$AR$3:$AY$3,0),FALSE),2)</f>
        <v>1.34</v>
      </c>
    </row>
    <row r="160" spans="60:77" x14ac:dyDescent="0.3">
      <c r="BH160" s="2" t="str">
        <f t="shared" si="27"/>
        <v>M-482</v>
      </c>
      <c r="BI160" s="2">
        <f>IF(BL159&gt;=VLOOKUP(VLOOKUP(BJ159,坦克个性化设定!$B$18:$E$48,4,FALSE)&amp;BK159,坦克属性分配比例,MATCH("升星次数",坦克属性分配比例标头,0),FALSE),BI159+1,BI159)</f>
        <v>17</v>
      </c>
      <c r="BJ160" s="2" t="str">
        <f t="shared" si="28"/>
        <v>M-48</v>
      </c>
      <c r="BK160" s="29" t="str">
        <f>VLOOKUP(BJ160,坦克个性化细分!$I$3:$J$33,2,FALSE)</f>
        <v>低</v>
      </c>
      <c r="BL160" s="2">
        <f t="shared" si="26"/>
        <v>2</v>
      </c>
      <c r="BM160" s="103" t="e">
        <f ca="1">ROUND(VLOOKUP($BJ160&amp;"初始",$S$3:$AE$63,MATCH(BM$3,$S$3:$AE$3,0),FALSE)+((VLOOKUP($BJ160&amp;"最终",$S$3:$AE$63,MATCH(BM$3,$S$3:$AE$3,0),FALSE)*坦克个性化细分!$C$9-VLOOKUP($BJ160&amp;"初始",$S$3:$AE$63,MATCH(BM$3,$S$3:$AE$3,0),FALSE))-(VLOOKUP($BJ160&amp;"最终",$S$3:$AE$63,MATCH(BM$3,$S$3:$AE$3,0),FALSE)-VLOOKUP($BJ160&amp;"初始",$S$3:$AE$63,MATCH(BM$3,$S$3:$AE$3,0),FALSE))*VLOOKUP(VLOOKUP($BJ160,坦克个性化设定!$B$18:$E$48,4,FALSE)&amp;$BK160,坦克属性分配比例,MATCH("部件比例",坦克属性分配比例标头,0),FALSE))*$BL160/VLOOKUP(VLOOKUP($BJ160,坦克个性化设定!$B$18:$E$48,4,FALSE)&amp;$BK160,坦克属性分配比例,MATCH("升星次数",坦克属性分配比例标头,0),FALSE),0)</f>
        <v>#N/A</v>
      </c>
      <c r="BN160" s="103" t="e">
        <f ca="1">ROUND(VLOOKUP($BJ160&amp;"初始",$S$3:$AE$63,MATCH(BN$3,$S$3:$AE$3,0),FALSE)+(VLOOKUP($BJ160&amp;"最终",$S$3:$AE$63,MATCH(BN$3,$S$3:$AE$3,0),FALSE)-VLOOKUP($BJ160&amp;"初始",$S$3:$AE$63,MATCH(BN$3,$S$3:$AE$3,0),FALSE))*$BL160/VLOOKUP(VLOOKUP($BJ160,坦克个性化设定!$B$18:$E$48,4,FALSE)&amp;$BK160,坦克属性分配比例,MATCH("升星次数",坦克属性分配比例标头,0),FALSE)*VLOOKUP(VLOOKUP($BJ160,坦克个性化设定!$B$18:$E$48,4,FALSE)&amp;$BK160,坦克属性分配比例,MATCH("升星比例",坦克属性分配比例标头,0),FALSE),0)</f>
        <v>#N/A</v>
      </c>
      <c r="BO160" s="103" t="e">
        <f ca="1">ROUND(VLOOKUP($BJ160&amp;"初始",$S$3:$AE$63,MATCH(BO$3,$S$3:$AE$3,0),FALSE)+(VLOOKUP($BJ160&amp;"最终",$S$3:$AE$63,MATCH(BO$3,$S$3:$AE$3,0),FALSE)-VLOOKUP($BJ160&amp;"初始",$S$3:$AE$63,MATCH(BO$3,$S$3:$AE$3,0),FALSE))*$BL160/VLOOKUP(VLOOKUP($BJ160,坦克个性化设定!$B$18:$E$48,4,FALSE)&amp;$BK160,坦克属性分配比例,MATCH("升星次数",坦克属性分配比例标头,0),FALSE)*(VLOOKUP(VLOOKUP($BJ160,坦克个性化设定!$B$18:$E$48,4,FALSE)&amp;$BK160,坦克属性分配比例,MATCH("升星比例",坦克属性分配比例标头,0),FALSE)+VLOOKUP(VLOOKUP($BJ160,坦克个性化设定!$B$18:$E$48,4,FALSE)&amp;$BK160,坦克属性分配比例,MATCH("部件比例",坦克属性分配比例标头,0),FALSE)*$C$3),0)</f>
        <v>#N/A</v>
      </c>
      <c r="BP160" s="103" t="e">
        <f ca="1">ROUND(VLOOKUP($BJ160&amp;"初始",$S$3:$AE$63,MATCH(BP$3,$S$3:$AE$3,0),FALSE)+(VLOOKUP($BJ160&amp;"最终",$S$3:$AE$63,MATCH(BP$3,$S$3:$AE$3,0),FALSE)-VLOOKUP($BJ160&amp;"初始",$S$3:$AE$63,MATCH(BP$3,$S$3:$AE$3,0),FALSE))*$BL160/VLOOKUP(VLOOKUP($BJ160,坦克个性化设定!$B$18:$E$48,4,FALSE)&amp;$BK160,坦克属性分配比例,MATCH("升星次数",坦克属性分配比例标头,0),FALSE)*(VLOOKUP(VLOOKUP($BJ160,坦克个性化设定!$B$18:$E$48,4,FALSE)&amp;$BK160,坦克属性分配比例,MATCH("升星比例",坦克属性分配比例标头,0),FALSE)+VLOOKUP(VLOOKUP($BJ160,坦克个性化设定!$B$18:$E$48,4,FALSE)&amp;$BK160,坦克属性分配比例,MATCH("部件比例",坦克属性分配比例标头,0),FALSE)*$C$3),0)</f>
        <v>#N/A</v>
      </c>
      <c r="BQ160" s="103" t="e">
        <f ca="1">ROUND(VLOOKUP($BJ160&amp;"初始",$S$3:$AE$63,MATCH(BQ$3,$S$3:$AE$3,0),FALSE)+(VLOOKUP($BJ160&amp;"最终",$S$3:$AE$63,MATCH(BQ$3,$S$3:$AE$3,0),FALSE)-VLOOKUP($BJ160&amp;"初始",$S$3:$AE$63,MATCH(BQ$3,$S$3:$AE$3,0),FALSE))*$BL160/VLOOKUP(VLOOKUP($BJ160,坦克个性化设定!$B$18:$E$48,4,FALSE)&amp;$BK160,坦克属性分配比例,MATCH("升星次数",坦克属性分配比例标头,0),FALSE)*VLOOKUP(VLOOKUP($BJ160,坦克个性化设定!$B$18:$E$48,4,FALSE)&amp;$BK160,坦克属性分配比例,MATCH("升星比例",坦克属性分配比例标头,0),FALSE),0)</f>
        <v>#N/A</v>
      </c>
      <c r="BR160" s="2" t="e">
        <f ca="1">ROUND(VLOOKUP($BJ160&amp;"初始",$S$3:$AE$63,MATCH(BR$3,$S$3:$AE$3,0),FALSE)+(VLOOKUP($BJ160&amp;"最终",$S$3:$AE$63,MATCH(BR$3,$S$3:$AE$3,0),FALSE)-VLOOKUP($BJ160&amp;"初始",$S$3:$AE$63,MATCH(BR$3,$S$3:$AE$3,0),FALSE))*$BL160/VLOOKUP(VLOOKUP($BJ160,坦克个性化设定!$B$18:$E$48,4,FALSE)&amp;$BK160,坦克属性分配比例,MATCH("升星次数",坦克属性分配比例标头,0),FALSE),0)</f>
        <v>#N/A</v>
      </c>
      <c r="BS160" s="2">
        <f>ROUND(VLOOKUP($BJ160,$AI$3:$AO$33,MATCH(BS$3,$AI$3:$AO$3,0),FALSE)+$BL160/VLOOKUP(VLOOKUP($BJ160,坦克个性化设定!$B$18:$E$48,4,FALSE)&amp;$BK160,坦克属性分配比例,MATCH("升星次数",坦克属性分配比例标头,0),FALSE)*VLOOKUP($BJ160,$AR$3:$AY$33,MATCH(BS$3,$AR$3:$AY$3,0),FALSE),1)</f>
        <v>46.5</v>
      </c>
      <c r="BT160" s="2">
        <f>ROUND(VLOOKUP($BJ160,$AI$3:$AO$33,MATCH(BT$3,$AI$3:$AO$3,0),FALSE)+$BL160/VLOOKUP(VLOOKUP($BJ160,坦克个性化设定!$B$18:$E$48,4,FALSE)&amp;$BK160,坦克属性分配比例,MATCH("升星次数",坦克属性分配比例标头,0),FALSE)*VLOOKUP($BJ160,$AR$3:$AY$33,MATCH(BT$3,$AR$3:$AY$3,0),FALSE),1)</f>
        <v>41.8</v>
      </c>
      <c r="BU160" s="2">
        <f>ROUND(VLOOKUP($BJ160,$AI$3:$AO$33,MATCH(BU$3,$AI$3:$AO$3,0),FALSE)+$BL160/VLOOKUP(VLOOKUP($BJ160,坦克个性化设定!$B$18:$E$48,4,FALSE)&amp;$BK160,坦克属性分配比例,MATCH("升星次数",坦克属性分配比例标头,0),FALSE)*VLOOKUP($BJ160,$AR$3:$AY$33,MATCH(BU$3,$AR$3:$AY$3,0),FALSE),1)</f>
        <v>8</v>
      </c>
      <c r="BV160" s="2">
        <f>IF(VLOOKUP(BJ160,坦克个性化设定!$B$18:$BC$48,MATCH("装弹类型",坦克个性化设定!$B$18:$BC$18,0),FALSE)="弹夹换弹",0,ROUND(VLOOKUP($BJ160,$AI$3:$AO$33,MATCH("换弹时间",$AI$3:$AO$3,0),FALSE)-$BL160/VLOOKUP(VLOOKUP($BJ160,坦克个性化设定!$B$18:$E$48,4,FALSE)&amp;$BK160,坦克属性分配比例,MATCH("升星次数",坦克属性分配比例标头,0),FALSE)*VLOOKUP($BJ160,$AR$3:$AY$33,MATCH("换弹时间",$AR$3:$AY$3,0),FALSE),2))</f>
        <v>0</v>
      </c>
      <c r="BW160" s="2">
        <f>IF(VLOOKUP(BJ160,坦克个性化设定!$B$18:$BC$48,MATCH("装弹类型",坦克个性化设定!$B$18:$BC$18,0),FALSE)="弹夹换弹",ROUND(VLOOKUP($BJ160,$AI$3:$AO$33,MATCH("换弹时间",$AI$3:$AO$3,0),FALSE)-$BL160/VLOOKUP(VLOOKUP($BJ160,坦克个性化设定!$B$18:$E$48,4,FALSE)&amp;$BK160,坦克属性分配比例,MATCH("升星次数",坦克属性分配比例标头,0),FALSE)*VLOOKUP($BJ160,$AR$3:$AY$33,MATCH("换弹时间",$AR$3:$AY$3,0),FALSE),1),0)</f>
        <v>2.2999999999999998</v>
      </c>
      <c r="BX160" s="2">
        <f>ROUND(VLOOKUP($BJ160,$AI$3:$AO$33,MATCH(BX$3,$AI$3:$AO$3,0),FALSE)+$BL160/VLOOKUP(VLOOKUP($BJ160,坦克个性化设定!$B$18:$E$48,4,FALSE)&amp;$BK160,坦克属性分配比例,MATCH("升星次数",坦克属性分配比例标头,0),FALSE)*VLOOKUP($BJ160,$AR$3:$AY$33,MATCH(BX$3,$AR$3:$AY$3,0),FALSE),2)</f>
        <v>0.4</v>
      </c>
      <c r="BY160" s="2">
        <f>ROUND(VLOOKUP($BJ160,$AI$3:$AO$33,MATCH(BY$3,$AI$3:$AO$3,0),FALSE)-$BL160/VLOOKUP(VLOOKUP($BJ160,坦克个性化设定!$B$18:$E$48,4,FALSE)&amp;$BK160,坦克属性分配比例,MATCH("升星次数",坦克属性分配比例标头,0),FALSE)*VLOOKUP($BJ160,$AR$3:$AY$33,MATCH(BY$3,$AR$3:$AY$3,0),FALSE),2)</f>
        <v>1.32</v>
      </c>
    </row>
    <row r="161" spans="60:77" x14ac:dyDescent="0.3">
      <c r="BH161" s="2" t="str">
        <f t="shared" si="27"/>
        <v>M-483</v>
      </c>
      <c r="BI161" s="2">
        <f>IF(BL160&gt;=VLOOKUP(VLOOKUP(BJ160,坦克个性化设定!$B$18:$E$48,4,FALSE)&amp;BK160,坦克属性分配比例,MATCH("升星次数",坦克属性分配比例标头,0),FALSE),BI160+1,BI160)</f>
        <v>17</v>
      </c>
      <c r="BJ161" s="2" t="str">
        <f t="shared" si="28"/>
        <v>M-48</v>
      </c>
      <c r="BK161" s="29" t="str">
        <f>VLOOKUP(BJ161,坦克个性化细分!$I$3:$J$33,2,FALSE)</f>
        <v>低</v>
      </c>
      <c r="BL161" s="2">
        <f t="shared" si="26"/>
        <v>3</v>
      </c>
      <c r="BM161" s="103" t="e">
        <f ca="1">ROUND(VLOOKUP($BJ161&amp;"初始",$S$3:$AE$63,MATCH(BM$3,$S$3:$AE$3,0),FALSE)+((VLOOKUP($BJ161&amp;"最终",$S$3:$AE$63,MATCH(BM$3,$S$3:$AE$3,0),FALSE)*坦克个性化细分!$C$9-VLOOKUP($BJ161&amp;"初始",$S$3:$AE$63,MATCH(BM$3,$S$3:$AE$3,0),FALSE))-(VLOOKUP($BJ161&amp;"最终",$S$3:$AE$63,MATCH(BM$3,$S$3:$AE$3,0),FALSE)-VLOOKUP($BJ161&amp;"初始",$S$3:$AE$63,MATCH(BM$3,$S$3:$AE$3,0),FALSE))*VLOOKUP(VLOOKUP($BJ161,坦克个性化设定!$B$18:$E$48,4,FALSE)&amp;$BK161,坦克属性分配比例,MATCH("部件比例",坦克属性分配比例标头,0),FALSE))*$BL161/VLOOKUP(VLOOKUP($BJ161,坦克个性化设定!$B$18:$E$48,4,FALSE)&amp;$BK161,坦克属性分配比例,MATCH("升星次数",坦克属性分配比例标头,0),FALSE),0)</f>
        <v>#N/A</v>
      </c>
      <c r="BN161" s="103" t="e">
        <f ca="1">ROUND(VLOOKUP($BJ161&amp;"初始",$S$3:$AE$63,MATCH(BN$3,$S$3:$AE$3,0),FALSE)+(VLOOKUP($BJ161&amp;"最终",$S$3:$AE$63,MATCH(BN$3,$S$3:$AE$3,0),FALSE)-VLOOKUP($BJ161&amp;"初始",$S$3:$AE$63,MATCH(BN$3,$S$3:$AE$3,0),FALSE))*$BL161/VLOOKUP(VLOOKUP($BJ161,坦克个性化设定!$B$18:$E$48,4,FALSE)&amp;$BK161,坦克属性分配比例,MATCH("升星次数",坦克属性分配比例标头,0),FALSE)*VLOOKUP(VLOOKUP($BJ161,坦克个性化设定!$B$18:$E$48,4,FALSE)&amp;$BK161,坦克属性分配比例,MATCH("升星比例",坦克属性分配比例标头,0),FALSE),0)</f>
        <v>#N/A</v>
      </c>
      <c r="BO161" s="103" t="e">
        <f ca="1">ROUND(VLOOKUP($BJ161&amp;"初始",$S$3:$AE$63,MATCH(BO$3,$S$3:$AE$3,0),FALSE)+(VLOOKUP($BJ161&amp;"最终",$S$3:$AE$63,MATCH(BO$3,$S$3:$AE$3,0),FALSE)-VLOOKUP($BJ161&amp;"初始",$S$3:$AE$63,MATCH(BO$3,$S$3:$AE$3,0),FALSE))*$BL161/VLOOKUP(VLOOKUP($BJ161,坦克个性化设定!$B$18:$E$48,4,FALSE)&amp;$BK161,坦克属性分配比例,MATCH("升星次数",坦克属性分配比例标头,0),FALSE)*(VLOOKUP(VLOOKUP($BJ161,坦克个性化设定!$B$18:$E$48,4,FALSE)&amp;$BK161,坦克属性分配比例,MATCH("升星比例",坦克属性分配比例标头,0),FALSE)+VLOOKUP(VLOOKUP($BJ161,坦克个性化设定!$B$18:$E$48,4,FALSE)&amp;$BK161,坦克属性分配比例,MATCH("部件比例",坦克属性分配比例标头,0),FALSE)*$C$3),0)</f>
        <v>#N/A</v>
      </c>
      <c r="BP161" s="103" t="e">
        <f ca="1">ROUND(VLOOKUP($BJ161&amp;"初始",$S$3:$AE$63,MATCH(BP$3,$S$3:$AE$3,0),FALSE)+(VLOOKUP($BJ161&amp;"最终",$S$3:$AE$63,MATCH(BP$3,$S$3:$AE$3,0),FALSE)-VLOOKUP($BJ161&amp;"初始",$S$3:$AE$63,MATCH(BP$3,$S$3:$AE$3,0),FALSE))*$BL161/VLOOKUP(VLOOKUP($BJ161,坦克个性化设定!$B$18:$E$48,4,FALSE)&amp;$BK161,坦克属性分配比例,MATCH("升星次数",坦克属性分配比例标头,0),FALSE)*(VLOOKUP(VLOOKUP($BJ161,坦克个性化设定!$B$18:$E$48,4,FALSE)&amp;$BK161,坦克属性分配比例,MATCH("升星比例",坦克属性分配比例标头,0),FALSE)+VLOOKUP(VLOOKUP($BJ161,坦克个性化设定!$B$18:$E$48,4,FALSE)&amp;$BK161,坦克属性分配比例,MATCH("部件比例",坦克属性分配比例标头,0),FALSE)*$C$3),0)</f>
        <v>#N/A</v>
      </c>
      <c r="BQ161" s="103" t="e">
        <f ca="1">ROUND(VLOOKUP($BJ161&amp;"初始",$S$3:$AE$63,MATCH(BQ$3,$S$3:$AE$3,0),FALSE)+(VLOOKUP($BJ161&amp;"最终",$S$3:$AE$63,MATCH(BQ$3,$S$3:$AE$3,0),FALSE)-VLOOKUP($BJ161&amp;"初始",$S$3:$AE$63,MATCH(BQ$3,$S$3:$AE$3,0),FALSE))*$BL161/VLOOKUP(VLOOKUP($BJ161,坦克个性化设定!$B$18:$E$48,4,FALSE)&amp;$BK161,坦克属性分配比例,MATCH("升星次数",坦克属性分配比例标头,0),FALSE)*VLOOKUP(VLOOKUP($BJ161,坦克个性化设定!$B$18:$E$48,4,FALSE)&amp;$BK161,坦克属性分配比例,MATCH("升星比例",坦克属性分配比例标头,0),FALSE),0)</f>
        <v>#N/A</v>
      </c>
      <c r="BR161" s="2" t="e">
        <f ca="1">ROUND(VLOOKUP($BJ161&amp;"初始",$S$3:$AE$63,MATCH(BR$3,$S$3:$AE$3,0),FALSE)+(VLOOKUP($BJ161&amp;"最终",$S$3:$AE$63,MATCH(BR$3,$S$3:$AE$3,0),FALSE)-VLOOKUP($BJ161&amp;"初始",$S$3:$AE$63,MATCH(BR$3,$S$3:$AE$3,0),FALSE))*$BL161/VLOOKUP(VLOOKUP($BJ161,坦克个性化设定!$B$18:$E$48,4,FALSE)&amp;$BK161,坦克属性分配比例,MATCH("升星次数",坦克属性分配比例标头,0),FALSE),0)</f>
        <v>#N/A</v>
      </c>
      <c r="BS161" s="2">
        <f>ROUND(VLOOKUP($BJ161,$AI$3:$AO$33,MATCH(BS$3,$AI$3:$AO$3,0),FALSE)+$BL161/VLOOKUP(VLOOKUP($BJ161,坦克个性化设定!$B$18:$E$48,4,FALSE)&amp;$BK161,坦克属性分配比例,MATCH("升星次数",坦克属性分配比例标头,0),FALSE)*VLOOKUP($BJ161,$AR$3:$AY$33,MATCH(BS$3,$AR$3:$AY$3,0),FALSE),1)</f>
        <v>47.5</v>
      </c>
      <c r="BT161" s="2">
        <f>ROUND(VLOOKUP($BJ161,$AI$3:$AO$33,MATCH(BT$3,$AI$3:$AO$3,0),FALSE)+$BL161/VLOOKUP(VLOOKUP($BJ161,坦克个性化设定!$B$18:$E$48,4,FALSE)&amp;$BK161,坦克属性分配比例,MATCH("升星次数",坦克属性分配比例标头,0),FALSE)*VLOOKUP($BJ161,$AR$3:$AY$33,MATCH(BT$3,$AR$3:$AY$3,0),FALSE),1)</f>
        <v>42.7</v>
      </c>
      <c r="BU161" s="2">
        <f>ROUND(VLOOKUP($BJ161,$AI$3:$AO$33,MATCH(BU$3,$AI$3:$AO$3,0),FALSE)+$BL161/VLOOKUP(VLOOKUP($BJ161,坦克个性化设定!$B$18:$E$48,4,FALSE)&amp;$BK161,坦克属性分配比例,MATCH("升星次数",坦克属性分配比例标头,0),FALSE)*VLOOKUP($BJ161,$AR$3:$AY$33,MATCH(BU$3,$AR$3:$AY$3,0),FALSE),1)</f>
        <v>8</v>
      </c>
      <c r="BV161" s="2">
        <f>IF(VLOOKUP(BJ161,坦克个性化设定!$B$18:$BC$48,MATCH("装弹类型",坦克个性化设定!$B$18:$BC$18,0),FALSE)="弹夹换弹",0,ROUND(VLOOKUP($BJ161,$AI$3:$AO$33,MATCH("换弹时间",$AI$3:$AO$3,0),FALSE)-$BL161/VLOOKUP(VLOOKUP($BJ161,坦克个性化设定!$B$18:$E$48,4,FALSE)&amp;$BK161,坦克属性分配比例,MATCH("升星次数",坦克属性分配比例标头,0),FALSE)*VLOOKUP($BJ161,$AR$3:$AY$33,MATCH("换弹时间",$AR$3:$AY$3,0),FALSE),2))</f>
        <v>0</v>
      </c>
      <c r="BW161" s="2">
        <f>IF(VLOOKUP(BJ161,坦克个性化设定!$B$18:$BC$48,MATCH("装弹类型",坦克个性化设定!$B$18:$BC$18,0),FALSE)="弹夹换弹",ROUND(VLOOKUP($BJ161,$AI$3:$AO$33,MATCH("换弹时间",$AI$3:$AO$3,0),FALSE)-$BL161/VLOOKUP(VLOOKUP($BJ161,坦克个性化设定!$B$18:$E$48,4,FALSE)&amp;$BK161,坦克属性分配比例,MATCH("升星次数",坦克属性分配比例标头,0),FALSE)*VLOOKUP($BJ161,$AR$3:$AY$33,MATCH("换弹时间",$AR$3:$AY$3,0),FALSE),1),0)</f>
        <v>2.2999999999999998</v>
      </c>
      <c r="BX161" s="2">
        <f>ROUND(VLOOKUP($BJ161,$AI$3:$AO$33,MATCH(BX$3,$AI$3:$AO$3,0),FALSE)+$BL161/VLOOKUP(VLOOKUP($BJ161,坦克个性化设定!$B$18:$E$48,4,FALSE)&amp;$BK161,坦克属性分配比例,MATCH("升星次数",坦克属性分配比例标头,0),FALSE)*VLOOKUP($BJ161,$AR$3:$AY$33,MATCH(BX$3,$AR$3:$AY$3,0),FALSE),2)</f>
        <v>0.44</v>
      </c>
      <c r="BY161" s="2">
        <f>ROUND(VLOOKUP($BJ161,$AI$3:$AO$33,MATCH(BY$3,$AI$3:$AO$3,0),FALSE)-$BL161/VLOOKUP(VLOOKUP($BJ161,坦克个性化设定!$B$18:$E$48,4,FALSE)&amp;$BK161,坦克属性分配比例,MATCH("升星次数",坦克属性分配比例标头,0),FALSE)*VLOOKUP($BJ161,$AR$3:$AY$33,MATCH(BY$3,$AR$3:$AY$3,0),FALSE),2)</f>
        <v>1.3</v>
      </c>
    </row>
    <row r="162" spans="60:77" x14ac:dyDescent="0.3">
      <c r="BH162" s="2" t="str">
        <f t="shared" si="27"/>
        <v>M-484</v>
      </c>
      <c r="BI162" s="2">
        <f>IF(BL161&gt;=VLOOKUP(VLOOKUP(BJ161,坦克个性化设定!$B$18:$E$48,4,FALSE)&amp;BK161,坦克属性分配比例,MATCH("升星次数",坦克属性分配比例标头,0),FALSE),BI161+1,BI161)</f>
        <v>17</v>
      </c>
      <c r="BJ162" s="2" t="str">
        <f t="shared" si="28"/>
        <v>M-48</v>
      </c>
      <c r="BK162" s="29" t="str">
        <f>VLOOKUP(BJ162,坦克个性化细分!$I$3:$J$33,2,FALSE)</f>
        <v>低</v>
      </c>
      <c r="BL162" s="2">
        <f t="shared" si="26"/>
        <v>4</v>
      </c>
      <c r="BM162" s="103" t="e">
        <f ca="1">ROUND(VLOOKUP($BJ162&amp;"初始",$S$3:$AE$63,MATCH(BM$3,$S$3:$AE$3,0),FALSE)+((VLOOKUP($BJ162&amp;"最终",$S$3:$AE$63,MATCH(BM$3,$S$3:$AE$3,0),FALSE)*坦克个性化细分!$C$9-VLOOKUP($BJ162&amp;"初始",$S$3:$AE$63,MATCH(BM$3,$S$3:$AE$3,0),FALSE))-(VLOOKUP($BJ162&amp;"最终",$S$3:$AE$63,MATCH(BM$3,$S$3:$AE$3,0),FALSE)-VLOOKUP($BJ162&amp;"初始",$S$3:$AE$63,MATCH(BM$3,$S$3:$AE$3,0),FALSE))*VLOOKUP(VLOOKUP($BJ162,坦克个性化设定!$B$18:$E$48,4,FALSE)&amp;$BK162,坦克属性分配比例,MATCH("部件比例",坦克属性分配比例标头,0),FALSE))*$BL162/VLOOKUP(VLOOKUP($BJ162,坦克个性化设定!$B$18:$E$48,4,FALSE)&amp;$BK162,坦克属性分配比例,MATCH("升星次数",坦克属性分配比例标头,0),FALSE),0)</f>
        <v>#N/A</v>
      </c>
      <c r="BN162" s="103" t="e">
        <f ca="1">ROUND(VLOOKUP($BJ162&amp;"初始",$S$3:$AE$63,MATCH(BN$3,$S$3:$AE$3,0),FALSE)+(VLOOKUP($BJ162&amp;"最终",$S$3:$AE$63,MATCH(BN$3,$S$3:$AE$3,0),FALSE)-VLOOKUP($BJ162&amp;"初始",$S$3:$AE$63,MATCH(BN$3,$S$3:$AE$3,0),FALSE))*$BL162/VLOOKUP(VLOOKUP($BJ162,坦克个性化设定!$B$18:$E$48,4,FALSE)&amp;$BK162,坦克属性分配比例,MATCH("升星次数",坦克属性分配比例标头,0),FALSE)*VLOOKUP(VLOOKUP($BJ162,坦克个性化设定!$B$18:$E$48,4,FALSE)&amp;$BK162,坦克属性分配比例,MATCH("升星比例",坦克属性分配比例标头,0),FALSE),0)</f>
        <v>#N/A</v>
      </c>
      <c r="BO162" s="103" t="e">
        <f ca="1">ROUND(VLOOKUP($BJ162&amp;"初始",$S$3:$AE$63,MATCH(BO$3,$S$3:$AE$3,0),FALSE)+(VLOOKUP($BJ162&amp;"最终",$S$3:$AE$63,MATCH(BO$3,$S$3:$AE$3,0),FALSE)-VLOOKUP($BJ162&amp;"初始",$S$3:$AE$63,MATCH(BO$3,$S$3:$AE$3,0),FALSE))*$BL162/VLOOKUP(VLOOKUP($BJ162,坦克个性化设定!$B$18:$E$48,4,FALSE)&amp;$BK162,坦克属性分配比例,MATCH("升星次数",坦克属性分配比例标头,0),FALSE)*(VLOOKUP(VLOOKUP($BJ162,坦克个性化设定!$B$18:$E$48,4,FALSE)&amp;$BK162,坦克属性分配比例,MATCH("升星比例",坦克属性分配比例标头,0),FALSE)+VLOOKUP(VLOOKUP($BJ162,坦克个性化设定!$B$18:$E$48,4,FALSE)&amp;$BK162,坦克属性分配比例,MATCH("部件比例",坦克属性分配比例标头,0),FALSE)*$C$3),0)</f>
        <v>#N/A</v>
      </c>
      <c r="BP162" s="103" t="e">
        <f ca="1">ROUND(VLOOKUP($BJ162&amp;"初始",$S$3:$AE$63,MATCH(BP$3,$S$3:$AE$3,0),FALSE)+(VLOOKUP($BJ162&amp;"最终",$S$3:$AE$63,MATCH(BP$3,$S$3:$AE$3,0),FALSE)-VLOOKUP($BJ162&amp;"初始",$S$3:$AE$63,MATCH(BP$3,$S$3:$AE$3,0),FALSE))*$BL162/VLOOKUP(VLOOKUP($BJ162,坦克个性化设定!$B$18:$E$48,4,FALSE)&amp;$BK162,坦克属性分配比例,MATCH("升星次数",坦克属性分配比例标头,0),FALSE)*(VLOOKUP(VLOOKUP($BJ162,坦克个性化设定!$B$18:$E$48,4,FALSE)&amp;$BK162,坦克属性分配比例,MATCH("升星比例",坦克属性分配比例标头,0),FALSE)+VLOOKUP(VLOOKUP($BJ162,坦克个性化设定!$B$18:$E$48,4,FALSE)&amp;$BK162,坦克属性分配比例,MATCH("部件比例",坦克属性分配比例标头,0),FALSE)*$C$3),0)</f>
        <v>#N/A</v>
      </c>
      <c r="BQ162" s="103" t="e">
        <f ca="1">ROUND(VLOOKUP($BJ162&amp;"初始",$S$3:$AE$63,MATCH(BQ$3,$S$3:$AE$3,0),FALSE)+(VLOOKUP($BJ162&amp;"最终",$S$3:$AE$63,MATCH(BQ$3,$S$3:$AE$3,0),FALSE)-VLOOKUP($BJ162&amp;"初始",$S$3:$AE$63,MATCH(BQ$3,$S$3:$AE$3,0),FALSE))*$BL162/VLOOKUP(VLOOKUP($BJ162,坦克个性化设定!$B$18:$E$48,4,FALSE)&amp;$BK162,坦克属性分配比例,MATCH("升星次数",坦克属性分配比例标头,0),FALSE)*VLOOKUP(VLOOKUP($BJ162,坦克个性化设定!$B$18:$E$48,4,FALSE)&amp;$BK162,坦克属性分配比例,MATCH("升星比例",坦克属性分配比例标头,0),FALSE),0)</f>
        <v>#N/A</v>
      </c>
      <c r="BR162" s="2" t="e">
        <f ca="1">ROUND(VLOOKUP($BJ162&amp;"初始",$S$3:$AE$63,MATCH(BR$3,$S$3:$AE$3,0),FALSE)+(VLOOKUP($BJ162&amp;"最终",$S$3:$AE$63,MATCH(BR$3,$S$3:$AE$3,0),FALSE)-VLOOKUP($BJ162&amp;"初始",$S$3:$AE$63,MATCH(BR$3,$S$3:$AE$3,0),FALSE))*$BL162/VLOOKUP(VLOOKUP($BJ162,坦克个性化设定!$B$18:$E$48,4,FALSE)&amp;$BK162,坦克属性分配比例,MATCH("升星次数",坦克属性分配比例标头,0),FALSE),0)</f>
        <v>#N/A</v>
      </c>
      <c r="BS162" s="2">
        <f>ROUND(VLOOKUP($BJ162,$AI$3:$AO$33,MATCH(BS$3,$AI$3:$AO$3,0),FALSE)+$BL162/VLOOKUP(VLOOKUP($BJ162,坦克个性化设定!$B$18:$E$48,4,FALSE)&amp;$BK162,坦克属性分配比例,MATCH("升星次数",坦克属性分配比例标头,0),FALSE)*VLOOKUP($BJ162,$AR$3:$AY$33,MATCH(BS$3,$AR$3:$AY$3,0),FALSE),1)</f>
        <v>48.5</v>
      </c>
      <c r="BT162" s="2">
        <f>ROUND(VLOOKUP($BJ162,$AI$3:$AO$33,MATCH(BT$3,$AI$3:$AO$3,0),FALSE)+$BL162/VLOOKUP(VLOOKUP($BJ162,坦克个性化设定!$B$18:$E$48,4,FALSE)&amp;$BK162,坦克属性分配比例,MATCH("升星次数",坦克属性分配比例标头,0),FALSE)*VLOOKUP($BJ162,$AR$3:$AY$33,MATCH(BT$3,$AR$3:$AY$3,0),FALSE),1)</f>
        <v>43.6</v>
      </c>
      <c r="BU162" s="2">
        <f>ROUND(VLOOKUP($BJ162,$AI$3:$AO$33,MATCH(BU$3,$AI$3:$AO$3,0),FALSE)+$BL162/VLOOKUP(VLOOKUP($BJ162,坦克个性化设定!$B$18:$E$48,4,FALSE)&amp;$BK162,坦克属性分配比例,MATCH("升星次数",坦克属性分配比例标头,0),FALSE)*VLOOKUP($BJ162,$AR$3:$AY$33,MATCH(BU$3,$AR$3:$AY$3,0),FALSE),1)</f>
        <v>8</v>
      </c>
      <c r="BV162" s="2">
        <f>IF(VLOOKUP(BJ162,坦克个性化设定!$B$18:$BC$48,MATCH("装弹类型",坦克个性化设定!$B$18:$BC$18,0),FALSE)="弹夹换弹",0,ROUND(VLOOKUP($BJ162,$AI$3:$AO$33,MATCH("换弹时间",$AI$3:$AO$3,0),FALSE)-$BL162/VLOOKUP(VLOOKUP($BJ162,坦克个性化设定!$B$18:$E$48,4,FALSE)&amp;$BK162,坦克属性分配比例,MATCH("升星次数",坦克属性分配比例标头,0),FALSE)*VLOOKUP($BJ162,$AR$3:$AY$33,MATCH("换弹时间",$AR$3:$AY$3,0),FALSE),2))</f>
        <v>0</v>
      </c>
      <c r="BW162" s="2">
        <f>IF(VLOOKUP(BJ162,坦克个性化设定!$B$18:$BC$48,MATCH("装弹类型",坦克个性化设定!$B$18:$BC$18,0),FALSE)="弹夹换弹",ROUND(VLOOKUP($BJ162,$AI$3:$AO$33,MATCH("换弹时间",$AI$3:$AO$3,0),FALSE)-$BL162/VLOOKUP(VLOOKUP($BJ162,坦克个性化设定!$B$18:$E$48,4,FALSE)&amp;$BK162,坦克属性分配比例,MATCH("升星次数",坦克属性分配比例标头,0),FALSE)*VLOOKUP($BJ162,$AR$3:$AY$33,MATCH("换弹时间",$AR$3:$AY$3,0),FALSE),1),0)</f>
        <v>2.2999999999999998</v>
      </c>
      <c r="BX162" s="2">
        <f>ROUND(VLOOKUP($BJ162,$AI$3:$AO$33,MATCH(BX$3,$AI$3:$AO$3,0),FALSE)+$BL162/VLOOKUP(VLOOKUP($BJ162,坦克个性化设定!$B$18:$E$48,4,FALSE)&amp;$BK162,坦克属性分配比例,MATCH("升星次数",坦克属性分配比例标头,0),FALSE)*VLOOKUP($BJ162,$AR$3:$AY$33,MATCH(BX$3,$AR$3:$AY$3,0),FALSE),2)</f>
        <v>0.48</v>
      </c>
      <c r="BY162" s="2">
        <f>ROUND(VLOOKUP($BJ162,$AI$3:$AO$33,MATCH(BY$3,$AI$3:$AO$3,0),FALSE)-$BL162/VLOOKUP(VLOOKUP($BJ162,坦克个性化设定!$B$18:$E$48,4,FALSE)&amp;$BK162,坦克属性分配比例,MATCH("升星次数",坦克属性分配比例标头,0),FALSE)*VLOOKUP($BJ162,$AR$3:$AY$33,MATCH(BY$3,$AR$3:$AY$3,0),FALSE),2)</f>
        <v>1.28</v>
      </c>
    </row>
    <row r="163" spans="60:77" x14ac:dyDescent="0.3">
      <c r="BH163" s="2" t="str">
        <f t="shared" si="27"/>
        <v>M-485</v>
      </c>
      <c r="BI163" s="2">
        <f>IF(BL162&gt;=VLOOKUP(VLOOKUP(BJ162,坦克个性化设定!$B$18:$E$48,4,FALSE)&amp;BK162,坦克属性分配比例,MATCH("升星次数",坦克属性分配比例标头,0),FALSE),BI162+1,BI162)</f>
        <v>17</v>
      </c>
      <c r="BJ163" s="2" t="str">
        <f t="shared" si="28"/>
        <v>M-48</v>
      </c>
      <c r="BK163" s="29" t="str">
        <f>VLOOKUP(BJ163,坦克个性化细分!$I$3:$J$33,2,FALSE)</f>
        <v>低</v>
      </c>
      <c r="BL163" s="2">
        <f t="shared" si="26"/>
        <v>5</v>
      </c>
      <c r="BM163" s="103" t="e">
        <f ca="1">ROUND(VLOOKUP($BJ163&amp;"初始",$S$3:$AE$63,MATCH(BM$3,$S$3:$AE$3,0),FALSE)+((VLOOKUP($BJ163&amp;"最终",$S$3:$AE$63,MATCH(BM$3,$S$3:$AE$3,0),FALSE)*坦克个性化细分!$C$9-VLOOKUP($BJ163&amp;"初始",$S$3:$AE$63,MATCH(BM$3,$S$3:$AE$3,0),FALSE))-(VLOOKUP($BJ163&amp;"最终",$S$3:$AE$63,MATCH(BM$3,$S$3:$AE$3,0),FALSE)-VLOOKUP($BJ163&amp;"初始",$S$3:$AE$63,MATCH(BM$3,$S$3:$AE$3,0),FALSE))*VLOOKUP(VLOOKUP($BJ163,坦克个性化设定!$B$18:$E$48,4,FALSE)&amp;$BK163,坦克属性分配比例,MATCH("部件比例",坦克属性分配比例标头,0),FALSE))*$BL163/VLOOKUP(VLOOKUP($BJ163,坦克个性化设定!$B$18:$E$48,4,FALSE)&amp;$BK163,坦克属性分配比例,MATCH("升星次数",坦克属性分配比例标头,0),FALSE),0)</f>
        <v>#N/A</v>
      </c>
      <c r="BN163" s="103" t="e">
        <f ca="1">ROUND(VLOOKUP($BJ163&amp;"初始",$S$3:$AE$63,MATCH(BN$3,$S$3:$AE$3,0),FALSE)+(VLOOKUP($BJ163&amp;"最终",$S$3:$AE$63,MATCH(BN$3,$S$3:$AE$3,0),FALSE)-VLOOKUP($BJ163&amp;"初始",$S$3:$AE$63,MATCH(BN$3,$S$3:$AE$3,0),FALSE))*$BL163/VLOOKUP(VLOOKUP($BJ163,坦克个性化设定!$B$18:$E$48,4,FALSE)&amp;$BK163,坦克属性分配比例,MATCH("升星次数",坦克属性分配比例标头,0),FALSE)*VLOOKUP(VLOOKUP($BJ163,坦克个性化设定!$B$18:$E$48,4,FALSE)&amp;$BK163,坦克属性分配比例,MATCH("升星比例",坦克属性分配比例标头,0),FALSE),0)</f>
        <v>#N/A</v>
      </c>
      <c r="BO163" s="103" t="e">
        <f ca="1">ROUND(VLOOKUP($BJ163&amp;"初始",$S$3:$AE$63,MATCH(BO$3,$S$3:$AE$3,0),FALSE)+(VLOOKUP($BJ163&amp;"最终",$S$3:$AE$63,MATCH(BO$3,$S$3:$AE$3,0),FALSE)-VLOOKUP($BJ163&amp;"初始",$S$3:$AE$63,MATCH(BO$3,$S$3:$AE$3,0),FALSE))*$BL163/VLOOKUP(VLOOKUP($BJ163,坦克个性化设定!$B$18:$E$48,4,FALSE)&amp;$BK163,坦克属性分配比例,MATCH("升星次数",坦克属性分配比例标头,0),FALSE)*(VLOOKUP(VLOOKUP($BJ163,坦克个性化设定!$B$18:$E$48,4,FALSE)&amp;$BK163,坦克属性分配比例,MATCH("升星比例",坦克属性分配比例标头,0),FALSE)+VLOOKUP(VLOOKUP($BJ163,坦克个性化设定!$B$18:$E$48,4,FALSE)&amp;$BK163,坦克属性分配比例,MATCH("部件比例",坦克属性分配比例标头,0),FALSE)*$C$3),0)</f>
        <v>#N/A</v>
      </c>
      <c r="BP163" s="103" t="e">
        <f ca="1">ROUND(VLOOKUP($BJ163&amp;"初始",$S$3:$AE$63,MATCH(BP$3,$S$3:$AE$3,0),FALSE)+(VLOOKUP($BJ163&amp;"最终",$S$3:$AE$63,MATCH(BP$3,$S$3:$AE$3,0),FALSE)-VLOOKUP($BJ163&amp;"初始",$S$3:$AE$63,MATCH(BP$3,$S$3:$AE$3,0),FALSE))*$BL163/VLOOKUP(VLOOKUP($BJ163,坦克个性化设定!$B$18:$E$48,4,FALSE)&amp;$BK163,坦克属性分配比例,MATCH("升星次数",坦克属性分配比例标头,0),FALSE)*(VLOOKUP(VLOOKUP($BJ163,坦克个性化设定!$B$18:$E$48,4,FALSE)&amp;$BK163,坦克属性分配比例,MATCH("升星比例",坦克属性分配比例标头,0),FALSE)+VLOOKUP(VLOOKUP($BJ163,坦克个性化设定!$B$18:$E$48,4,FALSE)&amp;$BK163,坦克属性分配比例,MATCH("部件比例",坦克属性分配比例标头,0),FALSE)*$C$3),0)</f>
        <v>#N/A</v>
      </c>
      <c r="BQ163" s="103" t="e">
        <f ca="1">ROUND(VLOOKUP($BJ163&amp;"初始",$S$3:$AE$63,MATCH(BQ$3,$S$3:$AE$3,0),FALSE)+(VLOOKUP($BJ163&amp;"最终",$S$3:$AE$63,MATCH(BQ$3,$S$3:$AE$3,0),FALSE)-VLOOKUP($BJ163&amp;"初始",$S$3:$AE$63,MATCH(BQ$3,$S$3:$AE$3,0),FALSE))*$BL163/VLOOKUP(VLOOKUP($BJ163,坦克个性化设定!$B$18:$E$48,4,FALSE)&amp;$BK163,坦克属性分配比例,MATCH("升星次数",坦克属性分配比例标头,0),FALSE)*VLOOKUP(VLOOKUP($BJ163,坦克个性化设定!$B$18:$E$48,4,FALSE)&amp;$BK163,坦克属性分配比例,MATCH("升星比例",坦克属性分配比例标头,0),FALSE),0)</f>
        <v>#N/A</v>
      </c>
      <c r="BR163" s="2" t="e">
        <f ca="1">ROUND(VLOOKUP($BJ163&amp;"初始",$S$3:$AE$63,MATCH(BR$3,$S$3:$AE$3,0),FALSE)+(VLOOKUP($BJ163&amp;"最终",$S$3:$AE$63,MATCH(BR$3,$S$3:$AE$3,0),FALSE)-VLOOKUP($BJ163&amp;"初始",$S$3:$AE$63,MATCH(BR$3,$S$3:$AE$3,0),FALSE))*$BL163/VLOOKUP(VLOOKUP($BJ163,坦克个性化设定!$B$18:$E$48,4,FALSE)&amp;$BK163,坦克属性分配比例,MATCH("升星次数",坦克属性分配比例标头,0),FALSE),0)</f>
        <v>#N/A</v>
      </c>
      <c r="BS163" s="2">
        <f>ROUND(VLOOKUP($BJ163,$AI$3:$AO$33,MATCH(BS$3,$AI$3:$AO$3,0),FALSE)+$BL163/VLOOKUP(VLOOKUP($BJ163,坦克个性化设定!$B$18:$E$48,4,FALSE)&amp;$BK163,坦克属性分配比例,MATCH("升星次数",坦克属性分配比例标头,0),FALSE)*VLOOKUP($BJ163,$AR$3:$AY$33,MATCH(BS$3,$AR$3:$AY$3,0),FALSE),1)</f>
        <v>49.6</v>
      </c>
      <c r="BT163" s="2">
        <f>ROUND(VLOOKUP($BJ163,$AI$3:$AO$33,MATCH(BT$3,$AI$3:$AO$3,0),FALSE)+$BL163/VLOOKUP(VLOOKUP($BJ163,坦克个性化设定!$B$18:$E$48,4,FALSE)&amp;$BK163,坦克属性分配比例,MATCH("升星次数",坦克属性分配比例标头,0),FALSE)*VLOOKUP($BJ163,$AR$3:$AY$33,MATCH(BT$3,$AR$3:$AY$3,0),FALSE),1)</f>
        <v>44.5</v>
      </c>
      <c r="BU163" s="2">
        <f>ROUND(VLOOKUP($BJ163,$AI$3:$AO$33,MATCH(BU$3,$AI$3:$AO$3,0),FALSE)+$BL163/VLOOKUP(VLOOKUP($BJ163,坦克个性化设定!$B$18:$E$48,4,FALSE)&amp;$BK163,坦克属性分配比例,MATCH("升星次数",坦克属性分配比例标头,0),FALSE)*VLOOKUP($BJ163,$AR$3:$AY$33,MATCH(BU$3,$AR$3:$AY$3,0),FALSE),1)</f>
        <v>8</v>
      </c>
      <c r="BV163" s="2">
        <f>IF(VLOOKUP(BJ163,坦克个性化设定!$B$18:$BC$48,MATCH("装弹类型",坦克个性化设定!$B$18:$BC$18,0),FALSE)="弹夹换弹",0,ROUND(VLOOKUP($BJ163,$AI$3:$AO$33,MATCH("换弹时间",$AI$3:$AO$3,0),FALSE)-$BL163/VLOOKUP(VLOOKUP($BJ163,坦克个性化设定!$B$18:$E$48,4,FALSE)&amp;$BK163,坦克属性分配比例,MATCH("升星次数",坦克属性分配比例标头,0),FALSE)*VLOOKUP($BJ163,$AR$3:$AY$33,MATCH("换弹时间",$AR$3:$AY$3,0),FALSE),2))</f>
        <v>0</v>
      </c>
      <c r="BW163" s="2">
        <f>IF(VLOOKUP(BJ163,坦克个性化设定!$B$18:$BC$48,MATCH("装弹类型",坦克个性化设定!$B$18:$BC$18,0),FALSE)="弹夹换弹",ROUND(VLOOKUP($BJ163,$AI$3:$AO$33,MATCH("换弹时间",$AI$3:$AO$3,0),FALSE)-$BL163/VLOOKUP(VLOOKUP($BJ163,坦克个性化设定!$B$18:$E$48,4,FALSE)&amp;$BK163,坦克属性分配比例,MATCH("升星次数",坦克属性分配比例标头,0),FALSE)*VLOOKUP($BJ163,$AR$3:$AY$33,MATCH("换弹时间",$AR$3:$AY$3,0),FALSE),1),0)</f>
        <v>2.2000000000000002</v>
      </c>
      <c r="BX163" s="2">
        <f>ROUND(VLOOKUP($BJ163,$AI$3:$AO$33,MATCH(BX$3,$AI$3:$AO$3,0),FALSE)+$BL163/VLOOKUP(VLOOKUP($BJ163,坦克个性化设定!$B$18:$E$48,4,FALSE)&amp;$BK163,坦克属性分配比例,MATCH("升星次数",坦克属性分配比例标头,0),FALSE)*VLOOKUP($BJ163,$AR$3:$AY$33,MATCH(BX$3,$AR$3:$AY$3,0),FALSE),2)</f>
        <v>0.52</v>
      </c>
      <c r="BY163" s="2">
        <f>ROUND(VLOOKUP($BJ163,$AI$3:$AO$33,MATCH(BY$3,$AI$3:$AO$3,0),FALSE)-$BL163/VLOOKUP(VLOOKUP($BJ163,坦克个性化设定!$B$18:$E$48,4,FALSE)&amp;$BK163,坦克属性分配比例,MATCH("升星次数",坦克属性分配比例标头,0),FALSE)*VLOOKUP($BJ163,$AR$3:$AY$33,MATCH(BY$3,$AR$3:$AY$3,0),FALSE),2)</f>
        <v>1.26</v>
      </c>
    </row>
    <row r="164" spans="60:77" x14ac:dyDescent="0.3">
      <c r="BH164" s="2" t="str">
        <f t="shared" si="27"/>
        <v>M-486</v>
      </c>
      <c r="BI164" s="2">
        <f>IF(BL163&gt;=VLOOKUP(VLOOKUP(BJ163,坦克个性化设定!$B$18:$E$48,4,FALSE)&amp;BK163,坦克属性分配比例,MATCH("升星次数",坦克属性分配比例标头,0),FALSE),BI163+1,BI163)</f>
        <v>17</v>
      </c>
      <c r="BJ164" s="2" t="str">
        <f t="shared" si="28"/>
        <v>M-48</v>
      </c>
      <c r="BK164" s="29" t="str">
        <f>VLOOKUP(BJ164,坦克个性化细分!$I$3:$J$33,2,FALSE)</f>
        <v>低</v>
      </c>
      <c r="BL164" s="2">
        <f t="shared" si="26"/>
        <v>6</v>
      </c>
      <c r="BM164" s="103" t="e">
        <f ca="1">ROUND(VLOOKUP($BJ164&amp;"初始",$S$3:$AE$63,MATCH(BM$3,$S$3:$AE$3,0),FALSE)+((VLOOKUP($BJ164&amp;"最终",$S$3:$AE$63,MATCH(BM$3,$S$3:$AE$3,0),FALSE)*坦克个性化细分!$C$9-VLOOKUP($BJ164&amp;"初始",$S$3:$AE$63,MATCH(BM$3,$S$3:$AE$3,0),FALSE))-(VLOOKUP($BJ164&amp;"最终",$S$3:$AE$63,MATCH(BM$3,$S$3:$AE$3,0),FALSE)-VLOOKUP($BJ164&amp;"初始",$S$3:$AE$63,MATCH(BM$3,$S$3:$AE$3,0),FALSE))*VLOOKUP(VLOOKUP($BJ164,坦克个性化设定!$B$18:$E$48,4,FALSE)&amp;$BK164,坦克属性分配比例,MATCH("部件比例",坦克属性分配比例标头,0),FALSE))*$BL164/VLOOKUP(VLOOKUP($BJ164,坦克个性化设定!$B$18:$E$48,4,FALSE)&amp;$BK164,坦克属性分配比例,MATCH("升星次数",坦克属性分配比例标头,0),FALSE),0)</f>
        <v>#N/A</v>
      </c>
      <c r="BN164" s="103" t="e">
        <f ca="1">ROUND(VLOOKUP($BJ164&amp;"初始",$S$3:$AE$63,MATCH(BN$3,$S$3:$AE$3,0),FALSE)+(VLOOKUP($BJ164&amp;"最终",$S$3:$AE$63,MATCH(BN$3,$S$3:$AE$3,0),FALSE)-VLOOKUP($BJ164&amp;"初始",$S$3:$AE$63,MATCH(BN$3,$S$3:$AE$3,0),FALSE))*$BL164/VLOOKUP(VLOOKUP($BJ164,坦克个性化设定!$B$18:$E$48,4,FALSE)&amp;$BK164,坦克属性分配比例,MATCH("升星次数",坦克属性分配比例标头,0),FALSE)*VLOOKUP(VLOOKUP($BJ164,坦克个性化设定!$B$18:$E$48,4,FALSE)&amp;$BK164,坦克属性分配比例,MATCH("升星比例",坦克属性分配比例标头,0),FALSE),0)</f>
        <v>#N/A</v>
      </c>
      <c r="BO164" s="103" t="e">
        <f ca="1">ROUND(VLOOKUP($BJ164&amp;"初始",$S$3:$AE$63,MATCH(BO$3,$S$3:$AE$3,0),FALSE)+(VLOOKUP($BJ164&amp;"最终",$S$3:$AE$63,MATCH(BO$3,$S$3:$AE$3,0),FALSE)-VLOOKUP($BJ164&amp;"初始",$S$3:$AE$63,MATCH(BO$3,$S$3:$AE$3,0),FALSE))*$BL164/VLOOKUP(VLOOKUP($BJ164,坦克个性化设定!$B$18:$E$48,4,FALSE)&amp;$BK164,坦克属性分配比例,MATCH("升星次数",坦克属性分配比例标头,0),FALSE)*(VLOOKUP(VLOOKUP($BJ164,坦克个性化设定!$B$18:$E$48,4,FALSE)&amp;$BK164,坦克属性分配比例,MATCH("升星比例",坦克属性分配比例标头,0),FALSE)+VLOOKUP(VLOOKUP($BJ164,坦克个性化设定!$B$18:$E$48,4,FALSE)&amp;$BK164,坦克属性分配比例,MATCH("部件比例",坦克属性分配比例标头,0),FALSE)*$C$3),0)</f>
        <v>#N/A</v>
      </c>
      <c r="BP164" s="103" t="e">
        <f ca="1">ROUND(VLOOKUP($BJ164&amp;"初始",$S$3:$AE$63,MATCH(BP$3,$S$3:$AE$3,0),FALSE)+(VLOOKUP($BJ164&amp;"最终",$S$3:$AE$63,MATCH(BP$3,$S$3:$AE$3,0),FALSE)-VLOOKUP($BJ164&amp;"初始",$S$3:$AE$63,MATCH(BP$3,$S$3:$AE$3,0),FALSE))*$BL164/VLOOKUP(VLOOKUP($BJ164,坦克个性化设定!$B$18:$E$48,4,FALSE)&amp;$BK164,坦克属性分配比例,MATCH("升星次数",坦克属性分配比例标头,0),FALSE)*(VLOOKUP(VLOOKUP($BJ164,坦克个性化设定!$B$18:$E$48,4,FALSE)&amp;$BK164,坦克属性分配比例,MATCH("升星比例",坦克属性分配比例标头,0),FALSE)+VLOOKUP(VLOOKUP($BJ164,坦克个性化设定!$B$18:$E$48,4,FALSE)&amp;$BK164,坦克属性分配比例,MATCH("部件比例",坦克属性分配比例标头,0),FALSE)*$C$3),0)</f>
        <v>#N/A</v>
      </c>
      <c r="BQ164" s="103" t="e">
        <f ca="1">ROUND(VLOOKUP($BJ164&amp;"初始",$S$3:$AE$63,MATCH(BQ$3,$S$3:$AE$3,0),FALSE)+(VLOOKUP($BJ164&amp;"最终",$S$3:$AE$63,MATCH(BQ$3,$S$3:$AE$3,0),FALSE)-VLOOKUP($BJ164&amp;"初始",$S$3:$AE$63,MATCH(BQ$3,$S$3:$AE$3,0),FALSE))*$BL164/VLOOKUP(VLOOKUP($BJ164,坦克个性化设定!$B$18:$E$48,4,FALSE)&amp;$BK164,坦克属性分配比例,MATCH("升星次数",坦克属性分配比例标头,0),FALSE)*VLOOKUP(VLOOKUP($BJ164,坦克个性化设定!$B$18:$E$48,4,FALSE)&amp;$BK164,坦克属性分配比例,MATCH("升星比例",坦克属性分配比例标头,0),FALSE),0)</f>
        <v>#N/A</v>
      </c>
      <c r="BR164" s="2" t="e">
        <f ca="1">ROUND(VLOOKUP($BJ164&amp;"初始",$S$3:$AE$63,MATCH(BR$3,$S$3:$AE$3,0),FALSE)+(VLOOKUP($BJ164&amp;"最终",$S$3:$AE$63,MATCH(BR$3,$S$3:$AE$3,0),FALSE)-VLOOKUP($BJ164&amp;"初始",$S$3:$AE$63,MATCH(BR$3,$S$3:$AE$3,0),FALSE))*$BL164/VLOOKUP(VLOOKUP($BJ164,坦克个性化设定!$B$18:$E$48,4,FALSE)&amp;$BK164,坦克属性分配比例,MATCH("升星次数",坦克属性分配比例标头,0),FALSE),0)</f>
        <v>#N/A</v>
      </c>
      <c r="BS164" s="2">
        <f>ROUND(VLOOKUP($BJ164,$AI$3:$AO$33,MATCH(BS$3,$AI$3:$AO$3,0),FALSE)+$BL164/VLOOKUP(VLOOKUP($BJ164,坦克个性化设定!$B$18:$E$48,4,FALSE)&amp;$BK164,坦克属性分配比例,MATCH("升星次数",坦克属性分配比例标头,0),FALSE)*VLOOKUP($BJ164,$AR$3:$AY$33,MATCH(BS$3,$AR$3:$AY$3,0),FALSE),1)</f>
        <v>50.6</v>
      </c>
      <c r="BT164" s="2">
        <f>ROUND(VLOOKUP($BJ164,$AI$3:$AO$33,MATCH(BT$3,$AI$3:$AO$3,0),FALSE)+$BL164/VLOOKUP(VLOOKUP($BJ164,坦克个性化设定!$B$18:$E$48,4,FALSE)&amp;$BK164,坦克属性分配比例,MATCH("升星次数",坦克属性分配比例标头,0),FALSE)*VLOOKUP($BJ164,$AR$3:$AY$33,MATCH(BT$3,$AR$3:$AY$3,0),FALSE),1)</f>
        <v>45.5</v>
      </c>
      <c r="BU164" s="2">
        <f>ROUND(VLOOKUP($BJ164,$AI$3:$AO$33,MATCH(BU$3,$AI$3:$AO$3,0),FALSE)+$BL164/VLOOKUP(VLOOKUP($BJ164,坦克个性化设定!$B$18:$E$48,4,FALSE)&amp;$BK164,坦克属性分配比例,MATCH("升星次数",坦克属性分配比例标头,0),FALSE)*VLOOKUP($BJ164,$AR$3:$AY$33,MATCH(BU$3,$AR$3:$AY$3,0),FALSE),1)</f>
        <v>8</v>
      </c>
      <c r="BV164" s="2">
        <f>IF(VLOOKUP(BJ164,坦克个性化设定!$B$18:$BC$48,MATCH("装弹类型",坦克个性化设定!$B$18:$BC$18,0),FALSE)="弹夹换弹",0,ROUND(VLOOKUP($BJ164,$AI$3:$AO$33,MATCH("换弹时间",$AI$3:$AO$3,0),FALSE)-$BL164/VLOOKUP(VLOOKUP($BJ164,坦克个性化设定!$B$18:$E$48,4,FALSE)&amp;$BK164,坦克属性分配比例,MATCH("升星次数",坦克属性分配比例标头,0),FALSE)*VLOOKUP($BJ164,$AR$3:$AY$33,MATCH("换弹时间",$AR$3:$AY$3,0),FALSE),2))</f>
        <v>0</v>
      </c>
      <c r="BW164" s="2">
        <f>IF(VLOOKUP(BJ164,坦克个性化设定!$B$18:$BC$48,MATCH("装弹类型",坦克个性化设定!$B$18:$BC$18,0),FALSE)="弹夹换弹",ROUND(VLOOKUP($BJ164,$AI$3:$AO$33,MATCH("换弹时间",$AI$3:$AO$3,0),FALSE)-$BL164/VLOOKUP(VLOOKUP($BJ164,坦克个性化设定!$B$18:$E$48,4,FALSE)&amp;$BK164,坦克属性分配比例,MATCH("升星次数",坦克属性分配比例标头,0),FALSE)*VLOOKUP($BJ164,$AR$3:$AY$33,MATCH("换弹时间",$AR$3:$AY$3,0),FALSE),1),0)</f>
        <v>2.2000000000000002</v>
      </c>
      <c r="BX164" s="2">
        <f>ROUND(VLOOKUP($BJ164,$AI$3:$AO$33,MATCH(BX$3,$AI$3:$AO$3,0),FALSE)+$BL164/VLOOKUP(VLOOKUP($BJ164,坦克个性化设定!$B$18:$E$48,4,FALSE)&amp;$BK164,坦克属性分配比例,MATCH("升星次数",坦克属性分配比例标头,0),FALSE)*VLOOKUP($BJ164,$AR$3:$AY$33,MATCH(BX$3,$AR$3:$AY$3,0),FALSE),2)</f>
        <v>0.55000000000000004</v>
      </c>
      <c r="BY164" s="2">
        <f>ROUND(VLOOKUP($BJ164,$AI$3:$AO$33,MATCH(BY$3,$AI$3:$AO$3,0),FALSE)-$BL164/VLOOKUP(VLOOKUP($BJ164,坦克个性化设定!$B$18:$E$48,4,FALSE)&amp;$BK164,坦克属性分配比例,MATCH("升星次数",坦克属性分配比例标头,0),FALSE)*VLOOKUP($BJ164,$AR$3:$AY$33,MATCH(BY$3,$AR$3:$AY$3,0),FALSE),2)</f>
        <v>1.24</v>
      </c>
    </row>
    <row r="165" spans="60:77" x14ac:dyDescent="0.3">
      <c r="BH165" s="2" t="str">
        <f t="shared" si="27"/>
        <v>M-487</v>
      </c>
      <c r="BI165" s="2">
        <f>IF(BL164&gt;=VLOOKUP(VLOOKUP(BJ164,坦克个性化设定!$B$18:$E$48,4,FALSE)&amp;BK164,坦克属性分配比例,MATCH("升星次数",坦克属性分配比例标头,0),FALSE),BI164+1,BI164)</f>
        <v>17</v>
      </c>
      <c r="BJ165" s="2" t="str">
        <f t="shared" si="28"/>
        <v>M-48</v>
      </c>
      <c r="BK165" s="29" t="str">
        <f>VLOOKUP(BJ165,坦克个性化细分!$I$3:$J$33,2,FALSE)</f>
        <v>低</v>
      </c>
      <c r="BL165" s="2">
        <f t="shared" si="26"/>
        <v>7</v>
      </c>
      <c r="BM165" s="103" t="e">
        <f ca="1">ROUND(VLOOKUP($BJ165&amp;"初始",$S$3:$AE$63,MATCH(BM$3,$S$3:$AE$3,0),FALSE)+((VLOOKUP($BJ165&amp;"最终",$S$3:$AE$63,MATCH(BM$3,$S$3:$AE$3,0),FALSE)*坦克个性化细分!$C$9-VLOOKUP($BJ165&amp;"初始",$S$3:$AE$63,MATCH(BM$3,$S$3:$AE$3,0),FALSE))-(VLOOKUP($BJ165&amp;"最终",$S$3:$AE$63,MATCH(BM$3,$S$3:$AE$3,0),FALSE)-VLOOKUP($BJ165&amp;"初始",$S$3:$AE$63,MATCH(BM$3,$S$3:$AE$3,0),FALSE))*VLOOKUP(VLOOKUP($BJ165,坦克个性化设定!$B$18:$E$48,4,FALSE)&amp;$BK165,坦克属性分配比例,MATCH("部件比例",坦克属性分配比例标头,0),FALSE))*$BL165/VLOOKUP(VLOOKUP($BJ165,坦克个性化设定!$B$18:$E$48,4,FALSE)&amp;$BK165,坦克属性分配比例,MATCH("升星次数",坦克属性分配比例标头,0),FALSE),0)</f>
        <v>#N/A</v>
      </c>
      <c r="BN165" s="103" t="e">
        <f ca="1">ROUND(VLOOKUP($BJ165&amp;"初始",$S$3:$AE$63,MATCH(BN$3,$S$3:$AE$3,0),FALSE)+(VLOOKUP($BJ165&amp;"最终",$S$3:$AE$63,MATCH(BN$3,$S$3:$AE$3,0),FALSE)-VLOOKUP($BJ165&amp;"初始",$S$3:$AE$63,MATCH(BN$3,$S$3:$AE$3,0),FALSE))*$BL165/VLOOKUP(VLOOKUP($BJ165,坦克个性化设定!$B$18:$E$48,4,FALSE)&amp;$BK165,坦克属性分配比例,MATCH("升星次数",坦克属性分配比例标头,0),FALSE)*VLOOKUP(VLOOKUP($BJ165,坦克个性化设定!$B$18:$E$48,4,FALSE)&amp;$BK165,坦克属性分配比例,MATCH("升星比例",坦克属性分配比例标头,0),FALSE),0)</f>
        <v>#N/A</v>
      </c>
      <c r="BO165" s="103" t="e">
        <f ca="1">ROUND(VLOOKUP($BJ165&amp;"初始",$S$3:$AE$63,MATCH(BO$3,$S$3:$AE$3,0),FALSE)+(VLOOKUP($BJ165&amp;"最终",$S$3:$AE$63,MATCH(BO$3,$S$3:$AE$3,0),FALSE)-VLOOKUP($BJ165&amp;"初始",$S$3:$AE$63,MATCH(BO$3,$S$3:$AE$3,0),FALSE))*$BL165/VLOOKUP(VLOOKUP($BJ165,坦克个性化设定!$B$18:$E$48,4,FALSE)&amp;$BK165,坦克属性分配比例,MATCH("升星次数",坦克属性分配比例标头,0),FALSE)*(VLOOKUP(VLOOKUP($BJ165,坦克个性化设定!$B$18:$E$48,4,FALSE)&amp;$BK165,坦克属性分配比例,MATCH("升星比例",坦克属性分配比例标头,0),FALSE)+VLOOKUP(VLOOKUP($BJ165,坦克个性化设定!$B$18:$E$48,4,FALSE)&amp;$BK165,坦克属性分配比例,MATCH("部件比例",坦克属性分配比例标头,0),FALSE)*$C$3),0)</f>
        <v>#N/A</v>
      </c>
      <c r="BP165" s="103" t="e">
        <f ca="1">ROUND(VLOOKUP($BJ165&amp;"初始",$S$3:$AE$63,MATCH(BP$3,$S$3:$AE$3,0),FALSE)+(VLOOKUP($BJ165&amp;"最终",$S$3:$AE$63,MATCH(BP$3,$S$3:$AE$3,0),FALSE)-VLOOKUP($BJ165&amp;"初始",$S$3:$AE$63,MATCH(BP$3,$S$3:$AE$3,0),FALSE))*$BL165/VLOOKUP(VLOOKUP($BJ165,坦克个性化设定!$B$18:$E$48,4,FALSE)&amp;$BK165,坦克属性分配比例,MATCH("升星次数",坦克属性分配比例标头,0),FALSE)*(VLOOKUP(VLOOKUP($BJ165,坦克个性化设定!$B$18:$E$48,4,FALSE)&amp;$BK165,坦克属性分配比例,MATCH("升星比例",坦克属性分配比例标头,0),FALSE)+VLOOKUP(VLOOKUP($BJ165,坦克个性化设定!$B$18:$E$48,4,FALSE)&amp;$BK165,坦克属性分配比例,MATCH("部件比例",坦克属性分配比例标头,0),FALSE)*$C$3),0)</f>
        <v>#N/A</v>
      </c>
      <c r="BQ165" s="103" t="e">
        <f ca="1">ROUND(VLOOKUP($BJ165&amp;"初始",$S$3:$AE$63,MATCH(BQ$3,$S$3:$AE$3,0),FALSE)+(VLOOKUP($BJ165&amp;"最终",$S$3:$AE$63,MATCH(BQ$3,$S$3:$AE$3,0),FALSE)-VLOOKUP($BJ165&amp;"初始",$S$3:$AE$63,MATCH(BQ$3,$S$3:$AE$3,0),FALSE))*$BL165/VLOOKUP(VLOOKUP($BJ165,坦克个性化设定!$B$18:$E$48,4,FALSE)&amp;$BK165,坦克属性分配比例,MATCH("升星次数",坦克属性分配比例标头,0),FALSE)*VLOOKUP(VLOOKUP($BJ165,坦克个性化设定!$B$18:$E$48,4,FALSE)&amp;$BK165,坦克属性分配比例,MATCH("升星比例",坦克属性分配比例标头,0),FALSE),0)</f>
        <v>#N/A</v>
      </c>
      <c r="BR165" s="2" t="e">
        <f ca="1">ROUND(VLOOKUP($BJ165&amp;"初始",$S$3:$AE$63,MATCH(BR$3,$S$3:$AE$3,0),FALSE)+(VLOOKUP($BJ165&amp;"最终",$S$3:$AE$63,MATCH(BR$3,$S$3:$AE$3,0),FALSE)-VLOOKUP($BJ165&amp;"初始",$S$3:$AE$63,MATCH(BR$3,$S$3:$AE$3,0),FALSE))*$BL165/VLOOKUP(VLOOKUP($BJ165,坦克个性化设定!$B$18:$E$48,4,FALSE)&amp;$BK165,坦克属性分配比例,MATCH("升星次数",坦克属性分配比例标头,0),FALSE),0)</f>
        <v>#N/A</v>
      </c>
      <c r="BS165" s="2">
        <f>ROUND(VLOOKUP($BJ165,$AI$3:$AO$33,MATCH(BS$3,$AI$3:$AO$3,0),FALSE)+$BL165/VLOOKUP(VLOOKUP($BJ165,坦克个性化设定!$B$18:$E$48,4,FALSE)&amp;$BK165,坦克属性分配比例,MATCH("升星次数",坦克属性分配比例标头,0),FALSE)*VLOOKUP($BJ165,$AR$3:$AY$33,MATCH(BS$3,$AR$3:$AY$3,0),FALSE),1)</f>
        <v>51.6</v>
      </c>
      <c r="BT165" s="2">
        <f>ROUND(VLOOKUP($BJ165,$AI$3:$AO$33,MATCH(BT$3,$AI$3:$AO$3,0),FALSE)+$BL165/VLOOKUP(VLOOKUP($BJ165,坦克个性化设定!$B$18:$E$48,4,FALSE)&amp;$BK165,坦克属性分配比例,MATCH("升星次数",坦克属性分配比例标头,0),FALSE)*VLOOKUP($BJ165,$AR$3:$AY$33,MATCH(BT$3,$AR$3:$AY$3,0),FALSE),1)</f>
        <v>46.4</v>
      </c>
      <c r="BU165" s="2">
        <f>ROUND(VLOOKUP($BJ165,$AI$3:$AO$33,MATCH(BU$3,$AI$3:$AO$3,0),FALSE)+$BL165/VLOOKUP(VLOOKUP($BJ165,坦克个性化设定!$B$18:$E$48,4,FALSE)&amp;$BK165,坦克属性分配比例,MATCH("升星次数",坦克属性分配比例标头,0),FALSE)*VLOOKUP($BJ165,$AR$3:$AY$33,MATCH(BU$3,$AR$3:$AY$3,0),FALSE),1)</f>
        <v>8</v>
      </c>
      <c r="BV165" s="2">
        <f>IF(VLOOKUP(BJ165,坦克个性化设定!$B$18:$BC$48,MATCH("装弹类型",坦克个性化设定!$B$18:$BC$18,0),FALSE)="弹夹换弹",0,ROUND(VLOOKUP($BJ165,$AI$3:$AO$33,MATCH("换弹时间",$AI$3:$AO$3,0),FALSE)-$BL165/VLOOKUP(VLOOKUP($BJ165,坦克个性化设定!$B$18:$E$48,4,FALSE)&amp;$BK165,坦克属性分配比例,MATCH("升星次数",坦克属性分配比例标头,0),FALSE)*VLOOKUP($BJ165,$AR$3:$AY$33,MATCH("换弹时间",$AR$3:$AY$3,0),FALSE),2))</f>
        <v>0</v>
      </c>
      <c r="BW165" s="2">
        <f>IF(VLOOKUP(BJ165,坦克个性化设定!$B$18:$BC$48,MATCH("装弹类型",坦克个性化设定!$B$18:$BC$18,0),FALSE)="弹夹换弹",ROUND(VLOOKUP($BJ165,$AI$3:$AO$33,MATCH("换弹时间",$AI$3:$AO$3,0),FALSE)-$BL165/VLOOKUP(VLOOKUP($BJ165,坦克个性化设定!$B$18:$E$48,4,FALSE)&amp;$BK165,坦克属性分配比例,MATCH("升星次数",坦克属性分配比例标头,0),FALSE)*VLOOKUP($BJ165,$AR$3:$AY$33,MATCH("换弹时间",$AR$3:$AY$3,0),FALSE),1),0)</f>
        <v>2.2000000000000002</v>
      </c>
      <c r="BX165" s="2">
        <f>ROUND(VLOOKUP($BJ165,$AI$3:$AO$33,MATCH(BX$3,$AI$3:$AO$3,0),FALSE)+$BL165/VLOOKUP(VLOOKUP($BJ165,坦克个性化设定!$B$18:$E$48,4,FALSE)&amp;$BK165,坦克属性分配比例,MATCH("升星次数",坦克属性分配比例标头,0),FALSE)*VLOOKUP($BJ165,$AR$3:$AY$33,MATCH(BX$3,$AR$3:$AY$3,0),FALSE),2)</f>
        <v>0.59</v>
      </c>
      <c r="BY165" s="2">
        <f>ROUND(VLOOKUP($BJ165,$AI$3:$AO$33,MATCH(BY$3,$AI$3:$AO$3,0),FALSE)-$BL165/VLOOKUP(VLOOKUP($BJ165,坦克个性化设定!$B$18:$E$48,4,FALSE)&amp;$BK165,坦克属性分配比例,MATCH("升星次数",坦克属性分配比例标头,0),FALSE)*VLOOKUP($BJ165,$AR$3:$AY$33,MATCH(BY$3,$AR$3:$AY$3,0),FALSE),2)</f>
        <v>1.22</v>
      </c>
    </row>
    <row r="166" spans="60:77" x14ac:dyDescent="0.3">
      <c r="BH166" s="2" t="str">
        <f t="shared" si="27"/>
        <v>M-488</v>
      </c>
      <c r="BI166" s="2">
        <f>IF(BL165&gt;=VLOOKUP(VLOOKUP(BJ165,坦克个性化设定!$B$18:$E$48,4,FALSE)&amp;BK165,坦克属性分配比例,MATCH("升星次数",坦克属性分配比例标头,0),FALSE),BI165+1,BI165)</f>
        <v>17</v>
      </c>
      <c r="BJ166" s="2" t="str">
        <f t="shared" si="28"/>
        <v>M-48</v>
      </c>
      <c r="BK166" s="29" t="str">
        <f>VLOOKUP(BJ166,坦克个性化细分!$I$3:$J$33,2,FALSE)</f>
        <v>低</v>
      </c>
      <c r="BL166" s="2">
        <f t="shared" si="26"/>
        <v>8</v>
      </c>
      <c r="BM166" s="103" t="e">
        <f ca="1">ROUND(VLOOKUP($BJ166&amp;"初始",$S$3:$AE$63,MATCH(BM$3,$S$3:$AE$3,0),FALSE)+((VLOOKUP($BJ166&amp;"最终",$S$3:$AE$63,MATCH(BM$3,$S$3:$AE$3,0),FALSE)*坦克个性化细分!$C$9-VLOOKUP($BJ166&amp;"初始",$S$3:$AE$63,MATCH(BM$3,$S$3:$AE$3,0),FALSE))-(VLOOKUP($BJ166&amp;"最终",$S$3:$AE$63,MATCH(BM$3,$S$3:$AE$3,0),FALSE)-VLOOKUP($BJ166&amp;"初始",$S$3:$AE$63,MATCH(BM$3,$S$3:$AE$3,0),FALSE))*VLOOKUP(VLOOKUP($BJ166,坦克个性化设定!$B$18:$E$48,4,FALSE)&amp;$BK166,坦克属性分配比例,MATCH("部件比例",坦克属性分配比例标头,0),FALSE))*$BL166/VLOOKUP(VLOOKUP($BJ166,坦克个性化设定!$B$18:$E$48,4,FALSE)&amp;$BK166,坦克属性分配比例,MATCH("升星次数",坦克属性分配比例标头,0),FALSE),0)</f>
        <v>#N/A</v>
      </c>
      <c r="BN166" s="103" t="e">
        <f ca="1">ROUND(VLOOKUP($BJ166&amp;"初始",$S$3:$AE$63,MATCH(BN$3,$S$3:$AE$3,0),FALSE)+(VLOOKUP($BJ166&amp;"最终",$S$3:$AE$63,MATCH(BN$3,$S$3:$AE$3,0),FALSE)-VLOOKUP($BJ166&amp;"初始",$S$3:$AE$63,MATCH(BN$3,$S$3:$AE$3,0),FALSE))*$BL166/VLOOKUP(VLOOKUP($BJ166,坦克个性化设定!$B$18:$E$48,4,FALSE)&amp;$BK166,坦克属性分配比例,MATCH("升星次数",坦克属性分配比例标头,0),FALSE)*VLOOKUP(VLOOKUP($BJ166,坦克个性化设定!$B$18:$E$48,4,FALSE)&amp;$BK166,坦克属性分配比例,MATCH("升星比例",坦克属性分配比例标头,0),FALSE),0)</f>
        <v>#N/A</v>
      </c>
      <c r="BO166" s="103" t="e">
        <f ca="1">ROUND(VLOOKUP($BJ166&amp;"初始",$S$3:$AE$63,MATCH(BO$3,$S$3:$AE$3,0),FALSE)+(VLOOKUP($BJ166&amp;"最终",$S$3:$AE$63,MATCH(BO$3,$S$3:$AE$3,0),FALSE)-VLOOKUP($BJ166&amp;"初始",$S$3:$AE$63,MATCH(BO$3,$S$3:$AE$3,0),FALSE))*$BL166/VLOOKUP(VLOOKUP($BJ166,坦克个性化设定!$B$18:$E$48,4,FALSE)&amp;$BK166,坦克属性分配比例,MATCH("升星次数",坦克属性分配比例标头,0),FALSE)*(VLOOKUP(VLOOKUP($BJ166,坦克个性化设定!$B$18:$E$48,4,FALSE)&amp;$BK166,坦克属性分配比例,MATCH("升星比例",坦克属性分配比例标头,0),FALSE)+VLOOKUP(VLOOKUP($BJ166,坦克个性化设定!$B$18:$E$48,4,FALSE)&amp;$BK166,坦克属性分配比例,MATCH("部件比例",坦克属性分配比例标头,0),FALSE)*$C$3),0)</f>
        <v>#N/A</v>
      </c>
      <c r="BP166" s="103" t="e">
        <f ca="1">ROUND(VLOOKUP($BJ166&amp;"初始",$S$3:$AE$63,MATCH(BP$3,$S$3:$AE$3,0),FALSE)+(VLOOKUP($BJ166&amp;"最终",$S$3:$AE$63,MATCH(BP$3,$S$3:$AE$3,0),FALSE)-VLOOKUP($BJ166&amp;"初始",$S$3:$AE$63,MATCH(BP$3,$S$3:$AE$3,0),FALSE))*$BL166/VLOOKUP(VLOOKUP($BJ166,坦克个性化设定!$B$18:$E$48,4,FALSE)&amp;$BK166,坦克属性分配比例,MATCH("升星次数",坦克属性分配比例标头,0),FALSE)*(VLOOKUP(VLOOKUP($BJ166,坦克个性化设定!$B$18:$E$48,4,FALSE)&amp;$BK166,坦克属性分配比例,MATCH("升星比例",坦克属性分配比例标头,0),FALSE)+VLOOKUP(VLOOKUP($BJ166,坦克个性化设定!$B$18:$E$48,4,FALSE)&amp;$BK166,坦克属性分配比例,MATCH("部件比例",坦克属性分配比例标头,0),FALSE)*$C$3),0)</f>
        <v>#N/A</v>
      </c>
      <c r="BQ166" s="103" t="e">
        <f ca="1">ROUND(VLOOKUP($BJ166&amp;"初始",$S$3:$AE$63,MATCH(BQ$3,$S$3:$AE$3,0),FALSE)+(VLOOKUP($BJ166&amp;"最终",$S$3:$AE$63,MATCH(BQ$3,$S$3:$AE$3,0),FALSE)-VLOOKUP($BJ166&amp;"初始",$S$3:$AE$63,MATCH(BQ$3,$S$3:$AE$3,0),FALSE))*$BL166/VLOOKUP(VLOOKUP($BJ166,坦克个性化设定!$B$18:$E$48,4,FALSE)&amp;$BK166,坦克属性分配比例,MATCH("升星次数",坦克属性分配比例标头,0),FALSE)*VLOOKUP(VLOOKUP($BJ166,坦克个性化设定!$B$18:$E$48,4,FALSE)&amp;$BK166,坦克属性分配比例,MATCH("升星比例",坦克属性分配比例标头,0),FALSE),0)</f>
        <v>#N/A</v>
      </c>
      <c r="BR166" s="2" t="e">
        <f ca="1">ROUND(VLOOKUP($BJ166&amp;"初始",$S$3:$AE$63,MATCH(BR$3,$S$3:$AE$3,0),FALSE)+(VLOOKUP($BJ166&amp;"最终",$S$3:$AE$63,MATCH(BR$3,$S$3:$AE$3,0),FALSE)-VLOOKUP($BJ166&amp;"初始",$S$3:$AE$63,MATCH(BR$3,$S$3:$AE$3,0),FALSE))*$BL166/VLOOKUP(VLOOKUP($BJ166,坦克个性化设定!$B$18:$E$48,4,FALSE)&amp;$BK166,坦克属性分配比例,MATCH("升星次数",坦克属性分配比例标头,0),FALSE),0)</f>
        <v>#N/A</v>
      </c>
      <c r="BS166" s="2">
        <f>ROUND(VLOOKUP($BJ166,$AI$3:$AO$33,MATCH(BS$3,$AI$3:$AO$3,0),FALSE)+$BL166/VLOOKUP(VLOOKUP($BJ166,坦克个性化设定!$B$18:$E$48,4,FALSE)&amp;$BK166,坦克属性分配比例,MATCH("升星次数",坦克属性分配比例标头,0),FALSE)*VLOOKUP($BJ166,$AR$3:$AY$33,MATCH(BS$3,$AR$3:$AY$3,0),FALSE),1)</f>
        <v>52.6</v>
      </c>
      <c r="BT166" s="2">
        <f>ROUND(VLOOKUP($BJ166,$AI$3:$AO$33,MATCH(BT$3,$AI$3:$AO$3,0),FALSE)+$BL166/VLOOKUP(VLOOKUP($BJ166,坦克个性化设定!$B$18:$E$48,4,FALSE)&amp;$BK166,坦克属性分配比例,MATCH("升星次数",坦克属性分配比例标头,0),FALSE)*VLOOKUP($BJ166,$AR$3:$AY$33,MATCH(BT$3,$AR$3:$AY$3,0),FALSE),1)</f>
        <v>47.3</v>
      </c>
      <c r="BU166" s="2">
        <f>ROUND(VLOOKUP($BJ166,$AI$3:$AO$33,MATCH(BU$3,$AI$3:$AO$3,0),FALSE)+$BL166/VLOOKUP(VLOOKUP($BJ166,坦克个性化设定!$B$18:$E$48,4,FALSE)&amp;$BK166,坦克属性分配比例,MATCH("升星次数",坦克属性分配比例标头,0),FALSE)*VLOOKUP($BJ166,$AR$3:$AY$33,MATCH(BU$3,$AR$3:$AY$3,0),FALSE),1)</f>
        <v>8</v>
      </c>
      <c r="BV166" s="2">
        <f>IF(VLOOKUP(BJ166,坦克个性化设定!$B$18:$BC$48,MATCH("装弹类型",坦克个性化设定!$B$18:$BC$18,0),FALSE)="弹夹换弹",0,ROUND(VLOOKUP($BJ166,$AI$3:$AO$33,MATCH("换弹时间",$AI$3:$AO$3,0),FALSE)-$BL166/VLOOKUP(VLOOKUP($BJ166,坦克个性化设定!$B$18:$E$48,4,FALSE)&amp;$BK166,坦克属性分配比例,MATCH("升星次数",坦克属性分配比例标头,0),FALSE)*VLOOKUP($BJ166,$AR$3:$AY$33,MATCH("换弹时间",$AR$3:$AY$3,0),FALSE),2))</f>
        <v>0</v>
      </c>
      <c r="BW166" s="2">
        <f>IF(VLOOKUP(BJ166,坦克个性化设定!$B$18:$BC$48,MATCH("装弹类型",坦克个性化设定!$B$18:$BC$18,0),FALSE)="弹夹换弹",ROUND(VLOOKUP($BJ166,$AI$3:$AO$33,MATCH("换弹时间",$AI$3:$AO$3,0),FALSE)-$BL166/VLOOKUP(VLOOKUP($BJ166,坦克个性化设定!$B$18:$E$48,4,FALSE)&amp;$BK166,坦克属性分配比例,MATCH("升星次数",坦克属性分配比例标头,0),FALSE)*VLOOKUP($BJ166,$AR$3:$AY$33,MATCH("换弹时间",$AR$3:$AY$3,0),FALSE),1),0)</f>
        <v>2.1</v>
      </c>
      <c r="BX166" s="2">
        <f>ROUND(VLOOKUP($BJ166,$AI$3:$AO$33,MATCH(BX$3,$AI$3:$AO$3,0),FALSE)+$BL166/VLOOKUP(VLOOKUP($BJ166,坦克个性化设定!$B$18:$E$48,4,FALSE)&amp;$BK166,坦克属性分配比例,MATCH("升星次数",坦克属性分配比例标头,0),FALSE)*VLOOKUP($BJ166,$AR$3:$AY$33,MATCH(BX$3,$AR$3:$AY$3,0),FALSE),2)</f>
        <v>0.63</v>
      </c>
      <c r="BY166" s="2">
        <f>ROUND(VLOOKUP($BJ166,$AI$3:$AO$33,MATCH(BY$3,$AI$3:$AO$3,0),FALSE)-$BL166/VLOOKUP(VLOOKUP($BJ166,坦克个性化设定!$B$18:$E$48,4,FALSE)&amp;$BK166,坦克属性分配比例,MATCH("升星次数",坦克属性分配比例标头,0),FALSE)*VLOOKUP($BJ166,$AR$3:$AY$33,MATCH(BY$3,$AR$3:$AY$3,0),FALSE),2)</f>
        <v>1.2</v>
      </c>
    </row>
    <row r="167" spans="60:77" x14ac:dyDescent="0.3">
      <c r="BH167" s="2" t="str">
        <f t="shared" si="27"/>
        <v>M-489</v>
      </c>
      <c r="BI167" s="2">
        <f>IF(BL166&gt;=VLOOKUP(VLOOKUP(BJ166,坦克个性化设定!$B$18:$E$48,4,FALSE)&amp;BK166,坦克属性分配比例,MATCH("升星次数",坦克属性分配比例标头,0),FALSE),BI166+1,BI166)</f>
        <v>17</v>
      </c>
      <c r="BJ167" s="2" t="str">
        <f t="shared" si="28"/>
        <v>M-48</v>
      </c>
      <c r="BK167" s="29" t="str">
        <f>VLOOKUP(BJ167,坦克个性化细分!$I$3:$J$33,2,FALSE)</f>
        <v>低</v>
      </c>
      <c r="BL167" s="2">
        <f t="shared" si="26"/>
        <v>9</v>
      </c>
      <c r="BM167" s="103" t="e">
        <f ca="1">ROUND(VLOOKUP($BJ167&amp;"初始",$S$3:$AE$63,MATCH(BM$3,$S$3:$AE$3,0),FALSE)+((VLOOKUP($BJ167&amp;"最终",$S$3:$AE$63,MATCH(BM$3,$S$3:$AE$3,0),FALSE)*坦克个性化细分!$C$9-VLOOKUP($BJ167&amp;"初始",$S$3:$AE$63,MATCH(BM$3,$S$3:$AE$3,0),FALSE))-(VLOOKUP($BJ167&amp;"最终",$S$3:$AE$63,MATCH(BM$3,$S$3:$AE$3,0),FALSE)-VLOOKUP($BJ167&amp;"初始",$S$3:$AE$63,MATCH(BM$3,$S$3:$AE$3,0),FALSE))*VLOOKUP(VLOOKUP($BJ167,坦克个性化设定!$B$18:$E$48,4,FALSE)&amp;$BK167,坦克属性分配比例,MATCH("部件比例",坦克属性分配比例标头,0),FALSE))*$BL167/VLOOKUP(VLOOKUP($BJ167,坦克个性化设定!$B$18:$E$48,4,FALSE)&amp;$BK167,坦克属性分配比例,MATCH("升星次数",坦克属性分配比例标头,0),FALSE),0)</f>
        <v>#N/A</v>
      </c>
      <c r="BN167" s="103" t="e">
        <f ca="1">ROUND(VLOOKUP($BJ167&amp;"初始",$S$3:$AE$63,MATCH(BN$3,$S$3:$AE$3,0),FALSE)+(VLOOKUP($BJ167&amp;"最终",$S$3:$AE$63,MATCH(BN$3,$S$3:$AE$3,0),FALSE)-VLOOKUP($BJ167&amp;"初始",$S$3:$AE$63,MATCH(BN$3,$S$3:$AE$3,0),FALSE))*$BL167/VLOOKUP(VLOOKUP($BJ167,坦克个性化设定!$B$18:$E$48,4,FALSE)&amp;$BK167,坦克属性分配比例,MATCH("升星次数",坦克属性分配比例标头,0),FALSE)*VLOOKUP(VLOOKUP($BJ167,坦克个性化设定!$B$18:$E$48,4,FALSE)&amp;$BK167,坦克属性分配比例,MATCH("升星比例",坦克属性分配比例标头,0),FALSE),0)</f>
        <v>#N/A</v>
      </c>
      <c r="BO167" s="103" t="e">
        <f ca="1">ROUND(VLOOKUP($BJ167&amp;"初始",$S$3:$AE$63,MATCH(BO$3,$S$3:$AE$3,0),FALSE)+(VLOOKUP($BJ167&amp;"最终",$S$3:$AE$63,MATCH(BO$3,$S$3:$AE$3,0),FALSE)-VLOOKUP($BJ167&amp;"初始",$S$3:$AE$63,MATCH(BO$3,$S$3:$AE$3,0),FALSE))*$BL167/VLOOKUP(VLOOKUP($BJ167,坦克个性化设定!$B$18:$E$48,4,FALSE)&amp;$BK167,坦克属性分配比例,MATCH("升星次数",坦克属性分配比例标头,0),FALSE)*(VLOOKUP(VLOOKUP($BJ167,坦克个性化设定!$B$18:$E$48,4,FALSE)&amp;$BK167,坦克属性分配比例,MATCH("升星比例",坦克属性分配比例标头,0),FALSE)+VLOOKUP(VLOOKUP($BJ167,坦克个性化设定!$B$18:$E$48,4,FALSE)&amp;$BK167,坦克属性分配比例,MATCH("部件比例",坦克属性分配比例标头,0),FALSE)*$C$3),0)</f>
        <v>#N/A</v>
      </c>
      <c r="BP167" s="103" t="e">
        <f ca="1">ROUND(VLOOKUP($BJ167&amp;"初始",$S$3:$AE$63,MATCH(BP$3,$S$3:$AE$3,0),FALSE)+(VLOOKUP($BJ167&amp;"最终",$S$3:$AE$63,MATCH(BP$3,$S$3:$AE$3,0),FALSE)-VLOOKUP($BJ167&amp;"初始",$S$3:$AE$63,MATCH(BP$3,$S$3:$AE$3,0),FALSE))*$BL167/VLOOKUP(VLOOKUP($BJ167,坦克个性化设定!$B$18:$E$48,4,FALSE)&amp;$BK167,坦克属性分配比例,MATCH("升星次数",坦克属性分配比例标头,0),FALSE)*(VLOOKUP(VLOOKUP($BJ167,坦克个性化设定!$B$18:$E$48,4,FALSE)&amp;$BK167,坦克属性分配比例,MATCH("升星比例",坦克属性分配比例标头,0),FALSE)+VLOOKUP(VLOOKUP($BJ167,坦克个性化设定!$B$18:$E$48,4,FALSE)&amp;$BK167,坦克属性分配比例,MATCH("部件比例",坦克属性分配比例标头,0),FALSE)*$C$3),0)</f>
        <v>#N/A</v>
      </c>
      <c r="BQ167" s="103" t="e">
        <f ca="1">ROUND(VLOOKUP($BJ167&amp;"初始",$S$3:$AE$63,MATCH(BQ$3,$S$3:$AE$3,0),FALSE)+(VLOOKUP($BJ167&amp;"最终",$S$3:$AE$63,MATCH(BQ$3,$S$3:$AE$3,0),FALSE)-VLOOKUP($BJ167&amp;"初始",$S$3:$AE$63,MATCH(BQ$3,$S$3:$AE$3,0),FALSE))*$BL167/VLOOKUP(VLOOKUP($BJ167,坦克个性化设定!$B$18:$E$48,4,FALSE)&amp;$BK167,坦克属性分配比例,MATCH("升星次数",坦克属性分配比例标头,0),FALSE)*VLOOKUP(VLOOKUP($BJ167,坦克个性化设定!$B$18:$E$48,4,FALSE)&amp;$BK167,坦克属性分配比例,MATCH("升星比例",坦克属性分配比例标头,0),FALSE),0)</f>
        <v>#N/A</v>
      </c>
      <c r="BR167" s="2" t="e">
        <f ca="1">ROUND(VLOOKUP($BJ167&amp;"初始",$S$3:$AE$63,MATCH(BR$3,$S$3:$AE$3,0),FALSE)+(VLOOKUP($BJ167&amp;"最终",$S$3:$AE$63,MATCH(BR$3,$S$3:$AE$3,0),FALSE)-VLOOKUP($BJ167&amp;"初始",$S$3:$AE$63,MATCH(BR$3,$S$3:$AE$3,0),FALSE))*$BL167/VLOOKUP(VLOOKUP($BJ167,坦克个性化设定!$B$18:$E$48,4,FALSE)&amp;$BK167,坦克属性分配比例,MATCH("升星次数",坦克属性分配比例标头,0),FALSE),0)</f>
        <v>#N/A</v>
      </c>
      <c r="BS167" s="2">
        <f>ROUND(VLOOKUP($BJ167,$AI$3:$AO$33,MATCH(BS$3,$AI$3:$AO$3,0),FALSE)+$BL167/VLOOKUP(VLOOKUP($BJ167,坦克个性化设定!$B$18:$E$48,4,FALSE)&amp;$BK167,坦克属性分配比例,MATCH("升星次数",坦克属性分配比例标头,0),FALSE)*VLOOKUP($BJ167,$AR$3:$AY$33,MATCH(BS$3,$AR$3:$AY$3,0),FALSE),1)</f>
        <v>53.6</v>
      </c>
      <c r="BT167" s="2">
        <f>ROUND(VLOOKUP($BJ167,$AI$3:$AO$33,MATCH(BT$3,$AI$3:$AO$3,0),FALSE)+$BL167/VLOOKUP(VLOOKUP($BJ167,坦克个性化设定!$B$18:$E$48,4,FALSE)&amp;$BK167,坦克属性分配比例,MATCH("升星次数",坦克属性分配比例标头,0),FALSE)*VLOOKUP($BJ167,$AR$3:$AY$33,MATCH(BT$3,$AR$3:$AY$3,0),FALSE),1)</f>
        <v>48.2</v>
      </c>
      <c r="BU167" s="2">
        <f>ROUND(VLOOKUP($BJ167,$AI$3:$AO$33,MATCH(BU$3,$AI$3:$AO$3,0),FALSE)+$BL167/VLOOKUP(VLOOKUP($BJ167,坦克个性化设定!$B$18:$E$48,4,FALSE)&amp;$BK167,坦克属性分配比例,MATCH("升星次数",坦克属性分配比例标头,0),FALSE)*VLOOKUP($BJ167,$AR$3:$AY$33,MATCH(BU$3,$AR$3:$AY$3,0),FALSE),1)</f>
        <v>8</v>
      </c>
      <c r="BV167" s="2">
        <f>IF(VLOOKUP(BJ167,坦克个性化设定!$B$18:$BC$48,MATCH("装弹类型",坦克个性化设定!$B$18:$BC$18,0),FALSE)="弹夹换弹",0,ROUND(VLOOKUP($BJ167,$AI$3:$AO$33,MATCH("换弹时间",$AI$3:$AO$3,0),FALSE)-$BL167/VLOOKUP(VLOOKUP($BJ167,坦克个性化设定!$B$18:$E$48,4,FALSE)&amp;$BK167,坦克属性分配比例,MATCH("升星次数",坦克属性分配比例标头,0),FALSE)*VLOOKUP($BJ167,$AR$3:$AY$33,MATCH("换弹时间",$AR$3:$AY$3,0),FALSE),2))</f>
        <v>0</v>
      </c>
      <c r="BW167" s="2">
        <f>IF(VLOOKUP(BJ167,坦克个性化设定!$B$18:$BC$48,MATCH("装弹类型",坦克个性化设定!$B$18:$BC$18,0),FALSE)="弹夹换弹",ROUND(VLOOKUP($BJ167,$AI$3:$AO$33,MATCH("换弹时间",$AI$3:$AO$3,0),FALSE)-$BL167/VLOOKUP(VLOOKUP($BJ167,坦克个性化设定!$B$18:$E$48,4,FALSE)&amp;$BK167,坦克属性分配比例,MATCH("升星次数",坦克属性分配比例标头,0),FALSE)*VLOOKUP($BJ167,$AR$3:$AY$33,MATCH("换弹时间",$AR$3:$AY$3,0),FALSE),1),0)</f>
        <v>2.1</v>
      </c>
      <c r="BX167" s="2">
        <f>ROUND(VLOOKUP($BJ167,$AI$3:$AO$33,MATCH(BX$3,$AI$3:$AO$3,0),FALSE)+$BL167/VLOOKUP(VLOOKUP($BJ167,坦克个性化设定!$B$18:$E$48,4,FALSE)&amp;$BK167,坦克属性分配比例,MATCH("升星次数",坦克属性分配比例标头,0),FALSE)*VLOOKUP($BJ167,$AR$3:$AY$33,MATCH(BX$3,$AR$3:$AY$3,0),FALSE),2)</f>
        <v>0.67</v>
      </c>
      <c r="BY167" s="2">
        <f>ROUND(VLOOKUP($BJ167,$AI$3:$AO$33,MATCH(BY$3,$AI$3:$AO$3,0),FALSE)-$BL167/VLOOKUP(VLOOKUP($BJ167,坦克个性化设定!$B$18:$E$48,4,FALSE)&amp;$BK167,坦克属性分配比例,MATCH("升星次数",坦克属性分配比例标头,0),FALSE)*VLOOKUP($BJ167,$AR$3:$AY$33,MATCH(BY$3,$AR$3:$AY$3,0),FALSE),2)</f>
        <v>1.17</v>
      </c>
    </row>
    <row r="168" spans="60:77" x14ac:dyDescent="0.3">
      <c r="BH168" s="2" t="str">
        <f t="shared" si="27"/>
        <v>M-4810</v>
      </c>
      <c r="BI168" s="2">
        <f>IF(BL167&gt;=VLOOKUP(VLOOKUP(BJ167,坦克个性化设定!$B$18:$E$48,4,FALSE)&amp;BK167,坦克属性分配比例,MATCH("升星次数",坦克属性分配比例标头,0),FALSE),BI167+1,BI167)</f>
        <v>17</v>
      </c>
      <c r="BJ168" s="2" t="str">
        <f t="shared" si="28"/>
        <v>M-48</v>
      </c>
      <c r="BK168" s="29" t="str">
        <f>VLOOKUP(BJ168,坦克个性化细分!$I$3:$J$33,2,FALSE)</f>
        <v>低</v>
      </c>
      <c r="BL168" s="2">
        <f t="shared" si="26"/>
        <v>10</v>
      </c>
      <c r="BM168" s="103" t="e">
        <f ca="1">ROUND(VLOOKUP($BJ168&amp;"初始",$S$3:$AE$63,MATCH(BM$3,$S$3:$AE$3,0),FALSE)+((VLOOKUP($BJ168&amp;"最终",$S$3:$AE$63,MATCH(BM$3,$S$3:$AE$3,0),FALSE)*坦克个性化细分!$C$9-VLOOKUP($BJ168&amp;"初始",$S$3:$AE$63,MATCH(BM$3,$S$3:$AE$3,0),FALSE))-(VLOOKUP($BJ168&amp;"最终",$S$3:$AE$63,MATCH(BM$3,$S$3:$AE$3,0),FALSE)-VLOOKUP($BJ168&amp;"初始",$S$3:$AE$63,MATCH(BM$3,$S$3:$AE$3,0),FALSE))*VLOOKUP(VLOOKUP($BJ168,坦克个性化设定!$B$18:$E$48,4,FALSE)&amp;$BK168,坦克属性分配比例,MATCH("部件比例",坦克属性分配比例标头,0),FALSE))*$BL168/VLOOKUP(VLOOKUP($BJ168,坦克个性化设定!$B$18:$E$48,4,FALSE)&amp;$BK168,坦克属性分配比例,MATCH("升星次数",坦克属性分配比例标头,0),FALSE),0)</f>
        <v>#N/A</v>
      </c>
      <c r="BN168" s="103" t="e">
        <f ca="1">ROUND(VLOOKUP($BJ168&amp;"初始",$S$3:$AE$63,MATCH(BN$3,$S$3:$AE$3,0),FALSE)+(VLOOKUP($BJ168&amp;"最终",$S$3:$AE$63,MATCH(BN$3,$S$3:$AE$3,0),FALSE)-VLOOKUP($BJ168&amp;"初始",$S$3:$AE$63,MATCH(BN$3,$S$3:$AE$3,0),FALSE))*$BL168/VLOOKUP(VLOOKUP($BJ168,坦克个性化设定!$B$18:$E$48,4,FALSE)&amp;$BK168,坦克属性分配比例,MATCH("升星次数",坦克属性分配比例标头,0),FALSE)*VLOOKUP(VLOOKUP($BJ168,坦克个性化设定!$B$18:$E$48,4,FALSE)&amp;$BK168,坦克属性分配比例,MATCH("升星比例",坦克属性分配比例标头,0),FALSE),0)</f>
        <v>#N/A</v>
      </c>
      <c r="BO168" s="103" t="e">
        <f ca="1">ROUND(VLOOKUP($BJ168&amp;"初始",$S$3:$AE$63,MATCH(BO$3,$S$3:$AE$3,0),FALSE)+(VLOOKUP($BJ168&amp;"最终",$S$3:$AE$63,MATCH(BO$3,$S$3:$AE$3,0),FALSE)-VLOOKUP($BJ168&amp;"初始",$S$3:$AE$63,MATCH(BO$3,$S$3:$AE$3,0),FALSE))*$BL168/VLOOKUP(VLOOKUP($BJ168,坦克个性化设定!$B$18:$E$48,4,FALSE)&amp;$BK168,坦克属性分配比例,MATCH("升星次数",坦克属性分配比例标头,0),FALSE)*(VLOOKUP(VLOOKUP($BJ168,坦克个性化设定!$B$18:$E$48,4,FALSE)&amp;$BK168,坦克属性分配比例,MATCH("升星比例",坦克属性分配比例标头,0),FALSE)+VLOOKUP(VLOOKUP($BJ168,坦克个性化设定!$B$18:$E$48,4,FALSE)&amp;$BK168,坦克属性分配比例,MATCH("部件比例",坦克属性分配比例标头,0),FALSE)*$C$3),0)</f>
        <v>#N/A</v>
      </c>
      <c r="BP168" s="103" t="e">
        <f ca="1">ROUND(VLOOKUP($BJ168&amp;"初始",$S$3:$AE$63,MATCH(BP$3,$S$3:$AE$3,0),FALSE)+(VLOOKUP($BJ168&amp;"最终",$S$3:$AE$63,MATCH(BP$3,$S$3:$AE$3,0),FALSE)-VLOOKUP($BJ168&amp;"初始",$S$3:$AE$63,MATCH(BP$3,$S$3:$AE$3,0),FALSE))*$BL168/VLOOKUP(VLOOKUP($BJ168,坦克个性化设定!$B$18:$E$48,4,FALSE)&amp;$BK168,坦克属性分配比例,MATCH("升星次数",坦克属性分配比例标头,0),FALSE)*(VLOOKUP(VLOOKUP($BJ168,坦克个性化设定!$B$18:$E$48,4,FALSE)&amp;$BK168,坦克属性分配比例,MATCH("升星比例",坦克属性分配比例标头,0),FALSE)+VLOOKUP(VLOOKUP($BJ168,坦克个性化设定!$B$18:$E$48,4,FALSE)&amp;$BK168,坦克属性分配比例,MATCH("部件比例",坦克属性分配比例标头,0),FALSE)*$C$3),0)</f>
        <v>#N/A</v>
      </c>
      <c r="BQ168" s="103" t="e">
        <f ca="1">ROUND(VLOOKUP($BJ168&amp;"初始",$S$3:$AE$63,MATCH(BQ$3,$S$3:$AE$3,0),FALSE)+(VLOOKUP($BJ168&amp;"最终",$S$3:$AE$63,MATCH(BQ$3,$S$3:$AE$3,0),FALSE)-VLOOKUP($BJ168&amp;"初始",$S$3:$AE$63,MATCH(BQ$3,$S$3:$AE$3,0),FALSE))*$BL168/VLOOKUP(VLOOKUP($BJ168,坦克个性化设定!$B$18:$E$48,4,FALSE)&amp;$BK168,坦克属性分配比例,MATCH("升星次数",坦克属性分配比例标头,0),FALSE)*VLOOKUP(VLOOKUP($BJ168,坦克个性化设定!$B$18:$E$48,4,FALSE)&amp;$BK168,坦克属性分配比例,MATCH("升星比例",坦克属性分配比例标头,0),FALSE),0)</f>
        <v>#N/A</v>
      </c>
      <c r="BR168" s="2" t="e">
        <f ca="1">ROUND(VLOOKUP($BJ168&amp;"初始",$S$3:$AE$63,MATCH(BR$3,$S$3:$AE$3,0),FALSE)+(VLOOKUP($BJ168&amp;"最终",$S$3:$AE$63,MATCH(BR$3,$S$3:$AE$3,0),FALSE)-VLOOKUP($BJ168&amp;"初始",$S$3:$AE$63,MATCH(BR$3,$S$3:$AE$3,0),FALSE))*$BL168/VLOOKUP(VLOOKUP($BJ168,坦克个性化设定!$B$18:$E$48,4,FALSE)&amp;$BK168,坦克属性分配比例,MATCH("升星次数",坦克属性分配比例标头,0),FALSE),0)</f>
        <v>#N/A</v>
      </c>
      <c r="BS168" s="2">
        <f>ROUND(VLOOKUP($BJ168,$AI$3:$AO$33,MATCH(BS$3,$AI$3:$AO$3,0),FALSE)+$BL168/VLOOKUP(VLOOKUP($BJ168,坦克个性化设定!$B$18:$E$48,4,FALSE)&amp;$BK168,坦克属性分配比例,MATCH("升星次数",坦克属性分配比例标头,0),FALSE)*VLOOKUP($BJ168,$AR$3:$AY$33,MATCH(BS$3,$AR$3:$AY$3,0),FALSE),1)</f>
        <v>54.6</v>
      </c>
      <c r="BT168" s="2">
        <f>ROUND(VLOOKUP($BJ168,$AI$3:$AO$33,MATCH(BT$3,$AI$3:$AO$3,0),FALSE)+$BL168/VLOOKUP(VLOOKUP($BJ168,坦克个性化设定!$B$18:$E$48,4,FALSE)&amp;$BK168,坦克属性分配比例,MATCH("升星次数",坦克属性分配比例标头,0),FALSE)*VLOOKUP($BJ168,$AR$3:$AY$33,MATCH(BT$3,$AR$3:$AY$3,0),FALSE),1)</f>
        <v>49.1</v>
      </c>
      <c r="BU168" s="2">
        <f>ROUND(VLOOKUP($BJ168,$AI$3:$AO$33,MATCH(BU$3,$AI$3:$AO$3,0),FALSE)+$BL168/VLOOKUP(VLOOKUP($BJ168,坦克个性化设定!$B$18:$E$48,4,FALSE)&amp;$BK168,坦克属性分配比例,MATCH("升星次数",坦克属性分配比例标头,0),FALSE)*VLOOKUP($BJ168,$AR$3:$AY$33,MATCH(BU$3,$AR$3:$AY$3,0),FALSE),1)</f>
        <v>8</v>
      </c>
      <c r="BV168" s="2">
        <f>IF(VLOOKUP(BJ168,坦克个性化设定!$B$18:$BC$48,MATCH("装弹类型",坦克个性化设定!$B$18:$BC$18,0),FALSE)="弹夹换弹",0,ROUND(VLOOKUP($BJ168,$AI$3:$AO$33,MATCH("换弹时间",$AI$3:$AO$3,0),FALSE)-$BL168/VLOOKUP(VLOOKUP($BJ168,坦克个性化设定!$B$18:$E$48,4,FALSE)&amp;$BK168,坦克属性分配比例,MATCH("升星次数",坦克属性分配比例标头,0),FALSE)*VLOOKUP($BJ168,$AR$3:$AY$33,MATCH("换弹时间",$AR$3:$AY$3,0),FALSE),2))</f>
        <v>0</v>
      </c>
      <c r="BW168" s="2">
        <f>IF(VLOOKUP(BJ168,坦克个性化设定!$B$18:$BC$48,MATCH("装弹类型",坦克个性化设定!$B$18:$BC$18,0),FALSE)="弹夹换弹",ROUND(VLOOKUP($BJ168,$AI$3:$AO$33,MATCH("换弹时间",$AI$3:$AO$3,0),FALSE)-$BL168/VLOOKUP(VLOOKUP($BJ168,坦克个性化设定!$B$18:$E$48,4,FALSE)&amp;$BK168,坦克属性分配比例,MATCH("升星次数",坦克属性分配比例标头,0),FALSE)*VLOOKUP($BJ168,$AR$3:$AY$33,MATCH("换弹时间",$AR$3:$AY$3,0),FALSE),1),0)</f>
        <v>2.1</v>
      </c>
      <c r="BX168" s="2">
        <f>ROUND(VLOOKUP($BJ168,$AI$3:$AO$33,MATCH(BX$3,$AI$3:$AO$3,0),FALSE)+$BL168/VLOOKUP(VLOOKUP($BJ168,坦克个性化设定!$B$18:$E$48,4,FALSE)&amp;$BK168,坦克属性分配比例,MATCH("升星次数",坦克属性分配比例标头,0),FALSE)*VLOOKUP($BJ168,$AR$3:$AY$33,MATCH(BX$3,$AR$3:$AY$3,0),FALSE),2)</f>
        <v>0.71</v>
      </c>
      <c r="BY168" s="2">
        <f>ROUND(VLOOKUP($BJ168,$AI$3:$AO$33,MATCH(BY$3,$AI$3:$AO$3,0),FALSE)-$BL168/VLOOKUP(VLOOKUP($BJ168,坦克个性化设定!$B$18:$E$48,4,FALSE)&amp;$BK168,坦克属性分配比例,MATCH("升星次数",坦克属性分配比例标头,0),FALSE)*VLOOKUP($BJ168,$AR$3:$AY$33,MATCH(BY$3,$AR$3:$AY$3,0),FALSE),2)</f>
        <v>1.1499999999999999</v>
      </c>
    </row>
    <row r="169" spans="60:77" x14ac:dyDescent="0.3">
      <c r="BH169" s="2" t="str">
        <f t="shared" si="27"/>
        <v>M-4811</v>
      </c>
      <c r="BI169" s="2">
        <f>IF(BL168&gt;=VLOOKUP(VLOOKUP(BJ168,坦克个性化设定!$B$18:$E$48,4,FALSE)&amp;BK168,坦克属性分配比例,MATCH("升星次数",坦克属性分配比例标头,0),FALSE),BI168+1,BI168)</f>
        <v>17</v>
      </c>
      <c r="BJ169" s="2" t="str">
        <f t="shared" si="28"/>
        <v>M-48</v>
      </c>
      <c r="BK169" s="29" t="str">
        <f>VLOOKUP(BJ169,坦克个性化细分!$I$3:$J$33,2,FALSE)</f>
        <v>低</v>
      </c>
      <c r="BL169" s="2">
        <f t="shared" si="26"/>
        <v>11</v>
      </c>
      <c r="BM169" s="103" t="e">
        <f ca="1">ROUND(VLOOKUP($BJ169&amp;"初始",$S$3:$AE$63,MATCH(BM$3,$S$3:$AE$3,0),FALSE)+((VLOOKUP($BJ169&amp;"最终",$S$3:$AE$63,MATCH(BM$3,$S$3:$AE$3,0),FALSE)*坦克个性化细分!$C$9-VLOOKUP($BJ169&amp;"初始",$S$3:$AE$63,MATCH(BM$3,$S$3:$AE$3,0),FALSE))-(VLOOKUP($BJ169&amp;"最终",$S$3:$AE$63,MATCH(BM$3,$S$3:$AE$3,0),FALSE)-VLOOKUP($BJ169&amp;"初始",$S$3:$AE$63,MATCH(BM$3,$S$3:$AE$3,0),FALSE))*VLOOKUP(VLOOKUP($BJ169,坦克个性化设定!$B$18:$E$48,4,FALSE)&amp;$BK169,坦克属性分配比例,MATCH("部件比例",坦克属性分配比例标头,0),FALSE))*$BL169/VLOOKUP(VLOOKUP($BJ169,坦克个性化设定!$B$18:$E$48,4,FALSE)&amp;$BK169,坦克属性分配比例,MATCH("升星次数",坦克属性分配比例标头,0),FALSE),0)</f>
        <v>#N/A</v>
      </c>
      <c r="BN169" s="103" t="e">
        <f ca="1">ROUND(VLOOKUP($BJ169&amp;"初始",$S$3:$AE$63,MATCH(BN$3,$S$3:$AE$3,0),FALSE)+(VLOOKUP($BJ169&amp;"最终",$S$3:$AE$63,MATCH(BN$3,$S$3:$AE$3,0),FALSE)-VLOOKUP($BJ169&amp;"初始",$S$3:$AE$63,MATCH(BN$3,$S$3:$AE$3,0),FALSE))*$BL169/VLOOKUP(VLOOKUP($BJ169,坦克个性化设定!$B$18:$E$48,4,FALSE)&amp;$BK169,坦克属性分配比例,MATCH("升星次数",坦克属性分配比例标头,0),FALSE)*VLOOKUP(VLOOKUP($BJ169,坦克个性化设定!$B$18:$E$48,4,FALSE)&amp;$BK169,坦克属性分配比例,MATCH("升星比例",坦克属性分配比例标头,0),FALSE),0)</f>
        <v>#N/A</v>
      </c>
      <c r="BO169" s="103" t="e">
        <f ca="1">ROUND(VLOOKUP($BJ169&amp;"初始",$S$3:$AE$63,MATCH(BO$3,$S$3:$AE$3,0),FALSE)+(VLOOKUP($BJ169&amp;"最终",$S$3:$AE$63,MATCH(BO$3,$S$3:$AE$3,0),FALSE)-VLOOKUP($BJ169&amp;"初始",$S$3:$AE$63,MATCH(BO$3,$S$3:$AE$3,0),FALSE))*$BL169/VLOOKUP(VLOOKUP($BJ169,坦克个性化设定!$B$18:$E$48,4,FALSE)&amp;$BK169,坦克属性分配比例,MATCH("升星次数",坦克属性分配比例标头,0),FALSE)*(VLOOKUP(VLOOKUP($BJ169,坦克个性化设定!$B$18:$E$48,4,FALSE)&amp;$BK169,坦克属性分配比例,MATCH("升星比例",坦克属性分配比例标头,0),FALSE)+VLOOKUP(VLOOKUP($BJ169,坦克个性化设定!$B$18:$E$48,4,FALSE)&amp;$BK169,坦克属性分配比例,MATCH("部件比例",坦克属性分配比例标头,0),FALSE)*$C$3),0)</f>
        <v>#N/A</v>
      </c>
      <c r="BP169" s="103" t="e">
        <f ca="1">ROUND(VLOOKUP($BJ169&amp;"初始",$S$3:$AE$63,MATCH(BP$3,$S$3:$AE$3,0),FALSE)+(VLOOKUP($BJ169&amp;"最终",$S$3:$AE$63,MATCH(BP$3,$S$3:$AE$3,0),FALSE)-VLOOKUP($BJ169&amp;"初始",$S$3:$AE$63,MATCH(BP$3,$S$3:$AE$3,0),FALSE))*$BL169/VLOOKUP(VLOOKUP($BJ169,坦克个性化设定!$B$18:$E$48,4,FALSE)&amp;$BK169,坦克属性分配比例,MATCH("升星次数",坦克属性分配比例标头,0),FALSE)*(VLOOKUP(VLOOKUP($BJ169,坦克个性化设定!$B$18:$E$48,4,FALSE)&amp;$BK169,坦克属性分配比例,MATCH("升星比例",坦克属性分配比例标头,0),FALSE)+VLOOKUP(VLOOKUP($BJ169,坦克个性化设定!$B$18:$E$48,4,FALSE)&amp;$BK169,坦克属性分配比例,MATCH("部件比例",坦克属性分配比例标头,0),FALSE)*$C$3),0)</f>
        <v>#N/A</v>
      </c>
      <c r="BQ169" s="103" t="e">
        <f ca="1">ROUND(VLOOKUP($BJ169&amp;"初始",$S$3:$AE$63,MATCH(BQ$3,$S$3:$AE$3,0),FALSE)+(VLOOKUP($BJ169&amp;"最终",$S$3:$AE$63,MATCH(BQ$3,$S$3:$AE$3,0),FALSE)-VLOOKUP($BJ169&amp;"初始",$S$3:$AE$63,MATCH(BQ$3,$S$3:$AE$3,0),FALSE))*$BL169/VLOOKUP(VLOOKUP($BJ169,坦克个性化设定!$B$18:$E$48,4,FALSE)&amp;$BK169,坦克属性分配比例,MATCH("升星次数",坦克属性分配比例标头,0),FALSE)*VLOOKUP(VLOOKUP($BJ169,坦克个性化设定!$B$18:$E$48,4,FALSE)&amp;$BK169,坦克属性分配比例,MATCH("升星比例",坦克属性分配比例标头,0),FALSE),0)</f>
        <v>#N/A</v>
      </c>
      <c r="BR169" s="2" t="e">
        <f ca="1">ROUND(VLOOKUP($BJ169&amp;"初始",$S$3:$AE$63,MATCH(BR$3,$S$3:$AE$3,0),FALSE)+(VLOOKUP($BJ169&amp;"最终",$S$3:$AE$63,MATCH(BR$3,$S$3:$AE$3,0),FALSE)-VLOOKUP($BJ169&amp;"初始",$S$3:$AE$63,MATCH(BR$3,$S$3:$AE$3,0),FALSE))*$BL169/VLOOKUP(VLOOKUP($BJ169,坦克个性化设定!$B$18:$E$48,4,FALSE)&amp;$BK169,坦克属性分配比例,MATCH("升星次数",坦克属性分配比例标头,0),FALSE),0)</f>
        <v>#N/A</v>
      </c>
      <c r="BS169" s="2">
        <f>ROUND(VLOOKUP($BJ169,$AI$3:$AO$33,MATCH(BS$3,$AI$3:$AO$3,0),FALSE)+$BL169/VLOOKUP(VLOOKUP($BJ169,坦克个性化设定!$B$18:$E$48,4,FALSE)&amp;$BK169,坦克属性分配比例,MATCH("升星次数",坦克属性分配比例标头,0),FALSE)*VLOOKUP($BJ169,$AR$3:$AY$33,MATCH(BS$3,$AR$3:$AY$3,0),FALSE),1)</f>
        <v>55.6</v>
      </c>
      <c r="BT169" s="2">
        <f>ROUND(VLOOKUP($BJ169,$AI$3:$AO$33,MATCH(BT$3,$AI$3:$AO$3,0),FALSE)+$BL169/VLOOKUP(VLOOKUP($BJ169,坦克个性化设定!$B$18:$E$48,4,FALSE)&amp;$BK169,坦克属性分配比例,MATCH("升星次数",坦克属性分配比例标头,0),FALSE)*VLOOKUP($BJ169,$AR$3:$AY$33,MATCH(BT$3,$AR$3:$AY$3,0),FALSE),1)</f>
        <v>50</v>
      </c>
      <c r="BU169" s="2">
        <f>ROUND(VLOOKUP($BJ169,$AI$3:$AO$33,MATCH(BU$3,$AI$3:$AO$3,0),FALSE)+$BL169/VLOOKUP(VLOOKUP($BJ169,坦克个性化设定!$B$18:$E$48,4,FALSE)&amp;$BK169,坦克属性分配比例,MATCH("升星次数",坦克属性分配比例标头,0),FALSE)*VLOOKUP($BJ169,$AR$3:$AY$33,MATCH(BU$3,$AR$3:$AY$3,0),FALSE),1)</f>
        <v>8</v>
      </c>
      <c r="BV169" s="2">
        <f>IF(VLOOKUP(BJ169,坦克个性化设定!$B$18:$BC$48,MATCH("装弹类型",坦克个性化设定!$B$18:$BC$18,0),FALSE)="弹夹换弹",0,ROUND(VLOOKUP($BJ169,$AI$3:$AO$33,MATCH("换弹时间",$AI$3:$AO$3,0),FALSE)-$BL169/VLOOKUP(VLOOKUP($BJ169,坦克个性化设定!$B$18:$E$48,4,FALSE)&amp;$BK169,坦克属性分配比例,MATCH("升星次数",坦克属性分配比例标头,0),FALSE)*VLOOKUP($BJ169,$AR$3:$AY$33,MATCH("换弹时间",$AR$3:$AY$3,0),FALSE),2))</f>
        <v>0</v>
      </c>
      <c r="BW169" s="2">
        <f>IF(VLOOKUP(BJ169,坦克个性化设定!$B$18:$BC$48,MATCH("装弹类型",坦克个性化设定!$B$18:$BC$18,0),FALSE)="弹夹换弹",ROUND(VLOOKUP($BJ169,$AI$3:$AO$33,MATCH("换弹时间",$AI$3:$AO$3,0),FALSE)-$BL169/VLOOKUP(VLOOKUP($BJ169,坦克个性化设定!$B$18:$E$48,4,FALSE)&amp;$BK169,坦克属性分配比例,MATCH("升星次数",坦克属性分配比例标头,0),FALSE)*VLOOKUP($BJ169,$AR$3:$AY$33,MATCH("换弹时间",$AR$3:$AY$3,0),FALSE),1),0)</f>
        <v>2</v>
      </c>
      <c r="BX169" s="2">
        <f>ROUND(VLOOKUP($BJ169,$AI$3:$AO$33,MATCH(BX$3,$AI$3:$AO$3,0),FALSE)+$BL169/VLOOKUP(VLOOKUP($BJ169,坦克个性化设定!$B$18:$E$48,4,FALSE)&amp;$BK169,坦克属性分配比例,MATCH("升星次数",坦克属性分配比例标头,0),FALSE)*VLOOKUP($BJ169,$AR$3:$AY$33,MATCH(BX$3,$AR$3:$AY$3,0),FALSE),2)</f>
        <v>0.75</v>
      </c>
      <c r="BY169" s="2">
        <f>ROUND(VLOOKUP($BJ169,$AI$3:$AO$33,MATCH(BY$3,$AI$3:$AO$3,0),FALSE)-$BL169/VLOOKUP(VLOOKUP($BJ169,坦克个性化设定!$B$18:$E$48,4,FALSE)&amp;$BK169,坦克属性分配比例,MATCH("升星次数",坦克属性分配比例标头,0),FALSE)*VLOOKUP($BJ169,$AR$3:$AY$33,MATCH(BY$3,$AR$3:$AY$3,0),FALSE),2)</f>
        <v>1.1299999999999999</v>
      </c>
    </row>
    <row r="170" spans="60:77" x14ac:dyDescent="0.3">
      <c r="BH170" s="2" t="str">
        <f t="shared" si="27"/>
        <v>潘兴0</v>
      </c>
      <c r="BI170" s="2">
        <f>IF(BL169&gt;=VLOOKUP(VLOOKUP(BJ169,坦克个性化设定!$B$18:$E$48,4,FALSE)&amp;BK169,坦克属性分配比例,MATCH("升星次数",坦克属性分配比例标头,0),FALSE),BI169+1,BI169)</f>
        <v>18</v>
      </c>
      <c r="BJ170" s="2" t="str">
        <f t="shared" si="28"/>
        <v>潘兴</v>
      </c>
      <c r="BK170" s="29" t="str">
        <f>VLOOKUP(BJ170,坦克个性化细分!$I$3:$J$33,2,FALSE)</f>
        <v>中</v>
      </c>
      <c r="BL170" s="2">
        <f t="shared" si="26"/>
        <v>0</v>
      </c>
      <c r="BM170" s="103" t="e">
        <f ca="1">ROUND(VLOOKUP($BJ170&amp;"初始",$S$3:$AE$63,MATCH(BM$3,$S$3:$AE$3,0),FALSE)+((VLOOKUP($BJ170&amp;"最终",$S$3:$AE$63,MATCH(BM$3,$S$3:$AE$3,0),FALSE)*坦克个性化细分!$C$9-VLOOKUP($BJ170&amp;"初始",$S$3:$AE$63,MATCH(BM$3,$S$3:$AE$3,0),FALSE))-(VLOOKUP($BJ170&amp;"最终",$S$3:$AE$63,MATCH(BM$3,$S$3:$AE$3,0),FALSE)-VLOOKUP($BJ170&amp;"初始",$S$3:$AE$63,MATCH(BM$3,$S$3:$AE$3,0),FALSE))*VLOOKUP(VLOOKUP($BJ170,坦克个性化设定!$B$18:$E$48,4,FALSE)&amp;$BK170,坦克属性分配比例,MATCH("部件比例",坦克属性分配比例标头,0),FALSE))*$BL170/VLOOKUP(VLOOKUP($BJ170,坦克个性化设定!$B$18:$E$48,4,FALSE)&amp;$BK170,坦克属性分配比例,MATCH("升星次数",坦克属性分配比例标头,0),FALSE),0)</f>
        <v>#N/A</v>
      </c>
      <c r="BN170" s="103" t="e">
        <f ca="1">ROUND(VLOOKUP($BJ170&amp;"初始",$S$3:$AE$63,MATCH(BN$3,$S$3:$AE$3,0),FALSE)+(VLOOKUP($BJ170&amp;"最终",$S$3:$AE$63,MATCH(BN$3,$S$3:$AE$3,0),FALSE)-VLOOKUP($BJ170&amp;"初始",$S$3:$AE$63,MATCH(BN$3,$S$3:$AE$3,0),FALSE))*$BL170/VLOOKUP(VLOOKUP($BJ170,坦克个性化设定!$B$18:$E$48,4,FALSE)&amp;$BK170,坦克属性分配比例,MATCH("升星次数",坦克属性分配比例标头,0),FALSE)*VLOOKUP(VLOOKUP($BJ170,坦克个性化设定!$B$18:$E$48,4,FALSE)&amp;$BK170,坦克属性分配比例,MATCH("升星比例",坦克属性分配比例标头,0),FALSE),0)</f>
        <v>#N/A</v>
      </c>
      <c r="BO170" s="103" t="e">
        <f ca="1">ROUND(VLOOKUP($BJ170&amp;"初始",$S$3:$AE$63,MATCH(BO$3,$S$3:$AE$3,0),FALSE)+(VLOOKUP($BJ170&amp;"最终",$S$3:$AE$63,MATCH(BO$3,$S$3:$AE$3,0),FALSE)-VLOOKUP($BJ170&amp;"初始",$S$3:$AE$63,MATCH(BO$3,$S$3:$AE$3,0),FALSE))*$BL170/VLOOKUP(VLOOKUP($BJ170,坦克个性化设定!$B$18:$E$48,4,FALSE)&amp;$BK170,坦克属性分配比例,MATCH("升星次数",坦克属性分配比例标头,0),FALSE)*(VLOOKUP(VLOOKUP($BJ170,坦克个性化设定!$B$18:$E$48,4,FALSE)&amp;$BK170,坦克属性分配比例,MATCH("升星比例",坦克属性分配比例标头,0),FALSE)+VLOOKUP(VLOOKUP($BJ170,坦克个性化设定!$B$18:$E$48,4,FALSE)&amp;$BK170,坦克属性分配比例,MATCH("部件比例",坦克属性分配比例标头,0),FALSE)*$C$3),0)</f>
        <v>#N/A</v>
      </c>
      <c r="BP170" s="103" t="e">
        <f ca="1">ROUND(VLOOKUP($BJ170&amp;"初始",$S$3:$AE$63,MATCH(BP$3,$S$3:$AE$3,0),FALSE)+(VLOOKUP($BJ170&amp;"最终",$S$3:$AE$63,MATCH(BP$3,$S$3:$AE$3,0),FALSE)-VLOOKUP($BJ170&amp;"初始",$S$3:$AE$63,MATCH(BP$3,$S$3:$AE$3,0),FALSE))*$BL170/VLOOKUP(VLOOKUP($BJ170,坦克个性化设定!$B$18:$E$48,4,FALSE)&amp;$BK170,坦克属性分配比例,MATCH("升星次数",坦克属性分配比例标头,0),FALSE)*(VLOOKUP(VLOOKUP($BJ170,坦克个性化设定!$B$18:$E$48,4,FALSE)&amp;$BK170,坦克属性分配比例,MATCH("升星比例",坦克属性分配比例标头,0),FALSE)+VLOOKUP(VLOOKUP($BJ170,坦克个性化设定!$B$18:$E$48,4,FALSE)&amp;$BK170,坦克属性分配比例,MATCH("部件比例",坦克属性分配比例标头,0),FALSE)*$C$3),0)</f>
        <v>#N/A</v>
      </c>
      <c r="BQ170" s="103" t="e">
        <f ca="1">ROUND(VLOOKUP($BJ170&amp;"初始",$S$3:$AE$63,MATCH(BQ$3,$S$3:$AE$3,0),FALSE)+(VLOOKUP($BJ170&amp;"最终",$S$3:$AE$63,MATCH(BQ$3,$S$3:$AE$3,0),FALSE)-VLOOKUP($BJ170&amp;"初始",$S$3:$AE$63,MATCH(BQ$3,$S$3:$AE$3,0),FALSE))*$BL170/VLOOKUP(VLOOKUP($BJ170,坦克个性化设定!$B$18:$E$48,4,FALSE)&amp;$BK170,坦克属性分配比例,MATCH("升星次数",坦克属性分配比例标头,0),FALSE)*VLOOKUP(VLOOKUP($BJ170,坦克个性化设定!$B$18:$E$48,4,FALSE)&amp;$BK170,坦克属性分配比例,MATCH("升星比例",坦克属性分配比例标头,0),FALSE),0)</f>
        <v>#N/A</v>
      </c>
      <c r="BR170" s="2" t="e">
        <f ca="1">ROUND(VLOOKUP($BJ170&amp;"初始",$S$3:$AE$63,MATCH(BR$3,$S$3:$AE$3,0),FALSE)+(VLOOKUP($BJ170&amp;"最终",$S$3:$AE$63,MATCH(BR$3,$S$3:$AE$3,0),FALSE)-VLOOKUP($BJ170&amp;"初始",$S$3:$AE$63,MATCH(BR$3,$S$3:$AE$3,0),FALSE))*$BL170/VLOOKUP(VLOOKUP($BJ170,坦克个性化设定!$B$18:$E$48,4,FALSE)&amp;$BK170,坦克属性分配比例,MATCH("升星次数",坦克属性分配比例标头,0),FALSE),0)</f>
        <v>#N/A</v>
      </c>
      <c r="BS170" s="2">
        <f>ROUND(VLOOKUP($BJ170,$AI$3:$AO$33,MATCH(BS$3,$AI$3:$AO$3,0),FALSE)+$BL170/VLOOKUP(VLOOKUP($BJ170,坦克个性化设定!$B$18:$E$48,4,FALSE)&amp;$BK170,坦克属性分配比例,MATCH("升星次数",坦克属性分配比例标头,0),FALSE)*VLOOKUP($BJ170,$AR$3:$AY$33,MATCH(BS$3,$AR$3:$AY$3,0),FALSE),1)</f>
        <v>36.299999999999997</v>
      </c>
      <c r="BT170" s="2">
        <f>ROUND(VLOOKUP($BJ170,$AI$3:$AO$33,MATCH(BT$3,$AI$3:$AO$3,0),FALSE)+$BL170/VLOOKUP(VLOOKUP($BJ170,坦克个性化设定!$B$18:$E$48,4,FALSE)&amp;$BK170,坦克属性分配比例,MATCH("升星次数",坦克属性分配比例标头,0),FALSE)*VLOOKUP($BJ170,$AR$3:$AY$33,MATCH(BT$3,$AR$3:$AY$3,0),FALSE),1)</f>
        <v>51</v>
      </c>
      <c r="BU170" s="2">
        <f>ROUND(VLOOKUP($BJ170,$AI$3:$AO$33,MATCH(BU$3,$AI$3:$AO$3,0),FALSE)+$BL170/VLOOKUP(VLOOKUP($BJ170,坦克个性化设定!$B$18:$E$48,4,FALSE)&amp;$BK170,坦克属性分配比例,MATCH("升星次数",坦克属性分配比例标头,0),FALSE)*VLOOKUP($BJ170,$AR$3:$AY$33,MATCH(BU$3,$AR$3:$AY$3,0),FALSE),1)</f>
        <v>7.3</v>
      </c>
      <c r="BV170" s="2">
        <f>IF(VLOOKUP(BJ170,坦克个性化设定!$B$18:$BC$48,MATCH("装弹类型",坦克个性化设定!$B$18:$BC$18,0),FALSE)="弹夹换弹",0,ROUND(VLOOKUP($BJ170,$AI$3:$AO$33,MATCH("换弹时间",$AI$3:$AO$3,0),FALSE)-$BL170/VLOOKUP(VLOOKUP($BJ170,坦克个性化设定!$B$18:$E$48,4,FALSE)&amp;$BK170,坦克属性分配比例,MATCH("升星次数",坦克属性分配比例标头,0),FALSE)*VLOOKUP($BJ170,$AR$3:$AY$33,MATCH("换弹时间",$AR$3:$AY$3,0),FALSE),2))</f>
        <v>3.6</v>
      </c>
      <c r="BW170" s="2">
        <f>IF(VLOOKUP(BJ170,坦克个性化设定!$B$18:$BC$48,MATCH("装弹类型",坦克个性化设定!$B$18:$BC$18,0),FALSE)="弹夹换弹",ROUND(VLOOKUP($BJ170,$AI$3:$AO$33,MATCH("换弹时间",$AI$3:$AO$3,0),FALSE)-$BL170/VLOOKUP(VLOOKUP($BJ170,坦克个性化设定!$B$18:$E$48,4,FALSE)&amp;$BK170,坦克属性分配比例,MATCH("升星次数",坦克属性分配比例标头,0),FALSE)*VLOOKUP($BJ170,$AR$3:$AY$33,MATCH("换弹时间",$AR$3:$AY$3,0),FALSE),1),0)</f>
        <v>0</v>
      </c>
      <c r="BX170" s="2">
        <f>ROUND(VLOOKUP($BJ170,$AI$3:$AO$33,MATCH(BX$3,$AI$3:$AO$3,0),FALSE)+$BL170/VLOOKUP(VLOOKUP($BJ170,坦克个性化设定!$B$18:$E$48,4,FALSE)&amp;$BK170,坦克属性分配比例,MATCH("升星次数",坦克属性分配比例标头,0),FALSE)*VLOOKUP($BJ170,$AR$3:$AY$33,MATCH(BX$3,$AR$3:$AY$3,0),FALSE),2)</f>
        <v>0.4</v>
      </c>
      <c r="BY170" s="2">
        <f>ROUND(VLOOKUP($BJ170,$AI$3:$AO$33,MATCH(BY$3,$AI$3:$AO$3,0),FALSE)-$BL170/VLOOKUP(VLOOKUP($BJ170,坦克个性化设定!$B$18:$E$48,4,FALSE)&amp;$BK170,坦克属性分配比例,MATCH("升星次数",坦克属性分配比例标头,0),FALSE)*VLOOKUP($BJ170,$AR$3:$AY$33,MATCH(BY$3,$AR$3:$AY$3,0),FALSE),2)</f>
        <v>1</v>
      </c>
    </row>
    <row r="171" spans="60:77" x14ac:dyDescent="0.3">
      <c r="BH171" s="2" t="str">
        <f t="shared" si="27"/>
        <v>潘兴1</v>
      </c>
      <c r="BI171" s="2">
        <f>IF(BL170&gt;=VLOOKUP(VLOOKUP(BJ170,坦克个性化设定!$B$18:$E$48,4,FALSE)&amp;BK170,坦克属性分配比例,MATCH("升星次数",坦克属性分配比例标头,0),FALSE),BI170+1,BI170)</f>
        <v>18</v>
      </c>
      <c r="BJ171" s="2" t="str">
        <f t="shared" si="28"/>
        <v>潘兴</v>
      </c>
      <c r="BK171" s="29" t="str">
        <f>VLOOKUP(BJ171,坦克个性化细分!$I$3:$J$33,2,FALSE)</f>
        <v>中</v>
      </c>
      <c r="BL171" s="2">
        <f t="shared" si="26"/>
        <v>1</v>
      </c>
      <c r="BM171" s="103" t="e">
        <f ca="1">ROUND(VLOOKUP($BJ171&amp;"初始",$S$3:$AE$63,MATCH(BM$3,$S$3:$AE$3,0),FALSE)+((VLOOKUP($BJ171&amp;"最终",$S$3:$AE$63,MATCH(BM$3,$S$3:$AE$3,0),FALSE)*坦克个性化细分!$C$9-VLOOKUP($BJ171&amp;"初始",$S$3:$AE$63,MATCH(BM$3,$S$3:$AE$3,0),FALSE))-(VLOOKUP($BJ171&amp;"最终",$S$3:$AE$63,MATCH(BM$3,$S$3:$AE$3,0),FALSE)-VLOOKUP($BJ171&amp;"初始",$S$3:$AE$63,MATCH(BM$3,$S$3:$AE$3,0),FALSE))*VLOOKUP(VLOOKUP($BJ171,坦克个性化设定!$B$18:$E$48,4,FALSE)&amp;$BK171,坦克属性分配比例,MATCH("部件比例",坦克属性分配比例标头,0),FALSE))*$BL171/VLOOKUP(VLOOKUP($BJ171,坦克个性化设定!$B$18:$E$48,4,FALSE)&amp;$BK171,坦克属性分配比例,MATCH("升星次数",坦克属性分配比例标头,0),FALSE),0)</f>
        <v>#N/A</v>
      </c>
      <c r="BN171" s="103" t="e">
        <f ca="1">ROUND(VLOOKUP($BJ171&amp;"初始",$S$3:$AE$63,MATCH(BN$3,$S$3:$AE$3,0),FALSE)+(VLOOKUP($BJ171&amp;"最终",$S$3:$AE$63,MATCH(BN$3,$S$3:$AE$3,0),FALSE)-VLOOKUP($BJ171&amp;"初始",$S$3:$AE$63,MATCH(BN$3,$S$3:$AE$3,0),FALSE))*$BL171/VLOOKUP(VLOOKUP($BJ171,坦克个性化设定!$B$18:$E$48,4,FALSE)&amp;$BK171,坦克属性分配比例,MATCH("升星次数",坦克属性分配比例标头,0),FALSE)*VLOOKUP(VLOOKUP($BJ171,坦克个性化设定!$B$18:$E$48,4,FALSE)&amp;$BK171,坦克属性分配比例,MATCH("升星比例",坦克属性分配比例标头,0),FALSE),0)</f>
        <v>#N/A</v>
      </c>
      <c r="BO171" s="103" t="e">
        <f ca="1">ROUND(VLOOKUP($BJ171&amp;"初始",$S$3:$AE$63,MATCH(BO$3,$S$3:$AE$3,0),FALSE)+(VLOOKUP($BJ171&amp;"最终",$S$3:$AE$63,MATCH(BO$3,$S$3:$AE$3,0),FALSE)-VLOOKUP($BJ171&amp;"初始",$S$3:$AE$63,MATCH(BO$3,$S$3:$AE$3,0),FALSE))*$BL171/VLOOKUP(VLOOKUP($BJ171,坦克个性化设定!$B$18:$E$48,4,FALSE)&amp;$BK171,坦克属性分配比例,MATCH("升星次数",坦克属性分配比例标头,0),FALSE)*(VLOOKUP(VLOOKUP($BJ171,坦克个性化设定!$B$18:$E$48,4,FALSE)&amp;$BK171,坦克属性分配比例,MATCH("升星比例",坦克属性分配比例标头,0),FALSE)+VLOOKUP(VLOOKUP($BJ171,坦克个性化设定!$B$18:$E$48,4,FALSE)&amp;$BK171,坦克属性分配比例,MATCH("部件比例",坦克属性分配比例标头,0),FALSE)*$C$3),0)</f>
        <v>#N/A</v>
      </c>
      <c r="BP171" s="103" t="e">
        <f ca="1">ROUND(VLOOKUP($BJ171&amp;"初始",$S$3:$AE$63,MATCH(BP$3,$S$3:$AE$3,0),FALSE)+(VLOOKUP($BJ171&amp;"最终",$S$3:$AE$63,MATCH(BP$3,$S$3:$AE$3,0),FALSE)-VLOOKUP($BJ171&amp;"初始",$S$3:$AE$63,MATCH(BP$3,$S$3:$AE$3,0),FALSE))*$BL171/VLOOKUP(VLOOKUP($BJ171,坦克个性化设定!$B$18:$E$48,4,FALSE)&amp;$BK171,坦克属性分配比例,MATCH("升星次数",坦克属性分配比例标头,0),FALSE)*(VLOOKUP(VLOOKUP($BJ171,坦克个性化设定!$B$18:$E$48,4,FALSE)&amp;$BK171,坦克属性分配比例,MATCH("升星比例",坦克属性分配比例标头,0),FALSE)+VLOOKUP(VLOOKUP($BJ171,坦克个性化设定!$B$18:$E$48,4,FALSE)&amp;$BK171,坦克属性分配比例,MATCH("部件比例",坦克属性分配比例标头,0),FALSE)*$C$3),0)</f>
        <v>#N/A</v>
      </c>
      <c r="BQ171" s="103" t="e">
        <f ca="1">ROUND(VLOOKUP($BJ171&amp;"初始",$S$3:$AE$63,MATCH(BQ$3,$S$3:$AE$3,0),FALSE)+(VLOOKUP($BJ171&amp;"最终",$S$3:$AE$63,MATCH(BQ$3,$S$3:$AE$3,0),FALSE)-VLOOKUP($BJ171&amp;"初始",$S$3:$AE$63,MATCH(BQ$3,$S$3:$AE$3,0),FALSE))*$BL171/VLOOKUP(VLOOKUP($BJ171,坦克个性化设定!$B$18:$E$48,4,FALSE)&amp;$BK171,坦克属性分配比例,MATCH("升星次数",坦克属性分配比例标头,0),FALSE)*VLOOKUP(VLOOKUP($BJ171,坦克个性化设定!$B$18:$E$48,4,FALSE)&amp;$BK171,坦克属性分配比例,MATCH("升星比例",坦克属性分配比例标头,0),FALSE),0)</f>
        <v>#N/A</v>
      </c>
      <c r="BR171" s="2" t="e">
        <f ca="1">ROUND(VLOOKUP($BJ171&amp;"初始",$S$3:$AE$63,MATCH(BR$3,$S$3:$AE$3,0),FALSE)+(VLOOKUP($BJ171&amp;"最终",$S$3:$AE$63,MATCH(BR$3,$S$3:$AE$3,0),FALSE)-VLOOKUP($BJ171&amp;"初始",$S$3:$AE$63,MATCH(BR$3,$S$3:$AE$3,0),FALSE))*$BL171/VLOOKUP(VLOOKUP($BJ171,坦克个性化设定!$B$18:$E$48,4,FALSE)&amp;$BK171,坦克属性分配比例,MATCH("升星次数",坦克属性分配比例标头,0),FALSE),0)</f>
        <v>#N/A</v>
      </c>
      <c r="BS171" s="2">
        <f>ROUND(VLOOKUP($BJ171,$AI$3:$AO$33,MATCH(BS$3,$AI$3:$AO$3,0),FALSE)+$BL171/VLOOKUP(VLOOKUP($BJ171,坦克个性化设定!$B$18:$E$48,4,FALSE)&amp;$BK171,坦克属性分配比例,MATCH("升星次数",坦克属性分配比例标头,0),FALSE)*VLOOKUP($BJ171,$AR$3:$AY$33,MATCH(BS$3,$AR$3:$AY$3,0),FALSE),1)</f>
        <v>37.1</v>
      </c>
      <c r="BT171" s="2">
        <f>ROUND(VLOOKUP($BJ171,$AI$3:$AO$33,MATCH(BT$3,$AI$3:$AO$3,0),FALSE)+$BL171/VLOOKUP(VLOOKUP($BJ171,坦克个性化设定!$B$18:$E$48,4,FALSE)&amp;$BK171,坦克属性分配比例,MATCH("升星次数",坦克属性分配比例标头,0),FALSE)*VLOOKUP($BJ171,$AR$3:$AY$33,MATCH(BT$3,$AR$3:$AY$3,0),FALSE),1)</f>
        <v>52.2</v>
      </c>
      <c r="BU171" s="2">
        <f>ROUND(VLOOKUP($BJ171,$AI$3:$AO$33,MATCH(BU$3,$AI$3:$AO$3,0),FALSE)+$BL171/VLOOKUP(VLOOKUP($BJ171,坦克个性化设定!$B$18:$E$48,4,FALSE)&amp;$BK171,坦克属性分配比例,MATCH("升星次数",坦克属性分配比例标头,0),FALSE)*VLOOKUP($BJ171,$AR$3:$AY$33,MATCH(BU$3,$AR$3:$AY$3,0),FALSE),1)</f>
        <v>7.3</v>
      </c>
      <c r="BV171" s="2">
        <f>IF(VLOOKUP(BJ171,坦克个性化设定!$B$18:$BC$48,MATCH("装弹类型",坦克个性化设定!$B$18:$BC$18,0),FALSE)="弹夹换弹",0,ROUND(VLOOKUP($BJ171,$AI$3:$AO$33,MATCH("换弹时间",$AI$3:$AO$3,0),FALSE)-$BL171/VLOOKUP(VLOOKUP($BJ171,坦克个性化设定!$B$18:$E$48,4,FALSE)&amp;$BK171,坦克属性分配比例,MATCH("升星次数",坦克属性分配比例标头,0),FALSE)*VLOOKUP($BJ171,$AR$3:$AY$33,MATCH("换弹时间",$AR$3:$AY$3,0),FALSE),2))</f>
        <v>3.54</v>
      </c>
      <c r="BW171" s="2">
        <f>IF(VLOOKUP(BJ171,坦克个性化设定!$B$18:$BC$48,MATCH("装弹类型",坦克个性化设定!$B$18:$BC$18,0),FALSE)="弹夹换弹",ROUND(VLOOKUP($BJ171,$AI$3:$AO$33,MATCH("换弹时间",$AI$3:$AO$3,0),FALSE)-$BL171/VLOOKUP(VLOOKUP($BJ171,坦克个性化设定!$B$18:$E$48,4,FALSE)&amp;$BK171,坦克属性分配比例,MATCH("升星次数",坦克属性分配比例标头,0),FALSE)*VLOOKUP($BJ171,$AR$3:$AY$33,MATCH("换弹时间",$AR$3:$AY$3,0),FALSE),1),0)</f>
        <v>0</v>
      </c>
      <c r="BX171" s="2">
        <f>ROUND(VLOOKUP($BJ171,$AI$3:$AO$33,MATCH(BX$3,$AI$3:$AO$3,0),FALSE)+$BL171/VLOOKUP(VLOOKUP($BJ171,坦克个性化设定!$B$18:$E$48,4,FALSE)&amp;$BK171,坦克属性分配比例,MATCH("升星次数",坦克属性分配比例标头,0),FALSE)*VLOOKUP($BJ171,$AR$3:$AY$33,MATCH(BX$3,$AR$3:$AY$3,0),FALSE),2)</f>
        <v>0.4</v>
      </c>
      <c r="BY171" s="2">
        <f>ROUND(VLOOKUP($BJ171,$AI$3:$AO$33,MATCH(BY$3,$AI$3:$AO$3,0),FALSE)-$BL171/VLOOKUP(VLOOKUP($BJ171,坦克个性化设定!$B$18:$E$48,4,FALSE)&amp;$BK171,坦克属性分配比例,MATCH("升星次数",坦克属性分配比例标头,0),FALSE)*VLOOKUP($BJ171,$AR$3:$AY$33,MATCH(BY$3,$AR$3:$AY$3,0),FALSE),2)</f>
        <v>0.98</v>
      </c>
    </row>
    <row r="172" spans="60:77" x14ac:dyDescent="0.3">
      <c r="BH172" s="2" t="str">
        <f t="shared" si="27"/>
        <v>潘兴2</v>
      </c>
      <c r="BI172" s="2">
        <f>IF(BL171&gt;=VLOOKUP(VLOOKUP(BJ171,坦克个性化设定!$B$18:$E$48,4,FALSE)&amp;BK171,坦克属性分配比例,MATCH("升星次数",坦克属性分配比例标头,0),FALSE),BI171+1,BI171)</f>
        <v>18</v>
      </c>
      <c r="BJ172" s="2" t="str">
        <f t="shared" si="28"/>
        <v>潘兴</v>
      </c>
      <c r="BK172" s="29" t="str">
        <f>VLOOKUP(BJ172,坦克个性化细分!$I$3:$J$33,2,FALSE)</f>
        <v>中</v>
      </c>
      <c r="BL172" s="2">
        <f t="shared" si="26"/>
        <v>2</v>
      </c>
      <c r="BM172" s="103" t="e">
        <f ca="1">ROUND(VLOOKUP($BJ172&amp;"初始",$S$3:$AE$63,MATCH(BM$3,$S$3:$AE$3,0),FALSE)+((VLOOKUP($BJ172&amp;"最终",$S$3:$AE$63,MATCH(BM$3,$S$3:$AE$3,0),FALSE)*坦克个性化细分!$C$9-VLOOKUP($BJ172&amp;"初始",$S$3:$AE$63,MATCH(BM$3,$S$3:$AE$3,0),FALSE))-(VLOOKUP($BJ172&amp;"最终",$S$3:$AE$63,MATCH(BM$3,$S$3:$AE$3,0),FALSE)-VLOOKUP($BJ172&amp;"初始",$S$3:$AE$63,MATCH(BM$3,$S$3:$AE$3,0),FALSE))*VLOOKUP(VLOOKUP($BJ172,坦克个性化设定!$B$18:$E$48,4,FALSE)&amp;$BK172,坦克属性分配比例,MATCH("部件比例",坦克属性分配比例标头,0),FALSE))*$BL172/VLOOKUP(VLOOKUP($BJ172,坦克个性化设定!$B$18:$E$48,4,FALSE)&amp;$BK172,坦克属性分配比例,MATCH("升星次数",坦克属性分配比例标头,0),FALSE),0)</f>
        <v>#N/A</v>
      </c>
      <c r="BN172" s="103" t="e">
        <f ca="1">ROUND(VLOOKUP($BJ172&amp;"初始",$S$3:$AE$63,MATCH(BN$3,$S$3:$AE$3,0),FALSE)+(VLOOKUP($BJ172&amp;"最终",$S$3:$AE$63,MATCH(BN$3,$S$3:$AE$3,0),FALSE)-VLOOKUP($BJ172&amp;"初始",$S$3:$AE$63,MATCH(BN$3,$S$3:$AE$3,0),FALSE))*$BL172/VLOOKUP(VLOOKUP($BJ172,坦克个性化设定!$B$18:$E$48,4,FALSE)&amp;$BK172,坦克属性分配比例,MATCH("升星次数",坦克属性分配比例标头,0),FALSE)*VLOOKUP(VLOOKUP($BJ172,坦克个性化设定!$B$18:$E$48,4,FALSE)&amp;$BK172,坦克属性分配比例,MATCH("升星比例",坦克属性分配比例标头,0),FALSE),0)</f>
        <v>#N/A</v>
      </c>
      <c r="BO172" s="103" t="e">
        <f ca="1">ROUND(VLOOKUP($BJ172&amp;"初始",$S$3:$AE$63,MATCH(BO$3,$S$3:$AE$3,0),FALSE)+(VLOOKUP($BJ172&amp;"最终",$S$3:$AE$63,MATCH(BO$3,$S$3:$AE$3,0),FALSE)-VLOOKUP($BJ172&amp;"初始",$S$3:$AE$63,MATCH(BO$3,$S$3:$AE$3,0),FALSE))*$BL172/VLOOKUP(VLOOKUP($BJ172,坦克个性化设定!$B$18:$E$48,4,FALSE)&amp;$BK172,坦克属性分配比例,MATCH("升星次数",坦克属性分配比例标头,0),FALSE)*(VLOOKUP(VLOOKUP($BJ172,坦克个性化设定!$B$18:$E$48,4,FALSE)&amp;$BK172,坦克属性分配比例,MATCH("升星比例",坦克属性分配比例标头,0),FALSE)+VLOOKUP(VLOOKUP($BJ172,坦克个性化设定!$B$18:$E$48,4,FALSE)&amp;$BK172,坦克属性分配比例,MATCH("部件比例",坦克属性分配比例标头,0),FALSE)*$C$3),0)</f>
        <v>#N/A</v>
      </c>
      <c r="BP172" s="103" t="e">
        <f ca="1">ROUND(VLOOKUP($BJ172&amp;"初始",$S$3:$AE$63,MATCH(BP$3,$S$3:$AE$3,0),FALSE)+(VLOOKUP($BJ172&amp;"最终",$S$3:$AE$63,MATCH(BP$3,$S$3:$AE$3,0),FALSE)-VLOOKUP($BJ172&amp;"初始",$S$3:$AE$63,MATCH(BP$3,$S$3:$AE$3,0),FALSE))*$BL172/VLOOKUP(VLOOKUP($BJ172,坦克个性化设定!$B$18:$E$48,4,FALSE)&amp;$BK172,坦克属性分配比例,MATCH("升星次数",坦克属性分配比例标头,0),FALSE)*(VLOOKUP(VLOOKUP($BJ172,坦克个性化设定!$B$18:$E$48,4,FALSE)&amp;$BK172,坦克属性分配比例,MATCH("升星比例",坦克属性分配比例标头,0),FALSE)+VLOOKUP(VLOOKUP($BJ172,坦克个性化设定!$B$18:$E$48,4,FALSE)&amp;$BK172,坦克属性分配比例,MATCH("部件比例",坦克属性分配比例标头,0),FALSE)*$C$3),0)</f>
        <v>#N/A</v>
      </c>
      <c r="BQ172" s="103" t="e">
        <f ca="1">ROUND(VLOOKUP($BJ172&amp;"初始",$S$3:$AE$63,MATCH(BQ$3,$S$3:$AE$3,0),FALSE)+(VLOOKUP($BJ172&amp;"最终",$S$3:$AE$63,MATCH(BQ$3,$S$3:$AE$3,0),FALSE)-VLOOKUP($BJ172&amp;"初始",$S$3:$AE$63,MATCH(BQ$3,$S$3:$AE$3,0),FALSE))*$BL172/VLOOKUP(VLOOKUP($BJ172,坦克个性化设定!$B$18:$E$48,4,FALSE)&amp;$BK172,坦克属性分配比例,MATCH("升星次数",坦克属性分配比例标头,0),FALSE)*VLOOKUP(VLOOKUP($BJ172,坦克个性化设定!$B$18:$E$48,4,FALSE)&amp;$BK172,坦克属性分配比例,MATCH("升星比例",坦克属性分配比例标头,0),FALSE),0)</f>
        <v>#N/A</v>
      </c>
      <c r="BR172" s="2" t="e">
        <f ca="1">ROUND(VLOOKUP($BJ172&amp;"初始",$S$3:$AE$63,MATCH(BR$3,$S$3:$AE$3,0),FALSE)+(VLOOKUP($BJ172&amp;"最终",$S$3:$AE$63,MATCH(BR$3,$S$3:$AE$3,0),FALSE)-VLOOKUP($BJ172&amp;"初始",$S$3:$AE$63,MATCH(BR$3,$S$3:$AE$3,0),FALSE))*$BL172/VLOOKUP(VLOOKUP($BJ172,坦克个性化设定!$B$18:$E$48,4,FALSE)&amp;$BK172,坦克属性分配比例,MATCH("升星次数",坦克属性分配比例标头,0),FALSE),0)</f>
        <v>#N/A</v>
      </c>
      <c r="BS172" s="2">
        <f>ROUND(VLOOKUP($BJ172,$AI$3:$AO$33,MATCH(BS$3,$AI$3:$AO$3,0),FALSE)+$BL172/VLOOKUP(VLOOKUP($BJ172,坦克个性化设定!$B$18:$E$48,4,FALSE)&amp;$BK172,坦克属性分配比例,MATCH("升星次数",坦克属性分配比例标头,0),FALSE)*VLOOKUP($BJ172,$AR$3:$AY$33,MATCH(BS$3,$AR$3:$AY$3,0),FALSE),1)</f>
        <v>38</v>
      </c>
      <c r="BT172" s="2">
        <f>ROUND(VLOOKUP($BJ172,$AI$3:$AO$33,MATCH(BT$3,$AI$3:$AO$3,0),FALSE)+$BL172/VLOOKUP(VLOOKUP($BJ172,坦克个性化设定!$B$18:$E$48,4,FALSE)&amp;$BK172,坦克属性分配比例,MATCH("升星次数",坦克属性分配比例标头,0),FALSE)*VLOOKUP($BJ172,$AR$3:$AY$33,MATCH(BT$3,$AR$3:$AY$3,0),FALSE),1)</f>
        <v>53.3</v>
      </c>
      <c r="BU172" s="2">
        <f>ROUND(VLOOKUP($BJ172,$AI$3:$AO$33,MATCH(BU$3,$AI$3:$AO$3,0),FALSE)+$BL172/VLOOKUP(VLOOKUP($BJ172,坦克个性化设定!$B$18:$E$48,4,FALSE)&amp;$BK172,坦克属性分配比例,MATCH("升星次数",坦克属性分配比例标头,0),FALSE)*VLOOKUP($BJ172,$AR$3:$AY$33,MATCH(BU$3,$AR$3:$AY$3,0),FALSE),1)</f>
        <v>7.3</v>
      </c>
      <c r="BV172" s="2">
        <f>IF(VLOOKUP(BJ172,坦克个性化设定!$B$18:$BC$48,MATCH("装弹类型",坦克个性化设定!$B$18:$BC$18,0),FALSE)="弹夹换弹",0,ROUND(VLOOKUP($BJ172,$AI$3:$AO$33,MATCH("换弹时间",$AI$3:$AO$3,0),FALSE)-$BL172/VLOOKUP(VLOOKUP($BJ172,坦克个性化设定!$B$18:$E$48,4,FALSE)&amp;$BK172,坦克属性分配比例,MATCH("升星次数",坦克属性分配比例标头,0),FALSE)*VLOOKUP($BJ172,$AR$3:$AY$33,MATCH("换弹时间",$AR$3:$AY$3,0),FALSE),2))</f>
        <v>3.47</v>
      </c>
      <c r="BW172" s="2">
        <f>IF(VLOOKUP(BJ172,坦克个性化设定!$B$18:$BC$48,MATCH("装弹类型",坦克个性化设定!$B$18:$BC$18,0),FALSE)="弹夹换弹",ROUND(VLOOKUP($BJ172,$AI$3:$AO$33,MATCH("换弹时间",$AI$3:$AO$3,0),FALSE)-$BL172/VLOOKUP(VLOOKUP($BJ172,坦克个性化设定!$B$18:$E$48,4,FALSE)&amp;$BK172,坦克属性分配比例,MATCH("升星次数",坦克属性分配比例标头,0),FALSE)*VLOOKUP($BJ172,$AR$3:$AY$33,MATCH("换弹时间",$AR$3:$AY$3,0),FALSE),1),0)</f>
        <v>0</v>
      </c>
      <c r="BX172" s="2">
        <f>ROUND(VLOOKUP($BJ172,$AI$3:$AO$33,MATCH(BX$3,$AI$3:$AO$3,0),FALSE)+$BL172/VLOOKUP(VLOOKUP($BJ172,坦克个性化设定!$B$18:$E$48,4,FALSE)&amp;$BK172,坦克属性分配比例,MATCH("升星次数",坦克属性分配比例标头,0),FALSE)*VLOOKUP($BJ172,$AR$3:$AY$33,MATCH(BX$3,$AR$3:$AY$3,0),FALSE),2)</f>
        <v>0.4</v>
      </c>
      <c r="BY172" s="2">
        <f>ROUND(VLOOKUP($BJ172,$AI$3:$AO$33,MATCH(BY$3,$AI$3:$AO$3,0),FALSE)-$BL172/VLOOKUP(VLOOKUP($BJ172,坦克个性化设定!$B$18:$E$48,4,FALSE)&amp;$BK172,坦克属性分配比例,MATCH("升星次数",坦克属性分配比例标头,0),FALSE)*VLOOKUP($BJ172,$AR$3:$AY$33,MATCH(BY$3,$AR$3:$AY$3,0),FALSE),2)</f>
        <v>0.97</v>
      </c>
    </row>
    <row r="173" spans="60:77" x14ac:dyDescent="0.3">
      <c r="BH173" s="2" t="str">
        <f t="shared" si="27"/>
        <v>潘兴3</v>
      </c>
      <c r="BI173" s="2">
        <f>IF(BL172&gt;=VLOOKUP(VLOOKUP(BJ172,坦克个性化设定!$B$18:$E$48,4,FALSE)&amp;BK172,坦克属性分配比例,MATCH("升星次数",坦克属性分配比例标头,0),FALSE),BI172+1,BI172)</f>
        <v>18</v>
      </c>
      <c r="BJ173" s="2" t="str">
        <f t="shared" si="28"/>
        <v>潘兴</v>
      </c>
      <c r="BK173" s="29" t="str">
        <f>VLOOKUP(BJ173,坦克个性化细分!$I$3:$J$33,2,FALSE)</f>
        <v>中</v>
      </c>
      <c r="BL173" s="2">
        <f t="shared" si="26"/>
        <v>3</v>
      </c>
      <c r="BM173" s="103" t="e">
        <f ca="1">ROUND(VLOOKUP($BJ173&amp;"初始",$S$3:$AE$63,MATCH(BM$3,$S$3:$AE$3,0),FALSE)+((VLOOKUP($BJ173&amp;"最终",$S$3:$AE$63,MATCH(BM$3,$S$3:$AE$3,0),FALSE)*坦克个性化细分!$C$9-VLOOKUP($BJ173&amp;"初始",$S$3:$AE$63,MATCH(BM$3,$S$3:$AE$3,0),FALSE))-(VLOOKUP($BJ173&amp;"最终",$S$3:$AE$63,MATCH(BM$3,$S$3:$AE$3,0),FALSE)-VLOOKUP($BJ173&amp;"初始",$S$3:$AE$63,MATCH(BM$3,$S$3:$AE$3,0),FALSE))*VLOOKUP(VLOOKUP($BJ173,坦克个性化设定!$B$18:$E$48,4,FALSE)&amp;$BK173,坦克属性分配比例,MATCH("部件比例",坦克属性分配比例标头,0),FALSE))*$BL173/VLOOKUP(VLOOKUP($BJ173,坦克个性化设定!$B$18:$E$48,4,FALSE)&amp;$BK173,坦克属性分配比例,MATCH("升星次数",坦克属性分配比例标头,0),FALSE),0)</f>
        <v>#N/A</v>
      </c>
      <c r="BN173" s="103" t="e">
        <f ca="1">ROUND(VLOOKUP($BJ173&amp;"初始",$S$3:$AE$63,MATCH(BN$3,$S$3:$AE$3,0),FALSE)+(VLOOKUP($BJ173&amp;"最终",$S$3:$AE$63,MATCH(BN$3,$S$3:$AE$3,0),FALSE)-VLOOKUP($BJ173&amp;"初始",$S$3:$AE$63,MATCH(BN$3,$S$3:$AE$3,0),FALSE))*$BL173/VLOOKUP(VLOOKUP($BJ173,坦克个性化设定!$B$18:$E$48,4,FALSE)&amp;$BK173,坦克属性分配比例,MATCH("升星次数",坦克属性分配比例标头,0),FALSE)*VLOOKUP(VLOOKUP($BJ173,坦克个性化设定!$B$18:$E$48,4,FALSE)&amp;$BK173,坦克属性分配比例,MATCH("升星比例",坦克属性分配比例标头,0),FALSE),0)</f>
        <v>#N/A</v>
      </c>
      <c r="BO173" s="103" t="e">
        <f ca="1">ROUND(VLOOKUP($BJ173&amp;"初始",$S$3:$AE$63,MATCH(BO$3,$S$3:$AE$3,0),FALSE)+(VLOOKUP($BJ173&amp;"最终",$S$3:$AE$63,MATCH(BO$3,$S$3:$AE$3,0),FALSE)-VLOOKUP($BJ173&amp;"初始",$S$3:$AE$63,MATCH(BO$3,$S$3:$AE$3,0),FALSE))*$BL173/VLOOKUP(VLOOKUP($BJ173,坦克个性化设定!$B$18:$E$48,4,FALSE)&amp;$BK173,坦克属性分配比例,MATCH("升星次数",坦克属性分配比例标头,0),FALSE)*(VLOOKUP(VLOOKUP($BJ173,坦克个性化设定!$B$18:$E$48,4,FALSE)&amp;$BK173,坦克属性分配比例,MATCH("升星比例",坦克属性分配比例标头,0),FALSE)+VLOOKUP(VLOOKUP($BJ173,坦克个性化设定!$B$18:$E$48,4,FALSE)&amp;$BK173,坦克属性分配比例,MATCH("部件比例",坦克属性分配比例标头,0),FALSE)*$C$3),0)</f>
        <v>#N/A</v>
      </c>
      <c r="BP173" s="103" t="e">
        <f ca="1">ROUND(VLOOKUP($BJ173&amp;"初始",$S$3:$AE$63,MATCH(BP$3,$S$3:$AE$3,0),FALSE)+(VLOOKUP($BJ173&amp;"最终",$S$3:$AE$63,MATCH(BP$3,$S$3:$AE$3,0),FALSE)-VLOOKUP($BJ173&amp;"初始",$S$3:$AE$63,MATCH(BP$3,$S$3:$AE$3,0),FALSE))*$BL173/VLOOKUP(VLOOKUP($BJ173,坦克个性化设定!$B$18:$E$48,4,FALSE)&amp;$BK173,坦克属性分配比例,MATCH("升星次数",坦克属性分配比例标头,0),FALSE)*(VLOOKUP(VLOOKUP($BJ173,坦克个性化设定!$B$18:$E$48,4,FALSE)&amp;$BK173,坦克属性分配比例,MATCH("升星比例",坦克属性分配比例标头,0),FALSE)+VLOOKUP(VLOOKUP($BJ173,坦克个性化设定!$B$18:$E$48,4,FALSE)&amp;$BK173,坦克属性分配比例,MATCH("部件比例",坦克属性分配比例标头,0),FALSE)*$C$3),0)</f>
        <v>#N/A</v>
      </c>
      <c r="BQ173" s="103" t="e">
        <f ca="1">ROUND(VLOOKUP($BJ173&amp;"初始",$S$3:$AE$63,MATCH(BQ$3,$S$3:$AE$3,0),FALSE)+(VLOOKUP($BJ173&amp;"最终",$S$3:$AE$63,MATCH(BQ$3,$S$3:$AE$3,0),FALSE)-VLOOKUP($BJ173&amp;"初始",$S$3:$AE$63,MATCH(BQ$3,$S$3:$AE$3,0),FALSE))*$BL173/VLOOKUP(VLOOKUP($BJ173,坦克个性化设定!$B$18:$E$48,4,FALSE)&amp;$BK173,坦克属性分配比例,MATCH("升星次数",坦克属性分配比例标头,0),FALSE)*VLOOKUP(VLOOKUP($BJ173,坦克个性化设定!$B$18:$E$48,4,FALSE)&amp;$BK173,坦克属性分配比例,MATCH("升星比例",坦克属性分配比例标头,0),FALSE),0)</f>
        <v>#N/A</v>
      </c>
      <c r="BR173" s="2" t="e">
        <f ca="1">ROUND(VLOOKUP($BJ173&amp;"初始",$S$3:$AE$63,MATCH(BR$3,$S$3:$AE$3,0),FALSE)+(VLOOKUP($BJ173&amp;"最终",$S$3:$AE$63,MATCH(BR$3,$S$3:$AE$3,0),FALSE)-VLOOKUP($BJ173&amp;"初始",$S$3:$AE$63,MATCH(BR$3,$S$3:$AE$3,0),FALSE))*$BL173/VLOOKUP(VLOOKUP($BJ173,坦克个性化设定!$B$18:$E$48,4,FALSE)&amp;$BK173,坦克属性分配比例,MATCH("升星次数",坦克属性分配比例标头,0),FALSE),0)</f>
        <v>#N/A</v>
      </c>
      <c r="BS173" s="2">
        <f>ROUND(VLOOKUP($BJ173,$AI$3:$AO$33,MATCH(BS$3,$AI$3:$AO$3,0),FALSE)+$BL173/VLOOKUP(VLOOKUP($BJ173,坦克个性化设定!$B$18:$E$48,4,FALSE)&amp;$BK173,坦克属性分配比例,MATCH("升星次数",坦克属性分配比例标头,0),FALSE)*VLOOKUP($BJ173,$AR$3:$AY$33,MATCH(BS$3,$AR$3:$AY$3,0),FALSE),1)</f>
        <v>38.799999999999997</v>
      </c>
      <c r="BT173" s="2">
        <f>ROUND(VLOOKUP($BJ173,$AI$3:$AO$33,MATCH(BT$3,$AI$3:$AO$3,0),FALSE)+$BL173/VLOOKUP(VLOOKUP($BJ173,坦克个性化设定!$B$18:$E$48,4,FALSE)&amp;$BK173,坦克属性分配比例,MATCH("升星次数",坦克属性分配比例标头,0),FALSE)*VLOOKUP($BJ173,$AR$3:$AY$33,MATCH(BT$3,$AR$3:$AY$3,0),FALSE),1)</f>
        <v>54.5</v>
      </c>
      <c r="BU173" s="2">
        <f>ROUND(VLOOKUP($BJ173,$AI$3:$AO$33,MATCH(BU$3,$AI$3:$AO$3,0),FALSE)+$BL173/VLOOKUP(VLOOKUP($BJ173,坦克个性化设定!$B$18:$E$48,4,FALSE)&amp;$BK173,坦克属性分配比例,MATCH("升星次数",坦克属性分配比例标头,0),FALSE)*VLOOKUP($BJ173,$AR$3:$AY$33,MATCH(BU$3,$AR$3:$AY$3,0),FALSE),1)</f>
        <v>7.3</v>
      </c>
      <c r="BV173" s="2">
        <f>IF(VLOOKUP(BJ173,坦克个性化设定!$B$18:$BC$48,MATCH("装弹类型",坦克个性化设定!$B$18:$BC$18,0),FALSE)="弹夹换弹",0,ROUND(VLOOKUP($BJ173,$AI$3:$AO$33,MATCH("换弹时间",$AI$3:$AO$3,0),FALSE)-$BL173/VLOOKUP(VLOOKUP($BJ173,坦克个性化设定!$B$18:$E$48,4,FALSE)&amp;$BK173,坦克属性分配比例,MATCH("升星次数",坦克属性分配比例标头,0),FALSE)*VLOOKUP($BJ173,$AR$3:$AY$33,MATCH("换弹时间",$AR$3:$AY$3,0),FALSE),2))</f>
        <v>3.41</v>
      </c>
      <c r="BW173" s="2">
        <f>IF(VLOOKUP(BJ173,坦克个性化设定!$B$18:$BC$48,MATCH("装弹类型",坦克个性化设定!$B$18:$BC$18,0),FALSE)="弹夹换弹",ROUND(VLOOKUP($BJ173,$AI$3:$AO$33,MATCH("换弹时间",$AI$3:$AO$3,0),FALSE)-$BL173/VLOOKUP(VLOOKUP($BJ173,坦克个性化设定!$B$18:$E$48,4,FALSE)&amp;$BK173,坦克属性分配比例,MATCH("升星次数",坦克属性分配比例标头,0),FALSE)*VLOOKUP($BJ173,$AR$3:$AY$33,MATCH("换弹时间",$AR$3:$AY$3,0),FALSE),1),0)</f>
        <v>0</v>
      </c>
      <c r="BX173" s="2">
        <f>ROUND(VLOOKUP($BJ173,$AI$3:$AO$33,MATCH(BX$3,$AI$3:$AO$3,0),FALSE)+$BL173/VLOOKUP(VLOOKUP($BJ173,坦克个性化设定!$B$18:$E$48,4,FALSE)&amp;$BK173,坦克属性分配比例,MATCH("升星次数",坦克属性分配比例标头,0),FALSE)*VLOOKUP($BJ173,$AR$3:$AY$33,MATCH(BX$3,$AR$3:$AY$3,0),FALSE),2)</f>
        <v>0.4</v>
      </c>
      <c r="BY173" s="2">
        <f>ROUND(VLOOKUP($BJ173,$AI$3:$AO$33,MATCH(BY$3,$AI$3:$AO$3,0),FALSE)-$BL173/VLOOKUP(VLOOKUP($BJ173,坦克个性化设定!$B$18:$E$48,4,FALSE)&amp;$BK173,坦克属性分配比例,MATCH("升星次数",坦克属性分配比例标头,0),FALSE)*VLOOKUP($BJ173,$AR$3:$AY$33,MATCH(BY$3,$AR$3:$AY$3,0),FALSE),2)</f>
        <v>0.95</v>
      </c>
    </row>
    <row r="174" spans="60:77" x14ac:dyDescent="0.3">
      <c r="BH174" s="2" t="str">
        <f t="shared" si="27"/>
        <v>潘兴4</v>
      </c>
      <c r="BI174" s="2">
        <f>IF(BL173&gt;=VLOOKUP(VLOOKUP(BJ173,坦克个性化设定!$B$18:$E$48,4,FALSE)&amp;BK173,坦克属性分配比例,MATCH("升星次数",坦克属性分配比例标头,0),FALSE),BI173+1,BI173)</f>
        <v>18</v>
      </c>
      <c r="BJ174" s="2" t="str">
        <f t="shared" si="28"/>
        <v>潘兴</v>
      </c>
      <c r="BK174" s="29" t="str">
        <f>VLOOKUP(BJ174,坦克个性化细分!$I$3:$J$33,2,FALSE)</f>
        <v>中</v>
      </c>
      <c r="BL174" s="2">
        <f t="shared" si="26"/>
        <v>4</v>
      </c>
      <c r="BM174" s="103" t="e">
        <f ca="1">ROUND(VLOOKUP($BJ174&amp;"初始",$S$3:$AE$63,MATCH(BM$3,$S$3:$AE$3,0),FALSE)+((VLOOKUP($BJ174&amp;"最终",$S$3:$AE$63,MATCH(BM$3,$S$3:$AE$3,0),FALSE)*坦克个性化细分!$C$9-VLOOKUP($BJ174&amp;"初始",$S$3:$AE$63,MATCH(BM$3,$S$3:$AE$3,0),FALSE))-(VLOOKUP($BJ174&amp;"最终",$S$3:$AE$63,MATCH(BM$3,$S$3:$AE$3,0),FALSE)-VLOOKUP($BJ174&amp;"初始",$S$3:$AE$63,MATCH(BM$3,$S$3:$AE$3,0),FALSE))*VLOOKUP(VLOOKUP($BJ174,坦克个性化设定!$B$18:$E$48,4,FALSE)&amp;$BK174,坦克属性分配比例,MATCH("部件比例",坦克属性分配比例标头,0),FALSE))*$BL174/VLOOKUP(VLOOKUP($BJ174,坦克个性化设定!$B$18:$E$48,4,FALSE)&amp;$BK174,坦克属性分配比例,MATCH("升星次数",坦克属性分配比例标头,0),FALSE),0)</f>
        <v>#N/A</v>
      </c>
      <c r="BN174" s="103" t="e">
        <f ca="1">ROUND(VLOOKUP($BJ174&amp;"初始",$S$3:$AE$63,MATCH(BN$3,$S$3:$AE$3,0),FALSE)+(VLOOKUP($BJ174&amp;"最终",$S$3:$AE$63,MATCH(BN$3,$S$3:$AE$3,0),FALSE)-VLOOKUP($BJ174&amp;"初始",$S$3:$AE$63,MATCH(BN$3,$S$3:$AE$3,0),FALSE))*$BL174/VLOOKUP(VLOOKUP($BJ174,坦克个性化设定!$B$18:$E$48,4,FALSE)&amp;$BK174,坦克属性分配比例,MATCH("升星次数",坦克属性分配比例标头,0),FALSE)*VLOOKUP(VLOOKUP($BJ174,坦克个性化设定!$B$18:$E$48,4,FALSE)&amp;$BK174,坦克属性分配比例,MATCH("升星比例",坦克属性分配比例标头,0),FALSE),0)</f>
        <v>#N/A</v>
      </c>
      <c r="BO174" s="103" t="e">
        <f ca="1">ROUND(VLOOKUP($BJ174&amp;"初始",$S$3:$AE$63,MATCH(BO$3,$S$3:$AE$3,0),FALSE)+(VLOOKUP($BJ174&amp;"最终",$S$3:$AE$63,MATCH(BO$3,$S$3:$AE$3,0),FALSE)-VLOOKUP($BJ174&amp;"初始",$S$3:$AE$63,MATCH(BO$3,$S$3:$AE$3,0),FALSE))*$BL174/VLOOKUP(VLOOKUP($BJ174,坦克个性化设定!$B$18:$E$48,4,FALSE)&amp;$BK174,坦克属性分配比例,MATCH("升星次数",坦克属性分配比例标头,0),FALSE)*(VLOOKUP(VLOOKUP($BJ174,坦克个性化设定!$B$18:$E$48,4,FALSE)&amp;$BK174,坦克属性分配比例,MATCH("升星比例",坦克属性分配比例标头,0),FALSE)+VLOOKUP(VLOOKUP($BJ174,坦克个性化设定!$B$18:$E$48,4,FALSE)&amp;$BK174,坦克属性分配比例,MATCH("部件比例",坦克属性分配比例标头,0),FALSE)*$C$3),0)</f>
        <v>#N/A</v>
      </c>
      <c r="BP174" s="103" t="e">
        <f ca="1">ROUND(VLOOKUP($BJ174&amp;"初始",$S$3:$AE$63,MATCH(BP$3,$S$3:$AE$3,0),FALSE)+(VLOOKUP($BJ174&amp;"最终",$S$3:$AE$63,MATCH(BP$3,$S$3:$AE$3,0),FALSE)-VLOOKUP($BJ174&amp;"初始",$S$3:$AE$63,MATCH(BP$3,$S$3:$AE$3,0),FALSE))*$BL174/VLOOKUP(VLOOKUP($BJ174,坦克个性化设定!$B$18:$E$48,4,FALSE)&amp;$BK174,坦克属性分配比例,MATCH("升星次数",坦克属性分配比例标头,0),FALSE)*(VLOOKUP(VLOOKUP($BJ174,坦克个性化设定!$B$18:$E$48,4,FALSE)&amp;$BK174,坦克属性分配比例,MATCH("升星比例",坦克属性分配比例标头,0),FALSE)+VLOOKUP(VLOOKUP($BJ174,坦克个性化设定!$B$18:$E$48,4,FALSE)&amp;$BK174,坦克属性分配比例,MATCH("部件比例",坦克属性分配比例标头,0),FALSE)*$C$3),0)</f>
        <v>#N/A</v>
      </c>
      <c r="BQ174" s="103" t="e">
        <f ca="1">ROUND(VLOOKUP($BJ174&amp;"初始",$S$3:$AE$63,MATCH(BQ$3,$S$3:$AE$3,0),FALSE)+(VLOOKUP($BJ174&amp;"最终",$S$3:$AE$63,MATCH(BQ$3,$S$3:$AE$3,0),FALSE)-VLOOKUP($BJ174&amp;"初始",$S$3:$AE$63,MATCH(BQ$3,$S$3:$AE$3,0),FALSE))*$BL174/VLOOKUP(VLOOKUP($BJ174,坦克个性化设定!$B$18:$E$48,4,FALSE)&amp;$BK174,坦克属性分配比例,MATCH("升星次数",坦克属性分配比例标头,0),FALSE)*VLOOKUP(VLOOKUP($BJ174,坦克个性化设定!$B$18:$E$48,4,FALSE)&amp;$BK174,坦克属性分配比例,MATCH("升星比例",坦克属性分配比例标头,0),FALSE),0)</f>
        <v>#N/A</v>
      </c>
      <c r="BR174" s="2" t="e">
        <f ca="1">ROUND(VLOOKUP($BJ174&amp;"初始",$S$3:$AE$63,MATCH(BR$3,$S$3:$AE$3,0),FALSE)+(VLOOKUP($BJ174&amp;"最终",$S$3:$AE$63,MATCH(BR$3,$S$3:$AE$3,0),FALSE)-VLOOKUP($BJ174&amp;"初始",$S$3:$AE$63,MATCH(BR$3,$S$3:$AE$3,0),FALSE))*$BL174/VLOOKUP(VLOOKUP($BJ174,坦克个性化设定!$B$18:$E$48,4,FALSE)&amp;$BK174,坦克属性分配比例,MATCH("升星次数",坦克属性分配比例标头,0),FALSE),0)</f>
        <v>#N/A</v>
      </c>
      <c r="BS174" s="2">
        <f>ROUND(VLOOKUP($BJ174,$AI$3:$AO$33,MATCH(BS$3,$AI$3:$AO$3,0),FALSE)+$BL174/VLOOKUP(VLOOKUP($BJ174,坦克个性化设定!$B$18:$E$48,4,FALSE)&amp;$BK174,坦克属性分配比例,MATCH("升星次数",坦克属性分配比例标头,0),FALSE)*VLOOKUP($BJ174,$AR$3:$AY$33,MATCH(BS$3,$AR$3:$AY$3,0),FALSE),1)</f>
        <v>39.6</v>
      </c>
      <c r="BT174" s="2">
        <f>ROUND(VLOOKUP($BJ174,$AI$3:$AO$33,MATCH(BT$3,$AI$3:$AO$3,0),FALSE)+$BL174/VLOOKUP(VLOOKUP($BJ174,坦克个性化设定!$B$18:$E$48,4,FALSE)&amp;$BK174,坦克属性分配比例,MATCH("升星次数",坦克属性分配比例标头,0),FALSE)*VLOOKUP($BJ174,$AR$3:$AY$33,MATCH(BT$3,$AR$3:$AY$3,0),FALSE),1)</f>
        <v>55.6</v>
      </c>
      <c r="BU174" s="2">
        <f>ROUND(VLOOKUP($BJ174,$AI$3:$AO$33,MATCH(BU$3,$AI$3:$AO$3,0),FALSE)+$BL174/VLOOKUP(VLOOKUP($BJ174,坦克个性化设定!$B$18:$E$48,4,FALSE)&amp;$BK174,坦克属性分配比例,MATCH("升星次数",坦克属性分配比例标头,0),FALSE)*VLOOKUP($BJ174,$AR$3:$AY$33,MATCH(BU$3,$AR$3:$AY$3,0),FALSE),1)</f>
        <v>7.3</v>
      </c>
      <c r="BV174" s="2">
        <f>IF(VLOOKUP(BJ174,坦克个性化设定!$B$18:$BC$48,MATCH("装弹类型",坦克个性化设定!$B$18:$BC$18,0),FALSE)="弹夹换弹",0,ROUND(VLOOKUP($BJ174,$AI$3:$AO$33,MATCH("换弹时间",$AI$3:$AO$3,0),FALSE)-$BL174/VLOOKUP(VLOOKUP($BJ174,坦克个性化设定!$B$18:$E$48,4,FALSE)&amp;$BK174,坦克属性分配比例,MATCH("升星次数",坦克属性分配比例标头,0),FALSE)*VLOOKUP($BJ174,$AR$3:$AY$33,MATCH("换弹时间",$AR$3:$AY$3,0),FALSE),2))</f>
        <v>3.35</v>
      </c>
      <c r="BW174" s="2">
        <f>IF(VLOOKUP(BJ174,坦克个性化设定!$B$18:$BC$48,MATCH("装弹类型",坦克个性化设定!$B$18:$BC$18,0),FALSE)="弹夹换弹",ROUND(VLOOKUP($BJ174,$AI$3:$AO$33,MATCH("换弹时间",$AI$3:$AO$3,0),FALSE)-$BL174/VLOOKUP(VLOOKUP($BJ174,坦克个性化设定!$B$18:$E$48,4,FALSE)&amp;$BK174,坦克属性分配比例,MATCH("升星次数",坦克属性分配比例标头,0),FALSE)*VLOOKUP($BJ174,$AR$3:$AY$33,MATCH("换弹时间",$AR$3:$AY$3,0),FALSE),1),0)</f>
        <v>0</v>
      </c>
      <c r="BX174" s="2">
        <f>ROUND(VLOOKUP($BJ174,$AI$3:$AO$33,MATCH(BX$3,$AI$3:$AO$3,0),FALSE)+$BL174/VLOOKUP(VLOOKUP($BJ174,坦克个性化设定!$B$18:$E$48,4,FALSE)&amp;$BK174,坦克属性分配比例,MATCH("升星次数",坦克属性分配比例标头,0),FALSE)*VLOOKUP($BJ174,$AR$3:$AY$33,MATCH(BX$3,$AR$3:$AY$3,0),FALSE),2)</f>
        <v>0.4</v>
      </c>
      <c r="BY174" s="2">
        <f>ROUND(VLOOKUP($BJ174,$AI$3:$AO$33,MATCH(BY$3,$AI$3:$AO$3,0),FALSE)-$BL174/VLOOKUP(VLOOKUP($BJ174,坦克个性化设定!$B$18:$E$48,4,FALSE)&amp;$BK174,坦克属性分配比例,MATCH("升星次数",坦克属性分配比例标头,0),FALSE)*VLOOKUP($BJ174,$AR$3:$AY$33,MATCH(BY$3,$AR$3:$AY$3,0),FALSE),2)</f>
        <v>0.94</v>
      </c>
    </row>
    <row r="175" spans="60:77" x14ac:dyDescent="0.3">
      <c r="BH175" s="2" t="str">
        <f t="shared" si="27"/>
        <v>潘兴5</v>
      </c>
      <c r="BI175" s="2">
        <f>IF(BL174&gt;=VLOOKUP(VLOOKUP(BJ174,坦克个性化设定!$B$18:$E$48,4,FALSE)&amp;BK174,坦克属性分配比例,MATCH("升星次数",坦克属性分配比例标头,0),FALSE),BI174+1,BI174)</f>
        <v>18</v>
      </c>
      <c r="BJ175" s="2" t="str">
        <f t="shared" si="28"/>
        <v>潘兴</v>
      </c>
      <c r="BK175" s="29" t="str">
        <f>VLOOKUP(BJ175,坦克个性化细分!$I$3:$J$33,2,FALSE)</f>
        <v>中</v>
      </c>
      <c r="BL175" s="2">
        <f t="shared" si="26"/>
        <v>5</v>
      </c>
      <c r="BM175" s="103" t="e">
        <f ca="1">ROUND(VLOOKUP($BJ175&amp;"初始",$S$3:$AE$63,MATCH(BM$3,$S$3:$AE$3,0),FALSE)+((VLOOKUP($BJ175&amp;"最终",$S$3:$AE$63,MATCH(BM$3,$S$3:$AE$3,0),FALSE)*坦克个性化细分!$C$9-VLOOKUP($BJ175&amp;"初始",$S$3:$AE$63,MATCH(BM$3,$S$3:$AE$3,0),FALSE))-(VLOOKUP($BJ175&amp;"最终",$S$3:$AE$63,MATCH(BM$3,$S$3:$AE$3,0),FALSE)-VLOOKUP($BJ175&amp;"初始",$S$3:$AE$63,MATCH(BM$3,$S$3:$AE$3,0),FALSE))*VLOOKUP(VLOOKUP($BJ175,坦克个性化设定!$B$18:$E$48,4,FALSE)&amp;$BK175,坦克属性分配比例,MATCH("部件比例",坦克属性分配比例标头,0),FALSE))*$BL175/VLOOKUP(VLOOKUP($BJ175,坦克个性化设定!$B$18:$E$48,4,FALSE)&amp;$BK175,坦克属性分配比例,MATCH("升星次数",坦克属性分配比例标头,0),FALSE),0)</f>
        <v>#N/A</v>
      </c>
      <c r="BN175" s="103" t="e">
        <f ca="1">ROUND(VLOOKUP($BJ175&amp;"初始",$S$3:$AE$63,MATCH(BN$3,$S$3:$AE$3,0),FALSE)+(VLOOKUP($BJ175&amp;"最终",$S$3:$AE$63,MATCH(BN$3,$S$3:$AE$3,0),FALSE)-VLOOKUP($BJ175&amp;"初始",$S$3:$AE$63,MATCH(BN$3,$S$3:$AE$3,0),FALSE))*$BL175/VLOOKUP(VLOOKUP($BJ175,坦克个性化设定!$B$18:$E$48,4,FALSE)&amp;$BK175,坦克属性分配比例,MATCH("升星次数",坦克属性分配比例标头,0),FALSE)*VLOOKUP(VLOOKUP($BJ175,坦克个性化设定!$B$18:$E$48,4,FALSE)&amp;$BK175,坦克属性分配比例,MATCH("升星比例",坦克属性分配比例标头,0),FALSE),0)</f>
        <v>#N/A</v>
      </c>
      <c r="BO175" s="103" t="e">
        <f ca="1">ROUND(VLOOKUP($BJ175&amp;"初始",$S$3:$AE$63,MATCH(BO$3,$S$3:$AE$3,0),FALSE)+(VLOOKUP($BJ175&amp;"最终",$S$3:$AE$63,MATCH(BO$3,$S$3:$AE$3,0),FALSE)-VLOOKUP($BJ175&amp;"初始",$S$3:$AE$63,MATCH(BO$3,$S$3:$AE$3,0),FALSE))*$BL175/VLOOKUP(VLOOKUP($BJ175,坦克个性化设定!$B$18:$E$48,4,FALSE)&amp;$BK175,坦克属性分配比例,MATCH("升星次数",坦克属性分配比例标头,0),FALSE)*(VLOOKUP(VLOOKUP($BJ175,坦克个性化设定!$B$18:$E$48,4,FALSE)&amp;$BK175,坦克属性分配比例,MATCH("升星比例",坦克属性分配比例标头,0),FALSE)+VLOOKUP(VLOOKUP($BJ175,坦克个性化设定!$B$18:$E$48,4,FALSE)&amp;$BK175,坦克属性分配比例,MATCH("部件比例",坦克属性分配比例标头,0),FALSE)*$C$3),0)</f>
        <v>#N/A</v>
      </c>
      <c r="BP175" s="103" t="e">
        <f ca="1">ROUND(VLOOKUP($BJ175&amp;"初始",$S$3:$AE$63,MATCH(BP$3,$S$3:$AE$3,0),FALSE)+(VLOOKUP($BJ175&amp;"最终",$S$3:$AE$63,MATCH(BP$3,$S$3:$AE$3,0),FALSE)-VLOOKUP($BJ175&amp;"初始",$S$3:$AE$63,MATCH(BP$3,$S$3:$AE$3,0),FALSE))*$BL175/VLOOKUP(VLOOKUP($BJ175,坦克个性化设定!$B$18:$E$48,4,FALSE)&amp;$BK175,坦克属性分配比例,MATCH("升星次数",坦克属性分配比例标头,0),FALSE)*(VLOOKUP(VLOOKUP($BJ175,坦克个性化设定!$B$18:$E$48,4,FALSE)&amp;$BK175,坦克属性分配比例,MATCH("升星比例",坦克属性分配比例标头,0),FALSE)+VLOOKUP(VLOOKUP($BJ175,坦克个性化设定!$B$18:$E$48,4,FALSE)&amp;$BK175,坦克属性分配比例,MATCH("部件比例",坦克属性分配比例标头,0),FALSE)*$C$3),0)</f>
        <v>#N/A</v>
      </c>
      <c r="BQ175" s="103" t="e">
        <f ca="1">ROUND(VLOOKUP($BJ175&amp;"初始",$S$3:$AE$63,MATCH(BQ$3,$S$3:$AE$3,0),FALSE)+(VLOOKUP($BJ175&amp;"最终",$S$3:$AE$63,MATCH(BQ$3,$S$3:$AE$3,0),FALSE)-VLOOKUP($BJ175&amp;"初始",$S$3:$AE$63,MATCH(BQ$3,$S$3:$AE$3,0),FALSE))*$BL175/VLOOKUP(VLOOKUP($BJ175,坦克个性化设定!$B$18:$E$48,4,FALSE)&amp;$BK175,坦克属性分配比例,MATCH("升星次数",坦克属性分配比例标头,0),FALSE)*VLOOKUP(VLOOKUP($BJ175,坦克个性化设定!$B$18:$E$48,4,FALSE)&amp;$BK175,坦克属性分配比例,MATCH("升星比例",坦克属性分配比例标头,0),FALSE),0)</f>
        <v>#N/A</v>
      </c>
      <c r="BR175" s="2" t="e">
        <f ca="1">ROUND(VLOOKUP($BJ175&amp;"初始",$S$3:$AE$63,MATCH(BR$3,$S$3:$AE$3,0),FALSE)+(VLOOKUP($BJ175&amp;"最终",$S$3:$AE$63,MATCH(BR$3,$S$3:$AE$3,0),FALSE)-VLOOKUP($BJ175&amp;"初始",$S$3:$AE$63,MATCH(BR$3,$S$3:$AE$3,0),FALSE))*$BL175/VLOOKUP(VLOOKUP($BJ175,坦克个性化设定!$B$18:$E$48,4,FALSE)&amp;$BK175,坦克属性分配比例,MATCH("升星次数",坦克属性分配比例标头,0),FALSE),0)</f>
        <v>#N/A</v>
      </c>
      <c r="BS175" s="2">
        <f>ROUND(VLOOKUP($BJ175,$AI$3:$AO$33,MATCH(BS$3,$AI$3:$AO$3,0),FALSE)+$BL175/VLOOKUP(VLOOKUP($BJ175,坦克个性化设定!$B$18:$E$48,4,FALSE)&amp;$BK175,坦克属性分配比例,MATCH("升星次数",坦克属性分配比例标头,0),FALSE)*VLOOKUP($BJ175,$AR$3:$AY$33,MATCH(BS$3,$AR$3:$AY$3,0),FALSE),1)</f>
        <v>40.4</v>
      </c>
      <c r="BT175" s="2">
        <f>ROUND(VLOOKUP($BJ175,$AI$3:$AO$33,MATCH(BT$3,$AI$3:$AO$3,0),FALSE)+$BL175/VLOOKUP(VLOOKUP($BJ175,坦克个性化设定!$B$18:$E$48,4,FALSE)&amp;$BK175,坦克属性分配比例,MATCH("升星次数",坦克属性分配比例标头,0),FALSE)*VLOOKUP($BJ175,$AR$3:$AY$33,MATCH(BT$3,$AR$3:$AY$3,0),FALSE),1)</f>
        <v>56.8</v>
      </c>
      <c r="BU175" s="2">
        <f>ROUND(VLOOKUP($BJ175,$AI$3:$AO$33,MATCH(BU$3,$AI$3:$AO$3,0),FALSE)+$BL175/VLOOKUP(VLOOKUP($BJ175,坦克个性化设定!$B$18:$E$48,4,FALSE)&amp;$BK175,坦克属性分配比例,MATCH("升星次数",坦克属性分配比例标头,0),FALSE)*VLOOKUP($BJ175,$AR$3:$AY$33,MATCH(BU$3,$AR$3:$AY$3,0),FALSE),1)</f>
        <v>7.3</v>
      </c>
      <c r="BV175" s="2">
        <f>IF(VLOOKUP(BJ175,坦克个性化设定!$B$18:$BC$48,MATCH("装弹类型",坦克个性化设定!$B$18:$BC$18,0),FALSE)="弹夹换弹",0,ROUND(VLOOKUP($BJ175,$AI$3:$AO$33,MATCH("换弹时间",$AI$3:$AO$3,0),FALSE)-$BL175/VLOOKUP(VLOOKUP($BJ175,坦克个性化设定!$B$18:$E$48,4,FALSE)&amp;$BK175,坦克属性分配比例,MATCH("升星次数",坦克属性分配比例标头,0),FALSE)*VLOOKUP($BJ175,$AR$3:$AY$33,MATCH("换弹时间",$AR$3:$AY$3,0),FALSE),2))</f>
        <v>3.28</v>
      </c>
      <c r="BW175" s="2">
        <f>IF(VLOOKUP(BJ175,坦克个性化设定!$B$18:$BC$48,MATCH("装弹类型",坦克个性化设定!$B$18:$BC$18,0),FALSE)="弹夹换弹",ROUND(VLOOKUP($BJ175,$AI$3:$AO$33,MATCH("换弹时间",$AI$3:$AO$3,0),FALSE)-$BL175/VLOOKUP(VLOOKUP($BJ175,坦克个性化设定!$B$18:$E$48,4,FALSE)&amp;$BK175,坦克属性分配比例,MATCH("升星次数",坦克属性分配比例标头,0),FALSE)*VLOOKUP($BJ175,$AR$3:$AY$33,MATCH("换弹时间",$AR$3:$AY$3,0),FALSE),1),0)</f>
        <v>0</v>
      </c>
      <c r="BX175" s="2">
        <f>ROUND(VLOOKUP($BJ175,$AI$3:$AO$33,MATCH(BX$3,$AI$3:$AO$3,0),FALSE)+$BL175/VLOOKUP(VLOOKUP($BJ175,坦克个性化设定!$B$18:$E$48,4,FALSE)&amp;$BK175,坦克属性分配比例,MATCH("升星次数",坦克属性分配比例标头,0),FALSE)*VLOOKUP($BJ175,$AR$3:$AY$33,MATCH(BX$3,$AR$3:$AY$3,0),FALSE),2)</f>
        <v>0.4</v>
      </c>
      <c r="BY175" s="2">
        <f>ROUND(VLOOKUP($BJ175,$AI$3:$AO$33,MATCH(BY$3,$AI$3:$AO$3,0),FALSE)-$BL175/VLOOKUP(VLOOKUP($BJ175,坦克个性化设定!$B$18:$E$48,4,FALSE)&amp;$BK175,坦克属性分配比例,MATCH("升星次数",坦克属性分配比例标头,0),FALSE)*VLOOKUP($BJ175,$AR$3:$AY$33,MATCH(BY$3,$AR$3:$AY$3,0),FALSE),2)</f>
        <v>0.92</v>
      </c>
    </row>
    <row r="176" spans="60:77" x14ac:dyDescent="0.3">
      <c r="BH176" s="2" t="str">
        <f t="shared" si="27"/>
        <v>潘兴6</v>
      </c>
      <c r="BI176" s="2">
        <f>IF(BL175&gt;=VLOOKUP(VLOOKUP(BJ175,坦克个性化设定!$B$18:$E$48,4,FALSE)&amp;BK175,坦克属性分配比例,MATCH("升星次数",坦克属性分配比例标头,0),FALSE),BI175+1,BI175)</f>
        <v>18</v>
      </c>
      <c r="BJ176" s="2" t="str">
        <f t="shared" si="28"/>
        <v>潘兴</v>
      </c>
      <c r="BK176" s="29" t="str">
        <f>VLOOKUP(BJ176,坦克个性化细分!$I$3:$J$33,2,FALSE)</f>
        <v>中</v>
      </c>
      <c r="BL176" s="2">
        <f t="shared" si="26"/>
        <v>6</v>
      </c>
      <c r="BM176" s="103" t="e">
        <f ca="1">ROUND(VLOOKUP($BJ176&amp;"初始",$S$3:$AE$63,MATCH(BM$3,$S$3:$AE$3,0),FALSE)+((VLOOKUP($BJ176&amp;"最终",$S$3:$AE$63,MATCH(BM$3,$S$3:$AE$3,0),FALSE)*坦克个性化细分!$C$9-VLOOKUP($BJ176&amp;"初始",$S$3:$AE$63,MATCH(BM$3,$S$3:$AE$3,0),FALSE))-(VLOOKUP($BJ176&amp;"最终",$S$3:$AE$63,MATCH(BM$3,$S$3:$AE$3,0),FALSE)-VLOOKUP($BJ176&amp;"初始",$S$3:$AE$63,MATCH(BM$3,$S$3:$AE$3,0),FALSE))*VLOOKUP(VLOOKUP($BJ176,坦克个性化设定!$B$18:$E$48,4,FALSE)&amp;$BK176,坦克属性分配比例,MATCH("部件比例",坦克属性分配比例标头,0),FALSE))*$BL176/VLOOKUP(VLOOKUP($BJ176,坦克个性化设定!$B$18:$E$48,4,FALSE)&amp;$BK176,坦克属性分配比例,MATCH("升星次数",坦克属性分配比例标头,0),FALSE),0)</f>
        <v>#N/A</v>
      </c>
      <c r="BN176" s="103" t="e">
        <f ca="1">ROUND(VLOOKUP($BJ176&amp;"初始",$S$3:$AE$63,MATCH(BN$3,$S$3:$AE$3,0),FALSE)+(VLOOKUP($BJ176&amp;"最终",$S$3:$AE$63,MATCH(BN$3,$S$3:$AE$3,0),FALSE)-VLOOKUP($BJ176&amp;"初始",$S$3:$AE$63,MATCH(BN$3,$S$3:$AE$3,0),FALSE))*$BL176/VLOOKUP(VLOOKUP($BJ176,坦克个性化设定!$B$18:$E$48,4,FALSE)&amp;$BK176,坦克属性分配比例,MATCH("升星次数",坦克属性分配比例标头,0),FALSE)*VLOOKUP(VLOOKUP($BJ176,坦克个性化设定!$B$18:$E$48,4,FALSE)&amp;$BK176,坦克属性分配比例,MATCH("升星比例",坦克属性分配比例标头,0),FALSE),0)</f>
        <v>#N/A</v>
      </c>
      <c r="BO176" s="103" t="e">
        <f ca="1">ROUND(VLOOKUP($BJ176&amp;"初始",$S$3:$AE$63,MATCH(BO$3,$S$3:$AE$3,0),FALSE)+(VLOOKUP($BJ176&amp;"最终",$S$3:$AE$63,MATCH(BO$3,$S$3:$AE$3,0),FALSE)-VLOOKUP($BJ176&amp;"初始",$S$3:$AE$63,MATCH(BO$3,$S$3:$AE$3,0),FALSE))*$BL176/VLOOKUP(VLOOKUP($BJ176,坦克个性化设定!$B$18:$E$48,4,FALSE)&amp;$BK176,坦克属性分配比例,MATCH("升星次数",坦克属性分配比例标头,0),FALSE)*(VLOOKUP(VLOOKUP($BJ176,坦克个性化设定!$B$18:$E$48,4,FALSE)&amp;$BK176,坦克属性分配比例,MATCH("升星比例",坦克属性分配比例标头,0),FALSE)+VLOOKUP(VLOOKUP($BJ176,坦克个性化设定!$B$18:$E$48,4,FALSE)&amp;$BK176,坦克属性分配比例,MATCH("部件比例",坦克属性分配比例标头,0),FALSE)*$C$3),0)</f>
        <v>#N/A</v>
      </c>
      <c r="BP176" s="103" t="e">
        <f ca="1">ROUND(VLOOKUP($BJ176&amp;"初始",$S$3:$AE$63,MATCH(BP$3,$S$3:$AE$3,0),FALSE)+(VLOOKUP($BJ176&amp;"最终",$S$3:$AE$63,MATCH(BP$3,$S$3:$AE$3,0),FALSE)-VLOOKUP($BJ176&amp;"初始",$S$3:$AE$63,MATCH(BP$3,$S$3:$AE$3,0),FALSE))*$BL176/VLOOKUP(VLOOKUP($BJ176,坦克个性化设定!$B$18:$E$48,4,FALSE)&amp;$BK176,坦克属性分配比例,MATCH("升星次数",坦克属性分配比例标头,0),FALSE)*(VLOOKUP(VLOOKUP($BJ176,坦克个性化设定!$B$18:$E$48,4,FALSE)&amp;$BK176,坦克属性分配比例,MATCH("升星比例",坦克属性分配比例标头,0),FALSE)+VLOOKUP(VLOOKUP($BJ176,坦克个性化设定!$B$18:$E$48,4,FALSE)&amp;$BK176,坦克属性分配比例,MATCH("部件比例",坦克属性分配比例标头,0),FALSE)*$C$3),0)</f>
        <v>#N/A</v>
      </c>
      <c r="BQ176" s="103" t="e">
        <f ca="1">ROUND(VLOOKUP($BJ176&amp;"初始",$S$3:$AE$63,MATCH(BQ$3,$S$3:$AE$3,0),FALSE)+(VLOOKUP($BJ176&amp;"最终",$S$3:$AE$63,MATCH(BQ$3,$S$3:$AE$3,0),FALSE)-VLOOKUP($BJ176&amp;"初始",$S$3:$AE$63,MATCH(BQ$3,$S$3:$AE$3,0),FALSE))*$BL176/VLOOKUP(VLOOKUP($BJ176,坦克个性化设定!$B$18:$E$48,4,FALSE)&amp;$BK176,坦克属性分配比例,MATCH("升星次数",坦克属性分配比例标头,0),FALSE)*VLOOKUP(VLOOKUP($BJ176,坦克个性化设定!$B$18:$E$48,4,FALSE)&amp;$BK176,坦克属性分配比例,MATCH("升星比例",坦克属性分配比例标头,0),FALSE),0)</f>
        <v>#N/A</v>
      </c>
      <c r="BR176" s="2" t="e">
        <f ca="1">ROUND(VLOOKUP($BJ176&amp;"初始",$S$3:$AE$63,MATCH(BR$3,$S$3:$AE$3,0),FALSE)+(VLOOKUP($BJ176&amp;"最终",$S$3:$AE$63,MATCH(BR$3,$S$3:$AE$3,0),FALSE)-VLOOKUP($BJ176&amp;"初始",$S$3:$AE$63,MATCH(BR$3,$S$3:$AE$3,0),FALSE))*$BL176/VLOOKUP(VLOOKUP($BJ176,坦克个性化设定!$B$18:$E$48,4,FALSE)&amp;$BK176,坦克属性分配比例,MATCH("升星次数",坦克属性分配比例标头,0),FALSE),0)</f>
        <v>#N/A</v>
      </c>
      <c r="BS176" s="2">
        <f>ROUND(VLOOKUP($BJ176,$AI$3:$AO$33,MATCH(BS$3,$AI$3:$AO$3,0),FALSE)+$BL176/VLOOKUP(VLOOKUP($BJ176,坦克个性化设定!$B$18:$E$48,4,FALSE)&amp;$BK176,坦克属性分配比例,MATCH("升星次数",坦克属性分配比例标头,0),FALSE)*VLOOKUP($BJ176,$AR$3:$AY$33,MATCH(BS$3,$AR$3:$AY$3,0),FALSE),1)</f>
        <v>41.3</v>
      </c>
      <c r="BT176" s="2">
        <f>ROUND(VLOOKUP($BJ176,$AI$3:$AO$33,MATCH(BT$3,$AI$3:$AO$3,0),FALSE)+$BL176/VLOOKUP(VLOOKUP($BJ176,坦克个性化设定!$B$18:$E$48,4,FALSE)&amp;$BK176,坦克属性分配比例,MATCH("升星次数",坦克属性分配比例标头,0),FALSE)*VLOOKUP($BJ176,$AR$3:$AY$33,MATCH(BT$3,$AR$3:$AY$3,0),FALSE),1)</f>
        <v>58</v>
      </c>
      <c r="BU176" s="2">
        <f>ROUND(VLOOKUP($BJ176,$AI$3:$AO$33,MATCH(BU$3,$AI$3:$AO$3,0),FALSE)+$BL176/VLOOKUP(VLOOKUP($BJ176,坦克个性化设定!$B$18:$E$48,4,FALSE)&amp;$BK176,坦克属性分配比例,MATCH("升星次数",坦克属性分配比例标头,0),FALSE)*VLOOKUP($BJ176,$AR$3:$AY$33,MATCH(BU$3,$AR$3:$AY$3,0),FALSE),1)</f>
        <v>7.3</v>
      </c>
      <c r="BV176" s="2">
        <f>IF(VLOOKUP(BJ176,坦克个性化设定!$B$18:$BC$48,MATCH("装弹类型",坦克个性化设定!$B$18:$BC$18,0),FALSE)="弹夹换弹",0,ROUND(VLOOKUP($BJ176,$AI$3:$AO$33,MATCH("换弹时间",$AI$3:$AO$3,0),FALSE)-$BL176/VLOOKUP(VLOOKUP($BJ176,坦克个性化设定!$B$18:$E$48,4,FALSE)&amp;$BK176,坦克属性分配比例,MATCH("升星次数",坦克属性分配比例标头,0),FALSE)*VLOOKUP($BJ176,$AR$3:$AY$33,MATCH("换弹时间",$AR$3:$AY$3,0),FALSE),2))</f>
        <v>3.22</v>
      </c>
      <c r="BW176" s="2">
        <f>IF(VLOOKUP(BJ176,坦克个性化设定!$B$18:$BC$48,MATCH("装弹类型",坦克个性化设定!$B$18:$BC$18,0),FALSE)="弹夹换弹",ROUND(VLOOKUP($BJ176,$AI$3:$AO$33,MATCH("换弹时间",$AI$3:$AO$3,0),FALSE)-$BL176/VLOOKUP(VLOOKUP($BJ176,坦克个性化设定!$B$18:$E$48,4,FALSE)&amp;$BK176,坦克属性分配比例,MATCH("升星次数",坦克属性分配比例标头,0),FALSE)*VLOOKUP($BJ176,$AR$3:$AY$33,MATCH("换弹时间",$AR$3:$AY$3,0),FALSE),1),0)</f>
        <v>0</v>
      </c>
      <c r="BX176" s="2">
        <f>ROUND(VLOOKUP($BJ176,$AI$3:$AO$33,MATCH(BX$3,$AI$3:$AO$3,0),FALSE)+$BL176/VLOOKUP(VLOOKUP($BJ176,坦克个性化设定!$B$18:$E$48,4,FALSE)&amp;$BK176,坦克属性分配比例,MATCH("升星次数",坦克属性分配比例标头,0),FALSE)*VLOOKUP($BJ176,$AR$3:$AY$33,MATCH(BX$3,$AR$3:$AY$3,0),FALSE),2)</f>
        <v>0.4</v>
      </c>
      <c r="BY176" s="2">
        <f>ROUND(VLOOKUP($BJ176,$AI$3:$AO$33,MATCH(BY$3,$AI$3:$AO$3,0),FALSE)-$BL176/VLOOKUP(VLOOKUP($BJ176,坦克个性化设定!$B$18:$E$48,4,FALSE)&amp;$BK176,坦克属性分配比例,MATCH("升星次数",坦克属性分配比例标头,0),FALSE)*VLOOKUP($BJ176,$AR$3:$AY$33,MATCH(BY$3,$AR$3:$AY$3,0),FALSE),2)</f>
        <v>0.91</v>
      </c>
    </row>
    <row r="177" spans="60:77" x14ac:dyDescent="0.3">
      <c r="BH177" s="2" t="str">
        <f t="shared" si="27"/>
        <v>潘兴7</v>
      </c>
      <c r="BI177" s="2">
        <f>IF(BL176&gt;=VLOOKUP(VLOOKUP(BJ176,坦克个性化设定!$B$18:$E$48,4,FALSE)&amp;BK176,坦克属性分配比例,MATCH("升星次数",坦克属性分配比例标头,0),FALSE),BI176+1,BI176)</f>
        <v>18</v>
      </c>
      <c r="BJ177" s="2" t="str">
        <f t="shared" si="28"/>
        <v>潘兴</v>
      </c>
      <c r="BK177" s="29" t="str">
        <f>VLOOKUP(BJ177,坦克个性化细分!$I$3:$J$33,2,FALSE)</f>
        <v>中</v>
      </c>
      <c r="BL177" s="2">
        <f t="shared" si="26"/>
        <v>7</v>
      </c>
      <c r="BM177" s="103" t="e">
        <f ca="1">ROUND(VLOOKUP($BJ177&amp;"初始",$S$3:$AE$63,MATCH(BM$3,$S$3:$AE$3,0),FALSE)+((VLOOKUP($BJ177&amp;"最终",$S$3:$AE$63,MATCH(BM$3,$S$3:$AE$3,0),FALSE)*坦克个性化细分!$C$9-VLOOKUP($BJ177&amp;"初始",$S$3:$AE$63,MATCH(BM$3,$S$3:$AE$3,0),FALSE))-(VLOOKUP($BJ177&amp;"最终",$S$3:$AE$63,MATCH(BM$3,$S$3:$AE$3,0),FALSE)-VLOOKUP($BJ177&amp;"初始",$S$3:$AE$63,MATCH(BM$3,$S$3:$AE$3,0),FALSE))*VLOOKUP(VLOOKUP($BJ177,坦克个性化设定!$B$18:$E$48,4,FALSE)&amp;$BK177,坦克属性分配比例,MATCH("部件比例",坦克属性分配比例标头,0),FALSE))*$BL177/VLOOKUP(VLOOKUP($BJ177,坦克个性化设定!$B$18:$E$48,4,FALSE)&amp;$BK177,坦克属性分配比例,MATCH("升星次数",坦克属性分配比例标头,0),FALSE),0)</f>
        <v>#N/A</v>
      </c>
      <c r="BN177" s="103" t="e">
        <f ca="1">ROUND(VLOOKUP($BJ177&amp;"初始",$S$3:$AE$63,MATCH(BN$3,$S$3:$AE$3,0),FALSE)+(VLOOKUP($BJ177&amp;"最终",$S$3:$AE$63,MATCH(BN$3,$S$3:$AE$3,0),FALSE)-VLOOKUP($BJ177&amp;"初始",$S$3:$AE$63,MATCH(BN$3,$S$3:$AE$3,0),FALSE))*$BL177/VLOOKUP(VLOOKUP($BJ177,坦克个性化设定!$B$18:$E$48,4,FALSE)&amp;$BK177,坦克属性分配比例,MATCH("升星次数",坦克属性分配比例标头,0),FALSE)*VLOOKUP(VLOOKUP($BJ177,坦克个性化设定!$B$18:$E$48,4,FALSE)&amp;$BK177,坦克属性分配比例,MATCH("升星比例",坦克属性分配比例标头,0),FALSE),0)</f>
        <v>#N/A</v>
      </c>
      <c r="BO177" s="103" t="e">
        <f ca="1">ROUND(VLOOKUP($BJ177&amp;"初始",$S$3:$AE$63,MATCH(BO$3,$S$3:$AE$3,0),FALSE)+(VLOOKUP($BJ177&amp;"最终",$S$3:$AE$63,MATCH(BO$3,$S$3:$AE$3,0),FALSE)-VLOOKUP($BJ177&amp;"初始",$S$3:$AE$63,MATCH(BO$3,$S$3:$AE$3,0),FALSE))*$BL177/VLOOKUP(VLOOKUP($BJ177,坦克个性化设定!$B$18:$E$48,4,FALSE)&amp;$BK177,坦克属性分配比例,MATCH("升星次数",坦克属性分配比例标头,0),FALSE)*(VLOOKUP(VLOOKUP($BJ177,坦克个性化设定!$B$18:$E$48,4,FALSE)&amp;$BK177,坦克属性分配比例,MATCH("升星比例",坦克属性分配比例标头,0),FALSE)+VLOOKUP(VLOOKUP($BJ177,坦克个性化设定!$B$18:$E$48,4,FALSE)&amp;$BK177,坦克属性分配比例,MATCH("部件比例",坦克属性分配比例标头,0),FALSE)*$C$3),0)</f>
        <v>#N/A</v>
      </c>
      <c r="BP177" s="103" t="e">
        <f ca="1">ROUND(VLOOKUP($BJ177&amp;"初始",$S$3:$AE$63,MATCH(BP$3,$S$3:$AE$3,0),FALSE)+(VLOOKUP($BJ177&amp;"最终",$S$3:$AE$63,MATCH(BP$3,$S$3:$AE$3,0),FALSE)-VLOOKUP($BJ177&amp;"初始",$S$3:$AE$63,MATCH(BP$3,$S$3:$AE$3,0),FALSE))*$BL177/VLOOKUP(VLOOKUP($BJ177,坦克个性化设定!$B$18:$E$48,4,FALSE)&amp;$BK177,坦克属性分配比例,MATCH("升星次数",坦克属性分配比例标头,0),FALSE)*(VLOOKUP(VLOOKUP($BJ177,坦克个性化设定!$B$18:$E$48,4,FALSE)&amp;$BK177,坦克属性分配比例,MATCH("升星比例",坦克属性分配比例标头,0),FALSE)+VLOOKUP(VLOOKUP($BJ177,坦克个性化设定!$B$18:$E$48,4,FALSE)&amp;$BK177,坦克属性分配比例,MATCH("部件比例",坦克属性分配比例标头,0),FALSE)*$C$3),0)</f>
        <v>#N/A</v>
      </c>
      <c r="BQ177" s="103" t="e">
        <f ca="1">ROUND(VLOOKUP($BJ177&amp;"初始",$S$3:$AE$63,MATCH(BQ$3,$S$3:$AE$3,0),FALSE)+(VLOOKUP($BJ177&amp;"最终",$S$3:$AE$63,MATCH(BQ$3,$S$3:$AE$3,0),FALSE)-VLOOKUP($BJ177&amp;"初始",$S$3:$AE$63,MATCH(BQ$3,$S$3:$AE$3,0),FALSE))*$BL177/VLOOKUP(VLOOKUP($BJ177,坦克个性化设定!$B$18:$E$48,4,FALSE)&amp;$BK177,坦克属性分配比例,MATCH("升星次数",坦克属性分配比例标头,0),FALSE)*VLOOKUP(VLOOKUP($BJ177,坦克个性化设定!$B$18:$E$48,4,FALSE)&amp;$BK177,坦克属性分配比例,MATCH("升星比例",坦克属性分配比例标头,0),FALSE),0)</f>
        <v>#N/A</v>
      </c>
      <c r="BR177" s="2" t="e">
        <f ca="1">ROUND(VLOOKUP($BJ177&amp;"初始",$S$3:$AE$63,MATCH(BR$3,$S$3:$AE$3,0),FALSE)+(VLOOKUP($BJ177&amp;"最终",$S$3:$AE$63,MATCH(BR$3,$S$3:$AE$3,0),FALSE)-VLOOKUP($BJ177&amp;"初始",$S$3:$AE$63,MATCH(BR$3,$S$3:$AE$3,0),FALSE))*$BL177/VLOOKUP(VLOOKUP($BJ177,坦克个性化设定!$B$18:$E$48,4,FALSE)&amp;$BK177,坦克属性分配比例,MATCH("升星次数",坦克属性分配比例标头,0),FALSE),0)</f>
        <v>#N/A</v>
      </c>
      <c r="BS177" s="2">
        <f>ROUND(VLOOKUP($BJ177,$AI$3:$AO$33,MATCH(BS$3,$AI$3:$AO$3,0),FALSE)+$BL177/VLOOKUP(VLOOKUP($BJ177,坦克个性化设定!$B$18:$E$48,4,FALSE)&amp;$BK177,坦克属性分配比例,MATCH("升星次数",坦克属性分配比例标头,0),FALSE)*VLOOKUP($BJ177,$AR$3:$AY$33,MATCH(BS$3,$AR$3:$AY$3,0),FALSE),1)</f>
        <v>42.1</v>
      </c>
      <c r="BT177" s="2">
        <f>ROUND(VLOOKUP($BJ177,$AI$3:$AO$33,MATCH(BT$3,$AI$3:$AO$3,0),FALSE)+$BL177/VLOOKUP(VLOOKUP($BJ177,坦克个性化设定!$B$18:$E$48,4,FALSE)&amp;$BK177,坦克属性分配比例,MATCH("升星次数",坦克属性分配比例标头,0),FALSE)*VLOOKUP($BJ177,$AR$3:$AY$33,MATCH(BT$3,$AR$3:$AY$3,0),FALSE),1)</f>
        <v>59.1</v>
      </c>
      <c r="BU177" s="2">
        <f>ROUND(VLOOKUP($BJ177,$AI$3:$AO$33,MATCH(BU$3,$AI$3:$AO$3,0),FALSE)+$BL177/VLOOKUP(VLOOKUP($BJ177,坦克个性化设定!$B$18:$E$48,4,FALSE)&amp;$BK177,坦克属性分配比例,MATCH("升星次数",坦克属性分配比例标头,0),FALSE)*VLOOKUP($BJ177,$AR$3:$AY$33,MATCH(BU$3,$AR$3:$AY$3,0),FALSE),1)</f>
        <v>7.3</v>
      </c>
      <c r="BV177" s="2">
        <f>IF(VLOOKUP(BJ177,坦克个性化设定!$B$18:$BC$48,MATCH("装弹类型",坦克个性化设定!$B$18:$BC$18,0),FALSE)="弹夹换弹",0,ROUND(VLOOKUP($BJ177,$AI$3:$AO$33,MATCH("换弹时间",$AI$3:$AO$3,0),FALSE)-$BL177/VLOOKUP(VLOOKUP($BJ177,坦克个性化设定!$B$18:$E$48,4,FALSE)&amp;$BK177,坦克属性分配比例,MATCH("升星次数",坦克属性分配比例标头,0),FALSE)*VLOOKUP($BJ177,$AR$3:$AY$33,MATCH("换弹时间",$AR$3:$AY$3,0),FALSE),2))</f>
        <v>3.16</v>
      </c>
      <c r="BW177" s="2">
        <f>IF(VLOOKUP(BJ177,坦克个性化设定!$B$18:$BC$48,MATCH("装弹类型",坦克个性化设定!$B$18:$BC$18,0),FALSE)="弹夹换弹",ROUND(VLOOKUP($BJ177,$AI$3:$AO$33,MATCH("换弹时间",$AI$3:$AO$3,0),FALSE)-$BL177/VLOOKUP(VLOOKUP($BJ177,坦克个性化设定!$B$18:$E$48,4,FALSE)&amp;$BK177,坦克属性分配比例,MATCH("升星次数",坦克属性分配比例标头,0),FALSE)*VLOOKUP($BJ177,$AR$3:$AY$33,MATCH("换弹时间",$AR$3:$AY$3,0),FALSE),1),0)</f>
        <v>0</v>
      </c>
      <c r="BX177" s="2">
        <f>ROUND(VLOOKUP($BJ177,$AI$3:$AO$33,MATCH(BX$3,$AI$3:$AO$3,0),FALSE)+$BL177/VLOOKUP(VLOOKUP($BJ177,坦克个性化设定!$B$18:$E$48,4,FALSE)&amp;$BK177,坦克属性分配比例,MATCH("升星次数",坦克属性分配比例标头,0),FALSE)*VLOOKUP($BJ177,$AR$3:$AY$33,MATCH(BX$3,$AR$3:$AY$3,0),FALSE),2)</f>
        <v>0.4</v>
      </c>
      <c r="BY177" s="2">
        <f>ROUND(VLOOKUP($BJ177,$AI$3:$AO$33,MATCH(BY$3,$AI$3:$AO$3,0),FALSE)-$BL177/VLOOKUP(VLOOKUP($BJ177,坦克个性化设定!$B$18:$E$48,4,FALSE)&amp;$BK177,坦克属性分配比例,MATCH("升星次数",坦克属性分配比例标头,0),FALSE)*VLOOKUP($BJ177,$AR$3:$AY$33,MATCH(BY$3,$AR$3:$AY$3,0),FALSE),2)</f>
        <v>0.89</v>
      </c>
    </row>
    <row r="178" spans="60:77" x14ac:dyDescent="0.3">
      <c r="BH178" s="2" t="str">
        <f t="shared" si="27"/>
        <v>潘兴8</v>
      </c>
      <c r="BI178" s="2">
        <f>IF(BL177&gt;=VLOOKUP(VLOOKUP(BJ177,坦克个性化设定!$B$18:$E$48,4,FALSE)&amp;BK177,坦克属性分配比例,MATCH("升星次数",坦克属性分配比例标头,0),FALSE),BI177+1,BI177)</f>
        <v>18</v>
      </c>
      <c r="BJ178" s="2" t="str">
        <f t="shared" si="28"/>
        <v>潘兴</v>
      </c>
      <c r="BK178" s="29" t="str">
        <f>VLOOKUP(BJ178,坦克个性化细分!$I$3:$J$33,2,FALSE)</f>
        <v>中</v>
      </c>
      <c r="BL178" s="2">
        <f t="shared" si="26"/>
        <v>8</v>
      </c>
      <c r="BM178" s="103" t="e">
        <f ca="1">ROUND(VLOOKUP($BJ178&amp;"初始",$S$3:$AE$63,MATCH(BM$3,$S$3:$AE$3,0),FALSE)+((VLOOKUP($BJ178&amp;"最终",$S$3:$AE$63,MATCH(BM$3,$S$3:$AE$3,0),FALSE)*坦克个性化细分!$C$9-VLOOKUP($BJ178&amp;"初始",$S$3:$AE$63,MATCH(BM$3,$S$3:$AE$3,0),FALSE))-(VLOOKUP($BJ178&amp;"最终",$S$3:$AE$63,MATCH(BM$3,$S$3:$AE$3,0),FALSE)-VLOOKUP($BJ178&amp;"初始",$S$3:$AE$63,MATCH(BM$3,$S$3:$AE$3,0),FALSE))*VLOOKUP(VLOOKUP($BJ178,坦克个性化设定!$B$18:$E$48,4,FALSE)&amp;$BK178,坦克属性分配比例,MATCH("部件比例",坦克属性分配比例标头,0),FALSE))*$BL178/VLOOKUP(VLOOKUP($BJ178,坦克个性化设定!$B$18:$E$48,4,FALSE)&amp;$BK178,坦克属性分配比例,MATCH("升星次数",坦克属性分配比例标头,0),FALSE),0)</f>
        <v>#N/A</v>
      </c>
      <c r="BN178" s="103" t="e">
        <f ca="1">ROUND(VLOOKUP($BJ178&amp;"初始",$S$3:$AE$63,MATCH(BN$3,$S$3:$AE$3,0),FALSE)+(VLOOKUP($BJ178&amp;"最终",$S$3:$AE$63,MATCH(BN$3,$S$3:$AE$3,0),FALSE)-VLOOKUP($BJ178&amp;"初始",$S$3:$AE$63,MATCH(BN$3,$S$3:$AE$3,0),FALSE))*$BL178/VLOOKUP(VLOOKUP($BJ178,坦克个性化设定!$B$18:$E$48,4,FALSE)&amp;$BK178,坦克属性分配比例,MATCH("升星次数",坦克属性分配比例标头,0),FALSE)*VLOOKUP(VLOOKUP($BJ178,坦克个性化设定!$B$18:$E$48,4,FALSE)&amp;$BK178,坦克属性分配比例,MATCH("升星比例",坦克属性分配比例标头,0),FALSE),0)</f>
        <v>#N/A</v>
      </c>
      <c r="BO178" s="103" t="e">
        <f ca="1">ROUND(VLOOKUP($BJ178&amp;"初始",$S$3:$AE$63,MATCH(BO$3,$S$3:$AE$3,0),FALSE)+(VLOOKUP($BJ178&amp;"最终",$S$3:$AE$63,MATCH(BO$3,$S$3:$AE$3,0),FALSE)-VLOOKUP($BJ178&amp;"初始",$S$3:$AE$63,MATCH(BO$3,$S$3:$AE$3,0),FALSE))*$BL178/VLOOKUP(VLOOKUP($BJ178,坦克个性化设定!$B$18:$E$48,4,FALSE)&amp;$BK178,坦克属性分配比例,MATCH("升星次数",坦克属性分配比例标头,0),FALSE)*(VLOOKUP(VLOOKUP($BJ178,坦克个性化设定!$B$18:$E$48,4,FALSE)&amp;$BK178,坦克属性分配比例,MATCH("升星比例",坦克属性分配比例标头,0),FALSE)+VLOOKUP(VLOOKUP($BJ178,坦克个性化设定!$B$18:$E$48,4,FALSE)&amp;$BK178,坦克属性分配比例,MATCH("部件比例",坦克属性分配比例标头,0),FALSE)*$C$3),0)</f>
        <v>#N/A</v>
      </c>
      <c r="BP178" s="103" t="e">
        <f ca="1">ROUND(VLOOKUP($BJ178&amp;"初始",$S$3:$AE$63,MATCH(BP$3,$S$3:$AE$3,0),FALSE)+(VLOOKUP($BJ178&amp;"最终",$S$3:$AE$63,MATCH(BP$3,$S$3:$AE$3,0),FALSE)-VLOOKUP($BJ178&amp;"初始",$S$3:$AE$63,MATCH(BP$3,$S$3:$AE$3,0),FALSE))*$BL178/VLOOKUP(VLOOKUP($BJ178,坦克个性化设定!$B$18:$E$48,4,FALSE)&amp;$BK178,坦克属性分配比例,MATCH("升星次数",坦克属性分配比例标头,0),FALSE)*(VLOOKUP(VLOOKUP($BJ178,坦克个性化设定!$B$18:$E$48,4,FALSE)&amp;$BK178,坦克属性分配比例,MATCH("升星比例",坦克属性分配比例标头,0),FALSE)+VLOOKUP(VLOOKUP($BJ178,坦克个性化设定!$B$18:$E$48,4,FALSE)&amp;$BK178,坦克属性分配比例,MATCH("部件比例",坦克属性分配比例标头,0),FALSE)*$C$3),0)</f>
        <v>#N/A</v>
      </c>
      <c r="BQ178" s="103" t="e">
        <f ca="1">ROUND(VLOOKUP($BJ178&amp;"初始",$S$3:$AE$63,MATCH(BQ$3,$S$3:$AE$3,0),FALSE)+(VLOOKUP($BJ178&amp;"最终",$S$3:$AE$63,MATCH(BQ$3,$S$3:$AE$3,0),FALSE)-VLOOKUP($BJ178&amp;"初始",$S$3:$AE$63,MATCH(BQ$3,$S$3:$AE$3,0),FALSE))*$BL178/VLOOKUP(VLOOKUP($BJ178,坦克个性化设定!$B$18:$E$48,4,FALSE)&amp;$BK178,坦克属性分配比例,MATCH("升星次数",坦克属性分配比例标头,0),FALSE)*VLOOKUP(VLOOKUP($BJ178,坦克个性化设定!$B$18:$E$48,4,FALSE)&amp;$BK178,坦克属性分配比例,MATCH("升星比例",坦克属性分配比例标头,0),FALSE),0)</f>
        <v>#N/A</v>
      </c>
      <c r="BR178" s="2" t="e">
        <f ca="1">ROUND(VLOOKUP($BJ178&amp;"初始",$S$3:$AE$63,MATCH(BR$3,$S$3:$AE$3,0),FALSE)+(VLOOKUP($BJ178&amp;"最终",$S$3:$AE$63,MATCH(BR$3,$S$3:$AE$3,0),FALSE)-VLOOKUP($BJ178&amp;"初始",$S$3:$AE$63,MATCH(BR$3,$S$3:$AE$3,0),FALSE))*$BL178/VLOOKUP(VLOOKUP($BJ178,坦克个性化设定!$B$18:$E$48,4,FALSE)&amp;$BK178,坦克属性分配比例,MATCH("升星次数",坦克属性分配比例标头,0),FALSE),0)</f>
        <v>#N/A</v>
      </c>
      <c r="BS178" s="2">
        <f>ROUND(VLOOKUP($BJ178,$AI$3:$AO$33,MATCH(BS$3,$AI$3:$AO$3,0),FALSE)+$BL178/VLOOKUP(VLOOKUP($BJ178,坦克个性化设定!$B$18:$E$48,4,FALSE)&amp;$BK178,坦克属性分配比例,MATCH("升星次数",坦克属性分配比例标头,0),FALSE)*VLOOKUP($BJ178,$AR$3:$AY$33,MATCH(BS$3,$AR$3:$AY$3,0),FALSE),1)</f>
        <v>42.9</v>
      </c>
      <c r="BT178" s="2">
        <f>ROUND(VLOOKUP($BJ178,$AI$3:$AO$33,MATCH(BT$3,$AI$3:$AO$3,0),FALSE)+$BL178/VLOOKUP(VLOOKUP($BJ178,坦克个性化设定!$B$18:$E$48,4,FALSE)&amp;$BK178,坦克属性分配比例,MATCH("升星次数",坦克属性分配比例标头,0),FALSE)*VLOOKUP($BJ178,$AR$3:$AY$33,MATCH(BT$3,$AR$3:$AY$3,0),FALSE),1)</f>
        <v>60.3</v>
      </c>
      <c r="BU178" s="2">
        <f>ROUND(VLOOKUP($BJ178,$AI$3:$AO$33,MATCH(BU$3,$AI$3:$AO$3,0),FALSE)+$BL178/VLOOKUP(VLOOKUP($BJ178,坦克个性化设定!$B$18:$E$48,4,FALSE)&amp;$BK178,坦克属性分配比例,MATCH("升星次数",坦克属性分配比例标头,0),FALSE)*VLOOKUP($BJ178,$AR$3:$AY$33,MATCH(BU$3,$AR$3:$AY$3,0),FALSE),1)</f>
        <v>7.3</v>
      </c>
      <c r="BV178" s="2">
        <f>IF(VLOOKUP(BJ178,坦克个性化设定!$B$18:$BC$48,MATCH("装弹类型",坦克个性化设定!$B$18:$BC$18,0),FALSE)="弹夹换弹",0,ROUND(VLOOKUP($BJ178,$AI$3:$AO$33,MATCH("换弹时间",$AI$3:$AO$3,0),FALSE)-$BL178/VLOOKUP(VLOOKUP($BJ178,坦克个性化设定!$B$18:$E$48,4,FALSE)&amp;$BK178,坦克属性分配比例,MATCH("升星次数",坦克属性分配比例标头,0),FALSE)*VLOOKUP($BJ178,$AR$3:$AY$33,MATCH("换弹时间",$AR$3:$AY$3,0),FALSE),2))</f>
        <v>3.09</v>
      </c>
      <c r="BW178" s="2">
        <f>IF(VLOOKUP(BJ178,坦克个性化设定!$B$18:$BC$48,MATCH("装弹类型",坦克个性化设定!$B$18:$BC$18,0),FALSE)="弹夹换弹",ROUND(VLOOKUP($BJ178,$AI$3:$AO$33,MATCH("换弹时间",$AI$3:$AO$3,0),FALSE)-$BL178/VLOOKUP(VLOOKUP($BJ178,坦克个性化设定!$B$18:$E$48,4,FALSE)&amp;$BK178,坦克属性分配比例,MATCH("升星次数",坦克属性分配比例标头,0),FALSE)*VLOOKUP($BJ178,$AR$3:$AY$33,MATCH("换弹时间",$AR$3:$AY$3,0),FALSE),1),0)</f>
        <v>0</v>
      </c>
      <c r="BX178" s="2">
        <f>ROUND(VLOOKUP($BJ178,$AI$3:$AO$33,MATCH(BX$3,$AI$3:$AO$3,0),FALSE)+$BL178/VLOOKUP(VLOOKUP($BJ178,坦克个性化设定!$B$18:$E$48,4,FALSE)&amp;$BK178,坦克属性分配比例,MATCH("升星次数",坦克属性分配比例标头,0),FALSE)*VLOOKUP($BJ178,$AR$3:$AY$33,MATCH(BX$3,$AR$3:$AY$3,0),FALSE),2)</f>
        <v>0.4</v>
      </c>
      <c r="BY178" s="2">
        <f>ROUND(VLOOKUP($BJ178,$AI$3:$AO$33,MATCH(BY$3,$AI$3:$AO$3,0),FALSE)-$BL178/VLOOKUP(VLOOKUP($BJ178,坦克个性化设定!$B$18:$E$48,4,FALSE)&amp;$BK178,坦克属性分配比例,MATCH("升星次数",坦克属性分配比例标头,0),FALSE)*VLOOKUP($BJ178,$AR$3:$AY$33,MATCH(BY$3,$AR$3:$AY$3,0),FALSE),2)</f>
        <v>0.88</v>
      </c>
    </row>
    <row r="179" spans="60:77" x14ac:dyDescent="0.3">
      <c r="BH179" s="2" t="str">
        <f t="shared" si="27"/>
        <v>潘兴9</v>
      </c>
      <c r="BI179" s="2">
        <f>IF(BL178&gt;=VLOOKUP(VLOOKUP(BJ178,坦克个性化设定!$B$18:$E$48,4,FALSE)&amp;BK178,坦克属性分配比例,MATCH("升星次数",坦克属性分配比例标头,0),FALSE),BI178+1,BI178)</f>
        <v>18</v>
      </c>
      <c r="BJ179" s="2" t="str">
        <f t="shared" si="28"/>
        <v>潘兴</v>
      </c>
      <c r="BK179" s="29" t="str">
        <f>VLOOKUP(BJ179,坦克个性化细分!$I$3:$J$33,2,FALSE)</f>
        <v>中</v>
      </c>
      <c r="BL179" s="2">
        <f t="shared" si="26"/>
        <v>9</v>
      </c>
      <c r="BM179" s="103" t="e">
        <f ca="1">ROUND(VLOOKUP($BJ179&amp;"初始",$S$3:$AE$63,MATCH(BM$3,$S$3:$AE$3,0),FALSE)+((VLOOKUP($BJ179&amp;"最终",$S$3:$AE$63,MATCH(BM$3,$S$3:$AE$3,0),FALSE)*坦克个性化细分!$C$9-VLOOKUP($BJ179&amp;"初始",$S$3:$AE$63,MATCH(BM$3,$S$3:$AE$3,0),FALSE))-(VLOOKUP($BJ179&amp;"最终",$S$3:$AE$63,MATCH(BM$3,$S$3:$AE$3,0),FALSE)-VLOOKUP($BJ179&amp;"初始",$S$3:$AE$63,MATCH(BM$3,$S$3:$AE$3,0),FALSE))*VLOOKUP(VLOOKUP($BJ179,坦克个性化设定!$B$18:$E$48,4,FALSE)&amp;$BK179,坦克属性分配比例,MATCH("部件比例",坦克属性分配比例标头,0),FALSE))*$BL179/VLOOKUP(VLOOKUP($BJ179,坦克个性化设定!$B$18:$E$48,4,FALSE)&amp;$BK179,坦克属性分配比例,MATCH("升星次数",坦克属性分配比例标头,0),FALSE),0)</f>
        <v>#N/A</v>
      </c>
      <c r="BN179" s="103" t="e">
        <f ca="1">ROUND(VLOOKUP($BJ179&amp;"初始",$S$3:$AE$63,MATCH(BN$3,$S$3:$AE$3,0),FALSE)+(VLOOKUP($BJ179&amp;"最终",$S$3:$AE$63,MATCH(BN$3,$S$3:$AE$3,0),FALSE)-VLOOKUP($BJ179&amp;"初始",$S$3:$AE$63,MATCH(BN$3,$S$3:$AE$3,0),FALSE))*$BL179/VLOOKUP(VLOOKUP($BJ179,坦克个性化设定!$B$18:$E$48,4,FALSE)&amp;$BK179,坦克属性分配比例,MATCH("升星次数",坦克属性分配比例标头,0),FALSE)*VLOOKUP(VLOOKUP($BJ179,坦克个性化设定!$B$18:$E$48,4,FALSE)&amp;$BK179,坦克属性分配比例,MATCH("升星比例",坦克属性分配比例标头,0),FALSE),0)</f>
        <v>#N/A</v>
      </c>
      <c r="BO179" s="103" t="e">
        <f ca="1">ROUND(VLOOKUP($BJ179&amp;"初始",$S$3:$AE$63,MATCH(BO$3,$S$3:$AE$3,0),FALSE)+(VLOOKUP($BJ179&amp;"最终",$S$3:$AE$63,MATCH(BO$3,$S$3:$AE$3,0),FALSE)-VLOOKUP($BJ179&amp;"初始",$S$3:$AE$63,MATCH(BO$3,$S$3:$AE$3,0),FALSE))*$BL179/VLOOKUP(VLOOKUP($BJ179,坦克个性化设定!$B$18:$E$48,4,FALSE)&amp;$BK179,坦克属性分配比例,MATCH("升星次数",坦克属性分配比例标头,0),FALSE)*(VLOOKUP(VLOOKUP($BJ179,坦克个性化设定!$B$18:$E$48,4,FALSE)&amp;$BK179,坦克属性分配比例,MATCH("升星比例",坦克属性分配比例标头,0),FALSE)+VLOOKUP(VLOOKUP($BJ179,坦克个性化设定!$B$18:$E$48,4,FALSE)&amp;$BK179,坦克属性分配比例,MATCH("部件比例",坦克属性分配比例标头,0),FALSE)*$C$3),0)</f>
        <v>#N/A</v>
      </c>
      <c r="BP179" s="103" t="e">
        <f ca="1">ROUND(VLOOKUP($BJ179&amp;"初始",$S$3:$AE$63,MATCH(BP$3,$S$3:$AE$3,0),FALSE)+(VLOOKUP($BJ179&amp;"最终",$S$3:$AE$63,MATCH(BP$3,$S$3:$AE$3,0),FALSE)-VLOOKUP($BJ179&amp;"初始",$S$3:$AE$63,MATCH(BP$3,$S$3:$AE$3,0),FALSE))*$BL179/VLOOKUP(VLOOKUP($BJ179,坦克个性化设定!$B$18:$E$48,4,FALSE)&amp;$BK179,坦克属性分配比例,MATCH("升星次数",坦克属性分配比例标头,0),FALSE)*(VLOOKUP(VLOOKUP($BJ179,坦克个性化设定!$B$18:$E$48,4,FALSE)&amp;$BK179,坦克属性分配比例,MATCH("升星比例",坦克属性分配比例标头,0),FALSE)+VLOOKUP(VLOOKUP($BJ179,坦克个性化设定!$B$18:$E$48,4,FALSE)&amp;$BK179,坦克属性分配比例,MATCH("部件比例",坦克属性分配比例标头,0),FALSE)*$C$3),0)</f>
        <v>#N/A</v>
      </c>
      <c r="BQ179" s="103" t="e">
        <f ca="1">ROUND(VLOOKUP($BJ179&amp;"初始",$S$3:$AE$63,MATCH(BQ$3,$S$3:$AE$3,0),FALSE)+(VLOOKUP($BJ179&amp;"最终",$S$3:$AE$63,MATCH(BQ$3,$S$3:$AE$3,0),FALSE)-VLOOKUP($BJ179&amp;"初始",$S$3:$AE$63,MATCH(BQ$3,$S$3:$AE$3,0),FALSE))*$BL179/VLOOKUP(VLOOKUP($BJ179,坦克个性化设定!$B$18:$E$48,4,FALSE)&amp;$BK179,坦克属性分配比例,MATCH("升星次数",坦克属性分配比例标头,0),FALSE)*VLOOKUP(VLOOKUP($BJ179,坦克个性化设定!$B$18:$E$48,4,FALSE)&amp;$BK179,坦克属性分配比例,MATCH("升星比例",坦克属性分配比例标头,0),FALSE),0)</f>
        <v>#N/A</v>
      </c>
      <c r="BR179" s="2" t="e">
        <f ca="1">ROUND(VLOOKUP($BJ179&amp;"初始",$S$3:$AE$63,MATCH(BR$3,$S$3:$AE$3,0),FALSE)+(VLOOKUP($BJ179&amp;"最终",$S$3:$AE$63,MATCH(BR$3,$S$3:$AE$3,0),FALSE)-VLOOKUP($BJ179&amp;"初始",$S$3:$AE$63,MATCH(BR$3,$S$3:$AE$3,0),FALSE))*$BL179/VLOOKUP(VLOOKUP($BJ179,坦克个性化设定!$B$18:$E$48,4,FALSE)&amp;$BK179,坦克属性分配比例,MATCH("升星次数",坦克属性分配比例标头,0),FALSE),0)</f>
        <v>#N/A</v>
      </c>
      <c r="BS179" s="2">
        <f>ROUND(VLOOKUP($BJ179,$AI$3:$AO$33,MATCH(BS$3,$AI$3:$AO$3,0),FALSE)+$BL179/VLOOKUP(VLOOKUP($BJ179,坦克个性化设定!$B$18:$E$48,4,FALSE)&amp;$BK179,坦克属性分配比例,MATCH("升星次数",坦克属性分配比例标头,0),FALSE)*VLOOKUP($BJ179,$AR$3:$AY$33,MATCH(BS$3,$AR$3:$AY$3,0),FALSE),1)</f>
        <v>43.7</v>
      </c>
      <c r="BT179" s="2">
        <f>ROUND(VLOOKUP($BJ179,$AI$3:$AO$33,MATCH(BT$3,$AI$3:$AO$3,0),FALSE)+$BL179/VLOOKUP(VLOOKUP($BJ179,坦克个性化设定!$B$18:$E$48,4,FALSE)&amp;$BK179,坦克属性分配比例,MATCH("升星次数",坦克属性分配比例标头,0),FALSE)*VLOOKUP($BJ179,$AR$3:$AY$33,MATCH(BT$3,$AR$3:$AY$3,0),FALSE),1)</f>
        <v>61.4</v>
      </c>
      <c r="BU179" s="2">
        <f>ROUND(VLOOKUP($BJ179,$AI$3:$AO$33,MATCH(BU$3,$AI$3:$AO$3,0),FALSE)+$BL179/VLOOKUP(VLOOKUP($BJ179,坦克个性化设定!$B$18:$E$48,4,FALSE)&amp;$BK179,坦克属性分配比例,MATCH("升星次数",坦克属性分配比例标头,0),FALSE)*VLOOKUP($BJ179,$AR$3:$AY$33,MATCH(BU$3,$AR$3:$AY$3,0),FALSE),1)</f>
        <v>7.3</v>
      </c>
      <c r="BV179" s="2">
        <f>IF(VLOOKUP(BJ179,坦克个性化设定!$B$18:$BC$48,MATCH("装弹类型",坦克个性化设定!$B$18:$BC$18,0),FALSE)="弹夹换弹",0,ROUND(VLOOKUP($BJ179,$AI$3:$AO$33,MATCH("换弹时间",$AI$3:$AO$3,0),FALSE)-$BL179/VLOOKUP(VLOOKUP($BJ179,坦克个性化设定!$B$18:$E$48,4,FALSE)&amp;$BK179,坦克属性分配比例,MATCH("升星次数",坦克属性分配比例标头,0),FALSE)*VLOOKUP($BJ179,$AR$3:$AY$33,MATCH("换弹时间",$AR$3:$AY$3,0),FALSE),2))</f>
        <v>3.03</v>
      </c>
      <c r="BW179" s="2">
        <f>IF(VLOOKUP(BJ179,坦克个性化设定!$B$18:$BC$48,MATCH("装弹类型",坦克个性化设定!$B$18:$BC$18,0),FALSE)="弹夹换弹",ROUND(VLOOKUP($BJ179,$AI$3:$AO$33,MATCH("换弹时间",$AI$3:$AO$3,0),FALSE)-$BL179/VLOOKUP(VLOOKUP($BJ179,坦克个性化设定!$B$18:$E$48,4,FALSE)&amp;$BK179,坦克属性分配比例,MATCH("升星次数",坦克属性分配比例标头,0),FALSE)*VLOOKUP($BJ179,$AR$3:$AY$33,MATCH("换弹时间",$AR$3:$AY$3,0),FALSE),1),0)</f>
        <v>0</v>
      </c>
      <c r="BX179" s="2">
        <f>ROUND(VLOOKUP($BJ179,$AI$3:$AO$33,MATCH(BX$3,$AI$3:$AO$3,0),FALSE)+$BL179/VLOOKUP(VLOOKUP($BJ179,坦克个性化设定!$B$18:$E$48,4,FALSE)&amp;$BK179,坦克属性分配比例,MATCH("升星次数",坦克属性分配比例标头,0),FALSE)*VLOOKUP($BJ179,$AR$3:$AY$33,MATCH(BX$3,$AR$3:$AY$3,0),FALSE),2)</f>
        <v>0.4</v>
      </c>
      <c r="BY179" s="2">
        <f>ROUND(VLOOKUP($BJ179,$AI$3:$AO$33,MATCH(BY$3,$AI$3:$AO$3,0),FALSE)-$BL179/VLOOKUP(VLOOKUP($BJ179,坦克个性化设定!$B$18:$E$48,4,FALSE)&amp;$BK179,坦克属性分配比例,MATCH("升星次数",坦克属性分配比例标头,0),FALSE)*VLOOKUP($BJ179,$AR$3:$AY$33,MATCH(BY$3,$AR$3:$AY$3,0),FALSE),2)</f>
        <v>0.86</v>
      </c>
    </row>
    <row r="180" spans="60:77" x14ac:dyDescent="0.3">
      <c r="BH180" s="2" t="str">
        <f t="shared" si="27"/>
        <v>潘兴10</v>
      </c>
      <c r="BI180" s="2">
        <f>IF(BL179&gt;=VLOOKUP(VLOOKUP(BJ179,坦克个性化设定!$B$18:$E$48,4,FALSE)&amp;BK179,坦克属性分配比例,MATCH("升星次数",坦克属性分配比例标头,0),FALSE),BI179+1,BI179)</f>
        <v>18</v>
      </c>
      <c r="BJ180" s="2" t="str">
        <f t="shared" si="28"/>
        <v>潘兴</v>
      </c>
      <c r="BK180" s="29" t="str">
        <f>VLOOKUP(BJ180,坦克个性化细分!$I$3:$J$33,2,FALSE)</f>
        <v>中</v>
      </c>
      <c r="BL180" s="2">
        <f t="shared" si="26"/>
        <v>10</v>
      </c>
      <c r="BM180" s="103" t="e">
        <f ca="1">ROUND(VLOOKUP($BJ180&amp;"初始",$S$3:$AE$63,MATCH(BM$3,$S$3:$AE$3,0),FALSE)+((VLOOKUP($BJ180&amp;"最终",$S$3:$AE$63,MATCH(BM$3,$S$3:$AE$3,0),FALSE)*坦克个性化细分!$C$9-VLOOKUP($BJ180&amp;"初始",$S$3:$AE$63,MATCH(BM$3,$S$3:$AE$3,0),FALSE))-(VLOOKUP($BJ180&amp;"最终",$S$3:$AE$63,MATCH(BM$3,$S$3:$AE$3,0),FALSE)-VLOOKUP($BJ180&amp;"初始",$S$3:$AE$63,MATCH(BM$3,$S$3:$AE$3,0),FALSE))*VLOOKUP(VLOOKUP($BJ180,坦克个性化设定!$B$18:$E$48,4,FALSE)&amp;$BK180,坦克属性分配比例,MATCH("部件比例",坦克属性分配比例标头,0),FALSE))*$BL180/VLOOKUP(VLOOKUP($BJ180,坦克个性化设定!$B$18:$E$48,4,FALSE)&amp;$BK180,坦克属性分配比例,MATCH("升星次数",坦克属性分配比例标头,0),FALSE),0)</f>
        <v>#N/A</v>
      </c>
      <c r="BN180" s="103" t="e">
        <f ca="1">ROUND(VLOOKUP($BJ180&amp;"初始",$S$3:$AE$63,MATCH(BN$3,$S$3:$AE$3,0),FALSE)+(VLOOKUP($BJ180&amp;"最终",$S$3:$AE$63,MATCH(BN$3,$S$3:$AE$3,0),FALSE)-VLOOKUP($BJ180&amp;"初始",$S$3:$AE$63,MATCH(BN$3,$S$3:$AE$3,0),FALSE))*$BL180/VLOOKUP(VLOOKUP($BJ180,坦克个性化设定!$B$18:$E$48,4,FALSE)&amp;$BK180,坦克属性分配比例,MATCH("升星次数",坦克属性分配比例标头,0),FALSE)*VLOOKUP(VLOOKUP($BJ180,坦克个性化设定!$B$18:$E$48,4,FALSE)&amp;$BK180,坦克属性分配比例,MATCH("升星比例",坦克属性分配比例标头,0),FALSE),0)</f>
        <v>#N/A</v>
      </c>
      <c r="BO180" s="103" t="e">
        <f ca="1">ROUND(VLOOKUP($BJ180&amp;"初始",$S$3:$AE$63,MATCH(BO$3,$S$3:$AE$3,0),FALSE)+(VLOOKUP($BJ180&amp;"最终",$S$3:$AE$63,MATCH(BO$3,$S$3:$AE$3,0),FALSE)-VLOOKUP($BJ180&amp;"初始",$S$3:$AE$63,MATCH(BO$3,$S$3:$AE$3,0),FALSE))*$BL180/VLOOKUP(VLOOKUP($BJ180,坦克个性化设定!$B$18:$E$48,4,FALSE)&amp;$BK180,坦克属性分配比例,MATCH("升星次数",坦克属性分配比例标头,0),FALSE)*(VLOOKUP(VLOOKUP($BJ180,坦克个性化设定!$B$18:$E$48,4,FALSE)&amp;$BK180,坦克属性分配比例,MATCH("升星比例",坦克属性分配比例标头,0),FALSE)+VLOOKUP(VLOOKUP($BJ180,坦克个性化设定!$B$18:$E$48,4,FALSE)&amp;$BK180,坦克属性分配比例,MATCH("部件比例",坦克属性分配比例标头,0),FALSE)*$C$3),0)</f>
        <v>#N/A</v>
      </c>
      <c r="BP180" s="103" t="e">
        <f ca="1">ROUND(VLOOKUP($BJ180&amp;"初始",$S$3:$AE$63,MATCH(BP$3,$S$3:$AE$3,0),FALSE)+(VLOOKUP($BJ180&amp;"最终",$S$3:$AE$63,MATCH(BP$3,$S$3:$AE$3,0),FALSE)-VLOOKUP($BJ180&amp;"初始",$S$3:$AE$63,MATCH(BP$3,$S$3:$AE$3,0),FALSE))*$BL180/VLOOKUP(VLOOKUP($BJ180,坦克个性化设定!$B$18:$E$48,4,FALSE)&amp;$BK180,坦克属性分配比例,MATCH("升星次数",坦克属性分配比例标头,0),FALSE)*(VLOOKUP(VLOOKUP($BJ180,坦克个性化设定!$B$18:$E$48,4,FALSE)&amp;$BK180,坦克属性分配比例,MATCH("升星比例",坦克属性分配比例标头,0),FALSE)+VLOOKUP(VLOOKUP($BJ180,坦克个性化设定!$B$18:$E$48,4,FALSE)&amp;$BK180,坦克属性分配比例,MATCH("部件比例",坦克属性分配比例标头,0),FALSE)*$C$3),0)</f>
        <v>#N/A</v>
      </c>
      <c r="BQ180" s="103" t="e">
        <f ca="1">ROUND(VLOOKUP($BJ180&amp;"初始",$S$3:$AE$63,MATCH(BQ$3,$S$3:$AE$3,0),FALSE)+(VLOOKUP($BJ180&amp;"最终",$S$3:$AE$63,MATCH(BQ$3,$S$3:$AE$3,0),FALSE)-VLOOKUP($BJ180&amp;"初始",$S$3:$AE$63,MATCH(BQ$3,$S$3:$AE$3,0),FALSE))*$BL180/VLOOKUP(VLOOKUP($BJ180,坦克个性化设定!$B$18:$E$48,4,FALSE)&amp;$BK180,坦克属性分配比例,MATCH("升星次数",坦克属性分配比例标头,0),FALSE)*VLOOKUP(VLOOKUP($BJ180,坦克个性化设定!$B$18:$E$48,4,FALSE)&amp;$BK180,坦克属性分配比例,MATCH("升星比例",坦克属性分配比例标头,0),FALSE),0)</f>
        <v>#N/A</v>
      </c>
      <c r="BR180" s="2" t="e">
        <f ca="1">ROUND(VLOOKUP($BJ180&amp;"初始",$S$3:$AE$63,MATCH(BR$3,$S$3:$AE$3,0),FALSE)+(VLOOKUP($BJ180&amp;"最终",$S$3:$AE$63,MATCH(BR$3,$S$3:$AE$3,0),FALSE)-VLOOKUP($BJ180&amp;"初始",$S$3:$AE$63,MATCH(BR$3,$S$3:$AE$3,0),FALSE))*$BL180/VLOOKUP(VLOOKUP($BJ180,坦克个性化设定!$B$18:$E$48,4,FALSE)&amp;$BK180,坦克属性分配比例,MATCH("升星次数",坦克属性分配比例标头,0),FALSE),0)</f>
        <v>#N/A</v>
      </c>
      <c r="BS180" s="2">
        <f>ROUND(VLOOKUP($BJ180,$AI$3:$AO$33,MATCH(BS$3,$AI$3:$AO$3,0),FALSE)+$BL180/VLOOKUP(VLOOKUP($BJ180,坦克个性化设定!$B$18:$E$48,4,FALSE)&amp;$BK180,坦克属性分配比例,MATCH("升星次数",坦克属性分配比例标头,0),FALSE)*VLOOKUP($BJ180,$AR$3:$AY$33,MATCH(BS$3,$AR$3:$AY$3,0),FALSE),1)</f>
        <v>44.6</v>
      </c>
      <c r="BT180" s="2">
        <f>ROUND(VLOOKUP($BJ180,$AI$3:$AO$33,MATCH(BT$3,$AI$3:$AO$3,0),FALSE)+$BL180/VLOOKUP(VLOOKUP($BJ180,坦克个性化设定!$B$18:$E$48,4,FALSE)&amp;$BK180,坦克属性分配比例,MATCH("升星次数",坦克属性分配比例标头,0),FALSE)*VLOOKUP($BJ180,$AR$3:$AY$33,MATCH(BT$3,$AR$3:$AY$3,0),FALSE),1)</f>
        <v>62.6</v>
      </c>
      <c r="BU180" s="2">
        <f>ROUND(VLOOKUP($BJ180,$AI$3:$AO$33,MATCH(BU$3,$AI$3:$AO$3,0),FALSE)+$BL180/VLOOKUP(VLOOKUP($BJ180,坦克个性化设定!$B$18:$E$48,4,FALSE)&amp;$BK180,坦克属性分配比例,MATCH("升星次数",坦克属性分配比例标头,0),FALSE)*VLOOKUP($BJ180,$AR$3:$AY$33,MATCH(BU$3,$AR$3:$AY$3,0),FALSE),1)</f>
        <v>7.3</v>
      </c>
      <c r="BV180" s="2">
        <f>IF(VLOOKUP(BJ180,坦克个性化设定!$B$18:$BC$48,MATCH("装弹类型",坦克个性化设定!$B$18:$BC$18,0),FALSE)="弹夹换弹",0,ROUND(VLOOKUP($BJ180,$AI$3:$AO$33,MATCH("换弹时间",$AI$3:$AO$3,0),FALSE)-$BL180/VLOOKUP(VLOOKUP($BJ180,坦克个性化设定!$B$18:$E$48,4,FALSE)&amp;$BK180,坦克属性分配比例,MATCH("升星次数",坦克属性分配比例标头,0),FALSE)*VLOOKUP($BJ180,$AR$3:$AY$33,MATCH("换弹时间",$AR$3:$AY$3,0),FALSE),2))</f>
        <v>2.97</v>
      </c>
      <c r="BW180" s="2">
        <f>IF(VLOOKUP(BJ180,坦克个性化设定!$B$18:$BC$48,MATCH("装弹类型",坦克个性化设定!$B$18:$BC$18,0),FALSE)="弹夹换弹",ROUND(VLOOKUP($BJ180,$AI$3:$AO$33,MATCH("换弹时间",$AI$3:$AO$3,0),FALSE)-$BL180/VLOOKUP(VLOOKUP($BJ180,坦克个性化设定!$B$18:$E$48,4,FALSE)&amp;$BK180,坦克属性分配比例,MATCH("升星次数",坦克属性分配比例标头,0),FALSE)*VLOOKUP($BJ180,$AR$3:$AY$33,MATCH("换弹时间",$AR$3:$AY$3,0),FALSE),1),0)</f>
        <v>0</v>
      </c>
      <c r="BX180" s="2">
        <f>ROUND(VLOOKUP($BJ180,$AI$3:$AO$33,MATCH(BX$3,$AI$3:$AO$3,0),FALSE)+$BL180/VLOOKUP(VLOOKUP($BJ180,坦克个性化设定!$B$18:$E$48,4,FALSE)&amp;$BK180,坦克属性分配比例,MATCH("升星次数",坦克属性分配比例标头,0),FALSE)*VLOOKUP($BJ180,$AR$3:$AY$33,MATCH(BX$3,$AR$3:$AY$3,0),FALSE),2)</f>
        <v>0.4</v>
      </c>
      <c r="BY180" s="2">
        <f>ROUND(VLOOKUP($BJ180,$AI$3:$AO$33,MATCH(BY$3,$AI$3:$AO$3,0),FALSE)-$BL180/VLOOKUP(VLOOKUP($BJ180,坦克个性化设定!$B$18:$E$48,4,FALSE)&amp;$BK180,坦克属性分配比例,MATCH("升星次数",坦克属性分配比例标头,0),FALSE)*VLOOKUP($BJ180,$AR$3:$AY$33,MATCH(BY$3,$AR$3:$AY$3,0),FALSE),2)</f>
        <v>0.85</v>
      </c>
    </row>
    <row r="181" spans="60:77" x14ac:dyDescent="0.3">
      <c r="BH181" s="2" t="str">
        <f t="shared" si="27"/>
        <v>潘兴11</v>
      </c>
      <c r="BI181" s="2">
        <f>IF(BL180&gt;=VLOOKUP(VLOOKUP(BJ180,坦克个性化设定!$B$18:$E$48,4,FALSE)&amp;BK180,坦克属性分配比例,MATCH("升星次数",坦克属性分配比例标头,0),FALSE),BI180+1,BI180)</f>
        <v>18</v>
      </c>
      <c r="BJ181" s="2" t="str">
        <f t="shared" si="28"/>
        <v>潘兴</v>
      </c>
      <c r="BK181" s="29" t="str">
        <f>VLOOKUP(BJ181,坦克个性化细分!$I$3:$J$33,2,FALSE)</f>
        <v>中</v>
      </c>
      <c r="BL181" s="2">
        <f t="shared" si="26"/>
        <v>11</v>
      </c>
      <c r="BM181" s="103" t="e">
        <f ca="1">ROUND(VLOOKUP($BJ181&amp;"初始",$S$3:$AE$63,MATCH(BM$3,$S$3:$AE$3,0),FALSE)+((VLOOKUP($BJ181&amp;"最终",$S$3:$AE$63,MATCH(BM$3,$S$3:$AE$3,0),FALSE)*坦克个性化细分!$C$9-VLOOKUP($BJ181&amp;"初始",$S$3:$AE$63,MATCH(BM$3,$S$3:$AE$3,0),FALSE))-(VLOOKUP($BJ181&amp;"最终",$S$3:$AE$63,MATCH(BM$3,$S$3:$AE$3,0),FALSE)-VLOOKUP($BJ181&amp;"初始",$S$3:$AE$63,MATCH(BM$3,$S$3:$AE$3,0),FALSE))*VLOOKUP(VLOOKUP($BJ181,坦克个性化设定!$B$18:$E$48,4,FALSE)&amp;$BK181,坦克属性分配比例,MATCH("部件比例",坦克属性分配比例标头,0),FALSE))*$BL181/VLOOKUP(VLOOKUP($BJ181,坦克个性化设定!$B$18:$E$48,4,FALSE)&amp;$BK181,坦克属性分配比例,MATCH("升星次数",坦克属性分配比例标头,0),FALSE),0)</f>
        <v>#N/A</v>
      </c>
      <c r="BN181" s="103" t="e">
        <f ca="1">ROUND(VLOOKUP($BJ181&amp;"初始",$S$3:$AE$63,MATCH(BN$3,$S$3:$AE$3,0),FALSE)+(VLOOKUP($BJ181&amp;"最终",$S$3:$AE$63,MATCH(BN$3,$S$3:$AE$3,0),FALSE)-VLOOKUP($BJ181&amp;"初始",$S$3:$AE$63,MATCH(BN$3,$S$3:$AE$3,0),FALSE))*$BL181/VLOOKUP(VLOOKUP($BJ181,坦克个性化设定!$B$18:$E$48,4,FALSE)&amp;$BK181,坦克属性分配比例,MATCH("升星次数",坦克属性分配比例标头,0),FALSE)*VLOOKUP(VLOOKUP($BJ181,坦克个性化设定!$B$18:$E$48,4,FALSE)&amp;$BK181,坦克属性分配比例,MATCH("升星比例",坦克属性分配比例标头,0),FALSE),0)</f>
        <v>#N/A</v>
      </c>
      <c r="BO181" s="103" t="e">
        <f ca="1">ROUND(VLOOKUP($BJ181&amp;"初始",$S$3:$AE$63,MATCH(BO$3,$S$3:$AE$3,0),FALSE)+(VLOOKUP($BJ181&amp;"最终",$S$3:$AE$63,MATCH(BO$3,$S$3:$AE$3,0),FALSE)-VLOOKUP($BJ181&amp;"初始",$S$3:$AE$63,MATCH(BO$3,$S$3:$AE$3,0),FALSE))*$BL181/VLOOKUP(VLOOKUP($BJ181,坦克个性化设定!$B$18:$E$48,4,FALSE)&amp;$BK181,坦克属性分配比例,MATCH("升星次数",坦克属性分配比例标头,0),FALSE)*(VLOOKUP(VLOOKUP($BJ181,坦克个性化设定!$B$18:$E$48,4,FALSE)&amp;$BK181,坦克属性分配比例,MATCH("升星比例",坦克属性分配比例标头,0),FALSE)+VLOOKUP(VLOOKUP($BJ181,坦克个性化设定!$B$18:$E$48,4,FALSE)&amp;$BK181,坦克属性分配比例,MATCH("部件比例",坦克属性分配比例标头,0),FALSE)*$C$3),0)</f>
        <v>#N/A</v>
      </c>
      <c r="BP181" s="103" t="e">
        <f ca="1">ROUND(VLOOKUP($BJ181&amp;"初始",$S$3:$AE$63,MATCH(BP$3,$S$3:$AE$3,0),FALSE)+(VLOOKUP($BJ181&amp;"最终",$S$3:$AE$63,MATCH(BP$3,$S$3:$AE$3,0),FALSE)-VLOOKUP($BJ181&amp;"初始",$S$3:$AE$63,MATCH(BP$3,$S$3:$AE$3,0),FALSE))*$BL181/VLOOKUP(VLOOKUP($BJ181,坦克个性化设定!$B$18:$E$48,4,FALSE)&amp;$BK181,坦克属性分配比例,MATCH("升星次数",坦克属性分配比例标头,0),FALSE)*(VLOOKUP(VLOOKUP($BJ181,坦克个性化设定!$B$18:$E$48,4,FALSE)&amp;$BK181,坦克属性分配比例,MATCH("升星比例",坦克属性分配比例标头,0),FALSE)+VLOOKUP(VLOOKUP($BJ181,坦克个性化设定!$B$18:$E$48,4,FALSE)&amp;$BK181,坦克属性分配比例,MATCH("部件比例",坦克属性分配比例标头,0),FALSE)*$C$3),0)</f>
        <v>#N/A</v>
      </c>
      <c r="BQ181" s="103" t="e">
        <f ca="1">ROUND(VLOOKUP($BJ181&amp;"初始",$S$3:$AE$63,MATCH(BQ$3,$S$3:$AE$3,0),FALSE)+(VLOOKUP($BJ181&amp;"最终",$S$3:$AE$63,MATCH(BQ$3,$S$3:$AE$3,0),FALSE)-VLOOKUP($BJ181&amp;"初始",$S$3:$AE$63,MATCH(BQ$3,$S$3:$AE$3,0),FALSE))*$BL181/VLOOKUP(VLOOKUP($BJ181,坦克个性化设定!$B$18:$E$48,4,FALSE)&amp;$BK181,坦克属性分配比例,MATCH("升星次数",坦克属性分配比例标头,0),FALSE)*VLOOKUP(VLOOKUP($BJ181,坦克个性化设定!$B$18:$E$48,4,FALSE)&amp;$BK181,坦克属性分配比例,MATCH("升星比例",坦克属性分配比例标头,0),FALSE),0)</f>
        <v>#N/A</v>
      </c>
      <c r="BR181" s="2" t="e">
        <f ca="1">ROUND(VLOOKUP($BJ181&amp;"初始",$S$3:$AE$63,MATCH(BR$3,$S$3:$AE$3,0),FALSE)+(VLOOKUP($BJ181&amp;"最终",$S$3:$AE$63,MATCH(BR$3,$S$3:$AE$3,0),FALSE)-VLOOKUP($BJ181&amp;"初始",$S$3:$AE$63,MATCH(BR$3,$S$3:$AE$3,0),FALSE))*$BL181/VLOOKUP(VLOOKUP($BJ181,坦克个性化设定!$B$18:$E$48,4,FALSE)&amp;$BK181,坦克属性分配比例,MATCH("升星次数",坦克属性分配比例标头,0),FALSE),0)</f>
        <v>#N/A</v>
      </c>
      <c r="BS181" s="2">
        <f>ROUND(VLOOKUP($BJ181,$AI$3:$AO$33,MATCH(BS$3,$AI$3:$AO$3,0),FALSE)+$BL181/VLOOKUP(VLOOKUP($BJ181,坦克个性化设定!$B$18:$E$48,4,FALSE)&amp;$BK181,坦克属性分配比例,MATCH("升星次数",坦克属性分配比例标头,0),FALSE)*VLOOKUP($BJ181,$AR$3:$AY$33,MATCH(BS$3,$AR$3:$AY$3,0),FALSE),1)</f>
        <v>45.4</v>
      </c>
      <c r="BT181" s="2">
        <f>ROUND(VLOOKUP($BJ181,$AI$3:$AO$33,MATCH(BT$3,$AI$3:$AO$3,0),FALSE)+$BL181/VLOOKUP(VLOOKUP($BJ181,坦克个性化设定!$B$18:$E$48,4,FALSE)&amp;$BK181,坦克属性分配比例,MATCH("升星次数",坦克属性分配比例标头,0),FALSE)*VLOOKUP($BJ181,$AR$3:$AY$33,MATCH(BT$3,$AR$3:$AY$3,0),FALSE),1)</f>
        <v>63.8</v>
      </c>
      <c r="BU181" s="2">
        <f>ROUND(VLOOKUP($BJ181,$AI$3:$AO$33,MATCH(BU$3,$AI$3:$AO$3,0),FALSE)+$BL181/VLOOKUP(VLOOKUP($BJ181,坦克个性化设定!$B$18:$E$48,4,FALSE)&amp;$BK181,坦克属性分配比例,MATCH("升星次数",坦克属性分配比例标头,0),FALSE)*VLOOKUP($BJ181,$AR$3:$AY$33,MATCH(BU$3,$AR$3:$AY$3,0),FALSE),1)</f>
        <v>7.3</v>
      </c>
      <c r="BV181" s="2">
        <f>IF(VLOOKUP(BJ181,坦克个性化设定!$B$18:$BC$48,MATCH("装弹类型",坦克个性化设定!$B$18:$BC$18,0),FALSE)="弹夹换弹",0,ROUND(VLOOKUP($BJ181,$AI$3:$AO$33,MATCH("换弹时间",$AI$3:$AO$3,0),FALSE)-$BL181/VLOOKUP(VLOOKUP($BJ181,坦克个性化设定!$B$18:$E$48,4,FALSE)&amp;$BK181,坦克属性分配比例,MATCH("升星次数",坦克属性分配比例标头,0),FALSE)*VLOOKUP($BJ181,$AR$3:$AY$33,MATCH("换弹时间",$AR$3:$AY$3,0),FALSE),2))</f>
        <v>2.9</v>
      </c>
      <c r="BW181" s="2">
        <f>IF(VLOOKUP(BJ181,坦克个性化设定!$B$18:$BC$48,MATCH("装弹类型",坦克个性化设定!$B$18:$BC$18,0),FALSE)="弹夹换弹",ROUND(VLOOKUP($BJ181,$AI$3:$AO$33,MATCH("换弹时间",$AI$3:$AO$3,0),FALSE)-$BL181/VLOOKUP(VLOOKUP($BJ181,坦克个性化设定!$B$18:$E$48,4,FALSE)&amp;$BK181,坦克属性分配比例,MATCH("升星次数",坦克属性分配比例标头,0),FALSE)*VLOOKUP($BJ181,$AR$3:$AY$33,MATCH("换弹时间",$AR$3:$AY$3,0),FALSE),1),0)</f>
        <v>0</v>
      </c>
      <c r="BX181" s="2">
        <f>ROUND(VLOOKUP($BJ181,$AI$3:$AO$33,MATCH(BX$3,$AI$3:$AO$3,0),FALSE)+$BL181/VLOOKUP(VLOOKUP($BJ181,坦克个性化设定!$B$18:$E$48,4,FALSE)&amp;$BK181,坦克属性分配比例,MATCH("升星次数",坦克属性分配比例标头,0),FALSE)*VLOOKUP($BJ181,$AR$3:$AY$33,MATCH(BX$3,$AR$3:$AY$3,0),FALSE),2)</f>
        <v>0.4</v>
      </c>
      <c r="BY181" s="2">
        <f>ROUND(VLOOKUP($BJ181,$AI$3:$AO$33,MATCH(BY$3,$AI$3:$AO$3,0),FALSE)-$BL181/VLOOKUP(VLOOKUP($BJ181,坦克个性化设定!$B$18:$E$48,4,FALSE)&amp;$BK181,坦克属性分配比例,MATCH("升星次数",坦克属性分配比例标头,0),FALSE)*VLOOKUP($BJ181,$AR$3:$AY$33,MATCH(BY$3,$AR$3:$AY$3,0),FALSE),2)</f>
        <v>0.83</v>
      </c>
    </row>
    <row r="182" spans="60:77" x14ac:dyDescent="0.3">
      <c r="BH182" s="2" t="str">
        <f t="shared" si="27"/>
        <v>百夫长0</v>
      </c>
      <c r="BI182" s="2">
        <f>IF(BL181&gt;=VLOOKUP(VLOOKUP(BJ181,坦克个性化设定!$B$18:$E$48,4,FALSE)&amp;BK181,坦克属性分配比例,MATCH("升星次数",坦克属性分配比例标头,0),FALSE),BI181+1,BI181)</f>
        <v>19</v>
      </c>
      <c r="BJ182" s="2" t="str">
        <f t="shared" si="28"/>
        <v>百夫长</v>
      </c>
      <c r="BK182" s="29" t="str">
        <f>VLOOKUP(BJ182,坦克个性化细分!$I$3:$J$33,2,FALSE)</f>
        <v>高</v>
      </c>
      <c r="BL182" s="2">
        <f t="shared" si="26"/>
        <v>0</v>
      </c>
      <c r="BM182" s="103" t="e">
        <f ca="1">ROUND(VLOOKUP($BJ182&amp;"初始",$S$3:$AE$63,MATCH(BM$3,$S$3:$AE$3,0),FALSE)+((VLOOKUP($BJ182&amp;"最终",$S$3:$AE$63,MATCH(BM$3,$S$3:$AE$3,0),FALSE)*坦克个性化细分!$C$9-VLOOKUP($BJ182&amp;"初始",$S$3:$AE$63,MATCH(BM$3,$S$3:$AE$3,0),FALSE))-(VLOOKUP($BJ182&amp;"最终",$S$3:$AE$63,MATCH(BM$3,$S$3:$AE$3,0),FALSE)-VLOOKUP($BJ182&amp;"初始",$S$3:$AE$63,MATCH(BM$3,$S$3:$AE$3,0),FALSE))*VLOOKUP(VLOOKUP($BJ182,坦克个性化设定!$B$18:$E$48,4,FALSE)&amp;$BK182,坦克属性分配比例,MATCH("部件比例",坦克属性分配比例标头,0),FALSE))*$BL182/VLOOKUP(VLOOKUP($BJ182,坦克个性化设定!$B$18:$E$48,4,FALSE)&amp;$BK182,坦克属性分配比例,MATCH("升星次数",坦克属性分配比例标头,0),FALSE),0)</f>
        <v>#N/A</v>
      </c>
      <c r="BN182" s="103" t="e">
        <f ca="1">ROUND(VLOOKUP($BJ182&amp;"初始",$S$3:$AE$63,MATCH(BN$3,$S$3:$AE$3,0),FALSE)+(VLOOKUP($BJ182&amp;"最终",$S$3:$AE$63,MATCH(BN$3,$S$3:$AE$3,0),FALSE)-VLOOKUP($BJ182&amp;"初始",$S$3:$AE$63,MATCH(BN$3,$S$3:$AE$3,0),FALSE))*$BL182/VLOOKUP(VLOOKUP($BJ182,坦克个性化设定!$B$18:$E$48,4,FALSE)&amp;$BK182,坦克属性分配比例,MATCH("升星次数",坦克属性分配比例标头,0),FALSE)*VLOOKUP(VLOOKUP($BJ182,坦克个性化设定!$B$18:$E$48,4,FALSE)&amp;$BK182,坦克属性分配比例,MATCH("升星比例",坦克属性分配比例标头,0),FALSE),0)</f>
        <v>#N/A</v>
      </c>
      <c r="BO182" s="103" t="e">
        <f ca="1">ROUND(VLOOKUP($BJ182&amp;"初始",$S$3:$AE$63,MATCH(BO$3,$S$3:$AE$3,0),FALSE)+(VLOOKUP($BJ182&amp;"最终",$S$3:$AE$63,MATCH(BO$3,$S$3:$AE$3,0),FALSE)-VLOOKUP($BJ182&amp;"初始",$S$3:$AE$63,MATCH(BO$3,$S$3:$AE$3,0),FALSE))*$BL182/VLOOKUP(VLOOKUP($BJ182,坦克个性化设定!$B$18:$E$48,4,FALSE)&amp;$BK182,坦克属性分配比例,MATCH("升星次数",坦克属性分配比例标头,0),FALSE)*(VLOOKUP(VLOOKUP($BJ182,坦克个性化设定!$B$18:$E$48,4,FALSE)&amp;$BK182,坦克属性分配比例,MATCH("升星比例",坦克属性分配比例标头,0),FALSE)+VLOOKUP(VLOOKUP($BJ182,坦克个性化设定!$B$18:$E$48,4,FALSE)&amp;$BK182,坦克属性分配比例,MATCH("部件比例",坦克属性分配比例标头,0),FALSE)*$C$3),0)</f>
        <v>#N/A</v>
      </c>
      <c r="BP182" s="103" t="e">
        <f ca="1">ROUND(VLOOKUP($BJ182&amp;"初始",$S$3:$AE$63,MATCH(BP$3,$S$3:$AE$3,0),FALSE)+(VLOOKUP($BJ182&amp;"最终",$S$3:$AE$63,MATCH(BP$3,$S$3:$AE$3,0),FALSE)-VLOOKUP($BJ182&amp;"初始",$S$3:$AE$63,MATCH(BP$3,$S$3:$AE$3,0),FALSE))*$BL182/VLOOKUP(VLOOKUP($BJ182,坦克个性化设定!$B$18:$E$48,4,FALSE)&amp;$BK182,坦克属性分配比例,MATCH("升星次数",坦克属性分配比例标头,0),FALSE)*(VLOOKUP(VLOOKUP($BJ182,坦克个性化设定!$B$18:$E$48,4,FALSE)&amp;$BK182,坦克属性分配比例,MATCH("升星比例",坦克属性分配比例标头,0),FALSE)+VLOOKUP(VLOOKUP($BJ182,坦克个性化设定!$B$18:$E$48,4,FALSE)&amp;$BK182,坦克属性分配比例,MATCH("部件比例",坦克属性分配比例标头,0),FALSE)*$C$3),0)</f>
        <v>#N/A</v>
      </c>
      <c r="BQ182" s="103" t="e">
        <f ca="1">ROUND(VLOOKUP($BJ182&amp;"初始",$S$3:$AE$63,MATCH(BQ$3,$S$3:$AE$3,0),FALSE)+(VLOOKUP($BJ182&amp;"最终",$S$3:$AE$63,MATCH(BQ$3,$S$3:$AE$3,0),FALSE)-VLOOKUP($BJ182&amp;"初始",$S$3:$AE$63,MATCH(BQ$3,$S$3:$AE$3,0),FALSE))*$BL182/VLOOKUP(VLOOKUP($BJ182,坦克个性化设定!$B$18:$E$48,4,FALSE)&amp;$BK182,坦克属性分配比例,MATCH("升星次数",坦克属性分配比例标头,0),FALSE)*VLOOKUP(VLOOKUP($BJ182,坦克个性化设定!$B$18:$E$48,4,FALSE)&amp;$BK182,坦克属性分配比例,MATCH("升星比例",坦克属性分配比例标头,0),FALSE),0)</f>
        <v>#N/A</v>
      </c>
      <c r="BR182" s="2" t="e">
        <f ca="1">ROUND(VLOOKUP($BJ182&amp;"初始",$S$3:$AE$63,MATCH(BR$3,$S$3:$AE$3,0),FALSE)+(VLOOKUP($BJ182&amp;"最终",$S$3:$AE$63,MATCH(BR$3,$S$3:$AE$3,0),FALSE)-VLOOKUP($BJ182&amp;"初始",$S$3:$AE$63,MATCH(BR$3,$S$3:$AE$3,0),FALSE))*$BL182/VLOOKUP(VLOOKUP($BJ182,坦克个性化设定!$B$18:$E$48,4,FALSE)&amp;$BK182,坦克属性分配比例,MATCH("升星次数",坦克属性分配比例标头,0),FALSE),0)</f>
        <v>#N/A</v>
      </c>
      <c r="BS182" s="2">
        <f>ROUND(VLOOKUP($BJ182,$AI$3:$AO$33,MATCH(BS$3,$AI$3:$AO$3,0),FALSE)+$BL182/VLOOKUP(VLOOKUP($BJ182,坦克个性化设定!$B$18:$E$48,4,FALSE)&amp;$BK182,坦克属性分配比例,MATCH("升星次数",坦克属性分配比例标头,0),FALSE)*VLOOKUP($BJ182,$AR$3:$AY$33,MATCH(BS$3,$AR$3:$AY$3,0),FALSE),1)</f>
        <v>46.7</v>
      </c>
      <c r="BT182" s="2">
        <f>ROUND(VLOOKUP($BJ182,$AI$3:$AO$33,MATCH(BT$3,$AI$3:$AO$3,0),FALSE)+$BL182/VLOOKUP(VLOOKUP($BJ182,坦克个性化设定!$B$18:$E$48,4,FALSE)&amp;$BK182,坦克属性分配比例,MATCH("升星次数",坦克属性分配比例标头,0),FALSE)*VLOOKUP($BJ182,$AR$3:$AY$33,MATCH(BT$3,$AR$3:$AY$3,0),FALSE),1)</f>
        <v>42</v>
      </c>
      <c r="BU182" s="2">
        <f>ROUND(VLOOKUP($BJ182,$AI$3:$AO$33,MATCH(BU$3,$AI$3:$AO$3,0),FALSE)+$BL182/VLOOKUP(VLOOKUP($BJ182,坦克个性化设定!$B$18:$E$48,4,FALSE)&amp;$BK182,坦克属性分配比例,MATCH("升星次数",坦克属性分配比例标头,0),FALSE)*VLOOKUP($BJ182,$AR$3:$AY$33,MATCH(BU$3,$AR$3:$AY$3,0),FALSE),1)</f>
        <v>8.4</v>
      </c>
      <c r="BV182" s="2">
        <f>IF(VLOOKUP(BJ182,坦克个性化设定!$B$18:$BC$48,MATCH("装弹类型",坦克个性化设定!$B$18:$BC$18,0),FALSE)="弹夹换弹",0,ROUND(VLOOKUP($BJ182,$AI$3:$AO$33,MATCH("换弹时间",$AI$3:$AO$3,0),FALSE)-$BL182/VLOOKUP(VLOOKUP($BJ182,坦克个性化设定!$B$18:$E$48,4,FALSE)&amp;$BK182,坦克属性分配比例,MATCH("升星次数",坦克属性分配比例标头,0),FALSE)*VLOOKUP($BJ182,$AR$3:$AY$33,MATCH("换弹时间",$AR$3:$AY$3,0),FALSE),2))</f>
        <v>2.4</v>
      </c>
      <c r="BW182" s="2">
        <f>IF(VLOOKUP(BJ182,坦克个性化设定!$B$18:$BC$48,MATCH("装弹类型",坦克个性化设定!$B$18:$BC$18,0),FALSE)="弹夹换弹",ROUND(VLOOKUP($BJ182,$AI$3:$AO$33,MATCH("换弹时间",$AI$3:$AO$3,0),FALSE)-$BL182/VLOOKUP(VLOOKUP($BJ182,坦克个性化设定!$B$18:$E$48,4,FALSE)&amp;$BK182,坦克属性分配比例,MATCH("升星次数",坦克属性分配比例标头,0),FALSE)*VLOOKUP($BJ182,$AR$3:$AY$33,MATCH("换弹时间",$AR$3:$AY$3,0),FALSE),1),0)</f>
        <v>0</v>
      </c>
      <c r="BX182" s="2">
        <f>ROUND(VLOOKUP($BJ182,$AI$3:$AO$33,MATCH(BX$3,$AI$3:$AO$3,0),FALSE)+$BL182/VLOOKUP(VLOOKUP($BJ182,坦克个性化设定!$B$18:$E$48,4,FALSE)&amp;$BK182,坦克属性分配比例,MATCH("升星次数",坦克属性分配比例标头,0),FALSE)*VLOOKUP($BJ182,$AR$3:$AY$33,MATCH(BX$3,$AR$3:$AY$3,0),FALSE),2)</f>
        <v>0.26</v>
      </c>
      <c r="BY182" s="2">
        <f>ROUND(VLOOKUP($BJ182,$AI$3:$AO$33,MATCH(BY$3,$AI$3:$AO$3,0),FALSE)-$BL182/VLOOKUP(VLOOKUP($BJ182,坦克个性化设定!$B$18:$E$48,4,FALSE)&amp;$BK182,坦克属性分配比例,MATCH("升星次数",坦克属性分配比例标头,0),FALSE)*VLOOKUP($BJ182,$AR$3:$AY$33,MATCH(BY$3,$AR$3:$AY$3,0),FALSE),2)</f>
        <v>1.87</v>
      </c>
    </row>
    <row r="183" spans="60:77" x14ac:dyDescent="0.3">
      <c r="BH183" s="2" t="str">
        <f t="shared" si="27"/>
        <v>百夫长1</v>
      </c>
      <c r="BI183" s="2">
        <f>IF(BL182&gt;=VLOOKUP(VLOOKUP(BJ182,坦克个性化设定!$B$18:$E$48,4,FALSE)&amp;BK182,坦克属性分配比例,MATCH("升星次数",坦克属性分配比例标头,0),FALSE),BI182+1,BI182)</f>
        <v>19</v>
      </c>
      <c r="BJ183" s="2" t="str">
        <f t="shared" si="28"/>
        <v>百夫长</v>
      </c>
      <c r="BK183" s="29" t="str">
        <f>VLOOKUP(BJ183,坦克个性化细分!$I$3:$J$33,2,FALSE)</f>
        <v>高</v>
      </c>
      <c r="BL183" s="2">
        <f t="shared" si="26"/>
        <v>1</v>
      </c>
      <c r="BM183" s="103" t="e">
        <f ca="1">ROUND(VLOOKUP($BJ183&amp;"初始",$S$3:$AE$63,MATCH(BM$3,$S$3:$AE$3,0),FALSE)+((VLOOKUP($BJ183&amp;"最终",$S$3:$AE$63,MATCH(BM$3,$S$3:$AE$3,0),FALSE)*坦克个性化细分!$C$9-VLOOKUP($BJ183&amp;"初始",$S$3:$AE$63,MATCH(BM$3,$S$3:$AE$3,0),FALSE))-(VLOOKUP($BJ183&amp;"最终",$S$3:$AE$63,MATCH(BM$3,$S$3:$AE$3,0),FALSE)-VLOOKUP($BJ183&amp;"初始",$S$3:$AE$63,MATCH(BM$3,$S$3:$AE$3,0),FALSE))*VLOOKUP(VLOOKUP($BJ183,坦克个性化设定!$B$18:$E$48,4,FALSE)&amp;$BK183,坦克属性分配比例,MATCH("部件比例",坦克属性分配比例标头,0),FALSE))*$BL183/VLOOKUP(VLOOKUP($BJ183,坦克个性化设定!$B$18:$E$48,4,FALSE)&amp;$BK183,坦克属性分配比例,MATCH("升星次数",坦克属性分配比例标头,0),FALSE),0)</f>
        <v>#N/A</v>
      </c>
      <c r="BN183" s="103" t="e">
        <f ca="1">ROUND(VLOOKUP($BJ183&amp;"初始",$S$3:$AE$63,MATCH(BN$3,$S$3:$AE$3,0),FALSE)+(VLOOKUP($BJ183&amp;"最终",$S$3:$AE$63,MATCH(BN$3,$S$3:$AE$3,0),FALSE)-VLOOKUP($BJ183&amp;"初始",$S$3:$AE$63,MATCH(BN$3,$S$3:$AE$3,0),FALSE))*$BL183/VLOOKUP(VLOOKUP($BJ183,坦克个性化设定!$B$18:$E$48,4,FALSE)&amp;$BK183,坦克属性分配比例,MATCH("升星次数",坦克属性分配比例标头,0),FALSE)*VLOOKUP(VLOOKUP($BJ183,坦克个性化设定!$B$18:$E$48,4,FALSE)&amp;$BK183,坦克属性分配比例,MATCH("升星比例",坦克属性分配比例标头,0),FALSE),0)</f>
        <v>#N/A</v>
      </c>
      <c r="BO183" s="103" t="e">
        <f ca="1">ROUND(VLOOKUP($BJ183&amp;"初始",$S$3:$AE$63,MATCH(BO$3,$S$3:$AE$3,0),FALSE)+(VLOOKUP($BJ183&amp;"最终",$S$3:$AE$63,MATCH(BO$3,$S$3:$AE$3,0),FALSE)-VLOOKUP($BJ183&amp;"初始",$S$3:$AE$63,MATCH(BO$3,$S$3:$AE$3,0),FALSE))*$BL183/VLOOKUP(VLOOKUP($BJ183,坦克个性化设定!$B$18:$E$48,4,FALSE)&amp;$BK183,坦克属性分配比例,MATCH("升星次数",坦克属性分配比例标头,0),FALSE)*(VLOOKUP(VLOOKUP($BJ183,坦克个性化设定!$B$18:$E$48,4,FALSE)&amp;$BK183,坦克属性分配比例,MATCH("升星比例",坦克属性分配比例标头,0),FALSE)+VLOOKUP(VLOOKUP($BJ183,坦克个性化设定!$B$18:$E$48,4,FALSE)&amp;$BK183,坦克属性分配比例,MATCH("部件比例",坦克属性分配比例标头,0),FALSE)*$C$3),0)</f>
        <v>#N/A</v>
      </c>
      <c r="BP183" s="103" t="e">
        <f ca="1">ROUND(VLOOKUP($BJ183&amp;"初始",$S$3:$AE$63,MATCH(BP$3,$S$3:$AE$3,0),FALSE)+(VLOOKUP($BJ183&amp;"最终",$S$3:$AE$63,MATCH(BP$3,$S$3:$AE$3,0),FALSE)-VLOOKUP($BJ183&amp;"初始",$S$3:$AE$63,MATCH(BP$3,$S$3:$AE$3,0),FALSE))*$BL183/VLOOKUP(VLOOKUP($BJ183,坦克个性化设定!$B$18:$E$48,4,FALSE)&amp;$BK183,坦克属性分配比例,MATCH("升星次数",坦克属性分配比例标头,0),FALSE)*(VLOOKUP(VLOOKUP($BJ183,坦克个性化设定!$B$18:$E$48,4,FALSE)&amp;$BK183,坦克属性分配比例,MATCH("升星比例",坦克属性分配比例标头,0),FALSE)+VLOOKUP(VLOOKUP($BJ183,坦克个性化设定!$B$18:$E$48,4,FALSE)&amp;$BK183,坦克属性分配比例,MATCH("部件比例",坦克属性分配比例标头,0),FALSE)*$C$3),0)</f>
        <v>#N/A</v>
      </c>
      <c r="BQ183" s="103" t="e">
        <f ca="1">ROUND(VLOOKUP($BJ183&amp;"初始",$S$3:$AE$63,MATCH(BQ$3,$S$3:$AE$3,0),FALSE)+(VLOOKUP($BJ183&amp;"最终",$S$3:$AE$63,MATCH(BQ$3,$S$3:$AE$3,0),FALSE)-VLOOKUP($BJ183&amp;"初始",$S$3:$AE$63,MATCH(BQ$3,$S$3:$AE$3,0),FALSE))*$BL183/VLOOKUP(VLOOKUP($BJ183,坦克个性化设定!$B$18:$E$48,4,FALSE)&amp;$BK183,坦克属性分配比例,MATCH("升星次数",坦克属性分配比例标头,0),FALSE)*VLOOKUP(VLOOKUP($BJ183,坦克个性化设定!$B$18:$E$48,4,FALSE)&amp;$BK183,坦克属性分配比例,MATCH("升星比例",坦克属性分配比例标头,0),FALSE),0)</f>
        <v>#N/A</v>
      </c>
      <c r="BR183" s="2" t="e">
        <f ca="1">ROUND(VLOOKUP($BJ183&amp;"初始",$S$3:$AE$63,MATCH(BR$3,$S$3:$AE$3,0),FALSE)+(VLOOKUP($BJ183&amp;"最终",$S$3:$AE$63,MATCH(BR$3,$S$3:$AE$3,0),FALSE)-VLOOKUP($BJ183&amp;"初始",$S$3:$AE$63,MATCH(BR$3,$S$3:$AE$3,0),FALSE))*$BL183/VLOOKUP(VLOOKUP($BJ183,坦克个性化设定!$B$18:$E$48,4,FALSE)&amp;$BK183,坦克属性分配比例,MATCH("升星次数",坦克属性分配比例标头,0),FALSE),0)</f>
        <v>#N/A</v>
      </c>
      <c r="BS183" s="2">
        <f>ROUND(VLOOKUP($BJ183,$AI$3:$AO$33,MATCH(BS$3,$AI$3:$AO$3,0),FALSE)+$BL183/VLOOKUP(VLOOKUP($BJ183,坦克个性化设定!$B$18:$E$48,4,FALSE)&amp;$BK183,坦克属性分配比例,MATCH("升星次数",坦克属性分配比例标头,0),FALSE)*VLOOKUP($BJ183,$AR$3:$AY$33,MATCH(BS$3,$AR$3:$AY$3,0),FALSE),1)</f>
        <v>47.8</v>
      </c>
      <c r="BT183" s="2">
        <f>ROUND(VLOOKUP($BJ183,$AI$3:$AO$33,MATCH(BT$3,$AI$3:$AO$3,0),FALSE)+$BL183/VLOOKUP(VLOOKUP($BJ183,坦克个性化设定!$B$18:$E$48,4,FALSE)&amp;$BK183,坦克属性分配比例,MATCH("升星次数",坦克属性分配比例标头,0),FALSE)*VLOOKUP($BJ183,$AR$3:$AY$33,MATCH(BT$3,$AR$3:$AY$3,0),FALSE),1)</f>
        <v>43</v>
      </c>
      <c r="BU183" s="2">
        <f>ROUND(VLOOKUP($BJ183,$AI$3:$AO$33,MATCH(BU$3,$AI$3:$AO$3,0),FALSE)+$BL183/VLOOKUP(VLOOKUP($BJ183,坦克个性化设定!$B$18:$E$48,4,FALSE)&amp;$BK183,坦克属性分配比例,MATCH("升星次数",坦克属性分配比例标头,0),FALSE)*VLOOKUP($BJ183,$AR$3:$AY$33,MATCH(BU$3,$AR$3:$AY$3,0),FALSE),1)</f>
        <v>8.4</v>
      </c>
      <c r="BV183" s="2">
        <f>IF(VLOOKUP(BJ183,坦克个性化设定!$B$18:$BC$48,MATCH("装弹类型",坦克个性化设定!$B$18:$BC$18,0),FALSE)="弹夹换弹",0,ROUND(VLOOKUP($BJ183,$AI$3:$AO$33,MATCH("换弹时间",$AI$3:$AO$3,0),FALSE)-$BL183/VLOOKUP(VLOOKUP($BJ183,坦克个性化设定!$B$18:$E$48,4,FALSE)&amp;$BK183,坦克属性分配比例,MATCH("升星次数",坦克属性分配比例标头,0),FALSE)*VLOOKUP($BJ183,$AR$3:$AY$33,MATCH("换弹时间",$AR$3:$AY$3,0),FALSE),2))</f>
        <v>2.37</v>
      </c>
      <c r="BW183" s="2">
        <f>IF(VLOOKUP(BJ183,坦克个性化设定!$B$18:$BC$48,MATCH("装弹类型",坦克个性化设定!$B$18:$BC$18,0),FALSE)="弹夹换弹",ROUND(VLOOKUP($BJ183,$AI$3:$AO$33,MATCH("换弹时间",$AI$3:$AO$3,0),FALSE)-$BL183/VLOOKUP(VLOOKUP($BJ183,坦克个性化设定!$B$18:$E$48,4,FALSE)&amp;$BK183,坦克属性分配比例,MATCH("升星次数",坦克属性分配比例标头,0),FALSE)*VLOOKUP($BJ183,$AR$3:$AY$33,MATCH("换弹时间",$AR$3:$AY$3,0),FALSE),1),0)</f>
        <v>0</v>
      </c>
      <c r="BX183" s="2">
        <f>ROUND(VLOOKUP($BJ183,$AI$3:$AO$33,MATCH(BX$3,$AI$3:$AO$3,0),FALSE)+$BL183/VLOOKUP(VLOOKUP($BJ183,坦克个性化设定!$B$18:$E$48,4,FALSE)&amp;$BK183,坦克属性分配比例,MATCH("升星次数",坦克属性分配比例标头,0),FALSE)*VLOOKUP($BJ183,$AR$3:$AY$33,MATCH(BX$3,$AR$3:$AY$3,0),FALSE),2)</f>
        <v>0.26</v>
      </c>
      <c r="BY183" s="2">
        <f>ROUND(VLOOKUP($BJ183,$AI$3:$AO$33,MATCH(BY$3,$AI$3:$AO$3,0),FALSE)-$BL183/VLOOKUP(VLOOKUP($BJ183,坦克个性化设定!$B$18:$E$48,4,FALSE)&amp;$BK183,坦克属性分配比例,MATCH("升星次数",坦克属性分配比例标头,0),FALSE)*VLOOKUP($BJ183,$AR$3:$AY$33,MATCH(BY$3,$AR$3:$AY$3,0),FALSE),2)</f>
        <v>1.84</v>
      </c>
    </row>
    <row r="184" spans="60:77" x14ac:dyDescent="0.3">
      <c r="BH184" s="2" t="str">
        <f t="shared" si="27"/>
        <v>百夫长2</v>
      </c>
      <c r="BI184" s="2">
        <f>IF(BL183&gt;=VLOOKUP(VLOOKUP(BJ183,坦克个性化设定!$B$18:$E$48,4,FALSE)&amp;BK183,坦克属性分配比例,MATCH("升星次数",坦克属性分配比例标头,0),FALSE),BI183+1,BI183)</f>
        <v>19</v>
      </c>
      <c r="BJ184" s="2" t="str">
        <f t="shared" si="28"/>
        <v>百夫长</v>
      </c>
      <c r="BK184" s="29" t="str">
        <f>VLOOKUP(BJ184,坦克个性化细分!$I$3:$J$33,2,FALSE)</f>
        <v>高</v>
      </c>
      <c r="BL184" s="2">
        <f t="shared" si="26"/>
        <v>2</v>
      </c>
      <c r="BM184" s="103" t="e">
        <f ca="1">ROUND(VLOOKUP($BJ184&amp;"初始",$S$3:$AE$63,MATCH(BM$3,$S$3:$AE$3,0),FALSE)+((VLOOKUP($BJ184&amp;"最终",$S$3:$AE$63,MATCH(BM$3,$S$3:$AE$3,0),FALSE)*坦克个性化细分!$C$9-VLOOKUP($BJ184&amp;"初始",$S$3:$AE$63,MATCH(BM$3,$S$3:$AE$3,0),FALSE))-(VLOOKUP($BJ184&amp;"最终",$S$3:$AE$63,MATCH(BM$3,$S$3:$AE$3,0),FALSE)-VLOOKUP($BJ184&amp;"初始",$S$3:$AE$63,MATCH(BM$3,$S$3:$AE$3,0),FALSE))*VLOOKUP(VLOOKUP($BJ184,坦克个性化设定!$B$18:$E$48,4,FALSE)&amp;$BK184,坦克属性分配比例,MATCH("部件比例",坦克属性分配比例标头,0),FALSE))*$BL184/VLOOKUP(VLOOKUP($BJ184,坦克个性化设定!$B$18:$E$48,4,FALSE)&amp;$BK184,坦克属性分配比例,MATCH("升星次数",坦克属性分配比例标头,0),FALSE),0)</f>
        <v>#N/A</v>
      </c>
      <c r="BN184" s="103" t="e">
        <f ca="1">ROUND(VLOOKUP($BJ184&amp;"初始",$S$3:$AE$63,MATCH(BN$3,$S$3:$AE$3,0),FALSE)+(VLOOKUP($BJ184&amp;"最终",$S$3:$AE$63,MATCH(BN$3,$S$3:$AE$3,0),FALSE)-VLOOKUP($BJ184&amp;"初始",$S$3:$AE$63,MATCH(BN$3,$S$3:$AE$3,0),FALSE))*$BL184/VLOOKUP(VLOOKUP($BJ184,坦克个性化设定!$B$18:$E$48,4,FALSE)&amp;$BK184,坦克属性分配比例,MATCH("升星次数",坦克属性分配比例标头,0),FALSE)*VLOOKUP(VLOOKUP($BJ184,坦克个性化设定!$B$18:$E$48,4,FALSE)&amp;$BK184,坦克属性分配比例,MATCH("升星比例",坦克属性分配比例标头,0),FALSE),0)</f>
        <v>#N/A</v>
      </c>
      <c r="BO184" s="103" t="e">
        <f ca="1">ROUND(VLOOKUP($BJ184&amp;"初始",$S$3:$AE$63,MATCH(BO$3,$S$3:$AE$3,0),FALSE)+(VLOOKUP($BJ184&amp;"最终",$S$3:$AE$63,MATCH(BO$3,$S$3:$AE$3,0),FALSE)-VLOOKUP($BJ184&amp;"初始",$S$3:$AE$63,MATCH(BO$3,$S$3:$AE$3,0),FALSE))*$BL184/VLOOKUP(VLOOKUP($BJ184,坦克个性化设定!$B$18:$E$48,4,FALSE)&amp;$BK184,坦克属性分配比例,MATCH("升星次数",坦克属性分配比例标头,0),FALSE)*(VLOOKUP(VLOOKUP($BJ184,坦克个性化设定!$B$18:$E$48,4,FALSE)&amp;$BK184,坦克属性分配比例,MATCH("升星比例",坦克属性分配比例标头,0),FALSE)+VLOOKUP(VLOOKUP($BJ184,坦克个性化设定!$B$18:$E$48,4,FALSE)&amp;$BK184,坦克属性分配比例,MATCH("部件比例",坦克属性分配比例标头,0),FALSE)*$C$3),0)</f>
        <v>#N/A</v>
      </c>
      <c r="BP184" s="103" t="e">
        <f ca="1">ROUND(VLOOKUP($BJ184&amp;"初始",$S$3:$AE$63,MATCH(BP$3,$S$3:$AE$3,0),FALSE)+(VLOOKUP($BJ184&amp;"最终",$S$3:$AE$63,MATCH(BP$3,$S$3:$AE$3,0),FALSE)-VLOOKUP($BJ184&amp;"初始",$S$3:$AE$63,MATCH(BP$3,$S$3:$AE$3,0),FALSE))*$BL184/VLOOKUP(VLOOKUP($BJ184,坦克个性化设定!$B$18:$E$48,4,FALSE)&amp;$BK184,坦克属性分配比例,MATCH("升星次数",坦克属性分配比例标头,0),FALSE)*(VLOOKUP(VLOOKUP($BJ184,坦克个性化设定!$B$18:$E$48,4,FALSE)&amp;$BK184,坦克属性分配比例,MATCH("升星比例",坦克属性分配比例标头,0),FALSE)+VLOOKUP(VLOOKUP($BJ184,坦克个性化设定!$B$18:$E$48,4,FALSE)&amp;$BK184,坦克属性分配比例,MATCH("部件比例",坦克属性分配比例标头,0),FALSE)*$C$3),0)</f>
        <v>#N/A</v>
      </c>
      <c r="BQ184" s="103" t="e">
        <f ca="1">ROUND(VLOOKUP($BJ184&amp;"初始",$S$3:$AE$63,MATCH(BQ$3,$S$3:$AE$3,0),FALSE)+(VLOOKUP($BJ184&amp;"最终",$S$3:$AE$63,MATCH(BQ$3,$S$3:$AE$3,0),FALSE)-VLOOKUP($BJ184&amp;"初始",$S$3:$AE$63,MATCH(BQ$3,$S$3:$AE$3,0),FALSE))*$BL184/VLOOKUP(VLOOKUP($BJ184,坦克个性化设定!$B$18:$E$48,4,FALSE)&amp;$BK184,坦克属性分配比例,MATCH("升星次数",坦克属性分配比例标头,0),FALSE)*VLOOKUP(VLOOKUP($BJ184,坦克个性化设定!$B$18:$E$48,4,FALSE)&amp;$BK184,坦克属性分配比例,MATCH("升星比例",坦克属性分配比例标头,0),FALSE),0)</f>
        <v>#N/A</v>
      </c>
      <c r="BR184" s="2" t="e">
        <f ca="1">ROUND(VLOOKUP($BJ184&amp;"初始",$S$3:$AE$63,MATCH(BR$3,$S$3:$AE$3,0),FALSE)+(VLOOKUP($BJ184&amp;"最终",$S$3:$AE$63,MATCH(BR$3,$S$3:$AE$3,0),FALSE)-VLOOKUP($BJ184&amp;"初始",$S$3:$AE$63,MATCH(BR$3,$S$3:$AE$3,0),FALSE))*$BL184/VLOOKUP(VLOOKUP($BJ184,坦克个性化设定!$B$18:$E$48,4,FALSE)&amp;$BK184,坦克属性分配比例,MATCH("升星次数",坦克属性分配比例标头,0),FALSE),0)</f>
        <v>#N/A</v>
      </c>
      <c r="BS184" s="2">
        <f>ROUND(VLOOKUP($BJ184,$AI$3:$AO$33,MATCH(BS$3,$AI$3:$AO$3,0),FALSE)+$BL184/VLOOKUP(VLOOKUP($BJ184,坦克个性化设定!$B$18:$E$48,4,FALSE)&amp;$BK184,坦克属性分配比例,MATCH("升星次数",坦克属性分配比例标头,0),FALSE)*VLOOKUP($BJ184,$AR$3:$AY$33,MATCH(BS$3,$AR$3:$AY$3,0),FALSE),1)</f>
        <v>48.8</v>
      </c>
      <c r="BT184" s="2">
        <f>ROUND(VLOOKUP($BJ184,$AI$3:$AO$33,MATCH(BT$3,$AI$3:$AO$3,0),FALSE)+$BL184/VLOOKUP(VLOOKUP($BJ184,坦克个性化设定!$B$18:$E$48,4,FALSE)&amp;$BK184,坦克属性分配比例,MATCH("升星次数",坦克属性分配比例标头,0),FALSE)*VLOOKUP($BJ184,$AR$3:$AY$33,MATCH(BT$3,$AR$3:$AY$3,0),FALSE),1)</f>
        <v>43.9</v>
      </c>
      <c r="BU184" s="2">
        <f>ROUND(VLOOKUP($BJ184,$AI$3:$AO$33,MATCH(BU$3,$AI$3:$AO$3,0),FALSE)+$BL184/VLOOKUP(VLOOKUP($BJ184,坦克个性化设定!$B$18:$E$48,4,FALSE)&amp;$BK184,坦克属性分配比例,MATCH("升星次数",坦克属性分配比例标头,0),FALSE)*VLOOKUP($BJ184,$AR$3:$AY$33,MATCH(BU$3,$AR$3:$AY$3,0),FALSE),1)</f>
        <v>8.4</v>
      </c>
      <c r="BV184" s="2">
        <f>IF(VLOOKUP(BJ184,坦克个性化设定!$B$18:$BC$48,MATCH("装弹类型",坦克个性化设定!$B$18:$BC$18,0),FALSE)="弹夹换弹",0,ROUND(VLOOKUP($BJ184,$AI$3:$AO$33,MATCH("换弹时间",$AI$3:$AO$3,0),FALSE)-$BL184/VLOOKUP(VLOOKUP($BJ184,坦克个性化设定!$B$18:$E$48,4,FALSE)&amp;$BK184,坦克属性分配比例,MATCH("升星次数",坦克属性分配比例标头,0),FALSE)*VLOOKUP($BJ184,$AR$3:$AY$33,MATCH("换弹时间",$AR$3:$AY$3,0),FALSE),2))</f>
        <v>2.34</v>
      </c>
      <c r="BW184" s="2">
        <f>IF(VLOOKUP(BJ184,坦克个性化设定!$B$18:$BC$48,MATCH("装弹类型",坦克个性化设定!$B$18:$BC$18,0),FALSE)="弹夹换弹",ROUND(VLOOKUP($BJ184,$AI$3:$AO$33,MATCH("换弹时间",$AI$3:$AO$3,0),FALSE)-$BL184/VLOOKUP(VLOOKUP($BJ184,坦克个性化设定!$B$18:$E$48,4,FALSE)&amp;$BK184,坦克属性分配比例,MATCH("升星次数",坦克属性分配比例标头,0),FALSE)*VLOOKUP($BJ184,$AR$3:$AY$33,MATCH("换弹时间",$AR$3:$AY$3,0),FALSE),1),0)</f>
        <v>0</v>
      </c>
      <c r="BX184" s="2">
        <f>ROUND(VLOOKUP($BJ184,$AI$3:$AO$33,MATCH(BX$3,$AI$3:$AO$3,0),FALSE)+$BL184/VLOOKUP(VLOOKUP($BJ184,坦克个性化设定!$B$18:$E$48,4,FALSE)&amp;$BK184,坦克属性分配比例,MATCH("升星次数",坦克属性分配比例标头,0),FALSE)*VLOOKUP($BJ184,$AR$3:$AY$33,MATCH(BX$3,$AR$3:$AY$3,0),FALSE),2)</f>
        <v>0.26</v>
      </c>
      <c r="BY184" s="2">
        <f>ROUND(VLOOKUP($BJ184,$AI$3:$AO$33,MATCH(BY$3,$AI$3:$AO$3,0),FALSE)-$BL184/VLOOKUP(VLOOKUP($BJ184,坦克个性化设定!$B$18:$E$48,4,FALSE)&amp;$BK184,坦克属性分配比例,MATCH("升星次数",坦克属性分配比例标头,0),FALSE)*VLOOKUP($BJ184,$AR$3:$AY$33,MATCH(BY$3,$AR$3:$AY$3,0),FALSE),2)</f>
        <v>1.81</v>
      </c>
    </row>
    <row r="185" spans="60:77" x14ac:dyDescent="0.3">
      <c r="BH185" s="2" t="str">
        <f t="shared" si="27"/>
        <v>百夫长3</v>
      </c>
      <c r="BI185" s="2">
        <f>IF(BL184&gt;=VLOOKUP(VLOOKUP(BJ184,坦克个性化设定!$B$18:$E$48,4,FALSE)&amp;BK184,坦克属性分配比例,MATCH("升星次数",坦克属性分配比例标头,0),FALSE),BI184+1,BI184)</f>
        <v>19</v>
      </c>
      <c r="BJ185" s="2" t="str">
        <f t="shared" si="28"/>
        <v>百夫长</v>
      </c>
      <c r="BK185" s="29" t="str">
        <f>VLOOKUP(BJ185,坦克个性化细分!$I$3:$J$33,2,FALSE)</f>
        <v>高</v>
      </c>
      <c r="BL185" s="2">
        <f t="shared" si="26"/>
        <v>3</v>
      </c>
      <c r="BM185" s="103" t="e">
        <f ca="1">ROUND(VLOOKUP($BJ185&amp;"初始",$S$3:$AE$63,MATCH(BM$3,$S$3:$AE$3,0),FALSE)+((VLOOKUP($BJ185&amp;"最终",$S$3:$AE$63,MATCH(BM$3,$S$3:$AE$3,0),FALSE)*坦克个性化细分!$C$9-VLOOKUP($BJ185&amp;"初始",$S$3:$AE$63,MATCH(BM$3,$S$3:$AE$3,0),FALSE))-(VLOOKUP($BJ185&amp;"最终",$S$3:$AE$63,MATCH(BM$3,$S$3:$AE$3,0),FALSE)-VLOOKUP($BJ185&amp;"初始",$S$3:$AE$63,MATCH(BM$3,$S$3:$AE$3,0),FALSE))*VLOOKUP(VLOOKUP($BJ185,坦克个性化设定!$B$18:$E$48,4,FALSE)&amp;$BK185,坦克属性分配比例,MATCH("部件比例",坦克属性分配比例标头,0),FALSE))*$BL185/VLOOKUP(VLOOKUP($BJ185,坦克个性化设定!$B$18:$E$48,4,FALSE)&amp;$BK185,坦克属性分配比例,MATCH("升星次数",坦克属性分配比例标头,0),FALSE),0)</f>
        <v>#N/A</v>
      </c>
      <c r="BN185" s="103" t="e">
        <f ca="1">ROUND(VLOOKUP($BJ185&amp;"初始",$S$3:$AE$63,MATCH(BN$3,$S$3:$AE$3,0),FALSE)+(VLOOKUP($BJ185&amp;"最终",$S$3:$AE$63,MATCH(BN$3,$S$3:$AE$3,0),FALSE)-VLOOKUP($BJ185&amp;"初始",$S$3:$AE$63,MATCH(BN$3,$S$3:$AE$3,0),FALSE))*$BL185/VLOOKUP(VLOOKUP($BJ185,坦克个性化设定!$B$18:$E$48,4,FALSE)&amp;$BK185,坦克属性分配比例,MATCH("升星次数",坦克属性分配比例标头,0),FALSE)*VLOOKUP(VLOOKUP($BJ185,坦克个性化设定!$B$18:$E$48,4,FALSE)&amp;$BK185,坦克属性分配比例,MATCH("升星比例",坦克属性分配比例标头,0),FALSE),0)</f>
        <v>#N/A</v>
      </c>
      <c r="BO185" s="103" t="e">
        <f ca="1">ROUND(VLOOKUP($BJ185&amp;"初始",$S$3:$AE$63,MATCH(BO$3,$S$3:$AE$3,0),FALSE)+(VLOOKUP($BJ185&amp;"最终",$S$3:$AE$63,MATCH(BO$3,$S$3:$AE$3,0),FALSE)-VLOOKUP($BJ185&amp;"初始",$S$3:$AE$63,MATCH(BO$3,$S$3:$AE$3,0),FALSE))*$BL185/VLOOKUP(VLOOKUP($BJ185,坦克个性化设定!$B$18:$E$48,4,FALSE)&amp;$BK185,坦克属性分配比例,MATCH("升星次数",坦克属性分配比例标头,0),FALSE)*(VLOOKUP(VLOOKUP($BJ185,坦克个性化设定!$B$18:$E$48,4,FALSE)&amp;$BK185,坦克属性分配比例,MATCH("升星比例",坦克属性分配比例标头,0),FALSE)+VLOOKUP(VLOOKUP($BJ185,坦克个性化设定!$B$18:$E$48,4,FALSE)&amp;$BK185,坦克属性分配比例,MATCH("部件比例",坦克属性分配比例标头,0),FALSE)*$C$3),0)</f>
        <v>#N/A</v>
      </c>
      <c r="BP185" s="103" t="e">
        <f ca="1">ROUND(VLOOKUP($BJ185&amp;"初始",$S$3:$AE$63,MATCH(BP$3,$S$3:$AE$3,0),FALSE)+(VLOOKUP($BJ185&amp;"最终",$S$3:$AE$63,MATCH(BP$3,$S$3:$AE$3,0),FALSE)-VLOOKUP($BJ185&amp;"初始",$S$3:$AE$63,MATCH(BP$3,$S$3:$AE$3,0),FALSE))*$BL185/VLOOKUP(VLOOKUP($BJ185,坦克个性化设定!$B$18:$E$48,4,FALSE)&amp;$BK185,坦克属性分配比例,MATCH("升星次数",坦克属性分配比例标头,0),FALSE)*(VLOOKUP(VLOOKUP($BJ185,坦克个性化设定!$B$18:$E$48,4,FALSE)&amp;$BK185,坦克属性分配比例,MATCH("升星比例",坦克属性分配比例标头,0),FALSE)+VLOOKUP(VLOOKUP($BJ185,坦克个性化设定!$B$18:$E$48,4,FALSE)&amp;$BK185,坦克属性分配比例,MATCH("部件比例",坦克属性分配比例标头,0),FALSE)*$C$3),0)</f>
        <v>#N/A</v>
      </c>
      <c r="BQ185" s="103" t="e">
        <f ca="1">ROUND(VLOOKUP($BJ185&amp;"初始",$S$3:$AE$63,MATCH(BQ$3,$S$3:$AE$3,0),FALSE)+(VLOOKUP($BJ185&amp;"最终",$S$3:$AE$63,MATCH(BQ$3,$S$3:$AE$3,0),FALSE)-VLOOKUP($BJ185&amp;"初始",$S$3:$AE$63,MATCH(BQ$3,$S$3:$AE$3,0),FALSE))*$BL185/VLOOKUP(VLOOKUP($BJ185,坦克个性化设定!$B$18:$E$48,4,FALSE)&amp;$BK185,坦克属性分配比例,MATCH("升星次数",坦克属性分配比例标头,0),FALSE)*VLOOKUP(VLOOKUP($BJ185,坦克个性化设定!$B$18:$E$48,4,FALSE)&amp;$BK185,坦克属性分配比例,MATCH("升星比例",坦克属性分配比例标头,0),FALSE),0)</f>
        <v>#N/A</v>
      </c>
      <c r="BR185" s="2" t="e">
        <f ca="1">ROUND(VLOOKUP($BJ185&amp;"初始",$S$3:$AE$63,MATCH(BR$3,$S$3:$AE$3,0),FALSE)+(VLOOKUP($BJ185&amp;"最终",$S$3:$AE$63,MATCH(BR$3,$S$3:$AE$3,0),FALSE)-VLOOKUP($BJ185&amp;"初始",$S$3:$AE$63,MATCH(BR$3,$S$3:$AE$3,0),FALSE))*$BL185/VLOOKUP(VLOOKUP($BJ185,坦克个性化设定!$B$18:$E$48,4,FALSE)&amp;$BK185,坦克属性分配比例,MATCH("升星次数",坦克属性分配比例标头,0),FALSE),0)</f>
        <v>#N/A</v>
      </c>
      <c r="BS185" s="2">
        <f>ROUND(VLOOKUP($BJ185,$AI$3:$AO$33,MATCH(BS$3,$AI$3:$AO$3,0),FALSE)+$BL185/VLOOKUP(VLOOKUP($BJ185,坦克个性化设定!$B$18:$E$48,4,FALSE)&amp;$BK185,坦克属性分配比例,MATCH("升星次数",坦克属性分配比例标头,0),FALSE)*VLOOKUP($BJ185,$AR$3:$AY$33,MATCH(BS$3,$AR$3:$AY$3,0),FALSE),1)</f>
        <v>49.9</v>
      </c>
      <c r="BT185" s="2">
        <f>ROUND(VLOOKUP($BJ185,$AI$3:$AO$33,MATCH(BT$3,$AI$3:$AO$3,0),FALSE)+$BL185/VLOOKUP(VLOOKUP($BJ185,坦克个性化设定!$B$18:$E$48,4,FALSE)&amp;$BK185,坦克属性分配比例,MATCH("升星次数",坦克属性分配比例标头,0),FALSE)*VLOOKUP($BJ185,$AR$3:$AY$33,MATCH(BT$3,$AR$3:$AY$3,0),FALSE),1)</f>
        <v>44.9</v>
      </c>
      <c r="BU185" s="2">
        <f>ROUND(VLOOKUP($BJ185,$AI$3:$AO$33,MATCH(BU$3,$AI$3:$AO$3,0),FALSE)+$BL185/VLOOKUP(VLOOKUP($BJ185,坦克个性化设定!$B$18:$E$48,4,FALSE)&amp;$BK185,坦克属性分配比例,MATCH("升星次数",坦克属性分配比例标头,0),FALSE)*VLOOKUP($BJ185,$AR$3:$AY$33,MATCH(BU$3,$AR$3:$AY$3,0),FALSE),1)</f>
        <v>8.4</v>
      </c>
      <c r="BV185" s="2">
        <f>IF(VLOOKUP(BJ185,坦克个性化设定!$B$18:$BC$48,MATCH("装弹类型",坦克个性化设定!$B$18:$BC$18,0),FALSE)="弹夹换弹",0,ROUND(VLOOKUP($BJ185,$AI$3:$AO$33,MATCH("换弹时间",$AI$3:$AO$3,0),FALSE)-$BL185/VLOOKUP(VLOOKUP($BJ185,坦克个性化设定!$B$18:$E$48,4,FALSE)&amp;$BK185,坦克属性分配比例,MATCH("升星次数",坦克属性分配比例标头,0),FALSE)*VLOOKUP($BJ185,$AR$3:$AY$33,MATCH("换弹时间",$AR$3:$AY$3,0),FALSE),2))</f>
        <v>2.2999999999999998</v>
      </c>
      <c r="BW185" s="2">
        <f>IF(VLOOKUP(BJ185,坦克个性化设定!$B$18:$BC$48,MATCH("装弹类型",坦克个性化设定!$B$18:$BC$18,0),FALSE)="弹夹换弹",ROUND(VLOOKUP($BJ185,$AI$3:$AO$33,MATCH("换弹时间",$AI$3:$AO$3,0),FALSE)-$BL185/VLOOKUP(VLOOKUP($BJ185,坦克个性化设定!$B$18:$E$48,4,FALSE)&amp;$BK185,坦克属性分配比例,MATCH("升星次数",坦克属性分配比例标头,0),FALSE)*VLOOKUP($BJ185,$AR$3:$AY$33,MATCH("换弹时间",$AR$3:$AY$3,0),FALSE),1),0)</f>
        <v>0</v>
      </c>
      <c r="BX185" s="2">
        <f>ROUND(VLOOKUP($BJ185,$AI$3:$AO$33,MATCH(BX$3,$AI$3:$AO$3,0),FALSE)+$BL185/VLOOKUP(VLOOKUP($BJ185,坦克个性化设定!$B$18:$E$48,4,FALSE)&amp;$BK185,坦克属性分配比例,MATCH("升星次数",坦克属性分配比例标头,0),FALSE)*VLOOKUP($BJ185,$AR$3:$AY$33,MATCH(BX$3,$AR$3:$AY$3,0),FALSE),2)</f>
        <v>0.26</v>
      </c>
      <c r="BY185" s="2">
        <f>ROUND(VLOOKUP($BJ185,$AI$3:$AO$33,MATCH(BY$3,$AI$3:$AO$3,0),FALSE)-$BL185/VLOOKUP(VLOOKUP($BJ185,坦克个性化设定!$B$18:$E$48,4,FALSE)&amp;$BK185,坦克属性分配比例,MATCH("升星次数",坦克属性分配比例标头,0),FALSE)*VLOOKUP($BJ185,$AR$3:$AY$33,MATCH(BY$3,$AR$3:$AY$3,0),FALSE),2)</f>
        <v>1.79</v>
      </c>
    </row>
    <row r="186" spans="60:77" x14ac:dyDescent="0.3">
      <c r="BH186" s="2" t="str">
        <f t="shared" si="27"/>
        <v>百夫长4</v>
      </c>
      <c r="BI186" s="2">
        <f>IF(BL185&gt;=VLOOKUP(VLOOKUP(BJ185,坦克个性化设定!$B$18:$E$48,4,FALSE)&amp;BK185,坦克属性分配比例,MATCH("升星次数",坦克属性分配比例标头,0),FALSE),BI185+1,BI185)</f>
        <v>19</v>
      </c>
      <c r="BJ186" s="2" t="str">
        <f t="shared" si="28"/>
        <v>百夫长</v>
      </c>
      <c r="BK186" s="29" t="str">
        <f>VLOOKUP(BJ186,坦克个性化细分!$I$3:$J$33,2,FALSE)</f>
        <v>高</v>
      </c>
      <c r="BL186" s="2">
        <f t="shared" si="26"/>
        <v>4</v>
      </c>
      <c r="BM186" s="103" t="e">
        <f ca="1">ROUND(VLOOKUP($BJ186&amp;"初始",$S$3:$AE$63,MATCH(BM$3,$S$3:$AE$3,0),FALSE)+((VLOOKUP($BJ186&amp;"最终",$S$3:$AE$63,MATCH(BM$3,$S$3:$AE$3,0),FALSE)*坦克个性化细分!$C$9-VLOOKUP($BJ186&amp;"初始",$S$3:$AE$63,MATCH(BM$3,$S$3:$AE$3,0),FALSE))-(VLOOKUP($BJ186&amp;"最终",$S$3:$AE$63,MATCH(BM$3,$S$3:$AE$3,0),FALSE)-VLOOKUP($BJ186&amp;"初始",$S$3:$AE$63,MATCH(BM$3,$S$3:$AE$3,0),FALSE))*VLOOKUP(VLOOKUP($BJ186,坦克个性化设定!$B$18:$E$48,4,FALSE)&amp;$BK186,坦克属性分配比例,MATCH("部件比例",坦克属性分配比例标头,0),FALSE))*$BL186/VLOOKUP(VLOOKUP($BJ186,坦克个性化设定!$B$18:$E$48,4,FALSE)&amp;$BK186,坦克属性分配比例,MATCH("升星次数",坦克属性分配比例标头,0),FALSE),0)</f>
        <v>#N/A</v>
      </c>
      <c r="BN186" s="103" t="e">
        <f ca="1">ROUND(VLOOKUP($BJ186&amp;"初始",$S$3:$AE$63,MATCH(BN$3,$S$3:$AE$3,0),FALSE)+(VLOOKUP($BJ186&amp;"最终",$S$3:$AE$63,MATCH(BN$3,$S$3:$AE$3,0),FALSE)-VLOOKUP($BJ186&amp;"初始",$S$3:$AE$63,MATCH(BN$3,$S$3:$AE$3,0),FALSE))*$BL186/VLOOKUP(VLOOKUP($BJ186,坦克个性化设定!$B$18:$E$48,4,FALSE)&amp;$BK186,坦克属性分配比例,MATCH("升星次数",坦克属性分配比例标头,0),FALSE)*VLOOKUP(VLOOKUP($BJ186,坦克个性化设定!$B$18:$E$48,4,FALSE)&amp;$BK186,坦克属性分配比例,MATCH("升星比例",坦克属性分配比例标头,0),FALSE),0)</f>
        <v>#N/A</v>
      </c>
      <c r="BO186" s="103" t="e">
        <f ca="1">ROUND(VLOOKUP($BJ186&amp;"初始",$S$3:$AE$63,MATCH(BO$3,$S$3:$AE$3,0),FALSE)+(VLOOKUP($BJ186&amp;"最终",$S$3:$AE$63,MATCH(BO$3,$S$3:$AE$3,0),FALSE)-VLOOKUP($BJ186&amp;"初始",$S$3:$AE$63,MATCH(BO$3,$S$3:$AE$3,0),FALSE))*$BL186/VLOOKUP(VLOOKUP($BJ186,坦克个性化设定!$B$18:$E$48,4,FALSE)&amp;$BK186,坦克属性分配比例,MATCH("升星次数",坦克属性分配比例标头,0),FALSE)*(VLOOKUP(VLOOKUP($BJ186,坦克个性化设定!$B$18:$E$48,4,FALSE)&amp;$BK186,坦克属性分配比例,MATCH("升星比例",坦克属性分配比例标头,0),FALSE)+VLOOKUP(VLOOKUP($BJ186,坦克个性化设定!$B$18:$E$48,4,FALSE)&amp;$BK186,坦克属性分配比例,MATCH("部件比例",坦克属性分配比例标头,0),FALSE)*$C$3),0)</f>
        <v>#N/A</v>
      </c>
      <c r="BP186" s="103" t="e">
        <f ca="1">ROUND(VLOOKUP($BJ186&amp;"初始",$S$3:$AE$63,MATCH(BP$3,$S$3:$AE$3,0),FALSE)+(VLOOKUP($BJ186&amp;"最终",$S$3:$AE$63,MATCH(BP$3,$S$3:$AE$3,0),FALSE)-VLOOKUP($BJ186&amp;"初始",$S$3:$AE$63,MATCH(BP$3,$S$3:$AE$3,0),FALSE))*$BL186/VLOOKUP(VLOOKUP($BJ186,坦克个性化设定!$B$18:$E$48,4,FALSE)&amp;$BK186,坦克属性分配比例,MATCH("升星次数",坦克属性分配比例标头,0),FALSE)*(VLOOKUP(VLOOKUP($BJ186,坦克个性化设定!$B$18:$E$48,4,FALSE)&amp;$BK186,坦克属性分配比例,MATCH("升星比例",坦克属性分配比例标头,0),FALSE)+VLOOKUP(VLOOKUP($BJ186,坦克个性化设定!$B$18:$E$48,4,FALSE)&amp;$BK186,坦克属性分配比例,MATCH("部件比例",坦克属性分配比例标头,0),FALSE)*$C$3),0)</f>
        <v>#N/A</v>
      </c>
      <c r="BQ186" s="103" t="e">
        <f ca="1">ROUND(VLOOKUP($BJ186&amp;"初始",$S$3:$AE$63,MATCH(BQ$3,$S$3:$AE$3,0),FALSE)+(VLOOKUP($BJ186&amp;"最终",$S$3:$AE$63,MATCH(BQ$3,$S$3:$AE$3,0),FALSE)-VLOOKUP($BJ186&amp;"初始",$S$3:$AE$63,MATCH(BQ$3,$S$3:$AE$3,0),FALSE))*$BL186/VLOOKUP(VLOOKUP($BJ186,坦克个性化设定!$B$18:$E$48,4,FALSE)&amp;$BK186,坦克属性分配比例,MATCH("升星次数",坦克属性分配比例标头,0),FALSE)*VLOOKUP(VLOOKUP($BJ186,坦克个性化设定!$B$18:$E$48,4,FALSE)&amp;$BK186,坦克属性分配比例,MATCH("升星比例",坦克属性分配比例标头,0),FALSE),0)</f>
        <v>#N/A</v>
      </c>
      <c r="BR186" s="2" t="e">
        <f ca="1">ROUND(VLOOKUP($BJ186&amp;"初始",$S$3:$AE$63,MATCH(BR$3,$S$3:$AE$3,0),FALSE)+(VLOOKUP($BJ186&amp;"最终",$S$3:$AE$63,MATCH(BR$3,$S$3:$AE$3,0),FALSE)-VLOOKUP($BJ186&amp;"初始",$S$3:$AE$63,MATCH(BR$3,$S$3:$AE$3,0),FALSE))*$BL186/VLOOKUP(VLOOKUP($BJ186,坦克个性化设定!$B$18:$E$48,4,FALSE)&amp;$BK186,坦克属性分配比例,MATCH("升星次数",坦克属性分配比例标头,0),FALSE),0)</f>
        <v>#N/A</v>
      </c>
      <c r="BS186" s="2">
        <f>ROUND(VLOOKUP($BJ186,$AI$3:$AO$33,MATCH(BS$3,$AI$3:$AO$3,0),FALSE)+$BL186/VLOOKUP(VLOOKUP($BJ186,坦克个性化设定!$B$18:$E$48,4,FALSE)&amp;$BK186,坦克属性分配比例,MATCH("升星次数",坦克属性分配比例标头,0),FALSE)*VLOOKUP($BJ186,$AR$3:$AY$33,MATCH(BS$3,$AR$3:$AY$3,0),FALSE),1)</f>
        <v>50.9</v>
      </c>
      <c r="BT186" s="2">
        <f>ROUND(VLOOKUP($BJ186,$AI$3:$AO$33,MATCH(BT$3,$AI$3:$AO$3,0),FALSE)+$BL186/VLOOKUP(VLOOKUP($BJ186,坦克个性化设定!$B$18:$E$48,4,FALSE)&amp;$BK186,坦克属性分配比例,MATCH("升星次数",坦克属性分配比例标头,0),FALSE)*VLOOKUP($BJ186,$AR$3:$AY$33,MATCH(BT$3,$AR$3:$AY$3,0),FALSE),1)</f>
        <v>45.8</v>
      </c>
      <c r="BU186" s="2">
        <f>ROUND(VLOOKUP($BJ186,$AI$3:$AO$33,MATCH(BU$3,$AI$3:$AO$3,0),FALSE)+$BL186/VLOOKUP(VLOOKUP($BJ186,坦克个性化设定!$B$18:$E$48,4,FALSE)&amp;$BK186,坦克属性分配比例,MATCH("升星次数",坦克属性分配比例标头,0),FALSE)*VLOOKUP($BJ186,$AR$3:$AY$33,MATCH(BU$3,$AR$3:$AY$3,0),FALSE),1)</f>
        <v>8.4</v>
      </c>
      <c r="BV186" s="2">
        <f>IF(VLOOKUP(BJ186,坦克个性化设定!$B$18:$BC$48,MATCH("装弹类型",坦克个性化设定!$B$18:$BC$18,0),FALSE)="弹夹换弹",0,ROUND(VLOOKUP($BJ186,$AI$3:$AO$33,MATCH("换弹时间",$AI$3:$AO$3,0),FALSE)-$BL186/VLOOKUP(VLOOKUP($BJ186,坦克个性化设定!$B$18:$E$48,4,FALSE)&amp;$BK186,坦克属性分配比例,MATCH("升星次数",坦克属性分配比例标头,0),FALSE)*VLOOKUP($BJ186,$AR$3:$AY$33,MATCH("换弹时间",$AR$3:$AY$3,0),FALSE),2))</f>
        <v>2.27</v>
      </c>
      <c r="BW186" s="2">
        <f>IF(VLOOKUP(BJ186,坦克个性化设定!$B$18:$BC$48,MATCH("装弹类型",坦克个性化设定!$B$18:$BC$18,0),FALSE)="弹夹换弹",ROUND(VLOOKUP($BJ186,$AI$3:$AO$33,MATCH("换弹时间",$AI$3:$AO$3,0),FALSE)-$BL186/VLOOKUP(VLOOKUP($BJ186,坦克个性化设定!$B$18:$E$48,4,FALSE)&amp;$BK186,坦克属性分配比例,MATCH("升星次数",坦克属性分配比例标头,0),FALSE)*VLOOKUP($BJ186,$AR$3:$AY$33,MATCH("换弹时间",$AR$3:$AY$3,0),FALSE),1),0)</f>
        <v>0</v>
      </c>
      <c r="BX186" s="2">
        <f>ROUND(VLOOKUP($BJ186,$AI$3:$AO$33,MATCH(BX$3,$AI$3:$AO$3,0),FALSE)+$BL186/VLOOKUP(VLOOKUP($BJ186,坦克个性化设定!$B$18:$E$48,4,FALSE)&amp;$BK186,坦克属性分配比例,MATCH("升星次数",坦克属性分配比例标头,0),FALSE)*VLOOKUP($BJ186,$AR$3:$AY$33,MATCH(BX$3,$AR$3:$AY$3,0),FALSE),2)</f>
        <v>0.26</v>
      </c>
      <c r="BY186" s="2">
        <f>ROUND(VLOOKUP($BJ186,$AI$3:$AO$33,MATCH(BY$3,$AI$3:$AO$3,0),FALSE)-$BL186/VLOOKUP(VLOOKUP($BJ186,坦克个性化设定!$B$18:$E$48,4,FALSE)&amp;$BK186,坦克属性分配比例,MATCH("升星次数",坦克属性分配比例标头,0),FALSE)*VLOOKUP($BJ186,$AR$3:$AY$33,MATCH(BY$3,$AR$3:$AY$3,0),FALSE),2)</f>
        <v>1.76</v>
      </c>
    </row>
    <row r="187" spans="60:77" x14ac:dyDescent="0.3">
      <c r="BH187" s="2" t="str">
        <f t="shared" si="27"/>
        <v>百夫长5</v>
      </c>
      <c r="BI187" s="2">
        <f>IF(BL186&gt;=VLOOKUP(VLOOKUP(BJ186,坦克个性化设定!$B$18:$E$48,4,FALSE)&amp;BK186,坦克属性分配比例,MATCH("升星次数",坦克属性分配比例标头,0),FALSE),BI186+1,BI186)</f>
        <v>19</v>
      </c>
      <c r="BJ187" s="2" t="str">
        <f t="shared" si="28"/>
        <v>百夫长</v>
      </c>
      <c r="BK187" s="29" t="str">
        <f>VLOOKUP(BJ187,坦克个性化细分!$I$3:$J$33,2,FALSE)</f>
        <v>高</v>
      </c>
      <c r="BL187" s="2">
        <f t="shared" si="26"/>
        <v>5</v>
      </c>
      <c r="BM187" s="103" t="e">
        <f ca="1">ROUND(VLOOKUP($BJ187&amp;"初始",$S$3:$AE$63,MATCH(BM$3,$S$3:$AE$3,0),FALSE)+((VLOOKUP($BJ187&amp;"最终",$S$3:$AE$63,MATCH(BM$3,$S$3:$AE$3,0),FALSE)*坦克个性化细分!$C$9-VLOOKUP($BJ187&amp;"初始",$S$3:$AE$63,MATCH(BM$3,$S$3:$AE$3,0),FALSE))-(VLOOKUP($BJ187&amp;"最终",$S$3:$AE$63,MATCH(BM$3,$S$3:$AE$3,0),FALSE)-VLOOKUP($BJ187&amp;"初始",$S$3:$AE$63,MATCH(BM$3,$S$3:$AE$3,0),FALSE))*VLOOKUP(VLOOKUP($BJ187,坦克个性化设定!$B$18:$E$48,4,FALSE)&amp;$BK187,坦克属性分配比例,MATCH("部件比例",坦克属性分配比例标头,0),FALSE))*$BL187/VLOOKUP(VLOOKUP($BJ187,坦克个性化设定!$B$18:$E$48,4,FALSE)&amp;$BK187,坦克属性分配比例,MATCH("升星次数",坦克属性分配比例标头,0),FALSE),0)</f>
        <v>#N/A</v>
      </c>
      <c r="BN187" s="103" t="e">
        <f ca="1">ROUND(VLOOKUP($BJ187&amp;"初始",$S$3:$AE$63,MATCH(BN$3,$S$3:$AE$3,0),FALSE)+(VLOOKUP($BJ187&amp;"最终",$S$3:$AE$63,MATCH(BN$3,$S$3:$AE$3,0),FALSE)-VLOOKUP($BJ187&amp;"初始",$S$3:$AE$63,MATCH(BN$3,$S$3:$AE$3,0),FALSE))*$BL187/VLOOKUP(VLOOKUP($BJ187,坦克个性化设定!$B$18:$E$48,4,FALSE)&amp;$BK187,坦克属性分配比例,MATCH("升星次数",坦克属性分配比例标头,0),FALSE)*VLOOKUP(VLOOKUP($BJ187,坦克个性化设定!$B$18:$E$48,4,FALSE)&amp;$BK187,坦克属性分配比例,MATCH("升星比例",坦克属性分配比例标头,0),FALSE),0)</f>
        <v>#N/A</v>
      </c>
      <c r="BO187" s="103" t="e">
        <f ca="1">ROUND(VLOOKUP($BJ187&amp;"初始",$S$3:$AE$63,MATCH(BO$3,$S$3:$AE$3,0),FALSE)+(VLOOKUP($BJ187&amp;"最终",$S$3:$AE$63,MATCH(BO$3,$S$3:$AE$3,0),FALSE)-VLOOKUP($BJ187&amp;"初始",$S$3:$AE$63,MATCH(BO$3,$S$3:$AE$3,0),FALSE))*$BL187/VLOOKUP(VLOOKUP($BJ187,坦克个性化设定!$B$18:$E$48,4,FALSE)&amp;$BK187,坦克属性分配比例,MATCH("升星次数",坦克属性分配比例标头,0),FALSE)*(VLOOKUP(VLOOKUP($BJ187,坦克个性化设定!$B$18:$E$48,4,FALSE)&amp;$BK187,坦克属性分配比例,MATCH("升星比例",坦克属性分配比例标头,0),FALSE)+VLOOKUP(VLOOKUP($BJ187,坦克个性化设定!$B$18:$E$48,4,FALSE)&amp;$BK187,坦克属性分配比例,MATCH("部件比例",坦克属性分配比例标头,0),FALSE)*$C$3),0)</f>
        <v>#N/A</v>
      </c>
      <c r="BP187" s="103" t="e">
        <f ca="1">ROUND(VLOOKUP($BJ187&amp;"初始",$S$3:$AE$63,MATCH(BP$3,$S$3:$AE$3,0),FALSE)+(VLOOKUP($BJ187&amp;"最终",$S$3:$AE$63,MATCH(BP$3,$S$3:$AE$3,0),FALSE)-VLOOKUP($BJ187&amp;"初始",$S$3:$AE$63,MATCH(BP$3,$S$3:$AE$3,0),FALSE))*$BL187/VLOOKUP(VLOOKUP($BJ187,坦克个性化设定!$B$18:$E$48,4,FALSE)&amp;$BK187,坦克属性分配比例,MATCH("升星次数",坦克属性分配比例标头,0),FALSE)*(VLOOKUP(VLOOKUP($BJ187,坦克个性化设定!$B$18:$E$48,4,FALSE)&amp;$BK187,坦克属性分配比例,MATCH("升星比例",坦克属性分配比例标头,0),FALSE)+VLOOKUP(VLOOKUP($BJ187,坦克个性化设定!$B$18:$E$48,4,FALSE)&amp;$BK187,坦克属性分配比例,MATCH("部件比例",坦克属性分配比例标头,0),FALSE)*$C$3),0)</f>
        <v>#N/A</v>
      </c>
      <c r="BQ187" s="103" t="e">
        <f ca="1">ROUND(VLOOKUP($BJ187&amp;"初始",$S$3:$AE$63,MATCH(BQ$3,$S$3:$AE$3,0),FALSE)+(VLOOKUP($BJ187&amp;"最终",$S$3:$AE$63,MATCH(BQ$3,$S$3:$AE$3,0),FALSE)-VLOOKUP($BJ187&amp;"初始",$S$3:$AE$63,MATCH(BQ$3,$S$3:$AE$3,0),FALSE))*$BL187/VLOOKUP(VLOOKUP($BJ187,坦克个性化设定!$B$18:$E$48,4,FALSE)&amp;$BK187,坦克属性分配比例,MATCH("升星次数",坦克属性分配比例标头,0),FALSE)*VLOOKUP(VLOOKUP($BJ187,坦克个性化设定!$B$18:$E$48,4,FALSE)&amp;$BK187,坦克属性分配比例,MATCH("升星比例",坦克属性分配比例标头,0),FALSE),0)</f>
        <v>#N/A</v>
      </c>
      <c r="BR187" s="2" t="e">
        <f ca="1">ROUND(VLOOKUP($BJ187&amp;"初始",$S$3:$AE$63,MATCH(BR$3,$S$3:$AE$3,0),FALSE)+(VLOOKUP($BJ187&amp;"最终",$S$3:$AE$63,MATCH(BR$3,$S$3:$AE$3,0),FALSE)-VLOOKUP($BJ187&amp;"初始",$S$3:$AE$63,MATCH(BR$3,$S$3:$AE$3,0),FALSE))*$BL187/VLOOKUP(VLOOKUP($BJ187,坦克个性化设定!$B$18:$E$48,4,FALSE)&amp;$BK187,坦克属性分配比例,MATCH("升星次数",坦克属性分配比例标头,0),FALSE),0)</f>
        <v>#N/A</v>
      </c>
      <c r="BS187" s="2">
        <f>ROUND(VLOOKUP($BJ187,$AI$3:$AO$33,MATCH(BS$3,$AI$3:$AO$3,0),FALSE)+$BL187/VLOOKUP(VLOOKUP($BJ187,坦克个性化设定!$B$18:$E$48,4,FALSE)&amp;$BK187,坦克属性分配比例,MATCH("升星次数",坦克属性分配比例标头,0),FALSE)*VLOOKUP($BJ187,$AR$3:$AY$33,MATCH(BS$3,$AR$3:$AY$3,0),FALSE),1)</f>
        <v>52</v>
      </c>
      <c r="BT187" s="2">
        <f>ROUND(VLOOKUP($BJ187,$AI$3:$AO$33,MATCH(BT$3,$AI$3:$AO$3,0),FALSE)+$BL187/VLOOKUP(VLOOKUP($BJ187,坦克个性化设定!$B$18:$E$48,4,FALSE)&amp;$BK187,坦克属性分配比例,MATCH("升星次数",坦克属性分配比例标头,0),FALSE)*VLOOKUP($BJ187,$AR$3:$AY$33,MATCH(BT$3,$AR$3:$AY$3,0),FALSE),1)</f>
        <v>46.8</v>
      </c>
      <c r="BU187" s="2">
        <f>ROUND(VLOOKUP($BJ187,$AI$3:$AO$33,MATCH(BU$3,$AI$3:$AO$3,0),FALSE)+$BL187/VLOOKUP(VLOOKUP($BJ187,坦克个性化设定!$B$18:$E$48,4,FALSE)&amp;$BK187,坦克属性分配比例,MATCH("升星次数",坦克属性分配比例标头,0),FALSE)*VLOOKUP($BJ187,$AR$3:$AY$33,MATCH(BU$3,$AR$3:$AY$3,0),FALSE),1)</f>
        <v>8.4</v>
      </c>
      <c r="BV187" s="2">
        <f>IF(VLOOKUP(BJ187,坦克个性化设定!$B$18:$BC$48,MATCH("装弹类型",坦克个性化设定!$B$18:$BC$18,0),FALSE)="弹夹换弹",0,ROUND(VLOOKUP($BJ187,$AI$3:$AO$33,MATCH("换弹时间",$AI$3:$AO$3,0),FALSE)-$BL187/VLOOKUP(VLOOKUP($BJ187,坦克个性化设定!$B$18:$E$48,4,FALSE)&amp;$BK187,坦克属性分配比例,MATCH("升星次数",坦克属性分配比例标头,0),FALSE)*VLOOKUP($BJ187,$AR$3:$AY$33,MATCH("换弹时间",$AR$3:$AY$3,0),FALSE),2))</f>
        <v>2.2400000000000002</v>
      </c>
      <c r="BW187" s="2">
        <f>IF(VLOOKUP(BJ187,坦克个性化设定!$B$18:$BC$48,MATCH("装弹类型",坦克个性化设定!$B$18:$BC$18,0),FALSE)="弹夹换弹",ROUND(VLOOKUP($BJ187,$AI$3:$AO$33,MATCH("换弹时间",$AI$3:$AO$3,0),FALSE)-$BL187/VLOOKUP(VLOOKUP($BJ187,坦克个性化设定!$B$18:$E$48,4,FALSE)&amp;$BK187,坦克属性分配比例,MATCH("升星次数",坦克属性分配比例标头,0),FALSE)*VLOOKUP($BJ187,$AR$3:$AY$33,MATCH("换弹时间",$AR$3:$AY$3,0),FALSE),1),0)</f>
        <v>0</v>
      </c>
      <c r="BX187" s="2">
        <f>ROUND(VLOOKUP($BJ187,$AI$3:$AO$33,MATCH(BX$3,$AI$3:$AO$3,0),FALSE)+$BL187/VLOOKUP(VLOOKUP($BJ187,坦克个性化设定!$B$18:$E$48,4,FALSE)&amp;$BK187,坦克属性分配比例,MATCH("升星次数",坦克属性分配比例标头,0),FALSE)*VLOOKUP($BJ187,$AR$3:$AY$33,MATCH(BX$3,$AR$3:$AY$3,0),FALSE),2)</f>
        <v>0.26</v>
      </c>
      <c r="BY187" s="2">
        <f>ROUND(VLOOKUP($BJ187,$AI$3:$AO$33,MATCH(BY$3,$AI$3:$AO$3,0),FALSE)-$BL187/VLOOKUP(VLOOKUP($BJ187,坦克个性化设定!$B$18:$E$48,4,FALSE)&amp;$BK187,坦克属性分配比例,MATCH("升星次数",坦克属性分配比例标头,0),FALSE)*VLOOKUP($BJ187,$AR$3:$AY$33,MATCH(BY$3,$AR$3:$AY$3,0),FALSE),2)</f>
        <v>1.73</v>
      </c>
    </row>
    <row r="188" spans="60:77" x14ac:dyDescent="0.3">
      <c r="BH188" s="2" t="str">
        <f t="shared" si="27"/>
        <v>百夫长6</v>
      </c>
      <c r="BI188" s="2">
        <f>IF(BL187&gt;=VLOOKUP(VLOOKUP(BJ187,坦克个性化设定!$B$18:$E$48,4,FALSE)&amp;BK187,坦克属性分配比例,MATCH("升星次数",坦克属性分配比例标头,0),FALSE),BI187+1,BI187)</f>
        <v>19</v>
      </c>
      <c r="BJ188" s="2" t="str">
        <f t="shared" si="28"/>
        <v>百夫长</v>
      </c>
      <c r="BK188" s="29" t="str">
        <f>VLOOKUP(BJ188,坦克个性化细分!$I$3:$J$33,2,FALSE)</f>
        <v>高</v>
      </c>
      <c r="BL188" s="2">
        <f t="shared" si="26"/>
        <v>6</v>
      </c>
      <c r="BM188" s="103" t="e">
        <f ca="1">ROUND(VLOOKUP($BJ188&amp;"初始",$S$3:$AE$63,MATCH(BM$3,$S$3:$AE$3,0),FALSE)+((VLOOKUP($BJ188&amp;"最终",$S$3:$AE$63,MATCH(BM$3,$S$3:$AE$3,0),FALSE)*坦克个性化细分!$C$9-VLOOKUP($BJ188&amp;"初始",$S$3:$AE$63,MATCH(BM$3,$S$3:$AE$3,0),FALSE))-(VLOOKUP($BJ188&amp;"最终",$S$3:$AE$63,MATCH(BM$3,$S$3:$AE$3,0),FALSE)-VLOOKUP($BJ188&amp;"初始",$S$3:$AE$63,MATCH(BM$3,$S$3:$AE$3,0),FALSE))*VLOOKUP(VLOOKUP($BJ188,坦克个性化设定!$B$18:$E$48,4,FALSE)&amp;$BK188,坦克属性分配比例,MATCH("部件比例",坦克属性分配比例标头,0),FALSE))*$BL188/VLOOKUP(VLOOKUP($BJ188,坦克个性化设定!$B$18:$E$48,4,FALSE)&amp;$BK188,坦克属性分配比例,MATCH("升星次数",坦克属性分配比例标头,0),FALSE),0)</f>
        <v>#N/A</v>
      </c>
      <c r="BN188" s="103" t="e">
        <f ca="1">ROUND(VLOOKUP($BJ188&amp;"初始",$S$3:$AE$63,MATCH(BN$3,$S$3:$AE$3,0),FALSE)+(VLOOKUP($BJ188&amp;"最终",$S$3:$AE$63,MATCH(BN$3,$S$3:$AE$3,0),FALSE)-VLOOKUP($BJ188&amp;"初始",$S$3:$AE$63,MATCH(BN$3,$S$3:$AE$3,0),FALSE))*$BL188/VLOOKUP(VLOOKUP($BJ188,坦克个性化设定!$B$18:$E$48,4,FALSE)&amp;$BK188,坦克属性分配比例,MATCH("升星次数",坦克属性分配比例标头,0),FALSE)*VLOOKUP(VLOOKUP($BJ188,坦克个性化设定!$B$18:$E$48,4,FALSE)&amp;$BK188,坦克属性分配比例,MATCH("升星比例",坦克属性分配比例标头,0),FALSE),0)</f>
        <v>#N/A</v>
      </c>
      <c r="BO188" s="103" t="e">
        <f ca="1">ROUND(VLOOKUP($BJ188&amp;"初始",$S$3:$AE$63,MATCH(BO$3,$S$3:$AE$3,0),FALSE)+(VLOOKUP($BJ188&amp;"最终",$S$3:$AE$63,MATCH(BO$3,$S$3:$AE$3,0),FALSE)-VLOOKUP($BJ188&amp;"初始",$S$3:$AE$63,MATCH(BO$3,$S$3:$AE$3,0),FALSE))*$BL188/VLOOKUP(VLOOKUP($BJ188,坦克个性化设定!$B$18:$E$48,4,FALSE)&amp;$BK188,坦克属性分配比例,MATCH("升星次数",坦克属性分配比例标头,0),FALSE)*(VLOOKUP(VLOOKUP($BJ188,坦克个性化设定!$B$18:$E$48,4,FALSE)&amp;$BK188,坦克属性分配比例,MATCH("升星比例",坦克属性分配比例标头,0),FALSE)+VLOOKUP(VLOOKUP($BJ188,坦克个性化设定!$B$18:$E$48,4,FALSE)&amp;$BK188,坦克属性分配比例,MATCH("部件比例",坦克属性分配比例标头,0),FALSE)*$C$3),0)</f>
        <v>#N/A</v>
      </c>
      <c r="BP188" s="103" t="e">
        <f ca="1">ROUND(VLOOKUP($BJ188&amp;"初始",$S$3:$AE$63,MATCH(BP$3,$S$3:$AE$3,0),FALSE)+(VLOOKUP($BJ188&amp;"最终",$S$3:$AE$63,MATCH(BP$3,$S$3:$AE$3,0),FALSE)-VLOOKUP($BJ188&amp;"初始",$S$3:$AE$63,MATCH(BP$3,$S$3:$AE$3,0),FALSE))*$BL188/VLOOKUP(VLOOKUP($BJ188,坦克个性化设定!$B$18:$E$48,4,FALSE)&amp;$BK188,坦克属性分配比例,MATCH("升星次数",坦克属性分配比例标头,0),FALSE)*(VLOOKUP(VLOOKUP($BJ188,坦克个性化设定!$B$18:$E$48,4,FALSE)&amp;$BK188,坦克属性分配比例,MATCH("升星比例",坦克属性分配比例标头,0),FALSE)+VLOOKUP(VLOOKUP($BJ188,坦克个性化设定!$B$18:$E$48,4,FALSE)&amp;$BK188,坦克属性分配比例,MATCH("部件比例",坦克属性分配比例标头,0),FALSE)*$C$3),0)</f>
        <v>#N/A</v>
      </c>
      <c r="BQ188" s="103" t="e">
        <f ca="1">ROUND(VLOOKUP($BJ188&amp;"初始",$S$3:$AE$63,MATCH(BQ$3,$S$3:$AE$3,0),FALSE)+(VLOOKUP($BJ188&amp;"最终",$S$3:$AE$63,MATCH(BQ$3,$S$3:$AE$3,0),FALSE)-VLOOKUP($BJ188&amp;"初始",$S$3:$AE$63,MATCH(BQ$3,$S$3:$AE$3,0),FALSE))*$BL188/VLOOKUP(VLOOKUP($BJ188,坦克个性化设定!$B$18:$E$48,4,FALSE)&amp;$BK188,坦克属性分配比例,MATCH("升星次数",坦克属性分配比例标头,0),FALSE)*VLOOKUP(VLOOKUP($BJ188,坦克个性化设定!$B$18:$E$48,4,FALSE)&amp;$BK188,坦克属性分配比例,MATCH("升星比例",坦克属性分配比例标头,0),FALSE),0)</f>
        <v>#N/A</v>
      </c>
      <c r="BR188" s="2" t="e">
        <f ca="1">ROUND(VLOOKUP($BJ188&amp;"初始",$S$3:$AE$63,MATCH(BR$3,$S$3:$AE$3,0),FALSE)+(VLOOKUP($BJ188&amp;"最终",$S$3:$AE$63,MATCH(BR$3,$S$3:$AE$3,0),FALSE)-VLOOKUP($BJ188&amp;"初始",$S$3:$AE$63,MATCH(BR$3,$S$3:$AE$3,0),FALSE))*$BL188/VLOOKUP(VLOOKUP($BJ188,坦克个性化设定!$B$18:$E$48,4,FALSE)&amp;$BK188,坦克属性分配比例,MATCH("升星次数",坦克属性分配比例标头,0),FALSE),0)</f>
        <v>#N/A</v>
      </c>
      <c r="BS188" s="2">
        <f>ROUND(VLOOKUP($BJ188,$AI$3:$AO$33,MATCH(BS$3,$AI$3:$AO$3,0),FALSE)+$BL188/VLOOKUP(VLOOKUP($BJ188,坦克个性化设定!$B$18:$E$48,4,FALSE)&amp;$BK188,坦克属性分配比例,MATCH("升星次数",坦克属性分配比例标头,0),FALSE)*VLOOKUP($BJ188,$AR$3:$AY$33,MATCH(BS$3,$AR$3:$AY$3,0),FALSE),1)</f>
        <v>53.1</v>
      </c>
      <c r="BT188" s="2">
        <f>ROUND(VLOOKUP($BJ188,$AI$3:$AO$33,MATCH(BT$3,$AI$3:$AO$3,0),FALSE)+$BL188/VLOOKUP(VLOOKUP($BJ188,坦克个性化设定!$B$18:$E$48,4,FALSE)&amp;$BK188,坦克属性分配比例,MATCH("升星次数",坦克属性分配比例标头,0),FALSE)*VLOOKUP($BJ188,$AR$3:$AY$33,MATCH(BT$3,$AR$3:$AY$3,0),FALSE),1)</f>
        <v>47.7</v>
      </c>
      <c r="BU188" s="2">
        <f>ROUND(VLOOKUP($BJ188,$AI$3:$AO$33,MATCH(BU$3,$AI$3:$AO$3,0),FALSE)+$BL188/VLOOKUP(VLOOKUP($BJ188,坦克个性化设定!$B$18:$E$48,4,FALSE)&amp;$BK188,坦克属性分配比例,MATCH("升星次数",坦克属性分配比例标头,0),FALSE)*VLOOKUP($BJ188,$AR$3:$AY$33,MATCH(BU$3,$AR$3:$AY$3,0),FALSE),1)</f>
        <v>8.4</v>
      </c>
      <c r="BV188" s="2">
        <f>IF(VLOOKUP(BJ188,坦克个性化设定!$B$18:$BC$48,MATCH("装弹类型",坦克个性化设定!$B$18:$BC$18,0),FALSE)="弹夹换弹",0,ROUND(VLOOKUP($BJ188,$AI$3:$AO$33,MATCH("换弹时间",$AI$3:$AO$3,0),FALSE)-$BL188/VLOOKUP(VLOOKUP($BJ188,坦克个性化设定!$B$18:$E$48,4,FALSE)&amp;$BK188,坦克属性分配比例,MATCH("升星次数",坦克属性分配比例标头,0),FALSE)*VLOOKUP($BJ188,$AR$3:$AY$33,MATCH("换弹时间",$AR$3:$AY$3,0),FALSE),2))</f>
        <v>2.21</v>
      </c>
      <c r="BW188" s="2">
        <f>IF(VLOOKUP(BJ188,坦克个性化设定!$B$18:$BC$48,MATCH("装弹类型",坦克个性化设定!$B$18:$BC$18,0),FALSE)="弹夹换弹",ROUND(VLOOKUP($BJ188,$AI$3:$AO$33,MATCH("换弹时间",$AI$3:$AO$3,0),FALSE)-$BL188/VLOOKUP(VLOOKUP($BJ188,坦克个性化设定!$B$18:$E$48,4,FALSE)&amp;$BK188,坦克属性分配比例,MATCH("升星次数",坦克属性分配比例标头,0),FALSE)*VLOOKUP($BJ188,$AR$3:$AY$33,MATCH("换弹时间",$AR$3:$AY$3,0),FALSE),1),0)</f>
        <v>0</v>
      </c>
      <c r="BX188" s="2">
        <f>ROUND(VLOOKUP($BJ188,$AI$3:$AO$33,MATCH(BX$3,$AI$3:$AO$3,0),FALSE)+$BL188/VLOOKUP(VLOOKUP($BJ188,坦克个性化设定!$B$18:$E$48,4,FALSE)&amp;$BK188,坦克属性分配比例,MATCH("升星次数",坦克属性分配比例标头,0),FALSE)*VLOOKUP($BJ188,$AR$3:$AY$33,MATCH(BX$3,$AR$3:$AY$3,0),FALSE),2)</f>
        <v>0.26</v>
      </c>
      <c r="BY188" s="2">
        <f>ROUND(VLOOKUP($BJ188,$AI$3:$AO$33,MATCH(BY$3,$AI$3:$AO$3,0),FALSE)-$BL188/VLOOKUP(VLOOKUP($BJ188,坦克个性化设定!$B$18:$E$48,4,FALSE)&amp;$BK188,坦克属性分配比例,MATCH("升星次数",坦克属性分配比例标头,0),FALSE)*VLOOKUP($BJ188,$AR$3:$AY$33,MATCH(BY$3,$AR$3:$AY$3,0),FALSE),2)</f>
        <v>1.7</v>
      </c>
    </row>
    <row r="189" spans="60:77" x14ac:dyDescent="0.3">
      <c r="BH189" s="2" t="str">
        <f t="shared" si="27"/>
        <v>百夫长7</v>
      </c>
      <c r="BI189" s="2">
        <f>IF(BL188&gt;=VLOOKUP(VLOOKUP(BJ188,坦克个性化设定!$B$18:$E$48,4,FALSE)&amp;BK188,坦克属性分配比例,MATCH("升星次数",坦克属性分配比例标头,0),FALSE),BI188+1,BI188)</f>
        <v>19</v>
      </c>
      <c r="BJ189" s="2" t="str">
        <f t="shared" si="28"/>
        <v>百夫长</v>
      </c>
      <c r="BK189" s="29" t="str">
        <f>VLOOKUP(BJ189,坦克个性化细分!$I$3:$J$33,2,FALSE)</f>
        <v>高</v>
      </c>
      <c r="BL189" s="2">
        <f t="shared" si="26"/>
        <v>7</v>
      </c>
      <c r="BM189" s="103" t="e">
        <f ca="1">ROUND(VLOOKUP($BJ189&amp;"初始",$S$3:$AE$63,MATCH(BM$3,$S$3:$AE$3,0),FALSE)+((VLOOKUP($BJ189&amp;"最终",$S$3:$AE$63,MATCH(BM$3,$S$3:$AE$3,0),FALSE)*坦克个性化细分!$C$9-VLOOKUP($BJ189&amp;"初始",$S$3:$AE$63,MATCH(BM$3,$S$3:$AE$3,0),FALSE))-(VLOOKUP($BJ189&amp;"最终",$S$3:$AE$63,MATCH(BM$3,$S$3:$AE$3,0),FALSE)-VLOOKUP($BJ189&amp;"初始",$S$3:$AE$63,MATCH(BM$3,$S$3:$AE$3,0),FALSE))*VLOOKUP(VLOOKUP($BJ189,坦克个性化设定!$B$18:$E$48,4,FALSE)&amp;$BK189,坦克属性分配比例,MATCH("部件比例",坦克属性分配比例标头,0),FALSE))*$BL189/VLOOKUP(VLOOKUP($BJ189,坦克个性化设定!$B$18:$E$48,4,FALSE)&amp;$BK189,坦克属性分配比例,MATCH("升星次数",坦克属性分配比例标头,0),FALSE),0)</f>
        <v>#N/A</v>
      </c>
      <c r="BN189" s="103" t="e">
        <f ca="1">ROUND(VLOOKUP($BJ189&amp;"初始",$S$3:$AE$63,MATCH(BN$3,$S$3:$AE$3,0),FALSE)+(VLOOKUP($BJ189&amp;"最终",$S$3:$AE$63,MATCH(BN$3,$S$3:$AE$3,0),FALSE)-VLOOKUP($BJ189&amp;"初始",$S$3:$AE$63,MATCH(BN$3,$S$3:$AE$3,0),FALSE))*$BL189/VLOOKUP(VLOOKUP($BJ189,坦克个性化设定!$B$18:$E$48,4,FALSE)&amp;$BK189,坦克属性分配比例,MATCH("升星次数",坦克属性分配比例标头,0),FALSE)*VLOOKUP(VLOOKUP($BJ189,坦克个性化设定!$B$18:$E$48,4,FALSE)&amp;$BK189,坦克属性分配比例,MATCH("升星比例",坦克属性分配比例标头,0),FALSE),0)</f>
        <v>#N/A</v>
      </c>
      <c r="BO189" s="103" t="e">
        <f ca="1">ROUND(VLOOKUP($BJ189&amp;"初始",$S$3:$AE$63,MATCH(BO$3,$S$3:$AE$3,0),FALSE)+(VLOOKUP($BJ189&amp;"最终",$S$3:$AE$63,MATCH(BO$3,$S$3:$AE$3,0),FALSE)-VLOOKUP($BJ189&amp;"初始",$S$3:$AE$63,MATCH(BO$3,$S$3:$AE$3,0),FALSE))*$BL189/VLOOKUP(VLOOKUP($BJ189,坦克个性化设定!$B$18:$E$48,4,FALSE)&amp;$BK189,坦克属性分配比例,MATCH("升星次数",坦克属性分配比例标头,0),FALSE)*(VLOOKUP(VLOOKUP($BJ189,坦克个性化设定!$B$18:$E$48,4,FALSE)&amp;$BK189,坦克属性分配比例,MATCH("升星比例",坦克属性分配比例标头,0),FALSE)+VLOOKUP(VLOOKUP($BJ189,坦克个性化设定!$B$18:$E$48,4,FALSE)&amp;$BK189,坦克属性分配比例,MATCH("部件比例",坦克属性分配比例标头,0),FALSE)*$C$3),0)</f>
        <v>#N/A</v>
      </c>
      <c r="BP189" s="103" t="e">
        <f ca="1">ROUND(VLOOKUP($BJ189&amp;"初始",$S$3:$AE$63,MATCH(BP$3,$S$3:$AE$3,0),FALSE)+(VLOOKUP($BJ189&amp;"最终",$S$3:$AE$63,MATCH(BP$3,$S$3:$AE$3,0),FALSE)-VLOOKUP($BJ189&amp;"初始",$S$3:$AE$63,MATCH(BP$3,$S$3:$AE$3,0),FALSE))*$BL189/VLOOKUP(VLOOKUP($BJ189,坦克个性化设定!$B$18:$E$48,4,FALSE)&amp;$BK189,坦克属性分配比例,MATCH("升星次数",坦克属性分配比例标头,0),FALSE)*(VLOOKUP(VLOOKUP($BJ189,坦克个性化设定!$B$18:$E$48,4,FALSE)&amp;$BK189,坦克属性分配比例,MATCH("升星比例",坦克属性分配比例标头,0),FALSE)+VLOOKUP(VLOOKUP($BJ189,坦克个性化设定!$B$18:$E$48,4,FALSE)&amp;$BK189,坦克属性分配比例,MATCH("部件比例",坦克属性分配比例标头,0),FALSE)*$C$3),0)</f>
        <v>#N/A</v>
      </c>
      <c r="BQ189" s="103" t="e">
        <f ca="1">ROUND(VLOOKUP($BJ189&amp;"初始",$S$3:$AE$63,MATCH(BQ$3,$S$3:$AE$3,0),FALSE)+(VLOOKUP($BJ189&amp;"最终",$S$3:$AE$63,MATCH(BQ$3,$S$3:$AE$3,0),FALSE)-VLOOKUP($BJ189&amp;"初始",$S$3:$AE$63,MATCH(BQ$3,$S$3:$AE$3,0),FALSE))*$BL189/VLOOKUP(VLOOKUP($BJ189,坦克个性化设定!$B$18:$E$48,4,FALSE)&amp;$BK189,坦克属性分配比例,MATCH("升星次数",坦克属性分配比例标头,0),FALSE)*VLOOKUP(VLOOKUP($BJ189,坦克个性化设定!$B$18:$E$48,4,FALSE)&amp;$BK189,坦克属性分配比例,MATCH("升星比例",坦克属性分配比例标头,0),FALSE),0)</f>
        <v>#N/A</v>
      </c>
      <c r="BR189" s="2" t="e">
        <f ca="1">ROUND(VLOOKUP($BJ189&amp;"初始",$S$3:$AE$63,MATCH(BR$3,$S$3:$AE$3,0),FALSE)+(VLOOKUP($BJ189&amp;"最终",$S$3:$AE$63,MATCH(BR$3,$S$3:$AE$3,0),FALSE)-VLOOKUP($BJ189&amp;"初始",$S$3:$AE$63,MATCH(BR$3,$S$3:$AE$3,0),FALSE))*$BL189/VLOOKUP(VLOOKUP($BJ189,坦克个性化设定!$B$18:$E$48,4,FALSE)&amp;$BK189,坦克属性分配比例,MATCH("升星次数",坦克属性分配比例标头,0),FALSE),0)</f>
        <v>#N/A</v>
      </c>
      <c r="BS189" s="2">
        <f>ROUND(VLOOKUP($BJ189,$AI$3:$AO$33,MATCH(BS$3,$AI$3:$AO$3,0),FALSE)+$BL189/VLOOKUP(VLOOKUP($BJ189,坦克个性化设定!$B$18:$E$48,4,FALSE)&amp;$BK189,坦克属性分配比例,MATCH("升星次数",坦克属性分配比例标头,0),FALSE)*VLOOKUP($BJ189,$AR$3:$AY$33,MATCH(BS$3,$AR$3:$AY$3,0),FALSE),1)</f>
        <v>54.1</v>
      </c>
      <c r="BT189" s="2">
        <f>ROUND(VLOOKUP($BJ189,$AI$3:$AO$33,MATCH(BT$3,$AI$3:$AO$3,0),FALSE)+$BL189/VLOOKUP(VLOOKUP($BJ189,坦克个性化设定!$B$18:$E$48,4,FALSE)&amp;$BK189,坦克属性分配比例,MATCH("升星次数",坦克属性分配比例标头,0),FALSE)*VLOOKUP($BJ189,$AR$3:$AY$33,MATCH(BT$3,$AR$3:$AY$3,0),FALSE),1)</f>
        <v>48.7</v>
      </c>
      <c r="BU189" s="2">
        <f>ROUND(VLOOKUP($BJ189,$AI$3:$AO$33,MATCH(BU$3,$AI$3:$AO$3,0),FALSE)+$BL189/VLOOKUP(VLOOKUP($BJ189,坦克个性化设定!$B$18:$E$48,4,FALSE)&amp;$BK189,坦克属性分配比例,MATCH("升星次数",坦克属性分配比例标头,0),FALSE)*VLOOKUP($BJ189,$AR$3:$AY$33,MATCH(BU$3,$AR$3:$AY$3,0),FALSE),1)</f>
        <v>8.4</v>
      </c>
      <c r="BV189" s="2">
        <f>IF(VLOOKUP(BJ189,坦克个性化设定!$B$18:$BC$48,MATCH("装弹类型",坦克个性化设定!$B$18:$BC$18,0),FALSE)="弹夹换弹",0,ROUND(VLOOKUP($BJ189,$AI$3:$AO$33,MATCH("换弹时间",$AI$3:$AO$3,0),FALSE)-$BL189/VLOOKUP(VLOOKUP($BJ189,坦克个性化设定!$B$18:$E$48,4,FALSE)&amp;$BK189,坦克属性分配比例,MATCH("升星次数",坦克属性分配比例标头,0),FALSE)*VLOOKUP($BJ189,$AR$3:$AY$33,MATCH("换弹时间",$AR$3:$AY$3,0),FALSE),2))</f>
        <v>2.17</v>
      </c>
      <c r="BW189" s="2">
        <f>IF(VLOOKUP(BJ189,坦克个性化设定!$B$18:$BC$48,MATCH("装弹类型",坦克个性化设定!$B$18:$BC$18,0),FALSE)="弹夹换弹",ROUND(VLOOKUP($BJ189,$AI$3:$AO$33,MATCH("换弹时间",$AI$3:$AO$3,0),FALSE)-$BL189/VLOOKUP(VLOOKUP($BJ189,坦克个性化设定!$B$18:$E$48,4,FALSE)&amp;$BK189,坦克属性分配比例,MATCH("升星次数",坦克属性分配比例标头,0),FALSE)*VLOOKUP($BJ189,$AR$3:$AY$33,MATCH("换弹时间",$AR$3:$AY$3,0),FALSE),1),0)</f>
        <v>0</v>
      </c>
      <c r="BX189" s="2">
        <f>ROUND(VLOOKUP($BJ189,$AI$3:$AO$33,MATCH(BX$3,$AI$3:$AO$3,0),FALSE)+$BL189/VLOOKUP(VLOOKUP($BJ189,坦克个性化设定!$B$18:$E$48,4,FALSE)&amp;$BK189,坦克属性分配比例,MATCH("升星次数",坦克属性分配比例标头,0),FALSE)*VLOOKUP($BJ189,$AR$3:$AY$33,MATCH(BX$3,$AR$3:$AY$3,0),FALSE),2)</f>
        <v>0.26</v>
      </c>
      <c r="BY189" s="2">
        <f>ROUND(VLOOKUP($BJ189,$AI$3:$AO$33,MATCH(BY$3,$AI$3:$AO$3,0),FALSE)-$BL189/VLOOKUP(VLOOKUP($BJ189,坦克个性化设定!$B$18:$E$48,4,FALSE)&amp;$BK189,坦克属性分配比例,MATCH("升星次数",坦克属性分配比例标头,0),FALSE)*VLOOKUP($BJ189,$AR$3:$AY$33,MATCH(BY$3,$AR$3:$AY$3,0),FALSE),2)</f>
        <v>1.67</v>
      </c>
    </row>
    <row r="190" spans="60:77" x14ac:dyDescent="0.3">
      <c r="BH190" s="2" t="str">
        <f t="shared" si="27"/>
        <v>百夫长8</v>
      </c>
      <c r="BI190" s="2">
        <f>IF(BL189&gt;=VLOOKUP(VLOOKUP(BJ189,坦克个性化设定!$B$18:$E$48,4,FALSE)&amp;BK189,坦克属性分配比例,MATCH("升星次数",坦克属性分配比例标头,0),FALSE),BI189+1,BI189)</f>
        <v>19</v>
      </c>
      <c r="BJ190" s="2" t="str">
        <f t="shared" si="28"/>
        <v>百夫长</v>
      </c>
      <c r="BK190" s="29" t="str">
        <f>VLOOKUP(BJ190,坦克个性化细分!$I$3:$J$33,2,FALSE)</f>
        <v>高</v>
      </c>
      <c r="BL190" s="2">
        <f t="shared" si="26"/>
        <v>8</v>
      </c>
      <c r="BM190" s="103" t="e">
        <f ca="1">ROUND(VLOOKUP($BJ190&amp;"初始",$S$3:$AE$63,MATCH(BM$3,$S$3:$AE$3,0),FALSE)+((VLOOKUP($BJ190&amp;"最终",$S$3:$AE$63,MATCH(BM$3,$S$3:$AE$3,0),FALSE)*坦克个性化细分!$C$9-VLOOKUP($BJ190&amp;"初始",$S$3:$AE$63,MATCH(BM$3,$S$3:$AE$3,0),FALSE))-(VLOOKUP($BJ190&amp;"最终",$S$3:$AE$63,MATCH(BM$3,$S$3:$AE$3,0),FALSE)-VLOOKUP($BJ190&amp;"初始",$S$3:$AE$63,MATCH(BM$3,$S$3:$AE$3,0),FALSE))*VLOOKUP(VLOOKUP($BJ190,坦克个性化设定!$B$18:$E$48,4,FALSE)&amp;$BK190,坦克属性分配比例,MATCH("部件比例",坦克属性分配比例标头,0),FALSE))*$BL190/VLOOKUP(VLOOKUP($BJ190,坦克个性化设定!$B$18:$E$48,4,FALSE)&amp;$BK190,坦克属性分配比例,MATCH("升星次数",坦克属性分配比例标头,0),FALSE),0)</f>
        <v>#N/A</v>
      </c>
      <c r="BN190" s="103" t="e">
        <f ca="1">ROUND(VLOOKUP($BJ190&amp;"初始",$S$3:$AE$63,MATCH(BN$3,$S$3:$AE$3,0),FALSE)+(VLOOKUP($BJ190&amp;"最终",$S$3:$AE$63,MATCH(BN$3,$S$3:$AE$3,0),FALSE)-VLOOKUP($BJ190&amp;"初始",$S$3:$AE$63,MATCH(BN$3,$S$3:$AE$3,0),FALSE))*$BL190/VLOOKUP(VLOOKUP($BJ190,坦克个性化设定!$B$18:$E$48,4,FALSE)&amp;$BK190,坦克属性分配比例,MATCH("升星次数",坦克属性分配比例标头,0),FALSE)*VLOOKUP(VLOOKUP($BJ190,坦克个性化设定!$B$18:$E$48,4,FALSE)&amp;$BK190,坦克属性分配比例,MATCH("升星比例",坦克属性分配比例标头,0),FALSE),0)</f>
        <v>#N/A</v>
      </c>
      <c r="BO190" s="103" t="e">
        <f ca="1">ROUND(VLOOKUP($BJ190&amp;"初始",$S$3:$AE$63,MATCH(BO$3,$S$3:$AE$3,0),FALSE)+(VLOOKUP($BJ190&amp;"最终",$S$3:$AE$63,MATCH(BO$3,$S$3:$AE$3,0),FALSE)-VLOOKUP($BJ190&amp;"初始",$S$3:$AE$63,MATCH(BO$3,$S$3:$AE$3,0),FALSE))*$BL190/VLOOKUP(VLOOKUP($BJ190,坦克个性化设定!$B$18:$E$48,4,FALSE)&amp;$BK190,坦克属性分配比例,MATCH("升星次数",坦克属性分配比例标头,0),FALSE)*(VLOOKUP(VLOOKUP($BJ190,坦克个性化设定!$B$18:$E$48,4,FALSE)&amp;$BK190,坦克属性分配比例,MATCH("升星比例",坦克属性分配比例标头,0),FALSE)+VLOOKUP(VLOOKUP($BJ190,坦克个性化设定!$B$18:$E$48,4,FALSE)&amp;$BK190,坦克属性分配比例,MATCH("部件比例",坦克属性分配比例标头,0),FALSE)*$C$3),0)</f>
        <v>#N/A</v>
      </c>
      <c r="BP190" s="103" t="e">
        <f ca="1">ROUND(VLOOKUP($BJ190&amp;"初始",$S$3:$AE$63,MATCH(BP$3,$S$3:$AE$3,0),FALSE)+(VLOOKUP($BJ190&amp;"最终",$S$3:$AE$63,MATCH(BP$3,$S$3:$AE$3,0),FALSE)-VLOOKUP($BJ190&amp;"初始",$S$3:$AE$63,MATCH(BP$3,$S$3:$AE$3,0),FALSE))*$BL190/VLOOKUP(VLOOKUP($BJ190,坦克个性化设定!$B$18:$E$48,4,FALSE)&amp;$BK190,坦克属性分配比例,MATCH("升星次数",坦克属性分配比例标头,0),FALSE)*(VLOOKUP(VLOOKUP($BJ190,坦克个性化设定!$B$18:$E$48,4,FALSE)&amp;$BK190,坦克属性分配比例,MATCH("升星比例",坦克属性分配比例标头,0),FALSE)+VLOOKUP(VLOOKUP($BJ190,坦克个性化设定!$B$18:$E$48,4,FALSE)&amp;$BK190,坦克属性分配比例,MATCH("部件比例",坦克属性分配比例标头,0),FALSE)*$C$3),0)</f>
        <v>#N/A</v>
      </c>
      <c r="BQ190" s="103" t="e">
        <f ca="1">ROUND(VLOOKUP($BJ190&amp;"初始",$S$3:$AE$63,MATCH(BQ$3,$S$3:$AE$3,0),FALSE)+(VLOOKUP($BJ190&amp;"最终",$S$3:$AE$63,MATCH(BQ$3,$S$3:$AE$3,0),FALSE)-VLOOKUP($BJ190&amp;"初始",$S$3:$AE$63,MATCH(BQ$3,$S$3:$AE$3,0),FALSE))*$BL190/VLOOKUP(VLOOKUP($BJ190,坦克个性化设定!$B$18:$E$48,4,FALSE)&amp;$BK190,坦克属性分配比例,MATCH("升星次数",坦克属性分配比例标头,0),FALSE)*VLOOKUP(VLOOKUP($BJ190,坦克个性化设定!$B$18:$E$48,4,FALSE)&amp;$BK190,坦克属性分配比例,MATCH("升星比例",坦克属性分配比例标头,0),FALSE),0)</f>
        <v>#N/A</v>
      </c>
      <c r="BR190" s="2" t="e">
        <f ca="1">ROUND(VLOOKUP($BJ190&amp;"初始",$S$3:$AE$63,MATCH(BR$3,$S$3:$AE$3,0),FALSE)+(VLOOKUP($BJ190&amp;"最终",$S$3:$AE$63,MATCH(BR$3,$S$3:$AE$3,0),FALSE)-VLOOKUP($BJ190&amp;"初始",$S$3:$AE$63,MATCH(BR$3,$S$3:$AE$3,0),FALSE))*$BL190/VLOOKUP(VLOOKUP($BJ190,坦克个性化设定!$B$18:$E$48,4,FALSE)&amp;$BK190,坦克属性分配比例,MATCH("升星次数",坦克属性分配比例标头,0),FALSE),0)</f>
        <v>#N/A</v>
      </c>
      <c r="BS190" s="2">
        <f>ROUND(VLOOKUP($BJ190,$AI$3:$AO$33,MATCH(BS$3,$AI$3:$AO$3,0),FALSE)+$BL190/VLOOKUP(VLOOKUP($BJ190,坦克个性化设定!$B$18:$E$48,4,FALSE)&amp;$BK190,坦克属性分配比例,MATCH("升星次数",坦克属性分配比例标头,0),FALSE)*VLOOKUP($BJ190,$AR$3:$AY$33,MATCH(BS$3,$AR$3:$AY$3,0),FALSE),1)</f>
        <v>55.2</v>
      </c>
      <c r="BT190" s="2">
        <f>ROUND(VLOOKUP($BJ190,$AI$3:$AO$33,MATCH(BT$3,$AI$3:$AO$3,0),FALSE)+$BL190/VLOOKUP(VLOOKUP($BJ190,坦克个性化设定!$B$18:$E$48,4,FALSE)&amp;$BK190,坦克属性分配比例,MATCH("升星次数",坦克属性分配比例标头,0),FALSE)*VLOOKUP($BJ190,$AR$3:$AY$33,MATCH(BT$3,$AR$3:$AY$3,0),FALSE),1)</f>
        <v>49.6</v>
      </c>
      <c r="BU190" s="2">
        <f>ROUND(VLOOKUP($BJ190,$AI$3:$AO$33,MATCH(BU$3,$AI$3:$AO$3,0),FALSE)+$BL190/VLOOKUP(VLOOKUP($BJ190,坦克个性化设定!$B$18:$E$48,4,FALSE)&amp;$BK190,坦克属性分配比例,MATCH("升星次数",坦克属性分配比例标头,0),FALSE)*VLOOKUP($BJ190,$AR$3:$AY$33,MATCH(BU$3,$AR$3:$AY$3,0),FALSE),1)</f>
        <v>8.4</v>
      </c>
      <c r="BV190" s="2">
        <f>IF(VLOOKUP(BJ190,坦克个性化设定!$B$18:$BC$48,MATCH("装弹类型",坦克个性化设定!$B$18:$BC$18,0),FALSE)="弹夹换弹",0,ROUND(VLOOKUP($BJ190,$AI$3:$AO$33,MATCH("换弹时间",$AI$3:$AO$3,0),FALSE)-$BL190/VLOOKUP(VLOOKUP($BJ190,坦克个性化设定!$B$18:$E$48,4,FALSE)&amp;$BK190,坦克属性分配比例,MATCH("升星次数",坦克属性分配比例标头,0),FALSE)*VLOOKUP($BJ190,$AR$3:$AY$33,MATCH("换弹时间",$AR$3:$AY$3,0),FALSE),2))</f>
        <v>2.14</v>
      </c>
      <c r="BW190" s="2">
        <f>IF(VLOOKUP(BJ190,坦克个性化设定!$B$18:$BC$48,MATCH("装弹类型",坦克个性化设定!$B$18:$BC$18,0),FALSE)="弹夹换弹",ROUND(VLOOKUP($BJ190,$AI$3:$AO$33,MATCH("换弹时间",$AI$3:$AO$3,0),FALSE)-$BL190/VLOOKUP(VLOOKUP($BJ190,坦克个性化设定!$B$18:$E$48,4,FALSE)&amp;$BK190,坦克属性分配比例,MATCH("升星次数",坦克属性分配比例标头,0),FALSE)*VLOOKUP($BJ190,$AR$3:$AY$33,MATCH("换弹时间",$AR$3:$AY$3,0),FALSE),1),0)</f>
        <v>0</v>
      </c>
      <c r="BX190" s="2">
        <f>ROUND(VLOOKUP($BJ190,$AI$3:$AO$33,MATCH(BX$3,$AI$3:$AO$3,0),FALSE)+$BL190/VLOOKUP(VLOOKUP($BJ190,坦克个性化设定!$B$18:$E$48,4,FALSE)&amp;$BK190,坦克属性分配比例,MATCH("升星次数",坦克属性分配比例标头,0),FALSE)*VLOOKUP($BJ190,$AR$3:$AY$33,MATCH(BX$3,$AR$3:$AY$3,0),FALSE),2)</f>
        <v>0.26</v>
      </c>
      <c r="BY190" s="2">
        <f>ROUND(VLOOKUP($BJ190,$AI$3:$AO$33,MATCH(BY$3,$AI$3:$AO$3,0),FALSE)-$BL190/VLOOKUP(VLOOKUP($BJ190,坦克个性化设定!$B$18:$E$48,4,FALSE)&amp;$BK190,坦克属性分配比例,MATCH("升星次数",坦克属性分配比例标头,0),FALSE)*VLOOKUP($BJ190,$AR$3:$AY$33,MATCH(BY$3,$AR$3:$AY$3,0),FALSE),2)</f>
        <v>1.64</v>
      </c>
    </row>
    <row r="191" spans="60:77" x14ac:dyDescent="0.3">
      <c r="BH191" s="2" t="str">
        <f t="shared" si="27"/>
        <v>百夫长9</v>
      </c>
      <c r="BI191" s="2">
        <f>IF(BL190&gt;=VLOOKUP(VLOOKUP(BJ190,坦克个性化设定!$B$18:$E$48,4,FALSE)&amp;BK190,坦克属性分配比例,MATCH("升星次数",坦克属性分配比例标头,0),FALSE),BI190+1,BI190)</f>
        <v>19</v>
      </c>
      <c r="BJ191" s="2" t="str">
        <f t="shared" si="28"/>
        <v>百夫长</v>
      </c>
      <c r="BK191" s="29" t="str">
        <f>VLOOKUP(BJ191,坦克个性化细分!$I$3:$J$33,2,FALSE)</f>
        <v>高</v>
      </c>
      <c r="BL191" s="2">
        <f t="shared" si="26"/>
        <v>9</v>
      </c>
      <c r="BM191" s="103" t="e">
        <f ca="1">ROUND(VLOOKUP($BJ191&amp;"初始",$S$3:$AE$63,MATCH(BM$3,$S$3:$AE$3,0),FALSE)+((VLOOKUP($BJ191&amp;"最终",$S$3:$AE$63,MATCH(BM$3,$S$3:$AE$3,0),FALSE)*坦克个性化细分!$C$9-VLOOKUP($BJ191&amp;"初始",$S$3:$AE$63,MATCH(BM$3,$S$3:$AE$3,0),FALSE))-(VLOOKUP($BJ191&amp;"最终",$S$3:$AE$63,MATCH(BM$3,$S$3:$AE$3,0),FALSE)-VLOOKUP($BJ191&amp;"初始",$S$3:$AE$63,MATCH(BM$3,$S$3:$AE$3,0),FALSE))*VLOOKUP(VLOOKUP($BJ191,坦克个性化设定!$B$18:$E$48,4,FALSE)&amp;$BK191,坦克属性分配比例,MATCH("部件比例",坦克属性分配比例标头,0),FALSE))*$BL191/VLOOKUP(VLOOKUP($BJ191,坦克个性化设定!$B$18:$E$48,4,FALSE)&amp;$BK191,坦克属性分配比例,MATCH("升星次数",坦克属性分配比例标头,0),FALSE),0)</f>
        <v>#N/A</v>
      </c>
      <c r="BN191" s="103" t="e">
        <f ca="1">ROUND(VLOOKUP($BJ191&amp;"初始",$S$3:$AE$63,MATCH(BN$3,$S$3:$AE$3,0),FALSE)+(VLOOKUP($BJ191&amp;"最终",$S$3:$AE$63,MATCH(BN$3,$S$3:$AE$3,0),FALSE)-VLOOKUP($BJ191&amp;"初始",$S$3:$AE$63,MATCH(BN$3,$S$3:$AE$3,0),FALSE))*$BL191/VLOOKUP(VLOOKUP($BJ191,坦克个性化设定!$B$18:$E$48,4,FALSE)&amp;$BK191,坦克属性分配比例,MATCH("升星次数",坦克属性分配比例标头,0),FALSE)*VLOOKUP(VLOOKUP($BJ191,坦克个性化设定!$B$18:$E$48,4,FALSE)&amp;$BK191,坦克属性分配比例,MATCH("升星比例",坦克属性分配比例标头,0),FALSE),0)</f>
        <v>#N/A</v>
      </c>
      <c r="BO191" s="103" t="e">
        <f ca="1">ROUND(VLOOKUP($BJ191&amp;"初始",$S$3:$AE$63,MATCH(BO$3,$S$3:$AE$3,0),FALSE)+(VLOOKUP($BJ191&amp;"最终",$S$3:$AE$63,MATCH(BO$3,$S$3:$AE$3,0),FALSE)-VLOOKUP($BJ191&amp;"初始",$S$3:$AE$63,MATCH(BO$3,$S$3:$AE$3,0),FALSE))*$BL191/VLOOKUP(VLOOKUP($BJ191,坦克个性化设定!$B$18:$E$48,4,FALSE)&amp;$BK191,坦克属性分配比例,MATCH("升星次数",坦克属性分配比例标头,0),FALSE)*(VLOOKUP(VLOOKUP($BJ191,坦克个性化设定!$B$18:$E$48,4,FALSE)&amp;$BK191,坦克属性分配比例,MATCH("升星比例",坦克属性分配比例标头,0),FALSE)+VLOOKUP(VLOOKUP($BJ191,坦克个性化设定!$B$18:$E$48,4,FALSE)&amp;$BK191,坦克属性分配比例,MATCH("部件比例",坦克属性分配比例标头,0),FALSE)*$C$3),0)</f>
        <v>#N/A</v>
      </c>
      <c r="BP191" s="103" t="e">
        <f ca="1">ROUND(VLOOKUP($BJ191&amp;"初始",$S$3:$AE$63,MATCH(BP$3,$S$3:$AE$3,0),FALSE)+(VLOOKUP($BJ191&amp;"最终",$S$3:$AE$63,MATCH(BP$3,$S$3:$AE$3,0),FALSE)-VLOOKUP($BJ191&amp;"初始",$S$3:$AE$63,MATCH(BP$3,$S$3:$AE$3,0),FALSE))*$BL191/VLOOKUP(VLOOKUP($BJ191,坦克个性化设定!$B$18:$E$48,4,FALSE)&amp;$BK191,坦克属性分配比例,MATCH("升星次数",坦克属性分配比例标头,0),FALSE)*(VLOOKUP(VLOOKUP($BJ191,坦克个性化设定!$B$18:$E$48,4,FALSE)&amp;$BK191,坦克属性分配比例,MATCH("升星比例",坦克属性分配比例标头,0),FALSE)+VLOOKUP(VLOOKUP($BJ191,坦克个性化设定!$B$18:$E$48,4,FALSE)&amp;$BK191,坦克属性分配比例,MATCH("部件比例",坦克属性分配比例标头,0),FALSE)*$C$3),0)</f>
        <v>#N/A</v>
      </c>
      <c r="BQ191" s="103" t="e">
        <f ca="1">ROUND(VLOOKUP($BJ191&amp;"初始",$S$3:$AE$63,MATCH(BQ$3,$S$3:$AE$3,0),FALSE)+(VLOOKUP($BJ191&amp;"最终",$S$3:$AE$63,MATCH(BQ$3,$S$3:$AE$3,0),FALSE)-VLOOKUP($BJ191&amp;"初始",$S$3:$AE$63,MATCH(BQ$3,$S$3:$AE$3,0),FALSE))*$BL191/VLOOKUP(VLOOKUP($BJ191,坦克个性化设定!$B$18:$E$48,4,FALSE)&amp;$BK191,坦克属性分配比例,MATCH("升星次数",坦克属性分配比例标头,0),FALSE)*VLOOKUP(VLOOKUP($BJ191,坦克个性化设定!$B$18:$E$48,4,FALSE)&amp;$BK191,坦克属性分配比例,MATCH("升星比例",坦克属性分配比例标头,0),FALSE),0)</f>
        <v>#N/A</v>
      </c>
      <c r="BR191" s="2" t="e">
        <f ca="1">ROUND(VLOOKUP($BJ191&amp;"初始",$S$3:$AE$63,MATCH(BR$3,$S$3:$AE$3,0),FALSE)+(VLOOKUP($BJ191&amp;"最终",$S$3:$AE$63,MATCH(BR$3,$S$3:$AE$3,0),FALSE)-VLOOKUP($BJ191&amp;"初始",$S$3:$AE$63,MATCH(BR$3,$S$3:$AE$3,0),FALSE))*$BL191/VLOOKUP(VLOOKUP($BJ191,坦克个性化设定!$B$18:$E$48,4,FALSE)&amp;$BK191,坦克属性分配比例,MATCH("升星次数",坦克属性分配比例标头,0),FALSE),0)</f>
        <v>#N/A</v>
      </c>
      <c r="BS191" s="2">
        <f>ROUND(VLOOKUP($BJ191,$AI$3:$AO$33,MATCH(BS$3,$AI$3:$AO$3,0),FALSE)+$BL191/VLOOKUP(VLOOKUP($BJ191,坦克个性化设定!$B$18:$E$48,4,FALSE)&amp;$BK191,坦克属性分配比例,MATCH("升星次数",坦克属性分配比例标头,0),FALSE)*VLOOKUP($BJ191,$AR$3:$AY$33,MATCH(BS$3,$AR$3:$AY$3,0),FALSE),1)</f>
        <v>56.3</v>
      </c>
      <c r="BT191" s="2">
        <f>ROUND(VLOOKUP($BJ191,$AI$3:$AO$33,MATCH(BT$3,$AI$3:$AO$3,0),FALSE)+$BL191/VLOOKUP(VLOOKUP($BJ191,坦克个性化设定!$B$18:$E$48,4,FALSE)&amp;$BK191,坦克属性分配比例,MATCH("升星次数",坦克属性分配比例标头,0),FALSE)*VLOOKUP($BJ191,$AR$3:$AY$33,MATCH(BT$3,$AR$3:$AY$3,0),FALSE),1)</f>
        <v>50.6</v>
      </c>
      <c r="BU191" s="2">
        <f>ROUND(VLOOKUP($BJ191,$AI$3:$AO$33,MATCH(BU$3,$AI$3:$AO$3,0),FALSE)+$BL191/VLOOKUP(VLOOKUP($BJ191,坦克个性化设定!$B$18:$E$48,4,FALSE)&amp;$BK191,坦克属性分配比例,MATCH("升星次数",坦克属性分配比例标头,0),FALSE)*VLOOKUP($BJ191,$AR$3:$AY$33,MATCH(BU$3,$AR$3:$AY$3,0),FALSE),1)</f>
        <v>8.4</v>
      </c>
      <c r="BV191" s="2">
        <f>IF(VLOOKUP(BJ191,坦克个性化设定!$B$18:$BC$48,MATCH("装弹类型",坦克个性化设定!$B$18:$BC$18,0),FALSE)="弹夹换弹",0,ROUND(VLOOKUP($BJ191,$AI$3:$AO$33,MATCH("换弹时间",$AI$3:$AO$3,0),FALSE)-$BL191/VLOOKUP(VLOOKUP($BJ191,坦克个性化设定!$B$18:$E$48,4,FALSE)&amp;$BK191,坦克属性分配比例,MATCH("升星次数",坦克属性分配比例标头,0),FALSE)*VLOOKUP($BJ191,$AR$3:$AY$33,MATCH("换弹时间",$AR$3:$AY$3,0),FALSE),2))</f>
        <v>2.11</v>
      </c>
      <c r="BW191" s="2">
        <f>IF(VLOOKUP(BJ191,坦克个性化设定!$B$18:$BC$48,MATCH("装弹类型",坦克个性化设定!$B$18:$BC$18,0),FALSE)="弹夹换弹",ROUND(VLOOKUP($BJ191,$AI$3:$AO$33,MATCH("换弹时间",$AI$3:$AO$3,0),FALSE)-$BL191/VLOOKUP(VLOOKUP($BJ191,坦克个性化设定!$B$18:$E$48,4,FALSE)&amp;$BK191,坦克属性分配比例,MATCH("升星次数",坦克属性分配比例标头,0),FALSE)*VLOOKUP($BJ191,$AR$3:$AY$33,MATCH("换弹时间",$AR$3:$AY$3,0),FALSE),1),0)</f>
        <v>0</v>
      </c>
      <c r="BX191" s="2">
        <f>ROUND(VLOOKUP($BJ191,$AI$3:$AO$33,MATCH(BX$3,$AI$3:$AO$3,0),FALSE)+$BL191/VLOOKUP(VLOOKUP($BJ191,坦克个性化设定!$B$18:$E$48,4,FALSE)&amp;$BK191,坦克属性分配比例,MATCH("升星次数",坦克属性分配比例标头,0),FALSE)*VLOOKUP($BJ191,$AR$3:$AY$33,MATCH(BX$3,$AR$3:$AY$3,0),FALSE),2)</f>
        <v>0.26</v>
      </c>
      <c r="BY191" s="2">
        <f>ROUND(VLOOKUP($BJ191,$AI$3:$AO$33,MATCH(BY$3,$AI$3:$AO$3,0),FALSE)-$BL191/VLOOKUP(VLOOKUP($BJ191,坦克个性化设定!$B$18:$E$48,4,FALSE)&amp;$BK191,坦克属性分配比例,MATCH("升星次数",坦克属性分配比例标头,0),FALSE)*VLOOKUP($BJ191,$AR$3:$AY$33,MATCH(BY$3,$AR$3:$AY$3,0),FALSE),2)</f>
        <v>1.62</v>
      </c>
    </row>
    <row r="192" spans="60:77" x14ac:dyDescent="0.3">
      <c r="BH192" s="2" t="str">
        <f t="shared" si="27"/>
        <v>百夫长10</v>
      </c>
      <c r="BI192" s="2">
        <f>IF(BL191&gt;=VLOOKUP(VLOOKUP(BJ191,坦克个性化设定!$B$18:$E$48,4,FALSE)&amp;BK191,坦克属性分配比例,MATCH("升星次数",坦克属性分配比例标头,0),FALSE),BI191+1,BI191)</f>
        <v>19</v>
      </c>
      <c r="BJ192" s="2" t="str">
        <f t="shared" si="28"/>
        <v>百夫长</v>
      </c>
      <c r="BK192" s="29" t="str">
        <f>VLOOKUP(BJ192,坦克个性化细分!$I$3:$J$33,2,FALSE)</f>
        <v>高</v>
      </c>
      <c r="BL192" s="2">
        <f t="shared" si="26"/>
        <v>10</v>
      </c>
      <c r="BM192" s="103" t="e">
        <f ca="1">ROUND(VLOOKUP($BJ192&amp;"初始",$S$3:$AE$63,MATCH(BM$3,$S$3:$AE$3,0),FALSE)+((VLOOKUP($BJ192&amp;"最终",$S$3:$AE$63,MATCH(BM$3,$S$3:$AE$3,0),FALSE)*坦克个性化细分!$C$9-VLOOKUP($BJ192&amp;"初始",$S$3:$AE$63,MATCH(BM$3,$S$3:$AE$3,0),FALSE))-(VLOOKUP($BJ192&amp;"最终",$S$3:$AE$63,MATCH(BM$3,$S$3:$AE$3,0),FALSE)-VLOOKUP($BJ192&amp;"初始",$S$3:$AE$63,MATCH(BM$3,$S$3:$AE$3,0),FALSE))*VLOOKUP(VLOOKUP($BJ192,坦克个性化设定!$B$18:$E$48,4,FALSE)&amp;$BK192,坦克属性分配比例,MATCH("部件比例",坦克属性分配比例标头,0),FALSE))*$BL192/VLOOKUP(VLOOKUP($BJ192,坦克个性化设定!$B$18:$E$48,4,FALSE)&amp;$BK192,坦克属性分配比例,MATCH("升星次数",坦克属性分配比例标头,0),FALSE),0)</f>
        <v>#N/A</v>
      </c>
      <c r="BN192" s="103" t="e">
        <f ca="1">ROUND(VLOOKUP($BJ192&amp;"初始",$S$3:$AE$63,MATCH(BN$3,$S$3:$AE$3,0),FALSE)+(VLOOKUP($BJ192&amp;"最终",$S$3:$AE$63,MATCH(BN$3,$S$3:$AE$3,0),FALSE)-VLOOKUP($BJ192&amp;"初始",$S$3:$AE$63,MATCH(BN$3,$S$3:$AE$3,0),FALSE))*$BL192/VLOOKUP(VLOOKUP($BJ192,坦克个性化设定!$B$18:$E$48,4,FALSE)&amp;$BK192,坦克属性分配比例,MATCH("升星次数",坦克属性分配比例标头,0),FALSE)*VLOOKUP(VLOOKUP($BJ192,坦克个性化设定!$B$18:$E$48,4,FALSE)&amp;$BK192,坦克属性分配比例,MATCH("升星比例",坦克属性分配比例标头,0),FALSE),0)</f>
        <v>#N/A</v>
      </c>
      <c r="BO192" s="103" t="e">
        <f ca="1">ROUND(VLOOKUP($BJ192&amp;"初始",$S$3:$AE$63,MATCH(BO$3,$S$3:$AE$3,0),FALSE)+(VLOOKUP($BJ192&amp;"最终",$S$3:$AE$63,MATCH(BO$3,$S$3:$AE$3,0),FALSE)-VLOOKUP($BJ192&amp;"初始",$S$3:$AE$63,MATCH(BO$3,$S$3:$AE$3,0),FALSE))*$BL192/VLOOKUP(VLOOKUP($BJ192,坦克个性化设定!$B$18:$E$48,4,FALSE)&amp;$BK192,坦克属性分配比例,MATCH("升星次数",坦克属性分配比例标头,0),FALSE)*(VLOOKUP(VLOOKUP($BJ192,坦克个性化设定!$B$18:$E$48,4,FALSE)&amp;$BK192,坦克属性分配比例,MATCH("升星比例",坦克属性分配比例标头,0),FALSE)+VLOOKUP(VLOOKUP($BJ192,坦克个性化设定!$B$18:$E$48,4,FALSE)&amp;$BK192,坦克属性分配比例,MATCH("部件比例",坦克属性分配比例标头,0),FALSE)*$C$3),0)</f>
        <v>#N/A</v>
      </c>
      <c r="BP192" s="103" t="e">
        <f ca="1">ROUND(VLOOKUP($BJ192&amp;"初始",$S$3:$AE$63,MATCH(BP$3,$S$3:$AE$3,0),FALSE)+(VLOOKUP($BJ192&amp;"最终",$S$3:$AE$63,MATCH(BP$3,$S$3:$AE$3,0),FALSE)-VLOOKUP($BJ192&amp;"初始",$S$3:$AE$63,MATCH(BP$3,$S$3:$AE$3,0),FALSE))*$BL192/VLOOKUP(VLOOKUP($BJ192,坦克个性化设定!$B$18:$E$48,4,FALSE)&amp;$BK192,坦克属性分配比例,MATCH("升星次数",坦克属性分配比例标头,0),FALSE)*(VLOOKUP(VLOOKUP($BJ192,坦克个性化设定!$B$18:$E$48,4,FALSE)&amp;$BK192,坦克属性分配比例,MATCH("升星比例",坦克属性分配比例标头,0),FALSE)+VLOOKUP(VLOOKUP($BJ192,坦克个性化设定!$B$18:$E$48,4,FALSE)&amp;$BK192,坦克属性分配比例,MATCH("部件比例",坦克属性分配比例标头,0),FALSE)*$C$3),0)</f>
        <v>#N/A</v>
      </c>
      <c r="BQ192" s="103" t="e">
        <f ca="1">ROUND(VLOOKUP($BJ192&amp;"初始",$S$3:$AE$63,MATCH(BQ$3,$S$3:$AE$3,0),FALSE)+(VLOOKUP($BJ192&amp;"最终",$S$3:$AE$63,MATCH(BQ$3,$S$3:$AE$3,0),FALSE)-VLOOKUP($BJ192&amp;"初始",$S$3:$AE$63,MATCH(BQ$3,$S$3:$AE$3,0),FALSE))*$BL192/VLOOKUP(VLOOKUP($BJ192,坦克个性化设定!$B$18:$E$48,4,FALSE)&amp;$BK192,坦克属性分配比例,MATCH("升星次数",坦克属性分配比例标头,0),FALSE)*VLOOKUP(VLOOKUP($BJ192,坦克个性化设定!$B$18:$E$48,4,FALSE)&amp;$BK192,坦克属性分配比例,MATCH("升星比例",坦克属性分配比例标头,0),FALSE),0)</f>
        <v>#N/A</v>
      </c>
      <c r="BR192" s="2" t="e">
        <f ca="1">ROUND(VLOOKUP($BJ192&amp;"初始",$S$3:$AE$63,MATCH(BR$3,$S$3:$AE$3,0),FALSE)+(VLOOKUP($BJ192&amp;"最终",$S$3:$AE$63,MATCH(BR$3,$S$3:$AE$3,0),FALSE)-VLOOKUP($BJ192&amp;"初始",$S$3:$AE$63,MATCH(BR$3,$S$3:$AE$3,0),FALSE))*$BL192/VLOOKUP(VLOOKUP($BJ192,坦克个性化设定!$B$18:$E$48,4,FALSE)&amp;$BK192,坦克属性分配比例,MATCH("升星次数",坦克属性分配比例标头,0),FALSE),0)</f>
        <v>#N/A</v>
      </c>
      <c r="BS192" s="2">
        <f>ROUND(VLOOKUP($BJ192,$AI$3:$AO$33,MATCH(BS$3,$AI$3:$AO$3,0),FALSE)+$BL192/VLOOKUP(VLOOKUP($BJ192,坦克个性化设定!$B$18:$E$48,4,FALSE)&amp;$BK192,坦克属性分配比例,MATCH("升星次数",坦克属性分配比例标头,0),FALSE)*VLOOKUP($BJ192,$AR$3:$AY$33,MATCH(BS$3,$AR$3:$AY$3,0),FALSE),1)</f>
        <v>57.3</v>
      </c>
      <c r="BT192" s="2">
        <f>ROUND(VLOOKUP($BJ192,$AI$3:$AO$33,MATCH(BT$3,$AI$3:$AO$3,0),FALSE)+$BL192/VLOOKUP(VLOOKUP($BJ192,坦克个性化设定!$B$18:$E$48,4,FALSE)&amp;$BK192,坦克属性分配比例,MATCH("升星次数",坦克属性分配比例标头,0),FALSE)*VLOOKUP($BJ192,$AR$3:$AY$33,MATCH(BT$3,$AR$3:$AY$3,0),FALSE),1)</f>
        <v>51.5</v>
      </c>
      <c r="BU192" s="2">
        <f>ROUND(VLOOKUP($BJ192,$AI$3:$AO$33,MATCH(BU$3,$AI$3:$AO$3,0),FALSE)+$BL192/VLOOKUP(VLOOKUP($BJ192,坦克个性化设定!$B$18:$E$48,4,FALSE)&amp;$BK192,坦克属性分配比例,MATCH("升星次数",坦克属性分配比例标头,0),FALSE)*VLOOKUP($BJ192,$AR$3:$AY$33,MATCH(BU$3,$AR$3:$AY$3,0),FALSE),1)</f>
        <v>8.4</v>
      </c>
      <c r="BV192" s="2">
        <f>IF(VLOOKUP(BJ192,坦克个性化设定!$B$18:$BC$48,MATCH("装弹类型",坦克个性化设定!$B$18:$BC$18,0),FALSE)="弹夹换弹",0,ROUND(VLOOKUP($BJ192,$AI$3:$AO$33,MATCH("换弹时间",$AI$3:$AO$3,0),FALSE)-$BL192/VLOOKUP(VLOOKUP($BJ192,坦克个性化设定!$B$18:$E$48,4,FALSE)&amp;$BK192,坦克属性分配比例,MATCH("升星次数",坦克属性分配比例标头,0),FALSE)*VLOOKUP($BJ192,$AR$3:$AY$33,MATCH("换弹时间",$AR$3:$AY$3,0),FALSE),2))</f>
        <v>2.08</v>
      </c>
      <c r="BW192" s="2">
        <f>IF(VLOOKUP(BJ192,坦克个性化设定!$B$18:$BC$48,MATCH("装弹类型",坦克个性化设定!$B$18:$BC$18,0),FALSE)="弹夹换弹",ROUND(VLOOKUP($BJ192,$AI$3:$AO$33,MATCH("换弹时间",$AI$3:$AO$3,0),FALSE)-$BL192/VLOOKUP(VLOOKUP($BJ192,坦克个性化设定!$B$18:$E$48,4,FALSE)&amp;$BK192,坦克属性分配比例,MATCH("升星次数",坦克属性分配比例标头,0),FALSE)*VLOOKUP($BJ192,$AR$3:$AY$33,MATCH("换弹时间",$AR$3:$AY$3,0),FALSE),1),0)</f>
        <v>0</v>
      </c>
      <c r="BX192" s="2">
        <f>ROUND(VLOOKUP($BJ192,$AI$3:$AO$33,MATCH(BX$3,$AI$3:$AO$3,0),FALSE)+$BL192/VLOOKUP(VLOOKUP($BJ192,坦克个性化设定!$B$18:$E$48,4,FALSE)&amp;$BK192,坦克属性分配比例,MATCH("升星次数",坦克属性分配比例标头,0),FALSE)*VLOOKUP($BJ192,$AR$3:$AY$33,MATCH(BX$3,$AR$3:$AY$3,0),FALSE),2)</f>
        <v>0.26</v>
      </c>
      <c r="BY192" s="2">
        <f>ROUND(VLOOKUP($BJ192,$AI$3:$AO$33,MATCH(BY$3,$AI$3:$AO$3,0),FALSE)-$BL192/VLOOKUP(VLOOKUP($BJ192,坦克个性化设定!$B$18:$E$48,4,FALSE)&amp;$BK192,坦克属性分配比例,MATCH("升星次数",坦克属性分配比例标头,0),FALSE)*VLOOKUP($BJ192,$AR$3:$AY$33,MATCH(BY$3,$AR$3:$AY$3,0),FALSE),2)</f>
        <v>1.59</v>
      </c>
    </row>
    <row r="193" spans="60:77" x14ac:dyDescent="0.3">
      <c r="BH193" s="2" t="str">
        <f t="shared" si="27"/>
        <v>百夫长11</v>
      </c>
      <c r="BI193" s="2">
        <f>IF(BL192&gt;=VLOOKUP(VLOOKUP(BJ192,坦克个性化设定!$B$18:$E$48,4,FALSE)&amp;BK192,坦克属性分配比例,MATCH("升星次数",坦克属性分配比例标头,0),FALSE),BI192+1,BI192)</f>
        <v>19</v>
      </c>
      <c r="BJ193" s="2" t="str">
        <f t="shared" si="28"/>
        <v>百夫长</v>
      </c>
      <c r="BK193" s="29" t="str">
        <f>VLOOKUP(BJ193,坦克个性化细分!$I$3:$J$33,2,FALSE)</f>
        <v>高</v>
      </c>
      <c r="BL193" s="2">
        <f t="shared" si="26"/>
        <v>11</v>
      </c>
      <c r="BM193" s="103" t="e">
        <f ca="1">ROUND(VLOOKUP($BJ193&amp;"初始",$S$3:$AE$63,MATCH(BM$3,$S$3:$AE$3,0),FALSE)+((VLOOKUP($BJ193&amp;"最终",$S$3:$AE$63,MATCH(BM$3,$S$3:$AE$3,0),FALSE)*坦克个性化细分!$C$9-VLOOKUP($BJ193&amp;"初始",$S$3:$AE$63,MATCH(BM$3,$S$3:$AE$3,0),FALSE))-(VLOOKUP($BJ193&amp;"最终",$S$3:$AE$63,MATCH(BM$3,$S$3:$AE$3,0),FALSE)-VLOOKUP($BJ193&amp;"初始",$S$3:$AE$63,MATCH(BM$3,$S$3:$AE$3,0),FALSE))*VLOOKUP(VLOOKUP($BJ193,坦克个性化设定!$B$18:$E$48,4,FALSE)&amp;$BK193,坦克属性分配比例,MATCH("部件比例",坦克属性分配比例标头,0),FALSE))*$BL193/VLOOKUP(VLOOKUP($BJ193,坦克个性化设定!$B$18:$E$48,4,FALSE)&amp;$BK193,坦克属性分配比例,MATCH("升星次数",坦克属性分配比例标头,0),FALSE),0)</f>
        <v>#N/A</v>
      </c>
      <c r="BN193" s="103" t="e">
        <f ca="1">ROUND(VLOOKUP($BJ193&amp;"初始",$S$3:$AE$63,MATCH(BN$3,$S$3:$AE$3,0),FALSE)+(VLOOKUP($BJ193&amp;"最终",$S$3:$AE$63,MATCH(BN$3,$S$3:$AE$3,0),FALSE)-VLOOKUP($BJ193&amp;"初始",$S$3:$AE$63,MATCH(BN$3,$S$3:$AE$3,0),FALSE))*$BL193/VLOOKUP(VLOOKUP($BJ193,坦克个性化设定!$B$18:$E$48,4,FALSE)&amp;$BK193,坦克属性分配比例,MATCH("升星次数",坦克属性分配比例标头,0),FALSE)*VLOOKUP(VLOOKUP($BJ193,坦克个性化设定!$B$18:$E$48,4,FALSE)&amp;$BK193,坦克属性分配比例,MATCH("升星比例",坦克属性分配比例标头,0),FALSE),0)</f>
        <v>#N/A</v>
      </c>
      <c r="BO193" s="103" t="e">
        <f ca="1">ROUND(VLOOKUP($BJ193&amp;"初始",$S$3:$AE$63,MATCH(BO$3,$S$3:$AE$3,0),FALSE)+(VLOOKUP($BJ193&amp;"最终",$S$3:$AE$63,MATCH(BO$3,$S$3:$AE$3,0),FALSE)-VLOOKUP($BJ193&amp;"初始",$S$3:$AE$63,MATCH(BO$3,$S$3:$AE$3,0),FALSE))*$BL193/VLOOKUP(VLOOKUP($BJ193,坦克个性化设定!$B$18:$E$48,4,FALSE)&amp;$BK193,坦克属性分配比例,MATCH("升星次数",坦克属性分配比例标头,0),FALSE)*(VLOOKUP(VLOOKUP($BJ193,坦克个性化设定!$B$18:$E$48,4,FALSE)&amp;$BK193,坦克属性分配比例,MATCH("升星比例",坦克属性分配比例标头,0),FALSE)+VLOOKUP(VLOOKUP($BJ193,坦克个性化设定!$B$18:$E$48,4,FALSE)&amp;$BK193,坦克属性分配比例,MATCH("部件比例",坦克属性分配比例标头,0),FALSE)*$C$3),0)</f>
        <v>#N/A</v>
      </c>
      <c r="BP193" s="103" t="e">
        <f ca="1">ROUND(VLOOKUP($BJ193&amp;"初始",$S$3:$AE$63,MATCH(BP$3,$S$3:$AE$3,0),FALSE)+(VLOOKUP($BJ193&amp;"最终",$S$3:$AE$63,MATCH(BP$3,$S$3:$AE$3,0),FALSE)-VLOOKUP($BJ193&amp;"初始",$S$3:$AE$63,MATCH(BP$3,$S$3:$AE$3,0),FALSE))*$BL193/VLOOKUP(VLOOKUP($BJ193,坦克个性化设定!$B$18:$E$48,4,FALSE)&amp;$BK193,坦克属性分配比例,MATCH("升星次数",坦克属性分配比例标头,0),FALSE)*(VLOOKUP(VLOOKUP($BJ193,坦克个性化设定!$B$18:$E$48,4,FALSE)&amp;$BK193,坦克属性分配比例,MATCH("升星比例",坦克属性分配比例标头,0),FALSE)+VLOOKUP(VLOOKUP($BJ193,坦克个性化设定!$B$18:$E$48,4,FALSE)&amp;$BK193,坦克属性分配比例,MATCH("部件比例",坦克属性分配比例标头,0),FALSE)*$C$3),0)</f>
        <v>#N/A</v>
      </c>
      <c r="BQ193" s="103" t="e">
        <f ca="1">ROUND(VLOOKUP($BJ193&amp;"初始",$S$3:$AE$63,MATCH(BQ$3,$S$3:$AE$3,0),FALSE)+(VLOOKUP($BJ193&amp;"最终",$S$3:$AE$63,MATCH(BQ$3,$S$3:$AE$3,0),FALSE)-VLOOKUP($BJ193&amp;"初始",$S$3:$AE$63,MATCH(BQ$3,$S$3:$AE$3,0),FALSE))*$BL193/VLOOKUP(VLOOKUP($BJ193,坦克个性化设定!$B$18:$E$48,4,FALSE)&amp;$BK193,坦克属性分配比例,MATCH("升星次数",坦克属性分配比例标头,0),FALSE)*VLOOKUP(VLOOKUP($BJ193,坦克个性化设定!$B$18:$E$48,4,FALSE)&amp;$BK193,坦克属性分配比例,MATCH("升星比例",坦克属性分配比例标头,0),FALSE),0)</f>
        <v>#N/A</v>
      </c>
      <c r="BR193" s="2" t="e">
        <f ca="1">ROUND(VLOOKUP($BJ193&amp;"初始",$S$3:$AE$63,MATCH(BR$3,$S$3:$AE$3,0),FALSE)+(VLOOKUP($BJ193&amp;"最终",$S$3:$AE$63,MATCH(BR$3,$S$3:$AE$3,0),FALSE)-VLOOKUP($BJ193&amp;"初始",$S$3:$AE$63,MATCH(BR$3,$S$3:$AE$3,0),FALSE))*$BL193/VLOOKUP(VLOOKUP($BJ193,坦克个性化设定!$B$18:$E$48,4,FALSE)&amp;$BK193,坦克属性分配比例,MATCH("升星次数",坦克属性分配比例标头,0),FALSE),0)</f>
        <v>#N/A</v>
      </c>
      <c r="BS193" s="2">
        <f>ROUND(VLOOKUP($BJ193,$AI$3:$AO$33,MATCH(BS$3,$AI$3:$AO$3,0),FALSE)+$BL193/VLOOKUP(VLOOKUP($BJ193,坦克个性化设定!$B$18:$E$48,4,FALSE)&amp;$BK193,坦克属性分配比例,MATCH("升星次数",坦克属性分配比例标头,0),FALSE)*VLOOKUP($BJ193,$AR$3:$AY$33,MATCH(BS$3,$AR$3:$AY$3,0),FALSE),1)</f>
        <v>58.4</v>
      </c>
      <c r="BT193" s="2">
        <f>ROUND(VLOOKUP($BJ193,$AI$3:$AO$33,MATCH(BT$3,$AI$3:$AO$3,0),FALSE)+$BL193/VLOOKUP(VLOOKUP($BJ193,坦克个性化设定!$B$18:$E$48,4,FALSE)&amp;$BK193,坦克属性分配比例,MATCH("升星次数",坦克属性分配比例标头,0),FALSE)*VLOOKUP($BJ193,$AR$3:$AY$33,MATCH(BT$3,$AR$3:$AY$3,0),FALSE),1)</f>
        <v>52.5</v>
      </c>
      <c r="BU193" s="2">
        <f>ROUND(VLOOKUP($BJ193,$AI$3:$AO$33,MATCH(BU$3,$AI$3:$AO$3,0),FALSE)+$BL193/VLOOKUP(VLOOKUP($BJ193,坦克个性化设定!$B$18:$E$48,4,FALSE)&amp;$BK193,坦克属性分配比例,MATCH("升星次数",坦克属性分配比例标头,0),FALSE)*VLOOKUP($BJ193,$AR$3:$AY$33,MATCH(BU$3,$AR$3:$AY$3,0),FALSE),1)</f>
        <v>8.4</v>
      </c>
      <c r="BV193" s="2">
        <f>IF(VLOOKUP(BJ193,坦克个性化设定!$B$18:$BC$48,MATCH("装弹类型",坦克个性化设定!$B$18:$BC$18,0),FALSE)="弹夹换弹",0,ROUND(VLOOKUP($BJ193,$AI$3:$AO$33,MATCH("换弹时间",$AI$3:$AO$3,0),FALSE)-$BL193/VLOOKUP(VLOOKUP($BJ193,坦克个性化设定!$B$18:$E$48,4,FALSE)&amp;$BK193,坦克属性分配比例,MATCH("升星次数",坦克属性分配比例标头,0),FALSE)*VLOOKUP($BJ193,$AR$3:$AY$33,MATCH("换弹时间",$AR$3:$AY$3,0),FALSE),2))</f>
        <v>2.04</v>
      </c>
      <c r="BW193" s="2">
        <f>IF(VLOOKUP(BJ193,坦克个性化设定!$B$18:$BC$48,MATCH("装弹类型",坦克个性化设定!$B$18:$BC$18,0),FALSE)="弹夹换弹",ROUND(VLOOKUP($BJ193,$AI$3:$AO$33,MATCH("换弹时间",$AI$3:$AO$3,0),FALSE)-$BL193/VLOOKUP(VLOOKUP($BJ193,坦克个性化设定!$B$18:$E$48,4,FALSE)&amp;$BK193,坦克属性分配比例,MATCH("升星次数",坦克属性分配比例标头,0),FALSE)*VLOOKUP($BJ193,$AR$3:$AY$33,MATCH("换弹时间",$AR$3:$AY$3,0),FALSE),1),0)</f>
        <v>0</v>
      </c>
      <c r="BX193" s="2">
        <f>ROUND(VLOOKUP($BJ193,$AI$3:$AO$33,MATCH(BX$3,$AI$3:$AO$3,0),FALSE)+$BL193/VLOOKUP(VLOOKUP($BJ193,坦克个性化设定!$B$18:$E$48,4,FALSE)&amp;$BK193,坦克属性分配比例,MATCH("升星次数",坦克属性分配比例标头,0),FALSE)*VLOOKUP($BJ193,$AR$3:$AY$33,MATCH(BX$3,$AR$3:$AY$3,0),FALSE),2)</f>
        <v>0.26</v>
      </c>
      <c r="BY193" s="2">
        <f>ROUND(VLOOKUP($BJ193,$AI$3:$AO$33,MATCH(BY$3,$AI$3:$AO$3,0),FALSE)-$BL193/VLOOKUP(VLOOKUP($BJ193,坦克个性化设定!$B$18:$E$48,4,FALSE)&amp;$BK193,坦克属性分配比例,MATCH("升星次数",坦克属性分配比例标头,0),FALSE)*VLOOKUP($BJ193,$AR$3:$AY$33,MATCH(BY$3,$AR$3:$AY$3,0),FALSE),2)</f>
        <v>1.56</v>
      </c>
    </row>
    <row r="194" spans="60:77" x14ac:dyDescent="0.3">
      <c r="BH194" s="2" t="str">
        <f t="shared" si="27"/>
        <v>挑战者0</v>
      </c>
      <c r="BI194" s="2">
        <f>IF(BL193&gt;=VLOOKUP(VLOOKUP(BJ193,坦克个性化设定!$B$18:$E$48,4,FALSE)&amp;BK193,坦克属性分配比例,MATCH("升星次数",坦克属性分配比例标头,0),FALSE),BI193+1,BI193)</f>
        <v>20</v>
      </c>
      <c r="BJ194" s="2" t="str">
        <f t="shared" si="28"/>
        <v>挑战者</v>
      </c>
      <c r="BK194" s="29" t="str">
        <f>VLOOKUP(BJ194,坦克个性化细分!$I$3:$J$33,2,FALSE)</f>
        <v>低</v>
      </c>
      <c r="BL194" s="2">
        <f t="shared" si="26"/>
        <v>0</v>
      </c>
      <c r="BM194" s="103" t="e">
        <f ca="1">ROUND(VLOOKUP($BJ194&amp;"初始",$S$3:$AE$63,MATCH(BM$3,$S$3:$AE$3,0),FALSE)+((VLOOKUP($BJ194&amp;"最终",$S$3:$AE$63,MATCH(BM$3,$S$3:$AE$3,0),FALSE)*坦克个性化细分!$C$9-VLOOKUP($BJ194&amp;"初始",$S$3:$AE$63,MATCH(BM$3,$S$3:$AE$3,0),FALSE))-(VLOOKUP($BJ194&amp;"最终",$S$3:$AE$63,MATCH(BM$3,$S$3:$AE$3,0),FALSE)-VLOOKUP($BJ194&amp;"初始",$S$3:$AE$63,MATCH(BM$3,$S$3:$AE$3,0),FALSE))*VLOOKUP(VLOOKUP($BJ194,坦克个性化设定!$B$18:$E$48,4,FALSE)&amp;$BK194,坦克属性分配比例,MATCH("部件比例",坦克属性分配比例标头,0),FALSE))*$BL194/VLOOKUP(VLOOKUP($BJ194,坦克个性化设定!$B$18:$E$48,4,FALSE)&amp;$BK194,坦克属性分配比例,MATCH("升星次数",坦克属性分配比例标头,0),FALSE),0)</f>
        <v>#N/A</v>
      </c>
      <c r="BN194" s="103" t="e">
        <f ca="1">ROUND(VLOOKUP($BJ194&amp;"初始",$S$3:$AE$63,MATCH(BN$3,$S$3:$AE$3,0),FALSE)+(VLOOKUP($BJ194&amp;"最终",$S$3:$AE$63,MATCH(BN$3,$S$3:$AE$3,0),FALSE)-VLOOKUP($BJ194&amp;"初始",$S$3:$AE$63,MATCH(BN$3,$S$3:$AE$3,0),FALSE))*$BL194/VLOOKUP(VLOOKUP($BJ194,坦克个性化设定!$B$18:$E$48,4,FALSE)&amp;$BK194,坦克属性分配比例,MATCH("升星次数",坦克属性分配比例标头,0),FALSE)*VLOOKUP(VLOOKUP($BJ194,坦克个性化设定!$B$18:$E$48,4,FALSE)&amp;$BK194,坦克属性分配比例,MATCH("升星比例",坦克属性分配比例标头,0),FALSE),0)</f>
        <v>#N/A</v>
      </c>
      <c r="BO194" s="103" t="e">
        <f ca="1">ROUND(VLOOKUP($BJ194&amp;"初始",$S$3:$AE$63,MATCH(BO$3,$S$3:$AE$3,0),FALSE)+(VLOOKUP($BJ194&amp;"最终",$S$3:$AE$63,MATCH(BO$3,$S$3:$AE$3,0),FALSE)-VLOOKUP($BJ194&amp;"初始",$S$3:$AE$63,MATCH(BO$3,$S$3:$AE$3,0),FALSE))*$BL194/VLOOKUP(VLOOKUP($BJ194,坦克个性化设定!$B$18:$E$48,4,FALSE)&amp;$BK194,坦克属性分配比例,MATCH("升星次数",坦克属性分配比例标头,0),FALSE)*(VLOOKUP(VLOOKUP($BJ194,坦克个性化设定!$B$18:$E$48,4,FALSE)&amp;$BK194,坦克属性分配比例,MATCH("升星比例",坦克属性分配比例标头,0),FALSE)+VLOOKUP(VLOOKUP($BJ194,坦克个性化设定!$B$18:$E$48,4,FALSE)&amp;$BK194,坦克属性分配比例,MATCH("部件比例",坦克属性分配比例标头,0),FALSE)*$C$3),0)</f>
        <v>#N/A</v>
      </c>
      <c r="BP194" s="103" t="e">
        <f ca="1">ROUND(VLOOKUP($BJ194&amp;"初始",$S$3:$AE$63,MATCH(BP$3,$S$3:$AE$3,0),FALSE)+(VLOOKUP($BJ194&amp;"最终",$S$3:$AE$63,MATCH(BP$3,$S$3:$AE$3,0),FALSE)-VLOOKUP($BJ194&amp;"初始",$S$3:$AE$63,MATCH(BP$3,$S$3:$AE$3,0),FALSE))*$BL194/VLOOKUP(VLOOKUP($BJ194,坦克个性化设定!$B$18:$E$48,4,FALSE)&amp;$BK194,坦克属性分配比例,MATCH("升星次数",坦克属性分配比例标头,0),FALSE)*(VLOOKUP(VLOOKUP($BJ194,坦克个性化设定!$B$18:$E$48,4,FALSE)&amp;$BK194,坦克属性分配比例,MATCH("升星比例",坦克属性分配比例标头,0),FALSE)+VLOOKUP(VLOOKUP($BJ194,坦克个性化设定!$B$18:$E$48,4,FALSE)&amp;$BK194,坦克属性分配比例,MATCH("部件比例",坦克属性分配比例标头,0),FALSE)*$C$3),0)</f>
        <v>#N/A</v>
      </c>
      <c r="BQ194" s="103" t="e">
        <f ca="1">ROUND(VLOOKUP($BJ194&amp;"初始",$S$3:$AE$63,MATCH(BQ$3,$S$3:$AE$3,0),FALSE)+(VLOOKUP($BJ194&amp;"最终",$S$3:$AE$63,MATCH(BQ$3,$S$3:$AE$3,0),FALSE)-VLOOKUP($BJ194&amp;"初始",$S$3:$AE$63,MATCH(BQ$3,$S$3:$AE$3,0),FALSE))*$BL194/VLOOKUP(VLOOKUP($BJ194,坦克个性化设定!$B$18:$E$48,4,FALSE)&amp;$BK194,坦克属性分配比例,MATCH("升星次数",坦克属性分配比例标头,0),FALSE)*VLOOKUP(VLOOKUP($BJ194,坦克个性化设定!$B$18:$E$48,4,FALSE)&amp;$BK194,坦克属性分配比例,MATCH("升星比例",坦克属性分配比例标头,0),FALSE),0)</f>
        <v>#N/A</v>
      </c>
      <c r="BR194" s="2" t="e">
        <f ca="1">ROUND(VLOOKUP($BJ194&amp;"初始",$S$3:$AE$63,MATCH(BR$3,$S$3:$AE$3,0),FALSE)+(VLOOKUP($BJ194&amp;"最终",$S$3:$AE$63,MATCH(BR$3,$S$3:$AE$3,0),FALSE)-VLOOKUP($BJ194&amp;"初始",$S$3:$AE$63,MATCH(BR$3,$S$3:$AE$3,0),FALSE))*$BL194/VLOOKUP(VLOOKUP($BJ194,坦克个性化设定!$B$18:$E$48,4,FALSE)&amp;$BK194,坦克属性分配比例,MATCH("升星次数",坦克属性分配比例标头,0),FALSE),0)</f>
        <v>#N/A</v>
      </c>
      <c r="BS194" s="2">
        <f>ROUND(VLOOKUP($BJ194,$AI$3:$AO$33,MATCH(BS$3,$AI$3:$AO$3,0),FALSE)+$BL194/VLOOKUP(VLOOKUP($BJ194,坦克个性化设定!$B$18:$E$48,4,FALSE)&amp;$BK194,坦克属性分配比例,MATCH("升星次数",坦克属性分配比例标头,0),FALSE)*VLOOKUP($BJ194,$AR$3:$AY$33,MATCH(BS$3,$AR$3:$AY$3,0),FALSE),1)</f>
        <v>35.6</v>
      </c>
      <c r="BT194" s="2">
        <f>ROUND(VLOOKUP($BJ194,$AI$3:$AO$33,MATCH(BT$3,$AI$3:$AO$3,0),FALSE)+$BL194/VLOOKUP(VLOOKUP($BJ194,坦克个性化设定!$B$18:$E$48,4,FALSE)&amp;$BK194,坦克属性分配比例,MATCH("升星次数",坦克属性分配比例标头,0),FALSE)*VLOOKUP($BJ194,$AR$3:$AY$33,MATCH(BT$3,$AR$3:$AY$3,0),FALSE),1)</f>
        <v>50</v>
      </c>
      <c r="BU194" s="2">
        <f>ROUND(VLOOKUP($BJ194,$AI$3:$AO$33,MATCH(BU$3,$AI$3:$AO$3,0),FALSE)+$BL194/VLOOKUP(VLOOKUP($BJ194,坦克个性化设定!$B$18:$E$48,4,FALSE)&amp;$BK194,坦克属性分配比例,MATCH("升星次数",坦克属性分配比例标头,0),FALSE)*VLOOKUP($BJ194,$AR$3:$AY$33,MATCH(BU$3,$AR$3:$AY$3,0),FALSE),1)</f>
        <v>7.2</v>
      </c>
      <c r="BV194" s="2">
        <f>IF(VLOOKUP(BJ194,坦克个性化设定!$B$18:$BC$48,MATCH("装弹类型",坦克个性化设定!$B$18:$BC$18,0),FALSE)="弹夹换弹",0,ROUND(VLOOKUP($BJ194,$AI$3:$AO$33,MATCH("换弹时间",$AI$3:$AO$3,0),FALSE)-$BL194/VLOOKUP(VLOOKUP($BJ194,坦克个性化设定!$B$18:$E$48,4,FALSE)&amp;$BK194,坦克属性分配比例,MATCH("升星次数",坦克属性分配比例标头,0),FALSE)*VLOOKUP($BJ194,$AR$3:$AY$33,MATCH("换弹时间",$AR$3:$AY$3,0),FALSE),2))</f>
        <v>2.4</v>
      </c>
      <c r="BW194" s="2">
        <f>IF(VLOOKUP(BJ194,坦克个性化设定!$B$18:$BC$48,MATCH("装弹类型",坦克个性化设定!$B$18:$BC$18,0),FALSE)="弹夹换弹",ROUND(VLOOKUP($BJ194,$AI$3:$AO$33,MATCH("换弹时间",$AI$3:$AO$3,0),FALSE)-$BL194/VLOOKUP(VLOOKUP($BJ194,坦克个性化设定!$B$18:$E$48,4,FALSE)&amp;$BK194,坦克属性分配比例,MATCH("升星次数",坦克属性分配比例标头,0),FALSE)*VLOOKUP($BJ194,$AR$3:$AY$33,MATCH("换弹时间",$AR$3:$AY$3,0),FALSE),1),0)</f>
        <v>0</v>
      </c>
      <c r="BX194" s="2">
        <f>ROUND(VLOOKUP($BJ194,$AI$3:$AO$33,MATCH(BX$3,$AI$3:$AO$3,0),FALSE)+$BL194/VLOOKUP(VLOOKUP($BJ194,坦克个性化设定!$B$18:$E$48,4,FALSE)&amp;$BK194,坦克属性分配比例,MATCH("升星次数",坦克属性分配比例标头,0),FALSE)*VLOOKUP($BJ194,$AR$3:$AY$33,MATCH(BX$3,$AR$3:$AY$3,0),FALSE),2)</f>
        <v>0.4</v>
      </c>
      <c r="BY194" s="2">
        <f>ROUND(VLOOKUP($BJ194,$AI$3:$AO$33,MATCH(BY$3,$AI$3:$AO$3,0),FALSE)-$BL194/VLOOKUP(VLOOKUP($BJ194,坦克个性化设定!$B$18:$E$48,4,FALSE)&amp;$BK194,坦克属性分配比例,MATCH("升星次数",坦克属性分配比例标头,0),FALSE)*VLOOKUP($BJ194,$AR$3:$AY$33,MATCH(BY$3,$AR$3:$AY$3,0),FALSE),2)</f>
        <v>1.4</v>
      </c>
    </row>
    <row r="195" spans="60:77" x14ac:dyDescent="0.3">
      <c r="BH195" s="2" t="str">
        <f t="shared" si="27"/>
        <v>挑战者1</v>
      </c>
      <c r="BI195" s="2">
        <f>IF(BL194&gt;=VLOOKUP(VLOOKUP(BJ194,坦克个性化设定!$B$18:$E$48,4,FALSE)&amp;BK194,坦克属性分配比例,MATCH("升星次数",坦克属性分配比例标头,0),FALSE),BI194+1,BI194)</f>
        <v>20</v>
      </c>
      <c r="BJ195" s="2" t="str">
        <f t="shared" si="28"/>
        <v>挑战者</v>
      </c>
      <c r="BK195" s="29" t="str">
        <f>VLOOKUP(BJ195,坦克个性化细分!$I$3:$J$33,2,FALSE)</f>
        <v>低</v>
      </c>
      <c r="BL195" s="2">
        <f t="shared" si="26"/>
        <v>1</v>
      </c>
      <c r="BM195" s="103" t="e">
        <f ca="1">ROUND(VLOOKUP($BJ195&amp;"初始",$S$3:$AE$63,MATCH(BM$3,$S$3:$AE$3,0),FALSE)+((VLOOKUP($BJ195&amp;"最终",$S$3:$AE$63,MATCH(BM$3,$S$3:$AE$3,0),FALSE)*坦克个性化细分!$C$9-VLOOKUP($BJ195&amp;"初始",$S$3:$AE$63,MATCH(BM$3,$S$3:$AE$3,0),FALSE))-(VLOOKUP($BJ195&amp;"最终",$S$3:$AE$63,MATCH(BM$3,$S$3:$AE$3,0),FALSE)-VLOOKUP($BJ195&amp;"初始",$S$3:$AE$63,MATCH(BM$3,$S$3:$AE$3,0),FALSE))*VLOOKUP(VLOOKUP($BJ195,坦克个性化设定!$B$18:$E$48,4,FALSE)&amp;$BK195,坦克属性分配比例,MATCH("部件比例",坦克属性分配比例标头,0),FALSE))*$BL195/VLOOKUP(VLOOKUP($BJ195,坦克个性化设定!$B$18:$E$48,4,FALSE)&amp;$BK195,坦克属性分配比例,MATCH("升星次数",坦克属性分配比例标头,0),FALSE),0)</f>
        <v>#N/A</v>
      </c>
      <c r="BN195" s="103" t="e">
        <f ca="1">ROUND(VLOOKUP($BJ195&amp;"初始",$S$3:$AE$63,MATCH(BN$3,$S$3:$AE$3,0),FALSE)+(VLOOKUP($BJ195&amp;"最终",$S$3:$AE$63,MATCH(BN$3,$S$3:$AE$3,0),FALSE)-VLOOKUP($BJ195&amp;"初始",$S$3:$AE$63,MATCH(BN$3,$S$3:$AE$3,0),FALSE))*$BL195/VLOOKUP(VLOOKUP($BJ195,坦克个性化设定!$B$18:$E$48,4,FALSE)&amp;$BK195,坦克属性分配比例,MATCH("升星次数",坦克属性分配比例标头,0),FALSE)*VLOOKUP(VLOOKUP($BJ195,坦克个性化设定!$B$18:$E$48,4,FALSE)&amp;$BK195,坦克属性分配比例,MATCH("升星比例",坦克属性分配比例标头,0),FALSE),0)</f>
        <v>#N/A</v>
      </c>
      <c r="BO195" s="103" t="e">
        <f ca="1">ROUND(VLOOKUP($BJ195&amp;"初始",$S$3:$AE$63,MATCH(BO$3,$S$3:$AE$3,0),FALSE)+(VLOOKUP($BJ195&amp;"最终",$S$3:$AE$63,MATCH(BO$3,$S$3:$AE$3,0),FALSE)-VLOOKUP($BJ195&amp;"初始",$S$3:$AE$63,MATCH(BO$3,$S$3:$AE$3,0),FALSE))*$BL195/VLOOKUP(VLOOKUP($BJ195,坦克个性化设定!$B$18:$E$48,4,FALSE)&amp;$BK195,坦克属性分配比例,MATCH("升星次数",坦克属性分配比例标头,0),FALSE)*(VLOOKUP(VLOOKUP($BJ195,坦克个性化设定!$B$18:$E$48,4,FALSE)&amp;$BK195,坦克属性分配比例,MATCH("升星比例",坦克属性分配比例标头,0),FALSE)+VLOOKUP(VLOOKUP($BJ195,坦克个性化设定!$B$18:$E$48,4,FALSE)&amp;$BK195,坦克属性分配比例,MATCH("部件比例",坦克属性分配比例标头,0),FALSE)*$C$3),0)</f>
        <v>#N/A</v>
      </c>
      <c r="BP195" s="103" t="e">
        <f ca="1">ROUND(VLOOKUP($BJ195&amp;"初始",$S$3:$AE$63,MATCH(BP$3,$S$3:$AE$3,0),FALSE)+(VLOOKUP($BJ195&amp;"最终",$S$3:$AE$63,MATCH(BP$3,$S$3:$AE$3,0),FALSE)-VLOOKUP($BJ195&amp;"初始",$S$3:$AE$63,MATCH(BP$3,$S$3:$AE$3,0),FALSE))*$BL195/VLOOKUP(VLOOKUP($BJ195,坦克个性化设定!$B$18:$E$48,4,FALSE)&amp;$BK195,坦克属性分配比例,MATCH("升星次数",坦克属性分配比例标头,0),FALSE)*(VLOOKUP(VLOOKUP($BJ195,坦克个性化设定!$B$18:$E$48,4,FALSE)&amp;$BK195,坦克属性分配比例,MATCH("升星比例",坦克属性分配比例标头,0),FALSE)+VLOOKUP(VLOOKUP($BJ195,坦克个性化设定!$B$18:$E$48,4,FALSE)&amp;$BK195,坦克属性分配比例,MATCH("部件比例",坦克属性分配比例标头,0),FALSE)*$C$3),0)</f>
        <v>#N/A</v>
      </c>
      <c r="BQ195" s="103" t="e">
        <f ca="1">ROUND(VLOOKUP($BJ195&amp;"初始",$S$3:$AE$63,MATCH(BQ$3,$S$3:$AE$3,0),FALSE)+(VLOOKUP($BJ195&amp;"最终",$S$3:$AE$63,MATCH(BQ$3,$S$3:$AE$3,0),FALSE)-VLOOKUP($BJ195&amp;"初始",$S$3:$AE$63,MATCH(BQ$3,$S$3:$AE$3,0),FALSE))*$BL195/VLOOKUP(VLOOKUP($BJ195,坦克个性化设定!$B$18:$E$48,4,FALSE)&amp;$BK195,坦克属性分配比例,MATCH("升星次数",坦克属性分配比例标头,0),FALSE)*VLOOKUP(VLOOKUP($BJ195,坦克个性化设定!$B$18:$E$48,4,FALSE)&amp;$BK195,坦克属性分配比例,MATCH("升星比例",坦克属性分配比例标头,0),FALSE),0)</f>
        <v>#N/A</v>
      </c>
      <c r="BR195" s="2" t="e">
        <f ca="1">ROUND(VLOOKUP($BJ195&amp;"初始",$S$3:$AE$63,MATCH(BR$3,$S$3:$AE$3,0),FALSE)+(VLOOKUP($BJ195&amp;"最终",$S$3:$AE$63,MATCH(BR$3,$S$3:$AE$3,0),FALSE)-VLOOKUP($BJ195&amp;"初始",$S$3:$AE$63,MATCH(BR$3,$S$3:$AE$3,0),FALSE))*$BL195/VLOOKUP(VLOOKUP($BJ195,坦克个性化设定!$B$18:$E$48,4,FALSE)&amp;$BK195,坦克属性分配比例,MATCH("升星次数",坦克属性分配比例标头,0),FALSE),0)</f>
        <v>#N/A</v>
      </c>
      <c r="BS195" s="2">
        <f>ROUND(VLOOKUP($BJ195,$AI$3:$AO$33,MATCH(BS$3,$AI$3:$AO$3,0),FALSE)+$BL195/VLOOKUP(VLOOKUP($BJ195,坦克个性化设定!$B$18:$E$48,4,FALSE)&amp;$BK195,坦克属性分配比例,MATCH("升星次数",坦克属性分配比例标头,0),FALSE)*VLOOKUP($BJ195,$AR$3:$AY$33,MATCH(BS$3,$AR$3:$AY$3,0),FALSE),1)</f>
        <v>36.299999999999997</v>
      </c>
      <c r="BT195" s="2">
        <f>ROUND(VLOOKUP($BJ195,$AI$3:$AO$33,MATCH(BT$3,$AI$3:$AO$3,0),FALSE)+$BL195/VLOOKUP(VLOOKUP($BJ195,坦克个性化设定!$B$18:$E$48,4,FALSE)&amp;$BK195,坦克属性分配比例,MATCH("升星次数",坦克属性分配比例标头,0),FALSE)*VLOOKUP($BJ195,$AR$3:$AY$33,MATCH(BT$3,$AR$3:$AY$3,0),FALSE),1)</f>
        <v>51</v>
      </c>
      <c r="BU195" s="2">
        <f>ROUND(VLOOKUP($BJ195,$AI$3:$AO$33,MATCH(BU$3,$AI$3:$AO$3,0),FALSE)+$BL195/VLOOKUP(VLOOKUP($BJ195,坦克个性化设定!$B$18:$E$48,4,FALSE)&amp;$BK195,坦克属性分配比例,MATCH("升星次数",坦克属性分配比例标头,0),FALSE)*VLOOKUP($BJ195,$AR$3:$AY$33,MATCH(BU$3,$AR$3:$AY$3,0),FALSE),1)</f>
        <v>7.2</v>
      </c>
      <c r="BV195" s="2">
        <f>IF(VLOOKUP(BJ195,坦克个性化设定!$B$18:$BC$48,MATCH("装弹类型",坦克个性化设定!$B$18:$BC$18,0),FALSE)="弹夹换弹",0,ROUND(VLOOKUP($BJ195,$AI$3:$AO$33,MATCH("换弹时间",$AI$3:$AO$3,0),FALSE)-$BL195/VLOOKUP(VLOOKUP($BJ195,坦克个性化设定!$B$18:$E$48,4,FALSE)&amp;$BK195,坦克属性分配比例,MATCH("升星次数",坦克属性分配比例标头,0),FALSE)*VLOOKUP($BJ195,$AR$3:$AY$33,MATCH("换弹时间",$AR$3:$AY$3,0),FALSE),2))</f>
        <v>2.37</v>
      </c>
      <c r="BW195" s="2">
        <f>IF(VLOOKUP(BJ195,坦克个性化设定!$B$18:$BC$48,MATCH("装弹类型",坦克个性化设定!$B$18:$BC$18,0),FALSE)="弹夹换弹",ROUND(VLOOKUP($BJ195,$AI$3:$AO$33,MATCH("换弹时间",$AI$3:$AO$3,0),FALSE)-$BL195/VLOOKUP(VLOOKUP($BJ195,坦克个性化设定!$B$18:$E$48,4,FALSE)&amp;$BK195,坦克属性分配比例,MATCH("升星次数",坦克属性分配比例标头,0),FALSE)*VLOOKUP($BJ195,$AR$3:$AY$33,MATCH("换弹时间",$AR$3:$AY$3,0),FALSE),1),0)</f>
        <v>0</v>
      </c>
      <c r="BX195" s="2">
        <f>ROUND(VLOOKUP($BJ195,$AI$3:$AO$33,MATCH(BX$3,$AI$3:$AO$3,0),FALSE)+$BL195/VLOOKUP(VLOOKUP($BJ195,坦克个性化设定!$B$18:$E$48,4,FALSE)&amp;$BK195,坦克属性分配比例,MATCH("升星次数",坦克属性分配比例标头,0),FALSE)*VLOOKUP($BJ195,$AR$3:$AY$33,MATCH(BX$3,$AR$3:$AY$3,0),FALSE),2)</f>
        <v>0.4</v>
      </c>
      <c r="BY195" s="2">
        <f>ROUND(VLOOKUP($BJ195,$AI$3:$AO$33,MATCH(BY$3,$AI$3:$AO$3,0),FALSE)-$BL195/VLOOKUP(VLOOKUP($BJ195,坦克个性化设定!$B$18:$E$48,4,FALSE)&amp;$BK195,坦克属性分配比例,MATCH("升星次数",坦克属性分配比例标头,0),FALSE)*VLOOKUP($BJ195,$AR$3:$AY$33,MATCH(BY$3,$AR$3:$AY$3,0),FALSE),2)</f>
        <v>1.38</v>
      </c>
    </row>
    <row r="196" spans="60:77" x14ac:dyDescent="0.3">
      <c r="BH196" s="2" t="str">
        <f t="shared" si="27"/>
        <v>挑战者2</v>
      </c>
      <c r="BI196" s="2">
        <f>IF(BL195&gt;=VLOOKUP(VLOOKUP(BJ195,坦克个性化设定!$B$18:$E$48,4,FALSE)&amp;BK195,坦克属性分配比例,MATCH("升星次数",坦克属性分配比例标头,0),FALSE),BI195+1,BI195)</f>
        <v>20</v>
      </c>
      <c r="BJ196" s="2" t="str">
        <f t="shared" si="28"/>
        <v>挑战者</v>
      </c>
      <c r="BK196" s="29" t="str">
        <f>VLOOKUP(BJ196,坦克个性化细分!$I$3:$J$33,2,FALSE)</f>
        <v>低</v>
      </c>
      <c r="BL196" s="2">
        <f t="shared" ref="BL196:BL204" si="29">IF(BJ196&lt;&gt;BJ195,0,BL195+1)</f>
        <v>2</v>
      </c>
      <c r="BM196" s="103" t="e">
        <f ca="1">ROUND(VLOOKUP($BJ196&amp;"初始",$S$3:$AE$63,MATCH(BM$3,$S$3:$AE$3,0),FALSE)+((VLOOKUP($BJ196&amp;"最终",$S$3:$AE$63,MATCH(BM$3,$S$3:$AE$3,0),FALSE)*坦克个性化细分!$C$9-VLOOKUP($BJ196&amp;"初始",$S$3:$AE$63,MATCH(BM$3,$S$3:$AE$3,0),FALSE))-(VLOOKUP($BJ196&amp;"最终",$S$3:$AE$63,MATCH(BM$3,$S$3:$AE$3,0),FALSE)-VLOOKUP($BJ196&amp;"初始",$S$3:$AE$63,MATCH(BM$3,$S$3:$AE$3,0),FALSE))*VLOOKUP(VLOOKUP($BJ196,坦克个性化设定!$B$18:$E$48,4,FALSE)&amp;$BK196,坦克属性分配比例,MATCH("部件比例",坦克属性分配比例标头,0),FALSE))*$BL196/VLOOKUP(VLOOKUP($BJ196,坦克个性化设定!$B$18:$E$48,4,FALSE)&amp;$BK196,坦克属性分配比例,MATCH("升星次数",坦克属性分配比例标头,0),FALSE),0)</f>
        <v>#N/A</v>
      </c>
      <c r="BN196" s="103" t="e">
        <f ca="1">ROUND(VLOOKUP($BJ196&amp;"初始",$S$3:$AE$63,MATCH(BN$3,$S$3:$AE$3,0),FALSE)+(VLOOKUP($BJ196&amp;"最终",$S$3:$AE$63,MATCH(BN$3,$S$3:$AE$3,0),FALSE)-VLOOKUP($BJ196&amp;"初始",$S$3:$AE$63,MATCH(BN$3,$S$3:$AE$3,0),FALSE))*$BL196/VLOOKUP(VLOOKUP($BJ196,坦克个性化设定!$B$18:$E$48,4,FALSE)&amp;$BK196,坦克属性分配比例,MATCH("升星次数",坦克属性分配比例标头,0),FALSE)*VLOOKUP(VLOOKUP($BJ196,坦克个性化设定!$B$18:$E$48,4,FALSE)&amp;$BK196,坦克属性分配比例,MATCH("升星比例",坦克属性分配比例标头,0),FALSE),0)</f>
        <v>#N/A</v>
      </c>
      <c r="BO196" s="103" t="e">
        <f ca="1">ROUND(VLOOKUP($BJ196&amp;"初始",$S$3:$AE$63,MATCH(BO$3,$S$3:$AE$3,0),FALSE)+(VLOOKUP($BJ196&amp;"最终",$S$3:$AE$63,MATCH(BO$3,$S$3:$AE$3,0),FALSE)-VLOOKUP($BJ196&amp;"初始",$S$3:$AE$63,MATCH(BO$3,$S$3:$AE$3,0),FALSE))*$BL196/VLOOKUP(VLOOKUP($BJ196,坦克个性化设定!$B$18:$E$48,4,FALSE)&amp;$BK196,坦克属性分配比例,MATCH("升星次数",坦克属性分配比例标头,0),FALSE)*(VLOOKUP(VLOOKUP($BJ196,坦克个性化设定!$B$18:$E$48,4,FALSE)&amp;$BK196,坦克属性分配比例,MATCH("升星比例",坦克属性分配比例标头,0),FALSE)+VLOOKUP(VLOOKUP($BJ196,坦克个性化设定!$B$18:$E$48,4,FALSE)&amp;$BK196,坦克属性分配比例,MATCH("部件比例",坦克属性分配比例标头,0),FALSE)*$C$3),0)</f>
        <v>#N/A</v>
      </c>
      <c r="BP196" s="103" t="e">
        <f ca="1">ROUND(VLOOKUP($BJ196&amp;"初始",$S$3:$AE$63,MATCH(BP$3,$S$3:$AE$3,0),FALSE)+(VLOOKUP($BJ196&amp;"最终",$S$3:$AE$63,MATCH(BP$3,$S$3:$AE$3,0),FALSE)-VLOOKUP($BJ196&amp;"初始",$S$3:$AE$63,MATCH(BP$3,$S$3:$AE$3,0),FALSE))*$BL196/VLOOKUP(VLOOKUP($BJ196,坦克个性化设定!$B$18:$E$48,4,FALSE)&amp;$BK196,坦克属性分配比例,MATCH("升星次数",坦克属性分配比例标头,0),FALSE)*(VLOOKUP(VLOOKUP($BJ196,坦克个性化设定!$B$18:$E$48,4,FALSE)&amp;$BK196,坦克属性分配比例,MATCH("升星比例",坦克属性分配比例标头,0),FALSE)+VLOOKUP(VLOOKUP($BJ196,坦克个性化设定!$B$18:$E$48,4,FALSE)&amp;$BK196,坦克属性分配比例,MATCH("部件比例",坦克属性分配比例标头,0),FALSE)*$C$3),0)</f>
        <v>#N/A</v>
      </c>
      <c r="BQ196" s="103" t="e">
        <f ca="1">ROUND(VLOOKUP($BJ196&amp;"初始",$S$3:$AE$63,MATCH(BQ$3,$S$3:$AE$3,0),FALSE)+(VLOOKUP($BJ196&amp;"最终",$S$3:$AE$63,MATCH(BQ$3,$S$3:$AE$3,0),FALSE)-VLOOKUP($BJ196&amp;"初始",$S$3:$AE$63,MATCH(BQ$3,$S$3:$AE$3,0),FALSE))*$BL196/VLOOKUP(VLOOKUP($BJ196,坦克个性化设定!$B$18:$E$48,4,FALSE)&amp;$BK196,坦克属性分配比例,MATCH("升星次数",坦克属性分配比例标头,0),FALSE)*VLOOKUP(VLOOKUP($BJ196,坦克个性化设定!$B$18:$E$48,4,FALSE)&amp;$BK196,坦克属性分配比例,MATCH("升星比例",坦克属性分配比例标头,0),FALSE),0)</f>
        <v>#N/A</v>
      </c>
      <c r="BR196" s="2" t="e">
        <f ca="1">ROUND(VLOOKUP($BJ196&amp;"初始",$S$3:$AE$63,MATCH(BR$3,$S$3:$AE$3,0),FALSE)+(VLOOKUP($BJ196&amp;"最终",$S$3:$AE$63,MATCH(BR$3,$S$3:$AE$3,0),FALSE)-VLOOKUP($BJ196&amp;"初始",$S$3:$AE$63,MATCH(BR$3,$S$3:$AE$3,0),FALSE))*$BL196/VLOOKUP(VLOOKUP($BJ196,坦克个性化设定!$B$18:$E$48,4,FALSE)&amp;$BK196,坦克属性分配比例,MATCH("升星次数",坦克属性分配比例标头,0),FALSE),0)</f>
        <v>#N/A</v>
      </c>
      <c r="BS196" s="2">
        <f>ROUND(VLOOKUP($BJ196,$AI$3:$AO$33,MATCH(BS$3,$AI$3:$AO$3,0),FALSE)+$BL196/VLOOKUP(VLOOKUP($BJ196,坦克个性化设定!$B$18:$E$48,4,FALSE)&amp;$BK196,坦克属性分配比例,MATCH("升星次数",坦克属性分配比例标头,0),FALSE)*VLOOKUP($BJ196,$AR$3:$AY$33,MATCH(BS$3,$AR$3:$AY$3,0),FALSE),1)</f>
        <v>37</v>
      </c>
      <c r="BT196" s="2">
        <f>ROUND(VLOOKUP($BJ196,$AI$3:$AO$33,MATCH(BT$3,$AI$3:$AO$3,0),FALSE)+$BL196/VLOOKUP(VLOOKUP($BJ196,坦克个性化设定!$B$18:$E$48,4,FALSE)&amp;$BK196,坦克属性分配比例,MATCH("升星次数",坦克属性分配比例标头,0),FALSE)*VLOOKUP($BJ196,$AR$3:$AY$33,MATCH(BT$3,$AR$3:$AY$3,0),FALSE),1)</f>
        <v>51.9</v>
      </c>
      <c r="BU196" s="2">
        <f>ROUND(VLOOKUP($BJ196,$AI$3:$AO$33,MATCH(BU$3,$AI$3:$AO$3,0),FALSE)+$BL196/VLOOKUP(VLOOKUP($BJ196,坦克个性化设定!$B$18:$E$48,4,FALSE)&amp;$BK196,坦克属性分配比例,MATCH("升星次数",坦克属性分配比例标头,0),FALSE)*VLOOKUP($BJ196,$AR$3:$AY$33,MATCH(BU$3,$AR$3:$AY$3,0),FALSE),1)</f>
        <v>7.2</v>
      </c>
      <c r="BV196" s="2">
        <f>IF(VLOOKUP(BJ196,坦克个性化设定!$B$18:$BC$48,MATCH("装弹类型",坦克个性化设定!$B$18:$BC$18,0),FALSE)="弹夹换弹",0,ROUND(VLOOKUP($BJ196,$AI$3:$AO$33,MATCH("换弹时间",$AI$3:$AO$3,0),FALSE)-$BL196/VLOOKUP(VLOOKUP($BJ196,坦克个性化设定!$B$18:$E$48,4,FALSE)&amp;$BK196,坦克属性分配比例,MATCH("升星次数",坦克属性分配比例标头,0),FALSE)*VLOOKUP($BJ196,$AR$3:$AY$33,MATCH("换弹时间",$AR$3:$AY$3,0),FALSE),2))</f>
        <v>2.34</v>
      </c>
      <c r="BW196" s="2">
        <f>IF(VLOOKUP(BJ196,坦克个性化设定!$B$18:$BC$48,MATCH("装弹类型",坦克个性化设定!$B$18:$BC$18,0),FALSE)="弹夹换弹",ROUND(VLOOKUP($BJ196,$AI$3:$AO$33,MATCH("换弹时间",$AI$3:$AO$3,0),FALSE)-$BL196/VLOOKUP(VLOOKUP($BJ196,坦克个性化设定!$B$18:$E$48,4,FALSE)&amp;$BK196,坦克属性分配比例,MATCH("升星次数",坦克属性分配比例标头,0),FALSE)*VLOOKUP($BJ196,$AR$3:$AY$33,MATCH("换弹时间",$AR$3:$AY$3,0),FALSE),1),0)</f>
        <v>0</v>
      </c>
      <c r="BX196" s="2">
        <f>ROUND(VLOOKUP($BJ196,$AI$3:$AO$33,MATCH(BX$3,$AI$3:$AO$3,0),FALSE)+$BL196/VLOOKUP(VLOOKUP($BJ196,坦克个性化设定!$B$18:$E$48,4,FALSE)&amp;$BK196,坦克属性分配比例,MATCH("升星次数",坦克属性分配比例标头,0),FALSE)*VLOOKUP($BJ196,$AR$3:$AY$33,MATCH(BX$3,$AR$3:$AY$3,0),FALSE),2)</f>
        <v>0.4</v>
      </c>
      <c r="BY196" s="2">
        <f>ROUND(VLOOKUP($BJ196,$AI$3:$AO$33,MATCH(BY$3,$AI$3:$AO$3,0),FALSE)-$BL196/VLOOKUP(VLOOKUP($BJ196,坦克个性化设定!$B$18:$E$48,4,FALSE)&amp;$BK196,坦克属性分配比例,MATCH("升星次数",坦克属性分配比例标头,0),FALSE)*VLOOKUP($BJ196,$AR$3:$AY$33,MATCH(BY$3,$AR$3:$AY$3,0),FALSE),2)</f>
        <v>1.36</v>
      </c>
    </row>
    <row r="197" spans="60:77" x14ac:dyDescent="0.3">
      <c r="BH197" s="2" t="str">
        <f t="shared" ref="BH197:BH204" si="30">BJ197&amp;BL197</f>
        <v>挑战者3</v>
      </c>
      <c r="BI197" s="2">
        <f>IF(BL196&gt;=VLOOKUP(VLOOKUP(BJ196,坦克个性化设定!$B$18:$E$48,4,FALSE)&amp;BK196,坦克属性分配比例,MATCH("升星次数",坦克属性分配比例标头,0),FALSE),BI196+1,BI196)</f>
        <v>20</v>
      </c>
      <c r="BJ197" s="2" t="str">
        <f t="shared" ref="BJ197:BJ204" si="31">VLOOKUP(BI197,$B$5:$C$35,2,FALSE)</f>
        <v>挑战者</v>
      </c>
      <c r="BK197" s="29" t="str">
        <f>VLOOKUP(BJ197,坦克个性化细分!$I$3:$J$33,2,FALSE)</f>
        <v>低</v>
      </c>
      <c r="BL197" s="2">
        <f t="shared" si="29"/>
        <v>3</v>
      </c>
      <c r="BM197" s="103" t="e">
        <f ca="1">ROUND(VLOOKUP($BJ197&amp;"初始",$S$3:$AE$63,MATCH(BM$3,$S$3:$AE$3,0),FALSE)+((VLOOKUP($BJ197&amp;"最终",$S$3:$AE$63,MATCH(BM$3,$S$3:$AE$3,0),FALSE)*坦克个性化细分!$C$9-VLOOKUP($BJ197&amp;"初始",$S$3:$AE$63,MATCH(BM$3,$S$3:$AE$3,0),FALSE))-(VLOOKUP($BJ197&amp;"最终",$S$3:$AE$63,MATCH(BM$3,$S$3:$AE$3,0),FALSE)-VLOOKUP($BJ197&amp;"初始",$S$3:$AE$63,MATCH(BM$3,$S$3:$AE$3,0),FALSE))*VLOOKUP(VLOOKUP($BJ197,坦克个性化设定!$B$18:$E$48,4,FALSE)&amp;$BK197,坦克属性分配比例,MATCH("部件比例",坦克属性分配比例标头,0),FALSE))*$BL197/VLOOKUP(VLOOKUP($BJ197,坦克个性化设定!$B$18:$E$48,4,FALSE)&amp;$BK197,坦克属性分配比例,MATCH("升星次数",坦克属性分配比例标头,0),FALSE),0)</f>
        <v>#N/A</v>
      </c>
      <c r="BN197" s="103" t="e">
        <f ca="1">ROUND(VLOOKUP($BJ197&amp;"初始",$S$3:$AE$63,MATCH(BN$3,$S$3:$AE$3,0),FALSE)+(VLOOKUP($BJ197&amp;"最终",$S$3:$AE$63,MATCH(BN$3,$S$3:$AE$3,0),FALSE)-VLOOKUP($BJ197&amp;"初始",$S$3:$AE$63,MATCH(BN$3,$S$3:$AE$3,0),FALSE))*$BL197/VLOOKUP(VLOOKUP($BJ197,坦克个性化设定!$B$18:$E$48,4,FALSE)&amp;$BK197,坦克属性分配比例,MATCH("升星次数",坦克属性分配比例标头,0),FALSE)*VLOOKUP(VLOOKUP($BJ197,坦克个性化设定!$B$18:$E$48,4,FALSE)&amp;$BK197,坦克属性分配比例,MATCH("升星比例",坦克属性分配比例标头,0),FALSE),0)</f>
        <v>#N/A</v>
      </c>
      <c r="BO197" s="103" t="e">
        <f ca="1">ROUND(VLOOKUP($BJ197&amp;"初始",$S$3:$AE$63,MATCH(BO$3,$S$3:$AE$3,0),FALSE)+(VLOOKUP($BJ197&amp;"最终",$S$3:$AE$63,MATCH(BO$3,$S$3:$AE$3,0),FALSE)-VLOOKUP($BJ197&amp;"初始",$S$3:$AE$63,MATCH(BO$3,$S$3:$AE$3,0),FALSE))*$BL197/VLOOKUP(VLOOKUP($BJ197,坦克个性化设定!$B$18:$E$48,4,FALSE)&amp;$BK197,坦克属性分配比例,MATCH("升星次数",坦克属性分配比例标头,0),FALSE)*(VLOOKUP(VLOOKUP($BJ197,坦克个性化设定!$B$18:$E$48,4,FALSE)&amp;$BK197,坦克属性分配比例,MATCH("升星比例",坦克属性分配比例标头,0),FALSE)+VLOOKUP(VLOOKUP($BJ197,坦克个性化设定!$B$18:$E$48,4,FALSE)&amp;$BK197,坦克属性分配比例,MATCH("部件比例",坦克属性分配比例标头,0),FALSE)*$C$3),0)</f>
        <v>#N/A</v>
      </c>
      <c r="BP197" s="103" t="e">
        <f ca="1">ROUND(VLOOKUP($BJ197&amp;"初始",$S$3:$AE$63,MATCH(BP$3,$S$3:$AE$3,0),FALSE)+(VLOOKUP($BJ197&amp;"最终",$S$3:$AE$63,MATCH(BP$3,$S$3:$AE$3,0),FALSE)-VLOOKUP($BJ197&amp;"初始",$S$3:$AE$63,MATCH(BP$3,$S$3:$AE$3,0),FALSE))*$BL197/VLOOKUP(VLOOKUP($BJ197,坦克个性化设定!$B$18:$E$48,4,FALSE)&amp;$BK197,坦克属性分配比例,MATCH("升星次数",坦克属性分配比例标头,0),FALSE)*(VLOOKUP(VLOOKUP($BJ197,坦克个性化设定!$B$18:$E$48,4,FALSE)&amp;$BK197,坦克属性分配比例,MATCH("升星比例",坦克属性分配比例标头,0),FALSE)+VLOOKUP(VLOOKUP($BJ197,坦克个性化设定!$B$18:$E$48,4,FALSE)&amp;$BK197,坦克属性分配比例,MATCH("部件比例",坦克属性分配比例标头,0),FALSE)*$C$3),0)</f>
        <v>#N/A</v>
      </c>
      <c r="BQ197" s="103" t="e">
        <f ca="1">ROUND(VLOOKUP($BJ197&amp;"初始",$S$3:$AE$63,MATCH(BQ$3,$S$3:$AE$3,0),FALSE)+(VLOOKUP($BJ197&amp;"最终",$S$3:$AE$63,MATCH(BQ$3,$S$3:$AE$3,0),FALSE)-VLOOKUP($BJ197&amp;"初始",$S$3:$AE$63,MATCH(BQ$3,$S$3:$AE$3,0),FALSE))*$BL197/VLOOKUP(VLOOKUP($BJ197,坦克个性化设定!$B$18:$E$48,4,FALSE)&amp;$BK197,坦克属性分配比例,MATCH("升星次数",坦克属性分配比例标头,0),FALSE)*VLOOKUP(VLOOKUP($BJ197,坦克个性化设定!$B$18:$E$48,4,FALSE)&amp;$BK197,坦克属性分配比例,MATCH("升星比例",坦克属性分配比例标头,0),FALSE),0)</f>
        <v>#N/A</v>
      </c>
      <c r="BR197" s="2" t="e">
        <f ca="1">ROUND(VLOOKUP($BJ197&amp;"初始",$S$3:$AE$63,MATCH(BR$3,$S$3:$AE$3,0),FALSE)+(VLOOKUP($BJ197&amp;"最终",$S$3:$AE$63,MATCH(BR$3,$S$3:$AE$3,0),FALSE)-VLOOKUP($BJ197&amp;"初始",$S$3:$AE$63,MATCH(BR$3,$S$3:$AE$3,0),FALSE))*$BL197/VLOOKUP(VLOOKUP($BJ197,坦克个性化设定!$B$18:$E$48,4,FALSE)&amp;$BK197,坦克属性分配比例,MATCH("升星次数",坦克属性分配比例标头,0),FALSE),0)</f>
        <v>#N/A</v>
      </c>
      <c r="BS197" s="2">
        <f>ROUND(VLOOKUP($BJ197,$AI$3:$AO$33,MATCH(BS$3,$AI$3:$AO$3,0),FALSE)+$BL197/VLOOKUP(VLOOKUP($BJ197,坦克个性化设定!$B$18:$E$48,4,FALSE)&amp;$BK197,坦克属性分配比例,MATCH("升星次数",坦克属性分配比例标头,0),FALSE)*VLOOKUP($BJ197,$AR$3:$AY$33,MATCH(BS$3,$AR$3:$AY$3,0),FALSE),1)</f>
        <v>37.700000000000003</v>
      </c>
      <c r="BT197" s="2">
        <f>ROUND(VLOOKUP($BJ197,$AI$3:$AO$33,MATCH(BT$3,$AI$3:$AO$3,0),FALSE)+$BL197/VLOOKUP(VLOOKUP($BJ197,坦克个性化设定!$B$18:$E$48,4,FALSE)&amp;$BK197,坦克属性分配比例,MATCH("升星次数",坦克属性分配比例标头,0),FALSE)*VLOOKUP($BJ197,$AR$3:$AY$33,MATCH(BT$3,$AR$3:$AY$3,0),FALSE),1)</f>
        <v>52.9</v>
      </c>
      <c r="BU197" s="2">
        <f>ROUND(VLOOKUP($BJ197,$AI$3:$AO$33,MATCH(BU$3,$AI$3:$AO$3,0),FALSE)+$BL197/VLOOKUP(VLOOKUP($BJ197,坦克个性化设定!$B$18:$E$48,4,FALSE)&amp;$BK197,坦克属性分配比例,MATCH("升星次数",坦克属性分配比例标头,0),FALSE)*VLOOKUP($BJ197,$AR$3:$AY$33,MATCH(BU$3,$AR$3:$AY$3,0),FALSE),1)</f>
        <v>7.2</v>
      </c>
      <c r="BV197" s="2">
        <f>IF(VLOOKUP(BJ197,坦克个性化设定!$B$18:$BC$48,MATCH("装弹类型",坦克个性化设定!$B$18:$BC$18,0),FALSE)="弹夹换弹",0,ROUND(VLOOKUP($BJ197,$AI$3:$AO$33,MATCH("换弹时间",$AI$3:$AO$3,0),FALSE)-$BL197/VLOOKUP(VLOOKUP($BJ197,坦克个性化设定!$B$18:$E$48,4,FALSE)&amp;$BK197,坦克属性分配比例,MATCH("升星次数",坦克属性分配比例标头,0),FALSE)*VLOOKUP($BJ197,$AR$3:$AY$33,MATCH("换弹时间",$AR$3:$AY$3,0),FALSE),2))</f>
        <v>2.31</v>
      </c>
      <c r="BW197" s="2">
        <f>IF(VLOOKUP(BJ197,坦克个性化设定!$B$18:$BC$48,MATCH("装弹类型",坦克个性化设定!$B$18:$BC$18,0),FALSE)="弹夹换弹",ROUND(VLOOKUP($BJ197,$AI$3:$AO$33,MATCH("换弹时间",$AI$3:$AO$3,0),FALSE)-$BL197/VLOOKUP(VLOOKUP($BJ197,坦克个性化设定!$B$18:$E$48,4,FALSE)&amp;$BK197,坦克属性分配比例,MATCH("升星次数",坦克属性分配比例标头,0),FALSE)*VLOOKUP($BJ197,$AR$3:$AY$33,MATCH("换弹时间",$AR$3:$AY$3,0),FALSE),1),0)</f>
        <v>0</v>
      </c>
      <c r="BX197" s="2">
        <f>ROUND(VLOOKUP($BJ197,$AI$3:$AO$33,MATCH(BX$3,$AI$3:$AO$3,0),FALSE)+$BL197/VLOOKUP(VLOOKUP($BJ197,坦克个性化设定!$B$18:$E$48,4,FALSE)&amp;$BK197,坦克属性分配比例,MATCH("升星次数",坦克属性分配比例标头,0),FALSE)*VLOOKUP($BJ197,$AR$3:$AY$33,MATCH(BX$3,$AR$3:$AY$3,0),FALSE),2)</f>
        <v>0.4</v>
      </c>
      <c r="BY197" s="2">
        <f>ROUND(VLOOKUP($BJ197,$AI$3:$AO$33,MATCH(BY$3,$AI$3:$AO$3,0),FALSE)-$BL197/VLOOKUP(VLOOKUP($BJ197,坦克个性化设定!$B$18:$E$48,4,FALSE)&amp;$BK197,坦克属性分配比例,MATCH("升星次数",坦克属性分配比例标头,0),FALSE)*VLOOKUP($BJ197,$AR$3:$AY$33,MATCH(BY$3,$AR$3:$AY$3,0),FALSE),2)</f>
        <v>1.35</v>
      </c>
    </row>
    <row r="198" spans="60:77" x14ac:dyDescent="0.3">
      <c r="BH198" s="2" t="str">
        <f t="shared" si="30"/>
        <v>挑战者4</v>
      </c>
      <c r="BI198" s="2">
        <f>IF(BL197&gt;=VLOOKUP(VLOOKUP(BJ197,坦克个性化设定!$B$18:$E$48,4,FALSE)&amp;BK197,坦克属性分配比例,MATCH("升星次数",坦克属性分配比例标头,0),FALSE),BI197+1,BI197)</f>
        <v>20</v>
      </c>
      <c r="BJ198" s="2" t="str">
        <f t="shared" si="31"/>
        <v>挑战者</v>
      </c>
      <c r="BK198" s="29" t="str">
        <f>VLOOKUP(BJ198,坦克个性化细分!$I$3:$J$33,2,FALSE)</f>
        <v>低</v>
      </c>
      <c r="BL198" s="2">
        <f t="shared" si="29"/>
        <v>4</v>
      </c>
      <c r="BM198" s="103" t="e">
        <f ca="1">ROUND(VLOOKUP($BJ198&amp;"初始",$S$3:$AE$63,MATCH(BM$3,$S$3:$AE$3,0),FALSE)+((VLOOKUP($BJ198&amp;"最终",$S$3:$AE$63,MATCH(BM$3,$S$3:$AE$3,0),FALSE)*坦克个性化细分!$C$9-VLOOKUP($BJ198&amp;"初始",$S$3:$AE$63,MATCH(BM$3,$S$3:$AE$3,0),FALSE))-(VLOOKUP($BJ198&amp;"最终",$S$3:$AE$63,MATCH(BM$3,$S$3:$AE$3,0),FALSE)-VLOOKUP($BJ198&amp;"初始",$S$3:$AE$63,MATCH(BM$3,$S$3:$AE$3,0),FALSE))*VLOOKUP(VLOOKUP($BJ198,坦克个性化设定!$B$18:$E$48,4,FALSE)&amp;$BK198,坦克属性分配比例,MATCH("部件比例",坦克属性分配比例标头,0),FALSE))*$BL198/VLOOKUP(VLOOKUP($BJ198,坦克个性化设定!$B$18:$E$48,4,FALSE)&amp;$BK198,坦克属性分配比例,MATCH("升星次数",坦克属性分配比例标头,0),FALSE),0)</f>
        <v>#N/A</v>
      </c>
      <c r="BN198" s="103" t="e">
        <f ca="1">ROUND(VLOOKUP($BJ198&amp;"初始",$S$3:$AE$63,MATCH(BN$3,$S$3:$AE$3,0),FALSE)+(VLOOKUP($BJ198&amp;"最终",$S$3:$AE$63,MATCH(BN$3,$S$3:$AE$3,0),FALSE)-VLOOKUP($BJ198&amp;"初始",$S$3:$AE$63,MATCH(BN$3,$S$3:$AE$3,0),FALSE))*$BL198/VLOOKUP(VLOOKUP($BJ198,坦克个性化设定!$B$18:$E$48,4,FALSE)&amp;$BK198,坦克属性分配比例,MATCH("升星次数",坦克属性分配比例标头,0),FALSE)*VLOOKUP(VLOOKUP($BJ198,坦克个性化设定!$B$18:$E$48,4,FALSE)&amp;$BK198,坦克属性分配比例,MATCH("升星比例",坦克属性分配比例标头,0),FALSE),0)</f>
        <v>#N/A</v>
      </c>
      <c r="BO198" s="103" t="e">
        <f ca="1">ROUND(VLOOKUP($BJ198&amp;"初始",$S$3:$AE$63,MATCH(BO$3,$S$3:$AE$3,0),FALSE)+(VLOOKUP($BJ198&amp;"最终",$S$3:$AE$63,MATCH(BO$3,$S$3:$AE$3,0),FALSE)-VLOOKUP($BJ198&amp;"初始",$S$3:$AE$63,MATCH(BO$3,$S$3:$AE$3,0),FALSE))*$BL198/VLOOKUP(VLOOKUP($BJ198,坦克个性化设定!$B$18:$E$48,4,FALSE)&amp;$BK198,坦克属性分配比例,MATCH("升星次数",坦克属性分配比例标头,0),FALSE)*(VLOOKUP(VLOOKUP($BJ198,坦克个性化设定!$B$18:$E$48,4,FALSE)&amp;$BK198,坦克属性分配比例,MATCH("升星比例",坦克属性分配比例标头,0),FALSE)+VLOOKUP(VLOOKUP($BJ198,坦克个性化设定!$B$18:$E$48,4,FALSE)&amp;$BK198,坦克属性分配比例,MATCH("部件比例",坦克属性分配比例标头,0),FALSE)*$C$3),0)</f>
        <v>#N/A</v>
      </c>
      <c r="BP198" s="103" t="e">
        <f ca="1">ROUND(VLOOKUP($BJ198&amp;"初始",$S$3:$AE$63,MATCH(BP$3,$S$3:$AE$3,0),FALSE)+(VLOOKUP($BJ198&amp;"最终",$S$3:$AE$63,MATCH(BP$3,$S$3:$AE$3,0),FALSE)-VLOOKUP($BJ198&amp;"初始",$S$3:$AE$63,MATCH(BP$3,$S$3:$AE$3,0),FALSE))*$BL198/VLOOKUP(VLOOKUP($BJ198,坦克个性化设定!$B$18:$E$48,4,FALSE)&amp;$BK198,坦克属性分配比例,MATCH("升星次数",坦克属性分配比例标头,0),FALSE)*(VLOOKUP(VLOOKUP($BJ198,坦克个性化设定!$B$18:$E$48,4,FALSE)&amp;$BK198,坦克属性分配比例,MATCH("升星比例",坦克属性分配比例标头,0),FALSE)+VLOOKUP(VLOOKUP($BJ198,坦克个性化设定!$B$18:$E$48,4,FALSE)&amp;$BK198,坦克属性分配比例,MATCH("部件比例",坦克属性分配比例标头,0),FALSE)*$C$3),0)</f>
        <v>#N/A</v>
      </c>
      <c r="BQ198" s="103" t="e">
        <f ca="1">ROUND(VLOOKUP($BJ198&amp;"初始",$S$3:$AE$63,MATCH(BQ$3,$S$3:$AE$3,0),FALSE)+(VLOOKUP($BJ198&amp;"最终",$S$3:$AE$63,MATCH(BQ$3,$S$3:$AE$3,0),FALSE)-VLOOKUP($BJ198&amp;"初始",$S$3:$AE$63,MATCH(BQ$3,$S$3:$AE$3,0),FALSE))*$BL198/VLOOKUP(VLOOKUP($BJ198,坦克个性化设定!$B$18:$E$48,4,FALSE)&amp;$BK198,坦克属性分配比例,MATCH("升星次数",坦克属性分配比例标头,0),FALSE)*VLOOKUP(VLOOKUP($BJ198,坦克个性化设定!$B$18:$E$48,4,FALSE)&amp;$BK198,坦克属性分配比例,MATCH("升星比例",坦克属性分配比例标头,0),FALSE),0)</f>
        <v>#N/A</v>
      </c>
      <c r="BR198" s="2" t="e">
        <f ca="1">ROUND(VLOOKUP($BJ198&amp;"初始",$S$3:$AE$63,MATCH(BR$3,$S$3:$AE$3,0),FALSE)+(VLOOKUP($BJ198&amp;"最终",$S$3:$AE$63,MATCH(BR$3,$S$3:$AE$3,0),FALSE)-VLOOKUP($BJ198&amp;"初始",$S$3:$AE$63,MATCH(BR$3,$S$3:$AE$3,0),FALSE))*$BL198/VLOOKUP(VLOOKUP($BJ198,坦克个性化设定!$B$18:$E$48,4,FALSE)&amp;$BK198,坦克属性分配比例,MATCH("升星次数",坦克属性分配比例标头,0),FALSE),0)</f>
        <v>#N/A</v>
      </c>
      <c r="BS198" s="2">
        <f>ROUND(VLOOKUP($BJ198,$AI$3:$AO$33,MATCH(BS$3,$AI$3:$AO$3,0),FALSE)+$BL198/VLOOKUP(VLOOKUP($BJ198,坦克个性化设定!$B$18:$E$48,4,FALSE)&amp;$BK198,坦克属性分配比例,MATCH("升星次数",坦克属性分配比例标头,0),FALSE)*VLOOKUP($BJ198,$AR$3:$AY$33,MATCH(BS$3,$AR$3:$AY$3,0),FALSE),1)</f>
        <v>38.299999999999997</v>
      </c>
      <c r="BT198" s="2">
        <f>ROUND(VLOOKUP($BJ198,$AI$3:$AO$33,MATCH(BT$3,$AI$3:$AO$3,0),FALSE)+$BL198/VLOOKUP(VLOOKUP($BJ198,坦克个性化设定!$B$18:$E$48,4,FALSE)&amp;$BK198,坦克属性分配比例,MATCH("升星次数",坦克属性分配比例标头,0),FALSE)*VLOOKUP($BJ198,$AR$3:$AY$33,MATCH(BT$3,$AR$3:$AY$3,0),FALSE),1)</f>
        <v>53.8</v>
      </c>
      <c r="BU198" s="2">
        <f>ROUND(VLOOKUP($BJ198,$AI$3:$AO$33,MATCH(BU$3,$AI$3:$AO$3,0),FALSE)+$BL198/VLOOKUP(VLOOKUP($BJ198,坦克个性化设定!$B$18:$E$48,4,FALSE)&amp;$BK198,坦克属性分配比例,MATCH("升星次数",坦克属性分配比例标头,0),FALSE)*VLOOKUP($BJ198,$AR$3:$AY$33,MATCH(BU$3,$AR$3:$AY$3,0),FALSE),1)</f>
        <v>7.2</v>
      </c>
      <c r="BV198" s="2">
        <f>IF(VLOOKUP(BJ198,坦克个性化设定!$B$18:$BC$48,MATCH("装弹类型",坦克个性化设定!$B$18:$BC$18,0),FALSE)="弹夹换弹",0,ROUND(VLOOKUP($BJ198,$AI$3:$AO$33,MATCH("换弹时间",$AI$3:$AO$3,0),FALSE)-$BL198/VLOOKUP(VLOOKUP($BJ198,坦克个性化设定!$B$18:$E$48,4,FALSE)&amp;$BK198,坦克属性分配比例,MATCH("升星次数",坦克属性分配比例标头,0),FALSE)*VLOOKUP($BJ198,$AR$3:$AY$33,MATCH("换弹时间",$AR$3:$AY$3,0),FALSE),2))</f>
        <v>2.2799999999999998</v>
      </c>
      <c r="BW198" s="2">
        <f>IF(VLOOKUP(BJ198,坦克个性化设定!$B$18:$BC$48,MATCH("装弹类型",坦克个性化设定!$B$18:$BC$18,0),FALSE)="弹夹换弹",ROUND(VLOOKUP($BJ198,$AI$3:$AO$33,MATCH("换弹时间",$AI$3:$AO$3,0),FALSE)-$BL198/VLOOKUP(VLOOKUP($BJ198,坦克个性化设定!$B$18:$E$48,4,FALSE)&amp;$BK198,坦克属性分配比例,MATCH("升星次数",坦克属性分配比例标头,0),FALSE)*VLOOKUP($BJ198,$AR$3:$AY$33,MATCH("换弹时间",$AR$3:$AY$3,0),FALSE),1),0)</f>
        <v>0</v>
      </c>
      <c r="BX198" s="2">
        <f>ROUND(VLOOKUP($BJ198,$AI$3:$AO$33,MATCH(BX$3,$AI$3:$AO$3,0),FALSE)+$BL198/VLOOKUP(VLOOKUP($BJ198,坦克个性化设定!$B$18:$E$48,4,FALSE)&amp;$BK198,坦克属性分配比例,MATCH("升星次数",坦克属性分配比例标头,0),FALSE)*VLOOKUP($BJ198,$AR$3:$AY$33,MATCH(BX$3,$AR$3:$AY$3,0),FALSE),2)</f>
        <v>0.4</v>
      </c>
      <c r="BY198" s="2">
        <f>ROUND(VLOOKUP($BJ198,$AI$3:$AO$33,MATCH(BY$3,$AI$3:$AO$3,0),FALSE)-$BL198/VLOOKUP(VLOOKUP($BJ198,坦克个性化设定!$B$18:$E$48,4,FALSE)&amp;$BK198,坦克属性分配比例,MATCH("升星次数",坦克属性分配比例标头,0),FALSE)*VLOOKUP($BJ198,$AR$3:$AY$33,MATCH(BY$3,$AR$3:$AY$3,0),FALSE),2)</f>
        <v>1.33</v>
      </c>
    </row>
    <row r="199" spans="60:77" x14ac:dyDescent="0.3">
      <c r="BH199" s="2" t="str">
        <f t="shared" si="30"/>
        <v>挑战者5</v>
      </c>
      <c r="BI199" s="2">
        <f>IF(BL198&gt;=VLOOKUP(VLOOKUP(BJ198,坦克个性化设定!$B$18:$E$48,4,FALSE)&amp;BK198,坦克属性分配比例,MATCH("升星次数",坦克属性分配比例标头,0),FALSE),BI198+1,BI198)</f>
        <v>20</v>
      </c>
      <c r="BJ199" s="2" t="str">
        <f t="shared" si="31"/>
        <v>挑战者</v>
      </c>
      <c r="BK199" s="29" t="str">
        <f>VLOOKUP(BJ199,坦克个性化细分!$I$3:$J$33,2,FALSE)</f>
        <v>低</v>
      </c>
      <c r="BL199" s="2">
        <f t="shared" si="29"/>
        <v>5</v>
      </c>
      <c r="BM199" s="103" t="e">
        <f ca="1">ROUND(VLOOKUP($BJ199&amp;"初始",$S$3:$AE$63,MATCH(BM$3,$S$3:$AE$3,0),FALSE)+((VLOOKUP($BJ199&amp;"最终",$S$3:$AE$63,MATCH(BM$3,$S$3:$AE$3,0),FALSE)*坦克个性化细分!$C$9-VLOOKUP($BJ199&amp;"初始",$S$3:$AE$63,MATCH(BM$3,$S$3:$AE$3,0),FALSE))-(VLOOKUP($BJ199&amp;"最终",$S$3:$AE$63,MATCH(BM$3,$S$3:$AE$3,0),FALSE)-VLOOKUP($BJ199&amp;"初始",$S$3:$AE$63,MATCH(BM$3,$S$3:$AE$3,0),FALSE))*VLOOKUP(VLOOKUP($BJ199,坦克个性化设定!$B$18:$E$48,4,FALSE)&amp;$BK199,坦克属性分配比例,MATCH("部件比例",坦克属性分配比例标头,0),FALSE))*$BL199/VLOOKUP(VLOOKUP($BJ199,坦克个性化设定!$B$18:$E$48,4,FALSE)&amp;$BK199,坦克属性分配比例,MATCH("升星次数",坦克属性分配比例标头,0),FALSE),0)</f>
        <v>#N/A</v>
      </c>
      <c r="BN199" s="103" t="e">
        <f ca="1">ROUND(VLOOKUP($BJ199&amp;"初始",$S$3:$AE$63,MATCH(BN$3,$S$3:$AE$3,0),FALSE)+(VLOOKUP($BJ199&amp;"最终",$S$3:$AE$63,MATCH(BN$3,$S$3:$AE$3,0),FALSE)-VLOOKUP($BJ199&amp;"初始",$S$3:$AE$63,MATCH(BN$3,$S$3:$AE$3,0),FALSE))*$BL199/VLOOKUP(VLOOKUP($BJ199,坦克个性化设定!$B$18:$E$48,4,FALSE)&amp;$BK199,坦克属性分配比例,MATCH("升星次数",坦克属性分配比例标头,0),FALSE)*VLOOKUP(VLOOKUP($BJ199,坦克个性化设定!$B$18:$E$48,4,FALSE)&amp;$BK199,坦克属性分配比例,MATCH("升星比例",坦克属性分配比例标头,0),FALSE),0)</f>
        <v>#N/A</v>
      </c>
      <c r="BO199" s="103" t="e">
        <f ca="1">ROUND(VLOOKUP($BJ199&amp;"初始",$S$3:$AE$63,MATCH(BO$3,$S$3:$AE$3,0),FALSE)+(VLOOKUP($BJ199&amp;"最终",$S$3:$AE$63,MATCH(BO$3,$S$3:$AE$3,0),FALSE)-VLOOKUP($BJ199&amp;"初始",$S$3:$AE$63,MATCH(BO$3,$S$3:$AE$3,0),FALSE))*$BL199/VLOOKUP(VLOOKUP($BJ199,坦克个性化设定!$B$18:$E$48,4,FALSE)&amp;$BK199,坦克属性分配比例,MATCH("升星次数",坦克属性分配比例标头,0),FALSE)*(VLOOKUP(VLOOKUP($BJ199,坦克个性化设定!$B$18:$E$48,4,FALSE)&amp;$BK199,坦克属性分配比例,MATCH("升星比例",坦克属性分配比例标头,0),FALSE)+VLOOKUP(VLOOKUP($BJ199,坦克个性化设定!$B$18:$E$48,4,FALSE)&amp;$BK199,坦克属性分配比例,MATCH("部件比例",坦克属性分配比例标头,0),FALSE)*$C$3),0)</f>
        <v>#N/A</v>
      </c>
      <c r="BP199" s="103" t="e">
        <f ca="1">ROUND(VLOOKUP($BJ199&amp;"初始",$S$3:$AE$63,MATCH(BP$3,$S$3:$AE$3,0),FALSE)+(VLOOKUP($BJ199&amp;"最终",$S$3:$AE$63,MATCH(BP$3,$S$3:$AE$3,0),FALSE)-VLOOKUP($BJ199&amp;"初始",$S$3:$AE$63,MATCH(BP$3,$S$3:$AE$3,0),FALSE))*$BL199/VLOOKUP(VLOOKUP($BJ199,坦克个性化设定!$B$18:$E$48,4,FALSE)&amp;$BK199,坦克属性分配比例,MATCH("升星次数",坦克属性分配比例标头,0),FALSE)*(VLOOKUP(VLOOKUP($BJ199,坦克个性化设定!$B$18:$E$48,4,FALSE)&amp;$BK199,坦克属性分配比例,MATCH("升星比例",坦克属性分配比例标头,0),FALSE)+VLOOKUP(VLOOKUP($BJ199,坦克个性化设定!$B$18:$E$48,4,FALSE)&amp;$BK199,坦克属性分配比例,MATCH("部件比例",坦克属性分配比例标头,0),FALSE)*$C$3),0)</f>
        <v>#N/A</v>
      </c>
      <c r="BQ199" s="103" t="e">
        <f ca="1">ROUND(VLOOKUP($BJ199&amp;"初始",$S$3:$AE$63,MATCH(BQ$3,$S$3:$AE$3,0),FALSE)+(VLOOKUP($BJ199&amp;"最终",$S$3:$AE$63,MATCH(BQ$3,$S$3:$AE$3,0),FALSE)-VLOOKUP($BJ199&amp;"初始",$S$3:$AE$63,MATCH(BQ$3,$S$3:$AE$3,0),FALSE))*$BL199/VLOOKUP(VLOOKUP($BJ199,坦克个性化设定!$B$18:$E$48,4,FALSE)&amp;$BK199,坦克属性分配比例,MATCH("升星次数",坦克属性分配比例标头,0),FALSE)*VLOOKUP(VLOOKUP($BJ199,坦克个性化设定!$B$18:$E$48,4,FALSE)&amp;$BK199,坦克属性分配比例,MATCH("升星比例",坦克属性分配比例标头,0),FALSE),0)</f>
        <v>#N/A</v>
      </c>
      <c r="BR199" s="2" t="e">
        <f ca="1">ROUND(VLOOKUP($BJ199&amp;"初始",$S$3:$AE$63,MATCH(BR$3,$S$3:$AE$3,0),FALSE)+(VLOOKUP($BJ199&amp;"最终",$S$3:$AE$63,MATCH(BR$3,$S$3:$AE$3,0),FALSE)-VLOOKUP($BJ199&amp;"初始",$S$3:$AE$63,MATCH(BR$3,$S$3:$AE$3,0),FALSE))*$BL199/VLOOKUP(VLOOKUP($BJ199,坦克个性化设定!$B$18:$E$48,4,FALSE)&amp;$BK199,坦克属性分配比例,MATCH("升星次数",坦克属性分配比例标头,0),FALSE),0)</f>
        <v>#N/A</v>
      </c>
      <c r="BS199" s="2">
        <f>ROUND(VLOOKUP($BJ199,$AI$3:$AO$33,MATCH(BS$3,$AI$3:$AO$3,0),FALSE)+$BL199/VLOOKUP(VLOOKUP($BJ199,坦克个性化设定!$B$18:$E$48,4,FALSE)&amp;$BK199,坦克属性分配比例,MATCH("升星次数",坦克属性分配比例标头,0),FALSE)*VLOOKUP($BJ199,$AR$3:$AY$33,MATCH(BS$3,$AR$3:$AY$3,0),FALSE),1)</f>
        <v>39</v>
      </c>
      <c r="BT199" s="2">
        <f>ROUND(VLOOKUP($BJ199,$AI$3:$AO$33,MATCH(BT$3,$AI$3:$AO$3,0),FALSE)+$BL199/VLOOKUP(VLOOKUP($BJ199,坦克个性化设定!$B$18:$E$48,4,FALSE)&amp;$BK199,坦克属性分配比例,MATCH("升星次数",坦克属性分配比例标头,0),FALSE)*VLOOKUP($BJ199,$AR$3:$AY$33,MATCH(BT$3,$AR$3:$AY$3,0),FALSE),1)</f>
        <v>54.8</v>
      </c>
      <c r="BU199" s="2">
        <f>ROUND(VLOOKUP($BJ199,$AI$3:$AO$33,MATCH(BU$3,$AI$3:$AO$3,0),FALSE)+$BL199/VLOOKUP(VLOOKUP($BJ199,坦克个性化设定!$B$18:$E$48,4,FALSE)&amp;$BK199,坦克属性分配比例,MATCH("升星次数",坦克属性分配比例标头,0),FALSE)*VLOOKUP($BJ199,$AR$3:$AY$33,MATCH(BU$3,$AR$3:$AY$3,0),FALSE),1)</f>
        <v>7.2</v>
      </c>
      <c r="BV199" s="2">
        <f>IF(VLOOKUP(BJ199,坦克个性化设定!$B$18:$BC$48,MATCH("装弹类型",坦克个性化设定!$B$18:$BC$18,0),FALSE)="弹夹换弹",0,ROUND(VLOOKUP($BJ199,$AI$3:$AO$33,MATCH("换弹时间",$AI$3:$AO$3,0),FALSE)-$BL199/VLOOKUP(VLOOKUP($BJ199,坦克个性化设定!$B$18:$E$48,4,FALSE)&amp;$BK199,坦克属性分配比例,MATCH("升星次数",坦克属性分配比例标头,0),FALSE)*VLOOKUP($BJ199,$AR$3:$AY$33,MATCH("换弹时间",$AR$3:$AY$3,0),FALSE),2))</f>
        <v>2.2599999999999998</v>
      </c>
      <c r="BW199" s="2">
        <f>IF(VLOOKUP(BJ199,坦克个性化设定!$B$18:$BC$48,MATCH("装弹类型",坦克个性化设定!$B$18:$BC$18,0),FALSE)="弹夹换弹",ROUND(VLOOKUP($BJ199,$AI$3:$AO$33,MATCH("换弹时间",$AI$3:$AO$3,0),FALSE)-$BL199/VLOOKUP(VLOOKUP($BJ199,坦克个性化设定!$B$18:$E$48,4,FALSE)&amp;$BK199,坦克属性分配比例,MATCH("升星次数",坦克属性分配比例标头,0),FALSE)*VLOOKUP($BJ199,$AR$3:$AY$33,MATCH("换弹时间",$AR$3:$AY$3,0),FALSE),1),0)</f>
        <v>0</v>
      </c>
      <c r="BX199" s="2">
        <f>ROUND(VLOOKUP($BJ199,$AI$3:$AO$33,MATCH(BX$3,$AI$3:$AO$3,0),FALSE)+$BL199/VLOOKUP(VLOOKUP($BJ199,坦克个性化设定!$B$18:$E$48,4,FALSE)&amp;$BK199,坦克属性分配比例,MATCH("升星次数",坦克属性分配比例标头,0),FALSE)*VLOOKUP($BJ199,$AR$3:$AY$33,MATCH(BX$3,$AR$3:$AY$3,0),FALSE),2)</f>
        <v>0.4</v>
      </c>
      <c r="BY199" s="2">
        <f>ROUND(VLOOKUP($BJ199,$AI$3:$AO$33,MATCH(BY$3,$AI$3:$AO$3,0),FALSE)-$BL199/VLOOKUP(VLOOKUP($BJ199,坦克个性化设定!$B$18:$E$48,4,FALSE)&amp;$BK199,坦克属性分配比例,MATCH("升星次数",坦克属性分配比例标头,0),FALSE)*VLOOKUP($BJ199,$AR$3:$AY$33,MATCH(BY$3,$AR$3:$AY$3,0),FALSE),2)</f>
        <v>1.31</v>
      </c>
    </row>
    <row r="200" spans="60:77" x14ac:dyDescent="0.3">
      <c r="BH200" s="2" t="str">
        <f t="shared" si="30"/>
        <v>挑战者6</v>
      </c>
      <c r="BI200" s="2">
        <f>IF(BL199&gt;=VLOOKUP(VLOOKUP(BJ199,坦克个性化设定!$B$18:$E$48,4,FALSE)&amp;BK199,坦克属性分配比例,MATCH("升星次数",坦克属性分配比例标头,0),FALSE),BI199+1,BI199)</f>
        <v>20</v>
      </c>
      <c r="BJ200" s="2" t="str">
        <f t="shared" si="31"/>
        <v>挑战者</v>
      </c>
      <c r="BK200" s="29" t="str">
        <f>VLOOKUP(BJ200,坦克个性化细分!$I$3:$J$33,2,FALSE)</f>
        <v>低</v>
      </c>
      <c r="BL200" s="2">
        <f t="shared" si="29"/>
        <v>6</v>
      </c>
      <c r="BM200" s="103" t="e">
        <f ca="1">ROUND(VLOOKUP($BJ200&amp;"初始",$S$3:$AE$63,MATCH(BM$3,$S$3:$AE$3,0),FALSE)+((VLOOKUP($BJ200&amp;"最终",$S$3:$AE$63,MATCH(BM$3,$S$3:$AE$3,0),FALSE)*坦克个性化细分!$C$9-VLOOKUP($BJ200&amp;"初始",$S$3:$AE$63,MATCH(BM$3,$S$3:$AE$3,0),FALSE))-(VLOOKUP($BJ200&amp;"最终",$S$3:$AE$63,MATCH(BM$3,$S$3:$AE$3,0),FALSE)-VLOOKUP($BJ200&amp;"初始",$S$3:$AE$63,MATCH(BM$3,$S$3:$AE$3,0),FALSE))*VLOOKUP(VLOOKUP($BJ200,坦克个性化设定!$B$18:$E$48,4,FALSE)&amp;$BK200,坦克属性分配比例,MATCH("部件比例",坦克属性分配比例标头,0),FALSE))*$BL200/VLOOKUP(VLOOKUP($BJ200,坦克个性化设定!$B$18:$E$48,4,FALSE)&amp;$BK200,坦克属性分配比例,MATCH("升星次数",坦克属性分配比例标头,0),FALSE),0)</f>
        <v>#N/A</v>
      </c>
      <c r="BN200" s="103" t="e">
        <f ca="1">ROUND(VLOOKUP($BJ200&amp;"初始",$S$3:$AE$63,MATCH(BN$3,$S$3:$AE$3,0),FALSE)+(VLOOKUP($BJ200&amp;"最终",$S$3:$AE$63,MATCH(BN$3,$S$3:$AE$3,0),FALSE)-VLOOKUP($BJ200&amp;"初始",$S$3:$AE$63,MATCH(BN$3,$S$3:$AE$3,0),FALSE))*$BL200/VLOOKUP(VLOOKUP($BJ200,坦克个性化设定!$B$18:$E$48,4,FALSE)&amp;$BK200,坦克属性分配比例,MATCH("升星次数",坦克属性分配比例标头,0),FALSE)*VLOOKUP(VLOOKUP($BJ200,坦克个性化设定!$B$18:$E$48,4,FALSE)&amp;$BK200,坦克属性分配比例,MATCH("升星比例",坦克属性分配比例标头,0),FALSE),0)</f>
        <v>#N/A</v>
      </c>
      <c r="BO200" s="103" t="e">
        <f ca="1">ROUND(VLOOKUP($BJ200&amp;"初始",$S$3:$AE$63,MATCH(BO$3,$S$3:$AE$3,0),FALSE)+(VLOOKUP($BJ200&amp;"最终",$S$3:$AE$63,MATCH(BO$3,$S$3:$AE$3,0),FALSE)-VLOOKUP($BJ200&amp;"初始",$S$3:$AE$63,MATCH(BO$3,$S$3:$AE$3,0),FALSE))*$BL200/VLOOKUP(VLOOKUP($BJ200,坦克个性化设定!$B$18:$E$48,4,FALSE)&amp;$BK200,坦克属性分配比例,MATCH("升星次数",坦克属性分配比例标头,0),FALSE)*(VLOOKUP(VLOOKUP($BJ200,坦克个性化设定!$B$18:$E$48,4,FALSE)&amp;$BK200,坦克属性分配比例,MATCH("升星比例",坦克属性分配比例标头,0),FALSE)+VLOOKUP(VLOOKUP($BJ200,坦克个性化设定!$B$18:$E$48,4,FALSE)&amp;$BK200,坦克属性分配比例,MATCH("部件比例",坦克属性分配比例标头,0),FALSE)*$C$3),0)</f>
        <v>#N/A</v>
      </c>
      <c r="BP200" s="103" t="e">
        <f ca="1">ROUND(VLOOKUP($BJ200&amp;"初始",$S$3:$AE$63,MATCH(BP$3,$S$3:$AE$3,0),FALSE)+(VLOOKUP($BJ200&amp;"最终",$S$3:$AE$63,MATCH(BP$3,$S$3:$AE$3,0),FALSE)-VLOOKUP($BJ200&amp;"初始",$S$3:$AE$63,MATCH(BP$3,$S$3:$AE$3,0),FALSE))*$BL200/VLOOKUP(VLOOKUP($BJ200,坦克个性化设定!$B$18:$E$48,4,FALSE)&amp;$BK200,坦克属性分配比例,MATCH("升星次数",坦克属性分配比例标头,0),FALSE)*(VLOOKUP(VLOOKUP($BJ200,坦克个性化设定!$B$18:$E$48,4,FALSE)&amp;$BK200,坦克属性分配比例,MATCH("升星比例",坦克属性分配比例标头,0),FALSE)+VLOOKUP(VLOOKUP($BJ200,坦克个性化设定!$B$18:$E$48,4,FALSE)&amp;$BK200,坦克属性分配比例,MATCH("部件比例",坦克属性分配比例标头,0),FALSE)*$C$3),0)</f>
        <v>#N/A</v>
      </c>
      <c r="BQ200" s="103" t="e">
        <f ca="1">ROUND(VLOOKUP($BJ200&amp;"初始",$S$3:$AE$63,MATCH(BQ$3,$S$3:$AE$3,0),FALSE)+(VLOOKUP($BJ200&amp;"最终",$S$3:$AE$63,MATCH(BQ$3,$S$3:$AE$3,0),FALSE)-VLOOKUP($BJ200&amp;"初始",$S$3:$AE$63,MATCH(BQ$3,$S$3:$AE$3,0),FALSE))*$BL200/VLOOKUP(VLOOKUP($BJ200,坦克个性化设定!$B$18:$E$48,4,FALSE)&amp;$BK200,坦克属性分配比例,MATCH("升星次数",坦克属性分配比例标头,0),FALSE)*VLOOKUP(VLOOKUP($BJ200,坦克个性化设定!$B$18:$E$48,4,FALSE)&amp;$BK200,坦克属性分配比例,MATCH("升星比例",坦克属性分配比例标头,0),FALSE),0)</f>
        <v>#N/A</v>
      </c>
      <c r="BR200" s="2" t="e">
        <f ca="1">ROUND(VLOOKUP($BJ200&amp;"初始",$S$3:$AE$63,MATCH(BR$3,$S$3:$AE$3,0),FALSE)+(VLOOKUP($BJ200&amp;"最终",$S$3:$AE$63,MATCH(BR$3,$S$3:$AE$3,0),FALSE)-VLOOKUP($BJ200&amp;"初始",$S$3:$AE$63,MATCH(BR$3,$S$3:$AE$3,0),FALSE))*$BL200/VLOOKUP(VLOOKUP($BJ200,坦克个性化设定!$B$18:$E$48,4,FALSE)&amp;$BK200,坦克属性分配比例,MATCH("升星次数",坦克属性分配比例标头,0),FALSE),0)</f>
        <v>#N/A</v>
      </c>
      <c r="BS200" s="2">
        <f>ROUND(VLOOKUP($BJ200,$AI$3:$AO$33,MATCH(BS$3,$AI$3:$AO$3,0),FALSE)+$BL200/VLOOKUP(VLOOKUP($BJ200,坦克个性化设定!$B$18:$E$48,4,FALSE)&amp;$BK200,坦克属性分配比例,MATCH("升星次数",坦克属性分配比例标头,0),FALSE)*VLOOKUP($BJ200,$AR$3:$AY$33,MATCH(BS$3,$AR$3:$AY$3,0),FALSE),1)</f>
        <v>39.700000000000003</v>
      </c>
      <c r="BT200" s="2">
        <f>ROUND(VLOOKUP($BJ200,$AI$3:$AO$33,MATCH(BT$3,$AI$3:$AO$3,0),FALSE)+$BL200/VLOOKUP(VLOOKUP($BJ200,坦克个性化设定!$B$18:$E$48,4,FALSE)&amp;$BK200,坦克属性分配比例,MATCH("升星次数",坦克属性分配比例标头,0),FALSE)*VLOOKUP($BJ200,$AR$3:$AY$33,MATCH(BT$3,$AR$3:$AY$3,0),FALSE),1)</f>
        <v>55.8</v>
      </c>
      <c r="BU200" s="2">
        <f>ROUND(VLOOKUP($BJ200,$AI$3:$AO$33,MATCH(BU$3,$AI$3:$AO$3,0),FALSE)+$BL200/VLOOKUP(VLOOKUP($BJ200,坦克个性化设定!$B$18:$E$48,4,FALSE)&amp;$BK200,坦克属性分配比例,MATCH("升星次数",坦克属性分配比例标头,0),FALSE)*VLOOKUP($BJ200,$AR$3:$AY$33,MATCH(BU$3,$AR$3:$AY$3,0),FALSE),1)</f>
        <v>7.2</v>
      </c>
      <c r="BV200" s="2">
        <f>IF(VLOOKUP(BJ200,坦克个性化设定!$B$18:$BC$48,MATCH("装弹类型",坦克个性化设定!$B$18:$BC$18,0),FALSE)="弹夹换弹",0,ROUND(VLOOKUP($BJ200,$AI$3:$AO$33,MATCH("换弹时间",$AI$3:$AO$3,0),FALSE)-$BL200/VLOOKUP(VLOOKUP($BJ200,坦克个性化设定!$B$18:$E$48,4,FALSE)&amp;$BK200,坦克属性分配比例,MATCH("升星次数",坦克属性分配比例标头,0),FALSE)*VLOOKUP($BJ200,$AR$3:$AY$33,MATCH("换弹时间",$AR$3:$AY$3,0),FALSE),2))</f>
        <v>2.23</v>
      </c>
      <c r="BW200" s="2">
        <f>IF(VLOOKUP(BJ200,坦克个性化设定!$B$18:$BC$48,MATCH("装弹类型",坦克个性化设定!$B$18:$BC$18,0),FALSE)="弹夹换弹",ROUND(VLOOKUP($BJ200,$AI$3:$AO$33,MATCH("换弹时间",$AI$3:$AO$3,0),FALSE)-$BL200/VLOOKUP(VLOOKUP($BJ200,坦克个性化设定!$B$18:$E$48,4,FALSE)&amp;$BK200,坦克属性分配比例,MATCH("升星次数",坦克属性分配比例标头,0),FALSE)*VLOOKUP($BJ200,$AR$3:$AY$33,MATCH("换弹时间",$AR$3:$AY$3,0),FALSE),1),0)</f>
        <v>0</v>
      </c>
      <c r="BX200" s="2">
        <f>ROUND(VLOOKUP($BJ200,$AI$3:$AO$33,MATCH(BX$3,$AI$3:$AO$3,0),FALSE)+$BL200/VLOOKUP(VLOOKUP($BJ200,坦克个性化设定!$B$18:$E$48,4,FALSE)&amp;$BK200,坦克属性分配比例,MATCH("升星次数",坦克属性分配比例标头,0),FALSE)*VLOOKUP($BJ200,$AR$3:$AY$33,MATCH(BX$3,$AR$3:$AY$3,0),FALSE),2)</f>
        <v>0.4</v>
      </c>
      <c r="BY200" s="2">
        <f>ROUND(VLOOKUP($BJ200,$AI$3:$AO$33,MATCH(BY$3,$AI$3:$AO$3,0),FALSE)-$BL200/VLOOKUP(VLOOKUP($BJ200,坦克个性化设定!$B$18:$E$48,4,FALSE)&amp;$BK200,坦克属性分配比例,MATCH("升星次数",坦克属性分配比例标头,0),FALSE)*VLOOKUP($BJ200,$AR$3:$AY$33,MATCH(BY$3,$AR$3:$AY$3,0),FALSE),2)</f>
        <v>1.29</v>
      </c>
    </row>
    <row r="201" spans="60:77" x14ac:dyDescent="0.3">
      <c r="BH201" s="2" t="str">
        <f t="shared" si="30"/>
        <v>挑战者7</v>
      </c>
      <c r="BI201" s="2">
        <f>IF(BL200&gt;=VLOOKUP(VLOOKUP(BJ200,坦克个性化设定!$B$18:$E$48,4,FALSE)&amp;BK200,坦克属性分配比例,MATCH("升星次数",坦克属性分配比例标头,0),FALSE),BI200+1,BI200)</f>
        <v>20</v>
      </c>
      <c r="BJ201" s="2" t="str">
        <f t="shared" si="31"/>
        <v>挑战者</v>
      </c>
      <c r="BK201" s="29" t="str">
        <f>VLOOKUP(BJ201,坦克个性化细分!$I$3:$J$33,2,FALSE)</f>
        <v>低</v>
      </c>
      <c r="BL201" s="2">
        <f t="shared" si="29"/>
        <v>7</v>
      </c>
      <c r="BM201" s="103" t="e">
        <f ca="1">ROUND(VLOOKUP($BJ201&amp;"初始",$S$3:$AE$63,MATCH(BM$3,$S$3:$AE$3,0),FALSE)+((VLOOKUP($BJ201&amp;"最终",$S$3:$AE$63,MATCH(BM$3,$S$3:$AE$3,0),FALSE)*坦克个性化细分!$C$9-VLOOKUP($BJ201&amp;"初始",$S$3:$AE$63,MATCH(BM$3,$S$3:$AE$3,0),FALSE))-(VLOOKUP($BJ201&amp;"最终",$S$3:$AE$63,MATCH(BM$3,$S$3:$AE$3,0),FALSE)-VLOOKUP($BJ201&amp;"初始",$S$3:$AE$63,MATCH(BM$3,$S$3:$AE$3,0),FALSE))*VLOOKUP(VLOOKUP($BJ201,坦克个性化设定!$B$18:$E$48,4,FALSE)&amp;$BK201,坦克属性分配比例,MATCH("部件比例",坦克属性分配比例标头,0),FALSE))*$BL201/VLOOKUP(VLOOKUP($BJ201,坦克个性化设定!$B$18:$E$48,4,FALSE)&amp;$BK201,坦克属性分配比例,MATCH("升星次数",坦克属性分配比例标头,0),FALSE),0)</f>
        <v>#N/A</v>
      </c>
      <c r="BN201" s="103" t="e">
        <f ca="1">ROUND(VLOOKUP($BJ201&amp;"初始",$S$3:$AE$63,MATCH(BN$3,$S$3:$AE$3,0),FALSE)+(VLOOKUP($BJ201&amp;"最终",$S$3:$AE$63,MATCH(BN$3,$S$3:$AE$3,0),FALSE)-VLOOKUP($BJ201&amp;"初始",$S$3:$AE$63,MATCH(BN$3,$S$3:$AE$3,0),FALSE))*$BL201/VLOOKUP(VLOOKUP($BJ201,坦克个性化设定!$B$18:$E$48,4,FALSE)&amp;$BK201,坦克属性分配比例,MATCH("升星次数",坦克属性分配比例标头,0),FALSE)*VLOOKUP(VLOOKUP($BJ201,坦克个性化设定!$B$18:$E$48,4,FALSE)&amp;$BK201,坦克属性分配比例,MATCH("升星比例",坦克属性分配比例标头,0),FALSE),0)</f>
        <v>#N/A</v>
      </c>
      <c r="BO201" s="103" t="e">
        <f ca="1">ROUND(VLOOKUP($BJ201&amp;"初始",$S$3:$AE$63,MATCH(BO$3,$S$3:$AE$3,0),FALSE)+(VLOOKUP($BJ201&amp;"最终",$S$3:$AE$63,MATCH(BO$3,$S$3:$AE$3,0),FALSE)-VLOOKUP($BJ201&amp;"初始",$S$3:$AE$63,MATCH(BO$3,$S$3:$AE$3,0),FALSE))*$BL201/VLOOKUP(VLOOKUP($BJ201,坦克个性化设定!$B$18:$E$48,4,FALSE)&amp;$BK201,坦克属性分配比例,MATCH("升星次数",坦克属性分配比例标头,0),FALSE)*(VLOOKUP(VLOOKUP($BJ201,坦克个性化设定!$B$18:$E$48,4,FALSE)&amp;$BK201,坦克属性分配比例,MATCH("升星比例",坦克属性分配比例标头,0),FALSE)+VLOOKUP(VLOOKUP($BJ201,坦克个性化设定!$B$18:$E$48,4,FALSE)&amp;$BK201,坦克属性分配比例,MATCH("部件比例",坦克属性分配比例标头,0),FALSE)*$C$3),0)</f>
        <v>#N/A</v>
      </c>
      <c r="BP201" s="103" t="e">
        <f ca="1">ROUND(VLOOKUP($BJ201&amp;"初始",$S$3:$AE$63,MATCH(BP$3,$S$3:$AE$3,0),FALSE)+(VLOOKUP($BJ201&amp;"最终",$S$3:$AE$63,MATCH(BP$3,$S$3:$AE$3,0),FALSE)-VLOOKUP($BJ201&amp;"初始",$S$3:$AE$63,MATCH(BP$3,$S$3:$AE$3,0),FALSE))*$BL201/VLOOKUP(VLOOKUP($BJ201,坦克个性化设定!$B$18:$E$48,4,FALSE)&amp;$BK201,坦克属性分配比例,MATCH("升星次数",坦克属性分配比例标头,0),FALSE)*(VLOOKUP(VLOOKUP($BJ201,坦克个性化设定!$B$18:$E$48,4,FALSE)&amp;$BK201,坦克属性分配比例,MATCH("升星比例",坦克属性分配比例标头,0),FALSE)+VLOOKUP(VLOOKUP($BJ201,坦克个性化设定!$B$18:$E$48,4,FALSE)&amp;$BK201,坦克属性分配比例,MATCH("部件比例",坦克属性分配比例标头,0),FALSE)*$C$3),0)</f>
        <v>#N/A</v>
      </c>
      <c r="BQ201" s="103" t="e">
        <f ca="1">ROUND(VLOOKUP($BJ201&amp;"初始",$S$3:$AE$63,MATCH(BQ$3,$S$3:$AE$3,0),FALSE)+(VLOOKUP($BJ201&amp;"最终",$S$3:$AE$63,MATCH(BQ$3,$S$3:$AE$3,0),FALSE)-VLOOKUP($BJ201&amp;"初始",$S$3:$AE$63,MATCH(BQ$3,$S$3:$AE$3,0),FALSE))*$BL201/VLOOKUP(VLOOKUP($BJ201,坦克个性化设定!$B$18:$E$48,4,FALSE)&amp;$BK201,坦克属性分配比例,MATCH("升星次数",坦克属性分配比例标头,0),FALSE)*VLOOKUP(VLOOKUP($BJ201,坦克个性化设定!$B$18:$E$48,4,FALSE)&amp;$BK201,坦克属性分配比例,MATCH("升星比例",坦克属性分配比例标头,0),FALSE),0)</f>
        <v>#N/A</v>
      </c>
      <c r="BR201" s="2" t="e">
        <f ca="1">ROUND(VLOOKUP($BJ201&amp;"初始",$S$3:$AE$63,MATCH(BR$3,$S$3:$AE$3,0),FALSE)+(VLOOKUP($BJ201&amp;"最终",$S$3:$AE$63,MATCH(BR$3,$S$3:$AE$3,0),FALSE)-VLOOKUP($BJ201&amp;"初始",$S$3:$AE$63,MATCH(BR$3,$S$3:$AE$3,0),FALSE))*$BL201/VLOOKUP(VLOOKUP($BJ201,坦克个性化设定!$B$18:$E$48,4,FALSE)&amp;$BK201,坦克属性分配比例,MATCH("升星次数",坦克属性分配比例标头,0),FALSE),0)</f>
        <v>#N/A</v>
      </c>
      <c r="BS201" s="2">
        <f>ROUND(VLOOKUP($BJ201,$AI$3:$AO$33,MATCH(BS$3,$AI$3:$AO$3,0),FALSE)+$BL201/VLOOKUP(VLOOKUP($BJ201,坦克个性化设定!$B$18:$E$48,4,FALSE)&amp;$BK201,坦克属性分配比例,MATCH("升星次数",坦克属性分配比例标头,0),FALSE)*VLOOKUP($BJ201,$AR$3:$AY$33,MATCH(BS$3,$AR$3:$AY$3,0),FALSE),1)</f>
        <v>40.4</v>
      </c>
      <c r="BT201" s="2">
        <f>ROUND(VLOOKUP($BJ201,$AI$3:$AO$33,MATCH(BT$3,$AI$3:$AO$3,0),FALSE)+$BL201/VLOOKUP(VLOOKUP($BJ201,坦克个性化设定!$B$18:$E$48,4,FALSE)&amp;$BK201,坦克属性分配比例,MATCH("升星次数",坦克属性分配比例标头,0),FALSE)*VLOOKUP($BJ201,$AR$3:$AY$33,MATCH(BT$3,$AR$3:$AY$3,0),FALSE),1)</f>
        <v>56.7</v>
      </c>
      <c r="BU201" s="2">
        <f>ROUND(VLOOKUP($BJ201,$AI$3:$AO$33,MATCH(BU$3,$AI$3:$AO$3,0),FALSE)+$BL201/VLOOKUP(VLOOKUP($BJ201,坦克个性化设定!$B$18:$E$48,4,FALSE)&amp;$BK201,坦克属性分配比例,MATCH("升星次数",坦克属性分配比例标头,0),FALSE)*VLOOKUP($BJ201,$AR$3:$AY$33,MATCH(BU$3,$AR$3:$AY$3,0),FALSE),1)</f>
        <v>7.2</v>
      </c>
      <c r="BV201" s="2">
        <f>IF(VLOOKUP(BJ201,坦克个性化设定!$B$18:$BC$48,MATCH("装弹类型",坦克个性化设定!$B$18:$BC$18,0),FALSE)="弹夹换弹",0,ROUND(VLOOKUP($BJ201,$AI$3:$AO$33,MATCH("换弹时间",$AI$3:$AO$3,0),FALSE)-$BL201/VLOOKUP(VLOOKUP($BJ201,坦克个性化设定!$B$18:$E$48,4,FALSE)&amp;$BK201,坦克属性分配比例,MATCH("升星次数",坦克属性分配比例标头,0),FALSE)*VLOOKUP($BJ201,$AR$3:$AY$33,MATCH("换弹时间",$AR$3:$AY$3,0),FALSE),2))</f>
        <v>2.2000000000000002</v>
      </c>
      <c r="BW201" s="2">
        <f>IF(VLOOKUP(BJ201,坦克个性化设定!$B$18:$BC$48,MATCH("装弹类型",坦克个性化设定!$B$18:$BC$18,0),FALSE)="弹夹换弹",ROUND(VLOOKUP($BJ201,$AI$3:$AO$33,MATCH("换弹时间",$AI$3:$AO$3,0),FALSE)-$BL201/VLOOKUP(VLOOKUP($BJ201,坦克个性化设定!$B$18:$E$48,4,FALSE)&amp;$BK201,坦克属性分配比例,MATCH("升星次数",坦克属性分配比例标头,0),FALSE)*VLOOKUP($BJ201,$AR$3:$AY$33,MATCH("换弹时间",$AR$3:$AY$3,0),FALSE),1),0)</f>
        <v>0</v>
      </c>
      <c r="BX201" s="2">
        <f>ROUND(VLOOKUP($BJ201,$AI$3:$AO$33,MATCH(BX$3,$AI$3:$AO$3,0),FALSE)+$BL201/VLOOKUP(VLOOKUP($BJ201,坦克个性化设定!$B$18:$E$48,4,FALSE)&amp;$BK201,坦克属性分配比例,MATCH("升星次数",坦克属性分配比例标头,0),FALSE)*VLOOKUP($BJ201,$AR$3:$AY$33,MATCH(BX$3,$AR$3:$AY$3,0),FALSE),2)</f>
        <v>0.4</v>
      </c>
      <c r="BY201" s="2">
        <f>ROUND(VLOOKUP($BJ201,$AI$3:$AO$33,MATCH(BY$3,$AI$3:$AO$3,0),FALSE)-$BL201/VLOOKUP(VLOOKUP($BJ201,坦克个性化设定!$B$18:$E$48,4,FALSE)&amp;$BK201,坦克属性分配比例,MATCH("升星次数",坦克属性分配比例标头,0),FALSE)*VLOOKUP($BJ201,$AR$3:$AY$33,MATCH(BY$3,$AR$3:$AY$3,0),FALSE),2)</f>
        <v>1.27</v>
      </c>
    </row>
    <row r="202" spans="60:77" x14ac:dyDescent="0.3">
      <c r="BH202" s="2" t="str">
        <f t="shared" si="30"/>
        <v>挑战者8</v>
      </c>
      <c r="BI202" s="2">
        <f>IF(BL201&gt;=VLOOKUP(VLOOKUP(BJ201,坦克个性化设定!$B$18:$E$48,4,FALSE)&amp;BK201,坦克属性分配比例,MATCH("升星次数",坦克属性分配比例标头,0),FALSE),BI201+1,BI201)</f>
        <v>20</v>
      </c>
      <c r="BJ202" s="2" t="str">
        <f t="shared" si="31"/>
        <v>挑战者</v>
      </c>
      <c r="BK202" s="29" t="str">
        <f>VLOOKUP(BJ202,坦克个性化细分!$I$3:$J$33,2,FALSE)</f>
        <v>低</v>
      </c>
      <c r="BL202" s="2">
        <f t="shared" si="29"/>
        <v>8</v>
      </c>
      <c r="BM202" s="103" t="e">
        <f ca="1">ROUND(VLOOKUP($BJ202&amp;"初始",$S$3:$AE$63,MATCH(BM$3,$S$3:$AE$3,0),FALSE)+((VLOOKUP($BJ202&amp;"最终",$S$3:$AE$63,MATCH(BM$3,$S$3:$AE$3,0),FALSE)*坦克个性化细分!$C$9-VLOOKUP($BJ202&amp;"初始",$S$3:$AE$63,MATCH(BM$3,$S$3:$AE$3,0),FALSE))-(VLOOKUP($BJ202&amp;"最终",$S$3:$AE$63,MATCH(BM$3,$S$3:$AE$3,0),FALSE)-VLOOKUP($BJ202&amp;"初始",$S$3:$AE$63,MATCH(BM$3,$S$3:$AE$3,0),FALSE))*VLOOKUP(VLOOKUP($BJ202,坦克个性化设定!$B$18:$E$48,4,FALSE)&amp;$BK202,坦克属性分配比例,MATCH("部件比例",坦克属性分配比例标头,0),FALSE))*$BL202/VLOOKUP(VLOOKUP($BJ202,坦克个性化设定!$B$18:$E$48,4,FALSE)&amp;$BK202,坦克属性分配比例,MATCH("升星次数",坦克属性分配比例标头,0),FALSE),0)</f>
        <v>#N/A</v>
      </c>
      <c r="BN202" s="103" t="e">
        <f ca="1">ROUND(VLOOKUP($BJ202&amp;"初始",$S$3:$AE$63,MATCH(BN$3,$S$3:$AE$3,0),FALSE)+(VLOOKUP($BJ202&amp;"最终",$S$3:$AE$63,MATCH(BN$3,$S$3:$AE$3,0),FALSE)-VLOOKUP($BJ202&amp;"初始",$S$3:$AE$63,MATCH(BN$3,$S$3:$AE$3,0),FALSE))*$BL202/VLOOKUP(VLOOKUP($BJ202,坦克个性化设定!$B$18:$E$48,4,FALSE)&amp;$BK202,坦克属性分配比例,MATCH("升星次数",坦克属性分配比例标头,0),FALSE)*VLOOKUP(VLOOKUP($BJ202,坦克个性化设定!$B$18:$E$48,4,FALSE)&amp;$BK202,坦克属性分配比例,MATCH("升星比例",坦克属性分配比例标头,0),FALSE),0)</f>
        <v>#N/A</v>
      </c>
      <c r="BO202" s="103" t="e">
        <f ca="1">ROUND(VLOOKUP($BJ202&amp;"初始",$S$3:$AE$63,MATCH(BO$3,$S$3:$AE$3,0),FALSE)+(VLOOKUP($BJ202&amp;"最终",$S$3:$AE$63,MATCH(BO$3,$S$3:$AE$3,0),FALSE)-VLOOKUP($BJ202&amp;"初始",$S$3:$AE$63,MATCH(BO$3,$S$3:$AE$3,0),FALSE))*$BL202/VLOOKUP(VLOOKUP($BJ202,坦克个性化设定!$B$18:$E$48,4,FALSE)&amp;$BK202,坦克属性分配比例,MATCH("升星次数",坦克属性分配比例标头,0),FALSE)*(VLOOKUP(VLOOKUP($BJ202,坦克个性化设定!$B$18:$E$48,4,FALSE)&amp;$BK202,坦克属性分配比例,MATCH("升星比例",坦克属性分配比例标头,0),FALSE)+VLOOKUP(VLOOKUP($BJ202,坦克个性化设定!$B$18:$E$48,4,FALSE)&amp;$BK202,坦克属性分配比例,MATCH("部件比例",坦克属性分配比例标头,0),FALSE)*$C$3),0)</f>
        <v>#N/A</v>
      </c>
      <c r="BP202" s="103" t="e">
        <f ca="1">ROUND(VLOOKUP($BJ202&amp;"初始",$S$3:$AE$63,MATCH(BP$3,$S$3:$AE$3,0),FALSE)+(VLOOKUP($BJ202&amp;"最终",$S$3:$AE$63,MATCH(BP$3,$S$3:$AE$3,0),FALSE)-VLOOKUP($BJ202&amp;"初始",$S$3:$AE$63,MATCH(BP$3,$S$3:$AE$3,0),FALSE))*$BL202/VLOOKUP(VLOOKUP($BJ202,坦克个性化设定!$B$18:$E$48,4,FALSE)&amp;$BK202,坦克属性分配比例,MATCH("升星次数",坦克属性分配比例标头,0),FALSE)*(VLOOKUP(VLOOKUP($BJ202,坦克个性化设定!$B$18:$E$48,4,FALSE)&amp;$BK202,坦克属性分配比例,MATCH("升星比例",坦克属性分配比例标头,0),FALSE)+VLOOKUP(VLOOKUP($BJ202,坦克个性化设定!$B$18:$E$48,4,FALSE)&amp;$BK202,坦克属性分配比例,MATCH("部件比例",坦克属性分配比例标头,0),FALSE)*$C$3),0)</f>
        <v>#N/A</v>
      </c>
      <c r="BQ202" s="103" t="e">
        <f ca="1">ROUND(VLOOKUP($BJ202&amp;"初始",$S$3:$AE$63,MATCH(BQ$3,$S$3:$AE$3,0),FALSE)+(VLOOKUP($BJ202&amp;"最终",$S$3:$AE$63,MATCH(BQ$3,$S$3:$AE$3,0),FALSE)-VLOOKUP($BJ202&amp;"初始",$S$3:$AE$63,MATCH(BQ$3,$S$3:$AE$3,0),FALSE))*$BL202/VLOOKUP(VLOOKUP($BJ202,坦克个性化设定!$B$18:$E$48,4,FALSE)&amp;$BK202,坦克属性分配比例,MATCH("升星次数",坦克属性分配比例标头,0),FALSE)*VLOOKUP(VLOOKUP($BJ202,坦克个性化设定!$B$18:$E$48,4,FALSE)&amp;$BK202,坦克属性分配比例,MATCH("升星比例",坦克属性分配比例标头,0),FALSE),0)</f>
        <v>#N/A</v>
      </c>
      <c r="BR202" s="2" t="e">
        <f ca="1">ROUND(VLOOKUP($BJ202&amp;"初始",$S$3:$AE$63,MATCH(BR$3,$S$3:$AE$3,0),FALSE)+(VLOOKUP($BJ202&amp;"最终",$S$3:$AE$63,MATCH(BR$3,$S$3:$AE$3,0),FALSE)-VLOOKUP($BJ202&amp;"初始",$S$3:$AE$63,MATCH(BR$3,$S$3:$AE$3,0),FALSE))*$BL202/VLOOKUP(VLOOKUP($BJ202,坦克个性化设定!$B$18:$E$48,4,FALSE)&amp;$BK202,坦克属性分配比例,MATCH("升星次数",坦克属性分配比例标头,0),FALSE),0)</f>
        <v>#N/A</v>
      </c>
      <c r="BS202" s="2">
        <f>ROUND(VLOOKUP($BJ202,$AI$3:$AO$33,MATCH(BS$3,$AI$3:$AO$3,0),FALSE)+$BL202/VLOOKUP(VLOOKUP($BJ202,坦克个性化设定!$B$18:$E$48,4,FALSE)&amp;$BK202,坦克属性分配比例,MATCH("升星次数",坦克属性分配比例标头,0),FALSE)*VLOOKUP($BJ202,$AR$3:$AY$33,MATCH(BS$3,$AR$3:$AY$3,0),FALSE),1)</f>
        <v>41.1</v>
      </c>
      <c r="BT202" s="2">
        <f>ROUND(VLOOKUP($BJ202,$AI$3:$AO$33,MATCH(BT$3,$AI$3:$AO$3,0),FALSE)+$BL202/VLOOKUP(VLOOKUP($BJ202,坦克个性化设定!$B$18:$E$48,4,FALSE)&amp;$BK202,坦克属性分配比例,MATCH("升星次数",坦克属性分配比例标头,0),FALSE)*VLOOKUP($BJ202,$AR$3:$AY$33,MATCH(BT$3,$AR$3:$AY$3,0),FALSE),1)</f>
        <v>57.7</v>
      </c>
      <c r="BU202" s="2">
        <f>ROUND(VLOOKUP($BJ202,$AI$3:$AO$33,MATCH(BU$3,$AI$3:$AO$3,0),FALSE)+$BL202/VLOOKUP(VLOOKUP($BJ202,坦克个性化设定!$B$18:$E$48,4,FALSE)&amp;$BK202,坦克属性分配比例,MATCH("升星次数",坦克属性分配比例标头,0),FALSE)*VLOOKUP($BJ202,$AR$3:$AY$33,MATCH(BU$3,$AR$3:$AY$3,0),FALSE),1)</f>
        <v>7.2</v>
      </c>
      <c r="BV202" s="2">
        <f>IF(VLOOKUP(BJ202,坦克个性化设定!$B$18:$BC$48,MATCH("装弹类型",坦克个性化设定!$B$18:$BC$18,0),FALSE)="弹夹换弹",0,ROUND(VLOOKUP($BJ202,$AI$3:$AO$33,MATCH("换弹时间",$AI$3:$AO$3,0),FALSE)-$BL202/VLOOKUP(VLOOKUP($BJ202,坦克个性化设定!$B$18:$E$48,4,FALSE)&amp;$BK202,坦克属性分配比例,MATCH("升星次数",坦克属性分配比例标头,0),FALSE)*VLOOKUP($BJ202,$AR$3:$AY$33,MATCH("换弹时间",$AR$3:$AY$3,0),FALSE),2))</f>
        <v>2.17</v>
      </c>
      <c r="BW202" s="2">
        <f>IF(VLOOKUP(BJ202,坦克个性化设定!$B$18:$BC$48,MATCH("装弹类型",坦克个性化设定!$B$18:$BC$18,0),FALSE)="弹夹换弹",ROUND(VLOOKUP($BJ202,$AI$3:$AO$33,MATCH("换弹时间",$AI$3:$AO$3,0),FALSE)-$BL202/VLOOKUP(VLOOKUP($BJ202,坦克个性化设定!$B$18:$E$48,4,FALSE)&amp;$BK202,坦克属性分配比例,MATCH("升星次数",坦克属性分配比例标头,0),FALSE)*VLOOKUP($BJ202,$AR$3:$AY$33,MATCH("换弹时间",$AR$3:$AY$3,0),FALSE),1),0)</f>
        <v>0</v>
      </c>
      <c r="BX202" s="2">
        <f>ROUND(VLOOKUP($BJ202,$AI$3:$AO$33,MATCH(BX$3,$AI$3:$AO$3,0),FALSE)+$BL202/VLOOKUP(VLOOKUP($BJ202,坦克个性化设定!$B$18:$E$48,4,FALSE)&amp;$BK202,坦克属性分配比例,MATCH("升星次数",坦克属性分配比例标头,0),FALSE)*VLOOKUP($BJ202,$AR$3:$AY$33,MATCH(BX$3,$AR$3:$AY$3,0),FALSE),2)</f>
        <v>0.4</v>
      </c>
      <c r="BY202" s="2">
        <f>ROUND(VLOOKUP($BJ202,$AI$3:$AO$33,MATCH(BY$3,$AI$3:$AO$3,0),FALSE)-$BL202/VLOOKUP(VLOOKUP($BJ202,坦克个性化设定!$B$18:$E$48,4,FALSE)&amp;$BK202,坦克属性分配比例,MATCH("升星次数",坦克属性分配比例标头,0),FALSE)*VLOOKUP($BJ202,$AR$3:$AY$33,MATCH(BY$3,$AR$3:$AY$3,0),FALSE),2)</f>
        <v>1.26</v>
      </c>
    </row>
    <row r="203" spans="60:77" x14ac:dyDescent="0.3">
      <c r="BH203" s="2" t="str">
        <f t="shared" si="30"/>
        <v>挑战者9</v>
      </c>
      <c r="BI203" s="2">
        <f>IF(BL202&gt;=VLOOKUP(VLOOKUP(BJ202,坦克个性化设定!$B$18:$E$48,4,FALSE)&amp;BK202,坦克属性分配比例,MATCH("升星次数",坦克属性分配比例标头,0),FALSE),BI202+1,BI202)</f>
        <v>20</v>
      </c>
      <c r="BJ203" s="2" t="str">
        <f t="shared" si="31"/>
        <v>挑战者</v>
      </c>
      <c r="BK203" s="29" t="str">
        <f>VLOOKUP(BJ203,坦克个性化细分!$I$3:$J$33,2,FALSE)</f>
        <v>低</v>
      </c>
      <c r="BL203" s="2">
        <f t="shared" si="29"/>
        <v>9</v>
      </c>
      <c r="BM203" s="103" t="e">
        <f ca="1">ROUND(VLOOKUP($BJ203&amp;"初始",$S$3:$AE$63,MATCH(BM$3,$S$3:$AE$3,0),FALSE)+((VLOOKUP($BJ203&amp;"最终",$S$3:$AE$63,MATCH(BM$3,$S$3:$AE$3,0),FALSE)*坦克个性化细分!$C$9-VLOOKUP($BJ203&amp;"初始",$S$3:$AE$63,MATCH(BM$3,$S$3:$AE$3,0),FALSE))-(VLOOKUP($BJ203&amp;"最终",$S$3:$AE$63,MATCH(BM$3,$S$3:$AE$3,0),FALSE)-VLOOKUP($BJ203&amp;"初始",$S$3:$AE$63,MATCH(BM$3,$S$3:$AE$3,0),FALSE))*VLOOKUP(VLOOKUP($BJ203,坦克个性化设定!$B$18:$E$48,4,FALSE)&amp;$BK203,坦克属性分配比例,MATCH("部件比例",坦克属性分配比例标头,0),FALSE))*$BL203/VLOOKUP(VLOOKUP($BJ203,坦克个性化设定!$B$18:$E$48,4,FALSE)&amp;$BK203,坦克属性分配比例,MATCH("升星次数",坦克属性分配比例标头,0),FALSE),0)</f>
        <v>#N/A</v>
      </c>
      <c r="BN203" s="103" t="e">
        <f ca="1">ROUND(VLOOKUP($BJ203&amp;"初始",$S$3:$AE$63,MATCH(BN$3,$S$3:$AE$3,0),FALSE)+(VLOOKUP($BJ203&amp;"最终",$S$3:$AE$63,MATCH(BN$3,$S$3:$AE$3,0),FALSE)-VLOOKUP($BJ203&amp;"初始",$S$3:$AE$63,MATCH(BN$3,$S$3:$AE$3,0),FALSE))*$BL203/VLOOKUP(VLOOKUP($BJ203,坦克个性化设定!$B$18:$E$48,4,FALSE)&amp;$BK203,坦克属性分配比例,MATCH("升星次数",坦克属性分配比例标头,0),FALSE)*VLOOKUP(VLOOKUP($BJ203,坦克个性化设定!$B$18:$E$48,4,FALSE)&amp;$BK203,坦克属性分配比例,MATCH("升星比例",坦克属性分配比例标头,0),FALSE),0)</f>
        <v>#N/A</v>
      </c>
      <c r="BO203" s="103" t="e">
        <f ca="1">ROUND(VLOOKUP($BJ203&amp;"初始",$S$3:$AE$63,MATCH(BO$3,$S$3:$AE$3,0),FALSE)+(VLOOKUP($BJ203&amp;"最终",$S$3:$AE$63,MATCH(BO$3,$S$3:$AE$3,0),FALSE)-VLOOKUP($BJ203&amp;"初始",$S$3:$AE$63,MATCH(BO$3,$S$3:$AE$3,0),FALSE))*$BL203/VLOOKUP(VLOOKUP($BJ203,坦克个性化设定!$B$18:$E$48,4,FALSE)&amp;$BK203,坦克属性分配比例,MATCH("升星次数",坦克属性分配比例标头,0),FALSE)*(VLOOKUP(VLOOKUP($BJ203,坦克个性化设定!$B$18:$E$48,4,FALSE)&amp;$BK203,坦克属性分配比例,MATCH("升星比例",坦克属性分配比例标头,0),FALSE)+VLOOKUP(VLOOKUP($BJ203,坦克个性化设定!$B$18:$E$48,4,FALSE)&amp;$BK203,坦克属性分配比例,MATCH("部件比例",坦克属性分配比例标头,0),FALSE)*$C$3),0)</f>
        <v>#N/A</v>
      </c>
      <c r="BP203" s="103" t="e">
        <f ca="1">ROUND(VLOOKUP($BJ203&amp;"初始",$S$3:$AE$63,MATCH(BP$3,$S$3:$AE$3,0),FALSE)+(VLOOKUP($BJ203&amp;"最终",$S$3:$AE$63,MATCH(BP$3,$S$3:$AE$3,0),FALSE)-VLOOKUP($BJ203&amp;"初始",$S$3:$AE$63,MATCH(BP$3,$S$3:$AE$3,0),FALSE))*$BL203/VLOOKUP(VLOOKUP($BJ203,坦克个性化设定!$B$18:$E$48,4,FALSE)&amp;$BK203,坦克属性分配比例,MATCH("升星次数",坦克属性分配比例标头,0),FALSE)*(VLOOKUP(VLOOKUP($BJ203,坦克个性化设定!$B$18:$E$48,4,FALSE)&amp;$BK203,坦克属性分配比例,MATCH("升星比例",坦克属性分配比例标头,0),FALSE)+VLOOKUP(VLOOKUP($BJ203,坦克个性化设定!$B$18:$E$48,4,FALSE)&amp;$BK203,坦克属性分配比例,MATCH("部件比例",坦克属性分配比例标头,0),FALSE)*$C$3),0)</f>
        <v>#N/A</v>
      </c>
      <c r="BQ203" s="103" t="e">
        <f ca="1">ROUND(VLOOKUP($BJ203&amp;"初始",$S$3:$AE$63,MATCH(BQ$3,$S$3:$AE$3,0),FALSE)+(VLOOKUP($BJ203&amp;"最终",$S$3:$AE$63,MATCH(BQ$3,$S$3:$AE$3,0),FALSE)-VLOOKUP($BJ203&amp;"初始",$S$3:$AE$63,MATCH(BQ$3,$S$3:$AE$3,0),FALSE))*$BL203/VLOOKUP(VLOOKUP($BJ203,坦克个性化设定!$B$18:$E$48,4,FALSE)&amp;$BK203,坦克属性分配比例,MATCH("升星次数",坦克属性分配比例标头,0),FALSE)*VLOOKUP(VLOOKUP($BJ203,坦克个性化设定!$B$18:$E$48,4,FALSE)&amp;$BK203,坦克属性分配比例,MATCH("升星比例",坦克属性分配比例标头,0),FALSE),0)</f>
        <v>#N/A</v>
      </c>
      <c r="BR203" s="2" t="e">
        <f ca="1">ROUND(VLOOKUP($BJ203&amp;"初始",$S$3:$AE$63,MATCH(BR$3,$S$3:$AE$3,0),FALSE)+(VLOOKUP($BJ203&amp;"最终",$S$3:$AE$63,MATCH(BR$3,$S$3:$AE$3,0),FALSE)-VLOOKUP($BJ203&amp;"初始",$S$3:$AE$63,MATCH(BR$3,$S$3:$AE$3,0),FALSE))*$BL203/VLOOKUP(VLOOKUP($BJ203,坦克个性化设定!$B$18:$E$48,4,FALSE)&amp;$BK203,坦克属性分配比例,MATCH("升星次数",坦克属性分配比例标头,0),FALSE),0)</f>
        <v>#N/A</v>
      </c>
      <c r="BS203" s="2">
        <f>ROUND(VLOOKUP($BJ203,$AI$3:$AO$33,MATCH(BS$3,$AI$3:$AO$3,0),FALSE)+$BL203/VLOOKUP(VLOOKUP($BJ203,坦克个性化设定!$B$18:$E$48,4,FALSE)&amp;$BK203,坦克属性分配比例,MATCH("升星次数",坦克属性分配比例标头,0),FALSE)*VLOOKUP($BJ203,$AR$3:$AY$33,MATCH(BS$3,$AR$3:$AY$3,0),FALSE),1)</f>
        <v>41.8</v>
      </c>
      <c r="BT203" s="2">
        <f>ROUND(VLOOKUP($BJ203,$AI$3:$AO$33,MATCH(BT$3,$AI$3:$AO$3,0),FALSE)+$BL203/VLOOKUP(VLOOKUP($BJ203,坦克个性化设定!$B$18:$E$48,4,FALSE)&amp;$BK203,坦克属性分配比例,MATCH("升星次数",坦克属性分配比例标头,0),FALSE)*VLOOKUP($BJ203,$AR$3:$AY$33,MATCH(BT$3,$AR$3:$AY$3,0),FALSE),1)</f>
        <v>58.7</v>
      </c>
      <c r="BU203" s="2">
        <f>ROUND(VLOOKUP($BJ203,$AI$3:$AO$33,MATCH(BU$3,$AI$3:$AO$3,0),FALSE)+$BL203/VLOOKUP(VLOOKUP($BJ203,坦克个性化设定!$B$18:$E$48,4,FALSE)&amp;$BK203,坦克属性分配比例,MATCH("升星次数",坦克属性分配比例标头,0),FALSE)*VLOOKUP($BJ203,$AR$3:$AY$33,MATCH(BU$3,$AR$3:$AY$3,0),FALSE),1)</f>
        <v>7.2</v>
      </c>
      <c r="BV203" s="2">
        <f>IF(VLOOKUP(BJ203,坦克个性化设定!$B$18:$BC$48,MATCH("装弹类型",坦克个性化设定!$B$18:$BC$18,0),FALSE)="弹夹换弹",0,ROUND(VLOOKUP($BJ203,$AI$3:$AO$33,MATCH("换弹时间",$AI$3:$AO$3,0),FALSE)-$BL203/VLOOKUP(VLOOKUP($BJ203,坦克个性化设定!$B$18:$E$48,4,FALSE)&amp;$BK203,坦克属性分配比例,MATCH("升星次数",坦克属性分配比例标头,0),FALSE)*VLOOKUP($BJ203,$AR$3:$AY$33,MATCH("换弹时间",$AR$3:$AY$3,0),FALSE),2))</f>
        <v>2.14</v>
      </c>
      <c r="BW203" s="2">
        <f>IF(VLOOKUP(BJ203,坦克个性化设定!$B$18:$BC$48,MATCH("装弹类型",坦克个性化设定!$B$18:$BC$18,0),FALSE)="弹夹换弹",ROUND(VLOOKUP($BJ203,$AI$3:$AO$33,MATCH("换弹时间",$AI$3:$AO$3,0),FALSE)-$BL203/VLOOKUP(VLOOKUP($BJ203,坦克个性化设定!$B$18:$E$48,4,FALSE)&amp;$BK203,坦克属性分配比例,MATCH("升星次数",坦克属性分配比例标头,0),FALSE)*VLOOKUP($BJ203,$AR$3:$AY$33,MATCH("换弹时间",$AR$3:$AY$3,0),FALSE),1),0)</f>
        <v>0</v>
      </c>
      <c r="BX203" s="2">
        <f>ROUND(VLOOKUP($BJ203,$AI$3:$AO$33,MATCH(BX$3,$AI$3:$AO$3,0),FALSE)+$BL203/VLOOKUP(VLOOKUP($BJ203,坦克个性化设定!$B$18:$E$48,4,FALSE)&amp;$BK203,坦克属性分配比例,MATCH("升星次数",坦克属性分配比例标头,0),FALSE)*VLOOKUP($BJ203,$AR$3:$AY$33,MATCH(BX$3,$AR$3:$AY$3,0),FALSE),2)</f>
        <v>0.4</v>
      </c>
      <c r="BY203" s="2">
        <f>ROUND(VLOOKUP($BJ203,$AI$3:$AO$33,MATCH(BY$3,$AI$3:$AO$3,0),FALSE)-$BL203/VLOOKUP(VLOOKUP($BJ203,坦克个性化设定!$B$18:$E$48,4,FALSE)&amp;$BK203,坦克属性分配比例,MATCH("升星次数",坦克属性分配比例标头,0),FALSE)*VLOOKUP($BJ203,$AR$3:$AY$33,MATCH(BY$3,$AR$3:$AY$3,0),FALSE),2)</f>
        <v>1.24</v>
      </c>
    </row>
    <row r="204" spans="60:77" x14ac:dyDescent="0.3">
      <c r="BH204" s="2" t="str">
        <f t="shared" si="30"/>
        <v>挑战者10</v>
      </c>
      <c r="BI204" s="2">
        <f>IF(BL203&gt;=VLOOKUP(VLOOKUP(BJ203,坦克个性化设定!$B$18:$E$48,4,FALSE)&amp;BK203,坦克属性分配比例,MATCH("升星次数",坦克属性分配比例标头,0),FALSE),BI203+1,BI203)</f>
        <v>20</v>
      </c>
      <c r="BJ204" s="2" t="str">
        <f t="shared" si="31"/>
        <v>挑战者</v>
      </c>
      <c r="BK204" s="29" t="str">
        <f>VLOOKUP(BJ204,坦克个性化细分!$I$3:$J$33,2,FALSE)</f>
        <v>低</v>
      </c>
      <c r="BL204" s="2">
        <f t="shared" si="29"/>
        <v>10</v>
      </c>
      <c r="BM204" s="103" t="e">
        <f ca="1">ROUND(VLOOKUP($BJ204&amp;"初始",$S$3:$AE$63,MATCH(BM$3,$S$3:$AE$3,0),FALSE)+((VLOOKUP($BJ204&amp;"最终",$S$3:$AE$63,MATCH(BM$3,$S$3:$AE$3,0),FALSE)*坦克个性化细分!$C$9-VLOOKUP($BJ204&amp;"初始",$S$3:$AE$63,MATCH(BM$3,$S$3:$AE$3,0),FALSE))-(VLOOKUP($BJ204&amp;"最终",$S$3:$AE$63,MATCH(BM$3,$S$3:$AE$3,0),FALSE)-VLOOKUP($BJ204&amp;"初始",$S$3:$AE$63,MATCH(BM$3,$S$3:$AE$3,0),FALSE))*VLOOKUP(VLOOKUP($BJ204,坦克个性化设定!$B$18:$E$48,4,FALSE)&amp;$BK204,坦克属性分配比例,MATCH("部件比例",坦克属性分配比例标头,0),FALSE))*$BL204/VLOOKUP(VLOOKUP($BJ204,坦克个性化设定!$B$18:$E$48,4,FALSE)&amp;$BK204,坦克属性分配比例,MATCH("升星次数",坦克属性分配比例标头,0),FALSE),0)</f>
        <v>#N/A</v>
      </c>
      <c r="BN204" s="103" t="e">
        <f ca="1">ROUND(VLOOKUP($BJ204&amp;"初始",$S$3:$AE$63,MATCH(BN$3,$S$3:$AE$3,0),FALSE)+(VLOOKUP($BJ204&amp;"最终",$S$3:$AE$63,MATCH(BN$3,$S$3:$AE$3,0),FALSE)-VLOOKUP($BJ204&amp;"初始",$S$3:$AE$63,MATCH(BN$3,$S$3:$AE$3,0),FALSE))*$BL204/VLOOKUP(VLOOKUP($BJ204,坦克个性化设定!$B$18:$E$48,4,FALSE)&amp;$BK204,坦克属性分配比例,MATCH("升星次数",坦克属性分配比例标头,0),FALSE)*VLOOKUP(VLOOKUP($BJ204,坦克个性化设定!$B$18:$E$48,4,FALSE)&amp;$BK204,坦克属性分配比例,MATCH("升星比例",坦克属性分配比例标头,0),FALSE),0)</f>
        <v>#N/A</v>
      </c>
      <c r="BO204" s="103" t="e">
        <f ca="1">ROUND(VLOOKUP($BJ204&amp;"初始",$S$3:$AE$63,MATCH(BO$3,$S$3:$AE$3,0),FALSE)+(VLOOKUP($BJ204&amp;"最终",$S$3:$AE$63,MATCH(BO$3,$S$3:$AE$3,0),FALSE)-VLOOKUP($BJ204&amp;"初始",$S$3:$AE$63,MATCH(BO$3,$S$3:$AE$3,0),FALSE))*$BL204/VLOOKUP(VLOOKUP($BJ204,坦克个性化设定!$B$18:$E$48,4,FALSE)&amp;$BK204,坦克属性分配比例,MATCH("升星次数",坦克属性分配比例标头,0),FALSE)*(VLOOKUP(VLOOKUP($BJ204,坦克个性化设定!$B$18:$E$48,4,FALSE)&amp;$BK204,坦克属性分配比例,MATCH("升星比例",坦克属性分配比例标头,0),FALSE)+VLOOKUP(VLOOKUP($BJ204,坦克个性化设定!$B$18:$E$48,4,FALSE)&amp;$BK204,坦克属性分配比例,MATCH("部件比例",坦克属性分配比例标头,0),FALSE)*$C$3),0)</f>
        <v>#N/A</v>
      </c>
      <c r="BP204" s="103" t="e">
        <f ca="1">ROUND(VLOOKUP($BJ204&amp;"初始",$S$3:$AE$63,MATCH(BP$3,$S$3:$AE$3,0),FALSE)+(VLOOKUP($BJ204&amp;"最终",$S$3:$AE$63,MATCH(BP$3,$S$3:$AE$3,0),FALSE)-VLOOKUP($BJ204&amp;"初始",$S$3:$AE$63,MATCH(BP$3,$S$3:$AE$3,0),FALSE))*$BL204/VLOOKUP(VLOOKUP($BJ204,坦克个性化设定!$B$18:$E$48,4,FALSE)&amp;$BK204,坦克属性分配比例,MATCH("升星次数",坦克属性分配比例标头,0),FALSE)*(VLOOKUP(VLOOKUP($BJ204,坦克个性化设定!$B$18:$E$48,4,FALSE)&amp;$BK204,坦克属性分配比例,MATCH("升星比例",坦克属性分配比例标头,0),FALSE)+VLOOKUP(VLOOKUP($BJ204,坦克个性化设定!$B$18:$E$48,4,FALSE)&amp;$BK204,坦克属性分配比例,MATCH("部件比例",坦克属性分配比例标头,0),FALSE)*$C$3),0)</f>
        <v>#N/A</v>
      </c>
      <c r="BQ204" s="103" t="e">
        <f ca="1">ROUND(VLOOKUP($BJ204&amp;"初始",$S$3:$AE$63,MATCH(BQ$3,$S$3:$AE$3,0),FALSE)+(VLOOKUP($BJ204&amp;"最终",$S$3:$AE$63,MATCH(BQ$3,$S$3:$AE$3,0),FALSE)-VLOOKUP($BJ204&amp;"初始",$S$3:$AE$63,MATCH(BQ$3,$S$3:$AE$3,0),FALSE))*$BL204/VLOOKUP(VLOOKUP($BJ204,坦克个性化设定!$B$18:$E$48,4,FALSE)&amp;$BK204,坦克属性分配比例,MATCH("升星次数",坦克属性分配比例标头,0),FALSE)*VLOOKUP(VLOOKUP($BJ204,坦克个性化设定!$B$18:$E$48,4,FALSE)&amp;$BK204,坦克属性分配比例,MATCH("升星比例",坦克属性分配比例标头,0),FALSE),0)</f>
        <v>#N/A</v>
      </c>
      <c r="BR204" s="2" t="e">
        <f ca="1">ROUND(VLOOKUP($BJ204&amp;"初始",$S$3:$AE$63,MATCH(BR$3,$S$3:$AE$3,0),FALSE)+(VLOOKUP($BJ204&amp;"最终",$S$3:$AE$63,MATCH(BR$3,$S$3:$AE$3,0),FALSE)-VLOOKUP($BJ204&amp;"初始",$S$3:$AE$63,MATCH(BR$3,$S$3:$AE$3,0),FALSE))*$BL204/VLOOKUP(VLOOKUP($BJ204,坦克个性化设定!$B$18:$E$48,4,FALSE)&amp;$BK204,坦克属性分配比例,MATCH("升星次数",坦克属性分配比例标头,0),FALSE),0)</f>
        <v>#N/A</v>
      </c>
      <c r="BS204" s="2">
        <f>ROUND(VLOOKUP($BJ204,$AI$3:$AO$33,MATCH(BS$3,$AI$3:$AO$3,0),FALSE)+$BL204/VLOOKUP(VLOOKUP($BJ204,坦克个性化设定!$B$18:$E$48,4,FALSE)&amp;$BK204,坦克属性分配比例,MATCH("升星次数",坦克属性分配比例标头,0),FALSE)*VLOOKUP($BJ204,$AR$3:$AY$33,MATCH(BS$3,$AR$3:$AY$3,0),FALSE),1)</f>
        <v>42.4</v>
      </c>
      <c r="BT204" s="2">
        <f>ROUND(VLOOKUP($BJ204,$AI$3:$AO$33,MATCH(BT$3,$AI$3:$AO$3,0),FALSE)+$BL204/VLOOKUP(VLOOKUP($BJ204,坦克个性化设定!$B$18:$E$48,4,FALSE)&amp;$BK204,坦克属性分配比例,MATCH("升星次数",坦克属性分配比例标头,0),FALSE)*VLOOKUP($BJ204,$AR$3:$AY$33,MATCH(BT$3,$AR$3:$AY$3,0),FALSE),1)</f>
        <v>59.6</v>
      </c>
      <c r="BU204" s="2">
        <f>ROUND(VLOOKUP($BJ204,$AI$3:$AO$33,MATCH(BU$3,$AI$3:$AO$3,0),FALSE)+$BL204/VLOOKUP(VLOOKUP($BJ204,坦克个性化设定!$B$18:$E$48,4,FALSE)&amp;$BK204,坦克属性分配比例,MATCH("升星次数",坦克属性分配比例标头,0),FALSE)*VLOOKUP($BJ204,$AR$3:$AY$33,MATCH(BU$3,$AR$3:$AY$3,0),FALSE),1)</f>
        <v>7.2</v>
      </c>
      <c r="BV204" s="2">
        <f>IF(VLOOKUP(BJ204,坦克个性化设定!$B$18:$BC$48,MATCH("装弹类型",坦克个性化设定!$B$18:$BC$18,0),FALSE)="弹夹换弹",0,ROUND(VLOOKUP($BJ204,$AI$3:$AO$33,MATCH("换弹时间",$AI$3:$AO$3,0),FALSE)-$BL204/VLOOKUP(VLOOKUP($BJ204,坦克个性化设定!$B$18:$E$48,4,FALSE)&amp;$BK204,坦克属性分配比例,MATCH("升星次数",坦克属性分配比例标头,0),FALSE)*VLOOKUP($BJ204,$AR$3:$AY$33,MATCH("换弹时间",$AR$3:$AY$3,0),FALSE),2))</f>
        <v>2.11</v>
      </c>
      <c r="BW204" s="2">
        <f>IF(VLOOKUP(BJ204,坦克个性化设定!$B$18:$BC$48,MATCH("装弹类型",坦克个性化设定!$B$18:$BC$18,0),FALSE)="弹夹换弹",ROUND(VLOOKUP($BJ204,$AI$3:$AO$33,MATCH("换弹时间",$AI$3:$AO$3,0),FALSE)-$BL204/VLOOKUP(VLOOKUP($BJ204,坦克个性化设定!$B$18:$E$48,4,FALSE)&amp;$BK204,坦克属性分配比例,MATCH("升星次数",坦克属性分配比例标头,0),FALSE)*VLOOKUP($BJ204,$AR$3:$AY$33,MATCH("换弹时间",$AR$3:$AY$3,0),FALSE),1),0)</f>
        <v>0</v>
      </c>
      <c r="BX204" s="2">
        <f>ROUND(VLOOKUP($BJ204,$AI$3:$AO$33,MATCH(BX$3,$AI$3:$AO$3,0),FALSE)+$BL204/VLOOKUP(VLOOKUP($BJ204,坦克个性化设定!$B$18:$E$48,4,FALSE)&amp;$BK204,坦克属性分配比例,MATCH("升星次数",坦克属性分配比例标头,0),FALSE)*VLOOKUP($BJ204,$AR$3:$AY$33,MATCH(BX$3,$AR$3:$AY$3,0),FALSE),2)</f>
        <v>0.4</v>
      </c>
      <c r="BY204" s="2">
        <f>ROUND(VLOOKUP($BJ204,$AI$3:$AO$33,MATCH(BY$3,$AI$3:$AO$3,0),FALSE)-$BL204/VLOOKUP(VLOOKUP($BJ204,坦克个性化设定!$B$18:$E$48,4,FALSE)&amp;$BK204,坦克属性分配比例,MATCH("升星次数",坦克属性分配比例标头,0),FALSE)*VLOOKUP($BJ204,$AR$3:$AY$33,MATCH(BY$3,$AR$3:$AY$3,0),FALSE),2)</f>
        <v>1.22</v>
      </c>
    </row>
    <row r="205" spans="60:77" x14ac:dyDescent="0.3">
      <c r="BH205" s="2" t="str">
        <f t="shared" ref="BH205:BH253" si="32">BJ205&amp;BL205</f>
        <v>挑战者11</v>
      </c>
      <c r="BI205" s="2">
        <f>IF(BL204&gt;=VLOOKUP(VLOOKUP(BJ204,坦克个性化设定!$B$18:$E$48,4,FALSE)&amp;BK204,坦克属性分配比例,MATCH("升星次数",坦克属性分配比例标头,0),FALSE),BI204+1,BI204)</f>
        <v>20</v>
      </c>
      <c r="BJ205" s="2" t="str">
        <f t="shared" ref="BJ205:BJ253" si="33">VLOOKUP(BI205,$B$5:$C$35,2,FALSE)</f>
        <v>挑战者</v>
      </c>
      <c r="BK205" s="29" t="str">
        <f>VLOOKUP(BJ205,坦克个性化细分!$I$3:$J$33,2,FALSE)</f>
        <v>低</v>
      </c>
      <c r="BL205" s="2">
        <f t="shared" ref="BL205:BL253" si="34">IF(BJ205&lt;&gt;BJ204,0,BL204+1)</f>
        <v>11</v>
      </c>
      <c r="BM205" s="103" t="e">
        <f ca="1">ROUND(VLOOKUP($BJ205&amp;"初始",$S$3:$AE$63,MATCH(BM$3,$S$3:$AE$3,0),FALSE)+((VLOOKUP($BJ205&amp;"最终",$S$3:$AE$63,MATCH(BM$3,$S$3:$AE$3,0),FALSE)*坦克个性化细分!$C$9-VLOOKUP($BJ205&amp;"初始",$S$3:$AE$63,MATCH(BM$3,$S$3:$AE$3,0),FALSE))-(VLOOKUP($BJ205&amp;"最终",$S$3:$AE$63,MATCH(BM$3,$S$3:$AE$3,0),FALSE)-VLOOKUP($BJ205&amp;"初始",$S$3:$AE$63,MATCH(BM$3,$S$3:$AE$3,0),FALSE))*VLOOKUP(VLOOKUP($BJ205,坦克个性化设定!$B$18:$E$48,4,FALSE)&amp;$BK205,坦克属性分配比例,MATCH("部件比例",坦克属性分配比例标头,0),FALSE))*$BL205/VLOOKUP(VLOOKUP($BJ205,坦克个性化设定!$B$18:$E$48,4,FALSE)&amp;$BK205,坦克属性分配比例,MATCH("升星次数",坦克属性分配比例标头,0),FALSE),0)</f>
        <v>#N/A</v>
      </c>
      <c r="BN205" s="103" t="e">
        <f ca="1">ROUND(VLOOKUP($BJ205&amp;"初始",$S$3:$AE$63,MATCH(BN$3,$S$3:$AE$3,0),FALSE)+(VLOOKUP($BJ205&amp;"最终",$S$3:$AE$63,MATCH(BN$3,$S$3:$AE$3,0),FALSE)-VLOOKUP($BJ205&amp;"初始",$S$3:$AE$63,MATCH(BN$3,$S$3:$AE$3,0),FALSE))*$BL205/VLOOKUP(VLOOKUP($BJ205,坦克个性化设定!$B$18:$E$48,4,FALSE)&amp;$BK205,坦克属性分配比例,MATCH("升星次数",坦克属性分配比例标头,0),FALSE)*VLOOKUP(VLOOKUP($BJ205,坦克个性化设定!$B$18:$E$48,4,FALSE)&amp;$BK205,坦克属性分配比例,MATCH("升星比例",坦克属性分配比例标头,0),FALSE),0)</f>
        <v>#N/A</v>
      </c>
      <c r="BO205" s="103" t="e">
        <f ca="1">ROUND(VLOOKUP($BJ205&amp;"初始",$S$3:$AE$63,MATCH(BO$3,$S$3:$AE$3,0),FALSE)+(VLOOKUP($BJ205&amp;"最终",$S$3:$AE$63,MATCH(BO$3,$S$3:$AE$3,0),FALSE)-VLOOKUP($BJ205&amp;"初始",$S$3:$AE$63,MATCH(BO$3,$S$3:$AE$3,0),FALSE))*$BL205/VLOOKUP(VLOOKUP($BJ205,坦克个性化设定!$B$18:$E$48,4,FALSE)&amp;$BK205,坦克属性分配比例,MATCH("升星次数",坦克属性分配比例标头,0),FALSE)*(VLOOKUP(VLOOKUP($BJ205,坦克个性化设定!$B$18:$E$48,4,FALSE)&amp;$BK205,坦克属性分配比例,MATCH("升星比例",坦克属性分配比例标头,0),FALSE)+VLOOKUP(VLOOKUP($BJ205,坦克个性化设定!$B$18:$E$48,4,FALSE)&amp;$BK205,坦克属性分配比例,MATCH("部件比例",坦克属性分配比例标头,0),FALSE)*$C$3),0)</f>
        <v>#N/A</v>
      </c>
      <c r="BP205" s="103" t="e">
        <f ca="1">ROUND(VLOOKUP($BJ205&amp;"初始",$S$3:$AE$63,MATCH(BP$3,$S$3:$AE$3,0),FALSE)+(VLOOKUP($BJ205&amp;"最终",$S$3:$AE$63,MATCH(BP$3,$S$3:$AE$3,0),FALSE)-VLOOKUP($BJ205&amp;"初始",$S$3:$AE$63,MATCH(BP$3,$S$3:$AE$3,0),FALSE))*$BL205/VLOOKUP(VLOOKUP($BJ205,坦克个性化设定!$B$18:$E$48,4,FALSE)&amp;$BK205,坦克属性分配比例,MATCH("升星次数",坦克属性分配比例标头,0),FALSE)*(VLOOKUP(VLOOKUP($BJ205,坦克个性化设定!$B$18:$E$48,4,FALSE)&amp;$BK205,坦克属性分配比例,MATCH("升星比例",坦克属性分配比例标头,0),FALSE)+VLOOKUP(VLOOKUP($BJ205,坦克个性化设定!$B$18:$E$48,4,FALSE)&amp;$BK205,坦克属性分配比例,MATCH("部件比例",坦克属性分配比例标头,0),FALSE)*$C$3),0)</f>
        <v>#N/A</v>
      </c>
      <c r="BQ205" s="103" t="e">
        <f ca="1">ROUND(VLOOKUP($BJ205&amp;"初始",$S$3:$AE$63,MATCH(BQ$3,$S$3:$AE$3,0),FALSE)+(VLOOKUP($BJ205&amp;"最终",$S$3:$AE$63,MATCH(BQ$3,$S$3:$AE$3,0),FALSE)-VLOOKUP($BJ205&amp;"初始",$S$3:$AE$63,MATCH(BQ$3,$S$3:$AE$3,0),FALSE))*$BL205/VLOOKUP(VLOOKUP($BJ205,坦克个性化设定!$B$18:$E$48,4,FALSE)&amp;$BK205,坦克属性分配比例,MATCH("升星次数",坦克属性分配比例标头,0),FALSE)*VLOOKUP(VLOOKUP($BJ205,坦克个性化设定!$B$18:$E$48,4,FALSE)&amp;$BK205,坦克属性分配比例,MATCH("升星比例",坦克属性分配比例标头,0),FALSE),0)</f>
        <v>#N/A</v>
      </c>
      <c r="BR205" s="2" t="e">
        <f ca="1">ROUND(VLOOKUP($BJ205&amp;"初始",$S$3:$AE$63,MATCH(BR$3,$S$3:$AE$3,0),FALSE)+(VLOOKUP($BJ205&amp;"最终",$S$3:$AE$63,MATCH(BR$3,$S$3:$AE$3,0),FALSE)-VLOOKUP($BJ205&amp;"初始",$S$3:$AE$63,MATCH(BR$3,$S$3:$AE$3,0),FALSE))*$BL205/VLOOKUP(VLOOKUP($BJ205,坦克个性化设定!$B$18:$E$48,4,FALSE)&amp;$BK205,坦克属性分配比例,MATCH("升星次数",坦克属性分配比例标头,0),FALSE),0)</f>
        <v>#N/A</v>
      </c>
      <c r="BS205" s="2">
        <f>ROUND(VLOOKUP($BJ205,$AI$3:$AO$33,MATCH(BS$3,$AI$3:$AO$3,0),FALSE)+$BL205/VLOOKUP(VLOOKUP($BJ205,坦克个性化设定!$B$18:$E$48,4,FALSE)&amp;$BK205,坦克属性分配比例,MATCH("升星次数",坦克属性分配比例标头,0),FALSE)*VLOOKUP($BJ205,$AR$3:$AY$33,MATCH(BS$3,$AR$3:$AY$3,0),FALSE),1)</f>
        <v>43.1</v>
      </c>
      <c r="BT205" s="2">
        <f>ROUND(VLOOKUP($BJ205,$AI$3:$AO$33,MATCH(BT$3,$AI$3:$AO$3,0),FALSE)+$BL205/VLOOKUP(VLOOKUP($BJ205,坦克个性化设定!$B$18:$E$48,4,FALSE)&amp;$BK205,坦克属性分配比例,MATCH("升星次数",坦克属性分配比例标头,0),FALSE)*VLOOKUP($BJ205,$AR$3:$AY$33,MATCH(BT$3,$AR$3:$AY$3,0),FALSE),1)</f>
        <v>60.6</v>
      </c>
      <c r="BU205" s="2">
        <f>ROUND(VLOOKUP($BJ205,$AI$3:$AO$33,MATCH(BU$3,$AI$3:$AO$3,0),FALSE)+$BL205/VLOOKUP(VLOOKUP($BJ205,坦克个性化设定!$B$18:$E$48,4,FALSE)&amp;$BK205,坦克属性分配比例,MATCH("升星次数",坦克属性分配比例标头,0),FALSE)*VLOOKUP($BJ205,$AR$3:$AY$33,MATCH(BU$3,$AR$3:$AY$3,0),FALSE),1)</f>
        <v>7.2</v>
      </c>
      <c r="BV205" s="2">
        <f>IF(VLOOKUP(BJ205,坦克个性化设定!$B$18:$BC$48,MATCH("装弹类型",坦克个性化设定!$B$18:$BC$18,0),FALSE)="弹夹换弹",0,ROUND(VLOOKUP($BJ205,$AI$3:$AO$33,MATCH("换弹时间",$AI$3:$AO$3,0),FALSE)-$BL205/VLOOKUP(VLOOKUP($BJ205,坦克个性化设定!$B$18:$E$48,4,FALSE)&amp;$BK205,坦克属性分配比例,MATCH("升星次数",坦克属性分配比例标头,0),FALSE)*VLOOKUP($BJ205,$AR$3:$AY$33,MATCH("换弹时间",$AR$3:$AY$3,0),FALSE),2))</f>
        <v>2.08</v>
      </c>
      <c r="BW205" s="2">
        <f>IF(VLOOKUP(BJ205,坦克个性化设定!$B$18:$BC$48,MATCH("装弹类型",坦克个性化设定!$B$18:$BC$18,0),FALSE)="弹夹换弹",ROUND(VLOOKUP($BJ205,$AI$3:$AO$33,MATCH("换弹时间",$AI$3:$AO$3,0),FALSE)-$BL205/VLOOKUP(VLOOKUP($BJ205,坦克个性化设定!$B$18:$E$48,4,FALSE)&amp;$BK205,坦克属性分配比例,MATCH("升星次数",坦克属性分配比例标头,0),FALSE)*VLOOKUP($BJ205,$AR$3:$AY$33,MATCH("换弹时间",$AR$3:$AY$3,0),FALSE),1),0)</f>
        <v>0</v>
      </c>
      <c r="BX205" s="2">
        <f>ROUND(VLOOKUP($BJ205,$AI$3:$AO$33,MATCH(BX$3,$AI$3:$AO$3,0),FALSE)+$BL205/VLOOKUP(VLOOKUP($BJ205,坦克个性化设定!$B$18:$E$48,4,FALSE)&amp;$BK205,坦克属性分配比例,MATCH("升星次数",坦克属性分配比例标头,0),FALSE)*VLOOKUP($BJ205,$AR$3:$AY$33,MATCH(BX$3,$AR$3:$AY$3,0),FALSE),2)</f>
        <v>0.4</v>
      </c>
      <c r="BY205" s="2">
        <f>ROUND(VLOOKUP($BJ205,$AI$3:$AO$33,MATCH(BY$3,$AI$3:$AO$3,0),FALSE)-$BL205/VLOOKUP(VLOOKUP($BJ205,坦克个性化设定!$B$18:$E$48,4,FALSE)&amp;$BK205,坦克属性分配比例,MATCH("升星次数",坦克属性分配比例标头,0),FALSE)*VLOOKUP($BJ205,$AR$3:$AY$33,MATCH(BY$3,$AR$3:$AY$3,0),FALSE),2)</f>
        <v>1.2</v>
      </c>
    </row>
    <row r="206" spans="60:77" x14ac:dyDescent="0.3">
      <c r="BH206" s="2" t="str">
        <f t="shared" si="32"/>
        <v>挑战者12</v>
      </c>
      <c r="BI206" s="2">
        <f>IF(BL205&gt;=VLOOKUP(VLOOKUP(BJ205,坦克个性化设定!$B$18:$E$48,4,FALSE)&amp;BK205,坦克属性分配比例,MATCH("升星次数",坦克属性分配比例标头,0),FALSE),BI205+1,BI205)</f>
        <v>20</v>
      </c>
      <c r="BJ206" s="2" t="str">
        <f t="shared" si="33"/>
        <v>挑战者</v>
      </c>
      <c r="BK206" s="29" t="str">
        <f>VLOOKUP(BJ206,坦克个性化细分!$I$3:$J$33,2,FALSE)</f>
        <v>低</v>
      </c>
      <c r="BL206" s="2">
        <f t="shared" si="34"/>
        <v>12</v>
      </c>
      <c r="BM206" s="103" t="e">
        <f ca="1">ROUND(VLOOKUP($BJ206&amp;"初始",$S$3:$AE$63,MATCH(BM$3,$S$3:$AE$3,0),FALSE)+((VLOOKUP($BJ206&amp;"最终",$S$3:$AE$63,MATCH(BM$3,$S$3:$AE$3,0),FALSE)*坦克个性化细分!$C$9-VLOOKUP($BJ206&amp;"初始",$S$3:$AE$63,MATCH(BM$3,$S$3:$AE$3,0),FALSE))-(VLOOKUP($BJ206&amp;"最终",$S$3:$AE$63,MATCH(BM$3,$S$3:$AE$3,0),FALSE)-VLOOKUP($BJ206&amp;"初始",$S$3:$AE$63,MATCH(BM$3,$S$3:$AE$3,0),FALSE))*VLOOKUP(VLOOKUP($BJ206,坦克个性化设定!$B$18:$E$48,4,FALSE)&amp;$BK206,坦克属性分配比例,MATCH("部件比例",坦克属性分配比例标头,0),FALSE))*$BL206/VLOOKUP(VLOOKUP($BJ206,坦克个性化设定!$B$18:$E$48,4,FALSE)&amp;$BK206,坦克属性分配比例,MATCH("升星次数",坦克属性分配比例标头,0),FALSE),0)</f>
        <v>#N/A</v>
      </c>
      <c r="BN206" s="103" t="e">
        <f ca="1">ROUND(VLOOKUP($BJ206&amp;"初始",$S$3:$AE$63,MATCH(BN$3,$S$3:$AE$3,0),FALSE)+(VLOOKUP($BJ206&amp;"最终",$S$3:$AE$63,MATCH(BN$3,$S$3:$AE$3,0),FALSE)-VLOOKUP($BJ206&amp;"初始",$S$3:$AE$63,MATCH(BN$3,$S$3:$AE$3,0),FALSE))*$BL206/VLOOKUP(VLOOKUP($BJ206,坦克个性化设定!$B$18:$E$48,4,FALSE)&amp;$BK206,坦克属性分配比例,MATCH("升星次数",坦克属性分配比例标头,0),FALSE)*VLOOKUP(VLOOKUP($BJ206,坦克个性化设定!$B$18:$E$48,4,FALSE)&amp;$BK206,坦克属性分配比例,MATCH("升星比例",坦克属性分配比例标头,0),FALSE),0)</f>
        <v>#N/A</v>
      </c>
      <c r="BO206" s="103" t="e">
        <f ca="1">ROUND(VLOOKUP($BJ206&amp;"初始",$S$3:$AE$63,MATCH(BO$3,$S$3:$AE$3,0),FALSE)+(VLOOKUP($BJ206&amp;"最终",$S$3:$AE$63,MATCH(BO$3,$S$3:$AE$3,0),FALSE)-VLOOKUP($BJ206&amp;"初始",$S$3:$AE$63,MATCH(BO$3,$S$3:$AE$3,0),FALSE))*$BL206/VLOOKUP(VLOOKUP($BJ206,坦克个性化设定!$B$18:$E$48,4,FALSE)&amp;$BK206,坦克属性分配比例,MATCH("升星次数",坦克属性分配比例标头,0),FALSE)*(VLOOKUP(VLOOKUP($BJ206,坦克个性化设定!$B$18:$E$48,4,FALSE)&amp;$BK206,坦克属性分配比例,MATCH("升星比例",坦克属性分配比例标头,0),FALSE)+VLOOKUP(VLOOKUP($BJ206,坦克个性化设定!$B$18:$E$48,4,FALSE)&amp;$BK206,坦克属性分配比例,MATCH("部件比例",坦克属性分配比例标头,0),FALSE)*$C$3),0)</f>
        <v>#N/A</v>
      </c>
      <c r="BP206" s="103" t="e">
        <f ca="1">ROUND(VLOOKUP($BJ206&amp;"初始",$S$3:$AE$63,MATCH(BP$3,$S$3:$AE$3,0),FALSE)+(VLOOKUP($BJ206&amp;"最终",$S$3:$AE$63,MATCH(BP$3,$S$3:$AE$3,0),FALSE)-VLOOKUP($BJ206&amp;"初始",$S$3:$AE$63,MATCH(BP$3,$S$3:$AE$3,0),FALSE))*$BL206/VLOOKUP(VLOOKUP($BJ206,坦克个性化设定!$B$18:$E$48,4,FALSE)&amp;$BK206,坦克属性分配比例,MATCH("升星次数",坦克属性分配比例标头,0),FALSE)*(VLOOKUP(VLOOKUP($BJ206,坦克个性化设定!$B$18:$E$48,4,FALSE)&amp;$BK206,坦克属性分配比例,MATCH("升星比例",坦克属性分配比例标头,0),FALSE)+VLOOKUP(VLOOKUP($BJ206,坦克个性化设定!$B$18:$E$48,4,FALSE)&amp;$BK206,坦克属性分配比例,MATCH("部件比例",坦克属性分配比例标头,0),FALSE)*$C$3),0)</f>
        <v>#N/A</v>
      </c>
      <c r="BQ206" s="103" t="e">
        <f ca="1">ROUND(VLOOKUP($BJ206&amp;"初始",$S$3:$AE$63,MATCH(BQ$3,$S$3:$AE$3,0),FALSE)+(VLOOKUP($BJ206&amp;"最终",$S$3:$AE$63,MATCH(BQ$3,$S$3:$AE$3,0),FALSE)-VLOOKUP($BJ206&amp;"初始",$S$3:$AE$63,MATCH(BQ$3,$S$3:$AE$3,0),FALSE))*$BL206/VLOOKUP(VLOOKUP($BJ206,坦克个性化设定!$B$18:$E$48,4,FALSE)&amp;$BK206,坦克属性分配比例,MATCH("升星次数",坦克属性分配比例标头,0),FALSE)*VLOOKUP(VLOOKUP($BJ206,坦克个性化设定!$B$18:$E$48,4,FALSE)&amp;$BK206,坦克属性分配比例,MATCH("升星比例",坦克属性分配比例标头,0),FALSE),0)</f>
        <v>#N/A</v>
      </c>
      <c r="BR206" s="2" t="e">
        <f ca="1">ROUND(VLOOKUP($BJ206&amp;"初始",$S$3:$AE$63,MATCH(BR$3,$S$3:$AE$3,0),FALSE)+(VLOOKUP($BJ206&amp;"最终",$S$3:$AE$63,MATCH(BR$3,$S$3:$AE$3,0),FALSE)-VLOOKUP($BJ206&amp;"初始",$S$3:$AE$63,MATCH(BR$3,$S$3:$AE$3,0),FALSE))*$BL206/VLOOKUP(VLOOKUP($BJ206,坦克个性化设定!$B$18:$E$48,4,FALSE)&amp;$BK206,坦克属性分配比例,MATCH("升星次数",坦克属性分配比例标头,0),FALSE),0)</f>
        <v>#N/A</v>
      </c>
      <c r="BS206" s="2">
        <f>ROUND(VLOOKUP($BJ206,$AI$3:$AO$33,MATCH(BS$3,$AI$3:$AO$3,0),FALSE)+$BL206/VLOOKUP(VLOOKUP($BJ206,坦克个性化设定!$B$18:$E$48,4,FALSE)&amp;$BK206,坦克属性分配比例,MATCH("升星次数",坦克属性分配比例标头,0),FALSE)*VLOOKUP($BJ206,$AR$3:$AY$33,MATCH(BS$3,$AR$3:$AY$3,0),FALSE),1)</f>
        <v>43.8</v>
      </c>
      <c r="BT206" s="2">
        <f>ROUND(VLOOKUP($BJ206,$AI$3:$AO$33,MATCH(BT$3,$AI$3:$AO$3,0),FALSE)+$BL206/VLOOKUP(VLOOKUP($BJ206,坦克个性化设定!$B$18:$E$48,4,FALSE)&amp;$BK206,坦克属性分配比例,MATCH("升星次数",坦克属性分配比例标头,0),FALSE)*VLOOKUP($BJ206,$AR$3:$AY$33,MATCH(BT$3,$AR$3:$AY$3,0),FALSE),1)</f>
        <v>61.5</v>
      </c>
      <c r="BU206" s="2">
        <f>ROUND(VLOOKUP($BJ206,$AI$3:$AO$33,MATCH(BU$3,$AI$3:$AO$3,0),FALSE)+$BL206/VLOOKUP(VLOOKUP($BJ206,坦克个性化设定!$B$18:$E$48,4,FALSE)&amp;$BK206,坦克属性分配比例,MATCH("升星次数",坦克属性分配比例标头,0),FALSE)*VLOOKUP($BJ206,$AR$3:$AY$33,MATCH(BU$3,$AR$3:$AY$3,0),FALSE),1)</f>
        <v>7.2</v>
      </c>
      <c r="BV206" s="2">
        <f>IF(VLOOKUP(BJ206,坦克个性化设定!$B$18:$BC$48,MATCH("装弹类型",坦克个性化设定!$B$18:$BC$18,0),FALSE)="弹夹换弹",0,ROUND(VLOOKUP($BJ206,$AI$3:$AO$33,MATCH("换弹时间",$AI$3:$AO$3,0),FALSE)-$BL206/VLOOKUP(VLOOKUP($BJ206,坦克个性化设定!$B$18:$E$48,4,FALSE)&amp;$BK206,坦克属性分配比例,MATCH("升星次数",坦克属性分配比例标头,0),FALSE)*VLOOKUP($BJ206,$AR$3:$AY$33,MATCH("换弹时间",$AR$3:$AY$3,0),FALSE),2))</f>
        <v>2.0499999999999998</v>
      </c>
      <c r="BW206" s="2">
        <f>IF(VLOOKUP(BJ206,坦克个性化设定!$B$18:$BC$48,MATCH("装弹类型",坦克个性化设定!$B$18:$BC$18,0),FALSE)="弹夹换弹",ROUND(VLOOKUP($BJ206,$AI$3:$AO$33,MATCH("换弹时间",$AI$3:$AO$3,0),FALSE)-$BL206/VLOOKUP(VLOOKUP($BJ206,坦克个性化设定!$B$18:$E$48,4,FALSE)&amp;$BK206,坦克属性分配比例,MATCH("升星次数",坦克属性分配比例标头,0),FALSE)*VLOOKUP($BJ206,$AR$3:$AY$33,MATCH("换弹时间",$AR$3:$AY$3,0),FALSE),1),0)</f>
        <v>0</v>
      </c>
      <c r="BX206" s="2">
        <f>ROUND(VLOOKUP($BJ206,$AI$3:$AO$33,MATCH(BX$3,$AI$3:$AO$3,0),FALSE)+$BL206/VLOOKUP(VLOOKUP($BJ206,坦克个性化设定!$B$18:$E$48,4,FALSE)&amp;$BK206,坦克属性分配比例,MATCH("升星次数",坦克属性分配比例标头,0),FALSE)*VLOOKUP($BJ206,$AR$3:$AY$33,MATCH(BX$3,$AR$3:$AY$3,0),FALSE),2)</f>
        <v>0.4</v>
      </c>
      <c r="BY206" s="2">
        <f>ROUND(VLOOKUP($BJ206,$AI$3:$AO$33,MATCH(BY$3,$AI$3:$AO$3,0),FALSE)-$BL206/VLOOKUP(VLOOKUP($BJ206,坦克个性化设定!$B$18:$E$48,4,FALSE)&amp;$BK206,坦克属性分配比例,MATCH("升星次数",坦克属性分配比例标头,0),FALSE)*VLOOKUP($BJ206,$AR$3:$AY$33,MATCH(BY$3,$AR$3:$AY$3,0),FALSE),2)</f>
        <v>1.18</v>
      </c>
    </row>
    <row r="207" spans="60:77" x14ac:dyDescent="0.3">
      <c r="BH207" s="2" t="str">
        <f t="shared" si="32"/>
        <v>挑战者13</v>
      </c>
      <c r="BI207" s="2">
        <f>IF(BL206&gt;=VLOOKUP(VLOOKUP(BJ206,坦克个性化设定!$B$18:$E$48,4,FALSE)&amp;BK206,坦克属性分配比例,MATCH("升星次数",坦克属性分配比例标头,0),FALSE),BI206+1,BI206)</f>
        <v>20</v>
      </c>
      <c r="BJ207" s="2" t="str">
        <f t="shared" si="33"/>
        <v>挑战者</v>
      </c>
      <c r="BK207" s="29" t="str">
        <f>VLOOKUP(BJ207,坦克个性化细分!$I$3:$J$33,2,FALSE)</f>
        <v>低</v>
      </c>
      <c r="BL207" s="2">
        <f t="shared" si="34"/>
        <v>13</v>
      </c>
      <c r="BM207" s="103" t="e">
        <f ca="1">ROUND(VLOOKUP($BJ207&amp;"初始",$S$3:$AE$63,MATCH(BM$3,$S$3:$AE$3,0),FALSE)+((VLOOKUP($BJ207&amp;"最终",$S$3:$AE$63,MATCH(BM$3,$S$3:$AE$3,0),FALSE)*坦克个性化细分!$C$9-VLOOKUP($BJ207&amp;"初始",$S$3:$AE$63,MATCH(BM$3,$S$3:$AE$3,0),FALSE))-(VLOOKUP($BJ207&amp;"最终",$S$3:$AE$63,MATCH(BM$3,$S$3:$AE$3,0),FALSE)-VLOOKUP($BJ207&amp;"初始",$S$3:$AE$63,MATCH(BM$3,$S$3:$AE$3,0),FALSE))*VLOOKUP(VLOOKUP($BJ207,坦克个性化设定!$B$18:$E$48,4,FALSE)&amp;$BK207,坦克属性分配比例,MATCH("部件比例",坦克属性分配比例标头,0),FALSE))*$BL207/VLOOKUP(VLOOKUP($BJ207,坦克个性化设定!$B$18:$E$48,4,FALSE)&amp;$BK207,坦克属性分配比例,MATCH("升星次数",坦克属性分配比例标头,0),FALSE),0)</f>
        <v>#N/A</v>
      </c>
      <c r="BN207" s="103" t="e">
        <f ca="1">ROUND(VLOOKUP($BJ207&amp;"初始",$S$3:$AE$63,MATCH(BN$3,$S$3:$AE$3,0),FALSE)+(VLOOKUP($BJ207&amp;"最终",$S$3:$AE$63,MATCH(BN$3,$S$3:$AE$3,0),FALSE)-VLOOKUP($BJ207&amp;"初始",$S$3:$AE$63,MATCH(BN$3,$S$3:$AE$3,0),FALSE))*$BL207/VLOOKUP(VLOOKUP($BJ207,坦克个性化设定!$B$18:$E$48,4,FALSE)&amp;$BK207,坦克属性分配比例,MATCH("升星次数",坦克属性分配比例标头,0),FALSE)*VLOOKUP(VLOOKUP($BJ207,坦克个性化设定!$B$18:$E$48,4,FALSE)&amp;$BK207,坦克属性分配比例,MATCH("升星比例",坦克属性分配比例标头,0),FALSE),0)</f>
        <v>#N/A</v>
      </c>
      <c r="BO207" s="103" t="e">
        <f ca="1">ROUND(VLOOKUP($BJ207&amp;"初始",$S$3:$AE$63,MATCH(BO$3,$S$3:$AE$3,0),FALSE)+(VLOOKUP($BJ207&amp;"最终",$S$3:$AE$63,MATCH(BO$3,$S$3:$AE$3,0),FALSE)-VLOOKUP($BJ207&amp;"初始",$S$3:$AE$63,MATCH(BO$3,$S$3:$AE$3,0),FALSE))*$BL207/VLOOKUP(VLOOKUP($BJ207,坦克个性化设定!$B$18:$E$48,4,FALSE)&amp;$BK207,坦克属性分配比例,MATCH("升星次数",坦克属性分配比例标头,0),FALSE)*(VLOOKUP(VLOOKUP($BJ207,坦克个性化设定!$B$18:$E$48,4,FALSE)&amp;$BK207,坦克属性分配比例,MATCH("升星比例",坦克属性分配比例标头,0),FALSE)+VLOOKUP(VLOOKUP($BJ207,坦克个性化设定!$B$18:$E$48,4,FALSE)&amp;$BK207,坦克属性分配比例,MATCH("部件比例",坦克属性分配比例标头,0),FALSE)*$C$3),0)</f>
        <v>#N/A</v>
      </c>
      <c r="BP207" s="103" t="e">
        <f ca="1">ROUND(VLOOKUP($BJ207&amp;"初始",$S$3:$AE$63,MATCH(BP$3,$S$3:$AE$3,0),FALSE)+(VLOOKUP($BJ207&amp;"最终",$S$3:$AE$63,MATCH(BP$3,$S$3:$AE$3,0),FALSE)-VLOOKUP($BJ207&amp;"初始",$S$3:$AE$63,MATCH(BP$3,$S$3:$AE$3,0),FALSE))*$BL207/VLOOKUP(VLOOKUP($BJ207,坦克个性化设定!$B$18:$E$48,4,FALSE)&amp;$BK207,坦克属性分配比例,MATCH("升星次数",坦克属性分配比例标头,0),FALSE)*(VLOOKUP(VLOOKUP($BJ207,坦克个性化设定!$B$18:$E$48,4,FALSE)&amp;$BK207,坦克属性分配比例,MATCH("升星比例",坦克属性分配比例标头,0),FALSE)+VLOOKUP(VLOOKUP($BJ207,坦克个性化设定!$B$18:$E$48,4,FALSE)&amp;$BK207,坦克属性分配比例,MATCH("部件比例",坦克属性分配比例标头,0),FALSE)*$C$3),0)</f>
        <v>#N/A</v>
      </c>
      <c r="BQ207" s="103" t="e">
        <f ca="1">ROUND(VLOOKUP($BJ207&amp;"初始",$S$3:$AE$63,MATCH(BQ$3,$S$3:$AE$3,0),FALSE)+(VLOOKUP($BJ207&amp;"最终",$S$3:$AE$63,MATCH(BQ$3,$S$3:$AE$3,0),FALSE)-VLOOKUP($BJ207&amp;"初始",$S$3:$AE$63,MATCH(BQ$3,$S$3:$AE$3,0),FALSE))*$BL207/VLOOKUP(VLOOKUP($BJ207,坦克个性化设定!$B$18:$E$48,4,FALSE)&amp;$BK207,坦克属性分配比例,MATCH("升星次数",坦克属性分配比例标头,0),FALSE)*VLOOKUP(VLOOKUP($BJ207,坦克个性化设定!$B$18:$E$48,4,FALSE)&amp;$BK207,坦克属性分配比例,MATCH("升星比例",坦克属性分配比例标头,0),FALSE),0)</f>
        <v>#N/A</v>
      </c>
      <c r="BR207" s="2" t="e">
        <f ca="1">ROUND(VLOOKUP($BJ207&amp;"初始",$S$3:$AE$63,MATCH(BR$3,$S$3:$AE$3,0),FALSE)+(VLOOKUP($BJ207&amp;"最终",$S$3:$AE$63,MATCH(BR$3,$S$3:$AE$3,0),FALSE)-VLOOKUP($BJ207&amp;"初始",$S$3:$AE$63,MATCH(BR$3,$S$3:$AE$3,0),FALSE))*$BL207/VLOOKUP(VLOOKUP($BJ207,坦克个性化设定!$B$18:$E$48,4,FALSE)&amp;$BK207,坦克属性分配比例,MATCH("升星次数",坦克属性分配比例标头,0),FALSE),0)</f>
        <v>#N/A</v>
      </c>
      <c r="BS207" s="2">
        <f>ROUND(VLOOKUP($BJ207,$AI$3:$AO$33,MATCH(BS$3,$AI$3:$AO$3,0),FALSE)+$BL207/VLOOKUP(VLOOKUP($BJ207,坦克个性化设定!$B$18:$E$48,4,FALSE)&amp;$BK207,坦克属性分配比例,MATCH("升星次数",坦克属性分配比例标头,0),FALSE)*VLOOKUP($BJ207,$AR$3:$AY$33,MATCH(BS$3,$AR$3:$AY$3,0),FALSE),1)</f>
        <v>44.5</v>
      </c>
      <c r="BT207" s="2">
        <f>ROUND(VLOOKUP($BJ207,$AI$3:$AO$33,MATCH(BT$3,$AI$3:$AO$3,0),FALSE)+$BL207/VLOOKUP(VLOOKUP($BJ207,坦克个性化设定!$B$18:$E$48,4,FALSE)&amp;$BK207,坦克属性分配比例,MATCH("升星次数",坦克属性分配比例标头,0),FALSE)*VLOOKUP($BJ207,$AR$3:$AY$33,MATCH(BT$3,$AR$3:$AY$3,0),FALSE),1)</f>
        <v>62.5</v>
      </c>
      <c r="BU207" s="2">
        <f>ROUND(VLOOKUP($BJ207,$AI$3:$AO$33,MATCH(BU$3,$AI$3:$AO$3,0),FALSE)+$BL207/VLOOKUP(VLOOKUP($BJ207,坦克个性化设定!$B$18:$E$48,4,FALSE)&amp;$BK207,坦克属性分配比例,MATCH("升星次数",坦克属性分配比例标头,0),FALSE)*VLOOKUP($BJ207,$AR$3:$AY$33,MATCH(BU$3,$AR$3:$AY$3,0),FALSE),1)</f>
        <v>7.2</v>
      </c>
      <c r="BV207" s="2">
        <f>IF(VLOOKUP(BJ207,坦克个性化设定!$B$18:$BC$48,MATCH("装弹类型",坦克个性化设定!$B$18:$BC$18,0),FALSE)="弹夹换弹",0,ROUND(VLOOKUP($BJ207,$AI$3:$AO$33,MATCH("换弹时间",$AI$3:$AO$3,0),FALSE)-$BL207/VLOOKUP(VLOOKUP($BJ207,坦克个性化设定!$B$18:$E$48,4,FALSE)&amp;$BK207,坦克属性分配比例,MATCH("升星次数",坦克属性分配比例标头,0),FALSE)*VLOOKUP($BJ207,$AR$3:$AY$33,MATCH("换弹时间",$AR$3:$AY$3,0),FALSE),2))</f>
        <v>2.02</v>
      </c>
      <c r="BW207" s="2">
        <f>IF(VLOOKUP(BJ207,坦克个性化设定!$B$18:$BC$48,MATCH("装弹类型",坦克个性化设定!$B$18:$BC$18,0),FALSE)="弹夹换弹",ROUND(VLOOKUP($BJ207,$AI$3:$AO$33,MATCH("换弹时间",$AI$3:$AO$3,0),FALSE)-$BL207/VLOOKUP(VLOOKUP($BJ207,坦克个性化设定!$B$18:$E$48,4,FALSE)&amp;$BK207,坦克属性分配比例,MATCH("升星次数",坦克属性分配比例标头,0),FALSE)*VLOOKUP($BJ207,$AR$3:$AY$33,MATCH("换弹时间",$AR$3:$AY$3,0),FALSE),1),0)</f>
        <v>0</v>
      </c>
      <c r="BX207" s="2">
        <f>ROUND(VLOOKUP($BJ207,$AI$3:$AO$33,MATCH(BX$3,$AI$3:$AO$3,0),FALSE)+$BL207/VLOOKUP(VLOOKUP($BJ207,坦克个性化设定!$B$18:$E$48,4,FALSE)&amp;$BK207,坦克属性分配比例,MATCH("升星次数",坦克属性分配比例标头,0),FALSE)*VLOOKUP($BJ207,$AR$3:$AY$33,MATCH(BX$3,$AR$3:$AY$3,0),FALSE),2)</f>
        <v>0.4</v>
      </c>
      <c r="BY207" s="2">
        <f>ROUND(VLOOKUP($BJ207,$AI$3:$AO$33,MATCH(BY$3,$AI$3:$AO$3,0),FALSE)-$BL207/VLOOKUP(VLOOKUP($BJ207,坦克个性化设定!$B$18:$E$48,4,FALSE)&amp;$BK207,坦克属性分配比例,MATCH("升星次数",坦克属性分配比例标头,0),FALSE)*VLOOKUP($BJ207,$AR$3:$AY$33,MATCH(BY$3,$AR$3:$AY$3,0),FALSE),2)</f>
        <v>1.17</v>
      </c>
    </row>
    <row r="208" spans="60:77" x14ac:dyDescent="0.3">
      <c r="BH208" s="2" t="str">
        <f t="shared" si="32"/>
        <v>B-10</v>
      </c>
      <c r="BI208" s="2">
        <f>IF(BL207&gt;=VLOOKUP(VLOOKUP(BJ207,坦克个性化设定!$B$18:$E$48,4,FALSE)&amp;BK207,坦克属性分配比例,MATCH("升星次数",坦克属性分配比例标头,0),FALSE),BI207+1,BI207)</f>
        <v>21</v>
      </c>
      <c r="BJ208" s="2" t="str">
        <f t="shared" si="33"/>
        <v>B-1</v>
      </c>
      <c r="BK208" s="29" t="str">
        <f>VLOOKUP(BJ208,坦克个性化细分!$I$3:$J$33,2,FALSE)</f>
        <v>低</v>
      </c>
      <c r="BL208" s="2">
        <f t="shared" si="34"/>
        <v>0</v>
      </c>
      <c r="BM208" s="103">
        <f ca="1">ROUND(VLOOKUP($BJ208&amp;"初始",$S$3:$AE$63,MATCH(BM$3,$S$3:$AE$3,0),FALSE)+((VLOOKUP($BJ208&amp;"最终",$S$3:$AE$63,MATCH(BM$3,$S$3:$AE$3,0),FALSE)*坦克个性化细分!$C$9-VLOOKUP($BJ208&amp;"初始",$S$3:$AE$63,MATCH(BM$3,$S$3:$AE$3,0),FALSE))-(VLOOKUP($BJ208&amp;"最终",$S$3:$AE$63,MATCH(BM$3,$S$3:$AE$3,0),FALSE)-VLOOKUP($BJ208&amp;"初始",$S$3:$AE$63,MATCH(BM$3,$S$3:$AE$3,0),FALSE))*VLOOKUP(VLOOKUP($BJ208,坦克个性化设定!$B$18:$E$48,4,FALSE)&amp;$BK208,坦克属性分配比例,MATCH("部件比例",坦克属性分配比例标头,0),FALSE))*$BL208/VLOOKUP(VLOOKUP($BJ208,坦克个性化设定!$B$18:$E$48,4,FALSE)&amp;$BK208,坦克属性分配比例,MATCH("升星次数",坦克属性分配比例标头,0),FALSE),0)</f>
        <v>675</v>
      </c>
      <c r="BN208" s="103">
        <f ca="1">ROUND(VLOOKUP($BJ208&amp;"初始",$S$3:$AE$63,MATCH(BN$3,$S$3:$AE$3,0),FALSE)+(VLOOKUP($BJ208&amp;"最终",$S$3:$AE$63,MATCH(BN$3,$S$3:$AE$3,0),FALSE)-VLOOKUP($BJ208&amp;"初始",$S$3:$AE$63,MATCH(BN$3,$S$3:$AE$3,0),FALSE))*$BL208/VLOOKUP(VLOOKUP($BJ208,坦克个性化设定!$B$18:$E$48,4,FALSE)&amp;$BK208,坦克属性分配比例,MATCH("升星次数",坦克属性分配比例标头,0),FALSE)*VLOOKUP(VLOOKUP($BJ208,坦克个性化设定!$B$18:$E$48,4,FALSE)&amp;$BK208,坦克属性分配比例,MATCH("升星比例",坦克属性分配比例标头,0),FALSE),0)</f>
        <v>416</v>
      </c>
      <c r="BO208" s="103">
        <f ca="1">ROUND(VLOOKUP($BJ208&amp;"初始",$S$3:$AE$63,MATCH(BO$3,$S$3:$AE$3,0),FALSE)+(VLOOKUP($BJ208&amp;"最终",$S$3:$AE$63,MATCH(BO$3,$S$3:$AE$3,0),FALSE)-VLOOKUP($BJ208&amp;"初始",$S$3:$AE$63,MATCH(BO$3,$S$3:$AE$3,0),FALSE))*$BL208/VLOOKUP(VLOOKUP($BJ208,坦克个性化设定!$B$18:$E$48,4,FALSE)&amp;$BK208,坦克属性分配比例,MATCH("升星次数",坦克属性分配比例标头,0),FALSE)*(VLOOKUP(VLOOKUP($BJ208,坦克个性化设定!$B$18:$E$48,4,FALSE)&amp;$BK208,坦克属性分配比例,MATCH("升星比例",坦克属性分配比例标头,0),FALSE)+VLOOKUP(VLOOKUP($BJ208,坦克个性化设定!$B$18:$E$48,4,FALSE)&amp;$BK208,坦克属性分配比例,MATCH("部件比例",坦克属性分配比例标头,0),FALSE)*$C$3),0)</f>
        <v>114</v>
      </c>
      <c r="BP208" s="103">
        <f ca="1">ROUND(VLOOKUP($BJ208&amp;"初始",$S$3:$AE$63,MATCH(BP$3,$S$3:$AE$3,0),FALSE)+(VLOOKUP($BJ208&amp;"最终",$S$3:$AE$63,MATCH(BP$3,$S$3:$AE$3,0),FALSE)-VLOOKUP($BJ208&amp;"初始",$S$3:$AE$63,MATCH(BP$3,$S$3:$AE$3,0),FALSE))*$BL208/VLOOKUP(VLOOKUP($BJ208,坦克个性化设定!$B$18:$E$48,4,FALSE)&amp;$BK208,坦克属性分配比例,MATCH("升星次数",坦克属性分配比例标头,0),FALSE)*(VLOOKUP(VLOOKUP($BJ208,坦克个性化设定!$B$18:$E$48,4,FALSE)&amp;$BK208,坦克属性分配比例,MATCH("升星比例",坦克属性分配比例标头,0),FALSE)+VLOOKUP(VLOOKUP($BJ208,坦克个性化设定!$B$18:$E$48,4,FALSE)&amp;$BK208,坦克属性分配比例,MATCH("部件比例",坦克属性分配比例标头,0),FALSE)*$C$3),0)</f>
        <v>286</v>
      </c>
      <c r="BQ208" s="103">
        <f ca="1">ROUND(VLOOKUP($BJ208&amp;"初始",$S$3:$AE$63,MATCH(BQ$3,$S$3:$AE$3,0),FALSE)+(VLOOKUP($BJ208&amp;"最终",$S$3:$AE$63,MATCH(BQ$3,$S$3:$AE$3,0),FALSE)-VLOOKUP($BJ208&amp;"初始",$S$3:$AE$63,MATCH(BQ$3,$S$3:$AE$3,0),FALSE))*$BL208/VLOOKUP(VLOOKUP($BJ208,坦克个性化设定!$B$18:$E$48,4,FALSE)&amp;$BK208,坦克属性分配比例,MATCH("升星次数",坦克属性分配比例标头,0),FALSE)*VLOOKUP(VLOOKUP($BJ208,坦克个性化设定!$B$18:$E$48,4,FALSE)&amp;$BK208,坦克属性分配比例,MATCH("升星比例",坦克属性分配比例标头,0),FALSE),0)</f>
        <v>420</v>
      </c>
      <c r="BR208" s="2">
        <f ca="1">ROUND(VLOOKUP($BJ208&amp;"初始",$S$3:$AE$63,MATCH(BR$3,$S$3:$AE$3,0),FALSE)+(VLOOKUP($BJ208&amp;"最终",$S$3:$AE$63,MATCH(BR$3,$S$3:$AE$3,0),FALSE)-VLOOKUP($BJ208&amp;"初始",$S$3:$AE$63,MATCH(BR$3,$S$3:$AE$3,0),FALSE))*$BL208/VLOOKUP(VLOOKUP($BJ208,坦克个性化设定!$B$18:$E$48,4,FALSE)&amp;$BK208,坦克属性分配比例,MATCH("升星次数",坦克属性分配比例标头,0),FALSE),0)</f>
        <v>91</v>
      </c>
      <c r="BS208" s="2">
        <f>ROUND(VLOOKUP($BJ208,$AI$3:$AO$33,MATCH(BS$3,$AI$3:$AO$3,0),FALSE)+$BL208/VLOOKUP(VLOOKUP($BJ208,坦克个性化设定!$B$18:$E$48,4,FALSE)&amp;$BK208,坦克属性分配比例,MATCH("升星次数",坦克属性分配比例标头,0),FALSE)*VLOOKUP($BJ208,$AR$3:$AY$33,MATCH(BS$3,$AR$3:$AY$3,0),FALSE),1)</f>
        <v>38.299999999999997</v>
      </c>
      <c r="BT208" s="2">
        <f>ROUND(VLOOKUP($BJ208,$AI$3:$AO$33,MATCH(BT$3,$AI$3:$AO$3,0),FALSE)+$BL208/VLOOKUP(VLOOKUP($BJ208,坦克个性化设定!$B$18:$E$48,4,FALSE)&amp;$BK208,坦克属性分配比例,MATCH("升星次数",坦克属性分配比例标头,0),FALSE)*VLOOKUP($BJ208,$AR$3:$AY$33,MATCH(BT$3,$AR$3:$AY$3,0),FALSE),1)</f>
        <v>28</v>
      </c>
      <c r="BU208" s="2">
        <f>ROUND(VLOOKUP($BJ208,$AI$3:$AO$33,MATCH(BU$3,$AI$3:$AO$3,0),FALSE)+$BL208/VLOOKUP(VLOOKUP($BJ208,坦克个性化设定!$B$18:$E$48,4,FALSE)&amp;$BK208,坦克属性分配比例,MATCH("升星次数",坦克属性分配比例标头,0),FALSE)*VLOOKUP($BJ208,$AR$3:$AY$33,MATCH(BU$3,$AR$3:$AY$3,0),FALSE),1)</f>
        <v>7</v>
      </c>
      <c r="BV208" s="2">
        <f>IF(VLOOKUP(BJ208,坦克个性化设定!$B$18:$BC$48,MATCH("装弹类型",坦克个性化设定!$B$18:$BC$18,0),FALSE)="弹夹换弹",0,ROUND(VLOOKUP($BJ208,$AI$3:$AO$33,MATCH("换弹时间",$AI$3:$AO$3,0),FALSE)-$BL208/VLOOKUP(VLOOKUP($BJ208,坦克个性化设定!$B$18:$E$48,4,FALSE)&amp;$BK208,坦克属性分配比例,MATCH("升星次数",坦克属性分配比例标头,0),FALSE)*VLOOKUP($BJ208,$AR$3:$AY$33,MATCH("换弹时间",$AR$3:$AY$3,0),FALSE),2))</f>
        <v>5.4</v>
      </c>
      <c r="BW208" s="2">
        <f>IF(VLOOKUP(BJ208,坦克个性化设定!$B$18:$BC$48,MATCH("装弹类型",坦克个性化设定!$B$18:$BC$18,0),FALSE)="弹夹换弹",ROUND(VLOOKUP($BJ208,$AI$3:$AO$33,MATCH("换弹时间",$AI$3:$AO$3,0),FALSE)-$BL208/VLOOKUP(VLOOKUP($BJ208,坦克个性化设定!$B$18:$E$48,4,FALSE)&amp;$BK208,坦克属性分配比例,MATCH("升星次数",坦克属性分配比例标头,0),FALSE)*VLOOKUP($BJ208,$AR$3:$AY$33,MATCH("换弹时间",$AR$3:$AY$3,0),FALSE),1),0)</f>
        <v>0</v>
      </c>
      <c r="BX208" s="2">
        <f>ROUND(VLOOKUP($BJ208,$AI$3:$AO$33,MATCH(BX$3,$AI$3:$AO$3,0),FALSE)+$BL208/VLOOKUP(VLOOKUP($BJ208,坦克个性化设定!$B$18:$E$48,4,FALSE)&amp;$BK208,坦克属性分配比例,MATCH("升星次数",坦克属性分配比例标头,0),FALSE)*VLOOKUP($BJ208,$AR$3:$AY$33,MATCH(BX$3,$AR$3:$AY$3,0),FALSE),2)</f>
        <v>2.8</v>
      </c>
      <c r="BY208" s="2">
        <f>ROUND(VLOOKUP($BJ208,$AI$3:$AO$33,MATCH(BY$3,$AI$3:$AO$3,0),FALSE)-$BL208/VLOOKUP(VLOOKUP($BJ208,坦克个性化设定!$B$18:$E$48,4,FALSE)&amp;$BK208,坦克属性分配比例,MATCH("升星次数",坦克属性分配比例标头,0),FALSE)*VLOOKUP($BJ208,$AR$3:$AY$33,MATCH(BY$3,$AR$3:$AY$3,0),FALSE),2)</f>
        <v>2.5</v>
      </c>
    </row>
    <row r="209" spans="60:77" x14ac:dyDescent="0.3">
      <c r="BH209" s="2" t="str">
        <f t="shared" si="32"/>
        <v>B-11</v>
      </c>
      <c r="BI209" s="2">
        <f>IF(BL208&gt;=VLOOKUP(VLOOKUP(BJ208,坦克个性化设定!$B$18:$E$48,4,FALSE)&amp;BK208,坦克属性分配比例,MATCH("升星次数",坦克属性分配比例标头,0),FALSE),BI208+1,BI208)</f>
        <v>21</v>
      </c>
      <c r="BJ209" s="2" t="str">
        <f t="shared" si="33"/>
        <v>B-1</v>
      </c>
      <c r="BK209" s="29" t="str">
        <f>VLOOKUP(BJ209,坦克个性化细分!$I$3:$J$33,2,FALSE)</f>
        <v>低</v>
      </c>
      <c r="BL209" s="2">
        <f t="shared" si="34"/>
        <v>1</v>
      </c>
      <c r="BM209" s="103">
        <f ca="1">ROUND(VLOOKUP($BJ209&amp;"初始",$S$3:$AE$63,MATCH(BM$3,$S$3:$AE$3,0),FALSE)+((VLOOKUP($BJ209&amp;"最终",$S$3:$AE$63,MATCH(BM$3,$S$3:$AE$3,0),FALSE)*坦克个性化细分!$C$9-VLOOKUP($BJ209&amp;"初始",$S$3:$AE$63,MATCH(BM$3,$S$3:$AE$3,0),FALSE))-(VLOOKUP($BJ209&amp;"最终",$S$3:$AE$63,MATCH(BM$3,$S$3:$AE$3,0),FALSE)-VLOOKUP($BJ209&amp;"初始",$S$3:$AE$63,MATCH(BM$3,$S$3:$AE$3,0),FALSE))*VLOOKUP(VLOOKUP($BJ209,坦克个性化设定!$B$18:$E$48,4,FALSE)&amp;$BK209,坦克属性分配比例,MATCH("部件比例",坦克属性分配比例标头,0),FALSE))*$BL209/VLOOKUP(VLOOKUP($BJ209,坦克个性化设定!$B$18:$E$48,4,FALSE)&amp;$BK209,坦克属性分配比例,MATCH("升星次数",坦克属性分配比例标头,0),FALSE),0)</f>
        <v>780</v>
      </c>
      <c r="BN209" s="103">
        <f ca="1">ROUND(VLOOKUP($BJ209&amp;"初始",$S$3:$AE$63,MATCH(BN$3,$S$3:$AE$3,0),FALSE)+(VLOOKUP($BJ209&amp;"最终",$S$3:$AE$63,MATCH(BN$3,$S$3:$AE$3,0),FALSE)-VLOOKUP($BJ209&amp;"初始",$S$3:$AE$63,MATCH(BN$3,$S$3:$AE$3,0),FALSE))*$BL209/VLOOKUP(VLOOKUP($BJ209,坦克个性化设定!$B$18:$E$48,4,FALSE)&amp;$BK209,坦克属性分配比例,MATCH("升星次数",坦克属性分配比例标头,0),FALSE)*VLOOKUP(VLOOKUP($BJ209,坦克个性化设定!$B$18:$E$48,4,FALSE)&amp;$BK209,坦克属性分配比例,MATCH("升星比例",坦克属性分配比例标头,0),FALSE),0)</f>
        <v>433</v>
      </c>
      <c r="BO209" s="103">
        <f ca="1">ROUND(VLOOKUP($BJ209&amp;"初始",$S$3:$AE$63,MATCH(BO$3,$S$3:$AE$3,0),FALSE)+(VLOOKUP($BJ209&amp;"最终",$S$3:$AE$63,MATCH(BO$3,$S$3:$AE$3,0),FALSE)-VLOOKUP($BJ209&amp;"初始",$S$3:$AE$63,MATCH(BO$3,$S$3:$AE$3,0),FALSE))*$BL209/VLOOKUP(VLOOKUP($BJ209,坦克个性化设定!$B$18:$E$48,4,FALSE)&amp;$BK209,坦克属性分配比例,MATCH("升星次数",坦克属性分配比例标头,0),FALSE)*(VLOOKUP(VLOOKUP($BJ209,坦克个性化设定!$B$18:$E$48,4,FALSE)&amp;$BK209,坦克属性分配比例,MATCH("升星比例",坦克属性分配比例标头,0),FALSE)+VLOOKUP(VLOOKUP($BJ209,坦克个性化设定!$B$18:$E$48,4,FALSE)&amp;$BK209,坦克属性分配比例,MATCH("部件比例",坦克属性分配比例标头,0),FALSE)*$C$3),0)</f>
        <v>120</v>
      </c>
      <c r="BP209" s="103">
        <f ca="1">ROUND(VLOOKUP($BJ209&amp;"初始",$S$3:$AE$63,MATCH(BP$3,$S$3:$AE$3,0),FALSE)+(VLOOKUP($BJ209&amp;"最终",$S$3:$AE$63,MATCH(BP$3,$S$3:$AE$3,0),FALSE)-VLOOKUP($BJ209&amp;"初始",$S$3:$AE$63,MATCH(BP$3,$S$3:$AE$3,0),FALSE))*$BL209/VLOOKUP(VLOOKUP($BJ209,坦克个性化设定!$B$18:$E$48,4,FALSE)&amp;$BK209,坦克属性分配比例,MATCH("升星次数",坦克属性分配比例标头,0),FALSE)*(VLOOKUP(VLOOKUP($BJ209,坦克个性化设定!$B$18:$E$48,4,FALSE)&amp;$BK209,坦克属性分配比例,MATCH("升星比例",坦克属性分配比例标头,0),FALSE)+VLOOKUP(VLOOKUP($BJ209,坦克个性化设定!$B$18:$E$48,4,FALSE)&amp;$BK209,坦克属性分配比例,MATCH("部件比例",坦克属性分配比例标头,0),FALSE)*$C$3),0)</f>
        <v>301</v>
      </c>
      <c r="BQ209" s="103">
        <f ca="1">ROUND(VLOOKUP($BJ209&amp;"初始",$S$3:$AE$63,MATCH(BQ$3,$S$3:$AE$3,0),FALSE)+(VLOOKUP($BJ209&amp;"最终",$S$3:$AE$63,MATCH(BQ$3,$S$3:$AE$3,0),FALSE)-VLOOKUP($BJ209&amp;"初始",$S$3:$AE$63,MATCH(BQ$3,$S$3:$AE$3,0),FALSE))*$BL209/VLOOKUP(VLOOKUP($BJ209,坦克个性化设定!$B$18:$E$48,4,FALSE)&amp;$BK209,坦克属性分配比例,MATCH("升星次数",坦克属性分配比例标头,0),FALSE)*VLOOKUP(VLOOKUP($BJ209,坦克个性化设定!$B$18:$E$48,4,FALSE)&amp;$BK209,坦克属性分配比例,MATCH("升星比例",坦克属性分配比例标头,0),FALSE),0)</f>
        <v>438</v>
      </c>
      <c r="BR209" s="2">
        <f ca="1">ROUND(VLOOKUP($BJ209&amp;"初始",$S$3:$AE$63,MATCH(BR$3,$S$3:$AE$3,0),FALSE)+(VLOOKUP($BJ209&amp;"最终",$S$3:$AE$63,MATCH(BR$3,$S$3:$AE$3,0),FALSE)-VLOOKUP($BJ209&amp;"初始",$S$3:$AE$63,MATCH(BR$3,$S$3:$AE$3,0),FALSE))*$BL209/VLOOKUP(VLOOKUP($BJ209,坦克个性化设定!$B$18:$E$48,4,FALSE)&amp;$BK209,坦克属性分配比例,MATCH("升星次数",坦克属性分配比例标头,0),FALSE),0)</f>
        <v>96</v>
      </c>
      <c r="BS209" s="2">
        <f>ROUND(VLOOKUP($BJ209,$AI$3:$AO$33,MATCH(BS$3,$AI$3:$AO$3,0),FALSE)+$BL209/VLOOKUP(VLOOKUP($BJ209,坦克个性化设定!$B$18:$E$48,4,FALSE)&amp;$BK209,坦克属性分配比例,MATCH("升星次数",坦克属性分配比例标头,0),FALSE)*VLOOKUP($BJ209,$AR$3:$AY$33,MATCH(BS$3,$AR$3:$AY$3,0),FALSE),1)</f>
        <v>40.200000000000003</v>
      </c>
      <c r="BT209" s="2">
        <f>ROUND(VLOOKUP($BJ209,$AI$3:$AO$33,MATCH(BT$3,$AI$3:$AO$3,0),FALSE)+$BL209/VLOOKUP(VLOOKUP($BJ209,坦克个性化设定!$B$18:$E$48,4,FALSE)&amp;$BK209,坦克属性分配比例,MATCH("升星次数",坦克属性分配比例标头,0),FALSE)*VLOOKUP($BJ209,$AR$3:$AY$33,MATCH(BT$3,$AR$3:$AY$3,0),FALSE),1)</f>
        <v>29.4</v>
      </c>
      <c r="BU209" s="2">
        <f>ROUND(VLOOKUP($BJ209,$AI$3:$AO$33,MATCH(BU$3,$AI$3:$AO$3,0),FALSE)+$BL209/VLOOKUP(VLOOKUP($BJ209,坦克个性化设定!$B$18:$E$48,4,FALSE)&amp;$BK209,坦克属性分配比例,MATCH("升星次数",坦克属性分配比例标头,0),FALSE)*VLOOKUP($BJ209,$AR$3:$AY$33,MATCH(BU$3,$AR$3:$AY$3,0),FALSE),1)</f>
        <v>7</v>
      </c>
      <c r="BV209" s="2">
        <f>IF(VLOOKUP(BJ209,坦克个性化设定!$B$18:$BC$48,MATCH("装弹类型",坦克个性化设定!$B$18:$BC$18,0),FALSE)="弹夹换弹",0,ROUND(VLOOKUP($BJ209,$AI$3:$AO$33,MATCH("换弹时间",$AI$3:$AO$3,0),FALSE)-$BL209/VLOOKUP(VLOOKUP($BJ209,坦克个性化设定!$B$18:$E$48,4,FALSE)&amp;$BK209,坦克属性分配比例,MATCH("升星次数",坦克属性分配比例标头,0),FALSE)*VLOOKUP($BJ209,$AR$3:$AY$33,MATCH("换弹时间",$AR$3:$AY$3,0),FALSE),2))</f>
        <v>5.25</v>
      </c>
      <c r="BW209" s="2">
        <f>IF(VLOOKUP(BJ209,坦克个性化设定!$B$18:$BC$48,MATCH("装弹类型",坦克个性化设定!$B$18:$BC$18,0),FALSE)="弹夹换弹",ROUND(VLOOKUP($BJ209,$AI$3:$AO$33,MATCH("换弹时间",$AI$3:$AO$3,0),FALSE)-$BL209/VLOOKUP(VLOOKUP($BJ209,坦克个性化设定!$B$18:$E$48,4,FALSE)&amp;$BK209,坦克属性分配比例,MATCH("升星次数",坦克属性分配比例标头,0),FALSE)*VLOOKUP($BJ209,$AR$3:$AY$33,MATCH("换弹时间",$AR$3:$AY$3,0),FALSE),1),0)</f>
        <v>0</v>
      </c>
      <c r="BX209" s="2">
        <f>ROUND(VLOOKUP($BJ209,$AI$3:$AO$33,MATCH(BX$3,$AI$3:$AO$3,0),FALSE)+$BL209/VLOOKUP(VLOOKUP($BJ209,坦克个性化设定!$B$18:$E$48,4,FALSE)&amp;$BK209,坦克属性分配比例,MATCH("升星次数",坦克属性分配比例标头,0),FALSE)*VLOOKUP($BJ209,$AR$3:$AY$33,MATCH(BX$3,$AR$3:$AY$3,0),FALSE),2)</f>
        <v>2.8</v>
      </c>
      <c r="BY209" s="2">
        <f>ROUND(VLOOKUP($BJ209,$AI$3:$AO$33,MATCH(BY$3,$AI$3:$AO$3,0),FALSE)-$BL209/VLOOKUP(VLOOKUP($BJ209,坦克个性化设定!$B$18:$E$48,4,FALSE)&amp;$BK209,坦克属性分配比例,MATCH("升星次数",坦克属性分配比例标头,0),FALSE)*VLOOKUP($BJ209,$AR$3:$AY$33,MATCH(BY$3,$AR$3:$AY$3,0),FALSE),2)</f>
        <v>2.42</v>
      </c>
    </row>
    <row r="210" spans="60:77" x14ac:dyDescent="0.3">
      <c r="BH210" s="2" t="str">
        <f t="shared" si="32"/>
        <v>B-12</v>
      </c>
      <c r="BI210" s="2">
        <f>IF(BL209&gt;=VLOOKUP(VLOOKUP(BJ209,坦克个性化设定!$B$18:$E$48,4,FALSE)&amp;BK209,坦克属性分配比例,MATCH("升星次数",坦克属性分配比例标头,0),FALSE),BI209+1,BI209)</f>
        <v>21</v>
      </c>
      <c r="BJ210" s="2" t="str">
        <f t="shared" si="33"/>
        <v>B-1</v>
      </c>
      <c r="BK210" s="29" t="str">
        <f>VLOOKUP(BJ210,坦克个性化细分!$I$3:$J$33,2,FALSE)</f>
        <v>低</v>
      </c>
      <c r="BL210" s="2">
        <f t="shared" si="34"/>
        <v>2</v>
      </c>
      <c r="BM210" s="103">
        <f ca="1">ROUND(VLOOKUP($BJ210&amp;"初始",$S$3:$AE$63,MATCH(BM$3,$S$3:$AE$3,0),FALSE)+((VLOOKUP($BJ210&amp;"最终",$S$3:$AE$63,MATCH(BM$3,$S$3:$AE$3,0),FALSE)*坦克个性化细分!$C$9-VLOOKUP($BJ210&amp;"初始",$S$3:$AE$63,MATCH(BM$3,$S$3:$AE$3,0),FALSE))-(VLOOKUP($BJ210&amp;"最终",$S$3:$AE$63,MATCH(BM$3,$S$3:$AE$3,0),FALSE)-VLOOKUP($BJ210&amp;"初始",$S$3:$AE$63,MATCH(BM$3,$S$3:$AE$3,0),FALSE))*VLOOKUP(VLOOKUP($BJ210,坦克个性化设定!$B$18:$E$48,4,FALSE)&amp;$BK210,坦克属性分配比例,MATCH("部件比例",坦克属性分配比例标头,0),FALSE))*$BL210/VLOOKUP(VLOOKUP($BJ210,坦克个性化设定!$B$18:$E$48,4,FALSE)&amp;$BK210,坦克属性分配比例,MATCH("升星次数",坦克属性分配比例标头,0),FALSE),0)</f>
        <v>884</v>
      </c>
      <c r="BN210" s="103">
        <f ca="1">ROUND(VLOOKUP($BJ210&amp;"初始",$S$3:$AE$63,MATCH(BN$3,$S$3:$AE$3,0),FALSE)+(VLOOKUP($BJ210&amp;"最终",$S$3:$AE$63,MATCH(BN$3,$S$3:$AE$3,0),FALSE)-VLOOKUP($BJ210&amp;"初始",$S$3:$AE$63,MATCH(BN$3,$S$3:$AE$3,0),FALSE))*$BL210/VLOOKUP(VLOOKUP($BJ210,坦克个性化设定!$B$18:$E$48,4,FALSE)&amp;$BK210,坦克属性分配比例,MATCH("升星次数",坦克属性分配比例标头,0),FALSE)*VLOOKUP(VLOOKUP($BJ210,坦克个性化设定!$B$18:$E$48,4,FALSE)&amp;$BK210,坦克属性分配比例,MATCH("升星比例",坦克属性分配比例标头,0),FALSE),0)</f>
        <v>451</v>
      </c>
      <c r="BO210" s="103">
        <f ca="1">ROUND(VLOOKUP($BJ210&amp;"初始",$S$3:$AE$63,MATCH(BO$3,$S$3:$AE$3,0),FALSE)+(VLOOKUP($BJ210&amp;"最终",$S$3:$AE$63,MATCH(BO$3,$S$3:$AE$3,0),FALSE)-VLOOKUP($BJ210&amp;"初始",$S$3:$AE$63,MATCH(BO$3,$S$3:$AE$3,0),FALSE))*$BL210/VLOOKUP(VLOOKUP($BJ210,坦克个性化设定!$B$18:$E$48,4,FALSE)&amp;$BK210,坦克属性分配比例,MATCH("升星次数",坦克属性分配比例标头,0),FALSE)*(VLOOKUP(VLOOKUP($BJ210,坦克个性化设定!$B$18:$E$48,4,FALSE)&amp;$BK210,坦克属性分配比例,MATCH("升星比例",坦克属性分配比例标头,0),FALSE)+VLOOKUP(VLOOKUP($BJ210,坦克个性化设定!$B$18:$E$48,4,FALSE)&amp;$BK210,坦克属性分配比例,MATCH("部件比例",坦克属性分配比例标头,0),FALSE)*$C$3),0)</f>
        <v>126</v>
      </c>
      <c r="BP210" s="103">
        <f ca="1">ROUND(VLOOKUP($BJ210&amp;"初始",$S$3:$AE$63,MATCH(BP$3,$S$3:$AE$3,0),FALSE)+(VLOOKUP($BJ210&amp;"最终",$S$3:$AE$63,MATCH(BP$3,$S$3:$AE$3,0),FALSE)-VLOOKUP($BJ210&amp;"初始",$S$3:$AE$63,MATCH(BP$3,$S$3:$AE$3,0),FALSE))*$BL210/VLOOKUP(VLOOKUP($BJ210,坦克个性化设定!$B$18:$E$48,4,FALSE)&amp;$BK210,坦克属性分配比例,MATCH("升星次数",坦克属性分配比例标头,0),FALSE)*(VLOOKUP(VLOOKUP($BJ210,坦克个性化设定!$B$18:$E$48,4,FALSE)&amp;$BK210,坦克属性分配比例,MATCH("升星比例",坦克属性分配比例标头,0),FALSE)+VLOOKUP(VLOOKUP($BJ210,坦克个性化设定!$B$18:$E$48,4,FALSE)&amp;$BK210,坦克属性分配比例,MATCH("部件比例",坦克属性分配比例标头,0),FALSE)*$C$3),0)</f>
        <v>316</v>
      </c>
      <c r="BQ210" s="103">
        <f ca="1">ROUND(VLOOKUP($BJ210&amp;"初始",$S$3:$AE$63,MATCH(BQ$3,$S$3:$AE$3,0),FALSE)+(VLOOKUP($BJ210&amp;"最终",$S$3:$AE$63,MATCH(BQ$3,$S$3:$AE$3,0),FALSE)-VLOOKUP($BJ210&amp;"初始",$S$3:$AE$63,MATCH(BQ$3,$S$3:$AE$3,0),FALSE))*$BL210/VLOOKUP(VLOOKUP($BJ210,坦克个性化设定!$B$18:$E$48,4,FALSE)&amp;$BK210,坦克属性分配比例,MATCH("升星次数",坦克属性分配比例标头,0),FALSE)*VLOOKUP(VLOOKUP($BJ210,坦克个性化设定!$B$18:$E$48,4,FALSE)&amp;$BK210,坦克属性分配比例,MATCH("升星比例",坦克属性分配比例标头,0),FALSE),0)</f>
        <v>455</v>
      </c>
      <c r="BR210" s="2">
        <f ca="1">ROUND(VLOOKUP($BJ210&amp;"初始",$S$3:$AE$63,MATCH(BR$3,$S$3:$AE$3,0),FALSE)+(VLOOKUP($BJ210&amp;"最终",$S$3:$AE$63,MATCH(BR$3,$S$3:$AE$3,0),FALSE)-VLOOKUP($BJ210&amp;"初始",$S$3:$AE$63,MATCH(BR$3,$S$3:$AE$3,0),FALSE))*$BL210/VLOOKUP(VLOOKUP($BJ210,坦克个性化设定!$B$18:$E$48,4,FALSE)&amp;$BK210,坦克属性分配比例,MATCH("升星次数",坦克属性分配比例标头,0),FALSE),0)</f>
        <v>102</v>
      </c>
      <c r="BS210" s="2">
        <f>ROUND(VLOOKUP($BJ210,$AI$3:$AO$33,MATCH(BS$3,$AI$3:$AO$3,0),FALSE)+$BL210/VLOOKUP(VLOOKUP($BJ210,坦克个性化设定!$B$18:$E$48,4,FALSE)&amp;$BK210,坦克属性分配比例,MATCH("升星次数",坦克属性分配比例标头,0),FALSE)*VLOOKUP($BJ210,$AR$3:$AY$33,MATCH(BS$3,$AR$3:$AY$3,0),FALSE),1)</f>
        <v>42.1</v>
      </c>
      <c r="BT210" s="2">
        <f>ROUND(VLOOKUP($BJ210,$AI$3:$AO$33,MATCH(BT$3,$AI$3:$AO$3,0),FALSE)+$BL210/VLOOKUP(VLOOKUP($BJ210,坦克个性化设定!$B$18:$E$48,4,FALSE)&amp;$BK210,坦克属性分配比例,MATCH("升星次数",坦克属性分配比例标头,0),FALSE)*VLOOKUP($BJ210,$AR$3:$AY$33,MATCH(BT$3,$AR$3:$AY$3,0),FALSE),1)</f>
        <v>30.8</v>
      </c>
      <c r="BU210" s="2">
        <f>ROUND(VLOOKUP($BJ210,$AI$3:$AO$33,MATCH(BU$3,$AI$3:$AO$3,0),FALSE)+$BL210/VLOOKUP(VLOOKUP($BJ210,坦克个性化设定!$B$18:$E$48,4,FALSE)&amp;$BK210,坦克属性分配比例,MATCH("升星次数",坦克属性分配比例标头,0),FALSE)*VLOOKUP($BJ210,$AR$3:$AY$33,MATCH(BU$3,$AR$3:$AY$3,0),FALSE),1)</f>
        <v>7</v>
      </c>
      <c r="BV210" s="2">
        <f>IF(VLOOKUP(BJ210,坦克个性化设定!$B$18:$BC$48,MATCH("装弹类型",坦克个性化设定!$B$18:$BC$18,0),FALSE)="弹夹换弹",0,ROUND(VLOOKUP($BJ210,$AI$3:$AO$33,MATCH("换弹时间",$AI$3:$AO$3,0),FALSE)-$BL210/VLOOKUP(VLOOKUP($BJ210,坦克个性化设定!$B$18:$E$48,4,FALSE)&amp;$BK210,坦克属性分配比例,MATCH("升星次数",坦克属性分配比例标头,0),FALSE)*VLOOKUP($BJ210,$AR$3:$AY$33,MATCH("换弹时间",$AR$3:$AY$3,0),FALSE),2))</f>
        <v>5.0999999999999996</v>
      </c>
      <c r="BW210" s="2">
        <f>IF(VLOOKUP(BJ210,坦克个性化设定!$B$18:$BC$48,MATCH("装弹类型",坦克个性化设定!$B$18:$BC$18,0),FALSE)="弹夹换弹",ROUND(VLOOKUP($BJ210,$AI$3:$AO$33,MATCH("换弹时间",$AI$3:$AO$3,0),FALSE)-$BL210/VLOOKUP(VLOOKUP($BJ210,坦克个性化设定!$B$18:$E$48,4,FALSE)&amp;$BK210,坦克属性分配比例,MATCH("升星次数",坦克属性分配比例标头,0),FALSE)*VLOOKUP($BJ210,$AR$3:$AY$33,MATCH("换弹时间",$AR$3:$AY$3,0),FALSE),1),0)</f>
        <v>0</v>
      </c>
      <c r="BX210" s="2">
        <f>ROUND(VLOOKUP($BJ210,$AI$3:$AO$33,MATCH(BX$3,$AI$3:$AO$3,0),FALSE)+$BL210/VLOOKUP(VLOOKUP($BJ210,坦克个性化设定!$B$18:$E$48,4,FALSE)&amp;$BK210,坦克属性分配比例,MATCH("升星次数",坦克属性分配比例标头,0),FALSE)*VLOOKUP($BJ210,$AR$3:$AY$33,MATCH(BX$3,$AR$3:$AY$3,0),FALSE),2)</f>
        <v>2.8</v>
      </c>
      <c r="BY210" s="2">
        <f>ROUND(VLOOKUP($BJ210,$AI$3:$AO$33,MATCH(BY$3,$AI$3:$AO$3,0),FALSE)-$BL210/VLOOKUP(VLOOKUP($BJ210,坦克个性化设定!$B$18:$E$48,4,FALSE)&amp;$BK210,坦克属性分配比例,MATCH("升星次数",坦克属性分配比例标头,0),FALSE)*VLOOKUP($BJ210,$AR$3:$AY$33,MATCH(BY$3,$AR$3:$AY$3,0),FALSE),2)</f>
        <v>2.33</v>
      </c>
    </row>
    <row r="211" spans="60:77" x14ac:dyDescent="0.3">
      <c r="BH211" s="2" t="str">
        <f t="shared" si="32"/>
        <v>B-13</v>
      </c>
      <c r="BI211" s="2">
        <f>IF(BL210&gt;=VLOOKUP(VLOOKUP(BJ210,坦克个性化设定!$B$18:$E$48,4,FALSE)&amp;BK210,坦克属性分配比例,MATCH("升星次数",坦克属性分配比例标头,0),FALSE),BI210+1,BI210)</f>
        <v>21</v>
      </c>
      <c r="BJ211" s="2" t="str">
        <f t="shared" si="33"/>
        <v>B-1</v>
      </c>
      <c r="BK211" s="29" t="str">
        <f>VLOOKUP(BJ211,坦克个性化细分!$I$3:$J$33,2,FALSE)</f>
        <v>低</v>
      </c>
      <c r="BL211" s="2">
        <f t="shared" si="34"/>
        <v>3</v>
      </c>
      <c r="BM211" s="103">
        <f ca="1">ROUND(VLOOKUP($BJ211&amp;"初始",$S$3:$AE$63,MATCH(BM$3,$S$3:$AE$3,0),FALSE)+((VLOOKUP($BJ211&amp;"最终",$S$3:$AE$63,MATCH(BM$3,$S$3:$AE$3,0),FALSE)*坦克个性化细分!$C$9-VLOOKUP($BJ211&amp;"初始",$S$3:$AE$63,MATCH(BM$3,$S$3:$AE$3,0),FALSE))-(VLOOKUP($BJ211&amp;"最终",$S$3:$AE$63,MATCH(BM$3,$S$3:$AE$3,0),FALSE)-VLOOKUP($BJ211&amp;"初始",$S$3:$AE$63,MATCH(BM$3,$S$3:$AE$3,0),FALSE))*VLOOKUP(VLOOKUP($BJ211,坦克个性化设定!$B$18:$E$48,4,FALSE)&amp;$BK211,坦克属性分配比例,MATCH("部件比例",坦克属性分配比例标头,0),FALSE))*$BL211/VLOOKUP(VLOOKUP($BJ211,坦克个性化设定!$B$18:$E$48,4,FALSE)&amp;$BK211,坦克属性分配比例,MATCH("升星次数",坦克属性分配比例标头,0),FALSE),0)</f>
        <v>988</v>
      </c>
      <c r="BN211" s="103">
        <f ca="1">ROUND(VLOOKUP($BJ211&amp;"初始",$S$3:$AE$63,MATCH(BN$3,$S$3:$AE$3,0),FALSE)+(VLOOKUP($BJ211&amp;"最终",$S$3:$AE$63,MATCH(BN$3,$S$3:$AE$3,0),FALSE)-VLOOKUP($BJ211&amp;"初始",$S$3:$AE$63,MATCH(BN$3,$S$3:$AE$3,0),FALSE))*$BL211/VLOOKUP(VLOOKUP($BJ211,坦克个性化设定!$B$18:$E$48,4,FALSE)&amp;$BK211,坦克属性分配比例,MATCH("升星次数",坦克属性分配比例标头,0),FALSE)*VLOOKUP(VLOOKUP($BJ211,坦克个性化设定!$B$18:$E$48,4,FALSE)&amp;$BK211,坦克属性分配比例,MATCH("升星比例",坦克属性分配比例标头,0),FALSE),0)</f>
        <v>468</v>
      </c>
      <c r="BO211" s="103">
        <f ca="1">ROUND(VLOOKUP($BJ211&amp;"初始",$S$3:$AE$63,MATCH(BO$3,$S$3:$AE$3,0),FALSE)+(VLOOKUP($BJ211&amp;"最终",$S$3:$AE$63,MATCH(BO$3,$S$3:$AE$3,0),FALSE)-VLOOKUP($BJ211&amp;"初始",$S$3:$AE$63,MATCH(BO$3,$S$3:$AE$3,0),FALSE))*$BL211/VLOOKUP(VLOOKUP($BJ211,坦克个性化设定!$B$18:$E$48,4,FALSE)&amp;$BK211,坦克属性分配比例,MATCH("升星次数",坦克属性分配比例标头,0),FALSE)*(VLOOKUP(VLOOKUP($BJ211,坦克个性化设定!$B$18:$E$48,4,FALSE)&amp;$BK211,坦克属性分配比例,MATCH("升星比例",坦克属性分配比例标头,0),FALSE)+VLOOKUP(VLOOKUP($BJ211,坦克个性化设定!$B$18:$E$48,4,FALSE)&amp;$BK211,坦克属性分配比例,MATCH("部件比例",坦克属性分配比例标头,0),FALSE)*$C$3),0)</f>
        <v>132</v>
      </c>
      <c r="BP211" s="103">
        <f ca="1">ROUND(VLOOKUP($BJ211&amp;"初始",$S$3:$AE$63,MATCH(BP$3,$S$3:$AE$3,0),FALSE)+(VLOOKUP($BJ211&amp;"最终",$S$3:$AE$63,MATCH(BP$3,$S$3:$AE$3,0),FALSE)-VLOOKUP($BJ211&amp;"初始",$S$3:$AE$63,MATCH(BP$3,$S$3:$AE$3,0),FALSE))*$BL211/VLOOKUP(VLOOKUP($BJ211,坦克个性化设定!$B$18:$E$48,4,FALSE)&amp;$BK211,坦克属性分配比例,MATCH("升星次数",坦克属性分配比例标头,0),FALSE)*(VLOOKUP(VLOOKUP($BJ211,坦克个性化设定!$B$18:$E$48,4,FALSE)&amp;$BK211,坦克属性分配比例,MATCH("升星比例",坦克属性分配比例标头,0),FALSE)+VLOOKUP(VLOOKUP($BJ211,坦克个性化设定!$B$18:$E$48,4,FALSE)&amp;$BK211,坦克属性分配比例,MATCH("部件比例",坦克属性分配比例标头,0),FALSE)*$C$3),0)</f>
        <v>331</v>
      </c>
      <c r="BQ211" s="103">
        <f ca="1">ROUND(VLOOKUP($BJ211&amp;"初始",$S$3:$AE$63,MATCH(BQ$3,$S$3:$AE$3,0),FALSE)+(VLOOKUP($BJ211&amp;"最终",$S$3:$AE$63,MATCH(BQ$3,$S$3:$AE$3,0),FALSE)-VLOOKUP($BJ211&amp;"初始",$S$3:$AE$63,MATCH(BQ$3,$S$3:$AE$3,0),FALSE))*$BL211/VLOOKUP(VLOOKUP($BJ211,坦克个性化设定!$B$18:$E$48,4,FALSE)&amp;$BK211,坦克属性分配比例,MATCH("升星次数",坦克属性分配比例标头,0),FALSE)*VLOOKUP(VLOOKUP($BJ211,坦克个性化设定!$B$18:$E$48,4,FALSE)&amp;$BK211,坦克属性分配比例,MATCH("升星比例",坦克属性分配比例标头,0),FALSE),0)</f>
        <v>473</v>
      </c>
      <c r="BR211" s="2">
        <f ca="1">ROUND(VLOOKUP($BJ211&amp;"初始",$S$3:$AE$63,MATCH(BR$3,$S$3:$AE$3,0),FALSE)+(VLOOKUP($BJ211&amp;"最终",$S$3:$AE$63,MATCH(BR$3,$S$3:$AE$3,0),FALSE)-VLOOKUP($BJ211&amp;"初始",$S$3:$AE$63,MATCH(BR$3,$S$3:$AE$3,0),FALSE))*$BL211/VLOOKUP(VLOOKUP($BJ211,坦克个性化设定!$B$18:$E$48,4,FALSE)&amp;$BK211,坦克属性分配比例,MATCH("升星次数",坦克属性分配比例标头,0),FALSE),0)</f>
        <v>107</v>
      </c>
      <c r="BS211" s="2">
        <f>ROUND(VLOOKUP($BJ211,$AI$3:$AO$33,MATCH(BS$3,$AI$3:$AO$3,0),FALSE)+$BL211/VLOOKUP(VLOOKUP($BJ211,坦克个性化设定!$B$18:$E$48,4,FALSE)&amp;$BK211,坦克属性分配比例,MATCH("升星次数",坦克属性分配比例标头,0),FALSE)*VLOOKUP($BJ211,$AR$3:$AY$33,MATCH(BS$3,$AR$3:$AY$3,0),FALSE),1)</f>
        <v>44</v>
      </c>
      <c r="BT211" s="2">
        <f>ROUND(VLOOKUP($BJ211,$AI$3:$AO$33,MATCH(BT$3,$AI$3:$AO$3,0),FALSE)+$BL211/VLOOKUP(VLOOKUP($BJ211,坦克个性化设定!$B$18:$E$48,4,FALSE)&amp;$BK211,坦克属性分配比例,MATCH("升星次数",坦克属性分配比例标头,0),FALSE)*VLOOKUP($BJ211,$AR$3:$AY$33,MATCH(BT$3,$AR$3:$AY$3,0),FALSE),1)</f>
        <v>32.200000000000003</v>
      </c>
      <c r="BU211" s="2">
        <f>ROUND(VLOOKUP($BJ211,$AI$3:$AO$33,MATCH(BU$3,$AI$3:$AO$3,0),FALSE)+$BL211/VLOOKUP(VLOOKUP($BJ211,坦克个性化设定!$B$18:$E$48,4,FALSE)&amp;$BK211,坦克属性分配比例,MATCH("升星次数",坦克属性分配比例标头,0),FALSE)*VLOOKUP($BJ211,$AR$3:$AY$33,MATCH(BU$3,$AR$3:$AY$3,0),FALSE),1)</f>
        <v>7</v>
      </c>
      <c r="BV211" s="2">
        <f>IF(VLOOKUP(BJ211,坦克个性化设定!$B$18:$BC$48,MATCH("装弹类型",坦克个性化设定!$B$18:$BC$18,0),FALSE)="弹夹换弹",0,ROUND(VLOOKUP($BJ211,$AI$3:$AO$33,MATCH("换弹时间",$AI$3:$AO$3,0),FALSE)-$BL211/VLOOKUP(VLOOKUP($BJ211,坦克个性化设定!$B$18:$E$48,4,FALSE)&amp;$BK211,坦克属性分配比例,MATCH("升星次数",坦克属性分配比例标头,0),FALSE)*VLOOKUP($BJ211,$AR$3:$AY$33,MATCH("换弹时间",$AR$3:$AY$3,0),FALSE),2))</f>
        <v>4.9400000000000004</v>
      </c>
      <c r="BW211" s="2">
        <f>IF(VLOOKUP(BJ211,坦克个性化设定!$B$18:$BC$48,MATCH("装弹类型",坦克个性化设定!$B$18:$BC$18,0),FALSE)="弹夹换弹",ROUND(VLOOKUP($BJ211,$AI$3:$AO$33,MATCH("换弹时间",$AI$3:$AO$3,0),FALSE)-$BL211/VLOOKUP(VLOOKUP($BJ211,坦克个性化设定!$B$18:$E$48,4,FALSE)&amp;$BK211,坦克属性分配比例,MATCH("升星次数",坦克属性分配比例标头,0),FALSE)*VLOOKUP($BJ211,$AR$3:$AY$33,MATCH("换弹时间",$AR$3:$AY$3,0),FALSE),1),0)</f>
        <v>0</v>
      </c>
      <c r="BX211" s="2">
        <f>ROUND(VLOOKUP($BJ211,$AI$3:$AO$33,MATCH(BX$3,$AI$3:$AO$3,0),FALSE)+$BL211/VLOOKUP(VLOOKUP($BJ211,坦克个性化设定!$B$18:$E$48,4,FALSE)&amp;$BK211,坦克属性分配比例,MATCH("升星次数",坦克属性分配比例标头,0),FALSE)*VLOOKUP($BJ211,$AR$3:$AY$33,MATCH(BX$3,$AR$3:$AY$3,0),FALSE),2)</f>
        <v>2.8</v>
      </c>
      <c r="BY211" s="2">
        <f>ROUND(VLOOKUP($BJ211,$AI$3:$AO$33,MATCH(BY$3,$AI$3:$AO$3,0),FALSE)-$BL211/VLOOKUP(VLOOKUP($BJ211,坦克个性化设定!$B$18:$E$48,4,FALSE)&amp;$BK211,坦克属性分配比例,MATCH("升星次数",坦克属性分配比例标头,0),FALSE)*VLOOKUP($BJ211,$AR$3:$AY$33,MATCH(BY$3,$AR$3:$AY$3,0),FALSE),2)</f>
        <v>2.25</v>
      </c>
    </row>
    <row r="212" spans="60:77" x14ac:dyDescent="0.3">
      <c r="BH212" s="2" t="str">
        <f t="shared" si="32"/>
        <v>B-14</v>
      </c>
      <c r="BI212" s="2">
        <f>IF(BL211&gt;=VLOOKUP(VLOOKUP(BJ211,坦克个性化设定!$B$18:$E$48,4,FALSE)&amp;BK211,坦克属性分配比例,MATCH("升星次数",坦克属性分配比例标头,0),FALSE),BI211+1,BI211)</f>
        <v>21</v>
      </c>
      <c r="BJ212" s="2" t="str">
        <f t="shared" si="33"/>
        <v>B-1</v>
      </c>
      <c r="BK212" s="29" t="str">
        <f>VLOOKUP(BJ212,坦克个性化细分!$I$3:$J$33,2,FALSE)</f>
        <v>低</v>
      </c>
      <c r="BL212" s="2">
        <f t="shared" si="34"/>
        <v>4</v>
      </c>
      <c r="BM212" s="103">
        <f ca="1">ROUND(VLOOKUP($BJ212&amp;"初始",$S$3:$AE$63,MATCH(BM$3,$S$3:$AE$3,0),FALSE)+((VLOOKUP($BJ212&amp;"最终",$S$3:$AE$63,MATCH(BM$3,$S$3:$AE$3,0),FALSE)*坦克个性化细分!$C$9-VLOOKUP($BJ212&amp;"初始",$S$3:$AE$63,MATCH(BM$3,$S$3:$AE$3,0),FALSE))-(VLOOKUP($BJ212&amp;"最终",$S$3:$AE$63,MATCH(BM$3,$S$3:$AE$3,0),FALSE)-VLOOKUP($BJ212&amp;"初始",$S$3:$AE$63,MATCH(BM$3,$S$3:$AE$3,0),FALSE))*VLOOKUP(VLOOKUP($BJ212,坦克个性化设定!$B$18:$E$48,4,FALSE)&amp;$BK212,坦克属性分配比例,MATCH("部件比例",坦克属性分配比例标头,0),FALSE))*$BL212/VLOOKUP(VLOOKUP($BJ212,坦克个性化设定!$B$18:$E$48,4,FALSE)&amp;$BK212,坦克属性分配比例,MATCH("升星次数",坦克属性分配比例标头,0),FALSE),0)</f>
        <v>1092</v>
      </c>
      <c r="BN212" s="103">
        <f ca="1">ROUND(VLOOKUP($BJ212&amp;"初始",$S$3:$AE$63,MATCH(BN$3,$S$3:$AE$3,0),FALSE)+(VLOOKUP($BJ212&amp;"最终",$S$3:$AE$63,MATCH(BN$3,$S$3:$AE$3,0),FALSE)-VLOOKUP($BJ212&amp;"初始",$S$3:$AE$63,MATCH(BN$3,$S$3:$AE$3,0),FALSE))*$BL212/VLOOKUP(VLOOKUP($BJ212,坦克个性化设定!$B$18:$E$48,4,FALSE)&amp;$BK212,坦克属性分配比例,MATCH("升星次数",坦克属性分配比例标头,0),FALSE)*VLOOKUP(VLOOKUP($BJ212,坦克个性化设定!$B$18:$E$48,4,FALSE)&amp;$BK212,坦克属性分配比例,MATCH("升星比例",坦克属性分配比例标头,0),FALSE),0)</f>
        <v>486</v>
      </c>
      <c r="BO212" s="103">
        <f ca="1">ROUND(VLOOKUP($BJ212&amp;"初始",$S$3:$AE$63,MATCH(BO$3,$S$3:$AE$3,0),FALSE)+(VLOOKUP($BJ212&amp;"最终",$S$3:$AE$63,MATCH(BO$3,$S$3:$AE$3,0),FALSE)-VLOOKUP($BJ212&amp;"初始",$S$3:$AE$63,MATCH(BO$3,$S$3:$AE$3,0),FALSE))*$BL212/VLOOKUP(VLOOKUP($BJ212,坦克个性化设定!$B$18:$E$48,4,FALSE)&amp;$BK212,坦克属性分配比例,MATCH("升星次数",坦克属性分配比例标头,0),FALSE)*(VLOOKUP(VLOOKUP($BJ212,坦克个性化设定!$B$18:$E$48,4,FALSE)&amp;$BK212,坦克属性分配比例,MATCH("升星比例",坦克属性分配比例标头,0),FALSE)+VLOOKUP(VLOOKUP($BJ212,坦克个性化设定!$B$18:$E$48,4,FALSE)&amp;$BK212,坦克属性分配比例,MATCH("部件比例",坦克属性分配比例标头,0),FALSE)*$C$3),0)</f>
        <v>139</v>
      </c>
      <c r="BP212" s="103">
        <f ca="1">ROUND(VLOOKUP($BJ212&amp;"初始",$S$3:$AE$63,MATCH(BP$3,$S$3:$AE$3,0),FALSE)+(VLOOKUP($BJ212&amp;"最终",$S$3:$AE$63,MATCH(BP$3,$S$3:$AE$3,0),FALSE)-VLOOKUP($BJ212&amp;"初始",$S$3:$AE$63,MATCH(BP$3,$S$3:$AE$3,0),FALSE))*$BL212/VLOOKUP(VLOOKUP($BJ212,坦克个性化设定!$B$18:$E$48,4,FALSE)&amp;$BK212,坦克属性分配比例,MATCH("升星次数",坦克属性分配比例标头,0),FALSE)*(VLOOKUP(VLOOKUP($BJ212,坦克个性化设定!$B$18:$E$48,4,FALSE)&amp;$BK212,坦克属性分配比例,MATCH("升星比例",坦克属性分配比例标头,0),FALSE)+VLOOKUP(VLOOKUP($BJ212,坦克个性化设定!$B$18:$E$48,4,FALSE)&amp;$BK212,坦克属性分配比例,MATCH("部件比例",坦克属性分配比例标头,0),FALSE)*$C$3),0)</f>
        <v>346</v>
      </c>
      <c r="BQ212" s="103">
        <f ca="1">ROUND(VLOOKUP($BJ212&amp;"初始",$S$3:$AE$63,MATCH(BQ$3,$S$3:$AE$3,0),FALSE)+(VLOOKUP($BJ212&amp;"最终",$S$3:$AE$63,MATCH(BQ$3,$S$3:$AE$3,0),FALSE)-VLOOKUP($BJ212&amp;"初始",$S$3:$AE$63,MATCH(BQ$3,$S$3:$AE$3,0),FALSE))*$BL212/VLOOKUP(VLOOKUP($BJ212,坦克个性化设定!$B$18:$E$48,4,FALSE)&amp;$BK212,坦克属性分配比例,MATCH("升星次数",坦克属性分配比例标头,0),FALSE)*VLOOKUP(VLOOKUP($BJ212,坦克个性化设定!$B$18:$E$48,4,FALSE)&amp;$BK212,坦克属性分配比例,MATCH("升星比例",坦克属性分配比例标头,0),FALSE),0)</f>
        <v>491</v>
      </c>
      <c r="BR212" s="2">
        <f ca="1">ROUND(VLOOKUP($BJ212&amp;"初始",$S$3:$AE$63,MATCH(BR$3,$S$3:$AE$3,0),FALSE)+(VLOOKUP($BJ212&amp;"最终",$S$3:$AE$63,MATCH(BR$3,$S$3:$AE$3,0),FALSE)-VLOOKUP($BJ212&amp;"初始",$S$3:$AE$63,MATCH(BR$3,$S$3:$AE$3,0),FALSE))*$BL212/VLOOKUP(VLOOKUP($BJ212,坦克个性化设定!$B$18:$E$48,4,FALSE)&amp;$BK212,坦克属性分配比例,MATCH("升星次数",坦克属性分配比例标头,0),FALSE),0)</f>
        <v>113</v>
      </c>
      <c r="BS212" s="2">
        <f>ROUND(VLOOKUP($BJ212,$AI$3:$AO$33,MATCH(BS$3,$AI$3:$AO$3,0),FALSE)+$BL212/VLOOKUP(VLOOKUP($BJ212,坦克个性化设定!$B$18:$E$48,4,FALSE)&amp;$BK212,坦克属性分配比例,MATCH("升星次数",坦克属性分配比例标头,0),FALSE)*VLOOKUP($BJ212,$AR$3:$AY$33,MATCH(BS$3,$AR$3:$AY$3,0),FALSE),1)</f>
        <v>46</v>
      </c>
      <c r="BT212" s="2">
        <f>ROUND(VLOOKUP($BJ212,$AI$3:$AO$33,MATCH(BT$3,$AI$3:$AO$3,0),FALSE)+$BL212/VLOOKUP(VLOOKUP($BJ212,坦克个性化设定!$B$18:$E$48,4,FALSE)&amp;$BK212,坦克属性分配比例,MATCH("升星次数",坦克属性分配比例标头,0),FALSE)*VLOOKUP($BJ212,$AR$3:$AY$33,MATCH(BT$3,$AR$3:$AY$3,0),FALSE),1)</f>
        <v>33.6</v>
      </c>
      <c r="BU212" s="2">
        <f>ROUND(VLOOKUP($BJ212,$AI$3:$AO$33,MATCH(BU$3,$AI$3:$AO$3,0),FALSE)+$BL212/VLOOKUP(VLOOKUP($BJ212,坦克个性化设定!$B$18:$E$48,4,FALSE)&amp;$BK212,坦克属性分配比例,MATCH("升星次数",坦克属性分配比例标头,0),FALSE)*VLOOKUP($BJ212,$AR$3:$AY$33,MATCH(BU$3,$AR$3:$AY$3,0),FALSE),1)</f>
        <v>7</v>
      </c>
      <c r="BV212" s="2">
        <f>IF(VLOOKUP(BJ212,坦克个性化设定!$B$18:$BC$48,MATCH("装弹类型",坦克个性化设定!$B$18:$BC$18,0),FALSE)="弹夹换弹",0,ROUND(VLOOKUP($BJ212,$AI$3:$AO$33,MATCH("换弹时间",$AI$3:$AO$3,0),FALSE)-$BL212/VLOOKUP(VLOOKUP($BJ212,坦克个性化设定!$B$18:$E$48,4,FALSE)&amp;$BK212,坦克属性分配比例,MATCH("升星次数",坦克属性分配比例标头,0),FALSE)*VLOOKUP($BJ212,$AR$3:$AY$33,MATCH("换弹时间",$AR$3:$AY$3,0),FALSE),2))</f>
        <v>4.79</v>
      </c>
      <c r="BW212" s="2">
        <f>IF(VLOOKUP(BJ212,坦克个性化设定!$B$18:$BC$48,MATCH("装弹类型",坦克个性化设定!$B$18:$BC$18,0),FALSE)="弹夹换弹",ROUND(VLOOKUP($BJ212,$AI$3:$AO$33,MATCH("换弹时间",$AI$3:$AO$3,0),FALSE)-$BL212/VLOOKUP(VLOOKUP($BJ212,坦克个性化设定!$B$18:$E$48,4,FALSE)&amp;$BK212,坦克属性分配比例,MATCH("升星次数",坦克属性分配比例标头,0),FALSE)*VLOOKUP($BJ212,$AR$3:$AY$33,MATCH("换弹时间",$AR$3:$AY$3,0),FALSE),1),0)</f>
        <v>0</v>
      </c>
      <c r="BX212" s="2">
        <f>ROUND(VLOOKUP($BJ212,$AI$3:$AO$33,MATCH(BX$3,$AI$3:$AO$3,0),FALSE)+$BL212/VLOOKUP(VLOOKUP($BJ212,坦克个性化设定!$B$18:$E$48,4,FALSE)&amp;$BK212,坦克属性分配比例,MATCH("升星次数",坦克属性分配比例标头,0),FALSE)*VLOOKUP($BJ212,$AR$3:$AY$33,MATCH(BX$3,$AR$3:$AY$3,0),FALSE),2)</f>
        <v>2.8</v>
      </c>
      <c r="BY212" s="2">
        <f>ROUND(VLOOKUP($BJ212,$AI$3:$AO$33,MATCH(BY$3,$AI$3:$AO$3,0),FALSE)-$BL212/VLOOKUP(VLOOKUP($BJ212,坦克个性化设定!$B$18:$E$48,4,FALSE)&amp;$BK212,坦克属性分配比例,MATCH("升星次数",坦克属性分配比例标头,0),FALSE)*VLOOKUP($BJ212,$AR$3:$AY$33,MATCH(BY$3,$AR$3:$AY$3,0),FALSE),2)</f>
        <v>2.17</v>
      </c>
    </row>
    <row r="213" spans="60:77" x14ac:dyDescent="0.3">
      <c r="BH213" s="2" t="str">
        <f t="shared" si="32"/>
        <v>B-15</v>
      </c>
      <c r="BI213" s="2">
        <f>IF(BL212&gt;=VLOOKUP(VLOOKUP(BJ212,坦克个性化设定!$B$18:$E$48,4,FALSE)&amp;BK212,坦克属性分配比例,MATCH("升星次数",坦克属性分配比例标头,0),FALSE),BI212+1,BI212)</f>
        <v>21</v>
      </c>
      <c r="BJ213" s="2" t="str">
        <f t="shared" si="33"/>
        <v>B-1</v>
      </c>
      <c r="BK213" s="29" t="str">
        <f>VLOOKUP(BJ213,坦克个性化细分!$I$3:$J$33,2,FALSE)</f>
        <v>低</v>
      </c>
      <c r="BL213" s="2">
        <f t="shared" si="34"/>
        <v>5</v>
      </c>
      <c r="BM213" s="103">
        <f ca="1">ROUND(VLOOKUP($BJ213&amp;"初始",$S$3:$AE$63,MATCH(BM$3,$S$3:$AE$3,0),FALSE)+((VLOOKUP($BJ213&amp;"最终",$S$3:$AE$63,MATCH(BM$3,$S$3:$AE$3,0),FALSE)*坦克个性化细分!$C$9-VLOOKUP($BJ213&amp;"初始",$S$3:$AE$63,MATCH(BM$3,$S$3:$AE$3,0),FALSE))-(VLOOKUP($BJ213&amp;"最终",$S$3:$AE$63,MATCH(BM$3,$S$3:$AE$3,0),FALSE)-VLOOKUP($BJ213&amp;"初始",$S$3:$AE$63,MATCH(BM$3,$S$3:$AE$3,0),FALSE))*VLOOKUP(VLOOKUP($BJ213,坦克个性化设定!$B$18:$E$48,4,FALSE)&amp;$BK213,坦克属性分配比例,MATCH("部件比例",坦克属性分配比例标头,0),FALSE))*$BL213/VLOOKUP(VLOOKUP($BJ213,坦克个性化设定!$B$18:$E$48,4,FALSE)&amp;$BK213,坦克属性分配比例,MATCH("升星次数",坦克属性分配比例标头,0),FALSE),0)</f>
        <v>1197</v>
      </c>
      <c r="BN213" s="103">
        <f ca="1">ROUND(VLOOKUP($BJ213&amp;"初始",$S$3:$AE$63,MATCH(BN$3,$S$3:$AE$3,0),FALSE)+(VLOOKUP($BJ213&amp;"最终",$S$3:$AE$63,MATCH(BN$3,$S$3:$AE$3,0),FALSE)-VLOOKUP($BJ213&amp;"初始",$S$3:$AE$63,MATCH(BN$3,$S$3:$AE$3,0),FALSE))*$BL213/VLOOKUP(VLOOKUP($BJ213,坦克个性化设定!$B$18:$E$48,4,FALSE)&amp;$BK213,坦克属性分配比例,MATCH("升星次数",坦克属性分配比例标头,0),FALSE)*VLOOKUP(VLOOKUP($BJ213,坦克个性化设定!$B$18:$E$48,4,FALSE)&amp;$BK213,坦克属性分配比例,MATCH("升星比例",坦克属性分配比例标头,0),FALSE),0)</f>
        <v>503</v>
      </c>
      <c r="BO213" s="103">
        <f ca="1">ROUND(VLOOKUP($BJ213&amp;"初始",$S$3:$AE$63,MATCH(BO$3,$S$3:$AE$3,0),FALSE)+(VLOOKUP($BJ213&amp;"最终",$S$3:$AE$63,MATCH(BO$3,$S$3:$AE$3,0),FALSE)-VLOOKUP($BJ213&amp;"初始",$S$3:$AE$63,MATCH(BO$3,$S$3:$AE$3,0),FALSE))*$BL213/VLOOKUP(VLOOKUP($BJ213,坦克个性化设定!$B$18:$E$48,4,FALSE)&amp;$BK213,坦克属性分配比例,MATCH("升星次数",坦克属性分配比例标头,0),FALSE)*(VLOOKUP(VLOOKUP($BJ213,坦克个性化设定!$B$18:$E$48,4,FALSE)&amp;$BK213,坦克属性分配比例,MATCH("升星比例",坦克属性分配比例标头,0),FALSE)+VLOOKUP(VLOOKUP($BJ213,坦克个性化设定!$B$18:$E$48,4,FALSE)&amp;$BK213,坦克属性分配比例,MATCH("部件比例",坦克属性分配比例标头,0),FALSE)*$C$3),0)</f>
        <v>145</v>
      </c>
      <c r="BP213" s="103">
        <f ca="1">ROUND(VLOOKUP($BJ213&amp;"初始",$S$3:$AE$63,MATCH(BP$3,$S$3:$AE$3,0),FALSE)+(VLOOKUP($BJ213&amp;"最终",$S$3:$AE$63,MATCH(BP$3,$S$3:$AE$3,0),FALSE)-VLOOKUP($BJ213&amp;"初始",$S$3:$AE$63,MATCH(BP$3,$S$3:$AE$3,0),FALSE))*$BL213/VLOOKUP(VLOOKUP($BJ213,坦克个性化设定!$B$18:$E$48,4,FALSE)&amp;$BK213,坦克属性分配比例,MATCH("升星次数",坦克属性分配比例标头,0),FALSE)*(VLOOKUP(VLOOKUP($BJ213,坦克个性化设定!$B$18:$E$48,4,FALSE)&amp;$BK213,坦克属性分配比例,MATCH("升星比例",坦克属性分配比例标头,0),FALSE)+VLOOKUP(VLOOKUP($BJ213,坦克个性化设定!$B$18:$E$48,4,FALSE)&amp;$BK213,坦克属性分配比例,MATCH("部件比例",坦克属性分配比例标头,0),FALSE)*$C$3),0)</f>
        <v>361</v>
      </c>
      <c r="BQ213" s="103">
        <f ca="1">ROUND(VLOOKUP($BJ213&amp;"初始",$S$3:$AE$63,MATCH(BQ$3,$S$3:$AE$3,0),FALSE)+(VLOOKUP($BJ213&amp;"最终",$S$3:$AE$63,MATCH(BQ$3,$S$3:$AE$3,0),FALSE)-VLOOKUP($BJ213&amp;"初始",$S$3:$AE$63,MATCH(BQ$3,$S$3:$AE$3,0),FALSE))*$BL213/VLOOKUP(VLOOKUP($BJ213,坦克个性化设定!$B$18:$E$48,4,FALSE)&amp;$BK213,坦克属性分配比例,MATCH("升星次数",坦克属性分配比例标头,0),FALSE)*VLOOKUP(VLOOKUP($BJ213,坦克个性化设定!$B$18:$E$48,4,FALSE)&amp;$BK213,坦克属性分配比例,MATCH("升星比例",坦克属性分配比例标头,0),FALSE),0)</f>
        <v>508</v>
      </c>
      <c r="BR213" s="2">
        <f ca="1">ROUND(VLOOKUP($BJ213&amp;"初始",$S$3:$AE$63,MATCH(BR$3,$S$3:$AE$3,0),FALSE)+(VLOOKUP($BJ213&amp;"最终",$S$3:$AE$63,MATCH(BR$3,$S$3:$AE$3,0),FALSE)-VLOOKUP($BJ213&amp;"初始",$S$3:$AE$63,MATCH(BR$3,$S$3:$AE$3,0),FALSE))*$BL213/VLOOKUP(VLOOKUP($BJ213,坦克个性化设定!$B$18:$E$48,4,FALSE)&amp;$BK213,坦克属性分配比例,MATCH("升星次数",坦克属性分配比例标头,0),FALSE),0)</f>
        <v>118</v>
      </c>
      <c r="BS213" s="2">
        <f>ROUND(VLOOKUP($BJ213,$AI$3:$AO$33,MATCH(BS$3,$AI$3:$AO$3,0),FALSE)+$BL213/VLOOKUP(VLOOKUP($BJ213,坦克个性化设定!$B$18:$E$48,4,FALSE)&amp;$BK213,坦克属性分配比例,MATCH("升星次数",坦克属性分配比例标头,0),FALSE)*VLOOKUP($BJ213,$AR$3:$AY$33,MATCH(BS$3,$AR$3:$AY$3,0),FALSE),1)</f>
        <v>47.9</v>
      </c>
      <c r="BT213" s="2">
        <f>ROUND(VLOOKUP($BJ213,$AI$3:$AO$33,MATCH(BT$3,$AI$3:$AO$3,0),FALSE)+$BL213/VLOOKUP(VLOOKUP($BJ213,坦克个性化设定!$B$18:$E$48,4,FALSE)&amp;$BK213,坦克属性分配比例,MATCH("升星次数",坦克属性分配比例标头,0),FALSE)*VLOOKUP($BJ213,$AR$3:$AY$33,MATCH(BT$3,$AR$3:$AY$3,0),FALSE),1)</f>
        <v>35</v>
      </c>
      <c r="BU213" s="2">
        <f>ROUND(VLOOKUP($BJ213,$AI$3:$AO$33,MATCH(BU$3,$AI$3:$AO$3,0),FALSE)+$BL213/VLOOKUP(VLOOKUP($BJ213,坦克个性化设定!$B$18:$E$48,4,FALSE)&amp;$BK213,坦克属性分配比例,MATCH("升星次数",坦克属性分配比例标头,0),FALSE)*VLOOKUP($BJ213,$AR$3:$AY$33,MATCH(BU$3,$AR$3:$AY$3,0),FALSE),1)</f>
        <v>7</v>
      </c>
      <c r="BV213" s="2">
        <f>IF(VLOOKUP(BJ213,坦克个性化设定!$B$18:$BC$48,MATCH("装弹类型",坦克个性化设定!$B$18:$BC$18,0),FALSE)="弹夹换弹",0,ROUND(VLOOKUP($BJ213,$AI$3:$AO$33,MATCH("换弹时间",$AI$3:$AO$3,0),FALSE)-$BL213/VLOOKUP(VLOOKUP($BJ213,坦克个性化设定!$B$18:$E$48,4,FALSE)&amp;$BK213,坦克属性分配比例,MATCH("升星次数",坦克属性分配比例标头,0),FALSE)*VLOOKUP($BJ213,$AR$3:$AY$33,MATCH("换弹时间",$AR$3:$AY$3,0),FALSE),2))</f>
        <v>4.6399999999999997</v>
      </c>
      <c r="BW213" s="2">
        <f>IF(VLOOKUP(BJ213,坦克个性化设定!$B$18:$BC$48,MATCH("装弹类型",坦克个性化设定!$B$18:$BC$18,0),FALSE)="弹夹换弹",ROUND(VLOOKUP($BJ213,$AI$3:$AO$33,MATCH("换弹时间",$AI$3:$AO$3,0),FALSE)-$BL213/VLOOKUP(VLOOKUP($BJ213,坦克个性化设定!$B$18:$E$48,4,FALSE)&amp;$BK213,坦克属性分配比例,MATCH("升星次数",坦克属性分配比例标头,0),FALSE)*VLOOKUP($BJ213,$AR$3:$AY$33,MATCH("换弹时间",$AR$3:$AY$3,0),FALSE),1),0)</f>
        <v>0</v>
      </c>
      <c r="BX213" s="2">
        <f>ROUND(VLOOKUP($BJ213,$AI$3:$AO$33,MATCH(BX$3,$AI$3:$AO$3,0),FALSE)+$BL213/VLOOKUP(VLOOKUP($BJ213,坦克个性化设定!$B$18:$E$48,4,FALSE)&amp;$BK213,坦克属性分配比例,MATCH("升星次数",坦克属性分配比例标头,0),FALSE)*VLOOKUP($BJ213,$AR$3:$AY$33,MATCH(BX$3,$AR$3:$AY$3,0),FALSE),2)</f>
        <v>2.8</v>
      </c>
      <c r="BY213" s="2">
        <f>ROUND(VLOOKUP($BJ213,$AI$3:$AO$33,MATCH(BY$3,$AI$3:$AO$3,0),FALSE)-$BL213/VLOOKUP(VLOOKUP($BJ213,坦克个性化设定!$B$18:$E$48,4,FALSE)&amp;$BK213,坦克属性分配比例,MATCH("升星次数",坦克属性分配比例标头,0),FALSE)*VLOOKUP($BJ213,$AR$3:$AY$33,MATCH(BY$3,$AR$3:$AY$3,0),FALSE),2)</f>
        <v>2.08</v>
      </c>
    </row>
    <row r="214" spans="60:77" x14ac:dyDescent="0.3">
      <c r="BH214" s="2" t="str">
        <f t="shared" si="32"/>
        <v>KV-10</v>
      </c>
      <c r="BI214" s="2">
        <f>IF(BL213&gt;=VLOOKUP(VLOOKUP(BJ213,坦克个性化设定!$B$18:$E$48,4,FALSE)&amp;BK213,坦克属性分配比例,MATCH("升星次数",坦克属性分配比例标头,0),FALSE),BI213+1,BI213)</f>
        <v>22</v>
      </c>
      <c r="BJ214" s="2" t="str">
        <f t="shared" si="33"/>
        <v>KV-1</v>
      </c>
      <c r="BK214" s="29" t="str">
        <f>VLOOKUP(BJ214,坦克个性化细分!$I$3:$J$33,2,FALSE)</f>
        <v>低</v>
      </c>
      <c r="BL214" s="2">
        <f t="shared" si="34"/>
        <v>0</v>
      </c>
      <c r="BM214" s="103">
        <f ca="1">ROUND(VLOOKUP($BJ214&amp;"初始",$S$3:$AE$63,MATCH(BM$3,$S$3:$AE$3,0),FALSE)+((VLOOKUP($BJ214&amp;"最终",$S$3:$AE$63,MATCH(BM$3,$S$3:$AE$3,0),FALSE)*坦克个性化细分!$C$9-VLOOKUP($BJ214&amp;"初始",$S$3:$AE$63,MATCH(BM$3,$S$3:$AE$3,0),FALSE))-(VLOOKUP($BJ214&amp;"最终",$S$3:$AE$63,MATCH(BM$3,$S$3:$AE$3,0),FALSE)-VLOOKUP($BJ214&amp;"初始",$S$3:$AE$63,MATCH(BM$3,$S$3:$AE$3,0),FALSE))*VLOOKUP(VLOOKUP($BJ214,坦克个性化设定!$B$18:$E$48,4,FALSE)&amp;$BK214,坦克属性分配比例,MATCH("部件比例",坦克属性分配比例标头,0),FALSE))*$BL214/VLOOKUP(VLOOKUP($BJ214,坦克个性化设定!$B$18:$E$48,4,FALSE)&amp;$BK214,坦克属性分配比例,MATCH("升星次数",坦克属性分配比例标头,0),FALSE),0)</f>
        <v>1029</v>
      </c>
      <c r="BN214" s="103">
        <f ca="1">ROUND(VLOOKUP($BJ214&amp;"初始",$S$3:$AE$63,MATCH(BN$3,$S$3:$AE$3,0),FALSE)+(VLOOKUP($BJ214&amp;"最终",$S$3:$AE$63,MATCH(BN$3,$S$3:$AE$3,0),FALSE)-VLOOKUP($BJ214&amp;"初始",$S$3:$AE$63,MATCH(BN$3,$S$3:$AE$3,0),FALSE))*$BL214/VLOOKUP(VLOOKUP($BJ214,坦克个性化设定!$B$18:$E$48,4,FALSE)&amp;$BK214,坦克属性分配比例,MATCH("升星次数",坦克属性分配比例标头,0),FALSE)*VLOOKUP(VLOOKUP($BJ214,坦克个性化设定!$B$18:$E$48,4,FALSE)&amp;$BK214,坦克属性分配比例,MATCH("升星比例",坦克属性分配比例标头,0),FALSE),0)</f>
        <v>327</v>
      </c>
      <c r="BO214" s="103">
        <f ca="1">ROUND(VLOOKUP($BJ214&amp;"初始",$S$3:$AE$63,MATCH(BO$3,$S$3:$AE$3,0),FALSE)+(VLOOKUP($BJ214&amp;"最终",$S$3:$AE$63,MATCH(BO$3,$S$3:$AE$3,0),FALSE)-VLOOKUP($BJ214&amp;"初始",$S$3:$AE$63,MATCH(BO$3,$S$3:$AE$3,0),FALSE))*$BL214/VLOOKUP(VLOOKUP($BJ214,坦克个性化设定!$B$18:$E$48,4,FALSE)&amp;$BK214,坦克属性分配比例,MATCH("升星次数",坦克属性分配比例标头,0),FALSE)*(VLOOKUP(VLOOKUP($BJ214,坦克个性化设定!$B$18:$E$48,4,FALSE)&amp;$BK214,坦克属性分配比例,MATCH("升星比例",坦克属性分配比例标头,0),FALSE)+VLOOKUP(VLOOKUP($BJ214,坦克个性化设定!$B$18:$E$48,4,FALSE)&amp;$BK214,坦克属性分配比例,MATCH("部件比例",坦克属性分配比例标头,0),FALSE)*$C$3),0)</f>
        <v>137</v>
      </c>
      <c r="BP214" s="103">
        <f ca="1">ROUND(VLOOKUP($BJ214&amp;"初始",$S$3:$AE$63,MATCH(BP$3,$S$3:$AE$3,0),FALSE)+(VLOOKUP($BJ214&amp;"最终",$S$3:$AE$63,MATCH(BP$3,$S$3:$AE$3,0),FALSE)-VLOOKUP($BJ214&amp;"初始",$S$3:$AE$63,MATCH(BP$3,$S$3:$AE$3,0),FALSE))*$BL214/VLOOKUP(VLOOKUP($BJ214,坦克个性化设定!$B$18:$E$48,4,FALSE)&amp;$BK214,坦克属性分配比例,MATCH("升星次数",坦克属性分配比例标头,0),FALSE)*(VLOOKUP(VLOOKUP($BJ214,坦克个性化设定!$B$18:$E$48,4,FALSE)&amp;$BK214,坦克属性分配比例,MATCH("升星比例",坦克属性分配比例标头,0),FALSE)+VLOOKUP(VLOOKUP($BJ214,坦克个性化设定!$B$18:$E$48,4,FALSE)&amp;$BK214,坦克属性分配比例,MATCH("部件比例",坦克属性分配比例标头,0),FALSE)*$C$3),0)</f>
        <v>343</v>
      </c>
      <c r="BQ214" s="103">
        <f ca="1">ROUND(VLOOKUP($BJ214&amp;"初始",$S$3:$AE$63,MATCH(BQ$3,$S$3:$AE$3,0),FALSE)+(VLOOKUP($BJ214&amp;"最终",$S$3:$AE$63,MATCH(BQ$3,$S$3:$AE$3,0),FALSE)-VLOOKUP($BJ214&amp;"初始",$S$3:$AE$63,MATCH(BQ$3,$S$3:$AE$3,0),FALSE))*$BL214/VLOOKUP(VLOOKUP($BJ214,坦克个性化设定!$B$18:$E$48,4,FALSE)&amp;$BK214,坦克属性分配比例,MATCH("升星次数",坦克属性分配比例标头,0),FALSE)*VLOOKUP(VLOOKUP($BJ214,坦克个性化设定!$B$18:$E$48,4,FALSE)&amp;$BK214,坦克属性分配比例,MATCH("升星比例",坦克属性分配比例标头,0),FALSE),0)</f>
        <v>504</v>
      </c>
      <c r="BR214" s="2">
        <f ca="1">ROUND(VLOOKUP($BJ214&amp;"初始",$S$3:$AE$63,MATCH(BR$3,$S$3:$AE$3,0),FALSE)+(VLOOKUP($BJ214&amp;"最终",$S$3:$AE$63,MATCH(BR$3,$S$3:$AE$3,0),FALSE)-VLOOKUP($BJ214&amp;"初始",$S$3:$AE$63,MATCH(BR$3,$S$3:$AE$3,0),FALSE))*$BL214/VLOOKUP(VLOOKUP($BJ214,坦克个性化设定!$B$18:$E$48,4,FALSE)&amp;$BK214,坦克属性分配比例,MATCH("升星次数",坦克属性分配比例标头,0),FALSE),0)</f>
        <v>109</v>
      </c>
      <c r="BS214" s="2">
        <f>ROUND(VLOOKUP($BJ214,$AI$3:$AO$33,MATCH(BS$3,$AI$3:$AO$3,0),FALSE)+$BL214/VLOOKUP(VLOOKUP($BJ214,坦克个性化设定!$B$18:$E$48,4,FALSE)&amp;$BK214,坦克属性分配比例,MATCH("升星次数",坦克属性分配比例标头,0),FALSE)*VLOOKUP($BJ214,$AR$3:$AY$33,MATCH(BS$3,$AR$3:$AY$3,0),FALSE),1)</f>
        <v>38.299999999999997</v>
      </c>
      <c r="BT214" s="2">
        <f>ROUND(VLOOKUP($BJ214,$AI$3:$AO$33,MATCH(BT$3,$AI$3:$AO$3,0),FALSE)+$BL214/VLOOKUP(VLOOKUP($BJ214,坦克个性化设定!$B$18:$E$48,4,FALSE)&amp;$BK214,坦克属性分配比例,MATCH("升星次数",坦克属性分配比例标头,0),FALSE)*VLOOKUP($BJ214,$AR$3:$AY$33,MATCH(BT$3,$AR$3:$AY$3,0),FALSE),1)</f>
        <v>28</v>
      </c>
      <c r="BU214" s="2">
        <f>ROUND(VLOOKUP($BJ214,$AI$3:$AO$33,MATCH(BU$3,$AI$3:$AO$3,0),FALSE)+$BL214/VLOOKUP(VLOOKUP($BJ214,坦克个性化设定!$B$18:$E$48,4,FALSE)&amp;$BK214,坦克属性分配比例,MATCH("升星次数",坦克属性分配比例标头,0),FALSE)*VLOOKUP($BJ214,$AR$3:$AY$33,MATCH(BU$3,$AR$3:$AY$3,0),FALSE),1)</f>
        <v>7</v>
      </c>
      <c r="BV214" s="2">
        <f>IF(VLOOKUP(BJ214,坦克个性化设定!$B$18:$BC$48,MATCH("装弹类型",坦克个性化设定!$B$18:$BC$18,0),FALSE)="弹夹换弹",0,ROUND(VLOOKUP($BJ214,$AI$3:$AO$33,MATCH("换弹时间",$AI$3:$AO$3,0),FALSE)-$BL214/VLOOKUP(VLOOKUP($BJ214,坦克个性化设定!$B$18:$E$48,4,FALSE)&amp;$BK214,坦克属性分配比例,MATCH("升星次数",坦克属性分配比例标头,0),FALSE)*VLOOKUP($BJ214,$AR$3:$AY$33,MATCH("换弹时间",$AR$3:$AY$3,0),FALSE),2))</f>
        <v>3.6</v>
      </c>
      <c r="BW214" s="2">
        <f>IF(VLOOKUP(BJ214,坦克个性化设定!$B$18:$BC$48,MATCH("装弹类型",坦克个性化设定!$B$18:$BC$18,0),FALSE)="弹夹换弹",ROUND(VLOOKUP($BJ214,$AI$3:$AO$33,MATCH("换弹时间",$AI$3:$AO$3,0),FALSE)-$BL214/VLOOKUP(VLOOKUP($BJ214,坦克个性化设定!$B$18:$E$48,4,FALSE)&amp;$BK214,坦克属性分配比例,MATCH("升星次数",坦克属性分配比例标头,0),FALSE)*VLOOKUP($BJ214,$AR$3:$AY$33,MATCH("换弹时间",$AR$3:$AY$3,0),FALSE),1),0)</f>
        <v>0</v>
      </c>
      <c r="BX214" s="2">
        <f>ROUND(VLOOKUP($BJ214,$AI$3:$AO$33,MATCH(BX$3,$AI$3:$AO$3,0),FALSE)+$BL214/VLOOKUP(VLOOKUP($BJ214,坦克个性化设定!$B$18:$E$48,4,FALSE)&amp;$BK214,坦克属性分配比例,MATCH("升星次数",坦克属性分配比例标头,0),FALSE)*VLOOKUP($BJ214,$AR$3:$AY$33,MATCH(BX$3,$AR$3:$AY$3,0),FALSE),2)</f>
        <v>1.88</v>
      </c>
      <c r="BY214" s="2">
        <f>ROUND(VLOOKUP($BJ214,$AI$3:$AO$33,MATCH(BY$3,$AI$3:$AO$3,0),FALSE)-$BL214/VLOOKUP(VLOOKUP($BJ214,坦克个性化设定!$B$18:$E$48,4,FALSE)&amp;$BK214,坦克属性分配比例,MATCH("升星次数",坦克属性分配比例标头,0),FALSE)*VLOOKUP($BJ214,$AR$3:$AY$33,MATCH(BY$3,$AR$3:$AY$3,0),FALSE),2)</f>
        <v>2.19</v>
      </c>
    </row>
    <row r="215" spans="60:77" x14ac:dyDescent="0.3">
      <c r="BH215" s="2" t="str">
        <f t="shared" si="32"/>
        <v>KV-11</v>
      </c>
      <c r="BI215" s="2">
        <f>IF(BL214&gt;=VLOOKUP(VLOOKUP(BJ214,坦克个性化设定!$B$18:$E$48,4,FALSE)&amp;BK214,坦克属性分配比例,MATCH("升星次数",坦克属性分配比例标头,0),FALSE),BI214+1,BI214)</f>
        <v>22</v>
      </c>
      <c r="BJ215" s="2" t="str">
        <f t="shared" si="33"/>
        <v>KV-1</v>
      </c>
      <c r="BK215" s="29" t="str">
        <f>VLOOKUP(BJ215,坦克个性化细分!$I$3:$J$33,2,FALSE)</f>
        <v>低</v>
      </c>
      <c r="BL215" s="2">
        <f t="shared" si="34"/>
        <v>1</v>
      </c>
      <c r="BM215" s="103">
        <f ca="1">ROUND(VLOOKUP($BJ215&amp;"初始",$S$3:$AE$63,MATCH(BM$3,$S$3:$AE$3,0),FALSE)+((VLOOKUP($BJ215&amp;"最终",$S$3:$AE$63,MATCH(BM$3,$S$3:$AE$3,0),FALSE)*坦克个性化细分!$C$9-VLOOKUP($BJ215&amp;"初始",$S$3:$AE$63,MATCH(BM$3,$S$3:$AE$3,0),FALSE))-(VLOOKUP($BJ215&amp;"最终",$S$3:$AE$63,MATCH(BM$3,$S$3:$AE$3,0),FALSE)-VLOOKUP($BJ215&amp;"初始",$S$3:$AE$63,MATCH(BM$3,$S$3:$AE$3,0),FALSE))*VLOOKUP(VLOOKUP($BJ215,坦克个性化设定!$B$18:$E$48,4,FALSE)&amp;$BK215,坦克属性分配比例,MATCH("部件比例",坦克属性分配比例标头,0),FALSE))*$BL215/VLOOKUP(VLOOKUP($BJ215,坦克个性化设定!$B$18:$E$48,4,FALSE)&amp;$BK215,坦克属性分配比例,MATCH("升星次数",坦克属性分配比例标头,0),FALSE),0)</f>
        <v>1097</v>
      </c>
      <c r="BN215" s="103">
        <f ca="1">ROUND(VLOOKUP($BJ215&amp;"初始",$S$3:$AE$63,MATCH(BN$3,$S$3:$AE$3,0),FALSE)+(VLOOKUP($BJ215&amp;"最终",$S$3:$AE$63,MATCH(BN$3,$S$3:$AE$3,0),FALSE)-VLOOKUP($BJ215&amp;"初始",$S$3:$AE$63,MATCH(BN$3,$S$3:$AE$3,0),FALSE))*$BL215/VLOOKUP(VLOOKUP($BJ215,坦克个性化设定!$B$18:$E$48,4,FALSE)&amp;$BK215,坦克属性分配比例,MATCH("升星次数",坦克属性分配比例标头,0),FALSE)*VLOOKUP(VLOOKUP($BJ215,坦克个性化设定!$B$18:$E$48,4,FALSE)&amp;$BK215,坦克属性分配比例,MATCH("升星比例",坦克属性分配比例标头,0),FALSE),0)</f>
        <v>339</v>
      </c>
      <c r="BO215" s="103">
        <f ca="1">ROUND(VLOOKUP($BJ215&amp;"初始",$S$3:$AE$63,MATCH(BO$3,$S$3:$AE$3,0),FALSE)+(VLOOKUP($BJ215&amp;"最终",$S$3:$AE$63,MATCH(BO$3,$S$3:$AE$3,0),FALSE)-VLOOKUP($BJ215&amp;"初始",$S$3:$AE$63,MATCH(BO$3,$S$3:$AE$3,0),FALSE))*$BL215/VLOOKUP(VLOOKUP($BJ215,坦克个性化设定!$B$18:$E$48,4,FALSE)&amp;$BK215,坦克属性分配比例,MATCH("升星次数",坦克属性分配比例标头,0),FALSE)*(VLOOKUP(VLOOKUP($BJ215,坦克个性化设定!$B$18:$E$48,4,FALSE)&amp;$BK215,坦克属性分配比例,MATCH("升星比例",坦克属性分配比例标头,0),FALSE)+VLOOKUP(VLOOKUP($BJ215,坦克个性化设定!$B$18:$E$48,4,FALSE)&amp;$BK215,坦克属性分配比例,MATCH("部件比例",坦克属性分配比例标头,0),FALSE)*$C$3),0)</f>
        <v>144</v>
      </c>
      <c r="BP215" s="103">
        <f ca="1">ROUND(VLOOKUP($BJ215&amp;"初始",$S$3:$AE$63,MATCH(BP$3,$S$3:$AE$3,0),FALSE)+(VLOOKUP($BJ215&amp;"最终",$S$3:$AE$63,MATCH(BP$3,$S$3:$AE$3,0),FALSE)-VLOOKUP($BJ215&amp;"初始",$S$3:$AE$63,MATCH(BP$3,$S$3:$AE$3,0),FALSE))*$BL215/VLOOKUP(VLOOKUP($BJ215,坦克个性化设定!$B$18:$E$48,4,FALSE)&amp;$BK215,坦克属性分配比例,MATCH("升星次数",坦克属性分配比例标头,0),FALSE)*(VLOOKUP(VLOOKUP($BJ215,坦克个性化设定!$B$18:$E$48,4,FALSE)&amp;$BK215,坦克属性分配比例,MATCH("升星比例",坦克属性分配比例标头,0),FALSE)+VLOOKUP(VLOOKUP($BJ215,坦克个性化设定!$B$18:$E$48,4,FALSE)&amp;$BK215,坦克属性分配比例,MATCH("部件比例",坦克属性分配比例标头,0),FALSE)*$C$3),0)</f>
        <v>361</v>
      </c>
      <c r="BQ215" s="103">
        <f ca="1">ROUND(VLOOKUP($BJ215&amp;"初始",$S$3:$AE$63,MATCH(BQ$3,$S$3:$AE$3,0),FALSE)+(VLOOKUP($BJ215&amp;"最终",$S$3:$AE$63,MATCH(BQ$3,$S$3:$AE$3,0),FALSE)-VLOOKUP($BJ215&amp;"初始",$S$3:$AE$63,MATCH(BQ$3,$S$3:$AE$3,0),FALSE))*$BL215/VLOOKUP(VLOOKUP($BJ215,坦克个性化设定!$B$18:$E$48,4,FALSE)&amp;$BK215,坦克属性分配比例,MATCH("升星次数",坦克属性分配比例标头,0),FALSE)*VLOOKUP(VLOOKUP($BJ215,坦克个性化设定!$B$18:$E$48,4,FALSE)&amp;$BK215,坦克属性分配比例,MATCH("升星比例",坦克属性分配比例标头,0),FALSE),0)</f>
        <v>524</v>
      </c>
      <c r="BR215" s="2">
        <f ca="1">ROUND(VLOOKUP($BJ215&amp;"初始",$S$3:$AE$63,MATCH(BR$3,$S$3:$AE$3,0),FALSE)+(VLOOKUP($BJ215&amp;"最终",$S$3:$AE$63,MATCH(BR$3,$S$3:$AE$3,0),FALSE)-VLOOKUP($BJ215&amp;"初始",$S$3:$AE$63,MATCH(BR$3,$S$3:$AE$3,0),FALSE))*$BL215/VLOOKUP(VLOOKUP($BJ215,坦克个性化设定!$B$18:$E$48,4,FALSE)&amp;$BK215,坦克属性分配比例,MATCH("升星次数",坦克属性分配比例标头,0),FALSE),0)</f>
        <v>116</v>
      </c>
      <c r="BS215" s="2">
        <f>ROUND(VLOOKUP($BJ215,$AI$3:$AO$33,MATCH(BS$3,$AI$3:$AO$3,0),FALSE)+$BL215/VLOOKUP(VLOOKUP($BJ215,坦克个性化设定!$B$18:$E$48,4,FALSE)&amp;$BK215,坦克属性分配比例,MATCH("升星次数",坦克属性分配比例标头,0),FALSE)*VLOOKUP($BJ215,$AR$3:$AY$33,MATCH(BS$3,$AR$3:$AY$3,0),FALSE),1)</f>
        <v>39.700000000000003</v>
      </c>
      <c r="BT215" s="2">
        <f>ROUND(VLOOKUP($BJ215,$AI$3:$AO$33,MATCH(BT$3,$AI$3:$AO$3,0),FALSE)+$BL215/VLOOKUP(VLOOKUP($BJ215,坦克个性化设定!$B$18:$E$48,4,FALSE)&amp;$BK215,坦克属性分配比例,MATCH("升星次数",坦克属性分配比例标头,0),FALSE)*VLOOKUP($BJ215,$AR$3:$AY$33,MATCH(BT$3,$AR$3:$AY$3,0),FALSE),1)</f>
        <v>29</v>
      </c>
      <c r="BU215" s="2">
        <f>ROUND(VLOOKUP($BJ215,$AI$3:$AO$33,MATCH(BU$3,$AI$3:$AO$3,0),FALSE)+$BL215/VLOOKUP(VLOOKUP($BJ215,坦克个性化设定!$B$18:$E$48,4,FALSE)&amp;$BK215,坦克属性分配比例,MATCH("升星次数",坦克属性分配比例标头,0),FALSE)*VLOOKUP($BJ215,$AR$3:$AY$33,MATCH(BU$3,$AR$3:$AY$3,0),FALSE),1)</f>
        <v>7</v>
      </c>
      <c r="BV215" s="2">
        <f>IF(VLOOKUP(BJ215,坦克个性化设定!$B$18:$BC$48,MATCH("装弹类型",坦克个性化设定!$B$18:$BC$18,0),FALSE)="弹夹换弹",0,ROUND(VLOOKUP($BJ215,$AI$3:$AO$33,MATCH("换弹时间",$AI$3:$AO$3,0),FALSE)-$BL215/VLOOKUP(VLOOKUP($BJ215,坦克个性化设定!$B$18:$E$48,4,FALSE)&amp;$BK215,坦克属性分配比例,MATCH("升星次数",坦克属性分配比例标头,0),FALSE)*VLOOKUP($BJ215,$AR$3:$AY$33,MATCH("换弹时间",$AR$3:$AY$3,0),FALSE),2))</f>
        <v>3.53</v>
      </c>
      <c r="BW215" s="2">
        <f>IF(VLOOKUP(BJ215,坦克个性化设定!$B$18:$BC$48,MATCH("装弹类型",坦克个性化设定!$B$18:$BC$18,0),FALSE)="弹夹换弹",ROUND(VLOOKUP($BJ215,$AI$3:$AO$33,MATCH("换弹时间",$AI$3:$AO$3,0),FALSE)-$BL215/VLOOKUP(VLOOKUP($BJ215,坦克个性化设定!$B$18:$E$48,4,FALSE)&amp;$BK215,坦克属性分配比例,MATCH("升星次数",坦克属性分配比例标头,0),FALSE)*VLOOKUP($BJ215,$AR$3:$AY$33,MATCH("换弹时间",$AR$3:$AY$3,0),FALSE),1),0)</f>
        <v>0</v>
      </c>
      <c r="BX215" s="2">
        <f>ROUND(VLOOKUP($BJ215,$AI$3:$AO$33,MATCH(BX$3,$AI$3:$AO$3,0),FALSE)+$BL215/VLOOKUP(VLOOKUP($BJ215,坦克个性化设定!$B$18:$E$48,4,FALSE)&amp;$BK215,坦克属性分配比例,MATCH("升星次数",坦克属性分配比例标头,0),FALSE)*VLOOKUP($BJ215,$AR$3:$AY$33,MATCH(BX$3,$AR$3:$AY$3,0),FALSE),2)</f>
        <v>1.88</v>
      </c>
      <c r="BY215" s="2">
        <f>ROUND(VLOOKUP($BJ215,$AI$3:$AO$33,MATCH(BY$3,$AI$3:$AO$3,0),FALSE)-$BL215/VLOOKUP(VLOOKUP($BJ215,坦克个性化设定!$B$18:$E$48,4,FALSE)&amp;$BK215,坦克属性分配比例,MATCH("升星次数",坦克属性分配比例标头,0),FALSE)*VLOOKUP($BJ215,$AR$3:$AY$33,MATCH(BY$3,$AR$3:$AY$3,0),FALSE),2)</f>
        <v>2.14</v>
      </c>
    </row>
    <row r="216" spans="60:77" x14ac:dyDescent="0.3">
      <c r="BH216" s="2" t="str">
        <f t="shared" si="32"/>
        <v>KV-12</v>
      </c>
      <c r="BI216" s="2">
        <f>IF(BL215&gt;=VLOOKUP(VLOOKUP(BJ215,坦克个性化设定!$B$18:$E$48,4,FALSE)&amp;BK215,坦克属性分配比例,MATCH("升星次数",坦克属性分配比例标头,0),FALSE),BI215+1,BI215)</f>
        <v>22</v>
      </c>
      <c r="BJ216" s="2" t="str">
        <f t="shared" si="33"/>
        <v>KV-1</v>
      </c>
      <c r="BK216" s="29" t="str">
        <f>VLOOKUP(BJ216,坦克个性化细分!$I$3:$J$33,2,FALSE)</f>
        <v>低</v>
      </c>
      <c r="BL216" s="2">
        <f t="shared" si="34"/>
        <v>2</v>
      </c>
      <c r="BM216" s="103">
        <f ca="1">ROUND(VLOOKUP($BJ216&amp;"初始",$S$3:$AE$63,MATCH(BM$3,$S$3:$AE$3,0),FALSE)+((VLOOKUP($BJ216&amp;"最终",$S$3:$AE$63,MATCH(BM$3,$S$3:$AE$3,0),FALSE)*坦克个性化细分!$C$9-VLOOKUP($BJ216&amp;"初始",$S$3:$AE$63,MATCH(BM$3,$S$3:$AE$3,0),FALSE))-(VLOOKUP($BJ216&amp;"最终",$S$3:$AE$63,MATCH(BM$3,$S$3:$AE$3,0),FALSE)-VLOOKUP($BJ216&amp;"初始",$S$3:$AE$63,MATCH(BM$3,$S$3:$AE$3,0),FALSE))*VLOOKUP(VLOOKUP($BJ216,坦克个性化设定!$B$18:$E$48,4,FALSE)&amp;$BK216,坦克属性分配比例,MATCH("部件比例",坦克属性分配比例标头,0),FALSE))*$BL216/VLOOKUP(VLOOKUP($BJ216,坦克个性化设定!$B$18:$E$48,4,FALSE)&amp;$BK216,坦克属性分配比例,MATCH("升星次数",坦克属性分配比例标头,0),FALSE),0)</f>
        <v>1165</v>
      </c>
      <c r="BN216" s="103">
        <f ca="1">ROUND(VLOOKUP($BJ216&amp;"初始",$S$3:$AE$63,MATCH(BN$3,$S$3:$AE$3,0),FALSE)+(VLOOKUP($BJ216&amp;"最终",$S$3:$AE$63,MATCH(BN$3,$S$3:$AE$3,0),FALSE)-VLOOKUP($BJ216&amp;"初始",$S$3:$AE$63,MATCH(BN$3,$S$3:$AE$3,0),FALSE))*$BL216/VLOOKUP(VLOOKUP($BJ216,坦克个性化设定!$B$18:$E$48,4,FALSE)&amp;$BK216,坦克属性分配比例,MATCH("升星次数",坦克属性分配比例标头,0),FALSE)*VLOOKUP(VLOOKUP($BJ216,坦克个性化设定!$B$18:$E$48,4,FALSE)&amp;$BK216,坦克属性分配比例,MATCH("升星比例",坦克属性分配比例标头,0),FALSE),0)</f>
        <v>352</v>
      </c>
      <c r="BO216" s="103">
        <f ca="1">ROUND(VLOOKUP($BJ216&amp;"初始",$S$3:$AE$63,MATCH(BO$3,$S$3:$AE$3,0),FALSE)+(VLOOKUP($BJ216&amp;"最终",$S$3:$AE$63,MATCH(BO$3,$S$3:$AE$3,0),FALSE)-VLOOKUP($BJ216&amp;"初始",$S$3:$AE$63,MATCH(BO$3,$S$3:$AE$3,0),FALSE))*$BL216/VLOOKUP(VLOOKUP($BJ216,坦克个性化设定!$B$18:$E$48,4,FALSE)&amp;$BK216,坦克属性分配比例,MATCH("升星次数",坦克属性分配比例标头,0),FALSE)*(VLOOKUP(VLOOKUP($BJ216,坦克个性化设定!$B$18:$E$48,4,FALSE)&amp;$BK216,坦克属性分配比例,MATCH("升星比例",坦克属性分配比例标头,0),FALSE)+VLOOKUP(VLOOKUP($BJ216,坦克个性化设定!$B$18:$E$48,4,FALSE)&amp;$BK216,坦克属性分配比例,MATCH("部件比例",坦克属性分配比例标头,0),FALSE)*$C$3),0)</f>
        <v>151</v>
      </c>
      <c r="BP216" s="103">
        <f ca="1">ROUND(VLOOKUP($BJ216&amp;"初始",$S$3:$AE$63,MATCH(BP$3,$S$3:$AE$3,0),FALSE)+(VLOOKUP($BJ216&amp;"最终",$S$3:$AE$63,MATCH(BP$3,$S$3:$AE$3,0),FALSE)-VLOOKUP($BJ216&amp;"初始",$S$3:$AE$63,MATCH(BP$3,$S$3:$AE$3,0),FALSE))*$BL216/VLOOKUP(VLOOKUP($BJ216,坦克个性化设定!$B$18:$E$48,4,FALSE)&amp;$BK216,坦克属性分配比例,MATCH("升星次数",坦克属性分配比例标头,0),FALSE)*(VLOOKUP(VLOOKUP($BJ216,坦克个性化设定!$B$18:$E$48,4,FALSE)&amp;$BK216,坦克属性分配比例,MATCH("升星比例",坦克属性分配比例标头,0),FALSE)+VLOOKUP(VLOOKUP($BJ216,坦克个性化设定!$B$18:$E$48,4,FALSE)&amp;$BK216,坦克属性分配比例,MATCH("部件比例",坦克属性分配比例标头,0),FALSE)*$C$3),0)</f>
        <v>378</v>
      </c>
      <c r="BQ216" s="103">
        <f ca="1">ROUND(VLOOKUP($BJ216&amp;"初始",$S$3:$AE$63,MATCH(BQ$3,$S$3:$AE$3,0),FALSE)+(VLOOKUP($BJ216&amp;"最终",$S$3:$AE$63,MATCH(BQ$3,$S$3:$AE$3,0),FALSE)-VLOOKUP($BJ216&amp;"初始",$S$3:$AE$63,MATCH(BQ$3,$S$3:$AE$3,0),FALSE))*$BL216/VLOOKUP(VLOOKUP($BJ216,坦克个性化设定!$B$18:$E$48,4,FALSE)&amp;$BK216,坦克属性分配比例,MATCH("升星次数",坦克属性分配比例标头,0),FALSE)*VLOOKUP(VLOOKUP($BJ216,坦克个性化设定!$B$18:$E$48,4,FALSE)&amp;$BK216,坦克属性分配比例,MATCH("升星比例",坦克属性分配比例标头,0),FALSE),0)</f>
        <v>543</v>
      </c>
      <c r="BR216" s="2">
        <f ca="1">ROUND(VLOOKUP($BJ216&amp;"初始",$S$3:$AE$63,MATCH(BR$3,$S$3:$AE$3,0),FALSE)+(VLOOKUP($BJ216&amp;"最终",$S$3:$AE$63,MATCH(BR$3,$S$3:$AE$3,0),FALSE)-VLOOKUP($BJ216&amp;"初始",$S$3:$AE$63,MATCH(BR$3,$S$3:$AE$3,0),FALSE))*$BL216/VLOOKUP(VLOOKUP($BJ216,坦克个性化设定!$B$18:$E$48,4,FALSE)&amp;$BK216,坦克属性分配比例,MATCH("升星次数",坦克属性分配比例标头,0),FALSE),0)</f>
        <v>122</v>
      </c>
      <c r="BS216" s="2">
        <f>ROUND(VLOOKUP($BJ216,$AI$3:$AO$33,MATCH(BS$3,$AI$3:$AO$3,0),FALSE)+$BL216/VLOOKUP(VLOOKUP($BJ216,坦克个性化设定!$B$18:$E$48,4,FALSE)&amp;$BK216,坦克属性分配比例,MATCH("升星次数",坦克属性分配比例标头,0),FALSE)*VLOOKUP($BJ216,$AR$3:$AY$33,MATCH(BS$3,$AR$3:$AY$3,0),FALSE),1)</f>
        <v>41</v>
      </c>
      <c r="BT216" s="2">
        <f>ROUND(VLOOKUP($BJ216,$AI$3:$AO$33,MATCH(BT$3,$AI$3:$AO$3,0),FALSE)+$BL216/VLOOKUP(VLOOKUP($BJ216,坦克个性化设定!$B$18:$E$48,4,FALSE)&amp;$BK216,坦克属性分配比例,MATCH("升星次数",坦克属性分配比例标头,0),FALSE)*VLOOKUP($BJ216,$AR$3:$AY$33,MATCH(BT$3,$AR$3:$AY$3,0),FALSE),1)</f>
        <v>30</v>
      </c>
      <c r="BU216" s="2">
        <f>ROUND(VLOOKUP($BJ216,$AI$3:$AO$33,MATCH(BU$3,$AI$3:$AO$3,0),FALSE)+$BL216/VLOOKUP(VLOOKUP($BJ216,坦克个性化设定!$B$18:$E$48,4,FALSE)&amp;$BK216,坦克属性分配比例,MATCH("升星次数",坦克属性分配比例标头,0),FALSE)*VLOOKUP($BJ216,$AR$3:$AY$33,MATCH(BU$3,$AR$3:$AY$3,0),FALSE),1)</f>
        <v>7</v>
      </c>
      <c r="BV216" s="2">
        <f>IF(VLOOKUP(BJ216,坦克个性化设定!$B$18:$BC$48,MATCH("装弹类型",坦克个性化设定!$B$18:$BC$18,0),FALSE)="弹夹换弹",0,ROUND(VLOOKUP($BJ216,$AI$3:$AO$33,MATCH("换弹时间",$AI$3:$AO$3,0),FALSE)-$BL216/VLOOKUP(VLOOKUP($BJ216,坦克个性化设定!$B$18:$E$48,4,FALSE)&amp;$BK216,坦克属性分配比例,MATCH("升星次数",坦克属性分配比例标头,0),FALSE)*VLOOKUP($BJ216,$AR$3:$AY$33,MATCH("换弹时间",$AR$3:$AY$3,0),FALSE),2))</f>
        <v>3.45</v>
      </c>
      <c r="BW216" s="2">
        <f>IF(VLOOKUP(BJ216,坦克个性化设定!$B$18:$BC$48,MATCH("装弹类型",坦克个性化设定!$B$18:$BC$18,0),FALSE)="弹夹换弹",ROUND(VLOOKUP($BJ216,$AI$3:$AO$33,MATCH("换弹时间",$AI$3:$AO$3,0),FALSE)-$BL216/VLOOKUP(VLOOKUP($BJ216,坦克个性化设定!$B$18:$E$48,4,FALSE)&amp;$BK216,坦克属性分配比例,MATCH("升星次数",坦克属性分配比例标头,0),FALSE)*VLOOKUP($BJ216,$AR$3:$AY$33,MATCH("换弹时间",$AR$3:$AY$3,0),FALSE),1),0)</f>
        <v>0</v>
      </c>
      <c r="BX216" s="2">
        <f>ROUND(VLOOKUP($BJ216,$AI$3:$AO$33,MATCH(BX$3,$AI$3:$AO$3,0),FALSE)+$BL216/VLOOKUP(VLOOKUP($BJ216,坦克个性化设定!$B$18:$E$48,4,FALSE)&amp;$BK216,坦克属性分配比例,MATCH("升星次数",坦克属性分配比例标头,0),FALSE)*VLOOKUP($BJ216,$AR$3:$AY$33,MATCH(BX$3,$AR$3:$AY$3,0),FALSE),2)</f>
        <v>1.88</v>
      </c>
      <c r="BY216" s="2">
        <f>ROUND(VLOOKUP($BJ216,$AI$3:$AO$33,MATCH(BY$3,$AI$3:$AO$3,0),FALSE)-$BL216/VLOOKUP(VLOOKUP($BJ216,坦克个性化设定!$B$18:$E$48,4,FALSE)&amp;$BK216,坦克属性分配比例,MATCH("升星次数",坦克属性分配比例标头,0),FALSE)*VLOOKUP($BJ216,$AR$3:$AY$33,MATCH(BY$3,$AR$3:$AY$3,0),FALSE),2)</f>
        <v>2.09</v>
      </c>
    </row>
    <row r="217" spans="60:77" x14ac:dyDescent="0.3">
      <c r="BH217" s="2" t="str">
        <f t="shared" si="32"/>
        <v>KV-13</v>
      </c>
      <c r="BI217" s="2">
        <f>IF(BL216&gt;=VLOOKUP(VLOOKUP(BJ216,坦克个性化设定!$B$18:$E$48,4,FALSE)&amp;BK216,坦克属性分配比例,MATCH("升星次数",坦克属性分配比例标头,0),FALSE),BI216+1,BI216)</f>
        <v>22</v>
      </c>
      <c r="BJ217" s="2" t="str">
        <f t="shared" si="33"/>
        <v>KV-1</v>
      </c>
      <c r="BK217" s="29" t="str">
        <f>VLOOKUP(BJ217,坦克个性化细分!$I$3:$J$33,2,FALSE)</f>
        <v>低</v>
      </c>
      <c r="BL217" s="2">
        <f t="shared" si="34"/>
        <v>3</v>
      </c>
      <c r="BM217" s="103">
        <f ca="1">ROUND(VLOOKUP($BJ217&amp;"初始",$S$3:$AE$63,MATCH(BM$3,$S$3:$AE$3,0),FALSE)+((VLOOKUP($BJ217&amp;"最终",$S$3:$AE$63,MATCH(BM$3,$S$3:$AE$3,0),FALSE)*坦克个性化细分!$C$9-VLOOKUP($BJ217&amp;"初始",$S$3:$AE$63,MATCH(BM$3,$S$3:$AE$3,0),FALSE))-(VLOOKUP($BJ217&amp;"最终",$S$3:$AE$63,MATCH(BM$3,$S$3:$AE$3,0),FALSE)-VLOOKUP($BJ217&amp;"初始",$S$3:$AE$63,MATCH(BM$3,$S$3:$AE$3,0),FALSE))*VLOOKUP(VLOOKUP($BJ217,坦克个性化设定!$B$18:$E$48,4,FALSE)&amp;$BK217,坦克属性分配比例,MATCH("部件比例",坦克属性分配比例标头,0),FALSE))*$BL217/VLOOKUP(VLOOKUP($BJ217,坦克个性化设定!$B$18:$E$48,4,FALSE)&amp;$BK217,坦克属性分配比例,MATCH("升星次数",坦克属性分配比例标头,0),FALSE),0)</f>
        <v>1233</v>
      </c>
      <c r="BN217" s="103">
        <f ca="1">ROUND(VLOOKUP($BJ217&amp;"初始",$S$3:$AE$63,MATCH(BN$3,$S$3:$AE$3,0),FALSE)+(VLOOKUP($BJ217&amp;"最终",$S$3:$AE$63,MATCH(BN$3,$S$3:$AE$3,0),FALSE)-VLOOKUP($BJ217&amp;"初始",$S$3:$AE$63,MATCH(BN$3,$S$3:$AE$3,0),FALSE))*$BL217/VLOOKUP(VLOOKUP($BJ217,坦克个性化设定!$B$18:$E$48,4,FALSE)&amp;$BK217,坦克属性分配比例,MATCH("升星次数",坦克属性分配比例标头,0),FALSE)*VLOOKUP(VLOOKUP($BJ217,坦克个性化设定!$B$18:$E$48,4,FALSE)&amp;$BK217,坦克属性分配比例,MATCH("升星比例",坦克属性分配比例标头,0),FALSE),0)</f>
        <v>364</v>
      </c>
      <c r="BO217" s="103">
        <f ca="1">ROUND(VLOOKUP($BJ217&amp;"初始",$S$3:$AE$63,MATCH(BO$3,$S$3:$AE$3,0),FALSE)+(VLOOKUP($BJ217&amp;"最终",$S$3:$AE$63,MATCH(BO$3,$S$3:$AE$3,0),FALSE)-VLOOKUP($BJ217&amp;"初始",$S$3:$AE$63,MATCH(BO$3,$S$3:$AE$3,0),FALSE))*$BL217/VLOOKUP(VLOOKUP($BJ217,坦克个性化设定!$B$18:$E$48,4,FALSE)&amp;$BK217,坦克属性分配比例,MATCH("升星次数",坦克属性分配比例标头,0),FALSE)*(VLOOKUP(VLOOKUP($BJ217,坦克个性化设定!$B$18:$E$48,4,FALSE)&amp;$BK217,坦克属性分配比例,MATCH("升星比例",坦克属性分配比例标头,0),FALSE)+VLOOKUP(VLOOKUP($BJ217,坦克个性化设定!$B$18:$E$48,4,FALSE)&amp;$BK217,坦克属性分配比例,MATCH("部件比例",坦克属性分配比例标头,0),FALSE)*$C$3),0)</f>
        <v>158</v>
      </c>
      <c r="BP217" s="103">
        <f ca="1">ROUND(VLOOKUP($BJ217&amp;"初始",$S$3:$AE$63,MATCH(BP$3,$S$3:$AE$3,0),FALSE)+(VLOOKUP($BJ217&amp;"最终",$S$3:$AE$63,MATCH(BP$3,$S$3:$AE$3,0),FALSE)-VLOOKUP($BJ217&amp;"初始",$S$3:$AE$63,MATCH(BP$3,$S$3:$AE$3,0),FALSE))*$BL217/VLOOKUP(VLOOKUP($BJ217,坦克个性化设定!$B$18:$E$48,4,FALSE)&amp;$BK217,坦克属性分配比例,MATCH("升星次数",坦克属性分配比例标头,0),FALSE)*(VLOOKUP(VLOOKUP($BJ217,坦克个性化设定!$B$18:$E$48,4,FALSE)&amp;$BK217,坦克属性分配比例,MATCH("升星比例",坦克属性分配比例标头,0),FALSE)+VLOOKUP(VLOOKUP($BJ217,坦克个性化设定!$B$18:$E$48,4,FALSE)&amp;$BK217,坦克属性分配比例,MATCH("部件比例",坦克属性分配比例标头,0),FALSE)*$C$3),0)</f>
        <v>396</v>
      </c>
      <c r="BQ217" s="103">
        <f ca="1">ROUND(VLOOKUP($BJ217&amp;"初始",$S$3:$AE$63,MATCH(BQ$3,$S$3:$AE$3,0),FALSE)+(VLOOKUP($BJ217&amp;"最终",$S$3:$AE$63,MATCH(BQ$3,$S$3:$AE$3,0),FALSE)-VLOOKUP($BJ217&amp;"初始",$S$3:$AE$63,MATCH(BQ$3,$S$3:$AE$3,0),FALSE))*$BL217/VLOOKUP(VLOOKUP($BJ217,坦克个性化设定!$B$18:$E$48,4,FALSE)&amp;$BK217,坦克属性分配比例,MATCH("升星次数",坦克属性分配比例标头,0),FALSE)*VLOOKUP(VLOOKUP($BJ217,坦克个性化设定!$B$18:$E$48,4,FALSE)&amp;$BK217,坦克属性分配比例,MATCH("升星比例",坦克属性分配比例标头,0),FALSE),0)</f>
        <v>563</v>
      </c>
      <c r="BR217" s="2">
        <f ca="1">ROUND(VLOOKUP($BJ217&amp;"初始",$S$3:$AE$63,MATCH(BR$3,$S$3:$AE$3,0),FALSE)+(VLOOKUP($BJ217&amp;"最终",$S$3:$AE$63,MATCH(BR$3,$S$3:$AE$3,0),FALSE)-VLOOKUP($BJ217&amp;"初始",$S$3:$AE$63,MATCH(BR$3,$S$3:$AE$3,0),FALSE))*$BL217/VLOOKUP(VLOOKUP($BJ217,坦克个性化设定!$B$18:$E$48,4,FALSE)&amp;$BK217,坦克属性分配比例,MATCH("升星次数",坦克属性分配比例标头,0),FALSE),0)</f>
        <v>129</v>
      </c>
      <c r="BS217" s="2">
        <f>ROUND(VLOOKUP($BJ217,$AI$3:$AO$33,MATCH(BS$3,$AI$3:$AO$3,0),FALSE)+$BL217/VLOOKUP(VLOOKUP($BJ217,坦克个性化设定!$B$18:$E$48,4,FALSE)&amp;$BK217,坦克属性分配比例,MATCH("升星次数",坦克属性分配比例标头,0),FALSE)*VLOOKUP($BJ217,$AR$3:$AY$33,MATCH(BS$3,$AR$3:$AY$3,0),FALSE),1)</f>
        <v>42.4</v>
      </c>
      <c r="BT217" s="2">
        <f>ROUND(VLOOKUP($BJ217,$AI$3:$AO$33,MATCH(BT$3,$AI$3:$AO$3,0),FALSE)+$BL217/VLOOKUP(VLOOKUP($BJ217,坦克个性化设定!$B$18:$E$48,4,FALSE)&amp;$BK217,坦克属性分配比例,MATCH("升星次数",坦克属性分配比例标头,0),FALSE)*VLOOKUP($BJ217,$AR$3:$AY$33,MATCH(BT$3,$AR$3:$AY$3,0),FALSE),1)</f>
        <v>31</v>
      </c>
      <c r="BU217" s="2">
        <f>ROUND(VLOOKUP($BJ217,$AI$3:$AO$33,MATCH(BU$3,$AI$3:$AO$3,0),FALSE)+$BL217/VLOOKUP(VLOOKUP($BJ217,坦克个性化设定!$B$18:$E$48,4,FALSE)&amp;$BK217,坦克属性分配比例,MATCH("升星次数",坦克属性分配比例标头,0),FALSE)*VLOOKUP($BJ217,$AR$3:$AY$33,MATCH(BU$3,$AR$3:$AY$3,0),FALSE),1)</f>
        <v>7</v>
      </c>
      <c r="BV217" s="2">
        <f>IF(VLOOKUP(BJ217,坦克个性化设定!$B$18:$BC$48,MATCH("装弹类型",坦克个性化设定!$B$18:$BC$18,0),FALSE)="弹夹换弹",0,ROUND(VLOOKUP($BJ217,$AI$3:$AO$33,MATCH("换弹时间",$AI$3:$AO$3,0),FALSE)-$BL217/VLOOKUP(VLOOKUP($BJ217,坦克个性化设定!$B$18:$E$48,4,FALSE)&amp;$BK217,坦克属性分配比例,MATCH("升星次数",坦克属性分配比例标头,0),FALSE)*VLOOKUP($BJ217,$AR$3:$AY$33,MATCH("换弹时间",$AR$3:$AY$3,0),FALSE),2))</f>
        <v>3.38</v>
      </c>
      <c r="BW217" s="2">
        <f>IF(VLOOKUP(BJ217,坦克个性化设定!$B$18:$BC$48,MATCH("装弹类型",坦克个性化设定!$B$18:$BC$18,0),FALSE)="弹夹换弹",ROUND(VLOOKUP($BJ217,$AI$3:$AO$33,MATCH("换弹时间",$AI$3:$AO$3,0),FALSE)-$BL217/VLOOKUP(VLOOKUP($BJ217,坦克个性化设定!$B$18:$E$48,4,FALSE)&amp;$BK217,坦克属性分配比例,MATCH("升星次数",坦克属性分配比例标头,0),FALSE)*VLOOKUP($BJ217,$AR$3:$AY$33,MATCH("换弹时间",$AR$3:$AY$3,0),FALSE),1),0)</f>
        <v>0</v>
      </c>
      <c r="BX217" s="2">
        <f>ROUND(VLOOKUP($BJ217,$AI$3:$AO$33,MATCH(BX$3,$AI$3:$AO$3,0),FALSE)+$BL217/VLOOKUP(VLOOKUP($BJ217,坦克个性化设定!$B$18:$E$48,4,FALSE)&amp;$BK217,坦克属性分配比例,MATCH("升星次数",坦克属性分配比例标头,0),FALSE)*VLOOKUP($BJ217,$AR$3:$AY$33,MATCH(BX$3,$AR$3:$AY$3,0),FALSE),2)</f>
        <v>1.88</v>
      </c>
      <c r="BY217" s="2">
        <f>ROUND(VLOOKUP($BJ217,$AI$3:$AO$33,MATCH(BY$3,$AI$3:$AO$3,0),FALSE)-$BL217/VLOOKUP(VLOOKUP($BJ217,坦克个性化设定!$B$18:$E$48,4,FALSE)&amp;$BK217,坦克属性分配比例,MATCH("升星次数",坦克属性分配比例标头,0),FALSE)*VLOOKUP($BJ217,$AR$3:$AY$33,MATCH(BY$3,$AR$3:$AY$3,0),FALSE),2)</f>
        <v>2.04</v>
      </c>
    </row>
    <row r="218" spans="60:77" x14ac:dyDescent="0.3">
      <c r="BH218" s="2" t="str">
        <f t="shared" si="32"/>
        <v>KV-14</v>
      </c>
      <c r="BI218" s="2">
        <f>IF(BL217&gt;=VLOOKUP(VLOOKUP(BJ217,坦克个性化设定!$B$18:$E$48,4,FALSE)&amp;BK217,坦克属性分配比例,MATCH("升星次数",坦克属性分配比例标头,0),FALSE),BI217+1,BI217)</f>
        <v>22</v>
      </c>
      <c r="BJ218" s="2" t="str">
        <f t="shared" si="33"/>
        <v>KV-1</v>
      </c>
      <c r="BK218" s="29" t="str">
        <f>VLOOKUP(BJ218,坦克个性化细分!$I$3:$J$33,2,FALSE)</f>
        <v>低</v>
      </c>
      <c r="BL218" s="2">
        <f t="shared" si="34"/>
        <v>4</v>
      </c>
      <c r="BM218" s="103">
        <f ca="1">ROUND(VLOOKUP($BJ218&amp;"初始",$S$3:$AE$63,MATCH(BM$3,$S$3:$AE$3,0),FALSE)+((VLOOKUP($BJ218&amp;"最终",$S$3:$AE$63,MATCH(BM$3,$S$3:$AE$3,0),FALSE)*坦克个性化细分!$C$9-VLOOKUP($BJ218&amp;"初始",$S$3:$AE$63,MATCH(BM$3,$S$3:$AE$3,0),FALSE))-(VLOOKUP($BJ218&amp;"最终",$S$3:$AE$63,MATCH(BM$3,$S$3:$AE$3,0),FALSE)-VLOOKUP($BJ218&amp;"初始",$S$3:$AE$63,MATCH(BM$3,$S$3:$AE$3,0),FALSE))*VLOOKUP(VLOOKUP($BJ218,坦克个性化设定!$B$18:$E$48,4,FALSE)&amp;$BK218,坦克属性分配比例,MATCH("部件比例",坦克属性分配比例标头,0),FALSE))*$BL218/VLOOKUP(VLOOKUP($BJ218,坦克个性化设定!$B$18:$E$48,4,FALSE)&amp;$BK218,坦克属性分配比例,MATCH("升星次数",坦克属性分配比例标头,0),FALSE),0)</f>
        <v>1301</v>
      </c>
      <c r="BN218" s="103">
        <f ca="1">ROUND(VLOOKUP($BJ218&amp;"初始",$S$3:$AE$63,MATCH(BN$3,$S$3:$AE$3,0),FALSE)+(VLOOKUP($BJ218&amp;"最终",$S$3:$AE$63,MATCH(BN$3,$S$3:$AE$3,0),FALSE)-VLOOKUP($BJ218&amp;"初始",$S$3:$AE$63,MATCH(BN$3,$S$3:$AE$3,0),FALSE))*$BL218/VLOOKUP(VLOOKUP($BJ218,坦克个性化设定!$B$18:$E$48,4,FALSE)&amp;$BK218,坦克属性分配比例,MATCH("升星次数",坦克属性分配比例标头,0),FALSE)*VLOOKUP(VLOOKUP($BJ218,坦克个性化设定!$B$18:$E$48,4,FALSE)&amp;$BK218,坦克属性分配比例,MATCH("升星比例",坦克属性分配比例标头,0),FALSE),0)</f>
        <v>377</v>
      </c>
      <c r="BO218" s="103">
        <f ca="1">ROUND(VLOOKUP($BJ218&amp;"初始",$S$3:$AE$63,MATCH(BO$3,$S$3:$AE$3,0),FALSE)+(VLOOKUP($BJ218&amp;"最终",$S$3:$AE$63,MATCH(BO$3,$S$3:$AE$3,0),FALSE)-VLOOKUP($BJ218&amp;"初始",$S$3:$AE$63,MATCH(BO$3,$S$3:$AE$3,0),FALSE))*$BL218/VLOOKUP(VLOOKUP($BJ218,坦克个性化设定!$B$18:$E$48,4,FALSE)&amp;$BK218,坦克属性分配比例,MATCH("升星次数",坦克属性分配比例标头,0),FALSE)*(VLOOKUP(VLOOKUP($BJ218,坦克个性化设定!$B$18:$E$48,4,FALSE)&amp;$BK218,坦克属性分配比例,MATCH("升星比例",坦克属性分配比例标头,0),FALSE)+VLOOKUP(VLOOKUP($BJ218,坦克个性化设定!$B$18:$E$48,4,FALSE)&amp;$BK218,坦克属性分配比例,MATCH("部件比例",坦克属性分配比例标头,0),FALSE)*$C$3),0)</f>
        <v>165</v>
      </c>
      <c r="BP218" s="103">
        <f ca="1">ROUND(VLOOKUP($BJ218&amp;"初始",$S$3:$AE$63,MATCH(BP$3,$S$3:$AE$3,0),FALSE)+(VLOOKUP($BJ218&amp;"最终",$S$3:$AE$63,MATCH(BP$3,$S$3:$AE$3,0),FALSE)-VLOOKUP($BJ218&amp;"初始",$S$3:$AE$63,MATCH(BP$3,$S$3:$AE$3,0),FALSE))*$BL218/VLOOKUP(VLOOKUP($BJ218,坦克个性化设定!$B$18:$E$48,4,FALSE)&amp;$BK218,坦克属性分配比例,MATCH("升星次数",坦克属性分配比例标头,0),FALSE)*(VLOOKUP(VLOOKUP($BJ218,坦克个性化设定!$B$18:$E$48,4,FALSE)&amp;$BK218,坦克属性分配比例,MATCH("升星比例",坦克属性分配比例标头,0),FALSE)+VLOOKUP(VLOOKUP($BJ218,坦克个性化设定!$B$18:$E$48,4,FALSE)&amp;$BK218,坦克属性分配比例,MATCH("部件比例",坦克属性分配比例标头,0),FALSE)*$C$3),0)</f>
        <v>413</v>
      </c>
      <c r="BQ218" s="103">
        <f ca="1">ROUND(VLOOKUP($BJ218&amp;"初始",$S$3:$AE$63,MATCH(BQ$3,$S$3:$AE$3,0),FALSE)+(VLOOKUP($BJ218&amp;"最终",$S$3:$AE$63,MATCH(BQ$3,$S$3:$AE$3,0),FALSE)-VLOOKUP($BJ218&amp;"初始",$S$3:$AE$63,MATCH(BQ$3,$S$3:$AE$3,0),FALSE))*$BL218/VLOOKUP(VLOOKUP($BJ218,坦克个性化设定!$B$18:$E$48,4,FALSE)&amp;$BK218,坦克属性分配比例,MATCH("升星次数",坦克属性分配比例标头,0),FALSE)*VLOOKUP(VLOOKUP($BJ218,坦克个性化设定!$B$18:$E$48,4,FALSE)&amp;$BK218,坦克属性分配比例,MATCH("升星比例",坦克属性分配比例标头,0),FALSE),0)</f>
        <v>582</v>
      </c>
      <c r="BR218" s="2">
        <f ca="1">ROUND(VLOOKUP($BJ218&amp;"初始",$S$3:$AE$63,MATCH(BR$3,$S$3:$AE$3,0),FALSE)+(VLOOKUP($BJ218&amp;"最终",$S$3:$AE$63,MATCH(BR$3,$S$3:$AE$3,0),FALSE)-VLOOKUP($BJ218&amp;"初始",$S$3:$AE$63,MATCH(BR$3,$S$3:$AE$3,0),FALSE))*$BL218/VLOOKUP(VLOOKUP($BJ218,坦克个性化设定!$B$18:$E$48,4,FALSE)&amp;$BK218,坦克属性分配比例,MATCH("升星次数",坦克属性分配比例标头,0),FALSE),0)</f>
        <v>135</v>
      </c>
      <c r="BS218" s="2">
        <f>ROUND(VLOOKUP($BJ218,$AI$3:$AO$33,MATCH(BS$3,$AI$3:$AO$3,0),FALSE)+$BL218/VLOOKUP(VLOOKUP($BJ218,坦克个性化设定!$B$18:$E$48,4,FALSE)&amp;$BK218,坦克属性分配比例,MATCH("升星次数",坦克属性分配比例标头,0),FALSE)*VLOOKUP($BJ218,$AR$3:$AY$33,MATCH(BS$3,$AR$3:$AY$3,0),FALSE),1)</f>
        <v>43.8</v>
      </c>
      <c r="BT218" s="2">
        <f>ROUND(VLOOKUP($BJ218,$AI$3:$AO$33,MATCH(BT$3,$AI$3:$AO$3,0),FALSE)+$BL218/VLOOKUP(VLOOKUP($BJ218,坦克个性化设定!$B$18:$E$48,4,FALSE)&amp;$BK218,坦克属性分配比例,MATCH("升星次数",坦克属性分配比例标头,0),FALSE)*VLOOKUP($BJ218,$AR$3:$AY$33,MATCH(BT$3,$AR$3:$AY$3,0),FALSE),1)</f>
        <v>32</v>
      </c>
      <c r="BU218" s="2">
        <f>ROUND(VLOOKUP($BJ218,$AI$3:$AO$33,MATCH(BU$3,$AI$3:$AO$3,0),FALSE)+$BL218/VLOOKUP(VLOOKUP($BJ218,坦克个性化设定!$B$18:$E$48,4,FALSE)&amp;$BK218,坦克属性分配比例,MATCH("升星次数",坦克属性分配比例标头,0),FALSE)*VLOOKUP($BJ218,$AR$3:$AY$33,MATCH(BU$3,$AR$3:$AY$3,0),FALSE),1)</f>
        <v>7</v>
      </c>
      <c r="BV218" s="2">
        <f>IF(VLOOKUP(BJ218,坦克个性化设定!$B$18:$BC$48,MATCH("装弹类型",坦克个性化设定!$B$18:$BC$18,0),FALSE)="弹夹换弹",0,ROUND(VLOOKUP($BJ218,$AI$3:$AO$33,MATCH("换弹时间",$AI$3:$AO$3,0),FALSE)-$BL218/VLOOKUP(VLOOKUP($BJ218,坦克个性化设定!$B$18:$E$48,4,FALSE)&amp;$BK218,坦克属性分配比例,MATCH("升星次数",坦克属性分配比例标头,0),FALSE)*VLOOKUP($BJ218,$AR$3:$AY$33,MATCH("换弹时间",$AR$3:$AY$3,0),FALSE),2))</f>
        <v>3.3</v>
      </c>
      <c r="BW218" s="2">
        <f>IF(VLOOKUP(BJ218,坦克个性化设定!$B$18:$BC$48,MATCH("装弹类型",坦克个性化设定!$B$18:$BC$18,0),FALSE)="弹夹换弹",ROUND(VLOOKUP($BJ218,$AI$3:$AO$33,MATCH("换弹时间",$AI$3:$AO$3,0),FALSE)-$BL218/VLOOKUP(VLOOKUP($BJ218,坦克个性化设定!$B$18:$E$48,4,FALSE)&amp;$BK218,坦克属性分配比例,MATCH("升星次数",坦克属性分配比例标头,0),FALSE)*VLOOKUP($BJ218,$AR$3:$AY$33,MATCH("换弹时间",$AR$3:$AY$3,0),FALSE),1),0)</f>
        <v>0</v>
      </c>
      <c r="BX218" s="2">
        <f>ROUND(VLOOKUP($BJ218,$AI$3:$AO$33,MATCH(BX$3,$AI$3:$AO$3,0),FALSE)+$BL218/VLOOKUP(VLOOKUP($BJ218,坦克个性化设定!$B$18:$E$48,4,FALSE)&amp;$BK218,坦克属性分配比例,MATCH("升星次数",坦克属性分配比例标头,0),FALSE)*VLOOKUP($BJ218,$AR$3:$AY$33,MATCH(BX$3,$AR$3:$AY$3,0),FALSE),2)</f>
        <v>1.88</v>
      </c>
      <c r="BY218" s="2">
        <f>ROUND(VLOOKUP($BJ218,$AI$3:$AO$33,MATCH(BY$3,$AI$3:$AO$3,0),FALSE)-$BL218/VLOOKUP(VLOOKUP($BJ218,坦克个性化设定!$B$18:$E$48,4,FALSE)&amp;$BK218,坦克属性分配比例,MATCH("升星次数",坦克属性分配比例标头,0),FALSE)*VLOOKUP($BJ218,$AR$3:$AY$33,MATCH(BY$3,$AR$3:$AY$3,0),FALSE),2)</f>
        <v>1.98</v>
      </c>
    </row>
    <row r="219" spans="60:77" x14ac:dyDescent="0.3">
      <c r="BH219" s="2" t="str">
        <f t="shared" si="32"/>
        <v>KV-15</v>
      </c>
      <c r="BI219" s="2">
        <f>IF(BL218&gt;=VLOOKUP(VLOOKUP(BJ218,坦克个性化设定!$B$18:$E$48,4,FALSE)&amp;BK218,坦克属性分配比例,MATCH("升星次数",坦克属性分配比例标头,0),FALSE),BI218+1,BI218)</f>
        <v>22</v>
      </c>
      <c r="BJ219" s="2" t="str">
        <f t="shared" si="33"/>
        <v>KV-1</v>
      </c>
      <c r="BK219" s="29" t="str">
        <f>VLOOKUP(BJ219,坦克个性化细分!$I$3:$J$33,2,FALSE)</f>
        <v>低</v>
      </c>
      <c r="BL219" s="2">
        <f t="shared" si="34"/>
        <v>5</v>
      </c>
      <c r="BM219" s="103">
        <f ca="1">ROUND(VLOOKUP($BJ219&amp;"初始",$S$3:$AE$63,MATCH(BM$3,$S$3:$AE$3,0),FALSE)+((VLOOKUP($BJ219&amp;"最终",$S$3:$AE$63,MATCH(BM$3,$S$3:$AE$3,0),FALSE)*坦克个性化细分!$C$9-VLOOKUP($BJ219&amp;"初始",$S$3:$AE$63,MATCH(BM$3,$S$3:$AE$3,0),FALSE))-(VLOOKUP($BJ219&amp;"最终",$S$3:$AE$63,MATCH(BM$3,$S$3:$AE$3,0),FALSE)-VLOOKUP($BJ219&amp;"初始",$S$3:$AE$63,MATCH(BM$3,$S$3:$AE$3,0),FALSE))*VLOOKUP(VLOOKUP($BJ219,坦克个性化设定!$B$18:$E$48,4,FALSE)&amp;$BK219,坦克属性分配比例,MATCH("部件比例",坦克属性分配比例标头,0),FALSE))*$BL219/VLOOKUP(VLOOKUP($BJ219,坦克个性化设定!$B$18:$E$48,4,FALSE)&amp;$BK219,坦克属性分配比例,MATCH("升星次数",坦克属性分配比例标头,0),FALSE),0)</f>
        <v>1368</v>
      </c>
      <c r="BN219" s="103">
        <f ca="1">ROUND(VLOOKUP($BJ219&amp;"初始",$S$3:$AE$63,MATCH(BN$3,$S$3:$AE$3,0),FALSE)+(VLOOKUP($BJ219&amp;"最终",$S$3:$AE$63,MATCH(BN$3,$S$3:$AE$3,0),FALSE)-VLOOKUP($BJ219&amp;"初始",$S$3:$AE$63,MATCH(BN$3,$S$3:$AE$3,0),FALSE))*$BL219/VLOOKUP(VLOOKUP($BJ219,坦克个性化设定!$B$18:$E$48,4,FALSE)&amp;$BK219,坦克属性分配比例,MATCH("升星次数",坦克属性分配比例标头,0),FALSE)*VLOOKUP(VLOOKUP($BJ219,坦克个性化设定!$B$18:$E$48,4,FALSE)&amp;$BK219,坦克属性分配比例,MATCH("升星比例",坦克属性分配比例标头,0),FALSE),0)</f>
        <v>390</v>
      </c>
      <c r="BO219" s="103">
        <f ca="1">ROUND(VLOOKUP($BJ219&amp;"初始",$S$3:$AE$63,MATCH(BO$3,$S$3:$AE$3,0),FALSE)+(VLOOKUP($BJ219&amp;"最终",$S$3:$AE$63,MATCH(BO$3,$S$3:$AE$3,0),FALSE)-VLOOKUP($BJ219&amp;"初始",$S$3:$AE$63,MATCH(BO$3,$S$3:$AE$3,0),FALSE))*$BL219/VLOOKUP(VLOOKUP($BJ219,坦克个性化设定!$B$18:$E$48,4,FALSE)&amp;$BK219,坦克属性分配比例,MATCH("升星次数",坦克属性分配比例标头,0),FALSE)*(VLOOKUP(VLOOKUP($BJ219,坦克个性化设定!$B$18:$E$48,4,FALSE)&amp;$BK219,坦克属性分配比例,MATCH("升星比例",坦克属性分配比例标头,0),FALSE)+VLOOKUP(VLOOKUP($BJ219,坦克个性化设定!$B$18:$E$48,4,FALSE)&amp;$BK219,坦克属性分配比例,MATCH("部件比例",坦克属性分配比例标头,0),FALSE)*$C$3),0)</f>
        <v>172</v>
      </c>
      <c r="BP219" s="103">
        <f ca="1">ROUND(VLOOKUP($BJ219&amp;"初始",$S$3:$AE$63,MATCH(BP$3,$S$3:$AE$3,0),FALSE)+(VLOOKUP($BJ219&amp;"最终",$S$3:$AE$63,MATCH(BP$3,$S$3:$AE$3,0),FALSE)-VLOOKUP($BJ219&amp;"初始",$S$3:$AE$63,MATCH(BP$3,$S$3:$AE$3,0),FALSE))*$BL219/VLOOKUP(VLOOKUP($BJ219,坦克个性化设定!$B$18:$E$48,4,FALSE)&amp;$BK219,坦克属性分配比例,MATCH("升星次数",坦克属性分配比例标头,0),FALSE)*(VLOOKUP(VLOOKUP($BJ219,坦克个性化设定!$B$18:$E$48,4,FALSE)&amp;$BK219,坦克属性分配比例,MATCH("升星比例",坦克属性分配比例标头,0),FALSE)+VLOOKUP(VLOOKUP($BJ219,坦克个性化设定!$B$18:$E$48,4,FALSE)&amp;$BK219,坦克属性分配比例,MATCH("部件比例",坦克属性分配比例标头,0),FALSE)*$C$3),0)</f>
        <v>431</v>
      </c>
      <c r="BQ219" s="103">
        <f ca="1">ROUND(VLOOKUP($BJ219&amp;"初始",$S$3:$AE$63,MATCH(BQ$3,$S$3:$AE$3,0),FALSE)+(VLOOKUP($BJ219&amp;"最终",$S$3:$AE$63,MATCH(BQ$3,$S$3:$AE$3,0),FALSE)-VLOOKUP($BJ219&amp;"初始",$S$3:$AE$63,MATCH(BQ$3,$S$3:$AE$3,0),FALSE))*$BL219/VLOOKUP(VLOOKUP($BJ219,坦克个性化设定!$B$18:$E$48,4,FALSE)&amp;$BK219,坦克属性分配比例,MATCH("升星次数",坦克属性分配比例标头,0),FALSE)*VLOOKUP(VLOOKUP($BJ219,坦克个性化设定!$B$18:$E$48,4,FALSE)&amp;$BK219,坦克属性分配比例,MATCH("升星比例",坦克属性分配比例标头,0),FALSE),0)</f>
        <v>602</v>
      </c>
      <c r="BR219" s="2">
        <f ca="1">ROUND(VLOOKUP($BJ219&amp;"初始",$S$3:$AE$63,MATCH(BR$3,$S$3:$AE$3,0),FALSE)+(VLOOKUP($BJ219&amp;"最终",$S$3:$AE$63,MATCH(BR$3,$S$3:$AE$3,0),FALSE)-VLOOKUP($BJ219&amp;"初始",$S$3:$AE$63,MATCH(BR$3,$S$3:$AE$3,0),FALSE))*$BL219/VLOOKUP(VLOOKUP($BJ219,坦克个性化设定!$B$18:$E$48,4,FALSE)&amp;$BK219,坦克属性分配比例,MATCH("升星次数",坦克属性分配比例标头,0),FALSE),0)</f>
        <v>142</v>
      </c>
      <c r="BS219" s="2">
        <f>ROUND(VLOOKUP($BJ219,$AI$3:$AO$33,MATCH(BS$3,$AI$3:$AO$3,0),FALSE)+$BL219/VLOOKUP(VLOOKUP($BJ219,坦克个性化设定!$B$18:$E$48,4,FALSE)&amp;$BK219,坦克属性分配比例,MATCH("升星次数",坦克属性分配比例标头,0),FALSE)*VLOOKUP($BJ219,$AR$3:$AY$33,MATCH(BS$3,$AR$3:$AY$3,0),FALSE),1)</f>
        <v>45.1</v>
      </c>
      <c r="BT219" s="2">
        <f>ROUND(VLOOKUP($BJ219,$AI$3:$AO$33,MATCH(BT$3,$AI$3:$AO$3,0),FALSE)+$BL219/VLOOKUP(VLOOKUP($BJ219,坦克个性化设定!$B$18:$E$48,4,FALSE)&amp;$BK219,坦克属性分配比例,MATCH("升星次数",坦克属性分配比例标头,0),FALSE)*VLOOKUP($BJ219,$AR$3:$AY$33,MATCH(BT$3,$AR$3:$AY$3,0),FALSE),1)</f>
        <v>33</v>
      </c>
      <c r="BU219" s="2">
        <f>ROUND(VLOOKUP($BJ219,$AI$3:$AO$33,MATCH(BU$3,$AI$3:$AO$3,0),FALSE)+$BL219/VLOOKUP(VLOOKUP($BJ219,坦克个性化设定!$B$18:$E$48,4,FALSE)&amp;$BK219,坦克属性分配比例,MATCH("升星次数",坦克属性分配比例标头,0),FALSE)*VLOOKUP($BJ219,$AR$3:$AY$33,MATCH(BU$3,$AR$3:$AY$3,0),FALSE),1)</f>
        <v>7</v>
      </c>
      <c r="BV219" s="2">
        <f>IF(VLOOKUP(BJ219,坦克个性化设定!$B$18:$BC$48,MATCH("装弹类型",坦克个性化设定!$B$18:$BC$18,0),FALSE)="弹夹换弹",0,ROUND(VLOOKUP($BJ219,$AI$3:$AO$33,MATCH("换弹时间",$AI$3:$AO$3,0),FALSE)-$BL219/VLOOKUP(VLOOKUP($BJ219,坦克个性化设定!$B$18:$E$48,4,FALSE)&amp;$BK219,坦克属性分配比例,MATCH("升星次数",坦克属性分配比例标头,0),FALSE)*VLOOKUP($BJ219,$AR$3:$AY$33,MATCH("换弹时间",$AR$3:$AY$3,0),FALSE),2))</f>
        <v>3.23</v>
      </c>
      <c r="BW219" s="2">
        <f>IF(VLOOKUP(BJ219,坦克个性化设定!$B$18:$BC$48,MATCH("装弹类型",坦克个性化设定!$B$18:$BC$18,0),FALSE)="弹夹换弹",ROUND(VLOOKUP($BJ219,$AI$3:$AO$33,MATCH("换弹时间",$AI$3:$AO$3,0),FALSE)-$BL219/VLOOKUP(VLOOKUP($BJ219,坦克个性化设定!$B$18:$E$48,4,FALSE)&amp;$BK219,坦克属性分配比例,MATCH("升星次数",坦克属性分配比例标头,0),FALSE)*VLOOKUP($BJ219,$AR$3:$AY$33,MATCH("换弹时间",$AR$3:$AY$3,0),FALSE),1),0)</f>
        <v>0</v>
      </c>
      <c r="BX219" s="2">
        <f>ROUND(VLOOKUP($BJ219,$AI$3:$AO$33,MATCH(BX$3,$AI$3:$AO$3,0),FALSE)+$BL219/VLOOKUP(VLOOKUP($BJ219,坦克个性化设定!$B$18:$E$48,4,FALSE)&amp;$BK219,坦克属性分配比例,MATCH("升星次数",坦克属性分配比例标头,0),FALSE)*VLOOKUP($BJ219,$AR$3:$AY$33,MATCH(BX$3,$AR$3:$AY$3,0),FALSE),2)</f>
        <v>1.88</v>
      </c>
      <c r="BY219" s="2">
        <f>ROUND(VLOOKUP($BJ219,$AI$3:$AO$33,MATCH(BY$3,$AI$3:$AO$3,0),FALSE)-$BL219/VLOOKUP(VLOOKUP($BJ219,坦克个性化设定!$B$18:$E$48,4,FALSE)&amp;$BK219,坦克属性分配比例,MATCH("升星次数",坦克属性分配比例标头,0),FALSE)*VLOOKUP($BJ219,$AR$3:$AY$33,MATCH(BY$3,$AR$3:$AY$3,0),FALSE),2)</f>
        <v>1.93</v>
      </c>
    </row>
    <row r="220" spans="60:77" x14ac:dyDescent="0.3">
      <c r="BH220" s="2" t="str">
        <f t="shared" si="32"/>
        <v>KV-16</v>
      </c>
      <c r="BI220" s="2">
        <f>IF(BL219&gt;=VLOOKUP(VLOOKUP(BJ219,坦克个性化设定!$B$18:$E$48,4,FALSE)&amp;BK219,坦克属性分配比例,MATCH("升星次数",坦克属性分配比例标头,0),FALSE),BI219+1,BI219)</f>
        <v>22</v>
      </c>
      <c r="BJ220" s="2" t="str">
        <f t="shared" si="33"/>
        <v>KV-1</v>
      </c>
      <c r="BK220" s="29" t="str">
        <f>VLOOKUP(BJ220,坦克个性化细分!$I$3:$J$33,2,FALSE)</f>
        <v>低</v>
      </c>
      <c r="BL220" s="2">
        <f t="shared" si="34"/>
        <v>6</v>
      </c>
      <c r="BM220" s="103">
        <f ca="1">ROUND(VLOOKUP($BJ220&amp;"初始",$S$3:$AE$63,MATCH(BM$3,$S$3:$AE$3,0),FALSE)+((VLOOKUP($BJ220&amp;"最终",$S$3:$AE$63,MATCH(BM$3,$S$3:$AE$3,0),FALSE)*坦克个性化细分!$C$9-VLOOKUP($BJ220&amp;"初始",$S$3:$AE$63,MATCH(BM$3,$S$3:$AE$3,0),FALSE))-(VLOOKUP($BJ220&amp;"最终",$S$3:$AE$63,MATCH(BM$3,$S$3:$AE$3,0),FALSE)-VLOOKUP($BJ220&amp;"初始",$S$3:$AE$63,MATCH(BM$3,$S$3:$AE$3,0),FALSE))*VLOOKUP(VLOOKUP($BJ220,坦克个性化设定!$B$18:$E$48,4,FALSE)&amp;$BK220,坦克属性分配比例,MATCH("部件比例",坦克属性分配比例标头,0),FALSE))*$BL220/VLOOKUP(VLOOKUP($BJ220,坦克个性化设定!$B$18:$E$48,4,FALSE)&amp;$BK220,坦克属性分配比例,MATCH("升星次数",坦克属性分配比例标头,0),FALSE),0)</f>
        <v>1436</v>
      </c>
      <c r="BN220" s="103">
        <f ca="1">ROUND(VLOOKUP($BJ220&amp;"初始",$S$3:$AE$63,MATCH(BN$3,$S$3:$AE$3,0),FALSE)+(VLOOKUP($BJ220&amp;"最终",$S$3:$AE$63,MATCH(BN$3,$S$3:$AE$3,0),FALSE)-VLOOKUP($BJ220&amp;"初始",$S$3:$AE$63,MATCH(BN$3,$S$3:$AE$3,0),FALSE))*$BL220/VLOOKUP(VLOOKUP($BJ220,坦克个性化设定!$B$18:$E$48,4,FALSE)&amp;$BK220,坦克属性分配比例,MATCH("升星次数",坦克属性分配比例标头,0),FALSE)*VLOOKUP(VLOOKUP($BJ220,坦克个性化设定!$B$18:$E$48,4,FALSE)&amp;$BK220,坦克属性分配比例,MATCH("升星比例",坦克属性分配比例标头,0),FALSE),0)</f>
        <v>402</v>
      </c>
      <c r="BO220" s="103">
        <f ca="1">ROUND(VLOOKUP($BJ220&amp;"初始",$S$3:$AE$63,MATCH(BO$3,$S$3:$AE$3,0),FALSE)+(VLOOKUP($BJ220&amp;"最终",$S$3:$AE$63,MATCH(BO$3,$S$3:$AE$3,0),FALSE)-VLOOKUP($BJ220&amp;"初始",$S$3:$AE$63,MATCH(BO$3,$S$3:$AE$3,0),FALSE))*$BL220/VLOOKUP(VLOOKUP($BJ220,坦克个性化设定!$B$18:$E$48,4,FALSE)&amp;$BK220,坦克属性分配比例,MATCH("升星次数",坦克属性分配比例标头,0),FALSE)*(VLOOKUP(VLOOKUP($BJ220,坦克个性化设定!$B$18:$E$48,4,FALSE)&amp;$BK220,坦克属性分配比例,MATCH("升星比例",坦克属性分配比例标头,0),FALSE)+VLOOKUP(VLOOKUP($BJ220,坦克个性化设定!$B$18:$E$48,4,FALSE)&amp;$BK220,坦克属性分配比例,MATCH("部件比例",坦克属性分配比例标头,0),FALSE)*$C$3),0)</f>
        <v>179</v>
      </c>
      <c r="BP220" s="103">
        <f ca="1">ROUND(VLOOKUP($BJ220&amp;"初始",$S$3:$AE$63,MATCH(BP$3,$S$3:$AE$3,0),FALSE)+(VLOOKUP($BJ220&amp;"最终",$S$3:$AE$63,MATCH(BP$3,$S$3:$AE$3,0),FALSE)-VLOOKUP($BJ220&amp;"初始",$S$3:$AE$63,MATCH(BP$3,$S$3:$AE$3,0),FALSE))*$BL220/VLOOKUP(VLOOKUP($BJ220,坦克个性化设定!$B$18:$E$48,4,FALSE)&amp;$BK220,坦克属性分配比例,MATCH("升星次数",坦克属性分配比例标头,0),FALSE)*(VLOOKUP(VLOOKUP($BJ220,坦克个性化设定!$B$18:$E$48,4,FALSE)&amp;$BK220,坦克属性分配比例,MATCH("升星比例",坦克属性分配比例标头,0),FALSE)+VLOOKUP(VLOOKUP($BJ220,坦克个性化设定!$B$18:$E$48,4,FALSE)&amp;$BK220,坦克属性分配比例,MATCH("部件比例",坦克属性分配比例标头,0),FALSE)*$C$3),0)</f>
        <v>448</v>
      </c>
      <c r="BQ220" s="103">
        <f ca="1">ROUND(VLOOKUP($BJ220&amp;"初始",$S$3:$AE$63,MATCH(BQ$3,$S$3:$AE$3,0),FALSE)+(VLOOKUP($BJ220&amp;"最终",$S$3:$AE$63,MATCH(BQ$3,$S$3:$AE$3,0),FALSE)-VLOOKUP($BJ220&amp;"初始",$S$3:$AE$63,MATCH(BQ$3,$S$3:$AE$3,0),FALSE))*$BL220/VLOOKUP(VLOOKUP($BJ220,坦克个性化设定!$B$18:$E$48,4,FALSE)&amp;$BK220,坦克属性分配比例,MATCH("升星次数",坦克属性分配比例标头,0),FALSE)*VLOOKUP(VLOOKUP($BJ220,坦克个性化设定!$B$18:$E$48,4,FALSE)&amp;$BK220,坦克属性分配比例,MATCH("升星比例",坦克属性分配比例标头,0),FALSE),0)</f>
        <v>621</v>
      </c>
      <c r="BR220" s="2">
        <f ca="1">ROUND(VLOOKUP($BJ220&amp;"初始",$S$3:$AE$63,MATCH(BR$3,$S$3:$AE$3,0),FALSE)+(VLOOKUP($BJ220&amp;"最终",$S$3:$AE$63,MATCH(BR$3,$S$3:$AE$3,0),FALSE)-VLOOKUP($BJ220&amp;"初始",$S$3:$AE$63,MATCH(BR$3,$S$3:$AE$3,0),FALSE))*$BL220/VLOOKUP(VLOOKUP($BJ220,坦克个性化设定!$B$18:$E$48,4,FALSE)&amp;$BK220,坦克属性分配比例,MATCH("升星次数",坦克属性分配比例标头,0),FALSE),0)</f>
        <v>148</v>
      </c>
      <c r="BS220" s="2">
        <f>ROUND(VLOOKUP($BJ220,$AI$3:$AO$33,MATCH(BS$3,$AI$3:$AO$3,0),FALSE)+$BL220/VLOOKUP(VLOOKUP($BJ220,坦克个性化设定!$B$18:$E$48,4,FALSE)&amp;$BK220,坦克属性分配比例,MATCH("升星次数",坦克属性分配比例标头,0),FALSE)*VLOOKUP($BJ220,$AR$3:$AY$33,MATCH(BS$3,$AR$3:$AY$3,0),FALSE),1)</f>
        <v>46.5</v>
      </c>
      <c r="BT220" s="2">
        <f>ROUND(VLOOKUP($BJ220,$AI$3:$AO$33,MATCH(BT$3,$AI$3:$AO$3,0),FALSE)+$BL220/VLOOKUP(VLOOKUP($BJ220,坦克个性化设定!$B$18:$E$48,4,FALSE)&amp;$BK220,坦克属性分配比例,MATCH("升星次数",坦克属性分配比例标头,0),FALSE)*VLOOKUP($BJ220,$AR$3:$AY$33,MATCH(BT$3,$AR$3:$AY$3,0),FALSE),1)</f>
        <v>34</v>
      </c>
      <c r="BU220" s="2">
        <f>ROUND(VLOOKUP($BJ220,$AI$3:$AO$33,MATCH(BU$3,$AI$3:$AO$3,0),FALSE)+$BL220/VLOOKUP(VLOOKUP($BJ220,坦克个性化设定!$B$18:$E$48,4,FALSE)&amp;$BK220,坦克属性分配比例,MATCH("升星次数",坦克属性分配比例标头,0),FALSE)*VLOOKUP($BJ220,$AR$3:$AY$33,MATCH(BU$3,$AR$3:$AY$3,0),FALSE),1)</f>
        <v>7</v>
      </c>
      <c r="BV220" s="2">
        <f>IF(VLOOKUP(BJ220,坦克个性化设定!$B$18:$BC$48,MATCH("装弹类型",坦克个性化设定!$B$18:$BC$18,0),FALSE)="弹夹换弹",0,ROUND(VLOOKUP($BJ220,$AI$3:$AO$33,MATCH("换弹时间",$AI$3:$AO$3,0),FALSE)-$BL220/VLOOKUP(VLOOKUP($BJ220,坦克个性化设定!$B$18:$E$48,4,FALSE)&amp;$BK220,坦克属性分配比例,MATCH("升星次数",坦克属性分配比例标头,0),FALSE)*VLOOKUP($BJ220,$AR$3:$AY$33,MATCH("换弹时间",$AR$3:$AY$3,0),FALSE),2))</f>
        <v>3.16</v>
      </c>
      <c r="BW220" s="2">
        <f>IF(VLOOKUP(BJ220,坦克个性化设定!$B$18:$BC$48,MATCH("装弹类型",坦克个性化设定!$B$18:$BC$18,0),FALSE)="弹夹换弹",ROUND(VLOOKUP($BJ220,$AI$3:$AO$33,MATCH("换弹时间",$AI$3:$AO$3,0),FALSE)-$BL220/VLOOKUP(VLOOKUP($BJ220,坦克个性化设定!$B$18:$E$48,4,FALSE)&amp;$BK220,坦克属性分配比例,MATCH("升星次数",坦克属性分配比例标头,0),FALSE)*VLOOKUP($BJ220,$AR$3:$AY$33,MATCH("换弹时间",$AR$3:$AY$3,0),FALSE),1),0)</f>
        <v>0</v>
      </c>
      <c r="BX220" s="2">
        <f>ROUND(VLOOKUP($BJ220,$AI$3:$AO$33,MATCH(BX$3,$AI$3:$AO$3,0),FALSE)+$BL220/VLOOKUP(VLOOKUP($BJ220,坦克个性化设定!$B$18:$E$48,4,FALSE)&amp;$BK220,坦克属性分配比例,MATCH("升星次数",坦克属性分配比例标头,0),FALSE)*VLOOKUP($BJ220,$AR$3:$AY$33,MATCH(BX$3,$AR$3:$AY$3,0),FALSE),2)</f>
        <v>1.88</v>
      </c>
      <c r="BY220" s="2">
        <f>ROUND(VLOOKUP($BJ220,$AI$3:$AO$33,MATCH(BY$3,$AI$3:$AO$3,0),FALSE)-$BL220/VLOOKUP(VLOOKUP($BJ220,坦克个性化设定!$B$18:$E$48,4,FALSE)&amp;$BK220,坦克属性分配比例,MATCH("升星次数",坦克属性分配比例标头,0),FALSE)*VLOOKUP($BJ220,$AR$3:$AY$33,MATCH(BY$3,$AR$3:$AY$3,0),FALSE),2)</f>
        <v>1.88</v>
      </c>
    </row>
    <row r="221" spans="60:77" x14ac:dyDescent="0.3">
      <c r="BH221" s="2" t="str">
        <f t="shared" si="32"/>
        <v>KV-17</v>
      </c>
      <c r="BI221" s="2">
        <f>IF(BL220&gt;=VLOOKUP(VLOOKUP(BJ220,坦克个性化设定!$B$18:$E$48,4,FALSE)&amp;BK220,坦克属性分配比例,MATCH("升星次数",坦克属性分配比例标头,0),FALSE),BI220+1,BI220)</f>
        <v>22</v>
      </c>
      <c r="BJ221" s="2" t="str">
        <f t="shared" si="33"/>
        <v>KV-1</v>
      </c>
      <c r="BK221" s="29" t="str">
        <f>VLOOKUP(BJ221,坦克个性化细分!$I$3:$J$33,2,FALSE)</f>
        <v>低</v>
      </c>
      <c r="BL221" s="2">
        <f t="shared" si="34"/>
        <v>7</v>
      </c>
      <c r="BM221" s="103">
        <f ca="1">ROUND(VLOOKUP($BJ221&amp;"初始",$S$3:$AE$63,MATCH(BM$3,$S$3:$AE$3,0),FALSE)+((VLOOKUP($BJ221&amp;"最终",$S$3:$AE$63,MATCH(BM$3,$S$3:$AE$3,0),FALSE)*坦克个性化细分!$C$9-VLOOKUP($BJ221&amp;"初始",$S$3:$AE$63,MATCH(BM$3,$S$3:$AE$3,0),FALSE))-(VLOOKUP($BJ221&amp;"最终",$S$3:$AE$63,MATCH(BM$3,$S$3:$AE$3,0),FALSE)-VLOOKUP($BJ221&amp;"初始",$S$3:$AE$63,MATCH(BM$3,$S$3:$AE$3,0),FALSE))*VLOOKUP(VLOOKUP($BJ221,坦克个性化设定!$B$18:$E$48,4,FALSE)&amp;$BK221,坦克属性分配比例,MATCH("部件比例",坦克属性分配比例标头,0),FALSE))*$BL221/VLOOKUP(VLOOKUP($BJ221,坦克个性化设定!$B$18:$E$48,4,FALSE)&amp;$BK221,坦克属性分配比例,MATCH("升星次数",坦克属性分配比例标头,0),FALSE),0)</f>
        <v>1504</v>
      </c>
      <c r="BN221" s="103">
        <f ca="1">ROUND(VLOOKUP($BJ221&amp;"初始",$S$3:$AE$63,MATCH(BN$3,$S$3:$AE$3,0),FALSE)+(VLOOKUP($BJ221&amp;"最终",$S$3:$AE$63,MATCH(BN$3,$S$3:$AE$3,0),FALSE)-VLOOKUP($BJ221&amp;"初始",$S$3:$AE$63,MATCH(BN$3,$S$3:$AE$3,0),FALSE))*$BL221/VLOOKUP(VLOOKUP($BJ221,坦克个性化设定!$B$18:$E$48,4,FALSE)&amp;$BK221,坦克属性分配比例,MATCH("升星次数",坦克属性分配比例标头,0),FALSE)*VLOOKUP(VLOOKUP($BJ221,坦克个性化设定!$B$18:$E$48,4,FALSE)&amp;$BK221,坦克属性分配比例,MATCH("升星比例",坦克属性分配比例标头,0),FALSE),0)</f>
        <v>415</v>
      </c>
      <c r="BO221" s="103">
        <f ca="1">ROUND(VLOOKUP($BJ221&amp;"初始",$S$3:$AE$63,MATCH(BO$3,$S$3:$AE$3,0),FALSE)+(VLOOKUP($BJ221&amp;"最终",$S$3:$AE$63,MATCH(BO$3,$S$3:$AE$3,0),FALSE)-VLOOKUP($BJ221&amp;"初始",$S$3:$AE$63,MATCH(BO$3,$S$3:$AE$3,0),FALSE))*$BL221/VLOOKUP(VLOOKUP($BJ221,坦克个性化设定!$B$18:$E$48,4,FALSE)&amp;$BK221,坦克属性分配比例,MATCH("升星次数",坦克属性分配比例标头,0),FALSE)*(VLOOKUP(VLOOKUP($BJ221,坦克个性化设定!$B$18:$E$48,4,FALSE)&amp;$BK221,坦克属性分配比例,MATCH("升星比例",坦克属性分配比例标头,0),FALSE)+VLOOKUP(VLOOKUP($BJ221,坦克个性化设定!$B$18:$E$48,4,FALSE)&amp;$BK221,坦克属性分配比例,MATCH("部件比例",坦克属性分配比例标头,0),FALSE)*$C$3),0)</f>
        <v>186</v>
      </c>
      <c r="BP221" s="103">
        <f ca="1">ROUND(VLOOKUP($BJ221&amp;"初始",$S$3:$AE$63,MATCH(BP$3,$S$3:$AE$3,0),FALSE)+(VLOOKUP($BJ221&amp;"最终",$S$3:$AE$63,MATCH(BP$3,$S$3:$AE$3,0),FALSE)-VLOOKUP($BJ221&amp;"初始",$S$3:$AE$63,MATCH(BP$3,$S$3:$AE$3,0),FALSE))*$BL221/VLOOKUP(VLOOKUP($BJ221,坦克个性化设定!$B$18:$E$48,4,FALSE)&amp;$BK221,坦克属性分配比例,MATCH("升星次数",坦克属性分配比例标头,0),FALSE)*(VLOOKUP(VLOOKUP($BJ221,坦克个性化设定!$B$18:$E$48,4,FALSE)&amp;$BK221,坦克属性分配比例,MATCH("升星比例",坦克属性分配比例标头,0),FALSE)+VLOOKUP(VLOOKUP($BJ221,坦克个性化设定!$B$18:$E$48,4,FALSE)&amp;$BK221,坦克属性分配比例,MATCH("部件比例",坦克属性分配比例标头,0),FALSE)*$C$3),0)</f>
        <v>466</v>
      </c>
      <c r="BQ221" s="103">
        <f ca="1">ROUND(VLOOKUP($BJ221&amp;"初始",$S$3:$AE$63,MATCH(BQ$3,$S$3:$AE$3,0),FALSE)+(VLOOKUP($BJ221&amp;"最终",$S$3:$AE$63,MATCH(BQ$3,$S$3:$AE$3,0),FALSE)-VLOOKUP($BJ221&amp;"初始",$S$3:$AE$63,MATCH(BQ$3,$S$3:$AE$3,0),FALSE))*$BL221/VLOOKUP(VLOOKUP($BJ221,坦克个性化设定!$B$18:$E$48,4,FALSE)&amp;$BK221,坦克属性分配比例,MATCH("升星次数",坦克属性分配比例标头,0),FALSE)*VLOOKUP(VLOOKUP($BJ221,坦克个性化设定!$B$18:$E$48,4,FALSE)&amp;$BK221,坦克属性分配比例,MATCH("升星比例",坦克属性分配比例标头,0),FALSE),0)</f>
        <v>641</v>
      </c>
      <c r="BR221" s="2">
        <f ca="1">ROUND(VLOOKUP($BJ221&amp;"初始",$S$3:$AE$63,MATCH(BR$3,$S$3:$AE$3,0),FALSE)+(VLOOKUP($BJ221&amp;"最终",$S$3:$AE$63,MATCH(BR$3,$S$3:$AE$3,0),FALSE)-VLOOKUP($BJ221&amp;"初始",$S$3:$AE$63,MATCH(BR$3,$S$3:$AE$3,0),FALSE))*$BL221/VLOOKUP(VLOOKUP($BJ221,坦克个性化设定!$B$18:$E$48,4,FALSE)&amp;$BK221,坦克属性分配比例,MATCH("升星次数",坦克属性分配比例标头,0),FALSE),0)</f>
        <v>155</v>
      </c>
      <c r="BS221" s="2">
        <f>ROUND(VLOOKUP($BJ221,$AI$3:$AO$33,MATCH(BS$3,$AI$3:$AO$3,0),FALSE)+$BL221/VLOOKUP(VLOOKUP($BJ221,坦克个性化设定!$B$18:$E$48,4,FALSE)&amp;$BK221,坦克属性分配比例,MATCH("升星次数",坦克属性分配比例标头,0),FALSE)*VLOOKUP($BJ221,$AR$3:$AY$33,MATCH(BS$3,$AR$3:$AY$3,0),FALSE),1)</f>
        <v>47.9</v>
      </c>
      <c r="BT221" s="2">
        <f>ROUND(VLOOKUP($BJ221,$AI$3:$AO$33,MATCH(BT$3,$AI$3:$AO$3,0),FALSE)+$BL221/VLOOKUP(VLOOKUP($BJ221,坦克个性化设定!$B$18:$E$48,4,FALSE)&amp;$BK221,坦克属性分配比例,MATCH("升星次数",坦克属性分配比例标头,0),FALSE)*VLOOKUP($BJ221,$AR$3:$AY$33,MATCH(BT$3,$AR$3:$AY$3,0),FALSE),1)</f>
        <v>35</v>
      </c>
      <c r="BU221" s="2">
        <f>ROUND(VLOOKUP($BJ221,$AI$3:$AO$33,MATCH(BU$3,$AI$3:$AO$3,0),FALSE)+$BL221/VLOOKUP(VLOOKUP($BJ221,坦克个性化设定!$B$18:$E$48,4,FALSE)&amp;$BK221,坦克属性分配比例,MATCH("升星次数",坦克属性分配比例标头,0),FALSE)*VLOOKUP($BJ221,$AR$3:$AY$33,MATCH(BU$3,$AR$3:$AY$3,0),FALSE),1)</f>
        <v>7</v>
      </c>
      <c r="BV221" s="2">
        <f>IF(VLOOKUP(BJ221,坦克个性化设定!$B$18:$BC$48,MATCH("装弹类型",坦克个性化设定!$B$18:$BC$18,0),FALSE)="弹夹换弹",0,ROUND(VLOOKUP($BJ221,$AI$3:$AO$33,MATCH("换弹时间",$AI$3:$AO$3,0),FALSE)-$BL221/VLOOKUP(VLOOKUP($BJ221,坦克个性化设定!$B$18:$E$48,4,FALSE)&amp;$BK221,坦克属性分配比例,MATCH("升星次数",坦克属性分配比例标头,0),FALSE)*VLOOKUP($BJ221,$AR$3:$AY$33,MATCH("换弹时间",$AR$3:$AY$3,0),FALSE),2))</f>
        <v>3.08</v>
      </c>
      <c r="BW221" s="2">
        <f>IF(VLOOKUP(BJ221,坦克个性化设定!$B$18:$BC$48,MATCH("装弹类型",坦克个性化设定!$B$18:$BC$18,0),FALSE)="弹夹换弹",ROUND(VLOOKUP($BJ221,$AI$3:$AO$33,MATCH("换弹时间",$AI$3:$AO$3,0),FALSE)-$BL221/VLOOKUP(VLOOKUP($BJ221,坦克个性化设定!$B$18:$E$48,4,FALSE)&amp;$BK221,坦克属性分配比例,MATCH("升星次数",坦克属性分配比例标头,0),FALSE)*VLOOKUP($BJ221,$AR$3:$AY$33,MATCH("换弹时间",$AR$3:$AY$3,0),FALSE),1),0)</f>
        <v>0</v>
      </c>
      <c r="BX221" s="2">
        <f>ROUND(VLOOKUP($BJ221,$AI$3:$AO$33,MATCH(BX$3,$AI$3:$AO$3,0),FALSE)+$BL221/VLOOKUP(VLOOKUP($BJ221,坦克个性化设定!$B$18:$E$48,4,FALSE)&amp;$BK221,坦克属性分配比例,MATCH("升星次数",坦克属性分配比例标头,0),FALSE)*VLOOKUP($BJ221,$AR$3:$AY$33,MATCH(BX$3,$AR$3:$AY$3,0),FALSE),2)</f>
        <v>1.88</v>
      </c>
      <c r="BY221" s="2">
        <f>ROUND(VLOOKUP($BJ221,$AI$3:$AO$33,MATCH(BY$3,$AI$3:$AO$3,0),FALSE)-$BL221/VLOOKUP(VLOOKUP($BJ221,坦克个性化设定!$B$18:$E$48,4,FALSE)&amp;$BK221,坦克属性分配比例,MATCH("升星次数",坦克属性分配比例标头,0),FALSE)*VLOOKUP($BJ221,$AR$3:$AY$33,MATCH(BY$3,$AR$3:$AY$3,0),FALSE),2)</f>
        <v>1.83</v>
      </c>
    </row>
    <row r="222" spans="60:77" x14ac:dyDescent="0.3">
      <c r="BH222" s="2" t="str">
        <f t="shared" si="32"/>
        <v>丘吉尔0</v>
      </c>
      <c r="BI222" s="2">
        <f>IF(BL221&gt;=VLOOKUP(VLOOKUP(BJ221,坦克个性化设定!$B$18:$E$48,4,FALSE)&amp;BK221,坦克属性分配比例,MATCH("升星次数",坦克属性分配比例标头,0),FALSE),BI221+1,BI221)</f>
        <v>23</v>
      </c>
      <c r="BJ222" s="2" t="str">
        <f t="shared" si="33"/>
        <v>丘吉尔</v>
      </c>
      <c r="BK222" s="29" t="str">
        <f>VLOOKUP(BJ222,坦克个性化细分!$I$3:$J$33,2,FALSE)</f>
        <v>中</v>
      </c>
      <c r="BL222" s="2">
        <f t="shared" si="34"/>
        <v>0</v>
      </c>
      <c r="BM222" s="103">
        <f ca="1">ROUND(VLOOKUP($BJ222&amp;"初始",$S$3:$AE$63,MATCH(BM$3,$S$3:$AE$3,0),FALSE)+((VLOOKUP($BJ222&amp;"最终",$S$3:$AE$63,MATCH(BM$3,$S$3:$AE$3,0),FALSE)*坦克个性化细分!$C$9-VLOOKUP($BJ222&amp;"初始",$S$3:$AE$63,MATCH(BM$3,$S$3:$AE$3,0),FALSE))-(VLOOKUP($BJ222&amp;"最终",$S$3:$AE$63,MATCH(BM$3,$S$3:$AE$3,0),FALSE)-VLOOKUP($BJ222&amp;"初始",$S$3:$AE$63,MATCH(BM$3,$S$3:$AE$3,0),FALSE))*VLOOKUP(VLOOKUP($BJ222,坦克个性化设定!$B$18:$E$48,4,FALSE)&amp;$BK222,坦克属性分配比例,MATCH("部件比例",坦克属性分配比例标头,0),FALSE))*$BL222/VLOOKUP(VLOOKUP($BJ222,坦克个性化设定!$B$18:$E$48,4,FALSE)&amp;$BK222,坦克属性分配比例,MATCH("升星次数",坦克属性分配比例标头,0),FALSE),0)</f>
        <v>1079</v>
      </c>
      <c r="BN222" s="103">
        <f ca="1">ROUND(VLOOKUP($BJ222&amp;"初始",$S$3:$AE$63,MATCH(BN$3,$S$3:$AE$3,0),FALSE)+(VLOOKUP($BJ222&amp;"最终",$S$3:$AE$63,MATCH(BN$3,$S$3:$AE$3,0),FALSE)-VLOOKUP($BJ222&amp;"初始",$S$3:$AE$63,MATCH(BN$3,$S$3:$AE$3,0),FALSE))*$BL222/VLOOKUP(VLOOKUP($BJ222,坦克个性化设定!$B$18:$E$48,4,FALSE)&amp;$BK222,坦克属性分配比例,MATCH("升星次数",坦克属性分配比例标头,0),FALSE)*VLOOKUP(VLOOKUP($BJ222,坦克个性化设定!$B$18:$E$48,4,FALSE)&amp;$BK222,坦克属性分配比例,MATCH("升星比例",坦克属性分配比例标头,0),FALSE),0)</f>
        <v>520</v>
      </c>
      <c r="BO222" s="103">
        <f ca="1">ROUND(VLOOKUP($BJ222&amp;"初始",$S$3:$AE$63,MATCH(BO$3,$S$3:$AE$3,0),FALSE)+(VLOOKUP($BJ222&amp;"最终",$S$3:$AE$63,MATCH(BO$3,$S$3:$AE$3,0),FALSE)-VLOOKUP($BJ222&amp;"初始",$S$3:$AE$63,MATCH(BO$3,$S$3:$AE$3,0),FALSE))*$BL222/VLOOKUP(VLOOKUP($BJ222,坦克个性化设定!$B$18:$E$48,4,FALSE)&amp;$BK222,坦克属性分配比例,MATCH("升星次数",坦克属性分配比例标头,0),FALSE)*(VLOOKUP(VLOOKUP($BJ222,坦克个性化设定!$B$18:$E$48,4,FALSE)&amp;$BK222,坦克属性分配比例,MATCH("升星比例",坦克属性分配比例标头,0),FALSE)+VLOOKUP(VLOOKUP($BJ222,坦克个性化设定!$B$18:$E$48,4,FALSE)&amp;$BK222,坦克属性分配比例,MATCH("部件比例",坦克属性分配比例标头,0),FALSE)*$C$3),0)</f>
        <v>153</v>
      </c>
      <c r="BP222" s="103">
        <f ca="1">ROUND(VLOOKUP($BJ222&amp;"初始",$S$3:$AE$63,MATCH(BP$3,$S$3:$AE$3,0),FALSE)+(VLOOKUP($BJ222&amp;"最终",$S$3:$AE$63,MATCH(BP$3,$S$3:$AE$3,0),FALSE)-VLOOKUP($BJ222&amp;"初始",$S$3:$AE$63,MATCH(BP$3,$S$3:$AE$3,0),FALSE))*$BL222/VLOOKUP(VLOOKUP($BJ222,坦克个性化设定!$B$18:$E$48,4,FALSE)&amp;$BK222,坦克属性分配比例,MATCH("升星次数",坦克属性分配比例标头,0),FALSE)*(VLOOKUP(VLOOKUP($BJ222,坦克个性化设定!$B$18:$E$48,4,FALSE)&amp;$BK222,坦克属性分配比例,MATCH("升星比例",坦克属性分配比例标头,0),FALSE)+VLOOKUP(VLOOKUP($BJ222,坦克个性化设定!$B$18:$E$48,4,FALSE)&amp;$BK222,坦克属性分配比例,MATCH("部件比例",坦克属性分配比例标头,0),FALSE)*$C$3),0)</f>
        <v>383</v>
      </c>
      <c r="BQ222" s="103">
        <f ca="1">ROUND(VLOOKUP($BJ222&amp;"初始",$S$3:$AE$63,MATCH(BQ$3,$S$3:$AE$3,0),FALSE)+(VLOOKUP($BJ222&amp;"最终",$S$3:$AE$63,MATCH(BQ$3,$S$3:$AE$3,0),FALSE)-VLOOKUP($BJ222&amp;"初始",$S$3:$AE$63,MATCH(BQ$3,$S$3:$AE$3,0),FALSE))*$BL222/VLOOKUP(VLOOKUP($BJ222,坦克个性化设定!$B$18:$E$48,4,FALSE)&amp;$BK222,坦克属性分配比例,MATCH("升星次数",坦克属性分配比例标头,0),FALSE)*VLOOKUP(VLOOKUP($BJ222,坦克个性化设定!$B$18:$E$48,4,FALSE)&amp;$BK222,坦克属性分配比例,MATCH("升星比例",坦克属性分配比例标头,0),FALSE),0)</f>
        <v>512</v>
      </c>
      <c r="BR222" s="2">
        <f ca="1">ROUND(VLOOKUP($BJ222&amp;"初始",$S$3:$AE$63,MATCH(BR$3,$S$3:$AE$3,0),FALSE)+(VLOOKUP($BJ222&amp;"最终",$S$3:$AE$63,MATCH(BR$3,$S$3:$AE$3,0),FALSE)-VLOOKUP($BJ222&amp;"初始",$S$3:$AE$63,MATCH(BR$3,$S$3:$AE$3,0),FALSE))*$BL222/VLOOKUP(VLOOKUP($BJ222,坦克个性化设定!$B$18:$E$48,4,FALSE)&amp;$BK222,坦克属性分配比例,MATCH("升星次数",坦克属性分配比例标头,0),FALSE),0)</f>
        <v>111</v>
      </c>
      <c r="BS222" s="2">
        <f>ROUND(VLOOKUP($BJ222,$AI$3:$AO$33,MATCH(BS$3,$AI$3:$AO$3,0),FALSE)+$BL222/VLOOKUP(VLOOKUP($BJ222,坦克个性化设定!$B$18:$E$48,4,FALSE)&amp;$BK222,坦克属性分配比例,MATCH("升星次数",坦克属性分配比例标头,0),FALSE)*VLOOKUP($BJ222,$AR$3:$AY$33,MATCH(BS$3,$AR$3:$AY$3,0),FALSE),1)</f>
        <v>31.3</v>
      </c>
      <c r="BT222" s="2">
        <f>ROUND(VLOOKUP($BJ222,$AI$3:$AO$33,MATCH(BT$3,$AI$3:$AO$3,0),FALSE)+$BL222/VLOOKUP(VLOOKUP($BJ222,坦克个性化设定!$B$18:$E$48,4,FALSE)&amp;$BK222,坦克属性分配比例,MATCH("升星次数",坦克属性分配比例标头,0),FALSE)*VLOOKUP($BJ222,$AR$3:$AY$33,MATCH(BT$3,$AR$3:$AY$3,0),FALSE),1)</f>
        <v>31.4</v>
      </c>
      <c r="BU222" s="2">
        <f>ROUND(VLOOKUP($BJ222,$AI$3:$AO$33,MATCH(BU$3,$AI$3:$AO$3,0),FALSE)+$BL222/VLOOKUP(VLOOKUP($BJ222,坦克个性化设定!$B$18:$E$48,4,FALSE)&amp;$BK222,坦克属性分配比例,MATCH("升星次数",坦克属性分配比例标头,0),FALSE)*VLOOKUP($BJ222,$AR$3:$AY$33,MATCH(BU$3,$AR$3:$AY$3,0),FALSE),1)</f>
        <v>6.4</v>
      </c>
      <c r="BV222" s="2">
        <f>IF(VLOOKUP(BJ222,坦克个性化设定!$B$18:$BC$48,MATCH("装弹类型",坦克个性化设定!$B$18:$BC$18,0),FALSE)="弹夹换弹",0,ROUND(VLOOKUP($BJ222,$AI$3:$AO$33,MATCH("换弹时间",$AI$3:$AO$3,0),FALSE)-$BL222/VLOOKUP(VLOOKUP($BJ222,坦克个性化设定!$B$18:$E$48,4,FALSE)&amp;$BK222,坦克属性分配比例,MATCH("升星次数",坦克属性分配比例标头,0),FALSE)*VLOOKUP($BJ222,$AR$3:$AY$33,MATCH("换弹时间",$AR$3:$AY$3,0),FALSE),2))</f>
        <v>6</v>
      </c>
      <c r="BW222" s="2">
        <f>IF(VLOOKUP(BJ222,坦克个性化设定!$B$18:$BC$48,MATCH("装弹类型",坦克个性化设定!$B$18:$BC$18,0),FALSE)="弹夹换弹",ROUND(VLOOKUP($BJ222,$AI$3:$AO$33,MATCH("换弹时间",$AI$3:$AO$3,0),FALSE)-$BL222/VLOOKUP(VLOOKUP($BJ222,坦克个性化设定!$B$18:$E$48,4,FALSE)&amp;$BK222,坦克属性分配比例,MATCH("升星次数",坦克属性分配比例标头,0),FALSE)*VLOOKUP($BJ222,$AR$3:$AY$33,MATCH("换弹时间",$AR$3:$AY$3,0),FALSE),1),0)</f>
        <v>0</v>
      </c>
      <c r="BX222" s="2">
        <f>ROUND(VLOOKUP($BJ222,$AI$3:$AO$33,MATCH(BX$3,$AI$3:$AO$3,0),FALSE)+$BL222/VLOOKUP(VLOOKUP($BJ222,坦克个性化设定!$B$18:$E$48,4,FALSE)&amp;$BK222,坦克属性分配比例,MATCH("升星次数",坦克属性分配比例标头,0),FALSE)*VLOOKUP($BJ222,$AR$3:$AY$33,MATCH(BX$3,$AR$3:$AY$3,0),FALSE),2)</f>
        <v>0</v>
      </c>
      <c r="BY222" s="2">
        <f>ROUND(VLOOKUP($BJ222,$AI$3:$AO$33,MATCH(BY$3,$AI$3:$AO$3,0),FALSE)-$BL222/VLOOKUP(VLOOKUP($BJ222,坦克个性化设定!$B$18:$E$48,4,FALSE)&amp;$BK222,坦克属性分配比例,MATCH("升星次数",坦克属性分配比例标头,0),FALSE)*VLOOKUP($BJ222,$AR$3:$AY$33,MATCH(BY$3,$AR$3:$AY$3,0),FALSE),2)</f>
        <v>3</v>
      </c>
    </row>
    <row r="223" spans="60:77" x14ac:dyDescent="0.3">
      <c r="BH223" s="2" t="str">
        <f t="shared" si="32"/>
        <v>丘吉尔1</v>
      </c>
      <c r="BI223" s="2">
        <f>IF(BL222&gt;=VLOOKUP(VLOOKUP(BJ222,坦克个性化设定!$B$18:$E$48,4,FALSE)&amp;BK222,坦克属性分配比例,MATCH("升星次数",坦克属性分配比例标头,0),FALSE),BI222+1,BI222)</f>
        <v>23</v>
      </c>
      <c r="BJ223" s="2" t="str">
        <f t="shared" si="33"/>
        <v>丘吉尔</v>
      </c>
      <c r="BK223" s="29" t="str">
        <f>VLOOKUP(BJ223,坦克个性化细分!$I$3:$J$33,2,FALSE)</f>
        <v>中</v>
      </c>
      <c r="BL223" s="2">
        <f t="shared" si="34"/>
        <v>1</v>
      </c>
      <c r="BM223" s="103">
        <f ca="1">ROUND(VLOOKUP($BJ223&amp;"初始",$S$3:$AE$63,MATCH(BM$3,$S$3:$AE$3,0),FALSE)+((VLOOKUP($BJ223&amp;"最终",$S$3:$AE$63,MATCH(BM$3,$S$3:$AE$3,0),FALSE)*坦克个性化细分!$C$9-VLOOKUP($BJ223&amp;"初始",$S$3:$AE$63,MATCH(BM$3,$S$3:$AE$3,0),FALSE))-(VLOOKUP($BJ223&amp;"最终",$S$3:$AE$63,MATCH(BM$3,$S$3:$AE$3,0),FALSE)-VLOOKUP($BJ223&amp;"初始",$S$3:$AE$63,MATCH(BM$3,$S$3:$AE$3,0),FALSE))*VLOOKUP(VLOOKUP($BJ223,坦克个性化设定!$B$18:$E$48,4,FALSE)&amp;$BK223,坦克属性分配比例,MATCH("部件比例",坦克属性分配比例标头,0),FALSE))*$BL223/VLOOKUP(VLOOKUP($BJ223,坦克个性化设定!$B$18:$E$48,4,FALSE)&amp;$BK223,坦克属性分配比例,MATCH("升星次数",坦克属性分配比例标头,0),FALSE),0)</f>
        <v>1157</v>
      </c>
      <c r="BN223" s="103">
        <f ca="1">ROUND(VLOOKUP($BJ223&amp;"初始",$S$3:$AE$63,MATCH(BN$3,$S$3:$AE$3,0),FALSE)+(VLOOKUP($BJ223&amp;"最终",$S$3:$AE$63,MATCH(BN$3,$S$3:$AE$3,0),FALSE)-VLOOKUP($BJ223&amp;"初始",$S$3:$AE$63,MATCH(BN$3,$S$3:$AE$3,0),FALSE))*$BL223/VLOOKUP(VLOOKUP($BJ223,坦克个性化设定!$B$18:$E$48,4,FALSE)&amp;$BK223,坦克属性分配比例,MATCH("升星次数",坦克属性分配比例标头,0),FALSE)*VLOOKUP(VLOOKUP($BJ223,坦克个性化设定!$B$18:$E$48,4,FALSE)&amp;$BK223,坦克属性分配比例,MATCH("升星比例",坦克属性分配比例标头,0),FALSE),0)</f>
        <v>542</v>
      </c>
      <c r="BO223" s="103">
        <f ca="1">ROUND(VLOOKUP($BJ223&amp;"初始",$S$3:$AE$63,MATCH(BO$3,$S$3:$AE$3,0),FALSE)+(VLOOKUP($BJ223&amp;"最终",$S$3:$AE$63,MATCH(BO$3,$S$3:$AE$3,0),FALSE)-VLOOKUP($BJ223&amp;"初始",$S$3:$AE$63,MATCH(BO$3,$S$3:$AE$3,0),FALSE))*$BL223/VLOOKUP(VLOOKUP($BJ223,坦克个性化设定!$B$18:$E$48,4,FALSE)&amp;$BK223,坦克属性分配比例,MATCH("升星次数",坦克属性分配比例标头,0),FALSE)*(VLOOKUP(VLOOKUP($BJ223,坦克个性化设定!$B$18:$E$48,4,FALSE)&amp;$BK223,坦克属性分配比例,MATCH("升星比例",坦克属性分配比例标头,0),FALSE)+VLOOKUP(VLOOKUP($BJ223,坦克个性化设定!$B$18:$E$48,4,FALSE)&amp;$BK223,坦克属性分配比例,MATCH("部件比例",坦克属性分配比例标头,0),FALSE)*$C$3),0)</f>
        <v>161</v>
      </c>
      <c r="BP223" s="103">
        <f ca="1">ROUND(VLOOKUP($BJ223&amp;"初始",$S$3:$AE$63,MATCH(BP$3,$S$3:$AE$3,0),FALSE)+(VLOOKUP($BJ223&amp;"最终",$S$3:$AE$63,MATCH(BP$3,$S$3:$AE$3,0),FALSE)-VLOOKUP($BJ223&amp;"初始",$S$3:$AE$63,MATCH(BP$3,$S$3:$AE$3,0),FALSE))*$BL223/VLOOKUP(VLOOKUP($BJ223,坦克个性化设定!$B$18:$E$48,4,FALSE)&amp;$BK223,坦克属性分配比例,MATCH("升星次数",坦克属性分配比例标头,0),FALSE)*(VLOOKUP(VLOOKUP($BJ223,坦克个性化设定!$B$18:$E$48,4,FALSE)&amp;$BK223,坦克属性分配比例,MATCH("升星比例",坦克属性分配比例标头,0),FALSE)+VLOOKUP(VLOOKUP($BJ223,坦克个性化设定!$B$18:$E$48,4,FALSE)&amp;$BK223,坦克属性分配比例,MATCH("部件比例",坦克属性分配比例标头,0),FALSE)*$C$3),0)</f>
        <v>404</v>
      </c>
      <c r="BQ223" s="103">
        <f ca="1">ROUND(VLOOKUP($BJ223&amp;"初始",$S$3:$AE$63,MATCH(BQ$3,$S$3:$AE$3,0),FALSE)+(VLOOKUP($BJ223&amp;"最终",$S$3:$AE$63,MATCH(BQ$3,$S$3:$AE$3,0),FALSE)-VLOOKUP($BJ223&amp;"初始",$S$3:$AE$63,MATCH(BQ$3,$S$3:$AE$3,0),FALSE))*$BL223/VLOOKUP(VLOOKUP($BJ223,坦克个性化设定!$B$18:$E$48,4,FALSE)&amp;$BK223,坦克属性分配比例,MATCH("升星次数",坦克属性分配比例标头,0),FALSE)*VLOOKUP(VLOOKUP($BJ223,坦克个性化设定!$B$18:$E$48,4,FALSE)&amp;$BK223,坦克属性分配比例,MATCH("升星比例",坦克属性分配比例标头,0),FALSE),0)</f>
        <v>533</v>
      </c>
      <c r="BR223" s="2">
        <f ca="1">ROUND(VLOOKUP($BJ223&amp;"初始",$S$3:$AE$63,MATCH(BR$3,$S$3:$AE$3,0),FALSE)+(VLOOKUP($BJ223&amp;"最终",$S$3:$AE$63,MATCH(BR$3,$S$3:$AE$3,0),FALSE)-VLOOKUP($BJ223&amp;"初始",$S$3:$AE$63,MATCH(BR$3,$S$3:$AE$3,0),FALSE))*$BL223/VLOOKUP(VLOOKUP($BJ223,坦克个性化设定!$B$18:$E$48,4,FALSE)&amp;$BK223,坦克属性分配比例,MATCH("升星次数",坦克属性分配比例标头,0),FALSE),0)</f>
        <v>118</v>
      </c>
      <c r="BS223" s="2">
        <f>ROUND(VLOOKUP($BJ223,$AI$3:$AO$33,MATCH(BS$3,$AI$3:$AO$3,0),FALSE)+$BL223/VLOOKUP(VLOOKUP($BJ223,坦克个性化设定!$B$18:$E$48,4,FALSE)&amp;$BK223,坦克属性分配比例,MATCH("升星次数",坦克属性分配比例标头,0),FALSE)*VLOOKUP($BJ223,$AR$3:$AY$33,MATCH(BS$3,$AR$3:$AY$3,0),FALSE),1)</f>
        <v>32.4</v>
      </c>
      <c r="BT223" s="2">
        <f>ROUND(VLOOKUP($BJ223,$AI$3:$AO$33,MATCH(BT$3,$AI$3:$AO$3,0),FALSE)+$BL223/VLOOKUP(VLOOKUP($BJ223,坦克个性化设定!$B$18:$E$48,4,FALSE)&amp;$BK223,坦克属性分配比例,MATCH("升星次数",坦克属性分配比例标头,0),FALSE)*VLOOKUP($BJ223,$AR$3:$AY$33,MATCH(BT$3,$AR$3:$AY$3,0),FALSE),1)</f>
        <v>32.5</v>
      </c>
      <c r="BU223" s="2">
        <f>ROUND(VLOOKUP($BJ223,$AI$3:$AO$33,MATCH(BU$3,$AI$3:$AO$3,0),FALSE)+$BL223/VLOOKUP(VLOOKUP($BJ223,坦克个性化设定!$B$18:$E$48,4,FALSE)&amp;$BK223,坦克属性分配比例,MATCH("升星次数",坦克属性分配比例标头,0),FALSE)*VLOOKUP($BJ223,$AR$3:$AY$33,MATCH(BU$3,$AR$3:$AY$3,0),FALSE),1)</f>
        <v>6.4</v>
      </c>
      <c r="BV223" s="2">
        <f>IF(VLOOKUP(BJ223,坦克个性化设定!$B$18:$BC$48,MATCH("装弹类型",坦克个性化设定!$B$18:$BC$18,0),FALSE)="弹夹换弹",0,ROUND(VLOOKUP($BJ223,$AI$3:$AO$33,MATCH("换弹时间",$AI$3:$AO$3,0),FALSE)-$BL223/VLOOKUP(VLOOKUP($BJ223,坦克个性化设定!$B$18:$E$48,4,FALSE)&amp;$BK223,坦克属性分配比例,MATCH("升星次数",坦克属性分配比例标头,0),FALSE)*VLOOKUP($BJ223,$AR$3:$AY$33,MATCH("换弹时间",$AR$3:$AY$3,0),FALSE),2))</f>
        <v>5.88</v>
      </c>
      <c r="BW223" s="2">
        <f>IF(VLOOKUP(BJ223,坦克个性化设定!$B$18:$BC$48,MATCH("装弹类型",坦克个性化设定!$B$18:$BC$18,0),FALSE)="弹夹换弹",ROUND(VLOOKUP($BJ223,$AI$3:$AO$33,MATCH("换弹时间",$AI$3:$AO$3,0),FALSE)-$BL223/VLOOKUP(VLOOKUP($BJ223,坦克个性化设定!$B$18:$E$48,4,FALSE)&amp;$BK223,坦克属性分配比例,MATCH("升星次数",坦克属性分配比例标头,0),FALSE)*VLOOKUP($BJ223,$AR$3:$AY$33,MATCH("换弹时间",$AR$3:$AY$3,0),FALSE),1),0)</f>
        <v>0</v>
      </c>
      <c r="BX223" s="2">
        <f>ROUND(VLOOKUP($BJ223,$AI$3:$AO$33,MATCH(BX$3,$AI$3:$AO$3,0),FALSE)+$BL223/VLOOKUP(VLOOKUP($BJ223,坦克个性化设定!$B$18:$E$48,4,FALSE)&amp;$BK223,坦克属性分配比例,MATCH("升星次数",坦克属性分配比例标头,0),FALSE)*VLOOKUP($BJ223,$AR$3:$AY$33,MATCH(BX$3,$AR$3:$AY$3,0),FALSE),2)</f>
        <v>0</v>
      </c>
      <c r="BY223" s="2">
        <f>ROUND(VLOOKUP($BJ223,$AI$3:$AO$33,MATCH(BY$3,$AI$3:$AO$3,0),FALSE)-$BL223/VLOOKUP(VLOOKUP($BJ223,坦克个性化设定!$B$18:$E$48,4,FALSE)&amp;$BK223,坦克属性分配比例,MATCH("升星次数",坦克属性分配比例标头,0),FALSE)*VLOOKUP($BJ223,$AR$3:$AY$33,MATCH(BY$3,$AR$3:$AY$3,0),FALSE),2)</f>
        <v>2.93</v>
      </c>
    </row>
    <row r="224" spans="60:77" x14ac:dyDescent="0.3">
      <c r="BH224" s="2" t="str">
        <f t="shared" si="32"/>
        <v>丘吉尔2</v>
      </c>
      <c r="BI224" s="2">
        <f>IF(BL223&gt;=VLOOKUP(VLOOKUP(BJ223,坦克个性化设定!$B$18:$E$48,4,FALSE)&amp;BK223,坦克属性分配比例,MATCH("升星次数",坦克属性分配比例标头,0),FALSE),BI223+1,BI223)</f>
        <v>23</v>
      </c>
      <c r="BJ224" s="2" t="str">
        <f t="shared" si="33"/>
        <v>丘吉尔</v>
      </c>
      <c r="BK224" s="29" t="str">
        <f>VLOOKUP(BJ224,坦克个性化细分!$I$3:$J$33,2,FALSE)</f>
        <v>中</v>
      </c>
      <c r="BL224" s="2">
        <f t="shared" si="34"/>
        <v>2</v>
      </c>
      <c r="BM224" s="103">
        <f ca="1">ROUND(VLOOKUP($BJ224&amp;"初始",$S$3:$AE$63,MATCH(BM$3,$S$3:$AE$3,0),FALSE)+((VLOOKUP($BJ224&amp;"最终",$S$3:$AE$63,MATCH(BM$3,$S$3:$AE$3,0),FALSE)*坦克个性化细分!$C$9-VLOOKUP($BJ224&amp;"初始",$S$3:$AE$63,MATCH(BM$3,$S$3:$AE$3,0),FALSE))-(VLOOKUP($BJ224&amp;"最终",$S$3:$AE$63,MATCH(BM$3,$S$3:$AE$3,0),FALSE)-VLOOKUP($BJ224&amp;"初始",$S$3:$AE$63,MATCH(BM$3,$S$3:$AE$3,0),FALSE))*VLOOKUP(VLOOKUP($BJ224,坦克个性化设定!$B$18:$E$48,4,FALSE)&amp;$BK224,坦克属性分配比例,MATCH("部件比例",坦克属性分配比例标头,0),FALSE))*$BL224/VLOOKUP(VLOOKUP($BJ224,坦克个性化设定!$B$18:$E$48,4,FALSE)&amp;$BK224,坦克属性分配比例,MATCH("升星次数",坦克属性分配比例标头,0),FALSE),0)</f>
        <v>1235</v>
      </c>
      <c r="BN224" s="103">
        <f ca="1">ROUND(VLOOKUP($BJ224&amp;"初始",$S$3:$AE$63,MATCH(BN$3,$S$3:$AE$3,0),FALSE)+(VLOOKUP($BJ224&amp;"最终",$S$3:$AE$63,MATCH(BN$3,$S$3:$AE$3,0),FALSE)-VLOOKUP($BJ224&amp;"初始",$S$3:$AE$63,MATCH(BN$3,$S$3:$AE$3,0),FALSE))*$BL224/VLOOKUP(VLOOKUP($BJ224,坦克个性化设定!$B$18:$E$48,4,FALSE)&amp;$BK224,坦克属性分配比例,MATCH("升星次数",坦克属性分配比例标头,0),FALSE)*VLOOKUP(VLOOKUP($BJ224,坦克个性化设定!$B$18:$E$48,4,FALSE)&amp;$BK224,坦克属性分配比例,MATCH("升星比例",坦克属性分配比例标头,0),FALSE),0)</f>
        <v>563</v>
      </c>
      <c r="BO224" s="103">
        <f ca="1">ROUND(VLOOKUP($BJ224&amp;"初始",$S$3:$AE$63,MATCH(BO$3,$S$3:$AE$3,0),FALSE)+(VLOOKUP($BJ224&amp;"最终",$S$3:$AE$63,MATCH(BO$3,$S$3:$AE$3,0),FALSE)-VLOOKUP($BJ224&amp;"初始",$S$3:$AE$63,MATCH(BO$3,$S$3:$AE$3,0),FALSE))*$BL224/VLOOKUP(VLOOKUP($BJ224,坦克个性化设定!$B$18:$E$48,4,FALSE)&amp;$BK224,坦克属性分配比例,MATCH("升星次数",坦克属性分配比例标头,0),FALSE)*(VLOOKUP(VLOOKUP($BJ224,坦克个性化设定!$B$18:$E$48,4,FALSE)&amp;$BK224,坦克属性分配比例,MATCH("升星比例",坦克属性分配比例标头,0),FALSE)+VLOOKUP(VLOOKUP($BJ224,坦克个性化设定!$B$18:$E$48,4,FALSE)&amp;$BK224,坦克属性分配比例,MATCH("部件比例",坦克属性分配比例标头,0),FALSE)*$C$3),0)</f>
        <v>170</v>
      </c>
      <c r="BP224" s="103">
        <f ca="1">ROUND(VLOOKUP($BJ224&amp;"初始",$S$3:$AE$63,MATCH(BP$3,$S$3:$AE$3,0),FALSE)+(VLOOKUP($BJ224&amp;"最终",$S$3:$AE$63,MATCH(BP$3,$S$3:$AE$3,0),FALSE)-VLOOKUP($BJ224&amp;"初始",$S$3:$AE$63,MATCH(BP$3,$S$3:$AE$3,0),FALSE))*$BL224/VLOOKUP(VLOOKUP($BJ224,坦克个性化设定!$B$18:$E$48,4,FALSE)&amp;$BK224,坦克属性分配比例,MATCH("升星次数",坦克属性分配比例标头,0),FALSE)*(VLOOKUP(VLOOKUP($BJ224,坦克个性化设定!$B$18:$E$48,4,FALSE)&amp;$BK224,坦克属性分配比例,MATCH("升星比例",坦克属性分配比例标头,0),FALSE)+VLOOKUP(VLOOKUP($BJ224,坦克个性化设定!$B$18:$E$48,4,FALSE)&amp;$BK224,坦克属性分配比例,MATCH("部件比例",坦克属性分配比例标头,0),FALSE)*$C$3),0)</f>
        <v>425</v>
      </c>
      <c r="BQ224" s="103">
        <f ca="1">ROUND(VLOOKUP($BJ224&amp;"初始",$S$3:$AE$63,MATCH(BQ$3,$S$3:$AE$3,0),FALSE)+(VLOOKUP($BJ224&amp;"最终",$S$3:$AE$63,MATCH(BQ$3,$S$3:$AE$3,0),FALSE)-VLOOKUP($BJ224&amp;"初始",$S$3:$AE$63,MATCH(BQ$3,$S$3:$AE$3,0),FALSE))*$BL224/VLOOKUP(VLOOKUP($BJ224,坦克个性化设定!$B$18:$E$48,4,FALSE)&amp;$BK224,坦克属性分配比例,MATCH("升星次数",坦克属性分配比例标头,0),FALSE)*VLOOKUP(VLOOKUP($BJ224,坦克个性化设定!$B$18:$E$48,4,FALSE)&amp;$BK224,坦克属性分配比例,MATCH("升星比例",坦克属性分配比例标头,0),FALSE),0)</f>
        <v>554</v>
      </c>
      <c r="BR224" s="2">
        <f ca="1">ROUND(VLOOKUP($BJ224&amp;"初始",$S$3:$AE$63,MATCH(BR$3,$S$3:$AE$3,0),FALSE)+(VLOOKUP($BJ224&amp;"最终",$S$3:$AE$63,MATCH(BR$3,$S$3:$AE$3,0),FALSE)-VLOOKUP($BJ224&amp;"初始",$S$3:$AE$63,MATCH(BR$3,$S$3:$AE$3,0),FALSE))*$BL224/VLOOKUP(VLOOKUP($BJ224,坦克个性化设定!$B$18:$E$48,4,FALSE)&amp;$BK224,坦克属性分配比例,MATCH("升星次数",坦克属性分配比例标头,0),FALSE),0)</f>
        <v>125</v>
      </c>
      <c r="BS224" s="2">
        <f>ROUND(VLOOKUP($BJ224,$AI$3:$AO$33,MATCH(BS$3,$AI$3:$AO$3,0),FALSE)+$BL224/VLOOKUP(VLOOKUP($BJ224,坦克个性化设定!$B$18:$E$48,4,FALSE)&amp;$BK224,坦克属性分配比例,MATCH("升星次数",坦克属性分配比例标头,0),FALSE)*VLOOKUP($BJ224,$AR$3:$AY$33,MATCH(BS$3,$AR$3:$AY$3,0),FALSE),1)</f>
        <v>33.5</v>
      </c>
      <c r="BT224" s="2">
        <f>ROUND(VLOOKUP($BJ224,$AI$3:$AO$33,MATCH(BT$3,$AI$3:$AO$3,0),FALSE)+$BL224/VLOOKUP(VLOOKUP($BJ224,坦克个性化设定!$B$18:$E$48,4,FALSE)&amp;$BK224,坦克属性分配比例,MATCH("升星次数",坦克属性分配比例标头,0),FALSE)*VLOOKUP($BJ224,$AR$3:$AY$33,MATCH(BT$3,$AR$3:$AY$3,0),FALSE),1)</f>
        <v>33.6</v>
      </c>
      <c r="BU224" s="2">
        <f>ROUND(VLOOKUP($BJ224,$AI$3:$AO$33,MATCH(BU$3,$AI$3:$AO$3,0),FALSE)+$BL224/VLOOKUP(VLOOKUP($BJ224,坦克个性化设定!$B$18:$E$48,4,FALSE)&amp;$BK224,坦克属性分配比例,MATCH("升星次数",坦克属性分配比例标头,0),FALSE)*VLOOKUP($BJ224,$AR$3:$AY$33,MATCH(BU$3,$AR$3:$AY$3,0),FALSE),1)</f>
        <v>6.4</v>
      </c>
      <c r="BV224" s="2">
        <f>IF(VLOOKUP(BJ224,坦克个性化设定!$B$18:$BC$48,MATCH("装弹类型",坦克个性化设定!$B$18:$BC$18,0),FALSE)="弹夹换弹",0,ROUND(VLOOKUP($BJ224,$AI$3:$AO$33,MATCH("换弹时间",$AI$3:$AO$3,0),FALSE)-$BL224/VLOOKUP(VLOOKUP($BJ224,坦克个性化设定!$B$18:$E$48,4,FALSE)&amp;$BK224,坦克属性分配比例,MATCH("升星次数",坦克属性分配比例标头,0),FALSE)*VLOOKUP($BJ224,$AR$3:$AY$33,MATCH("换弹时间",$AR$3:$AY$3,0),FALSE),2))</f>
        <v>5.76</v>
      </c>
      <c r="BW224" s="2">
        <f>IF(VLOOKUP(BJ224,坦克个性化设定!$B$18:$BC$48,MATCH("装弹类型",坦克个性化设定!$B$18:$BC$18,0),FALSE)="弹夹换弹",ROUND(VLOOKUP($BJ224,$AI$3:$AO$33,MATCH("换弹时间",$AI$3:$AO$3,0),FALSE)-$BL224/VLOOKUP(VLOOKUP($BJ224,坦克个性化设定!$B$18:$E$48,4,FALSE)&amp;$BK224,坦克属性分配比例,MATCH("升星次数",坦克属性分配比例标头,0),FALSE)*VLOOKUP($BJ224,$AR$3:$AY$33,MATCH("换弹时间",$AR$3:$AY$3,0),FALSE),1),0)</f>
        <v>0</v>
      </c>
      <c r="BX224" s="2">
        <f>ROUND(VLOOKUP($BJ224,$AI$3:$AO$33,MATCH(BX$3,$AI$3:$AO$3,0),FALSE)+$BL224/VLOOKUP(VLOOKUP($BJ224,坦克个性化设定!$B$18:$E$48,4,FALSE)&amp;$BK224,坦克属性分配比例,MATCH("升星次数",坦克属性分配比例标头,0),FALSE)*VLOOKUP($BJ224,$AR$3:$AY$33,MATCH(BX$3,$AR$3:$AY$3,0),FALSE),2)</f>
        <v>0</v>
      </c>
      <c r="BY224" s="2">
        <f>ROUND(VLOOKUP($BJ224,$AI$3:$AO$33,MATCH(BY$3,$AI$3:$AO$3,0),FALSE)-$BL224/VLOOKUP(VLOOKUP($BJ224,坦克个性化设定!$B$18:$E$48,4,FALSE)&amp;$BK224,坦克属性分配比例,MATCH("升星次数",坦克属性分配比例标头,0),FALSE)*VLOOKUP($BJ224,$AR$3:$AY$33,MATCH(BY$3,$AR$3:$AY$3,0),FALSE),2)</f>
        <v>2.86</v>
      </c>
    </row>
    <row r="225" spans="60:77" x14ac:dyDescent="0.3">
      <c r="BH225" s="2" t="str">
        <f t="shared" si="32"/>
        <v>丘吉尔3</v>
      </c>
      <c r="BI225" s="2">
        <f>IF(BL224&gt;=VLOOKUP(VLOOKUP(BJ224,坦克个性化设定!$B$18:$E$48,4,FALSE)&amp;BK224,坦克属性分配比例,MATCH("升星次数",坦克属性分配比例标头,0),FALSE),BI224+1,BI224)</f>
        <v>23</v>
      </c>
      <c r="BJ225" s="2" t="str">
        <f t="shared" si="33"/>
        <v>丘吉尔</v>
      </c>
      <c r="BK225" s="29" t="str">
        <f>VLOOKUP(BJ225,坦克个性化细分!$I$3:$J$33,2,FALSE)</f>
        <v>中</v>
      </c>
      <c r="BL225" s="2">
        <f t="shared" si="34"/>
        <v>3</v>
      </c>
      <c r="BM225" s="103">
        <f ca="1">ROUND(VLOOKUP($BJ225&amp;"初始",$S$3:$AE$63,MATCH(BM$3,$S$3:$AE$3,0),FALSE)+((VLOOKUP($BJ225&amp;"最终",$S$3:$AE$63,MATCH(BM$3,$S$3:$AE$3,0),FALSE)*坦克个性化细分!$C$9-VLOOKUP($BJ225&amp;"初始",$S$3:$AE$63,MATCH(BM$3,$S$3:$AE$3,0),FALSE))-(VLOOKUP($BJ225&amp;"最终",$S$3:$AE$63,MATCH(BM$3,$S$3:$AE$3,0),FALSE)-VLOOKUP($BJ225&amp;"初始",$S$3:$AE$63,MATCH(BM$3,$S$3:$AE$3,0),FALSE))*VLOOKUP(VLOOKUP($BJ225,坦克个性化设定!$B$18:$E$48,4,FALSE)&amp;$BK225,坦克属性分配比例,MATCH("部件比例",坦克属性分配比例标头,0),FALSE))*$BL225/VLOOKUP(VLOOKUP($BJ225,坦克个性化设定!$B$18:$E$48,4,FALSE)&amp;$BK225,坦克属性分配比例,MATCH("升星次数",坦克属性分配比例标头,0),FALSE),0)</f>
        <v>1313</v>
      </c>
      <c r="BN225" s="103">
        <f ca="1">ROUND(VLOOKUP($BJ225&amp;"初始",$S$3:$AE$63,MATCH(BN$3,$S$3:$AE$3,0),FALSE)+(VLOOKUP($BJ225&amp;"最终",$S$3:$AE$63,MATCH(BN$3,$S$3:$AE$3,0),FALSE)-VLOOKUP($BJ225&amp;"初始",$S$3:$AE$63,MATCH(BN$3,$S$3:$AE$3,0),FALSE))*$BL225/VLOOKUP(VLOOKUP($BJ225,坦克个性化设定!$B$18:$E$48,4,FALSE)&amp;$BK225,坦克属性分配比例,MATCH("升星次数",坦克属性分配比例标头,0),FALSE)*VLOOKUP(VLOOKUP($BJ225,坦克个性化设定!$B$18:$E$48,4,FALSE)&amp;$BK225,坦克属性分配比例,MATCH("升星比例",坦克属性分配比例标头,0),FALSE),0)</f>
        <v>585</v>
      </c>
      <c r="BO225" s="103">
        <f ca="1">ROUND(VLOOKUP($BJ225&amp;"初始",$S$3:$AE$63,MATCH(BO$3,$S$3:$AE$3,0),FALSE)+(VLOOKUP($BJ225&amp;"最终",$S$3:$AE$63,MATCH(BO$3,$S$3:$AE$3,0),FALSE)-VLOOKUP($BJ225&amp;"初始",$S$3:$AE$63,MATCH(BO$3,$S$3:$AE$3,0),FALSE))*$BL225/VLOOKUP(VLOOKUP($BJ225,坦克个性化设定!$B$18:$E$48,4,FALSE)&amp;$BK225,坦克属性分配比例,MATCH("升星次数",坦克属性分配比例标头,0),FALSE)*(VLOOKUP(VLOOKUP($BJ225,坦克个性化设定!$B$18:$E$48,4,FALSE)&amp;$BK225,坦克属性分配比例,MATCH("升星比例",坦克属性分配比例标头,0),FALSE)+VLOOKUP(VLOOKUP($BJ225,坦克个性化设定!$B$18:$E$48,4,FALSE)&amp;$BK225,坦克属性分配比例,MATCH("部件比例",坦克属性分配比例标头,0),FALSE)*$C$3),0)</f>
        <v>178</v>
      </c>
      <c r="BP225" s="103">
        <f ca="1">ROUND(VLOOKUP($BJ225&amp;"初始",$S$3:$AE$63,MATCH(BP$3,$S$3:$AE$3,0),FALSE)+(VLOOKUP($BJ225&amp;"最终",$S$3:$AE$63,MATCH(BP$3,$S$3:$AE$3,0),FALSE)-VLOOKUP($BJ225&amp;"初始",$S$3:$AE$63,MATCH(BP$3,$S$3:$AE$3,0),FALSE))*$BL225/VLOOKUP(VLOOKUP($BJ225,坦克个性化设定!$B$18:$E$48,4,FALSE)&amp;$BK225,坦克属性分配比例,MATCH("升星次数",坦克属性分配比例标头,0),FALSE)*(VLOOKUP(VLOOKUP($BJ225,坦克个性化设定!$B$18:$E$48,4,FALSE)&amp;$BK225,坦克属性分配比例,MATCH("升星比例",坦克属性分配比例标头,0),FALSE)+VLOOKUP(VLOOKUP($BJ225,坦克个性化设定!$B$18:$E$48,4,FALSE)&amp;$BK225,坦克属性分配比例,MATCH("部件比例",坦克属性分配比例标头,0),FALSE)*$C$3),0)</f>
        <v>446</v>
      </c>
      <c r="BQ225" s="103">
        <f ca="1">ROUND(VLOOKUP($BJ225&amp;"初始",$S$3:$AE$63,MATCH(BQ$3,$S$3:$AE$3,0),FALSE)+(VLOOKUP($BJ225&amp;"最终",$S$3:$AE$63,MATCH(BQ$3,$S$3:$AE$3,0),FALSE)-VLOOKUP($BJ225&amp;"初始",$S$3:$AE$63,MATCH(BQ$3,$S$3:$AE$3,0),FALSE))*$BL225/VLOOKUP(VLOOKUP($BJ225,坦克个性化设定!$B$18:$E$48,4,FALSE)&amp;$BK225,坦克属性分配比例,MATCH("升星次数",坦克属性分配比例标头,0),FALSE)*VLOOKUP(VLOOKUP($BJ225,坦克个性化设定!$B$18:$E$48,4,FALSE)&amp;$BK225,坦克属性分配比例,MATCH("升星比例",坦克属性分配比例标头,0),FALSE),0)</f>
        <v>575</v>
      </c>
      <c r="BR225" s="2">
        <f ca="1">ROUND(VLOOKUP($BJ225&amp;"初始",$S$3:$AE$63,MATCH(BR$3,$S$3:$AE$3,0),FALSE)+(VLOOKUP($BJ225&amp;"最终",$S$3:$AE$63,MATCH(BR$3,$S$3:$AE$3,0),FALSE)-VLOOKUP($BJ225&amp;"初始",$S$3:$AE$63,MATCH(BR$3,$S$3:$AE$3,0),FALSE))*$BL225/VLOOKUP(VLOOKUP($BJ225,坦克个性化设定!$B$18:$E$48,4,FALSE)&amp;$BK225,坦克属性分配比例,MATCH("升星次数",坦克属性分配比例标头,0),FALSE),0)</f>
        <v>132</v>
      </c>
      <c r="BS225" s="2">
        <f>ROUND(VLOOKUP($BJ225,$AI$3:$AO$33,MATCH(BS$3,$AI$3:$AO$3,0),FALSE)+$BL225/VLOOKUP(VLOOKUP($BJ225,坦克个性化设定!$B$18:$E$48,4,FALSE)&amp;$BK225,坦克属性分配比例,MATCH("升星次数",坦克属性分配比例标头,0),FALSE)*VLOOKUP($BJ225,$AR$3:$AY$33,MATCH(BS$3,$AR$3:$AY$3,0),FALSE),1)</f>
        <v>34.700000000000003</v>
      </c>
      <c r="BT225" s="2">
        <f>ROUND(VLOOKUP($BJ225,$AI$3:$AO$33,MATCH(BT$3,$AI$3:$AO$3,0),FALSE)+$BL225/VLOOKUP(VLOOKUP($BJ225,坦克个性化设定!$B$18:$E$48,4,FALSE)&amp;$BK225,坦克属性分配比例,MATCH("升星次数",坦克属性分配比例标头,0),FALSE)*VLOOKUP($BJ225,$AR$3:$AY$33,MATCH(BT$3,$AR$3:$AY$3,0),FALSE),1)</f>
        <v>34.799999999999997</v>
      </c>
      <c r="BU225" s="2">
        <f>ROUND(VLOOKUP($BJ225,$AI$3:$AO$33,MATCH(BU$3,$AI$3:$AO$3,0),FALSE)+$BL225/VLOOKUP(VLOOKUP($BJ225,坦克个性化设定!$B$18:$E$48,4,FALSE)&amp;$BK225,坦克属性分配比例,MATCH("升星次数",坦克属性分配比例标头,0),FALSE)*VLOOKUP($BJ225,$AR$3:$AY$33,MATCH(BU$3,$AR$3:$AY$3,0),FALSE),1)</f>
        <v>6.4</v>
      </c>
      <c r="BV225" s="2">
        <f>IF(VLOOKUP(BJ225,坦克个性化设定!$B$18:$BC$48,MATCH("装弹类型",坦克个性化设定!$B$18:$BC$18,0),FALSE)="弹夹换弹",0,ROUND(VLOOKUP($BJ225,$AI$3:$AO$33,MATCH("换弹时间",$AI$3:$AO$3,0),FALSE)-$BL225/VLOOKUP(VLOOKUP($BJ225,坦克个性化设定!$B$18:$E$48,4,FALSE)&amp;$BK225,坦克属性分配比例,MATCH("升星次数",坦克属性分配比例标头,0),FALSE)*VLOOKUP($BJ225,$AR$3:$AY$33,MATCH("换弹时间",$AR$3:$AY$3,0),FALSE),2))</f>
        <v>5.64</v>
      </c>
      <c r="BW225" s="2">
        <f>IF(VLOOKUP(BJ225,坦克个性化设定!$B$18:$BC$48,MATCH("装弹类型",坦克个性化设定!$B$18:$BC$18,0),FALSE)="弹夹换弹",ROUND(VLOOKUP($BJ225,$AI$3:$AO$33,MATCH("换弹时间",$AI$3:$AO$3,0),FALSE)-$BL225/VLOOKUP(VLOOKUP($BJ225,坦克个性化设定!$B$18:$E$48,4,FALSE)&amp;$BK225,坦克属性分配比例,MATCH("升星次数",坦克属性分配比例标头,0),FALSE)*VLOOKUP($BJ225,$AR$3:$AY$33,MATCH("换弹时间",$AR$3:$AY$3,0),FALSE),1),0)</f>
        <v>0</v>
      </c>
      <c r="BX225" s="2">
        <f>ROUND(VLOOKUP($BJ225,$AI$3:$AO$33,MATCH(BX$3,$AI$3:$AO$3,0),FALSE)+$BL225/VLOOKUP(VLOOKUP($BJ225,坦克个性化设定!$B$18:$E$48,4,FALSE)&amp;$BK225,坦克属性分配比例,MATCH("升星次数",坦克属性分配比例标头,0),FALSE)*VLOOKUP($BJ225,$AR$3:$AY$33,MATCH(BX$3,$AR$3:$AY$3,0),FALSE),2)</f>
        <v>0</v>
      </c>
      <c r="BY225" s="2">
        <f>ROUND(VLOOKUP($BJ225,$AI$3:$AO$33,MATCH(BY$3,$AI$3:$AO$3,0),FALSE)-$BL225/VLOOKUP(VLOOKUP($BJ225,坦克个性化设定!$B$18:$E$48,4,FALSE)&amp;$BK225,坦克属性分配比例,MATCH("升星次数",坦克属性分配比例标头,0),FALSE)*VLOOKUP($BJ225,$AR$3:$AY$33,MATCH(BY$3,$AR$3:$AY$3,0),FALSE),2)</f>
        <v>2.79</v>
      </c>
    </row>
    <row r="226" spans="60:77" x14ac:dyDescent="0.3">
      <c r="BH226" s="2" t="str">
        <f t="shared" si="32"/>
        <v>丘吉尔4</v>
      </c>
      <c r="BI226" s="2">
        <f>IF(BL225&gt;=VLOOKUP(VLOOKUP(BJ225,坦克个性化设定!$B$18:$E$48,4,FALSE)&amp;BK225,坦克属性分配比例,MATCH("升星次数",坦克属性分配比例标头,0),FALSE),BI225+1,BI225)</f>
        <v>23</v>
      </c>
      <c r="BJ226" s="2" t="str">
        <f t="shared" si="33"/>
        <v>丘吉尔</v>
      </c>
      <c r="BK226" s="29" t="str">
        <f>VLOOKUP(BJ226,坦克个性化细分!$I$3:$J$33,2,FALSE)</f>
        <v>中</v>
      </c>
      <c r="BL226" s="2">
        <f t="shared" si="34"/>
        <v>4</v>
      </c>
      <c r="BM226" s="103">
        <f ca="1">ROUND(VLOOKUP($BJ226&amp;"初始",$S$3:$AE$63,MATCH(BM$3,$S$3:$AE$3,0),FALSE)+((VLOOKUP($BJ226&amp;"最终",$S$3:$AE$63,MATCH(BM$3,$S$3:$AE$3,0),FALSE)*坦克个性化细分!$C$9-VLOOKUP($BJ226&amp;"初始",$S$3:$AE$63,MATCH(BM$3,$S$3:$AE$3,0),FALSE))-(VLOOKUP($BJ226&amp;"最终",$S$3:$AE$63,MATCH(BM$3,$S$3:$AE$3,0),FALSE)-VLOOKUP($BJ226&amp;"初始",$S$3:$AE$63,MATCH(BM$3,$S$3:$AE$3,0),FALSE))*VLOOKUP(VLOOKUP($BJ226,坦克个性化设定!$B$18:$E$48,4,FALSE)&amp;$BK226,坦克属性分配比例,MATCH("部件比例",坦克属性分配比例标头,0),FALSE))*$BL226/VLOOKUP(VLOOKUP($BJ226,坦克个性化设定!$B$18:$E$48,4,FALSE)&amp;$BK226,坦克属性分配比例,MATCH("升星次数",坦克属性分配比例标头,0),FALSE),0)</f>
        <v>1391</v>
      </c>
      <c r="BN226" s="103">
        <f ca="1">ROUND(VLOOKUP($BJ226&amp;"初始",$S$3:$AE$63,MATCH(BN$3,$S$3:$AE$3,0),FALSE)+(VLOOKUP($BJ226&amp;"最终",$S$3:$AE$63,MATCH(BN$3,$S$3:$AE$3,0),FALSE)-VLOOKUP($BJ226&amp;"初始",$S$3:$AE$63,MATCH(BN$3,$S$3:$AE$3,0),FALSE))*$BL226/VLOOKUP(VLOOKUP($BJ226,坦克个性化设定!$B$18:$E$48,4,FALSE)&amp;$BK226,坦克属性分配比例,MATCH("升星次数",坦克属性分配比例标头,0),FALSE)*VLOOKUP(VLOOKUP($BJ226,坦克个性化设定!$B$18:$E$48,4,FALSE)&amp;$BK226,坦克属性分配比例,MATCH("升星比例",坦克属性分配比例标头,0),FALSE),0)</f>
        <v>606</v>
      </c>
      <c r="BO226" s="103">
        <f ca="1">ROUND(VLOOKUP($BJ226&amp;"初始",$S$3:$AE$63,MATCH(BO$3,$S$3:$AE$3,0),FALSE)+(VLOOKUP($BJ226&amp;"最终",$S$3:$AE$63,MATCH(BO$3,$S$3:$AE$3,0),FALSE)-VLOOKUP($BJ226&amp;"初始",$S$3:$AE$63,MATCH(BO$3,$S$3:$AE$3,0),FALSE))*$BL226/VLOOKUP(VLOOKUP($BJ226,坦克个性化设定!$B$18:$E$48,4,FALSE)&amp;$BK226,坦克属性分配比例,MATCH("升星次数",坦克属性分配比例标头,0),FALSE)*(VLOOKUP(VLOOKUP($BJ226,坦克个性化设定!$B$18:$E$48,4,FALSE)&amp;$BK226,坦克属性分配比例,MATCH("升星比例",坦克属性分配比例标头,0),FALSE)+VLOOKUP(VLOOKUP($BJ226,坦克个性化设定!$B$18:$E$48,4,FALSE)&amp;$BK226,坦克属性分配比例,MATCH("部件比例",坦克属性分配比例标头,0),FALSE)*$C$3),0)</f>
        <v>186</v>
      </c>
      <c r="BP226" s="103">
        <f ca="1">ROUND(VLOOKUP($BJ226&amp;"初始",$S$3:$AE$63,MATCH(BP$3,$S$3:$AE$3,0),FALSE)+(VLOOKUP($BJ226&amp;"最终",$S$3:$AE$63,MATCH(BP$3,$S$3:$AE$3,0),FALSE)-VLOOKUP($BJ226&amp;"初始",$S$3:$AE$63,MATCH(BP$3,$S$3:$AE$3,0),FALSE))*$BL226/VLOOKUP(VLOOKUP($BJ226,坦克个性化设定!$B$18:$E$48,4,FALSE)&amp;$BK226,坦克属性分配比例,MATCH("升星次数",坦克属性分配比例标头,0),FALSE)*(VLOOKUP(VLOOKUP($BJ226,坦克个性化设定!$B$18:$E$48,4,FALSE)&amp;$BK226,坦克属性分配比例,MATCH("升星比例",坦克属性分配比例标头,0),FALSE)+VLOOKUP(VLOOKUP($BJ226,坦克个性化设定!$B$18:$E$48,4,FALSE)&amp;$BK226,坦克属性分配比例,MATCH("部件比例",坦克属性分配比例标头,0),FALSE)*$C$3),0)</f>
        <v>467</v>
      </c>
      <c r="BQ226" s="103">
        <f ca="1">ROUND(VLOOKUP($BJ226&amp;"初始",$S$3:$AE$63,MATCH(BQ$3,$S$3:$AE$3,0),FALSE)+(VLOOKUP($BJ226&amp;"最终",$S$3:$AE$63,MATCH(BQ$3,$S$3:$AE$3,0),FALSE)-VLOOKUP($BJ226&amp;"初始",$S$3:$AE$63,MATCH(BQ$3,$S$3:$AE$3,0),FALSE))*$BL226/VLOOKUP(VLOOKUP($BJ226,坦克个性化设定!$B$18:$E$48,4,FALSE)&amp;$BK226,坦克属性分配比例,MATCH("升星次数",坦克属性分配比例标头,0),FALSE)*VLOOKUP(VLOOKUP($BJ226,坦克个性化设定!$B$18:$E$48,4,FALSE)&amp;$BK226,坦克属性分配比例,MATCH("升星比例",坦克属性分配比例标头,0),FALSE),0)</f>
        <v>596</v>
      </c>
      <c r="BR226" s="2">
        <f ca="1">ROUND(VLOOKUP($BJ226&amp;"初始",$S$3:$AE$63,MATCH(BR$3,$S$3:$AE$3,0),FALSE)+(VLOOKUP($BJ226&amp;"最终",$S$3:$AE$63,MATCH(BR$3,$S$3:$AE$3,0),FALSE)-VLOOKUP($BJ226&amp;"初始",$S$3:$AE$63,MATCH(BR$3,$S$3:$AE$3,0),FALSE))*$BL226/VLOOKUP(VLOOKUP($BJ226,坦克个性化设定!$B$18:$E$48,4,FALSE)&amp;$BK226,坦克属性分配比例,MATCH("升星次数",坦克属性分配比例标头,0),FALSE),0)</f>
        <v>139</v>
      </c>
      <c r="BS226" s="2">
        <f>ROUND(VLOOKUP($BJ226,$AI$3:$AO$33,MATCH(BS$3,$AI$3:$AO$3,0),FALSE)+$BL226/VLOOKUP(VLOOKUP($BJ226,坦克个性化设定!$B$18:$E$48,4,FALSE)&amp;$BK226,坦克属性分配比例,MATCH("升星次数",坦克属性分配比例标头,0),FALSE)*VLOOKUP($BJ226,$AR$3:$AY$33,MATCH(BS$3,$AR$3:$AY$3,0),FALSE),1)</f>
        <v>35.799999999999997</v>
      </c>
      <c r="BT226" s="2">
        <f>ROUND(VLOOKUP($BJ226,$AI$3:$AO$33,MATCH(BT$3,$AI$3:$AO$3,0),FALSE)+$BL226/VLOOKUP(VLOOKUP($BJ226,坦克个性化设定!$B$18:$E$48,4,FALSE)&amp;$BK226,坦克属性分配比例,MATCH("升星次数",坦克属性分配比例标头,0),FALSE)*VLOOKUP($BJ226,$AR$3:$AY$33,MATCH(BT$3,$AR$3:$AY$3,0),FALSE),1)</f>
        <v>35.9</v>
      </c>
      <c r="BU226" s="2">
        <f>ROUND(VLOOKUP($BJ226,$AI$3:$AO$33,MATCH(BU$3,$AI$3:$AO$3,0),FALSE)+$BL226/VLOOKUP(VLOOKUP($BJ226,坦克个性化设定!$B$18:$E$48,4,FALSE)&amp;$BK226,坦克属性分配比例,MATCH("升星次数",坦克属性分配比例标头,0),FALSE)*VLOOKUP($BJ226,$AR$3:$AY$33,MATCH(BU$3,$AR$3:$AY$3,0),FALSE),1)</f>
        <v>6.4</v>
      </c>
      <c r="BV226" s="2">
        <f>IF(VLOOKUP(BJ226,坦克个性化设定!$B$18:$BC$48,MATCH("装弹类型",坦克个性化设定!$B$18:$BC$18,0),FALSE)="弹夹换弹",0,ROUND(VLOOKUP($BJ226,$AI$3:$AO$33,MATCH("换弹时间",$AI$3:$AO$3,0),FALSE)-$BL226/VLOOKUP(VLOOKUP($BJ226,坦克个性化设定!$B$18:$E$48,4,FALSE)&amp;$BK226,坦克属性分配比例,MATCH("升星次数",坦克属性分配比例标头,0),FALSE)*VLOOKUP($BJ226,$AR$3:$AY$33,MATCH("换弹时间",$AR$3:$AY$3,0),FALSE),2))</f>
        <v>5.51</v>
      </c>
      <c r="BW226" s="2">
        <f>IF(VLOOKUP(BJ226,坦克个性化设定!$B$18:$BC$48,MATCH("装弹类型",坦克个性化设定!$B$18:$BC$18,0),FALSE)="弹夹换弹",ROUND(VLOOKUP($BJ226,$AI$3:$AO$33,MATCH("换弹时间",$AI$3:$AO$3,0),FALSE)-$BL226/VLOOKUP(VLOOKUP($BJ226,坦克个性化设定!$B$18:$E$48,4,FALSE)&amp;$BK226,坦克属性分配比例,MATCH("升星次数",坦克属性分配比例标头,0),FALSE)*VLOOKUP($BJ226,$AR$3:$AY$33,MATCH("换弹时间",$AR$3:$AY$3,0),FALSE),1),0)</f>
        <v>0</v>
      </c>
      <c r="BX226" s="2">
        <f>ROUND(VLOOKUP($BJ226,$AI$3:$AO$33,MATCH(BX$3,$AI$3:$AO$3,0),FALSE)+$BL226/VLOOKUP(VLOOKUP($BJ226,坦克个性化设定!$B$18:$E$48,4,FALSE)&amp;$BK226,坦克属性分配比例,MATCH("升星次数",坦克属性分配比例标头,0),FALSE)*VLOOKUP($BJ226,$AR$3:$AY$33,MATCH(BX$3,$AR$3:$AY$3,0),FALSE),2)</f>
        <v>0</v>
      </c>
      <c r="BY226" s="2">
        <f>ROUND(VLOOKUP($BJ226,$AI$3:$AO$33,MATCH(BY$3,$AI$3:$AO$3,0),FALSE)-$BL226/VLOOKUP(VLOOKUP($BJ226,坦克个性化设定!$B$18:$E$48,4,FALSE)&amp;$BK226,坦克属性分配比例,MATCH("升星次数",坦克属性分配比例标头,0),FALSE)*VLOOKUP($BJ226,$AR$3:$AY$33,MATCH(BY$3,$AR$3:$AY$3,0),FALSE),2)</f>
        <v>2.71</v>
      </c>
    </row>
    <row r="227" spans="60:77" x14ac:dyDescent="0.3">
      <c r="BH227" s="2" t="str">
        <f t="shared" si="32"/>
        <v>丘吉尔5</v>
      </c>
      <c r="BI227" s="2">
        <f>IF(BL226&gt;=VLOOKUP(VLOOKUP(BJ226,坦克个性化设定!$B$18:$E$48,4,FALSE)&amp;BK226,坦克属性分配比例,MATCH("升星次数",坦克属性分配比例标头,0),FALSE),BI226+1,BI226)</f>
        <v>23</v>
      </c>
      <c r="BJ227" s="2" t="str">
        <f t="shared" si="33"/>
        <v>丘吉尔</v>
      </c>
      <c r="BK227" s="29" t="str">
        <f>VLOOKUP(BJ227,坦克个性化细分!$I$3:$J$33,2,FALSE)</f>
        <v>中</v>
      </c>
      <c r="BL227" s="2">
        <f t="shared" si="34"/>
        <v>5</v>
      </c>
      <c r="BM227" s="103">
        <f ca="1">ROUND(VLOOKUP($BJ227&amp;"初始",$S$3:$AE$63,MATCH(BM$3,$S$3:$AE$3,0),FALSE)+((VLOOKUP($BJ227&amp;"最终",$S$3:$AE$63,MATCH(BM$3,$S$3:$AE$3,0),FALSE)*坦克个性化细分!$C$9-VLOOKUP($BJ227&amp;"初始",$S$3:$AE$63,MATCH(BM$3,$S$3:$AE$3,0),FALSE))-(VLOOKUP($BJ227&amp;"最终",$S$3:$AE$63,MATCH(BM$3,$S$3:$AE$3,0),FALSE)-VLOOKUP($BJ227&amp;"初始",$S$3:$AE$63,MATCH(BM$3,$S$3:$AE$3,0),FALSE))*VLOOKUP(VLOOKUP($BJ227,坦克个性化设定!$B$18:$E$48,4,FALSE)&amp;$BK227,坦克属性分配比例,MATCH("部件比例",坦克属性分配比例标头,0),FALSE))*$BL227/VLOOKUP(VLOOKUP($BJ227,坦克个性化设定!$B$18:$E$48,4,FALSE)&amp;$BK227,坦克属性分配比例,MATCH("升星次数",坦克属性分配比例标头,0),FALSE),0)</f>
        <v>1468</v>
      </c>
      <c r="BN227" s="103">
        <f ca="1">ROUND(VLOOKUP($BJ227&amp;"初始",$S$3:$AE$63,MATCH(BN$3,$S$3:$AE$3,0),FALSE)+(VLOOKUP($BJ227&amp;"最终",$S$3:$AE$63,MATCH(BN$3,$S$3:$AE$3,0),FALSE)-VLOOKUP($BJ227&amp;"初始",$S$3:$AE$63,MATCH(BN$3,$S$3:$AE$3,0),FALSE))*$BL227/VLOOKUP(VLOOKUP($BJ227,坦克个性化设定!$B$18:$E$48,4,FALSE)&amp;$BK227,坦克属性分配比例,MATCH("升星次数",坦克属性分配比例标头,0),FALSE)*VLOOKUP(VLOOKUP($BJ227,坦克个性化设定!$B$18:$E$48,4,FALSE)&amp;$BK227,坦克属性分配比例,MATCH("升星比例",坦克属性分配比例标头,0),FALSE),0)</f>
        <v>627</v>
      </c>
      <c r="BO227" s="103">
        <f ca="1">ROUND(VLOOKUP($BJ227&amp;"初始",$S$3:$AE$63,MATCH(BO$3,$S$3:$AE$3,0),FALSE)+(VLOOKUP($BJ227&amp;"最终",$S$3:$AE$63,MATCH(BO$3,$S$3:$AE$3,0),FALSE)-VLOOKUP($BJ227&amp;"初始",$S$3:$AE$63,MATCH(BO$3,$S$3:$AE$3,0),FALSE))*$BL227/VLOOKUP(VLOOKUP($BJ227,坦克个性化设定!$B$18:$E$48,4,FALSE)&amp;$BK227,坦克属性分配比例,MATCH("升星次数",坦克属性分配比例标头,0),FALSE)*(VLOOKUP(VLOOKUP($BJ227,坦克个性化设定!$B$18:$E$48,4,FALSE)&amp;$BK227,坦克属性分配比例,MATCH("升星比例",坦克属性分配比例标头,0),FALSE)+VLOOKUP(VLOOKUP($BJ227,坦克个性化设定!$B$18:$E$48,4,FALSE)&amp;$BK227,坦克属性分配比例,MATCH("部件比例",坦克属性分配比例标头,0),FALSE)*$C$3),0)</f>
        <v>195</v>
      </c>
      <c r="BP227" s="103">
        <f ca="1">ROUND(VLOOKUP($BJ227&amp;"初始",$S$3:$AE$63,MATCH(BP$3,$S$3:$AE$3,0),FALSE)+(VLOOKUP($BJ227&amp;"最终",$S$3:$AE$63,MATCH(BP$3,$S$3:$AE$3,0),FALSE)-VLOOKUP($BJ227&amp;"初始",$S$3:$AE$63,MATCH(BP$3,$S$3:$AE$3,0),FALSE))*$BL227/VLOOKUP(VLOOKUP($BJ227,坦克个性化设定!$B$18:$E$48,4,FALSE)&amp;$BK227,坦克属性分配比例,MATCH("升星次数",坦克属性分配比例标头,0),FALSE)*(VLOOKUP(VLOOKUP($BJ227,坦克个性化设定!$B$18:$E$48,4,FALSE)&amp;$BK227,坦克属性分配比例,MATCH("升星比例",坦克属性分配比例标头,0),FALSE)+VLOOKUP(VLOOKUP($BJ227,坦克个性化设定!$B$18:$E$48,4,FALSE)&amp;$BK227,坦克属性分配比例,MATCH("部件比例",坦克属性分配比例标头,0),FALSE)*$C$3),0)</f>
        <v>487</v>
      </c>
      <c r="BQ227" s="103">
        <f ca="1">ROUND(VLOOKUP($BJ227&amp;"初始",$S$3:$AE$63,MATCH(BQ$3,$S$3:$AE$3,0),FALSE)+(VLOOKUP($BJ227&amp;"最终",$S$3:$AE$63,MATCH(BQ$3,$S$3:$AE$3,0),FALSE)-VLOOKUP($BJ227&amp;"初始",$S$3:$AE$63,MATCH(BQ$3,$S$3:$AE$3,0),FALSE))*$BL227/VLOOKUP(VLOOKUP($BJ227,坦克个性化设定!$B$18:$E$48,4,FALSE)&amp;$BK227,坦克属性分配比例,MATCH("升星次数",坦克属性分配比例标头,0),FALSE)*VLOOKUP(VLOOKUP($BJ227,坦克个性化设定!$B$18:$E$48,4,FALSE)&amp;$BK227,坦克属性分配比例,MATCH("升星比例",坦克属性分配比例标头,0),FALSE),0)</f>
        <v>617</v>
      </c>
      <c r="BR227" s="2">
        <f ca="1">ROUND(VLOOKUP($BJ227&amp;"初始",$S$3:$AE$63,MATCH(BR$3,$S$3:$AE$3,0),FALSE)+(VLOOKUP($BJ227&amp;"最终",$S$3:$AE$63,MATCH(BR$3,$S$3:$AE$3,0),FALSE)-VLOOKUP($BJ227&amp;"初始",$S$3:$AE$63,MATCH(BR$3,$S$3:$AE$3,0),FALSE))*$BL227/VLOOKUP(VLOOKUP($BJ227,坦克个性化设定!$B$18:$E$48,4,FALSE)&amp;$BK227,坦克属性分配比例,MATCH("升星次数",坦克属性分配比例标头,0),FALSE),0)</f>
        <v>146</v>
      </c>
      <c r="BS227" s="2">
        <f>ROUND(VLOOKUP($BJ227,$AI$3:$AO$33,MATCH(BS$3,$AI$3:$AO$3,0),FALSE)+$BL227/VLOOKUP(VLOOKUP($BJ227,坦克个性化设定!$B$18:$E$48,4,FALSE)&amp;$BK227,坦克属性分配比例,MATCH("升星次数",坦克属性分配比例标头,0),FALSE)*VLOOKUP($BJ227,$AR$3:$AY$33,MATCH(BS$3,$AR$3:$AY$3,0),FALSE),1)</f>
        <v>36.9</v>
      </c>
      <c r="BT227" s="2">
        <f>ROUND(VLOOKUP($BJ227,$AI$3:$AO$33,MATCH(BT$3,$AI$3:$AO$3,0),FALSE)+$BL227/VLOOKUP(VLOOKUP($BJ227,坦克个性化设定!$B$18:$E$48,4,FALSE)&amp;$BK227,坦克属性分配比例,MATCH("升星次数",坦克属性分配比例标头,0),FALSE)*VLOOKUP($BJ227,$AR$3:$AY$33,MATCH(BT$3,$AR$3:$AY$3,0),FALSE),1)</f>
        <v>37</v>
      </c>
      <c r="BU227" s="2">
        <f>ROUND(VLOOKUP($BJ227,$AI$3:$AO$33,MATCH(BU$3,$AI$3:$AO$3,0),FALSE)+$BL227/VLOOKUP(VLOOKUP($BJ227,坦克个性化设定!$B$18:$E$48,4,FALSE)&amp;$BK227,坦克属性分配比例,MATCH("升星次数",坦克属性分配比例标头,0),FALSE)*VLOOKUP($BJ227,$AR$3:$AY$33,MATCH(BU$3,$AR$3:$AY$3,0),FALSE),1)</f>
        <v>6.4</v>
      </c>
      <c r="BV227" s="2">
        <f>IF(VLOOKUP(BJ227,坦克个性化设定!$B$18:$BC$48,MATCH("装弹类型",坦克个性化设定!$B$18:$BC$18,0),FALSE)="弹夹换弹",0,ROUND(VLOOKUP($BJ227,$AI$3:$AO$33,MATCH("换弹时间",$AI$3:$AO$3,0),FALSE)-$BL227/VLOOKUP(VLOOKUP($BJ227,坦克个性化设定!$B$18:$E$48,4,FALSE)&amp;$BK227,坦克属性分配比例,MATCH("升星次数",坦克属性分配比例标头,0),FALSE)*VLOOKUP($BJ227,$AR$3:$AY$33,MATCH("换弹时间",$AR$3:$AY$3,0),FALSE),2))</f>
        <v>5.39</v>
      </c>
      <c r="BW227" s="2">
        <f>IF(VLOOKUP(BJ227,坦克个性化设定!$B$18:$BC$48,MATCH("装弹类型",坦克个性化设定!$B$18:$BC$18,0),FALSE)="弹夹换弹",ROUND(VLOOKUP($BJ227,$AI$3:$AO$33,MATCH("换弹时间",$AI$3:$AO$3,0),FALSE)-$BL227/VLOOKUP(VLOOKUP($BJ227,坦克个性化设定!$B$18:$E$48,4,FALSE)&amp;$BK227,坦克属性分配比例,MATCH("升星次数",坦克属性分配比例标头,0),FALSE)*VLOOKUP($BJ227,$AR$3:$AY$33,MATCH("换弹时间",$AR$3:$AY$3,0),FALSE),1),0)</f>
        <v>0</v>
      </c>
      <c r="BX227" s="2">
        <f>ROUND(VLOOKUP($BJ227,$AI$3:$AO$33,MATCH(BX$3,$AI$3:$AO$3,0),FALSE)+$BL227/VLOOKUP(VLOOKUP($BJ227,坦克个性化设定!$B$18:$E$48,4,FALSE)&amp;$BK227,坦克属性分配比例,MATCH("升星次数",坦克属性分配比例标头,0),FALSE)*VLOOKUP($BJ227,$AR$3:$AY$33,MATCH(BX$3,$AR$3:$AY$3,0),FALSE),2)</f>
        <v>0</v>
      </c>
      <c r="BY227" s="2">
        <f>ROUND(VLOOKUP($BJ227,$AI$3:$AO$33,MATCH(BY$3,$AI$3:$AO$3,0),FALSE)-$BL227/VLOOKUP(VLOOKUP($BJ227,坦克个性化设定!$B$18:$E$48,4,FALSE)&amp;$BK227,坦克属性分配比例,MATCH("升星次数",坦克属性分配比例标头,0),FALSE)*VLOOKUP($BJ227,$AR$3:$AY$33,MATCH(BY$3,$AR$3:$AY$3,0),FALSE),2)</f>
        <v>2.64</v>
      </c>
    </row>
    <row r="228" spans="60:77" x14ac:dyDescent="0.3">
      <c r="BH228" s="2" t="str">
        <f t="shared" si="32"/>
        <v>丘吉尔6</v>
      </c>
      <c r="BI228" s="2">
        <f>IF(BL227&gt;=VLOOKUP(VLOOKUP(BJ227,坦克个性化设定!$B$18:$E$48,4,FALSE)&amp;BK227,坦克属性分配比例,MATCH("升星次数",坦克属性分配比例标头,0),FALSE),BI227+1,BI227)</f>
        <v>23</v>
      </c>
      <c r="BJ228" s="2" t="str">
        <f t="shared" si="33"/>
        <v>丘吉尔</v>
      </c>
      <c r="BK228" s="29" t="str">
        <f>VLOOKUP(BJ228,坦克个性化细分!$I$3:$J$33,2,FALSE)</f>
        <v>中</v>
      </c>
      <c r="BL228" s="2">
        <f t="shared" si="34"/>
        <v>6</v>
      </c>
      <c r="BM228" s="103">
        <f ca="1">ROUND(VLOOKUP($BJ228&amp;"初始",$S$3:$AE$63,MATCH(BM$3,$S$3:$AE$3,0),FALSE)+((VLOOKUP($BJ228&amp;"最终",$S$3:$AE$63,MATCH(BM$3,$S$3:$AE$3,0),FALSE)*坦克个性化细分!$C$9-VLOOKUP($BJ228&amp;"初始",$S$3:$AE$63,MATCH(BM$3,$S$3:$AE$3,0),FALSE))-(VLOOKUP($BJ228&amp;"最终",$S$3:$AE$63,MATCH(BM$3,$S$3:$AE$3,0),FALSE)-VLOOKUP($BJ228&amp;"初始",$S$3:$AE$63,MATCH(BM$3,$S$3:$AE$3,0),FALSE))*VLOOKUP(VLOOKUP($BJ228,坦克个性化设定!$B$18:$E$48,4,FALSE)&amp;$BK228,坦克属性分配比例,MATCH("部件比例",坦克属性分配比例标头,0),FALSE))*$BL228/VLOOKUP(VLOOKUP($BJ228,坦克个性化设定!$B$18:$E$48,4,FALSE)&amp;$BK228,坦克属性分配比例,MATCH("升星次数",坦克属性分配比例标头,0),FALSE),0)</f>
        <v>1546</v>
      </c>
      <c r="BN228" s="103">
        <f ca="1">ROUND(VLOOKUP($BJ228&amp;"初始",$S$3:$AE$63,MATCH(BN$3,$S$3:$AE$3,0),FALSE)+(VLOOKUP($BJ228&amp;"最终",$S$3:$AE$63,MATCH(BN$3,$S$3:$AE$3,0),FALSE)-VLOOKUP($BJ228&amp;"初始",$S$3:$AE$63,MATCH(BN$3,$S$3:$AE$3,0),FALSE))*$BL228/VLOOKUP(VLOOKUP($BJ228,坦克个性化设定!$B$18:$E$48,4,FALSE)&amp;$BK228,坦克属性分配比例,MATCH("升星次数",坦克属性分配比例标头,0),FALSE)*VLOOKUP(VLOOKUP($BJ228,坦克个性化设定!$B$18:$E$48,4,FALSE)&amp;$BK228,坦克属性分配比例,MATCH("升星比例",坦克属性分配比例标头,0),FALSE),0)</f>
        <v>649</v>
      </c>
      <c r="BO228" s="103">
        <f ca="1">ROUND(VLOOKUP($BJ228&amp;"初始",$S$3:$AE$63,MATCH(BO$3,$S$3:$AE$3,0),FALSE)+(VLOOKUP($BJ228&amp;"最终",$S$3:$AE$63,MATCH(BO$3,$S$3:$AE$3,0),FALSE)-VLOOKUP($BJ228&amp;"初始",$S$3:$AE$63,MATCH(BO$3,$S$3:$AE$3,0),FALSE))*$BL228/VLOOKUP(VLOOKUP($BJ228,坦克个性化设定!$B$18:$E$48,4,FALSE)&amp;$BK228,坦克属性分配比例,MATCH("升星次数",坦克属性分配比例标头,0),FALSE)*(VLOOKUP(VLOOKUP($BJ228,坦克个性化设定!$B$18:$E$48,4,FALSE)&amp;$BK228,坦克属性分配比例,MATCH("升星比例",坦克属性分配比例标头,0),FALSE)+VLOOKUP(VLOOKUP($BJ228,坦克个性化设定!$B$18:$E$48,4,FALSE)&amp;$BK228,坦克属性分配比例,MATCH("部件比例",坦克属性分配比例标头,0),FALSE)*$C$3),0)</f>
        <v>203</v>
      </c>
      <c r="BP228" s="103">
        <f ca="1">ROUND(VLOOKUP($BJ228&amp;"初始",$S$3:$AE$63,MATCH(BP$3,$S$3:$AE$3,0),FALSE)+(VLOOKUP($BJ228&amp;"最终",$S$3:$AE$63,MATCH(BP$3,$S$3:$AE$3,0),FALSE)-VLOOKUP($BJ228&amp;"初始",$S$3:$AE$63,MATCH(BP$3,$S$3:$AE$3,0),FALSE))*$BL228/VLOOKUP(VLOOKUP($BJ228,坦克个性化设定!$B$18:$E$48,4,FALSE)&amp;$BK228,坦克属性分配比例,MATCH("升星次数",坦克属性分配比例标头,0),FALSE)*(VLOOKUP(VLOOKUP($BJ228,坦克个性化设定!$B$18:$E$48,4,FALSE)&amp;$BK228,坦克属性分配比例,MATCH("升星比例",坦克属性分配比例标头,0),FALSE)+VLOOKUP(VLOOKUP($BJ228,坦克个性化设定!$B$18:$E$48,4,FALSE)&amp;$BK228,坦克属性分配比例,MATCH("部件比例",坦克属性分配比例标头,0),FALSE)*$C$3),0)</f>
        <v>508</v>
      </c>
      <c r="BQ228" s="103">
        <f ca="1">ROUND(VLOOKUP($BJ228&amp;"初始",$S$3:$AE$63,MATCH(BQ$3,$S$3:$AE$3,0),FALSE)+(VLOOKUP($BJ228&amp;"最终",$S$3:$AE$63,MATCH(BQ$3,$S$3:$AE$3,0),FALSE)-VLOOKUP($BJ228&amp;"初始",$S$3:$AE$63,MATCH(BQ$3,$S$3:$AE$3,0),FALSE))*$BL228/VLOOKUP(VLOOKUP($BJ228,坦克个性化设定!$B$18:$E$48,4,FALSE)&amp;$BK228,坦克属性分配比例,MATCH("升星次数",坦克属性分配比例标头,0),FALSE)*VLOOKUP(VLOOKUP($BJ228,坦克个性化设定!$B$18:$E$48,4,FALSE)&amp;$BK228,坦克属性分配比例,MATCH("升星比例",坦克属性分配比例标头,0),FALSE),0)</f>
        <v>638</v>
      </c>
      <c r="BR228" s="2">
        <f ca="1">ROUND(VLOOKUP($BJ228&amp;"初始",$S$3:$AE$63,MATCH(BR$3,$S$3:$AE$3,0),FALSE)+(VLOOKUP($BJ228&amp;"最终",$S$3:$AE$63,MATCH(BR$3,$S$3:$AE$3,0),FALSE)-VLOOKUP($BJ228&amp;"初始",$S$3:$AE$63,MATCH(BR$3,$S$3:$AE$3,0),FALSE))*$BL228/VLOOKUP(VLOOKUP($BJ228,坦克个性化设定!$B$18:$E$48,4,FALSE)&amp;$BK228,坦克属性分配比例,MATCH("升星次数",坦克属性分配比例标头,0),FALSE),0)</f>
        <v>153</v>
      </c>
      <c r="BS228" s="2">
        <f>ROUND(VLOOKUP($BJ228,$AI$3:$AO$33,MATCH(BS$3,$AI$3:$AO$3,0),FALSE)+$BL228/VLOOKUP(VLOOKUP($BJ228,坦克个性化设定!$B$18:$E$48,4,FALSE)&amp;$BK228,坦克属性分配比例,MATCH("升星次数",坦克属性分配比例标头,0),FALSE)*VLOOKUP($BJ228,$AR$3:$AY$33,MATCH(BS$3,$AR$3:$AY$3,0),FALSE),1)</f>
        <v>38</v>
      </c>
      <c r="BT228" s="2">
        <f>ROUND(VLOOKUP($BJ228,$AI$3:$AO$33,MATCH(BT$3,$AI$3:$AO$3,0),FALSE)+$BL228/VLOOKUP(VLOOKUP($BJ228,坦克个性化设定!$B$18:$E$48,4,FALSE)&amp;$BK228,坦克属性分配比例,MATCH("升星次数",坦克属性分配比例标头,0),FALSE)*VLOOKUP($BJ228,$AR$3:$AY$33,MATCH(BT$3,$AR$3:$AY$3,0),FALSE),1)</f>
        <v>38.1</v>
      </c>
      <c r="BU228" s="2">
        <f>ROUND(VLOOKUP($BJ228,$AI$3:$AO$33,MATCH(BU$3,$AI$3:$AO$3,0),FALSE)+$BL228/VLOOKUP(VLOOKUP($BJ228,坦克个性化设定!$B$18:$E$48,4,FALSE)&amp;$BK228,坦克属性分配比例,MATCH("升星次数",坦克属性分配比例标头,0),FALSE)*VLOOKUP($BJ228,$AR$3:$AY$33,MATCH(BU$3,$AR$3:$AY$3,0),FALSE),1)</f>
        <v>6.4</v>
      </c>
      <c r="BV228" s="2">
        <f>IF(VLOOKUP(BJ228,坦克个性化设定!$B$18:$BC$48,MATCH("装弹类型",坦克个性化设定!$B$18:$BC$18,0),FALSE)="弹夹换弹",0,ROUND(VLOOKUP($BJ228,$AI$3:$AO$33,MATCH("换弹时间",$AI$3:$AO$3,0),FALSE)-$BL228/VLOOKUP(VLOOKUP($BJ228,坦克个性化设定!$B$18:$E$48,4,FALSE)&amp;$BK228,坦克属性分配比例,MATCH("升星次数",坦克属性分配比例标头,0),FALSE)*VLOOKUP($BJ228,$AR$3:$AY$33,MATCH("换弹时间",$AR$3:$AY$3,0),FALSE),2))</f>
        <v>5.27</v>
      </c>
      <c r="BW228" s="2">
        <f>IF(VLOOKUP(BJ228,坦克个性化设定!$B$18:$BC$48,MATCH("装弹类型",坦克个性化设定!$B$18:$BC$18,0),FALSE)="弹夹换弹",ROUND(VLOOKUP($BJ228,$AI$3:$AO$33,MATCH("换弹时间",$AI$3:$AO$3,0),FALSE)-$BL228/VLOOKUP(VLOOKUP($BJ228,坦克个性化设定!$B$18:$E$48,4,FALSE)&amp;$BK228,坦克属性分配比例,MATCH("升星次数",坦克属性分配比例标头,0),FALSE)*VLOOKUP($BJ228,$AR$3:$AY$33,MATCH("换弹时间",$AR$3:$AY$3,0),FALSE),1),0)</f>
        <v>0</v>
      </c>
      <c r="BX228" s="2">
        <f>ROUND(VLOOKUP($BJ228,$AI$3:$AO$33,MATCH(BX$3,$AI$3:$AO$3,0),FALSE)+$BL228/VLOOKUP(VLOOKUP($BJ228,坦克个性化设定!$B$18:$E$48,4,FALSE)&amp;$BK228,坦克属性分配比例,MATCH("升星次数",坦克属性分配比例标头,0),FALSE)*VLOOKUP($BJ228,$AR$3:$AY$33,MATCH(BX$3,$AR$3:$AY$3,0),FALSE),2)</f>
        <v>0</v>
      </c>
      <c r="BY228" s="2">
        <f>ROUND(VLOOKUP($BJ228,$AI$3:$AO$33,MATCH(BY$3,$AI$3:$AO$3,0),FALSE)-$BL228/VLOOKUP(VLOOKUP($BJ228,坦克个性化设定!$B$18:$E$48,4,FALSE)&amp;$BK228,坦克属性分配比例,MATCH("升星次数",坦克属性分配比例标头,0),FALSE)*VLOOKUP($BJ228,$AR$3:$AY$33,MATCH(BY$3,$AR$3:$AY$3,0),FALSE),2)</f>
        <v>2.57</v>
      </c>
    </row>
    <row r="229" spans="60:77" x14ac:dyDescent="0.3">
      <c r="BH229" s="2" t="str">
        <f t="shared" si="32"/>
        <v>丘吉尔7</v>
      </c>
      <c r="BI229" s="2">
        <f>IF(BL228&gt;=VLOOKUP(VLOOKUP(BJ228,坦克个性化设定!$B$18:$E$48,4,FALSE)&amp;BK228,坦克属性分配比例,MATCH("升星次数",坦克属性分配比例标头,0),FALSE),BI228+1,BI228)</f>
        <v>23</v>
      </c>
      <c r="BJ229" s="2" t="str">
        <f t="shared" si="33"/>
        <v>丘吉尔</v>
      </c>
      <c r="BK229" s="29" t="str">
        <f>VLOOKUP(BJ229,坦克个性化细分!$I$3:$J$33,2,FALSE)</f>
        <v>中</v>
      </c>
      <c r="BL229" s="2">
        <f t="shared" si="34"/>
        <v>7</v>
      </c>
      <c r="BM229" s="103">
        <f ca="1">ROUND(VLOOKUP($BJ229&amp;"初始",$S$3:$AE$63,MATCH(BM$3,$S$3:$AE$3,0),FALSE)+((VLOOKUP($BJ229&amp;"最终",$S$3:$AE$63,MATCH(BM$3,$S$3:$AE$3,0),FALSE)*坦克个性化细分!$C$9-VLOOKUP($BJ229&amp;"初始",$S$3:$AE$63,MATCH(BM$3,$S$3:$AE$3,0),FALSE))-(VLOOKUP($BJ229&amp;"最终",$S$3:$AE$63,MATCH(BM$3,$S$3:$AE$3,0),FALSE)-VLOOKUP($BJ229&amp;"初始",$S$3:$AE$63,MATCH(BM$3,$S$3:$AE$3,0),FALSE))*VLOOKUP(VLOOKUP($BJ229,坦克个性化设定!$B$18:$E$48,4,FALSE)&amp;$BK229,坦克属性分配比例,MATCH("部件比例",坦克属性分配比例标头,0),FALSE))*$BL229/VLOOKUP(VLOOKUP($BJ229,坦克个性化设定!$B$18:$E$48,4,FALSE)&amp;$BK229,坦克属性分配比例,MATCH("升星次数",坦克属性分配比例标头,0),FALSE),0)</f>
        <v>1624</v>
      </c>
      <c r="BN229" s="103">
        <f ca="1">ROUND(VLOOKUP($BJ229&amp;"初始",$S$3:$AE$63,MATCH(BN$3,$S$3:$AE$3,0),FALSE)+(VLOOKUP($BJ229&amp;"最终",$S$3:$AE$63,MATCH(BN$3,$S$3:$AE$3,0),FALSE)-VLOOKUP($BJ229&amp;"初始",$S$3:$AE$63,MATCH(BN$3,$S$3:$AE$3,0),FALSE))*$BL229/VLOOKUP(VLOOKUP($BJ229,坦克个性化设定!$B$18:$E$48,4,FALSE)&amp;$BK229,坦克属性分配比例,MATCH("升星次数",坦克属性分配比例标头,0),FALSE)*VLOOKUP(VLOOKUP($BJ229,坦克个性化设定!$B$18:$E$48,4,FALSE)&amp;$BK229,坦克属性分配比例,MATCH("升星比例",坦克属性分配比例标头,0),FALSE),0)</f>
        <v>670</v>
      </c>
      <c r="BO229" s="103">
        <f ca="1">ROUND(VLOOKUP($BJ229&amp;"初始",$S$3:$AE$63,MATCH(BO$3,$S$3:$AE$3,0),FALSE)+(VLOOKUP($BJ229&amp;"最终",$S$3:$AE$63,MATCH(BO$3,$S$3:$AE$3,0),FALSE)-VLOOKUP($BJ229&amp;"初始",$S$3:$AE$63,MATCH(BO$3,$S$3:$AE$3,0),FALSE))*$BL229/VLOOKUP(VLOOKUP($BJ229,坦克个性化设定!$B$18:$E$48,4,FALSE)&amp;$BK229,坦克属性分配比例,MATCH("升星次数",坦克属性分配比例标头,0),FALSE)*(VLOOKUP(VLOOKUP($BJ229,坦克个性化设定!$B$18:$E$48,4,FALSE)&amp;$BK229,坦克属性分配比例,MATCH("升星比例",坦克属性分配比例标头,0),FALSE)+VLOOKUP(VLOOKUP($BJ229,坦克个性化设定!$B$18:$E$48,4,FALSE)&amp;$BK229,坦克属性分配比例,MATCH("部件比例",坦克属性分配比例标头,0),FALSE)*$C$3),0)</f>
        <v>211</v>
      </c>
      <c r="BP229" s="103">
        <f ca="1">ROUND(VLOOKUP($BJ229&amp;"初始",$S$3:$AE$63,MATCH(BP$3,$S$3:$AE$3,0),FALSE)+(VLOOKUP($BJ229&amp;"最终",$S$3:$AE$63,MATCH(BP$3,$S$3:$AE$3,0),FALSE)-VLOOKUP($BJ229&amp;"初始",$S$3:$AE$63,MATCH(BP$3,$S$3:$AE$3,0),FALSE))*$BL229/VLOOKUP(VLOOKUP($BJ229,坦克个性化设定!$B$18:$E$48,4,FALSE)&amp;$BK229,坦克属性分配比例,MATCH("升星次数",坦克属性分配比例标头,0),FALSE)*(VLOOKUP(VLOOKUP($BJ229,坦克个性化设定!$B$18:$E$48,4,FALSE)&amp;$BK229,坦克属性分配比例,MATCH("升星比例",坦克属性分配比例标头,0),FALSE)+VLOOKUP(VLOOKUP($BJ229,坦克个性化设定!$B$18:$E$48,4,FALSE)&amp;$BK229,坦克属性分配比例,MATCH("部件比例",坦克属性分配比例标头,0),FALSE)*$C$3),0)</f>
        <v>529</v>
      </c>
      <c r="BQ229" s="103">
        <f ca="1">ROUND(VLOOKUP($BJ229&amp;"初始",$S$3:$AE$63,MATCH(BQ$3,$S$3:$AE$3,0),FALSE)+(VLOOKUP($BJ229&amp;"最终",$S$3:$AE$63,MATCH(BQ$3,$S$3:$AE$3,0),FALSE)-VLOOKUP($BJ229&amp;"初始",$S$3:$AE$63,MATCH(BQ$3,$S$3:$AE$3,0),FALSE))*$BL229/VLOOKUP(VLOOKUP($BJ229,坦克个性化设定!$B$18:$E$48,4,FALSE)&amp;$BK229,坦克属性分配比例,MATCH("升星次数",坦克属性分配比例标头,0),FALSE)*VLOOKUP(VLOOKUP($BJ229,坦克个性化设定!$B$18:$E$48,4,FALSE)&amp;$BK229,坦克属性分配比例,MATCH("升星比例",坦克属性分配比例标头,0),FALSE),0)</f>
        <v>660</v>
      </c>
      <c r="BR229" s="2">
        <f ca="1">ROUND(VLOOKUP($BJ229&amp;"初始",$S$3:$AE$63,MATCH(BR$3,$S$3:$AE$3,0),FALSE)+(VLOOKUP($BJ229&amp;"最终",$S$3:$AE$63,MATCH(BR$3,$S$3:$AE$3,0),FALSE)-VLOOKUP($BJ229&amp;"初始",$S$3:$AE$63,MATCH(BR$3,$S$3:$AE$3,0),FALSE))*$BL229/VLOOKUP(VLOOKUP($BJ229,坦克个性化设定!$B$18:$E$48,4,FALSE)&amp;$BK229,坦克属性分配比例,MATCH("升星次数",坦克属性分配比例标头,0),FALSE),0)</f>
        <v>160</v>
      </c>
      <c r="BS229" s="2">
        <f>ROUND(VLOOKUP($BJ229,$AI$3:$AO$33,MATCH(BS$3,$AI$3:$AO$3,0),FALSE)+$BL229/VLOOKUP(VLOOKUP($BJ229,坦克个性化设定!$B$18:$E$48,4,FALSE)&amp;$BK229,坦克属性分配比例,MATCH("升星次数",坦克属性分配比例标头,0),FALSE)*VLOOKUP($BJ229,$AR$3:$AY$33,MATCH(BS$3,$AR$3:$AY$3,0),FALSE),1)</f>
        <v>39.1</v>
      </c>
      <c r="BT229" s="2">
        <f>ROUND(VLOOKUP($BJ229,$AI$3:$AO$33,MATCH(BT$3,$AI$3:$AO$3,0),FALSE)+$BL229/VLOOKUP(VLOOKUP($BJ229,坦克个性化设定!$B$18:$E$48,4,FALSE)&amp;$BK229,坦克属性分配比例,MATCH("升星次数",坦克属性分配比例标头,0),FALSE)*VLOOKUP($BJ229,$AR$3:$AY$33,MATCH(BT$3,$AR$3:$AY$3,0),FALSE),1)</f>
        <v>39.299999999999997</v>
      </c>
      <c r="BU229" s="2">
        <f>ROUND(VLOOKUP($BJ229,$AI$3:$AO$33,MATCH(BU$3,$AI$3:$AO$3,0),FALSE)+$BL229/VLOOKUP(VLOOKUP($BJ229,坦克个性化设定!$B$18:$E$48,4,FALSE)&amp;$BK229,坦克属性分配比例,MATCH("升星次数",坦克属性分配比例标头,0),FALSE)*VLOOKUP($BJ229,$AR$3:$AY$33,MATCH(BU$3,$AR$3:$AY$3,0),FALSE),1)</f>
        <v>6.4</v>
      </c>
      <c r="BV229" s="2">
        <f>IF(VLOOKUP(BJ229,坦克个性化设定!$B$18:$BC$48,MATCH("装弹类型",坦克个性化设定!$B$18:$BC$18,0),FALSE)="弹夹换弹",0,ROUND(VLOOKUP($BJ229,$AI$3:$AO$33,MATCH("换弹时间",$AI$3:$AO$3,0),FALSE)-$BL229/VLOOKUP(VLOOKUP($BJ229,坦克个性化设定!$B$18:$E$48,4,FALSE)&amp;$BK229,坦克属性分配比例,MATCH("升星次数",坦克属性分配比例标头,0),FALSE)*VLOOKUP($BJ229,$AR$3:$AY$33,MATCH("换弹时间",$AR$3:$AY$3,0),FALSE),2))</f>
        <v>5.15</v>
      </c>
      <c r="BW229" s="2">
        <f>IF(VLOOKUP(BJ229,坦克个性化设定!$B$18:$BC$48,MATCH("装弹类型",坦克个性化设定!$B$18:$BC$18,0),FALSE)="弹夹换弹",ROUND(VLOOKUP($BJ229,$AI$3:$AO$33,MATCH("换弹时间",$AI$3:$AO$3,0),FALSE)-$BL229/VLOOKUP(VLOOKUP($BJ229,坦克个性化设定!$B$18:$E$48,4,FALSE)&amp;$BK229,坦克属性分配比例,MATCH("升星次数",坦克属性分配比例标头,0),FALSE)*VLOOKUP($BJ229,$AR$3:$AY$33,MATCH("换弹时间",$AR$3:$AY$3,0),FALSE),1),0)</f>
        <v>0</v>
      </c>
      <c r="BX229" s="2">
        <f>ROUND(VLOOKUP($BJ229,$AI$3:$AO$33,MATCH(BX$3,$AI$3:$AO$3,0),FALSE)+$BL229/VLOOKUP(VLOOKUP($BJ229,坦克个性化设定!$B$18:$E$48,4,FALSE)&amp;$BK229,坦克属性分配比例,MATCH("升星次数",坦克属性分配比例标头,0),FALSE)*VLOOKUP($BJ229,$AR$3:$AY$33,MATCH(BX$3,$AR$3:$AY$3,0),FALSE),2)</f>
        <v>0</v>
      </c>
      <c r="BY229" s="2">
        <f>ROUND(VLOOKUP($BJ229,$AI$3:$AO$33,MATCH(BY$3,$AI$3:$AO$3,0),FALSE)-$BL229/VLOOKUP(VLOOKUP($BJ229,坦克个性化设定!$B$18:$E$48,4,FALSE)&amp;$BK229,坦克属性分配比例,MATCH("升星次数",坦克属性分配比例标头,0),FALSE)*VLOOKUP($BJ229,$AR$3:$AY$33,MATCH(BY$3,$AR$3:$AY$3,0),FALSE),2)</f>
        <v>2.5</v>
      </c>
    </row>
    <row r="230" spans="60:77" x14ac:dyDescent="0.3">
      <c r="BH230" s="2" t="str">
        <f t="shared" si="32"/>
        <v>黑豹0</v>
      </c>
      <c r="BI230" s="2">
        <f>IF(BL229&gt;=VLOOKUP(VLOOKUP(BJ229,坦克个性化设定!$B$18:$E$48,4,FALSE)&amp;BK229,坦克属性分配比例,MATCH("升星次数",坦克属性分配比例标头,0),FALSE),BI229+1,BI229)</f>
        <v>24</v>
      </c>
      <c r="BJ230" s="2" t="str">
        <f t="shared" si="33"/>
        <v>黑豹</v>
      </c>
      <c r="BK230" s="29" t="str">
        <f>VLOOKUP(BJ230,坦克个性化细分!$I$3:$J$33,2,FALSE)</f>
        <v>低</v>
      </c>
      <c r="BL230" s="2">
        <f t="shared" si="34"/>
        <v>0</v>
      </c>
      <c r="BM230" s="103">
        <f ca="1">ROUND(VLOOKUP($BJ230&amp;"初始",$S$3:$AE$63,MATCH(BM$3,$S$3:$AE$3,0),FALSE)+((VLOOKUP($BJ230&amp;"最终",$S$3:$AE$63,MATCH(BM$3,$S$3:$AE$3,0),FALSE)*坦克个性化细分!$C$9-VLOOKUP($BJ230&amp;"初始",$S$3:$AE$63,MATCH(BM$3,$S$3:$AE$3,0),FALSE))-(VLOOKUP($BJ230&amp;"最终",$S$3:$AE$63,MATCH(BM$3,$S$3:$AE$3,0),FALSE)-VLOOKUP($BJ230&amp;"初始",$S$3:$AE$63,MATCH(BM$3,$S$3:$AE$3,0),FALSE))*VLOOKUP(VLOOKUP($BJ230,坦克个性化设定!$B$18:$E$48,4,FALSE)&amp;$BK230,坦克属性分配比例,MATCH("部件比例",坦克属性分配比例标头,0),FALSE))*$BL230/VLOOKUP(VLOOKUP($BJ230,坦克个性化设定!$B$18:$E$48,4,FALSE)&amp;$BK230,坦克属性分配比例,MATCH("升星次数",坦克属性分配比例标头,0),FALSE),0)</f>
        <v>1354</v>
      </c>
      <c r="BN230" s="103">
        <f ca="1">ROUND(VLOOKUP($BJ230&amp;"初始",$S$3:$AE$63,MATCH(BN$3,$S$3:$AE$3,0),FALSE)+(VLOOKUP($BJ230&amp;"最终",$S$3:$AE$63,MATCH(BN$3,$S$3:$AE$3,0),FALSE)-VLOOKUP($BJ230&amp;"初始",$S$3:$AE$63,MATCH(BN$3,$S$3:$AE$3,0),FALSE))*$BL230/VLOOKUP(VLOOKUP($BJ230,坦克个性化设定!$B$18:$E$48,4,FALSE)&amp;$BK230,坦克属性分配比例,MATCH("升星次数",坦克属性分配比例标头,0),FALSE)*VLOOKUP(VLOOKUP($BJ230,坦克个性化设定!$B$18:$E$48,4,FALSE)&amp;$BK230,坦克属性分配比例,MATCH("升星比例",坦克属性分配比例标头,0),FALSE),0)</f>
        <v>611</v>
      </c>
      <c r="BO230" s="103">
        <f ca="1">ROUND(VLOOKUP($BJ230&amp;"初始",$S$3:$AE$63,MATCH(BO$3,$S$3:$AE$3,0),FALSE)+(VLOOKUP($BJ230&amp;"最终",$S$3:$AE$63,MATCH(BO$3,$S$3:$AE$3,0),FALSE)-VLOOKUP($BJ230&amp;"初始",$S$3:$AE$63,MATCH(BO$3,$S$3:$AE$3,0),FALSE))*$BL230/VLOOKUP(VLOOKUP($BJ230,坦克个性化设定!$B$18:$E$48,4,FALSE)&amp;$BK230,坦克属性分配比例,MATCH("升星次数",坦克属性分配比例标头,0),FALSE)*(VLOOKUP(VLOOKUP($BJ230,坦克个性化设定!$B$18:$E$48,4,FALSE)&amp;$BK230,坦克属性分配比例,MATCH("升星比例",坦克属性分配比例标头,0),FALSE)+VLOOKUP(VLOOKUP($BJ230,坦克个性化设定!$B$18:$E$48,4,FALSE)&amp;$BK230,坦克属性分配比例,MATCH("部件比例",坦克属性分配比例标头,0),FALSE)*$C$3),0)</f>
        <v>186</v>
      </c>
      <c r="BP230" s="103">
        <f ca="1">ROUND(VLOOKUP($BJ230&amp;"初始",$S$3:$AE$63,MATCH(BP$3,$S$3:$AE$3,0),FALSE)+(VLOOKUP($BJ230&amp;"最终",$S$3:$AE$63,MATCH(BP$3,$S$3:$AE$3,0),FALSE)-VLOOKUP($BJ230&amp;"初始",$S$3:$AE$63,MATCH(BP$3,$S$3:$AE$3,0),FALSE))*$BL230/VLOOKUP(VLOOKUP($BJ230,坦克个性化设定!$B$18:$E$48,4,FALSE)&amp;$BK230,坦克属性分配比例,MATCH("升星次数",坦克属性分配比例标头,0),FALSE)*(VLOOKUP(VLOOKUP($BJ230,坦克个性化设定!$B$18:$E$48,4,FALSE)&amp;$BK230,坦克属性分配比例,MATCH("升星比例",坦克属性分配比例标头,0),FALSE)+VLOOKUP(VLOOKUP($BJ230,坦克个性化设定!$B$18:$E$48,4,FALSE)&amp;$BK230,坦克属性分配比例,MATCH("部件比例",坦克属性分配比例标头,0),FALSE)*$C$3),0)</f>
        <v>465</v>
      </c>
      <c r="BQ230" s="103">
        <f ca="1">ROUND(VLOOKUP($BJ230&amp;"初始",$S$3:$AE$63,MATCH(BQ$3,$S$3:$AE$3,0),FALSE)+(VLOOKUP($BJ230&amp;"最终",$S$3:$AE$63,MATCH(BQ$3,$S$3:$AE$3,0),FALSE)-VLOOKUP($BJ230&amp;"初始",$S$3:$AE$63,MATCH(BQ$3,$S$3:$AE$3,0),FALSE))*$BL230/VLOOKUP(VLOOKUP($BJ230,坦克个性化设定!$B$18:$E$48,4,FALSE)&amp;$BK230,坦克属性分配比例,MATCH("升星次数",坦克属性分配比例标头,0),FALSE)*VLOOKUP(VLOOKUP($BJ230,坦克个性化设定!$B$18:$E$48,4,FALSE)&amp;$BK230,坦克属性分配比例,MATCH("升星比例",坦克属性分配比例标头,0),FALSE),0)</f>
        <v>622</v>
      </c>
      <c r="BR230" s="2">
        <f ca="1">ROUND(VLOOKUP($BJ230&amp;"初始",$S$3:$AE$63,MATCH(BR$3,$S$3:$AE$3,0),FALSE)+(VLOOKUP($BJ230&amp;"最终",$S$3:$AE$63,MATCH(BR$3,$S$3:$AE$3,0),FALSE)-VLOOKUP($BJ230&amp;"初始",$S$3:$AE$63,MATCH(BR$3,$S$3:$AE$3,0),FALSE))*$BL230/VLOOKUP(VLOOKUP($BJ230,坦克个性化设定!$B$18:$E$48,4,FALSE)&amp;$BK230,坦克属性分配比例,MATCH("升星次数",坦克属性分配比例标头,0),FALSE),0)</f>
        <v>135</v>
      </c>
      <c r="BS230" s="2">
        <f>ROUND(VLOOKUP($BJ230,$AI$3:$AO$33,MATCH(BS$3,$AI$3:$AO$3,0),FALSE)+$BL230/VLOOKUP(VLOOKUP($BJ230,坦克个性化设定!$B$18:$E$48,4,FALSE)&amp;$BK230,坦克属性分配比例,MATCH("升星次数",坦克属性分配比例标头,0),FALSE)*VLOOKUP($BJ230,$AR$3:$AY$33,MATCH(BS$3,$AR$3:$AY$3,0),FALSE),1)</f>
        <v>30.7</v>
      </c>
      <c r="BT230" s="2">
        <f>ROUND(VLOOKUP($BJ230,$AI$3:$AO$33,MATCH(BT$3,$AI$3:$AO$3,0),FALSE)+$BL230/VLOOKUP(VLOOKUP($BJ230,坦克个性化设定!$B$18:$E$48,4,FALSE)&amp;$BK230,坦克属性分配比例,MATCH("升星次数",坦克属性分配比例标头,0),FALSE)*VLOOKUP($BJ230,$AR$3:$AY$33,MATCH(BT$3,$AR$3:$AY$3,0),FALSE),1)</f>
        <v>33.6</v>
      </c>
      <c r="BU230" s="2">
        <f>ROUND(VLOOKUP($BJ230,$AI$3:$AO$33,MATCH(BU$3,$AI$3:$AO$3,0),FALSE)+$BL230/VLOOKUP(VLOOKUP($BJ230,坦克个性化设定!$B$18:$E$48,4,FALSE)&amp;$BK230,坦克属性分配比例,MATCH("升星次数",坦克属性分配比例标头,0),FALSE)*VLOOKUP($BJ230,$AR$3:$AY$33,MATCH(BU$3,$AR$3:$AY$3,0),FALSE),1)</f>
        <v>6.3</v>
      </c>
      <c r="BV230" s="2">
        <f>IF(VLOOKUP(BJ230,坦克个性化设定!$B$18:$BC$48,MATCH("装弹类型",坦克个性化设定!$B$18:$BC$18,0),FALSE)="弹夹换弹",0,ROUND(VLOOKUP($BJ230,$AI$3:$AO$33,MATCH("换弹时间",$AI$3:$AO$3,0),FALSE)-$BL230/VLOOKUP(VLOOKUP($BJ230,坦克个性化设定!$B$18:$E$48,4,FALSE)&amp;$BK230,坦克属性分配比例,MATCH("升星次数",坦克属性分配比例标头,0),FALSE)*VLOOKUP($BJ230,$AR$3:$AY$33,MATCH("换弹时间",$AR$3:$AY$3,0),FALSE),2))</f>
        <v>6</v>
      </c>
      <c r="BW230" s="2">
        <f>IF(VLOOKUP(BJ230,坦克个性化设定!$B$18:$BC$48,MATCH("装弹类型",坦克个性化设定!$B$18:$BC$18,0),FALSE)="弹夹换弹",ROUND(VLOOKUP($BJ230,$AI$3:$AO$33,MATCH("换弹时间",$AI$3:$AO$3,0),FALSE)-$BL230/VLOOKUP(VLOOKUP($BJ230,坦克个性化设定!$B$18:$E$48,4,FALSE)&amp;$BK230,坦克属性分配比例,MATCH("升星次数",坦克属性分配比例标头,0),FALSE)*VLOOKUP($BJ230,$AR$3:$AY$33,MATCH("换弹时间",$AR$3:$AY$3,0),FALSE),1),0)</f>
        <v>0</v>
      </c>
      <c r="BX230" s="2">
        <f>ROUND(VLOOKUP($BJ230,$AI$3:$AO$33,MATCH(BX$3,$AI$3:$AO$3,0),FALSE)+$BL230/VLOOKUP(VLOOKUP($BJ230,坦克个性化设定!$B$18:$E$48,4,FALSE)&amp;$BK230,坦克属性分配比例,MATCH("升星次数",坦克属性分配比例标头,0),FALSE)*VLOOKUP($BJ230,$AR$3:$AY$33,MATCH(BX$3,$AR$3:$AY$3,0),FALSE),2)</f>
        <v>0</v>
      </c>
      <c r="BY230" s="2">
        <f>ROUND(VLOOKUP($BJ230,$AI$3:$AO$33,MATCH(BY$3,$AI$3:$AO$3,0),FALSE)-$BL230/VLOOKUP(VLOOKUP($BJ230,坦克个性化设定!$B$18:$E$48,4,FALSE)&amp;$BK230,坦克属性分配比例,MATCH("升星次数",坦克属性分配比例标头,0),FALSE)*VLOOKUP($BJ230,$AR$3:$AY$33,MATCH(BY$3,$AR$3:$AY$3,0),FALSE),2)</f>
        <v>3</v>
      </c>
    </row>
    <row r="231" spans="60:77" x14ac:dyDescent="0.3">
      <c r="BH231" s="2" t="str">
        <f t="shared" si="32"/>
        <v>黑豹1</v>
      </c>
      <c r="BI231" s="2">
        <f>IF(BL230&gt;=VLOOKUP(VLOOKUP(BJ230,坦克个性化设定!$B$18:$E$48,4,FALSE)&amp;BK230,坦克属性分配比例,MATCH("升星次数",坦克属性分配比例标头,0),FALSE),BI230+1,BI230)</f>
        <v>24</v>
      </c>
      <c r="BJ231" s="2" t="str">
        <f t="shared" si="33"/>
        <v>黑豹</v>
      </c>
      <c r="BK231" s="29" t="str">
        <f>VLOOKUP(BJ231,坦克个性化细分!$I$3:$J$33,2,FALSE)</f>
        <v>低</v>
      </c>
      <c r="BL231" s="2">
        <f t="shared" si="34"/>
        <v>1</v>
      </c>
      <c r="BM231" s="103">
        <f ca="1">ROUND(VLOOKUP($BJ231&amp;"初始",$S$3:$AE$63,MATCH(BM$3,$S$3:$AE$3,0),FALSE)+((VLOOKUP($BJ231&amp;"最终",$S$3:$AE$63,MATCH(BM$3,$S$3:$AE$3,0),FALSE)*坦克个性化细分!$C$9-VLOOKUP($BJ231&amp;"初始",$S$3:$AE$63,MATCH(BM$3,$S$3:$AE$3,0),FALSE))-(VLOOKUP($BJ231&amp;"最终",$S$3:$AE$63,MATCH(BM$3,$S$3:$AE$3,0),FALSE)-VLOOKUP($BJ231&amp;"初始",$S$3:$AE$63,MATCH(BM$3,$S$3:$AE$3,0),FALSE))*VLOOKUP(VLOOKUP($BJ231,坦克个性化设定!$B$18:$E$48,4,FALSE)&amp;$BK231,坦克属性分配比例,MATCH("部件比例",坦克属性分配比例标头,0),FALSE))*$BL231/VLOOKUP(VLOOKUP($BJ231,坦克个性化设定!$B$18:$E$48,4,FALSE)&amp;$BK231,坦克属性分配比例,MATCH("升星次数",坦克属性分配比例标头,0),FALSE),0)</f>
        <v>1426</v>
      </c>
      <c r="BN231" s="103">
        <f ca="1">ROUND(VLOOKUP($BJ231&amp;"初始",$S$3:$AE$63,MATCH(BN$3,$S$3:$AE$3,0),FALSE)+(VLOOKUP($BJ231&amp;"最终",$S$3:$AE$63,MATCH(BN$3,$S$3:$AE$3,0),FALSE)-VLOOKUP($BJ231&amp;"初始",$S$3:$AE$63,MATCH(BN$3,$S$3:$AE$3,0),FALSE))*$BL231/VLOOKUP(VLOOKUP($BJ231,坦克个性化设定!$B$18:$E$48,4,FALSE)&amp;$BK231,坦克属性分配比例,MATCH("升星次数",坦克属性分配比例标头,0),FALSE)*VLOOKUP(VLOOKUP($BJ231,坦克个性化设定!$B$18:$E$48,4,FALSE)&amp;$BK231,坦克属性分配比例,MATCH("升星比例",坦克属性分配比例标头,0),FALSE),0)</f>
        <v>630</v>
      </c>
      <c r="BO231" s="103">
        <f ca="1">ROUND(VLOOKUP($BJ231&amp;"初始",$S$3:$AE$63,MATCH(BO$3,$S$3:$AE$3,0),FALSE)+(VLOOKUP($BJ231&amp;"最终",$S$3:$AE$63,MATCH(BO$3,$S$3:$AE$3,0),FALSE)-VLOOKUP($BJ231&amp;"初始",$S$3:$AE$63,MATCH(BO$3,$S$3:$AE$3,0),FALSE))*$BL231/VLOOKUP(VLOOKUP($BJ231,坦克个性化设定!$B$18:$E$48,4,FALSE)&amp;$BK231,坦克属性分配比例,MATCH("升星次数",坦克属性分配比例标头,0),FALSE)*(VLOOKUP(VLOOKUP($BJ231,坦克个性化设定!$B$18:$E$48,4,FALSE)&amp;$BK231,坦克属性分配比例,MATCH("升星比例",坦克属性分配比例标头,0),FALSE)+VLOOKUP(VLOOKUP($BJ231,坦克个性化设定!$B$18:$E$48,4,FALSE)&amp;$BK231,坦克属性分配比例,MATCH("部件比例",坦克属性分配比例标头,0),FALSE)*$C$3),0)</f>
        <v>194</v>
      </c>
      <c r="BP231" s="103">
        <f ca="1">ROUND(VLOOKUP($BJ231&amp;"初始",$S$3:$AE$63,MATCH(BP$3,$S$3:$AE$3,0),FALSE)+(VLOOKUP($BJ231&amp;"最终",$S$3:$AE$63,MATCH(BP$3,$S$3:$AE$3,0),FALSE)-VLOOKUP($BJ231&amp;"初始",$S$3:$AE$63,MATCH(BP$3,$S$3:$AE$3,0),FALSE))*$BL231/VLOOKUP(VLOOKUP($BJ231,坦克个性化设定!$B$18:$E$48,4,FALSE)&amp;$BK231,坦克属性分配比例,MATCH("升星次数",坦克属性分配比例标头,0),FALSE)*(VLOOKUP(VLOOKUP($BJ231,坦克个性化设定!$B$18:$E$48,4,FALSE)&amp;$BK231,坦克属性分配比例,MATCH("升星比例",坦克属性分配比例标头,0),FALSE)+VLOOKUP(VLOOKUP($BJ231,坦克个性化设定!$B$18:$E$48,4,FALSE)&amp;$BK231,坦克属性分配比例,MATCH("部件比例",坦克属性分配比例标头,0),FALSE)*$C$3),0)</f>
        <v>485</v>
      </c>
      <c r="BQ231" s="103">
        <f ca="1">ROUND(VLOOKUP($BJ231&amp;"初始",$S$3:$AE$63,MATCH(BQ$3,$S$3:$AE$3,0),FALSE)+(VLOOKUP($BJ231&amp;"最终",$S$3:$AE$63,MATCH(BQ$3,$S$3:$AE$3,0),FALSE)-VLOOKUP($BJ231&amp;"初始",$S$3:$AE$63,MATCH(BQ$3,$S$3:$AE$3,0),FALSE))*$BL231/VLOOKUP(VLOOKUP($BJ231,坦克个性化设定!$B$18:$E$48,4,FALSE)&amp;$BK231,坦克属性分配比例,MATCH("升星次数",坦克属性分配比例标头,0),FALSE)*VLOOKUP(VLOOKUP($BJ231,坦克个性化设定!$B$18:$E$48,4,FALSE)&amp;$BK231,坦克属性分配比例,MATCH("升星比例",坦克属性分配比例标头,0),FALSE),0)</f>
        <v>641</v>
      </c>
      <c r="BR231" s="2">
        <f ca="1">ROUND(VLOOKUP($BJ231&amp;"初始",$S$3:$AE$63,MATCH(BR$3,$S$3:$AE$3,0),FALSE)+(VLOOKUP($BJ231&amp;"最终",$S$3:$AE$63,MATCH(BR$3,$S$3:$AE$3,0),FALSE)-VLOOKUP($BJ231&amp;"初始",$S$3:$AE$63,MATCH(BR$3,$S$3:$AE$3,0),FALSE))*$BL231/VLOOKUP(VLOOKUP($BJ231,坦克个性化设定!$B$18:$E$48,4,FALSE)&amp;$BK231,坦克属性分配比例,MATCH("升星次数",坦克属性分配比例标头,0),FALSE),0)</f>
        <v>142</v>
      </c>
      <c r="BS231" s="2">
        <f>ROUND(VLOOKUP($BJ231,$AI$3:$AO$33,MATCH(BS$3,$AI$3:$AO$3,0),FALSE)+$BL231/VLOOKUP(VLOOKUP($BJ231,坦克个性化设定!$B$18:$E$48,4,FALSE)&amp;$BK231,坦克属性分配比例,MATCH("升星次数",坦克属性分配比例标头,0),FALSE)*VLOOKUP($BJ231,$AR$3:$AY$33,MATCH(BS$3,$AR$3:$AY$3,0),FALSE),1)</f>
        <v>31.6</v>
      </c>
      <c r="BT231" s="2">
        <f>ROUND(VLOOKUP($BJ231,$AI$3:$AO$33,MATCH(BT$3,$AI$3:$AO$3,0),FALSE)+$BL231/VLOOKUP(VLOOKUP($BJ231,坦克个性化设定!$B$18:$E$48,4,FALSE)&amp;$BK231,坦克属性分配比例,MATCH("升星次数",坦克属性分配比例标头,0),FALSE)*VLOOKUP($BJ231,$AR$3:$AY$33,MATCH(BT$3,$AR$3:$AY$3,0),FALSE),1)</f>
        <v>34.5</v>
      </c>
      <c r="BU231" s="2">
        <f>ROUND(VLOOKUP($BJ231,$AI$3:$AO$33,MATCH(BU$3,$AI$3:$AO$3,0),FALSE)+$BL231/VLOOKUP(VLOOKUP($BJ231,坦克个性化设定!$B$18:$E$48,4,FALSE)&amp;$BK231,坦克属性分配比例,MATCH("升星次数",坦克属性分配比例标头,0),FALSE)*VLOOKUP($BJ231,$AR$3:$AY$33,MATCH(BU$3,$AR$3:$AY$3,0),FALSE),1)</f>
        <v>6.3</v>
      </c>
      <c r="BV231" s="2">
        <f>IF(VLOOKUP(BJ231,坦克个性化设定!$B$18:$BC$48,MATCH("装弹类型",坦克个性化设定!$B$18:$BC$18,0),FALSE)="弹夹换弹",0,ROUND(VLOOKUP($BJ231,$AI$3:$AO$33,MATCH("换弹时间",$AI$3:$AO$3,0),FALSE)-$BL231/VLOOKUP(VLOOKUP($BJ231,坦克个性化设定!$B$18:$E$48,4,FALSE)&amp;$BK231,坦克属性分配比例,MATCH("升星次数",坦克属性分配比例标头,0),FALSE)*VLOOKUP($BJ231,$AR$3:$AY$33,MATCH("换弹时间",$AR$3:$AY$3,0),FALSE),2))</f>
        <v>5.91</v>
      </c>
      <c r="BW231" s="2">
        <f>IF(VLOOKUP(BJ231,坦克个性化设定!$B$18:$BC$48,MATCH("装弹类型",坦克个性化设定!$B$18:$BC$18,0),FALSE)="弹夹换弹",ROUND(VLOOKUP($BJ231,$AI$3:$AO$33,MATCH("换弹时间",$AI$3:$AO$3,0),FALSE)-$BL231/VLOOKUP(VLOOKUP($BJ231,坦克个性化设定!$B$18:$E$48,4,FALSE)&amp;$BK231,坦克属性分配比例,MATCH("升星次数",坦克属性分配比例标头,0),FALSE)*VLOOKUP($BJ231,$AR$3:$AY$33,MATCH("换弹时间",$AR$3:$AY$3,0),FALSE),1),0)</f>
        <v>0</v>
      </c>
      <c r="BX231" s="2">
        <f>ROUND(VLOOKUP($BJ231,$AI$3:$AO$33,MATCH(BX$3,$AI$3:$AO$3,0),FALSE)+$BL231/VLOOKUP(VLOOKUP($BJ231,坦克个性化设定!$B$18:$E$48,4,FALSE)&amp;$BK231,坦克属性分配比例,MATCH("升星次数",坦克属性分配比例标头,0),FALSE)*VLOOKUP($BJ231,$AR$3:$AY$33,MATCH(BX$3,$AR$3:$AY$3,0),FALSE),2)</f>
        <v>0</v>
      </c>
      <c r="BY231" s="2">
        <f>ROUND(VLOOKUP($BJ231,$AI$3:$AO$33,MATCH(BY$3,$AI$3:$AO$3,0),FALSE)-$BL231/VLOOKUP(VLOOKUP($BJ231,坦克个性化设定!$B$18:$E$48,4,FALSE)&amp;$BK231,坦克属性分配比例,MATCH("升星次数",坦克属性分配比例标头,0),FALSE)*VLOOKUP($BJ231,$AR$3:$AY$33,MATCH(BY$3,$AR$3:$AY$3,0),FALSE),2)</f>
        <v>2.94</v>
      </c>
    </row>
    <row r="232" spans="60:77" x14ac:dyDescent="0.3">
      <c r="BH232" s="2" t="str">
        <f t="shared" si="32"/>
        <v>黑豹2</v>
      </c>
      <c r="BI232" s="2">
        <f>IF(BL231&gt;=VLOOKUP(VLOOKUP(BJ231,坦克个性化设定!$B$18:$E$48,4,FALSE)&amp;BK231,坦克属性分配比例,MATCH("升星次数",坦克属性分配比例标头,0),FALSE),BI231+1,BI231)</f>
        <v>24</v>
      </c>
      <c r="BJ232" s="2" t="str">
        <f t="shared" si="33"/>
        <v>黑豹</v>
      </c>
      <c r="BK232" s="29" t="str">
        <f>VLOOKUP(BJ232,坦克个性化细分!$I$3:$J$33,2,FALSE)</f>
        <v>低</v>
      </c>
      <c r="BL232" s="2">
        <f t="shared" si="34"/>
        <v>2</v>
      </c>
      <c r="BM232" s="103">
        <f ca="1">ROUND(VLOOKUP($BJ232&amp;"初始",$S$3:$AE$63,MATCH(BM$3,$S$3:$AE$3,0),FALSE)+((VLOOKUP($BJ232&amp;"最终",$S$3:$AE$63,MATCH(BM$3,$S$3:$AE$3,0),FALSE)*坦克个性化细分!$C$9-VLOOKUP($BJ232&amp;"初始",$S$3:$AE$63,MATCH(BM$3,$S$3:$AE$3,0),FALSE))-(VLOOKUP($BJ232&amp;"最终",$S$3:$AE$63,MATCH(BM$3,$S$3:$AE$3,0),FALSE)-VLOOKUP($BJ232&amp;"初始",$S$3:$AE$63,MATCH(BM$3,$S$3:$AE$3,0),FALSE))*VLOOKUP(VLOOKUP($BJ232,坦克个性化设定!$B$18:$E$48,4,FALSE)&amp;$BK232,坦克属性分配比例,MATCH("部件比例",坦克属性分配比例标头,0),FALSE))*$BL232/VLOOKUP(VLOOKUP($BJ232,坦克个性化设定!$B$18:$E$48,4,FALSE)&amp;$BK232,坦克属性分配比例,MATCH("升星次数",坦克属性分配比例标头,0),FALSE),0)</f>
        <v>1497</v>
      </c>
      <c r="BN232" s="103">
        <f ca="1">ROUND(VLOOKUP($BJ232&amp;"初始",$S$3:$AE$63,MATCH(BN$3,$S$3:$AE$3,0),FALSE)+(VLOOKUP($BJ232&amp;"最终",$S$3:$AE$63,MATCH(BN$3,$S$3:$AE$3,0),FALSE)-VLOOKUP($BJ232&amp;"初始",$S$3:$AE$63,MATCH(BN$3,$S$3:$AE$3,0),FALSE))*$BL232/VLOOKUP(VLOOKUP($BJ232,坦克个性化设定!$B$18:$E$48,4,FALSE)&amp;$BK232,坦克属性分配比例,MATCH("升星次数",坦克属性分配比例标头,0),FALSE)*VLOOKUP(VLOOKUP($BJ232,坦克个性化设定!$B$18:$E$48,4,FALSE)&amp;$BK232,坦克属性分配比例,MATCH("升星比例",坦克属性分配比例标头,0),FALSE),0)</f>
        <v>649</v>
      </c>
      <c r="BO232" s="103">
        <f ca="1">ROUND(VLOOKUP($BJ232&amp;"初始",$S$3:$AE$63,MATCH(BO$3,$S$3:$AE$3,0),FALSE)+(VLOOKUP($BJ232&amp;"最终",$S$3:$AE$63,MATCH(BO$3,$S$3:$AE$3,0),FALSE)-VLOOKUP($BJ232&amp;"初始",$S$3:$AE$63,MATCH(BO$3,$S$3:$AE$3,0),FALSE))*$BL232/VLOOKUP(VLOOKUP($BJ232,坦克个性化设定!$B$18:$E$48,4,FALSE)&amp;$BK232,坦克属性分配比例,MATCH("升星次数",坦克属性分配比例标头,0),FALSE)*(VLOOKUP(VLOOKUP($BJ232,坦克个性化设定!$B$18:$E$48,4,FALSE)&amp;$BK232,坦克属性分配比例,MATCH("升星比例",坦克属性分配比例标头,0),FALSE)+VLOOKUP(VLOOKUP($BJ232,坦克个性化设定!$B$18:$E$48,4,FALSE)&amp;$BK232,坦克属性分配比例,MATCH("部件比例",坦克属性分配比例标头,0),FALSE)*$C$3),0)</f>
        <v>202</v>
      </c>
      <c r="BP232" s="103">
        <f ca="1">ROUND(VLOOKUP($BJ232&amp;"初始",$S$3:$AE$63,MATCH(BP$3,$S$3:$AE$3,0),FALSE)+(VLOOKUP($BJ232&amp;"最终",$S$3:$AE$63,MATCH(BP$3,$S$3:$AE$3,0),FALSE)-VLOOKUP($BJ232&amp;"初始",$S$3:$AE$63,MATCH(BP$3,$S$3:$AE$3,0),FALSE))*$BL232/VLOOKUP(VLOOKUP($BJ232,坦克个性化设定!$B$18:$E$48,4,FALSE)&amp;$BK232,坦克属性分配比例,MATCH("升星次数",坦克属性分配比例标头,0),FALSE)*(VLOOKUP(VLOOKUP($BJ232,坦克个性化设定!$B$18:$E$48,4,FALSE)&amp;$BK232,坦克属性分配比例,MATCH("升星比例",坦克属性分配比例标头,0),FALSE)+VLOOKUP(VLOOKUP($BJ232,坦克个性化设定!$B$18:$E$48,4,FALSE)&amp;$BK232,坦克属性分配比例,MATCH("部件比例",坦克属性分配比例标头,0),FALSE)*$C$3),0)</f>
        <v>506</v>
      </c>
      <c r="BQ232" s="103">
        <f ca="1">ROUND(VLOOKUP($BJ232&amp;"初始",$S$3:$AE$63,MATCH(BQ$3,$S$3:$AE$3,0),FALSE)+(VLOOKUP($BJ232&amp;"最终",$S$3:$AE$63,MATCH(BQ$3,$S$3:$AE$3,0),FALSE)-VLOOKUP($BJ232&amp;"初始",$S$3:$AE$63,MATCH(BQ$3,$S$3:$AE$3,0),FALSE))*$BL232/VLOOKUP(VLOOKUP($BJ232,坦克个性化设定!$B$18:$E$48,4,FALSE)&amp;$BK232,坦克属性分配比例,MATCH("升星次数",坦克属性分配比例标头,0),FALSE)*VLOOKUP(VLOOKUP($BJ232,坦克个性化设定!$B$18:$E$48,4,FALSE)&amp;$BK232,坦克属性分配比例,MATCH("升星比例",坦克属性分配比例标头,0),FALSE),0)</f>
        <v>661</v>
      </c>
      <c r="BR232" s="2">
        <f ca="1">ROUND(VLOOKUP($BJ232&amp;"初始",$S$3:$AE$63,MATCH(BR$3,$S$3:$AE$3,0),FALSE)+(VLOOKUP($BJ232&amp;"最终",$S$3:$AE$63,MATCH(BR$3,$S$3:$AE$3,0),FALSE)-VLOOKUP($BJ232&amp;"初始",$S$3:$AE$63,MATCH(BR$3,$S$3:$AE$3,0),FALSE))*$BL232/VLOOKUP(VLOOKUP($BJ232,坦克个性化设定!$B$18:$E$48,4,FALSE)&amp;$BK232,坦克属性分配比例,MATCH("升星次数",坦克属性分配比例标头,0),FALSE),0)</f>
        <v>149</v>
      </c>
      <c r="BS232" s="2">
        <f>ROUND(VLOOKUP($BJ232,$AI$3:$AO$33,MATCH(BS$3,$AI$3:$AO$3,0),FALSE)+$BL232/VLOOKUP(VLOOKUP($BJ232,坦克个性化设定!$B$18:$E$48,4,FALSE)&amp;$BK232,坦克属性分配比例,MATCH("升星次数",坦克属性分配比例标头,0),FALSE)*VLOOKUP($BJ232,$AR$3:$AY$33,MATCH(BS$3,$AR$3:$AY$3,0),FALSE),1)</f>
        <v>32.4</v>
      </c>
      <c r="BT232" s="2">
        <f>ROUND(VLOOKUP($BJ232,$AI$3:$AO$33,MATCH(BT$3,$AI$3:$AO$3,0),FALSE)+$BL232/VLOOKUP(VLOOKUP($BJ232,坦克个性化设定!$B$18:$E$48,4,FALSE)&amp;$BK232,坦克属性分配比例,MATCH("升星次数",坦克属性分配比例标头,0),FALSE)*VLOOKUP($BJ232,$AR$3:$AY$33,MATCH(BT$3,$AR$3:$AY$3,0),FALSE),1)</f>
        <v>35.5</v>
      </c>
      <c r="BU232" s="2">
        <f>ROUND(VLOOKUP($BJ232,$AI$3:$AO$33,MATCH(BU$3,$AI$3:$AO$3,0),FALSE)+$BL232/VLOOKUP(VLOOKUP($BJ232,坦克个性化设定!$B$18:$E$48,4,FALSE)&amp;$BK232,坦克属性分配比例,MATCH("升星次数",坦克属性分配比例标头,0),FALSE)*VLOOKUP($BJ232,$AR$3:$AY$33,MATCH(BU$3,$AR$3:$AY$3,0),FALSE),1)</f>
        <v>6.3</v>
      </c>
      <c r="BV232" s="2">
        <f>IF(VLOOKUP(BJ232,坦克个性化设定!$B$18:$BC$48,MATCH("装弹类型",坦克个性化设定!$B$18:$BC$18,0),FALSE)="弹夹换弹",0,ROUND(VLOOKUP($BJ232,$AI$3:$AO$33,MATCH("换弹时间",$AI$3:$AO$3,0),FALSE)-$BL232/VLOOKUP(VLOOKUP($BJ232,坦克个性化设定!$B$18:$E$48,4,FALSE)&amp;$BK232,坦克属性分配比例,MATCH("升星次数",坦克属性分配比例标头,0),FALSE)*VLOOKUP($BJ232,$AR$3:$AY$33,MATCH("换弹时间",$AR$3:$AY$3,0),FALSE),2))</f>
        <v>5.81</v>
      </c>
      <c r="BW232" s="2">
        <f>IF(VLOOKUP(BJ232,坦克个性化设定!$B$18:$BC$48,MATCH("装弹类型",坦克个性化设定!$B$18:$BC$18,0),FALSE)="弹夹换弹",ROUND(VLOOKUP($BJ232,$AI$3:$AO$33,MATCH("换弹时间",$AI$3:$AO$3,0),FALSE)-$BL232/VLOOKUP(VLOOKUP($BJ232,坦克个性化设定!$B$18:$E$48,4,FALSE)&amp;$BK232,坦克属性分配比例,MATCH("升星次数",坦克属性分配比例标头,0),FALSE)*VLOOKUP($BJ232,$AR$3:$AY$33,MATCH("换弹时间",$AR$3:$AY$3,0),FALSE),1),0)</f>
        <v>0</v>
      </c>
      <c r="BX232" s="2">
        <f>ROUND(VLOOKUP($BJ232,$AI$3:$AO$33,MATCH(BX$3,$AI$3:$AO$3,0),FALSE)+$BL232/VLOOKUP(VLOOKUP($BJ232,坦克个性化设定!$B$18:$E$48,4,FALSE)&amp;$BK232,坦克属性分配比例,MATCH("升星次数",坦克属性分配比例标头,0),FALSE)*VLOOKUP($BJ232,$AR$3:$AY$33,MATCH(BX$3,$AR$3:$AY$3,0),FALSE),2)</f>
        <v>0</v>
      </c>
      <c r="BY232" s="2">
        <f>ROUND(VLOOKUP($BJ232,$AI$3:$AO$33,MATCH(BY$3,$AI$3:$AO$3,0),FALSE)-$BL232/VLOOKUP(VLOOKUP($BJ232,坦克个性化设定!$B$18:$E$48,4,FALSE)&amp;$BK232,坦克属性分配比例,MATCH("升星次数",坦克属性分配比例标头,0),FALSE)*VLOOKUP($BJ232,$AR$3:$AY$33,MATCH(BY$3,$AR$3:$AY$3,0),FALSE),2)</f>
        <v>2.89</v>
      </c>
    </row>
    <row r="233" spans="60:77" x14ac:dyDescent="0.3">
      <c r="BH233" s="2" t="str">
        <f t="shared" si="32"/>
        <v>黑豹3</v>
      </c>
      <c r="BI233" s="2">
        <f>IF(BL232&gt;=VLOOKUP(VLOOKUP(BJ232,坦克个性化设定!$B$18:$E$48,4,FALSE)&amp;BK232,坦克属性分配比例,MATCH("升星次数",坦克属性分配比例标头,0),FALSE),BI232+1,BI232)</f>
        <v>24</v>
      </c>
      <c r="BJ233" s="2" t="str">
        <f t="shared" si="33"/>
        <v>黑豹</v>
      </c>
      <c r="BK233" s="29" t="str">
        <f>VLOOKUP(BJ233,坦克个性化细分!$I$3:$J$33,2,FALSE)</f>
        <v>低</v>
      </c>
      <c r="BL233" s="2">
        <f t="shared" si="34"/>
        <v>3</v>
      </c>
      <c r="BM233" s="103">
        <f ca="1">ROUND(VLOOKUP($BJ233&amp;"初始",$S$3:$AE$63,MATCH(BM$3,$S$3:$AE$3,0),FALSE)+((VLOOKUP($BJ233&amp;"最终",$S$3:$AE$63,MATCH(BM$3,$S$3:$AE$3,0),FALSE)*坦克个性化细分!$C$9-VLOOKUP($BJ233&amp;"初始",$S$3:$AE$63,MATCH(BM$3,$S$3:$AE$3,0),FALSE))-(VLOOKUP($BJ233&amp;"最终",$S$3:$AE$63,MATCH(BM$3,$S$3:$AE$3,0),FALSE)-VLOOKUP($BJ233&amp;"初始",$S$3:$AE$63,MATCH(BM$3,$S$3:$AE$3,0),FALSE))*VLOOKUP(VLOOKUP($BJ233,坦克个性化设定!$B$18:$E$48,4,FALSE)&amp;$BK233,坦克属性分配比例,MATCH("部件比例",坦克属性分配比例标头,0),FALSE))*$BL233/VLOOKUP(VLOOKUP($BJ233,坦克个性化设定!$B$18:$E$48,4,FALSE)&amp;$BK233,坦克属性分配比例,MATCH("升星次数",坦克属性分配比例标头,0),FALSE),0)</f>
        <v>1568</v>
      </c>
      <c r="BN233" s="103">
        <f ca="1">ROUND(VLOOKUP($BJ233&amp;"初始",$S$3:$AE$63,MATCH(BN$3,$S$3:$AE$3,0),FALSE)+(VLOOKUP($BJ233&amp;"最终",$S$3:$AE$63,MATCH(BN$3,$S$3:$AE$3,0),FALSE)-VLOOKUP($BJ233&amp;"初始",$S$3:$AE$63,MATCH(BN$3,$S$3:$AE$3,0),FALSE))*$BL233/VLOOKUP(VLOOKUP($BJ233,坦克个性化设定!$B$18:$E$48,4,FALSE)&amp;$BK233,坦克属性分配比例,MATCH("升星次数",坦克属性分配比例标头,0),FALSE)*VLOOKUP(VLOOKUP($BJ233,坦克个性化设定!$B$18:$E$48,4,FALSE)&amp;$BK233,坦克属性分配比例,MATCH("升星比例",坦克属性分配比例标头,0),FALSE),0)</f>
        <v>668</v>
      </c>
      <c r="BO233" s="103">
        <f ca="1">ROUND(VLOOKUP($BJ233&amp;"初始",$S$3:$AE$63,MATCH(BO$3,$S$3:$AE$3,0),FALSE)+(VLOOKUP($BJ233&amp;"最终",$S$3:$AE$63,MATCH(BO$3,$S$3:$AE$3,0),FALSE)-VLOOKUP($BJ233&amp;"初始",$S$3:$AE$63,MATCH(BO$3,$S$3:$AE$3,0),FALSE))*$BL233/VLOOKUP(VLOOKUP($BJ233,坦克个性化设定!$B$18:$E$48,4,FALSE)&amp;$BK233,坦克属性分配比例,MATCH("升星次数",坦克属性分配比例标头,0),FALSE)*(VLOOKUP(VLOOKUP($BJ233,坦克个性化设定!$B$18:$E$48,4,FALSE)&amp;$BK233,坦克属性分配比例,MATCH("升星比例",坦克属性分配比例标头,0),FALSE)+VLOOKUP(VLOOKUP($BJ233,坦克个性化设定!$B$18:$E$48,4,FALSE)&amp;$BK233,坦克属性分配比例,MATCH("部件比例",坦克属性分配比例标头,0),FALSE)*$C$3),0)</f>
        <v>210</v>
      </c>
      <c r="BP233" s="103">
        <f ca="1">ROUND(VLOOKUP($BJ233&amp;"初始",$S$3:$AE$63,MATCH(BP$3,$S$3:$AE$3,0),FALSE)+(VLOOKUP($BJ233&amp;"最终",$S$3:$AE$63,MATCH(BP$3,$S$3:$AE$3,0),FALSE)-VLOOKUP($BJ233&amp;"初始",$S$3:$AE$63,MATCH(BP$3,$S$3:$AE$3,0),FALSE))*$BL233/VLOOKUP(VLOOKUP($BJ233,坦克个性化设定!$B$18:$E$48,4,FALSE)&amp;$BK233,坦克属性分配比例,MATCH("升星次数",坦克属性分配比例标头,0),FALSE)*(VLOOKUP(VLOOKUP($BJ233,坦克个性化设定!$B$18:$E$48,4,FALSE)&amp;$BK233,坦克属性分配比例,MATCH("升星比例",坦克属性分配比例标头,0),FALSE)+VLOOKUP(VLOOKUP($BJ233,坦克个性化设定!$B$18:$E$48,4,FALSE)&amp;$BK233,坦克属性分配比例,MATCH("部件比例",坦克属性分配比例标头,0),FALSE)*$C$3),0)</f>
        <v>526</v>
      </c>
      <c r="BQ233" s="103">
        <f ca="1">ROUND(VLOOKUP($BJ233&amp;"初始",$S$3:$AE$63,MATCH(BQ$3,$S$3:$AE$3,0),FALSE)+(VLOOKUP($BJ233&amp;"最终",$S$3:$AE$63,MATCH(BQ$3,$S$3:$AE$3,0),FALSE)-VLOOKUP($BJ233&amp;"初始",$S$3:$AE$63,MATCH(BQ$3,$S$3:$AE$3,0),FALSE))*$BL233/VLOOKUP(VLOOKUP($BJ233,坦克个性化设定!$B$18:$E$48,4,FALSE)&amp;$BK233,坦克属性分配比例,MATCH("升星次数",坦克属性分配比例标头,0),FALSE)*VLOOKUP(VLOOKUP($BJ233,坦克个性化设定!$B$18:$E$48,4,FALSE)&amp;$BK233,坦克属性分配比例,MATCH("升星比例",坦克属性分配比例标头,0),FALSE),0)</f>
        <v>680</v>
      </c>
      <c r="BR233" s="2">
        <f ca="1">ROUND(VLOOKUP($BJ233&amp;"初始",$S$3:$AE$63,MATCH(BR$3,$S$3:$AE$3,0),FALSE)+(VLOOKUP($BJ233&amp;"最终",$S$3:$AE$63,MATCH(BR$3,$S$3:$AE$3,0),FALSE)-VLOOKUP($BJ233&amp;"初始",$S$3:$AE$63,MATCH(BR$3,$S$3:$AE$3,0),FALSE))*$BL233/VLOOKUP(VLOOKUP($BJ233,坦克个性化设定!$B$18:$E$48,4,FALSE)&amp;$BK233,坦克属性分配比例,MATCH("升星次数",坦克属性分配比例标头,0),FALSE),0)</f>
        <v>156</v>
      </c>
      <c r="BS233" s="2">
        <f>ROUND(VLOOKUP($BJ233,$AI$3:$AO$33,MATCH(BS$3,$AI$3:$AO$3,0),FALSE)+$BL233/VLOOKUP(VLOOKUP($BJ233,坦克个性化设定!$B$18:$E$48,4,FALSE)&amp;$BK233,坦克属性分配比例,MATCH("升星次数",坦克属性分配比例标头,0),FALSE)*VLOOKUP($BJ233,$AR$3:$AY$33,MATCH(BS$3,$AR$3:$AY$3,0),FALSE),1)</f>
        <v>33.299999999999997</v>
      </c>
      <c r="BT233" s="2">
        <f>ROUND(VLOOKUP($BJ233,$AI$3:$AO$33,MATCH(BT$3,$AI$3:$AO$3,0),FALSE)+$BL233/VLOOKUP(VLOOKUP($BJ233,坦克个性化设定!$B$18:$E$48,4,FALSE)&amp;$BK233,坦克属性分配比例,MATCH("升星次数",坦克属性分配比例标头,0),FALSE)*VLOOKUP($BJ233,$AR$3:$AY$33,MATCH(BT$3,$AR$3:$AY$3,0),FALSE),1)</f>
        <v>36.4</v>
      </c>
      <c r="BU233" s="2">
        <f>ROUND(VLOOKUP($BJ233,$AI$3:$AO$33,MATCH(BU$3,$AI$3:$AO$3,0),FALSE)+$BL233/VLOOKUP(VLOOKUP($BJ233,坦克个性化设定!$B$18:$E$48,4,FALSE)&amp;$BK233,坦克属性分配比例,MATCH("升星次数",坦克属性分配比例标头,0),FALSE)*VLOOKUP($BJ233,$AR$3:$AY$33,MATCH(BU$3,$AR$3:$AY$3,0),FALSE),1)</f>
        <v>6.3</v>
      </c>
      <c r="BV233" s="2">
        <f>IF(VLOOKUP(BJ233,坦克个性化设定!$B$18:$BC$48,MATCH("装弹类型",坦克个性化设定!$B$18:$BC$18,0),FALSE)="弹夹换弹",0,ROUND(VLOOKUP($BJ233,$AI$3:$AO$33,MATCH("换弹时间",$AI$3:$AO$3,0),FALSE)-$BL233/VLOOKUP(VLOOKUP($BJ233,坦克个性化设定!$B$18:$E$48,4,FALSE)&amp;$BK233,坦克属性分配比例,MATCH("升星次数",坦克属性分配比例标头,0),FALSE)*VLOOKUP($BJ233,$AR$3:$AY$33,MATCH("换弹时间",$AR$3:$AY$3,0),FALSE),2))</f>
        <v>5.72</v>
      </c>
      <c r="BW233" s="2">
        <f>IF(VLOOKUP(BJ233,坦克个性化设定!$B$18:$BC$48,MATCH("装弹类型",坦克个性化设定!$B$18:$BC$18,0),FALSE)="弹夹换弹",ROUND(VLOOKUP($BJ233,$AI$3:$AO$33,MATCH("换弹时间",$AI$3:$AO$3,0),FALSE)-$BL233/VLOOKUP(VLOOKUP($BJ233,坦克个性化设定!$B$18:$E$48,4,FALSE)&amp;$BK233,坦克属性分配比例,MATCH("升星次数",坦克属性分配比例标头,0),FALSE)*VLOOKUP($BJ233,$AR$3:$AY$33,MATCH("换弹时间",$AR$3:$AY$3,0),FALSE),1),0)</f>
        <v>0</v>
      </c>
      <c r="BX233" s="2">
        <f>ROUND(VLOOKUP($BJ233,$AI$3:$AO$33,MATCH(BX$3,$AI$3:$AO$3,0),FALSE)+$BL233/VLOOKUP(VLOOKUP($BJ233,坦克个性化设定!$B$18:$E$48,4,FALSE)&amp;$BK233,坦克属性分配比例,MATCH("升星次数",坦克属性分配比例标头,0),FALSE)*VLOOKUP($BJ233,$AR$3:$AY$33,MATCH(BX$3,$AR$3:$AY$3,0),FALSE),2)</f>
        <v>0</v>
      </c>
      <c r="BY233" s="2">
        <f>ROUND(VLOOKUP($BJ233,$AI$3:$AO$33,MATCH(BY$3,$AI$3:$AO$3,0),FALSE)-$BL233/VLOOKUP(VLOOKUP($BJ233,坦克个性化设定!$B$18:$E$48,4,FALSE)&amp;$BK233,坦克属性分配比例,MATCH("升星次数",坦克属性分配比例标头,0),FALSE)*VLOOKUP($BJ233,$AR$3:$AY$33,MATCH(BY$3,$AR$3:$AY$3,0),FALSE),2)</f>
        <v>2.83</v>
      </c>
    </row>
    <row r="234" spans="60:77" x14ac:dyDescent="0.3">
      <c r="BH234" s="2" t="str">
        <f t="shared" si="32"/>
        <v>黑豹4</v>
      </c>
      <c r="BI234" s="2">
        <f>IF(BL233&gt;=VLOOKUP(VLOOKUP(BJ233,坦克个性化设定!$B$18:$E$48,4,FALSE)&amp;BK233,坦克属性分配比例,MATCH("升星次数",坦克属性分配比例标头,0),FALSE),BI233+1,BI233)</f>
        <v>24</v>
      </c>
      <c r="BJ234" s="2" t="str">
        <f t="shared" si="33"/>
        <v>黑豹</v>
      </c>
      <c r="BK234" s="29" t="str">
        <f>VLOOKUP(BJ234,坦克个性化细分!$I$3:$J$33,2,FALSE)</f>
        <v>低</v>
      </c>
      <c r="BL234" s="2">
        <f t="shared" si="34"/>
        <v>4</v>
      </c>
      <c r="BM234" s="103">
        <f ca="1">ROUND(VLOOKUP($BJ234&amp;"初始",$S$3:$AE$63,MATCH(BM$3,$S$3:$AE$3,0),FALSE)+((VLOOKUP($BJ234&amp;"最终",$S$3:$AE$63,MATCH(BM$3,$S$3:$AE$3,0),FALSE)*坦克个性化细分!$C$9-VLOOKUP($BJ234&amp;"初始",$S$3:$AE$63,MATCH(BM$3,$S$3:$AE$3,0),FALSE))-(VLOOKUP($BJ234&amp;"最终",$S$3:$AE$63,MATCH(BM$3,$S$3:$AE$3,0),FALSE)-VLOOKUP($BJ234&amp;"初始",$S$3:$AE$63,MATCH(BM$3,$S$3:$AE$3,0),FALSE))*VLOOKUP(VLOOKUP($BJ234,坦克个性化设定!$B$18:$E$48,4,FALSE)&amp;$BK234,坦克属性分配比例,MATCH("部件比例",坦克属性分配比例标头,0),FALSE))*$BL234/VLOOKUP(VLOOKUP($BJ234,坦克个性化设定!$B$18:$E$48,4,FALSE)&amp;$BK234,坦克属性分配比例,MATCH("升星次数",坦克属性分配比例标头,0),FALSE),0)</f>
        <v>1640</v>
      </c>
      <c r="BN234" s="103">
        <f ca="1">ROUND(VLOOKUP($BJ234&amp;"初始",$S$3:$AE$63,MATCH(BN$3,$S$3:$AE$3,0),FALSE)+(VLOOKUP($BJ234&amp;"最终",$S$3:$AE$63,MATCH(BN$3,$S$3:$AE$3,0),FALSE)-VLOOKUP($BJ234&amp;"初始",$S$3:$AE$63,MATCH(BN$3,$S$3:$AE$3,0),FALSE))*$BL234/VLOOKUP(VLOOKUP($BJ234,坦克个性化设定!$B$18:$E$48,4,FALSE)&amp;$BK234,坦克属性分配比例,MATCH("升星次数",坦克属性分配比例标头,0),FALSE)*VLOOKUP(VLOOKUP($BJ234,坦克个性化设定!$B$18:$E$48,4,FALSE)&amp;$BK234,坦克属性分配比例,MATCH("升星比例",坦克属性分配比例标头,0),FALSE),0)</f>
        <v>687</v>
      </c>
      <c r="BO234" s="103">
        <f ca="1">ROUND(VLOOKUP($BJ234&amp;"初始",$S$3:$AE$63,MATCH(BO$3,$S$3:$AE$3,0),FALSE)+(VLOOKUP($BJ234&amp;"最终",$S$3:$AE$63,MATCH(BO$3,$S$3:$AE$3,0),FALSE)-VLOOKUP($BJ234&amp;"初始",$S$3:$AE$63,MATCH(BO$3,$S$3:$AE$3,0),FALSE))*$BL234/VLOOKUP(VLOOKUP($BJ234,坦克个性化设定!$B$18:$E$48,4,FALSE)&amp;$BK234,坦克属性分配比例,MATCH("升星次数",坦克属性分配比例标头,0),FALSE)*(VLOOKUP(VLOOKUP($BJ234,坦克个性化设定!$B$18:$E$48,4,FALSE)&amp;$BK234,坦克属性分配比例,MATCH("升星比例",坦克属性分配比例标头,0),FALSE)+VLOOKUP(VLOOKUP($BJ234,坦克个性化设定!$B$18:$E$48,4,FALSE)&amp;$BK234,坦克属性分配比例,MATCH("部件比例",坦克属性分配比例标头,0),FALSE)*$C$3),0)</f>
        <v>218</v>
      </c>
      <c r="BP234" s="103">
        <f ca="1">ROUND(VLOOKUP($BJ234&amp;"初始",$S$3:$AE$63,MATCH(BP$3,$S$3:$AE$3,0),FALSE)+(VLOOKUP($BJ234&amp;"最终",$S$3:$AE$63,MATCH(BP$3,$S$3:$AE$3,0),FALSE)-VLOOKUP($BJ234&amp;"初始",$S$3:$AE$63,MATCH(BP$3,$S$3:$AE$3,0),FALSE))*$BL234/VLOOKUP(VLOOKUP($BJ234,坦克个性化设定!$B$18:$E$48,4,FALSE)&amp;$BK234,坦克属性分配比例,MATCH("升星次数",坦克属性分配比例标头,0),FALSE)*(VLOOKUP(VLOOKUP($BJ234,坦克个性化设定!$B$18:$E$48,4,FALSE)&amp;$BK234,坦克属性分配比例,MATCH("升星比例",坦克属性分配比例标头,0),FALSE)+VLOOKUP(VLOOKUP($BJ234,坦克个性化设定!$B$18:$E$48,4,FALSE)&amp;$BK234,坦克属性分配比例,MATCH("部件比例",坦克属性分配比例标头,0),FALSE)*$C$3),0)</f>
        <v>546</v>
      </c>
      <c r="BQ234" s="103">
        <f ca="1">ROUND(VLOOKUP($BJ234&amp;"初始",$S$3:$AE$63,MATCH(BQ$3,$S$3:$AE$3,0),FALSE)+(VLOOKUP($BJ234&amp;"最终",$S$3:$AE$63,MATCH(BQ$3,$S$3:$AE$3,0),FALSE)-VLOOKUP($BJ234&amp;"初始",$S$3:$AE$63,MATCH(BQ$3,$S$3:$AE$3,0),FALSE))*$BL234/VLOOKUP(VLOOKUP($BJ234,坦克个性化设定!$B$18:$E$48,4,FALSE)&amp;$BK234,坦克属性分配比例,MATCH("升星次数",坦克属性分配比例标头,0),FALSE)*VLOOKUP(VLOOKUP($BJ234,坦克个性化设定!$B$18:$E$48,4,FALSE)&amp;$BK234,坦克属性分配比例,MATCH("升星比例",坦克属性分配比例标头,0),FALSE),0)</f>
        <v>699</v>
      </c>
      <c r="BR234" s="2">
        <f ca="1">ROUND(VLOOKUP($BJ234&amp;"初始",$S$3:$AE$63,MATCH(BR$3,$S$3:$AE$3,0),FALSE)+(VLOOKUP($BJ234&amp;"最终",$S$3:$AE$63,MATCH(BR$3,$S$3:$AE$3,0),FALSE)-VLOOKUP($BJ234&amp;"初始",$S$3:$AE$63,MATCH(BR$3,$S$3:$AE$3,0),FALSE))*$BL234/VLOOKUP(VLOOKUP($BJ234,坦克个性化设定!$B$18:$E$48,4,FALSE)&amp;$BK234,坦克属性分配比例,MATCH("升星次数",坦克属性分配比例标头,0),FALSE),0)</f>
        <v>163</v>
      </c>
      <c r="BS234" s="2">
        <f>ROUND(VLOOKUP($BJ234,$AI$3:$AO$33,MATCH(BS$3,$AI$3:$AO$3,0),FALSE)+$BL234/VLOOKUP(VLOOKUP($BJ234,坦克个性化设定!$B$18:$E$48,4,FALSE)&amp;$BK234,坦克属性分配比例,MATCH("升星次数",坦克属性分配比例标头,0),FALSE)*VLOOKUP($BJ234,$AR$3:$AY$33,MATCH(BS$3,$AR$3:$AY$3,0),FALSE),1)</f>
        <v>34.1</v>
      </c>
      <c r="BT234" s="2">
        <f>ROUND(VLOOKUP($BJ234,$AI$3:$AO$33,MATCH(BT$3,$AI$3:$AO$3,0),FALSE)+$BL234/VLOOKUP(VLOOKUP($BJ234,坦克个性化设定!$B$18:$E$48,4,FALSE)&amp;$BK234,坦克属性分配比例,MATCH("升星次数",坦克属性分配比例标头,0),FALSE)*VLOOKUP($BJ234,$AR$3:$AY$33,MATCH(BT$3,$AR$3:$AY$3,0),FALSE),1)</f>
        <v>37.299999999999997</v>
      </c>
      <c r="BU234" s="2">
        <f>ROUND(VLOOKUP($BJ234,$AI$3:$AO$33,MATCH(BU$3,$AI$3:$AO$3,0),FALSE)+$BL234/VLOOKUP(VLOOKUP($BJ234,坦克个性化设定!$B$18:$E$48,4,FALSE)&amp;$BK234,坦克属性分配比例,MATCH("升星次数",坦克属性分配比例标头,0),FALSE)*VLOOKUP($BJ234,$AR$3:$AY$33,MATCH(BU$3,$AR$3:$AY$3,0),FALSE),1)</f>
        <v>6.3</v>
      </c>
      <c r="BV234" s="2">
        <f>IF(VLOOKUP(BJ234,坦克个性化设定!$B$18:$BC$48,MATCH("装弹类型",坦克个性化设定!$B$18:$BC$18,0),FALSE)="弹夹换弹",0,ROUND(VLOOKUP($BJ234,$AI$3:$AO$33,MATCH("换弹时间",$AI$3:$AO$3,0),FALSE)-$BL234/VLOOKUP(VLOOKUP($BJ234,坦克个性化设定!$B$18:$E$48,4,FALSE)&amp;$BK234,坦克属性分配比例,MATCH("升星次数",坦克属性分配比例标头,0),FALSE)*VLOOKUP($BJ234,$AR$3:$AY$33,MATCH("换弹时间",$AR$3:$AY$3,0),FALSE),2))</f>
        <v>5.62</v>
      </c>
      <c r="BW234" s="2">
        <f>IF(VLOOKUP(BJ234,坦克个性化设定!$B$18:$BC$48,MATCH("装弹类型",坦克个性化设定!$B$18:$BC$18,0),FALSE)="弹夹换弹",ROUND(VLOOKUP($BJ234,$AI$3:$AO$33,MATCH("换弹时间",$AI$3:$AO$3,0),FALSE)-$BL234/VLOOKUP(VLOOKUP($BJ234,坦克个性化设定!$B$18:$E$48,4,FALSE)&amp;$BK234,坦克属性分配比例,MATCH("升星次数",坦克属性分配比例标头,0),FALSE)*VLOOKUP($BJ234,$AR$3:$AY$33,MATCH("换弹时间",$AR$3:$AY$3,0),FALSE),1),0)</f>
        <v>0</v>
      </c>
      <c r="BX234" s="2">
        <f>ROUND(VLOOKUP($BJ234,$AI$3:$AO$33,MATCH(BX$3,$AI$3:$AO$3,0),FALSE)+$BL234/VLOOKUP(VLOOKUP($BJ234,坦克个性化设定!$B$18:$E$48,4,FALSE)&amp;$BK234,坦克属性分配比例,MATCH("升星次数",坦克属性分配比例标头,0),FALSE)*VLOOKUP($BJ234,$AR$3:$AY$33,MATCH(BX$3,$AR$3:$AY$3,0),FALSE),2)</f>
        <v>0</v>
      </c>
      <c r="BY234" s="2">
        <f>ROUND(VLOOKUP($BJ234,$AI$3:$AO$33,MATCH(BY$3,$AI$3:$AO$3,0),FALSE)-$BL234/VLOOKUP(VLOOKUP($BJ234,坦克个性化设定!$B$18:$E$48,4,FALSE)&amp;$BK234,坦克属性分配比例,MATCH("升星次数",坦克属性分配比例标头,0),FALSE)*VLOOKUP($BJ234,$AR$3:$AY$33,MATCH(BY$3,$AR$3:$AY$3,0),FALSE),2)</f>
        <v>2.78</v>
      </c>
    </row>
    <row r="235" spans="60:77" x14ac:dyDescent="0.3">
      <c r="BH235" s="2" t="str">
        <f t="shared" si="32"/>
        <v>黑豹5</v>
      </c>
      <c r="BI235" s="2">
        <f>IF(BL234&gt;=VLOOKUP(VLOOKUP(BJ234,坦克个性化设定!$B$18:$E$48,4,FALSE)&amp;BK234,坦克属性分配比例,MATCH("升星次数",坦克属性分配比例标头,0),FALSE),BI234+1,BI234)</f>
        <v>24</v>
      </c>
      <c r="BJ235" s="2" t="str">
        <f t="shared" si="33"/>
        <v>黑豹</v>
      </c>
      <c r="BK235" s="29" t="str">
        <f>VLOOKUP(BJ235,坦克个性化细分!$I$3:$J$33,2,FALSE)</f>
        <v>低</v>
      </c>
      <c r="BL235" s="2">
        <f t="shared" si="34"/>
        <v>5</v>
      </c>
      <c r="BM235" s="103">
        <f ca="1">ROUND(VLOOKUP($BJ235&amp;"初始",$S$3:$AE$63,MATCH(BM$3,$S$3:$AE$3,0),FALSE)+((VLOOKUP($BJ235&amp;"最终",$S$3:$AE$63,MATCH(BM$3,$S$3:$AE$3,0),FALSE)*坦克个性化细分!$C$9-VLOOKUP($BJ235&amp;"初始",$S$3:$AE$63,MATCH(BM$3,$S$3:$AE$3,0),FALSE))-(VLOOKUP($BJ235&amp;"最终",$S$3:$AE$63,MATCH(BM$3,$S$3:$AE$3,0),FALSE)-VLOOKUP($BJ235&amp;"初始",$S$3:$AE$63,MATCH(BM$3,$S$3:$AE$3,0),FALSE))*VLOOKUP(VLOOKUP($BJ235,坦克个性化设定!$B$18:$E$48,4,FALSE)&amp;$BK235,坦克属性分配比例,MATCH("部件比例",坦克属性分配比例标头,0),FALSE))*$BL235/VLOOKUP(VLOOKUP($BJ235,坦克个性化设定!$B$18:$E$48,4,FALSE)&amp;$BK235,坦克属性分配比例,MATCH("升星次数",坦克属性分配比例标头,0),FALSE),0)</f>
        <v>1711</v>
      </c>
      <c r="BN235" s="103">
        <f ca="1">ROUND(VLOOKUP($BJ235&amp;"初始",$S$3:$AE$63,MATCH(BN$3,$S$3:$AE$3,0),FALSE)+(VLOOKUP($BJ235&amp;"最终",$S$3:$AE$63,MATCH(BN$3,$S$3:$AE$3,0),FALSE)-VLOOKUP($BJ235&amp;"初始",$S$3:$AE$63,MATCH(BN$3,$S$3:$AE$3,0),FALSE))*$BL235/VLOOKUP(VLOOKUP($BJ235,坦克个性化设定!$B$18:$E$48,4,FALSE)&amp;$BK235,坦克属性分配比例,MATCH("升星次数",坦克属性分配比例标头,0),FALSE)*VLOOKUP(VLOOKUP($BJ235,坦克个性化设定!$B$18:$E$48,4,FALSE)&amp;$BK235,坦克属性分配比例,MATCH("升星比例",坦克属性分配比例标头,0),FALSE),0)</f>
        <v>706</v>
      </c>
      <c r="BO235" s="103">
        <f ca="1">ROUND(VLOOKUP($BJ235&amp;"初始",$S$3:$AE$63,MATCH(BO$3,$S$3:$AE$3,0),FALSE)+(VLOOKUP($BJ235&amp;"最终",$S$3:$AE$63,MATCH(BO$3,$S$3:$AE$3,0),FALSE)-VLOOKUP($BJ235&amp;"初始",$S$3:$AE$63,MATCH(BO$3,$S$3:$AE$3,0),FALSE))*$BL235/VLOOKUP(VLOOKUP($BJ235,坦克个性化设定!$B$18:$E$48,4,FALSE)&amp;$BK235,坦克属性分配比例,MATCH("升星次数",坦克属性分配比例标头,0),FALSE)*(VLOOKUP(VLOOKUP($BJ235,坦克个性化设定!$B$18:$E$48,4,FALSE)&amp;$BK235,坦克属性分配比例,MATCH("升星比例",坦克属性分配比例标头,0),FALSE)+VLOOKUP(VLOOKUP($BJ235,坦克个性化设定!$B$18:$E$48,4,FALSE)&amp;$BK235,坦克属性分配比例,MATCH("部件比例",坦克属性分配比例标头,0),FALSE)*$C$3),0)</f>
        <v>227</v>
      </c>
      <c r="BP235" s="103">
        <f ca="1">ROUND(VLOOKUP($BJ235&amp;"初始",$S$3:$AE$63,MATCH(BP$3,$S$3:$AE$3,0),FALSE)+(VLOOKUP($BJ235&amp;"最终",$S$3:$AE$63,MATCH(BP$3,$S$3:$AE$3,0),FALSE)-VLOOKUP($BJ235&amp;"初始",$S$3:$AE$63,MATCH(BP$3,$S$3:$AE$3,0),FALSE))*$BL235/VLOOKUP(VLOOKUP($BJ235,坦克个性化设定!$B$18:$E$48,4,FALSE)&amp;$BK235,坦克属性分配比例,MATCH("升星次数",坦克属性分配比例标头,0),FALSE)*(VLOOKUP(VLOOKUP($BJ235,坦克个性化设定!$B$18:$E$48,4,FALSE)&amp;$BK235,坦克属性分配比例,MATCH("升星比例",坦克属性分配比例标头,0),FALSE)+VLOOKUP(VLOOKUP($BJ235,坦克个性化设定!$B$18:$E$48,4,FALSE)&amp;$BK235,坦克属性分配比例,MATCH("部件比例",坦克属性分配比例标头,0),FALSE)*$C$3),0)</f>
        <v>566</v>
      </c>
      <c r="BQ235" s="103">
        <f ca="1">ROUND(VLOOKUP($BJ235&amp;"初始",$S$3:$AE$63,MATCH(BQ$3,$S$3:$AE$3,0),FALSE)+(VLOOKUP($BJ235&amp;"最终",$S$3:$AE$63,MATCH(BQ$3,$S$3:$AE$3,0),FALSE)-VLOOKUP($BJ235&amp;"初始",$S$3:$AE$63,MATCH(BQ$3,$S$3:$AE$3,0),FALSE))*$BL235/VLOOKUP(VLOOKUP($BJ235,坦克个性化设定!$B$18:$E$48,4,FALSE)&amp;$BK235,坦克属性分配比例,MATCH("升星次数",坦克属性分配比例标头,0),FALSE)*VLOOKUP(VLOOKUP($BJ235,坦克个性化设定!$B$18:$E$48,4,FALSE)&amp;$BK235,坦克属性分配比例,MATCH("升星比例",坦克属性分配比例标头,0),FALSE),0)</f>
        <v>718</v>
      </c>
      <c r="BR235" s="2">
        <f ca="1">ROUND(VLOOKUP($BJ235&amp;"初始",$S$3:$AE$63,MATCH(BR$3,$S$3:$AE$3,0),FALSE)+(VLOOKUP($BJ235&amp;"最终",$S$3:$AE$63,MATCH(BR$3,$S$3:$AE$3,0),FALSE)-VLOOKUP($BJ235&amp;"初始",$S$3:$AE$63,MATCH(BR$3,$S$3:$AE$3,0),FALSE))*$BL235/VLOOKUP(VLOOKUP($BJ235,坦克个性化设定!$B$18:$E$48,4,FALSE)&amp;$BK235,坦克属性分配比例,MATCH("升星次数",坦克属性分配比例标头,0),FALSE),0)</f>
        <v>170</v>
      </c>
      <c r="BS235" s="2">
        <f>ROUND(VLOOKUP($BJ235,$AI$3:$AO$33,MATCH(BS$3,$AI$3:$AO$3,0),FALSE)+$BL235/VLOOKUP(VLOOKUP($BJ235,坦克个性化设定!$B$18:$E$48,4,FALSE)&amp;$BK235,坦克属性分配比例,MATCH("升星次数",坦克属性分配比例标头,0),FALSE)*VLOOKUP($BJ235,$AR$3:$AY$33,MATCH(BS$3,$AR$3:$AY$3,0),FALSE),1)</f>
        <v>35</v>
      </c>
      <c r="BT235" s="2">
        <f>ROUND(VLOOKUP($BJ235,$AI$3:$AO$33,MATCH(BT$3,$AI$3:$AO$3,0),FALSE)+$BL235/VLOOKUP(VLOOKUP($BJ235,坦克个性化设定!$B$18:$E$48,4,FALSE)&amp;$BK235,坦克属性分配比例,MATCH("升星次数",坦克属性分配比例标头,0),FALSE)*VLOOKUP($BJ235,$AR$3:$AY$33,MATCH(BT$3,$AR$3:$AY$3,0),FALSE),1)</f>
        <v>38.299999999999997</v>
      </c>
      <c r="BU235" s="2">
        <f>ROUND(VLOOKUP($BJ235,$AI$3:$AO$33,MATCH(BU$3,$AI$3:$AO$3,0),FALSE)+$BL235/VLOOKUP(VLOOKUP($BJ235,坦克个性化设定!$B$18:$E$48,4,FALSE)&amp;$BK235,坦克属性分配比例,MATCH("升星次数",坦克属性分配比例标头,0),FALSE)*VLOOKUP($BJ235,$AR$3:$AY$33,MATCH(BU$3,$AR$3:$AY$3,0),FALSE),1)</f>
        <v>6.3</v>
      </c>
      <c r="BV235" s="2">
        <f>IF(VLOOKUP(BJ235,坦克个性化设定!$B$18:$BC$48,MATCH("装弹类型",坦克个性化设定!$B$18:$BC$18,0),FALSE)="弹夹换弹",0,ROUND(VLOOKUP($BJ235,$AI$3:$AO$33,MATCH("换弹时间",$AI$3:$AO$3,0),FALSE)-$BL235/VLOOKUP(VLOOKUP($BJ235,坦克个性化设定!$B$18:$E$48,4,FALSE)&amp;$BK235,坦克属性分配比例,MATCH("升星次数",坦克属性分配比例标头,0),FALSE)*VLOOKUP($BJ235,$AR$3:$AY$33,MATCH("换弹时间",$AR$3:$AY$3,0),FALSE),2))</f>
        <v>5.53</v>
      </c>
      <c r="BW235" s="2">
        <f>IF(VLOOKUP(BJ235,坦克个性化设定!$B$18:$BC$48,MATCH("装弹类型",坦克个性化设定!$B$18:$BC$18,0),FALSE)="弹夹换弹",ROUND(VLOOKUP($BJ235,$AI$3:$AO$33,MATCH("换弹时间",$AI$3:$AO$3,0),FALSE)-$BL235/VLOOKUP(VLOOKUP($BJ235,坦克个性化设定!$B$18:$E$48,4,FALSE)&amp;$BK235,坦克属性分配比例,MATCH("升星次数",坦克属性分配比例标头,0),FALSE)*VLOOKUP($BJ235,$AR$3:$AY$33,MATCH("换弹时间",$AR$3:$AY$3,0),FALSE),1),0)</f>
        <v>0</v>
      </c>
      <c r="BX235" s="2">
        <f>ROUND(VLOOKUP($BJ235,$AI$3:$AO$33,MATCH(BX$3,$AI$3:$AO$3,0),FALSE)+$BL235/VLOOKUP(VLOOKUP($BJ235,坦克个性化设定!$B$18:$E$48,4,FALSE)&amp;$BK235,坦克属性分配比例,MATCH("升星次数",坦克属性分配比例标头,0),FALSE)*VLOOKUP($BJ235,$AR$3:$AY$33,MATCH(BX$3,$AR$3:$AY$3,0),FALSE),2)</f>
        <v>0</v>
      </c>
      <c r="BY235" s="2">
        <f>ROUND(VLOOKUP($BJ235,$AI$3:$AO$33,MATCH(BY$3,$AI$3:$AO$3,0),FALSE)-$BL235/VLOOKUP(VLOOKUP($BJ235,坦克个性化设定!$B$18:$E$48,4,FALSE)&amp;$BK235,坦克属性分配比例,MATCH("升星次数",坦克属性分配比例标头,0),FALSE)*VLOOKUP($BJ235,$AR$3:$AY$33,MATCH(BY$3,$AR$3:$AY$3,0),FALSE),2)</f>
        <v>2.72</v>
      </c>
    </row>
    <row r="236" spans="60:77" x14ac:dyDescent="0.3">
      <c r="BH236" s="2" t="str">
        <f t="shared" si="32"/>
        <v>黑豹6</v>
      </c>
      <c r="BI236" s="2">
        <f>IF(BL235&gt;=VLOOKUP(VLOOKUP(BJ235,坦克个性化设定!$B$18:$E$48,4,FALSE)&amp;BK235,坦克属性分配比例,MATCH("升星次数",坦克属性分配比例标头,0),FALSE),BI235+1,BI235)</f>
        <v>24</v>
      </c>
      <c r="BJ236" s="2" t="str">
        <f t="shared" si="33"/>
        <v>黑豹</v>
      </c>
      <c r="BK236" s="29" t="str">
        <f>VLOOKUP(BJ236,坦克个性化细分!$I$3:$J$33,2,FALSE)</f>
        <v>低</v>
      </c>
      <c r="BL236" s="2">
        <f t="shared" si="34"/>
        <v>6</v>
      </c>
      <c r="BM236" s="103">
        <f ca="1">ROUND(VLOOKUP($BJ236&amp;"初始",$S$3:$AE$63,MATCH(BM$3,$S$3:$AE$3,0),FALSE)+((VLOOKUP($BJ236&amp;"最终",$S$3:$AE$63,MATCH(BM$3,$S$3:$AE$3,0),FALSE)*坦克个性化细分!$C$9-VLOOKUP($BJ236&amp;"初始",$S$3:$AE$63,MATCH(BM$3,$S$3:$AE$3,0),FALSE))-(VLOOKUP($BJ236&amp;"最终",$S$3:$AE$63,MATCH(BM$3,$S$3:$AE$3,0),FALSE)-VLOOKUP($BJ236&amp;"初始",$S$3:$AE$63,MATCH(BM$3,$S$3:$AE$3,0),FALSE))*VLOOKUP(VLOOKUP($BJ236,坦克个性化设定!$B$18:$E$48,4,FALSE)&amp;$BK236,坦克属性分配比例,MATCH("部件比例",坦克属性分配比例标头,0),FALSE))*$BL236/VLOOKUP(VLOOKUP($BJ236,坦克个性化设定!$B$18:$E$48,4,FALSE)&amp;$BK236,坦克属性分配比例,MATCH("升星次数",坦克属性分配比例标头,0),FALSE),0)</f>
        <v>1783</v>
      </c>
      <c r="BN236" s="103">
        <f ca="1">ROUND(VLOOKUP($BJ236&amp;"初始",$S$3:$AE$63,MATCH(BN$3,$S$3:$AE$3,0),FALSE)+(VLOOKUP($BJ236&amp;"最终",$S$3:$AE$63,MATCH(BN$3,$S$3:$AE$3,0),FALSE)-VLOOKUP($BJ236&amp;"初始",$S$3:$AE$63,MATCH(BN$3,$S$3:$AE$3,0),FALSE))*$BL236/VLOOKUP(VLOOKUP($BJ236,坦克个性化设定!$B$18:$E$48,4,FALSE)&amp;$BK236,坦克属性分配比例,MATCH("升星次数",坦克属性分配比例标头,0),FALSE)*VLOOKUP(VLOOKUP($BJ236,坦克个性化设定!$B$18:$E$48,4,FALSE)&amp;$BK236,坦克属性分配比例,MATCH("升星比例",坦克属性分配比例标头,0),FALSE),0)</f>
        <v>725</v>
      </c>
      <c r="BO236" s="103">
        <f ca="1">ROUND(VLOOKUP($BJ236&amp;"初始",$S$3:$AE$63,MATCH(BO$3,$S$3:$AE$3,0),FALSE)+(VLOOKUP($BJ236&amp;"最终",$S$3:$AE$63,MATCH(BO$3,$S$3:$AE$3,0),FALSE)-VLOOKUP($BJ236&amp;"初始",$S$3:$AE$63,MATCH(BO$3,$S$3:$AE$3,0),FALSE))*$BL236/VLOOKUP(VLOOKUP($BJ236,坦克个性化设定!$B$18:$E$48,4,FALSE)&amp;$BK236,坦克属性分配比例,MATCH("升星次数",坦克属性分配比例标头,0),FALSE)*(VLOOKUP(VLOOKUP($BJ236,坦克个性化设定!$B$18:$E$48,4,FALSE)&amp;$BK236,坦克属性分配比例,MATCH("升星比例",坦克属性分配比例标头,0),FALSE)+VLOOKUP(VLOOKUP($BJ236,坦克个性化设定!$B$18:$E$48,4,FALSE)&amp;$BK236,坦克属性分配比例,MATCH("部件比例",坦克属性分配比例标头,0),FALSE)*$C$3),0)</f>
        <v>235</v>
      </c>
      <c r="BP236" s="103">
        <f ca="1">ROUND(VLOOKUP($BJ236&amp;"初始",$S$3:$AE$63,MATCH(BP$3,$S$3:$AE$3,0),FALSE)+(VLOOKUP($BJ236&amp;"最终",$S$3:$AE$63,MATCH(BP$3,$S$3:$AE$3,0),FALSE)-VLOOKUP($BJ236&amp;"初始",$S$3:$AE$63,MATCH(BP$3,$S$3:$AE$3,0),FALSE))*$BL236/VLOOKUP(VLOOKUP($BJ236,坦克个性化设定!$B$18:$E$48,4,FALSE)&amp;$BK236,坦克属性分配比例,MATCH("升星次数",坦克属性分配比例标头,0),FALSE)*(VLOOKUP(VLOOKUP($BJ236,坦克个性化设定!$B$18:$E$48,4,FALSE)&amp;$BK236,坦克属性分配比例,MATCH("升星比例",坦克属性分配比例标头,0),FALSE)+VLOOKUP(VLOOKUP($BJ236,坦克个性化设定!$B$18:$E$48,4,FALSE)&amp;$BK236,坦克属性分配比例,MATCH("部件比例",坦克属性分配比例标头,0),FALSE)*$C$3),0)</f>
        <v>587</v>
      </c>
      <c r="BQ236" s="103">
        <f ca="1">ROUND(VLOOKUP($BJ236&amp;"初始",$S$3:$AE$63,MATCH(BQ$3,$S$3:$AE$3,0),FALSE)+(VLOOKUP($BJ236&amp;"最终",$S$3:$AE$63,MATCH(BQ$3,$S$3:$AE$3,0),FALSE)-VLOOKUP($BJ236&amp;"初始",$S$3:$AE$63,MATCH(BQ$3,$S$3:$AE$3,0),FALSE))*$BL236/VLOOKUP(VLOOKUP($BJ236,坦克个性化设定!$B$18:$E$48,4,FALSE)&amp;$BK236,坦克属性分配比例,MATCH("升星次数",坦克属性分配比例标头,0),FALSE)*VLOOKUP(VLOOKUP($BJ236,坦克个性化设定!$B$18:$E$48,4,FALSE)&amp;$BK236,坦克属性分配比例,MATCH("升星比例",坦克属性分配比例标头,0),FALSE),0)</f>
        <v>738</v>
      </c>
      <c r="BR236" s="2">
        <f ca="1">ROUND(VLOOKUP($BJ236&amp;"初始",$S$3:$AE$63,MATCH(BR$3,$S$3:$AE$3,0),FALSE)+(VLOOKUP($BJ236&amp;"最终",$S$3:$AE$63,MATCH(BR$3,$S$3:$AE$3,0),FALSE)-VLOOKUP($BJ236&amp;"初始",$S$3:$AE$63,MATCH(BR$3,$S$3:$AE$3,0),FALSE))*$BL236/VLOOKUP(VLOOKUP($BJ236,坦克个性化设定!$B$18:$E$48,4,FALSE)&amp;$BK236,坦克属性分配比例,MATCH("升星次数",坦克属性分配比例标头,0),FALSE),0)</f>
        <v>177</v>
      </c>
      <c r="BS236" s="2">
        <f>ROUND(VLOOKUP($BJ236,$AI$3:$AO$33,MATCH(BS$3,$AI$3:$AO$3,0),FALSE)+$BL236/VLOOKUP(VLOOKUP($BJ236,坦克个性化设定!$B$18:$E$48,4,FALSE)&amp;$BK236,坦克属性分配比例,MATCH("升星次数",坦克属性分配比例标头,0),FALSE)*VLOOKUP($BJ236,$AR$3:$AY$33,MATCH(BS$3,$AR$3:$AY$3,0),FALSE),1)</f>
        <v>35.799999999999997</v>
      </c>
      <c r="BT236" s="2">
        <f>ROUND(VLOOKUP($BJ236,$AI$3:$AO$33,MATCH(BT$3,$AI$3:$AO$3,0),FALSE)+$BL236/VLOOKUP(VLOOKUP($BJ236,坦克个性化设定!$B$18:$E$48,4,FALSE)&amp;$BK236,坦克属性分配比例,MATCH("升星次数",坦克属性分配比例标头,0),FALSE)*VLOOKUP($BJ236,$AR$3:$AY$33,MATCH(BT$3,$AR$3:$AY$3,0),FALSE),1)</f>
        <v>39.200000000000003</v>
      </c>
      <c r="BU236" s="2">
        <f>ROUND(VLOOKUP($BJ236,$AI$3:$AO$33,MATCH(BU$3,$AI$3:$AO$3,0),FALSE)+$BL236/VLOOKUP(VLOOKUP($BJ236,坦克个性化设定!$B$18:$E$48,4,FALSE)&amp;$BK236,坦克属性分配比例,MATCH("升星次数",坦克属性分配比例标头,0),FALSE)*VLOOKUP($BJ236,$AR$3:$AY$33,MATCH(BU$3,$AR$3:$AY$3,0),FALSE),1)</f>
        <v>6.3</v>
      </c>
      <c r="BV236" s="2">
        <f>IF(VLOOKUP(BJ236,坦克个性化设定!$B$18:$BC$48,MATCH("装弹类型",坦克个性化设定!$B$18:$BC$18,0),FALSE)="弹夹换弹",0,ROUND(VLOOKUP($BJ236,$AI$3:$AO$33,MATCH("换弹时间",$AI$3:$AO$3,0),FALSE)-$BL236/VLOOKUP(VLOOKUP($BJ236,坦克个性化设定!$B$18:$E$48,4,FALSE)&amp;$BK236,坦克属性分配比例,MATCH("升星次数",坦克属性分配比例标头,0),FALSE)*VLOOKUP($BJ236,$AR$3:$AY$33,MATCH("换弹时间",$AR$3:$AY$3,0),FALSE),2))</f>
        <v>5.43</v>
      </c>
      <c r="BW236" s="2">
        <f>IF(VLOOKUP(BJ236,坦克个性化设定!$B$18:$BC$48,MATCH("装弹类型",坦克个性化设定!$B$18:$BC$18,0),FALSE)="弹夹换弹",ROUND(VLOOKUP($BJ236,$AI$3:$AO$33,MATCH("换弹时间",$AI$3:$AO$3,0),FALSE)-$BL236/VLOOKUP(VLOOKUP($BJ236,坦克个性化设定!$B$18:$E$48,4,FALSE)&amp;$BK236,坦克属性分配比例,MATCH("升星次数",坦克属性分配比例标头,0),FALSE)*VLOOKUP($BJ236,$AR$3:$AY$33,MATCH("换弹时间",$AR$3:$AY$3,0),FALSE),1),0)</f>
        <v>0</v>
      </c>
      <c r="BX236" s="2">
        <f>ROUND(VLOOKUP($BJ236,$AI$3:$AO$33,MATCH(BX$3,$AI$3:$AO$3,0),FALSE)+$BL236/VLOOKUP(VLOOKUP($BJ236,坦克个性化设定!$B$18:$E$48,4,FALSE)&amp;$BK236,坦克属性分配比例,MATCH("升星次数",坦克属性分配比例标头,0),FALSE)*VLOOKUP($BJ236,$AR$3:$AY$33,MATCH(BX$3,$AR$3:$AY$3,0),FALSE),2)</f>
        <v>0</v>
      </c>
      <c r="BY236" s="2">
        <f>ROUND(VLOOKUP($BJ236,$AI$3:$AO$33,MATCH(BY$3,$AI$3:$AO$3,0),FALSE)-$BL236/VLOOKUP(VLOOKUP($BJ236,坦克个性化设定!$B$18:$E$48,4,FALSE)&amp;$BK236,坦克属性分配比例,MATCH("升星次数",坦克属性分配比例标头,0),FALSE)*VLOOKUP($BJ236,$AR$3:$AY$33,MATCH(BY$3,$AR$3:$AY$3,0),FALSE),2)</f>
        <v>2.67</v>
      </c>
    </row>
    <row r="237" spans="60:77" x14ac:dyDescent="0.3">
      <c r="BH237" s="2" t="str">
        <f t="shared" si="32"/>
        <v>黑豹7</v>
      </c>
      <c r="BI237" s="2">
        <f>IF(BL236&gt;=VLOOKUP(VLOOKUP(BJ236,坦克个性化设定!$B$18:$E$48,4,FALSE)&amp;BK236,坦克属性分配比例,MATCH("升星次数",坦克属性分配比例标头,0),FALSE),BI236+1,BI236)</f>
        <v>24</v>
      </c>
      <c r="BJ237" s="2" t="str">
        <f t="shared" si="33"/>
        <v>黑豹</v>
      </c>
      <c r="BK237" s="29" t="str">
        <f>VLOOKUP(BJ237,坦克个性化细分!$I$3:$J$33,2,FALSE)</f>
        <v>低</v>
      </c>
      <c r="BL237" s="2">
        <f t="shared" si="34"/>
        <v>7</v>
      </c>
      <c r="BM237" s="103">
        <f ca="1">ROUND(VLOOKUP($BJ237&amp;"初始",$S$3:$AE$63,MATCH(BM$3,$S$3:$AE$3,0),FALSE)+((VLOOKUP($BJ237&amp;"最终",$S$3:$AE$63,MATCH(BM$3,$S$3:$AE$3,0),FALSE)*坦克个性化细分!$C$9-VLOOKUP($BJ237&amp;"初始",$S$3:$AE$63,MATCH(BM$3,$S$3:$AE$3,0),FALSE))-(VLOOKUP($BJ237&amp;"最终",$S$3:$AE$63,MATCH(BM$3,$S$3:$AE$3,0),FALSE)-VLOOKUP($BJ237&amp;"初始",$S$3:$AE$63,MATCH(BM$3,$S$3:$AE$3,0),FALSE))*VLOOKUP(VLOOKUP($BJ237,坦克个性化设定!$B$18:$E$48,4,FALSE)&amp;$BK237,坦克属性分配比例,MATCH("部件比例",坦克属性分配比例标头,0),FALSE))*$BL237/VLOOKUP(VLOOKUP($BJ237,坦克个性化设定!$B$18:$E$48,4,FALSE)&amp;$BK237,坦克属性分配比例,MATCH("升星次数",坦克属性分配比例标头,0),FALSE),0)</f>
        <v>1854</v>
      </c>
      <c r="BN237" s="103">
        <f ca="1">ROUND(VLOOKUP($BJ237&amp;"初始",$S$3:$AE$63,MATCH(BN$3,$S$3:$AE$3,0),FALSE)+(VLOOKUP($BJ237&amp;"最终",$S$3:$AE$63,MATCH(BN$3,$S$3:$AE$3,0),FALSE)-VLOOKUP($BJ237&amp;"初始",$S$3:$AE$63,MATCH(BN$3,$S$3:$AE$3,0),FALSE))*$BL237/VLOOKUP(VLOOKUP($BJ237,坦克个性化设定!$B$18:$E$48,4,FALSE)&amp;$BK237,坦克属性分配比例,MATCH("升星次数",坦克属性分配比例标头,0),FALSE)*VLOOKUP(VLOOKUP($BJ237,坦克个性化设定!$B$18:$E$48,4,FALSE)&amp;$BK237,坦克属性分配比例,MATCH("升星比例",坦克属性分配比例标头,0),FALSE),0)</f>
        <v>744</v>
      </c>
      <c r="BO237" s="103">
        <f ca="1">ROUND(VLOOKUP($BJ237&amp;"初始",$S$3:$AE$63,MATCH(BO$3,$S$3:$AE$3,0),FALSE)+(VLOOKUP($BJ237&amp;"最终",$S$3:$AE$63,MATCH(BO$3,$S$3:$AE$3,0),FALSE)-VLOOKUP($BJ237&amp;"初始",$S$3:$AE$63,MATCH(BO$3,$S$3:$AE$3,0),FALSE))*$BL237/VLOOKUP(VLOOKUP($BJ237,坦克个性化设定!$B$18:$E$48,4,FALSE)&amp;$BK237,坦克属性分配比例,MATCH("升星次数",坦克属性分配比例标头,0),FALSE)*(VLOOKUP(VLOOKUP($BJ237,坦克个性化设定!$B$18:$E$48,4,FALSE)&amp;$BK237,坦克属性分配比例,MATCH("升星比例",坦克属性分配比例标头,0),FALSE)+VLOOKUP(VLOOKUP($BJ237,坦克个性化设定!$B$18:$E$48,4,FALSE)&amp;$BK237,坦克属性分配比例,MATCH("部件比例",坦克属性分配比例标头,0),FALSE)*$C$3),0)</f>
        <v>243</v>
      </c>
      <c r="BP237" s="103">
        <f ca="1">ROUND(VLOOKUP($BJ237&amp;"初始",$S$3:$AE$63,MATCH(BP$3,$S$3:$AE$3,0),FALSE)+(VLOOKUP($BJ237&amp;"最终",$S$3:$AE$63,MATCH(BP$3,$S$3:$AE$3,0),FALSE)-VLOOKUP($BJ237&amp;"初始",$S$3:$AE$63,MATCH(BP$3,$S$3:$AE$3,0),FALSE))*$BL237/VLOOKUP(VLOOKUP($BJ237,坦克个性化设定!$B$18:$E$48,4,FALSE)&amp;$BK237,坦克属性分配比例,MATCH("升星次数",坦克属性分配比例标头,0),FALSE)*(VLOOKUP(VLOOKUP($BJ237,坦克个性化设定!$B$18:$E$48,4,FALSE)&amp;$BK237,坦克属性分配比例,MATCH("升星比例",坦克属性分配比例标头,0),FALSE)+VLOOKUP(VLOOKUP($BJ237,坦克个性化设定!$B$18:$E$48,4,FALSE)&amp;$BK237,坦克属性分配比例,MATCH("部件比例",坦克属性分配比例标头,0),FALSE)*$C$3),0)</f>
        <v>607</v>
      </c>
      <c r="BQ237" s="103">
        <f ca="1">ROUND(VLOOKUP($BJ237&amp;"初始",$S$3:$AE$63,MATCH(BQ$3,$S$3:$AE$3,0),FALSE)+(VLOOKUP($BJ237&amp;"最终",$S$3:$AE$63,MATCH(BQ$3,$S$3:$AE$3,0),FALSE)-VLOOKUP($BJ237&amp;"初始",$S$3:$AE$63,MATCH(BQ$3,$S$3:$AE$3,0),FALSE))*$BL237/VLOOKUP(VLOOKUP($BJ237,坦克个性化设定!$B$18:$E$48,4,FALSE)&amp;$BK237,坦克属性分配比例,MATCH("升星次数",坦克属性分配比例标头,0),FALSE)*VLOOKUP(VLOOKUP($BJ237,坦克个性化设定!$B$18:$E$48,4,FALSE)&amp;$BK237,坦克属性分配比例,MATCH("升星比例",坦克属性分配比例标头,0),FALSE),0)</f>
        <v>757</v>
      </c>
      <c r="BR237" s="2">
        <f ca="1">ROUND(VLOOKUP($BJ237&amp;"初始",$S$3:$AE$63,MATCH(BR$3,$S$3:$AE$3,0),FALSE)+(VLOOKUP($BJ237&amp;"最终",$S$3:$AE$63,MATCH(BR$3,$S$3:$AE$3,0),FALSE)-VLOOKUP($BJ237&amp;"初始",$S$3:$AE$63,MATCH(BR$3,$S$3:$AE$3,0),FALSE))*$BL237/VLOOKUP(VLOOKUP($BJ237,坦克个性化设定!$B$18:$E$48,4,FALSE)&amp;$BK237,坦克属性分配比例,MATCH("升星次数",坦克属性分配比例标头,0),FALSE),0)</f>
        <v>184</v>
      </c>
      <c r="BS237" s="2">
        <f>ROUND(VLOOKUP($BJ237,$AI$3:$AO$33,MATCH(BS$3,$AI$3:$AO$3,0),FALSE)+$BL237/VLOOKUP(VLOOKUP($BJ237,坦克个性化设定!$B$18:$E$48,4,FALSE)&amp;$BK237,坦克属性分配比例,MATCH("升星次数",坦克属性分配比例标头,0),FALSE)*VLOOKUP($BJ237,$AR$3:$AY$33,MATCH(BS$3,$AR$3:$AY$3,0),FALSE),1)</f>
        <v>36.700000000000003</v>
      </c>
      <c r="BT237" s="2">
        <f>ROUND(VLOOKUP($BJ237,$AI$3:$AO$33,MATCH(BT$3,$AI$3:$AO$3,0),FALSE)+$BL237/VLOOKUP(VLOOKUP($BJ237,坦克个性化设定!$B$18:$E$48,4,FALSE)&amp;$BK237,坦克属性分配比例,MATCH("升星次数",坦克属性分配比例标头,0),FALSE)*VLOOKUP($BJ237,$AR$3:$AY$33,MATCH(BT$3,$AR$3:$AY$3,0),FALSE),1)</f>
        <v>40.1</v>
      </c>
      <c r="BU237" s="2">
        <f>ROUND(VLOOKUP($BJ237,$AI$3:$AO$33,MATCH(BU$3,$AI$3:$AO$3,0),FALSE)+$BL237/VLOOKUP(VLOOKUP($BJ237,坦克个性化设定!$B$18:$E$48,4,FALSE)&amp;$BK237,坦克属性分配比例,MATCH("升星次数",坦克属性分配比例标头,0),FALSE)*VLOOKUP($BJ237,$AR$3:$AY$33,MATCH(BU$3,$AR$3:$AY$3,0),FALSE),1)</f>
        <v>6.3</v>
      </c>
      <c r="BV237" s="2">
        <f>IF(VLOOKUP(BJ237,坦克个性化设定!$B$18:$BC$48,MATCH("装弹类型",坦克个性化设定!$B$18:$BC$18,0),FALSE)="弹夹换弹",0,ROUND(VLOOKUP($BJ237,$AI$3:$AO$33,MATCH("换弹时间",$AI$3:$AO$3,0),FALSE)-$BL237/VLOOKUP(VLOOKUP($BJ237,坦克个性化设定!$B$18:$E$48,4,FALSE)&amp;$BK237,坦克属性分配比例,MATCH("升星次数",坦克属性分配比例标头,0),FALSE)*VLOOKUP($BJ237,$AR$3:$AY$33,MATCH("换弹时间",$AR$3:$AY$3,0),FALSE),2))</f>
        <v>5.34</v>
      </c>
      <c r="BW237" s="2">
        <f>IF(VLOOKUP(BJ237,坦克个性化设定!$B$18:$BC$48,MATCH("装弹类型",坦克个性化设定!$B$18:$BC$18,0),FALSE)="弹夹换弹",ROUND(VLOOKUP($BJ237,$AI$3:$AO$33,MATCH("换弹时间",$AI$3:$AO$3,0),FALSE)-$BL237/VLOOKUP(VLOOKUP($BJ237,坦克个性化设定!$B$18:$E$48,4,FALSE)&amp;$BK237,坦克属性分配比例,MATCH("升星次数",坦克属性分配比例标头,0),FALSE)*VLOOKUP($BJ237,$AR$3:$AY$33,MATCH("换弹时间",$AR$3:$AY$3,0),FALSE),1),0)</f>
        <v>0</v>
      </c>
      <c r="BX237" s="2">
        <f>ROUND(VLOOKUP($BJ237,$AI$3:$AO$33,MATCH(BX$3,$AI$3:$AO$3,0),FALSE)+$BL237/VLOOKUP(VLOOKUP($BJ237,坦克个性化设定!$B$18:$E$48,4,FALSE)&amp;$BK237,坦克属性分配比例,MATCH("升星次数",坦克属性分配比例标头,0),FALSE)*VLOOKUP($BJ237,$AR$3:$AY$33,MATCH(BX$3,$AR$3:$AY$3,0),FALSE),2)</f>
        <v>0</v>
      </c>
      <c r="BY237" s="2">
        <f>ROUND(VLOOKUP($BJ237,$AI$3:$AO$33,MATCH(BY$3,$AI$3:$AO$3,0),FALSE)-$BL237/VLOOKUP(VLOOKUP($BJ237,坦克个性化设定!$B$18:$E$48,4,FALSE)&amp;$BK237,坦克属性分配比例,MATCH("升星次数",坦克属性分配比例标头,0),FALSE)*VLOOKUP($BJ237,$AR$3:$AY$33,MATCH(BY$3,$AR$3:$AY$3,0),FALSE),2)</f>
        <v>2.61</v>
      </c>
    </row>
    <row r="238" spans="60:77" x14ac:dyDescent="0.3">
      <c r="BH238" s="2" t="str">
        <f t="shared" si="32"/>
        <v>黑豹8</v>
      </c>
      <c r="BI238" s="2">
        <f>IF(BL237&gt;=VLOOKUP(VLOOKUP(BJ237,坦克个性化设定!$B$18:$E$48,4,FALSE)&amp;BK237,坦克属性分配比例,MATCH("升星次数",坦克属性分配比例标头,0),FALSE),BI237+1,BI237)</f>
        <v>24</v>
      </c>
      <c r="BJ238" s="2" t="str">
        <f t="shared" si="33"/>
        <v>黑豹</v>
      </c>
      <c r="BK238" s="29" t="str">
        <f>VLOOKUP(BJ238,坦克个性化细分!$I$3:$J$33,2,FALSE)</f>
        <v>低</v>
      </c>
      <c r="BL238" s="2">
        <f t="shared" si="34"/>
        <v>8</v>
      </c>
      <c r="BM238" s="103">
        <f ca="1">ROUND(VLOOKUP($BJ238&amp;"初始",$S$3:$AE$63,MATCH(BM$3,$S$3:$AE$3,0),FALSE)+((VLOOKUP($BJ238&amp;"最终",$S$3:$AE$63,MATCH(BM$3,$S$3:$AE$3,0),FALSE)*坦克个性化细分!$C$9-VLOOKUP($BJ238&amp;"初始",$S$3:$AE$63,MATCH(BM$3,$S$3:$AE$3,0),FALSE))-(VLOOKUP($BJ238&amp;"最终",$S$3:$AE$63,MATCH(BM$3,$S$3:$AE$3,0),FALSE)-VLOOKUP($BJ238&amp;"初始",$S$3:$AE$63,MATCH(BM$3,$S$3:$AE$3,0),FALSE))*VLOOKUP(VLOOKUP($BJ238,坦克个性化设定!$B$18:$E$48,4,FALSE)&amp;$BK238,坦克属性分配比例,MATCH("部件比例",坦克属性分配比例标头,0),FALSE))*$BL238/VLOOKUP(VLOOKUP($BJ238,坦克个性化设定!$B$18:$E$48,4,FALSE)&amp;$BK238,坦克属性分配比例,MATCH("升星次数",坦克属性分配比例标头,0),FALSE),0)</f>
        <v>1925</v>
      </c>
      <c r="BN238" s="103">
        <f ca="1">ROUND(VLOOKUP($BJ238&amp;"初始",$S$3:$AE$63,MATCH(BN$3,$S$3:$AE$3,0),FALSE)+(VLOOKUP($BJ238&amp;"最终",$S$3:$AE$63,MATCH(BN$3,$S$3:$AE$3,0),FALSE)-VLOOKUP($BJ238&amp;"初始",$S$3:$AE$63,MATCH(BN$3,$S$3:$AE$3,0),FALSE))*$BL238/VLOOKUP(VLOOKUP($BJ238,坦克个性化设定!$B$18:$E$48,4,FALSE)&amp;$BK238,坦克属性分配比例,MATCH("升星次数",坦克属性分配比例标头,0),FALSE)*VLOOKUP(VLOOKUP($BJ238,坦克个性化设定!$B$18:$E$48,4,FALSE)&amp;$BK238,坦克属性分配比例,MATCH("升星比例",坦克属性分配比例标头,0),FALSE),0)</f>
        <v>762</v>
      </c>
      <c r="BO238" s="103">
        <f ca="1">ROUND(VLOOKUP($BJ238&amp;"初始",$S$3:$AE$63,MATCH(BO$3,$S$3:$AE$3,0),FALSE)+(VLOOKUP($BJ238&amp;"最终",$S$3:$AE$63,MATCH(BO$3,$S$3:$AE$3,0),FALSE)-VLOOKUP($BJ238&amp;"初始",$S$3:$AE$63,MATCH(BO$3,$S$3:$AE$3,0),FALSE))*$BL238/VLOOKUP(VLOOKUP($BJ238,坦克个性化设定!$B$18:$E$48,4,FALSE)&amp;$BK238,坦克属性分配比例,MATCH("升星次数",坦克属性分配比例标头,0),FALSE)*(VLOOKUP(VLOOKUP($BJ238,坦克个性化设定!$B$18:$E$48,4,FALSE)&amp;$BK238,坦克属性分配比例,MATCH("升星比例",坦克属性分配比例标头,0),FALSE)+VLOOKUP(VLOOKUP($BJ238,坦克个性化设定!$B$18:$E$48,4,FALSE)&amp;$BK238,坦克属性分配比例,MATCH("部件比例",坦克属性分配比例标头,0),FALSE)*$C$3),0)</f>
        <v>251</v>
      </c>
      <c r="BP238" s="103">
        <f ca="1">ROUND(VLOOKUP($BJ238&amp;"初始",$S$3:$AE$63,MATCH(BP$3,$S$3:$AE$3,0),FALSE)+(VLOOKUP($BJ238&amp;"最终",$S$3:$AE$63,MATCH(BP$3,$S$3:$AE$3,0),FALSE)-VLOOKUP($BJ238&amp;"初始",$S$3:$AE$63,MATCH(BP$3,$S$3:$AE$3,0),FALSE))*$BL238/VLOOKUP(VLOOKUP($BJ238,坦克个性化设定!$B$18:$E$48,4,FALSE)&amp;$BK238,坦克属性分配比例,MATCH("升星次数",坦克属性分配比例标头,0),FALSE)*(VLOOKUP(VLOOKUP($BJ238,坦克个性化设定!$B$18:$E$48,4,FALSE)&amp;$BK238,坦克属性分配比例,MATCH("升星比例",坦克属性分配比例标头,0),FALSE)+VLOOKUP(VLOOKUP($BJ238,坦克个性化设定!$B$18:$E$48,4,FALSE)&amp;$BK238,坦克属性分配比例,MATCH("部件比例",坦克属性分配比例标头,0),FALSE)*$C$3),0)</f>
        <v>627</v>
      </c>
      <c r="BQ238" s="103">
        <f ca="1">ROUND(VLOOKUP($BJ238&amp;"初始",$S$3:$AE$63,MATCH(BQ$3,$S$3:$AE$3,0),FALSE)+(VLOOKUP($BJ238&amp;"最终",$S$3:$AE$63,MATCH(BQ$3,$S$3:$AE$3,0),FALSE)-VLOOKUP($BJ238&amp;"初始",$S$3:$AE$63,MATCH(BQ$3,$S$3:$AE$3,0),FALSE))*$BL238/VLOOKUP(VLOOKUP($BJ238,坦克个性化设定!$B$18:$E$48,4,FALSE)&amp;$BK238,坦克属性分配比例,MATCH("升星次数",坦克属性分配比例标头,0),FALSE)*VLOOKUP(VLOOKUP($BJ238,坦克个性化设定!$B$18:$E$48,4,FALSE)&amp;$BK238,坦克属性分配比例,MATCH("升星比例",坦克属性分配比例标头,0),FALSE),0)</f>
        <v>776</v>
      </c>
      <c r="BR238" s="2">
        <f ca="1">ROUND(VLOOKUP($BJ238&amp;"初始",$S$3:$AE$63,MATCH(BR$3,$S$3:$AE$3,0),FALSE)+(VLOOKUP($BJ238&amp;"最终",$S$3:$AE$63,MATCH(BR$3,$S$3:$AE$3,0),FALSE)-VLOOKUP($BJ238&amp;"初始",$S$3:$AE$63,MATCH(BR$3,$S$3:$AE$3,0),FALSE))*$BL238/VLOOKUP(VLOOKUP($BJ238,坦克个性化设定!$B$18:$E$48,4,FALSE)&amp;$BK238,坦克属性分配比例,MATCH("升星次数",坦克属性分配比例标头,0),FALSE),0)</f>
        <v>191</v>
      </c>
      <c r="BS238" s="2">
        <f>ROUND(VLOOKUP($BJ238,$AI$3:$AO$33,MATCH(BS$3,$AI$3:$AO$3,0),FALSE)+$BL238/VLOOKUP(VLOOKUP($BJ238,坦克个性化设定!$B$18:$E$48,4,FALSE)&amp;$BK238,坦克属性分配比例,MATCH("升星次数",坦克属性分配比例标头,0),FALSE)*VLOOKUP($BJ238,$AR$3:$AY$33,MATCH(BS$3,$AR$3:$AY$3,0),FALSE),1)</f>
        <v>37.5</v>
      </c>
      <c r="BT238" s="2">
        <f>ROUND(VLOOKUP($BJ238,$AI$3:$AO$33,MATCH(BT$3,$AI$3:$AO$3,0),FALSE)+$BL238/VLOOKUP(VLOOKUP($BJ238,坦克个性化设定!$B$18:$E$48,4,FALSE)&amp;$BK238,坦克属性分配比例,MATCH("升星次数",坦克属性分配比例标头,0),FALSE)*VLOOKUP($BJ238,$AR$3:$AY$33,MATCH(BT$3,$AR$3:$AY$3,0),FALSE),1)</f>
        <v>41.1</v>
      </c>
      <c r="BU238" s="2">
        <f>ROUND(VLOOKUP($BJ238,$AI$3:$AO$33,MATCH(BU$3,$AI$3:$AO$3,0),FALSE)+$BL238/VLOOKUP(VLOOKUP($BJ238,坦克个性化设定!$B$18:$E$48,4,FALSE)&amp;$BK238,坦克属性分配比例,MATCH("升星次数",坦克属性分配比例标头,0),FALSE)*VLOOKUP($BJ238,$AR$3:$AY$33,MATCH(BU$3,$AR$3:$AY$3,0),FALSE),1)</f>
        <v>6.3</v>
      </c>
      <c r="BV238" s="2">
        <f>IF(VLOOKUP(BJ238,坦克个性化设定!$B$18:$BC$48,MATCH("装弹类型",坦克个性化设定!$B$18:$BC$18,0),FALSE)="弹夹换弹",0,ROUND(VLOOKUP($BJ238,$AI$3:$AO$33,MATCH("换弹时间",$AI$3:$AO$3,0),FALSE)-$BL238/VLOOKUP(VLOOKUP($BJ238,坦克个性化设定!$B$18:$E$48,4,FALSE)&amp;$BK238,坦克属性分配比例,MATCH("升星次数",坦克属性分配比例标头,0),FALSE)*VLOOKUP($BJ238,$AR$3:$AY$33,MATCH("换弹时间",$AR$3:$AY$3,0),FALSE),2))</f>
        <v>5.24</v>
      </c>
      <c r="BW238" s="2">
        <f>IF(VLOOKUP(BJ238,坦克个性化设定!$B$18:$BC$48,MATCH("装弹类型",坦克个性化设定!$B$18:$BC$18,0),FALSE)="弹夹换弹",ROUND(VLOOKUP($BJ238,$AI$3:$AO$33,MATCH("换弹时间",$AI$3:$AO$3,0),FALSE)-$BL238/VLOOKUP(VLOOKUP($BJ238,坦克个性化设定!$B$18:$E$48,4,FALSE)&amp;$BK238,坦克属性分配比例,MATCH("升星次数",坦克属性分配比例标头,0),FALSE)*VLOOKUP($BJ238,$AR$3:$AY$33,MATCH("换弹时间",$AR$3:$AY$3,0),FALSE),1),0)</f>
        <v>0</v>
      </c>
      <c r="BX238" s="2">
        <f>ROUND(VLOOKUP($BJ238,$AI$3:$AO$33,MATCH(BX$3,$AI$3:$AO$3,0),FALSE)+$BL238/VLOOKUP(VLOOKUP($BJ238,坦克个性化设定!$B$18:$E$48,4,FALSE)&amp;$BK238,坦克属性分配比例,MATCH("升星次数",坦克属性分配比例标头,0),FALSE)*VLOOKUP($BJ238,$AR$3:$AY$33,MATCH(BX$3,$AR$3:$AY$3,0),FALSE),2)</f>
        <v>0</v>
      </c>
      <c r="BY238" s="2">
        <f>ROUND(VLOOKUP($BJ238,$AI$3:$AO$33,MATCH(BY$3,$AI$3:$AO$3,0),FALSE)-$BL238/VLOOKUP(VLOOKUP($BJ238,坦克个性化设定!$B$18:$E$48,4,FALSE)&amp;$BK238,坦克属性分配比例,MATCH("升星次数",坦克属性分配比例标头,0),FALSE)*VLOOKUP($BJ238,$AR$3:$AY$33,MATCH(BY$3,$AR$3:$AY$3,0),FALSE),2)</f>
        <v>2.56</v>
      </c>
    </row>
    <row r="239" spans="60:77" x14ac:dyDescent="0.3">
      <c r="BH239" s="2" t="str">
        <f t="shared" si="32"/>
        <v>黑豹9</v>
      </c>
      <c r="BI239" s="2">
        <f>IF(BL238&gt;=VLOOKUP(VLOOKUP(BJ238,坦克个性化设定!$B$18:$E$48,4,FALSE)&amp;BK238,坦克属性分配比例,MATCH("升星次数",坦克属性分配比例标头,0),FALSE),BI238+1,BI238)</f>
        <v>24</v>
      </c>
      <c r="BJ239" s="2" t="str">
        <f t="shared" si="33"/>
        <v>黑豹</v>
      </c>
      <c r="BK239" s="29" t="str">
        <f>VLOOKUP(BJ239,坦克个性化细分!$I$3:$J$33,2,FALSE)</f>
        <v>低</v>
      </c>
      <c r="BL239" s="2">
        <f t="shared" si="34"/>
        <v>9</v>
      </c>
      <c r="BM239" s="103">
        <f ca="1">ROUND(VLOOKUP($BJ239&amp;"初始",$S$3:$AE$63,MATCH(BM$3,$S$3:$AE$3,0),FALSE)+((VLOOKUP($BJ239&amp;"最终",$S$3:$AE$63,MATCH(BM$3,$S$3:$AE$3,0),FALSE)*坦克个性化细分!$C$9-VLOOKUP($BJ239&amp;"初始",$S$3:$AE$63,MATCH(BM$3,$S$3:$AE$3,0),FALSE))-(VLOOKUP($BJ239&amp;"最终",$S$3:$AE$63,MATCH(BM$3,$S$3:$AE$3,0),FALSE)-VLOOKUP($BJ239&amp;"初始",$S$3:$AE$63,MATCH(BM$3,$S$3:$AE$3,0),FALSE))*VLOOKUP(VLOOKUP($BJ239,坦克个性化设定!$B$18:$E$48,4,FALSE)&amp;$BK239,坦克属性分配比例,MATCH("部件比例",坦克属性分配比例标头,0),FALSE))*$BL239/VLOOKUP(VLOOKUP($BJ239,坦克个性化设定!$B$18:$E$48,4,FALSE)&amp;$BK239,坦克属性分配比例,MATCH("升星次数",坦克属性分配比例标头,0),FALSE),0)</f>
        <v>1997</v>
      </c>
      <c r="BN239" s="103">
        <f ca="1">ROUND(VLOOKUP($BJ239&amp;"初始",$S$3:$AE$63,MATCH(BN$3,$S$3:$AE$3,0),FALSE)+(VLOOKUP($BJ239&amp;"最终",$S$3:$AE$63,MATCH(BN$3,$S$3:$AE$3,0),FALSE)-VLOOKUP($BJ239&amp;"初始",$S$3:$AE$63,MATCH(BN$3,$S$3:$AE$3,0),FALSE))*$BL239/VLOOKUP(VLOOKUP($BJ239,坦克个性化设定!$B$18:$E$48,4,FALSE)&amp;$BK239,坦克属性分配比例,MATCH("升星次数",坦克属性分配比例标头,0),FALSE)*VLOOKUP(VLOOKUP($BJ239,坦克个性化设定!$B$18:$E$48,4,FALSE)&amp;$BK239,坦克属性分配比例,MATCH("升星比例",坦克属性分配比例标头,0),FALSE),0)</f>
        <v>781</v>
      </c>
      <c r="BO239" s="103">
        <f ca="1">ROUND(VLOOKUP($BJ239&amp;"初始",$S$3:$AE$63,MATCH(BO$3,$S$3:$AE$3,0),FALSE)+(VLOOKUP($BJ239&amp;"最终",$S$3:$AE$63,MATCH(BO$3,$S$3:$AE$3,0),FALSE)-VLOOKUP($BJ239&amp;"初始",$S$3:$AE$63,MATCH(BO$3,$S$3:$AE$3,0),FALSE))*$BL239/VLOOKUP(VLOOKUP($BJ239,坦克个性化设定!$B$18:$E$48,4,FALSE)&amp;$BK239,坦克属性分配比例,MATCH("升星次数",坦克属性分配比例标头,0),FALSE)*(VLOOKUP(VLOOKUP($BJ239,坦克个性化设定!$B$18:$E$48,4,FALSE)&amp;$BK239,坦克属性分配比例,MATCH("升星比例",坦克属性分配比例标头,0),FALSE)+VLOOKUP(VLOOKUP($BJ239,坦克个性化设定!$B$18:$E$48,4,FALSE)&amp;$BK239,坦克属性分配比例,MATCH("部件比例",坦克属性分配比例标头,0),FALSE)*$C$3),0)</f>
        <v>259</v>
      </c>
      <c r="BP239" s="103">
        <f ca="1">ROUND(VLOOKUP($BJ239&amp;"初始",$S$3:$AE$63,MATCH(BP$3,$S$3:$AE$3,0),FALSE)+(VLOOKUP($BJ239&amp;"最终",$S$3:$AE$63,MATCH(BP$3,$S$3:$AE$3,0),FALSE)-VLOOKUP($BJ239&amp;"初始",$S$3:$AE$63,MATCH(BP$3,$S$3:$AE$3,0),FALSE))*$BL239/VLOOKUP(VLOOKUP($BJ239,坦克个性化设定!$B$18:$E$48,4,FALSE)&amp;$BK239,坦克属性分配比例,MATCH("升星次数",坦克属性分配比例标头,0),FALSE)*(VLOOKUP(VLOOKUP($BJ239,坦克个性化设定!$B$18:$E$48,4,FALSE)&amp;$BK239,坦克属性分配比例,MATCH("升星比例",坦克属性分配比例标头,0),FALSE)+VLOOKUP(VLOOKUP($BJ239,坦克个性化设定!$B$18:$E$48,4,FALSE)&amp;$BK239,坦克属性分配比例,MATCH("部件比例",坦克属性分配比例标头,0),FALSE)*$C$3),0)</f>
        <v>647</v>
      </c>
      <c r="BQ239" s="103">
        <f ca="1">ROUND(VLOOKUP($BJ239&amp;"初始",$S$3:$AE$63,MATCH(BQ$3,$S$3:$AE$3,0),FALSE)+(VLOOKUP($BJ239&amp;"最终",$S$3:$AE$63,MATCH(BQ$3,$S$3:$AE$3,0),FALSE)-VLOOKUP($BJ239&amp;"初始",$S$3:$AE$63,MATCH(BQ$3,$S$3:$AE$3,0),FALSE))*$BL239/VLOOKUP(VLOOKUP($BJ239,坦克个性化设定!$B$18:$E$48,4,FALSE)&amp;$BK239,坦克属性分配比例,MATCH("升星次数",坦克属性分配比例标头,0),FALSE)*VLOOKUP(VLOOKUP($BJ239,坦克个性化设定!$B$18:$E$48,4,FALSE)&amp;$BK239,坦克属性分配比例,MATCH("升星比例",坦克属性分配比例标头,0),FALSE),0)</f>
        <v>795</v>
      </c>
      <c r="BR239" s="2">
        <f ca="1">ROUND(VLOOKUP($BJ239&amp;"初始",$S$3:$AE$63,MATCH(BR$3,$S$3:$AE$3,0),FALSE)+(VLOOKUP($BJ239&amp;"最终",$S$3:$AE$63,MATCH(BR$3,$S$3:$AE$3,0),FALSE)-VLOOKUP($BJ239&amp;"初始",$S$3:$AE$63,MATCH(BR$3,$S$3:$AE$3,0),FALSE))*$BL239/VLOOKUP(VLOOKUP($BJ239,坦克个性化设定!$B$18:$E$48,4,FALSE)&amp;$BK239,坦克属性分配比例,MATCH("升星次数",坦克属性分配比例标头,0),FALSE),0)</f>
        <v>198</v>
      </c>
      <c r="BS239" s="2">
        <f>ROUND(VLOOKUP($BJ239,$AI$3:$AO$33,MATCH(BS$3,$AI$3:$AO$3,0),FALSE)+$BL239/VLOOKUP(VLOOKUP($BJ239,坦克个性化设定!$B$18:$E$48,4,FALSE)&amp;$BK239,坦克属性分配比例,MATCH("升星次数",坦克属性分配比例标头,0),FALSE)*VLOOKUP($BJ239,$AR$3:$AY$33,MATCH(BS$3,$AR$3:$AY$3,0),FALSE),1)</f>
        <v>38.4</v>
      </c>
      <c r="BT239" s="2">
        <f>ROUND(VLOOKUP($BJ239,$AI$3:$AO$33,MATCH(BT$3,$AI$3:$AO$3,0),FALSE)+$BL239/VLOOKUP(VLOOKUP($BJ239,坦克个性化设定!$B$18:$E$48,4,FALSE)&amp;$BK239,坦克属性分配比例,MATCH("升星次数",坦克属性分配比例标头,0),FALSE)*VLOOKUP($BJ239,$AR$3:$AY$33,MATCH(BT$3,$AR$3:$AY$3,0),FALSE),1)</f>
        <v>42</v>
      </c>
      <c r="BU239" s="2">
        <f>ROUND(VLOOKUP($BJ239,$AI$3:$AO$33,MATCH(BU$3,$AI$3:$AO$3,0),FALSE)+$BL239/VLOOKUP(VLOOKUP($BJ239,坦克个性化设定!$B$18:$E$48,4,FALSE)&amp;$BK239,坦克属性分配比例,MATCH("升星次数",坦克属性分配比例标头,0),FALSE)*VLOOKUP($BJ239,$AR$3:$AY$33,MATCH(BU$3,$AR$3:$AY$3,0),FALSE),1)</f>
        <v>6.3</v>
      </c>
      <c r="BV239" s="2">
        <f>IF(VLOOKUP(BJ239,坦克个性化设定!$B$18:$BC$48,MATCH("装弹类型",坦克个性化设定!$B$18:$BC$18,0),FALSE)="弹夹换弹",0,ROUND(VLOOKUP($BJ239,$AI$3:$AO$33,MATCH("换弹时间",$AI$3:$AO$3,0),FALSE)-$BL239/VLOOKUP(VLOOKUP($BJ239,坦克个性化设定!$B$18:$E$48,4,FALSE)&amp;$BK239,坦克属性分配比例,MATCH("升星次数",坦克属性分配比例标头,0),FALSE)*VLOOKUP($BJ239,$AR$3:$AY$33,MATCH("换弹时间",$AR$3:$AY$3,0),FALSE),2))</f>
        <v>5.15</v>
      </c>
      <c r="BW239" s="2">
        <f>IF(VLOOKUP(BJ239,坦克个性化设定!$B$18:$BC$48,MATCH("装弹类型",坦克个性化设定!$B$18:$BC$18,0),FALSE)="弹夹换弹",ROUND(VLOOKUP($BJ239,$AI$3:$AO$33,MATCH("换弹时间",$AI$3:$AO$3,0),FALSE)-$BL239/VLOOKUP(VLOOKUP($BJ239,坦克个性化设定!$B$18:$E$48,4,FALSE)&amp;$BK239,坦克属性分配比例,MATCH("升星次数",坦克属性分配比例标头,0),FALSE)*VLOOKUP($BJ239,$AR$3:$AY$33,MATCH("换弹时间",$AR$3:$AY$3,0),FALSE),1),0)</f>
        <v>0</v>
      </c>
      <c r="BX239" s="2">
        <f>ROUND(VLOOKUP($BJ239,$AI$3:$AO$33,MATCH(BX$3,$AI$3:$AO$3,0),FALSE)+$BL239/VLOOKUP(VLOOKUP($BJ239,坦克个性化设定!$B$18:$E$48,4,FALSE)&amp;$BK239,坦克属性分配比例,MATCH("升星次数",坦克属性分配比例标头,0),FALSE)*VLOOKUP($BJ239,$AR$3:$AY$33,MATCH(BX$3,$AR$3:$AY$3,0),FALSE),2)</f>
        <v>0</v>
      </c>
      <c r="BY239" s="2">
        <f>ROUND(VLOOKUP($BJ239,$AI$3:$AO$33,MATCH(BY$3,$AI$3:$AO$3,0),FALSE)-$BL239/VLOOKUP(VLOOKUP($BJ239,坦克个性化设定!$B$18:$E$48,4,FALSE)&amp;$BK239,坦克属性分配比例,MATCH("升星次数",坦克属性分配比例标头,0),FALSE)*VLOOKUP($BJ239,$AR$3:$AY$33,MATCH(BY$3,$AR$3:$AY$3,0),FALSE),2)</f>
        <v>2.5</v>
      </c>
    </row>
    <row r="240" spans="60:77" x14ac:dyDescent="0.3">
      <c r="BH240" s="2" t="str">
        <f t="shared" si="32"/>
        <v>虎式0</v>
      </c>
      <c r="BI240" s="2">
        <f>IF(BL239&gt;=VLOOKUP(VLOOKUP(BJ239,坦克个性化设定!$B$18:$E$48,4,FALSE)&amp;BK239,坦克属性分配比例,MATCH("升星次数",坦克属性分配比例标头,0),FALSE),BI239+1,BI239)</f>
        <v>25</v>
      </c>
      <c r="BJ240" s="2" t="str">
        <f t="shared" si="33"/>
        <v>虎式</v>
      </c>
      <c r="BK240" s="29" t="str">
        <f>VLOOKUP(BJ240,坦克个性化细分!$I$3:$J$33,2,FALSE)</f>
        <v>中</v>
      </c>
      <c r="BL240" s="2">
        <f t="shared" si="34"/>
        <v>0</v>
      </c>
      <c r="BM240" s="103">
        <f ca="1">ROUND(VLOOKUP($BJ240&amp;"初始",$S$3:$AE$63,MATCH(BM$3,$S$3:$AE$3,0),FALSE)+((VLOOKUP($BJ240&amp;"最终",$S$3:$AE$63,MATCH(BM$3,$S$3:$AE$3,0),FALSE)*坦克个性化细分!$C$9-VLOOKUP($BJ240&amp;"初始",$S$3:$AE$63,MATCH(BM$3,$S$3:$AE$3,0),FALSE))-(VLOOKUP($BJ240&amp;"最终",$S$3:$AE$63,MATCH(BM$3,$S$3:$AE$3,0),FALSE)-VLOOKUP($BJ240&amp;"初始",$S$3:$AE$63,MATCH(BM$3,$S$3:$AE$3,0),FALSE))*VLOOKUP(VLOOKUP($BJ240,坦克个性化设定!$B$18:$E$48,4,FALSE)&amp;$BK240,坦克属性分配比例,MATCH("部件比例",坦克属性分配比例标头,0),FALSE))*$BL240/VLOOKUP(VLOOKUP($BJ240,坦克个性化设定!$B$18:$E$48,4,FALSE)&amp;$BK240,坦克属性分配比例,MATCH("升星次数",坦克属性分配比例标头,0),FALSE),0)</f>
        <v>1354</v>
      </c>
      <c r="BN240" s="103">
        <f ca="1">ROUND(VLOOKUP($BJ240&amp;"初始",$S$3:$AE$63,MATCH(BN$3,$S$3:$AE$3,0),FALSE)+(VLOOKUP($BJ240&amp;"最终",$S$3:$AE$63,MATCH(BN$3,$S$3:$AE$3,0),FALSE)-VLOOKUP($BJ240&amp;"初始",$S$3:$AE$63,MATCH(BN$3,$S$3:$AE$3,0),FALSE))*$BL240/VLOOKUP(VLOOKUP($BJ240,坦克个性化设定!$B$18:$E$48,4,FALSE)&amp;$BK240,坦克属性分配比例,MATCH("升星次数",坦克属性分配比例标头,0),FALSE)*VLOOKUP(VLOOKUP($BJ240,坦克个性化设定!$B$18:$E$48,4,FALSE)&amp;$BK240,坦克属性分配比例,MATCH("升星比例",坦克属性分配比例标头,0),FALSE),0)</f>
        <v>662</v>
      </c>
      <c r="BO240" s="103">
        <f ca="1">ROUND(VLOOKUP($BJ240&amp;"初始",$S$3:$AE$63,MATCH(BO$3,$S$3:$AE$3,0),FALSE)+(VLOOKUP($BJ240&amp;"最终",$S$3:$AE$63,MATCH(BO$3,$S$3:$AE$3,0),FALSE)-VLOOKUP($BJ240&amp;"初始",$S$3:$AE$63,MATCH(BO$3,$S$3:$AE$3,0),FALSE))*$BL240/VLOOKUP(VLOOKUP($BJ240,坦克个性化设定!$B$18:$E$48,4,FALSE)&amp;$BK240,坦克属性分配比例,MATCH("升星次数",坦克属性分配比例标头,0),FALSE)*(VLOOKUP(VLOOKUP($BJ240,坦克个性化设定!$B$18:$E$48,4,FALSE)&amp;$BK240,坦克属性分配比例,MATCH("升星比例",坦克属性分配比例标头,0),FALSE)+VLOOKUP(VLOOKUP($BJ240,坦克个性化设定!$B$18:$E$48,4,FALSE)&amp;$BK240,坦克属性分配比例,MATCH("部件比例",坦克属性分配比例标头,0),FALSE)*$C$3),0)</f>
        <v>194</v>
      </c>
      <c r="BP240" s="103">
        <f ca="1">ROUND(VLOOKUP($BJ240&amp;"初始",$S$3:$AE$63,MATCH(BP$3,$S$3:$AE$3,0),FALSE)+(VLOOKUP($BJ240&amp;"最终",$S$3:$AE$63,MATCH(BP$3,$S$3:$AE$3,0),FALSE)-VLOOKUP($BJ240&amp;"初始",$S$3:$AE$63,MATCH(BP$3,$S$3:$AE$3,0),FALSE))*$BL240/VLOOKUP(VLOOKUP($BJ240,坦克个性化设定!$B$18:$E$48,4,FALSE)&amp;$BK240,坦克属性分配比例,MATCH("升星次数",坦克属性分配比例标头,0),FALSE)*(VLOOKUP(VLOOKUP($BJ240,坦克个性化设定!$B$18:$E$48,4,FALSE)&amp;$BK240,坦克属性分配比例,MATCH("升星比例",坦克属性分配比例标头,0),FALSE)+VLOOKUP(VLOOKUP($BJ240,坦克个性化设定!$B$18:$E$48,4,FALSE)&amp;$BK240,坦克属性分配比例,MATCH("部件比例",坦克属性分配比例标头,0),FALSE)*$C$3),0)</f>
        <v>484</v>
      </c>
      <c r="BQ240" s="103">
        <f ca="1">ROUND(VLOOKUP($BJ240&amp;"初始",$S$3:$AE$63,MATCH(BQ$3,$S$3:$AE$3,0),FALSE)+(VLOOKUP($BJ240&amp;"最终",$S$3:$AE$63,MATCH(BQ$3,$S$3:$AE$3,0),FALSE)-VLOOKUP($BJ240&amp;"初始",$S$3:$AE$63,MATCH(BQ$3,$S$3:$AE$3,0),FALSE))*$BL240/VLOOKUP(VLOOKUP($BJ240,坦克个性化设定!$B$18:$E$48,4,FALSE)&amp;$BK240,坦克属性分配比例,MATCH("升星次数",坦克属性分配比例标头,0),FALSE)*VLOOKUP(VLOOKUP($BJ240,坦克个性化设定!$B$18:$E$48,4,FALSE)&amp;$BK240,坦克属性分配比例,MATCH("升星比例",坦克属性分配比例标头,0),FALSE),0)</f>
        <v>647</v>
      </c>
      <c r="BR240" s="2">
        <f ca="1">ROUND(VLOOKUP($BJ240&amp;"初始",$S$3:$AE$63,MATCH(BR$3,$S$3:$AE$3,0),FALSE)+(VLOOKUP($BJ240&amp;"最终",$S$3:$AE$63,MATCH(BR$3,$S$3:$AE$3,0),FALSE)-VLOOKUP($BJ240&amp;"初始",$S$3:$AE$63,MATCH(BR$3,$S$3:$AE$3,0),FALSE))*$BL240/VLOOKUP(VLOOKUP($BJ240,坦克个性化设定!$B$18:$E$48,4,FALSE)&amp;$BK240,坦克属性分配比例,MATCH("升星次数",坦克属性分配比例标头,0),FALSE),0)</f>
        <v>140</v>
      </c>
      <c r="BS240" s="2">
        <f>ROUND(VLOOKUP($BJ240,$AI$3:$AO$33,MATCH(BS$3,$AI$3:$AO$3,0),FALSE)+$BL240/VLOOKUP(VLOOKUP($BJ240,坦克个性化设定!$B$18:$E$48,4,FALSE)&amp;$BK240,坦克属性分配比例,MATCH("升星次数",坦克属性分配比例标头,0),FALSE)*VLOOKUP($BJ240,$AR$3:$AY$33,MATCH(BS$3,$AR$3:$AY$3,0),FALSE),1)</f>
        <v>31.3</v>
      </c>
      <c r="BT240" s="2">
        <f>ROUND(VLOOKUP($BJ240,$AI$3:$AO$33,MATCH(BT$3,$AI$3:$AO$3,0),FALSE)+$BL240/VLOOKUP(VLOOKUP($BJ240,坦克个性化设定!$B$18:$E$48,4,FALSE)&amp;$BK240,坦克属性分配比例,MATCH("升星次数",坦克属性分配比例标头,0),FALSE)*VLOOKUP($BJ240,$AR$3:$AY$33,MATCH(BT$3,$AR$3:$AY$3,0),FALSE),1)</f>
        <v>35.700000000000003</v>
      </c>
      <c r="BU240" s="2">
        <f>ROUND(VLOOKUP($BJ240,$AI$3:$AO$33,MATCH(BU$3,$AI$3:$AO$3,0),FALSE)+$BL240/VLOOKUP(VLOOKUP($BJ240,坦克个性化设定!$B$18:$E$48,4,FALSE)&amp;$BK240,坦克属性分配比例,MATCH("升星次数",坦克属性分配比例标头,0),FALSE)*VLOOKUP($BJ240,$AR$3:$AY$33,MATCH(BU$3,$AR$3:$AY$3,0),FALSE),1)</f>
        <v>6.4</v>
      </c>
      <c r="BV240" s="2">
        <f>IF(VLOOKUP(BJ240,坦克个性化设定!$B$18:$BC$48,MATCH("装弹类型",坦克个性化设定!$B$18:$BC$18,0),FALSE)="弹夹换弹",0,ROUND(VLOOKUP($BJ240,$AI$3:$AO$33,MATCH("换弹时间",$AI$3:$AO$3,0),FALSE)-$BL240/VLOOKUP(VLOOKUP($BJ240,坦克个性化设定!$B$18:$E$48,4,FALSE)&amp;$BK240,坦克属性分配比例,MATCH("升星次数",坦克属性分配比例标头,0),FALSE)*VLOOKUP($BJ240,$AR$3:$AY$33,MATCH("换弹时间",$AR$3:$AY$3,0),FALSE),2))</f>
        <v>6</v>
      </c>
      <c r="BW240" s="2">
        <f>IF(VLOOKUP(BJ240,坦克个性化设定!$B$18:$BC$48,MATCH("装弹类型",坦克个性化设定!$B$18:$BC$18,0),FALSE)="弹夹换弹",ROUND(VLOOKUP($BJ240,$AI$3:$AO$33,MATCH("换弹时间",$AI$3:$AO$3,0),FALSE)-$BL240/VLOOKUP(VLOOKUP($BJ240,坦克个性化设定!$B$18:$E$48,4,FALSE)&amp;$BK240,坦克属性分配比例,MATCH("升星次数",坦克属性分配比例标头,0),FALSE)*VLOOKUP($BJ240,$AR$3:$AY$33,MATCH("换弹时间",$AR$3:$AY$3,0),FALSE),1),0)</f>
        <v>0</v>
      </c>
      <c r="BX240" s="2">
        <f>ROUND(VLOOKUP($BJ240,$AI$3:$AO$33,MATCH(BX$3,$AI$3:$AO$3,0),FALSE)+$BL240/VLOOKUP(VLOOKUP($BJ240,坦克个性化设定!$B$18:$E$48,4,FALSE)&amp;$BK240,坦克属性分配比例,MATCH("升星次数",坦克属性分配比例标头,0),FALSE)*VLOOKUP($BJ240,$AR$3:$AY$33,MATCH(BX$3,$AR$3:$AY$3,0),FALSE),2)</f>
        <v>0</v>
      </c>
      <c r="BY240" s="2">
        <f>ROUND(VLOOKUP($BJ240,$AI$3:$AO$33,MATCH(BY$3,$AI$3:$AO$3,0),FALSE)-$BL240/VLOOKUP(VLOOKUP($BJ240,坦克个性化设定!$B$18:$E$48,4,FALSE)&amp;$BK240,坦克属性分配比例,MATCH("升星次数",坦克属性分配比例标头,0),FALSE)*VLOOKUP($BJ240,$AR$3:$AY$33,MATCH(BY$3,$AR$3:$AY$3,0),FALSE),2)</f>
        <v>3</v>
      </c>
    </row>
    <row r="241" spans="60:77" x14ac:dyDescent="0.3">
      <c r="BH241" s="2" t="str">
        <f t="shared" si="32"/>
        <v>虎式1</v>
      </c>
      <c r="BI241" s="2">
        <f>IF(BL240&gt;=VLOOKUP(VLOOKUP(BJ240,坦克个性化设定!$B$18:$E$48,4,FALSE)&amp;BK240,坦克属性分配比例,MATCH("升星次数",坦克属性分配比例标头,0),FALSE),BI240+1,BI240)</f>
        <v>25</v>
      </c>
      <c r="BJ241" s="2" t="str">
        <f t="shared" si="33"/>
        <v>虎式</v>
      </c>
      <c r="BK241" s="29" t="str">
        <f>VLOOKUP(BJ241,坦克个性化细分!$I$3:$J$33,2,FALSE)</f>
        <v>中</v>
      </c>
      <c r="BL241" s="2">
        <f t="shared" si="34"/>
        <v>1</v>
      </c>
      <c r="BM241" s="103">
        <f ca="1">ROUND(VLOOKUP($BJ241&amp;"初始",$S$3:$AE$63,MATCH(BM$3,$S$3:$AE$3,0),FALSE)+((VLOOKUP($BJ241&amp;"最终",$S$3:$AE$63,MATCH(BM$3,$S$3:$AE$3,0),FALSE)*坦克个性化细分!$C$9-VLOOKUP($BJ241&amp;"初始",$S$3:$AE$63,MATCH(BM$3,$S$3:$AE$3,0),FALSE))-(VLOOKUP($BJ241&amp;"最终",$S$3:$AE$63,MATCH(BM$3,$S$3:$AE$3,0),FALSE)-VLOOKUP($BJ241&amp;"初始",$S$3:$AE$63,MATCH(BM$3,$S$3:$AE$3,0),FALSE))*VLOOKUP(VLOOKUP($BJ241,坦克个性化设定!$B$18:$E$48,4,FALSE)&amp;$BK241,坦克属性分配比例,MATCH("部件比例",坦克属性分配比例标头,0),FALSE))*$BL241/VLOOKUP(VLOOKUP($BJ241,坦克个性化设定!$B$18:$E$48,4,FALSE)&amp;$BK241,坦克属性分配比例,MATCH("升星次数",坦克属性分配比例标头,0),FALSE),0)</f>
        <v>1430</v>
      </c>
      <c r="BN241" s="103">
        <f ca="1">ROUND(VLOOKUP($BJ241&amp;"初始",$S$3:$AE$63,MATCH(BN$3,$S$3:$AE$3,0),FALSE)+(VLOOKUP($BJ241&amp;"最终",$S$3:$AE$63,MATCH(BN$3,$S$3:$AE$3,0),FALSE)-VLOOKUP($BJ241&amp;"初始",$S$3:$AE$63,MATCH(BN$3,$S$3:$AE$3,0),FALSE))*$BL241/VLOOKUP(VLOOKUP($BJ241,坦克个性化设定!$B$18:$E$48,4,FALSE)&amp;$BK241,坦克属性分配比例,MATCH("升星次数",坦克属性分配比例标头,0),FALSE)*VLOOKUP(VLOOKUP($BJ241,坦克个性化设定!$B$18:$E$48,4,FALSE)&amp;$BK241,坦克属性分配比例,MATCH("升星比例",坦克属性分配比例标头,0),FALSE),0)</f>
        <v>683</v>
      </c>
      <c r="BO241" s="103">
        <f ca="1">ROUND(VLOOKUP($BJ241&amp;"初始",$S$3:$AE$63,MATCH(BO$3,$S$3:$AE$3,0),FALSE)+(VLOOKUP($BJ241&amp;"最终",$S$3:$AE$63,MATCH(BO$3,$S$3:$AE$3,0),FALSE)-VLOOKUP($BJ241&amp;"初始",$S$3:$AE$63,MATCH(BO$3,$S$3:$AE$3,0),FALSE))*$BL241/VLOOKUP(VLOOKUP($BJ241,坦克个性化设定!$B$18:$E$48,4,FALSE)&amp;$BK241,坦克属性分配比例,MATCH("升星次数",坦克属性分配比例标头,0),FALSE)*(VLOOKUP(VLOOKUP($BJ241,坦克个性化设定!$B$18:$E$48,4,FALSE)&amp;$BK241,坦克属性分配比例,MATCH("升星比例",坦克属性分配比例标头,0),FALSE)+VLOOKUP(VLOOKUP($BJ241,坦克个性化设定!$B$18:$E$48,4,FALSE)&amp;$BK241,坦克属性分配比例,MATCH("部件比例",坦克属性分配比例标头,0),FALSE)*$C$3),0)</f>
        <v>203</v>
      </c>
      <c r="BP241" s="103">
        <f ca="1">ROUND(VLOOKUP($BJ241&amp;"初始",$S$3:$AE$63,MATCH(BP$3,$S$3:$AE$3,0),FALSE)+(VLOOKUP($BJ241&amp;"最终",$S$3:$AE$63,MATCH(BP$3,$S$3:$AE$3,0),FALSE)-VLOOKUP($BJ241&amp;"初始",$S$3:$AE$63,MATCH(BP$3,$S$3:$AE$3,0),FALSE))*$BL241/VLOOKUP(VLOOKUP($BJ241,坦克个性化设定!$B$18:$E$48,4,FALSE)&amp;$BK241,坦克属性分配比例,MATCH("升星次数",坦克属性分配比例标头,0),FALSE)*(VLOOKUP(VLOOKUP($BJ241,坦克个性化设定!$B$18:$E$48,4,FALSE)&amp;$BK241,坦克属性分配比例,MATCH("升星比例",坦克属性分配比例标头,0),FALSE)+VLOOKUP(VLOOKUP($BJ241,坦克个性化设定!$B$18:$E$48,4,FALSE)&amp;$BK241,坦克属性分配比例,MATCH("部件比例",坦克属性分配比例标头,0),FALSE)*$C$3),0)</f>
        <v>506</v>
      </c>
      <c r="BQ241" s="103">
        <f ca="1">ROUND(VLOOKUP($BJ241&amp;"初始",$S$3:$AE$63,MATCH(BQ$3,$S$3:$AE$3,0),FALSE)+(VLOOKUP($BJ241&amp;"最终",$S$3:$AE$63,MATCH(BQ$3,$S$3:$AE$3,0),FALSE)-VLOOKUP($BJ241&amp;"初始",$S$3:$AE$63,MATCH(BQ$3,$S$3:$AE$3,0),FALSE))*$BL241/VLOOKUP(VLOOKUP($BJ241,坦克个性化设定!$B$18:$E$48,4,FALSE)&amp;$BK241,坦克属性分配比例,MATCH("升星次数",坦克属性分配比例标头,0),FALSE)*VLOOKUP(VLOOKUP($BJ241,坦克个性化设定!$B$18:$E$48,4,FALSE)&amp;$BK241,坦克属性分配比例,MATCH("升星比例",坦克属性分配比例标头,0),FALSE),0)</f>
        <v>668</v>
      </c>
      <c r="BR241" s="2">
        <f ca="1">ROUND(VLOOKUP($BJ241&amp;"初始",$S$3:$AE$63,MATCH(BR$3,$S$3:$AE$3,0),FALSE)+(VLOOKUP($BJ241&amp;"最终",$S$3:$AE$63,MATCH(BR$3,$S$3:$AE$3,0),FALSE)-VLOOKUP($BJ241&amp;"初始",$S$3:$AE$63,MATCH(BR$3,$S$3:$AE$3,0),FALSE))*$BL241/VLOOKUP(VLOOKUP($BJ241,坦克个性化设定!$B$18:$E$48,4,FALSE)&amp;$BK241,坦克属性分配比例,MATCH("升星次数",坦克属性分配比例标头,0),FALSE),0)</f>
        <v>148</v>
      </c>
      <c r="BS241" s="2">
        <f>ROUND(VLOOKUP($BJ241,$AI$3:$AO$33,MATCH(BS$3,$AI$3:$AO$3,0),FALSE)+$BL241/VLOOKUP(VLOOKUP($BJ241,坦克个性化设定!$B$18:$E$48,4,FALSE)&amp;$BK241,坦克属性分配比例,MATCH("升星次数",坦克属性分配比例标头,0),FALSE)*VLOOKUP($BJ241,$AR$3:$AY$33,MATCH(BS$3,$AR$3:$AY$3,0),FALSE),1)</f>
        <v>32.200000000000003</v>
      </c>
      <c r="BT241" s="2">
        <f>ROUND(VLOOKUP($BJ241,$AI$3:$AO$33,MATCH(BT$3,$AI$3:$AO$3,0),FALSE)+$BL241/VLOOKUP(VLOOKUP($BJ241,坦克个性化设定!$B$18:$E$48,4,FALSE)&amp;$BK241,坦克属性分配比例,MATCH("升星次数",坦克属性分配比例标头,0),FALSE)*VLOOKUP($BJ241,$AR$3:$AY$33,MATCH(BT$3,$AR$3:$AY$3,0),FALSE),1)</f>
        <v>36.700000000000003</v>
      </c>
      <c r="BU241" s="2">
        <f>ROUND(VLOOKUP($BJ241,$AI$3:$AO$33,MATCH(BU$3,$AI$3:$AO$3,0),FALSE)+$BL241/VLOOKUP(VLOOKUP($BJ241,坦克个性化设定!$B$18:$E$48,4,FALSE)&amp;$BK241,坦克属性分配比例,MATCH("升星次数",坦克属性分配比例标头,0),FALSE)*VLOOKUP($BJ241,$AR$3:$AY$33,MATCH(BU$3,$AR$3:$AY$3,0),FALSE),1)</f>
        <v>6.4</v>
      </c>
      <c r="BV241" s="2">
        <f>IF(VLOOKUP(BJ241,坦克个性化设定!$B$18:$BC$48,MATCH("装弹类型",坦克个性化设定!$B$18:$BC$18,0),FALSE)="弹夹换弹",0,ROUND(VLOOKUP($BJ241,$AI$3:$AO$33,MATCH("换弹时间",$AI$3:$AO$3,0),FALSE)-$BL241/VLOOKUP(VLOOKUP($BJ241,坦克个性化设定!$B$18:$E$48,4,FALSE)&amp;$BK241,坦克属性分配比例,MATCH("升星次数",坦克属性分配比例标头,0),FALSE)*VLOOKUP($BJ241,$AR$3:$AY$33,MATCH("换弹时间",$AR$3:$AY$3,0),FALSE),2))</f>
        <v>5.91</v>
      </c>
      <c r="BW241" s="2">
        <f>IF(VLOOKUP(BJ241,坦克个性化设定!$B$18:$BC$48,MATCH("装弹类型",坦克个性化设定!$B$18:$BC$18,0),FALSE)="弹夹换弹",ROUND(VLOOKUP($BJ241,$AI$3:$AO$33,MATCH("换弹时间",$AI$3:$AO$3,0),FALSE)-$BL241/VLOOKUP(VLOOKUP($BJ241,坦克个性化设定!$B$18:$E$48,4,FALSE)&amp;$BK241,坦克属性分配比例,MATCH("升星次数",坦克属性分配比例标头,0),FALSE)*VLOOKUP($BJ241,$AR$3:$AY$33,MATCH("换弹时间",$AR$3:$AY$3,0),FALSE),1),0)</f>
        <v>0</v>
      </c>
      <c r="BX241" s="2">
        <f>ROUND(VLOOKUP($BJ241,$AI$3:$AO$33,MATCH(BX$3,$AI$3:$AO$3,0),FALSE)+$BL241/VLOOKUP(VLOOKUP($BJ241,坦克个性化设定!$B$18:$E$48,4,FALSE)&amp;$BK241,坦克属性分配比例,MATCH("升星次数",坦克属性分配比例标头,0),FALSE)*VLOOKUP($BJ241,$AR$3:$AY$33,MATCH(BX$3,$AR$3:$AY$3,0),FALSE),2)</f>
        <v>0</v>
      </c>
      <c r="BY241" s="2">
        <f>ROUND(VLOOKUP($BJ241,$AI$3:$AO$33,MATCH(BY$3,$AI$3:$AO$3,0),FALSE)-$BL241/VLOOKUP(VLOOKUP($BJ241,坦克个性化设定!$B$18:$E$48,4,FALSE)&amp;$BK241,坦克属性分配比例,MATCH("升星次数",坦克属性分配比例标头,0),FALSE)*VLOOKUP($BJ241,$AR$3:$AY$33,MATCH(BY$3,$AR$3:$AY$3,0),FALSE),2)</f>
        <v>2.94</v>
      </c>
    </row>
    <row r="242" spans="60:77" x14ac:dyDescent="0.3">
      <c r="BH242" s="2" t="str">
        <f t="shared" si="32"/>
        <v>虎式2</v>
      </c>
      <c r="BI242" s="2">
        <f>IF(BL241&gt;=VLOOKUP(VLOOKUP(BJ241,坦克个性化设定!$B$18:$E$48,4,FALSE)&amp;BK241,坦克属性分配比例,MATCH("升星次数",坦克属性分配比例标头,0),FALSE),BI241+1,BI241)</f>
        <v>25</v>
      </c>
      <c r="BJ242" s="2" t="str">
        <f t="shared" si="33"/>
        <v>虎式</v>
      </c>
      <c r="BK242" s="29" t="str">
        <f>VLOOKUP(BJ242,坦克个性化细分!$I$3:$J$33,2,FALSE)</f>
        <v>中</v>
      </c>
      <c r="BL242" s="2">
        <f t="shared" si="34"/>
        <v>2</v>
      </c>
      <c r="BM242" s="103">
        <f ca="1">ROUND(VLOOKUP($BJ242&amp;"初始",$S$3:$AE$63,MATCH(BM$3,$S$3:$AE$3,0),FALSE)+((VLOOKUP($BJ242&amp;"最终",$S$3:$AE$63,MATCH(BM$3,$S$3:$AE$3,0),FALSE)*坦克个性化细分!$C$9-VLOOKUP($BJ242&amp;"初始",$S$3:$AE$63,MATCH(BM$3,$S$3:$AE$3,0),FALSE))-(VLOOKUP($BJ242&amp;"最终",$S$3:$AE$63,MATCH(BM$3,$S$3:$AE$3,0),FALSE)-VLOOKUP($BJ242&amp;"初始",$S$3:$AE$63,MATCH(BM$3,$S$3:$AE$3,0),FALSE))*VLOOKUP(VLOOKUP($BJ242,坦克个性化设定!$B$18:$E$48,4,FALSE)&amp;$BK242,坦克属性分配比例,MATCH("部件比例",坦克属性分配比例标头,0),FALSE))*$BL242/VLOOKUP(VLOOKUP($BJ242,坦克个性化设定!$B$18:$E$48,4,FALSE)&amp;$BK242,坦克属性分配比例,MATCH("升星次数",坦克属性分配比例标头,0),FALSE),0)</f>
        <v>1507</v>
      </c>
      <c r="BN242" s="103">
        <f ca="1">ROUND(VLOOKUP($BJ242&amp;"初始",$S$3:$AE$63,MATCH(BN$3,$S$3:$AE$3,0),FALSE)+(VLOOKUP($BJ242&amp;"最终",$S$3:$AE$63,MATCH(BN$3,$S$3:$AE$3,0),FALSE)-VLOOKUP($BJ242&amp;"初始",$S$3:$AE$63,MATCH(BN$3,$S$3:$AE$3,0),FALSE))*$BL242/VLOOKUP(VLOOKUP($BJ242,坦克个性化设定!$B$18:$E$48,4,FALSE)&amp;$BK242,坦克属性分配比例,MATCH("升星次数",坦克属性分配比例标头,0),FALSE)*VLOOKUP(VLOOKUP($BJ242,坦克个性化设定!$B$18:$E$48,4,FALSE)&amp;$BK242,坦克属性分配比例,MATCH("升星比例",坦克属性分配比例标头,0),FALSE),0)</f>
        <v>704</v>
      </c>
      <c r="BO242" s="103">
        <f ca="1">ROUND(VLOOKUP($BJ242&amp;"初始",$S$3:$AE$63,MATCH(BO$3,$S$3:$AE$3,0),FALSE)+(VLOOKUP($BJ242&amp;"最终",$S$3:$AE$63,MATCH(BO$3,$S$3:$AE$3,0),FALSE)-VLOOKUP($BJ242&amp;"初始",$S$3:$AE$63,MATCH(BO$3,$S$3:$AE$3,0),FALSE))*$BL242/VLOOKUP(VLOOKUP($BJ242,坦克个性化设定!$B$18:$E$48,4,FALSE)&amp;$BK242,坦克属性分配比例,MATCH("升星次数",坦克属性分配比例标头,0),FALSE)*(VLOOKUP(VLOOKUP($BJ242,坦克个性化设定!$B$18:$E$48,4,FALSE)&amp;$BK242,坦克属性分配比例,MATCH("升星比例",坦克属性分配比例标头,0),FALSE)+VLOOKUP(VLOOKUP($BJ242,坦克个性化设定!$B$18:$E$48,4,FALSE)&amp;$BK242,坦克属性分配比例,MATCH("部件比例",坦克属性分配比例标头,0),FALSE)*$C$3),0)</f>
        <v>211</v>
      </c>
      <c r="BP242" s="103">
        <f ca="1">ROUND(VLOOKUP($BJ242&amp;"初始",$S$3:$AE$63,MATCH(BP$3,$S$3:$AE$3,0),FALSE)+(VLOOKUP($BJ242&amp;"最终",$S$3:$AE$63,MATCH(BP$3,$S$3:$AE$3,0),FALSE)-VLOOKUP($BJ242&amp;"初始",$S$3:$AE$63,MATCH(BP$3,$S$3:$AE$3,0),FALSE))*$BL242/VLOOKUP(VLOOKUP($BJ242,坦克个性化设定!$B$18:$E$48,4,FALSE)&amp;$BK242,坦克属性分配比例,MATCH("升星次数",坦克属性分配比例标头,0),FALSE)*(VLOOKUP(VLOOKUP($BJ242,坦克个性化设定!$B$18:$E$48,4,FALSE)&amp;$BK242,坦克属性分配比例,MATCH("升星比例",坦克属性分配比例标头,0),FALSE)+VLOOKUP(VLOOKUP($BJ242,坦克个性化设定!$B$18:$E$48,4,FALSE)&amp;$BK242,坦克属性分配比例,MATCH("部件比例",坦克属性分配比例标头,0),FALSE)*$C$3),0)</f>
        <v>527</v>
      </c>
      <c r="BQ242" s="103">
        <f ca="1">ROUND(VLOOKUP($BJ242&amp;"初始",$S$3:$AE$63,MATCH(BQ$3,$S$3:$AE$3,0),FALSE)+(VLOOKUP($BJ242&amp;"最终",$S$3:$AE$63,MATCH(BQ$3,$S$3:$AE$3,0),FALSE)-VLOOKUP($BJ242&amp;"初始",$S$3:$AE$63,MATCH(BQ$3,$S$3:$AE$3,0),FALSE))*$BL242/VLOOKUP(VLOOKUP($BJ242,坦克个性化设定!$B$18:$E$48,4,FALSE)&amp;$BK242,坦克属性分配比例,MATCH("升星次数",坦克属性分配比例标头,0),FALSE)*VLOOKUP(VLOOKUP($BJ242,坦克个性化设定!$B$18:$E$48,4,FALSE)&amp;$BK242,坦克属性分配比例,MATCH("升星比例",坦克属性分配比例标头,0),FALSE),0)</f>
        <v>688</v>
      </c>
      <c r="BR242" s="2">
        <f ca="1">ROUND(VLOOKUP($BJ242&amp;"初始",$S$3:$AE$63,MATCH(BR$3,$S$3:$AE$3,0),FALSE)+(VLOOKUP($BJ242&amp;"最终",$S$3:$AE$63,MATCH(BR$3,$S$3:$AE$3,0),FALSE)-VLOOKUP($BJ242&amp;"初始",$S$3:$AE$63,MATCH(BR$3,$S$3:$AE$3,0),FALSE))*$BL242/VLOOKUP(VLOOKUP($BJ242,坦克个性化设定!$B$18:$E$48,4,FALSE)&amp;$BK242,坦克属性分配比例,MATCH("升星次数",坦克属性分配比例标头,0),FALSE),0)</f>
        <v>155</v>
      </c>
      <c r="BS242" s="2">
        <f>ROUND(VLOOKUP($BJ242,$AI$3:$AO$33,MATCH(BS$3,$AI$3:$AO$3,0),FALSE)+$BL242/VLOOKUP(VLOOKUP($BJ242,坦克个性化设定!$B$18:$E$48,4,FALSE)&amp;$BK242,坦克属性分配比例,MATCH("升星次数",坦克属性分配比例标头,0),FALSE)*VLOOKUP($BJ242,$AR$3:$AY$33,MATCH(BS$3,$AR$3:$AY$3,0),FALSE),1)</f>
        <v>33</v>
      </c>
      <c r="BT242" s="2">
        <f>ROUND(VLOOKUP($BJ242,$AI$3:$AO$33,MATCH(BT$3,$AI$3:$AO$3,0),FALSE)+$BL242/VLOOKUP(VLOOKUP($BJ242,坦克个性化设定!$B$18:$E$48,4,FALSE)&amp;$BK242,坦克属性分配比例,MATCH("升星次数",坦克属性分配比例标头,0),FALSE)*VLOOKUP($BJ242,$AR$3:$AY$33,MATCH(BT$3,$AR$3:$AY$3,0),FALSE),1)</f>
        <v>37.700000000000003</v>
      </c>
      <c r="BU242" s="2">
        <f>ROUND(VLOOKUP($BJ242,$AI$3:$AO$33,MATCH(BU$3,$AI$3:$AO$3,0),FALSE)+$BL242/VLOOKUP(VLOOKUP($BJ242,坦克个性化设定!$B$18:$E$48,4,FALSE)&amp;$BK242,坦克属性分配比例,MATCH("升星次数",坦克属性分配比例标头,0),FALSE)*VLOOKUP($BJ242,$AR$3:$AY$33,MATCH(BU$3,$AR$3:$AY$3,0),FALSE),1)</f>
        <v>6.4</v>
      </c>
      <c r="BV242" s="2">
        <f>IF(VLOOKUP(BJ242,坦克个性化设定!$B$18:$BC$48,MATCH("装弹类型",坦克个性化设定!$B$18:$BC$18,0),FALSE)="弹夹换弹",0,ROUND(VLOOKUP($BJ242,$AI$3:$AO$33,MATCH("换弹时间",$AI$3:$AO$3,0),FALSE)-$BL242/VLOOKUP(VLOOKUP($BJ242,坦克个性化设定!$B$18:$E$48,4,FALSE)&amp;$BK242,坦克属性分配比例,MATCH("升星次数",坦克属性分配比例标头,0),FALSE)*VLOOKUP($BJ242,$AR$3:$AY$33,MATCH("换弹时间",$AR$3:$AY$3,0),FALSE),2))</f>
        <v>5.81</v>
      </c>
      <c r="BW242" s="2">
        <f>IF(VLOOKUP(BJ242,坦克个性化设定!$B$18:$BC$48,MATCH("装弹类型",坦克个性化设定!$B$18:$BC$18,0),FALSE)="弹夹换弹",ROUND(VLOOKUP($BJ242,$AI$3:$AO$33,MATCH("换弹时间",$AI$3:$AO$3,0),FALSE)-$BL242/VLOOKUP(VLOOKUP($BJ242,坦克个性化设定!$B$18:$E$48,4,FALSE)&amp;$BK242,坦克属性分配比例,MATCH("升星次数",坦克属性分配比例标头,0),FALSE)*VLOOKUP($BJ242,$AR$3:$AY$33,MATCH("换弹时间",$AR$3:$AY$3,0),FALSE),1),0)</f>
        <v>0</v>
      </c>
      <c r="BX242" s="2">
        <f>ROUND(VLOOKUP($BJ242,$AI$3:$AO$33,MATCH(BX$3,$AI$3:$AO$3,0),FALSE)+$BL242/VLOOKUP(VLOOKUP($BJ242,坦克个性化设定!$B$18:$E$48,4,FALSE)&amp;$BK242,坦克属性分配比例,MATCH("升星次数",坦克属性分配比例标头,0),FALSE)*VLOOKUP($BJ242,$AR$3:$AY$33,MATCH(BX$3,$AR$3:$AY$3,0),FALSE),2)</f>
        <v>0</v>
      </c>
      <c r="BY242" s="2">
        <f>ROUND(VLOOKUP($BJ242,$AI$3:$AO$33,MATCH(BY$3,$AI$3:$AO$3,0),FALSE)-$BL242/VLOOKUP(VLOOKUP($BJ242,坦克个性化设定!$B$18:$E$48,4,FALSE)&amp;$BK242,坦克属性分配比例,MATCH("升星次数",坦克属性分配比例标头,0),FALSE)*VLOOKUP($BJ242,$AR$3:$AY$33,MATCH(BY$3,$AR$3:$AY$3,0),FALSE),2)</f>
        <v>2.89</v>
      </c>
    </row>
    <row r="243" spans="60:77" x14ac:dyDescent="0.3">
      <c r="BH243" s="2" t="str">
        <f t="shared" si="32"/>
        <v>虎式3</v>
      </c>
      <c r="BI243" s="2">
        <f>IF(BL242&gt;=VLOOKUP(VLOOKUP(BJ242,坦克个性化设定!$B$18:$E$48,4,FALSE)&amp;BK242,坦克属性分配比例,MATCH("升星次数",坦克属性分配比例标头,0),FALSE),BI242+1,BI242)</f>
        <v>25</v>
      </c>
      <c r="BJ243" s="2" t="str">
        <f t="shared" si="33"/>
        <v>虎式</v>
      </c>
      <c r="BK243" s="29" t="str">
        <f>VLOOKUP(BJ243,坦克个性化细分!$I$3:$J$33,2,FALSE)</f>
        <v>中</v>
      </c>
      <c r="BL243" s="2">
        <f t="shared" si="34"/>
        <v>3</v>
      </c>
      <c r="BM243" s="103">
        <f ca="1">ROUND(VLOOKUP($BJ243&amp;"初始",$S$3:$AE$63,MATCH(BM$3,$S$3:$AE$3,0),FALSE)+((VLOOKUP($BJ243&amp;"最终",$S$3:$AE$63,MATCH(BM$3,$S$3:$AE$3,0),FALSE)*坦克个性化细分!$C$9-VLOOKUP($BJ243&amp;"初始",$S$3:$AE$63,MATCH(BM$3,$S$3:$AE$3,0),FALSE))-(VLOOKUP($BJ243&amp;"最终",$S$3:$AE$63,MATCH(BM$3,$S$3:$AE$3,0),FALSE)-VLOOKUP($BJ243&amp;"初始",$S$3:$AE$63,MATCH(BM$3,$S$3:$AE$3,0),FALSE))*VLOOKUP(VLOOKUP($BJ243,坦克个性化设定!$B$18:$E$48,4,FALSE)&amp;$BK243,坦克属性分配比例,MATCH("部件比例",坦克属性分配比例标头,0),FALSE))*$BL243/VLOOKUP(VLOOKUP($BJ243,坦克个性化设定!$B$18:$E$48,4,FALSE)&amp;$BK243,坦克属性分配比例,MATCH("升星次数",坦克属性分配比例标头,0),FALSE),0)</f>
        <v>1584</v>
      </c>
      <c r="BN243" s="103">
        <f ca="1">ROUND(VLOOKUP($BJ243&amp;"初始",$S$3:$AE$63,MATCH(BN$3,$S$3:$AE$3,0),FALSE)+(VLOOKUP($BJ243&amp;"最终",$S$3:$AE$63,MATCH(BN$3,$S$3:$AE$3,0),FALSE)-VLOOKUP($BJ243&amp;"初始",$S$3:$AE$63,MATCH(BN$3,$S$3:$AE$3,0),FALSE))*$BL243/VLOOKUP(VLOOKUP($BJ243,坦克个性化设定!$B$18:$E$48,4,FALSE)&amp;$BK243,坦克属性分配比例,MATCH("升星次数",坦克属性分配比例标头,0),FALSE)*VLOOKUP(VLOOKUP($BJ243,坦克个性化设定!$B$18:$E$48,4,FALSE)&amp;$BK243,坦克属性分配比例,MATCH("升星比例",坦克属性分配比例标头,0),FALSE),0)</f>
        <v>725</v>
      </c>
      <c r="BO243" s="103">
        <f ca="1">ROUND(VLOOKUP($BJ243&amp;"初始",$S$3:$AE$63,MATCH(BO$3,$S$3:$AE$3,0),FALSE)+(VLOOKUP($BJ243&amp;"最终",$S$3:$AE$63,MATCH(BO$3,$S$3:$AE$3,0),FALSE)-VLOOKUP($BJ243&amp;"初始",$S$3:$AE$63,MATCH(BO$3,$S$3:$AE$3,0),FALSE))*$BL243/VLOOKUP(VLOOKUP($BJ243,坦克个性化设定!$B$18:$E$48,4,FALSE)&amp;$BK243,坦克属性分配比例,MATCH("升星次数",坦克属性分配比例标头,0),FALSE)*(VLOOKUP(VLOOKUP($BJ243,坦克个性化设定!$B$18:$E$48,4,FALSE)&amp;$BK243,坦克属性分配比例,MATCH("升星比例",坦克属性分配比例标头,0),FALSE)+VLOOKUP(VLOOKUP($BJ243,坦克个性化设定!$B$18:$E$48,4,FALSE)&amp;$BK243,坦克属性分配比例,MATCH("部件比例",坦克属性分配比例标头,0),FALSE)*$C$3),0)</f>
        <v>220</v>
      </c>
      <c r="BP243" s="103">
        <f ca="1">ROUND(VLOOKUP($BJ243&amp;"初始",$S$3:$AE$63,MATCH(BP$3,$S$3:$AE$3,0),FALSE)+(VLOOKUP($BJ243&amp;"最终",$S$3:$AE$63,MATCH(BP$3,$S$3:$AE$3,0),FALSE)-VLOOKUP($BJ243&amp;"初始",$S$3:$AE$63,MATCH(BP$3,$S$3:$AE$3,0),FALSE))*$BL243/VLOOKUP(VLOOKUP($BJ243,坦克个性化设定!$B$18:$E$48,4,FALSE)&amp;$BK243,坦克属性分配比例,MATCH("升星次数",坦克属性分配比例标头,0),FALSE)*(VLOOKUP(VLOOKUP($BJ243,坦克个性化设定!$B$18:$E$48,4,FALSE)&amp;$BK243,坦克属性分配比例,MATCH("升星比例",坦克属性分配比例标头,0),FALSE)+VLOOKUP(VLOOKUP($BJ243,坦克个性化设定!$B$18:$E$48,4,FALSE)&amp;$BK243,坦克属性分配比例,MATCH("部件比例",坦克属性分配比例标头,0),FALSE)*$C$3),0)</f>
        <v>549</v>
      </c>
      <c r="BQ243" s="103">
        <f ca="1">ROUND(VLOOKUP($BJ243&amp;"初始",$S$3:$AE$63,MATCH(BQ$3,$S$3:$AE$3,0),FALSE)+(VLOOKUP($BJ243&amp;"最终",$S$3:$AE$63,MATCH(BQ$3,$S$3:$AE$3,0),FALSE)-VLOOKUP($BJ243&amp;"初始",$S$3:$AE$63,MATCH(BQ$3,$S$3:$AE$3,0),FALSE))*$BL243/VLOOKUP(VLOOKUP($BJ243,坦克个性化设定!$B$18:$E$48,4,FALSE)&amp;$BK243,坦克属性分配比例,MATCH("升星次数",坦克属性分配比例标头,0),FALSE)*VLOOKUP(VLOOKUP($BJ243,坦克个性化设定!$B$18:$E$48,4,FALSE)&amp;$BK243,坦克属性分配比例,MATCH("升星比例",坦克属性分配比例标头,0),FALSE),0)</f>
        <v>709</v>
      </c>
      <c r="BR243" s="2">
        <f ca="1">ROUND(VLOOKUP($BJ243&amp;"初始",$S$3:$AE$63,MATCH(BR$3,$S$3:$AE$3,0),FALSE)+(VLOOKUP($BJ243&amp;"最终",$S$3:$AE$63,MATCH(BR$3,$S$3:$AE$3,0),FALSE)-VLOOKUP($BJ243&amp;"初始",$S$3:$AE$63,MATCH(BR$3,$S$3:$AE$3,0),FALSE))*$BL243/VLOOKUP(VLOOKUP($BJ243,坦克个性化设定!$B$18:$E$48,4,FALSE)&amp;$BK243,坦克属性分配比例,MATCH("升星次数",坦克属性分配比例标头,0),FALSE),0)</f>
        <v>163</v>
      </c>
      <c r="BS243" s="2">
        <f>ROUND(VLOOKUP($BJ243,$AI$3:$AO$33,MATCH(BS$3,$AI$3:$AO$3,0),FALSE)+$BL243/VLOOKUP(VLOOKUP($BJ243,坦克个性化设定!$B$18:$E$48,4,FALSE)&amp;$BK243,坦克属性分配比例,MATCH("升星次数",坦克属性分配比例标头,0),FALSE)*VLOOKUP($BJ243,$AR$3:$AY$33,MATCH(BS$3,$AR$3:$AY$3,0),FALSE),1)</f>
        <v>33.9</v>
      </c>
      <c r="BT243" s="2">
        <f>ROUND(VLOOKUP($BJ243,$AI$3:$AO$33,MATCH(BT$3,$AI$3:$AO$3,0),FALSE)+$BL243/VLOOKUP(VLOOKUP($BJ243,坦克个性化设定!$B$18:$E$48,4,FALSE)&amp;$BK243,坦克属性分配比例,MATCH("升星次数",坦克属性分配比例标头,0),FALSE)*VLOOKUP($BJ243,$AR$3:$AY$33,MATCH(BT$3,$AR$3:$AY$3,0),FALSE),1)</f>
        <v>38.700000000000003</v>
      </c>
      <c r="BU243" s="2">
        <f>ROUND(VLOOKUP($BJ243,$AI$3:$AO$33,MATCH(BU$3,$AI$3:$AO$3,0),FALSE)+$BL243/VLOOKUP(VLOOKUP($BJ243,坦克个性化设定!$B$18:$E$48,4,FALSE)&amp;$BK243,坦克属性分配比例,MATCH("升星次数",坦克属性分配比例标头,0),FALSE)*VLOOKUP($BJ243,$AR$3:$AY$33,MATCH(BU$3,$AR$3:$AY$3,0),FALSE),1)</f>
        <v>6.4</v>
      </c>
      <c r="BV243" s="2">
        <f>IF(VLOOKUP(BJ243,坦克个性化设定!$B$18:$BC$48,MATCH("装弹类型",坦克个性化设定!$B$18:$BC$18,0),FALSE)="弹夹换弹",0,ROUND(VLOOKUP($BJ243,$AI$3:$AO$33,MATCH("换弹时间",$AI$3:$AO$3,0),FALSE)-$BL243/VLOOKUP(VLOOKUP($BJ243,坦克个性化设定!$B$18:$E$48,4,FALSE)&amp;$BK243,坦克属性分配比例,MATCH("升星次数",坦克属性分配比例标头,0),FALSE)*VLOOKUP($BJ243,$AR$3:$AY$33,MATCH("换弹时间",$AR$3:$AY$3,0),FALSE),2))</f>
        <v>5.72</v>
      </c>
      <c r="BW243" s="2">
        <f>IF(VLOOKUP(BJ243,坦克个性化设定!$B$18:$BC$48,MATCH("装弹类型",坦克个性化设定!$B$18:$BC$18,0),FALSE)="弹夹换弹",ROUND(VLOOKUP($BJ243,$AI$3:$AO$33,MATCH("换弹时间",$AI$3:$AO$3,0),FALSE)-$BL243/VLOOKUP(VLOOKUP($BJ243,坦克个性化设定!$B$18:$E$48,4,FALSE)&amp;$BK243,坦克属性分配比例,MATCH("升星次数",坦克属性分配比例标头,0),FALSE)*VLOOKUP($BJ243,$AR$3:$AY$33,MATCH("换弹时间",$AR$3:$AY$3,0),FALSE),1),0)</f>
        <v>0</v>
      </c>
      <c r="BX243" s="2">
        <f>ROUND(VLOOKUP($BJ243,$AI$3:$AO$33,MATCH(BX$3,$AI$3:$AO$3,0),FALSE)+$BL243/VLOOKUP(VLOOKUP($BJ243,坦克个性化设定!$B$18:$E$48,4,FALSE)&amp;$BK243,坦克属性分配比例,MATCH("升星次数",坦克属性分配比例标头,0),FALSE)*VLOOKUP($BJ243,$AR$3:$AY$33,MATCH(BX$3,$AR$3:$AY$3,0),FALSE),2)</f>
        <v>0</v>
      </c>
      <c r="BY243" s="2">
        <f>ROUND(VLOOKUP($BJ243,$AI$3:$AO$33,MATCH(BY$3,$AI$3:$AO$3,0),FALSE)-$BL243/VLOOKUP(VLOOKUP($BJ243,坦克个性化设定!$B$18:$E$48,4,FALSE)&amp;$BK243,坦克属性分配比例,MATCH("升星次数",坦克属性分配比例标头,0),FALSE)*VLOOKUP($BJ243,$AR$3:$AY$33,MATCH(BY$3,$AR$3:$AY$3,0),FALSE),2)</f>
        <v>2.83</v>
      </c>
    </row>
    <row r="244" spans="60:77" x14ac:dyDescent="0.3">
      <c r="BH244" s="2" t="str">
        <f t="shared" si="32"/>
        <v>虎式4</v>
      </c>
      <c r="BI244" s="2">
        <f>IF(BL243&gt;=VLOOKUP(VLOOKUP(BJ243,坦克个性化设定!$B$18:$E$48,4,FALSE)&amp;BK243,坦克属性分配比例,MATCH("升星次数",坦克属性分配比例标头,0),FALSE),BI243+1,BI243)</f>
        <v>25</v>
      </c>
      <c r="BJ244" s="2" t="str">
        <f t="shared" si="33"/>
        <v>虎式</v>
      </c>
      <c r="BK244" s="29" t="str">
        <f>VLOOKUP(BJ244,坦克个性化细分!$I$3:$J$33,2,FALSE)</f>
        <v>中</v>
      </c>
      <c r="BL244" s="2">
        <f t="shared" si="34"/>
        <v>4</v>
      </c>
      <c r="BM244" s="103">
        <f ca="1">ROUND(VLOOKUP($BJ244&amp;"初始",$S$3:$AE$63,MATCH(BM$3,$S$3:$AE$3,0),FALSE)+((VLOOKUP($BJ244&amp;"最终",$S$3:$AE$63,MATCH(BM$3,$S$3:$AE$3,0),FALSE)*坦克个性化细分!$C$9-VLOOKUP($BJ244&amp;"初始",$S$3:$AE$63,MATCH(BM$3,$S$3:$AE$3,0),FALSE))-(VLOOKUP($BJ244&amp;"最终",$S$3:$AE$63,MATCH(BM$3,$S$3:$AE$3,0),FALSE)-VLOOKUP($BJ244&amp;"初始",$S$3:$AE$63,MATCH(BM$3,$S$3:$AE$3,0),FALSE))*VLOOKUP(VLOOKUP($BJ244,坦克个性化设定!$B$18:$E$48,4,FALSE)&amp;$BK244,坦克属性分配比例,MATCH("部件比例",坦克属性分配比例标头,0),FALSE))*$BL244/VLOOKUP(VLOOKUP($BJ244,坦克个性化设定!$B$18:$E$48,4,FALSE)&amp;$BK244,坦克属性分配比例,MATCH("升星次数",坦克属性分配比例标头,0),FALSE),0)</f>
        <v>1661</v>
      </c>
      <c r="BN244" s="103">
        <f ca="1">ROUND(VLOOKUP($BJ244&amp;"初始",$S$3:$AE$63,MATCH(BN$3,$S$3:$AE$3,0),FALSE)+(VLOOKUP($BJ244&amp;"最终",$S$3:$AE$63,MATCH(BN$3,$S$3:$AE$3,0),FALSE)-VLOOKUP($BJ244&amp;"初始",$S$3:$AE$63,MATCH(BN$3,$S$3:$AE$3,0),FALSE))*$BL244/VLOOKUP(VLOOKUP($BJ244,坦克个性化设定!$B$18:$E$48,4,FALSE)&amp;$BK244,坦克属性分配比例,MATCH("升星次数",坦克属性分配比例标头,0),FALSE)*VLOOKUP(VLOOKUP($BJ244,坦克个性化设定!$B$18:$E$48,4,FALSE)&amp;$BK244,坦克属性分配比例,MATCH("升星比例",坦克属性分配比例标头,0),FALSE),0)</f>
        <v>746</v>
      </c>
      <c r="BO244" s="103">
        <f ca="1">ROUND(VLOOKUP($BJ244&amp;"初始",$S$3:$AE$63,MATCH(BO$3,$S$3:$AE$3,0),FALSE)+(VLOOKUP($BJ244&amp;"最终",$S$3:$AE$63,MATCH(BO$3,$S$3:$AE$3,0),FALSE)-VLOOKUP($BJ244&amp;"初始",$S$3:$AE$63,MATCH(BO$3,$S$3:$AE$3,0),FALSE))*$BL244/VLOOKUP(VLOOKUP($BJ244,坦克个性化设定!$B$18:$E$48,4,FALSE)&amp;$BK244,坦克属性分配比例,MATCH("升星次数",坦克属性分配比例标头,0),FALSE)*(VLOOKUP(VLOOKUP($BJ244,坦克个性化设定!$B$18:$E$48,4,FALSE)&amp;$BK244,坦克属性分配比例,MATCH("升星比例",坦克属性分配比例标头,0),FALSE)+VLOOKUP(VLOOKUP($BJ244,坦克个性化设定!$B$18:$E$48,4,FALSE)&amp;$BK244,坦克属性分配比例,MATCH("部件比例",坦克属性分配比例标头,0),FALSE)*$C$3),0)</f>
        <v>229</v>
      </c>
      <c r="BP244" s="103">
        <f ca="1">ROUND(VLOOKUP($BJ244&amp;"初始",$S$3:$AE$63,MATCH(BP$3,$S$3:$AE$3,0),FALSE)+(VLOOKUP($BJ244&amp;"最终",$S$3:$AE$63,MATCH(BP$3,$S$3:$AE$3,0),FALSE)-VLOOKUP($BJ244&amp;"初始",$S$3:$AE$63,MATCH(BP$3,$S$3:$AE$3,0),FALSE))*$BL244/VLOOKUP(VLOOKUP($BJ244,坦克个性化设定!$B$18:$E$48,4,FALSE)&amp;$BK244,坦克属性分配比例,MATCH("升星次数",坦克属性分配比例标头,0),FALSE)*(VLOOKUP(VLOOKUP($BJ244,坦克个性化设定!$B$18:$E$48,4,FALSE)&amp;$BK244,坦克属性分配比例,MATCH("升星比例",坦克属性分配比例标头,0),FALSE)+VLOOKUP(VLOOKUP($BJ244,坦克个性化设定!$B$18:$E$48,4,FALSE)&amp;$BK244,坦克属性分配比例,MATCH("部件比例",坦克属性分配比例标头,0),FALSE)*$C$3),0)</f>
        <v>571</v>
      </c>
      <c r="BQ244" s="103">
        <f ca="1">ROUND(VLOOKUP($BJ244&amp;"初始",$S$3:$AE$63,MATCH(BQ$3,$S$3:$AE$3,0),FALSE)+(VLOOKUP($BJ244&amp;"最终",$S$3:$AE$63,MATCH(BQ$3,$S$3:$AE$3,0),FALSE)-VLOOKUP($BJ244&amp;"初始",$S$3:$AE$63,MATCH(BQ$3,$S$3:$AE$3,0),FALSE))*$BL244/VLOOKUP(VLOOKUP($BJ244,坦克个性化设定!$B$18:$E$48,4,FALSE)&amp;$BK244,坦克属性分配比例,MATCH("升星次数",坦克属性分配比例标头,0),FALSE)*VLOOKUP(VLOOKUP($BJ244,坦克个性化设定!$B$18:$E$48,4,FALSE)&amp;$BK244,坦克属性分配比例,MATCH("升星比例",坦克属性分配比例标头,0),FALSE),0)</f>
        <v>730</v>
      </c>
      <c r="BR244" s="2">
        <f ca="1">ROUND(VLOOKUP($BJ244&amp;"初始",$S$3:$AE$63,MATCH(BR$3,$S$3:$AE$3,0),FALSE)+(VLOOKUP($BJ244&amp;"最终",$S$3:$AE$63,MATCH(BR$3,$S$3:$AE$3,0),FALSE)-VLOOKUP($BJ244&amp;"初始",$S$3:$AE$63,MATCH(BR$3,$S$3:$AE$3,0),FALSE))*$BL244/VLOOKUP(VLOOKUP($BJ244,坦克个性化设定!$B$18:$E$48,4,FALSE)&amp;$BK244,坦克属性分配比例,MATCH("升星次数",坦克属性分配比例标头,0),FALSE),0)</f>
        <v>170</v>
      </c>
      <c r="BS244" s="2">
        <f>ROUND(VLOOKUP($BJ244,$AI$3:$AO$33,MATCH(BS$3,$AI$3:$AO$3,0),FALSE)+$BL244/VLOOKUP(VLOOKUP($BJ244,坦克个性化设定!$B$18:$E$48,4,FALSE)&amp;$BK244,坦克属性分配比例,MATCH("升星次数",坦克属性分配比例标头,0),FALSE)*VLOOKUP($BJ244,$AR$3:$AY$33,MATCH(BS$3,$AR$3:$AY$3,0),FALSE),1)</f>
        <v>34.799999999999997</v>
      </c>
      <c r="BT244" s="2">
        <f>ROUND(VLOOKUP($BJ244,$AI$3:$AO$33,MATCH(BT$3,$AI$3:$AO$3,0),FALSE)+$BL244/VLOOKUP(VLOOKUP($BJ244,坦克个性化设定!$B$18:$E$48,4,FALSE)&amp;$BK244,坦克属性分配比例,MATCH("升星次数",坦克属性分配比例标头,0),FALSE)*VLOOKUP($BJ244,$AR$3:$AY$33,MATCH(BT$3,$AR$3:$AY$3,0),FALSE),1)</f>
        <v>39.700000000000003</v>
      </c>
      <c r="BU244" s="2">
        <f>ROUND(VLOOKUP($BJ244,$AI$3:$AO$33,MATCH(BU$3,$AI$3:$AO$3,0),FALSE)+$BL244/VLOOKUP(VLOOKUP($BJ244,坦克个性化设定!$B$18:$E$48,4,FALSE)&amp;$BK244,坦克属性分配比例,MATCH("升星次数",坦克属性分配比例标头,0),FALSE)*VLOOKUP($BJ244,$AR$3:$AY$33,MATCH(BU$3,$AR$3:$AY$3,0),FALSE),1)</f>
        <v>6.4</v>
      </c>
      <c r="BV244" s="2">
        <f>IF(VLOOKUP(BJ244,坦克个性化设定!$B$18:$BC$48,MATCH("装弹类型",坦克个性化设定!$B$18:$BC$18,0),FALSE)="弹夹换弹",0,ROUND(VLOOKUP($BJ244,$AI$3:$AO$33,MATCH("换弹时间",$AI$3:$AO$3,0),FALSE)-$BL244/VLOOKUP(VLOOKUP($BJ244,坦克个性化设定!$B$18:$E$48,4,FALSE)&amp;$BK244,坦克属性分配比例,MATCH("升星次数",坦克属性分配比例标头,0),FALSE)*VLOOKUP($BJ244,$AR$3:$AY$33,MATCH("换弹时间",$AR$3:$AY$3,0),FALSE),2))</f>
        <v>5.62</v>
      </c>
      <c r="BW244" s="2">
        <f>IF(VLOOKUP(BJ244,坦克个性化设定!$B$18:$BC$48,MATCH("装弹类型",坦克个性化设定!$B$18:$BC$18,0),FALSE)="弹夹换弹",ROUND(VLOOKUP($BJ244,$AI$3:$AO$33,MATCH("换弹时间",$AI$3:$AO$3,0),FALSE)-$BL244/VLOOKUP(VLOOKUP($BJ244,坦克个性化设定!$B$18:$E$48,4,FALSE)&amp;$BK244,坦克属性分配比例,MATCH("升星次数",坦克属性分配比例标头,0),FALSE)*VLOOKUP($BJ244,$AR$3:$AY$33,MATCH("换弹时间",$AR$3:$AY$3,0),FALSE),1),0)</f>
        <v>0</v>
      </c>
      <c r="BX244" s="2">
        <f>ROUND(VLOOKUP($BJ244,$AI$3:$AO$33,MATCH(BX$3,$AI$3:$AO$3,0),FALSE)+$BL244/VLOOKUP(VLOOKUP($BJ244,坦克个性化设定!$B$18:$E$48,4,FALSE)&amp;$BK244,坦克属性分配比例,MATCH("升星次数",坦克属性分配比例标头,0),FALSE)*VLOOKUP($BJ244,$AR$3:$AY$33,MATCH(BX$3,$AR$3:$AY$3,0),FALSE),2)</f>
        <v>0</v>
      </c>
      <c r="BY244" s="2">
        <f>ROUND(VLOOKUP($BJ244,$AI$3:$AO$33,MATCH(BY$3,$AI$3:$AO$3,0),FALSE)-$BL244/VLOOKUP(VLOOKUP($BJ244,坦克个性化设定!$B$18:$E$48,4,FALSE)&amp;$BK244,坦克属性分配比例,MATCH("升星次数",坦克属性分配比例标头,0),FALSE)*VLOOKUP($BJ244,$AR$3:$AY$33,MATCH(BY$3,$AR$3:$AY$3,0),FALSE),2)</f>
        <v>2.78</v>
      </c>
    </row>
    <row r="245" spans="60:77" x14ac:dyDescent="0.3">
      <c r="BH245" s="2" t="str">
        <f t="shared" si="32"/>
        <v>虎式5</v>
      </c>
      <c r="BI245" s="2">
        <f>IF(BL244&gt;=VLOOKUP(VLOOKUP(BJ244,坦克个性化设定!$B$18:$E$48,4,FALSE)&amp;BK244,坦克属性分配比例,MATCH("升星次数",坦克属性分配比例标头,0),FALSE),BI244+1,BI244)</f>
        <v>25</v>
      </c>
      <c r="BJ245" s="2" t="str">
        <f t="shared" si="33"/>
        <v>虎式</v>
      </c>
      <c r="BK245" s="29" t="str">
        <f>VLOOKUP(BJ245,坦克个性化细分!$I$3:$J$33,2,FALSE)</f>
        <v>中</v>
      </c>
      <c r="BL245" s="2">
        <f t="shared" si="34"/>
        <v>5</v>
      </c>
      <c r="BM245" s="103">
        <f ca="1">ROUND(VLOOKUP($BJ245&amp;"初始",$S$3:$AE$63,MATCH(BM$3,$S$3:$AE$3,0),FALSE)+((VLOOKUP($BJ245&amp;"最终",$S$3:$AE$63,MATCH(BM$3,$S$3:$AE$3,0),FALSE)*坦克个性化细分!$C$9-VLOOKUP($BJ245&amp;"初始",$S$3:$AE$63,MATCH(BM$3,$S$3:$AE$3,0),FALSE))-(VLOOKUP($BJ245&amp;"最终",$S$3:$AE$63,MATCH(BM$3,$S$3:$AE$3,0),FALSE)-VLOOKUP($BJ245&amp;"初始",$S$3:$AE$63,MATCH(BM$3,$S$3:$AE$3,0),FALSE))*VLOOKUP(VLOOKUP($BJ245,坦克个性化设定!$B$18:$E$48,4,FALSE)&amp;$BK245,坦克属性分配比例,MATCH("部件比例",坦克属性分配比例标头,0),FALSE))*$BL245/VLOOKUP(VLOOKUP($BJ245,坦克个性化设定!$B$18:$E$48,4,FALSE)&amp;$BK245,坦克属性分配比例,MATCH("升星次数",坦克属性分配比例标头,0),FALSE),0)</f>
        <v>1737</v>
      </c>
      <c r="BN245" s="103">
        <f ca="1">ROUND(VLOOKUP($BJ245&amp;"初始",$S$3:$AE$63,MATCH(BN$3,$S$3:$AE$3,0),FALSE)+(VLOOKUP($BJ245&amp;"最终",$S$3:$AE$63,MATCH(BN$3,$S$3:$AE$3,0),FALSE)-VLOOKUP($BJ245&amp;"初始",$S$3:$AE$63,MATCH(BN$3,$S$3:$AE$3,0),FALSE))*$BL245/VLOOKUP(VLOOKUP($BJ245,坦克个性化设定!$B$18:$E$48,4,FALSE)&amp;$BK245,坦克属性分配比例,MATCH("升星次数",坦克属性分配比例标头,0),FALSE)*VLOOKUP(VLOOKUP($BJ245,坦克个性化设定!$B$18:$E$48,4,FALSE)&amp;$BK245,坦克属性分配比例,MATCH("升星比例",坦克属性分配比例标头,0),FALSE),0)</f>
        <v>767</v>
      </c>
      <c r="BO245" s="103">
        <f ca="1">ROUND(VLOOKUP($BJ245&amp;"初始",$S$3:$AE$63,MATCH(BO$3,$S$3:$AE$3,0),FALSE)+(VLOOKUP($BJ245&amp;"最终",$S$3:$AE$63,MATCH(BO$3,$S$3:$AE$3,0),FALSE)-VLOOKUP($BJ245&amp;"初始",$S$3:$AE$63,MATCH(BO$3,$S$3:$AE$3,0),FALSE))*$BL245/VLOOKUP(VLOOKUP($BJ245,坦克个性化设定!$B$18:$E$48,4,FALSE)&amp;$BK245,坦克属性分配比例,MATCH("升星次数",坦克属性分配比例标头,0),FALSE)*(VLOOKUP(VLOOKUP($BJ245,坦克个性化设定!$B$18:$E$48,4,FALSE)&amp;$BK245,坦克属性分配比例,MATCH("升星比例",坦克属性分配比例标头,0),FALSE)+VLOOKUP(VLOOKUP($BJ245,坦克个性化设定!$B$18:$E$48,4,FALSE)&amp;$BK245,坦克属性分配比例,MATCH("部件比例",坦克属性分配比例标头,0),FALSE)*$C$3),0)</f>
        <v>237</v>
      </c>
      <c r="BP245" s="103">
        <f ca="1">ROUND(VLOOKUP($BJ245&amp;"初始",$S$3:$AE$63,MATCH(BP$3,$S$3:$AE$3,0),FALSE)+(VLOOKUP($BJ245&amp;"最终",$S$3:$AE$63,MATCH(BP$3,$S$3:$AE$3,0),FALSE)-VLOOKUP($BJ245&amp;"初始",$S$3:$AE$63,MATCH(BP$3,$S$3:$AE$3,0),FALSE))*$BL245/VLOOKUP(VLOOKUP($BJ245,坦克个性化设定!$B$18:$E$48,4,FALSE)&amp;$BK245,坦克属性分配比例,MATCH("升星次数",坦克属性分配比例标头,0),FALSE)*(VLOOKUP(VLOOKUP($BJ245,坦克个性化设定!$B$18:$E$48,4,FALSE)&amp;$BK245,坦克属性分配比例,MATCH("升星比例",坦克属性分配比例标头,0),FALSE)+VLOOKUP(VLOOKUP($BJ245,坦克个性化设定!$B$18:$E$48,4,FALSE)&amp;$BK245,坦克属性分配比例,MATCH("部件比例",坦克属性分配比例标头,0),FALSE)*$C$3),0)</f>
        <v>593</v>
      </c>
      <c r="BQ245" s="103">
        <f ca="1">ROUND(VLOOKUP($BJ245&amp;"初始",$S$3:$AE$63,MATCH(BQ$3,$S$3:$AE$3,0),FALSE)+(VLOOKUP($BJ245&amp;"最终",$S$3:$AE$63,MATCH(BQ$3,$S$3:$AE$3,0),FALSE)-VLOOKUP($BJ245&amp;"初始",$S$3:$AE$63,MATCH(BQ$3,$S$3:$AE$3,0),FALSE))*$BL245/VLOOKUP(VLOOKUP($BJ245,坦克个性化设定!$B$18:$E$48,4,FALSE)&amp;$BK245,坦克属性分配比例,MATCH("升星次数",坦克属性分配比例标头,0),FALSE)*VLOOKUP(VLOOKUP($BJ245,坦克个性化设定!$B$18:$E$48,4,FALSE)&amp;$BK245,坦克属性分配比例,MATCH("升星比例",坦克属性分配比例标头,0),FALSE),0)</f>
        <v>751</v>
      </c>
      <c r="BR245" s="2">
        <f ca="1">ROUND(VLOOKUP($BJ245&amp;"初始",$S$3:$AE$63,MATCH(BR$3,$S$3:$AE$3,0),FALSE)+(VLOOKUP($BJ245&amp;"最终",$S$3:$AE$63,MATCH(BR$3,$S$3:$AE$3,0),FALSE)-VLOOKUP($BJ245&amp;"初始",$S$3:$AE$63,MATCH(BR$3,$S$3:$AE$3,0),FALSE))*$BL245/VLOOKUP(VLOOKUP($BJ245,坦克个性化设定!$B$18:$E$48,4,FALSE)&amp;$BK245,坦克属性分配比例,MATCH("升星次数",坦克属性分配比例标头,0),FALSE),0)</f>
        <v>178</v>
      </c>
      <c r="BS245" s="2">
        <f>ROUND(VLOOKUP($BJ245,$AI$3:$AO$33,MATCH(BS$3,$AI$3:$AO$3,0),FALSE)+$BL245/VLOOKUP(VLOOKUP($BJ245,坦克个性化设定!$B$18:$E$48,4,FALSE)&amp;$BK245,坦克属性分配比例,MATCH("升星次数",坦克属性分配比例标头,0),FALSE)*VLOOKUP($BJ245,$AR$3:$AY$33,MATCH(BS$3,$AR$3:$AY$3,0),FALSE),1)</f>
        <v>35.6</v>
      </c>
      <c r="BT245" s="2">
        <f>ROUND(VLOOKUP($BJ245,$AI$3:$AO$33,MATCH(BT$3,$AI$3:$AO$3,0),FALSE)+$BL245/VLOOKUP(VLOOKUP($BJ245,坦克个性化设定!$B$18:$E$48,4,FALSE)&amp;$BK245,坦克属性分配比例,MATCH("升星次数",坦克属性分配比例标头,0),FALSE)*VLOOKUP($BJ245,$AR$3:$AY$33,MATCH(BT$3,$AR$3:$AY$3,0),FALSE),1)</f>
        <v>40.700000000000003</v>
      </c>
      <c r="BU245" s="2">
        <f>ROUND(VLOOKUP($BJ245,$AI$3:$AO$33,MATCH(BU$3,$AI$3:$AO$3,0),FALSE)+$BL245/VLOOKUP(VLOOKUP($BJ245,坦克个性化设定!$B$18:$E$48,4,FALSE)&amp;$BK245,坦克属性分配比例,MATCH("升星次数",坦克属性分配比例标头,0),FALSE)*VLOOKUP($BJ245,$AR$3:$AY$33,MATCH(BU$3,$AR$3:$AY$3,0),FALSE),1)</f>
        <v>6.4</v>
      </c>
      <c r="BV245" s="2">
        <f>IF(VLOOKUP(BJ245,坦克个性化设定!$B$18:$BC$48,MATCH("装弹类型",坦克个性化设定!$B$18:$BC$18,0),FALSE)="弹夹换弹",0,ROUND(VLOOKUP($BJ245,$AI$3:$AO$33,MATCH("换弹时间",$AI$3:$AO$3,0),FALSE)-$BL245/VLOOKUP(VLOOKUP($BJ245,坦克个性化设定!$B$18:$E$48,4,FALSE)&amp;$BK245,坦克属性分配比例,MATCH("升星次数",坦克属性分配比例标头,0),FALSE)*VLOOKUP($BJ245,$AR$3:$AY$33,MATCH("换弹时间",$AR$3:$AY$3,0),FALSE),2))</f>
        <v>5.53</v>
      </c>
      <c r="BW245" s="2">
        <f>IF(VLOOKUP(BJ245,坦克个性化设定!$B$18:$BC$48,MATCH("装弹类型",坦克个性化设定!$B$18:$BC$18,0),FALSE)="弹夹换弹",ROUND(VLOOKUP($BJ245,$AI$3:$AO$33,MATCH("换弹时间",$AI$3:$AO$3,0),FALSE)-$BL245/VLOOKUP(VLOOKUP($BJ245,坦克个性化设定!$B$18:$E$48,4,FALSE)&amp;$BK245,坦克属性分配比例,MATCH("升星次数",坦克属性分配比例标头,0),FALSE)*VLOOKUP($BJ245,$AR$3:$AY$33,MATCH("换弹时间",$AR$3:$AY$3,0),FALSE),1),0)</f>
        <v>0</v>
      </c>
      <c r="BX245" s="2">
        <f>ROUND(VLOOKUP($BJ245,$AI$3:$AO$33,MATCH(BX$3,$AI$3:$AO$3,0),FALSE)+$BL245/VLOOKUP(VLOOKUP($BJ245,坦克个性化设定!$B$18:$E$48,4,FALSE)&amp;$BK245,坦克属性分配比例,MATCH("升星次数",坦克属性分配比例标头,0),FALSE)*VLOOKUP($BJ245,$AR$3:$AY$33,MATCH(BX$3,$AR$3:$AY$3,0),FALSE),2)</f>
        <v>0</v>
      </c>
      <c r="BY245" s="2">
        <f>ROUND(VLOOKUP($BJ245,$AI$3:$AO$33,MATCH(BY$3,$AI$3:$AO$3,0),FALSE)-$BL245/VLOOKUP(VLOOKUP($BJ245,坦克个性化设定!$B$18:$E$48,4,FALSE)&amp;$BK245,坦克属性分配比例,MATCH("升星次数",坦克属性分配比例标头,0),FALSE)*VLOOKUP($BJ245,$AR$3:$AY$33,MATCH(BY$3,$AR$3:$AY$3,0),FALSE),2)</f>
        <v>2.72</v>
      </c>
    </row>
    <row r="246" spans="60:77" x14ac:dyDescent="0.3">
      <c r="BH246" s="2" t="str">
        <f t="shared" si="32"/>
        <v>虎式6</v>
      </c>
      <c r="BI246" s="2">
        <f>IF(BL245&gt;=VLOOKUP(VLOOKUP(BJ245,坦克个性化设定!$B$18:$E$48,4,FALSE)&amp;BK245,坦克属性分配比例,MATCH("升星次数",坦克属性分配比例标头,0),FALSE),BI245+1,BI245)</f>
        <v>25</v>
      </c>
      <c r="BJ246" s="2" t="str">
        <f t="shared" si="33"/>
        <v>虎式</v>
      </c>
      <c r="BK246" s="29" t="str">
        <f>VLOOKUP(BJ246,坦克个性化细分!$I$3:$J$33,2,FALSE)</f>
        <v>中</v>
      </c>
      <c r="BL246" s="2">
        <f t="shared" si="34"/>
        <v>6</v>
      </c>
      <c r="BM246" s="103">
        <f ca="1">ROUND(VLOOKUP($BJ246&amp;"初始",$S$3:$AE$63,MATCH(BM$3,$S$3:$AE$3,0),FALSE)+((VLOOKUP($BJ246&amp;"最终",$S$3:$AE$63,MATCH(BM$3,$S$3:$AE$3,0),FALSE)*坦克个性化细分!$C$9-VLOOKUP($BJ246&amp;"初始",$S$3:$AE$63,MATCH(BM$3,$S$3:$AE$3,0),FALSE))-(VLOOKUP($BJ246&amp;"最终",$S$3:$AE$63,MATCH(BM$3,$S$3:$AE$3,0),FALSE)-VLOOKUP($BJ246&amp;"初始",$S$3:$AE$63,MATCH(BM$3,$S$3:$AE$3,0),FALSE))*VLOOKUP(VLOOKUP($BJ246,坦克个性化设定!$B$18:$E$48,4,FALSE)&amp;$BK246,坦克属性分配比例,MATCH("部件比例",坦克属性分配比例标头,0),FALSE))*$BL246/VLOOKUP(VLOOKUP($BJ246,坦克个性化设定!$B$18:$E$48,4,FALSE)&amp;$BK246,坦克属性分配比例,MATCH("升星次数",坦克属性分配比例标头,0),FALSE),0)</f>
        <v>1814</v>
      </c>
      <c r="BN246" s="103">
        <f ca="1">ROUND(VLOOKUP($BJ246&amp;"初始",$S$3:$AE$63,MATCH(BN$3,$S$3:$AE$3,0),FALSE)+(VLOOKUP($BJ246&amp;"最终",$S$3:$AE$63,MATCH(BN$3,$S$3:$AE$3,0),FALSE)-VLOOKUP($BJ246&amp;"初始",$S$3:$AE$63,MATCH(BN$3,$S$3:$AE$3,0),FALSE))*$BL246/VLOOKUP(VLOOKUP($BJ246,坦克个性化设定!$B$18:$E$48,4,FALSE)&amp;$BK246,坦克属性分配比例,MATCH("升星次数",坦克属性分配比例标头,0),FALSE)*VLOOKUP(VLOOKUP($BJ246,坦克个性化设定!$B$18:$E$48,4,FALSE)&amp;$BK246,坦克属性分配比例,MATCH("升星比例",坦克属性分配比例标头,0),FALSE),0)</f>
        <v>789</v>
      </c>
      <c r="BO246" s="103">
        <f ca="1">ROUND(VLOOKUP($BJ246&amp;"初始",$S$3:$AE$63,MATCH(BO$3,$S$3:$AE$3,0),FALSE)+(VLOOKUP($BJ246&amp;"最终",$S$3:$AE$63,MATCH(BO$3,$S$3:$AE$3,0),FALSE)-VLOOKUP($BJ246&amp;"初始",$S$3:$AE$63,MATCH(BO$3,$S$3:$AE$3,0),FALSE))*$BL246/VLOOKUP(VLOOKUP($BJ246,坦克个性化设定!$B$18:$E$48,4,FALSE)&amp;$BK246,坦克属性分配比例,MATCH("升星次数",坦克属性分配比例标头,0),FALSE)*(VLOOKUP(VLOOKUP($BJ246,坦克个性化设定!$B$18:$E$48,4,FALSE)&amp;$BK246,坦克属性分配比例,MATCH("升星比例",坦克属性分配比例标头,0),FALSE)+VLOOKUP(VLOOKUP($BJ246,坦克个性化设定!$B$18:$E$48,4,FALSE)&amp;$BK246,坦克属性分配比例,MATCH("部件比例",坦克属性分配比例标头,0),FALSE)*$C$3),0)</f>
        <v>246</v>
      </c>
      <c r="BP246" s="103">
        <f ca="1">ROUND(VLOOKUP($BJ246&amp;"初始",$S$3:$AE$63,MATCH(BP$3,$S$3:$AE$3,0),FALSE)+(VLOOKUP($BJ246&amp;"最终",$S$3:$AE$63,MATCH(BP$3,$S$3:$AE$3,0),FALSE)-VLOOKUP($BJ246&amp;"初始",$S$3:$AE$63,MATCH(BP$3,$S$3:$AE$3,0),FALSE))*$BL246/VLOOKUP(VLOOKUP($BJ246,坦克个性化设定!$B$18:$E$48,4,FALSE)&amp;$BK246,坦克属性分配比例,MATCH("升星次数",坦克属性分配比例标头,0),FALSE)*(VLOOKUP(VLOOKUP($BJ246,坦克个性化设定!$B$18:$E$48,4,FALSE)&amp;$BK246,坦克属性分配比例,MATCH("升星比例",坦克属性分配比例标头,0),FALSE)+VLOOKUP(VLOOKUP($BJ246,坦克个性化设定!$B$18:$E$48,4,FALSE)&amp;$BK246,坦克属性分配比例,MATCH("部件比例",坦克属性分配比例标头,0),FALSE)*$C$3),0)</f>
        <v>614</v>
      </c>
      <c r="BQ246" s="103">
        <f ca="1">ROUND(VLOOKUP($BJ246&amp;"初始",$S$3:$AE$63,MATCH(BQ$3,$S$3:$AE$3,0),FALSE)+(VLOOKUP($BJ246&amp;"最终",$S$3:$AE$63,MATCH(BQ$3,$S$3:$AE$3,0),FALSE)-VLOOKUP($BJ246&amp;"初始",$S$3:$AE$63,MATCH(BQ$3,$S$3:$AE$3,0),FALSE))*$BL246/VLOOKUP(VLOOKUP($BJ246,坦克个性化设定!$B$18:$E$48,4,FALSE)&amp;$BK246,坦克属性分配比例,MATCH("升星次数",坦克属性分配比例标头,0),FALSE)*VLOOKUP(VLOOKUP($BJ246,坦克个性化设定!$B$18:$E$48,4,FALSE)&amp;$BK246,坦克属性分配比例,MATCH("升星比例",坦克属性分配比例标头,0),FALSE),0)</f>
        <v>771</v>
      </c>
      <c r="BR246" s="2">
        <f ca="1">ROUND(VLOOKUP($BJ246&amp;"初始",$S$3:$AE$63,MATCH(BR$3,$S$3:$AE$3,0),FALSE)+(VLOOKUP($BJ246&amp;"最终",$S$3:$AE$63,MATCH(BR$3,$S$3:$AE$3,0),FALSE)-VLOOKUP($BJ246&amp;"初始",$S$3:$AE$63,MATCH(BR$3,$S$3:$AE$3,0),FALSE))*$BL246/VLOOKUP(VLOOKUP($BJ246,坦克个性化设定!$B$18:$E$48,4,FALSE)&amp;$BK246,坦克属性分配比例,MATCH("升星次数",坦克属性分配比例标头,0),FALSE),0)</f>
        <v>185</v>
      </c>
      <c r="BS246" s="2">
        <f>ROUND(VLOOKUP($BJ246,$AI$3:$AO$33,MATCH(BS$3,$AI$3:$AO$3,0),FALSE)+$BL246/VLOOKUP(VLOOKUP($BJ246,坦克个性化设定!$B$18:$E$48,4,FALSE)&amp;$BK246,坦克属性分配比例,MATCH("升星次数",坦克属性分配比例标头,0),FALSE)*VLOOKUP($BJ246,$AR$3:$AY$33,MATCH(BS$3,$AR$3:$AY$3,0),FALSE),1)</f>
        <v>36.5</v>
      </c>
      <c r="BT246" s="2">
        <f>ROUND(VLOOKUP($BJ246,$AI$3:$AO$33,MATCH(BT$3,$AI$3:$AO$3,0),FALSE)+$BL246/VLOOKUP(VLOOKUP($BJ246,坦克个性化设定!$B$18:$E$48,4,FALSE)&amp;$BK246,坦克属性分配比例,MATCH("升星次数",坦克属性分配比例标头,0),FALSE)*VLOOKUP($BJ246,$AR$3:$AY$33,MATCH(BT$3,$AR$3:$AY$3,0),FALSE),1)</f>
        <v>41.7</v>
      </c>
      <c r="BU246" s="2">
        <f>ROUND(VLOOKUP($BJ246,$AI$3:$AO$33,MATCH(BU$3,$AI$3:$AO$3,0),FALSE)+$BL246/VLOOKUP(VLOOKUP($BJ246,坦克个性化设定!$B$18:$E$48,4,FALSE)&amp;$BK246,坦克属性分配比例,MATCH("升星次数",坦克属性分配比例标头,0),FALSE)*VLOOKUP($BJ246,$AR$3:$AY$33,MATCH(BU$3,$AR$3:$AY$3,0),FALSE),1)</f>
        <v>6.4</v>
      </c>
      <c r="BV246" s="2">
        <f>IF(VLOOKUP(BJ246,坦克个性化设定!$B$18:$BC$48,MATCH("装弹类型",坦克个性化设定!$B$18:$BC$18,0),FALSE)="弹夹换弹",0,ROUND(VLOOKUP($BJ246,$AI$3:$AO$33,MATCH("换弹时间",$AI$3:$AO$3,0),FALSE)-$BL246/VLOOKUP(VLOOKUP($BJ246,坦克个性化设定!$B$18:$E$48,4,FALSE)&amp;$BK246,坦克属性分配比例,MATCH("升星次数",坦克属性分配比例标头,0),FALSE)*VLOOKUP($BJ246,$AR$3:$AY$33,MATCH("换弹时间",$AR$3:$AY$3,0),FALSE),2))</f>
        <v>5.43</v>
      </c>
      <c r="BW246" s="2">
        <f>IF(VLOOKUP(BJ246,坦克个性化设定!$B$18:$BC$48,MATCH("装弹类型",坦克个性化设定!$B$18:$BC$18,0),FALSE)="弹夹换弹",ROUND(VLOOKUP($BJ246,$AI$3:$AO$33,MATCH("换弹时间",$AI$3:$AO$3,0),FALSE)-$BL246/VLOOKUP(VLOOKUP($BJ246,坦克个性化设定!$B$18:$E$48,4,FALSE)&amp;$BK246,坦克属性分配比例,MATCH("升星次数",坦克属性分配比例标头,0),FALSE)*VLOOKUP($BJ246,$AR$3:$AY$33,MATCH("换弹时间",$AR$3:$AY$3,0),FALSE),1),0)</f>
        <v>0</v>
      </c>
      <c r="BX246" s="2">
        <f>ROUND(VLOOKUP($BJ246,$AI$3:$AO$33,MATCH(BX$3,$AI$3:$AO$3,0),FALSE)+$BL246/VLOOKUP(VLOOKUP($BJ246,坦克个性化设定!$B$18:$E$48,4,FALSE)&amp;$BK246,坦克属性分配比例,MATCH("升星次数",坦克属性分配比例标头,0),FALSE)*VLOOKUP($BJ246,$AR$3:$AY$33,MATCH(BX$3,$AR$3:$AY$3,0),FALSE),2)</f>
        <v>0</v>
      </c>
      <c r="BY246" s="2">
        <f>ROUND(VLOOKUP($BJ246,$AI$3:$AO$33,MATCH(BY$3,$AI$3:$AO$3,0),FALSE)-$BL246/VLOOKUP(VLOOKUP($BJ246,坦克个性化设定!$B$18:$E$48,4,FALSE)&amp;$BK246,坦克属性分配比例,MATCH("升星次数",坦克属性分配比例标头,0),FALSE)*VLOOKUP($BJ246,$AR$3:$AY$33,MATCH(BY$3,$AR$3:$AY$3,0),FALSE),2)</f>
        <v>2.67</v>
      </c>
    </row>
    <row r="247" spans="60:77" x14ac:dyDescent="0.3">
      <c r="BH247" s="2" t="str">
        <f t="shared" si="32"/>
        <v>虎式7</v>
      </c>
      <c r="BI247" s="2">
        <f>IF(BL246&gt;=VLOOKUP(VLOOKUP(BJ246,坦克个性化设定!$B$18:$E$48,4,FALSE)&amp;BK246,坦克属性分配比例,MATCH("升星次数",坦克属性分配比例标头,0),FALSE),BI246+1,BI246)</f>
        <v>25</v>
      </c>
      <c r="BJ247" s="2" t="str">
        <f t="shared" si="33"/>
        <v>虎式</v>
      </c>
      <c r="BK247" s="29" t="str">
        <f>VLOOKUP(BJ247,坦克个性化细分!$I$3:$J$33,2,FALSE)</f>
        <v>中</v>
      </c>
      <c r="BL247" s="2">
        <f t="shared" si="34"/>
        <v>7</v>
      </c>
      <c r="BM247" s="103">
        <f ca="1">ROUND(VLOOKUP($BJ247&amp;"初始",$S$3:$AE$63,MATCH(BM$3,$S$3:$AE$3,0),FALSE)+((VLOOKUP($BJ247&amp;"最终",$S$3:$AE$63,MATCH(BM$3,$S$3:$AE$3,0),FALSE)*坦克个性化细分!$C$9-VLOOKUP($BJ247&amp;"初始",$S$3:$AE$63,MATCH(BM$3,$S$3:$AE$3,0),FALSE))-(VLOOKUP($BJ247&amp;"最终",$S$3:$AE$63,MATCH(BM$3,$S$3:$AE$3,0),FALSE)-VLOOKUP($BJ247&amp;"初始",$S$3:$AE$63,MATCH(BM$3,$S$3:$AE$3,0),FALSE))*VLOOKUP(VLOOKUP($BJ247,坦克个性化设定!$B$18:$E$48,4,FALSE)&amp;$BK247,坦克属性分配比例,MATCH("部件比例",坦克属性分配比例标头,0),FALSE))*$BL247/VLOOKUP(VLOOKUP($BJ247,坦克个性化设定!$B$18:$E$48,4,FALSE)&amp;$BK247,坦克属性分配比例,MATCH("升星次数",坦克属性分配比例标头,0),FALSE),0)</f>
        <v>1891</v>
      </c>
      <c r="BN247" s="103">
        <f ca="1">ROUND(VLOOKUP($BJ247&amp;"初始",$S$3:$AE$63,MATCH(BN$3,$S$3:$AE$3,0),FALSE)+(VLOOKUP($BJ247&amp;"最终",$S$3:$AE$63,MATCH(BN$3,$S$3:$AE$3,0),FALSE)-VLOOKUP($BJ247&amp;"初始",$S$3:$AE$63,MATCH(BN$3,$S$3:$AE$3,0),FALSE))*$BL247/VLOOKUP(VLOOKUP($BJ247,坦克个性化设定!$B$18:$E$48,4,FALSE)&amp;$BK247,坦克属性分配比例,MATCH("升星次数",坦克属性分配比例标头,0),FALSE)*VLOOKUP(VLOOKUP($BJ247,坦克个性化设定!$B$18:$E$48,4,FALSE)&amp;$BK247,坦克属性分配比例,MATCH("升星比例",坦克属性分配比例标头,0),FALSE),0)</f>
        <v>810</v>
      </c>
      <c r="BO247" s="103">
        <f ca="1">ROUND(VLOOKUP($BJ247&amp;"初始",$S$3:$AE$63,MATCH(BO$3,$S$3:$AE$3,0),FALSE)+(VLOOKUP($BJ247&amp;"最终",$S$3:$AE$63,MATCH(BO$3,$S$3:$AE$3,0),FALSE)-VLOOKUP($BJ247&amp;"初始",$S$3:$AE$63,MATCH(BO$3,$S$3:$AE$3,0),FALSE))*$BL247/VLOOKUP(VLOOKUP($BJ247,坦克个性化设定!$B$18:$E$48,4,FALSE)&amp;$BK247,坦克属性分配比例,MATCH("升星次数",坦克属性分配比例标头,0),FALSE)*(VLOOKUP(VLOOKUP($BJ247,坦克个性化设定!$B$18:$E$48,4,FALSE)&amp;$BK247,坦克属性分配比例,MATCH("升星比例",坦克属性分配比例标头,0),FALSE)+VLOOKUP(VLOOKUP($BJ247,坦克个性化设定!$B$18:$E$48,4,FALSE)&amp;$BK247,坦克属性分配比例,MATCH("部件比例",坦克属性分配比例标头,0),FALSE)*$C$3),0)</f>
        <v>255</v>
      </c>
      <c r="BP247" s="103">
        <f ca="1">ROUND(VLOOKUP($BJ247&amp;"初始",$S$3:$AE$63,MATCH(BP$3,$S$3:$AE$3,0),FALSE)+(VLOOKUP($BJ247&amp;"最终",$S$3:$AE$63,MATCH(BP$3,$S$3:$AE$3,0),FALSE)-VLOOKUP($BJ247&amp;"初始",$S$3:$AE$63,MATCH(BP$3,$S$3:$AE$3,0),FALSE))*$BL247/VLOOKUP(VLOOKUP($BJ247,坦克个性化设定!$B$18:$E$48,4,FALSE)&amp;$BK247,坦克属性分配比例,MATCH("升星次数",坦克属性分配比例标头,0),FALSE)*(VLOOKUP(VLOOKUP($BJ247,坦克个性化设定!$B$18:$E$48,4,FALSE)&amp;$BK247,坦克属性分配比例,MATCH("升星比例",坦克属性分配比例标头,0),FALSE)+VLOOKUP(VLOOKUP($BJ247,坦克个性化设定!$B$18:$E$48,4,FALSE)&amp;$BK247,坦克属性分配比例,MATCH("部件比例",坦克属性分配比例标头,0),FALSE)*$C$3),0)</f>
        <v>636</v>
      </c>
      <c r="BQ247" s="103">
        <f ca="1">ROUND(VLOOKUP($BJ247&amp;"初始",$S$3:$AE$63,MATCH(BQ$3,$S$3:$AE$3,0),FALSE)+(VLOOKUP($BJ247&amp;"最终",$S$3:$AE$63,MATCH(BQ$3,$S$3:$AE$3,0),FALSE)-VLOOKUP($BJ247&amp;"初始",$S$3:$AE$63,MATCH(BQ$3,$S$3:$AE$3,0),FALSE))*$BL247/VLOOKUP(VLOOKUP($BJ247,坦克个性化设定!$B$18:$E$48,4,FALSE)&amp;$BK247,坦克属性分配比例,MATCH("升星次数",坦克属性分配比例标头,0),FALSE)*VLOOKUP(VLOOKUP($BJ247,坦克个性化设定!$B$18:$E$48,4,FALSE)&amp;$BK247,坦克属性分配比例,MATCH("升星比例",坦克属性分配比例标头,0),FALSE),0)</f>
        <v>792</v>
      </c>
      <c r="BR247" s="2">
        <f ca="1">ROUND(VLOOKUP($BJ247&amp;"初始",$S$3:$AE$63,MATCH(BR$3,$S$3:$AE$3,0),FALSE)+(VLOOKUP($BJ247&amp;"最终",$S$3:$AE$63,MATCH(BR$3,$S$3:$AE$3,0),FALSE)-VLOOKUP($BJ247&amp;"初始",$S$3:$AE$63,MATCH(BR$3,$S$3:$AE$3,0),FALSE))*$BL247/VLOOKUP(VLOOKUP($BJ247,坦克个性化设定!$B$18:$E$48,4,FALSE)&amp;$BK247,坦克属性分配比例,MATCH("升星次数",坦克属性分配比例标头,0),FALSE),0)</f>
        <v>193</v>
      </c>
      <c r="BS247" s="2">
        <f>ROUND(VLOOKUP($BJ247,$AI$3:$AO$33,MATCH(BS$3,$AI$3:$AO$3,0),FALSE)+$BL247/VLOOKUP(VLOOKUP($BJ247,坦克个性化设定!$B$18:$E$48,4,FALSE)&amp;$BK247,坦克属性分配比例,MATCH("升星次数",坦克属性分配比例标头,0),FALSE)*VLOOKUP($BJ247,$AR$3:$AY$33,MATCH(BS$3,$AR$3:$AY$3,0),FALSE),1)</f>
        <v>37.4</v>
      </c>
      <c r="BT247" s="2">
        <f>ROUND(VLOOKUP($BJ247,$AI$3:$AO$33,MATCH(BT$3,$AI$3:$AO$3,0),FALSE)+$BL247/VLOOKUP(VLOOKUP($BJ247,坦克个性化设定!$B$18:$E$48,4,FALSE)&amp;$BK247,坦克属性分配比例,MATCH("升星次数",坦克属性分配比例标头,0),FALSE)*VLOOKUP($BJ247,$AR$3:$AY$33,MATCH(BT$3,$AR$3:$AY$3,0),FALSE),1)</f>
        <v>42.6</v>
      </c>
      <c r="BU247" s="2">
        <f>ROUND(VLOOKUP($BJ247,$AI$3:$AO$33,MATCH(BU$3,$AI$3:$AO$3,0),FALSE)+$BL247/VLOOKUP(VLOOKUP($BJ247,坦克个性化设定!$B$18:$E$48,4,FALSE)&amp;$BK247,坦克属性分配比例,MATCH("升星次数",坦克属性分配比例标头,0),FALSE)*VLOOKUP($BJ247,$AR$3:$AY$33,MATCH(BU$3,$AR$3:$AY$3,0),FALSE),1)</f>
        <v>6.4</v>
      </c>
      <c r="BV247" s="2">
        <f>IF(VLOOKUP(BJ247,坦克个性化设定!$B$18:$BC$48,MATCH("装弹类型",坦克个性化设定!$B$18:$BC$18,0),FALSE)="弹夹换弹",0,ROUND(VLOOKUP($BJ247,$AI$3:$AO$33,MATCH("换弹时间",$AI$3:$AO$3,0),FALSE)-$BL247/VLOOKUP(VLOOKUP($BJ247,坦克个性化设定!$B$18:$E$48,4,FALSE)&amp;$BK247,坦克属性分配比例,MATCH("升星次数",坦克属性分配比例标头,0),FALSE)*VLOOKUP($BJ247,$AR$3:$AY$33,MATCH("换弹时间",$AR$3:$AY$3,0),FALSE),2))</f>
        <v>5.34</v>
      </c>
      <c r="BW247" s="2">
        <f>IF(VLOOKUP(BJ247,坦克个性化设定!$B$18:$BC$48,MATCH("装弹类型",坦克个性化设定!$B$18:$BC$18,0),FALSE)="弹夹换弹",ROUND(VLOOKUP($BJ247,$AI$3:$AO$33,MATCH("换弹时间",$AI$3:$AO$3,0),FALSE)-$BL247/VLOOKUP(VLOOKUP($BJ247,坦克个性化设定!$B$18:$E$48,4,FALSE)&amp;$BK247,坦克属性分配比例,MATCH("升星次数",坦克属性分配比例标头,0),FALSE)*VLOOKUP($BJ247,$AR$3:$AY$33,MATCH("换弹时间",$AR$3:$AY$3,0),FALSE),1),0)</f>
        <v>0</v>
      </c>
      <c r="BX247" s="2">
        <f>ROUND(VLOOKUP($BJ247,$AI$3:$AO$33,MATCH(BX$3,$AI$3:$AO$3,0),FALSE)+$BL247/VLOOKUP(VLOOKUP($BJ247,坦克个性化设定!$B$18:$E$48,4,FALSE)&amp;$BK247,坦克属性分配比例,MATCH("升星次数",坦克属性分配比例标头,0),FALSE)*VLOOKUP($BJ247,$AR$3:$AY$33,MATCH(BX$3,$AR$3:$AY$3,0),FALSE),2)</f>
        <v>0</v>
      </c>
      <c r="BY247" s="2">
        <f>ROUND(VLOOKUP($BJ247,$AI$3:$AO$33,MATCH(BY$3,$AI$3:$AO$3,0),FALSE)-$BL247/VLOOKUP(VLOOKUP($BJ247,坦克个性化设定!$B$18:$E$48,4,FALSE)&amp;$BK247,坦克属性分配比例,MATCH("升星次数",坦克属性分配比例标头,0),FALSE)*VLOOKUP($BJ247,$AR$3:$AY$33,MATCH(BY$3,$AR$3:$AY$3,0),FALSE),2)</f>
        <v>2.61</v>
      </c>
    </row>
    <row r="248" spans="60:77" x14ac:dyDescent="0.3">
      <c r="BH248" s="2" t="str">
        <f t="shared" si="32"/>
        <v>虎式8</v>
      </c>
      <c r="BI248" s="2">
        <f>IF(BL247&gt;=VLOOKUP(VLOOKUP(BJ247,坦克个性化设定!$B$18:$E$48,4,FALSE)&amp;BK247,坦克属性分配比例,MATCH("升星次数",坦克属性分配比例标头,0),FALSE),BI247+1,BI247)</f>
        <v>25</v>
      </c>
      <c r="BJ248" s="2" t="str">
        <f t="shared" si="33"/>
        <v>虎式</v>
      </c>
      <c r="BK248" s="29" t="str">
        <f>VLOOKUP(BJ248,坦克个性化细分!$I$3:$J$33,2,FALSE)</f>
        <v>中</v>
      </c>
      <c r="BL248" s="2">
        <f t="shared" si="34"/>
        <v>8</v>
      </c>
      <c r="BM248" s="103">
        <f ca="1">ROUND(VLOOKUP($BJ248&amp;"初始",$S$3:$AE$63,MATCH(BM$3,$S$3:$AE$3,0),FALSE)+((VLOOKUP($BJ248&amp;"最终",$S$3:$AE$63,MATCH(BM$3,$S$3:$AE$3,0),FALSE)*坦克个性化细分!$C$9-VLOOKUP($BJ248&amp;"初始",$S$3:$AE$63,MATCH(BM$3,$S$3:$AE$3,0),FALSE))-(VLOOKUP($BJ248&amp;"最终",$S$3:$AE$63,MATCH(BM$3,$S$3:$AE$3,0),FALSE)-VLOOKUP($BJ248&amp;"初始",$S$3:$AE$63,MATCH(BM$3,$S$3:$AE$3,0),FALSE))*VLOOKUP(VLOOKUP($BJ248,坦克个性化设定!$B$18:$E$48,4,FALSE)&amp;$BK248,坦克属性分配比例,MATCH("部件比例",坦克属性分配比例标头,0),FALSE))*$BL248/VLOOKUP(VLOOKUP($BJ248,坦克个性化设定!$B$18:$E$48,4,FALSE)&amp;$BK248,坦克属性分配比例,MATCH("升星次数",坦克属性分配比例标头,0),FALSE),0)</f>
        <v>1967</v>
      </c>
      <c r="BN248" s="103">
        <f ca="1">ROUND(VLOOKUP($BJ248&amp;"初始",$S$3:$AE$63,MATCH(BN$3,$S$3:$AE$3,0),FALSE)+(VLOOKUP($BJ248&amp;"最终",$S$3:$AE$63,MATCH(BN$3,$S$3:$AE$3,0),FALSE)-VLOOKUP($BJ248&amp;"初始",$S$3:$AE$63,MATCH(BN$3,$S$3:$AE$3,0),FALSE))*$BL248/VLOOKUP(VLOOKUP($BJ248,坦克个性化设定!$B$18:$E$48,4,FALSE)&amp;$BK248,坦克属性分配比例,MATCH("升星次数",坦克属性分配比例标头,0),FALSE)*VLOOKUP(VLOOKUP($BJ248,坦克个性化设定!$B$18:$E$48,4,FALSE)&amp;$BK248,坦克属性分配比例,MATCH("升星比例",坦克属性分配比例标头,0),FALSE),0)</f>
        <v>831</v>
      </c>
      <c r="BO248" s="103">
        <f ca="1">ROUND(VLOOKUP($BJ248&amp;"初始",$S$3:$AE$63,MATCH(BO$3,$S$3:$AE$3,0),FALSE)+(VLOOKUP($BJ248&amp;"最终",$S$3:$AE$63,MATCH(BO$3,$S$3:$AE$3,0),FALSE)-VLOOKUP($BJ248&amp;"初始",$S$3:$AE$63,MATCH(BO$3,$S$3:$AE$3,0),FALSE))*$BL248/VLOOKUP(VLOOKUP($BJ248,坦克个性化设定!$B$18:$E$48,4,FALSE)&amp;$BK248,坦克属性分配比例,MATCH("升星次数",坦克属性分配比例标头,0),FALSE)*(VLOOKUP(VLOOKUP($BJ248,坦克个性化设定!$B$18:$E$48,4,FALSE)&amp;$BK248,坦克属性分配比例,MATCH("升星比例",坦克属性分配比例标头,0),FALSE)+VLOOKUP(VLOOKUP($BJ248,坦克个性化设定!$B$18:$E$48,4,FALSE)&amp;$BK248,坦克属性分配比例,MATCH("部件比例",坦克属性分配比例标头,0),FALSE)*$C$3),0)</f>
        <v>263</v>
      </c>
      <c r="BP248" s="103">
        <f ca="1">ROUND(VLOOKUP($BJ248&amp;"初始",$S$3:$AE$63,MATCH(BP$3,$S$3:$AE$3,0),FALSE)+(VLOOKUP($BJ248&amp;"最终",$S$3:$AE$63,MATCH(BP$3,$S$3:$AE$3,0),FALSE)-VLOOKUP($BJ248&amp;"初始",$S$3:$AE$63,MATCH(BP$3,$S$3:$AE$3,0),FALSE))*$BL248/VLOOKUP(VLOOKUP($BJ248,坦克个性化设定!$B$18:$E$48,4,FALSE)&amp;$BK248,坦克属性分配比例,MATCH("升星次数",坦克属性分配比例标头,0),FALSE)*(VLOOKUP(VLOOKUP($BJ248,坦克个性化设定!$B$18:$E$48,4,FALSE)&amp;$BK248,坦克属性分配比例,MATCH("升星比例",坦克属性分配比例标头,0),FALSE)+VLOOKUP(VLOOKUP($BJ248,坦克个性化设定!$B$18:$E$48,4,FALSE)&amp;$BK248,坦克属性分配比例,MATCH("部件比例",坦克属性分配比例标头,0),FALSE)*$C$3),0)</f>
        <v>658</v>
      </c>
      <c r="BQ248" s="103">
        <f ca="1">ROUND(VLOOKUP($BJ248&amp;"初始",$S$3:$AE$63,MATCH(BQ$3,$S$3:$AE$3,0),FALSE)+(VLOOKUP($BJ248&amp;"最终",$S$3:$AE$63,MATCH(BQ$3,$S$3:$AE$3,0),FALSE)-VLOOKUP($BJ248&amp;"初始",$S$3:$AE$63,MATCH(BQ$3,$S$3:$AE$3,0),FALSE))*$BL248/VLOOKUP(VLOOKUP($BJ248,坦克个性化设定!$B$18:$E$48,4,FALSE)&amp;$BK248,坦克属性分配比例,MATCH("升星次数",坦克属性分配比例标头,0),FALSE)*VLOOKUP(VLOOKUP($BJ248,坦克个性化设定!$B$18:$E$48,4,FALSE)&amp;$BK248,坦克属性分配比例,MATCH("升星比例",坦克属性分配比例标头,0),FALSE),0)</f>
        <v>813</v>
      </c>
      <c r="BR248" s="2">
        <f ca="1">ROUND(VLOOKUP($BJ248&amp;"初始",$S$3:$AE$63,MATCH(BR$3,$S$3:$AE$3,0),FALSE)+(VLOOKUP($BJ248&amp;"最终",$S$3:$AE$63,MATCH(BR$3,$S$3:$AE$3,0),FALSE)-VLOOKUP($BJ248&amp;"初始",$S$3:$AE$63,MATCH(BR$3,$S$3:$AE$3,0),FALSE))*$BL248/VLOOKUP(VLOOKUP($BJ248,坦克个性化设定!$B$18:$E$48,4,FALSE)&amp;$BK248,坦克属性分配比例,MATCH("升星次数",坦克属性分配比例标头,0),FALSE),0)</f>
        <v>200</v>
      </c>
      <c r="BS248" s="2">
        <f>ROUND(VLOOKUP($BJ248,$AI$3:$AO$33,MATCH(BS$3,$AI$3:$AO$3,0),FALSE)+$BL248/VLOOKUP(VLOOKUP($BJ248,坦克个性化设定!$B$18:$E$48,4,FALSE)&amp;$BK248,坦克属性分配比例,MATCH("升星次数",坦克属性分配比例标头,0),FALSE)*VLOOKUP($BJ248,$AR$3:$AY$33,MATCH(BS$3,$AR$3:$AY$3,0),FALSE),1)</f>
        <v>38.299999999999997</v>
      </c>
      <c r="BT248" s="2">
        <f>ROUND(VLOOKUP($BJ248,$AI$3:$AO$33,MATCH(BT$3,$AI$3:$AO$3,0),FALSE)+$BL248/VLOOKUP(VLOOKUP($BJ248,坦克个性化设定!$B$18:$E$48,4,FALSE)&amp;$BK248,坦克属性分配比例,MATCH("升星次数",坦克属性分配比例标头,0),FALSE)*VLOOKUP($BJ248,$AR$3:$AY$33,MATCH(BT$3,$AR$3:$AY$3,0),FALSE),1)</f>
        <v>43.6</v>
      </c>
      <c r="BU248" s="2">
        <f>ROUND(VLOOKUP($BJ248,$AI$3:$AO$33,MATCH(BU$3,$AI$3:$AO$3,0),FALSE)+$BL248/VLOOKUP(VLOOKUP($BJ248,坦克个性化设定!$B$18:$E$48,4,FALSE)&amp;$BK248,坦克属性分配比例,MATCH("升星次数",坦克属性分配比例标头,0),FALSE)*VLOOKUP($BJ248,$AR$3:$AY$33,MATCH(BU$3,$AR$3:$AY$3,0),FALSE),1)</f>
        <v>6.4</v>
      </c>
      <c r="BV248" s="2">
        <f>IF(VLOOKUP(BJ248,坦克个性化设定!$B$18:$BC$48,MATCH("装弹类型",坦克个性化设定!$B$18:$BC$18,0),FALSE)="弹夹换弹",0,ROUND(VLOOKUP($BJ248,$AI$3:$AO$33,MATCH("换弹时间",$AI$3:$AO$3,0),FALSE)-$BL248/VLOOKUP(VLOOKUP($BJ248,坦克个性化设定!$B$18:$E$48,4,FALSE)&amp;$BK248,坦克属性分配比例,MATCH("升星次数",坦克属性分配比例标头,0),FALSE)*VLOOKUP($BJ248,$AR$3:$AY$33,MATCH("换弹时间",$AR$3:$AY$3,0),FALSE),2))</f>
        <v>5.24</v>
      </c>
      <c r="BW248" s="2">
        <f>IF(VLOOKUP(BJ248,坦克个性化设定!$B$18:$BC$48,MATCH("装弹类型",坦克个性化设定!$B$18:$BC$18,0),FALSE)="弹夹换弹",ROUND(VLOOKUP($BJ248,$AI$3:$AO$33,MATCH("换弹时间",$AI$3:$AO$3,0),FALSE)-$BL248/VLOOKUP(VLOOKUP($BJ248,坦克个性化设定!$B$18:$E$48,4,FALSE)&amp;$BK248,坦克属性分配比例,MATCH("升星次数",坦克属性分配比例标头,0),FALSE)*VLOOKUP($BJ248,$AR$3:$AY$33,MATCH("换弹时间",$AR$3:$AY$3,0),FALSE),1),0)</f>
        <v>0</v>
      </c>
      <c r="BX248" s="2">
        <f>ROUND(VLOOKUP($BJ248,$AI$3:$AO$33,MATCH(BX$3,$AI$3:$AO$3,0),FALSE)+$BL248/VLOOKUP(VLOOKUP($BJ248,坦克个性化设定!$B$18:$E$48,4,FALSE)&amp;$BK248,坦克属性分配比例,MATCH("升星次数",坦克属性分配比例标头,0),FALSE)*VLOOKUP($BJ248,$AR$3:$AY$33,MATCH(BX$3,$AR$3:$AY$3,0),FALSE),2)</f>
        <v>0</v>
      </c>
      <c r="BY248" s="2">
        <f>ROUND(VLOOKUP($BJ248,$AI$3:$AO$33,MATCH(BY$3,$AI$3:$AO$3,0),FALSE)-$BL248/VLOOKUP(VLOOKUP($BJ248,坦克个性化设定!$B$18:$E$48,4,FALSE)&amp;$BK248,坦克属性分配比例,MATCH("升星次数",坦克属性分配比例标头,0),FALSE)*VLOOKUP($BJ248,$AR$3:$AY$33,MATCH(BY$3,$AR$3:$AY$3,0),FALSE),2)</f>
        <v>2.56</v>
      </c>
    </row>
    <row r="249" spans="60:77" x14ac:dyDescent="0.3">
      <c r="BH249" s="2" t="str">
        <f t="shared" si="32"/>
        <v>虎式9</v>
      </c>
      <c r="BI249" s="2">
        <f>IF(BL248&gt;=VLOOKUP(VLOOKUP(BJ248,坦克个性化设定!$B$18:$E$48,4,FALSE)&amp;BK248,坦克属性分配比例,MATCH("升星次数",坦克属性分配比例标头,0),FALSE),BI248+1,BI248)</f>
        <v>25</v>
      </c>
      <c r="BJ249" s="2" t="str">
        <f t="shared" si="33"/>
        <v>虎式</v>
      </c>
      <c r="BK249" s="29" t="str">
        <f>VLOOKUP(BJ249,坦克个性化细分!$I$3:$J$33,2,FALSE)</f>
        <v>中</v>
      </c>
      <c r="BL249" s="2">
        <f t="shared" si="34"/>
        <v>9</v>
      </c>
      <c r="BM249" s="103">
        <f ca="1">ROUND(VLOOKUP($BJ249&amp;"初始",$S$3:$AE$63,MATCH(BM$3,$S$3:$AE$3,0),FALSE)+((VLOOKUP($BJ249&amp;"最终",$S$3:$AE$63,MATCH(BM$3,$S$3:$AE$3,0),FALSE)*坦克个性化细分!$C$9-VLOOKUP($BJ249&amp;"初始",$S$3:$AE$63,MATCH(BM$3,$S$3:$AE$3,0),FALSE))-(VLOOKUP($BJ249&amp;"最终",$S$3:$AE$63,MATCH(BM$3,$S$3:$AE$3,0),FALSE)-VLOOKUP($BJ249&amp;"初始",$S$3:$AE$63,MATCH(BM$3,$S$3:$AE$3,0),FALSE))*VLOOKUP(VLOOKUP($BJ249,坦克个性化设定!$B$18:$E$48,4,FALSE)&amp;$BK249,坦克属性分配比例,MATCH("部件比例",坦克属性分配比例标头,0),FALSE))*$BL249/VLOOKUP(VLOOKUP($BJ249,坦克个性化设定!$B$18:$E$48,4,FALSE)&amp;$BK249,坦克属性分配比例,MATCH("升星次数",坦克属性分配比例标头,0),FALSE),0)</f>
        <v>2044</v>
      </c>
      <c r="BN249" s="103">
        <f ca="1">ROUND(VLOOKUP($BJ249&amp;"初始",$S$3:$AE$63,MATCH(BN$3,$S$3:$AE$3,0),FALSE)+(VLOOKUP($BJ249&amp;"最终",$S$3:$AE$63,MATCH(BN$3,$S$3:$AE$3,0),FALSE)-VLOOKUP($BJ249&amp;"初始",$S$3:$AE$63,MATCH(BN$3,$S$3:$AE$3,0),FALSE))*$BL249/VLOOKUP(VLOOKUP($BJ249,坦克个性化设定!$B$18:$E$48,4,FALSE)&amp;$BK249,坦克属性分配比例,MATCH("升星次数",坦克属性分配比例标头,0),FALSE)*VLOOKUP(VLOOKUP($BJ249,坦克个性化设定!$B$18:$E$48,4,FALSE)&amp;$BK249,坦克属性分配比例,MATCH("升星比例",坦克属性分配比例标头,0),FALSE),0)</f>
        <v>852</v>
      </c>
      <c r="BO249" s="103">
        <f ca="1">ROUND(VLOOKUP($BJ249&amp;"初始",$S$3:$AE$63,MATCH(BO$3,$S$3:$AE$3,0),FALSE)+(VLOOKUP($BJ249&amp;"最终",$S$3:$AE$63,MATCH(BO$3,$S$3:$AE$3,0),FALSE)-VLOOKUP($BJ249&amp;"初始",$S$3:$AE$63,MATCH(BO$3,$S$3:$AE$3,0),FALSE))*$BL249/VLOOKUP(VLOOKUP($BJ249,坦克个性化设定!$B$18:$E$48,4,FALSE)&amp;$BK249,坦克属性分配比例,MATCH("升星次数",坦克属性分配比例标头,0),FALSE)*(VLOOKUP(VLOOKUP($BJ249,坦克个性化设定!$B$18:$E$48,4,FALSE)&amp;$BK249,坦克属性分配比例,MATCH("升星比例",坦克属性分配比例标头,0),FALSE)+VLOOKUP(VLOOKUP($BJ249,坦克个性化设定!$B$18:$E$48,4,FALSE)&amp;$BK249,坦克属性分配比例,MATCH("部件比例",坦克属性分配比例标头,0),FALSE)*$C$3),0)</f>
        <v>272</v>
      </c>
      <c r="BP249" s="103">
        <f ca="1">ROUND(VLOOKUP($BJ249&amp;"初始",$S$3:$AE$63,MATCH(BP$3,$S$3:$AE$3,0),FALSE)+(VLOOKUP($BJ249&amp;"最终",$S$3:$AE$63,MATCH(BP$3,$S$3:$AE$3,0),FALSE)-VLOOKUP($BJ249&amp;"初始",$S$3:$AE$63,MATCH(BP$3,$S$3:$AE$3,0),FALSE))*$BL249/VLOOKUP(VLOOKUP($BJ249,坦克个性化设定!$B$18:$E$48,4,FALSE)&amp;$BK249,坦克属性分配比例,MATCH("升星次数",坦克属性分配比例标头,0),FALSE)*(VLOOKUP(VLOOKUP($BJ249,坦克个性化设定!$B$18:$E$48,4,FALSE)&amp;$BK249,坦克属性分配比例,MATCH("升星比例",坦克属性分配比例标头,0),FALSE)+VLOOKUP(VLOOKUP($BJ249,坦克个性化设定!$B$18:$E$48,4,FALSE)&amp;$BK249,坦克属性分配比例,MATCH("部件比例",坦克属性分配比例标头,0),FALSE)*$C$3),0)</f>
        <v>680</v>
      </c>
      <c r="BQ249" s="103">
        <f ca="1">ROUND(VLOOKUP($BJ249&amp;"初始",$S$3:$AE$63,MATCH(BQ$3,$S$3:$AE$3,0),FALSE)+(VLOOKUP($BJ249&amp;"最终",$S$3:$AE$63,MATCH(BQ$3,$S$3:$AE$3,0),FALSE)-VLOOKUP($BJ249&amp;"初始",$S$3:$AE$63,MATCH(BQ$3,$S$3:$AE$3,0),FALSE))*$BL249/VLOOKUP(VLOOKUP($BJ249,坦克个性化设定!$B$18:$E$48,4,FALSE)&amp;$BK249,坦克属性分配比例,MATCH("升星次数",坦克属性分配比例标头,0),FALSE)*VLOOKUP(VLOOKUP($BJ249,坦克个性化设定!$B$18:$E$48,4,FALSE)&amp;$BK249,坦克属性分配比例,MATCH("升星比例",坦克属性分配比例标头,0),FALSE),0)</f>
        <v>834</v>
      </c>
      <c r="BR249" s="2">
        <f ca="1">ROUND(VLOOKUP($BJ249&amp;"初始",$S$3:$AE$63,MATCH(BR$3,$S$3:$AE$3,0),FALSE)+(VLOOKUP($BJ249&amp;"最终",$S$3:$AE$63,MATCH(BR$3,$S$3:$AE$3,0),FALSE)-VLOOKUP($BJ249&amp;"初始",$S$3:$AE$63,MATCH(BR$3,$S$3:$AE$3,0),FALSE))*$BL249/VLOOKUP(VLOOKUP($BJ249,坦克个性化设定!$B$18:$E$48,4,FALSE)&amp;$BK249,坦克属性分配比例,MATCH("升星次数",坦克属性分配比例标头,0),FALSE),0)</f>
        <v>208</v>
      </c>
      <c r="BS249" s="2">
        <f>ROUND(VLOOKUP($BJ249,$AI$3:$AO$33,MATCH(BS$3,$AI$3:$AO$3,0),FALSE)+$BL249/VLOOKUP(VLOOKUP($BJ249,坦克个性化设定!$B$18:$E$48,4,FALSE)&amp;$BK249,坦克属性分配比例,MATCH("升星次数",坦克属性分配比例标头,0),FALSE)*VLOOKUP($BJ249,$AR$3:$AY$33,MATCH(BS$3,$AR$3:$AY$3,0),FALSE),1)</f>
        <v>39.1</v>
      </c>
      <c r="BT249" s="2">
        <f>ROUND(VLOOKUP($BJ249,$AI$3:$AO$33,MATCH(BT$3,$AI$3:$AO$3,0),FALSE)+$BL249/VLOOKUP(VLOOKUP($BJ249,坦克个性化设定!$B$18:$E$48,4,FALSE)&amp;$BK249,坦克属性分配比例,MATCH("升星次数",坦克属性分配比例标头,0),FALSE)*VLOOKUP($BJ249,$AR$3:$AY$33,MATCH(BT$3,$AR$3:$AY$3,0),FALSE),1)</f>
        <v>44.6</v>
      </c>
      <c r="BU249" s="2">
        <f>ROUND(VLOOKUP($BJ249,$AI$3:$AO$33,MATCH(BU$3,$AI$3:$AO$3,0),FALSE)+$BL249/VLOOKUP(VLOOKUP($BJ249,坦克个性化设定!$B$18:$E$48,4,FALSE)&amp;$BK249,坦克属性分配比例,MATCH("升星次数",坦克属性分配比例标头,0),FALSE)*VLOOKUP($BJ249,$AR$3:$AY$33,MATCH(BU$3,$AR$3:$AY$3,0),FALSE),1)</f>
        <v>6.4</v>
      </c>
      <c r="BV249" s="2">
        <f>IF(VLOOKUP(BJ249,坦克个性化设定!$B$18:$BC$48,MATCH("装弹类型",坦克个性化设定!$B$18:$BC$18,0),FALSE)="弹夹换弹",0,ROUND(VLOOKUP($BJ249,$AI$3:$AO$33,MATCH("换弹时间",$AI$3:$AO$3,0),FALSE)-$BL249/VLOOKUP(VLOOKUP($BJ249,坦克个性化设定!$B$18:$E$48,4,FALSE)&amp;$BK249,坦克属性分配比例,MATCH("升星次数",坦克属性分配比例标头,0),FALSE)*VLOOKUP($BJ249,$AR$3:$AY$33,MATCH("换弹时间",$AR$3:$AY$3,0),FALSE),2))</f>
        <v>5.15</v>
      </c>
      <c r="BW249" s="2">
        <f>IF(VLOOKUP(BJ249,坦克个性化设定!$B$18:$BC$48,MATCH("装弹类型",坦克个性化设定!$B$18:$BC$18,0),FALSE)="弹夹换弹",ROUND(VLOOKUP($BJ249,$AI$3:$AO$33,MATCH("换弹时间",$AI$3:$AO$3,0),FALSE)-$BL249/VLOOKUP(VLOOKUP($BJ249,坦克个性化设定!$B$18:$E$48,4,FALSE)&amp;$BK249,坦克属性分配比例,MATCH("升星次数",坦克属性分配比例标头,0),FALSE)*VLOOKUP($BJ249,$AR$3:$AY$33,MATCH("换弹时间",$AR$3:$AY$3,0),FALSE),1),0)</f>
        <v>0</v>
      </c>
      <c r="BX249" s="2">
        <f>ROUND(VLOOKUP($BJ249,$AI$3:$AO$33,MATCH(BX$3,$AI$3:$AO$3,0),FALSE)+$BL249/VLOOKUP(VLOOKUP($BJ249,坦克个性化设定!$B$18:$E$48,4,FALSE)&amp;$BK249,坦克属性分配比例,MATCH("升星次数",坦克属性分配比例标头,0),FALSE)*VLOOKUP($BJ249,$AR$3:$AY$33,MATCH(BX$3,$AR$3:$AY$3,0),FALSE),2)</f>
        <v>0</v>
      </c>
      <c r="BY249" s="2">
        <f>ROUND(VLOOKUP($BJ249,$AI$3:$AO$33,MATCH(BY$3,$AI$3:$AO$3,0),FALSE)-$BL249/VLOOKUP(VLOOKUP($BJ249,坦克个性化设定!$B$18:$E$48,4,FALSE)&amp;$BK249,坦克属性分配比例,MATCH("升星次数",坦克属性分配比例标头,0),FALSE)*VLOOKUP($BJ249,$AR$3:$AY$33,MATCH(BY$3,$AR$3:$AY$3,0),FALSE),2)</f>
        <v>2.5</v>
      </c>
    </row>
    <row r="250" spans="60:77" x14ac:dyDescent="0.3">
      <c r="BH250" s="2" t="str">
        <f t="shared" si="32"/>
        <v>KV-20</v>
      </c>
      <c r="BI250" s="2">
        <f>IF(BL249&gt;=VLOOKUP(VLOOKUP(BJ249,坦克个性化设定!$B$18:$E$48,4,FALSE)&amp;BK249,坦克属性分配比例,MATCH("升星次数",坦克属性分配比例标头,0),FALSE),BI249+1,BI249)</f>
        <v>26</v>
      </c>
      <c r="BJ250" s="2" t="str">
        <f t="shared" si="33"/>
        <v>KV-2</v>
      </c>
      <c r="BK250" s="29" t="str">
        <f>VLOOKUP(BJ250,坦克个性化细分!$I$3:$J$33,2,FALSE)</f>
        <v>高</v>
      </c>
      <c r="BL250" s="2">
        <f t="shared" si="34"/>
        <v>0</v>
      </c>
      <c r="BM250" s="103">
        <f ca="1">ROUND(VLOOKUP($BJ250&amp;"初始",$S$3:$AE$63,MATCH(BM$3,$S$3:$AE$3,0),FALSE)+((VLOOKUP($BJ250&amp;"最终",$S$3:$AE$63,MATCH(BM$3,$S$3:$AE$3,0),FALSE)*坦克个性化细分!$C$9-VLOOKUP($BJ250&amp;"初始",$S$3:$AE$63,MATCH(BM$3,$S$3:$AE$3,0),FALSE))-(VLOOKUP($BJ250&amp;"最终",$S$3:$AE$63,MATCH(BM$3,$S$3:$AE$3,0),FALSE)-VLOOKUP($BJ250&amp;"初始",$S$3:$AE$63,MATCH(BM$3,$S$3:$AE$3,0),FALSE))*VLOOKUP(VLOOKUP($BJ250,坦克个性化设定!$B$18:$E$48,4,FALSE)&amp;$BK250,坦克属性分配比例,MATCH("部件比例",坦克属性分配比例标头,0),FALSE))*$BL250/VLOOKUP(VLOOKUP($BJ250,坦克个性化设定!$B$18:$E$48,4,FALSE)&amp;$BK250,坦克属性分配比例,MATCH("升星次数",坦克属性分配比例标头,0),FALSE),0)</f>
        <v>1379</v>
      </c>
      <c r="BN250" s="103">
        <f ca="1">ROUND(VLOOKUP($BJ250&amp;"初始",$S$3:$AE$63,MATCH(BN$3,$S$3:$AE$3,0),FALSE)+(VLOOKUP($BJ250&amp;"最终",$S$3:$AE$63,MATCH(BN$3,$S$3:$AE$3,0),FALSE)-VLOOKUP($BJ250&amp;"初始",$S$3:$AE$63,MATCH(BN$3,$S$3:$AE$3,0),FALSE))*$BL250/VLOOKUP(VLOOKUP($BJ250,坦克个性化设定!$B$18:$E$48,4,FALSE)&amp;$BK250,坦克属性分配比例,MATCH("升星次数",坦克属性分配比例标头,0),FALSE)*VLOOKUP(VLOOKUP($BJ250,坦克个性化设定!$B$18:$E$48,4,FALSE)&amp;$BK250,坦克属性分配比例,MATCH("升星比例",坦克属性分配比例标头,0),FALSE),0)</f>
        <v>448</v>
      </c>
      <c r="BO250" s="103">
        <f ca="1">ROUND(VLOOKUP($BJ250&amp;"初始",$S$3:$AE$63,MATCH(BO$3,$S$3:$AE$3,0),FALSE)+(VLOOKUP($BJ250&amp;"最终",$S$3:$AE$63,MATCH(BO$3,$S$3:$AE$3,0),FALSE)-VLOOKUP($BJ250&amp;"初始",$S$3:$AE$63,MATCH(BO$3,$S$3:$AE$3,0),FALSE))*$BL250/VLOOKUP(VLOOKUP($BJ250,坦克个性化设定!$B$18:$E$48,4,FALSE)&amp;$BK250,坦克属性分配比例,MATCH("升星次数",坦克属性分配比例标头,0),FALSE)*(VLOOKUP(VLOOKUP($BJ250,坦克个性化设定!$B$18:$E$48,4,FALSE)&amp;$BK250,坦克属性分配比例,MATCH("升星比例",坦克属性分配比例标头,0),FALSE)+VLOOKUP(VLOOKUP($BJ250,坦克个性化设定!$B$18:$E$48,4,FALSE)&amp;$BK250,坦克属性分配比例,MATCH("部件比例",坦克属性分配比例标头,0),FALSE)*$C$3),0)</f>
        <v>176</v>
      </c>
      <c r="BP250" s="103">
        <f ca="1">ROUND(VLOOKUP($BJ250&amp;"初始",$S$3:$AE$63,MATCH(BP$3,$S$3:$AE$3,0),FALSE)+(VLOOKUP($BJ250&amp;"最终",$S$3:$AE$63,MATCH(BP$3,$S$3:$AE$3,0),FALSE)-VLOOKUP($BJ250&amp;"初始",$S$3:$AE$63,MATCH(BP$3,$S$3:$AE$3,0),FALSE))*$BL250/VLOOKUP(VLOOKUP($BJ250,坦克个性化设定!$B$18:$E$48,4,FALSE)&amp;$BK250,坦克属性分配比例,MATCH("升星次数",坦克属性分配比例标头,0),FALSE)*(VLOOKUP(VLOOKUP($BJ250,坦克个性化设定!$B$18:$E$48,4,FALSE)&amp;$BK250,坦克属性分配比例,MATCH("升星比例",坦克属性分配比例标头,0),FALSE)+VLOOKUP(VLOOKUP($BJ250,坦克个性化设定!$B$18:$E$48,4,FALSE)&amp;$BK250,坦克属性分配比例,MATCH("部件比例",坦克属性分配比例标头,0),FALSE)*$C$3),0)</f>
        <v>440</v>
      </c>
      <c r="BQ250" s="103">
        <f ca="1">ROUND(VLOOKUP($BJ250&amp;"初始",$S$3:$AE$63,MATCH(BQ$3,$S$3:$AE$3,0),FALSE)+(VLOOKUP($BJ250&amp;"最终",$S$3:$AE$63,MATCH(BQ$3,$S$3:$AE$3,0),FALSE)-VLOOKUP($BJ250&amp;"初始",$S$3:$AE$63,MATCH(BQ$3,$S$3:$AE$3,0),FALSE))*$BL250/VLOOKUP(VLOOKUP($BJ250,坦克个性化设定!$B$18:$E$48,4,FALSE)&amp;$BK250,坦克属性分配比例,MATCH("升星次数",坦克属性分配比例标头,0),FALSE)*VLOOKUP(VLOOKUP($BJ250,坦克个性化设定!$B$18:$E$48,4,FALSE)&amp;$BK250,坦克属性分配比例,MATCH("升星比例",坦克属性分配比例标头,0),FALSE),0)</f>
        <v>647</v>
      </c>
      <c r="BR250" s="2">
        <f ca="1">ROUND(VLOOKUP($BJ250&amp;"初始",$S$3:$AE$63,MATCH(BR$3,$S$3:$AE$3,0),FALSE)+(VLOOKUP($BJ250&amp;"最终",$S$3:$AE$63,MATCH(BR$3,$S$3:$AE$3,0),FALSE)-VLOOKUP($BJ250&amp;"初始",$S$3:$AE$63,MATCH(BR$3,$S$3:$AE$3,0),FALSE))*$BL250/VLOOKUP(VLOOKUP($BJ250,坦克个性化设定!$B$18:$E$48,4,FALSE)&amp;$BK250,坦克属性分配比例,MATCH("升星次数",坦克属性分配比例标头,0),FALSE),0)</f>
        <v>140</v>
      </c>
      <c r="BS250" s="2">
        <f>ROUND(VLOOKUP($BJ250,$AI$3:$AO$33,MATCH(BS$3,$AI$3:$AO$3,0),FALSE)+$BL250/VLOOKUP(VLOOKUP($BJ250,坦克个性化设定!$B$18:$E$48,4,FALSE)&amp;$BK250,坦克属性分配比例,MATCH("升星次数",坦克属性分配比例标头,0),FALSE)*VLOOKUP($BJ250,$AR$3:$AY$33,MATCH(BS$3,$AR$3:$AY$3,0),FALSE),1)</f>
        <v>40.299999999999997</v>
      </c>
      <c r="BT250" s="2">
        <f>ROUND(VLOOKUP($BJ250,$AI$3:$AO$33,MATCH(BT$3,$AI$3:$AO$3,0),FALSE)+$BL250/VLOOKUP(VLOOKUP($BJ250,坦克个性化设定!$B$18:$E$48,4,FALSE)&amp;$BK250,坦克属性分配比例,MATCH("升星次数",坦克属性分配比例标头,0),FALSE)*VLOOKUP($BJ250,$AR$3:$AY$33,MATCH(BT$3,$AR$3:$AY$3,0),FALSE),1)</f>
        <v>29.4</v>
      </c>
      <c r="BU250" s="2">
        <f>ROUND(VLOOKUP($BJ250,$AI$3:$AO$33,MATCH(BU$3,$AI$3:$AO$3,0),FALSE)+$BL250/VLOOKUP(VLOOKUP($BJ250,坦克个性化设定!$B$18:$E$48,4,FALSE)&amp;$BK250,坦克属性分配比例,MATCH("升星次数",坦克属性分配比例标头,0),FALSE)*VLOOKUP($BJ250,$AR$3:$AY$33,MATCH(BU$3,$AR$3:$AY$3,0),FALSE),1)</f>
        <v>7.4</v>
      </c>
      <c r="BV250" s="2">
        <f>IF(VLOOKUP(BJ250,坦克个性化设定!$B$18:$BC$48,MATCH("装弹类型",坦克个性化设定!$B$18:$BC$18,0),FALSE)="弹夹换弹",0,ROUND(VLOOKUP($BJ250,$AI$3:$AO$33,MATCH("换弹时间",$AI$3:$AO$3,0),FALSE)-$BL250/VLOOKUP(VLOOKUP($BJ250,坦克个性化设定!$B$18:$E$48,4,FALSE)&amp;$BK250,坦克属性分配比例,MATCH("升星次数",坦克属性分配比例标头,0),FALSE)*VLOOKUP($BJ250,$AR$3:$AY$33,MATCH("换弹时间",$AR$3:$AY$3,0),FALSE),2))</f>
        <v>4.05</v>
      </c>
      <c r="BW250" s="2">
        <f>IF(VLOOKUP(BJ250,坦克个性化设定!$B$18:$BC$48,MATCH("装弹类型",坦克个性化设定!$B$18:$BC$18,0),FALSE)="弹夹换弹",ROUND(VLOOKUP($BJ250,$AI$3:$AO$33,MATCH("换弹时间",$AI$3:$AO$3,0),FALSE)-$BL250/VLOOKUP(VLOOKUP($BJ250,坦克个性化设定!$B$18:$E$48,4,FALSE)&amp;$BK250,坦克属性分配比例,MATCH("升星次数",坦克属性分配比例标头,0),FALSE)*VLOOKUP($BJ250,$AR$3:$AY$33,MATCH("换弹时间",$AR$3:$AY$3,0),FALSE),1),0)</f>
        <v>0</v>
      </c>
      <c r="BX250" s="2">
        <f>ROUND(VLOOKUP($BJ250,$AI$3:$AO$33,MATCH(BX$3,$AI$3:$AO$3,0),FALSE)+$BL250/VLOOKUP(VLOOKUP($BJ250,坦克个性化设定!$B$18:$E$48,4,FALSE)&amp;$BK250,坦克属性分配比例,MATCH("升星次数",坦克属性分配比例标头,0),FALSE)*VLOOKUP($BJ250,$AR$3:$AY$33,MATCH(BX$3,$AR$3:$AY$3,0),FALSE),2)</f>
        <v>2</v>
      </c>
      <c r="BY250" s="2">
        <f>ROUND(VLOOKUP($BJ250,$AI$3:$AO$33,MATCH(BY$3,$AI$3:$AO$3,0),FALSE)-$BL250/VLOOKUP(VLOOKUP($BJ250,坦克个性化设定!$B$18:$E$48,4,FALSE)&amp;$BK250,坦克属性分配比例,MATCH("升星次数",坦克属性分配比例标头,0),FALSE)*VLOOKUP($BJ250,$AR$3:$AY$33,MATCH(BY$3,$AR$3:$AY$3,0),FALSE),2)</f>
        <v>2.25</v>
      </c>
    </row>
    <row r="251" spans="60:77" x14ac:dyDescent="0.3">
      <c r="BH251" s="2" t="str">
        <f t="shared" si="32"/>
        <v>KV-21</v>
      </c>
      <c r="BI251" s="2">
        <f>IF(BL250&gt;=VLOOKUP(VLOOKUP(BJ250,坦克个性化设定!$B$18:$E$48,4,FALSE)&amp;BK250,坦克属性分配比例,MATCH("升星次数",坦克属性分配比例标头,0),FALSE),BI250+1,BI250)</f>
        <v>26</v>
      </c>
      <c r="BJ251" s="2" t="str">
        <f t="shared" si="33"/>
        <v>KV-2</v>
      </c>
      <c r="BK251" s="29" t="str">
        <f>VLOOKUP(BJ251,坦克个性化细分!$I$3:$J$33,2,FALSE)</f>
        <v>高</v>
      </c>
      <c r="BL251" s="2">
        <f t="shared" si="34"/>
        <v>1</v>
      </c>
      <c r="BM251" s="103">
        <f ca="1">ROUND(VLOOKUP($BJ251&amp;"初始",$S$3:$AE$63,MATCH(BM$3,$S$3:$AE$3,0),FALSE)+((VLOOKUP($BJ251&amp;"最终",$S$3:$AE$63,MATCH(BM$3,$S$3:$AE$3,0),FALSE)*坦克个性化细分!$C$9-VLOOKUP($BJ251&amp;"初始",$S$3:$AE$63,MATCH(BM$3,$S$3:$AE$3,0),FALSE))-(VLOOKUP($BJ251&amp;"最终",$S$3:$AE$63,MATCH(BM$3,$S$3:$AE$3,0),FALSE)-VLOOKUP($BJ251&amp;"初始",$S$3:$AE$63,MATCH(BM$3,$S$3:$AE$3,0),FALSE))*VLOOKUP(VLOOKUP($BJ251,坦克个性化设定!$B$18:$E$48,4,FALSE)&amp;$BK251,坦克属性分配比例,MATCH("部件比例",坦克属性分配比例标头,0),FALSE))*$BL251/VLOOKUP(VLOOKUP($BJ251,坦克个性化设定!$B$18:$E$48,4,FALSE)&amp;$BK251,坦克属性分配比例,MATCH("升星次数",坦克属性分配比例标头,0),FALSE),0)</f>
        <v>1458</v>
      </c>
      <c r="BN251" s="103">
        <f ca="1">ROUND(VLOOKUP($BJ251&amp;"初始",$S$3:$AE$63,MATCH(BN$3,$S$3:$AE$3,0),FALSE)+(VLOOKUP($BJ251&amp;"最终",$S$3:$AE$63,MATCH(BN$3,$S$3:$AE$3,0),FALSE)-VLOOKUP($BJ251&amp;"初始",$S$3:$AE$63,MATCH(BN$3,$S$3:$AE$3,0),FALSE))*$BL251/VLOOKUP(VLOOKUP($BJ251,坦克个性化设定!$B$18:$E$48,4,FALSE)&amp;$BK251,坦克属性分配比例,MATCH("升星次数",坦克属性分配比例标头,0),FALSE)*VLOOKUP(VLOOKUP($BJ251,坦克个性化设定!$B$18:$E$48,4,FALSE)&amp;$BK251,坦克属性分配比例,MATCH("升星比例",坦克属性分配比例标头,0),FALSE),0)</f>
        <v>463</v>
      </c>
      <c r="BO251" s="103">
        <f ca="1">ROUND(VLOOKUP($BJ251&amp;"初始",$S$3:$AE$63,MATCH(BO$3,$S$3:$AE$3,0),FALSE)+(VLOOKUP($BJ251&amp;"最终",$S$3:$AE$63,MATCH(BO$3,$S$3:$AE$3,0),FALSE)-VLOOKUP($BJ251&amp;"初始",$S$3:$AE$63,MATCH(BO$3,$S$3:$AE$3,0),FALSE))*$BL251/VLOOKUP(VLOOKUP($BJ251,坦克个性化设定!$B$18:$E$48,4,FALSE)&amp;$BK251,坦克属性分配比例,MATCH("升星次数",坦克属性分配比例标头,0),FALSE)*(VLOOKUP(VLOOKUP($BJ251,坦克个性化设定!$B$18:$E$48,4,FALSE)&amp;$BK251,坦克属性分配比例,MATCH("升星比例",坦克属性分配比例标头,0),FALSE)+VLOOKUP(VLOOKUP($BJ251,坦克个性化设定!$B$18:$E$48,4,FALSE)&amp;$BK251,坦克属性分配比例,MATCH("部件比例",坦克属性分配比例标头,0),FALSE)*$C$3),0)</f>
        <v>184</v>
      </c>
      <c r="BP251" s="103">
        <f ca="1">ROUND(VLOOKUP($BJ251&amp;"初始",$S$3:$AE$63,MATCH(BP$3,$S$3:$AE$3,0),FALSE)+(VLOOKUP($BJ251&amp;"最终",$S$3:$AE$63,MATCH(BP$3,$S$3:$AE$3,0),FALSE)-VLOOKUP($BJ251&amp;"初始",$S$3:$AE$63,MATCH(BP$3,$S$3:$AE$3,0),FALSE))*$BL251/VLOOKUP(VLOOKUP($BJ251,坦克个性化设定!$B$18:$E$48,4,FALSE)&amp;$BK251,坦克属性分配比例,MATCH("升星次数",坦克属性分配比例标头,0),FALSE)*(VLOOKUP(VLOOKUP($BJ251,坦克个性化设定!$B$18:$E$48,4,FALSE)&amp;$BK251,坦克属性分配比例,MATCH("升星比例",坦克属性分配比例标头,0),FALSE)+VLOOKUP(VLOOKUP($BJ251,坦克个性化设定!$B$18:$E$48,4,FALSE)&amp;$BK251,坦克属性分配比例,MATCH("部件比例",坦克属性分配比例标头,0),FALSE)*$C$3),0)</f>
        <v>461</v>
      </c>
      <c r="BQ251" s="103">
        <f ca="1">ROUND(VLOOKUP($BJ251&amp;"初始",$S$3:$AE$63,MATCH(BQ$3,$S$3:$AE$3,0),FALSE)+(VLOOKUP($BJ251&amp;"最终",$S$3:$AE$63,MATCH(BQ$3,$S$3:$AE$3,0),FALSE)-VLOOKUP($BJ251&amp;"初始",$S$3:$AE$63,MATCH(BQ$3,$S$3:$AE$3,0),FALSE))*$BL251/VLOOKUP(VLOOKUP($BJ251,坦克个性化设定!$B$18:$E$48,4,FALSE)&amp;$BK251,坦克属性分配比例,MATCH("升星次数",坦克属性分配比例标头,0),FALSE)*VLOOKUP(VLOOKUP($BJ251,坦克个性化设定!$B$18:$E$48,4,FALSE)&amp;$BK251,坦克属性分配比例,MATCH("升星比例",坦克属性分配比例标头,0),FALSE),0)</f>
        <v>669</v>
      </c>
      <c r="BR251" s="2">
        <f ca="1">ROUND(VLOOKUP($BJ251&amp;"初始",$S$3:$AE$63,MATCH(BR$3,$S$3:$AE$3,0),FALSE)+(VLOOKUP($BJ251&amp;"最终",$S$3:$AE$63,MATCH(BR$3,$S$3:$AE$3,0),FALSE)-VLOOKUP($BJ251&amp;"初始",$S$3:$AE$63,MATCH(BR$3,$S$3:$AE$3,0),FALSE))*$BL251/VLOOKUP(VLOOKUP($BJ251,坦克个性化设定!$B$18:$E$48,4,FALSE)&amp;$BK251,坦克属性分配比例,MATCH("升星次数",坦克属性分配比例标头,0),FALSE),0)</f>
        <v>148</v>
      </c>
      <c r="BS251" s="2">
        <f>ROUND(VLOOKUP($BJ251,$AI$3:$AO$33,MATCH(BS$3,$AI$3:$AO$3,0),FALSE)+$BL251/VLOOKUP(VLOOKUP($BJ251,坦克个性化设定!$B$18:$E$48,4,FALSE)&amp;$BK251,坦克属性分配比例,MATCH("升星次数",坦克属性分配比例标头,0),FALSE)*VLOOKUP($BJ251,$AR$3:$AY$33,MATCH(BS$3,$AR$3:$AY$3,0),FALSE),1)</f>
        <v>41.4</v>
      </c>
      <c r="BT251" s="2">
        <f>ROUND(VLOOKUP($BJ251,$AI$3:$AO$33,MATCH(BT$3,$AI$3:$AO$3,0),FALSE)+$BL251/VLOOKUP(VLOOKUP($BJ251,坦克个性化设定!$B$18:$E$48,4,FALSE)&amp;$BK251,坦克属性分配比例,MATCH("升星次数",坦克属性分配比例标头,0),FALSE)*VLOOKUP($BJ251,$AR$3:$AY$33,MATCH(BT$3,$AR$3:$AY$3,0),FALSE),1)</f>
        <v>30.2</v>
      </c>
      <c r="BU251" s="2">
        <f>ROUND(VLOOKUP($BJ251,$AI$3:$AO$33,MATCH(BU$3,$AI$3:$AO$3,0),FALSE)+$BL251/VLOOKUP(VLOOKUP($BJ251,坦克个性化设定!$B$18:$E$48,4,FALSE)&amp;$BK251,坦克属性分配比例,MATCH("升星次数",坦克属性分配比例标头,0),FALSE)*VLOOKUP($BJ251,$AR$3:$AY$33,MATCH(BU$3,$AR$3:$AY$3,0),FALSE),1)</f>
        <v>7.4</v>
      </c>
      <c r="BV251" s="2">
        <f>IF(VLOOKUP(BJ251,坦克个性化设定!$B$18:$BC$48,MATCH("装弹类型",坦克个性化设定!$B$18:$BC$18,0),FALSE)="弹夹换弹",0,ROUND(VLOOKUP($BJ251,$AI$3:$AO$33,MATCH("换弹时间",$AI$3:$AO$3,0),FALSE)-$BL251/VLOOKUP(VLOOKUP($BJ251,坦克个性化设定!$B$18:$E$48,4,FALSE)&amp;$BK251,坦克属性分配比例,MATCH("升星次数",坦克属性分配比例标头,0),FALSE)*VLOOKUP($BJ251,$AR$3:$AY$33,MATCH("换弹时间",$AR$3:$AY$3,0),FALSE),2))</f>
        <v>3.98</v>
      </c>
      <c r="BW251" s="2">
        <f>IF(VLOOKUP(BJ251,坦克个性化设定!$B$18:$BC$48,MATCH("装弹类型",坦克个性化设定!$B$18:$BC$18,0),FALSE)="弹夹换弹",ROUND(VLOOKUP($BJ251,$AI$3:$AO$33,MATCH("换弹时间",$AI$3:$AO$3,0),FALSE)-$BL251/VLOOKUP(VLOOKUP($BJ251,坦克个性化设定!$B$18:$E$48,4,FALSE)&amp;$BK251,坦克属性分配比例,MATCH("升星次数",坦克属性分配比例标头,0),FALSE)*VLOOKUP($BJ251,$AR$3:$AY$33,MATCH("换弹时间",$AR$3:$AY$3,0),FALSE),1),0)</f>
        <v>0</v>
      </c>
      <c r="BX251" s="2">
        <f>ROUND(VLOOKUP($BJ251,$AI$3:$AO$33,MATCH(BX$3,$AI$3:$AO$3,0),FALSE)+$BL251/VLOOKUP(VLOOKUP($BJ251,坦克个性化设定!$B$18:$E$48,4,FALSE)&amp;$BK251,坦克属性分配比例,MATCH("升星次数",坦克属性分配比例标头,0),FALSE)*VLOOKUP($BJ251,$AR$3:$AY$33,MATCH(BX$3,$AR$3:$AY$3,0),FALSE),2)</f>
        <v>2</v>
      </c>
      <c r="BY251" s="2">
        <f>ROUND(VLOOKUP($BJ251,$AI$3:$AO$33,MATCH(BY$3,$AI$3:$AO$3,0),FALSE)-$BL251/VLOOKUP(VLOOKUP($BJ251,坦克个性化设定!$B$18:$E$48,4,FALSE)&amp;$BK251,坦克属性分配比例,MATCH("升星次数",坦克属性分配比例标头,0),FALSE)*VLOOKUP($BJ251,$AR$3:$AY$33,MATCH(BY$3,$AR$3:$AY$3,0),FALSE),2)</f>
        <v>2.21</v>
      </c>
    </row>
    <row r="252" spans="60:77" x14ac:dyDescent="0.3">
      <c r="BH252" s="2" t="str">
        <f t="shared" si="32"/>
        <v>KV-22</v>
      </c>
      <c r="BI252" s="2">
        <f>IF(BL251&gt;=VLOOKUP(VLOOKUP(BJ251,坦克个性化设定!$B$18:$E$48,4,FALSE)&amp;BK251,坦克属性分配比例,MATCH("升星次数",坦克属性分配比例标头,0),FALSE),BI251+1,BI251)</f>
        <v>26</v>
      </c>
      <c r="BJ252" s="2" t="str">
        <f t="shared" si="33"/>
        <v>KV-2</v>
      </c>
      <c r="BK252" s="29" t="str">
        <f>VLOOKUP(BJ252,坦克个性化细分!$I$3:$J$33,2,FALSE)</f>
        <v>高</v>
      </c>
      <c r="BL252" s="2">
        <f t="shared" si="34"/>
        <v>2</v>
      </c>
      <c r="BM252" s="103">
        <f ca="1">ROUND(VLOOKUP($BJ252&amp;"初始",$S$3:$AE$63,MATCH(BM$3,$S$3:$AE$3,0),FALSE)+((VLOOKUP($BJ252&amp;"最终",$S$3:$AE$63,MATCH(BM$3,$S$3:$AE$3,0),FALSE)*坦克个性化细分!$C$9-VLOOKUP($BJ252&amp;"初始",$S$3:$AE$63,MATCH(BM$3,$S$3:$AE$3,0),FALSE))-(VLOOKUP($BJ252&amp;"最终",$S$3:$AE$63,MATCH(BM$3,$S$3:$AE$3,0),FALSE)-VLOOKUP($BJ252&amp;"初始",$S$3:$AE$63,MATCH(BM$3,$S$3:$AE$3,0),FALSE))*VLOOKUP(VLOOKUP($BJ252,坦克个性化设定!$B$18:$E$48,4,FALSE)&amp;$BK252,坦克属性分配比例,MATCH("部件比例",坦克属性分配比例标头,0),FALSE))*$BL252/VLOOKUP(VLOOKUP($BJ252,坦克个性化设定!$B$18:$E$48,4,FALSE)&amp;$BK252,坦克属性分配比例,MATCH("升星次数",坦克属性分配比例标头,0),FALSE),0)</f>
        <v>1536</v>
      </c>
      <c r="BN252" s="103">
        <f ca="1">ROUND(VLOOKUP($BJ252&amp;"初始",$S$3:$AE$63,MATCH(BN$3,$S$3:$AE$3,0),FALSE)+(VLOOKUP($BJ252&amp;"最终",$S$3:$AE$63,MATCH(BN$3,$S$3:$AE$3,0),FALSE)-VLOOKUP($BJ252&amp;"初始",$S$3:$AE$63,MATCH(BN$3,$S$3:$AE$3,0),FALSE))*$BL252/VLOOKUP(VLOOKUP($BJ252,坦克个性化设定!$B$18:$E$48,4,FALSE)&amp;$BK252,坦克属性分配比例,MATCH("升星次数",坦克属性分配比例标头,0),FALSE)*VLOOKUP(VLOOKUP($BJ252,坦克个性化设定!$B$18:$E$48,4,FALSE)&amp;$BK252,坦克属性分配比例,MATCH("升星比例",坦克属性分配比例标头,0),FALSE),0)</f>
        <v>478</v>
      </c>
      <c r="BO252" s="103">
        <f ca="1">ROUND(VLOOKUP($BJ252&amp;"初始",$S$3:$AE$63,MATCH(BO$3,$S$3:$AE$3,0),FALSE)+(VLOOKUP($BJ252&amp;"最终",$S$3:$AE$63,MATCH(BO$3,$S$3:$AE$3,0),FALSE)-VLOOKUP($BJ252&amp;"初始",$S$3:$AE$63,MATCH(BO$3,$S$3:$AE$3,0),FALSE))*$BL252/VLOOKUP(VLOOKUP($BJ252,坦克个性化设定!$B$18:$E$48,4,FALSE)&amp;$BK252,坦克属性分配比例,MATCH("升星次数",坦克属性分配比例标头,0),FALSE)*(VLOOKUP(VLOOKUP($BJ252,坦克个性化设定!$B$18:$E$48,4,FALSE)&amp;$BK252,坦克属性分配比例,MATCH("升星比例",坦克属性分配比例标头,0),FALSE)+VLOOKUP(VLOOKUP($BJ252,坦克个性化设定!$B$18:$E$48,4,FALSE)&amp;$BK252,坦克属性分配比例,MATCH("部件比例",坦克属性分配比例标头,0),FALSE)*$C$3),0)</f>
        <v>193</v>
      </c>
      <c r="BP252" s="103">
        <f ca="1">ROUND(VLOOKUP($BJ252&amp;"初始",$S$3:$AE$63,MATCH(BP$3,$S$3:$AE$3,0),FALSE)+(VLOOKUP($BJ252&amp;"最终",$S$3:$AE$63,MATCH(BP$3,$S$3:$AE$3,0),FALSE)-VLOOKUP($BJ252&amp;"初始",$S$3:$AE$63,MATCH(BP$3,$S$3:$AE$3,0),FALSE))*$BL252/VLOOKUP(VLOOKUP($BJ252,坦克个性化设定!$B$18:$E$48,4,FALSE)&amp;$BK252,坦克属性分配比例,MATCH("升星次数",坦克属性分配比例标头,0),FALSE)*(VLOOKUP(VLOOKUP($BJ252,坦克个性化设定!$B$18:$E$48,4,FALSE)&amp;$BK252,坦克属性分配比例,MATCH("升星比例",坦克属性分配比例标头,0),FALSE)+VLOOKUP(VLOOKUP($BJ252,坦克个性化设定!$B$18:$E$48,4,FALSE)&amp;$BK252,坦克属性分配比例,MATCH("部件比例",坦克属性分配比例标头,0),FALSE)*$C$3),0)</f>
        <v>482</v>
      </c>
      <c r="BQ252" s="103">
        <f ca="1">ROUND(VLOOKUP($BJ252&amp;"初始",$S$3:$AE$63,MATCH(BQ$3,$S$3:$AE$3,0),FALSE)+(VLOOKUP($BJ252&amp;"最终",$S$3:$AE$63,MATCH(BQ$3,$S$3:$AE$3,0),FALSE)-VLOOKUP($BJ252&amp;"初始",$S$3:$AE$63,MATCH(BQ$3,$S$3:$AE$3,0),FALSE))*$BL252/VLOOKUP(VLOOKUP($BJ252,坦克个性化设定!$B$18:$E$48,4,FALSE)&amp;$BK252,坦克属性分配比例,MATCH("升星次数",坦克属性分配比例标头,0),FALSE)*VLOOKUP(VLOOKUP($BJ252,坦克个性化设定!$B$18:$E$48,4,FALSE)&amp;$BK252,坦克属性分配比例,MATCH("升星比例",坦克属性分配比例标头,0),FALSE),0)</f>
        <v>691</v>
      </c>
      <c r="BR252" s="2">
        <f ca="1">ROUND(VLOOKUP($BJ252&amp;"初始",$S$3:$AE$63,MATCH(BR$3,$S$3:$AE$3,0),FALSE)+(VLOOKUP($BJ252&amp;"最终",$S$3:$AE$63,MATCH(BR$3,$S$3:$AE$3,0),FALSE)-VLOOKUP($BJ252&amp;"初始",$S$3:$AE$63,MATCH(BR$3,$S$3:$AE$3,0),FALSE))*$BL252/VLOOKUP(VLOOKUP($BJ252,坦克个性化设定!$B$18:$E$48,4,FALSE)&amp;$BK252,坦克属性分配比例,MATCH("升星次数",坦克属性分配比例标头,0),FALSE),0)</f>
        <v>156</v>
      </c>
      <c r="BS252" s="2">
        <f>ROUND(VLOOKUP($BJ252,$AI$3:$AO$33,MATCH(BS$3,$AI$3:$AO$3,0),FALSE)+$BL252/VLOOKUP(VLOOKUP($BJ252,坦克个性化设定!$B$18:$E$48,4,FALSE)&amp;$BK252,坦克属性分配比例,MATCH("升星次数",坦克属性分配比例标头,0),FALSE)*VLOOKUP($BJ252,$AR$3:$AY$33,MATCH(BS$3,$AR$3:$AY$3,0),FALSE),1)</f>
        <v>42.5</v>
      </c>
      <c r="BT252" s="2">
        <f>ROUND(VLOOKUP($BJ252,$AI$3:$AO$33,MATCH(BT$3,$AI$3:$AO$3,0),FALSE)+$BL252/VLOOKUP(VLOOKUP($BJ252,坦克个性化设定!$B$18:$E$48,4,FALSE)&amp;$BK252,坦克属性分配比例,MATCH("升星次数",坦克属性分配比例标头,0),FALSE)*VLOOKUP($BJ252,$AR$3:$AY$33,MATCH(BT$3,$AR$3:$AY$3,0),FALSE),1)</f>
        <v>31</v>
      </c>
      <c r="BU252" s="2">
        <f>ROUND(VLOOKUP($BJ252,$AI$3:$AO$33,MATCH(BU$3,$AI$3:$AO$3,0),FALSE)+$BL252/VLOOKUP(VLOOKUP($BJ252,坦克个性化设定!$B$18:$E$48,4,FALSE)&amp;$BK252,坦克属性分配比例,MATCH("升星次数",坦克属性分配比例标头,0),FALSE)*VLOOKUP($BJ252,$AR$3:$AY$33,MATCH(BU$3,$AR$3:$AY$3,0),FALSE),1)</f>
        <v>7.4</v>
      </c>
      <c r="BV252" s="2">
        <f>IF(VLOOKUP(BJ252,坦克个性化设定!$B$18:$BC$48,MATCH("装弹类型",坦克个性化设定!$B$18:$BC$18,0),FALSE)="弹夹换弹",0,ROUND(VLOOKUP($BJ252,$AI$3:$AO$33,MATCH("换弹时间",$AI$3:$AO$3,0),FALSE)-$BL252/VLOOKUP(VLOOKUP($BJ252,坦克个性化设定!$B$18:$E$48,4,FALSE)&amp;$BK252,坦克属性分配比例,MATCH("升星次数",坦克属性分配比例标头,0),FALSE)*VLOOKUP($BJ252,$AR$3:$AY$33,MATCH("换弹时间",$AR$3:$AY$3,0),FALSE),2))</f>
        <v>3.92</v>
      </c>
      <c r="BW252" s="2">
        <f>IF(VLOOKUP(BJ252,坦克个性化设定!$B$18:$BC$48,MATCH("装弹类型",坦克个性化设定!$B$18:$BC$18,0),FALSE)="弹夹换弹",ROUND(VLOOKUP($BJ252,$AI$3:$AO$33,MATCH("换弹时间",$AI$3:$AO$3,0),FALSE)-$BL252/VLOOKUP(VLOOKUP($BJ252,坦克个性化设定!$B$18:$E$48,4,FALSE)&amp;$BK252,坦克属性分配比例,MATCH("升星次数",坦克属性分配比例标头,0),FALSE)*VLOOKUP($BJ252,$AR$3:$AY$33,MATCH("换弹时间",$AR$3:$AY$3,0),FALSE),1),0)</f>
        <v>0</v>
      </c>
      <c r="BX252" s="2">
        <f>ROUND(VLOOKUP($BJ252,$AI$3:$AO$33,MATCH(BX$3,$AI$3:$AO$3,0),FALSE)+$BL252/VLOOKUP(VLOOKUP($BJ252,坦克个性化设定!$B$18:$E$48,4,FALSE)&amp;$BK252,坦克属性分配比例,MATCH("升星次数",坦克属性分配比例标头,0),FALSE)*VLOOKUP($BJ252,$AR$3:$AY$33,MATCH(BX$3,$AR$3:$AY$3,0),FALSE),2)</f>
        <v>2</v>
      </c>
      <c r="BY252" s="2">
        <f>ROUND(VLOOKUP($BJ252,$AI$3:$AO$33,MATCH(BY$3,$AI$3:$AO$3,0),FALSE)-$BL252/VLOOKUP(VLOOKUP($BJ252,坦克个性化设定!$B$18:$E$48,4,FALSE)&amp;$BK252,坦克属性分配比例,MATCH("升星次数",坦克属性分配比例标头,0),FALSE)*VLOOKUP($BJ252,$AR$3:$AY$33,MATCH(BY$3,$AR$3:$AY$3,0),FALSE),2)</f>
        <v>2.17</v>
      </c>
    </row>
    <row r="253" spans="60:77" x14ac:dyDescent="0.3">
      <c r="BH253" s="2" t="str">
        <f t="shared" si="32"/>
        <v>KV-23</v>
      </c>
      <c r="BI253" s="2">
        <f>IF(BL252&gt;=VLOOKUP(VLOOKUP(BJ252,坦克个性化设定!$B$18:$E$48,4,FALSE)&amp;BK252,坦克属性分配比例,MATCH("升星次数",坦克属性分配比例标头,0),FALSE),BI252+1,BI252)</f>
        <v>26</v>
      </c>
      <c r="BJ253" s="2" t="str">
        <f t="shared" si="33"/>
        <v>KV-2</v>
      </c>
      <c r="BK253" s="29" t="str">
        <f>VLOOKUP(BJ253,坦克个性化细分!$I$3:$J$33,2,FALSE)</f>
        <v>高</v>
      </c>
      <c r="BL253" s="2">
        <f t="shared" si="34"/>
        <v>3</v>
      </c>
      <c r="BM253" s="103">
        <f ca="1">ROUND(VLOOKUP($BJ253&amp;"初始",$S$3:$AE$63,MATCH(BM$3,$S$3:$AE$3,0),FALSE)+((VLOOKUP($BJ253&amp;"最终",$S$3:$AE$63,MATCH(BM$3,$S$3:$AE$3,0),FALSE)*坦克个性化细分!$C$9-VLOOKUP($BJ253&amp;"初始",$S$3:$AE$63,MATCH(BM$3,$S$3:$AE$3,0),FALSE))-(VLOOKUP($BJ253&amp;"最终",$S$3:$AE$63,MATCH(BM$3,$S$3:$AE$3,0),FALSE)-VLOOKUP($BJ253&amp;"初始",$S$3:$AE$63,MATCH(BM$3,$S$3:$AE$3,0),FALSE))*VLOOKUP(VLOOKUP($BJ253,坦克个性化设定!$B$18:$E$48,4,FALSE)&amp;$BK253,坦克属性分配比例,MATCH("部件比例",坦克属性分配比例标头,0),FALSE))*$BL253/VLOOKUP(VLOOKUP($BJ253,坦克个性化设定!$B$18:$E$48,4,FALSE)&amp;$BK253,坦克属性分配比例,MATCH("升星次数",坦克属性分配比例标头,0),FALSE),0)</f>
        <v>1614</v>
      </c>
      <c r="BN253" s="103">
        <f ca="1">ROUND(VLOOKUP($BJ253&amp;"初始",$S$3:$AE$63,MATCH(BN$3,$S$3:$AE$3,0),FALSE)+(VLOOKUP($BJ253&amp;"最终",$S$3:$AE$63,MATCH(BN$3,$S$3:$AE$3,0),FALSE)-VLOOKUP($BJ253&amp;"初始",$S$3:$AE$63,MATCH(BN$3,$S$3:$AE$3,0),FALSE))*$BL253/VLOOKUP(VLOOKUP($BJ253,坦克个性化设定!$B$18:$E$48,4,FALSE)&amp;$BK253,坦克属性分配比例,MATCH("升星次数",坦克属性分配比例标头,0),FALSE)*VLOOKUP(VLOOKUP($BJ253,坦克个性化设定!$B$18:$E$48,4,FALSE)&amp;$BK253,坦克属性分配比例,MATCH("升星比例",坦克属性分配比例标头,0),FALSE),0)</f>
        <v>493</v>
      </c>
      <c r="BO253" s="103">
        <f ca="1">ROUND(VLOOKUP($BJ253&amp;"初始",$S$3:$AE$63,MATCH(BO$3,$S$3:$AE$3,0),FALSE)+(VLOOKUP($BJ253&amp;"最终",$S$3:$AE$63,MATCH(BO$3,$S$3:$AE$3,0),FALSE)-VLOOKUP($BJ253&amp;"初始",$S$3:$AE$63,MATCH(BO$3,$S$3:$AE$3,0),FALSE))*$BL253/VLOOKUP(VLOOKUP($BJ253,坦克个性化设定!$B$18:$E$48,4,FALSE)&amp;$BK253,坦克属性分配比例,MATCH("升星次数",坦克属性分配比例标头,0),FALSE)*(VLOOKUP(VLOOKUP($BJ253,坦克个性化设定!$B$18:$E$48,4,FALSE)&amp;$BK253,坦克属性分配比例,MATCH("升星比例",坦克属性分配比例标头,0),FALSE)+VLOOKUP(VLOOKUP($BJ253,坦克个性化设定!$B$18:$E$48,4,FALSE)&amp;$BK253,坦克属性分配比例,MATCH("部件比例",坦克属性分配比例标头,0),FALSE)*$C$3),0)</f>
        <v>201</v>
      </c>
      <c r="BP253" s="103">
        <f ca="1">ROUND(VLOOKUP($BJ253&amp;"初始",$S$3:$AE$63,MATCH(BP$3,$S$3:$AE$3,0),FALSE)+(VLOOKUP($BJ253&amp;"最终",$S$3:$AE$63,MATCH(BP$3,$S$3:$AE$3,0),FALSE)-VLOOKUP($BJ253&amp;"初始",$S$3:$AE$63,MATCH(BP$3,$S$3:$AE$3,0),FALSE))*$BL253/VLOOKUP(VLOOKUP($BJ253,坦克个性化设定!$B$18:$E$48,4,FALSE)&amp;$BK253,坦克属性分配比例,MATCH("升星次数",坦克属性分配比例标头,0),FALSE)*(VLOOKUP(VLOOKUP($BJ253,坦克个性化设定!$B$18:$E$48,4,FALSE)&amp;$BK253,坦克属性分配比例,MATCH("升星比例",坦克属性分配比例标头,0),FALSE)+VLOOKUP(VLOOKUP($BJ253,坦克个性化设定!$B$18:$E$48,4,FALSE)&amp;$BK253,坦克属性分配比例,MATCH("部件比例",坦克属性分配比例标头,0),FALSE)*$C$3),0)</f>
        <v>503</v>
      </c>
      <c r="BQ253" s="103">
        <f ca="1">ROUND(VLOOKUP($BJ253&amp;"初始",$S$3:$AE$63,MATCH(BQ$3,$S$3:$AE$3,0),FALSE)+(VLOOKUP($BJ253&amp;"最终",$S$3:$AE$63,MATCH(BQ$3,$S$3:$AE$3,0),FALSE)-VLOOKUP($BJ253&amp;"初始",$S$3:$AE$63,MATCH(BQ$3,$S$3:$AE$3,0),FALSE))*$BL253/VLOOKUP(VLOOKUP($BJ253,坦克个性化设定!$B$18:$E$48,4,FALSE)&amp;$BK253,坦克属性分配比例,MATCH("升星次数",坦克属性分配比例标头,0),FALSE)*VLOOKUP(VLOOKUP($BJ253,坦克个性化设定!$B$18:$E$48,4,FALSE)&amp;$BK253,坦克属性分配比例,MATCH("升星比例",坦克属性分配比例标头,0),FALSE),0)</f>
        <v>713</v>
      </c>
      <c r="BR253" s="2">
        <f ca="1">ROUND(VLOOKUP($BJ253&amp;"初始",$S$3:$AE$63,MATCH(BR$3,$S$3:$AE$3,0),FALSE)+(VLOOKUP($BJ253&amp;"最终",$S$3:$AE$63,MATCH(BR$3,$S$3:$AE$3,0),FALSE)-VLOOKUP($BJ253&amp;"初始",$S$3:$AE$63,MATCH(BR$3,$S$3:$AE$3,0),FALSE))*$BL253/VLOOKUP(VLOOKUP($BJ253,坦克个性化设定!$B$18:$E$48,4,FALSE)&amp;$BK253,坦克属性分配比例,MATCH("升星次数",坦克属性分配比例标头,0),FALSE),0)</f>
        <v>164</v>
      </c>
      <c r="BS253" s="2">
        <f>ROUND(VLOOKUP($BJ253,$AI$3:$AO$33,MATCH(BS$3,$AI$3:$AO$3,0),FALSE)+$BL253/VLOOKUP(VLOOKUP($BJ253,坦克个性化设定!$B$18:$E$48,4,FALSE)&amp;$BK253,坦克属性分配比例,MATCH("升星次数",坦克属性分配比例标头,0),FALSE)*VLOOKUP($BJ253,$AR$3:$AY$33,MATCH(BS$3,$AR$3:$AY$3,0),FALSE),1)</f>
        <v>43.7</v>
      </c>
      <c r="BT253" s="2">
        <f>ROUND(VLOOKUP($BJ253,$AI$3:$AO$33,MATCH(BT$3,$AI$3:$AO$3,0),FALSE)+$BL253/VLOOKUP(VLOOKUP($BJ253,坦克个性化设定!$B$18:$E$48,4,FALSE)&amp;$BK253,坦克属性分配比例,MATCH("升星次数",坦克属性分配比例标头,0),FALSE)*VLOOKUP($BJ253,$AR$3:$AY$33,MATCH(BT$3,$AR$3:$AY$3,0),FALSE),1)</f>
        <v>31.9</v>
      </c>
      <c r="BU253" s="2">
        <f>ROUND(VLOOKUP($BJ253,$AI$3:$AO$33,MATCH(BU$3,$AI$3:$AO$3,0),FALSE)+$BL253/VLOOKUP(VLOOKUP($BJ253,坦克个性化设定!$B$18:$E$48,4,FALSE)&amp;$BK253,坦克属性分配比例,MATCH("升星次数",坦克属性分配比例标头,0),FALSE)*VLOOKUP($BJ253,$AR$3:$AY$33,MATCH(BU$3,$AR$3:$AY$3,0),FALSE),1)</f>
        <v>7.4</v>
      </c>
      <c r="BV253" s="2">
        <f>IF(VLOOKUP(BJ253,坦克个性化设定!$B$18:$BC$48,MATCH("装弹类型",坦克个性化设定!$B$18:$BC$18,0),FALSE)="弹夹换弹",0,ROUND(VLOOKUP($BJ253,$AI$3:$AO$33,MATCH("换弹时间",$AI$3:$AO$3,0),FALSE)-$BL253/VLOOKUP(VLOOKUP($BJ253,坦克个性化设定!$B$18:$E$48,4,FALSE)&amp;$BK253,坦克属性分配比例,MATCH("升星次数",坦克属性分配比例标头,0),FALSE)*VLOOKUP($BJ253,$AR$3:$AY$33,MATCH("换弹时间",$AR$3:$AY$3,0),FALSE),2))</f>
        <v>3.85</v>
      </c>
      <c r="BW253" s="2">
        <f>IF(VLOOKUP(BJ253,坦克个性化设定!$B$18:$BC$48,MATCH("装弹类型",坦克个性化设定!$B$18:$BC$18,0),FALSE)="弹夹换弹",ROUND(VLOOKUP($BJ253,$AI$3:$AO$33,MATCH("换弹时间",$AI$3:$AO$3,0),FALSE)-$BL253/VLOOKUP(VLOOKUP($BJ253,坦克个性化设定!$B$18:$E$48,4,FALSE)&amp;$BK253,坦克属性分配比例,MATCH("升星次数",坦克属性分配比例标头,0),FALSE)*VLOOKUP($BJ253,$AR$3:$AY$33,MATCH("换弹时间",$AR$3:$AY$3,0),FALSE),1),0)</f>
        <v>0</v>
      </c>
      <c r="BX253" s="2">
        <f>ROUND(VLOOKUP($BJ253,$AI$3:$AO$33,MATCH(BX$3,$AI$3:$AO$3,0),FALSE)+$BL253/VLOOKUP(VLOOKUP($BJ253,坦克个性化设定!$B$18:$E$48,4,FALSE)&amp;$BK253,坦克属性分配比例,MATCH("升星次数",坦克属性分配比例标头,0),FALSE)*VLOOKUP($BJ253,$AR$3:$AY$33,MATCH(BX$3,$AR$3:$AY$3,0),FALSE),2)</f>
        <v>2</v>
      </c>
      <c r="BY253" s="2">
        <f>ROUND(VLOOKUP($BJ253,$AI$3:$AO$33,MATCH(BY$3,$AI$3:$AO$3,0),FALSE)-$BL253/VLOOKUP(VLOOKUP($BJ253,坦克个性化设定!$B$18:$E$48,4,FALSE)&amp;$BK253,坦克属性分配比例,MATCH("升星次数",坦克属性分配比例标头,0),FALSE)*VLOOKUP($BJ253,$AR$3:$AY$33,MATCH(BY$3,$AR$3:$AY$3,0),FALSE),2)</f>
        <v>2.13</v>
      </c>
    </row>
    <row r="254" spans="60:77" x14ac:dyDescent="0.3">
      <c r="BH254" s="2" t="str">
        <f t="shared" ref="BH254:BH309" si="35">BJ254&amp;BL254</f>
        <v>KV-24</v>
      </c>
      <c r="BI254" s="2">
        <f>IF(BL253&gt;=VLOOKUP(VLOOKUP(BJ253,坦克个性化设定!$B$18:$E$48,4,FALSE)&amp;BK253,坦克属性分配比例,MATCH("升星次数",坦克属性分配比例标头,0),FALSE),BI253+1,BI253)</f>
        <v>26</v>
      </c>
      <c r="BJ254" s="2" t="str">
        <f t="shared" ref="BJ254:BJ309" si="36">VLOOKUP(BI254,$B$5:$C$35,2,FALSE)</f>
        <v>KV-2</v>
      </c>
      <c r="BK254" s="29" t="str">
        <f>VLOOKUP(BJ254,坦克个性化细分!$I$3:$J$33,2,FALSE)</f>
        <v>高</v>
      </c>
      <c r="BL254" s="2">
        <f t="shared" ref="BL254:BL309" si="37">IF(BJ254&lt;&gt;BJ253,0,BL253+1)</f>
        <v>4</v>
      </c>
      <c r="BM254" s="103">
        <f ca="1">ROUND(VLOOKUP($BJ254&amp;"初始",$S$3:$AE$63,MATCH(BM$3,$S$3:$AE$3,0),FALSE)+((VLOOKUP($BJ254&amp;"最终",$S$3:$AE$63,MATCH(BM$3,$S$3:$AE$3,0),FALSE)*坦克个性化细分!$C$9-VLOOKUP($BJ254&amp;"初始",$S$3:$AE$63,MATCH(BM$3,$S$3:$AE$3,0),FALSE))-(VLOOKUP($BJ254&amp;"最终",$S$3:$AE$63,MATCH(BM$3,$S$3:$AE$3,0),FALSE)-VLOOKUP($BJ254&amp;"初始",$S$3:$AE$63,MATCH(BM$3,$S$3:$AE$3,0),FALSE))*VLOOKUP(VLOOKUP($BJ254,坦克个性化设定!$B$18:$E$48,4,FALSE)&amp;$BK254,坦克属性分配比例,MATCH("部件比例",坦克属性分配比例标头,0),FALSE))*$BL254/VLOOKUP(VLOOKUP($BJ254,坦克个性化设定!$B$18:$E$48,4,FALSE)&amp;$BK254,坦克属性分配比例,MATCH("升星次数",坦克属性分配比例标头,0),FALSE),0)</f>
        <v>1692</v>
      </c>
      <c r="BN254" s="103">
        <f ca="1">ROUND(VLOOKUP($BJ254&amp;"初始",$S$3:$AE$63,MATCH(BN$3,$S$3:$AE$3,0),FALSE)+(VLOOKUP($BJ254&amp;"最终",$S$3:$AE$63,MATCH(BN$3,$S$3:$AE$3,0),FALSE)-VLOOKUP($BJ254&amp;"初始",$S$3:$AE$63,MATCH(BN$3,$S$3:$AE$3,0),FALSE))*$BL254/VLOOKUP(VLOOKUP($BJ254,坦克个性化设定!$B$18:$E$48,4,FALSE)&amp;$BK254,坦克属性分配比例,MATCH("升星次数",坦克属性分配比例标头,0),FALSE)*VLOOKUP(VLOOKUP($BJ254,坦克个性化设定!$B$18:$E$48,4,FALSE)&amp;$BK254,坦克属性分配比例,MATCH("升星比例",坦克属性分配比例标头,0),FALSE),0)</f>
        <v>509</v>
      </c>
      <c r="BO254" s="103">
        <f ca="1">ROUND(VLOOKUP($BJ254&amp;"初始",$S$3:$AE$63,MATCH(BO$3,$S$3:$AE$3,0),FALSE)+(VLOOKUP($BJ254&amp;"最终",$S$3:$AE$63,MATCH(BO$3,$S$3:$AE$3,0),FALSE)-VLOOKUP($BJ254&amp;"初始",$S$3:$AE$63,MATCH(BO$3,$S$3:$AE$3,0),FALSE))*$BL254/VLOOKUP(VLOOKUP($BJ254,坦克个性化设定!$B$18:$E$48,4,FALSE)&amp;$BK254,坦克属性分配比例,MATCH("升星次数",坦克属性分配比例标头,0),FALSE)*(VLOOKUP(VLOOKUP($BJ254,坦克个性化设定!$B$18:$E$48,4,FALSE)&amp;$BK254,坦克属性分配比例,MATCH("升星比例",坦克属性分配比例标头,0),FALSE)+VLOOKUP(VLOOKUP($BJ254,坦克个性化设定!$B$18:$E$48,4,FALSE)&amp;$BK254,坦克属性分配比例,MATCH("部件比例",坦克属性分配比例标头,0),FALSE)*$C$3),0)</f>
        <v>210</v>
      </c>
      <c r="BP254" s="103">
        <f ca="1">ROUND(VLOOKUP($BJ254&amp;"初始",$S$3:$AE$63,MATCH(BP$3,$S$3:$AE$3,0),FALSE)+(VLOOKUP($BJ254&amp;"最终",$S$3:$AE$63,MATCH(BP$3,$S$3:$AE$3,0),FALSE)-VLOOKUP($BJ254&amp;"初始",$S$3:$AE$63,MATCH(BP$3,$S$3:$AE$3,0),FALSE))*$BL254/VLOOKUP(VLOOKUP($BJ254,坦克个性化设定!$B$18:$E$48,4,FALSE)&amp;$BK254,坦克属性分配比例,MATCH("升星次数",坦克属性分配比例标头,0),FALSE)*(VLOOKUP(VLOOKUP($BJ254,坦克个性化设定!$B$18:$E$48,4,FALSE)&amp;$BK254,坦克属性分配比例,MATCH("升星比例",坦克属性分配比例标头,0),FALSE)+VLOOKUP(VLOOKUP($BJ254,坦克个性化设定!$B$18:$E$48,4,FALSE)&amp;$BK254,坦克属性分配比例,MATCH("部件比例",坦克属性分配比例标头,0),FALSE)*$C$3),0)</f>
        <v>524</v>
      </c>
      <c r="BQ254" s="103">
        <f ca="1">ROUND(VLOOKUP($BJ254&amp;"初始",$S$3:$AE$63,MATCH(BQ$3,$S$3:$AE$3,0),FALSE)+(VLOOKUP($BJ254&amp;"最终",$S$3:$AE$63,MATCH(BQ$3,$S$3:$AE$3,0),FALSE)-VLOOKUP($BJ254&amp;"初始",$S$3:$AE$63,MATCH(BQ$3,$S$3:$AE$3,0),FALSE))*$BL254/VLOOKUP(VLOOKUP($BJ254,坦克个性化设定!$B$18:$E$48,4,FALSE)&amp;$BK254,坦克属性分配比例,MATCH("升星次数",坦克属性分配比例标头,0),FALSE)*VLOOKUP(VLOOKUP($BJ254,坦克个性化设定!$B$18:$E$48,4,FALSE)&amp;$BK254,坦克属性分配比例,MATCH("升星比例",坦克属性分配比例标头,0),FALSE),0)</f>
        <v>736</v>
      </c>
      <c r="BR254" s="2">
        <f ca="1">ROUND(VLOOKUP($BJ254&amp;"初始",$S$3:$AE$63,MATCH(BR$3,$S$3:$AE$3,0),FALSE)+(VLOOKUP($BJ254&amp;"最终",$S$3:$AE$63,MATCH(BR$3,$S$3:$AE$3,0),FALSE)-VLOOKUP($BJ254&amp;"初始",$S$3:$AE$63,MATCH(BR$3,$S$3:$AE$3,0),FALSE))*$BL254/VLOOKUP(VLOOKUP($BJ254,坦克个性化设定!$B$18:$E$48,4,FALSE)&amp;$BK254,坦克属性分配比例,MATCH("升星次数",坦克属性分配比例标头,0),FALSE),0)</f>
        <v>172</v>
      </c>
      <c r="BS254" s="2">
        <f>ROUND(VLOOKUP($BJ254,$AI$3:$AO$33,MATCH(BS$3,$AI$3:$AO$3,0),FALSE)+$BL254/VLOOKUP(VLOOKUP($BJ254,坦克个性化设定!$B$18:$E$48,4,FALSE)&amp;$BK254,坦克属性分配比例,MATCH("升星次数",坦克属性分配比例标头,0),FALSE)*VLOOKUP($BJ254,$AR$3:$AY$33,MATCH(BS$3,$AR$3:$AY$3,0),FALSE),1)</f>
        <v>44.8</v>
      </c>
      <c r="BT254" s="2">
        <f>ROUND(VLOOKUP($BJ254,$AI$3:$AO$33,MATCH(BT$3,$AI$3:$AO$3,0),FALSE)+$BL254/VLOOKUP(VLOOKUP($BJ254,坦克个性化设定!$B$18:$E$48,4,FALSE)&amp;$BK254,坦克属性分配比例,MATCH("升星次数",坦克属性分配比例标头,0),FALSE)*VLOOKUP($BJ254,$AR$3:$AY$33,MATCH(BT$3,$AR$3:$AY$3,0),FALSE),1)</f>
        <v>32.700000000000003</v>
      </c>
      <c r="BU254" s="2">
        <f>ROUND(VLOOKUP($BJ254,$AI$3:$AO$33,MATCH(BU$3,$AI$3:$AO$3,0),FALSE)+$BL254/VLOOKUP(VLOOKUP($BJ254,坦克个性化设定!$B$18:$E$48,4,FALSE)&amp;$BK254,坦克属性分配比例,MATCH("升星次数",坦克属性分配比例标头,0),FALSE)*VLOOKUP($BJ254,$AR$3:$AY$33,MATCH(BU$3,$AR$3:$AY$3,0),FALSE),1)</f>
        <v>7.4</v>
      </c>
      <c r="BV254" s="2">
        <f>IF(VLOOKUP(BJ254,坦克个性化设定!$B$18:$BC$48,MATCH("装弹类型",坦克个性化设定!$B$18:$BC$18,0),FALSE)="弹夹换弹",0,ROUND(VLOOKUP($BJ254,$AI$3:$AO$33,MATCH("换弹时间",$AI$3:$AO$3,0),FALSE)-$BL254/VLOOKUP(VLOOKUP($BJ254,坦克个性化设定!$B$18:$E$48,4,FALSE)&amp;$BK254,坦克属性分配比例,MATCH("升星次数",坦克属性分配比例标头,0),FALSE)*VLOOKUP($BJ254,$AR$3:$AY$33,MATCH("换弹时间",$AR$3:$AY$3,0),FALSE),2))</f>
        <v>3.79</v>
      </c>
      <c r="BW254" s="2">
        <f>IF(VLOOKUP(BJ254,坦克个性化设定!$B$18:$BC$48,MATCH("装弹类型",坦克个性化设定!$B$18:$BC$18,0),FALSE)="弹夹换弹",ROUND(VLOOKUP($BJ254,$AI$3:$AO$33,MATCH("换弹时间",$AI$3:$AO$3,0),FALSE)-$BL254/VLOOKUP(VLOOKUP($BJ254,坦克个性化设定!$B$18:$E$48,4,FALSE)&amp;$BK254,坦克属性分配比例,MATCH("升星次数",坦克属性分配比例标头,0),FALSE)*VLOOKUP($BJ254,$AR$3:$AY$33,MATCH("换弹时间",$AR$3:$AY$3,0),FALSE),1),0)</f>
        <v>0</v>
      </c>
      <c r="BX254" s="2">
        <f>ROUND(VLOOKUP($BJ254,$AI$3:$AO$33,MATCH(BX$3,$AI$3:$AO$3,0),FALSE)+$BL254/VLOOKUP(VLOOKUP($BJ254,坦克个性化设定!$B$18:$E$48,4,FALSE)&amp;$BK254,坦克属性分配比例,MATCH("升星次数",坦克属性分配比例标头,0),FALSE)*VLOOKUP($BJ254,$AR$3:$AY$33,MATCH(BX$3,$AR$3:$AY$3,0),FALSE),2)</f>
        <v>2</v>
      </c>
      <c r="BY254" s="2">
        <f>ROUND(VLOOKUP($BJ254,$AI$3:$AO$33,MATCH(BY$3,$AI$3:$AO$3,0),FALSE)-$BL254/VLOOKUP(VLOOKUP($BJ254,坦克个性化设定!$B$18:$E$48,4,FALSE)&amp;$BK254,坦克属性分配比例,MATCH("升星次数",坦克属性分配比例标头,0),FALSE)*VLOOKUP($BJ254,$AR$3:$AY$33,MATCH(BY$3,$AR$3:$AY$3,0),FALSE),2)</f>
        <v>2.08</v>
      </c>
    </row>
    <row r="255" spans="60:77" x14ac:dyDescent="0.3">
      <c r="BH255" s="2" t="str">
        <f t="shared" si="35"/>
        <v>KV-25</v>
      </c>
      <c r="BI255" s="2">
        <f>IF(BL254&gt;=VLOOKUP(VLOOKUP(BJ254,坦克个性化设定!$B$18:$E$48,4,FALSE)&amp;BK254,坦克属性分配比例,MATCH("升星次数",坦克属性分配比例标头,0),FALSE),BI254+1,BI254)</f>
        <v>26</v>
      </c>
      <c r="BJ255" s="2" t="str">
        <f t="shared" si="36"/>
        <v>KV-2</v>
      </c>
      <c r="BK255" s="29" t="str">
        <f>VLOOKUP(BJ255,坦克个性化细分!$I$3:$J$33,2,FALSE)</f>
        <v>高</v>
      </c>
      <c r="BL255" s="2">
        <f t="shared" si="37"/>
        <v>5</v>
      </c>
      <c r="BM255" s="103">
        <f ca="1">ROUND(VLOOKUP($BJ255&amp;"初始",$S$3:$AE$63,MATCH(BM$3,$S$3:$AE$3,0),FALSE)+((VLOOKUP($BJ255&amp;"最终",$S$3:$AE$63,MATCH(BM$3,$S$3:$AE$3,0),FALSE)*坦克个性化细分!$C$9-VLOOKUP($BJ255&amp;"初始",$S$3:$AE$63,MATCH(BM$3,$S$3:$AE$3,0),FALSE))-(VLOOKUP($BJ255&amp;"最终",$S$3:$AE$63,MATCH(BM$3,$S$3:$AE$3,0),FALSE)-VLOOKUP($BJ255&amp;"初始",$S$3:$AE$63,MATCH(BM$3,$S$3:$AE$3,0),FALSE))*VLOOKUP(VLOOKUP($BJ255,坦克个性化设定!$B$18:$E$48,4,FALSE)&amp;$BK255,坦克属性分配比例,MATCH("部件比例",坦克属性分配比例标头,0),FALSE))*$BL255/VLOOKUP(VLOOKUP($BJ255,坦克个性化设定!$B$18:$E$48,4,FALSE)&amp;$BK255,坦克属性分配比例,MATCH("升星次数",坦克属性分配比例标头,0),FALSE),0)</f>
        <v>1770</v>
      </c>
      <c r="BN255" s="103">
        <f ca="1">ROUND(VLOOKUP($BJ255&amp;"初始",$S$3:$AE$63,MATCH(BN$3,$S$3:$AE$3,0),FALSE)+(VLOOKUP($BJ255&amp;"最终",$S$3:$AE$63,MATCH(BN$3,$S$3:$AE$3,0),FALSE)-VLOOKUP($BJ255&amp;"初始",$S$3:$AE$63,MATCH(BN$3,$S$3:$AE$3,0),FALSE))*$BL255/VLOOKUP(VLOOKUP($BJ255,坦克个性化设定!$B$18:$E$48,4,FALSE)&amp;$BK255,坦克属性分配比例,MATCH("升星次数",坦克属性分配比例标头,0),FALSE)*VLOOKUP(VLOOKUP($BJ255,坦克个性化设定!$B$18:$E$48,4,FALSE)&amp;$BK255,坦克属性分配比例,MATCH("升星比例",坦克属性分配比例标头,0),FALSE),0)</f>
        <v>524</v>
      </c>
      <c r="BO255" s="103">
        <f ca="1">ROUND(VLOOKUP($BJ255&amp;"初始",$S$3:$AE$63,MATCH(BO$3,$S$3:$AE$3,0),FALSE)+(VLOOKUP($BJ255&amp;"最终",$S$3:$AE$63,MATCH(BO$3,$S$3:$AE$3,0),FALSE)-VLOOKUP($BJ255&amp;"初始",$S$3:$AE$63,MATCH(BO$3,$S$3:$AE$3,0),FALSE))*$BL255/VLOOKUP(VLOOKUP($BJ255,坦克个性化设定!$B$18:$E$48,4,FALSE)&amp;$BK255,坦克属性分配比例,MATCH("升星次数",坦克属性分配比例标头,0),FALSE)*(VLOOKUP(VLOOKUP($BJ255,坦克个性化设定!$B$18:$E$48,4,FALSE)&amp;$BK255,坦克属性分配比例,MATCH("升星比例",坦克属性分配比例标头,0),FALSE)+VLOOKUP(VLOOKUP($BJ255,坦克个性化设定!$B$18:$E$48,4,FALSE)&amp;$BK255,坦克属性分配比例,MATCH("部件比例",坦克属性分配比例标头,0),FALSE)*$C$3),0)</f>
        <v>218</v>
      </c>
      <c r="BP255" s="103">
        <f ca="1">ROUND(VLOOKUP($BJ255&amp;"初始",$S$3:$AE$63,MATCH(BP$3,$S$3:$AE$3,0),FALSE)+(VLOOKUP($BJ255&amp;"最终",$S$3:$AE$63,MATCH(BP$3,$S$3:$AE$3,0),FALSE)-VLOOKUP($BJ255&amp;"初始",$S$3:$AE$63,MATCH(BP$3,$S$3:$AE$3,0),FALSE))*$BL255/VLOOKUP(VLOOKUP($BJ255,坦克个性化设定!$B$18:$E$48,4,FALSE)&amp;$BK255,坦克属性分配比例,MATCH("升星次数",坦克属性分配比例标头,0),FALSE)*(VLOOKUP(VLOOKUP($BJ255,坦克个性化设定!$B$18:$E$48,4,FALSE)&amp;$BK255,坦克属性分配比例,MATCH("升星比例",坦克属性分配比例标头,0),FALSE)+VLOOKUP(VLOOKUP($BJ255,坦克个性化设定!$B$18:$E$48,4,FALSE)&amp;$BK255,坦克属性分配比例,MATCH("部件比例",坦克属性分配比例标头,0),FALSE)*$C$3),0)</f>
        <v>545</v>
      </c>
      <c r="BQ255" s="103">
        <f ca="1">ROUND(VLOOKUP($BJ255&amp;"初始",$S$3:$AE$63,MATCH(BQ$3,$S$3:$AE$3,0),FALSE)+(VLOOKUP($BJ255&amp;"最终",$S$3:$AE$63,MATCH(BQ$3,$S$3:$AE$3,0),FALSE)-VLOOKUP($BJ255&amp;"初始",$S$3:$AE$63,MATCH(BQ$3,$S$3:$AE$3,0),FALSE))*$BL255/VLOOKUP(VLOOKUP($BJ255,坦克个性化设定!$B$18:$E$48,4,FALSE)&amp;$BK255,坦克属性分配比例,MATCH("升星次数",坦克属性分配比例标头,0),FALSE)*VLOOKUP(VLOOKUP($BJ255,坦克个性化设定!$B$18:$E$48,4,FALSE)&amp;$BK255,坦克属性分配比例,MATCH("升星比例",坦克属性分配比例标头,0),FALSE),0)</f>
        <v>758</v>
      </c>
      <c r="BR255" s="2">
        <f ca="1">ROUND(VLOOKUP($BJ255&amp;"初始",$S$3:$AE$63,MATCH(BR$3,$S$3:$AE$3,0),FALSE)+(VLOOKUP($BJ255&amp;"最终",$S$3:$AE$63,MATCH(BR$3,$S$3:$AE$3,0),FALSE)-VLOOKUP($BJ255&amp;"初始",$S$3:$AE$63,MATCH(BR$3,$S$3:$AE$3,0),FALSE))*$BL255/VLOOKUP(VLOOKUP($BJ255,坦克个性化设定!$B$18:$E$48,4,FALSE)&amp;$BK255,坦克属性分配比例,MATCH("升星次数",坦克属性分配比例标头,0),FALSE),0)</f>
        <v>180</v>
      </c>
      <c r="BS255" s="2">
        <f>ROUND(VLOOKUP($BJ255,$AI$3:$AO$33,MATCH(BS$3,$AI$3:$AO$3,0),FALSE)+$BL255/VLOOKUP(VLOOKUP($BJ255,坦克个性化设定!$B$18:$E$48,4,FALSE)&amp;$BK255,坦克属性分配比例,MATCH("升星次数",坦克属性分配比例标头,0),FALSE)*VLOOKUP($BJ255,$AR$3:$AY$33,MATCH(BS$3,$AR$3:$AY$3,0),FALSE),1)</f>
        <v>45.9</v>
      </c>
      <c r="BT255" s="2">
        <f>ROUND(VLOOKUP($BJ255,$AI$3:$AO$33,MATCH(BT$3,$AI$3:$AO$3,0),FALSE)+$BL255/VLOOKUP(VLOOKUP($BJ255,坦克个性化设定!$B$18:$E$48,4,FALSE)&amp;$BK255,坦克属性分配比例,MATCH("升星次数",坦克属性分配比例标头,0),FALSE)*VLOOKUP($BJ255,$AR$3:$AY$33,MATCH(BT$3,$AR$3:$AY$3,0),FALSE),1)</f>
        <v>33.5</v>
      </c>
      <c r="BU255" s="2">
        <f>ROUND(VLOOKUP($BJ255,$AI$3:$AO$33,MATCH(BU$3,$AI$3:$AO$3,0),FALSE)+$BL255/VLOOKUP(VLOOKUP($BJ255,坦克个性化设定!$B$18:$E$48,4,FALSE)&amp;$BK255,坦克属性分配比例,MATCH("升星次数",坦克属性分配比例标头,0),FALSE)*VLOOKUP($BJ255,$AR$3:$AY$33,MATCH(BU$3,$AR$3:$AY$3,0),FALSE),1)</f>
        <v>7.4</v>
      </c>
      <c r="BV255" s="2">
        <f>IF(VLOOKUP(BJ255,坦克个性化设定!$B$18:$BC$48,MATCH("装弹类型",坦克个性化设定!$B$18:$BC$18,0),FALSE)="弹夹换弹",0,ROUND(VLOOKUP($BJ255,$AI$3:$AO$33,MATCH("换弹时间",$AI$3:$AO$3,0),FALSE)-$BL255/VLOOKUP(VLOOKUP($BJ255,坦克个性化设定!$B$18:$E$48,4,FALSE)&amp;$BK255,坦克属性分配比例,MATCH("升星次数",坦克属性分配比例标头,0),FALSE)*VLOOKUP($BJ255,$AR$3:$AY$33,MATCH("换弹时间",$AR$3:$AY$3,0),FALSE),2))</f>
        <v>3.72</v>
      </c>
      <c r="BW255" s="2">
        <f>IF(VLOOKUP(BJ255,坦克个性化设定!$B$18:$BC$48,MATCH("装弹类型",坦克个性化设定!$B$18:$BC$18,0),FALSE)="弹夹换弹",ROUND(VLOOKUP($BJ255,$AI$3:$AO$33,MATCH("换弹时间",$AI$3:$AO$3,0),FALSE)-$BL255/VLOOKUP(VLOOKUP($BJ255,坦克个性化设定!$B$18:$E$48,4,FALSE)&amp;$BK255,坦克属性分配比例,MATCH("升星次数",坦克属性分配比例标头,0),FALSE)*VLOOKUP($BJ255,$AR$3:$AY$33,MATCH("换弹时间",$AR$3:$AY$3,0),FALSE),1),0)</f>
        <v>0</v>
      </c>
      <c r="BX255" s="2">
        <f>ROUND(VLOOKUP($BJ255,$AI$3:$AO$33,MATCH(BX$3,$AI$3:$AO$3,0),FALSE)+$BL255/VLOOKUP(VLOOKUP($BJ255,坦克个性化设定!$B$18:$E$48,4,FALSE)&amp;$BK255,坦克属性分配比例,MATCH("升星次数",坦克属性分配比例标头,0),FALSE)*VLOOKUP($BJ255,$AR$3:$AY$33,MATCH(BX$3,$AR$3:$AY$3,0),FALSE),2)</f>
        <v>2</v>
      </c>
      <c r="BY255" s="2">
        <f>ROUND(VLOOKUP($BJ255,$AI$3:$AO$33,MATCH(BY$3,$AI$3:$AO$3,0),FALSE)-$BL255/VLOOKUP(VLOOKUP($BJ255,坦克个性化设定!$B$18:$E$48,4,FALSE)&amp;$BK255,坦克属性分配比例,MATCH("升星次数",坦克属性分配比例标头,0),FALSE)*VLOOKUP($BJ255,$AR$3:$AY$33,MATCH(BY$3,$AR$3:$AY$3,0),FALSE),2)</f>
        <v>2.04</v>
      </c>
    </row>
    <row r="256" spans="60:77" x14ac:dyDescent="0.3">
      <c r="BH256" s="2" t="str">
        <f t="shared" si="35"/>
        <v>KV-26</v>
      </c>
      <c r="BI256" s="2">
        <f>IF(BL255&gt;=VLOOKUP(VLOOKUP(BJ255,坦克个性化设定!$B$18:$E$48,4,FALSE)&amp;BK255,坦克属性分配比例,MATCH("升星次数",坦克属性分配比例标头,0),FALSE),BI255+1,BI255)</f>
        <v>26</v>
      </c>
      <c r="BJ256" s="2" t="str">
        <f t="shared" si="36"/>
        <v>KV-2</v>
      </c>
      <c r="BK256" s="29" t="str">
        <f>VLOOKUP(BJ256,坦克个性化细分!$I$3:$J$33,2,FALSE)</f>
        <v>高</v>
      </c>
      <c r="BL256" s="2">
        <f t="shared" si="37"/>
        <v>6</v>
      </c>
      <c r="BM256" s="103">
        <f ca="1">ROUND(VLOOKUP($BJ256&amp;"初始",$S$3:$AE$63,MATCH(BM$3,$S$3:$AE$3,0),FALSE)+((VLOOKUP($BJ256&amp;"最终",$S$3:$AE$63,MATCH(BM$3,$S$3:$AE$3,0),FALSE)*坦克个性化细分!$C$9-VLOOKUP($BJ256&amp;"初始",$S$3:$AE$63,MATCH(BM$3,$S$3:$AE$3,0),FALSE))-(VLOOKUP($BJ256&amp;"最终",$S$3:$AE$63,MATCH(BM$3,$S$3:$AE$3,0),FALSE)-VLOOKUP($BJ256&amp;"初始",$S$3:$AE$63,MATCH(BM$3,$S$3:$AE$3,0),FALSE))*VLOOKUP(VLOOKUP($BJ256,坦克个性化设定!$B$18:$E$48,4,FALSE)&amp;$BK256,坦克属性分配比例,MATCH("部件比例",坦克属性分配比例标头,0),FALSE))*$BL256/VLOOKUP(VLOOKUP($BJ256,坦克个性化设定!$B$18:$E$48,4,FALSE)&amp;$BK256,坦克属性分配比例,MATCH("升星次数",坦克属性分配比例标头,0),FALSE),0)</f>
        <v>1849</v>
      </c>
      <c r="BN256" s="103">
        <f ca="1">ROUND(VLOOKUP($BJ256&amp;"初始",$S$3:$AE$63,MATCH(BN$3,$S$3:$AE$3,0),FALSE)+(VLOOKUP($BJ256&amp;"最终",$S$3:$AE$63,MATCH(BN$3,$S$3:$AE$3,0),FALSE)-VLOOKUP($BJ256&amp;"初始",$S$3:$AE$63,MATCH(BN$3,$S$3:$AE$3,0),FALSE))*$BL256/VLOOKUP(VLOOKUP($BJ256,坦克个性化设定!$B$18:$E$48,4,FALSE)&amp;$BK256,坦克属性分配比例,MATCH("升星次数",坦克属性分配比例标头,0),FALSE)*VLOOKUP(VLOOKUP($BJ256,坦克个性化设定!$B$18:$E$48,4,FALSE)&amp;$BK256,坦克属性分配比例,MATCH("升星比例",坦克属性分配比例标头,0),FALSE),0)</f>
        <v>539</v>
      </c>
      <c r="BO256" s="103">
        <f ca="1">ROUND(VLOOKUP($BJ256&amp;"初始",$S$3:$AE$63,MATCH(BO$3,$S$3:$AE$3,0),FALSE)+(VLOOKUP($BJ256&amp;"最终",$S$3:$AE$63,MATCH(BO$3,$S$3:$AE$3,0),FALSE)-VLOOKUP($BJ256&amp;"初始",$S$3:$AE$63,MATCH(BO$3,$S$3:$AE$3,0),FALSE))*$BL256/VLOOKUP(VLOOKUP($BJ256,坦克个性化设定!$B$18:$E$48,4,FALSE)&amp;$BK256,坦克属性分配比例,MATCH("升星次数",坦克属性分配比例标头,0),FALSE)*(VLOOKUP(VLOOKUP($BJ256,坦克个性化设定!$B$18:$E$48,4,FALSE)&amp;$BK256,坦克属性分配比例,MATCH("升星比例",坦克属性分配比例标头,0),FALSE)+VLOOKUP(VLOOKUP($BJ256,坦克个性化设定!$B$18:$E$48,4,FALSE)&amp;$BK256,坦克属性分配比例,MATCH("部件比例",坦克属性分配比例标头,0),FALSE)*$C$3),0)</f>
        <v>226</v>
      </c>
      <c r="BP256" s="103">
        <f ca="1">ROUND(VLOOKUP($BJ256&amp;"初始",$S$3:$AE$63,MATCH(BP$3,$S$3:$AE$3,0),FALSE)+(VLOOKUP($BJ256&amp;"最终",$S$3:$AE$63,MATCH(BP$3,$S$3:$AE$3,0),FALSE)-VLOOKUP($BJ256&amp;"初始",$S$3:$AE$63,MATCH(BP$3,$S$3:$AE$3,0),FALSE))*$BL256/VLOOKUP(VLOOKUP($BJ256,坦克个性化设定!$B$18:$E$48,4,FALSE)&amp;$BK256,坦克属性分配比例,MATCH("升星次数",坦克属性分配比例标头,0),FALSE)*(VLOOKUP(VLOOKUP($BJ256,坦克个性化设定!$B$18:$E$48,4,FALSE)&amp;$BK256,坦克属性分配比例,MATCH("升星比例",坦克属性分配比例标头,0),FALSE)+VLOOKUP(VLOOKUP($BJ256,坦克个性化设定!$B$18:$E$48,4,FALSE)&amp;$BK256,坦克属性分配比例,MATCH("部件比例",坦克属性分配比例标头,0),FALSE)*$C$3),0)</f>
        <v>567</v>
      </c>
      <c r="BQ256" s="103">
        <f ca="1">ROUND(VLOOKUP($BJ256&amp;"初始",$S$3:$AE$63,MATCH(BQ$3,$S$3:$AE$3,0),FALSE)+(VLOOKUP($BJ256&amp;"最终",$S$3:$AE$63,MATCH(BQ$3,$S$3:$AE$3,0),FALSE)-VLOOKUP($BJ256&amp;"初始",$S$3:$AE$63,MATCH(BQ$3,$S$3:$AE$3,0),FALSE))*$BL256/VLOOKUP(VLOOKUP($BJ256,坦克个性化设定!$B$18:$E$48,4,FALSE)&amp;$BK256,坦克属性分配比例,MATCH("升星次数",坦克属性分配比例标头,0),FALSE)*VLOOKUP(VLOOKUP($BJ256,坦克个性化设定!$B$18:$E$48,4,FALSE)&amp;$BK256,坦克属性分配比例,MATCH("升星比例",坦克属性分配比例标头,0),FALSE),0)</f>
        <v>780</v>
      </c>
      <c r="BR256" s="2">
        <f ca="1">ROUND(VLOOKUP($BJ256&amp;"初始",$S$3:$AE$63,MATCH(BR$3,$S$3:$AE$3,0),FALSE)+(VLOOKUP($BJ256&amp;"最终",$S$3:$AE$63,MATCH(BR$3,$S$3:$AE$3,0),FALSE)-VLOOKUP($BJ256&amp;"初始",$S$3:$AE$63,MATCH(BR$3,$S$3:$AE$3,0),FALSE))*$BL256/VLOOKUP(VLOOKUP($BJ256,坦克个性化设定!$B$18:$E$48,4,FALSE)&amp;$BK256,坦克属性分配比例,MATCH("升星次数",坦克属性分配比例标头,0),FALSE),0)</f>
        <v>188</v>
      </c>
      <c r="BS256" s="2">
        <f>ROUND(VLOOKUP($BJ256,$AI$3:$AO$33,MATCH(BS$3,$AI$3:$AO$3,0),FALSE)+$BL256/VLOOKUP(VLOOKUP($BJ256,坦克个性化设定!$B$18:$E$48,4,FALSE)&amp;$BK256,坦克属性分配比例,MATCH("升星次数",坦克属性分配比例标头,0),FALSE)*VLOOKUP($BJ256,$AR$3:$AY$33,MATCH(BS$3,$AR$3:$AY$3,0),FALSE),1)</f>
        <v>47</v>
      </c>
      <c r="BT256" s="2">
        <f>ROUND(VLOOKUP($BJ256,$AI$3:$AO$33,MATCH(BT$3,$AI$3:$AO$3,0),FALSE)+$BL256/VLOOKUP(VLOOKUP($BJ256,坦克个性化设定!$B$18:$E$48,4,FALSE)&amp;$BK256,坦克属性分配比例,MATCH("升星次数",坦克属性分配比例标头,0),FALSE)*VLOOKUP($BJ256,$AR$3:$AY$33,MATCH(BT$3,$AR$3:$AY$3,0),FALSE),1)</f>
        <v>34.299999999999997</v>
      </c>
      <c r="BU256" s="2">
        <f>ROUND(VLOOKUP($BJ256,$AI$3:$AO$33,MATCH(BU$3,$AI$3:$AO$3,0),FALSE)+$BL256/VLOOKUP(VLOOKUP($BJ256,坦克个性化设定!$B$18:$E$48,4,FALSE)&amp;$BK256,坦克属性分配比例,MATCH("升星次数",坦克属性分配比例标头,0),FALSE)*VLOOKUP($BJ256,$AR$3:$AY$33,MATCH(BU$3,$AR$3:$AY$3,0),FALSE),1)</f>
        <v>7.4</v>
      </c>
      <c r="BV256" s="2">
        <f>IF(VLOOKUP(BJ256,坦克个性化设定!$B$18:$BC$48,MATCH("装弹类型",坦克个性化设定!$B$18:$BC$18,0),FALSE)="弹夹换弹",0,ROUND(VLOOKUP($BJ256,$AI$3:$AO$33,MATCH("换弹时间",$AI$3:$AO$3,0),FALSE)-$BL256/VLOOKUP(VLOOKUP($BJ256,坦克个性化设定!$B$18:$E$48,4,FALSE)&amp;$BK256,坦克属性分配比例,MATCH("升星次数",坦克属性分配比例标头,0),FALSE)*VLOOKUP($BJ256,$AR$3:$AY$33,MATCH("换弹时间",$AR$3:$AY$3,0),FALSE),2))</f>
        <v>3.66</v>
      </c>
      <c r="BW256" s="2">
        <f>IF(VLOOKUP(BJ256,坦克个性化设定!$B$18:$BC$48,MATCH("装弹类型",坦克个性化设定!$B$18:$BC$18,0),FALSE)="弹夹换弹",ROUND(VLOOKUP($BJ256,$AI$3:$AO$33,MATCH("换弹时间",$AI$3:$AO$3,0),FALSE)-$BL256/VLOOKUP(VLOOKUP($BJ256,坦克个性化设定!$B$18:$E$48,4,FALSE)&amp;$BK256,坦克属性分配比例,MATCH("升星次数",坦克属性分配比例标头,0),FALSE)*VLOOKUP($BJ256,$AR$3:$AY$33,MATCH("换弹时间",$AR$3:$AY$3,0),FALSE),1),0)</f>
        <v>0</v>
      </c>
      <c r="BX256" s="2">
        <f>ROUND(VLOOKUP($BJ256,$AI$3:$AO$33,MATCH(BX$3,$AI$3:$AO$3,0),FALSE)+$BL256/VLOOKUP(VLOOKUP($BJ256,坦克个性化设定!$B$18:$E$48,4,FALSE)&amp;$BK256,坦克属性分配比例,MATCH("升星次数",坦克属性分配比例标头,0),FALSE)*VLOOKUP($BJ256,$AR$3:$AY$33,MATCH(BX$3,$AR$3:$AY$3,0),FALSE),2)</f>
        <v>2</v>
      </c>
      <c r="BY256" s="2">
        <f>ROUND(VLOOKUP($BJ256,$AI$3:$AO$33,MATCH(BY$3,$AI$3:$AO$3,0),FALSE)-$BL256/VLOOKUP(VLOOKUP($BJ256,坦克个性化设定!$B$18:$E$48,4,FALSE)&amp;$BK256,坦克属性分配比例,MATCH("升星次数",坦克属性分配比例标头,0),FALSE)*VLOOKUP($BJ256,$AR$3:$AY$33,MATCH(BY$3,$AR$3:$AY$3,0),FALSE),2)</f>
        <v>2</v>
      </c>
    </row>
    <row r="257" spans="60:77" x14ac:dyDescent="0.3">
      <c r="BH257" s="2" t="str">
        <f t="shared" si="35"/>
        <v>KV-27</v>
      </c>
      <c r="BI257" s="2">
        <f>IF(BL256&gt;=VLOOKUP(VLOOKUP(BJ256,坦克个性化设定!$B$18:$E$48,4,FALSE)&amp;BK256,坦克属性分配比例,MATCH("升星次数",坦克属性分配比例标头,0),FALSE),BI256+1,BI256)</f>
        <v>26</v>
      </c>
      <c r="BJ257" s="2" t="str">
        <f t="shared" si="36"/>
        <v>KV-2</v>
      </c>
      <c r="BK257" s="29" t="str">
        <f>VLOOKUP(BJ257,坦克个性化细分!$I$3:$J$33,2,FALSE)</f>
        <v>高</v>
      </c>
      <c r="BL257" s="2">
        <f t="shared" si="37"/>
        <v>7</v>
      </c>
      <c r="BM257" s="103">
        <f ca="1">ROUND(VLOOKUP($BJ257&amp;"初始",$S$3:$AE$63,MATCH(BM$3,$S$3:$AE$3,0),FALSE)+((VLOOKUP($BJ257&amp;"最终",$S$3:$AE$63,MATCH(BM$3,$S$3:$AE$3,0),FALSE)*坦克个性化细分!$C$9-VLOOKUP($BJ257&amp;"初始",$S$3:$AE$63,MATCH(BM$3,$S$3:$AE$3,0),FALSE))-(VLOOKUP($BJ257&amp;"最终",$S$3:$AE$63,MATCH(BM$3,$S$3:$AE$3,0),FALSE)-VLOOKUP($BJ257&amp;"初始",$S$3:$AE$63,MATCH(BM$3,$S$3:$AE$3,0),FALSE))*VLOOKUP(VLOOKUP($BJ257,坦克个性化设定!$B$18:$E$48,4,FALSE)&amp;$BK257,坦克属性分配比例,MATCH("部件比例",坦克属性分配比例标头,0),FALSE))*$BL257/VLOOKUP(VLOOKUP($BJ257,坦克个性化设定!$B$18:$E$48,4,FALSE)&amp;$BK257,坦克属性分配比例,MATCH("升星次数",坦克属性分配比例标头,0),FALSE),0)</f>
        <v>1927</v>
      </c>
      <c r="BN257" s="103">
        <f ca="1">ROUND(VLOOKUP($BJ257&amp;"初始",$S$3:$AE$63,MATCH(BN$3,$S$3:$AE$3,0),FALSE)+(VLOOKUP($BJ257&amp;"最终",$S$3:$AE$63,MATCH(BN$3,$S$3:$AE$3,0),FALSE)-VLOOKUP($BJ257&amp;"初始",$S$3:$AE$63,MATCH(BN$3,$S$3:$AE$3,0),FALSE))*$BL257/VLOOKUP(VLOOKUP($BJ257,坦克个性化设定!$B$18:$E$48,4,FALSE)&amp;$BK257,坦克属性分配比例,MATCH("升星次数",坦克属性分配比例标头,0),FALSE)*VLOOKUP(VLOOKUP($BJ257,坦克个性化设定!$B$18:$E$48,4,FALSE)&amp;$BK257,坦克属性分配比例,MATCH("升星比例",坦克属性分配比例标头,0),FALSE),0)</f>
        <v>555</v>
      </c>
      <c r="BO257" s="103">
        <f ca="1">ROUND(VLOOKUP($BJ257&amp;"初始",$S$3:$AE$63,MATCH(BO$3,$S$3:$AE$3,0),FALSE)+(VLOOKUP($BJ257&amp;"最终",$S$3:$AE$63,MATCH(BO$3,$S$3:$AE$3,0),FALSE)-VLOOKUP($BJ257&amp;"初始",$S$3:$AE$63,MATCH(BO$3,$S$3:$AE$3,0),FALSE))*$BL257/VLOOKUP(VLOOKUP($BJ257,坦克个性化设定!$B$18:$E$48,4,FALSE)&amp;$BK257,坦克属性分配比例,MATCH("升星次数",坦克属性分配比例标头,0),FALSE)*(VLOOKUP(VLOOKUP($BJ257,坦克个性化设定!$B$18:$E$48,4,FALSE)&amp;$BK257,坦克属性分配比例,MATCH("升星比例",坦克属性分配比例标头,0),FALSE)+VLOOKUP(VLOOKUP($BJ257,坦克个性化设定!$B$18:$E$48,4,FALSE)&amp;$BK257,坦克属性分配比例,MATCH("部件比例",坦克属性分配比例标头,0),FALSE)*$C$3),0)</f>
        <v>235</v>
      </c>
      <c r="BP257" s="103">
        <f ca="1">ROUND(VLOOKUP($BJ257&amp;"初始",$S$3:$AE$63,MATCH(BP$3,$S$3:$AE$3,0),FALSE)+(VLOOKUP($BJ257&amp;"最终",$S$3:$AE$63,MATCH(BP$3,$S$3:$AE$3,0),FALSE)-VLOOKUP($BJ257&amp;"初始",$S$3:$AE$63,MATCH(BP$3,$S$3:$AE$3,0),FALSE))*$BL257/VLOOKUP(VLOOKUP($BJ257,坦克个性化设定!$B$18:$E$48,4,FALSE)&amp;$BK257,坦克属性分配比例,MATCH("升星次数",坦克属性分配比例标头,0),FALSE)*(VLOOKUP(VLOOKUP($BJ257,坦克个性化设定!$B$18:$E$48,4,FALSE)&amp;$BK257,坦克属性分配比例,MATCH("升星比例",坦克属性分配比例标头,0),FALSE)+VLOOKUP(VLOOKUP($BJ257,坦克个性化设定!$B$18:$E$48,4,FALSE)&amp;$BK257,坦克属性分配比例,MATCH("部件比例",坦克属性分配比例标头,0),FALSE)*$C$3),0)</f>
        <v>588</v>
      </c>
      <c r="BQ257" s="103">
        <f ca="1">ROUND(VLOOKUP($BJ257&amp;"初始",$S$3:$AE$63,MATCH(BQ$3,$S$3:$AE$3,0),FALSE)+(VLOOKUP($BJ257&amp;"最终",$S$3:$AE$63,MATCH(BQ$3,$S$3:$AE$3,0),FALSE)-VLOOKUP($BJ257&amp;"初始",$S$3:$AE$63,MATCH(BQ$3,$S$3:$AE$3,0),FALSE))*$BL257/VLOOKUP(VLOOKUP($BJ257,坦克个性化设定!$B$18:$E$48,4,FALSE)&amp;$BK257,坦克属性分配比例,MATCH("升星次数",坦克属性分配比例标头,0),FALSE)*VLOOKUP(VLOOKUP($BJ257,坦克个性化设定!$B$18:$E$48,4,FALSE)&amp;$BK257,坦克属性分配比例,MATCH("升星比例",坦克属性分配比例标头,0),FALSE),0)</f>
        <v>802</v>
      </c>
      <c r="BR257" s="2">
        <f ca="1">ROUND(VLOOKUP($BJ257&amp;"初始",$S$3:$AE$63,MATCH(BR$3,$S$3:$AE$3,0),FALSE)+(VLOOKUP($BJ257&amp;"最终",$S$3:$AE$63,MATCH(BR$3,$S$3:$AE$3,0),FALSE)-VLOOKUP($BJ257&amp;"初始",$S$3:$AE$63,MATCH(BR$3,$S$3:$AE$3,0),FALSE))*$BL257/VLOOKUP(VLOOKUP($BJ257,坦克个性化设定!$B$18:$E$48,4,FALSE)&amp;$BK257,坦克属性分配比例,MATCH("升星次数",坦克属性分配比例标头,0),FALSE),0)</f>
        <v>196</v>
      </c>
      <c r="BS257" s="2">
        <f>ROUND(VLOOKUP($BJ257,$AI$3:$AO$33,MATCH(BS$3,$AI$3:$AO$3,0),FALSE)+$BL257/VLOOKUP(VLOOKUP($BJ257,坦克个性化设定!$B$18:$E$48,4,FALSE)&amp;$BK257,坦克属性分配比例,MATCH("升星次数",坦克属性分配比例标头,0),FALSE)*VLOOKUP($BJ257,$AR$3:$AY$33,MATCH(BS$3,$AR$3:$AY$3,0),FALSE),1)</f>
        <v>48.1</v>
      </c>
      <c r="BT257" s="2">
        <f>ROUND(VLOOKUP($BJ257,$AI$3:$AO$33,MATCH(BT$3,$AI$3:$AO$3,0),FALSE)+$BL257/VLOOKUP(VLOOKUP($BJ257,坦克个性化设定!$B$18:$E$48,4,FALSE)&amp;$BK257,坦克属性分配比例,MATCH("升星次数",坦克属性分配比例标头,0),FALSE)*VLOOKUP($BJ257,$AR$3:$AY$33,MATCH(BT$3,$AR$3:$AY$3,0),FALSE),1)</f>
        <v>35.1</v>
      </c>
      <c r="BU257" s="2">
        <f>ROUND(VLOOKUP($BJ257,$AI$3:$AO$33,MATCH(BU$3,$AI$3:$AO$3,0),FALSE)+$BL257/VLOOKUP(VLOOKUP($BJ257,坦克个性化设定!$B$18:$E$48,4,FALSE)&amp;$BK257,坦克属性分配比例,MATCH("升星次数",坦克属性分配比例标头,0),FALSE)*VLOOKUP($BJ257,$AR$3:$AY$33,MATCH(BU$3,$AR$3:$AY$3,0),FALSE),1)</f>
        <v>7.4</v>
      </c>
      <c r="BV257" s="2">
        <f>IF(VLOOKUP(BJ257,坦克个性化设定!$B$18:$BC$48,MATCH("装弹类型",坦克个性化设定!$B$18:$BC$18,0),FALSE)="弹夹换弹",0,ROUND(VLOOKUP($BJ257,$AI$3:$AO$33,MATCH("换弹时间",$AI$3:$AO$3,0),FALSE)-$BL257/VLOOKUP(VLOOKUP($BJ257,坦克个性化设定!$B$18:$E$48,4,FALSE)&amp;$BK257,坦克属性分配比例,MATCH("升星次数",坦克属性分配比例标头,0),FALSE)*VLOOKUP($BJ257,$AR$3:$AY$33,MATCH("换弹时间",$AR$3:$AY$3,0),FALSE),2))</f>
        <v>3.59</v>
      </c>
      <c r="BW257" s="2">
        <f>IF(VLOOKUP(BJ257,坦克个性化设定!$B$18:$BC$48,MATCH("装弹类型",坦克个性化设定!$B$18:$BC$18,0),FALSE)="弹夹换弹",ROUND(VLOOKUP($BJ257,$AI$3:$AO$33,MATCH("换弹时间",$AI$3:$AO$3,0),FALSE)-$BL257/VLOOKUP(VLOOKUP($BJ257,坦克个性化设定!$B$18:$E$48,4,FALSE)&amp;$BK257,坦克属性分配比例,MATCH("升星次数",坦克属性分配比例标头,0),FALSE)*VLOOKUP($BJ257,$AR$3:$AY$33,MATCH("换弹时间",$AR$3:$AY$3,0),FALSE),1),0)</f>
        <v>0</v>
      </c>
      <c r="BX257" s="2">
        <f>ROUND(VLOOKUP($BJ257,$AI$3:$AO$33,MATCH(BX$3,$AI$3:$AO$3,0),FALSE)+$BL257/VLOOKUP(VLOOKUP($BJ257,坦克个性化设定!$B$18:$E$48,4,FALSE)&amp;$BK257,坦克属性分配比例,MATCH("升星次数",坦克属性分配比例标头,0),FALSE)*VLOOKUP($BJ257,$AR$3:$AY$33,MATCH(BX$3,$AR$3:$AY$3,0),FALSE),2)</f>
        <v>2</v>
      </c>
      <c r="BY257" s="2">
        <f>ROUND(VLOOKUP($BJ257,$AI$3:$AO$33,MATCH(BY$3,$AI$3:$AO$3,0),FALSE)-$BL257/VLOOKUP(VLOOKUP($BJ257,坦克个性化设定!$B$18:$E$48,4,FALSE)&amp;$BK257,坦克属性分配比例,MATCH("升星次数",坦克属性分配比例标头,0),FALSE)*VLOOKUP($BJ257,$AR$3:$AY$33,MATCH(BY$3,$AR$3:$AY$3,0),FALSE),2)</f>
        <v>1.96</v>
      </c>
    </row>
    <row r="258" spans="60:77" x14ac:dyDescent="0.3">
      <c r="BH258" s="2" t="str">
        <f t="shared" si="35"/>
        <v>KV-28</v>
      </c>
      <c r="BI258" s="2">
        <f>IF(BL257&gt;=VLOOKUP(VLOOKUP(BJ257,坦克个性化设定!$B$18:$E$48,4,FALSE)&amp;BK257,坦克属性分配比例,MATCH("升星次数",坦克属性分配比例标头,0),FALSE),BI257+1,BI257)</f>
        <v>26</v>
      </c>
      <c r="BJ258" s="2" t="str">
        <f t="shared" si="36"/>
        <v>KV-2</v>
      </c>
      <c r="BK258" s="29" t="str">
        <f>VLOOKUP(BJ258,坦克个性化细分!$I$3:$J$33,2,FALSE)</f>
        <v>高</v>
      </c>
      <c r="BL258" s="2">
        <f t="shared" si="37"/>
        <v>8</v>
      </c>
      <c r="BM258" s="103">
        <f ca="1">ROUND(VLOOKUP($BJ258&amp;"初始",$S$3:$AE$63,MATCH(BM$3,$S$3:$AE$3,0),FALSE)+((VLOOKUP($BJ258&amp;"最终",$S$3:$AE$63,MATCH(BM$3,$S$3:$AE$3,0),FALSE)*坦克个性化细分!$C$9-VLOOKUP($BJ258&amp;"初始",$S$3:$AE$63,MATCH(BM$3,$S$3:$AE$3,0),FALSE))-(VLOOKUP($BJ258&amp;"最终",$S$3:$AE$63,MATCH(BM$3,$S$3:$AE$3,0),FALSE)-VLOOKUP($BJ258&amp;"初始",$S$3:$AE$63,MATCH(BM$3,$S$3:$AE$3,0),FALSE))*VLOOKUP(VLOOKUP($BJ258,坦克个性化设定!$B$18:$E$48,4,FALSE)&amp;$BK258,坦克属性分配比例,MATCH("部件比例",坦克属性分配比例标头,0),FALSE))*$BL258/VLOOKUP(VLOOKUP($BJ258,坦克个性化设定!$B$18:$E$48,4,FALSE)&amp;$BK258,坦克属性分配比例,MATCH("升星次数",坦克属性分配比例标头,0),FALSE),0)</f>
        <v>2005</v>
      </c>
      <c r="BN258" s="103">
        <f ca="1">ROUND(VLOOKUP($BJ258&amp;"初始",$S$3:$AE$63,MATCH(BN$3,$S$3:$AE$3,0),FALSE)+(VLOOKUP($BJ258&amp;"最终",$S$3:$AE$63,MATCH(BN$3,$S$3:$AE$3,0),FALSE)-VLOOKUP($BJ258&amp;"初始",$S$3:$AE$63,MATCH(BN$3,$S$3:$AE$3,0),FALSE))*$BL258/VLOOKUP(VLOOKUP($BJ258,坦克个性化设定!$B$18:$E$48,4,FALSE)&amp;$BK258,坦克属性分配比例,MATCH("升星次数",坦克属性分配比例标头,0),FALSE)*VLOOKUP(VLOOKUP($BJ258,坦克个性化设定!$B$18:$E$48,4,FALSE)&amp;$BK258,坦克属性分配比例,MATCH("升星比例",坦克属性分配比例标头,0),FALSE),0)</f>
        <v>570</v>
      </c>
      <c r="BO258" s="103">
        <f ca="1">ROUND(VLOOKUP($BJ258&amp;"初始",$S$3:$AE$63,MATCH(BO$3,$S$3:$AE$3,0),FALSE)+(VLOOKUP($BJ258&amp;"最终",$S$3:$AE$63,MATCH(BO$3,$S$3:$AE$3,0),FALSE)-VLOOKUP($BJ258&amp;"初始",$S$3:$AE$63,MATCH(BO$3,$S$3:$AE$3,0),FALSE))*$BL258/VLOOKUP(VLOOKUP($BJ258,坦克个性化设定!$B$18:$E$48,4,FALSE)&amp;$BK258,坦克属性分配比例,MATCH("升星次数",坦克属性分配比例标头,0),FALSE)*(VLOOKUP(VLOOKUP($BJ258,坦克个性化设定!$B$18:$E$48,4,FALSE)&amp;$BK258,坦克属性分配比例,MATCH("升星比例",坦克属性分配比例标头,0),FALSE)+VLOOKUP(VLOOKUP($BJ258,坦克个性化设定!$B$18:$E$48,4,FALSE)&amp;$BK258,坦克属性分配比例,MATCH("部件比例",坦克属性分配比例标头,0),FALSE)*$C$3),0)</f>
        <v>243</v>
      </c>
      <c r="BP258" s="103">
        <f ca="1">ROUND(VLOOKUP($BJ258&amp;"初始",$S$3:$AE$63,MATCH(BP$3,$S$3:$AE$3,0),FALSE)+(VLOOKUP($BJ258&amp;"最终",$S$3:$AE$63,MATCH(BP$3,$S$3:$AE$3,0),FALSE)-VLOOKUP($BJ258&amp;"初始",$S$3:$AE$63,MATCH(BP$3,$S$3:$AE$3,0),FALSE))*$BL258/VLOOKUP(VLOOKUP($BJ258,坦克个性化设定!$B$18:$E$48,4,FALSE)&amp;$BK258,坦克属性分配比例,MATCH("升星次数",坦克属性分配比例标头,0),FALSE)*(VLOOKUP(VLOOKUP($BJ258,坦克个性化设定!$B$18:$E$48,4,FALSE)&amp;$BK258,坦克属性分配比例,MATCH("升星比例",坦克属性分配比例标头,0),FALSE)+VLOOKUP(VLOOKUP($BJ258,坦克个性化设定!$B$18:$E$48,4,FALSE)&amp;$BK258,坦克属性分配比例,MATCH("部件比例",坦克属性分配比例标头,0),FALSE)*$C$3),0)</f>
        <v>609</v>
      </c>
      <c r="BQ258" s="103">
        <f ca="1">ROUND(VLOOKUP($BJ258&amp;"初始",$S$3:$AE$63,MATCH(BQ$3,$S$3:$AE$3,0),FALSE)+(VLOOKUP($BJ258&amp;"最终",$S$3:$AE$63,MATCH(BQ$3,$S$3:$AE$3,0),FALSE)-VLOOKUP($BJ258&amp;"初始",$S$3:$AE$63,MATCH(BQ$3,$S$3:$AE$3,0),FALSE))*$BL258/VLOOKUP(VLOOKUP($BJ258,坦克个性化设定!$B$18:$E$48,4,FALSE)&amp;$BK258,坦克属性分配比例,MATCH("升星次数",坦克属性分配比例标头,0),FALSE)*VLOOKUP(VLOOKUP($BJ258,坦克个性化设定!$B$18:$E$48,4,FALSE)&amp;$BK258,坦克属性分配比例,MATCH("升星比例",坦克属性分配比例标头,0),FALSE),0)</f>
        <v>824</v>
      </c>
      <c r="BR258" s="2">
        <f ca="1">ROUND(VLOOKUP($BJ258&amp;"初始",$S$3:$AE$63,MATCH(BR$3,$S$3:$AE$3,0),FALSE)+(VLOOKUP($BJ258&amp;"最终",$S$3:$AE$63,MATCH(BR$3,$S$3:$AE$3,0),FALSE)-VLOOKUP($BJ258&amp;"初始",$S$3:$AE$63,MATCH(BR$3,$S$3:$AE$3,0),FALSE))*$BL258/VLOOKUP(VLOOKUP($BJ258,坦克个性化设定!$B$18:$E$48,4,FALSE)&amp;$BK258,坦克属性分配比例,MATCH("升星次数",坦克属性分配比例标头,0),FALSE),0)</f>
        <v>204</v>
      </c>
      <c r="BS258" s="2">
        <f>ROUND(VLOOKUP($BJ258,$AI$3:$AO$33,MATCH(BS$3,$AI$3:$AO$3,0),FALSE)+$BL258/VLOOKUP(VLOOKUP($BJ258,坦克个性化设定!$B$18:$E$48,4,FALSE)&amp;$BK258,坦克属性分配比例,MATCH("升星次数",坦克属性分配比例标头,0),FALSE)*VLOOKUP($BJ258,$AR$3:$AY$33,MATCH(BS$3,$AR$3:$AY$3,0),FALSE),1)</f>
        <v>49.3</v>
      </c>
      <c r="BT258" s="2">
        <f>ROUND(VLOOKUP($BJ258,$AI$3:$AO$33,MATCH(BT$3,$AI$3:$AO$3,0),FALSE)+$BL258/VLOOKUP(VLOOKUP($BJ258,坦克个性化设定!$B$18:$E$48,4,FALSE)&amp;$BK258,坦克属性分配比例,MATCH("升星次数",坦克属性分配比例标头,0),FALSE)*VLOOKUP($BJ258,$AR$3:$AY$33,MATCH(BT$3,$AR$3:$AY$3,0),FALSE),1)</f>
        <v>35.9</v>
      </c>
      <c r="BU258" s="2">
        <f>ROUND(VLOOKUP($BJ258,$AI$3:$AO$33,MATCH(BU$3,$AI$3:$AO$3,0),FALSE)+$BL258/VLOOKUP(VLOOKUP($BJ258,坦克个性化设定!$B$18:$E$48,4,FALSE)&amp;$BK258,坦克属性分配比例,MATCH("升星次数",坦克属性分配比例标头,0),FALSE)*VLOOKUP($BJ258,$AR$3:$AY$33,MATCH(BU$3,$AR$3:$AY$3,0),FALSE),1)</f>
        <v>7.4</v>
      </c>
      <c r="BV258" s="2">
        <f>IF(VLOOKUP(BJ258,坦克个性化设定!$B$18:$BC$48,MATCH("装弹类型",坦克个性化设定!$B$18:$BC$18,0),FALSE)="弹夹换弹",0,ROUND(VLOOKUP($BJ258,$AI$3:$AO$33,MATCH("换弹时间",$AI$3:$AO$3,0),FALSE)-$BL258/VLOOKUP(VLOOKUP($BJ258,坦克个性化设定!$B$18:$E$48,4,FALSE)&amp;$BK258,坦克属性分配比例,MATCH("升星次数",坦克属性分配比例标头,0),FALSE)*VLOOKUP($BJ258,$AR$3:$AY$33,MATCH("换弹时间",$AR$3:$AY$3,0),FALSE),2))</f>
        <v>3.53</v>
      </c>
      <c r="BW258" s="2">
        <f>IF(VLOOKUP(BJ258,坦克个性化设定!$B$18:$BC$48,MATCH("装弹类型",坦克个性化设定!$B$18:$BC$18,0),FALSE)="弹夹换弹",ROUND(VLOOKUP($BJ258,$AI$3:$AO$33,MATCH("换弹时间",$AI$3:$AO$3,0),FALSE)-$BL258/VLOOKUP(VLOOKUP($BJ258,坦克个性化设定!$B$18:$E$48,4,FALSE)&amp;$BK258,坦克属性分配比例,MATCH("升星次数",坦克属性分配比例标头,0),FALSE)*VLOOKUP($BJ258,$AR$3:$AY$33,MATCH("换弹时间",$AR$3:$AY$3,0),FALSE),1),0)</f>
        <v>0</v>
      </c>
      <c r="BX258" s="2">
        <f>ROUND(VLOOKUP($BJ258,$AI$3:$AO$33,MATCH(BX$3,$AI$3:$AO$3,0),FALSE)+$BL258/VLOOKUP(VLOOKUP($BJ258,坦克个性化设定!$B$18:$E$48,4,FALSE)&amp;$BK258,坦克属性分配比例,MATCH("升星次数",坦克属性分配比例标头,0),FALSE)*VLOOKUP($BJ258,$AR$3:$AY$33,MATCH(BX$3,$AR$3:$AY$3,0),FALSE),2)</f>
        <v>2</v>
      </c>
      <c r="BY258" s="2">
        <f>ROUND(VLOOKUP($BJ258,$AI$3:$AO$33,MATCH(BY$3,$AI$3:$AO$3,0),FALSE)-$BL258/VLOOKUP(VLOOKUP($BJ258,坦克个性化设定!$B$18:$E$48,4,FALSE)&amp;$BK258,坦克属性分配比例,MATCH("升星次数",坦克属性分配比例标头,0),FALSE)*VLOOKUP($BJ258,$AR$3:$AY$33,MATCH(BY$3,$AR$3:$AY$3,0),FALSE),2)</f>
        <v>1.92</v>
      </c>
    </row>
    <row r="259" spans="60:77" x14ac:dyDescent="0.3">
      <c r="BH259" s="2" t="str">
        <f t="shared" si="35"/>
        <v>KV-29</v>
      </c>
      <c r="BI259" s="2">
        <f>IF(BL258&gt;=VLOOKUP(VLOOKUP(BJ258,坦克个性化设定!$B$18:$E$48,4,FALSE)&amp;BK258,坦克属性分配比例,MATCH("升星次数",坦克属性分配比例标头,0),FALSE),BI258+1,BI258)</f>
        <v>26</v>
      </c>
      <c r="BJ259" s="2" t="str">
        <f t="shared" si="36"/>
        <v>KV-2</v>
      </c>
      <c r="BK259" s="29" t="str">
        <f>VLOOKUP(BJ259,坦克个性化细分!$I$3:$J$33,2,FALSE)</f>
        <v>高</v>
      </c>
      <c r="BL259" s="2">
        <f t="shared" si="37"/>
        <v>9</v>
      </c>
      <c r="BM259" s="103">
        <f ca="1">ROUND(VLOOKUP($BJ259&amp;"初始",$S$3:$AE$63,MATCH(BM$3,$S$3:$AE$3,0),FALSE)+((VLOOKUP($BJ259&amp;"最终",$S$3:$AE$63,MATCH(BM$3,$S$3:$AE$3,0),FALSE)*坦克个性化细分!$C$9-VLOOKUP($BJ259&amp;"初始",$S$3:$AE$63,MATCH(BM$3,$S$3:$AE$3,0),FALSE))-(VLOOKUP($BJ259&amp;"最终",$S$3:$AE$63,MATCH(BM$3,$S$3:$AE$3,0),FALSE)-VLOOKUP($BJ259&amp;"初始",$S$3:$AE$63,MATCH(BM$3,$S$3:$AE$3,0),FALSE))*VLOOKUP(VLOOKUP($BJ259,坦克个性化设定!$B$18:$E$48,4,FALSE)&amp;$BK259,坦克属性分配比例,MATCH("部件比例",坦克属性分配比例标头,0),FALSE))*$BL259/VLOOKUP(VLOOKUP($BJ259,坦克个性化设定!$B$18:$E$48,4,FALSE)&amp;$BK259,坦克属性分配比例,MATCH("升星次数",坦克属性分配比例标头,0),FALSE),0)</f>
        <v>2083</v>
      </c>
      <c r="BN259" s="103">
        <f ca="1">ROUND(VLOOKUP($BJ259&amp;"初始",$S$3:$AE$63,MATCH(BN$3,$S$3:$AE$3,0),FALSE)+(VLOOKUP($BJ259&amp;"最终",$S$3:$AE$63,MATCH(BN$3,$S$3:$AE$3,0),FALSE)-VLOOKUP($BJ259&amp;"初始",$S$3:$AE$63,MATCH(BN$3,$S$3:$AE$3,0),FALSE))*$BL259/VLOOKUP(VLOOKUP($BJ259,坦克个性化设定!$B$18:$E$48,4,FALSE)&amp;$BK259,坦克属性分配比例,MATCH("升星次数",坦克属性分配比例标头,0),FALSE)*VLOOKUP(VLOOKUP($BJ259,坦克个性化设定!$B$18:$E$48,4,FALSE)&amp;$BK259,坦克属性分配比例,MATCH("升星比例",坦克属性分配比例标头,0),FALSE),0)</f>
        <v>585</v>
      </c>
      <c r="BO259" s="103">
        <f ca="1">ROUND(VLOOKUP($BJ259&amp;"初始",$S$3:$AE$63,MATCH(BO$3,$S$3:$AE$3,0),FALSE)+(VLOOKUP($BJ259&amp;"最终",$S$3:$AE$63,MATCH(BO$3,$S$3:$AE$3,0),FALSE)-VLOOKUP($BJ259&amp;"初始",$S$3:$AE$63,MATCH(BO$3,$S$3:$AE$3,0),FALSE))*$BL259/VLOOKUP(VLOOKUP($BJ259,坦克个性化设定!$B$18:$E$48,4,FALSE)&amp;$BK259,坦克属性分配比例,MATCH("升星次数",坦克属性分配比例标头,0),FALSE)*(VLOOKUP(VLOOKUP($BJ259,坦克个性化设定!$B$18:$E$48,4,FALSE)&amp;$BK259,坦克属性分配比例,MATCH("升星比例",坦克属性分配比例标头,0),FALSE)+VLOOKUP(VLOOKUP($BJ259,坦克个性化设定!$B$18:$E$48,4,FALSE)&amp;$BK259,坦克属性分配比例,MATCH("部件比例",坦克属性分配比例标头,0),FALSE)*$C$3),0)</f>
        <v>252</v>
      </c>
      <c r="BP259" s="103">
        <f ca="1">ROUND(VLOOKUP($BJ259&amp;"初始",$S$3:$AE$63,MATCH(BP$3,$S$3:$AE$3,0),FALSE)+(VLOOKUP($BJ259&amp;"最终",$S$3:$AE$63,MATCH(BP$3,$S$3:$AE$3,0),FALSE)-VLOOKUP($BJ259&amp;"初始",$S$3:$AE$63,MATCH(BP$3,$S$3:$AE$3,0),FALSE))*$BL259/VLOOKUP(VLOOKUP($BJ259,坦克个性化设定!$B$18:$E$48,4,FALSE)&amp;$BK259,坦克属性分配比例,MATCH("升星次数",坦克属性分配比例标头,0),FALSE)*(VLOOKUP(VLOOKUP($BJ259,坦克个性化设定!$B$18:$E$48,4,FALSE)&amp;$BK259,坦克属性分配比例,MATCH("升星比例",坦克属性分配比例标头,0),FALSE)+VLOOKUP(VLOOKUP($BJ259,坦克个性化设定!$B$18:$E$48,4,FALSE)&amp;$BK259,坦克属性分配比例,MATCH("部件比例",坦克属性分配比例标头,0),FALSE)*$C$3),0)</f>
        <v>630</v>
      </c>
      <c r="BQ259" s="103">
        <f ca="1">ROUND(VLOOKUP($BJ259&amp;"初始",$S$3:$AE$63,MATCH(BQ$3,$S$3:$AE$3,0),FALSE)+(VLOOKUP($BJ259&amp;"最终",$S$3:$AE$63,MATCH(BQ$3,$S$3:$AE$3,0),FALSE)-VLOOKUP($BJ259&amp;"初始",$S$3:$AE$63,MATCH(BQ$3,$S$3:$AE$3,0),FALSE))*$BL259/VLOOKUP(VLOOKUP($BJ259,坦克个性化设定!$B$18:$E$48,4,FALSE)&amp;$BK259,坦克属性分配比例,MATCH("升星次数",坦克属性分配比例标头,0),FALSE)*VLOOKUP(VLOOKUP($BJ259,坦克个性化设定!$B$18:$E$48,4,FALSE)&amp;$BK259,坦克属性分配比例,MATCH("升星比例",坦克属性分配比例标头,0),FALSE),0)</f>
        <v>846</v>
      </c>
      <c r="BR259" s="2">
        <f ca="1">ROUND(VLOOKUP($BJ259&amp;"初始",$S$3:$AE$63,MATCH(BR$3,$S$3:$AE$3,0),FALSE)+(VLOOKUP($BJ259&amp;"最终",$S$3:$AE$63,MATCH(BR$3,$S$3:$AE$3,0),FALSE)-VLOOKUP($BJ259&amp;"初始",$S$3:$AE$63,MATCH(BR$3,$S$3:$AE$3,0),FALSE))*$BL259/VLOOKUP(VLOOKUP($BJ259,坦克个性化设定!$B$18:$E$48,4,FALSE)&amp;$BK259,坦克属性分配比例,MATCH("升星次数",坦克属性分配比例标头,0),FALSE),0)</f>
        <v>212</v>
      </c>
      <c r="BS259" s="2">
        <f>ROUND(VLOOKUP($BJ259,$AI$3:$AO$33,MATCH(BS$3,$AI$3:$AO$3,0),FALSE)+$BL259/VLOOKUP(VLOOKUP($BJ259,坦克个性化设定!$B$18:$E$48,4,FALSE)&amp;$BK259,坦克属性分配比例,MATCH("升星次数",坦克属性分配比例标头,0),FALSE)*VLOOKUP($BJ259,$AR$3:$AY$33,MATCH(BS$3,$AR$3:$AY$3,0),FALSE),1)</f>
        <v>50.4</v>
      </c>
      <c r="BT259" s="2">
        <f>ROUND(VLOOKUP($BJ259,$AI$3:$AO$33,MATCH(BT$3,$AI$3:$AO$3,0),FALSE)+$BL259/VLOOKUP(VLOOKUP($BJ259,坦克个性化设定!$B$18:$E$48,4,FALSE)&amp;$BK259,坦克属性分配比例,MATCH("升星次数",坦克属性分配比例标头,0),FALSE)*VLOOKUP($BJ259,$AR$3:$AY$33,MATCH(BT$3,$AR$3:$AY$3,0),FALSE),1)</f>
        <v>36.799999999999997</v>
      </c>
      <c r="BU259" s="2">
        <f>ROUND(VLOOKUP($BJ259,$AI$3:$AO$33,MATCH(BU$3,$AI$3:$AO$3,0),FALSE)+$BL259/VLOOKUP(VLOOKUP($BJ259,坦克个性化设定!$B$18:$E$48,4,FALSE)&amp;$BK259,坦克属性分配比例,MATCH("升星次数",坦克属性分配比例标头,0),FALSE)*VLOOKUP($BJ259,$AR$3:$AY$33,MATCH(BU$3,$AR$3:$AY$3,0),FALSE),1)</f>
        <v>7.4</v>
      </c>
      <c r="BV259" s="2">
        <f>IF(VLOOKUP(BJ259,坦克个性化设定!$B$18:$BC$48,MATCH("装弹类型",坦克个性化设定!$B$18:$BC$18,0),FALSE)="弹夹换弹",0,ROUND(VLOOKUP($BJ259,$AI$3:$AO$33,MATCH("换弹时间",$AI$3:$AO$3,0),FALSE)-$BL259/VLOOKUP(VLOOKUP($BJ259,坦克个性化设定!$B$18:$E$48,4,FALSE)&amp;$BK259,坦克属性分配比例,MATCH("升星次数",坦克属性分配比例标头,0),FALSE)*VLOOKUP($BJ259,$AR$3:$AY$33,MATCH("换弹时间",$AR$3:$AY$3,0),FALSE),2))</f>
        <v>3.46</v>
      </c>
      <c r="BW259" s="2">
        <f>IF(VLOOKUP(BJ259,坦克个性化设定!$B$18:$BC$48,MATCH("装弹类型",坦克个性化设定!$B$18:$BC$18,0),FALSE)="弹夹换弹",ROUND(VLOOKUP($BJ259,$AI$3:$AO$33,MATCH("换弹时间",$AI$3:$AO$3,0),FALSE)-$BL259/VLOOKUP(VLOOKUP($BJ259,坦克个性化设定!$B$18:$E$48,4,FALSE)&amp;$BK259,坦克属性分配比例,MATCH("升星次数",坦克属性分配比例标头,0),FALSE)*VLOOKUP($BJ259,$AR$3:$AY$33,MATCH("换弹时间",$AR$3:$AY$3,0),FALSE),1),0)</f>
        <v>0</v>
      </c>
      <c r="BX259" s="2">
        <f>ROUND(VLOOKUP($BJ259,$AI$3:$AO$33,MATCH(BX$3,$AI$3:$AO$3,0),FALSE)+$BL259/VLOOKUP(VLOOKUP($BJ259,坦克个性化设定!$B$18:$E$48,4,FALSE)&amp;$BK259,坦克属性分配比例,MATCH("升星次数",坦克属性分配比例标头,0),FALSE)*VLOOKUP($BJ259,$AR$3:$AY$33,MATCH(BX$3,$AR$3:$AY$3,0),FALSE),2)</f>
        <v>2</v>
      </c>
      <c r="BY259" s="2">
        <f>ROUND(VLOOKUP($BJ259,$AI$3:$AO$33,MATCH(BY$3,$AI$3:$AO$3,0),FALSE)-$BL259/VLOOKUP(VLOOKUP($BJ259,坦克个性化设定!$B$18:$E$48,4,FALSE)&amp;$BK259,坦克属性分配比例,MATCH("升星次数",坦克属性分配比例标头,0),FALSE)*VLOOKUP($BJ259,$AR$3:$AY$33,MATCH(BY$3,$AR$3:$AY$3,0),FALSE),2)</f>
        <v>1.88</v>
      </c>
    </row>
    <row r="260" spans="60:77" x14ac:dyDescent="0.3">
      <c r="BH260" s="2" t="str">
        <f t="shared" si="35"/>
        <v>征服者0</v>
      </c>
      <c r="BI260" s="2">
        <f>IF(BL259&gt;=VLOOKUP(VLOOKUP(BJ259,坦克个性化设定!$B$18:$E$48,4,FALSE)&amp;BK259,坦克属性分配比例,MATCH("升星次数",坦克属性分配比例标头,0),FALSE),BI259+1,BI259)</f>
        <v>27</v>
      </c>
      <c r="BJ260" s="2" t="str">
        <f t="shared" si="36"/>
        <v>征服者</v>
      </c>
      <c r="BK260" s="29" t="str">
        <f>VLOOKUP(BJ260,坦克个性化细分!$I$3:$J$33,2,FALSE)</f>
        <v>低</v>
      </c>
      <c r="BL260" s="2">
        <f t="shared" si="37"/>
        <v>0</v>
      </c>
      <c r="BM260" s="103" t="e">
        <f ca="1">ROUND(VLOOKUP($BJ260&amp;"初始",$S$3:$AE$63,MATCH(BM$3,$S$3:$AE$3,0),FALSE)+((VLOOKUP($BJ260&amp;"最终",$S$3:$AE$63,MATCH(BM$3,$S$3:$AE$3,0),FALSE)*坦克个性化细分!$C$9-VLOOKUP($BJ260&amp;"初始",$S$3:$AE$63,MATCH(BM$3,$S$3:$AE$3,0),FALSE))-(VLOOKUP($BJ260&amp;"最终",$S$3:$AE$63,MATCH(BM$3,$S$3:$AE$3,0),FALSE)-VLOOKUP($BJ260&amp;"初始",$S$3:$AE$63,MATCH(BM$3,$S$3:$AE$3,0),FALSE))*VLOOKUP(VLOOKUP($BJ260,坦克个性化设定!$B$18:$E$48,4,FALSE)&amp;$BK260,坦克属性分配比例,MATCH("部件比例",坦克属性分配比例标头,0),FALSE))*$BL260/VLOOKUP(VLOOKUP($BJ260,坦克个性化设定!$B$18:$E$48,4,FALSE)&amp;$BK260,坦克属性分配比例,MATCH("升星次数",坦克属性分配比例标头,0),FALSE),0)</f>
        <v>#N/A</v>
      </c>
      <c r="BN260" s="103" t="e">
        <f ca="1">ROUND(VLOOKUP($BJ260&amp;"初始",$S$3:$AE$63,MATCH(BN$3,$S$3:$AE$3,0),FALSE)+(VLOOKUP($BJ260&amp;"最终",$S$3:$AE$63,MATCH(BN$3,$S$3:$AE$3,0),FALSE)-VLOOKUP($BJ260&amp;"初始",$S$3:$AE$63,MATCH(BN$3,$S$3:$AE$3,0),FALSE))*$BL260/VLOOKUP(VLOOKUP($BJ260,坦克个性化设定!$B$18:$E$48,4,FALSE)&amp;$BK260,坦克属性分配比例,MATCH("升星次数",坦克属性分配比例标头,0),FALSE)*VLOOKUP(VLOOKUP($BJ260,坦克个性化设定!$B$18:$E$48,4,FALSE)&amp;$BK260,坦克属性分配比例,MATCH("升星比例",坦克属性分配比例标头,0),FALSE),0)</f>
        <v>#N/A</v>
      </c>
      <c r="BO260" s="103" t="e">
        <f ca="1">ROUND(VLOOKUP($BJ260&amp;"初始",$S$3:$AE$63,MATCH(BO$3,$S$3:$AE$3,0),FALSE)+(VLOOKUP($BJ260&amp;"最终",$S$3:$AE$63,MATCH(BO$3,$S$3:$AE$3,0),FALSE)-VLOOKUP($BJ260&amp;"初始",$S$3:$AE$63,MATCH(BO$3,$S$3:$AE$3,0),FALSE))*$BL260/VLOOKUP(VLOOKUP($BJ260,坦克个性化设定!$B$18:$E$48,4,FALSE)&amp;$BK260,坦克属性分配比例,MATCH("升星次数",坦克属性分配比例标头,0),FALSE)*(VLOOKUP(VLOOKUP($BJ260,坦克个性化设定!$B$18:$E$48,4,FALSE)&amp;$BK260,坦克属性分配比例,MATCH("升星比例",坦克属性分配比例标头,0),FALSE)+VLOOKUP(VLOOKUP($BJ260,坦克个性化设定!$B$18:$E$48,4,FALSE)&amp;$BK260,坦克属性分配比例,MATCH("部件比例",坦克属性分配比例标头,0),FALSE)*$C$3),0)</f>
        <v>#N/A</v>
      </c>
      <c r="BP260" s="103" t="e">
        <f ca="1">ROUND(VLOOKUP($BJ260&amp;"初始",$S$3:$AE$63,MATCH(BP$3,$S$3:$AE$3,0),FALSE)+(VLOOKUP($BJ260&amp;"最终",$S$3:$AE$63,MATCH(BP$3,$S$3:$AE$3,0),FALSE)-VLOOKUP($BJ260&amp;"初始",$S$3:$AE$63,MATCH(BP$3,$S$3:$AE$3,0),FALSE))*$BL260/VLOOKUP(VLOOKUP($BJ260,坦克个性化设定!$B$18:$E$48,4,FALSE)&amp;$BK260,坦克属性分配比例,MATCH("升星次数",坦克属性分配比例标头,0),FALSE)*(VLOOKUP(VLOOKUP($BJ260,坦克个性化设定!$B$18:$E$48,4,FALSE)&amp;$BK260,坦克属性分配比例,MATCH("升星比例",坦克属性分配比例标头,0),FALSE)+VLOOKUP(VLOOKUP($BJ260,坦克个性化设定!$B$18:$E$48,4,FALSE)&amp;$BK260,坦克属性分配比例,MATCH("部件比例",坦克属性分配比例标头,0),FALSE)*$C$3),0)</f>
        <v>#N/A</v>
      </c>
      <c r="BQ260" s="103" t="e">
        <f ca="1">ROUND(VLOOKUP($BJ260&amp;"初始",$S$3:$AE$63,MATCH(BQ$3,$S$3:$AE$3,0),FALSE)+(VLOOKUP($BJ260&amp;"最终",$S$3:$AE$63,MATCH(BQ$3,$S$3:$AE$3,0),FALSE)-VLOOKUP($BJ260&amp;"初始",$S$3:$AE$63,MATCH(BQ$3,$S$3:$AE$3,0),FALSE))*$BL260/VLOOKUP(VLOOKUP($BJ260,坦克个性化设定!$B$18:$E$48,4,FALSE)&amp;$BK260,坦克属性分配比例,MATCH("升星次数",坦克属性分配比例标头,0),FALSE)*VLOOKUP(VLOOKUP($BJ260,坦克个性化设定!$B$18:$E$48,4,FALSE)&amp;$BK260,坦克属性分配比例,MATCH("升星比例",坦克属性分配比例标头,0),FALSE),0)</f>
        <v>#N/A</v>
      </c>
      <c r="BR260" s="2" t="e">
        <f ca="1">ROUND(VLOOKUP($BJ260&amp;"初始",$S$3:$AE$63,MATCH(BR$3,$S$3:$AE$3,0),FALSE)+(VLOOKUP($BJ260&amp;"最终",$S$3:$AE$63,MATCH(BR$3,$S$3:$AE$3,0),FALSE)-VLOOKUP($BJ260&amp;"初始",$S$3:$AE$63,MATCH(BR$3,$S$3:$AE$3,0),FALSE))*$BL260/VLOOKUP(VLOOKUP($BJ260,坦克个性化设定!$B$18:$E$48,4,FALSE)&amp;$BK260,坦克属性分配比例,MATCH("升星次数",坦克属性分配比例标头,0),FALSE),0)</f>
        <v>#N/A</v>
      </c>
      <c r="BS260" s="2">
        <f>ROUND(VLOOKUP($BJ260,$AI$3:$AO$33,MATCH(BS$3,$AI$3:$AO$3,0),FALSE)+$BL260/VLOOKUP(VLOOKUP($BJ260,坦克个性化设定!$B$18:$E$48,4,FALSE)&amp;$BK260,坦克属性分配比例,MATCH("升星次数",坦克属性分配比例标头,0),FALSE)*VLOOKUP($BJ260,$AR$3:$AY$33,MATCH(BS$3,$AR$3:$AY$3,0),FALSE),1)</f>
        <v>30.7</v>
      </c>
      <c r="BT260" s="2">
        <f>ROUND(VLOOKUP($BJ260,$AI$3:$AO$33,MATCH(BT$3,$AI$3:$AO$3,0),FALSE)+$BL260/VLOOKUP(VLOOKUP($BJ260,坦克个性化设定!$B$18:$E$48,4,FALSE)&amp;$BK260,坦克属性分配比例,MATCH("升星次数",坦克属性分配比例标头,0),FALSE)*VLOOKUP($BJ260,$AR$3:$AY$33,MATCH(BT$3,$AR$3:$AY$3,0),FALSE),1)</f>
        <v>35</v>
      </c>
      <c r="BU260" s="2">
        <f>ROUND(VLOOKUP($BJ260,$AI$3:$AO$33,MATCH(BU$3,$AI$3:$AO$3,0),FALSE)+$BL260/VLOOKUP(VLOOKUP($BJ260,坦克个性化设定!$B$18:$E$48,4,FALSE)&amp;$BK260,坦克属性分配比例,MATCH("升星次数",坦克属性分配比例标头,0),FALSE)*VLOOKUP($BJ260,$AR$3:$AY$33,MATCH(BU$3,$AR$3:$AY$3,0),FALSE),1)</f>
        <v>6.3</v>
      </c>
      <c r="BV260" s="2">
        <f>IF(VLOOKUP(BJ260,坦克个性化设定!$B$18:$BC$48,MATCH("装弹类型",坦克个性化设定!$B$18:$BC$18,0),FALSE)="弹夹换弹",0,ROUND(VLOOKUP($BJ260,$AI$3:$AO$33,MATCH("换弹时间",$AI$3:$AO$3,0),FALSE)-$BL260/VLOOKUP(VLOOKUP($BJ260,坦克个性化设定!$B$18:$E$48,4,FALSE)&amp;$BK260,坦克属性分配比例,MATCH("升星次数",坦克属性分配比例标头,0),FALSE)*VLOOKUP($BJ260,$AR$3:$AY$33,MATCH("换弹时间",$AR$3:$AY$3,0),FALSE),2))</f>
        <v>6</v>
      </c>
      <c r="BW260" s="2">
        <f>IF(VLOOKUP(BJ260,坦克个性化设定!$B$18:$BC$48,MATCH("装弹类型",坦克个性化设定!$B$18:$BC$18,0),FALSE)="弹夹换弹",ROUND(VLOOKUP($BJ260,$AI$3:$AO$33,MATCH("换弹时间",$AI$3:$AO$3,0),FALSE)-$BL260/VLOOKUP(VLOOKUP($BJ260,坦克个性化设定!$B$18:$E$48,4,FALSE)&amp;$BK260,坦克属性分配比例,MATCH("升星次数",坦克属性分配比例标头,0),FALSE)*VLOOKUP($BJ260,$AR$3:$AY$33,MATCH("换弹时间",$AR$3:$AY$3,0),FALSE),1),0)</f>
        <v>0</v>
      </c>
      <c r="BX260" s="2">
        <f>ROUND(VLOOKUP($BJ260,$AI$3:$AO$33,MATCH(BX$3,$AI$3:$AO$3,0),FALSE)+$BL260/VLOOKUP(VLOOKUP($BJ260,坦克个性化设定!$B$18:$E$48,4,FALSE)&amp;$BK260,坦克属性分配比例,MATCH("升星次数",坦克属性分配比例标头,0),FALSE)*VLOOKUP($BJ260,$AR$3:$AY$33,MATCH(BX$3,$AR$3:$AY$3,0),FALSE),2)</f>
        <v>0</v>
      </c>
      <c r="BY260" s="2">
        <f>ROUND(VLOOKUP($BJ260,$AI$3:$AO$33,MATCH(BY$3,$AI$3:$AO$3,0),FALSE)-$BL260/VLOOKUP(VLOOKUP($BJ260,坦克个性化设定!$B$18:$E$48,4,FALSE)&amp;$BK260,坦克属性分配比例,MATCH("升星次数",坦克属性分配比例标头,0),FALSE)*VLOOKUP($BJ260,$AR$3:$AY$33,MATCH(BY$3,$AR$3:$AY$3,0),FALSE),2)</f>
        <v>3</v>
      </c>
    </row>
    <row r="261" spans="60:77" x14ac:dyDescent="0.3">
      <c r="BH261" s="2" t="str">
        <f t="shared" si="35"/>
        <v>征服者1</v>
      </c>
      <c r="BI261" s="2">
        <f>IF(BL260&gt;=VLOOKUP(VLOOKUP(BJ260,坦克个性化设定!$B$18:$E$48,4,FALSE)&amp;BK260,坦克属性分配比例,MATCH("升星次数",坦克属性分配比例标头,0),FALSE),BI260+1,BI260)</f>
        <v>27</v>
      </c>
      <c r="BJ261" s="2" t="str">
        <f t="shared" si="36"/>
        <v>征服者</v>
      </c>
      <c r="BK261" s="29" t="str">
        <f>VLOOKUP(BJ261,坦克个性化细分!$I$3:$J$33,2,FALSE)</f>
        <v>低</v>
      </c>
      <c r="BL261" s="2">
        <f t="shared" si="37"/>
        <v>1</v>
      </c>
      <c r="BM261" s="103" t="e">
        <f ca="1">ROUND(VLOOKUP($BJ261&amp;"初始",$S$3:$AE$63,MATCH(BM$3,$S$3:$AE$3,0),FALSE)+((VLOOKUP($BJ261&amp;"最终",$S$3:$AE$63,MATCH(BM$3,$S$3:$AE$3,0),FALSE)*坦克个性化细分!$C$9-VLOOKUP($BJ261&amp;"初始",$S$3:$AE$63,MATCH(BM$3,$S$3:$AE$3,0),FALSE))-(VLOOKUP($BJ261&amp;"最终",$S$3:$AE$63,MATCH(BM$3,$S$3:$AE$3,0),FALSE)-VLOOKUP($BJ261&amp;"初始",$S$3:$AE$63,MATCH(BM$3,$S$3:$AE$3,0),FALSE))*VLOOKUP(VLOOKUP($BJ261,坦克个性化设定!$B$18:$E$48,4,FALSE)&amp;$BK261,坦克属性分配比例,MATCH("部件比例",坦克属性分配比例标头,0),FALSE))*$BL261/VLOOKUP(VLOOKUP($BJ261,坦克个性化设定!$B$18:$E$48,4,FALSE)&amp;$BK261,坦克属性分配比例,MATCH("升星次数",坦克属性分配比例标头,0),FALSE),0)</f>
        <v>#N/A</v>
      </c>
      <c r="BN261" s="103" t="e">
        <f ca="1">ROUND(VLOOKUP($BJ261&amp;"初始",$S$3:$AE$63,MATCH(BN$3,$S$3:$AE$3,0),FALSE)+(VLOOKUP($BJ261&amp;"最终",$S$3:$AE$63,MATCH(BN$3,$S$3:$AE$3,0),FALSE)-VLOOKUP($BJ261&amp;"初始",$S$3:$AE$63,MATCH(BN$3,$S$3:$AE$3,0),FALSE))*$BL261/VLOOKUP(VLOOKUP($BJ261,坦克个性化设定!$B$18:$E$48,4,FALSE)&amp;$BK261,坦克属性分配比例,MATCH("升星次数",坦克属性分配比例标头,0),FALSE)*VLOOKUP(VLOOKUP($BJ261,坦克个性化设定!$B$18:$E$48,4,FALSE)&amp;$BK261,坦克属性分配比例,MATCH("升星比例",坦克属性分配比例标头,0),FALSE),0)</f>
        <v>#N/A</v>
      </c>
      <c r="BO261" s="103" t="e">
        <f ca="1">ROUND(VLOOKUP($BJ261&amp;"初始",$S$3:$AE$63,MATCH(BO$3,$S$3:$AE$3,0),FALSE)+(VLOOKUP($BJ261&amp;"最终",$S$3:$AE$63,MATCH(BO$3,$S$3:$AE$3,0),FALSE)-VLOOKUP($BJ261&amp;"初始",$S$3:$AE$63,MATCH(BO$3,$S$3:$AE$3,0),FALSE))*$BL261/VLOOKUP(VLOOKUP($BJ261,坦克个性化设定!$B$18:$E$48,4,FALSE)&amp;$BK261,坦克属性分配比例,MATCH("升星次数",坦克属性分配比例标头,0),FALSE)*(VLOOKUP(VLOOKUP($BJ261,坦克个性化设定!$B$18:$E$48,4,FALSE)&amp;$BK261,坦克属性分配比例,MATCH("升星比例",坦克属性分配比例标头,0),FALSE)+VLOOKUP(VLOOKUP($BJ261,坦克个性化设定!$B$18:$E$48,4,FALSE)&amp;$BK261,坦克属性分配比例,MATCH("部件比例",坦克属性分配比例标头,0),FALSE)*$C$3),0)</f>
        <v>#N/A</v>
      </c>
      <c r="BP261" s="103" t="e">
        <f ca="1">ROUND(VLOOKUP($BJ261&amp;"初始",$S$3:$AE$63,MATCH(BP$3,$S$3:$AE$3,0),FALSE)+(VLOOKUP($BJ261&amp;"最终",$S$3:$AE$63,MATCH(BP$3,$S$3:$AE$3,0),FALSE)-VLOOKUP($BJ261&amp;"初始",$S$3:$AE$63,MATCH(BP$3,$S$3:$AE$3,0),FALSE))*$BL261/VLOOKUP(VLOOKUP($BJ261,坦克个性化设定!$B$18:$E$48,4,FALSE)&amp;$BK261,坦克属性分配比例,MATCH("升星次数",坦克属性分配比例标头,0),FALSE)*(VLOOKUP(VLOOKUP($BJ261,坦克个性化设定!$B$18:$E$48,4,FALSE)&amp;$BK261,坦克属性分配比例,MATCH("升星比例",坦克属性分配比例标头,0),FALSE)+VLOOKUP(VLOOKUP($BJ261,坦克个性化设定!$B$18:$E$48,4,FALSE)&amp;$BK261,坦克属性分配比例,MATCH("部件比例",坦克属性分配比例标头,0),FALSE)*$C$3),0)</f>
        <v>#N/A</v>
      </c>
      <c r="BQ261" s="103" t="e">
        <f ca="1">ROUND(VLOOKUP($BJ261&amp;"初始",$S$3:$AE$63,MATCH(BQ$3,$S$3:$AE$3,0),FALSE)+(VLOOKUP($BJ261&amp;"最终",$S$3:$AE$63,MATCH(BQ$3,$S$3:$AE$3,0),FALSE)-VLOOKUP($BJ261&amp;"初始",$S$3:$AE$63,MATCH(BQ$3,$S$3:$AE$3,0),FALSE))*$BL261/VLOOKUP(VLOOKUP($BJ261,坦克个性化设定!$B$18:$E$48,4,FALSE)&amp;$BK261,坦克属性分配比例,MATCH("升星次数",坦克属性分配比例标头,0),FALSE)*VLOOKUP(VLOOKUP($BJ261,坦克个性化设定!$B$18:$E$48,4,FALSE)&amp;$BK261,坦克属性分配比例,MATCH("升星比例",坦克属性分配比例标头,0),FALSE),0)</f>
        <v>#N/A</v>
      </c>
      <c r="BR261" s="2" t="e">
        <f ca="1">ROUND(VLOOKUP($BJ261&amp;"初始",$S$3:$AE$63,MATCH(BR$3,$S$3:$AE$3,0),FALSE)+(VLOOKUP($BJ261&amp;"最终",$S$3:$AE$63,MATCH(BR$3,$S$3:$AE$3,0),FALSE)-VLOOKUP($BJ261&amp;"初始",$S$3:$AE$63,MATCH(BR$3,$S$3:$AE$3,0),FALSE))*$BL261/VLOOKUP(VLOOKUP($BJ261,坦克个性化设定!$B$18:$E$48,4,FALSE)&amp;$BK261,坦克属性分配比例,MATCH("升星次数",坦克属性分配比例标头,0),FALSE),0)</f>
        <v>#N/A</v>
      </c>
      <c r="BS261" s="2">
        <f>ROUND(VLOOKUP($BJ261,$AI$3:$AO$33,MATCH(BS$3,$AI$3:$AO$3,0),FALSE)+$BL261/VLOOKUP(VLOOKUP($BJ261,坦克个性化设定!$B$18:$E$48,4,FALSE)&amp;$BK261,坦克属性分配比例,MATCH("升星次数",坦克属性分配比例标头,0),FALSE)*VLOOKUP($BJ261,$AR$3:$AY$33,MATCH(BS$3,$AR$3:$AY$3,0),FALSE),1)</f>
        <v>31.4</v>
      </c>
      <c r="BT261" s="2">
        <f>ROUND(VLOOKUP($BJ261,$AI$3:$AO$33,MATCH(BT$3,$AI$3:$AO$3,0),FALSE)+$BL261/VLOOKUP(VLOOKUP($BJ261,坦克个性化设定!$B$18:$E$48,4,FALSE)&amp;$BK261,坦克属性分配比例,MATCH("升星次数",坦克属性分配比例标头,0),FALSE)*VLOOKUP($BJ261,$AR$3:$AY$33,MATCH(BT$3,$AR$3:$AY$3,0),FALSE),1)</f>
        <v>35.799999999999997</v>
      </c>
      <c r="BU261" s="2">
        <f>ROUND(VLOOKUP($BJ261,$AI$3:$AO$33,MATCH(BU$3,$AI$3:$AO$3,0),FALSE)+$BL261/VLOOKUP(VLOOKUP($BJ261,坦克个性化设定!$B$18:$E$48,4,FALSE)&amp;$BK261,坦克属性分配比例,MATCH("升星次数",坦克属性分配比例标头,0),FALSE)*VLOOKUP($BJ261,$AR$3:$AY$33,MATCH(BU$3,$AR$3:$AY$3,0),FALSE),1)</f>
        <v>6.3</v>
      </c>
      <c r="BV261" s="2">
        <f>IF(VLOOKUP(BJ261,坦克个性化设定!$B$18:$BC$48,MATCH("装弹类型",坦克个性化设定!$B$18:$BC$18,0),FALSE)="弹夹换弹",0,ROUND(VLOOKUP($BJ261,$AI$3:$AO$33,MATCH("换弹时间",$AI$3:$AO$3,0),FALSE)-$BL261/VLOOKUP(VLOOKUP($BJ261,坦克个性化设定!$B$18:$E$48,4,FALSE)&amp;$BK261,坦克属性分配比例,MATCH("升星次数",坦克属性分配比例标头,0),FALSE)*VLOOKUP($BJ261,$AR$3:$AY$33,MATCH("换弹时间",$AR$3:$AY$3,0),FALSE),2))</f>
        <v>5.92</v>
      </c>
      <c r="BW261" s="2">
        <f>IF(VLOOKUP(BJ261,坦克个性化设定!$B$18:$BC$48,MATCH("装弹类型",坦克个性化设定!$B$18:$BC$18,0),FALSE)="弹夹换弹",ROUND(VLOOKUP($BJ261,$AI$3:$AO$33,MATCH("换弹时间",$AI$3:$AO$3,0),FALSE)-$BL261/VLOOKUP(VLOOKUP($BJ261,坦克个性化设定!$B$18:$E$48,4,FALSE)&amp;$BK261,坦克属性分配比例,MATCH("升星次数",坦克属性分配比例标头,0),FALSE)*VLOOKUP($BJ261,$AR$3:$AY$33,MATCH("换弹时间",$AR$3:$AY$3,0),FALSE),1),0)</f>
        <v>0</v>
      </c>
      <c r="BX261" s="2">
        <f>ROUND(VLOOKUP($BJ261,$AI$3:$AO$33,MATCH(BX$3,$AI$3:$AO$3,0),FALSE)+$BL261/VLOOKUP(VLOOKUP($BJ261,坦克个性化设定!$B$18:$E$48,4,FALSE)&amp;$BK261,坦克属性分配比例,MATCH("升星次数",坦克属性分配比例标头,0),FALSE)*VLOOKUP($BJ261,$AR$3:$AY$33,MATCH(BX$3,$AR$3:$AY$3,0),FALSE),2)</f>
        <v>0</v>
      </c>
      <c r="BY261" s="2">
        <f>ROUND(VLOOKUP($BJ261,$AI$3:$AO$33,MATCH(BY$3,$AI$3:$AO$3,0),FALSE)-$BL261/VLOOKUP(VLOOKUP($BJ261,坦克个性化设定!$B$18:$E$48,4,FALSE)&amp;$BK261,坦克属性分配比例,MATCH("升星次数",坦克属性分配比例标头,0),FALSE)*VLOOKUP($BJ261,$AR$3:$AY$33,MATCH(BY$3,$AR$3:$AY$3,0),FALSE),2)</f>
        <v>2.95</v>
      </c>
    </row>
    <row r="262" spans="60:77" x14ac:dyDescent="0.3">
      <c r="BH262" s="2" t="str">
        <f t="shared" si="35"/>
        <v>征服者2</v>
      </c>
      <c r="BI262" s="2">
        <f>IF(BL261&gt;=VLOOKUP(VLOOKUP(BJ261,坦克个性化设定!$B$18:$E$48,4,FALSE)&amp;BK261,坦克属性分配比例,MATCH("升星次数",坦克属性分配比例标头,0),FALSE),BI261+1,BI261)</f>
        <v>27</v>
      </c>
      <c r="BJ262" s="2" t="str">
        <f t="shared" si="36"/>
        <v>征服者</v>
      </c>
      <c r="BK262" s="29" t="str">
        <f>VLOOKUP(BJ262,坦克个性化细分!$I$3:$J$33,2,FALSE)</f>
        <v>低</v>
      </c>
      <c r="BL262" s="2">
        <f t="shared" si="37"/>
        <v>2</v>
      </c>
      <c r="BM262" s="103" t="e">
        <f ca="1">ROUND(VLOOKUP($BJ262&amp;"初始",$S$3:$AE$63,MATCH(BM$3,$S$3:$AE$3,0),FALSE)+((VLOOKUP($BJ262&amp;"最终",$S$3:$AE$63,MATCH(BM$3,$S$3:$AE$3,0),FALSE)*坦克个性化细分!$C$9-VLOOKUP($BJ262&amp;"初始",$S$3:$AE$63,MATCH(BM$3,$S$3:$AE$3,0),FALSE))-(VLOOKUP($BJ262&amp;"最终",$S$3:$AE$63,MATCH(BM$3,$S$3:$AE$3,0),FALSE)-VLOOKUP($BJ262&amp;"初始",$S$3:$AE$63,MATCH(BM$3,$S$3:$AE$3,0),FALSE))*VLOOKUP(VLOOKUP($BJ262,坦克个性化设定!$B$18:$E$48,4,FALSE)&amp;$BK262,坦克属性分配比例,MATCH("部件比例",坦克属性分配比例标头,0),FALSE))*$BL262/VLOOKUP(VLOOKUP($BJ262,坦克个性化设定!$B$18:$E$48,4,FALSE)&amp;$BK262,坦克属性分配比例,MATCH("升星次数",坦克属性分配比例标头,0),FALSE),0)</f>
        <v>#N/A</v>
      </c>
      <c r="BN262" s="103" t="e">
        <f ca="1">ROUND(VLOOKUP($BJ262&amp;"初始",$S$3:$AE$63,MATCH(BN$3,$S$3:$AE$3,0),FALSE)+(VLOOKUP($BJ262&amp;"最终",$S$3:$AE$63,MATCH(BN$3,$S$3:$AE$3,0),FALSE)-VLOOKUP($BJ262&amp;"初始",$S$3:$AE$63,MATCH(BN$3,$S$3:$AE$3,0),FALSE))*$BL262/VLOOKUP(VLOOKUP($BJ262,坦克个性化设定!$B$18:$E$48,4,FALSE)&amp;$BK262,坦克属性分配比例,MATCH("升星次数",坦克属性分配比例标头,0),FALSE)*VLOOKUP(VLOOKUP($BJ262,坦克个性化设定!$B$18:$E$48,4,FALSE)&amp;$BK262,坦克属性分配比例,MATCH("升星比例",坦克属性分配比例标头,0),FALSE),0)</f>
        <v>#N/A</v>
      </c>
      <c r="BO262" s="103" t="e">
        <f ca="1">ROUND(VLOOKUP($BJ262&amp;"初始",$S$3:$AE$63,MATCH(BO$3,$S$3:$AE$3,0),FALSE)+(VLOOKUP($BJ262&amp;"最终",$S$3:$AE$63,MATCH(BO$3,$S$3:$AE$3,0),FALSE)-VLOOKUP($BJ262&amp;"初始",$S$3:$AE$63,MATCH(BO$3,$S$3:$AE$3,0),FALSE))*$BL262/VLOOKUP(VLOOKUP($BJ262,坦克个性化设定!$B$18:$E$48,4,FALSE)&amp;$BK262,坦克属性分配比例,MATCH("升星次数",坦克属性分配比例标头,0),FALSE)*(VLOOKUP(VLOOKUP($BJ262,坦克个性化设定!$B$18:$E$48,4,FALSE)&amp;$BK262,坦克属性分配比例,MATCH("升星比例",坦克属性分配比例标头,0),FALSE)+VLOOKUP(VLOOKUP($BJ262,坦克个性化设定!$B$18:$E$48,4,FALSE)&amp;$BK262,坦克属性分配比例,MATCH("部件比例",坦克属性分配比例标头,0),FALSE)*$C$3),0)</f>
        <v>#N/A</v>
      </c>
      <c r="BP262" s="103" t="e">
        <f ca="1">ROUND(VLOOKUP($BJ262&amp;"初始",$S$3:$AE$63,MATCH(BP$3,$S$3:$AE$3,0),FALSE)+(VLOOKUP($BJ262&amp;"最终",$S$3:$AE$63,MATCH(BP$3,$S$3:$AE$3,0),FALSE)-VLOOKUP($BJ262&amp;"初始",$S$3:$AE$63,MATCH(BP$3,$S$3:$AE$3,0),FALSE))*$BL262/VLOOKUP(VLOOKUP($BJ262,坦克个性化设定!$B$18:$E$48,4,FALSE)&amp;$BK262,坦克属性分配比例,MATCH("升星次数",坦克属性分配比例标头,0),FALSE)*(VLOOKUP(VLOOKUP($BJ262,坦克个性化设定!$B$18:$E$48,4,FALSE)&amp;$BK262,坦克属性分配比例,MATCH("升星比例",坦克属性分配比例标头,0),FALSE)+VLOOKUP(VLOOKUP($BJ262,坦克个性化设定!$B$18:$E$48,4,FALSE)&amp;$BK262,坦克属性分配比例,MATCH("部件比例",坦克属性分配比例标头,0),FALSE)*$C$3),0)</f>
        <v>#N/A</v>
      </c>
      <c r="BQ262" s="103" t="e">
        <f ca="1">ROUND(VLOOKUP($BJ262&amp;"初始",$S$3:$AE$63,MATCH(BQ$3,$S$3:$AE$3,0),FALSE)+(VLOOKUP($BJ262&amp;"最终",$S$3:$AE$63,MATCH(BQ$3,$S$3:$AE$3,0),FALSE)-VLOOKUP($BJ262&amp;"初始",$S$3:$AE$63,MATCH(BQ$3,$S$3:$AE$3,0),FALSE))*$BL262/VLOOKUP(VLOOKUP($BJ262,坦克个性化设定!$B$18:$E$48,4,FALSE)&amp;$BK262,坦克属性分配比例,MATCH("升星次数",坦克属性分配比例标头,0),FALSE)*VLOOKUP(VLOOKUP($BJ262,坦克个性化设定!$B$18:$E$48,4,FALSE)&amp;$BK262,坦克属性分配比例,MATCH("升星比例",坦克属性分配比例标头,0),FALSE),0)</f>
        <v>#N/A</v>
      </c>
      <c r="BR262" s="2" t="e">
        <f ca="1">ROUND(VLOOKUP($BJ262&amp;"初始",$S$3:$AE$63,MATCH(BR$3,$S$3:$AE$3,0),FALSE)+(VLOOKUP($BJ262&amp;"最终",$S$3:$AE$63,MATCH(BR$3,$S$3:$AE$3,0),FALSE)-VLOOKUP($BJ262&amp;"初始",$S$3:$AE$63,MATCH(BR$3,$S$3:$AE$3,0),FALSE))*$BL262/VLOOKUP(VLOOKUP($BJ262,坦克个性化设定!$B$18:$E$48,4,FALSE)&amp;$BK262,坦克属性分配比例,MATCH("升星次数",坦克属性分配比例标头,0),FALSE),0)</f>
        <v>#N/A</v>
      </c>
      <c r="BS262" s="2">
        <f>ROUND(VLOOKUP($BJ262,$AI$3:$AO$33,MATCH(BS$3,$AI$3:$AO$3,0),FALSE)+$BL262/VLOOKUP(VLOOKUP($BJ262,坦克个性化设定!$B$18:$E$48,4,FALSE)&amp;$BK262,坦克属性分配比例,MATCH("升星次数",坦克属性分配比例标头,0),FALSE)*VLOOKUP($BJ262,$AR$3:$AY$33,MATCH(BS$3,$AR$3:$AY$3,0),FALSE),1)</f>
        <v>32.1</v>
      </c>
      <c r="BT262" s="2">
        <f>ROUND(VLOOKUP($BJ262,$AI$3:$AO$33,MATCH(BT$3,$AI$3:$AO$3,0),FALSE)+$BL262/VLOOKUP(VLOOKUP($BJ262,坦克个性化设定!$B$18:$E$48,4,FALSE)&amp;$BK262,坦克属性分配比例,MATCH("升星次数",坦克属性分配比例标头,0),FALSE)*VLOOKUP($BJ262,$AR$3:$AY$33,MATCH(BT$3,$AR$3:$AY$3,0),FALSE),1)</f>
        <v>36.6</v>
      </c>
      <c r="BU262" s="2">
        <f>ROUND(VLOOKUP($BJ262,$AI$3:$AO$33,MATCH(BU$3,$AI$3:$AO$3,0),FALSE)+$BL262/VLOOKUP(VLOOKUP($BJ262,坦克个性化设定!$B$18:$E$48,4,FALSE)&amp;$BK262,坦克属性分配比例,MATCH("升星次数",坦克属性分配比例标头,0),FALSE)*VLOOKUP($BJ262,$AR$3:$AY$33,MATCH(BU$3,$AR$3:$AY$3,0),FALSE),1)</f>
        <v>6.3</v>
      </c>
      <c r="BV262" s="2">
        <f>IF(VLOOKUP(BJ262,坦克个性化设定!$B$18:$BC$48,MATCH("装弹类型",坦克个性化设定!$B$18:$BC$18,0),FALSE)="弹夹换弹",0,ROUND(VLOOKUP($BJ262,$AI$3:$AO$33,MATCH("换弹时间",$AI$3:$AO$3,0),FALSE)-$BL262/VLOOKUP(VLOOKUP($BJ262,坦克个性化设定!$B$18:$E$48,4,FALSE)&amp;$BK262,坦克属性分配比例,MATCH("升星次数",坦克属性分配比例标头,0),FALSE)*VLOOKUP($BJ262,$AR$3:$AY$33,MATCH("换弹时间",$AR$3:$AY$3,0),FALSE),2))</f>
        <v>5.85</v>
      </c>
      <c r="BW262" s="2">
        <f>IF(VLOOKUP(BJ262,坦克个性化设定!$B$18:$BC$48,MATCH("装弹类型",坦克个性化设定!$B$18:$BC$18,0),FALSE)="弹夹换弹",ROUND(VLOOKUP($BJ262,$AI$3:$AO$33,MATCH("换弹时间",$AI$3:$AO$3,0),FALSE)-$BL262/VLOOKUP(VLOOKUP($BJ262,坦克个性化设定!$B$18:$E$48,4,FALSE)&amp;$BK262,坦克属性分配比例,MATCH("升星次数",坦克属性分配比例标头,0),FALSE)*VLOOKUP($BJ262,$AR$3:$AY$33,MATCH("换弹时间",$AR$3:$AY$3,0),FALSE),1),0)</f>
        <v>0</v>
      </c>
      <c r="BX262" s="2">
        <f>ROUND(VLOOKUP($BJ262,$AI$3:$AO$33,MATCH(BX$3,$AI$3:$AO$3,0),FALSE)+$BL262/VLOOKUP(VLOOKUP($BJ262,坦克个性化设定!$B$18:$E$48,4,FALSE)&amp;$BK262,坦克属性分配比例,MATCH("升星次数",坦克属性分配比例标头,0),FALSE)*VLOOKUP($BJ262,$AR$3:$AY$33,MATCH(BX$3,$AR$3:$AY$3,0),FALSE),2)</f>
        <v>0</v>
      </c>
      <c r="BY262" s="2">
        <f>ROUND(VLOOKUP($BJ262,$AI$3:$AO$33,MATCH(BY$3,$AI$3:$AO$3,0),FALSE)-$BL262/VLOOKUP(VLOOKUP($BJ262,坦克个性化设定!$B$18:$E$48,4,FALSE)&amp;$BK262,坦克属性分配比例,MATCH("升星次数",坦克属性分配比例标头,0),FALSE)*VLOOKUP($BJ262,$AR$3:$AY$33,MATCH(BY$3,$AR$3:$AY$3,0),FALSE),2)</f>
        <v>2.91</v>
      </c>
    </row>
    <row r="263" spans="60:77" x14ac:dyDescent="0.3">
      <c r="BH263" s="2" t="str">
        <f t="shared" si="35"/>
        <v>征服者3</v>
      </c>
      <c r="BI263" s="2">
        <f>IF(BL262&gt;=VLOOKUP(VLOOKUP(BJ262,坦克个性化设定!$B$18:$E$48,4,FALSE)&amp;BK262,坦克属性分配比例,MATCH("升星次数",坦克属性分配比例标头,0),FALSE),BI262+1,BI262)</f>
        <v>27</v>
      </c>
      <c r="BJ263" s="2" t="str">
        <f t="shared" si="36"/>
        <v>征服者</v>
      </c>
      <c r="BK263" s="29" t="str">
        <f>VLOOKUP(BJ263,坦克个性化细分!$I$3:$J$33,2,FALSE)</f>
        <v>低</v>
      </c>
      <c r="BL263" s="2">
        <f t="shared" si="37"/>
        <v>3</v>
      </c>
      <c r="BM263" s="103" t="e">
        <f ca="1">ROUND(VLOOKUP($BJ263&amp;"初始",$S$3:$AE$63,MATCH(BM$3,$S$3:$AE$3,0),FALSE)+((VLOOKUP($BJ263&amp;"最终",$S$3:$AE$63,MATCH(BM$3,$S$3:$AE$3,0),FALSE)*坦克个性化细分!$C$9-VLOOKUP($BJ263&amp;"初始",$S$3:$AE$63,MATCH(BM$3,$S$3:$AE$3,0),FALSE))-(VLOOKUP($BJ263&amp;"最终",$S$3:$AE$63,MATCH(BM$3,$S$3:$AE$3,0),FALSE)-VLOOKUP($BJ263&amp;"初始",$S$3:$AE$63,MATCH(BM$3,$S$3:$AE$3,0),FALSE))*VLOOKUP(VLOOKUP($BJ263,坦克个性化设定!$B$18:$E$48,4,FALSE)&amp;$BK263,坦克属性分配比例,MATCH("部件比例",坦克属性分配比例标头,0),FALSE))*$BL263/VLOOKUP(VLOOKUP($BJ263,坦克个性化设定!$B$18:$E$48,4,FALSE)&amp;$BK263,坦克属性分配比例,MATCH("升星次数",坦克属性分配比例标头,0),FALSE),0)</f>
        <v>#N/A</v>
      </c>
      <c r="BN263" s="103" t="e">
        <f ca="1">ROUND(VLOOKUP($BJ263&amp;"初始",$S$3:$AE$63,MATCH(BN$3,$S$3:$AE$3,0),FALSE)+(VLOOKUP($BJ263&amp;"最终",$S$3:$AE$63,MATCH(BN$3,$S$3:$AE$3,0),FALSE)-VLOOKUP($BJ263&amp;"初始",$S$3:$AE$63,MATCH(BN$3,$S$3:$AE$3,0),FALSE))*$BL263/VLOOKUP(VLOOKUP($BJ263,坦克个性化设定!$B$18:$E$48,4,FALSE)&amp;$BK263,坦克属性分配比例,MATCH("升星次数",坦克属性分配比例标头,0),FALSE)*VLOOKUP(VLOOKUP($BJ263,坦克个性化设定!$B$18:$E$48,4,FALSE)&amp;$BK263,坦克属性分配比例,MATCH("升星比例",坦克属性分配比例标头,0),FALSE),0)</f>
        <v>#N/A</v>
      </c>
      <c r="BO263" s="103" t="e">
        <f ca="1">ROUND(VLOOKUP($BJ263&amp;"初始",$S$3:$AE$63,MATCH(BO$3,$S$3:$AE$3,0),FALSE)+(VLOOKUP($BJ263&amp;"最终",$S$3:$AE$63,MATCH(BO$3,$S$3:$AE$3,0),FALSE)-VLOOKUP($BJ263&amp;"初始",$S$3:$AE$63,MATCH(BO$3,$S$3:$AE$3,0),FALSE))*$BL263/VLOOKUP(VLOOKUP($BJ263,坦克个性化设定!$B$18:$E$48,4,FALSE)&amp;$BK263,坦克属性分配比例,MATCH("升星次数",坦克属性分配比例标头,0),FALSE)*(VLOOKUP(VLOOKUP($BJ263,坦克个性化设定!$B$18:$E$48,4,FALSE)&amp;$BK263,坦克属性分配比例,MATCH("升星比例",坦克属性分配比例标头,0),FALSE)+VLOOKUP(VLOOKUP($BJ263,坦克个性化设定!$B$18:$E$48,4,FALSE)&amp;$BK263,坦克属性分配比例,MATCH("部件比例",坦克属性分配比例标头,0),FALSE)*$C$3),0)</f>
        <v>#N/A</v>
      </c>
      <c r="BP263" s="103" t="e">
        <f ca="1">ROUND(VLOOKUP($BJ263&amp;"初始",$S$3:$AE$63,MATCH(BP$3,$S$3:$AE$3,0),FALSE)+(VLOOKUP($BJ263&amp;"最终",$S$3:$AE$63,MATCH(BP$3,$S$3:$AE$3,0),FALSE)-VLOOKUP($BJ263&amp;"初始",$S$3:$AE$63,MATCH(BP$3,$S$3:$AE$3,0),FALSE))*$BL263/VLOOKUP(VLOOKUP($BJ263,坦克个性化设定!$B$18:$E$48,4,FALSE)&amp;$BK263,坦克属性分配比例,MATCH("升星次数",坦克属性分配比例标头,0),FALSE)*(VLOOKUP(VLOOKUP($BJ263,坦克个性化设定!$B$18:$E$48,4,FALSE)&amp;$BK263,坦克属性分配比例,MATCH("升星比例",坦克属性分配比例标头,0),FALSE)+VLOOKUP(VLOOKUP($BJ263,坦克个性化设定!$B$18:$E$48,4,FALSE)&amp;$BK263,坦克属性分配比例,MATCH("部件比例",坦克属性分配比例标头,0),FALSE)*$C$3),0)</f>
        <v>#N/A</v>
      </c>
      <c r="BQ263" s="103" t="e">
        <f ca="1">ROUND(VLOOKUP($BJ263&amp;"初始",$S$3:$AE$63,MATCH(BQ$3,$S$3:$AE$3,0),FALSE)+(VLOOKUP($BJ263&amp;"最终",$S$3:$AE$63,MATCH(BQ$3,$S$3:$AE$3,0),FALSE)-VLOOKUP($BJ263&amp;"初始",$S$3:$AE$63,MATCH(BQ$3,$S$3:$AE$3,0),FALSE))*$BL263/VLOOKUP(VLOOKUP($BJ263,坦克个性化设定!$B$18:$E$48,4,FALSE)&amp;$BK263,坦克属性分配比例,MATCH("升星次数",坦克属性分配比例标头,0),FALSE)*VLOOKUP(VLOOKUP($BJ263,坦克个性化设定!$B$18:$E$48,4,FALSE)&amp;$BK263,坦克属性分配比例,MATCH("升星比例",坦克属性分配比例标头,0),FALSE),0)</f>
        <v>#N/A</v>
      </c>
      <c r="BR263" s="2" t="e">
        <f ca="1">ROUND(VLOOKUP($BJ263&amp;"初始",$S$3:$AE$63,MATCH(BR$3,$S$3:$AE$3,0),FALSE)+(VLOOKUP($BJ263&amp;"最终",$S$3:$AE$63,MATCH(BR$3,$S$3:$AE$3,0),FALSE)-VLOOKUP($BJ263&amp;"初始",$S$3:$AE$63,MATCH(BR$3,$S$3:$AE$3,0),FALSE))*$BL263/VLOOKUP(VLOOKUP($BJ263,坦克个性化设定!$B$18:$E$48,4,FALSE)&amp;$BK263,坦克属性分配比例,MATCH("升星次数",坦克属性分配比例标头,0),FALSE),0)</f>
        <v>#N/A</v>
      </c>
      <c r="BS263" s="2">
        <f>ROUND(VLOOKUP($BJ263,$AI$3:$AO$33,MATCH(BS$3,$AI$3:$AO$3,0),FALSE)+$BL263/VLOOKUP(VLOOKUP($BJ263,坦克个性化设定!$B$18:$E$48,4,FALSE)&amp;$BK263,坦克属性分配比例,MATCH("升星次数",坦克属性分配比例标头,0),FALSE)*VLOOKUP($BJ263,$AR$3:$AY$33,MATCH(BS$3,$AR$3:$AY$3,0),FALSE),1)</f>
        <v>32.799999999999997</v>
      </c>
      <c r="BT263" s="2">
        <f>ROUND(VLOOKUP($BJ263,$AI$3:$AO$33,MATCH(BT$3,$AI$3:$AO$3,0),FALSE)+$BL263/VLOOKUP(VLOOKUP($BJ263,坦克个性化设定!$B$18:$E$48,4,FALSE)&amp;$BK263,坦克属性分配比例,MATCH("升星次数",坦克属性分配比例标头,0),FALSE)*VLOOKUP($BJ263,$AR$3:$AY$33,MATCH(BT$3,$AR$3:$AY$3,0),FALSE),1)</f>
        <v>37.4</v>
      </c>
      <c r="BU263" s="2">
        <f>ROUND(VLOOKUP($BJ263,$AI$3:$AO$33,MATCH(BU$3,$AI$3:$AO$3,0),FALSE)+$BL263/VLOOKUP(VLOOKUP($BJ263,坦克个性化设定!$B$18:$E$48,4,FALSE)&amp;$BK263,坦克属性分配比例,MATCH("升星次数",坦克属性分配比例标头,0),FALSE)*VLOOKUP($BJ263,$AR$3:$AY$33,MATCH(BU$3,$AR$3:$AY$3,0),FALSE),1)</f>
        <v>6.3</v>
      </c>
      <c r="BV263" s="2">
        <f>IF(VLOOKUP(BJ263,坦克个性化设定!$B$18:$BC$48,MATCH("装弹类型",坦克个性化设定!$B$18:$BC$18,0),FALSE)="弹夹换弹",0,ROUND(VLOOKUP($BJ263,$AI$3:$AO$33,MATCH("换弹时间",$AI$3:$AO$3,0),FALSE)-$BL263/VLOOKUP(VLOOKUP($BJ263,坦克个性化设定!$B$18:$E$48,4,FALSE)&amp;$BK263,坦克属性分配比例,MATCH("升星次数",坦克属性分配比例标头,0),FALSE)*VLOOKUP($BJ263,$AR$3:$AY$33,MATCH("换弹时间",$AR$3:$AY$3,0),FALSE),2))</f>
        <v>5.77</v>
      </c>
      <c r="BW263" s="2">
        <f>IF(VLOOKUP(BJ263,坦克个性化设定!$B$18:$BC$48,MATCH("装弹类型",坦克个性化设定!$B$18:$BC$18,0),FALSE)="弹夹换弹",ROUND(VLOOKUP($BJ263,$AI$3:$AO$33,MATCH("换弹时间",$AI$3:$AO$3,0),FALSE)-$BL263/VLOOKUP(VLOOKUP($BJ263,坦克个性化设定!$B$18:$E$48,4,FALSE)&amp;$BK263,坦克属性分配比例,MATCH("升星次数",坦克属性分配比例标头,0),FALSE)*VLOOKUP($BJ263,$AR$3:$AY$33,MATCH("换弹时间",$AR$3:$AY$3,0),FALSE),1),0)</f>
        <v>0</v>
      </c>
      <c r="BX263" s="2">
        <f>ROUND(VLOOKUP($BJ263,$AI$3:$AO$33,MATCH(BX$3,$AI$3:$AO$3,0),FALSE)+$BL263/VLOOKUP(VLOOKUP($BJ263,坦克个性化设定!$B$18:$E$48,4,FALSE)&amp;$BK263,坦克属性分配比例,MATCH("升星次数",坦克属性分配比例标头,0),FALSE)*VLOOKUP($BJ263,$AR$3:$AY$33,MATCH(BX$3,$AR$3:$AY$3,0),FALSE),2)</f>
        <v>0</v>
      </c>
      <c r="BY263" s="2">
        <f>ROUND(VLOOKUP($BJ263,$AI$3:$AO$33,MATCH(BY$3,$AI$3:$AO$3,0),FALSE)-$BL263/VLOOKUP(VLOOKUP($BJ263,坦克个性化设定!$B$18:$E$48,4,FALSE)&amp;$BK263,坦克属性分配比例,MATCH("升星次数",坦克属性分配比例标头,0),FALSE)*VLOOKUP($BJ263,$AR$3:$AY$33,MATCH(BY$3,$AR$3:$AY$3,0),FALSE),2)</f>
        <v>2.86</v>
      </c>
    </row>
    <row r="264" spans="60:77" x14ac:dyDescent="0.3">
      <c r="BH264" s="2" t="str">
        <f t="shared" si="35"/>
        <v>征服者4</v>
      </c>
      <c r="BI264" s="2">
        <f>IF(BL263&gt;=VLOOKUP(VLOOKUP(BJ263,坦克个性化设定!$B$18:$E$48,4,FALSE)&amp;BK263,坦克属性分配比例,MATCH("升星次数",坦克属性分配比例标头,0),FALSE),BI263+1,BI263)</f>
        <v>27</v>
      </c>
      <c r="BJ264" s="2" t="str">
        <f t="shared" si="36"/>
        <v>征服者</v>
      </c>
      <c r="BK264" s="29" t="str">
        <f>VLOOKUP(BJ264,坦克个性化细分!$I$3:$J$33,2,FALSE)</f>
        <v>低</v>
      </c>
      <c r="BL264" s="2">
        <f t="shared" si="37"/>
        <v>4</v>
      </c>
      <c r="BM264" s="103" t="e">
        <f ca="1">ROUND(VLOOKUP($BJ264&amp;"初始",$S$3:$AE$63,MATCH(BM$3,$S$3:$AE$3,0),FALSE)+((VLOOKUP($BJ264&amp;"最终",$S$3:$AE$63,MATCH(BM$3,$S$3:$AE$3,0),FALSE)*坦克个性化细分!$C$9-VLOOKUP($BJ264&amp;"初始",$S$3:$AE$63,MATCH(BM$3,$S$3:$AE$3,0),FALSE))-(VLOOKUP($BJ264&amp;"最终",$S$3:$AE$63,MATCH(BM$3,$S$3:$AE$3,0),FALSE)-VLOOKUP($BJ264&amp;"初始",$S$3:$AE$63,MATCH(BM$3,$S$3:$AE$3,0),FALSE))*VLOOKUP(VLOOKUP($BJ264,坦克个性化设定!$B$18:$E$48,4,FALSE)&amp;$BK264,坦克属性分配比例,MATCH("部件比例",坦克属性分配比例标头,0),FALSE))*$BL264/VLOOKUP(VLOOKUP($BJ264,坦克个性化设定!$B$18:$E$48,4,FALSE)&amp;$BK264,坦克属性分配比例,MATCH("升星次数",坦克属性分配比例标头,0),FALSE),0)</f>
        <v>#N/A</v>
      </c>
      <c r="BN264" s="103" t="e">
        <f ca="1">ROUND(VLOOKUP($BJ264&amp;"初始",$S$3:$AE$63,MATCH(BN$3,$S$3:$AE$3,0),FALSE)+(VLOOKUP($BJ264&amp;"最终",$S$3:$AE$63,MATCH(BN$3,$S$3:$AE$3,0),FALSE)-VLOOKUP($BJ264&amp;"初始",$S$3:$AE$63,MATCH(BN$3,$S$3:$AE$3,0),FALSE))*$BL264/VLOOKUP(VLOOKUP($BJ264,坦克个性化设定!$B$18:$E$48,4,FALSE)&amp;$BK264,坦克属性分配比例,MATCH("升星次数",坦克属性分配比例标头,0),FALSE)*VLOOKUP(VLOOKUP($BJ264,坦克个性化设定!$B$18:$E$48,4,FALSE)&amp;$BK264,坦克属性分配比例,MATCH("升星比例",坦克属性分配比例标头,0),FALSE),0)</f>
        <v>#N/A</v>
      </c>
      <c r="BO264" s="103" t="e">
        <f ca="1">ROUND(VLOOKUP($BJ264&amp;"初始",$S$3:$AE$63,MATCH(BO$3,$S$3:$AE$3,0),FALSE)+(VLOOKUP($BJ264&amp;"最终",$S$3:$AE$63,MATCH(BO$3,$S$3:$AE$3,0),FALSE)-VLOOKUP($BJ264&amp;"初始",$S$3:$AE$63,MATCH(BO$3,$S$3:$AE$3,0),FALSE))*$BL264/VLOOKUP(VLOOKUP($BJ264,坦克个性化设定!$B$18:$E$48,4,FALSE)&amp;$BK264,坦克属性分配比例,MATCH("升星次数",坦克属性分配比例标头,0),FALSE)*(VLOOKUP(VLOOKUP($BJ264,坦克个性化设定!$B$18:$E$48,4,FALSE)&amp;$BK264,坦克属性分配比例,MATCH("升星比例",坦克属性分配比例标头,0),FALSE)+VLOOKUP(VLOOKUP($BJ264,坦克个性化设定!$B$18:$E$48,4,FALSE)&amp;$BK264,坦克属性分配比例,MATCH("部件比例",坦克属性分配比例标头,0),FALSE)*$C$3),0)</f>
        <v>#N/A</v>
      </c>
      <c r="BP264" s="103" t="e">
        <f ca="1">ROUND(VLOOKUP($BJ264&amp;"初始",$S$3:$AE$63,MATCH(BP$3,$S$3:$AE$3,0),FALSE)+(VLOOKUP($BJ264&amp;"最终",$S$3:$AE$63,MATCH(BP$3,$S$3:$AE$3,0),FALSE)-VLOOKUP($BJ264&amp;"初始",$S$3:$AE$63,MATCH(BP$3,$S$3:$AE$3,0),FALSE))*$BL264/VLOOKUP(VLOOKUP($BJ264,坦克个性化设定!$B$18:$E$48,4,FALSE)&amp;$BK264,坦克属性分配比例,MATCH("升星次数",坦克属性分配比例标头,0),FALSE)*(VLOOKUP(VLOOKUP($BJ264,坦克个性化设定!$B$18:$E$48,4,FALSE)&amp;$BK264,坦克属性分配比例,MATCH("升星比例",坦克属性分配比例标头,0),FALSE)+VLOOKUP(VLOOKUP($BJ264,坦克个性化设定!$B$18:$E$48,4,FALSE)&amp;$BK264,坦克属性分配比例,MATCH("部件比例",坦克属性分配比例标头,0),FALSE)*$C$3),0)</f>
        <v>#N/A</v>
      </c>
      <c r="BQ264" s="103" t="e">
        <f ca="1">ROUND(VLOOKUP($BJ264&amp;"初始",$S$3:$AE$63,MATCH(BQ$3,$S$3:$AE$3,0),FALSE)+(VLOOKUP($BJ264&amp;"最终",$S$3:$AE$63,MATCH(BQ$3,$S$3:$AE$3,0),FALSE)-VLOOKUP($BJ264&amp;"初始",$S$3:$AE$63,MATCH(BQ$3,$S$3:$AE$3,0),FALSE))*$BL264/VLOOKUP(VLOOKUP($BJ264,坦克个性化设定!$B$18:$E$48,4,FALSE)&amp;$BK264,坦克属性分配比例,MATCH("升星次数",坦克属性分配比例标头,0),FALSE)*VLOOKUP(VLOOKUP($BJ264,坦克个性化设定!$B$18:$E$48,4,FALSE)&amp;$BK264,坦克属性分配比例,MATCH("升星比例",坦克属性分配比例标头,0),FALSE),0)</f>
        <v>#N/A</v>
      </c>
      <c r="BR264" s="2" t="e">
        <f ca="1">ROUND(VLOOKUP($BJ264&amp;"初始",$S$3:$AE$63,MATCH(BR$3,$S$3:$AE$3,0),FALSE)+(VLOOKUP($BJ264&amp;"最终",$S$3:$AE$63,MATCH(BR$3,$S$3:$AE$3,0),FALSE)-VLOOKUP($BJ264&amp;"初始",$S$3:$AE$63,MATCH(BR$3,$S$3:$AE$3,0),FALSE))*$BL264/VLOOKUP(VLOOKUP($BJ264,坦克个性化设定!$B$18:$E$48,4,FALSE)&amp;$BK264,坦克属性分配比例,MATCH("升星次数",坦克属性分配比例标头,0),FALSE),0)</f>
        <v>#N/A</v>
      </c>
      <c r="BS264" s="2">
        <f>ROUND(VLOOKUP($BJ264,$AI$3:$AO$33,MATCH(BS$3,$AI$3:$AO$3,0),FALSE)+$BL264/VLOOKUP(VLOOKUP($BJ264,坦克个性化设定!$B$18:$E$48,4,FALSE)&amp;$BK264,坦克属性分配比例,MATCH("升星次数",坦克属性分配比例标头,0),FALSE)*VLOOKUP($BJ264,$AR$3:$AY$33,MATCH(BS$3,$AR$3:$AY$3,0),FALSE),1)</f>
        <v>33.5</v>
      </c>
      <c r="BT264" s="2">
        <f>ROUND(VLOOKUP($BJ264,$AI$3:$AO$33,MATCH(BT$3,$AI$3:$AO$3,0),FALSE)+$BL264/VLOOKUP(VLOOKUP($BJ264,坦克个性化设定!$B$18:$E$48,4,FALSE)&amp;$BK264,坦克属性分配比例,MATCH("升星次数",坦克属性分配比例标头,0),FALSE)*VLOOKUP($BJ264,$AR$3:$AY$33,MATCH(BT$3,$AR$3:$AY$3,0),FALSE),1)</f>
        <v>38.200000000000003</v>
      </c>
      <c r="BU264" s="2">
        <f>ROUND(VLOOKUP($BJ264,$AI$3:$AO$33,MATCH(BU$3,$AI$3:$AO$3,0),FALSE)+$BL264/VLOOKUP(VLOOKUP($BJ264,坦克个性化设定!$B$18:$E$48,4,FALSE)&amp;$BK264,坦克属性分配比例,MATCH("升星次数",坦克属性分配比例标头,0),FALSE)*VLOOKUP($BJ264,$AR$3:$AY$33,MATCH(BU$3,$AR$3:$AY$3,0),FALSE),1)</f>
        <v>6.3</v>
      </c>
      <c r="BV264" s="2">
        <f>IF(VLOOKUP(BJ264,坦克个性化设定!$B$18:$BC$48,MATCH("装弹类型",坦克个性化设定!$B$18:$BC$18,0),FALSE)="弹夹换弹",0,ROUND(VLOOKUP($BJ264,$AI$3:$AO$33,MATCH("换弹时间",$AI$3:$AO$3,0),FALSE)-$BL264/VLOOKUP(VLOOKUP($BJ264,坦克个性化设定!$B$18:$E$48,4,FALSE)&amp;$BK264,坦克属性分配比例,MATCH("升星次数",坦克属性分配比例标头,0),FALSE)*VLOOKUP($BJ264,$AR$3:$AY$33,MATCH("换弹时间",$AR$3:$AY$3,0),FALSE),2))</f>
        <v>5.69</v>
      </c>
      <c r="BW264" s="2">
        <f>IF(VLOOKUP(BJ264,坦克个性化设定!$B$18:$BC$48,MATCH("装弹类型",坦克个性化设定!$B$18:$BC$18,0),FALSE)="弹夹换弹",ROUND(VLOOKUP($BJ264,$AI$3:$AO$33,MATCH("换弹时间",$AI$3:$AO$3,0),FALSE)-$BL264/VLOOKUP(VLOOKUP($BJ264,坦克个性化设定!$B$18:$E$48,4,FALSE)&amp;$BK264,坦克属性分配比例,MATCH("升星次数",坦克属性分配比例标头,0),FALSE)*VLOOKUP($BJ264,$AR$3:$AY$33,MATCH("换弹时间",$AR$3:$AY$3,0),FALSE),1),0)</f>
        <v>0</v>
      </c>
      <c r="BX264" s="2">
        <f>ROUND(VLOOKUP($BJ264,$AI$3:$AO$33,MATCH(BX$3,$AI$3:$AO$3,0),FALSE)+$BL264/VLOOKUP(VLOOKUP($BJ264,坦克个性化设定!$B$18:$E$48,4,FALSE)&amp;$BK264,坦克属性分配比例,MATCH("升星次数",坦克属性分配比例标头,0),FALSE)*VLOOKUP($BJ264,$AR$3:$AY$33,MATCH(BX$3,$AR$3:$AY$3,0),FALSE),2)</f>
        <v>0</v>
      </c>
      <c r="BY264" s="2">
        <f>ROUND(VLOOKUP($BJ264,$AI$3:$AO$33,MATCH(BY$3,$AI$3:$AO$3,0),FALSE)-$BL264/VLOOKUP(VLOOKUP($BJ264,坦克个性化设定!$B$18:$E$48,4,FALSE)&amp;$BK264,坦克属性分配比例,MATCH("升星次数",坦克属性分配比例标头,0),FALSE)*VLOOKUP($BJ264,$AR$3:$AY$33,MATCH(BY$3,$AR$3:$AY$3,0),FALSE),2)</f>
        <v>2.82</v>
      </c>
    </row>
    <row r="265" spans="60:77" x14ac:dyDescent="0.3">
      <c r="BH265" s="2" t="str">
        <f t="shared" si="35"/>
        <v>征服者5</v>
      </c>
      <c r="BI265" s="2">
        <f>IF(BL264&gt;=VLOOKUP(VLOOKUP(BJ264,坦克个性化设定!$B$18:$E$48,4,FALSE)&amp;BK264,坦克属性分配比例,MATCH("升星次数",坦克属性分配比例标头,0),FALSE),BI264+1,BI264)</f>
        <v>27</v>
      </c>
      <c r="BJ265" s="2" t="str">
        <f t="shared" si="36"/>
        <v>征服者</v>
      </c>
      <c r="BK265" s="29" t="str">
        <f>VLOOKUP(BJ265,坦克个性化细分!$I$3:$J$33,2,FALSE)</f>
        <v>低</v>
      </c>
      <c r="BL265" s="2">
        <f t="shared" si="37"/>
        <v>5</v>
      </c>
      <c r="BM265" s="103" t="e">
        <f ca="1">ROUND(VLOOKUP($BJ265&amp;"初始",$S$3:$AE$63,MATCH(BM$3,$S$3:$AE$3,0),FALSE)+((VLOOKUP($BJ265&amp;"最终",$S$3:$AE$63,MATCH(BM$3,$S$3:$AE$3,0),FALSE)*坦克个性化细分!$C$9-VLOOKUP($BJ265&amp;"初始",$S$3:$AE$63,MATCH(BM$3,$S$3:$AE$3,0),FALSE))-(VLOOKUP($BJ265&amp;"最终",$S$3:$AE$63,MATCH(BM$3,$S$3:$AE$3,0),FALSE)-VLOOKUP($BJ265&amp;"初始",$S$3:$AE$63,MATCH(BM$3,$S$3:$AE$3,0),FALSE))*VLOOKUP(VLOOKUP($BJ265,坦克个性化设定!$B$18:$E$48,4,FALSE)&amp;$BK265,坦克属性分配比例,MATCH("部件比例",坦克属性分配比例标头,0),FALSE))*$BL265/VLOOKUP(VLOOKUP($BJ265,坦克个性化设定!$B$18:$E$48,4,FALSE)&amp;$BK265,坦克属性分配比例,MATCH("升星次数",坦克属性分配比例标头,0),FALSE),0)</f>
        <v>#N/A</v>
      </c>
      <c r="BN265" s="103" t="e">
        <f ca="1">ROUND(VLOOKUP($BJ265&amp;"初始",$S$3:$AE$63,MATCH(BN$3,$S$3:$AE$3,0),FALSE)+(VLOOKUP($BJ265&amp;"最终",$S$3:$AE$63,MATCH(BN$3,$S$3:$AE$3,0),FALSE)-VLOOKUP($BJ265&amp;"初始",$S$3:$AE$63,MATCH(BN$3,$S$3:$AE$3,0),FALSE))*$BL265/VLOOKUP(VLOOKUP($BJ265,坦克个性化设定!$B$18:$E$48,4,FALSE)&amp;$BK265,坦克属性分配比例,MATCH("升星次数",坦克属性分配比例标头,0),FALSE)*VLOOKUP(VLOOKUP($BJ265,坦克个性化设定!$B$18:$E$48,4,FALSE)&amp;$BK265,坦克属性分配比例,MATCH("升星比例",坦克属性分配比例标头,0),FALSE),0)</f>
        <v>#N/A</v>
      </c>
      <c r="BO265" s="103" t="e">
        <f ca="1">ROUND(VLOOKUP($BJ265&amp;"初始",$S$3:$AE$63,MATCH(BO$3,$S$3:$AE$3,0),FALSE)+(VLOOKUP($BJ265&amp;"最终",$S$3:$AE$63,MATCH(BO$3,$S$3:$AE$3,0),FALSE)-VLOOKUP($BJ265&amp;"初始",$S$3:$AE$63,MATCH(BO$3,$S$3:$AE$3,0),FALSE))*$BL265/VLOOKUP(VLOOKUP($BJ265,坦克个性化设定!$B$18:$E$48,4,FALSE)&amp;$BK265,坦克属性分配比例,MATCH("升星次数",坦克属性分配比例标头,0),FALSE)*(VLOOKUP(VLOOKUP($BJ265,坦克个性化设定!$B$18:$E$48,4,FALSE)&amp;$BK265,坦克属性分配比例,MATCH("升星比例",坦克属性分配比例标头,0),FALSE)+VLOOKUP(VLOOKUP($BJ265,坦克个性化设定!$B$18:$E$48,4,FALSE)&amp;$BK265,坦克属性分配比例,MATCH("部件比例",坦克属性分配比例标头,0),FALSE)*$C$3),0)</f>
        <v>#N/A</v>
      </c>
      <c r="BP265" s="103" t="e">
        <f ca="1">ROUND(VLOOKUP($BJ265&amp;"初始",$S$3:$AE$63,MATCH(BP$3,$S$3:$AE$3,0),FALSE)+(VLOOKUP($BJ265&amp;"最终",$S$3:$AE$63,MATCH(BP$3,$S$3:$AE$3,0),FALSE)-VLOOKUP($BJ265&amp;"初始",$S$3:$AE$63,MATCH(BP$3,$S$3:$AE$3,0),FALSE))*$BL265/VLOOKUP(VLOOKUP($BJ265,坦克个性化设定!$B$18:$E$48,4,FALSE)&amp;$BK265,坦克属性分配比例,MATCH("升星次数",坦克属性分配比例标头,0),FALSE)*(VLOOKUP(VLOOKUP($BJ265,坦克个性化设定!$B$18:$E$48,4,FALSE)&amp;$BK265,坦克属性分配比例,MATCH("升星比例",坦克属性分配比例标头,0),FALSE)+VLOOKUP(VLOOKUP($BJ265,坦克个性化设定!$B$18:$E$48,4,FALSE)&amp;$BK265,坦克属性分配比例,MATCH("部件比例",坦克属性分配比例标头,0),FALSE)*$C$3),0)</f>
        <v>#N/A</v>
      </c>
      <c r="BQ265" s="103" t="e">
        <f ca="1">ROUND(VLOOKUP($BJ265&amp;"初始",$S$3:$AE$63,MATCH(BQ$3,$S$3:$AE$3,0),FALSE)+(VLOOKUP($BJ265&amp;"最终",$S$3:$AE$63,MATCH(BQ$3,$S$3:$AE$3,0),FALSE)-VLOOKUP($BJ265&amp;"初始",$S$3:$AE$63,MATCH(BQ$3,$S$3:$AE$3,0),FALSE))*$BL265/VLOOKUP(VLOOKUP($BJ265,坦克个性化设定!$B$18:$E$48,4,FALSE)&amp;$BK265,坦克属性分配比例,MATCH("升星次数",坦克属性分配比例标头,0),FALSE)*VLOOKUP(VLOOKUP($BJ265,坦克个性化设定!$B$18:$E$48,4,FALSE)&amp;$BK265,坦克属性分配比例,MATCH("升星比例",坦克属性分配比例标头,0),FALSE),0)</f>
        <v>#N/A</v>
      </c>
      <c r="BR265" s="2" t="e">
        <f ca="1">ROUND(VLOOKUP($BJ265&amp;"初始",$S$3:$AE$63,MATCH(BR$3,$S$3:$AE$3,0),FALSE)+(VLOOKUP($BJ265&amp;"最终",$S$3:$AE$63,MATCH(BR$3,$S$3:$AE$3,0),FALSE)-VLOOKUP($BJ265&amp;"初始",$S$3:$AE$63,MATCH(BR$3,$S$3:$AE$3,0),FALSE))*$BL265/VLOOKUP(VLOOKUP($BJ265,坦克个性化设定!$B$18:$E$48,4,FALSE)&amp;$BK265,坦克属性分配比例,MATCH("升星次数",坦克属性分配比例标头,0),FALSE),0)</f>
        <v>#N/A</v>
      </c>
      <c r="BS265" s="2">
        <f>ROUND(VLOOKUP($BJ265,$AI$3:$AO$33,MATCH(BS$3,$AI$3:$AO$3,0),FALSE)+$BL265/VLOOKUP(VLOOKUP($BJ265,坦克个性化设定!$B$18:$E$48,4,FALSE)&amp;$BK265,坦克属性分配比例,MATCH("升星次数",坦克属性分配比例标头,0),FALSE)*VLOOKUP($BJ265,$AR$3:$AY$33,MATCH(BS$3,$AR$3:$AY$3,0),FALSE),1)</f>
        <v>34.200000000000003</v>
      </c>
      <c r="BT265" s="2">
        <f>ROUND(VLOOKUP($BJ265,$AI$3:$AO$33,MATCH(BT$3,$AI$3:$AO$3,0),FALSE)+$BL265/VLOOKUP(VLOOKUP($BJ265,坦克个性化设定!$B$18:$E$48,4,FALSE)&amp;$BK265,坦克属性分配比例,MATCH("升星次数",坦克属性分配比例标头,0),FALSE)*VLOOKUP($BJ265,$AR$3:$AY$33,MATCH(BT$3,$AR$3:$AY$3,0),FALSE),1)</f>
        <v>39</v>
      </c>
      <c r="BU265" s="2">
        <f>ROUND(VLOOKUP($BJ265,$AI$3:$AO$33,MATCH(BU$3,$AI$3:$AO$3,0),FALSE)+$BL265/VLOOKUP(VLOOKUP($BJ265,坦克个性化设定!$B$18:$E$48,4,FALSE)&amp;$BK265,坦克属性分配比例,MATCH("升星次数",坦克属性分配比例标头,0),FALSE)*VLOOKUP($BJ265,$AR$3:$AY$33,MATCH(BU$3,$AR$3:$AY$3,0),FALSE),1)</f>
        <v>6.3</v>
      </c>
      <c r="BV265" s="2">
        <f>IF(VLOOKUP(BJ265,坦克个性化设定!$B$18:$BC$48,MATCH("装弹类型",坦克个性化设定!$B$18:$BC$18,0),FALSE)="弹夹换弹",0,ROUND(VLOOKUP($BJ265,$AI$3:$AO$33,MATCH("换弹时间",$AI$3:$AO$3,0),FALSE)-$BL265/VLOOKUP(VLOOKUP($BJ265,坦克个性化设定!$B$18:$E$48,4,FALSE)&amp;$BK265,坦克属性分配比例,MATCH("升星次数",坦克属性分配比例标头,0),FALSE)*VLOOKUP($BJ265,$AR$3:$AY$33,MATCH("换弹时间",$AR$3:$AY$3,0),FALSE),2))</f>
        <v>5.61</v>
      </c>
      <c r="BW265" s="2">
        <f>IF(VLOOKUP(BJ265,坦克个性化设定!$B$18:$BC$48,MATCH("装弹类型",坦克个性化设定!$B$18:$BC$18,0),FALSE)="弹夹换弹",ROUND(VLOOKUP($BJ265,$AI$3:$AO$33,MATCH("换弹时间",$AI$3:$AO$3,0),FALSE)-$BL265/VLOOKUP(VLOOKUP($BJ265,坦克个性化设定!$B$18:$E$48,4,FALSE)&amp;$BK265,坦克属性分配比例,MATCH("升星次数",坦克属性分配比例标头,0),FALSE)*VLOOKUP($BJ265,$AR$3:$AY$33,MATCH("换弹时间",$AR$3:$AY$3,0),FALSE),1),0)</f>
        <v>0</v>
      </c>
      <c r="BX265" s="2">
        <f>ROUND(VLOOKUP($BJ265,$AI$3:$AO$33,MATCH(BX$3,$AI$3:$AO$3,0),FALSE)+$BL265/VLOOKUP(VLOOKUP($BJ265,坦克个性化设定!$B$18:$E$48,4,FALSE)&amp;$BK265,坦克属性分配比例,MATCH("升星次数",坦克属性分配比例标头,0),FALSE)*VLOOKUP($BJ265,$AR$3:$AY$33,MATCH(BX$3,$AR$3:$AY$3,0),FALSE),2)</f>
        <v>0</v>
      </c>
      <c r="BY265" s="2">
        <f>ROUND(VLOOKUP($BJ265,$AI$3:$AO$33,MATCH(BY$3,$AI$3:$AO$3,0),FALSE)-$BL265/VLOOKUP(VLOOKUP($BJ265,坦克个性化设定!$B$18:$E$48,4,FALSE)&amp;$BK265,坦克属性分配比例,MATCH("升星次数",坦克属性分配比例标头,0),FALSE)*VLOOKUP($BJ265,$AR$3:$AY$33,MATCH(BY$3,$AR$3:$AY$3,0),FALSE),2)</f>
        <v>2.77</v>
      </c>
    </row>
    <row r="266" spans="60:77" x14ac:dyDescent="0.3">
      <c r="BH266" s="2" t="str">
        <f t="shared" si="35"/>
        <v>征服者6</v>
      </c>
      <c r="BI266" s="2">
        <f>IF(BL265&gt;=VLOOKUP(VLOOKUP(BJ265,坦克个性化设定!$B$18:$E$48,4,FALSE)&amp;BK265,坦克属性分配比例,MATCH("升星次数",坦克属性分配比例标头,0),FALSE),BI265+1,BI265)</f>
        <v>27</v>
      </c>
      <c r="BJ266" s="2" t="str">
        <f t="shared" si="36"/>
        <v>征服者</v>
      </c>
      <c r="BK266" s="29" t="str">
        <f>VLOOKUP(BJ266,坦克个性化细分!$I$3:$J$33,2,FALSE)</f>
        <v>低</v>
      </c>
      <c r="BL266" s="2">
        <f t="shared" si="37"/>
        <v>6</v>
      </c>
      <c r="BM266" s="103" t="e">
        <f ca="1">ROUND(VLOOKUP($BJ266&amp;"初始",$S$3:$AE$63,MATCH(BM$3,$S$3:$AE$3,0),FALSE)+((VLOOKUP($BJ266&amp;"最终",$S$3:$AE$63,MATCH(BM$3,$S$3:$AE$3,0),FALSE)*坦克个性化细分!$C$9-VLOOKUP($BJ266&amp;"初始",$S$3:$AE$63,MATCH(BM$3,$S$3:$AE$3,0),FALSE))-(VLOOKUP($BJ266&amp;"最终",$S$3:$AE$63,MATCH(BM$3,$S$3:$AE$3,0),FALSE)-VLOOKUP($BJ266&amp;"初始",$S$3:$AE$63,MATCH(BM$3,$S$3:$AE$3,0),FALSE))*VLOOKUP(VLOOKUP($BJ266,坦克个性化设定!$B$18:$E$48,4,FALSE)&amp;$BK266,坦克属性分配比例,MATCH("部件比例",坦克属性分配比例标头,0),FALSE))*$BL266/VLOOKUP(VLOOKUP($BJ266,坦克个性化设定!$B$18:$E$48,4,FALSE)&amp;$BK266,坦克属性分配比例,MATCH("升星次数",坦克属性分配比例标头,0),FALSE),0)</f>
        <v>#N/A</v>
      </c>
      <c r="BN266" s="103" t="e">
        <f ca="1">ROUND(VLOOKUP($BJ266&amp;"初始",$S$3:$AE$63,MATCH(BN$3,$S$3:$AE$3,0),FALSE)+(VLOOKUP($BJ266&amp;"最终",$S$3:$AE$63,MATCH(BN$3,$S$3:$AE$3,0),FALSE)-VLOOKUP($BJ266&amp;"初始",$S$3:$AE$63,MATCH(BN$3,$S$3:$AE$3,0),FALSE))*$BL266/VLOOKUP(VLOOKUP($BJ266,坦克个性化设定!$B$18:$E$48,4,FALSE)&amp;$BK266,坦克属性分配比例,MATCH("升星次数",坦克属性分配比例标头,0),FALSE)*VLOOKUP(VLOOKUP($BJ266,坦克个性化设定!$B$18:$E$48,4,FALSE)&amp;$BK266,坦克属性分配比例,MATCH("升星比例",坦克属性分配比例标头,0),FALSE),0)</f>
        <v>#N/A</v>
      </c>
      <c r="BO266" s="103" t="e">
        <f ca="1">ROUND(VLOOKUP($BJ266&amp;"初始",$S$3:$AE$63,MATCH(BO$3,$S$3:$AE$3,0),FALSE)+(VLOOKUP($BJ266&amp;"最终",$S$3:$AE$63,MATCH(BO$3,$S$3:$AE$3,0),FALSE)-VLOOKUP($BJ266&amp;"初始",$S$3:$AE$63,MATCH(BO$3,$S$3:$AE$3,0),FALSE))*$BL266/VLOOKUP(VLOOKUP($BJ266,坦克个性化设定!$B$18:$E$48,4,FALSE)&amp;$BK266,坦克属性分配比例,MATCH("升星次数",坦克属性分配比例标头,0),FALSE)*(VLOOKUP(VLOOKUP($BJ266,坦克个性化设定!$B$18:$E$48,4,FALSE)&amp;$BK266,坦克属性分配比例,MATCH("升星比例",坦克属性分配比例标头,0),FALSE)+VLOOKUP(VLOOKUP($BJ266,坦克个性化设定!$B$18:$E$48,4,FALSE)&amp;$BK266,坦克属性分配比例,MATCH("部件比例",坦克属性分配比例标头,0),FALSE)*$C$3),0)</f>
        <v>#N/A</v>
      </c>
      <c r="BP266" s="103" t="e">
        <f ca="1">ROUND(VLOOKUP($BJ266&amp;"初始",$S$3:$AE$63,MATCH(BP$3,$S$3:$AE$3,0),FALSE)+(VLOOKUP($BJ266&amp;"最终",$S$3:$AE$63,MATCH(BP$3,$S$3:$AE$3,0),FALSE)-VLOOKUP($BJ266&amp;"初始",$S$3:$AE$63,MATCH(BP$3,$S$3:$AE$3,0),FALSE))*$BL266/VLOOKUP(VLOOKUP($BJ266,坦克个性化设定!$B$18:$E$48,4,FALSE)&amp;$BK266,坦克属性分配比例,MATCH("升星次数",坦克属性分配比例标头,0),FALSE)*(VLOOKUP(VLOOKUP($BJ266,坦克个性化设定!$B$18:$E$48,4,FALSE)&amp;$BK266,坦克属性分配比例,MATCH("升星比例",坦克属性分配比例标头,0),FALSE)+VLOOKUP(VLOOKUP($BJ266,坦克个性化设定!$B$18:$E$48,4,FALSE)&amp;$BK266,坦克属性分配比例,MATCH("部件比例",坦克属性分配比例标头,0),FALSE)*$C$3),0)</f>
        <v>#N/A</v>
      </c>
      <c r="BQ266" s="103" t="e">
        <f ca="1">ROUND(VLOOKUP($BJ266&amp;"初始",$S$3:$AE$63,MATCH(BQ$3,$S$3:$AE$3,0),FALSE)+(VLOOKUP($BJ266&amp;"最终",$S$3:$AE$63,MATCH(BQ$3,$S$3:$AE$3,0),FALSE)-VLOOKUP($BJ266&amp;"初始",$S$3:$AE$63,MATCH(BQ$3,$S$3:$AE$3,0),FALSE))*$BL266/VLOOKUP(VLOOKUP($BJ266,坦克个性化设定!$B$18:$E$48,4,FALSE)&amp;$BK266,坦克属性分配比例,MATCH("升星次数",坦克属性分配比例标头,0),FALSE)*VLOOKUP(VLOOKUP($BJ266,坦克个性化设定!$B$18:$E$48,4,FALSE)&amp;$BK266,坦克属性分配比例,MATCH("升星比例",坦克属性分配比例标头,0),FALSE),0)</f>
        <v>#N/A</v>
      </c>
      <c r="BR266" s="2" t="e">
        <f ca="1">ROUND(VLOOKUP($BJ266&amp;"初始",$S$3:$AE$63,MATCH(BR$3,$S$3:$AE$3,0),FALSE)+(VLOOKUP($BJ266&amp;"最终",$S$3:$AE$63,MATCH(BR$3,$S$3:$AE$3,0),FALSE)-VLOOKUP($BJ266&amp;"初始",$S$3:$AE$63,MATCH(BR$3,$S$3:$AE$3,0),FALSE))*$BL266/VLOOKUP(VLOOKUP($BJ266,坦克个性化设定!$B$18:$E$48,4,FALSE)&amp;$BK266,坦克属性分配比例,MATCH("升星次数",坦克属性分配比例标头,0),FALSE),0)</f>
        <v>#N/A</v>
      </c>
      <c r="BS266" s="2">
        <f>ROUND(VLOOKUP($BJ266,$AI$3:$AO$33,MATCH(BS$3,$AI$3:$AO$3,0),FALSE)+$BL266/VLOOKUP(VLOOKUP($BJ266,坦克个性化设定!$B$18:$E$48,4,FALSE)&amp;$BK266,坦克属性分配比例,MATCH("升星次数",坦克属性分配比例标头,0),FALSE)*VLOOKUP($BJ266,$AR$3:$AY$33,MATCH(BS$3,$AR$3:$AY$3,0),FALSE),1)</f>
        <v>34.9</v>
      </c>
      <c r="BT266" s="2">
        <f>ROUND(VLOOKUP($BJ266,$AI$3:$AO$33,MATCH(BT$3,$AI$3:$AO$3,0),FALSE)+$BL266/VLOOKUP(VLOOKUP($BJ266,坦克个性化设定!$B$18:$E$48,4,FALSE)&amp;$BK266,坦克属性分配比例,MATCH("升星次数",坦克属性分配比例标头,0),FALSE)*VLOOKUP($BJ266,$AR$3:$AY$33,MATCH(BT$3,$AR$3:$AY$3,0),FALSE),1)</f>
        <v>39.799999999999997</v>
      </c>
      <c r="BU266" s="2">
        <f>ROUND(VLOOKUP($BJ266,$AI$3:$AO$33,MATCH(BU$3,$AI$3:$AO$3,0),FALSE)+$BL266/VLOOKUP(VLOOKUP($BJ266,坦克个性化设定!$B$18:$E$48,4,FALSE)&amp;$BK266,坦克属性分配比例,MATCH("升星次数",坦克属性分配比例标头,0),FALSE)*VLOOKUP($BJ266,$AR$3:$AY$33,MATCH(BU$3,$AR$3:$AY$3,0),FALSE),1)</f>
        <v>6.3</v>
      </c>
      <c r="BV266" s="2">
        <f>IF(VLOOKUP(BJ266,坦克个性化设定!$B$18:$BC$48,MATCH("装弹类型",坦克个性化设定!$B$18:$BC$18,0),FALSE)="弹夹换弹",0,ROUND(VLOOKUP($BJ266,$AI$3:$AO$33,MATCH("换弹时间",$AI$3:$AO$3,0),FALSE)-$BL266/VLOOKUP(VLOOKUP($BJ266,坦克个性化设定!$B$18:$E$48,4,FALSE)&amp;$BK266,坦克属性分配比例,MATCH("升星次数",坦克属性分配比例标头,0),FALSE)*VLOOKUP($BJ266,$AR$3:$AY$33,MATCH("换弹时间",$AR$3:$AY$3,0),FALSE),2))</f>
        <v>5.54</v>
      </c>
      <c r="BW266" s="2">
        <f>IF(VLOOKUP(BJ266,坦克个性化设定!$B$18:$BC$48,MATCH("装弹类型",坦克个性化设定!$B$18:$BC$18,0),FALSE)="弹夹换弹",ROUND(VLOOKUP($BJ266,$AI$3:$AO$33,MATCH("换弹时间",$AI$3:$AO$3,0),FALSE)-$BL266/VLOOKUP(VLOOKUP($BJ266,坦克个性化设定!$B$18:$E$48,4,FALSE)&amp;$BK266,坦克属性分配比例,MATCH("升星次数",坦克属性分配比例标头,0),FALSE)*VLOOKUP($BJ266,$AR$3:$AY$33,MATCH("换弹时间",$AR$3:$AY$3,0),FALSE),1),0)</f>
        <v>0</v>
      </c>
      <c r="BX266" s="2">
        <f>ROUND(VLOOKUP($BJ266,$AI$3:$AO$33,MATCH(BX$3,$AI$3:$AO$3,0),FALSE)+$BL266/VLOOKUP(VLOOKUP($BJ266,坦克个性化设定!$B$18:$E$48,4,FALSE)&amp;$BK266,坦克属性分配比例,MATCH("升星次数",坦克属性分配比例标头,0),FALSE)*VLOOKUP($BJ266,$AR$3:$AY$33,MATCH(BX$3,$AR$3:$AY$3,0),FALSE),2)</f>
        <v>0</v>
      </c>
      <c r="BY266" s="2">
        <f>ROUND(VLOOKUP($BJ266,$AI$3:$AO$33,MATCH(BY$3,$AI$3:$AO$3,0),FALSE)-$BL266/VLOOKUP(VLOOKUP($BJ266,坦克个性化设定!$B$18:$E$48,4,FALSE)&amp;$BK266,坦克属性分配比例,MATCH("升星次数",坦克属性分配比例标头,0),FALSE)*VLOOKUP($BJ266,$AR$3:$AY$33,MATCH(BY$3,$AR$3:$AY$3,0),FALSE),2)</f>
        <v>2.73</v>
      </c>
    </row>
    <row r="267" spans="60:77" x14ac:dyDescent="0.3">
      <c r="BH267" s="2" t="str">
        <f t="shared" si="35"/>
        <v>征服者7</v>
      </c>
      <c r="BI267" s="2">
        <f>IF(BL266&gt;=VLOOKUP(VLOOKUP(BJ266,坦克个性化设定!$B$18:$E$48,4,FALSE)&amp;BK266,坦克属性分配比例,MATCH("升星次数",坦克属性分配比例标头,0),FALSE),BI266+1,BI266)</f>
        <v>27</v>
      </c>
      <c r="BJ267" s="2" t="str">
        <f t="shared" si="36"/>
        <v>征服者</v>
      </c>
      <c r="BK267" s="29" t="str">
        <f>VLOOKUP(BJ267,坦克个性化细分!$I$3:$J$33,2,FALSE)</f>
        <v>低</v>
      </c>
      <c r="BL267" s="2">
        <f t="shared" si="37"/>
        <v>7</v>
      </c>
      <c r="BM267" s="103" t="e">
        <f ca="1">ROUND(VLOOKUP($BJ267&amp;"初始",$S$3:$AE$63,MATCH(BM$3,$S$3:$AE$3,0),FALSE)+((VLOOKUP($BJ267&amp;"最终",$S$3:$AE$63,MATCH(BM$3,$S$3:$AE$3,0),FALSE)*坦克个性化细分!$C$9-VLOOKUP($BJ267&amp;"初始",$S$3:$AE$63,MATCH(BM$3,$S$3:$AE$3,0),FALSE))-(VLOOKUP($BJ267&amp;"最终",$S$3:$AE$63,MATCH(BM$3,$S$3:$AE$3,0),FALSE)-VLOOKUP($BJ267&amp;"初始",$S$3:$AE$63,MATCH(BM$3,$S$3:$AE$3,0),FALSE))*VLOOKUP(VLOOKUP($BJ267,坦克个性化设定!$B$18:$E$48,4,FALSE)&amp;$BK267,坦克属性分配比例,MATCH("部件比例",坦克属性分配比例标头,0),FALSE))*$BL267/VLOOKUP(VLOOKUP($BJ267,坦克个性化设定!$B$18:$E$48,4,FALSE)&amp;$BK267,坦克属性分配比例,MATCH("升星次数",坦克属性分配比例标头,0),FALSE),0)</f>
        <v>#N/A</v>
      </c>
      <c r="BN267" s="103" t="e">
        <f ca="1">ROUND(VLOOKUP($BJ267&amp;"初始",$S$3:$AE$63,MATCH(BN$3,$S$3:$AE$3,0),FALSE)+(VLOOKUP($BJ267&amp;"最终",$S$3:$AE$63,MATCH(BN$3,$S$3:$AE$3,0),FALSE)-VLOOKUP($BJ267&amp;"初始",$S$3:$AE$63,MATCH(BN$3,$S$3:$AE$3,0),FALSE))*$BL267/VLOOKUP(VLOOKUP($BJ267,坦克个性化设定!$B$18:$E$48,4,FALSE)&amp;$BK267,坦克属性分配比例,MATCH("升星次数",坦克属性分配比例标头,0),FALSE)*VLOOKUP(VLOOKUP($BJ267,坦克个性化设定!$B$18:$E$48,4,FALSE)&amp;$BK267,坦克属性分配比例,MATCH("升星比例",坦克属性分配比例标头,0),FALSE),0)</f>
        <v>#N/A</v>
      </c>
      <c r="BO267" s="103" t="e">
        <f ca="1">ROUND(VLOOKUP($BJ267&amp;"初始",$S$3:$AE$63,MATCH(BO$3,$S$3:$AE$3,0),FALSE)+(VLOOKUP($BJ267&amp;"最终",$S$3:$AE$63,MATCH(BO$3,$S$3:$AE$3,0),FALSE)-VLOOKUP($BJ267&amp;"初始",$S$3:$AE$63,MATCH(BO$3,$S$3:$AE$3,0),FALSE))*$BL267/VLOOKUP(VLOOKUP($BJ267,坦克个性化设定!$B$18:$E$48,4,FALSE)&amp;$BK267,坦克属性分配比例,MATCH("升星次数",坦克属性分配比例标头,0),FALSE)*(VLOOKUP(VLOOKUP($BJ267,坦克个性化设定!$B$18:$E$48,4,FALSE)&amp;$BK267,坦克属性分配比例,MATCH("升星比例",坦克属性分配比例标头,0),FALSE)+VLOOKUP(VLOOKUP($BJ267,坦克个性化设定!$B$18:$E$48,4,FALSE)&amp;$BK267,坦克属性分配比例,MATCH("部件比例",坦克属性分配比例标头,0),FALSE)*$C$3),0)</f>
        <v>#N/A</v>
      </c>
      <c r="BP267" s="103" t="e">
        <f ca="1">ROUND(VLOOKUP($BJ267&amp;"初始",$S$3:$AE$63,MATCH(BP$3,$S$3:$AE$3,0),FALSE)+(VLOOKUP($BJ267&amp;"最终",$S$3:$AE$63,MATCH(BP$3,$S$3:$AE$3,0),FALSE)-VLOOKUP($BJ267&amp;"初始",$S$3:$AE$63,MATCH(BP$3,$S$3:$AE$3,0),FALSE))*$BL267/VLOOKUP(VLOOKUP($BJ267,坦克个性化设定!$B$18:$E$48,4,FALSE)&amp;$BK267,坦克属性分配比例,MATCH("升星次数",坦克属性分配比例标头,0),FALSE)*(VLOOKUP(VLOOKUP($BJ267,坦克个性化设定!$B$18:$E$48,4,FALSE)&amp;$BK267,坦克属性分配比例,MATCH("升星比例",坦克属性分配比例标头,0),FALSE)+VLOOKUP(VLOOKUP($BJ267,坦克个性化设定!$B$18:$E$48,4,FALSE)&amp;$BK267,坦克属性分配比例,MATCH("部件比例",坦克属性分配比例标头,0),FALSE)*$C$3),0)</f>
        <v>#N/A</v>
      </c>
      <c r="BQ267" s="103" t="e">
        <f ca="1">ROUND(VLOOKUP($BJ267&amp;"初始",$S$3:$AE$63,MATCH(BQ$3,$S$3:$AE$3,0),FALSE)+(VLOOKUP($BJ267&amp;"最终",$S$3:$AE$63,MATCH(BQ$3,$S$3:$AE$3,0),FALSE)-VLOOKUP($BJ267&amp;"初始",$S$3:$AE$63,MATCH(BQ$3,$S$3:$AE$3,0),FALSE))*$BL267/VLOOKUP(VLOOKUP($BJ267,坦克个性化设定!$B$18:$E$48,4,FALSE)&amp;$BK267,坦克属性分配比例,MATCH("升星次数",坦克属性分配比例标头,0),FALSE)*VLOOKUP(VLOOKUP($BJ267,坦克个性化设定!$B$18:$E$48,4,FALSE)&amp;$BK267,坦克属性分配比例,MATCH("升星比例",坦克属性分配比例标头,0),FALSE),0)</f>
        <v>#N/A</v>
      </c>
      <c r="BR267" s="2" t="e">
        <f ca="1">ROUND(VLOOKUP($BJ267&amp;"初始",$S$3:$AE$63,MATCH(BR$3,$S$3:$AE$3,0),FALSE)+(VLOOKUP($BJ267&amp;"最终",$S$3:$AE$63,MATCH(BR$3,$S$3:$AE$3,0),FALSE)-VLOOKUP($BJ267&amp;"初始",$S$3:$AE$63,MATCH(BR$3,$S$3:$AE$3,0),FALSE))*$BL267/VLOOKUP(VLOOKUP($BJ267,坦克个性化设定!$B$18:$E$48,4,FALSE)&amp;$BK267,坦克属性分配比例,MATCH("升星次数",坦克属性分配比例标头,0),FALSE),0)</f>
        <v>#N/A</v>
      </c>
      <c r="BS267" s="2">
        <f>ROUND(VLOOKUP($BJ267,$AI$3:$AO$33,MATCH(BS$3,$AI$3:$AO$3,0),FALSE)+$BL267/VLOOKUP(VLOOKUP($BJ267,坦克个性化设定!$B$18:$E$48,4,FALSE)&amp;$BK267,坦克属性分配比例,MATCH("升星次数",坦克属性分配比例标头,0),FALSE)*VLOOKUP($BJ267,$AR$3:$AY$33,MATCH(BS$3,$AR$3:$AY$3,0),FALSE),1)</f>
        <v>35.6</v>
      </c>
      <c r="BT267" s="2">
        <f>ROUND(VLOOKUP($BJ267,$AI$3:$AO$33,MATCH(BT$3,$AI$3:$AO$3,0),FALSE)+$BL267/VLOOKUP(VLOOKUP($BJ267,坦克个性化设定!$B$18:$E$48,4,FALSE)&amp;$BK267,坦克属性分配比例,MATCH("升星次数",坦克属性分配比例标头,0),FALSE)*VLOOKUP($BJ267,$AR$3:$AY$33,MATCH(BT$3,$AR$3:$AY$3,0),FALSE),1)</f>
        <v>40.6</v>
      </c>
      <c r="BU267" s="2">
        <f>ROUND(VLOOKUP($BJ267,$AI$3:$AO$33,MATCH(BU$3,$AI$3:$AO$3,0),FALSE)+$BL267/VLOOKUP(VLOOKUP($BJ267,坦克个性化设定!$B$18:$E$48,4,FALSE)&amp;$BK267,坦克属性分配比例,MATCH("升星次数",坦克属性分配比例标头,0),FALSE)*VLOOKUP($BJ267,$AR$3:$AY$33,MATCH(BU$3,$AR$3:$AY$3,0),FALSE),1)</f>
        <v>6.3</v>
      </c>
      <c r="BV267" s="2">
        <f>IF(VLOOKUP(BJ267,坦克个性化设定!$B$18:$BC$48,MATCH("装弹类型",坦克个性化设定!$B$18:$BC$18,0),FALSE)="弹夹换弹",0,ROUND(VLOOKUP($BJ267,$AI$3:$AO$33,MATCH("换弹时间",$AI$3:$AO$3,0),FALSE)-$BL267/VLOOKUP(VLOOKUP($BJ267,坦克个性化设定!$B$18:$E$48,4,FALSE)&amp;$BK267,坦克属性分配比例,MATCH("升星次数",坦克属性分配比例标头,0),FALSE)*VLOOKUP($BJ267,$AR$3:$AY$33,MATCH("换弹时间",$AR$3:$AY$3,0),FALSE),2))</f>
        <v>5.46</v>
      </c>
      <c r="BW267" s="2">
        <f>IF(VLOOKUP(BJ267,坦克个性化设定!$B$18:$BC$48,MATCH("装弹类型",坦克个性化设定!$B$18:$BC$18,0),FALSE)="弹夹换弹",ROUND(VLOOKUP($BJ267,$AI$3:$AO$33,MATCH("换弹时间",$AI$3:$AO$3,0),FALSE)-$BL267/VLOOKUP(VLOOKUP($BJ267,坦克个性化设定!$B$18:$E$48,4,FALSE)&amp;$BK267,坦克属性分配比例,MATCH("升星次数",坦克属性分配比例标头,0),FALSE)*VLOOKUP($BJ267,$AR$3:$AY$33,MATCH("换弹时间",$AR$3:$AY$3,0),FALSE),1),0)</f>
        <v>0</v>
      </c>
      <c r="BX267" s="2">
        <f>ROUND(VLOOKUP($BJ267,$AI$3:$AO$33,MATCH(BX$3,$AI$3:$AO$3,0),FALSE)+$BL267/VLOOKUP(VLOOKUP($BJ267,坦克个性化设定!$B$18:$E$48,4,FALSE)&amp;$BK267,坦克属性分配比例,MATCH("升星次数",坦克属性分配比例标头,0),FALSE)*VLOOKUP($BJ267,$AR$3:$AY$33,MATCH(BX$3,$AR$3:$AY$3,0),FALSE),2)</f>
        <v>0</v>
      </c>
      <c r="BY267" s="2">
        <f>ROUND(VLOOKUP($BJ267,$AI$3:$AO$33,MATCH(BY$3,$AI$3:$AO$3,0),FALSE)-$BL267/VLOOKUP(VLOOKUP($BJ267,坦克个性化设定!$B$18:$E$48,4,FALSE)&amp;$BK267,坦克属性分配比例,MATCH("升星次数",坦克属性分配比例标头,0),FALSE)*VLOOKUP($BJ267,$AR$3:$AY$33,MATCH(BY$3,$AR$3:$AY$3,0),FALSE),2)</f>
        <v>2.68</v>
      </c>
    </row>
    <row r="268" spans="60:77" x14ac:dyDescent="0.3">
      <c r="BH268" s="2" t="str">
        <f t="shared" si="35"/>
        <v>征服者8</v>
      </c>
      <c r="BI268" s="2">
        <f>IF(BL267&gt;=VLOOKUP(VLOOKUP(BJ267,坦克个性化设定!$B$18:$E$48,4,FALSE)&amp;BK267,坦克属性分配比例,MATCH("升星次数",坦克属性分配比例标头,0),FALSE),BI267+1,BI267)</f>
        <v>27</v>
      </c>
      <c r="BJ268" s="2" t="str">
        <f t="shared" si="36"/>
        <v>征服者</v>
      </c>
      <c r="BK268" s="29" t="str">
        <f>VLOOKUP(BJ268,坦克个性化细分!$I$3:$J$33,2,FALSE)</f>
        <v>低</v>
      </c>
      <c r="BL268" s="2">
        <f t="shared" si="37"/>
        <v>8</v>
      </c>
      <c r="BM268" s="103" t="e">
        <f ca="1">ROUND(VLOOKUP($BJ268&amp;"初始",$S$3:$AE$63,MATCH(BM$3,$S$3:$AE$3,0),FALSE)+((VLOOKUP($BJ268&amp;"最终",$S$3:$AE$63,MATCH(BM$3,$S$3:$AE$3,0),FALSE)*坦克个性化细分!$C$9-VLOOKUP($BJ268&amp;"初始",$S$3:$AE$63,MATCH(BM$3,$S$3:$AE$3,0),FALSE))-(VLOOKUP($BJ268&amp;"最终",$S$3:$AE$63,MATCH(BM$3,$S$3:$AE$3,0),FALSE)-VLOOKUP($BJ268&amp;"初始",$S$3:$AE$63,MATCH(BM$3,$S$3:$AE$3,0),FALSE))*VLOOKUP(VLOOKUP($BJ268,坦克个性化设定!$B$18:$E$48,4,FALSE)&amp;$BK268,坦克属性分配比例,MATCH("部件比例",坦克属性分配比例标头,0),FALSE))*$BL268/VLOOKUP(VLOOKUP($BJ268,坦克个性化设定!$B$18:$E$48,4,FALSE)&amp;$BK268,坦克属性分配比例,MATCH("升星次数",坦克属性分配比例标头,0),FALSE),0)</f>
        <v>#N/A</v>
      </c>
      <c r="BN268" s="103" t="e">
        <f ca="1">ROUND(VLOOKUP($BJ268&amp;"初始",$S$3:$AE$63,MATCH(BN$3,$S$3:$AE$3,0),FALSE)+(VLOOKUP($BJ268&amp;"最终",$S$3:$AE$63,MATCH(BN$3,$S$3:$AE$3,0),FALSE)-VLOOKUP($BJ268&amp;"初始",$S$3:$AE$63,MATCH(BN$3,$S$3:$AE$3,0),FALSE))*$BL268/VLOOKUP(VLOOKUP($BJ268,坦克个性化设定!$B$18:$E$48,4,FALSE)&amp;$BK268,坦克属性分配比例,MATCH("升星次数",坦克属性分配比例标头,0),FALSE)*VLOOKUP(VLOOKUP($BJ268,坦克个性化设定!$B$18:$E$48,4,FALSE)&amp;$BK268,坦克属性分配比例,MATCH("升星比例",坦克属性分配比例标头,0),FALSE),0)</f>
        <v>#N/A</v>
      </c>
      <c r="BO268" s="103" t="e">
        <f ca="1">ROUND(VLOOKUP($BJ268&amp;"初始",$S$3:$AE$63,MATCH(BO$3,$S$3:$AE$3,0),FALSE)+(VLOOKUP($BJ268&amp;"最终",$S$3:$AE$63,MATCH(BO$3,$S$3:$AE$3,0),FALSE)-VLOOKUP($BJ268&amp;"初始",$S$3:$AE$63,MATCH(BO$3,$S$3:$AE$3,0),FALSE))*$BL268/VLOOKUP(VLOOKUP($BJ268,坦克个性化设定!$B$18:$E$48,4,FALSE)&amp;$BK268,坦克属性分配比例,MATCH("升星次数",坦克属性分配比例标头,0),FALSE)*(VLOOKUP(VLOOKUP($BJ268,坦克个性化设定!$B$18:$E$48,4,FALSE)&amp;$BK268,坦克属性分配比例,MATCH("升星比例",坦克属性分配比例标头,0),FALSE)+VLOOKUP(VLOOKUP($BJ268,坦克个性化设定!$B$18:$E$48,4,FALSE)&amp;$BK268,坦克属性分配比例,MATCH("部件比例",坦克属性分配比例标头,0),FALSE)*$C$3),0)</f>
        <v>#N/A</v>
      </c>
      <c r="BP268" s="103" t="e">
        <f ca="1">ROUND(VLOOKUP($BJ268&amp;"初始",$S$3:$AE$63,MATCH(BP$3,$S$3:$AE$3,0),FALSE)+(VLOOKUP($BJ268&amp;"最终",$S$3:$AE$63,MATCH(BP$3,$S$3:$AE$3,0),FALSE)-VLOOKUP($BJ268&amp;"初始",$S$3:$AE$63,MATCH(BP$3,$S$3:$AE$3,0),FALSE))*$BL268/VLOOKUP(VLOOKUP($BJ268,坦克个性化设定!$B$18:$E$48,4,FALSE)&amp;$BK268,坦克属性分配比例,MATCH("升星次数",坦克属性分配比例标头,0),FALSE)*(VLOOKUP(VLOOKUP($BJ268,坦克个性化设定!$B$18:$E$48,4,FALSE)&amp;$BK268,坦克属性分配比例,MATCH("升星比例",坦克属性分配比例标头,0),FALSE)+VLOOKUP(VLOOKUP($BJ268,坦克个性化设定!$B$18:$E$48,4,FALSE)&amp;$BK268,坦克属性分配比例,MATCH("部件比例",坦克属性分配比例标头,0),FALSE)*$C$3),0)</f>
        <v>#N/A</v>
      </c>
      <c r="BQ268" s="103" t="e">
        <f ca="1">ROUND(VLOOKUP($BJ268&amp;"初始",$S$3:$AE$63,MATCH(BQ$3,$S$3:$AE$3,0),FALSE)+(VLOOKUP($BJ268&amp;"最终",$S$3:$AE$63,MATCH(BQ$3,$S$3:$AE$3,0),FALSE)-VLOOKUP($BJ268&amp;"初始",$S$3:$AE$63,MATCH(BQ$3,$S$3:$AE$3,0),FALSE))*$BL268/VLOOKUP(VLOOKUP($BJ268,坦克个性化设定!$B$18:$E$48,4,FALSE)&amp;$BK268,坦克属性分配比例,MATCH("升星次数",坦克属性分配比例标头,0),FALSE)*VLOOKUP(VLOOKUP($BJ268,坦克个性化设定!$B$18:$E$48,4,FALSE)&amp;$BK268,坦克属性分配比例,MATCH("升星比例",坦克属性分配比例标头,0),FALSE),0)</f>
        <v>#N/A</v>
      </c>
      <c r="BR268" s="2" t="e">
        <f ca="1">ROUND(VLOOKUP($BJ268&amp;"初始",$S$3:$AE$63,MATCH(BR$3,$S$3:$AE$3,0),FALSE)+(VLOOKUP($BJ268&amp;"最终",$S$3:$AE$63,MATCH(BR$3,$S$3:$AE$3,0),FALSE)-VLOOKUP($BJ268&amp;"初始",$S$3:$AE$63,MATCH(BR$3,$S$3:$AE$3,0),FALSE))*$BL268/VLOOKUP(VLOOKUP($BJ268,坦克个性化设定!$B$18:$E$48,4,FALSE)&amp;$BK268,坦克属性分配比例,MATCH("升星次数",坦克属性分配比例标头,0),FALSE),0)</f>
        <v>#N/A</v>
      </c>
      <c r="BS268" s="2">
        <f>ROUND(VLOOKUP($BJ268,$AI$3:$AO$33,MATCH(BS$3,$AI$3:$AO$3,0),FALSE)+$BL268/VLOOKUP(VLOOKUP($BJ268,坦克个性化设定!$B$18:$E$48,4,FALSE)&amp;$BK268,坦克属性分配比例,MATCH("升星次数",坦克属性分配比例标头,0),FALSE)*VLOOKUP($BJ268,$AR$3:$AY$33,MATCH(BS$3,$AR$3:$AY$3,0),FALSE),1)</f>
        <v>36.299999999999997</v>
      </c>
      <c r="BT268" s="2">
        <f>ROUND(VLOOKUP($BJ268,$AI$3:$AO$33,MATCH(BT$3,$AI$3:$AO$3,0),FALSE)+$BL268/VLOOKUP(VLOOKUP($BJ268,坦克个性化设定!$B$18:$E$48,4,FALSE)&amp;$BK268,坦克属性分配比例,MATCH("升星次数",坦克属性分配比例标头,0),FALSE)*VLOOKUP($BJ268,$AR$3:$AY$33,MATCH(BT$3,$AR$3:$AY$3,0),FALSE),1)</f>
        <v>41.4</v>
      </c>
      <c r="BU268" s="2">
        <f>ROUND(VLOOKUP($BJ268,$AI$3:$AO$33,MATCH(BU$3,$AI$3:$AO$3,0),FALSE)+$BL268/VLOOKUP(VLOOKUP($BJ268,坦克个性化设定!$B$18:$E$48,4,FALSE)&amp;$BK268,坦克属性分配比例,MATCH("升星次数",坦克属性分配比例标头,0),FALSE)*VLOOKUP($BJ268,$AR$3:$AY$33,MATCH(BU$3,$AR$3:$AY$3,0),FALSE),1)</f>
        <v>6.3</v>
      </c>
      <c r="BV268" s="2">
        <f>IF(VLOOKUP(BJ268,坦克个性化设定!$B$18:$BC$48,MATCH("装弹类型",坦克个性化设定!$B$18:$BC$18,0),FALSE)="弹夹换弹",0,ROUND(VLOOKUP($BJ268,$AI$3:$AO$33,MATCH("换弹时间",$AI$3:$AO$3,0),FALSE)-$BL268/VLOOKUP(VLOOKUP($BJ268,坦克个性化设定!$B$18:$E$48,4,FALSE)&amp;$BK268,坦克属性分配比例,MATCH("升星次数",坦克属性分配比例标头,0),FALSE)*VLOOKUP($BJ268,$AR$3:$AY$33,MATCH("换弹时间",$AR$3:$AY$3,0),FALSE),2))</f>
        <v>5.38</v>
      </c>
      <c r="BW268" s="2">
        <f>IF(VLOOKUP(BJ268,坦克个性化设定!$B$18:$BC$48,MATCH("装弹类型",坦克个性化设定!$B$18:$BC$18,0),FALSE)="弹夹换弹",ROUND(VLOOKUP($BJ268,$AI$3:$AO$33,MATCH("换弹时间",$AI$3:$AO$3,0),FALSE)-$BL268/VLOOKUP(VLOOKUP($BJ268,坦克个性化设定!$B$18:$E$48,4,FALSE)&amp;$BK268,坦克属性分配比例,MATCH("升星次数",坦克属性分配比例标头,0),FALSE)*VLOOKUP($BJ268,$AR$3:$AY$33,MATCH("换弹时间",$AR$3:$AY$3,0),FALSE),1),0)</f>
        <v>0</v>
      </c>
      <c r="BX268" s="2">
        <f>ROUND(VLOOKUP($BJ268,$AI$3:$AO$33,MATCH(BX$3,$AI$3:$AO$3,0),FALSE)+$BL268/VLOOKUP(VLOOKUP($BJ268,坦克个性化设定!$B$18:$E$48,4,FALSE)&amp;$BK268,坦克属性分配比例,MATCH("升星次数",坦克属性分配比例标头,0),FALSE)*VLOOKUP($BJ268,$AR$3:$AY$33,MATCH(BX$3,$AR$3:$AY$3,0),FALSE),2)</f>
        <v>0</v>
      </c>
      <c r="BY268" s="2">
        <f>ROUND(VLOOKUP($BJ268,$AI$3:$AO$33,MATCH(BY$3,$AI$3:$AO$3,0),FALSE)-$BL268/VLOOKUP(VLOOKUP($BJ268,坦克个性化设定!$B$18:$E$48,4,FALSE)&amp;$BK268,坦克属性分配比例,MATCH("升星次数",坦克属性分配比例标头,0),FALSE)*VLOOKUP($BJ268,$AR$3:$AY$33,MATCH(BY$3,$AR$3:$AY$3,0),FALSE),2)</f>
        <v>2.64</v>
      </c>
    </row>
    <row r="269" spans="60:77" x14ac:dyDescent="0.3">
      <c r="BH269" s="2" t="str">
        <f t="shared" si="35"/>
        <v>征服者9</v>
      </c>
      <c r="BI269" s="2">
        <f>IF(BL268&gt;=VLOOKUP(VLOOKUP(BJ268,坦克个性化设定!$B$18:$E$48,4,FALSE)&amp;BK268,坦克属性分配比例,MATCH("升星次数",坦克属性分配比例标头,0),FALSE),BI268+1,BI268)</f>
        <v>27</v>
      </c>
      <c r="BJ269" s="2" t="str">
        <f t="shared" si="36"/>
        <v>征服者</v>
      </c>
      <c r="BK269" s="29" t="str">
        <f>VLOOKUP(BJ269,坦克个性化细分!$I$3:$J$33,2,FALSE)</f>
        <v>低</v>
      </c>
      <c r="BL269" s="2">
        <f t="shared" si="37"/>
        <v>9</v>
      </c>
      <c r="BM269" s="103" t="e">
        <f ca="1">ROUND(VLOOKUP($BJ269&amp;"初始",$S$3:$AE$63,MATCH(BM$3,$S$3:$AE$3,0),FALSE)+((VLOOKUP($BJ269&amp;"最终",$S$3:$AE$63,MATCH(BM$3,$S$3:$AE$3,0),FALSE)*坦克个性化细分!$C$9-VLOOKUP($BJ269&amp;"初始",$S$3:$AE$63,MATCH(BM$3,$S$3:$AE$3,0),FALSE))-(VLOOKUP($BJ269&amp;"最终",$S$3:$AE$63,MATCH(BM$3,$S$3:$AE$3,0),FALSE)-VLOOKUP($BJ269&amp;"初始",$S$3:$AE$63,MATCH(BM$3,$S$3:$AE$3,0),FALSE))*VLOOKUP(VLOOKUP($BJ269,坦克个性化设定!$B$18:$E$48,4,FALSE)&amp;$BK269,坦克属性分配比例,MATCH("部件比例",坦克属性分配比例标头,0),FALSE))*$BL269/VLOOKUP(VLOOKUP($BJ269,坦克个性化设定!$B$18:$E$48,4,FALSE)&amp;$BK269,坦克属性分配比例,MATCH("升星次数",坦克属性分配比例标头,0),FALSE),0)</f>
        <v>#N/A</v>
      </c>
      <c r="BN269" s="103" t="e">
        <f ca="1">ROUND(VLOOKUP($BJ269&amp;"初始",$S$3:$AE$63,MATCH(BN$3,$S$3:$AE$3,0),FALSE)+(VLOOKUP($BJ269&amp;"最终",$S$3:$AE$63,MATCH(BN$3,$S$3:$AE$3,0),FALSE)-VLOOKUP($BJ269&amp;"初始",$S$3:$AE$63,MATCH(BN$3,$S$3:$AE$3,0),FALSE))*$BL269/VLOOKUP(VLOOKUP($BJ269,坦克个性化设定!$B$18:$E$48,4,FALSE)&amp;$BK269,坦克属性分配比例,MATCH("升星次数",坦克属性分配比例标头,0),FALSE)*VLOOKUP(VLOOKUP($BJ269,坦克个性化设定!$B$18:$E$48,4,FALSE)&amp;$BK269,坦克属性分配比例,MATCH("升星比例",坦克属性分配比例标头,0),FALSE),0)</f>
        <v>#N/A</v>
      </c>
      <c r="BO269" s="103" t="e">
        <f ca="1">ROUND(VLOOKUP($BJ269&amp;"初始",$S$3:$AE$63,MATCH(BO$3,$S$3:$AE$3,0),FALSE)+(VLOOKUP($BJ269&amp;"最终",$S$3:$AE$63,MATCH(BO$3,$S$3:$AE$3,0),FALSE)-VLOOKUP($BJ269&amp;"初始",$S$3:$AE$63,MATCH(BO$3,$S$3:$AE$3,0),FALSE))*$BL269/VLOOKUP(VLOOKUP($BJ269,坦克个性化设定!$B$18:$E$48,4,FALSE)&amp;$BK269,坦克属性分配比例,MATCH("升星次数",坦克属性分配比例标头,0),FALSE)*(VLOOKUP(VLOOKUP($BJ269,坦克个性化设定!$B$18:$E$48,4,FALSE)&amp;$BK269,坦克属性分配比例,MATCH("升星比例",坦克属性分配比例标头,0),FALSE)+VLOOKUP(VLOOKUP($BJ269,坦克个性化设定!$B$18:$E$48,4,FALSE)&amp;$BK269,坦克属性分配比例,MATCH("部件比例",坦克属性分配比例标头,0),FALSE)*$C$3),0)</f>
        <v>#N/A</v>
      </c>
      <c r="BP269" s="103" t="e">
        <f ca="1">ROUND(VLOOKUP($BJ269&amp;"初始",$S$3:$AE$63,MATCH(BP$3,$S$3:$AE$3,0),FALSE)+(VLOOKUP($BJ269&amp;"最终",$S$3:$AE$63,MATCH(BP$3,$S$3:$AE$3,0),FALSE)-VLOOKUP($BJ269&amp;"初始",$S$3:$AE$63,MATCH(BP$3,$S$3:$AE$3,0),FALSE))*$BL269/VLOOKUP(VLOOKUP($BJ269,坦克个性化设定!$B$18:$E$48,4,FALSE)&amp;$BK269,坦克属性分配比例,MATCH("升星次数",坦克属性分配比例标头,0),FALSE)*(VLOOKUP(VLOOKUP($BJ269,坦克个性化设定!$B$18:$E$48,4,FALSE)&amp;$BK269,坦克属性分配比例,MATCH("升星比例",坦克属性分配比例标头,0),FALSE)+VLOOKUP(VLOOKUP($BJ269,坦克个性化设定!$B$18:$E$48,4,FALSE)&amp;$BK269,坦克属性分配比例,MATCH("部件比例",坦克属性分配比例标头,0),FALSE)*$C$3),0)</f>
        <v>#N/A</v>
      </c>
      <c r="BQ269" s="103" t="e">
        <f ca="1">ROUND(VLOOKUP($BJ269&amp;"初始",$S$3:$AE$63,MATCH(BQ$3,$S$3:$AE$3,0),FALSE)+(VLOOKUP($BJ269&amp;"最终",$S$3:$AE$63,MATCH(BQ$3,$S$3:$AE$3,0),FALSE)-VLOOKUP($BJ269&amp;"初始",$S$3:$AE$63,MATCH(BQ$3,$S$3:$AE$3,0),FALSE))*$BL269/VLOOKUP(VLOOKUP($BJ269,坦克个性化设定!$B$18:$E$48,4,FALSE)&amp;$BK269,坦克属性分配比例,MATCH("升星次数",坦克属性分配比例标头,0),FALSE)*VLOOKUP(VLOOKUP($BJ269,坦克个性化设定!$B$18:$E$48,4,FALSE)&amp;$BK269,坦克属性分配比例,MATCH("升星比例",坦克属性分配比例标头,0),FALSE),0)</f>
        <v>#N/A</v>
      </c>
      <c r="BR269" s="2" t="e">
        <f ca="1">ROUND(VLOOKUP($BJ269&amp;"初始",$S$3:$AE$63,MATCH(BR$3,$S$3:$AE$3,0),FALSE)+(VLOOKUP($BJ269&amp;"最终",$S$3:$AE$63,MATCH(BR$3,$S$3:$AE$3,0),FALSE)-VLOOKUP($BJ269&amp;"初始",$S$3:$AE$63,MATCH(BR$3,$S$3:$AE$3,0),FALSE))*$BL269/VLOOKUP(VLOOKUP($BJ269,坦克个性化设定!$B$18:$E$48,4,FALSE)&amp;$BK269,坦克属性分配比例,MATCH("升星次数",坦克属性分配比例标头,0),FALSE),0)</f>
        <v>#N/A</v>
      </c>
      <c r="BS269" s="2">
        <f>ROUND(VLOOKUP($BJ269,$AI$3:$AO$33,MATCH(BS$3,$AI$3:$AO$3,0),FALSE)+$BL269/VLOOKUP(VLOOKUP($BJ269,坦克个性化设定!$B$18:$E$48,4,FALSE)&amp;$BK269,坦克属性分配比例,MATCH("升星次数",坦克属性分配比例标头,0),FALSE)*VLOOKUP($BJ269,$AR$3:$AY$33,MATCH(BS$3,$AR$3:$AY$3,0),FALSE),1)</f>
        <v>37</v>
      </c>
      <c r="BT269" s="2">
        <f>ROUND(VLOOKUP($BJ269,$AI$3:$AO$33,MATCH(BT$3,$AI$3:$AO$3,0),FALSE)+$BL269/VLOOKUP(VLOOKUP($BJ269,坦克个性化设定!$B$18:$E$48,4,FALSE)&amp;$BK269,坦克属性分配比例,MATCH("升星次数",坦克属性分配比例标头,0),FALSE)*VLOOKUP($BJ269,$AR$3:$AY$33,MATCH(BT$3,$AR$3:$AY$3,0),FALSE),1)</f>
        <v>42.2</v>
      </c>
      <c r="BU269" s="2">
        <f>ROUND(VLOOKUP($BJ269,$AI$3:$AO$33,MATCH(BU$3,$AI$3:$AO$3,0),FALSE)+$BL269/VLOOKUP(VLOOKUP($BJ269,坦克个性化设定!$B$18:$E$48,4,FALSE)&amp;$BK269,坦克属性分配比例,MATCH("升星次数",坦克属性分配比例标头,0),FALSE)*VLOOKUP($BJ269,$AR$3:$AY$33,MATCH(BU$3,$AR$3:$AY$3,0),FALSE),1)</f>
        <v>6.3</v>
      </c>
      <c r="BV269" s="2">
        <f>IF(VLOOKUP(BJ269,坦克个性化设定!$B$18:$BC$48,MATCH("装弹类型",坦克个性化设定!$B$18:$BC$18,0),FALSE)="弹夹换弹",0,ROUND(VLOOKUP($BJ269,$AI$3:$AO$33,MATCH("换弹时间",$AI$3:$AO$3,0),FALSE)-$BL269/VLOOKUP(VLOOKUP($BJ269,坦克个性化设定!$B$18:$E$48,4,FALSE)&amp;$BK269,坦克属性分配比例,MATCH("升星次数",坦克属性分配比例标头,0),FALSE)*VLOOKUP($BJ269,$AR$3:$AY$33,MATCH("换弹时间",$AR$3:$AY$3,0),FALSE),2))</f>
        <v>5.3</v>
      </c>
      <c r="BW269" s="2">
        <f>IF(VLOOKUP(BJ269,坦克个性化设定!$B$18:$BC$48,MATCH("装弹类型",坦克个性化设定!$B$18:$BC$18,0),FALSE)="弹夹换弹",ROUND(VLOOKUP($BJ269,$AI$3:$AO$33,MATCH("换弹时间",$AI$3:$AO$3,0),FALSE)-$BL269/VLOOKUP(VLOOKUP($BJ269,坦克个性化设定!$B$18:$E$48,4,FALSE)&amp;$BK269,坦克属性分配比例,MATCH("升星次数",坦克属性分配比例标头,0),FALSE)*VLOOKUP($BJ269,$AR$3:$AY$33,MATCH("换弹时间",$AR$3:$AY$3,0),FALSE),1),0)</f>
        <v>0</v>
      </c>
      <c r="BX269" s="2">
        <f>ROUND(VLOOKUP($BJ269,$AI$3:$AO$33,MATCH(BX$3,$AI$3:$AO$3,0),FALSE)+$BL269/VLOOKUP(VLOOKUP($BJ269,坦克个性化设定!$B$18:$E$48,4,FALSE)&amp;$BK269,坦克属性分配比例,MATCH("升星次数",坦克属性分配比例标头,0),FALSE)*VLOOKUP($BJ269,$AR$3:$AY$33,MATCH(BX$3,$AR$3:$AY$3,0),FALSE),2)</f>
        <v>0</v>
      </c>
      <c r="BY269" s="2">
        <f>ROUND(VLOOKUP($BJ269,$AI$3:$AO$33,MATCH(BY$3,$AI$3:$AO$3,0),FALSE)-$BL269/VLOOKUP(VLOOKUP($BJ269,坦克个性化设定!$B$18:$E$48,4,FALSE)&amp;$BK269,坦克属性分配比例,MATCH("升星次数",坦克属性分配比例标头,0),FALSE)*VLOOKUP($BJ269,$AR$3:$AY$33,MATCH(BY$3,$AR$3:$AY$3,0),FALSE),2)</f>
        <v>2.59</v>
      </c>
    </row>
    <row r="270" spans="60:77" x14ac:dyDescent="0.3">
      <c r="BH270" s="2" t="str">
        <f t="shared" si="35"/>
        <v>征服者10</v>
      </c>
      <c r="BI270" s="2">
        <f>IF(BL269&gt;=VLOOKUP(VLOOKUP(BJ269,坦克个性化设定!$B$18:$E$48,4,FALSE)&amp;BK269,坦克属性分配比例,MATCH("升星次数",坦克属性分配比例标头,0),FALSE),BI269+1,BI269)</f>
        <v>27</v>
      </c>
      <c r="BJ270" s="2" t="str">
        <f t="shared" si="36"/>
        <v>征服者</v>
      </c>
      <c r="BK270" s="29" t="str">
        <f>VLOOKUP(BJ270,坦克个性化细分!$I$3:$J$33,2,FALSE)</f>
        <v>低</v>
      </c>
      <c r="BL270" s="2">
        <f t="shared" si="37"/>
        <v>10</v>
      </c>
      <c r="BM270" s="103" t="e">
        <f ca="1">ROUND(VLOOKUP($BJ270&amp;"初始",$S$3:$AE$63,MATCH(BM$3,$S$3:$AE$3,0),FALSE)+((VLOOKUP($BJ270&amp;"最终",$S$3:$AE$63,MATCH(BM$3,$S$3:$AE$3,0),FALSE)*坦克个性化细分!$C$9-VLOOKUP($BJ270&amp;"初始",$S$3:$AE$63,MATCH(BM$3,$S$3:$AE$3,0),FALSE))-(VLOOKUP($BJ270&amp;"最终",$S$3:$AE$63,MATCH(BM$3,$S$3:$AE$3,0),FALSE)-VLOOKUP($BJ270&amp;"初始",$S$3:$AE$63,MATCH(BM$3,$S$3:$AE$3,0),FALSE))*VLOOKUP(VLOOKUP($BJ270,坦克个性化设定!$B$18:$E$48,4,FALSE)&amp;$BK270,坦克属性分配比例,MATCH("部件比例",坦克属性分配比例标头,0),FALSE))*$BL270/VLOOKUP(VLOOKUP($BJ270,坦克个性化设定!$B$18:$E$48,4,FALSE)&amp;$BK270,坦克属性分配比例,MATCH("升星次数",坦克属性分配比例标头,0),FALSE),0)</f>
        <v>#N/A</v>
      </c>
      <c r="BN270" s="103" t="e">
        <f ca="1">ROUND(VLOOKUP($BJ270&amp;"初始",$S$3:$AE$63,MATCH(BN$3,$S$3:$AE$3,0),FALSE)+(VLOOKUP($BJ270&amp;"最终",$S$3:$AE$63,MATCH(BN$3,$S$3:$AE$3,0),FALSE)-VLOOKUP($BJ270&amp;"初始",$S$3:$AE$63,MATCH(BN$3,$S$3:$AE$3,0),FALSE))*$BL270/VLOOKUP(VLOOKUP($BJ270,坦克个性化设定!$B$18:$E$48,4,FALSE)&amp;$BK270,坦克属性分配比例,MATCH("升星次数",坦克属性分配比例标头,0),FALSE)*VLOOKUP(VLOOKUP($BJ270,坦克个性化设定!$B$18:$E$48,4,FALSE)&amp;$BK270,坦克属性分配比例,MATCH("升星比例",坦克属性分配比例标头,0),FALSE),0)</f>
        <v>#N/A</v>
      </c>
      <c r="BO270" s="103" t="e">
        <f ca="1">ROUND(VLOOKUP($BJ270&amp;"初始",$S$3:$AE$63,MATCH(BO$3,$S$3:$AE$3,0),FALSE)+(VLOOKUP($BJ270&amp;"最终",$S$3:$AE$63,MATCH(BO$3,$S$3:$AE$3,0),FALSE)-VLOOKUP($BJ270&amp;"初始",$S$3:$AE$63,MATCH(BO$3,$S$3:$AE$3,0),FALSE))*$BL270/VLOOKUP(VLOOKUP($BJ270,坦克个性化设定!$B$18:$E$48,4,FALSE)&amp;$BK270,坦克属性分配比例,MATCH("升星次数",坦克属性分配比例标头,0),FALSE)*(VLOOKUP(VLOOKUP($BJ270,坦克个性化设定!$B$18:$E$48,4,FALSE)&amp;$BK270,坦克属性分配比例,MATCH("升星比例",坦克属性分配比例标头,0),FALSE)+VLOOKUP(VLOOKUP($BJ270,坦克个性化设定!$B$18:$E$48,4,FALSE)&amp;$BK270,坦克属性分配比例,MATCH("部件比例",坦克属性分配比例标头,0),FALSE)*$C$3),0)</f>
        <v>#N/A</v>
      </c>
      <c r="BP270" s="103" t="e">
        <f ca="1">ROUND(VLOOKUP($BJ270&amp;"初始",$S$3:$AE$63,MATCH(BP$3,$S$3:$AE$3,0),FALSE)+(VLOOKUP($BJ270&amp;"最终",$S$3:$AE$63,MATCH(BP$3,$S$3:$AE$3,0),FALSE)-VLOOKUP($BJ270&amp;"初始",$S$3:$AE$63,MATCH(BP$3,$S$3:$AE$3,0),FALSE))*$BL270/VLOOKUP(VLOOKUP($BJ270,坦克个性化设定!$B$18:$E$48,4,FALSE)&amp;$BK270,坦克属性分配比例,MATCH("升星次数",坦克属性分配比例标头,0),FALSE)*(VLOOKUP(VLOOKUP($BJ270,坦克个性化设定!$B$18:$E$48,4,FALSE)&amp;$BK270,坦克属性分配比例,MATCH("升星比例",坦克属性分配比例标头,0),FALSE)+VLOOKUP(VLOOKUP($BJ270,坦克个性化设定!$B$18:$E$48,4,FALSE)&amp;$BK270,坦克属性分配比例,MATCH("部件比例",坦克属性分配比例标头,0),FALSE)*$C$3),0)</f>
        <v>#N/A</v>
      </c>
      <c r="BQ270" s="103" t="e">
        <f ca="1">ROUND(VLOOKUP($BJ270&amp;"初始",$S$3:$AE$63,MATCH(BQ$3,$S$3:$AE$3,0),FALSE)+(VLOOKUP($BJ270&amp;"最终",$S$3:$AE$63,MATCH(BQ$3,$S$3:$AE$3,0),FALSE)-VLOOKUP($BJ270&amp;"初始",$S$3:$AE$63,MATCH(BQ$3,$S$3:$AE$3,0),FALSE))*$BL270/VLOOKUP(VLOOKUP($BJ270,坦克个性化设定!$B$18:$E$48,4,FALSE)&amp;$BK270,坦克属性分配比例,MATCH("升星次数",坦克属性分配比例标头,0),FALSE)*VLOOKUP(VLOOKUP($BJ270,坦克个性化设定!$B$18:$E$48,4,FALSE)&amp;$BK270,坦克属性分配比例,MATCH("升星比例",坦克属性分配比例标头,0),FALSE),0)</f>
        <v>#N/A</v>
      </c>
      <c r="BR270" s="2" t="e">
        <f ca="1">ROUND(VLOOKUP($BJ270&amp;"初始",$S$3:$AE$63,MATCH(BR$3,$S$3:$AE$3,0),FALSE)+(VLOOKUP($BJ270&amp;"最终",$S$3:$AE$63,MATCH(BR$3,$S$3:$AE$3,0),FALSE)-VLOOKUP($BJ270&amp;"初始",$S$3:$AE$63,MATCH(BR$3,$S$3:$AE$3,0),FALSE))*$BL270/VLOOKUP(VLOOKUP($BJ270,坦克个性化设定!$B$18:$E$48,4,FALSE)&amp;$BK270,坦克属性分配比例,MATCH("升星次数",坦克属性分配比例标头,0),FALSE),0)</f>
        <v>#N/A</v>
      </c>
      <c r="BS270" s="2">
        <f>ROUND(VLOOKUP($BJ270,$AI$3:$AO$33,MATCH(BS$3,$AI$3:$AO$3,0),FALSE)+$BL270/VLOOKUP(VLOOKUP($BJ270,坦克个性化设定!$B$18:$E$48,4,FALSE)&amp;$BK270,坦克属性分配比例,MATCH("升星次数",坦克属性分配比例标头,0),FALSE)*VLOOKUP($BJ270,$AR$3:$AY$33,MATCH(BS$3,$AR$3:$AY$3,0),FALSE),1)</f>
        <v>37.700000000000003</v>
      </c>
      <c r="BT270" s="2">
        <f>ROUND(VLOOKUP($BJ270,$AI$3:$AO$33,MATCH(BT$3,$AI$3:$AO$3,0),FALSE)+$BL270/VLOOKUP(VLOOKUP($BJ270,坦克个性化设定!$B$18:$E$48,4,FALSE)&amp;$BK270,坦克属性分配比例,MATCH("升星次数",坦克属性分配比例标头,0),FALSE)*VLOOKUP($BJ270,$AR$3:$AY$33,MATCH(BT$3,$AR$3:$AY$3,0),FALSE),1)</f>
        <v>43</v>
      </c>
      <c r="BU270" s="2">
        <f>ROUND(VLOOKUP($BJ270,$AI$3:$AO$33,MATCH(BU$3,$AI$3:$AO$3,0),FALSE)+$BL270/VLOOKUP(VLOOKUP($BJ270,坦克个性化设定!$B$18:$E$48,4,FALSE)&amp;$BK270,坦克属性分配比例,MATCH("升星次数",坦克属性分配比例标头,0),FALSE)*VLOOKUP($BJ270,$AR$3:$AY$33,MATCH(BU$3,$AR$3:$AY$3,0),FALSE),1)</f>
        <v>6.3</v>
      </c>
      <c r="BV270" s="2">
        <f>IF(VLOOKUP(BJ270,坦克个性化设定!$B$18:$BC$48,MATCH("装弹类型",坦克个性化设定!$B$18:$BC$18,0),FALSE)="弹夹换弹",0,ROUND(VLOOKUP($BJ270,$AI$3:$AO$33,MATCH("换弹时间",$AI$3:$AO$3,0),FALSE)-$BL270/VLOOKUP(VLOOKUP($BJ270,坦克个性化设定!$B$18:$E$48,4,FALSE)&amp;$BK270,坦克属性分配比例,MATCH("升星次数",坦克属性分配比例标头,0),FALSE)*VLOOKUP($BJ270,$AR$3:$AY$33,MATCH("换弹时间",$AR$3:$AY$3,0),FALSE),2))</f>
        <v>5.23</v>
      </c>
      <c r="BW270" s="2">
        <f>IF(VLOOKUP(BJ270,坦克个性化设定!$B$18:$BC$48,MATCH("装弹类型",坦克个性化设定!$B$18:$BC$18,0),FALSE)="弹夹换弹",ROUND(VLOOKUP($BJ270,$AI$3:$AO$33,MATCH("换弹时间",$AI$3:$AO$3,0),FALSE)-$BL270/VLOOKUP(VLOOKUP($BJ270,坦克个性化设定!$B$18:$E$48,4,FALSE)&amp;$BK270,坦克属性分配比例,MATCH("升星次数",坦克属性分配比例标头,0),FALSE)*VLOOKUP($BJ270,$AR$3:$AY$33,MATCH("换弹时间",$AR$3:$AY$3,0),FALSE),1),0)</f>
        <v>0</v>
      </c>
      <c r="BX270" s="2">
        <f>ROUND(VLOOKUP($BJ270,$AI$3:$AO$33,MATCH(BX$3,$AI$3:$AO$3,0),FALSE)+$BL270/VLOOKUP(VLOOKUP($BJ270,坦克个性化设定!$B$18:$E$48,4,FALSE)&amp;$BK270,坦克属性分配比例,MATCH("升星次数",坦克属性分配比例标头,0),FALSE)*VLOOKUP($BJ270,$AR$3:$AY$33,MATCH(BX$3,$AR$3:$AY$3,0),FALSE),2)</f>
        <v>0</v>
      </c>
      <c r="BY270" s="2">
        <f>ROUND(VLOOKUP($BJ270,$AI$3:$AO$33,MATCH(BY$3,$AI$3:$AO$3,0),FALSE)-$BL270/VLOOKUP(VLOOKUP($BJ270,坦克个性化设定!$B$18:$E$48,4,FALSE)&amp;$BK270,坦克属性分配比例,MATCH("升星次数",坦克属性分配比例标头,0),FALSE)*VLOOKUP($BJ270,$AR$3:$AY$33,MATCH(BY$3,$AR$3:$AY$3,0),FALSE),2)</f>
        <v>2.5499999999999998</v>
      </c>
    </row>
    <row r="271" spans="60:77" x14ac:dyDescent="0.3">
      <c r="BH271" s="2" t="str">
        <f t="shared" si="35"/>
        <v>征服者11</v>
      </c>
      <c r="BI271" s="2">
        <f>IF(BL270&gt;=VLOOKUP(VLOOKUP(BJ270,坦克个性化设定!$B$18:$E$48,4,FALSE)&amp;BK270,坦克属性分配比例,MATCH("升星次数",坦克属性分配比例标头,0),FALSE),BI270+1,BI270)</f>
        <v>27</v>
      </c>
      <c r="BJ271" s="2" t="str">
        <f t="shared" si="36"/>
        <v>征服者</v>
      </c>
      <c r="BK271" s="29" t="str">
        <f>VLOOKUP(BJ271,坦克个性化细分!$I$3:$J$33,2,FALSE)</f>
        <v>低</v>
      </c>
      <c r="BL271" s="2">
        <f t="shared" si="37"/>
        <v>11</v>
      </c>
      <c r="BM271" s="103" t="e">
        <f ca="1">ROUND(VLOOKUP($BJ271&amp;"初始",$S$3:$AE$63,MATCH(BM$3,$S$3:$AE$3,0),FALSE)+((VLOOKUP($BJ271&amp;"最终",$S$3:$AE$63,MATCH(BM$3,$S$3:$AE$3,0),FALSE)*坦克个性化细分!$C$9-VLOOKUP($BJ271&amp;"初始",$S$3:$AE$63,MATCH(BM$3,$S$3:$AE$3,0),FALSE))-(VLOOKUP($BJ271&amp;"最终",$S$3:$AE$63,MATCH(BM$3,$S$3:$AE$3,0),FALSE)-VLOOKUP($BJ271&amp;"初始",$S$3:$AE$63,MATCH(BM$3,$S$3:$AE$3,0),FALSE))*VLOOKUP(VLOOKUP($BJ271,坦克个性化设定!$B$18:$E$48,4,FALSE)&amp;$BK271,坦克属性分配比例,MATCH("部件比例",坦克属性分配比例标头,0),FALSE))*$BL271/VLOOKUP(VLOOKUP($BJ271,坦克个性化设定!$B$18:$E$48,4,FALSE)&amp;$BK271,坦克属性分配比例,MATCH("升星次数",坦克属性分配比例标头,0),FALSE),0)</f>
        <v>#N/A</v>
      </c>
      <c r="BN271" s="103" t="e">
        <f ca="1">ROUND(VLOOKUP($BJ271&amp;"初始",$S$3:$AE$63,MATCH(BN$3,$S$3:$AE$3,0),FALSE)+(VLOOKUP($BJ271&amp;"最终",$S$3:$AE$63,MATCH(BN$3,$S$3:$AE$3,0),FALSE)-VLOOKUP($BJ271&amp;"初始",$S$3:$AE$63,MATCH(BN$3,$S$3:$AE$3,0),FALSE))*$BL271/VLOOKUP(VLOOKUP($BJ271,坦克个性化设定!$B$18:$E$48,4,FALSE)&amp;$BK271,坦克属性分配比例,MATCH("升星次数",坦克属性分配比例标头,0),FALSE)*VLOOKUP(VLOOKUP($BJ271,坦克个性化设定!$B$18:$E$48,4,FALSE)&amp;$BK271,坦克属性分配比例,MATCH("升星比例",坦克属性分配比例标头,0),FALSE),0)</f>
        <v>#N/A</v>
      </c>
      <c r="BO271" s="103" t="e">
        <f ca="1">ROUND(VLOOKUP($BJ271&amp;"初始",$S$3:$AE$63,MATCH(BO$3,$S$3:$AE$3,0),FALSE)+(VLOOKUP($BJ271&amp;"最终",$S$3:$AE$63,MATCH(BO$3,$S$3:$AE$3,0),FALSE)-VLOOKUP($BJ271&amp;"初始",$S$3:$AE$63,MATCH(BO$3,$S$3:$AE$3,0),FALSE))*$BL271/VLOOKUP(VLOOKUP($BJ271,坦克个性化设定!$B$18:$E$48,4,FALSE)&amp;$BK271,坦克属性分配比例,MATCH("升星次数",坦克属性分配比例标头,0),FALSE)*(VLOOKUP(VLOOKUP($BJ271,坦克个性化设定!$B$18:$E$48,4,FALSE)&amp;$BK271,坦克属性分配比例,MATCH("升星比例",坦克属性分配比例标头,0),FALSE)+VLOOKUP(VLOOKUP($BJ271,坦克个性化设定!$B$18:$E$48,4,FALSE)&amp;$BK271,坦克属性分配比例,MATCH("部件比例",坦克属性分配比例标头,0),FALSE)*$C$3),0)</f>
        <v>#N/A</v>
      </c>
      <c r="BP271" s="103" t="e">
        <f ca="1">ROUND(VLOOKUP($BJ271&amp;"初始",$S$3:$AE$63,MATCH(BP$3,$S$3:$AE$3,0),FALSE)+(VLOOKUP($BJ271&amp;"最终",$S$3:$AE$63,MATCH(BP$3,$S$3:$AE$3,0),FALSE)-VLOOKUP($BJ271&amp;"初始",$S$3:$AE$63,MATCH(BP$3,$S$3:$AE$3,0),FALSE))*$BL271/VLOOKUP(VLOOKUP($BJ271,坦克个性化设定!$B$18:$E$48,4,FALSE)&amp;$BK271,坦克属性分配比例,MATCH("升星次数",坦克属性分配比例标头,0),FALSE)*(VLOOKUP(VLOOKUP($BJ271,坦克个性化设定!$B$18:$E$48,4,FALSE)&amp;$BK271,坦克属性分配比例,MATCH("升星比例",坦克属性分配比例标头,0),FALSE)+VLOOKUP(VLOOKUP($BJ271,坦克个性化设定!$B$18:$E$48,4,FALSE)&amp;$BK271,坦克属性分配比例,MATCH("部件比例",坦克属性分配比例标头,0),FALSE)*$C$3),0)</f>
        <v>#N/A</v>
      </c>
      <c r="BQ271" s="103" t="e">
        <f ca="1">ROUND(VLOOKUP($BJ271&amp;"初始",$S$3:$AE$63,MATCH(BQ$3,$S$3:$AE$3,0),FALSE)+(VLOOKUP($BJ271&amp;"最终",$S$3:$AE$63,MATCH(BQ$3,$S$3:$AE$3,0),FALSE)-VLOOKUP($BJ271&amp;"初始",$S$3:$AE$63,MATCH(BQ$3,$S$3:$AE$3,0),FALSE))*$BL271/VLOOKUP(VLOOKUP($BJ271,坦克个性化设定!$B$18:$E$48,4,FALSE)&amp;$BK271,坦克属性分配比例,MATCH("升星次数",坦克属性分配比例标头,0),FALSE)*VLOOKUP(VLOOKUP($BJ271,坦克个性化设定!$B$18:$E$48,4,FALSE)&amp;$BK271,坦克属性分配比例,MATCH("升星比例",坦克属性分配比例标头,0),FALSE),0)</f>
        <v>#N/A</v>
      </c>
      <c r="BR271" s="2" t="e">
        <f ca="1">ROUND(VLOOKUP($BJ271&amp;"初始",$S$3:$AE$63,MATCH(BR$3,$S$3:$AE$3,0),FALSE)+(VLOOKUP($BJ271&amp;"最终",$S$3:$AE$63,MATCH(BR$3,$S$3:$AE$3,0),FALSE)-VLOOKUP($BJ271&amp;"初始",$S$3:$AE$63,MATCH(BR$3,$S$3:$AE$3,0),FALSE))*$BL271/VLOOKUP(VLOOKUP($BJ271,坦克个性化设定!$B$18:$E$48,4,FALSE)&amp;$BK271,坦克属性分配比例,MATCH("升星次数",坦克属性分配比例标头,0),FALSE),0)</f>
        <v>#N/A</v>
      </c>
      <c r="BS271" s="2">
        <f>ROUND(VLOOKUP($BJ271,$AI$3:$AO$33,MATCH(BS$3,$AI$3:$AO$3,0),FALSE)+$BL271/VLOOKUP(VLOOKUP($BJ271,坦克个性化设定!$B$18:$E$48,4,FALSE)&amp;$BK271,坦克属性分配比例,MATCH("升星次数",坦克属性分配比例标头,0),FALSE)*VLOOKUP($BJ271,$AR$3:$AY$33,MATCH(BS$3,$AR$3:$AY$3,0),FALSE),1)</f>
        <v>38.4</v>
      </c>
      <c r="BT271" s="2">
        <f>ROUND(VLOOKUP($BJ271,$AI$3:$AO$33,MATCH(BT$3,$AI$3:$AO$3,0),FALSE)+$BL271/VLOOKUP(VLOOKUP($BJ271,坦克个性化设定!$B$18:$E$48,4,FALSE)&amp;$BK271,坦克属性分配比例,MATCH("升星次数",坦克属性分配比例标头,0),FALSE)*VLOOKUP($BJ271,$AR$3:$AY$33,MATCH(BT$3,$AR$3:$AY$3,0),FALSE),1)</f>
        <v>43.8</v>
      </c>
      <c r="BU271" s="2">
        <f>ROUND(VLOOKUP($BJ271,$AI$3:$AO$33,MATCH(BU$3,$AI$3:$AO$3,0),FALSE)+$BL271/VLOOKUP(VLOOKUP($BJ271,坦克个性化设定!$B$18:$E$48,4,FALSE)&amp;$BK271,坦克属性分配比例,MATCH("升星次数",坦克属性分配比例标头,0),FALSE)*VLOOKUP($BJ271,$AR$3:$AY$33,MATCH(BU$3,$AR$3:$AY$3,0),FALSE),1)</f>
        <v>6.3</v>
      </c>
      <c r="BV271" s="2">
        <f>IF(VLOOKUP(BJ271,坦克个性化设定!$B$18:$BC$48,MATCH("装弹类型",坦克个性化设定!$B$18:$BC$18,0),FALSE)="弹夹换弹",0,ROUND(VLOOKUP($BJ271,$AI$3:$AO$33,MATCH("换弹时间",$AI$3:$AO$3,0),FALSE)-$BL271/VLOOKUP(VLOOKUP($BJ271,坦克个性化设定!$B$18:$E$48,4,FALSE)&amp;$BK271,坦克属性分配比例,MATCH("升星次数",坦克属性分配比例标头,0),FALSE)*VLOOKUP($BJ271,$AR$3:$AY$33,MATCH("换弹时间",$AR$3:$AY$3,0),FALSE),2))</f>
        <v>5.15</v>
      </c>
      <c r="BW271" s="2">
        <f>IF(VLOOKUP(BJ271,坦克个性化设定!$B$18:$BC$48,MATCH("装弹类型",坦克个性化设定!$B$18:$BC$18,0),FALSE)="弹夹换弹",ROUND(VLOOKUP($BJ271,$AI$3:$AO$33,MATCH("换弹时间",$AI$3:$AO$3,0),FALSE)-$BL271/VLOOKUP(VLOOKUP($BJ271,坦克个性化设定!$B$18:$E$48,4,FALSE)&amp;$BK271,坦克属性分配比例,MATCH("升星次数",坦克属性分配比例标头,0),FALSE)*VLOOKUP($BJ271,$AR$3:$AY$33,MATCH("换弹时间",$AR$3:$AY$3,0),FALSE),1),0)</f>
        <v>0</v>
      </c>
      <c r="BX271" s="2">
        <f>ROUND(VLOOKUP($BJ271,$AI$3:$AO$33,MATCH(BX$3,$AI$3:$AO$3,0),FALSE)+$BL271/VLOOKUP(VLOOKUP($BJ271,坦克个性化设定!$B$18:$E$48,4,FALSE)&amp;$BK271,坦克属性分配比例,MATCH("升星次数",坦克属性分配比例标头,0),FALSE)*VLOOKUP($BJ271,$AR$3:$AY$33,MATCH(BX$3,$AR$3:$AY$3,0),FALSE),2)</f>
        <v>0</v>
      </c>
      <c r="BY271" s="2">
        <f>ROUND(VLOOKUP($BJ271,$AI$3:$AO$33,MATCH(BY$3,$AI$3:$AO$3,0),FALSE)-$BL271/VLOOKUP(VLOOKUP($BJ271,坦克个性化设定!$B$18:$E$48,4,FALSE)&amp;$BK271,坦克属性分配比例,MATCH("升星次数",坦克属性分配比例标头,0),FALSE)*VLOOKUP($BJ271,$AR$3:$AY$33,MATCH(BY$3,$AR$3:$AY$3,0),FALSE),2)</f>
        <v>2.5</v>
      </c>
    </row>
    <row r="272" spans="60:77" x14ac:dyDescent="0.3">
      <c r="BH272" s="2" t="str">
        <f t="shared" si="35"/>
        <v>IS-40</v>
      </c>
      <c r="BI272" s="2">
        <f>IF(BL271&gt;=VLOOKUP(VLOOKUP(BJ271,坦克个性化设定!$B$18:$E$48,4,FALSE)&amp;BK271,坦克属性分配比例,MATCH("升星次数",坦克属性分配比例标头,0),FALSE),BI271+1,BI271)</f>
        <v>28</v>
      </c>
      <c r="BJ272" s="2" t="str">
        <f t="shared" si="36"/>
        <v>IS-4</v>
      </c>
      <c r="BK272" s="29" t="str">
        <f>VLOOKUP(BJ272,坦克个性化细分!$I$3:$J$33,2,FALSE)</f>
        <v>中</v>
      </c>
      <c r="BL272" s="2">
        <f t="shared" si="37"/>
        <v>0</v>
      </c>
      <c r="BM272" s="103" t="e">
        <f ca="1">ROUND(VLOOKUP($BJ272&amp;"初始",$S$3:$AE$63,MATCH(BM$3,$S$3:$AE$3,0),FALSE)+((VLOOKUP($BJ272&amp;"最终",$S$3:$AE$63,MATCH(BM$3,$S$3:$AE$3,0),FALSE)*坦克个性化细分!$C$9-VLOOKUP($BJ272&amp;"初始",$S$3:$AE$63,MATCH(BM$3,$S$3:$AE$3,0),FALSE))-(VLOOKUP($BJ272&amp;"最终",$S$3:$AE$63,MATCH(BM$3,$S$3:$AE$3,0),FALSE)-VLOOKUP($BJ272&amp;"初始",$S$3:$AE$63,MATCH(BM$3,$S$3:$AE$3,0),FALSE))*VLOOKUP(VLOOKUP($BJ272,坦克个性化设定!$B$18:$E$48,4,FALSE)&amp;$BK272,坦克属性分配比例,MATCH("部件比例",坦克属性分配比例标头,0),FALSE))*$BL272/VLOOKUP(VLOOKUP($BJ272,坦克个性化设定!$B$18:$E$48,4,FALSE)&amp;$BK272,坦克属性分配比例,MATCH("升星次数",坦克属性分配比例标头,0),FALSE),0)</f>
        <v>#N/A</v>
      </c>
      <c r="BN272" s="103" t="e">
        <f ca="1">ROUND(VLOOKUP($BJ272&amp;"初始",$S$3:$AE$63,MATCH(BN$3,$S$3:$AE$3,0),FALSE)+(VLOOKUP($BJ272&amp;"最终",$S$3:$AE$63,MATCH(BN$3,$S$3:$AE$3,0),FALSE)-VLOOKUP($BJ272&amp;"初始",$S$3:$AE$63,MATCH(BN$3,$S$3:$AE$3,0),FALSE))*$BL272/VLOOKUP(VLOOKUP($BJ272,坦克个性化设定!$B$18:$E$48,4,FALSE)&amp;$BK272,坦克属性分配比例,MATCH("升星次数",坦克属性分配比例标头,0),FALSE)*VLOOKUP(VLOOKUP($BJ272,坦克个性化设定!$B$18:$E$48,4,FALSE)&amp;$BK272,坦克属性分配比例,MATCH("升星比例",坦克属性分配比例标头,0),FALSE),0)</f>
        <v>#N/A</v>
      </c>
      <c r="BO272" s="103" t="e">
        <f ca="1">ROUND(VLOOKUP($BJ272&amp;"初始",$S$3:$AE$63,MATCH(BO$3,$S$3:$AE$3,0),FALSE)+(VLOOKUP($BJ272&amp;"最终",$S$3:$AE$63,MATCH(BO$3,$S$3:$AE$3,0),FALSE)-VLOOKUP($BJ272&amp;"初始",$S$3:$AE$63,MATCH(BO$3,$S$3:$AE$3,0),FALSE))*$BL272/VLOOKUP(VLOOKUP($BJ272,坦克个性化设定!$B$18:$E$48,4,FALSE)&amp;$BK272,坦克属性分配比例,MATCH("升星次数",坦克属性分配比例标头,0),FALSE)*(VLOOKUP(VLOOKUP($BJ272,坦克个性化设定!$B$18:$E$48,4,FALSE)&amp;$BK272,坦克属性分配比例,MATCH("升星比例",坦克属性分配比例标头,0),FALSE)+VLOOKUP(VLOOKUP($BJ272,坦克个性化设定!$B$18:$E$48,4,FALSE)&amp;$BK272,坦克属性分配比例,MATCH("部件比例",坦克属性分配比例标头,0),FALSE)*$C$3),0)</f>
        <v>#N/A</v>
      </c>
      <c r="BP272" s="103" t="e">
        <f ca="1">ROUND(VLOOKUP($BJ272&amp;"初始",$S$3:$AE$63,MATCH(BP$3,$S$3:$AE$3,0),FALSE)+(VLOOKUP($BJ272&amp;"最终",$S$3:$AE$63,MATCH(BP$3,$S$3:$AE$3,0),FALSE)-VLOOKUP($BJ272&amp;"初始",$S$3:$AE$63,MATCH(BP$3,$S$3:$AE$3,0),FALSE))*$BL272/VLOOKUP(VLOOKUP($BJ272,坦克个性化设定!$B$18:$E$48,4,FALSE)&amp;$BK272,坦克属性分配比例,MATCH("升星次数",坦克属性分配比例标头,0),FALSE)*(VLOOKUP(VLOOKUP($BJ272,坦克个性化设定!$B$18:$E$48,4,FALSE)&amp;$BK272,坦克属性分配比例,MATCH("升星比例",坦克属性分配比例标头,0),FALSE)+VLOOKUP(VLOOKUP($BJ272,坦克个性化设定!$B$18:$E$48,4,FALSE)&amp;$BK272,坦克属性分配比例,MATCH("部件比例",坦克属性分配比例标头,0),FALSE)*$C$3),0)</f>
        <v>#N/A</v>
      </c>
      <c r="BQ272" s="103" t="e">
        <f ca="1">ROUND(VLOOKUP($BJ272&amp;"初始",$S$3:$AE$63,MATCH(BQ$3,$S$3:$AE$3,0),FALSE)+(VLOOKUP($BJ272&amp;"最终",$S$3:$AE$63,MATCH(BQ$3,$S$3:$AE$3,0),FALSE)-VLOOKUP($BJ272&amp;"初始",$S$3:$AE$63,MATCH(BQ$3,$S$3:$AE$3,0),FALSE))*$BL272/VLOOKUP(VLOOKUP($BJ272,坦克个性化设定!$B$18:$E$48,4,FALSE)&amp;$BK272,坦克属性分配比例,MATCH("升星次数",坦克属性分配比例标头,0),FALSE)*VLOOKUP(VLOOKUP($BJ272,坦克个性化设定!$B$18:$E$48,4,FALSE)&amp;$BK272,坦克属性分配比例,MATCH("升星比例",坦克属性分配比例标头,0),FALSE),0)</f>
        <v>#N/A</v>
      </c>
      <c r="BR272" s="2" t="e">
        <f ca="1">ROUND(VLOOKUP($BJ272&amp;"初始",$S$3:$AE$63,MATCH(BR$3,$S$3:$AE$3,0),FALSE)+(VLOOKUP($BJ272&amp;"最终",$S$3:$AE$63,MATCH(BR$3,$S$3:$AE$3,0),FALSE)-VLOOKUP($BJ272&amp;"初始",$S$3:$AE$63,MATCH(BR$3,$S$3:$AE$3,0),FALSE))*$BL272/VLOOKUP(VLOOKUP($BJ272,坦克个性化设定!$B$18:$E$48,4,FALSE)&amp;$BK272,坦克属性分配比例,MATCH("升星次数",坦克属性分配比例标头,0),FALSE),0)</f>
        <v>#N/A</v>
      </c>
      <c r="BS272" s="2">
        <f>ROUND(VLOOKUP($BJ272,$AI$3:$AO$33,MATCH(BS$3,$AI$3:$AO$3,0),FALSE)+$BL272/VLOOKUP(VLOOKUP($BJ272,坦克个性化设定!$B$18:$E$48,4,FALSE)&amp;$BK272,坦克属性分配比例,MATCH("升星次数",坦克属性分配比例标头,0),FALSE)*VLOOKUP($BJ272,$AR$3:$AY$33,MATCH(BS$3,$AR$3:$AY$3,0),FALSE),1)</f>
        <v>31.3</v>
      </c>
      <c r="BT272" s="2">
        <f>ROUND(VLOOKUP($BJ272,$AI$3:$AO$33,MATCH(BT$3,$AI$3:$AO$3,0),FALSE)+$BL272/VLOOKUP(VLOOKUP($BJ272,坦克个性化设定!$B$18:$E$48,4,FALSE)&amp;$BK272,坦克属性分配比例,MATCH("升星次数",坦克属性分配比例标头,0),FALSE)*VLOOKUP($BJ272,$AR$3:$AY$33,MATCH(BT$3,$AR$3:$AY$3,0),FALSE),1)</f>
        <v>35.700000000000003</v>
      </c>
      <c r="BU272" s="2">
        <f>ROUND(VLOOKUP($BJ272,$AI$3:$AO$33,MATCH(BU$3,$AI$3:$AO$3,0),FALSE)+$BL272/VLOOKUP(VLOOKUP($BJ272,坦克个性化设定!$B$18:$E$48,4,FALSE)&amp;$BK272,坦克属性分配比例,MATCH("升星次数",坦克属性分配比例标头,0),FALSE)*VLOOKUP($BJ272,$AR$3:$AY$33,MATCH(BU$3,$AR$3:$AY$3,0),FALSE),1)</f>
        <v>6.4</v>
      </c>
      <c r="BV272" s="2">
        <f>IF(VLOOKUP(BJ272,坦克个性化设定!$B$18:$BC$48,MATCH("装弹类型",坦克个性化设定!$B$18:$BC$18,0),FALSE)="弹夹换弹",0,ROUND(VLOOKUP($BJ272,$AI$3:$AO$33,MATCH("换弹时间",$AI$3:$AO$3,0),FALSE)-$BL272/VLOOKUP(VLOOKUP($BJ272,坦克个性化设定!$B$18:$E$48,4,FALSE)&amp;$BK272,坦克属性分配比例,MATCH("升星次数",坦克属性分配比例标头,0),FALSE)*VLOOKUP($BJ272,$AR$3:$AY$33,MATCH("换弹时间",$AR$3:$AY$3,0),FALSE),2))</f>
        <v>4.5</v>
      </c>
      <c r="BW272" s="2">
        <f>IF(VLOOKUP(BJ272,坦克个性化设定!$B$18:$BC$48,MATCH("装弹类型",坦克个性化设定!$B$18:$BC$18,0),FALSE)="弹夹换弹",ROUND(VLOOKUP($BJ272,$AI$3:$AO$33,MATCH("换弹时间",$AI$3:$AO$3,0),FALSE)-$BL272/VLOOKUP(VLOOKUP($BJ272,坦克个性化设定!$B$18:$E$48,4,FALSE)&amp;$BK272,坦克属性分配比例,MATCH("升星次数",坦克属性分配比例标头,0),FALSE)*VLOOKUP($BJ272,$AR$3:$AY$33,MATCH("换弹时间",$AR$3:$AY$3,0),FALSE),1),0)</f>
        <v>0</v>
      </c>
      <c r="BX272" s="2">
        <f>ROUND(VLOOKUP($BJ272,$AI$3:$AO$33,MATCH(BX$3,$AI$3:$AO$3,0),FALSE)+$BL272/VLOOKUP(VLOOKUP($BJ272,坦克个性化设定!$B$18:$E$48,4,FALSE)&amp;$BK272,坦克属性分配比例,MATCH("升星次数",坦克属性分配比例标头,0),FALSE)*VLOOKUP($BJ272,$AR$3:$AY$33,MATCH(BX$3,$AR$3:$AY$3,0),FALSE),2)</f>
        <v>2</v>
      </c>
      <c r="BY272" s="2">
        <f>ROUND(VLOOKUP($BJ272,$AI$3:$AO$33,MATCH(BY$3,$AI$3:$AO$3,0),FALSE)-$BL272/VLOOKUP(VLOOKUP($BJ272,坦克个性化设定!$B$18:$E$48,4,FALSE)&amp;$BK272,坦克属性分配比例,MATCH("升星次数",坦克属性分配比例标头,0),FALSE)*VLOOKUP($BJ272,$AR$3:$AY$33,MATCH(BY$3,$AR$3:$AY$3,0),FALSE),2)</f>
        <v>2.25</v>
      </c>
    </row>
    <row r="273" spans="60:77" x14ac:dyDescent="0.3">
      <c r="BH273" s="2" t="str">
        <f t="shared" si="35"/>
        <v>IS-41</v>
      </c>
      <c r="BI273" s="2">
        <f>IF(BL272&gt;=VLOOKUP(VLOOKUP(BJ272,坦克个性化设定!$B$18:$E$48,4,FALSE)&amp;BK272,坦克属性分配比例,MATCH("升星次数",坦克属性分配比例标头,0),FALSE),BI272+1,BI272)</f>
        <v>28</v>
      </c>
      <c r="BJ273" s="2" t="str">
        <f t="shared" si="36"/>
        <v>IS-4</v>
      </c>
      <c r="BK273" s="29" t="str">
        <f>VLOOKUP(BJ273,坦克个性化细分!$I$3:$J$33,2,FALSE)</f>
        <v>中</v>
      </c>
      <c r="BL273" s="2">
        <f t="shared" si="37"/>
        <v>1</v>
      </c>
      <c r="BM273" s="103" t="e">
        <f ca="1">ROUND(VLOOKUP($BJ273&amp;"初始",$S$3:$AE$63,MATCH(BM$3,$S$3:$AE$3,0),FALSE)+((VLOOKUP($BJ273&amp;"最终",$S$3:$AE$63,MATCH(BM$3,$S$3:$AE$3,0),FALSE)*坦克个性化细分!$C$9-VLOOKUP($BJ273&amp;"初始",$S$3:$AE$63,MATCH(BM$3,$S$3:$AE$3,0),FALSE))-(VLOOKUP($BJ273&amp;"最终",$S$3:$AE$63,MATCH(BM$3,$S$3:$AE$3,0),FALSE)-VLOOKUP($BJ273&amp;"初始",$S$3:$AE$63,MATCH(BM$3,$S$3:$AE$3,0),FALSE))*VLOOKUP(VLOOKUP($BJ273,坦克个性化设定!$B$18:$E$48,4,FALSE)&amp;$BK273,坦克属性分配比例,MATCH("部件比例",坦克属性分配比例标头,0),FALSE))*$BL273/VLOOKUP(VLOOKUP($BJ273,坦克个性化设定!$B$18:$E$48,4,FALSE)&amp;$BK273,坦克属性分配比例,MATCH("升星次数",坦克属性分配比例标头,0),FALSE),0)</f>
        <v>#N/A</v>
      </c>
      <c r="BN273" s="103" t="e">
        <f ca="1">ROUND(VLOOKUP($BJ273&amp;"初始",$S$3:$AE$63,MATCH(BN$3,$S$3:$AE$3,0),FALSE)+(VLOOKUP($BJ273&amp;"最终",$S$3:$AE$63,MATCH(BN$3,$S$3:$AE$3,0),FALSE)-VLOOKUP($BJ273&amp;"初始",$S$3:$AE$63,MATCH(BN$3,$S$3:$AE$3,0),FALSE))*$BL273/VLOOKUP(VLOOKUP($BJ273,坦克个性化设定!$B$18:$E$48,4,FALSE)&amp;$BK273,坦克属性分配比例,MATCH("升星次数",坦克属性分配比例标头,0),FALSE)*VLOOKUP(VLOOKUP($BJ273,坦克个性化设定!$B$18:$E$48,4,FALSE)&amp;$BK273,坦克属性分配比例,MATCH("升星比例",坦克属性分配比例标头,0),FALSE),0)</f>
        <v>#N/A</v>
      </c>
      <c r="BO273" s="103" t="e">
        <f ca="1">ROUND(VLOOKUP($BJ273&amp;"初始",$S$3:$AE$63,MATCH(BO$3,$S$3:$AE$3,0),FALSE)+(VLOOKUP($BJ273&amp;"最终",$S$3:$AE$63,MATCH(BO$3,$S$3:$AE$3,0),FALSE)-VLOOKUP($BJ273&amp;"初始",$S$3:$AE$63,MATCH(BO$3,$S$3:$AE$3,0),FALSE))*$BL273/VLOOKUP(VLOOKUP($BJ273,坦克个性化设定!$B$18:$E$48,4,FALSE)&amp;$BK273,坦克属性分配比例,MATCH("升星次数",坦克属性分配比例标头,0),FALSE)*(VLOOKUP(VLOOKUP($BJ273,坦克个性化设定!$B$18:$E$48,4,FALSE)&amp;$BK273,坦克属性分配比例,MATCH("升星比例",坦克属性分配比例标头,0),FALSE)+VLOOKUP(VLOOKUP($BJ273,坦克个性化设定!$B$18:$E$48,4,FALSE)&amp;$BK273,坦克属性分配比例,MATCH("部件比例",坦克属性分配比例标头,0),FALSE)*$C$3),0)</f>
        <v>#N/A</v>
      </c>
      <c r="BP273" s="103" t="e">
        <f ca="1">ROUND(VLOOKUP($BJ273&amp;"初始",$S$3:$AE$63,MATCH(BP$3,$S$3:$AE$3,0),FALSE)+(VLOOKUP($BJ273&amp;"最终",$S$3:$AE$63,MATCH(BP$3,$S$3:$AE$3,0),FALSE)-VLOOKUP($BJ273&amp;"初始",$S$3:$AE$63,MATCH(BP$3,$S$3:$AE$3,0),FALSE))*$BL273/VLOOKUP(VLOOKUP($BJ273,坦克个性化设定!$B$18:$E$48,4,FALSE)&amp;$BK273,坦克属性分配比例,MATCH("升星次数",坦克属性分配比例标头,0),FALSE)*(VLOOKUP(VLOOKUP($BJ273,坦克个性化设定!$B$18:$E$48,4,FALSE)&amp;$BK273,坦克属性分配比例,MATCH("升星比例",坦克属性分配比例标头,0),FALSE)+VLOOKUP(VLOOKUP($BJ273,坦克个性化设定!$B$18:$E$48,4,FALSE)&amp;$BK273,坦克属性分配比例,MATCH("部件比例",坦克属性分配比例标头,0),FALSE)*$C$3),0)</f>
        <v>#N/A</v>
      </c>
      <c r="BQ273" s="103" t="e">
        <f ca="1">ROUND(VLOOKUP($BJ273&amp;"初始",$S$3:$AE$63,MATCH(BQ$3,$S$3:$AE$3,0),FALSE)+(VLOOKUP($BJ273&amp;"最终",$S$3:$AE$63,MATCH(BQ$3,$S$3:$AE$3,0),FALSE)-VLOOKUP($BJ273&amp;"初始",$S$3:$AE$63,MATCH(BQ$3,$S$3:$AE$3,0),FALSE))*$BL273/VLOOKUP(VLOOKUP($BJ273,坦克个性化设定!$B$18:$E$48,4,FALSE)&amp;$BK273,坦克属性分配比例,MATCH("升星次数",坦克属性分配比例标头,0),FALSE)*VLOOKUP(VLOOKUP($BJ273,坦克个性化设定!$B$18:$E$48,4,FALSE)&amp;$BK273,坦克属性分配比例,MATCH("升星比例",坦克属性分配比例标头,0),FALSE),0)</f>
        <v>#N/A</v>
      </c>
      <c r="BR273" s="2" t="e">
        <f ca="1">ROUND(VLOOKUP($BJ273&amp;"初始",$S$3:$AE$63,MATCH(BR$3,$S$3:$AE$3,0),FALSE)+(VLOOKUP($BJ273&amp;"最终",$S$3:$AE$63,MATCH(BR$3,$S$3:$AE$3,0),FALSE)-VLOOKUP($BJ273&amp;"初始",$S$3:$AE$63,MATCH(BR$3,$S$3:$AE$3,0),FALSE))*$BL273/VLOOKUP(VLOOKUP($BJ273,坦克个性化设定!$B$18:$E$48,4,FALSE)&amp;$BK273,坦克属性分配比例,MATCH("升星次数",坦克属性分配比例标头,0),FALSE),0)</f>
        <v>#N/A</v>
      </c>
      <c r="BS273" s="2">
        <f>ROUND(VLOOKUP($BJ273,$AI$3:$AO$33,MATCH(BS$3,$AI$3:$AO$3,0),FALSE)+$BL273/VLOOKUP(VLOOKUP($BJ273,坦克个性化设定!$B$18:$E$48,4,FALSE)&amp;$BK273,坦克属性分配比例,MATCH("升星次数",坦克属性分配比例标头,0),FALSE)*VLOOKUP($BJ273,$AR$3:$AY$33,MATCH(BS$3,$AR$3:$AY$3,0),FALSE),1)</f>
        <v>32</v>
      </c>
      <c r="BT273" s="2">
        <f>ROUND(VLOOKUP($BJ273,$AI$3:$AO$33,MATCH(BT$3,$AI$3:$AO$3,0),FALSE)+$BL273/VLOOKUP(VLOOKUP($BJ273,坦克个性化设定!$B$18:$E$48,4,FALSE)&amp;$BK273,坦克属性分配比例,MATCH("升星次数",坦克属性分配比例标头,0),FALSE)*VLOOKUP($BJ273,$AR$3:$AY$33,MATCH(BT$3,$AR$3:$AY$3,0),FALSE),1)</f>
        <v>36.5</v>
      </c>
      <c r="BU273" s="2">
        <f>ROUND(VLOOKUP($BJ273,$AI$3:$AO$33,MATCH(BU$3,$AI$3:$AO$3,0),FALSE)+$BL273/VLOOKUP(VLOOKUP($BJ273,坦克个性化设定!$B$18:$E$48,4,FALSE)&amp;$BK273,坦克属性分配比例,MATCH("升星次数",坦克属性分配比例标头,0),FALSE)*VLOOKUP($BJ273,$AR$3:$AY$33,MATCH(BU$3,$AR$3:$AY$3,0),FALSE),1)</f>
        <v>6.4</v>
      </c>
      <c r="BV273" s="2">
        <f>IF(VLOOKUP(BJ273,坦克个性化设定!$B$18:$BC$48,MATCH("装弹类型",坦克个性化设定!$B$18:$BC$18,0),FALSE)="弹夹换弹",0,ROUND(VLOOKUP($BJ273,$AI$3:$AO$33,MATCH("换弹时间",$AI$3:$AO$3,0),FALSE)-$BL273/VLOOKUP(VLOOKUP($BJ273,坦克个性化设定!$B$18:$E$48,4,FALSE)&amp;$BK273,坦克属性分配比例,MATCH("升星次数",坦克属性分配比例标头,0),FALSE)*VLOOKUP($BJ273,$AR$3:$AY$33,MATCH("换弹时间",$AR$3:$AY$3,0),FALSE),2))</f>
        <v>4.4400000000000004</v>
      </c>
      <c r="BW273" s="2">
        <f>IF(VLOOKUP(BJ273,坦克个性化设定!$B$18:$BC$48,MATCH("装弹类型",坦克个性化设定!$B$18:$BC$18,0),FALSE)="弹夹换弹",ROUND(VLOOKUP($BJ273,$AI$3:$AO$33,MATCH("换弹时间",$AI$3:$AO$3,0),FALSE)-$BL273/VLOOKUP(VLOOKUP($BJ273,坦克个性化设定!$B$18:$E$48,4,FALSE)&amp;$BK273,坦克属性分配比例,MATCH("升星次数",坦克属性分配比例标头,0),FALSE)*VLOOKUP($BJ273,$AR$3:$AY$33,MATCH("换弹时间",$AR$3:$AY$3,0),FALSE),1),0)</f>
        <v>0</v>
      </c>
      <c r="BX273" s="2">
        <f>ROUND(VLOOKUP($BJ273,$AI$3:$AO$33,MATCH(BX$3,$AI$3:$AO$3,0),FALSE)+$BL273/VLOOKUP(VLOOKUP($BJ273,坦克个性化设定!$B$18:$E$48,4,FALSE)&amp;$BK273,坦克属性分配比例,MATCH("升星次数",坦克属性分配比例标头,0),FALSE)*VLOOKUP($BJ273,$AR$3:$AY$33,MATCH(BX$3,$AR$3:$AY$3,0),FALSE),2)</f>
        <v>2</v>
      </c>
      <c r="BY273" s="2">
        <f>ROUND(VLOOKUP($BJ273,$AI$3:$AO$33,MATCH(BY$3,$AI$3:$AO$3,0),FALSE)-$BL273/VLOOKUP(VLOOKUP($BJ273,坦克个性化设定!$B$18:$E$48,4,FALSE)&amp;$BK273,坦克属性分配比例,MATCH("升星次数",坦克属性分配比例标头,0),FALSE)*VLOOKUP($BJ273,$AR$3:$AY$33,MATCH(BY$3,$AR$3:$AY$3,0),FALSE),2)</f>
        <v>2.2200000000000002</v>
      </c>
    </row>
    <row r="274" spans="60:77" x14ac:dyDescent="0.3">
      <c r="BH274" s="2" t="str">
        <f t="shared" si="35"/>
        <v>IS-42</v>
      </c>
      <c r="BI274" s="2">
        <f>IF(BL273&gt;=VLOOKUP(VLOOKUP(BJ273,坦克个性化设定!$B$18:$E$48,4,FALSE)&amp;BK273,坦克属性分配比例,MATCH("升星次数",坦克属性分配比例标头,0),FALSE),BI273+1,BI273)</f>
        <v>28</v>
      </c>
      <c r="BJ274" s="2" t="str">
        <f t="shared" si="36"/>
        <v>IS-4</v>
      </c>
      <c r="BK274" s="29" t="str">
        <f>VLOOKUP(BJ274,坦克个性化细分!$I$3:$J$33,2,FALSE)</f>
        <v>中</v>
      </c>
      <c r="BL274" s="2">
        <f t="shared" si="37"/>
        <v>2</v>
      </c>
      <c r="BM274" s="103" t="e">
        <f ca="1">ROUND(VLOOKUP($BJ274&amp;"初始",$S$3:$AE$63,MATCH(BM$3,$S$3:$AE$3,0),FALSE)+((VLOOKUP($BJ274&amp;"最终",$S$3:$AE$63,MATCH(BM$3,$S$3:$AE$3,0),FALSE)*坦克个性化细分!$C$9-VLOOKUP($BJ274&amp;"初始",$S$3:$AE$63,MATCH(BM$3,$S$3:$AE$3,0),FALSE))-(VLOOKUP($BJ274&amp;"最终",$S$3:$AE$63,MATCH(BM$3,$S$3:$AE$3,0),FALSE)-VLOOKUP($BJ274&amp;"初始",$S$3:$AE$63,MATCH(BM$3,$S$3:$AE$3,0),FALSE))*VLOOKUP(VLOOKUP($BJ274,坦克个性化设定!$B$18:$E$48,4,FALSE)&amp;$BK274,坦克属性分配比例,MATCH("部件比例",坦克属性分配比例标头,0),FALSE))*$BL274/VLOOKUP(VLOOKUP($BJ274,坦克个性化设定!$B$18:$E$48,4,FALSE)&amp;$BK274,坦克属性分配比例,MATCH("升星次数",坦克属性分配比例标头,0),FALSE),0)</f>
        <v>#N/A</v>
      </c>
      <c r="BN274" s="103" t="e">
        <f ca="1">ROUND(VLOOKUP($BJ274&amp;"初始",$S$3:$AE$63,MATCH(BN$3,$S$3:$AE$3,0),FALSE)+(VLOOKUP($BJ274&amp;"最终",$S$3:$AE$63,MATCH(BN$3,$S$3:$AE$3,0),FALSE)-VLOOKUP($BJ274&amp;"初始",$S$3:$AE$63,MATCH(BN$3,$S$3:$AE$3,0),FALSE))*$BL274/VLOOKUP(VLOOKUP($BJ274,坦克个性化设定!$B$18:$E$48,4,FALSE)&amp;$BK274,坦克属性分配比例,MATCH("升星次数",坦克属性分配比例标头,0),FALSE)*VLOOKUP(VLOOKUP($BJ274,坦克个性化设定!$B$18:$E$48,4,FALSE)&amp;$BK274,坦克属性分配比例,MATCH("升星比例",坦克属性分配比例标头,0),FALSE),0)</f>
        <v>#N/A</v>
      </c>
      <c r="BO274" s="103" t="e">
        <f ca="1">ROUND(VLOOKUP($BJ274&amp;"初始",$S$3:$AE$63,MATCH(BO$3,$S$3:$AE$3,0),FALSE)+(VLOOKUP($BJ274&amp;"最终",$S$3:$AE$63,MATCH(BO$3,$S$3:$AE$3,0),FALSE)-VLOOKUP($BJ274&amp;"初始",$S$3:$AE$63,MATCH(BO$3,$S$3:$AE$3,0),FALSE))*$BL274/VLOOKUP(VLOOKUP($BJ274,坦克个性化设定!$B$18:$E$48,4,FALSE)&amp;$BK274,坦克属性分配比例,MATCH("升星次数",坦克属性分配比例标头,0),FALSE)*(VLOOKUP(VLOOKUP($BJ274,坦克个性化设定!$B$18:$E$48,4,FALSE)&amp;$BK274,坦克属性分配比例,MATCH("升星比例",坦克属性分配比例标头,0),FALSE)+VLOOKUP(VLOOKUP($BJ274,坦克个性化设定!$B$18:$E$48,4,FALSE)&amp;$BK274,坦克属性分配比例,MATCH("部件比例",坦克属性分配比例标头,0),FALSE)*$C$3),0)</f>
        <v>#N/A</v>
      </c>
      <c r="BP274" s="103" t="e">
        <f ca="1">ROUND(VLOOKUP($BJ274&amp;"初始",$S$3:$AE$63,MATCH(BP$3,$S$3:$AE$3,0),FALSE)+(VLOOKUP($BJ274&amp;"最终",$S$3:$AE$63,MATCH(BP$3,$S$3:$AE$3,0),FALSE)-VLOOKUP($BJ274&amp;"初始",$S$3:$AE$63,MATCH(BP$3,$S$3:$AE$3,0),FALSE))*$BL274/VLOOKUP(VLOOKUP($BJ274,坦克个性化设定!$B$18:$E$48,4,FALSE)&amp;$BK274,坦克属性分配比例,MATCH("升星次数",坦克属性分配比例标头,0),FALSE)*(VLOOKUP(VLOOKUP($BJ274,坦克个性化设定!$B$18:$E$48,4,FALSE)&amp;$BK274,坦克属性分配比例,MATCH("升星比例",坦克属性分配比例标头,0),FALSE)+VLOOKUP(VLOOKUP($BJ274,坦克个性化设定!$B$18:$E$48,4,FALSE)&amp;$BK274,坦克属性分配比例,MATCH("部件比例",坦克属性分配比例标头,0),FALSE)*$C$3),0)</f>
        <v>#N/A</v>
      </c>
      <c r="BQ274" s="103" t="e">
        <f ca="1">ROUND(VLOOKUP($BJ274&amp;"初始",$S$3:$AE$63,MATCH(BQ$3,$S$3:$AE$3,0),FALSE)+(VLOOKUP($BJ274&amp;"最终",$S$3:$AE$63,MATCH(BQ$3,$S$3:$AE$3,0),FALSE)-VLOOKUP($BJ274&amp;"初始",$S$3:$AE$63,MATCH(BQ$3,$S$3:$AE$3,0),FALSE))*$BL274/VLOOKUP(VLOOKUP($BJ274,坦克个性化设定!$B$18:$E$48,4,FALSE)&amp;$BK274,坦克属性分配比例,MATCH("升星次数",坦克属性分配比例标头,0),FALSE)*VLOOKUP(VLOOKUP($BJ274,坦克个性化设定!$B$18:$E$48,4,FALSE)&amp;$BK274,坦克属性分配比例,MATCH("升星比例",坦克属性分配比例标头,0),FALSE),0)</f>
        <v>#N/A</v>
      </c>
      <c r="BR274" s="2" t="e">
        <f ca="1">ROUND(VLOOKUP($BJ274&amp;"初始",$S$3:$AE$63,MATCH(BR$3,$S$3:$AE$3,0),FALSE)+(VLOOKUP($BJ274&amp;"最终",$S$3:$AE$63,MATCH(BR$3,$S$3:$AE$3,0),FALSE)-VLOOKUP($BJ274&amp;"初始",$S$3:$AE$63,MATCH(BR$3,$S$3:$AE$3,0),FALSE))*$BL274/VLOOKUP(VLOOKUP($BJ274,坦克个性化设定!$B$18:$E$48,4,FALSE)&amp;$BK274,坦克属性分配比例,MATCH("升星次数",坦克属性分配比例标头,0),FALSE),0)</f>
        <v>#N/A</v>
      </c>
      <c r="BS274" s="2">
        <f>ROUND(VLOOKUP($BJ274,$AI$3:$AO$33,MATCH(BS$3,$AI$3:$AO$3,0),FALSE)+$BL274/VLOOKUP(VLOOKUP($BJ274,坦克个性化设定!$B$18:$E$48,4,FALSE)&amp;$BK274,坦克属性分配比例,MATCH("升星次数",坦克属性分配比例标头,0),FALSE)*VLOOKUP($BJ274,$AR$3:$AY$33,MATCH(BS$3,$AR$3:$AY$3,0),FALSE),1)</f>
        <v>32.700000000000003</v>
      </c>
      <c r="BT274" s="2">
        <f>ROUND(VLOOKUP($BJ274,$AI$3:$AO$33,MATCH(BT$3,$AI$3:$AO$3,0),FALSE)+$BL274/VLOOKUP(VLOOKUP($BJ274,坦克个性化设定!$B$18:$E$48,4,FALSE)&amp;$BK274,坦克属性分配比例,MATCH("升星次数",坦克属性分配比例标头,0),FALSE)*VLOOKUP($BJ274,$AR$3:$AY$33,MATCH(BT$3,$AR$3:$AY$3,0),FALSE),1)</f>
        <v>37.299999999999997</v>
      </c>
      <c r="BU274" s="2">
        <f>ROUND(VLOOKUP($BJ274,$AI$3:$AO$33,MATCH(BU$3,$AI$3:$AO$3,0),FALSE)+$BL274/VLOOKUP(VLOOKUP($BJ274,坦克个性化设定!$B$18:$E$48,4,FALSE)&amp;$BK274,坦克属性分配比例,MATCH("升星次数",坦克属性分配比例标头,0),FALSE)*VLOOKUP($BJ274,$AR$3:$AY$33,MATCH(BU$3,$AR$3:$AY$3,0),FALSE),1)</f>
        <v>6.4</v>
      </c>
      <c r="BV274" s="2">
        <f>IF(VLOOKUP(BJ274,坦克个性化设定!$B$18:$BC$48,MATCH("装弹类型",坦克个性化设定!$B$18:$BC$18,0),FALSE)="弹夹换弹",0,ROUND(VLOOKUP($BJ274,$AI$3:$AO$33,MATCH("换弹时间",$AI$3:$AO$3,0),FALSE)-$BL274/VLOOKUP(VLOOKUP($BJ274,坦克个性化设定!$B$18:$E$48,4,FALSE)&amp;$BK274,坦克属性分配比例,MATCH("升星次数",坦克属性分配比例标头,0),FALSE)*VLOOKUP($BJ274,$AR$3:$AY$33,MATCH("换弹时间",$AR$3:$AY$3,0),FALSE),2))</f>
        <v>4.38</v>
      </c>
      <c r="BW274" s="2">
        <f>IF(VLOOKUP(BJ274,坦克个性化设定!$B$18:$BC$48,MATCH("装弹类型",坦克个性化设定!$B$18:$BC$18,0),FALSE)="弹夹换弹",ROUND(VLOOKUP($BJ274,$AI$3:$AO$33,MATCH("换弹时间",$AI$3:$AO$3,0),FALSE)-$BL274/VLOOKUP(VLOOKUP($BJ274,坦克个性化设定!$B$18:$E$48,4,FALSE)&amp;$BK274,坦克属性分配比例,MATCH("升星次数",坦克属性分配比例标头,0),FALSE)*VLOOKUP($BJ274,$AR$3:$AY$33,MATCH("换弹时间",$AR$3:$AY$3,0),FALSE),1),0)</f>
        <v>0</v>
      </c>
      <c r="BX274" s="2">
        <f>ROUND(VLOOKUP($BJ274,$AI$3:$AO$33,MATCH(BX$3,$AI$3:$AO$3,0),FALSE)+$BL274/VLOOKUP(VLOOKUP($BJ274,坦克个性化设定!$B$18:$E$48,4,FALSE)&amp;$BK274,坦克属性分配比例,MATCH("升星次数",坦克属性分配比例标头,0),FALSE)*VLOOKUP($BJ274,$AR$3:$AY$33,MATCH(BX$3,$AR$3:$AY$3,0),FALSE),2)</f>
        <v>2</v>
      </c>
      <c r="BY274" s="2">
        <f>ROUND(VLOOKUP($BJ274,$AI$3:$AO$33,MATCH(BY$3,$AI$3:$AO$3,0),FALSE)-$BL274/VLOOKUP(VLOOKUP($BJ274,坦克个性化设定!$B$18:$E$48,4,FALSE)&amp;$BK274,坦克属性分配比例,MATCH("升星次数",坦克属性分配比例标头,0),FALSE)*VLOOKUP($BJ274,$AR$3:$AY$33,MATCH(BY$3,$AR$3:$AY$3,0),FALSE),2)</f>
        <v>2.1800000000000002</v>
      </c>
    </row>
    <row r="275" spans="60:77" x14ac:dyDescent="0.3">
      <c r="BH275" s="2" t="str">
        <f t="shared" si="35"/>
        <v>IS-43</v>
      </c>
      <c r="BI275" s="2">
        <f>IF(BL274&gt;=VLOOKUP(VLOOKUP(BJ274,坦克个性化设定!$B$18:$E$48,4,FALSE)&amp;BK274,坦克属性分配比例,MATCH("升星次数",坦克属性分配比例标头,0),FALSE),BI274+1,BI274)</f>
        <v>28</v>
      </c>
      <c r="BJ275" s="2" t="str">
        <f t="shared" si="36"/>
        <v>IS-4</v>
      </c>
      <c r="BK275" s="29" t="str">
        <f>VLOOKUP(BJ275,坦克个性化细分!$I$3:$J$33,2,FALSE)</f>
        <v>中</v>
      </c>
      <c r="BL275" s="2">
        <f t="shared" si="37"/>
        <v>3</v>
      </c>
      <c r="BM275" s="103" t="e">
        <f ca="1">ROUND(VLOOKUP($BJ275&amp;"初始",$S$3:$AE$63,MATCH(BM$3,$S$3:$AE$3,0),FALSE)+((VLOOKUP($BJ275&amp;"最终",$S$3:$AE$63,MATCH(BM$3,$S$3:$AE$3,0),FALSE)*坦克个性化细分!$C$9-VLOOKUP($BJ275&amp;"初始",$S$3:$AE$63,MATCH(BM$3,$S$3:$AE$3,0),FALSE))-(VLOOKUP($BJ275&amp;"最终",$S$3:$AE$63,MATCH(BM$3,$S$3:$AE$3,0),FALSE)-VLOOKUP($BJ275&amp;"初始",$S$3:$AE$63,MATCH(BM$3,$S$3:$AE$3,0),FALSE))*VLOOKUP(VLOOKUP($BJ275,坦克个性化设定!$B$18:$E$48,4,FALSE)&amp;$BK275,坦克属性分配比例,MATCH("部件比例",坦克属性分配比例标头,0),FALSE))*$BL275/VLOOKUP(VLOOKUP($BJ275,坦克个性化设定!$B$18:$E$48,4,FALSE)&amp;$BK275,坦克属性分配比例,MATCH("升星次数",坦克属性分配比例标头,0),FALSE),0)</f>
        <v>#N/A</v>
      </c>
      <c r="BN275" s="103" t="e">
        <f ca="1">ROUND(VLOOKUP($BJ275&amp;"初始",$S$3:$AE$63,MATCH(BN$3,$S$3:$AE$3,0),FALSE)+(VLOOKUP($BJ275&amp;"最终",$S$3:$AE$63,MATCH(BN$3,$S$3:$AE$3,0),FALSE)-VLOOKUP($BJ275&amp;"初始",$S$3:$AE$63,MATCH(BN$3,$S$3:$AE$3,0),FALSE))*$BL275/VLOOKUP(VLOOKUP($BJ275,坦克个性化设定!$B$18:$E$48,4,FALSE)&amp;$BK275,坦克属性分配比例,MATCH("升星次数",坦克属性分配比例标头,0),FALSE)*VLOOKUP(VLOOKUP($BJ275,坦克个性化设定!$B$18:$E$48,4,FALSE)&amp;$BK275,坦克属性分配比例,MATCH("升星比例",坦克属性分配比例标头,0),FALSE),0)</f>
        <v>#N/A</v>
      </c>
      <c r="BO275" s="103" t="e">
        <f ca="1">ROUND(VLOOKUP($BJ275&amp;"初始",$S$3:$AE$63,MATCH(BO$3,$S$3:$AE$3,0),FALSE)+(VLOOKUP($BJ275&amp;"最终",$S$3:$AE$63,MATCH(BO$3,$S$3:$AE$3,0),FALSE)-VLOOKUP($BJ275&amp;"初始",$S$3:$AE$63,MATCH(BO$3,$S$3:$AE$3,0),FALSE))*$BL275/VLOOKUP(VLOOKUP($BJ275,坦克个性化设定!$B$18:$E$48,4,FALSE)&amp;$BK275,坦克属性分配比例,MATCH("升星次数",坦克属性分配比例标头,0),FALSE)*(VLOOKUP(VLOOKUP($BJ275,坦克个性化设定!$B$18:$E$48,4,FALSE)&amp;$BK275,坦克属性分配比例,MATCH("升星比例",坦克属性分配比例标头,0),FALSE)+VLOOKUP(VLOOKUP($BJ275,坦克个性化设定!$B$18:$E$48,4,FALSE)&amp;$BK275,坦克属性分配比例,MATCH("部件比例",坦克属性分配比例标头,0),FALSE)*$C$3),0)</f>
        <v>#N/A</v>
      </c>
      <c r="BP275" s="103" t="e">
        <f ca="1">ROUND(VLOOKUP($BJ275&amp;"初始",$S$3:$AE$63,MATCH(BP$3,$S$3:$AE$3,0),FALSE)+(VLOOKUP($BJ275&amp;"最终",$S$3:$AE$63,MATCH(BP$3,$S$3:$AE$3,0),FALSE)-VLOOKUP($BJ275&amp;"初始",$S$3:$AE$63,MATCH(BP$3,$S$3:$AE$3,0),FALSE))*$BL275/VLOOKUP(VLOOKUP($BJ275,坦克个性化设定!$B$18:$E$48,4,FALSE)&amp;$BK275,坦克属性分配比例,MATCH("升星次数",坦克属性分配比例标头,0),FALSE)*(VLOOKUP(VLOOKUP($BJ275,坦克个性化设定!$B$18:$E$48,4,FALSE)&amp;$BK275,坦克属性分配比例,MATCH("升星比例",坦克属性分配比例标头,0),FALSE)+VLOOKUP(VLOOKUP($BJ275,坦克个性化设定!$B$18:$E$48,4,FALSE)&amp;$BK275,坦克属性分配比例,MATCH("部件比例",坦克属性分配比例标头,0),FALSE)*$C$3),0)</f>
        <v>#N/A</v>
      </c>
      <c r="BQ275" s="103" t="e">
        <f ca="1">ROUND(VLOOKUP($BJ275&amp;"初始",$S$3:$AE$63,MATCH(BQ$3,$S$3:$AE$3,0),FALSE)+(VLOOKUP($BJ275&amp;"最终",$S$3:$AE$63,MATCH(BQ$3,$S$3:$AE$3,0),FALSE)-VLOOKUP($BJ275&amp;"初始",$S$3:$AE$63,MATCH(BQ$3,$S$3:$AE$3,0),FALSE))*$BL275/VLOOKUP(VLOOKUP($BJ275,坦克个性化设定!$B$18:$E$48,4,FALSE)&amp;$BK275,坦克属性分配比例,MATCH("升星次数",坦克属性分配比例标头,0),FALSE)*VLOOKUP(VLOOKUP($BJ275,坦克个性化设定!$B$18:$E$48,4,FALSE)&amp;$BK275,坦克属性分配比例,MATCH("升星比例",坦克属性分配比例标头,0),FALSE),0)</f>
        <v>#N/A</v>
      </c>
      <c r="BR275" s="2" t="e">
        <f ca="1">ROUND(VLOOKUP($BJ275&amp;"初始",$S$3:$AE$63,MATCH(BR$3,$S$3:$AE$3,0),FALSE)+(VLOOKUP($BJ275&amp;"最终",$S$3:$AE$63,MATCH(BR$3,$S$3:$AE$3,0),FALSE)-VLOOKUP($BJ275&amp;"初始",$S$3:$AE$63,MATCH(BR$3,$S$3:$AE$3,0),FALSE))*$BL275/VLOOKUP(VLOOKUP($BJ275,坦克个性化设定!$B$18:$E$48,4,FALSE)&amp;$BK275,坦克属性分配比例,MATCH("升星次数",坦克属性分配比例标头,0),FALSE),0)</f>
        <v>#N/A</v>
      </c>
      <c r="BS275" s="2">
        <f>ROUND(VLOOKUP($BJ275,$AI$3:$AO$33,MATCH(BS$3,$AI$3:$AO$3,0),FALSE)+$BL275/VLOOKUP(VLOOKUP($BJ275,坦克个性化设定!$B$18:$E$48,4,FALSE)&amp;$BK275,坦克属性分配比例,MATCH("升星次数",坦克属性分配比例标头,0),FALSE)*VLOOKUP($BJ275,$AR$3:$AY$33,MATCH(BS$3,$AR$3:$AY$3,0),FALSE),1)</f>
        <v>33.4</v>
      </c>
      <c r="BT275" s="2">
        <f>ROUND(VLOOKUP($BJ275,$AI$3:$AO$33,MATCH(BT$3,$AI$3:$AO$3,0),FALSE)+$BL275/VLOOKUP(VLOOKUP($BJ275,坦克个性化设定!$B$18:$E$48,4,FALSE)&amp;$BK275,坦克属性分配比例,MATCH("升星次数",坦克属性分配比例标头,0),FALSE)*VLOOKUP($BJ275,$AR$3:$AY$33,MATCH(BT$3,$AR$3:$AY$3,0),FALSE),1)</f>
        <v>38.1</v>
      </c>
      <c r="BU275" s="2">
        <f>ROUND(VLOOKUP($BJ275,$AI$3:$AO$33,MATCH(BU$3,$AI$3:$AO$3,0),FALSE)+$BL275/VLOOKUP(VLOOKUP($BJ275,坦克个性化设定!$B$18:$E$48,4,FALSE)&amp;$BK275,坦克属性分配比例,MATCH("升星次数",坦克属性分配比例标头,0),FALSE)*VLOOKUP($BJ275,$AR$3:$AY$33,MATCH(BU$3,$AR$3:$AY$3,0),FALSE),1)</f>
        <v>6.4</v>
      </c>
      <c r="BV275" s="2">
        <f>IF(VLOOKUP(BJ275,坦克个性化设定!$B$18:$BC$48,MATCH("装弹类型",坦克个性化设定!$B$18:$BC$18,0),FALSE)="弹夹换弹",0,ROUND(VLOOKUP($BJ275,$AI$3:$AO$33,MATCH("换弹时间",$AI$3:$AO$3,0),FALSE)-$BL275/VLOOKUP(VLOOKUP($BJ275,坦克个性化设定!$B$18:$E$48,4,FALSE)&amp;$BK275,坦克属性分配比例,MATCH("升星次数",坦克属性分配比例标头,0),FALSE)*VLOOKUP($BJ275,$AR$3:$AY$33,MATCH("换弹时间",$AR$3:$AY$3,0),FALSE),2))</f>
        <v>4.32</v>
      </c>
      <c r="BW275" s="2">
        <f>IF(VLOOKUP(BJ275,坦克个性化设定!$B$18:$BC$48,MATCH("装弹类型",坦克个性化设定!$B$18:$BC$18,0),FALSE)="弹夹换弹",ROUND(VLOOKUP($BJ275,$AI$3:$AO$33,MATCH("换弹时间",$AI$3:$AO$3,0),FALSE)-$BL275/VLOOKUP(VLOOKUP($BJ275,坦克个性化设定!$B$18:$E$48,4,FALSE)&amp;$BK275,坦克属性分配比例,MATCH("升星次数",坦克属性分配比例标头,0),FALSE)*VLOOKUP($BJ275,$AR$3:$AY$33,MATCH("换弹时间",$AR$3:$AY$3,0),FALSE),1),0)</f>
        <v>0</v>
      </c>
      <c r="BX275" s="2">
        <f>ROUND(VLOOKUP($BJ275,$AI$3:$AO$33,MATCH(BX$3,$AI$3:$AO$3,0),FALSE)+$BL275/VLOOKUP(VLOOKUP($BJ275,坦克个性化设定!$B$18:$E$48,4,FALSE)&amp;$BK275,坦克属性分配比例,MATCH("升星次数",坦克属性分配比例标头,0),FALSE)*VLOOKUP($BJ275,$AR$3:$AY$33,MATCH(BX$3,$AR$3:$AY$3,0),FALSE),2)</f>
        <v>2</v>
      </c>
      <c r="BY275" s="2">
        <f>ROUND(VLOOKUP($BJ275,$AI$3:$AO$33,MATCH(BY$3,$AI$3:$AO$3,0),FALSE)-$BL275/VLOOKUP(VLOOKUP($BJ275,坦克个性化设定!$B$18:$E$48,4,FALSE)&amp;$BK275,坦克属性分配比例,MATCH("升星次数",坦克属性分配比例标头,0),FALSE)*VLOOKUP($BJ275,$AR$3:$AY$33,MATCH(BY$3,$AR$3:$AY$3,0),FALSE),2)</f>
        <v>2.15</v>
      </c>
    </row>
    <row r="276" spans="60:77" x14ac:dyDescent="0.3">
      <c r="BH276" s="2" t="str">
        <f t="shared" si="35"/>
        <v>IS-44</v>
      </c>
      <c r="BI276" s="2">
        <f>IF(BL275&gt;=VLOOKUP(VLOOKUP(BJ275,坦克个性化设定!$B$18:$E$48,4,FALSE)&amp;BK275,坦克属性分配比例,MATCH("升星次数",坦克属性分配比例标头,0),FALSE),BI275+1,BI275)</f>
        <v>28</v>
      </c>
      <c r="BJ276" s="2" t="str">
        <f t="shared" si="36"/>
        <v>IS-4</v>
      </c>
      <c r="BK276" s="29" t="str">
        <f>VLOOKUP(BJ276,坦克个性化细分!$I$3:$J$33,2,FALSE)</f>
        <v>中</v>
      </c>
      <c r="BL276" s="2">
        <f t="shared" si="37"/>
        <v>4</v>
      </c>
      <c r="BM276" s="103" t="e">
        <f ca="1">ROUND(VLOOKUP($BJ276&amp;"初始",$S$3:$AE$63,MATCH(BM$3,$S$3:$AE$3,0),FALSE)+((VLOOKUP($BJ276&amp;"最终",$S$3:$AE$63,MATCH(BM$3,$S$3:$AE$3,0),FALSE)*坦克个性化细分!$C$9-VLOOKUP($BJ276&amp;"初始",$S$3:$AE$63,MATCH(BM$3,$S$3:$AE$3,0),FALSE))-(VLOOKUP($BJ276&amp;"最终",$S$3:$AE$63,MATCH(BM$3,$S$3:$AE$3,0),FALSE)-VLOOKUP($BJ276&amp;"初始",$S$3:$AE$63,MATCH(BM$3,$S$3:$AE$3,0),FALSE))*VLOOKUP(VLOOKUP($BJ276,坦克个性化设定!$B$18:$E$48,4,FALSE)&amp;$BK276,坦克属性分配比例,MATCH("部件比例",坦克属性分配比例标头,0),FALSE))*$BL276/VLOOKUP(VLOOKUP($BJ276,坦克个性化设定!$B$18:$E$48,4,FALSE)&amp;$BK276,坦克属性分配比例,MATCH("升星次数",坦克属性分配比例标头,0),FALSE),0)</f>
        <v>#N/A</v>
      </c>
      <c r="BN276" s="103" t="e">
        <f ca="1">ROUND(VLOOKUP($BJ276&amp;"初始",$S$3:$AE$63,MATCH(BN$3,$S$3:$AE$3,0),FALSE)+(VLOOKUP($BJ276&amp;"最终",$S$3:$AE$63,MATCH(BN$3,$S$3:$AE$3,0),FALSE)-VLOOKUP($BJ276&amp;"初始",$S$3:$AE$63,MATCH(BN$3,$S$3:$AE$3,0),FALSE))*$BL276/VLOOKUP(VLOOKUP($BJ276,坦克个性化设定!$B$18:$E$48,4,FALSE)&amp;$BK276,坦克属性分配比例,MATCH("升星次数",坦克属性分配比例标头,0),FALSE)*VLOOKUP(VLOOKUP($BJ276,坦克个性化设定!$B$18:$E$48,4,FALSE)&amp;$BK276,坦克属性分配比例,MATCH("升星比例",坦克属性分配比例标头,0),FALSE),0)</f>
        <v>#N/A</v>
      </c>
      <c r="BO276" s="103" t="e">
        <f ca="1">ROUND(VLOOKUP($BJ276&amp;"初始",$S$3:$AE$63,MATCH(BO$3,$S$3:$AE$3,0),FALSE)+(VLOOKUP($BJ276&amp;"最终",$S$3:$AE$63,MATCH(BO$3,$S$3:$AE$3,0),FALSE)-VLOOKUP($BJ276&amp;"初始",$S$3:$AE$63,MATCH(BO$3,$S$3:$AE$3,0),FALSE))*$BL276/VLOOKUP(VLOOKUP($BJ276,坦克个性化设定!$B$18:$E$48,4,FALSE)&amp;$BK276,坦克属性分配比例,MATCH("升星次数",坦克属性分配比例标头,0),FALSE)*(VLOOKUP(VLOOKUP($BJ276,坦克个性化设定!$B$18:$E$48,4,FALSE)&amp;$BK276,坦克属性分配比例,MATCH("升星比例",坦克属性分配比例标头,0),FALSE)+VLOOKUP(VLOOKUP($BJ276,坦克个性化设定!$B$18:$E$48,4,FALSE)&amp;$BK276,坦克属性分配比例,MATCH("部件比例",坦克属性分配比例标头,0),FALSE)*$C$3),0)</f>
        <v>#N/A</v>
      </c>
      <c r="BP276" s="103" t="e">
        <f ca="1">ROUND(VLOOKUP($BJ276&amp;"初始",$S$3:$AE$63,MATCH(BP$3,$S$3:$AE$3,0),FALSE)+(VLOOKUP($BJ276&amp;"最终",$S$3:$AE$63,MATCH(BP$3,$S$3:$AE$3,0),FALSE)-VLOOKUP($BJ276&amp;"初始",$S$3:$AE$63,MATCH(BP$3,$S$3:$AE$3,0),FALSE))*$BL276/VLOOKUP(VLOOKUP($BJ276,坦克个性化设定!$B$18:$E$48,4,FALSE)&amp;$BK276,坦克属性分配比例,MATCH("升星次数",坦克属性分配比例标头,0),FALSE)*(VLOOKUP(VLOOKUP($BJ276,坦克个性化设定!$B$18:$E$48,4,FALSE)&amp;$BK276,坦克属性分配比例,MATCH("升星比例",坦克属性分配比例标头,0),FALSE)+VLOOKUP(VLOOKUP($BJ276,坦克个性化设定!$B$18:$E$48,4,FALSE)&amp;$BK276,坦克属性分配比例,MATCH("部件比例",坦克属性分配比例标头,0),FALSE)*$C$3),0)</f>
        <v>#N/A</v>
      </c>
      <c r="BQ276" s="103" t="e">
        <f ca="1">ROUND(VLOOKUP($BJ276&amp;"初始",$S$3:$AE$63,MATCH(BQ$3,$S$3:$AE$3,0),FALSE)+(VLOOKUP($BJ276&amp;"最终",$S$3:$AE$63,MATCH(BQ$3,$S$3:$AE$3,0),FALSE)-VLOOKUP($BJ276&amp;"初始",$S$3:$AE$63,MATCH(BQ$3,$S$3:$AE$3,0),FALSE))*$BL276/VLOOKUP(VLOOKUP($BJ276,坦克个性化设定!$B$18:$E$48,4,FALSE)&amp;$BK276,坦克属性分配比例,MATCH("升星次数",坦克属性分配比例标头,0),FALSE)*VLOOKUP(VLOOKUP($BJ276,坦克个性化设定!$B$18:$E$48,4,FALSE)&amp;$BK276,坦克属性分配比例,MATCH("升星比例",坦克属性分配比例标头,0),FALSE),0)</f>
        <v>#N/A</v>
      </c>
      <c r="BR276" s="2" t="e">
        <f ca="1">ROUND(VLOOKUP($BJ276&amp;"初始",$S$3:$AE$63,MATCH(BR$3,$S$3:$AE$3,0),FALSE)+(VLOOKUP($BJ276&amp;"最终",$S$3:$AE$63,MATCH(BR$3,$S$3:$AE$3,0),FALSE)-VLOOKUP($BJ276&amp;"初始",$S$3:$AE$63,MATCH(BR$3,$S$3:$AE$3,0),FALSE))*$BL276/VLOOKUP(VLOOKUP($BJ276,坦克个性化设定!$B$18:$E$48,4,FALSE)&amp;$BK276,坦克属性分配比例,MATCH("升星次数",坦克属性分配比例标头,0),FALSE),0)</f>
        <v>#N/A</v>
      </c>
      <c r="BS276" s="2">
        <f>ROUND(VLOOKUP($BJ276,$AI$3:$AO$33,MATCH(BS$3,$AI$3:$AO$3,0),FALSE)+$BL276/VLOOKUP(VLOOKUP($BJ276,坦克个性化设定!$B$18:$E$48,4,FALSE)&amp;$BK276,坦克属性分配比例,MATCH("升星次数",坦克属性分配比例标头,0),FALSE)*VLOOKUP($BJ276,$AR$3:$AY$33,MATCH(BS$3,$AR$3:$AY$3,0),FALSE),1)</f>
        <v>34.1</v>
      </c>
      <c r="BT276" s="2">
        <f>ROUND(VLOOKUP($BJ276,$AI$3:$AO$33,MATCH(BT$3,$AI$3:$AO$3,0),FALSE)+$BL276/VLOOKUP(VLOOKUP($BJ276,坦克个性化设定!$B$18:$E$48,4,FALSE)&amp;$BK276,坦克属性分配比例,MATCH("升星次数",坦克属性分配比例标头,0),FALSE)*VLOOKUP($BJ276,$AR$3:$AY$33,MATCH(BT$3,$AR$3:$AY$3,0),FALSE),1)</f>
        <v>38.9</v>
      </c>
      <c r="BU276" s="2">
        <f>ROUND(VLOOKUP($BJ276,$AI$3:$AO$33,MATCH(BU$3,$AI$3:$AO$3,0),FALSE)+$BL276/VLOOKUP(VLOOKUP($BJ276,坦克个性化设定!$B$18:$E$48,4,FALSE)&amp;$BK276,坦克属性分配比例,MATCH("升星次数",坦克属性分配比例标头,0),FALSE)*VLOOKUP($BJ276,$AR$3:$AY$33,MATCH(BU$3,$AR$3:$AY$3,0),FALSE),1)</f>
        <v>6.4</v>
      </c>
      <c r="BV276" s="2">
        <f>IF(VLOOKUP(BJ276,坦克个性化设定!$B$18:$BC$48,MATCH("装弹类型",坦克个性化设定!$B$18:$BC$18,0),FALSE)="弹夹换弹",0,ROUND(VLOOKUP($BJ276,$AI$3:$AO$33,MATCH("换弹时间",$AI$3:$AO$3,0),FALSE)-$BL276/VLOOKUP(VLOOKUP($BJ276,坦克个性化设定!$B$18:$E$48,4,FALSE)&amp;$BK276,坦克属性分配比例,MATCH("升星次数",坦克属性分配比例标头,0),FALSE)*VLOOKUP($BJ276,$AR$3:$AY$33,MATCH("换弹时间",$AR$3:$AY$3,0),FALSE),2))</f>
        <v>4.26</v>
      </c>
      <c r="BW276" s="2">
        <f>IF(VLOOKUP(BJ276,坦克个性化设定!$B$18:$BC$48,MATCH("装弹类型",坦克个性化设定!$B$18:$BC$18,0),FALSE)="弹夹换弹",ROUND(VLOOKUP($BJ276,$AI$3:$AO$33,MATCH("换弹时间",$AI$3:$AO$3,0),FALSE)-$BL276/VLOOKUP(VLOOKUP($BJ276,坦克个性化设定!$B$18:$E$48,4,FALSE)&amp;$BK276,坦克属性分配比例,MATCH("升星次数",坦克属性分配比例标头,0),FALSE)*VLOOKUP($BJ276,$AR$3:$AY$33,MATCH("换弹时间",$AR$3:$AY$3,0),FALSE),1),0)</f>
        <v>0</v>
      </c>
      <c r="BX276" s="2">
        <f>ROUND(VLOOKUP($BJ276,$AI$3:$AO$33,MATCH(BX$3,$AI$3:$AO$3,0),FALSE)+$BL276/VLOOKUP(VLOOKUP($BJ276,坦克个性化设定!$B$18:$E$48,4,FALSE)&amp;$BK276,坦克属性分配比例,MATCH("升星次数",坦克属性分配比例标头,0),FALSE)*VLOOKUP($BJ276,$AR$3:$AY$33,MATCH(BX$3,$AR$3:$AY$3,0),FALSE),2)</f>
        <v>2</v>
      </c>
      <c r="BY276" s="2">
        <f>ROUND(VLOOKUP($BJ276,$AI$3:$AO$33,MATCH(BY$3,$AI$3:$AO$3,0),FALSE)-$BL276/VLOOKUP(VLOOKUP($BJ276,坦克个性化设定!$B$18:$E$48,4,FALSE)&amp;$BK276,坦克属性分配比例,MATCH("升星次数",坦克属性分配比例标头,0),FALSE)*VLOOKUP($BJ276,$AR$3:$AY$33,MATCH(BY$3,$AR$3:$AY$3,0),FALSE),2)</f>
        <v>2.11</v>
      </c>
    </row>
    <row r="277" spans="60:77" x14ac:dyDescent="0.3">
      <c r="BH277" s="2" t="str">
        <f t="shared" si="35"/>
        <v>IS-45</v>
      </c>
      <c r="BI277" s="2">
        <f>IF(BL276&gt;=VLOOKUP(VLOOKUP(BJ276,坦克个性化设定!$B$18:$E$48,4,FALSE)&amp;BK276,坦克属性分配比例,MATCH("升星次数",坦克属性分配比例标头,0),FALSE),BI276+1,BI276)</f>
        <v>28</v>
      </c>
      <c r="BJ277" s="2" t="str">
        <f t="shared" si="36"/>
        <v>IS-4</v>
      </c>
      <c r="BK277" s="29" t="str">
        <f>VLOOKUP(BJ277,坦克个性化细分!$I$3:$J$33,2,FALSE)</f>
        <v>中</v>
      </c>
      <c r="BL277" s="2">
        <f t="shared" si="37"/>
        <v>5</v>
      </c>
      <c r="BM277" s="103" t="e">
        <f ca="1">ROUND(VLOOKUP($BJ277&amp;"初始",$S$3:$AE$63,MATCH(BM$3,$S$3:$AE$3,0),FALSE)+((VLOOKUP($BJ277&amp;"最终",$S$3:$AE$63,MATCH(BM$3,$S$3:$AE$3,0),FALSE)*坦克个性化细分!$C$9-VLOOKUP($BJ277&amp;"初始",$S$3:$AE$63,MATCH(BM$3,$S$3:$AE$3,0),FALSE))-(VLOOKUP($BJ277&amp;"最终",$S$3:$AE$63,MATCH(BM$3,$S$3:$AE$3,0),FALSE)-VLOOKUP($BJ277&amp;"初始",$S$3:$AE$63,MATCH(BM$3,$S$3:$AE$3,0),FALSE))*VLOOKUP(VLOOKUP($BJ277,坦克个性化设定!$B$18:$E$48,4,FALSE)&amp;$BK277,坦克属性分配比例,MATCH("部件比例",坦克属性分配比例标头,0),FALSE))*$BL277/VLOOKUP(VLOOKUP($BJ277,坦克个性化设定!$B$18:$E$48,4,FALSE)&amp;$BK277,坦克属性分配比例,MATCH("升星次数",坦克属性分配比例标头,0),FALSE),0)</f>
        <v>#N/A</v>
      </c>
      <c r="BN277" s="103" t="e">
        <f ca="1">ROUND(VLOOKUP($BJ277&amp;"初始",$S$3:$AE$63,MATCH(BN$3,$S$3:$AE$3,0),FALSE)+(VLOOKUP($BJ277&amp;"最终",$S$3:$AE$63,MATCH(BN$3,$S$3:$AE$3,0),FALSE)-VLOOKUP($BJ277&amp;"初始",$S$3:$AE$63,MATCH(BN$3,$S$3:$AE$3,0),FALSE))*$BL277/VLOOKUP(VLOOKUP($BJ277,坦克个性化设定!$B$18:$E$48,4,FALSE)&amp;$BK277,坦克属性分配比例,MATCH("升星次数",坦克属性分配比例标头,0),FALSE)*VLOOKUP(VLOOKUP($BJ277,坦克个性化设定!$B$18:$E$48,4,FALSE)&amp;$BK277,坦克属性分配比例,MATCH("升星比例",坦克属性分配比例标头,0),FALSE),0)</f>
        <v>#N/A</v>
      </c>
      <c r="BO277" s="103" t="e">
        <f ca="1">ROUND(VLOOKUP($BJ277&amp;"初始",$S$3:$AE$63,MATCH(BO$3,$S$3:$AE$3,0),FALSE)+(VLOOKUP($BJ277&amp;"最终",$S$3:$AE$63,MATCH(BO$3,$S$3:$AE$3,0),FALSE)-VLOOKUP($BJ277&amp;"初始",$S$3:$AE$63,MATCH(BO$3,$S$3:$AE$3,0),FALSE))*$BL277/VLOOKUP(VLOOKUP($BJ277,坦克个性化设定!$B$18:$E$48,4,FALSE)&amp;$BK277,坦克属性分配比例,MATCH("升星次数",坦克属性分配比例标头,0),FALSE)*(VLOOKUP(VLOOKUP($BJ277,坦克个性化设定!$B$18:$E$48,4,FALSE)&amp;$BK277,坦克属性分配比例,MATCH("升星比例",坦克属性分配比例标头,0),FALSE)+VLOOKUP(VLOOKUP($BJ277,坦克个性化设定!$B$18:$E$48,4,FALSE)&amp;$BK277,坦克属性分配比例,MATCH("部件比例",坦克属性分配比例标头,0),FALSE)*$C$3),0)</f>
        <v>#N/A</v>
      </c>
      <c r="BP277" s="103" t="e">
        <f ca="1">ROUND(VLOOKUP($BJ277&amp;"初始",$S$3:$AE$63,MATCH(BP$3,$S$3:$AE$3,0),FALSE)+(VLOOKUP($BJ277&amp;"最终",$S$3:$AE$63,MATCH(BP$3,$S$3:$AE$3,0),FALSE)-VLOOKUP($BJ277&amp;"初始",$S$3:$AE$63,MATCH(BP$3,$S$3:$AE$3,0),FALSE))*$BL277/VLOOKUP(VLOOKUP($BJ277,坦克个性化设定!$B$18:$E$48,4,FALSE)&amp;$BK277,坦克属性分配比例,MATCH("升星次数",坦克属性分配比例标头,0),FALSE)*(VLOOKUP(VLOOKUP($BJ277,坦克个性化设定!$B$18:$E$48,4,FALSE)&amp;$BK277,坦克属性分配比例,MATCH("升星比例",坦克属性分配比例标头,0),FALSE)+VLOOKUP(VLOOKUP($BJ277,坦克个性化设定!$B$18:$E$48,4,FALSE)&amp;$BK277,坦克属性分配比例,MATCH("部件比例",坦克属性分配比例标头,0),FALSE)*$C$3),0)</f>
        <v>#N/A</v>
      </c>
      <c r="BQ277" s="103" t="e">
        <f ca="1">ROUND(VLOOKUP($BJ277&amp;"初始",$S$3:$AE$63,MATCH(BQ$3,$S$3:$AE$3,0),FALSE)+(VLOOKUP($BJ277&amp;"最终",$S$3:$AE$63,MATCH(BQ$3,$S$3:$AE$3,0),FALSE)-VLOOKUP($BJ277&amp;"初始",$S$3:$AE$63,MATCH(BQ$3,$S$3:$AE$3,0),FALSE))*$BL277/VLOOKUP(VLOOKUP($BJ277,坦克个性化设定!$B$18:$E$48,4,FALSE)&amp;$BK277,坦克属性分配比例,MATCH("升星次数",坦克属性分配比例标头,0),FALSE)*VLOOKUP(VLOOKUP($BJ277,坦克个性化设定!$B$18:$E$48,4,FALSE)&amp;$BK277,坦克属性分配比例,MATCH("升星比例",坦克属性分配比例标头,0),FALSE),0)</f>
        <v>#N/A</v>
      </c>
      <c r="BR277" s="2" t="e">
        <f ca="1">ROUND(VLOOKUP($BJ277&amp;"初始",$S$3:$AE$63,MATCH(BR$3,$S$3:$AE$3,0),FALSE)+(VLOOKUP($BJ277&amp;"最终",$S$3:$AE$63,MATCH(BR$3,$S$3:$AE$3,0),FALSE)-VLOOKUP($BJ277&amp;"初始",$S$3:$AE$63,MATCH(BR$3,$S$3:$AE$3,0),FALSE))*$BL277/VLOOKUP(VLOOKUP($BJ277,坦克个性化设定!$B$18:$E$48,4,FALSE)&amp;$BK277,坦克属性分配比例,MATCH("升星次数",坦克属性分配比例标头,0),FALSE),0)</f>
        <v>#N/A</v>
      </c>
      <c r="BS277" s="2">
        <f>ROUND(VLOOKUP($BJ277,$AI$3:$AO$33,MATCH(BS$3,$AI$3:$AO$3,0),FALSE)+$BL277/VLOOKUP(VLOOKUP($BJ277,坦克个性化设定!$B$18:$E$48,4,FALSE)&amp;$BK277,坦克属性分配比例,MATCH("升星次数",坦克属性分配比例标头,0),FALSE)*VLOOKUP($BJ277,$AR$3:$AY$33,MATCH(BS$3,$AR$3:$AY$3,0),FALSE),1)</f>
        <v>34.9</v>
      </c>
      <c r="BT277" s="2">
        <f>ROUND(VLOOKUP($BJ277,$AI$3:$AO$33,MATCH(BT$3,$AI$3:$AO$3,0),FALSE)+$BL277/VLOOKUP(VLOOKUP($BJ277,坦克个性化设定!$B$18:$E$48,4,FALSE)&amp;$BK277,坦克属性分配比例,MATCH("升星次数",坦克属性分配比例标头,0),FALSE)*VLOOKUP($BJ277,$AR$3:$AY$33,MATCH(BT$3,$AR$3:$AY$3,0),FALSE),1)</f>
        <v>39.799999999999997</v>
      </c>
      <c r="BU277" s="2">
        <f>ROUND(VLOOKUP($BJ277,$AI$3:$AO$33,MATCH(BU$3,$AI$3:$AO$3,0),FALSE)+$BL277/VLOOKUP(VLOOKUP($BJ277,坦克个性化设定!$B$18:$E$48,4,FALSE)&amp;$BK277,坦克属性分配比例,MATCH("升星次数",坦克属性分配比例标头,0),FALSE)*VLOOKUP($BJ277,$AR$3:$AY$33,MATCH(BU$3,$AR$3:$AY$3,0),FALSE),1)</f>
        <v>6.4</v>
      </c>
      <c r="BV277" s="2">
        <f>IF(VLOOKUP(BJ277,坦克个性化设定!$B$18:$BC$48,MATCH("装弹类型",坦克个性化设定!$B$18:$BC$18,0),FALSE)="弹夹换弹",0,ROUND(VLOOKUP($BJ277,$AI$3:$AO$33,MATCH("换弹时间",$AI$3:$AO$3,0),FALSE)-$BL277/VLOOKUP(VLOOKUP($BJ277,坦克个性化设定!$B$18:$E$48,4,FALSE)&amp;$BK277,坦克属性分配比例,MATCH("升星次数",坦克属性分配比例标头,0),FALSE)*VLOOKUP($BJ277,$AR$3:$AY$33,MATCH("换弹时间",$AR$3:$AY$3,0),FALSE),2))</f>
        <v>4.2</v>
      </c>
      <c r="BW277" s="2">
        <f>IF(VLOOKUP(BJ277,坦克个性化设定!$B$18:$BC$48,MATCH("装弹类型",坦克个性化设定!$B$18:$BC$18,0),FALSE)="弹夹换弹",ROUND(VLOOKUP($BJ277,$AI$3:$AO$33,MATCH("换弹时间",$AI$3:$AO$3,0),FALSE)-$BL277/VLOOKUP(VLOOKUP($BJ277,坦克个性化设定!$B$18:$E$48,4,FALSE)&amp;$BK277,坦克属性分配比例,MATCH("升星次数",坦克属性分配比例标头,0),FALSE)*VLOOKUP($BJ277,$AR$3:$AY$33,MATCH("换弹时间",$AR$3:$AY$3,0),FALSE),1),0)</f>
        <v>0</v>
      </c>
      <c r="BX277" s="2">
        <f>ROUND(VLOOKUP($BJ277,$AI$3:$AO$33,MATCH(BX$3,$AI$3:$AO$3,0),FALSE)+$BL277/VLOOKUP(VLOOKUP($BJ277,坦克个性化设定!$B$18:$E$48,4,FALSE)&amp;$BK277,坦克属性分配比例,MATCH("升星次数",坦克属性分配比例标头,0),FALSE)*VLOOKUP($BJ277,$AR$3:$AY$33,MATCH(BX$3,$AR$3:$AY$3,0),FALSE),2)</f>
        <v>2</v>
      </c>
      <c r="BY277" s="2">
        <f>ROUND(VLOOKUP($BJ277,$AI$3:$AO$33,MATCH(BY$3,$AI$3:$AO$3,0),FALSE)-$BL277/VLOOKUP(VLOOKUP($BJ277,坦克个性化设定!$B$18:$E$48,4,FALSE)&amp;$BK277,坦克属性分配比例,MATCH("升星次数",坦克属性分配比例标头,0),FALSE)*VLOOKUP($BJ277,$AR$3:$AY$33,MATCH(BY$3,$AR$3:$AY$3,0),FALSE),2)</f>
        <v>2.08</v>
      </c>
    </row>
    <row r="278" spans="60:77" x14ac:dyDescent="0.3">
      <c r="BH278" s="2" t="str">
        <f t="shared" si="35"/>
        <v>IS-46</v>
      </c>
      <c r="BI278" s="2">
        <f>IF(BL277&gt;=VLOOKUP(VLOOKUP(BJ277,坦克个性化设定!$B$18:$E$48,4,FALSE)&amp;BK277,坦克属性分配比例,MATCH("升星次数",坦克属性分配比例标头,0),FALSE),BI277+1,BI277)</f>
        <v>28</v>
      </c>
      <c r="BJ278" s="2" t="str">
        <f t="shared" si="36"/>
        <v>IS-4</v>
      </c>
      <c r="BK278" s="29" t="str">
        <f>VLOOKUP(BJ278,坦克个性化细分!$I$3:$J$33,2,FALSE)</f>
        <v>中</v>
      </c>
      <c r="BL278" s="2">
        <f t="shared" si="37"/>
        <v>6</v>
      </c>
      <c r="BM278" s="103" t="e">
        <f ca="1">ROUND(VLOOKUP($BJ278&amp;"初始",$S$3:$AE$63,MATCH(BM$3,$S$3:$AE$3,0),FALSE)+((VLOOKUP($BJ278&amp;"最终",$S$3:$AE$63,MATCH(BM$3,$S$3:$AE$3,0),FALSE)*坦克个性化细分!$C$9-VLOOKUP($BJ278&amp;"初始",$S$3:$AE$63,MATCH(BM$3,$S$3:$AE$3,0),FALSE))-(VLOOKUP($BJ278&amp;"最终",$S$3:$AE$63,MATCH(BM$3,$S$3:$AE$3,0),FALSE)-VLOOKUP($BJ278&amp;"初始",$S$3:$AE$63,MATCH(BM$3,$S$3:$AE$3,0),FALSE))*VLOOKUP(VLOOKUP($BJ278,坦克个性化设定!$B$18:$E$48,4,FALSE)&amp;$BK278,坦克属性分配比例,MATCH("部件比例",坦克属性分配比例标头,0),FALSE))*$BL278/VLOOKUP(VLOOKUP($BJ278,坦克个性化设定!$B$18:$E$48,4,FALSE)&amp;$BK278,坦克属性分配比例,MATCH("升星次数",坦克属性分配比例标头,0),FALSE),0)</f>
        <v>#N/A</v>
      </c>
      <c r="BN278" s="103" t="e">
        <f ca="1">ROUND(VLOOKUP($BJ278&amp;"初始",$S$3:$AE$63,MATCH(BN$3,$S$3:$AE$3,0),FALSE)+(VLOOKUP($BJ278&amp;"最终",$S$3:$AE$63,MATCH(BN$3,$S$3:$AE$3,0),FALSE)-VLOOKUP($BJ278&amp;"初始",$S$3:$AE$63,MATCH(BN$3,$S$3:$AE$3,0),FALSE))*$BL278/VLOOKUP(VLOOKUP($BJ278,坦克个性化设定!$B$18:$E$48,4,FALSE)&amp;$BK278,坦克属性分配比例,MATCH("升星次数",坦克属性分配比例标头,0),FALSE)*VLOOKUP(VLOOKUP($BJ278,坦克个性化设定!$B$18:$E$48,4,FALSE)&amp;$BK278,坦克属性分配比例,MATCH("升星比例",坦克属性分配比例标头,0),FALSE),0)</f>
        <v>#N/A</v>
      </c>
      <c r="BO278" s="103" t="e">
        <f ca="1">ROUND(VLOOKUP($BJ278&amp;"初始",$S$3:$AE$63,MATCH(BO$3,$S$3:$AE$3,0),FALSE)+(VLOOKUP($BJ278&amp;"最终",$S$3:$AE$63,MATCH(BO$3,$S$3:$AE$3,0),FALSE)-VLOOKUP($BJ278&amp;"初始",$S$3:$AE$63,MATCH(BO$3,$S$3:$AE$3,0),FALSE))*$BL278/VLOOKUP(VLOOKUP($BJ278,坦克个性化设定!$B$18:$E$48,4,FALSE)&amp;$BK278,坦克属性分配比例,MATCH("升星次数",坦克属性分配比例标头,0),FALSE)*(VLOOKUP(VLOOKUP($BJ278,坦克个性化设定!$B$18:$E$48,4,FALSE)&amp;$BK278,坦克属性分配比例,MATCH("升星比例",坦克属性分配比例标头,0),FALSE)+VLOOKUP(VLOOKUP($BJ278,坦克个性化设定!$B$18:$E$48,4,FALSE)&amp;$BK278,坦克属性分配比例,MATCH("部件比例",坦克属性分配比例标头,0),FALSE)*$C$3),0)</f>
        <v>#N/A</v>
      </c>
      <c r="BP278" s="103" t="e">
        <f ca="1">ROUND(VLOOKUP($BJ278&amp;"初始",$S$3:$AE$63,MATCH(BP$3,$S$3:$AE$3,0),FALSE)+(VLOOKUP($BJ278&amp;"最终",$S$3:$AE$63,MATCH(BP$3,$S$3:$AE$3,0),FALSE)-VLOOKUP($BJ278&amp;"初始",$S$3:$AE$63,MATCH(BP$3,$S$3:$AE$3,0),FALSE))*$BL278/VLOOKUP(VLOOKUP($BJ278,坦克个性化设定!$B$18:$E$48,4,FALSE)&amp;$BK278,坦克属性分配比例,MATCH("升星次数",坦克属性分配比例标头,0),FALSE)*(VLOOKUP(VLOOKUP($BJ278,坦克个性化设定!$B$18:$E$48,4,FALSE)&amp;$BK278,坦克属性分配比例,MATCH("升星比例",坦克属性分配比例标头,0),FALSE)+VLOOKUP(VLOOKUP($BJ278,坦克个性化设定!$B$18:$E$48,4,FALSE)&amp;$BK278,坦克属性分配比例,MATCH("部件比例",坦克属性分配比例标头,0),FALSE)*$C$3),0)</f>
        <v>#N/A</v>
      </c>
      <c r="BQ278" s="103" t="e">
        <f ca="1">ROUND(VLOOKUP($BJ278&amp;"初始",$S$3:$AE$63,MATCH(BQ$3,$S$3:$AE$3,0),FALSE)+(VLOOKUP($BJ278&amp;"最终",$S$3:$AE$63,MATCH(BQ$3,$S$3:$AE$3,0),FALSE)-VLOOKUP($BJ278&amp;"初始",$S$3:$AE$63,MATCH(BQ$3,$S$3:$AE$3,0),FALSE))*$BL278/VLOOKUP(VLOOKUP($BJ278,坦克个性化设定!$B$18:$E$48,4,FALSE)&amp;$BK278,坦克属性分配比例,MATCH("升星次数",坦克属性分配比例标头,0),FALSE)*VLOOKUP(VLOOKUP($BJ278,坦克个性化设定!$B$18:$E$48,4,FALSE)&amp;$BK278,坦克属性分配比例,MATCH("升星比例",坦克属性分配比例标头,0),FALSE),0)</f>
        <v>#N/A</v>
      </c>
      <c r="BR278" s="2" t="e">
        <f ca="1">ROUND(VLOOKUP($BJ278&amp;"初始",$S$3:$AE$63,MATCH(BR$3,$S$3:$AE$3,0),FALSE)+(VLOOKUP($BJ278&amp;"最终",$S$3:$AE$63,MATCH(BR$3,$S$3:$AE$3,0),FALSE)-VLOOKUP($BJ278&amp;"初始",$S$3:$AE$63,MATCH(BR$3,$S$3:$AE$3,0),FALSE))*$BL278/VLOOKUP(VLOOKUP($BJ278,坦克个性化设定!$B$18:$E$48,4,FALSE)&amp;$BK278,坦克属性分配比例,MATCH("升星次数",坦克属性分配比例标头,0),FALSE),0)</f>
        <v>#N/A</v>
      </c>
      <c r="BS278" s="2">
        <f>ROUND(VLOOKUP($BJ278,$AI$3:$AO$33,MATCH(BS$3,$AI$3:$AO$3,0),FALSE)+$BL278/VLOOKUP(VLOOKUP($BJ278,坦克个性化设定!$B$18:$E$48,4,FALSE)&amp;$BK278,坦克属性分配比例,MATCH("升星次数",坦克属性分配比例标头,0),FALSE)*VLOOKUP($BJ278,$AR$3:$AY$33,MATCH(BS$3,$AR$3:$AY$3,0),FALSE),1)</f>
        <v>35.6</v>
      </c>
      <c r="BT278" s="2">
        <f>ROUND(VLOOKUP($BJ278,$AI$3:$AO$33,MATCH(BT$3,$AI$3:$AO$3,0),FALSE)+$BL278/VLOOKUP(VLOOKUP($BJ278,坦克个性化设定!$B$18:$E$48,4,FALSE)&amp;$BK278,坦克属性分配比例,MATCH("升星次数",坦克属性分配比例标头,0),FALSE)*VLOOKUP($BJ278,$AR$3:$AY$33,MATCH(BT$3,$AR$3:$AY$3,0),FALSE),1)</f>
        <v>40.6</v>
      </c>
      <c r="BU278" s="2">
        <f>ROUND(VLOOKUP($BJ278,$AI$3:$AO$33,MATCH(BU$3,$AI$3:$AO$3,0),FALSE)+$BL278/VLOOKUP(VLOOKUP($BJ278,坦克个性化设定!$B$18:$E$48,4,FALSE)&amp;$BK278,坦克属性分配比例,MATCH("升星次数",坦克属性分配比例标头,0),FALSE)*VLOOKUP($BJ278,$AR$3:$AY$33,MATCH(BU$3,$AR$3:$AY$3,0),FALSE),1)</f>
        <v>6.4</v>
      </c>
      <c r="BV278" s="2">
        <f>IF(VLOOKUP(BJ278,坦克个性化设定!$B$18:$BC$48,MATCH("装弹类型",坦克个性化设定!$B$18:$BC$18,0),FALSE)="弹夹换弹",0,ROUND(VLOOKUP($BJ278,$AI$3:$AO$33,MATCH("换弹时间",$AI$3:$AO$3,0),FALSE)-$BL278/VLOOKUP(VLOOKUP($BJ278,坦克个性化设定!$B$18:$E$48,4,FALSE)&amp;$BK278,坦克属性分配比例,MATCH("升星次数",坦克属性分配比例标头,0),FALSE)*VLOOKUP($BJ278,$AR$3:$AY$33,MATCH("换弹时间",$AR$3:$AY$3,0),FALSE),2))</f>
        <v>4.1399999999999997</v>
      </c>
      <c r="BW278" s="2">
        <f>IF(VLOOKUP(BJ278,坦克个性化设定!$B$18:$BC$48,MATCH("装弹类型",坦克个性化设定!$B$18:$BC$18,0),FALSE)="弹夹换弹",ROUND(VLOOKUP($BJ278,$AI$3:$AO$33,MATCH("换弹时间",$AI$3:$AO$3,0),FALSE)-$BL278/VLOOKUP(VLOOKUP($BJ278,坦克个性化设定!$B$18:$E$48,4,FALSE)&amp;$BK278,坦克属性分配比例,MATCH("升星次数",坦克属性分配比例标头,0),FALSE)*VLOOKUP($BJ278,$AR$3:$AY$33,MATCH("换弹时间",$AR$3:$AY$3,0),FALSE),1),0)</f>
        <v>0</v>
      </c>
      <c r="BX278" s="2">
        <f>ROUND(VLOOKUP($BJ278,$AI$3:$AO$33,MATCH(BX$3,$AI$3:$AO$3,0),FALSE)+$BL278/VLOOKUP(VLOOKUP($BJ278,坦克个性化设定!$B$18:$E$48,4,FALSE)&amp;$BK278,坦克属性分配比例,MATCH("升星次数",坦克属性分配比例标头,0),FALSE)*VLOOKUP($BJ278,$AR$3:$AY$33,MATCH(BX$3,$AR$3:$AY$3,0),FALSE),2)</f>
        <v>2</v>
      </c>
      <c r="BY278" s="2">
        <f>ROUND(VLOOKUP($BJ278,$AI$3:$AO$33,MATCH(BY$3,$AI$3:$AO$3,0),FALSE)-$BL278/VLOOKUP(VLOOKUP($BJ278,坦克个性化设定!$B$18:$E$48,4,FALSE)&amp;$BK278,坦克属性分配比例,MATCH("升星次数",坦克属性分配比例标头,0),FALSE)*VLOOKUP($BJ278,$AR$3:$AY$33,MATCH(BY$3,$AR$3:$AY$3,0),FALSE),2)</f>
        <v>2.0499999999999998</v>
      </c>
    </row>
    <row r="279" spans="60:77" x14ac:dyDescent="0.3">
      <c r="BH279" s="2" t="str">
        <f t="shared" si="35"/>
        <v>IS-47</v>
      </c>
      <c r="BI279" s="2">
        <f>IF(BL278&gt;=VLOOKUP(VLOOKUP(BJ278,坦克个性化设定!$B$18:$E$48,4,FALSE)&amp;BK278,坦克属性分配比例,MATCH("升星次数",坦克属性分配比例标头,0),FALSE),BI278+1,BI278)</f>
        <v>28</v>
      </c>
      <c r="BJ279" s="2" t="str">
        <f t="shared" si="36"/>
        <v>IS-4</v>
      </c>
      <c r="BK279" s="29" t="str">
        <f>VLOOKUP(BJ279,坦克个性化细分!$I$3:$J$33,2,FALSE)</f>
        <v>中</v>
      </c>
      <c r="BL279" s="2">
        <f t="shared" si="37"/>
        <v>7</v>
      </c>
      <c r="BM279" s="103" t="e">
        <f ca="1">ROUND(VLOOKUP($BJ279&amp;"初始",$S$3:$AE$63,MATCH(BM$3,$S$3:$AE$3,0),FALSE)+((VLOOKUP($BJ279&amp;"最终",$S$3:$AE$63,MATCH(BM$3,$S$3:$AE$3,0),FALSE)*坦克个性化细分!$C$9-VLOOKUP($BJ279&amp;"初始",$S$3:$AE$63,MATCH(BM$3,$S$3:$AE$3,0),FALSE))-(VLOOKUP($BJ279&amp;"最终",$S$3:$AE$63,MATCH(BM$3,$S$3:$AE$3,0),FALSE)-VLOOKUP($BJ279&amp;"初始",$S$3:$AE$63,MATCH(BM$3,$S$3:$AE$3,0),FALSE))*VLOOKUP(VLOOKUP($BJ279,坦克个性化设定!$B$18:$E$48,4,FALSE)&amp;$BK279,坦克属性分配比例,MATCH("部件比例",坦克属性分配比例标头,0),FALSE))*$BL279/VLOOKUP(VLOOKUP($BJ279,坦克个性化设定!$B$18:$E$48,4,FALSE)&amp;$BK279,坦克属性分配比例,MATCH("升星次数",坦克属性分配比例标头,0),FALSE),0)</f>
        <v>#N/A</v>
      </c>
      <c r="BN279" s="103" t="e">
        <f ca="1">ROUND(VLOOKUP($BJ279&amp;"初始",$S$3:$AE$63,MATCH(BN$3,$S$3:$AE$3,0),FALSE)+(VLOOKUP($BJ279&amp;"最终",$S$3:$AE$63,MATCH(BN$3,$S$3:$AE$3,0),FALSE)-VLOOKUP($BJ279&amp;"初始",$S$3:$AE$63,MATCH(BN$3,$S$3:$AE$3,0),FALSE))*$BL279/VLOOKUP(VLOOKUP($BJ279,坦克个性化设定!$B$18:$E$48,4,FALSE)&amp;$BK279,坦克属性分配比例,MATCH("升星次数",坦克属性分配比例标头,0),FALSE)*VLOOKUP(VLOOKUP($BJ279,坦克个性化设定!$B$18:$E$48,4,FALSE)&amp;$BK279,坦克属性分配比例,MATCH("升星比例",坦克属性分配比例标头,0),FALSE),0)</f>
        <v>#N/A</v>
      </c>
      <c r="BO279" s="103" t="e">
        <f ca="1">ROUND(VLOOKUP($BJ279&amp;"初始",$S$3:$AE$63,MATCH(BO$3,$S$3:$AE$3,0),FALSE)+(VLOOKUP($BJ279&amp;"最终",$S$3:$AE$63,MATCH(BO$3,$S$3:$AE$3,0),FALSE)-VLOOKUP($BJ279&amp;"初始",$S$3:$AE$63,MATCH(BO$3,$S$3:$AE$3,0),FALSE))*$BL279/VLOOKUP(VLOOKUP($BJ279,坦克个性化设定!$B$18:$E$48,4,FALSE)&amp;$BK279,坦克属性分配比例,MATCH("升星次数",坦克属性分配比例标头,0),FALSE)*(VLOOKUP(VLOOKUP($BJ279,坦克个性化设定!$B$18:$E$48,4,FALSE)&amp;$BK279,坦克属性分配比例,MATCH("升星比例",坦克属性分配比例标头,0),FALSE)+VLOOKUP(VLOOKUP($BJ279,坦克个性化设定!$B$18:$E$48,4,FALSE)&amp;$BK279,坦克属性分配比例,MATCH("部件比例",坦克属性分配比例标头,0),FALSE)*$C$3),0)</f>
        <v>#N/A</v>
      </c>
      <c r="BP279" s="103" t="e">
        <f ca="1">ROUND(VLOOKUP($BJ279&amp;"初始",$S$3:$AE$63,MATCH(BP$3,$S$3:$AE$3,0),FALSE)+(VLOOKUP($BJ279&amp;"最终",$S$3:$AE$63,MATCH(BP$3,$S$3:$AE$3,0),FALSE)-VLOOKUP($BJ279&amp;"初始",$S$3:$AE$63,MATCH(BP$3,$S$3:$AE$3,0),FALSE))*$BL279/VLOOKUP(VLOOKUP($BJ279,坦克个性化设定!$B$18:$E$48,4,FALSE)&amp;$BK279,坦克属性分配比例,MATCH("升星次数",坦克属性分配比例标头,0),FALSE)*(VLOOKUP(VLOOKUP($BJ279,坦克个性化设定!$B$18:$E$48,4,FALSE)&amp;$BK279,坦克属性分配比例,MATCH("升星比例",坦克属性分配比例标头,0),FALSE)+VLOOKUP(VLOOKUP($BJ279,坦克个性化设定!$B$18:$E$48,4,FALSE)&amp;$BK279,坦克属性分配比例,MATCH("部件比例",坦克属性分配比例标头,0),FALSE)*$C$3),0)</f>
        <v>#N/A</v>
      </c>
      <c r="BQ279" s="103" t="e">
        <f ca="1">ROUND(VLOOKUP($BJ279&amp;"初始",$S$3:$AE$63,MATCH(BQ$3,$S$3:$AE$3,0),FALSE)+(VLOOKUP($BJ279&amp;"最终",$S$3:$AE$63,MATCH(BQ$3,$S$3:$AE$3,0),FALSE)-VLOOKUP($BJ279&amp;"初始",$S$3:$AE$63,MATCH(BQ$3,$S$3:$AE$3,0),FALSE))*$BL279/VLOOKUP(VLOOKUP($BJ279,坦克个性化设定!$B$18:$E$48,4,FALSE)&amp;$BK279,坦克属性分配比例,MATCH("升星次数",坦克属性分配比例标头,0),FALSE)*VLOOKUP(VLOOKUP($BJ279,坦克个性化设定!$B$18:$E$48,4,FALSE)&amp;$BK279,坦克属性分配比例,MATCH("升星比例",坦克属性分配比例标头,0),FALSE),0)</f>
        <v>#N/A</v>
      </c>
      <c r="BR279" s="2" t="e">
        <f ca="1">ROUND(VLOOKUP($BJ279&amp;"初始",$S$3:$AE$63,MATCH(BR$3,$S$3:$AE$3,0),FALSE)+(VLOOKUP($BJ279&amp;"最终",$S$3:$AE$63,MATCH(BR$3,$S$3:$AE$3,0),FALSE)-VLOOKUP($BJ279&amp;"初始",$S$3:$AE$63,MATCH(BR$3,$S$3:$AE$3,0),FALSE))*$BL279/VLOOKUP(VLOOKUP($BJ279,坦克个性化设定!$B$18:$E$48,4,FALSE)&amp;$BK279,坦克属性分配比例,MATCH("升星次数",坦克属性分配比例标头,0),FALSE),0)</f>
        <v>#N/A</v>
      </c>
      <c r="BS279" s="2">
        <f>ROUND(VLOOKUP($BJ279,$AI$3:$AO$33,MATCH(BS$3,$AI$3:$AO$3,0),FALSE)+$BL279/VLOOKUP(VLOOKUP($BJ279,坦克个性化设定!$B$18:$E$48,4,FALSE)&amp;$BK279,坦克属性分配比例,MATCH("升星次数",坦克属性分配比例标头,0),FALSE)*VLOOKUP($BJ279,$AR$3:$AY$33,MATCH(BS$3,$AR$3:$AY$3,0),FALSE),1)</f>
        <v>36.299999999999997</v>
      </c>
      <c r="BT279" s="2">
        <f>ROUND(VLOOKUP($BJ279,$AI$3:$AO$33,MATCH(BT$3,$AI$3:$AO$3,0),FALSE)+$BL279/VLOOKUP(VLOOKUP($BJ279,坦克个性化设定!$B$18:$E$48,4,FALSE)&amp;$BK279,坦克属性分配比例,MATCH("升星次数",坦克属性分配比例标头,0),FALSE)*VLOOKUP($BJ279,$AR$3:$AY$33,MATCH(BT$3,$AR$3:$AY$3,0),FALSE),1)</f>
        <v>41.4</v>
      </c>
      <c r="BU279" s="2">
        <f>ROUND(VLOOKUP($BJ279,$AI$3:$AO$33,MATCH(BU$3,$AI$3:$AO$3,0),FALSE)+$BL279/VLOOKUP(VLOOKUP($BJ279,坦克个性化设定!$B$18:$E$48,4,FALSE)&amp;$BK279,坦克属性分配比例,MATCH("升星次数",坦克属性分配比例标头,0),FALSE)*VLOOKUP($BJ279,$AR$3:$AY$33,MATCH(BU$3,$AR$3:$AY$3,0),FALSE),1)</f>
        <v>6.4</v>
      </c>
      <c r="BV279" s="2">
        <f>IF(VLOOKUP(BJ279,坦克个性化设定!$B$18:$BC$48,MATCH("装弹类型",坦克个性化设定!$B$18:$BC$18,0),FALSE)="弹夹换弹",0,ROUND(VLOOKUP($BJ279,$AI$3:$AO$33,MATCH("换弹时间",$AI$3:$AO$3,0),FALSE)-$BL279/VLOOKUP(VLOOKUP($BJ279,坦克个性化设定!$B$18:$E$48,4,FALSE)&amp;$BK279,坦克属性分配比例,MATCH("升星次数",坦克属性分配比例标头,0),FALSE)*VLOOKUP($BJ279,$AR$3:$AY$33,MATCH("换弹时间",$AR$3:$AY$3,0),FALSE),2))</f>
        <v>4.08</v>
      </c>
      <c r="BW279" s="2">
        <f>IF(VLOOKUP(BJ279,坦克个性化设定!$B$18:$BC$48,MATCH("装弹类型",坦克个性化设定!$B$18:$BC$18,0),FALSE)="弹夹换弹",ROUND(VLOOKUP($BJ279,$AI$3:$AO$33,MATCH("换弹时间",$AI$3:$AO$3,0),FALSE)-$BL279/VLOOKUP(VLOOKUP($BJ279,坦克个性化设定!$B$18:$E$48,4,FALSE)&amp;$BK279,坦克属性分配比例,MATCH("升星次数",坦克属性分配比例标头,0),FALSE)*VLOOKUP($BJ279,$AR$3:$AY$33,MATCH("换弹时间",$AR$3:$AY$3,0),FALSE),1),0)</f>
        <v>0</v>
      </c>
      <c r="BX279" s="2">
        <f>ROUND(VLOOKUP($BJ279,$AI$3:$AO$33,MATCH(BX$3,$AI$3:$AO$3,0),FALSE)+$BL279/VLOOKUP(VLOOKUP($BJ279,坦克个性化设定!$B$18:$E$48,4,FALSE)&amp;$BK279,坦克属性分配比例,MATCH("升星次数",坦克属性分配比例标头,0),FALSE)*VLOOKUP($BJ279,$AR$3:$AY$33,MATCH(BX$3,$AR$3:$AY$3,0),FALSE),2)</f>
        <v>2</v>
      </c>
      <c r="BY279" s="2">
        <f>ROUND(VLOOKUP($BJ279,$AI$3:$AO$33,MATCH(BY$3,$AI$3:$AO$3,0),FALSE)-$BL279/VLOOKUP(VLOOKUP($BJ279,坦克个性化设定!$B$18:$E$48,4,FALSE)&amp;$BK279,坦克属性分配比例,MATCH("升星次数",坦克属性分配比例标头,0),FALSE)*VLOOKUP($BJ279,$AR$3:$AY$33,MATCH(BY$3,$AR$3:$AY$3,0),FALSE),2)</f>
        <v>2.0099999999999998</v>
      </c>
    </row>
    <row r="280" spans="60:77" x14ac:dyDescent="0.3">
      <c r="BH280" s="2" t="str">
        <f t="shared" si="35"/>
        <v>IS-48</v>
      </c>
      <c r="BI280" s="2">
        <f>IF(BL279&gt;=VLOOKUP(VLOOKUP(BJ279,坦克个性化设定!$B$18:$E$48,4,FALSE)&amp;BK279,坦克属性分配比例,MATCH("升星次数",坦克属性分配比例标头,0),FALSE),BI279+1,BI279)</f>
        <v>28</v>
      </c>
      <c r="BJ280" s="2" t="str">
        <f t="shared" si="36"/>
        <v>IS-4</v>
      </c>
      <c r="BK280" s="29" t="str">
        <f>VLOOKUP(BJ280,坦克个性化细分!$I$3:$J$33,2,FALSE)</f>
        <v>中</v>
      </c>
      <c r="BL280" s="2">
        <f t="shared" si="37"/>
        <v>8</v>
      </c>
      <c r="BM280" s="103" t="e">
        <f ca="1">ROUND(VLOOKUP($BJ280&amp;"初始",$S$3:$AE$63,MATCH(BM$3,$S$3:$AE$3,0),FALSE)+((VLOOKUP($BJ280&amp;"最终",$S$3:$AE$63,MATCH(BM$3,$S$3:$AE$3,0),FALSE)*坦克个性化细分!$C$9-VLOOKUP($BJ280&amp;"初始",$S$3:$AE$63,MATCH(BM$3,$S$3:$AE$3,0),FALSE))-(VLOOKUP($BJ280&amp;"最终",$S$3:$AE$63,MATCH(BM$3,$S$3:$AE$3,0),FALSE)-VLOOKUP($BJ280&amp;"初始",$S$3:$AE$63,MATCH(BM$3,$S$3:$AE$3,0),FALSE))*VLOOKUP(VLOOKUP($BJ280,坦克个性化设定!$B$18:$E$48,4,FALSE)&amp;$BK280,坦克属性分配比例,MATCH("部件比例",坦克属性分配比例标头,0),FALSE))*$BL280/VLOOKUP(VLOOKUP($BJ280,坦克个性化设定!$B$18:$E$48,4,FALSE)&amp;$BK280,坦克属性分配比例,MATCH("升星次数",坦克属性分配比例标头,0),FALSE),0)</f>
        <v>#N/A</v>
      </c>
      <c r="BN280" s="103" t="e">
        <f ca="1">ROUND(VLOOKUP($BJ280&amp;"初始",$S$3:$AE$63,MATCH(BN$3,$S$3:$AE$3,0),FALSE)+(VLOOKUP($BJ280&amp;"最终",$S$3:$AE$63,MATCH(BN$3,$S$3:$AE$3,0),FALSE)-VLOOKUP($BJ280&amp;"初始",$S$3:$AE$63,MATCH(BN$3,$S$3:$AE$3,0),FALSE))*$BL280/VLOOKUP(VLOOKUP($BJ280,坦克个性化设定!$B$18:$E$48,4,FALSE)&amp;$BK280,坦克属性分配比例,MATCH("升星次数",坦克属性分配比例标头,0),FALSE)*VLOOKUP(VLOOKUP($BJ280,坦克个性化设定!$B$18:$E$48,4,FALSE)&amp;$BK280,坦克属性分配比例,MATCH("升星比例",坦克属性分配比例标头,0),FALSE),0)</f>
        <v>#N/A</v>
      </c>
      <c r="BO280" s="103" t="e">
        <f ca="1">ROUND(VLOOKUP($BJ280&amp;"初始",$S$3:$AE$63,MATCH(BO$3,$S$3:$AE$3,0),FALSE)+(VLOOKUP($BJ280&amp;"最终",$S$3:$AE$63,MATCH(BO$3,$S$3:$AE$3,0),FALSE)-VLOOKUP($BJ280&amp;"初始",$S$3:$AE$63,MATCH(BO$3,$S$3:$AE$3,0),FALSE))*$BL280/VLOOKUP(VLOOKUP($BJ280,坦克个性化设定!$B$18:$E$48,4,FALSE)&amp;$BK280,坦克属性分配比例,MATCH("升星次数",坦克属性分配比例标头,0),FALSE)*(VLOOKUP(VLOOKUP($BJ280,坦克个性化设定!$B$18:$E$48,4,FALSE)&amp;$BK280,坦克属性分配比例,MATCH("升星比例",坦克属性分配比例标头,0),FALSE)+VLOOKUP(VLOOKUP($BJ280,坦克个性化设定!$B$18:$E$48,4,FALSE)&amp;$BK280,坦克属性分配比例,MATCH("部件比例",坦克属性分配比例标头,0),FALSE)*$C$3),0)</f>
        <v>#N/A</v>
      </c>
      <c r="BP280" s="103" t="e">
        <f ca="1">ROUND(VLOOKUP($BJ280&amp;"初始",$S$3:$AE$63,MATCH(BP$3,$S$3:$AE$3,0),FALSE)+(VLOOKUP($BJ280&amp;"最终",$S$3:$AE$63,MATCH(BP$3,$S$3:$AE$3,0),FALSE)-VLOOKUP($BJ280&amp;"初始",$S$3:$AE$63,MATCH(BP$3,$S$3:$AE$3,0),FALSE))*$BL280/VLOOKUP(VLOOKUP($BJ280,坦克个性化设定!$B$18:$E$48,4,FALSE)&amp;$BK280,坦克属性分配比例,MATCH("升星次数",坦克属性分配比例标头,0),FALSE)*(VLOOKUP(VLOOKUP($BJ280,坦克个性化设定!$B$18:$E$48,4,FALSE)&amp;$BK280,坦克属性分配比例,MATCH("升星比例",坦克属性分配比例标头,0),FALSE)+VLOOKUP(VLOOKUP($BJ280,坦克个性化设定!$B$18:$E$48,4,FALSE)&amp;$BK280,坦克属性分配比例,MATCH("部件比例",坦克属性分配比例标头,0),FALSE)*$C$3),0)</f>
        <v>#N/A</v>
      </c>
      <c r="BQ280" s="103" t="e">
        <f ca="1">ROUND(VLOOKUP($BJ280&amp;"初始",$S$3:$AE$63,MATCH(BQ$3,$S$3:$AE$3,0),FALSE)+(VLOOKUP($BJ280&amp;"最终",$S$3:$AE$63,MATCH(BQ$3,$S$3:$AE$3,0),FALSE)-VLOOKUP($BJ280&amp;"初始",$S$3:$AE$63,MATCH(BQ$3,$S$3:$AE$3,0),FALSE))*$BL280/VLOOKUP(VLOOKUP($BJ280,坦克个性化设定!$B$18:$E$48,4,FALSE)&amp;$BK280,坦克属性分配比例,MATCH("升星次数",坦克属性分配比例标头,0),FALSE)*VLOOKUP(VLOOKUP($BJ280,坦克个性化设定!$B$18:$E$48,4,FALSE)&amp;$BK280,坦克属性分配比例,MATCH("升星比例",坦克属性分配比例标头,0),FALSE),0)</f>
        <v>#N/A</v>
      </c>
      <c r="BR280" s="2" t="e">
        <f ca="1">ROUND(VLOOKUP($BJ280&amp;"初始",$S$3:$AE$63,MATCH(BR$3,$S$3:$AE$3,0),FALSE)+(VLOOKUP($BJ280&amp;"最终",$S$3:$AE$63,MATCH(BR$3,$S$3:$AE$3,0),FALSE)-VLOOKUP($BJ280&amp;"初始",$S$3:$AE$63,MATCH(BR$3,$S$3:$AE$3,0),FALSE))*$BL280/VLOOKUP(VLOOKUP($BJ280,坦克个性化设定!$B$18:$E$48,4,FALSE)&amp;$BK280,坦克属性分配比例,MATCH("升星次数",坦克属性分配比例标头,0),FALSE),0)</f>
        <v>#N/A</v>
      </c>
      <c r="BS280" s="2">
        <f>ROUND(VLOOKUP($BJ280,$AI$3:$AO$33,MATCH(BS$3,$AI$3:$AO$3,0),FALSE)+$BL280/VLOOKUP(VLOOKUP($BJ280,坦克个性化设定!$B$18:$E$48,4,FALSE)&amp;$BK280,坦克属性分配比例,MATCH("升星次数",坦克属性分配比例标头,0),FALSE)*VLOOKUP($BJ280,$AR$3:$AY$33,MATCH(BS$3,$AR$3:$AY$3,0),FALSE),1)</f>
        <v>37</v>
      </c>
      <c r="BT280" s="2">
        <f>ROUND(VLOOKUP($BJ280,$AI$3:$AO$33,MATCH(BT$3,$AI$3:$AO$3,0),FALSE)+$BL280/VLOOKUP(VLOOKUP($BJ280,坦克个性化设定!$B$18:$E$48,4,FALSE)&amp;$BK280,坦克属性分配比例,MATCH("升星次数",坦克属性分配比例标头,0),FALSE)*VLOOKUP($BJ280,$AR$3:$AY$33,MATCH(BT$3,$AR$3:$AY$3,0),FALSE),1)</f>
        <v>42.2</v>
      </c>
      <c r="BU280" s="2">
        <f>ROUND(VLOOKUP($BJ280,$AI$3:$AO$33,MATCH(BU$3,$AI$3:$AO$3,0),FALSE)+$BL280/VLOOKUP(VLOOKUP($BJ280,坦克个性化设定!$B$18:$E$48,4,FALSE)&amp;$BK280,坦克属性分配比例,MATCH("升星次数",坦克属性分配比例标头,0),FALSE)*VLOOKUP($BJ280,$AR$3:$AY$33,MATCH(BU$3,$AR$3:$AY$3,0),FALSE),1)</f>
        <v>6.4</v>
      </c>
      <c r="BV280" s="2">
        <f>IF(VLOOKUP(BJ280,坦克个性化设定!$B$18:$BC$48,MATCH("装弹类型",坦克个性化设定!$B$18:$BC$18,0),FALSE)="弹夹换弹",0,ROUND(VLOOKUP($BJ280,$AI$3:$AO$33,MATCH("换弹时间",$AI$3:$AO$3,0),FALSE)-$BL280/VLOOKUP(VLOOKUP($BJ280,坦克个性化设定!$B$18:$E$48,4,FALSE)&amp;$BK280,坦克属性分配比例,MATCH("升星次数",坦克属性分配比例标头,0),FALSE)*VLOOKUP($BJ280,$AR$3:$AY$33,MATCH("换弹时间",$AR$3:$AY$3,0),FALSE),2))</f>
        <v>4.0199999999999996</v>
      </c>
      <c r="BW280" s="2">
        <f>IF(VLOOKUP(BJ280,坦克个性化设定!$B$18:$BC$48,MATCH("装弹类型",坦克个性化设定!$B$18:$BC$18,0),FALSE)="弹夹换弹",ROUND(VLOOKUP($BJ280,$AI$3:$AO$33,MATCH("换弹时间",$AI$3:$AO$3,0),FALSE)-$BL280/VLOOKUP(VLOOKUP($BJ280,坦克个性化设定!$B$18:$E$48,4,FALSE)&amp;$BK280,坦克属性分配比例,MATCH("升星次数",坦克属性分配比例标头,0),FALSE)*VLOOKUP($BJ280,$AR$3:$AY$33,MATCH("换弹时间",$AR$3:$AY$3,0),FALSE),1),0)</f>
        <v>0</v>
      </c>
      <c r="BX280" s="2">
        <f>ROUND(VLOOKUP($BJ280,$AI$3:$AO$33,MATCH(BX$3,$AI$3:$AO$3,0),FALSE)+$BL280/VLOOKUP(VLOOKUP($BJ280,坦克个性化设定!$B$18:$E$48,4,FALSE)&amp;$BK280,坦克属性分配比例,MATCH("升星次数",坦克属性分配比例标头,0),FALSE)*VLOOKUP($BJ280,$AR$3:$AY$33,MATCH(BX$3,$AR$3:$AY$3,0),FALSE),2)</f>
        <v>2</v>
      </c>
      <c r="BY280" s="2">
        <f>ROUND(VLOOKUP($BJ280,$AI$3:$AO$33,MATCH(BY$3,$AI$3:$AO$3,0),FALSE)-$BL280/VLOOKUP(VLOOKUP($BJ280,坦克个性化设定!$B$18:$E$48,4,FALSE)&amp;$BK280,坦克属性分配比例,MATCH("升星次数",坦克属性分配比例标头,0),FALSE)*VLOOKUP($BJ280,$AR$3:$AY$33,MATCH(BY$3,$AR$3:$AY$3,0),FALSE),2)</f>
        <v>1.98</v>
      </c>
    </row>
    <row r="281" spans="60:77" x14ac:dyDescent="0.3">
      <c r="BH281" s="2" t="str">
        <f t="shared" si="35"/>
        <v>IS-49</v>
      </c>
      <c r="BI281" s="2">
        <f>IF(BL280&gt;=VLOOKUP(VLOOKUP(BJ280,坦克个性化设定!$B$18:$E$48,4,FALSE)&amp;BK280,坦克属性分配比例,MATCH("升星次数",坦克属性分配比例标头,0),FALSE),BI280+1,BI280)</f>
        <v>28</v>
      </c>
      <c r="BJ281" s="2" t="str">
        <f t="shared" si="36"/>
        <v>IS-4</v>
      </c>
      <c r="BK281" s="29" t="str">
        <f>VLOOKUP(BJ281,坦克个性化细分!$I$3:$J$33,2,FALSE)</f>
        <v>中</v>
      </c>
      <c r="BL281" s="2">
        <f t="shared" si="37"/>
        <v>9</v>
      </c>
      <c r="BM281" s="103" t="e">
        <f ca="1">ROUND(VLOOKUP($BJ281&amp;"初始",$S$3:$AE$63,MATCH(BM$3,$S$3:$AE$3,0),FALSE)+((VLOOKUP($BJ281&amp;"最终",$S$3:$AE$63,MATCH(BM$3,$S$3:$AE$3,0),FALSE)*坦克个性化细分!$C$9-VLOOKUP($BJ281&amp;"初始",$S$3:$AE$63,MATCH(BM$3,$S$3:$AE$3,0),FALSE))-(VLOOKUP($BJ281&amp;"最终",$S$3:$AE$63,MATCH(BM$3,$S$3:$AE$3,0),FALSE)-VLOOKUP($BJ281&amp;"初始",$S$3:$AE$63,MATCH(BM$3,$S$3:$AE$3,0),FALSE))*VLOOKUP(VLOOKUP($BJ281,坦克个性化设定!$B$18:$E$48,4,FALSE)&amp;$BK281,坦克属性分配比例,MATCH("部件比例",坦克属性分配比例标头,0),FALSE))*$BL281/VLOOKUP(VLOOKUP($BJ281,坦克个性化设定!$B$18:$E$48,4,FALSE)&amp;$BK281,坦克属性分配比例,MATCH("升星次数",坦克属性分配比例标头,0),FALSE),0)</f>
        <v>#N/A</v>
      </c>
      <c r="BN281" s="103" t="e">
        <f ca="1">ROUND(VLOOKUP($BJ281&amp;"初始",$S$3:$AE$63,MATCH(BN$3,$S$3:$AE$3,0),FALSE)+(VLOOKUP($BJ281&amp;"最终",$S$3:$AE$63,MATCH(BN$3,$S$3:$AE$3,0),FALSE)-VLOOKUP($BJ281&amp;"初始",$S$3:$AE$63,MATCH(BN$3,$S$3:$AE$3,0),FALSE))*$BL281/VLOOKUP(VLOOKUP($BJ281,坦克个性化设定!$B$18:$E$48,4,FALSE)&amp;$BK281,坦克属性分配比例,MATCH("升星次数",坦克属性分配比例标头,0),FALSE)*VLOOKUP(VLOOKUP($BJ281,坦克个性化设定!$B$18:$E$48,4,FALSE)&amp;$BK281,坦克属性分配比例,MATCH("升星比例",坦克属性分配比例标头,0),FALSE),0)</f>
        <v>#N/A</v>
      </c>
      <c r="BO281" s="103" t="e">
        <f ca="1">ROUND(VLOOKUP($BJ281&amp;"初始",$S$3:$AE$63,MATCH(BO$3,$S$3:$AE$3,0),FALSE)+(VLOOKUP($BJ281&amp;"最终",$S$3:$AE$63,MATCH(BO$3,$S$3:$AE$3,0),FALSE)-VLOOKUP($BJ281&amp;"初始",$S$3:$AE$63,MATCH(BO$3,$S$3:$AE$3,0),FALSE))*$BL281/VLOOKUP(VLOOKUP($BJ281,坦克个性化设定!$B$18:$E$48,4,FALSE)&amp;$BK281,坦克属性分配比例,MATCH("升星次数",坦克属性分配比例标头,0),FALSE)*(VLOOKUP(VLOOKUP($BJ281,坦克个性化设定!$B$18:$E$48,4,FALSE)&amp;$BK281,坦克属性分配比例,MATCH("升星比例",坦克属性分配比例标头,0),FALSE)+VLOOKUP(VLOOKUP($BJ281,坦克个性化设定!$B$18:$E$48,4,FALSE)&amp;$BK281,坦克属性分配比例,MATCH("部件比例",坦克属性分配比例标头,0),FALSE)*$C$3),0)</f>
        <v>#N/A</v>
      </c>
      <c r="BP281" s="103" t="e">
        <f ca="1">ROUND(VLOOKUP($BJ281&amp;"初始",$S$3:$AE$63,MATCH(BP$3,$S$3:$AE$3,0),FALSE)+(VLOOKUP($BJ281&amp;"最终",$S$3:$AE$63,MATCH(BP$3,$S$3:$AE$3,0),FALSE)-VLOOKUP($BJ281&amp;"初始",$S$3:$AE$63,MATCH(BP$3,$S$3:$AE$3,0),FALSE))*$BL281/VLOOKUP(VLOOKUP($BJ281,坦克个性化设定!$B$18:$E$48,4,FALSE)&amp;$BK281,坦克属性分配比例,MATCH("升星次数",坦克属性分配比例标头,0),FALSE)*(VLOOKUP(VLOOKUP($BJ281,坦克个性化设定!$B$18:$E$48,4,FALSE)&amp;$BK281,坦克属性分配比例,MATCH("升星比例",坦克属性分配比例标头,0),FALSE)+VLOOKUP(VLOOKUP($BJ281,坦克个性化设定!$B$18:$E$48,4,FALSE)&amp;$BK281,坦克属性分配比例,MATCH("部件比例",坦克属性分配比例标头,0),FALSE)*$C$3),0)</f>
        <v>#N/A</v>
      </c>
      <c r="BQ281" s="103" t="e">
        <f ca="1">ROUND(VLOOKUP($BJ281&amp;"初始",$S$3:$AE$63,MATCH(BQ$3,$S$3:$AE$3,0),FALSE)+(VLOOKUP($BJ281&amp;"最终",$S$3:$AE$63,MATCH(BQ$3,$S$3:$AE$3,0),FALSE)-VLOOKUP($BJ281&amp;"初始",$S$3:$AE$63,MATCH(BQ$3,$S$3:$AE$3,0),FALSE))*$BL281/VLOOKUP(VLOOKUP($BJ281,坦克个性化设定!$B$18:$E$48,4,FALSE)&amp;$BK281,坦克属性分配比例,MATCH("升星次数",坦克属性分配比例标头,0),FALSE)*VLOOKUP(VLOOKUP($BJ281,坦克个性化设定!$B$18:$E$48,4,FALSE)&amp;$BK281,坦克属性分配比例,MATCH("升星比例",坦克属性分配比例标头,0),FALSE),0)</f>
        <v>#N/A</v>
      </c>
      <c r="BR281" s="2" t="e">
        <f ca="1">ROUND(VLOOKUP($BJ281&amp;"初始",$S$3:$AE$63,MATCH(BR$3,$S$3:$AE$3,0),FALSE)+(VLOOKUP($BJ281&amp;"最终",$S$3:$AE$63,MATCH(BR$3,$S$3:$AE$3,0),FALSE)-VLOOKUP($BJ281&amp;"初始",$S$3:$AE$63,MATCH(BR$3,$S$3:$AE$3,0),FALSE))*$BL281/VLOOKUP(VLOOKUP($BJ281,坦克个性化设定!$B$18:$E$48,4,FALSE)&amp;$BK281,坦克属性分配比例,MATCH("升星次数",坦克属性分配比例标头,0),FALSE),0)</f>
        <v>#N/A</v>
      </c>
      <c r="BS281" s="2">
        <f>ROUND(VLOOKUP($BJ281,$AI$3:$AO$33,MATCH(BS$3,$AI$3:$AO$3,0),FALSE)+$BL281/VLOOKUP(VLOOKUP($BJ281,坦克个性化设定!$B$18:$E$48,4,FALSE)&amp;$BK281,坦克属性分配比例,MATCH("升星次数",坦克属性分配比例标头,0),FALSE)*VLOOKUP($BJ281,$AR$3:$AY$33,MATCH(BS$3,$AR$3:$AY$3,0),FALSE),1)</f>
        <v>37.700000000000003</v>
      </c>
      <c r="BT281" s="2">
        <f>ROUND(VLOOKUP($BJ281,$AI$3:$AO$33,MATCH(BT$3,$AI$3:$AO$3,0),FALSE)+$BL281/VLOOKUP(VLOOKUP($BJ281,坦克个性化设定!$B$18:$E$48,4,FALSE)&amp;$BK281,坦克属性分配比例,MATCH("升星次数",坦克属性分配比例标头,0),FALSE)*VLOOKUP($BJ281,$AR$3:$AY$33,MATCH(BT$3,$AR$3:$AY$3,0),FALSE),1)</f>
        <v>43</v>
      </c>
      <c r="BU281" s="2">
        <f>ROUND(VLOOKUP($BJ281,$AI$3:$AO$33,MATCH(BU$3,$AI$3:$AO$3,0),FALSE)+$BL281/VLOOKUP(VLOOKUP($BJ281,坦克个性化设定!$B$18:$E$48,4,FALSE)&amp;$BK281,坦克属性分配比例,MATCH("升星次数",坦克属性分配比例标头,0),FALSE)*VLOOKUP($BJ281,$AR$3:$AY$33,MATCH(BU$3,$AR$3:$AY$3,0),FALSE),1)</f>
        <v>6.4</v>
      </c>
      <c r="BV281" s="2">
        <f>IF(VLOOKUP(BJ281,坦克个性化设定!$B$18:$BC$48,MATCH("装弹类型",坦克个性化设定!$B$18:$BC$18,0),FALSE)="弹夹换弹",0,ROUND(VLOOKUP($BJ281,$AI$3:$AO$33,MATCH("换弹时间",$AI$3:$AO$3,0),FALSE)-$BL281/VLOOKUP(VLOOKUP($BJ281,坦克个性化设定!$B$18:$E$48,4,FALSE)&amp;$BK281,坦克属性分配比例,MATCH("升星次数",坦克属性分配比例标头,0),FALSE)*VLOOKUP($BJ281,$AR$3:$AY$33,MATCH("换弹时间",$AR$3:$AY$3,0),FALSE),2))</f>
        <v>3.96</v>
      </c>
      <c r="BW281" s="2">
        <f>IF(VLOOKUP(BJ281,坦克个性化设定!$B$18:$BC$48,MATCH("装弹类型",坦克个性化设定!$B$18:$BC$18,0),FALSE)="弹夹换弹",ROUND(VLOOKUP($BJ281,$AI$3:$AO$33,MATCH("换弹时间",$AI$3:$AO$3,0),FALSE)-$BL281/VLOOKUP(VLOOKUP($BJ281,坦克个性化设定!$B$18:$E$48,4,FALSE)&amp;$BK281,坦克属性分配比例,MATCH("升星次数",坦克属性分配比例标头,0),FALSE)*VLOOKUP($BJ281,$AR$3:$AY$33,MATCH("换弹时间",$AR$3:$AY$3,0),FALSE),1),0)</f>
        <v>0</v>
      </c>
      <c r="BX281" s="2">
        <f>ROUND(VLOOKUP($BJ281,$AI$3:$AO$33,MATCH(BX$3,$AI$3:$AO$3,0),FALSE)+$BL281/VLOOKUP(VLOOKUP($BJ281,坦克个性化设定!$B$18:$E$48,4,FALSE)&amp;$BK281,坦克属性分配比例,MATCH("升星次数",坦克属性分配比例标头,0),FALSE)*VLOOKUP($BJ281,$AR$3:$AY$33,MATCH(BX$3,$AR$3:$AY$3,0),FALSE),2)</f>
        <v>2</v>
      </c>
      <c r="BY281" s="2">
        <f>ROUND(VLOOKUP($BJ281,$AI$3:$AO$33,MATCH(BY$3,$AI$3:$AO$3,0),FALSE)-$BL281/VLOOKUP(VLOOKUP($BJ281,坦克个性化设定!$B$18:$E$48,4,FALSE)&amp;$BK281,坦克属性分配比例,MATCH("升星次数",坦克属性分配比例标头,0),FALSE)*VLOOKUP($BJ281,$AR$3:$AY$33,MATCH(BY$3,$AR$3:$AY$3,0),FALSE),2)</f>
        <v>1.94</v>
      </c>
    </row>
    <row r="282" spans="60:77" x14ac:dyDescent="0.3">
      <c r="BH282" s="2" t="str">
        <f t="shared" si="35"/>
        <v>IS-410</v>
      </c>
      <c r="BI282" s="2">
        <f>IF(BL281&gt;=VLOOKUP(VLOOKUP(BJ281,坦克个性化设定!$B$18:$E$48,4,FALSE)&amp;BK281,坦克属性分配比例,MATCH("升星次数",坦克属性分配比例标头,0),FALSE),BI281+1,BI281)</f>
        <v>28</v>
      </c>
      <c r="BJ282" s="2" t="str">
        <f t="shared" si="36"/>
        <v>IS-4</v>
      </c>
      <c r="BK282" s="29" t="str">
        <f>VLOOKUP(BJ282,坦克个性化细分!$I$3:$J$33,2,FALSE)</f>
        <v>中</v>
      </c>
      <c r="BL282" s="2">
        <f t="shared" si="37"/>
        <v>10</v>
      </c>
      <c r="BM282" s="103" t="e">
        <f ca="1">ROUND(VLOOKUP($BJ282&amp;"初始",$S$3:$AE$63,MATCH(BM$3,$S$3:$AE$3,0),FALSE)+((VLOOKUP($BJ282&amp;"最终",$S$3:$AE$63,MATCH(BM$3,$S$3:$AE$3,0),FALSE)*坦克个性化细分!$C$9-VLOOKUP($BJ282&amp;"初始",$S$3:$AE$63,MATCH(BM$3,$S$3:$AE$3,0),FALSE))-(VLOOKUP($BJ282&amp;"最终",$S$3:$AE$63,MATCH(BM$3,$S$3:$AE$3,0),FALSE)-VLOOKUP($BJ282&amp;"初始",$S$3:$AE$63,MATCH(BM$3,$S$3:$AE$3,0),FALSE))*VLOOKUP(VLOOKUP($BJ282,坦克个性化设定!$B$18:$E$48,4,FALSE)&amp;$BK282,坦克属性分配比例,MATCH("部件比例",坦克属性分配比例标头,0),FALSE))*$BL282/VLOOKUP(VLOOKUP($BJ282,坦克个性化设定!$B$18:$E$48,4,FALSE)&amp;$BK282,坦克属性分配比例,MATCH("升星次数",坦克属性分配比例标头,0),FALSE),0)</f>
        <v>#N/A</v>
      </c>
      <c r="BN282" s="103" t="e">
        <f ca="1">ROUND(VLOOKUP($BJ282&amp;"初始",$S$3:$AE$63,MATCH(BN$3,$S$3:$AE$3,0),FALSE)+(VLOOKUP($BJ282&amp;"最终",$S$3:$AE$63,MATCH(BN$3,$S$3:$AE$3,0),FALSE)-VLOOKUP($BJ282&amp;"初始",$S$3:$AE$63,MATCH(BN$3,$S$3:$AE$3,0),FALSE))*$BL282/VLOOKUP(VLOOKUP($BJ282,坦克个性化设定!$B$18:$E$48,4,FALSE)&amp;$BK282,坦克属性分配比例,MATCH("升星次数",坦克属性分配比例标头,0),FALSE)*VLOOKUP(VLOOKUP($BJ282,坦克个性化设定!$B$18:$E$48,4,FALSE)&amp;$BK282,坦克属性分配比例,MATCH("升星比例",坦克属性分配比例标头,0),FALSE),0)</f>
        <v>#N/A</v>
      </c>
      <c r="BO282" s="103" t="e">
        <f ca="1">ROUND(VLOOKUP($BJ282&amp;"初始",$S$3:$AE$63,MATCH(BO$3,$S$3:$AE$3,0),FALSE)+(VLOOKUP($BJ282&amp;"最终",$S$3:$AE$63,MATCH(BO$3,$S$3:$AE$3,0),FALSE)-VLOOKUP($BJ282&amp;"初始",$S$3:$AE$63,MATCH(BO$3,$S$3:$AE$3,0),FALSE))*$BL282/VLOOKUP(VLOOKUP($BJ282,坦克个性化设定!$B$18:$E$48,4,FALSE)&amp;$BK282,坦克属性分配比例,MATCH("升星次数",坦克属性分配比例标头,0),FALSE)*(VLOOKUP(VLOOKUP($BJ282,坦克个性化设定!$B$18:$E$48,4,FALSE)&amp;$BK282,坦克属性分配比例,MATCH("升星比例",坦克属性分配比例标头,0),FALSE)+VLOOKUP(VLOOKUP($BJ282,坦克个性化设定!$B$18:$E$48,4,FALSE)&amp;$BK282,坦克属性分配比例,MATCH("部件比例",坦克属性分配比例标头,0),FALSE)*$C$3),0)</f>
        <v>#N/A</v>
      </c>
      <c r="BP282" s="103" t="e">
        <f ca="1">ROUND(VLOOKUP($BJ282&amp;"初始",$S$3:$AE$63,MATCH(BP$3,$S$3:$AE$3,0),FALSE)+(VLOOKUP($BJ282&amp;"最终",$S$3:$AE$63,MATCH(BP$3,$S$3:$AE$3,0),FALSE)-VLOOKUP($BJ282&amp;"初始",$S$3:$AE$63,MATCH(BP$3,$S$3:$AE$3,0),FALSE))*$BL282/VLOOKUP(VLOOKUP($BJ282,坦克个性化设定!$B$18:$E$48,4,FALSE)&amp;$BK282,坦克属性分配比例,MATCH("升星次数",坦克属性分配比例标头,0),FALSE)*(VLOOKUP(VLOOKUP($BJ282,坦克个性化设定!$B$18:$E$48,4,FALSE)&amp;$BK282,坦克属性分配比例,MATCH("升星比例",坦克属性分配比例标头,0),FALSE)+VLOOKUP(VLOOKUP($BJ282,坦克个性化设定!$B$18:$E$48,4,FALSE)&amp;$BK282,坦克属性分配比例,MATCH("部件比例",坦克属性分配比例标头,0),FALSE)*$C$3),0)</f>
        <v>#N/A</v>
      </c>
      <c r="BQ282" s="103" t="e">
        <f ca="1">ROUND(VLOOKUP($BJ282&amp;"初始",$S$3:$AE$63,MATCH(BQ$3,$S$3:$AE$3,0),FALSE)+(VLOOKUP($BJ282&amp;"最终",$S$3:$AE$63,MATCH(BQ$3,$S$3:$AE$3,0),FALSE)-VLOOKUP($BJ282&amp;"初始",$S$3:$AE$63,MATCH(BQ$3,$S$3:$AE$3,0),FALSE))*$BL282/VLOOKUP(VLOOKUP($BJ282,坦克个性化设定!$B$18:$E$48,4,FALSE)&amp;$BK282,坦克属性分配比例,MATCH("升星次数",坦克属性分配比例标头,0),FALSE)*VLOOKUP(VLOOKUP($BJ282,坦克个性化设定!$B$18:$E$48,4,FALSE)&amp;$BK282,坦克属性分配比例,MATCH("升星比例",坦克属性分配比例标头,0),FALSE),0)</f>
        <v>#N/A</v>
      </c>
      <c r="BR282" s="2" t="e">
        <f ca="1">ROUND(VLOOKUP($BJ282&amp;"初始",$S$3:$AE$63,MATCH(BR$3,$S$3:$AE$3,0),FALSE)+(VLOOKUP($BJ282&amp;"最终",$S$3:$AE$63,MATCH(BR$3,$S$3:$AE$3,0),FALSE)-VLOOKUP($BJ282&amp;"初始",$S$3:$AE$63,MATCH(BR$3,$S$3:$AE$3,0),FALSE))*$BL282/VLOOKUP(VLOOKUP($BJ282,坦克个性化设定!$B$18:$E$48,4,FALSE)&amp;$BK282,坦克属性分配比例,MATCH("升星次数",坦克属性分配比例标头,0),FALSE),0)</f>
        <v>#N/A</v>
      </c>
      <c r="BS282" s="2">
        <f>ROUND(VLOOKUP($BJ282,$AI$3:$AO$33,MATCH(BS$3,$AI$3:$AO$3,0),FALSE)+$BL282/VLOOKUP(VLOOKUP($BJ282,坦克个性化设定!$B$18:$E$48,4,FALSE)&amp;$BK282,坦克属性分配比例,MATCH("升星次数",坦克属性分配比例标头,0),FALSE)*VLOOKUP($BJ282,$AR$3:$AY$33,MATCH(BS$3,$AR$3:$AY$3,0),FALSE),1)</f>
        <v>38.4</v>
      </c>
      <c r="BT282" s="2">
        <f>ROUND(VLOOKUP($BJ282,$AI$3:$AO$33,MATCH(BT$3,$AI$3:$AO$3,0),FALSE)+$BL282/VLOOKUP(VLOOKUP($BJ282,坦克个性化设定!$B$18:$E$48,4,FALSE)&amp;$BK282,坦克属性分配比例,MATCH("升星次数",坦克属性分配比例标头,0),FALSE)*VLOOKUP($BJ282,$AR$3:$AY$33,MATCH(BT$3,$AR$3:$AY$3,0),FALSE),1)</f>
        <v>43.8</v>
      </c>
      <c r="BU282" s="2">
        <f>ROUND(VLOOKUP($BJ282,$AI$3:$AO$33,MATCH(BU$3,$AI$3:$AO$3,0),FALSE)+$BL282/VLOOKUP(VLOOKUP($BJ282,坦克个性化设定!$B$18:$E$48,4,FALSE)&amp;$BK282,坦克属性分配比例,MATCH("升星次数",坦克属性分配比例标头,0),FALSE)*VLOOKUP($BJ282,$AR$3:$AY$33,MATCH(BU$3,$AR$3:$AY$3,0),FALSE),1)</f>
        <v>6.4</v>
      </c>
      <c r="BV282" s="2">
        <f>IF(VLOOKUP(BJ282,坦克个性化设定!$B$18:$BC$48,MATCH("装弹类型",坦克个性化设定!$B$18:$BC$18,0),FALSE)="弹夹换弹",0,ROUND(VLOOKUP($BJ282,$AI$3:$AO$33,MATCH("换弹时间",$AI$3:$AO$3,0),FALSE)-$BL282/VLOOKUP(VLOOKUP($BJ282,坦克个性化设定!$B$18:$E$48,4,FALSE)&amp;$BK282,坦克属性分配比例,MATCH("升星次数",坦克属性分配比例标头,0),FALSE)*VLOOKUP($BJ282,$AR$3:$AY$33,MATCH("换弹时间",$AR$3:$AY$3,0),FALSE),2))</f>
        <v>3.9</v>
      </c>
      <c r="BW282" s="2">
        <f>IF(VLOOKUP(BJ282,坦克个性化设定!$B$18:$BC$48,MATCH("装弹类型",坦克个性化设定!$B$18:$BC$18,0),FALSE)="弹夹换弹",ROUND(VLOOKUP($BJ282,$AI$3:$AO$33,MATCH("换弹时间",$AI$3:$AO$3,0),FALSE)-$BL282/VLOOKUP(VLOOKUP($BJ282,坦克个性化设定!$B$18:$E$48,4,FALSE)&amp;$BK282,坦克属性分配比例,MATCH("升星次数",坦克属性分配比例标头,0),FALSE)*VLOOKUP($BJ282,$AR$3:$AY$33,MATCH("换弹时间",$AR$3:$AY$3,0),FALSE),1),0)</f>
        <v>0</v>
      </c>
      <c r="BX282" s="2">
        <f>ROUND(VLOOKUP($BJ282,$AI$3:$AO$33,MATCH(BX$3,$AI$3:$AO$3,0),FALSE)+$BL282/VLOOKUP(VLOOKUP($BJ282,坦克个性化设定!$B$18:$E$48,4,FALSE)&amp;$BK282,坦克属性分配比例,MATCH("升星次数",坦克属性分配比例标头,0),FALSE)*VLOOKUP($BJ282,$AR$3:$AY$33,MATCH(BX$3,$AR$3:$AY$3,0),FALSE),2)</f>
        <v>2</v>
      </c>
      <c r="BY282" s="2">
        <f>ROUND(VLOOKUP($BJ282,$AI$3:$AO$33,MATCH(BY$3,$AI$3:$AO$3,0),FALSE)-$BL282/VLOOKUP(VLOOKUP($BJ282,坦克个性化设定!$B$18:$E$48,4,FALSE)&amp;$BK282,坦克属性分配比例,MATCH("升星次数",坦克属性分配比例标头,0),FALSE)*VLOOKUP($BJ282,$AR$3:$AY$33,MATCH(BY$3,$AR$3:$AY$3,0),FALSE),2)</f>
        <v>1.91</v>
      </c>
    </row>
    <row r="283" spans="60:77" x14ac:dyDescent="0.3">
      <c r="BH283" s="2" t="str">
        <f t="shared" si="35"/>
        <v>IS-411</v>
      </c>
      <c r="BI283" s="2">
        <f>IF(BL282&gt;=VLOOKUP(VLOOKUP(BJ282,坦克个性化设定!$B$18:$E$48,4,FALSE)&amp;BK282,坦克属性分配比例,MATCH("升星次数",坦克属性分配比例标头,0),FALSE),BI282+1,BI282)</f>
        <v>28</v>
      </c>
      <c r="BJ283" s="2" t="str">
        <f t="shared" si="36"/>
        <v>IS-4</v>
      </c>
      <c r="BK283" s="29" t="str">
        <f>VLOOKUP(BJ283,坦克个性化细分!$I$3:$J$33,2,FALSE)</f>
        <v>中</v>
      </c>
      <c r="BL283" s="2">
        <f t="shared" si="37"/>
        <v>11</v>
      </c>
      <c r="BM283" s="103" t="e">
        <f ca="1">ROUND(VLOOKUP($BJ283&amp;"初始",$S$3:$AE$63,MATCH(BM$3,$S$3:$AE$3,0),FALSE)+((VLOOKUP($BJ283&amp;"最终",$S$3:$AE$63,MATCH(BM$3,$S$3:$AE$3,0),FALSE)*坦克个性化细分!$C$9-VLOOKUP($BJ283&amp;"初始",$S$3:$AE$63,MATCH(BM$3,$S$3:$AE$3,0),FALSE))-(VLOOKUP($BJ283&amp;"最终",$S$3:$AE$63,MATCH(BM$3,$S$3:$AE$3,0),FALSE)-VLOOKUP($BJ283&amp;"初始",$S$3:$AE$63,MATCH(BM$3,$S$3:$AE$3,0),FALSE))*VLOOKUP(VLOOKUP($BJ283,坦克个性化设定!$B$18:$E$48,4,FALSE)&amp;$BK283,坦克属性分配比例,MATCH("部件比例",坦克属性分配比例标头,0),FALSE))*$BL283/VLOOKUP(VLOOKUP($BJ283,坦克个性化设定!$B$18:$E$48,4,FALSE)&amp;$BK283,坦克属性分配比例,MATCH("升星次数",坦克属性分配比例标头,0),FALSE),0)</f>
        <v>#N/A</v>
      </c>
      <c r="BN283" s="103" t="e">
        <f ca="1">ROUND(VLOOKUP($BJ283&amp;"初始",$S$3:$AE$63,MATCH(BN$3,$S$3:$AE$3,0),FALSE)+(VLOOKUP($BJ283&amp;"最终",$S$3:$AE$63,MATCH(BN$3,$S$3:$AE$3,0),FALSE)-VLOOKUP($BJ283&amp;"初始",$S$3:$AE$63,MATCH(BN$3,$S$3:$AE$3,0),FALSE))*$BL283/VLOOKUP(VLOOKUP($BJ283,坦克个性化设定!$B$18:$E$48,4,FALSE)&amp;$BK283,坦克属性分配比例,MATCH("升星次数",坦克属性分配比例标头,0),FALSE)*VLOOKUP(VLOOKUP($BJ283,坦克个性化设定!$B$18:$E$48,4,FALSE)&amp;$BK283,坦克属性分配比例,MATCH("升星比例",坦克属性分配比例标头,0),FALSE),0)</f>
        <v>#N/A</v>
      </c>
      <c r="BO283" s="103" t="e">
        <f ca="1">ROUND(VLOOKUP($BJ283&amp;"初始",$S$3:$AE$63,MATCH(BO$3,$S$3:$AE$3,0),FALSE)+(VLOOKUP($BJ283&amp;"最终",$S$3:$AE$63,MATCH(BO$3,$S$3:$AE$3,0),FALSE)-VLOOKUP($BJ283&amp;"初始",$S$3:$AE$63,MATCH(BO$3,$S$3:$AE$3,0),FALSE))*$BL283/VLOOKUP(VLOOKUP($BJ283,坦克个性化设定!$B$18:$E$48,4,FALSE)&amp;$BK283,坦克属性分配比例,MATCH("升星次数",坦克属性分配比例标头,0),FALSE)*(VLOOKUP(VLOOKUP($BJ283,坦克个性化设定!$B$18:$E$48,4,FALSE)&amp;$BK283,坦克属性分配比例,MATCH("升星比例",坦克属性分配比例标头,0),FALSE)+VLOOKUP(VLOOKUP($BJ283,坦克个性化设定!$B$18:$E$48,4,FALSE)&amp;$BK283,坦克属性分配比例,MATCH("部件比例",坦克属性分配比例标头,0),FALSE)*$C$3),0)</f>
        <v>#N/A</v>
      </c>
      <c r="BP283" s="103" t="e">
        <f ca="1">ROUND(VLOOKUP($BJ283&amp;"初始",$S$3:$AE$63,MATCH(BP$3,$S$3:$AE$3,0),FALSE)+(VLOOKUP($BJ283&amp;"最终",$S$3:$AE$63,MATCH(BP$3,$S$3:$AE$3,0),FALSE)-VLOOKUP($BJ283&amp;"初始",$S$3:$AE$63,MATCH(BP$3,$S$3:$AE$3,0),FALSE))*$BL283/VLOOKUP(VLOOKUP($BJ283,坦克个性化设定!$B$18:$E$48,4,FALSE)&amp;$BK283,坦克属性分配比例,MATCH("升星次数",坦克属性分配比例标头,0),FALSE)*(VLOOKUP(VLOOKUP($BJ283,坦克个性化设定!$B$18:$E$48,4,FALSE)&amp;$BK283,坦克属性分配比例,MATCH("升星比例",坦克属性分配比例标头,0),FALSE)+VLOOKUP(VLOOKUP($BJ283,坦克个性化设定!$B$18:$E$48,4,FALSE)&amp;$BK283,坦克属性分配比例,MATCH("部件比例",坦克属性分配比例标头,0),FALSE)*$C$3),0)</f>
        <v>#N/A</v>
      </c>
      <c r="BQ283" s="103" t="e">
        <f ca="1">ROUND(VLOOKUP($BJ283&amp;"初始",$S$3:$AE$63,MATCH(BQ$3,$S$3:$AE$3,0),FALSE)+(VLOOKUP($BJ283&amp;"最终",$S$3:$AE$63,MATCH(BQ$3,$S$3:$AE$3,0),FALSE)-VLOOKUP($BJ283&amp;"初始",$S$3:$AE$63,MATCH(BQ$3,$S$3:$AE$3,0),FALSE))*$BL283/VLOOKUP(VLOOKUP($BJ283,坦克个性化设定!$B$18:$E$48,4,FALSE)&amp;$BK283,坦克属性分配比例,MATCH("升星次数",坦克属性分配比例标头,0),FALSE)*VLOOKUP(VLOOKUP($BJ283,坦克个性化设定!$B$18:$E$48,4,FALSE)&amp;$BK283,坦克属性分配比例,MATCH("升星比例",坦克属性分配比例标头,0),FALSE),0)</f>
        <v>#N/A</v>
      </c>
      <c r="BR283" s="2" t="e">
        <f ca="1">ROUND(VLOOKUP($BJ283&amp;"初始",$S$3:$AE$63,MATCH(BR$3,$S$3:$AE$3,0),FALSE)+(VLOOKUP($BJ283&amp;"最终",$S$3:$AE$63,MATCH(BR$3,$S$3:$AE$3,0),FALSE)-VLOOKUP($BJ283&amp;"初始",$S$3:$AE$63,MATCH(BR$3,$S$3:$AE$3,0),FALSE))*$BL283/VLOOKUP(VLOOKUP($BJ283,坦克个性化设定!$B$18:$E$48,4,FALSE)&amp;$BK283,坦克属性分配比例,MATCH("升星次数",坦克属性分配比例标头,0),FALSE),0)</f>
        <v>#N/A</v>
      </c>
      <c r="BS283" s="2">
        <f>ROUND(VLOOKUP($BJ283,$AI$3:$AO$33,MATCH(BS$3,$AI$3:$AO$3,0),FALSE)+$BL283/VLOOKUP(VLOOKUP($BJ283,坦克个性化设定!$B$18:$E$48,4,FALSE)&amp;$BK283,坦克属性分配比例,MATCH("升星次数",坦克属性分配比例标头,0),FALSE)*VLOOKUP($BJ283,$AR$3:$AY$33,MATCH(BS$3,$AR$3:$AY$3,0),FALSE),1)</f>
        <v>39.1</v>
      </c>
      <c r="BT283" s="2">
        <f>ROUND(VLOOKUP($BJ283,$AI$3:$AO$33,MATCH(BT$3,$AI$3:$AO$3,0),FALSE)+$BL283/VLOOKUP(VLOOKUP($BJ283,坦克个性化设定!$B$18:$E$48,4,FALSE)&amp;$BK283,坦克属性分配比例,MATCH("升星次数",坦克属性分配比例标头,0),FALSE)*VLOOKUP($BJ283,$AR$3:$AY$33,MATCH(BT$3,$AR$3:$AY$3,0),FALSE),1)</f>
        <v>44.6</v>
      </c>
      <c r="BU283" s="2">
        <f>ROUND(VLOOKUP($BJ283,$AI$3:$AO$33,MATCH(BU$3,$AI$3:$AO$3,0),FALSE)+$BL283/VLOOKUP(VLOOKUP($BJ283,坦克个性化设定!$B$18:$E$48,4,FALSE)&amp;$BK283,坦克属性分配比例,MATCH("升星次数",坦克属性分配比例标头,0),FALSE)*VLOOKUP($BJ283,$AR$3:$AY$33,MATCH(BU$3,$AR$3:$AY$3,0),FALSE),1)</f>
        <v>6.4</v>
      </c>
      <c r="BV283" s="2">
        <f>IF(VLOOKUP(BJ283,坦克个性化设定!$B$18:$BC$48,MATCH("装弹类型",坦克个性化设定!$B$18:$BC$18,0),FALSE)="弹夹换弹",0,ROUND(VLOOKUP($BJ283,$AI$3:$AO$33,MATCH("换弹时间",$AI$3:$AO$3,0),FALSE)-$BL283/VLOOKUP(VLOOKUP($BJ283,坦克个性化设定!$B$18:$E$48,4,FALSE)&amp;$BK283,坦克属性分配比例,MATCH("升星次数",坦克属性分配比例标头,0),FALSE)*VLOOKUP($BJ283,$AR$3:$AY$33,MATCH("换弹时间",$AR$3:$AY$3,0),FALSE),2))</f>
        <v>3.84</v>
      </c>
      <c r="BW283" s="2">
        <f>IF(VLOOKUP(BJ283,坦克个性化设定!$B$18:$BC$48,MATCH("装弹类型",坦克个性化设定!$B$18:$BC$18,0),FALSE)="弹夹换弹",ROUND(VLOOKUP($BJ283,$AI$3:$AO$33,MATCH("换弹时间",$AI$3:$AO$3,0),FALSE)-$BL283/VLOOKUP(VLOOKUP($BJ283,坦克个性化设定!$B$18:$E$48,4,FALSE)&amp;$BK283,坦克属性分配比例,MATCH("升星次数",坦克属性分配比例标头,0),FALSE)*VLOOKUP($BJ283,$AR$3:$AY$33,MATCH("换弹时间",$AR$3:$AY$3,0),FALSE),1),0)</f>
        <v>0</v>
      </c>
      <c r="BX283" s="2">
        <f>ROUND(VLOOKUP($BJ283,$AI$3:$AO$33,MATCH(BX$3,$AI$3:$AO$3,0),FALSE)+$BL283/VLOOKUP(VLOOKUP($BJ283,坦克个性化设定!$B$18:$E$48,4,FALSE)&amp;$BK283,坦克属性分配比例,MATCH("升星次数",坦克属性分配比例标头,0),FALSE)*VLOOKUP($BJ283,$AR$3:$AY$33,MATCH(BX$3,$AR$3:$AY$3,0),FALSE),2)</f>
        <v>2</v>
      </c>
      <c r="BY283" s="2">
        <f>ROUND(VLOOKUP($BJ283,$AI$3:$AO$33,MATCH(BY$3,$AI$3:$AO$3,0),FALSE)-$BL283/VLOOKUP(VLOOKUP($BJ283,坦克个性化设定!$B$18:$E$48,4,FALSE)&amp;$BK283,坦克属性分配比例,MATCH("升星次数",坦克属性分配比例标头,0),FALSE)*VLOOKUP($BJ283,$AR$3:$AY$33,MATCH(BY$3,$AR$3:$AY$3,0),FALSE),2)</f>
        <v>1.88</v>
      </c>
    </row>
    <row r="284" spans="60:77" x14ac:dyDescent="0.3">
      <c r="BH284" s="2" t="str">
        <f t="shared" si="35"/>
        <v>T-320</v>
      </c>
      <c r="BI284" s="2">
        <f>IF(BL283&gt;=VLOOKUP(VLOOKUP(BJ283,坦克个性化设定!$B$18:$E$48,4,FALSE)&amp;BK283,坦克属性分配比例,MATCH("升星次数",坦克属性分配比例标头,0),FALSE),BI283+1,BI283)</f>
        <v>29</v>
      </c>
      <c r="BJ284" s="2" t="str">
        <f t="shared" si="36"/>
        <v>T-32</v>
      </c>
      <c r="BK284" s="29" t="str">
        <f>VLOOKUP(BJ284,坦克个性化细分!$I$3:$J$33,2,FALSE)</f>
        <v>高</v>
      </c>
      <c r="BL284" s="2">
        <f t="shared" si="37"/>
        <v>0</v>
      </c>
      <c r="BM284" s="103" t="e">
        <f ca="1">ROUND(VLOOKUP($BJ284&amp;"初始",$S$3:$AE$63,MATCH(BM$3,$S$3:$AE$3,0),FALSE)+((VLOOKUP($BJ284&amp;"最终",$S$3:$AE$63,MATCH(BM$3,$S$3:$AE$3,0),FALSE)*坦克个性化细分!$C$9-VLOOKUP($BJ284&amp;"初始",$S$3:$AE$63,MATCH(BM$3,$S$3:$AE$3,0),FALSE))-(VLOOKUP($BJ284&amp;"最终",$S$3:$AE$63,MATCH(BM$3,$S$3:$AE$3,0),FALSE)-VLOOKUP($BJ284&amp;"初始",$S$3:$AE$63,MATCH(BM$3,$S$3:$AE$3,0),FALSE))*VLOOKUP(VLOOKUP($BJ284,坦克个性化设定!$B$18:$E$48,4,FALSE)&amp;$BK284,坦克属性分配比例,MATCH("部件比例",坦克属性分配比例标头,0),FALSE))*$BL284/VLOOKUP(VLOOKUP($BJ284,坦克个性化设定!$B$18:$E$48,4,FALSE)&amp;$BK284,坦克属性分配比例,MATCH("升星次数",坦克属性分配比例标头,0),FALSE),0)</f>
        <v>#N/A</v>
      </c>
      <c r="BN284" s="103" t="e">
        <f ca="1">ROUND(VLOOKUP($BJ284&amp;"初始",$S$3:$AE$63,MATCH(BN$3,$S$3:$AE$3,0),FALSE)+(VLOOKUP($BJ284&amp;"最终",$S$3:$AE$63,MATCH(BN$3,$S$3:$AE$3,0),FALSE)-VLOOKUP($BJ284&amp;"初始",$S$3:$AE$63,MATCH(BN$3,$S$3:$AE$3,0),FALSE))*$BL284/VLOOKUP(VLOOKUP($BJ284,坦克个性化设定!$B$18:$E$48,4,FALSE)&amp;$BK284,坦克属性分配比例,MATCH("升星次数",坦克属性分配比例标头,0),FALSE)*VLOOKUP(VLOOKUP($BJ284,坦克个性化设定!$B$18:$E$48,4,FALSE)&amp;$BK284,坦克属性分配比例,MATCH("升星比例",坦克属性分配比例标头,0),FALSE),0)</f>
        <v>#N/A</v>
      </c>
      <c r="BO284" s="103" t="e">
        <f ca="1">ROUND(VLOOKUP($BJ284&amp;"初始",$S$3:$AE$63,MATCH(BO$3,$S$3:$AE$3,0),FALSE)+(VLOOKUP($BJ284&amp;"最终",$S$3:$AE$63,MATCH(BO$3,$S$3:$AE$3,0),FALSE)-VLOOKUP($BJ284&amp;"初始",$S$3:$AE$63,MATCH(BO$3,$S$3:$AE$3,0),FALSE))*$BL284/VLOOKUP(VLOOKUP($BJ284,坦克个性化设定!$B$18:$E$48,4,FALSE)&amp;$BK284,坦克属性分配比例,MATCH("升星次数",坦克属性分配比例标头,0),FALSE)*(VLOOKUP(VLOOKUP($BJ284,坦克个性化设定!$B$18:$E$48,4,FALSE)&amp;$BK284,坦克属性分配比例,MATCH("升星比例",坦克属性分配比例标头,0),FALSE)+VLOOKUP(VLOOKUP($BJ284,坦克个性化设定!$B$18:$E$48,4,FALSE)&amp;$BK284,坦克属性分配比例,MATCH("部件比例",坦克属性分配比例标头,0),FALSE)*$C$3),0)</f>
        <v>#N/A</v>
      </c>
      <c r="BP284" s="103" t="e">
        <f ca="1">ROUND(VLOOKUP($BJ284&amp;"初始",$S$3:$AE$63,MATCH(BP$3,$S$3:$AE$3,0),FALSE)+(VLOOKUP($BJ284&amp;"最终",$S$3:$AE$63,MATCH(BP$3,$S$3:$AE$3,0),FALSE)-VLOOKUP($BJ284&amp;"初始",$S$3:$AE$63,MATCH(BP$3,$S$3:$AE$3,0),FALSE))*$BL284/VLOOKUP(VLOOKUP($BJ284,坦克个性化设定!$B$18:$E$48,4,FALSE)&amp;$BK284,坦克属性分配比例,MATCH("升星次数",坦克属性分配比例标头,0),FALSE)*(VLOOKUP(VLOOKUP($BJ284,坦克个性化设定!$B$18:$E$48,4,FALSE)&amp;$BK284,坦克属性分配比例,MATCH("升星比例",坦克属性分配比例标头,0),FALSE)+VLOOKUP(VLOOKUP($BJ284,坦克个性化设定!$B$18:$E$48,4,FALSE)&amp;$BK284,坦克属性分配比例,MATCH("部件比例",坦克属性分配比例标头,0),FALSE)*$C$3),0)</f>
        <v>#N/A</v>
      </c>
      <c r="BQ284" s="103" t="e">
        <f ca="1">ROUND(VLOOKUP($BJ284&amp;"初始",$S$3:$AE$63,MATCH(BQ$3,$S$3:$AE$3,0),FALSE)+(VLOOKUP($BJ284&amp;"最终",$S$3:$AE$63,MATCH(BQ$3,$S$3:$AE$3,0),FALSE)-VLOOKUP($BJ284&amp;"初始",$S$3:$AE$63,MATCH(BQ$3,$S$3:$AE$3,0),FALSE))*$BL284/VLOOKUP(VLOOKUP($BJ284,坦克个性化设定!$B$18:$E$48,4,FALSE)&amp;$BK284,坦克属性分配比例,MATCH("升星次数",坦克属性分配比例标头,0),FALSE)*VLOOKUP(VLOOKUP($BJ284,坦克个性化设定!$B$18:$E$48,4,FALSE)&amp;$BK284,坦克属性分配比例,MATCH("升星比例",坦克属性分配比例标头,0),FALSE),0)</f>
        <v>#N/A</v>
      </c>
      <c r="BR284" s="2" t="e">
        <f ca="1">ROUND(VLOOKUP($BJ284&amp;"初始",$S$3:$AE$63,MATCH(BR$3,$S$3:$AE$3,0),FALSE)+(VLOOKUP($BJ284&amp;"最终",$S$3:$AE$63,MATCH(BR$3,$S$3:$AE$3,0),FALSE)-VLOOKUP($BJ284&amp;"初始",$S$3:$AE$63,MATCH(BR$3,$S$3:$AE$3,0),FALSE))*$BL284/VLOOKUP(VLOOKUP($BJ284,坦克个性化设定!$B$18:$E$48,4,FALSE)&amp;$BK284,坦克属性分配比例,MATCH("升星次数",坦克属性分配比例标头,0),FALSE),0)</f>
        <v>#N/A</v>
      </c>
      <c r="BS284" s="2">
        <f>ROUND(VLOOKUP($BJ284,$AI$3:$AO$33,MATCH(BS$3,$AI$3:$AO$3,0),FALSE)+$BL284/VLOOKUP(VLOOKUP($BJ284,坦克个性化设定!$B$18:$E$48,4,FALSE)&amp;$BK284,坦克属性分配比例,MATCH("升星次数",坦克属性分配比例标头,0),FALSE)*VLOOKUP($BJ284,$AR$3:$AY$33,MATCH(BS$3,$AR$3:$AY$3,0),FALSE),1)</f>
        <v>32.200000000000003</v>
      </c>
      <c r="BT284" s="2">
        <f>ROUND(VLOOKUP($BJ284,$AI$3:$AO$33,MATCH(BT$3,$AI$3:$AO$3,0),FALSE)+$BL284/VLOOKUP(VLOOKUP($BJ284,坦克个性化设定!$B$18:$E$48,4,FALSE)&amp;$BK284,坦克属性分配比例,MATCH("升星次数",坦克属性分配比例标头,0),FALSE)*VLOOKUP($BJ284,$AR$3:$AY$33,MATCH(BT$3,$AR$3:$AY$3,0),FALSE),1)</f>
        <v>36.799999999999997</v>
      </c>
      <c r="BU284" s="2">
        <f>ROUND(VLOOKUP($BJ284,$AI$3:$AO$33,MATCH(BU$3,$AI$3:$AO$3,0),FALSE)+$BL284/VLOOKUP(VLOOKUP($BJ284,坦克个性化设定!$B$18:$E$48,4,FALSE)&amp;$BK284,坦克属性分配比例,MATCH("升星次数",坦克属性分配比例标头,0),FALSE)*VLOOKUP($BJ284,$AR$3:$AY$33,MATCH(BU$3,$AR$3:$AY$3,0),FALSE),1)</f>
        <v>6.6</v>
      </c>
      <c r="BV284" s="2">
        <f>IF(VLOOKUP(BJ284,坦克个性化设定!$B$18:$BC$48,MATCH("装弹类型",坦克个性化设定!$B$18:$BC$18,0),FALSE)="弹夹换弹",0,ROUND(VLOOKUP($BJ284,$AI$3:$AO$33,MATCH("换弹时间",$AI$3:$AO$3,0),FALSE)-$BL284/VLOOKUP(VLOOKUP($BJ284,坦克个性化设定!$B$18:$E$48,4,FALSE)&amp;$BK284,坦克属性分配比例,MATCH("升星次数",坦克属性分配比例标头,0),FALSE)*VLOOKUP($BJ284,$AR$3:$AY$33,MATCH("换弹时间",$AR$3:$AY$3,0),FALSE),2))</f>
        <v>6</v>
      </c>
      <c r="BW284" s="2">
        <f>IF(VLOOKUP(BJ284,坦克个性化设定!$B$18:$BC$48,MATCH("装弹类型",坦克个性化设定!$B$18:$BC$18,0),FALSE)="弹夹换弹",ROUND(VLOOKUP($BJ284,$AI$3:$AO$33,MATCH("换弹时间",$AI$3:$AO$3,0),FALSE)-$BL284/VLOOKUP(VLOOKUP($BJ284,坦克个性化设定!$B$18:$E$48,4,FALSE)&amp;$BK284,坦克属性分配比例,MATCH("升星次数",坦克属性分配比例标头,0),FALSE)*VLOOKUP($BJ284,$AR$3:$AY$33,MATCH("换弹时间",$AR$3:$AY$3,0),FALSE),1),0)</f>
        <v>0</v>
      </c>
      <c r="BX284" s="2">
        <f>ROUND(VLOOKUP($BJ284,$AI$3:$AO$33,MATCH(BX$3,$AI$3:$AO$3,0),FALSE)+$BL284/VLOOKUP(VLOOKUP($BJ284,坦克个性化设定!$B$18:$E$48,4,FALSE)&amp;$BK284,坦克属性分配比例,MATCH("升星次数",坦克属性分配比例标头,0),FALSE)*VLOOKUP($BJ284,$AR$3:$AY$33,MATCH(BX$3,$AR$3:$AY$3,0),FALSE),2)</f>
        <v>0</v>
      </c>
      <c r="BY284" s="2">
        <f>ROUND(VLOOKUP($BJ284,$AI$3:$AO$33,MATCH(BY$3,$AI$3:$AO$3,0),FALSE)-$BL284/VLOOKUP(VLOOKUP($BJ284,坦克个性化设定!$B$18:$E$48,4,FALSE)&amp;$BK284,坦克属性分配比例,MATCH("升星次数",坦克属性分配比例标头,0),FALSE)*VLOOKUP($BJ284,$AR$3:$AY$33,MATCH(BY$3,$AR$3:$AY$3,0),FALSE),2)</f>
        <v>3</v>
      </c>
    </row>
    <row r="285" spans="60:77" x14ac:dyDescent="0.3">
      <c r="BH285" s="2" t="str">
        <f t="shared" si="35"/>
        <v>T-321</v>
      </c>
      <c r="BI285" s="2">
        <f>IF(BL284&gt;=VLOOKUP(VLOOKUP(BJ284,坦克个性化设定!$B$18:$E$48,4,FALSE)&amp;BK284,坦克属性分配比例,MATCH("升星次数",坦克属性分配比例标头,0),FALSE),BI284+1,BI284)</f>
        <v>29</v>
      </c>
      <c r="BJ285" s="2" t="str">
        <f t="shared" si="36"/>
        <v>T-32</v>
      </c>
      <c r="BK285" s="29" t="str">
        <f>VLOOKUP(BJ285,坦克个性化细分!$I$3:$J$33,2,FALSE)</f>
        <v>高</v>
      </c>
      <c r="BL285" s="2">
        <f t="shared" si="37"/>
        <v>1</v>
      </c>
      <c r="BM285" s="103" t="e">
        <f ca="1">ROUND(VLOOKUP($BJ285&amp;"初始",$S$3:$AE$63,MATCH(BM$3,$S$3:$AE$3,0),FALSE)+((VLOOKUP($BJ285&amp;"最终",$S$3:$AE$63,MATCH(BM$3,$S$3:$AE$3,0),FALSE)*坦克个性化细分!$C$9-VLOOKUP($BJ285&amp;"初始",$S$3:$AE$63,MATCH(BM$3,$S$3:$AE$3,0),FALSE))-(VLOOKUP($BJ285&amp;"最终",$S$3:$AE$63,MATCH(BM$3,$S$3:$AE$3,0),FALSE)-VLOOKUP($BJ285&amp;"初始",$S$3:$AE$63,MATCH(BM$3,$S$3:$AE$3,0),FALSE))*VLOOKUP(VLOOKUP($BJ285,坦克个性化设定!$B$18:$E$48,4,FALSE)&amp;$BK285,坦克属性分配比例,MATCH("部件比例",坦克属性分配比例标头,0),FALSE))*$BL285/VLOOKUP(VLOOKUP($BJ285,坦克个性化设定!$B$18:$E$48,4,FALSE)&amp;$BK285,坦克属性分配比例,MATCH("升星次数",坦克属性分配比例标头,0),FALSE),0)</f>
        <v>#N/A</v>
      </c>
      <c r="BN285" s="103" t="e">
        <f ca="1">ROUND(VLOOKUP($BJ285&amp;"初始",$S$3:$AE$63,MATCH(BN$3,$S$3:$AE$3,0),FALSE)+(VLOOKUP($BJ285&amp;"最终",$S$3:$AE$63,MATCH(BN$3,$S$3:$AE$3,0),FALSE)-VLOOKUP($BJ285&amp;"初始",$S$3:$AE$63,MATCH(BN$3,$S$3:$AE$3,0),FALSE))*$BL285/VLOOKUP(VLOOKUP($BJ285,坦克个性化设定!$B$18:$E$48,4,FALSE)&amp;$BK285,坦克属性分配比例,MATCH("升星次数",坦克属性分配比例标头,0),FALSE)*VLOOKUP(VLOOKUP($BJ285,坦克个性化设定!$B$18:$E$48,4,FALSE)&amp;$BK285,坦克属性分配比例,MATCH("升星比例",坦克属性分配比例标头,0),FALSE),0)</f>
        <v>#N/A</v>
      </c>
      <c r="BO285" s="103" t="e">
        <f ca="1">ROUND(VLOOKUP($BJ285&amp;"初始",$S$3:$AE$63,MATCH(BO$3,$S$3:$AE$3,0),FALSE)+(VLOOKUP($BJ285&amp;"最终",$S$3:$AE$63,MATCH(BO$3,$S$3:$AE$3,0),FALSE)-VLOOKUP($BJ285&amp;"初始",$S$3:$AE$63,MATCH(BO$3,$S$3:$AE$3,0),FALSE))*$BL285/VLOOKUP(VLOOKUP($BJ285,坦克个性化设定!$B$18:$E$48,4,FALSE)&amp;$BK285,坦克属性分配比例,MATCH("升星次数",坦克属性分配比例标头,0),FALSE)*(VLOOKUP(VLOOKUP($BJ285,坦克个性化设定!$B$18:$E$48,4,FALSE)&amp;$BK285,坦克属性分配比例,MATCH("升星比例",坦克属性分配比例标头,0),FALSE)+VLOOKUP(VLOOKUP($BJ285,坦克个性化设定!$B$18:$E$48,4,FALSE)&amp;$BK285,坦克属性分配比例,MATCH("部件比例",坦克属性分配比例标头,0),FALSE)*$C$3),0)</f>
        <v>#N/A</v>
      </c>
      <c r="BP285" s="103" t="e">
        <f ca="1">ROUND(VLOOKUP($BJ285&amp;"初始",$S$3:$AE$63,MATCH(BP$3,$S$3:$AE$3,0),FALSE)+(VLOOKUP($BJ285&amp;"最终",$S$3:$AE$63,MATCH(BP$3,$S$3:$AE$3,0),FALSE)-VLOOKUP($BJ285&amp;"初始",$S$3:$AE$63,MATCH(BP$3,$S$3:$AE$3,0),FALSE))*$BL285/VLOOKUP(VLOOKUP($BJ285,坦克个性化设定!$B$18:$E$48,4,FALSE)&amp;$BK285,坦克属性分配比例,MATCH("升星次数",坦克属性分配比例标头,0),FALSE)*(VLOOKUP(VLOOKUP($BJ285,坦克个性化设定!$B$18:$E$48,4,FALSE)&amp;$BK285,坦克属性分配比例,MATCH("升星比例",坦克属性分配比例标头,0),FALSE)+VLOOKUP(VLOOKUP($BJ285,坦克个性化设定!$B$18:$E$48,4,FALSE)&amp;$BK285,坦克属性分配比例,MATCH("部件比例",坦克属性分配比例标头,0),FALSE)*$C$3),0)</f>
        <v>#N/A</v>
      </c>
      <c r="BQ285" s="103" t="e">
        <f ca="1">ROUND(VLOOKUP($BJ285&amp;"初始",$S$3:$AE$63,MATCH(BQ$3,$S$3:$AE$3,0),FALSE)+(VLOOKUP($BJ285&amp;"最终",$S$3:$AE$63,MATCH(BQ$3,$S$3:$AE$3,0),FALSE)-VLOOKUP($BJ285&amp;"初始",$S$3:$AE$63,MATCH(BQ$3,$S$3:$AE$3,0),FALSE))*$BL285/VLOOKUP(VLOOKUP($BJ285,坦克个性化设定!$B$18:$E$48,4,FALSE)&amp;$BK285,坦克属性分配比例,MATCH("升星次数",坦克属性分配比例标头,0),FALSE)*VLOOKUP(VLOOKUP($BJ285,坦克个性化设定!$B$18:$E$48,4,FALSE)&amp;$BK285,坦克属性分配比例,MATCH("升星比例",坦克属性分配比例标头,0),FALSE),0)</f>
        <v>#N/A</v>
      </c>
      <c r="BR285" s="2" t="e">
        <f ca="1">ROUND(VLOOKUP($BJ285&amp;"初始",$S$3:$AE$63,MATCH(BR$3,$S$3:$AE$3,0),FALSE)+(VLOOKUP($BJ285&amp;"最终",$S$3:$AE$63,MATCH(BR$3,$S$3:$AE$3,0),FALSE)-VLOOKUP($BJ285&amp;"初始",$S$3:$AE$63,MATCH(BR$3,$S$3:$AE$3,0),FALSE))*$BL285/VLOOKUP(VLOOKUP($BJ285,坦克个性化设定!$B$18:$E$48,4,FALSE)&amp;$BK285,坦克属性分配比例,MATCH("升星次数",坦克属性分配比例标头,0),FALSE),0)</f>
        <v>#N/A</v>
      </c>
      <c r="BS285" s="2">
        <f>ROUND(VLOOKUP($BJ285,$AI$3:$AO$33,MATCH(BS$3,$AI$3:$AO$3,0),FALSE)+$BL285/VLOOKUP(VLOOKUP($BJ285,坦克个性化设定!$B$18:$E$48,4,FALSE)&amp;$BK285,坦克属性分配比例,MATCH("升星次数",坦克属性分配比例标头,0),FALSE)*VLOOKUP($BJ285,$AR$3:$AY$33,MATCH(BS$3,$AR$3:$AY$3,0),FALSE),1)</f>
        <v>32.9</v>
      </c>
      <c r="BT285" s="2">
        <f>ROUND(VLOOKUP($BJ285,$AI$3:$AO$33,MATCH(BT$3,$AI$3:$AO$3,0),FALSE)+$BL285/VLOOKUP(VLOOKUP($BJ285,坦克个性化设定!$B$18:$E$48,4,FALSE)&amp;$BK285,坦克属性分配比例,MATCH("升星次数",坦克属性分配比例标头,0),FALSE)*VLOOKUP($BJ285,$AR$3:$AY$33,MATCH(BT$3,$AR$3:$AY$3,0),FALSE),1)</f>
        <v>37.6</v>
      </c>
      <c r="BU285" s="2">
        <f>ROUND(VLOOKUP($BJ285,$AI$3:$AO$33,MATCH(BU$3,$AI$3:$AO$3,0),FALSE)+$BL285/VLOOKUP(VLOOKUP($BJ285,坦克个性化设定!$B$18:$E$48,4,FALSE)&amp;$BK285,坦克属性分配比例,MATCH("升星次数",坦克属性分配比例标头,0),FALSE)*VLOOKUP($BJ285,$AR$3:$AY$33,MATCH(BU$3,$AR$3:$AY$3,0),FALSE),1)</f>
        <v>6.6</v>
      </c>
      <c r="BV285" s="2">
        <f>IF(VLOOKUP(BJ285,坦克个性化设定!$B$18:$BC$48,MATCH("装弹类型",坦克个性化设定!$B$18:$BC$18,0),FALSE)="弹夹换弹",0,ROUND(VLOOKUP($BJ285,$AI$3:$AO$33,MATCH("换弹时间",$AI$3:$AO$3,0),FALSE)-$BL285/VLOOKUP(VLOOKUP($BJ285,坦克个性化设定!$B$18:$E$48,4,FALSE)&amp;$BK285,坦克属性分配比例,MATCH("升星次数",坦克属性分配比例标头,0),FALSE)*VLOOKUP($BJ285,$AR$3:$AY$33,MATCH("换弹时间",$AR$3:$AY$3,0),FALSE),2))</f>
        <v>5.92</v>
      </c>
      <c r="BW285" s="2">
        <f>IF(VLOOKUP(BJ285,坦克个性化设定!$B$18:$BC$48,MATCH("装弹类型",坦克个性化设定!$B$18:$BC$18,0),FALSE)="弹夹换弹",ROUND(VLOOKUP($BJ285,$AI$3:$AO$33,MATCH("换弹时间",$AI$3:$AO$3,0),FALSE)-$BL285/VLOOKUP(VLOOKUP($BJ285,坦克个性化设定!$B$18:$E$48,4,FALSE)&amp;$BK285,坦克属性分配比例,MATCH("升星次数",坦克属性分配比例标头,0),FALSE)*VLOOKUP($BJ285,$AR$3:$AY$33,MATCH("换弹时间",$AR$3:$AY$3,0),FALSE),1),0)</f>
        <v>0</v>
      </c>
      <c r="BX285" s="2">
        <f>ROUND(VLOOKUP($BJ285,$AI$3:$AO$33,MATCH(BX$3,$AI$3:$AO$3,0),FALSE)+$BL285/VLOOKUP(VLOOKUP($BJ285,坦克个性化设定!$B$18:$E$48,4,FALSE)&amp;$BK285,坦克属性分配比例,MATCH("升星次数",坦克属性分配比例标头,0),FALSE)*VLOOKUP($BJ285,$AR$3:$AY$33,MATCH(BX$3,$AR$3:$AY$3,0),FALSE),2)</f>
        <v>0</v>
      </c>
      <c r="BY285" s="2">
        <f>ROUND(VLOOKUP($BJ285,$AI$3:$AO$33,MATCH(BY$3,$AI$3:$AO$3,0),FALSE)-$BL285/VLOOKUP(VLOOKUP($BJ285,坦克个性化设定!$B$18:$E$48,4,FALSE)&amp;$BK285,坦克属性分配比例,MATCH("升星次数",坦克属性分配比例标头,0),FALSE)*VLOOKUP($BJ285,$AR$3:$AY$33,MATCH(BY$3,$AR$3:$AY$3,0),FALSE),2)</f>
        <v>2.95</v>
      </c>
    </row>
    <row r="286" spans="60:77" x14ac:dyDescent="0.3">
      <c r="BH286" s="2" t="str">
        <f t="shared" si="35"/>
        <v>T-322</v>
      </c>
      <c r="BI286" s="2">
        <f>IF(BL285&gt;=VLOOKUP(VLOOKUP(BJ285,坦克个性化设定!$B$18:$E$48,4,FALSE)&amp;BK285,坦克属性分配比例,MATCH("升星次数",坦克属性分配比例标头,0),FALSE),BI285+1,BI285)</f>
        <v>29</v>
      </c>
      <c r="BJ286" s="2" t="str">
        <f t="shared" si="36"/>
        <v>T-32</v>
      </c>
      <c r="BK286" s="29" t="str">
        <f>VLOOKUP(BJ286,坦克个性化细分!$I$3:$J$33,2,FALSE)</f>
        <v>高</v>
      </c>
      <c r="BL286" s="2">
        <f t="shared" si="37"/>
        <v>2</v>
      </c>
      <c r="BM286" s="103" t="e">
        <f ca="1">ROUND(VLOOKUP($BJ286&amp;"初始",$S$3:$AE$63,MATCH(BM$3,$S$3:$AE$3,0),FALSE)+((VLOOKUP($BJ286&amp;"最终",$S$3:$AE$63,MATCH(BM$3,$S$3:$AE$3,0),FALSE)*坦克个性化细分!$C$9-VLOOKUP($BJ286&amp;"初始",$S$3:$AE$63,MATCH(BM$3,$S$3:$AE$3,0),FALSE))-(VLOOKUP($BJ286&amp;"最终",$S$3:$AE$63,MATCH(BM$3,$S$3:$AE$3,0),FALSE)-VLOOKUP($BJ286&amp;"初始",$S$3:$AE$63,MATCH(BM$3,$S$3:$AE$3,0),FALSE))*VLOOKUP(VLOOKUP($BJ286,坦克个性化设定!$B$18:$E$48,4,FALSE)&amp;$BK286,坦克属性分配比例,MATCH("部件比例",坦克属性分配比例标头,0),FALSE))*$BL286/VLOOKUP(VLOOKUP($BJ286,坦克个性化设定!$B$18:$E$48,4,FALSE)&amp;$BK286,坦克属性分配比例,MATCH("升星次数",坦克属性分配比例标头,0),FALSE),0)</f>
        <v>#N/A</v>
      </c>
      <c r="BN286" s="103" t="e">
        <f ca="1">ROUND(VLOOKUP($BJ286&amp;"初始",$S$3:$AE$63,MATCH(BN$3,$S$3:$AE$3,0),FALSE)+(VLOOKUP($BJ286&amp;"最终",$S$3:$AE$63,MATCH(BN$3,$S$3:$AE$3,0),FALSE)-VLOOKUP($BJ286&amp;"初始",$S$3:$AE$63,MATCH(BN$3,$S$3:$AE$3,0),FALSE))*$BL286/VLOOKUP(VLOOKUP($BJ286,坦克个性化设定!$B$18:$E$48,4,FALSE)&amp;$BK286,坦克属性分配比例,MATCH("升星次数",坦克属性分配比例标头,0),FALSE)*VLOOKUP(VLOOKUP($BJ286,坦克个性化设定!$B$18:$E$48,4,FALSE)&amp;$BK286,坦克属性分配比例,MATCH("升星比例",坦克属性分配比例标头,0),FALSE),0)</f>
        <v>#N/A</v>
      </c>
      <c r="BO286" s="103" t="e">
        <f ca="1">ROUND(VLOOKUP($BJ286&amp;"初始",$S$3:$AE$63,MATCH(BO$3,$S$3:$AE$3,0),FALSE)+(VLOOKUP($BJ286&amp;"最终",$S$3:$AE$63,MATCH(BO$3,$S$3:$AE$3,0),FALSE)-VLOOKUP($BJ286&amp;"初始",$S$3:$AE$63,MATCH(BO$3,$S$3:$AE$3,0),FALSE))*$BL286/VLOOKUP(VLOOKUP($BJ286,坦克个性化设定!$B$18:$E$48,4,FALSE)&amp;$BK286,坦克属性分配比例,MATCH("升星次数",坦克属性分配比例标头,0),FALSE)*(VLOOKUP(VLOOKUP($BJ286,坦克个性化设定!$B$18:$E$48,4,FALSE)&amp;$BK286,坦克属性分配比例,MATCH("升星比例",坦克属性分配比例标头,0),FALSE)+VLOOKUP(VLOOKUP($BJ286,坦克个性化设定!$B$18:$E$48,4,FALSE)&amp;$BK286,坦克属性分配比例,MATCH("部件比例",坦克属性分配比例标头,0),FALSE)*$C$3),0)</f>
        <v>#N/A</v>
      </c>
      <c r="BP286" s="103" t="e">
        <f ca="1">ROUND(VLOOKUP($BJ286&amp;"初始",$S$3:$AE$63,MATCH(BP$3,$S$3:$AE$3,0),FALSE)+(VLOOKUP($BJ286&amp;"最终",$S$3:$AE$63,MATCH(BP$3,$S$3:$AE$3,0),FALSE)-VLOOKUP($BJ286&amp;"初始",$S$3:$AE$63,MATCH(BP$3,$S$3:$AE$3,0),FALSE))*$BL286/VLOOKUP(VLOOKUP($BJ286,坦克个性化设定!$B$18:$E$48,4,FALSE)&amp;$BK286,坦克属性分配比例,MATCH("升星次数",坦克属性分配比例标头,0),FALSE)*(VLOOKUP(VLOOKUP($BJ286,坦克个性化设定!$B$18:$E$48,4,FALSE)&amp;$BK286,坦克属性分配比例,MATCH("升星比例",坦克属性分配比例标头,0),FALSE)+VLOOKUP(VLOOKUP($BJ286,坦克个性化设定!$B$18:$E$48,4,FALSE)&amp;$BK286,坦克属性分配比例,MATCH("部件比例",坦克属性分配比例标头,0),FALSE)*$C$3),0)</f>
        <v>#N/A</v>
      </c>
      <c r="BQ286" s="103" t="e">
        <f ca="1">ROUND(VLOOKUP($BJ286&amp;"初始",$S$3:$AE$63,MATCH(BQ$3,$S$3:$AE$3,0),FALSE)+(VLOOKUP($BJ286&amp;"最终",$S$3:$AE$63,MATCH(BQ$3,$S$3:$AE$3,0),FALSE)-VLOOKUP($BJ286&amp;"初始",$S$3:$AE$63,MATCH(BQ$3,$S$3:$AE$3,0),FALSE))*$BL286/VLOOKUP(VLOOKUP($BJ286,坦克个性化设定!$B$18:$E$48,4,FALSE)&amp;$BK286,坦克属性分配比例,MATCH("升星次数",坦克属性分配比例标头,0),FALSE)*VLOOKUP(VLOOKUP($BJ286,坦克个性化设定!$B$18:$E$48,4,FALSE)&amp;$BK286,坦克属性分配比例,MATCH("升星比例",坦克属性分配比例标头,0),FALSE),0)</f>
        <v>#N/A</v>
      </c>
      <c r="BR286" s="2" t="e">
        <f ca="1">ROUND(VLOOKUP($BJ286&amp;"初始",$S$3:$AE$63,MATCH(BR$3,$S$3:$AE$3,0),FALSE)+(VLOOKUP($BJ286&amp;"最终",$S$3:$AE$63,MATCH(BR$3,$S$3:$AE$3,0),FALSE)-VLOOKUP($BJ286&amp;"初始",$S$3:$AE$63,MATCH(BR$3,$S$3:$AE$3,0),FALSE))*$BL286/VLOOKUP(VLOOKUP($BJ286,坦克个性化设定!$B$18:$E$48,4,FALSE)&amp;$BK286,坦克属性分配比例,MATCH("升星次数",坦克属性分配比例标头,0),FALSE),0)</f>
        <v>#N/A</v>
      </c>
      <c r="BS286" s="2">
        <f>ROUND(VLOOKUP($BJ286,$AI$3:$AO$33,MATCH(BS$3,$AI$3:$AO$3,0),FALSE)+$BL286/VLOOKUP(VLOOKUP($BJ286,坦克个性化设定!$B$18:$E$48,4,FALSE)&amp;$BK286,坦克属性分配比例,MATCH("升星次数",坦克属性分配比例标头,0),FALSE)*VLOOKUP($BJ286,$AR$3:$AY$33,MATCH(BS$3,$AR$3:$AY$3,0),FALSE),1)</f>
        <v>33.700000000000003</v>
      </c>
      <c r="BT286" s="2">
        <f>ROUND(VLOOKUP($BJ286,$AI$3:$AO$33,MATCH(BT$3,$AI$3:$AO$3,0),FALSE)+$BL286/VLOOKUP(VLOOKUP($BJ286,坦克个性化设定!$B$18:$E$48,4,FALSE)&amp;$BK286,坦克属性分配比例,MATCH("升星次数",坦克属性分配比例标头,0),FALSE)*VLOOKUP($BJ286,$AR$3:$AY$33,MATCH(BT$3,$AR$3:$AY$3,0),FALSE),1)</f>
        <v>38.5</v>
      </c>
      <c r="BU286" s="2">
        <f>ROUND(VLOOKUP($BJ286,$AI$3:$AO$33,MATCH(BU$3,$AI$3:$AO$3,0),FALSE)+$BL286/VLOOKUP(VLOOKUP($BJ286,坦克个性化设定!$B$18:$E$48,4,FALSE)&amp;$BK286,坦克属性分配比例,MATCH("升星次数",坦克属性分配比例标头,0),FALSE)*VLOOKUP($BJ286,$AR$3:$AY$33,MATCH(BU$3,$AR$3:$AY$3,0),FALSE),1)</f>
        <v>6.6</v>
      </c>
      <c r="BV286" s="2">
        <f>IF(VLOOKUP(BJ286,坦克个性化设定!$B$18:$BC$48,MATCH("装弹类型",坦克个性化设定!$B$18:$BC$18,0),FALSE)="弹夹换弹",0,ROUND(VLOOKUP($BJ286,$AI$3:$AO$33,MATCH("换弹时间",$AI$3:$AO$3,0),FALSE)-$BL286/VLOOKUP(VLOOKUP($BJ286,坦克个性化设定!$B$18:$E$48,4,FALSE)&amp;$BK286,坦克属性分配比例,MATCH("升星次数",坦克属性分配比例标头,0),FALSE)*VLOOKUP($BJ286,$AR$3:$AY$33,MATCH("换弹时间",$AR$3:$AY$3,0),FALSE),2))</f>
        <v>5.85</v>
      </c>
      <c r="BW286" s="2">
        <f>IF(VLOOKUP(BJ286,坦克个性化设定!$B$18:$BC$48,MATCH("装弹类型",坦克个性化设定!$B$18:$BC$18,0),FALSE)="弹夹换弹",ROUND(VLOOKUP($BJ286,$AI$3:$AO$33,MATCH("换弹时间",$AI$3:$AO$3,0),FALSE)-$BL286/VLOOKUP(VLOOKUP($BJ286,坦克个性化设定!$B$18:$E$48,4,FALSE)&amp;$BK286,坦克属性分配比例,MATCH("升星次数",坦克属性分配比例标头,0),FALSE)*VLOOKUP($BJ286,$AR$3:$AY$33,MATCH("换弹时间",$AR$3:$AY$3,0),FALSE),1),0)</f>
        <v>0</v>
      </c>
      <c r="BX286" s="2">
        <f>ROUND(VLOOKUP($BJ286,$AI$3:$AO$33,MATCH(BX$3,$AI$3:$AO$3,0),FALSE)+$BL286/VLOOKUP(VLOOKUP($BJ286,坦克个性化设定!$B$18:$E$48,4,FALSE)&amp;$BK286,坦克属性分配比例,MATCH("升星次数",坦克属性分配比例标头,0),FALSE)*VLOOKUP($BJ286,$AR$3:$AY$33,MATCH(BX$3,$AR$3:$AY$3,0),FALSE),2)</f>
        <v>0</v>
      </c>
      <c r="BY286" s="2">
        <f>ROUND(VLOOKUP($BJ286,$AI$3:$AO$33,MATCH(BY$3,$AI$3:$AO$3,0),FALSE)-$BL286/VLOOKUP(VLOOKUP($BJ286,坦克个性化设定!$B$18:$E$48,4,FALSE)&amp;$BK286,坦克属性分配比例,MATCH("升星次数",坦克属性分配比例标头,0),FALSE)*VLOOKUP($BJ286,$AR$3:$AY$33,MATCH(BY$3,$AR$3:$AY$3,0),FALSE),2)</f>
        <v>2.91</v>
      </c>
    </row>
    <row r="287" spans="60:77" x14ac:dyDescent="0.3">
      <c r="BH287" s="2" t="str">
        <f t="shared" si="35"/>
        <v>T-323</v>
      </c>
      <c r="BI287" s="2">
        <f>IF(BL286&gt;=VLOOKUP(VLOOKUP(BJ286,坦克个性化设定!$B$18:$E$48,4,FALSE)&amp;BK286,坦克属性分配比例,MATCH("升星次数",坦克属性分配比例标头,0),FALSE),BI286+1,BI286)</f>
        <v>29</v>
      </c>
      <c r="BJ287" s="2" t="str">
        <f t="shared" si="36"/>
        <v>T-32</v>
      </c>
      <c r="BK287" s="29" t="str">
        <f>VLOOKUP(BJ287,坦克个性化细分!$I$3:$J$33,2,FALSE)</f>
        <v>高</v>
      </c>
      <c r="BL287" s="2">
        <f t="shared" si="37"/>
        <v>3</v>
      </c>
      <c r="BM287" s="103" t="e">
        <f ca="1">ROUND(VLOOKUP($BJ287&amp;"初始",$S$3:$AE$63,MATCH(BM$3,$S$3:$AE$3,0),FALSE)+((VLOOKUP($BJ287&amp;"最终",$S$3:$AE$63,MATCH(BM$3,$S$3:$AE$3,0),FALSE)*坦克个性化细分!$C$9-VLOOKUP($BJ287&amp;"初始",$S$3:$AE$63,MATCH(BM$3,$S$3:$AE$3,0),FALSE))-(VLOOKUP($BJ287&amp;"最终",$S$3:$AE$63,MATCH(BM$3,$S$3:$AE$3,0),FALSE)-VLOOKUP($BJ287&amp;"初始",$S$3:$AE$63,MATCH(BM$3,$S$3:$AE$3,0),FALSE))*VLOOKUP(VLOOKUP($BJ287,坦克个性化设定!$B$18:$E$48,4,FALSE)&amp;$BK287,坦克属性分配比例,MATCH("部件比例",坦克属性分配比例标头,0),FALSE))*$BL287/VLOOKUP(VLOOKUP($BJ287,坦克个性化设定!$B$18:$E$48,4,FALSE)&amp;$BK287,坦克属性分配比例,MATCH("升星次数",坦克属性分配比例标头,0),FALSE),0)</f>
        <v>#N/A</v>
      </c>
      <c r="BN287" s="103" t="e">
        <f ca="1">ROUND(VLOOKUP($BJ287&amp;"初始",$S$3:$AE$63,MATCH(BN$3,$S$3:$AE$3,0),FALSE)+(VLOOKUP($BJ287&amp;"最终",$S$3:$AE$63,MATCH(BN$3,$S$3:$AE$3,0),FALSE)-VLOOKUP($BJ287&amp;"初始",$S$3:$AE$63,MATCH(BN$3,$S$3:$AE$3,0),FALSE))*$BL287/VLOOKUP(VLOOKUP($BJ287,坦克个性化设定!$B$18:$E$48,4,FALSE)&amp;$BK287,坦克属性分配比例,MATCH("升星次数",坦克属性分配比例标头,0),FALSE)*VLOOKUP(VLOOKUP($BJ287,坦克个性化设定!$B$18:$E$48,4,FALSE)&amp;$BK287,坦克属性分配比例,MATCH("升星比例",坦克属性分配比例标头,0),FALSE),0)</f>
        <v>#N/A</v>
      </c>
      <c r="BO287" s="103" t="e">
        <f ca="1">ROUND(VLOOKUP($BJ287&amp;"初始",$S$3:$AE$63,MATCH(BO$3,$S$3:$AE$3,0),FALSE)+(VLOOKUP($BJ287&amp;"最终",$S$3:$AE$63,MATCH(BO$3,$S$3:$AE$3,0),FALSE)-VLOOKUP($BJ287&amp;"初始",$S$3:$AE$63,MATCH(BO$3,$S$3:$AE$3,0),FALSE))*$BL287/VLOOKUP(VLOOKUP($BJ287,坦克个性化设定!$B$18:$E$48,4,FALSE)&amp;$BK287,坦克属性分配比例,MATCH("升星次数",坦克属性分配比例标头,0),FALSE)*(VLOOKUP(VLOOKUP($BJ287,坦克个性化设定!$B$18:$E$48,4,FALSE)&amp;$BK287,坦克属性分配比例,MATCH("升星比例",坦克属性分配比例标头,0),FALSE)+VLOOKUP(VLOOKUP($BJ287,坦克个性化设定!$B$18:$E$48,4,FALSE)&amp;$BK287,坦克属性分配比例,MATCH("部件比例",坦克属性分配比例标头,0),FALSE)*$C$3),0)</f>
        <v>#N/A</v>
      </c>
      <c r="BP287" s="103" t="e">
        <f ca="1">ROUND(VLOOKUP($BJ287&amp;"初始",$S$3:$AE$63,MATCH(BP$3,$S$3:$AE$3,0),FALSE)+(VLOOKUP($BJ287&amp;"最终",$S$3:$AE$63,MATCH(BP$3,$S$3:$AE$3,0),FALSE)-VLOOKUP($BJ287&amp;"初始",$S$3:$AE$63,MATCH(BP$3,$S$3:$AE$3,0),FALSE))*$BL287/VLOOKUP(VLOOKUP($BJ287,坦克个性化设定!$B$18:$E$48,4,FALSE)&amp;$BK287,坦克属性分配比例,MATCH("升星次数",坦克属性分配比例标头,0),FALSE)*(VLOOKUP(VLOOKUP($BJ287,坦克个性化设定!$B$18:$E$48,4,FALSE)&amp;$BK287,坦克属性分配比例,MATCH("升星比例",坦克属性分配比例标头,0),FALSE)+VLOOKUP(VLOOKUP($BJ287,坦克个性化设定!$B$18:$E$48,4,FALSE)&amp;$BK287,坦克属性分配比例,MATCH("部件比例",坦克属性分配比例标头,0),FALSE)*$C$3),0)</f>
        <v>#N/A</v>
      </c>
      <c r="BQ287" s="103" t="e">
        <f ca="1">ROUND(VLOOKUP($BJ287&amp;"初始",$S$3:$AE$63,MATCH(BQ$3,$S$3:$AE$3,0),FALSE)+(VLOOKUP($BJ287&amp;"最终",$S$3:$AE$63,MATCH(BQ$3,$S$3:$AE$3,0),FALSE)-VLOOKUP($BJ287&amp;"初始",$S$3:$AE$63,MATCH(BQ$3,$S$3:$AE$3,0),FALSE))*$BL287/VLOOKUP(VLOOKUP($BJ287,坦克个性化设定!$B$18:$E$48,4,FALSE)&amp;$BK287,坦克属性分配比例,MATCH("升星次数",坦克属性分配比例标头,0),FALSE)*VLOOKUP(VLOOKUP($BJ287,坦克个性化设定!$B$18:$E$48,4,FALSE)&amp;$BK287,坦克属性分配比例,MATCH("升星比例",坦克属性分配比例标头,0),FALSE),0)</f>
        <v>#N/A</v>
      </c>
      <c r="BR287" s="2" t="e">
        <f ca="1">ROUND(VLOOKUP($BJ287&amp;"初始",$S$3:$AE$63,MATCH(BR$3,$S$3:$AE$3,0),FALSE)+(VLOOKUP($BJ287&amp;"最终",$S$3:$AE$63,MATCH(BR$3,$S$3:$AE$3,0),FALSE)-VLOOKUP($BJ287&amp;"初始",$S$3:$AE$63,MATCH(BR$3,$S$3:$AE$3,0),FALSE))*$BL287/VLOOKUP(VLOOKUP($BJ287,坦克个性化设定!$B$18:$E$48,4,FALSE)&amp;$BK287,坦克属性分配比例,MATCH("升星次数",坦克属性分配比例标头,0),FALSE),0)</f>
        <v>#N/A</v>
      </c>
      <c r="BS287" s="2">
        <f>ROUND(VLOOKUP($BJ287,$AI$3:$AO$33,MATCH(BS$3,$AI$3:$AO$3,0),FALSE)+$BL287/VLOOKUP(VLOOKUP($BJ287,坦克个性化设定!$B$18:$E$48,4,FALSE)&amp;$BK287,坦克属性分配比例,MATCH("升星次数",坦克属性分配比例标头,0),FALSE)*VLOOKUP($BJ287,$AR$3:$AY$33,MATCH(BS$3,$AR$3:$AY$3,0),FALSE),1)</f>
        <v>34.4</v>
      </c>
      <c r="BT287" s="2">
        <f>ROUND(VLOOKUP($BJ287,$AI$3:$AO$33,MATCH(BT$3,$AI$3:$AO$3,0),FALSE)+$BL287/VLOOKUP(VLOOKUP($BJ287,坦克个性化设定!$B$18:$E$48,4,FALSE)&amp;$BK287,坦克属性分配比例,MATCH("升星次数",坦克属性分配比例标头,0),FALSE)*VLOOKUP($BJ287,$AR$3:$AY$33,MATCH(BT$3,$AR$3:$AY$3,0),FALSE),1)</f>
        <v>39.299999999999997</v>
      </c>
      <c r="BU287" s="2">
        <f>ROUND(VLOOKUP($BJ287,$AI$3:$AO$33,MATCH(BU$3,$AI$3:$AO$3,0),FALSE)+$BL287/VLOOKUP(VLOOKUP($BJ287,坦克个性化设定!$B$18:$E$48,4,FALSE)&amp;$BK287,坦克属性分配比例,MATCH("升星次数",坦克属性分配比例标头,0),FALSE)*VLOOKUP($BJ287,$AR$3:$AY$33,MATCH(BU$3,$AR$3:$AY$3,0),FALSE),1)</f>
        <v>6.6</v>
      </c>
      <c r="BV287" s="2">
        <f>IF(VLOOKUP(BJ287,坦克个性化设定!$B$18:$BC$48,MATCH("装弹类型",坦克个性化设定!$B$18:$BC$18,0),FALSE)="弹夹换弹",0,ROUND(VLOOKUP($BJ287,$AI$3:$AO$33,MATCH("换弹时间",$AI$3:$AO$3,0),FALSE)-$BL287/VLOOKUP(VLOOKUP($BJ287,坦克个性化设定!$B$18:$E$48,4,FALSE)&amp;$BK287,坦克属性分配比例,MATCH("升星次数",坦克属性分配比例标头,0),FALSE)*VLOOKUP($BJ287,$AR$3:$AY$33,MATCH("换弹时间",$AR$3:$AY$3,0),FALSE),2))</f>
        <v>5.77</v>
      </c>
      <c r="BW287" s="2">
        <f>IF(VLOOKUP(BJ287,坦克个性化设定!$B$18:$BC$48,MATCH("装弹类型",坦克个性化设定!$B$18:$BC$18,0),FALSE)="弹夹换弹",ROUND(VLOOKUP($BJ287,$AI$3:$AO$33,MATCH("换弹时间",$AI$3:$AO$3,0),FALSE)-$BL287/VLOOKUP(VLOOKUP($BJ287,坦克个性化设定!$B$18:$E$48,4,FALSE)&amp;$BK287,坦克属性分配比例,MATCH("升星次数",坦克属性分配比例标头,0),FALSE)*VLOOKUP($BJ287,$AR$3:$AY$33,MATCH("换弹时间",$AR$3:$AY$3,0),FALSE),1),0)</f>
        <v>0</v>
      </c>
      <c r="BX287" s="2">
        <f>ROUND(VLOOKUP($BJ287,$AI$3:$AO$33,MATCH(BX$3,$AI$3:$AO$3,0),FALSE)+$BL287/VLOOKUP(VLOOKUP($BJ287,坦克个性化设定!$B$18:$E$48,4,FALSE)&amp;$BK287,坦克属性分配比例,MATCH("升星次数",坦克属性分配比例标头,0),FALSE)*VLOOKUP($BJ287,$AR$3:$AY$33,MATCH(BX$3,$AR$3:$AY$3,0),FALSE),2)</f>
        <v>0</v>
      </c>
      <c r="BY287" s="2">
        <f>ROUND(VLOOKUP($BJ287,$AI$3:$AO$33,MATCH(BY$3,$AI$3:$AO$3,0),FALSE)-$BL287/VLOOKUP(VLOOKUP($BJ287,坦克个性化设定!$B$18:$E$48,4,FALSE)&amp;$BK287,坦克属性分配比例,MATCH("升星次数",坦克属性分配比例标头,0),FALSE)*VLOOKUP($BJ287,$AR$3:$AY$33,MATCH(BY$3,$AR$3:$AY$3,0),FALSE),2)</f>
        <v>2.86</v>
      </c>
    </row>
    <row r="288" spans="60:77" x14ac:dyDescent="0.3">
      <c r="BH288" s="2" t="str">
        <f t="shared" si="35"/>
        <v>T-324</v>
      </c>
      <c r="BI288" s="2">
        <f>IF(BL287&gt;=VLOOKUP(VLOOKUP(BJ287,坦克个性化设定!$B$18:$E$48,4,FALSE)&amp;BK287,坦克属性分配比例,MATCH("升星次数",坦克属性分配比例标头,0),FALSE),BI287+1,BI287)</f>
        <v>29</v>
      </c>
      <c r="BJ288" s="2" t="str">
        <f t="shared" si="36"/>
        <v>T-32</v>
      </c>
      <c r="BK288" s="29" t="str">
        <f>VLOOKUP(BJ288,坦克个性化细分!$I$3:$J$33,2,FALSE)</f>
        <v>高</v>
      </c>
      <c r="BL288" s="2">
        <f t="shared" si="37"/>
        <v>4</v>
      </c>
      <c r="BM288" s="103" t="e">
        <f ca="1">ROUND(VLOOKUP($BJ288&amp;"初始",$S$3:$AE$63,MATCH(BM$3,$S$3:$AE$3,0),FALSE)+((VLOOKUP($BJ288&amp;"最终",$S$3:$AE$63,MATCH(BM$3,$S$3:$AE$3,0),FALSE)*坦克个性化细分!$C$9-VLOOKUP($BJ288&amp;"初始",$S$3:$AE$63,MATCH(BM$3,$S$3:$AE$3,0),FALSE))-(VLOOKUP($BJ288&amp;"最终",$S$3:$AE$63,MATCH(BM$3,$S$3:$AE$3,0),FALSE)-VLOOKUP($BJ288&amp;"初始",$S$3:$AE$63,MATCH(BM$3,$S$3:$AE$3,0),FALSE))*VLOOKUP(VLOOKUP($BJ288,坦克个性化设定!$B$18:$E$48,4,FALSE)&amp;$BK288,坦克属性分配比例,MATCH("部件比例",坦克属性分配比例标头,0),FALSE))*$BL288/VLOOKUP(VLOOKUP($BJ288,坦克个性化设定!$B$18:$E$48,4,FALSE)&amp;$BK288,坦克属性分配比例,MATCH("升星次数",坦克属性分配比例标头,0),FALSE),0)</f>
        <v>#N/A</v>
      </c>
      <c r="BN288" s="103" t="e">
        <f ca="1">ROUND(VLOOKUP($BJ288&amp;"初始",$S$3:$AE$63,MATCH(BN$3,$S$3:$AE$3,0),FALSE)+(VLOOKUP($BJ288&amp;"最终",$S$3:$AE$63,MATCH(BN$3,$S$3:$AE$3,0),FALSE)-VLOOKUP($BJ288&amp;"初始",$S$3:$AE$63,MATCH(BN$3,$S$3:$AE$3,0),FALSE))*$BL288/VLOOKUP(VLOOKUP($BJ288,坦克个性化设定!$B$18:$E$48,4,FALSE)&amp;$BK288,坦克属性分配比例,MATCH("升星次数",坦克属性分配比例标头,0),FALSE)*VLOOKUP(VLOOKUP($BJ288,坦克个性化设定!$B$18:$E$48,4,FALSE)&amp;$BK288,坦克属性分配比例,MATCH("升星比例",坦克属性分配比例标头,0),FALSE),0)</f>
        <v>#N/A</v>
      </c>
      <c r="BO288" s="103" t="e">
        <f ca="1">ROUND(VLOOKUP($BJ288&amp;"初始",$S$3:$AE$63,MATCH(BO$3,$S$3:$AE$3,0),FALSE)+(VLOOKUP($BJ288&amp;"最终",$S$3:$AE$63,MATCH(BO$3,$S$3:$AE$3,0),FALSE)-VLOOKUP($BJ288&amp;"初始",$S$3:$AE$63,MATCH(BO$3,$S$3:$AE$3,0),FALSE))*$BL288/VLOOKUP(VLOOKUP($BJ288,坦克个性化设定!$B$18:$E$48,4,FALSE)&amp;$BK288,坦克属性分配比例,MATCH("升星次数",坦克属性分配比例标头,0),FALSE)*(VLOOKUP(VLOOKUP($BJ288,坦克个性化设定!$B$18:$E$48,4,FALSE)&amp;$BK288,坦克属性分配比例,MATCH("升星比例",坦克属性分配比例标头,0),FALSE)+VLOOKUP(VLOOKUP($BJ288,坦克个性化设定!$B$18:$E$48,4,FALSE)&amp;$BK288,坦克属性分配比例,MATCH("部件比例",坦克属性分配比例标头,0),FALSE)*$C$3),0)</f>
        <v>#N/A</v>
      </c>
      <c r="BP288" s="103" t="e">
        <f ca="1">ROUND(VLOOKUP($BJ288&amp;"初始",$S$3:$AE$63,MATCH(BP$3,$S$3:$AE$3,0),FALSE)+(VLOOKUP($BJ288&amp;"最终",$S$3:$AE$63,MATCH(BP$3,$S$3:$AE$3,0),FALSE)-VLOOKUP($BJ288&amp;"初始",$S$3:$AE$63,MATCH(BP$3,$S$3:$AE$3,0),FALSE))*$BL288/VLOOKUP(VLOOKUP($BJ288,坦克个性化设定!$B$18:$E$48,4,FALSE)&amp;$BK288,坦克属性分配比例,MATCH("升星次数",坦克属性分配比例标头,0),FALSE)*(VLOOKUP(VLOOKUP($BJ288,坦克个性化设定!$B$18:$E$48,4,FALSE)&amp;$BK288,坦克属性分配比例,MATCH("升星比例",坦克属性分配比例标头,0),FALSE)+VLOOKUP(VLOOKUP($BJ288,坦克个性化设定!$B$18:$E$48,4,FALSE)&amp;$BK288,坦克属性分配比例,MATCH("部件比例",坦克属性分配比例标头,0),FALSE)*$C$3),0)</f>
        <v>#N/A</v>
      </c>
      <c r="BQ288" s="103" t="e">
        <f ca="1">ROUND(VLOOKUP($BJ288&amp;"初始",$S$3:$AE$63,MATCH(BQ$3,$S$3:$AE$3,0),FALSE)+(VLOOKUP($BJ288&amp;"最终",$S$3:$AE$63,MATCH(BQ$3,$S$3:$AE$3,0),FALSE)-VLOOKUP($BJ288&amp;"初始",$S$3:$AE$63,MATCH(BQ$3,$S$3:$AE$3,0),FALSE))*$BL288/VLOOKUP(VLOOKUP($BJ288,坦克个性化设定!$B$18:$E$48,4,FALSE)&amp;$BK288,坦克属性分配比例,MATCH("升星次数",坦克属性分配比例标头,0),FALSE)*VLOOKUP(VLOOKUP($BJ288,坦克个性化设定!$B$18:$E$48,4,FALSE)&amp;$BK288,坦克属性分配比例,MATCH("升星比例",坦克属性分配比例标头,0),FALSE),0)</f>
        <v>#N/A</v>
      </c>
      <c r="BR288" s="2" t="e">
        <f ca="1">ROUND(VLOOKUP($BJ288&amp;"初始",$S$3:$AE$63,MATCH(BR$3,$S$3:$AE$3,0),FALSE)+(VLOOKUP($BJ288&amp;"最终",$S$3:$AE$63,MATCH(BR$3,$S$3:$AE$3,0),FALSE)-VLOOKUP($BJ288&amp;"初始",$S$3:$AE$63,MATCH(BR$3,$S$3:$AE$3,0),FALSE))*$BL288/VLOOKUP(VLOOKUP($BJ288,坦克个性化设定!$B$18:$E$48,4,FALSE)&amp;$BK288,坦克属性分配比例,MATCH("升星次数",坦克属性分配比例标头,0),FALSE),0)</f>
        <v>#N/A</v>
      </c>
      <c r="BS288" s="2">
        <f>ROUND(VLOOKUP($BJ288,$AI$3:$AO$33,MATCH(BS$3,$AI$3:$AO$3,0),FALSE)+$BL288/VLOOKUP(VLOOKUP($BJ288,坦克个性化设定!$B$18:$E$48,4,FALSE)&amp;$BK288,坦克属性分配比例,MATCH("升星次数",坦克属性分配比例标头,0),FALSE)*VLOOKUP($BJ288,$AR$3:$AY$33,MATCH(BS$3,$AR$3:$AY$3,0),FALSE),1)</f>
        <v>35.1</v>
      </c>
      <c r="BT288" s="2">
        <f>ROUND(VLOOKUP($BJ288,$AI$3:$AO$33,MATCH(BT$3,$AI$3:$AO$3,0),FALSE)+$BL288/VLOOKUP(VLOOKUP($BJ288,坦克个性化设定!$B$18:$E$48,4,FALSE)&amp;$BK288,坦克属性分配比例,MATCH("升星次数",坦克属性分配比例标头,0),FALSE)*VLOOKUP($BJ288,$AR$3:$AY$33,MATCH(BT$3,$AR$3:$AY$3,0),FALSE),1)</f>
        <v>40.1</v>
      </c>
      <c r="BU288" s="2">
        <f>ROUND(VLOOKUP($BJ288,$AI$3:$AO$33,MATCH(BU$3,$AI$3:$AO$3,0),FALSE)+$BL288/VLOOKUP(VLOOKUP($BJ288,坦克个性化设定!$B$18:$E$48,4,FALSE)&amp;$BK288,坦克属性分配比例,MATCH("升星次数",坦克属性分配比例标头,0),FALSE)*VLOOKUP($BJ288,$AR$3:$AY$33,MATCH(BU$3,$AR$3:$AY$3,0),FALSE),1)</f>
        <v>6.6</v>
      </c>
      <c r="BV288" s="2">
        <f>IF(VLOOKUP(BJ288,坦克个性化设定!$B$18:$BC$48,MATCH("装弹类型",坦克个性化设定!$B$18:$BC$18,0),FALSE)="弹夹换弹",0,ROUND(VLOOKUP($BJ288,$AI$3:$AO$33,MATCH("换弹时间",$AI$3:$AO$3,0),FALSE)-$BL288/VLOOKUP(VLOOKUP($BJ288,坦克个性化设定!$B$18:$E$48,4,FALSE)&amp;$BK288,坦克属性分配比例,MATCH("升星次数",坦克属性分配比例标头,0),FALSE)*VLOOKUP($BJ288,$AR$3:$AY$33,MATCH("换弹时间",$AR$3:$AY$3,0),FALSE),2))</f>
        <v>5.69</v>
      </c>
      <c r="BW288" s="2">
        <f>IF(VLOOKUP(BJ288,坦克个性化设定!$B$18:$BC$48,MATCH("装弹类型",坦克个性化设定!$B$18:$BC$18,0),FALSE)="弹夹换弹",ROUND(VLOOKUP($BJ288,$AI$3:$AO$33,MATCH("换弹时间",$AI$3:$AO$3,0),FALSE)-$BL288/VLOOKUP(VLOOKUP($BJ288,坦克个性化设定!$B$18:$E$48,4,FALSE)&amp;$BK288,坦克属性分配比例,MATCH("升星次数",坦克属性分配比例标头,0),FALSE)*VLOOKUP($BJ288,$AR$3:$AY$33,MATCH("换弹时间",$AR$3:$AY$3,0),FALSE),1),0)</f>
        <v>0</v>
      </c>
      <c r="BX288" s="2">
        <f>ROUND(VLOOKUP($BJ288,$AI$3:$AO$33,MATCH(BX$3,$AI$3:$AO$3,0),FALSE)+$BL288/VLOOKUP(VLOOKUP($BJ288,坦克个性化设定!$B$18:$E$48,4,FALSE)&amp;$BK288,坦克属性分配比例,MATCH("升星次数",坦克属性分配比例标头,0),FALSE)*VLOOKUP($BJ288,$AR$3:$AY$33,MATCH(BX$3,$AR$3:$AY$3,0),FALSE),2)</f>
        <v>0</v>
      </c>
      <c r="BY288" s="2">
        <f>ROUND(VLOOKUP($BJ288,$AI$3:$AO$33,MATCH(BY$3,$AI$3:$AO$3,0),FALSE)-$BL288/VLOOKUP(VLOOKUP($BJ288,坦克个性化设定!$B$18:$E$48,4,FALSE)&amp;$BK288,坦克属性分配比例,MATCH("升星次数",坦克属性分配比例标头,0),FALSE)*VLOOKUP($BJ288,$AR$3:$AY$33,MATCH(BY$3,$AR$3:$AY$3,0),FALSE),2)</f>
        <v>2.82</v>
      </c>
    </row>
    <row r="289" spans="60:77" x14ac:dyDescent="0.3">
      <c r="BH289" s="2" t="str">
        <f t="shared" si="35"/>
        <v>T-325</v>
      </c>
      <c r="BI289" s="2">
        <f>IF(BL288&gt;=VLOOKUP(VLOOKUP(BJ288,坦克个性化设定!$B$18:$E$48,4,FALSE)&amp;BK288,坦克属性分配比例,MATCH("升星次数",坦克属性分配比例标头,0),FALSE),BI288+1,BI288)</f>
        <v>29</v>
      </c>
      <c r="BJ289" s="2" t="str">
        <f t="shared" si="36"/>
        <v>T-32</v>
      </c>
      <c r="BK289" s="29" t="str">
        <f>VLOOKUP(BJ289,坦克个性化细分!$I$3:$J$33,2,FALSE)</f>
        <v>高</v>
      </c>
      <c r="BL289" s="2">
        <f t="shared" si="37"/>
        <v>5</v>
      </c>
      <c r="BM289" s="103" t="e">
        <f ca="1">ROUND(VLOOKUP($BJ289&amp;"初始",$S$3:$AE$63,MATCH(BM$3,$S$3:$AE$3,0),FALSE)+((VLOOKUP($BJ289&amp;"最终",$S$3:$AE$63,MATCH(BM$3,$S$3:$AE$3,0),FALSE)*坦克个性化细分!$C$9-VLOOKUP($BJ289&amp;"初始",$S$3:$AE$63,MATCH(BM$3,$S$3:$AE$3,0),FALSE))-(VLOOKUP($BJ289&amp;"最终",$S$3:$AE$63,MATCH(BM$3,$S$3:$AE$3,0),FALSE)-VLOOKUP($BJ289&amp;"初始",$S$3:$AE$63,MATCH(BM$3,$S$3:$AE$3,0),FALSE))*VLOOKUP(VLOOKUP($BJ289,坦克个性化设定!$B$18:$E$48,4,FALSE)&amp;$BK289,坦克属性分配比例,MATCH("部件比例",坦克属性分配比例标头,0),FALSE))*$BL289/VLOOKUP(VLOOKUP($BJ289,坦克个性化设定!$B$18:$E$48,4,FALSE)&amp;$BK289,坦克属性分配比例,MATCH("升星次数",坦克属性分配比例标头,0),FALSE),0)</f>
        <v>#N/A</v>
      </c>
      <c r="BN289" s="103" t="e">
        <f ca="1">ROUND(VLOOKUP($BJ289&amp;"初始",$S$3:$AE$63,MATCH(BN$3,$S$3:$AE$3,0),FALSE)+(VLOOKUP($BJ289&amp;"最终",$S$3:$AE$63,MATCH(BN$3,$S$3:$AE$3,0),FALSE)-VLOOKUP($BJ289&amp;"初始",$S$3:$AE$63,MATCH(BN$3,$S$3:$AE$3,0),FALSE))*$BL289/VLOOKUP(VLOOKUP($BJ289,坦克个性化设定!$B$18:$E$48,4,FALSE)&amp;$BK289,坦克属性分配比例,MATCH("升星次数",坦克属性分配比例标头,0),FALSE)*VLOOKUP(VLOOKUP($BJ289,坦克个性化设定!$B$18:$E$48,4,FALSE)&amp;$BK289,坦克属性分配比例,MATCH("升星比例",坦克属性分配比例标头,0),FALSE),0)</f>
        <v>#N/A</v>
      </c>
      <c r="BO289" s="103" t="e">
        <f ca="1">ROUND(VLOOKUP($BJ289&amp;"初始",$S$3:$AE$63,MATCH(BO$3,$S$3:$AE$3,0),FALSE)+(VLOOKUP($BJ289&amp;"最终",$S$3:$AE$63,MATCH(BO$3,$S$3:$AE$3,0),FALSE)-VLOOKUP($BJ289&amp;"初始",$S$3:$AE$63,MATCH(BO$3,$S$3:$AE$3,0),FALSE))*$BL289/VLOOKUP(VLOOKUP($BJ289,坦克个性化设定!$B$18:$E$48,4,FALSE)&amp;$BK289,坦克属性分配比例,MATCH("升星次数",坦克属性分配比例标头,0),FALSE)*(VLOOKUP(VLOOKUP($BJ289,坦克个性化设定!$B$18:$E$48,4,FALSE)&amp;$BK289,坦克属性分配比例,MATCH("升星比例",坦克属性分配比例标头,0),FALSE)+VLOOKUP(VLOOKUP($BJ289,坦克个性化设定!$B$18:$E$48,4,FALSE)&amp;$BK289,坦克属性分配比例,MATCH("部件比例",坦克属性分配比例标头,0),FALSE)*$C$3),0)</f>
        <v>#N/A</v>
      </c>
      <c r="BP289" s="103" t="e">
        <f ca="1">ROUND(VLOOKUP($BJ289&amp;"初始",$S$3:$AE$63,MATCH(BP$3,$S$3:$AE$3,0),FALSE)+(VLOOKUP($BJ289&amp;"最终",$S$3:$AE$63,MATCH(BP$3,$S$3:$AE$3,0),FALSE)-VLOOKUP($BJ289&amp;"初始",$S$3:$AE$63,MATCH(BP$3,$S$3:$AE$3,0),FALSE))*$BL289/VLOOKUP(VLOOKUP($BJ289,坦克个性化设定!$B$18:$E$48,4,FALSE)&amp;$BK289,坦克属性分配比例,MATCH("升星次数",坦克属性分配比例标头,0),FALSE)*(VLOOKUP(VLOOKUP($BJ289,坦克个性化设定!$B$18:$E$48,4,FALSE)&amp;$BK289,坦克属性分配比例,MATCH("升星比例",坦克属性分配比例标头,0),FALSE)+VLOOKUP(VLOOKUP($BJ289,坦克个性化设定!$B$18:$E$48,4,FALSE)&amp;$BK289,坦克属性分配比例,MATCH("部件比例",坦克属性分配比例标头,0),FALSE)*$C$3),0)</f>
        <v>#N/A</v>
      </c>
      <c r="BQ289" s="103" t="e">
        <f ca="1">ROUND(VLOOKUP($BJ289&amp;"初始",$S$3:$AE$63,MATCH(BQ$3,$S$3:$AE$3,0),FALSE)+(VLOOKUP($BJ289&amp;"最终",$S$3:$AE$63,MATCH(BQ$3,$S$3:$AE$3,0),FALSE)-VLOOKUP($BJ289&amp;"初始",$S$3:$AE$63,MATCH(BQ$3,$S$3:$AE$3,0),FALSE))*$BL289/VLOOKUP(VLOOKUP($BJ289,坦克个性化设定!$B$18:$E$48,4,FALSE)&amp;$BK289,坦克属性分配比例,MATCH("升星次数",坦克属性分配比例标头,0),FALSE)*VLOOKUP(VLOOKUP($BJ289,坦克个性化设定!$B$18:$E$48,4,FALSE)&amp;$BK289,坦克属性分配比例,MATCH("升星比例",坦克属性分配比例标头,0),FALSE),0)</f>
        <v>#N/A</v>
      </c>
      <c r="BR289" s="2" t="e">
        <f ca="1">ROUND(VLOOKUP($BJ289&amp;"初始",$S$3:$AE$63,MATCH(BR$3,$S$3:$AE$3,0),FALSE)+(VLOOKUP($BJ289&amp;"最终",$S$3:$AE$63,MATCH(BR$3,$S$3:$AE$3,0),FALSE)-VLOOKUP($BJ289&amp;"初始",$S$3:$AE$63,MATCH(BR$3,$S$3:$AE$3,0),FALSE))*$BL289/VLOOKUP(VLOOKUP($BJ289,坦克个性化设定!$B$18:$E$48,4,FALSE)&amp;$BK289,坦克属性分配比例,MATCH("升星次数",坦克属性分配比例标头,0),FALSE),0)</f>
        <v>#N/A</v>
      </c>
      <c r="BS289" s="2">
        <f>ROUND(VLOOKUP($BJ289,$AI$3:$AO$33,MATCH(BS$3,$AI$3:$AO$3,0),FALSE)+$BL289/VLOOKUP(VLOOKUP($BJ289,坦克个性化设定!$B$18:$E$48,4,FALSE)&amp;$BK289,坦克属性分配比例,MATCH("升星次数",坦克属性分配比例标头,0),FALSE)*VLOOKUP($BJ289,$AR$3:$AY$33,MATCH(BS$3,$AR$3:$AY$3,0),FALSE),1)</f>
        <v>35.9</v>
      </c>
      <c r="BT289" s="2">
        <f>ROUND(VLOOKUP($BJ289,$AI$3:$AO$33,MATCH(BT$3,$AI$3:$AO$3,0),FALSE)+$BL289/VLOOKUP(VLOOKUP($BJ289,坦克个性化设定!$B$18:$E$48,4,FALSE)&amp;$BK289,坦克属性分配比例,MATCH("升星次数",坦克属性分配比例标头,0),FALSE)*VLOOKUP($BJ289,$AR$3:$AY$33,MATCH(BT$3,$AR$3:$AY$3,0),FALSE),1)</f>
        <v>41</v>
      </c>
      <c r="BU289" s="2">
        <f>ROUND(VLOOKUP($BJ289,$AI$3:$AO$33,MATCH(BU$3,$AI$3:$AO$3,0),FALSE)+$BL289/VLOOKUP(VLOOKUP($BJ289,坦克个性化设定!$B$18:$E$48,4,FALSE)&amp;$BK289,坦克属性分配比例,MATCH("升星次数",坦克属性分配比例标头,0),FALSE)*VLOOKUP($BJ289,$AR$3:$AY$33,MATCH(BU$3,$AR$3:$AY$3,0),FALSE),1)</f>
        <v>6.6</v>
      </c>
      <c r="BV289" s="2">
        <f>IF(VLOOKUP(BJ289,坦克个性化设定!$B$18:$BC$48,MATCH("装弹类型",坦克个性化设定!$B$18:$BC$18,0),FALSE)="弹夹换弹",0,ROUND(VLOOKUP($BJ289,$AI$3:$AO$33,MATCH("换弹时间",$AI$3:$AO$3,0),FALSE)-$BL289/VLOOKUP(VLOOKUP($BJ289,坦克个性化设定!$B$18:$E$48,4,FALSE)&amp;$BK289,坦克属性分配比例,MATCH("升星次数",坦克属性分配比例标头,0),FALSE)*VLOOKUP($BJ289,$AR$3:$AY$33,MATCH("换弹时间",$AR$3:$AY$3,0),FALSE),2))</f>
        <v>5.61</v>
      </c>
      <c r="BW289" s="2">
        <f>IF(VLOOKUP(BJ289,坦克个性化设定!$B$18:$BC$48,MATCH("装弹类型",坦克个性化设定!$B$18:$BC$18,0),FALSE)="弹夹换弹",ROUND(VLOOKUP($BJ289,$AI$3:$AO$33,MATCH("换弹时间",$AI$3:$AO$3,0),FALSE)-$BL289/VLOOKUP(VLOOKUP($BJ289,坦克个性化设定!$B$18:$E$48,4,FALSE)&amp;$BK289,坦克属性分配比例,MATCH("升星次数",坦克属性分配比例标头,0),FALSE)*VLOOKUP($BJ289,$AR$3:$AY$33,MATCH("换弹时间",$AR$3:$AY$3,0),FALSE),1),0)</f>
        <v>0</v>
      </c>
      <c r="BX289" s="2">
        <f>ROUND(VLOOKUP($BJ289,$AI$3:$AO$33,MATCH(BX$3,$AI$3:$AO$3,0),FALSE)+$BL289/VLOOKUP(VLOOKUP($BJ289,坦克个性化设定!$B$18:$E$48,4,FALSE)&amp;$BK289,坦克属性分配比例,MATCH("升星次数",坦克属性分配比例标头,0),FALSE)*VLOOKUP($BJ289,$AR$3:$AY$33,MATCH(BX$3,$AR$3:$AY$3,0),FALSE),2)</f>
        <v>0</v>
      </c>
      <c r="BY289" s="2">
        <f>ROUND(VLOOKUP($BJ289,$AI$3:$AO$33,MATCH(BY$3,$AI$3:$AO$3,0),FALSE)-$BL289/VLOOKUP(VLOOKUP($BJ289,坦克个性化设定!$B$18:$E$48,4,FALSE)&amp;$BK289,坦克属性分配比例,MATCH("升星次数",坦克属性分配比例标头,0),FALSE)*VLOOKUP($BJ289,$AR$3:$AY$33,MATCH(BY$3,$AR$3:$AY$3,0),FALSE),2)</f>
        <v>2.77</v>
      </c>
    </row>
    <row r="290" spans="60:77" x14ac:dyDescent="0.3">
      <c r="BH290" s="2" t="str">
        <f t="shared" si="35"/>
        <v>T-326</v>
      </c>
      <c r="BI290" s="2">
        <f>IF(BL289&gt;=VLOOKUP(VLOOKUP(BJ289,坦克个性化设定!$B$18:$E$48,4,FALSE)&amp;BK289,坦克属性分配比例,MATCH("升星次数",坦克属性分配比例标头,0),FALSE),BI289+1,BI289)</f>
        <v>29</v>
      </c>
      <c r="BJ290" s="2" t="str">
        <f t="shared" si="36"/>
        <v>T-32</v>
      </c>
      <c r="BK290" s="29" t="str">
        <f>VLOOKUP(BJ290,坦克个性化细分!$I$3:$J$33,2,FALSE)</f>
        <v>高</v>
      </c>
      <c r="BL290" s="2">
        <f t="shared" si="37"/>
        <v>6</v>
      </c>
      <c r="BM290" s="103" t="e">
        <f ca="1">ROUND(VLOOKUP($BJ290&amp;"初始",$S$3:$AE$63,MATCH(BM$3,$S$3:$AE$3,0),FALSE)+((VLOOKUP($BJ290&amp;"最终",$S$3:$AE$63,MATCH(BM$3,$S$3:$AE$3,0),FALSE)*坦克个性化细分!$C$9-VLOOKUP($BJ290&amp;"初始",$S$3:$AE$63,MATCH(BM$3,$S$3:$AE$3,0),FALSE))-(VLOOKUP($BJ290&amp;"最终",$S$3:$AE$63,MATCH(BM$3,$S$3:$AE$3,0),FALSE)-VLOOKUP($BJ290&amp;"初始",$S$3:$AE$63,MATCH(BM$3,$S$3:$AE$3,0),FALSE))*VLOOKUP(VLOOKUP($BJ290,坦克个性化设定!$B$18:$E$48,4,FALSE)&amp;$BK290,坦克属性分配比例,MATCH("部件比例",坦克属性分配比例标头,0),FALSE))*$BL290/VLOOKUP(VLOOKUP($BJ290,坦克个性化设定!$B$18:$E$48,4,FALSE)&amp;$BK290,坦克属性分配比例,MATCH("升星次数",坦克属性分配比例标头,0),FALSE),0)</f>
        <v>#N/A</v>
      </c>
      <c r="BN290" s="103" t="e">
        <f ca="1">ROUND(VLOOKUP($BJ290&amp;"初始",$S$3:$AE$63,MATCH(BN$3,$S$3:$AE$3,0),FALSE)+(VLOOKUP($BJ290&amp;"最终",$S$3:$AE$63,MATCH(BN$3,$S$3:$AE$3,0),FALSE)-VLOOKUP($BJ290&amp;"初始",$S$3:$AE$63,MATCH(BN$3,$S$3:$AE$3,0),FALSE))*$BL290/VLOOKUP(VLOOKUP($BJ290,坦克个性化设定!$B$18:$E$48,4,FALSE)&amp;$BK290,坦克属性分配比例,MATCH("升星次数",坦克属性分配比例标头,0),FALSE)*VLOOKUP(VLOOKUP($BJ290,坦克个性化设定!$B$18:$E$48,4,FALSE)&amp;$BK290,坦克属性分配比例,MATCH("升星比例",坦克属性分配比例标头,0),FALSE),0)</f>
        <v>#N/A</v>
      </c>
      <c r="BO290" s="103" t="e">
        <f ca="1">ROUND(VLOOKUP($BJ290&amp;"初始",$S$3:$AE$63,MATCH(BO$3,$S$3:$AE$3,0),FALSE)+(VLOOKUP($BJ290&amp;"最终",$S$3:$AE$63,MATCH(BO$3,$S$3:$AE$3,0),FALSE)-VLOOKUP($BJ290&amp;"初始",$S$3:$AE$63,MATCH(BO$3,$S$3:$AE$3,0),FALSE))*$BL290/VLOOKUP(VLOOKUP($BJ290,坦克个性化设定!$B$18:$E$48,4,FALSE)&amp;$BK290,坦克属性分配比例,MATCH("升星次数",坦克属性分配比例标头,0),FALSE)*(VLOOKUP(VLOOKUP($BJ290,坦克个性化设定!$B$18:$E$48,4,FALSE)&amp;$BK290,坦克属性分配比例,MATCH("升星比例",坦克属性分配比例标头,0),FALSE)+VLOOKUP(VLOOKUP($BJ290,坦克个性化设定!$B$18:$E$48,4,FALSE)&amp;$BK290,坦克属性分配比例,MATCH("部件比例",坦克属性分配比例标头,0),FALSE)*$C$3),0)</f>
        <v>#N/A</v>
      </c>
      <c r="BP290" s="103" t="e">
        <f ca="1">ROUND(VLOOKUP($BJ290&amp;"初始",$S$3:$AE$63,MATCH(BP$3,$S$3:$AE$3,0),FALSE)+(VLOOKUP($BJ290&amp;"最终",$S$3:$AE$63,MATCH(BP$3,$S$3:$AE$3,0),FALSE)-VLOOKUP($BJ290&amp;"初始",$S$3:$AE$63,MATCH(BP$3,$S$3:$AE$3,0),FALSE))*$BL290/VLOOKUP(VLOOKUP($BJ290,坦克个性化设定!$B$18:$E$48,4,FALSE)&amp;$BK290,坦克属性分配比例,MATCH("升星次数",坦克属性分配比例标头,0),FALSE)*(VLOOKUP(VLOOKUP($BJ290,坦克个性化设定!$B$18:$E$48,4,FALSE)&amp;$BK290,坦克属性分配比例,MATCH("升星比例",坦克属性分配比例标头,0),FALSE)+VLOOKUP(VLOOKUP($BJ290,坦克个性化设定!$B$18:$E$48,4,FALSE)&amp;$BK290,坦克属性分配比例,MATCH("部件比例",坦克属性分配比例标头,0),FALSE)*$C$3),0)</f>
        <v>#N/A</v>
      </c>
      <c r="BQ290" s="103" t="e">
        <f ca="1">ROUND(VLOOKUP($BJ290&amp;"初始",$S$3:$AE$63,MATCH(BQ$3,$S$3:$AE$3,0),FALSE)+(VLOOKUP($BJ290&amp;"最终",$S$3:$AE$63,MATCH(BQ$3,$S$3:$AE$3,0),FALSE)-VLOOKUP($BJ290&amp;"初始",$S$3:$AE$63,MATCH(BQ$3,$S$3:$AE$3,0),FALSE))*$BL290/VLOOKUP(VLOOKUP($BJ290,坦克个性化设定!$B$18:$E$48,4,FALSE)&amp;$BK290,坦克属性分配比例,MATCH("升星次数",坦克属性分配比例标头,0),FALSE)*VLOOKUP(VLOOKUP($BJ290,坦克个性化设定!$B$18:$E$48,4,FALSE)&amp;$BK290,坦克属性分配比例,MATCH("升星比例",坦克属性分配比例标头,0),FALSE),0)</f>
        <v>#N/A</v>
      </c>
      <c r="BR290" s="2" t="e">
        <f ca="1">ROUND(VLOOKUP($BJ290&amp;"初始",$S$3:$AE$63,MATCH(BR$3,$S$3:$AE$3,0),FALSE)+(VLOOKUP($BJ290&amp;"最终",$S$3:$AE$63,MATCH(BR$3,$S$3:$AE$3,0),FALSE)-VLOOKUP($BJ290&amp;"初始",$S$3:$AE$63,MATCH(BR$3,$S$3:$AE$3,0),FALSE))*$BL290/VLOOKUP(VLOOKUP($BJ290,坦克个性化设定!$B$18:$E$48,4,FALSE)&amp;$BK290,坦克属性分配比例,MATCH("升星次数",坦克属性分配比例标头,0),FALSE),0)</f>
        <v>#N/A</v>
      </c>
      <c r="BS290" s="2">
        <f>ROUND(VLOOKUP($BJ290,$AI$3:$AO$33,MATCH(BS$3,$AI$3:$AO$3,0),FALSE)+$BL290/VLOOKUP(VLOOKUP($BJ290,坦克个性化设定!$B$18:$E$48,4,FALSE)&amp;$BK290,坦克属性分配比例,MATCH("升星次数",坦克属性分配比例标头,0),FALSE)*VLOOKUP($BJ290,$AR$3:$AY$33,MATCH(BS$3,$AR$3:$AY$3,0),FALSE),1)</f>
        <v>36.6</v>
      </c>
      <c r="BT290" s="2">
        <f>ROUND(VLOOKUP($BJ290,$AI$3:$AO$33,MATCH(BT$3,$AI$3:$AO$3,0),FALSE)+$BL290/VLOOKUP(VLOOKUP($BJ290,坦克个性化设定!$B$18:$E$48,4,FALSE)&amp;$BK290,坦克属性分配比例,MATCH("升星次数",坦克属性分配比例标头,0),FALSE)*VLOOKUP($BJ290,$AR$3:$AY$33,MATCH(BT$3,$AR$3:$AY$3,0),FALSE),1)</f>
        <v>41.8</v>
      </c>
      <c r="BU290" s="2">
        <f>ROUND(VLOOKUP($BJ290,$AI$3:$AO$33,MATCH(BU$3,$AI$3:$AO$3,0),FALSE)+$BL290/VLOOKUP(VLOOKUP($BJ290,坦克个性化设定!$B$18:$E$48,4,FALSE)&amp;$BK290,坦克属性分配比例,MATCH("升星次数",坦克属性分配比例标头,0),FALSE)*VLOOKUP($BJ290,$AR$3:$AY$33,MATCH(BU$3,$AR$3:$AY$3,0),FALSE),1)</f>
        <v>6.6</v>
      </c>
      <c r="BV290" s="2">
        <f>IF(VLOOKUP(BJ290,坦克个性化设定!$B$18:$BC$48,MATCH("装弹类型",坦克个性化设定!$B$18:$BC$18,0),FALSE)="弹夹换弹",0,ROUND(VLOOKUP($BJ290,$AI$3:$AO$33,MATCH("换弹时间",$AI$3:$AO$3,0),FALSE)-$BL290/VLOOKUP(VLOOKUP($BJ290,坦克个性化设定!$B$18:$E$48,4,FALSE)&amp;$BK290,坦克属性分配比例,MATCH("升星次数",坦克属性分配比例标头,0),FALSE)*VLOOKUP($BJ290,$AR$3:$AY$33,MATCH("换弹时间",$AR$3:$AY$3,0),FALSE),2))</f>
        <v>5.54</v>
      </c>
      <c r="BW290" s="2">
        <f>IF(VLOOKUP(BJ290,坦克个性化设定!$B$18:$BC$48,MATCH("装弹类型",坦克个性化设定!$B$18:$BC$18,0),FALSE)="弹夹换弹",ROUND(VLOOKUP($BJ290,$AI$3:$AO$33,MATCH("换弹时间",$AI$3:$AO$3,0),FALSE)-$BL290/VLOOKUP(VLOOKUP($BJ290,坦克个性化设定!$B$18:$E$48,4,FALSE)&amp;$BK290,坦克属性分配比例,MATCH("升星次数",坦克属性分配比例标头,0),FALSE)*VLOOKUP($BJ290,$AR$3:$AY$33,MATCH("换弹时间",$AR$3:$AY$3,0),FALSE),1),0)</f>
        <v>0</v>
      </c>
      <c r="BX290" s="2">
        <f>ROUND(VLOOKUP($BJ290,$AI$3:$AO$33,MATCH(BX$3,$AI$3:$AO$3,0),FALSE)+$BL290/VLOOKUP(VLOOKUP($BJ290,坦克个性化设定!$B$18:$E$48,4,FALSE)&amp;$BK290,坦克属性分配比例,MATCH("升星次数",坦克属性分配比例标头,0),FALSE)*VLOOKUP($BJ290,$AR$3:$AY$33,MATCH(BX$3,$AR$3:$AY$3,0),FALSE),2)</f>
        <v>0</v>
      </c>
      <c r="BY290" s="2">
        <f>ROUND(VLOOKUP($BJ290,$AI$3:$AO$33,MATCH(BY$3,$AI$3:$AO$3,0),FALSE)-$BL290/VLOOKUP(VLOOKUP($BJ290,坦克个性化设定!$B$18:$E$48,4,FALSE)&amp;$BK290,坦克属性分配比例,MATCH("升星次数",坦克属性分配比例标头,0),FALSE)*VLOOKUP($BJ290,$AR$3:$AY$33,MATCH(BY$3,$AR$3:$AY$3,0),FALSE),2)</f>
        <v>2.73</v>
      </c>
    </row>
    <row r="291" spans="60:77" x14ac:dyDescent="0.3">
      <c r="BH291" s="2" t="str">
        <f t="shared" si="35"/>
        <v>T-327</v>
      </c>
      <c r="BI291" s="2">
        <f>IF(BL290&gt;=VLOOKUP(VLOOKUP(BJ290,坦克个性化设定!$B$18:$E$48,4,FALSE)&amp;BK290,坦克属性分配比例,MATCH("升星次数",坦克属性分配比例标头,0),FALSE),BI290+1,BI290)</f>
        <v>29</v>
      </c>
      <c r="BJ291" s="2" t="str">
        <f t="shared" si="36"/>
        <v>T-32</v>
      </c>
      <c r="BK291" s="29" t="str">
        <f>VLOOKUP(BJ291,坦克个性化细分!$I$3:$J$33,2,FALSE)</f>
        <v>高</v>
      </c>
      <c r="BL291" s="2">
        <f t="shared" si="37"/>
        <v>7</v>
      </c>
      <c r="BM291" s="103" t="e">
        <f ca="1">ROUND(VLOOKUP($BJ291&amp;"初始",$S$3:$AE$63,MATCH(BM$3,$S$3:$AE$3,0),FALSE)+((VLOOKUP($BJ291&amp;"最终",$S$3:$AE$63,MATCH(BM$3,$S$3:$AE$3,0),FALSE)*坦克个性化细分!$C$9-VLOOKUP($BJ291&amp;"初始",$S$3:$AE$63,MATCH(BM$3,$S$3:$AE$3,0),FALSE))-(VLOOKUP($BJ291&amp;"最终",$S$3:$AE$63,MATCH(BM$3,$S$3:$AE$3,0),FALSE)-VLOOKUP($BJ291&amp;"初始",$S$3:$AE$63,MATCH(BM$3,$S$3:$AE$3,0),FALSE))*VLOOKUP(VLOOKUP($BJ291,坦克个性化设定!$B$18:$E$48,4,FALSE)&amp;$BK291,坦克属性分配比例,MATCH("部件比例",坦克属性分配比例标头,0),FALSE))*$BL291/VLOOKUP(VLOOKUP($BJ291,坦克个性化设定!$B$18:$E$48,4,FALSE)&amp;$BK291,坦克属性分配比例,MATCH("升星次数",坦克属性分配比例标头,0),FALSE),0)</f>
        <v>#N/A</v>
      </c>
      <c r="BN291" s="103" t="e">
        <f ca="1">ROUND(VLOOKUP($BJ291&amp;"初始",$S$3:$AE$63,MATCH(BN$3,$S$3:$AE$3,0),FALSE)+(VLOOKUP($BJ291&amp;"最终",$S$3:$AE$63,MATCH(BN$3,$S$3:$AE$3,0),FALSE)-VLOOKUP($BJ291&amp;"初始",$S$3:$AE$63,MATCH(BN$3,$S$3:$AE$3,0),FALSE))*$BL291/VLOOKUP(VLOOKUP($BJ291,坦克个性化设定!$B$18:$E$48,4,FALSE)&amp;$BK291,坦克属性分配比例,MATCH("升星次数",坦克属性分配比例标头,0),FALSE)*VLOOKUP(VLOOKUP($BJ291,坦克个性化设定!$B$18:$E$48,4,FALSE)&amp;$BK291,坦克属性分配比例,MATCH("升星比例",坦克属性分配比例标头,0),FALSE),0)</f>
        <v>#N/A</v>
      </c>
      <c r="BO291" s="103" t="e">
        <f ca="1">ROUND(VLOOKUP($BJ291&amp;"初始",$S$3:$AE$63,MATCH(BO$3,$S$3:$AE$3,0),FALSE)+(VLOOKUP($BJ291&amp;"最终",$S$3:$AE$63,MATCH(BO$3,$S$3:$AE$3,0),FALSE)-VLOOKUP($BJ291&amp;"初始",$S$3:$AE$63,MATCH(BO$3,$S$3:$AE$3,0),FALSE))*$BL291/VLOOKUP(VLOOKUP($BJ291,坦克个性化设定!$B$18:$E$48,4,FALSE)&amp;$BK291,坦克属性分配比例,MATCH("升星次数",坦克属性分配比例标头,0),FALSE)*(VLOOKUP(VLOOKUP($BJ291,坦克个性化设定!$B$18:$E$48,4,FALSE)&amp;$BK291,坦克属性分配比例,MATCH("升星比例",坦克属性分配比例标头,0),FALSE)+VLOOKUP(VLOOKUP($BJ291,坦克个性化设定!$B$18:$E$48,4,FALSE)&amp;$BK291,坦克属性分配比例,MATCH("部件比例",坦克属性分配比例标头,0),FALSE)*$C$3),0)</f>
        <v>#N/A</v>
      </c>
      <c r="BP291" s="103" t="e">
        <f ca="1">ROUND(VLOOKUP($BJ291&amp;"初始",$S$3:$AE$63,MATCH(BP$3,$S$3:$AE$3,0),FALSE)+(VLOOKUP($BJ291&amp;"最终",$S$3:$AE$63,MATCH(BP$3,$S$3:$AE$3,0),FALSE)-VLOOKUP($BJ291&amp;"初始",$S$3:$AE$63,MATCH(BP$3,$S$3:$AE$3,0),FALSE))*$BL291/VLOOKUP(VLOOKUP($BJ291,坦克个性化设定!$B$18:$E$48,4,FALSE)&amp;$BK291,坦克属性分配比例,MATCH("升星次数",坦克属性分配比例标头,0),FALSE)*(VLOOKUP(VLOOKUP($BJ291,坦克个性化设定!$B$18:$E$48,4,FALSE)&amp;$BK291,坦克属性分配比例,MATCH("升星比例",坦克属性分配比例标头,0),FALSE)+VLOOKUP(VLOOKUP($BJ291,坦克个性化设定!$B$18:$E$48,4,FALSE)&amp;$BK291,坦克属性分配比例,MATCH("部件比例",坦克属性分配比例标头,0),FALSE)*$C$3),0)</f>
        <v>#N/A</v>
      </c>
      <c r="BQ291" s="103" t="e">
        <f ca="1">ROUND(VLOOKUP($BJ291&amp;"初始",$S$3:$AE$63,MATCH(BQ$3,$S$3:$AE$3,0),FALSE)+(VLOOKUP($BJ291&amp;"最终",$S$3:$AE$63,MATCH(BQ$3,$S$3:$AE$3,0),FALSE)-VLOOKUP($BJ291&amp;"初始",$S$3:$AE$63,MATCH(BQ$3,$S$3:$AE$3,0),FALSE))*$BL291/VLOOKUP(VLOOKUP($BJ291,坦克个性化设定!$B$18:$E$48,4,FALSE)&amp;$BK291,坦克属性分配比例,MATCH("升星次数",坦克属性分配比例标头,0),FALSE)*VLOOKUP(VLOOKUP($BJ291,坦克个性化设定!$B$18:$E$48,4,FALSE)&amp;$BK291,坦克属性分配比例,MATCH("升星比例",坦克属性分配比例标头,0),FALSE),0)</f>
        <v>#N/A</v>
      </c>
      <c r="BR291" s="2" t="e">
        <f ca="1">ROUND(VLOOKUP($BJ291&amp;"初始",$S$3:$AE$63,MATCH(BR$3,$S$3:$AE$3,0),FALSE)+(VLOOKUP($BJ291&amp;"最终",$S$3:$AE$63,MATCH(BR$3,$S$3:$AE$3,0),FALSE)-VLOOKUP($BJ291&amp;"初始",$S$3:$AE$63,MATCH(BR$3,$S$3:$AE$3,0),FALSE))*$BL291/VLOOKUP(VLOOKUP($BJ291,坦克个性化设定!$B$18:$E$48,4,FALSE)&amp;$BK291,坦克属性分配比例,MATCH("升星次数",坦克属性分配比例标头,0),FALSE),0)</f>
        <v>#N/A</v>
      </c>
      <c r="BS291" s="2">
        <f>ROUND(VLOOKUP($BJ291,$AI$3:$AO$33,MATCH(BS$3,$AI$3:$AO$3,0),FALSE)+$BL291/VLOOKUP(VLOOKUP($BJ291,坦克个性化设定!$B$18:$E$48,4,FALSE)&amp;$BK291,坦克属性分配比例,MATCH("升星次数",坦克属性分配比例标头,0),FALSE)*VLOOKUP($BJ291,$AR$3:$AY$33,MATCH(BS$3,$AR$3:$AY$3,0),FALSE),1)</f>
        <v>37.299999999999997</v>
      </c>
      <c r="BT291" s="2">
        <f>ROUND(VLOOKUP($BJ291,$AI$3:$AO$33,MATCH(BT$3,$AI$3:$AO$3,0),FALSE)+$BL291/VLOOKUP(VLOOKUP($BJ291,坦克个性化设定!$B$18:$E$48,4,FALSE)&amp;$BK291,坦克属性分配比例,MATCH("升星次数",坦克属性分配比例标头,0),FALSE)*VLOOKUP($BJ291,$AR$3:$AY$33,MATCH(BT$3,$AR$3:$AY$3,0),FALSE),1)</f>
        <v>42.7</v>
      </c>
      <c r="BU291" s="2">
        <f>ROUND(VLOOKUP($BJ291,$AI$3:$AO$33,MATCH(BU$3,$AI$3:$AO$3,0),FALSE)+$BL291/VLOOKUP(VLOOKUP($BJ291,坦克个性化设定!$B$18:$E$48,4,FALSE)&amp;$BK291,坦克属性分配比例,MATCH("升星次数",坦克属性分配比例标头,0),FALSE)*VLOOKUP($BJ291,$AR$3:$AY$33,MATCH(BU$3,$AR$3:$AY$3,0),FALSE),1)</f>
        <v>6.6</v>
      </c>
      <c r="BV291" s="2">
        <f>IF(VLOOKUP(BJ291,坦克个性化设定!$B$18:$BC$48,MATCH("装弹类型",坦克个性化设定!$B$18:$BC$18,0),FALSE)="弹夹换弹",0,ROUND(VLOOKUP($BJ291,$AI$3:$AO$33,MATCH("换弹时间",$AI$3:$AO$3,0),FALSE)-$BL291/VLOOKUP(VLOOKUP($BJ291,坦克个性化设定!$B$18:$E$48,4,FALSE)&amp;$BK291,坦克属性分配比例,MATCH("升星次数",坦克属性分配比例标头,0),FALSE)*VLOOKUP($BJ291,$AR$3:$AY$33,MATCH("换弹时间",$AR$3:$AY$3,0),FALSE),2))</f>
        <v>5.46</v>
      </c>
      <c r="BW291" s="2">
        <f>IF(VLOOKUP(BJ291,坦克个性化设定!$B$18:$BC$48,MATCH("装弹类型",坦克个性化设定!$B$18:$BC$18,0),FALSE)="弹夹换弹",ROUND(VLOOKUP($BJ291,$AI$3:$AO$33,MATCH("换弹时间",$AI$3:$AO$3,0),FALSE)-$BL291/VLOOKUP(VLOOKUP($BJ291,坦克个性化设定!$B$18:$E$48,4,FALSE)&amp;$BK291,坦克属性分配比例,MATCH("升星次数",坦克属性分配比例标头,0),FALSE)*VLOOKUP($BJ291,$AR$3:$AY$33,MATCH("换弹时间",$AR$3:$AY$3,0),FALSE),1),0)</f>
        <v>0</v>
      </c>
      <c r="BX291" s="2">
        <f>ROUND(VLOOKUP($BJ291,$AI$3:$AO$33,MATCH(BX$3,$AI$3:$AO$3,0),FALSE)+$BL291/VLOOKUP(VLOOKUP($BJ291,坦克个性化设定!$B$18:$E$48,4,FALSE)&amp;$BK291,坦克属性分配比例,MATCH("升星次数",坦克属性分配比例标头,0),FALSE)*VLOOKUP($BJ291,$AR$3:$AY$33,MATCH(BX$3,$AR$3:$AY$3,0),FALSE),2)</f>
        <v>0</v>
      </c>
      <c r="BY291" s="2">
        <f>ROUND(VLOOKUP($BJ291,$AI$3:$AO$33,MATCH(BY$3,$AI$3:$AO$3,0),FALSE)-$BL291/VLOOKUP(VLOOKUP($BJ291,坦克个性化设定!$B$18:$E$48,4,FALSE)&amp;$BK291,坦克属性分配比例,MATCH("升星次数",坦克属性分配比例标头,0),FALSE)*VLOOKUP($BJ291,$AR$3:$AY$33,MATCH(BY$3,$AR$3:$AY$3,0),FALSE),2)</f>
        <v>2.68</v>
      </c>
    </row>
    <row r="292" spans="60:77" x14ac:dyDescent="0.3">
      <c r="BH292" s="2" t="str">
        <f t="shared" si="35"/>
        <v>T-328</v>
      </c>
      <c r="BI292" s="2">
        <f>IF(BL291&gt;=VLOOKUP(VLOOKUP(BJ291,坦克个性化设定!$B$18:$E$48,4,FALSE)&amp;BK291,坦克属性分配比例,MATCH("升星次数",坦克属性分配比例标头,0),FALSE),BI291+1,BI291)</f>
        <v>29</v>
      </c>
      <c r="BJ292" s="2" t="str">
        <f t="shared" si="36"/>
        <v>T-32</v>
      </c>
      <c r="BK292" s="29" t="str">
        <f>VLOOKUP(BJ292,坦克个性化细分!$I$3:$J$33,2,FALSE)</f>
        <v>高</v>
      </c>
      <c r="BL292" s="2">
        <f t="shared" si="37"/>
        <v>8</v>
      </c>
      <c r="BM292" s="103" t="e">
        <f ca="1">ROUND(VLOOKUP($BJ292&amp;"初始",$S$3:$AE$63,MATCH(BM$3,$S$3:$AE$3,0),FALSE)+((VLOOKUP($BJ292&amp;"最终",$S$3:$AE$63,MATCH(BM$3,$S$3:$AE$3,0),FALSE)*坦克个性化细分!$C$9-VLOOKUP($BJ292&amp;"初始",$S$3:$AE$63,MATCH(BM$3,$S$3:$AE$3,0),FALSE))-(VLOOKUP($BJ292&amp;"最终",$S$3:$AE$63,MATCH(BM$3,$S$3:$AE$3,0),FALSE)-VLOOKUP($BJ292&amp;"初始",$S$3:$AE$63,MATCH(BM$3,$S$3:$AE$3,0),FALSE))*VLOOKUP(VLOOKUP($BJ292,坦克个性化设定!$B$18:$E$48,4,FALSE)&amp;$BK292,坦克属性分配比例,MATCH("部件比例",坦克属性分配比例标头,0),FALSE))*$BL292/VLOOKUP(VLOOKUP($BJ292,坦克个性化设定!$B$18:$E$48,4,FALSE)&amp;$BK292,坦克属性分配比例,MATCH("升星次数",坦克属性分配比例标头,0),FALSE),0)</f>
        <v>#N/A</v>
      </c>
      <c r="BN292" s="103" t="e">
        <f ca="1">ROUND(VLOOKUP($BJ292&amp;"初始",$S$3:$AE$63,MATCH(BN$3,$S$3:$AE$3,0),FALSE)+(VLOOKUP($BJ292&amp;"最终",$S$3:$AE$63,MATCH(BN$3,$S$3:$AE$3,0),FALSE)-VLOOKUP($BJ292&amp;"初始",$S$3:$AE$63,MATCH(BN$3,$S$3:$AE$3,0),FALSE))*$BL292/VLOOKUP(VLOOKUP($BJ292,坦克个性化设定!$B$18:$E$48,4,FALSE)&amp;$BK292,坦克属性分配比例,MATCH("升星次数",坦克属性分配比例标头,0),FALSE)*VLOOKUP(VLOOKUP($BJ292,坦克个性化设定!$B$18:$E$48,4,FALSE)&amp;$BK292,坦克属性分配比例,MATCH("升星比例",坦克属性分配比例标头,0),FALSE),0)</f>
        <v>#N/A</v>
      </c>
      <c r="BO292" s="103" t="e">
        <f ca="1">ROUND(VLOOKUP($BJ292&amp;"初始",$S$3:$AE$63,MATCH(BO$3,$S$3:$AE$3,0),FALSE)+(VLOOKUP($BJ292&amp;"最终",$S$3:$AE$63,MATCH(BO$3,$S$3:$AE$3,0),FALSE)-VLOOKUP($BJ292&amp;"初始",$S$3:$AE$63,MATCH(BO$3,$S$3:$AE$3,0),FALSE))*$BL292/VLOOKUP(VLOOKUP($BJ292,坦克个性化设定!$B$18:$E$48,4,FALSE)&amp;$BK292,坦克属性分配比例,MATCH("升星次数",坦克属性分配比例标头,0),FALSE)*(VLOOKUP(VLOOKUP($BJ292,坦克个性化设定!$B$18:$E$48,4,FALSE)&amp;$BK292,坦克属性分配比例,MATCH("升星比例",坦克属性分配比例标头,0),FALSE)+VLOOKUP(VLOOKUP($BJ292,坦克个性化设定!$B$18:$E$48,4,FALSE)&amp;$BK292,坦克属性分配比例,MATCH("部件比例",坦克属性分配比例标头,0),FALSE)*$C$3),0)</f>
        <v>#N/A</v>
      </c>
      <c r="BP292" s="103" t="e">
        <f ca="1">ROUND(VLOOKUP($BJ292&amp;"初始",$S$3:$AE$63,MATCH(BP$3,$S$3:$AE$3,0),FALSE)+(VLOOKUP($BJ292&amp;"最终",$S$3:$AE$63,MATCH(BP$3,$S$3:$AE$3,0),FALSE)-VLOOKUP($BJ292&amp;"初始",$S$3:$AE$63,MATCH(BP$3,$S$3:$AE$3,0),FALSE))*$BL292/VLOOKUP(VLOOKUP($BJ292,坦克个性化设定!$B$18:$E$48,4,FALSE)&amp;$BK292,坦克属性分配比例,MATCH("升星次数",坦克属性分配比例标头,0),FALSE)*(VLOOKUP(VLOOKUP($BJ292,坦克个性化设定!$B$18:$E$48,4,FALSE)&amp;$BK292,坦克属性分配比例,MATCH("升星比例",坦克属性分配比例标头,0),FALSE)+VLOOKUP(VLOOKUP($BJ292,坦克个性化设定!$B$18:$E$48,4,FALSE)&amp;$BK292,坦克属性分配比例,MATCH("部件比例",坦克属性分配比例标头,0),FALSE)*$C$3),0)</f>
        <v>#N/A</v>
      </c>
      <c r="BQ292" s="103" t="e">
        <f ca="1">ROUND(VLOOKUP($BJ292&amp;"初始",$S$3:$AE$63,MATCH(BQ$3,$S$3:$AE$3,0),FALSE)+(VLOOKUP($BJ292&amp;"最终",$S$3:$AE$63,MATCH(BQ$3,$S$3:$AE$3,0),FALSE)-VLOOKUP($BJ292&amp;"初始",$S$3:$AE$63,MATCH(BQ$3,$S$3:$AE$3,0),FALSE))*$BL292/VLOOKUP(VLOOKUP($BJ292,坦克个性化设定!$B$18:$E$48,4,FALSE)&amp;$BK292,坦克属性分配比例,MATCH("升星次数",坦克属性分配比例标头,0),FALSE)*VLOOKUP(VLOOKUP($BJ292,坦克个性化设定!$B$18:$E$48,4,FALSE)&amp;$BK292,坦克属性分配比例,MATCH("升星比例",坦克属性分配比例标头,0),FALSE),0)</f>
        <v>#N/A</v>
      </c>
      <c r="BR292" s="2" t="e">
        <f ca="1">ROUND(VLOOKUP($BJ292&amp;"初始",$S$3:$AE$63,MATCH(BR$3,$S$3:$AE$3,0),FALSE)+(VLOOKUP($BJ292&amp;"最终",$S$3:$AE$63,MATCH(BR$3,$S$3:$AE$3,0),FALSE)-VLOOKUP($BJ292&amp;"初始",$S$3:$AE$63,MATCH(BR$3,$S$3:$AE$3,0),FALSE))*$BL292/VLOOKUP(VLOOKUP($BJ292,坦克个性化设定!$B$18:$E$48,4,FALSE)&amp;$BK292,坦克属性分配比例,MATCH("升星次数",坦克属性分配比例标头,0),FALSE),0)</f>
        <v>#N/A</v>
      </c>
      <c r="BS292" s="2">
        <f>ROUND(VLOOKUP($BJ292,$AI$3:$AO$33,MATCH(BS$3,$AI$3:$AO$3,0),FALSE)+$BL292/VLOOKUP(VLOOKUP($BJ292,坦克个性化设定!$B$18:$E$48,4,FALSE)&amp;$BK292,坦克属性分配比例,MATCH("升星次数",坦克属性分配比例标头,0),FALSE)*VLOOKUP($BJ292,$AR$3:$AY$33,MATCH(BS$3,$AR$3:$AY$3,0),FALSE),1)</f>
        <v>38.1</v>
      </c>
      <c r="BT292" s="2">
        <f>ROUND(VLOOKUP($BJ292,$AI$3:$AO$33,MATCH(BT$3,$AI$3:$AO$3,0),FALSE)+$BL292/VLOOKUP(VLOOKUP($BJ292,坦克个性化设定!$B$18:$E$48,4,FALSE)&amp;$BK292,坦克属性分配比例,MATCH("升星次数",坦克属性分配比例标头,0),FALSE)*VLOOKUP($BJ292,$AR$3:$AY$33,MATCH(BT$3,$AR$3:$AY$3,0),FALSE),1)</f>
        <v>43.5</v>
      </c>
      <c r="BU292" s="2">
        <f>ROUND(VLOOKUP($BJ292,$AI$3:$AO$33,MATCH(BU$3,$AI$3:$AO$3,0),FALSE)+$BL292/VLOOKUP(VLOOKUP($BJ292,坦克个性化设定!$B$18:$E$48,4,FALSE)&amp;$BK292,坦克属性分配比例,MATCH("升星次数",坦克属性分配比例标头,0),FALSE)*VLOOKUP($BJ292,$AR$3:$AY$33,MATCH(BU$3,$AR$3:$AY$3,0),FALSE),1)</f>
        <v>6.6</v>
      </c>
      <c r="BV292" s="2">
        <f>IF(VLOOKUP(BJ292,坦克个性化设定!$B$18:$BC$48,MATCH("装弹类型",坦克个性化设定!$B$18:$BC$18,0),FALSE)="弹夹换弹",0,ROUND(VLOOKUP($BJ292,$AI$3:$AO$33,MATCH("换弹时间",$AI$3:$AO$3,0),FALSE)-$BL292/VLOOKUP(VLOOKUP($BJ292,坦克个性化设定!$B$18:$E$48,4,FALSE)&amp;$BK292,坦克属性分配比例,MATCH("升星次数",坦克属性分配比例标头,0),FALSE)*VLOOKUP($BJ292,$AR$3:$AY$33,MATCH("换弹时间",$AR$3:$AY$3,0),FALSE),2))</f>
        <v>5.38</v>
      </c>
      <c r="BW292" s="2">
        <f>IF(VLOOKUP(BJ292,坦克个性化设定!$B$18:$BC$48,MATCH("装弹类型",坦克个性化设定!$B$18:$BC$18,0),FALSE)="弹夹换弹",ROUND(VLOOKUP($BJ292,$AI$3:$AO$33,MATCH("换弹时间",$AI$3:$AO$3,0),FALSE)-$BL292/VLOOKUP(VLOOKUP($BJ292,坦克个性化设定!$B$18:$E$48,4,FALSE)&amp;$BK292,坦克属性分配比例,MATCH("升星次数",坦克属性分配比例标头,0),FALSE)*VLOOKUP($BJ292,$AR$3:$AY$33,MATCH("换弹时间",$AR$3:$AY$3,0),FALSE),1),0)</f>
        <v>0</v>
      </c>
      <c r="BX292" s="2">
        <f>ROUND(VLOOKUP($BJ292,$AI$3:$AO$33,MATCH(BX$3,$AI$3:$AO$3,0),FALSE)+$BL292/VLOOKUP(VLOOKUP($BJ292,坦克个性化设定!$B$18:$E$48,4,FALSE)&amp;$BK292,坦克属性分配比例,MATCH("升星次数",坦克属性分配比例标头,0),FALSE)*VLOOKUP($BJ292,$AR$3:$AY$33,MATCH(BX$3,$AR$3:$AY$3,0),FALSE),2)</f>
        <v>0</v>
      </c>
      <c r="BY292" s="2">
        <f>ROUND(VLOOKUP($BJ292,$AI$3:$AO$33,MATCH(BY$3,$AI$3:$AO$3,0),FALSE)-$BL292/VLOOKUP(VLOOKUP($BJ292,坦克个性化设定!$B$18:$E$48,4,FALSE)&amp;$BK292,坦克属性分配比例,MATCH("升星次数",坦克属性分配比例标头,0),FALSE)*VLOOKUP($BJ292,$AR$3:$AY$33,MATCH(BY$3,$AR$3:$AY$3,0),FALSE),2)</f>
        <v>2.64</v>
      </c>
    </row>
    <row r="293" spans="60:77" x14ac:dyDescent="0.3">
      <c r="BH293" s="2" t="str">
        <f t="shared" si="35"/>
        <v>T-329</v>
      </c>
      <c r="BI293" s="2">
        <f>IF(BL292&gt;=VLOOKUP(VLOOKUP(BJ292,坦克个性化设定!$B$18:$E$48,4,FALSE)&amp;BK292,坦克属性分配比例,MATCH("升星次数",坦克属性分配比例标头,0),FALSE),BI292+1,BI292)</f>
        <v>29</v>
      </c>
      <c r="BJ293" s="2" t="str">
        <f t="shared" si="36"/>
        <v>T-32</v>
      </c>
      <c r="BK293" s="29" t="str">
        <f>VLOOKUP(BJ293,坦克个性化细分!$I$3:$J$33,2,FALSE)</f>
        <v>高</v>
      </c>
      <c r="BL293" s="2">
        <f t="shared" si="37"/>
        <v>9</v>
      </c>
      <c r="BM293" s="103" t="e">
        <f ca="1">ROUND(VLOOKUP($BJ293&amp;"初始",$S$3:$AE$63,MATCH(BM$3,$S$3:$AE$3,0),FALSE)+((VLOOKUP($BJ293&amp;"最终",$S$3:$AE$63,MATCH(BM$3,$S$3:$AE$3,0),FALSE)*坦克个性化细分!$C$9-VLOOKUP($BJ293&amp;"初始",$S$3:$AE$63,MATCH(BM$3,$S$3:$AE$3,0),FALSE))-(VLOOKUP($BJ293&amp;"最终",$S$3:$AE$63,MATCH(BM$3,$S$3:$AE$3,0),FALSE)-VLOOKUP($BJ293&amp;"初始",$S$3:$AE$63,MATCH(BM$3,$S$3:$AE$3,0),FALSE))*VLOOKUP(VLOOKUP($BJ293,坦克个性化设定!$B$18:$E$48,4,FALSE)&amp;$BK293,坦克属性分配比例,MATCH("部件比例",坦克属性分配比例标头,0),FALSE))*$BL293/VLOOKUP(VLOOKUP($BJ293,坦克个性化设定!$B$18:$E$48,4,FALSE)&amp;$BK293,坦克属性分配比例,MATCH("升星次数",坦克属性分配比例标头,0),FALSE),0)</f>
        <v>#N/A</v>
      </c>
      <c r="BN293" s="103" t="e">
        <f ca="1">ROUND(VLOOKUP($BJ293&amp;"初始",$S$3:$AE$63,MATCH(BN$3,$S$3:$AE$3,0),FALSE)+(VLOOKUP($BJ293&amp;"最终",$S$3:$AE$63,MATCH(BN$3,$S$3:$AE$3,0),FALSE)-VLOOKUP($BJ293&amp;"初始",$S$3:$AE$63,MATCH(BN$3,$S$3:$AE$3,0),FALSE))*$BL293/VLOOKUP(VLOOKUP($BJ293,坦克个性化设定!$B$18:$E$48,4,FALSE)&amp;$BK293,坦克属性分配比例,MATCH("升星次数",坦克属性分配比例标头,0),FALSE)*VLOOKUP(VLOOKUP($BJ293,坦克个性化设定!$B$18:$E$48,4,FALSE)&amp;$BK293,坦克属性分配比例,MATCH("升星比例",坦克属性分配比例标头,0),FALSE),0)</f>
        <v>#N/A</v>
      </c>
      <c r="BO293" s="103" t="e">
        <f ca="1">ROUND(VLOOKUP($BJ293&amp;"初始",$S$3:$AE$63,MATCH(BO$3,$S$3:$AE$3,0),FALSE)+(VLOOKUP($BJ293&amp;"最终",$S$3:$AE$63,MATCH(BO$3,$S$3:$AE$3,0),FALSE)-VLOOKUP($BJ293&amp;"初始",$S$3:$AE$63,MATCH(BO$3,$S$3:$AE$3,0),FALSE))*$BL293/VLOOKUP(VLOOKUP($BJ293,坦克个性化设定!$B$18:$E$48,4,FALSE)&amp;$BK293,坦克属性分配比例,MATCH("升星次数",坦克属性分配比例标头,0),FALSE)*(VLOOKUP(VLOOKUP($BJ293,坦克个性化设定!$B$18:$E$48,4,FALSE)&amp;$BK293,坦克属性分配比例,MATCH("升星比例",坦克属性分配比例标头,0),FALSE)+VLOOKUP(VLOOKUP($BJ293,坦克个性化设定!$B$18:$E$48,4,FALSE)&amp;$BK293,坦克属性分配比例,MATCH("部件比例",坦克属性分配比例标头,0),FALSE)*$C$3),0)</f>
        <v>#N/A</v>
      </c>
      <c r="BP293" s="103" t="e">
        <f ca="1">ROUND(VLOOKUP($BJ293&amp;"初始",$S$3:$AE$63,MATCH(BP$3,$S$3:$AE$3,0),FALSE)+(VLOOKUP($BJ293&amp;"最终",$S$3:$AE$63,MATCH(BP$3,$S$3:$AE$3,0),FALSE)-VLOOKUP($BJ293&amp;"初始",$S$3:$AE$63,MATCH(BP$3,$S$3:$AE$3,0),FALSE))*$BL293/VLOOKUP(VLOOKUP($BJ293,坦克个性化设定!$B$18:$E$48,4,FALSE)&amp;$BK293,坦克属性分配比例,MATCH("升星次数",坦克属性分配比例标头,0),FALSE)*(VLOOKUP(VLOOKUP($BJ293,坦克个性化设定!$B$18:$E$48,4,FALSE)&amp;$BK293,坦克属性分配比例,MATCH("升星比例",坦克属性分配比例标头,0),FALSE)+VLOOKUP(VLOOKUP($BJ293,坦克个性化设定!$B$18:$E$48,4,FALSE)&amp;$BK293,坦克属性分配比例,MATCH("部件比例",坦克属性分配比例标头,0),FALSE)*$C$3),0)</f>
        <v>#N/A</v>
      </c>
      <c r="BQ293" s="103" t="e">
        <f ca="1">ROUND(VLOOKUP($BJ293&amp;"初始",$S$3:$AE$63,MATCH(BQ$3,$S$3:$AE$3,0),FALSE)+(VLOOKUP($BJ293&amp;"最终",$S$3:$AE$63,MATCH(BQ$3,$S$3:$AE$3,0),FALSE)-VLOOKUP($BJ293&amp;"初始",$S$3:$AE$63,MATCH(BQ$3,$S$3:$AE$3,0),FALSE))*$BL293/VLOOKUP(VLOOKUP($BJ293,坦克个性化设定!$B$18:$E$48,4,FALSE)&amp;$BK293,坦克属性分配比例,MATCH("升星次数",坦克属性分配比例标头,0),FALSE)*VLOOKUP(VLOOKUP($BJ293,坦克个性化设定!$B$18:$E$48,4,FALSE)&amp;$BK293,坦克属性分配比例,MATCH("升星比例",坦克属性分配比例标头,0),FALSE),0)</f>
        <v>#N/A</v>
      </c>
      <c r="BR293" s="2" t="e">
        <f ca="1">ROUND(VLOOKUP($BJ293&amp;"初始",$S$3:$AE$63,MATCH(BR$3,$S$3:$AE$3,0),FALSE)+(VLOOKUP($BJ293&amp;"最终",$S$3:$AE$63,MATCH(BR$3,$S$3:$AE$3,0),FALSE)-VLOOKUP($BJ293&amp;"初始",$S$3:$AE$63,MATCH(BR$3,$S$3:$AE$3,0),FALSE))*$BL293/VLOOKUP(VLOOKUP($BJ293,坦克个性化设定!$B$18:$E$48,4,FALSE)&amp;$BK293,坦克属性分配比例,MATCH("升星次数",坦克属性分配比例标头,0),FALSE),0)</f>
        <v>#N/A</v>
      </c>
      <c r="BS293" s="2">
        <f>ROUND(VLOOKUP($BJ293,$AI$3:$AO$33,MATCH(BS$3,$AI$3:$AO$3,0),FALSE)+$BL293/VLOOKUP(VLOOKUP($BJ293,坦克个性化设定!$B$18:$E$48,4,FALSE)&amp;$BK293,坦克属性分配比例,MATCH("升星次数",坦克属性分配比例标头,0),FALSE)*VLOOKUP($BJ293,$AR$3:$AY$33,MATCH(BS$3,$AR$3:$AY$3,0),FALSE),1)</f>
        <v>38.799999999999997</v>
      </c>
      <c r="BT293" s="2">
        <f>ROUND(VLOOKUP($BJ293,$AI$3:$AO$33,MATCH(BT$3,$AI$3:$AO$3,0),FALSE)+$BL293/VLOOKUP(VLOOKUP($BJ293,坦克个性化设定!$B$18:$E$48,4,FALSE)&amp;$BK293,坦克属性分配比例,MATCH("升星次数",坦克属性分配比例标头,0),FALSE)*VLOOKUP($BJ293,$AR$3:$AY$33,MATCH(BT$3,$AR$3:$AY$3,0),FALSE),1)</f>
        <v>44.3</v>
      </c>
      <c r="BU293" s="2">
        <f>ROUND(VLOOKUP($BJ293,$AI$3:$AO$33,MATCH(BU$3,$AI$3:$AO$3,0),FALSE)+$BL293/VLOOKUP(VLOOKUP($BJ293,坦克个性化设定!$B$18:$E$48,4,FALSE)&amp;$BK293,坦克属性分配比例,MATCH("升星次数",坦克属性分配比例标头,0),FALSE)*VLOOKUP($BJ293,$AR$3:$AY$33,MATCH(BU$3,$AR$3:$AY$3,0),FALSE),1)</f>
        <v>6.6</v>
      </c>
      <c r="BV293" s="2">
        <f>IF(VLOOKUP(BJ293,坦克个性化设定!$B$18:$BC$48,MATCH("装弹类型",坦克个性化设定!$B$18:$BC$18,0),FALSE)="弹夹换弹",0,ROUND(VLOOKUP($BJ293,$AI$3:$AO$33,MATCH("换弹时间",$AI$3:$AO$3,0),FALSE)-$BL293/VLOOKUP(VLOOKUP($BJ293,坦克个性化设定!$B$18:$E$48,4,FALSE)&amp;$BK293,坦克属性分配比例,MATCH("升星次数",坦克属性分配比例标头,0),FALSE)*VLOOKUP($BJ293,$AR$3:$AY$33,MATCH("换弹时间",$AR$3:$AY$3,0),FALSE),2))</f>
        <v>5.3</v>
      </c>
      <c r="BW293" s="2">
        <f>IF(VLOOKUP(BJ293,坦克个性化设定!$B$18:$BC$48,MATCH("装弹类型",坦克个性化设定!$B$18:$BC$18,0),FALSE)="弹夹换弹",ROUND(VLOOKUP($BJ293,$AI$3:$AO$33,MATCH("换弹时间",$AI$3:$AO$3,0),FALSE)-$BL293/VLOOKUP(VLOOKUP($BJ293,坦克个性化设定!$B$18:$E$48,4,FALSE)&amp;$BK293,坦克属性分配比例,MATCH("升星次数",坦克属性分配比例标头,0),FALSE)*VLOOKUP($BJ293,$AR$3:$AY$33,MATCH("换弹时间",$AR$3:$AY$3,0),FALSE),1),0)</f>
        <v>0</v>
      </c>
      <c r="BX293" s="2">
        <f>ROUND(VLOOKUP($BJ293,$AI$3:$AO$33,MATCH(BX$3,$AI$3:$AO$3,0),FALSE)+$BL293/VLOOKUP(VLOOKUP($BJ293,坦克个性化设定!$B$18:$E$48,4,FALSE)&amp;$BK293,坦克属性分配比例,MATCH("升星次数",坦克属性分配比例标头,0),FALSE)*VLOOKUP($BJ293,$AR$3:$AY$33,MATCH(BX$3,$AR$3:$AY$3,0),FALSE),2)</f>
        <v>0</v>
      </c>
      <c r="BY293" s="2">
        <f>ROUND(VLOOKUP($BJ293,$AI$3:$AO$33,MATCH(BY$3,$AI$3:$AO$3,0),FALSE)-$BL293/VLOOKUP(VLOOKUP($BJ293,坦克个性化设定!$B$18:$E$48,4,FALSE)&amp;$BK293,坦克属性分配比例,MATCH("升星次数",坦克属性分配比例标头,0),FALSE)*VLOOKUP($BJ293,$AR$3:$AY$33,MATCH(BY$3,$AR$3:$AY$3,0),FALSE),2)</f>
        <v>2.59</v>
      </c>
    </row>
    <row r="294" spans="60:77" x14ac:dyDescent="0.3">
      <c r="BH294" s="2" t="str">
        <f t="shared" si="35"/>
        <v>T-3210</v>
      </c>
      <c r="BI294" s="2">
        <f>IF(BL293&gt;=VLOOKUP(VLOOKUP(BJ293,坦克个性化设定!$B$18:$E$48,4,FALSE)&amp;BK293,坦克属性分配比例,MATCH("升星次数",坦克属性分配比例标头,0),FALSE),BI293+1,BI293)</f>
        <v>29</v>
      </c>
      <c r="BJ294" s="2" t="str">
        <f t="shared" si="36"/>
        <v>T-32</v>
      </c>
      <c r="BK294" s="29" t="str">
        <f>VLOOKUP(BJ294,坦克个性化细分!$I$3:$J$33,2,FALSE)</f>
        <v>高</v>
      </c>
      <c r="BL294" s="2">
        <f t="shared" si="37"/>
        <v>10</v>
      </c>
      <c r="BM294" s="103" t="e">
        <f ca="1">ROUND(VLOOKUP($BJ294&amp;"初始",$S$3:$AE$63,MATCH(BM$3,$S$3:$AE$3,0),FALSE)+((VLOOKUP($BJ294&amp;"最终",$S$3:$AE$63,MATCH(BM$3,$S$3:$AE$3,0),FALSE)*坦克个性化细分!$C$9-VLOOKUP($BJ294&amp;"初始",$S$3:$AE$63,MATCH(BM$3,$S$3:$AE$3,0),FALSE))-(VLOOKUP($BJ294&amp;"最终",$S$3:$AE$63,MATCH(BM$3,$S$3:$AE$3,0),FALSE)-VLOOKUP($BJ294&amp;"初始",$S$3:$AE$63,MATCH(BM$3,$S$3:$AE$3,0),FALSE))*VLOOKUP(VLOOKUP($BJ294,坦克个性化设定!$B$18:$E$48,4,FALSE)&amp;$BK294,坦克属性分配比例,MATCH("部件比例",坦克属性分配比例标头,0),FALSE))*$BL294/VLOOKUP(VLOOKUP($BJ294,坦克个性化设定!$B$18:$E$48,4,FALSE)&amp;$BK294,坦克属性分配比例,MATCH("升星次数",坦克属性分配比例标头,0),FALSE),0)</f>
        <v>#N/A</v>
      </c>
      <c r="BN294" s="103" t="e">
        <f ca="1">ROUND(VLOOKUP($BJ294&amp;"初始",$S$3:$AE$63,MATCH(BN$3,$S$3:$AE$3,0),FALSE)+(VLOOKUP($BJ294&amp;"最终",$S$3:$AE$63,MATCH(BN$3,$S$3:$AE$3,0),FALSE)-VLOOKUP($BJ294&amp;"初始",$S$3:$AE$63,MATCH(BN$3,$S$3:$AE$3,0),FALSE))*$BL294/VLOOKUP(VLOOKUP($BJ294,坦克个性化设定!$B$18:$E$48,4,FALSE)&amp;$BK294,坦克属性分配比例,MATCH("升星次数",坦克属性分配比例标头,0),FALSE)*VLOOKUP(VLOOKUP($BJ294,坦克个性化设定!$B$18:$E$48,4,FALSE)&amp;$BK294,坦克属性分配比例,MATCH("升星比例",坦克属性分配比例标头,0),FALSE),0)</f>
        <v>#N/A</v>
      </c>
      <c r="BO294" s="103" t="e">
        <f ca="1">ROUND(VLOOKUP($BJ294&amp;"初始",$S$3:$AE$63,MATCH(BO$3,$S$3:$AE$3,0),FALSE)+(VLOOKUP($BJ294&amp;"最终",$S$3:$AE$63,MATCH(BO$3,$S$3:$AE$3,0),FALSE)-VLOOKUP($BJ294&amp;"初始",$S$3:$AE$63,MATCH(BO$3,$S$3:$AE$3,0),FALSE))*$BL294/VLOOKUP(VLOOKUP($BJ294,坦克个性化设定!$B$18:$E$48,4,FALSE)&amp;$BK294,坦克属性分配比例,MATCH("升星次数",坦克属性分配比例标头,0),FALSE)*(VLOOKUP(VLOOKUP($BJ294,坦克个性化设定!$B$18:$E$48,4,FALSE)&amp;$BK294,坦克属性分配比例,MATCH("升星比例",坦克属性分配比例标头,0),FALSE)+VLOOKUP(VLOOKUP($BJ294,坦克个性化设定!$B$18:$E$48,4,FALSE)&amp;$BK294,坦克属性分配比例,MATCH("部件比例",坦克属性分配比例标头,0),FALSE)*$C$3),0)</f>
        <v>#N/A</v>
      </c>
      <c r="BP294" s="103" t="e">
        <f ca="1">ROUND(VLOOKUP($BJ294&amp;"初始",$S$3:$AE$63,MATCH(BP$3,$S$3:$AE$3,0),FALSE)+(VLOOKUP($BJ294&amp;"最终",$S$3:$AE$63,MATCH(BP$3,$S$3:$AE$3,0),FALSE)-VLOOKUP($BJ294&amp;"初始",$S$3:$AE$63,MATCH(BP$3,$S$3:$AE$3,0),FALSE))*$BL294/VLOOKUP(VLOOKUP($BJ294,坦克个性化设定!$B$18:$E$48,4,FALSE)&amp;$BK294,坦克属性分配比例,MATCH("升星次数",坦克属性分配比例标头,0),FALSE)*(VLOOKUP(VLOOKUP($BJ294,坦克个性化设定!$B$18:$E$48,4,FALSE)&amp;$BK294,坦克属性分配比例,MATCH("升星比例",坦克属性分配比例标头,0),FALSE)+VLOOKUP(VLOOKUP($BJ294,坦克个性化设定!$B$18:$E$48,4,FALSE)&amp;$BK294,坦克属性分配比例,MATCH("部件比例",坦克属性分配比例标头,0),FALSE)*$C$3),0)</f>
        <v>#N/A</v>
      </c>
      <c r="BQ294" s="103" t="e">
        <f ca="1">ROUND(VLOOKUP($BJ294&amp;"初始",$S$3:$AE$63,MATCH(BQ$3,$S$3:$AE$3,0),FALSE)+(VLOOKUP($BJ294&amp;"最终",$S$3:$AE$63,MATCH(BQ$3,$S$3:$AE$3,0),FALSE)-VLOOKUP($BJ294&amp;"初始",$S$3:$AE$63,MATCH(BQ$3,$S$3:$AE$3,0),FALSE))*$BL294/VLOOKUP(VLOOKUP($BJ294,坦克个性化设定!$B$18:$E$48,4,FALSE)&amp;$BK294,坦克属性分配比例,MATCH("升星次数",坦克属性分配比例标头,0),FALSE)*VLOOKUP(VLOOKUP($BJ294,坦克个性化设定!$B$18:$E$48,4,FALSE)&amp;$BK294,坦克属性分配比例,MATCH("升星比例",坦克属性分配比例标头,0),FALSE),0)</f>
        <v>#N/A</v>
      </c>
      <c r="BR294" s="2" t="e">
        <f ca="1">ROUND(VLOOKUP($BJ294&amp;"初始",$S$3:$AE$63,MATCH(BR$3,$S$3:$AE$3,0),FALSE)+(VLOOKUP($BJ294&amp;"最终",$S$3:$AE$63,MATCH(BR$3,$S$3:$AE$3,0),FALSE)-VLOOKUP($BJ294&amp;"初始",$S$3:$AE$63,MATCH(BR$3,$S$3:$AE$3,0),FALSE))*$BL294/VLOOKUP(VLOOKUP($BJ294,坦克个性化设定!$B$18:$E$48,4,FALSE)&amp;$BK294,坦克属性分配比例,MATCH("升星次数",坦克属性分配比例标头,0),FALSE),0)</f>
        <v>#N/A</v>
      </c>
      <c r="BS294" s="2">
        <f>ROUND(VLOOKUP($BJ294,$AI$3:$AO$33,MATCH(BS$3,$AI$3:$AO$3,0),FALSE)+$BL294/VLOOKUP(VLOOKUP($BJ294,坦克个性化设定!$B$18:$E$48,4,FALSE)&amp;$BK294,坦克属性分配比例,MATCH("升星次数",坦克属性分配比例标头,0),FALSE)*VLOOKUP($BJ294,$AR$3:$AY$33,MATCH(BS$3,$AR$3:$AY$3,0),FALSE),1)</f>
        <v>39.5</v>
      </c>
      <c r="BT294" s="2">
        <f>ROUND(VLOOKUP($BJ294,$AI$3:$AO$33,MATCH(BT$3,$AI$3:$AO$3,0),FALSE)+$BL294/VLOOKUP(VLOOKUP($BJ294,坦克个性化设定!$B$18:$E$48,4,FALSE)&amp;$BK294,坦克属性分配比例,MATCH("升星次数",坦克属性分配比例标头,0),FALSE)*VLOOKUP($BJ294,$AR$3:$AY$33,MATCH(BT$3,$AR$3:$AY$3,0),FALSE),1)</f>
        <v>45.2</v>
      </c>
      <c r="BU294" s="2">
        <f>ROUND(VLOOKUP($BJ294,$AI$3:$AO$33,MATCH(BU$3,$AI$3:$AO$3,0),FALSE)+$BL294/VLOOKUP(VLOOKUP($BJ294,坦克个性化设定!$B$18:$E$48,4,FALSE)&amp;$BK294,坦克属性分配比例,MATCH("升星次数",坦克属性分配比例标头,0),FALSE)*VLOOKUP($BJ294,$AR$3:$AY$33,MATCH(BU$3,$AR$3:$AY$3,0),FALSE),1)</f>
        <v>6.6</v>
      </c>
      <c r="BV294" s="2">
        <f>IF(VLOOKUP(BJ294,坦克个性化设定!$B$18:$BC$48,MATCH("装弹类型",坦克个性化设定!$B$18:$BC$18,0),FALSE)="弹夹换弹",0,ROUND(VLOOKUP($BJ294,$AI$3:$AO$33,MATCH("换弹时间",$AI$3:$AO$3,0),FALSE)-$BL294/VLOOKUP(VLOOKUP($BJ294,坦克个性化设定!$B$18:$E$48,4,FALSE)&amp;$BK294,坦克属性分配比例,MATCH("升星次数",坦克属性分配比例标头,0),FALSE)*VLOOKUP($BJ294,$AR$3:$AY$33,MATCH("换弹时间",$AR$3:$AY$3,0),FALSE),2))</f>
        <v>5.23</v>
      </c>
      <c r="BW294" s="2">
        <f>IF(VLOOKUP(BJ294,坦克个性化设定!$B$18:$BC$48,MATCH("装弹类型",坦克个性化设定!$B$18:$BC$18,0),FALSE)="弹夹换弹",ROUND(VLOOKUP($BJ294,$AI$3:$AO$33,MATCH("换弹时间",$AI$3:$AO$3,0),FALSE)-$BL294/VLOOKUP(VLOOKUP($BJ294,坦克个性化设定!$B$18:$E$48,4,FALSE)&amp;$BK294,坦克属性分配比例,MATCH("升星次数",坦克属性分配比例标头,0),FALSE)*VLOOKUP($BJ294,$AR$3:$AY$33,MATCH("换弹时间",$AR$3:$AY$3,0),FALSE),1),0)</f>
        <v>0</v>
      </c>
      <c r="BX294" s="2">
        <f>ROUND(VLOOKUP($BJ294,$AI$3:$AO$33,MATCH(BX$3,$AI$3:$AO$3,0),FALSE)+$BL294/VLOOKUP(VLOOKUP($BJ294,坦克个性化设定!$B$18:$E$48,4,FALSE)&amp;$BK294,坦克属性分配比例,MATCH("升星次数",坦克属性分配比例标头,0),FALSE)*VLOOKUP($BJ294,$AR$3:$AY$33,MATCH(BX$3,$AR$3:$AY$3,0),FALSE),2)</f>
        <v>0</v>
      </c>
      <c r="BY294" s="2">
        <f>ROUND(VLOOKUP($BJ294,$AI$3:$AO$33,MATCH(BY$3,$AI$3:$AO$3,0),FALSE)-$BL294/VLOOKUP(VLOOKUP($BJ294,坦克个性化设定!$B$18:$E$48,4,FALSE)&amp;$BK294,坦克属性分配比例,MATCH("升星次数",坦克属性分配比例标头,0),FALSE)*VLOOKUP($BJ294,$AR$3:$AY$33,MATCH(BY$3,$AR$3:$AY$3,0),FALSE),2)</f>
        <v>2.5499999999999998</v>
      </c>
    </row>
    <row r="295" spans="60:77" x14ac:dyDescent="0.3">
      <c r="BH295" s="2" t="str">
        <f t="shared" si="35"/>
        <v>T-3211</v>
      </c>
      <c r="BI295" s="2">
        <f>IF(BL294&gt;=VLOOKUP(VLOOKUP(BJ294,坦克个性化设定!$B$18:$E$48,4,FALSE)&amp;BK294,坦克属性分配比例,MATCH("升星次数",坦克属性分配比例标头,0),FALSE),BI294+1,BI294)</f>
        <v>29</v>
      </c>
      <c r="BJ295" s="2" t="str">
        <f t="shared" si="36"/>
        <v>T-32</v>
      </c>
      <c r="BK295" s="29" t="str">
        <f>VLOOKUP(BJ295,坦克个性化细分!$I$3:$J$33,2,FALSE)</f>
        <v>高</v>
      </c>
      <c r="BL295" s="2">
        <f t="shared" si="37"/>
        <v>11</v>
      </c>
      <c r="BM295" s="103" t="e">
        <f ca="1">ROUND(VLOOKUP($BJ295&amp;"初始",$S$3:$AE$63,MATCH(BM$3,$S$3:$AE$3,0),FALSE)+((VLOOKUP($BJ295&amp;"最终",$S$3:$AE$63,MATCH(BM$3,$S$3:$AE$3,0),FALSE)*坦克个性化细分!$C$9-VLOOKUP($BJ295&amp;"初始",$S$3:$AE$63,MATCH(BM$3,$S$3:$AE$3,0),FALSE))-(VLOOKUP($BJ295&amp;"最终",$S$3:$AE$63,MATCH(BM$3,$S$3:$AE$3,0),FALSE)-VLOOKUP($BJ295&amp;"初始",$S$3:$AE$63,MATCH(BM$3,$S$3:$AE$3,0),FALSE))*VLOOKUP(VLOOKUP($BJ295,坦克个性化设定!$B$18:$E$48,4,FALSE)&amp;$BK295,坦克属性分配比例,MATCH("部件比例",坦克属性分配比例标头,0),FALSE))*$BL295/VLOOKUP(VLOOKUP($BJ295,坦克个性化设定!$B$18:$E$48,4,FALSE)&amp;$BK295,坦克属性分配比例,MATCH("升星次数",坦克属性分配比例标头,0),FALSE),0)</f>
        <v>#N/A</v>
      </c>
      <c r="BN295" s="103" t="e">
        <f ca="1">ROUND(VLOOKUP($BJ295&amp;"初始",$S$3:$AE$63,MATCH(BN$3,$S$3:$AE$3,0),FALSE)+(VLOOKUP($BJ295&amp;"最终",$S$3:$AE$63,MATCH(BN$3,$S$3:$AE$3,0),FALSE)-VLOOKUP($BJ295&amp;"初始",$S$3:$AE$63,MATCH(BN$3,$S$3:$AE$3,0),FALSE))*$BL295/VLOOKUP(VLOOKUP($BJ295,坦克个性化设定!$B$18:$E$48,4,FALSE)&amp;$BK295,坦克属性分配比例,MATCH("升星次数",坦克属性分配比例标头,0),FALSE)*VLOOKUP(VLOOKUP($BJ295,坦克个性化设定!$B$18:$E$48,4,FALSE)&amp;$BK295,坦克属性分配比例,MATCH("升星比例",坦克属性分配比例标头,0),FALSE),0)</f>
        <v>#N/A</v>
      </c>
      <c r="BO295" s="103" t="e">
        <f ca="1">ROUND(VLOOKUP($BJ295&amp;"初始",$S$3:$AE$63,MATCH(BO$3,$S$3:$AE$3,0),FALSE)+(VLOOKUP($BJ295&amp;"最终",$S$3:$AE$63,MATCH(BO$3,$S$3:$AE$3,0),FALSE)-VLOOKUP($BJ295&amp;"初始",$S$3:$AE$63,MATCH(BO$3,$S$3:$AE$3,0),FALSE))*$BL295/VLOOKUP(VLOOKUP($BJ295,坦克个性化设定!$B$18:$E$48,4,FALSE)&amp;$BK295,坦克属性分配比例,MATCH("升星次数",坦克属性分配比例标头,0),FALSE)*(VLOOKUP(VLOOKUP($BJ295,坦克个性化设定!$B$18:$E$48,4,FALSE)&amp;$BK295,坦克属性分配比例,MATCH("升星比例",坦克属性分配比例标头,0),FALSE)+VLOOKUP(VLOOKUP($BJ295,坦克个性化设定!$B$18:$E$48,4,FALSE)&amp;$BK295,坦克属性分配比例,MATCH("部件比例",坦克属性分配比例标头,0),FALSE)*$C$3),0)</f>
        <v>#N/A</v>
      </c>
      <c r="BP295" s="103" t="e">
        <f ca="1">ROUND(VLOOKUP($BJ295&amp;"初始",$S$3:$AE$63,MATCH(BP$3,$S$3:$AE$3,0),FALSE)+(VLOOKUP($BJ295&amp;"最终",$S$3:$AE$63,MATCH(BP$3,$S$3:$AE$3,0),FALSE)-VLOOKUP($BJ295&amp;"初始",$S$3:$AE$63,MATCH(BP$3,$S$3:$AE$3,0),FALSE))*$BL295/VLOOKUP(VLOOKUP($BJ295,坦克个性化设定!$B$18:$E$48,4,FALSE)&amp;$BK295,坦克属性分配比例,MATCH("升星次数",坦克属性分配比例标头,0),FALSE)*(VLOOKUP(VLOOKUP($BJ295,坦克个性化设定!$B$18:$E$48,4,FALSE)&amp;$BK295,坦克属性分配比例,MATCH("升星比例",坦克属性分配比例标头,0),FALSE)+VLOOKUP(VLOOKUP($BJ295,坦克个性化设定!$B$18:$E$48,4,FALSE)&amp;$BK295,坦克属性分配比例,MATCH("部件比例",坦克属性分配比例标头,0),FALSE)*$C$3),0)</f>
        <v>#N/A</v>
      </c>
      <c r="BQ295" s="103" t="e">
        <f ca="1">ROUND(VLOOKUP($BJ295&amp;"初始",$S$3:$AE$63,MATCH(BQ$3,$S$3:$AE$3,0),FALSE)+(VLOOKUP($BJ295&amp;"最终",$S$3:$AE$63,MATCH(BQ$3,$S$3:$AE$3,0),FALSE)-VLOOKUP($BJ295&amp;"初始",$S$3:$AE$63,MATCH(BQ$3,$S$3:$AE$3,0),FALSE))*$BL295/VLOOKUP(VLOOKUP($BJ295,坦克个性化设定!$B$18:$E$48,4,FALSE)&amp;$BK295,坦克属性分配比例,MATCH("升星次数",坦克属性分配比例标头,0),FALSE)*VLOOKUP(VLOOKUP($BJ295,坦克个性化设定!$B$18:$E$48,4,FALSE)&amp;$BK295,坦克属性分配比例,MATCH("升星比例",坦克属性分配比例标头,0),FALSE),0)</f>
        <v>#N/A</v>
      </c>
      <c r="BR295" s="2" t="e">
        <f ca="1">ROUND(VLOOKUP($BJ295&amp;"初始",$S$3:$AE$63,MATCH(BR$3,$S$3:$AE$3,0),FALSE)+(VLOOKUP($BJ295&amp;"最终",$S$3:$AE$63,MATCH(BR$3,$S$3:$AE$3,0),FALSE)-VLOOKUP($BJ295&amp;"初始",$S$3:$AE$63,MATCH(BR$3,$S$3:$AE$3,0),FALSE))*$BL295/VLOOKUP(VLOOKUP($BJ295,坦克个性化设定!$B$18:$E$48,4,FALSE)&amp;$BK295,坦克属性分配比例,MATCH("升星次数",坦克属性分配比例标头,0),FALSE),0)</f>
        <v>#N/A</v>
      </c>
      <c r="BS295" s="2">
        <f>ROUND(VLOOKUP($BJ295,$AI$3:$AO$33,MATCH(BS$3,$AI$3:$AO$3,0),FALSE)+$BL295/VLOOKUP(VLOOKUP($BJ295,坦克个性化设定!$B$18:$E$48,4,FALSE)&amp;$BK295,坦克属性分配比例,MATCH("升星次数",坦克属性分配比例标头,0),FALSE)*VLOOKUP($BJ295,$AR$3:$AY$33,MATCH(BS$3,$AR$3:$AY$3,0),FALSE),1)</f>
        <v>40.299999999999997</v>
      </c>
      <c r="BT295" s="2">
        <f>ROUND(VLOOKUP($BJ295,$AI$3:$AO$33,MATCH(BT$3,$AI$3:$AO$3,0),FALSE)+$BL295/VLOOKUP(VLOOKUP($BJ295,坦克个性化设定!$B$18:$E$48,4,FALSE)&amp;$BK295,坦克属性分配比例,MATCH("升星次数",坦克属性分配比例标头,0),FALSE)*VLOOKUP($BJ295,$AR$3:$AY$33,MATCH(BT$3,$AR$3:$AY$3,0),FALSE),1)</f>
        <v>46</v>
      </c>
      <c r="BU295" s="2">
        <f>ROUND(VLOOKUP($BJ295,$AI$3:$AO$33,MATCH(BU$3,$AI$3:$AO$3,0),FALSE)+$BL295/VLOOKUP(VLOOKUP($BJ295,坦克个性化设定!$B$18:$E$48,4,FALSE)&amp;$BK295,坦克属性分配比例,MATCH("升星次数",坦克属性分配比例标头,0),FALSE)*VLOOKUP($BJ295,$AR$3:$AY$33,MATCH(BU$3,$AR$3:$AY$3,0),FALSE),1)</f>
        <v>6.6</v>
      </c>
      <c r="BV295" s="2">
        <f>IF(VLOOKUP(BJ295,坦克个性化设定!$B$18:$BC$48,MATCH("装弹类型",坦克个性化设定!$B$18:$BC$18,0),FALSE)="弹夹换弹",0,ROUND(VLOOKUP($BJ295,$AI$3:$AO$33,MATCH("换弹时间",$AI$3:$AO$3,0),FALSE)-$BL295/VLOOKUP(VLOOKUP($BJ295,坦克个性化设定!$B$18:$E$48,4,FALSE)&amp;$BK295,坦克属性分配比例,MATCH("升星次数",坦克属性分配比例标头,0),FALSE)*VLOOKUP($BJ295,$AR$3:$AY$33,MATCH("换弹时间",$AR$3:$AY$3,0),FALSE),2))</f>
        <v>5.15</v>
      </c>
      <c r="BW295" s="2">
        <f>IF(VLOOKUP(BJ295,坦克个性化设定!$B$18:$BC$48,MATCH("装弹类型",坦克个性化设定!$B$18:$BC$18,0),FALSE)="弹夹换弹",ROUND(VLOOKUP($BJ295,$AI$3:$AO$33,MATCH("换弹时间",$AI$3:$AO$3,0),FALSE)-$BL295/VLOOKUP(VLOOKUP($BJ295,坦克个性化设定!$B$18:$E$48,4,FALSE)&amp;$BK295,坦克属性分配比例,MATCH("升星次数",坦克属性分配比例标头,0),FALSE)*VLOOKUP($BJ295,$AR$3:$AY$33,MATCH("换弹时间",$AR$3:$AY$3,0),FALSE),1),0)</f>
        <v>0</v>
      </c>
      <c r="BX295" s="2">
        <f>ROUND(VLOOKUP($BJ295,$AI$3:$AO$33,MATCH(BX$3,$AI$3:$AO$3,0),FALSE)+$BL295/VLOOKUP(VLOOKUP($BJ295,坦克个性化设定!$B$18:$E$48,4,FALSE)&amp;$BK295,坦克属性分配比例,MATCH("升星次数",坦克属性分配比例标头,0),FALSE)*VLOOKUP($BJ295,$AR$3:$AY$33,MATCH(BX$3,$AR$3:$AY$3,0),FALSE),2)</f>
        <v>0</v>
      </c>
      <c r="BY295" s="2">
        <f>ROUND(VLOOKUP($BJ295,$AI$3:$AO$33,MATCH(BY$3,$AI$3:$AO$3,0),FALSE)-$BL295/VLOOKUP(VLOOKUP($BJ295,坦克个性化设定!$B$18:$E$48,4,FALSE)&amp;$BK295,坦克属性分配比例,MATCH("升星次数",坦克属性分配比例标头,0),FALSE)*VLOOKUP($BJ295,$AR$3:$AY$33,MATCH(BY$3,$AR$3:$AY$3,0),FALSE),2)</f>
        <v>2.5</v>
      </c>
    </row>
    <row r="296" spans="60:77" x14ac:dyDescent="0.3">
      <c r="BH296" s="2" t="str">
        <f t="shared" si="35"/>
        <v>M1A20</v>
      </c>
      <c r="BI296" s="2">
        <f>IF(BL295&gt;=VLOOKUP(VLOOKUP(BJ295,坦克个性化设定!$B$18:$E$48,4,FALSE)&amp;BK295,坦克属性分配比例,MATCH("升星次数",坦克属性分配比例标头,0),FALSE),BI295+1,BI295)</f>
        <v>30</v>
      </c>
      <c r="BJ296" s="2" t="str">
        <f t="shared" si="36"/>
        <v>M1A2</v>
      </c>
      <c r="BK296" s="29" t="str">
        <f>VLOOKUP(BJ296,坦克个性化细分!$I$3:$J$33,2,FALSE)</f>
        <v>低</v>
      </c>
      <c r="BL296" s="2">
        <f t="shared" si="37"/>
        <v>0</v>
      </c>
      <c r="BM296" s="103" t="e">
        <f ca="1">ROUND(VLOOKUP($BJ296&amp;"初始",$S$3:$AE$63,MATCH(BM$3,$S$3:$AE$3,0),FALSE)+((VLOOKUP($BJ296&amp;"最终",$S$3:$AE$63,MATCH(BM$3,$S$3:$AE$3,0),FALSE)*坦克个性化细分!$C$9-VLOOKUP($BJ296&amp;"初始",$S$3:$AE$63,MATCH(BM$3,$S$3:$AE$3,0),FALSE))-(VLOOKUP($BJ296&amp;"最终",$S$3:$AE$63,MATCH(BM$3,$S$3:$AE$3,0),FALSE)-VLOOKUP($BJ296&amp;"初始",$S$3:$AE$63,MATCH(BM$3,$S$3:$AE$3,0),FALSE))*VLOOKUP(VLOOKUP($BJ296,坦克个性化设定!$B$18:$E$48,4,FALSE)&amp;$BK296,坦克属性分配比例,MATCH("部件比例",坦克属性分配比例标头,0),FALSE))*$BL296/VLOOKUP(VLOOKUP($BJ296,坦克个性化设定!$B$18:$E$48,4,FALSE)&amp;$BK296,坦克属性分配比例,MATCH("升星次数",坦克属性分配比例标头,0),FALSE),0)</f>
        <v>#N/A</v>
      </c>
      <c r="BN296" s="103" t="e">
        <f ca="1">ROUND(VLOOKUP($BJ296&amp;"初始",$S$3:$AE$63,MATCH(BN$3,$S$3:$AE$3,0),FALSE)+(VLOOKUP($BJ296&amp;"最终",$S$3:$AE$63,MATCH(BN$3,$S$3:$AE$3,0),FALSE)-VLOOKUP($BJ296&amp;"初始",$S$3:$AE$63,MATCH(BN$3,$S$3:$AE$3,0),FALSE))*$BL296/VLOOKUP(VLOOKUP($BJ296,坦克个性化设定!$B$18:$E$48,4,FALSE)&amp;$BK296,坦克属性分配比例,MATCH("升星次数",坦克属性分配比例标头,0),FALSE)*VLOOKUP(VLOOKUP($BJ296,坦克个性化设定!$B$18:$E$48,4,FALSE)&amp;$BK296,坦克属性分配比例,MATCH("升星比例",坦克属性分配比例标头,0),FALSE),0)</f>
        <v>#N/A</v>
      </c>
      <c r="BO296" s="103" t="e">
        <f ca="1">ROUND(VLOOKUP($BJ296&amp;"初始",$S$3:$AE$63,MATCH(BO$3,$S$3:$AE$3,0),FALSE)+(VLOOKUP($BJ296&amp;"最终",$S$3:$AE$63,MATCH(BO$3,$S$3:$AE$3,0),FALSE)-VLOOKUP($BJ296&amp;"初始",$S$3:$AE$63,MATCH(BO$3,$S$3:$AE$3,0),FALSE))*$BL296/VLOOKUP(VLOOKUP($BJ296,坦克个性化设定!$B$18:$E$48,4,FALSE)&amp;$BK296,坦克属性分配比例,MATCH("升星次数",坦克属性分配比例标头,0),FALSE)*(VLOOKUP(VLOOKUP($BJ296,坦克个性化设定!$B$18:$E$48,4,FALSE)&amp;$BK296,坦克属性分配比例,MATCH("升星比例",坦克属性分配比例标头,0),FALSE)+VLOOKUP(VLOOKUP($BJ296,坦克个性化设定!$B$18:$E$48,4,FALSE)&amp;$BK296,坦克属性分配比例,MATCH("部件比例",坦克属性分配比例标头,0),FALSE)*$C$3),0)</f>
        <v>#N/A</v>
      </c>
      <c r="BP296" s="103" t="e">
        <f ca="1">ROUND(VLOOKUP($BJ296&amp;"初始",$S$3:$AE$63,MATCH(BP$3,$S$3:$AE$3,0),FALSE)+(VLOOKUP($BJ296&amp;"最终",$S$3:$AE$63,MATCH(BP$3,$S$3:$AE$3,0),FALSE)-VLOOKUP($BJ296&amp;"初始",$S$3:$AE$63,MATCH(BP$3,$S$3:$AE$3,0),FALSE))*$BL296/VLOOKUP(VLOOKUP($BJ296,坦克个性化设定!$B$18:$E$48,4,FALSE)&amp;$BK296,坦克属性分配比例,MATCH("升星次数",坦克属性分配比例标头,0),FALSE)*(VLOOKUP(VLOOKUP($BJ296,坦克个性化设定!$B$18:$E$48,4,FALSE)&amp;$BK296,坦克属性分配比例,MATCH("升星比例",坦克属性分配比例标头,0),FALSE)+VLOOKUP(VLOOKUP($BJ296,坦克个性化设定!$B$18:$E$48,4,FALSE)&amp;$BK296,坦克属性分配比例,MATCH("部件比例",坦克属性分配比例标头,0),FALSE)*$C$3),0)</f>
        <v>#N/A</v>
      </c>
      <c r="BQ296" s="103" t="e">
        <f ca="1">ROUND(VLOOKUP($BJ296&amp;"初始",$S$3:$AE$63,MATCH(BQ$3,$S$3:$AE$3,0),FALSE)+(VLOOKUP($BJ296&amp;"最终",$S$3:$AE$63,MATCH(BQ$3,$S$3:$AE$3,0),FALSE)-VLOOKUP($BJ296&amp;"初始",$S$3:$AE$63,MATCH(BQ$3,$S$3:$AE$3,0),FALSE))*$BL296/VLOOKUP(VLOOKUP($BJ296,坦克个性化设定!$B$18:$E$48,4,FALSE)&amp;$BK296,坦克属性分配比例,MATCH("升星次数",坦克属性分配比例标头,0),FALSE)*VLOOKUP(VLOOKUP($BJ296,坦克个性化设定!$B$18:$E$48,4,FALSE)&amp;$BK296,坦克属性分配比例,MATCH("升星比例",坦克属性分配比例标头,0),FALSE),0)</f>
        <v>#N/A</v>
      </c>
      <c r="BR296" s="2" t="e">
        <f ca="1">ROUND(VLOOKUP($BJ296&amp;"初始",$S$3:$AE$63,MATCH(BR$3,$S$3:$AE$3,0),FALSE)+(VLOOKUP($BJ296&amp;"最终",$S$3:$AE$63,MATCH(BR$3,$S$3:$AE$3,0),FALSE)-VLOOKUP($BJ296&amp;"初始",$S$3:$AE$63,MATCH(BR$3,$S$3:$AE$3,0),FALSE))*$BL296/VLOOKUP(VLOOKUP($BJ296,坦克个性化设定!$B$18:$E$48,4,FALSE)&amp;$BK296,坦克属性分配比例,MATCH("升星次数",坦克属性分配比例标头,0),FALSE),0)</f>
        <v>#N/A</v>
      </c>
      <c r="BS296" s="2">
        <f>ROUND(VLOOKUP($BJ296,$AI$3:$AO$33,MATCH(BS$3,$AI$3:$AO$3,0),FALSE)+$BL296/VLOOKUP(VLOOKUP($BJ296,坦克个性化设定!$B$18:$E$48,4,FALSE)&amp;$BK296,坦克属性分配比例,MATCH("升星次数",坦克属性分配比例标头,0),FALSE)*VLOOKUP($BJ296,$AR$3:$AY$33,MATCH(BS$3,$AR$3:$AY$3,0),FALSE),1)</f>
        <v>30.7</v>
      </c>
      <c r="BT296" s="2">
        <f>ROUND(VLOOKUP($BJ296,$AI$3:$AO$33,MATCH(BT$3,$AI$3:$AO$3,0),FALSE)+$BL296/VLOOKUP(VLOOKUP($BJ296,坦克个性化设定!$B$18:$E$48,4,FALSE)&amp;$BK296,坦克属性分配比例,MATCH("升星次数",坦克属性分配比例标头,0),FALSE)*VLOOKUP($BJ296,$AR$3:$AY$33,MATCH(BT$3,$AR$3:$AY$3,0),FALSE),1)</f>
        <v>35</v>
      </c>
      <c r="BU296" s="2">
        <f>ROUND(VLOOKUP($BJ296,$AI$3:$AO$33,MATCH(BU$3,$AI$3:$AO$3,0),FALSE)+$BL296/VLOOKUP(VLOOKUP($BJ296,坦克个性化设定!$B$18:$E$48,4,FALSE)&amp;$BK296,坦克属性分配比例,MATCH("升星次数",坦克属性分配比例标头,0),FALSE)*VLOOKUP($BJ296,$AR$3:$AY$33,MATCH(BU$3,$AR$3:$AY$3,0),FALSE),1)</f>
        <v>6.3</v>
      </c>
      <c r="BV296" s="2">
        <f>IF(VLOOKUP(BJ296,坦克个性化设定!$B$18:$BC$48,MATCH("装弹类型",坦克个性化设定!$B$18:$BC$18,0),FALSE)="弹夹换弹",0,ROUND(VLOOKUP($BJ296,$AI$3:$AO$33,MATCH("换弹时间",$AI$3:$AO$3,0),FALSE)-$BL296/VLOOKUP(VLOOKUP($BJ296,坦克个性化设定!$B$18:$E$48,4,FALSE)&amp;$BK296,坦克属性分配比例,MATCH("升星次数",坦克属性分配比例标头,0),FALSE)*VLOOKUP($BJ296,$AR$3:$AY$33,MATCH("换弹时间",$AR$3:$AY$3,0),FALSE),2))</f>
        <v>6</v>
      </c>
      <c r="BW296" s="2">
        <f>IF(VLOOKUP(BJ296,坦克个性化设定!$B$18:$BC$48,MATCH("装弹类型",坦克个性化设定!$B$18:$BC$18,0),FALSE)="弹夹换弹",ROUND(VLOOKUP($BJ296,$AI$3:$AO$33,MATCH("换弹时间",$AI$3:$AO$3,0),FALSE)-$BL296/VLOOKUP(VLOOKUP($BJ296,坦克个性化设定!$B$18:$E$48,4,FALSE)&amp;$BK296,坦克属性分配比例,MATCH("升星次数",坦克属性分配比例标头,0),FALSE)*VLOOKUP($BJ296,$AR$3:$AY$33,MATCH("换弹时间",$AR$3:$AY$3,0),FALSE),1),0)</f>
        <v>0</v>
      </c>
      <c r="BX296" s="2">
        <f>ROUND(VLOOKUP($BJ296,$AI$3:$AO$33,MATCH(BX$3,$AI$3:$AO$3,0),FALSE)+$BL296/VLOOKUP(VLOOKUP($BJ296,坦克个性化设定!$B$18:$E$48,4,FALSE)&amp;$BK296,坦克属性分配比例,MATCH("升星次数",坦克属性分配比例标头,0),FALSE)*VLOOKUP($BJ296,$AR$3:$AY$33,MATCH(BX$3,$AR$3:$AY$3,0),FALSE),2)</f>
        <v>0</v>
      </c>
      <c r="BY296" s="2">
        <f>ROUND(VLOOKUP($BJ296,$AI$3:$AO$33,MATCH(BY$3,$AI$3:$AO$3,0),FALSE)-$BL296/VLOOKUP(VLOOKUP($BJ296,坦克个性化设定!$B$18:$E$48,4,FALSE)&amp;$BK296,坦克属性分配比例,MATCH("升星次数",坦克属性分配比例标头,0),FALSE)*VLOOKUP($BJ296,$AR$3:$AY$33,MATCH(BY$3,$AR$3:$AY$3,0),FALSE),2)</f>
        <v>3</v>
      </c>
    </row>
    <row r="297" spans="60:77" x14ac:dyDescent="0.3">
      <c r="BH297" s="2" t="str">
        <f t="shared" si="35"/>
        <v>M1A21</v>
      </c>
      <c r="BI297" s="2">
        <f>IF(BL296&gt;=VLOOKUP(VLOOKUP(BJ296,坦克个性化设定!$B$18:$E$48,4,FALSE)&amp;BK296,坦克属性分配比例,MATCH("升星次数",坦克属性分配比例标头,0),FALSE),BI296+1,BI296)</f>
        <v>30</v>
      </c>
      <c r="BJ297" s="2" t="str">
        <f t="shared" si="36"/>
        <v>M1A2</v>
      </c>
      <c r="BK297" s="29" t="str">
        <f>VLOOKUP(BJ297,坦克个性化细分!$I$3:$J$33,2,FALSE)</f>
        <v>低</v>
      </c>
      <c r="BL297" s="2">
        <f t="shared" si="37"/>
        <v>1</v>
      </c>
      <c r="BM297" s="103" t="e">
        <f ca="1">ROUND(VLOOKUP($BJ297&amp;"初始",$S$3:$AE$63,MATCH(BM$3,$S$3:$AE$3,0),FALSE)+((VLOOKUP($BJ297&amp;"最终",$S$3:$AE$63,MATCH(BM$3,$S$3:$AE$3,0),FALSE)*坦克个性化细分!$C$9-VLOOKUP($BJ297&amp;"初始",$S$3:$AE$63,MATCH(BM$3,$S$3:$AE$3,0),FALSE))-(VLOOKUP($BJ297&amp;"最终",$S$3:$AE$63,MATCH(BM$3,$S$3:$AE$3,0),FALSE)-VLOOKUP($BJ297&amp;"初始",$S$3:$AE$63,MATCH(BM$3,$S$3:$AE$3,0),FALSE))*VLOOKUP(VLOOKUP($BJ297,坦克个性化设定!$B$18:$E$48,4,FALSE)&amp;$BK297,坦克属性分配比例,MATCH("部件比例",坦克属性分配比例标头,0),FALSE))*$BL297/VLOOKUP(VLOOKUP($BJ297,坦克个性化设定!$B$18:$E$48,4,FALSE)&amp;$BK297,坦克属性分配比例,MATCH("升星次数",坦克属性分配比例标头,0),FALSE),0)</f>
        <v>#N/A</v>
      </c>
      <c r="BN297" s="103" t="e">
        <f ca="1">ROUND(VLOOKUP($BJ297&amp;"初始",$S$3:$AE$63,MATCH(BN$3,$S$3:$AE$3,0),FALSE)+(VLOOKUP($BJ297&amp;"最终",$S$3:$AE$63,MATCH(BN$3,$S$3:$AE$3,0),FALSE)-VLOOKUP($BJ297&amp;"初始",$S$3:$AE$63,MATCH(BN$3,$S$3:$AE$3,0),FALSE))*$BL297/VLOOKUP(VLOOKUP($BJ297,坦克个性化设定!$B$18:$E$48,4,FALSE)&amp;$BK297,坦克属性分配比例,MATCH("升星次数",坦克属性分配比例标头,0),FALSE)*VLOOKUP(VLOOKUP($BJ297,坦克个性化设定!$B$18:$E$48,4,FALSE)&amp;$BK297,坦克属性分配比例,MATCH("升星比例",坦克属性分配比例标头,0),FALSE),0)</f>
        <v>#N/A</v>
      </c>
      <c r="BO297" s="103" t="e">
        <f ca="1">ROUND(VLOOKUP($BJ297&amp;"初始",$S$3:$AE$63,MATCH(BO$3,$S$3:$AE$3,0),FALSE)+(VLOOKUP($BJ297&amp;"最终",$S$3:$AE$63,MATCH(BO$3,$S$3:$AE$3,0),FALSE)-VLOOKUP($BJ297&amp;"初始",$S$3:$AE$63,MATCH(BO$3,$S$3:$AE$3,0),FALSE))*$BL297/VLOOKUP(VLOOKUP($BJ297,坦克个性化设定!$B$18:$E$48,4,FALSE)&amp;$BK297,坦克属性分配比例,MATCH("升星次数",坦克属性分配比例标头,0),FALSE)*(VLOOKUP(VLOOKUP($BJ297,坦克个性化设定!$B$18:$E$48,4,FALSE)&amp;$BK297,坦克属性分配比例,MATCH("升星比例",坦克属性分配比例标头,0),FALSE)+VLOOKUP(VLOOKUP($BJ297,坦克个性化设定!$B$18:$E$48,4,FALSE)&amp;$BK297,坦克属性分配比例,MATCH("部件比例",坦克属性分配比例标头,0),FALSE)*$C$3),0)</f>
        <v>#N/A</v>
      </c>
      <c r="BP297" s="103" t="e">
        <f ca="1">ROUND(VLOOKUP($BJ297&amp;"初始",$S$3:$AE$63,MATCH(BP$3,$S$3:$AE$3,0),FALSE)+(VLOOKUP($BJ297&amp;"最终",$S$3:$AE$63,MATCH(BP$3,$S$3:$AE$3,0),FALSE)-VLOOKUP($BJ297&amp;"初始",$S$3:$AE$63,MATCH(BP$3,$S$3:$AE$3,0),FALSE))*$BL297/VLOOKUP(VLOOKUP($BJ297,坦克个性化设定!$B$18:$E$48,4,FALSE)&amp;$BK297,坦克属性分配比例,MATCH("升星次数",坦克属性分配比例标头,0),FALSE)*(VLOOKUP(VLOOKUP($BJ297,坦克个性化设定!$B$18:$E$48,4,FALSE)&amp;$BK297,坦克属性分配比例,MATCH("升星比例",坦克属性分配比例标头,0),FALSE)+VLOOKUP(VLOOKUP($BJ297,坦克个性化设定!$B$18:$E$48,4,FALSE)&amp;$BK297,坦克属性分配比例,MATCH("部件比例",坦克属性分配比例标头,0),FALSE)*$C$3),0)</f>
        <v>#N/A</v>
      </c>
      <c r="BQ297" s="103" t="e">
        <f ca="1">ROUND(VLOOKUP($BJ297&amp;"初始",$S$3:$AE$63,MATCH(BQ$3,$S$3:$AE$3,0),FALSE)+(VLOOKUP($BJ297&amp;"最终",$S$3:$AE$63,MATCH(BQ$3,$S$3:$AE$3,0),FALSE)-VLOOKUP($BJ297&amp;"初始",$S$3:$AE$63,MATCH(BQ$3,$S$3:$AE$3,0),FALSE))*$BL297/VLOOKUP(VLOOKUP($BJ297,坦克个性化设定!$B$18:$E$48,4,FALSE)&amp;$BK297,坦克属性分配比例,MATCH("升星次数",坦克属性分配比例标头,0),FALSE)*VLOOKUP(VLOOKUP($BJ297,坦克个性化设定!$B$18:$E$48,4,FALSE)&amp;$BK297,坦克属性分配比例,MATCH("升星比例",坦克属性分配比例标头,0),FALSE),0)</f>
        <v>#N/A</v>
      </c>
      <c r="BR297" s="2" t="e">
        <f ca="1">ROUND(VLOOKUP($BJ297&amp;"初始",$S$3:$AE$63,MATCH(BR$3,$S$3:$AE$3,0),FALSE)+(VLOOKUP($BJ297&amp;"最终",$S$3:$AE$63,MATCH(BR$3,$S$3:$AE$3,0),FALSE)-VLOOKUP($BJ297&amp;"初始",$S$3:$AE$63,MATCH(BR$3,$S$3:$AE$3,0),FALSE))*$BL297/VLOOKUP(VLOOKUP($BJ297,坦克个性化设定!$B$18:$E$48,4,FALSE)&amp;$BK297,坦克属性分配比例,MATCH("升星次数",坦克属性分配比例标头,0),FALSE),0)</f>
        <v>#N/A</v>
      </c>
      <c r="BS297" s="2">
        <f>ROUND(VLOOKUP($BJ297,$AI$3:$AO$33,MATCH(BS$3,$AI$3:$AO$3,0),FALSE)+$BL297/VLOOKUP(VLOOKUP($BJ297,坦克个性化设定!$B$18:$E$48,4,FALSE)&amp;$BK297,坦克属性分配比例,MATCH("升星次数",坦克属性分配比例标头,0),FALSE)*VLOOKUP($BJ297,$AR$3:$AY$33,MATCH(BS$3,$AR$3:$AY$3,0),FALSE),1)</f>
        <v>31.3</v>
      </c>
      <c r="BT297" s="2">
        <f>ROUND(VLOOKUP($BJ297,$AI$3:$AO$33,MATCH(BT$3,$AI$3:$AO$3,0),FALSE)+$BL297/VLOOKUP(VLOOKUP($BJ297,坦克个性化设定!$B$18:$E$48,4,FALSE)&amp;$BK297,坦克属性分配比例,MATCH("升星次数",坦克属性分配比例标头,0),FALSE)*VLOOKUP($BJ297,$AR$3:$AY$33,MATCH(BT$3,$AR$3:$AY$3,0),FALSE),1)</f>
        <v>35.700000000000003</v>
      </c>
      <c r="BU297" s="2">
        <f>ROUND(VLOOKUP($BJ297,$AI$3:$AO$33,MATCH(BU$3,$AI$3:$AO$3,0),FALSE)+$BL297/VLOOKUP(VLOOKUP($BJ297,坦克个性化设定!$B$18:$E$48,4,FALSE)&amp;$BK297,坦克属性分配比例,MATCH("升星次数",坦克属性分配比例标头,0),FALSE)*VLOOKUP($BJ297,$AR$3:$AY$33,MATCH(BU$3,$AR$3:$AY$3,0),FALSE),1)</f>
        <v>6.3</v>
      </c>
      <c r="BV297" s="2">
        <f>IF(VLOOKUP(BJ297,坦克个性化设定!$B$18:$BC$48,MATCH("装弹类型",坦克个性化设定!$B$18:$BC$18,0),FALSE)="弹夹换弹",0,ROUND(VLOOKUP($BJ297,$AI$3:$AO$33,MATCH("换弹时间",$AI$3:$AO$3,0),FALSE)-$BL297/VLOOKUP(VLOOKUP($BJ297,坦克个性化设定!$B$18:$E$48,4,FALSE)&amp;$BK297,坦克属性分配比例,MATCH("升星次数",坦克属性分配比例标头,0),FALSE)*VLOOKUP($BJ297,$AR$3:$AY$33,MATCH("换弹时间",$AR$3:$AY$3,0),FALSE),2))</f>
        <v>5.93</v>
      </c>
      <c r="BW297" s="2">
        <f>IF(VLOOKUP(BJ297,坦克个性化设定!$B$18:$BC$48,MATCH("装弹类型",坦克个性化设定!$B$18:$BC$18,0),FALSE)="弹夹换弹",ROUND(VLOOKUP($BJ297,$AI$3:$AO$33,MATCH("换弹时间",$AI$3:$AO$3,0),FALSE)-$BL297/VLOOKUP(VLOOKUP($BJ297,坦克个性化设定!$B$18:$E$48,4,FALSE)&amp;$BK297,坦克属性分配比例,MATCH("升星次数",坦克属性分配比例标头,0),FALSE)*VLOOKUP($BJ297,$AR$3:$AY$33,MATCH("换弹时间",$AR$3:$AY$3,0),FALSE),1),0)</f>
        <v>0</v>
      </c>
      <c r="BX297" s="2">
        <f>ROUND(VLOOKUP($BJ297,$AI$3:$AO$33,MATCH(BX$3,$AI$3:$AO$3,0),FALSE)+$BL297/VLOOKUP(VLOOKUP($BJ297,坦克个性化设定!$B$18:$E$48,4,FALSE)&amp;$BK297,坦克属性分配比例,MATCH("升星次数",坦克属性分配比例标头,0),FALSE)*VLOOKUP($BJ297,$AR$3:$AY$33,MATCH(BX$3,$AR$3:$AY$3,0),FALSE),2)</f>
        <v>0</v>
      </c>
      <c r="BY297" s="2">
        <f>ROUND(VLOOKUP($BJ297,$AI$3:$AO$33,MATCH(BY$3,$AI$3:$AO$3,0),FALSE)-$BL297/VLOOKUP(VLOOKUP($BJ297,坦克个性化设定!$B$18:$E$48,4,FALSE)&amp;$BK297,坦克属性分配比例,MATCH("升星次数",坦克属性分配比例标头,0),FALSE)*VLOOKUP($BJ297,$AR$3:$AY$33,MATCH(BY$3,$AR$3:$AY$3,0),FALSE),2)</f>
        <v>2.96</v>
      </c>
    </row>
    <row r="298" spans="60:77" x14ac:dyDescent="0.3">
      <c r="BH298" s="2" t="str">
        <f t="shared" si="35"/>
        <v>M1A22</v>
      </c>
      <c r="BI298" s="2">
        <f>IF(BL297&gt;=VLOOKUP(VLOOKUP(BJ297,坦克个性化设定!$B$18:$E$48,4,FALSE)&amp;BK297,坦克属性分配比例,MATCH("升星次数",坦克属性分配比例标头,0),FALSE),BI297+1,BI297)</f>
        <v>30</v>
      </c>
      <c r="BJ298" s="2" t="str">
        <f t="shared" si="36"/>
        <v>M1A2</v>
      </c>
      <c r="BK298" s="29" t="str">
        <f>VLOOKUP(BJ298,坦克个性化细分!$I$3:$J$33,2,FALSE)</f>
        <v>低</v>
      </c>
      <c r="BL298" s="2">
        <f t="shared" si="37"/>
        <v>2</v>
      </c>
      <c r="BM298" s="103" t="e">
        <f ca="1">ROUND(VLOOKUP($BJ298&amp;"初始",$S$3:$AE$63,MATCH(BM$3,$S$3:$AE$3,0),FALSE)+((VLOOKUP($BJ298&amp;"最终",$S$3:$AE$63,MATCH(BM$3,$S$3:$AE$3,0),FALSE)*坦克个性化细分!$C$9-VLOOKUP($BJ298&amp;"初始",$S$3:$AE$63,MATCH(BM$3,$S$3:$AE$3,0),FALSE))-(VLOOKUP($BJ298&amp;"最终",$S$3:$AE$63,MATCH(BM$3,$S$3:$AE$3,0),FALSE)-VLOOKUP($BJ298&amp;"初始",$S$3:$AE$63,MATCH(BM$3,$S$3:$AE$3,0),FALSE))*VLOOKUP(VLOOKUP($BJ298,坦克个性化设定!$B$18:$E$48,4,FALSE)&amp;$BK298,坦克属性分配比例,MATCH("部件比例",坦克属性分配比例标头,0),FALSE))*$BL298/VLOOKUP(VLOOKUP($BJ298,坦克个性化设定!$B$18:$E$48,4,FALSE)&amp;$BK298,坦克属性分配比例,MATCH("升星次数",坦克属性分配比例标头,0),FALSE),0)</f>
        <v>#N/A</v>
      </c>
      <c r="BN298" s="103" t="e">
        <f ca="1">ROUND(VLOOKUP($BJ298&amp;"初始",$S$3:$AE$63,MATCH(BN$3,$S$3:$AE$3,0),FALSE)+(VLOOKUP($BJ298&amp;"最终",$S$3:$AE$63,MATCH(BN$3,$S$3:$AE$3,0),FALSE)-VLOOKUP($BJ298&amp;"初始",$S$3:$AE$63,MATCH(BN$3,$S$3:$AE$3,0),FALSE))*$BL298/VLOOKUP(VLOOKUP($BJ298,坦克个性化设定!$B$18:$E$48,4,FALSE)&amp;$BK298,坦克属性分配比例,MATCH("升星次数",坦克属性分配比例标头,0),FALSE)*VLOOKUP(VLOOKUP($BJ298,坦克个性化设定!$B$18:$E$48,4,FALSE)&amp;$BK298,坦克属性分配比例,MATCH("升星比例",坦克属性分配比例标头,0),FALSE),0)</f>
        <v>#N/A</v>
      </c>
      <c r="BO298" s="103" t="e">
        <f ca="1">ROUND(VLOOKUP($BJ298&amp;"初始",$S$3:$AE$63,MATCH(BO$3,$S$3:$AE$3,0),FALSE)+(VLOOKUP($BJ298&amp;"最终",$S$3:$AE$63,MATCH(BO$3,$S$3:$AE$3,0),FALSE)-VLOOKUP($BJ298&amp;"初始",$S$3:$AE$63,MATCH(BO$3,$S$3:$AE$3,0),FALSE))*$BL298/VLOOKUP(VLOOKUP($BJ298,坦克个性化设定!$B$18:$E$48,4,FALSE)&amp;$BK298,坦克属性分配比例,MATCH("升星次数",坦克属性分配比例标头,0),FALSE)*(VLOOKUP(VLOOKUP($BJ298,坦克个性化设定!$B$18:$E$48,4,FALSE)&amp;$BK298,坦克属性分配比例,MATCH("升星比例",坦克属性分配比例标头,0),FALSE)+VLOOKUP(VLOOKUP($BJ298,坦克个性化设定!$B$18:$E$48,4,FALSE)&amp;$BK298,坦克属性分配比例,MATCH("部件比例",坦克属性分配比例标头,0),FALSE)*$C$3),0)</f>
        <v>#N/A</v>
      </c>
      <c r="BP298" s="103" t="e">
        <f ca="1">ROUND(VLOOKUP($BJ298&amp;"初始",$S$3:$AE$63,MATCH(BP$3,$S$3:$AE$3,0),FALSE)+(VLOOKUP($BJ298&amp;"最终",$S$3:$AE$63,MATCH(BP$3,$S$3:$AE$3,0),FALSE)-VLOOKUP($BJ298&amp;"初始",$S$3:$AE$63,MATCH(BP$3,$S$3:$AE$3,0),FALSE))*$BL298/VLOOKUP(VLOOKUP($BJ298,坦克个性化设定!$B$18:$E$48,4,FALSE)&amp;$BK298,坦克属性分配比例,MATCH("升星次数",坦克属性分配比例标头,0),FALSE)*(VLOOKUP(VLOOKUP($BJ298,坦克个性化设定!$B$18:$E$48,4,FALSE)&amp;$BK298,坦克属性分配比例,MATCH("升星比例",坦克属性分配比例标头,0),FALSE)+VLOOKUP(VLOOKUP($BJ298,坦克个性化设定!$B$18:$E$48,4,FALSE)&amp;$BK298,坦克属性分配比例,MATCH("部件比例",坦克属性分配比例标头,0),FALSE)*$C$3),0)</f>
        <v>#N/A</v>
      </c>
      <c r="BQ298" s="103" t="e">
        <f ca="1">ROUND(VLOOKUP($BJ298&amp;"初始",$S$3:$AE$63,MATCH(BQ$3,$S$3:$AE$3,0),FALSE)+(VLOOKUP($BJ298&amp;"最终",$S$3:$AE$63,MATCH(BQ$3,$S$3:$AE$3,0),FALSE)-VLOOKUP($BJ298&amp;"初始",$S$3:$AE$63,MATCH(BQ$3,$S$3:$AE$3,0),FALSE))*$BL298/VLOOKUP(VLOOKUP($BJ298,坦克个性化设定!$B$18:$E$48,4,FALSE)&amp;$BK298,坦克属性分配比例,MATCH("升星次数",坦克属性分配比例标头,0),FALSE)*VLOOKUP(VLOOKUP($BJ298,坦克个性化设定!$B$18:$E$48,4,FALSE)&amp;$BK298,坦克属性分配比例,MATCH("升星比例",坦克属性分配比例标头,0),FALSE),0)</f>
        <v>#N/A</v>
      </c>
      <c r="BR298" s="2" t="e">
        <f ca="1">ROUND(VLOOKUP($BJ298&amp;"初始",$S$3:$AE$63,MATCH(BR$3,$S$3:$AE$3,0),FALSE)+(VLOOKUP($BJ298&amp;"最终",$S$3:$AE$63,MATCH(BR$3,$S$3:$AE$3,0),FALSE)-VLOOKUP($BJ298&amp;"初始",$S$3:$AE$63,MATCH(BR$3,$S$3:$AE$3,0),FALSE))*$BL298/VLOOKUP(VLOOKUP($BJ298,坦克个性化设定!$B$18:$E$48,4,FALSE)&amp;$BK298,坦克属性分配比例,MATCH("升星次数",坦克属性分配比例标头,0),FALSE),0)</f>
        <v>#N/A</v>
      </c>
      <c r="BS298" s="2">
        <f>ROUND(VLOOKUP($BJ298,$AI$3:$AO$33,MATCH(BS$3,$AI$3:$AO$3,0),FALSE)+$BL298/VLOOKUP(VLOOKUP($BJ298,坦克个性化设定!$B$18:$E$48,4,FALSE)&amp;$BK298,坦克属性分配比例,MATCH("升星次数",坦克属性分配比例标头,0),FALSE)*VLOOKUP($BJ298,$AR$3:$AY$33,MATCH(BS$3,$AR$3:$AY$3,0),FALSE),1)</f>
        <v>31.9</v>
      </c>
      <c r="BT298" s="2">
        <f>ROUND(VLOOKUP($BJ298,$AI$3:$AO$33,MATCH(BT$3,$AI$3:$AO$3,0),FALSE)+$BL298/VLOOKUP(VLOOKUP($BJ298,坦克个性化设定!$B$18:$E$48,4,FALSE)&amp;$BK298,坦克属性分配比例,MATCH("升星次数",坦克属性分配比例标头,0),FALSE)*VLOOKUP($BJ298,$AR$3:$AY$33,MATCH(BT$3,$AR$3:$AY$3,0),FALSE),1)</f>
        <v>36.299999999999997</v>
      </c>
      <c r="BU298" s="2">
        <f>ROUND(VLOOKUP($BJ298,$AI$3:$AO$33,MATCH(BU$3,$AI$3:$AO$3,0),FALSE)+$BL298/VLOOKUP(VLOOKUP($BJ298,坦克个性化设定!$B$18:$E$48,4,FALSE)&amp;$BK298,坦克属性分配比例,MATCH("升星次数",坦克属性分配比例标头,0),FALSE)*VLOOKUP($BJ298,$AR$3:$AY$33,MATCH(BU$3,$AR$3:$AY$3,0),FALSE),1)</f>
        <v>6.3</v>
      </c>
      <c r="BV298" s="2">
        <f>IF(VLOOKUP(BJ298,坦克个性化设定!$B$18:$BC$48,MATCH("装弹类型",坦克个性化设定!$B$18:$BC$18,0),FALSE)="弹夹换弹",0,ROUND(VLOOKUP($BJ298,$AI$3:$AO$33,MATCH("换弹时间",$AI$3:$AO$3,0),FALSE)-$BL298/VLOOKUP(VLOOKUP($BJ298,坦克个性化设定!$B$18:$E$48,4,FALSE)&amp;$BK298,坦克属性分配比例,MATCH("升星次数",坦克属性分配比例标头,0),FALSE)*VLOOKUP($BJ298,$AR$3:$AY$33,MATCH("换弹时间",$AR$3:$AY$3,0),FALSE),2))</f>
        <v>5.87</v>
      </c>
      <c r="BW298" s="2">
        <f>IF(VLOOKUP(BJ298,坦克个性化设定!$B$18:$BC$48,MATCH("装弹类型",坦克个性化设定!$B$18:$BC$18,0),FALSE)="弹夹换弹",ROUND(VLOOKUP($BJ298,$AI$3:$AO$33,MATCH("换弹时间",$AI$3:$AO$3,0),FALSE)-$BL298/VLOOKUP(VLOOKUP($BJ298,坦克个性化设定!$B$18:$E$48,4,FALSE)&amp;$BK298,坦克属性分配比例,MATCH("升星次数",坦克属性分配比例标头,0),FALSE)*VLOOKUP($BJ298,$AR$3:$AY$33,MATCH("换弹时间",$AR$3:$AY$3,0),FALSE),1),0)</f>
        <v>0</v>
      </c>
      <c r="BX298" s="2">
        <f>ROUND(VLOOKUP($BJ298,$AI$3:$AO$33,MATCH(BX$3,$AI$3:$AO$3,0),FALSE)+$BL298/VLOOKUP(VLOOKUP($BJ298,坦克个性化设定!$B$18:$E$48,4,FALSE)&amp;$BK298,坦克属性分配比例,MATCH("升星次数",坦克属性分配比例标头,0),FALSE)*VLOOKUP($BJ298,$AR$3:$AY$33,MATCH(BX$3,$AR$3:$AY$3,0),FALSE),2)</f>
        <v>0</v>
      </c>
      <c r="BY298" s="2">
        <f>ROUND(VLOOKUP($BJ298,$AI$3:$AO$33,MATCH(BY$3,$AI$3:$AO$3,0),FALSE)-$BL298/VLOOKUP(VLOOKUP($BJ298,坦克个性化设定!$B$18:$E$48,4,FALSE)&amp;$BK298,坦克属性分配比例,MATCH("升星次数",坦克属性分配比例标头,0),FALSE)*VLOOKUP($BJ298,$AR$3:$AY$33,MATCH(BY$3,$AR$3:$AY$3,0),FALSE),2)</f>
        <v>2.92</v>
      </c>
    </row>
    <row r="299" spans="60:77" x14ac:dyDescent="0.3">
      <c r="BH299" s="2" t="str">
        <f t="shared" si="35"/>
        <v>M1A23</v>
      </c>
      <c r="BI299" s="2">
        <f>IF(BL298&gt;=VLOOKUP(VLOOKUP(BJ298,坦克个性化设定!$B$18:$E$48,4,FALSE)&amp;BK298,坦克属性分配比例,MATCH("升星次数",坦克属性分配比例标头,0),FALSE),BI298+1,BI298)</f>
        <v>30</v>
      </c>
      <c r="BJ299" s="2" t="str">
        <f t="shared" si="36"/>
        <v>M1A2</v>
      </c>
      <c r="BK299" s="29" t="str">
        <f>VLOOKUP(BJ299,坦克个性化细分!$I$3:$J$33,2,FALSE)</f>
        <v>低</v>
      </c>
      <c r="BL299" s="2">
        <f t="shared" si="37"/>
        <v>3</v>
      </c>
      <c r="BM299" s="103" t="e">
        <f ca="1">ROUND(VLOOKUP($BJ299&amp;"初始",$S$3:$AE$63,MATCH(BM$3,$S$3:$AE$3,0),FALSE)+((VLOOKUP($BJ299&amp;"最终",$S$3:$AE$63,MATCH(BM$3,$S$3:$AE$3,0),FALSE)*坦克个性化细分!$C$9-VLOOKUP($BJ299&amp;"初始",$S$3:$AE$63,MATCH(BM$3,$S$3:$AE$3,0),FALSE))-(VLOOKUP($BJ299&amp;"最终",$S$3:$AE$63,MATCH(BM$3,$S$3:$AE$3,0),FALSE)-VLOOKUP($BJ299&amp;"初始",$S$3:$AE$63,MATCH(BM$3,$S$3:$AE$3,0),FALSE))*VLOOKUP(VLOOKUP($BJ299,坦克个性化设定!$B$18:$E$48,4,FALSE)&amp;$BK299,坦克属性分配比例,MATCH("部件比例",坦克属性分配比例标头,0),FALSE))*$BL299/VLOOKUP(VLOOKUP($BJ299,坦克个性化设定!$B$18:$E$48,4,FALSE)&amp;$BK299,坦克属性分配比例,MATCH("升星次数",坦克属性分配比例标头,0),FALSE),0)</f>
        <v>#N/A</v>
      </c>
      <c r="BN299" s="103" t="e">
        <f ca="1">ROUND(VLOOKUP($BJ299&amp;"初始",$S$3:$AE$63,MATCH(BN$3,$S$3:$AE$3,0),FALSE)+(VLOOKUP($BJ299&amp;"最终",$S$3:$AE$63,MATCH(BN$3,$S$3:$AE$3,0),FALSE)-VLOOKUP($BJ299&amp;"初始",$S$3:$AE$63,MATCH(BN$3,$S$3:$AE$3,0),FALSE))*$BL299/VLOOKUP(VLOOKUP($BJ299,坦克个性化设定!$B$18:$E$48,4,FALSE)&amp;$BK299,坦克属性分配比例,MATCH("升星次数",坦克属性分配比例标头,0),FALSE)*VLOOKUP(VLOOKUP($BJ299,坦克个性化设定!$B$18:$E$48,4,FALSE)&amp;$BK299,坦克属性分配比例,MATCH("升星比例",坦克属性分配比例标头,0),FALSE),0)</f>
        <v>#N/A</v>
      </c>
      <c r="BO299" s="103" t="e">
        <f ca="1">ROUND(VLOOKUP($BJ299&amp;"初始",$S$3:$AE$63,MATCH(BO$3,$S$3:$AE$3,0),FALSE)+(VLOOKUP($BJ299&amp;"最终",$S$3:$AE$63,MATCH(BO$3,$S$3:$AE$3,0),FALSE)-VLOOKUP($BJ299&amp;"初始",$S$3:$AE$63,MATCH(BO$3,$S$3:$AE$3,0),FALSE))*$BL299/VLOOKUP(VLOOKUP($BJ299,坦克个性化设定!$B$18:$E$48,4,FALSE)&amp;$BK299,坦克属性分配比例,MATCH("升星次数",坦克属性分配比例标头,0),FALSE)*(VLOOKUP(VLOOKUP($BJ299,坦克个性化设定!$B$18:$E$48,4,FALSE)&amp;$BK299,坦克属性分配比例,MATCH("升星比例",坦克属性分配比例标头,0),FALSE)+VLOOKUP(VLOOKUP($BJ299,坦克个性化设定!$B$18:$E$48,4,FALSE)&amp;$BK299,坦克属性分配比例,MATCH("部件比例",坦克属性分配比例标头,0),FALSE)*$C$3),0)</f>
        <v>#N/A</v>
      </c>
      <c r="BP299" s="103" t="e">
        <f ca="1">ROUND(VLOOKUP($BJ299&amp;"初始",$S$3:$AE$63,MATCH(BP$3,$S$3:$AE$3,0),FALSE)+(VLOOKUP($BJ299&amp;"最终",$S$3:$AE$63,MATCH(BP$3,$S$3:$AE$3,0),FALSE)-VLOOKUP($BJ299&amp;"初始",$S$3:$AE$63,MATCH(BP$3,$S$3:$AE$3,0),FALSE))*$BL299/VLOOKUP(VLOOKUP($BJ299,坦克个性化设定!$B$18:$E$48,4,FALSE)&amp;$BK299,坦克属性分配比例,MATCH("升星次数",坦克属性分配比例标头,0),FALSE)*(VLOOKUP(VLOOKUP($BJ299,坦克个性化设定!$B$18:$E$48,4,FALSE)&amp;$BK299,坦克属性分配比例,MATCH("升星比例",坦克属性分配比例标头,0),FALSE)+VLOOKUP(VLOOKUP($BJ299,坦克个性化设定!$B$18:$E$48,4,FALSE)&amp;$BK299,坦克属性分配比例,MATCH("部件比例",坦克属性分配比例标头,0),FALSE)*$C$3),0)</f>
        <v>#N/A</v>
      </c>
      <c r="BQ299" s="103" t="e">
        <f ca="1">ROUND(VLOOKUP($BJ299&amp;"初始",$S$3:$AE$63,MATCH(BQ$3,$S$3:$AE$3,0),FALSE)+(VLOOKUP($BJ299&amp;"最终",$S$3:$AE$63,MATCH(BQ$3,$S$3:$AE$3,0),FALSE)-VLOOKUP($BJ299&amp;"初始",$S$3:$AE$63,MATCH(BQ$3,$S$3:$AE$3,0),FALSE))*$BL299/VLOOKUP(VLOOKUP($BJ299,坦克个性化设定!$B$18:$E$48,4,FALSE)&amp;$BK299,坦克属性分配比例,MATCH("升星次数",坦克属性分配比例标头,0),FALSE)*VLOOKUP(VLOOKUP($BJ299,坦克个性化设定!$B$18:$E$48,4,FALSE)&amp;$BK299,坦克属性分配比例,MATCH("升星比例",坦克属性分配比例标头,0),FALSE),0)</f>
        <v>#N/A</v>
      </c>
      <c r="BR299" s="2" t="e">
        <f ca="1">ROUND(VLOOKUP($BJ299&amp;"初始",$S$3:$AE$63,MATCH(BR$3,$S$3:$AE$3,0),FALSE)+(VLOOKUP($BJ299&amp;"最终",$S$3:$AE$63,MATCH(BR$3,$S$3:$AE$3,0),FALSE)-VLOOKUP($BJ299&amp;"初始",$S$3:$AE$63,MATCH(BR$3,$S$3:$AE$3,0),FALSE))*$BL299/VLOOKUP(VLOOKUP($BJ299,坦克个性化设定!$B$18:$E$48,4,FALSE)&amp;$BK299,坦克属性分配比例,MATCH("升星次数",坦克属性分配比例标头,0),FALSE),0)</f>
        <v>#N/A</v>
      </c>
      <c r="BS299" s="2">
        <f>ROUND(VLOOKUP($BJ299,$AI$3:$AO$33,MATCH(BS$3,$AI$3:$AO$3,0),FALSE)+$BL299/VLOOKUP(VLOOKUP($BJ299,坦克个性化设定!$B$18:$E$48,4,FALSE)&amp;$BK299,坦克属性分配比例,MATCH("升星次数",坦克属性分配比例标头,0),FALSE)*VLOOKUP($BJ299,$AR$3:$AY$33,MATCH(BS$3,$AR$3:$AY$3,0),FALSE),1)</f>
        <v>32.5</v>
      </c>
      <c r="BT299" s="2">
        <f>ROUND(VLOOKUP($BJ299,$AI$3:$AO$33,MATCH(BT$3,$AI$3:$AO$3,0),FALSE)+$BL299/VLOOKUP(VLOOKUP($BJ299,坦克个性化设定!$B$18:$E$48,4,FALSE)&amp;$BK299,坦克属性分配比例,MATCH("升星次数",坦克属性分配比例标头,0),FALSE)*VLOOKUP($BJ299,$AR$3:$AY$33,MATCH(BT$3,$AR$3:$AY$3,0),FALSE),1)</f>
        <v>37</v>
      </c>
      <c r="BU299" s="2">
        <f>ROUND(VLOOKUP($BJ299,$AI$3:$AO$33,MATCH(BU$3,$AI$3:$AO$3,0),FALSE)+$BL299/VLOOKUP(VLOOKUP($BJ299,坦克个性化设定!$B$18:$E$48,4,FALSE)&amp;$BK299,坦克属性分配比例,MATCH("升星次数",坦克属性分配比例标头,0),FALSE)*VLOOKUP($BJ299,$AR$3:$AY$33,MATCH(BU$3,$AR$3:$AY$3,0),FALSE),1)</f>
        <v>6.3</v>
      </c>
      <c r="BV299" s="2">
        <f>IF(VLOOKUP(BJ299,坦克个性化设定!$B$18:$BC$48,MATCH("装弹类型",坦克个性化设定!$B$18:$BC$18,0),FALSE)="弹夹换弹",0,ROUND(VLOOKUP($BJ299,$AI$3:$AO$33,MATCH("换弹时间",$AI$3:$AO$3,0),FALSE)-$BL299/VLOOKUP(VLOOKUP($BJ299,坦克个性化设定!$B$18:$E$48,4,FALSE)&amp;$BK299,坦克属性分配比例,MATCH("升星次数",坦克属性分配比例标头,0),FALSE)*VLOOKUP($BJ299,$AR$3:$AY$33,MATCH("换弹时间",$AR$3:$AY$3,0),FALSE),2))</f>
        <v>5.8</v>
      </c>
      <c r="BW299" s="2">
        <f>IF(VLOOKUP(BJ299,坦克个性化设定!$B$18:$BC$48,MATCH("装弹类型",坦克个性化设定!$B$18:$BC$18,0),FALSE)="弹夹换弹",ROUND(VLOOKUP($BJ299,$AI$3:$AO$33,MATCH("换弹时间",$AI$3:$AO$3,0),FALSE)-$BL299/VLOOKUP(VLOOKUP($BJ299,坦克个性化设定!$B$18:$E$48,4,FALSE)&amp;$BK299,坦克属性分配比例,MATCH("升星次数",坦克属性分配比例标头,0),FALSE)*VLOOKUP($BJ299,$AR$3:$AY$33,MATCH("换弹时间",$AR$3:$AY$3,0),FALSE),1),0)</f>
        <v>0</v>
      </c>
      <c r="BX299" s="2">
        <f>ROUND(VLOOKUP($BJ299,$AI$3:$AO$33,MATCH(BX$3,$AI$3:$AO$3,0),FALSE)+$BL299/VLOOKUP(VLOOKUP($BJ299,坦克个性化设定!$B$18:$E$48,4,FALSE)&amp;$BK299,坦克属性分配比例,MATCH("升星次数",坦克属性分配比例标头,0),FALSE)*VLOOKUP($BJ299,$AR$3:$AY$33,MATCH(BX$3,$AR$3:$AY$3,0),FALSE),2)</f>
        <v>0</v>
      </c>
      <c r="BY299" s="2">
        <f>ROUND(VLOOKUP($BJ299,$AI$3:$AO$33,MATCH(BY$3,$AI$3:$AO$3,0),FALSE)-$BL299/VLOOKUP(VLOOKUP($BJ299,坦克个性化设定!$B$18:$E$48,4,FALSE)&amp;$BK299,坦克属性分配比例,MATCH("升星次数",坦克属性分配比例标头,0),FALSE)*VLOOKUP($BJ299,$AR$3:$AY$33,MATCH(BY$3,$AR$3:$AY$3,0),FALSE),2)</f>
        <v>2.88</v>
      </c>
    </row>
    <row r="300" spans="60:77" x14ac:dyDescent="0.3">
      <c r="BH300" s="2" t="str">
        <f t="shared" si="35"/>
        <v>M1A24</v>
      </c>
      <c r="BI300" s="2">
        <f>IF(BL299&gt;=VLOOKUP(VLOOKUP(BJ299,坦克个性化设定!$B$18:$E$48,4,FALSE)&amp;BK299,坦克属性分配比例,MATCH("升星次数",坦克属性分配比例标头,0),FALSE),BI299+1,BI299)</f>
        <v>30</v>
      </c>
      <c r="BJ300" s="2" t="str">
        <f t="shared" si="36"/>
        <v>M1A2</v>
      </c>
      <c r="BK300" s="29" t="str">
        <f>VLOOKUP(BJ300,坦克个性化细分!$I$3:$J$33,2,FALSE)</f>
        <v>低</v>
      </c>
      <c r="BL300" s="2">
        <f t="shared" si="37"/>
        <v>4</v>
      </c>
      <c r="BM300" s="103" t="e">
        <f ca="1">ROUND(VLOOKUP($BJ300&amp;"初始",$S$3:$AE$63,MATCH(BM$3,$S$3:$AE$3,0),FALSE)+((VLOOKUP($BJ300&amp;"最终",$S$3:$AE$63,MATCH(BM$3,$S$3:$AE$3,0),FALSE)*坦克个性化细分!$C$9-VLOOKUP($BJ300&amp;"初始",$S$3:$AE$63,MATCH(BM$3,$S$3:$AE$3,0),FALSE))-(VLOOKUP($BJ300&amp;"最终",$S$3:$AE$63,MATCH(BM$3,$S$3:$AE$3,0),FALSE)-VLOOKUP($BJ300&amp;"初始",$S$3:$AE$63,MATCH(BM$3,$S$3:$AE$3,0),FALSE))*VLOOKUP(VLOOKUP($BJ300,坦克个性化设定!$B$18:$E$48,4,FALSE)&amp;$BK300,坦克属性分配比例,MATCH("部件比例",坦克属性分配比例标头,0),FALSE))*$BL300/VLOOKUP(VLOOKUP($BJ300,坦克个性化设定!$B$18:$E$48,4,FALSE)&amp;$BK300,坦克属性分配比例,MATCH("升星次数",坦克属性分配比例标头,0),FALSE),0)</f>
        <v>#N/A</v>
      </c>
      <c r="BN300" s="103" t="e">
        <f ca="1">ROUND(VLOOKUP($BJ300&amp;"初始",$S$3:$AE$63,MATCH(BN$3,$S$3:$AE$3,0),FALSE)+(VLOOKUP($BJ300&amp;"最终",$S$3:$AE$63,MATCH(BN$3,$S$3:$AE$3,0),FALSE)-VLOOKUP($BJ300&amp;"初始",$S$3:$AE$63,MATCH(BN$3,$S$3:$AE$3,0),FALSE))*$BL300/VLOOKUP(VLOOKUP($BJ300,坦克个性化设定!$B$18:$E$48,4,FALSE)&amp;$BK300,坦克属性分配比例,MATCH("升星次数",坦克属性分配比例标头,0),FALSE)*VLOOKUP(VLOOKUP($BJ300,坦克个性化设定!$B$18:$E$48,4,FALSE)&amp;$BK300,坦克属性分配比例,MATCH("升星比例",坦克属性分配比例标头,0),FALSE),0)</f>
        <v>#N/A</v>
      </c>
      <c r="BO300" s="103" t="e">
        <f ca="1">ROUND(VLOOKUP($BJ300&amp;"初始",$S$3:$AE$63,MATCH(BO$3,$S$3:$AE$3,0),FALSE)+(VLOOKUP($BJ300&amp;"最终",$S$3:$AE$63,MATCH(BO$3,$S$3:$AE$3,0),FALSE)-VLOOKUP($BJ300&amp;"初始",$S$3:$AE$63,MATCH(BO$3,$S$3:$AE$3,0),FALSE))*$BL300/VLOOKUP(VLOOKUP($BJ300,坦克个性化设定!$B$18:$E$48,4,FALSE)&amp;$BK300,坦克属性分配比例,MATCH("升星次数",坦克属性分配比例标头,0),FALSE)*(VLOOKUP(VLOOKUP($BJ300,坦克个性化设定!$B$18:$E$48,4,FALSE)&amp;$BK300,坦克属性分配比例,MATCH("升星比例",坦克属性分配比例标头,0),FALSE)+VLOOKUP(VLOOKUP($BJ300,坦克个性化设定!$B$18:$E$48,4,FALSE)&amp;$BK300,坦克属性分配比例,MATCH("部件比例",坦克属性分配比例标头,0),FALSE)*$C$3),0)</f>
        <v>#N/A</v>
      </c>
      <c r="BP300" s="103" t="e">
        <f ca="1">ROUND(VLOOKUP($BJ300&amp;"初始",$S$3:$AE$63,MATCH(BP$3,$S$3:$AE$3,0),FALSE)+(VLOOKUP($BJ300&amp;"最终",$S$3:$AE$63,MATCH(BP$3,$S$3:$AE$3,0),FALSE)-VLOOKUP($BJ300&amp;"初始",$S$3:$AE$63,MATCH(BP$3,$S$3:$AE$3,0),FALSE))*$BL300/VLOOKUP(VLOOKUP($BJ300,坦克个性化设定!$B$18:$E$48,4,FALSE)&amp;$BK300,坦克属性分配比例,MATCH("升星次数",坦克属性分配比例标头,0),FALSE)*(VLOOKUP(VLOOKUP($BJ300,坦克个性化设定!$B$18:$E$48,4,FALSE)&amp;$BK300,坦克属性分配比例,MATCH("升星比例",坦克属性分配比例标头,0),FALSE)+VLOOKUP(VLOOKUP($BJ300,坦克个性化设定!$B$18:$E$48,4,FALSE)&amp;$BK300,坦克属性分配比例,MATCH("部件比例",坦克属性分配比例标头,0),FALSE)*$C$3),0)</f>
        <v>#N/A</v>
      </c>
      <c r="BQ300" s="103" t="e">
        <f ca="1">ROUND(VLOOKUP($BJ300&amp;"初始",$S$3:$AE$63,MATCH(BQ$3,$S$3:$AE$3,0),FALSE)+(VLOOKUP($BJ300&amp;"最终",$S$3:$AE$63,MATCH(BQ$3,$S$3:$AE$3,0),FALSE)-VLOOKUP($BJ300&amp;"初始",$S$3:$AE$63,MATCH(BQ$3,$S$3:$AE$3,0),FALSE))*$BL300/VLOOKUP(VLOOKUP($BJ300,坦克个性化设定!$B$18:$E$48,4,FALSE)&amp;$BK300,坦克属性分配比例,MATCH("升星次数",坦克属性分配比例标头,0),FALSE)*VLOOKUP(VLOOKUP($BJ300,坦克个性化设定!$B$18:$E$48,4,FALSE)&amp;$BK300,坦克属性分配比例,MATCH("升星比例",坦克属性分配比例标头,0),FALSE),0)</f>
        <v>#N/A</v>
      </c>
      <c r="BR300" s="2" t="e">
        <f ca="1">ROUND(VLOOKUP($BJ300&amp;"初始",$S$3:$AE$63,MATCH(BR$3,$S$3:$AE$3,0),FALSE)+(VLOOKUP($BJ300&amp;"最终",$S$3:$AE$63,MATCH(BR$3,$S$3:$AE$3,0),FALSE)-VLOOKUP($BJ300&amp;"初始",$S$3:$AE$63,MATCH(BR$3,$S$3:$AE$3,0),FALSE))*$BL300/VLOOKUP(VLOOKUP($BJ300,坦克个性化设定!$B$18:$E$48,4,FALSE)&amp;$BK300,坦克属性分配比例,MATCH("升星次数",坦克属性分配比例标头,0),FALSE),0)</f>
        <v>#N/A</v>
      </c>
      <c r="BS300" s="2">
        <f>ROUND(VLOOKUP($BJ300,$AI$3:$AO$33,MATCH(BS$3,$AI$3:$AO$3,0),FALSE)+$BL300/VLOOKUP(VLOOKUP($BJ300,坦克个性化设定!$B$18:$E$48,4,FALSE)&amp;$BK300,坦克属性分配比例,MATCH("升星次数",坦克属性分配比例标头,0),FALSE)*VLOOKUP($BJ300,$AR$3:$AY$33,MATCH(BS$3,$AR$3:$AY$3,0),FALSE),1)</f>
        <v>33.1</v>
      </c>
      <c r="BT300" s="2">
        <f>ROUND(VLOOKUP($BJ300,$AI$3:$AO$33,MATCH(BT$3,$AI$3:$AO$3,0),FALSE)+$BL300/VLOOKUP(VLOOKUP($BJ300,坦克个性化设定!$B$18:$E$48,4,FALSE)&amp;$BK300,坦克属性分配比例,MATCH("升星次数",坦克属性分配比例标头,0),FALSE)*VLOOKUP($BJ300,$AR$3:$AY$33,MATCH(BT$3,$AR$3:$AY$3,0),FALSE),1)</f>
        <v>37.700000000000003</v>
      </c>
      <c r="BU300" s="2">
        <f>ROUND(VLOOKUP($BJ300,$AI$3:$AO$33,MATCH(BU$3,$AI$3:$AO$3,0),FALSE)+$BL300/VLOOKUP(VLOOKUP($BJ300,坦克个性化设定!$B$18:$E$48,4,FALSE)&amp;$BK300,坦克属性分配比例,MATCH("升星次数",坦克属性分配比例标头,0),FALSE)*VLOOKUP($BJ300,$AR$3:$AY$33,MATCH(BU$3,$AR$3:$AY$3,0),FALSE),1)</f>
        <v>6.3</v>
      </c>
      <c r="BV300" s="2">
        <f>IF(VLOOKUP(BJ300,坦克个性化设定!$B$18:$BC$48,MATCH("装弹类型",坦克个性化设定!$B$18:$BC$18,0),FALSE)="弹夹换弹",0,ROUND(VLOOKUP($BJ300,$AI$3:$AO$33,MATCH("换弹时间",$AI$3:$AO$3,0),FALSE)-$BL300/VLOOKUP(VLOOKUP($BJ300,坦克个性化设定!$B$18:$E$48,4,FALSE)&amp;$BK300,坦克属性分配比例,MATCH("升星次数",坦克属性分配比例标头,0),FALSE)*VLOOKUP($BJ300,$AR$3:$AY$33,MATCH("换弹时间",$AR$3:$AY$3,0),FALSE),2))</f>
        <v>5.74</v>
      </c>
      <c r="BW300" s="2">
        <f>IF(VLOOKUP(BJ300,坦克个性化设定!$B$18:$BC$48,MATCH("装弹类型",坦克个性化设定!$B$18:$BC$18,0),FALSE)="弹夹换弹",ROUND(VLOOKUP($BJ300,$AI$3:$AO$33,MATCH("换弹时间",$AI$3:$AO$3,0),FALSE)-$BL300/VLOOKUP(VLOOKUP($BJ300,坦克个性化设定!$B$18:$E$48,4,FALSE)&amp;$BK300,坦克属性分配比例,MATCH("升星次数",坦克属性分配比例标头,0),FALSE)*VLOOKUP($BJ300,$AR$3:$AY$33,MATCH("换弹时间",$AR$3:$AY$3,0),FALSE),1),0)</f>
        <v>0</v>
      </c>
      <c r="BX300" s="2">
        <f>ROUND(VLOOKUP($BJ300,$AI$3:$AO$33,MATCH(BX$3,$AI$3:$AO$3,0),FALSE)+$BL300/VLOOKUP(VLOOKUP($BJ300,坦克个性化设定!$B$18:$E$48,4,FALSE)&amp;$BK300,坦克属性分配比例,MATCH("升星次数",坦克属性分配比例标头,0),FALSE)*VLOOKUP($BJ300,$AR$3:$AY$33,MATCH(BX$3,$AR$3:$AY$3,0),FALSE),2)</f>
        <v>0</v>
      </c>
      <c r="BY300" s="2">
        <f>ROUND(VLOOKUP($BJ300,$AI$3:$AO$33,MATCH(BY$3,$AI$3:$AO$3,0),FALSE)-$BL300/VLOOKUP(VLOOKUP($BJ300,坦克个性化设定!$B$18:$E$48,4,FALSE)&amp;$BK300,坦克属性分配比例,MATCH("升星次数",坦克属性分配比例标头,0),FALSE)*VLOOKUP($BJ300,$AR$3:$AY$33,MATCH(BY$3,$AR$3:$AY$3,0),FALSE),2)</f>
        <v>2.85</v>
      </c>
    </row>
    <row r="301" spans="60:77" x14ac:dyDescent="0.3">
      <c r="BH301" s="2" t="str">
        <f t="shared" si="35"/>
        <v>M1A25</v>
      </c>
      <c r="BI301" s="2">
        <f>IF(BL300&gt;=VLOOKUP(VLOOKUP(BJ300,坦克个性化设定!$B$18:$E$48,4,FALSE)&amp;BK300,坦克属性分配比例,MATCH("升星次数",坦克属性分配比例标头,0),FALSE),BI300+1,BI300)</f>
        <v>30</v>
      </c>
      <c r="BJ301" s="2" t="str">
        <f t="shared" si="36"/>
        <v>M1A2</v>
      </c>
      <c r="BK301" s="29" t="str">
        <f>VLOOKUP(BJ301,坦克个性化细分!$I$3:$J$33,2,FALSE)</f>
        <v>低</v>
      </c>
      <c r="BL301" s="2">
        <f t="shared" si="37"/>
        <v>5</v>
      </c>
      <c r="BM301" s="103" t="e">
        <f ca="1">ROUND(VLOOKUP($BJ301&amp;"初始",$S$3:$AE$63,MATCH(BM$3,$S$3:$AE$3,0),FALSE)+((VLOOKUP($BJ301&amp;"最终",$S$3:$AE$63,MATCH(BM$3,$S$3:$AE$3,0),FALSE)*坦克个性化细分!$C$9-VLOOKUP($BJ301&amp;"初始",$S$3:$AE$63,MATCH(BM$3,$S$3:$AE$3,0),FALSE))-(VLOOKUP($BJ301&amp;"最终",$S$3:$AE$63,MATCH(BM$3,$S$3:$AE$3,0),FALSE)-VLOOKUP($BJ301&amp;"初始",$S$3:$AE$63,MATCH(BM$3,$S$3:$AE$3,0),FALSE))*VLOOKUP(VLOOKUP($BJ301,坦克个性化设定!$B$18:$E$48,4,FALSE)&amp;$BK301,坦克属性分配比例,MATCH("部件比例",坦克属性分配比例标头,0),FALSE))*$BL301/VLOOKUP(VLOOKUP($BJ301,坦克个性化设定!$B$18:$E$48,4,FALSE)&amp;$BK301,坦克属性分配比例,MATCH("升星次数",坦克属性分配比例标头,0),FALSE),0)</f>
        <v>#N/A</v>
      </c>
      <c r="BN301" s="103" t="e">
        <f ca="1">ROUND(VLOOKUP($BJ301&amp;"初始",$S$3:$AE$63,MATCH(BN$3,$S$3:$AE$3,0),FALSE)+(VLOOKUP($BJ301&amp;"最终",$S$3:$AE$63,MATCH(BN$3,$S$3:$AE$3,0),FALSE)-VLOOKUP($BJ301&amp;"初始",$S$3:$AE$63,MATCH(BN$3,$S$3:$AE$3,0),FALSE))*$BL301/VLOOKUP(VLOOKUP($BJ301,坦克个性化设定!$B$18:$E$48,4,FALSE)&amp;$BK301,坦克属性分配比例,MATCH("升星次数",坦克属性分配比例标头,0),FALSE)*VLOOKUP(VLOOKUP($BJ301,坦克个性化设定!$B$18:$E$48,4,FALSE)&amp;$BK301,坦克属性分配比例,MATCH("升星比例",坦克属性分配比例标头,0),FALSE),0)</f>
        <v>#N/A</v>
      </c>
      <c r="BO301" s="103" t="e">
        <f ca="1">ROUND(VLOOKUP($BJ301&amp;"初始",$S$3:$AE$63,MATCH(BO$3,$S$3:$AE$3,0),FALSE)+(VLOOKUP($BJ301&amp;"最终",$S$3:$AE$63,MATCH(BO$3,$S$3:$AE$3,0),FALSE)-VLOOKUP($BJ301&amp;"初始",$S$3:$AE$63,MATCH(BO$3,$S$3:$AE$3,0),FALSE))*$BL301/VLOOKUP(VLOOKUP($BJ301,坦克个性化设定!$B$18:$E$48,4,FALSE)&amp;$BK301,坦克属性分配比例,MATCH("升星次数",坦克属性分配比例标头,0),FALSE)*(VLOOKUP(VLOOKUP($BJ301,坦克个性化设定!$B$18:$E$48,4,FALSE)&amp;$BK301,坦克属性分配比例,MATCH("升星比例",坦克属性分配比例标头,0),FALSE)+VLOOKUP(VLOOKUP($BJ301,坦克个性化设定!$B$18:$E$48,4,FALSE)&amp;$BK301,坦克属性分配比例,MATCH("部件比例",坦克属性分配比例标头,0),FALSE)*$C$3),0)</f>
        <v>#N/A</v>
      </c>
      <c r="BP301" s="103" t="e">
        <f ca="1">ROUND(VLOOKUP($BJ301&amp;"初始",$S$3:$AE$63,MATCH(BP$3,$S$3:$AE$3,0),FALSE)+(VLOOKUP($BJ301&amp;"最终",$S$3:$AE$63,MATCH(BP$3,$S$3:$AE$3,0),FALSE)-VLOOKUP($BJ301&amp;"初始",$S$3:$AE$63,MATCH(BP$3,$S$3:$AE$3,0),FALSE))*$BL301/VLOOKUP(VLOOKUP($BJ301,坦克个性化设定!$B$18:$E$48,4,FALSE)&amp;$BK301,坦克属性分配比例,MATCH("升星次数",坦克属性分配比例标头,0),FALSE)*(VLOOKUP(VLOOKUP($BJ301,坦克个性化设定!$B$18:$E$48,4,FALSE)&amp;$BK301,坦克属性分配比例,MATCH("升星比例",坦克属性分配比例标头,0),FALSE)+VLOOKUP(VLOOKUP($BJ301,坦克个性化设定!$B$18:$E$48,4,FALSE)&amp;$BK301,坦克属性分配比例,MATCH("部件比例",坦克属性分配比例标头,0),FALSE)*$C$3),0)</f>
        <v>#N/A</v>
      </c>
      <c r="BQ301" s="103" t="e">
        <f ca="1">ROUND(VLOOKUP($BJ301&amp;"初始",$S$3:$AE$63,MATCH(BQ$3,$S$3:$AE$3,0),FALSE)+(VLOOKUP($BJ301&amp;"最终",$S$3:$AE$63,MATCH(BQ$3,$S$3:$AE$3,0),FALSE)-VLOOKUP($BJ301&amp;"初始",$S$3:$AE$63,MATCH(BQ$3,$S$3:$AE$3,0),FALSE))*$BL301/VLOOKUP(VLOOKUP($BJ301,坦克个性化设定!$B$18:$E$48,4,FALSE)&amp;$BK301,坦克属性分配比例,MATCH("升星次数",坦克属性分配比例标头,0),FALSE)*VLOOKUP(VLOOKUP($BJ301,坦克个性化设定!$B$18:$E$48,4,FALSE)&amp;$BK301,坦克属性分配比例,MATCH("升星比例",坦克属性分配比例标头,0),FALSE),0)</f>
        <v>#N/A</v>
      </c>
      <c r="BR301" s="2" t="e">
        <f ca="1">ROUND(VLOOKUP($BJ301&amp;"初始",$S$3:$AE$63,MATCH(BR$3,$S$3:$AE$3,0),FALSE)+(VLOOKUP($BJ301&amp;"最终",$S$3:$AE$63,MATCH(BR$3,$S$3:$AE$3,0),FALSE)-VLOOKUP($BJ301&amp;"初始",$S$3:$AE$63,MATCH(BR$3,$S$3:$AE$3,0),FALSE))*$BL301/VLOOKUP(VLOOKUP($BJ301,坦克个性化设定!$B$18:$E$48,4,FALSE)&amp;$BK301,坦克属性分配比例,MATCH("升星次数",坦克属性分配比例标头,0),FALSE),0)</f>
        <v>#N/A</v>
      </c>
      <c r="BS301" s="2">
        <f>ROUND(VLOOKUP($BJ301,$AI$3:$AO$33,MATCH(BS$3,$AI$3:$AO$3,0),FALSE)+$BL301/VLOOKUP(VLOOKUP($BJ301,坦克个性化设定!$B$18:$E$48,4,FALSE)&amp;$BK301,坦克属性分配比例,MATCH("升星次数",坦克属性分配比例标头,0),FALSE)*VLOOKUP($BJ301,$AR$3:$AY$33,MATCH(BS$3,$AR$3:$AY$3,0),FALSE),1)</f>
        <v>33.700000000000003</v>
      </c>
      <c r="BT301" s="2">
        <f>ROUND(VLOOKUP($BJ301,$AI$3:$AO$33,MATCH(BT$3,$AI$3:$AO$3,0),FALSE)+$BL301/VLOOKUP(VLOOKUP($BJ301,坦克个性化设定!$B$18:$E$48,4,FALSE)&amp;$BK301,坦克属性分配比例,MATCH("升星次数",坦克属性分配比例标头,0),FALSE)*VLOOKUP($BJ301,$AR$3:$AY$33,MATCH(BT$3,$AR$3:$AY$3,0),FALSE),1)</f>
        <v>38.4</v>
      </c>
      <c r="BU301" s="2">
        <f>ROUND(VLOOKUP($BJ301,$AI$3:$AO$33,MATCH(BU$3,$AI$3:$AO$3,0),FALSE)+$BL301/VLOOKUP(VLOOKUP($BJ301,坦克个性化设定!$B$18:$E$48,4,FALSE)&amp;$BK301,坦克属性分配比例,MATCH("升星次数",坦克属性分配比例标头,0),FALSE)*VLOOKUP($BJ301,$AR$3:$AY$33,MATCH(BU$3,$AR$3:$AY$3,0),FALSE),1)</f>
        <v>6.3</v>
      </c>
      <c r="BV301" s="2">
        <f>IF(VLOOKUP(BJ301,坦克个性化设定!$B$18:$BC$48,MATCH("装弹类型",坦克个性化设定!$B$18:$BC$18,0),FALSE)="弹夹换弹",0,ROUND(VLOOKUP($BJ301,$AI$3:$AO$33,MATCH("换弹时间",$AI$3:$AO$3,0),FALSE)-$BL301/VLOOKUP(VLOOKUP($BJ301,坦克个性化设定!$B$18:$E$48,4,FALSE)&amp;$BK301,坦克属性分配比例,MATCH("升星次数",坦克属性分配比例标头,0),FALSE)*VLOOKUP($BJ301,$AR$3:$AY$33,MATCH("换弹时间",$AR$3:$AY$3,0),FALSE),2))</f>
        <v>5.67</v>
      </c>
      <c r="BW301" s="2">
        <f>IF(VLOOKUP(BJ301,坦克个性化设定!$B$18:$BC$48,MATCH("装弹类型",坦克个性化设定!$B$18:$BC$18,0),FALSE)="弹夹换弹",ROUND(VLOOKUP($BJ301,$AI$3:$AO$33,MATCH("换弹时间",$AI$3:$AO$3,0),FALSE)-$BL301/VLOOKUP(VLOOKUP($BJ301,坦克个性化设定!$B$18:$E$48,4,FALSE)&amp;$BK301,坦克属性分配比例,MATCH("升星次数",坦克属性分配比例标头,0),FALSE)*VLOOKUP($BJ301,$AR$3:$AY$33,MATCH("换弹时间",$AR$3:$AY$3,0),FALSE),1),0)</f>
        <v>0</v>
      </c>
      <c r="BX301" s="2">
        <f>ROUND(VLOOKUP($BJ301,$AI$3:$AO$33,MATCH(BX$3,$AI$3:$AO$3,0),FALSE)+$BL301/VLOOKUP(VLOOKUP($BJ301,坦克个性化设定!$B$18:$E$48,4,FALSE)&amp;$BK301,坦克属性分配比例,MATCH("升星次数",坦克属性分配比例标头,0),FALSE)*VLOOKUP($BJ301,$AR$3:$AY$33,MATCH(BX$3,$AR$3:$AY$3,0),FALSE),2)</f>
        <v>0</v>
      </c>
      <c r="BY301" s="2">
        <f>ROUND(VLOOKUP($BJ301,$AI$3:$AO$33,MATCH(BY$3,$AI$3:$AO$3,0),FALSE)-$BL301/VLOOKUP(VLOOKUP($BJ301,坦克个性化设定!$B$18:$E$48,4,FALSE)&amp;$BK301,坦克属性分配比例,MATCH("升星次数",坦克属性分配比例标头,0),FALSE)*VLOOKUP($BJ301,$AR$3:$AY$33,MATCH(BY$3,$AR$3:$AY$3,0),FALSE),2)</f>
        <v>2.81</v>
      </c>
    </row>
    <row r="302" spans="60:77" x14ac:dyDescent="0.3">
      <c r="BH302" s="2" t="str">
        <f t="shared" si="35"/>
        <v>M1A26</v>
      </c>
      <c r="BI302" s="2">
        <f>IF(BL301&gt;=VLOOKUP(VLOOKUP(BJ301,坦克个性化设定!$B$18:$E$48,4,FALSE)&amp;BK301,坦克属性分配比例,MATCH("升星次数",坦克属性分配比例标头,0),FALSE),BI301+1,BI301)</f>
        <v>30</v>
      </c>
      <c r="BJ302" s="2" t="str">
        <f t="shared" si="36"/>
        <v>M1A2</v>
      </c>
      <c r="BK302" s="29" t="str">
        <f>VLOOKUP(BJ302,坦克个性化细分!$I$3:$J$33,2,FALSE)</f>
        <v>低</v>
      </c>
      <c r="BL302" s="2">
        <f t="shared" si="37"/>
        <v>6</v>
      </c>
      <c r="BM302" s="103" t="e">
        <f ca="1">ROUND(VLOOKUP($BJ302&amp;"初始",$S$3:$AE$63,MATCH(BM$3,$S$3:$AE$3,0),FALSE)+((VLOOKUP($BJ302&amp;"最终",$S$3:$AE$63,MATCH(BM$3,$S$3:$AE$3,0),FALSE)*坦克个性化细分!$C$9-VLOOKUP($BJ302&amp;"初始",$S$3:$AE$63,MATCH(BM$3,$S$3:$AE$3,0),FALSE))-(VLOOKUP($BJ302&amp;"最终",$S$3:$AE$63,MATCH(BM$3,$S$3:$AE$3,0),FALSE)-VLOOKUP($BJ302&amp;"初始",$S$3:$AE$63,MATCH(BM$3,$S$3:$AE$3,0),FALSE))*VLOOKUP(VLOOKUP($BJ302,坦克个性化设定!$B$18:$E$48,4,FALSE)&amp;$BK302,坦克属性分配比例,MATCH("部件比例",坦克属性分配比例标头,0),FALSE))*$BL302/VLOOKUP(VLOOKUP($BJ302,坦克个性化设定!$B$18:$E$48,4,FALSE)&amp;$BK302,坦克属性分配比例,MATCH("升星次数",坦克属性分配比例标头,0),FALSE),0)</f>
        <v>#N/A</v>
      </c>
      <c r="BN302" s="103" t="e">
        <f ca="1">ROUND(VLOOKUP($BJ302&amp;"初始",$S$3:$AE$63,MATCH(BN$3,$S$3:$AE$3,0),FALSE)+(VLOOKUP($BJ302&amp;"最终",$S$3:$AE$63,MATCH(BN$3,$S$3:$AE$3,0),FALSE)-VLOOKUP($BJ302&amp;"初始",$S$3:$AE$63,MATCH(BN$3,$S$3:$AE$3,0),FALSE))*$BL302/VLOOKUP(VLOOKUP($BJ302,坦克个性化设定!$B$18:$E$48,4,FALSE)&amp;$BK302,坦克属性分配比例,MATCH("升星次数",坦克属性分配比例标头,0),FALSE)*VLOOKUP(VLOOKUP($BJ302,坦克个性化设定!$B$18:$E$48,4,FALSE)&amp;$BK302,坦克属性分配比例,MATCH("升星比例",坦克属性分配比例标头,0),FALSE),0)</f>
        <v>#N/A</v>
      </c>
      <c r="BO302" s="103" t="e">
        <f ca="1">ROUND(VLOOKUP($BJ302&amp;"初始",$S$3:$AE$63,MATCH(BO$3,$S$3:$AE$3,0),FALSE)+(VLOOKUP($BJ302&amp;"最终",$S$3:$AE$63,MATCH(BO$3,$S$3:$AE$3,0),FALSE)-VLOOKUP($BJ302&amp;"初始",$S$3:$AE$63,MATCH(BO$3,$S$3:$AE$3,0),FALSE))*$BL302/VLOOKUP(VLOOKUP($BJ302,坦克个性化设定!$B$18:$E$48,4,FALSE)&amp;$BK302,坦克属性分配比例,MATCH("升星次数",坦克属性分配比例标头,0),FALSE)*(VLOOKUP(VLOOKUP($BJ302,坦克个性化设定!$B$18:$E$48,4,FALSE)&amp;$BK302,坦克属性分配比例,MATCH("升星比例",坦克属性分配比例标头,0),FALSE)+VLOOKUP(VLOOKUP($BJ302,坦克个性化设定!$B$18:$E$48,4,FALSE)&amp;$BK302,坦克属性分配比例,MATCH("部件比例",坦克属性分配比例标头,0),FALSE)*$C$3),0)</f>
        <v>#N/A</v>
      </c>
      <c r="BP302" s="103" t="e">
        <f ca="1">ROUND(VLOOKUP($BJ302&amp;"初始",$S$3:$AE$63,MATCH(BP$3,$S$3:$AE$3,0),FALSE)+(VLOOKUP($BJ302&amp;"最终",$S$3:$AE$63,MATCH(BP$3,$S$3:$AE$3,0),FALSE)-VLOOKUP($BJ302&amp;"初始",$S$3:$AE$63,MATCH(BP$3,$S$3:$AE$3,0),FALSE))*$BL302/VLOOKUP(VLOOKUP($BJ302,坦克个性化设定!$B$18:$E$48,4,FALSE)&amp;$BK302,坦克属性分配比例,MATCH("升星次数",坦克属性分配比例标头,0),FALSE)*(VLOOKUP(VLOOKUP($BJ302,坦克个性化设定!$B$18:$E$48,4,FALSE)&amp;$BK302,坦克属性分配比例,MATCH("升星比例",坦克属性分配比例标头,0),FALSE)+VLOOKUP(VLOOKUP($BJ302,坦克个性化设定!$B$18:$E$48,4,FALSE)&amp;$BK302,坦克属性分配比例,MATCH("部件比例",坦克属性分配比例标头,0),FALSE)*$C$3),0)</f>
        <v>#N/A</v>
      </c>
      <c r="BQ302" s="103" t="e">
        <f ca="1">ROUND(VLOOKUP($BJ302&amp;"初始",$S$3:$AE$63,MATCH(BQ$3,$S$3:$AE$3,0),FALSE)+(VLOOKUP($BJ302&amp;"最终",$S$3:$AE$63,MATCH(BQ$3,$S$3:$AE$3,0),FALSE)-VLOOKUP($BJ302&amp;"初始",$S$3:$AE$63,MATCH(BQ$3,$S$3:$AE$3,0),FALSE))*$BL302/VLOOKUP(VLOOKUP($BJ302,坦克个性化设定!$B$18:$E$48,4,FALSE)&amp;$BK302,坦克属性分配比例,MATCH("升星次数",坦克属性分配比例标头,0),FALSE)*VLOOKUP(VLOOKUP($BJ302,坦克个性化设定!$B$18:$E$48,4,FALSE)&amp;$BK302,坦克属性分配比例,MATCH("升星比例",坦克属性分配比例标头,0),FALSE),0)</f>
        <v>#N/A</v>
      </c>
      <c r="BR302" s="2" t="e">
        <f ca="1">ROUND(VLOOKUP($BJ302&amp;"初始",$S$3:$AE$63,MATCH(BR$3,$S$3:$AE$3,0),FALSE)+(VLOOKUP($BJ302&amp;"最终",$S$3:$AE$63,MATCH(BR$3,$S$3:$AE$3,0),FALSE)-VLOOKUP($BJ302&amp;"初始",$S$3:$AE$63,MATCH(BR$3,$S$3:$AE$3,0),FALSE))*$BL302/VLOOKUP(VLOOKUP($BJ302,坦克个性化设定!$B$18:$E$48,4,FALSE)&amp;$BK302,坦克属性分配比例,MATCH("升星次数",坦克属性分配比例标头,0),FALSE),0)</f>
        <v>#N/A</v>
      </c>
      <c r="BS302" s="2">
        <f>ROUND(VLOOKUP($BJ302,$AI$3:$AO$33,MATCH(BS$3,$AI$3:$AO$3,0),FALSE)+$BL302/VLOOKUP(VLOOKUP($BJ302,坦克个性化设定!$B$18:$E$48,4,FALSE)&amp;$BK302,坦克属性分配比例,MATCH("升星次数",坦克属性分配比例标头,0),FALSE)*VLOOKUP($BJ302,$AR$3:$AY$33,MATCH(BS$3,$AR$3:$AY$3,0),FALSE),1)</f>
        <v>34.200000000000003</v>
      </c>
      <c r="BT302" s="2">
        <f>ROUND(VLOOKUP($BJ302,$AI$3:$AO$33,MATCH(BT$3,$AI$3:$AO$3,0),FALSE)+$BL302/VLOOKUP(VLOOKUP($BJ302,坦克个性化设定!$B$18:$E$48,4,FALSE)&amp;$BK302,坦克属性分配比例,MATCH("升星次数",坦克属性分配比例标头,0),FALSE)*VLOOKUP($BJ302,$AR$3:$AY$33,MATCH(BT$3,$AR$3:$AY$3,0),FALSE),1)</f>
        <v>39</v>
      </c>
      <c r="BU302" s="2">
        <f>ROUND(VLOOKUP($BJ302,$AI$3:$AO$33,MATCH(BU$3,$AI$3:$AO$3,0),FALSE)+$BL302/VLOOKUP(VLOOKUP($BJ302,坦克个性化设定!$B$18:$E$48,4,FALSE)&amp;$BK302,坦克属性分配比例,MATCH("升星次数",坦克属性分配比例标头,0),FALSE)*VLOOKUP($BJ302,$AR$3:$AY$33,MATCH(BU$3,$AR$3:$AY$3,0),FALSE),1)</f>
        <v>6.3</v>
      </c>
      <c r="BV302" s="2">
        <f>IF(VLOOKUP(BJ302,坦克个性化设定!$B$18:$BC$48,MATCH("装弹类型",坦克个性化设定!$B$18:$BC$18,0),FALSE)="弹夹换弹",0,ROUND(VLOOKUP($BJ302,$AI$3:$AO$33,MATCH("换弹时间",$AI$3:$AO$3,0),FALSE)-$BL302/VLOOKUP(VLOOKUP($BJ302,坦克个性化设定!$B$18:$E$48,4,FALSE)&amp;$BK302,坦克属性分配比例,MATCH("升星次数",坦克属性分配比例标头,0),FALSE)*VLOOKUP($BJ302,$AR$3:$AY$33,MATCH("换弹时间",$AR$3:$AY$3,0),FALSE),2))</f>
        <v>5.61</v>
      </c>
      <c r="BW302" s="2">
        <f>IF(VLOOKUP(BJ302,坦克个性化设定!$B$18:$BC$48,MATCH("装弹类型",坦克个性化设定!$B$18:$BC$18,0),FALSE)="弹夹换弹",ROUND(VLOOKUP($BJ302,$AI$3:$AO$33,MATCH("换弹时间",$AI$3:$AO$3,0),FALSE)-$BL302/VLOOKUP(VLOOKUP($BJ302,坦克个性化设定!$B$18:$E$48,4,FALSE)&amp;$BK302,坦克属性分配比例,MATCH("升星次数",坦克属性分配比例标头,0),FALSE)*VLOOKUP($BJ302,$AR$3:$AY$33,MATCH("换弹时间",$AR$3:$AY$3,0),FALSE),1),0)</f>
        <v>0</v>
      </c>
      <c r="BX302" s="2">
        <f>ROUND(VLOOKUP($BJ302,$AI$3:$AO$33,MATCH(BX$3,$AI$3:$AO$3,0),FALSE)+$BL302/VLOOKUP(VLOOKUP($BJ302,坦克个性化设定!$B$18:$E$48,4,FALSE)&amp;$BK302,坦克属性分配比例,MATCH("升星次数",坦克属性分配比例标头,0),FALSE)*VLOOKUP($BJ302,$AR$3:$AY$33,MATCH(BX$3,$AR$3:$AY$3,0),FALSE),2)</f>
        <v>0</v>
      </c>
      <c r="BY302" s="2">
        <f>ROUND(VLOOKUP($BJ302,$AI$3:$AO$33,MATCH(BY$3,$AI$3:$AO$3,0),FALSE)-$BL302/VLOOKUP(VLOOKUP($BJ302,坦克个性化设定!$B$18:$E$48,4,FALSE)&amp;$BK302,坦克属性分配比例,MATCH("升星次数",坦克属性分配比例标头,0),FALSE)*VLOOKUP($BJ302,$AR$3:$AY$33,MATCH(BY$3,$AR$3:$AY$3,0),FALSE),2)</f>
        <v>2.77</v>
      </c>
    </row>
    <row r="303" spans="60:77" x14ac:dyDescent="0.3">
      <c r="BH303" s="2" t="str">
        <f t="shared" si="35"/>
        <v>M1A27</v>
      </c>
      <c r="BI303" s="2">
        <f>IF(BL302&gt;=VLOOKUP(VLOOKUP(BJ302,坦克个性化设定!$B$18:$E$48,4,FALSE)&amp;BK302,坦克属性分配比例,MATCH("升星次数",坦克属性分配比例标头,0),FALSE),BI302+1,BI302)</f>
        <v>30</v>
      </c>
      <c r="BJ303" s="2" t="str">
        <f t="shared" si="36"/>
        <v>M1A2</v>
      </c>
      <c r="BK303" s="29" t="str">
        <f>VLOOKUP(BJ303,坦克个性化细分!$I$3:$J$33,2,FALSE)</f>
        <v>低</v>
      </c>
      <c r="BL303" s="2">
        <f t="shared" si="37"/>
        <v>7</v>
      </c>
      <c r="BM303" s="103" t="e">
        <f ca="1">ROUND(VLOOKUP($BJ303&amp;"初始",$S$3:$AE$63,MATCH(BM$3,$S$3:$AE$3,0),FALSE)+((VLOOKUP($BJ303&amp;"最终",$S$3:$AE$63,MATCH(BM$3,$S$3:$AE$3,0),FALSE)*坦克个性化细分!$C$9-VLOOKUP($BJ303&amp;"初始",$S$3:$AE$63,MATCH(BM$3,$S$3:$AE$3,0),FALSE))-(VLOOKUP($BJ303&amp;"最终",$S$3:$AE$63,MATCH(BM$3,$S$3:$AE$3,0),FALSE)-VLOOKUP($BJ303&amp;"初始",$S$3:$AE$63,MATCH(BM$3,$S$3:$AE$3,0),FALSE))*VLOOKUP(VLOOKUP($BJ303,坦克个性化设定!$B$18:$E$48,4,FALSE)&amp;$BK303,坦克属性分配比例,MATCH("部件比例",坦克属性分配比例标头,0),FALSE))*$BL303/VLOOKUP(VLOOKUP($BJ303,坦克个性化设定!$B$18:$E$48,4,FALSE)&amp;$BK303,坦克属性分配比例,MATCH("升星次数",坦克属性分配比例标头,0),FALSE),0)</f>
        <v>#N/A</v>
      </c>
      <c r="BN303" s="103" t="e">
        <f ca="1">ROUND(VLOOKUP($BJ303&amp;"初始",$S$3:$AE$63,MATCH(BN$3,$S$3:$AE$3,0),FALSE)+(VLOOKUP($BJ303&amp;"最终",$S$3:$AE$63,MATCH(BN$3,$S$3:$AE$3,0),FALSE)-VLOOKUP($BJ303&amp;"初始",$S$3:$AE$63,MATCH(BN$3,$S$3:$AE$3,0),FALSE))*$BL303/VLOOKUP(VLOOKUP($BJ303,坦克个性化设定!$B$18:$E$48,4,FALSE)&amp;$BK303,坦克属性分配比例,MATCH("升星次数",坦克属性分配比例标头,0),FALSE)*VLOOKUP(VLOOKUP($BJ303,坦克个性化设定!$B$18:$E$48,4,FALSE)&amp;$BK303,坦克属性分配比例,MATCH("升星比例",坦克属性分配比例标头,0),FALSE),0)</f>
        <v>#N/A</v>
      </c>
      <c r="BO303" s="103" t="e">
        <f ca="1">ROUND(VLOOKUP($BJ303&amp;"初始",$S$3:$AE$63,MATCH(BO$3,$S$3:$AE$3,0),FALSE)+(VLOOKUP($BJ303&amp;"最终",$S$3:$AE$63,MATCH(BO$3,$S$3:$AE$3,0),FALSE)-VLOOKUP($BJ303&amp;"初始",$S$3:$AE$63,MATCH(BO$3,$S$3:$AE$3,0),FALSE))*$BL303/VLOOKUP(VLOOKUP($BJ303,坦克个性化设定!$B$18:$E$48,4,FALSE)&amp;$BK303,坦克属性分配比例,MATCH("升星次数",坦克属性分配比例标头,0),FALSE)*(VLOOKUP(VLOOKUP($BJ303,坦克个性化设定!$B$18:$E$48,4,FALSE)&amp;$BK303,坦克属性分配比例,MATCH("升星比例",坦克属性分配比例标头,0),FALSE)+VLOOKUP(VLOOKUP($BJ303,坦克个性化设定!$B$18:$E$48,4,FALSE)&amp;$BK303,坦克属性分配比例,MATCH("部件比例",坦克属性分配比例标头,0),FALSE)*$C$3),0)</f>
        <v>#N/A</v>
      </c>
      <c r="BP303" s="103" t="e">
        <f ca="1">ROUND(VLOOKUP($BJ303&amp;"初始",$S$3:$AE$63,MATCH(BP$3,$S$3:$AE$3,0),FALSE)+(VLOOKUP($BJ303&amp;"最终",$S$3:$AE$63,MATCH(BP$3,$S$3:$AE$3,0),FALSE)-VLOOKUP($BJ303&amp;"初始",$S$3:$AE$63,MATCH(BP$3,$S$3:$AE$3,0),FALSE))*$BL303/VLOOKUP(VLOOKUP($BJ303,坦克个性化设定!$B$18:$E$48,4,FALSE)&amp;$BK303,坦克属性分配比例,MATCH("升星次数",坦克属性分配比例标头,0),FALSE)*(VLOOKUP(VLOOKUP($BJ303,坦克个性化设定!$B$18:$E$48,4,FALSE)&amp;$BK303,坦克属性分配比例,MATCH("升星比例",坦克属性分配比例标头,0),FALSE)+VLOOKUP(VLOOKUP($BJ303,坦克个性化设定!$B$18:$E$48,4,FALSE)&amp;$BK303,坦克属性分配比例,MATCH("部件比例",坦克属性分配比例标头,0),FALSE)*$C$3),0)</f>
        <v>#N/A</v>
      </c>
      <c r="BQ303" s="103" t="e">
        <f ca="1">ROUND(VLOOKUP($BJ303&amp;"初始",$S$3:$AE$63,MATCH(BQ$3,$S$3:$AE$3,0),FALSE)+(VLOOKUP($BJ303&amp;"最终",$S$3:$AE$63,MATCH(BQ$3,$S$3:$AE$3,0),FALSE)-VLOOKUP($BJ303&amp;"初始",$S$3:$AE$63,MATCH(BQ$3,$S$3:$AE$3,0),FALSE))*$BL303/VLOOKUP(VLOOKUP($BJ303,坦克个性化设定!$B$18:$E$48,4,FALSE)&amp;$BK303,坦克属性分配比例,MATCH("升星次数",坦克属性分配比例标头,0),FALSE)*VLOOKUP(VLOOKUP($BJ303,坦克个性化设定!$B$18:$E$48,4,FALSE)&amp;$BK303,坦克属性分配比例,MATCH("升星比例",坦克属性分配比例标头,0),FALSE),0)</f>
        <v>#N/A</v>
      </c>
      <c r="BR303" s="2" t="e">
        <f ca="1">ROUND(VLOOKUP($BJ303&amp;"初始",$S$3:$AE$63,MATCH(BR$3,$S$3:$AE$3,0),FALSE)+(VLOOKUP($BJ303&amp;"最终",$S$3:$AE$63,MATCH(BR$3,$S$3:$AE$3,0),FALSE)-VLOOKUP($BJ303&amp;"初始",$S$3:$AE$63,MATCH(BR$3,$S$3:$AE$3,0),FALSE))*$BL303/VLOOKUP(VLOOKUP($BJ303,坦克个性化设定!$B$18:$E$48,4,FALSE)&amp;$BK303,坦克属性分配比例,MATCH("升星次数",坦克属性分配比例标头,0),FALSE),0)</f>
        <v>#N/A</v>
      </c>
      <c r="BS303" s="2">
        <f>ROUND(VLOOKUP($BJ303,$AI$3:$AO$33,MATCH(BS$3,$AI$3:$AO$3,0),FALSE)+$BL303/VLOOKUP(VLOOKUP($BJ303,坦克个性化设定!$B$18:$E$48,4,FALSE)&amp;$BK303,坦克属性分配比例,MATCH("升星次数",坦克属性分配比例标头,0),FALSE)*VLOOKUP($BJ303,$AR$3:$AY$33,MATCH(BS$3,$AR$3:$AY$3,0),FALSE),1)</f>
        <v>34.799999999999997</v>
      </c>
      <c r="BT303" s="2">
        <f>ROUND(VLOOKUP($BJ303,$AI$3:$AO$33,MATCH(BT$3,$AI$3:$AO$3,0),FALSE)+$BL303/VLOOKUP(VLOOKUP($BJ303,坦克个性化设定!$B$18:$E$48,4,FALSE)&amp;$BK303,坦克属性分配比例,MATCH("升星次数",坦克属性分配比例标头,0),FALSE)*VLOOKUP($BJ303,$AR$3:$AY$33,MATCH(BT$3,$AR$3:$AY$3,0),FALSE),1)</f>
        <v>39.700000000000003</v>
      </c>
      <c r="BU303" s="2">
        <f>ROUND(VLOOKUP($BJ303,$AI$3:$AO$33,MATCH(BU$3,$AI$3:$AO$3,0),FALSE)+$BL303/VLOOKUP(VLOOKUP($BJ303,坦克个性化设定!$B$18:$E$48,4,FALSE)&amp;$BK303,坦克属性分配比例,MATCH("升星次数",坦克属性分配比例标头,0),FALSE)*VLOOKUP($BJ303,$AR$3:$AY$33,MATCH(BU$3,$AR$3:$AY$3,0),FALSE),1)</f>
        <v>6.3</v>
      </c>
      <c r="BV303" s="2">
        <f>IF(VLOOKUP(BJ303,坦克个性化设定!$B$18:$BC$48,MATCH("装弹类型",坦克个性化设定!$B$18:$BC$18,0),FALSE)="弹夹换弹",0,ROUND(VLOOKUP($BJ303,$AI$3:$AO$33,MATCH("换弹时间",$AI$3:$AO$3,0),FALSE)-$BL303/VLOOKUP(VLOOKUP($BJ303,坦克个性化设定!$B$18:$E$48,4,FALSE)&amp;$BK303,坦克属性分配比例,MATCH("升星次数",坦克属性分配比例标头,0),FALSE)*VLOOKUP($BJ303,$AR$3:$AY$33,MATCH("换弹时间",$AR$3:$AY$3,0),FALSE),2))</f>
        <v>5.54</v>
      </c>
      <c r="BW303" s="2">
        <f>IF(VLOOKUP(BJ303,坦克个性化设定!$B$18:$BC$48,MATCH("装弹类型",坦克个性化设定!$B$18:$BC$18,0),FALSE)="弹夹换弹",ROUND(VLOOKUP($BJ303,$AI$3:$AO$33,MATCH("换弹时间",$AI$3:$AO$3,0),FALSE)-$BL303/VLOOKUP(VLOOKUP($BJ303,坦克个性化设定!$B$18:$E$48,4,FALSE)&amp;$BK303,坦克属性分配比例,MATCH("升星次数",坦克属性分配比例标头,0),FALSE)*VLOOKUP($BJ303,$AR$3:$AY$33,MATCH("换弹时间",$AR$3:$AY$3,0),FALSE),1),0)</f>
        <v>0</v>
      </c>
      <c r="BX303" s="2">
        <f>ROUND(VLOOKUP($BJ303,$AI$3:$AO$33,MATCH(BX$3,$AI$3:$AO$3,0),FALSE)+$BL303/VLOOKUP(VLOOKUP($BJ303,坦克个性化设定!$B$18:$E$48,4,FALSE)&amp;$BK303,坦克属性分配比例,MATCH("升星次数",坦克属性分配比例标头,0),FALSE)*VLOOKUP($BJ303,$AR$3:$AY$33,MATCH(BX$3,$AR$3:$AY$3,0),FALSE),2)</f>
        <v>0</v>
      </c>
      <c r="BY303" s="2">
        <f>ROUND(VLOOKUP($BJ303,$AI$3:$AO$33,MATCH(BY$3,$AI$3:$AO$3,0),FALSE)-$BL303/VLOOKUP(VLOOKUP($BJ303,坦克个性化设定!$B$18:$E$48,4,FALSE)&amp;$BK303,坦克属性分配比例,MATCH("升星次数",坦克属性分配比例标头,0),FALSE)*VLOOKUP($BJ303,$AR$3:$AY$33,MATCH(BY$3,$AR$3:$AY$3,0),FALSE),2)</f>
        <v>2.73</v>
      </c>
    </row>
    <row r="304" spans="60:77" x14ac:dyDescent="0.3">
      <c r="BH304" s="2" t="str">
        <f t="shared" si="35"/>
        <v>M1A28</v>
      </c>
      <c r="BI304" s="2">
        <f>IF(BL303&gt;=VLOOKUP(VLOOKUP(BJ303,坦克个性化设定!$B$18:$E$48,4,FALSE)&amp;BK303,坦克属性分配比例,MATCH("升星次数",坦克属性分配比例标头,0),FALSE),BI303+1,BI303)</f>
        <v>30</v>
      </c>
      <c r="BJ304" s="2" t="str">
        <f t="shared" si="36"/>
        <v>M1A2</v>
      </c>
      <c r="BK304" s="29" t="str">
        <f>VLOOKUP(BJ304,坦克个性化细分!$I$3:$J$33,2,FALSE)</f>
        <v>低</v>
      </c>
      <c r="BL304" s="2">
        <f t="shared" si="37"/>
        <v>8</v>
      </c>
      <c r="BM304" s="103" t="e">
        <f ca="1">ROUND(VLOOKUP($BJ304&amp;"初始",$S$3:$AE$63,MATCH(BM$3,$S$3:$AE$3,0),FALSE)+((VLOOKUP($BJ304&amp;"最终",$S$3:$AE$63,MATCH(BM$3,$S$3:$AE$3,0),FALSE)*坦克个性化细分!$C$9-VLOOKUP($BJ304&amp;"初始",$S$3:$AE$63,MATCH(BM$3,$S$3:$AE$3,0),FALSE))-(VLOOKUP($BJ304&amp;"最终",$S$3:$AE$63,MATCH(BM$3,$S$3:$AE$3,0),FALSE)-VLOOKUP($BJ304&amp;"初始",$S$3:$AE$63,MATCH(BM$3,$S$3:$AE$3,0),FALSE))*VLOOKUP(VLOOKUP($BJ304,坦克个性化设定!$B$18:$E$48,4,FALSE)&amp;$BK304,坦克属性分配比例,MATCH("部件比例",坦克属性分配比例标头,0),FALSE))*$BL304/VLOOKUP(VLOOKUP($BJ304,坦克个性化设定!$B$18:$E$48,4,FALSE)&amp;$BK304,坦克属性分配比例,MATCH("升星次数",坦克属性分配比例标头,0),FALSE),0)</f>
        <v>#N/A</v>
      </c>
      <c r="BN304" s="103" t="e">
        <f ca="1">ROUND(VLOOKUP($BJ304&amp;"初始",$S$3:$AE$63,MATCH(BN$3,$S$3:$AE$3,0),FALSE)+(VLOOKUP($BJ304&amp;"最终",$S$3:$AE$63,MATCH(BN$3,$S$3:$AE$3,0),FALSE)-VLOOKUP($BJ304&amp;"初始",$S$3:$AE$63,MATCH(BN$3,$S$3:$AE$3,0),FALSE))*$BL304/VLOOKUP(VLOOKUP($BJ304,坦克个性化设定!$B$18:$E$48,4,FALSE)&amp;$BK304,坦克属性分配比例,MATCH("升星次数",坦克属性分配比例标头,0),FALSE)*VLOOKUP(VLOOKUP($BJ304,坦克个性化设定!$B$18:$E$48,4,FALSE)&amp;$BK304,坦克属性分配比例,MATCH("升星比例",坦克属性分配比例标头,0),FALSE),0)</f>
        <v>#N/A</v>
      </c>
      <c r="BO304" s="103" t="e">
        <f ca="1">ROUND(VLOOKUP($BJ304&amp;"初始",$S$3:$AE$63,MATCH(BO$3,$S$3:$AE$3,0),FALSE)+(VLOOKUP($BJ304&amp;"最终",$S$3:$AE$63,MATCH(BO$3,$S$3:$AE$3,0),FALSE)-VLOOKUP($BJ304&amp;"初始",$S$3:$AE$63,MATCH(BO$3,$S$3:$AE$3,0),FALSE))*$BL304/VLOOKUP(VLOOKUP($BJ304,坦克个性化设定!$B$18:$E$48,4,FALSE)&amp;$BK304,坦克属性分配比例,MATCH("升星次数",坦克属性分配比例标头,0),FALSE)*(VLOOKUP(VLOOKUP($BJ304,坦克个性化设定!$B$18:$E$48,4,FALSE)&amp;$BK304,坦克属性分配比例,MATCH("升星比例",坦克属性分配比例标头,0),FALSE)+VLOOKUP(VLOOKUP($BJ304,坦克个性化设定!$B$18:$E$48,4,FALSE)&amp;$BK304,坦克属性分配比例,MATCH("部件比例",坦克属性分配比例标头,0),FALSE)*$C$3),0)</f>
        <v>#N/A</v>
      </c>
      <c r="BP304" s="103" t="e">
        <f ca="1">ROUND(VLOOKUP($BJ304&amp;"初始",$S$3:$AE$63,MATCH(BP$3,$S$3:$AE$3,0),FALSE)+(VLOOKUP($BJ304&amp;"最终",$S$3:$AE$63,MATCH(BP$3,$S$3:$AE$3,0),FALSE)-VLOOKUP($BJ304&amp;"初始",$S$3:$AE$63,MATCH(BP$3,$S$3:$AE$3,0),FALSE))*$BL304/VLOOKUP(VLOOKUP($BJ304,坦克个性化设定!$B$18:$E$48,4,FALSE)&amp;$BK304,坦克属性分配比例,MATCH("升星次数",坦克属性分配比例标头,0),FALSE)*(VLOOKUP(VLOOKUP($BJ304,坦克个性化设定!$B$18:$E$48,4,FALSE)&amp;$BK304,坦克属性分配比例,MATCH("升星比例",坦克属性分配比例标头,0),FALSE)+VLOOKUP(VLOOKUP($BJ304,坦克个性化设定!$B$18:$E$48,4,FALSE)&amp;$BK304,坦克属性分配比例,MATCH("部件比例",坦克属性分配比例标头,0),FALSE)*$C$3),0)</f>
        <v>#N/A</v>
      </c>
      <c r="BQ304" s="103" t="e">
        <f ca="1">ROUND(VLOOKUP($BJ304&amp;"初始",$S$3:$AE$63,MATCH(BQ$3,$S$3:$AE$3,0),FALSE)+(VLOOKUP($BJ304&amp;"最终",$S$3:$AE$63,MATCH(BQ$3,$S$3:$AE$3,0),FALSE)-VLOOKUP($BJ304&amp;"初始",$S$3:$AE$63,MATCH(BQ$3,$S$3:$AE$3,0),FALSE))*$BL304/VLOOKUP(VLOOKUP($BJ304,坦克个性化设定!$B$18:$E$48,4,FALSE)&amp;$BK304,坦克属性分配比例,MATCH("升星次数",坦克属性分配比例标头,0),FALSE)*VLOOKUP(VLOOKUP($BJ304,坦克个性化设定!$B$18:$E$48,4,FALSE)&amp;$BK304,坦克属性分配比例,MATCH("升星比例",坦克属性分配比例标头,0),FALSE),0)</f>
        <v>#N/A</v>
      </c>
      <c r="BR304" s="2" t="e">
        <f ca="1">ROUND(VLOOKUP($BJ304&amp;"初始",$S$3:$AE$63,MATCH(BR$3,$S$3:$AE$3,0),FALSE)+(VLOOKUP($BJ304&amp;"最终",$S$3:$AE$63,MATCH(BR$3,$S$3:$AE$3,0),FALSE)-VLOOKUP($BJ304&amp;"初始",$S$3:$AE$63,MATCH(BR$3,$S$3:$AE$3,0),FALSE))*$BL304/VLOOKUP(VLOOKUP($BJ304,坦克个性化设定!$B$18:$E$48,4,FALSE)&amp;$BK304,坦克属性分配比例,MATCH("升星次数",坦克属性分配比例标头,0),FALSE),0)</f>
        <v>#N/A</v>
      </c>
      <c r="BS304" s="2">
        <f>ROUND(VLOOKUP($BJ304,$AI$3:$AO$33,MATCH(BS$3,$AI$3:$AO$3,0),FALSE)+$BL304/VLOOKUP(VLOOKUP($BJ304,坦克个性化设定!$B$18:$E$48,4,FALSE)&amp;$BK304,坦克属性分配比例,MATCH("升星次数",坦克属性分配比例标头,0),FALSE)*VLOOKUP($BJ304,$AR$3:$AY$33,MATCH(BS$3,$AR$3:$AY$3,0),FALSE),1)</f>
        <v>35.4</v>
      </c>
      <c r="BT304" s="2">
        <f>ROUND(VLOOKUP($BJ304,$AI$3:$AO$33,MATCH(BT$3,$AI$3:$AO$3,0),FALSE)+$BL304/VLOOKUP(VLOOKUP($BJ304,坦克个性化设定!$B$18:$E$48,4,FALSE)&amp;$BK304,坦克属性分配比例,MATCH("升星次数",坦克属性分配比例标头,0),FALSE)*VLOOKUP($BJ304,$AR$3:$AY$33,MATCH(BT$3,$AR$3:$AY$3,0),FALSE),1)</f>
        <v>40.4</v>
      </c>
      <c r="BU304" s="2">
        <f>ROUND(VLOOKUP($BJ304,$AI$3:$AO$33,MATCH(BU$3,$AI$3:$AO$3,0),FALSE)+$BL304/VLOOKUP(VLOOKUP($BJ304,坦克个性化设定!$B$18:$E$48,4,FALSE)&amp;$BK304,坦克属性分配比例,MATCH("升星次数",坦克属性分配比例标头,0),FALSE)*VLOOKUP($BJ304,$AR$3:$AY$33,MATCH(BU$3,$AR$3:$AY$3,0),FALSE),1)</f>
        <v>6.3</v>
      </c>
      <c r="BV304" s="2">
        <f>IF(VLOOKUP(BJ304,坦克个性化设定!$B$18:$BC$48,MATCH("装弹类型",坦克个性化设定!$B$18:$BC$18,0),FALSE)="弹夹换弹",0,ROUND(VLOOKUP($BJ304,$AI$3:$AO$33,MATCH("换弹时间",$AI$3:$AO$3,0),FALSE)-$BL304/VLOOKUP(VLOOKUP($BJ304,坦克个性化设定!$B$18:$E$48,4,FALSE)&amp;$BK304,坦克属性分配比例,MATCH("升星次数",坦克属性分配比例标头,0),FALSE)*VLOOKUP($BJ304,$AR$3:$AY$33,MATCH("换弹时间",$AR$3:$AY$3,0),FALSE),2))</f>
        <v>5.48</v>
      </c>
      <c r="BW304" s="2">
        <f>IF(VLOOKUP(BJ304,坦克个性化设定!$B$18:$BC$48,MATCH("装弹类型",坦克个性化设定!$B$18:$BC$18,0),FALSE)="弹夹换弹",ROUND(VLOOKUP($BJ304,$AI$3:$AO$33,MATCH("换弹时间",$AI$3:$AO$3,0),FALSE)-$BL304/VLOOKUP(VLOOKUP($BJ304,坦克个性化设定!$B$18:$E$48,4,FALSE)&amp;$BK304,坦克属性分配比例,MATCH("升星次数",坦克属性分配比例标头,0),FALSE)*VLOOKUP($BJ304,$AR$3:$AY$33,MATCH("换弹时间",$AR$3:$AY$3,0),FALSE),1),0)</f>
        <v>0</v>
      </c>
      <c r="BX304" s="2">
        <f>ROUND(VLOOKUP($BJ304,$AI$3:$AO$33,MATCH(BX$3,$AI$3:$AO$3,0),FALSE)+$BL304/VLOOKUP(VLOOKUP($BJ304,坦克个性化设定!$B$18:$E$48,4,FALSE)&amp;$BK304,坦克属性分配比例,MATCH("升星次数",坦克属性分配比例标头,0),FALSE)*VLOOKUP($BJ304,$AR$3:$AY$33,MATCH(BX$3,$AR$3:$AY$3,0),FALSE),2)</f>
        <v>0</v>
      </c>
      <c r="BY304" s="2">
        <f>ROUND(VLOOKUP($BJ304,$AI$3:$AO$33,MATCH(BY$3,$AI$3:$AO$3,0),FALSE)-$BL304/VLOOKUP(VLOOKUP($BJ304,坦克个性化设定!$B$18:$E$48,4,FALSE)&amp;$BK304,坦克属性分配比例,MATCH("升星次数",坦克属性分配比例标头,0),FALSE)*VLOOKUP($BJ304,$AR$3:$AY$33,MATCH(BY$3,$AR$3:$AY$3,0),FALSE),2)</f>
        <v>2.69</v>
      </c>
    </row>
    <row r="305" spans="60:77" x14ac:dyDescent="0.3">
      <c r="BH305" s="2" t="str">
        <f t="shared" si="35"/>
        <v>M1A29</v>
      </c>
      <c r="BI305" s="2">
        <f>IF(BL304&gt;=VLOOKUP(VLOOKUP(BJ304,坦克个性化设定!$B$18:$E$48,4,FALSE)&amp;BK304,坦克属性分配比例,MATCH("升星次数",坦克属性分配比例标头,0),FALSE),BI304+1,BI304)</f>
        <v>30</v>
      </c>
      <c r="BJ305" s="2" t="str">
        <f t="shared" si="36"/>
        <v>M1A2</v>
      </c>
      <c r="BK305" s="29" t="str">
        <f>VLOOKUP(BJ305,坦克个性化细分!$I$3:$J$33,2,FALSE)</f>
        <v>低</v>
      </c>
      <c r="BL305" s="2">
        <f t="shared" si="37"/>
        <v>9</v>
      </c>
      <c r="BM305" s="103" t="e">
        <f ca="1">ROUND(VLOOKUP($BJ305&amp;"初始",$S$3:$AE$63,MATCH(BM$3,$S$3:$AE$3,0),FALSE)+((VLOOKUP($BJ305&amp;"最终",$S$3:$AE$63,MATCH(BM$3,$S$3:$AE$3,0),FALSE)*坦克个性化细分!$C$9-VLOOKUP($BJ305&amp;"初始",$S$3:$AE$63,MATCH(BM$3,$S$3:$AE$3,0),FALSE))-(VLOOKUP($BJ305&amp;"最终",$S$3:$AE$63,MATCH(BM$3,$S$3:$AE$3,0),FALSE)-VLOOKUP($BJ305&amp;"初始",$S$3:$AE$63,MATCH(BM$3,$S$3:$AE$3,0),FALSE))*VLOOKUP(VLOOKUP($BJ305,坦克个性化设定!$B$18:$E$48,4,FALSE)&amp;$BK305,坦克属性分配比例,MATCH("部件比例",坦克属性分配比例标头,0),FALSE))*$BL305/VLOOKUP(VLOOKUP($BJ305,坦克个性化设定!$B$18:$E$48,4,FALSE)&amp;$BK305,坦克属性分配比例,MATCH("升星次数",坦克属性分配比例标头,0),FALSE),0)</f>
        <v>#N/A</v>
      </c>
      <c r="BN305" s="103" t="e">
        <f ca="1">ROUND(VLOOKUP($BJ305&amp;"初始",$S$3:$AE$63,MATCH(BN$3,$S$3:$AE$3,0),FALSE)+(VLOOKUP($BJ305&amp;"最终",$S$3:$AE$63,MATCH(BN$3,$S$3:$AE$3,0),FALSE)-VLOOKUP($BJ305&amp;"初始",$S$3:$AE$63,MATCH(BN$3,$S$3:$AE$3,0),FALSE))*$BL305/VLOOKUP(VLOOKUP($BJ305,坦克个性化设定!$B$18:$E$48,4,FALSE)&amp;$BK305,坦克属性分配比例,MATCH("升星次数",坦克属性分配比例标头,0),FALSE)*VLOOKUP(VLOOKUP($BJ305,坦克个性化设定!$B$18:$E$48,4,FALSE)&amp;$BK305,坦克属性分配比例,MATCH("升星比例",坦克属性分配比例标头,0),FALSE),0)</f>
        <v>#N/A</v>
      </c>
      <c r="BO305" s="103" t="e">
        <f ca="1">ROUND(VLOOKUP($BJ305&amp;"初始",$S$3:$AE$63,MATCH(BO$3,$S$3:$AE$3,0),FALSE)+(VLOOKUP($BJ305&amp;"最终",$S$3:$AE$63,MATCH(BO$3,$S$3:$AE$3,0),FALSE)-VLOOKUP($BJ305&amp;"初始",$S$3:$AE$63,MATCH(BO$3,$S$3:$AE$3,0),FALSE))*$BL305/VLOOKUP(VLOOKUP($BJ305,坦克个性化设定!$B$18:$E$48,4,FALSE)&amp;$BK305,坦克属性分配比例,MATCH("升星次数",坦克属性分配比例标头,0),FALSE)*(VLOOKUP(VLOOKUP($BJ305,坦克个性化设定!$B$18:$E$48,4,FALSE)&amp;$BK305,坦克属性分配比例,MATCH("升星比例",坦克属性分配比例标头,0),FALSE)+VLOOKUP(VLOOKUP($BJ305,坦克个性化设定!$B$18:$E$48,4,FALSE)&amp;$BK305,坦克属性分配比例,MATCH("部件比例",坦克属性分配比例标头,0),FALSE)*$C$3),0)</f>
        <v>#N/A</v>
      </c>
      <c r="BP305" s="103" t="e">
        <f ca="1">ROUND(VLOOKUP($BJ305&amp;"初始",$S$3:$AE$63,MATCH(BP$3,$S$3:$AE$3,0),FALSE)+(VLOOKUP($BJ305&amp;"最终",$S$3:$AE$63,MATCH(BP$3,$S$3:$AE$3,0),FALSE)-VLOOKUP($BJ305&amp;"初始",$S$3:$AE$63,MATCH(BP$3,$S$3:$AE$3,0),FALSE))*$BL305/VLOOKUP(VLOOKUP($BJ305,坦克个性化设定!$B$18:$E$48,4,FALSE)&amp;$BK305,坦克属性分配比例,MATCH("升星次数",坦克属性分配比例标头,0),FALSE)*(VLOOKUP(VLOOKUP($BJ305,坦克个性化设定!$B$18:$E$48,4,FALSE)&amp;$BK305,坦克属性分配比例,MATCH("升星比例",坦克属性分配比例标头,0),FALSE)+VLOOKUP(VLOOKUP($BJ305,坦克个性化设定!$B$18:$E$48,4,FALSE)&amp;$BK305,坦克属性分配比例,MATCH("部件比例",坦克属性分配比例标头,0),FALSE)*$C$3),0)</f>
        <v>#N/A</v>
      </c>
      <c r="BQ305" s="103" t="e">
        <f ca="1">ROUND(VLOOKUP($BJ305&amp;"初始",$S$3:$AE$63,MATCH(BQ$3,$S$3:$AE$3,0),FALSE)+(VLOOKUP($BJ305&amp;"最终",$S$3:$AE$63,MATCH(BQ$3,$S$3:$AE$3,0),FALSE)-VLOOKUP($BJ305&amp;"初始",$S$3:$AE$63,MATCH(BQ$3,$S$3:$AE$3,0),FALSE))*$BL305/VLOOKUP(VLOOKUP($BJ305,坦克个性化设定!$B$18:$E$48,4,FALSE)&amp;$BK305,坦克属性分配比例,MATCH("升星次数",坦克属性分配比例标头,0),FALSE)*VLOOKUP(VLOOKUP($BJ305,坦克个性化设定!$B$18:$E$48,4,FALSE)&amp;$BK305,坦克属性分配比例,MATCH("升星比例",坦克属性分配比例标头,0),FALSE),0)</f>
        <v>#N/A</v>
      </c>
      <c r="BR305" s="2" t="e">
        <f ca="1">ROUND(VLOOKUP($BJ305&amp;"初始",$S$3:$AE$63,MATCH(BR$3,$S$3:$AE$3,0),FALSE)+(VLOOKUP($BJ305&amp;"最终",$S$3:$AE$63,MATCH(BR$3,$S$3:$AE$3,0),FALSE)-VLOOKUP($BJ305&amp;"初始",$S$3:$AE$63,MATCH(BR$3,$S$3:$AE$3,0),FALSE))*$BL305/VLOOKUP(VLOOKUP($BJ305,坦克个性化设定!$B$18:$E$48,4,FALSE)&amp;$BK305,坦克属性分配比例,MATCH("升星次数",坦克属性分配比例标头,0),FALSE),0)</f>
        <v>#N/A</v>
      </c>
      <c r="BS305" s="2">
        <f>ROUND(VLOOKUP($BJ305,$AI$3:$AO$33,MATCH(BS$3,$AI$3:$AO$3,0),FALSE)+$BL305/VLOOKUP(VLOOKUP($BJ305,坦克个性化设定!$B$18:$E$48,4,FALSE)&amp;$BK305,坦克属性分配比例,MATCH("升星次数",坦克属性分配比例标头,0),FALSE)*VLOOKUP($BJ305,$AR$3:$AY$33,MATCH(BS$3,$AR$3:$AY$3,0),FALSE),1)</f>
        <v>36</v>
      </c>
      <c r="BT305" s="2">
        <f>ROUND(VLOOKUP($BJ305,$AI$3:$AO$33,MATCH(BT$3,$AI$3:$AO$3,0),FALSE)+$BL305/VLOOKUP(VLOOKUP($BJ305,坦克个性化设定!$B$18:$E$48,4,FALSE)&amp;$BK305,坦克属性分配比例,MATCH("升星次数",坦克属性分配比例标头,0),FALSE)*VLOOKUP($BJ305,$AR$3:$AY$33,MATCH(BT$3,$AR$3:$AY$3,0),FALSE),1)</f>
        <v>41.1</v>
      </c>
      <c r="BU305" s="2">
        <f>ROUND(VLOOKUP($BJ305,$AI$3:$AO$33,MATCH(BU$3,$AI$3:$AO$3,0),FALSE)+$BL305/VLOOKUP(VLOOKUP($BJ305,坦克个性化设定!$B$18:$E$48,4,FALSE)&amp;$BK305,坦克属性分配比例,MATCH("升星次数",坦克属性分配比例标头,0),FALSE)*VLOOKUP($BJ305,$AR$3:$AY$33,MATCH(BU$3,$AR$3:$AY$3,0),FALSE),1)</f>
        <v>6.3</v>
      </c>
      <c r="BV305" s="2">
        <f>IF(VLOOKUP(BJ305,坦克个性化设定!$B$18:$BC$48,MATCH("装弹类型",坦克个性化设定!$B$18:$BC$18,0),FALSE)="弹夹换弹",0,ROUND(VLOOKUP($BJ305,$AI$3:$AO$33,MATCH("换弹时间",$AI$3:$AO$3,0),FALSE)-$BL305/VLOOKUP(VLOOKUP($BJ305,坦克个性化设定!$B$18:$E$48,4,FALSE)&amp;$BK305,坦克属性分配比例,MATCH("升星次数",坦克属性分配比例标头,0),FALSE)*VLOOKUP($BJ305,$AR$3:$AY$33,MATCH("换弹时间",$AR$3:$AY$3,0),FALSE),2))</f>
        <v>5.41</v>
      </c>
      <c r="BW305" s="2">
        <f>IF(VLOOKUP(BJ305,坦克个性化设定!$B$18:$BC$48,MATCH("装弹类型",坦克个性化设定!$B$18:$BC$18,0),FALSE)="弹夹换弹",ROUND(VLOOKUP($BJ305,$AI$3:$AO$33,MATCH("换弹时间",$AI$3:$AO$3,0),FALSE)-$BL305/VLOOKUP(VLOOKUP($BJ305,坦克个性化设定!$B$18:$E$48,4,FALSE)&amp;$BK305,坦克属性分配比例,MATCH("升星次数",坦克属性分配比例标头,0),FALSE)*VLOOKUP($BJ305,$AR$3:$AY$33,MATCH("换弹时间",$AR$3:$AY$3,0),FALSE),1),0)</f>
        <v>0</v>
      </c>
      <c r="BX305" s="2">
        <f>ROUND(VLOOKUP($BJ305,$AI$3:$AO$33,MATCH(BX$3,$AI$3:$AO$3,0),FALSE)+$BL305/VLOOKUP(VLOOKUP($BJ305,坦克个性化设定!$B$18:$E$48,4,FALSE)&amp;$BK305,坦克属性分配比例,MATCH("升星次数",坦克属性分配比例标头,0),FALSE)*VLOOKUP($BJ305,$AR$3:$AY$33,MATCH(BX$3,$AR$3:$AY$3,0),FALSE),2)</f>
        <v>0</v>
      </c>
      <c r="BY305" s="2">
        <f>ROUND(VLOOKUP($BJ305,$AI$3:$AO$33,MATCH(BY$3,$AI$3:$AO$3,0),FALSE)-$BL305/VLOOKUP(VLOOKUP($BJ305,坦克个性化设定!$B$18:$E$48,4,FALSE)&amp;$BK305,坦克属性分配比例,MATCH("升星次数",坦克属性分配比例标头,0),FALSE)*VLOOKUP($BJ305,$AR$3:$AY$33,MATCH(BY$3,$AR$3:$AY$3,0),FALSE),2)</f>
        <v>2.65</v>
      </c>
    </row>
    <row r="306" spans="60:77" x14ac:dyDescent="0.3">
      <c r="BH306" s="2" t="str">
        <f t="shared" si="35"/>
        <v>M1A210</v>
      </c>
      <c r="BI306" s="2">
        <f>IF(BL305&gt;=VLOOKUP(VLOOKUP(BJ305,坦克个性化设定!$B$18:$E$48,4,FALSE)&amp;BK305,坦克属性分配比例,MATCH("升星次数",坦克属性分配比例标头,0),FALSE),BI305+1,BI305)</f>
        <v>30</v>
      </c>
      <c r="BJ306" s="2" t="str">
        <f t="shared" si="36"/>
        <v>M1A2</v>
      </c>
      <c r="BK306" s="29" t="str">
        <f>VLOOKUP(BJ306,坦克个性化细分!$I$3:$J$33,2,FALSE)</f>
        <v>低</v>
      </c>
      <c r="BL306" s="2">
        <f t="shared" si="37"/>
        <v>10</v>
      </c>
      <c r="BM306" s="103" t="e">
        <f ca="1">ROUND(VLOOKUP($BJ306&amp;"初始",$S$3:$AE$63,MATCH(BM$3,$S$3:$AE$3,0),FALSE)+((VLOOKUP($BJ306&amp;"最终",$S$3:$AE$63,MATCH(BM$3,$S$3:$AE$3,0),FALSE)*坦克个性化细分!$C$9-VLOOKUP($BJ306&amp;"初始",$S$3:$AE$63,MATCH(BM$3,$S$3:$AE$3,0),FALSE))-(VLOOKUP($BJ306&amp;"最终",$S$3:$AE$63,MATCH(BM$3,$S$3:$AE$3,0),FALSE)-VLOOKUP($BJ306&amp;"初始",$S$3:$AE$63,MATCH(BM$3,$S$3:$AE$3,0),FALSE))*VLOOKUP(VLOOKUP($BJ306,坦克个性化设定!$B$18:$E$48,4,FALSE)&amp;$BK306,坦克属性分配比例,MATCH("部件比例",坦克属性分配比例标头,0),FALSE))*$BL306/VLOOKUP(VLOOKUP($BJ306,坦克个性化设定!$B$18:$E$48,4,FALSE)&amp;$BK306,坦克属性分配比例,MATCH("升星次数",坦克属性分配比例标头,0),FALSE),0)</f>
        <v>#N/A</v>
      </c>
      <c r="BN306" s="103" t="e">
        <f ca="1">ROUND(VLOOKUP($BJ306&amp;"初始",$S$3:$AE$63,MATCH(BN$3,$S$3:$AE$3,0),FALSE)+(VLOOKUP($BJ306&amp;"最终",$S$3:$AE$63,MATCH(BN$3,$S$3:$AE$3,0),FALSE)-VLOOKUP($BJ306&amp;"初始",$S$3:$AE$63,MATCH(BN$3,$S$3:$AE$3,0),FALSE))*$BL306/VLOOKUP(VLOOKUP($BJ306,坦克个性化设定!$B$18:$E$48,4,FALSE)&amp;$BK306,坦克属性分配比例,MATCH("升星次数",坦克属性分配比例标头,0),FALSE)*VLOOKUP(VLOOKUP($BJ306,坦克个性化设定!$B$18:$E$48,4,FALSE)&amp;$BK306,坦克属性分配比例,MATCH("升星比例",坦克属性分配比例标头,0),FALSE),0)</f>
        <v>#N/A</v>
      </c>
      <c r="BO306" s="103" t="e">
        <f ca="1">ROUND(VLOOKUP($BJ306&amp;"初始",$S$3:$AE$63,MATCH(BO$3,$S$3:$AE$3,0),FALSE)+(VLOOKUP($BJ306&amp;"最终",$S$3:$AE$63,MATCH(BO$3,$S$3:$AE$3,0),FALSE)-VLOOKUP($BJ306&amp;"初始",$S$3:$AE$63,MATCH(BO$3,$S$3:$AE$3,0),FALSE))*$BL306/VLOOKUP(VLOOKUP($BJ306,坦克个性化设定!$B$18:$E$48,4,FALSE)&amp;$BK306,坦克属性分配比例,MATCH("升星次数",坦克属性分配比例标头,0),FALSE)*(VLOOKUP(VLOOKUP($BJ306,坦克个性化设定!$B$18:$E$48,4,FALSE)&amp;$BK306,坦克属性分配比例,MATCH("升星比例",坦克属性分配比例标头,0),FALSE)+VLOOKUP(VLOOKUP($BJ306,坦克个性化设定!$B$18:$E$48,4,FALSE)&amp;$BK306,坦克属性分配比例,MATCH("部件比例",坦克属性分配比例标头,0),FALSE)*$C$3),0)</f>
        <v>#N/A</v>
      </c>
      <c r="BP306" s="103" t="e">
        <f ca="1">ROUND(VLOOKUP($BJ306&amp;"初始",$S$3:$AE$63,MATCH(BP$3,$S$3:$AE$3,0),FALSE)+(VLOOKUP($BJ306&amp;"最终",$S$3:$AE$63,MATCH(BP$3,$S$3:$AE$3,0),FALSE)-VLOOKUP($BJ306&amp;"初始",$S$3:$AE$63,MATCH(BP$3,$S$3:$AE$3,0),FALSE))*$BL306/VLOOKUP(VLOOKUP($BJ306,坦克个性化设定!$B$18:$E$48,4,FALSE)&amp;$BK306,坦克属性分配比例,MATCH("升星次数",坦克属性分配比例标头,0),FALSE)*(VLOOKUP(VLOOKUP($BJ306,坦克个性化设定!$B$18:$E$48,4,FALSE)&amp;$BK306,坦克属性分配比例,MATCH("升星比例",坦克属性分配比例标头,0),FALSE)+VLOOKUP(VLOOKUP($BJ306,坦克个性化设定!$B$18:$E$48,4,FALSE)&amp;$BK306,坦克属性分配比例,MATCH("部件比例",坦克属性分配比例标头,0),FALSE)*$C$3),0)</f>
        <v>#N/A</v>
      </c>
      <c r="BQ306" s="103" t="e">
        <f ca="1">ROUND(VLOOKUP($BJ306&amp;"初始",$S$3:$AE$63,MATCH(BQ$3,$S$3:$AE$3,0),FALSE)+(VLOOKUP($BJ306&amp;"最终",$S$3:$AE$63,MATCH(BQ$3,$S$3:$AE$3,0),FALSE)-VLOOKUP($BJ306&amp;"初始",$S$3:$AE$63,MATCH(BQ$3,$S$3:$AE$3,0),FALSE))*$BL306/VLOOKUP(VLOOKUP($BJ306,坦克个性化设定!$B$18:$E$48,4,FALSE)&amp;$BK306,坦克属性分配比例,MATCH("升星次数",坦克属性分配比例标头,0),FALSE)*VLOOKUP(VLOOKUP($BJ306,坦克个性化设定!$B$18:$E$48,4,FALSE)&amp;$BK306,坦克属性分配比例,MATCH("升星比例",坦克属性分配比例标头,0),FALSE),0)</f>
        <v>#N/A</v>
      </c>
      <c r="BR306" s="2" t="e">
        <f ca="1">ROUND(VLOOKUP($BJ306&amp;"初始",$S$3:$AE$63,MATCH(BR$3,$S$3:$AE$3,0),FALSE)+(VLOOKUP($BJ306&amp;"最终",$S$3:$AE$63,MATCH(BR$3,$S$3:$AE$3,0),FALSE)-VLOOKUP($BJ306&amp;"初始",$S$3:$AE$63,MATCH(BR$3,$S$3:$AE$3,0),FALSE))*$BL306/VLOOKUP(VLOOKUP($BJ306,坦克个性化设定!$B$18:$E$48,4,FALSE)&amp;$BK306,坦克属性分配比例,MATCH("升星次数",坦克属性分配比例标头,0),FALSE),0)</f>
        <v>#N/A</v>
      </c>
      <c r="BS306" s="2">
        <f>ROUND(VLOOKUP($BJ306,$AI$3:$AO$33,MATCH(BS$3,$AI$3:$AO$3,0),FALSE)+$BL306/VLOOKUP(VLOOKUP($BJ306,坦克个性化设定!$B$18:$E$48,4,FALSE)&amp;$BK306,坦克属性分配比例,MATCH("升星次数",坦克属性分配比例标头,0),FALSE)*VLOOKUP($BJ306,$AR$3:$AY$33,MATCH(BS$3,$AR$3:$AY$3,0),FALSE),1)</f>
        <v>36.6</v>
      </c>
      <c r="BT306" s="2">
        <f>ROUND(VLOOKUP($BJ306,$AI$3:$AO$33,MATCH(BT$3,$AI$3:$AO$3,0),FALSE)+$BL306/VLOOKUP(VLOOKUP($BJ306,坦克个性化设定!$B$18:$E$48,4,FALSE)&amp;$BK306,坦克属性分配比例,MATCH("升星次数",坦克属性分配比例标头,0),FALSE)*VLOOKUP($BJ306,$AR$3:$AY$33,MATCH(BT$3,$AR$3:$AY$3,0),FALSE),1)</f>
        <v>41.7</v>
      </c>
      <c r="BU306" s="2">
        <f>ROUND(VLOOKUP($BJ306,$AI$3:$AO$33,MATCH(BU$3,$AI$3:$AO$3,0),FALSE)+$BL306/VLOOKUP(VLOOKUP($BJ306,坦克个性化设定!$B$18:$E$48,4,FALSE)&amp;$BK306,坦克属性分配比例,MATCH("升星次数",坦克属性分配比例标头,0),FALSE)*VLOOKUP($BJ306,$AR$3:$AY$33,MATCH(BU$3,$AR$3:$AY$3,0),FALSE),1)</f>
        <v>6.3</v>
      </c>
      <c r="BV306" s="2">
        <f>IF(VLOOKUP(BJ306,坦克个性化设定!$B$18:$BC$48,MATCH("装弹类型",坦克个性化设定!$B$18:$BC$18,0),FALSE)="弹夹换弹",0,ROUND(VLOOKUP($BJ306,$AI$3:$AO$33,MATCH("换弹时间",$AI$3:$AO$3,0),FALSE)-$BL306/VLOOKUP(VLOOKUP($BJ306,坦克个性化设定!$B$18:$E$48,4,FALSE)&amp;$BK306,坦克属性分配比例,MATCH("升星次数",坦克属性分配比例标头,0),FALSE)*VLOOKUP($BJ306,$AR$3:$AY$33,MATCH("换弹时间",$AR$3:$AY$3,0),FALSE),2))</f>
        <v>5.35</v>
      </c>
      <c r="BW306" s="2">
        <f>IF(VLOOKUP(BJ306,坦克个性化设定!$B$18:$BC$48,MATCH("装弹类型",坦克个性化设定!$B$18:$BC$18,0),FALSE)="弹夹换弹",ROUND(VLOOKUP($BJ306,$AI$3:$AO$33,MATCH("换弹时间",$AI$3:$AO$3,0),FALSE)-$BL306/VLOOKUP(VLOOKUP($BJ306,坦克个性化设定!$B$18:$E$48,4,FALSE)&amp;$BK306,坦克属性分配比例,MATCH("升星次数",坦克属性分配比例标头,0),FALSE)*VLOOKUP($BJ306,$AR$3:$AY$33,MATCH("换弹时间",$AR$3:$AY$3,0),FALSE),1),0)</f>
        <v>0</v>
      </c>
      <c r="BX306" s="2">
        <f>ROUND(VLOOKUP($BJ306,$AI$3:$AO$33,MATCH(BX$3,$AI$3:$AO$3,0),FALSE)+$BL306/VLOOKUP(VLOOKUP($BJ306,坦克个性化设定!$B$18:$E$48,4,FALSE)&amp;$BK306,坦克属性分配比例,MATCH("升星次数",坦克属性分配比例标头,0),FALSE)*VLOOKUP($BJ306,$AR$3:$AY$33,MATCH(BX$3,$AR$3:$AY$3,0),FALSE),2)</f>
        <v>0</v>
      </c>
      <c r="BY306" s="2">
        <f>ROUND(VLOOKUP($BJ306,$AI$3:$AO$33,MATCH(BY$3,$AI$3:$AO$3,0),FALSE)-$BL306/VLOOKUP(VLOOKUP($BJ306,坦克个性化设定!$B$18:$E$48,4,FALSE)&amp;$BK306,坦克属性分配比例,MATCH("升星次数",坦克属性分配比例标头,0),FALSE)*VLOOKUP($BJ306,$AR$3:$AY$33,MATCH(BY$3,$AR$3:$AY$3,0),FALSE),2)</f>
        <v>2.62</v>
      </c>
    </row>
    <row r="307" spans="60:77" x14ac:dyDescent="0.3">
      <c r="BH307" s="2" t="str">
        <f t="shared" si="35"/>
        <v>M1A211</v>
      </c>
      <c r="BI307" s="2">
        <f>IF(BL306&gt;=VLOOKUP(VLOOKUP(BJ306,坦克个性化设定!$B$18:$E$48,4,FALSE)&amp;BK306,坦克属性分配比例,MATCH("升星次数",坦克属性分配比例标头,0),FALSE),BI306+1,BI306)</f>
        <v>30</v>
      </c>
      <c r="BJ307" s="2" t="str">
        <f t="shared" si="36"/>
        <v>M1A2</v>
      </c>
      <c r="BK307" s="29" t="str">
        <f>VLOOKUP(BJ307,坦克个性化细分!$I$3:$J$33,2,FALSE)</f>
        <v>低</v>
      </c>
      <c r="BL307" s="2">
        <f t="shared" si="37"/>
        <v>11</v>
      </c>
      <c r="BM307" s="103" t="e">
        <f ca="1">ROUND(VLOOKUP($BJ307&amp;"初始",$S$3:$AE$63,MATCH(BM$3,$S$3:$AE$3,0),FALSE)+((VLOOKUP($BJ307&amp;"最终",$S$3:$AE$63,MATCH(BM$3,$S$3:$AE$3,0),FALSE)*坦克个性化细分!$C$9-VLOOKUP($BJ307&amp;"初始",$S$3:$AE$63,MATCH(BM$3,$S$3:$AE$3,0),FALSE))-(VLOOKUP($BJ307&amp;"最终",$S$3:$AE$63,MATCH(BM$3,$S$3:$AE$3,0),FALSE)-VLOOKUP($BJ307&amp;"初始",$S$3:$AE$63,MATCH(BM$3,$S$3:$AE$3,0),FALSE))*VLOOKUP(VLOOKUP($BJ307,坦克个性化设定!$B$18:$E$48,4,FALSE)&amp;$BK307,坦克属性分配比例,MATCH("部件比例",坦克属性分配比例标头,0),FALSE))*$BL307/VLOOKUP(VLOOKUP($BJ307,坦克个性化设定!$B$18:$E$48,4,FALSE)&amp;$BK307,坦克属性分配比例,MATCH("升星次数",坦克属性分配比例标头,0),FALSE),0)</f>
        <v>#N/A</v>
      </c>
      <c r="BN307" s="103" t="e">
        <f ca="1">ROUND(VLOOKUP($BJ307&amp;"初始",$S$3:$AE$63,MATCH(BN$3,$S$3:$AE$3,0),FALSE)+(VLOOKUP($BJ307&amp;"最终",$S$3:$AE$63,MATCH(BN$3,$S$3:$AE$3,0),FALSE)-VLOOKUP($BJ307&amp;"初始",$S$3:$AE$63,MATCH(BN$3,$S$3:$AE$3,0),FALSE))*$BL307/VLOOKUP(VLOOKUP($BJ307,坦克个性化设定!$B$18:$E$48,4,FALSE)&amp;$BK307,坦克属性分配比例,MATCH("升星次数",坦克属性分配比例标头,0),FALSE)*VLOOKUP(VLOOKUP($BJ307,坦克个性化设定!$B$18:$E$48,4,FALSE)&amp;$BK307,坦克属性分配比例,MATCH("升星比例",坦克属性分配比例标头,0),FALSE),0)</f>
        <v>#N/A</v>
      </c>
      <c r="BO307" s="103" t="e">
        <f ca="1">ROUND(VLOOKUP($BJ307&amp;"初始",$S$3:$AE$63,MATCH(BO$3,$S$3:$AE$3,0),FALSE)+(VLOOKUP($BJ307&amp;"最终",$S$3:$AE$63,MATCH(BO$3,$S$3:$AE$3,0),FALSE)-VLOOKUP($BJ307&amp;"初始",$S$3:$AE$63,MATCH(BO$3,$S$3:$AE$3,0),FALSE))*$BL307/VLOOKUP(VLOOKUP($BJ307,坦克个性化设定!$B$18:$E$48,4,FALSE)&amp;$BK307,坦克属性分配比例,MATCH("升星次数",坦克属性分配比例标头,0),FALSE)*(VLOOKUP(VLOOKUP($BJ307,坦克个性化设定!$B$18:$E$48,4,FALSE)&amp;$BK307,坦克属性分配比例,MATCH("升星比例",坦克属性分配比例标头,0),FALSE)+VLOOKUP(VLOOKUP($BJ307,坦克个性化设定!$B$18:$E$48,4,FALSE)&amp;$BK307,坦克属性分配比例,MATCH("部件比例",坦克属性分配比例标头,0),FALSE)*$C$3),0)</f>
        <v>#N/A</v>
      </c>
      <c r="BP307" s="103" t="e">
        <f ca="1">ROUND(VLOOKUP($BJ307&amp;"初始",$S$3:$AE$63,MATCH(BP$3,$S$3:$AE$3,0),FALSE)+(VLOOKUP($BJ307&amp;"最终",$S$3:$AE$63,MATCH(BP$3,$S$3:$AE$3,0),FALSE)-VLOOKUP($BJ307&amp;"初始",$S$3:$AE$63,MATCH(BP$3,$S$3:$AE$3,0),FALSE))*$BL307/VLOOKUP(VLOOKUP($BJ307,坦克个性化设定!$B$18:$E$48,4,FALSE)&amp;$BK307,坦克属性分配比例,MATCH("升星次数",坦克属性分配比例标头,0),FALSE)*(VLOOKUP(VLOOKUP($BJ307,坦克个性化设定!$B$18:$E$48,4,FALSE)&amp;$BK307,坦克属性分配比例,MATCH("升星比例",坦克属性分配比例标头,0),FALSE)+VLOOKUP(VLOOKUP($BJ307,坦克个性化设定!$B$18:$E$48,4,FALSE)&amp;$BK307,坦克属性分配比例,MATCH("部件比例",坦克属性分配比例标头,0),FALSE)*$C$3),0)</f>
        <v>#N/A</v>
      </c>
      <c r="BQ307" s="103" t="e">
        <f ca="1">ROUND(VLOOKUP($BJ307&amp;"初始",$S$3:$AE$63,MATCH(BQ$3,$S$3:$AE$3,0),FALSE)+(VLOOKUP($BJ307&amp;"最终",$S$3:$AE$63,MATCH(BQ$3,$S$3:$AE$3,0),FALSE)-VLOOKUP($BJ307&amp;"初始",$S$3:$AE$63,MATCH(BQ$3,$S$3:$AE$3,0),FALSE))*$BL307/VLOOKUP(VLOOKUP($BJ307,坦克个性化设定!$B$18:$E$48,4,FALSE)&amp;$BK307,坦克属性分配比例,MATCH("升星次数",坦克属性分配比例标头,0),FALSE)*VLOOKUP(VLOOKUP($BJ307,坦克个性化设定!$B$18:$E$48,4,FALSE)&amp;$BK307,坦克属性分配比例,MATCH("升星比例",坦克属性分配比例标头,0),FALSE),0)</f>
        <v>#N/A</v>
      </c>
      <c r="BR307" s="2" t="e">
        <f ca="1">ROUND(VLOOKUP($BJ307&amp;"初始",$S$3:$AE$63,MATCH(BR$3,$S$3:$AE$3,0),FALSE)+(VLOOKUP($BJ307&amp;"最终",$S$3:$AE$63,MATCH(BR$3,$S$3:$AE$3,0),FALSE)-VLOOKUP($BJ307&amp;"初始",$S$3:$AE$63,MATCH(BR$3,$S$3:$AE$3,0),FALSE))*$BL307/VLOOKUP(VLOOKUP($BJ307,坦克个性化设定!$B$18:$E$48,4,FALSE)&amp;$BK307,坦克属性分配比例,MATCH("升星次数",坦克属性分配比例标头,0),FALSE),0)</f>
        <v>#N/A</v>
      </c>
      <c r="BS307" s="2">
        <f>ROUND(VLOOKUP($BJ307,$AI$3:$AO$33,MATCH(BS$3,$AI$3:$AO$3,0),FALSE)+$BL307/VLOOKUP(VLOOKUP($BJ307,坦克个性化设定!$B$18:$E$48,4,FALSE)&amp;$BK307,坦克属性分配比例,MATCH("升星次数",坦克属性分配比例标头,0),FALSE)*VLOOKUP($BJ307,$AR$3:$AY$33,MATCH(BS$3,$AR$3:$AY$3,0),FALSE),1)</f>
        <v>37.200000000000003</v>
      </c>
      <c r="BT307" s="2">
        <f>ROUND(VLOOKUP($BJ307,$AI$3:$AO$33,MATCH(BT$3,$AI$3:$AO$3,0),FALSE)+$BL307/VLOOKUP(VLOOKUP($BJ307,坦克个性化设定!$B$18:$E$48,4,FALSE)&amp;$BK307,坦克属性分配比例,MATCH("升星次数",坦克属性分配比例标头,0),FALSE)*VLOOKUP($BJ307,$AR$3:$AY$33,MATCH(BT$3,$AR$3:$AY$3,0),FALSE),1)</f>
        <v>42.4</v>
      </c>
      <c r="BU307" s="2">
        <f>ROUND(VLOOKUP($BJ307,$AI$3:$AO$33,MATCH(BU$3,$AI$3:$AO$3,0),FALSE)+$BL307/VLOOKUP(VLOOKUP($BJ307,坦克个性化设定!$B$18:$E$48,4,FALSE)&amp;$BK307,坦克属性分配比例,MATCH("升星次数",坦克属性分配比例标头,0),FALSE)*VLOOKUP($BJ307,$AR$3:$AY$33,MATCH(BU$3,$AR$3:$AY$3,0),FALSE),1)</f>
        <v>6.3</v>
      </c>
      <c r="BV307" s="2">
        <f>IF(VLOOKUP(BJ307,坦克个性化设定!$B$18:$BC$48,MATCH("装弹类型",坦克个性化设定!$B$18:$BC$18,0),FALSE)="弹夹换弹",0,ROUND(VLOOKUP($BJ307,$AI$3:$AO$33,MATCH("换弹时间",$AI$3:$AO$3,0),FALSE)-$BL307/VLOOKUP(VLOOKUP($BJ307,坦克个性化设定!$B$18:$E$48,4,FALSE)&amp;$BK307,坦克属性分配比例,MATCH("升星次数",坦克属性分配比例标头,0),FALSE)*VLOOKUP($BJ307,$AR$3:$AY$33,MATCH("换弹时间",$AR$3:$AY$3,0),FALSE),2))</f>
        <v>5.28</v>
      </c>
      <c r="BW307" s="2">
        <f>IF(VLOOKUP(BJ307,坦克个性化设定!$B$18:$BC$48,MATCH("装弹类型",坦克个性化设定!$B$18:$BC$18,0),FALSE)="弹夹换弹",ROUND(VLOOKUP($BJ307,$AI$3:$AO$33,MATCH("换弹时间",$AI$3:$AO$3,0),FALSE)-$BL307/VLOOKUP(VLOOKUP($BJ307,坦克个性化设定!$B$18:$E$48,4,FALSE)&amp;$BK307,坦克属性分配比例,MATCH("升星次数",坦克属性分配比例标头,0),FALSE)*VLOOKUP($BJ307,$AR$3:$AY$33,MATCH("换弹时间",$AR$3:$AY$3,0),FALSE),1),0)</f>
        <v>0</v>
      </c>
      <c r="BX307" s="2">
        <f>ROUND(VLOOKUP($BJ307,$AI$3:$AO$33,MATCH(BX$3,$AI$3:$AO$3,0),FALSE)+$BL307/VLOOKUP(VLOOKUP($BJ307,坦克个性化设定!$B$18:$E$48,4,FALSE)&amp;$BK307,坦克属性分配比例,MATCH("升星次数",坦克属性分配比例标头,0),FALSE)*VLOOKUP($BJ307,$AR$3:$AY$33,MATCH(BX$3,$AR$3:$AY$3,0),FALSE),2)</f>
        <v>0</v>
      </c>
      <c r="BY307" s="2">
        <f>ROUND(VLOOKUP($BJ307,$AI$3:$AO$33,MATCH(BY$3,$AI$3:$AO$3,0),FALSE)-$BL307/VLOOKUP(VLOOKUP($BJ307,坦克个性化设定!$B$18:$E$48,4,FALSE)&amp;$BK307,坦克属性分配比例,MATCH("升星次数",坦克属性分配比例标头,0),FALSE)*VLOOKUP($BJ307,$AR$3:$AY$33,MATCH(BY$3,$AR$3:$AY$3,0),FALSE),2)</f>
        <v>2.58</v>
      </c>
    </row>
    <row r="308" spans="60:77" x14ac:dyDescent="0.3">
      <c r="BH308" s="2" t="str">
        <f t="shared" si="35"/>
        <v>M1A212</v>
      </c>
      <c r="BI308" s="2">
        <f>IF(BL307&gt;=VLOOKUP(VLOOKUP(BJ307,坦克个性化设定!$B$18:$E$48,4,FALSE)&amp;BK307,坦克属性分配比例,MATCH("升星次数",坦克属性分配比例标头,0),FALSE),BI307+1,BI307)</f>
        <v>30</v>
      </c>
      <c r="BJ308" s="2" t="str">
        <f t="shared" si="36"/>
        <v>M1A2</v>
      </c>
      <c r="BK308" s="29" t="str">
        <f>VLOOKUP(BJ308,坦克个性化细分!$I$3:$J$33,2,FALSE)</f>
        <v>低</v>
      </c>
      <c r="BL308" s="2">
        <f t="shared" si="37"/>
        <v>12</v>
      </c>
      <c r="BM308" s="103" t="e">
        <f ca="1">ROUND(VLOOKUP($BJ308&amp;"初始",$S$3:$AE$63,MATCH(BM$3,$S$3:$AE$3,0),FALSE)+((VLOOKUP($BJ308&amp;"最终",$S$3:$AE$63,MATCH(BM$3,$S$3:$AE$3,0),FALSE)*坦克个性化细分!$C$9-VLOOKUP($BJ308&amp;"初始",$S$3:$AE$63,MATCH(BM$3,$S$3:$AE$3,0),FALSE))-(VLOOKUP($BJ308&amp;"最终",$S$3:$AE$63,MATCH(BM$3,$S$3:$AE$3,0),FALSE)-VLOOKUP($BJ308&amp;"初始",$S$3:$AE$63,MATCH(BM$3,$S$3:$AE$3,0),FALSE))*VLOOKUP(VLOOKUP($BJ308,坦克个性化设定!$B$18:$E$48,4,FALSE)&amp;$BK308,坦克属性分配比例,MATCH("部件比例",坦克属性分配比例标头,0),FALSE))*$BL308/VLOOKUP(VLOOKUP($BJ308,坦克个性化设定!$B$18:$E$48,4,FALSE)&amp;$BK308,坦克属性分配比例,MATCH("升星次数",坦克属性分配比例标头,0),FALSE),0)</f>
        <v>#N/A</v>
      </c>
      <c r="BN308" s="103" t="e">
        <f ca="1">ROUND(VLOOKUP($BJ308&amp;"初始",$S$3:$AE$63,MATCH(BN$3,$S$3:$AE$3,0),FALSE)+(VLOOKUP($BJ308&amp;"最终",$S$3:$AE$63,MATCH(BN$3,$S$3:$AE$3,0),FALSE)-VLOOKUP($BJ308&amp;"初始",$S$3:$AE$63,MATCH(BN$3,$S$3:$AE$3,0),FALSE))*$BL308/VLOOKUP(VLOOKUP($BJ308,坦克个性化设定!$B$18:$E$48,4,FALSE)&amp;$BK308,坦克属性分配比例,MATCH("升星次数",坦克属性分配比例标头,0),FALSE)*VLOOKUP(VLOOKUP($BJ308,坦克个性化设定!$B$18:$E$48,4,FALSE)&amp;$BK308,坦克属性分配比例,MATCH("升星比例",坦克属性分配比例标头,0),FALSE),0)</f>
        <v>#N/A</v>
      </c>
      <c r="BO308" s="103" t="e">
        <f ca="1">ROUND(VLOOKUP($BJ308&amp;"初始",$S$3:$AE$63,MATCH(BO$3,$S$3:$AE$3,0),FALSE)+(VLOOKUP($BJ308&amp;"最终",$S$3:$AE$63,MATCH(BO$3,$S$3:$AE$3,0),FALSE)-VLOOKUP($BJ308&amp;"初始",$S$3:$AE$63,MATCH(BO$3,$S$3:$AE$3,0),FALSE))*$BL308/VLOOKUP(VLOOKUP($BJ308,坦克个性化设定!$B$18:$E$48,4,FALSE)&amp;$BK308,坦克属性分配比例,MATCH("升星次数",坦克属性分配比例标头,0),FALSE)*(VLOOKUP(VLOOKUP($BJ308,坦克个性化设定!$B$18:$E$48,4,FALSE)&amp;$BK308,坦克属性分配比例,MATCH("升星比例",坦克属性分配比例标头,0),FALSE)+VLOOKUP(VLOOKUP($BJ308,坦克个性化设定!$B$18:$E$48,4,FALSE)&amp;$BK308,坦克属性分配比例,MATCH("部件比例",坦克属性分配比例标头,0),FALSE)*$C$3),0)</f>
        <v>#N/A</v>
      </c>
      <c r="BP308" s="103" t="e">
        <f ca="1">ROUND(VLOOKUP($BJ308&amp;"初始",$S$3:$AE$63,MATCH(BP$3,$S$3:$AE$3,0),FALSE)+(VLOOKUP($BJ308&amp;"最终",$S$3:$AE$63,MATCH(BP$3,$S$3:$AE$3,0),FALSE)-VLOOKUP($BJ308&amp;"初始",$S$3:$AE$63,MATCH(BP$3,$S$3:$AE$3,0),FALSE))*$BL308/VLOOKUP(VLOOKUP($BJ308,坦克个性化设定!$B$18:$E$48,4,FALSE)&amp;$BK308,坦克属性分配比例,MATCH("升星次数",坦克属性分配比例标头,0),FALSE)*(VLOOKUP(VLOOKUP($BJ308,坦克个性化设定!$B$18:$E$48,4,FALSE)&amp;$BK308,坦克属性分配比例,MATCH("升星比例",坦克属性分配比例标头,0),FALSE)+VLOOKUP(VLOOKUP($BJ308,坦克个性化设定!$B$18:$E$48,4,FALSE)&amp;$BK308,坦克属性分配比例,MATCH("部件比例",坦克属性分配比例标头,0),FALSE)*$C$3),0)</f>
        <v>#N/A</v>
      </c>
      <c r="BQ308" s="103" t="e">
        <f ca="1">ROUND(VLOOKUP($BJ308&amp;"初始",$S$3:$AE$63,MATCH(BQ$3,$S$3:$AE$3,0),FALSE)+(VLOOKUP($BJ308&amp;"最终",$S$3:$AE$63,MATCH(BQ$3,$S$3:$AE$3,0),FALSE)-VLOOKUP($BJ308&amp;"初始",$S$3:$AE$63,MATCH(BQ$3,$S$3:$AE$3,0),FALSE))*$BL308/VLOOKUP(VLOOKUP($BJ308,坦克个性化设定!$B$18:$E$48,4,FALSE)&amp;$BK308,坦克属性分配比例,MATCH("升星次数",坦克属性分配比例标头,0),FALSE)*VLOOKUP(VLOOKUP($BJ308,坦克个性化设定!$B$18:$E$48,4,FALSE)&amp;$BK308,坦克属性分配比例,MATCH("升星比例",坦克属性分配比例标头,0),FALSE),0)</f>
        <v>#N/A</v>
      </c>
      <c r="BR308" s="2" t="e">
        <f ca="1">ROUND(VLOOKUP($BJ308&amp;"初始",$S$3:$AE$63,MATCH(BR$3,$S$3:$AE$3,0),FALSE)+(VLOOKUP($BJ308&amp;"最终",$S$3:$AE$63,MATCH(BR$3,$S$3:$AE$3,0),FALSE)-VLOOKUP($BJ308&amp;"初始",$S$3:$AE$63,MATCH(BR$3,$S$3:$AE$3,0),FALSE))*$BL308/VLOOKUP(VLOOKUP($BJ308,坦克个性化设定!$B$18:$E$48,4,FALSE)&amp;$BK308,坦克属性分配比例,MATCH("升星次数",坦克属性分配比例标头,0),FALSE),0)</f>
        <v>#N/A</v>
      </c>
      <c r="BS308" s="2">
        <f>ROUND(VLOOKUP($BJ308,$AI$3:$AO$33,MATCH(BS$3,$AI$3:$AO$3,0),FALSE)+$BL308/VLOOKUP(VLOOKUP($BJ308,坦克个性化设定!$B$18:$E$48,4,FALSE)&amp;$BK308,坦克属性分配比例,MATCH("升星次数",坦克属性分配比例标头,0),FALSE)*VLOOKUP($BJ308,$AR$3:$AY$33,MATCH(BS$3,$AR$3:$AY$3,0),FALSE),1)</f>
        <v>37.799999999999997</v>
      </c>
      <c r="BT308" s="2">
        <f>ROUND(VLOOKUP($BJ308,$AI$3:$AO$33,MATCH(BT$3,$AI$3:$AO$3,0),FALSE)+$BL308/VLOOKUP(VLOOKUP($BJ308,坦克个性化设定!$B$18:$E$48,4,FALSE)&amp;$BK308,坦克属性分配比例,MATCH("升星次数",坦克属性分配比例标头,0),FALSE)*VLOOKUP($BJ308,$AR$3:$AY$33,MATCH(BT$3,$AR$3:$AY$3,0),FALSE),1)</f>
        <v>43.1</v>
      </c>
      <c r="BU308" s="2">
        <f>ROUND(VLOOKUP($BJ308,$AI$3:$AO$33,MATCH(BU$3,$AI$3:$AO$3,0),FALSE)+$BL308/VLOOKUP(VLOOKUP($BJ308,坦克个性化设定!$B$18:$E$48,4,FALSE)&amp;$BK308,坦克属性分配比例,MATCH("升星次数",坦克属性分配比例标头,0),FALSE)*VLOOKUP($BJ308,$AR$3:$AY$33,MATCH(BU$3,$AR$3:$AY$3,0),FALSE),1)</f>
        <v>6.3</v>
      </c>
      <c r="BV308" s="2">
        <f>IF(VLOOKUP(BJ308,坦克个性化设定!$B$18:$BC$48,MATCH("装弹类型",坦克个性化设定!$B$18:$BC$18,0),FALSE)="弹夹换弹",0,ROUND(VLOOKUP($BJ308,$AI$3:$AO$33,MATCH("换弹时间",$AI$3:$AO$3,0),FALSE)-$BL308/VLOOKUP(VLOOKUP($BJ308,坦克个性化设定!$B$18:$E$48,4,FALSE)&amp;$BK308,坦克属性分配比例,MATCH("升星次数",坦克属性分配比例标头,0),FALSE)*VLOOKUP($BJ308,$AR$3:$AY$33,MATCH("换弹时间",$AR$3:$AY$3,0),FALSE),2))</f>
        <v>5.22</v>
      </c>
      <c r="BW308" s="2">
        <f>IF(VLOOKUP(BJ308,坦克个性化设定!$B$18:$BC$48,MATCH("装弹类型",坦克个性化设定!$B$18:$BC$18,0),FALSE)="弹夹换弹",ROUND(VLOOKUP($BJ308,$AI$3:$AO$33,MATCH("换弹时间",$AI$3:$AO$3,0),FALSE)-$BL308/VLOOKUP(VLOOKUP($BJ308,坦克个性化设定!$B$18:$E$48,4,FALSE)&amp;$BK308,坦克属性分配比例,MATCH("升星次数",坦克属性分配比例标头,0),FALSE)*VLOOKUP($BJ308,$AR$3:$AY$33,MATCH("换弹时间",$AR$3:$AY$3,0),FALSE),1),0)</f>
        <v>0</v>
      </c>
      <c r="BX308" s="2">
        <f>ROUND(VLOOKUP($BJ308,$AI$3:$AO$33,MATCH(BX$3,$AI$3:$AO$3,0),FALSE)+$BL308/VLOOKUP(VLOOKUP($BJ308,坦克个性化设定!$B$18:$E$48,4,FALSE)&amp;$BK308,坦克属性分配比例,MATCH("升星次数",坦克属性分配比例标头,0),FALSE)*VLOOKUP($BJ308,$AR$3:$AY$33,MATCH(BX$3,$AR$3:$AY$3,0),FALSE),2)</f>
        <v>0</v>
      </c>
      <c r="BY308" s="2">
        <f>ROUND(VLOOKUP($BJ308,$AI$3:$AO$33,MATCH(BY$3,$AI$3:$AO$3,0),FALSE)-$BL308/VLOOKUP(VLOOKUP($BJ308,坦克个性化设定!$B$18:$E$48,4,FALSE)&amp;$BK308,坦克属性分配比例,MATCH("升星次数",坦克属性分配比例标头,0),FALSE)*VLOOKUP($BJ308,$AR$3:$AY$33,MATCH(BY$3,$AR$3:$AY$3,0),FALSE),2)</f>
        <v>2.54</v>
      </c>
    </row>
    <row r="309" spans="60:77" x14ac:dyDescent="0.3">
      <c r="BH309" s="2" t="str">
        <f t="shared" si="35"/>
        <v>M1A213</v>
      </c>
      <c r="BI309" s="2">
        <f>IF(BL308&gt;=VLOOKUP(VLOOKUP(BJ308,坦克个性化设定!$B$18:$E$48,4,FALSE)&amp;BK308,坦克属性分配比例,MATCH("升星次数",坦克属性分配比例标头,0),FALSE),BI308+1,BI308)</f>
        <v>30</v>
      </c>
      <c r="BJ309" s="2" t="str">
        <f t="shared" si="36"/>
        <v>M1A2</v>
      </c>
      <c r="BK309" s="29" t="str">
        <f>VLOOKUP(BJ309,坦克个性化细分!$I$3:$J$33,2,FALSE)</f>
        <v>低</v>
      </c>
      <c r="BL309" s="2">
        <f t="shared" si="37"/>
        <v>13</v>
      </c>
      <c r="BM309" s="103" t="e">
        <f ca="1">ROUND(VLOOKUP($BJ309&amp;"初始",$S$3:$AE$63,MATCH(BM$3,$S$3:$AE$3,0),FALSE)+((VLOOKUP($BJ309&amp;"最终",$S$3:$AE$63,MATCH(BM$3,$S$3:$AE$3,0),FALSE)*坦克个性化细分!$C$9-VLOOKUP($BJ309&amp;"初始",$S$3:$AE$63,MATCH(BM$3,$S$3:$AE$3,0),FALSE))-(VLOOKUP($BJ309&amp;"最终",$S$3:$AE$63,MATCH(BM$3,$S$3:$AE$3,0),FALSE)-VLOOKUP($BJ309&amp;"初始",$S$3:$AE$63,MATCH(BM$3,$S$3:$AE$3,0),FALSE))*VLOOKUP(VLOOKUP($BJ309,坦克个性化设定!$B$18:$E$48,4,FALSE)&amp;$BK309,坦克属性分配比例,MATCH("部件比例",坦克属性分配比例标头,0),FALSE))*$BL309/VLOOKUP(VLOOKUP($BJ309,坦克个性化设定!$B$18:$E$48,4,FALSE)&amp;$BK309,坦克属性分配比例,MATCH("升星次数",坦克属性分配比例标头,0),FALSE),0)</f>
        <v>#N/A</v>
      </c>
      <c r="BN309" s="103" t="e">
        <f ca="1">ROUND(VLOOKUP($BJ309&amp;"初始",$S$3:$AE$63,MATCH(BN$3,$S$3:$AE$3,0),FALSE)+(VLOOKUP($BJ309&amp;"最终",$S$3:$AE$63,MATCH(BN$3,$S$3:$AE$3,0),FALSE)-VLOOKUP($BJ309&amp;"初始",$S$3:$AE$63,MATCH(BN$3,$S$3:$AE$3,0),FALSE))*$BL309/VLOOKUP(VLOOKUP($BJ309,坦克个性化设定!$B$18:$E$48,4,FALSE)&amp;$BK309,坦克属性分配比例,MATCH("升星次数",坦克属性分配比例标头,0),FALSE)*VLOOKUP(VLOOKUP($BJ309,坦克个性化设定!$B$18:$E$48,4,FALSE)&amp;$BK309,坦克属性分配比例,MATCH("升星比例",坦克属性分配比例标头,0),FALSE),0)</f>
        <v>#N/A</v>
      </c>
      <c r="BO309" s="103" t="e">
        <f ca="1">ROUND(VLOOKUP($BJ309&amp;"初始",$S$3:$AE$63,MATCH(BO$3,$S$3:$AE$3,0),FALSE)+(VLOOKUP($BJ309&amp;"最终",$S$3:$AE$63,MATCH(BO$3,$S$3:$AE$3,0),FALSE)-VLOOKUP($BJ309&amp;"初始",$S$3:$AE$63,MATCH(BO$3,$S$3:$AE$3,0),FALSE))*$BL309/VLOOKUP(VLOOKUP($BJ309,坦克个性化设定!$B$18:$E$48,4,FALSE)&amp;$BK309,坦克属性分配比例,MATCH("升星次数",坦克属性分配比例标头,0),FALSE)*(VLOOKUP(VLOOKUP($BJ309,坦克个性化设定!$B$18:$E$48,4,FALSE)&amp;$BK309,坦克属性分配比例,MATCH("升星比例",坦克属性分配比例标头,0),FALSE)+VLOOKUP(VLOOKUP($BJ309,坦克个性化设定!$B$18:$E$48,4,FALSE)&amp;$BK309,坦克属性分配比例,MATCH("部件比例",坦克属性分配比例标头,0),FALSE)*$C$3),0)</f>
        <v>#N/A</v>
      </c>
      <c r="BP309" s="103" t="e">
        <f ca="1">ROUND(VLOOKUP($BJ309&amp;"初始",$S$3:$AE$63,MATCH(BP$3,$S$3:$AE$3,0),FALSE)+(VLOOKUP($BJ309&amp;"最终",$S$3:$AE$63,MATCH(BP$3,$S$3:$AE$3,0),FALSE)-VLOOKUP($BJ309&amp;"初始",$S$3:$AE$63,MATCH(BP$3,$S$3:$AE$3,0),FALSE))*$BL309/VLOOKUP(VLOOKUP($BJ309,坦克个性化设定!$B$18:$E$48,4,FALSE)&amp;$BK309,坦克属性分配比例,MATCH("升星次数",坦克属性分配比例标头,0),FALSE)*(VLOOKUP(VLOOKUP($BJ309,坦克个性化设定!$B$18:$E$48,4,FALSE)&amp;$BK309,坦克属性分配比例,MATCH("升星比例",坦克属性分配比例标头,0),FALSE)+VLOOKUP(VLOOKUP($BJ309,坦克个性化设定!$B$18:$E$48,4,FALSE)&amp;$BK309,坦克属性分配比例,MATCH("部件比例",坦克属性分配比例标头,0),FALSE)*$C$3),0)</f>
        <v>#N/A</v>
      </c>
      <c r="BQ309" s="103" t="e">
        <f ca="1">ROUND(VLOOKUP($BJ309&amp;"初始",$S$3:$AE$63,MATCH(BQ$3,$S$3:$AE$3,0),FALSE)+(VLOOKUP($BJ309&amp;"最终",$S$3:$AE$63,MATCH(BQ$3,$S$3:$AE$3,0),FALSE)-VLOOKUP($BJ309&amp;"初始",$S$3:$AE$63,MATCH(BQ$3,$S$3:$AE$3,0),FALSE))*$BL309/VLOOKUP(VLOOKUP($BJ309,坦克个性化设定!$B$18:$E$48,4,FALSE)&amp;$BK309,坦克属性分配比例,MATCH("升星次数",坦克属性分配比例标头,0),FALSE)*VLOOKUP(VLOOKUP($BJ309,坦克个性化设定!$B$18:$E$48,4,FALSE)&amp;$BK309,坦克属性分配比例,MATCH("升星比例",坦克属性分配比例标头,0),FALSE),0)</f>
        <v>#N/A</v>
      </c>
      <c r="BR309" s="2" t="e">
        <f ca="1">ROUND(VLOOKUP($BJ309&amp;"初始",$S$3:$AE$63,MATCH(BR$3,$S$3:$AE$3,0),FALSE)+(VLOOKUP($BJ309&amp;"最终",$S$3:$AE$63,MATCH(BR$3,$S$3:$AE$3,0),FALSE)-VLOOKUP($BJ309&amp;"初始",$S$3:$AE$63,MATCH(BR$3,$S$3:$AE$3,0),FALSE))*$BL309/VLOOKUP(VLOOKUP($BJ309,坦克个性化设定!$B$18:$E$48,4,FALSE)&amp;$BK309,坦克属性分配比例,MATCH("升星次数",坦克属性分配比例标头,0),FALSE),0)</f>
        <v>#N/A</v>
      </c>
      <c r="BS309" s="2">
        <f>ROUND(VLOOKUP($BJ309,$AI$3:$AO$33,MATCH(BS$3,$AI$3:$AO$3,0),FALSE)+$BL309/VLOOKUP(VLOOKUP($BJ309,坦克个性化设定!$B$18:$E$48,4,FALSE)&amp;$BK309,坦克属性分配比例,MATCH("升星次数",坦克属性分配比例标头,0),FALSE)*VLOOKUP($BJ309,$AR$3:$AY$33,MATCH(BS$3,$AR$3:$AY$3,0),FALSE),1)</f>
        <v>38.4</v>
      </c>
      <c r="BT309" s="2">
        <f>ROUND(VLOOKUP($BJ309,$AI$3:$AO$33,MATCH(BT$3,$AI$3:$AO$3,0),FALSE)+$BL309/VLOOKUP(VLOOKUP($BJ309,坦克个性化设定!$B$18:$E$48,4,FALSE)&amp;$BK309,坦克属性分配比例,MATCH("升星次数",坦克属性分配比例标头,0),FALSE)*VLOOKUP($BJ309,$AR$3:$AY$33,MATCH(BT$3,$AR$3:$AY$3,0),FALSE),1)</f>
        <v>43.8</v>
      </c>
      <c r="BU309" s="2">
        <f>ROUND(VLOOKUP($BJ309,$AI$3:$AO$33,MATCH(BU$3,$AI$3:$AO$3,0),FALSE)+$BL309/VLOOKUP(VLOOKUP($BJ309,坦克个性化设定!$B$18:$E$48,4,FALSE)&amp;$BK309,坦克属性分配比例,MATCH("升星次数",坦克属性分配比例标头,0),FALSE)*VLOOKUP($BJ309,$AR$3:$AY$33,MATCH(BU$3,$AR$3:$AY$3,0),FALSE),1)</f>
        <v>6.3</v>
      </c>
      <c r="BV309" s="2">
        <f>IF(VLOOKUP(BJ309,坦克个性化设定!$B$18:$BC$48,MATCH("装弹类型",坦克个性化设定!$B$18:$BC$18,0),FALSE)="弹夹换弹",0,ROUND(VLOOKUP($BJ309,$AI$3:$AO$33,MATCH("换弹时间",$AI$3:$AO$3,0),FALSE)-$BL309/VLOOKUP(VLOOKUP($BJ309,坦克个性化设定!$B$18:$E$48,4,FALSE)&amp;$BK309,坦克属性分配比例,MATCH("升星次数",坦克属性分配比例标头,0),FALSE)*VLOOKUP($BJ309,$AR$3:$AY$33,MATCH("换弹时间",$AR$3:$AY$3,0),FALSE),2))</f>
        <v>5.15</v>
      </c>
      <c r="BW309" s="2">
        <f>IF(VLOOKUP(BJ309,坦克个性化设定!$B$18:$BC$48,MATCH("装弹类型",坦克个性化设定!$B$18:$BC$18,0),FALSE)="弹夹换弹",ROUND(VLOOKUP($BJ309,$AI$3:$AO$33,MATCH("换弹时间",$AI$3:$AO$3,0),FALSE)-$BL309/VLOOKUP(VLOOKUP($BJ309,坦克个性化设定!$B$18:$E$48,4,FALSE)&amp;$BK309,坦克属性分配比例,MATCH("升星次数",坦克属性分配比例标头,0),FALSE)*VLOOKUP($BJ309,$AR$3:$AY$33,MATCH("换弹时间",$AR$3:$AY$3,0),FALSE),1),0)</f>
        <v>0</v>
      </c>
      <c r="BX309" s="2">
        <f>ROUND(VLOOKUP($BJ309,$AI$3:$AO$33,MATCH(BX$3,$AI$3:$AO$3,0),FALSE)+$BL309/VLOOKUP(VLOOKUP($BJ309,坦克个性化设定!$B$18:$E$48,4,FALSE)&amp;$BK309,坦克属性分配比例,MATCH("升星次数",坦克属性分配比例标头,0),FALSE)*VLOOKUP($BJ309,$AR$3:$AY$33,MATCH(BX$3,$AR$3:$AY$3,0),FALSE),2)</f>
        <v>0</v>
      </c>
      <c r="BY309" s="2">
        <f>ROUND(VLOOKUP($BJ309,$AI$3:$AO$33,MATCH(BY$3,$AI$3:$AO$3,0),FALSE)-$BL309/VLOOKUP(VLOOKUP($BJ309,坦克个性化设定!$B$18:$E$48,4,FALSE)&amp;$BK309,坦克属性分配比例,MATCH("升星次数",坦克属性分配比例标头,0),FALSE)*VLOOKUP($BJ309,$AR$3:$AY$33,MATCH(BY$3,$AR$3:$AY$3,0),FALSE),2)</f>
        <v>2.5</v>
      </c>
    </row>
  </sheetData>
  <mergeCells count="7">
    <mergeCell ref="BH2:BY2"/>
    <mergeCell ref="CA2:CI2"/>
    <mergeCell ref="H2:P2"/>
    <mergeCell ref="S2:AE2"/>
    <mergeCell ref="AH2:AO2"/>
    <mergeCell ref="AQ2:AY2"/>
    <mergeCell ref="BA2:BF2"/>
  </mergeCells>
  <phoneticPr fontId="32" type="noConversion"/>
  <pageMargins left="0.7" right="0.7" top="0.75" bottom="0.75" header="0.3" footer="0.3"/>
  <pageSetup paperSize="9" orientation="portrait"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4"/>
  <dimension ref="B1:DH65"/>
  <sheetViews>
    <sheetView topLeftCell="U1" workbookViewId="0">
      <selection activeCell="AJ12" sqref="AJ12"/>
    </sheetView>
  </sheetViews>
  <sheetFormatPr defaultColWidth="9" defaultRowHeight="14.25" x14ac:dyDescent="0.3"/>
  <cols>
    <col min="1" max="17" width="9" style="1"/>
    <col min="18" max="31" width="9" style="1" customWidth="1"/>
    <col min="32" max="36" width="9" style="1"/>
    <col min="37" max="37" width="10.5" style="1" customWidth="1"/>
    <col min="38" max="39" width="9" style="1"/>
    <col min="40" max="40" width="10.125" style="1" customWidth="1"/>
    <col min="41" max="41" width="10.5" style="1" customWidth="1"/>
    <col min="42" max="16384" width="9" style="1"/>
  </cols>
  <sheetData>
    <row r="1" spans="2:112" x14ac:dyDescent="0.3">
      <c r="I1" s="25"/>
      <c r="J1" s="25"/>
      <c r="K1" s="25"/>
      <c r="L1" s="25"/>
      <c r="M1" s="25"/>
      <c r="N1" s="25"/>
      <c r="O1" s="25"/>
    </row>
    <row r="2" spans="2:112" ht="15.75" customHeight="1" x14ac:dyDescent="0.3">
      <c r="B2" s="351" t="s">
        <v>895</v>
      </c>
      <c r="C2" s="351"/>
      <c r="D2" s="351"/>
      <c r="E2" s="351"/>
      <c r="F2" s="351"/>
      <c r="G2" s="351"/>
      <c r="H2" s="351"/>
      <c r="I2" s="351"/>
      <c r="J2" s="351" t="s">
        <v>896</v>
      </c>
      <c r="K2" s="351"/>
      <c r="L2" s="351"/>
      <c r="M2" s="351"/>
      <c r="N2" s="351"/>
      <c r="O2" s="351"/>
      <c r="P2" s="351"/>
      <c r="Q2" s="351"/>
      <c r="R2" s="351"/>
      <c r="S2" s="351"/>
      <c r="T2" s="351"/>
      <c r="U2" s="351"/>
      <c r="V2" s="351"/>
      <c r="W2" s="351"/>
      <c r="X2" s="351"/>
      <c r="Y2" s="351"/>
      <c r="Z2" s="351"/>
      <c r="AA2" s="351"/>
      <c r="AB2" s="351"/>
      <c r="AC2" s="351"/>
      <c r="AD2" s="351"/>
      <c r="AE2" s="351"/>
      <c r="AF2" s="351"/>
      <c r="AG2" s="25"/>
      <c r="AH2" s="351" t="s">
        <v>897</v>
      </c>
      <c r="AI2" s="351"/>
      <c r="AJ2" s="351"/>
      <c r="AK2" s="351"/>
      <c r="AM2" s="351" t="s">
        <v>898</v>
      </c>
      <c r="AN2" s="351"/>
      <c r="AO2" s="351"/>
      <c r="AP2" s="25"/>
      <c r="AQ2" s="352" t="s">
        <v>899</v>
      </c>
      <c r="AR2" s="353"/>
      <c r="AS2" s="353"/>
      <c r="AT2" s="353"/>
      <c r="AU2" s="353"/>
      <c r="AV2" s="353"/>
      <c r="AW2" s="353"/>
      <c r="AX2" s="354"/>
      <c r="AZ2" s="352" t="s">
        <v>900</v>
      </c>
      <c r="BA2" s="353"/>
      <c r="BB2" s="353"/>
      <c r="BC2" s="353"/>
      <c r="BD2" s="353"/>
      <c r="BE2" s="354"/>
      <c r="BI2" s="351" t="s">
        <v>901</v>
      </c>
      <c r="BJ2" s="351"/>
      <c r="BK2" s="351"/>
      <c r="BM2" s="351" t="s">
        <v>902</v>
      </c>
      <c r="BN2" s="351"/>
      <c r="BO2" s="351"/>
      <c r="BP2" s="351"/>
      <c r="BQ2" s="351"/>
      <c r="BR2" s="351"/>
      <c r="BS2" s="351"/>
      <c r="BT2" s="351"/>
      <c r="BU2" s="351"/>
      <c r="BV2" s="351"/>
      <c r="BZ2" s="351" t="s">
        <v>903</v>
      </c>
      <c r="CA2" s="351"/>
      <c r="CB2" s="351"/>
      <c r="CC2" s="351"/>
      <c r="CD2" s="351"/>
      <c r="CQ2" s="351" t="s">
        <v>904</v>
      </c>
      <c r="CR2" s="351"/>
      <c r="CS2" s="351"/>
      <c r="CT2" s="351"/>
      <c r="CU2" s="351"/>
      <c r="CV2" s="351"/>
      <c r="CW2" s="351"/>
      <c r="CX2" s="351"/>
      <c r="CY2" s="351"/>
      <c r="DE2" s="351" t="s">
        <v>905</v>
      </c>
      <c r="DF2" s="351"/>
      <c r="DG2" s="351"/>
      <c r="DH2" s="351"/>
    </row>
    <row r="3" spans="2:112" x14ac:dyDescent="0.3">
      <c r="B3" s="2" t="s">
        <v>599</v>
      </c>
      <c r="C3" s="2" t="s">
        <v>71</v>
      </c>
      <c r="D3" s="2" t="s">
        <v>906</v>
      </c>
      <c r="E3" s="2" t="s">
        <v>907</v>
      </c>
      <c r="F3" s="2" t="s">
        <v>908</v>
      </c>
      <c r="G3" s="2" t="s">
        <v>909</v>
      </c>
      <c r="H3" s="2" t="s">
        <v>910</v>
      </c>
      <c r="I3" s="2" t="s">
        <v>241</v>
      </c>
      <c r="J3" s="2" t="s">
        <v>230</v>
      </c>
      <c r="K3" s="2" t="s">
        <v>911</v>
      </c>
      <c r="L3" s="2" t="s">
        <v>912</v>
      </c>
      <c r="M3" s="2" t="s">
        <v>913</v>
      </c>
      <c r="N3" s="2" t="s">
        <v>914</v>
      </c>
      <c r="O3" s="2" t="s">
        <v>915</v>
      </c>
      <c r="P3" s="2" t="s">
        <v>916</v>
      </c>
      <c r="Q3" s="2" t="s">
        <v>917</v>
      </c>
      <c r="R3" s="2" t="s">
        <v>918</v>
      </c>
      <c r="S3" s="2" t="s">
        <v>919</v>
      </c>
      <c r="T3" s="2" t="s">
        <v>920</v>
      </c>
      <c r="U3" s="2" t="s">
        <v>921</v>
      </c>
      <c r="V3" s="2" t="s">
        <v>922</v>
      </c>
      <c r="W3" s="2" t="s">
        <v>923</v>
      </c>
      <c r="X3" s="2" t="s">
        <v>924</v>
      </c>
      <c r="Y3" s="2" t="s">
        <v>925</v>
      </c>
      <c r="Z3" s="2" t="s">
        <v>926</v>
      </c>
      <c r="AA3" s="2" t="s">
        <v>927</v>
      </c>
      <c r="AB3" s="2" t="s">
        <v>928</v>
      </c>
      <c r="AC3" s="2" t="s">
        <v>929</v>
      </c>
      <c r="AD3" s="2" t="s">
        <v>930</v>
      </c>
      <c r="AE3" s="2" t="s">
        <v>931</v>
      </c>
      <c r="AF3" s="2" t="s">
        <v>932</v>
      </c>
      <c r="AG3" s="25"/>
      <c r="AH3" s="2" t="s">
        <v>71</v>
      </c>
      <c r="AI3" s="2" t="s">
        <v>906</v>
      </c>
      <c r="AJ3" s="2" t="s">
        <v>907</v>
      </c>
      <c r="AK3" s="2" t="s">
        <v>933</v>
      </c>
      <c r="AM3" s="2" t="s">
        <v>71</v>
      </c>
      <c r="AN3" s="2" t="s">
        <v>934</v>
      </c>
      <c r="AO3" s="2" t="s">
        <v>935</v>
      </c>
      <c r="AP3" s="25"/>
      <c r="AQ3" s="2" t="s">
        <v>71</v>
      </c>
      <c r="AR3" s="2" t="s">
        <v>936</v>
      </c>
      <c r="AS3" s="2" t="s">
        <v>839</v>
      </c>
      <c r="AT3" s="2" t="s">
        <v>937</v>
      </c>
      <c r="AU3" s="2" t="s">
        <v>90</v>
      </c>
      <c r="AV3" s="2" t="s">
        <v>841</v>
      </c>
      <c r="AW3" s="2" t="s">
        <v>171</v>
      </c>
      <c r="AX3" s="2" t="s">
        <v>845</v>
      </c>
      <c r="AZ3" s="2" t="s">
        <v>71</v>
      </c>
      <c r="BA3" s="2" t="s">
        <v>845</v>
      </c>
      <c r="BB3" s="2" t="s">
        <v>171</v>
      </c>
      <c r="BC3" s="2" t="s">
        <v>841</v>
      </c>
      <c r="BD3" s="2" t="s">
        <v>938</v>
      </c>
      <c r="BE3" s="2" t="s">
        <v>939</v>
      </c>
      <c r="BI3" s="2" t="s">
        <v>71</v>
      </c>
      <c r="BJ3" s="2" t="s">
        <v>940</v>
      </c>
      <c r="BK3" s="2" t="s">
        <v>941</v>
      </c>
      <c r="BM3" s="2" t="s">
        <v>71</v>
      </c>
      <c r="BN3" s="2" t="s">
        <v>942</v>
      </c>
      <c r="BO3" s="2" t="s">
        <v>943</v>
      </c>
      <c r="BP3" s="2" t="s">
        <v>944</v>
      </c>
      <c r="BQ3" s="2" t="s">
        <v>945</v>
      </c>
      <c r="BR3" s="2" t="s">
        <v>946</v>
      </c>
      <c r="BS3" s="2" t="s">
        <v>947</v>
      </c>
      <c r="BT3" s="2" t="s">
        <v>948</v>
      </c>
      <c r="BU3" s="2" t="s">
        <v>949</v>
      </c>
      <c r="BV3" s="2" t="s">
        <v>950</v>
      </c>
      <c r="BZ3" s="2" t="s">
        <v>71</v>
      </c>
      <c r="CA3" s="2" t="s">
        <v>951</v>
      </c>
      <c r="CB3" s="2" t="s">
        <v>952</v>
      </c>
      <c r="CC3" s="2" t="s">
        <v>953</v>
      </c>
      <c r="CD3" s="2" t="s">
        <v>954</v>
      </c>
      <c r="CQ3" s="2" t="s">
        <v>71</v>
      </c>
      <c r="CR3" s="2" t="s">
        <v>955</v>
      </c>
      <c r="CS3" s="2" t="s">
        <v>845</v>
      </c>
      <c r="CT3" s="2" t="s">
        <v>956</v>
      </c>
      <c r="CU3" s="2" t="s">
        <v>957</v>
      </c>
      <c r="CV3" s="2" t="s">
        <v>845</v>
      </c>
      <c r="CW3" s="2" t="s">
        <v>958</v>
      </c>
      <c r="CX3" s="2" t="s">
        <v>959</v>
      </c>
      <c r="CY3" s="2" t="s">
        <v>960</v>
      </c>
      <c r="DE3" s="2" t="s">
        <v>71</v>
      </c>
      <c r="DF3" s="2" t="s">
        <v>961</v>
      </c>
      <c r="DG3" s="2" t="s">
        <v>962</v>
      </c>
      <c r="DH3" s="2" t="s">
        <v>963</v>
      </c>
    </row>
    <row r="4" spans="2:112" x14ac:dyDescent="0.3">
      <c r="B4" s="2" t="s">
        <v>510</v>
      </c>
      <c r="C4" s="33" t="s">
        <v>126</v>
      </c>
      <c r="D4" s="153">
        <v>4.74</v>
      </c>
      <c r="E4" s="153">
        <v>2.11</v>
      </c>
      <c r="F4" s="2">
        <f>ROUND(SQRT(D4^2+E4^2),2)</f>
        <v>5.19</v>
      </c>
      <c r="G4" s="32">
        <v>1.1000000000000001</v>
      </c>
      <c r="H4" s="32">
        <v>1.1000000000000001</v>
      </c>
      <c r="I4" s="2">
        <f>ROUND(SQRT(G4^2+H4^2),2)</f>
        <v>1.56</v>
      </c>
      <c r="J4" s="154">
        <f>VLOOKUP(C4,基础属性系数!$B$97:$E$100,4,FALSE)*SQRT(VLOOKUP(C4,基础属性系数!$B$97:$E$100,2,FALSE)/F4)</f>
        <v>2.2935229182660426</v>
      </c>
      <c r="K4" s="155">
        <v>0</v>
      </c>
      <c r="L4" s="155">
        <v>2.1</v>
      </c>
      <c r="M4" s="155">
        <v>1.7</v>
      </c>
      <c r="N4" s="155">
        <v>1.7</v>
      </c>
      <c r="O4" s="155">
        <v>1</v>
      </c>
      <c r="P4" s="155">
        <v>1</v>
      </c>
      <c r="Q4" s="155">
        <v>0.85</v>
      </c>
      <c r="R4" s="34">
        <f>基础属性系数!$E$61*2/F4</f>
        <v>0</v>
      </c>
      <c r="S4" s="34">
        <f>(H4/基础属性系数!$C$94-H4/基础属性系数!$C$94/I4*基础属性系数!$E$61*2)/F4</f>
        <v>0.13246628131021193</v>
      </c>
      <c r="T4" s="34">
        <f>(G4/基础属性系数!$C$94-G4/基础属性系数!$C$94/I4*基础属性系数!$E$61*2)/F4*2</f>
        <v>0.26493256262042386</v>
      </c>
      <c r="U4" s="34">
        <f>(H4/基础属性系数!$C$94-H4/基础属性系数!$C$94/I4*基础属性系数!$E$61*2)/F4</f>
        <v>0.13246628131021193</v>
      </c>
      <c r="V4" s="34">
        <f>(E4/基础属性系数!$C$94-I4*E4/基础属性系数!$C$94/F4)/F4</f>
        <v>0.17771921324913403</v>
      </c>
      <c r="W4" s="34">
        <f>(D4/基础属性系数!$C$94-I4*D4/基础属性系数!$C$94/F4)/F4*2</f>
        <v>0.798473052891844</v>
      </c>
      <c r="X4" s="34">
        <f>(E4/基础属性系数!$C$94-I4*E4/基础属性系数!$C$94/F4)/F4</f>
        <v>0.17771921324913403</v>
      </c>
      <c r="Y4" s="34">
        <f t="shared" ref="Y4:Y33" si="0">R4*K4</f>
        <v>0</v>
      </c>
      <c r="Z4" s="34">
        <f t="shared" ref="Z4:Z33" si="1">S4*L4</f>
        <v>0.27817919075144509</v>
      </c>
      <c r="AA4" s="34">
        <f>T4*M4</f>
        <v>0.45038535645472055</v>
      </c>
      <c r="AB4" s="34">
        <f t="shared" ref="AB4:AB33" si="2">U4*N4</f>
        <v>0.22519267822736028</v>
      </c>
      <c r="AC4" s="34">
        <f t="shared" ref="AC4:AC33" si="3">V4*O4</f>
        <v>0.17771921324913403</v>
      </c>
      <c r="AD4" s="34">
        <f t="shared" ref="AD4:AD33" si="4">W4*P4</f>
        <v>0.798473052891844</v>
      </c>
      <c r="AE4" s="34">
        <f t="shared" ref="AE4:AE33" si="5">X4*Q4</f>
        <v>0.15106133126176394</v>
      </c>
      <c r="AF4" s="34">
        <f>SUM(Y4:AE4)</f>
        <v>2.081010822836268</v>
      </c>
      <c r="AH4" s="2" t="s">
        <v>126</v>
      </c>
      <c r="AI4" s="2">
        <f>ROUND(AVERAGE(D4:D13),2)</f>
        <v>5.54</v>
      </c>
      <c r="AJ4" s="2">
        <f>ROUND(AVERAGE(E4:E13),2)</f>
        <v>2.69</v>
      </c>
      <c r="AK4" s="2">
        <f>ROUND(AVERAGE(F4:F13),2)</f>
        <v>6.17</v>
      </c>
      <c r="AM4" s="2" t="s">
        <v>77</v>
      </c>
      <c r="AN4" s="21">
        <v>0.2</v>
      </c>
      <c r="AO4" s="21">
        <v>0.4</v>
      </c>
      <c r="AP4" s="24"/>
      <c r="AQ4" s="2" t="s">
        <v>77</v>
      </c>
      <c r="AR4" s="32">
        <v>1.8</v>
      </c>
      <c r="AS4" s="32">
        <v>2</v>
      </c>
      <c r="AT4" s="2">
        <f>标准坦克设计!D14/AS4</f>
        <v>3</v>
      </c>
      <c r="AU4" s="2">
        <f t="shared" ref="AU4:AU10" si="6">AVERAGE(AN4:AO4)</f>
        <v>0.30000000000000004</v>
      </c>
      <c r="AV4" s="2">
        <f t="shared" ref="AV4:AV10" si="7">(AU4*(AS4-1)*AW4+AR4)/AS4</f>
        <v>1.08</v>
      </c>
      <c r="AW4" s="21">
        <v>1.2</v>
      </c>
      <c r="AX4" s="2">
        <f t="shared" ref="AX4:AX10" si="8">AR4/AW4</f>
        <v>1.5</v>
      </c>
      <c r="AZ4" s="2" t="s">
        <v>77</v>
      </c>
      <c r="BA4" s="21">
        <v>0.5</v>
      </c>
      <c r="BB4" s="34">
        <f t="shared" ref="BB4:BB10" si="9">$AW$4</f>
        <v>1.2</v>
      </c>
      <c r="BC4" s="34">
        <f>BA4*BB4</f>
        <v>0.6</v>
      </c>
      <c r="BD4" s="34">
        <f t="shared" ref="BD4:BD10" si="10">BC4*$BJ$5</f>
        <v>0.44999999999999996</v>
      </c>
      <c r="BE4" s="34">
        <f t="shared" ref="BE4:BE10" si="11">BC4*$BJ$6</f>
        <v>0.3</v>
      </c>
      <c r="BI4" s="2" t="s">
        <v>126</v>
      </c>
      <c r="BJ4" s="157">
        <v>1</v>
      </c>
      <c r="BK4" s="34">
        <f>MIN($BG$14:$BG$20)</f>
        <v>2.1563141881038952</v>
      </c>
      <c r="BM4" s="2" t="s">
        <v>77</v>
      </c>
      <c r="BN4" s="2">
        <f>VLOOKUP(LEFT(BM4,2),$AH$15:$AK$18,4,FALSE)</f>
        <v>0.78</v>
      </c>
      <c r="BO4" s="2">
        <f t="shared" ref="BO4:BO10" si="12">BN4+AV4</f>
        <v>1.86</v>
      </c>
      <c r="BP4" s="34">
        <f>BO4/BN4</f>
        <v>2.3846153846153846</v>
      </c>
      <c r="BQ4" s="21">
        <v>2.1</v>
      </c>
      <c r="BR4" s="2">
        <f>(BQ4-1)*BN4</f>
        <v>0.8580000000000001</v>
      </c>
      <c r="BS4" s="156">
        <f>AI24</f>
        <v>0.26478591686179787</v>
      </c>
      <c r="BT4" s="154">
        <f>TAN(RADIANS(BR4+BN4))*$AI$10*2/$AK$4</f>
        <v>0.55616760139447796</v>
      </c>
      <c r="BU4" s="34">
        <f t="shared" ref="BU4:BU10" si="13">BR4/AW4</f>
        <v>0.71500000000000008</v>
      </c>
      <c r="BV4" s="2">
        <f>BR4/基础属性系数!$C$18*3</f>
        <v>0.17160000000000003</v>
      </c>
      <c r="BZ4" s="2" t="s">
        <v>126</v>
      </c>
      <c r="CA4" s="21">
        <v>12</v>
      </c>
      <c r="CB4" s="2">
        <f>基础属性系数!$C$19/2</f>
        <v>200</v>
      </c>
      <c r="CC4" s="34">
        <f>CB4/CA4</f>
        <v>16.666666666666668</v>
      </c>
      <c r="CD4" s="34">
        <f>CC4</f>
        <v>16.666666666666668</v>
      </c>
      <c r="CQ4" s="2" t="s">
        <v>126</v>
      </c>
      <c r="CR4" s="2">
        <f>AI10</f>
        <v>60</v>
      </c>
      <c r="CS4" s="21">
        <v>0.2</v>
      </c>
      <c r="CT4" s="34">
        <f>(AK4/2/(CR4*2*PI()))*360/CS4</f>
        <v>14.729789983154914</v>
      </c>
      <c r="CU4" s="2">
        <f>CR4/2</f>
        <v>30</v>
      </c>
      <c r="CV4" s="21">
        <v>0.1</v>
      </c>
      <c r="CW4" s="34">
        <f>(AK4/2/(CU4*2*PI()))*360/CV4</f>
        <v>58.919159932619657</v>
      </c>
      <c r="CX4" s="21">
        <v>0.75</v>
      </c>
      <c r="CY4" s="34">
        <f>(CW4-CT4)/CX4</f>
        <v>58.919159932619657</v>
      </c>
      <c r="DE4" s="2" t="s">
        <v>126</v>
      </c>
      <c r="DF4" s="21">
        <v>50</v>
      </c>
      <c r="DG4" s="2">
        <f>DF4-5</f>
        <v>45</v>
      </c>
      <c r="DH4" s="2">
        <f>DF4+5</f>
        <v>55</v>
      </c>
    </row>
    <row r="5" spans="2:112" x14ac:dyDescent="0.3">
      <c r="B5" s="2" t="s">
        <v>516</v>
      </c>
      <c r="C5" s="33" t="s">
        <v>126</v>
      </c>
      <c r="D5" s="153">
        <v>4.8099999999999996</v>
      </c>
      <c r="E5" s="153">
        <v>2.2599999999999998</v>
      </c>
      <c r="F5" s="2">
        <f t="shared" ref="F5:F33" si="14">ROUND(SQRT(D5^2+E5^2),2)</f>
        <v>5.31</v>
      </c>
      <c r="G5" s="32">
        <v>1.6</v>
      </c>
      <c r="H5" s="32">
        <v>1.4</v>
      </c>
      <c r="I5" s="2">
        <f t="shared" ref="I5:I33" si="15">ROUND(SQRT(G5^2+H5^2),2)</f>
        <v>2.13</v>
      </c>
      <c r="J5" s="154">
        <f>VLOOKUP(C5,基础属性系数!$B$97:$E$100,4,FALSE)*SQRT(VLOOKUP(C5,基础属性系数!$B$97:$E$100,2,FALSE)/F5)</f>
        <v>2.2674593115825714</v>
      </c>
      <c r="K5" s="155">
        <v>0</v>
      </c>
      <c r="L5" s="155">
        <v>2</v>
      </c>
      <c r="M5" s="155">
        <v>1.65</v>
      </c>
      <c r="N5" s="155">
        <v>1.65</v>
      </c>
      <c r="O5" s="155">
        <v>0.95</v>
      </c>
      <c r="P5" s="155">
        <v>0.95</v>
      </c>
      <c r="Q5" s="155">
        <v>0.85</v>
      </c>
      <c r="R5" s="34">
        <f>基础属性系数!$E$61*2/F5</f>
        <v>0</v>
      </c>
      <c r="S5" s="34">
        <f>(H5/基础属性系数!$C$94-H5/基础属性系数!$C$94/I5*基础属性系数!$E$61*2)/F5</f>
        <v>0.1647834274952919</v>
      </c>
      <c r="T5" s="34">
        <f>(G5/基础属性系数!$C$94-G5/基础属性系数!$C$94/I5*基础属性系数!$E$61*2)/F5*2</f>
        <v>0.37664783427495296</v>
      </c>
      <c r="U5" s="34">
        <f>(H5/基础属性系数!$C$94-H5/基础属性系数!$C$94/I5*基础属性系数!$E$61*2)/F5</f>
        <v>0.1647834274952919</v>
      </c>
      <c r="V5" s="34">
        <f>(E5/基础属性系数!$C$94-I5*E5/基础属性系数!$C$94/F5)/F5</f>
        <v>0.15930394629044442</v>
      </c>
      <c r="W5" s="34">
        <f>(D5/基础属性系数!$C$94-I5*D5/基础属性系数!$C$94/F5)/F5*2</f>
        <v>0.67809909881153774</v>
      </c>
      <c r="X5" s="34">
        <f>(E5/基础属性系数!$C$94-I5*E5/基础属性系数!$C$94/F5)/F5</f>
        <v>0.15930394629044442</v>
      </c>
      <c r="Y5" s="34">
        <f t="shared" si="0"/>
        <v>0</v>
      </c>
      <c r="Z5" s="34">
        <f t="shared" si="1"/>
        <v>0.3295668549905838</v>
      </c>
      <c r="AA5" s="34">
        <f t="shared" ref="AA5:AA33" si="16">T5*M5</f>
        <v>0.62146892655367236</v>
      </c>
      <c r="AB5" s="34">
        <f t="shared" si="2"/>
        <v>0.27189265536723162</v>
      </c>
      <c r="AC5" s="34">
        <f t="shared" si="3"/>
        <v>0.1513387489759222</v>
      </c>
      <c r="AD5" s="34">
        <f t="shared" si="4"/>
        <v>0.64419414387096086</v>
      </c>
      <c r="AE5" s="34">
        <f t="shared" si="5"/>
        <v>0.13540835434687776</v>
      </c>
      <c r="AF5" s="34">
        <f t="shared" ref="AF5:AF33" si="17">SUM(Y5:AE5)</f>
        <v>2.1538696841052487</v>
      </c>
      <c r="AH5" s="2" t="s">
        <v>128</v>
      </c>
      <c r="AI5" s="2">
        <f>ROUND(AVERAGE(D14:D23),2)</f>
        <v>6.57</v>
      </c>
      <c r="AJ5" s="2">
        <f>ROUND(AVERAGE(E14:E23),2)</f>
        <v>3.13</v>
      </c>
      <c r="AK5" s="2">
        <f>ROUND(AVERAGE(F14:F23),2)</f>
        <v>7.28</v>
      </c>
      <c r="AM5" s="2" t="s">
        <v>78</v>
      </c>
      <c r="AN5" s="21">
        <v>0.4</v>
      </c>
      <c r="AO5" s="21">
        <v>0.8</v>
      </c>
      <c r="AP5" s="24"/>
      <c r="AQ5" s="2" t="s">
        <v>78</v>
      </c>
      <c r="AR5" s="32">
        <v>1.8</v>
      </c>
      <c r="AS5" s="32">
        <v>3</v>
      </c>
      <c r="AT5" s="2">
        <f>标准坦克设计!D15/AS5</f>
        <v>3</v>
      </c>
      <c r="AU5" s="2">
        <f t="shared" si="6"/>
        <v>0.60000000000000009</v>
      </c>
      <c r="AV5" s="2">
        <f t="shared" si="7"/>
        <v>1.08</v>
      </c>
      <c r="AW5" s="21">
        <v>1.2</v>
      </c>
      <c r="AX5" s="2">
        <f t="shared" si="8"/>
        <v>1.5</v>
      </c>
      <c r="AZ5" s="2" t="s">
        <v>78</v>
      </c>
      <c r="BA5" s="21">
        <v>0.4</v>
      </c>
      <c r="BB5" s="34">
        <f t="shared" si="9"/>
        <v>1.2</v>
      </c>
      <c r="BC5" s="34">
        <f t="shared" ref="BC5:BC10" si="18">BA5*BB5</f>
        <v>0.48</v>
      </c>
      <c r="BD5" s="34">
        <f t="shared" si="10"/>
        <v>0.36</v>
      </c>
      <c r="BE5" s="34">
        <f t="shared" si="11"/>
        <v>0.24</v>
      </c>
      <c r="BI5" s="2" t="s">
        <v>128</v>
      </c>
      <c r="BJ5" s="157">
        <v>0.75</v>
      </c>
      <c r="BK5" s="34">
        <f>MIN($BG$24:$BG$30)</f>
        <v>1.6422918151337649</v>
      </c>
      <c r="BM5" s="2" t="s">
        <v>78</v>
      </c>
      <c r="BN5" s="2">
        <f t="shared" ref="BN5:BN10" si="19">VLOOKUP(LEFT(BM5,2),$AH$15:$AK$18,4,FALSE)</f>
        <v>0.78</v>
      </c>
      <c r="BO5" s="2">
        <f t="shared" si="12"/>
        <v>1.86</v>
      </c>
      <c r="BP5" s="34">
        <f t="shared" ref="BP5:BP10" si="20">BO5/BN5</f>
        <v>2.3846153846153846</v>
      </c>
      <c r="BQ5" s="21">
        <v>1.75</v>
      </c>
      <c r="BR5" s="2">
        <f t="shared" ref="BR5:BR10" si="21">(BQ5-1)*BN5</f>
        <v>0.58499999999999996</v>
      </c>
      <c r="BS5" s="156">
        <f>AI24</f>
        <v>0.26478591686179787</v>
      </c>
      <c r="BT5" s="154">
        <f>TAN(RADIANS(BR5+BN5))*$AI$10*2/$AK$4</f>
        <v>0.46343440908322664</v>
      </c>
      <c r="BU5" s="34">
        <f t="shared" si="13"/>
        <v>0.48749999999999999</v>
      </c>
      <c r="BV5" s="2">
        <f>BR5/基础属性系数!$C$18*3</f>
        <v>0.11699999999999999</v>
      </c>
      <c r="BZ5" s="2" t="s">
        <v>128</v>
      </c>
      <c r="CA5" s="21">
        <v>14</v>
      </c>
      <c r="CB5" s="2">
        <f>基础属性系数!$C$19/2</f>
        <v>200</v>
      </c>
      <c r="CC5" s="34">
        <f>CB5/CA5</f>
        <v>14.285714285714286</v>
      </c>
      <c r="CD5" s="34">
        <f>CC5</f>
        <v>14.285714285714286</v>
      </c>
      <c r="CQ5" s="2" t="s">
        <v>128</v>
      </c>
      <c r="CR5" s="2">
        <f>AI11</f>
        <v>75</v>
      </c>
      <c r="CS5" s="21">
        <v>0.2</v>
      </c>
      <c r="CT5" s="34">
        <f>(AK5/2/(CR5*2*PI()))*360/CS5</f>
        <v>13.903775828507978</v>
      </c>
      <c r="CU5" s="2">
        <f>CR5/2</f>
        <v>37.5</v>
      </c>
      <c r="CV5" s="21">
        <v>0.1</v>
      </c>
      <c r="CW5" s="34">
        <f>(AK5/2/(CU5*2*PI()))*360/CV5</f>
        <v>55.615103314031913</v>
      </c>
      <c r="CX5" s="21">
        <v>0.75</v>
      </c>
      <c r="CY5" s="34">
        <f>(CW5-CT5)/CX5</f>
        <v>55.61510331403192</v>
      </c>
      <c r="DE5" s="2" t="s">
        <v>128</v>
      </c>
      <c r="DF5" s="21">
        <v>45</v>
      </c>
      <c r="DG5" s="2">
        <f>DF5-5</f>
        <v>40</v>
      </c>
      <c r="DH5" s="2">
        <f>DF5+5</f>
        <v>50</v>
      </c>
    </row>
    <row r="6" spans="2:112" x14ac:dyDescent="0.3">
      <c r="B6" s="2" t="s">
        <v>607</v>
      </c>
      <c r="C6" s="33" t="s">
        <v>126</v>
      </c>
      <c r="D6" s="153">
        <v>6.71</v>
      </c>
      <c r="E6" s="153">
        <v>2.59</v>
      </c>
      <c r="F6" s="2">
        <f t="shared" si="14"/>
        <v>7.19</v>
      </c>
      <c r="G6" s="32">
        <v>2</v>
      </c>
      <c r="H6" s="32">
        <v>1.5</v>
      </c>
      <c r="I6" s="2">
        <f t="shared" si="15"/>
        <v>2.5</v>
      </c>
      <c r="J6" s="154">
        <f>VLOOKUP(C6,基础属性系数!$B$97:$E$100,4,FALSE)*SQRT(VLOOKUP(C6,基础属性系数!$B$97:$E$100,2,FALSE)/F6)</f>
        <v>1.9485982938498976</v>
      </c>
      <c r="K6" s="155">
        <v>0</v>
      </c>
      <c r="L6" s="155">
        <v>2.1</v>
      </c>
      <c r="M6" s="155">
        <v>1.65</v>
      </c>
      <c r="N6" s="155">
        <v>1.65</v>
      </c>
      <c r="O6" s="155">
        <v>1</v>
      </c>
      <c r="P6" s="155">
        <v>1</v>
      </c>
      <c r="Q6" s="155">
        <v>0.85</v>
      </c>
      <c r="R6" s="34">
        <f>基础属性系数!$E$61*2/F6</f>
        <v>0</v>
      </c>
      <c r="S6" s="34">
        <f>(H6/基础属性系数!$C$94-H6/基础属性系数!$C$94/I6*基础属性系数!$E$61*2)/F6</f>
        <v>0.13038942976356049</v>
      </c>
      <c r="T6" s="34">
        <f>(G6/基础属性系数!$C$94-G6/基础属性系数!$C$94/I6*基础属性系数!$E$61*2)/F6*2</f>
        <v>0.34770514603616132</v>
      </c>
      <c r="U6" s="34">
        <f>(H6/基础属性系数!$C$94-H6/基础属性系数!$C$94/I6*基础属性系数!$E$61*2)/F6</f>
        <v>0.13038942976356049</v>
      </c>
      <c r="V6" s="34">
        <f>(E6/基础属性系数!$C$94-I6*E6/基础属性系数!$C$94/F6)/F6</f>
        <v>0.14685706465284618</v>
      </c>
      <c r="W6" s="34">
        <f>(D6/基础属性系数!$C$94-I6*D6/基础属性系数!$C$94/F6)/F6*2</f>
        <v>0.76093506086532636</v>
      </c>
      <c r="X6" s="34">
        <f>(E6/基础属性系数!$C$94-I6*E6/基础属性系数!$C$94/F6)/F6</f>
        <v>0.14685706465284618</v>
      </c>
      <c r="Y6" s="34">
        <f t="shared" si="0"/>
        <v>0</v>
      </c>
      <c r="Z6" s="34">
        <f t="shared" si="1"/>
        <v>0.27381780250347704</v>
      </c>
      <c r="AA6" s="34">
        <f t="shared" si="16"/>
        <v>0.57371349095966617</v>
      </c>
      <c r="AB6" s="34">
        <f t="shared" si="2"/>
        <v>0.21514255910987481</v>
      </c>
      <c r="AC6" s="34">
        <f t="shared" si="3"/>
        <v>0.14685706465284618</v>
      </c>
      <c r="AD6" s="34">
        <f t="shared" si="4"/>
        <v>0.76093506086532636</v>
      </c>
      <c r="AE6" s="34">
        <f t="shared" si="5"/>
        <v>0.12482850495491925</v>
      </c>
      <c r="AF6" s="34">
        <f t="shared" si="17"/>
        <v>2.0952944830461098</v>
      </c>
      <c r="AH6" s="2" t="s">
        <v>130</v>
      </c>
      <c r="AI6" s="2">
        <f>ROUND(AVERAGE(D24:D33),2)</f>
        <v>6.78</v>
      </c>
      <c r="AJ6" s="2">
        <f>ROUND(AVERAGE(E24:E33),2)</f>
        <v>3.27</v>
      </c>
      <c r="AK6" s="2">
        <f>ROUND(AVERAGE(F24:F33),2)</f>
        <v>7.53</v>
      </c>
      <c r="AM6" s="2" t="s">
        <v>79</v>
      </c>
      <c r="AN6" s="21">
        <v>0</v>
      </c>
      <c r="AO6" s="21">
        <v>0</v>
      </c>
      <c r="AP6" s="24"/>
      <c r="AQ6" s="2" t="s">
        <v>79</v>
      </c>
      <c r="AR6" s="32">
        <v>1.8</v>
      </c>
      <c r="AS6" s="32">
        <v>1</v>
      </c>
      <c r="AT6" s="2">
        <f>标准坦克设计!D16/AS6</f>
        <v>1</v>
      </c>
      <c r="AU6" s="2">
        <f t="shared" si="6"/>
        <v>0</v>
      </c>
      <c r="AV6" s="2">
        <f t="shared" si="7"/>
        <v>1.8</v>
      </c>
      <c r="AW6" s="21">
        <v>1</v>
      </c>
      <c r="AX6" s="2">
        <f t="shared" si="8"/>
        <v>1.8</v>
      </c>
      <c r="AZ6" s="2" t="s">
        <v>79</v>
      </c>
      <c r="BA6" s="21">
        <v>1.5</v>
      </c>
      <c r="BB6" s="34">
        <f t="shared" si="9"/>
        <v>1.2</v>
      </c>
      <c r="BC6" s="34">
        <f t="shared" si="18"/>
        <v>1.7999999999999998</v>
      </c>
      <c r="BD6" s="34">
        <f t="shared" si="10"/>
        <v>1.3499999999999999</v>
      </c>
      <c r="BE6" s="34">
        <f t="shared" si="11"/>
        <v>0.89999999999999991</v>
      </c>
      <c r="BI6" s="2" t="s">
        <v>130</v>
      </c>
      <c r="BJ6" s="157">
        <v>0.5</v>
      </c>
      <c r="BK6" s="34">
        <f>MIN($BG$34:$BG$40)</f>
        <v>1.3421103201592517</v>
      </c>
      <c r="BM6" s="2" t="s">
        <v>79</v>
      </c>
      <c r="BN6" s="2">
        <f t="shared" si="19"/>
        <v>0.78</v>
      </c>
      <c r="BO6" s="2">
        <f t="shared" si="12"/>
        <v>2.58</v>
      </c>
      <c r="BP6" s="34">
        <f t="shared" si="20"/>
        <v>3.3076923076923075</v>
      </c>
      <c r="BQ6" s="21">
        <v>3</v>
      </c>
      <c r="BR6" s="2">
        <f t="shared" si="21"/>
        <v>1.56</v>
      </c>
      <c r="BS6" s="156">
        <f>AI25</f>
        <v>0.30127565677255386</v>
      </c>
      <c r="BT6" s="154">
        <f>TAN(RADIANS(BR6+BN6))*$AI$10*2/$AK$4</f>
        <v>0.79475059811837956</v>
      </c>
      <c r="BU6" s="34">
        <f t="shared" si="13"/>
        <v>1.56</v>
      </c>
      <c r="BV6" s="2">
        <f>BR6/基础属性系数!$C$18*3</f>
        <v>0.31200000000000006</v>
      </c>
      <c r="BZ6" s="2" t="s">
        <v>130</v>
      </c>
      <c r="CA6" s="21">
        <v>16</v>
      </c>
      <c r="CB6" s="2">
        <f>基础属性系数!$C$19/2</f>
        <v>200</v>
      </c>
      <c r="CC6" s="34">
        <f>CB6/CA6</f>
        <v>12.5</v>
      </c>
      <c r="CD6" s="34">
        <f>CC6</f>
        <v>12.5</v>
      </c>
      <c r="CQ6" s="2" t="s">
        <v>130</v>
      </c>
      <c r="CR6" s="2">
        <f>AI12</f>
        <v>90</v>
      </c>
      <c r="CS6" s="21">
        <v>0.2</v>
      </c>
      <c r="CT6" s="34">
        <f>(AK6/2/(CR6*2*PI()))*360/CS6</f>
        <v>11.98436721481972</v>
      </c>
      <c r="CU6" s="2">
        <f>CR6/2</f>
        <v>45</v>
      </c>
      <c r="CV6" s="21">
        <v>0.1</v>
      </c>
      <c r="CW6" s="34">
        <f>(AK6/2/(CU6*2*PI()))*360/CV6</f>
        <v>47.93746885927888</v>
      </c>
      <c r="CX6" s="21">
        <v>0.75</v>
      </c>
      <c r="CY6" s="34">
        <f>(CW6-CT6)/CX6</f>
        <v>47.93746885927888</v>
      </c>
      <c r="DE6" s="2" t="s">
        <v>130</v>
      </c>
      <c r="DF6" s="21">
        <v>33</v>
      </c>
      <c r="DG6" s="2">
        <f>DF6-5</f>
        <v>28</v>
      </c>
      <c r="DH6" s="2">
        <f>DF6+5</f>
        <v>38</v>
      </c>
    </row>
    <row r="7" spans="2:112" x14ac:dyDescent="0.3">
      <c r="B7" s="2" t="s">
        <v>522</v>
      </c>
      <c r="C7" s="33" t="s">
        <v>126</v>
      </c>
      <c r="D7" s="153">
        <v>4.83</v>
      </c>
      <c r="E7" s="153">
        <v>2.11</v>
      </c>
      <c r="F7" s="2">
        <f t="shared" si="14"/>
        <v>5.27</v>
      </c>
      <c r="G7" s="32">
        <v>1.4</v>
      </c>
      <c r="H7" s="32">
        <v>1.3</v>
      </c>
      <c r="I7" s="2">
        <f t="shared" si="15"/>
        <v>1.91</v>
      </c>
      <c r="J7" s="154">
        <f>VLOOKUP(C7,基础属性系数!$B$97:$E$100,4,FALSE)*SQRT(VLOOKUP(C7,基础属性系数!$B$97:$E$100,2,FALSE)/F7)</f>
        <v>2.2760482033615745</v>
      </c>
      <c r="K7" s="155">
        <v>0</v>
      </c>
      <c r="L7" s="155">
        <v>2.1</v>
      </c>
      <c r="M7" s="155">
        <v>1.6</v>
      </c>
      <c r="N7" s="155">
        <v>1.6</v>
      </c>
      <c r="O7" s="155">
        <v>0.95</v>
      </c>
      <c r="P7" s="155">
        <v>0.95</v>
      </c>
      <c r="Q7" s="155">
        <v>0.85</v>
      </c>
      <c r="R7" s="34">
        <f>基础属性系数!$E$61*2/F7</f>
        <v>0</v>
      </c>
      <c r="S7" s="34">
        <f>(H7/基础属性系数!$C$94-H7/基础属性系数!$C$94/I7*基础属性系数!$E$61*2)/F7</f>
        <v>0.15417457305502846</v>
      </c>
      <c r="T7" s="34">
        <f>(G7/基础属性系数!$C$94-G7/基础属性系数!$C$94/I7*基础属性系数!$E$61*2)/F7*2</f>
        <v>0.33206831119544589</v>
      </c>
      <c r="U7" s="34">
        <f>(H7/基础属性系数!$C$94-H7/基础属性系数!$C$94/I7*基础属性系数!$E$61*2)/F7</f>
        <v>0.15417457305502846</v>
      </c>
      <c r="V7" s="34">
        <f>(E7/基础属性系数!$C$94-I7*E7/基础属性系数!$C$94/F7)/F7</f>
        <v>0.15954401592919717</v>
      </c>
      <c r="W7" s="34">
        <f>(D7/基础属性系数!$C$94-I7*D7/基础属性系数!$C$94/F7)/F7*2</f>
        <v>0.73042426250049508</v>
      </c>
      <c r="X7" s="34">
        <f>(E7/基础属性系数!$C$94-I7*E7/基础属性系数!$C$94/F7)/F7</f>
        <v>0.15954401592919717</v>
      </c>
      <c r="Y7" s="34">
        <f t="shared" si="0"/>
        <v>0</v>
      </c>
      <c r="Z7" s="34">
        <f t="shared" si="1"/>
        <v>0.32376660341555979</v>
      </c>
      <c r="AA7" s="34">
        <f t="shared" si="16"/>
        <v>0.53130929791271342</v>
      </c>
      <c r="AB7" s="34">
        <f t="shared" si="2"/>
        <v>0.24667931688804556</v>
      </c>
      <c r="AC7" s="34">
        <f t="shared" si="3"/>
        <v>0.15156681513273731</v>
      </c>
      <c r="AD7" s="34">
        <f t="shared" si="4"/>
        <v>0.69390304937547032</v>
      </c>
      <c r="AE7" s="34">
        <f t="shared" si="5"/>
        <v>0.13561241353981759</v>
      </c>
      <c r="AF7" s="34">
        <f t="shared" si="17"/>
        <v>2.0828374962643439</v>
      </c>
      <c r="AM7" s="2" t="s">
        <v>81</v>
      </c>
      <c r="AN7" s="21">
        <v>0.2</v>
      </c>
      <c r="AO7" s="21">
        <v>0.4</v>
      </c>
      <c r="AQ7" s="2" t="s">
        <v>81</v>
      </c>
      <c r="AR7" s="32">
        <v>2.4</v>
      </c>
      <c r="AS7" s="32">
        <v>2</v>
      </c>
      <c r="AT7" s="2">
        <f>标准坦克设计!D18/AS7</f>
        <v>3</v>
      </c>
      <c r="AU7" s="2">
        <f t="shared" si="6"/>
        <v>0.30000000000000004</v>
      </c>
      <c r="AV7" s="2">
        <f t="shared" si="7"/>
        <v>1.35</v>
      </c>
      <c r="AW7" s="21">
        <v>1</v>
      </c>
      <c r="AX7" s="2">
        <f t="shared" si="8"/>
        <v>2.4</v>
      </c>
      <c r="AZ7" s="2" t="s">
        <v>81</v>
      </c>
      <c r="BA7" s="21">
        <v>2</v>
      </c>
      <c r="BB7" s="34">
        <f t="shared" si="9"/>
        <v>1.2</v>
      </c>
      <c r="BC7" s="34">
        <f t="shared" si="18"/>
        <v>2.4</v>
      </c>
      <c r="BD7" s="34">
        <f t="shared" si="10"/>
        <v>1.7999999999999998</v>
      </c>
      <c r="BE7" s="34">
        <f t="shared" si="11"/>
        <v>1.2</v>
      </c>
      <c r="BM7" s="2" t="s">
        <v>81</v>
      </c>
      <c r="BN7" s="2">
        <f t="shared" si="19"/>
        <v>0.71</v>
      </c>
      <c r="BO7" s="2">
        <f t="shared" si="12"/>
        <v>2.06</v>
      </c>
      <c r="BP7" s="34">
        <f t="shared" si="20"/>
        <v>2.9014084507042255</v>
      </c>
      <c r="BQ7" s="21">
        <v>5</v>
      </c>
      <c r="BR7" s="2">
        <f t="shared" si="21"/>
        <v>2.84</v>
      </c>
      <c r="BS7" s="156">
        <f>AJ25</f>
        <v>0.25533939591849686</v>
      </c>
      <c r="BT7" s="154">
        <f>TAN(RADIANS(BR7+BN7))*$AI$11*2/$AK$5</f>
        <v>1.2782677803938258</v>
      </c>
      <c r="BU7" s="34">
        <f t="shared" si="13"/>
        <v>2.84</v>
      </c>
      <c r="BV7" s="2">
        <f>BR7/基础属性系数!$C$18*3</f>
        <v>0.56799999999999995</v>
      </c>
      <c r="CQ7" s="25"/>
      <c r="CR7" s="25"/>
      <c r="CS7" s="24"/>
      <c r="CT7" s="132"/>
      <c r="CU7" s="25"/>
      <c r="CV7" s="24"/>
      <c r="CW7" s="132"/>
      <c r="CX7" s="25"/>
      <c r="CY7" s="132"/>
    </row>
    <row r="8" spans="2:112" x14ac:dyDescent="0.3">
      <c r="B8" s="2" t="s">
        <v>611</v>
      </c>
      <c r="C8" s="33" t="s">
        <v>126</v>
      </c>
      <c r="D8" s="153">
        <v>5.91</v>
      </c>
      <c r="E8" s="153">
        <v>2.67</v>
      </c>
      <c r="F8" s="2">
        <f t="shared" si="14"/>
        <v>6.49</v>
      </c>
      <c r="G8" s="32">
        <v>2.1</v>
      </c>
      <c r="H8" s="32">
        <v>1.8</v>
      </c>
      <c r="I8" s="2">
        <f t="shared" si="15"/>
        <v>2.77</v>
      </c>
      <c r="J8" s="154">
        <f>VLOOKUP(C8,基础属性系数!$B$97:$E$100,4,FALSE)*SQRT(VLOOKUP(C8,基础属性系数!$B$97:$E$100,2,FALSE)/F8)</f>
        <v>2.0509941174318942</v>
      </c>
      <c r="K8" s="155">
        <v>0</v>
      </c>
      <c r="L8" s="155">
        <v>2</v>
      </c>
      <c r="M8" s="155">
        <v>1.55</v>
      </c>
      <c r="N8" s="155">
        <v>1.55</v>
      </c>
      <c r="O8" s="155">
        <v>0.95</v>
      </c>
      <c r="P8" s="155">
        <v>0.95</v>
      </c>
      <c r="Q8" s="155">
        <v>0.8</v>
      </c>
      <c r="R8" s="34">
        <f>基础属性系数!$E$61*2/F8</f>
        <v>0</v>
      </c>
      <c r="S8" s="34">
        <f>(H8/基础属性系数!$C$94-H8/基础属性系数!$C$94/I8*基础属性系数!$E$61*2)/F8</f>
        <v>0.17334360554699538</v>
      </c>
      <c r="T8" s="34">
        <f>(G8/基础属性系数!$C$94-G8/基础属性系数!$C$94/I8*基础属性系数!$E$61*2)/F8*2</f>
        <v>0.40446841294298919</v>
      </c>
      <c r="U8" s="34">
        <f>(H8/基础属性系数!$C$94-H8/基础属性系数!$C$94/I8*基础属性系数!$E$61*2)/F8</f>
        <v>0.17334360554699538</v>
      </c>
      <c r="V8" s="34">
        <f>(E8/基础属性系数!$C$94-I8*E8/基础属性系数!$C$94/F8)/F8</f>
        <v>0.14738212872239145</v>
      </c>
      <c r="W8" s="34">
        <f>(D8/基础属性系数!$C$94-I8*D8/基础属性系数!$C$94/F8)/F8*2</f>
        <v>0.65245571591710372</v>
      </c>
      <c r="X8" s="34">
        <f>(E8/基础属性系数!$C$94-I8*E8/基础属性系数!$C$94/F8)/F8</f>
        <v>0.14738212872239145</v>
      </c>
      <c r="Y8" s="34">
        <f t="shared" si="0"/>
        <v>0</v>
      </c>
      <c r="Z8" s="34">
        <f t="shared" si="1"/>
        <v>0.34668721109399075</v>
      </c>
      <c r="AA8" s="34">
        <f t="shared" si="16"/>
        <v>0.62692604006163322</v>
      </c>
      <c r="AB8" s="34">
        <f t="shared" si="2"/>
        <v>0.26868258859784283</v>
      </c>
      <c r="AC8" s="34">
        <f t="shared" si="3"/>
        <v>0.14001302228627188</v>
      </c>
      <c r="AD8" s="34">
        <f t="shared" si="4"/>
        <v>0.61983293012124852</v>
      </c>
      <c r="AE8" s="34">
        <f t="shared" si="5"/>
        <v>0.11790570297791317</v>
      </c>
      <c r="AF8" s="34">
        <f t="shared" si="17"/>
        <v>2.1200474951389001</v>
      </c>
      <c r="AH8" s="351" t="s">
        <v>964</v>
      </c>
      <c r="AI8" s="351"/>
      <c r="AJ8" s="351"/>
      <c r="AK8" s="351"/>
      <c r="AM8" s="2" t="s">
        <v>80</v>
      </c>
      <c r="AN8" s="21">
        <v>0.4</v>
      </c>
      <c r="AO8" s="21">
        <v>1.2</v>
      </c>
      <c r="AQ8" s="2" t="s">
        <v>80</v>
      </c>
      <c r="AR8" s="32">
        <v>2.4</v>
      </c>
      <c r="AS8" s="32">
        <v>2</v>
      </c>
      <c r="AT8" s="2">
        <f>标准坦克设计!D17/AS8</f>
        <v>3</v>
      </c>
      <c r="AU8" s="2">
        <f t="shared" si="6"/>
        <v>0.8</v>
      </c>
      <c r="AV8" s="2">
        <f t="shared" si="7"/>
        <v>1.68</v>
      </c>
      <c r="AW8" s="21">
        <v>1.2</v>
      </c>
      <c r="AX8" s="2">
        <f t="shared" si="8"/>
        <v>2</v>
      </c>
      <c r="AZ8" s="2" t="s">
        <v>80</v>
      </c>
      <c r="BA8" s="21">
        <v>1</v>
      </c>
      <c r="BB8" s="34">
        <f t="shared" si="9"/>
        <v>1.2</v>
      </c>
      <c r="BC8" s="34">
        <f t="shared" si="18"/>
        <v>1.2</v>
      </c>
      <c r="BD8" s="34">
        <f t="shared" si="10"/>
        <v>0.89999999999999991</v>
      </c>
      <c r="BE8" s="34">
        <f t="shared" si="11"/>
        <v>0.6</v>
      </c>
      <c r="BM8" s="2" t="s">
        <v>80</v>
      </c>
      <c r="BN8" s="2">
        <f t="shared" si="19"/>
        <v>0.71</v>
      </c>
      <c r="BO8" s="2">
        <f t="shared" si="12"/>
        <v>2.3899999999999997</v>
      </c>
      <c r="BP8" s="34">
        <f t="shared" si="20"/>
        <v>3.3661971830985911</v>
      </c>
      <c r="BQ8" s="21">
        <v>3</v>
      </c>
      <c r="BR8" s="2">
        <f t="shared" si="21"/>
        <v>1.42</v>
      </c>
      <c r="BS8" s="156">
        <f>AJ25</f>
        <v>0.25533939591849686</v>
      </c>
      <c r="BT8" s="154">
        <f>TAN(RADIANS(BR8+BN8))*$AI$11*2/$AK$5</f>
        <v>0.76633203899024205</v>
      </c>
      <c r="BU8" s="34">
        <f t="shared" si="13"/>
        <v>1.1833333333333333</v>
      </c>
      <c r="BV8" s="2">
        <f>BR8/基础属性系数!$C$18*3</f>
        <v>0.28399999999999997</v>
      </c>
      <c r="BZ8" s="351" t="s">
        <v>965</v>
      </c>
      <c r="CA8" s="351"/>
      <c r="CB8" s="351"/>
      <c r="CC8" s="351"/>
      <c r="CD8" s="351"/>
      <c r="CE8" s="351"/>
      <c r="CF8" s="351"/>
      <c r="CG8" s="25"/>
      <c r="CH8" s="25"/>
      <c r="CI8" s="25"/>
      <c r="CJ8" s="25"/>
      <c r="CK8" s="25"/>
      <c r="CL8" s="25"/>
      <c r="CM8" s="25"/>
      <c r="CN8" s="25"/>
      <c r="CO8" s="25"/>
      <c r="CQ8" s="351" t="s">
        <v>966</v>
      </c>
      <c r="CR8" s="351"/>
      <c r="CS8" s="351"/>
      <c r="CT8" s="351"/>
      <c r="CU8" s="351"/>
      <c r="CV8" s="366" t="s">
        <v>967</v>
      </c>
      <c r="CW8" s="366"/>
      <c r="CX8" s="366"/>
      <c r="CY8" s="366"/>
      <c r="DE8" s="352" t="s">
        <v>968</v>
      </c>
      <c r="DF8" s="353"/>
      <c r="DG8" s="353"/>
      <c r="DH8" s="354"/>
    </row>
    <row r="9" spans="2:112" x14ac:dyDescent="0.3">
      <c r="B9" s="2" t="s">
        <v>613</v>
      </c>
      <c r="C9" s="33" t="s">
        <v>126</v>
      </c>
      <c r="D9" s="153">
        <v>4.9400000000000004</v>
      </c>
      <c r="E9" s="153">
        <v>2.54</v>
      </c>
      <c r="F9" s="2">
        <f t="shared" si="14"/>
        <v>5.55</v>
      </c>
      <c r="G9" s="32">
        <v>2.1</v>
      </c>
      <c r="H9" s="32">
        <v>1.8</v>
      </c>
      <c r="I9" s="2">
        <f t="shared" si="15"/>
        <v>2.77</v>
      </c>
      <c r="J9" s="154">
        <f>VLOOKUP(C9,基础属性系数!$B$97:$E$100,4,FALSE)*SQRT(VLOOKUP(C9,基础属性系数!$B$97:$E$100,2,FALSE)/F9)</f>
        <v>2.2178913727619562</v>
      </c>
      <c r="K9" s="155">
        <v>0</v>
      </c>
      <c r="L9" s="155">
        <v>1.9</v>
      </c>
      <c r="M9" s="155">
        <v>1.55</v>
      </c>
      <c r="N9" s="155">
        <v>1.55</v>
      </c>
      <c r="O9" s="155">
        <v>0.9</v>
      </c>
      <c r="P9" s="155">
        <v>0.9</v>
      </c>
      <c r="Q9" s="155">
        <v>0.75</v>
      </c>
      <c r="R9" s="34">
        <f>基础属性系数!$E$61*2/F9</f>
        <v>0</v>
      </c>
      <c r="S9" s="34">
        <f>(H9/基础属性系数!$C$94-H9/基础属性系数!$C$94/I9*基础属性系数!$E$61*2)/F9</f>
        <v>0.20270270270270271</v>
      </c>
      <c r="T9" s="34">
        <f>(G9/基础属性系数!$C$94-G9/基础属性系数!$C$94/I9*基础属性系数!$E$61*2)/F9*2</f>
        <v>0.47297297297297297</v>
      </c>
      <c r="U9" s="34">
        <f>(H9/基础属性系数!$C$94-H9/基础属性系数!$C$94/I9*基础属性系数!$E$61*2)/F9</f>
        <v>0.20270270270270271</v>
      </c>
      <c r="V9" s="34">
        <f>(E9/基础属性系数!$C$94-I9*E9/基础属性系数!$C$94/F9)/F9</f>
        <v>0.14327570814057303</v>
      </c>
      <c r="W9" s="34">
        <f>(D9/基础属性系数!$C$94-I9*D9/基础属性系数!$C$94/F9)/F9*2</f>
        <v>0.5573086600113627</v>
      </c>
      <c r="X9" s="34">
        <f>(E9/基础属性系数!$C$94-I9*E9/基础属性系数!$C$94/F9)/F9</f>
        <v>0.14327570814057303</v>
      </c>
      <c r="Y9" s="34">
        <f t="shared" si="0"/>
        <v>0</v>
      </c>
      <c r="Z9" s="34">
        <f t="shared" si="1"/>
        <v>0.38513513513513514</v>
      </c>
      <c r="AA9" s="34">
        <f t="shared" si="16"/>
        <v>0.73310810810810811</v>
      </c>
      <c r="AB9" s="34">
        <f t="shared" si="2"/>
        <v>0.3141891891891892</v>
      </c>
      <c r="AC9" s="34">
        <f t="shared" si="3"/>
        <v>0.12894813732651572</v>
      </c>
      <c r="AD9" s="34">
        <f t="shared" si="4"/>
        <v>0.5015777940102264</v>
      </c>
      <c r="AE9" s="34">
        <f t="shared" si="5"/>
        <v>0.10745678110542978</v>
      </c>
      <c r="AF9" s="34">
        <f t="shared" si="17"/>
        <v>2.1704151448746045</v>
      </c>
      <c r="AH9" s="2" t="s">
        <v>71</v>
      </c>
      <c r="AI9" s="2" t="s">
        <v>165</v>
      </c>
      <c r="AJ9" s="2" t="s">
        <v>166</v>
      </c>
      <c r="AK9" s="2" t="s">
        <v>167</v>
      </c>
      <c r="AM9" s="2" t="s">
        <v>83</v>
      </c>
      <c r="AN9" s="21">
        <v>0</v>
      </c>
      <c r="AO9" s="21">
        <v>0</v>
      </c>
      <c r="AQ9" s="2" t="s">
        <v>83</v>
      </c>
      <c r="AR9" s="32">
        <v>3</v>
      </c>
      <c r="AS9" s="32">
        <v>1</v>
      </c>
      <c r="AT9" s="2">
        <f>标准坦克设计!D20/AS9</f>
        <v>1</v>
      </c>
      <c r="AU9" s="2">
        <f t="shared" si="6"/>
        <v>0</v>
      </c>
      <c r="AV9" s="2">
        <f t="shared" si="7"/>
        <v>3</v>
      </c>
      <c r="AW9" s="21">
        <v>1</v>
      </c>
      <c r="AX9" s="2">
        <f t="shared" si="8"/>
        <v>3</v>
      </c>
      <c r="AZ9" s="2" t="s">
        <v>83</v>
      </c>
      <c r="BA9" s="21">
        <v>2.5</v>
      </c>
      <c r="BB9" s="34">
        <f t="shared" si="9"/>
        <v>1.2</v>
      </c>
      <c r="BC9" s="34">
        <f t="shared" si="18"/>
        <v>3</v>
      </c>
      <c r="BD9" s="34">
        <f t="shared" si="10"/>
        <v>2.25</v>
      </c>
      <c r="BE9" s="34">
        <f t="shared" si="11"/>
        <v>1.5</v>
      </c>
      <c r="BM9" s="2" t="s">
        <v>83</v>
      </c>
      <c r="BN9" s="2">
        <f t="shared" si="19"/>
        <v>0.62</v>
      </c>
      <c r="BO9" s="2">
        <f t="shared" si="12"/>
        <v>3.62</v>
      </c>
      <c r="BP9" s="34">
        <f t="shared" si="20"/>
        <v>5.838709677419355</v>
      </c>
      <c r="BQ9" s="21">
        <v>6</v>
      </c>
      <c r="BR9" s="2">
        <f t="shared" si="21"/>
        <v>3.1</v>
      </c>
      <c r="BS9" s="156">
        <f>AK26</f>
        <v>0.25868040825173549</v>
      </c>
      <c r="BT9" s="154">
        <f>TAN(RADIANS(BR9+BN9))*$AI$12*2/$AK$6</f>
        <v>1.554206359015047</v>
      </c>
      <c r="BU9" s="34">
        <f t="shared" si="13"/>
        <v>3.1</v>
      </c>
      <c r="BV9" s="2">
        <f>BR9/基础属性系数!$C$18*3</f>
        <v>0.62</v>
      </c>
      <c r="BZ9" s="2" t="s">
        <v>71</v>
      </c>
      <c r="CA9" s="2" t="s">
        <v>969</v>
      </c>
      <c r="CB9" s="2" t="s">
        <v>970</v>
      </c>
      <c r="CC9" s="2" t="s">
        <v>959</v>
      </c>
      <c r="CD9" s="2" t="s">
        <v>960</v>
      </c>
      <c r="CE9" s="2" t="s">
        <v>971</v>
      </c>
      <c r="CF9" s="2" t="s">
        <v>972</v>
      </c>
      <c r="CG9" s="25"/>
      <c r="CH9" s="25"/>
      <c r="CI9" s="25"/>
      <c r="CJ9" s="25"/>
      <c r="CK9" s="25"/>
      <c r="CL9" s="25"/>
      <c r="CM9" s="25"/>
      <c r="CN9" s="25"/>
      <c r="CO9" s="25"/>
      <c r="CQ9" s="2" t="s">
        <v>71</v>
      </c>
      <c r="CR9" s="2" t="s">
        <v>973</v>
      </c>
      <c r="CS9" s="2" t="s">
        <v>974</v>
      </c>
      <c r="CT9" s="34" t="s">
        <v>975</v>
      </c>
      <c r="CU9" s="2" t="s">
        <v>976</v>
      </c>
      <c r="CV9" s="2" t="s">
        <v>977</v>
      </c>
      <c r="CW9" s="2" t="s">
        <v>974</v>
      </c>
      <c r="CX9" s="34" t="s">
        <v>975</v>
      </c>
      <c r="CY9" s="2" t="s">
        <v>976</v>
      </c>
      <c r="DE9" s="2" t="s">
        <v>71</v>
      </c>
      <c r="DF9" s="2" t="s">
        <v>970</v>
      </c>
      <c r="DG9" s="2" t="s">
        <v>960</v>
      </c>
      <c r="DH9" s="2" t="s">
        <v>978</v>
      </c>
    </row>
    <row r="10" spans="2:112" x14ac:dyDescent="0.3">
      <c r="B10" s="2" t="s">
        <v>615</v>
      </c>
      <c r="C10" s="33" t="s">
        <v>126</v>
      </c>
      <c r="D10" s="153">
        <v>4.8</v>
      </c>
      <c r="E10" s="153">
        <v>2.94</v>
      </c>
      <c r="F10" s="2">
        <f t="shared" si="14"/>
        <v>5.63</v>
      </c>
      <c r="G10" s="32">
        <v>2.1</v>
      </c>
      <c r="H10" s="32">
        <v>1.6</v>
      </c>
      <c r="I10" s="2">
        <f t="shared" si="15"/>
        <v>2.64</v>
      </c>
      <c r="J10" s="154">
        <f>VLOOKUP(C10,基础属性系数!$B$97:$E$100,4,FALSE)*SQRT(VLOOKUP(C10,基础属性系数!$B$97:$E$100,2,FALSE)/F10)</f>
        <v>2.2020773288189548</v>
      </c>
      <c r="K10" s="155">
        <v>0</v>
      </c>
      <c r="L10" s="155">
        <v>1.85</v>
      </c>
      <c r="M10" s="155">
        <v>1.45</v>
      </c>
      <c r="N10" s="155">
        <v>1.45</v>
      </c>
      <c r="O10" s="155">
        <v>0.9</v>
      </c>
      <c r="P10" s="155">
        <v>0.9</v>
      </c>
      <c r="Q10" s="155">
        <v>0.75</v>
      </c>
      <c r="R10" s="34">
        <v>0.15</v>
      </c>
      <c r="S10" s="34">
        <f>(H10/基础属性系数!$C$94-H10/基础属性系数!$C$94/I10*基础属性系数!$E$61*2)/F10</f>
        <v>0.17761989342806395</v>
      </c>
      <c r="T10" s="34">
        <f>(G10/基础属性系数!$C$94-G10/基础属性系数!$C$94/I10*基础属性系数!$E$61*2)/F10*2</f>
        <v>0.46625222024866786</v>
      </c>
      <c r="U10" s="34">
        <f>(H10/基础属性系数!$C$94-H10/基础属性系数!$C$94/I10*基础属性系数!$E$61*2)/F10</f>
        <v>0.17761989342806395</v>
      </c>
      <c r="V10" s="34">
        <v>0.2</v>
      </c>
      <c r="W10" s="34">
        <v>0.55000000000000004</v>
      </c>
      <c r="X10" s="34">
        <v>0.2</v>
      </c>
      <c r="Y10" s="34">
        <f t="shared" si="0"/>
        <v>0</v>
      </c>
      <c r="Z10" s="34">
        <f t="shared" si="1"/>
        <v>0.32859680284191833</v>
      </c>
      <c r="AA10" s="34">
        <f t="shared" si="16"/>
        <v>0.67606571936056836</v>
      </c>
      <c r="AB10" s="34">
        <f t="shared" si="2"/>
        <v>0.25754884547069273</v>
      </c>
      <c r="AC10" s="34">
        <f t="shared" si="3"/>
        <v>0.18000000000000002</v>
      </c>
      <c r="AD10" s="34">
        <f t="shared" si="4"/>
        <v>0.49500000000000005</v>
      </c>
      <c r="AE10" s="34">
        <f t="shared" si="5"/>
        <v>0.15000000000000002</v>
      </c>
      <c r="AF10" s="34">
        <f t="shared" si="17"/>
        <v>2.0872113676731794</v>
      </c>
      <c r="AH10" s="2" t="s">
        <v>126</v>
      </c>
      <c r="AI10" s="2">
        <f>基础属性系数!C24</f>
        <v>60</v>
      </c>
      <c r="AJ10" s="2">
        <f>基础属性系数!D24</f>
        <v>30</v>
      </c>
      <c r="AK10" s="2">
        <f>基础属性系数!E24</f>
        <v>35</v>
      </c>
      <c r="AM10" s="2" t="s">
        <v>82</v>
      </c>
      <c r="AN10" s="21">
        <v>1.6</v>
      </c>
      <c r="AO10" s="21">
        <v>2</v>
      </c>
      <c r="AQ10" s="2" t="s">
        <v>82</v>
      </c>
      <c r="AR10" s="32">
        <v>3</v>
      </c>
      <c r="AS10" s="32">
        <v>2</v>
      </c>
      <c r="AT10" s="2">
        <f>标准坦克设计!D19/AS10</f>
        <v>1</v>
      </c>
      <c r="AU10" s="2">
        <f t="shared" si="6"/>
        <v>1.8</v>
      </c>
      <c r="AV10" s="2">
        <f t="shared" si="7"/>
        <v>2.58</v>
      </c>
      <c r="AW10" s="21">
        <v>1.2</v>
      </c>
      <c r="AX10" s="2">
        <f t="shared" si="8"/>
        <v>2.5</v>
      </c>
      <c r="AZ10" s="2" t="s">
        <v>82</v>
      </c>
      <c r="BA10" s="21">
        <v>1.5</v>
      </c>
      <c r="BB10" s="34">
        <f t="shared" si="9"/>
        <v>1.2</v>
      </c>
      <c r="BC10" s="34">
        <f t="shared" si="18"/>
        <v>1.7999999999999998</v>
      </c>
      <c r="BD10" s="34">
        <f t="shared" si="10"/>
        <v>1.3499999999999999</v>
      </c>
      <c r="BE10" s="34">
        <f t="shared" si="11"/>
        <v>0.89999999999999991</v>
      </c>
      <c r="BM10" s="2" t="s">
        <v>82</v>
      </c>
      <c r="BN10" s="2">
        <f t="shared" si="19"/>
        <v>0.62</v>
      </c>
      <c r="BO10" s="2">
        <f t="shared" si="12"/>
        <v>3.2</v>
      </c>
      <c r="BP10" s="34">
        <f t="shared" si="20"/>
        <v>5.1612903225806459</v>
      </c>
      <c r="BQ10" s="21">
        <v>4</v>
      </c>
      <c r="BR10" s="2">
        <f t="shared" si="21"/>
        <v>1.8599999999999999</v>
      </c>
      <c r="BS10" s="156">
        <f>AK26</f>
        <v>0.25868040825173549</v>
      </c>
      <c r="BT10" s="154">
        <f>TAN(RADIANS(BR10+BN10))*$AI$12*2/$AK$6</f>
        <v>1.0353278953958711</v>
      </c>
      <c r="BU10" s="34">
        <f t="shared" si="13"/>
        <v>1.55</v>
      </c>
      <c r="BV10" s="2">
        <f>BR10/基础属性系数!$C$18*3</f>
        <v>0.37199999999999994</v>
      </c>
      <c r="BZ10" s="2" t="s">
        <v>126</v>
      </c>
      <c r="CA10" s="21">
        <v>10.5</v>
      </c>
      <c r="CB10" s="21">
        <v>10.5</v>
      </c>
      <c r="CC10" s="21">
        <v>1.5</v>
      </c>
      <c r="CD10" s="34">
        <f>AVERAGE(CA10:CB10)/CC10</f>
        <v>7</v>
      </c>
      <c r="CE10" s="34">
        <f>(CB4-CA10/CD10*CA10/2)/CA10+CA10/CD10</f>
        <v>19.797619047619047</v>
      </c>
      <c r="CF10" s="34">
        <f>(CB4-CB10/CD10*CB10/2)/CB10+CB10/CD10</f>
        <v>19.797619047619047</v>
      </c>
      <c r="CG10" s="132"/>
      <c r="CH10" s="132"/>
      <c r="CI10" s="132"/>
      <c r="CJ10" s="132"/>
      <c r="CK10" s="132"/>
      <c r="CL10" s="132"/>
      <c r="CM10" s="132"/>
      <c r="CN10" s="129"/>
      <c r="CO10" s="132"/>
      <c r="CQ10" s="2" t="s">
        <v>126</v>
      </c>
      <c r="CR10" s="34">
        <f>CT4</f>
        <v>14.729789983154914</v>
      </c>
      <c r="CS10" s="159">
        <f>$CC$4/(2*PI()*$CR10/360)</f>
        <v>64.829821717990285</v>
      </c>
      <c r="CT10" s="34">
        <f>$CC$5/(2*PI()*$CR10/360)</f>
        <v>55.568418615420242</v>
      </c>
      <c r="CU10" s="34">
        <f>$CC$6/(2*PI()*$CR10/360)</f>
        <v>48.622366288492707</v>
      </c>
      <c r="CV10" s="34">
        <f>CW4</f>
        <v>58.919159932619657</v>
      </c>
      <c r="CW10" s="159">
        <f>$CC$4/(2*PI()*$CV10/360)</f>
        <v>16.207455429497571</v>
      </c>
      <c r="CX10" s="34">
        <f>$CC$5/(2*PI()*$CV10/360)</f>
        <v>13.892104653855061</v>
      </c>
      <c r="CY10" s="34">
        <f>$CC$6/(2*PI()*$CV10/360)</f>
        <v>12.155591572123177</v>
      </c>
      <c r="DE10" s="2" t="s">
        <v>126</v>
      </c>
      <c r="DF10" s="21">
        <v>1</v>
      </c>
      <c r="DG10" s="21">
        <v>1</v>
      </c>
      <c r="DH10" s="21">
        <v>1</v>
      </c>
    </row>
    <row r="11" spans="2:112" x14ac:dyDescent="0.3">
      <c r="B11" s="2" t="s">
        <v>618</v>
      </c>
      <c r="C11" s="33" t="s">
        <v>126</v>
      </c>
      <c r="D11" s="153">
        <v>5.61</v>
      </c>
      <c r="E11" s="153">
        <v>3.21</v>
      </c>
      <c r="F11" s="2">
        <f t="shared" si="14"/>
        <v>6.46</v>
      </c>
      <c r="G11" s="32">
        <v>3.2</v>
      </c>
      <c r="H11" s="32">
        <v>1.7</v>
      </c>
      <c r="I11" s="2">
        <f t="shared" si="15"/>
        <v>3.62</v>
      </c>
      <c r="J11" s="154">
        <f>VLOOKUP(C11,基础属性系数!$B$97:$E$100,4,FALSE)*SQRT(VLOOKUP(C11,基础属性系数!$B$97:$E$100,2,FALSE)/F11)</f>
        <v>2.0557509714072411</v>
      </c>
      <c r="K11" s="155">
        <v>0</v>
      </c>
      <c r="L11" s="155">
        <v>1.85</v>
      </c>
      <c r="M11" s="155">
        <v>1.35</v>
      </c>
      <c r="N11" s="155">
        <v>1.35</v>
      </c>
      <c r="O11" s="155">
        <v>0.95</v>
      </c>
      <c r="P11" s="155">
        <v>0.95</v>
      </c>
      <c r="Q11" s="155">
        <v>0.9</v>
      </c>
      <c r="R11" s="34">
        <f>基础属性系数!$E$61*2/F11</f>
        <v>0</v>
      </c>
      <c r="S11" s="34">
        <f>(H11/基础属性系数!$C$94-H11/基础属性系数!$C$94/I11*基础属性系数!$E$61*2)/F11</f>
        <v>0.16447368421052633</v>
      </c>
      <c r="T11" s="34">
        <f>(G11/基础属性系数!$C$94-G11/基础属性系数!$C$94/I11*基础属性系数!$E$61*2)/F11*2</f>
        <v>0.61919504643962853</v>
      </c>
      <c r="U11" s="34">
        <f>(H11/基础属性系数!$C$94-H11/基础属性系数!$C$94/I11*基础属性系数!$E$61*2)/F11</f>
        <v>0.16447368421052633</v>
      </c>
      <c r="V11" s="34">
        <f>(E11/基础属性系数!$C$94-I11*E11/基础属性系数!$C$94/F11)/F11</f>
        <v>0.13653322661963591</v>
      </c>
      <c r="W11" s="34">
        <f>(D11/基础属性系数!$C$94-I11*D11/基础属性系数!$C$94/F11)/F11*2</f>
        <v>0.47722828743685836</v>
      </c>
      <c r="X11" s="34">
        <f>(E11/基础属性系数!$C$94-I11*E11/基础属性系数!$C$94/F11)/F11</f>
        <v>0.13653322661963591</v>
      </c>
      <c r="Y11" s="34">
        <f t="shared" si="0"/>
        <v>0</v>
      </c>
      <c r="Z11" s="34">
        <f t="shared" si="1"/>
        <v>0.30427631578947373</v>
      </c>
      <c r="AA11" s="34">
        <f t="shared" si="16"/>
        <v>0.83591331269349856</v>
      </c>
      <c r="AB11" s="34">
        <f t="shared" si="2"/>
        <v>0.22203947368421056</v>
      </c>
      <c r="AC11" s="34">
        <f t="shared" si="3"/>
        <v>0.1297065652886541</v>
      </c>
      <c r="AD11" s="34">
        <f t="shared" si="4"/>
        <v>0.45336687306501544</v>
      </c>
      <c r="AE11" s="34">
        <f t="shared" si="5"/>
        <v>0.12287990395767232</v>
      </c>
      <c r="AF11" s="34">
        <f t="shared" si="17"/>
        <v>2.0681824444785248</v>
      </c>
      <c r="AH11" s="2" t="s">
        <v>128</v>
      </c>
      <c r="AI11" s="2">
        <f>基础属性系数!C25</f>
        <v>75</v>
      </c>
      <c r="AJ11" s="2">
        <f>基础属性系数!D25</f>
        <v>35</v>
      </c>
      <c r="AK11" s="2">
        <f>基础属性系数!E25</f>
        <v>40</v>
      </c>
      <c r="BZ11" s="2" t="s">
        <v>128</v>
      </c>
      <c r="CA11" s="21">
        <v>8</v>
      </c>
      <c r="CB11" s="21">
        <v>8</v>
      </c>
      <c r="CC11" s="21">
        <v>1.6</v>
      </c>
      <c r="CD11" s="34">
        <f>AVERAGE(CA11:CB11)/CC11</f>
        <v>5</v>
      </c>
      <c r="CE11" s="34">
        <f>(CB5-CA11/CD11*CA11/2)/CA11+CA11/CD11</f>
        <v>25.8</v>
      </c>
      <c r="CF11" s="34">
        <f>(CB5-CB11/CD11*CB11/2)/CB11+CB11/CD11</f>
        <v>25.8</v>
      </c>
      <c r="CG11" s="132"/>
      <c r="CH11" s="132"/>
      <c r="CI11" s="132"/>
      <c r="CJ11" s="132"/>
      <c r="CK11" s="132"/>
      <c r="CL11" s="132"/>
      <c r="CM11" s="132"/>
      <c r="CN11" s="129"/>
      <c r="CO11" s="132"/>
      <c r="CQ11" s="2" t="s">
        <v>128</v>
      </c>
      <c r="CR11" s="34">
        <f>CT5</f>
        <v>13.903775828507978</v>
      </c>
      <c r="CS11" s="159">
        <f>$CC$4/(2*PI()*$CR11/360)</f>
        <v>68.681318681318672</v>
      </c>
      <c r="CT11" s="34">
        <f>$CC$5/(2*PI()*$CR11/360)</f>
        <v>58.869701726844582</v>
      </c>
      <c r="CU11" s="34">
        <f>$CC$6/(2*PI()*$CR11/360)</f>
        <v>51.510989010989007</v>
      </c>
      <c r="CV11" s="34">
        <f>CW5</f>
        <v>55.615103314031913</v>
      </c>
      <c r="CW11" s="159">
        <f>$CC$4/(2*PI()*$CV11/360)</f>
        <v>17.170329670329668</v>
      </c>
      <c r="CX11" s="34">
        <f>$CC$5/(2*PI()*$CV11/360)</f>
        <v>14.717425431711145</v>
      </c>
      <c r="CY11" s="34">
        <f>$CC$6/(2*PI()*$CV11/360)</f>
        <v>12.877747252747252</v>
      </c>
      <c r="DE11" s="2" t="s">
        <v>128</v>
      </c>
      <c r="DF11" s="21">
        <v>0.9</v>
      </c>
      <c r="DG11" s="21">
        <v>0.9</v>
      </c>
      <c r="DH11" s="21">
        <v>0.9</v>
      </c>
    </row>
    <row r="12" spans="2:112" x14ac:dyDescent="0.3">
      <c r="B12" s="2" t="s">
        <v>620</v>
      </c>
      <c r="C12" s="33" t="s">
        <v>126</v>
      </c>
      <c r="D12" s="153">
        <v>6.99</v>
      </c>
      <c r="E12" s="153">
        <v>3.24</v>
      </c>
      <c r="F12" s="2">
        <f t="shared" si="14"/>
        <v>7.7</v>
      </c>
      <c r="G12" s="32">
        <v>1.8</v>
      </c>
      <c r="H12" s="32">
        <v>1.8</v>
      </c>
      <c r="I12" s="2">
        <f t="shared" si="15"/>
        <v>2.5499999999999998</v>
      </c>
      <c r="J12" s="154">
        <f>VLOOKUP(C12,基础属性系数!$B$97:$E$100,4,FALSE)*SQRT(VLOOKUP(C12,基础属性系数!$B$97:$E$100,2,FALSE)/F12)</f>
        <v>1.8829613277064927</v>
      </c>
      <c r="K12" s="155">
        <v>0</v>
      </c>
      <c r="L12" s="155">
        <v>2.15</v>
      </c>
      <c r="M12" s="155">
        <v>1.65</v>
      </c>
      <c r="N12" s="155">
        <v>1.65</v>
      </c>
      <c r="O12" s="155">
        <v>1</v>
      </c>
      <c r="P12" s="155">
        <v>1</v>
      </c>
      <c r="Q12" s="155">
        <v>0.95</v>
      </c>
      <c r="R12" s="34">
        <f>基础属性系数!$E$61*2/F12</f>
        <v>0</v>
      </c>
      <c r="S12" s="34">
        <f>(H12/基础属性系数!$C$94-H12/基础属性系数!$C$94/I12*基础属性系数!$E$61*2)/F12</f>
        <v>0.1461038961038961</v>
      </c>
      <c r="T12" s="34">
        <f>(G12/基础属性系数!$C$94-G12/基础属性系数!$C$94/I12*基础属性系数!$E$61*2)/F12*2</f>
        <v>0.29220779220779219</v>
      </c>
      <c r="U12" s="34">
        <f>(H12/基础属性系数!$C$94-H12/基础属性系数!$C$94/I12*基础属性系数!$E$61*2)/F12</f>
        <v>0.1461038961038961</v>
      </c>
      <c r="V12" s="34">
        <f>(E12/基础属性系数!$C$94-I12*E12/基础属性系数!$C$94/F12)/F12</f>
        <v>0.17589391128352166</v>
      </c>
      <c r="W12" s="34">
        <f>(D12/基础属性系数!$C$94-I12*D12/基础属性系数!$C$94/F12)/F12*2</f>
        <v>0.75894965424186189</v>
      </c>
      <c r="X12" s="34">
        <f>(E12/基础属性系数!$C$94-I12*E12/基础属性系数!$C$94/F12)/F12</f>
        <v>0.17589391128352166</v>
      </c>
      <c r="Y12" s="34">
        <f t="shared" si="0"/>
        <v>0</v>
      </c>
      <c r="Z12" s="34">
        <f t="shared" si="1"/>
        <v>0.31412337662337658</v>
      </c>
      <c r="AA12" s="34">
        <f t="shared" si="16"/>
        <v>0.4821428571428571</v>
      </c>
      <c r="AB12" s="34">
        <f t="shared" si="2"/>
        <v>0.24107142857142855</v>
      </c>
      <c r="AC12" s="34">
        <f t="shared" si="3"/>
        <v>0.17589391128352166</v>
      </c>
      <c r="AD12" s="34">
        <f t="shared" si="4"/>
        <v>0.75894965424186189</v>
      </c>
      <c r="AE12" s="34">
        <f t="shared" si="5"/>
        <v>0.16709921571934558</v>
      </c>
      <c r="AF12" s="34">
        <f t="shared" si="17"/>
        <v>2.1392804435823911</v>
      </c>
      <c r="AH12" s="2" t="s">
        <v>130</v>
      </c>
      <c r="AI12" s="2">
        <f>基础属性系数!C26</f>
        <v>90</v>
      </c>
      <c r="AJ12" s="2">
        <f>基础属性系数!D26</f>
        <v>5</v>
      </c>
      <c r="AK12" s="2">
        <f>基础属性系数!E26</f>
        <v>10</v>
      </c>
      <c r="AZ12" s="351" t="s">
        <v>979</v>
      </c>
      <c r="BA12" s="351"/>
      <c r="BB12" s="351"/>
      <c r="BC12" s="351"/>
      <c r="BD12" s="351"/>
      <c r="BE12" s="351"/>
      <c r="BF12" s="351"/>
      <c r="BG12" s="351"/>
      <c r="BM12" s="351" t="s">
        <v>980</v>
      </c>
      <c r="BN12" s="351"/>
      <c r="BO12" s="351"/>
      <c r="BP12" s="351"/>
      <c r="BQ12" s="351"/>
      <c r="BR12" s="351"/>
      <c r="BS12" s="351"/>
      <c r="BT12" s="351"/>
      <c r="BU12" s="351"/>
      <c r="BV12" s="351"/>
      <c r="BZ12" s="2" t="s">
        <v>130</v>
      </c>
      <c r="CA12" s="21">
        <v>7</v>
      </c>
      <c r="CB12" s="21">
        <v>7</v>
      </c>
      <c r="CC12" s="21">
        <v>1.8</v>
      </c>
      <c r="CD12" s="34">
        <f>AVERAGE(CA12:CB12)/CC12</f>
        <v>3.8888888888888888</v>
      </c>
      <c r="CE12" s="34">
        <f>(CB6-CA12/CD12*CA12/2)/CA12+CA12/CD12</f>
        <v>29.471428571428572</v>
      </c>
      <c r="CF12" s="34">
        <f>(CB6-CB12/CD12*CB12/2)/CB12+CB12/CD12</f>
        <v>29.471428571428572</v>
      </c>
      <c r="CG12" s="132"/>
      <c r="CH12" s="132"/>
      <c r="CI12" s="132"/>
      <c r="CJ12" s="132"/>
      <c r="CK12" s="132"/>
      <c r="CL12" s="132"/>
      <c r="CM12" s="132"/>
      <c r="CN12" s="129"/>
      <c r="CO12" s="132"/>
      <c r="CQ12" s="2" t="s">
        <v>130</v>
      </c>
      <c r="CR12" s="34">
        <f>CT6</f>
        <v>11.98436721481972</v>
      </c>
      <c r="CS12" s="159">
        <f>$CC$4/(2*PI()*$CR12/360)</f>
        <v>79.681274900398407</v>
      </c>
      <c r="CT12" s="34">
        <f>$CC$5/(2*PI()*$CR12/360)</f>
        <v>68.29823562891292</v>
      </c>
      <c r="CU12" s="34">
        <f>$CC$6/(2*PI()*$CR12/360)</f>
        <v>59.760956175298794</v>
      </c>
      <c r="CV12" s="34">
        <f>CW6</f>
        <v>47.93746885927888</v>
      </c>
      <c r="CW12" s="159">
        <f>$CC$4/(2*PI()*$CV12/360)</f>
        <v>19.920318725099602</v>
      </c>
      <c r="CX12" s="34">
        <f>$CC$5/(2*PI()*$CV12/360)</f>
        <v>17.07455890722823</v>
      </c>
      <c r="CY12" s="34">
        <f>$CC$6/(2*PI()*$CV12/360)</f>
        <v>14.940239043824699</v>
      </c>
      <c r="DE12" s="2" t="s">
        <v>130</v>
      </c>
      <c r="DF12" s="21">
        <v>0.8</v>
      </c>
      <c r="DG12" s="21">
        <v>0.8</v>
      </c>
      <c r="DH12" s="21">
        <v>0.8</v>
      </c>
    </row>
    <row r="13" spans="2:112" x14ac:dyDescent="0.3">
      <c r="B13" s="2" t="s">
        <v>622</v>
      </c>
      <c r="C13" s="33" t="s">
        <v>126</v>
      </c>
      <c r="D13" s="153">
        <v>6.05</v>
      </c>
      <c r="E13" s="153">
        <v>3.23</v>
      </c>
      <c r="F13" s="2">
        <f t="shared" si="14"/>
        <v>6.86</v>
      </c>
      <c r="G13" s="32">
        <v>2.1</v>
      </c>
      <c r="H13" s="32">
        <v>2.1</v>
      </c>
      <c r="I13" s="2">
        <f t="shared" si="15"/>
        <v>2.97</v>
      </c>
      <c r="J13" s="154">
        <f>VLOOKUP(C13,基础属性系数!$B$97:$E$100,4,FALSE)*SQRT(VLOOKUP(C13,基础属性系数!$B$97:$E$100,2,FALSE)/F13)</f>
        <v>1.9949164213995045</v>
      </c>
      <c r="K13" s="155">
        <v>0</v>
      </c>
      <c r="L13" s="155">
        <v>1.9</v>
      </c>
      <c r="M13" s="155">
        <v>1.45</v>
      </c>
      <c r="N13" s="155">
        <v>1.45</v>
      </c>
      <c r="O13" s="155">
        <v>1</v>
      </c>
      <c r="P13" s="155">
        <v>1</v>
      </c>
      <c r="Q13" s="155">
        <v>0.85</v>
      </c>
      <c r="R13" s="34">
        <f>基础属性系数!$E$61*2/F13</f>
        <v>0</v>
      </c>
      <c r="S13" s="34">
        <f>(H13/基础属性系数!$C$94-H13/基础属性系数!$C$94/I13*基础属性系数!$E$61*2)/F13</f>
        <v>0.19132653061224489</v>
      </c>
      <c r="T13" s="34">
        <f>(G13/基础属性系数!$C$94-G13/基础属性系数!$C$94/I13*基础属性系数!$E$61*2)/F13*2</f>
        <v>0.38265306122448978</v>
      </c>
      <c r="U13" s="34">
        <f>(H13/基础属性系数!$C$94-H13/基础属性系数!$C$94/I13*基础属性系数!$E$61*2)/F13</f>
        <v>0.19132653061224489</v>
      </c>
      <c r="V13" s="34">
        <f>(E13/基础属性系数!$C$94-I13*E13/基础属性系数!$C$94/F13)/F13</f>
        <v>0.16687216848421998</v>
      </c>
      <c r="W13" s="34">
        <f>(D13/基础属性系数!$C$94-I13*D13/基础属性系数!$C$94/F13)/F13*2</f>
        <v>0.62512484169011195</v>
      </c>
      <c r="X13" s="34">
        <f>(E13/基础属性系数!$C$94-I13*E13/基础属性系数!$C$94/F13)/F13</f>
        <v>0.16687216848421998</v>
      </c>
      <c r="Y13" s="34">
        <f t="shared" si="0"/>
        <v>0</v>
      </c>
      <c r="Z13" s="34">
        <f t="shared" si="1"/>
        <v>0.36352040816326525</v>
      </c>
      <c r="AA13" s="34">
        <f t="shared" si="16"/>
        <v>0.55484693877551017</v>
      </c>
      <c r="AB13" s="34">
        <f t="shared" si="2"/>
        <v>0.27742346938775508</v>
      </c>
      <c r="AC13" s="34">
        <f t="shared" si="3"/>
        <v>0.16687216848421998</v>
      </c>
      <c r="AD13" s="34">
        <f t="shared" si="4"/>
        <v>0.62512484169011195</v>
      </c>
      <c r="AE13" s="34">
        <f t="shared" si="5"/>
        <v>0.14184134321158698</v>
      </c>
      <c r="AF13" s="34">
        <f t="shared" si="17"/>
        <v>2.1296291697124494</v>
      </c>
      <c r="AZ13" s="2" t="s">
        <v>71</v>
      </c>
      <c r="BA13" s="2" t="s">
        <v>981</v>
      </c>
      <c r="BB13" s="2" t="s">
        <v>949</v>
      </c>
      <c r="BC13" s="2" t="s">
        <v>947</v>
      </c>
      <c r="BD13" s="2" t="s">
        <v>982</v>
      </c>
      <c r="BE13" s="2" t="s">
        <v>983</v>
      </c>
      <c r="BF13" s="2" t="s">
        <v>984</v>
      </c>
      <c r="BG13" s="2" t="s">
        <v>985</v>
      </c>
      <c r="BM13" s="2" t="s">
        <v>71</v>
      </c>
      <c r="BN13" s="2" t="s">
        <v>942</v>
      </c>
      <c r="BO13" s="2" t="s">
        <v>943</v>
      </c>
      <c r="BP13" s="2" t="s">
        <v>944</v>
      </c>
      <c r="BQ13" s="2" t="s">
        <v>945</v>
      </c>
      <c r="BR13" s="2" t="s">
        <v>946</v>
      </c>
      <c r="BS13" s="2" t="s">
        <v>947</v>
      </c>
      <c r="BT13" s="2" t="s">
        <v>948</v>
      </c>
      <c r="BU13" s="2" t="s">
        <v>949</v>
      </c>
      <c r="BV13" s="2" t="s">
        <v>950</v>
      </c>
    </row>
    <row r="14" spans="2:112" x14ac:dyDescent="0.3">
      <c r="B14" s="2" t="s">
        <v>512</v>
      </c>
      <c r="C14" s="33" t="s">
        <v>128</v>
      </c>
      <c r="D14" s="153">
        <v>4.37</v>
      </c>
      <c r="E14" s="153">
        <v>2.2799999999999998</v>
      </c>
      <c r="F14" s="2">
        <f t="shared" si="14"/>
        <v>4.93</v>
      </c>
      <c r="G14" s="32">
        <v>1.3</v>
      </c>
      <c r="H14" s="32">
        <v>1.3</v>
      </c>
      <c r="I14" s="2">
        <f t="shared" si="15"/>
        <v>1.84</v>
      </c>
      <c r="J14" s="154">
        <f>VLOOKUP(C14,基础属性系数!$B$97:$E$100,4,FALSE)*SQRT(VLOOKUP(C14,基础属性系数!$B$97:$E$100,2,FALSE)/F14)</f>
        <v>2.6345716106527823</v>
      </c>
      <c r="K14" s="155">
        <v>0</v>
      </c>
      <c r="L14" s="155">
        <v>2</v>
      </c>
      <c r="M14" s="155">
        <v>1.9</v>
      </c>
      <c r="N14" s="155">
        <v>1.9</v>
      </c>
      <c r="O14" s="155">
        <v>0.95</v>
      </c>
      <c r="P14" s="155">
        <v>0.95</v>
      </c>
      <c r="Q14" s="155">
        <v>0.85</v>
      </c>
      <c r="R14" s="34">
        <f>基础属性系数!$E$61*2/F14</f>
        <v>0</v>
      </c>
      <c r="S14" s="34">
        <f>(H14/基础属性系数!$C$94-H14/基础属性系数!$C$94/I14*基础属性系数!$E$61*2)/F14</f>
        <v>0.16480730223123732</v>
      </c>
      <c r="T14" s="34">
        <f>(G14/基础属性系数!$C$94-G14/基础属性系数!$C$94/I14*基础属性系数!$E$61*2)/F14*2</f>
        <v>0.32961460446247465</v>
      </c>
      <c r="U14" s="34">
        <f>(H14/基础属性系数!$C$94-H14/基础属性系数!$C$94/I14*基础属性系数!$E$61*2)/F14</f>
        <v>0.16480730223123732</v>
      </c>
      <c r="V14" s="34">
        <f>(E14/基础属性系数!$C$94-I14*E14/基础属性系数!$C$94/F14)/F14</f>
        <v>0.18116717205172617</v>
      </c>
      <c r="W14" s="34">
        <f>(D14/基础属性系数!$C$94-I14*D14/基础属性系数!$C$94/F14)/F14*2</f>
        <v>0.69447415953161695</v>
      </c>
      <c r="X14" s="34">
        <f>(E14/基础属性系数!$C$94-I14*E14/基础属性系数!$C$94/F14)/F14</f>
        <v>0.18116717205172617</v>
      </c>
      <c r="Y14" s="34">
        <f t="shared" si="0"/>
        <v>0</v>
      </c>
      <c r="Z14" s="34">
        <f t="shared" si="1"/>
        <v>0.32961460446247465</v>
      </c>
      <c r="AA14" s="34">
        <f t="shared" si="16"/>
        <v>0.62626774847870181</v>
      </c>
      <c r="AB14" s="34">
        <f t="shared" si="2"/>
        <v>0.31313387423935091</v>
      </c>
      <c r="AC14" s="34">
        <f t="shared" si="3"/>
        <v>0.17210881344913986</v>
      </c>
      <c r="AD14" s="34">
        <f t="shared" si="4"/>
        <v>0.65975045155503609</v>
      </c>
      <c r="AE14" s="34">
        <f t="shared" si="5"/>
        <v>0.15399209624396723</v>
      </c>
      <c r="AF14" s="34">
        <f t="shared" si="17"/>
        <v>2.2548675884286702</v>
      </c>
      <c r="AH14" s="351" t="s">
        <v>986</v>
      </c>
      <c r="AI14" s="351"/>
      <c r="AJ14" s="351"/>
      <c r="AK14" s="351"/>
      <c r="AZ14" s="2" t="s">
        <v>77</v>
      </c>
      <c r="BA14" s="34">
        <f t="shared" ref="BA14:BA20" si="22">BC4</f>
        <v>0.6</v>
      </c>
      <c r="BB14" s="34">
        <f t="shared" ref="BB14:BB20" si="23">BA14/$AW$4</f>
        <v>0.5</v>
      </c>
      <c r="BC14" s="156">
        <f>$AI$24</f>
        <v>0.26478591686179787</v>
      </c>
      <c r="BD14" s="154">
        <f>TAN(RADIANS(BA14+$AK$16))*$AI$10*2/$AK$4</f>
        <v>0.46852905427890901</v>
      </c>
      <c r="BE14" s="154">
        <f>TAN(RADIANS(BA14*2+$AK$16))*$AI$10*2/$AK$4</f>
        <v>0.67237501877581207</v>
      </c>
      <c r="BF14" s="154">
        <f>TAN(RADIANS(BA14*3+$AK$16))*$AI$10*2/$AK$4</f>
        <v>0.87636863868024206</v>
      </c>
      <c r="BG14" s="34">
        <f>(1-BC14)/(BF14-BC14)*BA14*3</f>
        <v>2.1638697471928041</v>
      </c>
      <c r="BM14" s="2" t="s">
        <v>77</v>
      </c>
      <c r="BN14" s="2">
        <f>VLOOKUP(LEFT(BM14,2),$AH$15:$AK$18,4,FALSE)</f>
        <v>0.78</v>
      </c>
      <c r="BO14" s="2">
        <f t="shared" ref="BO14:BO20" si="24">BN14+AV4</f>
        <v>1.86</v>
      </c>
      <c r="BP14" s="34">
        <f>BO14/BN14</f>
        <v>2.3846153846153846</v>
      </c>
      <c r="BQ14" s="21">
        <v>2.1</v>
      </c>
      <c r="BR14" s="2">
        <f>(BQ14-1)*BN14</f>
        <v>0.8580000000000001</v>
      </c>
      <c r="BS14" s="156">
        <f>AI24</f>
        <v>0.26478591686179787</v>
      </c>
      <c r="BT14" s="154">
        <f>TAN(RADIANS(BR14+BN14))*$AI$10*2/$AK$4</f>
        <v>0.55616760139447796</v>
      </c>
      <c r="BU14" s="34">
        <f t="shared" ref="BU14:BU20" si="25">BR14/AW4</f>
        <v>0.71500000000000008</v>
      </c>
      <c r="BV14" s="2">
        <f>BR14/基础属性系数!$C$18*3</f>
        <v>0.17160000000000003</v>
      </c>
      <c r="BZ14" s="351" t="s">
        <v>987</v>
      </c>
      <c r="CA14" s="351"/>
      <c r="CB14" s="351"/>
      <c r="CC14" s="351"/>
      <c r="CD14" s="351"/>
      <c r="CE14" s="351"/>
      <c r="CF14" s="351"/>
      <c r="CG14" s="25"/>
      <c r="CH14" s="25"/>
      <c r="CI14" s="25"/>
      <c r="CJ14" s="25"/>
      <c r="CK14" s="25"/>
      <c r="CL14" s="25"/>
      <c r="CM14" s="25"/>
      <c r="CN14" s="25"/>
      <c r="CO14" s="25"/>
      <c r="CQ14" s="351" t="s">
        <v>988</v>
      </c>
      <c r="CR14" s="351"/>
      <c r="CS14" s="351"/>
      <c r="CT14" s="351"/>
      <c r="CU14" s="351"/>
      <c r="CV14" s="351"/>
      <c r="CW14" s="351"/>
      <c r="CX14" s="351"/>
      <c r="CY14" s="351"/>
      <c r="CZ14" s="351"/>
      <c r="DA14" s="351"/>
      <c r="DB14" s="351"/>
      <c r="DC14" s="351"/>
    </row>
    <row r="15" spans="2:112" x14ac:dyDescent="0.3">
      <c r="B15" s="2" t="s">
        <v>518</v>
      </c>
      <c r="C15" s="33" t="s">
        <v>128</v>
      </c>
      <c r="D15" s="153">
        <v>5.58</v>
      </c>
      <c r="E15" s="153">
        <v>2.84</v>
      </c>
      <c r="F15" s="2">
        <f t="shared" si="14"/>
        <v>6.26</v>
      </c>
      <c r="G15" s="32">
        <v>1.8</v>
      </c>
      <c r="H15" s="32">
        <v>1.5</v>
      </c>
      <c r="I15" s="2">
        <f t="shared" si="15"/>
        <v>2.34</v>
      </c>
      <c r="J15" s="154">
        <f>VLOOKUP(C15,基础属性系数!$B$97:$E$100,4,FALSE)*SQRT(VLOOKUP(C15,基础属性系数!$B$97:$E$100,2,FALSE)/F15)</f>
        <v>2.3380096573519364</v>
      </c>
      <c r="K15" s="155">
        <v>0</v>
      </c>
      <c r="L15" s="155">
        <v>2.15</v>
      </c>
      <c r="M15" s="155">
        <v>1.9</v>
      </c>
      <c r="N15" s="155">
        <v>1.9</v>
      </c>
      <c r="O15" s="155">
        <v>0.95</v>
      </c>
      <c r="P15" s="155">
        <v>0.95</v>
      </c>
      <c r="Q15" s="155">
        <v>0.85</v>
      </c>
      <c r="R15" s="34">
        <f>基础属性系数!$E$61*2/F15</f>
        <v>0</v>
      </c>
      <c r="S15" s="34">
        <f>(H15/基础属性系数!$C$94-H15/基础属性系数!$C$94/I15*基础属性系数!$E$61*2)/F15</f>
        <v>0.14976038338658149</v>
      </c>
      <c r="T15" s="34">
        <f>(G15/基础属性系数!$C$94-G15/基础属性系数!$C$94/I15*基础属性系数!$E$61*2)/F15*2</f>
        <v>0.35942492012779553</v>
      </c>
      <c r="U15" s="34">
        <f>(H15/基础属性系数!$C$94-H15/基础属性系数!$C$94/I15*基础属性系数!$E$61*2)/F15</f>
        <v>0.14976038338658149</v>
      </c>
      <c r="V15" s="34">
        <f>(E15/基础属性系数!$C$94-I15*E15/基础属性系数!$C$94/F15)/F15</f>
        <v>0.17755616572589289</v>
      </c>
      <c r="W15" s="34">
        <f>(D15/基础属性系数!$C$94-I15*D15/基础属性系数!$C$94/F15)/F15*2</f>
        <v>0.6977207075707621</v>
      </c>
      <c r="X15" s="34">
        <f>(E15/基础属性系数!$C$94-I15*E15/基础属性系数!$C$94/F15)/F15</f>
        <v>0.17755616572589289</v>
      </c>
      <c r="Y15" s="34">
        <f t="shared" si="0"/>
        <v>0</v>
      </c>
      <c r="Z15" s="34">
        <f t="shared" si="1"/>
        <v>0.32198482428115016</v>
      </c>
      <c r="AA15" s="34">
        <f t="shared" si="16"/>
        <v>0.68290734824281152</v>
      </c>
      <c r="AB15" s="34">
        <f t="shared" si="2"/>
        <v>0.28454472843450479</v>
      </c>
      <c r="AC15" s="34">
        <f t="shared" si="3"/>
        <v>0.16867835743959825</v>
      </c>
      <c r="AD15" s="34">
        <f t="shared" si="4"/>
        <v>0.66283467219222392</v>
      </c>
      <c r="AE15" s="34">
        <f t="shared" si="5"/>
        <v>0.15092274086700896</v>
      </c>
      <c r="AF15" s="34">
        <f t="shared" si="17"/>
        <v>2.2718726714572979</v>
      </c>
      <c r="AH15" s="2" t="s">
        <v>71</v>
      </c>
      <c r="AI15" s="2" t="s">
        <v>989</v>
      </c>
      <c r="AJ15" s="2" t="s">
        <v>990</v>
      </c>
      <c r="AK15" s="2" t="s">
        <v>991</v>
      </c>
      <c r="AZ15" s="2" t="s">
        <v>78</v>
      </c>
      <c r="BA15" s="34">
        <f t="shared" si="22"/>
        <v>0.48</v>
      </c>
      <c r="BB15" s="34">
        <f t="shared" si="23"/>
        <v>0.4</v>
      </c>
      <c r="BC15" s="156">
        <f>$AI$24</f>
        <v>0.26478591686179787</v>
      </c>
      <c r="BD15" s="154">
        <f>TAN(RADIANS(BA15+$AK$16))*$AI$10*2/$AK$4</f>
        <v>0.42777363329658946</v>
      </c>
      <c r="BE15" s="154">
        <f>TAN(RADIANS(BA15*2+$AK$16))*$AI$10*2/$AK$4</f>
        <v>0.59082142719647335</v>
      </c>
      <c r="BF15" s="154">
        <f>TAN(RADIANS(BA15*3+$AK$16))*$AI$10*2/$AK$4</f>
        <v>0.75395223376693188</v>
      </c>
      <c r="BG15" s="34">
        <f t="shared" ref="BG15:BG20" si="26">(1-BC15)/(BF15-BC15)*BA15*3</f>
        <v>2.1643114890192461</v>
      </c>
      <c r="BM15" s="2" t="s">
        <v>78</v>
      </c>
      <c r="BN15" s="2">
        <f t="shared" ref="BN15:BN20" si="27">VLOOKUP(LEFT(BM15,2),$AH$15:$AK$18,4,FALSE)</f>
        <v>0.78</v>
      </c>
      <c r="BO15" s="2">
        <f t="shared" si="24"/>
        <v>1.86</v>
      </c>
      <c r="BP15" s="34">
        <f t="shared" ref="BP15:BP20" si="28">BO15/BN15</f>
        <v>2.3846153846153846</v>
      </c>
      <c r="BQ15" s="21">
        <v>1.75</v>
      </c>
      <c r="BR15" s="2">
        <f t="shared" ref="BR15:BR20" si="29">(BQ15-1)*BN15</f>
        <v>0.58499999999999996</v>
      </c>
      <c r="BS15" s="156">
        <f>AI24</f>
        <v>0.26478591686179787</v>
      </c>
      <c r="BT15" s="154">
        <f>TAN(RADIANS(BR15+BN15))*$AI$10*2/$AK$4</f>
        <v>0.46343440908322664</v>
      </c>
      <c r="BU15" s="34">
        <f t="shared" si="25"/>
        <v>0.48749999999999999</v>
      </c>
      <c r="BV15" s="2">
        <f>BR15/基础属性系数!$C$18*3</f>
        <v>0.11699999999999999</v>
      </c>
      <c r="BZ15" s="2" t="s">
        <v>71</v>
      </c>
      <c r="CA15" s="2" t="s">
        <v>992</v>
      </c>
      <c r="CB15" s="2" t="s">
        <v>992</v>
      </c>
      <c r="CC15" s="2" t="s">
        <v>993</v>
      </c>
      <c r="CD15" s="2" t="s">
        <v>994</v>
      </c>
      <c r="CE15" s="2" t="s">
        <v>959</v>
      </c>
      <c r="CF15" s="2" t="s">
        <v>995</v>
      </c>
      <c r="CG15" s="25"/>
      <c r="CH15" s="25"/>
      <c r="CI15" s="25"/>
      <c r="CJ15" s="25"/>
      <c r="CK15" s="25"/>
      <c r="CL15" s="25"/>
      <c r="CM15" s="25"/>
      <c r="CN15" s="25"/>
      <c r="CO15" s="25"/>
      <c r="CQ15" s="2" t="s">
        <v>71</v>
      </c>
      <c r="CR15" s="2" t="s">
        <v>955</v>
      </c>
      <c r="CS15" s="2" t="s">
        <v>996</v>
      </c>
      <c r="CT15" s="2" t="s">
        <v>997</v>
      </c>
      <c r="CU15" s="2" t="s">
        <v>957</v>
      </c>
      <c r="CV15" s="2" t="s">
        <v>998</v>
      </c>
      <c r="CW15" s="2" t="s">
        <v>999</v>
      </c>
      <c r="CX15" s="2" t="s">
        <v>1000</v>
      </c>
      <c r="CY15" s="2" t="s">
        <v>1001</v>
      </c>
      <c r="CZ15" s="2" t="s">
        <v>1002</v>
      </c>
      <c r="DA15" s="2" t="s">
        <v>1003</v>
      </c>
      <c r="DB15" s="2" t="s">
        <v>1001</v>
      </c>
      <c r="DC15" s="2" t="s">
        <v>1002</v>
      </c>
    </row>
    <row r="16" spans="2:112" x14ac:dyDescent="0.3">
      <c r="B16" s="2" t="s">
        <v>627</v>
      </c>
      <c r="C16" s="33" t="s">
        <v>128</v>
      </c>
      <c r="D16" s="153">
        <v>5.97</v>
      </c>
      <c r="E16" s="153">
        <v>2.96</v>
      </c>
      <c r="F16" s="2">
        <f t="shared" si="14"/>
        <v>6.66</v>
      </c>
      <c r="G16" s="32">
        <v>2.4</v>
      </c>
      <c r="H16" s="32">
        <v>1.6</v>
      </c>
      <c r="I16" s="2">
        <f t="shared" si="15"/>
        <v>2.88</v>
      </c>
      <c r="J16" s="154">
        <f>VLOOKUP(C16,基础属性系数!$B$97:$E$100,4,FALSE)*SQRT(VLOOKUP(C16,基础属性系数!$B$97:$E$100,2,FALSE)/F16)</f>
        <v>2.2667120467195514</v>
      </c>
      <c r="K16" s="155">
        <v>0</v>
      </c>
      <c r="L16" s="155">
        <v>2.2000000000000002</v>
      </c>
      <c r="M16" s="155">
        <v>1.85</v>
      </c>
      <c r="N16" s="155">
        <v>1.85</v>
      </c>
      <c r="O16" s="155">
        <v>0.95</v>
      </c>
      <c r="P16" s="155">
        <v>0.95</v>
      </c>
      <c r="Q16" s="155">
        <v>0.85</v>
      </c>
      <c r="R16" s="34">
        <f>基础属性系数!$E$61*2/F16</f>
        <v>0</v>
      </c>
      <c r="S16" s="34">
        <f>(H16/基础属性系数!$C$94-H16/基础属性系数!$C$94/I16*基础属性系数!$E$61*2)/F16</f>
        <v>0.15015015015015015</v>
      </c>
      <c r="T16" s="34">
        <f>(G16/基础属性系数!$C$94-G16/基础属性系数!$C$94/I16*基础属性系数!$E$61*2)/F16*2</f>
        <v>0.4504504504504504</v>
      </c>
      <c r="U16" s="34">
        <f>(H16/基础属性系数!$C$94-H16/基础属性系数!$C$94/I16*基础属性系数!$E$61*2)/F16</f>
        <v>0.15015015015015015</v>
      </c>
      <c r="V16" s="34">
        <f>(E16/基础属性系数!$C$94-I16*E16/基础属性系数!$C$94/F16)/F16</f>
        <v>0.15765765765765763</v>
      </c>
      <c r="W16" s="34">
        <f>(D16/基础属性系数!$C$94-I16*D16/基础属性系数!$C$94/F16)/F16*2</f>
        <v>0.63595690284879469</v>
      </c>
      <c r="X16" s="34">
        <f>(E16/基础属性系数!$C$94-I16*E16/基础属性系数!$C$94/F16)/F16</f>
        <v>0.15765765765765763</v>
      </c>
      <c r="Y16" s="34">
        <f t="shared" si="0"/>
        <v>0</v>
      </c>
      <c r="Z16" s="34">
        <f t="shared" si="1"/>
        <v>0.33033033033033038</v>
      </c>
      <c r="AA16" s="34">
        <f t="shared" si="16"/>
        <v>0.83333333333333326</v>
      </c>
      <c r="AB16" s="34">
        <f t="shared" si="2"/>
        <v>0.27777777777777779</v>
      </c>
      <c r="AC16" s="34">
        <f t="shared" si="3"/>
        <v>0.14977477477477474</v>
      </c>
      <c r="AD16" s="34">
        <f t="shared" si="4"/>
        <v>0.60415905770635492</v>
      </c>
      <c r="AE16" s="34">
        <f t="shared" si="5"/>
        <v>0.13400900900900897</v>
      </c>
      <c r="AF16" s="34">
        <f t="shared" si="17"/>
        <v>2.3293842829315801</v>
      </c>
      <c r="AH16" s="2" t="s">
        <v>126</v>
      </c>
      <c r="AI16" s="21">
        <v>0.26500000000000001</v>
      </c>
      <c r="AJ16" s="2">
        <f>AI16/2</f>
        <v>0.13250000000000001</v>
      </c>
      <c r="AK16" s="2">
        <f>ROUND(DEGREES(ATAN(AJ16*AK4/AI10)),2)</f>
        <v>0.78</v>
      </c>
      <c r="AZ16" s="2" t="s">
        <v>79</v>
      </c>
      <c r="BA16" s="34">
        <f t="shared" si="22"/>
        <v>1.7999999999999998</v>
      </c>
      <c r="BB16" s="34">
        <f t="shared" si="23"/>
        <v>1.5</v>
      </c>
      <c r="BC16" s="156">
        <f>$AI$24</f>
        <v>0.26478591686179787</v>
      </c>
      <c r="BD16" s="154">
        <f>TAN(RADIANS(BA16+$AK$16))*$AI$10*2/$AK$4</f>
        <v>0.87636863868024206</v>
      </c>
      <c r="BE16" s="154">
        <f>TAN(RADIANS(BA16*2+$AK$16))*$AI$10*2/$AK$4</f>
        <v>1.4896858998499365</v>
      </c>
      <c r="BF16" s="154">
        <f>TAN(RADIANS(BA16*3+$AK$16))*$AI$10*2/$AK$4</f>
        <v>2.1059628987919474</v>
      </c>
      <c r="BG16" s="34">
        <f t="shared" si="26"/>
        <v>2.1563141881038952</v>
      </c>
      <c r="BM16" s="2" t="s">
        <v>79</v>
      </c>
      <c r="BN16" s="2">
        <f t="shared" si="27"/>
        <v>0.78</v>
      </c>
      <c r="BO16" s="2">
        <f t="shared" si="24"/>
        <v>2.58</v>
      </c>
      <c r="BP16" s="34">
        <f t="shared" si="28"/>
        <v>3.3076923076923075</v>
      </c>
      <c r="BQ16" s="21">
        <v>3</v>
      </c>
      <c r="BR16" s="2">
        <f t="shared" si="29"/>
        <v>1.56</v>
      </c>
      <c r="BS16" s="156">
        <f>AI25</f>
        <v>0.30127565677255386</v>
      </c>
      <c r="BT16" s="154">
        <f>TAN(RADIANS(BR16+BN16))*$AI$10*2/$AK$4</f>
        <v>0.79475059811837956</v>
      </c>
      <c r="BU16" s="34">
        <f t="shared" si="25"/>
        <v>1.56</v>
      </c>
      <c r="BV16" s="2">
        <f>BR16/基础属性系数!$C$18*3</f>
        <v>0.31200000000000006</v>
      </c>
      <c r="BZ16" s="2" t="s">
        <v>126</v>
      </c>
      <c r="CA16" s="21">
        <v>1</v>
      </c>
      <c r="CB16" s="21">
        <v>1</v>
      </c>
      <c r="CC16" s="2">
        <f t="shared" ref="CC16:CD18" si="30">CA10*CA16</f>
        <v>10.5</v>
      </c>
      <c r="CD16" s="2">
        <f t="shared" si="30"/>
        <v>10.5</v>
      </c>
      <c r="CE16" s="21">
        <v>1</v>
      </c>
      <c r="CF16" s="34">
        <f>AVERAGE(CC16:CD16)/CE16</f>
        <v>10.5</v>
      </c>
      <c r="CG16" s="132"/>
      <c r="CH16" s="132"/>
      <c r="CI16" s="132"/>
      <c r="CJ16" s="132"/>
      <c r="CK16" s="132"/>
      <c r="CL16" s="132"/>
      <c r="CM16" s="132"/>
      <c r="CN16" s="132"/>
      <c r="CO16" s="132"/>
      <c r="CQ16" s="2" t="s">
        <v>126</v>
      </c>
      <c r="CR16" s="2">
        <f>CR4</f>
        <v>60</v>
      </c>
      <c r="CS16" s="34">
        <f>SQRT((AK4/2/(CR16*2*PI()))*360*2*CY4+CT4^2)</f>
        <v>23.751072684500215</v>
      </c>
      <c r="CT16" s="154">
        <f>(CS16-CT4)/CY4</f>
        <v>0.15311288741492751</v>
      </c>
      <c r="CU16" s="2">
        <f>CU4</f>
        <v>30</v>
      </c>
      <c r="CV16" s="34">
        <f>SQRT((AK4/2/(CU16*2*PI()))*360*2*CY4+CT4^2)</f>
        <v>30.187086550062656</v>
      </c>
      <c r="CW16" s="154">
        <f>(CV16-CT4)/CY4</f>
        <v>0.26234753829797997</v>
      </c>
      <c r="CX16" s="2">
        <v>45</v>
      </c>
      <c r="CY16" s="34">
        <f>SQRT(((AK4/2/(CU16*2*PI()))*360+CX16)*2*CY4+CT4^2)</f>
        <v>78.828830946023444</v>
      </c>
      <c r="CZ16" s="154">
        <f>(CY16-CT4)/CY4</f>
        <v>1.0879150523560184</v>
      </c>
      <c r="DA16" s="2">
        <v>90</v>
      </c>
      <c r="DB16" s="34">
        <f>SQRT(((AK4/2/(CU16*2*PI()))*360+DA16)*2*CY4+CT4^2)</f>
        <v>107.31593070114293</v>
      </c>
      <c r="DC16" s="154">
        <f>(DB16-CT4)/CY4</f>
        <v>1.5714097217928793</v>
      </c>
    </row>
    <row r="17" spans="2:107" x14ac:dyDescent="0.3">
      <c r="B17" s="2" t="s">
        <v>526</v>
      </c>
      <c r="C17" s="33" t="s">
        <v>128</v>
      </c>
      <c r="D17" s="153">
        <v>6.05</v>
      </c>
      <c r="E17" s="153">
        <v>2.57</v>
      </c>
      <c r="F17" s="2">
        <f t="shared" si="14"/>
        <v>6.57</v>
      </c>
      <c r="G17" s="32">
        <v>1.8</v>
      </c>
      <c r="H17" s="32">
        <v>1.6</v>
      </c>
      <c r="I17" s="2">
        <f t="shared" si="15"/>
        <v>2.41</v>
      </c>
      <c r="J17" s="154">
        <f>VLOOKUP(C17,基础属性系数!$B$97:$E$100,4,FALSE)*SQRT(VLOOKUP(C17,基础属性系数!$B$97:$E$100,2,FALSE)/F17)</f>
        <v>2.2821846635181733</v>
      </c>
      <c r="K17" s="155">
        <v>0</v>
      </c>
      <c r="L17" s="155">
        <v>2.25</v>
      </c>
      <c r="M17" s="155">
        <v>2</v>
      </c>
      <c r="N17" s="155">
        <v>2</v>
      </c>
      <c r="O17" s="155">
        <v>0.95</v>
      </c>
      <c r="P17" s="155">
        <v>0.95</v>
      </c>
      <c r="Q17" s="155">
        <v>0.85</v>
      </c>
      <c r="R17" s="34">
        <f>基础属性系数!$E$61*2/F17</f>
        <v>0</v>
      </c>
      <c r="S17" s="34">
        <f>(H17/基础属性系数!$C$94-H17/基础属性系数!$C$94/I17*基础属性系数!$E$61*2)/F17</f>
        <v>0.15220700152207001</v>
      </c>
      <c r="T17" s="34">
        <f>(G17/基础属性系数!$C$94-G17/基础属性系数!$C$94/I17*基础属性系数!$E$61*2)/F17*2</f>
        <v>0.34246575342465752</v>
      </c>
      <c r="U17" s="34">
        <f>(H17/基础属性系数!$C$94-H17/基础属性系数!$C$94/I17*基础属性系数!$E$61*2)/F17</f>
        <v>0.15220700152207001</v>
      </c>
      <c r="V17" s="34">
        <f>(E17/基础属性系数!$C$94-I17*E17/基础属性系数!$C$94/F17)/F17</f>
        <v>0.15480170230905199</v>
      </c>
      <c r="W17" s="34">
        <f>(D17/基础属性系数!$C$94-I17*D17/基础属性系数!$C$94/F17)/F17*2</f>
        <v>0.72883291748619805</v>
      </c>
      <c r="X17" s="34">
        <f>(E17/基础属性系数!$C$94-I17*E17/基础属性系数!$C$94/F17)/F17</f>
        <v>0.15480170230905199</v>
      </c>
      <c r="Y17" s="34">
        <f t="shared" si="0"/>
        <v>0</v>
      </c>
      <c r="Z17" s="34">
        <f t="shared" si="1"/>
        <v>0.34246575342465752</v>
      </c>
      <c r="AA17" s="34">
        <f t="shared" si="16"/>
        <v>0.68493150684931503</v>
      </c>
      <c r="AB17" s="34">
        <f t="shared" si="2"/>
        <v>0.30441400304414001</v>
      </c>
      <c r="AC17" s="34">
        <f t="shared" si="3"/>
        <v>0.14706161719359939</v>
      </c>
      <c r="AD17" s="34">
        <f t="shared" si="4"/>
        <v>0.69239127161188807</v>
      </c>
      <c r="AE17" s="34">
        <f t="shared" si="5"/>
        <v>0.13158144696269419</v>
      </c>
      <c r="AF17" s="34">
        <f t="shared" si="17"/>
        <v>2.3028455990862939</v>
      </c>
      <c r="AH17" s="2" t="s">
        <v>128</v>
      </c>
      <c r="AI17" s="21">
        <v>0.255</v>
      </c>
      <c r="AJ17" s="2">
        <f>AI17/2</f>
        <v>0.1275</v>
      </c>
      <c r="AK17" s="2">
        <f>ROUND(DEGREES(ATAN(AJ17*AK5/AI11)),2)</f>
        <v>0.71</v>
      </c>
      <c r="AZ17" s="2" t="s">
        <v>81</v>
      </c>
      <c r="BA17" s="34">
        <f t="shared" si="22"/>
        <v>2.4</v>
      </c>
      <c r="BB17" s="34">
        <f t="shared" si="23"/>
        <v>2</v>
      </c>
      <c r="BC17" s="156">
        <f>$AJ$24</f>
        <v>0.22441333887874901</v>
      </c>
      <c r="BD17" s="154">
        <f>TAN(RADIANS(BA17+$AK$16))*$AI$10*2/$AK$5</f>
        <v>0.9157999396958767</v>
      </c>
      <c r="BE17" s="154">
        <f>TAN(RADIANS(BA17*2+$AK$16))*$AI$10*2/$AK$5</f>
        <v>1.6104139709423739</v>
      </c>
      <c r="BF17" s="154">
        <f>TAN(RADIANS(BA17*3+$AK$16))*$AI$10*2/$AK$5</f>
        <v>2.3107399721914761</v>
      </c>
      <c r="BG17" s="34">
        <f t="shared" si="26"/>
        <v>2.6765818309121716</v>
      </c>
      <c r="BM17" s="2" t="s">
        <v>81</v>
      </c>
      <c r="BN17" s="2">
        <f t="shared" si="27"/>
        <v>0.71</v>
      </c>
      <c r="BO17" s="2">
        <f t="shared" si="24"/>
        <v>2.06</v>
      </c>
      <c r="BP17" s="34">
        <f t="shared" si="28"/>
        <v>2.9014084507042255</v>
      </c>
      <c r="BQ17" s="21">
        <v>2.5</v>
      </c>
      <c r="BR17" s="2">
        <f t="shared" si="29"/>
        <v>1.0649999999999999</v>
      </c>
      <c r="BS17" s="156">
        <f>AJ25</f>
        <v>0.25533939591849686</v>
      </c>
      <c r="BT17" s="154">
        <f>TAN(RADIANS(BR17+BN17))*$AI$11*2/$AK$5</f>
        <v>0.63852009818691136</v>
      </c>
      <c r="BU17" s="34">
        <f t="shared" si="25"/>
        <v>1.0649999999999999</v>
      </c>
      <c r="BV17" s="2">
        <f>BR17/基础属性系数!$C$18*3</f>
        <v>0.21299999999999997</v>
      </c>
      <c r="BZ17" s="2" t="s">
        <v>128</v>
      </c>
      <c r="CA17" s="21">
        <v>1</v>
      </c>
      <c r="CB17" s="21">
        <v>1</v>
      </c>
      <c r="CC17" s="2">
        <f t="shared" si="30"/>
        <v>8</v>
      </c>
      <c r="CD17" s="2">
        <f t="shared" si="30"/>
        <v>8</v>
      </c>
      <c r="CE17" s="21">
        <v>2</v>
      </c>
      <c r="CF17" s="34">
        <f>AVERAGE(CC17:CD17)/CE17</f>
        <v>4</v>
      </c>
      <c r="CG17" s="132"/>
      <c r="CH17" s="132"/>
      <c r="CI17" s="132"/>
      <c r="CJ17" s="132"/>
      <c r="CK17" s="132"/>
      <c r="CL17" s="132"/>
      <c r="CM17" s="132"/>
      <c r="CN17" s="132"/>
      <c r="CO17" s="132"/>
      <c r="CQ17" s="2" t="s">
        <v>128</v>
      </c>
      <c r="CR17" s="2">
        <f>CR5</f>
        <v>75</v>
      </c>
      <c r="CS17" s="34">
        <f>SQRT((AK5/2/(CR17*2*PI()))*360*2*CY5+CT5^2)</f>
        <v>22.419164880798906</v>
      </c>
      <c r="CT17" s="154">
        <f>(CS17-CT5)/CY5</f>
        <v>0.15311288741492746</v>
      </c>
      <c r="CU17" s="2">
        <f>CU5</f>
        <v>37.5</v>
      </c>
      <c r="CV17" s="34">
        <f>SQRT((AK5/2/(CU17*2*PI()))*360*2*CY5+CT5^2)</f>
        <v>28.494261275132075</v>
      </c>
      <c r="CW17" s="154">
        <f>(CV17-CT5)/CY5</f>
        <v>0.26234753829797985</v>
      </c>
      <c r="CX17" s="2">
        <v>45</v>
      </c>
      <c r="CY17" s="34">
        <f>SQRT(((AK5/2/(CU17*2*PI()))*360+CX17)*2*CY5+CT5^2)</f>
        <v>76.271110021281089</v>
      </c>
      <c r="CZ17" s="154">
        <f>(CY17-CT5)/CY5</f>
        <v>1.1214100213140767</v>
      </c>
      <c r="DA17" s="2">
        <v>90</v>
      </c>
      <c r="DB17" s="34">
        <f>SQRT(((AK5/2/(CU17*2*PI()))*360+DA17)*2*CY5+CT5^2)</f>
        <v>104.03192549473088</v>
      </c>
      <c r="DC17" s="154">
        <f>(DB17-CT5)/CY5</f>
        <v>1.6205696707477519</v>
      </c>
    </row>
    <row r="18" spans="2:107" x14ac:dyDescent="0.3">
      <c r="B18" s="2" t="s">
        <v>630</v>
      </c>
      <c r="C18" s="33" t="s">
        <v>128</v>
      </c>
      <c r="D18" s="153">
        <v>6.33</v>
      </c>
      <c r="E18" s="153">
        <v>2.85</v>
      </c>
      <c r="F18" s="2">
        <f t="shared" si="14"/>
        <v>6.94</v>
      </c>
      <c r="G18" s="32">
        <v>1.9</v>
      </c>
      <c r="H18" s="32">
        <v>1.9</v>
      </c>
      <c r="I18" s="2">
        <f t="shared" si="15"/>
        <v>2.69</v>
      </c>
      <c r="J18" s="154">
        <f>VLOOKUP(C18,基础属性系数!$B$97:$E$100,4,FALSE)*SQRT(VLOOKUP(C18,基础属性系数!$B$97:$E$100,2,FALSE)/F18)</f>
        <v>2.2205151065389575</v>
      </c>
      <c r="K18" s="155">
        <v>0</v>
      </c>
      <c r="L18" s="155">
        <v>2.2999999999999998</v>
      </c>
      <c r="M18" s="155">
        <v>1.9</v>
      </c>
      <c r="N18" s="155">
        <v>1.9</v>
      </c>
      <c r="O18" s="155">
        <v>0.95</v>
      </c>
      <c r="P18" s="155">
        <v>0.95</v>
      </c>
      <c r="Q18" s="155">
        <v>0.85</v>
      </c>
      <c r="R18" s="34">
        <f>基础属性系数!$E$61*2/F18</f>
        <v>0</v>
      </c>
      <c r="S18" s="34">
        <f>(H18/基础属性系数!$C$94-H18/基础属性系数!$C$94/I18*基础属性系数!$E$61*2)/F18</f>
        <v>0.17110951008645528</v>
      </c>
      <c r="T18" s="34">
        <f>(G18/基础属性系数!$C$94-G18/基础属性系数!$C$94/I18*基础属性系数!$E$61*2)/F18*2</f>
        <v>0.34221902017291056</v>
      </c>
      <c r="U18" s="34">
        <f>(H18/基础属性系数!$C$94-H18/基础属性系数!$C$94/I18*基础属性系数!$E$61*2)/F18</f>
        <v>0.17110951008645528</v>
      </c>
      <c r="V18" s="34">
        <f>(E18/基础属性系数!$C$94-I18*E18/基础属性系数!$C$94/F18)/F18</f>
        <v>0.15717912489930158</v>
      </c>
      <c r="W18" s="34">
        <f>(D18/基础属性系数!$C$94-I18*D18/基础属性系数!$C$94/F18)/F18*2</f>
        <v>0.69820621797373938</v>
      </c>
      <c r="X18" s="34">
        <f>(E18/基础属性系数!$C$94-I18*E18/基础属性系数!$C$94/F18)/F18</f>
        <v>0.15717912489930158</v>
      </c>
      <c r="Y18" s="34">
        <f t="shared" si="0"/>
        <v>0</v>
      </c>
      <c r="Z18" s="34">
        <f t="shared" si="1"/>
        <v>0.3935518731988471</v>
      </c>
      <c r="AA18" s="34">
        <f t="shared" si="16"/>
        <v>0.65021613832852998</v>
      </c>
      <c r="AB18" s="34">
        <f t="shared" si="2"/>
        <v>0.32510806916426499</v>
      </c>
      <c r="AC18" s="34">
        <f t="shared" si="3"/>
        <v>0.1493201686543365</v>
      </c>
      <c r="AD18" s="34">
        <f t="shared" si="4"/>
        <v>0.66329590707505237</v>
      </c>
      <c r="AE18" s="34">
        <f t="shared" si="5"/>
        <v>0.13360225616440635</v>
      </c>
      <c r="AF18" s="34">
        <f t="shared" si="17"/>
        <v>2.3150944125854376</v>
      </c>
      <c r="AH18" s="2" t="s">
        <v>130</v>
      </c>
      <c r="AI18" s="21">
        <v>0.26</v>
      </c>
      <c r="AJ18" s="2">
        <f>AI18/2</f>
        <v>0.13</v>
      </c>
      <c r="AK18" s="2">
        <f>ROUND(DEGREES(ATAN(AJ18*AK6/AI12)),2)</f>
        <v>0.62</v>
      </c>
      <c r="AZ18" s="2" t="s">
        <v>80</v>
      </c>
      <c r="BA18" s="34">
        <f t="shared" si="22"/>
        <v>1.2</v>
      </c>
      <c r="BB18" s="34">
        <f t="shared" si="23"/>
        <v>1</v>
      </c>
      <c r="BC18" s="156">
        <f>$AJ$24</f>
        <v>0.22441333887874901</v>
      </c>
      <c r="BD18" s="154">
        <f>TAN(RADIANS(BA18+$AK$16))*$AI$10*2/$AK$5</f>
        <v>0.56985630025367584</v>
      </c>
      <c r="BE18" s="154">
        <f>TAN(RADIANS(BA18*2+$AK$16))*$AI$10*2/$AK$5</f>
        <v>0.9157999396958767</v>
      </c>
      <c r="BF18" s="154">
        <f>TAN(RADIANS(BA18*3+$AK$16))*$AI$10*2/$AK$5</f>
        <v>1.2625497255596301</v>
      </c>
      <c r="BG18" s="34">
        <f t="shared" si="26"/>
        <v>2.6895425455256561</v>
      </c>
      <c r="BM18" s="2" t="s">
        <v>80</v>
      </c>
      <c r="BN18" s="2">
        <f t="shared" si="27"/>
        <v>0.71</v>
      </c>
      <c r="BO18" s="2">
        <f t="shared" si="24"/>
        <v>2.3899999999999997</v>
      </c>
      <c r="BP18" s="34">
        <f t="shared" si="28"/>
        <v>3.3661971830985911</v>
      </c>
      <c r="BQ18" s="21">
        <v>1.5</v>
      </c>
      <c r="BR18" s="2">
        <f t="shared" si="29"/>
        <v>0.35499999999999998</v>
      </c>
      <c r="BS18" s="156">
        <f>AJ25</f>
        <v>0.25533939591849686</v>
      </c>
      <c r="BT18" s="154">
        <f>TAN(RADIANS(BR18+BN18))*$AI$11*2/$AK$5</f>
        <v>0.38303360333798825</v>
      </c>
      <c r="BU18" s="34">
        <f t="shared" si="25"/>
        <v>0.29583333333333334</v>
      </c>
      <c r="BV18" s="2">
        <f>BR18/基础属性系数!$C$18*3</f>
        <v>7.0999999999999994E-2</v>
      </c>
      <c r="BZ18" s="2" t="s">
        <v>130</v>
      </c>
      <c r="CA18" s="21">
        <v>1</v>
      </c>
      <c r="CB18" s="21">
        <v>1</v>
      </c>
      <c r="CC18" s="2">
        <f t="shared" si="30"/>
        <v>7</v>
      </c>
      <c r="CD18" s="2">
        <f t="shared" si="30"/>
        <v>7</v>
      </c>
      <c r="CE18" s="21">
        <v>3.5</v>
      </c>
      <c r="CF18" s="34">
        <f>AVERAGE(CC18:CD18)/CE18</f>
        <v>2</v>
      </c>
      <c r="CG18" s="132"/>
      <c r="CH18" s="132"/>
      <c r="CI18" s="132"/>
      <c r="CJ18" s="132"/>
      <c r="CK18" s="132"/>
      <c r="CL18" s="132"/>
      <c r="CM18" s="132"/>
      <c r="CN18" s="132"/>
      <c r="CO18" s="132"/>
      <c r="CQ18" s="2" t="s">
        <v>130</v>
      </c>
      <c r="CR18" s="2">
        <f>CR6</f>
        <v>90</v>
      </c>
      <c r="CS18" s="34">
        <f>SQRT((AK6/2/(CR18*2*PI()))*360*2*CY6+CT6^2)</f>
        <v>19.324211487227078</v>
      </c>
      <c r="CT18" s="154">
        <f>(CS18-CT6)/CY6</f>
        <v>0.15311288741492746</v>
      </c>
      <c r="CU18" s="2">
        <f>CU6</f>
        <v>45</v>
      </c>
      <c r="CV18" s="34">
        <f>SQRT((AK6/2/(CU18*2*PI()))*360*2*CY6+CT6^2)</f>
        <v>24.560644162287605</v>
      </c>
      <c r="CW18" s="154">
        <f>(CV18-CT6)/CY6</f>
        <v>0.26234753829797991</v>
      </c>
      <c r="CX18" s="2">
        <v>45</v>
      </c>
      <c r="CY18" s="34">
        <f>SQRT(((AK6/2/(CU18*2*PI()))*360+CX18)*2*CY6+CT6^2)</f>
        <v>70.125583341613719</v>
      </c>
      <c r="CZ18" s="154">
        <f>(CY18-CT6)/CY6</f>
        <v>1.2128553615850759</v>
      </c>
      <c r="DA18" s="2">
        <v>90</v>
      </c>
      <c r="DB18" s="34">
        <f>SQRT(((AK6/2/(CU18*2*PI()))*360+DA18)*2*CY6+CT6^2)</f>
        <v>96.083139188604321</v>
      </c>
      <c r="DC18" s="154">
        <f>(DB18-CT6)/CY6</f>
        <v>1.7543431886372172</v>
      </c>
    </row>
    <row r="19" spans="2:107" x14ac:dyDescent="0.3">
      <c r="B19" s="2" t="s">
        <v>632</v>
      </c>
      <c r="C19" s="33" t="s">
        <v>128</v>
      </c>
      <c r="D19" s="153">
        <v>6.68</v>
      </c>
      <c r="E19" s="153">
        <v>3.1</v>
      </c>
      <c r="F19" s="2">
        <f t="shared" si="14"/>
        <v>7.36</v>
      </c>
      <c r="G19" s="32">
        <v>2.4</v>
      </c>
      <c r="H19" s="32">
        <v>1.9</v>
      </c>
      <c r="I19" s="2">
        <f t="shared" si="15"/>
        <v>3.06</v>
      </c>
      <c r="J19" s="154">
        <f>VLOOKUP(C19,基础属性系数!$B$97:$E$100,4,FALSE)*SQRT(VLOOKUP(C19,基础属性系数!$B$97:$E$100,2,FALSE)/F19)</f>
        <v>2.1562273983778266</v>
      </c>
      <c r="K19" s="155">
        <v>0</v>
      </c>
      <c r="L19" s="155">
        <v>2.2999999999999998</v>
      </c>
      <c r="M19" s="155">
        <v>1.9</v>
      </c>
      <c r="N19" s="155">
        <v>1.9</v>
      </c>
      <c r="O19" s="155">
        <v>0.95</v>
      </c>
      <c r="P19" s="155">
        <v>0.95</v>
      </c>
      <c r="Q19" s="155">
        <v>0.85</v>
      </c>
      <c r="R19" s="34">
        <f>基础属性系数!$E$61*2/F19</f>
        <v>0</v>
      </c>
      <c r="S19" s="34">
        <f>(H19/基础属性系数!$C$94-H19/基础属性系数!$C$94/I19*基础属性系数!$E$61*2)/F19</f>
        <v>0.16134510869565213</v>
      </c>
      <c r="T19" s="34">
        <f>(G19/基础属性系数!$C$94-G19/基础属性系数!$C$94/I19*基础属性系数!$E$61*2)/F19*2</f>
        <v>0.40760869565217384</v>
      </c>
      <c r="U19" s="34">
        <f>(H19/基础属性系数!$C$94-H19/基础属性系数!$C$94/I19*基础属性系数!$E$61*2)/F19</f>
        <v>0.16134510869565213</v>
      </c>
      <c r="V19" s="34">
        <f>(E19/基础属性系数!$C$94-I19*E19/基础属性系数!$C$94/F19)/F19</f>
        <v>0.15379936348062381</v>
      </c>
      <c r="W19" s="34">
        <f>(D19/基础属性系数!$C$94-I19*D19/基础属性系数!$C$94/F19)/F19*2</f>
        <v>0.66282564390359167</v>
      </c>
      <c r="X19" s="34">
        <f>(E19/基础属性系数!$C$94-I19*E19/基础属性系数!$C$94/F19)/F19</f>
        <v>0.15379936348062381</v>
      </c>
      <c r="Y19" s="34">
        <f t="shared" si="0"/>
        <v>0</v>
      </c>
      <c r="Z19" s="34">
        <f t="shared" si="1"/>
        <v>0.37109374999999989</v>
      </c>
      <c r="AA19" s="34">
        <f t="shared" si="16"/>
        <v>0.77445652173913027</v>
      </c>
      <c r="AB19" s="34">
        <f t="shared" si="2"/>
        <v>0.30655570652173902</v>
      </c>
      <c r="AC19" s="34">
        <f t="shared" si="3"/>
        <v>0.14610939530659262</v>
      </c>
      <c r="AD19" s="34">
        <f t="shared" si="4"/>
        <v>0.62968436170841202</v>
      </c>
      <c r="AE19" s="34">
        <f t="shared" si="5"/>
        <v>0.13072945895853025</v>
      </c>
      <c r="AF19" s="34">
        <f t="shared" si="17"/>
        <v>2.3586291942344042</v>
      </c>
      <c r="AH19" s="25"/>
      <c r="AI19" s="24"/>
      <c r="AJ19" s="25"/>
      <c r="AK19" s="25"/>
      <c r="AZ19" s="2" t="s">
        <v>83</v>
      </c>
      <c r="BA19" s="34">
        <f t="shared" si="22"/>
        <v>3</v>
      </c>
      <c r="BB19" s="34">
        <f t="shared" si="23"/>
        <v>2.5</v>
      </c>
      <c r="BC19" s="156">
        <f>$AK$24</f>
        <v>0.21696269681770156</v>
      </c>
      <c r="BD19" s="154">
        <f>TAN(RADIANS(BA19+$AK$16))*$AI$10*2/$AK$6</f>
        <v>1.0528976739065161</v>
      </c>
      <c r="BE19" s="154">
        <f>TAN(RADIANS(BA19*2+$AK$16))*$AI$10*2/$AK$6</f>
        <v>1.8946416930579777</v>
      </c>
      <c r="BF19" s="154">
        <f>TAN(RADIANS(BA19*3+$AK$16))*$AI$10*2/$AK$6</f>
        <v>2.7469407801887882</v>
      </c>
      <c r="BG19" s="34">
        <f t="shared" si="26"/>
        <v>2.7855323233671712</v>
      </c>
      <c r="BM19" s="2" t="s">
        <v>83</v>
      </c>
      <c r="BN19" s="2">
        <f t="shared" si="27"/>
        <v>0.62</v>
      </c>
      <c r="BO19" s="2">
        <f t="shared" si="24"/>
        <v>3.62</v>
      </c>
      <c r="BP19" s="34">
        <f t="shared" si="28"/>
        <v>5.838709677419355</v>
      </c>
      <c r="BQ19" s="21">
        <v>3</v>
      </c>
      <c r="BR19" s="2">
        <f t="shared" si="29"/>
        <v>1.24</v>
      </c>
      <c r="BS19" s="156">
        <f>AK26</f>
        <v>0.25868040825173549</v>
      </c>
      <c r="BT19" s="154">
        <f>TAN(RADIANS(BR19+BN19))*$AI$12*2/$AK$6</f>
        <v>0.77628365016700762</v>
      </c>
      <c r="BU19" s="34">
        <f t="shared" si="25"/>
        <v>1.24</v>
      </c>
      <c r="BV19" s="2">
        <f>BR19/基础属性系数!$C$18*3</f>
        <v>0.248</v>
      </c>
    </row>
    <row r="20" spans="2:107" ht="15.75" customHeight="1" x14ac:dyDescent="0.3">
      <c r="B20" s="2" t="s">
        <v>634</v>
      </c>
      <c r="C20" s="33" t="s">
        <v>128</v>
      </c>
      <c r="D20" s="153">
        <v>7.42</v>
      </c>
      <c r="E20" s="153">
        <v>3.89</v>
      </c>
      <c r="F20" s="2">
        <f t="shared" si="14"/>
        <v>8.3800000000000008</v>
      </c>
      <c r="G20" s="32">
        <v>3.4</v>
      </c>
      <c r="H20" s="32">
        <v>2.2000000000000002</v>
      </c>
      <c r="I20" s="2">
        <f t="shared" si="15"/>
        <v>4.05</v>
      </c>
      <c r="J20" s="154">
        <f>VLOOKUP(C20,基础属性系数!$B$97:$E$100,4,FALSE)*SQRT(VLOOKUP(C20,基础属性系数!$B$97:$E$100,2,FALSE)/F20)</f>
        <v>2.0207447446876632</v>
      </c>
      <c r="K20" s="155">
        <v>0</v>
      </c>
      <c r="L20" s="155">
        <v>2.1</v>
      </c>
      <c r="M20" s="155">
        <v>1.75</v>
      </c>
      <c r="N20" s="155">
        <v>1.75</v>
      </c>
      <c r="O20" s="155">
        <v>0.95</v>
      </c>
      <c r="P20" s="155">
        <v>0.95</v>
      </c>
      <c r="Q20" s="155">
        <v>0.85</v>
      </c>
      <c r="R20" s="34">
        <f>基础属性系数!$E$61*2/F20</f>
        <v>0</v>
      </c>
      <c r="S20" s="34">
        <f>(H20/基础属性系数!$C$94-H20/基础属性系数!$C$94/I20*基础属性系数!$E$61*2)/F20</f>
        <v>0.16408114558472553</v>
      </c>
      <c r="T20" s="34">
        <f>(G20/基础属性系数!$C$94-G20/基础属性系数!$C$94/I20*基础属性系数!$E$61*2)/F20*2</f>
        <v>0.50715990453460613</v>
      </c>
      <c r="U20" s="34">
        <f>(H20/基础属性系数!$C$94-H20/基础属性系数!$C$94/I20*基础属性系数!$E$61*2)/F20</f>
        <v>0.16408114558472553</v>
      </c>
      <c r="V20" s="34">
        <f>(E20/基础属性系数!$C$94-I20*E20/基础属性系数!$C$94/F20)/F20</f>
        <v>0.14990961118927323</v>
      </c>
      <c r="W20" s="34">
        <f>(D20/基础属性系数!$C$94-I20*D20/基础属性系数!$C$94/F20)/F20*2</f>
        <v>0.57189167867578772</v>
      </c>
      <c r="X20" s="34">
        <f>(E20/基础属性系数!$C$94-I20*E20/基础属性系数!$C$94/F20)/F20</f>
        <v>0.14990961118927323</v>
      </c>
      <c r="Y20" s="34">
        <f t="shared" si="0"/>
        <v>0</v>
      </c>
      <c r="Z20" s="34">
        <f t="shared" si="1"/>
        <v>0.34457040572792363</v>
      </c>
      <c r="AA20" s="34">
        <f t="shared" si="16"/>
        <v>0.88752983293556076</v>
      </c>
      <c r="AB20" s="34">
        <f t="shared" si="2"/>
        <v>0.28714200477326968</v>
      </c>
      <c r="AC20" s="34">
        <f t="shared" si="3"/>
        <v>0.14241413062980957</v>
      </c>
      <c r="AD20" s="34">
        <f t="shared" si="4"/>
        <v>0.54329709474199828</v>
      </c>
      <c r="AE20" s="34">
        <f t="shared" si="5"/>
        <v>0.12742316951088226</v>
      </c>
      <c r="AF20" s="34">
        <f t="shared" si="17"/>
        <v>2.332376638319444</v>
      </c>
      <c r="AH20" s="2" t="s">
        <v>991</v>
      </c>
      <c r="AI20" s="21">
        <v>0.64</v>
      </c>
      <c r="AJ20" s="2" t="s">
        <v>1004</v>
      </c>
      <c r="AK20" s="32">
        <v>5</v>
      </c>
      <c r="AZ20" s="2" t="s">
        <v>82</v>
      </c>
      <c r="BA20" s="34">
        <f t="shared" si="22"/>
        <v>1.7999999999999998</v>
      </c>
      <c r="BB20" s="34">
        <f t="shared" si="23"/>
        <v>1.5</v>
      </c>
      <c r="BC20" s="156">
        <f>$AK$24</f>
        <v>0.21696269681770156</v>
      </c>
      <c r="BD20" s="154">
        <f>TAN(RADIANS(BA20+$AK$16))*$AI$10*2/$AK$6</f>
        <v>0.71808691907796718</v>
      </c>
      <c r="BE20" s="154">
        <f>TAN(RADIANS(BA20*2+$AK$16))*$AI$10*2/$AK$6</f>
        <v>1.2206324039939054</v>
      </c>
      <c r="BF20" s="154">
        <f>TAN(RADIANS(BA20*3+$AK$16))*$AI$10*2/$AK$6</f>
        <v>1.7256030658096035</v>
      </c>
      <c r="BG20" s="34">
        <f t="shared" si="26"/>
        <v>2.8027895342677978</v>
      </c>
      <c r="BM20" s="2" t="s">
        <v>82</v>
      </c>
      <c r="BN20" s="2">
        <f t="shared" si="27"/>
        <v>0.62</v>
      </c>
      <c r="BO20" s="2">
        <f t="shared" si="24"/>
        <v>3.2</v>
      </c>
      <c r="BP20" s="34">
        <f t="shared" si="28"/>
        <v>5.1612903225806459</v>
      </c>
      <c r="BQ20" s="21">
        <v>2</v>
      </c>
      <c r="BR20" s="2">
        <f t="shared" si="29"/>
        <v>0.62</v>
      </c>
      <c r="BS20" s="156">
        <f>AK26</f>
        <v>0.25868040825173549</v>
      </c>
      <c r="BT20" s="154">
        <f>TAN(RADIANS(BR20+BN20))*$AI$12*2/$AK$6</f>
        <v>0.51742140866025677</v>
      </c>
      <c r="BU20" s="34">
        <f t="shared" si="25"/>
        <v>0.51666666666666672</v>
      </c>
      <c r="BV20" s="2">
        <f>BR20/基础属性系数!$C$18*3</f>
        <v>0.124</v>
      </c>
      <c r="BZ20" s="352" t="s">
        <v>1005</v>
      </c>
      <c r="CA20" s="353"/>
      <c r="CB20" s="353"/>
      <c r="CC20" s="353"/>
      <c r="CD20" s="353"/>
      <c r="CE20" s="353"/>
      <c r="CF20" s="354"/>
      <c r="CG20" s="25"/>
      <c r="CH20" s="352" t="s">
        <v>1006</v>
      </c>
      <c r="CI20" s="353"/>
      <c r="CJ20" s="353"/>
      <c r="CK20" s="353"/>
      <c r="CL20" s="353"/>
      <c r="CM20" s="353"/>
      <c r="CN20" s="354"/>
      <c r="CO20" s="25"/>
      <c r="CQ20" s="351" t="s">
        <v>1007</v>
      </c>
      <c r="CR20" s="351"/>
      <c r="CS20" s="351"/>
      <c r="CT20" s="351"/>
      <c r="CU20" s="351"/>
      <c r="CV20" s="351"/>
      <c r="CW20" s="351"/>
      <c r="CX20" s="351"/>
      <c r="CY20" s="351"/>
      <c r="CZ20" s="351"/>
      <c r="DA20" s="351"/>
    </row>
    <row r="21" spans="2:107" x14ac:dyDescent="0.3">
      <c r="B21" s="2" t="s">
        <v>636</v>
      </c>
      <c r="C21" s="33" t="s">
        <v>128</v>
      </c>
      <c r="D21" s="153">
        <v>6.34</v>
      </c>
      <c r="E21" s="153">
        <v>3.42</v>
      </c>
      <c r="F21" s="2">
        <f t="shared" si="14"/>
        <v>7.2</v>
      </c>
      <c r="G21" s="32">
        <v>2.2999999999999998</v>
      </c>
      <c r="H21" s="32">
        <v>2</v>
      </c>
      <c r="I21" s="2">
        <f t="shared" si="15"/>
        <v>3.05</v>
      </c>
      <c r="J21" s="154">
        <f>VLOOKUP(C21,基础属性系数!$B$97:$E$100,4,FALSE)*SQRT(VLOOKUP(C21,基础属性系数!$B$97:$E$100,2,FALSE)/F21)</f>
        <v>2.1800538387933845</v>
      </c>
      <c r="K21" s="155">
        <v>0</v>
      </c>
      <c r="L21" s="155">
        <v>2.25</v>
      </c>
      <c r="M21" s="155">
        <v>1.85</v>
      </c>
      <c r="N21" s="155">
        <v>1.85</v>
      </c>
      <c r="O21" s="155">
        <v>0.95</v>
      </c>
      <c r="P21" s="155">
        <v>0.95</v>
      </c>
      <c r="Q21" s="155">
        <v>0.85</v>
      </c>
      <c r="R21" s="34">
        <f>基础属性系数!$E$61*2/F21</f>
        <v>0</v>
      </c>
      <c r="S21" s="34">
        <f>(H21/基础属性系数!$C$94-H21/基础属性系数!$C$94/I21*基础属性系数!$E$61*2)/F21</f>
        <v>0.1736111111111111</v>
      </c>
      <c r="T21" s="34">
        <f>(G21/基础属性系数!$C$94-G21/基础属性系数!$C$94/I21*基础属性系数!$E$61*2)/F21*2</f>
        <v>0.39930555555555547</v>
      </c>
      <c r="U21" s="34">
        <f>(H21/基础属性系数!$C$94-H21/基础属性系数!$C$94/I21*基础属性系数!$E$61*2)/F21</f>
        <v>0.1736111111111111</v>
      </c>
      <c r="V21" s="34">
        <f>(E21/基础属性系数!$C$94-I21*E21/基础属性系数!$C$94/F21)/F21</f>
        <v>0.17111545138888887</v>
      </c>
      <c r="W21" s="34">
        <f>(D21/基础属性系数!$C$94-I21*D21/基础属性系数!$C$94/F21)/F21*2</f>
        <v>0.63442804783950613</v>
      </c>
      <c r="X21" s="34">
        <f>(E21/基础属性系数!$C$94-I21*E21/基础属性系数!$C$94/F21)/F21</f>
        <v>0.17111545138888887</v>
      </c>
      <c r="Y21" s="34">
        <f t="shared" si="0"/>
        <v>0</v>
      </c>
      <c r="Z21" s="34">
        <f t="shared" si="1"/>
        <v>0.390625</v>
      </c>
      <c r="AA21" s="34">
        <f t="shared" si="16"/>
        <v>0.73871527777777768</v>
      </c>
      <c r="AB21" s="34">
        <f t="shared" si="2"/>
        <v>0.32118055555555558</v>
      </c>
      <c r="AC21" s="34">
        <f t="shared" si="3"/>
        <v>0.16255967881944441</v>
      </c>
      <c r="AD21" s="34">
        <f t="shared" si="4"/>
        <v>0.60270664544753083</v>
      </c>
      <c r="AE21" s="34">
        <f t="shared" si="5"/>
        <v>0.14544813368055554</v>
      </c>
      <c r="AF21" s="34">
        <f t="shared" si="17"/>
        <v>2.3612352912808641</v>
      </c>
      <c r="BZ21" s="2" t="s">
        <v>71</v>
      </c>
      <c r="CA21" s="2" t="s">
        <v>1008</v>
      </c>
      <c r="CB21" s="2" t="s">
        <v>1009</v>
      </c>
      <c r="CC21" s="2" t="s">
        <v>1010</v>
      </c>
      <c r="CD21" s="2" t="s">
        <v>993</v>
      </c>
      <c r="CE21" s="2" t="s">
        <v>994</v>
      </c>
      <c r="CF21" s="2" t="s">
        <v>1010</v>
      </c>
      <c r="CG21" s="25"/>
      <c r="CH21" s="2" t="s">
        <v>71</v>
      </c>
      <c r="CI21" s="2" t="s">
        <v>1009</v>
      </c>
      <c r="CJ21" s="2" t="s">
        <v>1011</v>
      </c>
      <c r="CK21" s="2" t="s">
        <v>1010</v>
      </c>
      <c r="CL21" s="2" t="s">
        <v>994</v>
      </c>
      <c r="CM21" s="2" t="s">
        <v>1011</v>
      </c>
      <c r="CN21" s="2" t="s">
        <v>1010</v>
      </c>
      <c r="CO21" s="25"/>
      <c r="CQ21" s="2" t="s">
        <v>71</v>
      </c>
      <c r="CR21" s="2" t="s">
        <v>957</v>
      </c>
      <c r="CS21" s="2" t="s">
        <v>1012</v>
      </c>
      <c r="CT21" s="2" t="s">
        <v>1013</v>
      </c>
      <c r="CU21" s="2" t="s">
        <v>1014</v>
      </c>
      <c r="CV21" s="2" t="s">
        <v>1015</v>
      </c>
      <c r="CW21" s="2" t="s">
        <v>1016</v>
      </c>
      <c r="CX21" s="2" t="s">
        <v>1017</v>
      </c>
      <c r="CY21" s="2" t="s">
        <v>1018</v>
      </c>
      <c r="CZ21" s="2" t="s">
        <v>1019</v>
      </c>
      <c r="DA21" s="2" t="s">
        <v>1020</v>
      </c>
    </row>
    <row r="22" spans="2:107" x14ac:dyDescent="0.3">
      <c r="B22" s="2" t="s">
        <v>638</v>
      </c>
      <c r="C22" s="33" t="s">
        <v>128</v>
      </c>
      <c r="D22" s="153">
        <v>8.4700000000000006</v>
      </c>
      <c r="E22" s="153">
        <v>3.68</v>
      </c>
      <c r="F22" s="2">
        <f t="shared" si="14"/>
        <v>9.23</v>
      </c>
      <c r="G22" s="32">
        <v>2.7</v>
      </c>
      <c r="H22" s="32">
        <v>3</v>
      </c>
      <c r="I22" s="2">
        <f t="shared" si="15"/>
        <v>4.04</v>
      </c>
      <c r="J22" s="154">
        <f>VLOOKUP(C22,基础属性系数!$B$97:$E$100,4,FALSE)*SQRT(VLOOKUP(C22,基础属性系数!$B$97:$E$100,2,FALSE)/F22)</f>
        <v>1.9254516468177401</v>
      </c>
      <c r="K22" s="155">
        <v>0</v>
      </c>
      <c r="L22" s="155">
        <v>2.4</v>
      </c>
      <c r="M22" s="155">
        <v>1.8</v>
      </c>
      <c r="N22" s="155">
        <v>1.8</v>
      </c>
      <c r="O22" s="155">
        <v>0.95</v>
      </c>
      <c r="P22" s="155">
        <v>0.95</v>
      </c>
      <c r="Q22" s="155">
        <v>0.85</v>
      </c>
      <c r="R22" s="34">
        <f>基础属性系数!$E$61*2/F22</f>
        <v>0</v>
      </c>
      <c r="S22" s="34">
        <f>(H22/基础属性系数!$C$94-H22/基础属性系数!$C$94/I22*基础属性系数!$E$61*2)/F22</f>
        <v>0.20314192849404117</v>
      </c>
      <c r="T22" s="34">
        <f>(G22/基础属性系数!$C$94-G22/基础属性系数!$C$94/I22*基础属性系数!$E$61*2)/F22*2</f>
        <v>0.36565547128927411</v>
      </c>
      <c r="U22" s="34">
        <f>(H22/基础属性系数!$C$94-H22/基础属性系数!$C$94/I22*基础属性系数!$E$61*2)/F22</f>
        <v>0.20314192849404117</v>
      </c>
      <c r="V22" s="34">
        <f>(E22/基础属性系数!$C$94-I22*E22/基础属性系数!$C$94/F22)/F22</f>
        <v>0.14011731024533733</v>
      </c>
      <c r="W22" s="34">
        <f>(D22/基础属性系数!$C$94-I22*D22/基础属性系数!$C$94/F22)/F22*2</f>
        <v>0.64499653140109103</v>
      </c>
      <c r="X22" s="34">
        <f>(E22/基础属性系数!$C$94-I22*E22/基础属性系数!$C$94/F22)/F22</f>
        <v>0.14011731024533733</v>
      </c>
      <c r="Y22" s="34">
        <f t="shared" si="0"/>
        <v>0</v>
      </c>
      <c r="Z22" s="34">
        <f t="shared" si="1"/>
        <v>0.48754062838569878</v>
      </c>
      <c r="AA22" s="34">
        <f t="shared" si="16"/>
        <v>0.65817984832069343</v>
      </c>
      <c r="AB22" s="34">
        <f t="shared" si="2"/>
        <v>0.36565547128927411</v>
      </c>
      <c r="AC22" s="34">
        <f t="shared" si="3"/>
        <v>0.13311144473307046</v>
      </c>
      <c r="AD22" s="34">
        <f t="shared" si="4"/>
        <v>0.61274670483103644</v>
      </c>
      <c r="AE22" s="34">
        <f t="shared" si="5"/>
        <v>0.11909971370853673</v>
      </c>
      <c r="AF22" s="34">
        <f t="shared" si="17"/>
        <v>2.3763338112683097</v>
      </c>
      <c r="AH22" s="351" t="s">
        <v>1021</v>
      </c>
      <c r="AI22" s="351"/>
      <c r="AJ22" s="351"/>
      <c r="AK22" s="351"/>
      <c r="AZ22" s="351" t="s">
        <v>1022</v>
      </c>
      <c r="BA22" s="351"/>
      <c r="BB22" s="351"/>
      <c r="BC22" s="351"/>
      <c r="BD22" s="351"/>
      <c r="BE22" s="351"/>
      <c r="BF22" s="351"/>
      <c r="BG22" s="351"/>
      <c r="BM22" s="351" t="s">
        <v>1023</v>
      </c>
      <c r="BN22" s="351"/>
      <c r="BO22" s="351"/>
      <c r="BP22" s="351"/>
      <c r="BQ22" s="351"/>
      <c r="BR22" s="351"/>
      <c r="BS22" s="351"/>
      <c r="BT22" s="351"/>
      <c r="BU22" s="351"/>
      <c r="BV22" s="351"/>
      <c r="BW22" s="351"/>
      <c r="BX22" s="351"/>
      <c r="BZ22" s="2" t="s">
        <v>126</v>
      </c>
      <c r="CA22" s="2">
        <f t="shared" ref="CA22:CB24" si="31">CA10</f>
        <v>10.5</v>
      </c>
      <c r="CB22" s="2">
        <f t="shared" si="31"/>
        <v>10.5</v>
      </c>
      <c r="CC22" s="34">
        <f>CD10</f>
        <v>7</v>
      </c>
      <c r="CD22" s="2">
        <f t="shared" ref="CD22:CE24" si="32">CC16</f>
        <v>10.5</v>
      </c>
      <c r="CE22" s="2">
        <f t="shared" si="32"/>
        <v>10.5</v>
      </c>
      <c r="CF22" s="34">
        <f>CF16</f>
        <v>10.5</v>
      </c>
      <c r="CG22" s="132"/>
      <c r="CH22" s="2" t="s">
        <v>126</v>
      </c>
      <c r="CI22" s="2">
        <f>CB10</f>
        <v>10.5</v>
      </c>
      <c r="CJ22" s="21">
        <v>0.5</v>
      </c>
      <c r="CK22" s="34">
        <f>CI22/CJ22</f>
        <v>21</v>
      </c>
      <c r="CL22" s="2">
        <f>CD16</f>
        <v>10.5</v>
      </c>
      <c r="CM22" s="21">
        <v>0.3</v>
      </c>
      <c r="CN22" s="34">
        <f>CL22/CM22</f>
        <v>35</v>
      </c>
      <c r="CO22" s="132"/>
      <c r="CQ22" s="2" t="s">
        <v>126</v>
      </c>
      <c r="CR22" s="21">
        <v>30</v>
      </c>
      <c r="CS22" s="34">
        <f>MIN(IF(($CC$4+SQRT($CC$4^2+4*PI()*$CR22/360*($CT4^2/360*PI()*$CR22+$CY4*$AK$4/2-$CC$4*$CT4)))/2/PI()/$CR22*360&gt;$CT4,($CC$4+SQRT($CC$4^2+4*PI()*$CR22/360*($CT4^2/360*PI()*$CR22+$CY4*$AK$4/2-$CC$4*$CT4)))/2/PI()/$CR22*360,$CW4),IF(($CC$4-SQRT($CC$4^2+4*PI()*$CR22/360*($CT4^2/360*PI()*$CR22+$CY4*$AK$4/2-$CC$4*$CT4)))/2/PI()/$CR22*360&gt;$CT4,($CC$4-SQRT($CC$4^2+4*PI()*$CR22/360*($CT4^2/360*PI()*$CR22+$CY4*$AK$4/2-$CC$4*$CT4)))/2/PI()/$CR22*360,$CW4))</f>
        <v>58.919159932619657</v>
      </c>
      <c r="CT22" s="34">
        <f>MIN(IF(($CC$5+SQRT($CC$5^2+4*PI()*$CR22/360*($CT4^2/360*PI()*$CR22+$CY4*$AK$5/2-$CC$5*$CT4)))/2/PI()/$CR22*360&gt;$CT4,($CC$5+SQRT($CC$5^2+4*PI()*$CR22/360*($CT4^2/360*PI()*$CR22+$CY4*$AK$5/2-$CC$5*$CT4)))/2/PI()/$CR22*360,$CW4),IF(($CC$5-SQRT($CC$5^2+4*PI()*$CR22/360*($CT4^2/360*PI()*$CR22+$CY4*$AK$5/2-$CC$5*$CT4)))/2/PI()/$CR22*360&gt;$CT4,($CC$5-SQRT($CC$5^2+4*PI()*$CR22/360*($CT4^2/360*PI()*$CR22+$CY4*$AK$5/2-$CC$5*$CT4)))/2/PI()/$CR22*360,$CW4))</f>
        <v>58.537497294400232</v>
      </c>
      <c r="CU22" s="34">
        <f>MIN(IF(($CC$6+SQRT($CC$6^2+4*PI()*$CR22/360*($CT4^2/360*PI()*$CR22+$CY4*$AK$6/2-$CC$6*$CT4)))/2/PI()/$CR22*360&gt;$CT4,($CC$6+SQRT($CC$6^2+4*PI()*$CR22/360*($CT4^2/360*PI()*$CR22+$CY4*$AK$6/2-$CC$6*$CT4)))/2/PI()/$CR22*360,$CW4),IF(($CC$6-SQRT($CC$6^2+4*PI()*$CR22/360*($CT4^2/360*PI()*$CR22+$CY4*$AK$6/2-$CC$6*$CT4)))/2/PI()/$CR22*360&gt;$CT4,($CC$6-SQRT($CC$6^2+4*PI()*$CR22/360*($CT4^2/360*PI()*$CR22+$CY4*$AK$6/2-$CC$6*$CT4)))/2/PI()/$CR22*360,$CW4))</f>
        <v>54.384441429109678</v>
      </c>
      <c r="CV22" s="34">
        <f t="shared" ref="CV22:CX24" si="33">IF(45/AVERAGE($CT4,$CW4)+$CS28&gt;$CX4,$CW4,1)</f>
        <v>58.919159932619657</v>
      </c>
      <c r="CW22" s="34">
        <f t="shared" si="33"/>
        <v>58.919159932619657</v>
      </c>
      <c r="CX22" s="34">
        <f t="shared" si="33"/>
        <v>58.919159932619657</v>
      </c>
      <c r="CY22" s="34">
        <f t="shared" ref="CY22:DA24" si="34">IF(90/AVERAGE($CT4,$CW4)+$CS28&gt;$CX4,$CW4,1)</f>
        <v>58.919159932619657</v>
      </c>
      <c r="CZ22" s="34">
        <f t="shared" si="34"/>
        <v>58.919159932619657</v>
      </c>
      <c r="DA22" s="34">
        <f t="shared" si="34"/>
        <v>58.919159932619657</v>
      </c>
    </row>
    <row r="23" spans="2:107" x14ac:dyDescent="0.3">
      <c r="B23" s="2" t="s">
        <v>640</v>
      </c>
      <c r="C23" s="33" t="s">
        <v>128</v>
      </c>
      <c r="D23" s="153">
        <v>8.49</v>
      </c>
      <c r="E23" s="153">
        <v>3.73</v>
      </c>
      <c r="F23" s="2">
        <f t="shared" si="14"/>
        <v>9.27</v>
      </c>
      <c r="G23" s="32">
        <v>4.3</v>
      </c>
      <c r="H23" s="32">
        <v>3</v>
      </c>
      <c r="I23" s="2">
        <f t="shared" si="15"/>
        <v>5.24</v>
      </c>
      <c r="J23" s="154">
        <f>VLOOKUP(C23,基础属性系数!$B$97:$E$100,4,FALSE)*SQRT(VLOOKUP(C23,基础属性系数!$B$97:$E$100,2,FALSE)/F23)</f>
        <v>1.9212929990969236</v>
      </c>
      <c r="K23" s="155">
        <v>0</v>
      </c>
      <c r="L23" s="155">
        <v>2.2000000000000002</v>
      </c>
      <c r="M23" s="155">
        <v>1.7</v>
      </c>
      <c r="N23" s="155">
        <v>1.7</v>
      </c>
      <c r="O23" s="155">
        <v>0.9</v>
      </c>
      <c r="P23" s="155">
        <v>0.9</v>
      </c>
      <c r="Q23" s="155">
        <v>0.85</v>
      </c>
      <c r="R23" s="34">
        <f>基础属性系数!$E$61*2/F23</f>
        <v>0</v>
      </c>
      <c r="S23" s="34">
        <f>(H23/基础属性系数!$C$94-H23/基础属性系数!$C$94/I23*基础属性系数!$E$61*2)/F23</f>
        <v>0.2022653721682848</v>
      </c>
      <c r="T23" s="34">
        <f>(G23/基础属性系数!$C$94-G23/基础属性系数!$C$94/I23*基础属性系数!$E$61*2)/F23*2</f>
        <v>0.57982740021574963</v>
      </c>
      <c r="U23" s="34">
        <f>(H23/基础属性系数!$C$94-H23/基础属性系数!$C$94/I23*基础属性系数!$E$61*2)/F23</f>
        <v>0.2022653721682848</v>
      </c>
      <c r="V23" s="34">
        <f>(E23/基础属性系数!$C$94-I23*E23/基础属性系数!$C$94/F23)/F23</f>
        <v>0.1093287611613247</v>
      </c>
      <c r="W23" s="34">
        <f>(D23/基础属性系数!$C$94-I23*D23/基础属性系数!$C$94/F23)/F23*2</f>
        <v>0.49769500389257193</v>
      </c>
      <c r="X23" s="34">
        <f>(E23/基础属性系数!$C$94-I23*E23/基础属性系数!$C$94/F23)/F23</f>
        <v>0.1093287611613247</v>
      </c>
      <c r="Y23" s="34">
        <f t="shared" si="0"/>
        <v>0</v>
      </c>
      <c r="Z23" s="34">
        <f t="shared" si="1"/>
        <v>0.44498381877022658</v>
      </c>
      <c r="AA23" s="34">
        <f t="shared" si="16"/>
        <v>0.98570658036677439</v>
      </c>
      <c r="AB23" s="34">
        <f t="shared" si="2"/>
        <v>0.34385113268608414</v>
      </c>
      <c r="AC23" s="34">
        <f t="shared" si="3"/>
        <v>9.8395885045192227E-2</v>
      </c>
      <c r="AD23" s="34">
        <f t="shared" si="4"/>
        <v>0.44792550350331473</v>
      </c>
      <c r="AE23" s="34">
        <f t="shared" si="5"/>
        <v>9.2929446987125991E-2</v>
      </c>
      <c r="AF23" s="34">
        <f t="shared" si="17"/>
        <v>2.413792367358718</v>
      </c>
      <c r="AH23" s="2" t="s">
        <v>71</v>
      </c>
      <c r="AI23" s="2" t="s">
        <v>1024</v>
      </c>
      <c r="AJ23" s="2" t="s">
        <v>1025</v>
      </c>
      <c r="AK23" s="2" t="s">
        <v>1026</v>
      </c>
      <c r="AZ23" s="2" t="s">
        <v>71</v>
      </c>
      <c r="BA23" s="2" t="s">
        <v>981</v>
      </c>
      <c r="BB23" s="2" t="s">
        <v>949</v>
      </c>
      <c r="BC23" s="2" t="s">
        <v>947</v>
      </c>
      <c r="BD23" s="2" t="s">
        <v>982</v>
      </c>
      <c r="BE23" s="2" t="s">
        <v>983</v>
      </c>
      <c r="BF23" s="2" t="s">
        <v>984</v>
      </c>
      <c r="BG23" s="2" t="s">
        <v>985</v>
      </c>
      <c r="BM23" s="2" t="s">
        <v>71</v>
      </c>
      <c r="BN23" s="2" t="s">
        <v>942</v>
      </c>
      <c r="BO23" s="2" t="s">
        <v>1027</v>
      </c>
      <c r="BP23" s="2" t="s">
        <v>1028</v>
      </c>
      <c r="BQ23" s="2" t="s">
        <v>1029</v>
      </c>
      <c r="BR23" s="2" t="s">
        <v>1030</v>
      </c>
      <c r="BS23" s="2" t="s">
        <v>1028</v>
      </c>
      <c r="BT23" s="2" t="s">
        <v>1029</v>
      </c>
      <c r="BU23" s="2" t="s">
        <v>1030</v>
      </c>
      <c r="BV23" s="2" t="s">
        <v>1028</v>
      </c>
      <c r="BW23" s="2" t="s">
        <v>1029</v>
      </c>
      <c r="BX23" s="2" t="s">
        <v>1030</v>
      </c>
      <c r="BZ23" s="2" t="s">
        <v>128</v>
      </c>
      <c r="CA23" s="2">
        <f t="shared" si="31"/>
        <v>8</v>
      </c>
      <c r="CB23" s="2">
        <f t="shared" si="31"/>
        <v>8</v>
      </c>
      <c r="CC23" s="34">
        <f>CD11</f>
        <v>5</v>
      </c>
      <c r="CD23" s="2">
        <f t="shared" si="32"/>
        <v>8</v>
      </c>
      <c r="CE23" s="2">
        <f t="shared" si="32"/>
        <v>8</v>
      </c>
      <c r="CF23" s="34">
        <f>CF17</f>
        <v>4</v>
      </c>
      <c r="CG23" s="132"/>
      <c r="CH23" s="2" t="s">
        <v>128</v>
      </c>
      <c r="CI23" s="2">
        <f>CB11</f>
        <v>8</v>
      </c>
      <c r="CJ23" s="21">
        <v>0.6</v>
      </c>
      <c r="CK23" s="34">
        <f>CI23/CJ23</f>
        <v>13.333333333333334</v>
      </c>
      <c r="CL23" s="2">
        <f>CD17</f>
        <v>8</v>
      </c>
      <c r="CM23" s="21">
        <v>0.35</v>
      </c>
      <c r="CN23" s="34">
        <f>CL23/CM23</f>
        <v>22.857142857142858</v>
      </c>
      <c r="CO23" s="132"/>
      <c r="CQ23" s="2" t="s">
        <v>128</v>
      </c>
      <c r="CR23" s="21">
        <v>35</v>
      </c>
      <c r="CS23" s="34">
        <f>MIN(IF(($CC$4+SQRT($CC$4^2+4*PI()*$CR23/360*($CT5^2/360*PI()*$CR23+$CY5*$AK$4/2-$CC$4*$CT5)))/2/PI()/$CR23*360&gt;$CT5,($CC$4+SQRT($CC$4^2+4*PI()*$CR23/360*($CT5^2/360*PI()*$CR23+$CY5*$AK$4/2-$CC$4*$CT5)))/2/PI()/$CR23*360,$CW5),IF(($CC$4-SQRT($CC$4^2+4*PI()*$CR23/360*($CT5^2/360*PI()*$CR23+$CY5*$AK$4/2-$CC$4*$CT5)))/2/PI()/$CR23*360&gt;$CT5,($CC$4-SQRT($CC$4^2+4*PI()*$CR23/360*($CT5^2/360*PI()*$CR23+$CY5*$AK$4/2-$CC$4*$CT5)))/2/PI()/$CR23*360,$CW5))</f>
        <v>54.500589112436487</v>
      </c>
      <c r="CT23" s="34">
        <f>MIN(IF(($CC$5+SQRT($CC$5^2+4*PI()*$CR23/360*($CT5^2/360*PI()*$CR23+$CY5*$AK$5/2-$CC$5*$CT5)))/2/PI()/$CR23*360&gt;$CT5,($CC$5+SQRT($CC$5^2+4*PI()*$CR23/360*($CT5^2/360*PI()*$CR23+$CY5*$AK$5/2-$CC$5*$CT5)))/2/PI()/$CR23*360,$CW5),IF(($CC$5-SQRT($CC$5^2+4*PI()*$CR23/360*($CT5^2/360*PI()*$CR23+$CY5*$AK$5/2-$CC$5*$CT5)))/2/PI()/$CR23*360&gt;$CT5,($CC$5-SQRT($CC$5^2+4*PI()*$CR23/360*($CT5^2/360*PI()*$CR23+$CY5*$AK$5/2-$CC$5*$CT5)))/2/PI()/$CR23*360,$CW5))</f>
        <v>50.821546222243924</v>
      </c>
      <c r="CU23" s="34">
        <f>MIN(IF(($CC$6+SQRT($CC$6^2+4*PI()*$CR23/360*($CT5^2/360*PI()*$CR23+$CY5*$AK$6/2-$CC$6*$CT5)))/2/PI()/$CR23*360&gt;$CT5,($CC$6+SQRT($CC$6^2+4*PI()*$CR23/360*($CT5^2/360*PI()*$CR23+$CY5*$AK$6/2-$CC$6*$CT5)))/2/PI()/$CR23*360,$CW5),IF(($CC$6-SQRT($CC$6^2+4*PI()*$CR23/360*($CT5^2/360*PI()*$CR23+$CY5*$AK$6/2-$CC$6*$CT5)))/2/PI()/$CR23*360&gt;$CT5,($CC$6-SQRT($CC$6^2+4*PI()*$CR23/360*($CT5^2/360*PI()*$CR23+$CY5*$AK$6/2-$CC$6*$CT5)))/2/PI()/$CR23*360,$CW5))</f>
        <v>47.454916704563956</v>
      </c>
      <c r="CV23" s="34">
        <f t="shared" si="33"/>
        <v>55.615103314031913</v>
      </c>
      <c r="CW23" s="34">
        <f t="shared" si="33"/>
        <v>55.615103314031913</v>
      </c>
      <c r="CX23" s="34">
        <f t="shared" si="33"/>
        <v>55.615103314031913</v>
      </c>
      <c r="CY23" s="34">
        <f t="shared" si="34"/>
        <v>55.615103314031913</v>
      </c>
      <c r="CZ23" s="34">
        <f t="shared" si="34"/>
        <v>55.615103314031913</v>
      </c>
      <c r="DA23" s="34">
        <f t="shared" si="34"/>
        <v>55.615103314031913</v>
      </c>
    </row>
    <row r="24" spans="2:107" x14ac:dyDescent="0.3">
      <c r="B24" s="2" t="s">
        <v>642</v>
      </c>
      <c r="C24" s="33" t="s">
        <v>130</v>
      </c>
      <c r="D24" s="153">
        <v>6.6</v>
      </c>
      <c r="E24" s="153">
        <v>3.26</v>
      </c>
      <c r="F24" s="2">
        <f t="shared" si="14"/>
        <v>7.36</v>
      </c>
      <c r="G24" s="32">
        <v>2.4</v>
      </c>
      <c r="H24" s="32">
        <v>1.8</v>
      </c>
      <c r="I24" s="2">
        <f t="shared" si="15"/>
        <v>3</v>
      </c>
      <c r="J24" s="154">
        <f>VLOOKUP(C24,基础属性系数!$B$97:$E$100,4,FALSE)*SQRT(VLOOKUP(C24,基础属性系数!$B$97:$E$100,2,FALSE)/F24)</f>
        <v>2.2872247133846213</v>
      </c>
      <c r="K24" s="155">
        <v>0</v>
      </c>
      <c r="L24" s="155">
        <v>2.5499999999999998</v>
      </c>
      <c r="M24" s="155">
        <v>2.0499999999999998</v>
      </c>
      <c r="N24" s="155">
        <v>2.0499999999999998</v>
      </c>
      <c r="O24" s="155">
        <v>0.9</v>
      </c>
      <c r="P24" s="155">
        <v>0.9</v>
      </c>
      <c r="Q24" s="155">
        <v>0.85</v>
      </c>
      <c r="R24" s="34">
        <f>基础属性系数!$E$61*2/F24</f>
        <v>0</v>
      </c>
      <c r="S24" s="34">
        <f>(H24/基础属性系数!$C$94-H24/基础属性系数!$C$94/I24*基础属性系数!$E$61*2)/F24</f>
        <v>0.15285326086956522</v>
      </c>
      <c r="T24" s="34">
        <f>(G24/基础属性系数!$C$94-G24/基础属性系数!$C$94/I24*基础属性系数!$E$61*2)/F24*2</f>
        <v>0.40760869565217384</v>
      </c>
      <c r="U24" s="34">
        <f>(H24/基础属性系数!$C$94-H24/基础属性系数!$C$94/I24*基础属性系数!$E$61*2)/F24</f>
        <v>0.15285326086956522</v>
      </c>
      <c r="V24" s="34">
        <f>(E24/基础属性系数!$C$94-I24*E24/基础属性系数!$C$94/F24)/F24</f>
        <v>0.16399419600661622</v>
      </c>
      <c r="W24" s="34">
        <f>(D24/基础属性系数!$C$94-I24*D24/基础属性系数!$C$94/F24)/F24*2</f>
        <v>0.66402557892249514</v>
      </c>
      <c r="X24" s="34">
        <f>(E24/基础属性系数!$C$94-I24*E24/基础属性系数!$C$94/F24)/F24</f>
        <v>0.16399419600661622</v>
      </c>
      <c r="Y24" s="34">
        <f t="shared" si="0"/>
        <v>0</v>
      </c>
      <c r="Z24" s="34">
        <f t="shared" si="1"/>
        <v>0.3897758152173913</v>
      </c>
      <c r="AA24" s="34">
        <f t="shared" si="16"/>
        <v>0.83559782608695632</v>
      </c>
      <c r="AB24" s="34">
        <f t="shared" si="2"/>
        <v>0.31334918478260865</v>
      </c>
      <c r="AC24" s="34">
        <f t="shared" si="3"/>
        <v>0.14759477640595459</v>
      </c>
      <c r="AD24" s="34">
        <f t="shared" si="4"/>
        <v>0.59762302103024567</v>
      </c>
      <c r="AE24" s="34">
        <f t="shared" si="5"/>
        <v>0.13939506660562379</v>
      </c>
      <c r="AF24" s="34">
        <f t="shared" si="17"/>
        <v>2.4233356901287801</v>
      </c>
      <c r="AH24" s="2" t="s">
        <v>126</v>
      </c>
      <c r="AI24" s="156">
        <f>TAN(RADIANS(AK16))*AI10*2/$AK$4</f>
        <v>0.26478591686179787</v>
      </c>
      <c r="AJ24" s="156">
        <f>TAN(RADIANS(AK16))*AI10*2/$AK$5</f>
        <v>0.22441333887874901</v>
      </c>
      <c r="AK24" s="156">
        <f>TAN(RADIANS(AK16))*AI10*2/$AK$6</f>
        <v>0.21696269681770156</v>
      </c>
      <c r="AZ24" s="2" t="s">
        <v>77</v>
      </c>
      <c r="BA24" s="34">
        <f>BD4</f>
        <v>0.44999999999999996</v>
      </c>
      <c r="BB24" s="34">
        <f t="shared" ref="BB24:BB30" si="35">BA24/$AW$8</f>
        <v>0.375</v>
      </c>
      <c r="BC24" s="156">
        <f>$AI$25</f>
        <v>0.30127565677255386</v>
      </c>
      <c r="BD24" s="154">
        <f>TAN(RADIANS(BA24+$AK$17))*$AI$11*2/$AK$4</f>
        <v>0.49226708228459082</v>
      </c>
      <c r="BE24" s="154">
        <f>TAN(RADIANS(BA24*2+$AK$17))*$AI$11*2/$AK$4</f>
        <v>0.68331926621379646</v>
      </c>
      <c r="BF24" s="154">
        <f>TAN(RADIANS(BA24*3+$AK$17))*$AI$11*2/$AK$4</f>
        <v>0.87445582135131517</v>
      </c>
      <c r="BG24" s="34">
        <f t="shared" ref="BG24:BG30" si="36">(1-BC24)/(BF24-BC24)*BA24*3</f>
        <v>1.6456917417061723</v>
      </c>
      <c r="BM24" s="2" t="s">
        <v>77</v>
      </c>
      <c r="BN24" s="2">
        <f>VLOOKUP(LEFT(BM24,2),$AH$15:$AK$18,4,FALSE)</f>
        <v>0.78</v>
      </c>
      <c r="BO24" s="2">
        <f t="shared" ref="BO24:BO30" si="37">BN24+BR4+BR14</f>
        <v>2.4960000000000004</v>
      </c>
      <c r="BP24" s="150">
        <f t="shared" ref="BP24:BP30" si="38">TAN(RADIANS(BO24))*$AI$10*2/$AK$4</f>
        <v>0.84779896664277588</v>
      </c>
      <c r="BQ24" s="150">
        <f>TAN(RADIANS(BO24))*$AI$10*2/$AK$5</f>
        <v>0.71853291541015474</v>
      </c>
      <c r="BR24" s="150">
        <f>TAN(RADIANS(BO24))*$AI$10*2/$AK$6</f>
        <v>0.69467724092774596</v>
      </c>
      <c r="BS24" s="34">
        <f>TAN(RADIANS(BO24))*$AI$11*2/$AK$4</f>
        <v>1.05974870830347</v>
      </c>
      <c r="BT24" s="34">
        <f>TAN(RADIANS(BO24))*$AI$11*2/$AK$5</f>
        <v>0.89816614426269359</v>
      </c>
      <c r="BU24" s="34">
        <f>TAN(RADIANS(BO24))*$AI$11*2/$AK$6</f>
        <v>0.86834655115968251</v>
      </c>
      <c r="BV24" s="34">
        <f>TAN(RADIANS(BO24))*$AI$12*2/$AK$4</f>
        <v>1.2716984499641639</v>
      </c>
      <c r="BW24" s="34">
        <f>TAN(RADIANS(BO24))*$AI$12*2/$AK$5</f>
        <v>1.0777993731152322</v>
      </c>
      <c r="BX24" s="34">
        <f t="shared" ref="BX24:BX30" si="39">TAN(RADIANS(BO24))*$AI$12*2/$AK$6</f>
        <v>1.0420158613916191</v>
      </c>
      <c r="BZ24" s="2" t="s">
        <v>130</v>
      </c>
      <c r="CA24" s="2">
        <f t="shared" si="31"/>
        <v>7</v>
      </c>
      <c r="CB24" s="2">
        <f t="shared" si="31"/>
        <v>7</v>
      </c>
      <c r="CC24" s="34">
        <f>CD12</f>
        <v>3.8888888888888888</v>
      </c>
      <c r="CD24" s="2">
        <f t="shared" si="32"/>
        <v>7</v>
      </c>
      <c r="CE24" s="2">
        <f t="shared" si="32"/>
        <v>7</v>
      </c>
      <c r="CF24" s="34">
        <f>CF18</f>
        <v>2</v>
      </c>
      <c r="CG24" s="132"/>
      <c r="CH24" s="2" t="s">
        <v>130</v>
      </c>
      <c r="CI24" s="2">
        <f>CB12</f>
        <v>7</v>
      </c>
      <c r="CJ24" s="21">
        <v>0.65</v>
      </c>
      <c r="CK24" s="34">
        <f>CI24/CJ24</f>
        <v>10.769230769230768</v>
      </c>
      <c r="CL24" s="2">
        <f>CD18</f>
        <v>7</v>
      </c>
      <c r="CM24" s="21">
        <v>0.4</v>
      </c>
      <c r="CN24" s="34">
        <f>CL24/CM24</f>
        <v>17.5</v>
      </c>
      <c r="CO24" s="132"/>
      <c r="CQ24" s="2" t="s">
        <v>130</v>
      </c>
      <c r="CR24" s="21">
        <v>40</v>
      </c>
      <c r="CS24" s="34">
        <f>MIN(IF(($CC$4+SQRT($CC$4^2+4*PI()*$CR24/360*($CT6^2/360*PI()*$CR24+$CY6*$AK$4/2-$CC$4*$CT6)))/2/PI()/$CR24*360&gt;$CT6,($CC$4+SQRT($CC$4^2+4*PI()*$CR24/360*($CT6^2/360*PI()*$CR24+$CY6*$AK$4/2-$CC$4*$CT6)))/2/PI()/$CR24*360,$CW6),IF(($CC$4-SQRT($CC$4^2+4*PI()*$CR24/360*($CT6^2/360*PI()*$CR24+$CY6*$AK$4/2-$CC$4*$CT6)))/2/PI()/$CR24*360&gt;$CT6,($CC$4-SQRT($CC$4^2+4*PI()*$CR24/360*($CT6^2/360*PI()*$CR24+$CY6*$AK$4/2-$CC$4*$CT6)))/2/PI()/$CR24*360,$CW6))</f>
        <v>47.643193926513746</v>
      </c>
      <c r="CT24" s="34">
        <f>MIN(IF(($CC$5+SQRT($CC$5^2+4*PI()*$CR24/360*($CT6^2/360*PI()*$CR24+$CY6*$AK$5/2-$CC$5*$CT6)))/2/PI()/$CR24*360&gt;$CT6,($CC$5+SQRT($CC$5^2+4*PI()*$CR24/360*($CT6^2/360*PI()*$CR24+$CY6*$AK$5/2-$CC$5*$CT6)))/2/PI()/$CR24*360,$CW6),IF(($CC$5-SQRT($CC$5^2+4*PI()*$CR24/360*($CT6^2/360*PI()*$CR24+$CY6*$AK$5/2-$CC$5*$CT6)))/2/PI()/$CR24*360&gt;$CT6,($CC$5-SQRT($CC$5^2+4*PI()*$CR24/360*($CT6^2/360*PI()*$CR24+$CY6*$AK$5/2-$CC$5*$CT6)))/2/PI()/$CR24*360,$CW6))</f>
        <v>44.374435006539542</v>
      </c>
      <c r="CU24" s="34">
        <f>MIN(IF(($CC$6+SQRT($CC$6^2+4*PI()*$CR24/360*($CT6^2/360*PI()*$CR24+$CY6*$AK$6/2-$CC$6*$CT6)))/2/PI()/$CR24*360&gt;$CT6,($CC$6+SQRT($CC$6^2+4*PI()*$CR24/360*($CT6^2/360*PI()*$CR24+$CY6*$AK$6/2-$CC$6*$CT6)))/2/PI()/$CR24*360,$CW6),IF(($CC$6-SQRT($CC$6^2+4*PI()*$CR24/360*($CT6^2/360*PI()*$CR24+$CY6*$AK$6/2-$CC$6*$CT6)))/2/PI()/$CR24*360&gt;$CT6,($CC$6-SQRT($CC$6^2+4*PI()*$CR24/360*($CT6^2/360*PI()*$CR24+$CY6*$AK$6/2-$CC$6*$CT6)))/2/PI()/$CR24*360,$CW6))</f>
        <v>41.40180926996203</v>
      </c>
      <c r="CV24" s="34">
        <f t="shared" si="33"/>
        <v>47.93746885927888</v>
      </c>
      <c r="CW24" s="34">
        <f t="shared" si="33"/>
        <v>47.93746885927888</v>
      </c>
      <c r="CX24" s="34">
        <f t="shared" si="33"/>
        <v>47.93746885927888</v>
      </c>
      <c r="CY24" s="34">
        <f t="shared" si="34"/>
        <v>47.93746885927888</v>
      </c>
      <c r="CZ24" s="34">
        <f t="shared" si="34"/>
        <v>47.93746885927888</v>
      </c>
      <c r="DA24" s="34">
        <f t="shared" si="34"/>
        <v>47.93746885927888</v>
      </c>
    </row>
    <row r="25" spans="2:107" x14ac:dyDescent="0.3">
      <c r="B25" s="2" t="s">
        <v>644</v>
      </c>
      <c r="C25" s="33" t="s">
        <v>130</v>
      </c>
      <c r="D25" s="153">
        <v>6.44</v>
      </c>
      <c r="E25" s="153">
        <v>2.5099999999999998</v>
      </c>
      <c r="F25" s="2">
        <f t="shared" si="14"/>
        <v>6.91</v>
      </c>
      <c r="G25" s="32">
        <v>1.2</v>
      </c>
      <c r="H25" s="32">
        <v>1.2</v>
      </c>
      <c r="I25" s="2">
        <f t="shared" si="15"/>
        <v>1.7</v>
      </c>
      <c r="J25" s="154">
        <f>VLOOKUP(C25,基础属性系数!$B$97:$E$100,4,FALSE)*SQRT(VLOOKUP(C25,基础属性系数!$B$97:$E$100,2,FALSE)/F25)</f>
        <v>2.3605256198882358</v>
      </c>
      <c r="K25" s="155">
        <v>0</v>
      </c>
      <c r="L25" s="155">
        <v>2.5499999999999998</v>
      </c>
      <c r="M25" s="155">
        <v>2.35</v>
      </c>
      <c r="N25" s="155">
        <v>2.35</v>
      </c>
      <c r="O25" s="155">
        <v>0.9</v>
      </c>
      <c r="P25" s="155">
        <v>0.9</v>
      </c>
      <c r="Q25" s="155">
        <v>0.85</v>
      </c>
      <c r="R25" s="34">
        <f>基础属性系数!$E$61*2/F25</f>
        <v>0</v>
      </c>
      <c r="S25" s="34">
        <f>(H25/基础属性系数!$C$94-H25/基础属性系数!$C$94/I25*基础属性系数!$E$61*2)/F25</f>
        <v>0.10853835021707668</v>
      </c>
      <c r="T25" s="34">
        <f>(G25/基础属性系数!$C$94-G25/基础属性系数!$C$94/I25*基础属性系数!$E$61*2)/F25*2</f>
        <v>0.21707670043415336</v>
      </c>
      <c r="U25" s="34">
        <f>(H25/基础属性系数!$C$94-H25/基础属性系数!$C$94/I25*基础属性系数!$E$61*2)/F25</f>
        <v>0.10853835021707668</v>
      </c>
      <c r="V25" s="34">
        <f>(E25/基础属性系数!$C$94-I25*E25/基础属性系数!$C$94/F25)/F25</f>
        <v>0.17117304144039239</v>
      </c>
      <c r="W25" s="34">
        <f>(D25/基础属性系数!$C$94-I25*D25/基础属性系数!$C$94/F25)/F25*2</f>
        <v>0.87837002938336817</v>
      </c>
      <c r="X25" s="34">
        <f>(E25/基础属性系数!$C$94-I25*E25/基础属性系数!$C$94/F25)/F25</f>
        <v>0.17117304144039239</v>
      </c>
      <c r="Y25" s="34">
        <f t="shared" si="0"/>
        <v>0</v>
      </c>
      <c r="Z25" s="34">
        <f t="shared" si="1"/>
        <v>0.27677279305354552</v>
      </c>
      <c r="AA25" s="34">
        <f t="shared" si="16"/>
        <v>0.51013024602026047</v>
      </c>
      <c r="AB25" s="34">
        <f t="shared" si="2"/>
        <v>0.25506512301013023</v>
      </c>
      <c r="AC25" s="34">
        <f t="shared" si="3"/>
        <v>0.15405573729635316</v>
      </c>
      <c r="AD25" s="34">
        <f t="shared" si="4"/>
        <v>0.79053302644503132</v>
      </c>
      <c r="AE25" s="34">
        <f t="shared" si="5"/>
        <v>0.14549708522433352</v>
      </c>
      <c r="AF25" s="34">
        <f t="shared" si="17"/>
        <v>2.1320540110496542</v>
      </c>
      <c r="AH25" s="2" t="s">
        <v>128</v>
      </c>
      <c r="AI25" s="156">
        <f>TAN(RADIANS(AK17))*AI11*2/$AK$4</f>
        <v>0.30127565677255386</v>
      </c>
      <c r="AJ25" s="156">
        <f>TAN(RADIANS(AK17))*AI11*2/$AK$5</f>
        <v>0.25533939591849686</v>
      </c>
      <c r="AK25" s="156">
        <f>TAN(RADIANS(AK17))*AI11*2/$AK$6</f>
        <v>0.24686199233554543</v>
      </c>
      <c r="AZ25" s="2" t="s">
        <v>78</v>
      </c>
      <c r="BA25" s="34">
        <f t="shared" ref="BA25:BA30" si="40">BD5</f>
        <v>0.36</v>
      </c>
      <c r="BB25" s="34">
        <f t="shared" si="35"/>
        <v>0.3</v>
      </c>
      <c r="BC25" s="156">
        <f>$AI$25</f>
        <v>0.30127565677255386</v>
      </c>
      <c r="BD25" s="154">
        <f>TAN(RADIANS(BA25+$AK$17))*$AI$11*2/$AK$4</f>
        <v>0.45406469151611661</v>
      </c>
      <c r="BE25" s="154">
        <f>TAN(RADIANS(BA25*2+$AK$17))*$AI$11*2/$AK$4</f>
        <v>0.60688959122147423</v>
      </c>
      <c r="BF25" s="154">
        <f>TAN(RADIANS(BA25*3+$AK$17))*$AI$11*2/$AK$4</f>
        <v>0.75976244013257865</v>
      </c>
      <c r="BG25" s="34">
        <f t="shared" si="36"/>
        <v>1.6458975876150346</v>
      </c>
      <c r="BM25" s="2" t="s">
        <v>78</v>
      </c>
      <c r="BN25" s="2">
        <f t="shared" ref="BN25:BN30" si="41">VLOOKUP(LEFT(BM25,2),$AH$15:$AK$18,4,FALSE)</f>
        <v>0.78</v>
      </c>
      <c r="BO25" s="2">
        <f t="shared" si="37"/>
        <v>1.95</v>
      </c>
      <c r="BP25" s="150">
        <f t="shared" si="38"/>
        <v>0.66217958683072597</v>
      </c>
      <c r="BQ25" s="150">
        <f t="shared" ref="BQ25:BQ30" si="42">TAN(RADIANS(BO25))*$AI$10*2/$AK$5</f>
        <v>0.56121539158593114</v>
      </c>
      <c r="BR25" s="150">
        <f t="shared" ref="BR25:BR30" si="43">TAN(RADIANS(BO25))*$AI$10*2/$AK$6</f>
        <v>0.54258274246289229</v>
      </c>
      <c r="BS25" s="34">
        <f t="shared" ref="BS25:BS30" si="44">TAN(RADIANS(BO25))*$AI$11*2/$AK$4</f>
        <v>0.82772448353840744</v>
      </c>
      <c r="BT25" s="34">
        <f t="shared" ref="BT25:BT30" si="45">TAN(RADIANS(BO25))*$AI$11*2/$AK$5</f>
        <v>0.70151923948241401</v>
      </c>
      <c r="BU25" s="34">
        <f t="shared" ref="BU25:BU30" si="46">TAN(RADIANS(BO25))*$AI$11*2/$AK$6</f>
        <v>0.67822842807861539</v>
      </c>
      <c r="BV25" s="34">
        <f t="shared" ref="BV25:BV30" si="47">TAN(RADIANS(BO25))*$AI$12*2/$AK$4</f>
        <v>0.99326938024608902</v>
      </c>
      <c r="BW25" s="34">
        <f t="shared" ref="BW25:BW30" si="48">TAN(RADIANS(BO25))*$AI$12*2/$AK$5</f>
        <v>0.84182308737889677</v>
      </c>
      <c r="BX25" s="34">
        <f t="shared" si="39"/>
        <v>0.81387411369433849</v>
      </c>
    </row>
    <row r="26" spans="2:107" x14ac:dyDescent="0.3">
      <c r="B26" s="2" t="s">
        <v>646</v>
      </c>
      <c r="C26" s="33" t="s">
        <v>130</v>
      </c>
      <c r="D26" s="153">
        <v>7.18</v>
      </c>
      <c r="E26" s="153">
        <v>3.28</v>
      </c>
      <c r="F26" s="2">
        <f t="shared" si="14"/>
        <v>7.89</v>
      </c>
      <c r="G26" s="32">
        <v>2.5</v>
      </c>
      <c r="H26" s="32">
        <v>1.5</v>
      </c>
      <c r="I26" s="2">
        <f t="shared" si="15"/>
        <v>2.92</v>
      </c>
      <c r="J26" s="154">
        <f>VLOOKUP(C26,基础属性系数!$B$97:$E$100,4,FALSE)*SQRT(VLOOKUP(C26,基础属性系数!$B$97:$E$100,2,FALSE)/F26)</f>
        <v>2.2090687927630084</v>
      </c>
      <c r="K26" s="155">
        <v>0</v>
      </c>
      <c r="L26" s="155">
        <v>2.5</v>
      </c>
      <c r="M26" s="155">
        <v>2.15</v>
      </c>
      <c r="N26" s="155">
        <v>2.15</v>
      </c>
      <c r="O26" s="155">
        <v>0.9</v>
      </c>
      <c r="P26" s="155">
        <v>0.9</v>
      </c>
      <c r="Q26" s="155">
        <v>0.85</v>
      </c>
      <c r="R26" s="34">
        <f>基础属性系数!$E$61*2/F26</f>
        <v>0</v>
      </c>
      <c r="S26" s="34">
        <f>(H26/基础属性系数!$C$94-H26/基础属性系数!$C$94/I26*基础属性系数!$E$61*2)/F26</f>
        <v>0.1188212927756654</v>
      </c>
      <c r="T26" s="34">
        <f>(G26/基础属性系数!$C$94-G26/基础属性系数!$C$94/I26*基础属性系数!$E$61*2)/F26*2</f>
        <v>0.39607097591888468</v>
      </c>
      <c r="U26" s="34">
        <f>(H26/基础属性系数!$C$94-H26/基础属性系数!$C$94/I26*基础属性系数!$E$61*2)/F26</f>
        <v>0.1188212927756654</v>
      </c>
      <c r="V26" s="34">
        <f>(E26/基础属性系数!$C$94-I26*E26/基础属性系数!$C$94/F26)/F26</f>
        <v>0.16366516149655996</v>
      </c>
      <c r="W26" s="34">
        <f>(D26/基础属性系数!$C$94-I26*D26/基础属性系数!$C$94/F26)/F26*2</f>
        <v>0.71653406069835401</v>
      </c>
      <c r="X26" s="34">
        <f>(E26/基础属性系数!$C$94-I26*E26/基础属性系数!$C$94/F26)/F26</f>
        <v>0.16366516149655996</v>
      </c>
      <c r="Y26" s="34">
        <f t="shared" si="0"/>
        <v>0</v>
      </c>
      <c r="Z26" s="34">
        <f t="shared" si="1"/>
        <v>0.2970532319391635</v>
      </c>
      <c r="AA26" s="34">
        <f t="shared" si="16"/>
        <v>0.85155259822560203</v>
      </c>
      <c r="AB26" s="34">
        <f t="shared" si="2"/>
        <v>0.25546577946768062</v>
      </c>
      <c r="AC26" s="34">
        <f t="shared" si="3"/>
        <v>0.14729864534690398</v>
      </c>
      <c r="AD26" s="34">
        <f t="shared" si="4"/>
        <v>0.64488065462851862</v>
      </c>
      <c r="AE26" s="34">
        <f t="shared" si="5"/>
        <v>0.13911538727207595</v>
      </c>
      <c r="AF26" s="34">
        <f t="shared" si="17"/>
        <v>2.3353662968799451</v>
      </c>
      <c r="AH26" s="2" t="s">
        <v>130</v>
      </c>
      <c r="AI26" s="156">
        <f>TAN(RADIANS(AK18))*AI12*2/$AK$4</f>
        <v>0.31569910439798515</v>
      </c>
      <c r="AJ26" s="156">
        <f>TAN(RADIANS(AK18))*AI12*2/$AK$5</f>
        <v>0.26756366402961101</v>
      </c>
      <c r="AK26" s="156">
        <f>TAN(RADIANS(AK18))*AI12*2/$AK$6</f>
        <v>0.25868040825173549</v>
      </c>
      <c r="AZ26" s="2" t="s">
        <v>79</v>
      </c>
      <c r="BA26" s="34">
        <f t="shared" si="40"/>
        <v>1.3499999999999999</v>
      </c>
      <c r="BB26" s="34">
        <f t="shared" si="35"/>
        <v>1.125</v>
      </c>
      <c r="BC26" s="156">
        <f>$AI$25</f>
        <v>0.30127565677255386</v>
      </c>
      <c r="BD26" s="154">
        <f>TAN(RADIANS(BA26+$AK$17))*$AI$11*2/$AK$4</f>
        <v>0.87445582135131517</v>
      </c>
      <c r="BE26" s="154">
        <f>TAN(RADIANS(BA26*2+$AK$17))*$AI$11*2/$AK$4</f>
        <v>1.4486085377103002</v>
      </c>
      <c r="BF26" s="154">
        <f>TAN(RADIANS(BA26*3+$AK$17))*$AI$11*2/$AK$4</f>
        <v>2.0243759998383606</v>
      </c>
      <c r="BG26" s="34">
        <f t="shared" si="36"/>
        <v>1.6422918151337649</v>
      </c>
      <c r="BM26" s="2" t="s">
        <v>79</v>
      </c>
      <c r="BN26" s="2">
        <f t="shared" si="41"/>
        <v>0.78</v>
      </c>
      <c r="BO26" s="2">
        <f t="shared" si="37"/>
        <v>3.9</v>
      </c>
      <c r="BP26" s="150">
        <f t="shared" si="38"/>
        <v>1.3258961561682263</v>
      </c>
      <c r="BQ26" s="150">
        <f t="shared" si="42"/>
        <v>1.1237334180711478</v>
      </c>
      <c r="BR26" s="150">
        <f t="shared" si="43"/>
        <v>1.0864248716544431</v>
      </c>
      <c r="BS26" s="34">
        <f t="shared" si="44"/>
        <v>1.6573701952102828</v>
      </c>
      <c r="BT26" s="34">
        <f t="shared" si="45"/>
        <v>1.4046667725889348</v>
      </c>
      <c r="BU26" s="34">
        <f t="shared" si="46"/>
        <v>1.3580310895680539</v>
      </c>
      <c r="BV26" s="34">
        <f t="shared" si="47"/>
        <v>1.9888442342523396</v>
      </c>
      <c r="BW26" s="34">
        <f t="shared" si="48"/>
        <v>1.6856001271067218</v>
      </c>
      <c r="BX26" s="34">
        <f t="shared" si="39"/>
        <v>1.6296373074816646</v>
      </c>
      <c r="BZ26" s="352" t="s">
        <v>1031</v>
      </c>
      <c r="CA26" s="353"/>
      <c r="CB26" s="353"/>
      <c r="CC26" s="353"/>
      <c r="CD26" s="353"/>
      <c r="CE26" s="353"/>
      <c r="CF26" s="354"/>
      <c r="CG26" s="25"/>
      <c r="CH26" s="25"/>
      <c r="CI26" s="25"/>
      <c r="CJ26" s="25"/>
      <c r="CK26" s="25"/>
      <c r="CL26" s="25"/>
      <c r="CM26" s="25"/>
      <c r="CN26" s="25"/>
      <c r="CO26" s="25"/>
      <c r="CQ26" s="351" t="s">
        <v>1032</v>
      </c>
      <c r="CR26" s="351"/>
      <c r="CS26" s="351"/>
      <c r="CT26" s="351"/>
      <c r="CU26" s="351"/>
      <c r="CV26" s="351"/>
      <c r="CW26" s="351"/>
      <c r="CX26" s="351"/>
      <c r="CY26" s="351"/>
      <c r="CZ26" s="351"/>
      <c r="DA26" s="351"/>
    </row>
    <row r="27" spans="2:107" x14ac:dyDescent="0.3">
      <c r="B27" s="2" t="s">
        <v>529</v>
      </c>
      <c r="C27" s="33" t="s">
        <v>130</v>
      </c>
      <c r="D27" s="153">
        <v>6.86</v>
      </c>
      <c r="E27" s="153">
        <v>3.3</v>
      </c>
      <c r="F27" s="2">
        <f t="shared" si="14"/>
        <v>7.61</v>
      </c>
      <c r="G27" s="32">
        <v>2.5</v>
      </c>
      <c r="H27" s="32">
        <v>1.7</v>
      </c>
      <c r="I27" s="2">
        <f t="shared" si="15"/>
        <v>3.02</v>
      </c>
      <c r="J27" s="154">
        <f>VLOOKUP(C27,基础属性系数!$B$97:$E$100,4,FALSE)*SQRT(VLOOKUP(C27,基础属性系数!$B$97:$E$100,2,FALSE)/F27)</f>
        <v>2.2493415917039421</v>
      </c>
      <c r="K27" s="155">
        <v>0</v>
      </c>
      <c r="L27" s="155">
        <v>2.65</v>
      </c>
      <c r="M27" s="155">
        <v>2.1</v>
      </c>
      <c r="N27" s="155">
        <v>2.1</v>
      </c>
      <c r="O27" s="155">
        <v>0.9</v>
      </c>
      <c r="P27" s="155">
        <v>0.9</v>
      </c>
      <c r="Q27" s="155">
        <v>0.85</v>
      </c>
      <c r="R27" s="34">
        <f>基础属性系数!$E$61*2/F27</f>
        <v>0</v>
      </c>
      <c r="S27" s="34">
        <f>(H27/基础属性系数!$C$94-H27/基础属性系数!$C$94/I27*基础属性系数!$E$61*2)/F27</f>
        <v>0.13961892247043364</v>
      </c>
      <c r="T27" s="34">
        <f>(G27/基础属性系数!$C$94-G27/基础属性系数!$C$94/I27*基础属性系数!$E$61*2)/F27*2</f>
        <v>0.41064388961892245</v>
      </c>
      <c r="U27" s="34">
        <f>(H27/基础属性系数!$C$94-H27/基础属性系数!$C$94/I27*基础属性系数!$E$61*2)/F27</f>
        <v>0.13961892247043364</v>
      </c>
      <c r="V27" s="34">
        <f>(E27/基础属性系数!$C$94-I27*E27/基础属性系数!$C$94/F27)/F27</f>
        <v>0.16346972394370082</v>
      </c>
      <c r="W27" s="34">
        <f>(D27/基础属性系数!$C$94-I27*D27/基础属性系数!$C$94/F27)/F27*2</f>
        <v>0.67963776136593201</v>
      </c>
      <c r="X27" s="34">
        <f>(E27/基础属性系数!$C$94-I27*E27/基础属性系数!$C$94/F27)/F27</f>
        <v>0.16346972394370082</v>
      </c>
      <c r="Y27" s="34">
        <f t="shared" si="0"/>
        <v>0</v>
      </c>
      <c r="Z27" s="34">
        <f t="shared" si="1"/>
        <v>0.36999014454664914</v>
      </c>
      <c r="AA27" s="34">
        <f t="shared" si="16"/>
        <v>0.86235216819973715</v>
      </c>
      <c r="AB27" s="34">
        <f t="shared" si="2"/>
        <v>0.29319973718791065</v>
      </c>
      <c r="AC27" s="34">
        <f t="shared" si="3"/>
        <v>0.14712275154933074</v>
      </c>
      <c r="AD27" s="34">
        <f t="shared" si="4"/>
        <v>0.6116739852293388</v>
      </c>
      <c r="AE27" s="34">
        <f t="shared" si="5"/>
        <v>0.13894926535214569</v>
      </c>
      <c r="AF27" s="34">
        <f t="shared" si="17"/>
        <v>2.4232880520651121</v>
      </c>
      <c r="AH27" s="2" t="s">
        <v>1033</v>
      </c>
      <c r="AI27" s="156">
        <f>TAN(RADIANS(AK18/1.8))*AI12*2/$AK$4</f>
        <v>0.17538365839894915</v>
      </c>
      <c r="AJ27" s="156">
        <f>TAN(RADIANS(AK18/1.8))*AI12*2/$AK$5</f>
        <v>0.14864246872548298</v>
      </c>
      <c r="AK27" s="156">
        <f>TAN(RADIANS(AK18/1.8))*AI12*2/$AK$6</f>
        <v>0.14370745980365421</v>
      </c>
      <c r="AZ27" s="2" t="s">
        <v>81</v>
      </c>
      <c r="BA27" s="34">
        <f t="shared" si="40"/>
        <v>1.7999999999999998</v>
      </c>
      <c r="BB27" s="34">
        <f t="shared" si="35"/>
        <v>1.5</v>
      </c>
      <c r="BC27" s="156">
        <f>$AJ$25</f>
        <v>0.25533939591849686</v>
      </c>
      <c r="BD27" s="154">
        <f>TAN(RADIANS(BA27+$AK$17))*$AI$11*2/$AK$5</f>
        <v>0.90321036833005419</v>
      </c>
      <c r="BE27" s="154">
        <f>TAN(RADIANS(BA27*2+$AK$17))*$AI$11*2/$AK$5</f>
        <v>1.5528688118457292</v>
      </c>
      <c r="BF27" s="154">
        <f>TAN(RADIANS(BA27*3+$AK$17))*$AI$11*2/$AK$5</f>
        <v>2.205611952897196</v>
      </c>
      <c r="BG27" s="34">
        <f t="shared" si="36"/>
        <v>2.0618488670473742</v>
      </c>
      <c r="BM27" s="2" t="s">
        <v>81</v>
      </c>
      <c r="BN27" s="2">
        <f t="shared" si="41"/>
        <v>0.71</v>
      </c>
      <c r="BO27" s="2">
        <f t="shared" si="37"/>
        <v>4.6150000000000002</v>
      </c>
      <c r="BP27" s="34">
        <f t="shared" si="38"/>
        <v>1.5699498732887514</v>
      </c>
      <c r="BQ27" s="34">
        <f t="shared" si="42"/>
        <v>1.3305756481032411</v>
      </c>
      <c r="BR27" s="34">
        <f t="shared" si="43"/>
        <v>1.2863998297731203</v>
      </c>
      <c r="BS27" s="150">
        <f t="shared" si="44"/>
        <v>1.9624373416109393</v>
      </c>
      <c r="BT27" s="150">
        <f t="shared" si="45"/>
        <v>1.6632195601290514</v>
      </c>
      <c r="BU27" s="150">
        <f t="shared" si="46"/>
        <v>1.6079997872164002</v>
      </c>
      <c r="BV27" s="34">
        <f t="shared" si="47"/>
        <v>2.3549248099331272</v>
      </c>
      <c r="BW27" s="34">
        <f t="shared" si="48"/>
        <v>1.9958634721548616</v>
      </c>
      <c r="BX27" s="34">
        <f t="shared" si="39"/>
        <v>1.9295997446596804</v>
      </c>
      <c r="BZ27" s="2" t="s">
        <v>71</v>
      </c>
      <c r="CA27" s="2" t="s">
        <v>955</v>
      </c>
      <c r="CB27" s="2" t="s">
        <v>969</v>
      </c>
      <c r="CC27" s="2" t="s">
        <v>1034</v>
      </c>
      <c r="CD27" s="2" t="s">
        <v>1035</v>
      </c>
      <c r="CE27" s="2" t="s">
        <v>1036</v>
      </c>
      <c r="CF27" s="2" t="s">
        <v>1037</v>
      </c>
      <c r="CG27" s="25"/>
      <c r="CH27" s="25"/>
      <c r="CI27" s="25"/>
      <c r="CJ27" s="25"/>
      <c r="CK27" s="25"/>
      <c r="CL27" s="25"/>
      <c r="CM27" s="25"/>
      <c r="CN27" s="25"/>
      <c r="CO27" s="25"/>
      <c r="CQ27" s="2" t="s">
        <v>71</v>
      </c>
      <c r="CR27" s="2" t="s">
        <v>957</v>
      </c>
      <c r="CS27" s="2" t="s">
        <v>1012</v>
      </c>
      <c r="CT27" s="2" t="s">
        <v>1013</v>
      </c>
      <c r="CU27" s="2" t="s">
        <v>1014</v>
      </c>
      <c r="CV27" s="2" t="s">
        <v>1015</v>
      </c>
      <c r="CW27" s="2" t="s">
        <v>1016</v>
      </c>
      <c r="CX27" s="2" t="s">
        <v>1017</v>
      </c>
      <c r="CY27" s="2" t="s">
        <v>1018</v>
      </c>
      <c r="CZ27" s="2" t="s">
        <v>1019</v>
      </c>
      <c r="DA27" s="2" t="s">
        <v>1020</v>
      </c>
    </row>
    <row r="28" spans="2:107" x14ac:dyDescent="0.3">
      <c r="B28" s="2" t="s">
        <v>649</v>
      </c>
      <c r="C28" s="33" t="s">
        <v>130</v>
      </c>
      <c r="D28" s="153">
        <v>6.1</v>
      </c>
      <c r="E28" s="153">
        <v>3.48</v>
      </c>
      <c r="F28" s="2">
        <f t="shared" si="14"/>
        <v>7.02</v>
      </c>
      <c r="G28" s="32">
        <v>2.5</v>
      </c>
      <c r="H28" s="32">
        <v>2</v>
      </c>
      <c r="I28" s="2">
        <f t="shared" si="15"/>
        <v>3.2</v>
      </c>
      <c r="J28" s="154">
        <f>VLOOKUP(C28,基础属性系数!$B$97:$E$100,4,FALSE)*SQRT(VLOOKUP(C28,基础属性系数!$B$97:$E$100,2,FALSE)/F28)</f>
        <v>2.3419584514759988</v>
      </c>
      <c r="K28" s="155">
        <v>0</v>
      </c>
      <c r="L28" s="155">
        <v>2.4</v>
      </c>
      <c r="M28" s="155">
        <v>1.95</v>
      </c>
      <c r="N28" s="155">
        <v>1.95</v>
      </c>
      <c r="O28" s="155">
        <v>0.9</v>
      </c>
      <c r="P28" s="155">
        <v>0.9</v>
      </c>
      <c r="Q28" s="155">
        <v>0.85</v>
      </c>
      <c r="R28" s="34">
        <f>基础属性系数!$E$61*2/F28</f>
        <v>0</v>
      </c>
      <c r="S28" s="34">
        <f>(H28/基础属性系数!$C$94-H28/基础属性系数!$C$94/I28*基础属性系数!$E$61*2)/F28</f>
        <v>0.17806267806267809</v>
      </c>
      <c r="T28" s="34">
        <f>(G28/基础属性系数!$C$94-G28/基础属性系数!$C$94/I28*基础属性系数!$E$61*2)/F28*2</f>
        <v>0.4451566951566952</v>
      </c>
      <c r="U28" s="34">
        <f>(H28/基础属性系数!$C$94-H28/基础属性系数!$C$94/I28*基础属性系数!$E$61*2)/F28</f>
        <v>0.17806267806267809</v>
      </c>
      <c r="V28" s="34">
        <f>(E28/基础属性系数!$C$94-I28*E28/基础属性系数!$C$94/F28)/F28</f>
        <v>0.16859643996396131</v>
      </c>
      <c r="W28" s="34">
        <f>(D28/基础属性系数!$C$94-I28*D28/基础属性系数!$C$94/F28)/F28*2</f>
        <v>0.59105648493112872</v>
      </c>
      <c r="X28" s="34">
        <f>(E28/基础属性系数!$C$94-I28*E28/基础属性系数!$C$94/F28)/F28</f>
        <v>0.16859643996396131</v>
      </c>
      <c r="Y28" s="34">
        <f t="shared" si="0"/>
        <v>0</v>
      </c>
      <c r="Z28" s="34">
        <f t="shared" si="1"/>
        <v>0.42735042735042739</v>
      </c>
      <c r="AA28" s="34">
        <f t="shared" si="16"/>
        <v>0.86805555555555558</v>
      </c>
      <c r="AB28" s="34">
        <f t="shared" si="2"/>
        <v>0.34722222222222227</v>
      </c>
      <c r="AC28" s="34">
        <f t="shared" si="3"/>
        <v>0.15173679596756517</v>
      </c>
      <c r="AD28" s="34">
        <f t="shared" si="4"/>
        <v>0.53195083643801588</v>
      </c>
      <c r="AE28" s="34">
        <f t="shared" si="5"/>
        <v>0.14330697396936712</v>
      </c>
      <c r="AF28" s="34">
        <f t="shared" si="17"/>
        <v>2.4696228115031538</v>
      </c>
      <c r="AZ28" s="2" t="s">
        <v>80</v>
      </c>
      <c r="BA28" s="34">
        <f t="shared" si="40"/>
        <v>0.89999999999999991</v>
      </c>
      <c r="BB28" s="34">
        <f t="shared" si="35"/>
        <v>0.75</v>
      </c>
      <c r="BC28" s="156">
        <f>$AJ$25</f>
        <v>0.25533939591849686</v>
      </c>
      <c r="BD28" s="154">
        <f>TAN(RADIANS(BA28+$AK$17))*$AI$11*2/$AK$5</f>
        <v>0.57913185062350603</v>
      </c>
      <c r="BE28" s="154">
        <f>TAN(RADIANS(BA28*2+$AK$17))*$AI$11*2/$AK$5</f>
        <v>0.90321036833005419</v>
      </c>
      <c r="BF28" s="154">
        <f>TAN(RADIANS(BA28*3+$AK$17))*$AI$11*2/$AK$5</f>
        <v>1.2277355326473285</v>
      </c>
      <c r="BG28" s="34">
        <f t="shared" si="36"/>
        <v>2.0676590075560348</v>
      </c>
      <c r="BM28" s="2" t="s">
        <v>80</v>
      </c>
      <c r="BN28" s="2">
        <f t="shared" si="41"/>
        <v>0.71</v>
      </c>
      <c r="BO28" s="2">
        <f t="shared" si="37"/>
        <v>2.4849999999999999</v>
      </c>
      <c r="BP28" s="34">
        <f t="shared" si="38"/>
        <v>0.84405797310472674</v>
      </c>
      <c r="BQ28" s="34">
        <f t="shared" si="42"/>
        <v>0.71536232061211047</v>
      </c>
      <c r="BR28" s="34">
        <f t="shared" si="43"/>
        <v>0.69161191156124358</v>
      </c>
      <c r="BS28" s="150">
        <f t="shared" si="44"/>
        <v>1.0550724663809086</v>
      </c>
      <c r="BT28" s="150">
        <f t="shared" si="45"/>
        <v>0.89420290076513809</v>
      </c>
      <c r="BU28" s="150">
        <f t="shared" si="46"/>
        <v>0.86451488945155452</v>
      </c>
      <c r="BV28" s="34">
        <f t="shared" si="47"/>
        <v>1.2660869596570903</v>
      </c>
      <c r="BW28" s="34">
        <f t="shared" si="48"/>
        <v>1.0730434809181657</v>
      </c>
      <c r="BX28" s="34">
        <f t="shared" si="39"/>
        <v>1.0374178673418655</v>
      </c>
      <c r="BZ28" s="2" t="s">
        <v>126</v>
      </c>
      <c r="CA28" s="2">
        <f>AI10</f>
        <v>60</v>
      </c>
      <c r="CB28" s="2">
        <f>CA10</f>
        <v>10.5</v>
      </c>
      <c r="CC28" s="2">
        <f>$CB28*1.05</f>
        <v>11.025</v>
      </c>
      <c r="CD28" s="2">
        <f>$CB28*1.1</f>
        <v>11.55</v>
      </c>
      <c r="CE28" s="2">
        <f>$CB28*1.15</f>
        <v>12.074999999999999</v>
      </c>
      <c r="CF28" s="2">
        <f>$CB28*1.2</f>
        <v>12.6</v>
      </c>
      <c r="CG28" s="25"/>
      <c r="CH28" s="25"/>
      <c r="CI28" s="25"/>
      <c r="CJ28" s="25"/>
      <c r="CK28" s="25"/>
      <c r="CL28" s="25"/>
      <c r="CM28" s="25"/>
      <c r="CN28" s="25"/>
      <c r="CO28" s="25"/>
      <c r="CQ28" s="2" t="s">
        <v>126</v>
      </c>
      <c r="CR28" s="21">
        <f>CR22</f>
        <v>30</v>
      </c>
      <c r="CS28" s="34">
        <f t="shared" ref="CS28:CU30" si="49">(CS22-$CT4)/$CY4</f>
        <v>0.75</v>
      </c>
      <c r="CT28" s="34">
        <f t="shared" si="49"/>
        <v>0.743522266124366</v>
      </c>
      <c r="CU28" s="34">
        <f t="shared" si="49"/>
        <v>0.6730349090398452</v>
      </c>
      <c r="CV28" s="34">
        <f>(180*$CY4*$AK$4+180*$CY4*PI()*$CR28+($CW4-$CT4)^2*PI()*$CR28)/(2*$CY4*$CW4*PI()*$CR28-360*$CY4*$CC$4)</f>
        <v>4.1517357676037765</v>
      </c>
      <c r="CW28" s="34">
        <f>(180*$CY4*$AK$5+180*$CY4*PI()*$CR28+($CW4-$CT4)^2*PI()*$CR28)/(2*$CY4*$CW4*PI()*$CR28-360*$CY4*$CC$5)</f>
        <v>3.5884706004909721</v>
      </c>
      <c r="CX28" s="34">
        <f>(180*$CY4*$AK$6+180*$CY4*PI()*$CR28+($CW4-$CT4)^2*PI()*$CR28)/(2*$CY4*$CW4*PI()*$CR28-360*$CY4*$CC$6)</f>
        <v>3.246073695032528</v>
      </c>
      <c r="CY28" s="34">
        <f>(180*$CY4*$AK$4+360*$CY4*PI()*$CR28+($CW4-$CT4)^2*PI()*$CR28)/(2*$CY4*$CW4*PI()*$CR28-360*$CY4*$CC$4)</f>
        <v>7.4742191850312905</v>
      </c>
      <c r="CZ28" s="34">
        <f>(180*$CY4*$AK$5+360*$CY4*PI()*$CR28+($CW4-$CT4)^2*PI()*$CR28)/(2*$CY4*$CW4*PI()*$CR28-360*$CY4*$CC$5)</f>
        <v>6.433379859886645</v>
      </c>
      <c r="DA28" s="34">
        <f>(180*$CY4*$AK$6+360*$CY4*PI()*$CR28+($CW4-$CT4)^2*PI()*$CR28)/(2*$CY4*$CW4*PI()*$CR28-360*$CY4*$CC$6)</f>
        <v>5.8141330848879447</v>
      </c>
    </row>
    <row r="29" spans="2:107" x14ac:dyDescent="0.3">
      <c r="B29" s="2" t="s">
        <v>651</v>
      </c>
      <c r="C29" s="33" t="s">
        <v>130</v>
      </c>
      <c r="D29" s="153">
        <v>6.54</v>
      </c>
      <c r="E29" s="153">
        <v>3.23</v>
      </c>
      <c r="F29" s="2">
        <f t="shared" si="14"/>
        <v>7.29</v>
      </c>
      <c r="G29" s="32">
        <v>2.5</v>
      </c>
      <c r="H29" s="32">
        <v>1.9</v>
      </c>
      <c r="I29" s="2">
        <f t="shared" si="15"/>
        <v>3.14</v>
      </c>
      <c r="J29" s="154">
        <f>VLOOKUP(C29,基础属性系数!$B$97:$E$100,4,FALSE)*SQRT(VLOOKUP(C29,基础属性系数!$B$97:$E$100,2,FALSE)/F29)</f>
        <v>2.2981796669234984</v>
      </c>
      <c r="K29" s="155">
        <v>0</v>
      </c>
      <c r="L29" s="155">
        <v>2.5</v>
      </c>
      <c r="M29" s="155">
        <v>2</v>
      </c>
      <c r="N29" s="155">
        <v>2</v>
      </c>
      <c r="O29" s="155">
        <v>0.9</v>
      </c>
      <c r="P29" s="155">
        <v>0.9</v>
      </c>
      <c r="Q29" s="155">
        <v>0.85</v>
      </c>
      <c r="R29" s="34">
        <f>基础属性系数!$E$61*2/F29</f>
        <v>0</v>
      </c>
      <c r="S29" s="34">
        <f>(H29/基础属性系数!$C$94-H29/基础属性系数!$C$94/I29*基础属性系数!$E$61*2)/F29</f>
        <v>0.16289437585733879</v>
      </c>
      <c r="T29" s="34">
        <f>(G29/基础属性系数!$C$94-G29/基础属性系数!$C$94/I29*基础属性系数!$E$61*2)/F29*2</f>
        <v>0.42866941015089161</v>
      </c>
      <c r="U29" s="34">
        <f>(H29/基础属性系数!$C$94-H29/基础属性系数!$C$94/I29*基础属性系数!$E$61*2)/F29</f>
        <v>0.16289437585733879</v>
      </c>
      <c r="V29" s="34">
        <f>(E29/基础属性系数!$C$94-I29*E29/基础属性系数!$C$94/F29)/F29</f>
        <v>0.15764332258896094</v>
      </c>
      <c r="W29" s="34">
        <f>(D29/基础属性系数!$C$94-I29*D29/基础属性系数!$C$94/F29)/F29*2</f>
        <v>0.63838224751195316</v>
      </c>
      <c r="X29" s="34">
        <f>(E29/基础属性系数!$C$94-I29*E29/基础属性系数!$C$94/F29)/F29</f>
        <v>0.15764332258896094</v>
      </c>
      <c r="Y29" s="34">
        <f t="shared" si="0"/>
        <v>0</v>
      </c>
      <c r="Z29" s="34">
        <f t="shared" si="1"/>
        <v>0.40723593964334698</v>
      </c>
      <c r="AA29" s="34">
        <f t="shared" si="16"/>
        <v>0.85733882030178321</v>
      </c>
      <c r="AB29" s="34">
        <f t="shared" si="2"/>
        <v>0.32578875171467758</v>
      </c>
      <c r="AC29" s="34">
        <f t="shared" si="3"/>
        <v>0.14187899033006485</v>
      </c>
      <c r="AD29" s="34">
        <f t="shared" si="4"/>
        <v>0.57454402276075789</v>
      </c>
      <c r="AE29" s="34">
        <f t="shared" si="5"/>
        <v>0.13399682420061679</v>
      </c>
      <c r="AF29" s="34">
        <f t="shared" si="17"/>
        <v>2.4407833489512472</v>
      </c>
      <c r="AZ29" s="2" t="s">
        <v>83</v>
      </c>
      <c r="BA29" s="34">
        <f t="shared" si="40"/>
        <v>2.25</v>
      </c>
      <c r="BB29" s="34">
        <f t="shared" si="35"/>
        <v>1.875</v>
      </c>
      <c r="BC29" s="156">
        <f>$AK$25</f>
        <v>0.24686199233554543</v>
      </c>
      <c r="BD29" s="154">
        <f>TAN(RADIANS(BA29+$AK$17))*$AI$11*2/$AK$6</f>
        <v>1.0300349722977755</v>
      </c>
      <c r="BE29" s="154">
        <f>TAN(RADIANS(BA29*2+$AK$17))*$AI$11*2/$AK$6</f>
        <v>1.8163966239201179</v>
      </c>
      <c r="BF29" s="154">
        <f>TAN(RADIANS(BA29*3+$AK$17))*$AI$11*2/$AK$6</f>
        <v>2.6084129633306445</v>
      </c>
      <c r="BG29" s="34">
        <f t="shared" si="36"/>
        <v>2.1526876252825193</v>
      </c>
      <c r="BM29" s="2" t="s">
        <v>83</v>
      </c>
      <c r="BN29" s="2">
        <f t="shared" si="41"/>
        <v>0.62</v>
      </c>
      <c r="BO29" s="2">
        <f t="shared" si="37"/>
        <v>4.96</v>
      </c>
      <c r="BP29" s="34">
        <f t="shared" si="38"/>
        <v>1.6878813158433759</v>
      </c>
      <c r="BQ29" s="34">
        <f t="shared" si="42"/>
        <v>1.4305257855430809</v>
      </c>
      <c r="BR29" s="34">
        <f t="shared" si="43"/>
        <v>1.3830315695555948</v>
      </c>
      <c r="BS29" s="34">
        <f t="shared" si="44"/>
        <v>2.1098516448042197</v>
      </c>
      <c r="BT29" s="34">
        <f t="shared" si="45"/>
        <v>1.7881572319288512</v>
      </c>
      <c r="BU29" s="34">
        <f t="shared" si="46"/>
        <v>1.7287894619444935</v>
      </c>
      <c r="BV29" s="150">
        <f t="shared" si="47"/>
        <v>2.531821973765064</v>
      </c>
      <c r="BW29" s="150">
        <f t="shared" si="48"/>
        <v>2.1457886783146214</v>
      </c>
      <c r="BX29" s="150">
        <f t="shared" si="39"/>
        <v>2.0745473543333923</v>
      </c>
      <c r="BZ29" s="2" t="s">
        <v>128</v>
      </c>
      <c r="CA29" s="2">
        <f>AI11</f>
        <v>75</v>
      </c>
      <c r="CB29" s="2">
        <f>CA11</f>
        <v>8</v>
      </c>
      <c r="CC29" s="2">
        <f>$CB29*1.05</f>
        <v>8.4</v>
      </c>
      <c r="CD29" s="2">
        <f>$CB29*1.1</f>
        <v>8.8000000000000007</v>
      </c>
      <c r="CE29" s="2">
        <f>$CB29*1.15</f>
        <v>9.1999999999999993</v>
      </c>
      <c r="CF29" s="2">
        <f>$CB29*1.2</f>
        <v>9.6</v>
      </c>
      <c r="CG29" s="25"/>
      <c r="CH29" s="25"/>
      <c r="CI29" s="25"/>
      <c r="CJ29" s="25"/>
      <c r="CK29" s="25"/>
      <c r="CL29" s="25"/>
      <c r="CM29" s="25"/>
      <c r="CN29" s="25"/>
      <c r="CO29" s="25"/>
      <c r="CQ29" s="2" t="s">
        <v>128</v>
      </c>
      <c r="CR29" s="21">
        <f>CR23</f>
        <v>35</v>
      </c>
      <c r="CS29" s="34">
        <f t="shared" si="49"/>
        <v>0.72996022419841067</v>
      </c>
      <c r="CT29" s="34">
        <f t="shared" si="49"/>
        <v>0.66380835769159574</v>
      </c>
      <c r="CU29" s="34">
        <f t="shared" si="49"/>
        <v>0.60327391080456538</v>
      </c>
      <c r="CV29" s="34">
        <f>(180*$CY5*$AK$4+180*$CY5*PI()*$CR29+($CW5-$CT5)^2*PI()*$CR29)/(2*$CY5*$CW5*PI()*$CR29-360*$CY5*$CC$4)</f>
        <v>3.9070418781483847</v>
      </c>
      <c r="CW29" s="34">
        <f>(180*$CY5*$AK$5+180*$CY5*PI()*$CR29+($CW5-$CT5)^2*PI()*$CR29)/(2*$CY5*$CW5*PI()*$CR29-360*$CY5*$CC$5)</f>
        <v>3.4627280867701451</v>
      </c>
      <c r="CX29" s="34">
        <f>(180*$CY5*$AK$6+180*$CY5*PI()*$CR29+($CW5-$CT5)^2*PI()*$CR29)/(2*$CY5*$CW5*PI()*$CR29-360*$CY5*$CC$6)</f>
        <v>3.1805901011093467</v>
      </c>
      <c r="CY29" s="34">
        <f>(180*$CY5*$AK$4+360*$CY5*PI()*$CR29+($CW5-$CT5)^2*PI()*$CR29)/(2*$CY5*$CW5*PI()*$CR29-360*$CY5*$CC$4)</f>
        <v>7.0837293649254285</v>
      </c>
      <c r="CZ29" s="34">
        <f>(180*$CY5*$AK$5+360*$CY5*PI()*$CR29+($CW5-$CT5)^2*PI()*$CR29)/(2*$CY5*$CW5*PI()*$CR29-360*$CY5*$CC$5)</f>
        <v>6.2552380040356459</v>
      </c>
      <c r="DA29" s="34">
        <f>(180*$CY5*$AK$6+360*$CY5*PI()*$CR29+($CW5-$CT5)^2*PI()*$CR29)/(2*$CY5*$CW5*PI()*$CR29-360*$CY5*$CC$6)</f>
        <v>5.7408759488812207</v>
      </c>
    </row>
    <row r="30" spans="2:107" x14ac:dyDescent="0.3">
      <c r="B30" s="2" t="s">
        <v>653</v>
      </c>
      <c r="C30" s="33" t="s">
        <v>130</v>
      </c>
      <c r="D30" s="153">
        <v>7.74</v>
      </c>
      <c r="E30" s="153">
        <v>4.0199999999999996</v>
      </c>
      <c r="F30" s="2">
        <f t="shared" si="14"/>
        <v>8.7200000000000006</v>
      </c>
      <c r="G30" s="32">
        <v>3.4</v>
      </c>
      <c r="H30" s="32">
        <v>2.2999999999999998</v>
      </c>
      <c r="I30" s="2">
        <f t="shared" si="15"/>
        <v>4.0999999999999996</v>
      </c>
      <c r="J30" s="154">
        <f>VLOOKUP(C30,基础属性系数!$B$97:$E$100,4,FALSE)*SQRT(VLOOKUP(C30,基础属性系数!$B$97:$E$100,2,FALSE)/F30)</f>
        <v>2.1013069629685615</v>
      </c>
      <c r="K30" s="155">
        <v>0</v>
      </c>
      <c r="L30" s="155">
        <v>2.4500000000000002</v>
      </c>
      <c r="M30" s="155">
        <v>2</v>
      </c>
      <c r="N30" s="155">
        <v>2</v>
      </c>
      <c r="O30" s="155">
        <v>0.9</v>
      </c>
      <c r="P30" s="155">
        <v>0.9</v>
      </c>
      <c r="Q30" s="155">
        <v>0.85</v>
      </c>
      <c r="R30" s="34">
        <f>基础属性系数!$E$61*2/F30</f>
        <v>0</v>
      </c>
      <c r="S30" s="34">
        <f>(H30/基础属性系数!$C$94-H30/基础属性系数!$C$94/I30*基础属性系数!$E$61*2)/F30</f>
        <v>0.16485091743119262</v>
      </c>
      <c r="T30" s="34">
        <f>(G30/基础属性系数!$C$94-G30/基础属性系数!$C$94/I30*基础属性系数!$E$61*2)/F30*2</f>
        <v>0.48738532110091737</v>
      </c>
      <c r="U30" s="34">
        <f>(H30/基础属性系数!$C$94-H30/基础属性系数!$C$94/I30*基础属性系数!$E$61*2)/F30</f>
        <v>0.16485091743119262</v>
      </c>
      <c r="V30" s="34">
        <f>(E30/基础属性系数!$C$94-I30*E30/基础属性系数!$C$94/F30)/F30</f>
        <v>0.15265642096624865</v>
      </c>
      <c r="W30" s="34">
        <f>(D30/基础属性系数!$C$94-I30*D30/基础属性系数!$C$94/F30)/F30*2</f>
        <v>0.58784114342227078</v>
      </c>
      <c r="X30" s="34">
        <f>(E30/基础属性系数!$C$94-I30*E30/基础属性系数!$C$94/F30)/F30</f>
        <v>0.15265642096624865</v>
      </c>
      <c r="Y30" s="34">
        <f t="shared" si="0"/>
        <v>0</v>
      </c>
      <c r="Z30" s="34">
        <f t="shared" si="1"/>
        <v>0.40388474770642196</v>
      </c>
      <c r="AA30" s="34">
        <f t="shared" si="16"/>
        <v>0.97477064220183474</v>
      </c>
      <c r="AB30" s="34">
        <f t="shared" si="2"/>
        <v>0.32970183486238525</v>
      </c>
      <c r="AC30" s="34">
        <f t="shared" si="3"/>
        <v>0.13739077886962378</v>
      </c>
      <c r="AD30" s="34">
        <f t="shared" si="4"/>
        <v>0.52905702908004371</v>
      </c>
      <c r="AE30" s="34">
        <f t="shared" si="5"/>
        <v>0.12975795782131136</v>
      </c>
      <c r="AF30" s="34">
        <f t="shared" si="17"/>
        <v>2.5045629905416207</v>
      </c>
      <c r="AZ30" s="2" t="s">
        <v>82</v>
      </c>
      <c r="BA30" s="34">
        <f t="shared" si="40"/>
        <v>1.3499999999999999</v>
      </c>
      <c r="BB30" s="34">
        <f t="shared" si="35"/>
        <v>1.125</v>
      </c>
      <c r="BC30" s="156">
        <f>$AK$25</f>
        <v>0.24686199233554543</v>
      </c>
      <c r="BD30" s="154">
        <f>TAN(RADIANS(BA30+$AK$17))*$AI$11*2/$AK$6</f>
        <v>0.71651957738879335</v>
      </c>
      <c r="BE30" s="154">
        <f>TAN(RADIANS(BA30*2+$AK$17))*$AI$11*2/$AK$6</f>
        <v>1.1869740607798873</v>
      </c>
      <c r="BF30" s="154">
        <f>TAN(RADIANS(BA30*3+$AK$17))*$AI$11*2/$AK$6</f>
        <v>1.6587516492699446</v>
      </c>
      <c r="BG30" s="34">
        <f t="shared" si="36"/>
        <v>2.1603734513247188</v>
      </c>
      <c r="BM30" s="2" t="s">
        <v>82</v>
      </c>
      <c r="BN30" s="2">
        <f t="shared" si="41"/>
        <v>0.62</v>
      </c>
      <c r="BO30" s="2">
        <f t="shared" si="37"/>
        <v>3.1</v>
      </c>
      <c r="BP30" s="34">
        <f t="shared" si="38"/>
        <v>1.05331729180607</v>
      </c>
      <c r="BQ30" s="34">
        <f t="shared" si="42"/>
        <v>0.8927153420938807</v>
      </c>
      <c r="BR30" s="34">
        <f t="shared" si="43"/>
        <v>0.86307671851838674</v>
      </c>
      <c r="BS30" s="34">
        <f t="shared" si="44"/>
        <v>1.3166466147575875</v>
      </c>
      <c r="BT30" s="34">
        <f t="shared" si="45"/>
        <v>1.115894177617351</v>
      </c>
      <c r="BU30" s="34">
        <f t="shared" si="46"/>
        <v>1.0788458981479834</v>
      </c>
      <c r="BV30" s="150">
        <f t="shared" si="47"/>
        <v>1.5799759377091049</v>
      </c>
      <c r="BW30" s="150">
        <f t="shared" si="48"/>
        <v>1.3390730131408211</v>
      </c>
      <c r="BX30" s="150">
        <f t="shared" si="39"/>
        <v>1.29461507777758</v>
      </c>
      <c r="BZ30" s="2" t="s">
        <v>130</v>
      </c>
      <c r="CA30" s="2">
        <f>AI12</f>
        <v>90</v>
      </c>
      <c r="CB30" s="2">
        <f>CA12</f>
        <v>7</v>
      </c>
      <c r="CC30" s="2">
        <f>$CB30*1.05</f>
        <v>7.3500000000000005</v>
      </c>
      <c r="CD30" s="2">
        <f>$CB30*1.1</f>
        <v>7.7000000000000011</v>
      </c>
      <c r="CE30" s="2">
        <f>$CB30*1.15</f>
        <v>8.0499999999999989</v>
      </c>
      <c r="CF30" s="2">
        <f>$CB30*1.2</f>
        <v>8.4</v>
      </c>
      <c r="CG30" s="25"/>
      <c r="CH30" s="25"/>
      <c r="CI30" s="25"/>
      <c r="CJ30" s="25"/>
      <c r="CK30" s="25"/>
      <c r="CL30" s="25"/>
      <c r="CM30" s="25"/>
      <c r="CN30" s="25"/>
      <c r="CO30" s="25"/>
      <c r="CQ30" s="2" t="s">
        <v>130</v>
      </c>
      <c r="CR30" s="21">
        <f>CR24</f>
        <v>40</v>
      </c>
      <c r="CS30" s="34">
        <f t="shared" si="49"/>
        <v>0.74386127512011568</v>
      </c>
      <c r="CT30" s="34">
        <f t="shared" si="49"/>
        <v>0.67567330029045392</v>
      </c>
      <c r="CU30" s="34">
        <f t="shared" si="49"/>
        <v>0.61366281439467796</v>
      </c>
      <c r="CV30" s="34">
        <f>(180*$CY6*$AK$4+180*$CY6*PI()*$CR30+($CW6-$CT6)^2*PI()*$CR30)/(2*$CY6*$CW6*PI()*$CR30-360*$CY6*$CC$4)</f>
        <v>4.4838900637973724</v>
      </c>
      <c r="CW30" s="34">
        <f>(180*$CY6*$AK$5+180*$CY6*PI()*$CR30+($CW6-$CT6)^2*PI()*$CR30)/(2*$CY6*$CW6*PI()*$CR30-360*$CY6*$CC$5)</f>
        <v>3.9562348920251056</v>
      </c>
      <c r="CX30" s="34">
        <f>(180*$CY6*$AK$6+180*$CY6*PI()*$CR30+($CW6-$CT6)^2*PI()*$CR30)/(2*$CY6*$CW6*PI()*$CR30-360*$CY6*$CC$6)</f>
        <v>3.6252473643145873</v>
      </c>
      <c r="CY30" s="34">
        <f>(180*$CY6*$AK$4+360*$CY6*PI()*$CR30+($CW6-$CT6)^2*PI()*$CR30)/(2*$CY6*$CW6*PI()*$CR30-360*$CY6*$CC$4)</f>
        <v>8.2238813180709336</v>
      </c>
      <c r="CZ30" s="34">
        <f>(180*$CY6*$AK$5+360*$CY6*PI()*$CR30+($CW6-$CT6)^2*PI()*$CR30)/(2*$CY6*$CW6*PI()*$CR30-360*$CY6*$CC$5)</f>
        <v>7.2319769836529932</v>
      </c>
      <c r="DA30" s="34">
        <f>(180*$CY6*$AK$6+360*$CY6*PI()*$CR30+($CW6-$CT6)^2*PI()*$CR30)/(2*$CY6*$CW6*PI()*$CR30-360*$CY6*$CC$6)</f>
        <v>6.6219971133668531</v>
      </c>
    </row>
    <row r="31" spans="2:107" x14ac:dyDescent="0.3">
      <c r="B31" s="2" t="s">
        <v>655</v>
      </c>
      <c r="C31" s="33" t="s">
        <v>130</v>
      </c>
      <c r="D31" s="153">
        <v>6.6</v>
      </c>
      <c r="E31" s="153">
        <v>3.35</v>
      </c>
      <c r="F31" s="2">
        <f t="shared" si="14"/>
        <v>7.4</v>
      </c>
      <c r="G31" s="32">
        <v>2.8</v>
      </c>
      <c r="H31" s="32">
        <v>2.1</v>
      </c>
      <c r="I31" s="2">
        <f t="shared" si="15"/>
        <v>3.5</v>
      </c>
      <c r="J31" s="154">
        <f>VLOOKUP(C31,基础属性系数!$B$97:$E$100,4,FALSE)*SQRT(VLOOKUP(C31,基础属性系数!$B$97:$E$100,2,FALSE)/F31)</f>
        <v>2.2810346486831246</v>
      </c>
      <c r="K31" s="155">
        <v>0</v>
      </c>
      <c r="L31" s="155">
        <v>2.4</v>
      </c>
      <c r="M31" s="155">
        <v>1.95</v>
      </c>
      <c r="N31" s="155">
        <v>1.95</v>
      </c>
      <c r="O31" s="155">
        <v>0.9</v>
      </c>
      <c r="P31" s="155">
        <v>0.9</v>
      </c>
      <c r="Q31" s="155">
        <v>0.85</v>
      </c>
      <c r="R31" s="34">
        <f>基础属性系数!$E$61*2/F31</f>
        <v>0</v>
      </c>
      <c r="S31" s="34">
        <f>(H31/基础属性系数!$C$94-H31/基础属性系数!$C$94/I31*基础属性系数!$E$61*2)/F31</f>
        <v>0.17736486486486486</v>
      </c>
      <c r="T31" s="34">
        <f>(G31/基础属性系数!$C$94-G31/基础属性系数!$C$94/I31*基础属性系数!$E$61*2)/F31*2</f>
        <v>0.47297297297297292</v>
      </c>
      <c r="U31" s="34">
        <f>(H31/基础属性系数!$C$94-H31/基础属性系数!$C$94/I31*基础属性系数!$E$61*2)/F31</f>
        <v>0.17736486486486486</v>
      </c>
      <c r="V31" s="34">
        <f>(E31/基础属性系数!$C$94-I31*E31/基础属性系数!$C$94/F31)/F31</f>
        <v>0.14911659970781596</v>
      </c>
      <c r="W31" s="34">
        <f>(D31/基础属性系数!$C$94-I31*D31/基础属性系数!$C$94/F31)/F31*2</f>
        <v>0.58756391526661778</v>
      </c>
      <c r="X31" s="34">
        <f>(E31/基础属性系数!$C$94-I31*E31/基础属性系数!$C$94/F31)/F31</f>
        <v>0.14911659970781596</v>
      </c>
      <c r="Y31" s="34">
        <f t="shared" si="0"/>
        <v>0</v>
      </c>
      <c r="Z31" s="34">
        <f t="shared" si="1"/>
        <v>0.42567567567567566</v>
      </c>
      <c r="AA31" s="34">
        <f t="shared" si="16"/>
        <v>0.92229729729729715</v>
      </c>
      <c r="AB31" s="34">
        <f t="shared" si="2"/>
        <v>0.34586148648648646</v>
      </c>
      <c r="AC31" s="34">
        <f t="shared" si="3"/>
        <v>0.13420493973703437</v>
      </c>
      <c r="AD31" s="34">
        <f t="shared" si="4"/>
        <v>0.52880752373995599</v>
      </c>
      <c r="AE31" s="34">
        <f t="shared" si="5"/>
        <v>0.12674910975164355</v>
      </c>
      <c r="AF31" s="34">
        <f t="shared" si="17"/>
        <v>2.483596032688093</v>
      </c>
    </row>
    <row r="32" spans="2:107" x14ac:dyDescent="0.3">
      <c r="B32" s="2" t="s">
        <v>657</v>
      </c>
      <c r="C32" s="33" t="s">
        <v>130</v>
      </c>
      <c r="D32" s="153">
        <v>6</v>
      </c>
      <c r="E32" s="153">
        <v>2.85</v>
      </c>
      <c r="F32" s="2">
        <f t="shared" si="14"/>
        <v>6.64</v>
      </c>
      <c r="G32" s="32">
        <v>3.6</v>
      </c>
      <c r="H32" s="32">
        <v>2.5</v>
      </c>
      <c r="I32" s="2">
        <f t="shared" si="15"/>
        <v>4.38</v>
      </c>
      <c r="J32" s="154">
        <f>VLOOKUP(C32,基础属性系数!$B$97:$E$100,4,FALSE)*SQRT(VLOOKUP(C32,基础属性系数!$B$97:$E$100,2,FALSE)/F32)</f>
        <v>2.408040031477876</v>
      </c>
      <c r="K32" s="155">
        <v>0</v>
      </c>
      <c r="L32" s="155">
        <v>2.5499999999999998</v>
      </c>
      <c r="M32" s="155">
        <v>2.0499999999999998</v>
      </c>
      <c r="N32" s="155">
        <v>2.0499999999999998</v>
      </c>
      <c r="O32" s="155">
        <v>0.9</v>
      </c>
      <c r="P32" s="155">
        <v>0.9</v>
      </c>
      <c r="Q32" s="155">
        <v>0.85</v>
      </c>
      <c r="R32" s="34">
        <f>基础属性系数!$E$61*2/F32</f>
        <v>0</v>
      </c>
      <c r="S32" s="34">
        <f>(H32/基础属性系数!$C$94-H32/基础属性系数!$C$94/I32*基础属性系数!$E$61*2)/F32</f>
        <v>0.23531626506024098</v>
      </c>
      <c r="T32" s="34">
        <f>(G32/基础属性系数!$C$94-G32/基础属性系数!$C$94/I32*基础属性系数!$E$61*2)/F32*2</f>
        <v>0.67771084337349397</v>
      </c>
      <c r="U32" s="34">
        <f>(H32/基础属性系数!$C$94-H32/基础属性系数!$C$94/I32*基础属性系数!$E$61*2)/F32</f>
        <v>0.23531626506024098</v>
      </c>
      <c r="V32" s="34">
        <f>(E32/基础属性系数!$C$94-I32*E32/基础属性系数!$C$94/F32)/F32</f>
        <v>9.1305545979097097E-2</v>
      </c>
      <c r="W32" s="34">
        <f>(D32/基础属性系数!$C$94-I32*D32/基础属性系数!$C$94/F32)/F32*2</f>
        <v>0.38444440412251418</v>
      </c>
      <c r="X32" s="34">
        <f>(E32/基础属性系数!$C$94-I32*E32/基础属性系数!$C$94/F32)/F32</f>
        <v>9.1305545979097097E-2</v>
      </c>
      <c r="Y32" s="34">
        <f t="shared" si="0"/>
        <v>0</v>
      </c>
      <c r="Z32" s="34">
        <f t="shared" si="1"/>
        <v>0.60005647590361444</v>
      </c>
      <c r="AA32" s="34">
        <f t="shared" si="16"/>
        <v>1.3893072289156625</v>
      </c>
      <c r="AB32" s="34">
        <f t="shared" si="2"/>
        <v>0.48239834337349397</v>
      </c>
      <c r="AC32" s="34">
        <f t="shared" si="3"/>
        <v>8.217499138118739E-2</v>
      </c>
      <c r="AD32" s="34">
        <f t="shared" si="4"/>
        <v>0.34599996371026276</v>
      </c>
      <c r="AE32" s="34">
        <f t="shared" si="5"/>
        <v>7.7609714082232537E-2</v>
      </c>
      <c r="AF32" s="34">
        <f t="shared" si="17"/>
        <v>2.9775467173664536</v>
      </c>
      <c r="AZ32" s="351" t="s">
        <v>1038</v>
      </c>
      <c r="BA32" s="351"/>
      <c r="BB32" s="351"/>
      <c r="BC32" s="351"/>
      <c r="BD32" s="351"/>
      <c r="BE32" s="351"/>
      <c r="BF32" s="351"/>
      <c r="BG32" s="351"/>
      <c r="BZ32" s="351" t="s">
        <v>1039</v>
      </c>
      <c r="CA32" s="351"/>
      <c r="CB32" s="351"/>
      <c r="CC32" s="351"/>
      <c r="CD32" s="351"/>
      <c r="CE32" s="351"/>
      <c r="CF32" s="351"/>
      <c r="CG32" s="351"/>
      <c r="CH32" s="351"/>
      <c r="CI32" s="351"/>
      <c r="CJ32" s="351"/>
      <c r="CK32" s="351"/>
      <c r="CL32" s="351"/>
      <c r="CM32" s="351"/>
      <c r="CN32" s="351"/>
      <c r="CO32" s="351"/>
    </row>
    <row r="33" spans="2:93" x14ac:dyDescent="0.3">
      <c r="B33" s="2" t="s">
        <v>659</v>
      </c>
      <c r="C33" s="33" t="s">
        <v>130</v>
      </c>
      <c r="D33" s="153">
        <v>7.75</v>
      </c>
      <c r="E33" s="153">
        <v>3.46</v>
      </c>
      <c r="F33" s="2">
        <f t="shared" si="14"/>
        <v>8.49</v>
      </c>
      <c r="G33" s="32">
        <v>5</v>
      </c>
      <c r="H33" s="32">
        <v>2.8</v>
      </c>
      <c r="I33" s="2">
        <f t="shared" si="15"/>
        <v>5.73</v>
      </c>
      <c r="J33" s="154">
        <f>VLOOKUP(C33,基础属性系数!$B$97:$E$100,4,FALSE)*SQRT(VLOOKUP(C33,基础属性系数!$B$97:$E$100,2,FALSE)/F33)</f>
        <v>2.1295796935092164</v>
      </c>
      <c r="K33" s="155">
        <v>0</v>
      </c>
      <c r="L33" s="155">
        <v>2.4</v>
      </c>
      <c r="M33" s="155">
        <v>1.65</v>
      </c>
      <c r="N33" s="155">
        <v>1.65</v>
      </c>
      <c r="O33" s="155">
        <v>0.9</v>
      </c>
      <c r="P33" s="155">
        <v>0.9</v>
      </c>
      <c r="Q33" s="155">
        <v>0.85</v>
      </c>
      <c r="R33" s="34">
        <f>基础属性系数!$E$61*2/F33</f>
        <v>0</v>
      </c>
      <c r="S33" s="34">
        <f>(H33/基础属性系数!$C$94-H33/基础属性系数!$C$94/I33*基础属性系数!$E$61*2)/F33</f>
        <v>0.20612485276796227</v>
      </c>
      <c r="T33" s="34">
        <f>(G33/基础属性系数!$C$94-G33/基础属性系数!$C$94/I33*基础属性系数!$E$61*2)/F33*2</f>
        <v>0.73616018845700826</v>
      </c>
      <c r="U33" s="34">
        <f>(H33/基础属性系数!$C$94-H33/基础属性系数!$C$94/I33*基础属性系数!$E$61*2)/F33</f>
        <v>0.20612485276796227</v>
      </c>
      <c r="V33" s="34">
        <f>(E33/基础属性系数!$C$94-I33*E33/基础属性系数!$C$94/F33)/F33</f>
        <v>8.2803714201284365E-2</v>
      </c>
      <c r="W33" s="34">
        <f>(D33/基础属性系数!$C$94-I33*D33/基础属性系数!$C$94/F33)/F33*2</f>
        <v>0.37094149425430867</v>
      </c>
      <c r="X33" s="34">
        <f>(E33/基础属性系数!$C$94-I33*E33/基础属性系数!$C$94/F33)/F33</f>
        <v>8.2803714201284365E-2</v>
      </c>
      <c r="Y33" s="34">
        <f t="shared" si="0"/>
        <v>0</v>
      </c>
      <c r="Z33" s="34">
        <f t="shared" si="1"/>
        <v>0.49469964664310945</v>
      </c>
      <c r="AA33" s="34">
        <f t="shared" si="16"/>
        <v>1.2146643109540636</v>
      </c>
      <c r="AB33" s="34">
        <f t="shared" si="2"/>
        <v>0.34010600706713773</v>
      </c>
      <c r="AC33" s="34">
        <f t="shared" si="3"/>
        <v>7.4523342781155924E-2</v>
      </c>
      <c r="AD33" s="34">
        <f t="shared" si="4"/>
        <v>0.33384734482887779</v>
      </c>
      <c r="AE33" s="34">
        <f t="shared" si="5"/>
        <v>7.0383157071091704E-2</v>
      </c>
      <c r="AF33" s="34">
        <f t="shared" si="17"/>
        <v>2.5282238093454366</v>
      </c>
      <c r="AZ33" s="2" t="s">
        <v>71</v>
      </c>
      <c r="BA33" s="2" t="s">
        <v>981</v>
      </c>
      <c r="BB33" s="2" t="s">
        <v>949</v>
      </c>
      <c r="BC33" s="2" t="s">
        <v>947</v>
      </c>
      <c r="BD33" s="2" t="s">
        <v>982</v>
      </c>
      <c r="BE33" s="2" t="s">
        <v>983</v>
      </c>
      <c r="BF33" s="2" t="s">
        <v>984</v>
      </c>
      <c r="BG33" s="2" t="s">
        <v>985</v>
      </c>
      <c r="BZ33" s="2" t="s">
        <v>71</v>
      </c>
      <c r="CA33" s="2" t="s">
        <v>1040</v>
      </c>
      <c r="CB33" s="2" t="s">
        <v>1041</v>
      </c>
      <c r="CC33" s="2" t="s">
        <v>1042</v>
      </c>
      <c r="CD33" s="2" t="s">
        <v>1043</v>
      </c>
      <c r="CE33" s="2" t="s">
        <v>1044</v>
      </c>
      <c r="CF33" s="2" t="s">
        <v>1045</v>
      </c>
      <c r="CG33" s="2" t="s">
        <v>1046</v>
      </c>
      <c r="CH33" s="2" t="s">
        <v>1047</v>
      </c>
      <c r="CI33" s="2" t="s">
        <v>1048</v>
      </c>
      <c r="CJ33" s="2" t="s">
        <v>1049</v>
      </c>
      <c r="CK33" s="2" t="s">
        <v>1050</v>
      </c>
      <c r="CL33" s="2" t="s">
        <v>1051</v>
      </c>
      <c r="CM33" s="2" t="s">
        <v>1052</v>
      </c>
      <c r="CN33" s="2" t="s">
        <v>1053</v>
      </c>
      <c r="CO33" s="2" t="s">
        <v>1054</v>
      </c>
    </row>
    <row r="34" spans="2:93" x14ac:dyDescent="0.3">
      <c r="M34" s="130"/>
      <c r="AZ34" s="2" t="s">
        <v>77</v>
      </c>
      <c r="BA34" s="34">
        <f t="shared" ref="BA34:BA40" si="50">BE4</f>
        <v>0.3</v>
      </c>
      <c r="BB34" s="34">
        <f t="shared" ref="BB34:BB40" si="51">BA34/$AW$10</f>
        <v>0.25</v>
      </c>
      <c r="BC34" s="156">
        <f>$AI$26</f>
        <v>0.31569910439798515</v>
      </c>
      <c r="BD34" s="154">
        <f>TAN(RADIANS(BA34+$AK$18))*$AI$12*2/$AK$4</f>
        <v>0.46847871380914036</v>
      </c>
      <c r="BE34" s="154">
        <f>TAN(RADIANS(BA34*2+$AK$18))*$AI$12*2/$AK$4</f>
        <v>0.62128401753398443</v>
      </c>
      <c r="BF34" s="154">
        <f>TAN(RADIANS(BA34*3+$AK$18))*$AI$12*2/$AK$4</f>
        <v>0.77412340304016103</v>
      </c>
      <c r="BG34" s="34">
        <f>(1-BC34)/(BF34-BC34)*BA34*3</f>
        <v>1.3434514877723198</v>
      </c>
      <c r="BZ34" s="2" t="s">
        <v>126</v>
      </c>
      <c r="CA34" s="158">
        <f>(MIN(IF(($CB$28+SQRT($CB$28^2+4*PI()*$CA28/360*($CT4^2/360*PI()*$CA28+$CY4*$AK$4/2-$CB$28*$CT4)))/2/PI()/$CA28*360&gt;$CT4,($CB$28+SQRT($CB$28^2+4*PI()*$CA28/360*($CT4^2/360*PI()*$CA28+$CY4*$AK$4/2-$CB$28*$CT4)))/2/PI()/$CA28*360,$CW4),IF(($CB$28-SQRT($CB$28^2+4*PI()*$CA28/360*($CT4^2/360*PI()*$CA28+$CY4*$AK$4/2-$CB$28*$CT4)))/2/PI()/$CA28*360&gt;$CT4,($CB$28-SQRT($CB$28^2+4*PI()*$CA28/360*($CT4^2/360*PI()*$CA28+$CY4*$AK$4/2-$CB$28*$CT4)))/2/PI()/$CA28*360,$CW4))-CT4)/CY4</f>
        <v>0.24632473172659483</v>
      </c>
      <c r="CB34" s="158">
        <f>(MIN(IF(($CB$29+SQRT($CB$29^2+4*PI()*$CA28/360*($CT4^2/360*PI()*$CA28+$CY4*$AK$5/2-$CB$29*$CT4)))/2/PI()/$CA28*360&gt;$CT4,($CB$29+SQRT($CB$29^2+4*PI()*$CA28/360*($CT4^2/360*PI()*$CA28+$CY4*$AK$5/2-$CB$29*$CT4)))/2/PI()/$CA28*360,$CW4),IF(($CB$29-SQRT($CB$29^2+4*PI()*$CA28/360*($CT4^2/360*PI()*$CA28+$CY4*$AK$5/2-$CB$29*$CT4)))/2/PI()/$CA28*360&gt;$CT4,($CB$29-SQRT($CB$29^2+4*PI()*$CA28/360*($CT4^2/360*PI()*$CA28+$CY4*$AK$5/2-$CB$29*$CT4)))/2/PI()/$CA28*360,$CW4))-CT4)/CY4</f>
        <v>0.2436267806128109</v>
      </c>
      <c r="CC34" s="158">
        <f>(MIN(IF(($CB$30+SQRT($CB$30^2+4*PI()*$CA28/360*($CT4^2/360*PI()*$CA28+$CY4*$AK$6/2-$CB$30*$CT4)))/2/PI()/$CA28*360&gt;$CT4,($CB$30+SQRT($CB$30^2+4*PI()*$CA28/360*($CT4^2/360*PI()*$CA28+$CY4*$AK$6/2-$CB$30*$CT4)))/2/PI()/$CA28*360,$CW4),IF(($CB$30-SQRT($CB$30^2+4*PI()*$CA28/360*($CT4^2/360*PI()*$CA28+$CY4*$AK$6/2-$CB$30*$CT4)))/2/PI()/$CA28*360&gt;$CT4,($CB$30-SQRT($CB$30^2+4*PI()*$CA28/360*($CT4^2/360*PI()*$CA28+$CY4*$AK$6/2-$CB$30*$CT4)))/2/PI()/$CA28*360,$CW4))-CT4)/CY4</f>
        <v>0.23853543789153658</v>
      </c>
      <c r="CD34" s="34">
        <f>(MIN(IF(($CC$28+SQRT($CC$28^2+4*PI()*$CA28/360*($CT4^2/360*PI()*$CA28+$CY4*$AK$4/2-$CC$28*$CT4)))/2/PI()/$CA28*360&gt;$CT4,($CC$28+SQRT($CC$28^2+4*PI()*$CA28/360*($CT4^2/360*PI()*$CA28+$CY4*$AK$4/2-$CC$28*$CT4)))/2/PI()/$CA28*360,$CW4),IF(($CC$28-SQRT($CC$28^2+4*PI()*$CA28/360*($CT4^2/360*PI()*$CA28+$CY4*$AK$4/2-$CC$28*$CT4)))/2/PI()/$CA28*360&gt;$CT4,($CC$28-SQRT($CC$28^2+4*PI()*$CA28/360*($CT4^2/360*PI()*$CA28+$CY4*$AK$4/2-$CC$28*$CT4)))/2/PI()/$CA28*360,$CW4))-CT4)/CY4</f>
        <v>0.25285615822506757</v>
      </c>
      <c r="CE34" s="34">
        <f>(MIN(IF(($CC$29+SQRT($CC$29^2+4*PI()*$CA28/360*($CT4^2/360*PI()*$CA28+$CY4*$AK$5/2-$CC$29*$CT4)))/2/PI()/$CA28*360&gt;$CT4,($CC$29+SQRT($CC$29^2+4*PI()*$CA28/360*($CT4^2/360*PI()*$CA28+$CY4*$AK$5/2-$CC$29*$CT4)))/2/PI()/$CA28*360,$CW4),IF(($CC$29-SQRT($CC$29^2+4*PI()*$CA28/360*($CT4^2/360*PI()*$CA28+$CY4*$AK$5/2-$CC$29*$CT4)))/2/PI()/$CA28*360&gt;$CT4,($CC$29-SQRT($CC$29^2+4*PI()*$CA28/360*($CT4^2/360*PI()*$CA28+$CY4*$AK$5/2-$CC$29*$CT4)))/2/PI()/$CA28*360,$CW4))-CT4)/CY4</f>
        <v>0.24801798706560596</v>
      </c>
      <c r="CF34" s="34">
        <f>(MIN(IF(($CC$30+SQRT($CC$30^2+4*PI()*$CA28/360*($CT4^2/360*PI()*$CA28+$CY4*$AK$6/2-$CC$30*$CT4)))/2/PI()/$CA28*360&gt;$CT4,($CC$30+SQRT($CC$30^2+4*PI()*$CA28/360*($CT4^2/360*PI()*$CA28+$CY4*$AK$6/2-$CC$30*$CT4)))/2/PI()/$CA28*360,$CW4),IF(($CC$30-SQRT($CC$30^2+4*PI()*$CA28/360*($CT4^2/360*PI()*$CA28+$CY4*$AK$6/2-$CC$30*$CT4)))/2/PI()/$CA28*360&gt;$CT4,($CC$30-SQRT($CC$30^2+4*PI()*$CA28/360*($CT4^2/360*PI()*$CA28+$CY4*$AK$6/2-$CC$30*$CT4)))/2/PI()/$CA28*360,$CW4))-CT4)/CY4</f>
        <v>0.24218036704479817</v>
      </c>
      <c r="CG34" s="34">
        <f>(MIN(IF(($CD$28+SQRT($CD$28^2+4*PI()*$CA28/360*($CT4^2/360*PI()*$CA28+$CY4*$AK$4/2-$CD$28*$CT4)))/2/PI()/$CA28*360&gt;$CT4,($CD$28+SQRT($CD$28^2+4*PI()*$CA28/360*($CT4^2/360*PI()*$CA28+$CY4*$AK$4/2-$CD$28*$CT4)))/2/PI()/$CA28*360,$CW4),IF(($CD$28-SQRT($CD$28^2+4*PI()*$CA28/360*($CT4^2/360*PI()*$CA28+$CY4*$AK$4/2-$CD$28*$CT4)))/2/PI()/$CA28*360&gt;$CT4,($CD$28-SQRT($CD$28^2+4*PI()*$CA28/360*($CT4^2/360*PI()*$CA28+$CY4*$AK$4/2-$CD$28*$CT4)))/2/PI()/$CA28*360,$CW4))-CT4)/CY4</f>
        <v>0.25960009370449139</v>
      </c>
      <c r="CH34" s="34">
        <f>(MIN(IF(($CD$29+SQRT($CD$29^2+4*PI()*$CA28/360*($CT4^2/360*PI()*$CA28+$CY4*$AK$5/2-$CD$29*$CT4)))/2/PI()/$CA28*360&gt;$CT4,($CD$29+SQRT($CD$29^2+4*PI()*$CA28/360*($CT4^2/360*PI()*$CA28+$CY4*$AK$5/2-$CD$29*$CT4)))/2/PI()/$CA28*360,$CW4),IF(($CD$29-SQRT($CD$29^2+4*PI()*$CA28/360*($CT4^2/360*PI()*$CA28+$CY4*$AK$5/2-$CD$29*$CT4)))/2/PI()/$CA28*360&gt;$CT4,($CD$29-SQRT($CD$29^2+4*PI()*$CA28/360*($CT4^2/360*PI()*$CA28+$CY4*$AK$5/2-$CD$29*$CT4)))/2/PI()/$CA28*360,$CW4))-CT4)/CY4</f>
        <v>0.25251383436034247</v>
      </c>
      <c r="CI34" s="34">
        <f>(MIN(IF(($CD$30+SQRT($CD$30^2+4*PI()*$CA28/360*($CT4^2/360*PI()*$CA28+$CY4*$AK$6/2-$CD$30*$CT4)))/2/PI()/$CA28*360&gt;$CT4,($CD$30+SQRT($CD$30^2+4*PI()*$CA28/360*($CT4^2/360*PI()*$CA28+$CY4*$AK$6/2-$CD$30*$CT4)))/2/PI()/$CA28*360,$CW4),IF(($CD$30-SQRT($CD$30^2+4*PI()*$CA28/360*($CT4^2/360*PI()*$CA28+$CY4*$AK$6/2-$CD$30*$CT4)))/2/PI()/$CA28*360&gt;$CT4,($CD$30-SQRT($CD$30^2+4*PI()*$CA28/360*($CT4^2/360*PI()*$CA28+$CY4*$AK$6/2-$CD$30*$CT4)))/2/PI()/$CA28*360,$CW4))-CT4)/CY4</f>
        <v>0.2459009351201018</v>
      </c>
      <c r="CJ34" s="34">
        <f>(MIN(IF(($CE$28+SQRT($CE$28^2+4*PI()*$CA28/360*($CT4^2/360*PI()*$CA28+$CY4*$AK$4/2-$CE$28*$CT4)))/2/PI()/$CA28*360&gt;$CT4,($CE$28+SQRT($CE$28^2+4*PI()*$CA28/360*($CT4^2/360*PI()*$CA28+$CY4*$AK$4/2-$CE$28*$CT4)))/2/PI()/$CA28*360,$CW4),IF(($CE$28-SQRT($CE$28^2+4*PI()*$CA28/360*($CT4^2/360*PI()*$CA28+$CY4*$AK$4/2-$CE$28*$CT4)))/2/PI()/$CA28*360&gt;$CT4,($CE$28-SQRT($CE$28^2+4*PI()*$CA28/360*($CT4^2/360*PI()*$CA28+$CY4*$AK$4/2-$CE$28*$CT4)))/2/PI()/$CA28*360,$CW4))-CT4)/CY4</f>
        <v>0.26656004513063231</v>
      </c>
      <c r="CK34" s="34">
        <f>(MIN(IF(($CE$29+SQRT($CE$29^2+4*PI()*$CA28/360*($CT4^2/360*PI()*$CA28+$CY4*$AK$5/2-$CE$29*$CT4)))/2/PI()/$CA28*360&gt;$CT4,($CE$29+SQRT($CE$29^2+4*PI()*$CA28/360*($CT4^2/360*PI()*$CA28+$CY4*$AK$5/2-$CE$29*$CT4)))/2/PI()/$CA28*360,$CW4),IF(($CE$29-SQRT($CE$29^2+4*PI()*$CA28/360*($CT4^2/360*PI()*$CA28+$CY4*$AK$5/2-$CE$29*$CT4)))/2/PI()/$CA28*360&gt;$CT4,($CE$29-SQRT($CE$29^2+4*PI()*$CA28/360*($CT4^2/360*PI()*$CA28+$CY4*$AK$5/2-$CE$29*$CT4)))/2/PI()/$CA28*360,$CW4))-CT4)/CY4</f>
        <v>0.25711606494085548</v>
      </c>
      <c r="CL34" s="34">
        <f>(MIN(IF(($CE$30+SQRT($CE$30^2+4*PI()*$CA28/360*($CT4^2/360*PI()*$CA28+$CY4*$AK$6/2-$CE$30*$CT4)))/2/PI()/$CA28*360&gt;$CT4,($CE$30+SQRT($CE$30^2+4*PI()*$CA28/360*($CT4^2/360*PI()*$CA28+$CY4*$AK$6/2-$CE$30*$CT4)))/2/PI()/$CA28*360,$CW4),IF(($CE$30-SQRT($CE$30^2+4*PI()*$CA28/360*($CT4^2/360*PI()*$CA28+$CY4*$AK$6/2-$CE$30*$CT4)))/2/PI()/$CA28*360&gt;$CT4,($CE$30-SQRT($CE$30^2+4*PI()*$CA28/360*($CT4^2/360*PI()*$CA28+$CY4*$AK$6/2-$CE$30*$CT4)))/2/PI()/$CA28*360,$CW4))-CT4)/CY4</f>
        <v>0.24969834178603653</v>
      </c>
      <c r="CM34" s="34">
        <f>(MIN(IF(($CF$28+SQRT($CF$28^2+4*PI()*$CA28/360*($CT4^2/360*PI()*$CA28+$CY4*$AK$4/2-$CF$28*$CT4)))/2/PI()/$CA28*360&gt;$CT4,($CF$28+SQRT($CF$28^2+4*PI()*$CA28/360*($CT4^2/360*PI()*$CA28+$CY4*$AK$4/2-$CF$28*$CT4)))/2/PI()/$CA28*360,$CW4),IF(($CF$28-SQRT($CF$28^2+4*PI()*$CA28/360*($CT4^2/360*PI()*$CA28+$CY4*$AK$4/2-$CF$28*$CT4)))/2/PI()/$CA28*360&gt;$CT4,($CF$28-SQRT($CF$28^2+4*PI()*$CA28/360*($CT4^2/360*PI()*$CA28+$CY4*$AK$4/2-$CF$28*$CT4)))/2/PI()/$CA28*360,$CW4))-CT4)/CY4</f>
        <v>0.27373915406102983</v>
      </c>
      <c r="CN34" s="34">
        <f>(MIN(IF(($CF$29+SQRT($CF$29^2+4*PI()*$CA28/360*($CT4^2/360*PI()*$CA28+$CY4*$AK$5/2-$CF$29*$CT4)))/2/PI()/$CA28*360&gt;$CT4,($CF$29+SQRT($CF$29^2+4*PI()*$CA28/360*($CT4^2/360*PI()*$CA28+$CY4*$AK$5/2-$CF$29*$CT4)))/2/PI()/$CA28*360,$CW4),IF(($CF$29-SQRT($CF$29^2+4*PI()*$CA28/360*($CT4^2/360*PI()*$CA28+$CY4*$AK$5/2-$CF$29*$CT4)))/2/PI()/$CA28*360&gt;$CT4,($CF$29-SQRT($CF$29^2+4*PI()*$CA28/360*($CT4^2/360*PI()*$CA28+$CY4*$AK$5/2-$CF$29*$CT4)))/2/PI()/$CA28*360,$CW4))-CT4)/CY4</f>
        <v>0.26182636377176854</v>
      </c>
      <c r="CO34" s="34">
        <f>(MIN(IF(($CF$30+SQRT($CF$30^2+4*PI()*$CA28/360*($CT4^2/360*PI()*$CA28+$CY4*$AK$6/2-$CF$30*$CT4)))/2/PI()/$CA28*360&gt;$CT4,($CF$30+SQRT($CF$30^2+4*PI()*$CA28/360*($CT4^2/360*PI()*$CA28+$CY4*$AK$6/2-$CF$30*$CT4)))/2/PI()/$CA28*360,$CW4),IF(($CF$30-SQRT($CF$30^2+4*PI()*$CA28/360*($CT4^2/360*PI()*$CA28+$CY4*$AK$6/2-$CF$30*$CT4)))/2/PI()/$CA28*360&gt;$CT4,($CF$30-SQRT($CF$30^2+4*PI()*$CA28/360*($CT4^2/360*PI()*$CA28+$CY4*$AK$6/2-$CF$30*$CT4)))/2/PI()/$CA28*360,$CW4))-CT4)/CY4</f>
        <v>0.2535737634929715</v>
      </c>
    </row>
    <row r="35" spans="2:93" x14ac:dyDescent="0.3">
      <c r="AZ35" s="2" t="s">
        <v>78</v>
      </c>
      <c r="BA35" s="34">
        <f t="shared" si="50"/>
        <v>0.24</v>
      </c>
      <c r="BB35" s="34">
        <f t="shared" si="51"/>
        <v>0.2</v>
      </c>
      <c r="BC35" s="156">
        <f>$AI$26</f>
        <v>0.31569910439798515</v>
      </c>
      <c r="BD35" s="154">
        <f>TAN(RADIANS(BA35+$AK$18))*$AI$12*2/$AK$4</f>
        <v>0.43792100466988698</v>
      </c>
      <c r="BE35" s="154">
        <f>TAN(RADIANS(BA35*2+$AK$18))*$AI$12*2/$AK$4</f>
        <v>0.56015827607621238</v>
      </c>
      <c r="BF35" s="154">
        <f>TAN(RADIANS(BA35*3+$AK$18))*$AI$12*2/$AK$4</f>
        <v>0.68241521199299315</v>
      </c>
      <c r="BG35" s="34">
        <f t="shared" ref="BG35:BG40" si="52">(1-BC35)/(BF35-BC35)*BA35*3</f>
        <v>1.3435369612331631</v>
      </c>
      <c r="BZ35" s="2" t="s">
        <v>128</v>
      </c>
      <c r="CA35" s="158">
        <f>(MIN(IF(($CB$28+SQRT($CB$28^2+4*PI()*$CA29/360*($CT5^2/360*PI()*$CA29+$CY5*$AK$4/2-$CB$28*$CT5)))/2/PI()/$CA29*360&gt;$CT5,($CB$28+SQRT($CB$28^2+4*PI()*$CA29/360*($CT5^2/360*PI()*$CA29+$CY5*$AK$4/2-$CB$28*$CT5)))/2/PI()/$CA29*360,$CW5),IF(($CB$28-SQRT($CB$28^2+4*PI()*$CA29/360*($CT5^2/360*PI()*$CA29+$CY5*$AK$4/2-$CB$28*$CT5)))/2/PI()/$CA29*360&gt;$CT5,($CB$28-SQRT($CB$28^2+4*PI()*$CA29/360*($CT5^2/360*PI()*$CA29+$CY5*$AK$4/2-$CB$28*$CT5)))/2/PI()/$CA29*360,$CW5))-CT5)/CY5</f>
        <v>0.20397239935216901</v>
      </c>
      <c r="CB35" s="158">
        <f>(MIN(IF(($CB$29+SQRT($CB$29^2+4*PI()*$CA29/360*($CT5^2/360*PI()*$CA29+$CY5*$AK$5/2-$CB$29*$CT5)))/2/PI()/$CA29*360&gt;$CT5,($CB$29+SQRT($CB$29^2+4*PI()*$CA29/360*($CT5^2/360*PI()*$CA29+$CY5*$AK$5/2-$CB$29*$CT5)))/2/PI()/$CA29*360,$CW5),IF(($CB$29-SQRT($CB$29^2+4*PI()*$CA29/360*($CT5^2/360*PI()*$CA29+$CY5*$AK$5/2-$CB$29*$CT5)))/2/PI()/$CA29*360&gt;$CT5,($CB$29-SQRT($CB$29^2+4*PI()*$CA29/360*($CT5^2/360*PI()*$CA29+$CY5*$AK$5/2-$CB$29*$CT5)))/2/PI()/$CA29*360,$CW5))-CT5)/CY5</f>
        <v>0.20576693956594341</v>
      </c>
      <c r="CC35" s="158">
        <f>(MIN(IF(($CB$30+SQRT($CB$30^2+4*PI()*$CA29/360*($CT5^2/360*PI()*$CA29+$CY5*$AK$6/2-$CB$30*$CT5)))/2/PI()/$CA29*360&gt;$CT5,($CB$30+SQRT($CB$30^2+4*PI()*$CA29/360*($CT5^2/360*PI()*$CA29+$CY5*$AK$6/2-$CB$30*$CT5)))/2/PI()/$CA29*360,$CW5),IF(($CB$30-SQRT($CB$30^2+4*PI()*$CA29/360*($CT5^2/360*PI()*$CA29+$CY5*$AK$6/2-$CB$30*$CT5)))/2/PI()/$CA29*360&gt;$CT5,($CB$30-SQRT($CB$30^2+4*PI()*$CA29/360*($CT5^2/360*PI()*$CA29+$CY5*$AK$6/2-$CB$30*$CT5)))/2/PI()/$CA29*360,$CW5))-CT5)/CY5</f>
        <v>0.2026685092286212</v>
      </c>
      <c r="CD35" s="34">
        <f>(MIN(IF(($CC$28+SQRT($CC$28^2+4*PI()*$CA29/360*($CT5^2/360*PI()*$CA29+$CY5*$AK$4/2-$CC$28*$CT5)))/2/PI()/$CA29*360&gt;$CT5,($CC$28+SQRT($CC$28^2+4*PI()*$CA29/360*($CT5^2/360*PI()*$CA29+$CY5*$AK$4/2-$CC$28*$CT5)))/2/PI()/$CA29*360,$CW5),IF(($CC$28-SQRT($CC$28^2+4*PI()*$CA29/360*($CT5^2/360*PI()*$CA29+$CY5*$AK$4/2-$CC$28*$CT5)))/2/PI()/$CA29*360&gt;$CT5,($CC$28-SQRT($CC$28^2+4*PI()*$CA29/360*($CT5^2/360*PI()*$CA29+$CY5*$AK$4/2-$CC$28*$CT5)))/2/PI()/$CA29*360,$CW5))-CT5)/CY5</f>
        <v>0.2087961200417969</v>
      </c>
      <c r="CE35" s="34">
        <f>(MIN(IF(($CC$29+SQRT($CC$29^2+4*PI()*$CA29/360*($CT5^2/360*PI()*$CA29+$CY5*$AK$5/2-$CC$29*$CT5)))/2/PI()/$CA29*360&gt;$CT5,($CC$29+SQRT($CC$29^2+4*PI()*$CA29/360*($CT5^2/360*PI()*$CA29+$CY5*$AK$5/2-$CC$29*$CT5)))/2/PI()/$CA29*360,$CW5),IF(($CC$29-SQRT($CC$29^2+4*PI()*$CA29/360*($CT5^2/360*PI()*$CA29+$CY5*$AK$5/2-$CC$29*$CT5)))/2/PI()/$CA29*360&gt;$CT5,($CC$29-SQRT($CC$29^2+4*PI()*$CA29/360*($CT5^2/360*PI()*$CA29+$CY5*$AK$5/2-$CC$29*$CT5)))/2/PI()/$CA29*360,$CW5))-CT5)/CY5</f>
        <v>0.20907241233869384</v>
      </c>
      <c r="CF35" s="34">
        <f>(MIN(IF(($CC$30+SQRT($CC$30^2+4*PI()*$CA29/360*($CT5^2/360*PI()*$CA29+$CY5*$AK$6/2-$CC$30*$CT5)))/2/PI()/$CA29*360&gt;$CT5,($CC$30+SQRT($CC$30^2+4*PI()*$CA29/360*($CT5^2/360*PI()*$CA29+$CY5*$AK$6/2-$CC$30*$CT5)))/2/PI()/$CA29*360,$CW5),IF(($CC$30-SQRT($CC$30^2+4*PI()*$CA29/360*($CT5^2/360*PI()*$CA29+$CY5*$AK$6/2-$CC$30*$CT5)))/2/PI()/$CA29*360&gt;$CT5,($CC$30-SQRT($CC$30^2+4*PI()*$CA29/360*($CT5^2/360*PI()*$CA29+$CY5*$AK$6/2-$CC$30*$CT5)))/2/PI()/$CA29*360,$CW5))-CT5)/CY5</f>
        <v>0.2054280798329596</v>
      </c>
      <c r="CG35" s="34">
        <f>(MIN(IF(($CD$28+SQRT($CD$28^2+4*PI()*$CA29/360*($CT5^2/360*PI()*$CA29+$CY5*$AK$4/2-$CD$28*$CT5)))/2/PI()/$CA29*360&gt;$CT5,($CD$28+SQRT($CD$28^2+4*PI()*$CA29/360*($CT5^2/360*PI()*$CA29+$CY5*$AK$4/2-$CD$28*$CT5)))/2/PI()/$CA29*360,$CW5),IF(($CD$28-SQRT($CD$28^2+4*PI()*$CA29/360*($CT5^2/360*PI()*$CA29+$CY5*$AK$4/2-$CD$28*$CT5)))/2/PI()/$CA29*360&gt;$CT5,($CD$28-SQRT($CD$28^2+4*PI()*$CA29/360*($CT5^2/360*PI()*$CA29+$CY5*$AK$4/2-$CD$28*$CT5)))/2/PI()/$CA29*360,$CW5))-CT5)/CY5</f>
        <v>0.21377163828539725</v>
      </c>
      <c r="CH35" s="34">
        <f>(MIN(IF(($CD$29+SQRT($CD$29^2+4*PI()*$CA29/360*($CT5^2/360*PI()*$CA29+$CY5*$AK$5/2-$CD$29*$CT5)))/2/PI()/$CA29*360&gt;$CT5,($CD$29+SQRT($CD$29^2+4*PI()*$CA29/360*($CT5^2/360*PI()*$CA29+$CY5*$AK$5/2-$CD$29*$CT5)))/2/PI()/$CA29*360,$CW5),IF(($CD$29-SQRT($CD$29^2+4*PI()*$CA29/360*($CT5^2/360*PI()*$CA29+$CY5*$AK$5/2-$CD$29*$CT5)))/2/PI()/$CA29*360&gt;$CT5,($CD$29-SQRT($CD$29^2+4*PI()*$CA29/360*($CT5^2/360*PI()*$CA29+$CY5*$AK$5/2-$CD$29*$CT5)))/2/PI()/$CA29*360,$CW5))-CT5)/CY5</f>
        <v>0.21245224837153442</v>
      </c>
      <c r="CI35" s="34">
        <f>(MIN(IF(($CD$30+SQRT($CD$30^2+4*PI()*$CA29/360*($CT5^2/360*PI()*$CA29+$CY5*$AK$6/2-$CD$30*$CT5)))/2/PI()/$CA29*360&gt;$CT5,($CD$30+SQRT($CD$30^2+4*PI()*$CA29/360*($CT5^2/360*PI()*$CA29+$CY5*$AK$6/2-$CD$30*$CT5)))/2/PI()/$CA29*360,$CW5),IF(($CD$30-SQRT($CD$30^2+4*PI()*$CA29/360*($CT5^2/360*PI()*$CA29+$CY5*$AK$6/2-$CD$30*$CT5)))/2/PI()/$CA29*360&gt;$CT5,($CD$30-SQRT($CD$30^2+4*PI()*$CA29/360*($CT5^2/360*PI()*$CA29+$CY5*$AK$6/2-$CD$30*$CT5)))/2/PI()/$CA29*360,$CW5))-CT5)/CY5</f>
        <v>0.20824132998697789</v>
      </c>
      <c r="CJ35" s="34">
        <f>(MIN(IF(($CE$28+SQRT($CE$28^2+4*PI()*$CA29/360*($CT5^2/360*PI()*$CA29+$CY5*$AK$4/2-$CE$28*$CT5)))/2/PI()/$CA29*360&gt;$CT5,($CE$28+SQRT($CE$28^2+4*PI()*$CA29/360*($CT5^2/360*PI()*$CA29+$CY5*$AK$4/2-$CE$28*$CT5)))/2/PI()/$CA29*360,$CW5),IF(($CE$28-SQRT($CE$28^2+4*PI()*$CA29/360*($CT5^2/360*PI()*$CA29+$CY5*$AK$4/2-$CE$28*$CT5)))/2/PI()/$CA29*360&gt;$CT5,($CE$28-SQRT($CE$28^2+4*PI()*$CA29/360*($CT5^2/360*PI()*$CA29+$CY5*$AK$4/2-$CE$28*$CT5)))/2/PI()/$CA29*360,$CW5))-CT5)/CY5</f>
        <v>0.2189023143098765</v>
      </c>
      <c r="CK35" s="34">
        <f>(MIN(IF(($CE$29+SQRT($CE$29^2+4*PI()*$CA29/360*($CT5^2/360*PI()*$CA29+$CY5*$AK$5/2-$CE$29*$CT5)))/2/PI()/$CA29*360&gt;$CT5,($CE$29+SQRT($CE$29^2+4*PI()*$CA29/360*($CT5^2/360*PI()*$CA29+$CY5*$AK$5/2-$CE$29*$CT5)))/2/PI()/$CA29*360,$CW5),IF(($CE$29-SQRT($CE$29^2+4*PI()*$CA29/360*($CT5^2/360*PI()*$CA29+$CY5*$AK$5/2-$CE$29*$CT5)))/2/PI()/$CA29*360&gt;$CT5,($CE$29-SQRT($CE$29^2+4*PI()*$CA29/360*($CT5^2/360*PI()*$CA29+$CY5*$AK$5/2-$CE$29*$CT5)))/2/PI()/$CA29*360,$CW5))-CT5)/CY5</f>
        <v>0.21590783710357286</v>
      </c>
      <c r="CL35" s="34">
        <f>(MIN(IF(($CE$30+SQRT($CE$30^2+4*PI()*$CA29/360*($CT5^2/360*PI()*$CA29+$CY5*$AK$6/2-$CE$30*$CT5)))/2/PI()/$CA29*360&gt;$CT5,($CE$30+SQRT($CE$30^2+4*PI()*$CA29/360*($CT5^2/360*PI()*$CA29+$CY5*$AK$6/2-$CE$30*$CT5)))/2/PI()/$CA29*360,$CW5),IF(($CE$30-SQRT($CE$30^2+4*PI()*$CA29/360*($CT5^2/360*PI()*$CA29+$CY5*$AK$6/2-$CE$30*$CT5)))/2/PI()/$CA29*360&gt;$CT5,($CE$30-SQRT($CE$30^2+4*PI()*$CA29/360*($CT5^2/360*PI()*$CA29+$CY5*$AK$6/2-$CE$30*$CT5)))/2/PI()/$CA29*360,$CW5))-CT5)/CY5</f>
        <v>0.21110917596210932</v>
      </c>
      <c r="CM35" s="34">
        <f>(MIN(IF(($CF$28+SQRT($CF$28^2+4*PI()*$CA29/360*($CT5^2/360*PI()*$CA29+$CY5*$AK$4/2-$CF$28*$CT5)))/2/PI()/$CA29*360&gt;$CT5,($CF$28+SQRT($CF$28^2+4*PI()*$CA29/360*($CT5^2/360*PI()*$CA29+$CY5*$AK$4/2-$CF$28*$CT5)))/2/PI()/$CA29*360,$CW5),IF(($CF$28-SQRT($CF$28^2+4*PI()*$CA29/360*($CT5^2/360*PI()*$CA29+$CY5*$AK$4/2-$CF$28*$CT5)))/2/PI()/$CA29*360&gt;$CT5,($CF$28-SQRT($CF$28^2+4*PI()*$CA29/360*($CT5^2/360*PI()*$CA29+$CY5*$AK$4/2-$CF$28*$CT5)))/2/PI()/$CA29*360,$CW5))-CT5)/CY5</f>
        <v>0.22419136480308932</v>
      </c>
      <c r="CN35" s="34">
        <f>(MIN(IF(($CF$29+SQRT($CF$29^2+4*PI()*$CA29/360*($CT5^2/360*PI()*$CA29+$CY5*$AK$5/2-$CF$29*$CT5)))/2/PI()/$CA29*360&gt;$CT5,($CF$29+SQRT($CF$29^2+4*PI()*$CA29/360*($CT5^2/360*PI()*$CA29+$CY5*$AK$5/2-$CF$29*$CT5)))/2/PI()/$CA29*360,$CW5),IF(($CF$29-SQRT($CF$29^2+4*PI()*$CA29/360*($CT5^2/360*PI()*$CA29+$CY5*$AK$5/2-$CF$29*$CT5)))/2/PI()/$CA29*360&gt;$CT5,($CF$29-SQRT($CF$29^2+4*PI()*$CA29/360*($CT5^2/360*PI()*$CA29+$CY5*$AK$5/2-$CF$29*$CT5)))/2/PI()/$CA29*360,$CW5))-CT5)/CY5</f>
        <v>0.21944055116260722</v>
      </c>
      <c r="CO35" s="34">
        <f>(MIN(IF(($CF$30+SQRT($CF$30^2+4*PI()*$CA29/360*($CT5^2/360*PI()*$CA29+$CY5*$AK$6/2-$CF$30*$CT5)))/2/PI()/$CA29*360&gt;$CT5,($CF$30+SQRT($CF$30^2+4*PI()*$CA29/360*($CT5^2/360*PI()*$CA29+$CY5*$AK$6/2-$CF$30*$CT5)))/2/PI()/$CA29*360,$CW5),IF(($CF$30-SQRT($CF$30^2+4*PI()*$CA29/360*($CT5^2/360*PI()*$CA29+$CY5*$AK$6/2-$CF$30*$CT5)))/2/PI()/$CA29*360&gt;$CT5,($CF$30-SQRT($CF$30^2+4*PI()*$CA29/360*($CT5^2/360*PI()*$CA29+$CY5*$AK$6/2-$CF$30*$CT5)))/2/PI()/$CA29*360,$CW5))-CT5)/CY5</f>
        <v>0.21403252905858799</v>
      </c>
    </row>
    <row r="36" spans="2:93" x14ac:dyDescent="0.3">
      <c r="B36" s="1" t="s">
        <v>1055</v>
      </c>
      <c r="AZ36" s="2" t="s">
        <v>79</v>
      </c>
      <c r="BA36" s="34">
        <f t="shared" si="50"/>
        <v>0.89999999999999991</v>
      </c>
      <c r="BB36" s="34">
        <f t="shared" si="51"/>
        <v>0.75</v>
      </c>
      <c r="BC36" s="156">
        <f>$AI$26</f>
        <v>0.31569910439798515</v>
      </c>
      <c r="BD36" s="154">
        <f>TAN(RADIANS(BA36+$AK$18))*$AI$12*2/$AK$4</f>
        <v>0.77412340304016103</v>
      </c>
      <c r="BE36" s="154">
        <f>TAN(RADIANS(BA36*2+$AK$18))*$AI$12*2/$AK$4</f>
        <v>1.232930048211488</v>
      </c>
      <c r="BF36" s="154">
        <f>TAN(RADIANS(BA36*3+$AK$18))*$AI$12*2/$AK$4</f>
        <v>1.6923463072197371</v>
      </c>
      <c r="BG36" s="34">
        <f t="shared" si="52"/>
        <v>1.3421103201592517</v>
      </c>
      <c r="BZ36" s="2" t="s">
        <v>130</v>
      </c>
      <c r="CA36" s="158">
        <f>(MIN(IF(($CB$28+SQRT($CB$28^2+4*PI()*$CA30/360*($CT6^2/360*PI()*$CA30+$CY6*$AK$4/2-$CB$28*$CT6)))/2/PI()/$CA30*360&gt;$CT6,($CB$28+SQRT($CB$28^2+4*PI()*$CA30/360*($CT6^2/360*PI()*$CA30+$CY6*$AK$4/2-$CB$28*$CT6)))/2/PI()/$CA30*360,$CW6),IF(($CB$28-SQRT($CB$28^2+4*PI()*$CA30/360*($CT6^2/360*PI()*$CA30+$CY6*$AK$4/2-$CB$28*$CT6)))/2/PI()/$CA30*360&gt;$CT6,($CB$28-SQRT($CB$28^2+4*PI()*$CA30/360*($CT6^2/360*PI()*$CA30+$CY6*$AK$4/2-$CB$28*$CT6)))/2/PI()/$CA30*360,$CW6))-CT6)/CY6</f>
        <v>0.19630039259677501</v>
      </c>
      <c r="CB36" s="158">
        <f>(MIN(IF(($CB$29+SQRT($CB$29^2+4*PI()*$CA30/360*($CT6^2/360*PI()*$CA30+$CY6*$AK$5/2-$CB$29*$CT6)))/2/PI()/$CA30*360&gt;$CT6,($CB$29+SQRT($CB$29^2+4*PI()*$CA30/360*($CT6^2/360*PI()*$CA30+$CY6*$AK$5/2-$CB$29*$CT6)))/2/PI()/$CA30*360,$CW6),IF(($CB$29-SQRT($CB$29^2+4*PI()*$CA30/360*($CT6^2/360*PI()*$CA30+$CY6*$AK$5/2-$CB$29*$CT6)))/2/PI()/$CA30*360&gt;$CT6,($CB$29-SQRT($CB$29^2+4*PI()*$CA30/360*($CT6^2/360*PI()*$CA30+$CY6*$AK$5/2-$CB$29*$CT6)))/2/PI()/$CA30*360,$CW6))-CT6)/CY6</f>
        <v>0.19880030176798644</v>
      </c>
      <c r="CC36" s="158">
        <f>(MIN(IF(($CB$30+SQRT($CB$30^2+4*PI()*$CA30/360*($CT6^2/360*PI()*$CA30+$CY6*$AK$6/2-$CB$30*$CT6)))/2/PI()/$CA30*360&gt;$CT6,($CB$30+SQRT($CB$30^2+4*PI()*$CA30/360*($CT6^2/360*PI()*$CA30+$CY6*$AK$6/2-$CB$30*$CT6)))/2/PI()/$CA30*360,$CW6),IF(($CB$30-SQRT($CB$30^2+4*PI()*$CA30/360*($CT6^2/360*PI()*$CA30+$CY6*$AK$6/2-$CB$30*$CT6)))/2/PI()/$CA30*360&gt;$CT6,($CB$30-SQRT($CB$30^2+4*PI()*$CA30/360*($CT6^2/360*PI()*$CA30+$CY6*$AK$6/2-$CB$30*$CT6)))/2/PI()/$CA30*360,$CW6))-CT6)/CY6</f>
        <v>0.19603526783868969</v>
      </c>
      <c r="CD36" s="34">
        <f>(MIN(IF(($CC$28+SQRT($CC$28^2+4*PI()*$CA30/360*($CT6^2/360*PI()*$CA30+$CY6*$AK$4/2-$CC$28*$CT6)))/2/PI()/$CA30*360&gt;$CT6,($CC$28+SQRT($CC$28^2+4*PI()*$CA30/360*($CT6^2/360*PI()*$CA30+$CY6*$AK$4/2-$CC$28*$CT6)))/2/PI()/$CA30*360,$CW6),IF(($CC$28-SQRT($CC$28^2+4*PI()*$CA30/360*($CT6^2/360*PI()*$CA30+$CY6*$AK$4/2-$CC$28*$CT6)))/2/PI()/$CA30*360&gt;$CT6,($CC$28-SQRT($CC$28^2+4*PI()*$CA30/360*($CT6^2/360*PI()*$CA30+$CY6*$AK$4/2-$CC$28*$CT6)))/2/PI()/$CA30*360,$CW6))-CT6)/CY6</f>
        <v>0.20083001146973528</v>
      </c>
      <c r="CE36" s="34">
        <f>(MIN(IF(($CC$29+SQRT($CC$29^2+4*PI()*$CA30/360*($CT6^2/360*PI()*$CA30+$CY6*$AK$5/2-$CC$29*$CT6)))/2/PI()/$CA30*360&gt;$CT6,($CC$29+SQRT($CC$29^2+4*PI()*$CA30/360*($CT6^2/360*PI()*$CA30+$CY6*$AK$5/2-$CC$29*$CT6)))/2/PI()/$CA30*360,$CW6),IF(($CC$29-SQRT($CC$29^2+4*PI()*$CA30/360*($CT6^2/360*PI()*$CA30+$CY6*$AK$5/2-$CC$29*$CT6)))/2/PI()/$CA30*360&gt;$CT6,($CC$29-SQRT($CC$29^2+4*PI()*$CA30/360*($CT6^2/360*PI()*$CA30+$CY6*$AK$5/2-$CC$29*$CT6)))/2/PI()/$CA30*360,$CW6))-CT6)/CY6</f>
        <v>0.20191726904413876</v>
      </c>
      <c r="CF36" s="34">
        <f>(MIN(IF(($CC$30+SQRT($CC$30^2+4*PI()*$CA30/360*($CT6^2/360*PI()*$CA30+$CY6*$AK$6/2-$CC$30*$CT6)))/2/PI()/$CA30*360&gt;$CT6,($CC$30+SQRT($CC$30^2+4*PI()*$CA30/360*($CT6^2/360*PI()*$CA30+$CY6*$AK$6/2-$CC$30*$CT6)))/2/PI()/$CA30*360,$CW6),IF(($CC$30-SQRT($CC$30^2+4*PI()*$CA30/360*($CT6^2/360*PI()*$CA30+$CY6*$AK$6/2-$CC$30*$CT6)))/2/PI()/$CA30*360&gt;$CT6,($CC$30-SQRT($CC$30^2+4*PI()*$CA30/360*($CT6^2/360*PI()*$CA30+$CY6*$AK$6/2-$CC$30*$CT6)))/2/PI()/$CA30*360,$CW6))-CT6)/CY6</f>
        <v>0.19864067956039327</v>
      </c>
      <c r="CG36" s="34">
        <f>(MIN(IF(($CD$28+SQRT($CD$28^2+4*PI()*$CA30/360*($CT6^2/360*PI()*$CA30+$CY6*$AK$4/2-$CD$28*$CT6)))/2/PI()/$CA30*360&gt;$CT6,($CD$28+SQRT($CD$28^2+4*PI()*$CA30/360*($CT6^2/360*PI()*$CA30+$CY6*$AK$4/2-$CD$28*$CT6)))/2/PI()/$CA30*360,$CW6),IF(($CD$28-SQRT($CD$28^2+4*PI()*$CA30/360*($CT6^2/360*PI()*$CA30+$CY6*$AK$4/2-$CD$28*$CT6)))/2/PI()/$CA30*360&gt;$CT6,($CD$28-SQRT($CD$28^2+4*PI()*$CA30/360*($CT6^2/360*PI()*$CA30+$CY6*$AK$4/2-$CD$28*$CT6)))/2/PI()/$CA30*360,$CW6))-CT6)/CY6</f>
        <v>0.20550081706238982</v>
      </c>
      <c r="CH36" s="34">
        <f>(MIN(IF(($CD$29+SQRT($CD$29^2+4*PI()*$CA30/360*($CT6^2/360*PI()*$CA30+$CY6*$AK$5/2-$CD$29*$CT6)))/2/PI()/$CA30*360&gt;$CT6,($CD$29+SQRT($CD$29^2+4*PI()*$CA30/360*($CT6^2/360*PI()*$CA30+$CY6*$AK$5/2-$CD$29*$CT6)))/2/PI()/$CA30*360,$CW6),IF(($CD$29-SQRT($CD$29^2+4*PI()*$CA30/360*($CT6^2/360*PI()*$CA30+$CY6*$AK$5/2-$CD$29*$CT6)))/2/PI()/$CA30*360&gt;$CT6,($CD$29-SQRT($CD$29^2+4*PI()*$CA30/360*($CT6^2/360*PI()*$CA30+$CY6*$AK$5/2-$CD$29*$CT6)))/2/PI()/$CA30*360,$CW6))-CT6)/CY6</f>
        <v>0.20510342467139214</v>
      </c>
      <c r="CI36" s="34">
        <f>(MIN(IF(($CD$30+SQRT($CD$30^2+4*PI()*$CA30/360*($CT6^2/360*PI()*$CA30+$CY6*$AK$6/2-$CD$30*$CT6)))/2/PI()/$CA30*360&gt;$CT6,($CD$30+SQRT($CD$30^2+4*PI()*$CA30/360*($CT6^2/360*PI()*$CA30+$CY6*$AK$6/2-$CD$30*$CT6)))/2/PI()/$CA30*360,$CW6),IF(($CD$30-SQRT($CD$30^2+4*PI()*$CA30/360*($CT6^2/360*PI()*$CA30+$CY6*$AK$6/2-$CD$30*$CT6)))/2/PI()/$CA30*360&gt;$CT6,($CD$30-SQRT($CD$30^2+4*PI()*$CA30/360*($CT6^2/360*PI()*$CA30+$CY6*$AK$6/2-$CD$30*$CT6)))/2/PI()/$CA30*360,$CW6))-CT6)/CY6</f>
        <v>0.20129603814150709</v>
      </c>
      <c r="CJ36" s="34">
        <f>(MIN(IF(($CE$28+SQRT($CE$28^2+4*PI()*$CA30/360*($CT6^2/360*PI()*$CA30+$CY6*$AK$4/2-$CE$28*$CT6)))/2/PI()/$CA30*360&gt;$CT6,($CE$28+SQRT($CE$28^2+4*PI()*$CA30/360*($CT6^2/360*PI()*$CA30+$CY6*$AK$4/2-$CE$28*$CT6)))/2/PI()/$CA30*360,$CW6),IF(($CE$28-SQRT($CE$28^2+4*PI()*$CA30/360*($CT6^2/360*PI()*$CA30+$CY6*$AK$4/2-$CE$28*$CT6)))/2/PI()/$CA30*360&gt;$CT6,($CE$28-SQRT($CE$28^2+4*PI()*$CA30/360*($CT6^2/360*PI()*$CA30+$CY6*$AK$4/2-$CE$28*$CT6)))/2/PI()/$CA30*360,$CW6))-CT6)/CY6</f>
        <v>0.21031605899117076</v>
      </c>
      <c r="CK36" s="34">
        <f>(MIN(IF(($CE$29+SQRT($CE$29^2+4*PI()*$CA30/360*($CT6^2/360*PI()*$CA30+$CY6*$AK$5/2-$CE$29*$CT6)))/2/PI()/$CA30*360&gt;$CT6,($CE$29+SQRT($CE$29^2+4*PI()*$CA30/360*($CT6^2/360*PI()*$CA30+$CY6*$AK$5/2-$CE$29*$CT6)))/2/PI()/$CA30*360,$CW6),IF(($CE$29-SQRT($CE$29^2+4*PI()*$CA30/360*($CT6^2/360*PI()*$CA30+$CY6*$AK$5/2-$CE$29*$CT6)))/2/PI()/$CA30*360&gt;$CT6,($CE$29-SQRT($CE$29^2+4*PI()*$CA30/360*($CT6^2/360*PI()*$CA30+$CY6*$AK$5/2-$CE$29*$CT6)))/2/PI()/$CA30*360,$CW6))-CT6)/CY6</f>
        <v>0.20836008124036037</v>
      </c>
      <c r="CL36" s="34">
        <f>(MIN(IF(($CE$30+SQRT($CE$30^2+4*PI()*$CA30/360*($CT6^2/360*PI()*$CA30+$CY6*$AK$6/2-$CE$30*$CT6)))/2/PI()/$CA30*360&gt;$CT6,($CE$30+SQRT($CE$30^2+4*PI()*$CA30/360*($CT6^2/360*PI()*$CA30+$CY6*$AK$6/2-$CE$30*$CT6)))/2/PI()/$CA30*360,$CW6),IF(($CE$30-SQRT($CE$30^2+4*PI()*$CA30/360*($CT6^2/360*PI()*$CA30+$CY6*$AK$6/2-$CE$30*$CT6)))/2/PI()/$CA30*360&gt;$CT6,($CE$30-SQRT($CE$30^2+4*PI()*$CA30/360*($CT6^2/360*PI()*$CA30+$CY6*$AK$6/2-$CE$30*$CT6)))/2/PI()/$CA30*360,$CW6))-CT6)/CY6</f>
        <v>0.2040022038328885</v>
      </c>
      <c r="CM36" s="34">
        <f>(MIN(IF(($CF$28+SQRT($CF$28^2+4*PI()*$CA30/360*($CT6^2/360*PI()*$CA30+$CY6*$AK$4/2-$CF$28*$CT6)))/2/PI()/$CA30*360&gt;$CT6,($CF$28+SQRT($CF$28^2+4*PI()*$CA30/360*($CT6^2/360*PI()*$CA30+$CY6*$AK$4/2-$CF$28*$CT6)))/2/PI()/$CA30*360,$CW6),IF(($CF$28-SQRT($CF$28^2+4*PI()*$CA30/360*($CT6^2/360*PI()*$CA30+$CY6*$AK$4/2-$CF$28*$CT6)))/2/PI()/$CA30*360&gt;$CT6,($CF$28-SQRT($CF$28^2+4*PI()*$CA30/360*($CT6^2/360*PI()*$CA30+$CY6*$AK$4/2-$CF$28*$CT6)))/2/PI()/$CA30*360,$CW6))-CT6)/CY6</f>
        <v>0.21527887402941087</v>
      </c>
      <c r="CN36" s="34">
        <f>(MIN(IF(($CF$29+SQRT($CF$29^2+4*PI()*$CA30/360*($CT6^2/360*PI()*$CA30+$CY6*$AK$5/2-$CF$29*$CT6)))/2/PI()/$CA30*360&gt;$CT6,($CF$29+SQRT($CF$29^2+4*PI()*$CA30/360*($CT6^2/360*PI()*$CA30+$CY6*$AK$5/2-$CF$29*$CT6)))/2/PI()/$CA30*360,$CW6),IF(($CF$29-SQRT($CF$29^2+4*PI()*$CA30/360*($CT6^2/360*PI()*$CA30+$CY6*$AK$5/2-$CF$29*$CT6)))/2/PI()/$CA30*360&gt;$CT6,($CF$29-SQRT($CF$29^2+4*PI()*$CA30/360*($CT6^2/360*PI()*$CA30+$CY6*$AK$5/2-$CF$29*$CT6)))/2/PI()/$CA30*360,$CW6))-CT6)/CY6</f>
        <v>0.21168853956407832</v>
      </c>
      <c r="CO36" s="34">
        <f>(MIN(IF(($CF$30+SQRT($CF$30^2+4*PI()*$CA30/360*($CT6^2/360*PI()*$CA30+$CY6*$AK$6/2-$CF$30*$CT6)))/2/PI()/$CA30*360&gt;$CT6,($CF$30+SQRT($CF$30^2+4*PI()*$CA30/360*($CT6^2/360*PI()*$CA30+$CY6*$AK$6/2-$CF$30*$CT6)))/2/PI()/$CA30*360,$CW6),IF(($CF$30-SQRT($CF$30^2+4*PI()*$CA30/360*($CT6^2/360*PI()*$CA30+$CY6*$AK$6/2-$CF$30*$CT6)))/2/PI()/$CA30*360&gt;$CT6,($CF$30-SQRT($CF$30^2+4*PI()*$CA30/360*($CT6^2/360*PI()*$CA30+$CY6*$AK$6/2-$CF$30*$CT6)))/2/PI()/$CA30*360,$CW6))-CT6)/CY6</f>
        <v>0.20676003406012936</v>
      </c>
    </row>
    <row r="37" spans="2:93" x14ac:dyDescent="0.3">
      <c r="B37" s="2" t="s">
        <v>126</v>
      </c>
      <c r="C37" s="142">
        <f>MIN($Q$4:$Q$33)</f>
        <v>0.75</v>
      </c>
      <c r="D37" s="142">
        <f>MAX($L$4:$L$33)</f>
        <v>2.65</v>
      </c>
      <c r="E37" s="2">
        <f>标准坦克设计!C4</f>
        <v>1.05</v>
      </c>
      <c r="F37" s="2">
        <f>标准坦克设计!E4*E37</f>
        <v>0.42000000000000004</v>
      </c>
      <c r="G37" s="33">
        <f>标准坦克设计!E34</f>
        <v>1</v>
      </c>
      <c r="H37" s="2">
        <f>E37/$G$37*D37</f>
        <v>2.7825000000000002</v>
      </c>
      <c r="I37" s="2">
        <f>F37/$G$39*C37</f>
        <v>0.22500000000000003</v>
      </c>
      <c r="J37" s="2">
        <f>F37/$G$37*D37</f>
        <v>1.113</v>
      </c>
      <c r="K37" s="2">
        <f t="shared" ref="K37:L39" si="53">ROUND(I37/5,2)*5</f>
        <v>0.25</v>
      </c>
      <c r="L37" s="2">
        <f t="shared" si="53"/>
        <v>1.1000000000000001</v>
      </c>
      <c r="AZ37" s="2" t="s">
        <v>81</v>
      </c>
      <c r="BA37" s="34">
        <f t="shared" si="50"/>
        <v>1.2</v>
      </c>
      <c r="BB37" s="34">
        <f t="shared" si="51"/>
        <v>1</v>
      </c>
      <c r="BC37" s="156">
        <f>$AJ$26</f>
        <v>0.26756366402961101</v>
      </c>
      <c r="BD37" s="154">
        <f>TAN(RADIANS(BA37+$AK$18))*$AI$12*2/$AK$5</f>
        <v>0.78566242949887044</v>
      </c>
      <c r="BE37" s="154">
        <f>TAN(RADIANS(BA37*2+$AK$18))*$AI$12*2/$AK$5</f>
        <v>1.304451353242462</v>
      </c>
      <c r="BF37" s="154">
        <f>TAN(RADIANS(BA37*3+$AK$18))*$AI$12*2/$AK$5</f>
        <v>1.8243881921320115</v>
      </c>
      <c r="BG37" s="34">
        <f t="shared" si="52"/>
        <v>1.6936852945831582</v>
      </c>
      <c r="CL37" s="129"/>
    </row>
    <row r="38" spans="2:93" x14ac:dyDescent="0.3">
      <c r="B38" s="2" t="s">
        <v>128</v>
      </c>
      <c r="C38" s="142">
        <f>MIN($Q$4:$Q$33)</f>
        <v>0.75</v>
      </c>
      <c r="D38" s="142">
        <f>MAX($L$4:$L$33)</f>
        <v>2.65</v>
      </c>
      <c r="E38" s="2">
        <f>标准坦克设计!C5</f>
        <v>1.1499999999999999</v>
      </c>
      <c r="F38" s="2">
        <f>标准坦克设计!E7*E38</f>
        <v>0.51749999999999996</v>
      </c>
      <c r="G38" s="33">
        <f>标准坦克设计!E35</f>
        <v>1.2</v>
      </c>
      <c r="H38" s="2">
        <f>E38/$G$37*D38</f>
        <v>3.0474999999999999</v>
      </c>
      <c r="I38" s="2">
        <f>F38/$G$39*C38</f>
        <v>0.27723214285714287</v>
      </c>
      <c r="J38" s="2">
        <f>F38/$G$37*D38</f>
        <v>1.3713749999999998</v>
      </c>
      <c r="K38" s="2">
        <f t="shared" si="53"/>
        <v>0.3</v>
      </c>
      <c r="L38" s="2">
        <f t="shared" si="53"/>
        <v>1.35</v>
      </c>
      <c r="AZ38" s="2" t="s">
        <v>80</v>
      </c>
      <c r="BA38" s="34">
        <f t="shared" si="50"/>
        <v>0.6</v>
      </c>
      <c r="BB38" s="34">
        <f t="shared" si="51"/>
        <v>0.5</v>
      </c>
      <c r="BC38" s="156">
        <f>$AJ$26</f>
        <v>0.26756366402961101</v>
      </c>
      <c r="BD38" s="154">
        <f>TAN(RADIANS(BA38+$AK$18))*$AI$12*2/$AK$5</f>
        <v>0.52655527310229167</v>
      </c>
      <c r="BE38" s="154">
        <f>TAN(RADIANS(BA38*2+$AK$18))*$AI$12*2/$AK$5</f>
        <v>0.78566242949887044</v>
      </c>
      <c r="BF38" s="154">
        <f>TAN(RADIANS(BA38*3+$AK$18))*$AI$12*2/$AK$5</f>
        <v>1.0449420875638573</v>
      </c>
      <c r="BG38" s="34">
        <f t="shared" si="52"/>
        <v>1.6959377374443174</v>
      </c>
      <c r="BZ38" s="2"/>
      <c r="CA38" s="351" t="s">
        <v>1056</v>
      </c>
      <c r="CB38" s="351"/>
      <c r="CC38" s="351"/>
      <c r="CD38" s="351"/>
      <c r="CE38" s="351" t="s">
        <v>1057</v>
      </c>
      <c r="CF38" s="351"/>
      <c r="CG38" s="351"/>
      <c r="CH38" s="351"/>
      <c r="CI38" s="351" t="s">
        <v>1058</v>
      </c>
      <c r="CJ38" s="351"/>
      <c r="CK38" s="351"/>
      <c r="CL38" s="351"/>
    </row>
    <row r="39" spans="2:93" x14ac:dyDescent="0.3">
      <c r="B39" s="2" t="s">
        <v>130</v>
      </c>
      <c r="C39" s="142">
        <f>MIN($Q$4:$Q$33)</f>
        <v>0.75</v>
      </c>
      <c r="D39" s="142">
        <f>MAX($L$4:$L$33)</f>
        <v>2.65</v>
      </c>
      <c r="E39" s="2">
        <f>标准坦克设计!C6</f>
        <v>1.25</v>
      </c>
      <c r="F39" s="2">
        <f>标准坦克设计!E9*E39</f>
        <v>1.25</v>
      </c>
      <c r="G39" s="33">
        <f>标准坦克设计!E36</f>
        <v>1.4</v>
      </c>
      <c r="H39" s="2">
        <f>E39/$G$37*D39</f>
        <v>3.3125</v>
      </c>
      <c r="I39" s="2">
        <f>F39/$G$39*C39</f>
        <v>0.66964285714285721</v>
      </c>
      <c r="J39" s="2">
        <f>F39/$G$37*D39</f>
        <v>3.3125</v>
      </c>
      <c r="K39" s="2">
        <f t="shared" si="53"/>
        <v>0.65</v>
      </c>
      <c r="L39" s="2">
        <f t="shared" si="53"/>
        <v>3.3000000000000003</v>
      </c>
      <c r="AZ39" s="2" t="s">
        <v>83</v>
      </c>
      <c r="BA39" s="34">
        <f t="shared" si="50"/>
        <v>1.5</v>
      </c>
      <c r="BB39" s="34">
        <f t="shared" si="51"/>
        <v>1.25</v>
      </c>
      <c r="BC39" s="156">
        <f>$AK$26</f>
        <v>0.25868040825173549</v>
      </c>
      <c r="BD39" s="154">
        <f>TAN(RADIANS(BA39+$AK$18))*$AI$12*2/$AK$6</f>
        <v>0.8848894438966417</v>
      </c>
      <c r="BE39" s="154">
        <f>TAN(RADIANS(BA39*2+$AK$18))*$AI$12*2/$AK$6</f>
        <v>1.5123136854150359</v>
      </c>
      <c r="BF39" s="154">
        <f>TAN(RADIANS(BA39*3+$AK$18))*$AI$12*2/$AK$6</f>
        <v>2.1418202282757677</v>
      </c>
      <c r="BG39" s="34">
        <f t="shared" si="52"/>
        <v>1.7714766197364025</v>
      </c>
      <c r="BZ39" s="2" t="s">
        <v>71</v>
      </c>
      <c r="CA39" s="2" t="s">
        <v>1059</v>
      </c>
      <c r="CB39" s="2" t="s">
        <v>1060</v>
      </c>
      <c r="CC39" s="2" t="s">
        <v>1061</v>
      </c>
      <c r="CD39" s="2" t="s">
        <v>1062</v>
      </c>
      <c r="CE39" s="2" t="s">
        <v>1059</v>
      </c>
      <c r="CF39" s="2" t="s">
        <v>1060</v>
      </c>
      <c r="CG39" s="2" t="s">
        <v>1061</v>
      </c>
      <c r="CH39" s="2" t="s">
        <v>1062</v>
      </c>
      <c r="CI39" s="2" t="s">
        <v>1059</v>
      </c>
      <c r="CJ39" s="2" t="s">
        <v>1060</v>
      </c>
      <c r="CK39" s="2" t="s">
        <v>1061</v>
      </c>
      <c r="CL39" s="2" t="s">
        <v>1062</v>
      </c>
    </row>
    <row r="40" spans="2:93" x14ac:dyDescent="0.3">
      <c r="F40" s="124"/>
      <c r="G40" s="124"/>
      <c r="AZ40" s="2" t="s">
        <v>82</v>
      </c>
      <c r="BA40" s="34">
        <f t="shared" si="50"/>
        <v>0.89999999999999991</v>
      </c>
      <c r="BB40" s="34">
        <f t="shared" si="51"/>
        <v>0.75</v>
      </c>
      <c r="BC40" s="156">
        <f>$AK$26</f>
        <v>0.25868040825173549</v>
      </c>
      <c r="BD40" s="154">
        <f>TAN(RADIANS(BA40+$AK$18))*$AI$12*2/$AK$6</f>
        <v>0.63430828642201764</v>
      </c>
      <c r="BE40" s="154">
        <f>TAN(RADIANS(BA40*2+$AK$18))*$AI$12*2/$AK$6</f>
        <v>1.0102494551746188</v>
      </c>
      <c r="BF40" s="154">
        <f>TAN(RADIANS(BA40*3+$AK$18))*$AI$12*2/$AK$6</f>
        <v>1.3866901348666372</v>
      </c>
      <c r="BG40" s="34">
        <f t="shared" si="52"/>
        <v>1.7744198923948109</v>
      </c>
      <c r="BZ40" s="2" t="s">
        <v>126</v>
      </c>
      <c r="CA40" s="34">
        <f t="shared" ref="CA40:CD42" si="54">VLOOKUP($BZ$40,$BZ$33:$CO$36,MATCH(LEFT(CA$39,2)&amp;$BZ40&amp;(RIGHT(CA$39,1)*1+1),$BZ$33:$CO$33,0),FALSE)/VLOOKUP($BZ$40,$BZ$33:$CO$36,MATCH(LEFT(CA$39,2)&amp;$BZ40&amp;1,$BZ$33:$CO$33,0),FALSE)</f>
        <v>1.0265155124809888</v>
      </c>
      <c r="CB40" s="34">
        <f t="shared" si="54"/>
        <v>1.0538937437781577</v>
      </c>
      <c r="CC40" s="34">
        <f t="shared" si="54"/>
        <v>1.0821489310561694</v>
      </c>
      <c r="CD40" s="34">
        <f t="shared" si="54"/>
        <v>1.1112938280386044</v>
      </c>
      <c r="CE40" s="34">
        <f t="shared" ref="CE40:CH42" si="55">VLOOKUP($BZ$41,$BZ$33:$CO$36,MATCH(LEFT(CA$39,2)&amp;$BZ40&amp;(RIGHT(CA$39,1)*1+1),$BZ$33:$CO$33,0),FALSE)/VLOOKUP($BZ$41,$BZ$33:$CO$36,MATCH(LEFT(CA$39,2)&amp;$BZ40&amp;1,$BZ$33:$CO$33,0),FALSE)</f>
        <v>1.0236488892857483</v>
      </c>
      <c r="CF40" s="34">
        <f t="shared" si="55"/>
        <v>1.0480419849173286</v>
      </c>
      <c r="CG40" s="34">
        <f t="shared" si="55"/>
        <v>1.0731957608241407</v>
      </c>
      <c r="CH40" s="34">
        <f t="shared" si="55"/>
        <v>1.0991259872175705</v>
      </c>
      <c r="CI40" s="34">
        <f t="shared" ref="CI40:CL42" si="56">VLOOKUP($BZ$42,$BZ$33:$CO$36,MATCH(LEFT(CA$39,2)&amp;$BZ40&amp;(RIGHT(CA$39,1)*1+1),$BZ$33:$CO$33,0),FALSE)/VLOOKUP($BZ$42,$BZ$33:$CO$36,MATCH(LEFT(CA$39,2)&amp;$BZ40&amp;1,$BZ$33:$CO$33,0),FALSE)</f>
        <v>1.0230749353734847</v>
      </c>
      <c r="CJ40" s="34">
        <f t="shared" si="56"/>
        <v>1.0468691088382773</v>
      </c>
      <c r="CK40" s="34">
        <f t="shared" si="56"/>
        <v>1.0713990746986719</v>
      </c>
      <c r="CL40" s="34">
        <f t="shared" si="56"/>
        <v>1.0966808124098864</v>
      </c>
    </row>
    <row r="41" spans="2:93" x14ac:dyDescent="0.3">
      <c r="F41" s="124"/>
      <c r="G41" s="124"/>
      <c r="BZ41" s="2" t="s">
        <v>128</v>
      </c>
      <c r="CA41" s="34">
        <f t="shared" si="54"/>
        <v>1.0180243175308952</v>
      </c>
      <c r="CB41" s="34">
        <f t="shared" si="54"/>
        <v>1.0364781479489955</v>
      </c>
      <c r="CC41" s="34">
        <f t="shared" si="54"/>
        <v>1.0553686433573275</v>
      </c>
      <c r="CD41" s="34">
        <f t="shared" si="54"/>
        <v>1.0747027199275014</v>
      </c>
      <c r="CE41" s="34">
        <f t="shared" si="55"/>
        <v>1.0160641587017001</v>
      </c>
      <c r="CF41" s="34">
        <f t="shared" si="55"/>
        <v>1.0324897129718378</v>
      </c>
      <c r="CG41" s="34">
        <f t="shared" si="55"/>
        <v>1.0492834152999566</v>
      </c>
      <c r="CH41" s="34">
        <f t="shared" si="55"/>
        <v>1.0664519364748666</v>
      </c>
      <c r="CI41" s="34">
        <f t="shared" si="56"/>
        <v>1.0156788860400727</v>
      </c>
      <c r="CJ41" s="34">
        <f t="shared" si="56"/>
        <v>1.0317058014869709</v>
      </c>
      <c r="CK41" s="34">
        <f t="shared" si="56"/>
        <v>1.0480873488991524</v>
      </c>
      <c r="CL41" s="34">
        <f t="shared" si="56"/>
        <v>1.0648300715918095</v>
      </c>
    </row>
    <row r="42" spans="2:93" x14ac:dyDescent="0.3">
      <c r="F42" s="124"/>
      <c r="G42" s="124"/>
      <c r="BZ42" s="2" t="s">
        <v>130</v>
      </c>
      <c r="CA42" s="34">
        <f t="shared" si="54"/>
        <v>1.0152804513471032</v>
      </c>
      <c r="CB42" s="34">
        <f t="shared" si="54"/>
        <v>1.030877999905047</v>
      </c>
      <c r="CC42" s="34">
        <f t="shared" si="54"/>
        <v>1.0467976749835208</v>
      </c>
      <c r="CD42" s="34">
        <f t="shared" si="54"/>
        <v>1.0630444085556501</v>
      </c>
      <c r="CE42" s="34">
        <f t="shared" si="55"/>
        <v>1.0136161785313447</v>
      </c>
      <c r="CF42" s="34">
        <f t="shared" si="55"/>
        <v>1.0274972208537354</v>
      </c>
      <c r="CG42" s="34">
        <f t="shared" si="55"/>
        <v>1.0416476480022192</v>
      </c>
      <c r="CH42" s="34">
        <f t="shared" si="55"/>
        <v>1.0560719564831236</v>
      </c>
      <c r="CI42" s="34">
        <f t="shared" si="56"/>
        <v>1.0132905254775253</v>
      </c>
      <c r="CJ42" s="34">
        <f t="shared" si="56"/>
        <v>1.026835836024905</v>
      </c>
      <c r="CK42" s="34">
        <f t="shared" si="56"/>
        <v>1.0406403198875138</v>
      </c>
      <c r="CL42" s="34">
        <f t="shared" si="56"/>
        <v>1.0547083508987001</v>
      </c>
    </row>
    <row r="43" spans="2:93" x14ac:dyDescent="0.3">
      <c r="F43" s="124"/>
      <c r="G43" s="124"/>
    </row>
    <row r="44" spans="2:93" x14ac:dyDescent="0.3">
      <c r="F44" s="124"/>
      <c r="G44" s="124"/>
      <c r="BZ44" s="2"/>
      <c r="CA44" s="351" t="s">
        <v>1063</v>
      </c>
      <c r="CB44" s="351"/>
      <c r="CC44" s="351"/>
      <c r="CD44" s="351"/>
      <c r="CE44" s="351" t="s">
        <v>1064</v>
      </c>
      <c r="CF44" s="351"/>
      <c r="CG44" s="351"/>
      <c r="CH44" s="351"/>
      <c r="CI44" s="351" t="s">
        <v>1065</v>
      </c>
      <c r="CJ44" s="351"/>
      <c r="CK44" s="351"/>
      <c r="CL44" s="351"/>
      <c r="CM44" s="2"/>
    </row>
    <row r="45" spans="2:93" x14ac:dyDescent="0.3">
      <c r="F45" s="124"/>
      <c r="G45" s="124"/>
      <c r="BZ45" s="2" t="s">
        <v>71</v>
      </c>
      <c r="CA45" s="2" t="s">
        <v>1066</v>
      </c>
      <c r="CB45" s="2" t="s">
        <v>1066</v>
      </c>
      <c r="CC45" s="2" t="s">
        <v>1066</v>
      </c>
      <c r="CD45" s="2" t="s">
        <v>1066</v>
      </c>
      <c r="CE45" s="2" t="s">
        <v>1066</v>
      </c>
      <c r="CF45" s="2" t="s">
        <v>1066</v>
      </c>
      <c r="CG45" s="2" t="s">
        <v>1066</v>
      </c>
      <c r="CH45" s="2" t="s">
        <v>1066</v>
      </c>
      <c r="CI45" s="2" t="s">
        <v>1066</v>
      </c>
      <c r="CJ45" s="2" t="s">
        <v>1066</v>
      </c>
      <c r="CK45" s="2" t="s">
        <v>1066</v>
      </c>
      <c r="CL45" s="2" t="s">
        <v>1066</v>
      </c>
      <c r="CM45" s="2" t="s">
        <v>1067</v>
      </c>
    </row>
    <row r="46" spans="2:93" x14ac:dyDescent="0.3">
      <c r="F46" s="124"/>
      <c r="G46" s="124"/>
      <c r="BZ46" s="2" t="s">
        <v>126</v>
      </c>
      <c r="CA46" s="34">
        <f>(CA40-1)/0.05</f>
        <v>0.53031024961977646</v>
      </c>
      <c r="CB46" s="34">
        <f>(CB40-1)/0.1</f>
        <v>0.53893743778157699</v>
      </c>
      <c r="CC46" s="34">
        <f>(CC40-1)/0.15</f>
        <v>0.54765954037446263</v>
      </c>
      <c r="CD46" s="34">
        <f>(CD40-1)/0.2</f>
        <v>0.55646914019302218</v>
      </c>
      <c r="CE46" s="34">
        <f>(CE40-1)/0.05</f>
        <v>0.47297778571496529</v>
      </c>
      <c r="CF46" s="34">
        <f>(CF40-1)/0.1</f>
        <v>0.48041984917328584</v>
      </c>
      <c r="CG46" s="34">
        <f>(CG40-1)/0.15</f>
        <v>0.4879717388276047</v>
      </c>
      <c r="CH46" s="34">
        <f>(CH40-1)/0.2</f>
        <v>0.49562993608785244</v>
      </c>
      <c r="CI46" s="34">
        <f>(CI40-1)/0.05</f>
        <v>0.46149870746969412</v>
      </c>
      <c r="CJ46" s="34">
        <f>(CJ40-1)/0.1</f>
        <v>0.46869108838277329</v>
      </c>
      <c r="CK46" s="34">
        <f>(CK40-1)/0.15</f>
        <v>0.47599383132447937</v>
      </c>
      <c r="CL46" s="34">
        <f>(CL40-1)/0.2</f>
        <v>0.48340406204943176</v>
      </c>
      <c r="CM46" s="34">
        <f>AVERAGE(CA46:CL46)</f>
        <v>0.4999969472499104</v>
      </c>
    </row>
    <row r="47" spans="2:93" x14ac:dyDescent="0.3">
      <c r="F47" s="124"/>
      <c r="G47" s="124"/>
      <c r="BZ47" s="2" t="s">
        <v>128</v>
      </c>
      <c r="CA47" s="34">
        <f>(CA41-1)/0.05</f>
        <v>0.36048635061790346</v>
      </c>
      <c r="CB47" s="34">
        <f>(CB41-1)/0.1</f>
        <v>0.3647814794899551</v>
      </c>
      <c r="CC47" s="34">
        <f>(CC41-1)/0.15</f>
        <v>0.36912428904884997</v>
      </c>
      <c r="CD47" s="34">
        <f>(CD41-1)/0.2</f>
        <v>0.37351359963750719</v>
      </c>
      <c r="CE47" s="34">
        <f>(CE41-1)/0.05</f>
        <v>0.32128317403400164</v>
      </c>
      <c r="CF47" s="34">
        <f>(CF41-1)/0.1</f>
        <v>0.32489712971837781</v>
      </c>
      <c r="CG47" s="34">
        <f>(CG41-1)/0.15</f>
        <v>0.32855610199971075</v>
      </c>
      <c r="CH47" s="34">
        <f>(CH41-1)/0.2</f>
        <v>0.3322596823743329</v>
      </c>
      <c r="CI47" s="34">
        <f>(CI41-1)/0.05</f>
        <v>0.31357772080145452</v>
      </c>
      <c r="CJ47" s="34">
        <f>(CJ41-1)/0.1</f>
        <v>0.31705801486970886</v>
      </c>
      <c r="CK47" s="34">
        <f>(CK41-1)/0.15</f>
        <v>0.32058232599434966</v>
      </c>
      <c r="CL47" s="34">
        <f>(CL41-1)/0.2</f>
        <v>0.32415035795904767</v>
      </c>
      <c r="CM47" s="34">
        <f>AVERAGE(CA47:CL47)</f>
        <v>0.33752251887876666</v>
      </c>
    </row>
    <row r="48" spans="2:93" x14ac:dyDescent="0.3">
      <c r="F48" s="124"/>
      <c r="G48" s="124"/>
      <c r="BZ48" s="2" t="s">
        <v>130</v>
      </c>
      <c r="CA48" s="34">
        <f>(CA42-1)/0.05</f>
        <v>0.30560902694206415</v>
      </c>
      <c r="CB48" s="34">
        <f>(CB42-1)/0.1</f>
        <v>0.30877999905047027</v>
      </c>
      <c r="CC48" s="34">
        <f>(CC42-1)/0.15</f>
        <v>0.31198449989013888</v>
      </c>
      <c r="CD48" s="34">
        <f>(CD42-1)/0.2</f>
        <v>0.31522204277825039</v>
      </c>
      <c r="CE48" s="34">
        <f>(CE42-1)/0.05</f>
        <v>0.27232357062689339</v>
      </c>
      <c r="CF48" s="34">
        <f>(CF42-1)/0.1</f>
        <v>0.27497220853735405</v>
      </c>
      <c r="CG48" s="34">
        <f>(CG42-1)/0.15</f>
        <v>0.27765098668146138</v>
      </c>
      <c r="CH48" s="34">
        <f>(CH42-1)/0.2</f>
        <v>0.28035978241561788</v>
      </c>
      <c r="CI48" s="34">
        <f>(CI42-1)/0.05</f>
        <v>0.26581050955050589</v>
      </c>
      <c r="CJ48" s="34">
        <f>(CJ42-1)/0.1</f>
        <v>0.26835836024905024</v>
      </c>
      <c r="CK48" s="34">
        <f>(CK42-1)/0.15</f>
        <v>0.27093546591675882</v>
      </c>
      <c r="CL48" s="34">
        <f>(CL42-1)/0.2</f>
        <v>0.27354175449350038</v>
      </c>
      <c r="CM48" s="34">
        <f>AVERAGE(CA48:CL48)</f>
        <v>0.28546235059433878</v>
      </c>
    </row>
    <row r="49" spans="6:90" x14ac:dyDescent="0.3">
      <c r="F49" s="124"/>
      <c r="G49" s="124"/>
    </row>
    <row r="50" spans="6:90" x14ac:dyDescent="0.3">
      <c r="F50" s="124"/>
      <c r="G50" s="124"/>
      <c r="CA50" s="129"/>
      <c r="CB50" s="129"/>
      <c r="CC50" s="129"/>
      <c r="CD50" s="129"/>
      <c r="CE50" s="129"/>
      <c r="CF50" s="129"/>
      <c r="CG50" s="129"/>
      <c r="CH50" s="129"/>
      <c r="CI50" s="129"/>
      <c r="CJ50" s="129"/>
      <c r="CK50" s="129"/>
      <c r="CL50" s="129"/>
    </row>
    <row r="51" spans="6:90" x14ac:dyDescent="0.3">
      <c r="F51" s="124"/>
      <c r="G51" s="124"/>
      <c r="CA51" s="129"/>
      <c r="CB51" s="129"/>
      <c r="CC51" s="129"/>
      <c r="CD51" s="129"/>
      <c r="CE51" s="129"/>
      <c r="CF51" s="129"/>
      <c r="CG51" s="129"/>
      <c r="CH51" s="129"/>
      <c r="CI51" s="129"/>
      <c r="CJ51" s="129"/>
      <c r="CK51" s="129"/>
      <c r="CL51" s="129"/>
    </row>
    <row r="52" spans="6:90" x14ac:dyDescent="0.3">
      <c r="F52" s="124"/>
      <c r="G52" s="124"/>
      <c r="CA52" s="129"/>
      <c r="CB52" s="129"/>
      <c r="CC52" s="129"/>
      <c r="CD52" s="129"/>
      <c r="CE52" s="129"/>
      <c r="CF52" s="129"/>
      <c r="CG52" s="129"/>
      <c r="CH52" s="129"/>
      <c r="CI52" s="129"/>
      <c r="CJ52" s="129"/>
      <c r="CK52" s="129"/>
      <c r="CL52" s="129"/>
    </row>
    <row r="53" spans="6:90" x14ac:dyDescent="0.3">
      <c r="F53" s="124"/>
      <c r="G53" s="124"/>
    </row>
    <row r="54" spans="6:90" x14ac:dyDescent="0.3">
      <c r="F54" s="124"/>
      <c r="G54" s="124"/>
    </row>
    <row r="55" spans="6:90" x14ac:dyDescent="0.3">
      <c r="F55" s="124"/>
      <c r="G55" s="124"/>
    </row>
    <row r="56" spans="6:90" x14ac:dyDescent="0.3">
      <c r="F56" s="124"/>
      <c r="G56" s="124"/>
    </row>
    <row r="57" spans="6:90" x14ac:dyDescent="0.3">
      <c r="F57" s="124"/>
      <c r="G57" s="124"/>
    </row>
    <row r="58" spans="6:90" x14ac:dyDescent="0.3">
      <c r="F58" s="124"/>
      <c r="G58" s="124"/>
    </row>
    <row r="59" spans="6:90" x14ac:dyDescent="0.3">
      <c r="F59" s="124"/>
      <c r="G59" s="124"/>
    </row>
    <row r="60" spans="6:90" x14ac:dyDescent="0.3">
      <c r="F60" s="124"/>
      <c r="G60" s="124"/>
    </row>
    <row r="61" spans="6:90" x14ac:dyDescent="0.3">
      <c r="F61" s="124"/>
      <c r="G61" s="124"/>
    </row>
    <row r="62" spans="6:90" x14ac:dyDescent="0.3">
      <c r="F62" s="124"/>
      <c r="G62" s="124"/>
    </row>
    <row r="63" spans="6:90" x14ac:dyDescent="0.3">
      <c r="F63" s="124"/>
      <c r="G63" s="124"/>
    </row>
    <row r="64" spans="6:90" x14ac:dyDescent="0.3">
      <c r="F64" s="124"/>
      <c r="G64" s="124"/>
    </row>
    <row r="65" spans="6:7" x14ac:dyDescent="0.3">
      <c r="F65" s="124"/>
      <c r="G65" s="124"/>
    </row>
  </sheetData>
  <mergeCells count="37">
    <mergeCell ref="B2:I2"/>
    <mergeCell ref="J2:AF2"/>
    <mergeCell ref="AH2:AK2"/>
    <mergeCell ref="AM2:AO2"/>
    <mergeCell ref="AQ2:AX2"/>
    <mergeCell ref="DE2:DH2"/>
    <mergeCell ref="AH8:AK8"/>
    <mergeCell ref="BZ8:CF8"/>
    <mergeCell ref="CQ8:CU8"/>
    <mergeCell ref="CV8:CY8"/>
    <mergeCell ref="DE8:DH8"/>
    <mergeCell ref="AZ2:BE2"/>
    <mergeCell ref="BI2:BK2"/>
    <mergeCell ref="BM2:BV2"/>
    <mergeCell ref="BZ2:CD2"/>
    <mergeCell ref="CQ2:CY2"/>
    <mergeCell ref="AZ12:BG12"/>
    <mergeCell ref="BM12:BV12"/>
    <mergeCell ref="AH14:AK14"/>
    <mergeCell ref="BZ14:CF14"/>
    <mergeCell ref="CQ14:DC14"/>
    <mergeCell ref="BZ20:CF20"/>
    <mergeCell ref="CH20:CN20"/>
    <mergeCell ref="CQ20:DA20"/>
    <mergeCell ref="AH22:AK22"/>
    <mergeCell ref="AZ22:BG22"/>
    <mergeCell ref="BM22:BX22"/>
    <mergeCell ref="AZ32:BG32"/>
    <mergeCell ref="BZ32:CO32"/>
    <mergeCell ref="CA38:CD38"/>
    <mergeCell ref="CE38:CH38"/>
    <mergeCell ref="CI38:CL38"/>
    <mergeCell ref="CA44:CD44"/>
    <mergeCell ref="CE44:CH44"/>
    <mergeCell ref="CI44:CL44"/>
    <mergeCell ref="BZ26:CF26"/>
    <mergeCell ref="CQ26:DA26"/>
  </mergeCells>
  <phoneticPr fontId="32" type="noConversion"/>
  <pageMargins left="0.7" right="0.7" top="0.75" bottom="0.75" header="0.3" footer="0.3"/>
  <pageSetup paperSize="9" orientation="portrait" r:id="rId1"/>
  <ignoredErrors>
    <ignoredError sqref="AI4:AJ6" formulaRange="1"/>
  </ignoredErrors>
  <legacy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5"/>
  <dimension ref="A1:R94"/>
  <sheetViews>
    <sheetView topLeftCell="A10" workbookViewId="0">
      <selection activeCell="J18" sqref="J18"/>
    </sheetView>
  </sheetViews>
  <sheetFormatPr defaultColWidth="9" defaultRowHeight="14.25" x14ac:dyDescent="0.3"/>
  <cols>
    <col min="1" max="3" width="9" style="1"/>
    <col min="4" max="4" width="9.5" style="1" customWidth="1"/>
    <col min="5" max="11" width="9" style="1"/>
    <col min="12" max="12" width="11.125" style="1" customWidth="1"/>
    <col min="13" max="16384" width="9" style="1"/>
  </cols>
  <sheetData>
    <row r="1" spans="1:18" x14ac:dyDescent="0.3">
      <c r="A1" s="1" t="s">
        <v>1068</v>
      </c>
      <c r="B1" s="1" t="s">
        <v>1069</v>
      </c>
      <c r="C1" s="1" t="s">
        <v>1070</v>
      </c>
      <c r="D1" s="1" t="s">
        <v>1071</v>
      </c>
      <c r="E1" s="1" t="s">
        <v>1072</v>
      </c>
      <c r="F1" s="1" t="s">
        <v>1073</v>
      </c>
      <c r="G1" s="1" t="s">
        <v>1074</v>
      </c>
      <c r="H1" s="1" t="s">
        <v>1075</v>
      </c>
      <c r="K1" s="1" t="s">
        <v>1076</v>
      </c>
      <c r="L1" s="1" t="s">
        <v>1077</v>
      </c>
      <c r="O1" s="1" t="s">
        <v>759</v>
      </c>
      <c r="P1" s="1" t="s">
        <v>1078</v>
      </c>
    </row>
    <row r="2" spans="1:18" x14ac:dyDescent="0.3">
      <c r="A2" s="124" t="s">
        <v>1079</v>
      </c>
      <c r="B2" s="1">
        <v>1111</v>
      </c>
      <c r="C2" s="1">
        <v>1</v>
      </c>
      <c r="D2" s="1">
        <v>10</v>
      </c>
      <c r="E2" s="1">
        <v>0</v>
      </c>
      <c r="F2" s="1">
        <v>1</v>
      </c>
      <c r="G2" s="1">
        <v>115</v>
      </c>
      <c r="H2" s="1">
        <f>VLOOKUP(B2,坦克标准养成属性!$D$5:$F$36,3,FALSE)</f>
        <v>1</v>
      </c>
      <c r="J2" s="1">
        <v>1</v>
      </c>
      <c r="K2" s="1">
        <f>SUMIFS($D$2:$D$94,$A$2:$A$94,J2)</f>
        <v>1230</v>
      </c>
      <c r="L2" s="1">
        <f>SUMIFS($D$2:$D$94,$A$2:$A$94,J2,$H$2:$H$94,1)</f>
        <v>480</v>
      </c>
      <c r="N2" s="1" t="s">
        <v>78</v>
      </c>
      <c r="O2" s="1">
        <f>AVERAGE(坦克等级成长!AN4:AN16)</f>
        <v>1258.4615384615386</v>
      </c>
      <c r="P2" s="1">
        <f>AVERAGE(坦克等级成长!AO4:AO16)</f>
        <v>75.615384615384613</v>
      </c>
      <c r="Q2" s="1">
        <f t="shared" ref="Q2:R4" si="0">ROUNDUP(O2/100,0)</f>
        <v>13</v>
      </c>
      <c r="R2" s="1">
        <f t="shared" si="0"/>
        <v>1</v>
      </c>
    </row>
    <row r="3" spans="1:18" x14ac:dyDescent="0.3">
      <c r="A3" s="124" t="s">
        <v>1079</v>
      </c>
      <c r="B3" s="1">
        <v>1111</v>
      </c>
      <c r="C3" s="1">
        <v>2</v>
      </c>
      <c r="D3" s="1">
        <v>20</v>
      </c>
      <c r="E3" s="1">
        <v>0</v>
      </c>
      <c r="F3" s="1">
        <v>2</v>
      </c>
      <c r="G3" s="1">
        <v>115</v>
      </c>
      <c r="H3" s="1">
        <f>VLOOKUP(B3,坦克标准养成属性!$D$5:$F$36,3,FALSE)</f>
        <v>1</v>
      </c>
      <c r="J3" s="1">
        <v>2</v>
      </c>
      <c r="K3" s="1">
        <f>SUMIFS($D$2:$D$94,$A$2:$A$94,J3)</f>
        <v>1230</v>
      </c>
      <c r="L3" s="1">
        <f>SUMIFS($D$2:$D$94,$A$2:$A$94,J3,$H$2:$H$94,1)</f>
        <v>480</v>
      </c>
      <c r="N3" s="1" t="s">
        <v>81</v>
      </c>
      <c r="O3" s="1">
        <f>AVERAGE(坦克等级成长!BL4:BL16)</f>
        <v>1326.0769230769231</v>
      </c>
      <c r="P3" s="1">
        <f>AVERAGE(坦克等级成长!BM4:BM16)</f>
        <v>154.84615384615384</v>
      </c>
      <c r="Q3" s="1">
        <f t="shared" si="0"/>
        <v>14</v>
      </c>
      <c r="R3" s="1">
        <f t="shared" si="0"/>
        <v>2</v>
      </c>
    </row>
    <row r="4" spans="1:18" x14ac:dyDescent="0.3">
      <c r="A4" s="124" t="s">
        <v>1079</v>
      </c>
      <c r="B4" s="1">
        <v>1111</v>
      </c>
      <c r="C4" s="1">
        <v>3</v>
      </c>
      <c r="D4" s="1">
        <v>30</v>
      </c>
      <c r="E4" s="1">
        <v>1</v>
      </c>
      <c r="F4" s="1">
        <v>3</v>
      </c>
      <c r="G4" s="1">
        <v>115</v>
      </c>
      <c r="H4" s="1">
        <f>VLOOKUP(B4,坦克标准养成属性!$D$5:$F$36,3,FALSE)</f>
        <v>1</v>
      </c>
      <c r="J4" s="1">
        <v>3</v>
      </c>
      <c r="K4" s="1">
        <f>SUMIFS($D$2:$D$94,$A$2:$A$94,J4)</f>
        <v>1350</v>
      </c>
      <c r="L4" s="1">
        <f>SUMIFS($D$2:$D$94,$A$2:$A$94,J4,$H$2:$H$94,1)</f>
        <v>600</v>
      </c>
      <c r="N4" s="1" t="s">
        <v>83</v>
      </c>
      <c r="O4" s="1">
        <f>AVERAGE(坦克等级成长!BT4:BT16)</f>
        <v>1431.8461538461538</v>
      </c>
      <c r="P4" s="1">
        <f>AVERAGE(坦克等级成长!BU4:BU16)</f>
        <v>497.61538461538464</v>
      </c>
      <c r="Q4" s="1">
        <f t="shared" si="0"/>
        <v>15</v>
      </c>
      <c r="R4" s="1">
        <f t="shared" si="0"/>
        <v>5</v>
      </c>
    </row>
    <row r="5" spans="1:18" x14ac:dyDescent="0.3">
      <c r="A5" s="124" t="s">
        <v>1079</v>
      </c>
      <c r="B5" s="1">
        <v>1211</v>
      </c>
      <c r="C5" s="1">
        <v>2</v>
      </c>
      <c r="D5" s="1">
        <v>20</v>
      </c>
      <c r="E5" s="1">
        <v>0</v>
      </c>
      <c r="F5" s="1">
        <v>1</v>
      </c>
      <c r="G5" s="1">
        <v>115</v>
      </c>
      <c r="H5" s="1">
        <f>VLOOKUP(B5,坦克标准养成属性!$D$5:$F$36,3,FALSE)</f>
        <v>1</v>
      </c>
    </row>
    <row r="6" spans="1:18" x14ac:dyDescent="0.3">
      <c r="A6" s="124" t="s">
        <v>1079</v>
      </c>
      <c r="B6" s="1">
        <v>1211</v>
      </c>
      <c r="C6" s="1">
        <v>3</v>
      </c>
      <c r="D6" s="1">
        <v>30</v>
      </c>
      <c r="E6" s="1">
        <v>0</v>
      </c>
      <c r="F6" s="1">
        <v>2</v>
      </c>
      <c r="G6" s="1">
        <v>115</v>
      </c>
      <c r="H6" s="1">
        <f>VLOOKUP(B6,坦克标准养成属性!$D$5:$F$36,3,FALSE)</f>
        <v>1</v>
      </c>
    </row>
    <row r="7" spans="1:18" x14ac:dyDescent="0.3">
      <c r="A7" s="124" t="s">
        <v>1079</v>
      </c>
      <c r="B7" s="1">
        <v>1211</v>
      </c>
      <c r="C7" s="1">
        <v>4</v>
      </c>
      <c r="D7" s="1">
        <v>40</v>
      </c>
      <c r="E7" s="1">
        <v>1</v>
      </c>
      <c r="F7" s="1">
        <v>3</v>
      </c>
      <c r="G7" s="1">
        <v>115</v>
      </c>
      <c r="H7" s="1">
        <f>VLOOKUP(B7,坦克标准养成属性!$D$5:$F$36,3,FALSE)</f>
        <v>1</v>
      </c>
      <c r="J7" s="1">
        <v>1</v>
      </c>
      <c r="K7" s="1" t="s">
        <v>78</v>
      </c>
      <c r="L7" s="1">
        <f>IF(J7=1,0,L6+VLOOKUP(K7,$N$2:$R$4,4,FALSE))</f>
        <v>0</v>
      </c>
      <c r="M7" s="1">
        <f>IF(J7=1,0,M6+VLOOKUP(K7,$N$2:$R$4,5,FALSE))</f>
        <v>0</v>
      </c>
      <c r="N7" s="1" t="str">
        <f>"["&amp;M7&amp;","&amp;L7&amp;"]"</f>
        <v>[0,0]</v>
      </c>
    </row>
    <row r="8" spans="1:18" x14ac:dyDescent="0.3">
      <c r="A8" s="124" t="s">
        <v>1079</v>
      </c>
      <c r="B8" s="1">
        <v>1221</v>
      </c>
      <c r="C8" s="1">
        <v>2</v>
      </c>
      <c r="D8" s="1">
        <v>20</v>
      </c>
      <c r="E8" s="1">
        <v>0</v>
      </c>
      <c r="F8" s="1">
        <v>1</v>
      </c>
      <c r="G8" s="1">
        <v>115</v>
      </c>
      <c r="H8" s="1">
        <f>VLOOKUP(B8,坦克标准养成属性!$D$5:$F$36,3,FALSE)</f>
        <v>1</v>
      </c>
      <c r="J8" s="1">
        <v>2</v>
      </c>
      <c r="K8" s="1" t="s">
        <v>78</v>
      </c>
      <c r="L8" s="1">
        <f t="shared" ref="L8:L36" si="1">IF(J8=1,0,L7+VLOOKUP(K8,$N$2:$R$4,4,FALSE))</f>
        <v>13</v>
      </c>
      <c r="M8" s="1">
        <f t="shared" ref="M8:M36" si="2">IF(J8=1,0,M7+VLOOKUP(K8,$N$2:$R$4,5,FALSE))</f>
        <v>1</v>
      </c>
      <c r="N8" s="1" t="str">
        <f t="shared" ref="N8:N36" si="3">"["&amp;M8&amp;","&amp;L8&amp;"]"</f>
        <v>[1,13]</v>
      </c>
    </row>
    <row r="9" spans="1:18" x14ac:dyDescent="0.3">
      <c r="A9" s="124" t="s">
        <v>1079</v>
      </c>
      <c r="B9" s="1">
        <v>1221</v>
      </c>
      <c r="C9" s="1">
        <v>3</v>
      </c>
      <c r="D9" s="1">
        <v>30</v>
      </c>
      <c r="E9" s="1">
        <v>0</v>
      </c>
      <c r="F9" s="1">
        <v>2</v>
      </c>
      <c r="G9" s="1">
        <v>115</v>
      </c>
      <c r="H9" s="1">
        <f>VLOOKUP(B9,坦克标准养成属性!$D$5:$F$36,3,FALSE)</f>
        <v>1</v>
      </c>
      <c r="J9" s="1">
        <v>3</v>
      </c>
      <c r="K9" s="1" t="s">
        <v>78</v>
      </c>
      <c r="L9" s="1">
        <f t="shared" si="1"/>
        <v>26</v>
      </c>
      <c r="M9" s="1">
        <f t="shared" si="2"/>
        <v>2</v>
      </c>
      <c r="N9" s="1" t="str">
        <f t="shared" si="3"/>
        <v>[2,26]</v>
      </c>
    </row>
    <row r="10" spans="1:18" x14ac:dyDescent="0.3">
      <c r="A10" s="124" t="s">
        <v>1079</v>
      </c>
      <c r="B10" s="1">
        <v>1221</v>
      </c>
      <c r="C10" s="1">
        <v>4</v>
      </c>
      <c r="D10" s="1">
        <v>40</v>
      </c>
      <c r="E10" s="1">
        <v>1</v>
      </c>
      <c r="F10" s="1">
        <v>3</v>
      </c>
      <c r="G10" s="1">
        <v>115</v>
      </c>
      <c r="H10" s="1">
        <f>VLOOKUP(B10,坦克标准养成属性!$D$5:$F$36,3,FALSE)</f>
        <v>1</v>
      </c>
      <c r="J10" s="1">
        <v>4</v>
      </c>
      <c r="K10" s="1" t="s">
        <v>78</v>
      </c>
      <c r="L10" s="1">
        <f t="shared" si="1"/>
        <v>39</v>
      </c>
      <c r="M10" s="1">
        <f t="shared" si="2"/>
        <v>3</v>
      </c>
      <c r="N10" s="1" t="str">
        <f t="shared" si="3"/>
        <v>[3,39]</v>
      </c>
    </row>
    <row r="11" spans="1:18" x14ac:dyDescent="0.3">
      <c r="A11" s="124" t="s">
        <v>1079</v>
      </c>
      <c r="B11" s="1">
        <v>1311</v>
      </c>
      <c r="C11" s="1">
        <v>3</v>
      </c>
      <c r="D11" s="1">
        <v>30</v>
      </c>
      <c r="E11" s="1">
        <v>0</v>
      </c>
      <c r="F11" s="1">
        <v>1</v>
      </c>
      <c r="G11" s="1">
        <v>115</v>
      </c>
      <c r="H11" s="1">
        <f>VLOOKUP(B11,坦克标准养成属性!$D$5:$F$36,3,FALSE)</f>
        <v>1</v>
      </c>
      <c r="J11" s="1">
        <v>5</v>
      </c>
      <c r="K11" s="1" t="s">
        <v>78</v>
      </c>
      <c r="L11" s="1">
        <f t="shared" si="1"/>
        <v>52</v>
      </c>
      <c r="M11" s="1">
        <f t="shared" si="2"/>
        <v>4</v>
      </c>
      <c r="N11" s="1" t="str">
        <f t="shared" si="3"/>
        <v>[4,52]</v>
      </c>
    </row>
    <row r="12" spans="1:18" x14ac:dyDescent="0.3">
      <c r="A12" s="124" t="s">
        <v>1079</v>
      </c>
      <c r="B12" s="1">
        <v>1311</v>
      </c>
      <c r="C12" s="1">
        <v>4</v>
      </c>
      <c r="D12" s="1">
        <v>40</v>
      </c>
      <c r="E12" s="1">
        <v>0</v>
      </c>
      <c r="F12" s="1">
        <v>2</v>
      </c>
      <c r="G12" s="1">
        <v>115</v>
      </c>
      <c r="H12" s="1">
        <f>VLOOKUP(B12,坦克标准养成属性!$D$5:$F$36,3,FALSE)</f>
        <v>1</v>
      </c>
      <c r="J12" s="1">
        <v>6</v>
      </c>
      <c r="K12" s="1" t="s">
        <v>78</v>
      </c>
      <c r="L12" s="1">
        <f t="shared" si="1"/>
        <v>65</v>
      </c>
      <c r="M12" s="1">
        <f t="shared" si="2"/>
        <v>5</v>
      </c>
      <c r="N12" s="1" t="str">
        <f t="shared" si="3"/>
        <v>[5,65]</v>
      </c>
    </row>
    <row r="13" spans="1:18" x14ac:dyDescent="0.3">
      <c r="A13" s="124" t="s">
        <v>1079</v>
      </c>
      <c r="B13" s="1">
        <v>1311</v>
      </c>
      <c r="C13" s="1">
        <v>5</v>
      </c>
      <c r="D13" s="1">
        <v>50</v>
      </c>
      <c r="E13" s="1">
        <v>1</v>
      </c>
      <c r="F13" s="1">
        <v>3</v>
      </c>
      <c r="G13" s="1">
        <v>115</v>
      </c>
      <c r="H13" s="1">
        <f>VLOOKUP(B13,坦克标准养成属性!$D$5:$F$36,3,FALSE)</f>
        <v>1</v>
      </c>
      <c r="J13" s="1">
        <v>7</v>
      </c>
      <c r="K13" s="1" t="s">
        <v>78</v>
      </c>
      <c r="L13" s="1">
        <f t="shared" si="1"/>
        <v>78</v>
      </c>
      <c r="M13" s="1">
        <f t="shared" si="2"/>
        <v>6</v>
      </c>
      <c r="N13" s="1" t="str">
        <f t="shared" si="3"/>
        <v>[6,78]</v>
      </c>
    </row>
    <row r="14" spans="1:18" x14ac:dyDescent="0.3">
      <c r="A14" s="124" t="s">
        <v>1079</v>
      </c>
      <c r="B14" s="1">
        <v>1321</v>
      </c>
      <c r="C14" s="1">
        <v>3</v>
      </c>
      <c r="D14" s="1">
        <v>30</v>
      </c>
      <c r="E14" s="1">
        <v>0</v>
      </c>
      <c r="F14" s="1">
        <v>1</v>
      </c>
      <c r="G14" s="1">
        <v>115</v>
      </c>
      <c r="H14" s="1">
        <f>VLOOKUP(B14,坦克标准养成属性!$D$5:$F$36,3,FALSE)</f>
        <v>1</v>
      </c>
      <c r="J14" s="1">
        <v>8</v>
      </c>
      <c r="K14" s="1" t="s">
        <v>78</v>
      </c>
      <c r="L14" s="1">
        <f t="shared" si="1"/>
        <v>91</v>
      </c>
      <c r="M14" s="1">
        <f t="shared" si="2"/>
        <v>7</v>
      </c>
      <c r="N14" s="1" t="str">
        <f t="shared" si="3"/>
        <v>[7,91]</v>
      </c>
    </row>
    <row r="15" spans="1:18" x14ac:dyDescent="0.3">
      <c r="A15" s="124" t="s">
        <v>1079</v>
      </c>
      <c r="B15" s="1">
        <v>1321</v>
      </c>
      <c r="C15" s="1">
        <v>4</v>
      </c>
      <c r="D15" s="1">
        <v>40</v>
      </c>
      <c r="E15" s="1">
        <v>0</v>
      </c>
      <c r="F15" s="1">
        <v>2</v>
      </c>
      <c r="G15" s="1">
        <v>115</v>
      </c>
      <c r="H15" s="1">
        <f>VLOOKUP(B15,坦克标准养成属性!$D$5:$F$36,3,FALSE)</f>
        <v>1</v>
      </c>
      <c r="J15" s="1">
        <v>9</v>
      </c>
      <c r="K15" s="1" t="s">
        <v>78</v>
      </c>
      <c r="L15" s="1">
        <f t="shared" si="1"/>
        <v>104</v>
      </c>
      <c r="M15" s="1">
        <f t="shared" si="2"/>
        <v>8</v>
      </c>
      <c r="N15" s="1" t="str">
        <f t="shared" si="3"/>
        <v>[8,104]</v>
      </c>
    </row>
    <row r="16" spans="1:18" x14ac:dyDescent="0.3">
      <c r="A16" s="124" t="s">
        <v>1079</v>
      </c>
      <c r="B16" s="1">
        <v>1321</v>
      </c>
      <c r="C16" s="1">
        <v>5</v>
      </c>
      <c r="D16" s="1">
        <v>50</v>
      </c>
      <c r="E16" s="1">
        <v>1</v>
      </c>
      <c r="F16" s="1">
        <v>3</v>
      </c>
      <c r="G16" s="1">
        <v>115</v>
      </c>
      <c r="H16" s="1">
        <f>VLOOKUP(B16,坦克标准养成属性!$D$5:$F$36,3,FALSE)</f>
        <v>1</v>
      </c>
      <c r="J16" s="1">
        <v>10</v>
      </c>
      <c r="K16" s="1" t="s">
        <v>78</v>
      </c>
      <c r="L16" s="1">
        <f t="shared" si="1"/>
        <v>117</v>
      </c>
      <c r="M16" s="1">
        <f t="shared" si="2"/>
        <v>9</v>
      </c>
      <c r="N16" s="1" t="str">
        <f t="shared" si="3"/>
        <v>[9,117]</v>
      </c>
    </row>
    <row r="17" spans="1:14" x14ac:dyDescent="0.3">
      <c r="A17" s="124" t="s">
        <v>1079</v>
      </c>
      <c r="B17" s="1">
        <v>1331</v>
      </c>
      <c r="C17" s="1">
        <v>3</v>
      </c>
      <c r="D17" s="1">
        <v>30</v>
      </c>
      <c r="E17" s="1">
        <v>0</v>
      </c>
      <c r="F17" s="1">
        <v>1</v>
      </c>
      <c r="G17" s="1">
        <v>115</v>
      </c>
      <c r="H17" s="1">
        <f>VLOOKUP(B17,坦克标准养成属性!$D$5:$F$36,3,FALSE)</f>
        <v>0</v>
      </c>
      <c r="J17" s="1">
        <v>1</v>
      </c>
      <c r="K17" s="1" t="s">
        <v>81</v>
      </c>
      <c r="L17" s="1">
        <f t="shared" si="1"/>
        <v>0</v>
      </c>
      <c r="M17" s="1">
        <f t="shared" si="2"/>
        <v>0</v>
      </c>
      <c r="N17" s="1" t="str">
        <f t="shared" si="3"/>
        <v>[0,0]</v>
      </c>
    </row>
    <row r="18" spans="1:14" x14ac:dyDescent="0.3">
      <c r="A18" s="124" t="s">
        <v>1079</v>
      </c>
      <c r="B18" s="1">
        <v>1331</v>
      </c>
      <c r="C18" s="1">
        <v>4</v>
      </c>
      <c r="D18" s="1">
        <v>40</v>
      </c>
      <c r="E18" s="1">
        <v>0</v>
      </c>
      <c r="F18" s="1">
        <v>2</v>
      </c>
      <c r="G18" s="1">
        <v>115</v>
      </c>
      <c r="H18" s="1">
        <f>VLOOKUP(B18,坦克标准养成属性!$D$5:$F$36,3,FALSE)</f>
        <v>0</v>
      </c>
      <c r="J18" s="1">
        <v>2</v>
      </c>
      <c r="K18" s="1" t="s">
        <v>81</v>
      </c>
      <c r="L18" s="1">
        <f t="shared" si="1"/>
        <v>14</v>
      </c>
      <c r="M18" s="1">
        <f t="shared" si="2"/>
        <v>2</v>
      </c>
      <c r="N18" s="1" t="str">
        <f t="shared" si="3"/>
        <v>[2,14]</v>
      </c>
    </row>
    <row r="19" spans="1:14" x14ac:dyDescent="0.3">
      <c r="A19" s="124" t="s">
        <v>1079</v>
      </c>
      <c r="B19" s="1">
        <v>1331</v>
      </c>
      <c r="C19" s="1">
        <v>5</v>
      </c>
      <c r="D19" s="1">
        <v>50</v>
      </c>
      <c r="E19" s="1">
        <v>1</v>
      </c>
      <c r="F19" s="1">
        <v>3</v>
      </c>
      <c r="G19" s="1">
        <v>115</v>
      </c>
      <c r="H19" s="1">
        <f>VLOOKUP(B19,坦克标准养成属性!$D$5:$F$36,3,FALSE)</f>
        <v>0</v>
      </c>
      <c r="J19" s="1">
        <v>3</v>
      </c>
      <c r="K19" s="1" t="s">
        <v>81</v>
      </c>
      <c r="L19" s="1">
        <f t="shared" si="1"/>
        <v>28</v>
      </c>
      <c r="M19" s="1">
        <f t="shared" si="2"/>
        <v>4</v>
      </c>
      <c r="N19" s="1" t="str">
        <f t="shared" si="3"/>
        <v>[4,28]</v>
      </c>
    </row>
    <row r="20" spans="1:14" x14ac:dyDescent="0.3">
      <c r="A20" s="124" t="s">
        <v>1079</v>
      </c>
      <c r="B20" s="1">
        <v>1411</v>
      </c>
      <c r="C20" s="1">
        <v>4</v>
      </c>
      <c r="D20" s="1">
        <v>40</v>
      </c>
      <c r="E20" s="1">
        <v>0</v>
      </c>
      <c r="F20" s="1">
        <v>1</v>
      </c>
      <c r="G20" s="1">
        <v>115</v>
      </c>
      <c r="H20" s="1">
        <f>VLOOKUP(B20,坦克标准养成属性!$D$5:$F$36,3,FALSE)</f>
        <v>0</v>
      </c>
      <c r="J20" s="1">
        <v>4</v>
      </c>
      <c r="K20" s="1" t="s">
        <v>81</v>
      </c>
      <c r="L20" s="1">
        <f t="shared" si="1"/>
        <v>42</v>
      </c>
      <c r="M20" s="1">
        <f t="shared" si="2"/>
        <v>6</v>
      </c>
      <c r="N20" s="1" t="str">
        <f t="shared" si="3"/>
        <v>[6,42]</v>
      </c>
    </row>
    <row r="21" spans="1:14" x14ac:dyDescent="0.3">
      <c r="A21" s="124" t="s">
        <v>1079</v>
      </c>
      <c r="B21" s="1">
        <v>1411</v>
      </c>
      <c r="C21" s="1">
        <v>5</v>
      </c>
      <c r="D21" s="1">
        <v>50</v>
      </c>
      <c r="E21" s="1">
        <v>0</v>
      </c>
      <c r="F21" s="1">
        <v>2</v>
      </c>
      <c r="G21" s="1">
        <v>115</v>
      </c>
      <c r="H21" s="1">
        <f>VLOOKUP(B21,坦克标准养成属性!$D$5:$F$36,3,FALSE)</f>
        <v>0</v>
      </c>
      <c r="J21" s="1">
        <v>5</v>
      </c>
      <c r="K21" s="1" t="s">
        <v>81</v>
      </c>
      <c r="L21" s="1">
        <f t="shared" si="1"/>
        <v>56</v>
      </c>
      <c r="M21" s="1">
        <f t="shared" si="2"/>
        <v>8</v>
      </c>
      <c r="N21" s="1" t="str">
        <f t="shared" si="3"/>
        <v>[8,56]</v>
      </c>
    </row>
    <row r="22" spans="1:14" x14ac:dyDescent="0.3">
      <c r="A22" s="124" t="s">
        <v>1079</v>
      </c>
      <c r="B22" s="1">
        <v>1411</v>
      </c>
      <c r="C22" s="1">
        <v>6</v>
      </c>
      <c r="D22" s="1">
        <v>60</v>
      </c>
      <c r="E22" s="1">
        <v>1</v>
      </c>
      <c r="F22" s="1">
        <v>3</v>
      </c>
      <c r="G22" s="1">
        <v>115</v>
      </c>
      <c r="H22" s="1">
        <f>VLOOKUP(B22,坦克标准养成属性!$D$5:$F$36,3,FALSE)</f>
        <v>0</v>
      </c>
      <c r="J22" s="1">
        <v>6</v>
      </c>
      <c r="K22" s="1" t="s">
        <v>81</v>
      </c>
      <c r="L22" s="1">
        <f t="shared" si="1"/>
        <v>70</v>
      </c>
      <c r="M22" s="1">
        <f t="shared" si="2"/>
        <v>10</v>
      </c>
      <c r="N22" s="1" t="str">
        <f t="shared" si="3"/>
        <v>[10,70]</v>
      </c>
    </row>
    <row r="23" spans="1:14" x14ac:dyDescent="0.3">
      <c r="A23" s="124" t="s">
        <v>1079</v>
      </c>
      <c r="B23" s="1">
        <v>1421</v>
      </c>
      <c r="C23" s="1">
        <v>4</v>
      </c>
      <c r="D23" s="1">
        <v>40</v>
      </c>
      <c r="E23" s="1">
        <v>0</v>
      </c>
      <c r="F23" s="1">
        <v>1</v>
      </c>
      <c r="G23" s="1">
        <v>115</v>
      </c>
      <c r="H23" s="1">
        <f>VLOOKUP(B23,坦克标准养成属性!$D$5:$F$36,3,FALSE)</f>
        <v>0</v>
      </c>
      <c r="J23" s="1">
        <v>7</v>
      </c>
      <c r="K23" s="1" t="s">
        <v>81</v>
      </c>
      <c r="L23" s="1">
        <f t="shared" si="1"/>
        <v>84</v>
      </c>
      <c r="M23" s="1">
        <f t="shared" si="2"/>
        <v>12</v>
      </c>
      <c r="N23" s="1" t="str">
        <f t="shared" si="3"/>
        <v>[12,84]</v>
      </c>
    </row>
    <row r="24" spans="1:14" x14ac:dyDescent="0.3">
      <c r="A24" s="124" t="s">
        <v>1079</v>
      </c>
      <c r="B24" s="1">
        <v>1421</v>
      </c>
      <c r="C24" s="1">
        <v>5</v>
      </c>
      <c r="D24" s="1">
        <v>50</v>
      </c>
      <c r="E24" s="1">
        <v>0</v>
      </c>
      <c r="F24" s="1">
        <v>2</v>
      </c>
      <c r="G24" s="1">
        <v>115</v>
      </c>
      <c r="H24" s="1">
        <f>VLOOKUP(B24,坦克标准养成属性!$D$5:$F$36,3,FALSE)</f>
        <v>0</v>
      </c>
      <c r="J24" s="1">
        <v>8</v>
      </c>
      <c r="K24" s="1" t="s">
        <v>81</v>
      </c>
      <c r="L24" s="1">
        <f t="shared" si="1"/>
        <v>98</v>
      </c>
      <c r="M24" s="1">
        <f t="shared" si="2"/>
        <v>14</v>
      </c>
      <c r="N24" s="1" t="str">
        <f t="shared" si="3"/>
        <v>[14,98]</v>
      </c>
    </row>
    <row r="25" spans="1:14" x14ac:dyDescent="0.3">
      <c r="A25" s="124" t="s">
        <v>1079</v>
      </c>
      <c r="B25" s="1">
        <v>1421</v>
      </c>
      <c r="C25" s="1">
        <v>6</v>
      </c>
      <c r="D25" s="1">
        <v>60</v>
      </c>
      <c r="E25" s="1">
        <v>1</v>
      </c>
      <c r="F25" s="1">
        <v>3</v>
      </c>
      <c r="G25" s="1">
        <v>115</v>
      </c>
      <c r="H25" s="1">
        <f>VLOOKUP(B25,坦克标准养成属性!$D$5:$F$36,3,FALSE)</f>
        <v>0</v>
      </c>
      <c r="J25" s="1">
        <v>9</v>
      </c>
      <c r="K25" s="1" t="s">
        <v>81</v>
      </c>
      <c r="L25" s="1">
        <f t="shared" si="1"/>
        <v>112</v>
      </c>
      <c r="M25" s="1">
        <f t="shared" si="2"/>
        <v>16</v>
      </c>
      <c r="N25" s="1" t="str">
        <f t="shared" si="3"/>
        <v>[16,112]</v>
      </c>
    </row>
    <row r="26" spans="1:14" x14ac:dyDescent="0.3">
      <c r="A26" s="124" t="s">
        <v>1079</v>
      </c>
      <c r="B26" s="1">
        <v>1431</v>
      </c>
      <c r="C26" s="1">
        <v>4</v>
      </c>
      <c r="D26" s="1">
        <v>40</v>
      </c>
      <c r="E26" s="1">
        <v>0</v>
      </c>
      <c r="F26" s="1">
        <v>1</v>
      </c>
      <c r="G26" s="1">
        <v>115</v>
      </c>
      <c r="H26" s="1">
        <f>VLOOKUP(B26,坦克标准养成属性!$D$5:$F$36,3,FALSE)</f>
        <v>0</v>
      </c>
      <c r="J26" s="1">
        <v>10</v>
      </c>
      <c r="K26" s="1" t="s">
        <v>81</v>
      </c>
      <c r="L26" s="1">
        <f t="shared" si="1"/>
        <v>126</v>
      </c>
      <c r="M26" s="1">
        <f t="shared" si="2"/>
        <v>18</v>
      </c>
      <c r="N26" s="1" t="str">
        <f t="shared" si="3"/>
        <v>[18,126]</v>
      </c>
    </row>
    <row r="27" spans="1:14" x14ac:dyDescent="0.3">
      <c r="A27" s="124" t="s">
        <v>1079</v>
      </c>
      <c r="B27" s="1">
        <v>1431</v>
      </c>
      <c r="C27" s="1">
        <v>5</v>
      </c>
      <c r="D27" s="1">
        <v>50</v>
      </c>
      <c r="E27" s="1">
        <v>0</v>
      </c>
      <c r="F27" s="1">
        <v>2</v>
      </c>
      <c r="G27" s="1">
        <v>115</v>
      </c>
      <c r="H27" s="1">
        <f>VLOOKUP(B27,坦克标准养成属性!$D$5:$F$36,3,FALSE)</f>
        <v>0</v>
      </c>
      <c r="J27" s="1">
        <v>1</v>
      </c>
      <c r="K27" s="1" t="s">
        <v>83</v>
      </c>
      <c r="L27" s="1">
        <f t="shared" si="1"/>
        <v>0</v>
      </c>
      <c r="M27" s="1">
        <f t="shared" si="2"/>
        <v>0</v>
      </c>
      <c r="N27" s="1" t="str">
        <f t="shared" si="3"/>
        <v>[0,0]</v>
      </c>
    </row>
    <row r="28" spans="1:14" x14ac:dyDescent="0.3">
      <c r="A28" s="124" t="s">
        <v>1079</v>
      </c>
      <c r="B28" s="1">
        <v>1431</v>
      </c>
      <c r="C28" s="1">
        <v>6</v>
      </c>
      <c r="D28" s="1">
        <v>60</v>
      </c>
      <c r="E28" s="1">
        <v>1</v>
      </c>
      <c r="F28" s="1">
        <v>3</v>
      </c>
      <c r="G28" s="1">
        <v>115</v>
      </c>
      <c r="H28" s="1">
        <f>VLOOKUP(B28,坦克标准养成属性!$D$5:$F$36,3,FALSE)</f>
        <v>0</v>
      </c>
      <c r="J28" s="1">
        <v>2</v>
      </c>
      <c r="K28" s="1" t="s">
        <v>83</v>
      </c>
      <c r="L28" s="1">
        <f t="shared" si="1"/>
        <v>15</v>
      </c>
      <c r="M28" s="1">
        <f t="shared" si="2"/>
        <v>5</v>
      </c>
      <c r="N28" s="1" t="str">
        <f t="shared" si="3"/>
        <v>[5,15]</v>
      </c>
    </row>
    <row r="29" spans="1:14" x14ac:dyDescent="0.3">
      <c r="A29" s="124" t="s">
        <v>1079</v>
      </c>
      <c r="B29" s="1">
        <v>1511</v>
      </c>
      <c r="C29" s="1">
        <v>5</v>
      </c>
      <c r="D29" s="1">
        <v>50</v>
      </c>
      <c r="E29" s="1">
        <v>0</v>
      </c>
      <c r="F29" s="1">
        <v>1</v>
      </c>
      <c r="G29" s="1">
        <v>115</v>
      </c>
      <c r="H29" s="1">
        <f>VLOOKUP(B29,坦克标准养成属性!$D$5:$F$36,3,FALSE)</f>
        <v>0</v>
      </c>
      <c r="J29" s="1">
        <v>3</v>
      </c>
      <c r="K29" s="1" t="s">
        <v>83</v>
      </c>
      <c r="L29" s="1">
        <f t="shared" si="1"/>
        <v>30</v>
      </c>
      <c r="M29" s="1">
        <f t="shared" si="2"/>
        <v>10</v>
      </c>
      <c r="N29" s="1" t="str">
        <f t="shared" si="3"/>
        <v>[10,30]</v>
      </c>
    </row>
    <row r="30" spans="1:14" x14ac:dyDescent="0.3">
      <c r="A30" s="124" t="s">
        <v>1079</v>
      </c>
      <c r="B30" s="1">
        <v>1511</v>
      </c>
      <c r="C30" s="1">
        <v>6</v>
      </c>
      <c r="D30" s="1">
        <v>60</v>
      </c>
      <c r="E30" s="1">
        <v>0</v>
      </c>
      <c r="F30" s="1">
        <v>2</v>
      </c>
      <c r="G30" s="1">
        <v>115</v>
      </c>
      <c r="H30" s="1">
        <f>VLOOKUP(B30,坦克标准养成属性!$D$5:$F$36,3,FALSE)</f>
        <v>0</v>
      </c>
      <c r="J30" s="1">
        <v>4</v>
      </c>
      <c r="K30" s="1" t="s">
        <v>83</v>
      </c>
      <c r="L30" s="1">
        <f t="shared" si="1"/>
        <v>45</v>
      </c>
      <c r="M30" s="1">
        <f t="shared" si="2"/>
        <v>15</v>
      </c>
      <c r="N30" s="1" t="str">
        <f t="shared" si="3"/>
        <v>[15,45]</v>
      </c>
    </row>
    <row r="31" spans="1:14" x14ac:dyDescent="0.3">
      <c r="A31" s="124" t="s">
        <v>1079</v>
      </c>
      <c r="B31" s="1">
        <v>1511</v>
      </c>
      <c r="C31" s="1">
        <v>7</v>
      </c>
      <c r="D31" s="1">
        <v>70</v>
      </c>
      <c r="E31" s="1">
        <v>1</v>
      </c>
      <c r="F31" s="1">
        <v>3</v>
      </c>
      <c r="G31" s="1">
        <v>115</v>
      </c>
      <c r="H31" s="1">
        <f>VLOOKUP(B31,坦克标准养成属性!$D$5:$F$36,3,FALSE)</f>
        <v>0</v>
      </c>
      <c r="J31" s="1">
        <v>5</v>
      </c>
      <c r="K31" s="1" t="s">
        <v>83</v>
      </c>
      <c r="L31" s="1">
        <f t="shared" si="1"/>
        <v>60</v>
      </c>
      <c r="M31" s="1">
        <f t="shared" si="2"/>
        <v>20</v>
      </c>
      <c r="N31" s="1" t="str">
        <f t="shared" si="3"/>
        <v>[20,60]</v>
      </c>
    </row>
    <row r="32" spans="1:14" x14ac:dyDescent="0.3">
      <c r="A32" s="124" t="s">
        <v>1080</v>
      </c>
      <c r="B32" s="1">
        <v>2111</v>
      </c>
      <c r="C32" s="1">
        <v>1</v>
      </c>
      <c r="D32" s="1">
        <v>10</v>
      </c>
      <c r="E32" s="1">
        <v>0</v>
      </c>
      <c r="F32" s="1">
        <v>1</v>
      </c>
      <c r="G32" s="1">
        <v>116</v>
      </c>
      <c r="H32" s="1">
        <f>VLOOKUP(B32,坦克标准养成属性!$D$5:$F$36,3,FALSE)</f>
        <v>1</v>
      </c>
      <c r="J32" s="1">
        <v>6</v>
      </c>
      <c r="K32" s="1" t="s">
        <v>83</v>
      </c>
      <c r="L32" s="1">
        <f t="shared" si="1"/>
        <v>75</v>
      </c>
      <c r="M32" s="1">
        <f t="shared" si="2"/>
        <v>25</v>
      </c>
      <c r="N32" s="1" t="str">
        <f t="shared" si="3"/>
        <v>[25,75]</v>
      </c>
    </row>
    <row r="33" spans="1:14" x14ac:dyDescent="0.3">
      <c r="A33" s="124" t="s">
        <v>1080</v>
      </c>
      <c r="B33" s="1">
        <v>2111</v>
      </c>
      <c r="C33" s="1">
        <v>2</v>
      </c>
      <c r="D33" s="1">
        <v>20</v>
      </c>
      <c r="E33" s="1">
        <v>0</v>
      </c>
      <c r="F33" s="1">
        <v>2</v>
      </c>
      <c r="G33" s="1">
        <v>116</v>
      </c>
      <c r="H33" s="1">
        <f>VLOOKUP(B33,坦克标准养成属性!$D$5:$F$36,3,FALSE)</f>
        <v>1</v>
      </c>
      <c r="J33" s="1">
        <v>7</v>
      </c>
      <c r="K33" s="1" t="s">
        <v>83</v>
      </c>
      <c r="L33" s="1">
        <f t="shared" si="1"/>
        <v>90</v>
      </c>
      <c r="M33" s="1">
        <f t="shared" si="2"/>
        <v>30</v>
      </c>
      <c r="N33" s="1" t="str">
        <f t="shared" si="3"/>
        <v>[30,90]</v>
      </c>
    </row>
    <row r="34" spans="1:14" x14ac:dyDescent="0.3">
      <c r="A34" s="124" t="s">
        <v>1080</v>
      </c>
      <c r="B34" s="1">
        <v>2111</v>
      </c>
      <c r="C34" s="1">
        <v>3</v>
      </c>
      <c r="D34" s="1">
        <v>30</v>
      </c>
      <c r="E34" s="1">
        <v>1</v>
      </c>
      <c r="F34" s="1">
        <v>3</v>
      </c>
      <c r="G34" s="1">
        <v>116</v>
      </c>
      <c r="H34" s="1">
        <f>VLOOKUP(B34,坦克标准养成属性!$D$5:$F$36,3,FALSE)</f>
        <v>1</v>
      </c>
      <c r="J34" s="1">
        <v>8</v>
      </c>
      <c r="K34" s="1" t="s">
        <v>83</v>
      </c>
      <c r="L34" s="1">
        <f t="shared" si="1"/>
        <v>105</v>
      </c>
      <c r="M34" s="1">
        <f t="shared" si="2"/>
        <v>35</v>
      </c>
      <c r="N34" s="1" t="str">
        <f t="shared" si="3"/>
        <v>[35,105]</v>
      </c>
    </row>
    <row r="35" spans="1:14" x14ac:dyDescent="0.3">
      <c r="A35" s="124" t="s">
        <v>1080</v>
      </c>
      <c r="B35" s="1">
        <v>2211</v>
      </c>
      <c r="C35" s="1">
        <v>2</v>
      </c>
      <c r="D35" s="1">
        <v>20</v>
      </c>
      <c r="E35" s="1">
        <v>0</v>
      </c>
      <c r="F35" s="1">
        <v>1</v>
      </c>
      <c r="G35" s="1">
        <v>116</v>
      </c>
      <c r="H35" s="1">
        <f>VLOOKUP(B35,坦克标准养成属性!$D$5:$F$36,3,FALSE)</f>
        <v>1</v>
      </c>
      <c r="J35" s="1">
        <v>9</v>
      </c>
      <c r="K35" s="1" t="s">
        <v>83</v>
      </c>
      <c r="L35" s="1">
        <f t="shared" si="1"/>
        <v>120</v>
      </c>
      <c r="M35" s="1">
        <f t="shared" si="2"/>
        <v>40</v>
      </c>
      <c r="N35" s="1" t="str">
        <f t="shared" si="3"/>
        <v>[40,120]</v>
      </c>
    </row>
    <row r="36" spans="1:14" x14ac:dyDescent="0.3">
      <c r="A36" s="124" t="s">
        <v>1080</v>
      </c>
      <c r="B36" s="1">
        <v>2211</v>
      </c>
      <c r="C36" s="1">
        <v>3</v>
      </c>
      <c r="D36" s="1">
        <v>30</v>
      </c>
      <c r="E36" s="1">
        <v>0</v>
      </c>
      <c r="F36" s="1">
        <v>2</v>
      </c>
      <c r="G36" s="1">
        <v>116</v>
      </c>
      <c r="H36" s="1">
        <f>VLOOKUP(B36,坦克标准养成属性!$D$5:$F$36,3,FALSE)</f>
        <v>1</v>
      </c>
      <c r="J36" s="1">
        <v>10</v>
      </c>
      <c r="K36" s="1" t="s">
        <v>83</v>
      </c>
      <c r="L36" s="1">
        <f t="shared" si="1"/>
        <v>135</v>
      </c>
      <c r="M36" s="1">
        <f t="shared" si="2"/>
        <v>45</v>
      </c>
      <c r="N36" s="1" t="str">
        <f t="shared" si="3"/>
        <v>[45,135]</v>
      </c>
    </row>
    <row r="37" spans="1:14" x14ac:dyDescent="0.3">
      <c r="A37" s="124" t="s">
        <v>1080</v>
      </c>
      <c r="B37" s="1">
        <v>2211</v>
      </c>
      <c r="C37" s="1">
        <v>4</v>
      </c>
      <c r="D37" s="1">
        <v>40</v>
      </c>
      <c r="E37" s="1">
        <v>1</v>
      </c>
      <c r="F37" s="1">
        <v>3</v>
      </c>
      <c r="G37" s="1">
        <v>116</v>
      </c>
      <c r="H37" s="1">
        <f>VLOOKUP(B37,坦克标准养成属性!$D$5:$F$36,3,FALSE)</f>
        <v>1</v>
      </c>
    </row>
    <row r="38" spans="1:14" x14ac:dyDescent="0.3">
      <c r="A38" s="124" t="s">
        <v>1080</v>
      </c>
      <c r="B38" s="1">
        <v>2221</v>
      </c>
      <c r="C38" s="1">
        <v>2</v>
      </c>
      <c r="D38" s="1">
        <v>20</v>
      </c>
      <c r="E38" s="1">
        <v>0</v>
      </c>
      <c r="F38" s="1">
        <v>1</v>
      </c>
      <c r="G38" s="1">
        <v>116</v>
      </c>
      <c r="H38" s="1">
        <f>VLOOKUP(B38,坦克标准养成属性!$D$5:$F$36,3,FALSE)</f>
        <v>1</v>
      </c>
    </row>
    <row r="39" spans="1:14" x14ac:dyDescent="0.3">
      <c r="A39" s="124" t="s">
        <v>1080</v>
      </c>
      <c r="B39" s="1">
        <v>2221</v>
      </c>
      <c r="C39" s="1">
        <v>3</v>
      </c>
      <c r="D39" s="1">
        <v>30</v>
      </c>
      <c r="E39" s="1">
        <v>0</v>
      </c>
      <c r="F39" s="1">
        <v>2</v>
      </c>
      <c r="G39" s="1">
        <v>116</v>
      </c>
      <c r="H39" s="1">
        <f>VLOOKUP(B39,坦克标准养成属性!$D$5:$F$36,3,FALSE)</f>
        <v>1</v>
      </c>
    </row>
    <row r="40" spans="1:14" x14ac:dyDescent="0.3">
      <c r="A40" s="124" t="s">
        <v>1080</v>
      </c>
      <c r="B40" s="1">
        <v>2221</v>
      </c>
      <c r="C40" s="1">
        <v>4</v>
      </c>
      <c r="D40" s="1">
        <v>40</v>
      </c>
      <c r="E40" s="1">
        <v>1</v>
      </c>
      <c r="F40" s="1">
        <v>3</v>
      </c>
      <c r="G40" s="1">
        <v>116</v>
      </c>
      <c r="H40" s="1">
        <f>VLOOKUP(B40,坦克标准养成属性!$D$5:$F$36,3,FALSE)</f>
        <v>1</v>
      </c>
    </row>
    <row r="41" spans="1:14" x14ac:dyDescent="0.3">
      <c r="A41" s="124" t="s">
        <v>1080</v>
      </c>
      <c r="B41" s="1">
        <v>2311</v>
      </c>
      <c r="C41" s="1">
        <v>3</v>
      </c>
      <c r="D41" s="1">
        <v>30</v>
      </c>
      <c r="E41" s="1">
        <v>0</v>
      </c>
      <c r="F41" s="1">
        <v>1</v>
      </c>
      <c r="G41" s="1">
        <v>116</v>
      </c>
      <c r="H41" s="1">
        <f>VLOOKUP(B41,坦克标准养成属性!$D$5:$F$36,3,FALSE)</f>
        <v>1</v>
      </c>
    </row>
    <row r="42" spans="1:14" x14ac:dyDescent="0.3">
      <c r="A42" s="124" t="s">
        <v>1080</v>
      </c>
      <c r="B42" s="1">
        <v>2311</v>
      </c>
      <c r="C42" s="1">
        <v>4</v>
      </c>
      <c r="D42" s="1">
        <v>40</v>
      </c>
      <c r="E42" s="1">
        <v>0</v>
      </c>
      <c r="F42" s="1">
        <v>2</v>
      </c>
      <c r="G42" s="1">
        <v>116</v>
      </c>
      <c r="H42" s="1">
        <f>VLOOKUP(B42,坦克标准养成属性!$D$5:$F$36,3,FALSE)</f>
        <v>1</v>
      </c>
    </row>
    <row r="43" spans="1:14" x14ac:dyDescent="0.3">
      <c r="A43" s="124" t="s">
        <v>1080</v>
      </c>
      <c r="B43" s="1">
        <v>2311</v>
      </c>
      <c r="C43" s="1">
        <v>5</v>
      </c>
      <c r="D43" s="1">
        <v>50</v>
      </c>
      <c r="E43" s="1">
        <v>1</v>
      </c>
      <c r="F43" s="1">
        <v>3</v>
      </c>
      <c r="G43" s="1">
        <v>116</v>
      </c>
      <c r="H43" s="1">
        <f>VLOOKUP(B43,坦克标准养成属性!$D$5:$F$36,3,FALSE)</f>
        <v>1</v>
      </c>
    </row>
    <row r="44" spans="1:14" x14ac:dyDescent="0.3">
      <c r="A44" s="124" t="s">
        <v>1080</v>
      </c>
      <c r="B44" s="1">
        <v>2321</v>
      </c>
      <c r="C44" s="1">
        <v>3</v>
      </c>
      <c r="D44" s="1">
        <v>30</v>
      </c>
      <c r="E44" s="1">
        <v>0</v>
      </c>
      <c r="F44" s="1">
        <v>1</v>
      </c>
      <c r="G44" s="1">
        <v>116</v>
      </c>
      <c r="H44" s="1">
        <f>VLOOKUP(B44,坦克标准养成属性!$D$5:$F$36,3,FALSE)</f>
        <v>1</v>
      </c>
    </row>
    <row r="45" spans="1:14" x14ac:dyDescent="0.3">
      <c r="A45" s="124" t="s">
        <v>1080</v>
      </c>
      <c r="B45" s="1">
        <v>2321</v>
      </c>
      <c r="C45" s="1">
        <v>4</v>
      </c>
      <c r="D45" s="1">
        <v>40</v>
      </c>
      <c r="E45" s="1">
        <v>0</v>
      </c>
      <c r="F45" s="1">
        <v>2</v>
      </c>
      <c r="G45" s="1">
        <v>116</v>
      </c>
      <c r="H45" s="1">
        <f>VLOOKUP(B45,坦克标准养成属性!$D$5:$F$36,3,FALSE)</f>
        <v>1</v>
      </c>
    </row>
    <row r="46" spans="1:14" x14ac:dyDescent="0.3">
      <c r="A46" s="124" t="s">
        <v>1080</v>
      </c>
      <c r="B46" s="1">
        <v>2321</v>
      </c>
      <c r="C46" s="1">
        <v>5</v>
      </c>
      <c r="D46" s="1">
        <v>50</v>
      </c>
      <c r="E46" s="1">
        <v>1</v>
      </c>
      <c r="F46" s="1">
        <v>3</v>
      </c>
      <c r="G46" s="1">
        <v>116</v>
      </c>
      <c r="H46" s="1">
        <f>VLOOKUP(B46,坦克标准养成属性!$D$5:$F$36,3,FALSE)</f>
        <v>1</v>
      </c>
    </row>
    <row r="47" spans="1:14" x14ac:dyDescent="0.3">
      <c r="A47" s="124" t="s">
        <v>1080</v>
      </c>
      <c r="B47" s="1">
        <v>2331</v>
      </c>
      <c r="C47" s="1">
        <v>3</v>
      </c>
      <c r="D47" s="1">
        <v>30</v>
      </c>
      <c r="E47" s="1">
        <v>0</v>
      </c>
      <c r="F47" s="1">
        <v>1</v>
      </c>
      <c r="G47" s="1">
        <v>116</v>
      </c>
      <c r="H47" s="1">
        <f>VLOOKUP(B47,坦克标准养成属性!$D$5:$F$36,3,FALSE)</f>
        <v>0</v>
      </c>
    </row>
    <row r="48" spans="1:14" x14ac:dyDescent="0.3">
      <c r="A48" s="124" t="s">
        <v>1080</v>
      </c>
      <c r="B48" s="1">
        <v>2331</v>
      </c>
      <c r="C48" s="1">
        <v>4</v>
      </c>
      <c r="D48" s="1">
        <v>40</v>
      </c>
      <c r="E48" s="1">
        <v>0</v>
      </c>
      <c r="F48" s="1">
        <v>2</v>
      </c>
      <c r="G48" s="1">
        <v>116</v>
      </c>
      <c r="H48" s="1">
        <f>VLOOKUP(B48,坦克标准养成属性!$D$5:$F$36,3,FALSE)</f>
        <v>0</v>
      </c>
    </row>
    <row r="49" spans="1:8" x14ac:dyDescent="0.3">
      <c r="A49" s="124" t="s">
        <v>1080</v>
      </c>
      <c r="B49" s="1">
        <v>2331</v>
      </c>
      <c r="C49" s="1">
        <v>5</v>
      </c>
      <c r="D49" s="1">
        <v>50</v>
      </c>
      <c r="E49" s="1">
        <v>1</v>
      </c>
      <c r="F49" s="1">
        <v>3</v>
      </c>
      <c r="G49" s="1">
        <v>116</v>
      </c>
      <c r="H49" s="1">
        <f>VLOOKUP(B49,坦克标准养成属性!$D$5:$F$36,3,FALSE)</f>
        <v>0</v>
      </c>
    </row>
    <row r="50" spans="1:8" x14ac:dyDescent="0.3">
      <c r="A50" s="124" t="s">
        <v>1080</v>
      </c>
      <c r="B50" s="1">
        <v>2411</v>
      </c>
      <c r="C50" s="1">
        <v>4</v>
      </c>
      <c r="D50" s="1">
        <v>40</v>
      </c>
      <c r="E50" s="1">
        <v>0</v>
      </c>
      <c r="F50" s="1">
        <v>1</v>
      </c>
      <c r="G50" s="1">
        <v>116</v>
      </c>
      <c r="H50" s="1">
        <f>VLOOKUP(B50,坦克标准养成属性!$D$5:$F$36,3,FALSE)</f>
        <v>0</v>
      </c>
    </row>
    <row r="51" spans="1:8" x14ac:dyDescent="0.3">
      <c r="A51" s="124" t="s">
        <v>1080</v>
      </c>
      <c r="B51" s="1">
        <v>2411</v>
      </c>
      <c r="C51" s="1">
        <v>5</v>
      </c>
      <c r="D51" s="1">
        <v>50</v>
      </c>
      <c r="E51" s="1">
        <v>0</v>
      </c>
      <c r="F51" s="1">
        <v>2</v>
      </c>
      <c r="G51" s="1">
        <v>116</v>
      </c>
      <c r="H51" s="1">
        <f>VLOOKUP(B51,坦克标准养成属性!$D$5:$F$36,3,FALSE)</f>
        <v>0</v>
      </c>
    </row>
    <row r="52" spans="1:8" x14ac:dyDescent="0.3">
      <c r="A52" s="124" t="s">
        <v>1080</v>
      </c>
      <c r="B52" s="1">
        <v>2411</v>
      </c>
      <c r="C52" s="1">
        <v>6</v>
      </c>
      <c r="D52" s="1">
        <v>60</v>
      </c>
      <c r="E52" s="1">
        <v>1</v>
      </c>
      <c r="F52" s="1">
        <v>3</v>
      </c>
      <c r="G52" s="1">
        <v>116</v>
      </c>
      <c r="H52" s="1">
        <f>VLOOKUP(B52,坦克标准养成属性!$D$5:$F$36,3,FALSE)</f>
        <v>0</v>
      </c>
    </row>
    <row r="53" spans="1:8" x14ac:dyDescent="0.3">
      <c r="A53" s="124" t="s">
        <v>1080</v>
      </c>
      <c r="B53" s="1">
        <v>2421</v>
      </c>
      <c r="C53" s="1">
        <v>4</v>
      </c>
      <c r="D53" s="1">
        <v>40</v>
      </c>
      <c r="E53" s="1">
        <v>0</v>
      </c>
      <c r="F53" s="1">
        <v>1</v>
      </c>
      <c r="G53" s="1">
        <v>116</v>
      </c>
      <c r="H53" s="1">
        <f>VLOOKUP(B53,坦克标准养成属性!$D$5:$F$36,3,FALSE)</f>
        <v>0</v>
      </c>
    </row>
    <row r="54" spans="1:8" x14ac:dyDescent="0.3">
      <c r="A54" s="124" t="s">
        <v>1080</v>
      </c>
      <c r="B54" s="1">
        <v>2421</v>
      </c>
      <c r="C54" s="1">
        <v>5</v>
      </c>
      <c r="D54" s="1">
        <v>50</v>
      </c>
      <c r="E54" s="1">
        <v>0</v>
      </c>
      <c r="F54" s="1">
        <v>2</v>
      </c>
      <c r="G54" s="1">
        <v>116</v>
      </c>
      <c r="H54" s="1">
        <f>VLOOKUP(B54,坦克标准养成属性!$D$5:$F$36,3,FALSE)</f>
        <v>0</v>
      </c>
    </row>
    <row r="55" spans="1:8" x14ac:dyDescent="0.3">
      <c r="A55" s="124" t="s">
        <v>1080</v>
      </c>
      <c r="B55" s="1">
        <v>2421</v>
      </c>
      <c r="C55" s="1">
        <v>6</v>
      </c>
      <c r="D55" s="1">
        <v>60</v>
      </c>
      <c r="E55" s="1">
        <v>1</v>
      </c>
      <c r="F55" s="1">
        <v>3</v>
      </c>
      <c r="G55" s="1">
        <v>116</v>
      </c>
      <c r="H55" s="1">
        <f>VLOOKUP(B55,坦克标准养成属性!$D$5:$F$36,3,FALSE)</f>
        <v>0</v>
      </c>
    </row>
    <row r="56" spans="1:8" x14ac:dyDescent="0.3">
      <c r="A56" s="124" t="s">
        <v>1080</v>
      </c>
      <c r="B56" s="1">
        <v>2431</v>
      </c>
      <c r="C56" s="1">
        <v>4</v>
      </c>
      <c r="D56" s="1">
        <v>40</v>
      </c>
      <c r="E56" s="1">
        <v>0</v>
      </c>
      <c r="F56" s="1">
        <v>1</v>
      </c>
      <c r="G56" s="1">
        <v>116</v>
      </c>
      <c r="H56" s="1">
        <f>VLOOKUP(B56,坦克标准养成属性!$D$5:$F$36,3,FALSE)</f>
        <v>0</v>
      </c>
    </row>
    <row r="57" spans="1:8" x14ac:dyDescent="0.3">
      <c r="A57" s="124" t="s">
        <v>1080</v>
      </c>
      <c r="B57" s="1">
        <v>2431</v>
      </c>
      <c r="C57" s="1">
        <v>5</v>
      </c>
      <c r="D57" s="1">
        <v>50</v>
      </c>
      <c r="E57" s="1">
        <v>0</v>
      </c>
      <c r="F57" s="1">
        <v>2</v>
      </c>
      <c r="G57" s="1">
        <v>116</v>
      </c>
      <c r="H57" s="1">
        <f>VLOOKUP(B57,坦克标准养成属性!$D$5:$F$36,3,FALSE)</f>
        <v>0</v>
      </c>
    </row>
    <row r="58" spans="1:8" x14ac:dyDescent="0.3">
      <c r="A58" s="124" t="s">
        <v>1080</v>
      </c>
      <c r="B58" s="1">
        <v>2431</v>
      </c>
      <c r="C58" s="1">
        <v>6</v>
      </c>
      <c r="D58" s="1">
        <v>60</v>
      </c>
      <c r="E58" s="1">
        <v>1</v>
      </c>
      <c r="F58" s="1">
        <v>3</v>
      </c>
      <c r="G58" s="1">
        <v>116</v>
      </c>
      <c r="H58" s="1">
        <f>VLOOKUP(B58,坦克标准养成属性!$D$5:$F$36,3,FALSE)</f>
        <v>0</v>
      </c>
    </row>
    <row r="59" spans="1:8" x14ac:dyDescent="0.3">
      <c r="A59" s="124" t="s">
        <v>1080</v>
      </c>
      <c r="B59" s="1">
        <v>2511</v>
      </c>
      <c r="C59" s="1">
        <v>5</v>
      </c>
      <c r="D59" s="1">
        <v>50</v>
      </c>
      <c r="E59" s="1">
        <v>0</v>
      </c>
      <c r="F59" s="1">
        <v>1</v>
      </c>
      <c r="G59" s="1">
        <v>116</v>
      </c>
      <c r="H59" s="1">
        <f>VLOOKUP(B59,坦克标准养成属性!$D$5:$F$36,3,FALSE)</f>
        <v>0</v>
      </c>
    </row>
    <row r="60" spans="1:8" x14ac:dyDescent="0.3">
      <c r="A60" s="124" t="s">
        <v>1080</v>
      </c>
      <c r="B60" s="1">
        <v>2511</v>
      </c>
      <c r="C60" s="1">
        <v>6</v>
      </c>
      <c r="D60" s="1">
        <v>60</v>
      </c>
      <c r="E60" s="1">
        <v>0</v>
      </c>
      <c r="F60" s="1">
        <v>2</v>
      </c>
      <c r="G60" s="1">
        <v>116</v>
      </c>
      <c r="H60" s="1">
        <f>VLOOKUP(B60,坦克标准养成属性!$D$5:$F$36,3,FALSE)</f>
        <v>0</v>
      </c>
    </row>
    <row r="61" spans="1:8" x14ac:dyDescent="0.3">
      <c r="A61" s="124" t="s">
        <v>1080</v>
      </c>
      <c r="B61" s="1">
        <v>2511</v>
      </c>
      <c r="C61" s="1">
        <v>7</v>
      </c>
      <c r="D61" s="1">
        <v>70</v>
      </c>
      <c r="E61" s="1">
        <v>1</v>
      </c>
      <c r="F61" s="1">
        <v>3</v>
      </c>
      <c r="G61" s="1">
        <v>116</v>
      </c>
      <c r="H61" s="1">
        <f>VLOOKUP(B61,坦克标准养成属性!$D$5:$F$36,3,FALSE)</f>
        <v>0</v>
      </c>
    </row>
    <row r="62" spans="1:8" x14ac:dyDescent="0.3">
      <c r="A62" s="124" t="s">
        <v>1081</v>
      </c>
      <c r="B62" s="1">
        <v>3111</v>
      </c>
      <c r="C62" s="1">
        <v>1</v>
      </c>
      <c r="D62" s="1">
        <v>10</v>
      </c>
      <c r="E62" s="1">
        <v>0</v>
      </c>
      <c r="F62" s="1">
        <v>1</v>
      </c>
      <c r="G62" s="1">
        <v>117</v>
      </c>
      <c r="H62" s="1">
        <f>VLOOKUP(B62,坦克标准养成属性!$D$5:$F$36,3,FALSE)</f>
        <v>1</v>
      </c>
    </row>
    <row r="63" spans="1:8" x14ac:dyDescent="0.3">
      <c r="A63" s="124" t="s">
        <v>1081</v>
      </c>
      <c r="B63" s="1">
        <v>3111</v>
      </c>
      <c r="C63" s="1">
        <v>2</v>
      </c>
      <c r="D63" s="1">
        <v>20</v>
      </c>
      <c r="E63" s="1">
        <v>0</v>
      </c>
      <c r="F63" s="1">
        <v>2</v>
      </c>
      <c r="G63" s="1">
        <v>117</v>
      </c>
      <c r="H63" s="1">
        <f>VLOOKUP(B63,坦克标准养成属性!$D$5:$F$36,3,FALSE)</f>
        <v>1</v>
      </c>
    </row>
    <row r="64" spans="1:8" x14ac:dyDescent="0.3">
      <c r="A64" s="124" t="s">
        <v>1081</v>
      </c>
      <c r="B64" s="1">
        <v>3111</v>
      </c>
      <c r="C64" s="1">
        <v>3</v>
      </c>
      <c r="D64" s="1">
        <v>30</v>
      </c>
      <c r="E64" s="1">
        <v>1</v>
      </c>
      <c r="F64" s="1">
        <v>3</v>
      </c>
      <c r="G64" s="1">
        <v>117</v>
      </c>
      <c r="H64" s="1">
        <f>VLOOKUP(B64,坦克标准养成属性!$D$5:$F$36,3,FALSE)</f>
        <v>1</v>
      </c>
    </row>
    <row r="65" spans="1:8" x14ac:dyDescent="0.3">
      <c r="A65" s="124" t="s">
        <v>1081</v>
      </c>
      <c r="B65" s="1">
        <v>3211</v>
      </c>
      <c r="C65" s="1">
        <v>2</v>
      </c>
      <c r="D65" s="1">
        <v>20</v>
      </c>
      <c r="E65" s="1">
        <v>0</v>
      </c>
      <c r="F65" s="1">
        <v>1</v>
      </c>
      <c r="G65" s="1">
        <v>117</v>
      </c>
      <c r="H65" s="1">
        <f>VLOOKUP(B65,坦克标准养成属性!$D$5:$F$36,3,FALSE)</f>
        <v>1</v>
      </c>
    </row>
    <row r="66" spans="1:8" x14ac:dyDescent="0.3">
      <c r="A66" s="124" t="s">
        <v>1081</v>
      </c>
      <c r="B66" s="1">
        <v>3211</v>
      </c>
      <c r="C66" s="1">
        <v>3</v>
      </c>
      <c r="D66" s="1">
        <v>30</v>
      </c>
      <c r="E66" s="1">
        <v>0</v>
      </c>
      <c r="F66" s="1">
        <v>2</v>
      </c>
      <c r="G66" s="1">
        <v>117</v>
      </c>
      <c r="H66" s="1">
        <f>VLOOKUP(B66,坦克标准养成属性!$D$5:$F$36,3,FALSE)</f>
        <v>1</v>
      </c>
    </row>
    <row r="67" spans="1:8" x14ac:dyDescent="0.3">
      <c r="A67" s="124" t="s">
        <v>1081</v>
      </c>
      <c r="B67" s="1">
        <v>3211</v>
      </c>
      <c r="C67" s="1">
        <v>4</v>
      </c>
      <c r="D67" s="1">
        <v>40</v>
      </c>
      <c r="E67" s="1">
        <v>1</v>
      </c>
      <c r="F67" s="1">
        <v>3</v>
      </c>
      <c r="G67" s="1">
        <v>117</v>
      </c>
      <c r="H67" s="1">
        <f>VLOOKUP(B67,坦克标准养成属性!$D$5:$F$36,3,FALSE)</f>
        <v>1</v>
      </c>
    </row>
    <row r="68" spans="1:8" x14ac:dyDescent="0.3">
      <c r="A68" s="124" t="s">
        <v>1081</v>
      </c>
      <c r="B68" s="1">
        <v>3221</v>
      </c>
      <c r="C68" s="1">
        <v>2</v>
      </c>
      <c r="D68" s="1">
        <v>20</v>
      </c>
      <c r="E68" s="1">
        <v>0</v>
      </c>
      <c r="F68" s="1">
        <v>1</v>
      </c>
      <c r="G68" s="1">
        <v>117</v>
      </c>
      <c r="H68" s="1">
        <f>VLOOKUP(B68,坦克标准养成属性!$D$5:$F$36,3,FALSE)</f>
        <v>1</v>
      </c>
    </row>
    <row r="69" spans="1:8" x14ac:dyDescent="0.3">
      <c r="A69" s="124" t="s">
        <v>1081</v>
      </c>
      <c r="B69" s="1">
        <v>3221</v>
      </c>
      <c r="C69" s="1">
        <v>3</v>
      </c>
      <c r="D69" s="1">
        <v>30</v>
      </c>
      <c r="E69" s="1">
        <v>0</v>
      </c>
      <c r="F69" s="1">
        <v>2</v>
      </c>
      <c r="G69" s="1">
        <v>117</v>
      </c>
      <c r="H69" s="1">
        <f>VLOOKUP(B69,坦克标准养成属性!$D$5:$F$36,3,FALSE)</f>
        <v>1</v>
      </c>
    </row>
    <row r="70" spans="1:8" x14ac:dyDescent="0.3">
      <c r="A70" s="124" t="s">
        <v>1081</v>
      </c>
      <c r="B70" s="1">
        <v>3221</v>
      </c>
      <c r="C70" s="1">
        <v>4</v>
      </c>
      <c r="D70" s="1">
        <v>40</v>
      </c>
      <c r="E70" s="1">
        <v>1</v>
      </c>
      <c r="F70" s="1">
        <v>3</v>
      </c>
      <c r="G70" s="1">
        <v>117</v>
      </c>
      <c r="H70" s="1">
        <f>VLOOKUP(B70,坦克标准养成属性!$D$5:$F$36,3,FALSE)</f>
        <v>1</v>
      </c>
    </row>
    <row r="71" spans="1:8" x14ac:dyDescent="0.3">
      <c r="A71" s="124" t="s">
        <v>1081</v>
      </c>
      <c r="B71" s="1">
        <v>3311</v>
      </c>
      <c r="C71" s="1">
        <v>3</v>
      </c>
      <c r="D71" s="1">
        <v>30</v>
      </c>
      <c r="E71" s="1">
        <v>0</v>
      </c>
      <c r="F71" s="1">
        <v>1</v>
      </c>
      <c r="G71" s="1">
        <v>117</v>
      </c>
      <c r="H71" s="1">
        <f>VLOOKUP(B71,坦克标准养成属性!$D$5:$F$36,3,FALSE)</f>
        <v>1</v>
      </c>
    </row>
    <row r="72" spans="1:8" x14ac:dyDescent="0.3">
      <c r="A72" s="124" t="s">
        <v>1081</v>
      </c>
      <c r="B72" s="1">
        <v>3311</v>
      </c>
      <c r="C72" s="1">
        <v>4</v>
      </c>
      <c r="D72" s="1">
        <v>40</v>
      </c>
      <c r="E72" s="1">
        <v>0</v>
      </c>
      <c r="F72" s="1">
        <v>2</v>
      </c>
      <c r="G72" s="1">
        <v>117</v>
      </c>
      <c r="H72" s="1">
        <f>VLOOKUP(B72,坦克标准养成属性!$D$5:$F$36,3,FALSE)</f>
        <v>1</v>
      </c>
    </row>
    <row r="73" spans="1:8" x14ac:dyDescent="0.3">
      <c r="A73" s="124" t="s">
        <v>1081</v>
      </c>
      <c r="B73" s="1">
        <v>3311</v>
      </c>
      <c r="C73" s="1">
        <v>5</v>
      </c>
      <c r="D73" s="1">
        <v>50</v>
      </c>
      <c r="E73" s="1">
        <v>1</v>
      </c>
      <c r="F73" s="1">
        <v>3</v>
      </c>
      <c r="G73" s="1">
        <v>117</v>
      </c>
      <c r="H73" s="1">
        <f>VLOOKUP(B73,坦克标准养成属性!$D$5:$F$36,3,FALSE)</f>
        <v>1</v>
      </c>
    </row>
    <row r="74" spans="1:8" x14ac:dyDescent="0.3">
      <c r="A74" s="124" t="s">
        <v>1081</v>
      </c>
      <c r="B74" s="1">
        <v>3321</v>
      </c>
      <c r="C74" s="1">
        <v>3</v>
      </c>
      <c r="D74" s="1">
        <v>30</v>
      </c>
      <c r="E74" s="1">
        <v>0</v>
      </c>
      <c r="F74" s="1">
        <v>1</v>
      </c>
      <c r="G74" s="1">
        <v>117</v>
      </c>
      <c r="H74" s="1">
        <f>VLOOKUP(B74,坦克标准养成属性!$D$5:$F$36,3,FALSE)</f>
        <v>1</v>
      </c>
    </row>
    <row r="75" spans="1:8" x14ac:dyDescent="0.3">
      <c r="A75" s="124" t="s">
        <v>1081</v>
      </c>
      <c r="B75" s="1">
        <v>3321</v>
      </c>
      <c r="C75" s="1">
        <v>4</v>
      </c>
      <c r="D75" s="1">
        <v>40</v>
      </c>
      <c r="E75" s="1">
        <v>0</v>
      </c>
      <c r="F75" s="1">
        <v>2</v>
      </c>
      <c r="G75" s="1">
        <v>117</v>
      </c>
      <c r="H75" s="1">
        <f>VLOOKUP(B75,坦克标准养成属性!$D$5:$F$36,3,FALSE)</f>
        <v>1</v>
      </c>
    </row>
    <row r="76" spans="1:8" x14ac:dyDescent="0.3">
      <c r="A76" s="124" t="s">
        <v>1081</v>
      </c>
      <c r="B76" s="1">
        <v>3321</v>
      </c>
      <c r="C76" s="1">
        <v>5</v>
      </c>
      <c r="D76" s="1">
        <v>50</v>
      </c>
      <c r="E76" s="1">
        <v>1</v>
      </c>
      <c r="F76" s="1">
        <v>3</v>
      </c>
      <c r="G76" s="1">
        <v>117</v>
      </c>
      <c r="H76" s="1">
        <f>VLOOKUP(B76,坦克标准养成属性!$D$5:$F$36,3,FALSE)</f>
        <v>1</v>
      </c>
    </row>
    <row r="77" spans="1:8" x14ac:dyDescent="0.3">
      <c r="A77" s="124" t="s">
        <v>1081</v>
      </c>
      <c r="B77" s="1">
        <v>3331</v>
      </c>
      <c r="C77" s="1">
        <v>3</v>
      </c>
      <c r="D77" s="1">
        <v>30</v>
      </c>
      <c r="E77" s="1">
        <v>0</v>
      </c>
      <c r="F77" s="1">
        <v>1</v>
      </c>
      <c r="G77" s="1">
        <v>117</v>
      </c>
      <c r="H77" s="1">
        <f>VLOOKUP(B77,坦克标准养成属性!$D$5:$F$36,3,FALSE)</f>
        <v>0</v>
      </c>
    </row>
    <row r="78" spans="1:8" x14ac:dyDescent="0.3">
      <c r="A78" s="124" t="s">
        <v>1081</v>
      </c>
      <c r="B78" s="1">
        <v>3331</v>
      </c>
      <c r="C78" s="1">
        <v>4</v>
      </c>
      <c r="D78" s="1">
        <v>40</v>
      </c>
      <c r="E78" s="1">
        <v>0</v>
      </c>
      <c r="F78" s="1">
        <v>2</v>
      </c>
      <c r="G78" s="1">
        <v>117</v>
      </c>
      <c r="H78" s="1">
        <f>VLOOKUP(B78,坦克标准养成属性!$D$5:$F$36,3,FALSE)</f>
        <v>0</v>
      </c>
    </row>
    <row r="79" spans="1:8" x14ac:dyDescent="0.3">
      <c r="A79" s="124" t="s">
        <v>1081</v>
      </c>
      <c r="B79" s="1">
        <v>3331</v>
      </c>
      <c r="C79" s="1">
        <v>5</v>
      </c>
      <c r="D79" s="1">
        <v>50</v>
      </c>
      <c r="E79" s="1">
        <v>1</v>
      </c>
      <c r="F79" s="1">
        <v>3</v>
      </c>
      <c r="G79" s="1">
        <v>117</v>
      </c>
      <c r="H79" s="1">
        <f>VLOOKUP(B79,坦克标准养成属性!$D$5:$F$36,3,FALSE)</f>
        <v>0</v>
      </c>
    </row>
    <row r="80" spans="1:8" x14ac:dyDescent="0.3">
      <c r="A80" s="124" t="s">
        <v>1081</v>
      </c>
      <c r="B80" s="1">
        <v>3411</v>
      </c>
      <c r="C80" s="1">
        <v>4</v>
      </c>
      <c r="D80" s="1">
        <v>40</v>
      </c>
      <c r="E80" s="1">
        <v>0</v>
      </c>
      <c r="F80" s="1">
        <v>1</v>
      </c>
      <c r="G80" s="1">
        <v>117</v>
      </c>
      <c r="H80" s="1">
        <f>VLOOKUP(B80,坦克标准养成属性!$D$5:$F$36,3,FALSE)</f>
        <v>0</v>
      </c>
    </row>
    <row r="81" spans="1:8" x14ac:dyDescent="0.3">
      <c r="A81" s="124" t="s">
        <v>1081</v>
      </c>
      <c r="B81" s="1">
        <v>3411</v>
      </c>
      <c r="C81" s="1">
        <v>5</v>
      </c>
      <c r="D81" s="1">
        <v>50</v>
      </c>
      <c r="E81" s="1">
        <v>0</v>
      </c>
      <c r="F81" s="1">
        <v>2</v>
      </c>
      <c r="G81" s="1">
        <v>117</v>
      </c>
      <c r="H81" s="1">
        <f>VLOOKUP(B81,坦克标准养成属性!$D$5:$F$36,3,FALSE)</f>
        <v>0</v>
      </c>
    </row>
    <row r="82" spans="1:8" x14ac:dyDescent="0.3">
      <c r="A82" s="124" t="s">
        <v>1081</v>
      </c>
      <c r="B82" s="1">
        <v>3411</v>
      </c>
      <c r="C82" s="1">
        <v>6</v>
      </c>
      <c r="D82" s="1">
        <v>60</v>
      </c>
      <c r="E82" s="1">
        <v>1</v>
      </c>
      <c r="F82" s="1">
        <v>3</v>
      </c>
      <c r="G82" s="1">
        <v>117</v>
      </c>
      <c r="H82" s="1">
        <f>VLOOKUP(B82,坦克标准养成属性!$D$5:$F$36,3,FALSE)</f>
        <v>0</v>
      </c>
    </row>
    <row r="83" spans="1:8" x14ac:dyDescent="0.3">
      <c r="A83" s="124" t="s">
        <v>1081</v>
      </c>
      <c r="B83" s="1">
        <v>3421</v>
      </c>
      <c r="C83" s="1">
        <v>4</v>
      </c>
      <c r="D83" s="1">
        <v>40</v>
      </c>
      <c r="E83" s="1">
        <v>0</v>
      </c>
      <c r="F83" s="1">
        <v>1</v>
      </c>
      <c r="G83" s="1">
        <v>117</v>
      </c>
      <c r="H83" s="1">
        <f>VLOOKUP(B83,坦克标准养成属性!$D$5:$F$36,3,FALSE)</f>
        <v>0</v>
      </c>
    </row>
    <row r="84" spans="1:8" x14ac:dyDescent="0.3">
      <c r="A84" s="124" t="s">
        <v>1081</v>
      </c>
      <c r="B84" s="1">
        <v>3421</v>
      </c>
      <c r="C84" s="1">
        <v>5</v>
      </c>
      <c r="D84" s="1">
        <v>50</v>
      </c>
      <c r="E84" s="1">
        <v>0</v>
      </c>
      <c r="F84" s="1">
        <v>2</v>
      </c>
      <c r="G84" s="1">
        <v>117</v>
      </c>
      <c r="H84" s="1">
        <f>VLOOKUP(B84,坦克标准养成属性!$D$5:$F$36,3,FALSE)</f>
        <v>0</v>
      </c>
    </row>
    <row r="85" spans="1:8" x14ac:dyDescent="0.3">
      <c r="A85" s="124" t="s">
        <v>1081</v>
      </c>
      <c r="B85" s="1">
        <v>3421</v>
      </c>
      <c r="C85" s="1">
        <v>6</v>
      </c>
      <c r="D85" s="1">
        <v>60</v>
      </c>
      <c r="E85" s="1">
        <v>1</v>
      </c>
      <c r="F85" s="1">
        <v>3</v>
      </c>
      <c r="G85" s="1">
        <v>117</v>
      </c>
      <c r="H85" s="1">
        <f>VLOOKUP(B85,坦克标准养成属性!$D$5:$F$36,3,FALSE)</f>
        <v>0</v>
      </c>
    </row>
    <row r="86" spans="1:8" x14ac:dyDescent="0.3">
      <c r="A86" s="124" t="s">
        <v>1081</v>
      </c>
      <c r="B86" s="1">
        <v>3431</v>
      </c>
      <c r="C86" s="1">
        <v>4</v>
      </c>
      <c r="D86" s="1">
        <v>40</v>
      </c>
      <c r="E86" s="1">
        <v>0</v>
      </c>
      <c r="F86" s="1">
        <v>1</v>
      </c>
      <c r="G86" s="1">
        <v>117</v>
      </c>
      <c r="H86" s="1">
        <f>VLOOKUP(B86,坦克标准养成属性!$D$5:$F$36,3,FALSE)</f>
        <v>0</v>
      </c>
    </row>
    <row r="87" spans="1:8" x14ac:dyDescent="0.3">
      <c r="A87" s="124" t="s">
        <v>1081</v>
      </c>
      <c r="B87" s="1">
        <v>3431</v>
      </c>
      <c r="C87" s="1">
        <v>5</v>
      </c>
      <c r="D87" s="1">
        <v>50</v>
      </c>
      <c r="E87" s="1">
        <v>0</v>
      </c>
      <c r="F87" s="1">
        <v>2</v>
      </c>
      <c r="G87" s="1">
        <v>117</v>
      </c>
      <c r="H87" s="1">
        <f>VLOOKUP(B87,坦克标准养成属性!$D$5:$F$36,3,FALSE)</f>
        <v>0</v>
      </c>
    </row>
    <row r="88" spans="1:8" x14ac:dyDescent="0.3">
      <c r="A88" s="124" t="s">
        <v>1081</v>
      </c>
      <c r="B88" s="1">
        <v>3431</v>
      </c>
      <c r="C88" s="1">
        <v>6</v>
      </c>
      <c r="D88" s="1">
        <v>60</v>
      </c>
      <c r="E88" s="1">
        <v>1</v>
      </c>
      <c r="F88" s="1">
        <v>3</v>
      </c>
      <c r="G88" s="1">
        <v>117</v>
      </c>
      <c r="H88" s="1">
        <f>VLOOKUP(B88,坦克标准养成属性!$D$5:$F$36,3,FALSE)</f>
        <v>0</v>
      </c>
    </row>
    <row r="89" spans="1:8" x14ac:dyDescent="0.3">
      <c r="A89" s="124" t="s">
        <v>1081</v>
      </c>
      <c r="B89" s="1">
        <v>3511</v>
      </c>
      <c r="C89" s="1">
        <v>5</v>
      </c>
      <c r="D89" s="1">
        <v>50</v>
      </c>
      <c r="E89" s="1">
        <v>0</v>
      </c>
      <c r="F89" s="1">
        <v>1</v>
      </c>
      <c r="G89" s="1">
        <v>117</v>
      </c>
      <c r="H89" s="1">
        <f>VLOOKUP(B89,坦克标准养成属性!$D$5:$F$36,3,FALSE)</f>
        <v>0</v>
      </c>
    </row>
    <row r="90" spans="1:8" x14ac:dyDescent="0.3">
      <c r="A90" s="124" t="s">
        <v>1081</v>
      </c>
      <c r="B90" s="1">
        <v>3511</v>
      </c>
      <c r="C90" s="1">
        <v>6</v>
      </c>
      <c r="D90" s="1">
        <v>60</v>
      </c>
      <c r="E90" s="1">
        <v>0</v>
      </c>
      <c r="F90" s="1">
        <v>2</v>
      </c>
      <c r="G90" s="1">
        <v>117</v>
      </c>
      <c r="H90" s="1">
        <f>VLOOKUP(B90,坦克标准养成属性!$D$5:$F$36,3,FALSE)</f>
        <v>0</v>
      </c>
    </row>
    <row r="91" spans="1:8" x14ac:dyDescent="0.3">
      <c r="A91" s="124" t="s">
        <v>1081</v>
      </c>
      <c r="B91" s="1">
        <v>3511</v>
      </c>
      <c r="C91" s="1">
        <v>7</v>
      </c>
      <c r="D91" s="1">
        <v>70</v>
      </c>
      <c r="E91" s="1">
        <v>1</v>
      </c>
      <c r="F91" s="1">
        <v>3</v>
      </c>
      <c r="G91" s="1">
        <v>117</v>
      </c>
      <c r="H91" s="1">
        <f>VLOOKUP(B91,坦克标准养成属性!$D$5:$F$36,3,FALSE)</f>
        <v>0</v>
      </c>
    </row>
    <row r="92" spans="1:8" x14ac:dyDescent="0.3">
      <c r="A92" s="124" t="s">
        <v>1081</v>
      </c>
      <c r="B92" s="1">
        <v>3341</v>
      </c>
      <c r="C92" s="1">
        <v>3</v>
      </c>
      <c r="D92" s="1">
        <v>30</v>
      </c>
      <c r="E92" s="1">
        <v>0</v>
      </c>
      <c r="F92" s="1">
        <v>1</v>
      </c>
      <c r="G92" s="1">
        <v>117</v>
      </c>
      <c r="H92" s="1">
        <f>VLOOKUP(B92,坦克标准养成属性!$D$5:$F$36,3,FALSE)</f>
        <v>1</v>
      </c>
    </row>
    <row r="93" spans="1:8" x14ac:dyDescent="0.3">
      <c r="A93" s="124" t="s">
        <v>1081</v>
      </c>
      <c r="B93" s="1">
        <v>3341</v>
      </c>
      <c r="C93" s="1">
        <v>4</v>
      </c>
      <c r="D93" s="1">
        <v>40</v>
      </c>
      <c r="E93" s="1">
        <v>0</v>
      </c>
      <c r="F93" s="1">
        <v>2</v>
      </c>
      <c r="G93" s="1">
        <v>117</v>
      </c>
      <c r="H93" s="1">
        <f>VLOOKUP(B93,坦克标准养成属性!$D$5:$F$36,3,FALSE)</f>
        <v>1</v>
      </c>
    </row>
    <row r="94" spans="1:8" x14ac:dyDescent="0.3">
      <c r="A94" s="124" t="s">
        <v>1081</v>
      </c>
      <c r="B94" s="1">
        <v>3341</v>
      </c>
      <c r="C94" s="1">
        <v>5</v>
      </c>
      <c r="D94" s="1">
        <v>50</v>
      </c>
      <c r="E94" s="1">
        <v>1</v>
      </c>
      <c r="F94" s="1">
        <v>3</v>
      </c>
      <c r="G94" s="1">
        <v>117</v>
      </c>
      <c r="H94" s="1">
        <f>VLOOKUP(B94,坦克标准养成属性!$D$5:$F$36,3,FALSE)</f>
        <v>1</v>
      </c>
    </row>
  </sheetData>
  <phoneticPr fontId="32" type="noConversion"/>
  <pageMargins left="0.7" right="0.7" top="0.75" bottom="0.75" header="0.3" footer="0.3"/>
  <ignoredErrors>
    <ignoredError sqref="A2:A94" numberStoredAsText="1"/>
  </ignoredErrors>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6"/>
  <dimension ref="B2:BC158"/>
  <sheetViews>
    <sheetView topLeftCell="A7" workbookViewId="0">
      <pane xSplit="4" topLeftCell="AH1" activePane="topRight" state="frozen"/>
      <selection pane="topRight" activeCell="AU39" sqref="AU39"/>
    </sheetView>
  </sheetViews>
  <sheetFormatPr defaultColWidth="9" defaultRowHeight="14.25" x14ac:dyDescent="0.3"/>
  <cols>
    <col min="1" max="1" width="2.5" style="1" customWidth="1"/>
    <col min="2" max="2" width="9" style="1"/>
    <col min="3" max="3" width="7.625" style="1" customWidth="1"/>
    <col min="4" max="16384" width="9" style="1"/>
  </cols>
  <sheetData>
    <row r="2" spans="2:24" x14ac:dyDescent="0.3">
      <c r="B2" s="351" t="s">
        <v>1082</v>
      </c>
      <c r="C2" s="351"/>
      <c r="D2" s="351"/>
      <c r="E2" s="351"/>
      <c r="F2" s="351"/>
      <c r="G2" s="351"/>
      <c r="H2" s="351"/>
      <c r="I2" s="351"/>
      <c r="J2" s="351"/>
      <c r="L2" s="351" t="s">
        <v>1083</v>
      </c>
      <c r="M2" s="351"/>
    </row>
    <row r="3" spans="2:24" x14ac:dyDescent="0.3">
      <c r="B3" s="2" t="s">
        <v>1084</v>
      </c>
      <c r="C3" s="2" t="s">
        <v>1085</v>
      </c>
      <c r="D3" s="2" t="s">
        <v>77</v>
      </c>
      <c r="E3" s="2" t="s">
        <v>78</v>
      </c>
      <c r="F3" s="2" t="s">
        <v>79</v>
      </c>
      <c r="G3" s="2" t="s">
        <v>80</v>
      </c>
      <c r="H3" s="2" t="s">
        <v>81</v>
      </c>
      <c r="I3" s="2" t="s">
        <v>82</v>
      </c>
      <c r="J3" s="2" t="s">
        <v>83</v>
      </c>
      <c r="L3" s="2" t="s">
        <v>1086</v>
      </c>
      <c r="M3" s="2" t="s">
        <v>1087</v>
      </c>
    </row>
    <row r="4" spans="2:24" x14ac:dyDescent="0.3">
      <c r="B4" s="2" t="s">
        <v>759</v>
      </c>
      <c r="C4" s="2" t="s">
        <v>1088</v>
      </c>
      <c r="D4" s="34">
        <v>1</v>
      </c>
      <c r="E4" s="34">
        <v>1</v>
      </c>
      <c r="F4" s="34">
        <v>1</v>
      </c>
      <c r="G4" s="34">
        <v>1</v>
      </c>
      <c r="H4" s="34">
        <v>1</v>
      </c>
      <c r="I4" s="34">
        <v>1</v>
      </c>
      <c r="J4" s="34">
        <v>1</v>
      </c>
      <c r="L4" s="2" t="s">
        <v>1089</v>
      </c>
      <c r="M4" s="21">
        <v>0.8</v>
      </c>
    </row>
    <row r="5" spans="2:24" x14ac:dyDescent="0.3">
      <c r="B5" s="2" t="s">
        <v>760</v>
      </c>
      <c r="C5" s="2" t="s">
        <v>1090</v>
      </c>
      <c r="D5" s="34">
        <f>1/VLOOKUP(D$3,标准坦克设计!$B$39:$H$46,5,FALSE)</f>
        <v>0.94576718919136082</v>
      </c>
      <c r="E5" s="34">
        <f>1/VLOOKUP(E$3,标准坦克设计!$B$39:$H$46,5,FALSE)</f>
        <v>0.90783181743041785</v>
      </c>
      <c r="F5" s="34">
        <f>1/VLOOKUP(F$3,标准坦克设计!$B$39:$H$46,5,FALSE)</f>
        <v>0.87439954309658408</v>
      </c>
      <c r="G5" s="34">
        <f>1/VLOOKUP(G$3,标准坦克设计!$B$39:$H$46,5,FALSE)</f>
        <v>0.92562606433831329</v>
      </c>
      <c r="H5" s="34">
        <f>1/VLOOKUP(H$3,标准坦克设计!$B$39:$H$46,5,FALSE)</f>
        <v>0.86920366145133665</v>
      </c>
      <c r="I5" s="34">
        <f>1/VLOOKUP(I$3,标准坦克设计!$B$39:$H$46,5,FALSE)</f>
        <v>0.84311054112612094</v>
      </c>
      <c r="J5" s="34">
        <f>1/VLOOKUP(J$3,标准坦克设计!$B$39:$H$46,5,FALSE)</f>
        <v>0.80771437259092116</v>
      </c>
      <c r="L5" s="2" t="s">
        <v>1091</v>
      </c>
      <c r="M5" s="21">
        <f>1-M4</f>
        <v>0.19999999999999996</v>
      </c>
    </row>
    <row r="6" spans="2:24" x14ac:dyDescent="0.3">
      <c r="B6" s="2" t="s">
        <v>761</v>
      </c>
      <c r="C6" s="2" t="s">
        <v>1090</v>
      </c>
      <c r="D6" s="34">
        <f>VLOOKUP(D$3,标准坦克设计!$B$3:$C$10,2,FALSE)*1%</f>
        <v>1.0500000000000001E-2</v>
      </c>
      <c r="E6" s="34">
        <f>VLOOKUP(E$3,标准坦克设计!$B$3:$C$10,2,FALSE)*1%</f>
        <v>1.15E-2</v>
      </c>
      <c r="F6" s="34">
        <f>VLOOKUP(F$3,标准坦克设计!$B$3:$C$10,2,FALSE)*1%</f>
        <v>1.2500000000000001E-2</v>
      </c>
      <c r="G6" s="34">
        <f>VLOOKUP(G$3,标准坦克设计!$B$3:$C$10,2,FALSE)*1%</f>
        <v>0.01</v>
      </c>
      <c r="H6" s="34">
        <f>VLOOKUP(H$3,标准坦克设计!$B$3:$C$10,2,FALSE)*1%</f>
        <v>1.15E-2</v>
      </c>
      <c r="I6" s="34">
        <f>VLOOKUP(I$3,标准坦克设计!$B$3:$C$10,2,FALSE)*1%</f>
        <v>0.01</v>
      </c>
      <c r="J6" s="34">
        <f>VLOOKUP(J$3,标准坦克设计!$B$3:$C$10,2,FALSE)*1%</f>
        <v>1.1000000000000001E-2</v>
      </c>
    </row>
    <row r="7" spans="2:24" x14ac:dyDescent="0.3">
      <c r="B7" s="2" t="s">
        <v>76</v>
      </c>
      <c r="C7" s="2" t="s">
        <v>1090</v>
      </c>
      <c r="D7" s="34">
        <f>D6</f>
        <v>1.0500000000000001E-2</v>
      </c>
      <c r="E7" s="34">
        <f t="shared" ref="E7:J7" si="0">E6</f>
        <v>1.15E-2</v>
      </c>
      <c r="F7" s="34">
        <f t="shared" si="0"/>
        <v>1.2500000000000001E-2</v>
      </c>
      <c r="G7" s="34">
        <f t="shared" si="0"/>
        <v>0.01</v>
      </c>
      <c r="H7" s="34">
        <f t="shared" si="0"/>
        <v>1.15E-2</v>
      </c>
      <c r="I7" s="34">
        <f t="shared" si="0"/>
        <v>0.01</v>
      </c>
      <c r="J7" s="34">
        <f t="shared" si="0"/>
        <v>1.1000000000000001E-2</v>
      </c>
    </row>
    <row r="8" spans="2:24" x14ac:dyDescent="0.3">
      <c r="B8" s="2" t="s">
        <v>124</v>
      </c>
      <c r="C8" s="2" t="s">
        <v>1088</v>
      </c>
      <c r="D8" s="34">
        <f>D6</f>
        <v>1.0500000000000001E-2</v>
      </c>
      <c r="E8" s="34">
        <f t="shared" ref="E8:J8" si="1">E6</f>
        <v>1.15E-2</v>
      </c>
      <c r="F8" s="34">
        <f t="shared" si="1"/>
        <v>1.2500000000000001E-2</v>
      </c>
      <c r="G8" s="34">
        <f t="shared" si="1"/>
        <v>0.01</v>
      </c>
      <c r="H8" s="34">
        <f t="shared" si="1"/>
        <v>1.15E-2</v>
      </c>
      <c r="I8" s="34">
        <f t="shared" si="1"/>
        <v>0.01</v>
      </c>
      <c r="J8" s="34">
        <f t="shared" si="1"/>
        <v>1.1000000000000001E-2</v>
      </c>
    </row>
    <row r="9" spans="2:24" x14ac:dyDescent="0.3">
      <c r="B9" s="2" t="s">
        <v>762</v>
      </c>
      <c r="C9" s="2" t="s">
        <v>1090</v>
      </c>
      <c r="D9" s="41">
        <v>0.2</v>
      </c>
      <c r="E9" s="34">
        <f t="shared" ref="E9:J9" si="2">D9</f>
        <v>0.2</v>
      </c>
      <c r="F9" s="34">
        <f t="shared" si="2"/>
        <v>0.2</v>
      </c>
      <c r="G9" s="34">
        <f t="shared" si="2"/>
        <v>0.2</v>
      </c>
      <c r="H9" s="34">
        <f t="shared" si="2"/>
        <v>0.2</v>
      </c>
      <c r="I9" s="34">
        <f t="shared" si="2"/>
        <v>0.2</v>
      </c>
      <c r="J9" s="34">
        <f t="shared" si="2"/>
        <v>0.2</v>
      </c>
    </row>
    <row r="10" spans="2:24" x14ac:dyDescent="0.3">
      <c r="B10" s="2" t="s">
        <v>1092</v>
      </c>
      <c r="C10" s="2" t="s">
        <v>1090</v>
      </c>
      <c r="D10" s="34">
        <f>VLOOKUP(D$3,坦克等级成长!$B$80:$X$87,23,FALSE)</f>
        <v>-0.41666666666666657</v>
      </c>
      <c r="E10" s="34">
        <f>VLOOKUP(E$3,坦克等级成长!$B$80:$X$87,23,FALSE)</f>
        <v>0.18969715739678028</v>
      </c>
      <c r="F10" s="34">
        <f>VLOOKUP(F$3,坦克等级成长!$B$80:$X$87,23,FALSE)</f>
        <v>0.33333333333333331</v>
      </c>
      <c r="G10" s="34">
        <f>VLOOKUP(G$3,坦克等级成长!$B$80:$X$87,23,FALSE)</f>
        <v>0.18736383442265794</v>
      </c>
      <c r="H10" s="34">
        <f>VLOOKUP(H$3,坦克等级成长!$B$80:$X$87,23,FALSE)</f>
        <v>-0.77777777777777779</v>
      </c>
      <c r="I10" s="34">
        <f>VLOOKUP(I$3,坦克等级成长!$B$80:$X$87,23,FALSE)</f>
        <v>0</v>
      </c>
      <c r="J10" s="34" t="e">
        <f>VLOOKUP(J$3,坦克等级成长!$B$80:$X$87,23,FALSE)</f>
        <v>#DIV/0!</v>
      </c>
    </row>
    <row r="11" spans="2:24" x14ac:dyDescent="0.3">
      <c r="B11" s="2" t="s">
        <v>845</v>
      </c>
      <c r="C11" s="2" t="s">
        <v>1090</v>
      </c>
      <c r="D11" s="34">
        <f>VLOOKUP(D$3,坦克等级成长!$B$90:$Y$97,24,FALSE)</f>
        <v>0.89108910891089099</v>
      </c>
      <c r="E11" s="34">
        <f>VLOOKUP(E$3,坦克等级成长!$B$90:$Y$97,24,FALSE)</f>
        <v>0.74380165289256228</v>
      </c>
      <c r="F11" s="34">
        <f>VLOOKUP(F$3,坦克等级成长!$B$90:$Y$97,24,FALSE)</f>
        <v>0</v>
      </c>
      <c r="G11" s="34">
        <f>VLOOKUP(G$3,坦克等级成长!$B$90:$Y$97,24,FALSE)</f>
        <v>0.84337349397590355</v>
      </c>
      <c r="H11" s="34">
        <f>VLOOKUP(H$3,坦克等级成长!$B$90:$Y$97,24,FALSE)</f>
        <v>0.8</v>
      </c>
      <c r="I11" s="34">
        <f>VLOOKUP(I$3,坦克等级成长!$B$90:$Y$97,24,FALSE)</f>
        <v>0.60820367751060833</v>
      </c>
      <c r="J11" s="34">
        <f>VLOOKUP(J$3,坦克等级成长!$B$90:$Y$97,24,FALSE)</f>
        <v>0</v>
      </c>
    </row>
    <row r="12" spans="2:24" x14ac:dyDescent="0.3">
      <c r="B12" s="2" t="s">
        <v>970</v>
      </c>
      <c r="C12" s="2" t="s">
        <v>1088</v>
      </c>
      <c r="D12" s="34">
        <f>VLOOKUP(LEFT(D3,2),坦克类型系数!$BZ$45:$CM$48,14,FALSE)</f>
        <v>0.4999969472499104</v>
      </c>
      <c r="E12" s="34">
        <f>VLOOKUP(LEFT(E3,2),坦克类型系数!$BZ$45:$CM$48,14,FALSE)</f>
        <v>0.4999969472499104</v>
      </c>
      <c r="F12" s="34">
        <f>VLOOKUP(LEFT(F3,2),坦克类型系数!$BZ$45:$CM$48,14,FALSE)</f>
        <v>0.4999969472499104</v>
      </c>
      <c r="G12" s="34">
        <f>VLOOKUP(LEFT(G3,2),坦克类型系数!$BZ$45:$CM$48,14,FALSE)</f>
        <v>0.33752251887876666</v>
      </c>
      <c r="H12" s="34">
        <f>VLOOKUP(LEFT(H3,2),坦克类型系数!$BZ$45:$CM$48,14,FALSE)</f>
        <v>0.33752251887876666</v>
      </c>
      <c r="I12" s="34">
        <f>VLOOKUP(LEFT(I3,2),坦克类型系数!$BZ$45:$CM$48,14,FALSE)</f>
        <v>0.28546235059433878</v>
      </c>
      <c r="J12" s="34">
        <f>VLOOKUP(LEFT(J3,2),坦克类型系数!$BZ$45:$CM$48,14,FALSE)</f>
        <v>0.28546235059433878</v>
      </c>
    </row>
    <row r="13" spans="2:24" x14ac:dyDescent="0.3">
      <c r="B13" s="2" t="s">
        <v>1093</v>
      </c>
      <c r="C13" s="2" t="s">
        <v>1088</v>
      </c>
      <c r="D13" s="34">
        <v>1</v>
      </c>
      <c r="E13" s="34">
        <v>1</v>
      </c>
      <c r="F13" s="34">
        <v>1</v>
      </c>
      <c r="G13" s="34">
        <v>1</v>
      </c>
      <c r="H13" s="34">
        <v>1</v>
      </c>
      <c r="I13" s="34">
        <v>1</v>
      </c>
      <c r="J13" s="34">
        <v>1</v>
      </c>
    </row>
    <row r="14" spans="2:24" x14ac:dyDescent="0.3">
      <c r="B14" s="2" t="s">
        <v>1094</v>
      </c>
      <c r="C14" s="2" t="s">
        <v>1090</v>
      </c>
      <c r="D14" s="34">
        <v>0.5</v>
      </c>
      <c r="E14" s="34">
        <v>0.5</v>
      </c>
      <c r="F14" s="34">
        <v>0.5</v>
      </c>
      <c r="G14" s="34">
        <v>0.5</v>
      </c>
      <c r="H14" s="34">
        <v>0.5</v>
      </c>
      <c r="I14" s="34">
        <v>0.5</v>
      </c>
      <c r="J14" s="34">
        <v>0.5</v>
      </c>
    </row>
    <row r="15" spans="2:24" x14ac:dyDescent="0.3">
      <c r="B15" s="2" t="s">
        <v>90</v>
      </c>
      <c r="C15" s="2" t="s">
        <v>1088</v>
      </c>
      <c r="D15" s="34">
        <f>VLOOKUP(D$3,坦克等级成长!$B$70:$X$77,23,FALSE)</f>
        <v>0.39583333333333337</v>
      </c>
      <c r="E15" s="34">
        <f>VLOOKUP(E$3,坦克等级成长!$B$70:$X$77,23,FALSE)</f>
        <v>-4.8773022899928881E-2</v>
      </c>
      <c r="F15" s="34">
        <f>VLOOKUP(F$3,坦克等级成长!$B$70:$X$77,23,FALSE)</f>
        <v>0</v>
      </c>
      <c r="G15" s="34">
        <f>VLOOKUP(G$3,坦克等级成长!$B$70:$X$77,23,FALSE)</f>
        <v>-2.4836601307189517E-2</v>
      </c>
      <c r="H15" s="34">
        <f>VLOOKUP(H$3,坦克等级成长!$B$70:$X$77,23,FALSE)</f>
        <v>0.25555555555555554</v>
      </c>
      <c r="I15" s="34">
        <f>VLOOKUP(I$3,坦克等级成长!$B$70:$X$77,23,FALSE)</f>
        <v>5.5555555555555587E-2</v>
      </c>
      <c r="J15" s="34" t="e">
        <f>VLOOKUP(J$3,坦克等级成长!$B$70:$X$77,23,FALSE)</f>
        <v>#DIV/0!</v>
      </c>
      <c r="X15" s="129"/>
    </row>
    <row r="16" spans="2:24" x14ac:dyDescent="0.3">
      <c r="X16" s="129"/>
    </row>
    <row r="17" spans="2:55" x14ac:dyDescent="0.3">
      <c r="B17" s="352" t="s">
        <v>1095</v>
      </c>
      <c r="C17" s="353"/>
      <c r="D17" s="353"/>
      <c r="E17" s="353"/>
      <c r="F17" s="353"/>
      <c r="G17" s="353"/>
      <c r="H17" s="353"/>
      <c r="I17" s="353"/>
      <c r="J17" s="353"/>
      <c r="K17" s="353"/>
      <c r="L17" s="353"/>
      <c r="M17" s="353"/>
      <c r="N17" s="353"/>
      <c r="O17" s="353"/>
      <c r="P17" s="353"/>
      <c r="Q17" s="353"/>
      <c r="R17" s="353"/>
      <c r="S17" s="353"/>
      <c r="T17" s="353"/>
      <c r="U17" s="353"/>
      <c r="V17" s="353"/>
      <c r="W17" s="353"/>
      <c r="X17" s="353"/>
      <c r="Y17" s="353"/>
      <c r="Z17" s="353"/>
      <c r="AA17" s="353"/>
      <c r="AB17" s="353"/>
      <c r="AC17" s="353"/>
      <c r="AD17" s="353"/>
      <c r="AE17" s="353"/>
      <c r="AF17" s="353"/>
      <c r="AG17" s="353"/>
      <c r="AH17" s="353"/>
      <c r="AI17" s="353"/>
      <c r="AJ17" s="353"/>
      <c r="AK17" s="353"/>
      <c r="AL17" s="353"/>
      <c r="AM17" s="353"/>
      <c r="AN17" s="353"/>
      <c r="AO17" s="353"/>
      <c r="AP17" s="353"/>
      <c r="AQ17" s="353"/>
      <c r="AR17" s="353"/>
      <c r="AS17" s="353"/>
      <c r="AT17" s="353"/>
      <c r="AU17" s="353"/>
      <c r="AV17" s="353"/>
      <c r="AW17" s="353"/>
      <c r="AX17" s="353"/>
      <c r="AY17" s="353"/>
      <c r="AZ17" s="353"/>
      <c r="BA17" s="353"/>
      <c r="BB17" s="353"/>
      <c r="BC17" s="354"/>
    </row>
    <row r="18" spans="2:55" x14ac:dyDescent="0.3">
      <c r="B18" s="2" t="s">
        <v>599</v>
      </c>
      <c r="C18" s="2" t="s">
        <v>1096</v>
      </c>
      <c r="D18" s="2" t="s">
        <v>1097</v>
      </c>
      <c r="E18" s="2" t="s">
        <v>775</v>
      </c>
      <c r="F18" s="2" t="s">
        <v>1098</v>
      </c>
      <c r="G18" s="2" t="s">
        <v>906</v>
      </c>
      <c r="H18" s="2" t="s">
        <v>907</v>
      </c>
      <c r="I18" s="2" t="s">
        <v>1099</v>
      </c>
      <c r="J18" s="2" t="s">
        <v>1100</v>
      </c>
      <c r="K18" s="149" t="s">
        <v>1101</v>
      </c>
      <c r="L18" s="2" t="s">
        <v>181</v>
      </c>
      <c r="M18" s="2" t="s">
        <v>1102</v>
      </c>
      <c r="N18" s="2" t="s">
        <v>1103</v>
      </c>
      <c r="O18" s="2" t="s">
        <v>1104</v>
      </c>
      <c r="P18" s="2" t="s">
        <v>1105</v>
      </c>
      <c r="Q18" s="2" t="s">
        <v>1106</v>
      </c>
      <c r="R18" s="149" t="s">
        <v>1107</v>
      </c>
      <c r="S18" s="2" t="s">
        <v>171</v>
      </c>
      <c r="T18" s="2" t="s">
        <v>1108</v>
      </c>
      <c r="U18" s="116" t="s">
        <v>90</v>
      </c>
      <c r="V18" s="149" t="s">
        <v>1109</v>
      </c>
      <c r="W18" s="2" t="s">
        <v>1110</v>
      </c>
      <c r="X18" s="2" t="s">
        <v>1111</v>
      </c>
      <c r="Y18" s="2" t="s">
        <v>1112</v>
      </c>
      <c r="Z18" s="2" t="s">
        <v>1113</v>
      </c>
      <c r="AA18" s="2" t="s">
        <v>1114</v>
      </c>
      <c r="AB18" s="2" t="s">
        <v>888</v>
      </c>
      <c r="AC18" s="2" t="s">
        <v>1115</v>
      </c>
      <c r="AD18" s="2" t="s">
        <v>1116</v>
      </c>
      <c r="AE18" s="2" t="s">
        <v>1117</v>
      </c>
      <c r="AF18" s="2" t="s">
        <v>889</v>
      </c>
      <c r="AG18" s="2" t="s">
        <v>1118</v>
      </c>
      <c r="AH18" s="149" t="s">
        <v>1119</v>
      </c>
      <c r="AI18" s="2" t="s">
        <v>890</v>
      </c>
      <c r="AJ18" s="2" t="s">
        <v>1120</v>
      </c>
      <c r="AK18" s="2" t="s">
        <v>1121</v>
      </c>
      <c r="AL18" s="2" t="s">
        <v>1122</v>
      </c>
      <c r="AM18" s="2" t="s">
        <v>1123</v>
      </c>
      <c r="AN18" s="2" t="s">
        <v>1124</v>
      </c>
      <c r="AO18" s="2" t="s">
        <v>1125</v>
      </c>
      <c r="AP18" s="2" t="s">
        <v>1126</v>
      </c>
      <c r="AQ18" s="2" t="s">
        <v>1127</v>
      </c>
      <c r="AR18" s="2" t="s">
        <v>1128</v>
      </c>
      <c r="AS18" s="2" t="s">
        <v>1129</v>
      </c>
      <c r="AT18" s="2" t="s">
        <v>1130</v>
      </c>
      <c r="AU18" s="2" t="s">
        <v>1131</v>
      </c>
      <c r="AV18" s="2" t="s">
        <v>1132</v>
      </c>
      <c r="AW18" s="2" t="s">
        <v>911</v>
      </c>
      <c r="AX18" s="2" t="s">
        <v>912</v>
      </c>
      <c r="AY18" s="2" t="s">
        <v>913</v>
      </c>
      <c r="AZ18" s="2" t="s">
        <v>914</v>
      </c>
      <c r="BA18" s="2" t="s">
        <v>915</v>
      </c>
      <c r="BB18" s="2" t="s">
        <v>916</v>
      </c>
      <c r="BC18" s="2" t="s">
        <v>917</v>
      </c>
    </row>
    <row r="19" spans="2:55" x14ac:dyDescent="0.3">
      <c r="B19" s="2" t="s">
        <v>510</v>
      </c>
      <c r="C19" s="2" t="s">
        <v>1133</v>
      </c>
      <c r="D19" s="29" t="str">
        <f>坦克类型系数!C4</f>
        <v>轻坦</v>
      </c>
      <c r="E19" s="21" t="s">
        <v>604</v>
      </c>
      <c r="F19" s="21" t="s">
        <v>78</v>
      </c>
      <c r="G19" s="29">
        <f>坦克类型系数!D4</f>
        <v>4.74</v>
      </c>
      <c r="H19" s="29">
        <f>坦克类型系数!E4</f>
        <v>2.11</v>
      </c>
      <c r="I19" s="29">
        <f>坦克类型系数!F4</f>
        <v>5.19</v>
      </c>
      <c r="J19" s="21">
        <v>1.1499999999999999</v>
      </c>
      <c r="K19" s="150">
        <f>SQRT(I19/VLOOKUP(D19,坦克类型系数!$AH$3:$AK$6,4,FALSE))*J19</f>
        <v>1.0547242643961485</v>
      </c>
      <c r="L19" s="21" t="s">
        <v>1134</v>
      </c>
      <c r="M19" s="29">
        <f>VLOOKUP(D19,坦克类型系数!$AH$15:$AK$18,4,FALSE)</f>
        <v>0.78</v>
      </c>
      <c r="N19" s="21">
        <v>1.1000000000000001</v>
      </c>
      <c r="O19" s="2">
        <f>ROUND(M19*N19,2)</f>
        <v>0.86</v>
      </c>
      <c r="P19" s="34">
        <f>1+(O19-M19)/M19</f>
        <v>1.1025641025641024</v>
      </c>
      <c r="Q19" s="34">
        <f t="shared" ref="Q19:Q48" si="3">1+(M19-O19)/M52*VLOOKUP($B$11,$B$3:$J$15,MATCH($F19,$B$3:$J$3,0),FALSE)</f>
        <v>0.86776859504132231</v>
      </c>
      <c r="R19" s="150">
        <f>P19*Q19</f>
        <v>0.95677050222504756</v>
      </c>
      <c r="S19" s="2">
        <f>VLOOKUP(F19,坦克类型系数!$AQ$3:$AX$10,MATCH("瞄准速度",坦克类型系数!$AQ$3:$AX$3,0),FALSE)</f>
        <v>1.2</v>
      </c>
      <c r="T19" s="21">
        <v>0.5</v>
      </c>
      <c r="U19" s="2">
        <f>(VLOOKUP(F19,坦克类型系数!$AM$3:$AO$10,MATCH("射击间隔max",坦克类型系数!$AM$3:$AO$3,0),FALSE)-VLOOKUP(F19,坦克类型系数!$AM$3:$AO$10,MATCH("射击间隔min",坦克类型系数!$AM$3:$AO$3,0),FALSE))*T19+VLOOKUP(F19,坦克类型系数!$AM$3:$AO$10,MATCH("射击间隔min",坦克类型系数!$AM$3:$AO$3,0),FALSE)</f>
        <v>0.60000000000000009</v>
      </c>
      <c r="V19" s="150">
        <f>(U19-VLOOKUP(F19,标准坦克设计!$B$13:$K$20,MATCH("射击间隔",标准坦克设计!$B$13:$K$13,0),FALSE))/0.1*VLOOKUP($B$15,$B$3:$J$15,MATCH(F19,$B$3:$J$3,0),FALSE)+1</f>
        <v>0.90245395420014218</v>
      </c>
      <c r="W19" s="2">
        <f>VLOOKUP(D19,坦克类型系数!$BI$3:$BK$6,2,FALSE)</f>
        <v>1</v>
      </c>
      <c r="X19" s="34">
        <f>VLOOKUP(D19,坦克类型系数!$BI$3:$BK$6,3,FALSE)</f>
        <v>2.1563141881038952</v>
      </c>
      <c r="Y19" s="21">
        <v>0</v>
      </c>
      <c r="Z19" s="21">
        <v>1</v>
      </c>
      <c r="AA19" s="34">
        <f>VLOOKUP(D19,坦克类型系数!$CQ$9:$CY$12,2,FALSE)*$M$4*Z19</f>
        <v>11.783831986523932</v>
      </c>
      <c r="AB19" s="34">
        <f>VLOOKUP(D19,坦克类型系数!$CQ$9:$CY$12,6,FALSE)*$M$4*Z19</f>
        <v>47.135327946095728</v>
      </c>
      <c r="AC19" s="34">
        <f>VLOOKUP(D19,坦克类型系数!$CQ$3:$CY$6,9,FALSE)</f>
        <v>58.919159932619657</v>
      </c>
      <c r="AD19" s="2">
        <f>VLOOKUP(F19,坦克类型系数!$BM$3:$BV$10,6,FALSE)</f>
        <v>0.58499999999999996</v>
      </c>
      <c r="AE19" s="41">
        <f t="shared" ref="AE19:AE48" si="4">1/Z19</f>
        <v>1</v>
      </c>
      <c r="AF19" s="34">
        <f>VLOOKUP(D19,坦克类型系数!$DE$3:$DH$6,3,FALSE)*AE19</f>
        <v>45</v>
      </c>
      <c r="AG19" s="21">
        <v>1</v>
      </c>
      <c r="AH19" s="150">
        <f t="shared" ref="AH19:AH48" si="5">(1-AG19)*VLOOKUP($B$12,$B$3:$J$15,MATCH(F19,$B$3:$J$3,0),FALSE)*VLOOKUP($B$11,$B$3:$J$15,MATCH(F19,$B$3:$J$3,0),FALSE)+1</f>
        <v>1</v>
      </c>
      <c r="AI19" s="2">
        <f>VLOOKUP(D19,坦克类型系数!$BZ$21:$CF$24,2,FALSE)*AG19</f>
        <v>10.5</v>
      </c>
      <c r="AJ19" s="34">
        <f>VLOOKUP(D19,坦克类型系数!$BZ$21:$CF$24,5,FALSE)*AG19</f>
        <v>10.5</v>
      </c>
      <c r="AK19" s="34">
        <f>VLOOKUP(D19,坦克类型系数!$BZ$21:$CF$24,4,FALSE)</f>
        <v>7</v>
      </c>
      <c r="AL19" s="34">
        <f>VLOOKUP(D19,坦克类型系数!$BZ$21:$CF$24,7,FALSE)</f>
        <v>10.5</v>
      </c>
      <c r="AM19" s="34">
        <f>VLOOKUP(D19,坦克类型系数!$CH$21:$CN$24,4,FALSE)</f>
        <v>21</v>
      </c>
      <c r="AN19" s="34">
        <f>VLOOKUP(D19,坦克类型系数!$CH$21:$CN$24,7,FALSE)</f>
        <v>35</v>
      </c>
      <c r="AO19" s="2">
        <f>VLOOKUP(F19,坦克类型系数!$BM$13:$BV$20,6,FALSE)</f>
        <v>0.58499999999999996</v>
      </c>
      <c r="AP19" s="142">
        <f>基础属性系数!$C$56</f>
        <v>0.2</v>
      </c>
      <c r="AQ19" s="142">
        <f>基础属性系数!$C$55</f>
        <v>0.3</v>
      </c>
      <c r="AR19" s="2">
        <f>VLOOKUP(D19,坦克类型系数!$DE$9:$DH$12,2,FALSE)</f>
        <v>1</v>
      </c>
      <c r="AS19" s="2">
        <f>VLOOKUP(D19,坦克类型系数!$DE$9:$DH$12,3,FALSE)</f>
        <v>1</v>
      </c>
      <c r="AT19" s="2">
        <f>VLOOKUP(D19,坦克类型系数!$DE$9:$DH$12,4,FALSE)</f>
        <v>1</v>
      </c>
      <c r="AU19" s="2">
        <f>VLOOKUP(D19,坦克类型系数!$AH$9:$AK$12,3,FALSE)</f>
        <v>30</v>
      </c>
      <c r="AV19" s="2">
        <f>VLOOKUP(D19,坦克类型系数!$AH$9:$AK$12,4,FALSE)</f>
        <v>35</v>
      </c>
      <c r="AW19" s="142">
        <f>VLOOKUP($B19,坦克类型系数!$B$3:$AF$33,MATCH(AW$18,坦克类型系数!$B$3:$AF$3,0),FALSE)</f>
        <v>0</v>
      </c>
      <c r="AX19" s="142">
        <f>VLOOKUP($B19,坦克类型系数!$B$3:$AF$33,MATCH(AX$18,坦克类型系数!$B$3:$AF$3,0),FALSE)</f>
        <v>2.1</v>
      </c>
      <c r="AY19" s="142">
        <f>VLOOKUP($B19,坦克类型系数!$B$3:$AF$33,MATCH(AY$18,坦克类型系数!$B$3:$AF$3,0),FALSE)</f>
        <v>1.7</v>
      </c>
      <c r="AZ19" s="142">
        <f>VLOOKUP($B19,坦克类型系数!$B$3:$AF$33,MATCH(AZ$18,坦克类型系数!$B$3:$AF$3,0),FALSE)</f>
        <v>1.7</v>
      </c>
      <c r="BA19" s="142">
        <f>VLOOKUP($B19,坦克类型系数!$B$3:$AF$33,MATCH(BA$18,坦克类型系数!$B$3:$AF$3,0),FALSE)</f>
        <v>1</v>
      </c>
      <c r="BB19" s="142">
        <f>VLOOKUP($B19,坦克类型系数!$B$3:$AF$33,MATCH(BB$18,坦克类型系数!$B$3:$AF$3,0),FALSE)</f>
        <v>1</v>
      </c>
      <c r="BC19" s="142">
        <f>VLOOKUP($B19,坦克类型系数!$B$3:$AF$33,MATCH(BC$18,坦克类型系数!$B$3:$AF$3,0),FALSE)</f>
        <v>0.85</v>
      </c>
    </row>
    <row r="20" spans="2:55" x14ac:dyDescent="0.3">
      <c r="B20" s="2" t="s">
        <v>516</v>
      </c>
      <c r="C20" s="2" t="s">
        <v>1135</v>
      </c>
      <c r="D20" s="29" t="str">
        <f>坦克类型系数!C5</f>
        <v>轻坦</v>
      </c>
      <c r="E20" s="21" t="s">
        <v>606</v>
      </c>
      <c r="F20" s="21" t="s">
        <v>78</v>
      </c>
      <c r="G20" s="29">
        <f>坦克类型系数!D5</f>
        <v>4.8099999999999996</v>
      </c>
      <c r="H20" s="29">
        <f>坦克类型系数!E5</f>
        <v>2.2599999999999998</v>
      </c>
      <c r="I20" s="29">
        <f>坦克类型系数!F5</f>
        <v>5.31</v>
      </c>
      <c r="J20" s="21">
        <v>1</v>
      </c>
      <c r="K20" s="150">
        <f>SQRT(I20/VLOOKUP(D20,坦克类型系数!$AH$3:$AK$6,4,FALSE))*J20</f>
        <v>0.92769385214429489</v>
      </c>
      <c r="L20" s="21" t="s">
        <v>1134</v>
      </c>
      <c r="M20" s="29">
        <f>VLOOKUP(D20,坦克类型系数!$AH$15:$AK$18,4,FALSE)</f>
        <v>0.78</v>
      </c>
      <c r="N20" s="21">
        <v>0.9</v>
      </c>
      <c r="O20" s="2">
        <f t="shared" ref="O20:O48" si="6">ROUND(M20*N20,2)</f>
        <v>0.7</v>
      </c>
      <c r="P20" s="34">
        <f>1+(O20-M20)/M20</f>
        <v>0.89743589743589736</v>
      </c>
      <c r="Q20" s="34">
        <f t="shared" si="3"/>
        <v>1.1352366641622842</v>
      </c>
      <c r="R20" s="150">
        <f t="shared" ref="R20:R48" si="7">P20*Q20</f>
        <v>1.0188021345046139</v>
      </c>
      <c r="S20" s="2">
        <f>VLOOKUP(F20,坦克类型系数!$AQ$3:$AX$10,MATCH("瞄准速度",坦克类型系数!$AQ$3:$AX$3,0),FALSE)</f>
        <v>1.2</v>
      </c>
      <c r="T20" s="21">
        <v>0.5</v>
      </c>
      <c r="U20" s="2">
        <f>(VLOOKUP(F20,坦克类型系数!$AM$3:$AO$10,MATCH("射击间隔max",坦克类型系数!$AM$3:$AO$3,0),FALSE)-VLOOKUP(F20,坦克类型系数!$AM$3:$AO$10,MATCH("射击间隔min",坦克类型系数!$AM$3:$AO$3,0),FALSE))*T20+VLOOKUP(F20,坦克类型系数!$AM$3:$AO$10,MATCH("射击间隔min",坦克类型系数!$AM$3:$AO$3,0),FALSE)</f>
        <v>0.60000000000000009</v>
      </c>
      <c r="V20" s="150">
        <f>(U20-VLOOKUP(F20,标准坦克设计!$B$13:$K$20,MATCH("射击间隔",标准坦克设计!$B$13:$K$13,0),FALSE))/0.1*VLOOKUP($B$15,$B$3:$J$15,MATCH(F20,$B$3:$J$3,0),FALSE)+1</f>
        <v>0.90245395420014218</v>
      </c>
      <c r="W20" s="2">
        <f>VLOOKUP(D20,坦克类型系数!$BI$3:$BK$6,2,FALSE)</f>
        <v>1</v>
      </c>
      <c r="X20" s="34">
        <f>VLOOKUP(D20,坦克类型系数!$BI$3:$BK$6,3,FALSE)</f>
        <v>2.1563141881038952</v>
      </c>
      <c r="Y20" s="21">
        <v>0</v>
      </c>
      <c r="Z20" s="21">
        <v>1</v>
      </c>
      <c r="AA20" s="34">
        <f>VLOOKUP(D20,坦克类型系数!$CQ$9:$CY$12,2,FALSE)*$M$4*Z20</f>
        <v>11.783831986523932</v>
      </c>
      <c r="AB20" s="34">
        <f>VLOOKUP(D20,坦克类型系数!$CQ$9:$CY$12,6,FALSE)*$M$4*Z20</f>
        <v>47.135327946095728</v>
      </c>
      <c r="AC20" s="34">
        <f>VLOOKUP(D20,坦克类型系数!$CQ$3:$CY$6,9,FALSE)</f>
        <v>58.919159932619657</v>
      </c>
      <c r="AD20" s="2">
        <f>VLOOKUP(F20,坦克类型系数!$BM$3:$BV$10,6,FALSE)</f>
        <v>0.58499999999999996</v>
      </c>
      <c r="AE20" s="41">
        <f t="shared" si="4"/>
        <v>1</v>
      </c>
      <c r="AF20" s="34">
        <f>VLOOKUP(D20,坦克类型系数!$DE$3:$DH$6,3,FALSE)*AE20</f>
        <v>45</v>
      </c>
      <c r="AG20" s="21">
        <v>1</v>
      </c>
      <c r="AH20" s="150">
        <f t="shared" si="5"/>
        <v>1</v>
      </c>
      <c r="AI20" s="2">
        <f>VLOOKUP(D20,坦克类型系数!$BZ$21:$CF$24,2,FALSE)*AG20</f>
        <v>10.5</v>
      </c>
      <c r="AJ20" s="34">
        <f>VLOOKUP(D20,坦克类型系数!$BZ$21:$CF$24,5,FALSE)*AG20</f>
        <v>10.5</v>
      </c>
      <c r="AK20" s="34">
        <f>VLOOKUP(D20,坦克类型系数!$BZ$21:$CF$24,4,FALSE)</f>
        <v>7</v>
      </c>
      <c r="AL20" s="34">
        <f>VLOOKUP(D20,坦克类型系数!$BZ$21:$CF$24,7,FALSE)</f>
        <v>10.5</v>
      </c>
      <c r="AM20" s="34">
        <f>VLOOKUP(D20,坦克类型系数!$CH$21:$CN$24,4,FALSE)</f>
        <v>21</v>
      </c>
      <c r="AN20" s="34">
        <f>VLOOKUP(D20,坦克类型系数!$CH$21:$CN$24,7,FALSE)</f>
        <v>35</v>
      </c>
      <c r="AO20" s="2">
        <f>VLOOKUP(F20,坦克类型系数!$BM$13:$BV$20,6,FALSE)</f>
        <v>0.58499999999999996</v>
      </c>
      <c r="AP20" s="142">
        <f>基础属性系数!$C$56</f>
        <v>0.2</v>
      </c>
      <c r="AQ20" s="142">
        <f>基础属性系数!$C$55</f>
        <v>0.3</v>
      </c>
      <c r="AR20" s="2">
        <f>VLOOKUP(D20,坦克类型系数!$DE$9:$DH$12,2,FALSE)</f>
        <v>1</v>
      </c>
      <c r="AS20" s="2">
        <f>VLOOKUP(D20,坦克类型系数!$DE$9:$DH$12,3,FALSE)</f>
        <v>1</v>
      </c>
      <c r="AT20" s="2">
        <f>VLOOKUP(D20,坦克类型系数!$DE$9:$DH$12,4,FALSE)</f>
        <v>1</v>
      </c>
      <c r="AU20" s="2">
        <f>VLOOKUP(D20,坦克类型系数!$AH$9:$AK$12,3,FALSE)</f>
        <v>30</v>
      </c>
      <c r="AV20" s="2">
        <f>VLOOKUP(D20,坦克类型系数!$AH$9:$AK$12,4,FALSE)</f>
        <v>35</v>
      </c>
      <c r="AW20" s="142">
        <f>VLOOKUP($B20,坦克类型系数!$B$3:$AF$33,MATCH(AW$18,坦克类型系数!$B$3:$AF$3,0),FALSE)</f>
        <v>0</v>
      </c>
      <c r="AX20" s="142">
        <f>VLOOKUP($B20,坦克类型系数!$B$3:$AF$33,MATCH(AX$18,坦克类型系数!$B$3:$AF$3,0),FALSE)</f>
        <v>2</v>
      </c>
      <c r="AY20" s="142">
        <f>VLOOKUP($B20,坦克类型系数!$B$3:$AF$33,MATCH(AY$18,坦克类型系数!$B$3:$AF$3,0),FALSE)</f>
        <v>1.65</v>
      </c>
      <c r="AZ20" s="142">
        <f>VLOOKUP($B20,坦克类型系数!$B$3:$AF$33,MATCH(AZ$18,坦克类型系数!$B$3:$AF$3,0),FALSE)</f>
        <v>1.65</v>
      </c>
      <c r="BA20" s="142">
        <f>VLOOKUP($B20,坦克类型系数!$B$3:$AF$33,MATCH(BA$18,坦克类型系数!$B$3:$AF$3,0),FALSE)</f>
        <v>0.95</v>
      </c>
      <c r="BB20" s="142">
        <f>VLOOKUP($B20,坦克类型系数!$B$3:$AF$33,MATCH(BB$18,坦克类型系数!$B$3:$AF$3,0),FALSE)</f>
        <v>0.95</v>
      </c>
      <c r="BC20" s="142">
        <f>VLOOKUP($B20,坦克类型系数!$B$3:$AF$33,MATCH(BC$18,坦克类型系数!$B$3:$AF$3,0),FALSE)</f>
        <v>0.85</v>
      </c>
    </row>
    <row r="21" spans="2:55" x14ac:dyDescent="0.3">
      <c r="B21" s="2" t="s">
        <v>607</v>
      </c>
      <c r="C21" s="2" t="s">
        <v>1136</v>
      </c>
      <c r="D21" s="29" t="str">
        <f>坦克类型系数!C6</f>
        <v>轻坦</v>
      </c>
      <c r="E21" s="21" t="s">
        <v>606</v>
      </c>
      <c r="F21" s="21" t="s">
        <v>78</v>
      </c>
      <c r="G21" s="29">
        <f>坦克类型系数!D6</f>
        <v>6.71</v>
      </c>
      <c r="H21" s="29">
        <f>坦克类型系数!E6</f>
        <v>2.59</v>
      </c>
      <c r="I21" s="29">
        <f>坦克类型系数!F6</f>
        <v>7.19</v>
      </c>
      <c r="J21" s="21">
        <v>1</v>
      </c>
      <c r="K21" s="150">
        <f>SQRT(I21/VLOOKUP(D21,坦克类型系数!$AH$3:$AK$6,4,FALSE))*J21</f>
        <v>1.0794980525137019</v>
      </c>
      <c r="L21" s="21" t="s">
        <v>1134</v>
      </c>
      <c r="M21" s="29">
        <f>VLOOKUP(D21,坦克类型系数!$AH$15:$AK$18,4,FALSE)</f>
        <v>0.78</v>
      </c>
      <c r="N21" s="21">
        <v>1.05</v>
      </c>
      <c r="O21" s="2">
        <f t="shared" si="6"/>
        <v>0.82</v>
      </c>
      <c r="P21" s="34">
        <f t="shared" ref="P21:P48" si="8">1+(O21-M21)/M21</f>
        <v>1.0512820512820511</v>
      </c>
      <c r="Q21" s="34">
        <f t="shared" si="3"/>
        <v>0.95201279658757676</v>
      </c>
      <c r="R21" s="150">
        <f t="shared" si="7"/>
        <v>1.0008339656433498</v>
      </c>
      <c r="S21" s="2">
        <f>VLOOKUP(F21,坦克类型系数!$AQ$3:$AX$10,MATCH("瞄准速度",坦克类型系数!$AQ$3:$AX$3,0),FALSE)</f>
        <v>1.2</v>
      </c>
      <c r="T21" s="21">
        <v>1</v>
      </c>
      <c r="U21" s="2">
        <f>(VLOOKUP(F21,坦克类型系数!$AM$3:$AO$10,MATCH("射击间隔max",坦克类型系数!$AM$3:$AO$3,0),FALSE)-VLOOKUP(F21,坦克类型系数!$AM$3:$AO$10,MATCH("射击间隔min",坦克类型系数!$AM$3:$AO$3,0),FALSE))*T21+VLOOKUP(F21,坦克类型系数!$AM$3:$AO$10,MATCH("射击间隔min",坦克类型系数!$AM$3:$AO$3,0),FALSE)</f>
        <v>0.8</v>
      </c>
      <c r="V21" s="150">
        <f>(U21-VLOOKUP(F21,标准坦克设计!$B$13:$K$20,MATCH("射击间隔",标准坦克设计!$B$13:$K$13,0),FALSE))/0.1*VLOOKUP($B$15,$B$3:$J$15,MATCH(F21,$B$3:$J$3,0),FALSE)+1</f>
        <v>0.80490790840028448</v>
      </c>
      <c r="W21" s="2">
        <f>VLOOKUP(D21,坦克类型系数!$BI$3:$BK$6,2,FALSE)</f>
        <v>1</v>
      </c>
      <c r="X21" s="34">
        <f>VLOOKUP(D21,坦克类型系数!$BI$3:$BK$6,3,FALSE)</f>
        <v>2.1563141881038952</v>
      </c>
      <c r="Y21" s="21">
        <v>1</v>
      </c>
      <c r="Z21" s="21">
        <v>0.9</v>
      </c>
      <c r="AA21" s="34">
        <f>VLOOKUP(D21,坦克类型系数!$CQ$9:$CY$12,2,FALSE)*$M$4*Z21</f>
        <v>10.60544878787154</v>
      </c>
      <c r="AB21" s="34">
        <f>VLOOKUP(D21,坦克类型系数!$CQ$9:$CY$12,6,FALSE)*$M$4*Z21</f>
        <v>42.421795151486158</v>
      </c>
      <c r="AC21" s="34">
        <f>VLOOKUP(D21,坦克类型系数!$CQ$3:$CY$6,9,FALSE)</f>
        <v>58.919159932619657</v>
      </c>
      <c r="AD21" s="2">
        <f>VLOOKUP(F21,坦克类型系数!$BM$3:$BV$10,6,FALSE)</f>
        <v>0.58499999999999996</v>
      </c>
      <c r="AE21" s="41">
        <f t="shared" si="4"/>
        <v>1.1111111111111112</v>
      </c>
      <c r="AF21" s="34">
        <f>VLOOKUP(D21,坦克类型系数!$DE$3:$DH$6,3,FALSE)*AE21</f>
        <v>50</v>
      </c>
      <c r="AG21" s="21">
        <v>0.95</v>
      </c>
      <c r="AH21" s="150">
        <f t="shared" si="5"/>
        <v>1.0185949277902859</v>
      </c>
      <c r="AI21" s="2">
        <f>VLOOKUP(D21,坦克类型系数!$BZ$21:$CF$24,2,FALSE)*AG21</f>
        <v>9.9749999999999996</v>
      </c>
      <c r="AJ21" s="34">
        <f>VLOOKUP(D21,坦克类型系数!$BZ$21:$CF$24,5,FALSE)*AG21</f>
        <v>9.9749999999999996</v>
      </c>
      <c r="AK21" s="34">
        <f>VLOOKUP(D21,坦克类型系数!$BZ$21:$CF$24,4,FALSE)</f>
        <v>7</v>
      </c>
      <c r="AL21" s="34">
        <f>VLOOKUP(D21,坦克类型系数!$BZ$21:$CF$24,7,FALSE)</f>
        <v>10.5</v>
      </c>
      <c r="AM21" s="34">
        <f>VLOOKUP(D21,坦克类型系数!$CH$21:$CN$24,4,FALSE)</f>
        <v>21</v>
      </c>
      <c r="AN21" s="34">
        <f>VLOOKUP(D21,坦克类型系数!$CH$21:$CN$24,7,FALSE)</f>
        <v>35</v>
      </c>
      <c r="AO21" s="2">
        <f>VLOOKUP(F21,坦克类型系数!$BM$13:$BV$20,6,FALSE)</f>
        <v>0.58499999999999996</v>
      </c>
      <c r="AP21" s="142">
        <f>基础属性系数!$C$56</f>
        <v>0.2</v>
      </c>
      <c r="AQ21" s="142">
        <f>基础属性系数!$C$55</f>
        <v>0.3</v>
      </c>
      <c r="AR21" s="2">
        <f>VLOOKUP(D21,坦克类型系数!$DE$9:$DH$12,2,FALSE)</f>
        <v>1</v>
      </c>
      <c r="AS21" s="2">
        <f>VLOOKUP(D21,坦克类型系数!$DE$9:$DH$12,3,FALSE)</f>
        <v>1</v>
      </c>
      <c r="AT21" s="2">
        <f>VLOOKUP(D21,坦克类型系数!$DE$9:$DH$12,4,FALSE)</f>
        <v>1</v>
      </c>
      <c r="AU21" s="2">
        <f>VLOOKUP(D21,坦克类型系数!$AH$9:$AK$12,3,FALSE)</f>
        <v>30</v>
      </c>
      <c r="AV21" s="2">
        <f>VLOOKUP(D21,坦克类型系数!$AH$9:$AK$12,4,FALSE)</f>
        <v>35</v>
      </c>
      <c r="AW21" s="142">
        <f>VLOOKUP($B21,坦克类型系数!$B$3:$AF$33,MATCH(AW$18,坦克类型系数!$B$3:$AF$3,0),FALSE)</f>
        <v>0</v>
      </c>
      <c r="AX21" s="142">
        <f>VLOOKUP($B21,坦克类型系数!$B$3:$AF$33,MATCH(AX$18,坦克类型系数!$B$3:$AF$3,0),FALSE)</f>
        <v>2.1</v>
      </c>
      <c r="AY21" s="142">
        <f>VLOOKUP($B21,坦克类型系数!$B$3:$AF$33,MATCH(AY$18,坦克类型系数!$B$3:$AF$3,0),FALSE)</f>
        <v>1.65</v>
      </c>
      <c r="AZ21" s="142">
        <f>VLOOKUP($B21,坦克类型系数!$B$3:$AF$33,MATCH(AZ$18,坦克类型系数!$B$3:$AF$3,0),FALSE)</f>
        <v>1.65</v>
      </c>
      <c r="BA21" s="142">
        <f>VLOOKUP($B21,坦克类型系数!$B$3:$AF$33,MATCH(BA$18,坦克类型系数!$B$3:$AF$3,0),FALSE)</f>
        <v>1</v>
      </c>
      <c r="BB21" s="142">
        <f>VLOOKUP($B21,坦克类型系数!$B$3:$AF$33,MATCH(BB$18,坦克类型系数!$B$3:$AF$3,0),FALSE)</f>
        <v>1</v>
      </c>
      <c r="BC21" s="142">
        <f>VLOOKUP($B21,坦克类型系数!$B$3:$AF$33,MATCH(BC$18,坦克类型系数!$B$3:$AF$3,0),FALSE)</f>
        <v>0.85</v>
      </c>
    </row>
    <row r="22" spans="2:55" x14ac:dyDescent="0.3">
      <c r="B22" s="2" t="s">
        <v>522</v>
      </c>
      <c r="C22" s="2" t="s">
        <v>1137</v>
      </c>
      <c r="D22" s="29" t="str">
        <f>坦克类型系数!C7</f>
        <v>轻坦</v>
      </c>
      <c r="E22" s="21" t="s">
        <v>610</v>
      </c>
      <c r="F22" s="21" t="s">
        <v>78</v>
      </c>
      <c r="G22" s="29">
        <f>坦克类型系数!D7</f>
        <v>4.83</v>
      </c>
      <c r="H22" s="29">
        <f>坦克类型系数!E7</f>
        <v>2.11</v>
      </c>
      <c r="I22" s="29">
        <f>坦克类型系数!F7</f>
        <v>5.27</v>
      </c>
      <c r="J22" s="21">
        <v>1.1000000000000001</v>
      </c>
      <c r="K22" s="150">
        <f>SQRT(I22/VLOOKUP(D22,坦克类型系数!$AH$3:$AK$6,4,FALSE))*J22</f>
        <v>1.0166124189546237</v>
      </c>
      <c r="L22" s="21" t="s">
        <v>1134</v>
      </c>
      <c r="M22" s="29">
        <f>VLOOKUP(D22,坦克类型系数!$AH$15:$AK$18,4,FALSE)</f>
        <v>0.78</v>
      </c>
      <c r="N22" s="21">
        <v>1</v>
      </c>
      <c r="O22" s="2">
        <f t="shared" si="6"/>
        <v>0.78</v>
      </c>
      <c r="P22" s="34">
        <f t="shared" si="8"/>
        <v>1</v>
      </c>
      <c r="Q22" s="34">
        <f t="shared" si="3"/>
        <v>1</v>
      </c>
      <c r="R22" s="150">
        <f t="shared" si="7"/>
        <v>1</v>
      </c>
      <c r="S22" s="2">
        <f>VLOOKUP(F22,坦克类型系数!$AQ$3:$AX$10,MATCH("瞄准速度",坦克类型系数!$AQ$3:$AX$3,0),FALSE)</f>
        <v>1.2</v>
      </c>
      <c r="T22" s="21">
        <v>1</v>
      </c>
      <c r="U22" s="2">
        <f>(VLOOKUP(F22,坦克类型系数!$AM$3:$AO$10,MATCH("射击间隔max",坦克类型系数!$AM$3:$AO$3,0),FALSE)-VLOOKUP(F22,坦克类型系数!$AM$3:$AO$10,MATCH("射击间隔min",坦克类型系数!$AM$3:$AO$3,0),FALSE))*T22+VLOOKUP(F22,坦克类型系数!$AM$3:$AO$10,MATCH("射击间隔min",坦克类型系数!$AM$3:$AO$3,0),FALSE)</f>
        <v>0.8</v>
      </c>
      <c r="V22" s="150">
        <f>(U22-VLOOKUP(F22,标准坦克设计!$B$13:$K$20,MATCH("射击间隔",标准坦克设计!$B$13:$K$13,0),FALSE))/0.1*VLOOKUP($B$15,$B$3:$J$15,MATCH(F22,$B$3:$J$3,0),FALSE)+1</f>
        <v>0.80490790840028448</v>
      </c>
      <c r="W22" s="2">
        <f>VLOOKUP(D22,坦克类型系数!$BI$3:$BK$6,2,FALSE)</f>
        <v>1</v>
      </c>
      <c r="X22" s="34">
        <f>VLOOKUP(D22,坦克类型系数!$BI$3:$BK$6,3,FALSE)</f>
        <v>2.1563141881038952</v>
      </c>
      <c r="Y22" s="21">
        <v>2</v>
      </c>
      <c r="Z22" s="21">
        <v>0.9</v>
      </c>
      <c r="AA22" s="34">
        <f>VLOOKUP(D22,坦克类型系数!$CQ$9:$CY$12,2,FALSE)*$M$4*Z22</f>
        <v>10.60544878787154</v>
      </c>
      <c r="AB22" s="34">
        <f>VLOOKUP(D22,坦克类型系数!$CQ$9:$CY$12,6,FALSE)*$M$4*Z22</f>
        <v>42.421795151486158</v>
      </c>
      <c r="AC22" s="34">
        <f>VLOOKUP(D22,坦克类型系数!$CQ$3:$CY$6,9,FALSE)</f>
        <v>58.919159932619657</v>
      </c>
      <c r="AD22" s="2">
        <f>VLOOKUP(F22,坦克类型系数!$BM$3:$BV$10,6,FALSE)</f>
        <v>0.58499999999999996</v>
      </c>
      <c r="AE22" s="41">
        <f t="shared" si="4"/>
        <v>1.1111111111111112</v>
      </c>
      <c r="AF22" s="34">
        <f>VLOOKUP(D22,坦克类型系数!$DE$3:$DH$6,3,FALSE)*AE22</f>
        <v>50</v>
      </c>
      <c r="AG22" s="21">
        <v>0.95</v>
      </c>
      <c r="AH22" s="150">
        <f t="shared" si="5"/>
        <v>1.0185949277902859</v>
      </c>
      <c r="AI22" s="2">
        <f>VLOOKUP(D22,坦克类型系数!$BZ$21:$CF$24,2,FALSE)*AG22</f>
        <v>9.9749999999999996</v>
      </c>
      <c r="AJ22" s="34">
        <f>VLOOKUP(D22,坦克类型系数!$BZ$21:$CF$24,5,FALSE)*AG22</f>
        <v>9.9749999999999996</v>
      </c>
      <c r="AK22" s="34">
        <f>VLOOKUP(D22,坦克类型系数!$BZ$21:$CF$24,4,FALSE)</f>
        <v>7</v>
      </c>
      <c r="AL22" s="34">
        <f>VLOOKUP(D22,坦克类型系数!$BZ$21:$CF$24,7,FALSE)</f>
        <v>10.5</v>
      </c>
      <c r="AM22" s="34">
        <f>VLOOKUP(D22,坦克类型系数!$CH$21:$CN$24,4,FALSE)</f>
        <v>21</v>
      </c>
      <c r="AN22" s="34">
        <f>VLOOKUP(D22,坦克类型系数!$CH$21:$CN$24,7,FALSE)</f>
        <v>35</v>
      </c>
      <c r="AO22" s="2">
        <f>VLOOKUP(F22,坦克类型系数!$BM$13:$BV$20,6,FALSE)</f>
        <v>0.58499999999999996</v>
      </c>
      <c r="AP22" s="142">
        <f>基础属性系数!$C$56</f>
        <v>0.2</v>
      </c>
      <c r="AQ22" s="142">
        <f>基础属性系数!$C$55</f>
        <v>0.3</v>
      </c>
      <c r="AR22" s="2">
        <f>VLOOKUP(D22,坦克类型系数!$DE$9:$DH$12,2,FALSE)</f>
        <v>1</v>
      </c>
      <c r="AS22" s="2">
        <f>VLOOKUP(D22,坦克类型系数!$DE$9:$DH$12,3,FALSE)</f>
        <v>1</v>
      </c>
      <c r="AT22" s="2">
        <f>VLOOKUP(D22,坦克类型系数!$DE$9:$DH$12,4,FALSE)</f>
        <v>1</v>
      </c>
      <c r="AU22" s="2">
        <f>VLOOKUP(D22,坦克类型系数!$AH$9:$AK$12,3,FALSE)</f>
        <v>30</v>
      </c>
      <c r="AV22" s="2">
        <f>VLOOKUP(D22,坦克类型系数!$AH$9:$AK$12,4,FALSE)</f>
        <v>35</v>
      </c>
      <c r="AW22" s="142">
        <f>VLOOKUP($B22,坦克类型系数!$B$3:$AF$33,MATCH(AW$18,坦克类型系数!$B$3:$AF$3,0),FALSE)</f>
        <v>0</v>
      </c>
      <c r="AX22" s="142">
        <f>VLOOKUP($B22,坦克类型系数!$B$3:$AF$33,MATCH(AX$18,坦克类型系数!$B$3:$AF$3,0),FALSE)</f>
        <v>2.1</v>
      </c>
      <c r="AY22" s="142">
        <f>VLOOKUP($B22,坦克类型系数!$B$3:$AF$33,MATCH(AY$18,坦克类型系数!$B$3:$AF$3,0),FALSE)</f>
        <v>1.6</v>
      </c>
      <c r="AZ22" s="142">
        <f>VLOOKUP($B22,坦克类型系数!$B$3:$AF$33,MATCH(AZ$18,坦克类型系数!$B$3:$AF$3,0),FALSE)</f>
        <v>1.6</v>
      </c>
      <c r="BA22" s="142">
        <f>VLOOKUP($B22,坦克类型系数!$B$3:$AF$33,MATCH(BA$18,坦克类型系数!$B$3:$AF$3,0),FALSE)</f>
        <v>0.95</v>
      </c>
      <c r="BB22" s="142">
        <f>VLOOKUP($B22,坦克类型系数!$B$3:$AF$33,MATCH(BB$18,坦克类型系数!$B$3:$AF$3,0),FALSE)</f>
        <v>0.95</v>
      </c>
      <c r="BC22" s="142">
        <f>VLOOKUP($B22,坦克类型系数!$B$3:$AF$33,MATCH(BC$18,坦克类型系数!$B$3:$AF$3,0),FALSE)</f>
        <v>0.85</v>
      </c>
    </row>
    <row r="23" spans="2:55" x14ac:dyDescent="0.3">
      <c r="B23" s="2" t="s">
        <v>611</v>
      </c>
      <c r="C23" s="2" t="s">
        <v>1138</v>
      </c>
      <c r="D23" s="29" t="str">
        <f>坦克类型系数!C8</f>
        <v>轻坦</v>
      </c>
      <c r="E23" s="21" t="s">
        <v>610</v>
      </c>
      <c r="F23" s="21" t="s">
        <v>78</v>
      </c>
      <c r="G23" s="29">
        <f>坦克类型系数!D8</f>
        <v>5.91</v>
      </c>
      <c r="H23" s="29">
        <f>坦克类型系数!E8</f>
        <v>2.67</v>
      </c>
      <c r="I23" s="29">
        <f>坦克类型系数!F8</f>
        <v>6.49</v>
      </c>
      <c r="J23" s="21">
        <v>1</v>
      </c>
      <c r="K23" s="150">
        <f>SQRT(I23/VLOOKUP(D23,坦克类型系数!$AH$3:$AK$6,4,FALSE))*J23</f>
        <v>1.0256041426273552</v>
      </c>
      <c r="L23" s="21" t="s">
        <v>1134</v>
      </c>
      <c r="M23" s="29">
        <f>VLOOKUP(D23,坦克类型系数!$AH$15:$AK$18,4,FALSE)</f>
        <v>0.78</v>
      </c>
      <c r="N23" s="21">
        <v>1.05</v>
      </c>
      <c r="O23" s="2">
        <f t="shared" si="6"/>
        <v>0.82</v>
      </c>
      <c r="P23" s="34">
        <f t="shared" si="8"/>
        <v>1.0512820512820511</v>
      </c>
      <c r="Q23" s="34">
        <f t="shared" si="3"/>
        <v>0.93388429752066127</v>
      </c>
      <c r="R23" s="150">
        <f t="shared" si="7"/>
        <v>0.9817757999576181</v>
      </c>
      <c r="S23" s="2">
        <f>VLOOKUP(F23,坦克类型系数!$AQ$3:$AX$10,MATCH("瞄准速度",坦克类型系数!$AQ$3:$AX$3,0),FALSE)</f>
        <v>1.2</v>
      </c>
      <c r="T23" s="21">
        <v>0.5</v>
      </c>
      <c r="U23" s="2">
        <f>(VLOOKUP(F23,坦克类型系数!$AM$3:$AO$10,MATCH("射击间隔max",坦克类型系数!$AM$3:$AO$3,0),FALSE)-VLOOKUP(F23,坦克类型系数!$AM$3:$AO$10,MATCH("射击间隔min",坦克类型系数!$AM$3:$AO$3,0),FALSE))*T23+VLOOKUP(F23,坦克类型系数!$AM$3:$AO$10,MATCH("射击间隔min",坦克类型系数!$AM$3:$AO$3,0),FALSE)</f>
        <v>0.60000000000000009</v>
      </c>
      <c r="V23" s="150">
        <f>(U23-VLOOKUP(F23,标准坦克设计!$B$13:$K$20,MATCH("射击间隔",标准坦克设计!$B$13:$K$13,0),FALSE))/0.1*VLOOKUP($B$15,$B$3:$J$15,MATCH(F23,$B$3:$J$3,0),FALSE)+1</f>
        <v>0.90245395420014218</v>
      </c>
      <c r="W23" s="2">
        <f>VLOOKUP(D23,坦克类型系数!$BI$3:$BK$6,2,FALSE)</f>
        <v>1</v>
      </c>
      <c r="X23" s="34">
        <f>VLOOKUP(D23,坦克类型系数!$BI$3:$BK$6,3,FALSE)</f>
        <v>2.1563141881038952</v>
      </c>
      <c r="Y23" s="21">
        <v>1</v>
      </c>
      <c r="Z23" s="21">
        <v>1</v>
      </c>
      <c r="AA23" s="34">
        <f>VLOOKUP(D23,坦克类型系数!$CQ$9:$CY$12,2,FALSE)*$M$4*Z23</f>
        <v>11.783831986523932</v>
      </c>
      <c r="AB23" s="34">
        <f>VLOOKUP(D23,坦克类型系数!$CQ$9:$CY$12,6,FALSE)*$M$4*Z23</f>
        <v>47.135327946095728</v>
      </c>
      <c r="AC23" s="34">
        <f>VLOOKUP(D23,坦克类型系数!$CQ$3:$CY$6,9,FALSE)</f>
        <v>58.919159932619657</v>
      </c>
      <c r="AD23" s="2">
        <f>VLOOKUP(F23,坦克类型系数!$BM$3:$BV$10,6,FALSE)</f>
        <v>0.58499999999999996</v>
      </c>
      <c r="AE23" s="41">
        <f t="shared" si="4"/>
        <v>1</v>
      </c>
      <c r="AF23" s="34">
        <f>VLOOKUP(D23,坦克类型系数!$DE$3:$DH$6,3,FALSE)*AE23</f>
        <v>45</v>
      </c>
      <c r="AG23" s="21">
        <v>1</v>
      </c>
      <c r="AH23" s="150">
        <f t="shared" si="5"/>
        <v>1</v>
      </c>
      <c r="AI23" s="2">
        <f>VLOOKUP(D23,坦克类型系数!$BZ$21:$CF$24,2,FALSE)*AG23</f>
        <v>10.5</v>
      </c>
      <c r="AJ23" s="34">
        <f>VLOOKUP(D23,坦克类型系数!$BZ$21:$CF$24,5,FALSE)*AG23</f>
        <v>10.5</v>
      </c>
      <c r="AK23" s="34">
        <f>VLOOKUP(D23,坦克类型系数!$BZ$21:$CF$24,4,FALSE)</f>
        <v>7</v>
      </c>
      <c r="AL23" s="34">
        <f>VLOOKUP(D23,坦克类型系数!$BZ$21:$CF$24,7,FALSE)</f>
        <v>10.5</v>
      </c>
      <c r="AM23" s="34">
        <f>VLOOKUP(D23,坦克类型系数!$CH$21:$CN$24,4,FALSE)</f>
        <v>21</v>
      </c>
      <c r="AN23" s="34">
        <f>VLOOKUP(D23,坦克类型系数!$CH$21:$CN$24,7,FALSE)</f>
        <v>35</v>
      </c>
      <c r="AO23" s="2">
        <f>VLOOKUP(F23,坦克类型系数!$BM$13:$BV$20,6,FALSE)</f>
        <v>0.58499999999999996</v>
      </c>
      <c r="AP23" s="142">
        <f>基础属性系数!$C$56</f>
        <v>0.2</v>
      </c>
      <c r="AQ23" s="142">
        <f>基础属性系数!$C$55</f>
        <v>0.3</v>
      </c>
      <c r="AR23" s="2">
        <f>VLOOKUP(D23,坦克类型系数!$DE$9:$DH$12,2,FALSE)</f>
        <v>1</v>
      </c>
      <c r="AS23" s="2">
        <f>VLOOKUP(D23,坦克类型系数!$DE$9:$DH$12,3,FALSE)</f>
        <v>1</v>
      </c>
      <c r="AT23" s="2">
        <f>VLOOKUP(D23,坦克类型系数!$DE$9:$DH$12,4,FALSE)</f>
        <v>1</v>
      </c>
      <c r="AU23" s="2">
        <f>VLOOKUP(D23,坦克类型系数!$AH$9:$AK$12,3,FALSE)</f>
        <v>30</v>
      </c>
      <c r="AV23" s="2">
        <f>VLOOKUP(D23,坦克类型系数!$AH$9:$AK$12,4,FALSE)</f>
        <v>35</v>
      </c>
      <c r="AW23" s="142">
        <f>VLOOKUP($B23,坦克类型系数!$B$3:$AF$33,MATCH(AW$18,坦克类型系数!$B$3:$AF$3,0),FALSE)</f>
        <v>0</v>
      </c>
      <c r="AX23" s="142">
        <f>VLOOKUP($B23,坦克类型系数!$B$3:$AF$33,MATCH(AX$18,坦克类型系数!$B$3:$AF$3,0),FALSE)</f>
        <v>2</v>
      </c>
      <c r="AY23" s="142">
        <f>VLOOKUP($B23,坦克类型系数!$B$3:$AF$33,MATCH(AY$18,坦克类型系数!$B$3:$AF$3,0),FALSE)</f>
        <v>1.55</v>
      </c>
      <c r="AZ23" s="142">
        <f>VLOOKUP($B23,坦克类型系数!$B$3:$AF$33,MATCH(AZ$18,坦克类型系数!$B$3:$AF$3,0),FALSE)</f>
        <v>1.55</v>
      </c>
      <c r="BA23" s="142">
        <f>VLOOKUP($B23,坦克类型系数!$B$3:$AF$33,MATCH(BA$18,坦克类型系数!$B$3:$AF$3,0),FALSE)</f>
        <v>0.95</v>
      </c>
      <c r="BB23" s="142">
        <f>VLOOKUP($B23,坦克类型系数!$B$3:$AF$33,MATCH(BB$18,坦克类型系数!$B$3:$AF$3,0),FALSE)</f>
        <v>0.95</v>
      </c>
      <c r="BC23" s="142">
        <f>VLOOKUP($B23,坦克类型系数!$B$3:$AF$33,MATCH(BC$18,坦克类型系数!$B$3:$AF$3,0),FALSE)</f>
        <v>0.8</v>
      </c>
    </row>
    <row r="24" spans="2:55" x14ac:dyDescent="0.3">
      <c r="B24" s="2" t="s">
        <v>613</v>
      </c>
      <c r="C24" s="2" t="s">
        <v>1139</v>
      </c>
      <c r="D24" s="29" t="str">
        <f>坦克类型系数!C9</f>
        <v>轻坦</v>
      </c>
      <c r="E24" s="21" t="s">
        <v>610</v>
      </c>
      <c r="F24" s="21" t="s">
        <v>78</v>
      </c>
      <c r="G24" s="29">
        <f>坦克类型系数!D9</f>
        <v>4.9400000000000004</v>
      </c>
      <c r="H24" s="29">
        <f>坦克类型系数!E9</f>
        <v>2.54</v>
      </c>
      <c r="I24" s="29">
        <f>坦克类型系数!F9</f>
        <v>5.55</v>
      </c>
      <c r="J24" s="21">
        <v>1</v>
      </c>
      <c r="K24" s="150">
        <f>SQRT(I24/VLOOKUP(D24,坦克类型系数!$AH$3:$AK$6,4,FALSE))*J24</f>
        <v>0.94842700105865552</v>
      </c>
      <c r="L24" s="21" t="s">
        <v>1134</v>
      </c>
      <c r="M24" s="29">
        <f>VLOOKUP(D24,坦克类型系数!$AH$15:$AK$18,4,FALSE)</f>
        <v>0.78</v>
      </c>
      <c r="N24" s="21">
        <v>0.9</v>
      </c>
      <c r="O24" s="2">
        <f t="shared" si="6"/>
        <v>0.7</v>
      </c>
      <c r="P24" s="34">
        <f t="shared" si="8"/>
        <v>0.89743589743589736</v>
      </c>
      <c r="Q24" s="34">
        <f t="shared" si="3"/>
        <v>1.1043932144410615</v>
      </c>
      <c r="R24" s="150">
        <f t="shared" si="7"/>
        <v>0.99112211552402951</v>
      </c>
      <c r="S24" s="2">
        <f>VLOOKUP(F24,坦克类型系数!$AQ$3:$AX$10,MATCH("瞄准速度",坦克类型系数!$AQ$3:$AX$3,0),FALSE)</f>
        <v>1.2</v>
      </c>
      <c r="T24" s="21">
        <v>1</v>
      </c>
      <c r="U24" s="2">
        <f>(VLOOKUP(F24,坦克类型系数!$AM$3:$AO$10,MATCH("射击间隔max",坦克类型系数!$AM$3:$AO$3,0),FALSE)-VLOOKUP(F24,坦克类型系数!$AM$3:$AO$10,MATCH("射击间隔min",坦克类型系数!$AM$3:$AO$3,0),FALSE))*T24+VLOOKUP(F24,坦克类型系数!$AM$3:$AO$10,MATCH("射击间隔min",坦克类型系数!$AM$3:$AO$3,0),FALSE)</f>
        <v>0.8</v>
      </c>
      <c r="V24" s="150">
        <f>(U24-VLOOKUP(F24,标准坦克设计!$B$13:$K$20,MATCH("射击间隔",标准坦克设计!$B$13:$K$13,0),FALSE))/0.1*VLOOKUP($B$15,$B$3:$J$15,MATCH(F24,$B$3:$J$3,0),FALSE)+1</f>
        <v>0.80490790840028448</v>
      </c>
      <c r="W24" s="2">
        <f>VLOOKUP(D24,坦克类型系数!$BI$3:$BK$6,2,FALSE)</f>
        <v>1</v>
      </c>
      <c r="X24" s="34">
        <f>VLOOKUP(D24,坦克类型系数!$BI$3:$BK$6,3,FALSE)</f>
        <v>2.1563141881038952</v>
      </c>
      <c r="Y24" s="21">
        <v>3</v>
      </c>
      <c r="Z24" s="21">
        <v>0.8</v>
      </c>
      <c r="AA24" s="34">
        <f>VLOOKUP(D24,坦克类型系数!$CQ$9:$CY$12,2,FALSE)*$M$4*Z24</f>
        <v>9.4270655892191453</v>
      </c>
      <c r="AB24" s="34">
        <f>VLOOKUP(D24,坦克类型系数!$CQ$9:$CY$12,6,FALSE)*$M$4*Z24</f>
        <v>37.708262356876581</v>
      </c>
      <c r="AC24" s="34">
        <f>VLOOKUP(D24,坦克类型系数!$CQ$3:$CY$6,9,FALSE)</f>
        <v>58.919159932619657</v>
      </c>
      <c r="AD24" s="2">
        <f>VLOOKUP(F24,坦克类型系数!$BM$3:$BV$10,6,FALSE)</f>
        <v>0.58499999999999996</v>
      </c>
      <c r="AE24" s="41">
        <f t="shared" si="4"/>
        <v>1.25</v>
      </c>
      <c r="AF24" s="34">
        <f>VLOOKUP(D24,坦克类型系数!$DE$3:$DH$6,3,FALSE)*AE24</f>
        <v>56.25</v>
      </c>
      <c r="AG24" s="21">
        <v>0.9</v>
      </c>
      <c r="AH24" s="150">
        <f t="shared" si="5"/>
        <v>1.0371898555805719</v>
      </c>
      <c r="AI24" s="2">
        <f>VLOOKUP(D24,坦克类型系数!$BZ$21:$CF$24,2,FALSE)*AG24</f>
        <v>9.4500000000000011</v>
      </c>
      <c r="AJ24" s="34">
        <f>VLOOKUP(D24,坦克类型系数!$BZ$21:$CF$24,5,FALSE)*AG24</f>
        <v>9.4500000000000011</v>
      </c>
      <c r="AK24" s="34">
        <f>VLOOKUP(D24,坦克类型系数!$BZ$21:$CF$24,4,FALSE)</f>
        <v>7</v>
      </c>
      <c r="AL24" s="34">
        <f>VLOOKUP(D24,坦克类型系数!$BZ$21:$CF$24,7,FALSE)</f>
        <v>10.5</v>
      </c>
      <c r="AM24" s="34">
        <f>VLOOKUP(D24,坦克类型系数!$CH$21:$CN$24,4,FALSE)</f>
        <v>21</v>
      </c>
      <c r="AN24" s="34">
        <f>VLOOKUP(D24,坦克类型系数!$CH$21:$CN$24,7,FALSE)</f>
        <v>35</v>
      </c>
      <c r="AO24" s="2">
        <f>VLOOKUP(F24,坦克类型系数!$BM$13:$BV$20,6,FALSE)</f>
        <v>0.58499999999999996</v>
      </c>
      <c r="AP24" s="142">
        <f>基础属性系数!$C$56</f>
        <v>0.2</v>
      </c>
      <c r="AQ24" s="142">
        <f>基础属性系数!$C$55</f>
        <v>0.3</v>
      </c>
      <c r="AR24" s="2">
        <f>VLOOKUP(D24,坦克类型系数!$DE$9:$DH$12,2,FALSE)</f>
        <v>1</v>
      </c>
      <c r="AS24" s="2">
        <f>VLOOKUP(D24,坦克类型系数!$DE$9:$DH$12,3,FALSE)</f>
        <v>1</v>
      </c>
      <c r="AT24" s="2">
        <f>VLOOKUP(D24,坦克类型系数!$DE$9:$DH$12,4,FALSE)</f>
        <v>1</v>
      </c>
      <c r="AU24" s="2">
        <f>VLOOKUP(D24,坦克类型系数!$AH$9:$AK$12,3,FALSE)</f>
        <v>30</v>
      </c>
      <c r="AV24" s="2">
        <f>VLOOKUP(D24,坦克类型系数!$AH$9:$AK$12,4,FALSE)</f>
        <v>35</v>
      </c>
      <c r="AW24" s="142">
        <f>VLOOKUP($B24,坦克类型系数!$B$3:$AF$33,MATCH(AW$18,坦克类型系数!$B$3:$AF$3,0),FALSE)</f>
        <v>0</v>
      </c>
      <c r="AX24" s="142">
        <f>VLOOKUP($B24,坦克类型系数!$B$3:$AF$33,MATCH(AX$18,坦克类型系数!$B$3:$AF$3,0),FALSE)</f>
        <v>1.9</v>
      </c>
      <c r="AY24" s="142">
        <f>VLOOKUP($B24,坦克类型系数!$B$3:$AF$33,MATCH(AY$18,坦克类型系数!$B$3:$AF$3,0),FALSE)</f>
        <v>1.55</v>
      </c>
      <c r="AZ24" s="142">
        <f>VLOOKUP($B24,坦克类型系数!$B$3:$AF$33,MATCH(AZ$18,坦克类型系数!$B$3:$AF$3,0),FALSE)</f>
        <v>1.55</v>
      </c>
      <c r="BA24" s="142">
        <f>VLOOKUP($B24,坦克类型系数!$B$3:$AF$33,MATCH(BA$18,坦克类型系数!$B$3:$AF$3,0),FALSE)</f>
        <v>0.9</v>
      </c>
      <c r="BB24" s="142">
        <f>VLOOKUP($B24,坦克类型系数!$B$3:$AF$33,MATCH(BB$18,坦克类型系数!$B$3:$AF$3,0),FALSE)</f>
        <v>0.9</v>
      </c>
      <c r="BC24" s="142">
        <f>VLOOKUP($B24,坦克类型系数!$B$3:$AF$33,MATCH(BC$18,坦克类型系数!$B$3:$AF$3,0),FALSE)</f>
        <v>0.75</v>
      </c>
    </row>
    <row r="25" spans="2:55" x14ac:dyDescent="0.3">
      <c r="B25" s="2" t="s">
        <v>615</v>
      </c>
      <c r="C25" s="2" t="s">
        <v>1140</v>
      </c>
      <c r="D25" s="29" t="str">
        <f>坦克类型系数!C10</f>
        <v>轻坦</v>
      </c>
      <c r="E25" s="21" t="s">
        <v>617</v>
      </c>
      <c r="F25" s="21" t="s">
        <v>78</v>
      </c>
      <c r="G25" s="29">
        <f>坦克类型系数!D10</f>
        <v>4.8</v>
      </c>
      <c r="H25" s="29">
        <f>坦克类型系数!E10</f>
        <v>2.94</v>
      </c>
      <c r="I25" s="29">
        <f>坦克类型系数!F10</f>
        <v>5.63</v>
      </c>
      <c r="J25" s="21">
        <v>1</v>
      </c>
      <c r="K25" s="150">
        <f>SQRT(I25/VLOOKUP(D25,坦克类型系数!$AH$3:$AK$6,4,FALSE))*J25</f>
        <v>0.95523805445591059</v>
      </c>
      <c r="L25" s="21" t="s">
        <v>1134</v>
      </c>
      <c r="M25" s="29">
        <f>VLOOKUP(D25,坦克类型系数!$AH$15:$AK$18,4,FALSE)</f>
        <v>0.78</v>
      </c>
      <c r="N25" s="21">
        <v>1.05</v>
      </c>
      <c r="O25" s="2">
        <f t="shared" si="6"/>
        <v>0.82</v>
      </c>
      <c r="P25" s="34">
        <f t="shared" si="8"/>
        <v>1.0512820512820511</v>
      </c>
      <c r="Q25" s="34">
        <f t="shared" si="3"/>
        <v>0.93801652892561993</v>
      </c>
      <c r="R25" s="150">
        <f t="shared" si="7"/>
        <v>0.9861199406653951</v>
      </c>
      <c r="S25" s="2">
        <f>VLOOKUP(F25,坦克类型系数!$AQ$3:$AX$10,MATCH("瞄准速度",坦克类型系数!$AQ$3:$AX$3,0),FALSE)</f>
        <v>1.2</v>
      </c>
      <c r="T25" s="21">
        <v>0.5</v>
      </c>
      <c r="U25" s="2">
        <f>(VLOOKUP(F25,坦克类型系数!$AM$3:$AO$10,MATCH("射击间隔max",坦克类型系数!$AM$3:$AO$3,0),FALSE)-VLOOKUP(F25,坦克类型系数!$AM$3:$AO$10,MATCH("射击间隔min",坦克类型系数!$AM$3:$AO$3,0),FALSE))*T25+VLOOKUP(F25,坦克类型系数!$AM$3:$AO$10,MATCH("射击间隔min",坦克类型系数!$AM$3:$AO$3,0),FALSE)</f>
        <v>0.60000000000000009</v>
      </c>
      <c r="V25" s="150">
        <f>(U25-VLOOKUP(F25,标准坦克设计!$B$13:$K$20,MATCH("射击间隔",标准坦克设计!$B$13:$K$13,0),FALSE))/0.1*VLOOKUP($B$15,$B$3:$J$15,MATCH(F25,$B$3:$J$3,0),FALSE)+1</f>
        <v>0.90245395420014218</v>
      </c>
      <c r="W25" s="2">
        <f>VLOOKUP(D25,坦克类型系数!$BI$3:$BK$6,2,FALSE)</f>
        <v>1</v>
      </c>
      <c r="X25" s="34">
        <f>VLOOKUP(D25,坦克类型系数!$BI$3:$BK$6,3,FALSE)</f>
        <v>2.1563141881038952</v>
      </c>
      <c r="Y25" s="21">
        <v>2</v>
      </c>
      <c r="Z25" s="21">
        <v>0.9</v>
      </c>
      <c r="AA25" s="34">
        <f>VLOOKUP(D25,坦克类型系数!$CQ$9:$CY$12,2,FALSE)*$M$4*Z25</f>
        <v>10.60544878787154</v>
      </c>
      <c r="AB25" s="34">
        <f>VLOOKUP(D25,坦克类型系数!$CQ$9:$CY$12,6,FALSE)*$M$4*Z25</f>
        <v>42.421795151486158</v>
      </c>
      <c r="AC25" s="34">
        <f>VLOOKUP(D25,坦克类型系数!$CQ$3:$CY$6,9,FALSE)</f>
        <v>58.919159932619657</v>
      </c>
      <c r="AD25" s="2">
        <f>VLOOKUP(F25,坦克类型系数!$BM$3:$BV$10,6,FALSE)</f>
        <v>0.58499999999999996</v>
      </c>
      <c r="AE25" s="41">
        <f t="shared" si="4"/>
        <v>1.1111111111111112</v>
      </c>
      <c r="AF25" s="34">
        <f>VLOOKUP(D25,坦克类型系数!$DE$3:$DH$6,3,FALSE)*AE25</f>
        <v>50</v>
      </c>
      <c r="AG25" s="21">
        <v>0.95</v>
      </c>
      <c r="AH25" s="150">
        <f t="shared" si="5"/>
        <v>1.0185949277902859</v>
      </c>
      <c r="AI25" s="2">
        <f>VLOOKUP(D25,坦克类型系数!$BZ$21:$CF$24,2,FALSE)*AG25</f>
        <v>9.9749999999999996</v>
      </c>
      <c r="AJ25" s="34">
        <f>VLOOKUP(D25,坦克类型系数!$BZ$21:$CF$24,5,FALSE)*AG25</f>
        <v>9.9749999999999996</v>
      </c>
      <c r="AK25" s="34">
        <f>VLOOKUP(D25,坦克类型系数!$BZ$21:$CF$24,4,FALSE)</f>
        <v>7</v>
      </c>
      <c r="AL25" s="34">
        <f>VLOOKUP(D25,坦克类型系数!$BZ$21:$CF$24,7,FALSE)</f>
        <v>10.5</v>
      </c>
      <c r="AM25" s="34">
        <f>VLOOKUP(D25,坦克类型系数!$CH$21:$CN$24,4,FALSE)</f>
        <v>21</v>
      </c>
      <c r="AN25" s="34">
        <f>VLOOKUP(D25,坦克类型系数!$CH$21:$CN$24,7,FALSE)</f>
        <v>35</v>
      </c>
      <c r="AO25" s="2">
        <f>VLOOKUP(F25,坦克类型系数!$BM$13:$BV$20,6,FALSE)</f>
        <v>0.58499999999999996</v>
      </c>
      <c r="AP25" s="142">
        <f>基础属性系数!$C$56</f>
        <v>0.2</v>
      </c>
      <c r="AQ25" s="142">
        <f>基础属性系数!$C$55</f>
        <v>0.3</v>
      </c>
      <c r="AR25" s="2">
        <f>VLOOKUP(D25,坦克类型系数!$DE$9:$DH$12,2,FALSE)</f>
        <v>1</v>
      </c>
      <c r="AS25" s="2">
        <f>VLOOKUP(D25,坦克类型系数!$DE$9:$DH$12,3,FALSE)</f>
        <v>1</v>
      </c>
      <c r="AT25" s="2">
        <f>VLOOKUP(D25,坦克类型系数!$DE$9:$DH$12,4,FALSE)</f>
        <v>1</v>
      </c>
      <c r="AU25" s="2">
        <f>VLOOKUP(D25,坦克类型系数!$AH$9:$AK$12,3,FALSE)</f>
        <v>30</v>
      </c>
      <c r="AV25" s="2">
        <f>VLOOKUP(D25,坦克类型系数!$AH$9:$AK$12,4,FALSE)</f>
        <v>35</v>
      </c>
      <c r="AW25" s="142">
        <f>VLOOKUP($B25,坦克类型系数!$B$3:$AF$33,MATCH(AW$18,坦克类型系数!$B$3:$AF$3,0),FALSE)</f>
        <v>0</v>
      </c>
      <c r="AX25" s="142">
        <f>VLOOKUP($B25,坦克类型系数!$B$3:$AF$33,MATCH(AX$18,坦克类型系数!$B$3:$AF$3,0),FALSE)</f>
        <v>1.85</v>
      </c>
      <c r="AY25" s="142">
        <f>VLOOKUP($B25,坦克类型系数!$B$3:$AF$33,MATCH(AY$18,坦克类型系数!$B$3:$AF$3,0),FALSE)</f>
        <v>1.45</v>
      </c>
      <c r="AZ25" s="142">
        <f>VLOOKUP($B25,坦克类型系数!$B$3:$AF$33,MATCH(AZ$18,坦克类型系数!$B$3:$AF$3,0),FALSE)</f>
        <v>1.45</v>
      </c>
      <c r="BA25" s="142">
        <f>VLOOKUP($B25,坦克类型系数!$B$3:$AF$33,MATCH(BA$18,坦克类型系数!$B$3:$AF$3,0),FALSE)</f>
        <v>0.9</v>
      </c>
      <c r="BB25" s="142">
        <f>VLOOKUP($B25,坦克类型系数!$B$3:$AF$33,MATCH(BB$18,坦克类型系数!$B$3:$AF$3,0),FALSE)</f>
        <v>0.9</v>
      </c>
      <c r="BC25" s="142">
        <f>VLOOKUP($B25,坦克类型系数!$B$3:$AF$33,MATCH(BC$18,坦克类型系数!$B$3:$AF$3,0),FALSE)</f>
        <v>0.75</v>
      </c>
    </row>
    <row r="26" spans="2:55" x14ac:dyDescent="0.3">
      <c r="B26" s="2" t="s">
        <v>618</v>
      </c>
      <c r="C26" s="2" t="s">
        <v>1141</v>
      </c>
      <c r="D26" s="29" t="str">
        <f>坦克类型系数!C11</f>
        <v>轻坦</v>
      </c>
      <c r="E26" s="21" t="s">
        <v>617</v>
      </c>
      <c r="F26" s="21" t="s">
        <v>78</v>
      </c>
      <c r="G26" s="29">
        <f>坦克类型系数!D11</f>
        <v>5.61</v>
      </c>
      <c r="H26" s="29">
        <f>坦克类型系数!E11</f>
        <v>3.21</v>
      </c>
      <c r="I26" s="29">
        <f>坦克类型系数!F11</f>
        <v>6.46</v>
      </c>
      <c r="J26" s="21">
        <v>1</v>
      </c>
      <c r="K26" s="150">
        <f>SQRT(I26/VLOOKUP(D26,坦克类型系数!$AH$3:$AK$6,4,FALSE))*J26</f>
        <v>1.0232309713576613</v>
      </c>
      <c r="L26" s="21" t="s">
        <v>1134</v>
      </c>
      <c r="M26" s="29">
        <f>VLOOKUP(D26,坦克类型系数!$AH$15:$AK$18,4,FALSE)</f>
        <v>0.78</v>
      </c>
      <c r="N26" s="21">
        <v>0.95</v>
      </c>
      <c r="O26" s="2">
        <f t="shared" si="6"/>
        <v>0.74</v>
      </c>
      <c r="P26" s="34">
        <f t="shared" si="8"/>
        <v>0.94871794871794868</v>
      </c>
      <c r="Q26" s="34">
        <f t="shared" si="3"/>
        <v>1.0540946656649137</v>
      </c>
      <c r="R26" s="150">
        <f t="shared" si="7"/>
        <v>1.0000385289641489</v>
      </c>
      <c r="S26" s="2">
        <f>VLOOKUP(F26,坦克类型系数!$AQ$3:$AX$10,MATCH("瞄准速度",坦克类型系数!$AQ$3:$AX$3,0),FALSE)</f>
        <v>1.2</v>
      </c>
      <c r="T26" s="21">
        <v>1</v>
      </c>
      <c r="U26" s="2">
        <f>(VLOOKUP(F26,坦克类型系数!$AM$3:$AO$10,MATCH("射击间隔max",坦克类型系数!$AM$3:$AO$3,0),FALSE)-VLOOKUP(F26,坦克类型系数!$AM$3:$AO$10,MATCH("射击间隔min",坦克类型系数!$AM$3:$AO$3,0),FALSE))*T26+VLOOKUP(F26,坦克类型系数!$AM$3:$AO$10,MATCH("射击间隔min",坦克类型系数!$AM$3:$AO$3,0),FALSE)</f>
        <v>0.8</v>
      </c>
      <c r="V26" s="150">
        <f>(U26-VLOOKUP(F26,标准坦克设计!$B$13:$K$20,MATCH("射击间隔",标准坦克设计!$B$13:$K$13,0),FALSE))/0.1*VLOOKUP($B$15,$B$3:$J$15,MATCH(F26,$B$3:$J$3,0),FALSE)+1</f>
        <v>0.80490790840028448</v>
      </c>
      <c r="W26" s="2">
        <f>VLOOKUP(D26,坦克类型系数!$BI$3:$BK$6,2,FALSE)</f>
        <v>1</v>
      </c>
      <c r="X26" s="34">
        <f>VLOOKUP(D26,坦克类型系数!$BI$3:$BK$6,3,FALSE)</f>
        <v>2.1563141881038952</v>
      </c>
      <c r="Y26" s="21">
        <v>3</v>
      </c>
      <c r="Z26" s="21">
        <v>0.8</v>
      </c>
      <c r="AA26" s="34">
        <f>VLOOKUP(D26,坦克类型系数!$CQ$9:$CY$12,2,FALSE)*$M$4*Z26</f>
        <v>9.4270655892191453</v>
      </c>
      <c r="AB26" s="34">
        <f>VLOOKUP(D26,坦克类型系数!$CQ$9:$CY$12,6,FALSE)*$M$4*Z26</f>
        <v>37.708262356876581</v>
      </c>
      <c r="AC26" s="34">
        <f>VLOOKUP(D26,坦克类型系数!$CQ$3:$CY$6,9,FALSE)</f>
        <v>58.919159932619657</v>
      </c>
      <c r="AD26" s="2">
        <f>VLOOKUP(F26,坦克类型系数!$BM$3:$BV$10,6,FALSE)</f>
        <v>0.58499999999999996</v>
      </c>
      <c r="AE26" s="41">
        <f t="shared" si="4"/>
        <v>1.25</v>
      </c>
      <c r="AF26" s="34">
        <f>VLOOKUP(D26,坦克类型系数!$DE$3:$DH$6,3,FALSE)*AE26</f>
        <v>56.25</v>
      </c>
      <c r="AG26" s="21">
        <v>0.9</v>
      </c>
      <c r="AH26" s="150">
        <f t="shared" si="5"/>
        <v>1.0371898555805719</v>
      </c>
      <c r="AI26" s="2">
        <f>VLOOKUP(D26,坦克类型系数!$BZ$21:$CF$24,2,FALSE)*AG26</f>
        <v>9.4500000000000011</v>
      </c>
      <c r="AJ26" s="34">
        <f>VLOOKUP(D26,坦克类型系数!$BZ$21:$CF$24,5,FALSE)*AG26</f>
        <v>9.4500000000000011</v>
      </c>
      <c r="AK26" s="34">
        <f>VLOOKUP(D26,坦克类型系数!$BZ$21:$CF$24,4,FALSE)</f>
        <v>7</v>
      </c>
      <c r="AL26" s="34">
        <f>VLOOKUP(D26,坦克类型系数!$BZ$21:$CF$24,7,FALSE)</f>
        <v>10.5</v>
      </c>
      <c r="AM26" s="34">
        <f>VLOOKUP(D26,坦克类型系数!$CH$21:$CN$24,4,FALSE)</f>
        <v>21</v>
      </c>
      <c r="AN26" s="34">
        <f>VLOOKUP(D26,坦克类型系数!$CH$21:$CN$24,7,FALSE)</f>
        <v>35</v>
      </c>
      <c r="AO26" s="2">
        <f>VLOOKUP(F26,坦克类型系数!$BM$13:$BV$20,6,FALSE)</f>
        <v>0.58499999999999996</v>
      </c>
      <c r="AP26" s="142">
        <f>基础属性系数!$C$56</f>
        <v>0.2</v>
      </c>
      <c r="AQ26" s="142">
        <f>基础属性系数!$C$55</f>
        <v>0.3</v>
      </c>
      <c r="AR26" s="2">
        <f>VLOOKUP(D26,坦克类型系数!$DE$9:$DH$12,2,FALSE)</f>
        <v>1</v>
      </c>
      <c r="AS26" s="2">
        <f>VLOOKUP(D26,坦克类型系数!$DE$9:$DH$12,3,FALSE)</f>
        <v>1</v>
      </c>
      <c r="AT26" s="2">
        <f>VLOOKUP(D26,坦克类型系数!$DE$9:$DH$12,4,FALSE)</f>
        <v>1</v>
      </c>
      <c r="AU26" s="2">
        <f>VLOOKUP(D26,坦克类型系数!$AH$9:$AK$12,3,FALSE)</f>
        <v>30</v>
      </c>
      <c r="AV26" s="2">
        <f>VLOOKUP(D26,坦克类型系数!$AH$9:$AK$12,4,FALSE)</f>
        <v>35</v>
      </c>
      <c r="AW26" s="142">
        <f>VLOOKUP($B26,坦克类型系数!$B$3:$AF$33,MATCH(AW$18,坦克类型系数!$B$3:$AF$3,0),FALSE)</f>
        <v>0</v>
      </c>
      <c r="AX26" s="142">
        <f>VLOOKUP($B26,坦克类型系数!$B$3:$AF$33,MATCH(AX$18,坦克类型系数!$B$3:$AF$3,0),FALSE)</f>
        <v>1.85</v>
      </c>
      <c r="AY26" s="142">
        <f>VLOOKUP($B26,坦克类型系数!$B$3:$AF$33,MATCH(AY$18,坦克类型系数!$B$3:$AF$3,0),FALSE)</f>
        <v>1.35</v>
      </c>
      <c r="AZ26" s="142">
        <f>VLOOKUP($B26,坦克类型系数!$B$3:$AF$33,MATCH(AZ$18,坦克类型系数!$B$3:$AF$3,0),FALSE)</f>
        <v>1.35</v>
      </c>
      <c r="BA26" s="142">
        <f>VLOOKUP($B26,坦克类型系数!$B$3:$AF$33,MATCH(BA$18,坦克类型系数!$B$3:$AF$3,0),FALSE)</f>
        <v>0.95</v>
      </c>
      <c r="BB26" s="142">
        <f>VLOOKUP($B26,坦克类型系数!$B$3:$AF$33,MATCH(BB$18,坦克类型系数!$B$3:$AF$3,0),FALSE)</f>
        <v>0.95</v>
      </c>
      <c r="BC26" s="142">
        <f>VLOOKUP($B26,坦克类型系数!$B$3:$AF$33,MATCH(BC$18,坦克类型系数!$B$3:$AF$3,0),FALSE)</f>
        <v>0.9</v>
      </c>
    </row>
    <row r="27" spans="2:55" x14ac:dyDescent="0.3">
      <c r="B27" s="2" t="s">
        <v>620</v>
      </c>
      <c r="C27" s="2" t="s">
        <v>1142</v>
      </c>
      <c r="D27" s="29" t="str">
        <f>坦克类型系数!C12</f>
        <v>轻坦</v>
      </c>
      <c r="E27" s="21" t="s">
        <v>617</v>
      </c>
      <c r="F27" s="21" t="s">
        <v>78</v>
      </c>
      <c r="G27" s="29">
        <f>坦克类型系数!D12</f>
        <v>6.99</v>
      </c>
      <c r="H27" s="29">
        <f>坦克类型系数!E12</f>
        <v>3.24</v>
      </c>
      <c r="I27" s="29">
        <f>坦克类型系数!F12</f>
        <v>7.7</v>
      </c>
      <c r="J27" s="21">
        <v>1</v>
      </c>
      <c r="K27" s="150">
        <f>SQRT(I27/VLOOKUP(D27,坦克类型系数!$AH$3:$AK$6,4,FALSE))*J27</f>
        <v>1.1171275970413197</v>
      </c>
      <c r="L27" s="21" t="s">
        <v>1134</v>
      </c>
      <c r="M27" s="29">
        <f>VLOOKUP(D27,坦克类型系数!$AH$15:$AK$18,4,FALSE)</f>
        <v>0.78</v>
      </c>
      <c r="N27" s="21">
        <v>1</v>
      </c>
      <c r="O27" s="2">
        <f t="shared" si="6"/>
        <v>0.78</v>
      </c>
      <c r="P27" s="34">
        <f t="shared" si="8"/>
        <v>1</v>
      </c>
      <c r="Q27" s="34">
        <f t="shared" si="3"/>
        <v>1</v>
      </c>
      <c r="R27" s="150">
        <f t="shared" si="7"/>
        <v>1</v>
      </c>
      <c r="S27" s="2">
        <f>VLOOKUP(F27,坦克类型系数!$AQ$3:$AX$10,MATCH("瞄准速度",坦克类型系数!$AQ$3:$AX$3,0),FALSE)</f>
        <v>1.2</v>
      </c>
      <c r="T27" s="21">
        <v>1</v>
      </c>
      <c r="U27" s="2">
        <f>(VLOOKUP(F27,坦克类型系数!$AM$3:$AO$10,MATCH("射击间隔max",坦克类型系数!$AM$3:$AO$3,0),FALSE)-VLOOKUP(F27,坦克类型系数!$AM$3:$AO$10,MATCH("射击间隔min",坦克类型系数!$AM$3:$AO$3,0),FALSE))*T27+VLOOKUP(F27,坦克类型系数!$AM$3:$AO$10,MATCH("射击间隔min",坦克类型系数!$AM$3:$AO$3,0),FALSE)</f>
        <v>0.8</v>
      </c>
      <c r="V27" s="150">
        <f>(U27-VLOOKUP(F27,标准坦克设计!$B$13:$K$20,MATCH("射击间隔",标准坦克设计!$B$13:$K$13,0),FALSE))/0.1*VLOOKUP($B$15,$B$3:$J$15,MATCH(F27,$B$3:$J$3,0),FALSE)+1</f>
        <v>0.80490790840028448</v>
      </c>
      <c r="W27" s="2">
        <f>VLOOKUP(D27,坦克类型系数!$BI$3:$BK$6,2,FALSE)</f>
        <v>1</v>
      </c>
      <c r="X27" s="34">
        <f>VLOOKUP(D27,坦克类型系数!$BI$3:$BK$6,3,FALSE)</f>
        <v>2.1563141881038952</v>
      </c>
      <c r="Y27" s="21">
        <v>2</v>
      </c>
      <c r="Z27" s="21">
        <v>0.9</v>
      </c>
      <c r="AA27" s="34">
        <f>VLOOKUP(D27,坦克类型系数!$CQ$9:$CY$12,2,FALSE)*$M$4*Z27</f>
        <v>10.60544878787154</v>
      </c>
      <c r="AB27" s="34">
        <f>VLOOKUP(D27,坦克类型系数!$CQ$9:$CY$12,6,FALSE)*$M$4*Z27</f>
        <v>42.421795151486158</v>
      </c>
      <c r="AC27" s="34">
        <f>VLOOKUP(D27,坦克类型系数!$CQ$3:$CY$6,9,FALSE)</f>
        <v>58.919159932619657</v>
      </c>
      <c r="AD27" s="2">
        <f>VLOOKUP(F27,坦克类型系数!$BM$3:$BV$10,6,FALSE)</f>
        <v>0.58499999999999996</v>
      </c>
      <c r="AE27" s="41">
        <f t="shared" si="4"/>
        <v>1.1111111111111112</v>
      </c>
      <c r="AF27" s="34">
        <f>VLOOKUP(D27,坦克类型系数!$DE$3:$DH$6,3,FALSE)*AE27</f>
        <v>50</v>
      </c>
      <c r="AG27" s="21">
        <v>0.95</v>
      </c>
      <c r="AH27" s="150">
        <f t="shared" si="5"/>
        <v>1.0185949277902859</v>
      </c>
      <c r="AI27" s="2">
        <f>VLOOKUP(D27,坦克类型系数!$BZ$21:$CF$24,2,FALSE)*AG27</f>
        <v>9.9749999999999996</v>
      </c>
      <c r="AJ27" s="34">
        <f>VLOOKUP(D27,坦克类型系数!$BZ$21:$CF$24,5,FALSE)*AG27</f>
        <v>9.9749999999999996</v>
      </c>
      <c r="AK27" s="34">
        <f>VLOOKUP(D27,坦克类型系数!$BZ$21:$CF$24,4,FALSE)</f>
        <v>7</v>
      </c>
      <c r="AL27" s="34">
        <f>VLOOKUP(D27,坦克类型系数!$BZ$21:$CF$24,7,FALSE)</f>
        <v>10.5</v>
      </c>
      <c r="AM27" s="34">
        <f>VLOOKUP(D27,坦克类型系数!$CH$21:$CN$24,4,FALSE)</f>
        <v>21</v>
      </c>
      <c r="AN27" s="34">
        <f>VLOOKUP(D27,坦克类型系数!$CH$21:$CN$24,7,FALSE)</f>
        <v>35</v>
      </c>
      <c r="AO27" s="2">
        <f>VLOOKUP(F27,坦克类型系数!$BM$13:$BV$20,6,FALSE)</f>
        <v>0.58499999999999996</v>
      </c>
      <c r="AP27" s="142">
        <f>基础属性系数!$C$56</f>
        <v>0.2</v>
      </c>
      <c r="AQ27" s="142">
        <f>基础属性系数!$C$55</f>
        <v>0.3</v>
      </c>
      <c r="AR27" s="2">
        <f>VLOOKUP(D27,坦克类型系数!$DE$9:$DH$12,2,FALSE)</f>
        <v>1</v>
      </c>
      <c r="AS27" s="2">
        <f>VLOOKUP(D27,坦克类型系数!$DE$9:$DH$12,3,FALSE)</f>
        <v>1</v>
      </c>
      <c r="AT27" s="2">
        <f>VLOOKUP(D27,坦克类型系数!$DE$9:$DH$12,4,FALSE)</f>
        <v>1</v>
      </c>
      <c r="AU27" s="2">
        <f>VLOOKUP(D27,坦克类型系数!$AH$9:$AK$12,3,FALSE)</f>
        <v>30</v>
      </c>
      <c r="AV27" s="2">
        <f>VLOOKUP(D27,坦克类型系数!$AH$9:$AK$12,4,FALSE)</f>
        <v>35</v>
      </c>
      <c r="AW27" s="142">
        <f>VLOOKUP($B27,坦克类型系数!$B$3:$AF$33,MATCH(AW$18,坦克类型系数!$B$3:$AF$3,0),FALSE)</f>
        <v>0</v>
      </c>
      <c r="AX27" s="142">
        <f>VLOOKUP($B27,坦克类型系数!$B$3:$AF$33,MATCH(AX$18,坦克类型系数!$B$3:$AF$3,0),FALSE)</f>
        <v>2.15</v>
      </c>
      <c r="AY27" s="142">
        <f>VLOOKUP($B27,坦克类型系数!$B$3:$AF$33,MATCH(AY$18,坦克类型系数!$B$3:$AF$3,0),FALSE)</f>
        <v>1.65</v>
      </c>
      <c r="AZ27" s="142">
        <f>VLOOKUP($B27,坦克类型系数!$B$3:$AF$33,MATCH(AZ$18,坦克类型系数!$B$3:$AF$3,0),FALSE)</f>
        <v>1.65</v>
      </c>
      <c r="BA27" s="142">
        <f>VLOOKUP($B27,坦克类型系数!$B$3:$AF$33,MATCH(BA$18,坦克类型系数!$B$3:$AF$3,0),FALSE)</f>
        <v>1</v>
      </c>
      <c r="BB27" s="142">
        <f>VLOOKUP($B27,坦克类型系数!$B$3:$AF$33,MATCH(BB$18,坦克类型系数!$B$3:$AF$3,0),FALSE)</f>
        <v>1</v>
      </c>
      <c r="BC27" s="142">
        <f>VLOOKUP($B27,坦克类型系数!$B$3:$AF$33,MATCH(BC$18,坦克类型系数!$B$3:$AF$3,0),FALSE)</f>
        <v>0.95</v>
      </c>
    </row>
    <row r="28" spans="2:55" x14ac:dyDescent="0.3">
      <c r="B28" s="2" t="s">
        <v>622</v>
      </c>
      <c r="C28" s="2">
        <v>59</v>
      </c>
      <c r="D28" s="29" t="str">
        <f>坦克类型系数!C13</f>
        <v>轻坦</v>
      </c>
      <c r="E28" s="21" t="s">
        <v>624</v>
      </c>
      <c r="F28" s="21" t="s">
        <v>78</v>
      </c>
      <c r="G28" s="29">
        <f>坦克类型系数!D13</f>
        <v>6.05</v>
      </c>
      <c r="H28" s="29">
        <f>坦克类型系数!E13</f>
        <v>3.23</v>
      </c>
      <c r="I28" s="29">
        <f>坦克类型系数!F13</f>
        <v>6.86</v>
      </c>
      <c r="J28" s="21">
        <v>1</v>
      </c>
      <c r="K28" s="150">
        <f>SQRT(I28/VLOOKUP(D28,坦克类型系数!$AH$3:$AK$6,4,FALSE))*J28</f>
        <v>1.0544341811908098</v>
      </c>
      <c r="L28" s="21" t="s">
        <v>1134</v>
      </c>
      <c r="M28" s="29">
        <f>VLOOKUP(D28,坦克类型系数!$AH$15:$AK$18,4,FALSE)</f>
        <v>0.78</v>
      </c>
      <c r="N28" s="21">
        <v>0.9</v>
      </c>
      <c r="O28" s="2">
        <f t="shared" si="6"/>
        <v>0.7</v>
      </c>
      <c r="P28" s="34">
        <f t="shared" si="8"/>
        <v>0.89743589743589736</v>
      </c>
      <c r="Q28" s="34">
        <f t="shared" si="3"/>
        <v>1.1043932144410615</v>
      </c>
      <c r="R28" s="150">
        <f t="shared" si="7"/>
        <v>0.99112211552402951</v>
      </c>
      <c r="S28" s="2">
        <f>VLOOKUP(F28,坦克类型系数!$AQ$3:$AX$10,MATCH("瞄准速度",坦克类型系数!$AQ$3:$AX$3,0),FALSE)</f>
        <v>1.2</v>
      </c>
      <c r="T28" s="21">
        <v>1</v>
      </c>
      <c r="U28" s="2">
        <f>(VLOOKUP(F28,坦克类型系数!$AM$3:$AO$10,MATCH("射击间隔max",坦克类型系数!$AM$3:$AO$3,0),FALSE)-VLOOKUP(F28,坦克类型系数!$AM$3:$AO$10,MATCH("射击间隔min",坦克类型系数!$AM$3:$AO$3,0),FALSE))*T28+VLOOKUP(F28,坦克类型系数!$AM$3:$AO$10,MATCH("射击间隔min",坦克类型系数!$AM$3:$AO$3,0),FALSE)</f>
        <v>0.8</v>
      </c>
      <c r="V28" s="150">
        <f>(U28-VLOOKUP(F28,标准坦克设计!$B$13:$K$20,MATCH("射击间隔",标准坦克设计!$B$13:$K$13,0),FALSE))/0.1*VLOOKUP($B$15,$B$3:$J$15,MATCH(F28,$B$3:$J$3,0),FALSE)+1</f>
        <v>0.80490790840028448</v>
      </c>
      <c r="W28" s="2">
        <f>VLOOKUP(D28,坦克类型系数!$BI$3:$BK$6,2,FALSE)</f>
        <v>1</v>
      </c>
      <c r="X28" s="34">
        <f>VLOOKUP(D28,坦克类型系数!$BI$3:$BK$6,3,FALSE)</f>
        <v>2.1563141881038952</v>
      </c>
      <c r="Y28" s="21">
        <v>3</v>
      </c>
      <c r="Z28" s="21">
        <v>0.8</v>
      </c>
      <c r="AA28" s="34">
        <f>VLOOKUP(D28,坦克类型系数!$CQ$9:$CY$12,2,FALSE)*$M$4*Z28</f>
        <v>9.4270655892191453</v>
      </c>
      <c r="AB28" s="34">
        <f>VLOOKUP(D28,坦克类型系数!$CQ$9:$CY$12,6,FALSE)*$M$4*Z28</f>
        <v>37.708262356876581</v>
      </c>
      <c r="AC28" s="34">
        <f>VLOOKUP(D28,坦克类型系数!$CQ$3:$CY$6,9,FALSE)</f>
        <v>58.919159932619657</v>
      </c>
      <c r="AD28" s="2">
        <f>VLOOKUP(F28,坦克类型系数!$BM$3:$BV$10,6,FALSE)</f>
        <v>0.58499999999999996</v>
      </c>
      <c r="AE28" s="41">
        <f t="shared" si="4"/>
        <v>1.25</v>
      </c>
      <c r="AF28" s="34">
        <f>VLOOKUP(D28,坦克类型系数!$DE$3:$DH$6,3,FALSE)*AE28</f>
        <v>56.25</v>
      </c>
      <c r="AG28" s="21">
        <v>0.9</v>
      </c>
      <c r="AH28" s="150">
        <f t="shared" si="5"/>
        <v>1.0371898555805719</v>
      </c>
      <c r="AI28" s="2">
        <f>VLOOKUP(D28,坦克类型系数!$BZ$21:$CF$24,2,FALSE)*AG28</f>
        <v>9.4500000000000011</v>
      </c>
      <c r="AJ28" s="34">
        <f>VLOOKUP(D28,坦克类型系数!$BZ$21:$CF$24,5,FALSE)*AG28</f>
        <v>9.4500000000000011</v>
      </c>
      <c r="AK28" s="34">
        <f>VLOOKUP(D28,坦克类型系数!$BZ$21:$CF$24,4,FALSE)</f>
        <v>7</v>
      </c>
      <c r="AL28" s="34">
        <f>VLOOKUP(D28,坦克类型系数!$BZ$21:$CF$24,7,FALSE)</f>
        <v>10.5</v>
      </c>
      <c r="AM28" s="34">
        <f>VLOOKUP(D28,坦克类型系数!$CH$21:$CN$24,4,FALSE)</f>
        <v>21</v>
      </c>
      <c r="AN28" s="34">
        <f>VLOOKUP(D28,坦克类型系数!$CH$21:$CN$24,7,FALSE)</f>
        <v>35</v>
      </c>
      <c r="AO28" s="2">
        <f>VLOOKUP(F28,坦克类型系数!$BM$13:$BV$20,6,FALSE)</f>
        <v>0.58499999999999996</v>
      </c>
      <c r="AP28" s="142">
        <f>基础属性系数!$C$56</f>
        <v>0.2</v>
      </c>
      <c r="AQ28" s="142">
        <f>基础属性系数!$C$55</f>
        <v>0.3</v>
      </c>
      <c r="AR28" s="2">
        <f>VLOOKUP(D28,坦克类型系数!$DE$9:$DH$12,2,FALSE)</f>
        <v>1</v>
      </c>
      <c r="AS28" s="2">
        <f>VLOOKUP(D28,坦克类型系数!$DE$9:$DH$12,3,FALSE)</f>
        <v>1</v>
      </c>
      <c r="AT28" s="2">
        <f>VLOOKUP(D28,坦克类型系数!$DE$9:$DH$12,4,FALSE)</f>
        <v>1</v>
      </c>
      <c r="AU28" s="2">
        <f>VLOOKUP(D28,坦克类型系数!$AH$9:$AK$12,3,FALSE)</f>
        <v>30</v>
      </c>
      <c r="AV28" s="2">
        <f>VLOOKUP(D28,坦克类型系数!$AH$9:$AK$12,4,FALSE)</f>
        <v>35</v>
      </c>
      <c r="AW28" s="142">
        <f>VLOOKUP($B28,坦克类型系数!$B$3:$AF$33,MATCH(AW$18,坦克类型系数!$B$3:$AF$3,0),FALSE)</f>
        <v>0</v>
      </c>
      <c r="AX28" s="142">
        <f>VLOOKUP($B28,坦克类型系数!$B$3:$AF$33,MATCH(AX$18,坦克类型系数!$B$3:$AF$3,0),FALSE)</f>
        <v>1.9</v>
      </c>
      <c r="AY28" s="142">
        <f>VLOOKUP($B28,坦克类型系数!$B$3:$AF$33,MATCH(AY$18,坦克类型系数!$B$3:$AF$3,0),FALSE)</f>
        <v>1.45</v>
      </c>
      <c r="AZ28" s="142">
        <f>VLOOKUP($B28,坦克类型系数!$B$3:$AF$33,MATCH(AZ$18,坦克类型系数!$B$3:$AF$3,0),FALSE)</f>
        <v>1.45</v>
      </c>
      <c r="BA28" s="142">
        <f>VLOOKUP($B28,坦克类型系数!$B$3:$AF$33,MATCH(BA$18,坦克类型系数!$B$3:$AF$3,0),FALSE)</f>
        <v>1</v>
      </c>
      <c r="BB28" s="142">
        <f>VLOOKUP($B28,坦克类型系数!$B$3:$AF$33,MATCH(BB$18,坦克类型系数!$B$3:$AF$3,0),FALSE)</f>
        <v>1</v>
      </c>
      <c r="BC28" s="142">
        <f>VLOOKUP($B28,坦克类型系数!$B$3:$AF$33,MATCH(BC$18,坦克类型系数!$B$3:$AF$3,0),FALSE)</f>
        <v>0.85</v>
      </c>
    </row>
    <row r="29" spans="2:55" x14ac:dyDescent="0.3">
      <c r="B29" s="2" t="s">
        <v>512</v>
      </c>
      <c r="C29" s="2" t="s">
        <v>1143</v>
      </c>
      <c r="D29" s="29" t="str">
        <f>坦克类型系数!C14</f>
        <v>中坦</v>
      </c>
      <c r="E29" s="21" t="s">
        <v>604</v>
      </c>
      <c r="F29" s="21" t="s">
        <v>81</v>
      </c>
      <c r="G29" s="29">
        <f>坦克类型系数!D14</f>
        <v>4.37</v>
      </c>
      <c r="H29" s="29">
        <f>坦克类型系数!E14</f>
        <v>2.2799999999999998</v>
      </c>
      <c r="I29" s="29">
        <f>坦克类型系数!F14</f>
        <v>4.93</v>
      </c>
      <c r="J29" s="21">
        <v>1.2</v>
      </c>
      <c r="K29" s="150">
        <f>SQRT(I29/VLOOKUP(D29,坦克类型系数!$AH$3:$AK$6,4,FALSE))*J29</f>
        <v>0.98750434690933642</v>
      </c>
      <c r="L29" s="21" t="s">
        <v>1134</v>
      </c>
      <c r="M29" s="29">
        <f>VLOOKUP(D29,坦克类型系数!$AH$15:$AK$18,4,FALSE)</f>
        <v>0.71</v>
      </c>
      <c r="N29" s="21">
        <v>1.1000000000000001</v>
      </c>
      <c r="O29" s="2">
        <f t="shared" si="6"/>
        <v>0.78</v>
      </c>
      <c r="P29" s="34">
        <f t="shared" si="8"/>
        <v>1.0985915492957747</v>
      </c>
      <c r="Q29" s="34">
        <f t="shared" si="3"/>
        <v>0.94399999999999995</v>
      </c>
      <c r="R29" s="150">
        <f t="shared" si="7"/>
        <v>1.0370704225352112</v>
      </c>
      <c r="S29" s="2">
        <f>VLOOKUP(F29,坦克类型系数!$AQ$3:$AX$10,MATCH("瞄准速度",坦克类型系数!$AQ$3:$AX$3,0),FALSE)</f>
        <v>1</v>
      </c>
      <c r="T29" s="21">
        <v>0.5</v>
      </c>
      <c r="U29" s="2">
        <f>(VLOOKUP(F29,坦克类型系数!$AM$3:$AO$10,MATCH("射击间隔max",坦克类型系数!$AM$3:$AO$3,0),FALSE)-VLOOKUP(F29,坦克类型系数!$AM$3:$AO$10,MATCH("射击间隔min",坦克类型系数!$AM$3:$AO$3,0),FALSE))*T29+VLOOKUP(F29,坦克类型系数!$AM$3:$AO$10,MATCH("射击间隔min",坦克类型系数!$AM$3:$AO$3,0),FALSE)</f>
        <v>0.30000000000000004</v>
      </c>
      <c r="V29" s="150">
        <f>(U29-VLOOKUP(F29,标准坦克设计!$B$13:$K$20,MATCH("射击间隔",标准坦克设计!$B$13:$K$13,0),FALSE))/0.1*VLOOKUP($B$15,$B$3:$J$15,MATCH(F29,$B$3:$J$3,0),FALSE)+1</f>
        <v>-0.78888888888888853</v>
      </c>
      <c r="W29" s="2">
        <f>VLOOKUP(D29,坦克类型系数!$BI$3:$BK$6,2,FALSE)</f>
        <v>0.75</v>
      </c>
      <c r="X29" s="34">
        <f>VLOOKUP(D29,坦克类型系数!$BI$3:$BK$6,3,FALSE)</f>
        <v>1.6422918151337649</v>
      </c>
      <c r="Y29" s="21">
        <v>1</v>
      </c>
      <c r="Z29" s="21">
        <v>1</v>
      </c>
      <c r="AA29" s="34">
        <f>VLOOKUP(D29,坦克类型系数!$CQ$9:$CY$12,2,FALSE)*$M$4*Z29</f>
        <v>11.123020662806383</v>
      </c>
      <c r="AB29" s="34">
        <f>VLOOKUP(D29,坦克类型系数!$CQ$9:$CY$12,6,FALSE)*$M$4*Z29</f>
        <v>44.49208265122553</v>
      </c>
      <c r="AC29" s="34">
        <f>VLOOKUP(D29,坦克类型系数!$CQ$3:$CY$6,9,FALSE)</f>
        <v>55.61510331403192</v>
      </c>
      <c r="AD29" s="2">
        <f>VLOOKUP(F29,坦克类型系数!$BM$3:$BV$10,6,FALSE)</f>
        <v>2.84</v>
      </c>
      <c r="AE29" s="41">
        <f t="shared" si="4"/>
        <v>1</v>
      </c>
      <c r="AF29" s="34">
        <f>VLOOKUP(D29,坦克类型系数!$DE$3:$DH$6,3,FALSE)*AE29</f>
        <v>40</v>
      </c>
      <c r="AG29" s="21">
        <v>1</v>
      </c>
      <c r="AH29" s="150">
        <f t="shared" si="5"/>
        <v>1</v>
      </c>
      <c r="AI29" s="2">
        <f>VLOOKUP(D29,坦克类型系数!$BZ$21:$CF$24,2,FALSE)*AG29</f>
        <v>8</v>
      </c>
      <c r="AJ29" s="34">
        <f>VLOOKUP(D29,坦克类型系数!$BZ$21:$CF$24,5,FALSE)*AG29</f>
        <v>8</v>
      </c>
      <c r="AK29" s="34">
        <f>VLOOKUP(D29,坦克类型系数!$BZ$21:$CF$24,4,FALSE)</f>
        <v>5</v>
      </c>
      <c r="AL29" s="34">
        <f>VLOOKUP(D29,坦克类型系数!$BZ$21:$CF$24,7,FALSE)</f>
        <v>4</v>
      </c>
      <c r="AM29" s="34">
        <f>VLOOKUP(D29,坦克类型系数!$CH$21:$CN$24,4,FALSE)</f>
        <v>13.333333333333334</v>
      </c>
      <c r="AN29" s="34">
        <f>VLOOKUP(D29,坦克类型系数!$CH$21:$CN$24,7,FALSE)</f>
        <v>22.857142857142858</v>
      </c>
      <c r="AO29" s="2">
        <f>VLOOKUP(F29,坦克类型系数!$BM$13:$BV$20,6,FALSE)</f>
        <v>1.0649999999999999</v>
      </c>
      <c r="AP29" s="142">
        <f>基础属性系数!$C$56</f>
        <v>0.2</v>
      </c>
      <c r="AQ29" s="142">
        <f>基础属性系数!$C$55</f>
        <v>0.3</v>
      </c>
      <c r="AR29" s="2">
        <f>VLOOKUP(D29,坦克类型系数!$DE$9:$DH$12,2,FALSE)</f>
        <v>0.9</v>
      </c>
      <c r="AS29" s="2">
        <f>VLOOKUP(D29,坦克类型系数!$DE$9:$DH$12,3,FALSE)</f>
        <v>0.9</v>
      </c>
      <c r="AT29" s="2">
        <f>VLOOKUP(D29,坦克类型系数!$DE$9:$DH$12,4,FALSE)</f>
        <v>0.9</v>
      </c>
      <c r="AU29" s="2">
        <f>VLOOKUP(D29,坦克类型系数!$AH$9:$AK$12,3,FALSE)</f>
        <v>35</v>
      </c>
      <c r="AV29" s="2">
        <f>VLOOKUP(D29,坦克类型系数!$AH$9:$AK$12,4,FALSE)</f>
        <v>40</v>
      </c>
      <c r="AW29" s="142">
        <f>VLOOKUP($B29,坦克类型系数!$B$3:$AF$33,MATCH(AW$18,坦克类型系数!$B$3:$AF$3,0),FALSE)</f>
        <v>0</v>
      </c>
      <c r="AX29" s="142">
        <f>VLOOKUP($B29,坦克类型系数!$B$3:$AF$33,MATCH(AX$18,坦克类型系数!$B$3:$AF$3,0),FALSE)</f>
        <v>2</v>
      </c>
      <c r="AY29" s="142">
        <f>VLOOKUP($B29,坦克类型系数!$B$3:$AF$33,MATCH(AY$18,坦克类型系数!$B$3:$AF$3,0),FALSE)</f>
        <v>1.9</v>
      </c>
      <c r="AZ29" s="142">
        <f>VLOOKUP($B29,坦克类型系数!$B$3:$AF$33,MATCH(AZ$18,坦克类型系数!$B$3:$AF$3,0),FALSE)</f>
        <v>1.9</v>
      </c>
      <c r="BA29" s="142">
        <f>VLOOKUP($B29,坦克类型系数!$B$3:$AF$33,MATCH(BA$18,坦克类型系数!$B$3:$AF$3,0),FALSE)</f>
        <v>0.95</v>
      </c>
      <c r="BB29" s="142">
        <f>VLOOKUP($B29,坦克类型系数!$B$3:$AF$33,MATCH(BB$18,坦克类型系数!$B$3:$AF$3,0),FALSE)</f>
        <v>0.95</v>
      </c>
      <c r="BC29" s="142">
        <f>VLOOKUP($B29,坦克类型系数!$B$3:$AF$33,MATCH(BC$18,坦克类型系数!$B$3:$AF$3,0),FALSE)</f>
        <v>0.85</v>
      </c>
    </row>
    <row r="30" spans="2:55" x14ac:dyDescent="0.3">
      <c r="B30" s="2" t="s">
        <v>518</v>
      </c>
      <c r="C30" s="2" t="s">
        <v>1144</v>
      </c>
      <c r="D30" s="29" t="str">
        <f>坦克类型系数!C15</f>
        <v>中坦</v>
      </c>
      <c r="E30" s="21" t="s">
        <v>606</v>
      </c>
      <c r="F30" s="21" t="s">
        <v>81</v>
      </c>
      <c r="G30" s="29">
        <f>坦克类型系数!D15</f>
        <v>5.58</v>
      </c>
      <c r="H30" s="29">
        <f>坦克类型系数!E15</f>
        <v>2.84</v>
      </c>
      <c r="I30" s="29">
        <f>坦克类型系数!F15</f>
        <v>6.26</v>
      </c>
      <c r="J30" s="21">
        <v>1</v>
      </c>
      <c r="K30" s="150">
        <f>SQRT(I30/VLOOKUP(D30,坦克类型系数!$AH$3:$AK$6,4,FALSE))*J30</f>
        <v>0.92730259888027378</v>
      </c>
      <c r="L30" s="21" t="s">
        <v>1134</v>
      </c>
      <c r="M30" s="29">
        <f>VLOOKUP(D30,坦克类型系数!$AH$15:$AK$18,4,FALSE)</f>
        <v>0.71</v>
      </c>
      <c r="N30" s="21">
        <v>1.05</v>
      </c>
      <c r="O30" s="2">
        <f t="shared" si="6"/>
        <v>0.75</v>
      </c>
      <c r="P30" s="34">
        <f t="shared" si="8"/>
        <v>1.0563380281690142</v>
      </c>
      <c r="Q30" s="34">
        <f t="shared" si="3"/>
        <v>0.96831683168316829</v>
      </c>
      <c r="R30" s="150">
        <f t="shared" si="7"/>
        <v>1.0228698926230653</v>
      </c>
      <c r="S30" s="2">
        <f>VLOOKUP(F30,坦克类型系数!$AQ$3:$AX$10,MATCH("瞄准速度",坦克类型系数!$AQ$3:$AX$3,0),FALSE)</f>
        <v>1</v>
      </c>
      <c r="T30" s="21">
        <v>0.6</v>
      </c>
      <c r="U30" s="2">
        <f>(VLOOKUP(F30,坦克类型系数!$AM$3:$AO$10,MATCH("射击间隔max",坦克类型系数!$AM$3:$AO$3,0),FALSE)-VLOOKUP(F30,坦克类型系数!$AM$3:$AO$10,MATCH("射击间隔min",坦克类型系数!$AM$3:$AO$3,0),FALSE))*T30+VLOOKUP(F30,坦克类型系数!$AM$3:$AO$10,MATCH("射击间隔min",坦克类型系数!$AM$3:$AO$3,0),FALSE)</f>
        <v>0.32</v>
      </c>
      <c r="V30" s="150">
        <f>(U30-VLOOKUP(F30,标准坦克设计!$B$13:$K$20,MATCH("射击间隔",标准坦克设计!$B$13:$K$13,0),FALSE))/0.1*VLOOKUP($B$15,$B$3:$J$15,MATCH(F30,$B$3:$J$3,0),FALSE)+1</f>
        <v>-0.73777777777777742</v>
      </c>
      <c r="W30" s="2">
        <f>VLOOKUP(D30,坦克类型系数!$BI$3:$BK$6,2,FALSE)</f>
        <v>0.75</v>
      </c>
      <c r="X30" s="34">
        <f>VLOOKUP(D30,坦克类型系数!$BI$3:$BK$6,3,FALSE)</f>
        <v>1.6422918151337649</v>
      </c>
      <c r="Y30" s="21">
        <v>2</v>
      </c>
      <c r="Z30" s="21">
        <v>1</v>
      </c>
      <c r="AA30" s="34">
        <f>VLOOKUP(D30,坦克类型系数!$CQ$9:$CY$12,2,FALSE)*$M$4*Z30</f>
        <v>11.123020662806383</v>
      </c>
      <c r="AB30" s="34">
        <f>VLOOKUP(D30,坦克类型系数!$CQ$9:$CY$12,6,FALSE)*$M$4*Z30</f>
        <v>44.49208265122553</v>
      </c>
      <c r="AC30" s="34">
        <f>VLOOKUP(D30,坦克类型系数!$CQ$3:$CY$6,9,FALSE)</f>
        <v>55.61510331403192</v>
      </c>
      <c r="AD30" s="2">
        <f>VLOOKUP(F30,坦克类型系数!$BM$3:$BV$10,6,FALSE)</f>
        <v>2.84</v>
      </c>
      <c r="AE30" s="41">
        <f t="shared" si="4"/>
        <v>1</v>
      </c>
      <c r="AF30" s="34">
        <f>VLOOKUP(D30,坦克类型系数!$DE$3:$DH$6,3,FALSE)*AE30</f>
        <v>40</v>
      </c>
      <c r="AG30" s="21">
        <v>1</v>
      </c>
      <c r="AH30" s="150">
        <f t="shared" si="5"/>
        <v>1</v>
      </c>
      <c r="AI30" s="2">
        <f>VLOOKUP(D30,坦克类型系数!$BZ$21:$CF$24,2,FALSE)*AG30</f>
        <v>8</v>
      </c>
      <c r="AJ30" s="34">
        <f>VLOOKUP(D30,坦克类型系数!$BZ$21:$CF$24,5,FALSE)*AG30</f>
        <v>8</v>
      </c>
      <c r="AK30" s="34">
        <f>VLOOKUP(D30,坦克类型系数!$BZ$21:$CF$24,4,FALSE)</f>
        <v>5</v>
      </c>
      <c r="AL30" s="34">
        <f>VLOOKUP(D30,坦克类型系数!$BZ$21:$CF$24,7,FALSE)</f>
        <v>4</v>
      </c>
      <c r="AM30" s="34">
        <f>VLOOKUP(D30,坦克类型系数!$CH$21:$CN$24,4,FALSE)</f>
        <v>13.333333333333334</v>
      </c>
      <c r="AN30" s="34">
        <f>VLOOKUP(D30,坦克类型系数!$CH$21:$CN$24,7,FALSE)</f>
        <v>22.857142857142858</v>
      </c>
      <c r="AO30" s="2">
        <f>VLOOKUP(F30,坦克类型系数!$BM$13:$BV$20,6,FALSE)</f>
        <v>1.0649999999999999</v>
      </c>
      <c r="AP30" s="142">
        <f>基础属性系数!$C$56</f>
        <v>0.2</v>
      </c>
      <c r="AQ30" s="142">
        <f>基础属性系数!$C$55</f>
        <v>0.3</v>
      </c>
      <c r="AR30" s="2">
        <f>VLOOKUP(D30,坦克类型系数!$DE$9:$DH$12,2,FALSE)</f>
        <v>0.9</v>
      </c>
      <c r="AS30" s="2">
        <f>VLOOKUP(D30,坦克类型系数!$DE$9:$DH$12,3,FALSE)</f>
        <v>0.9</v>
      </c>
      <c r="AT30" s="2">
        <f>VLOOKUP(D30,坦克类型系数!$DE$9:$DH$12,4,FALSE)</f>
        <v>0.9</v>
      </c>
      <c r="AU30" s="2">
        <f>VLOOKUP(D30,坦克类型系数!$AH$9:$AK$12,3,FALSE)</f>
        <v>35</v>
      </c>
      <c r="AV30" s="2">
        <f>VLOOKUP(D30,坦克类型系数!$AH$9:$AK$12,4,FALSE)</f>
        <v>40</v>
      </c>
      <c r="AW30" s="142">
        <f>VLOOKUP($B30,坦克类型系数!$B$3:$AF$33,MATCH(AW$18,坦克类型系数!$B$3:$AF$3,0),FALSE)</f>
        <v>0</v>
      </c>
      <c r="AX30" s="142">
        <f>VLOOKUP($B30,坦克类型系数!$B$3:$AF$33,MATCH(AX$18,坦克类型系数!$B$3:$AF$3,0),FALSE)</f>
        <v>2.15</v>
      </c>
      <c r="AY30" s="142">
        <f>VLOOKUP($B30,坦克类型系数!$B$3:$AF$33,MATCH(AY$18,坦克类型系数!$B$3:$AF$3,0),FALSE)</f>
        <v>1.9</v>
      </c>
      <c r="AZ30" s="142">
        <f>VLOOKUP($B30,坦克类型系数!$B$3:$AF$33,MATCH(AZ$18,坦克类型系数!$B$3:$AF$3,0),FALSE)</f>
        <v>1.9</v>
      </c>
      <c r="BA30" s="142">
        <f>VLOOKUP($B30,坦克类型系数!$B$3:$AF$33,MATCH(BA$18,坦克类型系数!$B$3:$AF$3,0),FALSE)</f>
        <v>0.95</v>
      </c>
      <c r="BB30" s="142">
        <f>VLOOKUP($B30,坦克类型系数!$B$3:$AF$33,MATCH(BB$18,坦克类型系数!$B$3:$AF$3,0),FALSE)</f>
        <v>0.95</v>
      </c>
      <c r="BC30" s="142">
        <f>VLOOKUP($B30,坦克类型系数!$B$3:$AF$33,MATCH(BC$18,坦克类型系数!$B$3:$AF$3,0),FALSE)</f>
        <v>0.85</v>
      </c>
    </row>
    <row r="31" spans="2:55" x14ac:dyDescent="0.3">
      <c r="B31" s="2" t="s">
        <v>627</v>
      </c>
      <c r="C31" s="2" t="s">
        <v>1145</v>
      </c>
      <c r="D31" s="29" t="str">
        <f>坦克类型系数!C16</f>
        <v>中坦</v>
      </c>
      <c r="E31" s="21" t="s">
        <v>606</v>
      </c>
      <c r="F31" s="21" t="s">
        <v>81</v>
      </c>
      <c r="G31" s="29">
        <f>坦克类型系数!D16</f>
        <v>5.97</v>
      </c>
      <c r="H31" s="29">
        <f>坦克类型系数!E16</f>
        <v>2.96</v>
      </c>
      <c r="I31" s="29">
        <f>坦克类型系数!F16</f>
        <v>6.66</v>
      </c>
      <c r="J31" s="21">
        <v>1</v>
      </c>
      <c r="K31" s="150">
        <f>SQRT(I31/VLOOKUP(D31,坦克类型系数!$AH$3:$AK$6,4,FALSE))*J31</f>
        <v>0.95647015888378073</v>
      </c>
      <c r="L31" s="21" t="s">
        <v>1146</v>
      </c>
      <c r="M31" s="29">
        <f>VLOOKUP(D31,坦克类型系数!$AH$15:$AK$18,4,FALSE)</f>
        <v>0.71</v>
      </c>
      <c r="N31" s="21">
        <v>0.9</v>
      </c>
      <c r="O31" s="2">
        <f t="shared" si="6"/>
        <v>0.64</v>
      </c>
      <c r="P31" s="34">
        <f t="shared" si="8"/>
        <v>0.90140845070422537</v>
      </c>
      <c r="Q31" s="34">
        <f t="shared" si="3"/>
        <v>1.04</v>
      </c>
      <c r="R31" s="150">
        <f t="shared" si="7"/>
        <v>0.93746478873239447</v>
      </c>
      <c r="S31" s="2">
        <f>VLOOKUP(F31,坦克类型系数!$AQ$3:$AX$10,MATCH("瞄准速度",坦克类型系数!$AQ$3:$AX$3,0),FALSE)</f>
        <v>1</v>
      </c>
      <c r="T31" s="21">
        <v>1</v>
      </c>
      <c r="U31" s="2">
        <f>(VLOOKUP(F31,坦克类型系数!$AM$3:$AO$10,MATCH("射击间隔max",坦克类型系数!$AM$3:$AO$3,0),FALSE)-VLOOKUP(F31,坦克类型系数!$AM$3:$AO$10,MATCH("射击间隔min",坦克类型系数!$AM$3:$AO$3,0),FALSE))*T31+VLOOKUP(F31,坦克类型系数!$AM$3:$AO$10,MATCH("射击间隔min",坦克类型系数!$AM$3:$AO$3,0),FALSE)</f>
        <v>0.4</v>
      </c>
      <c r="V31" s="150">
        <f>(U31-VLOOKUP(F31,标准坦克设计!$B$13:$K$20,MATCH("射击间隔",标准坦克设计!$B$13:$K$13,0),FALSE))/0.1*VLOOKUP($B$15,$B$3:$J$15,MATCH(F31,$B$3:$J$3,0),FALSE)+1</f>
        <v>-0.53333333333333299</v>
      </c>
      <c r="W31" s="2">
        <f>VLOOKUP(D31,坦克类型系数!$BI$3:$BK$6,2,FALSE)</f>
        <v>0.75</v>
      </c>
      <c r="X31" s="34">
        <f>VLOOKUP(D31,坦克类型系数!$BI$3:$BK$6,3,FALSE)</f>
        <v>1.6422918151337649</v>
      </c>
      <c r="Y31" s="21">
        <v>4</v>
      </c>
      <c r="Z31" s="21">
        <v>0.8</v>
      </c>
      <c r="AA31" s="34">
        <f>VLOOKUP(D31,坦克类型系数!$CQ$9:$CY$12,2,FALSE)*$M$4*Z31</f>
        <v>8.8984165302451057</v>
      </c>
      <c r="AB31" s="34">
        <f>VLOOKUP(D31,坦克类型系数!$CQ$9:$CY$12,6,FALSE)*$M$4*Z31</f>
        <v>35.593666120980423</v>
      </c>
      <c r="AC31" s="34">
        <f>VLOOKUP(D31,坦克类型系数!$CQ$3:$CY$6,9,FALSE)</f>
        <v>55.61510331403192</v>
      </c>
      <c r="AD31" s="2">
        <f>VLOOKUP(F31,坦克类型系数!$BM$3:$BV$10,6,FALSE)</f>
        <v>2.84</v>
      </c>
      <c r="AE31" s="41">
        <f t="shared" si="4"/>
        <v>1.25</v>
      </c>
      <c r="AF31" s="34">
        <f>VLOOKUP(D31,坦克类型系数!$DE$3:$DH$6,3,FALSE)*AE31</f>
        <v>50</v>
      </c>
      <c r="AG31" s="21">
        <v>0.9</v>
      </c>
      <c r="AH31" s="150">
        <f t="shared" si="5"/>
        <v>1.0270018015103013</v>
      </c>
      <c r="AI31" s="2">
        <f>VLOOKUP(D31,坦克类型系数!$BZ$21:$CF$24,2,FALSE)*AG31</f>
        <v>7.2</v>
      </c>
      <c r="AJ31" s="34">
        <f>VLOOKUP(D31,坦克类型系数!$BZ$21:$CF$24,5,FALSE)*AG31</f>
        <v>7.2</v>
      </c>
      <c r="AK31" s="34">
        <f>VLOOKUP(D31,坦克类型系数!$BZ$21:$CF$24,4,FALSE)</f>
        <v>5</v>
      </c>
      <c r="AL31" s="34">
        <f>VLOOKUP(D31,坦克类型系数!$BZ$21:$CF$24,7,FALSE)</f>
        <v>4</v>
      </c>
      <c r="AM31" s="34">
        <f>VLOOKUP(D31,坦克类型系数!$CH$21:$CN$24,4,FALSE)</f>
        <v>13.333333333333334</v>
      </c>
      <c r="AN31" s="34">
        <f>VLOOKUP(D31,坦克类型系数!$CH$21:$CN$24,7,FALSE)</f>
        <v>22.857142857142858</v>
      </c>
      <c r="AO31" s="2">
        <f>VLOOKUP(F31,坦克类型系数!$BM$13:$BV$20,6,FALSE)</f>
        <v>1.0649999999999999</v>
      </c>
      <c r="AP31" s="142">
        <f>基础属性系数!$C$56</f>
        <v>0.2</v>
      </c>
      <c r="AQ31" s="142">
        <f>基础属性系数!$C$55</f>
        <v>0.3</v>
      </c>
      <c r="AR31" s="2">
        <f>VLOOKUP(D31,坦克类型系数!$DE$9:$DH$12,2,FALSE)</f>
        <v>0.9</v>
      </c>
      <c r="AS31" s="2">
        <f>VLOOKUP(D31,坦克类型系数!$DE$9:$DH$12,3,FALSE)</f>
        <v>0.9</v>
      </c>
      <c r="AT31" s="2">
        <f>VLOOKUP(D31,坦克类型系数!$DE$9:$DH$12,4,FALSE)</f>
        <v>0.9</v>
      </c>
      <c r="AU31" s="2">
        <f>VLOOKUP(D31,坦克类型系数!$AH$9:$AK$12,3,FALSE)</f>
        <v>35</v>
      </c>
      <c r="AV31" s="2">
        <f>VLOOKUP(D31,坦克类型系数!$AH$9:$AK$12,4,FALSE)</f>
        <v>40</v>
      </c>
      <c r="AW31" s="142">
        <f>VLOOKUP($B31,坦克类型系数!$B$3:$AF$33,MATCH(AW$18,坦克类型系数!$B$3:$AF$3,0),FALSE)</f>
        <v>0</v>
      </c>
      <c r="AX31" s="142">
        <f>VLOOKUP($B31,坦克类型系数!$B$3:$AF$33,MATCH(AX$18,坦克类型系数!$B$3:$AF$3,0),FALSE)</f>
        <v>2.2000000000000002</v>
      </c>
      <c r="AY31" s="142">
        <f>VLOOKUP($B31,坦克类型系数!$B$3:$AF$33,MATCH(AY$18,坦克类型系数!$B$3:$AF$3,0),FALSE)</f>
        <v>1.85</v>
      </c>
      <c r="AZ31" s="142">
        <f>VLOOKUP($B31,坦克类型系数!$B$3:$AF$33,MATCH(AZ$18,坦克类型系数!$B$3:$AF$3,0),FALSE)</f>
        <v>1.85</v>
      </c>
      <c r="BA31" s="142">
        <f>VLOOKUP($B31,坦克类型系数!$B$3:$AF$33,MATCH(BA$18,坦克类型系数!$B$3:$AF$3,0),FALSE)</f>
        <v>0.95</v>
      </c>
      <c r="BB31" s="142">
        <f>VLOOKUP($B31,坦克类型系数!$B$3:$AF$33,MATCH(BB$18,坦克类型系数!$B$3:$AF$3,0),FALSE)</f>
        <v>0.95</v>
      </c>
      <c r="BC31" s="142">
        <f>VLOOKUP($B31,坦克类型系数!$B$3:$AF$33,MATCH(BC$18,坦克类型系数!$B$3:$AF$3,0),FALSE)</f>
        <v>0.85</v>
      </c>
    </row>
    <row r="32" spans="2:55" x14ac:dyDescent="0.3">
      <c r="B32" s="2" t="s">
        <v>526</v>
      </c>
      <c r="C32" s="2" t="s">
        <v>1147</v>
      </c>
      <c r="D32" s="29" t="str">
        <f>坦克类型系数!C17</f>
        <v>中坦</v>
      </c>
      <c r="E32" s="21" t="s">
        <v>610</v>
      </c>
      <c r="F32" s="21" t="s">
        <v>81</v>
      </c>
      <c r="G32" s="29">
        <f>坦克类型系数!D17</f>
        <v>6.05</v>
      </c>
      <c r="H32" s="29">
        <f>坦克类型系数!E17</f>
        <v>2.57</v>
      </c>
      <c r="I32" s="29">
        <f>坦克类型系数!F17</f>
        <v>6.57</v>
      </c>
      <c r="J32" s="21">
        <v>1</v>
      </c>
      <c r="K32" s="150">
        <f>SQRT(I32/VLOOKUP(D32,坦克类型系数!$AH$3:$AK$6,4,FALSE))*J32</f>
        <v>0.94998554066497642</v>
      </c>
      <c r="L32" s="21" t="s">
        <v>1134</v>
      </c>
      <c r="M32" s="29">
        <f>VLOOKUP(D32,坦克类型系数!$AH$15:$AK$18,4,FALSE)</f>
        <v>0.71</v>
      </c>
      <c r="N32" s="21">
        <v>1.05</v>
      </c>
      <c r="O32" s="2">
        <f t="shared" si="6"/>
        <v>0.75</v>
      </c>
      <c r="P32" s="34">
        <f t="shared" si="8"/>
        <v>1.0563380281690142</v>
      </c>
      <c r="Q32" s="34">
        <f t="shared" si="3"/>
        <v>0.96767676767676769</v>
      </c>
      <c r="R32" s="150">
        <f t="shared" si="7"/>
        <v>1.0221937686726421</v>
      </c>
      <c r="S32" s="2">
        <f>VLOOKUP(F32,坦克类型系数!$AQ$3:$AX$10,MATCH("瞄准速度",坦克类型系数!$AQ$3:$AX$3,0),FALSE)</f>
        <v>1</v>
      </c>
      <c r="T32" s="21">
        <v>0.4</v>
      </c>
      <c r="U32" s="2">
        <f>(VLOOKUP(F32,坦克类型系数!$AM$3:$AO$10,MATCH("射击间隔max",坦克类型系数!$AM$3:$AO$3,0),FALSE)-VLOOKUP(F32,坦克类型系数!$AM$3:$AO$10,MATCH("射击间隔min",坦克类型系数!$AM$3:$AO$3,0),FALSE))*T32+VLOOKUP(F32,坦克类型系数!$AM$3:$AO$10,MATCH("射击间隔min",坦克类型系数!$AM$3:$AO$3,0),FALSE)</f>
        <v>0.28000000000000003</v>
      </c>
      <c r="V32" s="150">
        <f>(U32-VLOOKUP(F32,标准坦克设计!$B$13:$K$20,MATCH("射击间隔",标准坦克设计!$B$13:$K$13,0),FALSE))/0.1*VLOOKUP($B$15,$B$3:$J$15,MATCH(F32,$B$3:$J$3,0),FALSE)+1</f>
        <v>-0.83999999999999964</v>
      </c>
      <c r="W32" s="2">
        <f>VLOOKUP(D32,坦克类型系数!$BI$3:$BK$6,2,FALSE)</f>
        <v>0.75</v>
      </c>
      <c r="X32" s="34">
        <f>VLOOKUP(D32,坦克类型系数!$BI$3:$BK$6,3,FALSE)</f>
        <v>1.6422918151337649</v>
      </c>
      <c r="Y32" s="21">
        <v>1</v>
      </c>
      <c r="Z32" s="21">
        <v>1</v>
      </c>
      <c r="AA32" s="34">
        <f>VLOOKUP(D32,坦克类型系数!$CQ$9:$CY$12,2,FALSE)*$M$4*Z32</f>
        <v>11.123020662806383</v>
      </c>
      <c r="AB32" s="34">
        <f>VLOOKUP(D32,坦克类型系数!$CQ$9:$CY$12,6,FALSE)*$M$4*Z32</f>
        <v>44.49208265122553</v>
      </c>
      <c r="AC32" s="34">
        <f>VLOOKUP(D32,坦克类型系数!$CQ$3:$CY$6,9,FALSE)</f>
        <v>55.61510331403192</v>
      </c>
      <c r="AD32" s="2">
        <f>VLOOKUP(F32,坦克类型系数!$BM$3:$BV$10,6,FALSE)</f>
        <v>2.84</v>
      </c>
      <c r="AE32" s="41">
        <f t="shared" si="4"/>
        <v>1</v>
      </c>
      <c r="AF32" s="34">
        <f>VLOOKUP(D32,坦克类型系数!$DE$3:$DH$6,3,FALSE)*AE32</f>
        <v>40</v>
      </c>
      <c r="AG32" s="21">
        <v>1</v>
      </c>
      <c r="AH32" s="150">
        <f t="shared" si="5"/>
        <v>1</v>
      </c>
      <c r="AI32" s="2">
        <f>VLOOKUP(D32,坦克类型系数!$BZ$21:$CF$24,2,FALSE)*AG32</f>
        <v>8</v>
      </c>
      <c r="AJ32" s="34">
        <f>VLOOKUP(D32,坦克类型系数!$BZ$21:$CF$24,5,FALSE)*AG32</f>
        <v>8</v>
      </c>
      <c r="AK32" s="34">
        <f>VLOOKUP(D32,坦克类型系数!$BZ$21:$CF$24,4,FALSE)</f>
        <v>5</v>
      </c>
      <c r="AL32" s="34">
        <f>VLOOKUP(D32,坦克类型系数!$BZ$21:$CF$24,7,FALSE)</f>
        <v>4</v>
      </c>
      <c r="AM32" s="34">
        <f>VLOOKUP(D32,坦克类型系数!$CH$21:$CN$24,4,FALSE)</f>
        <v>13.333333333333334</v>
      </c>
      <c r="AN32" s="34">
        <f>VLOOKUP(D32,坦克类型系数!$CH$21:$CN$24,7,FALSE)</f>
        <v>22.857142857142858</v>
      </c>
      <c r="AO32" s="2">
        <f>VLOOKUP(F32,坦克类型系数!$BM$13:$BV$20,6,FALSE)</f>
        <v>1.0649999999999999</v>
      </c>
      <c r="AP32" s="142">
        <f>基础属性系数!$C$56</f>
        <v>0.2</v>
      </c>
      <c r="AQ32" s="142">
        <f>基础属性系数!$C$55</f>
        <v>0.3</v>
      </c>
      <c r="AR32" s="2">
        <f>VLOOKUP(D32,坦克类型系数!$DE$9:$DH$12,2,FALSE)</f>
        <v>0.9</v>
      </c>
      <c r="AS32" s="2">
        <f>VLOOKUP(D32,坦克类型系数!$DE$9:$DH$12,3,FALSE)</f>
        <v>0.9</v>
      </c>
      <c r="AT32" s="2">
        <f>VLOOKUP(D32,坦克类型系数!$DE$9:$DH$12,4,FALSE)</f>
        <v>0.9</v>
      </c>
      <c r="AU32" s="2">
        <f>VLOOKUP(D32,坦克类型系数!$AH$9:$AK$12,3,FALSE)</f>
        <v>35</v>
      </c>
      <c r="AV32" s="2">
        <f>VLOOKUP(D32,坦克类型系数!$AH$9:$AK$12,4,FALSE)</f>
        <v>40</v>
      </c>
      <c r="AW32" s="142">
        <f>VLOOKUP($B32,坦克类型系数!$B$3:$AF$33,MATCH(AW$18,坦克类型系数!$B$3:$AF$3,0),FALSE)</f>
        <v>0</v>
      </c>
      <c r="AX32" s="142">
        <f>VLOOKUP($B32,坦克类型系数!$B$3:$AF$33,MATCH(AX$18,坦克类型系数!$B$3:$AF$3,0),FALSE)</f>
        <v>2.25</v>
      </c>
      <c r="AY32" s="142">
        <f>VLOOKUP($B32,坦克类型系数!$B$3:$AF$33,MATCH(AY$18,坦克类型系数!$B$3:$AF$3,0),FALSE)</f>
        <v>2</v>
      </c>
      <c r="AZ32" s="142">
        <f>VLOOKUP($B32,坦克类型系数!$B$3:$AF$33,MATCH(AZ$18,坦克类型系数!$B$3:$AF$3,0),FALSE)</f>
        <v>2</v>
      </c>
      <c r="BA32" s="142">
        <f>VLOOKUP($B32,坦克类型系数!$B$3:$AF$33,MATCH(BA$18,坦克类型系数!$B$3:$AF$3,0),FALSE)</f>
        <v>0.95</v>
      </c>
      <c r="BB32" s="142">
        <f>VLOOKUP($B32,坦克类型系数!$B$3:$AF$33,MATCH(BB$18,坦克类型系数!$B$3:$AF$3,0),FALSE)</f>
        <v>0.95</v>
      </c>
      <c r="BC32" s="142">
        <f>VLOOKUP($B32,坦克类型系数!$B$3:$AF$33,MATCH(BC$18,坦克类型系数!$B$3:$AF$3,0),FALSE)</f>
        <v>0.85</v>
      </c>
    </row>
    <row r="33" spans="2:55" x14ac:dyDescent="0.3">
      <c r="B33" s="2" t="s">
        <v>630</v>
      </c>
      <c r="C33" s="2" t="s">
        <v>1148</v>
      </c>
      <c r="D33" s="29" t="str">
        <f>坦克类型系数!C18</f>
        <v>中坦</v>
      </c>
      <c r="E33" s="21" t="s">
        <v>610</v>
      </c>
      <c r="F33" s="21" t="s">
        <v>81</v>
      </c>
      <c r="G33" s="29">
        <f>坦克类型系数!D18</f>
        <v>6.33</v>
      </c>
      <c r="H33" s="29">
        <f>坦克类型系数!E18</f>
        <v>2.85</v>
      </c>
      <c r="I33" s="29">
        <f>坦克类型系数!F18</f>
        <v>6.94</v>
      </c>
      <c r="J33" s="21">
        <v>1</v>
      </c>
      <c r="K33" s="150">
        <f>SQRT(I33/VLOOKUP(D33,坦克类型系数!$AH$3:$AK$6,4,FALSE))*J33</f>
        <v>0.97636914294579347</v>
      </c>
      <c r="L33" s="21" t="s">
        <v>1146</v>
      </c>
      <c r="M33" s="29">
        <f>VLOOKUP(D33,坦克类型系数!$AH$15:$AK$18,4,FALSE)</f>
        <v>0.71</v>
      </c>
      <c r="N33" s="21">
        <v>1</v>
      </c>
      <c r="O33" s="2">
        <f t="shared" si="6"/>
        <v>0.71</v>
      </c>
      <c r="P33" s="34">
        <f t="shared" si="8"/>
        <v>1</v>
      </c>
      <c r="Q33" s="34">
        <f t="shared" si="3"/>
        <v>1</v>
      </c>
      <c r="R33" s="150">
        <f t="shared" si="7"/>
        <v>1</v>
      </c>
      <c r="S33" s="2">
        <f>VLOOKUP(F33,坦克类型系数!$AQ$3:$AX$10,MATCH("瞄准速度",坦克类型系数!$AQ$3:$AX$3,0),FALSE)</f>
        <v>1</v>
      </c>
      <c r="T33" s="21">
        <v>1</v>
      </c>
      <c r="U33" s="2">
        <f>(VLOOKUP(F33,坦克类型系数!$AM$3:$AO$10,MATCH("射击间隔max",坦克类型系数!$AM$3:$AO$3,0),FALSE)-VLOOKUP(F33,坦克类型系数!$AM$3:$AO$10,MATCH("射击间隔min",坦克类型系数!$AM$3:$AO$3,0),FALSE))*T33+VLOOKUP(F33,坦克类型系数!$AM$3:$AO$10,MATCH("射击间隔min",坦克类型系数!$AM$3:$AO$3,0),FALSE)</f>
        <v>0.4</v>
      </c>
      <c r="V33" s="150">
        <f>(U33-VLOOKUP(F33,标准坦克设计!$B$13:$K$20,MATCH("射击间隔",标准坦克设计!$B$13:$K$13,0),FALSE))/0.1*VLOOKUP($B$15,$B$3:$J$15,MATCH(F33,$B$3:$J$3,0),FALSE)+1</f>
        <v>-0.53333333333333299</v>
      </c>
      <c r="W33" s="2">
        <f>VLOOKUP(D33,坦克类型系数!$BI$3:$BK$6,2,FALSE)</f>
        <v>0.75</v>
      </c>
      <c r="X33" s="34">
        <f>VLOOKUP(D33,坦克类型系数!$BI$3:$BK$6,3,FALSE)</f>
        <v>1.6422918151337649</v>
      </c>
      <c r="Y33" s="21">
        <v>4</v>
      </c>
      <c r="Z33" s="21">
        <v>0.8</v>
      </c>
      <c r="AA33" s="34">
        <f>VLOOKUP(D33,坦克类型系数!$CQ$9:$CY$12,2,FALSE)*$M$4*Z33</f>
        <v>8.8984165302451057</v>
      </c>
      <c r="AB33" s="34">
        <f>VLOOKUP(D33,坦克类型系数!$CQ$9:$CY$12,6,FALSE)*$M$4*Z33</f>
        <v>35.593666120980423</v>
      </c>
      <c r="AC33" s="34">
        <f>VLOOKUP(D33,坦克类型系数!$CQ$3:$CY$6,9,FALSE)</f>
        <v>55.61510331403192</v>
      </c>
      <c r="AD33" s="2">
        <f>VLOOKUP(F33,坦克类型系数!$BM$3:$BV$10,6,FALSE)</f>
        <v>2.84</v>
      </c>
      <c r="AE33" s="41">
        <f t="shared" si="4"/>
        <v>1.25</v>
      </c>
      <c r="AF33" s="34">
        <f>VLOOKUP(D33,坦克类型系数!$DE$3:$DH$6,3,FALSE)*AE33</f>
        <v>50</v>
      </c>
      <c r="AG33" s="21">
        <v>0.9</v>
      </c>
      <c r="AH33" s="150">
        <f t="shared" si="5"/>
        <v>1.0270018015103013</v>
      </c>
      <c r="AI33" s="2">
        <f>VLOOKUP(D33,坦克类型系数!$BZ$21:$CF$24,2,FALSE)*AG33</f>
        <v>7.2</v>
      </c>
      <c r="AJ33" s="34">
        <f>VLOOKUP(D33,坦克类型系数!$BZ$21:$CF$24,5,FALSE)*AG33</f>
        <v>7.2</v>
      </c>
      <c r="AK33" s="34">
        <f>VLOOKUP(D33,坦克类型系数!$BZ$21:$CF$24,4,FALSE)</f>
        <v>5</v>
      </c>
      <c r="AL33" s="34">
        <f>VLOOKUP(D33,坦克类型系数!$BZ$21:$CF$24,7,FALSE)</f>
        <v>4</v>
      </c>
      <c r="AM33" s="34">
        <f>VLOOKUP(D33,坦克类型系数!$CH$21:$CN$24,4,FALSE)</f>
        <v>13.333333333333334</v>
      </c>
      <c r="AN33" s="34">
        <f>VLOOKUP(D33,坦克类型系数!$CH$21:$CN$24,7,FALSE)</f>
        <v>22.857142857142858</v>
      </c>
      <c r="AO33" s="2">
        <f>VLOOKUP(F33,坦克类型系数!$BM$13:$BV$20,6,FALSE)</f>
        <v>1.0649999999999999</v>
      </c>
      <c r="AP33" s="142">
        <f>基础属性系数!$C$56</f>
        <v>0.2</v>
      </c>
      <c r="AQ33" s="142">
        <f>基础属性系数!$C$55</f>
        <v>0.3</v>
      </c>
      <c r="AR33" s="2">
        <f>VLOOKUP(D33,坦克类型系数!$DE$9:$DH$12,2,FALSE)</f>
        <v>0.9</v>
      </c>
      <c r="AS33" s="2">
        <f>VLOOKUP(D33,坦克类型系数!$DE$9:$DH$12,3,FALSE)</f>
        <v>0.9</v>
      </c>
      <c r="AT33" s="2">
        <f>VLOOKUP(D33,坦克类型系数!$DE$9:$DH$12,4,FALSE)</f>
        <v>0.9</v>
      </c>
      <c r="AU33" s="2">
        <f>VLOOKUP(D33,坦克类型系数!$AH$9:$AK$12,3,FALSE)</f>
        <v>35</v>
      </c>
      <c r="AV33" s="2">
        <f>VLOOKUP(D33,坦克类型系数!$AH$9:$AK$12,4,FALSE)</f>
        <v>40</v>
      </c>
      <c r="AW33" s="142">
        <f>VLOOKUP($B33,坦克类型系数!$B$3:$AF$33,MATCH(AW$18,坦克类型系数!$B$3:$AF$3,0),FALSE)</f>
        <v>0</v>
      </c>
      <c r="AX33" s="142">
        <f>VLOOKUP($B33,坦克类型系数!$B$3:$AF$33,MATCH(AX$18,坦克类型系数!$B$3:$AF$3,0),FALSE)</f>
        <v>2.2999999999999998</v>
      </c>
      <c r="AY33" s="142">
        <f>VLOOKUP($B33,坦克类型系数!$B$3:$AF$33,MATCH(AY$18,坦克类型系数!$B$3:$AF$3,0),FALSE)</f>
        <v>1.9</v>
      </c>
      <c r="AZ33" s="142">
        <f>VLOOKUP($B33,坦克类型系数!$B$3:$AF$33,MATCH(AZ$18,坦克类型系数!$B$3:$AF$3,0),FALSE)</f>
        <v>1.9</v>
      </c>
      <c r="BA33" s="142">
        <f>VLOOKUP($B33,坦克类型系数!$B$3:$AF$33,MATCH(BA$18,坦克类型系数!$B$3:$AF$3,0),FALSE)</f>
        <v>0.95</v>
      </c>
      <c r="BB33" s="142">
        <f>VLOOKUP($B33,坦克类型系数!$B$3:$AF$33,MATCH(BB$18,坦克类型系数!$B$3:$AF$3,0),FALSE)</f>
        <v>0.95</v>
      </c>
      <c r="BC33" s="142">
        <f>VLOOKUP($B33,坦克类型系数!$B$3:$AF$33,MATCH(BC$18,坦克类型系数!$B$3:$AF$3,0),FALSE)</f>
        <v>0.85</v>
      </c>
    </row>
    <row r="34" spans="2:55" x14ac:dyDescent="0.3">
      <c r="B34" s="2" t="s">
        <v>632</v>
      </c>
      <c r="C34" s="2" t="s">
        <v>1149</v>
      </c>
      <c r="D34" s="29" t="str">
        <f>坦克类型系数!C19</f>
        <v>中坦</v>
      </c>
      <c r="E34" s="21" t="s">
        <v>610</v>
      </c>
      <c r="F34" s="21" t="s">
        <v>81</v>
      </c>
      <c r="G34" s="29">
        <f>坦克类型系数!D19</f>
        <v>6.68</v>
      </c>
      <c r="H34" s="29">
        <f>坦克类型系数!E19</f>
        <v>3.1</v>
      </c>
      <c r="I34" s="29">
        <f>坦克类型系数!F19</f>
        <v>7.36</v>
      </c>
      <c r="J34" s="21">
        <v>1</v>
      </c>
      <c r="K34" s="150">
        <f>SQRT(I34/VLOOKUP(D34,坦克类型系数!$AH$3:$AK$6,4,FALSE))*J34</f>
        <v>1.0054794930723405</v>
      </c>
      <c r="L34" s="21" t="s">
        <v>1146</v>
      </c>
      <c r="M34" s="29">
        <f>VLOOKUP(D34,坦克类型系数!$AH$15:$AK$18,4,FALSE)</f>
        <v>0.71</v>
      </c>
      <c r="N34" s="21">
        <v>0.95</v>
      </c>
      <c r="O34" s="2">
        <f t="shared" si="6"/>
        <v>0.67</v>
      </c>
      <c r="P34" s="34">
        <f t="shared" si="8"/>
        <v>0.94366197183098599</v>
      </c>
      <c r="Q34" s="34">
        <f t="shared" si="3"/>
        <v>1.0278260869565217</v>
      </c>
      <c r="R34" s="150">
        <f t="shared" si="7"/>
        <v>0.96992039191671775</v>
      </c>
      <c r="S34" s="2">
        <f>VLOOKUP(F34,坦克类型系数!$AQ$3:$AX$10,MATCH("瞄准速度",坦克类型系数!$AQ$3:$AX$3,0),FALSE)</f>
        <v>1</v>
      </c>
      <c r="T34" s="21">
        <v>1</v>
      </c>
      <c r="U34" s="2">
        <f>(VLOOKUP(F34,坦克类型系数!$AM$3:$AO$10,MATCH("射击间隔max",坦克类型系数!$AM$3:$AO$3,0),FALSE)-VLOOKUP(F34,坦克类型系数!$AM$3:$AO$10,MATCH("射击间隔min",坦克类型系数!$AM$3:$AO$3,0),FALSE))*T34+VLOOKUP(F34,坦克类型系数!$AM$3:$AO$10,MATCH("射击间隔min",坦克类型系数!$AM$3:$AO$3,0),FALSE)</f>
        <v>0.4</v>
      </c>
      <c r="V34" s="150">
        <f>(U34-VLOOKUP(F34,标准坦克设计!$B$13:$K$20,MATCH("射击间隔",标准坦克设计!$B$13:$K$13,0),FALSE))/0.1*VLOOKUP($B$15,$B$3:$J$15,MATCH(F34,$B$3:$J$3,0),FALSE)+1</f>
        <v>-0.53333333333333299</v>
      </c>
      <c r="W34" s="2">
        <f>VLOOKUP(D34,坦克类型系数!$BI$3:$BK$6,2,FALSE)</f>
        <v>0.75</v>
      </c>
      <c r="X34" s="34">
        <f>VLOOKUP(D34,坦克类型系数!$BI$3:$BK$6,3,FALSE)</f>
        <v>1.6422918151337649</v>
      </c>
      <c r="Y34" s="21">
        <v>4</v>
      </c>
      <c r="Z34" s="21">
        <v>0.8</v>
      </c>
      <c r="AA34" s="34">
        <f>VLOOKUP(D34,坦克类型系数!$CQ$9:$CY$12,2,FALSE)*$M$4*Z34</f>
        <v>8.8984165302451057</v>
      </c>
      <c r="AB34" s="34">
        <f>VLOOKUP(D34,坦克类型系数!$CQ$9:$CY$12,6,FALSE)*$M$4*Z34</f>
        <v>35.593666120980423</v>
      </c>
      <c r="AC34" s="34">
        <f>VLOOKUP(D34,坦克类型系数!$CQ$3:$CY$6,9,FALSE)</f>
        <v>55.61510331403192</v>
      </c>
      <c r="AD34" s="2">
        <f>VLOOKUP(F34,坦克类型系数!$BM$3:$BV$10,6,FALSE)</f>
        <v>2.84</v>
      </c>
      <c r="AE34" s="41">
        <f t="shared" si="4"/>
        <v>1.25</v>
      </c>
      <c r="AF34" s="34">
        <f>VLOOKUP(D34,坦克类型系数!$DE$3:$DH$6,3,FALSE)*AE34</f>
        <v>50</v>
      </c>
      <c r="AG34" s="21">
        <v>0.9</v>
      </c>
      <c r="AH34" s="150">
        <f t="shared" si="5"/>
        <v>1.0270018015103013</v>
      </c>
      <c r="AI34" s="2">
        <f>VLOOKUP(D34,坦克类型系数!$BZ$21:$CF$24,2,FALSE)*AG34</f>
        <v>7.2</v>
      </c>
      <c r="AJ34" s="34">
        <f>VLOOKUP(D34,坦克类型系数!$BZ$21:$CF$24,5,FALSE)*AG34</f>
        <v>7.2</v>
      </c>
      <c r="AK34" s="34">
        <f>VLOOKUP(D34,坦克类型系数!$BZ$21:$CF$24,4,FALSE)</f>
        <v>5</v>
      </c>
      <c r="AL34" s="34">
        <f>VLOOKUP(D34,坦克类型系数!$BZ$21:$CF$24,7,FALSE)</f>
        <v>4</v>
      </c>
      <c r="AM34" s="34">
        <f>VLOOKUP(D34,坦克类型系数!$CH$21:$CN$24,4,FALSE)</f>
        <v>13.333333333333334</v>
      </c>
      <c r="AN34" s="34">
        <f>VLOOKUP(D34,坦克类型系数!$CH$21:$CN$24,7,FALSE)</f>
        <v>22.857142857142858</v>
      </c>
      <c r="AO34" s="2">
        <f>VLOOKUP(F34,坦克类型系数!$BM$13:$BV$20,6,FALSE)</f>
        <v>1.0649999999999999</v>
      </c>
      <c r="AP34" s="142">
        <f>基础属性系数!$C$56</f>
        <v>0.2</v>
      </c>
      <c r="AQ34" s="142">
        <f>基础属性系数!$C$55</f>
        <v>0.3</v>
      </c>
      <c r="AR34" s="2">
        <f>VLOOKUP(D34,坦克类型系数!$DE$9:$DH$12,2,FALSE)</f>
        <v>0.9</v>
      </c>
      <c r="AS34" s="2">
        <f>VLOOKUP(D34,坦克类型系数!$DE$9:$DH$12,3,FALSE)</f>
        <v>0.9</v>
      </c>
      <c r="AT34" s="2">
        <f>VLOOKUP(D34,坦克类型系数!$DE$9:$DH$12,4,FALSE)</f>
        <v>0.9</v>
      </c>
      <c r="AU34" s="2">
        <f>VLOOKUP(D34,坦克类型系数!$AH$9:$AK$12,3,FALSE)</f>
        <v>35</v>
      </c>
      <c r="AV34" s="2">
        <f>VLOOKUP(D34,坦克类型系数!$AH$9:$AK$12,4,FALSE)</f>
        <v>40</v>
      </c>
      <c r="AW34" s="142">
        <f>VLOOKUP($B34,坦克类型系数!$B$3:$AF$33,MATCH(AW$18,坦克类型系数!$B$3:$AF$3,0),FALSE)</f>
        <v>0</v>
      </c>
      <c r="AX34" s="142">
        <f>VLOOKUP($B34,坦克类型系数!$B$3:$AF$33,MATCH(AX$18,坦克类型系数!$B$3:$AF$3,0),FALSE)</f>
        <v>2.2999999999999998</v>
      </c>
      <c r="AY34" s="142">
        <f>VLOOKUP($B34,坦克类型系数!$B$3:$AF$33,MATCH(AY$18,坦克类型系数!$B$3:$AF$3,0),FALSE)</f>
        <v>1.9</v>
      </c>
      <c r="AZ34" s="142">
        <f>VLOOKUP($B34,坦克类型系数!$B$3:$AF$33,MATCH(AZ$18,坦克类型系数!$B$3:$AF$3,0),FALSE)</f>
        <v>1.9</v>
      </c>
      <c r="BA34" s="142">
        <f>VLOOKUP($B34,坦克类型系数!$B$3:$AF$33,MATCH(BA$18,坦克类型系数!$B$3:$AF$3,0),FALSE)</f>
        <v>0.95</v>
      </c>
      <c r="BB34" s="142">
        <f>VLOOKUP($B34,坦克类型系数!$B$3:$AF$33,MATCH(BB$18,坦克类型系数!$B$3:$AF$3,0),FALSE)</f>
        <v>0.95</v>
      </c>
      <c r="BC34" s="142">
        <f>VLOOKUP($B34,坦克类型系数!$B$3:$AF$33,MATCH(BC$18,坦克类型系数!$B$3:$AF$3,0),FALSE)</f>
        <v>0.85</v>
      </c>
    </row>
    <row r="35" spans="2:55" x14ac:dyDescent="0.3">
      <c r="B35" s="2" t="s">
        <v>634</v>
      </c>
      <c r="C35" s="2" t="s">
        <v>1150</v>
      </c>
      <c r="D35" s="29" t="str">
        <f>坦克类型系数!C20</f>
        <v>中坦</v>
      </c>
      <c r="E35" s="21" t="s">
        <v>617</v>
      </c>
      <c r="F35" s="21" t="s">
        <v>81</v>
      </c>
      <c r="G35" s="29">
        <f>坦克类型系数!D20</f>
        <v>7.42</v>
      </c>
      <c r="H35" s="29">
        <f>坦克类型系数!E20</f>
        <v>3.89</v>
      </c>
      <c r="I35" s="29">
        <f>坦克类型系数!F20</f>
        <v>8.3800000000000008</v>
      </c>
      <c r="J35" s="21">
        <v>1</v>
      </c>
      <c r="K35" s="150">
        <f>SQRT(I35/VLOOKUP(D35,坦克类型系数!$AH$3:$AK$6,4,FALSE))*J35</f>
        <v>1.0728927724143271</v>
      </c>
      <c r="L35" s="21" t="s">
        <v>1134</v>
      </c>
      <c r="M35" s="29">
        <f>VLOOKUP(D35,坦克类型系数!$AH$15:$AK$18,4,FALSE)</f>
        <v>0.71</v>
      </c>
      <c r="N35" s="21">
        <v>1</v>
      </c>
      <c r="O35" s="2">
        <f t="shared" si="6"/>
        <v>0.71</v>
      </c>
      <c r="P35" s="34">
        <f t="shared" si="8"/>
        <v>1</v>
      </c>
      <c r="Q35" s="34">
        <f t="shared" si="3"/>
        <v>1</v>
      </c>
      <c r="R35" s="150">
        <f t="shared" si="7"/>
        <v>1</v>
      </c>
      <c r="S35" s="2">
        <f>VLOOKUP(F35,坦克类型系数!$AQ$3:$AX$10,MATCH("瞄准速度",坦克类型系数!$AQ$3:$AX$3,0),FALSE)</f>
        <v>1</v>
      </c>
      <c r="T35" s="21">
        <v>0.6</v>
      </c>
      <c r="U35" s="2">
        <f>(VLOOKUP(F35,坦克类型系数!$AM$3:$AO$10,MATCH("射击间隔max",坦克类型系数!$AM$3:$AO$3,0),FALSE)-VLOOKUP(F35,坦克类型系数!$AM$3:$AO$10,MATCH("射击间隔min",坦克类型系数!$AM$3:$AO$3,0),FALSE))*T35+VLOOKUP(F35,坦克类型系数!$AM$3:$AO$10,MATCH("射击间隔min",坦克类型系数!$AM$3:$AO$3,0),FALSE)</f>
        <v>0.32</v>
      </c>
      <c r="V35" s="150">
        <f>(U35-VLOOKUP(F35,标准坦克设计!$B$13:$K$20,MATCH("射击间隔",标准坦克设计!$B$13:$K$13,0),FALSE))/0.1*VLOOKUP($B$15,$B$3:$J$15,MATCH(F35,$B$3:$J$3,0),FALSE)+1</f>
        <v>-0.73777777777777742</v>
      </c>
      <c r="W35" s="2">
        <f>VLOOKUP(D35,坦克类型系数!$BI$3:$BK$6,2,FALSE)</f>
        <v>0.75</v>
      </c>
      <c r="X35" s="34">
        <f>VLOOKUP(D35,坦克类型系数!$BI$3:$BK$6,3,FALSE)</f>
        <v>1.6422918151337649</v>
      </c>
      <c r="Y35" s="21">
        <v>2</v>
      </c>
      <c r="Z35" s="21">
        <v>1</v>
      </c>
      <c r="AA35" s="34">
        <f>VLOOKUP(D35,坦克类型系数!$CQ$9:$CY$12,2,FALSE)*$M$4*Z35</f>
        <v>11.123020662806383</v>
      </c>
      <c r="AB35" s="34">
        <f>VLOOKUP(D35,坦克类型系数!$CQ$9:$CY$12,6,FALSE)*$M$4*Z35</f>
        <v>44.49208265122553</v>
      </c>
      <c r="AC35" s="34">
        <f>VLOOKUP(D35,坦克类型系数!$CQ$3:$CY$6,9,FALSE)</f>
        <v>55.61510331403192</v>
      </c>
      <c r="AD35" s="2">
        <f>VLOOKUP(F35,坦克类型系数!$BM$3:$BV$10,6,FALSE)</f>
        <v>2.84</v>
      </c>
      <c r="AE35" s="41">
        <f t="shared" si="4"/>
        <v>1</v>
      </c>
      <c r="AF35" s="34">
        <f>VLOOKUP(D35,坦克类型系数!$DE$3:$DH$6,3,FALSE)*AE35</f>
        <v>40</v>
      </c>
      <c r="AG35" s="21">
        <v>1</v>
      </c>
      <c r="AH35" s="150">
        <f t="shared" si="5"/>
        <v>1</v>
      </c>
      <c r="AI35" s="2">
        <f>VLOOKUP(D35,坦克类型系数!$BZ$21:$CF$24,2,FALSE)*AG35</f>
        <v>8</v>
      </c>
      <c r="AJ35" s="34">
        <f>VLOOKUP(D35,坦克类型系数!$BZ$21:$CF$24,5,FALSE)*AG35</f>
        <v>8</v>
      </c>
      <c r="AK35" s="34">
        <f>VLOOKUP(D35,坦克类型系数!$BZ$21:$CF$24,4,FALSE)</f>
        <v>5</v>
      </c>
      <c r="AL35" s="34">
        <f>VLOOKUP(D35,坦克类型系数!$BZ$21:$CF$24,7,FALSE)</f>
        <v>4</v>
      </c>
      <c r="AM35" s="34">
        <f>VLOOKUP(D35,坦克类型系数!$CH$21:$CN$24,4,FALSE)</f>
        <v>13.333333333333334</v>
      </c>
      <c r="AN35" s="34">
        <f>VLOOKUP(D35,坦克类型系数!$CH$21:$CN$24,7,FALSE)</f>
        <v>22.857142857142858</v>
      </c>
      <c r="AO35" s="2">
        <f>VLOOKUP(F35,坦克类型系数!$BM$13:$BV$20,6,FALSE)</f>
        <v>1.0649999999999999</v>
      </c>
      <c r="AP35" s="142">
        <f>基础属性系数!$C$56</f>
        <v>0.2</v>
      </c>
      <c r="AQ35" s="142">
        <f>基础属性系数!$C$55</f>
        <v>0.3</v>
      </c>
      <c r="AR35" s="2">
        <f>VLOOKUP(D35,坦克类型系数!$DE$9:$DH$12,2,FALSE)</f>
        <v>0.9</v>
      </c>
      <c r="AS35" s="2">
        <f>VLOOKUP(D35,坦克类型系数!$DE$9:$DH$12,3,FALSE)</f>
        <v>0.9</v>
      </c>
      <c r="AT35" s="2">
        <f>VLOOKUP(D35,坦克类型系数!$DE$9:$DH$12,4,FALSE)</f>
        <v>0.9</v>
      </c>
      <c r="AU35" s="2">
        <f>VLOOKUP(D35,坦克类型系数!$AH$9:$AK$12,3,FALSE)</f>
        <v>35</v>
      </c>
      <c r="AV35" s="2">
        <f>VLOOKUP(D35,坦克类型系数!$AH$9:$AK$12,4,FALSE)</f>
        <v>40</v>
      </c>
      <c r="AW35" s="142">
        <f>VLOOKUP($B35,坦克类型系数!$B$3:$AF$33,MATCH(AW$18,坦克类型系数!$B$3:$AF$3,0),FALSE)</f>
        <v>0</v>
      </c>
      <c r="AX35" s="142">
        <f>VLOOKUP($B35,坦克类型系数!$B$3:$AF$33,MATCH(AX$18,坦克类型系数!$B$3:$AF$3,0),FALSE)</f>
        <v>2.1</v>
      </c>
      <c r="AY35" s="142">
        <f>VLOOKUP($B35,坦克类型系数!$B$3:$AF$33,MATCH(AY$18,坦克类型系数!$B$3:$AF$3,0),FALSE)</f>
        <v>1.75</v>
      </c>
      <c r="AZ35" s="142">
        <f>VLOOKUP($B35,坦克类型系数!$B$3:$AF$33,MATCH(AZ$18,坦克类型系数!$B$3:$AF$3,0),FALSE)</f>
        <v>1.75</v>
      </c>
      <c r="BA35" s="142">
        <f>VLOOKUP($B35,坦克类型系数!$B$3:$AF$33,MATCH(BA$18,坦克类型系数!$B$3:$AF$3,0),FALSE)</f>
        <v>0.95</v>
      </c>
      <c r="BB35" s="142">
        <f>VLOOKUP($B35,坦克类型系数!$B$3:$AF$33,MATCH(BB$18,坦克类型系数!$B$3:$AF$3,0),FALSE)</f>
        <v>0.95</v>
      </c>
      <c r="BC35" s="142">
        <f>VLOOKUP($B35,坦克类型系数!$B$3:$AF$33,MATCH(BC$18,坦克类型系数!$B$3:$AF$3,0),FALSE)</f>
        <v>0.85</v>
      </c>
    </row>
    <row r="36" spans="2:55" x14ac:dyDescent="0.3">
      <c r="B36" s="2" t="s">
        <v>636</v>
      </c>
      <c r="C36" s="2" t="s">
        <v>1151</v>
      </c>
      <c r="D36" s="29" t="str">
        <f>坦克类型系数!C21</f>
        <v>中坦</v>
      </c>
      <c r="E36" s="21" t="s">
        <v>617</v>
      </c>
      <c r="F36" s="21" t="s">
        <v>81</v>
      </c>
      <c r="G36" s="29">
        <f>坦克类型系数!D21</f>
        <v>6.34</v>
      </c>
      <c r="H36" s="29">
        <f>坦克类型系数!E21</f>
        <v>3.42</v>
      </c>
      <c r="I36" s="29">
        <f>坦克类型系数!F21</f>
        <v>7.2</v>
      </c>
      <c r="J36" s="21">
        <v>1</v>
      </c>
      <c r="K36" s="150">
        <f>SQRT(I36/VLOOKUP(D36,坦克类型系数!$AH$3:$AK$6,4,FALSE))*J36</f>
        <v>0.99449031619769379</v>
      </c>
      <c r="L36" s="21" t="s">
        <v>1146</v>
      </c>
      <c r="M36" s="29">
        <f>VLOOKUP(D36,坦克类型系数!$AH$15:$AK$18,4,FALSE)</f>
        <v>0.71</v>
      </c>
      <c r="N36" s="21">
        <v>0.9</v>
      </c>
      <c r="O36" s="2">
        <f t="shared" si="6"/>
        <v>0.64</v>
      </c>
      <c r="P36" s="34">
        <f t="shared" si="8"/>
        <v>0.90140845070422537</v>
      </c>
      <c r="Q36" s="34">
        <f t="shared" si="3"/>
        <v>1.056</v>
      </c>
      <c r="R36" s="150">
        <f t="shared" si="7"/>
        <v>0.95188732394366204</v>
      </c>
      <c r="S36" s="2">
        <f>VLOOKUP(F36,坦克类型系数!$AQ$3:$AX$10,MATCH("瞄准速度",坦克类型系数!$AQ$3:$AX$3,0),FALSE)</f>
        <v>1</v>
      </c>
      <c r="T36" s="21">
        <v>1</v>
      </c>
      <c r="U36" s="2">
        <f>(VLOOKUP(F36,坦克类型系数!$AM$3:$AO$10,MATCH("射击间隔max",坦克类型系数!$AM$3:$AO$3,0),FALSE)-VLOOKUP(F36,坦克类型系数!$AM$3:$AO$10,MATCH("射击间隔min",坦克类型系数!$AM$3:$AO$3,0),FALSE))*T36+VLOOKUP(F36,坦克类型系数!$AM$3:$AO$10,MATCH("射击间隔min",坦克类型系数!$AM$3:$AO$3,0),FALSE)</f>
        <v>0.4</v>
      </c>
      <c r="V36" s="150">
        <f>(U36-VLOOKUP(F36,标准坦克设计!$B$13:$K$20,MATCH("射击间隔",标准坦克设计!$B$13:$K$13,0),FALSE))/0.1*VLOOKUP($B$15,$B$3:$J$15,MATCH(F36,$B$3:$J$3,0),FALSE)+1</f>
        <v>-0.53333333333333299</v>
      </c>
      <c r="W36" s="2">
        <f>VLOOKUP(D36,坦克类型系数!$BI$3:$BK$6,2,FALSE)</f>
        <v>0.75</v>
      </c>
      <c r="X36" s="34">
        <f>VLOOKUP(D36,坦克类型系数!$BI$3:$BK$6,3,FALSE)</f>
        <v>1.6422918151337649</v>
      </c>
      <c r="Y36" s="21">
        <v>4</v>
      </c>
      <c r="Z36" s="21">
        <v>0.8</v>
      </c>
      <c r="AA36" s="34">
        <f>VLOOKUP(D36,坦克类型系数!$CQ$9:$CY$12,2,FALSE)*$M$4*Z36</f>
        <v>8.8984165302451057</v>
      </c>
      <c r="AB36" s="34">
        <f>VLOOKUP(D36,坦克类型系数!$CQ$9:$CY$12,6,FALSE)*$M$4*Z36</f>
        <v>35.593666120980423</v>
      </c>
      <c r="AC36" s="34">
        <f>VLOOKUP(D36,坦克类型系数!$CQ$3:$CY$6,9,FALSE)</f>
        <v>55.61510331403192</v>
      </c>
      <c r="AD36" s="2">
        <f>VLOOKUP(F36,坦克类型系数!$BM$3:$BV$10,6,FALSE)</f>
        <v>2.84</v>
      </c>
      <c r="AE36" s="41">
        <f t="shared" si="4"/>
        <v>1.25</v>
      </c>
      <c r="AF36" s="34">
        <f>VLOOKUP(D36,坦克类型系数!$DE$3:$DH$6,3,FALSE)*AE36</f>
        <v>50</v>
      </c>
      <c r="AG36" s="21">
        <v>0.9</v>
      </c>
      <c r="AH36" s="150">
        <f t="shared" si="5"/>
        <v>1.0270018015103013</v>
      </c>
      <c r="AI36" s="2">
        <f>VLOOKUP(D36,坦克类型系数!$BZ$21:$CF$24,2,FALSE)*AG36</f>
        <v>7.2</v>
      </c>
      <c r="AJ36" s="34">
        <f>VLOOKUP(D36,坦克类型系数!$BZ$21:$CF$24,5,FALSE)*AG36</f>
        <v>7.2</v>
      </c>
      <c r="AK36" s="34">
        <f>VLOOKUP(D36,坦克类型系数!$BZ$21:$CF$24,4,FALSE)</f>
        <v>5</v>
      </c>
      <c r="AL36" s="34">
        <f>VLOOKUP(D36,坦克类型系数!$BZ$21:$CF$24,7,FALSE)</f>
        <v>4</v>
      </c>
      <c r="AM36" s="34">
        <f>VLOOKUP(D36,坦克类型系数!$CH$21:$CN$24,4,FALSE)</f>
        <v>13.333333333333334</v>
      </c>
      <c r="AN36" s="34">
        <f>VLOOKUP(D36,坦克类型系数!$CH$21:$CN$24,7,FALSE)</f>
        <v>22.857142857142858</v>
      </c>
      <c r="AO36" s="2">
        <f>VLOOKUP(F36,坦克类型系数!$BM$13:$BV$20,6,FALSE)</f>
        <v>1.0649999999999999</v>
      </c>
      <c r="AP36" s="142">
        <f>基础属性系数!$C$56</f>
        <v>0.2</v>
      </c>
      <c r="AQ36" s="142">
        <f>基础属性系数!$C$55</f>
        <v>0.3</v>
      </c>
      <c r="AR36" s="2">
        <f>VLOOKUP(D36,坦克类型系数!$DE$9:$DH$12,2,FALSE)</f>
        <v>0.9</v>
      </c>
      <c r="AS36" s="2">
        <f>VLOOKUP(D36,坦克类型系数!$DE$9:$DH$12,3,FALSE)</f>
        <v>0.9</v>
      </c>
      <c r="AT36" s="2">
        <f>VLOOKUP(D36,坦克类型系数!$DE$9:$DH$12,4,FALSE)</f>
        <v>0.9</v>
      </c>
      <c r="AU36" s="2">
        <f>VLOOKUP(D36,坦克类型系数!$AH$9:$AK$12,3,FALSE)</f>
        <v>35</v>
      </c>
      <c r="AV36" s="2">
        <f>VLOOKUP(D36,坦克类型系数!$AH$9:$AK$12,4,FALSE)</f>
        <v>40</v>
      </c>
      <c r="AW36" s="142">
        <f>VLOOKUP($B36,坦克类型系数!$B$3:$AF$33,MATCH(AW$18,坦克类型系数!$B$3:$AF$3,0),FALSE)</f>
        <v>0</v>
      </c>
      <c r="AX36" s="142">
        <f>VLOOKUP($B36,坦克类型系数!$B$3:$AF$33,MATCH(AX$18,坦克类型系数!$B$3:$AF$3,0),FALSE)</f>
        <v>2.25</v>
      </c>
      <c r="AY36" s="142">
        <f>VLOOKUP($B36,坦克类型系数!$B$3:$AF$33,MATCH(AY$18,坦克类型系数!$B$3:$AF$3,0),FALSE)</f>
        <v>1.85</v>
      </c>
      <c r="AZ36" s="142">
        <f>VLOOKUP($B36,坦克类型系数!$B$3:$AF$33,MATCH(AZ$18,坦克类型系数!$B$3:$AF$3,0),FALSE)</f>
        <v>1.85</v>
      </c>
      <c r="BA36" s="142">
        <f>VLOOKUP($B36,坦克类型系数!$B$3:$AF$33,MATCH(BA$18,坦克类型系数!$B$3:$AF$3,0),FALSE)</f>
        <v>0.95</v>
      </c>
      <c r="BB36" s="142">
        <f>VLOOKUP($B36,坦克类型系数!$B$3:$AF$33,MATCH(BB$18,坦克类型系数!$B$3:$AF$3,0),FALSE)</f>
        <v>0.95</v>
      </c>
      <c r="BC36" s="142">
        <f>VLOOKUP($B36,坦克类型系数!$B$3:$AF$33,MATCH(BC$18,坦克类型系数!$B$3:$AF$3,0),FALSE)</f>
        <v>0.85</v>
      </c>
    </row>
    <row r="37" spans="2:55" x14ac:dyDescent="0.3">
      <c r="B37" s="2" t="s">
        <v>638</v>
      </c>
      <c r="C37" s="2" t="s">
        <v>1152</v>
      </c>
      <c r="D37" s="29" t="str">
        <f>坦克类型系数!C22</f>
        <v>中坦</v>
      </c>
      <c r="E37" s="21" t="s">
        <v>617</v>
      </c>
      <c r="F37" s="21" t="s">
        <v>81</v>
      </c>
      <c r="G37" s="29">
        <f>坦克类型系数!D22</f>
        <v>8.4700000000000006</v>
      </c>
      <c r="H37" s="29">
        <f>坦克类型系数!E22</f>
        <v>3.68</v>
      </c>
      <c r="I37" s="29">
        <f>坦克类型系数!F22</f>
        <v>9.23</v>
      </c>
      <c r="J37" s="21">
        <v>1</v>
      </c>
      <c r="K37" s="150">
        <f>SQRT(I37/VLOOKUP(D37,坦克类型系数!$AH$3:$AK$6,4,FALSE))*J37</f>
        <v>1.1259916264596033</v>
      </c>
      <c r="L37" s="21" t="s">
        <v>1146</v>
      </c>
      <c r="M37" s="29">
        <f>VLOOKUP(D37,坦克类型系数!$AH$15:$AK$18,4,FALSE)</f>
        <v>0.71</v>
      </c>
      <c r="N37" s="21">
        <v>1</v>
      </c>
      <c r="O37" s="2">
        <f t="shared" si="6"/>
        <v>0.71</v>
      </c>
      <c r="P37" s="34">
        <f t="shared" si="8"/>
        <v>1</v>
      </c>
      <c r="Q37" s="34">
        <f t="shared" si="3"/>
        <v>1</v>
      </c>
      <c r="R37" s="150">
        <f t="shared" si="7"/>
        <v>1</v>
      </c>
      <c r="S37" s="2">
        <f>VLOOKUP(F37,坦克类型系数!$AQ$3:$AX$10,MATCH("瞄准速度",坦克类型系数!$AQ$3:$AX$3,0),FALSE)</f>
        <v>1</v>
      </c>
      <c r="T37" s="21">
        <v>0.3</v>
      </c>
      <c r="U37" s="2">
        <f>(VLOOKUP(F37,坦克类型系数!$AM$3:$AO$10,MATCH("射击间隔max",坦克类型系数!$AM$3:$AO$3,0),FALSE)-VLOOKUP(F37,坦克类型系数!$AM$3:$AO$10,MATCH("射击间隔min",坦克类型系数!$AM$3:$AO$3,0),FALSE))*T37+VLOOKUP(F37,坦克类型系数!$AM$3:$AO$10,MATCH("射击间隔min",坦克类型系数!$AM$3:$AO$3,0),FALSE)</f>
        <v>0.26</v>
      </c>
      <c r="V37" s="150">
        <f>(U37-VLOOKUP(F37,标准坦克设计!$B$13:$K$20,MATCH("射击间隔",标准坦克设计!$B$13:$K$13,0),FALSE))/0.1*VLOOKUP($B$15,$B$3:$J$15,MATCH(F37,$B$3:$J$3,0),FALSE)+1</f>
        <v>-0.89111111111111074</v>
      </c>
      <c r="W37" s="2">
        <f>VLOOKUP(D37,坦克类型系数!$BI$3:$BK$6,2,FALSE)</f>
        <v>0.75</v>
      </c>
      <c r="X37" s="34">
        <f>VLOOKUP(D37,坦克类型系数!$BI$3:$BK$6,3,FALSE)</f>
        <v>1.6422918151337649</v>
      </c>
      <c r="Y37" s="21">
        <v>4</v>
      </c>
      <c r="Z37" s="21">
        <v>1</v>
      </c>
      <c r="AA37" s="34">
        <f>VLOOKUP(D37,坦克类型系数!$CQ$9:$CY$12,2,FALSE)*$M$4*Z37</f>
        <v>11.123020662806383</v>
      </c>
      <c r="AB37" s="34">
        <f>VLOOKUP(D37,坦克类型系数!$CQ$9:$CY$12,6,FALSE)*$M$4*Z37</f>
        <v>44.49208265122553</v>
      </c>
      <c r="AC37" s="34">
        <f>VLOOKUP(D37,坦克类型系数!$CQ$3:$CY$6,9,FALSE)</f>
        <v>55.61510331403192</v>
      </c>
      <c r="AD37" s="2">
        <f>VLOOKUP(F37,坦克类型系数!$BM$3:$BV$10,6,FALSE)</f>
        <v>2.84</v>
      </c>
      <c r="AE37" s="41">
        <f t="shared" si="4"/>
        <v>1</v>
      </c>
      <c r="AF37" s="34">
        <f>VLOOKUP(D37,坦克类型系数!$DE$3:$DH$6,3,FALSE)*AE37</f>
        <v>40</v>
      </c>
      <c r="AG37" s="21">
        <v>1</v>
      </c>
      <c r="AH37" s="150">
        <f t="shared" si="5"/>
        <v>1</v>
      </c>
      <c r="AI37" s="2">
        <f>VLOOKUP(D37,坦克类型系数!$BZ$21:$CF$24,2,FALSE)*AG37</f>
        <v>8</v>
      </c>
      <c r="AJ37" s="34">
        <f>VLOOKUP(D37,坦克类型系数!$BZ$21:$CF$24,5,FALSE)*AG37</f>
        <v>8</v>
      </c>
      <c r="AK37" s="34">
        <f>VLOOKUP(D37,坦克类型系数!$BZ$21:$CF$24,4,FALSE)</f>
        <v>5</v>
      </c>
      <c r="AL37" s="34">
        <f>VLOOKUP(D37,坦克类型系数!$BZ$21:$CF$24,7,FALSE)</f>
        <v>4</v>
      </c>
      <c r="AM37" s="34">
        <f>VLOOKUP(D37,坦克类型系数!$CH$21:$CN$24,4,FALSE)</f>
        <v>13.333333333333334</v>
      </c>
      <c r="AN37" s="34">
        <f>VLOOKUP(D37,坦克类型系数!$CH$21:$CN$24,7,FALSE)</f>
        <v>22.857142857142858</v>
      </c>
      <c r="AO37" s="2">
        <f>VLOOKUP(F37,坦克类型系数!$BM$13:$BV$20,6,FALSE)</f>
        <v>1.0649999999999999</v>
      </c>
      <c r="AP37" s="142">
        <f>基础属性系数!$C$56</f>
        <v>0.2</v>
      </c>
      <c r="AQ37" s="142">
        <f>基础属性系数!$C$55</f>
        <v>0.3</v>
      </c>
      <c r="AR37" s="2">
        <f>VLOOKUP(D37,坦克类型系数!$DE$9:$DH$12,2,FALSE)</f>
        <v>0.9</v>
      </c>
      <c r="AS37" s="2">
        <f>VLOOKUP(D37,坦克类型系数!$DE$9:$DH$12,3,FALSE)</f>
        <v>0.9</v>
      </c>
      <c r="AT37" s="2">
        <f>VLOOKUP(D37,坦克类型系数!$DE$9:$DH$12,4,FALSE)</f>
        <v>0.9</v>
      </c>
      <c r="AU37" s="2">
        <f>VLOOKUP(D37,坦克类型系数!$AH$9:$AK$12,3,FALSE)</f>
        <v>35</v>
      </c>
      <c r="AV37" s="2">
        <f>VLOOKUP(D37,坦克类型系数!$AH$9:$AK$12,4,FALSE)</f>
        <v>40</v>
      </c>
      <c r="AW37" s="142">
        <f>VLOOKUP($B37,坦克类型系数!$B$3:$AF$33,MATCH(AW$18,坦克类型系数!$B$3:$AF$3,0),FALSE)</f>
        <v>0</v>
      </c>
      <c r="AX37" s="142">
        <f>VLOOKUP($B37,坦克类型系数!$B$3:$AF$33,MATCH(AX$18,坦克类型系数!$B$3:$AF$3,0),FALSE)</f>
        <v>2.4</v>
      </c>
      <c r="AY37" s="142">
        <f>VLOOKUP($B37,坦克类型系数!$B$3:$AF$33,MATCH(AY$18,坦克类型系数!$B$3:$AF$3,0),FALSE)</f>
        <v>1.8</v>
      </c>
      <c r="AZ37" s="142">
        <f>VLOOKUP($B37,坦克类型系数!$B$3:$AF$33,MATCH(AZ$18,坦克类型系数!$B$3:$AF$3,0),FALSE)</f>
        <v>1.8</v>
      </c>
      <c r="BA37" s="142">
        <f>VLOOKUP($B37,坦克类型系数!$B$3:$AF$33,MATCH(BA$18,坦克类型系数!$B$3:$AF$3,0),FALSE)</f>
        <v>0.95</v>
      </c>
      <c r="BB37" s="142">
        <f>VLOOKUP($B37,坦克类型系数!$B$3:$AF$33,MATCH(BB$18,坦克类型系数!$B$3:$AF$3,0),FALSE)</f>
        <v>0.95</v>
      </c>
      <c r="BC37" s="142">
        <f>VLOOKUP($B37,坦克类型系数!$B$3:$AF$33,MATCH(BC$18,坦克类型系数!$B$3:$AF$3,0),FALSE)</f>
        <v>0.85</v>
      </c>
    </row>
    <row r="38" spans="2:55" x14ac:dyDescent="0.3">
      <c r="B38" s="2" t="s">
        <v>640</v>
      </c>
      <c r="C38" s="2" t="s">
        <v>1153</v>
      </c>
      <c r="D38" s="29" t="str">
        <f>坦克类型系数!C23</f>
        <v>中坦</v>
      </c>
      <c r="E38" s="21" t="s">
        <v>624</v>
      </c>
      <c r="F38" s="21" t="s">
        <v>81</v>
      </c>
      <c r="G38" s="29">
        <f>坦克类型系数!D23</f>
        <v>8.49</v>
      </c>
      <c r="H38" s="29">
        <f>坦克类型系数!E23</f>
        <v>3.73</v>
      </c>
      <c r="I38" s="29">
        <f>坦克类型系数!F23</f>
        <v>9.27</v>
      </c>
      <c r="J38" s="21">
        <v>1</v>
      </c>
      <c r="K38" s="150">
        <f>SQRT(I38/VLOOKUP(D38,坦克类型系数!$AH$3:$AK$6,4,FALSE))*J38</f>
        <v>1.1284288406238332</v>
      </c>
      <c r="L38" s="21" t="s">
        <v>1146</v>
      </c>
      <c r="M38" s="29">
        <f>VLOOKUP(D38,坦克类型系数!$AH$15:$AK$18,4,FALSE)</f>
        <v>0.71</v>
      </c>
      <c r="N38" s="21">
        <v>1</v>
      </c>
      <c r="O38" s="2">
        <f t="shared" si="6"/>
        <v>0.71</v>
      </c>
      <c r="P38" s="34">
        <f t="shared" si="8"/>
        <v>1</v>
      </c>
      <c r="Q38" s="34">
        <f t="shared" si="3"/>
        <v>1</v>
      </c>
      <c r="R38" s="150">
        <f t="shared" si="7"/>
        <v>1</v>
      </c>
      <c r="S38" s="2">
        <f>VLOOKUP(F38,坦克类型系数!$AQ$3:$AX$10,MATCH("瞄准速度",坦克类型系数!$AQ$3:$AX$3,0),FALSE)</f>
        <v>1</v>
      </c>
      <c r="T38" s="21">
        <v>1</v>
      </c>
      <c r="U38" s="2">
        <f>(VLOOKUP(F38,坦克类型系数!$AM$3:$AO$10,MATCH("射击间隔max",坦克类型系数!$AM$3:$AO$3,0),FALSE)-VLOOKUP(F38,坦克类型系数!$AM$3:$AO$10,MATCH("射击间隔min",坦克类型系数!$AM$3:$AO$3,0),FALSE))*T38+VLOOKUP(F38,坦克类型系数!$AM$3:$AO$10,MATCH("射击间隔min",坦克类型系数!$AM$3:$AO$3,0),FALSE)</f>
        <v>0.4</v>
      </c>
      <c r="V38" s="150">
        <f>(U38-VLOOKUP(F38,标准坦克设计!$B$13:$K$20,MATCH("射击间隔",标准坦克设计!$B$13:$K$13,0),FALSE))/0.1*VLOOKUP($B$15,$B$3:$J$15,MATCH(F38,$B$3:$J$3,0),FALSE)+1</f>
        <v>-0.53333333333333299</v>
      </c>
      <c r="W38" s="2">
        <f>VLOOKUP(D38,坦克类型系数!$BI$3:$BK$6,2,FALSE)</f>
        <v>0.75</v>
      </c>
      <c r="X38" s="34">
        <f>VLOOKUP(D38,坦克类型系数!$BI$3:$BK$6,3,FALSE)</f>
        <v>1.6422918151337649</v>
      </c>
      <c r="Y38" s="21">
        <v>4</v>
      </c>
      <c r="Z38" s="21">
        <v>0.8</v>
      </c>
      <c r="AA38" s="34">
        <f>VLOOKUP(D38,坦克类型系数!$CQ$9:$CY$12,2,FALSE)*$M$4*Z38</f>
        <v>8.8984165302451057</v>
      </c>
      <c r="AB38" s="34">
        <f>VLOOKUP(D38,坦克类型系数!$CQ$9:$CY$12,6,FALSE)*$M$4*Z38</f>
        <v>35.593666120980423</v>
      </c>
      <c r="AC38" s="34">
        <f>VLOOKUP(D38,坦克类型系数!$CQ$3:$CY$6,9,FALSE)</f>
        <v>55.61510331403192</v>
      </c>
      <c r="AD38" s="2">
        <f>VLOOKUP(F38,坦克类型系数!$BM$3:$BV$10,6,FALSE)</f>
        <v>2.84</v>
      </c>
      <c r="AE38" s="41">
        <f t="shared" si="4"/>
        <v>1.25</v>
      </c>
      <c r="AF38" s="34">
        <f>VLOOKUP(D38,坦克类型系数!$DE$3:$DH$6,3,FALSE)*AE38</f>
        <v>50</v>
      </c>
      <c r="AG38" s="21">
        <v>0.9</v>
      </c>
      <c r="AH38" s="150">
        <f t="shared" si="5"/>
        <v>1.0270018015103013</v>
      </c>
      <c r="AI38" s="2">
        <f>VLOOKUP(D38,坦克类型系数!$BZ$21:$CF$24,2,FALSE)*AG38</f>
        <v>7.2</v>
      </c>
      <c r="AJ38" s="34">
        <f>VLOOKUP(D38,坦克类型系数!$BZ$21:$CF$24,5,FALSE)*AG38</f>
        <v>7.2</v>
      </c>
      <c r="AK38" s="34">
        <f>VLOOKUP(D38,坦克类型系数!$BZ$21:$CF$24,4,FALSE)</f>
        <v>5</v>
      </c>
      <c r="AL38" s="34">
        <f>VLOOKUP(D38,坦克类型系数!$BZ$21:$CF$24,7,FALSE)</f>
        <v>4</v>
      </c>
      <c r="AM38" s="34">
        <f>VLOOKUP(D38,坦克类型系数!$CH$21:$CN$24,4,FALSE)</f>
        <v>13.333333333333334</v>
      </c>
      <c r="AN38" s="34">
        <f>VLOOKUP(D38,坦克类型系数!$CH$21:$CN$24,7,FALSE)</f>
        <v>22.857142857142858</v>
      </c>
      <c r="AO38" s="2">
        <f>VLOOKUP(F38,坦克类型系数!$BM$13:$BV$20,6,FALSE)</f>
        <v>1.0649999999999999</v>
      </c>
      <c r="AP38" s="142">
        <f>基础属性系数!$C$56</f>
        <v>0.2</v>
      </c>
      <c r="AQ38" s="142">
        <f>基础属性系数!$C$55</f>
        <v>0.3</v>
      </c>
      <c r="AR38" s="2">
        <f>VLOOKUP(D38,坦克类型系数!$DE$9:$DH$12,2,FALSE)</f>
        <v>0.9</v>
      </c>
      <c r="AS38" s="2">
        <f>VLOOKUP(D38,坦克类型系数!$DE$9:$DH$12,3,FALSE)</f>
        <v>0.9</v>
      </c>
      <c r="AT38" s="2">
        <f>VLOOKUP(D38,坦克类型系数!$DE$9:$DH$12,4,FALSE)</f>
        <v>0.9</v>
      </c>
      <c r="AU38" s="2">
        <f>VLOOKUP(D38,坦克类型系数!$AH$9:$AK$12,3,FALSE)</f>
        <v>35</v>
      </c>
      <c r="AV38" s="2">
        <f>VLOOKUP(D38,坦克类型系数!$AH$9:$AK$12,4,FALSE)</f>
        <v>40</v>
      </c>
      <c r="AW38" s="142">
        <f>VLOOKUP($B38,坦克类型系数!$B$3:$AF$33,MATCH(AW$18,坦克类型系数!$B$3:$AF$3,0),FALSE)</f>
        <v>0</v>
      </c>
      <c r="AX38" s="142">
        <f>VLOOKUP($B38,坦克类型系数!$B$3:$AF$33,MATCH(AX$18,坦克类型系数!$B$3:$AF$3,0),FALSE)</f>
        <v>2.2000000000000002</v>
      </c>
      <c r="AY38" s="142">
        <f>VLOOKUP($B38,坦克类型系数!$B$3:$AF$33,MATCH(AY$18,坦克类型系数!$B$3:$AF$3,0),FALSE)</f>
        <v>1.7</v>
      </c>
      <c r="AZ38" s="142">
        <f>VLOOKUP($B38,坦克类型系数!$B$3:$AF$33,MATCH(AZ$18,坦克类型系数!$B$3:$AF$3,0),FALSE)</f>
        <v>1.7</v>
      </c>
      <c r="BA38" s="142">
        <f>VLOOKUP($B38,坦克类型系数!$B$3:$AF$33,MATCH(BA$18,坦克类型系数!$B$3:$AF$3,0),FALSE)</f>
        <v>0.9</v>
      </c>
      <c r="BB38" s="142">
        <f>VLOOKUP($B38,坦克类型系数!$B$3:$AF$33,MATCH(BB$18,坦克类型系数!$B$3:$AF$3,0),FALSE)</f>
        <v>0.9</v>
      </c>
      <c r="BC38" s="142">
        <f>VLOOKUP($B38,坦克类型系数!$B$3:$AF$33,MATCH(BC$18,坦克类型系数!$B$3:$AF$3,0),FALSE)</f>
        <v>0.85</v>
      </c>
    </row>
    <row r="39" spans="2:55" x14ac:dyDescent="0.3">
      <c r="B39" s="2" t="s">
        <v>642</v>
      </c>
      <c r="C39" s="2" t="s">
        <v>1154</v>
      </c>
      <c r="D39" s="29" t="str">
        <f>坦克类型系数!C24</f>
        <v>重坦</v>
      </c>
      <c r="E39" s="21" t="s">
        <v>604</v>
      </c>
      <c r="F39" s="21" t="s">
        <v>82</v>
      </c>
      <c r="G39" s="29">
        <f>坦克类型系数!D24</f>
        <v>6.6</v>
      </c>
      <c r="H39" s="29">
        <f>坦克类型系数!E24</f>
        <v>3.26</v>
      </c>
      <c r="I39" s="29">
        <f>坦克类型系数!F24</f>
        <v>7.36</v>
      </c>
      <c r="J39" s="21">
        <v>1</v>
      </c>
      <c r="K39" s="150">
        <f>SQRT(I39/VLOOKUP(D39,坦克类型系数!$AH$3:$AK$6,4,FALSE))*J39</f>
        <v>0.98864737838029004</v>
      </c>
      <c r="L39" s="21" t="s">
        <v>1146</v>
      </c>
      <c r="M39" s="29">
        <f>VLOOKUP(D39,坦克类型系数!$AH$15:$AK$18,4,FALSE)</f>
        <v>0.62</v>
      </c>
      <c r="N39" s="21">
        <v>1.2</v>
      </c>
      <c r="O39" s="2">
        <f t="shared" si="6"/>
        <v>0.74</v>
      </c>
      <c r="P39" s="34">
        <f t="shared" si="8"/>
        <v>1.1935483870967742</v>
      </c>
      <c r="Q39" s="34">
        <f t="shared" si="3"/>
        <v>0.9756718528995757</v>
      </c>
      <c r="R39" s="150">
        <f t="shared" si="7"/>
        <v>1.1645115663640098</v>
      </c>
      <c r="S39" s="2">
        <f>VLOOKUP(F39,坦克类型系数!$AQ$3:$AX$10,MATCH("瞄准速度",坦克类型系数!$AQ$3:$AX$3,0),FALSE)</f>
        <v>1.2</v>
      </c>
      <c r="T39" s="21">
        <v>3</v>
      </c>
      <c r="U39" s="2">
        <f>(VLOOKUP(F39,坦克类型系数!$AM$3:$AO$10,MATCH("射击间隔max",坦克类型系数!$AM$3:$AO$3,0),FALSE)-VLOOKUP(F39,坦克类型系数!$AM$3:$AO$10,MATCH("射击间隔min",坦克类型系数!$AM$3:$AO$3,0),FALSE))*T39+VLOOKUP(F39,坦克类型系数!$AM$3:$AO$10,MATCH("射击间隔min",坦克类型系数!$AM$3:$AO$3,0),FALSE)</f>
        <v>2.8</v>
      </c>
      <c r="V39" s="150">
        <f>(U39-VLOOKUP(F39,标准坦克设计!$B$13:$K$20,MATCH("射击间隔",标准坦克设计!$B$13:$K$13,0),FALSE))/0.1*VLOOKUP($B$15,$B$3:$J$15,MATCH(F39,$B$3:$J$3,0),FALSE)+1</f>
        <v>1.5555555555555558</v>
      </c>
      <c r="W39" s="2">
        <f>VLOOKUP(D39,坦克类型系数!$BI$3:$BK$6,2,FALSE)</f>
        <v>0.5</v>
      </c>
      <c r="X39" s="34">
        <f>VLOOKUP(D39,坦克类型系数!$BI$3:$BK$6,3,FALSE)</f>
        <v>1.3421103201592517</v>
      </c>
      <c r="Y39" s="21">
        <v>2</v>
      </c>
      <c r="Z39" s="21">
        <v>1</v>
      </c>
      <c r="AA39" s="34">
        <f>VLOOKUP(D39,坦克类型系数!$CQ$9:$CY$12,2,FALSE)*$M$4*Z39</f>
        <v>9.587493771855776</v>
      </c>
      <c r="AB39" s="34">
        <f>VLOOKUP(D39,坦克类型系数!$CQ$9:$CY$12,6,FALSE)*$M$4*Z39</f>
        <v>38.349975087423104</v>
      </c>
      <c r="AC39" s="34">
        <f>VLOOKUP(D39,坦克类型系数!$CQ$3:$CY$6,9,FALSE)</f>
        <v>47.93746885927888</v>
      </c>
      <c r="AD39" s="2">
        <f>VLOOKUP(F39,坦克类型系数!$BM$3:$BV$10,6,FALSE)</f>
        <v>1.8599999999999999</v>
      </c>
      <c r="AE39" s="41">
        <f t="shared" si="4"/>
        <v>1</v>
      </c>
      <c r="AF39" s="34">
        <f>VLOOKUP(D39,坦克类型系数!$DE$3:$DH$6,3,FALSE)*AE39</f>
        <v>28</v>
      </c>
      <c r="AG39" s="21">
        <v>1</v>
      </c>
      <c r="AH39" s="150">
        <f t="shared" si="5"/>
        <v>1</v>
      </c>
      <c r="AI39" s="2">
        <f>VLOOKUP(D39,坦克类型系数!$BZ$21:$CF$24,2,FALSE)*AG39</f>
        <v>7</v>
      </c>
      <c r="AJ39" s="34">
        <f>VLOOKUP(D39,坦克类型系数!$BZ$21:$CF$24,5,FALSE)*AG39</f>
        <v>7</v>
      </c>
      <c r="AK39" s="34">
        <f>VLOOKUP(D39,坦克类型系数!$BZ$21:$CF$24,4,FALSE)</f>
        <v>3.8888888888888888</v>
      </c>
      <c r="AL39" s="34">
        <f>VLOOKUP(D39,坦克类型系数!$BZ$21:$CF$24,7,FALSE)</f>
        <v>2</v>
      </c>
      <c r="AM39" s="34">
        <f>VLOOKUP(D39,坦克类型系数!$CH$21:$CN$24,4,FALSE)</f>
        <v>10.769230769230768</v>
      </c>
      <c r="AN39" s="34">
        <f>VLOOKUP(D39,坦克类型系数!$CH$21:$CN$24,7,FALSE)</f>
        <v>17.5</v>
      </c>
      <c r="AO39" s="2">
        <f>VLOOKUP(F39,坦克类型系数!$BM$13:$BV$20,6,FALSE)</f>
        <v>0.62</v>
      </c>
      <c r="AP39" s="142">
        <f>基础属性系数!$C$56</f>
        <v>0.2</v>
      </c>
      <c r="AQ39" s="142">
        <f>基础属性系数!$C$55</f>
        <v>0.3</v>
      </c>
      <c r="AR39" s="2">
        <f>VLOOKUP(D39,坦克类型系数!$DE$9:$DH$12,2,FALSE)</f>
        <v>0.8</v>
      </c>
      <c r="AS39" s="2">
        <f>VLOOKUP(D39,坦克类型系数!$DE$9:$DH$12,3,FALSE)</f>
        <v>0.8</v>
      </c>
      <c r="AT39" s="2">
        <f>VLOOKUP(D39,坦克类型系数!$DE$9:$DH$12,4,FALSE)</f>
        <v>0.8</v>
      </c>
      <c r="AU39" s="2">
        <f>VLOOKUP(D39,坦克类型系数!$AH$9:$AK$12,3,FALSE)</f>
        <v>5</v>
      </c>
      <c r="AV39" s="2">
        <f>VLOOKUP(D39,坦克类型系数!$AH$9:$AK$12,4,FALSE)</f>
        <v>10</v>
      </c>
      <c r="AW39" s="142">
        <f>VLOOKUP($B39,坦克类型系数!$B$3:$AF$33,MATCH(AW$18,坦克类型系数!$B$3:$AF$3,0),FALSE)</f>
        <v>0</v>
      </c>
      <c r="AX39" s="142">
        <f>VLOOKUP($B39,坦克类型系数!$B$3:$AF$33,MATCH(AX$18,坦克类型系数!$B$3:$AF$3,0),FALSE)</f>
        <v>2.5499999999999998</v>
      </c>
      <c r="AY39" s="142">
        <f>VLOOKUP($B39,坦克类型系数!$B$3:$AF$33,MATCH(AY$18,坦克类型系数!$B$3:$AF$3,0),FALSE)</f>
        <v>2.0499999999999998</v>
      </c>
      <c r="AZ39" s="142">
        <f>VLOOKUP($B39,坦克类型系数!$B$3:$AF$33,MATCH(AZ$18,坦克类型系数!$B$3:$AF$3,0),FALSE)</f>
        <v>2.0499999999999998</v>
      </c>
      <c r="BA39" s="142">
        <f>VLOOKUP($B39,坦克类型系数!$B$3:$AF$33,MATCH(BA$18,坦克类型系数!$B$3:$AF$3,0),FALSE)</f>
        <v>0.9</v>
      </c>
      <c r="BB39" s="142">
        <f>VLOOKUP($B39,坦克类型系数!$B$3:$AF$33,MATCH(BB$18,坦克类型系数!$B$3:$AF$3,0),FALSE)</f>
        <v>0.9</v>
      </c>
      <c r="BC39" s="142">
        <f>VLOOKUP($B39,坦克类型系数!$B$3:$AF$33,MATCH(BC$18,坦克类型系数!$B$3:$AF$3,0),FALSE)</f>
        <v>0.85</v>
      </c>
    </row>
    <row r="40" spans="2:55" x14ac:dyDescent="0.3">
      <c r="B40" s="2" t="s">
        <v>644</v>
      </c>
      <c r="C40" s="2" t="s">
        <v>1155</v>
      </c>
      <c r="D40" s="29" t="str">
        <f>坦克类型系数!C25</f>
        <v>重坦</v>
      </c>
      <c r="E40" s="21" t="s">
        <v>606</v>
      </c>
      <c r="F40" s="21" t="s">
        <v>82</v>
      </c>
      <c r="G40" s="29">
        <f>坦克类型系数!D25</f>
        <v>6.44</v>
      </c>
      <c r="H40" s="29">
        <f>坦克类型系数!E25</f>
        <v>2.5099999999999998</v>
      </c>
      <c r="I40" s="29">
        <f>坦克类型系数!F25</f>
        <v>6.91</v>
      </c>
      <c r="J40" s="21">
        <v>1</v>
      </c>
      <c r="K40" s="150">
        <f>SQRT(I40/VLOOKUP(D40,坦克类型系数!$AH$3:$AK$6,4,FALSE))*J40</f>
        <v>0.95794711889692619</v>
      </c>
      <c r="L40" s="21" t="s">
        <v>1146</v>
      </c>
      <c r="M40" s="29">
        <f>VLOOKUP(D40,坦克类型系数!$AH$15:$AK$18,4,FALSE)</f>
        <v>0.62</v>
      </c>
      <c r="N40" s="21">
        <v>1.1499999999999999</v>
      </c>
      <c r="O40" s="2">
        <f t="shared" si="6"/>
        <v>0.71</v>
      </c>
      <c r="P40" s="34">
        <f t="shared" si="8"/>
        <v>1.1451612903225805</v>
      </c>
      <c r="Q40" s="34">
        <f t="shared" si="3"/>
        <v>0.97918694639697534</v>
      </c>
      <c r="R40" s="150">
        <f t="shared" si="7"/>
        <v>1.1213269870029878</v>
      </c>
      <c r="S40" s="2">
        <f>VLOOKUP(F40,坦克类型系数!$AQ$3:$AX$10,MATCH("瞄准速度",坦克类型系数!$AQ$3:$AX$3,0),FALSE)</f>
        <v>1.2</v>
      </c>
      <c r="T40" s="21">
        <v>0.7</v>
      </c>
      <c r="U40" s="2">
        <f>(VLOOKUP(F40,坦克类型系数!$AM$3:$AO$10,MATCH("射击间隔max",坦克类型系数!$AM$3:$AO$3,0),FALSE)-VLOOKUP(F40,坦克类型系数!$AM$3:$AO$10,MATCH("射击间隔min",坦克类型系数!$AM$3:$AO$3,0),FALSE))*T40+VLOOKUP(F40,坦克类型系数!$AM$3:$AO$10,MATCH("射击间隔min",坦克类型系数!$AM$3:$AO$3,0),FALSE)</f>
        <v>1.88</v>
      </c>
      <c r="V40" s="150">
        <f>(U40-VLOOKUP(F40,标准坦克设计!$B$13:$K$20,MATCH("射击间隔",标准坦克设计!$B$13:$K$13,0),FALSE))/0.1*VLOOKUP($B$15,$B$3:$J$15,MATCH(F40,$B$3:$J$3,0),FALSE)+1</f>
        <v>1.0444444444444443</v>
      </c>
      <c r="W40" s="2">
        <f>VLOOKUP(D40,坦克类型系数!$BI$3:$BK$6,2,FALSE)</f>
        <v>0.5</v>
      </c>
      <c r="X40" s="34">
        <f>VLOOKUP(D40,坦克类型系数!$BI$3:$BK$6,3,FALSE)</f>
        <v>1.3421103201592517</v>
      </c>
      <c r="Y40" s="21">
        <v>2</v>
      </c>
      <c r="Z40" s="21">
        <v>1</v>
      </c>
      <c r="AA40" s="34">
        <f>VLOOKUP(D40,坦克类型系数!$CQ$9:$CY$12,2,FALSE)*$M$4*Z40</f>
        <v>9.587493771855776</v>
      </c>
      <c r="AB40" s="34">
        <f>VLOOKUP(D40,坦克类型系数!$CQ$9:$CY$12,6,FALSE)*$M$4*Z40</f>
        <v>38.349975087423104</v>
      </c>
      <c r="AC40" s="34">
        <f>VLOOKUP(D40,坦克类型系数!$CQ$3:$CY$6,9,FALSE)</f>
        <v>47.93746885927888</v>
      </c>
      <c r="AD40" s="2">
        <f>VLOOKUP(F40,坦克类型系数!$BM$3:$BV$10,6,FALSE)</f>
        <v>1.8599999999999999</v>
      </c>
      <c r="AE40" s="41">
        <f t="shared" si="4"/>
        <v>1</v>
      </c>
      <c r="AF40" s="34">
        <f>VLOOKUP(D40,坦克类型系数!$DE$3:$DH$6,3,FALSE)*AE40</f>
        <v>28</v>
      </c>
      <c r="AG40" s="21">
        <v>1</v>
      </c>
      <c r="AH40" s="150">
        <f t="shared" si="5"/>
        <v>1</v>
      </c>
      <c r="AI40" s="2">
        <f>VLOOKUP(D40,坦克类型系数!$BZ$21:$CF$24,2,FALSE)*AG40</f>
        <v>7</v>
      </c>
      <c r="AJ40" s="34">
        <f>VLOOKUP(D40,坦克类型系数!$BZ$21:$CF$24,5,FALSE)*AG40</f>
        <v>7</v>
      </c>
      <c r="AK40" s="34">
        <f>VLOOKUP(D40,坦克类型系数!$BZ$21:$CF$24,4,FALSE)</f>
        <v>3.8888888888888888</v>
      </c>
      <c r="AL40" s="34">
        <f>VLOOKUP(D40,坦克类型系数!$BZ$21:$CF$24,7,FALSE)</f>
        <v>2</v>
      </c>
      <c r="AM40" s="34">
        <f>VLOOKUP(D40,坦克类型系数!$CH$21:$CN$24,4,FALSE)</f>
        <v>10.769230769230768</v>
      </c>
      <c r="AN40" s="34">
        <f>VLOOKUP(D40,坦克类型系数!$CH$21:$CN$24,7,FALSE)</f>
        <v>17.5</v>
      </c>
      <c r="AO40" s="2">
        <f>VLOOKUP(F40,坦克类型系数!$BM$13:$BV$20,6,FALSE)</f>
        <v>0.62</v>
      </c>
      <c r="AP40" s="142">
        <f>基础属性系数!$C$56</f>
        <v>0.2</v>
      </c>
      <c r="AQ40" s="142">
        <f>基础属性系数!$C$55</f>
        <v>0.3</v>
      </c>
      <c r="AR40" s="2">
        <f>VLOOKUP(D40,坦克类型系数!$DE$9:$DH$12,2,FALSE)</f>
        <v>0.8</v>
      </c>
      <c r="AS40" s="2">
        <f>VLOOKUP(D40,坦克类型系数!$DE$9:$DH$12,3,FALSE)</f>
        <v>0.8</v>
      </c>
      <c r="AT40" s="2">
        <f>VLOOKUP(D40,坦克类型系数!$DE$9:$DH$12,4,FALSE)</f>
        <v>0.8</v>
      </c>
      <c r="AU40" s="2">
        <f>VLOOKUP(D40,坦克类型系数!$AH$9:$AK$12,3,FALSE)</f>
        <v>5</v>
      </c>
      <c r="AV40" s="2">
        <f>VLOOKUP(D40,坦克类型系数!$AH$9:$AK$12,4,FALSE)</f>
        <v>10</v>
      </c>
      <c r="AW40" s="142">
        <f>VLOOKUP($B40,坦克类型系数!$B$3:$AF$33,MATCH(AW$18,坦克类型系数!$B$3:$AF$3,0),FALSE)</f>
        <v>0</v>
      </c>
      <c r="AX40" s="142">
        <f>VLOOKUP($B40,坦克类型系数!$B$3:$AF$33,MATCH(AX$18,坦克类型系数!$B$3:$AF$3,0),FALSE)</f>
        <v>2.5499999999999998</v>
      </c>
      <c r="AY40" s="142">
        <f>VLOOKUP($B40,坦克类型系数!$B$3:$AF$33,MATCH(AY$18,坦克类型系数!$B$3:$AF$3,0),FALSE)</f>
        <v>2.35</v>
      </c>
      <c r="AZ40" s="142">
        <f>VLOOKUP($B40,坦克类型系数!$B$3:$AF$33,MATCH(AZ$18,坦克类型系数!$B$3:$AF$3,0),FALSE)</f>
        <v>2.35</v>
      </c>
      <c r="BA40" s="142">
        <f>VLOOKUP($B40,坦克类型系数!$B$3:$AF$33,MATCH(BA$18,坦克类型系数!$B$3:$AF$3,0),FALSE)</f>
        <v>0.9</v>
      </c>
      <c r="BB40" s="142">
        <f>VLOOKUP($B40,坦克类型系数!$B$3:$AF$33,MATCH(BB$18,坦克类型系数!$B$3:$AF$3,0),FALSE)</f>
        <v>0.9</v>
      </c>
      <c r="BC40" s="142">
        <f>VLOOKUP($B40,坦克类型系数!$B$3:$AF$33,MATCH(BC$18,坦克类型系数!$B$3:$AF$3,0),FALSE)</f>
        <v>0.85</v>
      </c>
    </row>
    <row r="41" spans="2:55" x14ac:dyDescent="0.3">
      <c r="B41" s="2" t="s">
        <v>646</v>
      </c>
      <c r="C41" s="2" t="s">
        <v>1156</v>
      </c>
      <c r="D41" s="29" t="str">
        <f>坦克类型系数!C26</f>
        <v>重坦</v>
      </c>
      <c r="E41" s="21" t="s">
        <v>606</v>
      </c>
      <c r="F41" s="21" t="s">
        <v>83</v>
      </c>
      <c r="G41" s="29">
        <f>坦克类型系数!D26</f>
        <v>7.18</v>
      </c>
      <c r="H41" s="29">
        <f>坦克类型系数!E26</f>
        <v>3.28</v>
      </c>
      <c r="I41" s="29">
        <f>坦克类型系数!F26</f>
        <v>7.89</v>
      </c>
      <c r="J41" s="21">
        <v>0.95</v>
      </c>
      <c r="K41" s="150">
        <f>SQRT(I41/VLOOKUP(D41,坦克类型系数!$AH$3:$AK$6,4,FALSE))*J41</f>
        <v>0.97244403970540416</v>
      </c>
      <c r="L41" s="21" t="s">
        <v>1146</v>
      </c>
      <c r="M41" s="29">
        <f>VLOOKUP(D41,坦克类型系数!$AH$15:$AK$18,4,FALSE)</f>
        <v>0.62</v>
      </c>
      <c r="N41" s="21">
        <v>1.1000000000000001</v>
      </c>
      <c r="O41" s="2">
        <f t="shared" si="6"/>
        <v>0.68</v>
      </c>
      <c r="P41" s="34">
        <f t="shared" si="8"/>
        <v>1.0967741935483872</v>
      </c>
      <c r="Q41" s="34">
        <f t="shared" si="3"/>
        <v>1</v>
      </c>
      <c r="R41" s="150">
        <f t="shared" si="7"/>
        <v>1.0967741935483872</v>
      </c>
      <c r="S41" s="2">
        <f>VLOOKUP(F41,坦克类型系数!$AQ$3:$AX$10,MATCH("瞄准速度",坦克类型系数!$AQ$3:$AX$3,0),FALSE)</f>
        <v>1</v>
      </c>
      <c r="T41" s="21">
        <v>1</v>
      </c>
      <c r="U41" s="2">
        <f>(VLOOKUP(F41,坦克类型系数!$AM$3:$AO$10,MATCH("射击间隔max",坦克类型系数!$AM$3:$AO$3,0),FALSE)-VLOOKUP(F41,坦克类型系数!$AM$3:$AO$10,MATCH("射击间隔min",坦克类型系数!$AM$3:$AO$3,0),FALSE))*T41+VLOOKUP(F41,坦克类型系数!$AM$3:$AO$10,MATCH("射击间隔min",坦克类型系数!$AM$3:$AO$3,0),FALSE)</f>
        <v>0</v>
      </c>
      <c r="V41" s="150" t="e">
        <f>(U41-VLOOKUP(F41,标准坦克设计!$B$13:$K$20,MATCH("射击间隔",标准坦克设计!$B$13:$K$13,0),FALSE))/0.1*VLOOKUP($B$15,$B$3:$J$15,MATCH(F41,$B$3:$J$3,0),FALSE)+1</f>
        <v>#DIV/0!</v>
      </c>
      <c r="W41" s="2">
        <f>VLOOKUP(D41,坦克类型系数!$BI$3:$BK$6,2,FALSE)</f>
        <v>0.5</v>
      </c>
      <c r="X41" s="34">
        <f>VLOOKUP(D41,坦克类型系数!$BI$3:$BK$6,3,FALSE)</f>
        <v>1.3421103201592517</v>
      </c>
      <c r="Y41" s="21">
        <v>5</v>
      </c>
      <c r="Z41" s="21">
        <v>0.8</v>
      </c>
      <c r="AA41" s="34">
        <f>VLOOKUP(D41,坦克类型系数!$CQ$9:$CY$12,2,FALSE)*$M$4*Z41</f>
        <v>7.669995017484621</v>
      </c>
      <c r="AB41" s="34">
        <f>VLOOKUP(D41,坦克类型系数!$CQ$9:$CY$12,6,FALSE)*$M$4*Z41</f>
        <v>30.679980069938484</v>
      </c>
      <c r="AC41" s="34">
        <f>VLOOKUP(D41,坦克类型系数!$CQ$3:$CY$6,9,FALSE)</f>
        <v>47.93746885927888</v>
      </c>
      <c r="AD41" s="2">
        <f>VLOOKUP(F41,坦克类型系数!$BM$3:$BV$10,6,FALSE)</f>
        <v>3.1</v>
      </c>
      <c r="AE41" s="41">
        <v>1.1000000000000001</v>
      </c>
      <c r="AF41" s="34">
        <f>VLOOKUP(D41,坦克类型系数!$DE$3:$DH$6,3,FALSE)*AE41</f>
        <v>30.800000000000004</v>
      </c>
      <c r="AG41" s="21">
        <v>0.9</v>
      </c>
      <c r="AH41" s="150">
        <f t="shared" si="5"/>
        <v>1</v>
      </c>
      <c r="AI41" s="2">
        <f>VLOOKUP(D41,坦克类型系数!$BZ$21:$CF$24,2,FALSE)*AG41</f>
        <v>6.3</v>
      </c>
      <c r="AJ41" s="34">
        <f>VLOOKUP(D41,坦克类型系数!$BZ$21:$CF$24,5,FALSE)*AG41</f>
        <v>6.3</v>
      </c>
      <c r="AK41" s="34">
        <f>VLOOKUP(D41,坦克类型系数!$BZ$21:$CF$24,4,FALSE)</f>
        <v>3.8888888888888888</v>
      </c>
      <c r="AL41" s="34">
        <f>VLOOKUP(D41,坦克类型系数!$BZ$21:$CF$24,7,FALSE)</f>
        <v>2</v>
      </c>
      <c r="AM41" s="34">
        <f>VLOOKUP(D41,坦克类型系数!$CH$21:$CN$24,4,FALSE)</f>
        <v>10.769230769230768</v>
      </c>
      <c r="AN41" s="34">
        <f>VLOOKUP(D41,坦克类型系数!$CH$21:$CN$24,7,FALSE)</f>
        <v>17.5</v>
      </c>
      <c r="AO41" s="2">
        <f>VLOOKUP(F41,坦克类型系数!$BM$13:$BV$20,6,FALSE)</f>
        <v>1.24</v>
      </c>
      <c r="AP41" s="142">
        <f>基础属性系数!$C$56</f>
        <v>0.2</v>
      </c>
      <c r="AQ41" s="142">
        <f>基础属性系数!$C$55</f>
        <v>0.3</v>
      </c>
      <c r="AR41" s="2">
        <f>VLOOKUP(D41,坦克类型系数!$DE$9:$DH$12,2,FALSE)</f>
        <v>0.8</v>
      </c>
      <c r="AS41" s="2">
        <f>VLOOKUP(D41,坦克类型系数!$DE$9:$DH$12,3,FALSE)</f>
        <v>0.8</v>
      </c>
      <c r="AT41" s="2">
        <f>VLOOKUP(D41,坦克类型系数!$DE$9:$DH$12,4,FALSE)</f>
        <v>0.8</v>
      </c>
      <c r="AU41" s="2">
        <f>VLOOKUP(D41,坦克类型系数!$AH$9:$AK$12,3,FALSE)</f>
        <v>5</v>
      </c>
      <c r="AV41" s="2">
        <f>VLOOKUP(D41,坦克类型系数!$AH$9:$AK$12,4,FALSE)</f>
        <v>10</v>
      </c>
      <c r="AW41" s="142">
        <f>VLOOKUP($B41,坦克类型系数!$B$3:$AF$33,MATCH(AW$18,坦克类型系数!$B$3:$AF$3,0),FALSE)</f>
        <v>0</v>
      </c>
      <c r="AX41" s="142">
        <f>VLOOKUP($B41,坦克类型系数!$B$3:$AF$33,MATCH(AX$18,坦克类型系数!$B$3:$AF$3,0),FALSE)</f>
        <v>2.5</v>
      </c>
      <c r="AY41" s="142">
        <f>VLOOKUP($B41,坦克类型系数!$B$3:$AF$33,MATCH(AY$18,坦克类型系数!$B$3:$AF$3,0),FALSE)</f>
        <v>2.15</v>
      </c>
      <c r="AZ41" s="142">
        <f>VLOOKUP($B41,坦克类型系数!$B$3:$AF$33,MATCH(AZ$18,坦克类型系数!$B$3:$AF$3,0),FALSE)</f>
        <v>2.15</v>
      </c>
      <c r="BA41" s="142">
        <f>VLOOKUP($B41,坦克类型系数!$B$3:$AF$33,MATCH(BA$18,坦克类型系数!$B$3:$AF$3,0),FALSE)</f>
        <v>0.9</v>
      </c>
      <c r="BB41" s="142">
        <f>VLOOKUP($B41,坦克类型系数!$B$3:$AF$33,MATCH(BB$18,坦克类型系数!$B$3:$AF$3,0),FALSE)</f>
        <v>0.9</v>
      </c>
      <c r="BC41" s="142">
        <f>VLOOKUP($B41,坦克类型系数!$B$3:$AF$33,MATCH(BC$18,坦克类型系数!$B$3:$AF$3,0),FALSE)</f>
        <v>0.85</v>
      </c>
    </row>
    <row r="42" spans="2:55" x14ac:dyDescent="0.3">
      <c r="B42" s="2" t="s">
        <v>529</v>
      </c>
      <c r="C42" s="2" t="s">
        <v>1157</v>
      </c>
      <c r="D42" s="29" t="str">
        <f>坦克类型系数!C27</f>
        <v>重坦</v>
      </c>
      <c r="E42" s="21" t="s">
        <v>610</v>
      </c>
      <c r="F42" s="21" t="s">
        <v>83</v>
      </c>
      <c r="G42" s="29">
        <f>坦克类型系数!D27</f>
        <v>6.86</v>
      </c>
      <c r="H42" s="29">
        <f>坦克类型系数!E27</f>
        <v>3.3</v>
      </c>
      <c r="I42" s="29">
        <f>坦克类型系数!F27</f>
        <v>7.61</v>
      </c>
      <c r="J42" s="21">
        <v>1</v>
      </c>
      <c r="K42" s="150">
        <f>SQRT(I42/VLOOKUP(D42,坦克类型系数!$AH$3:$AK$6,4,FALSE))*J42</f>
        <v>1.0052980503247382</v>
      </c>
      <c r="L42" s="21" t="s">
        <v>1146</v>
      </c>
      <c r="M42" s="29">
        <f>VLOOKUP(D42,坦克类型系数!$AH$15:$AK$18,4,FALSE)</f>
        <v>0.62</v>
      </c>
      <c r="N42" s="21">
        <v>1</v>
      </c>
      <c r="O42" s="2">
        <f t="shared" si="6"/>
        <v>0.62</v>
      </c>
      <c r="P42" s="34">
        <f t="shared" si="8"/>
        <v>1</v>
      </c>
      <c r="Q42" s="34">
        <f t="shared" si="3"/>
        <v>1</v>
      </c>
      <c r="R42" s="150">
        <f t="shared" si="7"/>
        <v>1</v>
      </c>
      <c r="S42" s="2">
        <f>VLOOKUP(F42,坦克类型系数!$AQ$3:$AX$10,MATCH("瞄准速度",坦克类型系数!$AQ$3:$AX$3,0),FALSE)</f>
        <v>1</v>
      </c>
      <c r="T42" s="21">
        <v>1</v>
      </c>
      <c r="U42" s="2">
        <f>(VLOOKUP(F42,坦克类型系数!$AM$3:$AO$10,MATCH("射击间隔max",坦克类型系数!$AM$3:$AO$3,0),FALSE)-VLOOKUP(F42,坦克类型系数!$AM$3:$AO$10,MATCH("射击间隔min",坦克类型系数!$AM$3:$AO$3,0),FALSE))*T42+VLOOKUP(F42,坦克类型系数!$AM$3:$AO$10,MATCH("射击间隔min",坦克类型系数!$AM$3:$AO$3,0),FALSE)</f>
        <v>0</v>
      </c>
      <c r="V42" s="150" t="e">
        <f>(U42-VLOOKUP(F42,标准坦克设计!$B$13:$K$20,MATCH("射击间隔",标准坦克设计!$B$13:$K$13,0),FALSE))/0.1*VLOOKUP($B$15,$B$3:$J$15,MATCH(F42,$B$3:$J$3,0),FALSE)+1</f>
        <v>#DIV/0!</v>
      </c>
      <c r="W42" s="2">
        <f>VLOOKUP(D42,坦克类型系数!$BI$3:$BK$6,2,FALSE)</f>
        <v>0.5</v>
      </c>
      <c r="X42" s="34">
        <f>VLOOKUP(D42,坦克类型系数!$BI$3:$BK$6,3,FALSE)</f>
        <v>1.3421103201592517</v>
      </c>
      <c r="Y42" s="21">
        <v>5</v>
      </c>
      <c r="Z42" s="21">
        <v>0.8</v>
      </c>
      <c r="AA42" s="34">
        <f>VLOOKUP(D42,坦克类型系数!$CQ$9:$CY$12,2,FALSE)*$M$4*Z42</f>
        <v>7.669995017484621</v>
      </c>
      <c r="AB42" s="34">
        <f>VLOOKUP(D42,坦克类型系数!$CQ$9:$CY$12,6,FALSE)*$M$4*Z42</f>
        <v>30.679980069938484</v>
      </c>
      <c r="AC42" s="34">
        <f>VLOOKUP(D42,坦克类型系数!$CQ$3:$CY$6,9,FALSE)</f>
        <v>47.93746885927888</v>
      </c>
      <c r="AD42" s="2">
        <f>VLOOKUP(F42,坦克类型系数!$BM$3:$BV$10,6,FALSE)</f>
        <v>3.1</v>
      </c>
      <c r="AE42" s="41">
        <v>1.2</v>
      </c>
      <c r="AF42" s="34">
        <f>VLOOKUP(D42,坦克类型系数!$DE$3:$DH$6,3,FALSE)*AE42</f>
        <v>33.6</v>
      </c>
      <c r="AG42" s="21">
        <v>0.9</v>
      </c>
      <c r="AH42" s="150">
        <f t="shared" si="5"/>
        <v>1</v>
      </c>
      <c r="AI42" s="2">
        <f>VLOOKUP(D42,坦克类型系数!$BZ$21:$CF$24,2,FALSE)*AG42</f>
        <v>6.3</v>
      </c>
      <c r="AJ42" s="34">
        <f>VLOOKUP(D42,坦克类型系数!$BZ$21:$CF$24,5,FALSE)*AG42</f>
        <v>6.3</v>
      </c>
      <c r="AK42" s="34">
        <f>VLOOKUP(D42,坦克类型系数!$BZ$21:$CF$24,4,FALSE)</f>
        <v>3.8888888888888888</v>
      </c>
      <c r="AL42" s="34">
        <f>VLOOKUP(D42,坦克类型系数!$BZ$21:$CF$24,7,FALSE)</f>
        <v>2</v>
      </c>
      <c r="AM42" s="34">
        <f>VLOOKUP(D42,坦克类型系数!$CH$21:$CN$24,4,FALSE)</f>
        <v>10.769230769230768</v>
      </c>
      <c r="AN42" s="34">
        <f>VLOOKUP(D42,坦克类型系数!$CH$21:$CN$24,7,FALSE)</f>
        <v>17.5</v>
      </c>
      <c r="AO42" s="2">
        <f>VLOOKUP(F42,坦克类型系数!$BM$13:$BV$20,6,FALSE)</f>
        <v>1.24</v>
      </c>
      <c r="AP42" s="142">
        <f>基础属性系数!$C$56</f>
        <v>0.2</v>
      </c>
      <c r="AQ42" s="142">
        <f>基础属性系数!$C$55</f>
        <v>0.3</v>
      </c>
      <c r="AR42" s="2">
        <f>VLOOKUP(D42,坦克类型系数!$DE$9:$DH$12,2,FALSE)</f>
        <v>0.8</v>
      </c>
      <c r="AS42" s="2">
        <f>VLOOKUP(D42,坦克类型系数!$DE$9:$DH$12,3,FALSE)</f>
        <v>0.8</v>
      </c>
      <c r="AT42" s="2">
        <f>VLOOKUP(D42,坦克类型系数!$DE$9:$DH$12,4,FALSE)</f>
        <v>0.8</v>
      </c>
      <c r="AU42" s="2">
        <f>VLOOKUP(D42,坦克类型系数!$AH$9:$AK$12,3,FALSE)</f>
        <v>5</v>
      </c>
      <c r="AV42" s="2">
        <f>VLOOKUP(D42,坦克类型系数!$AH$9:$AK$12,4,FALSE)</f>
        <v>10</v>
      </c>
      <c r="AW42" s="142">
        <f>VLOOKUP($B42,坦克类型系数!$B$3:$AF$33,MATCH(AW$18,坦克类型系数!$B$3:$AF$3,0),FALSE)</f>
        <v>0</v>
      </c>
      <c r="AX42" s="142">
        <f>VLOOKUP($B42,坦克类型系数!$B$3:$AF$33,MATCH(AX$18,坦克类型系数!$B$3:$AF$3,0),FALSE)</f>
        <v>2.65</v>
      </c>
      <c r="AY42" s="142">
        <f>VLOOKUP($B42,坦克类型系数!$B$3:$AF$33,MATCH(AY$18,坦克类型系数!$B$3:$AF$3,0),FALSE)</f>
        <v>2.1</v>
      </c>
      <c r="AZ42" s="142">
        <f>VLOOKUP($B42,坦克类型系数!$B$3:$AF$33,MATCH(AZ$18,坦克类型系数!$B$3:$AF$3,0),FALSE)</f>
        <v>2.1</v>
      </c>
      <c r="BA42" s="142">
        <f>VLOOKUP($B42,坦克类型系数!$B$3:$AF$33,MATCH(BA$18,坦克类型系数!$B$3:$AF$3,0),FALSE)</f>
        <v>0.9</v>
      </c>
      <c r="BB42" s="142">
        <f>VLOOKUP($B42,坦克类型系数!$B$3:$AF$33,MATCH(BB$18,坦克类型系数!$B$3:$AF$3,0),FALSE)</f>
        <v>0.9</v>
      </c>
      <c r="BC42" s="142">
        <f>VLOOKUP($B42,坦克类型系数!$B$3:$AF$33,MATCH(BC$18,坦克类型系数!$B$3:$AF$3,0),FALSE)</f>
        <v>0.85</v>
      </c>
    </row>
    <row r="43" spans="2:55" x14ac:dyDescent="0.3">
      <c r="B43" s="2" t="s">
        <v>649</v>
      </c>
      <c r="C43" s="2" t="s">
        <v>1158</v>
      </c>
      <c r="D43" s="29" t="str">
        <f>坦克类型系数!C28</f>
        <v>重坦</v>
      </c>
      <c r="E43" s="21" t="s">
        <v>610</v>
      </c>
      <c r="F43" s="21" t="s">
        <v>83</v>
      </c>
      <c r="G43" s="29">
        <f>坦克类型系数!D28</f>
        <v>6.1</v>
      </c>
      <c r="H43" s="29">
        <f>坦克类型系数!E28</f>
        <v>3.48</v>
      </c>
      <c r="I43" s="29">
        <f>坦克类型系数!F28</f>
        <v>7.02</v>
      </c>
      <c r="J43" s="21">
        <v>1</v>
      </c>
      <c r="K43" s="150">
        <f>SQRT(I43/VLOOKUP(D43,坦克类型系数!$AH$3:$AK$6,4,FALSE))*J43</f>
        <v>0.96554177347987447</v>
      </c>
      <c r="L43" s="21" t="s">
        <v>1146</v>
      </c>
      <c r="M43" s="29">
        <f>VLOOKUP(D43,坦克类型系数!$AH$15:$AK$18,4,FALSE)</f>
        <v>0.62</v>
      </c>
      <c r="N43" s="21">
        <v>1.1000000000000001</v>
      </c>
      <c r="O43" s="2">
        <f t="shared" si="6"/>
        <v>0.68</v>
      </c>
      <c r="P43" s="34">
        <f t="shared" si="8"/>
        <v>1.0967741935483872</v>
      </c>
      <c r="Q43" s="34">
        <f t="shared" si="3"/>
        <v>1</v>
      </c>
      <c r="R43" s="150">
        <f t="shared" si="7"/>
        <v>1.0967741935483872</v>
      </c>
      <c r="S43" s="2">
        <f>VLOOKUP(F43,坦克类型系数!$AQ$3:$AX$10,MATCH("瞄准速度",坦克类型系数!$AQ$3:$AX$3,0),FALSE)</f>
        <v>1</v>
      </c>
      <c r="T43" s="21">
        <v>1</v>
      </c>
      <c r="U43" s="2">
        <f>(VLOOKUP(F43,坦克类型系数!$AM$3:$AO$10,MATCH("射击间隔max",坦克类型系数!$AM$3:$AO$3,0),FALSE)-VLOOKUP(F43,坦克类型系数!$AM$3:$AO$10,MATCH("射击间隔min",坦克类型系数!$AM$3:$AO$3,0),FALSE))*T43+VLOOKUP(F43,坦克类型系数!$AM$3:$AO$10,MATCH("射击间隔min",坦克类型系数!$AM$3:$AO$3,0),FALSE)</f>
        <v>0</v>
      </c>
      <c r="V43" s="150" t="e">
        <f>(U43-VLOOKUP(F43,标准坦克设计!$B$13:$K$20,MATCH("射击间隔",标准坦克设计!$B$13:$K$13,0),FALSE))/0.1*VLOOKUP($B$15,$B$3:$J$15,MATCH(F43,$B$3:$J$3,0),FALSE)+1</f>
        <v>#DIV/0!</v>
      </c>
      <c r="W43" s="2">
        <f>VLOOKUP(D43,坦克类型系数!$BI$3:$BK$6,2,FALSE)</f>
        <v>0.5</v>
      </c>
      <c r="X43" s="34">
        <f>VLOOKUP(D43,坦克类型系数!$BI$3:$BK$6,3,FALSE)</f>
        <v>1.3421103201592517</v>
      </c>
      <c r="Y43" s="21">
        <v>5</v>
      </c>
      <c r="Z43" s="21">
        <v>0.8</v>
      </c>
      <c r="AA43" s="34">
        <f>VLOOKUP(D43,坦克类型系数!$CQ$9:$CY$12,2,FALSE)*$M$4*Z43</f>
        <v>7.669995017484621</v>
      </c>
      <c r="AB43" s="34">
        <f>VLOOKUP(D43,坦克类型系数!$CQ$9:$CY$12,6,FALSE)*$M$4*Z43</f>
        <v>30.679980069938484</v>
      </c>
      <c r="AC43" s="34">
        <f>VLOOKUP(D43,坦克类型系数!$CQ$3:$CY$6,9,FALSE)</f>
        <v>47.93746885927888</v>
      </c>
      <c r="AD43" s="2">
        <f>VLOOKUP(F43,坦克类型系数!$BM$3:$BV$10,6,FALSE)</f>
        <v>3.1</v>
      </c>
      <c r="AE43" s="41">
        <f t="shared" si="4"/>
        <v>1.25</v>
      </c>
      <c r="AF43" s="34">
        <f>VLOOKUP(D43,坦克类型系数!$DE$3:$DH$6,3,FALSE)*AE43</f>
        <v>35</v>
      </c>
      <c r="AG43" s="21">
        <v>0.9</v>
      </c>
      <c r="AH43" s="150">
        <f t="shared" si="5"/>
        <v>1</v>
      </c>
      <c r="AI43" s="2">
        <f>VLOOKUP(D43,坦克类型系数!$BZ$21:$CF$24,2,FALSE)*AG43</f>
        <v>6.3</v>
      </c>
      <c r="AJ43" s="34">
        <f>VLOOKUP(D43,坦克类型系数!$BZ$21:$CF$24,5,FALSE)*AG43</f>
        <v>6.3</v>
      </c>
      <c r="AK43" s="34">
        <f>VLOOKUP(D43,坦克类型系数!$BZ$21:$CF$24,4,FALSE)</f>
        <v>3.8888888888888888</v>
      </c>
      <c r="AL43" s="34">
        <f>VLOOKUP(D43,坦克类型系数!$BZ$21:$CF$24,7,FALSE)</f>
        <v>2</v>
      </c>
      <c r="AM43" s="34">
        <f>VLOOKUP(D43,坦克类型系数!$CH$21:$CN$24,4,FALSE)</f>
        <v>10.769230769230768</v>
      </c>
      <c r="AN43" s="34">
        <f>VLOOKUP(D43,坦克类型系数!$CH$21:$CN$24,7,FALSE)</f>
        <v>17.5</v>
      </c>
      <c r="AO43" s="2">
        <f>VLOOKUP(F43,坦克类型系数!$BM$13:$BV$20,6,FALSE)</f>
        <v>1.24</v>
      </c>
      <c r="AP43" s="142">
        <f>基础属性系数!$C$56</f>
        <v>0.2</v>
      </c>
      <c r="AQ43" s="142">
        <f>基础属性系数!$C$55</f>
        <v>0.3</v>
      </c>
      <c r="AR43" s="2">
        <f>VLOOKUP(D43,坦克类型系数!$DE$9:$DH$12,2,FALSE)</f>
        <v>0.8</v>
      </c>
      <c r="AS43" s="2">
        <f>VLOOKUP(D43,坦克类型系数!$DE$9:$DH$12,3,FALSE)</f>
        <v>0.8</v>
      </c>
      <c r="AT43" s="2">
        <f>VLOOKUP(D43,坦克类型系数!$DE$9:$DH$12,4,FALSE)</f>
        <v>0.8</v>
      </c>
      <c r="AU43" s="2">
        <f>VLOOKUP(D43,坦克类型系数!$AH$9:$AK$12,3,FALSE)</f>
        <v>5</v>
      </c>
      <c r="AV43" s="2">
        <f>VLOOKUP(D43,坦克类型系数!$AH$9:$AK$12,4,FALSE)</f>
        <v>10</v>
      </c>
      <c r="AW43" s="142">
        <f>VLOOKUP($B43,坦克类型系数!$B$3:$AF$33,MATCH(AW$18,坦克类型系数!$B$3:$AF$3,0),FALSE)</f>
        <v>0</v>
      </c>
      <c r="AX43" s="142">
        <f>VLOOKUP($B43,坦克类型系数!$B$3:$AF$33,MATCH(AX$18,坦克类型系数!$B$3:$AF$3,0),FALSE)</f>
        <v>2.4</v>
      </c>
      <c r="AY43" s="142">
        <f>VLOOKUP($B43,坦克类型系数!$B$3:$AF$33,MATCH(AY$18,坦克类型系数!$B$3:$AF$3,0),FALSE)</f>
        <v>1.95</v>
      </c>
      <c r="AZ43" s="142">
        <f>VLOOKUP($B43,坦克类型系数!$B$3:$AF$33,MATCH(AZ$18,坦克类型系数!$B$3:$AF$3,0),FALSE)</f>
        <v>1.95</v>
      </c>
      <c r="BA43" s="142">
        <f>VLOOKUP($B43,坦克类型系数!$B$3:$AF$33,MATCH(BA$18,坦克类型系数!$B$3:$AF$3,0),FALSE)</f>
        <v>0.9</v>
      </c>
      <c r="BB43" s="142">
        <f>VLOOKUP($B43,坦克类型系数!$B$3:$AF$33,MATCH(BB$18,坦克类型系数!$B$3:$AF$3,0),FALSE)</f>
        <v>0.9</v>
      </c>
      <c r="BC43" s="142">
        <f>VLOOKUP($B43,坦克类型系数!$B$3:$AF$33,MATCH(BC$18,坦克类型系数!$B$3:$AF$3,0),FALSE)</f>
        <v>0.85</v>
      </c>
    </row>
    <row r="44" spans="2:55" x14ac:dyDescent="0.3">
      <c r="B44" s="2" t="s">
        <v>651</v>
      </c>
      <c r="C44" s="2" t="s">
        <v>1159</v>
      </c>
      <c r="D44" s="29" t="str">
        <f>坦克类型系数!C29</f>
        <v>重坦</v>
      </c>
      <c r="E44" s="21" t="s">
        <v>610</v>
      </c>
      <c r="F44" s="21" t="s">
        <v>82</v>
      </c>
      <c r="G44" s="29">
        <f>坦克类型系数!D29</f>
        <v>6.54</v>
      </c>
      <c r="H44" s="29">
        <f>坦克类型系数!E29</f>
        <v>3.23</v>
      </c>
      <c r="I44" s="29">
        <f>坦克类型系数!F29</f>
        <v>7.29</v>
      </c>
      <c r="J44" s="21">
        <v>1</v>
      </c>
      <c r="K44" s="150">
        <f>SQRT(I44/VLOOKUP(D44,坦克类型系数!$AH$3:$AK$6,4,FALSE))*J44</f>
        <v>0.9839346980566549</v>
      </c>
      <c r="L44" s="21" t="s">
        <v>1146</v>
      </c>
      <c r="M44" s="29">
        <f>VLOOKUP(D44,坦克类型系数!$AH$15:$AK$18,4,FALSE)</f>
        <v>0.62</v>
      </c>
      <c r="N44" s="21">
        <v>1.3</v>
      </c>
      <c r="O44" s="2">
        <f t="shared" si="6"/>
        <v>0.81</v>
      </c>
      <c r="P44" s="34">
        <f t="shared" si="8"/>
        <v>1.306451612903226</v>
      </c>
      <c r="Q44" s="34">
        <f t="shared" si="3"/>
        <v>0.95720048195295715</v>
      </c>
      <c r="R44" s="150">
        <f t="shared" si="7"/>
        <v>1.2505361135191861</v>
      </c>
      <c r="S44" s="2">
        <f>VLOOKUP(F44,坦克类型系数!$AQ$3:$AX$10,MATCH("瞄准速度",坦克类型系数!$AQ$3:$AX$3,0),FALSE)</f>
        <v>1.2</v>
      </c>
      <c r="T44" s="21">
        <v>1</v>
      </c>
      <c r="U44" s="2">
        <f>(VLOOKUP(F44,坦克类型系数!$AM$3:$AO$10,MATCH("射击间隔max",坦克类型系数!$AM$3:$AO$3,0),FALSE)-VLOOKUP(F44,坦克类型系数!$AM$3:$AO$10,MATCH("射击间隔min",坦克类型系数!$AM$3:$AO$3,0),FALSE))*T44+VLOOKUP(F44,坦克类型系数!$AM$3:$AO$10,MATCH("射击间隔min",坦克类型系数!$AM$3:$AO$3,0),FALSE)</f>
        <v>2</v>
      </c>
      <c r="V44" s="150">
        <f>(U44-VLOOKUP(F44,标准坦克设计!$B$13:$K$20,MATCH("射击间隔",标准坦克设计!$B$13:$K$13,0),FALSE))/0.1*VLOOKUP($B$15,$B$3:$J$15,MATCH(F44,$B$3:$J$3,0),FALSE)+1</f>
        <v>1.1111111111111112</v>
      </c>
      <c r="W44" s="2">
        <f>VLOOKUP(D44,坦克类型系数!$BI$3:$BK$6,2,FALSE)</f>
        <v>0.5</v>
      </c>
      <c r="X44" s="34">
        <f>VLOOKUP(D44,坦克类型系数!$BI$3:$BK$6,3,FALSE)</f>
        <v>1.3421103201592517</v>
      </c>
      <c r="Y44" s="21">
        <v>3</v>
      </c>
      <c r="Z44" s="21">
        <v>1</v>
      </c>
      <c r="AA44" s="34">
        <f>VLOOKUP(D44,坦克类型系数!$CQ$9:$CY$12,2,FALSE)*$M$4*Z44</f>
        <v>9.587493771855776</v>
      </c>
      <c r="AB44" s="34">
        <f>VLOOKUP(D44,坦克类型系数!$CQ$9:$CY$12,6,FALSE)*$M$4*Z44</f>
        <v>38.349975087423104</v>
      </c>
      <c r="AC44" s="34">
        <f>VLOOKUP(D44,坦克类型系数!$CQ$3:$CY$6,9,FALSE)</f>
        <v>47.93746885927888</v>
      </c>
      <c r="AD44" s="2">
        <f>VLOOKUP(F44,坦克类型系数!$BM$3:$BV$10,6,FALSE)</f>
        <v>1.8599999999999999</v>
      </c>
      <c r="AE44" s="41">
        <f t="shared" si="4"/>
        <v>1</v>
      </c>
      <c r="AF44" s="34">
        <f>VLOOKUP(D44,坦克类型系数!$DE$3:$DH$6,3,FALSE)*AE44</f>
        <v>28</v>
      </c>
      <c r="AG44" s="21">
        <v>1</v>
      </c>
      <c r="AH44" s="150">
        <f t="shared" si="5"/>
        <v>1</v>
      </c>
      <c r="AI44" s="2">
        <f>VLOOKUP(D44,坦克类型系数!$BZ$21:$CF$24,2,FALSE)*AG44</f>
        <v>7</v>
      </c>
      <c r="AJ44" s="34">
        <f>VLOOKUP(D44,坦克类型系数!$BZ$21:$CF$24,5,FALSE)*AG44</f>
        <v>7</v>
      </c>
      <c r="AK44" s="34">
        <f>VLOOKUP(D44,坦克类型系数!$BZ$21:$CF$24,4,FALSE)</f>
        <v>3.8888888888888888</v>
      </c>
      <c r="AL44" s="34">
        <f>VLOOKUP(D44,坦克类型系数!$BZ$21:$CF$24,7,FALSE)</f>
        <v>2</v>
      </c>
      <c r="AM44" s="34">
        <f>VLOOKUP(D44,坦克类型系数!$CH$21:$CN$24,4,FALSE)</f>
        <v>10.769230769230768</v>
      </c>
      <c r="AN44" s="34">
        <f>VLOOKUP(D44,坦克类型系数!$CH$21:$CN$24,7,FALSE)</f>
        <v>17.5</v>
      </c>
      <c r="AO44" s="2">
        <f>VLOOKUP(F44,坦克类型系数!$BM$13:$BV$20,6,FALSE)</f>
        <v>0.62</v>
      </c>
      <c r="AP44" s="142">
        <f>基础属性系数!$C$56</f>
        <v>0.2</v>
      </c>
      <c r="AQ44" s="142">
        <f>基础属性系数!$C$55</f>
        <v>0.3</v>
      </c>
      <c r="AR44" s="2">
        <f>VLOOKUP(D44,坦克类型系数!$DE$9:$DH$12,2,FALSE)</f>
        <v>0.8</v>
      </c>
      <c r="AS44" s="2">
        <f>VLOOKUP(D44,坦克类型系数!$DE$9:$DH$12,3,FALSE)</f>
        <v>0.8</v>
      </c>
      <c r="AT44" s="2">
        <f>VLOOKUP(D44,坦克类型系数!$DE$9:$DH$12,4,FALSE)</f>
        <v>0.8</v>
      </c>
      <c r="AU44" s="2">
        <f>VLOOKUP(D44,坦克类型系数!$AH$9:$AK$12,3,FALSE)</f>
        <v>5</v>
      </c>
      <c r="AV44" s="2">
        <f>VLOOKUP(D44,坦克类型系数!$AH$9:$AK$12,4,FALSE)</f>
        <v>10</v>
      </c>
      <c r="AW44" s="142">
        <f>VLOOKUP($B44,坦克类型系数!$B$3:$AF$33,MATCH(AW$18,坦克类型系数!$B$3:$AF$3,0),FALSE)</f>
        <v>0</v>
      </c>
      <c r="AX44" s="142">
        <f>VLOOKUP($B44,坦克类型系数!$B$3:$AF$33,MATCH(AX$18,坦克类型系数!$B$3:$AF$3,0),FALSE)</f>
        <v>2.5</v>
      </c>
      <c r="AY44" s="142">
        <f>VLOOKUP($B44,坦克类型系数!$B$3:$AF$33,MATCH(AY$18,坦克类型系数!$B$3:$AF$3,0),FALSE)</f>
        <v>2</v>
      </c>
      <c r="AZ44" s="142">
        <f>VLOOKUP($B44,坦克类型系数!$B$3:$AF$33,MATCH(AZ$18,坦克类型系数!$B$3:$AF$3,0),FALSE)</f>
        <v>2</v>
      </c>
      <c r="BA44" s="142">
        <f>VLOOKUP($B44,坦克类型系数!$B$3:$AF$33,MATCH(BA$18,坦克类型系数!$B$3:$AF$3,0),FALSE)</f>
        <v>0.9</v>
      </c>
      <c r="BB44" s="142">
        <f>VLOOKUP($B44,坦克类型系数!$B$3:$AF$33,MATCH(BB$18,坦克类型系数!$B$3:$AF$3,0),FALSE)</f>
        <v>0.9</v>
      </c>
      <c r="BC44" s="142">
        <f>VLOOKUP($B44,坦克类型系数!$B$3:$AF$33,MATCH(BC$18,坦克类型系数!$B$3:$AF$3,0),FALSE)</f>
        <v>0.85</v>
      </c>
    </row>
    <row r="45" spans="2:55" x14ac:dyDescent="0.3">
      <c r="B45" s="2" t="s">
        <v>653</v>
      </c>
      <c r="C45" s="2" t="s">
        <v>1160</v>
      </c>
      <c r="D45" s="29" t="str">
        <f>坦克类型系数!C30</f>
        <v>重坦</v>
      </c>
      <c r="E45" s="21" t="s">
        <v>617</v>
      </c>
      <c r="F45" s="21" t="s">
        <v>83</v>
      </c>
      <c r="G45" s="29">
        <f>坦克类型系数!D30</f>
        <v>7.74</v>
      </c>
      <c r="H45" s="29">
        <f>坦克类型系数!E30</f>
        <v>4.0199999999999996</v>
      </c>
      <c r="I45" s="29">
        <f>坦克类型系数!F30</f>
        <v>8.7200000000000006</v>
      </c>
      <c r="J45" s="21">
        <v>1</v>
      </c>
      <c r="K45" s="150">
        <f>SQRT(I45/VLOOKUP(D45,坦克类型系数!$AH$3:$AK$6,4,FALSE))*J45</f>
        <v>1.0761201273800509</v>
      </c>
      <c r="L45" s="21" t="s">
        <v>1146</v>
      </c>
      <c r="M45" s="29">
        <f>VLOOKUP(D45,坦克类型系数!$AH$15:$AK$18,4,FALSE)</f>
        <v>0.62</v>
      </c>
      <c r="N45" s="21">
        <v>1.05</v>
      </c>
      <c r="O45" s="2">
        <f t="shared" si="6"/>
        <v>0.65</v>
      </c>
      <c r="P45" s="34">
        <f t="shared" si="8"/>
        <v>1.0483870967741935</v>
      </c>
      <c r="Q45" s="34">
        <f t="shared" si="3"/>
        <v>1</v>
      </c>
      <c r="R45" s="150">
        <f t="shared" si="7"/>
        <v>1.0483870967741935</v>
      </c>
      <c r="S45" s="2">
        <f>VLOOKUP(F45,坦克类型系数!$AQ$3:$AX$10,MATCH("瞄准速度",坦克类型系数!$AQ$3:$AX$3,0),FALSE)</f>
        <v>1</v>
      </c>
      <c r="T45" s="21">
        <v>1</v>
      </c>
      <c r="U45" s="2">
        <f>(VLOOKUP(F45,坦克类型系数!$AM$3:$AO$10,MATCH("射击间隔max",坦克类型系数!$AM$3:$AO$3,0),FALSE)-VLOOKUP(F45,坦克类型系数!$AM$3:$AO$10,MATCH("射击间隔min",坦克类型系数!$AM$3:$AO$3,0),FALSE))*T45+VLOOKUP(F45,坦克类型系数!$AM$3:$AO$10,MATCH("射击间隔min",坦克类型系数!$AM$3:$AO$3,0),FALSE)</f>
        <v>0</v>
      </c>
      <c r="V45" s="150" t="e">
        <f>(U45-VLOOKUP(F45,标准坦克设计!$B$13:$K$20,MATCH("射击间隔",标准坦克设计!$B$13:$K$13,0),FALSE))/0.1*VLOOKUP($B$15,$B$3:$J$15,MATCH(F45,$B$3:$J$3,0),FALSE)+1</f>
        <v>#DIV/0!</v>
      </c>
      <c r="W45" s="2">
        <f>VLOOKUP(D45,坦克类型系数!$BI$3:$BK$6,2,FALSE)</f>
        <v>0.5</v>
      </c>
      <c r="X45" s="34">
        <f>VLOOKUP(D45,坦克类型系数!$BI$3:$BK$6,3,FALSE)</f>
        <v>1.3421103201592517</v>
      </c>
      <c r="Y45" s="21">
        <v>5</v>
      </c>
      <c r="Z45" s="21">
        <v>0.8</v>
      </c>
      <c r="AA45" s="34">
        <f>VLOOKUP(D45,坦克类型系数!$CQ$9:$CY$12,2,FALSE)*$M$4*Z45</f>
        <v>7.669995017484621</v>
      </c>
      <c r="AB45" s="34">
        <f>VLOOKUP(D45,坦克类型系数!$CQ$9:$CY$12,6,FALSE)*$M$4*Z45</f>
        <v>30.679980069938484</v>
      </c>
      <c r="AC45" s="34">
        <f>VLOOKUP(D45,坦克类型系数!$CQ$3:$CY$6,9,FALSE)</f>
        <v>47.93746885927888</v>
      </c>
      <c r="AD45" s="2">
        <f>VLOOKUP(F45,坦克类型系数!$BM$3:$BV$10,6,FALSE)</f>
        <v>3.1</v>
      </c>
      <c r="AE45" s="41">
        <f t="shared" si="4"/>
        <v>1.25</v>
      </c>
      <c r="AF45" s="34">
        <f>VLOOKUP(D45,坦克类型系数!$DE$3:$DH$6,3,FALSE)*AE45</f>
        <v>35</v>
      </c>
      <c r="AG45" s="21">
        <v>0.9</v>
      </c>
      <c r="AH45" s="150">
        <f t="shared" si="5"/>
        <v>1</v>
      </c>
      <c r="AI45" s="2">
        <f>VLOOKUP(D45,坦克类型系数!$BZ$21:$CF$24,2,FALSE)*AG45</f>
        <v>6.3</v>
      </c>
      <c r="AJ45" s="34">
        <f>VLOOKUP(D45,坦克类型系数!$BZ$21:$CF$24,5,FALSE)*AG45</f>
        <v>6.3</v>
      </c>
      <c r="AK45" s="34">
        <f>VLOOKUP(D45,坦克类型系数!$BZ$21:$CF$24,4,FALSE)</f>
        <v>3.8888888888888888</v>
      </c>
      <c r="AL45" s="34">
        <f>VLOOKUP(D45,坦克类型系数!$BZ$21:$CF$24,7,FALSE)</f>
        <v>2</v>
      </c>
      <c r="AM45" s="34">
        <f>VLOOKUP(D45,坦克类型系数!$CH$21:$CN$24,4,FALSE)</f>
        <v>10.769230769230768</v>
      </c>
      <c r="AN45" s="34">
        <f>VLOOKUP(D45,坦克类型系数!$CH$21:$CN$24,7,FALSE)</f>
        <v>17.5</v>
      </c>
      <c r="AO45" s="2">
        <f>VLOOKUP(F45,坦克类型系数!$BM$13:$BV$20,6,FALSE)</f>
        <v>1.24</v>
      </c>
      <c r="AP45" s="142">
        <f>基础属性系数!$C$56</f>
        <v>0.2</v>
      </c>
      <c r="AQ45" s="142">
        <f>基础属性系数!$C$55</f>
        <v>0.3</v>
      </c>
      <c r="AR45" s="2">
        <f>VLOOKUP(D45,坦克类型系数!$DE$9:$DH$12,2,FALSE)</f>
        <v>0.8</v>
      </c>
      <c r="AS45" s="2">
        <f>VLOOKUP(D45,坦克类型系数!$DE$9:$DH$12,3,FALSE)</f>
        <v>0.8</v>
      </c>
      <c r="AT45" s="2">
        <f>VLOOKUP(D45,坦克类型系数!$DE$9:$DH$12,4,FALSE)</f>
        <v>0.8</v>
      </c>
      <c r="AU45" s="2">
        <f>VLOOKUP(D45,坦克类型系数!$AH$9:$AK$12,3,FALSE)</f>
        <v>5</v>
      </c>
      <c r="AV45" s="2">
        <f>VLOOKUP(D45,坦克类型系数!$AH$9:$AK$12,4,FALSE)</f>
        <v>10</v>
      </c>
      <c r="AW45" s="142">
        <f>VLOOKUP($B45,坦克类型系数!$B$3:$AF$33,MATCH(AW$18,坦克类型系数!$B$3:$AF$3,0),FALSE)</f>
        <v>0</v>
      </c>
      <c r="AX45" s="142">
        <f>VLOOKUP($B45,坦克类型系数!$B$3:$AF$33,MATCH(AX$18,坦克类型系数!$B$3:$AF$3,0),FALSE)</f>
        <v>2.4500000000000002</v>
      </c>
      <c r="AY45" s="142">
        <f>VLOOKUP($B45,坦克类型系数!$B$3:$AF$33,MATCH(AY$18,坦克类型系数!$B$3:$AF$3,0),FALSE)</f>
        <v>2</v>
      </c>
      <c r="AZ45" s="142">
        <f>VLOOKUP($B45,坦克类型系数!$B$3:$AF$33,MATCH(AZ$18,坦克类型系数!$B$3:$AF$3,0),FALSE)</f>
        <v>2</v>
      </c>
      <c r="BA45" s="142">
        <f>VLOOKUP($B45,坦克类型系数!$B$3:$AF$33,MATCH(BA$18,坦克类型系数!$B$3:$AF$3,0),FALSE)</f>
        <v>0.9</v>
      </c>
      <c r="BB45" s="142">
        <f>VLOOKUP($B45,坦克类型系数!$B$3:$AF$33,MATCH(BB$18,坦克类型系数!$B$3:$AF$3,0),FALSE)</f>
        <v>0.9</v>
      </c>
      <c r="BC45" s="142">
        <f>VLOOKUP($B45,坦克类型系数!$B$3:$AF$33,MATCH(BC$18,坦克类型系数!$B$3:$AF$3,0),FALSE)</f>
        <v>0.85</v>
      </c>
    </row>
    <row r="46" spans="2:55" x14ac:dyDescent="0.3">
      <c r="B46" s="2" t="s">
        <v>655</v>
      </c>
      <c r="C46" s="2" t="s">
        <v>1161</v>
      </c>
      <c r="D46" s="29" t="str">
        <f>坦克类型系数!C31</f>
        <v>重坦</v>
      </c>
      <c r="E46" s="21" t="s">
        <v>617</v>
      </c>
      <c r="F46" s="21" t="s">
        <v>82</v>
      </c>
      <c r="G46" s="29">
        <f>坦克类型系数!D31</f>
        <v>6.6</v>
      </c>
      <c r="H46" s="29">
        <f>坦克类型系数!E31</f>
        <v>3.35</v>
      </c>
      <c r="I46" s="29">
        <f>坦克类型系数!F31</f>
        <v>7.4</v>
      </c>
      <c r="J46" s="21">
        <v>1</v>
      </c>
      <c r="K46" s="150">
        <f>SQRT(I46/VLOOKUP(D46,坦克类型系数!$AH$3:$AK$6,4,FALSE))*J46</f>
        <v>0.99133027986215594</v>
      </c>
      <c r="L46" s="21" t="s">
        <v>1146</v>
      </c>
      <c r="M46" s="29">
        <f>VLOOKUP(D46,坦克类型系数!$AH$15:$AK$18,4,FALSE)</f>
        <v>0.62</v>
      </c>
      <c r="N46" s="21">
        <v>1.05</v>
      </c>
      <c r="O46" s="2">
        <f t="shared" si="6"/>
        <v>0.65</v>
      </c>
      <c r="P46" s="34">
        <f t="shared" si="8"/>
        <v>1.0483870967741935</v>
      </c>
      <c r="Q46" s="34">
        <f t="shared" si="3"/>
        <v>0.99324218136099318</v>
      </c>
      <c r="R46" s="150">
        <f t="shared" si="7"/>
        <v>1.0413022869107187</v>
      </c>
      <c r="S46" s="2">
        <f>VLOOKUP(F46,坦克类型系数!$AQ$3:$AX$10,MATCH("瞄准速度",坦克类型系数!$AQ$3:$AX$3,0),FALSE)</f>
        <v>1.2</v>
      </c>
      <c r="T46" s="21">
        <v>1</v>
      </c>
      <c r="U46" s="2">
        <f>(VLOOKUP(F46,坦克类型系数!$AM$3:$AO$10,MATCH("射击间隔max",坦克类型系数!$AM$3:$AO$3,0),FALSE)-VLOOKUP(F46,坦克类型系数!$AM$3:$AO$10,MATCH("射击间隔min",坦克类型系数!$AM$3:$AO$3,0),FALSE))*T46+VLOOKUP(F46,坦克类型系数!$AM$3:$AO$10,MATCH("射击间隔min",坦克类型系数!$AM$3:$AO$3,0),FALSE)</f>
        <v>2</v>
      </c>
      <c r="V46" s="150">
        <f>(U46-VLOOKUP(F46,标准坦克设计!$B$13:$K$20,MATCH("射击间隔",标准坦克设计!$B$13:$K$13,0),FALSE))/0.1*VLOOKUP($B$15,$B$3:$J$15,MATCH(F46,$B$3:$J$3,0),FALSE)+1</f>
        <v>1.1111111111111112</v>
      </c>
      <c r="W46" s="2">
        <f>VLOOKUP(D46,坦克类型系数!$BI$3:$BK$6,2,FALSE)</f>
        <v>0.5</v>
      </c>
      <c r="X46" s="34">
        <f>VLOOKUP(D46,坦克类型系数!$BI$3:$BK$6,3,FALSE)</f>
        <v>1.3421103201592517</v>
      </c>
      <c r="Y46" s="21">
        <v>3</v>
      </c>
      <c r="Z46" s="21">
        <v>0.8</v>
      </c>
      <c r="AA46" s="34">
        <f>VLOOKUP(D46,坦克类型系数!$CQ$9:$CY$12,2,FALSE)*$M$4*Z46</f>
        <v>7.669995017484621</v>
      </c>
      <c r="AB46" s="34">
        <f>VLOOKUP(D46,坦克类型系数!$CQ$9:$CY$12,6,FALSE)*$M$4*Z46</f>
        <v>30.679980069938484</v>
      </c>
      <c r="AC46" s="34">
        <f>VLOOKUP(D46,坦克类型系数!$CQ$3:$CY$6,9,FALSE)</f>
        <v>47.93746885927888</v>
      </c>
      <c r="AD46" s="2">
        <f>VLOOKUP(F46,坦克类型系数!$BM$3:$BV$10,6,FALSE)</f>
        <v>1.8599999999999999</v>
      </c>
      <c r="AE46" s="41">
        <f t="shared" si="4"/>
        <v>1.25</v>
      </c>
      <c r="AF46" s="34">
        <f>VLOOKUP(D46,坦克类型系数!$DE$3:$DH$6,3,FALSE)*AE46</f>
        <v>35</v>
      </c>
      <c r="AG46" s="21">
        <v>0.9</v>
      </c>
      <c r="AH46" s="150">
        <f t="shared" si="5"/>
        <v>1.0173619251422299</v>
      </c>
      <c r="AI46" s="2">
        <f>VLOOKUP(D46,坦克类型系数!$BZ$21:$CF$24,2,FALSE)*AG46</f>
        <v>6.3</v>
      </c>
      <c r="AJ46" s="34">
        <f>VLOOKUP(D46,坦克类型系数!$BZ$21:$CF$24,5,FALSE)*AG46</f>
        <v>6.3</v>
      </c>
      <c r="AK46" s="34">
        <f>VLOOKUP(D46,坦克类型系数!$BZ$21:$CF$24,4,FALSE)</f>
        <v>3.8888888888888888</v>
      </c>
      <c r="AL46" s="34">
        <f>VLOOKUP(D46,坦克类型系数!$BZ$21:$CF$24,7,FALSE)</f>
        <v>2</v>
      </c>
      <c r="AM46" s="34">
        <f>VLOOKUP(D46,坦克类型系数!$CH$21:$CN$24,4,FALSE)</f>
        <v>10.769230769230768</v>
      </c>
      <c r="AN46" s="34">
        <f>VLOOKUP(D46,坦克类型系数!$CH$21:$CN$24,7,FALSE)</f>
        <v>17.5</v>
      </c>
      <c r="AO46" s="2">
        <f>VLOOKUP(F46,坦克类型系数!$BM$13:$BV$20,6,FALSE)</f>
        <v>0.62</v>
      </c>
      <c r="AP46" s="142">
        <f>基础属性系数!$C$56</f>
        <v>0.2</v>
      </c>
      <c r="AQ46" s="142">
        <f>基础属性系数!$C$55</f>
        <v>0.3</v>
      </c>
      <c r="AR46" s="2">
        <f>VLOOKUP(D46,坦克类型系数!$DE$9:$DH$12,2,FALSE)</f>
        <v>0.8</v>
      </c>
      <c r="AS46" s="2">
        <f>VLOOKUP(D46,坦克类型系数!$DE$9:$DH$12,3,FALSE)</f>
        <v>0.8</v>
      </c>
      <c r="AT46" s="2">
        <f>VLOOKUP(D46,坦克类型系数!$DE$9:$DH$12,4,FALSE)</f>
        <v>0.8</v>
      </c>
      <c r="AU46" s="2">
        <f>VLOOKUP(D46,坦克类型系数!$AH$9:$AK$12,3,FALSE)</f>
        <v>5</v>
      </c>
      <c r="AV46" s="2">
        <f>VLOOKUP(D46,坦克类型系数!$AH$9:$AK$12,4,FALSE)</f>
        <v>10</v>
      </c>
      <c r="AW46" s="142">
        <f>VLOOKUP($B46,坦克类型系数!$B$3:$AF$33,MATCH(AW$18,坦克类型系数!$B$3:$AF$3,0),FALSE)</f>
        <v>0</v>
      </c>
      <c r="AX46" s="142">
        <f>VLOOKUP($B46,坦克类型系数!$B$3:$AF$33,MATCH(AX$18,坦克类型系数!$B$3:$AF$3,0),FALSE)</f>
        <v>2.4</v>
      </c>
      <c r="AY46" s="142">
        <f>VLOOKUP($B46,坦克类型系数!$B$3:$AF$33,MATCH(AY$18,坦克类型系数!$B$3:$AF$3,0),FALSE)</f>
        <v>1.95</v>
      </c>
      <c r="AZ46" s="142">
        <f>VLOOKUP($B46,坦克类型系数!$B$3:$AF$33,MATCH(AZ$18,坦克类型系数!$B$3:$AF$3,0),FALSE)</f>
        <v>1.95</v>
      </c>
      <c r="BA46" s="142">
        <f>VLOOKUP($B46,坦克类型系数!$B$3:$AF$33,MATCH(BA$18,坦克类型系数!$B$3:$AF$3,0),FALSE)</f>
        <v>0.9</v>
      </c>
      <c r="BB46" s="142">
        <f>VLOOKUP($B46,坦克类型系数!$B$3:$AF$33,MATCH(BB$18,坦克类型系数!$B$3:$AF$3,0),FALSE)</f>
        <v>0.9</v>
      </c>
      <c r="BC46" s="142">
        <f>VLOOKUP($B46,坦克类型系数!$B$3:$AF$33,MATCH(BC$18,坦克类型系数!$B$3:$AF$3,0),FALSE)</f>
        <v>0.85</v>
      </c>
    </row>
    <row r="47" spans="2:55" x14ac:dyDescent="0.3">
      <c r="B47" s="2" t="s">
        <v>657</v>
      </c>
      <c r="C47" s="2" t="s">
        <v>1162</v>
      </c>
      <c r="D47" s="29" t="str">
        <f>坦克类型系数!C32</f>
        <v>重坦</v>
      </c>
      <c r="E47" s="21" t="s">
        <v>617</v>
      </c>
      <c r="F47" s="21" t="s">
        <v>83</v>
      </c>
      <c r="G47" s="29">
        <f>坦克类型系数!D32</f>
        <v>6</v>
      </c>
      <c r="H47" s="29">
        <f>坦克类型系数!E32</f>
        <v>2.85</v>
      </c>
      <c r="I47" s="29">
        <f>坦克类型系数!F32</f>
        <v>6.64</v>
      </c>
      <c r="J47" s="21">
        <v>1</v>
      </c>
      <c r="K47" s="150">
        <f>SQRT(I47/VLOOKUP(D47,坦克类型系数!$AH$3:$AK$6,4,FALSE))*J47</f>
        <v>0.93904531780832723</v>
      </c>
      <c r="L47" s="21" t="s">
        <v>1146</v>
      </c>
      <c r="M47" s="29">
        <f>VLOOKUP(D47,坦克类型系数!$AH$15:$AK$18,4,FALSE)</f>
        <v>0.62</v>
      </c>
      <c r="N47" s="21">
        <v>1</v>
      </c>
      <c r="O47" s="2">
        <f t="shared" si="6"/>
        <v>0.62</v>
      </c>
      <c r="P47" s="34">
        <f t="shared" si="8"/>
        <v>1</v>
      </c>
      <c r="Q47" s="34">
        <f t="shared" si="3"/>
        <v>1</v>
      </c>
      <c r="R47" s="150">
        <f t="shared" si="7"/>
        <v>1</v>
      </c>
      <c r="S47" s="2">
        <f>VLOOKUP(F47,坦克类型系数!$AQ$3:$AX$10,MATCH("瞄准速度",坦克类型系数!$AQ$3:$AX$3,0),FALSE)</f>
        <v>1</v>
      </c>
      <c r="T47" s="21">
        <v>1</v>
      </c>
      <c r="U47" s="2">
        <f>(VLOOKUP(F47,坦克类型系数!$AM$3:$AO$10,MATCH("射击间隔max",坦克类型系数!$AM$3:$AO$3,0),FALSE)-VLOOKUP(F47,坦克类型系数!$AM$3:$AO$10,MATCH("射击间隔min",坦克类型系数!$AM$3:$AO$3,0),FALSE))*T47+VLOOKUP(F47,坦克类型系数!$AM$3:$AO$10,MATCH("射击间隔min",坦克类型系数!$AM$3:$AO$3,0),FALSE)</f>
        <v>0</v>
      </c>
      <c r="V47" s="150" t="e">
        <f>(U47-VLOOKUP(F47,标准坦克设计!$B$13:$K$20,MATCH("射击间隔",标准坦克设计!$B$13:$K$13,0),FALSE))/0.1*VLOOKUP($B$15,$B$3:$J$15,MATCH(F47,$B$3:$J$3,0),FALSE)+1</f>
        <v>#DIV/0!</v>
      </c>
      <c r="W47" s="2">
        <f>VLOOKUP(D47,坦克类型系数!$BI$3:$BK$6,2,FALSE)</f>
        <v>0.5</v>
      </c>
      <c r="X47" s="34">
        <f>VLOOKUP(D47,坦克类型系数!$BI$3:$BK$6,3,FALSE)</f>
        <v>1.3421103201592517</v>
      </c>
      <c r="Y47" s="21">
        <v>5</v>
      </c>
      <c r="Z47" s="21">
        <v>0.8</v>
      </c>
      <c r="AA47" s="34">
        <f>VLOOKUP(D47,坦克类型系数!$CQ$9:$CY$12,2,FALSE)*$M$4*Z47</f>
        <v>7.669995017484621</v>
      </c>
      <c r="AB47" s="34">
        <f>VLOOKUP(D47,坦克类型系数!$CQ$9:$CY$12,6,FALSE)*$M$4*Z47</f>
        <v>30.679980069938484</v>
      </c>
      <c r="AC47" s="34">
        <f>VLOOKUP(D47,坦克类型系数!$CQ$3:$CY$6,9,FALSE)</f>
        <v>47.93746885927888</v>
      </c>
      <c r="AD47" s="2">
        <f>VLOOKUP(F47,坦克类型系数!$BM$3:$BV$10,6,FALSE)</f>
        <v>3.1</v>
      </c>
      <c r="AE47" s="41">
        <f t="shared" si="4"/>
        <v>1.25</v>
      </c>
      <c r="AF47" s="34">
        <f>VLOOKUP(D47,坦克类型系数!$DE$3:$DH$6,3,FALSE)*AE47</f>
        <v>35</v>
      </c>
      <c r="AG47" s="21">
        <v>0.9</v>
      </c>
      <c r="AH47" s="150">
        <f t="shared" si="5"/>
        <v>1</v>
      </c>
      <c r="AI47" s="2">
        <f>VLOOKUP(D47,坦克类型系数!$BZ$21:$CF$24,2,FALSE)*AG47</f>
        <v>6.3</v>
      </c>
      <c r="AJ47" s="34">
        <f>VLOOKUP(D47,坦克类型系数!$BZ$21:$CF$24,5,FALSE)*AG47</f>
        <v>6.3</v>
      </c>
      <c r="AK47" s="34">
        <f>VLOOKUP(D47,坦克类型系数!$BZ$21:$CF$24,4,FALSE)</f>
        <v>3.8888888888888888</v>
      </c>
      <c r="AL47" s="34">
        <f>VLOOKUP(D47,坦克类型系数!$BZ$21:$CF$24,7,FALSE)</f>
        <v>2</v>
      </c>
      <c r="AM47" s="34">
        <f>VLOOKUP(D47,坦克类型系数!$CH$21:$CN$24,4,FALSE)</f>
        <v>10.769230769230768</v>
      </c>
      <c r="AN47" s="34">
        <f>VLOOKUP(D47,坦克类型系数!$CH$21:$CN$24,7,FALSE)</f>
        <v>17.5</v>
      </c>
      <c r="AO47" s="2">
        <f>VLOOKUP(F47,坦克类型系数!$BM$13:$BV$20,6,FALSE)</f>
        <v>1.24</v>
      </c>
      <c r="AP47" s="142">
        <f>基础属性系数!$C$56</f>
        <v>0.2</v>
      </c>
      <c r="AQ47" s="142">
        <f>基础属性系数!$C$55</f>
        <v>0.3</v>
      </c>
      <c r="AR47" s="2">
        <f>VLOOKUP(D47,坦克类型系数!$DE$9:$DH$12,2,FALSE)</f>
        <v>0.8</v>
      </c>
      <c r="AS47" s="2">
        <f>VLOOKUP(D47,坦克类型系数!$DE$9:$DH$12,3,FALSE)</f>
        <v>0.8</v>
      </c>
      <c r="AT47" s="2">
        <f>VLOOKUP(D47,坦克类型系数!$DE$9:$DH$12,4,FALSE)</f>
        <v>0.8</v>
      </c>
      <c r="AU47" s="2">
        <f>VLOOKUP(D47,坦克类型系数!$AH$9:$AK$12,3,FALSE)</f>
        <v>5</v>
      </c>
      <c r="AV47" s="2">
        <f>VLOOKUP(D47,坦克类型系数!$AH$9:$AK$12,4,FALSE)</f>
        <v>10</v>
      </c>
      <c r="AW47" s="142">
        <f>VLOOKUP($B47,坦克类型系数!$B$3:$AF$33,MATCH(AW$18,坦克类型系数!$B$3:$AF$3,0),FALSE)</f>
        <v>0</v>
      </c>
      <c r="AX47" s="142">
        <f>VLOOKUP($B47,坦克类型系数!$B$3:$AF$33,MATCH(AX$18,坦克类型系数!$B$3:$AF$3,0),FALSE)</f>
        <v>2.5499999999999998</v>
      </c>
      <c r="AY47" s="142">
        <f>VLOOKUP($B47,坦克类型系数!$B$3:$AF$33,MATCH(AY$18,坦克类型系数!$B$3:$AF$3,0),FALSE)</f>
        <v>2.0499999999999998</v>
      </c>
      <c r="AZ47" s="142">
        <f>VLOOKUP($B47,坦克类型系数!$B$3:$AF$33,MATCH(AZ$18,坦克类型系数!$B$3:$AF$3,0),FALSE)</f>
        <v>2.0499999999999998</v>
      </c>
      <c r="BA47" s="142">
        <f>VLOOKUP($B47,坦克类型系数!$B$3:$AF$33,MATCH(BA$18,坦克类型系数!$B$3:$AF$3,0),FALSE)</f>
        <v>0.9</v>
      </c>
      <c r="BB47" s="142">
        <f>VLOOKUP($B47,坦克类型系数!$B$3:$AF$33,MATCH(BB$18,坦克类型系数!$B$3:$AF$3,0),FALSE)</f>
        <v>0.9</v>
      </c>
      <c r="BC47" s="142">
        <f>VLOOKUP($B47,坦克类型系数!$B$3:$AF$33,MATCH(BC$18,坦克类型系数!$B$3:$AF$3,0),FALSE)</f>
        <v>0.85</v>
      </c>
    </row>
    <row r="48" spans="2:55" x14ac:dyDescent="0.3">
      <c r="B48" s="2" t="s">
        <v>659</v>
      </c>
      <c r="C48" s="2" t="s">
        <v>1163</v>
      </c>
      <c r="D48" s="29" t="str">
        <f>坦克类型系数!C33</f>
        <v>重坦</v>
      </c>
      <c r="E48" s="21" t="s">
        <v>624</v>
      </c>
      <c r="F48" s="21" t="s">
        <v>83</v>
      </c>
      <c r="G48" s="29">
        <f>坦克类型系数!D33</f>
        <v>7.75</v>
      </c>
      <c r="H48" s="29">
        <f>坦克类型系数!E33</f>
        <v>3.46</v>
      </c>
      <c r="I48" s="29">
        <f>坦克类型系数!F33</f>
        <v>8.49</v>
      </c>
      <c r="J48" s="21">
        <v>1</v>
      </c>
      <c r="K48" s="150">
        <f>SQRT(I48/VLOOKUP(D48,坦克类型系数!$AH$3:$AK$6,4,FALSE))*J48</f>
        <v>1.0618333390135373</v>
      </c>
      <c r="L48" s="21" t="s">
        <v>1146</v>
      </c>
      <c r="M48" s="29">
        <f>VLOOKUP(D48,坦克类型系数!$AH$15:$AK$18,4,FALSE)</f>
        <v>0.62</v>
      </c>
      <c r="N48" s="21">
        <v>1.1499999999999999</v>
      </c>
      <c r="O48" s="2">
        <f t="shared" si="6"/>
        <v>0.71</v>
      </c>
      <c r="P48" s="34">
        <f t="shared" si="8"/>
        <v>1.1451612903225805</v>
      </c>
      <c r="Q48" s="34">
        <f t="shared" si="3"/>
        <v>1</v>
      </c>
      <c r="R48" s="150">
        <f t="shared" si="7"/>
        <v>1.1451612903225805</v>
      </c>
      <c r="S48" s="2">
        <f>VLOOKUP(F48,坦克类型系数!$AQ$3:$AX$10,MATCH("瞄准速度",坦克类型系数!$AQ$3:$AX$3,0),FALSE)</f>
        <v>1</v>
      </c>
      <c r="T48" s="21">
        <v>1</v>
      </c>
      <c r="U48" s="2">
        <f>(VLOOKUP(F48,坦克类型系数!$AM$3:$AO$10,MATCH("射击间隔max",坦克类型系数!$AM$3:$AO$3,0),FALSE)-VLOOKUP(F48,坦克类型系数!$AM$3:$AO$10,MATCH("射击间隔min",坦克类型系数!$AM$3:$AO$3,0),FALSE))*T48+VLOOKUP(F48,坦克类型系数!$AM$3:$AO$10,MATCH("射击间隔min",坦克类型系数!$AM$3:$AO$3,0),FALSE)</f>
        <v>0</v>
      </c>
      <c r="V48" s="150" t="e">
        <f>(U48-VLOOKUP(F48,标准坦克设计!$B$13:$K$20,MATCH("射击间隔",标准坦克设计!$B$13:$K$13,0),FALSE))/0.1*VLOOKUP($B$15,$B$3:$J$15,MATCH(F48,$B$3:$J$3,0),FALSE)+1</f>
        <v>#DIV/0!</v>
      </c>
      <c r="W48" s="2">
        <f>VLOOKUP(D48,坦克类型系数!$BI$3:$BK$6,2,FALSE)</f>
        <v>0.5</v>
      </c>
      <c r="X48" s="34">
        <f>VLOOKUP(D48,坦克类型系数!$BI$3:$BK$6,3,FALSE)</f>
        <v>1.3421103201592517</v>
      </c>
      <c r="Y48" s="21">
        <v>5</v>
      </c>
      <c r="Z48" s="21">
        <v>0.8</v>
      </c>
      <c r="AA48" s="34">
        <f>VLOOKUP(D48,坦克类型系数!$CQ$9:$CY$12,2,FALSE)*$M$4*Z48</f>
        <v>7.669995017484621</v>
      </c>
      <c r="AB48" s="34">
        <f>VLOOKUP(D48,坦克类型系数!$CQ$9:$CY$12,6,FALSE)*$M$4*Z48</f>
        <v>30.679980069938484</v>
      </c>
      <c r="AC48" s="34">
        <f>VLOOKUP(D48,坦克类型系数!$CQ$3:$CY$6,9,FALSE)</f>
        <v>47.93746885927888</v>
      </c>
      <c r="AD48" s="2">
        <f>VLOOKUP(F48,坦克类型系数!$BM$3:$BV$10,6,FALSE)</f>
        <v>3.1</v>
      </c>
      <c r="AE48" s="41">
        <f t="shared" si="4"/>
        <v>1.25</v>
      </c>
      <c r="AF48" s="34">
        <f>VLOOKUP(D48,坦克类型系数!$DE$3:$DH$6,3,FALSE)*AE48</f>
        <v>35</v>
      </c>
      <c r="AG48" s="21">
        <v>0.9</v>
      </c>
      <c r="AH48" s="150">
        <f t="shared" si="5"/>
        <v>1</v>
      </c>
      <c r="AI48" s="2">
        <f>VLOOKUP(D48,坦克类型系数!$BZ$21:$CF$24,2,FALSE)*AG48</f>
        <v>6.3</v>
      </c>
      <c r="AJ48" s="34">
        <f>VLOOKUP(D48,坦克类型系数!$BZ$21:$CF$24,5,FALSE)*AG48</f>
        <v>6.3</v>
      </c>
      <c r="AK48" s="34">
        <f>VLOOKUP(D48,坦克类型系数!$BZ$21:$CF$24,4,FALSE)</f>
        <v>3.8888888888888888</v>
      </c>
      <c r="AL48" s="34">
        <f>VLOOKUP(D48,坦克类型系数!$BZ$21:$CF$24,7,FALSE)</f>
        <v>2</v>
      </c>
      <c r="AM48" s="34">
        <f>VLOOKUP(D48,坦克类型系数!$CH$21:$CN$24,4,FALSE)</f>
        <v>10.769230769230768</v>
      </c>
      <c r="AN48" s="34">
        <f>VLOOKUP(D48,坦克类型系数!$CH$21:$CN$24,7,FALSE)</f>
        <v>17.5</v>
      </c>
      <c r="AO48" s="2">
        <f>VLOOKUP(F48,坦克类型系数!$BM$13:$BV$20,6,FALSE)</f>
        <v>1.24</v>
      </c>
      <c r="AP48" s="142">
        <f>基础属性系数!$C$56</f>
        <v>0.2</v>
      </c>
      <c r="AQ48" s="142">
        <f>基础属性系数!$C$55</f>
        <v>0.3</v>
      </c>
      <c r="AR48" s="2">
        <f>VLOOKUP(D48,坦克类型系数!$DE$9:$DH$12,2,FALSE)</f>
        <v>0.8</v>
      </c>
      <c r="AS48" s="2">
        <f>VLOOKUP(D48,坦克类型系数!$DE$9:$DH$12,3,FALSE)</f>
        <v>0.8</v>
      </c>
      <c r="AT48" s="2">
        <f>VLOOKUP(D48,坦克类型系数!$DE$9:$DH$12,4,FALSE)</f>
        <v>0.8</v>
      </c>
      <c r="AU48" s="2">
        <f>VLOOKUP(D48,坦克类型系数!$AH$9:$AK$12,3,FALSE)</f>
        <v>5</v>
      </c>
      <c r="AV48" s="2">
        <f>VLOOKUP(D48,坦克类型系数!$AH$9:$AK$12,4,FALSE)</f>
        <v>10</v>
      </c>
      <c r="AW48" s="142">
        <f>VLOOKUP($B48,坦克类型系数!$B$3:$AF$33,MATCH(AW$18,坦克类型系数!$B$3:$AF$3,0),FALSE)</f>
        <v>0</v>
      </c>
      <c r="AX48" s="142">
        <f>VLOOKUP($B48,坦克类型系数!$B$3:$AF$33,MATCH(AX$18,坦克类型系数!$B$3:$AF$3,0),FALSE)</f>
        <v>2.4</v>
      </c>
      <c r="AY48" s="142">
        <f>VLOOKUP($B48,坦克类型系数!$B$3:$AF$33,MATCH(AY$18,坦克类型系数!$B$3:$AF$3,0),FALSE)</f>
        <v>1.65</v>
      </c>
      <c r="AZ48" s="142">
        <f>VLOOKUP($B48,坦克类型系数!$B$3:$AF$33,MATCH(AZ$18,坦克类型系数!$B$3:$AF$3,0),FALSE)</f>
        <v>1.65</v>
      </c>
      <c r="BA48" s="142">
        <f>VLOOKUP($B48,坦克类型系数!$B$3:$AF$33,MATCH(BA$18,坦克类型系数!$B$3:$AF$3,0),FALSE)</f>
        <v>0.9</v>
      </c>
      <c r="BB48" s="142">
        <f>VLOOKUP($B48,坦克类型系数!$B$3:$AF$33,MATCH(BB$18,坦克类型系数!$B$3:$AF$3,0),FALSE)</f>
        <v>0.9</v>
      </c>
      <c r="BC48" s="142">
        <f>VLOOKUP($B48,坦克类型系数!$B$3:$AF$33,MATCH(BC$18,坦克类型系数!$B$3:$AF$3,0),FALSE)</f>
        <v>0.85</v>
      </c>
    </row>
    <row r="49" spans="2:23" x14ac:dyDescent="0.3">
      <c r="M49" s="151"/>
    </row>
    <row r="50" spans="2:23" x14ac:dyDescent="0.3">
      <c r="B50" s="352" t="s">
        <v>1164</v>
      </c>
      <c r="C50" s="353"/>
      <c r="D50" s="353"/>
      <c r="E50" s="353"/>
      <c r="F50" s="353"/>
      <c r="G50" s="353"/>
      <c r="H50" s="353"/>
      <c r="I50" s="353"/>
      <c r="J50" s="353"/>
      <c r="K50" s="353"/>
      <c r="L50" s="353"/>
      <c r="M50" s="353"/>
      <c r="N50" s="353"/>
      <c r="O50" s="353"/>
      <c r="P50" s="353"/>
      <c r="Q50" s="353"/>
      <c r="R50" s="353"/>
      <c r="S50" s="353"/>
      <c r="T50" s="354"/>
      <c r="U50" s="351" t="s">
        <v>1165</v>
      </c>
      <c r="V50" s="351"/>
      <c r="W50" s="351"/>
    </row>
    <row r="51" spans="2:23" x14ac:dyDescent="0.3">
      <c r="B51" s="2" t="s">
        <v>599</v>
      </c>
      <c r="C51" s="2" t="s">
        <v>775</v>
      </c>
      <c r="D51" s="2" t="s">
        <v>1098</v>
      </c>
      <c r="E51" s="2" t="s">
        <v>1166</v>
      </c>
      <c r="F51" s="2" t="s">
        <v>1167</v>
      </c>
      <c r="G51" s="2" t="s">
        <v>86</v>
      </c>
      <c r="H51" s="2" t="s">
        <v>87</v>
      </c>
      <c r="I51" s="2" t="s">
        <v>1168</v>
      </c>
      <c r="J51" s="116" t="s">
        <v>88</v>
      </c>
      <c r="K51" s="2" t="s">
        <v>89</v>
      </c>
      <c r="L51" s="2" t="s">
        <v>90</v>
      </c>
      <c r="M51" s="2" t="s">
        <v>1169</v>
      </c>
      <c r="N51" s="2" t="s">
        <v>1170</v>
      </c>
      <c r="O51" s="2" t="s">
        <v>171</v>
      </c>
      <c r="P51" s="2" t="s">
        <v>1171</v>
      </c>
      <c r="Q51" s="2" t="s">
        <v>1172</v>
      </c>
      <c r="R51" s="2" t="s">
        <v>1173</v>
      </c>
      <c r="S51" s="2" t="s">
        <v>1174</v>
      </c>
      <c r="T51" s="2" t="s">
        <v>1106</v>
      </c>
      <c r="U51" s="2" t="s">
        <v>1175</v>
      </c>
      <c r="V51" s="2" t="s">
        <v>1176</v>
      </c>
      <c r="W51" s="2" t="s">
        <v>1177</v>
      </c>
    </row>
    <row r="52" spans="2:23" x14ac:dyDescent="0.3">
      <c r="B52" s="2" t="str">
        <f t="shared" ref="B52:B81" si="9">B19</f>
        <v>雷诺FT</v>
      </c>
      <c r="C52" s="2" t="str">
        <f t="shared" ref="C52:C81" si="10">E19</f>
        <v>T1</v>
      </c>
      <c r="D52" s="2" t="str">
        <f t="shared" ref="D52:D81" si="11">F19</f>
        <v>轻坦弹夹</v>
      </c>
      <c r="E52" s="2">
        <f>VLOOKUP(D52,标准坦克设计!$B$13:$K$20,MATCH("弹夹容量",标准坦克设计!$B$13:$K$13,0),FALSE)</f>
        <v>9</v>
      </c>
      <c r="F52" s="41">
        <v>2</v>
      </c>
      <c r="G52" s="2">
        <f>ROUNDUP(E52*F52,0)</f>
        <v>18</v>
      </c>
      <c r="H52" s="2">
        <f>VLOOKUP(D52,标准坦克设计!$B$13:$K$20,MATCH(H$51,标准坦克设计!$B$13:$K$13,0),FALSE)</f>
        <v>0.7</v>
      </c>
      <c r="I52" s="21">
        <v>0.6</v>
      </c>
      <c r="J52" s="2">
        <f>IF(RIGHT(D52,2)="弹夹",0,H52*I52)</f>
        <v>0</v>
      </c>
      <c r="K52" s="2">
        <f>IF(J52&gt;0,0,H52*I52*G52)</f>
        <v>7.56</v>
      </c>
      <c r="L52" s="2">
        <f t="shared" ref="L52:L81" si="12">VLOOKUP(B52,$B$18:$BC$48,MATCH(L$51,$B$18:$BC$18,0),FALSE)</f>
        <v>0.60000000000000009</v>
      </c>
      <c r="M52" s="2">
        <f>IF(D52="轻坦弹夹",ROUND(((G52/VLOOKUP(D52,坦克类型系数!$AQ$3:$AX$10,MATCH("标准轮次数",坦克类型系数!$AQ$3:$AX$3,0),FALSE)-1)*L52*O52+VLOOKUP(D52,坦克类型系数!$AQ$3:$AX$10,MATCH("累积偏移角",坦克类型系数!$AQ$3:$AX$3,0),FALSE))/(G52/VLOOKUP(D52,坦克类型系数!$AQ$3:$AX$10,MATCH("标准轮次数",坦克类型系数!$AQ$3:$AX$3,0),FALSE))/2,2),ROUND(((G52/VLOOKUP(D52,坦克类型系数!$AQ$3:$AX$10,MATCH("标准轮次数",坦克类型系数!$AQ$3:$AX$3,0),FALSE)-1)*L52*O52+VLOOKUP(D52,坦克类型系数!$AQ$3:$AX$10,MATCH("累积偏移角",坦克类型系数!$AQ$3:$AX$3,0),FALSE))/(G52/VLOOKUP(D52,坦克类型系数!$AQ$3:$AX$10,MATCH("标准轮次数",坦克类型系数!$AQ$3:$AX$3,0),FALSE)),2))</f>
        <v>0.45</v>
      </c>
      <c r="N52" s="2">
        <f>VLOOKUP(D52,坦克类型系数!$AZ$3:$BE$10,4,FALSE)/F52</f>
        <v>0.24</v>
      </c>
      <c r="O52" s="2">
        <f t="shared" ref="O52:O81" si="13">VLOOKUP(B52,$B$18:$BC$48,MATCH(O$51,$B$18:$BC$18,0),FALSE)</f>
        <v>1.2</v>
      </c>
      <c r="P52" s="34">
        <f>IF(LEN(D52)=5,(60-(G52-1)*L52)/J52+G52,IF(RIGHT(D52,2)="弹夹",((60-(G52-1)*L52)/(K52+(G52-1)*L52)+1)*G52,60/J52+G52))</f>
        <v>68.472972972972968</v>
      </c>
      <c r="Q52" s="34">
        <f>VLOOKUP(D52,标准坦克设计!$B$13:$K$20,MATCH("60S射数",标准坦克设计!$B$13:$K$13,0),FALSE)/P52</f>
        <v>1.2273784804743204</v>
      </c>
      <c r="R52" s="34">
        <f>IF(LEN(D52)=5,(30-(G52-1)*L52)/J52+G52,IF(RIGHT(D52,2)="弹夹",((30-(G52-1)*L52)/(K52+(G52-1)*L52)+1)*G52,30/J52+G52))</f>
        <v>38.067567567567565</v>
      </c>
      <c r="S52" s="34">
        <f>VLOOKUP(D52,标准坦克设计!$B$13:$K$20,MATCH("半分连射数",标准坦克设计!$B$13:$K$13,0),FALSE)</f>
        <v>34.389473684210529</v>
      </c>
      <c r="T52" s="34">
        <f>S52/R52</f>
        <v>0.90337985538927201</v>
      </c>
      <c r="U52" s="142">
        <v>0.25</v>
      </c>
      <c r="V52" s="2">
        <f>ROUNDDOWN(SQRT(G52),0)</f>
        <v>4</v>
      </c>
      <c r="W52" s="2">
        <f>ROUND((IF(LEN(D52)=5,(60-(G52-1)*L52)/(P52*(1-U52)-G52)-J52,IF(RIGHT(D52,2)="弹夹",(60-(P52*(1-U52)/G52-1)*K52)/(P52*(1-U52)/G52)/((G52-1))-L52,60/(P52*(1-U52)-G52)-J52)))*V52,2)</f>
        <v>1.39</v>
      </c>
    </row>
    <row r="53" spans="2:23" x14ac:dyDescent="0.3">
      <c r="B53" s="2" t="str">
        <f t="shared" si="9"/>
        <v>二号</v>
      </c>
      <c r="C53" s="2" t="str">
        <f t="shared" si="10"/>
        <v>T2</v>
      </c>
      <c r="D53" s="2" t="str">
        <f t="shared" si="11"/>
        <v>轻坦弹夹</v>
      </c>
      <c r="E53" s="2">
        <f>VLOOKUP(D53,标准坦克设计!$B$13:$K$20,MATCH("弹夹容量",标准坦克设计!$B$13:$K$13,0),FALSE)</f>
        <v>9</v>
      </c>
      <c r="F53" s="41">
        <v>2.2000000000000002</v>
      </c>
      <c r="G53" s="322">
        <f t="shared" ref="G53:G81" si="14">ROUNDUP(E53*F53,0)</f>
        <v>20</v>
      </c>
      <c r="H53" s="2">
        <f>VLOOKUP(D53,标准坦克设计!$B$13:$K$20,MATCH(H$51,标准坦克设计!$B$13:$K$13,0),FALSE)</f>
        <v>0.7</v>
      </c>
      <c r="I53" s="21">
        <v>0.8</v>
      </c>
      <c r="J53" s="2">
        <f t="shared" ref="J53:J81" si="15">IF(RIGHT(D53,2)="弹夹",0,H53*I53)</f>
        <v>0</v>
      </c>
      <c r="K53" s="2">
        <f t="shared" ref="K53:K81" si="16">IF(J53&gt;0,0,H53*I53*G53)</f>
        <v>11.2</v>
      </c>
      <c r="L53" s="2">
        <f t="shared" si="12"/>
        <v>0.60000000000000009</v>
      </c>
      <c r="M53" s="2">
        <f>IF(D53="轻坦弹夹",ROUND(((G53/VLOOKUP(D53,坦克类型系数!$AQ$3:$AX$10,MATCH("标准轮次数",坦克类型系数!$AQ$3:$AX$3,0),FALSE)-1)*L53*O53+VLOOKUP(D53,坦克类型系数!$AQ$3:$AX$10,MATCH("累积偏移角",坦克类型系数!$AQ$3:$AX$3,0),FALSE))/(G53/VLOOKUP(D53,坦克类型系数!$AQ$3:$AX$10,MATCH("标准轮次数",坦克类型系数!$AQ$3:$AX$3,0),FALSE))/2,2),ROUND(((G53/VLOOKUP(D53,坦克类型系数!$AQ$3:$AX$10,MATCH("标准轮次数",坦克类型系数!$AQ$3:$AX$3,0),FALSE)-1)*L53*O53+VLOOKUP(D53,坦克类型系数!$AQ$3:$AX$10,MATCH("累积偏移角",坦克类型系数!$AQ$3:$AX$3,0),FALSE))/(G53/VLOOKUP(D53,坦克类型系数!$AQ$3:$AX$10,MATCH("标准轮次数",坦克类型系数!$AQ$3:$AX$3,0),FALSE)),2))</f>
        <v>0.44</v>
      </c>
      <c r="N53" s="2">
        <f>VLOOKUP(D53,坦克类型系数!$AZ$3:$BE$10,4,FALSE)/F53</f>
        <v>0.21818181818181814</v>
      </c>
      <c r="O53" s="2">
        <f t="shared" si="13"/>
        <v>1.2</v>
      </c>
      <c r="P53" s="34">
        <f t="shared" ref="P53:P81" si="17">IF(LEN(D53)=5,(60-(G53-1)*L53)/J53+G53,IF(RIGHT(D53,2)="弹夹",((60-(G53-1)*L53)/(K53+(G53-1)*L53)+1)*G53,60/J53+G53))</f>
        <v>63.008849557522112</v>
      </c>
      <c r="Q53" s="34">
        <f>VLOOKUP(D53,标准坦克设计!$B$13:$K$20,MATCH("60S射数",标准坦克设计!$B$13:$K$13,0),FALSE)/P53</f>
        <v>1.3338166640291189</v>
      </c>
      <c r="R53" s="34">
        <f t="shared" ref="R53:R81" si="18">IF(LEN(D53)=5,(30-(G53-1)*L53)/J53+G53,IF(RIGHT(D53,2)="弹夹",((30-(G53-1)*L53)/(K53+(G53-1)*L53)+1)*G53,30/J53+G53))</f>
        <v>36.460176991150433</v>
      </c>
      <c r="S53" s="34">
        <f>VLOOKUP(D53,标准坦克设计!$B$13:$K$20,MATCH("半分连射数",标准坦克设计!$B$13:$K$13,0),FALSE)</f>
        <v>34.389473684210529</v>
      </c>
      <c r="T53" s="34">
        <f t="shared" ref="T53:T81" si="19">S53/R53</f>
        <v>0.94320643842616281</v>
      </c>
      <c r="U53" s="142">
        <v>0.25</v>
      </c>
      <c r="V53" s="2">
        <f t="shared" ref="V53:V81" si="20">ROUNDDOWN(SQRT(G53),0)</f>
        <v>4</v>
      </c>
      <c r="W53" s="2">
        <f t="shared" ref="W53:W81" si="21">ROUND((IF(LEN(D53)=5,(60-(G53-1)*L53)/(P53*(1-U53)-G53)-J53,IF(RIGHT(D53,2)="弹夹",(60-(P53*(1-U53)/G53-1)*K53)/(P53*(1-U53)/G53)/((G53-1))-L53,60/(P53*(1-U53)-G53)-J53)))*V53,2)</f>
        <v>1.59</v>
      </c>
    </row>
    <row r="54" spans="2:23" x14ac:dyDescent="0.3">
      <c r="B54" s="2" t="str">
        <f t="shared" si="9"/>
        <v>Puma</v>
      </c>
      <c r="C54" s="2" t="str">
        <f t="shared" si="10"/>
        <v>T2</v>
      </c>
      <c r="D54" s="2" t="str">
        <f t="shared" si="11"/>
        <v>轻坦弹夹</v>
      </c>
      <c r="E54" s="2">
        <f>VLOOKUP(D54,标准坦克设计!$B$13:$K$20,MATCH("弹夹容量",标准坦克设计!$B$13:$K$13,0),FALSE)</f>
        <v>9</v>
      </c>
      <c r="F54" s="41">
        <v>1</v>
      </c>
      <c r="G54" s="322">
        <f t="shared" si="14"/>
        <v>9</v>
      </c>
      <c r="H54" s="2">
        <f>VLOOKUP(D54,标准坦克设计!$B$13:$K$20,MATCH(H$51,标准坦克设计!$B$13:$K$13,0),FALSE)</f>
        <v>0.7</v>
      </c>
      <c r="I54" s="21">
        <v>0.75</v>
      </c>
      <c r="J54" s="2">
        <f t="shared" si="15"/>
        <v>0</v>
      </c>
      <c r="K54" s="2">
        <f t="shared" si="16"/>
        <v>4.7249999999999996</v>
      </c>
      <c r="L54" s="2">
        <f t="shared" si="12"/>
        <v>0.8</v>
      </c>
      <c r="M54" s="2">
        <f>IF(D54="轻坦弹夹",ROUND(((G54/VLOOKUP(D54,坦克类型系数!$AQ$3:$AX$10,MATCH("标准轮次数",坦克类型系数!$AQ$3:$AX$3,0),FALSE)-1)*L54*O54+VLOOKUP(D54,坦克类型系数!$AQ$3:$AX$10,MATCH("累积偏移角",坦克类型系数!$AQ$3:$AX$3,0),FALSE))/(G54/VLOOKUP(D54,坦克类型系数!$AQ$3:$AX$10,MATCH("标准轮次数",坦克类型系数!$AQ$3:$AX$3,0),FALSE))/2,2),ROUND(((G54/VLOOKUP(D54,坦克类型系数!$AQ$3:$AX$10,MATCH("标准轮次数",坦克类型系数!$AQ$3:$AX$3,0),FALSE)-1)*L54*O54+VLOOKUP(D54,坦克类型系数!$AQ$3:$AX$10,MATCH("累积偏移角",坦克类型系数!$AQ$3:$AX$3,0),FALSE))/(G54/VLOOKUP(D54,坦克类型系数!$AQ$3:$AX$10,MATCH("标准轮次数",坦克类型系数!$AQ$3:$AX$3,0),FALSE)),2))</f>
        <v>0.62</v>
      </c>
      <c r="N54" s="2">
        <f>VLOOKUP(D54,坦克类型系数!$AZ$3:$BE$10,4,FALSE)/F54</f>
        <v>0.48</v>
      </c>
      <c r="O54" s="2">
        <f t="shared" si="13"/>
        <v>1.2</v>
      </c>
      <c r="P54" s="34">
        <f t="shared" si="17"/>
        <v>52.361797752808982</v>
      </c>
      <c r="Q54" s="34">
        <f>VLOOKUP(D54,标准坦克设计!$B$13:$K$20,MATCH("60S射数",标准坦克设计!$B$13:$K$13,0),FALSE)/P54</f>
        <v>1.6050299479379175</v>
      </c>
      <c r="R54" s="34">
        <f t="shared" si="18"/>
        <v>28.092134831460676</v>
      </c>
      <c r="S54" s="34">
        <f>VLOOKUP(D54,标准坦克设计!$B$13:$K$20,MATCH("半分连射数",标准坦克设计!$B$13:$K$13,0),FALSE)</f>
        <v>34.389473684210529</v>
      </c>
      <c r="T54" s="34">
        <f t="shared" si="19"/>
        <v>1.224167329771513</v>
      </c>
      <c r="U54" s="142">
        <v>0.25</v>
      </c>
      <c r="V54" s="2">
        <v>1</v>
      </c>
      <c r="W54" s="2">
        <f t="shared" si="21"/>
        <v>0.46</v>
      </c>
    </row>
    <row r="55" spans="2:23" x14ac:dyDescent="0.3">
      <c r="B55" s="2" t="str">
        <f t="shared" si="9"/>
        <v>35(t)</v>
      </c>
      <c r="C55" s="2" t="str">
        <f t="shared" si="10"/>
        <v>T3</v>
      </c>
      <c r="D55" s="2" t="str">
        <f t="shared" si="11"/>
        <v>轻坦弹夹</v>
      </c>
      <c r="E55" s="2">
        <f>VLOOKUP(D55,标准坦克设计!$B$13:$K$20,MATCH("弹夹容量",标准坦克设计!$B$13:$K$13,0),FALSE)</f>
        <v>9</v>
      </c>
      <c r="F55" s="41">
        <v>1.5</v>
      </c>
      <c r="G55" s="322">
        <f t="shared" si="14"/>
        <v>14</v>
      </c>
      <c r="H55" s="2">
        <f>VLOOKUP(D55,标准坦克设计!$B$13:$K$20,MATCH(H$51,标准坦克设计!$B$13:$K$13,0),FALSE)</f>
        <v>0.7</v>
      </c>
      <c r="I55" s="21">
        <v>1</v>
      </c>
      <c r="J55" s="2">
        <f t="shared" si="15"/>
        <v>0</v>
      </c>
      <c r="K55" s="2">
        <f t="shared" si="16"/>
        <v>9.7999999999999989</v>
      </c>
      <c r="L55" s="2">
        <f t="shared" si="12"/>
        <v>0.8</v>
      </c>
      <c r="M55" s="2">
        <f>IF(D55="轻坦弹夹",ROUND(((G55/VLOOKUP(D55,坦克类型系数!$AQ$3:$AX$10,MATCH("标准轮次数",坦克类型系数!$AQ$3:$AX$3,0),FALSE)-1)*L55*O55+VLOOKUP(D55,坦克类型系数!$AQ$3:$AX$10,MATCH("累积偏移角",坦克类型系数!$AQ$3:$AX$3,0),FALSE))/(G55/VLOOKUP(D55,坦克类型系数!$AQ$3:$AX$10,MATCH("标准轮次数",坦克类型系数!$AQ$3:$AX$3,0),FALSE))/2,2),ROUND(((G55/VLOOKUP(D55,坦克类型系数!$AQ$3:$AX$10,MATCH("标准轮次数",坦克类型系数!$AQ$3:$AX$3,0),FALSE)-1)*L55*O55+VLOOKUP(D55,坦克类型系数!$AQ$3:$AX$10,MATCH("累积偏移角",坦克类型系数!$AQ$3:$AX$3,0),FALSE))/(G55/VLOOKUP(D55,坦克类型系数!$AQ$3:$AX$10,MATCH("标准轮次数",坦克类型系数!$AQ$3:$AX$3,0),FALSE)),2))</f>
        <v>0.56999999999999995</v>
      </c>
      <c r="N55" s="2">
        <f>VLOOKUP(D55,坦克类型系数!$AZ$3:$BE$10,4,FALSE)/F55</f>
        <v>0.32</v>
      </c>
      <c r="O55" s="2">
        <f t="shared" si="13"/>
        <v>1.2</v>
      </c>
      <c r="P55" s="34">
        <f t="shared" si="17"/>
        <v>48.376237623762378</v>
      </c>
      <c r="Q55" s="34">
        <f>VLOOKUP(D55,标准坦克设计!$B$13:$K$20,MATCH("60S射数",标准坦克设计!$B$13:$K$13,0),FALSE)/P55</f>
        <v>1.7372631202688913</v>
      </c>
      <c r="R55" s="34">
        <f t="shared" si="18"/>
        <v>27.584158415841586</v>
      </c>
      <c r="S55" s="34">
        <f>VLOOKUP(D55,标准坦克设计!$B$13:$K$20,MATCH("半分连射数",标准坦克设计!$B$13:$K$13,0),FALSE)</f>
        <v>34.389473684210529</v>
      </c>
      <c r="T55" s="34">
        <f t="shared" si="19"/>
        <v>1.2467109986020328</v>
      </c>
      <c r="U55" s="142">
        <v>0.25</v>
      </c>
      <c r="V55" s="2">
        <v>1</v>
      </c>
      <c r="W55" s="2">
        <f t="shared" si="21"/>
        <v>0.52</v>
      </c>
    </row>
    <row r="56" spans="2:23" x14ac:dyDescent="0.3">
      <c r="B56" s="2" t="str">
        <f t="shared" si="9"/>
        <v>十字军</v>
      </c>
      <c r="C56" s="2" t="str">
        <f t="shared" si="10"/>
        <v>T3</v>
      </c>
      <c r="D56" s="2" t="str">
        <f t="shared" si="11"/>
        <v>轻坦弹夹</v>
      </c>
      <c r="E56" s="2">
        <f>VLOOKUP(D56,标准坦克设计!$B$13:$K$20,MATCH("弹夹容量",标准坦克设计!$B$13:$K$13,0),FALSE)</f>
        <v>9</v>
      </c>
      <c r="F56" s="41">
        <v>2</v>
      </c>
      <c r="G56" s="322">
        <f t="shared" si="14"/>
        <v>18</v>
      </c>
      <c r="H56" s="2">
        <f>VLOOKUP(D56,标准坦克设计!$B$13:$K$20,MATCH(H$51,标准坦克设计!$B$13:$K$13,0),FALSE)</f>
        <v>0.7</v>
      </c>
      <c r="I56" s="21">
        <v>1</v>
      </c>
      <c r="J56" s="2">
        <f t="shared" si="15"/>
        <v>0</v>
      </c>
      <c r="K56" s="2">
        <f t="shared" si="16"/>
        <v>12.6</v>
      </c>
      <c r="L56" s="2">
        <f t="shared" si="12"/>
        <v>0.60000000000000009</v>
      </c>
      <c r="M56" s="2">
        <f>IF(D56="轻坦弹夹",ROUND(((G56/VLOOKUP(D56,坦克类型系数!$AQ$3:$AX$10,MATCH("标准轮次数",坦克类型系数!$AQ$3:$AX$3,0),FALSE)-1)*L56*O56+VLOOKUP(D56,坦克类型系数!$AQ$3:$AX$10,MATCH("累积偏移角",坦克类型系数!$AQ$3:$AX$3,0),FALSE))/(G56/VLOOKUP(D56,坦克类型系数!$AQ$3:$AX$10,MATCH("标准轮次数",坦克类型系数!$AQ$3:$AX$3,0),FALSE))/2,2),ROUND(((G56/VLOOKUP(D56,坦克类型系数!$AQ$3:$AX$10,MATCH("标准轮次数",坦克类型系数!$AQ$3:$AX$3,0),FALSE)-1)*L56*O56+VLOOKUP(D56,坦克类型系数!$AQ$3:$AX$10,MATCH("累积偏移角",坦克类型系数!$AQ$3:$AX$3,0),FALSE))/(G56/VLOOKUP(D56,坦克类型系数!$AQ$3:$AX$10,MATCH("标准轮次数",坦克类型系数!$AQ$3:$AX$3,0),FALSE)),2))</f>
        <v>0.45</v>
      </c>
      <c r="N56" s="2">
        <f>VLOOKUP(D56,坦克类型系数!$AZ$3:$BE$10,4,FALSE)/F56</f>
        <v>0.24</v>
      </c>
      <c r="O56" s="2">
        <f t="shared" si="13"/>
        <v>1.2</v>
      </c>
      <c r="P56" s="34">
        <f t="shared" si="17"/>
        <v>57.315789473684205</v>
      </c>
      <c r="Q56" s="34">
        <f>VLOOKUP(D56,标准坦克设计!$B$13:$K$20,MATCH("60S射数",标准坦克设计!$B$13:$K$13,0),FALSE)/P56</f>
        <v>1.4663019438947738</v>
      </c>
      <c r="R56" s="34">
        <f t="shared" si="18"/>
        <v>33.631578947368418</v>
      </c>
      <c r="S56" s="34">
        <f>VLOOKUP(D56,标准坦克设计!$B$13:$K$20,MATCH("半分连射数",标准坦克设计!$B$13:$K$13,0),FALSE)</f>
        <v>34.389473684210529</v>
      </c>
      <c r="T56" s="34">
        <f t="shared" si="19"/>
        <v>1.0225352112676058</v>
      </c>
      <c r="U56" s="142">
        <v>0.25</v>
      </c>
      <c r="V56" s="2">
        <f t="shared" si="20"/>
        <v>4</v>
      </c>
      <c r="W56" s="2">
        <f t="shared" si="21"/>
        <v>1.79</v>
      </c>
    </row>
    <row r="57" spans="2:23" x14ac:dyDescent="0.3">
      <c r="B57" s="2" t="str">
        <f t="shared" si="9"/>
        <v>AMX-13</v>
      </c>
      <c r="C57" s="2" t="str">
        <f t="shared" si="10"/>
        <v>T3</v>
      </c>
      <c r="D57" s="2" t="str">
        <f t="shared" si="11"/>
        <v>轻坦弹夹</v>
      </c>
      <c r="E57" s="2">
        <f>VLOOKUP(D57,标准坦克设计!$B$13:$K$20,MATCH("弹夹容量",标准坦克设计!$B$13:$K$13,0),FALSE)</f>
        <v>9</v>
      </c>
      <c r="F57" s="41">
        <v>1.5</v>
      </c>
      <c r="G57" s="322">
        <f t="shared" si="14"/>
        <v>14</v>
      </c>
      <c r="H57" s="2">
        <f>VLOOKUP(D57,标准坦克设计!$B$13:$K$20,MATCH(H$51,标准坦克设计!$B$13:$K$13,0),FALSE)</f>
        <v>0.7</v>
      </c>
      <c r="I57" s="21">
        <v>1</v>
      </c>
      <c r="J57" s="2">
        <f t="shared" si="15"/>
        <v>0</v>
      </c>
      <c r="K57" s="2">
        <f t="shared" si="16"/>
        <v>9.7999999999999989</v>
      </c>
      <c r="L57" s="2">
        <f t="shared" si="12"/>
        <v>0.8</v>
      </c>
      <c r="M57" s="2">
        <f>IF(D57="轻坦弹夹",ROUND(((G57/VLOOKUP(D57,坦克类型系数!$AQ$3:$AX$10,MATCH("标准轮次数",坦克类型系数!$AQ$3:$AX$3,0),FALSE)-1)*L57*O57+VLOOKUP(D57,坦克类型系数!$AQ$3:$AX$10,MATCH("累积偏移角",坦克类型系数!$AQ$3:$AX$3,0),FALSE))/(G57/VLOOKUP(D57,坦克类型系数!$AQ$3:$AX$10,MATCH("标准轮次数",坦克类型系数!$AQ$3:$AX$3,0),FALSE))/2,2),ROUND(((G57/VLOOKUP(D57,坦克类型系数!$AQ$3:$AX$10,MATCH("标准轮次数",坦克类型系数!$AQ$3:$AX$3,0),FALSE)-1)*L57*O57+VLOOKUP(D57,坦克类型系数!$AQ$3:$AX$10,MATCH("累积偏移角",坦克类型系数!$AQ$3:$AX$3,0),FALSE))/(G57/VLOOKUP(D57,坦克类型系数!$AQ$3:$AX$10,MATCH("标准轮次数",坦克类型系数!$AQ$3:$AX$3,0),FALSE)),2))</f>
        <v>0.56999999999999995</v>
      </c>
      <c r="N57" s="2">
        <f>VLOOKUP(D57,坦克类型系数!$AZ$3:$BE$10,4,FALSE)/F57</f>
        <v>0.32</v>
      </c>
      <c r="O57" s="2">
        <f t="shared" si="13"/>
        <v>1.2</v>
      </c>
      <c r="P57" s="34">
        <f t="shared" si="17"/>
        <v>48.376237623762378</v>
      </c>
      <c r="Q57" s="34">
        <f>VLOOKUP(D57,标准坦克设计!$B$13:$K$20,MATCH("60S射数",标准坦克设计!$B$13:$K$13,0),FALSE)/P57</f>
        <v>1.7372631202688913</v>
      </c>
      <c r="R57" s="34">
        <f t="shared" si="18"/>
        <v>27.584158415841586</v>
      </c>
      <c r="S57" s="34">
        <f>VLOOKUP(D57,标准坦克设计!$B$13:$K$20,MATCH("半分连射数",标准坦克设计!$B$13:$K$13,0),FALSE)</f>
        <v>34.389473684210529</v>
      </c>
      <c r="T57" s="34">
        <f t="shared" si="19"/>
        <v>1.2467109986020328</v>
      </c>
      <c r="U57" s="142">
        <v>0.25</v>
      </c>
      <c r="V57" s="2">
        <f t="shared" si="20"/>
        <v>3</v>
      </c>
      <c r="W57" s="2">
        <f t="shared" si="21"/>
        <v>1.55</v>
      </c>
    </row>
    <row r="58" spans="2:23" x14ac:dyDescent="0.3">
      <c r="B58" s="2" t="str">
        <f t="shared" si="9"/>
        <v>霞飞</v>
      </c>
      <c r="C58" s="2" t="str">
        <f t="shared" si="10"/>
        <v>T4</v>
      </c>
      <c r="D58" s="2" t="str">
        <f t="shared" si="11"/>
        <v>轻坦弹夹</v>
      </c>
      <c r="E58" s="2">
        <f>VLOOKUP(D58,标准坦克设计!$B$13:$K$20,MATCH("弹夹容量",标准坦克设计!$B$13:$K$13,0),FALSE)</f>
        <v>9</v>
      </c>
      <c r="F58" s="41">
        <v>1.5</v>
      </c>
      <c r="G58" s="322">
        <f t="shared" si="14"/>
        <v>14</v>
      </c>
      <c r="H58" s="2">
        <f>VLOOKUP(D58,标准坦克设计!$B$13:$K$20,MATCH(H$51,标准坦克设计!$B$13:$K$13,0),FALSE)</f>
        <v>0.7</v>
      </c>
      <c r="I58" s="21">
        <v>1</v>
      </c>
      <c r="J58" s="2">
        <f t="shared" si="15"/>
        <v>0</v>
      </c>
      <c r="K58" s="2">
        <f t="shared" si="16"/>
        <v>9.7999999999999989</v>
      </c>
      <c r="L58" s="2">
        <f t="shared" si="12"/>
        <v>0.60000000000000009</v>
      </c>
      <c r="M58" s="2">
        <f>IF(D58="轻坦弹夹",ROUND(((G58/VLOOKUP(D58,坦克类型系数!$AQ$3:$AX$10,MATCH("标准轮次数",坦克类型系数!$AQ$3:$AX$3,0),FALSE)-1)*L58*O58+VLOOKUP(D58,坦克类型系数!$AQ$3:$AX$10,MATCH("累积偏移角",坦克类型系数!$AQ$3:$AX$3,0),FALSE))/(G58/VLOOKUP(D58,坦克类型系数!$AQ$3:$AX$10,MATCH("标准轮次数",坦克类型系数!$AQ$3:$AX$3,0),FALSE))/2,2),ROUND(((G58/VLOOKUP(D58,坦克类型系数!$AQ$3:$AX$10,MATCH("标准轮次数",坦克类型系数!$AQ$3:$AX$3,0),FALSE)-1)*L58*O58+VLOOKUP(D58,坦克类型系数!$AQ$3:$AX$10,MATCH("累积偏移角",坦克类型系数!$AQ$3:$AX$3,0),FALSE))/(G58/VLOOKUP(D58,坦克类型系数!$AQ$3:$AX$10,MATCH("标准轮次数",坦克类型系数!$AQ$3:$AX$3,0),FALSE)),2))</f>
        <v>0.48</v>
      </c>
      <c r="N58" s="2">
        <f>VLOOKUP(D58,坦克类型系数!$AZ$3:$BE$10,4,FALSE)/F58</f>
        <v>0.32</v>
      </c>
      <c r="O58" s="2">
        <f t="shared" si="13"/>
        <v>1.2</v>
      </c>
      <c r="P58" s="34">
        <f t="shared" si="17"/>
        <v>55.522727272727273</v>
      </c>
      <c r="Q58" s="34">
        <f>VLOOKUP(D58,标准坦克设计!$B$13:$K$20,MATCH("60S射数",标准坦克设计!$B$13:$K$13,0),FALSE)/P58</f>
        <v>1.513654995877846</v>
      </c>
      <c r="R58" s="34">
        <f t="shared" si="18"/>
        <v>31.659090909090907</v>
      </c>
      <c r="S58" s="34">
        <f>VLOOKUP(D58,标准坦克设计!$B$13:$K$20,MATCH("半分连射数",标准坦克设计!$B$13:$K$13,0),FALSE)</f>
        <v>34.389473684210529</v>
      </c>
      <c r="T58" s="34">
        <f t="shared" si="19"/>
        <v>1.0862432463067218</v>
      </c>
      <c r="U58" s="142">
        <v>0.25</v>
      </c>
      <c r="V58" s="2">
        <v>1</v>
      </c>
      <c r="W58" s="2">
        <f t="shared" si="21"/>
        <v>0.45</v>
      </c>
    </row>
    <row r="59" spans="2:23" x14ac:dyDescent="0.3">
      <c r="B59" s="2" t="str">
        <f t="shared" si="9"/>
        <v>M-41</v>
      </c>
      <c r="C59" s="2" t="str">
        <f t="shared" si="10"/>
        <v>T4</v>
      </c>
      <c r="D59" s="2" t="str">
        <f t="shared" si="11"/>
        <v>轻坦弹夹</v>
      </c>
      <c r="E59" s="2">
        <f>VLOOKUP(D59,标准坦克设计!$B$13:$K$20,MATCH("弹夹容量",标准坦克设计!$B$13:$K$13,0),FALSE)</f>
        <v>9</v>
      </c>
      <c r="F59" s="41">
        <v>2</v>
      </c>
      <c r="G59" s="322">
        <f t="shared" si="14"/>
        <v>18</v>
      </c>
      <c r="H59" s="2">
        <f>VLOOKUP(D59,标准坦克设计!$B$13:$K$20,MATCH(H$51,标准坦克设计!$B$13:$K$13,0),FALSE)</f>
        <v>0.7</v>
      </c>
      <c r="I59" s="21">
        <v>1</v>
      </c>
      <c r="J59" s="2">
        <f t="shared" si="15"/>
        <v>0</v>
      </c>
      <c r="K59" s="2">
        <f t="shared" si="16"/>
        <v>12.6</v>
      </c>
      <c r="L59" s="2">
        <f t="shared" si="12"/>
        <v>0.8</v>
      </c>
      <c r="M59" s="2">
        <f>IF(D59="轻坦弹夹",ROUND(((G59/VLOOKUP(D59,坦克类型系数!$AQ$3:$AX$10,MATCH("标准轮次数",坦克类型系数!$AQ$3:$AX$3,0),FALSE)-1)*L59*O59+VLOOKUP(D59,坦克类型系数!$AQ$3:$AX$10,MATCH("累积偏移角",坦克类型系数!$AQ$3:$AX$3,0),FALSE))/(G59/VLOOKUP(D59,坦克类型系数!$AQ$3:$AX$10,MATCH("标准轮次数",坦克类型系数!$AQ$3:$AX$3,0),FALSE))/2,2),ROUND(((G59/VLOOKUP(D59,坦克类型系数!$AQ$3:$AX$10,MATCH("标准轮次数",坦克类型系数!$AQ$3:$AX$3,0),FALSE)-1)*L59*O59+VLOOKUP(D59,坦克类型系数!$AQ$3:$AX$10,MATCH("累积偏移角",坦克类型系数!$AQ$3:$AX$3,0),FALSE))/(G59/VLOOKUP(D59,坦克类型系数!$AQ$3:$AX$10,MATCH("标准轮次数",坦克类型系数!$AQ$3:$AX$3,0),FALSE)),2))</f>
        <v>0.55000000000000004</v>
      </c>
      <c r="N59" s="2">
        <f>VLOOKUP(D59,坦克类型系数!$AZ$3:$BE$10,4,FALSE)/F59</f>
        <v>0.24</v>
      </c>
      <c r="O59" s="2">
        <f t="shared" si="13"/>
        <v>1.2</v>
      </c>
      <c r="P59" s="34">
        <f t="shared" si="17"/>
        <v>49.877862595419842</v>
      </c>
      <c r="Q59" s="34">
        <f>VLOOKUP(D59,标准坦克设计!$B$13:$K$20,MATCH("60S射数",标准坦克设计!$B$13:$K$13,0),FALSE)/P59</f>
        <v>1.6849610057036437</v>
      </c>
      <c r="R59" s="34">
        <f t="shared" si="18"/>
        <v>29.267175572519083</v>
      </c>
      <c r="S59" s="34">
        <f>VLOOKUP(D59,标准坦克设计!$B$13:$K$20,MATCH("半分连射数",标准坦克设计!$B$13:$K$13,0),FALSE)</f>
        <v>34.389473684210529</v>
      </c>
      <c r="T59" s="34">
        <f t="shared" si="19"/>
        <v>1.1750185322461084</v>
      </c>
      <c r="U59" s="142">
        <v>0.25</v>
      </c>
      <c r="V59" s="2">
        <f t="shared" si="20"/>
        <v>4</v>
      </c>
      <c r="W59" s="2">
        <f t="shared" si="21"/>
        <v>2.0499999999999998</v>
      </c>
    </row>
    <row r="60" spans="2:23" x14ac:dyDescent="0.3">
      <c r="B60" s="2" t="str">
        <f t="shared" si="9"/>
        <v>BMP-3</v>
      </c>
      <c r="C60" s="2" t="str">
        <f t="shared" si="10"/>
        <v>T4</v>
      </c>
      <c r="D60" s="2" t="str">
        <f t="shared" si="11"/>
        <v>轻坦弹夹</v>
      </c>
      <c r="E60" s="2">
        <f>VLOOKUP(D60,标准坦克设计!$B$13:$K$20,MATCH("弹夹容量",标准坦克设计!$B$13:$K$13,0),FALSE)</f>
        <v>9</v>
      </c>
      <c r="F60" s="41">
        <v>1</v>
      </c>
      <c r="G60" s="322">
        <f t="shared" si="14"/>
        <v>9</v>
      </c>
      <c r="H60" s="2">
        <f>VLOOKUP(D60,标准坦克设计!$B$13:$K$20,MATCH(H$51,标准坦克设计!$B$13:$K$13,0),FALSE)</f>
        <v>0.7</v>
      </c>
      <c r="I60" s="21">
        <v>1</v>
      </c>
      <c r="J60" s="2">
        <f t="shared" si="15"/>
        <v>0</v>
      </c>
      <c r="K60" s="2">
        <f t="shared" si="16"/>
        <v>6.3</v>
      </c>
      <c r="L60" s="2">
        <f t="shared" si="12"/>
        <v>0.8</v>
      </c>
      <c r="M60" s="2">
        <f>IF(D60="轻坦弹夹",ROUND(((G60/VLOOKUP(D60,坦克类型系数!$AQ$3:$AX$10,MATCH("标准轮次数",坦克类型系数!$AQ$3:$AX$3,0),FALSE)-1)*L60*O60+VLOOKUP(D60,坦克类型系数!$AQ$3:$AX$10,MATCH("累积偏移角",坦克类型系数!$AQ$3:$AX$3,0),FALSE))/(G60/VLOOKUP(D60,坦克类型系数!$AQ$3:$AX$10,MATCH("标准轮次数",坦克类型系数!$AQ$3:$AX$3,0),FALSE))/2,2),ROUND(((G60/VLOOKUP(D60,坦克类型系数!$AQ$3:$AX$10,MATCH("标准轮次数",坦克类型系数!$AQ$3:$AX$3,0),FALSE)-1)*L60*O60+VLOOKUP(D60,坦克类型系数!$AQ$3:$AX$10,MATCH("累积偏移角",坦克类型系数!$AQ$3:$AX$3,0),FALSE))/(G60/VLOOKUP(D60,坦克类型系数!$AQ$3:$AX$10,MATCH("标准轮次数",坦克类型系数!$AQ$3:$AX$3,0),FALSE)),2))</f>
        <v>0.62</v>
      </c>
      <c r="N60" s="2">
        <f>VLOOKUP(D60,坦克类型系数!$AZ$3:$BE$10,4,FALSE)/F60</f>
        <v>0.48</v>
      </c>
      <c r="O60" s="2">
        <f t="shared" si="13"/>
        <v>1.2</v>
      </c>
      <c r="P60" s="34">
        <f t="shared" si="17"/>
        <v>46.984251968503941</v>
      </c>
      <c r="Q60" s="34">
        <f>VLOOKUP(D60,标准坦克设计!$B$13:$K$20,MATCH("60S射数",标准坦克设计!$B$13:$K$13,0),FALSE)/P60</f>
        <v>1.7887323943661972</v>
      </c>
      <c r="R60" s="34">
        <f t="shared" si="18"/>
        <v>25.7244094488189</v>
      </c>
      <c r="S60" s="34">
        <f>VLOOKUP(D60,标准坦克设计!$B$13:$K$20,MATCH("半分连射数",标准坦克设计!$B$13:$K$13,0),FALSE)</f>
        <v>34.389473684210529</v>
      </c>
      <c r="T60" s="34">
        <f t="shared" si="19"/>
        <v>1.3368421052631578</v>
      </c>
      <c r="U60" s="142">
        <v>0.25</v>
      </c>
      <c r="V60" s="2">
        <v>1</v>
      </c>
      <c r="W60" s="2">
        <f t="shared" si="21"/>
        <v>0.53</v>
      </c>
    </row>
    <row r="61" spans="2:23" x14ac:dyDescent="0.3">
      <c r="B61" s="2" t="str">
        <f t="shared" si="9"/>
        <v>59式</v>
      </c>
      <c r="C61" s="2" t="str">
        <f t="shared" si="10"/>
        <v>T5</v>
      </c>
      <c r="D61" s="2" t="str">
        <f t="shared" si="11"/>
        <v>轻坦弹夹</v>
      </c>
      <c r="E61" s="2">
        <f>VLOOKUP(D61,标准坦克设计!$B$13:$K$20,MATCH("弹夹容量",标准坦克设计!$B$13:$K$13,0),FALSE)</f>
        <v>9</v>
      </c>
      <c r="F61" s="41">
        <v>1.5</v>
      </c>
      <c r="G61" s="322">
        <f t="shared" si="14"/>
        <v>14</v>
      </c>
      <c r="H61" s="2">
        <f>VLOOKUP(D61,标准坦克设计!$B$13:$K$20,MATCH(H$51,标准坦克设计!$B$13:$K$13,0),FALSE)</f>
        <v>0.7</v>
      </c>
      <c r="I61" s="21">
        <v>1</v>
      </c>
      <c r="J61" s="2">
        <f t="shared" si="15"/>
        <v>0</v>
      </c>
      <c r="K61" s="2">
        <f t="shared" si="16"/>
        <v>9.7999999999999989</v>
      </c>
      <c r="L61" s="2">
        <f t="shared" si="12"/>
        <v>0.8</v>
      </c>
      <c r="M61" s="2">
        <f>IF(D61="轻坦弹夹",ROUND(((G61/VLOOKUP(D61,坦克类型系数!$AQ$3:$AX$10,MATCH("标准轮次数",坦克类型系数!$AQ$3:$AX$3,0),FALSE)-1)*L61*O61+VLOOKUP(D61,坦克类型系数!$AQ$3:$AX$10,MATCH("累积偏移角",坦克类型系数!$AQ$3:$AX$3,0),FALSE))/(G61/VLOOKUP(D61,坦克类型系数!$AQ$3:$AX$10,MATCH("标准轮次数",坦克类型系数!$AQ$3:$AX$3,0),FALSE))/2,2),ROUND(((G61/VLOOKUP(D61,坦克类型系数!$AQ$3:$AX$10,MATCH("标准轮次数",坦克类型系数!$AQ$3:$AX$3,0),FALSE)-1)*L61*O61+VLOOKUP(D61,坦克类型系数!$AQ$3:$AX$10,MATCH("累积偏移角",坦克类型系数!$AQ$3:$AX$3,0),FALSE))/(G61/VLOOKUP(D61,坦克类型系数!$AQ$3:$AX$10,MATCH("标准轮次数",坦克类型系数!$AQ$3:$AX$3,0),FALSE)),2))</f>
        <v>0.56999999999999995</v>
      </c>
      <c r="N61" s="2">
        <f>VLOOKUP(D61,坦克类型系数!$AZ$3:$BE$10,4,FALSE)/F61</f>
        <v>0.32</v>
      </c>
      <c r="O61" s="2">
        <f t="shared" si="13"/>
        <v>1.2</v>
      </c>
      <c r="P61" s="34">
        <f t="shared" si="17"/>
        <v>48.376237623762378</v>
      </c>
      <c r="Q61" s="34">
        <f>VLOOKUP(D61,标准坦克设计!$B$13:$K$20,MATCH("60S射数",标准坦克设计!$B$13:$K$13,0),FALSE)/P61</f>
        <v>1.7372631202688913</v>
      </c>
      <c r="R61" s="34">
        <f t="shared" si="18"/>
        <v>27.584158415841586</v>
      </c>
      <c r="S61" s="34">
        <f>VLOOKUP(D61,标准坦克设计!$B$13:$K$20,MATCH("半分连射数",标准坦克设计!$B$13:$K$13,0),FALSE)</f>
        <v>34.389473684210529</v>
      </c>
      <c r="T61" s="34">
        <f t="shared" si="19"/>
        <v>1.2467109986020328</v>
      </c>
      <c r="U61" s="142">
        <v>0.25</v>
      </c>
      <c r="V61" s="2">
        <f t="shared" si="20"/>
        <v>3</v>
      </c>
      <c r="W61" s="2">
        <f t="shared" si="21"/>
        <v>1.55</v>
      </c>
    </row>
    <row r="62" spans="2:23" x14ac:dyDescent="0.3">
      <c r="B62" s="2" t="str">
        <f t="shared" si="9"/>
        <v>Stuart</v>
      </c>
      <c r="C62" s="2" t="str">
        <f t="shared" si="10"/>
        <v>T1</v>
      </c>
      <c r="D62" s="2" t="str">
        <f t="shared" si="11"/>
        <v>中坦自动</v>
      </c>
      <c r="E62" s="2">
        <f>VLOOKUP(D62,标准坦克设计!$B$13:$K$20,MATCH("弹夹容量",标准坦克设计!$B$13:$K$13,0),FALSE)</f>
        <v>6</v>
      </c>
      <c r="F62" s="41">
        <v>1.5</v>
      </c>
      <c r="G62" s="322">
        <f t="shared" si="14"/>
        <v>9</v>
      </c>
      <c r="H62" s="2">
        <f>VLOOKUP(D62,标准坦克设计!$B$13:$K$20,MATCH(H$51,标准坦克设计!$B$13:$K$13,0),FALSE)</f>
        <v>2</v>
      </c>
      <c r="I62" s="21">
        <v>1.6</v>
      </c>
      <c r="J62" s="2">
        <f t="shared" si="15"/>
        <v>3.2</v>
      </c>
      <c r="K62" s="2">
        <f t="shared" si="16"/>
        <v>0</v>
      </c>
      <c r="L62" s="2">
        <f t="shared" si="12"/>
        <v>0.30000000000000004</v>
      </c>
      <c r="M62" s="2">
        <f>IF(D62="轻坦弹夹",ROUND(((G62/VLOOKUP(D62,坦克类型系数!$AQ$3:$AX$10,MATCH("标准轮次数",坦克类型系数!$AQ$3:$AX$3,0),FALSE)-1)*L62*O62+VLOOKUP(D62,坦克类型系数!$AQ$3:$AX$10,MATCH("累积偏移角",坦克类型系数!$AQ$3:$AX$3,0),FALSE))/(G62/VLOOKUP(D62,坦克类型系数!$AQ$3:$AX$10,MATCH("标准轮次数",坦克类型系数!$AQ$3:$AX$3,0),FALSE))/2,2),ROUND(((G62/VLOOKUP(D62,坦克类型系数!$AQ$3:$AX$10,MATCH("标准轮次数",坦克类型系数!$AQ$3:$AX$3,0),FALSE)-1)*L62*O62+VLOOKUP(D62,坦克类型系数!$AQ$3:$AX$10,MATCH("累积偏移角",坦克类型系数!$AQ$3:$AX$3,0),FALSE))/(G62/VLOOKUP(D62,坦克类型系数!$AQ$3:$AX$10,MATCH("标准轮次数",坦克类型系数!$AQ$3:$AX$3,0),FALSE)),2))</f>
        <v>1</v>
      </c>
      <c r="N62" s="2">
        <f>VLOOKUP(D62,坦克类型系数!$AZ$3:$BE$10,4,FALSE)/F62</f>
        <v>1.5999999999999999</v>
      </c>
      <c r="O62" s="2">
        <f t="shared" si="13"/>
        <v>1</v>
      </c>
      <c r="P62" s="34">
        <f t="shared" si="17"/>
        <v>27.75</v>
      </c>
      <c r="Q62" s="34">
        <f>VLOOKUP(D62,标准坦克设计!$B$13:$K$20,MATCH("60S射数",标准坦克设计!$B$13:$K$13,0),FALSE)/P62</f>
        <v>1.2972972972972974</v>
      </c>
      <c r="R62" s="34">
        <f t="shared" si="18"/>
        <v>18.375</v>
      </c>
      <c r="S62" s="34">
        <f>VLOOKUP(D62,标准坦克设计!$B$13:$K$20,MATCH("半分连射数",标准坦克设计!$B$13:$K$13,0),FALSE)</f>
        <v>21</v>
      </c>
      <c r="T62" s="34">
        <f t="shared" si="19"/>
        <v>1.1428571428571428</v>
      </c>
      <c r="U62" s="142">
        <v>0.25</v>
      </c>
      <c r="V62" s="2">
        <f t="shared" si="20"/>
        <v>3</v>
      </c>
      <c r="W62" s="2">
        <f t="shared" si="21"/>
        <v>5.64</v>
      </c>
    </row>
    <row r="63" spans="2:23" x14ac:dyDescent="0.3">
      <c r="B63" s="2" t="str">
        <f t="shared" si="9"/>
        <v>T-34</v>
      </c>
      <c r="C63" s="2" t="str">
        <f t="shared" si="10"/>
        <v>T2</v>
      </c>
      <c r="D63" s="2" t="str">
        <f t="shared" si="11"/>
        <v>中坦自动</v>
      </c>
      <c r="E63" s="2">
        <f>VLOOKUP(D63,标准坦克设计!$B$13:$K$20,MATCH("弹夹容量",标准坦克设计!$B$13:$K$13,0),FALSE)</f>
        <v>6</v>
      </c>
      <c r="F63" s="41">
        <v>1.5</v>
      </c>
      <c r="G63" s="322">
        <f t="shared" si="14"/>
        <v>9</v>
      </c>
      <c r="H63" s="2">
        <f>VLOOKUP(D63,标准坦克设计!$B$13:$K$20,MATCH(H$51,标准坦克设计!$B$13:$K$13,0),FALSE)</f>
        <v>2</v>
      </c>
      <c r="I63" s="21">
        <v>1.6</v>
      </c>
      <c r="J63" s="2">
        <f t="shared" si="15"/>
        <v>3.2</v>
      </c>
      <c r="K63" s="2">
        <f t="shared" si="16"/>
        <v>0</v>
      </c>
      <c r="L63" s="2">
        <f t="shared" si="12"/>
        <v>0.32</v>
      </c>
      <c r="M63" s="2">
        <f>IF(D63="轻坦弹夹",ROUND(((G63/VLOOKUP(D63,坦克类型系数!$AQ$3:$AX$10,MATCH("标准轮次数",坦克类型系数!$AQ$3:$AX$3,0),FALSE)-1)*L63*O63+VLOOKUP(D63,坦克类型系数!$AQ$3:$AX$10,MATCH("累积偏移角",坦克类型系数!$AQ$3:$AX$3,0),FALSE))/(G63/VLOOKUP(D63,坦克类型系数!$AQ$3:$AX$10,MATCH("标准轮次数",坦克类型系数!$AQ$3:$AX$3,0),FALSE))/2,2),ROUND(((G63/VLOOKUP(D63,坦克类型系数!$AQ$3:$AX$10,MATCH("标准轮次数",坦克类型系数!$AQ$3:$AX$3,0),FALSE)-1)*L63*O63+VLOOKUP(D63,坦克类型系数!$AQ$3:$AX$10,MATCH("累积偏移角",坦克类型系数!$AQ$3:$AX$3,0),FALSE))/(G63/VLOOKUP(D63,坦克类型系数!$AQ$3:$AX$10,MATCH("标准轮次数",坦克类型系数!$AQ$3:$AX$3,0),FALSE)),2))</f>
        <v>1.01</v>
      </c>
      <c r="N63" s="2">
        <f>VLOOKUP(D63,坦克类型系数!$AZ$3:$BE$10,4,FALSE)/F63</f>
        <v>1.5999999999999999</v>
      </c>
      <c r="O63" s="2">
        <f t="shared" si="13"/>
        <v>1</v>
      </c>
      <c r="P63" s="34">
        <f t="shared" si="17"/>
        <v>27.75</v>
      </c>
      <c r="Q63" s="34">
        <f>VLOOKUP(D63,标准坦克设计!$B$13:$K$20,MATCH("60S射数",标准坦克设计!$B$13:$K$13,0),FALSE)/P63</f>
        <v>1.2972972972972974</v>
      </c>
      <c r="R63" s="34">
        <f t="shared" si="18"/>
        <v>18.375</v>
      </c>
      <c r="S63" s="34">
        <f>VLOOKUP(D63,标准坦克设计!$B$13:$K$20,MATCH("半分连射数",标准坦克设计!$B$13:$K$13,0),FALSE)</f>
        <v>21</v>
      </c>
      <c r="T63" s="34">
        <f t="shared" si="19"/>
        <v>1.1428571428571428</v>
      </c>
      <c r="U63" s="142">
        <v>0.25</v>
      </c>
      <c r="V63" s="2">
        <f t="shared" si="20"/>
        <v>3</v>
      </c>
      <c r="W63" s="2">
        <f t="shared" si="21"/>
        <v>5.64</v>
      </c>
    </row>
    <row r="64" spans="2:23" x14ac:dyDescent="0.3">
      <c r="B64" s="2" t="str">
        <f t="shared" si="9"/>
        <v>四号</v>
      </c>
      <c r="C64" s="2" t="str">
        <f t="shared" si="10"/>
        <v>T2</v>
      </c>
      <c r="D64" s="2" t="str">
        <f t="shared" si="11"/>
        <v>中坦自动</v>
      </c>
      <c r="E64" s="2">
        <f>VLOOKUP(D64,标准坦克设计!$B$13:$K$20,MATCH("弹夹容量",标准坦克设计!$B$13:$K$13,0),FALSE)</f>
        <v>6</v>
      </c>
      <c r="F64" s="41">
        <v>1</v>
      </c>
      <c r="G64" s="322">
        <f t="shared" si="14"/>
        <v>6</v>
      </c>
      <c r="H64" s="2">
        <f>VLOOKUP(D64,标准坦克设计!$B$13:$K$20,MATCH(H$51,标准坦克设计!$B$13:$K$13,0),FALSE)</f>
        <v>2</v>
      </c>
      <c r="I64" s="21">
        <v>1.2</v>
      </c>
      <c r="J64" s="2">
        <f t="shared" si="15"/>
        <v>2.4</v>
      </c>
      <c r="K64" s="2">
        <f t="shared" si="16"/>
        <v>0</v>
      </c>
      <c r="L64" s="2">
        <f t="shared" si="12"/>
        <v>0.4</v>
      </c>
      <c r="M64" s="2">
        <f>IF(D64="轻坦弹夹",ROUND(((G64/VLOOKUP(D64,坦克类型系数!$AQ$3:$AX$10,MATCH("标准轮次数",坦克类型系数!$AQ$3:$AX$3,0),FALSE)-1)*L64*O64+VLOOKUP(D64,坦克类型系数!$AQ$3:$AX$10,MATCH("累积偏移角",坦克类型系数!$AQ$3:$AX$3,0),FALSE))/(G64/VLOOKUP(D64,坦克类型系数!$AQ$3:$AX$10,MATCH("标准轮次数",坦克类型系数!$AQ$3:$AX$3,0),FALSE))/2,2),ROUND(((G64/VLOOKUP(D64,坦克类型系数!$AQ$3:$AX$10,MATCH("标准轮次数",坦克类型系数!$AQ$3:$AX$3,0),FALSE)-1)*L64*O64+VLOOKUP(D64,坦克类型系数!$AQ$3:$AX$10,MATCH("累积偏移角",坦克类型系数!$AQ$3:$AX$3,0),FALSE))/(G64/VLOOKUP(D64,坦克类型系数!$AQ$3:$AX$10,MATCH("标准轮次数",坦克类型系数!$AQ$3:$AX$3,0),FALSE)),2))</f>
        <v>1.4</v>
      </c>
      <c r="N64" s="2">
        <f>VLOOKUP(D64,坦克类型系数!$AZ$3:$BE$10,4,FALSE)/F64</f>
        <v>2.4</v>
      </c>
      <c r="O64" s="2">
        <f t="shared" si="13"/>
        <v>1</v>
      </c>
      <c r="P64" s="34">
        <f t="shared" si="17"/>
        <v>31</v>
      </c>
      <c r="Q64" s="34">
        <f>VLOOKUP(D64,标准坦克设计!$B$13:$K$20,MATCH("60S射数",标准坦克设计!$B$13:$K$13,0),FALSE)/P64</f>
        <v>1.1612903225806452</v>
      </c>
      <c r="R64" s="34">
        <f t="shared" si="18"/>
        <v>18.5</v>
      </c>
      <c r="S64" s="34">
        <f>VLOOKUP(D64,标准坦克设计!$B$13:$K$20,MATCH("半分连射数",标准坦克设计!$B$13:$K$13,0),FALSE)</f>
        <v>21</v>
      </c>
      <c r="T64" s="34">
        <f t="shared" si="19"/>
        <v>1.1351351351351351</v>
      </c>
      <c r="U64" s="142">
        <v>0.25</v>
      </c>
      <c r="V64" s="2">
        <f t="shared" si="20"/>
        <v>2</v>
      </c>
      <c r="W64" s="2">
        <f t="shared" si="21"/>
        <v>2.16</v>
      </c>
    </row>
    <row r="65" spans="2:23" x14ac:dyDescent="0.3">
      <c r="B65" s="2" t="str">
        <f t="shared" si="9"/>
        <v>玛蒂尔达</v>
      </c>
      <c r="C65" s="2" t="str">
        <f t="shared" si="10"/>
        <v>T3</v>
      </c>
      <c r="D65" s="2" t="str">
        <f t="shared" si="11"/>
        <v>中坦自动</v>
      </c>
      <c r="E65" s="2">
        <f>VLOOKUP(D65,标准坦克设计!$B$13:$K$20,MATCH("弹夹容量",标准坦克设计!$B$13:$K$13,0),FALSE)</f>
        <v>6</v>
      </c>
      <c r="F65" s="41">
        <v>1.5</v>
      </c>
      <c r="G65" s="322">
        <f t="shared" si="14"/>
        <v>9</v>
      </c>
      <c r="H65" s="2">
        <f>VLOOKUP(D65,标准坦克设计!$B$13:$K$20,MATCH(H$51,标准坦克设计!$B$13:$K$13,0),FALSE)</f>
        <v>2</v>
      </c>
      <c r="I65" s="21">
        <v>1.6</v>
      </c>
      <c r="J65" s="2">
        <f t="shared" si="15"/>
        <v>3.2</v>
      </c>
      <c r="K65" s="2">
        <f t="shared" si="16"/>
        <v>0</v>
      </c>
      <c r="L65" s="2">
        <f t="shared" si="12"/>
        <v>0.28000000000000003</v>
      </c>
      <c r="M65" s="2">
        <f>IF(D65="轻坦弹夹",ROUND(((G65/VLOOKUP(D65,坦克类型系数!$AQ$3:$AX$10,MATCH("标准轮次数",坦克类型系数!$AQ$3:$AX$3,0),FALSE)-1)*L65*O65+VLOOKUP(D65,坦克类型系数!$AQ$3:$AX$10,MATCH("累积偏移角",坦克类型系数!$AQ$3:$AX$3,0),FALSE))/(G65/VLOOKUP(D65,坦克类型系数!$AQ$3:$AX$10,MATCH("标准轮次数",坦克类型系数!$AQ$3:$AX$3,0),FALSE))/2,2),ROUND(((G65/VLOOKUP(D65,坦克类型系数!$AQ$3:$AX$10,MATCH("标准轮次数",坦克类型系数!$AQ$3:$AX$3,0),FALSE)-1)*L65*O65+VLOOKUP(D65,坦克类型系数!$AQ$3:$AX$10,MATCH("累积偏移角",坦克类型系数!$AQ$3:$AX$3,0),FALSE))/(G65/VLOOKUP(D65,坦克类型系数!$AQ$3:$AX$10,MATCH("标准轮次数",坦克类型系数!$AQ$3:$AX$3,0),FALSE)),2))</f>
        <v>0.99</v>
      </c>
      <c r="N65" s="2">
        <f>VLOOKUP(D65,坦克类型系数!$AZ$3:$BE$10,4,FALSE)/F65</f>
        <v>1.5999999999999999</v>
      </c>
      <c r="O65" s="2">
        <f t="shared" si="13"/>
        <v>1</v>
      </c>
      <c r="P65" s="34">
        <f t="shared" si="17"/>
        <v>27.75</v>
      </c>
      <c r="Q65" s="34">
        <f>VLOOKUP(D65,标准坦克设计!$B$13:$K$20,MATCH("60S射数",标准坦克设计!$B$13:$K$13,0),FALSE)/P65</f>
        <v>1.2972972972972974</v>
      </c>
      <c r="R65" s="34">
        <f t="shared" si="18"/>
        <v>18.375</v>
      </c>
      <c r="S65" s="34">
        <f>VLOOKUP(D65,标准坦克设计!$B$13:$K$20,MATCH("半分连射数",标准坦克设计!$B$13:$K$13,0),FALSE)</f>
        <v>21</v>
      </c>
      <c r="T65" s="34">
        <f t="shared" si="19"/>
        <v>1.1428571428571428</v>
      </c>
      <c r="U65" s="142">
        <v>0.25</v>
      </c>
      <c r="V65" s="2">
        <f t="shared" si="20"/>
        <v>3</v>
      </c>
      <c r="W65" s="2">
        <f t="shared" si="21"/>
        <v>5.64</v>
      </c>
    </row>
    <row r="66" spans="2:23" x14ac:dyDescent="0.3">
      <c r="B66" s="2" t="str">
        <f t="shared" si="9"/>
        <v>谢尔曼</v>
      </c>
      <c r="C66" s="2" t="str">
        <f t="shared" si="10"/>
        <v>T3</v>
      </c>
      <c r="D66" s="2" t="str">
        <f t="shared" si="11"/>
        <v>中坦自动</v>
      </c>
      <c r="E66" s="2">
        <f>VLOOKUP(D66,标准坦克设计!$B$13:$K$20,MATCH("弹夹容量",标准坦克设计!$B$13:$K$13,0),FALSE)</f>
        <v>6</v>
      </c>
      <c r="F66" s="41">
        <v>1</v>
      </c>
      <c r="G66" s="322">
        <f t="shared" si="14"/>
        <v>6</v>
      </c>
      <c r="H66" s="2">
        <f>VLOOKUP(D66,标准坦克设计!$B$13:$K$20,MATCH(H$51,标准坦克设计!$B$13:$K$13,0),FALSE)</f>
        <v>2</v>
      </c>
      <c r="I66" s="21">
        <v>1.2</v>
      </c>
      <c r="J66" s="2">
        <f t="shared" si="15"/>
        <v>2.4</v>
      </c>
      <c r="K66" s="2">
        <f t="shared" si="16"/>
        <v>0</v>
      </c>
      <c r="L66" s="2">
        <f t="shared" si="12"/>
        <v>0.4</v>
      </c>
      <c r="M66" s="2">
        <f>IF(D66="轻坦弹夹",ROUND(((G66/VLOOKUP(D66,坦克类型系数!$AQ$3:$AX$10,MATCH("标准轮次数",坦克类型系数!$AQ$3:$AX$3,0),FALSE)-1)*L66*O66+VLOOKUP(D66,坦克类型系数!$AQ$3:$AX$10,MATCH("累积偏移角",坦克类型系数!$AQ$3:$AX$3,0),FALSE))/(G66/VLOOKUP(D66,坦克类型系数!$AQ$3:$AX$10,MATCH("标准轮次数",坦克类型系数!$AQ$3:$AX$3,0),FALSE))/2,2),ROUND(((G66/VLOOKUP(D66,坦克类型系数!$AQ$3:$AX$10,MATCH("标准轮次数",坦克类型系数!$AQ$3:$AX$3,0),FALSE)-1)*L66*O66+VLOOKUP(D66,坦克类型系数!$AQ$3:$AX$10,MATCH("累积偏移角",坦克类型系数!$AQ$3:$AX$3,0),FALSE))/(G66/VLOOKUP(D66,坦克类型系数!$AQ$3:$AX$10,MATCH("标准轮次数",坦克类型系数!$AQ$3:$AX$3,0),FALSE)),2))</f>
        <v>1.4</v>
      </c>
      <c r="N66" s="2">
        <f>VLOOKUP(D66,坦克类型系数!$AZ$3:$BE$10,4,FALSE)/F66</f>
        <v>2.4</v>
      </c>
      <c r="O66" s="2">
        <f t="shared" si="13"/>
        <v>1</v>
      </c>
      <c r="P66" s="34">
        <f t="shared" si="17"/>
        <v>31</v>
      </c>
      <c r="Q66" s="34">
        <f>VLOOKUP(D66,标准坦克设计!$B$13:$K$20,MATCH("60S射数",标准坦克设计!$B$13:$K$13,0),FALSE)/P66</f>
        <v>1.1612903225806452</v>
      </c>
      <c r="R66" s="34">
        <f t="shared" si="18"/>
        <v>18.5</v>
      </c>
      <c r="S66" s="34">
        <f>VLOOKUP(D66,标准坦克设计!$B$13:$K$20,MATCH("半分连射数",标准坦克设计!$B$13:$K$13,0),FALSE)</f>
        <v>21</v>
      </c>
      <c r="T66" s="34">
        <f t="shared" si="19"/>
        <v>1.1351351351351351</v>
      </c>
      <c r="U66" s="142">
        <v>0.25</v>
      </c>
      <c r="V66" s="2">
        <f t="shared" si="20"/>
        <v>2</v>
      </c>
      <c r="W66" s="2">
        <f t="shared" si="21"/>
        <v>2.16</v>
      </c>
    </row>
    <row r="67" spans="2:23" x14ac:dyDescent="0.3">
      <c r="B67" s="2" t="str">
        <f t="shared" si="9"/>
        <v>彗星</v>
      </c>
      <c r="C67" s="2" t="str">
        <f t="shared" si="10"/>
        <v>T3</v>
      </c>
      <c r="D67" s="2" t="str">
        <f t="shared" si="11"/>
        <v>中坦自动</v>
      </c>
      <c r="E67" s="2">
        <f>VLOOKUP(D67,标准坦克设计!$B$13:$K$20,MATCH("弹夹容量",标准坦克设计!$B$13:$K$13,0),FALSE)</f>
        <v>6</v>
      </c>
      <c r="F67" s="41">
        <f>4/3</f>
        <v>1.3333333333333333</v>
      </c>
      <c r="G67" s="322">
        <f t="shared" si="14"/>
        <v>8</v>
      </c>
      <c r="H67" s="2">
        <f>VLOOKUP(D67,标准坦克设计!$B$13:$K$20,MATCH(H$51,标准坦克设计!$B$13:$K$13,0),FALSE)</f>
        <v>2</v>
      </c>
      <c r="I67" s="21">
        <v>1.5</v>
      </c>
      <c r="J67" s="2">
        <f t="shared" si="15"/>
        <v>3</v>
      </c>
      <c r="K67" s="2">
        <f t="shared" si="16"/>
        <v>0</v>
      </c>
      <c r="L67" s="2">
        <f t="shared" si="12"/>
        <v>0.4</v>
      </c>
      <c r="M67" s="2">
        <f>IF(D67="轻坦弹夹",ROUND(((G67/VLOOKUP(D67,坦克类型系数!$AQ$3:$AX$10,MATCH("标准轮次数",坦克类型系数!$AQ$3:$AX$3,0),FALSE)-1)*L67*O67+VLOOKUP(D67,坦克类型系数!$AQ$3:$AX$10,MATCH("累积偏移角",坦克类型系数!$AQ$3:$AX$3,0),FALSE))/(G67/VLOOKUP(D67,坦克类型系数!$AQ$3:$AX$10,MATCH("标准轮次数",坦克类型系数!$AQ$3:$AX$3,0),FALSE))/2,2),ROUND(((G67/VLOOKUP(D67,坦克类型系数!$AQ$3:$AX$10,MATCH("标准轮次数",坦克类型系数!$AQ$3:$AX$3,0),FALSE)-1)*L67*O67+VLOOKUP(D67,坦克类型系数!$AQ$3:$AX$10,MATCH("累积偏移角",坦克类型系数!$AQ$3:$AX$3,0),FALSE))/(G67/VLOOKUP(D67,坦克类型系数!$AQ$3:$AX$10,MATCH("标准轮次数",坦克类型系数!$AQ$3:$AX$3,0),FALSE)),2))</f>
        <v>1.1499999999999999</v>
      </c>
      <c r="N67" s="2">
        <f>VLOOKUP(D67,坦克类型系数!$AZ$3:$BE$10,4,FALSE)/F67</f>
        <v>1.8</v>
      </c>
      <c r="O67" s="2">
        <f t="shared" si="13"/>
        <v>1</v>
      </c>
      <c r="P67" s="34">
        <f t="shared" si="17"/>
        <v>28</v>
      </c>
      <c r="Q67" s="34">
        <f>VLOOKUP(D67,标准坦克设计!$B$13:$K$20,MATCH("60S射数",标准坦克设计!$B$13:$K$13,0),FALSE)/P67</f>
        <v>1.2857142857142858</v>
      </c>
      <c r="R67" s="34">
        <f t="shared" si="18"/>
        <v>18</v>
      </c>
      <c r="S67" s="34">
        <f>VLOOKUP(D67,标准坦克设计!$B$13:$K$20,MATCH("半分连射数",标准坦克设计!$B$13:$K$13,0),FALSE)</f>
        <v>21</v>
      </c>
      <c r="T67" s="34">
        <f t="shared" si="19"/>
        <v>1.1666666666666667</v>
      </c>
      <c r="U67" s="142">
        <v>0.25</v>
      </c>
      <c r="V67" s="2">
        <f t="shared" si="20"/>
        <v>2</v>
      </c>
      <c r="W67" s="2">
        <f t="shared" si="21"/>
        <v>3.23</v>
      </c>
    </row>
    <row r="68" spans="2:23" x14ac:dyDescent="0.3">
      <c r="B68" s="2" t="str">
        <f t="shared" si="9"/>
        <v>M-48</v>
      </c>
      <c r="C68" s="2" t="str">
        <f t="shared" si="10"/>
        <v>T4</v>
      </c>
      <c r="D68" s="2" t="str">
        <f t="shared" si="11"/>
        <v>中坦自动</v>
      </c>
      <c r="E68" s="2">
        <f>VLOOKUP(D68,标准坦克设计!$B$13:$K$20,MATCH("弹夹容量",标准坦克设计!$B$13:$K$13,0),FALSE)</f>
        <v>6</v>
      </c>
      <c r="F68" s="41">
        <v>1</v>
      </c>
      <c r="G68" s="322">
        <f t="shared" si="14"/>
        <v>6</v>
      </c>
      <c r="H68" s="2">
        <f>VLOOKUP(D68,标准坦克设计!$B$13:$K$20,MATCH(H$51,标准坦克设计!$B$13:$K$13,0),FALSE)</f>
        <v>2</v>
      </c>
      <c r="I68" s="21">
        <v>1.2</v>
      </c>
      <c r="J68" s="2">
        <f t="shared" si="15"/>
        <v>2.4</v>
      </c>
      <c r="K68" s="2">
        <f t="shared" si="16"/>
        <v>0</v>
      </c>
      <c r="L68" s="2">
        <f t="shared" si="12"/>
        <v>0.32</v>
      </c>
      <c r="M68" s="2">
        <f>IF(D68="轻坦弹夹",ROUND(((G68/VLOOKUP(D68,坦克类型系数!$AQ$3:$AX$10,MATCH("标准轮次数",坦克类型系数!$AQ$3:$AX$3,0),FALSE)-1)*L68*O68+VLOOKUP(D68,坦克类型系数!$AQ$3:$AX$10,MATCH("累积偏移角",坦克类型系数!$AQ$3:$AX$3,0),FALSE))/(G68/VLOOKUP(D68,坦克类型系数!$AQ$3:$AX$10,MATCH("标准轮次数",坦克类型系数!$AQ$3:$AX$3,0),FALSE))/2,2),ROUND(((G68/VLOOKUP(D68,坦克类型系数!$AQ$3:$AX$10,MATCH("标准轮次数",坦克类型系数!$AQ$3:$AX$3,0),FALSE)-1)*L68*O68+VLOOKUP(D68,坦克类型系数!$AQ$3:$AX$10,MATCH("累积偏移角",坦克类型系数!$AQ$3:$AX$3,0),FALSE))/(G68/VLOOKUP(D68,坦克类型系数!$AQ$3:$AX$10,MATCH("标准轮次数",坦克类型系数!$AQ$3:$AX$3,0),FALSE)),2))</f>
        <v>1.36</v>
      </c>
      <c r="N68" s="2">
        <f>VLOOKUP(D68,坦克类型系数!$AZ$3:$BE$10,4,FALSE)/F68</f>
        <v>2.4</v>
      </c>
      <c r="O68" s="2">
        <f t="shared" si="13"/>
        <v>1</v>
      </c>
      <c r="P68" s="34">
        <f t="shared" si="17"/>
        <v>31</v>
      </c>
      <c r="Q68" s="34">
        <f>VLOOKUP(D68,标准坦克设计!$B$13:$K$20,MATCH("60S射数",标准坦克设计!$B$13:$K$13,0),FALSE)/P68</f>
        <v>1.1612903225806452</v>
      </c>
      <c r="R68" s="34">
        <f t="shared" si="18"/>
        <v>18.5</v>
      </c>
      <c r="S68" s="34">
        <f>VLOOKUP(D68,标准坦克设计!$B$13:$K$20,MATCH("半分连射数",标准坦克设计!$B$13:$K$13,0),FALSE)</f>
        <v>21</v>
      </c>
      <c r="T68" s="34">
        <f t="shared" si="19"/>
        <v>1.1351351351351351</v>
      </c>
      <c r="U68" s="142">
        <v>0.25</v>
      </c>
      <c r="V68" s="2">
        <f t="shared" si="20"/>
        <v>2</v>
      </c>
      <c r="W68" s="2">
        <f t="shared" si="21"/>
        <v>2.16</v>
      </c>
    </row>
    <row r="69" spans="2:23" x14ac:dyDescent="0.3">
      <c r="B69" s="2" t="str">
        <f t="shared" si="9"/>
        <v>潘兴</v>
      </c>
      <c r="C69" s="2" t="str">
        <f t="shared" si="10"/>
        <v>T4</v>
      </c>
      <c r="D69" s="2" t="str">
        <f t="shared" si="11"/>
        <v>中坦自动</v>
      </c>
      <c r="E69" s="2">
        <f>VLOOKUP(D69,标准坦克设计!$B$13:$K$20,MATCH("弹夹容量",标准坦克设计!$B$13:$K$13,0),FALSE)</f>
        <v>6</v>
      </c>
      <c r="F69" s="41">
        <f>5/3</f>
        <v>1.6666666666666667</v>
      </c>
      <c r="G69" s="322">
        <f t="shared" si="14"/>
        <v>10</v>
      </c>
      <c r="H69" s="2">
        <f>VLOOKUP(D69,标准坦克设计!$B$13:$K$20,MATCH(H$51,标准坦克设计!$B$13:$K$13,0),FALSE)</f>
        <v>2</v>
      </c>
      <c r="I69" s="21">
        <v>1.8</v>
      </c>
      <c r="J69" s="2">
        <f t="shared" si="15"/>
        <v>3.6</v>
      </c>
      <c r="K69" s="2">
        <f t="shared" si="16"/>
        <v>0</v>
      </c>
      <c r="L69" s="2">
        <f t="shared" si="12"/>
        <v>0.4</v>
      </c>
      <c r="M69" s="2">
        <f>IF(D69="轻坦弹夹",ROUND(((G69/VLOOKUP(D69,坦克类型系数!$AQ$3:$AX$10,MATCH("标准轮次数",坦克类型系数!$AQ$3:$AX$3,0),FALSE)-1)*L69*O69+VLOOKUP(D69,坦克类型系数!$AQ$3:$AX$10,MATCH("累积偏移角",坦克类型系数!$AQ$3:$AX$3,0),FALSE))/(G69/VLOOKUP(D69,坦克类型系数!$AQ$3:$AX$10,MATCH("标准轮次数",坦克类型系数!$AQ$3:$AX$3,0),FALSE))/2,2),ROUND(((G69/VLOOKUP(D69,坦克类型系数!$AQ$3:$AX$10,MATCH("标准轮次数",坦克类型系数!$AQ$3:$AX$3,0),FALSE)-1)*L69*O69+VLOOKUP(D69,坦克类型系数!$AQ$3:$AX$10,MATCH("累积偏移角",坦克类型系数!$AQ$3:$AX$3,0),FALSE))/(G69/VLOOKUP(D69,坦克类型系数!$AQ$3:$AX$10,MATCH("标准轮次数",坦克类型系数!$AQ$3:$AX$3,0),FALSE)),2))</f>
        <v>1</v>
      </c>
      <c r="N69" s="2">
        <f>VLOOKUP(D69,坦克类型系数!$AZ$3:$BE$10,4,FALSE)/F69</f>
        <v>1.44</v>
      </c>
      <c r="O69" s="2">
        <f t="shared" si="13"/>
        <v>1</v>
      </c>
      <c r="P69" s="34">
        <f t="shared" si="17"/>
        <v>26.666666666666668</v>
      </c>
      <c r="Q69" s="34">
        <f>VLOOKUP(D69,标准坦克设计!$B$13:$K$20,MATCH("60S射数",标准坦克设计!$B$13:$K$13,0),FALSE)/P69</f>
        <v>1.3499999999999999</v>
      </c>
      <c r="R69" s="34">
        <f t="shared" si="18"/>
        <v>18.333333333333336</v>
      </c>
      <c r="S69" s="34">
        <f>VLOOKUP(D69,标准坦克设计!$B$13:$K$20,MATCH("半分连射数",标准坦克设计!$B$13:$K$13,0),FALSE)</f>
        <v>21</v>
      </c>
      <c r="T69" s="34">
        <f t="shared" si="19"/>
        <v>1.1454545454545453</v>
      </c>
      <c r="U69" s="142">
        <v>0.25</v>
      </c>
      <c r="V69" s="2">
        <f t="shared" si="20"/>
        <v>3</v>
      </c>
      <c r="W69" s="2">
        <f t="shared" si="21"/>
        <v>7.2</v>
      </c>
    </row>
    <row r="70" spans="2:23" x14ac:dyDescent="0.3">
      <c r="B70" s="2" t="str">
        <f t="shared" si="9"/>
        <v>百夫长</v>
      </c>
      <c r="C70" s="2" t="str">
        <f t="shared" si="10"/>
        <v>T4</v>
      </c>
      <c r="D70" s="2" t="str">
        <f t="shared" si="11"/>
        <v>中坦自动</v>
      </c>
      <c r="E70" s="2">
        <f>VLOOKUP(D70,标准坦克设计!$B$13:$K$20,MATCH("弹夹容量",标准坦克设计!$B$13:$K$13,0),FALSE)</f>
        <v>6</v>
      </c>
      <c r="F70" s="41">
        <f>2/3</f>
        <v>0.66666666666666663</v>
      </c>
      <c r="G70" s="322">
        <f t="shared" si="14"/>
        <v>4</v>
      </c>
      <c r="H70" s="2">
        <f>VLOOKUP(D70,标准坦克设计!$B$13:$K$20,MATCH(H$51,标准坦克设计!$B$13:$K$13,0),FALSE)</f>
        <v>2</v>
      </c>
      <c r="I70" s="21">
        <v>1.2</v>
      </c>
      <c r="J70" s="2">
        <f t="shared" si="15"/>
        <v>2.4</v>
      </c>
      <c r="K70" s="2">
        <f t="shared" si="16"/>
        <v>0</v>
      </c>
      <c r="L70" s="2">
        <f t="shared" si="12"/>
        <v>0.26</v>
      </c>
      <c r="M70" s="2">
        <f>IF(D70="轻坦弹夹",ROUND(((G70/VLOOKUP(D70,坦克类型系数!$AQ$3:$AX$10,MATCH("标准轮次数",坦克类型系数!$AQ$3:$AX$3,0),FALSE)-1)*L70*O70+VLOOKUP(D70,坦克类型系数!$AQ$3:$AX$10,MATCH("累积偏移角",坦克类型系数!$AQ$3:$AX$3,0),FALSE))/(G70/VLOOKUP(D70,坦克类型系数!$AQ$3:$AX$10,MATCH("标准轮次数",坦克类型系数!$AQ$3:$AX$3,0),FALSE))/2,2),ROUND(((G70/VLOOKUP(D70,坦克类型系数!$AQ$3:$AX$10,MATCH("标准轮次数",坦克类型系数!$AQ$3:$AX$3,0),FALSE)-1)*L70*O70+VLOOKUP(D70,坦克类型系数!$AQ$3:$AX$10,MATCH("累积偏移角",坦克类型系数!$AQ$3:$AX$3,0),FALSE))/(G70/VLOOKUP(D70,坦克类型系数!$AQ$3:$AX$10,MATCH("标准轮次数",坦克类型系数!$AQ$3:$AX$3,0),FALSE)),2))</f>
        <v>1.87</v>
      </c>
      <c r="N70" s="2">
        <f>VLOOKUP(D70,坦克类型系数!$AZ$3:$BE$10,4,FALSE)/F70</f>
        <v>3.6</v>
      </c>
      <c r="O70" s="2">
        <f t="shared" si="13"/>
        <v>1</v>
      </c>
      <c r="P70" s="34">
        <f t="shared" si="17"/>
        <v>29</v>
      </c>
      <c r="Q70" s="34">
        <f>VLOOKUP(D70,标准坦克设计!$B$13:$K$20,MATCH("60S射数",标准坦克设计!$B$13:$K$13,0),FALSE)/P70</f>
        <v>1.2413793103448276</v>
      </c>
      <c r="R70" s="34">
        <f t="shared" si="18"/>
        <v>16.5</v>
      </c>
      <c r="S70" s="34">
        <f>VLOOKUP(D70,标准坦克设计!$B$13:$K$20,MATCH("半分连射数",标准坦克设计!$B$13:$K$13,0),FALSE)</f>
        <v>21</v>
      </c>
      <c r="T70" s="34">
        <f t="shared" si="19"/>
        <v>1.2727272727272727</v>
      </c>
      <c r="U70" s="142">
        <v>0.25</v>
      </c>
      <c r="V70" s="2">
        <f t="shared" si="20"/>
        <v>2</v>
      </c>
      <c r="W70" s="2">
        <f t="shared" si="21"/>
        <v>1.96</v>
      </c>
    </row>
    <row r="71" spans="2:23" x14ac:dyDescent="0.3">
      <c r="B71" s="2" t="str">
        <f t="shared" si="9"/>
        <v>挑战者</v>
      </c>
      <c r="C71" s="2" t="str">
        <f t="shared" si="10"/>
        <v>T5</v>
      </c>
      <c r="D71" s="2" t="str">
        <f t="shared" si="11"/>
        <v>中坦自动</v>
      </c>
      <c r="E71" s="2">
        <f>VLOOKUP(D71,标准坦克设计!$B$13:$K$20,MATCH("弹夹容量",标准坦克设计!$B$13:$K$13,0),FALSE)</f>
        <v>6</v>
      </c>
      <c r="F71" s="41">
        <v>1</v>
      </c>
      <c r="G71" s="322">
        <f t="shared" si="14"/>
        <v>6</v>
      </c>
      <c r="H71" s="2">
        <f>VLOOKUP(D71,标准坦克设计!$B$13:$K$20,MATCH(H$51,标准坦克设计!$B$13:$K$13,0),FALSE)</f>
        <v>2</v>
      </c>
      <c r="I71" s="21">
        <v>1.2</v>
      </c>
      <c r="J71" s="2">
        <f t="shared" si="15"/>
        <v>2.4</v>
      </c>
      <c r="K71" s="2">
        <f t="shared" si="16"/>
        <v>0</v>
      </c>
      <c r="L71" s="2">
        <f t="shared" si="12"/>
        <v>0.4</v>
      </c>
      <c r="M71" s="2">
        <f>IF(D71="轻坦弹夹",ROUND(((G71/VLOOKUP(D71,坦克类型系数!$AQ$3:$AX$10,MATCH("标准轮次数",坦克类型系数!$AQ$3:$AX$3,0),FALSE)-1)*L71*O71+VLOOKUP(D71,坦克类型系数!$AQ$3:$AX$10,MATCH("累积偏移角",坦克类型系数!$AQ$3:$AX$3,0),FALSE))/(G71/VLOOKUP(D71,坦克类型系数!$AQ$3:$AX$10,MATCH("标准轮次数",坦克类型系数!$AQ$3:$AX$3,0),FALSE))/2,2),ROUND(((G71/VLOOKUP(D71,坦克类型系数!$AQ$3:$AX$10,MATCH("标准轮次数",坦克类型系数!$AQ$3:$AX$3,0),FALSE)-1)*L71*O71+VLOOKUP(D71,坦克类型系数!$AQ$3:$AX$10,MATCH("累积偏移角",坦克类型系数!$AQ$3:$AX$3,0),FALSE))/(G71/VLOOKUP(D71,坦克类型系数!$AQ$3:$AX$10,MATCH("标准轮次数",坦克类型系数!$AQ$3:$AX$3,0),FALSE)),2))</f>
        <v>1.4</v>
      </c>
      <c r="N71" s="2">
        <f>VLOOKUP(D71,坦克类型系数!$AZ$3:$BE$10,4,FALSE)/F71</f>
        <v>2.4</v>
      </c>
      <c r="O71" s="2">
        <f t="shared" si="13"/>
        <v>1</v>
      </c>
      <c r="P71" s="34">
        <f t="shared" si="17"/>
        <v>31</v>
      </c>
      <c r="Q71" s="34">
        <f>VLOOKUP(D71,标准坦克设计!$B$13:$K$20,MATCH("60S射数",标准坦克设计!$B$13:$K$13,0),FALSE)/P71</f>
        <v>1.1612903225806452</v>
      </c>
      <c r="R71" s="34">
        <f t="shared" si="18"/>
        <v>18.5</v>
      </c>
      <c r="S71" s="34">
        <f>VLOOKUP(D71,标准坦克设计!$B$13:$K$20,MATCH("半分连射数",标准坦克设计!$B$13:$K$13,0),FALSE)</f>
        <v>21</v>
      </c>
      <c r="T71" s="34">
        <f t="shared" si="19"/>
        <v>1.1351351351351351</v>
      </c>
      <c r="U71" s="142">
        <v>0.25</v>
      </c>
      <c r="V71" s="2">
        <f t="shared" si="20"/>
        <v>2</v>
      </c>
      <c r="W71" s="2">
        <f t="shared" si="21"/>
        <v>2.16</v>
      </c>
    </row>
    <row r="72" spans="2:23" x14ac:dyDescent="0.3">
      <c r="B72" s="2" t="str">
        <f t="shared" si="9"/>
        <v>B-1</v>
      </c>
      <c r="C72" s="2" t="str">
        <f t="shared" si="10"/>
        <v>T1</v>
      </c>
      <c r="D72" s="2" t="str">
        <f t="shared" si="11"/>
        <v>重坦自动</v>
      </c>
      <c r="E72" s="2">
        <f>VLOOKUP(D72,标准坦克设计!$B$13:$K$20,MATCH("弹夹容量",标准坦克设计!$B$13:$K$13,0),FALSE)</f>
        <v>2</v>
      </c>
      <c r="F72" s="41">
        <v>0.5</v>
      </c>
      <c r="G72" s="322">
        <f t="shared" si="14"/>
        <v>1</v>
      </c>
      <c r="H72" s="2">
        <f>VLOOKUP(D72,标准坦克设计!$B$13:$K$20,MATCH(H$51,标准坦克设计!$B$13:$K$13,0),FALSE)</f>
        <v>4.5</v>
      </c>
      <c r="I72" s="21">
        <v>1.2</v>
      </c>
      <c r="J72" s="2">
        <f t="shared" si="15"/>
        <v>5.3999999999999995</v>
      </c>
      <c r="K72" s="2">
        <f t="shared" si="16"/>
        <v>0</v>
      </c>
      <c r="L72" s="2">
        <f t="shared" si="12"/>
        <v>2.8</v>
      </c>
      <c r="M72" s="2">
        <f>IF(D72="轻坦弹夹",ROUND(((G72/VLOOKUP(D72,坦克类型系数!$AQ$3:$AX$10,MATCH("标准轮次数",坦克类型系数!$AQ$3:$AX$3,0),FALSE)-1)*L72*O72+VLOOKUP(D72,坦克类型系数!$AQ$3:$AX$10,MATCH("累积偏移角",坦克类型系数!$AQ$3:$AX$3,0),FALSE))/(G72/VLOOKUP(D72,坦克类型系数!$AQ$3:$AX$10,MATCH("标准轮次数",坦克类型系数!$AQ$3:$AX$3,0),FALSE))/2,2),ROUND(((G72/VLOOKUP(D72,坦克类型系数!$AQ$3:$AX$10,MATCH("标准轮次数",坦克类型系数!$AQ$3:$AX$3,0),FALSE)-1)*L72*O72+VLOOKUP(D72,坦克类型系数!$AQ$3:$AX$10,MATCH("累积偏移角",坦克类型系数!$AQ$3:$AX$3,0),FALSE))/(G72/VLOOKUP(D72,坦克类型系数!$AQ$3:$AX$10,MATCH("标准轮次数",坦克类型系数!$AQ$3:$AX$3,0),FALSE)),2))</f>
        <v>3</v>
      </c>
      <c r="N72" s="2">
        <f>VLOOKUP(D72,坦克类型系数!$AZ$3:$BE$10,4,FALSE)/F72</f>
        <v>3.5999999999999996</v>
      </c>
      <c r="O72" s="2">
        <f t="shared" si="13"/>
        <v>1.2</v>
      </c>
      <c r="P72" s="34">
        <f t="shared" si="17"/>
        <v>12.111111111111112</v>
      </c>
      <c r="Q72" s="34">
        <f>VLOOKUP(D72,标准坦克设计!$B$13:$K$20,MATCH("60S射数",标准坦克设计!$B$13:$K$13,0),FALSE)/P72</f>
        <v>1.2660550458715596</v>
      </c>
      <c r="R72" s="34">
        <f t="shared" si="18"/>
        <v>6.5555555555555562</v>
      </c>
      <c r="S72" s="34">
        <f>VLOOKUP(D72,标准坦克设计!$B$13:$K$20,MATCH("半分连射数",标准坦克设计!$B$13:$K$13,0),FALSE)</f>
        <v>8.6666666666666679</v>
      </c>
      <c r="T72" s="34">
        <f t="shared" si="19"/>
        <v>1.3220338983050848</v>
      </c>
      <c r="U72" s="142">
        <v>0.25</v>
      </c>
      <c r="V72" s="2">
        <f t="shared" si="20"/>
        <v>1</v>
      </c>
      <c r="W72" s="2">
        <f t="shared" si="21"/>
        <v>2.02</v>
      </c>
    </row>
    <row r="73" spans="2:23" x14ac:dyDescent="0.3">
      <c r="B73" s="2" t="str">
        <f t="shared" si="9"/>
        <v>KV-1</v>
      </c>
      <c r="C73" s="2" t="str">
        <f t="shared" si="10"/>
        <v>T2</v>
      </c>
      <c r="D73" s="2" t="str">
        <f t="shared" si="11"/>
        <v>重坦自动</v>
      </c>
      <c r="E73" s="2">
        <f>VLOOKUP(D73,标准坦克设计!$B$13:$K$20,MATCH("弹夹容量",标准坦克设计!$B$13:$K$13,0),FALSE)</f>
        <v>2</v>
      </c>
      <c r="F73" s="41">
        <v>1</v>
      </c>
      <c r="G73" s="322">
        <f t="shared" si="14"/>
        <v>2</v>
      </c>
      <c r="H73" s="2">
        <f>VLOOKUP(D73,标准坦克设计!$B$13:$K$20,MATCH(H$51,标准坦克设计!$B$13:$K$13,0),FALSE)</f>
        <v>4.5</v>
      </c>
      <c r="I73" s="21">
        <v>0.8</v>
      </c>
      <c r="J73" s="2">
        <f t="shared" si="15"/>
        <v>3.6</v>
      </c>
      <c r="K73" s="2">
        <f t="shared" si="16"/>
        <v>0</v>
      </c>
      <c r="L73" s="2">
        <f t="shared" si="12"/>
        <v>1.88</v>
      </c>
      <c r="M73" s="2">
        <f>IF(D73="轻坦弹夹",ROUND(((G73/VLOOKUP(D73,坦克类型系数!$AQ$3:$AX$10,MATCH("标准轮次数",坦克类型系数!$AQ$3:$AX$3,0),FALSE)-1)*L73*O73+VLOOKUP(D73,坦克类型系数!$AQ$3:$AX$10,MATCH("累积偏移角",坦克类型系数!$AQ$3:$AX$3,0),FALSE))/(G73/VLOOKUP(D73,坦克类型系数!$AQ$3:$AX$10,MATCH("标准轮次数",坦克类型系数!$AQ$3:$AX$3,0),FALSE))/2,2),ROUND(((G73/VLOOKUP(D73,坦克类型系数!$AQ$3:$AX$10,MATCH("标准轮次数",坦克类型系数!$AQ$3:$AX$3,0),FALSE)-1)*L73*O73+VLOOKUP(D73,坦克类型系数!$AQ$3:$AX$10,MATCH("累积偏移角",坦克类型系数!$AQ$3:$AX$3,0),FALSE))/(G73/VLOOKUP(D73,坦克类型系数!$AQ$3:$AX$10,MATCH("标准轮次数",坦克类型系数!$AQ$3:$AX$3,0),FALSE)),2))</f>
        <v>2.63</v>
      </c>
      <c r="N73" s="2">
        <f>VLOOKUP(D73,坦克类型系数!$AZ$3:$BE$10,4,FALSE)/F73</f>
        <v>1.7999999999999998</v>
      </c>
      <c r="O73" s="2">
        <f t="shared" si="13"/>
        <v>1.2</v>
      </c>
      <c r="P73" s="34">
        <f t="shared" si="17"/>
        <v>18.666666666666668</v>
      </c>
      <c r="Q73" s="34">
        <f>VLOOKUP(D73,标准坦克设计!$B$13:$K$20,MATCH("60S射数",标准坦克设计!$B$13:$K$13,0),FALSE)/P73</f>
        <v>0.8214285714285714</v>
      </c>
      <c r="R73" s="34">
        <f t="shared" si="18"/>
        <v>10.333333333333334</v>
      </c>
      <c r="S73" s="34">
        <f>VLOOKUP(D73,标准坦克设计!$B$13:$K$20,MATCH("半分连射数",标准坦克设计!$B$13:$K$13,0),FALSE)</f>
        <v>8.6666666666666679</v>
      </c>
      <c r="T73" s="34">
        <f t="shared" si="19"/>
        <v>0.83870967741935487</v>
      </c>
      <c r="U73" s="142">
        <v>0.25</v>
      </c>
      <c r="V73" s="2">
        <f t="shared" si="20"/>
        <v>1</v>
      </c>
      <c r="W73" s="2">
        <f t="shared" si="21"/>
        <v>1.4</v>
      </c>
    </row>
    <row r="74" spans="2:23" x14ac:dyDescent="0.3">
      <c r="B74" s="2" t="str">
        <f t="shared" si="9"/>
        <v>丘吉尔</v>
      </c>
      <c r="C74" s="2" t="str">
        <f t="shared" si="10"/>
        <v>T2</v>
      </c>
      <c r="D74" s="2" t="str">
        <f t="shared" si="11"/>
        <v>重坦单发</v>
      </c>
      <c r="E74" s="2">
        <f>VLOOKUP(D74,标准坦克设计!$B$13:$K$20,MATCH("弹夹容量",标准坦克设计!$B$13:$K$13,0),FALSE)</f>
        <v>1</v>
      </c>
      <c r="F74" s="41">
        <v>1</v>
      </c>
      <c r="G74" s="322">
        <f t="shared" si="14"/>
        <v>1</v>
      </c>
      <c r="H74" s="2">
        <f>VLOOKUP(D74,标准坦克设计!$B$13:$K$20,MATCH(H$51,标准坦克设计!$B$13:$K$13,0),FALSE)</f>
        <v>6</v>
      </c>
      <c r="I74" s="21">
        <v>1</v>
      </c>
      <c r="J74" s="2">
        <f t="shared" si="15"/>
        <v>6</v>
      </c>
      <c r="K74" s="2">
        <f t="shared" si="16"/>
        <v>0</v>
      </c>
      <c r="L74" s="2">
        <f t="shared" si="12"/>
        <v>0</v>
      </c>
      <c r="M74" s="2">
        <f>IF(D74="轻坦弹夹",ROUND(((G74/VLOOKUP(D74,坦克类型系数!$AQ$3:$AX$10,MATCH("标准轮次数",坦克类型系数!$AQ$3:$AX$3,0),FALSE)-1)*L74*O74+VLOOKUP(D74,坦克类型系数!$AQ$3:$AX$10,MATCH("累积偏移角",坦克类型系数!$AQ$3:$AX$3,0),FALSE))/(G74/VLOOKUP(D74,坦克类型系数!$AQ$3:$AX$10,MATCH("标准轮次数",坦克类型系数!$AQ$3:$AX$3,0),FALSE))/2,2),ROUND(((G74/VLOOKUP(D74,坦克类型系数!$AQ$3:$AX$10,MATCH("标准轮次数",坦克类型系数!$AQ$3:$AX$3,0),FALSE)-1)*L74*O74+VLOOKUP(D74,坦克类型系数!$AQ$3:$AX$10,MATCH("累积偏移角",坦克类型系数!$AQ$3:$AX$3,0),FALSE))/(G74/VLOOKUP(D74,坦克类型系数!$AQ$3:$AX$10,MATCH("标准轮次数",坦克类型系数!$AQ$3:$AX$3,0),FALSE)),2))</f>
        <v>3</v>
      </c>
      <c r="N74" s="2">
        <f>VLOOKUP(D74,坦克类型系数!$AZ$3:$BE$10,4,FALSE)/F74</f>
        <v>3</v>
      </c>
      <c r="O74" s="2">
        <f t="shared" si="13"/>
        <v>1</v>
      </c>
      <c r="P74" s="34">
        <f t="shared" si="17"/>
        <v>11</v>
      </c>
      <c r="Q74" s="34">
        <f>VLOOKUP(D74,标准坦克设计!$B$13:$K$20,MATCH("60S射数",标准坦克设计!$B$13:$K$13,0),FALSE)/P74</f>
        <v>1</v>
      </c>
      <c r="R74" s="34">
        <f t="shared" si="18"/>
        <v>6</v>
      </c>
      <c r="S74" s="34">
        <f>VLOOKUP(D74,标准坦克设计!$B$13:$K$20,MATCH("半分连射数",标准坦克设计!$B$13:$K$13,0),FALSE)</f>
        <v>6</v>
      </c>
      <c r="T74" s="34">
        <f t="shared" si="19"/>
        <v>1</v>
      </c>
      <c r="U74" s="142">
        <v>0.25</v>
      </c>
      <c r="V74" s="2">
        <f t="shared" si="20"/>
        <v>1</v>
      </c>
      <c r="W74" s="2">
        <f t="shared" si="21"/>
        <v>2.2799999999999998</v>
      </c>
    </row>
    <row r="75" spans="2:23" x14ac:dyDescent="0.3">
      <c r="B75" s="2" t="str">
        <f t="shared" si="9"/>
        <v>黑豹</v>
      </c>
      <c r="C75" s="2" t="str">
        <f t="shared" si="10"/>
        <v>T3</v>
      </c>
      <c r="D75" s="2" t="str">
        <f t="shared" si="11"/>
        <v>重坦单发</v>
      </c>
      <c r="E75" s="2">
        <f>VLOOKUP(D75,标准坦克设计!$B$13:$K$20,MATCH("弹夹容量",标准坦克设计!$B$13:$K$13,0),FALSE)</f>
        <v>1</v>
      </c>
      <c r="F75" s="41">
        <v>1</v>
      </c>
      <c r="G75" s="322">
        <f t="shared" si="14"/>
        <v>1</v>
      </c>
      <c r="H75" s="2">
        <f>VLOOKUP(D75,标准坦克设计!$B$13:$K$20,MATCH(H$51,标准坦克设计!$B$13:$K$13,0),FALSE)</f>
        <v>6</v>
      </c>
      <c r="I75" s="21">
        <v>1</v>
      </c>
      <c r="J75" s="2">
        <f t="shared" si="15"/>
        <v>6</v>
      </c>
      <c r="K75" s="2">
        <f t="shared" si="16"/>
        <v>0</v>
      </c>
      <c r="L75" s="2">
        <f t="shared" si="12"/>
        <v>0</v>
      </c>
      <c r="M75" s="2">
        <f>IF(D75="轻坦弹夹",ROUND(((G75/VLOOKUP(D75,坦克类型系数!$AQ$3:$AX$10,MATCH("标准轮次数",坦克类型系数!$AQ$3:$AX$3,0),FALSE)-1)*L75*O75+VLOOKUP(D75,坦克类型系数!$AQ$3:$AX$10,MATCH("累积偏移角",坦克类型系数!$AQ$3:$AX$3,0),FALSE))/(G75/VLOOKUP(D75,坦克类型系数!$AQ$3:$AX$10,MATCH("标准轮次数",坦克类型系数!$AQ$3:$AX$3,0),FALSE))/2,2),ROUND(((G75/VLOOKUP(D75,坦克类型系数!$AQ$3:$AX$10,MATCH("标准轮次数",坦克类型系数!$AQ$3:$AX$3,0),FALSE)-1)*L75*O75+VLOOKUP(D75,坦克类型系数!$AQ$3:$AX$10,MATCH("累积偏移角",坦克类型系数!$AQ$3:$AX$3,0),FALSE))/(G75/VLOOKUP(D75,坦克类型系数!$AQ$3:$AX$10,MATCH("标准轮次数",坦克类型系数!$AQ$3:$AX$3,0),FALSE)),2))</f>
        <v>3</v>
      </c>
      <c r="N75" s="2">
        <f>VLOOKUP(D75,坦克类型系数!$AZ$3:$BE$10,4,FALSE)/F75</f>
        <v>3</v>
      </c>
      <c r="O75" s="2">
        <f t="shared" si="13"/>
        <v>1</v>
      </c>
      <c r="P75" s="34">
        <f t="shared" si="17"/>
        <v>11</v>
      </c>
      <c r="Q75" s="34">
        <f>VLOOKUP(D75,标准坦克设计!$B$13:$K$20,MATCH("60S射数",标准坦克设计!$B$13:$K$13,0),FALSE)/P75</f>
        <v>1</v>
      </c>
      <c r="R75" s="34">
        <f t="shared" si="18"/>
        <v>6</v>
      </c>
      <c r="S75" s="34">
        <f>VLOOKUP(D75,标准坦克设计!$B$13:$K$20,MATCH("半分连射数",标准坦克设计!$B$13:$K$13,0),FALSE)</f>
        <v>6</v>
      </c>
      <c r="T75" s="34">
        <f t="shared" si="19"/>
        <v>1</v>
      </c>
      <c r="U75" s="142">
        <v>0.25</v>
      </c>
      <c r="V75" s="2">
        <f t="shared" si="20"/>
        <v>1</v>
      </c>
      <c r="W75" s="2">
        <f t="shared" si="21"/>
        <v>2.2799999999999998</v>
      </c>
    </row>
    <row r="76" spans="2:23" x14ac:dyDescent="0.3">
      <c r="B76" s="2" t="str">
        <f t="shared" si="9"/>
        <v>虎式</v>
      </c>
      <c r="C76" s="2" t="str">
        <f t="shared" si="10"/>
        <v>T3</v>
      </c>
      <c r="D76" s="2" t="str">
        <f t="shared" si="11"/>
        <v>重坦单发</v>
      </c>
      <c r="E76" s="2">
        <f>VLOOKUP(D76,标准坦克设计!$B$13:$K$20,MATCH("弹夹容量",标准坦克设计!$B$13:$K$13,0),FALSE)</f>
        <v>1</v>
      </c>
      <c r="F76" s="41">
        <v>1</v>
      </c>
      <c r="G76" s="322">
        <f t="shared" si="14"/>
        <v>1</v>
      </c>
      <c r="H76" s="2">
        <f>VLOOKUP(D76,标准坦克设计!$B$13:$K$20,MATCH(H$51,标准坦克设计!$B$13:$K$13,0),FALSE)</f>
        <v>6</v>
      </c>
      <c r="I76" s="21">
        <v>1</v>
      </c>
      <c r="J76" s="2">
        <f t="shared" si="15"/>
        <v>6</v>
      </c>
      <c r="K76" s="2">
        <f t="shared" si="16"/>
        <v>0</v>
      </c>
      <c r="L76" s="2">
        <f t="shared" si="12"/>
        <v>0</v>
      </c>
      <c r="M76" s="2">
        <f>IF(D76="轻坦弹夹",ROUND(((G76/VLOOKUP(D76,坦克类型系数!$AQ$3:$AX$10,MATCH("标准轮次数",坦克类型系数!$AQ$3:$AX$3,0),FALSE)-1)*L76*O76+VLOOKUP(D76,坦克类型系数!$AQ$3:$AX$10,MATCH("累积偏移角",坦克类型系数!$AQ$3:$AX$3,0),FALSE))/(G76/VLOOKUP(D76,坦克类型系数!$AQ$3:$AX$10,MATCH("标准轮次数",坦克类型系数!$AQ$3:$AX$3,0),FALSE))/2,2),ROUND(((G76/VLOOKUP(D76,坦克类型系数!$AQ$3:$AX$10,MATCH("标准轮次数",坦克类型系数!$AQ$3:$AX$3,0),FALSE)-1)*L76*O76+VLOOKUP(D76,坦克类型系数!$AQ$3:$AX$10,MATCH("累积偏移角",坦克类型系数!$AQ$3:$AX$3,0),FALSE))/(G76/VLOOKUP(D76,坦克类型系数!$AQ$3:$AX$10,MATCH("标准轮次数",坦克类型系数!$AQ$3:$AX$3,0),FALSE)),2))</f>
        <v>3</v>
      </c>
      <c r="N76" s="2">
        <f>VLOOKUP(D76,坦克类型系数!$AZ$3:$BE$10,4,FALSE)/F76</f>
        <v>3</v>
      </c>
      <c r="O76" s="2">
        <f t="shared" si="13"/>
        <v>1</v>
      </c>
      <c r="P76" s="34">
        <f t="shared" si="17"/>
        <v>11</v>
      </c>
      <c r="Q76" s="34">
        <f>VLOOKUP(D76,标准坦克设计!$B$13:$K$20,MATCH("60S射数",标准坦克设计!$B$13:$K$13,0),FALSE)/P76</f>
        <v>1</v>
      </c>
      <c r="R76" s="34">
        <f t="shared" si="18"/>
        <v>6</v>
      </c>
      <c r="S76" s="34">
        <f>VLOOKUP(D76,标准坦克设计!$B$13:$K$20,MATCH("半分连射数",标准坦克设计!$B$13:$K$13,0),FALSE)</f>
        <v>6</v>
      </c>
      <c r="T76" s="34">
        <f t="shared" si="19"/>
        <v>1</v>
      </c>
      <c r="U76" s="142">
        <v>0.25</v>
      </c>
      <c r="V76" s="2">
        <f t="shared" si="20"/>
        <v>1</v>
      </c>
      <c r="W76" s="2">
        <f t="shared" si="21"/>
        <v>2.2799999999999998</v>
      </c>
    </row>
    <row r="77" spans="2:23" x14ac:dyDescent="0.3">
      <c r="B77" s="2" t="str">
        <f t="shared" si="9"/>
        <v>KV-2</v>
      </c>
      <c r="C77" s="2" t="str">
        <f t="shared" si="10"/>
        <v>T3</v>
      </c>
      <c r="D77" s="2" t="str">
        <f t="shared" si="11"/>
        <v>重坦自动</v>
      </c>
      <c r="E77" s="2">
        <f>VLOOKUP(D77,标准坦克设计!$B$13:$K$20,MATCH("弹夹容量",标准坦克设计!$B$13:$K$13,0),FALSE)</f>
        <v>2</v>
      </c>
      <c r="F77" s="41">
        <v>1</v>
      </c>
      <c r="G77" s="322">
        <f t="shared" si="14"/>
        <v>2</v>
      </c>
      <c r="H77" s="2">
        <f>VLOOKUP(D77,标准坦克设计!$B$13:$K$20,MATCH(H$51,标准坦克设计!$B$13:$K$13,0),FALSE)</f>
        <v>4.5</v>
      </c>
      <c r="I77" s="21">
        <v>0.9</v>
      </c>
      <c r="J77" s="2">
        <f t="shared" si="15"/>
        <v>4.05</v>
      </c>
      <c r="K77" s="2">
        <f t="shared" si="16"/>
        <v>0</v>
      </c>
      <c r="L77" s="2">
        <f t="shared" si="12"/>
        <v>2</v>
      </c>
      <c r="M77" s="2">
        <f>IF(D77="轻坦弹夹",ROUND(((G77/VLOOKUP(D77,坦克类型系数!$AQ$3:$AX$10,MATCH("标准轮次数",坦克类型系数!$AQ$3:$AX$3,0),FALSE)-1)*L77*O77+VLOOKUP(D77,坦克类型系数!$AQ$3:$AX$10,MATCH("累积偏移角",坦克类型系数!$AQ$3:$AX$3,0),FALSE))/(G77/VLOOKUP(D77,坦克类型系数!$AQ$3:$AX$10,MATCH("标准轮次数",坦克类型系数!$AQ$3:$AX$3,0),FALSE))/2,2),ROUND(((G77/VLOOKUP(D77,坦克类型系数!$AQ$3:$AX$10,MATCH("标准轮次数",坦克类型系数!$AQ$3:$AX$3,0),FALSE)-1)*L77*O77+VLOOKUP(D77,坦克类型系数!$AQ$3:$AX$10,MATCH("累积偏移角",坦克类型系数!$AQ$3:$AX$3,0),FALSE))/(G77/VLOOKUP(D77,坦克类型系数!$AQ$3:$AX$10,MATCH("标准轮次数",坦克类型系数!$AQ$3:$AX$3,0),FALSE)),2))</f>
        <v>2.7</v>
      </c>
      <c r="N77" s="2">
        <f>VLOOKUP(D77,坦克类型系数!$AZ$3:$BE$10,4,FALSE)/F77</f>
        <v>1.7999999999999998</v>
      </c>
      <c r="O77" s="2">
        <f t="shared" si="13"/>
        <v>1.2</v>
      </c>
      <c r="P77" s="34">
        <f t="shared" si="17"/>
        <v>16.814814814814817</v>
      </c>
      <c r="Q77" s="34">
        <f>VLOOKUP(D77,标准坦克设计!$B$13:$K$20,MATCH("60S射数",标准坦克设计!$B$13:$K$13,0),FALSE)/P77</f>
        <v>0.91189427312775329</v>
      </c>
      <c r="R77" s="34">
        <f t="shared" si="18"/>
        <v>9.4074074074074083</v>
      </c>
      <c r="S77" s="34">
        <f>VLOOKUP(D77,标准坦克设计!$B$13:$K$20,MATCH("半分连射数",标准坦克设计!$B$13:$K$13,0),FALSE)</f>
        <v>8.6666666666666679</v>
      </c>
      <c r="T77" s="34">
        <f t="shared" si="19"/>
        <v>0.92125984251968507</v>
      </c>
      <c r="U77" s="142">
        <v>0.25</v>
      </c>
      <c r="V77" s="2">
        <f t="shared" si="20"/>
        <v>1</v>
      </c>
      <c r="W77" s="2">
        <f t="shared" si="21"/>
        <v>1.6</v>
      </c>
    </row>
    <row r="78" spans="2:23" x14ac:dyDescent="0.3">
      <c r="B78" s="2" t="str">
        <f t="shared" si="9"/>
        <v>征服者</v>
      </c>
      <c r="C78" s="2" t="str">
        <f t="shared" si="10"/>
        <v>T4</v>
      </c>
      <c r="D78" s="2" t="str">
        <f t="shared" si="11"/>
        <v>重坦单发</v>
      </c>
      <c r="E78" s="2">
        <f>VLOOKUP(D78,标准坦克设计!$B$13:$K$20,MATCH("弹夹容量",标准坦克设计!$B$13:$K$13,0),FALSE)</f>
        <v>1</v>
      </c>
      <c r="F78" s="41">
        <v>1</v>
      </c>
      <c r="G78" s="322">
        <f t="shared" si="14"/>
        <v>1</v>
      </c>
      <c r="H78" s="2">
        <f>VLOOKUP(D78,标准坦克设计!$B$13:$K$20,MATCH(H$51,标准坦克设计!$B$13:$K$13,0),FALSE)</f>
        <v>6</v>
      </c>
      <c r="I78" s="21">
        <v>1</v>
      </c>
      <c r="J78" s="2">
        <f t="shared" si="15"/>
        <v>6</v>
      </c>
      <c r="K78" s="2">
        <f t="shared" si="16"/>
        <v>0</v>
      </c>
      <c r="L78" s="2">
        <f t="shared" si="12"/>
        <v>0</v>
      </c>
      <c r="M78" s="2">
        <f>IF(D78="轻坦弹夹",ROUND(((G78/VLOOKUP(D78,坦克类型系数!$AQ$3:$AX$10,MATCH("标准轮次数",坦克类型系数!$AQ$3:$AX$3,0),FALSE)-1)*L78*O78+VLOOKUP(D78,坦克类型系数!$AQ$3:$AX$10,MATCH("累积偏移角",坦克类型系数!$AQ$3:$AX$3,0),FALSE))/(G78/VLOOKUP(D78,坦克类型系数!$AQ$3:$AX$10,MATCH("标准轮次数",坦克类型系数!$AQ$3:$AX$3,0),FALSE))/2,2),ROUND(((G78/VLOOKUP(D78,坦克类型系数!$AQ$3:$AX$10,MATCH("标准轮次数",坦克类型系数!$AQ$3:$AX$3,0),FALSE)-1)*L78*O78+VLOOKUP(D78,坦克类型系数!$AQ$3:$AX$10,MATCH("累积偏移角",坦克类型系数!$AQ$3:$AX$3,0),FALSE))/(G78/VLOOKUP(D78,坦克类型系数!$AQ$3:$AX$10,MATCH("标准轮次数",坦克类型系数!$AQ$3:$AX$3,0),FALSE)),2))</f>
        <v>3</v>
      </c>
      <c r="N78" s="2">
        <f>VLOOKUP(D78,坦克类型系数!$AZ$3:$BE$10,4,FALSE)/F78</f>
        <v>3</v>
      </c>
      <c r="O78" s="2">
        <f t="shared" si="13"/>
        <v>1</v>
      </c>
      <c r="P78" s="34">
        <f t="shared" si="17"/>
        <v>11</v>
      </c>
      <c r="Q78" s="34">
        <f>VLOOKUP(D78,标准坦克设计!$B$13:$K$20,MATCH("60S射数",标准坦克设计!$B$13:$K$13,0),FALSE)/P78</f>
        <v>1</v>
      </c>
      <c r="R78" s="34">
        <f t="shared" si="18"/>
        <v>6</v>
      </c>
      <c r="S78" s="34">
        <f>VLOOKUP(D78,标准坦克设计!$B$13:$K$20,MATCH("半分连射数",标准坦克设计!$B$13:$K$13,0),FALSE)</f>
        <v>6</v>
      </c>
      <c r="T78" s="34">
        <f t="shared" si="19"/>
        <v>1</v>
      </c>
      <c r="U78" s="142">
        <v>0.25</v>
      </c>
      <c r="V78" s="2">
        <f t="shared" si="20"/>
        <v>1</v>
      </c>
      <c r="W78" s="2">
        <f t="shared" si="21"/>
        <v>2.2799999999999998</v>
      </c>
    </row>
    <row r="79" spans="2:23" x14ac:dyDescent="0.3">
      <c r="B79" s="2" t="str">
        <f t="shared" si="9"/>
        <v>IS-4</v>
      </c>
      <c r="C79" s="2" t="str">
        <f t="shared" si="10"/>
        <v>T4</v>
      </c>
      <c r="D79" s="2" t="str">
        <f t="shared" si="11"/>
        <v>重坦自动</v>
      </c>
      <c r="E79" s="2">
        <f>VLOOKUP(D79,标准坦克设计!$B$13:$K$20,MATCH("弹夹容量",标准坦克设计!$B$13:$K$13,0),FALSE)</f>
        <v>2</v>
      </c>
      <c r="F79" s="41">
        <v>1</v>
      </c>
      <c r="G79" s="322">
        <f t="shared" si="14"/>
        <v>2</v>
      </c>
      <c r="H79" s="2">
        <f>VLOOKUP(D79,标准坦克设计!$B$13:$K$20,MATCH(H$51,标准坦克设计!$B$13:$K$13,0),FALSE)</f>
        <v>4.5</v>
      </c>
      <c r="I79" s="21">
        <v>1</v>
      </c>
      <c r="J79" s="2">
        <f t="shared" si="15"/>
        <v>4.5</v>
      </c>
      <c r="K79" s="2">
        <f t="shared" si="16"/>
        <v>0</v>
      </c>
      <c r="L79" s="2">
        <f t="shared" si="12"/>
        <v>2</v>
      </c>
      <c r="M79" s="2">
        <f>IF(D79="轻坦弹夹",ROUND(((G79/VLOOKUP(D79,坦克类型系数!$AQ$3:$AX$10,MATCH("标准轮次数",坦克类型系数!$AQ$3:$AX$3,0),FALSE)-1)*L79*O79+VLOOKUP(D79,坦克类型系数!$AQ$3:$AX$10,MATCH("累积偏移角",坦克类型系数!$AQ$3:$AX$3,0),FALSE))/(G79/VLOOKUP(D79,坦克类型系数!$AQ$3:$AX$10,MATCH("标准轮次数",坦克类型系数!$AQ$3:$AX$3,0),FALSE))/2,2),ROUND(((G79/VLOOKUP(D79,坦克类型系数!$AQ$3:$AX$10,MATCH("标准轮次数",坦克类型系数!$AQ$3:$AX$3,0),FALSE)-1)*L79*O79+VLOOKUP(D79,坦克类型系数!$AQ$3:$AX$10,MATCH("累积偏移角",坦克类型系数!$AQ$3:$AX$3,0),FALSE))/(G79/VLOOKUP(D79,坦克类型系数!$AQ$3:$AX$10,MATCH("标准轮次数",坦克类型系数!$AQ$3:$AX$3,0),FALSE)),2))</f>
        <v>2.7</v>
      </c>
      <c r="N79" s="2">
        <f>VLOOKUP(D79,坦克类型系数!$AZ$3:$BE$10,4,FALSE)/F79</f>
        <v>1.7999999999999998</v>
      </c>
      <c r="O79" s="2">
        <f t="shared" si="13"/>
        <v>1.2</v>
      </c>
      <c r="P79" s="34">
        <f t="shared" si="17"/>
        <v>15.333333333333334</v>
      </c>
      <c r="Q79" s="34">
        <f>VLOOKUP(D79,标准坦克设计!$B$13:$K$20,MATCH("60S射数",标准坦克设计!$B$13:$K$13,0),FALSE)/P79</f>
        <v>1</v>
      </c>
      <c r="R79" s="34">
        <f t="shared" si="18"/>
        <v>8.6666666666666679</v>
      </c>
      <c r="S79" s="34">
        <f>VLOOKUP(D79,标准坦克设计!$B$13:$K$20,MATCH("半分连射数",标准坦克设计!$B$13:$K$13,0),FALSE)</f>
        <v>8.6666666666666679</v>
      </c>
      <c r="T79" s="34">
        <f t="shared" si="19"/>
        <v>1</v>
      </c>
      <c r="U79" s="142">
        <v>0.25</v>
      </c>
      <c r="V79" s="2">
        <f t="shared" si="20"/>
        <v>1</v>
      </c>
      <c r="W79" s="2">
        <f t="shared" si="21"/>
        <v>1.82</v>
      </c>
    </row>
    <row r="80" spans="2:23" x14ac:dyDescent="0.3">
      <c r="B80" s="2" t="str">
        <f t="shared" si="9"/>
        <v>T-32</v>
      </c>
      <c r="C80" s="2" t="str">
        <f t="shared" si="10"/>
        <v>T4</v>
      </c>
      <c r="D80" s="2" t="str">
        <f t="shared" si="11"/>
        <v>重坦单发</v>
      </c>
      <c r="E80" s="2">
        <f>VLOOKUP(D80,标准坦克设计!$B$13:$K$20,MATCH("弹夹容量",标准坦克设计!$B$13:$K$13,0),FALSE)</f>
        <v>1</v>
      </c>
      <c r="F80" s="41">
        <v>1</v>
      </c>
      <c r="G80" s="322">
        <f t="shared" si="14"/>
        <v>1</v>
      </c>
      <c r="H80" s="2">
        <f>VLOOKUP(D80,标准坦克设计!$B$13:$K$20,MATCH(H$51,标准坦克设计!$B$13:$K$13,0),FALSE)</f>
        <v>6</v>
      </c>
      <c r="I80" s="21">
        <v>1</v>
      </c>
      <c r="J80" s="2">
        <f t="shared" si="15"/>
        <v>6</v>
      </c>
      <c r="K80" s="2">
        <f t="shared" si="16"/>
        <v>0</v>
      </c>
      <c r="L80" s="2">
        <f t="shared" si="12"/>
        <v>0</v>
      </c>
      <c r="M80" s="2">
        <f>IF(D80="轻坦弹夹",ROUND(((G80/VLOOKUP(D80,坦克类型系数!$AQ$3:$AX$10,MATCH("标准轮次数",坦克类型系数!$AQ$3:$AX$3,0),FALSE)-1)*L80*O80+VLOOKUP(D80,坦克类型系数!$AQ$3:$AX$10,MATCH("累积偏移角",坦克类型系数!$AQ$3:$AX$3,0),FALSE))/(G80/VLOOKUP(D80,坦克类型系数!$AQ$3:$AX$10,MATCH("标准轮次数",坦克类型系数!$AQ$3:$AX$3,0),FALSE))/2,2),ROUND(((G80/VLOOKUP(D80,坦克类型系数!$AQ$3:$AX$10,MATCH("标准轮次数",坦克类型系数!$AQ$3:$AX$3,0),FALSE)-1)*L80*O80+VLOOKUP(D80,坦克类型系数!$AQ$3:$AX$10,MATCH("累积偏移角",坦克类型系数!$AQ$3:$AX$3,0),FALSE))/(G80/VLOOKUP(D80,坦克类型系数!$AQ$3:$AX$10,MATCH("标准轮次数",坦克类型系数!$AQ$3:$AX$3,0),FALSE)),2))</f>
        <v>3</v>
      </c>
      <c r="N80" s="2">
        <f>VLOOKUP(D80,坦克类型系数!$AZ$3:$BE$10,4,FALSE)/F80</f>
        <v>3</v>
      </c>
      <c r="O80" s="2">
        <f t="shared" si="13"/>
        <v>1</v>
      </c>
      <c r="P80" s="34">
        <f t="shared" si="17"/>
        <v>11</v>
      </c>
      <c r="Q80" s="34">
        <f>VLOOKUP(D80,标准坦克设计!$B$13:$K$20,MATCH("60S射数",标准坦克设计!$B$13:$K$13,0),FALSE)/P80</f>
        <v>1</v>
      </c>
      <c r="R80" s="34">
        <f t="shared" si="18"/>
        <v>6</v>
      </c>
      <c r="S80" s="34">
        <f>VLOOKUP(D80,标准坦克设计!$B$13:$K$20,MATCH("半分连射数",标准坦克设计!$B$13:$K$13,0),FALSE)</f>
        <v>6</v>
      </c>
      <c r="T80" s="34">
        <f t="shared" si="19"/>
        <v>1</v>
      </c>
      <c r="U80" s="142">
        <v>0.25</v>
      </c>
      <c r="V80" s="2">
        <f t="shared" si="20"/>
        <v>1</v>
      </c>
      <c r="W80" s="2">
        <f t="shared" si="21"/>
        <v>2.2799999999999998</v>
      </c>
    </row>
    <row r="81" spans="2:23" x14ac:dyDescent="0.3">
      <c r="B81" s="2" t="str">
        <f t="shared" si="9"/>
        <v>M1A2</v>
      </c>
      <c r="C81" s="2" t="str">
        <f t="shared" si="10"/>
        <v>T5</v>
      </c>
      <c r="D81" s="2" t="str">
        <f t="shared" si="11"/>
        <v>重坦单发</v>
      </c>
      <c r="E81" s="2">
        <f>VLOOKUP(D81,标准坦克设计!$B$13:$K$20,MATCH("弹夹容量",标准坦克设计!$B$13:$K$13,0),FALSE)</f>
        <v>1</v>
      </c>
      <c r="F81" s="41">
        <v>1</v>
      </c>
      <c r="G81" s="322">
        <f t="shared" si="14"/>
        <v>1</v>
      </c>
      <c r="H81" s="2">
        <f>VLOOKUP(D81,标准坦克设计!$B$13:$K$20,MATCH(H$51,标准坦克设计!$B$13:$K$13,0),FALSE)</f>
        <v>6</v>
      </c>
      <c r="I81" s="21">
        <v>1</v>
      </c>
      <c r="J81" s="2">
        <f t="shared" si="15"/>
        <v>6</v>
      </c>
      <c r="K81" s="2">
        <f t="shared" si="16"/>
        <v>0</v>
      </c>
      <c r="L81" s="2">
        <f t="shared" si="12"/>
        <v>0</v>
      </c>
      <c r="M81" s="2">
        <f>IF(D81="轻坦弹夹",ROUND(((G81/VLOOKUP(D81,坦克类型系数!$AQ$3:$AX$10,MATCH("标准轮次数",坦克类型系数!$AQ$3:$AX$3,0),FALSE)-1)*L81*O81+VLOOKUP(D81,坦克类型系数!$AQ$3:$AX$10,MATCH("累积偏移角",坦克类型系数!$AQ$3:$AX$3,0),FALSE))/(G81/VLOOKUP(D81,坦克类型系数!$AQ$3:$AX$10,MATCH("标准轮次数",坦克类型系数!$AQ$3:$AX$3,0),FALSE))/2,2),ROUND(((G81/VLOOKUP(D81,坦克类型系数!$AQ$3:$AX$10,MATCH("标准轮次数",坦克类型系数!$AQ$3:$AX$3,0),FALSE)-1)*L81*O81+VLOOKUP(D81,坦克类型系数!$AQ$3:$AX$10,MATCH("累积偏移角",坦克类型系数!$AQ$3:$AX$3,0),FALSE))/(G81/VLOOKUP(D81,坦克类型系数!$AQ$3:$AX$10,MATCH("标准轮次数",坦克类型系数!$AQ$3:$AX$3,0),FALSE)),2))</f>
        <v>3</v>
      </c>
      <c r="N81" s="2">
        <f>VLOOKUP(D81,坦克类型系数!$AZ$3:$BE$10,4,FALSE)/F81</f>
        <v>3</v>
      </c>
      <c r="O81" s="2">
        <f t="shared" si="13"/>
        <v>1</v>
      </c>
      <c r="P81" s="34">
        <f t="shared" si="17"/>
        <v>11</v>
      </c>
      <c r="Q81" s="34">
        <f>VLOOKUP(D81,标准坦克设计!$B$13:$K$20,MATCH("60S射数",标准坦克设计!$B$13:$K$13,0),FALSE)/P81</f>
        <v>1</v>
      </c>
      <c r="R81" s="34">
        <f t="shared" si="18"/>
        <v>6</v>
      </c>
      <c r="S81" s="34">
        <f>VLOOKUP(D81,标准坦克设计!$B$13:$K$20,MATCH("半分连射数",标准坦克设计!$B$13:$K$13,0),FALSE)</f>
        <v>6</v>
      </c>
      <c r="T81" s="34">
        <f t="shared" si="19"/>
        <v>1</v>
      </c>
      <c r="U81" s="142">
        <v>0.25</v>
      </c>
      <c r="V81" s="2">
        <f t="shared" si="20"/>
        <v>1</v>
      </c>
      <c r="W81" s="2">
        <f t="shared" si="21"/>
        <v>2.2799999999999998</v>
      </c>
    </row>
    <row r="83" spans="2:23" x14ac:dyDescent="0.3">
      <c r="B83" s="356" t="s">
        <v>1178</v>
      </c>
      <c r="C83" s="357"/>
      <c r="D83" s="357"/>
      <c r="E83" s="357"/>
      <c r="G83" s="152" t="s">
        <v>1179</v>
      </c>
      <c r="H83" s="152"/>
      <c r="I83" s="152"/>
      <c r="J83" s="152"/>
      <c r="K83" s="152"/>
      <c r="L83" s="152"/>
      <c r="M83" s="152"/>
      <c r="N83" s="152"/>
      <c r="O83" s="152" t="s">
        <v>1180</v>
      </c>
      <c r="P83" s="152"/>
      <c r="Q83" s="152"/>
      <c r="R83" s="152"/>
      <c r="S83" s="152"/>
      <c r="T83" s="152"/>
    </row>
    <row r="84" spans="2:23" x14ac:dyDescent="0.3">
      <c r="B84" s="2" t="s">
        <v>599</v>
      </c>
      <c r="C84" s="2" t="s">
        <v>1101</v>
      </c>
      <c r="D84" s="2" t="s">
        <v>136</v>
      </c>
      <c r="E84" s="2" t="s">
        <v>1181</v>
      </c>
      <c r="G84" s="2" t="s">
        <v>599</v>
      </c>
      <c r="H84" s="2" t="s">
        <v>1114</v>
      </c>
      <c r="I84" s="2" t="s">
        <v>888</v>
      </c>
      <c r="J84" s="2" t="s">
        <v>889</v>
      </c>
      <c r="K84" s="2" t="s">
        <v>890</v>
      </c>
      <c r="L84" s="2" t="s">
        <v>1120</v>
      </c>
      <c r="M84" s="2" t="s">
        <v>1121</v>
      </c>
      <c r="N84" s="2" t="s">
        <v>1122</v>
      </c>
      <c r="O84" s="2" t="s">
        <v>86</v>
      </c>
      <c r="P84" s="2" t="s">
        <v>88</v>
      </c>
      <c r="Q84" s="2" t="s">
        <v>89</v>
      </c>
      <c r="R84" s="2" t="s">
        <v>171</v>
      </c>
      <c r="S84" s="2" t="s">
        <v>1169</v>
      </c>
      <c r="T84" s="2" t="s">
        <v>845</v>
      </c>
    </row>
    <row r="85" spans="2:23" x14ac:dyDescent="0.3">
      <c r="B85" s="2" t="str">
        <f>B19</f>
        <v>雷诺FT</v>
      </c>
      <c r="C85" s="34">
        <f t="shared" ref="C85:C114" si="22">K19</f>
        <v>1.0547242643961485</v>
      </c>
      <c r="D85" s="34">
        <f t="shared" ref="D85:D114" si="23">AH19*T52*1/C85*E85</f>
        <v>1.1991113130113356</v>
      </c>
      <c r="E85" s="21">
        <v>1.4</v>
      </c>
      <c r="G85" s="2" t="str">
        <f t="shared" ref="G85:G114" si="24">B85</f>
        <v>雷诺FT</v>
      </c>
      <c r="H85" s="34">
        <f t="shared" ref="H85:N94" si="25">VLOOKUP($G85,$B$18:$BC$48,MATCH(H$84,$B$18:$BC$18,0),FALSE)</f>
        <v>11.783831986523932</v>
      </c>
      <c r="I85" s="34">
        <f t="shared" si="25"/>
        <v>47.135327946095728</v>
      </c>
      <c r="J85" s="34">
        <f t="shared" si="25"/>
        <v>45</v>
      </c>
      <c r="K85" s="34">
        <f t="shared" si="25"/>
        <v>10.5</v>
      </c>
      <c r="L85" s="34">
        <f t="shared" si="25"/>
        <v>10.5</v>
      </c>
      <c r="M85" s="34">
        <f t="shared" si="25"/>
        <v>7</v>
      </c>
      <c r="N85" s="34">
        <f t="shared" si="25"/>
        <v>10.5</v>
      </c>
      <c r="O85" s="2">
        <f t="shared" ref="O85:S94" si="26">VLOOKUP($G85,$B$51:$T$81,MATCH(O$84,$B$51:$T$51,0),FALSE)</f>
        <v>18</v>
      </c>
      <c r="P85" s="2">
        <f t="shared" si="26"/>
        <v>0</v>
      </c>
      <c r="Q85" s="2">
        <f t="shared" si="26"/>
        <v>7.56</v>
      </c>
      <c r="R85" s="2">
        <f t="shared" si="26"/>
        <v>1.2</v>
      </c>
      <c r="S85" s="2">
        <f t="shared" si="26"/>
        <v>0.45</v>
      </c>
      <c r="T85" s="34">
        <f>S85/R85</f>
        <v>0.375</v>
      </c>
    </row>
    <row r="86" spans="2:23" x14ac:dyDescent="0.3">
      <c r="B86" s="2" t="str">
        <f t="shared" ref="B86:B114" si="27">B20</f>
        <v>二号</v>
      </c>
      <c r="C86" s="34">
        <f t="shared" si="22"/>
        <v>0.92769385214429489</v>
      </c>
      <c r="D86" s="34">
        <f t="shared" si="23"/>
        <v>1.3217381651498663</v>
      </c>
      <c r="E86" s="21">
        <v>1.3</v>
      </c>
      <c r="G86" s="2" t="str">
        <f t="shared" si="24"/>
        <v>二号</v>
      </c>
      <c r="H86" s="34">
        <f t="shared" si="25"/>
        <v>11.783831986523932</v>
      </c>
      <c r="I86" s="34">
        <f t="shared" si="25"/>
        <v>47.135327946095728</v>
      </c>
      <c r="J86" s="34">
        <f t="shared" si="25"/>
        <v>45</v>
      </c>
      <c r="K86" s="34">
        <f t="shared" si="25"/>
        <v>10.5</v>
      </c>
      <c r="L86" s="34">
        <f t="shared" si="25"/>
        <v>10.5</v>
      </c>
      <c r="M86" s="34">
        <f t="shared" si="25"/>
        <v>7</v>
      </c>
      <c r="N86" s="34">
        <f t="shared" si="25"/>
        <v>10.5</v>
      </c>
      <c r="O86" s="2">
        <f t="shared" si="26"/>
        <v>20</v>
      </c>
      <c r="P86" s="2">
        <f t="shared" si="26"/>
        <v>0</v>
      </c>
      <c r="Q86" s="2">
        <f t="shared" si="26"/>
        <v>11.2</v>
      </c>
      <c r="R86" s="2">
        <f t="shared" si="26"/>
        <v>1.2</v>
      </c>
      <c r="S86" s="2">
        <f t="shared" si="26"/>
        <v>0.44</v>
      </c>
      <c r="T86" s="34">
        <f t="shared" ref="T86:T114" si="28">S86/R86</f>
        <v>0.3666666666666667</v>
      </c>
    </row>
    <row r="87" spans="2:23" x14ac:dyDescent="0.3">
      <c r="B87" s="2" t="str">
        <f t="shared" si="27"/>
        <v>Puma</v>
      </c>
      <c r="C87" s="34">
        <f t="shared" si="22"/>
        <v>1.0794980525137019</v>
      </c>
      <c r="D87" s="34">
        <f t="shared" si="23"/>
        <v>1.5016329292662791</v>
      </c>
      <c r="E87" s="21">
        <v>1.3</v>
      </c>
      <c r="G87" s="2" t="str">
        <f t="shared" si="24"/>
        <v>Puma</v>
      </c>
      <c r="H87" s="34">
        <f t="shared" si="25"/>
        <v>10.60544878787154</v>
      </c>
      <c r="I87" s="34">
        <f t="shared" si="25"/>
        <v>42.421795151486158</v>
      </c>
      <c r="J87" s="34">
        <f t="shared" si="25"/>
        <v>50</v>
      </c>
      <c r="K87" s="34">
        <f t="shared" si="25"/>
        <v>9.9749999999999996</v>
      </c>
      <c r="L87" s="34">
        <f t="shared" si="25"/>
        <v>9.9749999999999996</v>
      </c>
      <c r="M87" s="34">
        <f t="shared" si="25"/>
        <v>7</v>
      </c>
      <c r="N87" s="34">
        <f t="shared" si="25"/>
        <v>10.5</v>
      </c>
      <c r="O87" s="2">
        <f t="shared" si="26"/>
        <v>9</v>
      </c>
      <c r="P87" s="2">
        <f t="shared" si="26"/>
        <v>0</v>
      </c>
      <c r="Q87" s="2">
        <f t="shared" si="26"/>
        <v>4.7249999999999996</v>
      </c>
      <c r="R87" s="2">
        <f t="shared" si="26"/>
        <v>1.2</v>
      </c>
      <c r="S87" s="2">
        <f t="shared" si="26"/>
        <v>0.62</v>
      </c>
      <c r="T87" s="34">
        <f t="shared" si="28"/>
        <v>0.51666666666666672</v>
      </c>
    </row>
    <row r="88" spans="2:23" x14ac:dyDescent="0.3">
      <c r="B88" s="2" t="str">
        <f t="shared" si="27"/>
        <v>35(t)</v>
      </c>
      <c r="C88" s="34">
        <f t="shared" si="22"/>
        <v>1.0166124189546237</v>
      </c>
      <c r="D88" s="34">
        <f t="shared" si="23"/>
        <v>1.4989706707327655</v>
      </c>
      <c r="E88" s="21">
        <v>1.2</v>
      </c>
      <c r="G88" s="2" t="str">
        <f t="shared" si="24"/>
        <v>35(t)</v>
      </c>
      <c r="H88" s="34">
        <f t="shared" si="25"/>
        <v>10.60544878787154</v>
      </c>
      <c r="I88" s="34">
        <f t="shared" si="25"/>
        <v>42.421795151486158</v>
      </c>
      <c r="J88" s="34">
        <f t="shared" si="25"/>
        <v>50</v>
      </c>
      <c r="K88" s="34">
        <f t="shared" si="25"/>
        <v>9.9749999999999996</v>
      </c>
      <c r="L88" s="34">
        <f t="shared" si="25"/>
        <v>9.9749999999999996</v>
      </c>
      <c r="M88" s="34">
        <f t="shared" si="25"/>
        <v>7</v>
      </c>
      <c r="N88" s="34">
        <f t="shared" si="25"/>
        <v>10.5</v>
      </c>
      <c r="O88" s="2">
        <f t="shared" si="26"/>
        <v>14</v>
      </c>
      <c r="P88" s="2">
        <f t="shared" si="26"/>
        <v>0</v>
      </c>
      <c r="Q88" s="2">
        <f t="shared" si="26"/>
        <v>9.7999999999999989</v>
      </c>
      <c r="R88" s="2">
        <f t="shared" si="26"/>
        <v>1.2</v>
      </c>
      <c r="S88" s="2">
        <f t="shared" si="26"/>
        <v>0.56999999999999995</v>
      </c>
      <c r="T88" s="34">
        <f t="shared" si="28"/>
        <v>0.47499999999999998</v>
      </c>
    </row>
    <row r="89" spans="2:23" x14ac:dyDescent="0.3">
      <c r="B89" s="2" t="str">
        <f t="shared" si="27"/>
        <v>十字军</v>
      </c>
      <c r="C89" s="34">
        <f t="shared" si="22"/>
        <v>1.0256041426273552</v>
      </c>
      <c r="D89" s="34">
        <f t="shared" si="23"/>
        <v>0.99700768431776465</v>
      </c>
      <c r="E89" s="21">
        <v>1</v>
      </c>
      <c r="G89" s="2" t="str">
        <f t="shared" si="24"/>
        <v>十字军</v>
      </c>
      <c r="H89" s="34">
        <f t="shared" si="25"/>
        <v>11.783831986523932</v>
      </c>
      <c r="I89" s="34">
        <f t="shared" si="25"/>
        <v>47.135327946095728</v>
      </c>
      <c r="J89" s="34">
        <f t="shared" si="25"/>
        <v>45</v>
      </c>
      <c r="K89" s="34">
        <f t="shared" si="25"/>
        <v>10.5</v>
      </c>
      <c r="L89" s="34">
        <f t="shared" si="25"/>
        <v>10.5</v>
      </c>
      <c r="M89" s="34">
        <f t="shared" si="25"/>
        <v>7</v>
      </c>
      <c r="N89" s="34">
        <f t="shared" si="25"/>
        <v>10.5</v>
      </c>
      <c r="O89" s="2">
        <f t="shared" si="26"/>
        <v>18</v>
      </c>
      <c r="P89" s="2">
        <f t="shared" si="26"/>
        <v>0</v>
      </c>
      <c r="Q89" s="2">
        <f t="shared" si="26"/>
        <v>12.6</v>
      </c>
      <c r="R89" s="2">
        <f t="shared" si="26"/>
        <v>1.2</v>
      </c>
      <c r="S89" s="2">
        <f t="shared" si="26"/>
        <v>0.45</v>
      </c>
      <c r="T89" s="34">
        <f t="shared" si="28"/>
        <v>0.375</v>
      </c>
    </row>
    <row r="90" spans="2:23" x14ac:dyDescent="0.3">
      <c r="B90" s="2" t="str">
        <f t="shared" si="27"/>
        <v>AMX-13</v>
      </c>
      <c r="C90" s="34">
        <f t="shared" si="22"/>
        <v>0.94842700105865552</v>
      </c>
      <c r="D90" s="34">
        <f t="shared" si="23"/>
        <v>1.3633901176868566</v>
      </c>
      <c r="E90" s="21">
        <v>1</v>
      </c>
      <c r="G90" s="2" t="str">
        <f t="shared" si="24"/>
        <v>AMX-13</v>
      </c>
      <c r="H90" s="34">
        <f t="shared" si="25"/>
        <v>9.4270655892191453</v>
      </c>
      <c r="I90" s="34">
        <f t="shared" si="25"/>
        <v>37.708262356876581</v>
      </c>
      <c r="J90" s="34">
        <f t="shared" si="25"/>
        <v>56.25</v>
      </c>
      <c r="K90" s="34">
        <f t="shared" si="25"/>
        <v>9.4500000000000011</v>
      </c>
      <c r="L90" s="34">
        <f t="shared" si="25"/>
        <v>9.4500000000000011</v>
      </c>
      <c r="M90" s="34">
        <f t="shared" si="25"/>
        <v>7</v>
      </c>
      <c r="N90" s="34">
        <f t="shared" si="25"/>
        <v>10.5</v>
      </c>
      <c r="O90" s="2">
        <f t="shared" si="26"/>
        <v>14</v>
      </c>
      <c r="P90" s="2">
        <f t="shared" si="26"/>
        <v>0</v>
      </c>
      <c r="Q90" s="2">
        <f t="shared" si="26"/>
        <v>9.7999999999999989</v>
      </c>
      <c r="R90" s="2">
        <f t="shared" si="26"/>
        <v>1.2</v>
      </c>
      <c r="S90" s="2">
        <f t="shared" si="26"/>
        <v>0.56999999999999995</v>
      </c>
      <c r="T90" s="34">
        <f t="shared" si="28"/>
        <v>0.47499999999999998</v>
      </c>
    </row>
    <row r="91" spans="2:23" x14ac:dyDescent="0.3">
      <c r="B91" s="2" t="str">
        <f t="shared" si="27"/>
        <v>霞飞</v>
      </c>
      <c r="C91" s="34">
        <f t="shared" si="22"/>
        <v>0.95523805445591059</v>
      </c>
      <c r="D91" s="34">
        <f t="shared" si="23"/>
        <v>1.1582891362768142</v>
      </c>
      <c r="E91" s="21">
        <v>1</v>
      </c>
      <c r="G91" s="2" t="str">
        <f t="shared" si="24"/>
        <v>霞飞</v>
      </c>
      <c r="H91" s="34">
        <f t="shared" si="25"/>
        <v>10.60544878787154</v>
      </c>
      <c r="I91" s="34">
        <f t="shared" si="25"/>
        <v>42.421795151486158</v>
      </c>
      <c r="J91" s="34">
        <f t="shared" si="25"/>
        <v>50</v>
      </c>
      <c r="K91" s="34">
        <f t="shared" si="25"/>
        <v>9.9749999999999996</v>
      </c>
      <c r="L91" s="34">
        <f t="shared" si="25"/>
        <v>9.9749999999999996</v>
      </c>
      <c r="M91" s="34">
        <f t="shared" si="25"/>
        <v>7</v>
      </c>
      <c r="N91" s="34">
        <f t="shared" si="25"/>
        <v>10.5</v>
      </c>
      <c r="O91" s="2">
        <f t="shared" si="26"/>
        <v>14</v>
      </c>
      <c r="P91" s="2">
        <f t="shared" si="26"/>
        <v>0</v>
      </c>
      <c r="Q91" s="2">
        <f t="shared" si="26"/>
        <v>9.7999999999999989</v>
      </c>
      <c r="R91" s="2">
        <f t="shared" si="26"/>
        <v>1.2</v>
      </c>
      <c r="S91" s="2">
        <f t="shared" si="26"/>
        <v>0.48</v>
      </c>
      <c r="T91" s="34">
        <f t="shared" si="28"/>
        <v>0.4</v>
      </c>
    </row>
    <row r="92" spans="2:23" x14ac:dyDescent="0.3">
      <c r="B92" s="2" t="str">
        <f t="shared" si="27"/>
        <v>M-41</v>
      </c>
      <c r="C92" s="34">
        <f t="shared" si="22"/>
        <v>1.0232309713576613</v>
      </c>
      <c r="D92" s="34">
        <f t="shared" si="23"/>
        <v>1.1910480975256221</v>
      </c>
      <c r="E92" s="21">
        <v>1</v>
      </c>
      <c r="G92" s="2" t="str">
        <f t="shared" si="24"/>
        <v>M-41</v>
      </c>
      <c r="H92" s="34">
        <f t="shared" si="25"/>
        <v>9.4270655892191453</v>
      </c>
      <c r="I92" s="34">
        <f t="shared" si="25"/>
        <v>37.708262356876581</v>
      </c>
      <c r="J92" s="34">
        <f t="shared" si="25"/>
        <v>56.25</v>
      </c>
      <c r="K92" s="34">
        <f t="shared" si="25"/>
        <v>9.4500000000000011</v>
      </c>
      <c r="L92" s="34">
        <f t="shared" si="25"/>
        <v>9.4500000000000011</v>
      </c>
      <c r="M92" s="34">
        <f t="shared" si="25"/>
        <v>7</v>
      </c>
      <c r="N92" s="34">
        <f t="shared" si="25"/>
        <v>10.5</v>
      </c>
      <c r="O92" s="2">
        <f t="shared" si="26"/>
        <v>18</v>
      </c>
      <c r="P92" s="2">
        <f t="shared" si="26"/>
        <v>0</v>
      </c>
      <c r="Q92" s="2">
        <f t="shared" si="26"/>
        <v>12.6</v>
      </c>
      <c r="R92" s="2">
        <f t="shared" si="26"/>
        <v>1.2</v>
      </c>
      <c r="S92" s="2">
        <f t="shared" si="26"/>
        <v>0.55000000000000004</v>
      </c>
      <c r="T92" s="34">
        <f t="shared" si="28"/>
        <v>0.45833333333333337</v>
      </c>
    </row>
    <row r="93" spans="2:23" x14ac:dyDescent="0.3">
      <c r="B93" s="2" t="str">
        <f t="shared" si="27"/>
        <v>BMP-3</v>
      </c>
      <c r="C93" s="34">
        <f t="shared" si="22"/>
        <v>1.1171275970413197</v>
      </c>
      <c r="D93" s="34">
        <f t="shared" si="23"/>
        <v>1.2189302200428715</v>
      </c>
      <c r="E93" s="21">
        <v>1</v>
      </c>
      <c r="G93" s="2" t="str">
        <f t="shared" si="24"/>
        <v>BMP-3</v>
      </c>
      <c r="H93" s="34">
        <f t="shared" si="25"/>
        <v>10.60544878787154</v>
      </c>
      <c r="I93" s="34">
        <f t="shared" si="25"/>
        <v>42.421795151486158</v>
      </c>
      <c r="J93" s="34">
        <f t="shared" si="25"/>
        <v>50</v>
      </c>
      <c r="K93" s="34">
        <f t="shared" si="25"/>
        <v>9.9749999999999996</v>
      </c>
      <c r="L93" s="34">
        <f t="shared" si="25"/>
        <v>9.9749999999999996</v>
      </c>
      <c r="M93" s="34">
        <f t="shared" si="25"/>
        <v>7</v>
      </c>
      <c r="N93" s="34">
        <f t="shared" si="25"/>
        <v>10.5</v>
      </c>
      <c r="O93" s="2">
        <f t="shared" si="26"/>
        <v>9</v>
      </c>
      <c r="P93" s="2">
        <f t="shared" si="26"/>
        <v>0</v>
      </c>
      <c r="Q93" s="2">
        <f t="shared" si="26"/>
        <v>6.3</v>
      </c>
      <c r="R93" s="2">
        <f t="shared" si="26"/>
        <v>1.2</v>
      </c>
      <c r="S93" s="2">
        <f t="shared" si="26"/>
        <v>0.62</v>
      </c>
      <c r="T93" s="34">
        <f t="shared" si="28"/>
        <v>0.51666666666666672</v>
      </c>
    </row>
    <row r="94" spans="2:23" x14ac:dyDescent="0.3">
      <c r="B94" s="2" t="str">
        <f t="shared" si="27"/>
        <v>59式</v>
      </c>
      <c r="C94" s="34">
        <f t="shared" si="22"/>
        <v>1.0544341811908098</v>
      </c>
      <c r="D94" s="34">
        <f t="shared" si="23"/>
        <v>1.226322158041611</v>
      </c>
      <c r="E94" s="21">
        <v>1</v>
      </c>
      <c r="G94" s="2" t="str">
        <f t="shared" si="24"/>
        <v>59式</v>
      </c>
      <c r="H94" s="34">
        <f t="shared" si="25"/>
        <v>9.4270655892191453</v>
      </c>
      <c r="I94" s="34">
        <f t="shared" si="25"/>
        <v>37.708262356876581</v>
      </c>
      <c r="J94" s="34">
        <f t="shared" si="25"/>
        <v>56.25</v>
      </c>
      <c r="K94" s="34">
        <f t="shared" si="25"/>
        <v>9.4500000000000011</v>
      </c>
      <c r="L94" s="34">
        <f t="shared" si="25"/>
        <v>9.4500000000000011</v>
      </c>
      <c r="M94" s="34">
        <f t="shared" si="25"/>
        <v>7</v>
      </c>
      <c r="N94" s="34">
        <f t="shared" si="25"/>
        <v>10.5</v>
      </c>
      <c r="O94" s="2">
        <f t="shared" si="26"/>
        <v>14</v>
      </c>
      <c r="P94" s="2">
        <f t="shared" si="26"/>
        <v>0</v>
      </c>
      <c r="Q94" s="2">
        <f t="shared" si="26"/>
        <v>9.7999999999999989</v>
      </c>
      <c r="R94" s="2">
        <f t="shared" si="26"/>
        <v>1.2</v>
      </c>
      <c r="S94" s="2">
        <f t="shared" si="26"/>
        <v>0.56999999999999995</v>
      </c>
      <c r="T94" s="34">
        <f t="shared" si="28"/>
        <v>0.47499999999999998</v>
      </c>
    </row>
    <row r="95" spans="2:23" x14ac:dyDescent="0.3">
      <c r="B95" s="2" t="str">
        <f t="shared" si="27"/>
        <v>Stuart</v>
      </c>
      <c r="C95" s="34">
        <f t="shared" si="22"/>
        <v>0.98750434690933642</v>
      </c>
      <c r="D95" s="34">
        <f t="shared" si="23"/>
        <v>1.5045141728886895</v>
      </c>
      <c r="E95" s="21">
        <v>1.3</v>
      </c>
      <c r="G95" s="2" t="str">
        <f t="shared" si="24"/>
        <v>Stuart</v>
      </c>
      <c r="H95" s="34">
        <f t="shared" ref="H95:N104" si="29">VLOOKUP($G95,$B$18:$BC$48,MATCH(H$84,$B$18:$BC$18,0),FALSE)</f>
        <v>11.123020662806383</v>
      </c>
      <c r="I95" s="34">
        <f t="shared" si="29"/>
        <v>44.49208265122553</v>
      </c>
      <c r="J95" s="34">
        <f t="shared" si="29"/>
        <v>40</v>
      </c>
      <c r="K95" s="34">
        <f t="shared" si="29"/>
        <v>8</v>
      </c>
      <c r="L95" s="34">
        <f t="shared" si="29"/>
        <v>8</v>
      </c>
      <c r="M95" s="34">
        <f t="shared" si="29"/>
        <v>5</v>
      </c>
      <c r="N95" s="34">
        <f t="shared" si="29"/>
        <v>4</v>
      </c>
      <c r="O95" s="2">
        <f t="shared" ref="O95:S104" si="30">VLOOKUP($G95,$B$51:$T$81,MATCH(O$84,$B$51:$T$51,0),FALSE)</f>
        <v>9</v>
      </c>
      <c r="P95" s="2">
        <f t="shared" si="30"/>
        <v>3.2</v>
      </c>
      <c r="Q95" s="2">
        <f t="shared" si="30"/>
        <v>0</v>
      </c>
      <c r="R95" s="2">
        <f t="shared" si="30"/>
        <v>1</v>
      </c>
      <c r="S95" s="2">
        <f t="shared" si="30"/>
        <v>1</v>
      </c>
      <c r="T95" s="34">
        <f t="shared" si="28"/>
        <v>1</v>
      </c>
    </row>
    <row r="96" spans="2:23" x14ac:dyDescent="0.3">
      <c r="B96" s="2" t="str">
        <f t="shared" si="27"/>
        <v>T-34</v>
      </c>
      <c r="C96" s="34">
        <f t="shared" si="22"/>
        <v>0.92730259888027378</v>
      </c>
      <c r="D96" s="34">
        <f t="shared" si="23"/>
        <v>1.2324532943584467</v>
      </c>
      <c r="E96" s="21">
        <v>1</v>
      </c>
      <c r="G96" s="2" t="str">
        <f t="shared" si="24"/>
        <v>T-34</v>
      </c>
      <c r="H96" s="34">
        <f t="shared" si="29"/>
        <v>11.123020662806383</v>
      </c>
      <c r="I96" s="34">
        <f t="shared" si="29"/>
        <v>44.49208265122553</v>
      </c>
      <c r="J96" s="34">
        <f t="shared" si="29"/>
        <v>40</v>
      </c>
      <c r="K96" s="34">
        <f t="shared" si="29"/>
        <v>8</v>
      </c>
      <c r="L96" s="34">
        <f t="shared" si="29"/>
        <v>8</v>
      </c>
      <c r="M96" s="34">
        <f t="shared" si="29"/>
        <v>5</v>
      </c>
      <c r="N96" s="34">
        <f t="shared" si="29"/>
        <v>4</v>
      </c>
      <c r="O96" s="2">
        <f t="shared" si="30"/>
        <v>9</v>
      </c>
      <c r="P96" s="2">
        <f t="shared" si="30"/>
        <v>3.2</v>
      </c>
      <c r="Q96" s="2">
        <f t="shared" si="30"/>
        <v>0</v>
      </c>
      <c r="R96" s="2">
        <f t="shared" si="30"/>
        <v>1</v>
      </c>
      <c r="S96" s="2">
        <f t="shared" si="30"/>
        <v>1.01</v>
      </c>
      <c r="T96" s="34">
        <f t="shared" si="28"/>
        <v>1.01</v>
      </c>
    </row>
    <row r="97" spans="2:20" x14ac:dyDescent="0.3">
      <c r="B97" s="2" t="str">
        <f t="shared" si="27"/>
        <v>四号</v>
      </c>
      <c r="C97" s="34">
        <f t="shared" si="22"/>
        <v>0.95647015888378073</v>
      </c>
      <c r="D97" s="34">
        <f t="shared" si="23"/>
        <v>1.2188418194896093</v>
      </c>
      <c r="E97" s="21">
        <v>1</v>
      </c>
      <c r="G97" s="2" t="str">
        <f t="shared" si="24"/>
        <v>四号</v>
      </c>
      <c r="H97" s="34">
        <f t="shared" si="29"/>
        <v>8.8984165302451057</v>
      </c>
      <c r="I97" s="34">
        <f t="shared" si="29"/>
        <v>35.593666120980423</v>
      </c>
      <c r="J97" s="34">
        <f t="shared" si="29"/>
        <v>50</v>
      </c>
      <c r="K97" s="34">
        <f t="shared" si="29"/>
        <v>7.2</v>
      </c>
      <c r="L97" s="34">
        <f t="shared" si="29"/>
        <v>7.2</v>
      </c>
      <c r="M97" s="34">
        <f t="shared" si="29"/>
        <v>5</v>
      </c>
      <c r="N97" s="34">
        <f t="shared" si="29"/>
        <v>4</v>
      </c>
      <c r="O97" s="2">
        <f t="shared" si="30"/>
        <v>6</v>
      </c>
      <c r="P97" s="2">
        <f t="shared" si="30"/>
        <v>2.4</v>
      </c>
      <c r="Q97" s="2">
        <f t="shared" si="30"/>
        <v>0</v>
      </c>
      <c r="R97" s="2">
        <f t="shared" si="30"/>
        <v>1</v>
      </c>
      <c r="S97" s="2">
        <f t="shared" si="30"/>
        <v>1.4</v>
      </c>
      <c r="T97" s="34">
        <f t="shared" si="28"/>
        <v>1.4</v>
      </c>
    </row>
    <row r="98" spans="2:20" x14ac:dyDescent="0.3">
      <c r="B98" s="2" t="str">
        <f t="shared" si="27"/>
        <v>玛蒂尔达</v>
      </c>
      <c r="C98" s="34">
        <f t="shared" si="22"/>
        <v>0.94998554066497642</v>
      </c>
      <c r="D98" s="34">
        <f t="shared" si="23"/>
        <v>1.2030258292743687</v>
      </c>
      <c r="E98" s="21">
        <v>1</v>
      </c>
      <c r="G98" s="2" t="str">
        <f t="shared" si="24"/>
        <v>玛蒂尔达</v>
      </c>
      <c r="H98" s="34">
        <f t="shared" si="29"/>
        <v>11.123020662806383</v>
      </c>
      <c r="I98" s="34">
        <f t="shared" si="29"/>
        <v>44.49208265122553</v>
      </c>
      <c r="J98" s="34">
        <f t="shared" si="29"/>
        <v>40</v>
      </c>
      <c r="K98" s="34">
        <f t="shared" si="29"/>
        <v>8</v>
      </c>
      <c r="L98" s="34">
        <f t="shared" si="29"/>
        <v>8</v>
      </c>
      <c r="M98" s="34">
        <f t="shared" si="29"/>
        <v>5</v>
      </c>
      <c r="N98" s="34">
        <f t="shared" si="29"/>
        <v>4</v>
      </c>
      <c r="O98" s="2">
        <f t="shared" si="30"/>
        <v>9</v>
      </c>
      <c r="P98" s="2">
        <f t="shared" si="30"/>
        <v>3.2</v>
      </c>
      <c r="Q98" s="2">
        <f t="shared" si="30"/>
        <v>0</v>
      </c>
      <c r="R98" s="2">
        <f t="shared" si="30"/>
        <v>1</v>
      </c>
      <c r="S98" s="2">
        <f t="shared" si="30"/>
        <v>0.99</v>
      </c>
      <c r="T98" s="34">
        <f t="shared" si="28"/>
        <v>0.99</v>
      </c>
    </row>
    <row r="99" spans="2:20" x14ac:dyDescent="0.3">
      <c r="B99" s="2" t="str">
        <f t="shared" si="27"/>
        <v>谢尔曼</v>
      </c>
      <c r="C99" s="34">
        <f t="shared" si="22"/>
        <v>0.97636914294579347</v>
      </c>
      <c r="D99" s="34">
        <f t="shared" si="23"/>
        <v>1.1940010980110889</v>
      </c>
      <c r="E99" s="21">
        <v>1</v>
      </c>
      <c r="G99" s="2" t="str">
        <f t="shared" si="24"/>
        <v>谢尔曼</v>
      </c>
      <c r="H99" s="34">
        <f t="shared" si="29"/>
        <v>8.8984165302451057</v>
      </c>
      <c r="I99" s="34">
        <f t="shared" si="29"/>
        <v>35.593666120980423</v>
      </c>
      <c r="J99" s="34">
        <f t="shared" si="29"/>
        <v>50</v>
      </c>
      <c r="K99" s="34">
        <f t="shared" si="29"/>
        <v>7.2</v>
      </c>
      <c r="L99" s="34">
        <f t="shared" si="29"/>
        <v>7.2</v>
      </c>
      <c r="M99" s="34">
        <f t="shared" si="29"/>
        <v>5</v>
      </c>
      <c r="N99" s="34">
        <f t="shared" si="29"/>
        <v>4</v>
      </c>
      <c r="O99" s="2">
        <f t="shared" si="30"/>
        <v>6</v>
      </c>
      <c r="P99" s="2">
        <f t="shared" si="30"/>
        <v>2.4</v>
      </c>
      <c r="Q99" s="2">
        <f t="shared" si="30"/>
        <v>0</v>
      </c>
      <c r="R99" s="2">
        <f t="shared" si="30"/>
        <v>1</v>
      </c>
      <c r="S99" s="2">
        <f t="shared" si="30"/>
        <v>1.4</v>
      </c>
      <c r="T99" s="34">
        <f t="shared" si="28"/>
        <v>1.4</v>
      </c>
    </row>
    <row r="100" spans="2:20" x14ac:dyDescent="0.3">
      <c r="B100" s="2" t="str">
        <f t="shared" si="27"/>
        <v>彗星</v>
      </c>
      <c r="C100" s="34">
        <f t="shared" si="22"/>
        <v>1.0054794930723405</v>
      </c>
      <c r="D100" s="34">
        <f t="shared" si="23"/>
        <v>1.1916391897437546</v>
      </c>
      <c r="E100" s="21">
        <v>1</v>
      </c>
      <c r="G100" s="2" t="str">
        <f t="shared" si="24"/>
        <v>彗星</v>
      </c>
      <c r="H100" s="34">
        <f t="shared" si="29"/>
        <v>8.8984165302451057</v>
      </c>
      <c r="I100" s="34">
        <f t="shared" si="29"/>
        <v>35.593666120980423</v>
      </c>
      <c r="J100" s="34">
        <f t="shared" si="29"/>
        <v>50</v>
      </c>
      <c r="K100" s="34">
        <f t="shared" si="29"/>
        <v>7.2</v>
      </c>
      <c r="L100" s="34">
        <f t="shared" si="29"/>
        <v>7.2</v>
      </c>
      <c r="M100" s="34">
        <f t="shared" si="29"/>
        <v>5</v>
      </c>
      <c r="N100" s="34">
        <f t="shared" si="29"/>
        <v>4</v>
      </c>
      <c r="O100" s="2">
        <f t="shared" si="30"/>
        <v>8</v>
      </c>
      <c r="P100" s="2">
        <f t="shared" si="30"/>
        <v>3</v>
      </c>
      <c r="Q100" s="2">
        <f t="shared" si="30"/>
        <v>0</v>
      </c>
      <c r="R100" s="2">
        <f t="shared" si="30"/>
        <v>1</v>
      </c>
      <c r="S100" s="2">
        <f t="shared" si="30"/>
        <v>1.1499999999999999</v>
      </c>
      <c r="T100" s="34">
        <f t="shared" si="28"/>
        <v>1.1499999999999999</v>
      </c>
    </row>
    <row r="101" spans="2:20" x14ac:dyDescent="0.3">
      <c r="B101" s="2" t="str">
        <f t="shared" si="27"/>
        <v>M-48</v>
      </c>
      <c r="C101" s="34">
        <f t="shared" si="22"/>
        <v>1.0728927724143271</v>
      </c>
      <c r="D101" s="34">
        <f t="shared" si="23"/>
        <v>1.0580135912191337</v>
      </c>
      <c r="E101" s="21">
        <v>1</v>
      </c>
      <c r="G101" s="2" t="str">
        <f t="shared" si="24"/>
        <v>M-48</v>
      </c>
      <c r="H101" s="34">
        <f t="shared" si="29"/>
        <v>11.123020662806383</v>
      </c>
      <c r="I101" s="34">
        <f t="shared" si="29"/>
        <v>44.49208265122553</v>
      </c>
      <c r="J101" s="34">
        <f t="shared" si="29"/>
        <v>40</v>
      </c>
      <c r="K101" s="34">
        <f t="shared" si="29"/>
        <v>8</v>
      </c>
      <c r="L101" s="34">
        <f t="shared" si="29"/>
        <v>8</v>
      </c>
      <c r="M101" s="34">
        <f t="shared" si="29"/>
        <v>5</v>
      </c>
      <c r="N101" s="34">
        <f t="shared" si="29"/>
        <v>4</v>
      </c>
      <c r="O101" s="2">
        <f t="shared" si="30"/>
        <v>6</v>
      </c>
      <c r="P101" s="2">
        <f t="shared" si="30"/>
        <v>2.4</v>
      </c>
      <c r="Q101" s="2">
        <f t="shared" si="30"/>
        <v>0</v>
      </c>
      <c r="R101" s="2">
        <f t="shared" si="30"/>
        <v>1</v>
      </c>
      <c r="S101" s="2">
        <f t="shared" si="30"/>
        <v>1.36</v>
      </c>
      <c r="T101" s="34">
        <f t="shared" si="28"/>
        <v>1.36</v>
      </c>
    </row>
    <row r="102" spans="2:20" x14ac:dyDescent="0.3">
      <c r="B102" s="2" t="str">
        <f t="shared" si="27"/>
        <v>潘兴</v>
      </c>
      <c r="C102" s="34">
        <f t="shared" si="22"/>
        <v>0.99449031619769379</v>
      </c>
      <c r="D102" s="34">
        <f t="shared" si="23"/>
        <v>1.1829012938283141</v>
      </c>
      <c r="E102" s="21">
        <v>1</v>
      </c>
      <c r="G102" s="2" t="str">
        <f t="shared" si="24"/>
        <v>潘兴</v>
      </c>
      <c r="H102" s="34">
        <f t="shared" si="29"/>
        <v>8.8984165302451057</v>
      </c>
      <c r="I102" s="34">
        <f t="shared" si="29"/>
        <v>35.593666120980423</v>
      </c>
      <c r="J102" s="34">
        <f t="shared" si="29"/>
        <v>50</v>
      </c>
      <c r="K102" s="34">
        <f t="shared" si="29"/>
        <v>7.2</v>
      </c>
      <c r="L102" s="34">
        <f t="shared" si="29"/>
        <v>7.2</v>
      </c>
      <c r="M102" s="34">
        <f t="shared" si="29"/>
        <v>5</v>
      </c>
      <c r="N102" s="34">
        <f t="shared" si="29"/>
        <v>4</v>
      </c>
      <c r="O102" s="2">
        <f t="shared" si="30"/>
        <v>10</v>
      </c>
      <c r="P102" s="2">
        <f t="shared" si="30"/>
        <v>3.6</v>
      </c>
      <c r="Q102" s="2">
        <f t="shared" si="30"/>
        <v>0</v>
      </c>
      <c r="R102" s="2">
        <f t="shared" si="30"/>
        <v>1</v>
      </c>
      <c r="S102" s="2">
        <f t="shared" si="30"/>
        <v>1</v>
      </c>
      <c r="T102" s="34">
        <f t="shared" si="28"/>
        <v>1</v>
      </c>
    </row>
    <row r="103" spans="2:20" x14ac:dyDescent="0.3">
      <c r="B103" s="2" t="str">
        <f t="shared" si="27"/>
        <v>百夫长</v>
      </c>
      <c r="C103" s="34">
        <f t="shared" si="22"/>
        <v>1.1259916264596033</v>
      </c>
      <c r="D103" s="34">
        <f t="shared" si="23"/>
        <v>1.1303168183666186</v>
      </c>
      <c r="E103" s="21">
        <v>1</v>
      </c>
      <c r="G103" s="2" t="str">
        <f t="shared" si="24"/>
        <v>百夫长</v>
      </c>
      <c r="H103" s="34">
        <f t="shared" si="29"/>
        <v>11.123020662806383</v>
      </c>
      <c r="I103" s="34">
        <f t="shared" si="29"/>
        <v>44.49208265122553</v>
      </c>
      <c r="J103" s="34">
        <f t="shared" si="29"/>
        <v>40</v>
      </c>
      <c r="K103" s="34">
        <f t="shared" si="29"/>
        <v>8</v>
      </c>
      <c r="L103" s="34">
        <f t="shared" si="29"/>
        <v>8</v>
      </c>
      <c r="M103" s="34">
        <f t="shared" si="29"/>
        <v>5</v>
      </c>
      <c r="N103" s="34">
        <f t="shared" si="29"/>
        <v>4</v>
      </c>
      <c r="O103" s="2">
        <f t="shared" si="30"/>
        <v>4</v>
      </c>
      <c r="P103" s="2">
        <f t="shared" si="30"/>
        <v>2.4</v>
      </c>
      <c r="Q103" s="2">
        <f t="shared" si="30"/>
        <v>0</v>
      </c>
      <c r="R103" s="2">
        <f t="shared" si="30"/>
        <v>1</v>
      </c>
      <c r="S103" s="2">
        <f t="shared" si="30"/>
        <v>1.87</v>
      </c>
      <c r="T103" s="34">
        <f t="shared" si="28"/>
        <v>1.87</v>
      </c>
    </row>
    <row r="104" spans="2:20" x14ac:dyDescent="0.3">
      <c r="B104" s="2" t="str">
        <f t="shared" si="27"/>
        <v>挑战者</v>
      </c>
      <c r="C104" s="34">
        <f t="shared" si="22"/>
        <v>1.1284288406238332</v>
      </c>
      <c r="D104" s="34">
        <f t="shared" si="23"/>
        <v>1.0331053113610049</v>
      </c>
      <c r="E104" s="21">
        <v>1</v>
      </c>
      <c r="G104" s="2" t="str">
        <f t="shared" si="24"/>
        <v>挑战者</v>
      </c>
      <c r="H104" s="34">
        <f t="shared" si="29"/>
        <v>8.8984165302451057</v>
      </c>
      <c r="I104" s="34">
        <f t="shared" si="29"/>
        <v>35.593666120980423</v>
      </c>
      <c r="J104" s="34">
        <f t="shared" si="29"/>
        <v>50</v>
      </c>
      <c r="K104" s="34">
        <f t="shared" si="29"/>
        <v>7.2</v>
      </c>
      <c r="L104" s="34">
        <f t="shared" si="29"/>
        <v>7.2</v>
      </c>
      <c r="M104" s="34">
        <f t="shared" si="29"/>
        <v>5</v>
      </c>
      <c r="N104" s="34">
        <f t="shared" si="29"/>
        <v>4</v>
      </c>
      <c r="O104" s="2">
        <f t="shared" si="30"/>
        <v>6</v>
      </c>
      <c r="P104" s="2">
        <f t="shared" si="30"/>
        <v>2.4</v>
      </c>
      <c r="Q104" s="2">
        <f t="shared" si="30"/>
        <v>0</v>
      </c>
      <c r="R104" s="2">
        <f t="shared" si="30"/>
        <v>1</v>
      </c>
      <c r="S104" s="2">
        <f t="shared" si="30"/>
        <v>1.4</v>
      </c>
      <c r="T104" s="34">
        <f t="shared" si="28"/>
        <v>1.4</v>
      </c>
    </row>
    <row r="105" spans="2:20" x14ac:dyDescent="0.3">
      <c r="B105" s="2" t="str">
        <f t="shared" si="27"/>
        <v>B-1</v>
      </c>
      <c r="C105" s="34">
        <f t="shared" si="22"/>
        <v>0.98864737838029004</v>
      </c>
      <c r="D105" s="34">
        <f t="shared" si="23"/>
        <v>1.3372147918613662</v>
      </c>
      <c r="E105" s="21">
        <v>1</v>
      </c>
      <c r="G105" s="2" t="str">
        <f t="shared" si="24"/>
        <v>B-1</v>
      </c>
      <c r="H105" s="34">
        <f t="shared" ref="H105:N114" si="31">VLOOKUP($G105,$B$18:$BC$48,MATCH(H$84,$B$18:$BC$18,0),FALSE)</f>
        <v>9.587493771855776</v>
      </c>
      <c r="I105" s="34">
        <f t="shared" si="31"/>
        <v>38.349975087423104</v>
      </c>
      <c r="J105" s="34">
        <f t="shared" si="31"/>
        <v>28</v>
      </c>
      <c r="K105" s="34">
        <f t="shared" si="31"/>
        <v>7</v>
      </c>
      <c r="L105" s="34">
        <f t="shared" si="31"/>
        <v>7</v>
      </c>
      <c r="M105" s="34">
        <f t="shared" si="31"/>
        <v>3.8888888888888888</v>
      </c>
      <c r="N105" s="34">
        <f t="shared" si="31"/>
        <v>2</v>
      </c>
      <c r="O105" s="2">
        <f t="shared" ref="O105:S114" si="32">VLOOKUP($G105,$B$51:$T$81,MATCH(O$84,$B$51:$T$51,0),FALSE)</f>
        <v>1</v>
      </c>
      <c r="P105" s="2">
        <f t="shared" si="32"/>
        <v>5.3999999999999995</v>
      </c>
      <c r="Q105" s="2">
        <f t="shared" si="32"/>
        <v>0</v>
      </c>
      <c r="R105" s="2">
        <f t="shared" si="32"/>
        <v>1.2</v>
      </c>
      <c r="S105" s="2">
        <f t="shared" si="32"/>
        <v>3</v>
      </c>
      <c r="T105" s="34">
        <f t="shared" si="28"/>
        <v>2.5</v>
      </c>
    </row>
    <row r="106" spans="2:20" x14ac:dyDescent="0.3">
      <c r="B106" s="2" t="str">
        <f t="shared" si="27"/>
        <v>KV-1</v>
      </c>
      <c r="C106" s="34">
        <f t="shared" si="22"/>
        <v>0.95794711889692619</v>
      </c>
      <c r="D106" s="34">
        <f t="shared" si="23"/>
        <v>0.87552815899183145</v>
      </c>
      <c r="E106" s="21">
        <v>1</v>
      </c>
      <c r="G106" s="2" t="str">
        <f t="shared" si="24"/>
        <v>KV-1</v>
      </c>
      <c r="H106" s="34">
        <f t="shared" si="31"/>
        <v>9.587493771855776</v>
      </c>
      <c r="I106" s="34">
        <f t="shared" si="31"/>
        <v>38.349975087423104</v>
      </c>
      <c r="J106" s="34">
        <f t="shared" si="31"/>
        <v>28</v>
      </c>
      <c r="K106" s="34">
        <f t="shared" si="31"/>
        <v>7</v>
      </c>
      <c r="L106" s="34">
        <f t="shared" si="31"/>
        <v>7</v>
      </c>
      <c r="M106" s="34">
        <f t="shared" si="31"/>
        <v>3.8888888888888888</v>
      </c>
      <c r="N106" s="34">
        <f t="shared" si="31"/>
        <v>2</v>
      </c>
      <c r="O106" s="2">
        <f t="shared" si="32"/>
        <v>2</v>
      </c>
      <c r="P106" s="2">
        <f t="shared" si="32"/>
        <v>3.6</v>
      </c>
      <c r="Q106" s="2">
        <f t="shared" si="32"/>
        <v>0</v>
      </c>
      <c r="R106" s="2">
        <f t="shared" si="32"/>
        <v>1.2</v>
      </c>
      <c r="S106" s="2">
        <f t="shared" si="32"/>
        <v>2.63</v>
      </c>
      <c r="T106" s="34">
        <f t="shared" si="28"/>
        <v>2.1916666666666669</v>
      </c>
    </row>
    <row r="107" spans="2:20" x14ac:dyDescent="0.3">
      <c r="B107" s="2" t="str">
        <f t="shared" si="27"/>
        <v>丘吉尔</v>
      </c>
      <c r="C107" s="34">
        <f t="shared" si="22"/>
        <v>0.97244403970540416</v>
      </c>
      <c r="D107" s="34">
        <f t="shared" si="23"/>
        <v>1.0283368082578239</v>
      </c>
      <c r="E107" s="21">
        <v>1</v>
      </c>
      <c r="G107" s="2" t="str">
        <f t="shared" si="24"/>
        <v>丘吉尔</v>
      </c>
      <c r="H107" s="34">
        <f t="shared" si="31"/>
        <v>7.669995017484621</v>
      </c>
      <c r="I107" s="34">
        <f t="shared" si="31"/>
        <v>30.679980069938484</v>
      </c>
      <c r="J107" s="34">
        <f t="shared" si="31"/>
        <v>30.800000000000004</v>
      </c>
      <c r="K107" s="34">
        <f t="shared" si="31"/>
        <v>6.3</v>
      </c>
      <c r="L107" s="34">
        <f t="shared" si="31"/>
        <v>6.3</v>
      </c>
      <c r="M107" s="34">
        <f t="shared" si="31"/>
        <v>3.8888888888888888</v>
      </c>
      <c r="N107" s="34">
        <f t="shared" si="31"/>
        <v>2</v>
      </c>
      <c r="O107" s="2">
        <f t="shared" si="32"/>
        <v>1</v>
      </c>
      <c r="P107" s="2">
        <f t="shared" si="32"/>
        <v>6</v>
      </c>
      <c r="Q107" s="2">
        <f t="shared" si="32"/>
        <v>0</v>
      </c>
      <c r="R107" s="2">
        <f t="shared" si="32"/>
        <v>1</v>
      </c>
      <c r="S107" s="2">
        <f t="shared" si="32"/>
        <v>3</v>
      </c>
      <c r="T107" s="34">
        <f t="shared" si="28"/>
        <v>3</v>
      </c>
    </row>
    <row r="108" spans="2:20" x14ac:dyDescent="0.3">
      <c r="B108" s="2" t="str">
        <f t="shared" si="27"/>
        <v>黑豹</v>
      </c>
      <c r="C108" s="34">
        <f t="shared" si="22"/>
        <v>1.0052980503247382</v>
      </c>
      <c r="D108" s="34">
        <f t="shared" si="23"/>
        <v>0.99472987108347943</v>
      </c>
      <c r="E108" s="21">
        <v>1</v>
      </c>
      <c r="G108" s="2" t="str">
        <f t="shared" si="24"/>
        <v>黑豹</v>
      </c>
      <c r="H108" s="34">
        <f t="shared" si="31"/>
        <v>7.669995017484621</v>
      </c>
      <c r="I108" s="34">
        <f t="shared" si="31"/>
        <v>30.679980069938484</v>
      </c>
      <c r="J108" s="34">
        <f t="shared" si="31"/>
        <v>33.6</v>
      </c>
      <c r="K108" s="34">
        <f t="shared" si="31"/>
        <v>6.3</v>
      </c>
      <c r="L108" s="34">
        <f t="shared" si="31"/>
        <v>6.3</v>
      </c>
      <c r="M108" s="34">
        <f t="shared" si="31"/>
        <v>3.8888888888888888</v>
      </c>
      <c r="N108" s="34">
        <f t="shared" si="31"/>
        <v>2</v>
      </c>
      <c r="O108" s="2">
        <f t="shared" si="32"/>
        <v>1</v>
      </c>
      <c r="P108" s="2">
        <f t="shared" si="32"/>
        <v>6</v>
      </c>
      <c r="Q108" s="2">
        <f t="shared" si="32"/>
        <v>0</v>
      </c>
      <c r="R108" s="2">
        <f t="shared" si="32"/>
        <v>1</v>
      </c>
      <c r="S108" s="2">
        <f t="shared" si="32"/>
        <v>3</v>
      </c>
      <c r="T108" s="34">
        <f t="shared" si="28"/>
        <v>3</v>
      </c>
    </row>
    <row r="109" spans="2:20" x14ac:dyDescent="0.3">
      <c r="B109" s="2" t="str">
        <f t="shared" si="27"/>
        <v>虎式</v>
      </c>
      <c r="C109" s="34">
        <f t="shared" si="22"/>
        <v>0.96554177347987447</v>
      </c>
      <c r="D109" s="34">
        <f t="shared" si="23"/>
        <v>1.0356879706984981</v>
      </c>
      <c r="E109" s="21">
        <v>1</v>
      </c>
      <c r="G109" s="2" t="str">
        <f t="shared" si="24"/>
        <v>虎式</v>
      </c>
      <c r="H109" s="34">
        <f t="shared" si="31"/>
        <v>7.669995017484621</v>
      </c>
      <c r="I109" s="34">
        <f t="shared" si="31"/>
        <v>30.679980069938484</v>
      </c>
      <c r="J109" s="34">
        <f t="shared" si="31"/>
        <v>35</v>
      </c>
      <c r="K109" s="34">
        <f t="shared" si="31"/>
        <v>6.3</v>
      </c>
      <c r="L109" s="34">
        <f t="shared" si="31"/>
        <v>6.3</v>
      </c>
      <c r="M109" s="34">
        <f t="shared" si="31"/>
        <v>3.8888888888888888</v>
      </c>
      <c r="N109" s="34">
        <f t="shared" si="31"/>
        <v>2</v>
      </c>
      <c r="O109" s="2">
        <f t="shared" si="32"/>
        <v>1</v>
      </c>
      <c r="P109" s="2">
        <f t="shared" si="32"/>
        <v>6</v>
      </c>
      <c r="Q109" s="2">
        <f t="shared" si="32"/>
        <v>0</v>
      </c>
      <c r="R109" s="2">
        <f t="shared" si="32"/>
        <v>1</v>
      </c>
      <c r="S109" s="2">
        <f t="shared" si="32"/>
        <v>3</v>
      </c>
      <c r="T109" s="34">
        <f t="shared" si="28"/>
        <v>3</v>
      </c>
    </row>
    <row r="110" spans="2:20" x14ac:dyDescent="0.3">
      <c r="B110" s="2" t="str">
        <f t="shared" si="27"/>
        <v>KV-2</v>
      </c>
      <c r="C110" s="34">
        <f t="shared" si="22"/>
        <v>0.9839346980566549</v>
      </c>
      <c r="D110" s="34">
        <f t="shared" si="23"/>
        <v>0.93630181386960187</v>
      </c>
      <c r="E110" s="21">
        <v>1</v>
      </c>
      <c r="G110" s="2" t="str">
        <f t="shared" si="24"/>
        <v>KV-2</v>
      </c>
      <c r="H110" s="34">
        <f t="shared" si="31"/>
        <v>9.587493771855776</v>
      </c>
      <c r="I110" s="34">
        <f t="shared" si="31"/>
        <v>38.349975087423104</v>
      </c>
      <c r="J110" s="34">
        <f t="shared" si="31"/>
        <v>28</v>
      </c>
      <c r="K110" s="34">
        <f t="shared" si="31"/>
        <v>7</v>
      </c>
      <c r="L110" s="34">
        <f t="shared" si="31"/>
        <v>7</v>
      </c>
      <c r="M110" s="34">
        <f t="shared" si="31"/>
        <v>3.8888888888888888</v>
      </c>
      <c r="N110" s="34">
        <f t="shared" si="31"/>
        <v>2</v>
      </c>
      <c r="O110" s="2">
        <f t="shared" si="32"/>
        <v>2</v>
      </c>
      <c r="P110" s="2">
        <f t="shared" si="32"/>
        <v>4.05</v>
      </c>
      <c r="Q110" s="2">
        <f t="shared" si="32"/>
        <v>0</v>
      </c>
      <c r="R110" s="2">
        <f t="shared" si="32"/>
        <v>1.2</v>
      </c>
      <c r="S110" s="2">
        <f t="shared" si="32"/>
        <v>2.7</v>
      </c>
      <c r="T110" s="34">
        <f t="shared" si="28"/>
        <v>2.2500000000000004</v>
      </c>
    </row>
    <row r="111" spans="2:20" x14ac:dyDescent="0.3">
      <c r="B111" s="2" t="str">
        <f t="shared" si="27"/>
        <v>征服者</v>
      </c>
      <c r="C111" s="34">
        <f t="shared" si="22"/>
        <v>1.0761201273800509</v>
      </c>
      <c r="D111" s="34">
        <f t="shared" si="23"/>
        <v>0.92926428430869057</v>
      </c>
      <c r="E111" s="21">
        <v>1</v>
      </c>
      <c r="G111" s="2" t="str">
        <f t="shared" si="24"/>
        <v>征服者</v>
      </c>
      <c r="H111" s="34">
        <f t="shared" si="31"/>
        <v>7.669995017484621</v>
      </c>
      <c r="I111" s="34">
        <f t="shared" si="31"/>
        <v>30.679980069938484</v>
      </c>
      <c r="J111" s="34">
        <f t="shared" si="31"/>
        <v>35</v>
      </c>
      <c r="K111" s="34">
        <f t="shared" si="31"/>
        <v>6.3</v>
      </c>
      <c r="L111" s="34">
        <f t="shared" si="31"/>
        <v>6.3</v>
      </c>
      <c r="M111" s="34">
        <f t="shared" si="31"/>
        <v>3.8888888888888888</v>
      </c>
      <c r="N111" s="34">
        <f t="shared" si="31"/>
        <v>2</v>
      </c>
      <c r="O111" s="2">
        <f t="shared" si="32"/>
        <v>1</v>
      </c>
      <c r="P111" s="2">
        <f t="shared" si="32"/>
        <v>6</v>
      </c>
      <c r="Q111" s="2">
        <f t="shared" si="32"/>
        <v>0</v>
      </c>
      <c r="R111" s="2">
        <f t="shared" si="32"/>
        <v>1</v>
      </c>
      <c r="S111" s="2">
        <f t="shared" si="32"/>
        <v>3</v>
      </c>
      <c r="T111" s="34">
        <f t="shared" si="28"/>
        <v>3</v>
      </c>
    </row>
    <row r="112" spans="2:20" x14ac:dyDescent="0.3">
      <c r="B112" s="2" t="str">
        <f t="shared" si="27"/>
        <v>IS-4</v>
      </c>
      <c r="C112" s="34">
        <f t="shared" si="22"/>
        <v>0.99133027986215594</v>
      </c>
      <c r="D112" s="34">
        <f t="shared" si="23"/>
        <v>1.026259306115106</v>
      </c>
      <c r="E112" s="21">
        <v>1</v>
      </c>
      <c r="G112" s="2" t="str">
        <f t="shared" si="24"/>
        <v>IS-4</v>
      </c>
      <c r="H112" s="34">
        <f t="shared" si="31"/>
        <v>7.669995017484621</v>
      </c>
      <c r="I112" s="34">
        <f t="shared" si="31"/>
        <v>30.679980069938484</v>
      </c>
      <c r="J112" s="34">
        <f t="shared" si="31"/>
        <v>35</v>
      </c>
      <c r="K112" s="34">
        <f t="shared" si="31"/>
        <v>6.3</v>
      </c>
      <c r="L112" s="34">
        <f t="shared" si="31"/>
        <v>6.3</v>
      </c>
      <c r="M112" s="34">
        <f t="shared" si="31"/>
        <v>3.8888888888888888</v>
      </c>
      <c r="N112" s="34">
        <f t="shared" si="31"/>
        <v>2</v>
      </c>
      <c r="O112" s="2">
        <f t="shared" si="32"/>
        <v>2</v>
      </c>
      <c r="P112" s="2">
        <f t="shared" si="32"/>
        <v>4.5</v>
      </c>
      <c r="Q112" s="2">
        <f t="shared" si="32"/>
        <v>0</v>
      </c>
      <c r="R112" s="2">
        <f t="shared" si="32"/>
        <v>1.2</v>
      </c>
      <c r="S112" s="2">
        <f t="shared" si="32"/>
        <v>2.7</v>
      </c>
      <c r="T112" s="34">
        <f t="shared" si="28"/>
        <v>2.2500000000000004</v>
      </c>
    </row>
    <row r="113" spans="2:20" x14ac:dyDescent="0.3">
      <c r="B113" s="2" t="str">
        <f t="shared" si="27"/>
        <v>T-32</v>
      </c>
      <c r="C113" s="34">
        <f t="shared" si="22"/>
        <v>0.93904531780832723</v>
      </c>
      <c r="D113" s="34">
        <f t="shared" si="23"/>
        <v>1.0649113317916723</v>
      </c>
      <c r="E113" s="21">
        <v>1</v>
      </c>
      <c r="G113" s="2" t="str">
        <f t="shared" si="24"/>
        <v>T-32</v>
      </c>
      <c r="H113" s="34">
        <f t="shared" si="31"/>
        <v>7.669995017484621</v>
      </c>
      <c r="I113" s="34">
        <f t="shared" si="31"/>
        <v>30.679980069938484</v>
      </c>
      <c r="J113" s="34">
        <f t="shared" si="31"/>
        <v>35</v>
      </c>
      <c r="K113" s="34">
        <f t="shared" si="31"/>
        <v>6.3</v>
      </c>
      <c r="L113" s="34">
        <f t="shared" si="31"/>
        <v>6.3</v>
      </c>
      <c r="M113" s="34">
        <f t="shared" si="31"/>
        <v>3.8888888888888888</v>
      </c>
      <c r="N113" s="34">
        <f t="shared" si="31"/>
        <v>2</v>
      </c>
      <c r="O113" s="2">
        <f t="shared" si="32"/>
        <v>1</v>
      </c>
      <c r="P113" s="2">
        <f t="shared" si="32"/>
        <v>6</v>
      </c>
      <c r="Q113" s="2">
        <f t="shared" si="32"/>
        <v>0</v>
      </c>
      <c r="R113" s="2">
        <f t="shared" si="32"/>
        <v>1</v>
      </c>
      <c r="S113" s="2">
        <f t="shared" si="32"/>
        <v>3</v>
      </c>
      <c r="T113" s="34">
        <f t="shared" si="28"/>
        <v>3</v>
      </c>
    </row>
    <row r="114" spans="2:20" x14ac:dyDescent="0.3">
      <c r="B114" s="2" t="str">
        <f t="shared" si="27"/>
        <v>M1A2</v>
      </c>
      <c r="C114" s="34">
        <f t="shared" si="22"/>
        <v>1.0618333390135373</v>
      </c>
      <c r="D114" s="34">
        <f t="shared" si="23"/>
        <v>0.94176737841836689</v>
      </c>
      <c r="E114" s="21">
        <v>1</v>
      </c>
      <c r="G114" s="2" t="str">
        <f t="shared" si="24"/>
        <v>M1A2</v>
      </c>
      <c r="H114" s="34">
        <f t="shared" si="31"/>
        <v>7.669995017484621</v>
      </c>
      <c r="I114" s="34">
        <f t="shared" si="31"/>
        <v>30.679980069938484</v>
      </c>
      <c r="J114" s="34">
        <f t="shared" si="31"/>
        <v>35</v>
      </c>
      <c r="K114" s="34">
        <f t="shared" si="31"/>
        <v>6.3</v>
      </c>
      <c r="L114" s="34">
        <f t="shared" si="31"/>
        <v>6.3</v>
      </c>
      <c r="M114" s="34">
        <f t="shared" si="31"/>
        <v>3.8888888888888888</v>
      </c>
      <c r="N114" s="34">
        <f t="shared" si="31"/>
        <v>2</v>
      </c>
      <c r="O114" s="2">
        <f t="shared" si="32"/>
        <v>1</v>
      </c>
      <c r="P114" s="2">
        <f t="shared" si="32"/>
        <v>6</v>
      </c>
      <c r="Q114" s="2">
        <f t="shared" si="32"/>
        <v>0</v>
      </c>
      <c r="R114" s="2">
        <f t="shared" si="32"/>
        <v>1</v>
      </c>
      <c r="S114" s="2">
        <f t="shared" si="32"/>
        <v>3</v>
      </c>
      <c r="T114" s="34">
        <f t="shared" si="28"/>
        <v>3</v>
      </c>
    </row>
    <row r="116" spans="2:20" x14ac:dyDescent="0.3">
      <c r="C116" s="129"/>
      <c r="D116" s="129"/>
    </row>
    <row r="117" spans="2:20" x14ac:dyDescent="0.3">
      <c r="C117" s="129"/>
      <c r="D117" s="129"/>
    </row>
    <row r="158" spans="4:4" x14ac:dyDescent="0.3">
      <c r="D158" s="1">
        <v>1.2</v>
      </c>
    </row>
  </sheetData>
  <mergeCells count="6">
    <mergeCell ref="B83:E83"/>
    <mergeCell ref="B2:J2"/>
    <mergeCell ref="L2:M2"/>
    <mergeCell ref="B17:BC17"/>
    <mergeCell ref="B50:T50"/>
    <mergeCell ref="U50:W50"/>
  </mergeCells>
  <phoneticPr fontId="32" type="noConversion"/>
  <pageMargins left="0.7" right="0.7" top="0.75" bottom="0.75" header="0.3" footer="0.3"/>
  <pageSetup paperSize="9" orientation="portrait" r:id="rId1"/>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7"/>
  <dimension ref="B1:AP36"/>
  <sheetViews>
    <sheetView workbookViewId="0">
      <selection activeCell="N23" sqref="N23"/>
    </sheetView>
  </sheetViews>
  <sheetFormatPr defaultColWidth="9" defaultRowHeight="14.25" x14ac:dyDescent="0.3"/>
  <cols>
    <col min="1" max="16384" width="9" style="1"/>
  </cols>
  <sheetData>
    <row r="1" spans="2:42" x14ac:dyDescent="0.3">
      <c r="B1" s="27"/>
      <c r="AP1" s="129"/>
    </row>
    <row r="2" spans="2:42" x14ac:dyDescent="0.3">
      <c r="B2" s="351" t="s">
        <v>1182</v>
      </c>
      <c r="C2" s="351"/>
      <c r="D2" s="25"/>
      <c r="E2" s="351" t="s">
        <v>1183</v>
      </c>
      <c r="F2" s="351"/>
      <c r="G2" s="351"/>
      <c r="I2" s="351" t="s">
        <v>1184</v>
      </c>
      <c r="J2" s="351"/>
      <c r="K2" s="351"/>
      <c r="L2" s="351"/>
      <c r="M2" s="351"/>
      <c r="N2" s="351"/>
      <c r="O2" s="351"/>
      <c r="P2" s="351"/>
      <c r="R2" s="351" t="s">
        <v>1185</v>
      </c>
      <c r="S2" s="351"/>
      <c r="T2" s="351"/>
      <c r="U2" s="351"/>
      <c r="V2" s="351"/>
      <c r="W2" s="351"/>
      <c r="X2" s="351"/>
      <c r="Y2" s="351"/>
      <c r="AA2" s="351" t="s">
        <v>1186</v>
      </c>
      <c r="AB2" s="351"/>
      <c r="AC2" s="351"/>
      <c r="AD2" s="351"/>
      <c r="AE2" s="351"/>
      <c r="AF2" s="351"/>
      <c r="AG2" s="351"/>
      <c r="AH2" s="351"/>
      <c r="AI2" s="351"/>
      <c r="AJ2" s="351"/>
      <c r="AK2" s="351"/>
      <c r="AL2" s="351"/>
      <c r="AM2" s="351"/>
      <c r="AN2" s="351"/>
      <c r="AO2" s="351"/>
      <c r="AP2" s="351"/>
    </row>
    <row r="3" spans="2:42" x14ac:dyDescent="0.3">
      <c r="B3" s="2" t="s">
        <v>602</v>
      </c>
      <c r="C3" s="2" t="s">
        <v>1187</v>
      </c>
      <c r="D3" s="25"/>
      <c r="E3" s="2" t="s">
        <v>599</v>
      </c>
      <c r="F3" s="2" t="s">
        <v>88</v>
      </c>
      <c r="G3" s="2" t="s">
        <v>89</v>
      </c>
      <c r="I3" s="2" t="s">
        <v>599</v>
      </c>
      <c r="J3" s="2" t="s">
        <v>602</v>
      </c>
      <c r="K3" s="2" t="s">
        <v>888</v>
      </c>
      <c r="L3" s="2" t="s">
        <v>1188</v>
      </c>
      <c r="M3" s="2" t="s">
        <v>889</v>
      </c>
      <c r="N3" s="2" t="s">
        <v>1189</v>
      </c>
      <c r="O3" s="2" t="s">
        <v>890</v>
      </c>
      <c r="P3" s="2" t="s">
        <v>1190</v>
      </c>
      <c r="R3" s="2" t="s">
        <v>599</v>
      </c>
      <c r="S3" s="2" t="s">
        <v>86</v>
      </c>
      <c r="T3" s="2" t="s">
        <v>88</v>
      </c>
      <c r="U3" s="2" t="s">
        <v>89</v>
      </c>
      <c r="V3" s="2" t="s">
        <v>90</v>
      </c>
      <c r="W3" s="2" t="s">
        <v>1169</v>
      </c>
      <c r="X3" s="2" t="s">
        <v>171</v>
      </c>
      <c r="Y3" s="2" t="s">
        <v>1171</v>
      </c>
      <c r="AA3" s="2" t="s">
        <v>599</v>
      </c>
      <c r="AB3" s="2" t="s">
        <v>86</v>
      </c>
      <c r="AC3" s="2" t="s">
        <v>90</v>
      </c>
      <c r="AD3" s="2" t="s">
        <v>1169</v>
      </c>
      <c r="AE3" s="2" t="s">
        <v>1191</v>
      </c>
      <c r="AF3" s="2" t="s">
        <v>171</v>
      </c>
      <c r="AG3" s="2" t="s">
        <v>845</v>
      </c>
      <c r="AH3" s="2" t="s">
        <v>371</v>
      </c>
      <c r="AI3" s="2" t="s">
        <v>1192</v>
      </c>
      <c r="AJ3" s="2" t="s">
        <v>1193</v>
      </c>
      <c r="AK3" s="2" t="s">
        <v>1194</v>
      </c>
      <c r="AL3" s="2" t="s">
        <v>1171</v>
      </c>
      <c r="AM3" s="2" t="s">
        <v>1195</v>
      </c>
      <c r="AN3" s="2" t="s">
        <v>891</v>
      </c>
      <c r="AO3" s="2" t="s">
        <v>1196</v>
      </c>
      <c r="AP3" s="2" t="s">
        <v>1197</v>
      </c>
    </row>
    <row r="4" spans="2:42" x14ac:dyDescent="0.3">
      <c r="B4" s="2" t="s">
        <v>175</v>
      </c>
      <c r="C4" s="21">
        <v>1</v>
      </c>
      <c r="D4" s="24"/>
      <c r="E4" s="2" t="s">
        <v>510</v>
      </c>
      <c r="F4" s="2">
        <f>VLOOKUP($E4,坦克个性化设定!$B$51:$T$81,MATCH(F$3,坦克个性化设定!$B$51:$T$51,0),FALSE)</f>
        <v>0</v>
      </c>
      <c r="G4" s="2">
        <f>VLOOKUP($E4,坦克个性化设定!$B$51:$T$81,MATCH(G$3,坦克个性化设定!$B$51:$T$51,0),FALSE)</f>
        <v>7.56</v>
      </c>
      <c r="I4" s="2" t="s">
        <v>510</v>
      </c>
      <c r="J4" s="21" t="s">
        <v>175</v>
      </c>
      <c r="K4" s="2">
        <f>ROUND(VLOOKUP(I4,坦克个性化设定!$G$84:$T$114,MATCH(K$3,坦克个性化设定!$G$84:$T$84,0),FALSE)*VLOOKUP(J4,$B$3:$C$6,2,FALSE),1)</f>
        <v>47.1</v>
      </c>
      <c r="L4" s="2">
        <f>K4/坦克个性化设定!$M$4*坦克个性化设定!$M$5/VLOOKUP(J4,$B$3:$C$6,2,FALSE)</f>
        <v>11.774999999999997</v>
      </c>
      <c r="M4" s="2">
        <f>ROUND(VLOOKUP(I4,坦克个性化设定!$G$84:$T$114,MATCH(M$3,坦克个性化设定!$G$84:$T$84,0),FALSE)*VLOOKUP(J4,$B$3:$C$6,2,FALSE),1)</f>
        <v>45</v>
      </c>
      <c r="N4" s="2">
        <f>M4/坦克个性化设定!$M$4*坦克个性化设定!$M$5</f>
        <v>11.249999999999998</v>
      </c>
      <c r="O4" s="2">
        <f>ROUND(VLOOKUP(I4,坦克个性化设定!$G$84:$T$114,MATCH(O$3,坦克个性化设定!$G$84:$T$84,0),FALSE)*VLOOKUP(J4,$B$3:$C$6,2,FALSE),1)</f>
        <v>10.5</v>
      </c>
      <c r="P4" s="2">
        <f>ROUND(O4*($C$12-1),2)</f>
        <v>0</v>
      </c>
      <c r="R4" s="2" t="str">
        <f>I4</f>
        <v>雷诺FT</v>
      </c>
      <c r="S4" s="2">
        <f>VLOOKUP($R4,坦克个性化设定!$B$51:$T$81,MATCH(S$3,坦克个性化设定!$B$51:$T$51,0),FALSE)</f>
        <v>18</v>
      </c>
      <c r="T4" s="2">
        <f>VLOOKUP($R4,坦克个性化设定!$B$51:$T$81,MATCH(T$3,坦克个性化设定!$B$51:$T$51,0),FALSE)</f>
        <v>0</v>
      </c>
      <c r="U4" s="2">
        <f>VLOOKUP($R4,坦克个性化设定!$B$51:$T$81,MATCH(U$3,坦克个性化设定!$B$51:$T$51,0),FALSE)</f>
        <v>7.56</v>
      </c>
      <c r="V4" s="2">
        <f>VLOOKUP($R4,坦克个性化设定!$B$51:$T$81,MATCH(V$3,坦克个性化设定!$B$51:$T$51,0),FALSE)</f>
        <v>0.60000000000000009</v>
      </c>
      <c r="W4" s="2">
        <f>VLOOKUP($R4,坦克个性化设定!$B$51:$T$81,MATCH(W$3,坦克个性化设定!$B$51:$T$51,0),FALSE)</f>
        <v>0.45</v>
      </c>
      <c r="X4" s="2">
        <f>VLOOKUP($R4,坦克个性化设定!$B$51:$T$81,MATCH(X$3,坦克个性化设定!$B$51:$T$51,0),FALSE)</f>
        <v>1.2</v>
      </c>
      <c r="Y4" s="34">
        <f>VLOOKUP($R4,坦克个性化设定!$B$51:$T$81,MATCH(Y$3,坦克个性化设定!$B$51:$T$51,0),FALSE)</f>
        <v>68.472972972972968</v>
      </c>
      <c r="AA4" s="2" t="str">
        <f t="shared" ref="AA4:AA33" si="0">I4</f>
        <v>雷诺FT</v>
      </c>
      <c r="AB4" s="2">
        <f t="shared" ref="AB4:AB33" si="1">S4</f>
        <v>18</v>
      </c>
      <c r="AC4" s="2">
        <f t="shared" ref="AC4:AC33" si="2">V4</f>
        <v>0.60000000000000009</v>
      </c>
      <c r="AD4" s="2">
        <f t="shared" ref="AD4:AD33" si="3">W4</f>
        <v>0.45</v>
      </c>
      <c r="AE4" s="2">
        <f t="shared" ref="AE4:AE33" si="4">X4</f>
        <v>1.2</v>
      </c>
      <c r="AF4" s="34">
        <f>AE4*AH4</f>
        <v>1.44</v>
      </c>
      <c r="AG4" s="34">
        <f>AD4/AF4</f>
        <v>0.3125</v>
      </c>
      <c r="AH4" s="41">
        <v>1.2</v>
      </c>
      <c r="AI4" s="34">
        <f>AD4/AE4-AG4</f>
        <v>6.25E-2</v>
      </c>
      <c r="AJ4" s="2">
        <f>IF(VLOOKUP(AA4,坦克个性化设定!$B$51:$T$81,9,FALSE)=0,VLOOKUP(AA4,坦克个性化设定!$B$51:$T$81,10,FALSE),VLOOKUP(AA4,坦克个性化设定!$B$51:$T$81,9,FALSE))</f>
        <v>7.56</v>
      </c>
      <c r="AK4" s="2" t="str">
        <f>IF(LEN(VLOOKUP(AA4,坦克个性化设定!$B$18:$F$48,5,FALSE))=5,"单发",RIGHT(VLOOKUP(AA4,坦克个性化设定!$B$18:$F$48,5,FALSE),2))</f>
        <v>弹夹</v>
      </c>
      <c r="AL4" s="34">
        <f t="shared" ref="AL4:AL33" si="5">Y4*$C$9</f>
        <v>78.743918918918908</v>
      </c>
      <c r="AM4" s="148">
        <v>0.25</v>
      </c>
      <c r="AN4" s="34">
        <f>IF(AK4="弹夹",(60-(AB4-1)*AM4)/(AL4/AB4-1)-(AB4-1)*AM4,IF(AK4="单发",(60-(AB4-1)*AM4)/(AL4-AB4),60/(AL4-AB4)))</f>
        <v>12.270172189408353</v>
      </c>
      <c r="AO4" s="34">
        <f t="shared" ref="AO4:AO33" si="6">(AJ4-AN4)/AJ4</f>
        <v>-0.62303864939263931</v>
      </c>
      <c r="AP4" s="34">
        <f>AJ4-AN4</f>
        <v>-4.710172189408353</v>
      </c>
    </row>
    <row r="5" spans="2:42" x14ac:dyDescent="0.3">
      <c r="B5" s="2" t="s">
        <v>177</v>
      </c>
      <c r="C5" s="21">
        <v>1.02</v>
      </c>
      <c r="D5" s="24"/>
      <c r="E5" s="2" t="s">
        <v>516</v>
      </c>
      <c r="F5" s="2">
        <f>VLOOKUP($E5,坦克个性化设定!$B$51:$T$81,MATCH(F$3,坦克个性化设定!$B$51:$T$51,0),FALSE)</f>
        <v>0</v>
      </c>
      <c r="G5" s="2">
        <f>VLOOKUP($E5,坦克个性化设定!$B$51:$T$81,MATCH(G$3,坦克个性化设定!$B$51:$T$51,0),FALSE)</f>
        <v>11.2</v>
      </c>
      <c r="I5" s="2" t="s">
        <v>516</v>
      </c>
      <c r="J5" s="21" t="s">
        <v>175</v>
      </c>
      <c r="K5" s="2">
        <f>ROUND(VLOOKUP(I5,坦克个性化设定!$G$84:$T$114,MATCH(K$3,坦克个性化设定!$G$84:$T$84,0),FALSE)*VLOOKUP(J5,$B$3:$C$6,2,FALSE),1)</f>
        <v>47.1</v>
      </c>
      <c r="L5" s="2">
        <f>K5/坦克个性化设定!$M$4*坦克个性化设定!$M$5</f>
        <v>11.774999999999997</v>
      </c>
      <c r="M5" s="2">
        <f>ROUND(VLOOKUP(I5,坦克个性化设定!$G$84:$T$114,MATCH(M$3,坦克个性化设定!$G$84:$T$84,0),FALSE)*VLOOKUP(J5,$B$3:$C$6,2,FALSE),1)</f>
        <v>45</v>
      </c>
      <c r="N5" s="2">
        <f>M5/坦克个性化设定!$M$4*坦克个性化设定!$M$5</f>
        <v>11.249999999999998</v>
      </c>
      <c r="O5" s="2">
        <f>ROUND(VLOOKUP(I5,坦克个性化设定!$G$84:$T$114,MATCH(O$3,坦克个性化设定!$G$84:$T$84,0),FALSE)*VLOOKUP(J5,$B$3:$C$6,2,FALSE),1)</f>
        <v>10.5</v>
      </c>
      <c r="P5" s="2">
        <f t="shared" ref="P5:P33" si="7">ROUND(O5*($C$12-1),2)</f>
        <v>0</v>
      </c>
      <c r="R5" s="2" t="str">
        <f t="shared" ref="R5:R33" si="8">I5</f>
        <v>二号</v>
      </c>
      <c r="S5" s="2">
        <f>VLOOKUP($R5,坦克个性化设定!$B$51:$T$81,MATCH(S$3,坦克个性化设定!$B$51:$T$51,0),FALSE)</f>
        <v>20</v>
      </c>
      <c r="T5" s="2">
        <f>VLOOKUP($R5,坦克个性化设定!$B$51:$T$81,MATCH(T$3,坦克个性化设定!$B$51:$T$51,0),FALSE)</f>
        <v>0</v>
      </c>
      <c r="U5" s="2">
        <f>VLOOKUP($R5,坦克个性化设定!$B$51:$T$81,MATCH(U$3,坦克个性化设定!$B$51:$T$51,0),FALSE)</f>
        <v>11.2</v>
      </c>
      <c r="V5" s="2">
        <f>VLOOKUP($R5,坦克个性化设定!$B$51:$T$81,MATCH(V$3,坦克个性化设定!$B$51:$T$51,0),FALSE)</f>
        <v>0.60000000000000009</v>
      </c>
      <c r="W5" s="2">
        <f>VLOOKUP($R5,坦克个性化设定!$B$51:$T$81,MATCH(W$3,坦克个性化设定!$B$51:$T$51,0),FALSE)</f>
        <v>0.44</v>
      </c>
      <c r="X5" s="2">
        <f>VLOOKUP($R5,坦克个性化设定!$B$51:$T$81,MATCH(X$3,坦克个性化设定!$B$51:$T$51,0),FALSE)</f>
        <v>1.2</v>
      </c>
      <c r="Y5" s="34">
        <f>VLOOKUP($R5,坦克个性化设定!$B$51:$T$81,MATCH(Y$3,坦克个性化设定!$B$51:$T$51,0),FALSE)</f>
        <v>63.008849557522112</v>
      </c>
      <c r="AA5" s="2" t="str">
        <f t="shared" si="0"/>
        <v>二号</v>
      </c>
      <c r="AB5" s="2">
        <f t="shared" si="1"/>
        <v>20</v>
      </c>
      <c r="AC5" s="2">
        <f t="shared" si="2"/>
        <v>0.60000000000000009</v>
      </c>
      <c r="AD5" s="2">
        <f t="shared" si="3"/>
        <v>0.44</v>
      </c>
      <c r="AE5" s="2">
        <f t="shared" si="4"/>
        <v>1.2</v>
      </c>
      <c r="AF5" s="34">
        <f t="shared" ref="AF5:AF33" si="9">AE5*AH5</f>
        <v>1.44</v>
      </c>
      <c r="AG5" s="34">
        <f t="shared" ref="AG5:AG33" si="10">AD5/AF5</f>
        <v>0.30555555555555558</v>
      </c>
      <c r="AH5" s="41">
        <v>1.2</v>
      </c>
      <c r="AI5" s="34">
        <f t="shared" ref="AI5:AI33" si="11">AD5/AE5-AG5</f>
        <v>6.1111111111111116E-2</v>
      </c>
      <c r="AJ5" s="2">
        <f>IF(VLOOKUP(AA5,坦克个性化设定!$B$51:$T$81,9,FALSE)=0,VLOOKUP(AA5,坦克个性化设定!$B$51:$T$81,10,FALSE),VLOOKUP(AA5,坦克个性化设定!$B$51:$T$81,9,FALSE))</f>
        <v>11.2</v>
      </c>
      <c r="AK5" s="2" t="str">
        <f>IF(LEN(VLOOKUP(AA5,坦克个性化设定!$B$18:$F$48,5,FALSE))=5,"单发",RIGHT(VLOOKUP(AA5,坦克个性化设定!$B$18:$F$48,5,FALSE),2))</f>
        <v>弹夹</v>
      </c>
      <c r="AL5" s="34">
        <f t="shared" si="5"/>
        <v>72.460176991150419</v>
      </c>
      <c r="AM5" s="34">
        <f t="shared" ref="AM5:AM33" si="12">AC5</f>
        <v>0.60000000000000009</v>
      </c>
      <c r="AN5" s="34">
        <f t="shared" ref="AN5:AN33" si="13">IF(AK5="弹夹",(60-(AB5-1)*AM5)/(AL5/AB5-1)-(AB5-1)*AM5,IF(AK5="单发",(60-(AB5-1)*AM5)/(AL5-AB5),60/(AL5-AB5)))</f>
        <v>7.1283400809716646</v>
      </c>
      <c r="AO5" s="34">
        <f t="shared" si="6"/>
        <v>0.36354106419895849</v>
      </c>
      <c r="AP5" s="34">
        <f t="shared" ref="AP5:AP33" si="14">AJ5-AN5</f>
        <v>4.0716599190283347</v>
      </c>
    </row>
    <row r="6" spans="2:42" x14ac:dyDescent="0.3">
      <c r="B6" s="2" t="s">
        <v>176</v>
      </c>
      <c r="C6" s="21">
        <v>1.05</v>
      </c>
      <c r="D6" s="24"/>
      <c r="E6" s="2" t="s">
        <v>607</v>
      </c>
      <c r="F6" s="2">
        <f>VLOOKUP($E6,坦克个性化设定!$B$51:$T$81,MATCH(F$3,坦克个性化设定!$B$51:$T$51,0),FALSE)</f>
        <v>0</v>
      </c>
      <c r="G6" s="2">
        <f>VLOOKUP($E6,坦克个性化设定!$B$51:$T$81,MATCH(G$3,坦克个性化设定!$B$51:$T$51,0),FALSE)</f>
        <v>4.7249999999999996</v>
      </c>
      <c r="I6" s="2" t="s">
        <v>607</v>
      </c>
      <c r="J6" s="21" t="s">
        <v>177</v>
      </c>
      <c r="K6" s="2">
        <f>ROUND(VLOOKUP(I6,坦克个性化设定!$G$84:$T$114,MATCH(K$3,坦克个性化设定!$G$84:$T$84,0),FALSE)*VLOOKUP(J6,$B$3:$C$6,2,FALSE),1)</f>
        <v>43.3</v>
      </c>
      <c r="L6" s="2">
        <f>K6/坦克个性化设定!$M$4*坦克个性化设定!$M$5</f>
        <v>10.824999999999996</v>
      </c>
      <c r="M6" s="2">
        <f>ROUND(VLOOKUP(I6,坦克个性化设定!$G$84:$T$114,MATCH(M$3,坦克个性化设定!$G$84:$T$84,0),FALSE)*VLOOKUP(J6,$B$3:$C$6,2,FALSE),1)</f>
        <v>51</v>
      </c>
      <c r="N6" s="2">
        <f>M6/坦克个性化设定!$M$4*坦克个性化设定!$M$5</f>
        <v>12.749999999999996</v>
      </c>
      <c r="O6" s="2">
        <f>ROUND(VLOOKUP(I6,坦克个性化设定!$G$84:$T$114,MATCH(O$3,坦克个性化设定!$G$84:$T$84,0),FALSE)*VLOOKUP(J6,$B$3:$C$6,2,FALSE),1)</f>
        <v>10.199999999999999</v>
      </c>
      <c r="P6" s="2">
        <f t="shared" si="7"/>
        <v>0</v>
      </c>
      <c r="R6" s="2" t="str">
        <f t="shared" si="8"/>
        <v>Puma</v>
      </c>
      <c r="S6" s="2">
        <f>VLOOKUP($R6,坦克个性化设定!$B$51:$T$81,MATCH(S$3,坦克个性化设定!$B$51:$T$51,0),FALSE)</f>
        <v>9</v>
      </c>
      <c r="T6" s="2">
        <f>VLOOKUP($R6,坦克个性化设定!$B$51:$T$81,MATCH(T$3,坦克个性化设定!$B$51:$T$51,0),FALSE)</f>
        <v>0</v>
      </c>
      <c r="U6" s="2">
        <f>VLOOKUP($R6,坦克个性化设定!$B$51:$T$81,MATCH(U$3,坦克个性化设定!$B$51:$T$51,0),FALSE)</f>
        <v>4.7249999999999996</v>
      </c>
      <c r="V6" s="2">
        <f>VLOOKUP($R6,坦克个性化设定!$B$51:$T$81,MATCH(V$3,坦克个性化设定!$B$51:$T$51,0),FALSE)</f>
        <v>0.8</v>
      </c>
      <c r="W6" s="2">
        <f>VLOOKUP($R6,坦克个性化设定!$B$51:$T$81,MATCH(W$3,坦克个性化设定!$B$51:$T$51,0),FALSE)</f>
        <v>0.62</v>
      </c>
      <c r="X6" s="2">
        <f>VLOOKUP($R6,坦克个性化设定!$B$51:$T$81,MATCH(X$3,坦克个性化设定!$B$51:$T$51,0),FALSE)</f>
        <v>1.2</v>
      </c>
      <c r="Y6" s="34">
        <f>VLOOKUP($R6,坦克个性化设定!$B$51:$T$81,MATCH(Y$3,坦克个性化设定!$B$51:$T$51,0),FALSE)</f>
        <v>52.361797752808982</v>
      </c>
      <c r="AA6" s="2" t="str">
        <f t="shared" si="0"/>
        <v>Puma</v>
      </c>
      <c r="AB6" s="2">
        <f t="shared" si="1"/>
        <v>9</v>
      </c>
      <c r="AC6" s="2">
        <f t="shared" si="2"/>
        <v>0.8</v>
      </c>
      <c r="AD6" s="2">
        <f t="shared" si="3"/>
        <v>0.62</v>
      </c>
      <c r="AE6" s="2">
        <f t="shared" si="4"/>
        <v>1.2</v>
      </c>
      <c r="AF6" s="34">
        <f t="shared" si="9"/>
        <v>1.44</v>
      </c>
      <c r="AG6" s="34">
        <f t="shared" si="10"/>
        <v>0.43055555555555558</v>
      </c>
      <c r="AH6" s="41">
        <v>1.2</v>
      </c>
      <c r="AI6" s="34">
        <f t="shared" si="11"/>
        <v>8.6111111111111138E-2</v>
      </c>
      <c r="AJ6" s="2">
        <f>IF(VLOOKUP(AA6,坦克个性化设定!$B$51:$T$81,9,FALSE)=0,VLOOKUP(AA6,坦克个性化设定!$B$51:$T$81,10,FALSE),VLOOKUP(AA6,坦克个性化设定!$B$51:$T$81,9,FALSE))</f>
        <v>4.7249999999999996</v>
      </c>
      <c r="AK6" s="2" t="str">
        <f>IF(LEN(VLOOKUP(AA6,坦克个性化设定!$B$18:$F$48,5,FALSE))=5,"单发",RIGHT(VLOOKUP(AA6,坦克个性化设定!$B$18:$F$48,5,FALSE),2))</f>
        <v>弹夹</v>
      </c>
      <c r="AL6" s="34">
        <f t="shared" si="5"/>
        <v>60.216067415730322</v>
      </c>
      <c r="AM6" s="34">
        <f t="shared" si="12"/>
        <v>0.8</v>
      </c>
      <c r="AN6" s="34">
        <f t="shared" si="13"/>
        <v>3.0189191857365714</v>
      </c>
      <c r="AO6" s="34">
        <f t="shared" si="6"/>
        <v>0.36107530460601661</v>
      </c>
      <c r="AP6" s="34">
        <f t="shared" si="14"/>
        <v>1.7060808142634283</v>
      </c>
    </row>
    <row r="7" spans="2:42" x14ac:dyDescent="0.3">
      <c r="E7" s="2" t="s">
        <v>522</v>
      </c>
      <c r="F7" s="2">
        <f>VLOOKUP($E7,坦克个性化设定!$B$51:$T$81,MATCH(F$3,坦克个性化设定!$B$51:$T$51,0),FALSE)</f>
        <v>0</v>
      </c>
      <c r="G7" s="2">
        <f>VLOOKUP($E7,坦克个性化设定!$B$51:$T$81,MATCH(G$3,坦克个性化设定!$B$51:$T$51,0),FALSE)</f>
        <v>9.7999999999999989</v>
      </c>
      <c r="I7" s="2" t="s">
        <v>522</v>
      </c>
      <c r="J7" s="21" t="s">
        <v>175</v>
      </c>
      <c r="K7" s="2">
        <f>ROUND(VLOOKUP(I7,坦克个性化设定!$G$84:$T$114,MATCH(K$3,坦克个性化设定!$G$84:$T$84,0),FALSE)*VLOOKUP(J7,$B$3:$C$6,2,FALSE),1)</f>
        <v>42.4</v>
      </c>
      <c r="L7" s="2">
        <f>K7/坦克个性化设定!$M$4*坦克个性化设定!$M$5</f>
        <v>10.599999999999996</v>
      </c>
      <c r="M7" s="2">
        <f>ROUND(VLOOKUP(I7,坦克个性化设定!$G$84:$T$114,MATCH(M$3,坦克个性化设定!$G$84:$T$84,0),FALSE)*VLOOKUP(J7,$B$3:$C$6,2,FALSE),1)</f>
        <v>50</v>
      </c>
      <c r="N7" s="2">
        <f>M7/坦克个性化设定!$M$4*坦克个性化设定!$M$5</f>
        <v>12.499999999999996</v>
      </c>
      <c r="O7" s="2">
        <f>ROUND(VLOOKUP(I7,坦克个性化设定!$G$84:$T$114,MATCH(O$3,坦克个性化设定!$G$84:$T$84,0),FALSE)*VLOOKUP(J7,$B$3:$C$6,2,FALSE),1)</f>
        <v>10</v>
      </c>
      <c r="P7" s="2">
        <f t="shared" si="7"/>
        <v>0</v>
      </c>
      <c r="R7" s="2" t="str">
        <f t="shared" si="8"/>
        <v>35(t)</v>
      </c>
      <c r="S7" s="2">
        <f>VLOOKUP($R7,坦克个性化设定!$B$51:$T$81,MATCH(S$3,坦克个性化设定!$B$51:$T$51,0),FALSE)</f>
        <v>14</v>
      </c>
      <c r="T7" s="2">
        <f>VLOOKUP($R7,坦克个性化设定!$B$51:$T$81,MATCH(T$3,坦克个性化设定!$B$51:$T$51,0),FALSE)</f>
        <v>0</v>
      </c>
      <c r="U7" s="2">
        <f>VLOOKUP($R7,坦克个性化设定!$B$51:$T$81,MATCH(U$3,坦克个性化设定!$B$51:$T$51,0),FALSE)</f>
        <v>9.7999999999999989</v>
      </c>
      <c r="V7" s="2">
        <f>VLOOKUP($R7,坦克个性化设定!$B$51:$T$81,MATCH(V$3,坦克个性化设定!$B$51:$T$51,0),FALSE)</f>
        <v>0.8</v>
      </c>
      <c r="W7" s="2">
        <f>VLOOKUP($R7,坦克个性化设定!$B$51:$T$81,MATCH(W$3,坦克个性化设定!$B$51:$T$51,0),FALSE)</f>
        <v>0.56999999999999995</v>
      </c>
      <c r="X7" s="2">
        <f>VLOOKUP($R7,坦克个性化设定!$B$51:$T$81,MATCH(X$3,坦克个性化设定!$B$51:$T$51,0),FALSE)</f>
        <v>1.2</v>
      </c>
      <c r="Y7" s="34">
        <f>VLOOKUP($R7,坦克个性化设定!$B$51:$T$81,MATCH(Y$3,坦克个性化设定!$B$51:$T$51,0),FALSE)</f>
        <v>48.376237623762378</v>
      </c>
      <c r="AA7" s="2" t="str">
        <f t="shared" si="0"/>
        <v>35(t)</v>
      </c>
      <c r="AB7" s="2">
        <f t="shared" si="1"/>
        <v>14</v>
      </c>
      <c r="AC7" s="2">
        <f t="shared" si="2"/>
        <v>0.8</v>
      </c>
      <c r="AD7" s="2">
        <f t="shared" si="3"/>
        <v>0.56999999999999995</v>
      </c>
      <c r="AE7" s="2">
        <f t="shared" si="4"/>
        <v>1.2</v>
      </c>
      <c r="AF7" s="34">
        <f t="shared" si="9"/>
        <v>1.44</v>
      </c>
      <c r="AG7" s="34">
        <f t="shared" si="10"/>
        <v>0.39583333333333331</v>
      </c>
      <c r="AH7" s="41">
        <v>1.2</v>
      </c>
      <c r="AI7" s="34">
        <f t="shared" si="11"/>
        <v>7.9166666666666663E-2</v>
      </c>
      <c r="AJ7" s="2">
        <f>IF(VLOOKUP(AA7,坦克个性化设定!$B$51:$T$81,9,FALSE)=0,VLOOKUP(AA7,坦克个性化设定!$B$51:$T$81,10,FALSE),VLOOKUP(AA7,坦克个性化设定!$B$51:$T$81,9,FALSE))</f>
        <v>9.7999999999999989</v>
      </c>
      <c r="AK7" s="2" t="str">
        <f>IF(LEN(VLOOKUP(AA7,坦克个性化设定!$B$18:$F$48,5,FALSE))=5,"单发",RIGHT(VLOOKUP(AA7,坦克个性化设定!$B$18:$F$48,5,FALSE),2))</f>
        <v>弹夹</v>
      </c>
      <c r="AL7" s="34">
        <f t="shared" si="5"/>
        <v>55.63267326732673</v>
      </c>
      <c r="AM7" s="34">
        <f t="shared" si="12"/>
        <v>0.8</v>
      </c>
      <c r="AN7" s="34">
        <f t="shared" si="13"/>
        <v>6.2792075911436687</v>
      </c>
      <c r="AO7" s="34">
        <f t="shared" si="6"/>
        <v>0.35926453151595211</v>
      </c>
      <c r="AP7" s="34">
        <f t="shared" si="14"/>
        <v>3.5207924088563303</v>
      </c>
    </row>
    <row r="8" spans="2:42" x14ac:dyDescent="0.3">
      <c r="B8" s="351" t="s">
        <v>1198</v>
      </c>
      <c r="C8" s="351"/>
      <c r="D8" s="25"/>
      <c r="E8" s="2" t="s">
        <v>611</v>
      </c>
      <c r="F8" s="2">
        <f>VLOOKUP($E8,坦克个性化设定!$B$51:$T$81,MATCH(F$3,坦克个性化设定!$B$51:$T$51,0),FALSE)</f>
        <v>0</v>
      </c>
      <c r="G8" s="2">
        <f>VLOOKUP($E8,坦克个性化设定!$B$51:$T$81,MATCH(G$3,坦克个性化设定!$B$51:$T$51,0),FALSE)</f>
        <v>12.6</v>
      </c>
      <c r="I8" s="2" t="s">
        <v>611</v>
      </c>
      <c r="J8" s="21" t="s">
        <v>177</v>
      </c>
      <c r="K8" s="2">
        <f>ROUND(VLOOKUP(I8,坦克个性化设定!$G$84:$T$114,MATCH(K$3,坦克个性化设定!$G$84:$T$84,0),FALSE)*VLOOKUP(J8,$B$3:$C$6,2,FALSE),1)</f>
        <v>48.1</v>
      </c>
      <c r="L8" s="2">
        <f>K8/坦克个性化设定!$M$4*坦克个性化设定!$M$5</f>
        <v>12.024999999999997</v>
      </c>
      <c r="M8" s="2">
        <f>ROUND(VLOOKUP(I8,坦克个性化设定!$G$84:$T$114,MATCH(M$3,坦克个性化设定!$G$84:$T$84,0),FALSE)*VLOOKUP(J8,$B$3:$C$6,2,FALSE),1)</f>
        <v>45.9</v>
      </c>
      <c r="N8" s="2">
        <f>M8/坦克个性化设定!$M$4*坦克个性化设定!$M$5</f>
        <v>11.474999999999996</v>
      </c>
      <c r="O8" s="2">
        <f>ROUND(VLOOKUP(I8,坦克个性化设定!$G$84:$T$114,MATCH(O$3,坦克个性化设定!$G$84:$T$84,0),FALSE)*VLOOKUP(J8,$B$3:$C$6,2,FALSE),1)</f>
        <v>10.7</v>
      </c>
      <c r="P8" s="2">
        <f t="shared" si="7"/>
        <v>0</v>
      </c>
      <c r="R8" s="2" t="str">
        <f t="shared" si="8"/>
        <v>十字军</v>
      </c>
      <c r="S8" s="2">
        <f>VLOOKUP($R8,坦克个性化设定!$B$51:$T$81,MATCH(S$3,坦克个性化设定!$B$51:$T$51,0),FALSE)</f>
        <v>18</v>
      </c>
      <c r="T8" s="2">
        <f>VLOOKUP($R8,坦克个性化设定!$B$51:$T$81,MATCH(T$3,坦克个性化设定!$B$51:$T$51,0),FALSE)</f>
        <v>0</v>
      </c>
      <c r="U8" s="2">
        <f>VLOOKUP($R8,坦克个性化设定!$B$51:$T$81,MATCH(U$3,坦克个性化设定!$B$51:$T$51,0),FALSE)</f>
        <v>12.6</v>
      </c>
      <c r="V8" s="2">
        <f>VLOOKUP($R8,坦克个性化设定!$B$51:$T$81,MATCH(V$3,坦克个性化设定!$B$51:$T$51,0),FALSE)</f>
        <v>0.60000000000000009</v>
      </c>
      <c r="W8" s="2">
        <f>VLOOKUP($R8,坦克个性化设定!$B$51:$T$81,MATCH(W$3,坦克个性化设定!$B$51:$T$51,0),FALSE)</f>
        <v>0.45</v>
      </c>
      <c r="X8" s="2">
        <f>VLOOKUP($R8,坦克个性化设定!$B$51:$T$81,MATCH(X$3,坦克个性化设定!$B$51:$T$51,0),FALSE)</f>
        <v>1.2</v>
      </c>
      <c r="Y8" s="34">
        <f>VLOOKUP($R8,坦克个性化设定!$B$51:$T$81,MATCH(Y$3,坦克个性化设定!$B$51:$T$51,0),FALSE)</f>
        <v>57.315789473684205</v>
      </c>
      <c r="AA8" s="2" t="str">
        <f t="shared" si="0"/>
        <v>十字军</v>
      </c>
      <c r="AB8" s="2">
        <f t="shared" si="1"/>
        <v>18</v>
      </c>
      <c r="AC8" s="2">
        <f t="shared" si="2"/>
        <v>0.60000000000000009</v>
      </c>
      <c r="AD8" s="2">
        <f t="shared" si="3"/>
        <v>0.45</v>
      </c>
      <c r="AE8" s="2">
        <f t="shared" si="4"/>
        <v>1.2</v>
      </c>
      <c r="AF8" s="34">
        <f t="shared" si="9"/>
        <v>1.44</v>
      </c>
      <c r="AG8" s="34">
        <f t="shared" si="10"/>
        <v>0.3125</v>
      </c>
      <c r="AH8" s="41">
        <v>1.2</v>
      </c>
      <c r="AI8" s="34">
        <f t="shared" si="11"/>
        <v>6.25E-2</v>
      </c>
      <c r="AJ8" s="2">
        <f>IF(VLOOKUP(AA8,坦克个性化设定!$B$51:$T$81,9,FALSE)=0,VLOOKUP(AA8,坦克个性化设定!$B$51:$T$81,10,FALSE),VLOOKUP(AA8,坦克个性化设定!$B$51:$T$81,9,FALSE))</f>
        <v>12.6</v>
      </c>
      <c r="AK8" s="2" t="str">
        <f>IF(LEN(VLOOKUP(AA8,坦克个性化设定!$B$18:$F$48,5,FALSE))=5,"单发",RIGHT(VLOOKUP(AA8,坦克个性化设定!$B$18:$F$48,5,FALSE),2))</f>
        <v>弹夹</v>
      </c>
      <c r="AL8" s="34">
        <f t="shared" si="5"/>
        <v>65.913157894736827</v>
      </c>
      <c r="AM8" s="34">
        <f t="shared" si="12"/>
        <v>0.60000000000000009</v>
      </c>
      <c r="AN8" s="34">
        <f t="shared" si="13"/>
        <v>8.5088482451804293</v>
      </c>
      <c r="AO8" s="34">
        <f t="shared" si="6"/>
        <v>0.32469458371583892</v>
      </c>
      <c r="AP8" s="34">
        <f t="shared" si="14"/>
        <v>4.0911517548195704</v>
      </c>
    </row>
    <row r="9" spans="2:42" x14ac:dyDescent="0.3">
      <c r="B9" s="2" t="s">
        <v>1199</v>
      </c>
      <c r="C9" s="21">
        <v>1.1499999999999999</v>
      </c>
      <c r="D9" s="25"/>
      <c r="E9" s="2" t="s">
        <v>613</v>
      </c>
      <c r="F9" s="2">
        <f>VLOOKUP($E9,坦克个性化设定!$B$51:$T$81,MATCH(F$3,坦克个性化设定!$B$51:$T$51,0),FALSE)</f>
        <v>0</v>
      </c>
      <c r="G9" s="2">
        <f>VLOOKUP($E9,坦克个性化设定!$B$51:$T$81,MATCH(G$3,坦克个性化设定!$B$51:$T$51,0),FALSE)</f>
        <v>9.7999999999999989</v>
      </c>
      <c r="I9" s="2" t="s">
        <v>613</v>
      </c>
      <c r="J9" s="21" t="s">
        <v>176</v>
      </c>
      <c r="K9" s="2">
        <f>ROUND(VLOOKUP(I9,坦克个性化设定!$G$84:$T$114,MATCH(K$3,坦克个性化设定!$G$84:$T$84,0),FALSE)*VLOOKUP(J9,$B$3:$C$6,2,FALSE),1)</f>
        <v>39.6</v>
      </c>
      <c r="L9" s="2">
        <f>K9/坦克个性化设定!$M$4*坦克个性化设定!$M$5</f>
        <v>9.8999999999999986</v>
      </c>
      <c r="M9" s="2">
        <f>ROUND(VLOOKUP(I9,坦克个性化设定!$G$84:$T$114,MATCH(M$3,坦克个性化设定!$G$84:$T$84,0),FALSE)*VLOOKUP(J9,$B$3:$C$6,2,FALSE),1)</f>
        <v>59.1</v>
      </c>
      <c r="N9" s="2">
        <f>M9/坦克个性化设定!$M$4*坦克个性化设定!$M$5</f>
        <v>14.774999999999997</v>
      </c>
      <c r="O9" s="2">
        <f>ROUND(VLOOKUP(I9,坦克个性化设定!$G$84:$T$114,MATCH(O$3,坦克个性化设定!$G$84:$T$84,0),FALSE)*VLOOKUP(J9,$B$3:$C$6,2,FALSE),1)</f>
        <v>9.9</v>
      </c>
      <c r="P9" s="2">
        <f t="shared" si="7"/>
        <v>0</v>
      </c>
      <c r="R9" s="2" t="str">
        <f t="shared" si="8"/>
        <v>AMX-13</v>
      </c>
      <c r="S9" s="2">
        <f>VLOOKUP($R9,坦克个性化设定!$B$51:$T$81,MATCH(S$3,坦克个性化设定!$B$51:$T$51,0),FALSE)</f>
        <v>14</v>
      </c>
      <c r="T9" s="2">
        <f>VLOOKUP($R9,坦克个性化设定!$B$51:$T$81,MATCH(T$3,坦克个性化设定!$B$51:$T$51,0),FALSE)</f>
        <v>0</v>
      </c>
      <c r="U9" s="2">
        <f>VLOOKUP($R9,坦克个性化设定!$B$51:$T$81,MATCH(U$3,坦克个性化设定!$B$51:$T$51,0),FALSE)</f>
        <v>9.7999999999999989</v>
      </c>
      <c r="V9" s="2">
        <f>VLOOKUP($R9,坦克个性化设定!$B$51:$T$81,MATCH(V$3,坦克个性化设定!$B$51:$T$51,0),FALSE)</f>
        <v>0.8</v>
      </c>
      <c r="W9" s="2">
        <f>VLOOKUP($R9,坦克个性化设定!$B$51:$T$81,MATCH(W$3,坦克个性化设定!$B$51:$T$51,0),FALSE)</f>
        <v>0.56999999999999995</v>
      </c>
      <c r="X9" s="2">
        <f>VLOOKUP($R9,坦克个性化设定!$B$51:$T$81,MATCH(X$3,坦克个性化设定!$B$51:$T$51,0),FALSE)</f>
        <v>1.2</v>
      </c>
      <c r="Y9" s="34">
        <f>VLOOKUP($R9,坦克个性化设定!$B$51:$T$81,MATCH(Y$3,坦克个性化设定!$B$51:$T$51,0),FALSE)</f>
        <v>48.376237623762378</v>
      </c>
      <c r="AA9" s="2" t="str">
        <f t="shared" si="0"/>
        <v>AMX-13</v>
      </c>
      <c r="AB9" s="2">
        <f t="shared" si="1"/>
        <v>14</v>
      </c>
      <c r="AC9" s="2">
        <f t="shared" si="2"/>
        <v>0.8</v>
      </c>
      <c r="AD9" s="2">
        <f t="shared" si="3"/>
        <v>0.56999999999999995</v>
      </c>
      <c r="AE9" s="2">
        <f t="shared" si="4"/>
        <v>1.2</v>
      </c>
      <c r="AF9" s="34">
        <f t="shared" si="9"/>
        <v>1.44</v>
      </c>
      <c r="AG9" s="34">
        <f t="shared" si="10"/>
        <v>0.39583333333333331</v>
      </c>
      <c r="AH9" s="41">
        <v>1.2</v>
      </c>
      <c r="AI9" s="34">
        <f t="shared" si="11"/>
        <v>7.9166666666666663E-2</v>
      </c>
      <c r="AJ9" s="2">
        <f>IF(VLOOKUP(AA9,坦克个性化设定!$B$51:$T$81,9,FALSE)=0,VLOOKUP(AA9,坦克个性化设定!$B$51:$T$81,10,FALSE),VLOOKUP(AA9,坦克个性化设定!$B$51:$T$81,9,FALSE))</f>
        <v>9.7999999999999989</v>
      </c>
      <c r="AK9" s="2" t="str">
        <f>IF(LEN(VLOOKUP(AA9,坦克个性化设定!$B$18:$F$48,5,FALSE))=5,"单发",RIGHT(VLOOKUP(AA9,坦克个性化设定!$B$18:$F$48,5,FALSE),2))</f>
        <v>弹夹</v>
      </c>
      <c r="AL9" s="34">
        <f t="shared" si="5"/>
        <v>55.63267326732673</v>
      </c>
      <c r="AM9" s="34">
        <f t="shared" si="12"/>
        <v>0.8</v>
      </c>
      <c r="AN9" s="34">
        <f t="shared" si="13"/>
        <v>6.2792075911436687</v>
      </c>
      <c r="AO9" s="34">
        <f t="shared" si="6"/>
        <v>0.35926453151595211</v>
      </c>
      <c r="AP9" s="34">
        <f t="shared" si="14"/>
        <v>3.5207924088563303</v>
      </c>
    </row>
    <row r="10" spans="2:42" x14ac:dyDescent="0.3">
      <c r="D10" s="24"/>
      <c r="E10" s="2" t="s">
        <v>615</v>
      </c>
      <c r="F10" s="2">
        <f>VLOOKUP($E10,坦克个性化设定!$B$51:$T$81,MATCH(F$3,坦克个性化设定!$B$51:$T$51,0),FALSE)</f>
        <v>0</v>
      </c>
      <c r="G10" s="2">
        <f>VLOOKUP($E10,坦克个性化设定!$B$51:$T$81,MATCH(G$3,坦克个性化设定!$B$51:$T$51,0),FALSE)</f>
        <v>9.7999999999999989</v>
      </c>
      <c r="I10" s="2" t="s">
        <v>615</v>
      </c>
      <c r="J10" s="21" t="s">
        <v>175</v>
      </c>
      <c r="K10" s="2">
        <f>ROUND(VLOOKUP(I10,坦克个性化设定!$G$84:$T$114,MATCH(K$3,坦克个性化设定!$G$84:$T$84,0),FALSE)*VLOOKUP(J10,$B$3:$C$6,2,FALSE),1)</f>
        <v>42.4</v>
      </c>
      <c r="L10" s="2">
        <f>K10/坦克个性化设定!$M$4*坦克个性化设定!$M$5</f>
        <v>10.599999999999996</v>
      </c>
      <c r="M10" s="2">
        <f>ROUND(VLOOKUP(I10,坦克个性化设定!$G$84:$T$114,MATCH(M$3,坦克个性化设定!$G$84:$T$84,0),FALSE)*VLOOKUP(J10,$B$3:$C$6,2,FALSE),1)</f>
        <v>50</v>
      </c>
      <c r="N10" s="2">
        <f>M10/坦克个性化设定!$M$4*坦克个性化设定!$M$5</f>
        <v>12.499999999999996</v>
      </c>
      <c r="O10" s="2">
        <f>ROUND(VLOOKUP(I10,坦克个性化设定!$G$84:$T$114,MATCH(O$3,坦克个性化设定!$G$84:$T$84,0),FALSE)*VLOOKUP(J10,$B$3:$C$6,2,FALSE),1)</f>
        <v>10</v>
      </c>
      <c r="P10" s="2">
        <f t="shared" si="7"/>
        <v>0</v>
      </c>
      <c r="R10" s="2" t="str">
        <f t="shared" si="8"/>
        <v>霞飞</v>
      </c>
      <c r="S10" s="2">
        <f>VLOOKUP($R10,坦克个性化设定!$B$51:$T$81,MATCH(S$3,坦克个性化设定!$B$51:$T$51,0),FALSE)</f>
        <v>14</v>
      </c>
      <c r="T10" s="2">
        <f>VLOOKUP($R10,坦克个性化设定!$B$51:$T$81,MATCH(T$3,坦克个性化设定!$B$51:$T$51,0),FALSE)</f>
        <v>0</v>
      </c>
      <c r="U10" s="2">
        <f>VLOOKUP($R10,坦克个性化设定!$B$51:$T$81,MATCH(U$3,坦克个性化设定!$B$51:$T$51,0),FALSE)</f>
        <v>9.7999999999999989</v>
      </c>
      <c r="V10" s="2">
        <f>VLOOKUP($R10,坦克个性化设定!$B$51:$T$81,MATCH(V$3,坦克个性化设定!$B$51:$T$51,0),FALSE)</f>
        <v>0.60000000000000009</v>
      </c>
      <c r="W10" s="2">
        <f>VLOOKUP($R10,坦克个性化设定!$B$51:$T$81,MATCH(W$3,坦克个性化设定!$B$51:$T$51,0),FALSE)</f>
        <v>0.48</v>
      </c>
      <c r="X10" s="2">
        <f>VLOOKUP($R10,坦克个性化设定!$B$51:$T$81,MATCH(X$3,坦克个性化设定!$B$51:$T$51,0),FALSE)</f>
        <v>1.2</v>
      </c>
      <c r="Y10" s="34">
        <f>VLOOKUP($R10,坦克个性化设定!$B$51:$T$81,MATCH(Y$3,坦克个性化设定!$B$51:$T$51,0),FALSE)</f>
        <v>55.522727272727273</v>
      </c>
      <c r="AA10" s="2" t="str">
        <f t="shared" si="0"/>
        <v>霞飞</v>
      </c>
      <c r="AB10" s="2">
        <f t="shared" si="1"/>
        <v>14</v>
      </c>
      <c r="AC10" s="2">
        <f t="shared" si="2"/>
        <v>0.60000000000000009</v>
      </c>
      <c r="AD10" s="2">
        <f t="shared" si="3"/>
        <v>0.48</v>
      </c>
      <c r="AE10" s="2">
        <f t="shared" si="4"/>
        <v>1.2</v>
      </c>
      <c r="AF10" s="34">
        <f t="shared" si="9"/>
        <v>1.44</v>
      </c>
      <c r="AG10" s="34">
        <f t="shared" si="10"/>
        <v>0.33333333333333331</v>
      </c>
      <c r="AH10" s="41">
        <v>1.2</v>
      </c>
      <c r="AI10" s="34">
        <f t="shared" si="11"/>
        <v>6.6666666666666707E-2</v>
      </c>
      <c r="AJ10" s="2">
        <f>IF(VLOOKUP(AA10,坦克个性化设定!$B$51:$T$81,9,FALSE)=0,VLOOKUP(AA10,坦克个性化设定!$B$51:$T$81,10,FALSE),VLOOKUP(AA10,坦克个性化设定!$B$51:$T$81,9,FALSE))</f>
        <v>9.7999999999999989</v>
      </c>
      <c r="AK10" s="2" t="str">
        <f>IF(LEN(VLOOKUP(AA10,坦克个性化设定!$B$18:$F$48,5,FALSE))=5,"单发",RIGHT(VLOOKUP(AA10,坦克个性化设定!$B$18:$F$48,5,FALSE),2))</f>
        <v>弹夹</v>
      </c>
      <c r="AL10" s="34">
        <f t="shared" si="5"/>
        <v>63.851136363636357</v>
      </c>
      <c r="AM10" s="34">
        <f t="shared" si="12"/>
        <v>0.60000000000000009</v>
      </c>
      <c r="AN10" s="34">
        <f t="shared" si="13"/>
        <v>6.8596457635232184</v>
      </c>
      <c r="AO10" s="34">
        <f t="shared" si="6"/>
        <v>0.30003614657926336</v>
      </c>
      <c r="AP10" s="34">
        <f t="shared" si="14"/>
        <v>2.9403542364767805</v>
      </c>
    </row>
    <row r="11" spans="2:42" x14ac:dyDescent="0.3">
      <c r="B11" s="352" t="s">
        <v>1200</v>
      </c>
      <c r="C11" s="354"/>
      <c r="D11" s="24"/>
      <c r="E11" s="2" t="s">
        <v>618</v>
      </c>
      <c r="F11" s="2">
        <f>VLOOKUP($E11,坦克个性化设定!$B$51:$T$81,MATCH(F$3,坦克个性化设定!$B$51:$T$51,0),FALSE)</f>
        <v>0</v>
      </c>
      <c r="G11" s="2">
        <f>VLOOKUP($E11,坦克个性化设定!$B$51:$T$81,MATCH(G$3,坦克个性化设定!$B$51:$T$51,0),FALSE)</f>
        <v>12.6</v>
      </c>
      <c r="I11" s="2" t="s">
        <v>618</v>
      </c>
      <c r="J11" s="21" t="s">
        <v>177</v>
      </c>
      <c r="K11" s="2">
        <f>ROUND(VLOOKUP(I11,坦克个性化设定!$G$84:$T$114,MATCH(K$3,坦克个性化设定!$G$84:$T$84,0),FALSE)*VLOOKUP(J11,$B$3:$C$6,2,FALSE),1)</f>
        <v>38.5</v>
      </c>
      <c r="L11" s="2">
        <f>K11/坦克个性化设定!$M$4*坦克个性化设定!$M$5</f>
        <v>9.6249999999999982</v>
      </c>
      <c r="M11" s="2">
        <f>ROUND(VLOOKUP(I11,坦克个性化设定!$G$84:$T$114,MATCH(M$3,坦克个性化设定!$G$84:$T$84,0),FALSE)*VLOOKUP(J11,$B$3:$C$6,2,FALSE),1)</f>
        <v>57.4</v>
      </c>
      <c r="N11" s="2">
        <f>M11/坦克个性化设定!$M$4*坦克个性化设定!$M$5</f>
        <v>14.349999999999996</v>
      </c>
      <c r="O11" s="2">
        <f>ROUND(VLOOKUP(I11,坦克个性化设定!$G$84:$T$114,MATCH(O$3,坦克个性化设定!$G$84:$T$84,0),FALSE)*VLOOKUP(J11,$B$3:$C$6,2,FALSE),1)</f>
        <v>9.6</v>
      </c>
      <c r="P11" s="2">
        <f t="shared" si="7"/>
        <v>0</v>
      </c>
      <c r="R11" s="2" t="str">
        <f t="shared" si="8"/>
        <v>M-41</v>
      </c>
      <c r="S11" s="2">
        <f>VLOOKUP($R11,坦克个性化设定!$B$51:$T$81,MATCH(S$3,坦克个性化设定!$B$51:$T$51,0),FALSE)</f>
        <v>18</v>
      </c>
      <c r="T11" s="2">
        <f>VLOOKUP($R11,坦克个性化设定!$B$51:$T$81,MATCH(T$3,坦克个性化设定!$B$51:$T$51,0),FALSE)</f>
        <v>0</v>
      </c>
      <c r="U11" s="2">
        <f>VLOOKUP($R11,坦克个性化设定!$B$51:$T$81,MATCH(U$3,坦克个性化设定!$B$51:$T$51,0),FALSE)</f>
        <v>12.6</v>
      </c>
      <c r="V11" s="2">
        <f>VLOOKUP($R11,坦克个性化设定!$B$51:$T$81,MATCH(V$3,坦克个性化设定!$B$51:$T$51,0),FALSE)</f>
        <v>0.8</v>
      </c>
      <c r="W11" s="2">
        <f>VLOOKUP($R11,坦克个性化设定!$B$51:$T$81,MATCH(W$3,坦克个性化设定!$B$51:$T$51,0),FALSE)</f>
        <v>0.55000000000000004</v>
      </c>
      <c r="X11" s="2">
        <f>VLOOKUP($R11,坦克个性化设定!$B$51:$T$81,MATCH(X$3,坦克个性化设定!$B$51:$T$51,0),FALSE)</f>
        <v>1.2</v>
      </c>
      <c r="Y11" s="34">
        <f>VLOOKUP($R11,坦克个性化设定!$B$51:$T$81,MATCH(Y$3,坦克个性化设定!$B$51:$T$51,0),FALSE)</f>
        <v>49.877862595419842</v>
      </c>
      <c r="AA11" s="2" t="str">
        <f t="shared" si="0"/>
        <v>M-41</v>
      </c>
      <c r="AB11" s="2">
        <f t="shared" si="1"/>
        <v>18</v>
      </c>
      <c r="AC11" s="2">
        <f t="shared" si="2"/>
        <v>0.8</v>
      </c>
      <c r="AD11" s="2">
        <f t="shared" si="3"/>
        <v>0.55000000000000004</v>
      </c>
      <c r="AE11" s="2">
        <f t="shared" si="4"/>
        <v>1.2</v>
      </c>
      <c r="AF11" s="34">
        <f t="shared" si="9"/>
        <v>1.44</v>
      </c>
      <c r="AG11" s="34">
        <f t="shared" si="10"/>
        <v>0.38194444444444448</v>
      </c>
      <c r="AH11" s="41">
        <v>1.2</v>
      </c>
      <c r="AI11" s="34">
        <f t="shared" si="11"/>
        <v>7.6388888888888895E-2</v>
      </c>
      <c r="AJ11" s="2">
        <f>IF(VLOOKUP(AA11,坦克个性化设定!$B$51:$T$81,9,FALSE)=0,VLOOKUP(AA11,坦克个性化设定!$B$51:$T$81,10,FALSE),VLOOKUP(AA11,坦克个性化设定!$B$51:$T$81,9,FALSE))</f>
        <v>12.6</v>
      </c>
      <c r="AK11" s="2" t="str">
        <f>IF(LEN(VLOOKUP(AA11,坦克个性化设定!$B$18:$F$48,5,FALSE))=5,"单发",RIGHT(VLOOKUP(AA11,坦克个性化设定!$B$18:$F$48,5,FALSE),2))</f>
        <v>弹夹</v>
      </c>
      <c r="AL11" s="34">
        <f t="shared" si="5"/>
        <v>57.359541984732815</v>
      </c>
      <c r="AM11" s="34">
        <f t="shared" si="12"/>
        <v>0.8</v>
      </c>
      <c r="AN11" s="34">
        <f t="shared" si="13"/>
        <v>7.6197591202653214</v>
      </c>
      <c r="AO11" s="34">
        <f t="shared" si="6"/>
        <v>0.39525721267735542</v>
      </c>
      <c r="AP11" s="34">
        <f t="shared" si="14"/>
        <v>4.9802408797346782</v>
      </c>
    </row>
    <row r="12" spans="2:42" x14ac:dyDescent="0.3">
      <c r="B12" s="2" t="s">
        <v>1199</v>
      </c>
      <c r="C12" s="34">
        <f>AVERAGE(坦克类型系数!CB10/坦克类型系数!CA10,坦克类型系数!CB11/坦克类型系数!CA11,坦克类型系数!CB12/坦克类型系数!CA12)</f>
        <v>1</v>
      </c>
      <c r="D12" s="24"/>
      <c r="E12" s="2" t="s">
        <v>620</v>
      </c>
      <c r="F12" s="2">
        <f>VLOOKUP($E12,坦克个性化设定!$B$51:$T$81,MATCH(F$3,坦克个性化设定!$B$51:$T$51,0),FALSE)</f>
        <v>0</v>
      </c>
      <c r="G12" s="2">
        <f>VLOOKUP($E12,坦克个性化设定!$B$51:$T$81,MATCH(G$3,坦克个性化设定!$B$51:$T$51,0),FALSE)</f>
        <v>6.3</v>
      </c>
      <c r="I12" s="2" t="s">
        <v>620</v>
      </c>
      <c r="J12" s="21" t="s">
        <v>176</v>
      </c>
      <c r="K12" s="2">
        <f>ROUND(VLOOKUP(I12,坦克个性化设定!$G$84:$T$114,MATCH(K$3,坦克个性化设定!$G$84:$T$84,0),FALSE)*VLOOKUP(J12,$B$3:$C$6,2,FALSE),1)</f>
        <v>44.5</v>
      </c>
      <c r="L12" s="2">
        <f>K12/坦克个性化设定!$M$4*坦克个性化设定!$M$5</f>
        <v>11.124999999999998</v>
      </c>
      <c r="M12" s="2">
        <f>ROUND(VLOOKUP(I12,坦克个性化设定!$G$84:$T$114,MATCH(M$3,坦克个性化设定!$G$84:$T$84,0),FALSE)*VLOOKUP(J12,$B$3:$C$6,2,FALSE),1)</f>
        <v>52.5</v>
      </c>
      <c r="N12" s="2">
        <f>M12/坦克个性化设定!$M$4*坦克个性化设定!$M$5</f>
        <v>13.124999999999996</v>
      </c>
      <c r="O12" s="2">
        <f>ROUND(VLOOKUP(I12,坦克个性化设定!$G$84:$T$114,MATCH(O$3,坦克个性化设定!$G$84:$T$84,0),FALSE)*VLOOKUP(J12,$B$3:$C$6,2,FALSE),1)</f>
        <v>10.5</v>
      </c>
      <c r="P12" s="2">
        <f t="shared" si="7"/>
        <v>0</v>
      </c>
      <c r="R12" s="2" t="str">
        <f t="shared" si="8"/>
        <v>BMP-3</v>
      </c>
      <c r="S12" s="2">
        <f>VLOOKUP($R12,坦克个性化设定!$B$51:$T$81,MATCH(S$3,坦克个性化设定!$B$51:$T$51,0),FALSE)</f>
        <v>9</v>
      </c>
      <c r="T12" s="2">
        <f>VLOOKUP($R12,坦克个性化设定!$B$51:$T$81,MATCH(T$3,坦克个性化设定!$B$51:$T$51,0),FALSE)</f>
        <v>0</v>
      </c>
      <c r="U12" s="2">
        <f>VLOOKUP($R12,坦克个性化设定!$B$51:$T$81,MATCH(U$3,坦克个性化设定!$B$51:$T$51,0),FALSE)</f>
        <v>6.3</v>
      </c>
      <c r="V12" s="2">
        <f>VLOOKUP($R12,坦克个性化设定!$B$51:$T$81,MATCH(V$3,坦克个性化设定!$B$51:$T$51,0),FALSE)</f>
        <v>0.8</v>
      </c>
      <c r="W12" s="2">
        <f>VLOOKUP($R12,坦克个性化设定!$B$51:$T$81,MATCH(W$3,坦克个性化设定!$B$51:$T$51,0),FALSE)</f>
        <v>0.62</v>
      </c>
      <c r="X12" s="2">
        <f>VLOOKUP($R12,坦克个性化设定!$B$51:$T$81,MATCH(X$3,坦克个性化设定!$B$51:$T$51,0),FALSE)</f>
        <v>1.2</v>
      </c>
      <c r="Y12" s="34">
        <f>VLOOKUP($R12,坦克个性化设定!$B$51:$T$81,MATCH(Y$3,坦克个性化设定!$B$51:$T$51,0),FALSE)</f>
        <v>46.984251968503941</v>
      </c>
      <c r="AA12" s="2" t="str">
        <f t="shared" si="0"/>
        <v>BMP-3</v>
      </c>
      <c r="AB12" s="2">
        <f t="shared" si="1"/>
        <v>9</v>
      </c>
      <c r="AC12" s="2">
        <f t="shared" si="2"/>
        <v>0.8</v>
      </c>
      <c r="AD12" s="2">
        <f t="shared" si="3"/>
        <v>0.62</v>
      </c>
      <c r="AE12" s="2">
        <f t="shared" si="4"/>
        <v>1.2</v>
      </c>
      <c r="AF12" s="34">
        <f t="shared" si="9"/>
        <v>1.44</v>
      </c>
      <c r="AG12" s="34">
        <f t="shared" si="10"/>
        <v>0.43055555555555558</v>
      </c>
      <c r="AH12" s="41">
        <v>1.2</v>
      </c>
      <c r="AI12" s="34">
        <f t="shared" si="11"/>
        <v>8.6111111111111138E-2</v>
      </c>
      <c r="AJ12" s="2">
        <f>IF(VLOOKUP(AA12,坦克个性化设定!$B$51:$T$81,9,FALSE)=0,VLOOKUP(AA12,坦克个性化设定!$B$51:$T$81,10,FALSE),VLOOKUP(AA12,坦克个性化设定!$B$51:$T$81,9,FALSE))</f>
        <v>6.3</v>
      </c>
      <c r="AK12" s="2" t="str">
        <f>IF(LEN(VLOOKUP(AA12,坦克个性化设定!$B$18:$F$48,5,FALSE))=5,"单发",RIGHT(VLOOKUP(AA12,坦克个性化设定!$B$18:$F$48,5,FALSE),2))</f>
        <v>弹夹</v>
      </c>
      <c r="AL12" s="34">
        <f t="shared" si="5"/>
        <v>54.031889763779525</v>
      </c>
      <c r="AM12" s="34">
        <f t="shared" si="12"/>
        <v>0.8</v>
      </c>
      <c r="AN12" s="34">
        <f t="shared" si="13"/>
        <v>4.3124085293886232</v>
      </c>
      <c r="AO12" s="34">
        <f t="shared" si="6"/>
        <v>0.31549070962085346</v>
      </c>
      <c r="AP12" s="34">
        <f t="shared" si="14"/>
        <v>1.9875914706113766</v>
      </c>
    </row>
    <row r="13" spans="2:42" x14ac:dyDescent="0.3">
      <c r="E13" s="2" t="s">
        <v>622</v>
      </c>
      <c r="F13" s="2">
        <f>VLOOKUP($E13,坦克个性化设定!$B$51:$T$81,MATCH(F$3,坦克个性化设定!$B$51:$T$51,0),FALSE)</f>
        <v>0</v>
      </c>
      <c r="G13" s="2">
        <f>VLOOKUP($E13,坦克个性化设定!$B$51:$T$81,MATCH(G$3,坦克个性化设定!$B$51:$T$51,0),FALSE)</f>
        <v>9.7999999999999989</v>
      </c>
      <c r="I13" s="2" t="s">
        <v>622</v>
      </c>
      <c r="J13" s="21" t="s">
        <v>175</v>
      </c>
      <c r="K13" s="2">
        <f>ROUND(VLOOKUP(I13,坦克个性化设定!$G$84:$T$114,MATCH(K$3,坦克个性化设定!$G$84:$T$84,0),FALSE)*VLOOKUP(J13,$B$3:$C$6,2,FALSE),1)</f>
        <v>37.700000000000003</v>
      </c>
      <c r="L13" s="2">
        <f>K13/坦克个性化设定!$M$4*坦克个性化设定!$M$5</f>
        <v>9.4249999999999972</v>
      </c>
      <c r="M13" s="2">
        <f>ROUND(VLOOKUP(I13,坦克个性化设定!$G$84:$T$114,MATCH(M$3,坦克个性化设定!$G$84:$T$84,0),FALSE)*VLOOKUP(J13,$B$3:$C$6,2,FALSE),1)</f>
        <v>56.3</v>
      </c>
      <c r="N13" s="2">
        <f>M13/坦克个性化设定!$M$4*坦克个性化设定!$M$5</f>
        <v>14.074999999999994</v>
      </c>
      <c r="O13" s="2">
        <f>ROUND(VLOOKUP(I13,坦克个性化设定!$G$84:$T$114,MATCH(O$3,坦克个性化设定!$G$84:$T$84,0),FALSE)*VLOOKUP(J13,$B$3:$C$6,2,FALSE),1)</f>
        <v>9.5</v>
      </c>
      <c r="P13" s="2">
        <f t="shared" si="7"/>
        <v>0</v>
      </c>
      <c r="R13" s="2" t="str">
        <f t="shared" si="8"/>
        <v>59式</v>
      </c>
      <c r="S13" s="2">
        <f>VLOOKUP($R13,坦克个性化设定!$B$51:$T$81,MATCH(S$3,坦克个性化设定!$B$51:$T$51,0),FALSE)</f>
        <v>14</v>
      </c>
      <c r="T13" s="2">
        <f>VLOOKUP($R13,坦克个性化设定!$B$51:$T$81,MATCH(T$3,坦克个性化设定!$B$51:$T$51,0),FALSE)</f>
        <v>0</v>
      </c>
      <c r="U13" s="2">
        <f>VLOOKUP($R13,坦克个性化设定!$B$51:$T$81,MATCH(U$3,坦克个性化设定!$B$51:$T$51,0),FALSE)</f>
        <v>9.7999999999999989</v>
      </c>
      <c r="V13" s="2">
        <f>VLOOKUP($R13,坦克个性化设定!$B$51:$T$81,MATCH(V$3,坦克个性化设定!$B$51:$T$51,0),FALSE)</f>
        <v>0.8</v>
      </c>
      <c r="W13" s="2">
        <f>VLOOKUP($R13,坦克个性化设定!$B$51:$T$81,MATCH(W$3,坦克个性化设定!$B$51:$T$51,0),FALSE)</f>
        <v>0.56999999999999995</v>
      </c>
      <c r="X13" s="2">
        <f>VLOOKUP($R13,坦克个性化设定!$B$51:$T$81,MATCH(X$3,坦克个性化设定!$B$51:$T$51,0),FALSE)</f>
        <v>1.2</v>
      </c>
      <c r="Y13" s="34">
        <f>VLOOKUP($R13,坦克个性化设定!$B$51:$T$81,MATCH(Y$3,坦克个性化设定!$B$51:$T$51,0),FALSE)</f>
        <v>48.376237623762378</v>
      </c>
      <c r="AA13" s="2" t="str">
        <f t="shared" si="0"/>
        <v>59式</v>
      </c>
      <c r="AB13" s="2">
        <f t="shared" si="1"/>
        <v>14</v>
      </c>
      <c r="AC13" s="2">
        <f t="shared" si="2"/>
        <v>0.8</v>
      </c>
      <c r="AD13" s="2">
        <f t="shared" si="3"/>
        <v>0.56999999999999995</v>
      </c>
      <c r="AE13" s="2">
        <f t="shared" si="4"/>
        <v>1.2</v>
      </c>
      <c r="AF13" s="34">
        <f t="shared" si="9"/>
        <v>1.44</v>
      </c>
      <c r="AG13" s="34">
        <f t="shared" si="10"/>
        <v>0.39583333333333331</v>
      </c>
      <c r="AH13" s="41">
        <v>1.2</v>
      </c>
      <c r="AI13" s="34">
        <f t="shared" si="11"/>
        <v>7.9166666666666663E-2</v>
      </c>
      <c r="AJ13" s="2">
        <f>IF(VLOOKUP(AA13,坦克个性化设定!$B$51:$T$81,9,FALSE)=0,VLOOKUP(AA13,坦克个性化设定!$B$51:$T$81,10,FALSE),VLOOKUP(AA13,坦克个性化设定!$B$51:$T$81,9,FALSE))</f>
        <v>9.7999999999999989</v>
      </c>
      <c r="AK13" s="2" t="str">
        <f>IF(LEN(VLOOKUP(AA13,坦克个性化设定!$B$18:$F$48,5,FALSE))=5,"单发",RIGHT(VLOOKUP(AA13,坦克个性化设定!$B$18:$F$48,5,FALSE),2))</f>
        <v>弹夹</v>
      </c>
      <c r="AL13" s="34">
        <f t="shared" si="5"/>
        <v>55.63267326732673</v>
      </c>
      <c r="AM13" s="34">
        <f t="shared" si="12"/>
        <v>0.8</v>
      </c>
      <c r="AN13" s="34">
        <f t="shared" si="13"/>
        <v>6.2792075911436687</v>
      </c>
      <c r="AO13" s="34">
        <f t="shared" si="6"/>
        <v>0.35926453151595211</v>
      </c>
      <c r="AP13" s="34">
        <f t="shared" si="14"/>
        <v>3.5207924088563303</v>
      </c>
    </row>
    <row r="14" spans="2:42" x14ac:dyDescent="0.3">
      <c r="E14" s="2" t="s">
        <v>512</v>
      </c>
      <c r="F14" s="2">
        <f>VLOOKUP($E14,坦克个性化设定!$B$51:$T$81,MATCH(F$3,坦克个性化设定!$B$51:$T$51,0),FALSE)</f>
        <v>3.2</v>
      </c>
      <c r="G14" s="2">
        <f>VLOOKUP($E14,坦克个性化设定!$B$51:$T$81,MATCH(G$3,坦克个性化设定!$B$51:$T$51,0),FALSE)</f>
        <v>0</v>
      </c>
      <c r="I14" s="2" t="s">
        <v>512</v>
      </c>
      <c r="J14" s="21" t="s">
        <v>175</v>
      </c>
      <c r="K14" s="2">
        <f>ROUND(VLOOKUP(I14,坦克个性化设定!$G$84:$T$114,MATCH(K$3,坦克个性化设定!$G$84:$T$84,0),FALSE)*VLOOKUP(J14,$B$3:$C$6,2,FALSE),1)</f>
        <v>44.5</v>
      </c>
      <c r="L14" s="2">
        <f>K14/坦克个性化设定!$M$4*坦克个性化设定!$M$5</f>
        <v>11.124999999999998</v>
      </c>
      <c r="M14" s="2">
        <f>ROUND(VLOOKUP(I14,坦克个性化设定!$G$84:$T$114,MATCH(M$3,坦克个性化设定!$G$84:$T$84,0),FALSE)*VLOOKUP(J14,$B$3:$C$6,2,FALSE),1)</f>
        <v>40</v>
      </c>
      <c r="N14" s="2">
        <f>M14/坦克个性化设定!$M$4*坦克个性化设定!$M$5</f>
        <v>9.9999999999999982</v>
      </c>
      <c r="O14" s="2">
        <f>ROUND(VLOOKUP(I14,坦克个性化设定!$G$84:$T$114,MATCH(O$3,坦克个性化设定!$G$84:$T$84,0),FALSE)*VLOOKUP(J14,$B$3:$C$6,2,FALSE),1)</f>
        <v>8</v>
      </c>
      <c r="P14" s="2">
        <f t="shared" si="7"/>
        <v>0</v>
      </c>
      <c r="R14" s="2" t="str">
        <f t="shared" si="8"/>
        <v>Stuart</v>
      </c>
      <c r="S14" s="2">
        <f>VLOOKUP($R14,坦克个性化设定!$B$51:$T$81,MATCH(S$3,坦克个性化设定!$B$51:$T$51,0),FALSE)</f>
        <v>9</v>
      </c>
      <c r="T14" s="2">
        <f>VLOOKUP($R14,坦克个性化设定!$B$51:$T$81,MATCH(T$3,坦克个性化设定!$B$51:$T$51,0),FALSE)</f>
        <v>3.2</v>
      </c>
      <c r="U14" s="2">
        <f>VLOOKUP($R14,坦克个性化设定!$B$51:$T$81,MATCH(U$3,坦克个性化设定!$B$51:$T$51,0),FALSE)</f>
        <v>0</v>
      </c>
      <c r="V14" s="2">
        <f>VLOOKUP($R14,坦克个性化设定!$B$51:$T$81,MATCH(V$3,坦克个性化设定!$B$51:$T$51,0),FALSE)</f>
        <v>0.30000000000000004</v>
      </c>
      <c r="W14" s="2">
        <f>VLOOKUP($R14,坦克个性化设定!$B$51:$T$81,MATCH(W$3,坦克个性化设定!$B$51:$T$51,0),FALSE)</f>
        <v>1</v>
      </c>
      <c r="X14" s="2">
        <f>VLOOKUP($R14,坦克个性化设定!$B$51:$T$81,MATCH(X$3,坦克个性化设定!$B$51:$T$51,0),FALSE)</f>
        <v>1</v>
      </c>
      <c r="Y14" s="34">
        <f>VLOOKUP($R14,坦克个性化设定!$B$51:$T$81,MATCH(Y$3,坦克个性化设定!$B$51:$T$51,0),FALSE)</f>
        <v>27.75</v>
      </c>
      <c r="AA14" s="2" t="str">
        <f t="shared" si="0"/>
        <v>Stuart</v>
      </c>
      <c r="AB14" s="2">
        <f t="shared" si="1"/>
        <v>9</v>
      </c>
      <c r="AC14" s="2">
        <f t="shared" si="2"/>
        <v>0.30000000000000004</v>
      </c>
      <c r="AD14" s="2">
        <f t="shared" si="3"/>
        <v>1</v>
      </c>
      <c r="AE14" s="2">
        <f t="shared" si="4"/>
        <v>1</v>
      </c>
      <c r="AF14" s="34">
        <f t="shared" si="9"/>
        <v>1.2</v>
      </c>
      <c r="AG14" s="34">
        <f t="shared" si="10"/>
        <v>0.83333333333333337</v>
      </c>
      <c r="AH14" s="41">
        <v>1.2</v>
      </c>
      <c r="AI14" s="34">
        <f t="shared" si="11"/>
        <v>0.16666666666666663</v>
      </c>
      <c r="AJ14" s="2">
        <f>IF(VLOOKUP(AA14,坦克个性化设定!$B$51:$T$81,9,FALSE)=0,VLOOKUP(AA14,坦克个性化设定!$B$51:$T$81,10,FALSE),VLOOKUP(AA14,坦克个性化设定!$B$51:$T$81,9,FALSE))</f>
        <v>3.2</v>
      </c>
      <c r="AK14" s="2" t="str">
        <f>IF(LEN(VLOOKUP(AA14,坦克个性化设定!$B$18:$F$48,5,FALSE))=5,"单发",RIGHT(VLOOKUP(AA14,坦克个性化设定!$B$18:$F$48,5,FALSE),2))</f>
        <v>自动</v>
      </c>
      <c r="AL14" s="34">
        <f t="shared" si="5"/>
        <v>31.912499999999998</v>
      </c>
      <c r="AM14" s="34">
        <f t="shared" si="12"/>
        <v>0.30000000000000004</v>
      </c>
      <c r="AN14" s="34">
        <f t="shared" si="13"/>
        <v>2.6186579378068742</v>
      </c>
      <c r="AO14" s="34">
        <f t="shared" si="6"/>
        <v>0.18166939443535188</v>
      </c>
      <c r="AP14" s="34">
        <f t="shared" si="14"/>
        <v>0.58134206219312601</v>
      </c>
    </row>
    <row r="15" spans="2:42" x14ac:dyDescent="0.3">
      <c r="E15" s="2" t="s">
        <v>518</v>
      </c>
      <c r="F15" s="2">
        <f>VLOOKUP($E15,坦克个性化设定!$B$51:$T$81,MATCH(F$3,坦克个性化设定!$B$51:$T$51,0),FALSE)</f>
        <v>3.2</v>
      </c>
      <c r="G15" s="2">
        <f>VLOOKUP($E15,坦克个性化设定!$B$51:$T$81,MATCH(G$3,坦克个性化设定!$B$51:$T$51,0),FALSE)</f>
        <v>0</v>
      </c>
      <c r="I15" s="2" t="s">
        <v>518</v>
      </c>
      <c r="J15" s="21" t="s">
        <v>175</v>
      </c>
      <c r="K15" s="2">
        <f>ROUND(VLOOKUP(I15,坦克个性化设定!$G$84:$T$114,MATCH(K$3,坦克个性化设定!$G$84:$T$84,0),FALSE)*VLOOKUP(J15,$B$3:$C$6,2,FALSE),1)</f>
        <v>44.5</v>
      </c>
      <c r="L15" s="2">
        <f>K15/坦克个性化设定!$M$4*坦克个性化设定!$M$5</f>
        <v>11.124999999999998</v>
      </c>
      <c r="M15" s="2">
        <f>ROUND(VLOOKUP(I15,坦克个性化设定!$G$84:$T$114,MATCH(M$3,坦克个性化设定!$G$84:$T$84,0),FALSE)*VLOOKUP(J15,$B$3:$C$6,2,FALSE),1)</f>
        <v>40</v>
      </c>
      <c r="N15" s="2">
        <f>M15/坦克个性化设定!$M$4*坦克个性化设定!$M$5</f>
        <v>9.9999999999999982</v>
      </c>
      <c r="O15" s="2">
        <f>ROUND(VLOOKUP(I15,坦克个性化设定!$G$84:$T$114,MATCH(O$3,坦克个性化设定!$G$84:$T$84,0),FALSE)*VLOOKUP(J15,$B$3:$C$6,2,FALSE),1)</f>
        <v>8</v>
      </c>
      <c r="P15" s="2">
        <f t="shared" si="7"/>
        <v>0</v>
      </c>
      <c r="R15" s="2" t="str">
        <f t="shared" si="8"/>
        <v>T-34</v>
      </c>
      <c r="S15" s="2">
        <f>VLOOKUP($R15,坦克个性化设定!$B$51:$T$81,MATCH(S$3,坦克个性化设定!$B$51:$T$51,0),FALSE)</f>
        <v>9</v>
      </c>
      <c r="T15" s="2">
        <f>VLOOKUP($R15,坦克个性化设定!$B$51:$T$81,MATCH(T$3,坦克个性化设定!$B$51:$T$51,0),FALSE)</f>
        <v>3.2</v>
      </c>
      <c r="U15" s="2">
        <f>VLOOKUP($R15,坦克个性化设定!$B$51:$T$81,MATCH(U$3,坦克个性化设定!$B$51:$T$51,0),FALSE)</f>
        <v>0</v>
      </c>
      <c r="V15" s="2">
        <f>VLOOKUP($R15,坦克个性化设定!$B$51:$T$81,MATCH(V$3,坦克个性化设定!$B$51:$T$51,0),FALSE)</f>
        <v>0.32</v>
      </c>
      <c r="W15" s="2">
        <f>VLOOKUP($R15,坦克个性化设定!$B$51:$T$81,MATCH(W$3,坦克个性化设定!$B$51:$T$51,0),FALSE)</f>
        <v>1.01</v>
      </c>
      <c r="X15" s="2">
        <f>VLOOKUP($R15,坦克个性化设定!$B$51:$T$81,MATCH(X$3,坦克个性化设定!$B$51:$T$51,0),FALSE)</f>
        <v>1</v>
      </c>
      <c r="Y15" s="34">
        <f>VLOOKUP($R15,坦克个性化设定!$B$51:$T$81,MATCH(Y$3,坦克个性化设定!$B$51:$T$51,0),FALSE)</f>
        <v>27.75</v>
      </c>
      <c r="AA15" s="2" t="str">
        <f t="shared" si="0"/>
        <v>T-34</v>
      </c>
      <c r="AB15" s="2">
        <f t="shared" si="1"/>
        <v>9</v>
      </c>
      <c r="AC15" s="2">
        <f t="shared" si="2"/>
        <v>0.32</v>
      </c>
      <c r="AD15" s="2">
        <f t="shared" si="3"/>
        <v>1.01</v>
      </c>
      <c r="AE15" s="2">
        <f t="shared" si="4"/>
        <v>1</v>
      </c>
      <c r="AF15" s="34">
        <f t="shared" si="9"/>
        <v>1.2</v>
      </c>
      <c r="AG15" s="34">
        <f t="shared" si="10"/>
        <v>0.84166666666666667</v>
      </c>
      <c r="AH15" s="41">
        <v>1.2</v>
      </c>
      <c r="AI15" s="34">
        <f t="shared" si="11"/>
        <v>0.16833333333333333</v>
      </c>
      <c r="AJ15" s="2">
        <f>IF(VLOOKUP(AA15,坦克个性化设定!$B$51:$T$81,9,FALSE)=0,VLOOKUP(AA15,坦克个性化设定!$B$51:$T$81,10,FALSE),VLOOKUP(AA15,坦克个性化设定!$B$51:$T$81,9,FALSE))</f>
        <v>3.2</v>
      </c>
      <c r="AK15" s="2" t="str">
        <f>IF(LEN(VLOOKUP(AA15,坦克个性化设定!$B$18:$F$48,5,FALSE))=5,"单发",RIGHT(VLOOKUP(AA15,坦克个性化设定!$B$18:$F$48,5,FALSE),2))</f>
        <v>自动</v>
      </c>
      <c r="AL15" s="34">
        <f t="shared" si="5"/>
        <v>31.912499999999998</v>
      </c>
      <c r="AM15" s="148">
        <v>1</v>
      </c>
      <c r="AN15" s="34">
        <f t="shared" si="13"/>
        <v>2.6186579378068742</v>
      </c>
      <c r="AO15" s="34">
        <f t="shared" si="6"/>
        <v>0.18166939443535188</v>
      </c>
      <c r="AP15" s="34">
        <f t="shared" si="14"/>
        <v>0.58134206219312601</v>
      </c>
    </row>
    <row r="16" spans="2:42" x14ac:dyDescent="0.3">
      <c r="E16" s="2" t="s">
        <v>627</v>
      </c>
      <c r="F16" s="2">
        <f>VLOOKUP($E16,坦克个性化设定!$B$51:$T$81,MATCH(F$3,坦克个性化设定!$B$51:$T$51,0),FALSE)</f>
        <v>2.4</v>
      </c>
      <c r="G16" s="2">
        <f>VLOOKUP($E16,坦克个性化设定!$B$51:$T$81,MATCH(G$3,坦克个性化设定!$B$51:$T$51,0),FALSE)</f>
        <v>0</v>
      </c>
      <c r="I16" s="2" t="s">
        <v>627</v>
      </c>
      <c r="J16" s="21" t="s">
        <v>177</v>
      </c>
      <c r="K16" s="2">
        <f>ROUND(VLOOKUP(I16,坦克个性化设定!$G$84:$T$114,MATCH(K$3,坦克个性化设定!$G$84:$T$84,0),FALSE)*VLOOKUP(J16,$B$3:$C$6,2,FALSE),1)</f>
        <v>36.299999999999997</v>
      </c>
      <c r="L16" s="2">
        <f>K16/坦克个性化设定!$M$4*坦克个性化设定!$M$5</f>
        <v>9.0749999999999957</v>
      </c>
      <c r="M16" s="2">
        <f>ROUND(VLOOKUP(I16,坦克个性化设定!$G$84:$T$114,MATCH(M$3,坦克个性化设定!$G$84:$T$84,0),FALSE)*VLOOKUP(J16,$B$3:$C$6,2,FALSE),1)</f>
        <v>51</v>
      </c>
      <c r="N16" s="2">
        <f>M16/坦克个性化设定!$M$4*坦克个性化设定!$M$5</f>
        <v>12.749999999999996</v>
      </c>
      <c r="O16" s="2">
        <f>ROUND(VLOOKUP(I16,坦克个性化设定!$G$84:$T$114,MATCH(O$3,坦克个性化设定!$G$84:$T$84,0),FALSE)*VLOOKUP(J16,$B$3:$C$6,2,FALSE),1)</f>
        <v>7.3</v>
      </c>
      <c r="P16" s="2">
        <f t="shared" si="7"/>
        <v>0</v>
      </c>
      <c r="R16" s="2" t="str">
        <f t="shared" si="8"/>
        <v>四号</v>
      </c>
      <c r="S16" s="2">
        <f>VLOOKUP($R16,坦克个性化设定!$B$51:$T$81,MATCH(S$3,坦克个性化设定!$B$51:$T$51,0),FALSE)</f>
        <v>6</v>
      </c>
      <c r="T16" s="2">
        <f>VLOOKUP($R16,坦克个性化设定!$B$51:$T$81,MATCH(T$3,坦克个性化设定!$B$51:$T$51,0),FALSE)</f>
        <v>2.4</v>
      </c>
      <c r="U16" s="2">
        <f>VLOOKUP($R16,坦克个性化设定!$B$51:$T$81,MATCH(U$3,坦克个性化设定!$B$51:$T$51,0),FALSE)</f>
        <v>0</v>
      </c>
      <c r="V16" s="2">
        <f>VLOOKUP($R16,坦克个性化设定!$B$51:$T$81,MATCH(V$3,坦克个性化设定!$B$51:$T$51,0),FALSE)</f>
        <v>0.4</v>
      </c>
      <c r="W16" s="2">
        <f>VLOOKUP($R16,坦克个性化设定!$B$51:$T$81,MATCH(W$3,坦克个性化设定!$B$51:$T$51,0),FALSE)</f>
        <v>1.4</v>
      </c>
      <c r="X16" s="2">
        <f>VLOOKUP($R16,坦克个性化设定!$B$51:$T$81,MATCH(X$3,坦克个性化设定!$B$51:$T$51,0),FALSE)</f>
        <v>1</v>
      </c>
      <c r="Y16" s="34">
        <f>VLOOKUP($R16,坦克个性化设定!$B$51:$T$81,MATCH(Y$3,坦克个性化设定!$B$51:$T$51,0),FALSE)</f>
        <v>31</v>
      </c>
      <c r="AA16" s="2" t="str">
        <f t="shared" si="0"/>
        <v>四号</v>
      </c>
      <c r="AB16" s="2">
        <f t="shared" si="1"/>
        <v>6</v>
      </c>
      <c r="AC16" s="2">
        <f t="shared" si="2"/>
        <v>0.4</v>
      </c>
      <c r="AD16" s="2">
        <f t="shared" si="3"/>
        <v>1.4</v>
      </c>
      <c r="AE16" s="2">
        <f t="shared" si="4"/>
        <v>1</v>
      </c>
      <c r="AF16" s="34">
        <f t="shared" si="9"/>
        <v>1.2</v>
      </c>
      <c r="AG16" s="34">
        <f t="shared" si="10"/>
        <v>1.1666666666666667</v>
      </c>
      <c r="AH16" s="41">
        <v>1.2</v>
      </c>
      <c r="AI16" s="34">
        <f t="shared" si="11"/>
        <v>0.23333333333333317</v>
      </c>
      <c r="AJ16" s="2">
        <f>IF(VLOOKUP(AA16,坦克个性化设定!$B$51:$T$81,9,FALSE)=0,VLOOKUP(AA16,坦克个性化设定!$B$51:$T$81,10,FALSE),VLOOKUP(AA16,坦克个性化设定!$B$51:$T$81,9,FALSE))</f>
        <v>2.4</v>
      </c>
      <c r="AK16" s="2" t="str">
        <f>IF(LEN(VLOOKUP(AA16,坦克个性化设定!$B$18:$F$48,5,FALSE))=5,"单发",RIGHT(VLOOKUP(AA16,坦克个性化设定!$B$18:$F$48,5,FALSE),2))</f>
        <v>自动</v>
      </c>
      <c r="AL16" s="34">
        <f t="shared" si="5"/>
        <v>35.65</v>
      </c>
      <c r="AM16" s="34">
        <f t="shared" si="12"/>
        <v>0.4</v>
      </c>
      <c r="AN16" s="34">
        <f t="shared" si="13"/>
        <v>2.0236087689713322</v>
      </c>
      <c r="AO16" s="34">
        <f t="shared" si="6"/>
        <v>0.15682967959527822</v>
      </c>
      <c r="AP16" s="34">
        <f t="shared" si="14"/>
        <v>0.37639123102866767</v>
      </c>
    </row>
    <row r="17" spans="5:42" x14ac:dyDescent="0.3">
      <c r="E17" s="2" t="s">
        <v>526</v>
      </c>
      <c r="F17" s="2">
        <f>VLOOKUP($E17,坦克个性化设定!$B$51:$T$81,MATCH(F$3,坦克个性化设定!$B$51:$T$51,0),FALSE)</f>
        <v>3.2</v>
      </c>
      <c r="G17" s="2">
        <f>VLOOKUP($E17,坦克个性化设定!$B$51:$T$81,MATCH(G$3,坦克个性化设定!$B$51:$T$51,0),FALSE)</f>
        <v>0</v>
      </c>
      <c r="I17" s="2" t="s">
        <v>526</v>
      </c>
      <c r="J17" s="21" t="s">
        <v>175</v>
      </c>
      <c r="K17" s="2">
        <f>ROUND(VLOOKUP(I17,坦克个性化设定!$G$84:$T$114,MATCH(K$3,坦克个性化设定!$G$84:$T$84,0),FALSE)*VLOOKUP(J17,$B$3:$C$6,2,FALSE),1)</f>
        <v>44.5</v>
      </c>
      <c r="L17" s="2">
        <f>K17/坦克个性化设定!$M$4*坦克个性化设定!$M$5</f>
        <v>11.124999999999998</v>
      </c>
      <c r="M17" s="2">
        <f>ROUND(VLOOKUP(I17,坦克个性化设定!$G$84:$T$114,MATCH(M$3,坦克个性化设定!$G$84:$T$84,0),FALSE)*VLOOKUP(J17,$B$3:$C$6,2,FALSE),1)</f>
        <v>40</v>
      </c>
      <c r="N17" s="2">
        <f>M17/坦克个性化设定!$M$4*坦克个性化设定!$M$5</f>
        <v>9.9999999999999982</v>
      </c>
      <c r="O17" s="2">
        <f>ROUND(VLOOKUP(I17,坦克个性化设定!$G$84:$T$114,MATCH(O$3,坦克个性化设定!$G$84:$T$84,0),FALSE)*VLOOKUP(J17,$B$3:$C$6,2,FALSE),1)</f>
        <v>8</v>
      </c>
      <c r="P17" s="2">
        <f t="shared" si="7"/>
        <v>0</v>
      </c>
      <c r="R17" s="2" t="str">
        <f t="shared" si="8"/>
        <v>玛蒂尔达</v>
      </c>
      <c r="S17" s="2">
        <f>VLOOKUP($R17,坦克个性化设定!$B$51:$T$81,MATCH(S$3,坦克个性化设定!$B$51:$T$51,0),FALSE)</f>
        <v>9</v>
      </c>
      <c r="T17" s="2">
        <f>VLOOKUP($R17,坦克个性化设定!$B$51:$T$81,MATCH(T$3,坦克个性化设定!$B$51:$T$51,0),FALSE)</f>
        <v>3.2</v>
      </c>
      <c r="U17" s="2">
        <f>VLOOKUP($R17,坦克个性化设定!$B$51:$T$81,MATCH(U$3,坦克个性化设定!$B$51:$T$51,0),FALSE)</f>
        <v>0</v>
      </c>
      <c r="V17" s="2">
        <f>VLOOKUP($R17,坦克个性化设定!$B$51:$T$81,MATCH(V$3,坦克个性化设定!$B$51:$T$51,0),FALSE)</f>
        <v>0.28000000000000003</v>
      </c>
      <c r="W17" s="2">
        <f>VLOOKUP($R17,坦克个性化设定!$B$51:$T$81,MATCH(W$3,坦克个性化设定!$B$51:$T$51,0),FALSE)</f>
        <v>0.99</v>
      </c>
      <c r="X17" s="2">
        <f>VLOOKUP($R17,坦克个性化设定!$B$51:$T$81,MATCH(X$3,坦克个性化设定!$B$51:$T$51,0),FALSE)</f>
        <v>1</v>
      </c>
      <c r="Y17" s="34">
        <f>VLOOKUP($R17,坦克个性化设定!$B$51:$T$81,MATCH(Y$3,坦克个性化设定!$B$51:$T$51,0),FALSE)</f>
        <v>27.75</v>
      </c>
      <c r="AA17" s="2" t="str">
        <f t="shared" si="0"/>
        <v>玛蒂尔达</v>
      </c>
      <c r="AB17" s="2">
        <f t="shared" si="1"/>
        <v>9</v>
      </c>
      <c r="AC17" s="2">
        <f t="shared" si="2"/>
        <v>0.28000000000000003</v>
      </c>
      <c r="AD17" s="2">
        <f t="shared" si="3"/>
        <v>0.99</v>
      </c>
      <c r="AE17" s="2">
        <f t="shared" si="4"/>
        <v>1</v>
      </c>
      <c r="AF17" s="34">
        <f t="shared" si="9"/>
        <v>1.2</v>
      </c>
      <c r="AG17" s="34">
        <f t="shared" si="10"/>
        <v>0.82500000000000007</v>
      </c>
      <c r="AH17" s="41">
        <v>1.2</v>
      </c>
      <c r="AI17" s="34">
        <f t="shared" si="11"/>
        <v>0.16499999999999992</v>
      </c>
      <c r="AJ17" s="2">
        <f>IF(VLOOKUP(AA17,坦克个性化设定!$B$51:$T$81,9,FALSE)=0,VLOOKUP(AA17,坦克个性化设定!$B$51:$T$81,10,FALSE),VLOOKUP(AA17,坦克个性化设定!$B$51:$T$81,9,FALSE))</f>
        <v>3.2</v>
      </c>
      <c r="AK17" s="2" t="str">
        <f>IF(LEN(VLOOKUP(AA17,坦克个性化设定!$B$18:$F$48,5,FALSE))=5,"单发",RIGHT(VLOOKUP(AA17,坦克个性化设定!$B$18:$F$48,5,FALSE),2))</f>
        <v>自动</v>
      </c>
      <c r="AL17" s="34">
        <f t="shared" si="5"/>
        <v>31.912499999999998</v>
      </c>
      <c r="AM17" s="148">
        <v>0.6</v>
      </c>
      <c r="AN17" s="34">
        <f t="shared" si="13"/>
        <v>2.6186579378068742</v>
      </c>
      <c r="AO17" s="34">
        <f t="shared" si="6"/>
        <v>0.18166939443535188</v>
      </c>
      <c r="AP17" s="34">
        <f t="shared" si="14"/>
        <v>0.58134206219312601</v>
      </c>
    </row>
    <row r="18" spans="5:42" x14ac:dyDescent="0.3">
      <c r="E18" s="2" t="s">
        <v>630</v>
      </c>
      <c r="F18" s="2">
        <f>VLOOKUP($E18,坦克个性化设定!$B$51:$T$81,MATCH(F$3,坦克个性化设定!$B$51:$T$51,0),FALSE)</f>
        <v>2.4</v>
      </c>
      <c r="G18" s="2">
        <f>VLOOKUP($E18,坦克个性化设定!$B$51:$T$81,MATCH(G$3,坦克个性化设定!$B$51:$T$51,0),FALSE)</f>
        <v>0</v>
      </c>
      <c r="I18" s="2" t="s">
        <v>630</v>
      </c>
      <c r="J18" s="21" t="s">
        <v>177</v>
      </c>
      <c r="K18" s="2">
        <f>ROUND(VLOOKUP(I18,坦克个性化设定!$G$84:$T$114,MATCH(K$3,坦克个性化设定!$G$84:$T$84,0),FALSE)*VLOOKUP(J18,$B$3:$C$6,2,FALSE),1)</f>
        <v>36.299999999999997</v>
      </c>
      <c r="L18" s="2">
        <f>K18/坦克个性化设定!$M$4*坦克个性化设定!$M$5</f>
        <v>9.0749999999999957</v>
      </c>
      <c r="M18" s="2">
        <f>ROUND(VLOOKUP(I18,坦克个性化设定!$G$84:$T$114,MATCH(M$3,坦克个性化设定!$G$84:$T$84,0),FALSE)*VLOOKUP(J18,$B$3:$C$6,2,FALSE),1)</f>
        <v>51</v>
      </c>
      <c r="N18" s="2">
        <f>M18/坦克个性化设定!$M$4*坦克个性化设定!$M$5</f>
        <v>12.749999999999996</v>
      </c>
      <c r="O18" s="2">
        <f>ROUND(VLOOKUP(I18,坦克个性化设定!$G$84:$T$114,MATCH(O$3,坦克个性化设定!$G$84:$T$84,0),FALSE)*VLOOKUP(J18,$B$3:$C$6,2,FALSE),1)</f>
        <v>7.3</v>
      </c>
      <c r="P18" s="2">
        <f t="shared" si="7"/>
        <v>0</v>
      </c>
      <c r="R18" s="2" t="str">
        <f t="shared" si="8"/>
        <v>谢尔曼</v>
      </c>
      <c r="S18" s="2">
        <f>VLOOKUP($R18,坦克个性化设定!$B$51:$T$81,MATCH(S$3,坦克个性化设定!$B$51:$T$51,0),FALSE)</f>
        <v>6</v>
      </c>
      <c r="T18" s="2">
        <f>VLOOKUP($R18,坦克个性化设定!$B$51:$T$81,MATCH(T$3,坦克个性化设定!$B$51:$T$51,0),FALSE)</f>
        <v>2.4</v>
      </c>
      <c r="U18" s="2">
        <f>VLOOKUP($R18,坦克个性化设定!$B$51:$T$81,MATCH(U$3,坦克个性化设定!$B$51:$T$51,0),FALSE)</f>
        <v>0</v>
      </c>
      <c r="V18" s="2">
        <f>VLOOKUP($R18,坦克个性化设定!$B$51:$T$81,MATCH(V$3,坦克个性化设定!$B$51:$T$51,0),FALSE)</f>
        <v>0.4</v>
      </c>
      <c r="W18" s="2">
        <f>VLOOKUP($R18,坦克个性化设定!$B$51:$T$81,MATCH(W$3,坦克个性化设定!$B$51:$T$51,0),FALSE)</f>
        <v>1.4</v>
      </c>
      <c r="X18" s="2">
        <f>VLOOKUP($R18,坦克个性化设定!$B$51:$T$81,MATCH(X$3,坦克个性化设定!$B$51:$T$51,0),FALSE)</f>
        <v>1</v>
      </c>
      <c r="Y18" s="34">
        <f>VLOOKUP($R18,坦克个性化设定!$B$51:$T$81,MATCH(Y$3,坦克个性化设定!$B$51:$T$51,0),FALSE)</f>
        <v>31</v>
      </c>
      <c r="AA18" s="2" t="str">
        <f t="shared" si="0"/>
        <v>谢尔曼</v>
      </c>
      <c r="AB18" s="2">
        <f t="shared" si="1"/>
        <v>6</v>
      </c>
      <c r="AC18" s="2">
        <f t="shared" si="2"/>
        <v>0.4</v>
      </c>
      <c r="AD18" s="2">
        <f t="shared" si="3"/>
        <v>1.4</v>
      </c>
      <c r="AE18" s="2">
        <f t="shared" si="4"/>
        <v>1</v>
      </c>
      <c r="AF18" s="34">
        <f t="shared" si="9"/>
        <v>1.2</v>
      </c>
      <c r="AG18" s="34">
        <f t="shared" si="10"/>
        <v>1.1666666666666667</v>
      </c>
      <c r="AH18" s="41">
        <v>1.2</v>
      </c>
      <c r="AI18" s="34">
        <f t="shared" si="11"/>
        <v>0.23333333333333317</v>
      </c>
      <c r="AJ18" s="2">
        <f>IF(VLOOKUP(AA18,坦克个性化设定!$B$51:$T$81,9,FALSE)=0,VLOOKUP(AA18,坦克个性化设定!$B$51:$T$81,10,FALSE),VLOOKUP(AA18,坦克个性化设定!$B$51:$T$81,9,FALSE))</f>
        <v>2.4</v>
      </c>
      <c r="AK18" s="2" t="str">
        <f>IF(LEN(VLOOKUP(AA18,坦克个性化设定!$B$18:$F$48,5,FALSE))=5,"单发",RIGHT(VLOOKUP(AA18,坦克个性化设定!$B$18:$F$48,5,FALSE),2))</f>
        <v>自动</v>
      </c>
      <c r="AL18" s="34">
        <f t="shared" si="5"/>
        <v>35.65</v>
      </c>
      <c r="AM18" s="34">
        <f t="shared" si="12"/>
        <v>0.4</v>
      </c>
      <c r="AN18" s="34">
        <f t="shared" si="13"/>
        <v>2.0236087689713322</v>
      </c>
      <c r="AO18" s="34">
        <f t="shared" si="6"/>
        <v>0.15682967959527822</v>
      </c>
      <c r="AP18" s="34">
        <f t="shared" si="14"/>
        <v>0.37639123102866767</v>
      </c>
    </row>
    <row r="19" spans="5:42" x14ac:dyDescent="0.3">
      <c r="E19" s="2" t="s">
        <v>632</v>
      </c>
      <c r="F19" s="2">
        <f>VLOOKUP($E19,坦克个性化设定!$B$51:$T$81,MATCH(F$3,坦克个性化设定!$B$51:$T$51,0),FALSE)</f>
        <v>3</v>
      </c>
      <c r="G19" s="2">
        <f>VLOOKUP($E19,坦克个性化设定!$B$51:$T$81,MATCH(G$3,坦克个性化设定!$B$51:$T$51,0),FALSE)</f>
        <v>0</v>
      </c>
      <c r="I19" s="2" t="s">
        <v>632</v>
      </c>
      <c r="J19" s="21" t="s">
        <v>176</v>
      </c>
      <c r="K19" s="2">
        <f>ROUND(VLOOKUP(I19,坦克个性化设定!$G$84:$T$114,MATCH(K$3,坦克个性化设定!$G$84:$T$84,0),FALSE)*VLOOKUP(J19,$B$3:$C$6,2,FALSE),1)</f>
        <v>37.4</v>
      </c>
      <c r="L19" s="2">
        <f>K19/坦克个性化设定!$M$4*坦克个性化设定!$M$5</f>
        <v>9.3499999999999961</v>
      </c>
      <c r="M19" s="2">
        <f>ROUND(VLOOKUP(I19,坦克个性化设定!$G$84:$T$114,MATCH(M$3,坦克个性化设定!$G$84:$T$84,0),FALSE)*VLOOKUP(J19,$B$3:$C$6,2,FALSE),1)</f>
        <v>52.5</v>
      </c>
      <c r="N19" s="2">
        <f>M19/坦克个性化设定!$M$4*坦克个性化设定!$M$5</f>
        <v>13.124999999999996</v>
      </c>
      <c r="O19" s="2">
        <f>ROUND(VLOOKUP(I19,坦克个性化设定!$G$84:$T$114,MATCH(O$3,坦克个性化设定!$G$84:$T$84,0),FALSE)*VLOOKUP(J19,$B$3:$C$6,2,FALSE),1)</f>
        <v>7.6</v>
      </c>
      <c r="P19" s="2">
        <f t="shared" si="7"/>
        <v>0</v>
      </c>
      <c r="R19" s="2" t="str">
        <f t="shared" si="8"/>
        <v>彗星</v>
      </c>
      <c r="S19" s="2">
        <f>VLOOKUP($R19,坦克个性化设定!$B$51:$T$81,MATCH(S$3,坦克个性化设定!$B$51:$T$51,0),FALSE)</f>
        <v>8</v>
      </c>
      <c r="T19" s="2">
        <f>VLOOKUP($R19,坦克个性化设定!$B$51:$T$81,MATCH(T$3,坦克个性化设定!$B$51:$T$51,0),FALSE)</f>
        <v>3</v>
      </c>
      <c r="U19" s="2">
        <f>VLOOKUP($R19,坦克个性化设定!$B$51:$T$81,MATCH(U$3,坦克个性化设定!$B$51:$T$51,0),FALSE)</f>
        <v>0</v>
      </c>
      <c r="V19" s="2">
        <f>VLOOKUP($R19,坦克个性化设定!$B$51:$T$81,MATCH(V$3,坦克个性化设定!$B$51:$T$51,0),FALSE)</f>
        <v>0.4</v>
      </c>
      <c r="W19" s="2">
        <f>VLOOKUP($R19,坦克个性化设定!$B$51:$T$81,MATCH(W$3,坦克个性化设定!$B$51:$T$51,0),FALSE)</f>
        <v>1.1499999999999999</v>
      </c>
      <c r="X19" s="2">
        <f>VLOOKUP($R19,坦克个性化设定!$B$51:$T$81,MATCH(X$3,坦克个性化设定!$B$51:$T$51,0),FALSE)</f>
        <v>1</v>
      </c>
      <c r="Y19" s="34">
        <f>VLOOKUP($R19,坦克个性化设定!$B$51:$T$81,MATCH(Y$3,坦克个性化设定!$B$51:$T$51,0),FALSE)</f>
        <v>28</v>
      </c>
      <c r="AA19" s="2" t="str">
        <f t="shared" si="0"/>
        <v>彗星</v>
      </c>
      <c r="AB19" s="2">
        <f t="shared" si="1"/>
        <v>8</v>
      </c>
      <c r="AC19" s="2">
        <f t="shared" si="2"/>
        <v>0.4</v>
      </c>
      <c r="AD19" s="2">
        <f t="shared" si="3"/>
        <v>1.1499999999999999</v>
      </c>
      <c r="AE19" s="2">
        <f t="shared" si="4"/>
        <v>1</v>
      </c>
      <c r="AF19" s="34">
        <f t="shared" si="9"/>
        <v>1.2</v>
      </c>
      <c r="AG19" s="34">
        <f t="shared" si="10"/>
        <v>0.95833333333333326</v>
      </c>
      <c r="AH19" s="41">
        <v>1.2</v>
      </c>
      <c r="AI19" s="34">
        <f t="shared" si="11"/>
        <v>0.19166666666666665</v>
      </c>
      <c r="AJ19" s="2">
        <f>IF(VLOOKUP(AA19,坦克个性化设定!$B$51:$T$81,9,FALSE)=0,VLOOKUP(AA19,坦克个性化设定!$B$51:$T$81,10,FALSE),VLOOKUP(AA19,坦克个性化设定!$B$51:$T$81,9,FALSE))</f>
        <v>3</v>
      </c>
      <c r="AK19" s="2" t="str">
        <f>IF(LEN(VLOOKUP(AA19,坦克个性化设定!$B$18:$F$48,5,FALSE))=5,"单发",RIGHT(VLOOKUP(AA19,坦克个性化设定!$B$18:$F$48,5,FALSE),2))</f>
        <v>自动</v>
      </c>
      <c r="AL19" s="34">
        <f t="shared" si="5"/>
        <v>32.199999999999996</v>
      </c>
      <c r="AM19" s="34">
        <f t="shared" si="12"/>
        <v>0.4</v>
      </c>
      <c r="AN19" s="34">
        <f t="shared" si="13"/>
        <v>2.4793388429752072</v>
      </c>
      <c r="AO19" s="34">
        <f t="shared" si="6"/>
        <v>0.17355371900826425</v>
      </c>
      <c r="AP19" s="34">
        <f t="shared" si="14"/>
        <v>0.52066115702479276</v>
      </c>
    </row>
    <row r="20" spans="5:42" x14ac:dyDescent="0.3">
      <c r="E20" s="2" t="s">
        <v>634</v>
      </c>
      <c r="F20" s="2">
        <f>VLOOKUP($E20,坦克个性化设定!$B$51:$T$81,MATCH(F$3,坦克个性化设定!$B$51:$T$51,0),FALSE)</f>
        <v>2.4</v>
      </c>
      <c r="G20" s="2">
        <f>VLOOKUP($E20,坦克个性化设定!$B$51:$T$81,MATCH(G$3,坦克个性化设定!$B$51:$T$51,0),FALSE)</f>
        <v>0</v>
      </c>
      <c r="I20" s="2" t="s">
        <v>634</v>
      </c>
      <c r="J20" s="21" t="s">
        <v>175</v>
      </c>
      <c r="K20" s="2">
        <f>ROUND(VLOOKUP(I20,坦克个性化设定!$G$84:$T$114,MATCH(K$3,坦克个性化设定!$G$84:$T$84,0),FALSE)*VLOOKUP(J20,$B$3:$C$6,2,FALSE),1)</f>
        <v>44.5</v>
      </c>
      <c r="L20" s="2">
        <f>K20/坦克个性化设定!$M$4*坦克个性化设定!$M$5</f>
        <v>11.124999999999998</v>
      </c>
      <c r="M20" s="2">
        <f>ROUND(VLOOKUP(I20,坦克个性化设定!$G$84:$T$114,MATCH(M$3,坦克个性化设定!$G$84:$T$84,0),FALSE)*VLOOKUP(J20,$B$3:$C$6,2,FALSE),1)</f>
        <v>40</v>
      </c>
      <c r="N20" s="2">
        <f>M20/坦克个性化设定!$M$4*坦克个性化设定!$M$5</f>
        <v>9.9999999999999982</v>
      </c>
      <c r="O20" s="2">
        <f>ROUND(VLOOKUP(I20,坦克个性化设定!$G$84:$T$114,MATCH(O$3,坦克个性化设定!$G$84:$T$84,0),FALSE)*VLOOKUP(J20,$B$3:$C$6,2,FALSE),1)</f>
        <v>8</v>
      </c>
      <c r="P20" s="2">
        <f t="shared" si="7"/>
        <v>0</v>
      </c>
      <c r="R20" s="2" t="str">
        <f t="shared" si="8"/>
        <v>M-48</v>
      </c>
      <c r="S20" s="2">
        <f>VLOOKUP($R20,坦克个性化设定!$B$51:$T$81,MATCH(S$3,坦克个性化设定!$B$51:$T$51,0),FALSE)</f>
        <v>6</v>
      </c>
      <c r="T20" s="2">
        <f>VLOOKUP($R20,坦克个性化设定!$B$51:$T$81,MATCH(T$3,坦克个性化设定!$B$51:$T$51,0),FALSE)</f>
        <v>2.4</v>
      </c>
      <c r="U20" s="2">
        <f>VLOOKUP($R20,坦克个性化设定!$B$51:$T$81,MATCH(U$3,坦克个性化设定!$B$51:$T$51,0),FALSE)</f>
        <v>0</v>
      </c>
      <c r="V20" s="2">
        <f>VLOOKUP($R20,坦克个性化设定!$B$51:$T$81,MATCH(V$3,坦克个性化设定!$B$51:$T$51,0),FALSE)</f>
        <v>0.32</v>
      </c>
      <c r="W20" s="2">
        <f>VLOOKUP($R20,坦克个性化设定!$B$51:$T$81,MATCH(W$3,坦克个性化设定!$B$51:$T$51,0),FALSE)</f>
        <v>1.36</v>
      </c>
      <c r="X20" s="2">
        <f>VLOOKUP($R20,坦克个性化设定!$B$51:$T$81,MATCH(X$3,坦克个性化设定!$B$51:$T$51,0),FALSE)</f>
        <v>1</v>
      </c>
      <c r="Y20" s="34">
        <f>VLOOKUP($R20,坦克个性化设定!$B$51:$T$81,MATCH(Y$3,坦克个性化设定!$B$51:$T$51,0),FALSE)</f>
        <v>31</v>
      </c>
      <c r="AA20" s="2" t="str">
        <f t="shared" si="0"/>
        <v>M-48</v>
      </c>
      <c r="AB20" s="2">
        <f t="shared" si="1"/>
        <v>6</v>
      </c>
      <c r="AC20" s="2">
        <f t="shared" si="2"/>
        <v>0.32</v>
      </c>
      <c r="AD20" s="2">
        <f t="shared" si="3"/>
        <v>1.36</v>
      </c>
      <c r="AE20" s="2">
        <f t="shared" si="4"/>
        <v>1</v>
      </c>
      <c r="AF20" s="34">
        <f t="shared" si="9"/>
        <v>1.2</v>
      </c>
      <c r="AG20" s="34">
        <f t="shared" si="10"/>
        <v>1.1333333333333335</v>
      </c>
      <c r="AH20" s="41">
        <v>1.2</v>
      </c>
      <c r="AI20" s="34">
        <f t="shared" si="11"/>
        <v>0.22666666666666657</v>
      </c>
      <c r="AJ20" s="2">
        <f>IF(VLOOKUP(AA20,坦克个性化设定!$B$51:$T$81,9,FALSE)=0,VLOOKUP(AA20,坦克个性化设定!$B$51:$T$81,10,FALSE),VLOOKUP(AA20,坦克个性化设定!$B$51:$T$81,9,FALSE))</f>
        <v>2.4</v>
      </c>
      <c r="AK20" s="2" t="str">
        <f>IF(LEN(VLOOKUP(AA20,坦克个性化设定!$B$18:$F$48,5,FALSE))=5,"单发",RIGHT(VLOOKUP(AA20,坦克个性化设定!$B$18:$F$48,5,FALSE),2))</f>
        <v>自动</v>
      </c>
      <c r="AL20" s="34">
        <f t="shared" si="5"/>
        <v>35.65</v>
      </c>
      <c r="AM20" s="148">
        <v>0.75</v>
      </c>
      <c r="AN20" s="34">
        <f t="shared" si="13"/>
        <v>2.0236087689713322</v>
      </c>
      <c r="AO20" s="34">
        <f t="shared" si="6"/>
        <v>0.15682967959527822</v>
      </c>
      <c r="AP20" s="34">
        <f t="shared" si="14"/>
        <v>0.37639123102866767</v>
      </c>
    </row>
    <row r="21" spans="5:42" x14ac:dyDescent="0.3">
      <c r="E21" s="2" t="s">
        <v>636</v>
      </c>
      <c r="F21" s="2">
        <f>VLOOKUP($E21,坦克个性化设定!$B$51:$T$81,MATCH(F$3,坦克个性化设定!$B$51:$T$51,0),FALSE)</f>
        <v>3.6</v>
      </c>
      <c r="G21" s="2">
        <f>VLOOKUP($E21,坦克个性化设定!$B$51:$T$81,MATCH(G$3,坦克个性化设定!$B$51:$T$51,0),FALSE)</f>
        <v>0</v>
      </c>
      <c r="I21" s="2" t="s">
        <v>636</v>
      </c>
      <c r="J21" s="21" t="s">
        <v>177</v>
      </c>
      <c r="K21" s="2">
        <f>ROUND(VLOOKUP(I21,坦克个性化设定!$G$84:$T$114,MATCH(K$3,坦克个性化设定!$G$84:$T$84,0),FALSE)*VLOOKUP(J21,$B$3:$C$6,2,FALSE),1)</f>
        <v>36.299999999999997</v>
      </c>
      <c r="L21" s="2">
        <f>K21/坦克个性化设定!$M$4*坦克个性化设定!$M$5</f>
        <v>9.0749999999999957</v>
      </c>
      <c r="M21" s="2">
        <f>ROUND(VLOOKUP(I21,坦克个性化设定!$G$84:$T$114,MATCH(M$3,坦克个性化设定!$G$84:$T$84,0),FALSE)*VLOOKUP(J21,$B$3:$C$6,2,FALSE),1)</f>
        <v>51</v>
      </c>
      <c r="N21" s="2">
        <f>M21/坦克个性化设定!$M$4*坦克个性化设定!$M$5</f>
        <v>12.749999999999996</v>
      </c>
      <c r="O21" s="2">
        <f>ROUND(VLOOKUP(I21,坦克个性化设定!$G$84:$T$114,MATCH(O$3,坦克个性化设定!$G$84:$T$84,0),FALSE)*VLOOKUP(J21,$B$3:$C$6,2,FALSE),1)</f>
        <v>7.3</v>
      </c>
      <c r="P21" s="2">
        <f t="shared" si="7"/>
        <v>0</v>
      </c>
      <c r="R21" s="2" t="str">
        <f t="shared" si="8"/>
        <v>潘兴</v>
      </c>
      <c r="S21" s="2">
        <f>VLOOKUP($R21,坦克个性化设定!$B$51:$T$81,MATCH(S$3,坦克个性化设定!$B$51:$T$51,0),FALSE)</f>
        <v>10</v>
      </c>
      <c r="T21" s="2">
        <f>VLOOKUP($R21,坦克个性化设定!$B$51:$T$81,MATCH(T$3,坦克个性化设定!$B$51:$T$51,0),FALSE)</f>
        <v>3.6</v>
      </c>
      <c r="U21" s="2">
        <f>VLOOKUP($R21,坦克个性化设定!$B$51:$T$81,MATCH(U$3,坦克个性化设定!$B$51:$T$51,0),FALSE)</f>
        <v>0</v>
      </c>
      <c r="V21" s="2">
        <f>VLOOKUP($R21,坦克个性化设定!$B$51:$T$81,MATCH(V$3,坦克个性化设定!$B$51:$T$51,0),FALSE)</f>
        <v>0.4</v>
      </c>
      <c r="W21" s="2">
        <f>VLOOKUP($R21,坦克个性化设定!$B$51:$T$81,MATCH(W$3,坦克个性化设定!$B$51:$T$51,0),FALSE)</f>
        <v>1</v>
      </c>
      <c r="X21" s="2">
        <f>VLOOKUP($R21,坦克个性化设定!$B$51:$T$81,MATCH(X$3,坦克个性化设定!$B$51:$T$51,0),FALSE)</f>
        <v>1</v>
      </c>
      <c r="Y21" s="34">
        <f>VLOOKUP($R21,坦克个性化设定!$B$51:$T$81,MATCH(Y$3,坦克个性化设定!$B$51:$T$51,0),FALSE)</f>
        <v>26.666666666666668</v>
      </c>
      <c r="AA21" s="2" t="str">
        <f t="shared" si="0"/>
        <v>潘兴</v>
      </c>
      <c r="AB21" s="2">
        <f t="shared" si="1"/>
        <v>10</v>
      </c>
      <c r="AC21" s="2">
        <f t="shared" si="2"/>
        <v>0.4</v>
      </c>
      <c r="AD21" s="2">
        <f t="shared" si="3"/>
        <v>1</v>
      </c>
      <c r="AE21" s="2">
        <f t="shared" si="4"/>
        <v>1</v>
      </c>
      <c r="AF21" s="34">
        <f t="shared" si="9"/>
        <v>1.2</v>
      </c>
      <c r="AG21" s="34">
        <f t="shared" si="10"/>
        <v>0.83333333333333337</v>
      </c>
      <c r="AH21" s="41">
        <v>1.2</v>
      </c>
      <c r="AI21" s="34">
        <f t="shared" si="11"/>
        <v>0.16666666666666663</v>
      </c>
      <c r="AJ21" s="2">
        <f>IF(VLOOKUP(AA21,坦克个性化设定!$B$51:$T$81,9,FALSE)=0,VLOOKUP(AA21,坦克个性化设定!$B$51:$T$81,10,FALSE),VLOOKUP(AA21,坦克个性化设定!$B$51:$T$81,9,FALSE))</f>
        <v>3.6</v>
      </c>
      <c r="AK21" s="2" t="str">
        <f>IF(LEN(VLOOKUP(AA21,坦克个性化设定!$B$18:$F$48,5,FALSE))=5,"单发",RIGHT(VLOOKUP(AA21,坦克个性化设定!$B$18:$F$48,5,FALSE),2))</f>
        <v>自动</v>
      </c>
      <c r="AL21" s="34">
        <f t="shared" si="5"/>
        <v>30.666666666666664</v>
      </c>
      <c r="AM21" s="34">
        <f t="shared" si="12"/>
        <v>0.4</v>
      </c>
      <c r="AN21" s="34">
        <f t="shared" si="13"/>
        <v>2.9032258064516134</v>
      </c>
      <c r="AO21" s="34">
        <f t="shared" si="6"/>
        <v>0.19354838709677408</v>
      </c>
      <c r="AP21" s="34">
        <f t="shared" si="14"/>
        <v>0.69677419354838666</v>
      </c>
    </row>
    <row r="22" spans="5:42" x14ac:dyDescent="0.3">
      <c r="E22" s="2" t="s">
        <v>638</v>
      </c>
      <c r="F22" s="2">
        <f>VLOOKUP($E22,坦克个性化设定!$B$51:$T$81,MATCH(F$3,坦克个性化设定!$B$51:$T$51,0),FALSE)</f>
        <v>2.4</v>
      </c>
      <c r="G22" s="2">
        <f>VLOOKUP($E22,坦克个性化设定!$B$51:$T$81,MATCH(G$3,坦克个性化设定!$B$51:$T$51,0),FALSE)</f>
        <v>0</v>
      </c>
      <c r="I22" s="2" t="s">
        <v>638</v>
      </c>
      <c r="J22" s="21" t="s">
        <v>176</v>
      </c>
      <c r="K22" s="2">
        <f>ROUND(VLOOKUP(I22,坦克个性化设定!$G$84:$T$114,MATCH(K$3,坦克个性化设定!$G$84:$T$84,0),FALSE)*VLOOKUP(J22,$B$3:$C$6,2,FALSE),1)</f>
        <v>46.7</v>
      </c>
      <c r="L22" s="2">
        <f>K22/坦克个性化设定!$M$4*坦克个性化设定!$M$5</f>
        <v>11.674999999999997</v>
      </c>
      <c r="M22" s="2">
        <f>ROUND(VLOOKUP(I22,坦克个性化设定!$G$84:$T$114,MATCH(M$3,坦克个性化设定!$G$84:$T$84,0),FALSE)*VLOOKUP(J22,$B$3:$C$6,2,FALSE),1)</f>
        <v>42</v>
      </c>
      <c r="N22" s="2">
        <f>M22/坦克个性化设定!$M$4*坦克个性化设定!$M$5</f>
        <v>10.499999999999998</v>
      </c>
      <c r="O22" s="2">
        <f>ROUND(VLOOKUP(I22,坦克个性化设定!$G$84:$T$114,MATCH(O$3,坦克个性化设定!$G$84:$T$84,0),FALSE)*VLOOKUP(J22,$B$3:$C$6,2,FALSE),1)</f>
        <v>8.4</v>
      </c>
      <c r="P22" s="2">
        <f t="shared" si="7"/>
        <v>0</v>
      </c>
      <c r="R22" s="2" t="str">
        <f t="shared" si="8"/>
        <v>百夫长</v>
      </c>
      <c r="S22" s="2">
        <f>VLOOKUP($R22,坦克个性化设定!$B$51:$T$81,MATCH(S$3,坦克个性化设定!$B$51:$T$51,0),FALSE)</f>
        <v>4</v>
      </c>
      <c r="T22" s="2">
        <f>VLOOKUP($R22,坦克个性化设定!$B$51:$T$81,MATCH(T$3,坦克个性化设定!$B$51:$T$51,0),FALSE)</f>
        <v>2.4</v>
      </c>
      <c r="U22" s="2">
        <f>VLOOKUP($R22,坦克个性化设定!$B$51:$T$81,MATCH(U$3,坦克个性化设定!$B$51:$T$51,0),FALSE)</f>
        <v>0</v>
      </c>
      <c r="V22" s="2">
        <f>VLOOKUP($R22,坦克个性化设定!$B$51:$T$81,MATCH(V$3,坦克个性化设定!$B$51:$T$51,0),FALSE)</f>
        <v>0.26</v>
      </c>
      <c r="W22" s="2">
        <f>VLOOKUP($R22,坦克个性化设定!$B$51:$T$81,MATCH(W$3,坦克个性化设定!$B$51:$T$51,0),FALSE)</f>
        <v>1.87</v>
      </c>
      <c r="X22" s="2">
        <f>VLOOKUP($R22,坦克个性化设定!$B$51:$T$81,MATCH(X$3,坦克个性化设定!$B$51:$T$51,0),FALSE)</f>
        <v>1</v>
      </c>
      <c r="Y22" s="34">
        <f>VLOOKUP($R22,坦克个性化设定!$B$51:$T$81,MATCH(Y$3,坦克个性化设定!$B$51:$T$51,0),FALSE)</f>
        <v>29</v>
      </c>
      <c r="AA22" s="2" t="str">
        <f t="shared" si="0"/>
        <v>百夫长</v>
      </c>
      <c r="AB22" s="2">
        <f t="shared" si="1"/>
        <v>4</v>
      </c>
      <c r="AC22" s="2">
        <f t="shared" si="2"/>
        <v>0.26</v>
      </c>
      <c r="AD22" s="2">
        <f t="shared" si="3"/>
        <v>1.87</v>
      </c>
      <c r="AE22" s="2">
        <f t="shared" si="4"/>
        <v>1</v>
      </c>
      <c r="AF22" s="34">
        <f t="shared" si="9"/>
        <v>1.2</v>
      </c>
      <c r="AG22" s="34">
        <f t="shared" si="10"/>
        <v>1.5583333333333336</v>
      </c>
      <c r="AH22" s="41">
        <v>1.2</v>
      </c>
      <c r="AI22" s="34">
        <f t="shared" si="11"/>
        <v>0.31166666666666654</v>
      </c>
      <c r="AJ22" s="2">
        <f>IF(VLOOKUP(AA22,坦克个性化设定!$B$51:$T$81,9,FALSE)=0,VLOOKUP(AA22,坦克个性化设定!$B$51:$T$81,10,FALSE),VLOOKUP(AA22,坦克个性化设定!$B$51:$T$81,9,FALSE))</f>
        <v>2.4</v>
      </c>
      <c r="AK22" s="2" t="str">
        <f>IF(LEN(VLOOKUP(AA22,坦克个性化设定!$B$18:$F$48,5,FALSE))=5,"单发",RIGHT(VLOOKUP(AA22,坦克个性化设定!$B$18:$F$48,5,FALSE),2))</f>
        <v>自动</v>
      </c>
      <c r="AL22" s="34">
        <f t="shared" si="5"/>
        <v>33.349999999999994</v>
      </c>
      <c r="AM22" s="34">
        <f t="shared" si="12"/>
        <v>0.26</v>
      </c>
      <c r="AN22" s="34">
        <f t="shared" si="13"/>
        <v>2.0442930153321979</v>
      </c>
      <c r="AO22" s="34">
        <f t="shared" si="6"/>
        <v>0.14821124361158419</v>
      </c>
      <c r="AP22" s="34">
        <f t="shared" si="14"/>
        <v>0.35570698466780204</v>
      </c>
    </row>
    <row r="23" spans="5:42" x14ac:dyDescent="0.3">
      <c r="E23" s="2" t="s">
        <v>640</v>
      </c>
      <c r="F23" s="2">
        <f>VLOOKUP($E23,坦克个性化设定!$B$51:$T$81,MATCH(F$3,坦克个性化设定!$B$51:$T$51,0),FALSE)</f>
        <v>2.4</v>
      </c>
      <c r="G23" s="2">
        <f>VLOOKUP($E23,坦克个性化设定!$B$51:$T$81,MATCH(G$3,坦克个性化设定!$B$51:$T$51,0),FALSE)</f>
        <v>0</v>
      </c>
      <c r="I23" s="2" t="s">
        <v>640</v>
      </c>
      <c r="J23" s="21" t="s">
        <v>175</v>
      </c>
      <c r="K23" s="2">
        <f>ROUND(VLOOKUP(I23,坦克个性化设定!$G$84:$T$114,MATCH(K$3,坦克个性化设定!$G$84:$T$84,0),FALSE)*VLOOKUP(J23,$B$3:$C$6,2,FALSE),1)</f>
        <v>35.6</v>
      </c>
      <c r="L23" s="2">
        <f>K23/坦克个性化设定!$M$4*坦克个性化设定!$M$5</f>
        <v>8.8999999999999986</v>
      </c>
      <c r="M23" s="2">
        <f>ROUND(VLOOKUP(I23,坦克个性化设定!$G$84:$T$114,MATCH(M$3,坦克个性化设定!$G$84:$T$84,0),FALSE)*VLOOKUP(J23,$B$3:$C$6,2,FALSE),1)</f>
        <v>50</v>
      </c>
      <c r="N23" s="2">
        <f>M23/坦克个性化设定!$M$4*坦克个性化设定!$M$5</f>
        <v>12.499999999999996</v>
      </c>
      <c r="O23" s="2">
        <f>ROUND(VLOOKUP(I23,坦克个性化设定!$G$84:$T$114,MATCH(O$3,坦克个性化设定!$G$84:$T$84,0),FALSE)*VLOOKUP(J23,$B$3:$C$6,2,FALSE),1)</f>
        <v>7.2</v>
      </c>
      <c r="P23" s="2">
        <f t="shared" si="7"/>
        <v>0</v>
      </c>
      <c r="R23" s="2" t="str">
        <f t="shared" si="8"/>
        <v>挑战者</v>
      </c>
      <c r="S23" s="2">
        <f>VLOOKUP($R23,坦克个性化设定!$B$51:$T$81,MATCH(S$3,坦克个性化设定!$B$51:$T$51,0),FALSE)</f>
        <v>6</v>
      </c>
      <c r="T23" s="2">
        <f>VLOOKUP($R23,坦克个性化设定!$B$51:$T$81,MATCH(T$3,坦克个性化设定!$B$51:$T$51,0),FALSE)</f>
        <v>2.4</v>
      </c>
      <c r="U23" s="2">
        <f>VLOOKUP($R23,坦克个性化设定!$B$51:$T$81,MATCH(U$3,坦克个性化设定!$B$51:$T$51,0),FALSE)</f>
        <v>0</v>
      </c>
      <c r="V23" s="2">
        <f>VLOOKUP($R23,坦克个性化设定!$B$51:$T$81,MATCH(V$3,坦克个性化设定!$B$51:$T$51,0),FALSE)</f>
        <v>0.4</v>
      </c>
      <c r="W23" s="2">
        <f>VLOOKUP($R23,坦克个性化设定!$B$51:$T$81,MATCH(W$3,坦克个性化设定!$B$51:$T$51,0),FALSE)</f>
        <v>1.4</v>
      </c>
      <c r="X23" s="2">
        <f>VLOOKUP($R23,坦克个性化设定!$B$51:$T$81,MATCH(X$3,坦克个性化设定!$B$51:$T$51,0),FALSE)</f>
        <v>1</v>
      </c>
      <c r="Y23" s="34">
        <f>VLOOKUP($R23,坦克个性化设定!$B$51:$T$81,MATCH(Y$3,坦克个性化设定!$B$51:$T$51,0),FALSE)</f>
        <v>31</v>
      </c>
      <c r="AA23" s="2" t="str">
        <f t="shared" si="0"/>
        <v>挑战者</v>
      </c>
      <c r="AB23" s="2">
        <f t="shared" si="1"/>
        <v>6</v>
      </c>
      <c r="AC23" s="2">
        <f t="shared" si="2"/>
        <v>0.4</v>
      </c>
      <c r="AD23" s="2">
        <f t="shared" si="3"/>
        <v>1.4</v>
      </c>
      <c r="AE23" s="2">
        <f t="shared" si="4"/>
        <v>1</v>
      </c>
      <c r="AF23" s="34">
        <f t="shared" si="9"/>
        <v>1.2</v>
      </c>
      <c r="AG23" s="34">
        <f t="shared" si="10"/>
        <v>1.1666666666666667</v>
      </c>
      <c r="AH23" s="41">
        <v>1.2</v>
      </c>
      <c r="AI23" s="34">
        <f t="shared" si="11"/>
        <v>0.23333333333333317</v>
      </c>
      <c r="AJ23" s="2">
        <f>IF(VLOOKUP(AA23,坦克个性化设定!$B$51:$T$81,9,FALSE)=0,VLOOKUP(AA23,坦克个性化设定!$B$51:$T$81,10,FALSE),VLOOKUP(AA23,坦克个性化设定!$B$51:$T$81,9,FALSE))</f>
        <v>2.4</v>
      </c>
      <c r="AK23" s="2" t="str">
        <f>IF(LEN(VLOOKUP(AA23,坦克个性化设定!$B$18:$F$48,5,FALSE))=5,"单发",RIGHT(VLOOKUP(AA23,坦克个性化设定!$B$18:$F$48,5,FALSE),2))</f>
        <v>自动</v>
      </c>
      <c r="AL23" s="34">
        <f t="shared" si="5"/>
        <v>35.65</v>
      </c>
      <c r="AM23" s="34">
        <f t="shared" si="12"/>
        <v>0.4</v>
      </c>
      <c r="AN23" s="34">
        <f t="shared" si="13"/>
        <v>2.0236087689713322</v>
      </c>
      <c r="AO23" s="34">
        <f t="shared" si="6"/>
        <v>0.15682967959527822</v>
      </c>
      <c r="AP23" s="34">
        <f t="shared" si="14"/>
        <v>0.37639123102866767</v>
      </c>
    </row>
    <row r="24" spans="5:42" x14ac:dyDescent="0.3">
      <c r="E24" s="2" t="s">
        <v>642</v>
      </c>
      <c r="F24" s="2">
        <f>VLOOKUP($E24,坦克个性化设定!$B$51:$T$81,MATCH(F$3,坦克个性化设定!$B$51:$T$51,0),FALSE)</f>
        <v>5.3999999999999995</v>
      </c>
      <c r="G24" s="2">
        <f>VLOOKUP($E24,坦克个性化设定!$B$51:$T$81,MATCH(G$3,坦克个性化设定!$B$51:$T$51,0),FALSE)</f>
        <v>0</v>
      </c>
      <c r="I24" s="2" t="s">
        <v>642</v>
      </c>
      <c r="J24" s="21" t="s">
        <v>175</v>
      </c>
      <c r="K24" s="2">
        <f>ROUND(VLOOKUP(I24,坦克个性化设定!$G$84:$T$114,MATCH(K$3,坦克个性化设定!$G$84:$T$84,0),FALSE)*VLOOKUP(J24,$B$3:$C$6,2,FALSE),1)</f>
        <v>38.299999999999997</v>
      </c>
      <c r="L24" s="2">
        <f>K24/坦克个性化设定!$M$4*坦克个性化设定!$M$5</f>
        <v>9.5749999999999957</v>
      </c>
      <c r="M24" s="2">
        <f>ROUND(VLOOKUP(I24,坦克个性化设定!$G$84:$T$114,MATCH(M$3,坦克个性化设定!$G$84:$T$84,0),FALSE)*VLOOKUP(J24,$B$3:$C$6,2,FALSE),1)</f>
        <v>28</v>
      </c>
      <c r="N24" s="2">
        <f>M24/坦克个性化设定!$M$4*坦克个性化设定!$M$5</f>
        <v>6.9999999999999982</v>
      </c>
      <c r="O24" s="2">
        <f>ROUND(VLOOKUP(I24,坦克个性化设定!$G$84:$T$114,MATCH(O$3,坦克个性化设定!$G$84:$T$84,0),FALSE)*VLOOKUP(J24,$B$3:$C$6,2,FALSE),1)</f>
        <v>7</v>
      </c>
      <c r="P24" s="2">
        <f t="shared" si="7"/>
        <v>0</v>
      </c>
      <c r="R24" s="2" t="str">
        <f t="shared" si="8"/>
        <v>B-1</v>
      </c>
      <c r="S24" s="2">
        <f>VLOOKUP($R24,坦克个性化设定!$B$51:$T$81,MATCH(S$3,坦克个性化设定!$B$51:$T$51,0),FALSE)</f>
        <v>1</v>
      </c>
      <c r="T24" s="2">
        <f>VLOOKUP($R24,坦克个性化设定!$B$51:$T$81,MATCH(T$3,坦克个性化设定!$B$51:$T$51,0),FALSE)</f>
        <v>5.3999999999999995</v>
      </c>
      <c r="U24" s="2">
        <f>VLOOKUP($R24,坦克个性化设定!$B$51:$T$81,MATCH(U$3,坦克个性化设定!$B$51:$T$51,0),FALSE)</f>
        <v>0</v>
      </c>
      <c r="V24" s="2">
        <f>VLOOKUP($R24,坦克个性化设定!$B$51:$T$81,MATCH(V$3,坦克个性化设定!$B$51:$T$51,0),FALSE)</f>
        <v>2.8</v>
      </c>
      <c r="W24" s="2">
        <f>VLOOKUP($R24,坦克个性化设定!$B$51:$T$81,MATCH(W$3,坦克个性化设定!$B$51:$T$51,0),FALSE)</f>
        <v>3</v>
      </c>
      <c r="X24" s="2">
        <f>VLOOKUP($R24,坦克个性化设定!$B$51:$T$81,MATCH(X$3,坦克个性化设定!$B$51:$T$51,0),FALSE)</f>
        <v>1.2</v>
      </c>
      <c r="Y24" s="34">
        <f>VLOOKUP($R24,坦克个性化设定!$B$51:$T$81,MATCH(Y$3,坦克个性化设定!$B$51:$T$51,0),FALSE)</f>
        <v>12.111111111111112</v>
      </c>
      <c r="AA24" s="2" t="str">
        <f t="shared" si="0"/>
        <v>B-1</v>
      </c>
      <c r="AB24" s="2">
        <f t="shared" si="1"/>
        <v>1</v>
      </c>
      <c r="AC24" s="2">
        <f t="shared" si="2"/>
        <v>2.8</v>
      </c>
      <c r="AD24" s="2">
        <f t="shared" si="3"/>
        <v>3</v>
      </c>
      <c r="AE24" s="2">
        <f t="shared" si="4"/>
        <v>1.2</v>
      </c>
      <c r="AF24" s="34">
        <f t="shared" si="9"/>
        <v>1.44</v>
      </c>
      <c r="AG24" s="34">
        <f t="shared" si="10"/>
        <v>2.0833333333333335</v>
      </c>
      <c r="AH24" s="41">
        <v>1.2</v>
      </c>
      <c r="AI24" s="34">
        <f t="shared" si="11"/>
        <v>0.41666666666666652</v>
      </c>
      <c r="AJ24" s="2">
        <f>IF(VLOOKUP(AA24,坦克个性化设定!$B$51:$T$81,9,FALSE)=0,VLOOKUP(AA24,坦克个性化设定!$B$51:$T$81,10,FALSE),VLOOKUP(AA24,坦克个性化设定!$B$51:$T$81,9,FALSE))</f>
        <v>5.3999999999999995</v>
      </c>
      <c r="AK24" s="2" t="str">
        <f>IF(LEN(VLOOKUP(AA24,坦克个性化设定!$B$18:$F$48,5,FALSE))=5,"单发",RIGHT(VLOOKUP(AA24,坦克个性化设定!$B$18:$F$48,5,FALSE),2))</f>
        <v>自动</v>
      </c>
      <c r="AL24" s="34">
        <f t="shared" si="5"/>
        <v>13.927777777777779</v>
      </c>
      <c r="AM24" s="34">
        <f t="shared" si="12"/>
        <v>2.8</v>
      </c>
      <c r="AN24" s="34">
        <f t="shared" si="13"/>
        <v>4.6411688869789423</v>
      </c>
      <c r="AO24" s="34">
        <f t="shared" si="6"/>
        <v>0.14052428018908469</v>
      </c>
      <c r="AP24" s="34">
        <f t="shared" si="14"/>
        <v>0.75883111302105721</v>
      </c>
    </row>
    <row r="25" spans="5:42" x14ac:dyDescent="0.3">
      <c r="E25" s="2" t="s">
        <v>644</v>
      </c>
      <c r="F25" s="2">
        <f>VLOOKUP($E25,坦克个性化设定!$B$51:$T$81,MATCH(F$3,坦克个性化设定!$B$51:$T$51,0),FALSE)</f>
        <v>3.6</v>
      </c>
      <c r="G25" s="2">
        <f>VLOOKUP($E25,坦克个性化设定!$B$51:$T$81,MATCH(G$3,坦克个性化设定!$B$51:$T$51,0),FALSE)</f>
        <v>0</v>
      </c>
      <c r="I25" s="2" t="s">
        <v>644</v>
      </c>
      <c r="J25" s="21" t="s">
        <v>175</v>
      </c>
      <c r="K25" s="2">
        <f>ROUND(VLOOKUP(I25,坦克个性化设定!$G$84:$T$114,MATCH(K$3,坦克个性化设定!$G$84:$T$84,0),FALSE)*VLOOKUP(J25,$B$3:$C$6,2,FALSE),1)</f>
        <v>38.299999999999997</v>
      </c>
      <c r="L25" s="2">
        <f>K25/坦克个性化设定!$M$4*坦克个性化设定!$M$5</f>
        <v>9.5749999999999957</v>
      </c>
      <c r="M25" s="2">
        <f>ROUND(VLOOKUP(I25,坦克个性化设定!$G$84:$T$114,MATCH(M$3,坦克个性化设定!$G$84:$T$84,0),FALSE)*VLOOKUP(J25,$B$3:$C$6,2,FALSE),1)</f>
        <v>28</v>
      </c>
      <c r="N25" s="2">
        <f>M25/坦克个性化设定!$M$4*坦克个性化设定!$M$5</f>
        <v>6.9999999999999982</v>
      </c>
      <c r="O25" s="2">
        <f>ROUND(VLOOKUP(I25,坦克个性化设定!$G$84:$T$114,MATCH(O$3,坦克个性化设定!$G$84:$T$84,0),FALSE)*VLOOKUP(J25,$B$3:$C$6,2,FALSE),1)</f>
        <v>7</v>
      </c>
      <c r="P25" s="2">
        <f t="shared" si="7"/>
        <v>0</v>
      </c>
      <c r="R25" s="2" t="str">
        <f t="shared" si="8"/>
        <v>KV-1</v>
      </c>
      <c r="S25" s="2">
        <f>VLOOKUP($R25,坦克个性化设定!$B$51:$T$81,MATCH(S$3,坦克个性化设定!$B$51:$T$51,0),FALSE)</f>
        <v>2</v>
      </c>
      <c r="T25" s="2">
        <f>VLOOKUP($R25,坦克个性化设定!$B$51:$T$81,MATCH(T$3,坦克个性化设定!$B$51:$T$51,0),FALSE)</f>
        <v>3.6</v>
      </c>
      <c r="U25" s="2">
        <f>VLOOKUP($R25,坦克个性化设定!$B$51:$T$81,MATCH(U$3,坦克个性化设定!$B$51:$T$51,0),FALSE)</f>
        <v>0</v>
      </c>
      <c r="V25" s="2">
        <f>VLOOKUP($R25,坦克个性化设定!$B$51:$T$81,MATCH(V$3,坦克个性化设定!$B$51:$T$51,0),FALSE)</f>
        <v>1.88</v>
      </c>
      <c r="W25" s="2">
        <f>VLOOKUP($R25,坦克个性化设定!$B$51:$T$81,MATCH(W$3,坦克个性化设定!$B$51:$T$51,0),FALSE)</f>
        <v>2.63</v>
      </c>
      <c r="X25" s="2">
        <f>VLOOKUP($R25,坦克个性化设定!$B$51:$T$81,MATCH(X$3,坦克个性化设定!$B$51:$T$51,0),FALSE)</f>
        <v>1.2</v>
      </c>
      <c r="Y25" s="34">
        <f>VLOOKUP($R25,坦克个性化设定!$B$51:$T$81,MATCH(Y$3,坦克个性化设定!$B$51:$T$51,0),FALSE)</f>
        <v>18.666666666666668</v>
      </c>
      <c r="AA25" s="2" t="str">
        <f t="shared" si="0"/>
        <v>KV-1</v>
      </c>
      <c r="AB25" s="2">
        <f t="shared" si="1"/>
        <v>2</v>
      </c>
      <c r="AC25" s="2">
        <f t="shared" si="2"/>
        <v>1.88</v>
      </c>
      <c r="AD25" s="2">
        <f t="shared" si="3"/>
        <v>2.63</v>
      </c>
      <c r="AE25" s="2">
        <f t="shared" si="4"/>
        <v>1.2</v>
      </c>
      <c r="AF25" s="34">
        <f t="shared" si="9"/>
        <v>1.44</v>
      </c>
      <c r="AG25" s="34">
        <f t="shared" si="10"/>
        <v>1.8263888888888888</v>
      </c>
      <c r="AH25" s="41">
        <v>1.2</v>
      </c>
      <c r="AI25" s="34">
        <f t="shared" si="11"/>
        <v>0.36527777777777803</v>
      </c>
      <c r="AJ25" s="2">
        <f>IF(VLOOKUP(AA25,坦克个性化设定!$B$51:$T$81,9,FALSE)=0,VLOOKUP(AA25,坦克个性化设定!$B$51:$T$81,10,FALSE),VLOOKUP(AA25,坦克个性化设定!$B$51:$T$81,9,FALSE))</f>
        <v>3.6</v>
      </c>
      <c r="AK25" s="2" t="str">
        <f>IF(LEN(VLOOKUP(AA25,坦克个性化设定!$B$18:$F$48,5,FALSE))=5,"单发",RIGHT(VLOOKUP(AA25,坦克个性化设定!$B$18:$F$48,5,FALSE),2))</f>
        <v>自动</v>
      </c>
      <c r="AL25" s="34">
        <f t="shared" si="5"/>
        <v>21.466666666666665</v>
      </c>
      <c r="AM25" s="34">
        <f t="shared" si="12"/>
        <v>1.88</v>
      </c>
      <c r="AN25" s="34">
        <f t="shared" si="13"/>
        <v>3.0821917808219181</v>
      </c>
      <c r="AO25" s="34">
        <f t="shared" si="6"/>
        <v>0.1438356164383561</v>
      </c>
      <c r="AP25" s="34">
        <f t="shared" si="14"/>
        <v>0.51780821917808195</v>
      </c>
    </row>
    <row r="26" spans="5:42" x14ac:dyDescent="0.3">
      <c r="E26" s="2" t="s">
        <v>646</v>
      </c>
      <c r="F26" s="2">
        <f>VLOOKUP($E26,坦克个性化设定!$B$51:$T$81,MATCH(F$3,坦克个性化设定!$B$51:$T$51,0),FALSE)</f>
        <v>6</v>
      </c>
      <c r="G26" s="2">
        <f>VLOOKUP($E26,坦克个性化设定!$B$51:$T$81,MATCH(G$3,坦克个性化设定!$B$51:$T$51,0),FALSE)</f>
        <v>0</v>
      </c>
      <c r="I26" s="2" t="s">
        <v>646</v>
      </c>
      <c r="J26" s="21" t="s">
        <v>177</v>
      </c>
      <c r="K26" s="2">
        <f>ROUND(VLOOKUP(I26,坦克个性化设定!$G$84:$T$114,MATCH(K$3,坦克个性化设定!$G$84:$T$84,0),FALSE)*VLOOKUP(J26,$B$3:$C$6,2,FALSE),1)</f>
        <v>31.3</v>
      </c>
      <c r="L26" s="2">
        <f>K26/坦克个性化设定!$M$4*坦克个性化设定!$M$5</f>
        <v>7.8249999999999984</v>
      </c>
      <c r="M26" s="2">
        <f>ROUND(VLOOKUP(I26,坦克个性化设定!$G$84:$T$114,MATCH(M$3,坦克个性化设定!$G$84:$T$84,0),FALSE)*VLOOKUP(J26,$B$3:$C$6,2,FALSE),1)</f>
        <v>31.4</v>
      </c>
      <c r="N26" s="2">
        <f>M26/坦克个性化设定!$M$4*坦克个性化设定!$M$5</f>
        <v>7.849999999999997</v>
      </c>
      <c r="O26" s="2">
        <f>ROUND(VLOOKUP(I26,坦克个性化设定!$G$84:$T$114,MATCH(O$3,坦克个性化设定!$G$84:$T$84,0),FALSE)*VLOOKUP(J26,$B$3:$C$6,2,FALSE),1)</f>
        <v>6.4</v>
      </c>
      <c r="P26" s="2">
        <f t="shared" si="7"/>
        <v>0</v>
      </c>
      <c r="R26" s="2" t="str">
        <f t="shared" si="8"/>
        <v>丘吉尔</v>
      </c>
      <c r="S26" s="2">
        <f>VLOOKUP($R26,坦克个性化设定!$B$51:$T$81,MATCH(S$3,坦克个性化设定!$B$51:$T$51,0),FALSE)</f>
        <v>1</v>
      </c>
      <c r="T26" s="2">
        <f>VLOOKUP($R26,坦克个性化设定!$B$51:$T$81,MATCH(T$3,坦克个性化设定!$B$51:$T$51,0),FALSE)</f>
        <v>6</v>
      </c>
      <c r="U26" s="2">
        <f>VLOOKUP($R26,坦克个性化设定!$B$51:$T$81,MATCH(U$3,坦克个性化设定!$B$51:$T$51,0),FALSE)</f>
        <v>0</v>
      </c>
      <c r="V26" s="2">
        <f>VLOOKUP($R26,坦克个性化设定!$B$51:$T$81,MATCH(V$3,坦克个性化设定!$B$51:$T$51,0),FALSE)</f>
        <v>0</v>
      </c>
      <c r="W26" s="2">
        <f>VLOOKUP($R26,坦克个性化设定!$B$51:$T$81,MATCH(W$3,坦克个性化设定!$B$51:$T$51,0),FALSE)</f>
        <v>3</v>
      </c>
      <c r="X26" s="2">
        <f>VLOOKUP($R26,坦克个性化设定!$B$51:$T$81,MATCH(X$3,坦克个性化设定!$B$51:$T$51,0),FALSE)</f>
        <v>1</v>
      </c>
      <c r="Y26" s="34">
        <f>VLOOKUP($R26,坦克个性化设定!$B$51:$T$81,MATCH(Y$3,坦克个性化设定!$B$51:$T$51,0),FALSE)</f>
        <v>11</v>
      </c>
      <c r="AA26" s="2" t="str">
        <f t="shared" si="0"/>
        <v>丘吉尔</v>
      </c>
      <c r="AB26" s="2">
        <f t="shared" si="1"/>
        <v>1</v>
      </c>
      <c r="AC26" s="2">
        <f t="shared" si="2"/>
        <v>0</v>
      </c>
      <c r="AD26" s="2">
        <f t="shared" si="3"/>
        <v>3</v>
      </c>
      <c r="AE26" s="2">
        <f t="shared" si="4"/>
        <v>1</v>
      </c>
      <c r="AF26" s="34">
        <f t="shared" si="9"/>
        <v>1.2</v>
      </c>
      <c r="AG26" s="34">
        <f t="shared" si="10"/>
        <v>2.5</v>
      </c>
      <c r="AH26" s="41">
        <v>1.2</v>
      </c>
      <c r="AI26" s="34">
        <f t="shared" si="11"/>
        <v>0.5</v>
      </c>
      <c r="AJ26" s="2">
        <f>IF(VLOOKUP(AA26,坦克个性化设定!$B$51:$T$81,9,FALSE)=0,VLOOKUP(AA26,坦克个性化设定!$B$51:$T$81,10,FALSE),VLOOKUP(AA26,坦克个性化设定!$B$51:$T$81,9,FALSE))</f>
        <v>6</v>
      </c>
      <c r="AK26" s="2" t="str">
        <f>IF(LEN(VLOOKUP(AA26,坦克个性化设定!$B$18:$F$48,5,FALSE))=5,"单发",RIGHT(VLOOKUP(AA26,坦克个性化设定!$B$18:$F$48,5,FALSE),2))</f>
        <v>单发</v>
      </c>
      <c r="AL26" s="34">
        <f t="shared" si="5"/>
        <v>12.649999999999999</v>
      </c>
      <c r="AM26" s="34">
        <f t="shared" si="12"/>
        <v>0</v>
      </c>
      <c r="AN26" s="34">
        <f t="shared" si="13"/>
        <v>5.1502145922746791</v>
      </c>
      <c r="AO26" s="34">
        <f t="shared" si="6"/>
        <v>0.14163090128755348</v>
      </c>
      <c r="AP26" s="34">
        <f t="shared" si="14"/>
        <v>0.84978540772532085</v>
      </c>
    </row>
    <row r="27" spans="5:42" x14ac:dyDescent="0.3">
      <c r="E27" s="2" t="s">
        <v>529</v>
      </c>
      <c r="F27" s="2">
        <f>VLOOKUP($E27,坦克个性化设定!$B$51:$T$81,MATCH(F$3,坦克个性化设定!$B$51:$T$51,0),FALSE)</f>
        <v>6</v>
      </c>
      <c r="G27" s="2">
        <f>VLOOKUP($E27,坦克个性化设定!$B$51:$T$81,MATCH(G$3,坦克个性化设定!$B$51:$T$51,0),FALSE)</f>
        <v>0</v>
      </c>
      <c r="I27" s="2" t="s">
        <v>529</v>
      </c>
      <c r="J27" s="21" t="s">
        <v>175</v>
      </c>
      <c r="K27" s="2">
        <f>ROUND(VLOOKUP(I27,坦克个性化设定!$G$84:$T$114,MATCH(K$3,坦克个性化设定!$G$84:$T$84,0),FALSE)*VLOOKUP(J27,$B$3:$C$6,2,FALSE),1)</f>
        <v>30.7</v>
      </c>
      <c r="L27" s="2">
        <f>K27/坦克个性化设定!$M$4*坦克个性化设定!$M$5</f>
        <v>7.674999999999998</v>
      </c>
      <c r="M27" s="2">
        <f>ROUND(VLOOKUP(I27,坦克个性化设定!$G$84:$T$114,MATCH(M$3,坦克个性化设定!$G$84:$T$84,0),FALSE)*VLOOKUP(J27,$B$3:$C$6,2,FALSE),1)</f>
        <v>33.6</v>
      </c>
      <c r="N27" s="2">
        <f>M27/坦克个性化设定!$M$4*坦克个性化设定!$M$5</f>
        <v>8.3999999999999986</v>
      </c>
      <c r="O27" s="2">
        <f>ROUND(VLOOKUP(I27,坦克个性化设定!$G$84:$T$114,MATCH(O$3,坦克个性化设定!$G$84:$T$84,0),FALSE)*VLOOKUP(J27,$B$3:$C$6,2,FALSE),1)</f>
        <v>6.3</v>
      </c>
      <c r="P27" s="2">
        <f t="shared" si="7"/>
        <v>0</v>
      </c>
      <c r="R27" s="2" t="str">
        <f t="shared" si="8"/>
        <v>黑豹</v>
      </c>
      <c r="S27" s="2">
        <f>VLOOKUP($R27,坦克个性化设定!$B$51:$T$81,MATCH(S$3,坦克个性化设定!$B$51:$T$51,0),FALSE)</f>
        <v>1</v>
      </c>
      <c r="T27" s="2">
        <f>VLOOKUP($R27,坦克个性化设定!$B$51:$T$81,MATCH(T$3,坦克个性化设定!$B$51:$T$51,0),FALSE)</f>
        <v>6</v>
      </c>
      <c r="U27" s="2">
        <f>VLOOKUP($R27,坦克个性化设定!$B$51:$T$81,MATCH(U$3,坦克个性化设定!$B$51:$T$51,0),FALSE)</f>
        <v>0</v>
      </c>
      <c r="V27" s="2">
        <f>VLOOKUP($R27,坦克个性化设定!$B$51:$T$81,MATCH(V$3,坦克个性化设定!$B$51:$T$51,0),FALSE)</f>
        <v>0</v>
      </c>
      <c r="W27" s="2">
        <f>VLOOKUP($R27,坦克个性化设定!$B$51:$T$81,MATCH(W$3,坦克个性化设定!$B$51:$T$51,0),FALSE)</f>
        <v>3</v>
      </c>
      <c r="X27" s="2">
        <f>VLOOKUP($R27,坦克个性化设定!$B$51:$T$81,MATCH(X$3,坦克个性化设定!$B$51:$T$51,0),FALSE)</f>
        <v>1</v>
      </c>
      <c r="Y27" s="34">
        <f>VLOOKUP($R27,坦克个性化设定!$B$51:$T$81,MATCH(Y$3,坦克个性化设定!$B$51:$T$51,0),FALSE)</f>
        <v>11</v>
      </c>
      <c r="AA27" s="2" t="str">
        <f t="shared" si="0"/>
        <v>黑豹</v>
      </c>
      <c r="AB27" s="2">
        <f t="shared" si="1"/>
        <v>1</v>
      </c>
      <c r="AC27" s="2">
        <f t="shared" si="2"/>
        <v>0</v>
      </c>
      <c r="AD27" s="2">
        <f t="shared" si="3"/>
        <v>3</v>
      </c>
      <c r="AE27" s="2">
        <f t="shared" si="4"/>
        <v>1</v>
      </c>
      <c r="AF27" s="34">
        <f t="shared" si="9"/>
        <v>1.2</v>
      </c>
      <c r="AG27" s="34">
        <f t="shared" si="10"/>
        <v>2.5</v>
      </c>
      <c r="AH27" s="41">
        <v>1.2</v>
      </c>
      <c r="AI27" s="34">
        <f t="shared" si="11"/>
        <v>0.5</v>
      </c>
      <c r="AJ27" s="2">
        <f>IF(VLOOKUP(AA27,坦克个性化设定!$B$51:$T$81,9,FALSE)=0,VLOOKUP(AA27,坦克个性化设定!$B$51:$T$81,10,FALSE),VLOOKUP(AA27,坦克个性化设定!$B$51:$T$81,9,FALSE))</f>
        <v>6</v>
      </c>
      <c r="AK27" s="2" t="str">
        <f>IF(LEN(VLOOKUP(AA27,坦克个性化设定!$B$18:$F$48,5,FALSE))=5,"单发",RIGHT(VLOOKUP(AA27,坦克个性化设定!$B$18:$F$48,5,FALSE),2))</f>
        <v>单发</v>
      </c>
      <c r="AL27" s="34">
        <f t="shared" si="5"/>
        <v>12.649999999999999</v>
      </c>
      <c r="AM27" s="34">
        <f t="shared" si="12"/>
        <v>0</v>
      </c>
      <c r="AN27" s="34">
        <f t="shared" si="13"/>
        <v>5.1502145922746791</v>
      </c>
      <c r="AO27" s="34">
        <f t="shared" si="6"/>
        <v>0.14163090128755348</v>
      </c>
      <c r="AP27" s="34">
        <f t="shared" si="14"/>
        <v>0.84978540772532085</v>
      </c>
    </row>
    <row r="28" spans="5:42" x14ac:dyDescent="0.3">
      <c r="E28" s="2" t="s">
        <v>649</v>
      </c>
      <c r="F28" s="2">
        <f>VLOOKUP($E28,坦克个性化设定!$B$51:$T$81,MATCH(F$3,坦克个性化设定!$B$51:$T$51,0),FALSE)</f>
        <v>6</v>
      </c>
      <c r="G28" s="2">
        <f>VLOOKUP($E28,坦克个性化设定!$B$51:$T$81,MATCH(G$3,坦克个性化设定!$B$51:$T$51,0),FALSE)</f>
        <v>0</v>
      </c>
      <c r="I28" s="2" t="s">
        <v>649</v>
      </c>
      <c r="J28" s="21" t="s">
        <v>177</v>
      </c>
      <c r="K28" s="2">
        <f>ROUND(VLOOKUP(I28,坦克个性化设定!$G$84:$T$114,MATCH(K$3,坦克个性化设定!$G$84:$T$84,0),FALSE)*VLOOKUP(J28,$B$3:$C$6,2,FALSE),1)</f>
        <v>31.3</v>
      </c>
      <c r="L28" s="2">
        <f>K28/坦克个性化设定!$M$4*坦克个性化设定!$M$5</f>
        <v>7.8249999999999984</v>
      </c>
      <c r="M28" s="2">
        <f>ROUND(VLOOKUP(I28,坦克个性化设定!$G$84:$T$114,MATCH(M$3,坦克个性化设定!$G$84:$T$84,0),FALSE)*VLOOKUP(J28,$B$3:$C$6,2,FALSE),1)</f>
        <v>35.700000000000003</v>
      </c>
      <c r="N28" s="2">
        <f>M28/坦克个性化设定!$M$4*坦克个性化设定!$M$5</f>
        <v>8.9249999999999972</v>
      </c>
      <c r="O28" s="2">
        <f>ROUND(VLOOKUP(I28,坦克个性化设定!$G$84:$T$114,MATCH(O$3,坦克个性化设定!$G$84:$T$84,0),FALSE)*VLOOKUP(J28,$B$3:$C$6,2,FALSE),1)</f>
        <v>6.4</v>
      </c>
      <c r="P28" s="2">
        <f t="shared" si="7"/>
        <v>0</v>
      </c>
      <c r="R28" s="2" t="str">
        <f t="shared" si="8"/>
        <v>虎式</v>
      </c>
      <c r="S28" s="2">
        <f>VLOOKUP($R28,坦克个性化设定!$B$51:$T$81,MATCH(S$3,坦克个性化设定!$B$51:$T$51,0),FALSE)</f>
        <v>1</v>
      </c>
      <c r="T28" s="2">
        <f>VLOOKUP($R28,坦克个性化设定!$B$51:$T$81,MATCH(T$3,坦克个性化设定!$B$51:$T$51,0),FALSE)</f>
        <v>6</v>
      </c>
      <c r="U28" s="2">
        <f>VLOOKUP($R28,坦克个性化设定!$B$51:$T$81,MATCH(U$3,坦克个性化设定!$B$51:$T$51,0),FALSE)</f>
        <v>0</v>
      </c>
      <c r="V28" s="2">
        <f>VLOOKUP($R28,坦克个性化设定!$B$51:$T$81,MATCH(V$3,坦克个性化设定!$B$51:$T$51,0),FALSE)</f>
        <v>0</v>
      </c>
      <c r="W28" s="2">
        <f>VLOOKUP($R28,坦克个性化设定!$B$51:$T$81,MATCH(W$3,坦克个性化设定!$B$51:$T$51,0),FALSE)</f>
        <v>3</v>
      </c>
      <c r="X28" s="2">
        <f>VLOOKUP($R28,坦克个性化设定!$B$51:$T$81,MATCH(X$3,坦克个性化设定!$B$51:$T$51,0),FALSE)</f>
        <v>1</v>
      </c>
      <c r="Y28" s="34">
        <f>VLOOKUP($R28,坦克个性化设定!$B$51:$T$81,MATCH(Y$3,坦克个性化设定!$B$51:$T$51,0),FALSE)</f>
        <v>11</v>
      </c>
      <c r="AA28" s="2" t="str">
        <f t="shared" si="0"/>
        <v>虎式</v>
      </c>
      <c r="AB28" s="2">
        <f t="shared" si="1"/>
        <v>1</v>
      </c>
      <c r="AC28" s="2">
        <f t="shared" si="2"/>
        <v>0</v>
      </c>
      <c r="AD28" s="2">
        <f t="shared" si="3"/>
        <v>3</v>
      </c>
      <c r="AE28" s="2">
        <f t="shared" si="4"/>
        <v>1</v>
      </c>
      <c r="AF28" s="34">
        <f t="shared" si="9"/>
        <v>1.2</v>
      </c>
      <c r="AG28" s="34">
        <f t="shared" si="10"/>
        <v>2.5</v>
      </c>
      <c r="AH28" s="41">
        <v>1.2</v>
      </c>
      <c r="AI28" s="34">
        <f t="shared" si="11"/>
        <v>0.5</v>
      </c>
      <c r="AJ28" s="2">
        <f>IF(VLOOKUP(AA28,坦克个性化设定!$B$51:$T$81,9,FALSE)=0,VLOOKUP(AA28,坦克个性化设定!$B$51:$T$81,10,FALSE),VLOOKUP(AA28,坦克个性化设定!$B$51:$T$81,9,FALSE))</f>
        <v>6</v>
      </c>
      <c r="AK28" s="2" t="str">
        <f>IF(LEN(VLOOKUP(AA28,坦克个性化设定!$B$18:$F$48,5,FALSE))=5,"单发",RIGHT(VLOOKUP(AA28,坦克个性化设定!$B$18:$F$48,5,FALSE),2))</f>
        <v>单发</v>
      </c>
      <c r="AL28" s="34">
        <f t="shared" si="5"/>
        <v>12.649999999999999</v>
      </c>
      <c r="AM28" s="34">
        <f t="shared" si="12"/>
        <v>0</v>
      </c>
      <c r="AN28" s="34">
        <f t="shared" si="13"/>
        <v>5.1502145922746791</v>
      </c>
      <c r="AO28" s="34">
        <f t="shared" si="6"/>
        <v>0.14163090128755348</v>
      </c>
      <c r="AP28" s="34">
        <f t="shared" si="14"/>
        <v>0.84978540772532085</v>
      </c>
    </row>
    <row r="29" spans="5:42" x14ac:dyDescent="0.3">
      <c r="E29" s="2" t="s">
        <v>651</v>
      </c>
      <c r="F29" s="2">
        <f>VLOOKUP($E29,坦克个性化设定!$B$51:$T$81,MATCH(F$3,坦克个性化设定!$B$51:$T$51,0),FALSE)</f>
        <v>4.05</v>
      </c>
      <c r="G29" s="2">
        <f>VLOOKUP($E29,坦克个性化设定!$B$51:$T$81,MATCH(G$3,坦克个性化设定!$B$51:$T$51,0),FALSE)</f>
        <v>0</v>
      </c>
      <c r="I29" s="2" t="s">
        <v>651</v>
      </c>
      <c r="J29" s="21" t="s">
        <v>176</v>
      </c>
      <c r="K29" s="2">
        <f>ROUND(VLOOKUP(I29,坦克个性化设定!$G$84:$T$114,MATCH(K$3,坦克个性化设定!$G$84:$T$84,0),FALSE)*VLOOKUP(J29,$B$3:$C$6,2,FALSE),1)</f>
        <v>40.299999999999997</v>
      </c>
      <c r="L29" s="2">
        <f>K29/坦克个性化设定!$M$4*坦克个性化设定!$M$5</f>
        <v>10.074999999999996</v>
      </c>
      <c r="M29" s="2">
        <f>ROUND(VLOOKUP(I29,坦克个性化设定!$G$84:$T$114,MATCH(M$3,坦克个性化设定!$G$84:$T$84,0),FALSE)*VLOOKUP(J29,$B$3:$C$6,2,FALSE),1)</f>
        <v>29.4</v>
      </c>
      <c r="N29" s="2">
        <f>M29/坦克个性化设定!$M$4*坦克个性化设定!$M$5</f>
        <v>7.349999999999997</v>
      </c>
      <c r="O29" s="2">
        <f>ROUND(VLOOKUP(I29,坦克个性化设定!$G$84:$T$114,MATCH(O$3,坦克个性化设定!$G$84:$T$84,0),FALSE)*VLOOKUP(J29,$B$3:$C$6,2,FALSE),1)</f>
        <v>7.4</v>
      </c>
      <c r="P29" s="2">
        <f t="shared" si="7"/>
        <v>0</v>
      </c>
      <c r="R29" s="2" t="str">
        <f t="shared" si="8"/>
        <v>KV-2</v>
      </c>
      <c r="S29" s="2">
        <f>VLOOKUP($R29,坦克个性化设定!$B$51:$T$81,MATCH(S$3,坦克个性化设定!$B$51:$T$51,0),FALSE)</f>
        <v>2</v>
      </c>
      <c r="T29" s="2">
        <f>VLOOKUP($R29,坦克个性化设定!$B$51:$T$81,MATCH(T$3,坦克个性化设定!$B$51:$T$51,0),FALSE)</f>
        <v>4.05</v>
      </c>
      <c r="U29" s="2">
        <f>VLOOKUP($R29,坦克个性化设定!$B$51:$T$81,MATCH(U$3,坦克个性化设定!$B$51:$T$51,0),FALSE)</f>
        <v>0</v>
      </c>
      <c r="V29" s="2">
        <f>VLOOKUP($R29,坦克个性化设定!$B$51:$T$81,MATCH(V$3,坦克个性化设定!$B$51:$T$51,0),FALSE)</f>
        <v>2</v>
      </c>
      <c r="W29" s="2">
        <f>VLOOKUP($R29,坦克个性化设定!$B$51:$T$81,MATCH(W$3,坦克个性化设定!$B$51:$T$51,0),FALSE)</f>
        <v>2.7</v>
      </c>
      <c r="X29" s="2">
        <f>VLOOKUP($R29,坦克个性化设定!$B$51:$T$81,MATCH(X$3,坦克个性化设定!$B$51:$T$51,0),FALSE)</f>
        <v>1.2</v>
      </c>
      <c r="Y29" s="34">
        <f>VLOOKUP($R29,坦克个性化设定!$B$51:$T$81,MATCH(Y$3,坦克个性化设定!$B$51:$T$51,0),FALSE)</f>
        <v>16.814814814814817</v>
      </c>
      <c r="AA29" s="2" t="str">
        <f t="shared" si="0"/>
        <v>KV-2</v>
      </c>
      <c r="AB29" s="2">
        <f t="shared" si="1"/>
        <v>2</v>
      </c>
      <c r="AC29" s="2">
        <f t="shared" si="2"/>
        <v>2</v>
      </c>
      <c r="AD29" s="2">
        <f t="shared" si="3"/>
        <v>2.7</v>
      </c>
      <c r="AE29" s="2">
        <f t="shared" si="4"/>
        <v>1.2</v>
      </c>
      <c r="AF29" s="34">
        <f t="shared" si="9"/>
        <v>1.44</v>
      </c>
      <c r="AG29" s="34">
        <f t="shared" si="10"/>
        <v>1.8750000000000002</v>
      </c>
      <c r="AH29" s="41">
        <v>1.2</v>
      </c>
      <c r="AI29" s="34">
        <f t="shared" si="11"/>
        <v>0.37500000000000022</v>
      </c>
      <c r="AJ29" s="2">
        <f>IF(VLOOKUP(AA29,坦克个性化设定!$B$51:$T$81,9,FALSE)=0,VLOOKUP(AA29,坦克个性化设定!$B$51:$T$81,10,FALSE),VLOOKUP(AA29,坦克个性化设定!$B$51:$T$81,9,FALSE))</f>
        <v>4.05</v>
      </c>
      <c r="AK29" s="2" t="str">
        <f>IF(LEN(VLOOKUP(AA29,坦克个性化设定!$B$18:$F$48,5,FALSE))=5,"单发",RIGHT(VLOOKUP(AA29,坦克个性化设定!$B$18:$F$48,5,FALSE),2))</f>
        <v>自动</v>
      </c>
      <c r="AL29" s="34">
        <f t="shared" si="5"/>
        <v>19.337037037037039</v>
      </c>
      <c r="AM29" s="34">
        <f t="shared" si="12"/>
        <v>2</v>
      </c>
      <c r="AN29" s="34">
        <f t="shared" si="13"/>
        <v>3.4607989745780814</v>
      </c>
      <c r="AO29" s="34">
        <f t="shared" si="6"/>
        <v>0.14548173467207864</v>
      </c>
      <c r="AP29" s="34">
        <f t="shared" si="14"/>
        <v>0.58920102542191843</v>
      </c>
    </row>
    <row r="30" spans="5:42" x14ac:dyDescent="0.3">
      <c r="E30" s="2" t="s">
        <v>653</v>
      </c>
      <c r="F30" s="2">
        <f>VLOOKUP($E30,坦克个性化设定!$B$51:$T$81,MATCH(F$3,坦克个性化设定!$B$51:$T$51,0),FALSE)</f>
        <v>6</v>
      </c>
      <c r="G30" s="2">
        <f>VLOOKUP($E30,坦克个性化设定!$B$51:$T$81,MATCH(G$3,坦克个性化设定!$B$51:$T$51,0),FALSE)</f>
        <v>0</v>
      </c>
      <c r="I30" s="2" t="s">
        <v>653</v>
      </c>
      <c r="J30" s="21" t="s">
        <v>175</v>
      </c>
      <c r="K30" s="2">
        <f>ROUND(VLOOKUP(I30,坦克个性化设定!$G$84:$T$114,MATCH(K$3,坦克个性化设定!$G$84:$T$84,0),FALSE)*VLOOKUP(J30,$B$3:$C$6,2,FALSE),1)</f>
        <v>30.7</v>
      </c>
      <c r="L30" s="2">
        <f>K30/坦克个性化设定!$M$4*坦克个性化设定!$M$5</f>
        <v>7.674999999999998</v>
      </c>
      <c r="M30" s="2">
        <f>ROUND(VLOOKUP(I30,坦克个性化设定!$G$84:$T$114,MATCH(M$3,坦克个性化设定!$G$84:$T$84,0),FALSE)*VLOOKUP(J30,$B$3:$C$6,2,FALSE),1)</f>
        <v>35</v>
      </c>
      <c r="N30" s="2">
        <f>M30/坦克个性化设定!$M$4*坦克个性化设定!$M$5</f>
        <v>8.7499999999999982</v>
      </c>
      <c r="O30" s="2">
        <f>ROUND(VLOOKUP(I30,坦克个性化设定!$G$84:$T$114,MATCH(O$3,坦克个性化设定!$G$84:$T$84,0),FALSE)*VLOOKUP(J30,$B$3:$C$6,2,FALSE),1)</f>
        <v>6.3</v>
      </c>
      <c r="P30" s="2">
        <f t="shared" si="7"/>
        <v>0</v>
      </c>
      <c r="R30" s="2" t="str">
        <f t="shared" si="8"/>
        <v>征服者</v>
      </c>
      <c r="S30" s="2">
        <f>VLOOKUP($R30,坦克个性化设定!$B$51:$T$81,MATCH(S$3,坦克个性化设定!$B$51:$T$51,0),FALSE)</f>
        <v>1</v>
      </c>
      <c r="T30" s="2">
        <f>VLOOKUP($R30,坦克个性化设定!$B$51:$T$81,MATCH(T$3,坦克个性化设定!$B$51:$T$51,0),FALSE)</f>
        <v>6</v>
      </c>
      <c r="U30" s="2">
        <f>VLOOKUP($R30,坦克个性化设定!$B$51:$T$81,MATCH(U$3,坦克个性化设定!$B$51:$T$51,0),FALSE)</f>
        <v>0</v>
      </c>
      <c r="V30" s="2">
        <f>VLOOKUP($R30,坦克个性化设定!$B$51:$T$81,MATCH(V$3,坦克个性化设定!$B$51:$T$51,0),FALSE)</f>
        <v>0</v>
      </c>
      <c r="W30" s="2">
        <f>VLOOKUP($R30,坦克个性化设定!$B$51:$T$81,MATCH(W$3,坦克个性化设定!$B$51:$T$51,0),FALSE)</f>
        <v>3</v>
      </c>
      <c r="X30" s="2">
        <f>VLOOKUP($R30,坦克个性化设定!$B$51:$T$81,MATCH(X$3,坦克个性化设定!$B$51:$T$51,0),FALSE)</f>
        <v>1</v>
      </c>
      <c r="Y30" s="34">
        <f>VLOOKUP($R30,坦克个性化设定!$B$51:$T$81,MATCH(Y$3,坦克个性化设定!$B$51:$T$51,0),FALSE)</f>
        <v>11</v>
      </c>
      <c r="AA30" s="2" t="str">
        <f t="shared" si="0"/>
        <v>征服者</v>
      </c>
      <c r="AB30" s="2">
        <f t="shared" si="1"/>
        <v>1</v>
      </c>
      <c r="AC30" s="2">
        <f t="shared" si="2"/>
        <v>0</v>
      </c>
      <c r="AD30" s="2">
        <f t="shared" si="3"/>
        <v>3</v>
      </c>
      <c r="AE30" s="2">
        <f t="shared" si="4"/>
        <v>1</v>
      </c>
      <c r="AF30" s="34">
        <f t="shared" si="9"/>
        <v>1.2</v>
      </c>
      <c r="AG30" s="34">
        <f t="shared" si="10"/>
        <v>2.5</v>
      </c>
      <c r="AH30" s="41">
        <v>1.2</v>
      </c>
      <c r="AI30" s="34">
        <f t="shared" si="11"/>
        <v>0.5</v>
      </c>
      <c r="AJ30" s="2">
        <f>IF(VLOOKUP(AA30,坦克个性化设定!$B$51:$T$81,9,FALSE)=0,VLOOKUP(AA30,坦克个性化设定!$B$51:$T$81,10,FALSE),VLOOKUP(AA30,坦克个性化设定!$B$51:$T$81,9,FALSE))</f>
        <v>6</v>
      </c>
      <c r="AK30" s="2" t="str">
        <f>IF(LEN(VLOOKUP(AA30,坦克个性化设定!$B$18:$F$48,5,FALSE))=5,"单发",RIGHT(VLOOKUP(AA30,坦克个性化设定!$B$18:$F$48,5,FALSE),2))</f>
        <v>单发</v>
      </c>
      <c r="AL30" s="34">
        <f t="shared" si="5"/>
        <v>12.649999999999999</v>
      </c>
      <c r="AM30" s="34">
        <f t="shared" si="12"/>
        <v>0</v>
      </c>
      <c r="AN30" s="34">
        <f t="shared" si="13"/>
        <v>5.1502145922746791</v>
      </c>
      <c r="AO30" s="34">
        <f t="shared" si="6"/>
        <v>0.14163090128755348</v>
      </c>
      <c r="AP30" s="34">
        <f t="shared" si="14"/>
        <v>0.84978540772532085</v>
      </c>
    </row>
    <row r="31" spans="5:42" x14ac:dyDescent="0.3">
      <c r="E31" s="2" t="s">
        <v>655</v>
      </c>
      <c r="F31" s="2">
        <f>VLOOKUP($E31,坦克个性化设定!$B$51:$T$81,MATCH(F$3,坦克个性化设定!$B$51:$T$51,0),FALSE)</f>
        <v>4.5</v>
      </c>
      <c r="G31" s="2">
        <f>VLOOKUP($E31,坦克个性化设定!$B$51:$T$81,MATCH(G$3,坦克个性化设定!$B$51:$T$51,0),FALSE)</f>
        <v>0</v>
      </c>
      <c r="I31" s="2" t="s">
        <v>655</v>
      </c>
      <c r="J31" s="21" t="s">
        <v>177</v>
      </c>
      <c r="K31" s="2">
        <f>ROUND(VLOOKUP(I31,坦克个性化设定!$G$84:$T$114,MATCH(K$3,坦克个性化设定!$G$84:$T$84,0),FALSE)*VLOOKUP(J31,$B$3:$C$6,2,FALSE),1)</f>
        <v>31.3</v>
      </c>
      <c r="L31" s="2">
        <f>K31/坦克个性化设定!$M$4*坦克个性化设定!$M$5</f>
        <v>7.8249999999999984</v>
      </c>
      <c r="M31" s="2">
        <f>ROUND(VLOOKUP(I31,坦克个性化设定!$G$84:$T$114,MATCH(M$3,坦克个性化设定!$G$84:$T$84,0),FALSE)*VLOOKUP(J31,$B$3:$C$6,2,FALSE),1)</f>
        <v>35.700000000000003</v>
      </c>
      <c r="N31" s="2">
        <f>M31/坦克个性化设定!$M$4*坦克个性化设定!$M$5</f>
        <v>8.9249999999999972</v>
      </c>
      <c r="O31" s="2">
        <f>ROUND(VLOOKUP(I31,坦克个性化设定!$G$84:$T$114,MATCH(O$3,坦克个性化设定!$G$84:$T$84,0),FALSE)*VLOOKUP(J31,$B$3:$C$6,2,FALSE),1)</f>
        <v>6.4</v>
      </c>
      <c r="P31" s="2">
        <f t="shared" si="7"/>
        <v>0</v>
      </c>
      <c r="R31" s="2" t="str">
        <f t="shared" si="8"/>
        <v>IS-4</v>
      </c>
      <c r="S31" s="2">
        <f>VLOOKUP($R31,坦克个性化设定!$B$51:$T$81,MATCH(S$3,坦克个性化设定!$B$51:$T$51,0),FALSE)</f>
        <v>2</v>
      </c>
      <c r="T31" s="2">
        <f>VLOOKUP($R31,坦克个性化设定!$B$51:$T$81,MATCH(T$3,坦克个性化设定!$B$51:$T$51,0),FALSE)</f>
        <v>4.5</v>
      </c>
      <c r="U31" s="2">
        <f>VLOOKUP($R31,坦克个性化设定!$B$51:$T$81,MATCH(U$3,坦克个性化设定!$B$51:$T$51,0),FALSE)</f>
        <v>0</v>
      </c>
      <c r="V31" s="2">
        <f>VLOOKUP($R31,坦克个性化设定!$B$51:$T$81,MATCH(V$3,坦克个性化设定!$B$51:$T$51,0),FALSE)</f>
        <v>2</v>
      </c>
      <c r="W31" s="2">
        <f>VLOOKUP($R31,坦克个性化设定!$B$51:$T$81,MATCH(W$3,坦克个性化设定!$B$51:$T$51,0),FALSE)</f>
        <v>2.7</v>
      </c>
      <c r="X31" s="2">
        <f>VLOOKUP($R31,坦克个性化设定!$B$51:$T$81,MATCH(X$3,坦克个性化设定!$B$51:$T$51,0),FALSE)</f>
        <v>1.2</v>
      </c>
      <c r="Y31" s="34">
        <f>VLOOKUP($R31,坦克个性化设定!$B$51:$T$81,MATCH(Y$3,坦克个性化设定!$B$51:$T$51,0),FALSE)</f>
        <v>15.333333333333334</v>
      </c>
      <c r="AA31" s="2" t="str">
        <f t="shared" si="0"/>
        <v>IS-4</v>
      </c>
      <c r="AB31" s="2">
        <f t="shared" si="1"/>
        <v>2</v>
      </c>
      <c r="AC31" s="2">
        <f t="shared" si="2"/>
        <v>2</v>
      </c>
      <c r="AD31" s="2">
        <f t="shared" si="3"/>
        <v>2.7</v>
      </c>
      <c r="AE31" s="2">
        <f t="shared" si="4"/>
        <v>1.2</v>
      </c>
      <c r="AF31" s="34">
        <f t="shared" si="9"/>
        <v>1.44</v>
      </c>
      <c r="AG31" s="34">
        <f t="shared" si="10"/>
        <v>1.8750000000000002</v>
      </c>
      <c r="AH31" s="41">
        <v>1.2</v>
      </c>
      <c r="AI31" s="34">
        <f t="shared" si="11"/>
        <v>0.37500000000000022</v>
      </c>
      <c r="AJ31" s="2">
        <f>IF(VLOOKUP(AA31,坦克个性化设定!$B$51:$T$81,9,FALSE)=0,VLOOKUP(AA31,坦克个性化设定!$B$51:$T$81,10,FALSE),VLOOKUP(AA31,坦克个性化设定!$B$51:$T$81,9,FALSE))</f>
        <v>4.5</v>
      </c>
      <c r="AK31" s="2" t="str">
        <f>IF(LEN(VLOOKUP(AA31,坦克个性化设定!$B$18:$F$48,5,FALSE))=5,"单发",RIGHT(VLOOKUP(AA31,坦克个性化设定!$B$18:$F$48,5,FALSE),2))</f>
        <v>自动</v>
      </c>
      <c r="AL31" s="34">
        <f t="shared" si="5"/>
        <v>17.633333333333333</v>
      </c>
      <c r="AM31" s="34">
        <f t="shared" si="12"/>
        <v>2</v>
      </c>
      <c r="AN31" s="34">
        <f t="shared" si="13"/>
        <v>3.8379530916844349</v>
      </c>
      <c r="AO31" s="34">
        <f t="shared" si="6"/>
        <v>0.14712153518123669</v>
      </c>
      <c r="AP31" s="34">
        <f t="shared" si="14"/>
        <v>0.66204690831556512</v>
      </c>
    </row>
    <row r="32" spans="5:42" x14ac:dyDescent="0.3">
      <c r="E32" s="2" t="s">
        <v>657</v>
      </c>
      <c r="F32" s="2">
        <f>VLOOKUP($E32,坦克个性化设定!$B$51:$T$81,MATCH(F$3,坦克个性化设定!$B$51:$T$51,0),FALSE)</f>
        <v>6</v>
      </c>
      <c r="G32" s="2">
        <f>VLOOKUP($E32,坦克个性化设定!$B$51:$T$81,MATCH(G$3,坦克个性化设定!$B$51:$T$51,0),FALSE)</f>
        <v>0</v>
      </c>
      <c r="I32" s="2" t="s">
        <v>657</v>
      </c>
      <c r="J32" s="21" t="s">
        <v>176</v>
      </c>
      <c r="K32" s="2">
        <f>ROUND(VLOOKUP(I32,坦克个性化设定!$G$84:$T$114,MATCH(K$3,坦克个性化设定!$G$84:$T$84,0),FALSE)*VLOOKUP(J32,$B$3:$C$6,2,FALSE),1)</f>
        <v>32.200000000000003</v>
      </c>
      <c r="L32" s="2">
        <f>K32/坦克个性化设定!$M$4*坦克个性化设定!$M$5</f>
        <v>8.0499999999999989</v>
      </c>
      <c r="M32" s="2">
        <f>ROUND(VLOOKUP(I32,坦克个性化设定!$G$84:$T$114,MATCH(M$3,坦克个性化设定!$G$84:$T$84,0),FALSE)*VLOOKUP(J32,$B$3:$C$6,2,FALSE),1)</f>
        <v>36.799999999999997</v>
      </c>
      <c r="N32" s="2">
        <f>M32/坦克个性化设定!$M$4*坦克个性化设定!$M$5</f>
        <v>9.1999999999999957</v>
      </c>
      <c r="O32" s="2">
        <f>ROUND(VLOOKUP(I32,坦克个性化设定!$G$84:$T$114,MATCH(O$3,坦克个性化设定!$G$84:$T$84,0),FALSE)*VLOOKUP(J32,$B$3:$C$6,2,FALSE),1)</f>
        <v>6.6</v>
      </c>
      <c r="P32" s="2">
        <f t="shared" si="7"/>
        <v>0</v>
      </c>
      <c r="R32" s="2" t="str">
        <f t="shared" si="8"/>
        <v>T-32</v>
      </c>
      <c r="S32" s="2">
        <f>VLOOKUP($R32,坦克个性化设定!$B$51:$T$81,MATCH(S$3,坦克个性化设定!$B$51:$T$51,0),FALSE)</f>
        <v>1</v>
      </c>
      <c r="T32" s="2">
        <f>VLOOKUP($R32,坦克个性化设定!$B$51:$T$81,MATCH(T$3,坦克个性化设定!$B$51:$T$51,0),FALSE)</f>
        <v>6</v>
      </c>
      <c r="U32" s="2">
        <f>VLOOKUP($R32,坦克个性化设定!$B$51:$T$81,MATCH(U$3,坦克个性化设定!$B$51:$T$51,0),FALSE)</f>
        <v>0</v>
      </c>
      <c r="V32" s="2">
        <f>VLOOKUP($R32,坦克个性化设定!$B$51:$T$81,MATCH(V$3,坦克个性化设定!$B$51:$T$51,0),FALSE)</f>
        <v>0</v>
      </c>
      <c r="W32" s="2">
        <f>VLOOKUP($R32,坦克个性化设定!$B$51:$T$81,MATCH(W$3,坦克个性化设定!$B$51:$T$51,0),FALSE)</f>
        <v>3</v>
      </c>
      <c r="X32" s="2">
        <f>VLOOKUP($R32,坦克个性化设定!$B$51:$T$81,MATCH(X$3,坦克个性化设定!$B$51:$T$51,0),FALSE)</f>
        <v>1</v>
      </c>
      <c r="Y32" s="34">
        <f>VLOOKUP($R32,坦克个性化设定!$B$51:$T$81,MATCH(Y$3,坦克个性化设定!$B$51:$T$51,0),FALSE)</f>
        <v>11</v>
      </c>
      <c r="AA32" s="2" t="str">
        <f t="shared" si="0"/>
        <v>T-32</v>
      </c>
      <c r="AB32" s="2">
        <f t="shared" si="1"/>
        <v>1</v>
      </c>
      <c r="AC32" s="2">
        <f t="shared" si="2"/>
        <v>0</v>
      </c>
      <c r="AD32" s="2">
        <f t="shared" si="3"/>
        <v>3</v>
      </c>
      <c r="AE32" s="2">
        <f t="shared" si="4"/>
        <v>1</v>
      </c>
      <c r="AF32" s="34">
        <f t="shared" si="9"/>
        <v>1.2</v>
      </c>
      <c r="AG32" s="34">
        <f t="shared" si="10"/>
        <v>2.5</v>
      </c>
      <c r="AH32" s="41">
        <v>1.2</v>
      </c>
      <c r="AI32" s="34">
        <f t="shared" si="11"/>
        <v>0.5</v>
      </c>
      <c r="AJ32" s="2">
        <f>IF(VLOOKUP(AA32,坦克个性化设定!$B$51:$T$81,9,FALSE)=0,VLOOKUP(AA32,坦克个性化设定!$B$51:$T$81,10,FALSE),VLOOKUP(AA32,坦克个性化设定!$B$51:$T$81,9,FALSE))</f>
        <v>6</v>
      </c>
      <c r="AK32" s="2" t="str">
        <f>IF(LEN(VLOOKUP(AA32,坦克个性化设定!$B$18:$F$48,5,FALSE))=5,"单发",RIGHT(VLOOKUP(AA32,坦克个性化设定!$B$18:$F$48,5,FALSE),2))</f>
        <v>单发</v>
      </c>
      <c r="AL32" s="34">
        <f t="shared" si="5"/>
        <v>12.649999999999999</v>
      </c>
      <c r="AM32" s="34">
        <f t="shared" si="12"/>
        <v>0</v>
      </c>
      <c r="AN32" s="34">
        <f t="shared" si="13"/>
        <v>5.1502145922746791</v>
      </c>
      <c r="AO32" s="34">
        <f t="shared" si="6"/>
        <v>0.14163090128755348</v>
      </c>
      <c r="AP32" s="34">
        <f t="shared" si="14"/>
        <v>0.84978540772532085</v>
      </c>
    </row>
    <row r="33" spans="5:42" x14ac:dyDescent="0.3">
      <c r="E33" s="2" t="s">
        <v>659</v>
      </c>
      <c r="F33" s="2">
        <f>VLOOKUP($E33,坦克个性化设定!$B$51:$T$81,MATCH(F$3,坦克个性化设定!$B$51:$T$51,0),FALSE)</f>
        <v>6</v>
      </c>
      <c r="G33" s="2">
        <f>VLOOKUP($E33,坦克个性化设定!$B$51:$T$81,MATCH(G$3,坦克个性化设定!$B$51:$T$51,0),FALSE)</f>
        <v>0</v>
      </c>
      <c r="I33" s="2" t="s">
        <v>659</v>
      </c>
      <c r="J33" s="21" t="s">
        <v>175</v>
      </c>
      <c r="K33" s="2">
        <f>ROUND(VLOOKUP(I33,坦克个性化设定!$G$84:$T$114,MATCH(K$3,坦克个性化设定!$G$84:$T$84,0),FALSE)*VLOOKUP(J33,$B$3:$C$6,2,FALSE),1)</f>
        <v>30.7</v>
      </c>
      <c r="L33" s="2">
        <f>K33/坦克个性化设定!$M$4*坦克个性化设定!$M$5</f>
        <v>7.674999999999998</v>
      </c>
      <c r="M33" s="2">
        <f>ROUND(VLOOKUP(I33,坦克个性化设定!$G$84:$T$114,MATCH(M$3,坦克个性化设定!$G$84:$T$84,0),FALSE)*VLOOKUP(J33,$B$3:$C$6,2,FALSE),1)</f>
        <v>35</v>
      </c>
      <c r="N33" s="2">
        <f>M33/坦克个性化设定!$M$4*坦克个性化设定!$M$5</f>
        <v>8.7499999999999982</v>
      </c>
      <c r="O33" s="2">
        <f>ROUND(VLOOKUP(I33,坦克个性化设定!$G$84:$T$114,MATCH(O$3,坦克个性化设定!$G$84:$T$84,0),FALSE)*VLOOKUP(J33,$B$3:$C$6,2,FALSE),1)</f>
        <v>6.3</v>
      </c>
      <c r="P33" s="2">
        <f t="shared" si="7"/>
        <v>0</v>
      </c>
      <c r="R33" s="2" t="str">
        <f t="shared" si="8"/>
        <v>M1A2</v>
      </c>
      <c r="S33" s="2">
        <f>VLOOKUP($R33,坦克个性化设定!$B$51:$T$81,MATCH(S$3,坦克个性化设定!$B$51:$T$51,0),FALSE)</f>
        <v>1</v>
      </c>
      <c r="T33" s="2">
        <f>VLOOKUP($R33,坦克个性化设定!$B$51:$T$81,MATCH(T$3,坦克个性化设定!$B$51:$T$51,0),FALSE)</f>
        <v>6</v>
      </c>
      <c r="U33" s="2">
        <f>VLOOKUP($R33,坦克个性化设定!$B$51:$T$81,MATCH(U$3,坦克个性化设定!$B$51:$T$51,0),FALSE)</f>
        <v>0</v>
      </c>
      <c r="V33" s="2">
        <f>VLOOKUP($R33,坦克个性化设定!$B$51:$T$81,MATCH(V$3,坦克个性化设定!$B$51:$T$51,0),FALSE)</f>
        <v>0</v>
      </c>
      <c r="W33" s="2">
        <f>VLOOKUP($R33,坦克个性化设定!$B$51:$T$81,MATCH(W$3,坦克个性化设定!$B$51:$T$51,0),FALSE)</f>
        <v>3</v>
      </c>
      <c r="X33" s="2">
        <f>VLOOKUP($R33,坦克个性化设定!$B$51:$T$81,MATCH(X$3,坦克个性化设定!$B$51:$T$51,0),FALSE)</f>
        <v>1</v>
      </c>
      <c r="Y33" s="34">
        <f>VLOOKUP($R33,坦克个性化设定!$B$51:$T$81,MATCH(Y$3,坦克个性化设定!$B$51:$T$51,0),FALSE)</f>
        <v>11</v>
      </c>
      <c r="AA33" s="2" t="str">
        <f t="shared" si="0"/>
        <v>M1A2</v>
      </c>
      <c r="AB33" s="2">
        <f t="shared" si="1"/>
        <v>1</v>
      </c>
      <c r="AC33" s="2">
        <f t="shared" si="2"/>
        <v>0</v>
      </c>
      <c r="AD33" s="2">
        <f t="shared" si="3"/>
        <v>3</v>
      </c>
      <c r="AE33" s="2">
        <f t="shared" si="4"/>
        <v>1</v>
      </c>
      <c r="AF33" s="34">
        <f t="shared" si="9"/>
        <v>1.2</v>
      </c>
      <c r="AG33" s="34">
        <f t="shared" si="10"/>
        <v>2.5</v>
      </c>
      <c r="AH33" s="41">
        <v>1.2</v>
      </c>
      <c r="AI33" s="34">
        <f t="shared" si="11"/>
        <v>0.5</v>
      </c>
      <c r="AJ33" s="2">
        <f>IF(VLOOKUP(AA33,坦克个性化设定!$B$51:$T$81,9,FALSE)=0,VLOOKUP(AA33,坦克个性化设定!$B$51:$T$81,10,FALSE),VLOOKUP(AA33,坦克个性化设定!$B$51:$T$81,9,FALSE))</f>
        <v>6</v>
      </c>
      <c r="AK33" s="2" t="str">
        <f>IF(LEN(VLOOKUP(AA33,坦克个性化设定!$B$18:$F$48,5,FALSE))=5,"单发",RIGHT(VLOOKUP(AA33,坦克个性化设定!$B$18:$F$48,5,FALSE),2))</f>
        <v>单发</v>
      </c>
      <c r="AL33" s="34">
        <f t="shared" si="5"/>
        <v>12.649999999999999</v>
      </c>
      <c r="AM33" s="34">
        <f t="shared" si="12"/>
        <v>0</v>
      </c>
      <c r="AN33" s="34">
        <f t="shared" si="13"/>
        <v>5.1502145922746791</v>
      </c>
      <c r="AO33" s="34">
        <f t="shared" si="6"/>
        <v>0.14163090128755348</v>
      </c>
      <c r="AP33" s="34">
        <f t="shared" si="14"/>
        <v>0.84978540772532085</v>
      </c>
    </row>
    <row r="36" spans="5:42" x14ac:dyDescent="0.3">
      <c r="AL36" s="129"/>
      <c r="AM36" s="129"/>
    </row>
  </sheetData>
  <mergeCells count="7">
    <mergeCell ref="R2:Y2"/>
    <mergeCell ref="AA2:AP2"/>
    <mergeCell ref="B8:C8"/>
    <mergeCell ref="B11:C11"/>
    <mergeCell ref="B2:C2"/>
    <mergeCell ref="E2:G2"/>
    <mergeCell ref="I2:P2"/>
  </mergeCells>
  <phoneticPr fontId="32" type="noConversion"/>
  <pageMargins left="0.7" right="0.7" top="0.75" bottom="0.75" header="0.3" footer="0.3"/>
  <ignoredErrors>
    <ignoredError sqref="O4:O33 M4:M33" formula="1"/>
  </ignoredErrors>
  <legacy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8"/>
  <dimension ref="B2:CA33"/>
  <sheetViews>
    <sheetView workbookViewId="0">
      <pane xSplit="8" ySplit="3" topLeftCell="R4" activePane="bottomRight" state="frozen"/>
      <selection pane="topRight"/>
      <selection pane="bottomLeft"/>
      <selection pane="bottomRight" activeCell="V5" sqref="V5"/>
    </sheetView>
  </sheetViews>
  <sheetFormatPr defaultColWidth="9" defaultRowHeight="14.25" x14ac:dyDescent="0.3"/>
  <cols>
    <col min="1" max="16384" width="9" style="1"/>
  </cols>
  <sheetData>
    <row r="2" spans="2:79" ht="15.75" customHeight="1" x14ac:dyDescent="0.3">
      <c r="B2" s="351" t="s">
        <v>1201</v>
      </c>
      <c r="C2" s="351"/>
      <c r="D2" s="351"/>
      <c r="E2" s="351"/>
      <c r="F2" s="351"/>
      <c r="G2" s="351"/>
      <c r="H2" s="351"/>
      <c r="I2" s="351"/>
      <c r="J2" s="351"/>
      <c r="K2" s="351"/>
      <c r="L2" s="351"/>
      <c r="M2" s="351"/>
      <c r="N2" s="351"/>
      <c r="O2" s="351"/>
      <c r="P2" s="351"/>
      <c r="Q2" s="351"/>
      <c r="R2" s="351"/>
      <c r="S2" s="351"/>
      <c r="T2" s="351"/>
      <c r="U2" s="351"/>
      <c r="V2" s="351"/>
      <c r="W2" s="351"/>
      <c r="X2" s="351"/>
      <c r="Y2" s="351"/>
      <c r="Z2" s="351"/>
      <c r="AA2" s="351"/>
      <c r="AB2" s="351"/>
      <c r="AC2" s="351"/>
      <c r="AD2" s="351"/>
      <c r="AE2" s="351"/>
      <c r="AF2" s="351"/>
      <c r="AG2" s="351"/>
      <c r="AH2" s="351"/>
      <c r="AI2" s="351"/>
      <c r="AJ2" s="351"/>
      <c r="AK2" s="351"/>
      <c r="AL2" s="351"/>
      <c r="AM2" s="351"/>
      <c r="AN2" s="351"/>
      <c r="AO2" s="351"/>
      <c r="AP2" s="351"/>
      <c r="AQ2" s="351"/>
      <c r="AR2" s="351"/>
      <c r="AS2" s="351"/>
      <c r="AT2" s="351"/>
      <c r="AU2" s="351"/>
      <c r="AV2" s="351"/>
      <c r="AW2" s="351"/>
      <c r="AX2" s="351"/>
      <c r="AY2" s="351"/>
      <c r="AZ2" s="351"/>
      <c r="BA2" s="351"/>
      <c r="BB2" s="351"/>
      <c r="BC2" s="351"/>
      <c r="BD2" s="351"/>
      <c r="BE2" s="351"/>
      <c r="BF2" s="351"/>
      <c r="BG2" s="351"/>
      <c r="BH2" s="351"/>
      <c r="BI2" s="351"/>
      <c r="BJ2" s="25"/>
      <c r="BK2" s="25"/>
      <c r="BL2" s="25"/>
      <c r="BN2" s="351" t="s">
        <v>1202</v>
      </c>
      <c r="BO2" s="351"/>
      <c r="BP2" s="351"/>
      <c r="BQ2" s="351"/>
      <c r="BR2" s="351"/>
      <c r="BS2" s="351"/>
      <c r="BT2" s="351"/>
      <c r="BU2" s="351"/>
      <c r="BV2" s="351"/>
      <c r="BW2" s="351"/>
      <c r="BX2" s="351"/>
      <c r="BY2" s="351"/>
      <c r="BZ2" s="351"/>
      <c r="CA2" s="351"/>
    </row>
    <row r="3" spans="2:79" x14ac:dyDescent="0.3">
      <c r="B3" s="2" t="s">
        <v>599</v>
      </c>
      <c r="C3" s="2" t="s">
        <v>775</v>
      </c>
      <c r="D3" s="2" t="s">
        <v>602</v>
      </c>
      <c r="E3" s="2" t="s">
        <v>593</v>
      </c>
      <c r="F3" s="2" t="s">
        <v>1097</v>
      </c>
      <c r="G3" s="2" t="s">
        <v>1098</v>
      </c>
      <c r="H3" s="2" t="s">
        <v>85</v>
      </c>
      <c r="I3" s="2" t="s">
        <v>906</v>
      </c>
      <c r="J3" s="2" t="s">
        <v>907</v>
      </c>
      <c r="K3" s="2" t="s">
        <v>1127</v>
      </c>
      <c r="L3" s="2" t="s">
        <v>1111</v>
      </c>
      <c r="M3" s="2" t="s">
        <v>1123</v>
      </c>
      <c r="N3" s="2" t="s">
        <v>1124</v>
      </c>
      <c r="O3" s="2" t="s">
        <v>1128</v>
      </c>
      <c r="P3" s="2" t="s">
        <v>1129</v>
      </c>
      <c r="Q3" s="2" t="s">
        <v>1130</v>
      </c>
      <c r="R3" s="2" t="s">
        <v>90</v>
      </c>
      <c r="S3" s="84" t="s">
        <v>1170</v>
      </c>
      <c r="T3" s="84" t="s">
        <v>1169</v>
      </c>
      <c r="U3" s="84" t="s">
        <v>1104</v>
      </c>
      <c r="V3" s="84" t="s">
        <v>171</v>
      </c>
      <c r="W3" s="2" t="s">
        <v>1112</v>
      </c>
      <c r="X3" s="84" t="s">
        <v>1110</v>
      </c>
      <c r="Y3" s="2" t="s">
        <v>1114</v>
      </c>
      <c r="Z3" s="2" t="s">
        <v>1115</v>
      </c>
      <c r="AA3" s="84" t="s">
        <v>1116</v>
      </c>
      <c r="AB3" s="2" t="s">
        <v>1120</v>
      </c>
      <c r="AC3" s="2" t="s">
        <v>1121</v>
      </c>
      <c r="AD3" s="2" t="s">
        <v>1122</v>
      </c>
      <c r="AE3" s="84" t="s">
        <v>1125</v>
      </c>
      <c r="AF3" s="2" t="s">
        <v>1126</v>
      </c>
      <c r="AG3" s="2" t="s">
        <v>1131</v>
      </c>
      <c r="AH3" s="2" t="s">
        <v>1132</v>
      </c>
      <c r="AI3" s="2" t="s">
        <v>888</v>
      </c>
      <c r="AJ3" s="2" t="s">
        <v>889</v>
      </c>
      <c r="AK3" s="2" t="s">
        <v>890</v>
      </c>
      <c r="AL3" s="2" t="s">
        <v>86</v>
      </c>
      <c r="AM3" s="2" t="s">
        <v>88</v>
      </c>
      <c r="AN3" s="2" t="s">
        <v>89</v>
      </c>
      <c r="AO3" s="84" t="s">
        <v>845</v>
      </c>
      <c r="AP3" s="2" t="s">
        <v>759</v>
      </c>
      <c r="AQ3" s="2" t="s">
        <v>760</v>
      </c>
      <c r="AR3" s="2" t="s">
        <v>761</v>
      </c>
      <c r="AS3" s="2" t="s">
        <v>76</v>
      </c>
      <c r="AT3" s="2" t="s">
        <v>124</v>
      </c>
      <c r="AU3" s="2" t="s">
        <v>762</v>
      </c>
      <c r="AV3" s="2" t="s">
        <v>1203</v>
      </c>
      <c r="AW3" s="2" t="s">
        <v>1204</v>
      </c>
      <c r="AX3" s="2" t="s">
        <v>1205</v>
      </c>
      <c r="AY3" s="2" t="s">
        <v>1206</v>
      </c>
      <c r="AZ3" s="2" t="s">
        <v>1207</v>
      </c>
      <c r="BA3" s="2" t="s">
        <v>1208</v>
      </c>
      <c r="BB3" s="2" t="s">
        <v>1209</v>
      </c>
      <c r="BC3" s="2" t="s">
        <v>911</v>
      </c>
      <c r="BD3" s="2" t="s">
        <v>912</v>
      </c>
      <c r="BE3" s="2" t="s">
        <v>913</v>
      </c>
      <c r="BF3" s="2" t="s">
        <v>914</v>
      </c>
      <c r="BG3" s="2" t="s">
        <v>915</v>
      </c>
      <c r="BH3" s="2" t="s">
        <v>916</v>
      </c>
      <c r="BI3" s="2" t="s">
        <v>917</v>
      </c>
      <c r="BJ3" s="25"/>
      <c r="BK3" s="2" t="s">
        <v>1206</v>
      </c>
      <c r="BL3" s="2" t="s">
        <v>1210</v>
      </c>
      <c r="BM3" s="1" t="s">
        <v>1211</v>
      </c>
      <c r="BN3" s="2" t="s">
        <v>275</v>
      </c>
      <c r="BO3" s="2" t="s">
        <v>775</v>
      </c>
      <c r="BP3" s="2" t="s">
        <v>775</v>
      </c>
      <c r="BQ3" s="2" t="s">
        <v>593</v>
      </c>
      <c r="BR3" s="2" t="s">
        <v>1212</v>
      </c>
      <c r="BS3" s="2" t="s">
        <v>759</v>
      </c>
      <c r="BT3" s="2" t="s">
        <v>760</v>
      </c>
      <c r="BU3" s="2" t="s">
        <v>761</v>
      </c>
      <c r="BV3" s="2" t="s">
        <v>76</v>
      </c>
      <c r="BW3" s="2" t="s">
        <v>124</v>
      </c>
      <c r="BX3" s="2" t="s">
        <v>762</v>
      </c>
      <c r="BY3" s="2" t="s">
        <v>1203</v>
      </c>
      <c r="BZ3" s="42" t="s">
        <v>1204</v>
      </c>
      <c r="CA3" s="42" t="s">
        <v>1205</v>
      </c>
    </row>
    <row r="4" spans="2:79" x14ac:dyDescent="0.3">
      <c r="B4" s="2" t="str">
        <f>坦克个性化设定!B19</f>
        <v>雷诺FT</v>
      </c>
      <c r="C4" s="2" t="str">
        <f>VLOOKUP(B4,坦克个性化设定!$B$18:$E$48,4,FALSE)</f>
        <v>T1</v>
      </c>
      <c r="D4" s="2" t="str">
        <f>坦克个性化细分!J4</f>
        <v>低</v>
      </c>
      <c r="E4" s="2" t="str">
        <f>C4&amp;D4&amp;"0"</f>
        <v>T1低0</v>
      </c>
      <c r="F4" s="2" t="str">
        <f>VLOOKUP($B4,坦克个性化设定!$B$18:$BC$48,MATCH(F$3,坦克个性化设定!$B$18:$BC$18,0),FALSE)</f>
        <v>轻坦</v>
      </c>
      <c r="G4" s="2" t="str">
        <f>VLOOKUP($B4,坦克个性化设定!$B$18:$BC$48,MATCH(G$3,坦克个性化设定!$B$18:$BC$18,0),FALSE)</f>
        <v>轻坦弹夹</v>
      </c>
      <c r="H4" s="2" t="str">
        <f>IF(LEN(G4)=5,RIGHT(G4,3)&amp;"装弹",RIGHT(G4,2)&amp;"装弹")</f>
        <v>弹夹装弹</v>
      </c>
      <c r="I4" s="2">
        <f>VLOOKUP($B4,坦克个性化设定!$B$18:$BC$48,MATCH(I$3,坦克个性化设定!$B$18:$BC$18,0),FALSE)</f>
        <v>4.74</v>
      </c>
      <c r="J4" s="2">
        <f>VLOOKUP($B4,坦克个性化设定!$B$18:$BC$48,MATCH(J$3,坦克个性化设定!$B$18:$BC$18,0),FALSE)</f>
        <v>2.11</v>
      </c>
      <c r="K4" s="2">
        <f>VLOOKUP($B4,坦克个性化设定!$B$18:$BC$48,MATCH(K$3,坦克个性化设定!$B$18:$BC$18,0),FALSE)</f>
        <v>0.3</v>
      </c>
      <c r="L4" s="34">
        <f>VLOOKUP($B4,坦克个性化设定!$B$18:$BC$48,MATCH(L$3,坦克个性化设定!$B$18:$BC$18,0),FALSE)</f>
        <v>2.1563141881038952</v>
      </c>
      <c r="M4" s="34">
        <f>VLOOKUP($B4,坦克个性化设定!$B$18:$BC$48,MATCH(M$3,坦克个性化设定!$B$18:$BC$18,0),FALSE)</f>
        <v>21</v>
      </c>
      <c r="N4" s="34">
        <f>VLOOKUP($B4,坦克个性化设定!$B$18:$BC$48,MATCH(N$3,坦克个性化设定!$B$18:$BC$18,0),FALSE)</f>
        <v>35</v>
      </c>
      <c r="O4" s="2">
        <f>VLOOKUP($B4,坦克个性化设定!$B$18:$BC$48,MATCH(O$3,坦克个性化设定!$B$18:$BC$18,0),FALSE)</f>
        <v>1</v>
      </c>
      <c r="P4" s="2">
        <f>VLOOKUP($B4,坦克个性化设定!$B$18:$BC$48,MATCH(P$3,坦克个性化设定!$B$18:$BC$18,0),FALSE)</f>
        <v>1</v>
      </c>
      <c r="Q4" s="2">
        <f>VLOOKUP($B4,坦克个性化设定!$B$18:$BC$48,MATCH(Q$3,坦克个性化设定!$B$18:$BC$18,0),FALSE)</f>
        <v>1</v>
      </c>
      <c r="R4" s="2">
        <f>VLOOKUP($B4,坦克个性化设定!$B$18:$BC$48,MATCH(R$3,坦克个性化设定!$B$18:$BC$18,0),FALSE)</f>
        <v>0.60000000000000009</v>
      </c>
      <c r="S4" s="34">
        <f>VLOOKUP($B4,坦克个性化设定!$B$51:$T$81,MATCH(S$3,坦克个性化设定!$B$51:$T$51,0),FALSE)</f>
        <v>0.24</v>
      </c>
      <c r="T4" s="34">
        <f>VLOOKUP($B4,坦克个性化设定!$B$51:$T$81,MATCH(T$3,坦克个性化设定!$B$51:$T$51,0),FALSE)</f>
        <v>0.45</v>
      </c>
      <c r="U4" s="34">
        <f>VLOOKUP($B4,坦克个性化设定!$B$18:$BC$48,MATCH(U$3,坦克个性化设定!$B$18:$BC$18,0),FALSE)</f>
        <v>0.86</v>
      </c>
      <c r="V4" s="2">
        <f>VLOOKUP($B4,坦克个性化设定!$B$18:$BC$48,MATCH(V$3,坦克个性化设定!$B$18:$BC$18,0),FALSE)</f>
        <v>1.2</v>
      </c>
      <c r="W4" s="2">
        <f>VLOOKUP($B4,坦克个性化设定!$B$18:$BC$48,MATCH(W$3,坦克个性化设定!$B$18:$BC$18,0),FALSE)</f>
        <v>0</v>
      </c>
      <c r="X4" s="2">
        <f>VLOOKUP($B4,坦克个性化设定!$B$18:$BC$48,MATCH(X$3,坦克个性化设定!$B$18:$BC$18,0),FALSE)</f>
        <v>1</v>
      </c>
      <c r="Y4" s="34">
        <f>VLOOKUP($B4,坦克个性化设定!$B$18:$BC$48,MATCH(Y$3,坦克个性化设定!$B$18:$BC$18,0),FALSE)</f>
        <v>11.783831986523932</v>
      </c>
      <c r="Z4" s="34">
        <f>VLOOKUP($B4,坦克个性化设定!$B$18:$BC$48,MATCH(Z$3,坦克个性化设定!$B$18:$BC$18,0),FALSE)</f>
        <v>58.919159932619657</v>
      </c>
      <c r="AA4" s="34">
        <f>VLOOKUP($B4,坦克个性化设定!$B$18:$BC$48,MATCH(AA$3,坦克个性化设定!$B$18:$BC$18,0),FALSE)</f>
        <v>0.58499999999999996</v>
      </c>
      <c r="AB4" s="34">
        <f>VLOOKUP($B4,坦克个性化设定!$B$18:$BC$48,MATCH(AB$3,坦克个性化设定!$B$18:$BC$18,0),FALSE)</f>
        <v>10.5</v>
      </c>
      <c r="AC4" s="34">
        <f>VLOOKUP($B4,坦克个性化设定!$B$18:$BC$48,MATCH(AC$3,坦克个性化设定!$B$18:$BC$18,0),FALSE)</f>
        <v>7</v>
      </c>
      <c r="AD4" s="34">
        <f>VLOOKUP($B4,坦克个性化设定!$B$18:$BC$48,MATCH(AD$3,坦克个性化设定!$B$18:$BC$18,0),FALSE)</f>
        <v>10.5</v>
      </c>
      <c r="AE4" s="34">
        <f>VLOOKUP($B4,坦克个性化设定!$B$18:$BC$48,MATCH(AE$3,坦克个性化设定!$B$18:$BC$18,0),FALSE)</f>
        <v>0.58499999999999996</v>
      </c>
      <c r="AF4" s="2">
        <f>VLOOKUP($B4,坦克个性化设定!$B$18:$BC$48,MATCH(AF$3,坦克个性化设定!$B$18:$BC$18,0),FALSE)</f>
        <v>0.2</v>
      </c>
      <c r="AG4" s="2">
        <f>VLOOKUP($B4,坦克个性化设定!$B$18:$BC$48,MATCH(AG$3,坦克个性化设定!$B$18:$BC$18,0),FALSE)</f>
        <v>30</v>
      </c>
      <c r="AH4" s="2">
        <f>VLOOKUP($B4,坦克个性化设定!$B$18:$BC$48,MATCH(AH$3,坦克个性化设定!$B$18:$BC$18,0),FALSE)</f>
        <v>35</v>
      </c>
      <c r="AI4" s="2">
        <f>VLOOKUP(B4,坦克个性化细分!$I$3:$P$33,3,FALSE)</f>
        <v>47.1</v>
      </c>
      <c r="AJ4" s="2">
        <f>VLOOKUP(B4,坦克个性化细分!$I$3:$P$33,5,FALSE)</f>
        <v>45</v>
      </c>
      <c r="AK4" s="2">
        <f>VLOOKUP(B4,坦克个性化细分!$I$3:$P$33,7,FALSE)</f>
        <v>10.5</v>
      </c>
      <c r="AL4" s="2">
        <f>VLOOKUP($B4,坦克个性化设定!$G$84:$T$114,MATCH(AL$3,坦克个性化设定!$G$84:$T$84,0),FALSE)</f>
        <v>18</v>
      </c>
      <c r="AM4" s="2">
        <f>VLOOKUP($B4,坦克个性化细分!$E$3:$G$33,2,FALSE)</f>
        <v>0</v>
      </c>
      <c r="AN4" s="2">
        <f>VLOOKUP($B4,坦克个性化细分!$E$3:$G$33,3,FALSE)</f>
        <v>7.56</v>
      </c>
      <c r="AO4" s="34">
        <f t="shared" ref="AO4:AO33" si="0">T4/V4</f>
        <v>0.375</v>
      </c>
      <c r="AP4" s="33">
        <f t="shared" ref="AP4:AP33" ca="1" si="1">ROUND(BS4,0)</f>
        <v>633</v>
      </c>
      <c r="AQ4" s="33">
        <f t="shared" ref="AQ4:AQ33" ca="1" si="2">ROUND(BT4,0)</f>
        <v>56</v>
      </c>
      <c r="AR4" s="33">
        <f t="shared" ref="AR4:AR33" ca="1" si="3">ROUND(BU4,0)</f>
        <v>329</v>
      </c>
      <c r="AS4" s="33">
        <f t="shared" ref="AS4:AS33" ca="1" si="4">ROUND(BV4,0)</f>
        <v>131</v>
      </c>
      <c r="AT4" s="33">
        <f t="shared" ref="AT4:AT33" ca="1" si="5">ROUND(BW4,0)</f>
        <v>300</v>
      </c>
      <c r="AU4" s="33">
        <f t="shared" ref="AU4:AU33" ca="1" si="6">ROUND(BX4,0)</f>
        <v>80</v>
      </c>
      <c r="AV4" s="33">
        <f>ROUND(BY4,0)</f>
        <v>0</v>
      </c>
      <c r="AW4" s="33">
        <f>ROUND(BZ4,0)</f>
        <v>0</v>
      </c>
      <c r="AX4" s="33">
        <f>ROUND(CA4,0)</f>
        <v>0</v>
      </c>
      <c r="AY4" s="2">
        <f t="shared" ref="AY4:AY33" si="7">VLOOKUP(RIGHT(G4,LEN(G4)-2),$BK$3:$BL$7,2,FALSE)</f>
        <v>4</v>
      </c>
      <c r="AZ4" s="2">
        <f>基础属性系数!$E$61</f>
        <v>0</v>
      </c>
      <c r="BA4" s="2">
        <v>50</v>
      </c>
      <c r="BB4" s="2">
        <v>10</v>
      </c>
      <c r="BC4" s="2">
        <f>VLOOKUP($B4,坦克类型系数!$B$3:$R$33,MATCH(BC$3,坦克类型系数!$B$3:$R$3,0),FALSE)</f>
        <v>0</v>
      </c>
      <c r="BD4" s="2">
        <f>VLOOKUP($B4,坦克类型系数!$B$3:$R$33,MATCH(BD$3,坦克类型系数!$B$3:$R$3,0),FALSE)</f>
        <v>2.1</v>
      </c>
      <c r="BE4" s="2">
        <f>VLOOKUP($B4,坦克类型系数!$B$3:$R$33,MATCH(BE$3,坦克类型系数!$B$3:$R$3,0),FALSE)</f>
        <v>1.7</v>
      </c>
      <c r="BF4" s="2">
        <f>VLOOKUP($B4,坦克类型系数!$B$3:$R$33,MATCH(BF$3,坦克类型系数!$B$3:$R$3,0),FALSE)</f>
        <v>1.7</v>
      </c>
      <c r="BG4" s="2">
        <f>VLOOKUP($B4,坦克类型系数!$B$3:$R$33,MATCH(BG$3,坦克类型系数!$B$3:$R$3,0),FALSE)</f>
        <v>1</v>
      </c>
      <c r="BH4" s="2">
        <f>VLOOKUP($B4,坦克类型系数!$B$3:$R$33,MATCH(BH$3,坦克类型系数!$B$3:$R$3,0),FALSE)</f>
        <v>1</v>
      </c>
      <c r="BI4" s="2">
        <f>VLOOKUP($B4,坦克类型系数!$B$3:$R$33,MATCH(BI$3,坦克类型系数!$B$3:$R$3,0),FALSE)</f>
        <v>0.85</v>
      </c>
      <c r="BJ4" s="25"/>
      <c r="BK4" s="2" t="s">
        <v>1213</v>
      </c>
      <c r="BL4" s="2">
        <v>4</v>
      </c>
      <c r="BM4" s="1" t="s">
        <v>1211</v>
      </c>
      <c r="BN4" s="2" t="str">
        <f t="shared" ref="BN4:BN33" si="8">B4</f>
        <v>雷诺FT</v>
      </c>
      <c r="BO4" s="2" t="str">
        <f>VLOOKUP(BN4,坦克个性化设定!$B$18:$E$48,MATCH(BO$3,坦克个性化设定!$B$18:$E$18,0),FALSE)</f>
        <v>T1</v>
      </c>
      <c r="BP4" s="2" t="str">
        <f t="shared" ref="BP4:BP33" si="9">D4</f>
        <v>低</v>
      </c>
      <c r="BQ4" s="2" t="s">
        <v>777</v>
      </c>
      <c r="BR4" s="2"/>
      <c r="BS4" s="42">
        <f ca="1">VLOOKUP($BN4&amp;$BQ4,坦克标准养成属性!$S$3:$AE$63,MATCH(BS$3,坦克标准养成属性!$S$3:$AE$3,0),FALSE)</f>
        <v>632.83455863768916</v>
      </c>
      <c r="BT4" s="42">
        <f ca="1">VLOOKUP($BN4&amp;$BQ4,坦克标准养成属性!$S$3:$AE$63,MATCH(BT$3,坦克标准养成属性!$S$3:$AE$3,0),FALSE)</f>
        <v>56.358231711532774</v>
      </c>
      <c r="BU4" s="42">
        <f ca="1">VLOOKUP($BN4&amp;$BQ4,坦克标准养成属性!$S$3:$AE$63,MATCH(BU$3,坦克标准养成属性!$S$3:$AE$3,0),FALSE)</f>
        <v>329</v>
      </c>
      <c r="BV4" s="42">
        <f ca="1">VLOOKUP($BN4&amp;$BQ4,坦克标准养成属性!$S$3:$AE$63,MATCH(BV$3,坦克标准养成属性!$S$3:$AE$3,0),FALSE)</f>
        <v>131</v>
      </c>
      <c r="BW4" s="42">
        <f ca="1">VLOOKUP($BN4&amp;$BQ4,坦克标准养成属性!$S$3:$AE$63,MATCH(BW$3,坦克标准养成属性!$S$3:$AE$3,0),FALSE)</f>
        <v>300</v>
      </c>
      <c r="BX4" s="42">
        <f ca="1">VLOOKUP($BN4&amp;$BQ4,坦克标准养成属性!$S$3:$AE$63,MATCH(BX$3,坦克标准养成属性!$S$3:$AE$3,0),FALSE)</f>
        <v>80</v>
      </c>
      <c r="BY4" s="2">
        <f>IFERROR((VLOOKUP(LEFT(BR4,1)*1,坦克部件!$N$3:$W$9,MATCH("升星属性",坦克部件!$N$3:$W$3,0),FALSE)+VLOOKUP(RIGHT(BR4,1)*1,坦克部件!$Y$3:$AC$38,MATCH("累计属性",坦克部件!$Y$3:$AC$3,0),FALSE))*2,0)</f>
        <v>0</v>
      </c>
      <c r="BZ4" s="42">
        <f>BY4</f>
        <v>0</v>
      </c>
      <c r="CA4" s="42">
        <f>BY4</f>
        <v>0</v>
      </c>
    </row>
    <row r="5" spans="2:79" x14ac:dyDescent="0.3">
      <c r="B5" s="2" t="str">
        <f>坦克个性化设定!B20</f>
        <v>二号</v>
      </c>
      <c r="C5" s="2" t="str">
        <f>VLOOKUP(B5,坦克个性化设定!$B$18:$E$48,4,FALSE)</f>
        <v>T2</v>
      </c>
      <c r="D5" s="2" t="str">
        <f>坦克个性化细分!J5</f>
        <v>低</v>
      </c>
      <c r="E5" s="2" t="str">
        <f t="shared" ref="E5:E25" si="10">C5&amp;D5&amp;"0"</f>
        <v>T2低0</v>
      </c>
      <c r="F5" s="2" t="str">
        <f>VLOOKUP($B5,坦克个性化设定!$B$18:$BC$48,MATCH(F$3,坦克个性化设定!$B$18:$BC$18,0),FALSE)</f>
        <v>轻坦</v>
      </c>
      <c r="G5" s="2" t="str">
        <f>VLOOKUP($B5,坦克个性化设定!$B$18:$BC$48,MATCH(G$3,坦克个性化设定!$B$18:$BC$18,0),FALSE)</f>
        <v>轻坦弹夹</v>
      </c>
      <c r="H5" s="2" t="str">
        <f t="shared" ref="H5:H33" si="11">IF(LEN(G5)=5,RIGHT(G5,3)&amp;"装弹",RIGHT(G5,2)&amp;"装弹")</f>
        <v>弹夹装弹</v>
      </c>
      <c r="I5" s="2">
        <f>VLOOKUP($B5,坦克个性化设定!$B$18:$BC$48,MATCH(I$3,坦克个性化设定!$B$18:$BC$18,0),FALSE)</f>
        <v>4.8099999999999996</v>
      </c>
      <c r="J5" s="2">
        <f>VLOOKUP($B5,坦克个性化设定!$B$18:$BC$48,MATCH(J$3,坦克个性化设定!$B$18:$BC$18,0),FALSE)</f>
        <v>2.2599999999999998</v>
      </c>
      <c r="K5" s="2">
        <f>VLOOKUP($B5,坦克个性化设定!$B$18:$BC$48,MATCH(K$3,坦克个性化设定!$B$18:$BC$18,0),FALSE)</f>
        <v>0.3</v>
      </c>
      <c r="L5" s="34">
        <f>VLOOKUP($B5,坦克个性化设定!$B$18:$BC$48,MATCH(L$3,坦克个性化设定!$B$18:$BC$18,0),FALSE)</f>
        <v>2.1563141881038952</v>
      </c>
      <c r="M5" s="34">
        <f>VLOOKUP($B5,坦克个性化设定!$B$18:$BC$48,MATCH(M$3,坦克个性化设定!$B$18:$BC$18,0),FALSE)</f>
        <v>21</v>
      </c>
      <c r="N5" s="34">
        <f>VLOOKUP($B5,坦克个性化设定!$B$18:$BC$48,MATCH(N$3,坦克个性化设定!$B$18:$BC$18,0),FALSE)</f>
        <v>35</v>
      </c>
      <c r="O5" s="2">
        <f>VLOOKUP($B5,坦克个性化设定!$B$18:$BC$48,MATCH(O$3,坦克个性化设定!$B$18:$BC$18,0),FALSE)</f>
        <v>1</v>
      </c>
      <c r="P5" s="2">
        <f>VLOOKUP($B5,坦克个性化设定!$B$18:$BC$48,MATCH(P$3,坦克个性化设定!$B$18:$BC$18,0),FALSE)</f>
        <v>1</v>
      </c>
      <c r="Q5" s="2">
        <f>VLOOKUP($B5,坦克个性化设定!$B$18:$BC$48,MATCH(Q$3,坦克个性化设定!$B$18:$BC$18,0),FALSE)</f>
        <v>1</v>
      </c>
      <c r="R5" s="2">
        <f>VLOOKUP($B5,坦克个性化设定!$B$18:$BC$48,MATCH(R$3,坦克个性化设定!$B$18:$BC$18,0),FALSE)</f>
        <v>0.60000000000000009</v>
      </c>
      <c r="S5" s="34">
        <f>VLOOKUP($B5,坦克个性化设定!$B$51:$T$81,MATCH(S$3,坦克个性化设定!$B$51:$T$51,0),FALSE)</f>
        <v>0.21818181818181814</v>
      </c>
      <c r="T5" s="34">
        <f>VLOOKUP($B5,坦克个性化设定!$B$51:$T$81,MATCH(T$3,坦克个性化设定!$B$51:$T$51,0),FALSE)</f>
        <v>0.44</v>
      </c>
      <c r="U5" s="34">
        <f>VLOOKUP($B5,坦克个性化设定!$B$18:$BC$48,MATCH(U$3,坦克个性化设定!$B$18:$BC$18,0),FALSE)</f>
        <v>0.7</v>
      </c>
      <c r="V5" s="2">
        <f>VLOOKUP($B5,坦克个性化设定!$B$18:$BC$48,MATCH(V$3,坦克个性化设定!$B$18:$BC$18,0),FALSE)</f>
        <v>1.2</v>
      </c>
      <c r="W5" s="2">
        <f>VLOOKUP($B5,坦克个性化设定!$B$18:$BC$48,MATCH(W$3,坦克个性化设定!$B$18:$BC$18,0),FALSE)</f>
        <v>0</v>
      </c>
      <c r="X5" s="2">
        <f>VLOOKUP($B5,坦克个性化设定!$B$18:$BC$48,MATCH(X$3,坦克个性化设定!$B$18:$BC$18,0),FALSE)</f>
        <v>1</v>
      </c>
      <c r="Y5" s="34">
        <f>VLOOKUP($B5,坦克个性化设定!$B$18:$BC$48,MATCH(Y$3,坦克个性化设定!$B$18:$BC$18,0),FALSE)</f>
        <v>11.783831986523932</v>
      </c>
      <c r="Z5" s="34">
        <f>VLOOKUP($B5,坦克个性化设定!$B$18:$BC$48,MATCH(Z$3,坦克个性化设定!$B$18:$BC$18,0),FALSE)</f>
        <v>58.919159932619657</v>
      </c>
      <c r="AA5" s="34">
        <f>VLOOKUP($B5,坦克个性化设定!$B$18:$BC$48,MATCH(AA$3,坦克个性化设定!$B$18:$BC$18,0),FALSE)</f>
        <v>0.58499999999999996</v>
      </c>
      <c r="AB5" s="34">
        <f>VLOOKUP($B5,坦克个性化设定!$B$18:$BC$48,MATCH(AB$3,坦克个性化设定!$B$18:$BC$18,0),FALSE)</f>
        <v>10.5</v>
      </c>
      <c r="AC5" s="34">
        <f>VLOOKUP($B5,坦克个性化设定!$B$18:$BC$48,MATCH(AC$3,坦克个性化设定!$B$18:$BC$18,0),FALSE)</f>
        <v>7</v>
      </c>
      <c r="AD5" s="34">
        <f>VLOOKUP($B5,坦克个性化设定!$B$18:$BC$48,MATCH(AD$3,坦克个性化设定!$B$18:$BC$18,0),FALSE)</f>
        <v>10.5</v>
      </c>
      <c r="AE5" s="34">
        <f>VLOOKUP($B5,坦克个性化设定!$B$18:$BC$48,MATCH(AE$3,坦克个性化设定!$B$18:$BC$18,0),FALSE)</f>
        <v>0.58499999999999996</v>
      </c>
      <c r="AF5" s="2">
        <f>VLOOKUP($B5,坦克个性化设定!$B$18:$BC$48,MATCH(AF$3,坦克个性化设定!$B$18:$BC$18,0),FALSE)</f>
        <v>0.2</v>
      </c>
      <c r="AG5" s="2">
        <f>VLOOKUP($B5,坦克个性化设定!$B$18:$BC$48,MATCH(AG$3,坦克个性化设定!$B$18:$BC$18,0),FALSE)</f>
        <v>30</v>
      </c>
      <c r="AH5" s="2">
        <f>VLOOKUP($B5,坦克个性化设定!$B$18:$BC$48,MATCH(AH$3,坦克个性化设定!$B$18:$BC$18,0),FALSE)</f>
        <v>35</v>
      </c>
      <c r="AI5" s="2">
        <f>VLOOKUP(B5,坦克个性化细分!$I$3:$P$33,3,FALSE)</f>
        <v>47.1</v>
      </c>
      <c r="AJ5" s="2">
        <f>VLOOKUP(B5,坦克个性化细分!$I$3:$P$33,5,FALSE)</f>
        <v>45</v>
      </c>
      <c r="AK5" s="2">
        <f>VLOOKUP(B5,坦克个性化细分!$I$3:$P$33,7,FALSE)</f>
        <v>10.5</v>
      </c>
      <c r="AL5" s="2">
        <f>VLOOKUP($B5,坦克个性化设定!$G$84:$T$114,MATCH(AL$3,坦克个性化设定!$G$84:$T$84,0),FALSE)</f>
        <v>20</v>
      </c>
      <c r="AM5" s="2">
        <f>VLOOKUP($B5,坦克个性化细分!$E$3:$G$33,2,FALSE)</f>
        <v>0</v>
      </c>
      <c r="AN5" s="2">
        <f>VLOOKUP($B5,坦克个性化细分!$E$3:$G$33,3,FALSE)</f>
        <v>11.2</v>
      </c>
      <c r="AO5" s="34">
        <f t="shared" si="0"/>
        <v>0.3666666666666667</v>
      </c>
      <c r="AP5" s="33">
        <f t="shared" ca="1" si="1"/>
        <v>876</v>
      </c>
      <c r="AQ5" s="33">
        <f t="shared" ca="1" si="2"/>
        <v>75</v>
      </c>
      <c r="AR5" s="33">
        <f t="shared" ca="1" si="3"/>
        <v>394</v>
      </c>
      <c r="AS5" s="33">
        <f t="shared" ca="1" si="4"/>
        <v>158</v>
      </c>
      <c r="AT5" s="33">
        <f t="shared" ca="1" si="5"/>
        <v>360</v>
      </c>
      <c r="AU5" s="33">
        <f t="shared" ca="1" si="6"/>
        <v>96</v>
      </c>
      <c r="AV5" s="33">
        <f t="shared" ref="AV5:AV33" si="12">ROUND(BY5,0)</f>
        <v>0</v>
      </c>
      <c r="AW5" s="33">
        <f t="shared" ref="AW5:AW33" si="13">ROUND(BZ5,0)</f>
        <v>0</v>
      </c>
      <c r="AX5" s="33">
        <f t="shared" ref="AX5:AX33" si="14">ROUND(CA5,0)</f>
        <v>0</v>
      </c>
      <c r="AY5" s="2">
        <f t="shared" si="7"/>
        <v>4</v>
      </c>
      <c r="AZ5" s="2">
        <f>基础属性系数!$E$61</f>
        <v>0</v>
      </c>
      <c r="BA5" s="2">
        <v>50</v>
      </c>
      <c r="BB5" s="2">
        <v>10</v>
      </c>
      <c r="BC5" s="2">
        <f>VLOOKUP($B5,坦克类型系数!$B$3:$R$33,MATCH(BC$3,坦克类型系数!$B$3:$R$3,0),FALSE)</f>
        <v>0</v>
      </c>
      <c r="BD5" s="2">
        <f>VLOOKUP($B5,坦克类型系数!$B$3:$R$33,MATCH(BD$3,坦克类型系数!$B$3:$R$3,0),FALSE)</f>
        <v>2</v>
      </c>
      <c r="BE5" s="2">
        <f>VLOOKUP($B5,坦克类型系数!$B$3:$R$33,MATCH(BE$3,坦克类型系数!$B$3:$R$3,0),FALSE)</f>
        <v>1.65</v>
      </c>
      <c r="BF5" s="2">
        <f>VLOOKUP($B5,坦克类型系数!$B$3:$R$33,MATCH(BF$3,坦克类型系数!$B$3:$R$3,0),FALSE)</f>
        <v>1.65</v>
      </c>
      <c r="BG5" s="2">
        <f>VLOOKUP($B5,坦克类型系数!$B$3:$R$33,MATCH(BG$3,坦克类型系数!$B$3:$R$3,0),FALSE)</f>
        <v>0.95</v>
      </c>
      <c r="BH5" s="2">
        <f>VLOOKUP($B5,坦克类型系数!$B$3:$R$33,MATCH(BH$3,坦克类型系数!$B$3:$R$3,0),FALSE)</f>
        <v>0.95</v>
      </c>
      <c r="BI5" s="2">
        <f>VLOOKUP($B5,坦克类型系数!$B$3:$R$33,MATCH(BI$3,坦克类型系数!$B$3:$R$3,0),FALSE)</f>
        <v>0.85</v>
      </c>
      <c r="BJ5" s="25"/>
      <c r="BK5" s="2" t="s">
        <v>1214</v>
      </c>
      <c r="BL5" s="2">
        <v>2</v>
      </c>
      <c r="BM5" s="1" t="s">
        <v>1215</v>
      </c>
      <c r="BN5" s="2" t="str">
        <f t="shared" si="8"/>
        <v>二号</v>
      </c>
      <c r="BO5" s="2" t="str">
        <f>VLOOKUP(BN5,坦克个性化设定!$B$18:$E$48,MATCH(BO$3,坦克个性化设定!$B$18:$E$18,0),FALSE)</f>
        <v>T2</v>
      </c>
      <c r="BP5" s="2" t="str">
        <f t="shared" si="9"/>
        <v>低</v>
      </c>
      <c r="BQ5" s="2" t="s">
        <v>777</v>
      </c>
      <c r="BR5" s="2"/>
      <c r="BS5" s="42">
        <f ca="1">VLOOKUP($BN5&amp;$BQ5,坦克标准养成属性!$S$3:$AE$63,MATCH(BS$3,坦克标准养成属性!$S$3:$AE$3,0),FALSE)</f>
        <v>875.74299642421443</v>
      </c>
      <c r="BT5" s="42">
        <f ca="1">VLOOKUP($BN5&amp;$BQ5,坦克标准养成属性!$S$3:$AE$63,MATCH(BT$3,坦克标准养成属性!$S$3:$AE$3,0),FALSE)</f>
        <v>75.339075413542375</v>
      </c>
      <c r="BU5" s="42">
        <f ca="1">VLOOKUP($BN5&amp;$BQ5,坦克标准养成属性!$S$3:$AE$63,MATCH(BU$3,坦克标准养成属性!$S$3:$AE$3,0),FALSE)</f>
        <v>394</v>
      </c>
      <c r="BV5" s="42">
        <f ca="1">VLOOKUP($BN5&amp;$BQ5,坦克标准养成属性!$S$3:$AE$63,MATCH(BV$3,坦克标准养成属性!$S$3:$AE$3,0),FALSE)</f>
        <v>158</v>
      </c>
      <c r="BW5" s="42">
        <f ca="1">VLOOKUP($BN5&amp;$BQ5,坦克标准养成属性!$S$3:$AE$63,MATCH(BW$3,坦克标准养成属性!$S$3:$AE$3,0),FALSE)</f>
        <v>360</v>
      </c>
      <c r="BX5" s="42">
        <f ca="1">VLOOKUP($BN5&amp;$BQ5,坦克标准养成属性!$S$3:$AE$63,MATCH(BX$3,坦克标准养成属性!$S$3:$AE$3,0),FALSE)</f>
        <v>96</v>
      </c>
      <c r="BY5" s="2">
        <f>IFERROR((VLOOKUP(LEFT(BR5,1)*1,坦克部件!$N$3:$W$9,MATCH("升星属性",坦克部件!$N$3:$W$3,0),FALSE)+VLOOKUP(RIGHT(BR5,1)*1,坦克部件!$Y$3:$AC$38,MATCH("累计属性",坦克部件!$Y$3:$AC$3,0),FALSE))*2,0)</f>
        <v>0</v>
      </c>
      <c r="BZ5" s="42">
        <f t="shared" ref="BZ5:BZ33" si="15">BY5</f>
        <v>0</v>
      </c>
      <c r="CA5" s="42">
        <f t="shared" ref="CA5:CA33" si="16">BY5</f>
        <v>0</v>
      </c>
    </row>
    <row r="6" spans="2:79" x14ac:dyDescent="0.3">
      <c r="B6" s="2" t="str">
        <f>坦克个性化设定!B21</f>
        <v>Puma</v>
      </c>
      <c r="C6" s="2" t="str">
        <f>VLOOKUP(B6,坦克个性化设定!$B$18:$E$48,4,FALSE)</f>
        <v>T2</v>
      </c>
      <c r="D6" s="2" t="str">
        <f>坦克个性化细分!J6</f>
        <v>中</v>
      </c>
      <c r="E6" s="2" t="str">
        <f t="shared" si="10"/>
        <v>T2中0</v>
      </c>
      <c r="F6" s="2" t="str">
        <f>VLOOKUP($B6,坦克个性化设定!$B$18:$BC$48,MATCH(F$3,坦克个性化设定!$B$18:$BC$18,0),FALSE)</f>
        <v>轻坦</v>
      </c>
      <c r="G6" s="2" t="str">
        <f>VLOOKUP($B6,坦克个性化设定!$B$18:$BC$48,MATCH(G$3,坦克个性化设定!$B$18:$BC$18,0),FALSE)</f>
        <v>轻坦弹夹</v>
      </c>
      <c r="H6" s="2" t="str">
        <f t="shared" si="11"/>
        <v>弹夹装弹</v>
      </c>
      <c r="I6" s="2">
        <f>VLOOKUP($B6,坦克个性化设定!$B$18:$BC$48,MATCH(I$3,坦克个性化设定!$B$18:$BC$18,0),FALSE)</f>
        <v>6.71</v>
      </c>
      <c r="J6" s="2">
        <f>VLOOKUP($B6,坦克个性化设定!$B$18:$BC$48,MATCH(J$3,坦克个性化设定!$B$18:$BC$18,0),FALSE)</f>
        <v>2.59</v>
      </c>
      <c r="K6" s="2">
        <f>VLOOKUP($B6,坦克个性化设定!$B$18:$BC$48,MATCH(K$3,坦克个性化设定!$B$18:$BC$18,0),FALSE)</f>
        <v>0.3</v>
      </c>
      <c r="L6" s="34">
        <f>VLOOKUP($B6,坦克个性化设定!$B$18:$BC$48,MATCH(L$3,坦克个性化设定!$B$18:$BC$18,0),FALSE)</f>
        <v>2.1563141881038952</v>
      </c>
      <c r="M6" s="34">
        <f>VLOOKUP($B6,坦克个性化设定!$B$18:$BC$48,MATCH(M$3,坦克个性化设定!$B$18:$BC$18,0),FALSE)</f>
        <v>21</v>
      </c>
      <c r="N6" s="34">
        <f>VLOOKUP($B6,坦克个性化设定!$B$18:$BC$48,MATCH(N$3,坦克个性化设定!$B$18:$BC$18,0),FALSE)</f>
        <v>35</v>
      </c>
      <c r="O6" s="2">
        <f>VLOOKUP($B6,坦克个性化设定!$B$18:$BC$48,MATCH(O$3,坦克个性化设定!$B$18:$BC$18,0),FALSE)</f>
        <v>1</v>
      </c>
      <c r="P6" s="2">
        <f>VLOOKUP($B6,坦克个性化设定!$B$18:$BC$48,MATCH(P$3,坦克个性化设定!$B$18:$BC$18,0),FALSE)</f>
        <v>1</v>
      </c>
      <c r="Q6" s="2">
        <f>VLOOKUP($B6,坦克个性化设定!$B$18:$BC$48,MATCH(Q$3,坦克个性化设定!$B$18:$BC$18,0),FALSE)</f>
        <v>1</v>
      </c>
      <c r="R6" s="2">
        <f>VLOOKUP($B6,坦克个性化设定!$B$18:$BC$48,MATCH(R$3,坦克个性化设定!$B$18:$BC$18,0),FALSE)</f>
        <v>0.8</v>
      </c>
      <c r="S6" s="34">
        <f>VLOOKUP($B6,坦克个性化设定!$B$51:$T$81,MATCH(S$3,坦克个性化设定!$B$51:$T$51,0),FALSE)</f>
        <v>0.48</v>
      </c>
      <c r="T6" s="34">
        <f>VLOOKUP($B6,坦克个性化设定!$B$51:$T$81,MATCH(T$3,坦克个性化设定!$B$51:$T$51,0),FALSE)</f>
        <v>0.62</v>
      </c>
      <c r="U6" s="34">
        <f>VLOOKUP($B6,坦克个性化设定!$B$18:$BC$48,MATCH(U$3,坦克个性化设定!$B$18:$BC$18,0),FALSE)</f>
        <v>0.82</v>
      </c>
      <c r="V6" s="2">
        <f>VLOOKUP($B6,坦克个性化设定!$B$18:$BC$48,MATCH(V$3,坦克个性化设定!$B$18:$BC$18,0),FALSE)</f>
        <v>1.2</v>
      </c>
      <c r="W6" s="2">
        <f>VLOOKUP($B6,坦克个性化设定!$B$18:$BC$48,MATCH(W$3,坦克个性化设定!$B$18:$BC$18,0),FALSE)</f>
        <v>1</v>
      </c>
      <c r="X6" s="2">
        <f>VLOOKUP($B6,坦克个性化设定!$B$18:$BC$48,MATCH(X$3,坦克个性化设定!$B$18:$BC$18,0),FALSE)</f>
        <v>1</v>
      </c>
      <c r="Y6" s="34">
        <f>VLOOKUP($B6,坦克个性化设定!$B$18:$BC$48,MATCH(Y$3,坦克个性化设定!$B$18:$BC$18,0),FALSE)</f>
        <v>10.60544878787154</v>
      </c>
      <c r="Z6" s="34">
        <f>VLOOKUP($B6,坦克个性化设定!$B$18:$BC$48,MATCH(Z$3,坦克个性化设定!$B$18:$BC$18,0),FALSE)</f>
        <v>58.919159932619657</v>
      </c>
      <c r="AA6" s="34">
        <f>VLOOKUP($B6,坦克个性化设定!$B$18:$BC$48,MATCH(AA$3,坦克个性化设定!$B$18:$BC$18,0),FALSE)</f>
        <v>0.58499999999999996</v>
      </c>
      <c r="AB6" s="34">
        <f>VLOOKUP($B6,坦克个性化设定!$B$18:$BC$48,MATCH(AB$3,坦克个性化设定!$B$18:$BC$18,0),FALSE)</f>
        <v>9.9749999999999996</v>
      </c>
      <c r="AC6" s="34">
        <f>VLOOKUP($B6,坦克个性化设定!$B$18:$BC$48,MATCH(AC$3,坦克个性化设定!$B$18:$BC$18,0),FALSE)</f>
        <v>7</v>
      </c>
      <c r="AD6" s="34">
        <f>VLOOKUP($B6,坦克个性化设定!$B$18:$BC$48,MATCH(AD$3,坦克个性化设定!$B$18:$BC$18,0),FALSE)</f>
        <v>10.5</v>
      </c>
      <c r="AE6" s="34">
        <f>VLOOKUP($B6,坦克个性化设定!$B$18:$BC$48,MATCH(AE$3,坦克个性化设定!$B$18:$BC$18,0),FALSE)</f>
        <v>0.58499999999999996</v>
      </c>
      <c r="AF6" s="2">
        <f>VLOOKUP($B6,坦克个性化设定!$B$18:$BC$48,MATCH(AF$3,坦克个性化设定!$B$18:$BC$18,0),FALSE)</f>
        <v>0.2</v>
      </c>
      <c r="AG6" s="2">
        <f>VLOOKUP($B6,坦克个性化设定!$B$18:$BC$48,MATCH(AG$3,坦克个性化设定!$B$18:$BC$18,0),FALSE)</f>
        <v>30</v>
      </c>
      <c r="AH6" s="2">
        <f>VLOOKUP($B6,坦克个性化设定!$B$18:$BC$48,MATCH(AH$3,坦克个性化设定!$B$18:$BC$18,0),FALSE)</f>
        <v>35</v>
      </c>
      <c r="AI6" s="2">
        <f>VLOOKUP(B6,坦克个性化细分!$I$3:$P$33,3,FALSE)</f>
        <v>43.3</v>
      </c>
      <c r="AJ6" s="2">
        <f>VLOOKUP(B6,坦克个性化细分!$I$3:$P$33,5,FALSE)</f>
        <v>51</v>
      </c>
      <c r="AK6" s="2">
        <f>VLOOKUP(B6,坦克个性化细分!$I$3:$P$33,7,FALSE)</f>
        <v>10.199999999999999</v>
      </c>
      <c r="AL6" s="2">
        <f>VLOOKUP($B6,坦克个性化设定!$G$84:$T$114,MATCH(AL$3,坦克个性化设定!$G$84:$T$84,0),FALSE)</f>
        <v>9</v>
      </c>
      <c r="AM6" s="2">
        <f>VLOOKUP($B6,坦克个性化细分!$E$3:$G$33,2,FALSE)</f>
        <v>0</v>
      </c>
      <c r="AN6" s="2">
        <f>VLOOKUP($B6,坦克个性化细分!$E$3:$G$33,3,FALSE)</f>
        <v>4.7249999999999996</v>
      </c>
      <c r="AO6" s="34">
        <f t="shared" si="0"/>
        <v>0.51666666666666672</v>
      </c>
      <c r="AP6" s="33">
        <f t="shared" ca="1" si="1"/>
        <v>1054</v>
      </c>
      <c r="AQ6" s="33">
        <f t="shared" ca="1" si="2"/>
        <v>87</v>
      </c>
      <c r="AR6" s="33">
        <f t="shared" ca="1" si="3"/>
        <v>401</v>
      </c>
      <c r="AS6" s="33">
        <f t="shared" ca="1" si="4"/>
        <v>160</v>
      </c>
      <c r="AT6" s="33">
        <f t="shared" ca="1" si="5"/>
        <v>366</v>
      </c>
      <c r="AU6" s="33">
        <f t="shared" ca="1" si="6"/>
        <v>98</v>
      </c>
      <c r="AV6" s="33">
        <f t="shared" si="12"/>
        <v>0</v>
      </c>
      <c r="AW6" s="33">
        <f t="shared" si="13"/>
        <v>0</v>
      </c>
      <c r="AX6" s="33">
        <f t="shared" si="14"/>
        <v>0</v>
      </c>
      <c r="AY6" s="2">
        <f t="shared" si="7"/>
        <v>4</v>
      </c>
      <c r="AZ6" s="2">
        <f>基础属性系数!$E$61</f>
        <v>0</v>
      </c>
      <c r="BA6" s="2">
        <v>50</v>
      </c>
      <c r="BB6" s="2">
        <v>10</v>
      </c>
      <c r="BC6" s="2">
        <f>VLOOKUP($B6,坦克类型系数!$B$3:$R$33,MATCH(BC$3,坦克类型系数!$B$3:$R$3,0),FALSE)</f>
        <v>0</v>
      </c>
      <c r="BD6" s="2">
        <f>VLOOKUP($B6,坦克类型系数!$B$3:$R$33,MATCH(BD$3,坦克类型系数!$B$3:$R$3,0),FALSE)</f>
        <v>2.1</v>
      </c>
      <c r="BE6" s="2">
        <f>VLOOKUP($B6,坦克类型系数!$B$3:$R$33,MATCH(BE$3,坦克类型系数!$B$3:$R$3,0),FALSE)</f>
        <v>1.65</v>
      </c>
      <c r="BF6" s="2">
        <f>VLOOKUP($B6,坦克类型系数!$B$3:$R$33,MATCH(BF$3,坦克类型系数!$B$3:$R$3,0),FALSE)</f>
        <v>1.65</v>
      </c>
      <c r="BG6" s="2">
        <f>VLOOKUP($B6,坦克类型系数!$B$3:$R$33,MATCH(BG$3,坦克类型系数!$B$3:$R$3,0),FALSE)</f>
        <v>1</v>
      </c>
      <c r="BH6" s="2">
        <f>VLOOKUP($B6,坦克类型系数!$B$3:$R$33,MATCH(BH$3,坦克类型系数!$B$3:$R$3,0),FALSE)</f>
        <v>1</v>
      </c>
      <c r="BI6" s="2">
        <f>VLOOKUP($B6,坦克类型系数!$B$3:$R$33,MATCH(BI$3,坦克类型系数!$B$3:$R$3,0),FALSE)</f>
        <v>0.85</v>
      </c>
      <c r="BJ6" s="25"/>
      <c r="BK6" s="2" t="s">
        <v>186</v>
      </c>
      <c r="BL6" s="2">
        <v>1</v>
      </c>
      <c r="BM6" s="1" t="s">
        <v>1215</v>
      </c>
      <c r="BN6" s="2" t="str">
        <f t="shared" si="8"/>
        <v>Puma</v>
      </c>
      <c r="BO6" s="2" t="str">
        <f>VLOOKUP(BN6,坦克个性化设定!$B$18:$E$48,MATCH(BO$3,坦克个性化设定!$B$18:$E$18,0),FALSE)</f>
        <v>T2</v>
      </c>
      <c r="BP6" s="2" t="str">
        <f t="shared" si="9"/>
        <v>中</v>
      </c>
      <c r="BQ6" s="2" t="s">
        <v>777</v>
      </c>
      <c r="BR6" s="2"/>
      <c r="BS6" s="42">
        <f ca="1">VLOOKUP($BN6&amp;$BQ6,坦克标准养成属性!$S$3:$AE$63,MATCH(BS$3,坦克标准养成属性!$S$3:$AE$3,0),FALSE)</f>
        <v>1053.590099253373</v>
      </c>
      <c r="BT6" s="42">
        <f ca="1">VLOOKUP($BN6&amp;$BQ6,坦克标准养成属性!$S$3:$AE$63,MATCH(BT$3,坦克标准养成属性!$S$3:$AE$3,0),FALSE)</f>
        <v>87.09470989744419</v>
      </c>
      <c r="BU6" s="42">
        <f ca="1">VLOOKUP($BN6&amp;$BQ6,坦克标准养成属性!$S$3:$AE$63,MATCH(BU$3,坦克标准养成属性!$S$3:$AE$3,0),FALSE)</f>
        <v>401</v>
      </c>
      <c r="BV6" s="42">
        <f ca="1">VLOOKUP($BN6&amp;$BQ6,坦克标准养成属性!$S$3:$AE$63,MATCH(BV$3,坦克标准养成属性!$S$3:$AE$3,0),FALSE)</f>
        <v>160</v>
      </c>
      <c r="BW6" s="42">
        <f ca="1">VLOOKUP($BN6&amp;$BQ6,坦克标准养成属性!$S$3:$AE$63,MATCH(BW$3,坦克标准养成属性!$S$3:$AE$3,0),FALSE)</f>
        <v>366</v>
      </c>
      <c r="BX6" s="42">
        <f ca="1">VLOOKUP($BN6&amp;$BQ6,坦克标准养成属性!$S$3:$AE$63,MATCH(BX$3,坦克标准养成属性!$S$3:$AE$3,0),FALSE)</f>
        <v>98</v>
      </c>
      <c r="BY6" s="2">
        <f>IFERROR((VLOOKUP(LEFT(BR6,1)*1,坦克部件!$N$3:$W$9,MATCH("升星属性",坦克部件!$N$3:$W$3,0),FALSE)+VLOOKUP(RIGHT(BR6,1)*1,坦克部件!$Y$3:$AC$38,MATCH("累计属性",坦克部件!$Y$3:$AC$3,0),FALSE))*2,0)</f>
        <v>0</v>
      </c>
      <c r="BZ6" s="42">
        <f t="shared" si="15"/>
        <v>0</v>
      </c>
      <c r="CA6" s="42">
        <f t="shared" si="16"/>
        <v>0</v>
      </c>
    </row>
    <row r="7" spans="2:79" x14ac:dyDescent="0.3">
      <c r="B7" s="2" t="str">
        <f>坦克个性化设定!B22</f>
        <v>35(t)</v>
      </c>
      <c r="C7" s="2" t="str">
        <f>VLOOKUP(B7,坦克个性化设定!$B$18:$E$48,4,FALSE)</f>
        <v>T3</v>
      </c>
      <c r="D7" s="2" t="str">
        <f>坦克个性化细分!J7</f>
        <v>低</v>
      </c>
      <c r="E7" s="2" t="str">
        <f t="shared" si="10"/>
        <v>T3低0</v>
      </c>
      <c r="F7" s="2" t="str">
        <f>VLOOKUP($B7,坦克个性化设定!$B$18:$BC$48,MATCH(F$3,坦克个性化设定!$B$18:$BC$18,0),FALSE)</f>
        <v>轻坦</v>
      </c>
      <c r="G7" s="2" t="str">
        <f>VLOOKUP($B7,坦克个性化设定!$B$18:$BC$48,MATCH(G$3,坦克个性化设定!$B$18:$BC$18,0),FALSE)</f>
        <v>轻坦弹夹</v>
      </c>
      <c r="H7" s="2" t="str">
        <f t="shared" si="11"/>
        <v>弹夹装弹</v>
      </c>
      <c r="I7" s="2">
        <f>VLOOKUP($B7,坦克个性化设定!$B$18:$BC$48,MATCH(I$3,坦克个性化设定!$B$18:$BC$18,0),FALSE)</f>
        <v>4.83</v>
      </c>
      <c r="J7" s="2">
        <f>VLOOKUP($B7,坦克个性化设定!$B$18:$BC$48,MATCH(J$3,坦克个性化设定!$B$18:$BC$18,0),FALSE)</f>
        <v>2.11</v>
      </c>
      <c r="K7" s="2">
        <f>VLOOKUP($B7,坦克个性化设定!$B$18:$BC$48,MATCH(K$3,坦克个性化设定!$B$18:$BC$18,0),FALSE)</f>
        <v>0.3</v>
      </c>
      <c r="L7" s="34">
        <f>VLOOKUP($B7,坦克个性化设定!$B$18:$BC$48,MATCH(L$3,坦克个性化设定!$B$18:$BC$18,0),FALSE)</f>
        <v>2.1563141881038952</v>
      </c>
      <c r="M7" s="34">
        <f>VLOOKUP($B7,坦克个性化设定!$B$18:$BC$48,MATCH(M$3,坦克个性化设定!$B$18:$BC$18,0),FALSE)</f>
        <v>21</v>
      </c>
      <c r="N7" s="34">
        <f>VLOOKUP($B7,坦克个性化设定!$B$18:$BC$48,MATCH(N$3,坦克个性化设定!$B$18:$BC$18,0),FALSE)</f>
        <v>35</v>
      </c>
      <c r="O7" s="2">
        <f>VLOOKUP($B7,坦克个性化设定!$B$18:$BC$48,MATCH(O$3,坦克个性化设定!$B$18:$BC$18,0),FALSE)</f>
        <v>1</v>
      </c>
      <c r="P7" s="2">
        <f>VLOOKUP($B7,坦克个性化设定!$B$18:$BC$48,MATCH(P$3,坦克个性化设定!$B$18:$BC$18,0),FALSE)</f>
        <v>1</v>
      </c>
      <c r="Q7" s="2">
        <f>VLOOKUP($B7,坦克个性化设定!$B$18:$BC$48,MATCH(Q$3,坦克个性化设定!$B$18:$BC$18,0),FALSE)</f>
        <v>1</v>
      </c>
      <c r="R7" s="2">
        <f>VLOOKUP($B7,坦克个性化设定!$B$18:$BC$48,MATCH(R$3,坦克个性化设定!$B$18:$BC$18,0),FALSE)</f>
        <v>0.8</v>
      </c>
      <c r="S7" s="34">
        <f>VLOOKUP($B7,坦克个性化设定!$B$51:$T$81,MATCH(S$3,坦克个性化设定!$B$51:$T$51,0),FALSE)</f>
        <v>0.32</v>
      </c>
      <c r="T7" s="34">
        <f>VLOOKUP($B7,坦克个性化设定!$B$51:$T$81,MATCH(T$3,坦克个性化设定!$B$51:$T$51,0),FALSE)</f>
        <v>0.56999999999999995</v>
      </c>
      <c r="U7" s="34">
        <f>VLOOKUP($B7,坦克个性化设定!$B$18:$BC$48,MATCH(U$3,坦克个性化设定!$B$18:$BC$18,0),FALSE)</f>
        <v>0.78</v>
      </c>
      <c r="V7" s="2">
        <f>VLOOKUP($B7,坦克个性化设定!$B$18:$BC$48,MATCH(V$3,坦克个性化设定!$B$18:$BC$18,0),FALSE)</f>
        <v>1.2</v>
      </c>
      <c r="W7" s="2">
        <f>VLOOKUP($B7,坦克个性化设定!$B$18:$BC$48,MATCH(W$3,坦克个性化设定!$B$18:$BC$18,0),FALSE)</f>
        <v>2</v>
      </c>
      <c r="X7" s="2">
        <f>VLOOKUP($B7,坦克个性化设定!$B$18:$BC$48,MATCH(X$3,坦克个性化设定!$B$18:$BC$18,0),FALSE)</f>
        <v>1</v>
      </c>
      <c r="Y7" s="34">
        <f>VLOOKUP($B7,坦克个性化设定!$B$18:$BC$48,MATCH(Y$3,坦克个性化设定!$B$18:$BC$18,0),FALSE)</f>
        <v>10.60544878787154</v>
      </c>
      <c r="Z7" s="34">
        <f>VLOOKUP($B7,坦克个性化设定!$B$18:$BC$48,MATCH(Z$3,坦克个性化设定!$B$18:$BC$18,0),FALSE)</f>
        <v>58.919159932619657</v>
      </c>
      <c r="AA7" s="34">
        <f>VLOOKUP($B7,坦克个性化设定!$B$18:$BC$48,MATCH(AA$3,坦克个性化设定!$B$18:$BC$18,0),FALSE)</f>
        <v>0.58499999999999996</v>
      </c>
      <c r="AB7" s="34">
        <f>VLOOKUP($B7,坦克个性化设定!$B$18:$BC$48,MATCH(AB$3,坦克个性化设定!$B$18:$BC$18,0),FALSE)</f>
        <v>9.9749999999999996</v>
      </c>
      <c r="AC7" s="34">
        <f>VLOOKUP($B7,坦克个性化设定!$B$18:$BC$48,MATCH(AC$3,坦克个性化设定!$B$18:$BC$18,0),FALSE)</f>
        <v>7</v>
      </c>
      <c r="AD7" s="34">
        <f>VLOOKUP($B7,坦克个性化设定!$B$18:$BC$48,MATCH(AD$3,坦克个性化设定!$B$18:$BC$18,0),FALSE)</f>
        <v>10.5</v>
      </c>
      <c r="AE7" s="34">
        <f>VLOOKUP($B7,坦克个性化设定!$B$18:$BC$48,MATCH(AE$3,坦克个性化设定!$B$18:$BC$18,0),FALSE)</f>
        <v>0.58499999999999996</v>
      </c>
      <c r="AF7" s="2">
        <f>VLOOKUP($B7,坦克个性化设定!$B$18:$BC$48,MATCH(AF$3,坦克个性化设定!$B$18:$BC$18,0),FALSE)</f>
        <v>0.2</v>
      </c>
      <c r="AG7" s="2">
        <f>VLOOKUP($B7,坦克个性化设定!$B$18:$BC$48,MATCH(AG$3,坦克个性化设定!$B$18:$BC$18,0),FALSE)</f>
        <v>30</v>
      </c>
      <c r="AH7" s="2">
        <f>VLOOKUP($B7,坦克个性化设定!$B$18:$BC$48,MATCH(AH$3,坦克个性化设定!$B$18:$BC$18,0),FALSE)</f>
        <v>35</v>
      </c>
      <c r="AI7" s="2">
        <f>VLOOKUP(B7,坦克个性化细分!$I$3:$P$33,3,FALSE)</f>
        <v>42.4</v>
      </c>
      <c r="AJ7" s="2">
        <f>VLOOKUP(B7,坦克个性化细分!$I$3:$P$33,5,FALSE)</f>
        <v>50</v>
      </c>
      <c r="AK7" s="2">
        <f>VLOOKUP(B7,坦克个性化细分!$I$3:$P$33,7,FALSE)</f>
        <v>10</v>
      </c>
      <c r="AL7" s="2">
        <f>VLOOKUP($B7,坦克个性化设定!$G$84:$T$114,MATCH(AL$3,坦克个性化设定!$G$84:$T$84,0),FALSE)</f>
        <v>14</v>
      </c>
      <c r="AM7" s="2">
        <f>VLOOKUP($B7,坦克个性化细分!$E$3:$G$33,2,FALSE)</f>
        <v>0</v>
      </c>
      <c r="AN7" s="2">
        <f>VLOOKUP($B7,坦克个性化细分!$E$3:$G$33,3,FALSE)</f>
        <v>9.7999999999999989</v>
      </c>
      <c r="AO7" s="34">
        <f t="shared" si="0"/>
        <v>0.47499999999999998</v>
      </c>
      <c r="AP7" s="33">
        <f t="shared" ca="1" si="1"/>
        <v>1204</v>
      </c>
      <c r="AQ7" s="33">
        <f t="shared" ca="1" si="2"/>
        <v>105</v>
      </c>
      <c r="AR7" s="33">
        <f t="shared" ca="1" si="3"/>
        <v>486</v>
      </c>
      <c r="AS7" s="33">
        <f t="shared" ca="1" si="4"/>
        <v>195</v>
      </c>
      <c r="AT7" s="33">
        <f t="shared" ca="1" si="5"/>
        <v>444</v>
      </c>
      <c r="AU7" s="33">
        <f t="shared" ca="1" si="6"/>
        <v>118</v>
      </c>
      <c r="AV7" s="33">
        <f t="shared" si="12"/>
        <v>0</v>
      </c>
      <c r="AW7" s="33">
        <f t="shared" si="13"/>
        <v>0</v>
      </c>
      <c r="AX7" s="33">
        <f t="shared" si="14"/>
        <v>0</v>
      </c>
      <c r="AY7" s="2">
        <f t="shared" si="7"/>
        <v>4</v>
      </c>
      <c r="AZ7" s="2">
        <f>基础属性系数!$E$61</f>
        <v>0</v>
      </c>
      <c r="BA7" s="2">
        <v>50</v>
      </c>
      <c r="BB7" s="2">
        <v>10</v>
      </c>
      <c r="BC7" s="2">
        <f>VLOOKUP($B7,坦克类型系数!$B$3:$R$33,MATCH(BC$3,坦克类型系数!$B$3:$R$3,0),FALSE)</f>
        <v>0</v>
      </c>
      <c r="BD7" s="2">
        <f>VLOOKUP($B7,坦克类型系数!$B$3:$R$33,MATCH(BD$3,坦克类型系数!$B$3:$R$3,0),FALSE)</f>
        <v>2.1</v>
      </c>
      <c r="BE7" s="2">
        <f>VLOOKUP($B7,坦克类型系数!$B$3:$R$33,MATCH(BE$3,坦克类型系数!$B$3:$R$3,0),FALSE)</f>
        <v>1.6</v>
      </c>
      <c r="BF7" s="2">
        <f>VLOOKUP($B7,坦克类型系数!$B$3:$R$33,MATCH(BF$3,坦克类型系数!$B$3:$R$3,0),FALSE)</f>
        <v>1.6</v>
      </c>
      <c r="BG7" s="2">
        <f>VLOOKUP($B7,坦克类型系数!$B$3:$R$33,MATCH(BG$3,坦克类型系数!$B$3:$R$3,0),FALSE)</f>
        <v>0.95</v>
      </c>
      <c r="BH7" s="2">
        <f>VLOOKUP($B7,坦克类型系数!$B$3:$R$33,MATCH(BH$3,坦克类型系数!$B$3:$R$3,0),FALSE)</f>
        <v>0.95</v>
      </c>
      <c r="BI7" s="2">
        <f>VLOOKUP($B7,坦克类型系数!$B$3:$R$33,MATCH(BI$3,坦克类型系数!$B$3:$R$3,0),FALSE)</f>
        <v>0.85</v>
      </c>
      <c r="BJ7" s="25"/>
      <c r="BK7" s="2" t="s">
        <v>1216</v>
      </c>
      <c r="BL7" s="2">
        <v>6</v>
      </c>
      <c r="BM7" s="1" t="s">
        <v>1215</v>
      </c>
      <c r="BN7" s="2" t="str">
        <f t="shared" si="8"/>
        <v>35(t)</v>
      </c>
      <c r="BO7" s="2" t="str">
        <f>VLOOKUP(BN7,坦克个性化设定!$B$18:$E$48,MATCH(BO$3,坦克个性化设定!$B$18:$E$18,0),FALSE)</f>
        <v>T3</v>
      </c>
      <c r="BP7" s="2" t="str">
        <f t="shared" si="9"/>
        <v>低</v>
      </c>
      <c r="BQ7" s="2" t="s">
        <v>777</v>
      </c>
      <c r="BR7" s="2"/>
      <c r="BS7" s="42">
        <f ca="1">VLOOKUP($BN7&amp;$BQ7,坦克标准养成属性!$S$3:$AE$63,MATCH(BS$3,坦克标准养成属性!$S$3:$AE$3,0),FALSE)</f>
        <v>1203.6691040422745</v>
      </c>
      <c r="BT7" s="42">
        <f ca="1">VLOOKUP($BN7&amp;$BQ7,坦克标准养成属性!$S$3:$AE$63,MATCH(BT$3,坦克标准养成属性!$S$3:$AE$3,0),FALSE)</f>
        <v>104.92794695129358</v>
      </c>
      <c r="BU7" s="42">
        <f ca="1">VLOOKUP($BN7&amp;$BQ7,坦克标准养成属性!$S$3:$AE$63,MATCH(BU$3,坦克标准养成属性!$S$3:$AE$3,0),FALSE)</f>
        <v>486</v>
      </c>
      <c r="BV7" s="42">
        <f ca="1">VLOOKUP($BN7&amp;$BQ7,坦克标准养成属性!$S$3:$AE$63,MATCH(BV$3,坦克标准养成属性!$S$3:$AE$3,0),FALSE)</f>
        <v>195</v>
      </c>
      <c r="BW7" s="42">
        <f ca="1">VLOOKUP($BN7&amp;$BQ7,坦克标准养成属性!$S$3:$AE$63,MATCH(BW$3,坦克标准养成属性!$S$3:$AE$3,0),FALSE)</f>
        <v>444</v>
      </c>
      <c r="BX7" s="42">
        <f ca="1">VLOOKUP($BN7&amp;$BQ7,坦克标准养成属性!$S$3:$AE$63,MATCH(BX$3,坦克标准养成属性!$S$3:$AE$3,0),FALSE)</f>
        <v>118</v>
      </c>
      <c r="BY7" s="2">
        <f>IFERROR((VLOOKUP(LEFT(BR7,1)*1,坦克部件!$N$3:$W$9,MATCH("升星属性",坦克部件!$N$3:$W$3,0),FALSE)+VLOOKUP(RIGHT(BR7,1)*1,坦克部件!$Y$3:$AC$38,MATCH("累计属性",坦克部件!$Y$3:$AC$3,0),FALSE))*2,0)</f>
        <v>0</v>
      </c>
      <c r="BZ7" s="42">
        <f t="shared" si="15"/>
        <v>0</v>
      </c>
      <c r="CA7" s="42">
        <f t="shared" si="16"/>
        <v>0</v>
      </c>
    </row>
    <row r="8" spans="2:79" x14ac:dyDescent="0.3">
      <c r="B8" s="2" t="str">
        <f>坦克个性化设定!B23</f>
        <v>十字军</v>
      </c>
      <c r="C8" s="2" t="str">
        <f>VLOOKUP(B8,坦克个性化设定!$B$18:$E$48,4,FALSE)</f>
        <v>T3</v>
      </c>
      <c r="D8" s="2" t="str">
        <f>坦克个性化细分!J8</f>
        <v>中</v>
      </c>
      <c r="E8" s="2" t="str">
        <f t="shared" si="10"/>
        <v>T3中0</v>
      </c>
      <c r="F8" s="2" t="str">
        <f>VLOOKUP($B8,坦克个性化设定!$B$18:$BC$48,MATCH(F$3,坦克个性化设定!$B$18:$BC$18,0),FALSE)</f>
        <v>轻坦</v>
      </c>
      <c r="G8" s="2" t="str">
        <f>VLOOKUP($B8,坦克个性化设定!$B$18:$BC$48,MATCH(G$3,坦克个性化设定!$B$18:$BC$18,0),FALSE)</f>
        <v>轻坦弹夹</v>
      </c>
      <c r="H8" s="2" t="str">
        <f t="shared" si="11"/>
        <v>弹夹装弹</v>
      </c>
      <c r="I8" s="2">
        <f>VLOOKUP($B8,坦克个性化设定!$B$18:$BC$48,MATCH(I$3,坦克个性化设定!$B$18:$BC$18,0),FALSE)</f>
        <v>5.91</v>
      </c>
      <c r="J8" s="2">
        <f>VLOOKUP($B8,坦克个性化设定!$B$18:$BC$48,MATCH(J$3,坦克个性化设定!$B$18:$BC$18,0),FALSE)</f>
        <v>2.67</v>
      </c>
      <c r="K8" s="2">
        <f>VLOOKUP($B8,坦克个性化设定!$B$18:$BC$48,MATCH(K$3,坦克个性化设定!$B$18:$BC$18,0),FALSE)</f>
        <v>0.3</v>
      </c>
      <c r="L8" s="34">
        <f>VLOOKUP($B8,坦克个性化设定!$B$18:$BC$48,MATCH(L$3,坦克个性化设定!$B$18:$BC$18,0),FALSE)</f>
        <v>2.1563141881038952</v>
      </c>
      <c r="M8" s="34">
        <f>VLOOKUP($B8,坦克个性化设定!$B$18:$BC$48,MATCH(M$3,坦克个性化设定!$B$18:$BC$18,0),FALSE)</f>
        <v>21</v>
      </c>
      <c r="N8" s="34">
        <f>VLOOKUP($B8,坦克个性化设定!$B$18:$BC$48,MATCH(N$3,坦克个性化设定!$B$18:$BC$18,0),FALSE)</f>
        <v>35</v>
      </c>
      <c r="O8" s="2">
        <f>VLOOKUP($B8,坦克个性化设定!$B$18:$BC$48,MATCH(O$3,坦克个性化设定!$B$18:$BC$18,0),FALSE)</f>
        <v>1</v>
      </c>
      <c r="P8" s="2">
        <f>VLOOKUP($B8,坦克个性化设定!$B$18:$BC$48,MATCH(P$3,坦克个性化设定!$B$18:$BC$18,0),FALSE)</f>
        <v>1</v>
      </c>
      <c r="Q8" s="2">
        <f>VLOOKUP($B8,坦克个性化设定!$B$18:$BC$48,MATCH(Q$3,坦克个性化设定!$B$18:$BC$18,0),FALSE)</f>
        <v>1</v>
      </c>
      <c r="R8" s="2">
        <f>VLOOKUP($B8,坦克个性化设定!$B$18:$BC$48,MATCH(R$3,坦克个性化设定!$B$18:$BC$18,0),FALSE)</f>
        <v>0.60000000000000009</v>
      </c>
      <c r="S8" s="34">
        <f>VLOOKUP($B8,坦克个性化设定!$B$51:$T$81,MATCH(S$3,坦克个性化设定!$B$51:$T$51,0),FALSE)</f>
        <v>0.24</v>
      </c>
      <c r="T8" s="34">
        <f>VLOOKUP($B8,坦克个性化设定!$B$51:$T$81,MATCH(T$3,坦克个性化设定!$B$51:$T$51,0),FALSE)</f>
        <v>0.45</v>
      </c>
      <c r="U8" s="34">
        <f>VLOOKUP($B8,坦克个性化设定!$B$18:$BC$48,MATCH(U$3,坦克个性化设定!$B$18:$BC$18,0),FALSE)</f>
        <v>0.82</v>
      </c>
      <c r="V8" s="2">
        <f>VLOOKUP($B8,坦克个性化设定!$B$18:$BC$48,MATCH(V$3,坦克个性化设定!$B$18:$BC$18,0),FALSE)</f>
        <v>1.2</v>
      </c>
      <c r="W8" s="2">
        <f>VLOOKUP($B8,坦克个性化设定!$B$18:$BC$48,MATCH(W$3,坦克个性化设定!$B$18:$BC$18,0),FALSE)</f>
        <v>1</v>
      </c>
      <c r="X8" s="2">
        <f>VLOOKUP($B8,坦克个性化设定!$B$18:$BC$48,MATCH(X$3,坦克个性化设定!$B$18:$BC$18,0),FALSE)</f>
        <v>1</v>
      </c>
      <c r="Y8" s="34">
        <f>VLOOKUP($B8,坦克个性化设定!$B$18:$BC$48,MATCH(Y$3,坦克个性化设定!$B$18:$BC$18,0),FALSE)</f>
        <v>11.783831986523932</v>
      </c>
      <c r="Z8" s="34">
        <f>VLOOKUP($B8,坦克个性化设定!$B$18:$BC$48,MATCH(Z$3,坦克个性化设定!$B$18:$BC$18,0),FALSE)</f>
        <v>58.919159932619657</v>
      </c>
      <c r="AA8" s="34">
        <f>VLOOKUP($B8,坦克个性化设定!$B$18:$BC$48,MATCH(AA$3,坦克个性化设定!$B$18:$BC$18,0),FALSE)</f>
        <v>0.58499999999999996</v>
      </c>
      <c r="AB8" s="34">
        <f>VLOOKUP($B8,坦克个性化设定!$B$18:$BC$48,MATCH(AB$3,坦克个性化设定!$B$18:$BC$18,0),FALSE)</f>
        <v>10.5</v>
      </c>
      <c r="AC8" s="34">
        <f>VLOOKUP($B8,坦克个性化设定!$B$18:$BC$48,MATCH(AC$3,坦克个性化设定!$B$18:$BC$18,0),FALSE)</f>
        <v>7</v>
      </c>
      <c r="AD8" s="34">
        <f>VLOOKUP($B8,坦克个性化设定!$B$18:$BC$48,MATCH(AD$3,坦克个性化设定!$B$18:$BC$18,0),FALSE)</f>
        <v>10.5</v>
      </c>
      <c r="AE8" s="34">
        <f>VLOOKUP($B8,坦克个性化设定!$B$18:$BC$48,MATCH(AE$3,坦克个性化设定!$B$18:$BC$18,0),FALSE)</f>
        <v>0.58499999999999996</v>
      </c>
      <c r="AF8" s="2">
        <f>VLOOKUP($B8,坦克个性化设定!$B$18:$BC$48,MATCH(AF$3,坦克个性化设定!$B$18:$BC$18,0),FALSE)</f>
        <v>0.2</v>
      </c>
      <c r="AG8" s="2">
        <f>VLOOKUP($B8,坦克个性化设定!$B$18:$BC$48,MATCH(AG$3,坦克个性化设定!$B$18:$BC$18,0),FALSE)</f>
        <v>30</v>
      </c>
      <c r="AH8" s="2">
        <f>VLOOKUP($B8,坦克个性化设定!$B$18:$BC$48,MATCH(AH$3,坦克个性化设定!$B$18:$BC$18,0),FALSE)</f>
        <v>35</v>
      </c>
      <c r="AI8" s="2">
        <f>VLOOKUP(B8,坦克个性化细分!$I$3:$P$33,3,FALSE)</f>
        <v>48.1</v>
      </c>
      <c r="AJ8" s="2">
        <f>VLOOKUP(B8,坦克个性化细分!$I$3:$P$33,5,FALSE)</f>
        <v>45.9</v>
      </c>
      <c r="AK8" s="2">
        <f>VLOOKUP(B8,坦克个性化细分!$I$3:$P$33,7,FALSE)</f>
        <v>10.7</v>
      </c>
      <c r="AL8" s="2">
        <f>VLOOKUP($B8,坦克个性化设定!$G$84:$T$114,MATCH(AL$3,坦克个性化设定!$G$84:$T$84,0),FALSE)</f>
        <v>18</v>
      </c>
      <c r="AM8" s="2">
        <f>VLOOKUP($B8,坦克个性化细分!$E$3:$G$33,2,FALSE)</f>
        <v>0</v>
      </c>
      <c r="AN8" s="2">
        <f>VLOOKUP($B8,坦克个性化细分!$E$3:$G$33,3,FALSE)</f>
        <v>12.6</v>
      </c>
      <c r="AO8" s="34">
        <f t="shared" si="0"/>
        <v>0.375</v>
      </c>
      <c r="AP8" s="33">
        <f t="shared" ca="1" si="1"/>
        <v>1264</v>
      </c>
      <c r="AQ8" s="33">
        <f t="shared" ca="1" si="2"/>
        <v>73</v>
      </c>
      <c r="AR8" s="33">
        <f t="shared" ca="1" si="3"/>
        <v>506</v>
      </c>
      <c r="AS8" s="33">
        <f t="shared" ca="1" si="4"/>
        <v>202</v>
      </c>
      <c r="AT8" s="33">
        <f t="shared" ca="1" si="5"/>
        <v>462</v>
      </c>
      <c r="AU8" s="33">
        <f t="shared" ca="1" si="6"/>
        <v>123</v>
      </c>
      <c r="AV8" s="33">
        <f t="shared" si="12"/>
        <v>0</v>
      </c>
      <c r="AW8" s="33">
        <f t="shared" si="13"/>
        <v>0</v>
      </c>
      <c r="AX8" s="33">
        <f t="shared" si="14"/>
        <v>0</v>
      </c>
      <c r="AY8" s="2">
        <f t="shared" si="7"/>
        <v>4</v>
      </c>
      <c r="AZ8" s="2">
        <f>基础属性系数!$E$61</f>
        <v>0</v>
      </c>
      <c r="BA8" s="2">
        <v>50</v>
      </c>
      <c r="BB8" s="2">
        <v>10</v>
      </c>
      <c r="BC8" s="2">
        <f>VLOOKUP($B8,坦克类型系数!$B$3:$R$33,MATCH(BC$3,坦克类型系数!$B$3:$R$3,0),FALSE)</f>
        <v>0</v>
      </c>
      <c r="BD8" s="2">
        <f>VLOOKUP($B8,坦克类型系数!$B$3:$R$33,MATCH(BD$3,坦克类型系数!$B$3:$R$3,0),FALSE)</f>
        <v>2</v>
      </c>
      <c r="BE8" s="2">
        <f>VLOOKUP($B8,坦克类型系数!$B$3:$R$33,MATCH(BE$3,坦克类型系数!$B$3:$R$3,0),FALSE)</f>
        <v>1.55</v>
      </c>
      <c r="BF8" s="2">
        <f>VLOOKUP($B8,坦克类型系数!$B$3:$R$33,MATCH(BF$3,坦克类型系数!$B$3:$R$3,0),FALSE)</f>
        <v>1.55</v>
      </c>
      <c r="BG8" s="2">
        <f>VLOOKUP($B8,坦克类型系数!$B$3:$R$33,MATCH(BG$3,坦克类型系数!$B$3:$R$3,0),FALSE)</f>
        <v>0.95</v>
      </c>
      <c r="BH8" s="2">
        <f>VLOOKUP($B8,坦克类型系数!$B$3:$R$33,MATCH(BH$3,坦克类型系数!$B$3:$R$3,0),FALSE)</f>
        <v>0.95</v>
      </c>
      <c r="BI8" s="2">
        <f>VLOOKUP($B8,坦克类型系数!$B$3:$R$33,MATCH(BI$3,坦克类型系数!$B$3:$R$3,0),FALSE)</f>
        <v>0.8</v>
      </c>
      <c r="BJ8" s="25"/>
      <c r="BK8" s="25"/>
      <c r="BL8" s="25"/>
      <c r="BM8" s="1" t="s">
        <v>1215</v>
      </c>
      <c r="BN8" s="2" t="str">
        <f t="shared" si="8"/>
        <v>十字军</v>
      </c>
      <c r="BO8" s="2" t="str">
        <f>VLOOKUP(BN8,坦克个性化设定!$B$18:$E$48,MATCH(BO$3,坦克个性化设定!$B$18:$E$18,0),FALSE)</f>
        <v>T3</v>
      </c>
      <c r="BP8" s="2" t="str">
        <f t="shared" si="9"/>
        <v>中</v>
      </c>
      <c r="BQ8" s="2" t="s">
        <v>777</v>
      </c>
      <c r="BR8" s="2"/>
      <c r="BS8" s="42">
        <f ca="1">VLOOKUP($BN8&amp;$BQ8,坦克标准养成属性!$S$3:$AE$63,MATCH(BS$3,坦克标准养成属性!$S$3:$AE$3,0),FALSE)</f>
        <v>1263.5443037169016</v>
      </c>
      <c r="BT8" s="42">
        <f ca="1">VLOOKUP($BN8&amp;$BQ8,坦克标准养成属性!$S$3:$AE$63,MATCH(BT$3,坦克标准养成属性!$S$3:$AE$3,0),FALSE)</f>
        <v>72.781560955196824</v>
      </c>
      <c r="BU8" s="42">
        <f ca="1">VLOOKUP($BN8&amp;$BQ8,坦克标准养成属性!$S$3:$AE$63,MATCH(BU$3,坦克标准养成属性!$S$3:$AE$3,0),FALSE)</f>
        <v>506</v>
      </c>
      <c r="BV8" s="42">
        <f ca="1">VLOOKUP($BN8&amp;$BQ8,坦克标准养成属性!$S$3:$AE$63,MATCH(BV$3,坦克标准养成属性!$S$3:$AE$3,0),FALSE)</f>
        <v>202</v>
      </c>
      <c r="BW8" s="42">
        <f ca="1">VLOOKUP($BN8&amp;$BQ8,坦克标准养成属性!$S$3:$AE$63,MATCH(BW$3,坦克标准养成属性!$S$3:$AE$3,0),FALSE)</f>
        <v>462</v>
      </c>
      <c r="BX8" s="42">
        <f ca="1">VLOOKUP($BN8&amp;$BQ8,坦克标准养成属性!$S$3:$AE$63,MATCH(BX$3,坦克标准养成属性!$S$3:$AE$3,0),FALSE)</f>
        <v>123</v>
      </c>
      <c r="BY8" s="2">
        <f>IFERROR((VLOOKUP(LEFT(BR8,1)*1,坦克部件!$N$3:$W$9,MATCH("升星属性",坦克部件!$N$3:$W$3,0),FALSE)+VLOOKUP(RIGHT(BR8,1)*1,坦克部件!$Y$3:$AC$38,MATCH("累计属性",坦克部件!$Y$3:$AC$3,0),FALSE))*2,0)</f>
        <v>0</v>
      </c>
      <c r="BZ8" s="42">
        <f t="shared" si="15"/>
        <v>0</v>
      </c>
      <c r="CA8" s="42">
        <f t="shared" si="16"/>
        <v>0</v>
      </c>
    </row>
    <row r="9" spans="2:79" x14ac:dyDescent="0.3">
      <c r="B9" s="2" t="str">
        <f>坦克个性化设定!B24</f>
        <v>AMX-13</v>
      </c>
      <c r="C9" s="2" t="str">
        <f>VLOOKUP(B9,坦克个性化设定!$B$18:$E$48,4,FALSE)</f>
        <v>T3</v>
      </c>
      <c r="D9" s="2" t="str">
        <f>坦克个性化细分!J9</f>
        <v>高</v>
      </c>
      <c r="E9" s="2" t="str">
        <f t="shared" si="10"/>
        <v>T3高0</v>
      </c>
      <c r="F9" s="2" t="str">
        <f>VLOOKUP($B9,坦克个性化设定!$B$18:$BC$48,MATCH(F$3,坦克个性化设定!$B$18:$BC$18,0),FALSE)</f>
        <v>轻坦</v>
      </c>
      <c r="G9" s="2" t="str">
        <f>VLOOKUP($B9,坦克个性化设定!$B$18:$BC$48,MATCH(G$3,坦克个性化设定!$B$18:$BC$18,0),FALSE)</f>
        <v>轻坦弹夹</v>
      </c>
      <c r="H9" s="2" t="str">
        <f t="shared" si="11"/>
        <v>弹夹装弹</v>
      </c>
      <c r="I9" s="2">
        <f>VLOOKUP($B9,坦克个性化设定!$B$18:$BC$48,MATCH(I$3,坦克个性化设定!$B$18:$BC$18,0),FALSE)</f>
        <v>4.9400000000000004</v>
      </c>
      <c r="J9" s="2">
        <f>VLOOKUP($B9,坦克个性化设定!$B$18:$BC$48,MATCH(J$3,坦克个性化设定!$B$18:$BC$18,0),FALSE)</f>
        <v>2.54</v>
      </c>
      <c r="K9" s="2">
        <f>VLOOKUP($B9,坦克个性化设定!$B$18:$BC$48,MATCH(K$3,坦克个性化设定!$B$18:$BC$18,0),FALSE)</f>
        <v>0.3</v>
      </c>
      <c r="L9" s="34">
        <f>VLOOKUP($B9,坦克个性化设定!$B$18:$BC$48,MATCH(L$3,坦克个性化设定!$B$18:$BC$18,0),FALSE)</f>
        <v>2.1563141881038952</v>
      </c>
      <c r="M9" s="34">
        <f>VLOOKUP($B9,坦克个性化设定!$B$18:$BC$48,MATCH(M$3,坦克个性化设定!$B$18:$BC$18,0),FALSE)</f>
        <v>21</v>
      </c>
      <c r="N9" s="34">
        <f>VLOOKUP($B9,坦克个性化设定!$B$18:$BC$48,MATCH(N$3,坦克个性化设定!$B$18:$BC$18,0),FALSE)</f>
        <v>35</v>
      </c>
      <c r="O9" s="2">
        <f>VLOOKUP($B9,坦克个性化设定!$B$18:$BC$48,MATCH(O$3,坦克个性化设定!$B$18:$BC$18,0),FALSE)</f>
        <v>1</v>
      </c>
      <c r="P9" s="2">
        <f>VLOOKUP($B9,坦克个性化设定!$B$18:$BC$48,MATCH(P$3,坦克个性化设定!$B$18:$BC$18,0),FALSE)</f>
        <v>1</v>
      </c>
      <c r="Q9" s="2">
        <f>VLOOKUP($B9,坦克个性化设定!$B$18:$BC$48,MATCH(Q$3,坦克个性化设定!$B$18:$BC$18,0),FALSE)</f>
        <v>1</v>
      </c>
      <c r="R9" s="2">
        <f>VLOOKUP($B9,坦克个性化设定!$B$18:$BC$48,MATCH(R$3,坦克个性化设定!$B$18:$BC$18,0),FALSE)</f>
        <v>0.8</v>
      </c>
      <c r="S9" s="34">
        <f>VLOOKUP($B9,坦克个性化设定!$B$51:$T$81,MATCH(S$3,坦克个性化设定!$B$51:$T$51,0),FALSE)</f>
        <v>0.32</v>
      </c>
      <c r="T9" s="34">
        <f>VLOOKUP($B9,坦克个性化设定!$B$51:$T$81,MATCH(T$3,坦克个性化设定!$B$51:$T$51,0),FALSE)</f>
        <v>0.56999999999999995</v>
      </c>
      <c r="U9" s="34">
        <f>VLOOKUP($B9,坦克个性化设定!$B$18:$BC$48,MATCH(U$3,坦克个性化设定!$B$18:$BC$18,0),FALSE)</f>
        <v>0.7</v>
      </c>
      <c r="V9" s="2">
        <f>VLOOKUP($B9,坦克个性化设定!$B$18:$BC$48,MATCH(V$3,坦克个性化设定!$B$18:$BC$18,0),FALSE)</f>
        <v>1.2</v>
      </c>
      <c r="W9" s="2">
        <f>VLOOKUP($B9,坦克个性化设定!$B$18:$BC$48,MATCH(W$3,坦克个性化设定!$B$18:$BC$18,0),FALSE)</f>
        <v>3</v>
      </c>
      <c r="X9" s="2">
        <f>VLOOKUP($B9,坦克个性化设定!$B$18:$BC$48,MATCH(X$3,坦克个性化设定!$B$18:$BC$18,0),FALSE)</f>
        <v>1</v>
      </c>
      <c r="Y9" s="34">
        <f>VLOOKUP($B9,坦克个性化设定!$B$18:$BC$48,MATCH(Y$3,坦克个性化设定!$B$18:$BC$18,0),FALSE)</f>
        <v>9.4270655892191453</v>
      </c>
      <c r="Z9" s="34">
        <f>VLOOKUP($B9,坦克个性化设定!$B$18:$BC$48,MATCH(Z$3,坦克个性化设定!$B$18:$BC$18,0),FALSE)</f>
        <v>58.919159932619657</v>
      </c>
      <c r="AA9" s="34">
        <f>VLOOKUP($B9,坦克个性化设定!$B$18:$BC$48,MATCH(AA$3,坦克个性化设定!$B$18:$BC$18,0),FALSE)</f>
        <v>0.58499999999999996</v>
      </c>
      <c r="AB9" s="34">
        <f>VLOOKUP($B9,坦克个性化设定!$B$18:$BC$48,MATCH(AB$3,坦克个性化设定!$B$18:$BC$18,0),FALSE)</f>
        <v>9.4500000000000011</v>
      </c>
      <c r="AC9" s="34">
        <f>VLOOKUP($B9,坦克个性化设定!$B$18:$BC$48,MATCH(AC$3,坦克个性化设定!$B$18:$BC$18,0),FALSE)</f>
        <v>7</v>
      </c>
      <c r="AD9" s="34">
        <f>VLOOKUP($B9,坦克个性化设定!$B$18:$BC$48,MATCH(AD$3,坦克个性化设定!$B$18:$BC$18,0),FALSE)</f>
        <v>10.5</v>
      </c>
      <c r="AE9" s="34">
        <f>VLOOKUP($B9,坦克个性化设定!$B$18:$BC$48,MATCH(AE$3,坦克个性化设定!$B$18:$BC$18,0),FALSE)</f>
        <v>0.58499999999999996</v>
      </c>
      <c r="AF9" s="2">
        <f>VLOOKUP($B9,坦克个性化设定!$B$18:$BC$48,MATCH(AF$3,坦克个性化设定!$B$18:$BC$18,0),FALSE)</f>
        <v>0.2</v>
      </c>
      <c r="AG9" s="2">
        <f>VLOOKUP($B9,坦克个性化设定!$B$18:$BC$48,MATCH(AG$3,坦克个性化设定!$B$18:$BC$18,0),FALSE)</f>
        <v>30</v>
      </c>
      <c r="AH9" s="2">
        <f>VLOOKUP($B9,坦克个性化设定!$B$18:$BC$48,MATCH(AH$3,坦克个性化设定!$B$18:$BC$18,0),FALSE)</f>
        <v>35</v>
      </c>
      <c r="AI9" s="2">
        <f>VLOOKUP(B9,坦克个性化细分!$I$3:$P$33,3,FALSE)</f>
        <v>39.6</v>
      </c>
      <c r="AJ9" s="2">
        <f>VLOOKUP(B9,坦克个性化细分!$I$3:$P$33,5,FALSE)</f>
        <v>59.1</v>
      </c>
      <c r="AK9" s="2">
        <f>VLOOKUP(B9,坦克个性化细分!$I$3:$P$33,7,FALSE)</f>
        <v>9.9</v>
      </c>
      <c r="AL9" s="2">
        <f>VLOOKUP($B9,坦克个性化设定!$G$84:$T$114,MATCH(AL$3,坦克个性化设定!$G$84:$T$84,0),FALSE)</f>
        <v>14</v>
      </c>
      <c r="AM9" s="2">
        <f>VLOOKUP($B9,坦克个性化细分!$E$3:$G$33,2,FALSE)</f>
        <v>0</v>
      </c>
      <c r="AN9" s="2">
        <f>VLOOKUP($B9,坦克个性化细分!$E$3:$G$33,3,FALSE)</f>
        <v>9.7999999999999989</v>
      </c>
      <c r="AO9" s="34">
        <f t="shared" si="0"/>
        <v>0.47499999999999998</v>
      </c>
      <c r="AP9" s="33">
        <f t="shared" ca="1" si="1"/>
        <v>1168</v>
      </c>
      <c r="AQ9" s="33">
        <f t="shared" ca="1" si="2"/>
        <v>100</v>
      </c>
      <c r="AR9" s="33">
        <f t="shared" ca="1" si="3"/>
        <v>506</v>
      </c>
      <c r="AS9" s="33">
        <f t="shared" ca="1" si="4"/>
        <v>202</v>
      </c>
      <c r="AT9" s="33">
        <f t="shared" ca="1" si="5"/>
        <v>462</v>
      </c>
      <c r="AU9" s="33">
        <f t="shared" ca="1" si="6"/>
        <v>123</v>
      </c>
      <c r="AV9" s="33">
        <f t="shared" si="12"/>
        <v>0</v>
      </c>
      <c r="AW9" s="33">
        <f t="shared" si="13"/>
        <v>0</v>
      </c>
      <c r="AX9" s="33">
        <f t="shared" si="14"/>
        <v>0</v>
      </c>
      <c r="AY9" s="2">
        <f t="shared" si="7"/>
        <v>4</v>
      </c>
      <c r="AZ9" s="2">
        <f>基础属性系数!$E$61</f>
        <v>0</v>
      </c>
      <c r="BA9" s="2">
        <v>50</v>
      </c>
      <c r="BB9" s="2">
        <v>10</v>
      </c>
      <c r="BC9" s="2">
        <f>VLOOKUP($B9,坦克类型系数!$B$3:$R$33,MATCH(BC$3,坦克类型系数!$B$3:$R$3,0),FALSE)</f>
        <v>0</v>
      </c>
      <c r="BD9" s="2">
        <f>VLOOKUP($B9,坦克类型系数!$B$3:$R$33,MATCH(BD$3,坦克类型系数!$B$3:$R$3,0),FALSE)</f>
        <v>1.9</v>
      </c>
      <c r="BE9" s="2">
        <f>VLOOKUP($B9,坦克类型系数!$B$3:$R$33,MATCH(BE$3,坦克类型系数!$B$3:$R$3,0),FALSE)</f>
        <v>1.55</v>
      </c>
      <c r="BF9" s="2">
        <f>VLOOKUP($B9,坦克类型系数!$B$3:$R$33,MATCH(BF$3,坦克类型系数!$B$3:$R$3,0),FALSE)</f>
        <v>1.55</v>
      </c>
      <c r="BG9" s="2">
        <f>VLOOKUP($B9,坦克类型系数!$B$3:$R$33,MATCH(BG$3,坦克类型系数!$B$3:$R$3,0),FALSE)</f>
        <v>0.9</v>
      </c>
      <c r="BH9" s="2">
        <f>VLOOKUP($B9,坦克类型系数!$B$3:$R$33,MATCH(BH$3,坦克类型系数!$B$3:$R$3,0),FALSE)</f>
        <v>0.9</v>
      </c>
      <c r="BI9" s="2">
        <f>VLOOKUP($B9,坦克类型系数!$B$3:$R$33,MATCH(BI$3,坦克类型系数!$B$3:$R$3,0),FALSE)</f>
        <v>0.75</v>
      </c>
      <c r="BJ9" s="25"/>
      <c r="BK9" s="25"/>
      <c r="BL9" s="25"/>
      <c r="BM9" s="1" t="s">
        <v>1217</v>
      </c>
      <c r="BN9" s="2" t="str">
        <f t="shared" si="8"/>
        <v>AMX-13</v>
      </c>
      <c r="BO9" s="2" t="str">
        <f>VLOOKUP(BN9,坦克个性化设定!$B$18:$E$48,MATCH(BO$3,坦克个性化设定!$B$18:$E$18,0),FALSE)</f>
        <v>T3</v>
      </c>
      <c r="BP9" s="2" t="str">
        <f t="shared" si="9"/>
        <v>高</v>
      </c>
      <c r="BQ9" s="2" t="s">
        <v>777</v>
      </c>
      <c r="BR9" s="2"/>
      <c r="BS9" s="42">
        <f ca="1">VLOOKUP($BN9&amp;$BQ9,坦克标准养成属性!$S$3:$AE$63,MATCH(BS$3,坦克标准养成属性!$S$3:$AE$3,0),FALSE)</f>
        <v>1168.4620653042637</v>
      </c>
      <c r="BT9" s="42">
        <f ca="1">VLOOKUP($BN9&amp;$BQ9,坦克标准养成属性!$S$3:$AE$63,MATCH(BT$3,坦克标准养成属性!$S$3:$AE$3,0),FALSE)</f>
        <v>99.527478591140536</v>
      </c>
      <c r="BU9" s="42">
        <f ca="1">VLOOKUP($BN9&amp;$BQ9,坦克标准养成属性!$S$3:$AE$63,MATCH(BU$3,坦克标准养成属性!$S$3:$AE$3,0),FALSE)</f>
        <v>506</v>
      </c>
      <c r="BV9" s="42">
        <f ca="1">VLOOKUP($BN9&amp;$BQ9,坦克标准养成属性!$S$3:$AE$63,MATCH(BV$3,坦克标准养成属性!$S$3:$AE$3,0),FALSE)</f>
        <v>202</v>
      </c>
      <c r="BW9" s="42">
        <f ca="1">VLOOKUP($BN9&amp;$BQ9,坦克标准养成属性!$S$3:$AE$63,MATCH(BW$3,坦克标准养成属性!$S$3:$AE$3,0),FALSE)</f>
        <v>462</v>
      </c>
      <c r="BX9" s="42">
        <f ca="1">VLOOKUP($BN9&amp;$BQ9,坦克标准养成属性!$S$3:$AE$63,MATCH(BX$3,坦克标准养成属性!$S$3:$AE$3,0),FALSE)</f>
        <v>123</v>
      </c>
      <c r="BY9" s="2">
        <f>IFERROR((VLOOKUP(LEFT(BR9,1)*1,坦克部件!$N$3:$W$9,MATCH("升星属性",坦克部件!$N$3:$W$3,0),FALSE)+VLOOKUP(RIGHT(BR9,1)*1,坦克部件!$Y$3:$AC$38,MATCH("累计属性",坦克部件!$Y$3:$AC$3,0),FALSE))*2,0)</f>
        <v>0</v>
      </c>
      <c r="BZ9" s="42">
        <f t="shared" si="15"/>
        <v>0</v>
      </c>
      <c r="CA9" s="42">
        <f t="shared" si="16"/>
        <v>0</v>
      </c>
    </row>
    <row r="10" spans="2:79" x14ac:dyDescent="0.3">
      <c r="B10" s="2" t="str">
        <f>坦克个性化设定!B25</f>
        <v>霞飞</v>
      </c>
      <c r="C10" s="2" t="str">
        <f>VLOOKUP(B10,坦克个性化设定!$B$18:$E$48,4,FALSE)</f>
        <v>T4</v>
      </c>
      <c r="D10" s="2" t="str">
        <f>坦克个性化细分!J10</f>
        <v>低</v>
      </c>
      <c r="E10" s="2" t="str">
        <f t="shared" si="10"/>
        <v>T4低0</v>
      </c>
      <c r="F10" s="2" t="str">
        <f>VLOOKUP($B10,坦克个性化设定!$B$18:$BC$48,MATCH(F$3,坦克个性化设定!$B$18:$BC$18,0),FALSE)</f>
        <v>轻坦</v>
      </c>
      <c r="G10" s="2" t="str">
        <f>VLOOKUP($B10,坦克个性化设定!$B$18:$BC$48,MATCH(G$3,坦克个性化设定!$B$18:$BC$18,0),FALSE)</f>
        <v>轻坦弹夹</v>
      </c>
      <c r="H10" s="2" t="str">
        <f t="shared" si="11"/>
        <v>弹夹装弹</v>
      </c>
      <c r="I10" s="2">
        <f>VLOOKUP($B10,坦克个性化设定!$B$18:$BC$48,MATCH(I$3,坦克个性化设定!$B$18:$BC$18,0),FALSE)</f>
        <v>4.8</v>
      </c>
      <c r="J10" s="2">
        <f>VLOOKUP($B10,坦克个性化设定!$B$18:$BC$48,MATCH(J$3,坦克个性化设定!$B$18:$BC$18,0),FALSE)</f>
        <v>2.94</v>
      </c>
      <c r="K10" s="2">
        <f>VLOOKUP($B10,坦克个性化设定!$B$18:$BC$48,MATCH(K$3,坦克个性化设定!$B$18:$BC$18,0),FALSE)</f>
        <v>0.3</v>
      </c>
      <c r="L10" s="34">
        <f>VLOOKUP($B10,坦克个性化设定!$B$18:$BC$48,MATCH(L$3,坦克个性化设定!$B$18:$BC$18,0),FALSE)</f>
        <v>2.1563141881038952</v>
      </c>
      <c r="M10" s="34">
        <f>VLOOKUP($B10,坦克个性化设定!$B$18:$BC$48,MATCH(M$3,坦克个性化设定!$B$18:$BC$18,0),FALSE)</f>
        <v>21</v>
      </c>
      <c r="N10" s="34">
        <f>VLOOKUP($B10,坦克个性化设定!$B$18:$BC$48,MATCH(N$3,坦克个性化设定!$B$18:$BC$18,0),FALSE)</f>
        <v>35</v>
      </c>
      <c r="O10" s="2">
        <f>VLOOKUP($B10,坦克个性化设定!$B$18:$BC$48,MATCH(O$3,坦克个性化设定!$B$18:$BC$18,0),FALSE)</f>
        <v>1</v>
      </c>
      <c r="P10" s="2">
        <f>VLOOKUP($B10,坦克个性化设定!$B$18:$BC$48,MATCH(P$3,坦克个性化设定!$B$18:$BC$18,0),FALSE)</f>
        <v>1</v>
      </c>
      <c r="Q10" s="2">
        <f>VLOOKUP($B10,坦克个性化设定!$B$18:$BC$48,MATCH(Q$3,坦克个性化设定!$B$18:$BC$18,0),FALSE)</f>
        <v>1</v>
      </c>
      <c r="R10" s="2">
        <f>VLOOKUP($B10,坦克个性化设定!$B$18:$BC$48,MATCH(R$3,坦克个性化设定!$B$18:$BC$18,0),FALSE)</f>
        <v>0.60000000000000009</v>
      </c>
      <c r="S10" s="34">
        <f>VLOOKUP($B10,坦克个性化设定!$B$51:$T$81,MATCH(S$3,坦克个性化设定!$B$51:$T$51,0),FALSE)</f>
        <v>0.32</v>
      </c>
      <c r="T10" s="34">
        <f>VLOOKUP($B10,坦克个性化设定!$B$51:$T$81,MATCH(T$3,坦克个性化设定!$B$51:$T$51,0),FALSE)</f>
        <v>0.48</v>
      </c>
      <c r="U10" s="34">
        <f>VLOOKUP($B10,坦克个性化设定!$B$18:$BC$48,MATCH(U$3,坦克个性化设定!$B$18:$BC$18,0),FALSE)</f>
        <v>0.82</v>
      </c>
      <c r="V10" s="2">
        <f>VLOOKUP($B10,坦克个性化设定!$B$18:$BC$48,MATCH(V$3,坦克个性化设定!$B$18:$BC$18,0),FALSE)</f>
        <v>1.2</v>
      </c>
      <c r="W10" s="2">
        <f>VLOOKUP($B10,坦克个性化设定!$B$18:$BC$48,MATCH(W$3,坦克个性化设定!$B$18:$BC$18,0),FALSE)</f>
        <v>2</v>
      </c>
      <c r="X10" s="2">
        <f>VLOOKUP($B10,坦克个性化设定!$B$18:$BC$48,MATCH(X$3,坦克个性化设定!$B$18:$BC$18,0),FALSE)</f>
        <v>1</v>
      </c>
      <c r="Y10" s="34">
        <f>VLOOKUP($B10,坦克个性化设定!$B$18:$BC$48,MATCH(Y$3,坦克个性化设定!$B$18:$BC$18,0),FALSE)</f>
        <v>10.60544878787154</v>
      </c>
      <c r="Z10" s="34">
        <f>VLOOKUP($B10,坦克个性化设定!$B$18:$BC$48,MATCH(Z$3,坦克个性化设定!$B$18:$BC$18,0),FALSE)</f>
        <v>58.919159932619657</v>
      </c>
      <c r="AA10" s="34">
        <f>VLOOKUP($B10,坦克个性化设定!$B$18:$BC$48,MATCH(AA$3,坦克个性化设定!$B$18:$BC$18,0),FALSE)</f>
        <v>0.58499999999999996</v>
      </c>
      <c r="AB10" s="34">
        <f>VLOOKUP($B10,坦克个性化设定!$B$18:$BC$48,MATCH(AB$3,坦克个性化设定!$B$18:$BC$18,0),FALSE)</f>
        <v>9.9749999999999996</v>
      </c>
      <c r="AC10" s="34">
        <f>VLOOKUP($B10,坦克个性化设定!$B$18:$BC$48,MATCH(AC$3,坦克个性化设定!$B$18:$BC$18,0),FALSE)</f>
        <v>7</v>
      </c>
      <c r="AD10" s="34">
        <f>VLOOKUP($B10,坦克个性化设定!$B$18:$BC$48,MATCH(AD$3,坦克个性化设定!$B$18:$BC$18,0),FALSE)</f>
        <v>10.5</v>
      </c>
      <c r="AE10" s="34">
        <f>VLOOKUP($B10,坦克个性化设定!$B$18:$BC$48,MATCH(AE$3,坦克个性化设定!$B$18:$BC$18,0),FALSE)</f>
        <v>0.58499999999999996</v>
      </c>
      <c r="AF10" s="2">
        <f>VLOOKUP($B10,坦克个性化设定!$B$18:$BC$48,MATCH(AF$3,坦克个性化设定!$B$18:$BC$18,0),FALSE)</f>
        <v>0.2</v>
      </c>
      <c r="AG10" s="2">
        <f>VLOOKUP($B10,坦克个性化设定!$B$18:$BC$48,MATCH(AG$3,坦克个性化设定!$B$18:$BC$18,0),FALSE)</f>
        <v>30</v>
      </c>
      <c r="AH10" s="2">
        <f>VLOOKUP($B10,坦克个性化设定!$B$18:$BC$48,MATCH(AH$3,坦克个性化设定!$B$18:$BC$18,0),FALSE)</f>
        <v>35</v>
      </c>
      <c r="AI10" s="2">
        <f>VLOOKUP(B10,坦克个性化细分!$I$3:$P$33,3,FALSE)</f>
        <v>42.4</v>
      </c>
      <c r="AJ10" s="2">
        <f>VLOOKUP(B10,坦克个性化细分!$I$3:$P$33,5,FALSE)</f>
        <v>50</v>
      </c>
      <c r="AK10" s="2">
        <f>VLOOKUP(B10,坦克个性化细分!$I$3:$P$33,7,FALSE)</f>
        <v>10</v>
      </c>
      <c r="AL10" s="2">
        <f>VLOOKUP($B10,坦克个性化设定!$G$84:$T$114,MATCH(AL$3,坦克个性化设定!$G$84:$T$84,0),FALSE)</f>
        <v>14</v>
      </c>
      <c r="AM10" s="2">
        <f>VLOOKUP($B10,坦克个性化细分!$E$3:$G$33,2,FALSE)</f>
        <v>0</v>
      </c>
      <c r="AN10" s="2">
        <f>VLOOKUP($B10,坦克个性化细分!$E$3:$G$33,3,FALSE)</f>
        <v>9.7999999999999989</v>
      </c>
      <c r="AO10" s="34">
        <f t="shared" si="0"/>
        <v>0.4</v>
      </c>
      <c r="AP10" s="33">
        <f t="shared" ca="1" si="1"/>
        <v>1467</v>
      </c>
      <c r="AQ10" s="33">
        <f t="shared" ca="1" si="2"/>
        <v>105</v>
      </c>
      <c r="AR10" s="33">
        <f t="shared" ca="1" si="3"/>
        <v>631</v>
      </c>
      <c r="AS10" s="33">
        <f t="shared" ca="1" si="4"/>
        <v>252</v>
      </c>
      <c r="AT10" s="33">
        <f t="shared" ca="1" si="5"/>
        <v>576</v>
      </c>
      <c r="AU10" s="33">
        <f t="shared" ca="1" si="6"/>
        <v>154</v>
      </c>
      <c r="AV10" s="33">
        <f t="shared" si="12"/>
        <v>0</v>
      </c>
      <c r="AW10" s="33">
        <f t="shared" si="13"/>
        <v>0</v>
      </c>
      <c r="AX10" s="33">
        <f t="shared" si="14"/>
        <v>0</v>
      </c>
      <c r="AY10" s="2">
        <f t="shared" si="7"/>
        <v>4</v>
      </c>
      <c r="AZ10" s="2">
        <f>基础属性系数!$E$61</f>
        <v>0</v>
      </c>
      <c r="BA10" s="2">
        <v>50</v>
      </c>
      <c r="BB10" s="2">
        <v>10</v>
      </c>
      <c r="BC10" s="2">
        <f>VLOOKUP($B10,坦克类型系数!$B$3:$R$33,MATCH(BC$3,坦克类型系数!$B$3:$R$3,0),FALSE)</f>
        <v>0</v>
      </c>
      <c r="BD10" s="2">
        <f>VLOOKUP($B10,坦克类型系数!$B$3:$R$33,MATCH(BD$3,坦克类型系数!$B$3:$R$3,0),FALSE)</f>
        <v>1.85</v>
      </c>
      <c r="BE10" s="2">
        <f>VLOOKUP($B10,坦克类型系数!$B$3:$R$33,MATCH(BE$3,坦克类型系数!$B$3:$R$3,0),FALSE)</f>
        <v>1.45</v>
      </c>
      <c r="BF10" s="2">
        <f>VLOOKUP($B10,坦克类型系数!$B$3:$R$33,MATCH(BF$3,坦克类型系数!$B$3:$R$3,0),FALSE)</f>
        <v>1.45</v>
      </c>
      <c r="BG10" s="2">
        <f>VLOOKUP($B10,坦克类型系数!$B$3:$R$33,MATCH(BG$3,坦克类型系数!$B$3:$R$3,0),FALSE)</f>
        <v>0.9</v>
      </c>
      <c r="BH10" s="2">
        <f>VLOOKUP($B10,坦克类型系数!$B$3:$R$33,MATCH(BH$3,坦克类型系数!$B$3:$R$3,0),FALSE)</f>
        <v>0.9</v>
      </c>
      <c r="BI10" s="2">
        <f>VLOOKUP($B10,坦克类型系数!$B$3:$R$33,MATCH(BI$3,坦克类型系数!$B$3:$R$3,0),FALSE)</f>
        <v>0.75</v>
      </c>
      <c r="BJ10" s="25"/>
      <c r="BK10" s="25"/>
      <c r="BL10" s="25"/>
      <c r="BM10" s="1" t="s">
        <v>1217</v>
      </c>
      <c r="BN10" s="2" t="str">
        <f t="shared" si="8"/>
        <v>霞飞</v>
      </c>
      <c r="BO10" s="2" t="str">
        <f>VLOOKUP(BN10,坦克个性化设定!$B$18:$E$48,MATCH(BO$3,坦克个性化设定!$B$18:$E$18,0),FALSE)</f>
        <v>T4</v>
      </c>
      <c r="BP10" s="2" t="str">
        <f t="shared" si="9"/>
        <v>低</v>
      </c>
      <c r="BQ10" s="2" t="s">
        <v>777</v>
      </c>
      <c r="BR10" s="2"/>
      <c r="BS10" s="42">
        <f ca="1">VLOOKUP($BN10&amp;$BQ10,坦克标准养成属性!$S$3:$AE$63,MATCH(BS$3,坦克标准养成属性!$S$3:$AE$3,0),FALSE)</f>
        <v>1467.2456516442787</v>
      </c>
      <c r="BT10" s="42">
        <f ca="1">VLOOKUP($BN10&amp;$BQ10,坦克标准养成属性!$S$3:$AE$63,MATCH(BT$3,坦克标准养成属性!$S$3:$AE$3,0),FALSE)</f>
        <v>105.40431140119009</v>
      </c>
      <c r="BU10" s="42">
        <f ca="1">VLOOKUP($BN10&amp;$BQ10,坦克标准养成属性!$S$3:$AE$63,MATCH(BU$3,坦克标准养成属性!$S$3:$AE$3,0),FALSE)</f>
        <v>631</v>
      </c>
      <c r="BV10" s="42">
        <f ca="1">VLOOKUP($BN10&amp;$BQ10,坦克标准养成属性!$S$3:$AE$63,MATCH(BV$3,坦克标准养成属性!$S$3:$AE$3,0),FALSE)</f>
        <v>252</v>
      </c>
      <c r="BW10" s="42">
        <f ca="1">VLOOKUP($BN10&amp;$BQ10,坦克标准养成属性!$S$3:$AE$63,MATCH(BW$3,坦克标准养成属性!$S$3:$AE$3,0),FALSE)</f>
        <v>576</v>
      </c>
      <c r="BX10" s="42">
        <f ca="1">VLOOKUP($BN10&amp;$BQ10,坦克标准养成属性!$S$3:$AE$63,MATCH(BX$3,坦克标准养成属性!$S$3:$AE$3,0),FALSE)</f>
        <v>154</v>
      </c>
      <c r="BY10" s="2">
        <f>IFERROR((VLOOKUP(LEFT(BR10,1)*1,坦克部件!$N$3:$W$9,MATCH("升星属性",坦克部件!$N$3:$W$3,0),FALSE)+VLOOKUP(RIGHT(BR10,1)*1,坦克部件!$Y$3:$AC$38,MATCH("累计属性",坦克部件!$Y$3:$AC$3,0),FALSE))*2,0)</f>
        <v>0</v>
      </c>
      <c r="BZ10" s="42">
        <f t="shared" si="15"/>
        <v>0</v>
      </c>
      <c r="CA10" s="42">
        <f t="shared" si="16"/>
        <v>0</v>
      </c>
    </row>
    <row r="11" spans="2:79" x14ac:dyDescent="0.3">
      <c r="B11" s="2" t="str">
        <f>坦克个性化设定!B26</f>
        <v>M-41</v>
      </c>
      <c r="C11" s="2" t="str">
        <f>VLOOKUP(B11,坦克个性化设定!$B$18:$E$48,4,FALSE)</f>
        <v>T4</v>
      </c>
      <c r="D11" s="2" t="str">
        <f>坦克个性化细分!J11</f>
        <v>中</v>
      </c>
      <c r="E11" s="2" t="str">
        <f t="shared" si="10"/>
        <v>T4中0</v>
      </c>
      <c r="F11" s="2" t="str">
        <f>VLOOKUP($B11,坦克个性化设定!$B$18:$BC$48,MATCH(F$3,坦克个性化设定!$B$18:$BC$18,0),FALSE)</f>
        <v>轻坦</v>
      </c>
      <c r="G11" s="2" t="str">
        <f>VLOOKUP($B11,坦克个性化设定!$B$18:$BC$48,MATCH(G$3,坦克个性化设定!$B$18:$BC$18,0),FALSE)</f>
        <v>轻坦弹夹</v>
      </c>
      <c r="H11" s="2" t="str">
        <f t="shared" si="11"/>
        <v>弹夹装弹</v>
      </c>
      <c r="I11" s="2">
        <f>VLOOKUP($B11,坦克个性化设定!$B$18:$BC$48,MATCH(I$3,坦克个性化设定!$B$18:$BC$18,0),FALSE)</f>
        <v>5.61</v>
      </c>
      <c r="J11" s="2">
        <f>VLOOKUP($B11,坦克个性化设定!$B$18:$BC$48,MATCH(J$3,坦克个性化设定!$B$18:$BC$18,0),FALSE)</f>
        <v>3.21</v>
      </c>
      <c r="K11" s="2">
        <f>VLOOKUP($B11,坦克个性化设定!$B$18:$BC$48,MATCH(K$3,坦克个性化设定!$B$18:$BC$18,0),FALSE)</f>
        <v>0.3</v>
      </c>
      <c r="L11" s="34">
        <f>VLOOKUP($B11,坦克个性化设定!$B$18:$BC$48,MATCH(L$3,坦克个性化设定!$B$18:$BC$18,0),FALSE)</f>
        <v>2.1563141881038952</v>
      </c>
      <c r="M11" s="34">
        <f>VLOOKUP($B11,坦克个性化设定!$B$18:$BC$48,MATCH(M$3,坦克个性化设定!$B$18:$BC$18,0),FALSE)</f>
        <v>21</v>
      </c>
      <c r="N11" s="34">
        <f>VLOOKUP($B11,坦克个性化设定!$B$18:$BC$48,MATCH(N$3,坦克个性化设定!$B$18:$BC$18,0),FALSE)</f>
        <v>35</v>
      </c>
      <c r="O11" s="2">
        <f>VLOOKUP($B11,坦克个性化设定!$B$18:$BC$48,MATCH(O$3,坦克个性化设定!$B$18:$BC$18,0),FALSE)</f>
        <v>1</v>
      </c>
      <c r="P11" s="2">
        <f>VLOOKUP($B11,坦克个性化设定!$B$18:$BC$48,MATCH(P$3,坦克个性化设定!$B$18:$BC$18,0),FALSE)</f>
        <v>1</v>
      </c>
      <c r="Q11" s="2">
        <f>VLOOKUP($B11,坦克个性化设定!$B$18:$BC$48,MATCH(Q$3,坦克个性化设定!$B$18:$BC$18,0),FALSE)</f>
        <v>1</v>
      </c>
      <c r="R11" s="2">
        <f>VLOOKUP($B11,坦克个性化设定!$B$18:$BC$48,MATCH(R$3,坦克个性化设定!$B$18:$BC$18,0),FALSE)</f>
        <v>0.8</v>
      </c>
      <c r="S11" s="34">
        <f>VLOOKUP($B11,坦克个性化设定!$B$51:$T$81,MATCH(S$3,坦克个性化设定!$B$51:$T$51,0),FALSE)</f>
        <v>0.24</v>
      </c>
      <c r="T11" s="34">
        <f>VLOOKUP($B11,坦克个性化设定!$B$51:$T$81,MATCH(T$3,坦克个性化设定!$B$51:$T$51,0),FALSE)</f>
        <v>0.55000000000000004</v>
      </c>
      <c r="U11" s="34">
        <f>VLOOKUP($B11,坦克个性化设定!$B$18:$BC$48,MATCH(U$3,坦克个性化设定!$B$18:$BC$18,0),FALSE)</f>
        <v>0.74</v>
      </c>
      <c r="V11" s="2">
        <f>VLOOKUP($B11,坦克个性化设定!$B$18:$BC$48,MATCH(V$3,坦克个性化设定!$B$18:$BC$18,0),FALSE)</f>
        <v>1.2</v>
      </c>
      <c r="W11" s="2">
        <f>VLOOKUP($B11,坦克个性化设定!$B$18:$BC$48,MATCH(W$3,坦克个性化设定!$B$18:$BC$18,0),FALSE)</f>
        <v>3</v>
      </c>
      <c r="X11" s="2">
        <f>VLOOKUP($B11,坦克个性化设定!$B$18:$BC$48,MATCH(X$3,坦克个性化设定!$B$18:$BC$18,0),FALSE)</f>
        <v>1</v>
      </c>
      <c r="Y11" s="34">
        <f>VLOOKUP($B11,坦克个性化设定!$B$18:$BC$48,MATCH(Y$3,坦克个性化设定!$B$18:$BC$18,0),FALSE)</f>
        <v>9.4270655892191453</v>
      </c>
      <c r="Z11" s="34">
        <f>VLOOKUP($B11,坦克个性化设定!$B$18:$BC$48,MATCH(Z$3,坦克个性化设定!$B$18:$BC$18,0),FALSE)</f>
        <v>58.919159932619657</v>
      </c>
      <c r="AA11" s="34">
        <f>VLOOKUP($B11,坦克个性化设定!$B$18:$BC$48,MATCH(AA$3,坦克个性化设定!$B$18:$BC$18,0),FALSE)</f>
        <v>0.58499999999999996</v>
      </c>
      <c r="AB11" s="34">
        <f>VLOOKUP($B11,坦克个性化设定!$B$18:$BC$48,MATCH(AB$3,坦克个性化设定!$B$18:$BC$18,0),FALSE)</f>
        <v>9.4500000000000011</v>
      </c>
      <c r="AC11" s="34">
        <f>VLOOKUP($B11,坦克个性化设定!$B$18:$BC$48,MATCH(AC$3,坦克个性化设定!$B$18:$BC$18,0),FALSE)</f>
        <v>7</v>
      </c>
      <c r="AD11" s="34">
        <f>VLOOKUP($B11,坦克个性化设定!$B$18:$BC$48,MATCH(AD$3,坦克个性化设定!$B$18:$BC$18,0),FALSE)</f>
        <v>10.5</v>
      </c>
      <c r="AE11" s="34">
        <f>VLOOKUP($B11,坦克个性化设定!$B$18:$BC$48,MATCH(AE$3,坦克个性化设定!$B$18:$BC$18,0),FALSE)</f>
        <v>0.58499999999999996</v>
      </c>
      <c r="AF11" s="2">
        <f>VLOOKUP($B11,坦克个性化设定!$B$18:$BC$48,MATCH(AF$3,坦克个性化设定!$B$18:$BC$18,0),FALSE)</f>
        <v>0.2</v>
      </c>
      <c r="AG11" s="2">
        <f>VLOOKUP($B11,坦克个性化设定!$B$18:$BC$48,MATCH(AG$3,坦克个性化设定!$B$18:$BC$18,0),FALSE)</f>
        <v>30</v>
      </c>
      <c r="AH11" s="2">
        <f>VLOOKUP($B11,坦克个性化设定!$B$18:$BC$48,MATCH(AH$3,坦克个性化设定!$B$18:$BC$18,0),FALSE)</f>
        <v>35</v>
      </c>
      <c r="AI11" s="2">
        <f>VLOOKUP(B11,坦克个性化细分!$I$3:$P$33,3,FALSE)</f>
        <v>38.5</v>
      </c>
      <c r="AJ11" s="2">
        <f>VLOOKUP(B11,坦克个性化细分!$I$3:$P$33,5,FALSE)</f>
        <v>57.4</v>
      </c>
      <c r="AK11" s="2">
        <f>VLOOKUP(B11,坦克个性化细分!$I$3:$P$33,7,FALSE)</f>
        <v>9.6</v>
      </c>
      <c r="AL11" s="2">
        <f>VLOOKUP($B11,坦克个性化设定!$G$84:$T$114,MATCH(AL$3,坦克个性化设定!$G$84:$T$84,0),FALSE)</f>
        <v>18</v>
      </c>
      <c r="AM11" s="2">
        <f>VLOOKUP($B11,坦克个性化细分!$E$3:$G$33,2,FALSE)</f>
        <v>0</v>
      </c>
      <c r="AN11" s="2">
        <f>VLOOKUP($B11,坦克个性化细分!$E$3:$G$33,3,FALSE)</f>
        <v>12.6</v>
      </c>
      <c r="AO11" s="34">
        <f t="shared" si="0"/>
        <v>0.45833333333333337</v>
      </c>
      <c r="AP11" s="33">
        <f t="shared" ca="1" si="1"/>
        <v>1637</v>
      </c>
      <c r="AQ11" s="33">
        <f t="shared" ca="1" si="2"/>
        <v>112</v>
      </c>
      <c r="AR11" s="33">
        <f t="shared" ca="1" si="3"/>
        <v>657</v>
      </c>
      <c r="AS11" s="33">
        <f t="shared" ca="1" si="4"/>
        <v>263</v>
      </c>
      <c r="AT11" s="33">
        <f t="shared" ca="1" si="5"/>
        <v>600</v>
      </c>
      <c r="AU11" s="33">
        <f t="shared" ca="1" si="6"/>
        <v>160</v>
      </c>
      <c r="AV11" s="33">
        <f t="shared" si="12"/>
        <v>0</v>
      </c>
      <c r="AW11" s="33">
        <f t="shared" si="13"/>
        <v>0</v>
      </c>
      <c r="AX11" s="33">
        <f t="shared" si="14"/>
        <v>0</v>
      </c>
      <c r="AY11" s="2">
        <f t="shared" si="7"/>
        <v>4</v>
      </c>
      <c r="AZ11" s="2">
        <f>基础属性系数!$E$61</f>
        <v>0</v>
      </c>
      <c r="BA11" s="2">
        <v>50</v>
      </c>
      <c r="BB11" s="2">
        <v>10</v>
      </c>
      <c r="BC11" s="2">
        <f>VLOOKUP($B11,坦克类型系数!$B$3:$R$33,MATCH(BC$3,坦克类型系数!$B$3:$R$3,0),FALSE)</f>
        <v>0</v>
      </c>
      <c r="BD11" s="2">
        <f>VLOOKUP($B11,坦克类型系数!$B$3:$R$33,MATCH(BD$3,坦克类型系数!$B$3:$R$3,0),FALSE)</f>
        <v>1.85</v>
      </c>
      <c r="BE11" s="2">
        <f>VLOOKUP($B11,坦克类型系数!$B$3:$R$33,MATCH(BE$3,坦克类型系数!$B$3:$R$3,0),FALSE)</f>
        <v>1.35</v>
      </c>
      <c r="BF11" s="2">
        <f>VLOOKUP($B11,坦克类型系数!$B$3:$R$33,MATCH(BF$3,坦克类型系数!$B$3:$R$3,0),FALSE)</f>
        <v>1.35</v>
      </c>
      <c r="BG11" s="2">
        <f>VLOOKUP($B11,坦克类型系数!$B$3:$R$33,MATCH(BG$3,坦克类型系数!$B$3:$R$3,0),FALSE)</f>
        <v>0.95</v>
      </c>
      <c r="BH11" s="2">
        <f>VLOOKUP($B11,坦克类型系数!$B$3:$R$33,MATCH(BH$3,坦克类型系数!$B$3:$R$3,0),FALSE)</f>
        <v>0.95</v>
      </c>
      <c r="BI11" s="2">
        <f>VLOOKUP($B11,坦克类型系数!$B$3:$R$33,MATCH(BI$3,坦克类型系数!$B$3:$R$3,0),FALSE)</f>
        <v>0.9</v>
      </c>
      <c r="BJ11" s="25"/>
      <c r="BK11" s="25"/>
      <c r="BL11" s="25"/>
      <c r="BM11" s="1" t="s">
        <v>1217</v>
      </c>
      <c r="BN11" s="2" t="str">
        <f t="shared" si="8"/>
        <v>M-41</v>
      </c>
      <c r="BO11" s="2" t="str">
        <f>VLOOKUP(BN11,坦克个性化设定!$B$18:$E$48,MATCH(BO$3,坦克个性化设定!$B$18:$E$18,0),FALSE)</f>
        <v>T4</v>
      </c>
      <c r="BP11" s="2" t="str">
        <f t="shared" si="9"/>
        <v>中</v>
      </c>
      <c r="BQ11" s="2" t="s">
        <v>777</v>
      </c>
      <c r="BR11" s="2"/>
      <c r="BS11" s="42">
        <f ca="1">VLOOKUP($BN11&amp;$BQ11,坦克标准养成属性!$S$3:$AE$63,MATCH(BS$3,坦克标准养成属性!$S$3:$AE$3,0),FALSE)</f>
        <v>1637.1695541722581</v>
      </c>
      <c r="BT11" s="42">
        <f ca="1">VLOOKUP($BN11&amp;$BQ11,坦克标准养成属性!$S$3:$AE$63,MATCH(BT$3,坦克标准养成属性!$S$3:$AE$3,0),FALSE)</f>
        <v>111.95852116740848</v>
      </c>
      <c r="BU11" s="42">
        <f ca="1">VLOOKUP($BN11&amp;$BQ11,坦克标准养成属性!$S$3:$AE$63,MATCH(BU$3,坦克标准养成属性!$S$3:$AE$3,0),FALSE)</f>
        <v>657</v>
      </c>
      <c r="BV11" s="42">
        <f ca="1">VLOOKUP($BN11&amp;$BQ11,坦克标准养成属性!$S$3:$AE$63,MATCH(BV$3,坦克标准养成属性!$S$3:$AE$3,0),FALSE)</f>
        <v>263</v>
      </c>
      <c r="BW11" s="42">
        <f ca="1">VLOOKUP($BN11&amp;$BQ11,坦克标准养成属性!$S$3:$AE$63,MATCH(BW$3,坦克标准养成属性!$S$3:$AE$3,0),FALSE)</f>
        <v>600</v>
      </c>
      <c r="BX11" s="42">
        <f ca="1">VLOOKUP($BN11&amp;$BQ11,坦克标准养成属性!$S$3:$AE$63,MATCH(BX$3,坦克标准养成属性!$S$3:$AE$3,0),FALSE)</f>
        <v>160</v>
      </c>
      <c r="BY11" s="2">
        <f>IFERROR((VLOOKUP(LEFT(BR11,1)*1,坦克部件!$N$3:$W$9,MATCH("升星属性",坦克部件!$N$3:$W$3,0),FALSE)+VLOOKUP(RIGHT(BR11,1)*1,坦克部件!$Y$3:$AC$38,MATCH("累计属性",坦克部件!$Y$3:$AC$3,0),FALSE))*2,0)</f>
        <v>0</v>
      </c>
      <c r="BZ11" s="42">
        <f t="shared" si="15"/>
        <v>0</v>
      </c>
      <c r="CA11" s="42">
        <f t="shared" si="16"/>
        <v>0</v>
      </c>
    </row>
    <row r="12" spans="2:79" x14ac:dyDescent="0.3">
      <c r="B12" s="2" t="str">
        <f>坦克个性化设定!B27</f>
        <v>BMP-3</v>
      </c>
      <c r="C12" s="2" t="str">
        <f>VLOOKUP(B12,坦克个性化设定!$B$18:$E$48,4,FALSE)</f>
        <v>T4</v>
      </c>
      <c r="D12" s="2" t="str">
        <f>坦克个性化细分!J12</f>
        <v>高</v>
      </c>
      <c r="E12" s="2" t="str">
        <f t="shared" si="10"/>
        <v>T4高0</v>
      </c>
      <c r="F12" s="2" t="str">
        <f>VLOOKUP($B12,坦克个性化设定!$B$18:$BC$48,MATCH(F$3,坦克个性化设定!$B$18:$BC$18,0),FALSE)</f>
        <v>轻坦</v>
      </c>
      <c r="G12" s="2" t="str">
        <f>VLOOKUP($B12,坦克个性化设定!$B$18:$BC$48,MATCH(G$3,坦克个性化设定!$B$18:$BC$18,0),FALSE)</f>
        <v>轻坦弹夹</v>
      </c>
      <c r="H12" s="2" t="str">
        <f t="shared" si="11"/>
        <v>弹夹装弹</v>
      </c>
      <c r="I12" s="2">
        <f>VLOOKUP($B12,坦克个性化设定!$B$18:$BC$48,MATCH(I$3,坦克个性化设定!$B$18:$BC$18,0),FALSE)</f>
        <v>6.99</v>
      </c>
      <c r="J12" s="2">
        <f>VLOOKUP($B12,坦克个性化设定!$B$18:$BC$48,MATCH(J$3,坦克个性化设定!$B$18:$BC$18,0),FALSE)</f>
        <v>3.24</v>
      </c>
      <c r="K12" s="2">
        <f>VLOOKUP($B12,坦克个性化设定!$B$18:$BC$48,MATCH(K$3,坦克个性化设定!$B$18:$BC$18,0),FALSE)</f>
        <v>0.3</v>
      </c>
      <c r="L12" s="34">
        <f>VLOOKUP($B12,坦克个性化设定!$B$18:$BC$48,MATCH(L$3,坦克个性化设定!$B$18:$BC$18,0),FALSE)</f>
        <v>2.1563141881038952</v>
      </c>
      <c r="M12" s="34">
        <f>VLOOKUP($B12,坦克个性化设定!$B$18:$BC$48,MATCH(M$3,坦克个性化设定!$B$18:$BC$18,0),FALSE)</f>
        <v>21</v>
      </c>
      <c r="N12" s="34">
        <f>VLOOKUP($B12,坦克个性化设定!$B$18:$BC$48,MATCH(N$3,坦克个性化设定!$B$18:$BC$18,0),FALSE)</f>
        <v>35</v>
      </c>
      <c r="O12" s="2">
        <f>VLOOKUP($B12,坦克个性化设定!$B$18:$BC$48,MATCH(O$3,坦克个性化设定!$B$18:$BC$18,0),FALSE)</f>
        <v>1</v>
      </c>
      <c r="P12" s="2">
        <f>VLOOKUP($B12,坦克个性化设定!$B$18:$BC$48,MATCH(P$3,坦克个性化设定!$B$18:$BC$18,0),FALSE)</f>
        <v>1</v>
      </c>
      <c r="Q12" s="2">
        <f>VLOOKUP($B12,坦克个性化设定!$B$18:$BC$48,MATCH(Q$3,坦克个性化设定!$B$18:$BC$18,0),FALSE)</f>
        <v>1</v>
      </c>
      <c r="R12" s="2">
        <f>VLOOKUP($B12,坦克个性化设定!$B$18:$BC$48,MATCH(R$3,坦克个性化设定!$B$18:$BC$18,0),FALSE)</f>
        <v>0.8</v>
      </c>
      <c r="S12" s="34">
        <f>VLOOKUP($B12,坦克个性化设定!$B$51:$T$81,MATCH(S$3,坦克个性化设定!$B$51:$T$51,0),FALSE)</f>
        <v>0.48</v>
      </c>
      <c r="T12" s="34">
        <f>VLOOKUP($B12,坦克个性化设定!$B$51:$T$81,MATCH(T$3,坦克个性化设定!$B$51:$T$51,0),FALSE)</f>
        <v>0.62</v>
      </c>
      <c r="U12" s="34">
        <f>VLOOKUP($B12,坦克个性化设定!$B$18:$BC$48,MATCH(U$3,坦克个性化设定!$B$18:$BC$18,0),FALSE)</f>
        <v>0.78</v>
      </c>
      <c r="V12" s="2">
        <f>VLOOKUP($B12,坦克个性化设定!$B$18:$BC$48,MATCH(V$3,坦克个性化设定!$B$18:$BC$18,0),FALSE)</f>
        <v>1.2</v>
      </c>
      <c r="W12" s="2">
        <f>VLOOKUP($B12,坦克个性化设定!$B$18:$BC$48,MATCH(W$3,坦克个性化设定!$B$18:$BC$18,0),FALSE)</f>
        <v>2</v>
      </c>
      <c r="X12" s="2">
        <f>VLOOKUP($B12,坦克个性化设定!$B$18:$BC$48,MATCH(X$3,坦克个性化设定!$B$18:$BC$18,0),FALSE)</f>
        <v>1</v>
      </c>
      <c r="Y12" s="34">
        <f>VLOOKUP($B12,坦克个性化设定!$B$18:$BC$48,MATCH(Y$3,坦克个性化设定!$B$18:$BC$18,0),FALSE)</f>
        <v>10.60544878787154</v>
      </c>
      <c r="Z12" s="34">
        <f>VLOOKUP($B12,坦克个性化设定!$B$18:$BC$48,MATCH(Z$3,坦克个性化设定!$B$18:$BC$18,0),FALSE)</f>
        <v>58.919159932619657</v>
      </c>
      <c r="AA12" s="34">
        <f>VLOOKUP($B12,坦克个性化设定!$B$18:$BC$48,MATCH(AA$3,坦克个性化设定!$B$18:$BC$18,0),FALSE)</f>
        <v>0.58499999999999996</v>
      </c>
      <c r="AB12" s="34">
        <f>VLOOKUP($B12,坦克个性化设定!$B$18:$BC$48,MATCH(AB$3,坦克个性化设定!$B$18:$BC$18,0),FALSE)</f>
        <v>9.9749999999999996</v>
      </c>
      <c r="AC12" s="34">
        <f>VLOOKUP($B12,坦克个性化设定!$B$18:$BC$48,MATCH(AC$3,坦克个性化设定!$B$18:$BC$18,0),FALSE)</f>
        <v>7</v>
      </c>
      <c r="AD12" s="34">
        <f>VLOOKUP($B12,坦克个性化设定!$B$18:$BC$48,MATCH(AD$3,坦克个性化设定!$B$18:$BC$18,0),FALSE)</f>
        <v>10.5</v>
      </c>
      <c r="AE12" s="34">
        <f>VLOOKUP($B12,坦克个性化设定!$B$18:$BC$48,MATCH(AE$3,坦克个性化设定!$B$18:$BC$18,0),FALSE)</f>
        <v>0.58499999999999996</v>
      </c>
      <c r="AF12" s="2">
        <f>VLOOKUP($B12,坦克个性化设定!$B$18:$BC$48,MATCH(AF$3,坦克个性化设定!$B$18:$BC$18,0),FALSE)</f>
        <v>0.2</v>
      </c>
      <c r="AG12" s="2">
        <f>VLOOKUP($B12,坦克个性化设定!$B$18:$BC$48,MATCH(AG$3,坦克个性化设定!$B$18:$BC$18,0),FALSE)</f>
        <v>30</v>
      </c>
      <c r="AH12" s="2">
        <f>VLOOKUP($B12,坦克个性化设定!$B$18:$BC$48,MATCH(AH$3,坦克个性化设定!$B$18:$BC$18,0),FALSE)</f>
        <v>35</v>
      </c>
      <c r="AI12" s="2">
        <f>VLOOKUP(B12,坦克个性化细分!$I$3:$P$33,3,FALSE)</f>
        <v>44.5</v>
      </c>
      <c r="AJ12" s="2">
        <f>VLOOKUP(B12,坦克个性化细分!$I$3:$P$33,5,FALSE)</f>
        <v>52.5</v>
      </c>
      <c r="AK12" s="2">
        <f>VLOOKUP(B12,坦克个性化细分!$I$3:$P$33,7,FALSE)</f>
        <v>10.5</v>
      </c>
      <c r="AL12" s="2">
        <f>VLOOKUP($B12,坦克个性化设定!$G$84:$T$114,MATCH(AL$3,坦克个性化设定!$G$84:$T$84,0),FALSE)</f>
        <v>9</v>
      </c>
      <c r="AM12" s="2">
        <f>VLOOKUP($B12,坦克个性化细分!$E$3:$G$33,2,FALSE)</f>
        <v>0</v>
      </c>
      <c r="AN12" s="2">
        <f>VLOOKUP($B12,坦克个性化细分!$E$3:$G$33,3,FALSE)</f>
        <v>6.3</v>
      </c>
      <c r="AO12" s="34">
        <f t="shared" si="0"/>
        <v>0.51666666666666672</v>
      </c>
      <c r="AP12" s="33">
        <f t="shared" ca="1" si="1"/>
        <v>1787</v>
      </c>
      <c r="AQ12" s="33">
        <f t="shared" ca="1" si="2"/>
        <v>115</v>
      </c>
      <c r="AR12" s="33">
        <f t="shared" ca="1" si="3"/>
        <v>657</v>
      </c>
      <c r="AS12" s="33">
        <f t="shared" ca="1" si="4"/>
        <v>263</v>
      </c>
      <c r="AT12" s="33">
        <f t="shared" ca="1" si="5"/>
        <v>600</v>
      </c>
      <c r="AU12" s="33">
        <f t="shared" ca="1" si="6"/>
        <v>160</v>
      </c>
      <c r="AV12" s="33">
        <f t="shared" si="12"/>
        <v>0</v>
      </c>
      <c r="AW12" s="33">
        <f t="shared" si="13"/>
        <v>0</v>
      </c>
      <c r="AX12" s="33">
        <f t="shared" si="14"/>
        <v>0</v>
      </c>
      <c r="AY12" s="2">
        <f t="shared" si="7"/>
        <v>4</v>
      </c>
      <c r="AZ12" s="2">
        <f>基础属性系数!$E$61</f>
        <v>0</v>
      </c>
      <c r="BA12" s="2">
        <v>50</v>
      </c>
      <c r="BB12" s="2">
        <v>10</v>
      </c>
      <c r="BC12" s="2">
        <f>VLOOKUP($B12,坦克类型系数!$B$3:$R$33,MATCH(BC$3,坦克类型系数!$B$3:$R$3,0),FALSE)</f>
        <v>0</v>
      </c>
      <c r="BD12" s="2">
        <f>VLOOKUP($B12,坦克类型系数!$B$3:$R$33,MATCH(BD$3,坦克类型系数!$B$3:$R$3,0),FALSE)</f>
        <v>2.15</v>
      </c>
      <c r="BE12" s="2">
        <f>VLOOKUP($B12,坦克类型系数!$B$3:$R$33,MATCH(BE$3,坦克类型系数!$B$3:$R$3,0),FALSE)</f>
        <v>1.65</v>
      </c>
      <c r="BF12" s="2">
        <f>VLOOKUP($B12,坦克类型系数!$B$3:$R$33,MATCH(BF$3,坦克类型系数!$B$3:$R$3,0),FALSE)</f>
        <v>1.65</v>
      </c>
      <c r="BG12" s="2">
        <f>VLOOKUP($B12,坦克类型系数!$B$3:$R$33,MATCH(BG$3,坦克类型系数!$B$3:$R$3,0),FALSE)</f>
        <v>1</v>
      </c>
      <c r="BH12" s="2">
        <f>VLOOKUP($B12,坦克类型系数!$B$3:$R$33,MATCH(BH$3,坦克类型系数!$B$3:$R$3,0),FALSE)</f>
        <v>1</v>
      </c>
      <c r="BI12" s="2">
        <f>VLOOKUP($B12,坦克类型系数!$B$3:$R$33,MATCH(BI$3,坦克类型系数!$B$3:$R$3,0),FALSE)</f>
        <v>0.95</v>
      </c>
      <c r="BJ12" s="25"/>
      <c r="BK12" s="25"/>
      <c r="BL12" s="25"/>
      <c r="BM12" s="1" t="s">
        <v>1217</v>
      </c>
      <c r="BN12" s="2" t="str">
        <f t="shared" si="8"/>
        <v>BMP-3</v>
      </c>
      <c r="BO12" s="2" t="str">
        <f>VLOOKUP(BN12,坦克个性化设定!$B$18:$E$48,MATCH(BO$3,坦克个性化设定!$B$18:$E$18,0),FALSE)</f>
        <v>T4</v>
      </c>
      <c r="BP12" s="2" t="str">
        <f t="shared" si="9"/>
        <v>高</v>
      </c>
      <c r="BQ12" s="2" t="s">
        <v>777</v>
      </c>
      <c r="BR12" s="2"/>
      <c r="BS12" s="42">
        <f ca="1">VLOOKUP($BN12&amp;$BQ12,坦克标准养成属性!$S$3:$AE$63,MATCH(BS$3,坦克标准养成属性!$S$3:$AE$3,0),FALSE)</f>
        <v>1787.4041552661115</v>
      </c>
      <c r="BT12" s="42">
        <f ca="1">VLOOKUP($BN12&amp;$BQ12,坦克标准养成属性!$S$3:$AE$63,MATCH(BT$3,坦克标准养成属性!$S$3:$AE$3,0),FALSE)</f>
        <v>114.57944068402992</v>
      </c>
      <c r="BU12" s="42">
        <f ca="1">VLOOKUP($BN12&amp;$BQ12,坦克标准养成属性!$S$3:$AE$63,MATCH(BU$3,坦克标准养成属性!$S$3:$AE$3,0),FALSE)</f>
        <v>657</v>
      </c>
      <c r="BV12" s="42">
        <f ca="1">VLOOKUP($BN12&amp;$BQ12,坦克标准养成属性!$S$3:$AE$63,MATCH(BV$3,坦克标准养成属性!$S$3:$AE$3,0),FALSE)</f>
        <v>263</v>
      </c>
      <c r="BW12" s="42">
        <f ca="1">VLOOKUP($BN12&amp;$BQ12,坦克标准养成属性!$S$3:$AE$63,MATCH(BW$3,坦克标准养成属性!$S$3:$AE$3,0),FALSE)</f>
        <v>600</v>
      </c>
      <c r="BX12" s="42">
        <f ca="1">VLOOKUP($BN12&amp;$BQ12,坦克标准养成属性!$S$3:$AE$63,MATCH(BX$3,坦克标准养成属性!$S$3:$AE$3,0),FALSE)</f>
        <v>160</v>
      </c>
      <c r="BY12" s="2">
        <f>IFERROR((VLOOKUP(LEFT(BR12,1)*1,坦克部件!$N$3:$W$9,MATCH("升星属性",坦克部件!$N$3:$W$3,0),FALSE)+VLOOKUP(RIGHT(BR12,1)*1,坦克部件!$Y$3:$AC$38,MATCH("累计属性",坦克部件!$Y$3:$AC$3,0),FALSE))*2,0)</f>
        <v>0</v>
      </c>
      <c r="BZ12" s="42">
        <f t="shared" si="15"/>
        <v>0</v>
      </c>
      <c r="CA12" s="42">
        <f t="shared" si="16"/>
        <v>0</v>
      </c>
    </row>
    <row r="13" spans="2:79" x14ac:dyDescent="0.3">
      <c r="B13" s="2" t="str">
        <f>坦克个性化设定!B28</f>
        <v>59式</v>
      </c>
      <c r="C13" s="2" t="str">
        <f>VLOOKUP(B13,坦克个性化设定!$B$18:$E$48,4,FALSE)</f>
        <v>T5</v>
      </c>
      <c r="D13" s="2" t="str">
        <f>坦克个性化细分!J13</f>
        <v>低</v>
      </c>
      <c r="E13" s="2" t="str">
        <f t="shared" si="10"/>
        <v>T5低0</v>
      </c>
      <c r="F13" s="2" t="str">
        <f>VLOOKUP($B13,坦克个性化设定!$B$18:$BC$48,MATCH(F$3,坦克个性化设定!$B$18:$BC$18,0),FALSE)</f>
        <v>轻坦</v>
      </c>
      <c r="G13" s="2" t="str">
        <f>VLOOKUP($B13,坦克个性化设定!$B$18:$BC$48,MATCH(G$3,坦克个性化设定!$B$18:$BC$18,0),FALSE)</f>
        <v>轻坦弹夹</v>
      </c>
      <c r="H13" s="2" t="str">
        <f t="shared" si="11"/>
        <v>弹夹装弹</v>
      </c>
      <c r="I13" s="2">
        <f>VLOOKUP($B13,坦克个性化设定!$B$18:$BC$48,MATCH(I$3,坦克个性化设定!$B$18:$BC$18,0),FALSE)</f>
        <v>6.05</v>
      </c>
      <c r="J13" s="2">
        <f>VLOOKUP($B13,坦克个性化设定!$B$18:$BC$48,MATCH(J$3,坦克个性化设定!$B$18:$BC$18,0),FALSE)</f>
        <v>3.23</v>
      </c>
      <c r="K13" s="2">
        <f>VLOOKUP($B13,坦克个性化设定!$B$18:$BC$48,MATCH(K$3,坦克个性化设定!$B$18:$BC$18,0),FALSE)</f>
        <v>0.3</v>
      </c>
      <c r="L13" s="34">
        <f>VLOOKUP($B13,坦克个性化设定!$B$18:$BC$48,MATCH(L$3,坦克个性化设定!$B$18:$BC$18,0),FALSE)</f>
        <v>2.1563141881038952</v>
      </c>
      <c r="M13" s="34">
        <f>VLOOKUP($B13,坦克个性化设定!$B$18:$BC$48,MATCH(M$3,坦克个性化设定!$B$18:$BC$18,0),FALSE)</f>
        <v>21</v>
      </c>
      <c r="N13" s="34">
        <f>VLOOKUP($B13,坦克个性化设定!$B$18:$BC$48,MATCH(N$3,坦克个性化设定!$B$18:$BC$18,0),FALSE)</f>
        <v>35</v>
      </c>
      <c r="O13" s="2">
        <f>VLOOKUP($B13,坦克个性化设定!$B$18:$BC$48,MATCH(O$3,坦克个性化设定!$B$18:$BC$18,0),FALSE)</f>
        <v>1</v>
      </c>
      <c r="P13" s="2">
        <f>VLOOKUP($B13,坦克个性化设定!$B$18:$BC$48,MATCH(P$3,坦克个性化设定!$B$18:$BC$18,0),FALSE)</f>
        <v>1</v>
      </c>
      <c r="Q13" s="2">
        <f>VLOOKUP($B13,坦克个性化设定!$B$18:$BC$48,MATCH(Q$3,坦克个性化设定!$B$18:$BC$18,0),FALSE)</f>
        <v>1</v>
      </c>
      <c r="R13" s="2">
        <f>VLOOKUP($B13,坦克个性化设定!$B$18:$BC$48,MATCH(R$3,坦克个性化设定!$B$18:$BC$18,0),FALSE)</f>
        <v>0.8</v>
      </c>
      <c r="S13" s="34">
        <f>VLOOKUP($B13,坦克个性化设定!$B$51:$T$81,MATCH(S$3,坦克个性化设定!$B$51:$T$51,0),FALSE)</f>
        <v>0.32</v>
      </c>
      <c r="T13" s="34">
        <f>VLOOKUP($B13,坦克个性化设定!$B$51:$T$81,MATCH(T$3,坦克个性化设定!$B$51:$T$51,0),FALSE)</f>
        <v>0.56999999999999995</v>
      </c>
      <c r="U13" s="34">
        <f>VLOOKUP($B13,坦克个性化设定!$B$18:$BC$48,MATCH(U$3,坦克个性化设定!$B$18:$BC$18,0),FALSE)</f>
        <v>0.7</v>
      </c>
      <c r="V13" s="2">
        <f>VLOOKUP($B13,坦克个性化设定!$B$18:$BC$48,MATCH(V$3,坦克个性化设定!$B$18:$BC$18,0),FALSE)</f>
        <v>1.2</v>
      </c>
      <c r="W13" s="2">
        <f>VLOOKUP($B13,坦克个性化设定!$B$18:$BC$48,MATCH(W$3,坦克个性化设定!$B$18:$BC$18,0),FALSE)</f>
        <v>3</v>
      </c>
      <c r="X13" s="2">
        <f>VLOOKUP($B13,坦克个性化设定!$B$18:$BC$48,MATCH(X$3,坦克个性化设定!$B$18:$BC$18,0),FALSE)</f>
        <v>1</v>
      </c>
      <c r="Y13" s="34">
        <f>VLOOKUP($B13,坦克个性化设定!$B$18:$BC$48,MATCH(Y$3,坦克个性化设定!$B$18:$BC$18,0),FALSE)</f>
        <v>9.4270655892191453</v>
      </c>
      <c r="Z13" s="34">
        <f>VLOOKUP($B13,坦克个性化设定!$B$18:$BC$48,MATCH(Z$3,坦克个性化设定!$B$18:$BC$18,0),FALSE)</f>
        <v>58.919159932619657</v>
      </c>
      <c r="AA13" s="34">
        <f>VLOOKUP($B13,坦克个性化设定!$B$18:$BC$48,MATCH(AA$3,坦克个性化设定!$B$18:$BC$18,0),FALSE)</f>
        <v>0.58499999999999996</v>
      </c>
      <c r="AB13" s="34">
        <f>VLOOKUP($B13,坦克个性化设定!$B$18:$BC$48,MATCH(AB$3,坦克个性化设定!$B$18:$BC$18,0),FALSE)</f>
        <v>9.4500000000000011</v>
      </c>
      <c r="AC13" s="34">
        <f>VLOOKUP($B13,坦克个性化设定!$B$18:$BC$48,MATCH(AC$3,坦克个性化设定!$B$18:$BC$18,0),FALSE)</f>
        <v>7</v>
      </c>
      <c r="AD13" s="34">
        <f>VLOOKUP($B13,坦克个性化设定!$B$18:$BC$48,MATCH(AD$3,坦克个性化设定!$B$18:$BC$18,0),FALSE)</f>
        <v>10.5</v>
      </c>
      <c r="AE13" s="34">
        <f>VLOOKUP($B13,坦克个性化设定!$B$18:$BC$48,MATCH(AE$3,坦克个性化设定!$B$18:$BC$18,0),FALSE)</f>
        <v>0.58499999999999996</v>
      </c>
      <c r="AF13" s="2">
        <f>VLOOKUP($B13,坦克个性化设定!$B$18:$BC$48,MATCH(AF$3,坦克个性化设定!$B$18:$BC$18,0),FALSE)</f>
        <v>0.2</v>
      </c>
      <c r="AG13" s="2">
        <f>VLOOKUP($B13,坦克个性化设定!$B$18:$BC$48,MATCH(AG$3,坦克个性化设定!$B$18:$BC$18,0),FALSE)</f>
        <v>30</v>
      </c>
      <c r="AH13" s="2">
        <f>VLOOKUP($B13,坦克个性化设定!$B$18:$BC$48,MATCH(AH$3,坦克个性化设定!$B$18:$BC$18,0),FALSE)</f>
        <v>35</v>
      </c>
      <c r="AI13" s="2">
        <f>VLOOKUP(B13,坦克个性化细分!$I$3:$P$33,3,FALSE)</f>
        <v>37.700000000000003</v>
      </c>
      <c r="AJ13" s="2">
        <f>VLOOKUP(B13,坦克个性化细分!$I$3:$P$33,5,FALSE)</f>
        <v>56.3</v>
      </c>
      <c r="AK13" s="2">
        <f>VLOOKUP(B13,坦克个性化细分!$I$3:$P$33,7,FALSE)</f>
        <v>9.5</v>
      </c>
      <c r="AL13" s="2">
        <f>VLOOKUP($B13,坦克个性化设定!$G$84:$T$114,MATCH(AL$3,坦克个性化设定!$G$84:$T$84,0),FALSE)</f>
        <v>14</v>
      </c>
      <c r="AM13" s="2">
        <f>VLOOKUP($B13,坦克个性化细分!$E$3:$G$33,2,FALSE)</f>
        <v>0</v>
      </c>
      <c r="AN13" s="2">
        <f>VLOOKUP($B13,坦克个性化细分!$E$3:$G$33,3,FALSE)</f>
        <v>9.7999999999999989</v>
      </c>
      <c r="AO13" s="34">
        <f t="shared" si="0"/>
        <v>0.47499999999999998</v>
      </c>
      <c r="AP13" s="33">
        <f t="shared" ca="1" si="1"/>
        <v>2126</v>
      </c>
      <c r="AQ13" s="33">
        <f t="shared" ca="1" si="2"/>
        <v>146</v>
      </c>
      <c r="AR13" s="33">
        <f t="shared" ca="1" si="3"/>
        <v>828</v>
      </c>
      <c r="AS13" s="33">
        <f t="shared" ca="1" si="4"/>
        <v>331</v>
      </c>
      <c r="AT13" s="33">
        <f t="shared" ca="1" si="5"/>
        <v>756</v>
      </c>
      <c r="AU13" s="33">
        <f t="shared" ca="1" si="6"/>
        <v>202</v>
      </c>
      <c r="AV13" s="33">
        <f t="shared" si="12"/>
        <v>0</v>
      </c>
      <c r="AW13" s="33">
        <f t="shared" si="13"/>
        <v>0</v>
      </c>
      <c r="AX13" s="33">
        <f t="shared" si="14"/>
        <v>0</v>
      </c>
      <c r="AY13" s="2">
        <f t="shared" si="7"/>
        <v>4</v>
      </c>
      <c r="AZ13" s="2">
        <f>基础属性系数!$E$61</f>
        <v>0</v>
      </c>
      <c r="BA13" s="2">
        <v>50</v>
      </c>
      <c r="BB13" s="2">
        <v>10</v>
      </c>
      <c r="BC13" s="2">
        <f>VLOOKUP($B13,坦克类型系数!$B$3:$R$33,MATCH(BC$3,坦克类型系数!$B$3:$R$3,0),FALSE)</f>
        <v>0</v>
      </c>
      <c r="BD13" s="2">
        <f>VLOOKUP($B13,坦克类型系数!$B$3:$R$33,MATCH(BD$3,坦克类型系数!$B$3:$R$3,0),FALSE)</f>
        <v>1.9</v>
      </c>
      <c r="BE13" s="2">
        <f>VLOOKUP($B13,坦克类型系数!$B$3:$R$33,MATCH(BE$3,坦克类型系数!$B$3:$R$3,0),FALSE)</f>
        <v>1.45</v>
      </c>
      <c r="BF13" s="2">
        <f>VLOOKUP($B13,坦克类型系数!$B$3:$R$33,MATCH(BF$3,坦克类型系数!$B$3:$R$3,0),FALSE)</f>
        <v>1.45</v>
      </c>
      <c r="BG13" s="2">
        <f>VLOOKUP($B13,坦克类型系数!$B$3:$R$33,MATCH(BG$3,坦克类型系数!$B$3:$R$3,0),FALSE)</f>
        <v>1</v>
      </c>
      <c r="BH13" s="2">
        <f>VLOOKUP($B13,坦克类型系数!$B$3:$R$33,MATCH(BH$3,坦克类型系数!$B$3:$R$3,0),FALSE)</f>
        <v>1</v>
      </c>
      <c r="BI13" s="2">
        <f>VLOOKUP($B13,坦克类型系数!$B$3:$R$33,MATCH(BI$3,坦克类型系数!$B$3:$R$3,0),FALSE)</f>
        <v>0.85</v>
      </c>
      <c r="BJ13" s="25"/>
      <c r="BK13" s="25"/>
      <c r="BL13" s="25"/>
      <c r="BM13" s="1" t="s">
        <v>1211</v>
      </c>
      <c r="BN13" s="2" t="str">
        <f t="shared" si="8"/>
        <v>59式</v>
      </c>
      <c r="BO13" s="2" t="str">
        <f>VLOOKUP(BN13,坦克个性化设定!$B$18:$E$48,MATCH(BO$3,坦克个性化设定!$B$18:$E$18,0),FALSE)</f>
        <v>T5</v>
      </c>
      <c r="BP13" s="2" t="str">
        <f t="shared" si="9"/>
        <v>低</v>
      </c>
      <c r="BQ13" s="2" t="s">
        <v>777</v>
      </c>
      <c r="BR13" s="2"/>
      <c r="BS13" s="42">
        <f ca="1">VLOOKUP($BN13&amp;$BQ13,坦克标准养成属性!$S$3:$AE$63,MATCH(BS$3,坦克标准养成属性!$S$3:$AE$3,0),FALSE)</f>
        <v>2125.7393092806724</v>
      </c>
      <c r="BT13" s="42">
        <f ca="1">VLOOKUP($BN13&amp;$BQ13,坦克标准养成属性!$S$3:$AE$63,MATCH(BT$3,坦克标准养成属性!$S$3:$AE$3,0),FALSE)</f>
        <v>145.93233680695172</v>
      </c>
      <c r="BU13" s="42">
        <f ca="1">VLOOKUP($BN13&amp;$BQ13,坦克标准养成属性!$S$3:$AE$63,MATCH(BU$3,坦克标准养成属性!$S$3:$AE$3,0),FALSE)</f>
        <v>828</v>
      </c>
      <c r="BV13" s="42">
        <f ca="1">VLOOKUP($BN13&amp;$BQ13,坦克标准养成属性!$S$3:$AE$63,MATCH(BV$3,坦克标准养成属性!$S$3:$AE$3,0),FALSE)</f>
        <v>331</v>
      </c>
      <c r="BW13" s="42">
        <f ca="1">VLOOKUP($BN13&amp;$BQ13,坦克标准养成属性!$S$3:$AE$63,MATCH(BW$3,坦克标准养成属性!$S$3:$AE$3,0),FALSE)</f>
        <v>756</v>
      </c>
      <c r="BX13" s="42">
        <f ca="1">VLOOKUP($BN13&amp;$BQ13,坦克标准养成属性!$S$3:$AE$63,MATCH(BX$3,坦克标准养成属性!$S$3:$AE$3,0),FALSE)</f>
        <v>202</v>
      </c>
      <c r="BY13" s="2">
        <f>IFERROR((VLOOKUP(LEFT(BR13,1)*1,坦克部件!$N$3:$W$9,MATCH("升星属性",坦克部件!$N$3:$W$3,0),FALSE)+VLOOKUP(RIGHT(BR13,1)*1,坦克部件!$Y$3:$AC$38,MATCH("累计属性",坦克部件!$Y$3:$AC$3,0),FALSE))*2,0)</f>
        <v>0</v>
      </c>
      <c r="BZ13" s="42">
        <f t="shared" si="15"/>
        <v>0</v>
      </c>
      <c r="CA13" s="42">
        <f t="shared" si="16"/>
        <v>0</v>
      </c>
    </row>
    <row r="14" spans="2:79" x14ac:dyDescent="0.3">
      <c r="B14" s="2" t="str">
        <f>坦克个性化设定!B29</f>
        <v>Stuart</v>
      </c>
      <c r="C14" s="2" t="str">
        <f>VLOOKUP(B14,坦克个性化设定!$B$18:$E$48,4,FALSE)</f>
        <v>T1</v>
      </c>
      <c r="D14" s="2" t="str">
        <f>坦克个性化细分!J14</f>
        <v>低</v>
      </c>
      <c r="E14" s="2" t="str">
        <f t="shared" si="10"/>
        <v>T1低0</v>
      </c>
      <c r="F14" s="2" t="str">
        <f>VLOOKUP($B14,坦克个性化设定!$B$18:$BC$48,MATCH(F$3,坦克个性化设定!$B$18:$BC$18,0),FALSE)</f>
        <v>中坦</v>
      </c>
      <c r="G14" s="2" t="str">
        <f>VLOOKUP($B14,坦克个性化设定!$B$18:$BC$48,MATCH(G$3,坦克个性化设定!$B$18:$BC$18,0),FALSE)</f>
        <v>中坦自动</v>
      </c>
      <c r="H14" s="2" t="str">
        <f t="shared" si="11"/>
        <v>自动装弹</v>
      </c>
      <c r="I14" s="2">
        <f>VLOOKUP($B14,坦克个性化设定!$B$18:$BC$48,MATCH(I$3,坦克个性化设定!$B$18:$BC$18,0),FALSE)</f>
        <v>4.37</v>
      </c>
      <c r="J14" s="2">
        <f>VLOOKUP($B14,坦克个性化设定!$B$18:$BC$48,MATCH(J$3,坦克个性化设定!$B$18:$BC$18,0),FALSE)</f>
        <v>2.2799999999999998</v>
      </c>
      <c r="K14" s="2">
        <f>VLOOKUP($B14,坦克个性化设定!$B$18:$BC$48,MATCH(K$3,坦克个性化设定!$B$18:$BC$18,0),FALSE)</f>
        <v>0.3</v>
      </c>
      <c r="L14" s="34">
        <f>VLOOKUP($B14,坦克个性化设定!$B$18:$BC$48,MATCH(L$3,坦克个性化设定!$B$18:$BC$18,0),FALSE)</f>
        <v>1.6422918151337649</v>
      </c>
      <c r="M14" s="34">
        <f>VLOOKUP($B14,坦克个性化设定!$B$18:$BC$48,MATCH(M$3,坦克个性化设定!$B$18:$BC$18,0),FALSE)</f>
        <v>13.333333333333334</v>
      </c>
      <c r="N14" s="34">
        <f>VLOOKUP($B14,坦克个性化设定!$B$18:$BC$48,MATCH(N$3,坦克个性化设定!$B$18:$BC$18,0),FALSE)</f>
        <v>22.857142857142858</v>
      </c>
      <c r="O14" s="2">
        <f>VLOOKUP($B14,坦克个性化设定!$B$18:$BC$48,MATCH(O$3,坦克个性化设定!$B$18:$BC$18,0),FALSE)</f>
        <v>0.9</v>
      </c>
      <c r="P14" s="2">
        <f>VLOOKUP($B14,坦克个性化设定!$B$18:$BC$48,MATCH(P$3,坦克个性化设定!$B$18:$BC$18,0),FALSE)</f>
        <v>0.9</v>
      </c>
      <c r="Q14" s="2">
        <f>VLOOKUP($B14,坦克个性化设定!$B$18:$BC$48,MATCH(Q$3,坦克个性化设定!$B$18:$BC$18,0),FALSE)</f>
        <v>0.9</v>
      </c>
      <c r="R14" s="2">
        <f>VLOOKUP($B14,坦克个性化设定!$B$18:$BC$48,MATCH(R$3,坦克个性化设定!$B$18:$BC$18,0),FALSE)</f>
        <v>0.30000000000000004</v>
      </c>
      <c r="S14" s="34">
        <f>VLOOKUP($B14,坦克个性化设定!$B$51:$T$81,MATCH(S$3,坦克个性化设定!$B$51:$T$51,0),FALSE)</f>
        <v>1.5999999999999999</v>
      </c>
      <c r="T14" s="34">
        <f>VLOOKUP($B14,坦克个性化设定!$B$51:$T$81,MATCH(T$3,坦克个性化设定!$B$51:$T$51,0),FALSE)</f>
        <v>1</v>
      </c>
      <c r="U14" s="34">
        <f>VLOOKUP($B14,坦克个性化设定!$B$18:$BC$48,MATCH(U$3,坦克个性化设定!$B$18:$BC$18,0),FALSE)</f>
        <v>0.78</v>
      </c>
      <c r="V14" s="2">
        <f>VLOOKUP($B14,坦克个性化设定!$B$18:$BC$48,MATCH(V$3,坦克个性化设定!$B$18:$BC$18,0),FALSE)</f>
        <v>1</v>
      </c>
      <c r="W14" s="2">
        <f>VLOOKUP($B14,坦克个性化设定!$B$18:$BC$48,MATCH(W$3,坦克个性化设定!$B$18:$BC$18,0),FALSE)</f>
        <v>1</v>
      </c>
      <c r="X14" s="2">
        <f>VLOOKUP($B14,坦克个性化设定!$B$18:$BC$48,MATCH(X$3,坦克个性化设定!$B$18:$BC$18,0),FALSE)</f>
        <v>0.75</v>
      </c>
      <c r="Y14" s="34">
        <f>VLOOKUP($B14,坦克个性化设定!$B$18:$BC$48,MATCH(Y$3,坦克个性化设定!$B$18:$BC$18,0),FALSE)</f>
        <v>11.123020662806383</v>
      </c>
      <c r="Z14" s="34">
        <f>VLOOKUP($B14,坦克个性化设定!$B$18:$BC$48,MATCH(Z$3,坦克个性化设定!$B$18:$BC$18,0),FALSE)</f>
        <v>55.61510331403192</v>
      </c>
      <c r="AA14" s="34">
        <f>VLOOKUP($B14,坦克个性化设定!$B$18:$BC$48,MATCH(AA$3,坦克个性化设定!$B$18:$BC$18,0),FALSE)</f>
        <v>2.84</v>
      </c>
      <c r="AB14" s="34">
        <f>VLOOKUP($B14,坦克个性化设定!$B$18:$BC$48,MATCH(AB$3,坦克个性化设定!$B$18:$BC$18,0),FALSE)</f>
        <v>8</v>
      </c>
      <c r="AC14" s="34">
        <f>VLOOKUP($B14,坦克个性化设定!$B$18:$BC$48,MATCH(AC$3,坦克个性化设定!$B$18:$BC$18,0),FALSE)</f>
        <v>5</v>
      </c>
      <c r="AD14" s="34">
        <f>VLOOKUP($B14,坦克个性化设定!$B$18:$BC$48,MATCH(AD$3,坦克个性化设定!$B$18:$BC$18,0),FALSE)</f>
        <v>4</v>
      </c>
      <c r="AE14" s="34">
        <f>VLOOKUP($B14,坦克个性化设定!$B$18:$BC$48,MATCH(AE$3,坦克个性化设定!$B$18:$BC$18,0),FALSE)</f>
        <v>1.0649999999999999</v>
      </c>
      <c r="AF14" s="2">
        <f>VLOOKUP($B14,坦克个性化设定!$B$18:$BC$48,MATCH(AF$3,坦克个性化设定!$B$18:$BC$18,0),FALSE)</f>
        <v>0.2</v>
      </c>
      <c r="AG14" s="2">
        <f>VLOOKUP($B14,坦克个性化设定!$B$18:$BC$48,MATCH(AG$3,坦克个性化设定!$B$18:$BC$18,0),FALSE)</f>
        <v>35</v>
      </c>
      <c r="AH14" s="2">
        <f>VLOOKUP($B14,坦克个性化设定!$B$18:$BC$48,MATCH(AH$3,坦克个性化设定!$B$18:$BC$18,0),FALSE)</f>
        <v>40</v>
      </c>
      <c r="AI14" s="2">
        <f>VLOOKUP(B14,坦克个性化细分!$I$3:$P$33,3,FALSE)</f>
        <v>44.5</v>
      </c>
      <c r="AJ14" s="2">
        <f>VLOOKUP(B14,坦克个性化细分!$I$3:$P$33,5,FALSE)</f>
        <v>40</v>
      </c>
      <c r="AK14" s="2">
        <f>VLOOKUP(B14,坦克个性化细分!$I$3:$P$33,7,FALSE)</f>
        <v>8</v>
      </c>
      <c r="AL14" s="2">
        <f>VLOOKUP($B14,坦克个性化设定!$G$84:$T$114,MATCH(AL$3,坦克个性化设定!$G$84:$T$84,0),FALSE)</f>
        <v>9</v>
      </c>
      <c r="AM14" s="2">
        <f>VLOOKUP($B14,坦克个性化细分!$E$3:$G$33,2,FALSE)</f>
        <v>3.2</v>
      </c>
      <c r="AN14" s="2">
        <f>VLOOKUP($B14,坦克个性化细分!$E$3:$G$33,3,FALSE)</f>
        <v>0</v>
      </c>
      <c r="AO14" s="34">
        <f t="shared" si="0"/>
        <v>1</v>
      </c>
      <c r="AP14" s="33">
        <f t="shared" ca="1" si="1"/>
        <v>624</v>
      </c>
      <c r="AQ14" s="33">
        <f t="shared" ca="1" si="2"/>
        <v>146</v>
      </c>
      <c r="AR14" s="33">
        <f t="shared" ca="1" si="3"/>
        <v>329</v>
      </c>
      <c r="AS14" s="33">
        <f t="shared" ca="1" si="4"/>
        <v>148</v>
      </c>
      <c r="AT14" s="33">
        <f t="shared" ca="1" si="5"/>
        <v>360</v>
      </c>
      <c r="AU14" s="33">
        <f t="shared" ca="1" si="6"/>
        <v>84</v>
      </c>
      <c r="AV14" s="33">
        <f t="shared" si="12"/>
        <v>0</v>
      </c>
      <c r="AW14" s="33">
        <f t="shared" si="13"/>
        <v>0</v>
      </c>
      <c r="AX14" s="33">
        <f t="shared" si="14"/>
        <v>0</v>
      </c>
      <c r="AY14" s="2">
        <f t="shared" si="7"/>
        <v>6</v>
      </c>
      <c r="AZ14" s="2">
        <f>基础属性系数!$E$61</f>
        <v>0</v>
      </c>
      <c r="BA14" s="2">
        <v>50</v>
      </c>
      <c r="BB14" s="2">
        <v>10</v>
      </c>
      <c r="BC14" s="2">
        <f>VLOOKUP($B14,坦克类型系数!$B$3:$R$33,MATCH(BC$3,坦克类型系数!$B$3:$R$3,0),FALSE)</f>
        <v>0</v>
      </c>
      <c r="BD14" s="2">
        <f>VLOOKUP($B14,坦克类型系数!$B$3:$R$33,MATCH(BD$3,坦克类型系数!$B$3:$R$3,0),FALSE)</f>
        <v>2</v>
      </c>
      <c r="BE14" s="2">
        <f>VLOOKUP($B14,坦克类型系数!$B$3:$R$33,MATCH(BE$3,坦克类型系数!$B$3:$R$3,0),FALSE)</f>
        <v>1.9</v>
      </c>
      <c r="BF14" s="2">
        <f>VLOOKUP($B14,坦克类型系数!$B$3:$R$33,MATCH(BF$3,坦克类型系数!$B$3:$R$3,0),FALSE)</f>
        <v>1.9</v>
      </c>
      <c r="BG14" s="2">
        <f>VLOOKUP($B14,坦克类型系数!$B$3:$R$33,MATCH(BG$3,坦克类型系数!$B$3:$R$3,0),FALSE)</f>
        <v>0.95</v>
      </c>
      <c r="BH14" s="2">
        <f>VLOOKUP($B14,坦克类型系数!$B$3:$R$33,MATCH(BH$3,坦克类型系数!$B$3:$R$3,0),FALSE)</f>
        <v>0.95</v>
      </c>
      <c r="BI14" s="2">
        <f>VLOOKUP($B14,坦克类型系数!$B$3:$R$33,MATCH(BI$3,坦克类型系数!$B$3:$R$3,0),FALSE)</f>
        <v>0.85</v>
      </c>
      <c r="BJ14" s="25"/>
      <c r="BK14" s="25"/>
      <c r="BL14" s="25"/>
      <c r="BM14" s="1" t="s">
        <v>1211</v>
      </c>
      <c r="BN14" s="2" t="str">
        <f t="shared" si="8"/>
        <v>Stuart</v>
      </c>
      <c r="BO14" s="2" t="str">
        <f>VLOOKUP(BN14,坦克个性化设定!$B$18:$E$48,MATCH(BO$3,坦克个性化设定!$B$18:$E$18,0),FALSE)</f>
        <v>T1</v>
      </c>
      <c r="BP14" s="2" t="str">
        <f t="shared" si="9"/>
        <v>低</v>
      </c>
      <c r="BQ14" s="2" t="s">
        <v>777</v>
      </c>
      <c r="BR14" s="2"/>
      <c r="BS14" s="42">
        <f ca="1">VLOOKUP($BN14&amp;$BQ14,坦克标准养成属性!$S$3:$AE$63,MATCH(BS$3,坦克标准养成属性!$S$3:$AE$3,0),FALSE)</f>
        <v>624.10274724670057</v>
      </c>
      <c r="BT14" s="42">
        <f ca="1">VLOOKUP($BN14&amp;$BQ14,坦克标准养成属性!$S$3:$AE$63,MATCH(BT$3,坦克标准养成属性!$S$3:$AE$3,0),FALSE)</f>
        <v>145.93787477020288</v>
      </c>
      <c r="BU14" s="42">
        <f ca="1">VLOOKUP($BN14&amp;$BQ14,坦克标准养成属性!$S$3:$AE$63,MATCH(BU$3,坦克标准养成属性!$S$3:$AE$3,0),FALSE)</f>
        <v>329</v>
      </c>
      <c r="BV14" s="42">
        <f ca="1">VLOOKUP($BN14&amp;$BQ14,坦克标准养成属性!$S$3:$AE$63,MATCH(BV$3,坦克标准养成属性!$S$3:$AE$3,0),FALSE)</f>
        <v>148</v>
      </c>
      <c r="BW14" s="42">
        <f ca="1">VLOOKUP($BN14&amp;$BQ14,坦克标准养成属性!$S$3:$AE$63,MATCH(BW$3,坦克标准养成属性!$S$3:$AE$3,0),FALSE)</f>
        <v>360</v>
      </c>
      <c r="BX14" s="42">
        <f ca="1">VLOOKUP($BN14&amp;$BQ14,坦克标准养成属性!$S$3:$AE$63,MATCH(BX$3,坦克标准养成属性!$S$3:$AE$3,0),FALSE)</f>
        <v>84</v>
      </c>
      <c r="BY14" s="2">
        <f>IFERROR((VLOOKUP(LEFT(BR14,1)*1,坦克部件!$N$3:$W$9,MATCH("升星属性",坦克部件!$N$3:$W$3,0),FALSE)+VLOOKUP(RIGHT(BR14,1)*1,坦克部件!$Y$3:$AC$38,MATCH("累计属性",坦克部件!$Y$3:$AC$3,0),FALSE))*2,0)</f>
        <v>0</v>
      </c>
      <c r="BZ14" s="42">
        <f t="shared" si="15"/>
        <v>0</v>
      </c>
      <c r="CA14" s="42">
        <f t="shared" si="16"/>
        <v>0</v>
      </c>
    </row>
    <row r="15" spans="2:79" x14ac:dyDescent="0.3">
      <c r="B15" s="2" t="str">
        <f>坦克个性化设定!B30</f>
        <v>T-34</v>
      </c>
      <c r="C15" s="2" t="str">
        <f>VLOOKUP(B15,坦克个性化设定!$B$18:$E$48,4,FALSE)</f>
        <v>T2</v>
      </c>
      <c r="D15" s="2" t="str">
        <f>坦克个性化细分!J15</f>
        <v>低</v>
      </c>
      <c r="E15" s="2" t="str">
        <f t="shared" si="10"/>
        <v>T2低0</v>
      </c>
      <c r="F15" s="2" t="str">
        <f>VLOOKUP($B15,坦克个性化设定!$B$18:$BC$48,MATCH(F$3,坦克个性化设定!$B$18:$BC$18,0),FALSE)</f>
        <v>中坦</v>
      </c>
      <c r="G15" s="2" t="str">
        <f>VLOOKUP($B15,坦克个性化设定!$B$18:$BC$48,MATCH(G$3,坦克个性化设定!$B$18:$BC$18,0),FALSE)</f>
        <v>中坦自动</v>
      </c>
      <c r="H15" s="2" t="str">
        <f t="shared" si="11"/>
        <v>自动装弹</v>
      </c>
      <c r="I15" s="2">
        <f>VLOOKUP($B15,坦克个性化设定!$B$18:$BC$48,MATCH(I$3,坦克个性化设定!$B$18:$BC$18,0),FALSE)</f>
        <v>5.58</v>
      </c>
      <c r="J15" s="2">
        <f>VLOOKUP($B15,坦克个性化设定!$B$18:$BC$48,MATCH(J$3,坦克个性化设定!$B$18:$BC$18,0),FALSE)</f>
        <v>2.84</v>
      </c>
      <c r="K15" s="2">
        <f>VLOOKUP($B15,坦克个性化设定!$B$18:$BC$48,MATCH(K$3,坦克个性化设定!$B$18:$BC$18,0),FALSE)</f>
        <v>0.3</v>
      </c>
      <c r="L15" s="34">
        <f>VLOOKUP($B15,坦克个性化设定!$B$18:$BC$48,MATCH(L$3,坦克个性化设定!$B$18:$BC$18,0),FALSE)</f>
        <v>1.6422918151337649</v>
      </c>
      <c r="M15" s="34">
        <f>VLOOKUP($B15,坦克个性化设定!$B$18:$BC$48,MATCH(M$3,坦克个性化设定!$B$18:$BC$18,0),FALSE)</f>
        <v>13.333333333333334</v>
      </c>
      <c r="N15" s="34">
        <f>VLOOKUP($B15,坦克个性化设定!$B$18:$BC$48,MATCH(N$3,坦克个性化设定!$B$18:$BC$18,0),FALSE)</f>
        <v>22.857142857142858</v>
      </c>
      <c r="O15" s="2">
        <f>VLOOKUP($B15,坦克个性化设定!$B$18:$BC$48,MATCH(O$3,坦克个性化设定!$B$18:$BC$18,0),FALSE)</f>
        <v>0.9</v>
      </c>
      <c r="P15" s="2">
        <f>VLOOKUP($B15,坦克个性化设定!$B$18:$BC$48,MATCH(P$3,坦克个性化设定!$B$18:$BC$18,0),FALSE)</f>
        <v>0.9</v>
      </c>
      <c r="Q15" s="2">
        <f>VLOOKUP($B15,坦克个性化设定!$B$18:$BC$48,MATCH(Q$3,坦克个性化设定!$B$18:$BC$18,0),FALSE)</f>
        <v>0.9</v>
      </c>
      <c r="R15" s="2">
        <f>VLOOKUP($B15,坦克个性化设定!$B$18:$BC$48,MATCH(R$3,坦克个性化设定!$B$18:$BC$18,0),FALSE)</f>
        <v>0.32</v>
      </c>
      <c r="S15" s="34">
        <f>VLOOKUP($B15,坦克个性化设定!$B$51:$T$81,MATCH(S$3,坦克个性化设定!$B$51:$T$51,0),FALSE)</f>
        <v>1.5999999999999999</v>
      </c>
      <c r="T15" s="34">
        <f>VLOOKUP($B15,坦克个性化设定!$B$51:$T$81,MATCH(T$3,坦克个性化设定!$B$51:$T$51,0),FALSE)</f>
        <v>1.01</v>
      </c>
      <c r="U15" s="34">
        <f>VLOOKUP($B15,坦克个性化设定!$B$18:$BC$48,MATCH(U$3,坦克个性化设定!$B$18:$BC$18,0),FALSE)</f>
        <v>0.75</v>
      </c>
      <c r="V15" s="2">
        <f>VLOOKUP($B15,坦克个性化设定!$B$18:$BC$48,MATCH(V$3,坦克个性化设定!$B$18:$BC$18,0),FALSE)</f>
        <v>1</v>
      </c>
      <c r="W15" s="2">
        <f>VLOOKUP($B15,坦克个性化设定!$B$18:$BC$48,MATCH(W$3,坦克个性化设定!$B$18:$BC$18,0),FALSE)</f>
        <v>2</v>
      </c>
      <c r="X15" s="2">
        <f>VLOOKUP($B15,坦克个性化设定!$B$18:$BC$48,MATCH(X$3,坦克个性化设定!$B$18:$BC$18,0),FALSE)</f>
        <v>0.75</v>
      </c>
      <c r="Y15" s="34">
        <f>VLOOKUP($B15,坦克个性化设定!$B$18:$BC$48,MATCH(Y$3,坦克个性化设定!$B$18:$BC$18,0),FALSE)</f>
        <v>11.123020662806383</v>
      </c>
      <c r="Z15" s="34">
        <f>VLOOKUP($B15,坦克个性化设定!$B$18:$BC$48,MATCH(Z$3,坦克个性化设定!$B$18:$BC$18,0),FALSE)</f>
        <v>55.61510331403192</v>
      </c>
      <c r="AA15" s="34">
        <f>VLOOKUP($B15,坦克个性化设定!$B$18:$BC$48,MATCH(AA$3,坦克个性化设定!$B$18:$BC$18,0),FALSE)</f>
        <v>2.84</v>
      </c>
      <c r="AB15" s="34">
        <f>VLOOKUP($B15,坦克个性化设定!$B$18:$BC$48,MATCH(AB$3,坦克个性化设定!$B$18:$BC$18,0),FALSE)</f>
        <v>8</v>
      </c>
      <c r="AC15" s="34">
        <f>VLOOKUP($B15,坦克个性化设定!$B$18:$BC$48,MATCH(AC$3,坦克个性化设定!$B$18:$BC$18,0),FALSE)</f>
        <v>5</v>
      </c>
      <c r="AD15" s="34">
        <f>VLOOKUP($B15,坦克个性化设定!$B$18:$BC$48,MATCH(AD$3,坦克个性化设定!$B$18:$BC$18,0),FALSE)</f>
        <v>4</v>
      </c>
      <c r="AE15" s="34">
        <f>VLOOKUP($B15,坦克个性化设定!$B$18:$BC$48,MATCH(AE$3,坦克个性化设定!$B$18:$BC$18,0),FALSE)</f>
        <v>1.0649999999999999</v>
      </c>
      <c r="AF15" s="2">
        <f>VLOOKUP($B15,坦克个性化设定!$B$18:$BC$48,MATCH(AF$3,坦克个性化设定!$B$18:$BC$18,0),FALSE)</f>
        <v>0.2</v>
      </c>
      <c r="AG15" s="2">
        <f>VLOOKUP($B15,坦克个性化设定!$B$18:$BC$48,MATCH(AG$3,坦克个性化设定!$B$18:$BC$18,0),FALSE)</f>
        <v>35</v>
      </c>
      <c r="AH15" s="2">
        <f>VLOOKUP($B15,坦克个性化设定!$B$18:$BC$48,MATCH(AH$3,坦克个性化设定!$B$18:$BC$18,0),FALSE)</f>
        <v>40</v>
      </c>
      <c r="AI15" s="2">
        <f>VLOOKUP(B15,坦克个性化细分!$I$3:$P$33,3,FALSE)</f>
        <v>44.5</v>
      </c>
      <c r="AJ15" s="2">
        <f>VLOOKUP(B15,坦克个性化细分!$I$3:$P$33,5,FALSE)</f>
        <v>40</v>
      </c>
      <c r="AK15" s="2">
        <f>VLOOKUP(B15,坦克个性化细分!$I$3:$P$33,7,FALSE)</f>
        <v>8</v>
      </c>
      <c r="AL15" s="2">
        <f>VLOOKUP($B15,坦克个性化设定!$G$84:$T$114,MATCH(AL$3,坦克个性化设定!$G$84:$T$84,0),FALSE)</f>
        <v>9</v>
      </c>
      <c r="AM15" s="2">
        <f>VLOOKUP($B15,坦克个性化细分!$E$3:$G$33,2,FALSE)</f>
        <v>3.2</v>
      </c>
      <c r="AN15" s="2">
        <f>VLOOKUP($B15,坦克个性化细分!$E$3:$G$33,3,FALSE)</f>
        <v>0</v>
      </c>
      <c r="AO15" s="34">
        <f t="shared" si="0"/>
        <v>1.01</v>
      </c>
      <c r="AP15" s="33">
        <f t="shared" ca="1" si="1"/>
        <v>923</v>
      </c>
      <c r="AQ15" s="33">
        <f t="shared" ca="1" si="2"/>
        <v>143</v>
      </c>
      <c r="AR15" s="33">
        <f t="shared" ca="1" si="3"/>
        <v>394</v>
      </c>
      <c r="AS15" s="33">
        <f t="shared" ca="1" si="4"/>
        <v>177</v>
      </c>
      <c r="AT15" s="33">
        <f t="shared" ca="1" si="5"/>
        <v>432</v>
      </c>
      <c r="AU15" s="33">
        <f t="shared" ca="1" si="6"/>
        <v>101</v>
      </c>
      <c r="AV15" s="33">
        <f t="shared" si="12"/>
        <v>0</v>
      </c>
      <c r="AW15" s="33">
        <f t="shared" si="13"/>
        <v>0</v>
      </c>
      <c r="AX15" s="33">
        <f t="shared" si="14"/>
        <v>0</v>
      </c>
      <c r="AY15" s="2">
        <f t="shared" si="7"/>
        <v>6</v>
      </c>
      <c r="AZ15" s="2">
        <f>基础属性系数!$E$61</f>
        <v>0</v>
      </c>
      <c r="BA15" s="2">
        <v>50</v>
      </c>
      <c r="BB15" s="2">
        <v>10</v>
      </c>
      <c r="BC15" s="2">
        <f>VLOOKUP($B15,坦克类型系数!$B$3:$R$33,MATCH(BC$3,坦克类型系数!$B$3:$R$3,0),FALSE)</f>
        <v>0</v>
      </c>
      <c r="BD15" s="2">
        <f>VLOOKUP($B15,坦克类型系数!$B$3:$R$33,MATCH(BD$3,坦克类型系数!$B$3:$R$3,0),FALSE)</f>
        <v>2.15</v>
      </c>
      <c r="BE15" s="2">
        <f>VLOOKUP($B15,坦克类型系数!$B$3:$R$33,MATCH(BE$3,坦克类型系数!$B$3:$R$3,0),FALSE)</f>
        <v>1.9</v>
      </c>
      <c r="BF15" s="2">
        <f>VLOOKUP($B15,坦克类型系数!$B$3:$R$33,MATCH(BF$3,坦克类型系数!$B$3:$R$3,0),FALSE)</f>
        <v>1.9</v>
      </c>
      <c r="BG15" s="2">
        <f>VLOOKUP($B15,坦克类型系数!$B$3:$R$33,MATCH(BG$3,坦克类型系数!$B$3:$R$3,0),FALSE)</f>
        <v>0.95</v>
      </c>
      <c r="BH15" s="2">
        <f>VLOOKUP($B15,坦克类型系数!$B$3:$R$33,MATCH(BH$3,坦克类型系数!$B$3:$R$3,0),FALSE)</f>
        <v>0.95</v>
      </c>
      <c r="BI15" s="2">
        <f>VLOOKUP($B15,坦克类型系数!$B$3:$R$33,MATCH(BI$3,坦克类型系数!$B$3:$R$3,0),FALSE)</f>
        <v>0.85</v>
      </c>
      <c r="BJ15" s="25"/>
      <c r="BK15" s="25"/>
      <c r="BL15" s="25"/>
      <c r="BM15" s="1" t="s">
        <v>1215</v>
      </c>
      <c r="BN15" s="2" t="str">
        <f t="shared" si="8"/>
        <v>T-34</v>
      </c>
      <c r="BO15" s="2" t="str">
        <f>VLOOKUP(BN15,坦克个性化设定!$B$18:$E$48,MATCH(BO$3,坦克个性化设定!$B$18:$E$18,0),FALSE)</f>
        <v>T2</v>
      </c>
      <c r="BP15" s="2" t="str">
        <f t="shared" si="9"/>
        <v>低</v>
      </c>
      <c r="BQ15" s="2" t="s">
        <v>777</v>
      </c>
      <c r="BR15" s="2"/>
      <c r="BS15" s="42">
        <f ca="1">VLOOKUP($BN15&amp;$BQ15,坦克标准养成属性!$S$3:$AE$63,MATCH(BS$3,坦克标准养成属性!$S$3:$AE$3,0),FALSE)</f>
        <v>922.66608588587246</v>
      </c>
      <c r="BT15" s="42">
        <f ca="1">VLOOKUP($BN15&amp;$BQ15,坦克标准养成属性!$S$3:$AE$63,MATCH(BT$3,坦克标准养成属性!$S$3:$AE$3,0),FALSE)</f>
        <v>142.96458214557981</v>
      </c>
      <c r="BU15" s="42">
        <f ca="1">VLOOKUP($BN15&amp;$BQ15,坦克标准养成属性!$S$3:$AE$63,MATCH(BU$3,坦克标准养成属性!$S$3:$AE$3,0),FALSE)</f>
        <v>394</v>
      </c>
      <c r="BV15" s="42">
        <f ca="1">VLOOKUP($BN15&amp;$BQ15,坦克标准养成属性!$S$3:$AE$63,MATCH(BV$3,坦克标准养成属性!$S$3:$AE$3,0),FALSE)</f>
        <v>177</v>
      </c>
      <c r="BW15" s="42">
        <f ca="1">VLOOKUP($BN15&amp;$BQ15,坦克标准养成属性!$S$3:$AE$63,MATCH(BW$3,坦克标准养成属性!$S$3:$AE$3,0),FALSE)</f>
        <v>432</v>
      </c>
      <c r="BX15" s="42">
        <f ca="1">VLOOKUP($BN15&amp;$BQ15,坦克标准养成属性!$S$3:$AE$63,MATCH(BX$3,坦克标准养成属性!$S$3:$AE$3,0),FALSE)</f>
        <v>101</v>
      </c>
      <c r="BY15" s="2">
        <f>IFERROR((VLOOKUP(LEFT(BR15,1)*1,坦克部件!$N$3:$W$9,MATCH("升星属性",坦克部件!$N$3:$W$3,0),FALSE)+VLOOKUP(RIGHT(BR15,1)*1,坦克部件!$Y$3:$AC$38,MATCH("累计属性",坦克部件!$Y$3:$AC$3,0),FALSE))*2,0)</f>
        <v>0</v>
      </c>
      <c r="BZ15" s="42">
        <f t="shared" si="15"/>
        <v>0</v>
      </c>
      <c r="CA15" s="42">
        <f t="shared" si="16"/>
        <v>0</v>
      </c>
    </row>
    <row r="16" spans="2:79" x14ac:dyDescent="0.3">
      <c r="B16" s="2" t="str">
        <f>坦克个性化设定!B31</f>
        <v>四号</v>
      </c>
      <c r="C16" s="2" t="str">
        <f>VLOOKUP(B16,坦克个性化设定!$B$18:$E$48,4,FALSE)</f>
        <v>T2</v>
      </c>
      <c r="D16" s="2" t="str">
        <f>坦克个性化细分!J16</f>
        <v>中</v>
      </c>
      <c r="E16" s="2" t="str">
        <f t="shared" si="10"/>
        <v>T2中0</v>
      </c>
      <c r="F16" s="2" t="str">
        <f>VLOOKUP($B16,坦克个性化设定!$B$18:$BC$48,MATCH(F$3,坦克个性化设定!$B$18:$BC$18,0),FALSE)</f>
        <v>中坦</v>
      </c>
      <c r="G16" s="2" t="str">
        <f>VLOOKUP($B16,坦克个性化设定!$B$18:$BC$48,MATCH(G$3,坦克个性化设定!$B$18:$BC$18,0),FALSE)</f>
        <v>中坦自动</v>
      </c>
      <c r="H16" s="2" t="str">
        <f t="shared" si="11"/>
        <v>自动装弹</v>
      </c>
      <c r="I16" s="2">
        <f>VLOOKUP($B16,坦克个性化设定!$B$18:$BC$48,MATCH(I$3,坦克个性化设定!$B$18:$BC$18,0),FALSE)</f>
        <v>5.97</v>
      </c>
      <c r="J16" s="2">
        <f>VLOOKUP($B16,坦克个性化设定!$B$18:$BC$48,MATCH(J$3,坦克个性化设定!$B$18:$BC$18,0),FALSE)</f>
        <v>2.96</v>
      </c>
      <c r="K16" s="2">
        <f>VLOOKUP($B16,坦克个性化设定!$B$18:$BC$48,MATCH(K$3,坦克个性化设定!$B$18:$BC$18,0),FALSE)</f>
        <v>0.3</v>
      </c>
      <c r="L16" s="34">
        <f>VLOOKUP($B16,坦克个性化设定!$B$18:$BC$48,MATCH(L$3,坦克个性化设定!$B$18:$BC$18,0),FALSE)</f>
        <v>1.6422918151337649</v>
      </c>
      <c r="M16" s="34">
        <f>VLOOKUP($B16,坦克个性化设定!$B$18:$BC$48,MATCH(M$3,坦克个性化设定!$B$18:$BC$18,0),FALSE)</f>
        <v>13.333333333333334</v>
      </c>
      <c r="N16" s="34">
        <f>VLOOKUP($B16,坦克个性化设定!$B$18:$BC$48,MATCH(N$3,坦克个性化设定!$B$18:$BC$18,0),FALSE)</f>
        <v>22.857142857142858</v>
      </c>
      <c r="O16" s="2">
        <f>VLOOKUP($B16,坦克个性化设定!$B$18:$BC$48,MATCH(O$3,坦克个性化设定!$B$18:$BC$18,0),FALSE)</f>
        <v>0.9</v>
      </c>
      <c r="P16" s="2">
        <f>VLOOKUP($B16,坦克个性化设定!$B$18:$BC$48,MATCH(P$3,坦克个性化设定!$B$18:$BC$18,0),FALSE)</f>
        <v>0.9</v>
      </c>
      <c r="Q16" s="2">
        <f>VLOOKUP($B16,坦克个性化设定!$B$18:$BC$48,MATCH(Q$3,坦克个性化设定!$B$18:$BC$18,0),FALSE)</f>
        <v>0.9</v>
      </c>
      <c r="R16" s="2">
        <f>VLOOKUP($B16,坦克个性化设定!$B$18:$BC$48,MATCH(R$3,坦克个性化设定!$B$18:$BC$18,0),FALSE)</f>
        <v>0.4</v>
      </c>
      <c r="S16" s="34">
        <f>VLOOKUP($B16,坦克个性化设定!$B$51:$T$81,MATCH(S$3,坦克个性化设定!$B$51:$T$51,0),FALSE)</f>
        <v>2.4</v>
      </c>
      <c r="T16" s="34">
        <f>VLOOKUP($B16,坦克个性化设定!$B$51:$T$81,MATCH(T$3,坦克个性化设定!$B$51:$T$51,0),FALSE)</f>
        <v>1.4</v>
      </c>
      <c r="U16" s="34">
        <f>VLOOKUP($B16,坦克个性化设定!$B$18:$BC$48,MATCH(U$3,坦克个性化设定!$B$18:$BC$18,0),FALSE)</f>
        <v>0.64</v>
      </c>
      <c r="V16" s="2">
        <f>VLOOKUP($B16,坦克个性化设定!$B$18:$BC$48,MATCH(V$3,坦克个性化设定!$B$18:$BC$18,0),FALSE)</f>
        <v>1</v>
      </c>
      <c r="W16" s="2">
        <f>VLOOKUP($B16,坦克个性化设定!$B$18:$BC$48,MATCH(W$3,坦克个性化设定!$B$18:$BC$18,0),FALSE)</f>
        <v>4</v>
      </c>
      <c r="X16" s="2">
        <f>VLOOKUP($B16,坦克个性化设定!$B$18:$BC$48,MATCH(X$3,坦克个性化设定!$B$18:$BC$18,0),FALSE)</f>
        <v>0.75</v>
      </c>
      <c r="Y16" s="34">
        <f>VLOOKUP($B16,坦克个性化设定!$B$18:$BC$48,MATCH(Y$3,坦克个性化设定!$B$18:$BC$18,0),FALSE)</f>
        <v>8.8984165302451057</v>
      </c>
      <c r="Z16" s="34">
        <f>VLOOKUP($B16,坦克个性化设定!$B$18:$BC$48,MATCH(Z$3,坦克个性化设定!$B$18:$BC$18,0),FALSE)</f>
        <v>55.61510331403192</v>
      </c>
      <c r="AA16" s="34">
        <f>VLOOKUP($B16,坦克个性化设定!$B$18:$BC$48,MATCH(AA$3,坦克个性化设定!$B$18:$BC$18,0),FALSE)</f>
        <v>2.84</v>
      </c>
      <c r="AB16" s="34">
        <f>VLOOKUP($B16,坦克个性化设定!$B$18:$BC$48,MATCH(AB$3,坦克个性化设定!$B$18:$BC$18,0),FALSE)</f>
        <v>7.2</v>
      </c>
      <c r="AC16" s="34">
        <f>VLOOKUP($B16,坦克个性化设定!$B$18:$BC$48,MATCH(AC$3,坦克个性化设定!$B$18:$BC$18,0),FALSE)</f>
        <v>5</v>
      </c>
      <c r="AD16" s="34">
        <f>VLOOKUP($B16,坦克个性化设定!$B$18:$BC$48,MATCH(AD$3,坦克个性化设定!$B$18:$BC$18,0),FALSE)</f>
        <v>4</v>
      </c>
      <c r="AE16" s="34">
        <f>VLOOKUP($B16,坦克个性化设定!$B$18:$BC$48,MATCH(AE$3,坦克个性化设定!$B$18:$BC$18,0),FALSE)</f>
        <v>1.0649999999999999</v>
      </c>
      <c r="AF16" s="2">
        <f>VLOOKUP($B16,坦克个性化设定!$B$18:$BC$48,MATCH(AF$3,坦克个性化设定!$B$18:$BC$18,0),FALSE)</f>
        <v>0.2</v>
      </c>
      <c r="AG16" s="2">
        <f>VLOOKUP($B16,坦克个性化设定!$B$18:$BC$48,MATCH(AG$3,坦克个性化设定!$B$18:$BC$18,0),FALSE)</f>
        <v>35</v>
      </c>
      <c r="AH16" s="2">
        <f>VLOOKUP($B16,坦克个性化设定!$B$18:$BC$48,MATCH(AH$3,坦克个性化设定!$B$18:$BC$18,0),FALSE)</f>
        <v>40</v>
      </c>
      <c r="AI16" s="2">
        <f>VLOOKUP(B16,坦克个性化细分!$I$3:$P$33,3,FALSE)</f>
        <v>36.299999999999997</v>
      </c>
      <c r="AJ16" s="2">
        <f>VLOOKUP(B16,坦克个性化细分!$I$3:$P$33,5,FALSE)</f>
        <v>51</v>
      </c>
      <c r="AK16" s="2">
        <f>VLOOKUP(B16,坦克个性化细分!$I$3:$P$33,7,FALSE)</f>
        <v>7.3</v>
      </c>
      <c r="AL16" s="2">
        <f>VLOOKUP($B16,坦克个性化设定!$G$84:$T$114,MATCH(AL$3,坦克个性化设定!$G$84:$T$84,0),FALSE)</f>
        <v>6</v>
      </c>
      <c r="AM16" s="2">
        <f>VLOOKUP($B16,坦克个性化细分!$E$3:$G$33,2,FALSE)</f>
        <v>2.4</v>
      </c>
      <c r="AN16" s="2">
        <f>VLOOKUP($B16,坦克个性化细分!$E$3:$G$33,3,FALSE)</f>
        <v>0</v>
      </c>
      <c r="AO16" s="34">
        <f t="shared" si="0"/>
        <v>1.4</v>
      </c>
      <c r="AP16" s="33">
        <f t="shared" ca="1" si="1"/>
        <v>983</v>
      </c>
      <c r="AQ16" s="33">
        <f t="shared" ca="1" si="2"/>
        <v>144</v>
      </c>
      <c r="AR16" s="33">
        <f t="shared" ca="1" si="3"/>
        <v>401</v>
      </c>
      <c r="AS16" s="33">
        <f t="shared" ca="1" si="4"/>
        <v>180</v>
      </c>
      <c r="AT16" s="33">
        <f t="shared" ca="1" si="5"/>
        <v>439</v>
      </c>
      <c r="AU16" s="33">
        <f t="shared" ca="1" si="6"/>
        <v>103</v>
      </c>
      <c r="AV16" s="33">
        <f t="shared" si="12"/>
        <v>0</v>
      </c>
      <c r="AW16" s="33">
        <f t="shared" si="13"/>
        <v>0</v>
      </c>
      <c r="AX16" s="33">
        <f t="shared" si="14"/>
        <v>0</v>
      </c>
      <c r="AY16" s="2">
        <f t="shared" si="7"/>
        <v>6</v>
      </c>
      <c r="AZ16" s="2">
        <f>基础属性系数!$E$61</f>
        <v>0</v>
      </c>
      <c r="BA16" s="2">
        <v>50</v>
      </c>
      <c r="BB16" s="2">
        <v>10</v>
      </c>
      <c r="BC16" s="2">
        <f>VLOOKUP($B16,坦克类型系数!$B$3:$R$33,MATCH(BC$3,坦克类型系数!$B$3:$R$3,0),FALSE)</f>
        <v>0</v>
      </c>
      <c r="BD16" s="2">
        <f>VLOOKUP($B16,坦克类型系数!$B$3:$R$33,MATCH(BD$3,坦克类型系数!$B$3:$R$3,0),FALSE)</f>
        <v>2.2000000000000002</v>
      </c>
      <c r="BE16" s="2">
        <f>VLOOKUP($B16,坦克类型系数!$B$3:$R$33,MATCH(BE$3,坦克类型系数!$B$3:$R$3,0),FALSE)</f>
        <v>1.85</v>
      </c>
      <c r="BF16" s="2">
        <f>VLOOKUP($B16,坦克类型系数!$B$3:$R$33,MATCH(BF$3,坦克类型系数!$B$3:$R$3,0),FALSE)</f>
        <v>1.85</v>
      </c>
      <c r="BG16" s="2">
        <f>VLOOKUP($B16,坦克类型系数!$B$3:$R$33,MATCH(BG$3,坦克类型系数!$B$3:$R$3,0),FALSE)</f>
        <v>0.95</v>
      </c>
      <c r="BH16" s="2">
        <f>VLOOKUP($B16,坦克类型系数!$B$3:$R$33,MATCH(BH$3,坦克类型系数!$B$3:$R$3,0),FALSE)</f>
        <v>0.95</v>
      </c>
      <c r="BI16" s="2">
        <f>VLOOKUP($B16,坦克类型系数!$B$3:$R$33,MATCH(BI$3,坦克类型系数!$B$3:$R$3,0),FALSE)</f>
        <v>0.85</v>
      </c>
      <c r="BJ16" s="25"/>
      <c r="BK16" s="25"/>
      <c r="BL16" s="25"/>
      <c r="BM16" s="1" t="s">
        <v>1215</v>
      </c>
      <c r="BN16" s="2" t="str">
        <f t="shared" si="8"/>
        <v>四号</v>
      </c>
      <c r="BO16" s="2" t="str">
        <f>VLOOKUP(BN16,坦克个性化设定!$B$18:$E$48,MATCH(BO$3,坦克个性化设定!$B$18:$E$18,0),FALSE)</f>
        <v>T2</v>
      </c>
      <c r="BP16" s="2" t="str">
        <f t="shared" si="9"/>
        <v>中</v>
      </c>
      <c r="BQ16" s="2" t="s">
        <v>777</v>
      </c>
      <c r="BR16" s="2"/>
      <c r="BS16" s="42">
        <f ca="1">VLOOKUP($BN16&amp;$BQ16,坦克标准养成属性!$S$3:$AE$63,MATCH(BS$3,坦克标准养成属性!$S$3:$AE$3,0),FALSE)</f>
        <v>983.25132333252657</v>
      </c>
      <c r="BT16" s="42">
        <f ca="1">VLOOKUP($BN16&amp;$BQ16,坦克标准养成属性!$S$3:$AE$63,MATCH(BT$3,坦克标准养成属性!$S$3:$AE$3,0),FALSE)</f>
        <v>143.82333469977391</v>
      </c>
      <c r="BU16" s="42">
        <f ca="1">VLOOKUP($BN16&amp;$BQ16,坦克标准养成属性!$S$3:$AE$63,MATCH(BU$3,坦克标准养成属性!$S$3:$AE$3,0),FALSE)</f>
        <v>401</v>
      </c>
      <c r="BV16" s="42">
        <f ca="1">VLOOKUP($BN16&amp;$BQ16,坦克标准养成属性!$S$3:$AE$63,MATCH(BV$3,坦克标准养成属性!$S$3:$AE$3,0),FALSE)</f>
        <v>180</v>
      </c>
      <c r="BW16" s="42">
        <f ca="1">VLOOKUP($BN16&amp;$BQ16,坦克标准养成属性!$S$3:$AE$63,MATCH(BW$3,坦克标准养成属性!$S$3:$AE$3,0),FALSE)</f>
        <v>439</v>
      </c>
      <c r="BX16" s="42">
        <f ca="1">VLOOKUP($BN16&amp;$BQ16,坦克标准养成属性!$S$3:$AE$63,MATCH(BX$3,坦克标准养成属性!$S$3:$AE$3,0),FALSE)</f>
        <v>103</v>
      </c>
      <c r="BY16" s="2">
        <f>IFERROR((VLOOKUP(LEFT(BR16,1)*1,坦克部件!$N$3:$W$9,MATCH("升星属性",坦克部件!$N$3:$W$3,0),FALSE)+VLOOKUP(RIGHT(BR16,1)*1,坦克部件!$Y$3:$AC$38,MATCH("累计属性",坦克部件!$Y$3:$AC$3,0),FALSE))*2,0)</f>
        <v>0</v>
      </c>
      <c r="BZ16" s="42">
        <f t="shared" si="15"/>
        <v>0</v>
      </c>
      <c r="CA16" s="42">
        <f t="shared" si="16"/>
        <v>0</v>
      </c>
    </row>
    <row r="17" spans="2:79" x14ac:dyDescent="0.3">
      <c r="B17" s="2" t="str">
        <f>坦克个性化设定!B32</f>
        <v>玛蒂尔达</v>
      </c>
      <c r="C17" s="2" t="str">
        <f>VLOOKUP(B17,坦克个性化设定!$B$18:$E$48,4,FALSE)</f>
        <v>T3</v>
      </c>
      <c r="D17" s="2" t="str">
        <f>坦克个性化细分!J17</f>
        <v>低</v>
      </c>
      <c r="E17" s="2" t="str">
        <f t="shared" si="10"/>
        <v>T3低0</v>
      </c>
      <c r="F17" s="2" t="str">
        <f>VLOOKUP($B17,坦克个性化设定!$B$18:$BC$48,MATCH(F$3,坦克个性化设定!$B$18:$BC$18,0),FALSE)</f>
        <v>中坦</v>
      </c>
      <c r="G17" s="2" t="str">
        <f>VLOOKUP($B17,坦克个性化设定!$B$18:$BC$48,MATCH(G$3,坦克个性化设定!$B$18:$BC$18,0),FALSE)</f>
        <v>中坦自动</v>
      </c>
      <c r="H17" s="2" t="str">
        <f t="shared" si="11"/>
        <v>自动装弹</v>
      </c>
      <c r="I17" s="2">
        <f>VLOOKUP($B17,坦克个性化设定!$B$18:$BC$48,MATCH(I$3,坦克个性化设定!$B$18:$BC$18,0),FALSE)</f>
        <v>6.05</v>
      </c>
      <c r="J17" s="2">
        <f>VLOOKUP($B17,坦克个性化设定!$B$18:$BC$48,MATCH(J$3,坦克个性化设定!$B$18:$BC$18,0),FALSE)</f>
        <v>2.57</v>
      </c>
      <c r="K17" s="2">
        <f>VLOOKUP($B17,坦克个性化设定!$B$18:$BC$48,MATCH(K$3,坦克个性化设定!$B$18:$BC$18,0),FALSE)</f>
        <v>0.3</v>
      </c>
      <c r="L17" s="34">
        <f>VLOOKUP($B17,坦克个性化设定!$B$18:$BC$48,MATCH(L$3,坦克个性化设定!$B$18:$BC$18,0),FALSE)</f>
        <v>1.6422918151337649</v>
      </c>
      <c r="M17" s="34">
        <f>VLOOKUP($B17,坦克个性化设定!$B$18:$BC$48,MATCH(M$3,坦克个性化设定!$B$18:$BC$18,0),FALSE)</f>
        <v>13.333333333333334</v>
      </c>
      <c r="N17" s="34">
        <f>VLOOKUP($B17,坦克个性化设定!$B$18:$BC$48,MATCH(N$3,坦克个性化设定!$B$18:$BC$18,0),FALSE)</f>
        <v>22.857142857142858</v>
      </c>
      <c r="O17" s="2">
        <f>VLOOKUP($B17,坦克个性化设定!$B$18:$BC$48,MATCH(O$3,坦克个性化设定!$B$18:$BC$18,0),FALSE)</f>
        <v>0.9</v>
      </c>
      <c r="P17" s="2">
        <f>VLOOKUP($B17,坦克个性化设定!$B$18:$BC$48,MATCH(P$3,坦克个性化设定!$B$18:$BC$18,0),FALSE)</f>
        <v>0.9</v>
      </c>
      <c r="Q17" s="2">
        <f>VLOOKUP($B17,坦克个性化设定!$B$18:$BC$48,MATCH(Q$3,坦克个性化设定!$B$18:$BC$18,0),FALSE)</f>
        <v>0.9</v>
      </c>
      <c r="R17" s="2">
        <f>VLOOKUP($B17,坦克个性化设定!$B$18:$BC$48,MATCH(R$3,坦克个性化设定!$B$18:$BC$18,0),FALSE)</f>
        <v>0.28000000000000003</v>
      </c>
      <c r="S17" s="34">
        <f>VLOOKUP($B17,坦克个性化设定!$B$51:$T$81,MATCH(S$3,坦克个性化设定!$B$51:$T$51,0),FALSE)</f>
        <v>1.5999999999999999</v>
      </c>
      <c r="T17" s="34">
        <f>VLOOKUP($B17,坦克个性化设定!$B$51:$T$81,MATCH(T$3,坦克个性化设定!$B$51:$T$51,0),FALSE)</f>
        <v>0.99</v>
      </c>
      <c r="U17" s="34">
        <f>VLOOKUP($B17,坦克个性化设定!$B$18:$BC$48,MATCH(U$3,坦克个性化设定!$B$18:$BC$18,0),FALSE)</f>
        <v>0.75</v>
      </c>
      <c r="V17" s="2">
        <f>VLOOKUP($B17,坦克个性化设定!$B$18:$BC$48,MATCH(V$3,坦克个性化设定!$B$18:$BC$18,0),FALSE)</f>
        <v>1</v>
      </c>
      <c r="W17" s="2">
        <f>VLOOKUP($B17,坦克个性化设定!$B$18:$BC$48,MATCH(W$3,坦克个性化设定!$B$18:$BC$18,0),FALSE)</f>
        <v>1</v>
      </c>
      <c r="X17" s="2">
        <f>VLOOKUP($B17,坦克个性化设定!$B$18:$BC$48,MATCH(X$3,坦克个性化设定!$B$18:$BC$18,0),FALSE)</f>
        <v>0.75</v>
      </c>
      <c r="Y17" s="34">
        <f>VLOOKUP($B17,坦克个性化设定!$B$18:$BC$48,MATCH(Y$3,坦克个性化设定!$B$18:$BC$18,0),FALSE)</f>
        <v>11.123020662806383</v>
      </c>
      <c r="Z17" s="34">
        <f>VLOOKUP($B17,坦克个性化设定!$B$18:$BC$48,MATCH(Z$3,坦克个性化设定!$B$18:$BC$18,0),FALSE)</f>
        <v>55.61510331403192</v>
      </c>
      <c r="AA17" s="34">
        <f>VLOOKUP($B17,坦克个性化设定!$B$18:$BC$48,MATCH(AA$3,坦克个性化设定!$B$18:$BC$18,0),FALSE)</f>
        <v>2.84</v>
      </c>
      <c r="AB17" s="34">
        <f>VLOOKUP($B17,坦克个性化设定!$B$18:$BC$48,MATCH(AB$3,坦克个性化设定!$B$18:$BC$18,0),FALSE)</f>
        <v>8</v>
      </c>
      <c r="AC17" s="34">
        <f>VLOOKUP($B17,坦克个性化设定!$B$18:$BC$48,MATCH(AC$3,坦克个性化设定!$B$18:$BC$18,0),FALSE)</f>
        <v>5</v>
      </c>
      <c r="AD17" s="34">
        <f>VLOOKUP($B17,坦克个性化设定!$B$18:$BC$48,MATCH(AD$3,坦克个性化设定!$B$18:$BC$18,0),FALSE)</f>
        <v>4</v>
      </c>
      <c r="AE17" s="34">
        <f>VLOOKUP($B17,坦克个性化设定!$B$18:$BC$48,MATCH(AE$3,坦克个性化设定!$B$18:$BC$18,0),FALSE)</f>
        <v>1.0649999999999999</v>
      </c>
      <c r="AF17" s="2">
        <f>VLOOKUP($B17,坦克个性化设定!$B$18:$BC$48,MATCH(AF$3,坦克个性化设定!$B$18:$BC$18,0),FALSE)</f>
        <v>0.2</v>
      </c>
      <c r="AG17" s="2">
        <f>VLOOKUP($B17,坦克个性化设定!$B$18:$BC$48,MATCH(AG$3,坦克个性化设定!$B$18:$BC$18,0),FALSE)</f>
        <v>35</v>
      </c>
      <c r="AH17" s="2">
        <f>VLOOKUP($B17,坦克个性化设定!$B$18:$BC$48,MATCH(AH$3,坦克个性化设定!$B$18:$BC$18,0),FALSE)</f>
        <v>40</v>
      </c>
      <c r="AI17" s="2">
        <f>VLOOKUP(B17,坦克个性化细分!$I$3:$P$33,3,FALSE)</f>
        <v>44.5</v>
      </c>
      <c r="AJ17" s="2">
        <f>VLOOKUP(B17,坦克个性化细分!$I$3:$P$33,5,FALSE)</f>
        <v>40</v>
      </c>
      <c r="AK17" s="2">
        <f>VLOOKUP(B17,坦克个性化细分!$I$3:$P$33,7,FALSE)</f>
        <v>8</v>
      </c>
      <c r="AL17" s="2">
        <f>VLOOKUP($B17,坦克个性化设定!$G$84:$T$114,MATCH(AL$3,坦克个性化设定!$G$84:$T$84,0),FALSE)</f>
        <v>9</v>
      </c>
      <c r="AM17" s="2">
        <f>VLOOKUP($B17,坦克个性化细分!$E$3:$G$33,2,FALSE)</f>
        <v>3.2</v>
      </c>
      <c r="AN17" s="2">
        <f>VLOOKUP($B17,坦克个性化细分!$E$3:$G$33,3,FALSE)</f>
        <v>0</v>
      </c>
      <c r="AO17" s="34">
        <f t="shared" si="0"/>
        <v>0.99</v>
      </c>
      <c r="AP17" s="33">
        <f t="shared" ca="1" si="1"/>
        <v>1186</v>
      </c>
      <c r="AQ17" s="33">
        <f t="shared" ca="1" si="2"/>
        <v>172</v>
      </c>
      <c r="AR17" s="33">
        <f t="shared" ca="1" si="3"/>
        <v>486</v>
      </c>
      <c r="AS17" s="33">
        <f t="shared" ca="1" si="4"/>
        <v>219</v>
      </c>
      <c r="AT17" s="33">
        <f t="shared" ca="1" si="5"/>
        <v>533</v>
      </c>
      <c r="AU17" s="33">
        <f t="shared" ca="1" si="6"/>
        <v>125</v>
      </c>
      <c r="AV17" s="33">
        <f t="shared" si="12"/>
        <v>0</v>
      </c>
      <c r="AW17" s="33">
        <f t="shared" si="13"/>
        <v>0</v>
      </c>
      <c r="AX17" s="33">
        <f t="shared" si="14"/>
        <v>0</v>
      </c>
      <c r="AY17" s="2">
        <f t="shared" si="7"/>
        <v>6</v>
      </c>
      <c r="AZ17" s="2">
        <f>基础属性系数!$E$61</f>
        <v>0</v>
      </c>
      <c r="BA17" s="2">
        <v>50</v>
      </c>
      <c r="BB17" s="2">
        <v>10</v>
      </c>
      <c r="BC17" s="2">
        <f>VLOOKUP($B17,坦克类型系数!$B$3:$R$33,MATCH(BC$3,坦克类型系数!$B$3:$R$3,0),FALSE)</f>
        <v>0</v>
      </c>
      <c r="BD17" s="2">
        <f>VLOOKUP($B17,坦克类型系数!$B$3:$R$33,MATCH(BD$3,坦克类型系数!$B$3:$R$3,0),FALSE)</f>
        <v>2.25</v>
      </c>
      <c r="BE17" s="2">
        <f>VLOOKUP($B17,坦克类型系数!$B$3:$R$33,MATCH(BE$3,坦克类型系数!$B$3:$R$3,0),FALSE)</f>
        <v>2</v>
      </c>
      <c r="BF17" s="2">
        <f>VLOOKUP($B17,坦克类型系数!$B$3:$R$33,MATCH(BF$3,坦克类型系数!$B$3:$R$3,0),FALSE)</f>
        <v>2</v>
      </c>
      <c r="BG17" s="2">
        <f>VLOOKUP($B17,坦克类型系数!$B$3:$R$33,MATCH(BG$3,坦克类型系数!$B$3:$R$3,0),FALSE)</f>
        <v>0.95</v>
      </c>
      <c r="BH17" s="2">
        <f>VLOOKUP($B17,坦克类型系数!$B$3:$R$33,MATCH(BH$3,坦克类型系数!$B$3:$R$3,0),FALSE)</f>
        <v>0.95</v>
      </c>
      <c r="BI17" s="2">
        <f>VLOOKUP($B17,坦克类型系数!$B$3:$R$33,MATCH(BI$3,坦克类型系数!$B$3:$R$3,0),FALSE)</f>
        <v>0.85</v>
      </c>
      <c r="BJ17" s="25"/>
      <c r="BK17" s="25"/>
      <c r="BL17" s="25"/>
      <c r="BM17" s="1" t="s">
        <v>1215</v>
      </c>
      <c r="BN17" s="2" t="str">
        <f t="shared" si="8"/>
        <v>玛蒂尔达</v>
      </c>
      <c r="BO17" s="2" t="str">
        <f>VLOOKUP(BN17,坦克个性化设定!$B$18:$E$48,MATCH(BO$3,坦克个性化设定!$B$18:$E$18,0),FALSE)</f>
        <v>T3</v>
      </c>
      <c r="BP17" s="2" t="str">
        <f t="shared" si="9"/>
        <v>低</v>
      </c>
      <c r="BQ17" s="2" t="s">
        <v>777</v>
      </c>
      <c r="BR17" s="2"/>
      <c r="BS17" s="42">
        <f ca="1">VLOOKUP($BN17&amp;$BQ17,坦克标准养成属性!$S$3:$AE$63,MATCH(BS$3,坦克标准养成属性!$S$3:$AE$3,0),FALSE)</f>
        <v>1185.5819547498907</v>
      </c>
      <c r="BT17" s="42">
        <f ca="1">VLOOKUP($BN17&amp;$BQ17,坦克标准养成属性!$S$3:$AE$63,MATCH(BT$3,坦克标准养成属性!$S$3:$AE$3,0),FALSE)</f>
        <v>172.03269358623473</v>
      </c>
      <c r="BU17" s="42">
        <f ca="1">VLOOKUP($BN17&amp;$BQ17,坦克标准养成属性!$S$3:$AE$63,MATCH(BU$3,坦克标准养成属性!$S$3:$AE$3,0),FALSE)</f>
        <v>486</v>
      </c>
      <c r="BV17" s="42">
        <f ca="1">VLOOKUP($BN17&amp;$BQ17,坦克标准养成属性!$S$3:$AE$63,MATCH(BV$3,坦克标准养成属性!$S$3:$AE$3,0),FALSE)</f>
        <v>219</v>
      </c>
      <c r="BW17" s="42">
        <f ca="1">VLOOKUP($BN17&amp;$BQ17,坦克标准养成属性!$S$3:$AE$63,MATCH(BW$3,坦克标准养成属性!$S$3:$AE$3,0),FALSE)</f>
        <v>533</v>
      </c>
      <c r="BX17" s="42">
        <f ca="1">VLOOKUP($BN17&amp;$BQ17,坦克标准养成属性!$S$3:$AE$63,MATCH(BX$3,坦克标准养成属性!$S$3:$AE$3,0),FALSE)</f>
        <v>125</v>
      </c>
      <c r="BY17" s="2">
        <f>IFERROR((VLOOKUP(LEFT(BR17,1)*1,坦克部件!$N$3:$W$9,MATCH("升星属性",坦克部件!$N$3:$W$3,0),FALSE)+VLOOKUP(RIGHT(BR17,1)*1,坦克部件!$Y$3:$AC$38,MATCH("累计属性",坦克部件!$Y$3:$AC$3,0),FALSE))*2,0)</f>
        <v>0</v>
      </c>
      <c r="BZ17" s="42">
        <f t="shared" si="15"/>
        <v>0</v>
      </c>
      <c r="CA17" s="42">
        <f t="shared" si="16"/>
        <v>0</v>
      </c>
    </row>
    <row r="18" spans="2:79" x14ac:dyDescent="0.3">
      <c r="B18" s="2" t="str">
        <f>坦克个性化设定!B33</f>
        <v>谢尔曼</v>
      </c>
      <c r="C18" s="2" t="str">
        <f>VLOOKUP(B18,坦克个性化设定!$B$18:$E$48,4,FALSE)</f>
        <v>T3</v>
      </c>
      <c r="D18" s="2" t="str">
        <f>坦克个性化细分!J18</f>
        <v>中</v>
      </c>
      <c r="E18" s="2" t="str">
        <f t="shared" si="10"/>
        <v>T3中0</v>
      </c>
      <c r="F18" s="2" t="str">
        <f>VLOOKUP($B18,坦克个性化设定!$B$18:$BC$48,MATCH(F$3,坦克个性化设定!$B$18:$BC$18,0),FALSE)</f>
        <v>中坦</v>
      </c>
      <c r="G18" s="2" t="str">
        <f>VLOOKUP($B18,坦克个性化设定!$B$18:$BC$48,MATCH(G$3,坦克个性化设定!$B$18:$BC$18,0),FALSE)</f>
        <v>中坦自动</v>
      </c>
      <c r="H18" s="2" t="str">
        <f t="shared" si="11"/>
        <v>自动装弹</v>
      </c>
      <c r="I18" s="2">
        <f>VLOOKUP($B18,坦克个性化设定!$B$18:$BC$48,MATCH(I$3,坦克个性化设定!$B$18:$BC$18,0),FALSE)</f>
        <v>6.33</v>
      </c>
      <c r="J18" s="2">
        <f>VLOOKUP($B18,坦克个性化设定!$B$18:$BC$48,MATCH(J$3,坦克个性化设定!$B$18:$BC$18,0),FALSE)</f>
        <v>2.85</v>
      </c>
      <c r="K18" s="2">
        <f>VLOOKUP($B18,坦克个性化设定!$B$18:$BC$48,MATCH(K$3,坦克个性化设定!$B$18:$BC$18,0),FALSE)</f>
        <v>0.3</v>
      </c>
      <c r="L18" s="34">
        <f>VLOOKUP($B18,坦克个性化设定!$B$18:$BC$48,MATCH(L$3,坦克个性化设定!$B$18:$BC$18,0),FALSE)</f>
        <v>1.6422918151337649</v>
      </c>
      <c r="M18" s="34">
        <f>VLOOKUP($B18,坦克个性化设定!$B$18:$BC$48,MATCH(M$3,坦克个性化设定!$B$18:$BC$18,0),FALSE)</f>
        <v>13.333333333333334</v>
      </c>
      <c r="N18" s="34">
        <f>VLOOKUP($B18,坦克个性化设定!$B$18:$BC$48,MATCH(N$3,坦克个性化设定!$B$18:$BC$18,0),FALSE)</f>
        <v>22.857142857142858</v>
      </c>
      <c r="O18" s="2">
        <f>VLOOKUP($B18,坦克个性化设定!$B$18:$BC$48,MATCH(O$3,坦克个性化设定!$B$18:$BC$18,0),FALSE)</f>
        <v>0.9</v>
      </c>
      <c r="P18" s="2">
        <f>VLOOKUP($B18,坦克个性化设定!$B$18:$BC$48,MATCH(P$3,坦克个性化设定!$B$18:$BC$18,0),FALSE)</f>
        <v>0.9</v>
      </c>
      <c r="Q18" s="2">
        <f>VLOOKUP($B18,坦克个性化设定!$B$18:$BC$48,MATCH(Q$3,坦克个性化设定!$B$18:$BC$18,0),FALSE)</f>
        <v>0.9</v>
      </c>
      <c r="R18" s="2">
        <f>VLOOKUP($B18,坦克个性化设定!$B$18:$BC$48,MATCH(R$3,坦克个性化设定!$B$18:$BC$18,0),FALSE)</f>
        <v>0.4</v>
      </c>
      <c r="S18" s="34">
        <f>VLOOKUP($B18,坦克个性化设定!$B$51:$T$81,MATCH(S$3,坦克个性化设定!$B$51:$T$51,0),FALSE)</f>
        <v>2.4</v>
      </c>
      <c r="T18" s="34">
        <f>VLOOKUP($B18,坦克个性化设定!$B$51:$T$81,MATCH(T$3,坦克个性化设定!$B$51:$T$51,0),FALSE)</f>
        <v>1.4</v>
      </c>
      <c r="U18" s="34">
        <f>VLOOKUP($B18,坦克个性化设定!$B$18:$BC$48,MATCH(U$3,坦克个性化设定!$B$18:$BC$18,0),FALSE)</f>
        <v>0.71</v>
      </c>
      <c r="V18" s="2">
        <f>VLOOKUP($B18,坦克个性化设定!$B$18:$BC$48,MATCH(V$3,坦克个性化设定!$B$18:$BC$18,0),FALSE)</f>
        <v>1</v>
      </c>
      <c r="W18" s="2">
        <f>VLOOKUP($B18,坦克个性化设定!$B$18:$BC$48,MATCH(W$3,坦克个性化设定!$B$18:$BC$18,0),FALSE)</f>
        <v>4</v>
      </c>
      <c r="X18" s="2">
        <f>VLOOKUP($B18,坦克个性化设定!$B$18:$BC$48,MATCH(X$3,坦克个性化设定!$B$18:$BC$18,0),FALSE)</f>
        <v>0.75</v>
      </c>
      <c r="Y18" s="34">
        <f>VLOOKUP($B18,坦克个性化设定!$B$18:$BC$48,MATCH(Y$3,坦克个性化设定!$B$18:$BC$18,0),FALSE)</f>
        <v>8.8984165302451057</v>
      </c>
      <c r="Z18" s="34">
        <f>VLOOKUP($B18,坦克个性化设定!$B$18:$BC$48,MATCH(Z$3,坦克个性化设定!$B$18:$BC$18,0),FALSE)</f>
        <v>55.61510331403192</v>
      </c>
      <c r="AA18" s="34">
        <f>VLOOKUP($B18,坦克个性化设定!$B$18:$BC$48,MATCH(AA$3,坦克个性化设定!$B$18:$BC$18,0),FALSE)</f>
        <v>2.84</v>
      </c>
      <c r="AB18" s="34">
        <f>VLOOKUP($B18,坦克个性化设定!$B$18:$BC$48,MATCH(AB$3,坦克个性化设定!$B$18:$BC$18,0),FALSE)</f>
        <v>7.2</v>
      </c>
      <c r="AC18" s="34">
        <f>VLOOKUP($B18,坦克个性化设定!$B$18:$BC$48,MATCH(AC$3,坦克个性化设定!$B$18:$BC$18,0),FALSE)</f>
        <v>5</v>
      </c>
      <c r="AD18" s="34">
        <f>VLOOKUP($B18,坦克个性化设定!$B$18:$BC$48,MATCH(AD$3,坦克个性化设定!$B$18:$BC$18,0),FALSE)</f>
        <v>4</v>
      </c>
      <c r="AE18" s="34">
        <f>VLOOKUP($B18,坦克个性化设定!$B$18:$BC$48,MATCH(AE$3,坦克个性化设定!$B$18:$BC$18,0),FALSE)</f>
        <v>1.0649999999999999</v>
      </c>
      <c r="AF18" s="2">
        <f>VLOOKUP($B18,坦克个性化设定!$B$18:$BC$48,MATCH(AF$3,坦克个性化设定!$B$18:$BC$18,0),FALSE)</f>
        <v>0.2</v>
      </c>
      <c r="AG18" s="2">
        <f>VLOOKUP($B18,坦克个性化设定!$B$18:$BC$48,MATCH(AG$3,坦克个性化设定!$B$18:$BC$18,0),FALSE)</f>
        <v>35</v>
      </c>
      <c r="AH18" s="2">
        <f>VLOOKUP($B18,坦克个性化设定!$B$18:$BC$48,MATCH(AH$3,坦克个性化设定!$B$18:$BC$18,0),FALSE)</f>
        <v>40</v>
      </c>
      <c r="AI18" s="2">
        <f>VLOOKUP(B18,坦克个性化细分!$I$3:$P$33,3,FALSE)</f>
        <v>36.299999999999997</v>
      </c>
      <c r="AJ18" s="2">
        <f>VLOOKUP(B18,坦克个性化细分!$I$3:$P$33,5,FALSE)</f>
        <v>51</v>
      </c>
      <c r="AK18" s="2">
        <f>VLOOKUP(B18,坦克个性化细分!$I$3:$P$33,7,FALSE)</f>
        <v>7.3</v>
      </c>
      <c r="AL18" s="2">
        <f>VLOOKUP($B18,坦克个性化设定!$G$84:$T$114,MATCH(AL$3,坦克个性化设定!$G$84:$T$84,0),FALSE)</f>
        <v>6</v>
      </c>
      <c r="AM18" s="2">
        <f>VLOOKUP($B18,坦克个性化细分!$E$3:$G$33,2,FALSE)</f>
        <v>2.4</v>
      </c>
      <c r="AN18" s="2">
        <f>VLOOKUP($B18,坦克个性化细分!$E$3:$G$33,3,FALSE)</f>
        <v>0</v>
      </c>
      <c r="AO18" s="34">
        <f t="shared" si="0"/>
        <v>1.4</v>
      </c>
      <c r="AP18" s="33">
        <f t="shared" ca="1" si="1"/>
        <v>1267</v>
      </c>
      <c r="AQ18" s="33">
        <f t="shared" ca="1" si="2"/>
        <v>178</v>
      </c>
      <c r="AR18" s="33">
        <f t="shared" ca="1" si="3"/>
        <v>506</v>
      </c>
      <c r="AS18" s="33">
        <f t="shared" ca="1" si="4"/>
        <v>228</v>
      </c>
      <c r="AT18" s="33">
        <f t="shared" ca="1" si="5"/>
        <v>554</v>
      </c>
      <c r="AU18" s="33">
        <f t="shared" ca="1" si="6"/>
        <v>130</v>
      </c>
      <c r="AV18" s="33">
        <f t="shared" si="12"/>
        <v>0</v>
      </c>
      <c r="AW18" s="33">
        <f t="shared" si="13"/>
        <v>0</v>
      </c>
      <c r="AX18" s="33">
        <f t="shared" si="14"/>
        <v>0</v>
      </c>
      <c r="AY18" s="2">
        <f t="shared" si="7"/>
        <v>6</v>
      </c>
      <c r="AZ18" s="2">
        <f>基础属性系数!$E$61</f>
        <v>0</v>
      </c>
      <c r="BA18" s="2">
        <v>50</v>
      </c>
      <c r="BB18" s="2">
        <v>10</v>
      </c>
      <c r="BC18" s="2">
        <f>VLOOKUP($B18,坦克类型系数!$B$3:$R$33,MATCH(BC$3,坦克类型系数!$B$3:$R$3,0),FALSE)</f>
        <v>0</v>
      </c>
      <c r="BD18" s="2">
        <f>VLOOKUP($B18,坦克类型系数!$B$3:$R$33,MATCH(BD$3,坦克类型系数!$B$3:$R$3,0),FALSE)</f>
        <v>2.2999999999999998</v>
      </c>
      <c r="BE18" s="2">
        <f>VLOOKUP($B18,坦克类型系数!$B$3:$R$33,MATCH(BE$3,坦克类型系数!$B$3:$R$3,0),FALSE)</f>
        <v>1.9</v>
      </c>
      <c r="BF18" s="2">
        <f>VLOOKUP($B18,坦克类型系数!$B$3:$R$33,MATCH(BF$3,坦克类型系数!$B$3:$R$3,0),FALSE)</f>
        <v>1.9</v>
      </c>
      <c r="BG18" s="2">
        <f>VLOOKUP($B18,坦克类型系数!$B$3:$R$33,MATCH(BG$3,坦克类型系数!$B$3:$R$3,0),FALSE)</f>
        <v>0.95</v>
      </c>
      <c r="BH18" s="2">
        <f>VLOOKUP($B18,坦克类型系数!$B$3:$R$33,MATCH(BH$3,坦克类型系数!$B$3:$R$3,0),FALSE)</f>
        <v>0.95</v>
      </c>
      <c r="BI18" s="2">
        <f>VLOOKUP($B18,坦克类型系数!$B$3:$R$33,MATCH(BI$3,坦克类型系数!$B$3:$R$3,0),FALSE)</f>
        <v>0.85</v>
      </c>
      <c r="BJ18" s="25"/>
      <c r="BK18" s="25"/>
      <c r="BL18" s="25"/>
      <c r="BM18" s="1" t="s">
        <v>1215</v>
      </c>
      <c r="BN18" s="2" t="str">
        <f t="shared" si="8"/>
        <v>谢尔曼</v>
      </c>
      <c r="BO18" s="2" t="str">
        <f>VLOOKUP(BN18,坦克个性化设定!$B$18:$E$48,MATCH(BO$3,坦克个性化设定!$B$18:$E$18,0),FALSE)</f>
        <v>T3</v>
      </c>
      <c r="BP18" s="2" t="str">
        <f t="shared" si="9"/>
        <v>中</v>
      </c>
      <c r="BQ18" s="2" t="s">
        <v>777</v>
      </c>
      <c r="BR18" s="2"/>
      <c r="BS18" s="42">
        <f ca="1">VLOOKUP($BN18&amp;$BQ18,坦克标准养成属性!$S$3:$AE$63,MATCH(BS$3,坦克标准养成属性!$S$3:$AE$3,0),FALSE)</f>
        <v>1267.32714754364</v>
      </c>
      <c r="BT18" s="42">
        <f ca="1">VLOOKUP($BN18&amp;$BQ18,坦克标准养成属性!$S$3:$AE$63,MATCH(BT$3,坦克标准养成属性!$S$3:$AE$3,0),FALSE)</f>
        <v>177.90616360365223</v>
      </c>
      <c r="BU18" s="42">
        <f ca="1">VLOOKUP($BN18&amp;$BQ18,坦克标准养成属性!$S$3:$AE$63,MATCH(BU$3,坦克标准养成属性!$S$3:$AE$3,0),FALSE)</f>
        <v>506</v>
      </c>
      <c r="BV18" s="42">
        <f ca="1">VLOOKUP($BN18&amp;$BQ18,坦克标准养成属性!$S$3:$AE$63,MATCH(BV$3,坦克标准养成属性!$S$3:$AE$3,0),FALSE)</f>
        <v>228</v>
      </c>
      <c r="BW18" s="42">
        <f ca="1">VLOOKUP($BN18&amp;$BQ18,坦克标准养成属性!$S$3:$AE$63,MATCH(BW$3,坦克标准养成属性!$S$3:$AE$3,0),FALSE)</f>
        <v>554</v>
      </c>
      <c r="BX18" s="42">
        <f ca="1">VLOOKUP($BN18&amp;$BQ18,坦克标准养成属性!$S$3:$AE$63,MATCH(BX$3,坦克标准养成属性!$S$3:$AE$3,0),FALSE)</f>
        <v>130</v>
      </c>
      <c r="BY18" s="2">
        <f>IFERROR((VLOOKUP(LEFT(BR18,1)*1,坦克部件!$N$3:$W$9,MATCH("升星属性",坦克部件!$N$3:$W$3,0),FALSE)+VLOOKUP(RIGHT(BR18,1)*1,坦克部件!$Y$3:$AC$38,MATCH("累计属性",坦克部件!$Y$3:$AC$3,0),FALSE))*2,0)</f>
        <v>0</v>
      </c>
      <c r="BZ18" s="42">
        <f t="shared" si="15"/>
        <v>0</v>
      </c>
      <c r="CA18" s="42">
        <f t="shared" si="16"/>
        <v>0</v>
      </c>
    </row>
    <row r="19" spans="2:79" x14ac:dyDescent="0.3">
      <c r="B19" s="2" t="str">
        <f>坦克个性化设定!B34</f>
        <v>彗星</v>
      </c>
      <c r="C19" s="2" t="str">
        <f>VLOOKUP(B19,坦克个性化设定!$B$18:$E$48,4,FALSE)</f>
        <v>T3</v>
      </c>
      <c r="D19" s="2" t="str">
        <f>坦克个性化细分!J19</f>
        <v>高</v>
      </c>
      <c r="E19" s="2" t="str">
        <f t="shared" si="10"/>
        <v>T3高0</v>
      </c>
      <c r="F19" s="2" t="str">
        <f>VLOOKUP($B19,坦克个性化设定!$B$18:$BC$48,MATCH(F$3,坦克个性化设定!$B$18:$BC$18,0),FALSE)</f>
        <v>中坦</v>
      </c>
      <c r="G19" s="2" t="str">
        <f>VLOOKUP($B19,坦克个性化设定!$B$18:$BC$48,MATCH(G$3,坦克个性化设定!$B$18:$BC$18,0),FALSE)</f>
        <v>中坦自动</v>
      </c>
      <c r="H19" s="2" t="str">
        <f t="shared" si="11"/>
        <v>自动装弹</v>
      </c>
      <c r="I19" s="2">
        <f>VLOOKUP($B19,坦克个性化设定!$B$18:$BC$48,MATCH(I$3,坦克个性化设定!$B$18:$BC$18,0),FALSE)</f>
        <v>6.68</v>
      </c>
      <c r="J19" s="2">
        <f>VLOOKUP($B19,坦克个性化设定!$B$18:$BC$48,MATCH(J$3,坦克个性化设定!$B$18:$BC$18,0),FALSE)</f>
        <v>3.1</v>
      </c>
      <c r="K19" s="2">
        <f>VLOOKUP($B19,坦克个性化设定!$B$18:$BC$48,MATCH(K$3,坦克个性化设定!$B$18:$BC$18,0),FALSE)</f>
        <v>0.3</v>
      </c>
      <c r="L19" s="34">
        <f>VLOOKUP($B19,坦克个性化设定!$B$18:$BC$48,MATCH(L$3,坦克个性化设定!$B$18:$BC$18,0),FALSE)</f>
        <v>1.6422918151337649</v>
      </c>
      <c r="M19" s="34">
        <f>VLOOKUP($B19,坦克个性化设定!$B$18:$BC$48,MATCH(M$3,坦克个性化设定!$B$18:$BC$18,0),FALSE)</f>
        <v>13.333333333333334</v>
      </c>
      <c r="N19" s="34">
        <f>VLOOKUP($B19,坦克个性化设定!$B$18:$BC$48,MATCH(N$3,坦克个性化设定!$B$18:$BC$18,0),FALSE)</f>
        <v>22.857142857142858</v>
      </c>
      <c r="O19" s="2">
        <f>VLOOKUP($B19,坦克个性化设定!$B$18:$BC$48,MATCH(O$3,坦克个性化设定!$B$18:$BC$18,0),FALSE)</f>
        <v>0.9</v>
      </c>
      <c r="P19" s="2">
        <f>VLOOKUP($B19,坦克个性化设定!$B$18:$BC$48,MATCH(P$3,坦克个性化设定!$B$18:$BC$18,0),FALSE)</f>
        <v>0.9</v>
      </c>
      <c r="Q19" s="2">
        <f>VLOOKUP($B19,坦克个性化设定!$B$18:$BC$48,MATCH(Q$3,坦克个性化设定!$B$18:$BC$18,0),FALSE)</f>
        <v>0.9</v>
      </c>
      <c r="R19" s="2">
        <f>VLOOKUP($B19,坦克个性化设定!$B$18:$BC$48,MATCH(R$3,坦克个性化设定!$B$18:$BC$18,0),FALSE)</f>
        <v>0.4</v>
      </c>
      <c r="S19" s="34">
        <f>VLOOKUP($B19,坦克个性化设定!$B$51:$T$81,MATCH(S$3,坦克个性化设定!$B$51:$T$51,0),FALSE)</f>
        <v>1.8</v>
      </c>
      <c r="T19" s="34">
        <f>VLOOKUP($B19,坦克个性化设定!$B$51:$T$81,MATCH(T$3,坦克个性化设定!$B$51:$T$51,0),FALSE)</f>
        <v>1.1499999999999999</v>
      </c>
      <c r="U19" s="34">
        <f>VLOOKUP($B19,坦克个性化设定!$B$18:$BC$48,MATCH(U$3,坦克个性化设定!$B$18:$BC$18,0),FALSE)</f>
        <v>0.67</v>
      </c>
      <c r="V19" s="2">
        <f>VLOOKUP($B19,坦克个性化设定!$B$18:$BC$48,MATCH(V$3,坦克个性化设定!$B$18:$BC$18,0),FALSE)</f>
        <v>1</v>
      </c>
      <c r="W19" s="2">
        <f>VLOOKUP($B19,坦克个性化设定!$B$18:$BC$48,MATCH(W$3,坦克个性化设定!$B$18:$BC$18,0),FALSE)</f>
        <v>4</v>
      </c>
      <c r="X19" s="2">
        <f>VLOOKUP($B19,坦克个性化设定!$B$18:$BC$48,MATCH(X$3,坦克个性化设定!$B$18:$BC$18,0),FALSE)</f>
        <v>0.75</v>
      </c>
      <c r="Y19" s="34">
        <f>VLOOKUP($B19,坦克个性化设定!$B$18:$BC$48,MATCH(Y$3,坦克个性化设定!$B$18:$BC$18,0),FALSE)</f>
        <v>8.8984165302451057</v>
      </c>
      <c r="Z19" s="34">
        <f>VLOOKUP($B19,坦克个性化设定!$B$18:$BC$48,MATCH(Z$3,坦克个性化设定!$B$18:$BC$18,0),FALSE)</f>
        <v>55.61510331403192</v>
      </c>
      <c r="AA19" s="34">
        <f>VLOOKUP($B19,坦克个性化设定!$B$18:$BC$48,MATCH(AA$3,坦克个性化设定!$B$18:$BC$18,0),FALSE)</f>
        <v>2.84</v>
      </c>
      <c r="AB19" s="34">
        <f>VLOOKUP($B19,坦克个性化设定!$B$18:$BC$48,MATCH(AB$3,坦克个性化设定!$B$18:$BC$18,0),FALSE)</f>
        <v>7.2</v>
      </c>
      <c r="AC19" s="34">
        <f>VLOOKUP($B19,坦克个性化设定!$B$18:$BC$48,MATCH(AC$3,坦克个性化设定!$B$18:$BC$18,0),FALSE)</f>
        <v>5</v>
      </c>
      <c r="AD19" s="34">
        <f>VLOOKUP($B19,坦克个性化设定!$B$18:$BC$48,MATCH(AD$3,坦克个性化设定!$B$18:$BC$18,0),FALSE)</f>
        <v>4</v>
      </c>
      <c r="AE19" s="34">
        <f>VLOOKUP($B19,坦克个性化设定!$B$18:$BC$48,MATCH(AE$3,坦克个性化设定!$B$18:$BC$18,0),FALSE)</f>
        <v>1.0649999999999999</v>
      </c>
      <c r="AF19" s="2">
        <f>VLOOKUP($B19,坦克个性化设定!$B$18:$BC$48,MATCH(AF$3,坦克个性化设定!$B$18:$BC$18,0),FALSE)</f>
        <v>0.2</v>
      </c>
      <c r="AG19" s="2">
        <f>VLOOKUP($B19,坦克个性化设定!$B$18:$BC$48,MATCH(AG$3,坦克个性化设定!$B$18:$BC$18,0),FALSE)</f>
        <v>35</v>
      </c>
      <c r="AH19" s="2">
        <f>VLOOKUP($B19,坦克个性化设定!$B$18:$BC$48,MATCH(AH$3,坦克个性化设定!$B$18:$BC$18,0),FALSE)</f>
        <v>40</v>
      </c>
      <c r="AI19" s="2">
        <f>VLOOKUP(B19,坦克个性化细分!$I$3:$P$33,3,FALSE)</f>
        <v>37.4</v>
      </c>
      <c r="AJ19" s="2">
        <f>VLOOKUP(B19,坦克个性化细分!$I$3:$P$33,5,FALSE)</f>
        <v>52.5</v>
      </c>
      <c r="AK19" s="2">
        <f>VLOOKUP(B19,坦克个性化细分!$I$3:$P$33,7,FALSE)</f>
        <v>7.6</v>
      </c>
      <c r="AL19" s="2">
        <f>VLOOKUP($B19,坦克个性化设定!$G$84:$T$114,MATCH(AL$3,坦克个性化设定!$G$84:$T$84,0),FALSE)</f>
        <v>8</v>
      </c>
      <c r="AM19" s="2">
        <f>VLOOKUP($B19,坦克个性化细分!$E$3:$G$33,2,FALSE)</f>
        <v>3</v>
      </c>
      <c r="AN19" s="2">
        <f>VLOOKUP($B19,坦克个性化细分!$E$3:$G$33,3,FALSE)</f>
        <v>0</v>
      </c>
      <c r="AO19" s="34">
        <f t="shared" si="0"/>
        <v>1.1499999999999999</v>
      </c>
      <c r="AP19" s="33">
        <f t="shared" ca="1" si="1"/>
        <v>1305</v>
      </c>
      <c r="AQ19" s="33">
        <f t="shared" ca="1" si="2"/>
        <v>178</v>
      </c>
      <c r="AR19" s="33">
        <f t="shared" ca="1" si="3"/>
        <v>506</v>
      </c>
      <c r="AS19" s="33">
        <f t="shared" ca="1" si="4"/>
        <v>228</v>
      </c>
      <c r="AT19" s="33">
        <f t="shared" ca="1" si="5"/>
        <v>554</v>
      </c>
      <c r="AU19" s="33">
        <f t="shared" ca="1" si="6"/>
        <v>130</v>
      </c>
      <c r="AV19" s="33">
        <f t="shared" si="12"/>
        <v>0</v>
      </c>
      <c r="AW19" s="33">
        <f t="shared" si="13"/>
        <v>0</v>
      </c>
      <c r="AX19" s="33">
        <f t="shared" si="14"/>
        <v>0</v>
      </c>
      <c r="AY19" s="2">
        <f t="shared" si="7"/>
        <v>6</v>
      </c>
      <c r="AZ19" s="2">
        <f>基础属性系数!$E$61</f>
        <v>0</v>
      </c>
      <c r="BA19" s="2">
        <v>50</v>
      </c>
      <c r="BB19" s="2">
        <v>10</v>
      </c>
      <c r="BC19" s="2">
        <f>VLOOKUP($B19,坦克类型系数!$B$3:$R$33,MATCH(BC$3,坦克类型系数!$B$3:$R$3,0),FALSE)</f>
        <v>0</v>
      </c>
      <c r="BD19" s="2">
        <f>VLOOKUP($B19,坦克类型系数!$B$3:$R$33,MATCH(BD$3,坦克类型系数!$B$3:$R$3,0),FALSE)</f>
        <v>2.2999999999999998</v>
      </c>
      <c r="BE19" s="2">
        <f>VLOOKUP($B19,坦克类型系数!$B$3:$R$33,MATCH(BE$3,坦克类型系数!$B$3:$R$3,0),FALSE)</f>
        <v>1.9</v>
      </c>
      <c r="BF19" s="2">
        <f>VLOOKUP($B19,坦克类型系数!$B$3:$R$33,MATCH(BF$3,坦克类型系数!$B$3:$R$3,0),FALSE)</f>
        <v>1.9</v>
      </c>
      <c r="BG19" s="2">
        <f>VLOOKUP($B19,坦克类型系数!$B$3:$R$33,MATCH(BG$3,坦克类型系数!$B$3:$R$3,0),FALSE)</f>
        <v>0.95</v>
      </c>
      <c r="BH19" s="2">
        <f>VLOOKUP($B19,坦克类型系数!$B$3:$R$33,MATCH(BH$3,坦克类型系数!$B$3:$R$3,0),FALSE)</f>
        <v>0.95</v>
      </c>
      <c r="BI19" s="2">
        <f>VLOOKUP($B19,坦克类型系数!$B$3:$R$33,MATCH(BI$3,坦克类型系数!$B$3:$R$3,0),FALSE)</f>
        <v>0.85</v>
      </c>
      <c r="BJ19" s="25"/>
      <c r="BK19" s="25"/>
      <c r="BL19" s="25"/>
      <c r="BM19" s="1" t="s">
        <v>1217</v>
      </c>
      <c r="BN19" s="2" t="str">
        <f t="shared" si="8"/>
        <v>彗星</v>
      </c>
      <c r="BO19" s="2" t="str">
        <f>VLOOKUP(BN19,坦克个性化设定!$B$18:$E$48,MATCH(BO$3,坦克个性化设定!$B$18:$E$18,0),FALSE)</f>
        <v>T3</v>
      </c>
      <c r="BP19" s="2" t="str">
        <f t="shared" si="9"/>
        <v>高</v>
      </c>
      <c r="BQ19" s="2" t="s">
        <v>777</v>
      </c>
      <c r="BR19" s="2"/>
      <c r="BS19" s="42">
        <f ca="1">VLOOKUP($BN19&amp;$BQ19,坦克标准养成属性!$S$3:$AE$63,MATCH(BS$3,坦克标准养成属性!$S$3:$AE$3,0),FALSE)</f>
        <v>1305.1123820078981</v>
      </c>
      <c r="BT19" s="42">
        <f ca="1">VLOOKUP($BN19&amp;$BQ19,坦克标准养成属性!$S$3:$AE$63,MATCH(BT$3,坦克标准养成属性!$S$3:$AE$3,0),FALSE)</f>
        <v>177.55423927181943</v>
      </c>
      <c r="BU19" s="42">
        <f ca="1">VLOOKUP($BN19&amp;$BQ19,坦克标准养成属性!$S$3:$AE$63,MATCH(BU$3,坦克标准养成属性!$S$3:$AE$3,0),FALSE)</f>
        <v>506</v>
      </c>
      <c r="BV19" s="42">
        <f ca="1">VLOOKUP($BN19&amp;$BQ19,坦克标准养成属性!$S$3:$AE$63,MATCH(BV$3,坦克标准养成属性!$S$3:$AE$3,0),FALSE)</f>
        <v>228</v>
      </c>
      <c r="BW19" s="42">
        <f ca="1">VLOOKUP($BN19&amp;$BQ19,坦克标准养成属性!$S$3:$AE$63,MATCH(BW$3,坦克标准养成属性!$S$3:$AE$3,0),FALSE)</f>
        <v>554</v>
      </c>
      <c r="BX19" s="42">
        <f ca="1">VLOOKUP($BN19&amp;$BQ19,坦克标准养成属性!$S$3:$AE$63,MATCH(BX$3,坦克标准养成属性!$S$3:$AE$3,0),FALSE)</f>
        <v>130</v>
      </c>
      <c r="BY19" s="2">
        <f>IFERROR((VLOOKUP(LEFT(BR19,1)*1,坦克部件!$N$3:$W$9,MATCH("升星属性",坦克部件!$N$3:$W$3,0),FALSE)+VLOOKUP(RIGHT(BR19,1)*1,坦克部件!$Y$3:$AC$38,MATCH("累计属性",坦克部件!$Y$3:$AC$3,0),FALSE))*2,0)</f>
        <v>0</v>
      </c>
      <c r="BZ19" s="42">
        <f t="shared" si="15"/>
        <v>0</v>
      </c>
      <c r="CA19" s="42">
        <f t="shared" si="16"/>
        <v>0</v>
      </c>
    </row>
    <row r="20" spans="2:79" x14ac:dyDescent="0.3">
      <c r="B20" s="2" t="str">
        <f>坦克个性化设定!B35</f>
        <v>M-48</v>
      </c>
      <c r="C20" s="2" t="str">
        <f>VLOOKUP(B20,坦克个性化设定!$B$18:$E$48,4,FALSE)</f>
        <v>T4</v>
      </c>
      <c r="D20" s="2" t="str">
        <f>坦克个性化细分!J20</f>
        <v>低</v>
      </c>
      <c r="E20" s="2" t="str">
        <f t="shared" si="10"/>
        <v>T4低0</v>
      </c>
      <c r="F20" s="2" t="str">
        <f>VLOOKUP($B20,坦克个性化设定!$B$18:$BC$48,MATCH(F$3,坦克个性化设定!$B$18:$BC$18,0),FALSE)</f>
        <v>中坦</v>
      </c>
      <c r="G20" s="2" t="str">
        <f>VLOOKUP($B20,坦克个性化设定!$B$18:$BC$48,MATCH(G$3,坦克个性化设定!$B$18:$BC$18,0),FALSE)</f>
        <v>中坦自动</v>
      </c>
      <c r="H20" s="2" t="str">
        <f t="shared" si="11"/>
        <v>自动装弹</v>
      </c>
      <c r="I20" s="2">
        <f>VLOOKUP($B20,坦克个性化设定!$B$18:$BC$48,MATCH(I$3,坦克个性化设定!$B$18:$BC$18,0),FALSE)</f>
        <v>7.42</v>
      </c>
      <c r="J20" s="2">
        <f>VLOOKUP($B20,坦克个性化设定!$B$18:$BC$48,MATCH(J$3,坦克个性化设定!$B$18:$BC$18,0),FALSE)</f>
        <v>3.89</v>
      </c>
      <c r="K20" s="2">
        <f>VLOOKUP($B20,坦克个性化设定!$B$18:$BC$48,MATCH(K$3,坦克个性化设定!$B$18:$BC$18,0),FALSE)</f>
        <v>0.3</v>
      </c>
      <c r="L20" s="34">
        <f>VLOOKUP($B20,坦克个性化设定!$B$18:$BC$48,MATCH(L$3,坦克个性化设定!$B$18:$BC$18,0),FALSE)</f>
        <v>1.6422918151337649</v>
      </c>
      <c r="M20" s="34">
        <f>VLOOKUP($B20,坦克个性化设定!$B$18:$BC$48,MATCH(M$3,坦克个性化设定!$B$18:$BC$18,0),FALSE)</f>
        <v>13.333333333333334</v>
      </c>
      <c r="N20" s="34">
        <f>VLOOKUP($B20,坦克个性化设定!$B$18:$BC$48,MATCH(N$3,坦克个性化设定!$B$18:$BC$18,0),FALSE)</f>
        <v>22.857142857142858</v>
      </c>
      <c r="O20" s="2">
        <f>VLOOKUP($B20,坦克个性化设定!$B$18:$BC$48,MATCH(O$3,坦克个性化设定!$B$18:$BC$18,0),FALSE)</f>
        <v>0.9</v>
      </c>
      <c r="P20" s="2">
        <f>VLOOKUP($B20,坦克个性化设定!$B$18:$BC$48,MATCH(P$3,坦克个性化设定!$B$18:$BC$18,0),FALSE)</f>
        <v>0.9</v>
      </c>
      <c r="Q20" s="2">
        <f>VLOOKUP($B20,坦克个性化设定!$B$18:$BC$48,MATCH(Q$3,坦克个性化设定!$B$18:$BC$18,0),FALSE)</f>
        <v>0.9</v>
      </c>
      <c r="R20" s="2">
        <f>VLOOKUP($B20,坦克个性化设定!$B$18:$BC$48,MATCH(R$3,坦克个性化设定!$B$18:$BC$18,0),FALSE)</f>
        <v>0.32</v>
      </c>
      <c r="S20" s="34">
        <f>VLOOKUP($B20,坦克个性化设定!$B$51:$T$81,MATCH(S$3,坦克个性化设定!$B$51:$T$51,0),FALSE)</f>
        <v>2.4</v>
      </c>
      <c r="T20" s="34">
        <f>VLOOKUP($B20,坦克个性化设定!$B$51:$T$81,MATCH(T$3,坦克个性化设定!$B$51:$T$51,0),FALSE)</f>
        <v>1.36</v>
      </c>
      <c r="U20" s="34">
        <f>VLOOKUP($B20,坦克个性化设定!$B$18:$BC$48,MATCH(U$3,坦克个性化设定!$B$18:$BC$18,0),FALSE)</f>
        <v>0.71</v>
      </c>
      <c r="V20" s="2">
        <f>VLOOKUP($B20,坦克个性化设定!$B$18:$BC$48,MATCH(V$3,坦克个性化设定!$B$18:$BC$18,0),FALSE)</f>
        <v>1</v>
      </c>
      <c r="W20" s="2">
        <f>VLOOKUP($B20,坦克个性化设定!$B$18:$BC$48,MATCH(W$3,坦克个性化设定!$B$18:$BC$18,0),FALSE)</f>
        <v>2</v>
      </c>
      <c r="X20" s="2">
        <f>VLOOKUP($B20,坦克个性化设定!$B$18:$BC$48,MATCH(X$3,坦克个性化设定!$B$18:$BC$18,0),FALSE)</f>
        <v>0.75</v>
      </c>
      <c r="Y20" s="34">
        <f>VLOOKUP($B20,坦克个性化设定!$B$18:$BC$48,MATCH(Y$3,坦克个性化设定!$B$18:$BC$18,0),FALSE)</f>
        <v>11.123020662806383</v>
      </c>
      <c r="Z20" s="34">
        <f>VLOOKUP($B20,坦克个性化设定!$B$18:$BC$48,MATCH(Z$3,坦克个性化设定!$B$18:$BC$18,0),FALSE)</f>
        <v>55.61510331403192</v>
      </c>
      <c r="AA20" s="34">
        <f>VLOOKUP($B20,坦克个性化设定!$B$18:$BC$48,MATCH(AA$3,坦克个性化设定!$B$18:$BC$18,0),FALSE)</f>
        <v>2.84</v>
      </c>
      <c r="AB20" s="34">
        <f>VLOOKUP($B20,坦克个性化设定!$B$18:$BC$48,MATCH(AB$3,坦克个性化设定!$B$18:$BC$18,0),FALSE)</f>
        <v>8</v>
      </c>
      <c r="AC20" s="34">
        <f>VLOOKUP($B20,坦克个性化设定!$B$18:$BC$48,MATCH(AC$3,坦克个性化设定!$B$18:$BC$18,0),FALSE)</f>
        <v>5</v>
      </c>
      <c r="AD20" s="34">
        <f>VLOOKUP($B20,坦克个性化设定!$B$18:$BC$48,MATCH(AD$3,坦克个性化设定!$B$18:$BC$18,0),FALSE)</f>
        <v>4</v>
      </c>
      <c r="AE20" s="34">
        <f>VLOOKUP($B20,坦克个性化设定!$B$18:$BC$48,MATCH(AE$3,坦克个性化设定!$B$18:$BC$18,0),FALSE)</f>
        <v>1.0649999999999999</v>
      </c>
      <c r="AF20" s="2">
        <f>VLOOKUP($B20,坦克个性化设定!$B$18:$BC$48,MATCH(AF$3,坦克个性化设定!$B$18:$BC$18,0),FALSE)</f>
        <v>0.2</v>
      </c>
      <c r="AG20" s="2">
        <f>VLOOKUP($B20,坦克个性化设定!$B$18:$BC$48,MATCH(AG$3,坦克个性化设定!$B$18:$BC$18,0),FALSE)</f>
        <v>35</v>
      </c>
      <c r="AH20" s="2">
        <f>VLOOKUP($B20,坦克个性化设定!$B$18:$BC$48,MATCH(AH$3,坦克个性化设定!$B$18:$BC$18,0),FALSE)</f>
        <v>40</v>
      </c>
      <c r="AI20" s="2">
        <f>VLOOKUP(B20,坦克个性化细分!$I$3:$P$33,3,FALSE)</f>
        <v>44.5</v>
      </c>
      <c r="AJ20" s="2">
        <f>VLOOKUP(B20,坦克个性化细分!$I$3:$P$33,5,FALSE)</f>
        <v>40</v>
      </c>
      <c r="AK20" s="2">
        <f>VLOOKUP(B20,坦克个性化细分!$I$3:$P$33,7,FALSE)</f>
        <v>8</v>
      </c>
      <c r="AL20" s="2">
        <f>VLOOKUP($B20,坦克个性化设定!$G$84:$T$114,MATCH(AL$3,坦克个性化设定!$G$84:$T$84,0),FALSE)</f>
        <v>6</v>
      </c>
      <c r="AM20" s="2">
        <f>VLOOKUP($B20,坦克个性化细分!$E$3:$G$33,2,FALSE)</f>
        <v>2.4</v>
      </c>
      <c r="AN20" s="2">
        <f>VLOOKUP($B20,坦克个性化细分!$E$3:$G$33,3,FALSE)</f>
        <v>0</v>
      </c>
      <c r="AO20" s="34">
        <f t="shared" si="0"/>
        <v>1.36</v>
      </c>
      <c r="AP20" s="33">
        <f t="shared" ca="1" si="1"/>
        <v>1737</v>
      </c>
      <c r="AQ20" s="33">
        <f t="shared" ca="1" si="2"/>
        <v>196</v>
      </c>
      <c r="AR20" s="33">
        <f t="shared" ca="1" si="3"/>
        <v>631</v>
      </c>
      <c r="AS20" s="33">
        <f t="shared" ca="1" si="4"/>
        <v>284</v>
      </c>
      <c r="AT20" s="33">
        <f t="shared" ca="1" si="5"/>
        <v>691</v>
      </c>
      <c r="AU20" s="33">
        <f t="shared" ca="1" si="6"/>
        <v>162</v>
      </c>
      <c r="AV20" s="33">
        <f t="shared" si="12"/>
        <v>0</v>
      </c>
      <c r="AW20" s="33">
        <f t="shared" si="13"/>
        <v>0</v>
      </c>
      <c r="AX20" s="33">
        <f t="shared" si="14"/>
        <v>0</v>
      </c>
      <c r="AY20" s="2">
        <f t="shared" si="7"/>
        <v>6</v>
      </c>
      <c r="AZ20" s="2">
        <f>基础属性系数!$E$61</f>
        <v>0</v>
      </c>
      <c r="BA20" s="2">
        <v>50</v>
      </c>
      <c r="BB20" s="2">
        <v>10</v>
      </c>
      <c r="BC20" s="2">
        <f>VLOOKUP($B20,坦克类型系数!$B$3:$R$33,MATCH(BC$3,坦克类型系数!$B$3:$R$3,0),FALSE)</f>
        <v>0</v>
      </c>
      <c r="BD20" s="2">
        <f>VLOOKUP($B20,坦克类型系数!$B$3:$R$33,MATCH(BD$3,坦克类型系数!$B$3:$R$3,0),FALSE)</f>
        <v>2.1</v>
      </c>
      <c r="BE20" s="2">
        <f>VLOOKUP($B20,坦克类型系数!$B$3:$R$33,MATCH(BE$3,坦克类型系数!$B$3:$R$3,0),FALSE)</f>
        <v>1.75</v>
      </c>
      <c r="BF20" s="2">
        <f>VLOOKUP($B20,坦克类型系数!$B$3:$R$33,MATCH(BF$3,坦克类型系数!$B$3:$R$3,0),FALSE)</f>
        <v>1.75</v>
      </c>
      <c r="BG20" s="2">
        <f>VLOOKUP($B20,坦克类型系数!$B$3:$R$33,MATCH(BG$3,坦克类型系数!$B$3:$R$3,0),FALSE)</f>
        <v>0.95</v>
      </c>
      <c r="BH20" s="2">
        <f>VLOOKUP($B20,坦克类型系数!$B$3:$R$33,MATCH(BH$3,坦克类型系数!$B$3:$R$3,0),FALSE)</f>
        <v>0.95</v>
      </c>
      <c r="BI20" s="2">
        <f>VLOOKUP($B20,坦克类型系数!$B$3:$R$33,MATCH(BI$3,坦克类型系数!$B$3:$R$3,0),FALSE)</f>
        <v>0.85</v>
      </c>
      <c r="BJ20" s="25"/>
      <c r="BK20" s="25"/>
      <c r="BL20" s="25"/>
      <c r="BM20" s="1" t="s">
        <v>1217</v>
      </c>
      <c r="BN20" s="2" t="str">
        <f t="shared" si="8"/>
        <v>M-48</v>
      </c>
      <c r="BO20" s="2" t="str">
        <f>VLOOKUP(BN20,坦克个性化设定!$B$18:$E$48,MATCH(BO$3,坦克个性化设定!$B$18:$E$18,0),FALSE)</f>
        <v>T4</v>
      </c>
      <c r="BP20" s="2" t="str">
        <f t="shared" si="9"/>
        <v>低</v>
      </c>
      <c r="BQ20" s="2" t="s">
        <v>777</v>
      </c>
      <c r="BR20" s="2"/>
      <c r="BS20" s="42">
        <f ca="1">VLOOKUP($BN20&amp;$BQ20,坦克标准养成属性!$S$3:$AE$63,MATCH(BS$3,坦克标准养成属性!$S$3:$AE$3,0),FALSE)</f>
        <v>1737.0133985387956</v>
      </c>
      <c r="BT20" s="42">
        <f ca="1">VLOOKUP($BN20&amp;$BQ20,坦克标准养成属性!$S$3:$AE$63,MATCH(BT$3,坦克标准养成属性!$S$3:$AE$3,0),FALSE)</f>
        <v>195.73251437553975</v>
      </c>
      <c r="BU20" s="42">
        <f ca="1">VLOOKUP($BN20&amp;$BQ20,坦克标准养成属性!$S$3:$AE$63,MATCH(BU$3,坦克标准养成属性!$S$3:$AE$3,0),FALSE)</f>
        <v>631</v>
      </c>
      <c r="BV20" s="42">
        <f ca="1">VLOOKUP($BN20&amp;$BQ20,坦克标准养成属性!$S$3:$AE$63,MATCH(BV$3,坦克标准养成属性!$S$3:$AE$3,0),FALSE)</f>
        <v>284</v>
      </c>
      <c r="BW20" s="42">
        <f ca="1">VLOOKUP($BN20&amp;$BQ20,坦克标准养成属性!$S$3:$AE$63,MATCH(BW$3,坦克标准养成属性!$S$3:$AE$3,0),FALSE)</f>
        <v>691</v>
      </c>
      <c r="BX20" s="42">
        <f ca="1">VLOOKUP($BN20&amp;$BQ20,坦克标准养成属性!$S$3:$AE$63,MATCH(BX$3,坦克标准养成属性!$S$3:$AE$3,0),FALSE)</f>
        <v>162</v>
      </c>
      <c r="BY20" s="2">
        <f>IFERROR((VLOOKUP(LEFT(BR20,1)*1,坦克部件!$N$3:$W$9,MATCH("升星属性",坦克部件!$N$3:$W$3,0),FALSE)+VLOOKUP(RIGHT(BR20,1)*1,坦克部件!$Y$3:$AC$38,MATCH("累计属性",坦克部件!$Y$3:$AC$3,0),FALSE))*2,0)</f>
        <v>0</v>
      </c>
      <c r="BZ20" s="42">
        <f t="shared" si="15"/>
        <v>0</v>
      </c>
      <c r="CA20" s="42">
        <f t="shared" si="16"/>
        <v>0</v>
      </c>
    </row>
    <row r="21" spans="2:79" x14ac:dyDescent="0.3">
      <c r="B21" s="2" t="str">
        <f>坦克个性化设定!B36</f>
        <v>潘兴</v>
      </c>
      <c r="C21" s="2" t="str">
        <f>VLOOKUP(B21,坦克个性化设定!$B$18:$E$48,4,FALSE)</f>
        <v>T4</v>
      </c>
      <c r="D21" s="2" t="str">
        <f>坦克个性化细分!J21</f>
        <v>中</v>
      </c>
      <c r="E21" s="2" t="str">
        <f t="shared" si="10"/>
        <v>T4中0</v>
      </c>
      <c r="F21" s="2" t="str">
        <f>VLOOKUP($B21,坦克个性化设定!$B$18:$BC$48,MATCH(F$3,坦克个性化设定!$B$18:$BC$18,0),FALSE)</f>
        <v>中坦</v>
      </c>
      <c r="G21" s="2" t="str">
        <f>VLOOKUP($B21,坦克个性化设定!$B$18:$BC$48,MATCH(G$3,坦克个性化设定!$B$18:$BC$18,0),FALSE)</f>
        <v>中坦自动</v>
      </c>
      <c r="H21" s="2" t="str">
        <f t="shared" si="11"/>
        <v>自动装弹</v>
      </c>
      <c r="I21" s="2">
        <f>VLOOKUP($B21,坦克个性化设定!$B$18:$BC$48,MATCH(I$3,坦克个性化设定!$B$18:$BC$18,0),FALSE)</f>
        <v>6.34</v>
      </c>
      <c r="J21" s="2">
        <f>VLOOKUP($B21,坦克个性化设定!$B$18:$BC$48,MATCH(J$3,坦克个性化设定!$B$18:$BC$18,0),FALSE)</f>
        <v>3.42</v>
      </c>
      <c r="K21" s="2">
        <f>VLOOKUP($B21,坦克个性化设定!$B$18:$BC$48,MATCH(K$3,坦克个性化设定!$B$18:$BC$18,0),FALSE)</f>
        <v>0.3</v>
      </c>
      <c r="L21" s="34">
        <f>VLOOKUP($B21,坦克个性化设定!$B$18:$BC$48,MATCH(L$3,坦克个性化设定!$B$18:$BC$18,0),FALSE)</f>
        <v>1.6422918151337649</v>
      </c>
      <c r="M21" s="34">
        <f>VLOOKUP($B21,坦克个性化设定!$B$18:$BC$48,MATCH(M$3,坦克个性化设定!$B$18:$BC$18,0),FALSE)</f>
        <v>13.333333333333334</v>
      </c>
      <c r="N21" s="34">
        <f>VLOOKUP($B21,坦克个性化设定!$B$18:$BC$48,MATCH(N$3,坦克个性化设定!$B$18:$BC$18,0),FALSE)</f>
        <v>22.857142857142858</v>
      </c>
      <c r="O21" s="2">
        <f>VLOOKUP($B21,坦克个性化设定!$B$18:$BC$48,MATCH(O$3,坦克个性化设定!$B$18:$BC$18,0),FALSE)</f>
        <v>0.9</v>
      </c>
      <c r="P21" s="2">
        <f>VLOOKUP($B21,坦克个性化设定!$B$18:$BC$48,MATCH(P$3,坦克个性化设定!$B$18:$BC$18,0),FALSE)</f>
        <v>0.9</v>
      </c>
      <c r="Q21" s="2">
        <f>VLOOKUP($B21,坦克个性化设定!$B$18:$BC$48,MATCH(Q$3,坦克个性化设定!$B$18:$BC$18,0),FALSE)</f>
        <v>0.9</v>
      </c>
      <c r="R21" s="2">
        <f>VLOOKUP($B21,坦克个性化设定!$B$18:$BC$48,MATCH(R$3,坦克个性化设定!$B$18:$BC$18,0),FALSE)</f>
        <v>0.4</v>
      </c>
      <c r="S21" s="34">
        <f>VLOOKUP($B21,坦克个性化设定!$B$51:$T$81,MATCH(S$3,坦克个性化设定!$B$51:$T$51,0),FALSE)</f>
        <v>1.44</v>
      </c>
      <c r="T21" s="34">
        <f>VLOOKUP($B21,坦克个性化设定!$B$51:$T$81,MATCH(T$3,坦克个性化设定!$B$51:$T$51,0),FALSE)</f>
        <v>1</v>
      </c>
      <c r="U21" s="34">
        <f>VLOOKUP($B21,坦克个性化设定!$B$18:$BC$48,MATCH(U$3,坦克个性化设定!$B$18:$BC$18,0),FALSE)</f>
        <v>0.64</v>
      </c>
      <c r="V21" s="2">
        <f>VLOOKUP($B21,坦克个性化设定!$B$18:$BC$48,MATCH(V$3,坦克个性化设定!$B$18:$BC$18,0),FALSE)</f>
        <v>1</v>
      </c>
      <c r="W21" s="2">
        <f>VLOOKUP($B21,坦克个性化设定!$B$18:$BC$48,MATCH(W$3,坦克个性化设定!$B$18:$BC$18,0),FALSE)</f>
        <v>4</v>
      </c>
      <c r="X21" s="2">
        <f>VLOOKUP($B21,坦克个性化设定!$B$18:$BC$48,MATCH(X$3,坦克个性化设定!$B$18:$BC$18,0),FALSE)</f>
        <v>0.75</v>
      </c>
      <c r="Y21" s="34">
        <f>VLOOKUP($B21,坦克个性化设定!$B$18:$BC$48,MATCH(Y$3,坦克个性化设定!$B$18:$BC$18,0),FALSE)</f>
        <v>8.8984165302451057</v>
      </c>
      <c r="Z21" s="34">
        <f>VLOOKUP($B21,坦克个性化设定!$B$18:$BC$48,MATCH(Z$3,坦克个性化设定!$B$18:$BC$18,0),FALSE)</f>
        <v>55.61510331403192</v>
      </c>
      <c r="AA21" s="34">
        <f>VLOOKUP($B21,坦克个性化设定!$B$18:$BC$48,MATCH(AA$3,坦克个性化设定!$B$18:$BC$18,0),FALSE)</f>
        <v>2.84</v>
      </c>
      <c r="AB21" s="34">
        <f>VLOOKUP($B21,坦克个性化设定!$B$18:$BC$48,MATCH(AB$3,坦克个性化设定!$B$18:$BC$18,0),FALSE)</f>
        <v>7.2</v>
      </c>
      <c r="AC21" s="34">
        <f>VLOOKUP($B21,坦克个性化设定!$B$18:$BC$48,MATCH(AC$3,坦克个性化设定!$B$18:$BC$18,0),FALSE)</f>
        <v>5</v>
      </c>
      <c r="AD21" s="34">
        <f>VLOOKUP($B21,坦克个性化设定!$B$18:$BC$48,MATCH(AD$3,坦克个性化设定!$B$18:$BC$18,0),FALSE)</f>
        <v>4</v>
      </c>
      <c r="AE21" s="34">
        <f>VLOOKUP($B21,坦克个性化设定!$B$18:$BC$48,MATCH(AE$3,坦克个性化设定!$B$18:$BC$18,0),FALSE)</f>
        <v>1.0649999999999999</v>
      </c>
      <c r="AF21" s="2">
        <f>VLOOKUP($B21,坦克个性化设定!$B$18:$BC$48,MATCH(AF$3,坦克个性化设定!$B$18:$BC$18,0),FALSE)</f>
        <v>0.2</v>
      </c>
      <c r="AG21" s="2">
        <f>VLOOKUP($B21,坦克个性化设定!$B$18:$BC$48,MATCH(AG$3,坦克个性化设定!$B$18:$BC$18,0),FALSE)</f>
        <v>35</v>
      </c>
      <c r="AH21" s="2">
        <f>VLOOKUP($B21,坦克个性化设定!$B$18:$BC$48,MATCH(AH$3,坦克个性化设定!$B$18:$BC$18,0),FALSE)</f>
        <v>40</v>
      </c>
      <c r="AI21" s="2">
        <f>VLOOKUP(B21,坦克个性化细分!$I$3:$P$33,3,FALSE)</f>
        <v>36.299999999999997</v>
      </c>
      <c r="AJ21" s="2">
        <f>VLOOKUP(B21,坦克个性化细分!$I$3:$P$33,5,FALSE)</f>
        <v>51</v>
      </c>
      <c r="AK21" s="2">
        <f>VLOOKUP(B21,坦克个性化细分!$I$3:$P$33,7,FALSE)</f>
        <v>7.3</v>
      </c>
      <c r="AL21" s="2">
        <f>VLOOKUP($B21,坦克个性化设定!$G$84:$T$114,MATCH(AL$3,坦克个性化设定!$G$84:$T$84,0),FALSE)</f>
        <v>10</v>
      </c>
      <c r="AM21" s="2">
        <f>VLOOKUP($B21,坦克个性化细分!$E$3:$G$33,2,FALSE)</f>
        <v>3.6</v>
      </c>
      <c r="AN21" s="2">
        <f>VLOOKUP($B21,坦克个性化细分!$E$3:$G$33,3,FALSE)</f>
        <v>0</v>
      </c>
      <c r="AO21" s="34">
        <f t="shared" si="0"/>
        <v>1</v>
      </c>
      <c r="AP21" s="33">
        <f t="shared" ca="1" si="1"/>
        <v>1677</v>
      </c>
      <c r="AQ21" s="33">
        <f t="shared" ca="1" si="2"/>
        <v>228</v>
      </c>
      <c r="AR21" s="33">
        <f t="shared" ca="1" si="3"/>
        <v>657</v>
      </c>
      <c r="AS21" s="33">
        <f t="shared" ca="1" si="4"/>
        <v>296</v>
      </c>
      <c r="AT21" s="33">
        <f t="shared" ca="1" si="5"/>
        <v>720</v>
      </c>
      <c r="AU21" s="33">
        <f t="shared" ca="1" si="6"/>
        <v>169</v>
      </c>
      <c r="AV21" s="33">
        <f t="shared" si="12"/>
        <v>0</v>
      </c>
      <c r="AW21" s="33">
        <f t="shared" si="13"/>
        <v>0</v>
      </c>
      <c r="AX21" s="33">
        <f t="shared" si="14"/>
        <v>0</v>
      </c>
      <c r="AY21" s="2">
        <f t="shared" si="7"/>
        <v>6</v>
      </c>
      <c r="AZ21" s="2">
        <f>基础属性系数!$E$61</f>
        <v>0</v>
      </c>
      <c r="BA21" s="2">
        <v>50</v>
      </c>
      <c r="BB21" s="2">
        <v>10</v>
      </c>
      <c r="BC21" s="2">
        <f>VLOOKUP($B21,坦克类型系数!$B$3:$R$33,MATCH(BC$3,坦克类型系数!$B$3:$R$3,0),FALSE)</f>
        <v>0</v>
      </c>
      <c r="BD21" s="2">
        <f>VLOOKUP($B21,坦克类型系数!$B$3:$R$33,MATCH(BD$3,坦克类型系数!$B$3:$R$3,0),FALSE)</f>
        <v>2.25</v>
      </c>
      <c r="BE21" s="2">
        <f>VLOOKUP($B21,坦克类型系数!$B$3:$R$33,MATCH(BE$3,坦克类型系数!$B$3:$R$3,0),FALSE)</f>
        <v>1.85</v>
      </c>
      <c r="BF21" s="2">
        <f>VLOOKUP($B21,坦克类型系数!$B$3:$R$33,MATCH(BF$3,坦克类型系数!$B$3:$R$3,0),FALSE)</f>
        <v>1.85</v>
      </c>
      <c r="BG21" s="2">
        <f>VLOOKUP($B21,坦克类型系数!$B$3:$R$33,MATCH(BG$3,坦克类型系数!$B$3:$R$3,0),FALSE)</f>
        <v>0.95</v>
      </c>
      <c r="BH21" s="2">
        <f>VLOOKUP($B21,坦克类型系数!$B$3:$R$33,MATCH(BH$3,坦克类型系数!$B$3:$R$3,0),FALSE)</f>
        <v>0.95</v>
      </c>
      <c r="BI21" s="2">
        <f>VLOOKUP($B21,坦克类型系数!$B$3:$R$33,MATCH(BI$3,坦克类型系数!$B$3:$R$3,0),FALSE)</f>
        <v>0.85</v>
      </c>
      <c r="BJ21" s="25"/>
      <c r="BK21" s="25"/>
      <c r="BL21" s="25"/>
      <c r="BM21" s="1" t="s">
        <v>1217</v>
      </c>
      <c r="BN21" s="2" t="str">
        <f t="shared" si="8"/>
        <v>潘兴</v>
      </c>
      <c r="BO21" s="2" t="str">
        <f>VLOOKUP(BN21,坦克个性化设定!$B$18:$E$48,MATCH(BO$3,坦克个性化设定!$B$18:$E$18,0),FALSE)</f>
        <v>T4</v>
      </c>
      <c r="BP21" s="2" t="str">
        <f t="shared" si="9"/>
        <v>中</v>
      </c>
      <c r="BQ21" s="2" t="s">
        <v>777</v>
      </c>
      <c r="BR21" s="2"/>
      <c r="BS21" s="42">
        <f ca="1">VLOOKUP($BN21&amp;$BQ21,坦克标准养成属性!$S$3:$AE$63,MATCH(BS$3,坦克标准养成属性!$S$3:$AE$3,0),FALSE)</f>
        <v>1676.7106731093118</v>
      </c>
      <c r="BT21" s="42">
        <f ca="1">VLOOKUP($BN21&amp;$BQ21,坦克标准养成属性!$S$3:$AE$63,MATCH(BT$3,坦克标准养成属性!$S$3:$AE$3,0),FALSE)</f>
        <v>228.29994970886463</v>
      </c>
      <c r="BU21" s="42">
        <f ca="1">VLOOKUP($BN21&amp;$BQ21,坦克标准养成属性!$S$3:$AE$63,MATCH(BU$3,坦克标准养成属性!$S$3:$AE$3,0),FALSE)</f>
        <v>657</v>
      </c>
      <c r="BV21" s="42">
        <f ca="1">VLOOKUP($BN21&amp;$BQ21,坦克标准养成属性!$S$3:$AE$63,MATCH(BV$3,坦克标准养成属性!$S$3:$AE$3,0),FALSE)</f>
        <v>296</v>
      </c>
      <c r="BW21" s="42">
        <f ca="1">VLOOKUP($BN21&amp;$BQ21,坦克标准养成属性!$S$3:$AE$63,MATCH(BW$3,坦克标准养成属性!$S$3:$AE$3,0),FALSE)</f>
        <v>720</v>
      </c>
      <c r="BX21" s="42">
        <f ca="1">VLOOKUP($BN21&amp;$BQ21,坦克标准养成属性!$S$3:$AE$63,MATCH(BX$3,坦克标准养成属性!$S$3:$AE$3,0),FALSE)</f>
        <v>169</v>
      </c>
      <c r="BY21" s="2">
        <f>IFERROR((VLOOKUP(LEFT(BR21,1)*1,坦克部件!$N$3:$W$9,MATCH("升星属性",坦克部件!$N$3:$W$3,0),FALSE)+VLOOKUP(RIGHT(BR21,1)*1,坦克部件!$Y$3:$AC$38,MATCH("累计属性",坦克部件!$Y$3:$AC$3,0),FALSE))*2,0)</f>
        <v>0</v>
      </c>
      <c r="BZ21" s="42">
        <f t="shared" si="15"/>
        <v>0</v>
      </c>
      <c r="CA21" s="42">
        <f t="shared" si="16"/>
        <v>0</v>
      </c>
    </row>
    <row r="22" spans="2:79" x14ac:dyDescent="0.3">
      <c r="B22" s="2" t="str">
        <f>坦克个性化设定!B37</f>
        <v>百夫长</v>
      </c>
      <c r="C22" s="2" t="str">
        <f>VLOOKUP(B22,坦克个性化设定!$B$18:$E$48,4,FALSE)</f>
        <v>T4</v>
      </c>
      <c r="D22" s="2" t="str">
        <f>坦克个性化细分!J22</f>
        <v>高</v>
      </c>
      <c r="E22" s="2" t="str">
        <f t="shared" si="10"/>
        <v>T4高0</v>
      </c>
      <c r="F22" s="2" t="str">
        <f>VLOOKUP($B22,坦克个性化设定!$B$18:$BC$48,MATCH(F$3,坦克个性化设定!$B$18:$BC$18,0),FALSE)</f>
        <v>中坦</v>
      </c>
      <c r="G22" s="2" t="str">
        <f>VLOOKUP($B22,坦克个性化设定!$B$18:$BC$48,MATCH(G$3,坦克个性化设定!$B$18:$BC$18,0),FALSE)</f>
        <v>中坦自动</v>
      </c>
      <c r="H22" s="2" t="str">
        <f t="shared" si="11"/>
        <v>自动装弹</v>
      </c>
      <c r="I22" s="2">
        <f>VLOOKUP($B22,坦克个性化设定!$B$18:$BC$48,MATCH(I$3,坦克个性化设定!$B$18:$BC$18,0),FALSE)</f>
        <v>8.4700000000000006</v>
      </c>
      <c r="J22" s="2">
        <f>VLOOKUP($B22,坦克个性化设定!$B$18:$BC$48,MATCH(J$3,坦克个性化设定!$B$18:$BC$18,0),FALSE)</f>
        <v>3.68</v>
      </c>
      <c r="K22" s="2">
        <f>VLOOKUP($B22,坦克个性化设定!$B$18:$BC$48,MATCH(K$3,坦克个性化设定!$B$18:$BC$18,0),FALSE)</f>
        <v>0.3</v>
      </c>
      <c r="L22" s="34">
        <f>VLOOKUP($B22,坦克个性化设定!$B$18:$BC$48,MATCH(L$3,坦克个性化设定!$B$18:$BC$18,0),FALSE)</f>
        <v>1.6422918151337649</v>
      </c>
      <c r="M22" s="34">
        <f>VLOOKUP($B22,坦克个性化设定!$B$18:$BC$48,MATCH(M$3,坦克个性化设定!$B$18:$BC$18,0),FALSE)</f>
        <v>13.333333333333334</v>
      </c>
      <c r="N22" s="34">
        <f>VLOOKUP($B22,坦克个性化设定!$B$18:$BC$48,MATCH(N$3,坦克个性化设定!$B$18:$BC$18,0),FALSE)</f>
        <v>22.857142857142858</v>
      </c>
      <c r="O22" s="2">
        <f>VLOOKUP($B22,坦克个性化设定!$B$18:$BC$48,MATCH(O$3,坦克个性化设定!$B$18:$BC$18,0),FALSE)</f>
        <v>0.9</v>
      </c>
      <c r="P22" s="2">
        <f>VLOOKUP($B22,坦克个性化设定!$B$18:$BC$48,MATCH(P$3,坦克个性化设定!$B$18:$BC$18,0),FALSE)</f>
        <v>0.9</v>
      </c>
      <c r="Q22" s="2">
        <f>VLOOKUP($B22,坦克个性化设定!$B$18:$BC$48,MATCH(Q$3,坦克个性化设定!$B$18:$BC$18,0),FALSE)</f>
        <v>0.9</v>
      </c>
      <c r="R22" s="2">
        <f>VLOOKUP($B22,坦克个性化设定!$B$18:$BC$48,MATCH(R$3,坦克个性化设定!$B$18:$BC$18,0),FALSE)</f>
        <v>0.26</v>
      </c>
      <c r="S22" s="34">
        <f>VLOOKUP($B22,坦克个性化设定!$B$51:$T$81,MATCH(S$3,坦克个性化设定!$B$51:$T$51,0),FALSE)</f>
        <v>3.6</v>
      </c>
      <c r="T22" s="34">
        <f>VLOOKUP($B22,坦克个性化设定!$B$51:$T$81,MATCH(T$3,坦克个性化设定!$B$51:$T$51,0),FALSE)</f>
        <v>1.87</v>
      </c>
      <c r="U22" s="34">
        <f>VLOOKUP($B22,坦克个性化设定!$B$18:$BC$48,MATCH(U$3,坦克个性化设定!$B$18:$BC$18,0),FALSE)</f>
        <v>0.71</v>
      </c>
      <c r="V22" s="2">
        <f>VLOOKUP($B22,坦克个性化设定!$B$18:$BC$48,MATCH(V$3,坦克个性化设定!$B$18:$BC$18,0),FALSE)</f>
        <v>1</v>
      </c>
      <c r="W22" s="2">
        <f>VLOOKUP($B22,坦克个性化设定!$B$18:$BC$48,MATCH(W$3,坦克个性化设定!$B$18:$BC$18,0),FALSE)</f>
        <v>4</v>
      </c>
      <c r="X22" s="2">
        <f>VLOOKUP($B22,坦克个性化设定!$B$18:$BC$48,MATCH(X$3,坦克个性化设定!$B$18:$BC$18,0),FALSE)</f>
        <v>0.75</v>
      </c>
      <c r="Y22" s="34">
        <f>VLOOKUP($B22,坦克个性化设定!$B$18:$BC$48,MATCH(Y$3,坦克个性化设定!$B$18:$BC$18,0),FALSE)</f>
        <v>11.123020662806383</v>
      </c>
      <c r="Z22" s="34">
        <f>VLOOKUP($B22,坦克个性化设定!$B$18:$BC$48,MATCH(Z$3,坦克个性化设定!$B$18:$BC$18,0),FALSE)</f>
        <v>55.61510331403192</v>
      </c>
      <c r="AA22" s="34">
        <f>VLOOKUP($B22,坦克个性化设定!$B$18:$BC$48,MATCH(AA$3,坦克个性化设定!$B$18:$BC$18,0),FALSE)</f>
        <v>2.84</v>
      </c>
      <c r="AB22" s="34">
        <f>VLOOKUP($B22,坦克个性化设定!$B$18:$BC$48,MATCH(AB$3,坦克个性化设定!$B$18:$BC$18,0),FALSE)</f>
        <v>8</v>
      </c>
      <c r="AC22" s="34">
        <f>VLOOKUP($B22,坦克个性化设定!$B$18:$BC$48,MATCH(AC$3,坦克个性化设定!$B$18:$BC$18,0),FALSE)</f>
        <v>5</v>
      </c>
      <c r="AD22" s="34">
        <f>VLOOKUP($B22,坦克个性化设定!$B$18:$BC$48,MATCH(AD$3,坦克个性化设定!$B$18:$BC$18,0),FALSE)</f>
        <v>4</v>
      </c>
      <c r="AE22" s="34">
        <f>VLOOKUP($B22,坦克个性化设定!$B$18:$BC$48,MATCH(AE$3,坦克个性化设定!$B$18:$BC$18,0),FALSE)</f>
        <v>1.0649999999999999</v>
      </c>
      <c r="AF22" s="2">
        <f>VLOOKUP($B22,坦克个性化设定!$B$18:$BC$48,MATCH(AF$3,坦克个性化设定!$B$18:$BC$18,0),FALSE)</f>
        <v>0.2</v>
      </c>
      <c r="AG22" s="2">
        <f>VLOOKUP($B22,坦克个性化设定!$B$18:$BC$48,MATCH(AG$3,坦克个性化设定!$B$18:$BC$18,0),FALSE)</f>
        <v>35</v>
      </c>
      <c r="AH22" s="2">
        <f>VLOOKUP($B22,坦克个性化设定!$B$18:$BC$48,MATCH(AH$3,坦克个性化设定!$B$18:$BC$18,0),FALSE)</f>
        <v>40</v>
      </c>
      <c r="AI22" s="2">
        <f>VLOOKUP(B22,坦克个性化细分!$I$3:$P$33,3,FALSE)</f>
        <v>46.7</v>
      </c>
      <c r="AJ22" s="2">
        <f>VLOOKUP(B22,坦克个性化细分!$I$3:$P$33,5,FALSE)</f>
        <v>42</v>
      </c>
      <c r="AK22" s="2">
        <f>VLOOKUP(B22,坦克个性化细分!$I$3:$P$33,7,FALSE)</f>
        <v>8.4</v>
      </c>
      <c r="AL22" s="2">
        <f>VLOOKUP($B22,坦克个性化设定!$G$84:$T$114,MATCH(AL$3,坦克个性化设定!$G$84:$T$84,0),FALSE)</f>
        <v>4</v>
      </c>
      <c r="AM22" s="2">
        <f>VLOOKUP($B22,坦克个性化细分!$E$3:$G$33,2,FALSE)</f>
        <v>2.4</v>
      </c>
      <c r="AN22" s="2">
        <f>VLOOKUP($B22,坦克个性化细分!$E$3:$G$33,3,FALSE)</f>
        <v>0</v>
      </c>
      <c r="AO22" s="34">
        <f t="shared" si="0"/>
        <v>1.87</v>
      </c>
      <c r="AP22" s="33">
        <f t="shared" ca="1" si="1"/>
        <v>1898</v>
      </c>
      <c r="AQ22" s="33">
        <f t="shared" ca="1" si="2"/>
        <v>218</v>
      </c>
      <c r="AR22" s="33">
        <f t="shared" ca="1" si="3"/>
        <v>657</v>
      </c>
      <c r="AS22" s="33">
        <f t="shared" ca="1" si="4"/>
        <v>296</v>
      </c>
      <c r="AT22" s="33">
        <f t="shared" ca="1" si="5"/>
        <v>720</v>
      </c>
      <c r="AU22" s="33">
        <f t="shared" ca="1" si="6"/>
        <v>169</v>
      </c>
      <c r="AV22" s="33">
        <f t="shared" si="12"/>
        <v>0</v>
      </c>
      <c r="AW22" s="33">
        <f t="shared" si="13"/>
        <v>0</v>
      </c>
      <c r="AX22" s="33">
        <f t="shared" si="14"/>
        <v>0</v>
      </c>
      <c r="AY22" s="2">
        <f t="shared" si="7"/>
        <v>6</v>
      </c>
      <c r="AZ22" s="2">
        <f>基础属性系数!$E$61</f>
        <v>0</v>
      </c>
      <c r="BA22" s="2">
        <v>50</v>
      </c>
      <c r="BB22" s="2">
        <v>10</v>
      </c>
      <c r="BC22" s="2">
        <f>VLOOKUP($B22,坦克类型系数!$B$3:$R$33,MATCH(BC$3,坦克类型系数!$B$3:$R$3,0),FALSE)</f>
        <v>0</v>
      </c>
      <c r="BD22" s="2">
        <f>VLOOKUP($B22,坦克类型系数!$B$3:$R$33,MATCH(BD$3,坦克类型系数!$B$3:$R$3,0),FALSE)</f>
        <v>2.4</v>
      </c>
      <c r="BE22" s="2">
        <f>VLOOKUP($B22,坦克类型系数!$B$3:$R$33,MATCH(BE$3,坦克类型系数!$B$3:$R$3,0),FALSE)</f>
        <v>1.8</v>
      </c>
      <c r="BF22" s="2">
        <f>VLOOKUP($B22,坦克类型系数!$B$3:$R$33,MATCH(BF$3,坦克类型系数!$B$3:$R$3,0),FALSE)</f>
        <v>1.8</v>
      </c>
      <c r="BG22" s="2">
        <f>VLOOKUP($B22,坦克类型系数!$B$3:$R$33,MATCH(BG$3,坦克类型系数!$B$3:$R$3,0),FALSE)</f>
        <v>0.95</v>
      </c>
      <c r="BH22" s="2">
        <f>VLOOKUP($B22,坦克类型系数!$B$3:$R$33,MATCH(BH$3,坦克类型系数!$B$3:$R$3,0),FALSE)</f>
        <v>0.95</v>
      </c>
      <c r="BI22" s="2">
        <f>VLOOKUP($B22,坦克类型系数!$B$3:$R$33,MATCH(BI$3,坦克类型系数!$B$3:$R$3,0),FALSE)</f>
        <v>0.85</v>
      </c>
      <c r="BJ22" s="25"/>
      <c r="BK22" s="25"/>
      <c r="BL22" s="25"/>
      <c r="BM22" s="1" t="s">
        <v>1217</v>
      </c>
      <c r="BN22" s="2" t="str">
        <f t="shared" si="8"/>
        <v>百夫长</v>
      </c>
      <c r="BO22" s="2" t="str">
        <f>VLOOKUP(BN22,坦克个性化设定!$B$18:$E$48,MATCH(BO$3,坦克个性化设定!$B$18:$E$18,0),FALSE)</f>
        <v>T4</v>
      </c>
      <c r="BP22" s="2" t="str">
        <f t="shared" si="9"/>
        <v>高</v>
      </c>
      <c r="BQ22" s="2" t="s">
        <v>777</v>
      </c>
      <c r="BR22" s="2"/>
      <c r="BS22" s="42">
        <f ca="1">VLOOKUP($BN22&amp;$BQ22,坦克标准养成属性!$S$3:$AE$63,MATCH(BS$3,坦克标准养成属性!$S$3:$AE$3,0),FALSE)</f>
        <v>1898.421882210891</v>
      </c>
      <c r="BT22" s="42">
        <f ca="1">VLOOKUP($BN22&amp;$BQ22,坦克标准养成属性!$S$3:$AE$63,MATCH(BT$3,坦克标准养成属性!$S$3:$AE$3,0),FALSE)</f>
        <v>218.15114594475739</v>
      </c>
      <c r="BU22" s="42">
        <f ca="1">VLOOKUP($BN22&amp;$BQ22,坦克标准养成属性!$S$3:$AE$63,MATCH(BU$3,坦克标准养成属性!$S$3:$AE$3,0),FALSE)</f>
        <v>657</v>
      </c>
      <c r="BV22" s="42">
        <f ca="1">VLOOKUP($BN22&amp;$BQ22,坦克标准养成属性!$S$3:$AE$63,MATCH(BV$3,坦克标准养成属性!$S$3:$AE$3,0),FALSE)</f>
        <v>296</v>
      </c>
      <c r="BW22" s="42">
        <f ca="1">VLOOKUP($BN22&amp;$BQ22,坦克标准养成属性!$S$3:$AE$63,MATCH(BW$3,坦克标准养成属性!$S$3:$AE$3,0),FALSE)</f>
        <v>720</v>
      </c>
      <c r="BX22" s="42">
        <f ca="1">VLOOKUP($BN22&amp;$BQ22,坦克标准养成属性!$S$3:$AE$63,MATCH(BX$3,坦克标准养成属性!$S$3:$AE$3,0),FALSE)</f>
        <v>169</v>
      </c>
      <c r="BY22" s="2">
        <f>IFERROR((VLOOKUP(LEFT(BR22,1)*1,坦克部件!$N$3:$W$9,MATCH("升星属性",坦克部件!$N$3:$W$3,0),FALSE)+VLOOKUP(RIGHT(BR22,1)*1,坦克部件!$Y$3:$AC$38,MATCH("累计属性",坦克部件!$Y$3:$AC$3,0),FALSE))*2,0)</f>
        <v>0</v>
      </c>
      <c r="BZ22" s="42">
        <f t="shared" si="15"/>
        <v>0</v>
      </c>
      <c r="CA22" s="42">
        <f t="shared" si="16"/>
        <v>0</v>
      </c>
    </row>
    <row r="23" spans="2:79" x14ac:dyDescent="0.3">
      <c r="B23" s="2" t="str">
        <f>坦克个性化设定!B38</f>
        <v>挑战者</v>
      </c>
      <c r="C23" s="2" t="str">
        <f>VLOOKUP(B23,坦克个性化设定!$B$18:$E$48,4,FALSE)</f>
        <v>T5</v>
      </c>
      <c r="D23" s="2" t="str">
        <f>坦克个性化细分!J23</f>
        <v>低</v>
      </c>
      <c r="E23" s="2" t="str">
        <f t="shared" si="10"/>
        <v>T5低0</v>
      </c>
      <c r="F23" s="2" t="str">
        <f>VLOOKUP($B23,坦克个性化设定!$B$18:$BC$48,MATCH(F$3,坦克个性化设定!$B$18:$BC$18,0),FALSE)</f>
        <v>中坦</v>
      </c>
      <c r="G23" s="2" t="str">
        <f>VLOOKUP($B23,坦克个性化设定!$B$18:$BC$48,MATCH(G$3,坦克个性化设定!$B$18:$BC$18,0),FALSE)</f>
        <v>中坦自动</v>
      </c>
      <c r="H23" s="2" t="str">
        <f t="shared" si="11"/>
        <v>自动装弹</v>
      </c>
      <c r="I23" s="2">
        <f>VLOOKUP($B23,坦克个性化设定!$B$18:$BC$48,MATCH(I$3,坦克个性化设定!$B$18:$BC$18,0),FALSE)</f>
        <v>8.49</v>
      </c>
      <c r="J23" s="2">
        <f>VLOOKUP($B23,坦克个性化设定!$B$18:$BC$48,MATCH(J$3,坦克个性化设定!$B$18:$BC$18,0),FALSE)</f>
        <v>3.73</v>
      </c>
      <c r="K23" s="2">
        <f>VLOOKUP($B23,坦克个性化设定!$B$18:$BC$48,MATCH(K$3,坦克个性化设定!$B$18:$BC$18,0),FALSE)</f>
        <v>0.3</v>
      </c>
      <c r="L23" s="34">
        <f>VLOOKUP($B23,坦克个性化设定!$B$18:$BC$48,MATCH(L$3,坦克个性化设定!$B$18:$BC$18,0),FALSE)</f>
        <v>1.6422918151337649</v>
      </c>
      <c r="M23" s="34">
        <f>VLOOKUP($B23,坦克个性化设定!$B$18:$BC$48,MATCH(M$3,坦克个性化设定!$B$18:$BC$18,0),FALSE)</f>
        <v>13.333333333333334</v>
      </c>
      <c r="N23" s="34">
        <f>VLOOKUP($B23,坦克个性化设定!$B$18:$BC$48,MATCH(N$3,坦克个性化设定!$B$18:$BC$18,0),FALSE)</f>
        <v>22.857142857142858</v>
      </c>
      <c r="O23" s="2">
        <f>VLOOKUP($B23,坦克个性化设定!$B$18:$BC$48,MATCH(O$3,坦克个性化设定!$B$18:$BC$18,0),FALSE)</f>
        <v>0.9</v>
      </c>
      <c r="P23" s="2">
        <f>VLOOKUP($B23,坦克个性化设定!$B$18:$BC$48,MATCH(P$3,坦克个性化设定!$B$18:$BC$18,0),FALSE)</f>
        <v>0.9</v>
      </c>
      <c r="Q23" s="2">
        <f>VLOOKUP($B23,坦克个性化设定!$B$18:$BC$48,MATCH(Q$3,坦克个性化设定!$B$18:$BC$18,0),FALSE)</f>
        <v>0.9</v>
      </c>
      <c r="R23" s="2">
        <f>VLOOKUP($B23,坦克个性化设定!$B$18:$BC$48,MATCH(R$3,坦克个性化设定!$B$18:$BC$18,0),FALSE)</f>
        <v>0.4</v>
      </c>
      <c r="S23" s="34">
        <f>VLOOKUP($B23,坦克个性化设定!$B$51:$T$81,MATCH(S$3,坦克个性化设定!$B$51:$T$51,0),FALSE)</f>
        <v>2.4</v>
      </c>
      <c r="T23" s="34">
        <f>VLOOKUP($B23,坦克个性化设定!$B$51:$T$81,MATCH(T$3,坦克个性化设定!$B$51:$T$51,0),FALSE)</f>
        <v>1.4</v>
      </c>
      <c r="U23" s="34">
        <f>VLOOKUP($B23,坦克个性化设定!$B$18:$BC$48,MATCH(U$3,坦克个性化设定!$B$18:$BC$18,0),FALSE)</f>
        <v>0.71</v>
      </c>
      <c r="V23" s="2">
        <f>VLOOKUP($B23,坦克个性化设定!$B$18:$BC$48,MATCH(V$3,坦克个性化设定!$B$18:$BC$18,0),FALSE)</f>
        <v>1</v>
      </c>
      <c r="W23" s="2">
        <f>VLOOKUP($B23,坦克个性化设定!$B$18:$BC$48,MATCH(W$3,坦克个性化设定!$B$18:$BC$18,0),FALSE)</f>
        <v>4</v>
      </c>
      <c r="X23" s="2">
        <f>VLOOKUP($B23,坦克个性化设定!$B$18:$BC$48,MATCH(X$3,坦克个性化设定!$B$18:$BC$18,0),FALSE)</f>
        <v>0.75</v>
      </c>
      <c r="Y23" s="34">
        <f>VLOOKUP($B23,坦克个性化设定!$B$18:$BC$48,MATCH(Y$3,坦克个性化设定!$B$18:$BC$18,0),FALSE)</f>
        <v>8.8984165302451057</v>
      </c>
      <c r="Z23" s="34">
        <f>VLOOKUP($B23,坦克个性化设定!$B$18:$BC$48,MATCH(Z$3,坦克个性化设定!$B$18:$BC$18,0),FALSE)</f>
        <v>55.61510331403192</v>
      </c>
      <c r="AA23" s="34">
        <f>VLOOKUP($B23,坦克个性化设定!$B$18:$BC$48,MATCH(AA$3,坦克个性化设定!$B$18:$BC$18,0),FALSE)</f>
        <v>2.84</v>
      </c>
      <c r="AB23" s="34">
        <f>VLOOKUP($B23,坦克个性化设定!$B$18:$BC$48,MATCH(AB$3,坦克个性化设定!$B$18:$BC$18,0),FALSE)</f>
        <v>7.2</v>
      </c>
      <c r="AC23" s="34">
        <f>VLOOKUP($B23,坦克个性化设定!$B$18:$BC$48,MATCH(AC$3,坦克个性化设定!$B$18:$BC$18,0),FALSE)</f>
        <v>5</v>
      </c>
      <c r="AD23" s="34">
        <f>VLOOKUP($B23,坦克个性化设定!$B$18:$BC$48,MATCH(AD$3,坦克个性化设定!$B$18:$BC$18,0),FALSE)</f>
        <v>4</v>
      </c>
      <c r="AE23" s="34">
        <f>VLOOKUP($B23,坦克个性化设定!$B$18:$BC$48,MATCH(AE$3,坦克个性化设定!$B$18:$BC$18,0),FALSE)</f>
        <v>1.0649999999999999</v>
      </c>
      <c r="AF23" s="2">
        <f>VLOOKUP($B23,坦克个性化设定!$B$18:$BC$48,MATCH(AF$3,坦克个性化设定!$B$18:$BC$18,0),FALSE)</f>
        <v>0.2</v>
      </c>
      <c r="AG23" s="2">
        <f>VLOOKUP($B23,坦克个性化设定!$B$18:$BC$48,MATCH(AG$3,坦克个性化设定!$B$18:$BC$18,0),FALSE)</f>
        <v>35</v>
      </c>
      <c r="AH23" s="2">
        <f>VLOOKUP($B23,坦克个性化设定!$B$18:$BC$48,MATCH(AH$3,坦克个性化设定!$B$18:$BC$18,0),FALSE)</f>
        <v>40</v>
      </c>
      <c r="AI23" s="2">
        <f>VLOOKUP(B23,坦克个性化细分!$I$3:$P$33,3,FALSE)</f>
        <v>35.6</v>
      </c>
      <c r="AJ23" s="2">
        <f>VLOOKUP(B23,坦克个性化细分!$I$3:$P$33,5,FALSE)</f>
        <v>50</v>
      </c>
      <c r="AK23" s="2">
        <f>VLOOKUP(B23,坦克个性化细分!$I$3:$P$33,7,FALSE)</f>
        <v>7.2</v>
      </c>
      <c r="AL23" s="2">
        <f>VLOOKUP($B23,坦克个性化设定!$G$84:$T$114,MATCH(AL$3,坦克个性化设定!$G$84:$T$84,0),FALSE)</f>
        <v>6</v>
      </c>
      <c r="AM23" s="2">
        <f>VLOOKUP($B23,坦克个性化细分!$E$3:$G$33,2,FALSE)</f>
        <v>2.4</v>
      </c>
      <c r="AN23" s="2">
        <f>VLOOKUP($B23,坦克个性化细分!$E$3:$G$33,3,FALSE)</f>
        <v>0</v>
      </c>
      <c r="AO23" s="34">
        <f t="shared" si="0"/>
        <v>1.4</v>
      </c>
      <c r="AP23" s="33">
        <f t="shared" ca="1" si="1"/>
        <v>2397</v>
      </c>
      <c r="AQ23" s="33">
        <f t="shared" ca="1" si="2"/>
        <v>251</v>
      </c>
      <c r="AR23" s="33">
        <f t="shared" ca="1" si="3"/>
        <v>828</v>
      </c>
      <c r="AS23" s="33">
        <f t="shared" ca="1" si="4"/>
        <v>373</v>
      </c>
      <c r="AT23" s="33">
        <f t="shared" ca="1" si="5"/>
        <v>907</v>
      </c>
      <c r="AU23" s="33">
        <f t="shared" ca="1" si="6"/>
        <v>212</v>
      </c>
      <c r="AV23" s="33">
        <f t="shared" si="12"/>
        <v>0</v>
      </c>
      <c r="AW23" s="33">
        <f t="shared" si="13"/>
        <v>0</v>
      </c>
      <c r="AX23" s="33">
        <f t="shared" si="14"/>
        <v>0</v>
      </c>
      <c r="AY23" s="2">
        <f t="shared" si="7"/>
        <v>6</v>
      </c>
      <c r="AZ23" s="2">
        <f>基础属性系数!$E$61</f>
        <v>0</v>
      </c>
      <c r="BA23" s="2">
        <v>50</v>
      </c>
      <c r="BB23" s="2">
        <v>10</v>
      </c>
      <c r="BC23" s="2">
        <f>VLOOKUP($B23,坦克类型系数!$B$3:$R$33,MATCH(BC$3,坦克类型系数!$B$3:$R$3,0),FALSE)</f>
        <v>0</v>
      </c>
      <c r="BD23" s="2">
        <f>VLOOKUP($B23,坦克类型系数!$B$3:$R$33,MATCH(BD$3,坦克类型系数!$B$3:$R$3,0),FALSE)</f>
        <v>2.2000000000000002</v>
      </c>
      <c r="BE23" s="2">
        <f>VLOOKUP($B23,坦克类型系数!$B$3:$R$33,MATCH(BE$3,坦克类型系数!$B$3:$R$3,0),FALSE)</f>
        <v>1.7</v>
      </c>
      <c r="BF23" s="2">
        <f>VLOOKUP($B23,坦克类型系数!$B$3:$R$33,MATCH(BF$3,坦克类型系数!$B$3:$R$3,0),FALSE)</f>
        <v>1.7</v>
      </c>
      <c r="BG23" s="2">
        <f>VLOOKUP($B23,坦克类型系数!$B$3:$R$33,MATCH(BG$3,坦克类型系数!$B$3:$R$3,0),FALSE)</f>
        <v>0.9</v>
      </c>
      <c r="BH23" s="2">
        <f>VLOOKUP($B23,坦克类型系数!$B$3:$R$33,MATCH(BH$3,坦克类型系数!$B$3:$R$3,0),FALSE)</f>
        <v>0.9</v>
      </c>
      <c r="BI23" s="2">
        <f>VLOOKUP($B23,坦克类型系数!$B$3:$R$33,MATCH(BI$3,坦克类型系数!$B$3:$R$3,0),FALSE)</f>
        <v>0.85</v>
      </c>
      <c r="BJ23" s="25"/>
      <c r="BK23" s="25"/>
      <c r="BL23" s="25"/>
      <c r="BM23" s="1" t="s">
        <v>1211</v>
      </c>
      <c r="BN23" s="2" t="str">
        <f t="shared" si="8"/>
        <v>挑战者</v>
      </c>
      <c r="BO23" s="2" t="str">
        <f>VLOOKUP(BN23,坦克个性化设定!$B$18:$E$48,MATCH(BO$3,坦克个性化设定!$B$18:$E$18,0),FALSE)</f>
        <v>T5</v>
      </c>
      <c r="BP23" s="2" t="str">
        <f t="shared" si="9"/>
        <v>低</v>
      </c>
      <c r="BQ23" s="2" t="s">
        <v>777</v>
      </c>
      <c r="BR23" s="2"/>
      <c r="BS23" s="42">
        <f ca="1">VLOOKUP($BN23&amp;$BQ23,坦克标准养成属性!$S$3:$AE$63,MATCH(BS$3,坦克标准养成属性!$S$3:$AE$3,0),FALSE)</f>
        <v>2396.7828574850219</v>
      </c>
      <c r="BT23" s="42">
        <f ca="1">VLOOKUP($BN23&amp;$BQ23,坦克标准养成属性!$S$3:$AE$63,MATCH(BT$3,坦克标准养成属性!$S$3:$AE$3,0),FALSE)</f>
        <v>251.0445906607242</v>
      </c>
      <c r="BU23" s="42">
        <f ca="1">VLOOKUP($BN23&amp;$BQ23,坦克标准养成属性!$S$3:$AE$63,MATCH(BU$3,坦克标准养成属性!$S$3:$AE$3,0),FALSE)</f>
        <v>828</v>
      </c>
      <c r="BV23" s="42">
        <f ca="1">VLOOKUP($BN23&amp;$BQ23,坦克标准养成属性!$S$3:$AE$63,MATCH(BV$3,坦克标准养成属性!$S$3:$AE$3,0),FALSE)</f>
        <v>373</v>
      </c>
      <c r="BW23" s="42">
        <f ca="1">VLOOKUP($BN23&amp;$BQ23,坦克标准养成属性!$S$3:$AE$63,MATCH(BW$3,坦克标准养成属性!$S$3:$AE$3,0),FALSE)</f>
        <v>907</v>
      </c>
      <c r="BX23" s="42">
        <f ca="1">VLOOKUP($BN23&amp;$BQ23,坦克标准养成属性!$S$3:$AE$63,MATCH(BX$3,坦克标准养成属性!$S$3:$AE$3,0),FALSE)</f>
        <v>212</v>
      </c>
      <c r="BY23" s="2">
        <f>IFERROR((VLOOKUP(LEFT(BR23,1)*1,坦克部件!$N$3:$W$9,MATCH("升星属性",坦克部件!$N$3:$W$3,0),FALSE)+VLOOKUP(RIGHT(BR23,1)*1,坦克部件!$Y$3:$AC$38,MATCH("累计属性",坦克部件!$Y$3:$AC$3,0),FALSE))*2,0)</f>
        <v>0</v>
      </c>
      <c r="BZ23" s="42">
        <f t="shared" si="15"/>
        <v>0</v>
      </c>
      <c r="CA23" s="42">
        <f t="shared" si="16"/>
        <v>0</v>
      </c>
    </row>
    <row r="24" spans="2:79" x14ac:dyDescent="0.3">
      <c r="B24" s="2" t="str">
        <f>坦克个性化设定!B39</f>
        <v>B-1</v>
      </c>
      <c r="C24" s="2" t="str">
        <f>VLOOKUP(B24,坦克个性化设定!$B$18:$E$48,4,FALSE)</f>
        <v>T1</v>
      </c>
      <c r="D24" s="2" t="str">
        <f>坦克个性化细分!J24</f>
        <v>低</v>
      </c>
      <c r="E24" s="2" t="str">
        <f t="shared" si="10"/>
        <v>T1低0</v>
      </c>
      <c r="F24" s="2" t="str">
        <f>VLOOKUP($B24,坦克个性化设定!$B$18:$BC$48,MATCH(F$3,坦克个性化设定!$B$18:$BC$18,0),FALSE)</f>
        <v>重坦</v>
      </c>
      <c r="G24" s="2" t="str">
        <f>VLOOKUP($B24,坦克个性化设定!$B$18:$BC$48,MATCH(G$3,坦克个性化设定!$B$18:$BC$18,0),FALSE)</f>
        <v>重坦自动</v>
      </c>
      <c r="H24" s="2" t="str">
        <f t="shared" si="11"/>
        <v>自动装弹</v>
      </c>
      <c r="I24" s="2">
        <f>VLOOKUP($B24,坦克个性化设定!$B$18:$BC$48,MATCH(I$3,坦克个性化设定!$B$18:$BC$18,0),FALSE)</f>
        <v>6.6</v>
      </c>
      <c r="J24" s="2">
        <f>VLOOKUP($B24,坦克个性化设定!$B$18:$BC$48,MATCH(J$3,坦克个性化设定!$B$18:$BC$18,0),FALSE)</f>
        <v>3.26</v>
      </c>
      <c r="K24" s="2">
        <f>VLOOKUP($B24,坦克个性化设定!$B$18:$BC$48,MATCH(K$3,坦克个性化设定!$B$18:$BC$18,0),FALSE)</f>
        <v>0.3</v>
      </c>
      <c r="L24" s="34">
        <f>VLOOKUP($B24,坦克个性化设定!$B$18:$BC$48,MATCH(L$3,坦克个性化设定!$B$18:$BC$18,0),FALSE)</f>
        <v>1.3421103201592517</v>
      </c>
      <c r="M24" s="34">
        <f>VLOOKUP($B24,坦克个性化设定!$B$18:$BC$48,MATCH(M$3,坦克个性化设定!$B$18:$BC$18,0),FALSE)</f>
        <v>10.769230769230768</v>
      </c>
      <c r="N24" s="34">
        <f>VLOOKUP($B24,坦克个性化设定!$B$18:$BC$48,MATCH(N$3,坦克个性化设定!$B$18:$BC$18,0),FALSE)</f>
        <v>17.5</v>
      </c>
      <c r="O24" s="2">
        <f>VLOOKUP($B24,坦克个性化设定!$B$18:$BC$48,MATCH(O$3,坦克个性化设定!$B$18:$BC$18,0),FALSE)</f>
        <v>0.8</v>
      </c>
      <c r="P24" s="2">
        <f>VLOOKUP($B24,坦克个性化设定!$B$18:$BC$48,MATCH(P$3,坦克个性化设定!$B$18:$BC$18,0),FALSE)</f>
        <v>0.8</v>
      </c>
      <c r="Q24" s="2">
        <f>VLOOKUP($B24,坦克个性化设定!$B$18:$BC$48,MATCH(Q$3,坦克个性化设定!$B$18:$BC$18,0),FALSE)</f>
        <v>0.8</v>
      </c>
      <c r="R24" s="2">
        <f>VLOOKUP($B24,坦克个性化设定!$B$18:$BC$48,MATCH(R$3,坦克个性化设定!$B$18:$BC$18,0),FALSE)</f>
        <v>2.8</v>
      </c>
      <c r="S24" s="34">
        <f>VLOOKUP($B24,坦克个性化设定!$B$51:$T$81,MATCH(S$3,坦克个性化设定!$B$51:$T$51,0),FALSE)</f>
        <v>3.5999999999999996</v>
      </c>
      <c r="T24" s="34">
        <f>VLOOKUP($B24,坦克个性化设定!$B$51:$T$81,MATCH(T$3,坦克个性化设定!$B$51:$T$51,0),FALSE)</f>
        <v>3</v>
      </c>
      <c r="U24" s="34">
        <f>VLOOKUP($B24,坦克个性化设定!$B$18:$BC$48,MATCH(U$3,坦克个性化设定!$B$18:$BC$18,0),FALSE)</f>
        <v>0.74</v>
      </c>
      <c r="V24" s="2">
        <f>VLOOKUP($B24,坦克个性化设定!$B$18:$BC$48,MATCH(V$3,坦克个性化设定!$B$18:$BC$18,0),FALSE)</f>
        <v>1.2</v>
      </c>
      <c r="W24" s="2">
        <f>VLOOKUP($B24,坦克个性化设定!$B$18:$BC$48,MATCH(W$3,坦克个性化设定!$B$18:$BC$18,0),FALSE)</f>
        <v>2</v>
      </c>
      <c r="X24" s="2">
        <f>VLOOKUP($B24,坦克个性化设定!$B$18:$BC$48,MATCH(X$3,坦克个性化设定!$B$18:$BC$18,0),FALSE)</f>
        <v>0.5</v>
      </c>
      <c r="Y24" s="34">
        <f>VLOOKUP($B24,坦克个性化设定!$B$18:$BC$48,MATCH(Y$3,坦克个性化设定!$B$18:$BC$18,0),FALSE)</f>
        <v>9.587493771855776</v>
      </c>
      <c r="Z24" s="34">
        <f>VLOOKUP($B24,坦克个性化设定!$B$18:$BC$48,MATCH(Z$3,坦克个性化设定!$B$18:$BC$18,0),FALSE)</f>
        <v>47.93746885927888</v>
      </c>
      <c r="AA24" s="34">
        <f>VLOOKUP($B24,坦克个性化设定!$B$18:$BC$48,MATCH(AA$3,坦克个性化设定!$B$18:$BC$18,0),FALSE)</f>
        <v>1.8599999999999999</v>
      </c>
      <c r="AB24" s="34">
        <f>VLOOKUP($B24,坦克个性化设定!$B$18:$BC$48,MATCH(AB$3,坦克个性化设定!$B$18:$BC$18,0),FALSE)</f>
        <v>7</v>
      </c>
      <c r="AC24" s="34">
        <f>VLOOKUP($B24,坦克个性化设定!$B$18:$BC$48,MATCH(AC$3,坦克个性化设定!$B$18:$BC$18,0),FALSE)</f>
        <v>3.8888888888888888</v>
      </c>
      <c r="AD24" s="34">
        <f>VLOOKUP($B24,坦克个性化设定!$B$18:$BC$48,MATCH(AD$3,坦克个性化设定!$B$18:$BC$18,0),FALSE)</f>
        <v>2</v>
      </c>
      <c r="AE24" s="34">
        <f>VLOOKUP($B24,坦克个性化设定!$B$18:$BC$48,MATCH(AE$3,坦克个性化设定!$B$18:$BC$18,0),FALSE)</f>
        <v>0.62</v>
      </c>
      <c r="AF24" s="2">
        <f>VLOOKUP($B24,坦克个性化设定!$B$18:$BC$48,MATCH(AF$3,坦克个性化设定!$B$18:$BC$18,0),FALSE)</f>
        <v>0.2</v>
      </c>
      <c r="AG24" s="2">
        <f>VLOOKUP($B24,坦克个性化设定!$B$18:$BC$48,MATCH(AG$3,坦克个性化设定!$B$18:$BC$18,0),FALSE)</f>
        <v>5</v>
      </c>
      <c r="AH24" s="2">
        <f>VLOOKUP($B24,坦克个性化设定!$B$18:$BC$48,MATCH(AH$3,坦克个性化设定!$B$18:$BC$18,0),FALSE)</f>
        <v>10</v>
      </c>
      <c r="AI24" s="2">
        <f>VLOOKUP(B24,坦克个性化细分!$I$3:$P$33,3,FALSE)</f>
        <v>38.299999999999997</v>
      </c>
      <c r="AJ24" s="2">
        <f>VLOOKUP(B24,坦克个性化细分!$I$3:$P$33,5,FALSE)</f>
        <v>28</v>
      </c>
      <c r="AK24" s="2">
        <f>VLOOKUP(B24,坦克个性化细分!$I$3:$P$33,7,FALSE)</f>
        <v>7</v>
      </c>
      <c r="AL24" s="2">
        <f>VLOOKUP($B24,坦克个性化设定!$G$84:$T$114,MATCH(AL$3,坦克个性化设定!$G$84:$T$84,0),FALSE)</f>
        <v>1</v>
      </c>
      <c r="AM24" s="2">
        <f>VLOOKUP($B24,坦克个性化细分!$E$3:$G$33,2,FALSE)</f>
        <v>5.3999999999999995</v>
      </c>
      <c r="AN24" s="2">
        <f>VLOOKUP($B24,坦克个性化细分!$E$3:$G$33,3,FALSE)</f>
        <v>0</v>
      </c>
      <c r="AO24" s="34">
        <f t="shared" si="0"/>
        <v>2.5</v>
      </c>
      <c r="AP24" s="33">
        <f t="shared" ca="1" si="1"/>
        <v>675</v>
      </c>
      <c r="AQ24" s="33">
        <f t="shared" ca="1" si="2"/>
        <v>416</v>
      </c>
      <c r="AR24" s="33">
        <f t="shared" ca="1" si="3"/>
        <v>114</v>
      </c>
      <c r="AS24" s="33">
        <f t="shared" ca="1" si="4"/>
        <v>286</v>
      </c>
      <c r="AT24" s="33">
        <f t="shared" ca="1" si="5"/>
        <v>420</v>
      </c>
      <c r="AU24" s="33">
        <f t="shared" ca="1" si="6"/>
        <v>91</v>
      </c>
      <c r="AV24" s="33">
        <f t="shared" si="12"/>
        <v>0</v>
      </c>
      <c r="AW24" s="33">
        <f t="shared" si="13"/>
        <v>0</v>
      </c>
      <c r="AX24" s="33">
        <f t="shared" si="14"/>
        <v>0</v>
      </c>
      <c r="AY24" s="2">
        <f t="shared" si="7"/>
        <v>6</v>
      </c>
      <c r="AZ24" s="2">
        <f>基础属性系数!$E$61</f>
        <v>0</v>
      </c>
      <c r="BA24" s="2">
        <v>50</v>
      </c>
      <c r="BB24" s="2">
        <v>10</v>
      </c>
      <c r="BC24" s="2">
        <f>VLOOKUP($B24,坦克类型系数!$B$3:$R$33,MATCH(BC$3,坦克类型系数!$B$3:$R$3,0),FALSE)</f>
        <v>0</v>
      </c>
      <c r="BD24" s="2">
        <f>VLOOKUP($B24,坦克类型系数!$B$3:$R$33,MATCH(BD$3,坦克类型系数!$B$3:$R$3,0),FALSE)</f>
        <v>2.5499999999999998</v>
      </c>
      <c r="BE24" s="2">
        <f>VLOOKUP($B24,坦克类型系数!$B$3:$R$33,MATCH(BE$3,坦克类型系数!$B$3:$R$3,0),FALSE)</f>
        <v>2.0499999999999998</v>
      </c>
      <c r="BF24" s="2">
        <f>VLOOKUP($B24,坦克类型系数!$B$3:$R$33,MATCH(BF$3,坦克类型系数!$B$3:$R$3,0),FALSE)</f>
        <v>2.0499999999999998</v>
      </c>
      <c r="BG24" s="2">
        <f>VLOOKUP($B24,坦克类型系数!$B$3:$R$33,MATCH(BG$3,坦克类型系数!$B$3:$R$3,0),FALSE)</f>
        <v>0.9</v>
      </c>
      <c r="BH24" s="2">
        <f>VLOOKUP($B24,坦克类型系数!$B$3:$R$33,MATCH(BH$3,坦克类型系数!$B$3:$R$3,0),FALSE)</f>
        <v>0.9</v>
      </c>
      <c r="BI24" s="2">
        <f>VLOOKUP($B24,坦克类型系数!$B$3:$R$33,MATCH(BI$3,坦克类型系数!$B$3:$R$3,0),FALSE)</f>
        <v>0.85</v>
      </c>
      <c r="BJ24" s="25"/>
      <c r="BK24" s="25"/>
      <c r="BL24" s="25"/>
      <c r="BM24" s="1" t="s">
        <v>1211</v>
      </c>
      <c r="BN24" s="2" t="str">
        <f t="shared" si="8"/>
        <v>B-1</v>
      </c>
      <c r="BO24" s="2" t="str">
        <f>VLOOKUP(BN24,坦克个性化设定!$B$18:$E$48,MATCH(BO$3,坦克个性化设定!$B$18:$E$18,0),FALSE)</f>
        <v>T1</v>
      </c>
      <c r="BP24" s="2" t="str">
        <f t="shared" si="9"/>
        <v>低</v>
      </c>
      <c r="BQ24" s="2" t="s">
        <v>777</v>
      </c>
      <c r="BR24" s="2"/>
      <c r="BS24" s="42">
        <f ca="1">VLOOKUP($BN24&amp;$BQ24,坦克标准养成属性!$S$3:$AE$63,MATCH(BS$3,坦克标准养成属性!$S$3:$AE$3,0),FALSE)</f>
        <v>675.24615943373806</v>
      </c>
      <c r="BT24" s="42">
        <f ca="1">VLOOKUP($BN24&amp;$BQ24,坦克标准养成属性!$S$3:$AE$63,MATCH(BT$3,坦克标准养成属性!$S$3:$AE$3,0),FALSE)</f>
        <v>415.87380026888485</v>
      </c>
      <c r="BU24" s="42">
        <f ca="1">VLOOKUP($BN24&amp;$BQ24,坦克标准养成属性!$S$3:$AE$63,MATCH(BU$3,坦克标准养成属性!$S$3:$AE$3,0),FALSE)</f>
        <v>114</v>
      </c>
      <c r="BV24" s="42">
        <f ca="1">VLOOKUP($BN24&amp;$BQ24,坦克标准养成属性!$S$3:$AE$63,MATCH(BV$3,坦克标准养成属性!$S$3:$AE$3,0),FALSE)</f>
        <v>286</v>
      </c>
      <c r="BW24" s="42">
        <f ca="1">VLOOKUP($BN24&amp;$BQ24,坦克标准养成属性!$S$3:$AE$63,MATCH(BW$3,坦克标准养成属性!$S$3:$AE$3,0),FALSE)</f>
        <v>420</v>
      </c>
      <c r="BX24" s="42">
        <f ca="1">VLOOKUP($BN24&amp;$BQ24,坦克标准养成属性!$S$3:$AE$63,MATCH(BX$3,坦克标准养成属性!$S$3:$AE$3,0),FALSE)</f>
        <v>91</v>
      </c>
      <c r="BY24" s="2">
        <f>IFERROR((VLOOKUP(LEFT(BR24,1)*1,坦克部件!$N$3:$W$9,MATCH("升星属性",坦克部件!$N$3:$W$3,0),FALSE)+VLOOKUP(RIGHT(BR24,1)*1,坦克部件!$Y$3:$AC$38,MATCH("累计属性",坦克部件!$Y$3:$AC$3,0),FALSE))*2,0)</f>
        <v>0</v>
      </c>
      <c r="BZ24" s="42">
        <f t="shared" si="15"/>
        <v>0</v>
      </c>
      <c r="CA24" s="42">
        <f t="shared" si="16"/>
        <v>0</v>
      </c>
    </row>
    <row r="25" spans="2:79" x14ac:dyDescent="0.3">
      <c r="B25" s="2" t="str">
        <f>坦克个性化设定!B40</f>
        <v>KV-1</v>
      </c>
      <c r="C25" s="2" t="str">
        <f>VLOOKUP(B25,坦克个性化设定!$B$18:$E$48,4,FALSE)</f>
        <v>T2</v>
      </c>
      <c r="D25" s="2" t="str">
        <f>坦克个性化细分!J25</f>
        <v>低</v>
      </c>
      <c r="E25" s="2" t="str">
        <f t="shared" si="10"/>
        <v>T2低0</v>
      </c>
      <c r="F25" s="2" t="str">
        <f>VLOOKUP($B25,坦克个性化设定!$B$18:$BC$48,MATCH(F$3,坦克个性化设定!$B$18:$BC$18,0),FALSE)</f>
        <v>重坦</v>
      </c>
      <c r="G25" s="2" t="str">
        <f>VLOOKUP($B25,坦克个性化设定!$B$18:$BC$48,MATCH(G$3,坦克个性化设定!$B$18:$BC$18,0),FALSE)</f>
        <v>重坦自动</v>
      </c>
      <c r="H25" s="2" t="str">
        <f t="shared" si="11"/>
        <v>自动装弹</v>
      </c>
      <c r="I25" s="2">
        <f>VLOOKUP($B25,坦克个性化设定!$B$18:$BC$48,MATCH(I$3,坦克个性化设定!$B$18:$BC$18,0),FALSE)</f>
        <v>6.44</v>
      </c>
      <c r="J25" s="2">
        <f>VLOOKUP($B25,坦克个性化设定!$B$18:$BC$48,MATCH(J$3,坦克个性化设定!$B$18:$BC$18,0),FALSE)</f>
        <v>2.5099999999999998</v>
      </c>
      <c r="K25" s="2">
        <f>VLOOKUP($B25,坦克个性化设定!$B$18:$BC$48,MATCH(K$3,坦克个性化设定!$B$18:$BC$18,0),FALSE)</f>
        <v>0.3</v>
      </c>
      <c r="L25" s="34">
        <f>VLOOKUP($B25,坦克个性化设定!$B$18:$BC$48,MATCH(L$3,坦克个性化设定!$B$18:$BC$18,0),FALSE)</f>
        <v>1.3421103201592517</v>
      </c>
      <c r="M25" s="34">
        <f>VLOOKUP($B25,坦克个性化设定!$B$18:$BC$48,MATCH(M$3,坦克个性化设定!$B$18:$BC$18,0),FALSE)</f>
        <v>10.769230769230768</v>
      </c>
      <c r="N25" s="34">
        <f>VLOOKUP($B25,坦克个性化设定!$B$18:$BC$48,MATCH(N$3,坦克个性化设定!$B$18:$BC$18,0),FALSE)</f>
        <v>17.5</v>
      </c>
      <c r="O25" s="2">
        <f>VLOOKUP($B25,坦克个性化设定!$B$18:$BC$48,MATCH(O$3,坦克个性化设定!$B$18:$BC$18,0),FALSE)</f>
        <v>0.8</v>
      </c>
      <c r="P25" s="2">
        <f>VLOOKUP($B25,坦克个性化设定!$B$18:$BC$48,MATCH(P$3,坦克个性化设定!$B$18:$BC$18,0),FALSE)</f>
        <v>0.8</v>
      </c>
      <c r="Q25" s="2">
        <f>VLOOKUP($B25,坦克个性化设定!$B$18:$BC$48,MATCH(Q$3,坦克个性化设定!$B$18:$BC$18,0),FALSE)</f>
        <v>0.8</v>
      </c>
      <c r="R25" s="2">
        <f>VLOOKUP($B25,坦克个性化设定!$B$18:$BC$48,MATCH(R$3,坦克个性化设定!$B$18:$BC$18,0),FALSE)</f>
        <v>1.88</v>
      </c>
      <c r="S25" s="34">
        <f>VLOOKUP($B25,坦克个性化设定!$B$51:$T$81,MATCH(S$3,坦克个性化设定!$B$51:$T$51,0),FALSE)</f>
        <v>1.7999999999999998</v>
      </c>
      <c r="T25" s="34">
        <f>VLOOKUP($B25,坦克个性化设定!$B$51:$T$81,MATCH(T$3,坦克个性化设定!$B$51:$T$51,0),FALSE)</f>
        <v>2.63</v>
      </c>
      <c r="U25" s="34">
        <f>VLOOKUP($B25,坦克个性化设定!$B$18:$BC$48,MATCH(U$3,坦克个性化设定!$B$18:$BC$18,0),FALSE)</f>
        <v>0.71</v>
      </c>
      <c r="V25" s="2">
        <f>VLOOKUP($B25,坦克个性化设定!$B$18:$BC$48,MATCH(V$3,坦克个性化设定!$B$18:$BC$18,0),FALSE)</f>
        <v>1.2</v>
      </c>
      <c r="W25" s="2">
        <f>VLOOKUP($B25,坦克个性化设定!$B$18:$BC$48,MATCH(W$3,坦克个性化设定!$B$18:$BC$18,0),FALSE)</f>
        <v>2</v>
      </c>
      <c r="X25" s="2">
        <f>VLOOKUP($B25,坦克个性化设定!$B$18:$BC$48,MATCH(X$3,坦克个性化设定!$B$18:$BC$18,0),FALSE)</f>
        <v>0.5</v>
      </c>
      <c r="Y25" s="34">
        <f>VLOOKUP($B25,坦克个性化设定!$B$18:$BC$48,MATCH(Y$3,坦克个性化设定!$B$18:$BC$18,0),FALSE)</f>
        <v>9.587493771855776</v>
      </c>
      <c r="Z25" s="34">
        <f>VLOOKUP($B25,坦克个性化设定!$B$18:$BC$48,MATCH(Z$3,坦克个性化设定!$B$18:$BC$18,0),FALSE)</f>
        <v>47.93746885927888</v>
      </c>
      <c r="AA25" s="34">
        <f>VLOOKUP($B25,坦克个性化设定!$B$18:$BC$48,MATCH(AA$3,坦克个性化设定!$B$18:$BC$18,0),FALSE)</f>
        <v>1.8599999999999999</v>
      </c>
      <c r="AB25" s="34">
        <f>VLOOKUP($B25,坦克个性化设定!$B$18:$BC$48,MATCH(AB$3,坦克个性化设定!$B$18:$BC$18,0),FALSE)</f>
        <v>7</v>
      </c>
      <c r="AC25" s="34">
        <f>VLOOKUP($B25,坦克个性化设定!$B$18:$BC$48,MATCH(AC$3,坦克个性化设定!$B$18:$BC$18,0),FALSE)</f>
        <v>3.8888888888888888</v>
      </c>
      <c r="AD25" s="34">
        <f>VLOOKUP($B25,坦克个性化设定!$B$18:$BC$48,MATCH(AD$3,坦克个性化设定!$B$18:$BC$18,0),FALSE)</f>
        <v>2</v>
      </c>
      <c r="AE25" s="34">
        <f>VLOOKUP($B25,坦克个性化设定!$B$18:$BC$48,MATCH(AE$3,坦克个性化设定!$B$18:$BC$18,0),FALSE)</f>
        <v>0.62</v>
      </c>
      <c r="AF25" s="2">
        <f>VLOOKUP($B25,坦克个性化设定!$B$18:$BC$48,MATCH(AF$3,坦克个性化设定!$B$18:$BC$18,0),FALSE)</f>
        <v>0.2</v>
      </c>
      <c r="AG25" s="2">
        <f>VLOOKUP($B25,坦克个性化设定!$B$18:$BC$48,MATCH(AG$3,坦克个性化设定!$B$18:$BC$18,0),FALSE)</f>
        <v>5</v>
      </c>
      <c r="AH25" s="2">
        <f>VLOOKUP($B25,坦克个性化设定!$B$18:$BC$48,MATCH(AH$3,坦克个性化设定!$B$18:$BC$18,0),FALSE)</f>
        <v>10</v>
      </c>
      <c r="AI25" s="2">
        <f>VLOOKUP(B25,坦克个性化细分!$I$3:$P$33,3,FALSE)</f>
        <v>38.299999999999997</v>
      </c>
      <c r="AJ25" s="2">
        <f>VLOOKUP(B25,坦克个性化细分!$I$3:$P$33,5,FALSE)</f>
        <v>28</v>
      </c>
      <c r="AK25" s="2">
        <f>VLOOKUP(B25,坦克个性化细分!$I$3:$P$33,7,FALSE)</f>
        <v>7</v>
      </c>
      <c r="AL25" s="2">
        <f>VLOOKUP($B25,坦克个性化设定!$G$84:$T$114,MATCH(AL$3,坦克个性化设定!$G$84:$T$84,0),FALSE)</f>
        <v>2</v>
      </c>
      <c r="AM25" s="2">
        <f>VLOOKUP($B25,坦克个性化细分!$E$3:$G$33,2,FALSE)</f>
        <v>3.6</v>
      </c>
      <c r="AN25" s="2">
        <f>VLOOKUP($B25,坦克个性化细分!$E$3:$G$33,3,FALSE)</f>
        <v>0</v>
      </c>
      <c r="AO25" s="34">
        <f t="shared" si="0"/>
        <v>2.1916666666666669</v>
      </c>
      <c r="AP25" s="33">
        <f t="shared" ca="1" si="1"/>
        <v>1029</v>
      </c>
      <c r="AQ25" s="33">
        <f t="shared" ca="1" si="2"/>
        <v>327</v>
      </c>
      <c r="AR25" s="33">
        <f t="shared" ca="1" si="3"/>
        <v>137</v>
      </c>
      <c r="AS25" s="33">
        <f t="shared" ca="1" si="4"/>
        <v>343</v>
      </c>
      <c r="AT25" s="33">
        <f t="shared" ca="1" si="5"/>
        <v>504</v>
      </c>
      <c r="AU25" s="33">
        <f t="shared" ca="1" si="6"/>
        <v>109</v>
      </c>
      <c r="AV25" s="33">
        <f t="shared" si="12"/>
        <v>0</v>
      </c>
      <c r="AW25" s="33">
        <f t="shared" si="13"/>
        <v>0</v>
      </c>
      <c r="AX25" s="33">
        <f t="shared" si="14"/>
        <v>0</v>
      </c>
      <c r="AY25" s="2">
        <f t="shared" si="7"/>
        <v>6</v>
      </c>
      <c r="AZ25" s="2">
        <f>基础属性系数!$E$61</f>
        <v>0</v>
      </c>
      <c r="BA25" s="2">
        <v>50</v>
      </c>
      <c r="BB25" s="2">
        <v>10</v>
      </c>
      <c r="BC25" s="2">
        <f>VLOOKUP($B25,坦克类型系数!$B$3:$R$33,MATCH(BC$3,坦克类型系数!$B$3:$R$3,0),FALSE)</f>
        <v>0</v>
      </c>
      <c r="BD25" s="2">
        <f>VLOOKUP($B25,坦克类型系数!$B$3:$R$33,MATCH(BD$3,坦克类型系数!$B$3:$R$3,0),FALSE)</f>
        <v>2.5499999999999998</v>
      </c>
      <c r="BE25" s="2">
        <f>VLOOKUP($B25,坦克类型系数!$B$3:$R$33,MATCH(BE$3,坦克类型系数!$B$3:$R$3,0),FALSE)</f>
        <v>2.35</v>
      </c>
      <c r="BF25" s="2">
        <f>VLOOKUP($B25,坦克类型系数!$B$3:$R$33,MATCH(BF$3,坦克类型系数!$B$3:$R$3,0),FALSE)</f>
        <v>2.35</v>
      </c>
      <c r="BG25" s="2">
        <f>VLOOKUP($B25,坦克类型系数!$B$3:$R$33,MATCH(BG$3,坦克类型系数!$B$3:$R$3,0),FALSE)</f>
        <v>0.9</v>
      </c>
      <c r="BH25" s="2">
        <f>VLOOKUP($B25,坦克类型系数!$B$3:$R$33,MATCH(BH$3,坦克类型系数!$B$3:$R$3,0),FALSE)</f>
        <v>0.9</v>
      </c>
      <c r="BI25" s="2">
        <f>VLOOKUP($B25,坦克类型系数!$B$3:$R$33,MATCH(BI$3,坦克类型系数!$B$3:$R$3,0),FALSE)</f>
        <v>0.85</v>
      </c>
      <c r="BJ25" s="25"/>
      <c r="BK25" s="25"/>
      <c r="BL25" s="25"/>
      <c r="BM25" s="1" t="s">
        <v>1215</v>
      </c>
      <c r="BN25" s="2" t="str">
        <f t="shared" si="8"/>
        <v>KV-1</v>
      </c>
      <c r="BO25" s="2" t="str">
        <f>VLOOKUP(BN25,坦克个性化设定!$B$18:$E$48,MATCH(BO$3,坦克个性化设定!$B$18:$E$18,0),FALSE)</f>
        <v>T2</v>
      </c>
      <c r="BP25" s="2" t="str">
        <f t="shared" si="9"/>
        <v>低</v>
      </c>
      <c r="BQ25" s="2" t="s">
        <v>777</v>
      </c>
      <c r="BR25" s="2"/>
      <c r="BS25" s="42">
        <f ca="1">VLOOKUP($BN25&amp;$BQ25,坦克标准养成属性!$S$3:$AE$63,MATCH(BS$3,坦克标准养成属性!$S$3:$AE$3,0),FALSE)</f>
        <v>1028.8352056952988</v>
      </c>
      <c r="BT25" s="42">
        <f ca="1">VLOOKUP($BN25&amp;$BQ25,坦克标准养成属性!$S$3:$AE$63,MATCH(BT$3,坦克标准养成属性!$S$3:$AE$3,0),FALSE)</f>
        <v>326.57200330395312</v>
      </c>
      <c r="BU25" s="42">
        <f ca="1">VLOOKUP($BN25&amp;$BQ25,坦克标准养成属性!$S$3:$AE$63,MATCH(BU$3,坦克标准养成属性!$S$3:$AE$3,0),FALSE)</f>
        <v>137</v>
      </c>
      <c r="BV25" s="42">
        <f ca="1">VLOOKUP($BN25&amp;$BQ25,坦克标准养成属性!$S$3:$AE$63,MATCH(BV$3,坦克标准养成属性!$S$3:$AE$3,0),FALSE)</f>
        <v>343</v>
      </c>
      <c r="BW25" s="42">
        <f ca="1">VLOOKUP($BN25&amp;$BQ25,坦克标准养成属性!$S$3:$AE$63,MATCH(BW$3,坦克标准养成属性!$S$3:$AE$3,0),FALSE)</f>
        <v>504</v>
      </c>
      <c r="BX25" s="42">
        <f ca="1">VLOOKUP($BN25&amp;$BQ25,坦克标准养成属性!$S$3:$AE$63,MATCH(BX$3,坦克标准养成属性!$S$3:$AE$3,0),FALSE)</f>
        <v>109</v>
      </c>
      <c r="BY25" s="2">
        <f>IFERROR((VLOOKUP(LEFT(BR25,1)*1,坦克部件!$N$3:$W$9,MATCH("升星属性",坦克部件!$N$3:$W$3,0),FALSE)+VLOOKUP(RIGHT(BR25,1)*1,坦克部件!$Y$3:$AC$38,MATCH("累计属性",坦克部件!$Y$3:$AC$3,0),FALSE))*2,0)</f>
        <v>0</v>
      </c>
      <c r="BZ25" s="42">
        <f t="shared" si="15"/>
        <v>0</v>
      </c>
      <c r="CA25" s="42">
        <f t="shared" si="16"/>
        <v>0</v>
      </c>
    </row>
    <row r="26" spans="2:79" x14ac:dyDescent="0.3">
      <c r="B26" s="2" t="str">
        <f>坦克个性化设定!B41</f>
        <v>丘吉尔</v>
      </c>
      <c r="C26" s="2" t="str">
        <f>VLOOKUP(B26,坦克个性化设定!$B$18:$E$48,4,FALSE)</f>
        <v>T2</v>
      </c>
      <c r="D26" s="2" t="str">
        <f>坦克个性化细分!J26</f>
        <v>中</v>
      </c>
      <c r="E26" s="2" t="str">
        <f t="shared" ref="E26:E33" si="17">C26&amp;D26&amp;"0"</f>
        <v>T2中0</v>
      </c>
      <c r="F26" s="2" t="str">
        <f>VLOOKUP($B26,坦克个性化设定!$B$18:$BC$48,MATCH(F$3,坦克个性化设定!$B$18:$BC$18,0),FALSE)</f>
        <v>重坦</v>
      </c>
      <c r="G26" s="2" t="str">
        <f>VLOOKUP($B26,坦克个性化设定!$B$18:$BC$48,MATCH(G$3,坦克个性化设定!$B$18:$BC$18,0),FALSE)</f>
        <v>重坦单发</v>
      </c>
      <c r="H26" s="2" t="str">
        <f t="shared" si="11"/>
        <v>单发装弹</v>
      </c>
      <c r="I26" s="2">
        <f>VLOOKUP($B26,坦克个性化设定!$B$18:$BC$48,MATCH(I$3,坦克个性化设定!$B$18:$BC$18,0),FALSE)</f>
        <v>7.18</v>
      </c>
      <c r="J26" s="2">
        <f>VLOOKUP($B26,坦克个性化设定!$B$18:$BC$48,MATCH(J$3,坦克个性化设定!$B$18:$BC$18,0),FALSE)</f>
        <v>3.28</v>
      </c>
      <c r="K26" s="2">
        <f>VLOOKUP($B26,坦克个性化设定!$B$18:$BC$48,MATCH(K$3,坦克个性化设定!$B$18:$BC$18,0),FALSE)</f>
        <v>0.3</v>
      </c>
      <c r="L26" s="34">
        <f>VLOOKUP($B26,坦克个性化设定!$B$18:$BC$48,MATCH(L$3,坦克个性化设定!$B$18:$BC$18,0),FALSE)</f>
        <v>1.3421103201592517</v>
      </c>
      <c r="M26" s="34">
        <f>VLOOKUP($B26,坦克个性化设定!$B$18:$BC$48,MATCH(M$3,坦克个性化设定!$B$18:$BC$18,0),FALSE)</f>
        <v>10.769230769230768</v>
      </c>
      <c r="N26" s="34">
        <f>VLOOKUP($B26,坦克个性化设定!$B$18:$BC$48,MATCH(N$3,坦克个性化设定!$B$18:$BC$18,0),FALSE)</f>
        <v>17.5</v>
      </c>
      <c r="O26" s="2">
        <f>VLOOKUP($B26,坦克个性化设定!$B$18:$BC$48,MATCH(O$3,坦克个性化设定!$B$18:$BC$18,0),FALSE)</f>
        <v>0.8</v>
      </c>
      <c r="P26" s="2">
        <f>VLOOKUP($B26,坦克个性化设定!$B$18:$BC$48,MATCH(P$3,坦克个性化设定!$B$18:$BC$18,0),FALSE)</f>
        <v>0.8</v>
      </c>
      <c r="Q26" s="2">
        <f>VLOOKUP($B26,坦克个性化设定!$B$18:$BC$48,MATCH(Q$3,坦克个性化设定!$B$18:$BC$18,0),FALSE)</f>
        <v>0.8</v>
      </c>
      <c r="R26" s="2">
        <f>VLOOKUP($B26,坦克个性化设定!$B$18:$BC$48,MATCH(R$3,坦克个性化设定!$B$18:$BC$18,0),FALSE)</f>
        <v>0</v>
      </c>
      <c r="S26" s="34">
        <f>VLOOKUP($B26,坦克个性化设定!$B$51:$T$81,MATCH(S$3,坦克个性化设定!$B$51:$T$51,0),FALSE)</f>
        <v>3</v>
      </c>
      <c r="T26" s="34">
        <f>VLOOKUP($B26,坦克个性化设定!$B$51:$T$81,MATCH(T$3,坦克个性化设定!$B$51:$T$51,0),FALSE)</f>
        <v>3</v>
      </c>
      <c r="U26" s="34">
        <f>VLOOKUP($B26,坦克个性化设定!$B$18:$BC$48,MATCH(U$3,坦克个性化设定!$B$18:$BC$18,0),FALSE)</f>
        <v>0.68</v>
      </c>
      <c r="V26" s="2">
        <f>VLOOKUP($B26,坦克个性化设定!$B$18:$BC$48,MATCH(V$3,坦克个性化设定!$B$18:$BC$18,0),FALSE)</f>
        <v>1</v>
      </c>
      <c r="W26" s="2">
        <f>VLOOKUP($B26,坦克个性化设定!$B$18:$BC$48,MATCH(W$3,坦克个性化设定!$B$18:$BC$18,0),FALSE)</f>
        <v>5</v>
      </c>
      <c r="X26" s="2">
        <f>VLOOKUP($B26,坦克个性化设定!$B$18:$BC$48,MATCH(X$3,坦克个性化设定!$B$18:$BC$18,0),FALSE)</f>
        <v>0.5</v>
      </c>
      <c r="Y26" s="34">
        <f>VLOOKUP($B26,坦克个性化设定!$B$18:$BC$48,MATCH(Y$3,坦克个性化设定!$B$18:$BC$18,0),FALSE)</f>
        <v>7.669995017484621</v>
      </c>
      <c r="Z26" s="34">
        <f>VLOOKUP($B26,坦克个性化设定!$B$18:$BC$48,MATCH(Z$3,坦克个性化设定!$B$18:$BC$18,0),FALSE)</f>
        <v>47.93746885927888</v>
      </c>
      <c r="AA26" s="34">
        <f>VLOOKUP($B26,坦克个性化设定!$B$18:$BC$48,MATCH(AA$3,坦克个性化设定!$B$18:$BC$18,0),FALSE)</f>
        <v>3.1</v>
      </c>
      <c r="AB26" s="34">
        <f>VLOOKUP($B26,坦克个性化设定!$B$18:$BC$48,MATCH(AB$3,坦克个性化设定!$B$18:$BC$18,0),FALSE)</f>
        <v>6.3</v>
      </c>
      <c r="AC26" s="34">
        <f>VLOOKUP($B26,坦克个性化设定!$B$18:$BC$48,MATCH(AC$3,坦克个性化设定!$B$18:$BC$18,0),FALSE)</f>
        <v>3.8888888888888888</v>
      </c>
      <c r="AD26" s="34">
        <f>VLOOKUP($B26,坦克个性化设定!$B$18:$BC$48,MATCH(AD$3,坦克个性化设定!$B$18:$BC$18,0),FALSE)</f>
        <v>2</v>
      </c>
      <c r="AE26" s="34">
        <f>VLOOKUP($B26,坦克个性化设定!$B$18:$BC$48,MATCH(AE$3,坦克个性化设定!$B$18:$BC$18,0),FALSE)</f>
        <v>1.24</v>
      </c>
      <c r="AF26" s="2">
        <f>VLOOKUP($B26,坦克个性化设定!$B$18:$BC$48,MATCH(AF$3,坦克个性化设定!$B$18:$BC$18,0),FALSE)</f>
        <v>0.2</v>
      </c>
      <c r="AG26" s="2">
        <f>VLOOKUP($B26,坦克个性化设定!$B$18:$BC$48,MATCH(AG$3,坦克个性化设定!$B$18:$BC$18,0),FALSE)</f>
        <v>5</v>
      </c>
      <c r="AH26" s="2">
        <f>VLOOKUP($B26,坦克个性化设定!$B$18:$BC$48,MATCH(AH$3,坦克个性化设定!$B$18:$BC$18,0),FALSE)</f>
        <v>10</v>
      </c>
      <c r="AI26" s="2">
        <f>VLOOKUP(B26,坦克个性化细分!$I$3:$P$33,3,FALSE)</f>
        <v>31.3</v>
      </c>
      <c r="AJ26" s="2">
        <f>VLOOKUP(B26,坦克个性化细分!$I$3:$P$33,5,FALSE)</f>
        <v>31.4</v>
      </c>
      <c r="AK26" s="2">
        <f>VLOOKUP(B26,坦克个性化细分!$I$3:$P$33,7,FALSE)</f>
        <v>6.4</v>
      </c>
      <c r="AL26" s="2">
        <f>VLOOKUP($B26,坦克个性化设定!$G$84:$T$114,MATCH(AL$3,坦克个性化设定!$G$84:$T$84,0),FALSE)</f>
        <v>1</v>
      </c>
      <c r="AM26" s="2">
        <f>VLOOKUP($B26,坦克个性化细分!$E$3:$G$33,2,FALSE)</f>
        <v>6</v>
      </c>
      <c r="AN26" s="2">
        <f>VLOOKUP($B26,坦克个性化细分!$E$3:$G$33,3,FALSE)</f>
        <v>0</v>
      </c>
      <c r="AO26" s="34">
        <f t="shared" si="0"/>
        <v>3</v>
      </c>
      <c r="AP26" s="33">
        <f t="shared" ca="1" si="1"/>
        <v>1079</v>
      </c>
      <c r="AQ26" s="33">
        <f t="shared" ca="1" si="2"/>
        <v>520</v>
      </c>
      <c r="AR26" s="33">
        <f t="shared" ca="1" si="3"/>
        <v>153</v>
      </c>
      <c r="AS26" s="33">
        <f t="shared" ca="1" si="4"/>
        <v>383</v>
      </c>
      <c r="AT26" s="33">
        <f t="shared" ca="1" si="5"/>
        <v>512</v>
      </c>
      <c r="AU26" s="33">
        <f t="shared" ca="1" si="6"/>
        <v>111</v>
      </c>
      <c r="AV26" s="33">
        <f t="shared" si="12"/>
        <v>0</v>
      </c>
      <c r="AW26" s="33">
        <f t="shared" si="13"/>
        <v>0</v>
      </c>
      <c r="AX26" s="33">
        <f t="shared" si="14"/>
        <v>0</v>
      </c>
      <c r="AY26" s="2">
        <f t="shared" si="7"/>
        <v>1</v>
      </c>
      <c r="AZ26" s="2">
        <f>基础属性系数!$E$61</f>
        <v>0</v>
      </c>
      <c r="BA26" s="2">
        <v>50</v>
      </c>
      <c r="BB26" s="2">
        <v>10</v>
      </c>
      <c r="BC26" s="2">
        <f>VLOOKUP($B26,坦克类型系数!$B$3:$R$33,MATCH(BC$3,坦克类型系数!$B$3:$R$3,0),FALSE)</f>
        <v>0</v>
      </c>
      <c r="BD26" s="2">
        <f>VLOOKUP($B26,坦克类型系数!$B$3:$R$33,MATCH(BD$3,坦克类型系数!$B$3:$R$3,0),FALSE)</f>
        <v>2.5</v>
      </c>
      <c r="BE26" s="2">
        <f>VLOOKUP($B26,坦克类型系数!$B$3:$R$33,MATCH(BE$3,坦克类型系数!$B$3:$R$3,0),FALSE)</f>
        <v>2.15</v>
      </c>
      <c r="BF26" s="2">
        <f>VLOOKUP($B26,坦克类型系数!$B$3:$R$33,MATCH(BF$3,坦克类型系数!$B$3:$R$3,0),FALSE)</f>
        <v>2.15</v>
      </c>
      <c r="BG26" s="2">
        <f>VLOOKUP($B26,坦克类型系数!$B$3:$R$33,MATCH(BG$3,坦克类型系数!$B$3:$R$3,0),FALSE)</f>
        <v>0.9</v>
      </c>
      <c r="BH26" s="2">
        <f>VLOOKUP($B26,坦克类型系数!$B$3:$R$33,MATCH(BH$3,坦克类型系数!$B$3:$R$3,0),FALSE)</f>
        <v>0.9</v>
      </c>
      <c r="BI26" s="2">
        <f>VLOOKUP($B26,坦克类型系数!$B$3:$R$33,MATCH(BI$3,坦克类型系数!$B$3:$R$3,0),FALSE)</f>
        <v>0.85</v>
      </c>
      <c r="BJ26" s="25"/>
      <c r="BK26" s="25"/>
      <c r="BL26" s="25"/>
      <c r="BM26" s="1" t="s">
        <v>1215</v>
      </c>
      <c r="BN26" s="2" t="str">
        <f t="shared" si="8"/>
        <v>丘吉尔</v>
      </c>
      <c r="BO26" s="2" t="str">
        <f>VLOOKUP(BN26,坦克个性化设定!$B$18:$E$48,MATCH(BO$3,坦克个性化设定!$B$18:$E$18,0),FALSE)</f>
        <v>T2</v>
      </c>
      <c r="BP26" s="2" t="str">
        <f t="shared" si="9"/>
        <v>中</v>
      </c>
      <c r="BQ26" s="2" t="s">
        <v>777</v>
      </c>
      <c r="BR26" s="2"/>
      <c r="BS26" s="42">
        <f ca="1">VLOOKUP($BN26&amp;$BQ26,坦克标准养成属性!$S$3:$AE$63,MATCH(BS$3,坦克标准养成属性!$S$3:$AE$3,0),FALSE)</f>
        <v>1079.4128840729986</v>
      </c>
      <c r="BT26" s="42">
        <f ca="1">VLOOKUP($BN26&amp;$BQ26,坦克标准养成属性!$S$3:$AE$63,MATCH(BT$3,坦克标准养成属性!$S$3:$AE$3,0),FALSE)</f>
        <v>520.33842497845887</v>
      </c>
      <c r="BU26" s="42">
        <f ca="1">VLOOKUP($BN26&amp;$BQ26,坦克标准养成属性!$S$3:$AE$63,MATCH(BU$3,坦克标准养成属性!$S$3:$AE$3,0),FALSE)</f>
        <v>153</v>
      </c>
      <c r="BV26" s="42">
        <f ca="1">VLOOKUP($BN26&amp;$BQ26,坦克标准养成属性!$S$3:$AE$63,MATCH(BV$3,坦克标准养成属性!$S$3:$AE$3,0),FALSE)</f>
        <v>383</v>
      </c>
      <c r="BW26" s="42">
        <f ca="1">VLOOKUP($BN26&amp;$BQ26,坦克标准养成属性!$S$3:$AE$63,MATCH(BW$3,坦克标准养成属性!$S$3:$AE$3,0),FALSE)</f>
        <v>512</v>
      </c>
      <c r="BX26" s="42">
        <f ca="1">VLOOKUP($BN26&amp;$BQ26,坦克标准养成属性!$S$3:$AE$63,MATCH(BX$3,坦克标准养成属性!$S$3:$AE$3,0),FALSE)</f>
        <v>111</v>
      </c>
      <c r="BY26" s="2">
        <f>IFERROR((VLOOKUP(LEFT(BR26,1)*1,坦克部件!$N$3:$W$9,MATCH("升星属性",坦克部件!$N$3:$W$3,0),FALSE)+VLOOKUP(RIGHT(BR26,1)*1,坦克部件!$Y$3:$AC$38,MATCH("累计属性",坦克部件!$Y$3:$AC$3,0),FALSE))*2,0)</f>
        <v>0</v>
      </c>
      <c r="BZ26" s="42">
        <f t="shared" si="15"/>
        <v>0</v>
      </c>
      <c r="CA26" s="42">
        <f t="shared" si="16"/>
        <v>0</v>
      </c>
    </row>
    <row r="27" spans="2:79" x14ac:dyDescent="0.3">
      <c r="B27" s="2" t="str">
        <f>坦克个性化设定!B42</f>
        <v>黑豹</v>
      </c>
      <c r="C27" s="2" t="str">
        <f>VLOOKUP(B27,坦克个性化设定!$B$18:$E$48,4,FALSE)</f>
        <v>T3</v>
      </c>
      <c r="D27" s="2" t="str">
        <f>坦克个性化细分!J27</f>
        <v>低</v>
      </c>
      <c r="E27" s="2" t="str">
        <f t="shared" si="17"/>
        <v>T3低0</v>
      </c>
      <c r="F27" s="2" t="str">
        <f>VLOOKUP($B27,坦克个性化设定!$B$18:$BC$48,MATCH(F$3,坦克个性化设定!$B$18:$BC$18,0),FALSE)</f>
        <v>重坦</v>
      </c>
      <c r="G27" s="2" t="str">
        <f>VLOOKUP($B27,坦克个性化设定!$B$18:$BC$48,MATCH(G$3,坦克个性化设定!$B$18:$BC$18,0),FALSE)</f>
        <v>重坦单发</v>
      </c>
      <c r="H27" s="2" t="str">
        <f t="shared" si="11"/>
        <v>单发装弹</v>
      </c>
      <c r="I27" s="2">
        <f>VLOOKUP($B27,坦克个性化设定!$B$18:$BC$48,MATCH(I$3,坦克个性化设定!$B$18:$BC$18,0),FALSE)</f>
        <v>6.86</v>
      </c>
      <c r="J27" s="2">
        <f>VLOOKUP($B27,坦克个性化设定!$B$18:$BC$48,MATCH(J$3,坦克个性化设定!$B$18:$BC$18,0),FALSE)</f>
        <v>3.3</v>
      </c>
      <c r="K27" s="2">
        <f>VLOOKUP($B27,坦克个性化设定!$B$18:$BC$48,MATCH(K$3,坦克个性化设定!$B$18:$BC$18,0),FALSE)</f>
        <v>0.3</v>
      </c>
      <c r="L27" s="34">
        <f>VLOOKUP($B27,坦克个性化设定!$B$18:$BC$48,MATCH(L$3,坦克个性化设定!$B$18:$BC$18,0),FALSE)</f>
        <v>1.3421103201592517</v>
      </c>
      <c r="M27" s="34">
        <f>VLOOKUP($B27,坦克个性化设定!$B$18:$BC$48,MATCH(M$3,坦克个性化设定!$B$18:$BC$18,0),FALSE)</f>
        <v>10.769230769230768</v>
      </c>
      <c r="N27" s="34">
        <f>VLOOKUP($B27,坦克个性化设定!$B$18:$BC$48,MATCH(N$3,坦克个性化设定!$B$18:$BC$18,0),FALSE)</f>
        <v>17.5</v>
      </c>
      <c r="O27" s="2">
        <f>VLOOKUP($B27,坦克个性化设定!$B$18:$BC$48,MATCH(O$3,坦克个性化设定!$B$18:$BC$18,0),FALSE)</f>
        <v>0.8</v>
      </c>
      <c r="P27" s="2">
        <f>VLOOKUP($B27,坦克个性化设定!$B$18:$BC$48,MATCH(P$3,坦克个性化设定!$B$18:$BC$18,0),FALSE)</f>
        <v>0.8</v>
      </c>
      <c r="Q27" s="2">
        <f>VLOOKUP($B27,坦克个性化设定!$B$18:$BC$48,MATCH(Q$3,坦克个性化设定!$B$18:$BC$18,0),FALSE)</f>
        <v>0.8</v>
      </c>
      <c r="R27" s="2">
        <f>VLOOKUP($B27,坦克个性化设定!$B$18:$BC$48,MATCH(R$3,坦克个性化设定!$B$18:$BC$18,0),FALSE)</f>
        <v>0</v>
      </c>
      <c r="S27" s="34">
        <f>VLOOKUP($B27,坦克个性化设定!$B$51:$T$81,MATCH(S$3,坦克个性化设定!$B$51:$T$51,0),FALSE)</f>
        <v>3</v>
      </c>
      <c r="T27" s="34">
        <f>VLOOKUP($B27,坦克个性化设定!$B$51:$T$81,MATCH(T$3,坦克个性化设定!$B$51:$T$51,0),FALSE)</f>
        <v>3</v>
      </c>
      <c r="U27" s="34">
        <f>VLOOKUP($B27,坦克个性化设定!$B$18:$BC$48,MATCH(U$3,坦克个性化设定!$B$18:$BC$18,0),FALSE)</f>
        <v>0.62</v>
      </c>
      <c r="V27" s="2">
        <f>VLOOKUP($B27,坦克个性化设定!$B$18:$BC$48,MATCH(V$3,坦克个性化设定!$B$18:$BC$18,0),FALSE)</f>
        <v>1</v>
      </c>
      <c r="W27" s="2">
        <f>VLOOKUP($B27,坦克个性化设定!$B$18:$BC$48,MATCH(W$3,坦克个性化设定!$B$18:$BC$18,0),FALSE)</f>
        <v>5</v>
      </c>
      <c r="X27" s="2">
        <f>VLOOKUP($B27,坦克个性化设定!$B$18:$BC$48,MATCH(X$3,坦克个性化设定!$B$18:$BC$18,0),FALSE)</f>
        <v>0.5</v>
      </c>
      <c r="Y27" s="34">
        <f>VLOOKUP($B27,坦克个性化设定!$B$18:$BC$48,MATCH(Y$3,坦克个性化设定!$B$18:$BC$18,0),FALSE)</f>
        <v>7.669995017484621</v>
      </c>
      <c r="Z27" s="34">
        <f>VLOOKUP($B27,坦克个性化设定!$B$18:$BC$48,MATCH(Z$3,坦克个性化设定!$B$18:$BC$18,0),FALSE)</f>
        <v>47.93746885927888</v>
      </c>
      <c r="AA27" s="34">
        <f>VLOOKUP($B27,坦克个性化设定!$B$18:$BC$48,MATCH(AA$3,坦克个性化设定!$B$18:$BC$18,0),FALSE)</f>
        <v>3.1</v>
      </c>
      <c r="AB27" s="34">
        <f>VLOOKUP($B27,坦克个性化设定!$B$18:$BC$48,MATCH(AB$3,坦克个性化设定!$B$18:$BC$18,0),FALSE)</f>
        <v>6.3</v>
      </c>
      <c r="AC27" s="34">
        <f>VLOOKUP($B27,坦克个性化设定!$B$18:$BC$48,MATCH(AC$3,坦克个性化设定!$B$18:$BC$18,0),FALSE)</f>
        <v>3.8888888888888888</v>
      </c>
      <c r="AD27" s="34">
        <f>VLOOKUP($B27,坦克个性化设定!$B$18:$BC$48,MATCH(AD$3,坦克个性化设定!$B$18:$BC$18,0),FALSE)</f>
        <v>2</v>
      </c>
      <c r="AE27" s="34">
        <f>VLOOKUP($B27,坦克个性化设定!$B$18:$BC$48,MATCH(AE$3,坦克个性化设定!$B$18:$BC$18,0),FALSE)</f>
        <v>1.24</v>
      </c>
      <c r="AF27" s="2">
        <f>VLOOKUP($B27,坦克个性化设定!$B$18:$BC$48,MATCH(AF$3,坦克个性化设定!$B$18:$BC$18,0),FALSE)</f>
        <v>0.2</v>
      </c>
      <c r="AG27" s="2">
        <f>VLOOKUP($B27,坦克个性化设定!$B$18:$BC$48,MATCH(AG$3,坦克个性化设定!$B$18:$BC$18,0),FALSE)</f>
        <v>5</v>
      </c>
      <c r="AH27" s="2">
        <f>VLOOKUP($B27,坦克个性化设定!$B$18:$BC$48,MATCH(AH$3,坦克个性化设定!$B$18:$BC$18,0),FALSE)</f>
        <v>10</v>
      </c>
      <c r="AI27" s="2">
        <f>VLOOKUP(B27,坦克个性化细分!$I$3:$P$33,3,FALSE)</f>
        <v>30.7</v>
      </c>
      <c r="AJ27" s="2">
        <f>VLOOKUP(B27,坦克个性化细分!$I$3:$P$33,5,FALSE)</f>
        <v>33.6</v>
      </c>
      <c r="AK27" s="2">
        <f>VLOOKUP(B27,坦克个性化细分!$I$3:$P$33,7,FALSE)</f>
        <v>6.3</v>
      </c>
      <c r="AL27" s="2">
        <f>VLOOKUP($B27,坦克个性化设定!$G$84:$T$114,MATCH(AL$3,坦克个性化设定!$G$84:$T$84,0),FALSE)</f>
        <v>1</v>
      </c>
      <c r="AM27" s="2">
        <f>VLOOKUP($B27,坦克个性化细分!$E$3:$G$33,2,FALSE)</f>
        <v>6</v>
      </c>
      <c r="AN27" s="2">
        <f>VLOOKUP($B27,坦克个性化细分!$E$3:$G$33,3,FALSE)</f>
        <v>0</v>
      </c>
      <c r="AO27" s="34">
        <f t="shared" si="0"/>
        <v>3</v>
      </c>
      <c r="AP27" s="33">
        <f t="shared" ca="1" si="1"/>
        <v>1354</v>
      </c>
      <c r="AQ27" s="33">
        <f t="shared" ca="1" si="2"/>
        <v>611</v>
      </c>
      <c r="AR27" s="33">
        <f t="shared" ca="1" si="3"/>
        <v>186</v>
      </c>
      <c r="AS27" s="33">
        <f t="shared" ca="1" si="4"/>
        <v>465</v>
      </c>
      <c r="AT27" s="33">
        <f t="shared" ca="1" si="5"/>
        <v>622</v>
      </c>
      <c r="AU27" s="33">
        <f t="shared" ca="1" si="6"/>
        <v>135</v>
      </c>
      <c r="AV27" s="33">
        <f t="shared" si="12"/>
        <v>0</v>
      </c>
      <c r="AW27" s="33">
        <f t="shared" si="13"/>
        <v>0</v>
      </c>
      <c r="AX27" s="33">
        <f t="shared" si="14"/>
        <v>0</v>
      </c>
      <c r="AY27" s="2">
        <f t="shared" si="7"/>
        <v>1</v>
      </c>
      <c r="AZ27" s="2">
        <f>基础属性系数!$E$61</f>
        <v>0</v>
      </c>
      <c r="BA27" s="2">
        <v>50</v>
      </c>
      <c r="BB27" s="2">
        <v>10</v>
      </c>
      <c r="BC27" s="2">
        <f>VLOOKUP($B27,坦克类型系数!$B$3:$R$33,MATCH(BC$3,坦克类型系数!$B$3:$R$3,0),FALSE)</f>
        <v>0</v>
      </c>
      <c r="BD27" s="2">
        <f>VLOOKUP($B27,坦克类型系数!$B$3:$R$33,MATCH(BD$3,坦克类型系数!$B$3:$R$3,0),FALSE)</f>
        <v>2.65</v>
      </c>
      <c r="BE27" s="2">
        <f>VLOOKUP($B27,坦克类型系数!$B$3:$R$33,MATCH(BE$3,坦克类型系数!$B$3:$R$3,0),FALSE)</f>
        <v>2.1</v>
      </c>
      <c r="BF27" s="2">
        <f>VLOOKUP($B27,坦克类型系数!$B$3:$R$33,MATCH(BF$3,坦克类型系数!$B$3:$R$3,0),FALSE)</f>
        <v>2.1</v>
      </c>
      <c r="BG27" s="2">
        <f>VLOOKUP($B27,坦克类型系数!$B$3:$R$33,MATCH(BG$3,坦克类型系数!$B$3:$R$3,0),FALSE)</f>
        <v>0.9</v>
      </c>
      <c r="BH27" s="2">
        <f>VLOOKUP($B27,坦克类型系数!$B$3:$R$33,MATCH(BH$3,坦克类型系数!$B$3:$R$3,0),FALSE)</f>
        <v>0.9</v>
      </c>
      <c r="BI27" s="2">
        <f>VLOOKUP($B27,坦克类型系数!$B$3:$R$33,MATCH(BI$3,坦克类型系数!$B$3:$R$3,0),FALSE)</f>
        <v>0.85</v>
      </c>
      <c r="BJ27" s="25"/>
      <c r="BK27" s="25"/>
      <c r="BL27" s="25"/>
      <c r="BM27" s="1" t="s">
        <v>1215</v>
      </c>
      <c r="BN27" s="2" t="str">
        <f t="shared" si="8"/>
        <v>黑豹</v>
      </c>
      <c r="BO27" s="2" t="str">
        <f>VLOOKUP(BN27,坦克个性化设定!$B$18:$E$48,MATCH(BO$3,坦克个性化设定!$B$18:$E$18,0),FALSE)</f>
        <v>T3</v>
      </c>
      <c r="BP27" s="2" t="str">
        <f t="shared" si="9"/>
        <v>低</v>
      </c>
      <c r="BQ27" s="2" t="s">
        <v>777</v>
      </c>
      <c r="BR27" s="2"/>
      <c r="BS27" s="42">
        <f ca="1">VLOOKUP($BN27&amp;$BQ27,坦克标准养成属性!$S$3:$AE$63,MATCH(BS$3,坦克标准养成属性!$S$3:$AE$3,0),FALSE)</f>
        <v>1354.1364737874223</v>
      </c>
      <c r="BT27" s="42">
        <f ca="1">VLOOKUP($BN27&amp;$BQ27,坦克标准养成属性!$S$3:$AE$63,MATCH(BT$3,坦克标准养成属性!$S$3:$AE$3,0),FALSE)</f>
        <v>610.76414084525641</v>
      </c>
      <c r="BU27" s="42">
        <f ca="1">VLOOKUP($BN27&amp;$BQ27,坦克标准养成属性!$S$3:$AE$63,MATCH(BU$3,坦克标准养成属性!$S$3:$AE$3,0),FALSE)</f>
        <v>186</v>
      </c>
      <c r="BV27" s="42">
        <f ca="1">VLOOKUP($BN27&amp;$BQ27,坦克标准养成属性!$S$3:$AE$63,MATCH(BV$3,坦克标准养成属性!$S$3:$AE$3,0),FALSE)</f>
        <v>465</v>
      </c>
      <c r="BW27" s="42">
        <f ca="1">VLOOKUP($BN27&amp;$BQ27,坦克标准养成属性!$S$3:$AE$63,MATCH(BW$3,坦克标准养成属性!$S$3:$AE$3,0),FALSE)</f>
        <v>622</v>
      </c>
      <c r="BX27" s="42">
        <f ca="1">VLOOKUP($BN27&amp;$BQ27,坦克标准养成属性!$S$3:$AE$63,MATCH(BX$3,坦克标准养成属性!$S$3:$AE$3,0),FALSE)</f>
        <v>135</v>
      </c>
      <c r="BY27" s="2">
        <f>IFERROR((VLOOKUP(LEFT(BR27,1)*1,坦克部件!$N$3:$W$9,MATCH("升星属性",坦克部件!$N$3:$W$3,0),FALSE)+VLOOKUP(RIGHT(BR27,1)*1,坦克部件!$Y$3:$AC$38,MATCH("累计属性",坦克部件!$Y$3:$AC$3,0),FALSE))*2,0)</f>
        <v>0</v>
      </c>
      <c r="BZ27" s="42">
        <f t="shared" si="15"/>
        <v>0</v>
      </c>
      <c r="CA27" s="42">
        <f t="shared" si="16"/>
        <v>0</v>
      </c>
    </row>
    <row r="28" spans="2:79" x14ac:dyDescent="0.3">
      <c r="B28" s="2" t="str">
        <f>坦克个性化设定!B43</f>
        <v>虎式</v>
      </c>
      <c r="C28" s="2" t="str">
        <f>VLOOKUP(B28,坦克个性化设定!$B$18:$E$48,4,FALSE)</f>
        <v>T3</v>
      </c>
      <c r="D28" s="2" t="str">
        <f>坦克个性化细分!J28</f>
        <v>中</v>
      </c>
      <c r="E28" s="2" t="str">
        <f t="shared" si="17"/>
        <v>T3中0</v>
      </c>
      <c r="F28" s="2" t="str">
        <f>VLOOKUP($B28,坦克个性化设定!$B$18:$BC$48,MATCH(F$3,坦克个性化设定!$B$18:$BC$18,0),FALSE)</f>
        <v>重坦</v>
      </c>
      <c r="G28" s="2" t="str">
        <f>VLOOKUP($B28,坦克个性化设定!$B$18:$BC$48,MATCH(G$3,坦克个性化设定!$B$18:$BC$18,0),FALSE)</f>
        <v>重坦单发</v>
      </c>
      <c r="H28" s="2" t="str">
        <f t="shared" si="11"/>
        <v>单发装弹</v>
      </c>
      <c r="I28" s="2">
        <f>VLOOKUP($B28,坦克个性化设定!$B$18:$BC$48,MATCH(I$3,坦克个性化设定!$B$18:$BC$18,0),FALSE)</f>
        <v>6.1</v>
      </c>
      <c r="J28" s="2">
        <f>VLOOKUP($B28,坦克个性化设定!$B$18:$BC$48,MATCH(J$3,坦克个性化设定!$B$18:$BC$18,0),FALSE)</f>
        <v>3.48</v>
      </c>
      <c r="K28" s="2">
        <f>VLOOKUP($B28,坦克个性化设定!$B$18:$BC$48,MATCH(K$3,坦克个性化设定!$B$18:$BC$18,0),FALSE)</f>
        <v>0.3</v>
      </c>
      <c r="L28" s="34">
        <f>VLOOKUP($B28,坦克个性化设定!$B$18:$BC$48,MATCH(L$3,坦克个性化设定!$B$18:$BC$18,0),FALSE)</f>
        <v>1.3421103201592517</v>
      </c>
      <c r="M28" s="34">
        <f>VLOOKUP($B28,坦克个性化设定!$B$18:$BC$48,MATCH(M$3,坦克个性化设定!$B$18:$BC$18,0),FALSE)</f>
        <v>10.769230769230768</v>
      </c>
      <c r="N28" s="34">
        <f>VLOOKUP($B28,坦克个性化设定!$B$18:$BC$48,MATCH(N$3,坦克个性化设定!$B$18:$BC$18,0),FALSE)</f>
        <v>17.5</v>
      </c>
      <c r="O28" s="2">
        <f>VLOOKUP($B28,坦克个性化设定!$B$18:$BC$48,MATCH(O$3,坦克个性化设定!$B$18:$BC$18,0),FALSE)</f>
        <v>0.8</v>
      </c>
      <c r="P28" s="2">
        <f>VLOOKUP($B28,坦克个性化设定!$B$18:$BC$48,MATCH(P$3,坦克个性化设定!$B$18:$BC$18,0),FALSE)</f>
        <v>0.8</v>
      </c>
      <c r="Q28" s="2">
        <f>VLOOKUP($B28,坦克个性化设定!$B$18:$BC$48,MATCH(Q$3,坦克个性化设定!$B$18:$BC$18,0),FALSE)</f>
        <v>0.8</v>
      </c>
      <c r="R28" s="2">
        <f>VLOOKUP($B28,坦克个性化设定!$B$18:$BC$48,MATCH(R$3,坦克个性化设定!$B$18:$BC$18,0),FALSE)</f>
        <v>0</v>
      </c>
      <c r="S28" s="34">
        <f>VLOOKUP($B28,坦克个性化设定!$B$51:$T$81,MATCH(S$3,坦克个性化设定!$B$51:$T$51,0),FALSE)</f>
        <v>3</v>
      </c>
      <c r="T28" s="34">
        <f>VLOOKUP($B28,坦克个性化设定!$B$51:$T$81,MATCH(T$3,坦克个性化设定!$B$51:$T$51,0),FALSE)</f>
        <v>3</v>
      </c>
      <c r="U28" s="34">
        <f>VLOOKUP($B28,坦克个性化设定!$B$18:$BC$48,MATCH(U$3,坦克个性化设定!$B$18:$BC$18,0),FALSE)</f>
        <v>0.68</v>
      </c>
      <c r="V28" s="2">
        <f>VLOOKUP($B28,坦克个性化设定!$B$18:$BC$48,MATCH(V$3,坦克个性化设定!$B$18:$BC$18,0),FALSE)</f>
        <v>1</v>
      </c>
      <c r="W28" s="2">
        <f>VLOOKUP($B28,坦克个性化设定!$B$18:$BC$48,MATCH(W$3,坦克个性化设定!$B$18:$BC$18,0),FALSE)</f>
        <v>5</v>
      </c>
      <c r="X28" s="2">
        <f>VLOOKUP($B28,坦克个性化设定!$B$18:$BC$48,MATCH(X$3,坦克个性化设定!$B$18:$BC$18,0),FALSE)</f>
        <v>0.5</v>
      </c>
      <c r="Y28" s="34">
        <f>VLOOKUP($B28,坦克个性化设定!$B$18:$BC$48,MATCH(Y$3,坦克个性化设定!$B$18:$BC$18,0),FALSE)</f>
        <v>7.669995017484621</v>
      </c>
      <c r="Z28" s="34">
        <f>VLOOKUP($B28,坦克个性化设定!$B$18:$BC$48,MATCH(Z$3,坦克个性化设定!$B$18:$BC$18,0),FALSE)</f>
        <v>47.93746885927888</v>
      </c>
      <c r="AA28" s="34">
        <f>VLOOKUP($B28,坦克个性化设定!$B$18:$BC$48,MATCH(AA$3,坦克个性化设定!$B$18:$BC$18,0),FALSE)</f>
        <v>3.1</v>
      </c>
      <c r="AB28" s="34">
        <f>VLOOKUP($B28,坦克个性化设定!$B$18:$BC$48,MATCH(AB$3,坦克个性化设定!$B$18:$BC$18,0),FALSE)</f>
        <v>6.3</v>
      </c>
      <c r="AC28" s="34">
        <f>VLOOKUP($B28,坦克个性化设定!$B$18:$BC$48,MATCH(AC$3,坦克个性化设定!$B$18:$BC$18,0),FALSE)</f>
        <v>3.8888888888888888</v>
      </c>
      <c r="AD28" s="34">
        <f>VLOOKUP($B28,坦克个性化设定!$B$18:$BC$48,MATCH(AD$3,坦克个性化设定!$B$18:$BC$18,0),FALSE)</f>
        <v>2</v>
      </c>
      <c r="AE28" s="34">
        <f>VLOOKUP($B28,坦克个性化设定!$B$18:$BC$48,MATCH(AE$3,坦克个性化设定!$B$18:$BC$18,0),FALSE)</f>
        <v>1.24</v>
      </c>
      <c r="AF28" s="2">
        <f>VLOOKUP($B28,坦克个性化设定!$B$18:$BC$48,MATCH(AF$3,坦克个性化设定!$B$18:$BC$18,0),FALSE)</f>
        <v>0.2</v>
      </c>
      <c r="AG28" s="2">
        <f>VLOOKUP($B28,坦克个性化设定!$B$18:$BC$48,MATCH(AG$3,坦克个性化设定!$B$18:$BC$18,0),FALSE)</f>
        <v>5</v>
      </c>
      <c r="AH28" s="2">
        <f>VLOOKUP($B28,坦克个性化设定!$B$18:$BC$48,MATCH(AH$3,坦克个性化设定!$B$18:$BC$18,0),FALSE)</f>
        <v>10</v>
      </c>
      <c r="AI28" s="2">
        <f>VLOOKUP(B28,坦克个性化细分!$I$3:$P$33,3,FALSE)</f>
        <v>31.3</v>
      </c>
      <c r="AJ28" s="2">
        <f>VLOOKUP(B28,坦克个性化细分!$I$3:$P$33,5,FALSE)</f>
        <v>35.700000000000003</v>
      </c>
      <c r="AK28" s="2">
        <f>VLOOKUP(B28,坦克个性化细分!$I$3:$P$33,7,FALSE)</f>
        <v>6.4</v>
      </c>
      <c r="AL28" s="2">
        <f>VLOOKUP($B28,坦克个性化设定!$G$84:$T$114,MATCH(AL$3,坦克个性化设定!$G$84:$T$84,0),FALSE)</f>
        <v>1</v>
      </c>
      <c r="AM28" s="2">
        <f>VLOOKUP($B28,坦克个性化细分!$E$3:$G$33,2,FALSE)</f>
        <v>6</v>
      </c>
      <c r="AN28" s="2">
        <f>VLOOKUP($B28,坦克个性化细分!$E$3:$G$33,3,FALSE)</f>
        <v>0</v>
      </c>
      <c r="AO28" s="34">
        <f t="shared" si="0"/>
        <v>3</v>
      </c>
      <c r="AP28" s="33">
        <f t="shared" ca="1" si="1"/>
        <v>1354</v>
      </c>
      <c r="AQ28" s="33">
        <f t="shared" ca="1" si="2"/>
        <v>662</v>
      </c>
      <c r="AR28" s="33">
        <f t="shared" ca="1" si="3"/>
        <v>194</v>
      </c>
      <c r="AS28" s="33">
        <f t="shared" ca="1" si="4"/>
        <v>484</v>
      </c>
      <c r="AT28" s="33">
        <f t="shared" ca="1" si="5"/>
        <v>647</v>
      </c>
      <c r="AU28" s="33">
        <f t="shared" ca="1" si="6"/>
        <v>140</v>
      </c>
      <c r="AV28" s="33">
        <f t="shared" si="12"/>
        <v>0</v>
      </c>
      <c r="AW28" s="33">
        <f t="shared" si="13"/>
        <v>0</v>
      </c>
      <c r="AX28" s="33">
        <f t="shared" si="14"/>
        <v>0</v>
      </c>
      <c r="AY28" s="2">
        <f t="shared" si="7"/>
        <v>1</v>
      </c>
      <c r="AZ28" s="2">
        <f>基础属性系数!$E$61</f>
        <v>0</v>
      </c>
      <c r="BA28" s="2">
        <v>50</v>
      </c>
      <c r="BB28" s="2">
        <v>10</v>
      </c>
      <c r="BC28" s="2">
        <f>VLOOKUP($B28,坦克类型系数!$B$3:$R$33,MATCH(BC$3,坦克类型系数!$B$3:$R$3,0),FALSE)</f>
        <v>0</v>
      </c>
      <c r="BD28" s="2">
        <f>VLOOKUP($B28,坦克类型系数!$B$3:$R$33,MATCH(BD$3,坦克类型系数!$B$3:$R$3,0),FALSE)</f>
        <v>2.4</v>
      </c>
      <c r="BE28" s="2">
        <f>VLOOKUP($B28,坦克类型系数!$B$3:$R$33,MATCH(BE$3,坦克类型系数!$B$3:$R$3,0),FALSE)</f>
        <v>1.95</v>
      </c>
      <c r="BF28" s="2">
        <f>VLOOKUP($B28,坦克类型系数!$B$3:$R$33,MATCH(BF$3,坦克类型系数!$B$3:$R$3,0),FALSE)</f>
        <v>1.95</v>
      </c>
      <c r="BG28" s="2">
        <f>VLOOKUP($B28,坦克类型系数!$B$3:$R$33,MATCH(BG$3,坦克类型系数!$B$3:$R$3,0),FALSE)</f>
        <v>0.9</v>
      </c>
      <c r="BH28" s="2">
        <f>VLOOKUP($B28,坦克类型系数!$B$3:$R$33,MATCH(BH$3,坦克类型系数!$B$3:$R$3,0),FALSE)</f>
        <v>0.9</v>
      </c>
      <c r="BI28" s="2">
        <f>VLOOKUP($B28,坦克类型系数!$B$3:$R$33,MATCH(BI$3,坦克类型系数!$B$3:$R$3,0),FALSE)</f>
        <v>0.85</v>
      </c>
      <c r="BJ28" s="25"/>
      <c r="BK28" s="25"/>
      <c r="BL28" s="25"/>
      <c r="BM28" s="1" t="s">
        <v>1215</v>
      </c>
      <c r="BN28" s="2" t="str">
        <f t="shared" si="8"/>
        <v>虎式</v>
      </c>
      <c r="BO28" s="2" t="str">
        <f>VLOOKUP(BN28,坦克个性化设定!$B$18:$E$48,MATCH(BO$3,坦克个性化设定!$B$18:$E$18,0),FALSE)</f>
        <v>T3</v>
      </c>
      <c r="BP28" s="2" t="str">
        <f t="shared" si="9"/>
        <v>中</v>
      </c>
      <c r="BQ28" s="2" t="s">
        <v>777</v>
      </c>
      <c r="BR28" s="2"/>
      <c r="BS28" s="42">
        <f ca="1">VLOOKUP($BN28&amp;$BQ28,坦克标准养成属性!$S$3:$AE$63,MATCH(BS$3,坦克标准养成属性!$S$3:$AE$3,0),FALSE)</f>
        <v>1353.6895664187839</v>
      </c>
      <c r="BT28" s="42">
        <f ca="1">VLOOKUP($BN28&amp;$BQ28,坦克标准养成属性!$S$3:$AE$63,MATCH(BT$3,坦克标准养成属性!$S$3:$AE$3,0),FALSE)</f>
        <v>661.80461327634021</v>
      </c>
      <c r="BU28" s="42">
        <f ca="1">VLOOKUP($BN28&amp;$BQ28,坦克标准养成属性!$S$3:$AE$63,MATCH(BU$3,坦克标准养成属性!$S$3:$AE$3,0),FALSE)</f>
        <v>194</v>
      </c>
      <c r="BV28" s="42">
        <f ca="1">VLOOKUP($BN28&amp;$BQ28,坦克标准养成属性!$S$3:$AE$63,MATCH(BV$3,坦克标准养成属性!$S$3:$AE$3,0),FALSE)</f>
        <v>484</v>
      </c>
      <c r="BW28" s="42">
        <f ca="1">VLOOKUP($BN28&amp;$BQ28,坦克标准养成属性!$S$3:$AE$63,MATCH(BW$3,坦克标准养成属性!$S$3:$AE$3,0),FALSE)</f>
        <v>647</v>
      </c>
      <c r="BX28" s="42">
        <f ca="1">VLOOKUP($BN28&amp;$BQ28,坦克标准养成属性!$S$3:$AE$63,MATCH(BX$3,坦克标准养成属性!$S$3:$AE$3,0),FALSE)</f>
        <v>140</v>
      </c>
      <c r="BY28" s="2">
        <f>IFERROR((VLOOKUP(LEFT(BR28,1)*1,坦克部件!$N$3:$W$9,MATCH("升星属性",坦克部件!$N$3:$W$3,0),FALSE)+VLOOKUP(RIGHT(BR28,1)*1,坦克部件!$Y$3:$AC$38,MATCH("累计属性",坦克部件!$Y$3:$AC$3,0),FALSE))*2,0)</f>
        <v>0</v>
      </c>
      <c r="BZ28" s="42">
        <f t="shared" si="15"/>
        <v>0</v>
      </c>
      <c r="CA28" s="42">
        <f t="shared" si="16"/>
        <v>0</v>
      </c>
    </row>
    <row r="29" spans="2:79" x14ac:dyDescent="0.3">
      <c r="B29" s="2" t="str">
        <f>坦克个性化设定!B44</f>
        <v>KV-2</v>
      </c>
      <c r="C29" s="2" t="str">
        <f>VLOOKUP(B29,坦克个性化设定!$B$18:$E$48,4,FALSE)</f>
        <v>T3</v>
      </c>
      <c r="D29" s="2" t="str">
        <f>坦克个性化细分!J29</f>
        <v>高</v>
      </c>
      <c r="E29" s="2" t="str">
        <f t="shared" si="17"/>
        <v>T3高0</v>
      </c>
      <c r="F29" s="2" t="str">
        <f>VLOOKUP($B29,坦克个性化设定!$B$18:$BC$48,MATCH(F$3,坦克个性化设定!$B$18:$BC$18,0),FALSE)</f>
        <v>重坦</v>
      </c>
      <c r="G29" s="2" t="str">
        <f>VLOOKUP($B29,坦克个性化设定!$B$18:$BC$48,MATCH(G$3,坦克个性化设定!$B$18:$BC$18,0),FALSE)</f>
        <v>重坦自动</v>
      </c>
      <c r="H29" s="2" t="str">
        <f t="shared" si="11"/>
        <v>自动装弹</v>
      </c>
      <c r="I29" s="2">
        <f>VLOOKUP($B29,坦克个性化设定!$B$18:$BC$48,MATCH(I$3,坦克个性化设定!$B$18:$BC$18,0),FALSE)</f>
        <v>6.54</v>
      </c>
      <c r="J29" s="2">
        <f>VLOOKUP($B29,坦克个性化设定!$B$18:$BC$48,MATCH(J$3,坦克个性化设定!$B$18:$BC$18,0),FALSE)</f>
        <v>3.23</v>
      </c>
      <c r="K29" s="2">
        <f>VLOOKUP($B29,坦克个性化设定!$B$18:$BC$48,MATCH(K$3,坦克个性化设定!$B$18:$BC$18,0),FALSE)</f>
        <v>0.3</v>
      </c>
      <c r="L29" s="34">
        <f>VLOOKUP($B29,坦克个性化设定!$B$18:$BC$48,MATCH(L$3,坦克个性化设定!$B$18:$BC$18,0),FALSE)</f>
        <v>1.3421103201592517</v>
      </c>
      <c r="M29" s="34">
        <f>VLOOKUP($B29,坦克个性化设定!$B$18:$BC$48,MATCH(M$3,坦克个性化设定!$B$18:$BC$18,0),FALSE)</f>
        <v>10.769230769230768</v>
      </c>
      <c r="N29" s="34">
        <f>VLOOKUP($B29,坦克个性化设定!$B$18:$BC$48,MATCH(N$3,坦克个性化设定!$B$18:$BC$18,0),FALSE)</f>
        <v>17.5</v>
      </c>
      <c r="O29" s="2">
        <f>VLOOKUP($B29,坦克个性化设定!$B$18:$BC$48,MATCH(O$3,坦克个性化设定!$B$18:$BC$18,0),FALSE)</f>
        <v>0.8</v>
      </c>
      <c r="P29" s="2">
        <f>VLOOKUP($B29,坦克个性化设定!$B$18:$BC$48,MATCH(P$3,坦克个性化设定!$B$18:$BC$18,0),FALSE)</f>
        <v>0.8</v>
      </c>
      <c r="Q29" s="2">
        <f>VLOOKUP($B29,坦克个性化设定!$B$18:$BC$48,MATCH(Q$3,坦克个性化设定!$B$18:$BC$18,0),FALSE)</f>
        <v>0.8</v>
      </c>
      <c r="R29" s="2">
        <f>VLOOKUP($B29,坦克个性化设定!$B$18:$BC$48,MATCH(R$3,坦克个性化设定!$B$18:$BC$18,0),FALSE)</f>
        <v>2</v>
      </c>
      <c r="S29" s="34">
        <f>VLOOKUP($B29,坦克个性化设定!$B$51:$T$81,MATCH(S$3,坦克个性化设定!$B$51:$T$51,0),FALSE)</f>
        <v>1.7999999999999998</v>
      </c>
      <c r="T29" s="34">
        <f>VLOOKUP($B29,坦克个性化设定!$B$51:$T$81,MATCH(T$3,坦克个性化设定!$B$51:$T$51,0),FALSE)</f>
        <v>2.7</v>
      </c>
      <c r="U29" s="34">
        <f>VLOOKUP($B29,坦克个性化设定!$B$18:$BC$48,MATCH(U$3,坦克个性化设定!$B$18:$BC$18,0),FALSE)</f>
        <v>0.81</v>
      </c>
      <c r="V29" s="2">
        <f>VLOOKUP($B29,坦克个性化设定!$B$18:$BC$48,MATCH(V$3,坦克个性化设定!$B$18:$BC$18,0),FALSE)</f>
        <v>1.2</v>
      </c>
      <c r="W29" s="2">
        <f>VLOOKUP($B29,坦克个性化设定!$B$18:$BC$48,MATCH(W$3,坦克个性化设定!$B$18:$BC$18,0),FALSE)</f>
        <v>3</v>
      </c>
      <c r="X29" s="2">
        <f>VLOOKUP($B29,坦克个性化设定!$B$18:$BC$48,MATCH(X$3,坦克个性化设定!$B$18:$BC$18,0),FALSE)</f>
        <v>0.5</v>
      </c>
      <c r="Y29" s="34">
        <f>VLOOKUP($B29,坦克个性化设定!$B$18:$BC$48,MATCH(Y$3,坦克个性化设定!$B$18:$BC$18,0),FALSE)</f>
        <v>9.587493771855776</v>
      </c>
      <c r="Z29" s="34">
        <f>VLOOKUP($B29,坦克个性化设定!$B$18:$BC$48,MATCH(Z$3,坦克个性化设定!$B$18:$BC$18,0),FALSE)</f>
        <v>47.93746885927888</v>
      </c>
      <c r="AA29" s="34">
        <f>VLOOKUP($B29,坦克个性化设定!$B$18:$BC$48,MATCH(AA$3,坦克个性化设定!$B$18:$BC$18,0),FALSE)</f>
        <v>1.8599999999999999</v>
      </c>
      <c r="AB29" s="34">
        <f>VLOOKUP($B29,坦克个性化设定!$B$18:$BC$48,MATCH(AB$3,坦克个性化设定!$B$18:$BC$18,0),FALSE)</f>
        <v>7</v>
      </c>
      <c r="AC29" s="34">
        <f>VLOOKUP($B29,坦克个性化设定!$B$18:$BC$48,MATCH(AC$3,坦克个性化设定!$B$18:$BC$18,0),FALSE)</f>
        <v>3.8888888888888888</v>
      </c>
      <c r="AD29" s="34">
        <f>VLOOKUP($B29,坦克个性化设定!$B$18:$BC$48,MATCH(AD$3,坦克个性化设定!$B$18:$BC$18,0),FALSE)</f>
        <v>2</v>
      </c>
      <c r="AE29" s="34">
        <f>VLOOKUP($B29,坦克个性化设定!$B$18:$BC$48,MATCH(AE$3,坦克个性化设定!$B$18:$BC$18,0),FALSE)</f>
        <v>0.62</v>
      </c>
      <c r="AF29" s="2">
        <f>VLOOKUP($B29,坦克个性化设定!$B$18:$BC$48,MATCH(AF$3,坦克个性化设定!$B$18:$BC$18,0),FALSE)</f>
        <v>0.2</v>
      </c>
      <c r="AG29" s="2">
        <f>VLOOKUP($B29,坦克个性化设定!$B$18:$BC$48,MATCH(AG$3,坦克个性化设定!$B$18:$BC$18,0),FALSE)</f>
        <v>5</v>
      </c>
      <c r="AH29" s="2">
        <f>VLOOKUP($B29,坦克个性化设定!$B$18:$BC$48,MATCH(AH$3,坦克个性化设定!$B$18:$BC$18,0),FALSE)</f>
        <v>10</v>
      </c>
      <c r="AI29" s="2">
        <f>VLOOKUP(B29,坦克个性化细分!$I$3:$P$33,3,FALSE)</f>
        <v>40.299999999999997</v>
      </c>
      <c r="AJ29" s="2">
        <f>VLOOKUP(B29,坦克个性化细分!$I$3:$P$33,5,FALSE)</f>
        <v>29.4</v>
      </c>
      <c r="AK29" s="2">
        <f>VLOOKUP(B29,坦克个性化细分!$I$3:$P$33,7,FALSE)</f>
        <v>7.4</v>
      </c>
      <c r="AL29" s="2">
        <f>VLOOKUP($B29,坦克个性化设定!$G$84:$T$114,MATCH(AL$3,坦克个性化设定!$G$84:$T$84,0),FALSE)</f>
        <v>2</v>
      </c>
      <c r="AM29" s="2">
        <f>VLOOKUP($B29,坦克个性化细分!$E$3:$G$33,2,FALSE)</f>
        <v>4.05</v>
      </c>
      <c r="AN29" s="2">
        <f>VLOOKUP($B29,坦克个性化细分!$E$3:$G$33,3,FALSE)</f>
        <v>0</v>
      </c>
      <c r="AO29" s="34">
        <f t="shared" si="0"/>
        <v>2.2500000000000004</v>
      </c>
      <c r="AP29" s="33">
        <f t="shared" ca="1" si="1"/>
        <v>1379</v>
      </c>
      <c r="AQ29" s="33">
        <f t="shared" ca="1" si="2"/>
        <v>448</v>
      </c>
      <c r="AR29" s="33">
        <f t="shared" ca="1" si="3"/>
        <v>176</v>
      </c>
      <c r="AS29" s="33">
        <f t="shared" ca="1" si="4"/>
        <v>440</v>
      </c>
      <c r="AT29" s="33">
        <f t="shared" ca="1" si="5"/>
        <v>647</v>
      </c>
      <c r="AU29" s="33">
        <f t="shared" ca="1" si="6"/>
        <v>140</v>
      </c>
      <c r="AV29" s="33">
        <f t="shared" si="12"/>
        <v>0</v>
      </c>
      <c r="AW29" s="33">
        <f t="shared" si="13"/>
        <v>0</v>
      </c>
      <c r="AX29" s="33">
        <f t="shared" si="14"/>
        <v>0</v>
      </c>
      <c r="AY29" s="2">
        <f t="shared" si="7"/>
        <v>6</v>
      </c>
      <c r="AZ29" s="2">
        <f>基础属性系数!$E$61</f>
        <v>0</v>
      </c>
      <c r="BA29" s="2">
        <v>50</v>
      </c>
      <c r="BB29" s="2">
        <v>10</v>
      </c>
      <c r="BC29" s="2">
        <f>VLOOKUP($B29,坦克类型系数!$B$3:$R$33,MATCH(BC$3,坦克类型系数!$B$3:$R$3,0),FALSE)</f>
        <v>0</v>
      </c>
      <c r="BD29" s="2">
        <f>VLOOKUP($B29,坦克类型系数!$B$3:$R$33,MATCH(BD$3,坦克类型系数!$B$3:$R$3,0),FALSE)</f>
        <v>2.5</v>
      </c>
      <c r="BE29" s="2">
        <f>VLOOKUP($B29,坦克类型系数!$B$3:$R$33,MATCH(BE$3,坦克类型系数!$B$3:$R$3,0),FALSE)</f>
        <v>2</v>
      </c>
      <c r="BF29" s="2">
        <f>VLOOKUP($B29,坦克类型系数!$B$3:$R$33,MATCH(BF$3,坦克类型系数!$B$3:$R$3,0),FALSE)</f>
        <v>2</v>
      </c>
      <c r="BG29" s="2">
        <f>VLOOKUP($B29,坦克类型系数!$B$3:$R$33,MATCH(BG$3,坦克类型系数!$B$3:$R$3,0),FALSE)</f>
        <v>0.9</v>
      </c>
      <c r="BH29" s="2">
        <f>VLOOKUP($B29,坦克类型系数!$B$3:$R$33,MATCH(BH$3,坦克类型系数!$B$3:$R$3,0),FALSE)</f>
        <v>0.9</v>
      </c>
      <c r="BI29" s="2">
        <f>VLOOKUP($B29,坦克类型系数!$B$3:$R$33,MATCH(BI$3,坦克类型系数!$B$3:$R$3,0),FALSE)</f>
        <v>0.85</v>
      </c>
      <c r="BJ29" s="25"/>
      <c r="BK29" s="25"/>
      <c r="BL29" s="25"/>
      <c r="BM29" s="1" t="s">
        <v>1217</v>
      </c>
      <c r="BN29" s="2" t="str">
        <f t="shared" si="8"/>
        <v>KV-2</v>
      </c>
      <c r="BO29" s="2" t="str">
        <f>VLOOKUP(BN29,坦克个性化设定!$B$18:$E$48,MATCH(BO$3,坦克个性化设定!$B$18:$E$18,0),FALSE)</f>
        <v>T3</v>
      </c>
      <c r="BP29" s="2" t="str">
        <f t="shared" si="9"/>
        <v>高</v>
      </c>
      <c r="BQ29" s="2" t="s">
        <v>777</v>
      </c>
      <c r="BR29" s="2"/>
      <c r="BS29" s="42">
        <f ca="1">VLOOKUP($BN29&amp;$BQ29,坦克标准养成属性!$S$3:$AE$63,MATCH(BS$3,坦克标准养成属性!$S$3:$AE$3,0),FALSE)</f>
        <v>1379.4764466754302</v>
      </c>
      <c r="BT29" s="42">
        <f ca="1">VLOOKUP($BN29&amp;$BQ29,坦克标准养成属性!$S$3:$AE$63,MATCH(BT$3,坦克标准养成属性!$S$3:$AE$3,0),FALSE)</f>
        <v>447.55226702966968</v>
      </c>
      <c r="BU29" s="42">
        <f ca="1">VLOOKUP($BN29&amp;$BQ29,坦克标准养成属性!$S$3:$AE$63,MATCH(BU$3,坦克标准养成属性!$S$3:$AE$3,0),FALSE)</f>
        <v>176</v>
      </c>
      <c r="BV29" s="42">
        <f ca="1">VLOOKUP($BN29&amp;$BQ29,坦克标准养成属性!$S$3:$AE$63,MATCH(BV$3,坦克标准养成属性!$S$3:$AE$3,0),FALSE)</f>
        <v>440</v>
      </c>
      <c r="BW29" s="42">
        <f ca="1">VLOOKUP($BN29&amp;$BQ29,坦克标准养成属性!$S$3:$AE$63,MATCH(BW$3,坦克标准养成属性!$S$3:$AE$3,0),FALSE)</f>
        <v>647</v>
      </c>
      <c r="BX29" s="42">
        <f ca="1">VLOOKUP($BN29&amp;$BQ29,坦克标准养成属性!$S$3:$AE$63,MATCH(BX$3,坦克标准养成属性!$S$3:$AE$3,0),FALSE)</f>
        <v>140</v>
      </c>
      <c r="BY29" s="2">
        <f>IFERROR((VLOOKUP(LEFT(BR29,1)*1,坦克部件!$N$3:$W$9,MATCH("升星属性",坦克部件!$N$3:$W$3,0),FALSE)+VLOOKUP(RIGHT(BR29,1)*1,坦克部件!$Y$3:$AC$38,MATCH("累计属性",坦克部件!$Y$3:$AC$3,0),FALSE))*2,0)</f>
        <v>0</v>
      </c>
      <c r="BZ29" s="42">
        <f t="shared" si="15"/>
        <v>0</v>
      </c>
      <c r="CA29" s="42">
        <f t="shared" si="16"/>
        <v>0</v>
      </c>
    </row>
    <row r="30" spans="2:79" x14ac:dyDescent="0.3">
      <c r="B30" s="2" t="str">
        <f>坦克个性化设定!B45</f>
        <v>征服者</v>
      </c>
      <c r="C30" s="2" t="str">
        <f>VLOOKUP(B30,坦克个性化设定!$B$18:$E$48,4,FALSE)</f>
        <v>T4</v>
      </c>
      <c r="D30" s="2" t="str">
        <f>坦克个性化细分!J30</f>
        <v>低</v>
      </c>
      <c r="E30" s="2" t="str">
        <f t="shared" si="17"/>
        <v>T4低0</v>
      </c>
      <c r="F30" s="2" t="str">
        <f>VLOOKUP($B30,坦克个性化设定!$B$18:$BC$48,MATCH(F$3,坦克个性化设定!$B$18:$BC$18,0),FALSE)</f>
        <v>重坦</v>
      </c>
      <c r="G30" s="2" t="str">
        <f>VLOOKUP($B30,坦克个性化设定!$B$18:$BC$48,MATCH(G$3,坦克个性化设定!$B$18:$BC$18,0),FALSE)</f>
        <v>重坦单发</v>
      </c>
      <c r="H30" s="2" t="str">
        <f t="shared" si="11"/>
        <v>单发装弹</v>
      </c>
      <c r="I30" s="2">
        <f>VLOOKUP($B30,坦克个性化设定!$B$18:$BC$48,MATCH(I$3,坦克个性化设定!$B$18:$BC$18,0),FALSE)</f>
        <v>7.74</v>
      </c>
      <c r="J30" s="2">
        <f>VLOOKUP($B30,坦克个性化设定!$B$18:$BC$48,MATCH(J$3,坦克个性化设定!$B$18:$BC$18,0),FALSE)</f>
        <v>4.0199999999999996</v>
      </c>
      <c r="K30" s="2">
        <f>VLOOKUP($B30,坦克个性化设定!$B$18:$BC$48,MATCH(K$3,坦克个性化设定!$B$18:$BC$18,0),FALSE)</f>
        <v>0.3</v>
      </c>
      <c r="L30" s="34">
        <f>VLOOKUP($B30,坦克个性化设定!$B$18:$BC$48,MATCH(L$3,坦克个性化设定!$B$18:$BC$18,0),FALSE)</f>
        <v>1.3421103201592517</v>
      </c>
      <c r="M30" s="34">
        <f>VLOOKUP($B30,坦克个性化设定!$B$18:$BC$48,MATCH(M$3,坦克个性化设定!$B$18:$BC$18,0),FALSE)</f>
        <v>10.769230769230768</v>
      </c>
      <c r="N30" s="34">
        <f>VLOOKUP($B30,坦克个性化设定!$B$18:$BC$48,MATCH(N$3,坦克个性化设定!$B$18:$BC$18,0),FALSE)</f>
        <v>17.5</v>
      </c>
      <c r="O30" s="2">
        <f>VLOOKUP($B30,坦克个性化设定!$B$18:$BC$48,MATCH(O$3,坦克个性化设定!$B$18:$BC$18,0),FALSE)</f>
        <v>0.8</v>
      </c>
      <c r="P30" s="2">
        <f>VLOOKUP($B30,坦克个性化设定!$B$18:$BC$48,MATCH(P$3,坦克个性化设定!$B$18:$BC$18,0),FALSE)</f>
        <v>0.8</v>
      </c>
      <c r="Q30" s="2">
        <f>VLOOKUP($B30,坦克个性化设定!$B$18:$BC$48,MATCH(Q$3,坦克个性化设定!$B$18:$BC$18,0),FALSE)</f>
        <v>0.8</v>
      </c>
      <c r="R30" s="2">
        <f>VLOOKUP($B30,坦克个性化设定!$B$18:$BC$48,MATCH(R$3,坦克个性化设定!$B$18:$BC$18,0),FALSE)</f>
        <v>0</v>
      </c>
      <c r="S30" s="34">
        <f>VLOOKUP($B30,坦克个性化设定!$B$51:$T$81,MATCH(S$3,坦克个性化设定!$B$51:$T$51,0),FALSE)</f>
        <v>3</v>
      </c>
      <c r="T30" s="34">
        <f>VLOOKUP($B30,坦克个性化设定!$B$51:$T$81,MATCH(T$3,坦克个性化设定!$B$51:$T$51,0),FALSE)</f>
        <v>3</v>
      </c>
      <c r="U30" s="34">
        <f>VLOOKUP($B30,坦克个性化设定!$B$18:$BC$48,MATCH(U$3,坦克个性化设定!$B$18:$BC$18,0),FALSE)</f>
        <v>0.65</v>
      </c>
      <c r="V30" s="2">
        <f>VLOOKUP($B30,坦克个性化设定!$B$18:$BC$48,MATCH(V$3,坦克个性化设定!$B$18:$BC$18,0),FALSE)</f>
        <v>1</v>
      </c>
      <c r="W30" s="2">
        <f>VLOOKUP($B30,坦克个性化设定!$B$18:$BC$48,MATCH(W$3,坦克个性化设定!$B$18:$BC$18,0),FALSE)</f>
        <v>5</v>
      </c>
      <c r="X30" s="2">
        <f>VLOOKUP($B30,坦克个性化设定!$B$18:$BC$48,MATCH(X$3,坦克个性化设定!$B$18:$BC$18,0),FALSE)</f>
        <v>0.5</v>
      </c>
      <c r="Y30" s="34">
        <f>VLOOKUP($B30,坦克个性化设定!$B$18:$BC$48,MATCH(Y$3,坦克个性化设定!$B$18:$BC$18,0),FALSE)</f>
        <v>7.669995017484621</v>
      </c>
      <c r="Z30" s="34">
        <f>VLOOKUP($B30,坦克个性化设定!$B$18:$BC$48,MATCH(Z$3,坦克个性化设定!$B$18:$BC$18,0),FALSE)</f>
        <v>47.93746885927888</v>
      </c>
      <c r="AA30" s="34">
        <f>VLOOKUP($B30,坦克个性化设定!$B$18:$BC$48,MATCH(AA$3,坦克个性化设定!$B$18:$BC$18,0),FALSE)</f>
        <v>3.1</v>
      </c>
      <c r="AB30" s="34">
        <f>VLOOKUP($B30,坦克个性化设定!$B$18:$BC$48,MATCH(AB$3,坦克个性化设定!$B$18:$BC$18,0),FALSE)</f>
        <v>6.3</v>
      </c>
      <c r="AC30" s="34">
        <f>VLOOKUP($B30,坦克个性化设定!$B$18:$BC$48,MATCH(AC$3,坦克个性化设定!$B$18:$BC$18,0),FALSE)</f>
        <v>3.8888888888888888</v>
      </c>
      <c r="AD30" s="34">
        <f>VLOOKUP($B30,坦克个性化设定!$B$18:$BC$48,MATCH(AD$3,坦克个性化设定!$B$18:$BC$18,0),FALSE)</f>
        <v>2</v>
      </c>
      <c r="AE30" s="34">
        <f>VLOOKUP($B30,坦克个性化设定!$B$18:$BC$48,MATCH(AE$3,坦克个性化设定!$B$18:$BC$18,0),FALSE)</f>
        <v>1.24</v>
      </c>
      <c r="AF30" s="2">
        <f>VLOOKUP($B30,坦克个性化设定!$B$18:$BC$48,MATCH(AF$3,坦克个性化设定!$B$18:$BC$18,0),FALSE)</f>
        <v>0.2</v>
      </c>
      <c r="AG30" s="2">
        <f>VLOOKUP($B30,坦克个性化设定!$B$18:$BC$48,MATCH(AG$3,坦克个性化设定!$B$18:$BC$18,0),FALSE)</f>
        <v>5</v>
      </c>
      <c r="AH30" s="2">
        <f>VLOOKUP($B30,坦克个性化设定!$B$18:$BC$48,MATCH(AH$3,坦克个性化设定!$B$18:$BC$18,0),FALSE)</f>
        <v>10</v>
      </c>
      <c r="AI30" s="2">
        <f>VLOOKUP(B30,坦克个性化细分!$I$3:$P$33,3,FALSE)</f>
        <v>30.7</v>
      </c>
      <c r="AJ30" s="2">
        <f>VLOOKUP(B30,坦克个性化细分!$I$3:$P$33,5,FALSE)</f>
        <v>35</v>
      </c>
      <c r="AK30" s="2">
        <f>VLOOKUP(B30,坦克个性化细分!$I$3:$P$33,7,FALSE)</f>
        <v>6.3</v>
      </c>
      <c r="AL30" s="2">
        <f>VLOOKUP($B30,坦克个性化设定!$G$84:$T$114,MATCH(AL$3,坦克个性化设定!$G$84:$T$84,0),FALSE)</f>
        <v>1</v>
      </c>
      <c r="AM30" s="2">
        <f>VLOOKUP($B30,坦克个性化细分!$E$3:$G$33,2,FALSE)</f>
        <v>6</v>
      </c>
      <c r="AN30" s="2">
        <f>VLOOKUP($B30,坦克个性化细分!$E$3:$G$33,3,FALSE)</f>
        <v>0</v>
      </c>
      <c r="AO30" s="34">
        <f t="shared" si="0"/>
        <v>3</v>
      </c>
      <c r="AP30" s="33">
        <f t="shared" ca="1" si="1"/>
        <v>1881</v>
      </c>
      <c r="AQ30" s="33">
        <f t="shared" ca="1" si="2"/>
        <v>740</v>
      </c>
      <c r="AR30" s="33">
        <f t="shared" ca="1" si="3"/>
        <v>241</v>
      </c>
      <c r="AS30" s="33">
        <f t="shared" ca="1" si="4"/>
        <v>603</v>
      </c>
      <c r="AT30" s="33">
        <f t="shared" ca="1" si="5"/>
        <v>806</v>
      </c>
      <c r="AU30" s="33">
        <f t="shared" ca="1" si="6"/>
        <v>175</v>
      </c>
      <c r="AV30" s="33">
        <f t="shared" si="12"/>
        <v>0</v>
      </c>
      <c r="AW30" s="33">
        <f t="shared" si="13"/>
        <v>0</v>
      </c>
      <c r="AX30" s="33">
        <f t="shared" si="14"/>
        <v>0</v>
      </c>
      <c r="AY30" s="2">
        <f t="shared" si="7"/>
        <v>1</v>
      </c>
      <c r="AZ30" s="2">
        <f>基础属性系数!$E$61</f>
        <v>0</v>
      </c>
      <c r="BA30" s="2">
        <v>50</v>
      </c>
      <c r="BB30" s="2">
        <v>10</v>
      </c>
      <c r="BC30" s="2">
        <f>VLOOKUP($B30,坦克类型系数!$B$3:$R$33,MATCH(BC$3,坦克类型系数!$B$3:$R$3,0),FALSE)</f>
        <v>0</v>
      </c>
      <c r="BD30" s="2">
        <f>VLOOKUP($B30,坦克类型系数!$B$3:$R$33,MATCH(BD$3,坦克类型系数!$B$3:$R$3,0),FALSE)</f>
        <v>2.4500000000000002</v>
      </c>
      <c r="BE30" s="2">
        <f>VLOOKUP($B30,坦克类型系数!$B$3:$R$33,MATCH(BE$3,坦克类型系数!$B$3:$R$3,0),FALSE)</f>
        <v>2</v>
      </c>
      <c r="BF30" s="2">
        <f>VLOOKUP($B30,坦克类型系数!$B$3:$R$33,MATCH(BF$3,坦克类型系数!$B$3:$R$3,0),FALSE)</f>
        <v>2</v>
      </c>
      <c r="BG30" s="2">
        <f>VLOOKUP($B30,坦克类型系数!$B$3:$R$33,MATCH(BG$3,坦克类型系数!$B$3:$R$3,0),FALSE)</f>
        <v>0.9</v>
      </c>
      <c r="BH30" s="2">
        <f>VLOOKUP($B30,坦克类型系数!$B$3:$R$33,MATCH(BH$3,坦克类型系数!$B$3:$R$3,0),FALSE)</f>
        <v>0.9</v>
      </c>
      <c r="BI30" s="2">
        <f>VLOOKUP($B30,坦克类型系数!$B$3:$R$33,MATCH(BI$3,坦克类型系数!$B$3:$R$3,0),FALSE)</f>
        <v>0.85</v>
      </c>
      <c r="BJ30" s="25"/>
      <c r="BK30" s="25"/>
      <c r="BL30" s="25"/>
      <c r="BM30" s="1" t="s">
        <v>1217</v>
      </c>
      <c r="BN30" s="2" t="str">
        <f t="shared" si="8"/>
        <v>征服者</v>
      </c>
      <c r="BO30" s="2" t="str">
        <f>VLOOKUP(BN30,坦克个性化设定!$B$18:$E$48,MATCH(BO$3,坦克个性化设定!$B$18:$E$18,0),FALSE)</f>
        <v>T4</v>
      </c>
      <c r="BP30" s="2" t="str">
        <f t="shared" si="9"/>
        <v>低</v>
      </c>
      <c r="BQ30" s="2" t="s">
        <v>777</v>
      </c>
      <c r="BR30" s="2"/>
      <c r="BS30" s="42">
        <f ca="1">VLOOKUP($BN30&amp;$BQ30,坦克标准养成属性!$S$3:$AE$63,MATCH(BS$3,坦克标准养成属性!$S$3:$AE$3,0),FALSE)</f>
        <v>1881.0579826603289</v>
      </c>
      <c r="BT30" s="42">
        <f ca="1">VLOOKUP($BN30&amp;$BQ30,坦克标准养成属性!$S$3:$AE$63,MATCH(BT$3,坦克标准养成属性!$S$3:$AE$3,0),FALSE)</f>
        <v>739.69437030971767</v>
      </c>
      <c r="BU30" s="42">
        <f ca="1">VLOOKUP($BN30&amp;$BQ30,坦克标准养成属性!$S$3:$AE$63,MATCH(BU$3,坦克标准养成属性!$S$3:$AE$3,0),FALSE)</f>
        <v>241</v>
      </c>
      <c r="BV30" s="42">
        <f ca="1">VLOOKUP($BN30&amp;$BQ30,坦克标准养成属性!$S$3:$AE$63,MATCH(BV$3,坦克标准养成属性!$S$3:$AE$3,0),FALSE)</f>
        <v>603</v>
      </c>
      <c r="BW30" s="42">
        <f ca="1">VLOOKUP($BN30&amp;$BQ30,坦克标准养成属性!$S$3:$AE$63,MATCH(BW$3,坦克标准养成属性!$S$3:$AE$3,0),FALSE)</f>
        <v>806</v>
      </c>
      <c r="BX30" s="42">
        <f ca="1">VLOOKUP($BN30&amp;$BQ30,坦克标准养成属性!$S$3:$AE$63,MATCH(BX$3,坦克标准养成属性!$S$3:$AE$3,0),FALSE)</f>
        <v>175</v>
      </c>
      <c r="BY30" s="2">
        <f>IFERROR((VLOOKUP(LEFT(BR30,1)*1,坦克部件!$N$3:$W$9,MATCH("升星属性",坦克部件!$N$3:$W$3,0),FALSE)+VLOOKUP(RIGHT(BR30,1)*1,坦克部件!$Y$3:$AC$38,MATCH("累计属性",坦克部件!$Y$3:$AC$3,0),FALSE))*2,0)</f>
        <v>0</v>
      </c>
      <c r="BZ30" s="42">
        <f t="shared" si="15"/>
        <v>0</v>
      </c>
      <c r="CA30" s="42">
        <f t="shared" si="16"/>
        <v>0</v>
      </c>
    </row>
    <row r="31" spans="2:79" x14ac:dyDescent="0.3">
      <c r="B31" s="2" t="str">
        <f>坦克个性化设定!B46</f>
        <v>IS-4</v>
      </c>
      <c r="C31" s="2" t="str">
        <f>VLOOKUP(B31,坦克个性化设定!$B$18:$E$48,4,FALSE)</f>
        <v>T4</v>
      </c>
      <c r="D31" s="2" t="str">
        <f>坦克个性化细分!J31</f>
        <v>中</v>
      </c>
      <c r="E31" s="2" t="str">
        <f t="shared" si="17"/>
        <v>T4中0</v>
      </c>
      <c r="F31" s="2" t="str">
        <f>VLOOKUP($B31,坦克个性化设定!$B$18:$BC$48,MATCH(F$3,坦克个性化设定!$B$18:$BC$18,0),FALSE)</f>
        <v>重坦</v>
      </c>
      <c r="G31" s="2" t="str">
        <f>VLOOKUP($B31,坦克个性化设定!$B$18:$BC$48,MATCH(G$3,坦克个性化设定!$B$18:$BC$18,0),FALSE)</f>
        <v>重坦自动</v>
      </c>
      <c r="H31" s="2" t="str">
        <f t="shared" si="11"/>
        <v>自动装弹</v>
      </c>
      <c r="I31" s="2">
        <f>VLOOKUP($B31,坦克个性化设定!$B$18:$BC$48,MATCH(I$3,坦克个性化设定!$B$18:$BC$18,0),FALSE)</f>
        <v>6.6</v>
      </c>
      <c r="J31" s="2">
        <f>VLOOKUP($B31,坦克个性化设定!$B$18:$BC$48,MATCH(J$3,坦克个性化设定!$B$18:$BC$18,0),FALSE)</f>
        <v>3.35</v>
      </c>
      <c r="K31" s="2">
        <f>VLOOKUP($B31,坦克个性化设定!$B$18:$BC$48,MATCH(K$3,坦克个性化设定!$B$18:$BC$18,0),FALSE)</f>
        <v>0.3</v>
      </c>
      <c r="L31" s="34">
        <f>VLOOKUP($B31,坦克个性化设定!$B$18:$BC$48,MATCH(L$3,坦克个性化设定!$B$18:$BC$18,0),FALSE)</f>
        <v>1.3421103201592517</v>
      </c>
      <c r="M31" s="34">
        <f>VLOOKUP($B31,坦克个性化设定!$B$18:$BC$48,MATCH(M$3,坦克个性化设定!$B$18:$BC$18,0),FALSE)</f>
        <v>10.769230769230768</v>
      </c>
      <c r="N31" s="34">
        <f>VLOOKUP($B31,坦克个性化设定!$B$18:$BC$48,MATCH(N$3,坦克个性化设定!$B$18:$BC$18,0),FALSE)</f>
        <v>17.5</v>
      </c>
      <c r="O31" s="2">
        <f>VLOOKUP($B31,坦克个性化设定!$B$18:$BC$48,MATCH(O$3,坦克个性化设定!$B$18:$BC$18,0),FALSE)</f>
        <v>0.8</v>
      </c>
      <c r="P31" s="2">
        <f>VLOOKUP($B31,坦克个性化设定!$B$18:$BC$48,MATCH(P$3,坦克个性化设定!$B$18:$BC$18,0),FALSE)</f>
        <v>0.8</v>
      </c>
      <c r="Q31" s="2">
        <f>VLOOKUP($B31,坦克个性化设定!$B$18:$BC$48,MATCH(Q$3,坦克个性化设定!$B$18:$BC$18,0),FALSE)</f>
        <v>0.8</v>
      </c>
      <c r="R31" s="2">
        <f>VLOOKUP($B31,坦克个性化设定!$B$18:$BC$48,MATCH(R$3,坦克个性化设定!$B$18:$BC$18,0),FALSE)</f>
        <v>2</v>
      </c>
      <c r="S31" s="34">
        <f>VLOOKUP($B31,坦克个性化设定!$B$51:$T$81,MATCH(S$3,坦克个性化设定!$B$51:$T$51,0),FALSE)</f>
        <v>1.7999999999999998</v>
      </c>
      <c r="T31" s="34">
        <f>VLOOKUP($B31,坦克个性化设定!$B$51:$T$81,MATCH(T$3,坦克个性化设定!$B$51:$T$51,0),FALSE)</f>
        <v>2.7</v>
      </c>
      <c r="U31" s="34">
        <f>VLOOKUP($B31,坦克个性化设定!$B$18:$BC$48,MATCH(U$3,坦克个性化设定!$B$18:$BC$18,0),FALSE)</f>
        <v>0.65</v>
      </c>
      <c r="V31" s="2">
        <f>VLOOKUP($B31,坦克个性化设定!$B$18:$BC$48,MATCH(V$3,坦克个性化设定!$B$18:$BC$18,0),FALSE)</f>
        <v>1.2</v>
      </c>
      <c r="W31" s="2">
        <f>VLOOKUP($B31,坦克个性化设定!$B$18:$BC$48,MATCH(W$3,坦克个性化设定!$B$18:$BC$18,0),FALSE)</f>
        <v>3</v>
      </c>
      <c r="X31" s="2">
        <f>VLOOKUP($B31,坦克个性化设定!$B$18:$BC$48,MATCH(X$3,坦克个性化设定!$B$18:$BC$18,0),FALSE)</f>
        <v>0.5</v>
      </c>
      <c r="Y31" s="34">
        <f>VLOOKUP($B31,坦克个性化设定!$B$18:$BC$48,MATCH(Y$3,坦克个性化设定!$B$18:$BC$18,0),FALSE)</f>
        <v>7.669995017484621</v>
      </c>
      <c r="Z31" s="34">
        <f>VLOOKUP($B31,坦克个性化设定!$B$18:$BC$48,MATCH(Z$3,坦克个性化设定!$B$18:$BC$18,0),FALSE)</f>
        <v>47.93746885927888</v>
      </c>
      <c r="AA31" s="34">
        <f>VLOOKUP($B31,坦克个性化设定!$B$18:$BC$48,MATCH(AA$3,坦克个性化设定!$B$18:$BC$18,0),FALSE)</f>
        <v>1.8599999999999999</v>
      </c>
      <c r="AB31" s="34">
        <f>VLOOKUP($B31,坦克个性化设定!$B$18:$BC$48,MATCH(AB$3,坦克个性化设定!$B$18:$BC$18,0),FALSE)</f>
        <v>6.3</v>
      </c>
      <c r="AC31" s="34">
        <f>VLOOKUP($B31,坦克个性化设定!$B$18:$BC$48,MATCH(AC$3,坦克个性化设定!$B$18:$BC$18,0),FALSE)</f>
        <v>3.8888888888888888</v>
      </c>
      <c r="AD31" s="34">
        <f>VLOOKUP($B31,坦克个性化设定!$B$18:$BC$48,MATCH(AD$3,坦克个性化设定!$B$18:$BC$18,0),FALSE)</f>
        <v>2</v>
      </c>
      <c r="AE31" s="34">
        <f>VLOOKUP($B31,坦克个性化设定!$B$18:$BC$48,MATCH(AE$3,坦克个性化设定!$B$18:$BC$18,0),FALSE)</f>
        <v>0.62</v>
      </c>
      <c r="AF31" s="2">
        <f>VLOOKUP($B31,坦克个性化设定!$B$18:$BC$48,MATCH(AF$3,坦克个性化设定!$B$18:$BC$18,0),FALSE)</f>
        <v>0.2</v>
      </c>
      <c r="AG31" s="2">
        <f>VLOOKUP($B31,坦克个性化设定!$B$18:$BC$48,MATCH(AG$3,坦克个性化设定!$B$18:$BC$18,0),FALSE)</f>
        <v>5</v>
      </c>
      <c r="AH31" s="2">
        <f>VLOOKUP($B31,坦克个性化设定!$B$18:$BC$48,MATCH(AH$3,坦克个性化设定!$B$18:$BC$18,0),FALSE)</f>
        <v>10</v>
      </c>
      <c r="AI31" s="2">
        <f>VLOOKUP(B31,坦克个性化细分!$I$3:$P$33,3,FALSE)</f>
        <v>31.3</v>
      </c>
      <c r="AJ31" s="2">
        <f>VLOOKUP(B31,坦克个性化细分!$I$3:$P$33,5,FALSE)</f>
        <v>35.700000000000003</v>
      </c>
      <c r="AK31" s="2">
        <f>VLOOKUP(B31,坦克个性化细分!$I$3:$P$33,7,FALSE)</f>
        <v>6.4</v>
      </c>
      <c r="AL31" s="2">
        <f>VLOOKUP($B31,坦克个性化设定!$G$84:$T$114,MATCH(AL$3,坦克个性化设定!$G$84:$T$84,0),FALSE)</f>
        <v>2</v>
      </c>
      <c r="AM31" s="2">
        <f>VLOOKUP($B31,坦克个性化细分!$E$3:$G$33,2,FALSE)</f>
        <v>4.5</v>
      </c>
      <c r="AN31" s="2">
        <f>VLOOKUP($B31,坦克个性化细分!$E$3:$G$33,3,FALSE)</f>
        <v>0</v>
      </c>
      <c r="AO31" s="34">
        <f t="shared" si="0"/>
        <v>2.2500000000000004</v>
      </c>
      <c r="AP31" s="33">
        <f t="shared" ca="1" si="1"/>
        <v>1804</v>
      </c>
      <c r="AQ31" s="33">
        <f t="shared" ca="1" si="2"/>
        <v>637</v>
      </c>
      <c r="AR31" s="33">
        <f t="shared" ca="1" si="3"/>
        <v>229</v>
      </c>
      <c r="AS31" s="33">
        <f t="shared" ca="1" si="4"/>
        <v>571</v>
      </c>
      <c r="AT31" s="33">
        <f t="shared" ca="1" si="5"/>
        <v>840</v>
      </c>
      <c r="AU31" s="33">
        <f t="shared" ca="1" si="6"/>
        <v>182</v>
      </c>
      <c r="AV31" s="33">
        <f t="shared" si="12"/>
        <v>0</v>
      </c>
      <c r="AW31" s="33">
        <f t="shared" si="13"/>
        <v>0</v>
      </c>
      <c r="AX31" s="33">
        <f t="shared" si="14"/>
        <v>0</v>
      </c>
      <c r="AY31" s="2">
        <f t="shared" si="7"/>
        <v>6</v>
      </c>
      <c r="AZ31" s="2">
        <f>基础属性系数!$E$61</f>
        <v>0</v>
      </c>
      <c r="BA31" s="2">
        <v>50</v>
      </c>
      <c r="BB31" s="2">
        <v>10</v>
      </c>
      <c r="BC31" s="2">
        <f>VLOOKUP($B31,坦克类型系数!$B$3:$R$33,MATCH(BC$3,坦克类型系数!$B$3:$R$3,0),FALSE)</f>
        <v>0</v>
      </c>
      <c r="BD31" s="2">
        <f>VLOOKUP($B31,坦克类型系数!$B$3:$R$33,MATCH(BD$3,坦克类型系数!$B$3:$R$3,0),FALSE)</f>
        <v>2.4</v>
      </c>
      <c r="BE31" s="2">
        <f>VLOOKUP($B31,坦克类型系数!$B$3:$R$33,MATCH(BE$3,坦克类型系数!$B$3:$R$3,0),FALSE)</f>
        <v>1.95</v>
      </c>
      <c r="BF31" s="2">
        <f>VLOOKUP($B31,坦克类型系数!$B$3:$R$33,MATCH(BF$3,坦克类型系数!$B$3:$R$3,0),FALSE)</f>
        <v>1.95</v>
      </c>
      <c r="BG31" s="2">
        <f>VLOOKUP($B31,坦克类型系数!$B$3:$R$33,MATCH(BG$3,坦克类型系数!$B$3:$R$3,0),FALSE)</f>
        <v>0.9</v>
      </c>
      <c r="BH31" s="2">
        <f>VLOOKUP($B31,坦克类型系数!$B$3:$R$33,MATCH(BH$3,坦克类型系数!$B$3:$R$3,0),FALSE)</f>
        <v>0.9</v>
      </c>
      <c r="BI31" s="2">
        <f>VLOOKUP($B31,坦克类型系数!$B$3:$R$33,MATCH(BI$3,坦克类型系数!$B$3:$R$3,0),FALSE)</f>
        <v>0.85</v>
      </c>
      <c r="BJ31" s="25"/>
      <c r="BK31" s="25"/>
      <c r="BL31" s="25"/>
      <c r="BM31" s="1" t="s">
        <v>1217</v>
      </c>
      <c r="BN31" s="2" t="str">
        <f t="shared" si="8"/>
        <v>IS-4</v>
      </c>
      <c r="BO31" s="2" t="str">
        <f>VLOOKUP(BN31,坦克个性化设定!$B$18:$E$48,MATCH(BO$3,坦克个性化设定!$B$18:$E$18,0),FALSE)</f>
        <v>T4</v>
      </c>
      <c r="BP31" s="2" t="str">
        <f t="shared" si="9"/>
        <v>中</v>
      </c>
      <c r="BQ31" s="2" t="s">
        <v>777</v>
      </c>
      <c r="BR31" s="2"/>
      <c r="BS31" s="42">
        <f ca="1">VLOOKUP($BN31&amp;$BQ31,坦克标准养成属性!$S$3:$AE$63,MATCH(BS$3,坦克标准养成属性!$S$3:$AE$3,0),FALSE)</f>
        <v>1804.2211093491237</v>
      </c>
      <c r="BT31" s="42">
        <f ca="1">VLOOKUP($BN31&amp;$BQ31,坦克标准养成属性!$S$3:$AE$63,MATCH(BT$3,坦克标准养成属性!$S$3:$AE$3,0),FALSE)</f>
        <v>637.30702909748084</v>
      </c>
      <c r="BU31" s="42">
        <f ca="1">VLOOKUP($BN31&amp;$BQ31,坦克标准养成属性!$S$3:$AE$63,MATCH(BU$3,坦克标准养成属性!$S$3:$AE$3,0),FALSE)</f>
        <v>229</v>
      </c>
      <c r="BV31" s="42">
        <f ca="1">VLOOKUP($BN31&amp;$BQ31,坦克标准养成属性!$S$3:$AE$63,MATCH(BV$3,坦克标准养成属性!$S$3:$AE$3,0),FALSE)</f>
        <v>571</v>
      </c>
      <c r="BW31" s="42">
        <f ca="1">VLOOKUP($BN31&amp;$BQ31,坦克标准养成属性!$S$3:$AE$63,MATCH(BW$3,坦克标准养成属性!$S$3:$AE$3,0),FALSE)</f>
        <v>840</v>
      </c>
      <c r="BX31" s="42">
        <f ca="1">VLOOKUP($BN31&amp;$BQ31,坦克标准养成属性!$S$3:$AE$63,MATCH(BX$3,坦克标准养成属性!$S$3:$AE$3,0),FALSE)</f>
        <v>182</v>
      </c>
      <c r="BY31" s="2">
        <f>IFERROR((VLOOKUP(LEFT(BR31,1)*1,坦克部件!$N$3:$W$9,MATCH("升星属性",坦克部件!$N$3:$W$3,0),FALSE)+VLOOKUP(RIGHT(BR31,1)*1,坦克部件!$Y$3:$AC$38,MATCH("累计属性",坦克部件!$Y$3:$AC$3,0),FALSE))*2,0)</f>
        <v>0</v>
      </c>
      <c r="BZ31" s="42">
        <f t="shared" si="15"/>
        <v>0</v>
      </c>
      <c r="CA31" s="42">
        <f t="shared" si="16"/>
        <v>0</v>
      </c>
    </row>
    <row r="32" spans="2:79" x14ac:dyDescent="0.3">
      <c r="B32" s="2" t="str">
        <f>坦克个性化设定!B47</f>
        <v>T-32</v>
      </c>
      <c r="C32" s="2" t="str">
        <f>VLOOKUP(B32,坦克个性化设定!$B$18:$E$48,4,FALSE)</f>
        <v>T4</v>
      </c>
      <c r="D32" s="2" t="str">
        <f>坦克个性化细分!J32</f>
        <v>高</v>
      </c>
      <c r="E32" s="2" t="str">
        <f t="shared" si="17"/>
        <v>T4高0</v>
      </c>
      <c r="F32" s="2" t="str">
        <f>VLOOKUP($B32,坦克个性化设定!$B$18:$BC$48,MATCH(F$3,坦克个性化设定!$B$18:$BC$18,0),FALSE)</f>
        <v>重坦</v>
      </c>
      <c r="G32" s="2" t="str">
        <f>VLOOKUP($B32,坦克个性化设定!$B$18:$BC$48,MATCH(G$3,坦克个性化设定!$B$18:$BC$18,0),FALSE)</f>
        <v>重坦单发</v>
      </c>
      <c r="H32" s="2" t="str">
        <f t="shared" si="11"/>
        <v>单发装弹</v>
      </c>
      <c r="I32" s="2">
        <f>VLOOKUP($B32,坦克个性化设定!$B$18:$BC$48,MATCH(I$3,坦克个性化设定!$B$18:$BC$18,0),FALSE)</f>
        <v>6</v>
      </c>
      <c r="J32" s="2">
        <f>VLOOKUP($B32,坦克个性化设定!$B$18:$BC$48,MATCH(J$3,坦克个性化设定!$B$18:$BC$18,0),FALSE)</f>
        <v>2.85</v>
      </c>
      <c r="K32" s="2">
        <f>VLOOKUP($B32,坦克个性化设定!$B$18:$BC$48,MATCH(K$3,坦克个性化设定!$B$18:$BC$18,0),FALSE)</f>
        <v>0.3</v>
      </c>
      <c r="L32" s="34">
        <f>VLOOKUP($B32,坦克个性化设定!$B$18:$BC$48,MATCH(L$3,坦克个性化设定!$B$18:$BC$18,0),FALSE)</f>
        <v>1.3421103201592517</v>
      </c>
      <c r="M32" s="34">
        <f>VLOOKUP($B32,坦克个性化设定!$B$18:$BC$48,MATCH(M$3,坦克个性化设定!$B$18:$BC$18,0),FALSE)</f>
        <v>10.769230769230768</v>
      </c>
      <c r="N32" s="34">
        <f>VLOOKUP($B32,坦克个性化设定!$B$18:$BC$48,MATCH(N$3,坦克个性化设定!$B$18:$BC$18,0),FALSE)</f>
        <v>17.5</v>
      </c>
      <c r="O32" s="2">
        <f>VLOOKUP($B32,坦克个性化设定!$B$18:$BC$48,MATCH(O$3,坦克个性化设定!$B$18:$BC$18,0),FALSE)</f>
        <v>0.8</v>
      </c>
      <c r="P32" s="2">
        <f>VLOOKUP($B32,坦克个性化设定!$B$18:$BC$48,MATCH(P$3,坦克个性化设定!$B$18:$BC$18,0),FALSE)</f>
        <v>0.8</v>
      </c>
      <c r="Q32" s="2">
        <f>VLOOKUP($B32,坦克个性化设定!$B$18:$BC$48,MATCH(Q$3,坦克个性化设定!$B$18:$BC$18,0),FALSE)</f>
        <v>0.8</v>
      </c>
      <c r="R32" s="2">
        <f>VLOOKUP($B32,坦克个性化设定!$B$18:$BC$48,MATCH(R$3,坦克个性化设定!$B$18:$BC$18,0),FALSE)</f>
        <v>0</v>
      </c>
      <c r="S32" s="34">
        <f>VLOOKUP($B32,坦克个性化设定!$B$51:$T$81,MATCH(S$3,坦克个性化设定!$B$51:$T$51,0),FALSE)</f>
        <v>3</v>
      </c>
      <c r="T32" s="34">
        <f>VLOOKUP($B32,坦克个性化设定!$B$51:$T$81,MATCH(T$3,坦克个性化设定!$B$51:$T$51,0),FALSE)</f>
        <v>3</v>
      </c>
      <c r="U32" s="34">
        <f>VLOOKUP($B32,坦克个性化设定!$B$18:$BC$48,MATCH(U$3,坦克个性化设定!$B$18:$BC$18,0),FALSE)</f>
        <v>0.62</v>
      </c>
      <c r="V32" s="2">
        <f>VLOOKUP($B32,坦克个性化设定!$B$18:$BC$48,MATCH(V$3,坦克个性化设定!$B$18:$BC$18,0),FALSE)</f>
        <v>1</v>
      </c>
      <c r="W32" s="2">
        <f>VLOOKUP($B32,坦克个性化设定!$B$18:$BC$48,MATCH(W$3,坦克个性化设定!$B$18:$BC$18,0),FALSE)</f>
        <v>5</v>
      </c>
      <c r="X32" s="2">
        <f>VLOOKUP($B32,坦克个性化设定!$B$18:$BC$48,MATCH(X$3,坦克个性化设定!$B$18:$BC$18,0),FALSE)</f>
        <v>0.5</v>
      </c>
      <c r="Y32" s="34">
        <f>VLOOKUP($B32,坦克个性化设定!$B$18:$BC$48,MATCH(Y$3,坦克个性化设定!$B$18:$BC$18,0),FALSE)</f>
        <v>7.669995017484621</v>
      </c>
      <c r="Z32" s="34">
        <f>VLOOKUP($B32,坦克个性化设定!$B$18:$BC$48,MATCH(Z$3,坦克个性化设定!$B$18:$BC$18,0),FALSE)</f>
        <v>47.93746885927888</v>
      </c>
      <c r="AA32" s="34">
        <f>VLOOKUP($B32,坦克个性化设定!$B$18:$BC$48,MATCH(AA$3,坦克个性化设定!$B$18:$BC$18,0),FALSE)</f>
        <v>3.1</v>
      </c>
      <c r="AB32" s="34">
        <f>VLOOKUP($B32,坦克个性化设定!$B$18:$BC$48,MATCH(AB$3,坦克个性化设定!$B$18:$BC$18,0),FALSE)</f>
        <v>6.3</v>
      </c>
      <c r="AC32" s="34">
        <f>VLOOKUP($B32,坦克个性化设定!$B$18:$BC$48,MATCH(AC$3,坦克个性化设定!$B$18:$BC$18,0),FALSE)</f>
        <v>3.8888888888888888</v>
      </c>
      <c r="AD32" s="34">
        <f>VLOOKUP($B32,坦克个性化设定!$B$18:$BC$48,MATCH(AD$3,坦克个性化设定!$B$18:$BC$18,0),FALSE)</f>
        <v>2</v>
      </c>
      <c r="AE32" s="34">
        <f>VLOOKUP($B32,坦克个性化设定!$B$18:$BC$48,MATCH(AE$3,坦克个性化设定!$B$18:$BC$18,0),FALSE)</f>
        <v>1.24</v>
      </c>
      <c r="AF32" s="2">
        <f>VLOOKUP($B32,坦克个性化设定!$B$18:$BC$48,MATCH(AF$3,坦克个性化设定!$B$18:$BC$18,0),FALSE)</f>
        <v>0.2</v>
      </c>
      <c r="AG32" s="2">
        <f>VLOOKUP($B32,坦克个性化设定!$B$18:$BC$48,MATCH(AG$3,坦克个性化设定!$B$18:$BC$18,0),FALSE)</f>
        <v>5</v>
      </c>
      <c r="AH32" s="2">
        <f>VLOOKUP($B32,坦克个性化设定!$B$18:$BC$48,MATCH(AH$3,坦克个性化设定!$B$18:$BC$18,0),FALSE)</f>
        <v>10</v>
      </c>
      <c r="AI32" s="2">
        <f>VLOOKUP(B32,坦克个性化细分!$I$3:$P$33,3,FALSE)</f>
        <v>32.200000000000003</v>
      </c>
      <c r="AJ32" s="2">
        <f>VLOOKUP(B32,坦克个性化细分!$I$3:$P$33,5,FALSE)</f>
        <v>36.799999999999997</v>
      </c>
      <c r="AK32" s="2">
        <f>VLOOKUP(B32,坦克个性化细分!$I$3:$P$33,7,FALSE)</f>
        <v>6.6</v>
      </c>
      <c r="AL32" s="2">
        <f>VLOOKUP($B32,坦克个性化设定!$G$84:$T$114,MATCH(AL$3,坦克个性化设定!$G$84:$T$84,0),FALSE)</f>
        <v>1</v>
      </c>
      <c r="AM32" s="2">
        <f>VLOOKUP($B32,坦克个性化细分!$E$3:$G$33,2,FALSE)</f>
        <v>6</v>
      </c>
      <c r="AN32" s="2">
        <f>VLOOKUP($B32,坦克个性化细分!$E$3:$G$33,3,FALSE)</f>
        <v>0</v>
      </c>
      <c r="AO32" s="34">
        <f t="shared" si="0"/>
        <v>3</v>
      </c>
      <c r="AP32" s="33">
        <f t="shared" ca="1" si="1"/>
        <v>1709</v>
      </c>
      <c r="AQ32" s="33">
        <f t="shared" ca="1" si="2"/>
        <v>883</v>
      </c>
      <c r="AR32" s="33">
        <f t="shared" ca="1" si="3"/>
        <v>251</v>
      </c>
      <c r="AS32" s="33">
        <f t="shared" ca="1" si="4"/>
        <v>629</v>
      </c>
      <c r="AT32" s="33">
        <f t="shared" ca="1" si="5"/>
        <v>840</v>
      </c>
      <c r="AU32" s="33">
        <f t="shared" ca="1" si="6"/>
        <v>182</v>
      </c>
      <c r="AV32" s="33">
        <f t="shared" si="12"/>
        <v>0</v>
      </c>
      <c r="AW32" s="33">
        <f t="shared" si="13"/>
        <v>0</v>
      </c>
      <c r="AX32" s="33">
        <f t="shared" si="14"/>
        <v>0</v>
      </c>
      <c r="AY32" s="2">
        <f t="shared" si="7"/>
        <v>1</v>
      </c>
      <c r="AZ32" s="2">
        <f>基础属性系数!$E$61</f>
        <v>0</v>
      </c>
      <c r="BA32" s="2">
        <v>50</v>
      </c>
      <c r="BB32" s="2">
        <v>10</v>
      </c>
      <c r="BC32" s="2">
        <f>VLOOKUP($B32,坦克类型系数!$B$3:$R$33,MATCH(BC$3,坦克类型系数!$B$3:$R$3,0),FALSE)</f>
        <v>0</v>
      </c>
      <c r="BD32" s="2">
        <f>VLOOKUP($B32,坦克类型系数!$B$3:$R$33,MATCH(BD$3,坦克类型系数!$B$3:$R$3,0),FALSE)</f>
        <v>2.5499999999999998</v>
      </c>
      <c r="BE32" s="2">
        <f>VLOOKUP($B32,坦克类型系数!$B$3:$R$33,MATCH(BE$3,坦克类型系数!$B$3:$R$3,0),FALSE)</f>
        <v>2.0499999999999998</v>
      </c>
      <c r="BF32" s="2">
        <f>VLOOKUP($B32,坦克类型系数!$B$3:$R$33,MATCH(BF$3,坦克类型系数!$B$3:$R$3,0),FALSE)</f>
        <v>2.0499999999999998</v>
      </c>
      <c r="BG32" s="2">
        <f>VLOOKUP($B32,坦克类型系数!$B$3:$R$33,MATCH(BG$3,坦克类型系数!$B$3:$R$3,0),FALSE)</f>
        <v>0.9</v>
      </c>
      <c r="BH32" s="2">
        <f>VLOOKUP($B32,坦克类型系数!$B$3:$R$33,MATCH(BH$3,坦克类型系数!$B$3:$R$3,0),FALSE)</f>
        <v>0.9</v>
      </c>
      <c r="BI32" s="2">
        <f>VLOOKUP($B32,坦克类型系数!$B$3:$R$33,MATCH(BI$3,坦克类型系数!$B$3:$R$3,0),FALSE)</f>
        <v>0.85</v>
      </c>
      <c r="BJ32" s="25"/>
      <c r="BK32" s="25"/>
      <c r="BL32" s="25"/>
      <c r="BM32" s="1" t="s">
        <v>1217</v>
      </c>
      <c r="BN32" s="2" t="str">
        <f t="shared" si="8"/>
        <v>T-32</v>
      </c>
      <c r="BO32" s="2" t="str">
        <f>VLOOKUP(BN32,坦克个性化设定!$B$18:$E$48,MATCH(BO$3,坦克个性化设定!$B$18:$E$18,0),FALSE)</f>
        <v>T4</v>
      </c>
      <c r="BP32" s="2" t="str">
        <f t="shared" si="9"/>
        <v>高</v>
      </c>
      <c r="BQ32" s="2" t="s">
        <v>777</v>
      </c>
      <c r="BR32" s="2"/>
      <c r="BS32" s="42">
        <f ca="1">VLOOKUP($BN32&amp;$BQ32,坦克标准养成属性!$S$3:$AE$63,MATCH(BS$3,坦克标准养成属性!$S$3:$AE$3,0),FALSE)</f>
        <v>1709.0624784111556</v>
      </c>
      <c r="BT32" s="42">
        <f ca="1">VLOOKUP($BN32&amp;$BQ32,坦克标准养成属性!$S$3:$AE$63,MATCH(BT$3,坦克标准养成属性!$S$3:$AE$3,0),FALSE)</f>
        <v>882.81149405529629</v>
      </c>
      <c r="BU32" s="42">
        <f ca="1">VLOOKUP($BN32&amp;$BQ32,坦克标准养成属性!$S$3:$AE$63,MATCH(BU$3,坦克标准养成属性!$S$3:$AE$3,0),FALSE)</f>
        <v>251</v>
      </c>
      <c r="BV32" s="42">
        <f ca="1">VLOOKUP($BN32&amp;$BQ32,坦克标准养成属性!$S$3:$AE$63,MATCH(BV$3,坦克标准养成属性!$S$3:$AE$3,0),FALSE)</f>
        <v>629</v>
      </c>
      <c r="BW32" s="42">
        <f ca="1">VLOOKUP($BN32&amp;$BQ32,坦克标准养成属性!$S$3:$AE$63,MATCH(BW$3,坦克标准养成属性!$S$3:$AE$3,0),FALSE)</f>
        <v>840</v>
      </c>
      <c r="BX32" s="42">
        <f ca="1">VLOOKUP($BN32&amp;$BQ32,坦克标准养成属性!$S$3:$AE$63,MATCH(BX$3,坦克标准养成属性!$S$3:$AE$3,0),FALSE)</f>
        <v>182</v>
      </c>
      <c r="BY32" s="2">
        <f>IFERROR((VLOOKUP(LEFT(BR32,1)*1,坦克部件!$N$3:$W$9,MATCH("升星属性",坦克部件!$N$3:$W$3,0),FALSE)+VLOOKUP(RIGHT(BR32,1)*1,坦克部件!$Y$3:$AC$38,MATCH("累计属性",坦克部件!$Y$3:$AC$3,0),FALSE))*2,0)</f>
        <v>0</v>
      </c>
      <c r="BZ32" s="42">
        <f t="shared" si="15"/>
        <v>0</v>
      </c>
      <c r="CA32" s="42">
        <f t="shared" si="16"/>
        <v>0</v>
      </c>
    </row>
    <row r="33" spans="2:79" x14ac:dyDescent="0.3">
      <c r="B33" s="2" t="str">
        <f>坦克个性化设定!B48</f>
        <v>M1A2</v>
      </c>
      <c r="C33" s="2" t="str">
        <f>VLOOKUP(B33,坦克个性化设定!$B$18:$E$48,4,FALSE)</f>
        <v>T5</v>
      </c>
      <c r="D33" s="2" t="str">
        <f>坦克个性化细分!J33</f>
        <v>低</v>
      </c>
      <c r="E33" s="2" t="str">
        <f t="shared" si="17"/>
        <v>T5低0</v>
      </c>
      <c r="F33" s="2" t="str">
        <f>VLOOKUP($B33,坦克个性化设定!$B$18:$BC$48,MATCH(F$3,坦克个性化设定!$B$18:$BC$18,0),FALSE)</f>
        <v>重坦</v>
      </c>
      <c r="G33" s="2" t="str">
        <f>VLOOKUP($B33,坦克个性化设定!$B$18:$BC$48,MATCH(G$3,坦克个性化设定!$B$18:$BC$18,0),FALSE)</f>
        <v>重坦单发</v>
      </c>
      <c r="H33" s="2" t="str">
        <f t="shared" si="11"/>
        <v>单发装弹</v>
      </c>
      <c r="I33" s="2">
        <f>VLOOKUP($B33,坦克个性化设定!$B$18:$BC$48,MATCH(I$3,坦克个性化设定!$B$18:$BC$18,0),FALSE)</f>
        <v>7.75</v>
      </c>
      <c r="J33" s="2">
        <f>VLOOKUP($B33,坦克个性化设定!$B$18:$BC$48,MATCH(J$3,坦克个性化设定!$B$18:$BC$18,0),FALSE)</f>
        <v>3.46</v>
      </c>
      <c r="K33" s="2">
        <f>VLOOKUP($B33,坦克个性化设定!$B$18:$BC$48,MATCH(K$3,坦克个性化设定!$B$18:$BC$18,0),FALSE)</f>
        <v>0.3</v>
      </c>
      <c r="L33" s="34">
        <f>VLOOKUP($B33,坦克个性化设定!$B$18:$BC$48,MATCH(L$3,坦克个性化设定!$B$18:$BC$18,0),FALSE)</f>
        <v>1.3421103201592517</v>
      </c>
      <c r="M33" s="34">
        <f>VLOOKUP($B33,坦克个性化设定!$B$18:$BC$48,MATCH(M$3,坦克个性化设定!$B$18:$BC$18,0),FALSE)</f>
        <v>10.769230769230768</v>
      </c>
      <c r="N33" s="34">
        <f>VLOOKUP($B33,坦克个性化设定!$B$18:$BC$48,MATCH(N$3,坦克个性化设定!$B$18:$BC$18,0),FALSE)</f>
        <v>17.5</v>
      </c>
      <c r="O33" s="2">
        <f>VLOOKUP($B33,坦克个性化设定!$B$18:$BC$48,MATCH(O$3,坦克个性化设定!$B$18:$BC$18,0),FALSE)</f>
        <v>0.8</v>
      </c>
      <c r="P33" s="2">
        <f>VLOOKUP($B33,坦克个性化设定!$B$18:$BC$48,MATCH(P$3,坦克个性化设定!$B$18:$BC$18,0),FALSE)</f>
        <v>0.8</v>
      </c>
      <c r="Q33" s="2">
        <f>VLOOKUP($B33,坦克个性化设定!$B$18:$BC$48,MATCH(Q$3,坦克个性化设定!$B$18:$BC$18,0),FALSE)</f>
        <v>0.8</v>
      </c>
      <c r="R33" s="2">
        <f>VLOOKUP($B33,坦克个性化设定!$B$18:$BC$48,MATCH(R$3,坦克个性化设定!$B$18:$BC$18,0),FALSE)</f>
        <v>0</v>
      </c>
      <c r="S33" s="34">
        <f>VLOOKUP($B33,坦克个性化设定!$B$51:$T$81,MATCH(S$3,坦克个性化设定!$B$51:$T$51,0),FALSE)</f>
        <v>3</v>
      </c>
      <c r="T33" s="34">
        <f>VLOOKUP($B33,坦克个性化设定!$B$51:$T$81,MATCH(T$3,坦克个性化设定!$B$51:$T$51,0),FALSE)</f>
        <v>3</v>
      </c>
      <c r="U33" s="34">
        <f>VLOOKUP($B33,坦克个性化设定!$B$18:$BC$48,MATCH(U$3,坦克个性化设定!$B$18:$BC$18,0),FALSE)</f>
        <v>0.71</v>
      </c>
      <c r="V33" s="2">
        <f>VLOOKUP($B33,坦克个性化设定!$B$18:$BC$48,MATCH(V$3,坦克个性化设定!$B$18:$BC$18,0),FALSE)</f>
        <v>1</v>
      </c>
      <c r="W33" s="2">
        <f>VLOOKUP($B33,坦克个性化设定!$B$18:$BC$48,MATCH(W$3,坦克个性化设定!$B$18:$BC$18,0),FALSE)</f>
        <v>5</v>
      </c>
      <c r="X33" s="2">
        <f>VLOOKUP($B33,坦克个性化设定!$B$18:$BC$48,MATCH(X$3,坦克个性化设定!$B$18:$BC$18,0),FALSE)</f>
        <v>0.5</v>
      </c>
      <c r="Y33" s="34">
        <f>VLOOKUP($B33,坦克个性化设定!$B$18:$BC$48,MATCH(Y$3,坦克个性化设定!$B$18:$BC$18,0),FALSE)</f>
        <v>7.669995017484621</v>
      </c>
      <c r="Z33" s="34">
        <f>VLOOKUP($B33,坦克个性化设定!$B$18:$BC$48,MATCH(Z$3,坦克个性化设定!$B$18:$BC$18,0),FALSE)</f>
        <v>47.93746885927888</v>
      </c>
      <c r="AA33" s="34">
        <f>VLOOKUP($B33,坦克个性化设定!$B$18:$BC$48,MATCH(AA$3,坦克个性化设定!$B$18:$BC$18,0),FALSE)</f>
        <v>3.1</v>
      </c>
      <c r="AB33" s="34">
        <f>VLOOKUP($B33,坦克个性化设定!$B$18:$BC$48,MATCH(AB$3,坦克个性化设定!$B$18:$BC$18,0),FALSE)</f>
        <v>6.3</v>
      </c>
      <c r="AC33" s="34">
        <f>VLOOKUP($B33,坦克个性化设定!$B$18:$BC$48,MATCH(AC$3,坦克个性化设定!$B$18:$BC$18,0),FALSE)</f>
        <v>3.8888888888888888</v>
      </c>
      <c r="AD33" s="34">
        <f>VLOOKUP($B33,坦克个性化设定!$B$18:$BC$48,MATCH(AD$3,坦克个性化设定!$B$18:$BC$18,0),FALSE)</f>
        <v>2</v>
      </c>
      <c r="AE33" s="34">
        <f>VLOOKUP($B33,坦克个性化设定!$B$18:$BC$48,MATCH(AE$3,坦克个性化设定!$B$18:$BC$18,0),FALSE)</f>
        <v>1.24</v>
      </c>
      <c r="AF33" s="2">
        <f>VLOOKUP($B33,坦克个性化设定!$B$18:$BC$48,MATCH(AF$3,坦克个性化设定!$B$18:$BC$18,0),FALSE)</f>
        <v>0.2</v>
      </c>
      <c r="AG33" s="2">
        <f>VLOOKUP($B33,坦克个性化设定!$B$18:$BC$48,MATCH(AG$3,坦克个性化设定!$B$18:$BC$18,0),FALSE)</f>
        <v>5</v>
      </c>
      <c r="AH33" s="2">
        <f>VLOOKUP($B33,坦克个性化设定!$B$18:$BC$48,MATCH(AH$3,坦克个性化设定!$B$18:$BC$18,0),FALSE)</f>
        <v>10</v>
      </c>
      <c r="AI33" s="2">
        <f>VLOOKUP(B33,坦克个性化细分!$I$3:$P$33,3,FALSE)</f>
        <v>30.7</v>
      </c>
      <c r="AJ33" s="2">
        <f>VLOOKUP(B33,坦克个性化细分!$I$3:$P$33,5,FALSE)</f>
        <v>35</v>
      </c>
      <c r="AK33" s="2">
        <f>VLOOKUP(B33,坦克个性化细分!$I$3:$P$33,7,FALSE)</f>
        <v>6.3</v>
      </c>
      <c r="AL33" s="2">
        <f>VLOOKUP($B33,坦克个性化设定!$G$84:$T$114,MATCH(AL$3,坦克个性化设定!$G$84:$T$84,0),FALSE)</f>
        <v>1</v>
      </c>
      <c r="AM33" s="2">
        <f>VLOOKUP($B33,坦克个性化细分!$E$3:$G$33,2,FALSE)</f>
        <v>6</v>
      </c>
      <c r="AN33" s="2">
        <f>VLOOKUP($B33,坦克个性化细分!$E$3:$G$33,3,FALSE)</f>
        <v>0</v>
      </c>
      <c r="AO33" s="34">
        <f t="shared" si="0"/>
        <v>3</v>
      </c>
      <c r="AP33" s="33">
        <f t="shared" ca="1" si="1"/>
        <v>2436</v>
      </c>
      <c r="AQ33" s="33">
        <f t="shared" ca="1" si="2"/>
        <v>984</v>
      </c>
      <c r="AR33" s="33">
        <f t="shared" ca="1" si="3"/>
        <v>317</v>
      </c>
      <c r="AS33" s="33">
        <f t="shared" ca="1" si="4"/>
        <v>792</v>
      </c>
      <c r="AT33" s="33">
        <f t="shared" ca="1" si="5"/>
        <v>1058</v>
      </c>
      <c r="AU33" s="33">
        <f t="shared" ca="1" si="6"/>
        <v>229</v>
      </c>
      <c r="AV33" s="33">
        <f t="shared" si="12"/>
        <v>0</v>
      </c>
      <c r="AW33" s="33">
        <f t="shared" si="13"/>
        <v>0</v>
      </c>
      <c r="AX33" s="33">
        <f t="shared" si="14"/>
        <v>0</v>
      </c>
      <c r="AY33" s="2">
        <f t="shared" si="7"/>
        <v>1</v>
      </c>
      <c r="AZ33" s="2">
        <f>基础属性系数!$E$61</f>
        <v>0</v>
      </c>
      <c r="BA33" s="2">
        <v>50</v>
      </c>
      <c r="BB33" s="2">
        <v>10</v>
      </c>
      <c r="BC33" s="2">
        <f>VLOOKUP($B33,坦克类型系数!$B$3:$R$33,MATCH(BC$3,坦克类型系数!$B$3:$R$3,0),FALSE)</f>
        <v>0</v>
      </c>
      <c r="BD33" s="2">
        <f>VLOOKUP($B33,坦克类型系数!$B$3:$R$33,MATCH(BD$3,坦克类型系数!$B$3:$R$3,0),FALSE)</f>
        <v>2.4</v>
      </c>
      <c r="BE33" s="2">
        <f>VLOOKUP($B33,坦克类型系数!$B$3:$R$33,MATCH(BE$3,坦克类型系数!$B$3:$R$3,0),FALSE)</f>
        <v>1.65</v>
      </c>
      <c r="BF33" s="2">
        <f>VLOOKUP($B33,坦克类型系数!$B$3:$R$33,MATCH(BF$3,坦克类型系数!$B$3:$R$3,0),FALSE)</f>
        <v>1.65</v>
      </c>
      <c r="BG33" s="2">
        <f>VLOOKUP($B33,坦克类型系数!$B$3:$R$33,MATCH(BG$3,坦克类型系数!$B$3:$R$3,0),FALSE)</f>
        <v>0.9</v>
      </c>
      <c r="BH33" s="2">
        <f>VLOOKUP($B33,坦克类型系数!$B$3:$R$33,MATCH(BH$3,坦克类型系数!$B$3:$R$3,0),FALSE)</f>
        <v>0.9</v>
      </c>
      <c r="BI33" s="2">
        <f>VLOOKUP($B33,坦克类型系数!$B$3:$R$33,MATCH(BI$3,坦克类型系数!$B$3:$R$3,0),FALSE)</f>
        <v>0.85</v>
      </c>
      <c r="BJ33" s="25"/>
      <c r="BN33" s="2" t="str">
        <f t="shared" si="8"/>
        <v>M1A2</v>
      </c>
      <c r="BO33" s="2" t="str">
        <f>VLOOKUP(BN33,坦克个性化设定!$B$18:$E$48,MATCH(BO$3,坦克个性化设定!$B$18:$E$18,0),FALSE)</f>
        <v>T5</v>
      </c>
      <c r="BP33" s="2" t="str">
        <f t="shared" si="9"/>
        <v>低</v>
      </c>
      <c r="BQ33" s="2" t="s">
        <v>777</v>
      </c>
      <c r="BR33" s="2"/>
      <c r="BS33" s="42">
        <f ca="1">VLOOKUP($BN33&amp;$BQ33,坦克标准养成属性!$S$3:$AE$63,MATCH(BS$3,坦克标准养成属性!$S$3:$AE$3,0),FALSE)</f>
        <v>2435.8456796970545</v>
      </c>
      <c r="BT33" s="42">
        <f ca="1">VLOOKUP($BN33&amp;$BQ33,坦克标准养成属性!$S$3:$AE$63,MATCH(BT$3,坦克标准养成属性!$S$3:$AE$3,0),FALSE)</f>
        <v>984.14691044719336</v>
      </c>
      <c r="BU33" s="42">
        <f ca="1">VLOOKUP($BN33&amp;$BQ33,坦克标准养成属性!$S$3:$AE$63,MATCH(BU$3,坦克标准养成属性!$S$3:$AE$3,0),FALSE)</f>
        <v>317</v>
      </c>
      <c r="BV33" s="42">
        <f ca="1">VLOOKUP($BN33&amp;$BQ33,坦克标准养成属性!$S$3:$AE$63,MATCH(BV$3,坦克标准养成属性!$S$3:$AE$3,0),FALSE)</f>
        <v>792</v>
      </c>
      <c r="BW33" s="42">
        <f ca="1">VLOOKUP($BN33&amp;$BQ33,坦克标准养成属性!$S$3:$AE$63,MATCH(BW$3,坦克标准养成属性!$S$3:$AE$3,0),FALSE)</f>
        <v>1058</v>
      </c>
      <c r="BX33" s="42">
        <f ca="1">VLOOKUP($BN33&amp;$BQ33,坦克标准养成属性!$S$3:$AE$63,MATCH(BX$3,坦克标准养成属性!$S$3:$AE$3,0),FALSE)</f>
        <v>229</v>
      </c>
      <c r="BY33" s="2">
        <f>IFERROR((VLOOKUP(LEFT(BR33,1)*1,坦克部件!$N$3:$W$9,MATCH("升星属性",坦克部件!$N$3:$W$3,0),FALSE)+VLOOKUP(RIGHT(BR33,1)*1,坦克部件!$Y$3:$AC$38,MATCH("累计属性",坦克部件!$Y$3:$AC$3,0),FALSE))*2,0)</f>
        <v>0</v>
      </c>
      <c r="BZ33" s="42">
        <f t="shared" si="15"/>
        <v>0</v>
      </c>
      <c r="CA33" s="42">
        <f t="shared" si="16"/>
        <v>0</v>
      </c>
    </row>
  </sheetData>
  <mergeCells count="2">
    <mergeCell ref="B2:BI2"/>
    <mergeCell ref="BN2:CA2"/>
  </mergeCells>
  <phoneticPr fontId="32" type="noConversion"/>
  <pageMargins left="0.7" right="0.7" top="0.75" bottom="0.75" header="0.3" footer="0.3"/>
  <pageSetup paperSize="9" orientation="portrait" r:id="rId1"/>
  <ignoredErrors>
    <ignoredError sqref="H4:H33" formula="1"/>
  </ignoredError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9"/>
  <dimension ref="B2:AG168"/>
  <sheetViews>
    <sheetView workbookViewId="0">
      <selection activeCell="D15" sqref="D15"/>
    </sheetView>
  </sheetViews>
  <sheetFormatPr defaultColWidth="9" defaultRowHeight="14.25" x14ac:dyDescent="0.3"/>
  <cols>
    <col min="1" max="16384" width="9" style="1"/>
  </cols>
  <sheetData>
    <row r="2" spans="2:17" ht="15.75" customHeight="1" x14ac:dyDescent="0.3">
      <c r="B2" s="351" t="s">
        <v>1218</v>
      </c>
      <c r="C2" s="351"/>
      <c r="D2" s="351"/>
      <c r="E2" s="351"/>
      <c r="F2" s="351"/>
      <c r="G2" s="351"/>
      <c r="H2" s="351"/>
      <c r="J2" s="352" t="s">
        <v>1219</v>
      </c>
      <c r="K2" s="353"/>
      <c r="L2" s="353"/>
      <c r="M2" s="353"/>
      <c r="N2" s="354"/>
    </row>
    <row r="3" spans="2:17" x14ac:dyDescent="0.3">
      <c r="B3" s="2" t="s">
        <v>1220</v>
      </c>
      <c r="C3" s="2" t="s">
        <v>593</v>
      </c>
      <c r="D3" s="2" t="s">
        <v>594</v>
      </c>
      <c r="E3" s="2" t="s">
        <v>1221</v>
      </c>
      <c r="F3" s="2" t="s">
        <v>885</v>
      </c>
      <c r="G3" s="2" t="s">
        <v>346</v>
      </c>
      <c r="H3" s="2" t="s">
        <v>1222</v>
      </c>
      <c r="J3" s="2" t="s">
        <v>1220</v>
      </c>
      <c r="K3" s="2" t="s">
        <v>1223</v>
      </c>
      <c r="L3" s="2" t="s">
        <v>593</v>
      </c>
      <c r="M3" s="2" t="s">
        <v>594</v>
      </c>
      <c r="N3" s="2" t="s">
        <v>161</v>
      </c>
      <c r="P3" s="2" t="s">
        <v>1223</v>
      </c>
      <c r="Q3" s="2" t="s">
        <v>161</v>
      </c>
    </row>
    <row r="4" spans="2:17" x14ac:dyDescent="0.3">
      <c r="B4" s="2">
        <v>1</v>
      </c>
      <c r="C4" s="2" t="str">
        <f>坦克等级成长!B13&amp;坦克等级成长!C13</f>
        <v>T1低</v>
      </c>
      <c r="D4" s="2">
        <f>坦克标准养成属性!I4</f>
        <v>5</v>
      </c>
      <c r="E4" s="2">
        <f>坦克标准养成属性!O4</f>
        <v>0.7</v>
      </c>
      <c r="F4" s="2">
        <f>坦克标准养成属性!P4</f>
        <v>0.3</v>
      </c>
      <c r="G4" s="34">
        <f>坦克等级成长!J13</f>
        <v>1</v>
      </c>
      <c r="H4" s="34">
        <f>坦克等级成长!K13</f>
        <v>1.3</v>
      </c>
      <c r="I4" s="129"/>
      <c r="J4" s="2">
        <v>1</v>
      </c>
      <c r="K4" s="2" t="str">
        <f>L4&amp;M4</f>
        <v>T1低0</v>
      </c>
      <c r="L4" s="2" t="str">
        <f t="shared" ref="L4:L35" si="0">VLOOKUP(J4,$B$3:$H$15,2,FALSE)</f>
        <v>T1低</v>
      </c>
      <c r="M4" s="2">
        <f>IF(J4&lt;&gt;J3,0,M3+1)</f>
        <v>0</v>
      </c>
      <c r="N4" s="34">
        <f t="shared" ref="N4:N35" si="1">VLOOKUP(J4,$B$3:$H$15,6,FALSE)+M4/VLOOKUP(J4,$B$3:$H$15,3,FALSE)*(VLOOKUP(J4,$B$3:$H$15,7,FALSE)-VLOOKUP(J4,$B$3:$H$15,6,FALSE))</f>
        <v>1</v>
      </c>
      <c r="P4" s="2" t="s">
        <v>1224</v>
      </c>
      <c r="Q4" s="34">
        <v>1</v>
      </c>
    </row>
    <row r="5" spans="2:17" x14ac:dyDescent="0.3">
      <c r="B5" s="2">
        <v>2</v>
      </c>
      <c r="C5" s="2" t="str">
        <f>坦克等级成长!B14&amp;坦克等级成长!C14</f>
        <v>T2低</v>
      </c>
      <c r="D5" s="2">
        <f>坦克标准养成属性!I5</f>
        <v>7</v>
      </c>
      <c r="E5" s="2">
        <f>坦克标准养成属性!O5</f>
        <v>0.65</v>
      </c>
      <c r="F5" s="2">
        <f>坦克标准养成属性!P5</f>
        <v>0.35</v>
      </c>
      <c r="G5" s="34">
        <f>坦克等级成长!J14</f>
        <v>1.2</v>
      </c>
      <c r="H5" s="34">
        <f>坦克等级成长!K14</f>
        <v>1.7</v>
      </c>
      <c r="I5" s="129"/>
      <c r="J5" s="2">
        <f t="shared" ref="J5:J36" si="2">IF(M4=VLOOKUP(J4,$B$3:$H$15,3,FALSE),J4+1,J4)</f>
        <v>1</v>
      </c>
      <c r="K5" s="2" t="str">
        <f t="shared" ref="K5:K68" si="3">L5&amp;M5</f>
        <v>T1低1</v>
      </c>
      <c r="L5" s="2" t="str">
        <f t="shared" si="0"/>
        <v>T1低</v>
      </c>
      <c r="M5" s="2">
        <f t="shared" ref="M5:M27" si="4">IF(J5&lt;&gt;J4,0,M4+1)</f>
        <v>1</v>
      </c>
      <c r="N5" s="34">
        <f t="shared" si="1"/>
        <v>1.06</v>
      </c>
      <c r="P5" s="2" t="s">
        <v>765</v>
      </c>
      <c r="Q5" s="34">
        <v>1.2</v>
      </c>
    </row>
    <row r="6" spans="2:17" x14ac:dyDescent="0.3">
      <c r="B6" s="2">
        <v>3</v>
      </c>
      <c r="C6" s="2" t="str">
        <f>坦克等级成长!B15&amp;坦克等级成长!C15</f>
        <v>T2中</v>
      </c>
      <c r="D6" s="2">
        <f>坦克标准养成属性!I6</f>
        <v>7</v>
      </c>
      <c r="E6" s="2">
        <f>坦克标准养成属性!O6</f>
        <v>0.65</v>
      </c>
      <c r="F6" s="2">
        <f>坦克标准养成属性!P6</f>
        <v>0.35</v>
      </c>
      <c r="G6" s="34">
        <f>坦克等级成长!J15</f>
        <v>1.22</v>
      </c>
      <c r="H6" s="34">
        <f>坦克等级成长!K15</f>
        <v>1.7599999999999998</v>
      </c>
      <c r="I6" s="129"/>
      <c r="J6" s="2">
        <f t="shared" si="2"/>
        <v>1</v>
      </c>
      <c r="K6" s="2" t="str">
        <f t="shared" si="3"/>
        <v>T1低2</v>
      </c>
      <c r="L6" s="2" t="str">
        <f t="shared" si="0"/>
        <v>T1低</v>
      </c>
      <c r="M6" s="2">
        <f t="shared" si="4"/>
        <v>2</v>
      </c>
      <c r="N6" s="34">
        <f t="shared" si="1"/>
        <v>1.1200000000000001</v>
      </c>
      <c r="P6" s="2" t="s">
        <v>1225</v>
      </c>
      <c r="Q6" s="34">
        <v>1.4</v>
      </c>
    </row>
    <row r="7" spans="2:17" x14ac:dyDescent="0.3">
      <c r="B7" s="2">
        <v>4</v>
      </c>
      <c r="C7" s="2" t="str">
        <f>坦克等级成长!B16&amp;坦克等级成长!C16</f>
        <v>T3低</v>
      </c>
      <c r="D7" s="2">
        <f>坦克标准养成属性!I7</f>
        <v>9</v>
      </c>
      <c r="E7" s="2">
        <f>坦克标准养成属性!O7</f>
        <v>0.6</v>
      </c>
      <c r="F7" s="2">
        <f>坦克标准养成属性!P7</f>
        <v>0.4</v>
      </c>
      <c r="G7" s="34">
        <f>坦克等级成长!J16</f>
        <v>1.48</v>
      </c>
      <c r="H7" s="34">
        <f>坦克等级成长!K16</f>
        <v>2.17</v>
      </c>
      <c r="I7" s="129"/>
      <c r="J7" s="2">
        <f t="shared" si="2"/>
        <v>1</v>
      </c>
      <c r="K7" s="2" t="str">
        <f t="shared" si="3"/>
        <v>T1低3</v>
      </c>
      <c r="L7" s="2" t="str">
        <f t="shared" si="0"/>
        <v>T1低</v>
      </c>
      <c r="M7" s="2">
        <f t="shared" si="4"/>
        <v>3</v>
      </c>
      <c r="N7" s="34">
        <f t="shared" si="1"/>
        <v>1.18</v>
      </c>
      <c r="P7" s="2" t="s">
        <v>1226</v>
      </c>
      <c r="Q7" s="34">
        <v>1.4</v>
      </c>
    </row>
    <row r="8" spans="2:17" x14ac:dyDescent="0.3">
      <c r="B8" s="2">
        <v>5</v>
      </c>
      <c r="C8" s="2" t="str">
        <f>坦克等级成长!B17&amp;坦克等级成长!C17</f>
        <v>T3中</v>
      </c>
      <c r="D8" s="2">
        <f>坦克标准养成属性!I8</f>
        <v>9</v>
      </c>
      <c r="E8" s="2">
        <f>坦克标准养成属性!O8</f>
        <v>0.6</v>
      </c>
      <c r="F8" s="2">
        <f>坦克标准养成属性!P8</f>
        <v>0.4</v>
      </c>
      <c r="G8" s="34">
        <f>坦克等级成长!J17</f>
        <v>1.54</v>
      </c>
      <c r="H8" s="34">
        <f>坦克等级成长!K17</f>
        <v>2.2800000000000002</v>
      </c>
      <c r="I8" s="129"/>
      <c r="J8" s="2">
        <f t="shared" si="2"/>
        <v>1</v>
      </c>
      <c r="K8" s="2" t="str">
        <f t="shared" si="3"/>
        <v>T1低4</v>
      </c>
      <c r="L8" s="2" t="str">
        <f t="shared" si="0"/>
        <v>T1低</v>
      </c>
      <c r="M8" s="2">
        <f t="shared" si="4"/>
        <v>4</v>
      </c>
      <c r="N8" s="34">
        <f t="shared" si="1"/>
        <v>1.24</v>
      </c>
      <c r="P8" s="2" t="s">
        <v>1227</v>
      </c>
      <c r="Q8" s="34">
        <v>1.48</v>
      </c>
    </row>
    <row r="9" spans="2:17" x14ac:dyDescent="0.3">
      <c r="B9" s="2">
        <v>6</v>
      </c>
      <c r="C9" s="2" t="str">
        <f>坦克等级成长!B18&amp;坦克等级成长!C18</f>
        <v>T3高</v>
      </c>
      <c r="D9" s="2">
        <f>坦克标准养成属性!I9</f>
        <v>9</v>
      </c>
      <c r="E9" s="2">
        <f>坦克标准养成属性!O9</f>
        <v>0.6</v>
      </c>
      <c r="F9" s="2">
        <f>坦克标准养成属性!P9</f>
        <v>0.4</v>
      </c>
      <c r="G9" s="34">
        <f>坦克等级成长!J18</f>
        <v>1.54</v>
      </c>
      <c r="H9" s="34">
        <f>坦克等级成长!K18</f>
        <v>2.33</v>
      </c>
      <c r="I9" s="129"/>
      <c r="J9" s="2">
        <f t="shared" si="2"/>
        <v>1</v>
      </c>
      <c r="K9" s="2" t="str">
        <f t="shared" si="3"/>
        <v>T1低5</v>
      </c>
      <c r="L9" s="2" t="str">
        <f t="shared" si="0"/>
        <v>T1低</v>
      </c>
      <c r="M9" s="2">
        <f t="shared" si="4"/>
        <v>5</v>
      </c>
      <c r="N9" s="34">
        <f t="shared" si="1"/>
        <v>1.3</v>
      </c>
      <c r="P9" s="2" t="s">
        <v>768</v>
      </c>
      <c r="Q9" s="34">
        <v>1.6</v>
      </c>
    </row>
    <row r="10" spans="2:17" x14ac:dyDescent="0.3">
      <c r="B10" s="2">
        <v>7</v>
      </c>
      <c r="C10" s="2" t="str">
        <f>坦克等级成长!B19&amp;坦克等级成长!C19</f>
        <v>T4低</v>
      </c>
      <c r="D10" s="2">
        <f>坦克标准养成属性!I10</f>
        <v>11</v>
      </c>
      <c r="E10" s="2">
        <f>坦克标准养成属性!O10</f>
        <v>0.55000000000000004</v>
      </c>
      <c r="F10" s="2">
        <f>坦克标准养成属性!P10</f>
        <v>0.45</v>
      </c>
      <c r="G10" s="34">
        <f>坦克等级成长!J19</f>
        <v>1.92</v>
      </c>
      <c r="H10" s="34">
        <f>坦克等级成长!K19</f>
        <v>3.2800000000000002</v>
      </c>
      <c r="I10" s="129"/>
      <c r="J10" s="2">
        <f t="shared" si="2"/>
        <v>2</v>
      </c>
      <c r="K10" s="2" t="str">
        <f t="shared" si="3"/>
        <v>T2低0</v>
      </c>
      <c r="L10" s="2" t="str">
        <f t="shared" si="0"/>
        <v>T2低</v>
      </c>
      <c r="M10" s="2">
        <f t="shared" si="4"/>
        <v>0</v>
      </c>
      <c r="N10" s="34">
        <f t="shared" si="1"/>
        <v>1.2</v>
      </c>
      <c r="P10" s="2" t="s">
        <v>1228</v>
      </c>
      <c r="Q10" s="34">
        <v>1.6</v>
      </c>
    </row>
    <row r="11" spans="2:17" x14ac:dyDescent="0.3">
      <c r="B11" s="2">
        <v>8</v>
      </c>
      <c r="C11" s="2" t="str">
        <f>坦克等级成长!B20&amp;坦克等级成长!C20</f>
        <v>T4中</v>
      </c>
      <c r="D11" s="2">
        <f>坦克标准养成属性!I11</f>
        <v>11</v>
      </c>
      <c r="E11" s="2">
        <f>坦克标准养成属性!O11</f>
        <v>0.55000000000000004</v>
      </c>
      <c r="F11" s="2">
        <f>坦克标准养成属性!P11</f>
        <v>0.45</v>
      </c>
      <c r="G11" s="34">
        <f>坦克等级成长!J20</f>
        <v>2</v>
      </c>
      <c r="H11" s="34">
        <f>坦克等级成长!K20</f>
        <v>3.43</v>
      </c>
      <c r="I11" s="129"/>
      <c r="J11" s="2">
        <f t="shared" si="2"/>
        <v>2</v>
      </c>
      <c r="K11" s="2" t="str">
        <f t="shared" si="3"/>
        <v>T2低1</v>
      </c>
      <c r="L11" s="2" t="str">
        <f t="shared" si="0"/>
        <v>T2低</v>
      </c>
      <c r="M11" s="2">
        <f t="shared" si="4"/>
        <v>1</v>
      </c>
      <c r="N11" s="34">
        <f t="shared" si="1"/>
        <v>1.2714285714285714</v>
      </c>
      <c r="P11" s="2" t="s">
        <v>1229</v>
      </c>
      <c r="Q11" s="34">
        <v>1.6945454545454499</v>
      </c>
    </row>
    <row r="12" spans="2:17" x14ac:dyDescent="0.3">
      <c r="B12" s="2">
        <v>9</v>
      </c>
      <c r="C12" s="2" t="str">
        <f>坦克等级成长!B21&amp;坦克等级成长!C21</f>
        <v>T4高</v>
      </c>
      <c r="D12" s="2">
        <f>坦克标准养成属性!I12</f>
        <v>11</v>
      </c>
      <c r="E12" s="2">
        <f>坦克标准养成属性!O12</f>
        <v>0.55000000000000004</v>
      </c>
      <c r="F12" s="2">
        <f>坦克标准养成属性!P12</f>
        <v>0.45</v>
      </c>
      <c r="G12" s="34">
        <f>坦克等级成长!J21</f>
        <v>2</v>
      </c>
      <c r="H12" s="34">
        <f>坦克等级成长!K21</f>
        <v>3.5</v>
      </c>
      <c r="I12" s="129"/>
      <c r="J12" s="2">
        <f t="shared" si="2"/>
        <v>2</v>
      </c>
      <c r="K12" s="2" t="str">
        <f t="shared" si="3"/>
        <v>T2低2</v>
      </c>
      <c r="L12" s="2" t="str">
        <f t="shared" si="0"/>
        <v>T2低</v>
      </c>
      <c r="M12" s="2">
        <f t="shared" si="4"/>
        <v>2</v>
      </c>
      <c r="N12" s="34">
        <f t="shared" si="1"/>
        <v>1.3428571428571427</v>
      </c>
      <c r="P12" s="2" t="s">
        <v>1230</v>
      </c>
      <c r="Q12" s="34">
        <v>1.8</v>
      </c>
    </row>
    <row r="13" spans="2:17" x14ac:dyDescent="0.3">
      <c r="B13" s="2">
        <v>10</v>
      </c>
      <c r="C13" s="2" t="str">
        <f>坦克等级成长!B22&amp;坦克等级成长!C22</f>
        <v>T5低</v>
      </c>
      <c r="D13" s="2">
        <f>坦克标准养成属性!I13</f>
        <v>13</v>
      </c>
      <c r="E13" s="2">
        <f>坦克标准养成属性!O13</f>
        <v>0.5</v>
      </c>
      <c r="F13" s="2">
        <f>坦克标准养成属性!P13</f>
        <v>0.5</v>
      </c>
      <c r="G13" s="34">
        <f>坦克等级成长!J22</f>
        <v>2.52</v>
      </c>
      <c r="H13" s="34">
        <f>坦克等级成长!K22</f>
        <v>4.18</v>
      </c>
      <c r="I13" s="129"/>
      <c r="J13" s="2">
        <f t="shared" si="2"/>
        <v>2</v>
      </c>
      <c r="K13" s="2" t="str">
        <f t="shared" si="3"/>
        <v>T2低3</v>
      </c>
      <c r="L13" s="2" t="str">
        <f t="shared" si="0"/>
        <v>T2低</v>
      </c>
      <c r="M13" s="2">
        <f t="shared" si="4"/>
        <v>3</v>
      </c>
      <c r="N13" s="34">
        <f t="shared" si="1"/>
        <v>1.4142857142857141</v>
      </c>
      <c r="P13" s="2" t="s">
        <v>766</v>
      </c>
      <c r="Q13" s="34">
        <v>1.8</v>
      </c>
    </row>
    <row r="14" spans="2:17" x14ac:dyDescent="0.3">
      <c r="B14" s="2">
        <v>11</v>
      </c>
      <c r="C14" s="2" t="str">
        <f>坦克等级成长!B23&amp;坦克等级成长!C23</f>
        <v>T5中</v>
      </c>
      <c r="D14" s="2">
        <f>坦克标准养成属性!I14</f>
        <v>13</v>
      </c>
      <c r="E14" s="2">
        <f>坦克标准养成属性!O14</f>
        <v>0.5</v>
      </c>
      <c r="F14" s="2">
        <f>坦克标准养成属性!P14</f>
        <v>0.5</v>
      </c>
      <c r="G14" s="34">
        <f>坦克等级成长!J23</f>
        <v>2.62</v>
      </c>
      <c r="H14" s="34">
        <f>坦克等级成长!K23</f>
        <v>4.3600000000000003</v>
      </c>
      <c r="I14" s="129"/>
      <c r="J14" s="2">
        <f t="shared" si="2"/>
        <v>2</v>
      </c>
      <c r="K14" s="2" t="str">
        <f t="shared" si="3"/>
        <v>T2低4</v>
      </c>
      <c r="L14" s="2" t="str">
        <f t="shared" si="0"/>
        <v>T2低</v>
      </c>
      <c r="M14" s="2">
        <f t="shared" si="4"/>
        <v>4</v>
      </c>
      <c r="N14" s="34">
        <f t="shared" si="1"/>
        <v>1.4857142857142858</v>
      </c>
      <c r="P14" s="2" t="s">
        <v>767</v>
      </c>
      <c r="Q14" s="34">
        <v>1.9090909090909101</v>
      </c>
    </row>
    <row r="15" spans="2:17" x14ac:dyDescent="0.3">
      <c r="B15" s="2">
        <v>12</v>
      </c>
      <c r="C15" s="2" t="str">
        <f>坦克等级成长!B24&amp;坦克等级成长!C24</f>
        <v>T5高</v>
      </c>
      <c r="D15" s="2">
        <f>坦克标准养成属性!I15</f>
        <v>13</v>
      </c>
      <c r="E15" s="2">
        <f>坦克标准养成属性!O15</f>
        <v>0.5</v>
      </c>
      <c r="F15" s="2">
        <f>坦克标准养成属性!P15</f>
        <v>0.5</v>
      </c>
      <c r="G15" s="34">
        <f>坦克等级成长!J24</f>
        <v>2.62</v>
      </c>
      <c r="H15" s="34">
        <f>坦克等级成长!K24</f>
        <v>4.4400000000000004</v>
      </c>
      <c r="I15" s="129"/>
      <c r="J15" s="2">
        <f t="shared" si="2"/>
        <v>2</v>
      </c>
      <c r="K15" s="2" t="str">
        <f t="shared" si="3"/>
        <v>T2低5</v>
      </c>
      <c r="L15" s="2" t="str">
        <f t="shared" si="0"/>
        <v>T2低</v>
      </c>
      <c r="M15" s="2">
        <f t="shared" si="4"/>
        <v>5</v>
      </c>
      <c r="N15" s="34">
        <f t="shared" si="1"/>
        <v>1.5571428571428572</v>
      </c>
      <c r="P15" s="2" t="s">
        <v>1231</v>
      </c>
      <c r="Q15" s="34">
        <v>2</v>
      </c>
    </row>
    <row r="16" spans="2:17" x14ac:dyDescent="0.3">
      <c r="J16" s="2">
        <f t="shared" si="2"/>
        <v>2</v>
      </c>
      <c r="K16" s="2" t="str">
        <f t="shared" si="3"/>
        <v>T2低6</v>
      </c>
      <c r="L16" s="2" t="str">
        <f t="shared" si="0"/>
        <v>T2低</v>
      </c>
      <c r="M16" s="2">
        <f t="shared" si="4"/>
        <v>6</v>
      </c>
      <c r="N16" s="34">
        <f t="shared" si="1"/>
        <v>1.6285714285714286</v>
      </c>
      <c r="P16" s="2" t="s">
        <v>1232</v>
      </c>
      <c r="Q16" s="34">
        <v>2</v>
      </c>
    </row>
    <row r="17" spans="10:33" x14ac:dyDescent="0.3">
      <c r="J17" s="2">
        <f t="shared" si="2"/>
        <v>2</v>
      </c>
      <c r="K17" s="2" t="str">
        <f t="shared" si="3"/>
        <v>T2低7</v>
      </c>
      <c r="L17" s="2" t="str">
        <f t="shared" si="0"/>
        <v>T2低</v>
      </c>
      <c r="M17" s="2">
        <f t="shared" si="4"/>
        <v>7</v>
      </c>
      <c r="N17" s="34">
        <f t="shared" si="1"/>
        <v>1.7</v>
      </c>
      <c r="P17" s="2" t="s">
        <v>1233</v>
      </c>
      <c r="Q17" s="34">
        <v>2.12</v>
      </c>
    </row>
    <row r="18" spans="10:33" x14ac:dyDescent="0.3">
      <c r="J18" s="2">
        <f t="shared" si="2"/>
        <v>3</v>
      </c>
      <c r="K18" s="2" t="str">
        <f t="shared" si="3"/>
        <v>T2中0</v>
      </c>
      <c r="L18" s="2" t="str">
        <f t="shared" si="0"/>
        <v>T2中</v>
      </c>
      <c r="M18" s="2">
        <f t="shared" si="4"/>
        <v>0</v>
      </c>
      <c r="N18" s="34">
        <f t="shared" si="1"/>
        <v>1.22</v>
      </c>
      <c r="P18" s="2" t="s">
        <v>1234</v>
      </c>
      <c r="Q18" s="34">
        <v>2.12363636363636</v>
      </c>
    </row>
    <row r="19" spans="10:33" x14ac:dyDescent="0.3">
      <c r="J19" s="2">
        <f t="shared" si="2"/>
        <v>3</v>
      </c>
      <c r="K19" s="2" t="str">
        <f t="shared" si="3"/>
        <v>T2中1</v>
      </c>
      <c r="L19" s="2" t="str">
        <f t="shared" si="0"/>
        <v>T2中</v>
      </c>
      <c r="M19" s="2">
        <f t="shared" si="4"/>
        <v>1</v>
      </c>
      <c r="N19" s="34">
        <f t="shared" si="1"/>
        <v>1.2971428571428572</v>
      </c>
      <c r="P19" s="2" t="s">
        <v>774</v>
      </c>
      <c r="Q19" s="34">
        <v>2.2000000000000002</v>
      </c>
    </row>
    <row r="20" spans="10:33" x14ac:dyDescent="0.3">
      <c r="J20" s="2">
        <f t="shared" si="2"/>
        <v>3</v>
      </c>
      <c r="K20" s="2" t="str">
        <f t="shared" si="3"/>
        <v>T2中2</v>
      </c>
      <c r="L20" s="2" t="str">
        <f t="shared" si="0"/>
        <v>T2中</v>
      </c>
      <c r="M20" s="2">
        <f t="shared" si="4"/>
        <v>2</v>
      </c>
      <c r="N20" s="34">
        <f t="shared" si="1"/>
        <v>1.3742857142857141</v>
      </c>
      <c r="P20" s="2" t="s">
        <v>1235</v>
      </c>
      <c r="Q20" s="34">
        <v>2.2000000000000002</v>
      </c>
    </row>
    <row r="21" spans="10:33" x14ac:dyDescent="0.3">
      <c r="J21" s="2">
        <f t="shared" si="2"/>
        <v>3</v>
      </c>
      <c r="K21" s="2" t="str">
        <f t="shared" si="3"/>
        <v>T2中3</v>
      </c>
      <c r="L21" s="2" t="str">
        <f t="shared" si="0"/>
        <v>T2中</v>
      </c>
      <c r="M21" s="2">
        <f t="shared" si="4"/>
        <v>3</v>
      </c>
      <c r="N21" s="34">
        <f t="shared" si="1"/>
        <v>1.4514285714285713</v>
      </c>
      <c r="P21" s="2" t="s">
        <v>1236</v>
      </c>
      <c r="Q21" s="34">
        <v>2.2400000000000002</v>
      </c>
      <c r="AG21" s="131"/>
    </row>
    <row r="22" spans="10:33" x14ac:dyDescent="0.3">
      <c r="J22" s="2">
        <f t="shared" si="2"/>
        <v>3</v>
      </c>
      <c r="K22" s="2" t="str">
        <f t="shared" si="3"/>
        <v>T2中4</v>
      </c>
      <c r="L22" s="2" t="str">
        <f t="shared" si="0"/>
        <v>T2中</v>
      </c>
      <c r="M22" s="2">
        <f t="shared" si="4"/>
        <v>4</v>
      </c>
      <c r="N22" s="34">
        <f t="shared" si="1"/>
        <v>1.5285714285714285</v>
      </c>
      <c r="P22" s="2" t="s">
        <v>1237</v>
      </c>
      <c r="Q22" s="34">
        <v>2.3342857142857101</v>
      </c>
      <c r="AG22" s="131"/>
    </row>
    <row r="23" spans="10:33" x14ac:dyDescent="0.3">
      <c r="J23" s="2">
        <f t="shared" si="2"/>
        <v>3</v>
      </c>
      <c r="K23" s="2" t="str">
        <f t="shared" si="3"/>
        <v>T2中5</v>
      </c>
      <c r="L23" s="2" t="str">
        <f t="shared" si="0"/>
        <v>T2中</v>
      </c>
      <c r="M23" s="2">
        <f t="shared" si="4"/>
        <v>5</v>
      </c>
      <c r="N23" s="34">
        <f t="shared" si="1"/>
        <v>1.6057142857142854</v>
      </c>
      <c r="P23" s="2" t="s">
        <v>791</v>
      </c>
      <c r="Q23" s="34">
        <v>2.3381818181818201</v>
      </c>
    </row>
    <row r="24" spans="10:33" x14ac:dyDescent="0.3">
      <c r="J24" s="2">
        <f t="shared" si="2"/>
        <v>3</v>
      </c>
      <c r="K24" s="2" t="str">
        <f t="shared" si="3"/>
        <v>T2中6</v>
      </c>
      <c r="L24" s="2" t="str">
        <f t="shared" si="0"/>
        <v>T2中</v>
      </c>
      <c r="M24" s="2">
        <f t="shared" si="4"/>
        <v>6</v>
      </c>
      <c r="N24" s="34">
        <f t="shared" si="1"/>
        <v>1.6828571428571426</v>
      </c>
      <c r="P24" s="2" t="s">
        <v>1238</v>
      </c>
      <c r="Q24" s="34">
        <v>2.4</v>
      </c>
    </row>
    <row r="25" spans="10:33" x14ac:dyDescent="0.3">
      <c r="J25" s="2">
        <f t="shared" si="2"/>
        <v>3</v>
      </c>
      <c r="K25" s="2" t="str">
        <f t="shared" si="3"/>
        <v>T2中7</v>
      </c>
      <c r="L25" s="2" t="str">
        <f t="shared" si="0"/>
        <v>T2中</v>
      </c>
      <c r="M25" s="2">
        <f t="shared" si="4"/>
        <v>7</v>
      </c>
      <c r="N25" s="34">
        <f t="shared" si="1"/>
        <v>1.7599999999999998</v>
      </c>
      <c r="P25" s="2" t="s">
        <v>1239</v>
      </c>
      <c r="Q25" s="34">
        <v>2.4</v>
      </c>
    </row>
    <row r="26" spans="10:33" x14ac:dyDescent="0.3">
      <c r="J26" s="2">
        <f t="shared" si="2"/>
        <v>4</v>
      </c>
      <c r="K26" s="2" t="str">
        <f t="shared" si="3"/>
        <v>T3低0</v>
      </c>
      <c r="L26" s="2" t="str">
        <f t="shared" si="0"/>
        <v>T3低</v>
      </c>
      <c r="M26" s="2">
        <f t="shared" si="4"/>
        <v>0</v>
      </c>
      <c r="N26" s="34">
        <f t="shared" si="1"/>
        <v>1.48</v>
      </c>
      <c r="P26" s="2" t="s">
        <v>1240</v>
      </c>
      <c r="Q26" s="34">
        <v>2.4685714285714302</v>
      </c>
    </row>
    <row r="27" spans="10:33" x14ac:dyDescent="0.3">
      <c r="J27" s="2">
        <f t="shared" si="2"/>
        <v>4</v>
      </c>
      <c r="K27" s="2" t="str">
        <f t="shared" si="3"/>
        <v>T3低1</v>
      </c>
      <c r="L27" s="2" t="str">
        <f t="shared" si="0"/>
        <v>T3低</v>
      </c>
      <c r="M27" s="2">
        <f t="shared" si="4"/>
        <v>1</v>
      </c>
      <c r="N27" s="34">
        <f t="shared" si="1"/>
        <v>1.5566666666666666</v>
      </c>
      <c r="P27" s="2" t="s">
        <v>1241</v>
      </c>
      <c r="Q27" s="34">
        <v>2.5485714285714298</v>
      </c>
    </row>
    <row r="28" spans="10:33" x14ac:dyDescent="0.3">
      <c r="J28" s="2">
        <f t="shared" si="2"/>
        <v>4</v>
      </c>
      <c r="K28" s="2" t="str">
        <f t="shared" si="3"/>
        <v>T3低2</v>
      </c>
      <c r="L28" s="2" t="str">
        <f t="shared" si="0"/>
        <v>T3低</v>
      </c>
      <c r="M28" s="2">
        <f t="shared" ref="M28:M59" si="5">IF(J28&lt;&gt;J27,0,M27+1)</f>
        <v>2</v>
      </c>
      <c r="N28" s="34">
        <f t="shared" si="1"/>
        <v>1.6333333333333333</v>
      </c>
      <c r="P28" s="2" t="s">
        <v>1242</v>
      </c>
      <c r="Q28" s="34">
        <v>2.5527272727272701</v>
      </c>
    </row>
    <row r="29" spans="10:33" x14ac:dyDescent="0.3">
      <c r="J29" s="2">
        <f t="shared" si="2"/>
        <v>4</v>
      </c>
      <c r="K29" s="2" t="str">
        <f t="shared" si="3"/>
        <v>T3低3</v>
      </c>
      <c r="L29" s="2" t="str">
        <f t="shared" si="0"/>
        <v>T3低</v>
      </c>
      <c r="M29" s="2">
        <f t="shared" si="5"/>
        <v>3</v>
      </c>
      <c r="N29" s="34">
        <f t="shared" si="1"/>
        <v>1.71</v>
      </c>
      <c r="P29" s="2" t="s">
        <v>769</v>
      </c>
      <c r="Q29" s="34">
        <v>2.6</v>
      </c>
    </row>
    <row r="30" spans="10:33" x14ac:dyDescent="0.3">
      <c r="J30" s="2">
        <f t="shared" si="2"/>
        <v>4</v>
      </c>
      <c r="K30" s="2" t="str">
        <f t="shared" si="3"/>
        <v>T3低4</v>
      </c>
      <c r="L30" s="2" t="str">
        <f t="shared" si="0"/>
        <v>T3低</v>
      </c>
      <c r="M30" s="2">
        <f t="shared" si="5"/>
        <v>4</v>
      </c>
      <c r="N30" s="34">
        <f t="shared" si="1"/>
        <v>1.7866666666666666</v>
      </c>
      <c r="P30" s="2" t="s">
        <v>1243</v>
      </c>
      <c r="Q30" s="34">
        <v>2.6</v>
      </c>
    </row>
    <row r="31" spans="10:33" x14ac:dyDescent="0.3">
      <c r="J31" s="2">
        <f t="shared" si="2"/>
        <v>4</v>
      </c>
      <c r="K31" s="2" t="str">
        <f t="shared" si="3"/>
        <v>T3低5</v>
      </c>
      <c r="L31" s="2" t="str">
        <f t="shared" si="0"/>
        <v>T3低</v>
      </c>
      <c r="M31" s="2">
        <f t="shared" si="5"/>
        <v>5</v>
      </c>
      <c r="N31" s="34">
        <f t="shared" si="1"/>
        <v>1.8633333333333333</v>
      </c>
      <c r="P31" s="2" t="s">
        <v>1244</v>
      </c>
      <c r="Q31" s="34">
        <v>2.6971428571428602</v>
      </c>
    </row>
    <row r="32" spans="10:33" x14ac:dyDescent="0.3">
      <c r="J32" s="2">
        <f t="shared" si="2"/>
        <v>4</v>
      </c>
      <c r="K32" s="2" t="str">
        <f t="shared" si="3"/>
        <v>T3低6</v>
      </c>
      <c r="L32" s="2" t="str">
        <f t="shared" si="0"/>
        <v>T3低</v>
      </c>
      <c r="M32" s="2">
        <f t="shared" si="5"/>
        <v>6</v>
      </c>
      <c r="N32" s="34">
        <f t="shared" si="1"/>
        <v>1.94</v>
      </c>
      <c r="P32" s="2" t="s">
        <v>770</v>
      </c>
      <c r="Q32" s="34">
        <v>2.7628571428571398</v>
      </c>
    </row>
    <row r="33" spans="10:17" x14ac:dyDescent="0.3">
      <c r="J33" s="2">
        <f t="shared" si="2"/>
        <v>4</v>
      </c>
      <c r="K33" s="2" t="str">
        <f t="shared" si="3"/>
        <v>T3低7</v>
      </c>
      <c r="L33" s="2" t="str">
        <f t="shared" si="0"/>
        <v>T3低</v>
      </c>
      <c r="M33" s="2">
        <f t="shared" si="5"/>
        <v>7</v>
      </c>
      <c r="N33" s="34">
        <f t="shared" si="1"/>
        <v>2.0166666666666666</v>
      </c>
      <c r="P33" s="2" t="s">
        <v>1245</v>
      </c>
      <c r="Q33" s="34">
        <v>2.7672727272727302</v>
      </c>
    </row>
    <row r="34" spans="10:17" x14ac:dyDescent="0.3">
      <c r="J34" s="2">
        <f t="shared" si="2"/>
        <v>4</v>
      </c>
      <c r="K34" s="2" t="str">
        <f t="shared" si="3"/>
        <v>T3低8</v>
      </c>
      <c r="L34" s="2" t="str">
        <f t="shared" si="0"/>
        <v>T3低</v>
      </c>
      <c r="M34" s="2">
        <f t="shared" si="5"/>
        <v>8</v>
      </c>
      <c r="N34" s="34">
        <f t="shared" si="1"/>
        <v>2.0933333333333333</v>
      </c>
      <c r="P34" s="2" t="s">
        <v>1246</v>
      </c>
      <c r="Q34" s="34">
        <v>2.8</v>
      </c>
    </row>
    <row r="35" spans="10:17" x14ac:dyDescent="0.3">
      <c r="J35" s="2">
        <f t="shared" si="2"/>
        <v>4</v>
      </c>
      <c r="K35" s="2" t="str">
        <f t="shared" si="3"/>
        <v>T3低9</v>
      </c>
      <c r="L35" s="2" t="str">
        <f t="shared" si="0"/>
        <v>T3低</v>
      </c>
      <c r="M35" s="2">
        <f t="shared" si="5"/>
        <v>9</v>
      </c>
      <c r="N35" s="34">
        <f t="shared" si="1"/>
        <v>2.17</v>
      </c>
      <c r="P35" s="2" t="s">
        <v>1247</v>
      </c>
      <c r="Q35" s="34">
        <v>2.8</v>
      </c>
    </row>
    <row r="36" spans="10:17" x14ac:dyDescent="0.3">
      <c r="J36" s="2">
        <f t="shared" si="2"/>
        <v>5</v>
      </c>
      <c r="K36" s="2" t="str">
        <f t="shared" si="3"/>
        <v>T3中0</v>
      </c>
      <c r="L36" s="2" t="str">
        <f t="shared" ref="L36:L67" si="6">VLOOKUP(J36,$B$3:$H$15,2,FALSE)</f>
        <v>T3中</v>
      </c>
      <c r="M36" s="2">
        <f t="shared" si="5"/>
        <v>0</v>
      </c>
      <c r="N36" s="34">
        <f t="shared" ref="N36:N67" si="7">VLOOKUP(J36,$B$3:$H$15,6,FALSE)+M36/VLOOKUP(J36,$B$3:$H$15,3,FALSE)*(VLOOKUP(J36,$B$3:$H$15,7,FALSE)-VLOOKUP(J36,$B$3:$H$15,6,FALSE))</f>
        <v>1.54</v>
      </c>
      <c r="P36" s="2" t="s">
        <v>771</v>
      </c>
      <c r="Q36" s="34">
        <v>2.9257142857142902</v>
      </c>
    </row>
    <row r="37" spans="10:17" x14ac:dyDescent="0.3">
      <c r="J37" s="2">
        <f t="shared" ref="J37:J68" si="8">IF(M36=VLOOKUP(J36,$B$3:$H$15,3,FALSE),J36+1,J36)</f>
        <v>5</v>
      </c>
      <c r="K37" s="2" t="str">
        <f t="shared" si="3"/>
        <v>T3中1</v>
      </c>
      <c r="L37" s="2" t="str">
        <f t="shared" si="6"/>
        <v>T3中</v>
      </c>
      <c r="M37" s="2">
        <f t="shared" si="5"/>
        <v>1</v>
      </c>
      <c r="N37" s="34">
        <f t="shared" si="7"/>
        <v>1.6222222222222222</v>
      </c>
      <c r="P37" s="2" t="s">
        <v>1248</v>
      </c>
      <c r="Q37" s="34">
        <v>2.96</v>
      </c>
    </row>
    <row r="38" spans="10:17" x14ac:dyDescent="0.3">
      <c r="J38" s="2">
        <f t="shared" si="8"/>
        <v>5</v>
      </c>
      <c r="K38" s="2" t="str">
        <f t="shared" si="3"/>
        <v>T3中2</v>
      </c>
      <c r="L38" s="2" t="str">
        <f t="shared" si="6"/>
        <v>T3中</v>
      </c>
      <c r="M38" s="2">
        <f t="shared" si="5"/>
        <v>2</v>
      </c>
      <c r="N38" s="34">
        <f t="shared" si="7"/>
        <v>1.7044444444444444</v>
      </c>
      <c r="P38" s="2" t="s">
        <v>1249</v>
      </c>
      <c r="Q38" s="34">
        <v>2.97714285714286</v>
      </c>
    </row>
    <row r="39" spans="10:17" x14ac:dyDescent="0.3">
      <c r="J39" s="2">
        <f t="shared" si="8"/>
        <v>5</v>
      </c>
      <c r="K39" s="2" t="str">
        <f t="shared" si="3"/>
        <v>T3中3</v>
      </c>
      <c r="L39" s="2" t="str">
        <f t="shared" si="6"/>
        <v>T3中</v>
      </c>
      <c r="M39" s="2">
        <f t="shared" si="5"/>
        <v>3</v>
      </c>
      <c r="N39" s="34">
        <f t="shared" si="7"/>
        <v>1.7866666666666668</v>
      </c>
      <c r="P39" s="2" t="s">
        <v>1250</v>
      </c>
      <c r="Q39" s="34">
        <v>2.9818181818181801</v>
      </c>
    </row>
    <row r="40" spans="10:17" x14ac:dyDescent="0.3">
      <c r="J40" s="2">
        <f t="shared" si="8"/>
        <v>5</v>
      </c>
      <c r="K40" s="2" t="str">
        <f t="shared" si="3"/>
        <v>T3中4</v>
      </c>
      <c r="L40" s="2" t="str">
        <f t="shared" si="6"/>
        <v>T3中</v>
      </c>
      <c r="M40" s="2">
        <f t="shared" si="5"/>
        <v>4</v>
      </c>
      <c r="N40" s="34">
        <f t="shared" si="7"/>
        <v>1.868888888888889</v>
      </c>
      <c r="P40" s="2" t="s">
        <v>789</v>
      </c>
      <c r="Q40" s="34">
        <v>3</v>
      </c>
    </row>
    <row r="41" spans="10:17" x14ac:dyDescent="0.3">
      <c r="J41" s="2">
        <f t="shared" si="8"/>
        <v>5</v>
      </c>
      <c r="K41" s="2" t="str">
        <f t="shared" si="3"/>
        <v>T3中5</v>
      </c>
      <c r="L41" s="2" t="str">
        <f t="shared" si="6"/>
        <v>T3中</v>
      </c>
      <c r="M41" s="2">
        <f t="shared" si="5"/>
        <v>5</v>
      </c>
      <c r="N41" s="34">
        <f t="shared" si="7"/>
        <v>1.9511111111111112</v>
      </c>
      <c r="P41" s="2" t="s">
        <v>1251</v>
      </c>
      <c r="Q41" s="34">
        <v>3</v>
      </c>
    </row>
    <row r="42" spans="10:17" x14ac:dyDescent="0.3">
      <c r="J42" s="2">
        <f t="shared" si="8"/>
        <v>5</v>
      </c>
      <c r="K42" s="2" t="str">
        <f t="shared" si="3"/>
        <v>T3中6</v>
      </c>
      <c r="L42" s="2" t="str">
        <f t="shared" si="6"/>
        <v>T3中</v>
      </c>
      <c r="M42" s="2">
        <f t="shared" si="5"/>
        <v>6</v>
      </c>
      <c r="N42" s="34">
        <f t="shared" si="7"/>
        <v>2.0333333333333337</v>
      </c>
      <c r="P42" s="2" t="s">
        <v>1252</v>
      </c>
      <c r="Q42" s="2">
        <v>3.12</v>
      </c>
    </row>
    <row r="43" spans="10:17" x14ac:dyDescent="0.3">
      <c r="J43" s="2">
        <f t="shared" si="8"/>
        <v>5</v>
      </c>
      <c r="K43" s="2" t="str">
        <f t="shared" si="3"/>
        <v>T3中7</v>
      </c>
      <c r="L43" s="2" t="str">
        <f t="shared" si="6"/>
        <v>T3中</v>
      </c>
      <c r="M43" s="2">
        <f t="shared" si="5"/>
        <v>7</v>
      </c>
      <c r="N43" s="34">
        <f t="shared" si="7"/>
        <v>2.1155555555555559</v>
      </c>
      <c r="P43" s="2" t="s">
        <v>1253</v>
      </c>
      <c r="Q43" s="34">
        <v>3.1542857142857099</v>
      </c>
    </row>
    <row r="44" spans="10:17" x14ac:dyDescent="0.3">
      <c r="J44" s="2">
        <f t="shared" si="8"/>
        <v>5</v>
      </c>
      <c r="K44" s="2" t="str">
        <f t="shared" si="3"/>
        <v>T3中8</v>
      </c>
      <c r="L44" s="2" t="str">
        <f t="shared" si="6"/>
        <v>T3中</v>
      </c>
      <c r="M44" s="2">
        <f t="shared" si="5"/>
        <v>8</v>
      </c>
      <c r="N44" s="34">
        <f t="shared" si="7"/>
        <v>2.1977777777777781</v>
      </c>
      <c r="P44" s="2" t="s">
        <v>1254</v>
      </c>
      <c r="Q44" s="34">
        <v>3.1741176470588202</v>
      </c>
    </row>
    <row r="45" spans="10:17" x14ac:dyDescent="0.3">
      <c r="J45" s="2">
        <f t="shared" si="8"/>
        <v>5</v>
      </c>
      <c r="K45" s="2" t="str">
        <f t="shared" si="3"/>
        <v>T3中9</v>
      </c>
      <c r="L45" s="2" t="str">
        <f t="shared" si="6"/>
        <v>T3中</v>
      </c>
      <c r="M45" s="2">
        <f t="shared" si="5"/>
        <v>9</v>
      </c>
      <c r="N45" s="34">
        <f t="shared" si="7"/>
        <v>2.2800000000000002</v>
      </c>
      <c r="P45" s="2" t="s">
        <v>797</v>
      </c>
      <c r="Q45" s="34">
        <v>3.1914285714285699</v>
      </c>
    </row>
    <row r="46" spans="10:17" x14ac:dyDescent="0.3">
      <c r="J46" s="2">
        <f t="shared" si="8"/>
        <v>6</v>
      </c>
      <c r="K46" s="2" t="str">
        <f t="shared" si="3"/>
        <v>T3高0</v>
      </c>
      <c r="L46" s="2" t="str">
        <f t="shared" si="6"/>
        <v>T3高</v>
      </c>
      <c r="M46" s="2">
        <f t="shared" si="5"/>
        <v>0</v>
      </c>
      <c r="N46" s="34">
        <f t="shared" si="7"/>
        <v>1.54</v>
      </c>
      <c r="P46" s="2" t="s">
        <v>1255</v>
      </c>
      <c r="Q46" s="34">
        <v>3.1963636363636398</v>
      </c>
    </row>
    <row r="47" spans="10:17" x14ac:dyDescent="0.3">
      <c r="J47" s="2">
        <f t="shared" si="8"/>
        <v>6</v>
      </c>
      <c r="K47" s="2" t="str">
        <f t="shared" si="3"/>
        <v>T3高1</v>
      </c>
      <c r="L47" s="2" t="str">
        <f t="shared" si="6"/>
        <v>T3高</v>
      </c>
      <c r="M47" s="2">
        <f t="shared" si="5"/>
        <v>1</v>
      </c>
      <c r="N47" s="34">
        <f t="shared" si="7"/>
        <v>1.6277777777777778</v>
      </c>
      <c r="P47" s="2" t="s">
        <v>1256</v>
      </c>
      <c r="Q47" s="34">
        <v>3.2</v>
      </c>
    </row>
    <row r="48" spans="10:17" x14ac:dyDescent="0.3">
      <c r="J48" s="2">
        <f t="shared" si="8"/>
        <v>6</v>
      </c>
      <c r="K48" s="2" t="str">
        <f t="shared" si="3"/>
        <v>T3高2</v>
      </c>
      <c r="L48" s="2" t="str">
        <f t="shared" si="6"/>
        <v>T3高</v>
      </c>
      <c r="M48" s="2">
        <f t="shared" si="5"/>
        <v>2</v>
      </c>
      <c r="N48" s="34">
        <f t="shared" si="7"/>
        <v>1.7155555555555555</v>
      </c>
      <c r="P48" s="2" t="s">
        <v>1257</v>
      </c>
      <c r="Q48" s="34">
        <v>3.2</v>
      </c>
    </row>
    <row r="49" spans="10:17" x14ac:dyDescent="0.3">
      <c r="J49" s="2">
        <f t="shared" si="8"/>
        <v>6</v>
      </c>
      <c r="K49" s="2" t="str">
        <f t="shared" si="3"/>
        <v>T3高3</v>
      </c>
      <c r="L49" s="2" t="str">
        <f t="shared" si="6"/>
        <v>T3高</v>
      </c>
      <c r="M49" s="2">
        <f t="shared" si="5"/>
        <v>3</v>
      </c>
      <c r="N49" s="34">
        <f t="shared" si="7"/>
        <v>1.8033333333333332</v>
      </c>
      <c r="P49" s="2" t="s">
        <v>1258</v>
      </c>
      <c r="Q49" s="2">
        <v>3.3482352941176501</v>
      </c>
    </row>
    <row r="50" spans="10:17" x14ac:dyDescent="0.3">
      <c r="J50" s="2">
        <f t="shared" si="8"/>
        <v>6</v>
      </c>
      <c r="K50" s="2" t="str">
        <f t="shared" si="3"/>
        <v>T3高4</v>
      </c>
      <c r="L50" s="2" t="str">
        <f t="shared" si="6"/>
        <v>T3高</v>
      </c>
      <c r="M50" s="2">
        <f t="shared" si="5"/>
        <v>4</v>
      </c>
      <c r="N50" s="34">
        <f t="shared" si="7"/>
        <v>1.8911111111111112</v>
      </c>
      <c r="P50" s="2" t="s">
        <v>799</v>
      </c>
      <c r="Q50" s="34">
        <v>3.3828571428571399</v>
      </c>
    </row>
    <row r="51" spans="10:17" x14ac:dyDescent="0.3">
      <c r="J51" s="2">
        <f t="shared" si="8"/>
        <v>6</v>
      </c>
      <c r="K51" s="2" t="str">
        <f t="shared" si="3"/>
        <v>T3高5</v>
      </c>
      <c r="L51" s="2" t="str">
        <f t="shared" si="6"/>
        <v>T3高</v>
      </c>
      <c r="M51" s="2">
        <f t="shared" si="5"/>
        <v>5</v>
      </c>
      <c r="N51" s="34">
        <f t="shared" si="7"/>
        <v>1.9788888888888889</v>
      </c>
      <c r="P51" s="2" t="s">
        <v>1259</v>
      </c>
      <c r="Q51" s="34">
        <v>3.3882352941176501</v>
      </c>
    </row>
    <row r="52" spans="10:17" x14ac:dyDescent="0.3">
      <c r="J52" s="2">
        <f t="shared" si="8"/>
        <v>6</v>
      </c>
      <c r="K52" s="2" t="str">
        <f t="shared" si="3"/>
        <v>T3高6</v>
      </c>
      <c r="L52" s="2" t="str">
        <f t="shared" si="6"/>
        <v>T3高</v>
      </c>
      <c r="M52" s="2">
        <f t="shared" si="5"/>
        <v>6</v>
      </c>
      <c r="N52" s="34">
        <f t="shared" si="7"/>
        <v>2.0666666666666664</v>
      </c>
      <c r="P52" s="2" t="s">
        <v>1260</v>
      </c>
      <c r="Q52" s="34">
        <v>3.4</v>
      </c>
    </row>
    <row r="53" spans="10:17" x14ac:dyDescent="0.3">
      <c r="J53" s="2">
        <f t="shared" si="8"/>
        <v>6</v>
      </c>
      <c r="K53" s="2" t="str">
        <f t="shared" si="3"/>
        <v>T3高7</v>
      </c>
      <c r="L53" s="2" t="str">
        <f t="shared" si="6"/>
        <v>T3高</v>
      </c>
      <c r="M53" s="2">
        <f t="shared" si="5"/>
        <v>7</v>
      </c>
      <c r="N53" s="34">
        <f t="shared" si="7"/>
        <v>2.1544444444444446</v>
      </c>
      <c r="P53" s="2" t="s">
        <v>1261</v>
      </c>
      <c r="Q53" s="34">
        <v>3.4</v>
      </c>
    </row>
    <row r="54" spans="10:17" x14ac:dyDescent="0.3">
      <c r="J54" s="2">
        <f t="shared" si="8"/>
        <v>6</v>
      </c>
      <c r="K54" s="2" t="str">
        <f t="shared" si="3"/>
        <v>T3高8</v>
      </c>
      <c r="L54" s="2" t="str">
        <f t="shared" si="6"/>
        <v>T3高</v>
      </c>
      <c r="M54" s="2">
        <f t="shared" si="5"/>
        <v>8</v>
      </c>
      <c r="N54" s="34">
        <f t="shared" si="7"/>
        <v>2.2422222222222223</v>
      </c>
      <c r="P54" s="2" t="s">
        <v>1262</v>
      </c>
      <c r="Q54" s="34">
        <v>3.4057142857142799</v>
      </c>
    </row>
    <row r="55" spans="10:17" x14ac:dyDescent="0.3">
      <c r="J55" s="2">
        <f t="shared" si="8"/>
        <v>6</v>
      </c>
      <c r="K55" s="2" t="str">
        <f t="shared" si="3"/>
        <v>T3高9</v>
      </c>
      <c r="L55" s="2" t="str">
        <f t="shared" si="6"/>
        <v>T3高</v>
      </c>
      <c r="M55" s="2">
        <f t="shared" si="5"/>
        <v>9</v>
      </c>
      <c r="N55" s="34">
        <f t="shared" si="7"/>
        <v>2.33</v>
      </c>
      <c r="P55" s="2" t="s">
        <v>1263</v>
      </c>
      <c r="Q55" s="34">
        <v>3.4109090909090898</v>
      </c>
    </row>
    <row r="56" spans="10:17" x14ac:dyDescent="0.3">
      <c r="J56" s="2">
        <f t="shared" si="8"/>
        <v>7</v>
      </c>
      <c r="K56" s="2" t="str">
        <f t="shared" si="3"/>
        <v>T4低0</v>
      </c>
      <c r="L56" s="2" t="str">
        <f t="shared" si="6"/>
        <v>T4低</v>
      </c>
      <c r="M56" s="2">
        <f t="shared" si="5"/>
        <v>0</v>
      </c>
      <c r="N56" s="34">
        <f t="shared" si="7"/>
        <v>1.92</v>
      </c>
      <c r="P56" s="2" t="s">
        <v>1264</v>
      </c>
      <c r="Q56" s="2">
        <v>3.5764705882352898</v>
      </c>
    </row>
    <row r="57" spans="10:17" x14ac:dyDescent="0.3">
      <c r="J57" s="2">
        <f t="shared" si="8"/>
        <v>7</v>
      </c>
      <c r="K57" s="2" t="str">
        <f t="shared" si="3"/>
        <v>T4低1</v>
      </c>
      <c r="L57" s="2" t="str">
        <f t="shared" si="6"/>
        <v>T4低</v>
      </c>
      <c r="M57" s="2">
        <f t="shared" si="5"/>
        <v>1</v>
      </c>
      <c r="N57" s="34">
        <f t="shared" si="7"/>
        <v>2.0436363636363635</v>
      </c>
      <c r="P57" s="2" t="s">
        <v>1265</v>
      </c>
      <c r="Q57" s="34">
        <v>3.6</v>
      </c>
    </row>
    <row r="58" spans="10:17" x14ac:dyDescent="0.3">
      <c r="J58" s="2">
        <f t="shared" si="8"/>
        <v>7</v>
      </c>
      <c r="K58" s="2" t="str">
        <f t="shared" si="3"/>
        <v>T4低2</v>
      </c>
      <c r="L58" s="2" t="str">
        <f t="shared" si="6"/>
        <v>T4低</v>
      </c>
      <c r="M58" s="2">
        <f t="shared" si="5"/>
        <v>2</v>
      </c>
      <c r="N58" s="34">
        <f t="shared" si="7"/>
        <v>2.1672727272727275</v>
      </c>
      <c r="P58" s="2" t="s">
        <v>784</v>
      </c>
      <c r="Q58" s="34">
        <v>3.6</v>
      </c>
    </row>
    <row r="59" spans="10:17" x14ac:dyDescent="0.3">
      <c r="J59" s="2">
        <f t="shared" si="8"/>
        <v>7</v>
      </c>
      <c r="K59" s="2" t="str">
        <f t="shared" si="3"/>
        <v>T4低3</v>
      </c>
      <c r="L59" s="2" t="str">
        <f t="shared" si="6"/>
        <v>T4低</v>
      </c>
      <c r="M59" s="2">
        <f t="shared" si="5"/>
        <v>3</v>
      </c>
      <c r="N59" s="34">
        <f t="shared" si="7"/>
        <v>2.290909090909091</v>
      </c>
      <c r="P59" s="2" t="s">
        <v>1266</v>
      </c>
      <c r="Q59" s="34">
        <v>3.6023529411764699</v>
      </c>
    </row>
    <row r="60" spans="10:17" x14ac:dyDescent="0.3">
      <c r="J60" s="2">
        <f t="shared" si="8"/>
        <v>7</v>
      </c>
      <c r="K60" s="2" t="str">
        <f t="shared" si="3"/>
        <v>T4低4</v>
      </c>
      <c r="L60" s="2" t="str">
        <f t="shared" si="6"/>
        <v>T4低</v>
      </c>
      <c r="M60" s="2">
        <f t="shared" ref="M60:M81" si="9">IF(J60&lt;&gt;J59,0,M59+1)</f>
        <v>4</v>
      </c>
      <c r="N60" s="34">
        <f t="shared" si="7"/>
        <v>2.4145454545454546</v>
      </c>
      <c r="P60" s="2" t="s">
        <v>1267</v>
      </c>
      <c r="Q60" s="34">
        <v>3.6114285714285699</v>
      </c>
    </row>
    <row r="61" spans="10:17" x14ac:dyDescent="0.3">
      <c r="J61" s="2">
        <f t="shared" si="8"/>
        <v>7</v>
      </c>
      <c r="K61" s="2" t="str">
        <f t="shared" si="3"/>
        <v>T4低5</v>
      </c>
      <c r="L61" s="2" t="str">
        <f t="shared" si="6"/>
        <v>T4低</v>
      </c>
      <c r="M61" s="2">
        <f t="shared" si="9"/>
        <v>5</v>
      </c>
      <c r="N61" s="34">
        <f t="shared" si="7"/>
        <v>2.5381818181818181</v>
      </c>
      <c r="P61" s="2" t="s">
        <v>1268</v>
      </c>
      <c r="Q61" s="34">
        <v>3.62</v>
      </c>
    </row>
    <row r="62" spans="10:17" x14ac:dyDescent="0.3">
      <c r="J62" s="2">
        <f t="shared" si="8"/>
        <v>7</v>
      </c>
      <c r="K62" s="2" t="str">
        <f t="shared" si="3"/>
        <v>T4低6</v>
      </c>
      <c r="L62" s="2" t="str">
        <f t="shared" si="6"/>
        <v>T4低</v>
      </c>
      <c r="M62" s="2">
        <f t="shared" si="9"/>
        <v>6</v>
      </c>
      <c r="N62" s="34">
        <f t="shared" si="7"/>
        <v>2.6618181818181821</v>
      </c>
      <c r="P62" s="2" t="s">
        <v>1269</v>
      </c>
      <c r="Q62" s="34">
        <v>3.6254545454545402</v>
      </c>
    </row>
    <row r="63" spans="10:17" x14ac:dyDescent="0.3">
      <c r="J63" s="2">
        <f t="shared" si="8"/>
        <v>7</v>
      </c>
      <c r="K63" s="2" t="str">
        <f t="shared" si="3"/>
        <v>T4低7</v>
      </c>
      <c r="L63" s="2" t="str">
        <f t="shared" si="6"/>
        <v>T4低</v>
      </c>
      <c r="M63" s="2">
        <f t="shared" si="9"/>
        <v>7</v>
      </c>
      <c r="N63" s="34">
        <f t="shared" si="7"/>
        <v>2.7854545454545456</v>
      </c>
      <c r="P63" s="2" t="s">
        <v>1270</v>
      </c>
      <c r="Q63" s="34">
        <v>3.8</v>
      </c>
    </row>
    <row r="64" spans="10:17" x14ac:dyDescent="0.3">
      <c r="J64" s="2">
        <f t="shared" si="8"/>
        <v>7</v>
      </c>
      <c r="K64" s="2" t="str">
        <f t="shared" si="3"/>
        <v>T4低8</v>
      </c>
      <c r="L64" s="2" t="str">
        <f t="shared" si="6"/>
        <v>T4低</v>
      </c>
      <c r="M64" s="2">
        <f t="shared" si="9"/>
        <v>8</v>
      </c>
      <c r="N64" s="34">
        <f t="shared" si="7"/>
        <v>2.9090909090909092</v>
      </c>
      <c r="P64" s="2" t="s">
        <v>1271</v>
      </c>
      <c r="Q64" s="2">
        <v>3.8</v>
      </c>
    </row>
    <row r="65" spans="10:17" x14ac:dyDescent="0.3">
      <c r="J65" s="2">
        <f t="shared" si="8"/>
        <v>7</v>
      </c>
      <c r="K65" s="2" t="str">
        <f t="shared" si="3"/>
        <v>T4低9</v>
      </c>
      <c r="L65" s="2" t="str">
        <f t="shared" si="6"/>
        <v>T4低</v>
      </c>
      <c r="M65" s="2">
        <f t="shared" si="9"/>
        <v>9</v>
      </c>
      <c r="N65" s="34">
        <f t="shared" si="7"/>
        <v>3.0327272727272732</v>
      </c>
      <c r="P65" s="2" t="s">
        <v>1272</v>
      </c>
      <c r="Q65" s="2">
        <v>3.8047058823529398</v>
      </c>
    </row>
    <row r="66" spans="10:17" x14ac:dyDescent="0.3">
      <c r="J66" s="2">
        <f t="shared" si="8"/>
        <v>7</v>
      </c>
      <c r="K66" s="2" t="str">
        <f t="shared" si="3"/>
        <v>T4低10</v>
      </c>
      <c r="L66" s="2" t="str">
        <f t="shared" si="6"/>
        <v>T4低</v>
      </c>
      <c r="M66" s="2">
        <f t="shared" si="9"/>
        <v>10</v>
      </c>
      <c r="N66" s="34">
        <f t="shared" si="7"/>
        <v>3.1563636363636363</v>
      </c>
      <c r="P66" s="2" t="s">
        <v>786</v>
      </c>
      <c r="Q66" s="2">
        <v>3.8164705882352901</v>
      </c>
    </row>
    <row r="67" spans="10:17" x14ac:dyDescent="0.3">
      <c r="J67" s="2">
        <f t="shared" si="8"/>
        <v>7</v>
      </c>
      <c r="K67" s="2" t="str">
        <f t="shared" si="3"/>
        <v>T4低11</v>
      </c>
      <c r="L67" s="2" t="str">
        <f t="shared" si="6"/>
        <v>T4低</v>
      </c>
      <c r="M67" s="2">
        <f t="shared" si="9"/>
        <v>11</v>
      </c>
      <c r="N67" s="34">
        <f t="shared" si="7"/>
        <v>3.2800000000000002</v>
      </c>
      <c r="P67" s="2" t="s">
        <v>1273</v>
      </c>
      <c r="Q67" s="34">
        <v>3.8342857142857101</v>
      </c>
    </row>
    <row r="68" spans="10:17" x14ac:dyDescent="0.3">
      <c r="J68" s="2">
        <f t="shared" si="8"/>
        <v>8</v>
      </c>
      <c r="K68" s="2" t="str">
        <f t="shared" si="3"/>
        <v>T4中0</v>
      </c>
      <c r="L68" s="2" t="str">
        <f t="shared" ref="L68:L81" si="10">VLOOKUP(J68,$B$3:$H$15,2,FALSE)</f>
        <v>T4中</v>
      </c>
      <c r="M68" s="2">
        <f t="shared" si="9"/>
        <v>0</v>
      </c>
      <c r="N68" s="34">
        <f t="shared" ref="N68:N81" si="11">VLOOKUP(J68,$B$3:$H$15,6,FALSE)+M68/VLOOKUP(J68,$B$3:$H$15,3,FALSE)*(VLOOKUP(J68,$B$3:$H$15,7,FALSE)-VLOOKUP(J68,$B$3:$H$15,6,FALSE))</f>
        <v>2</v>
      </c>
      <c r="P68" s="2" t="s">
        <v>1274</v>
      </c>
      <c r="Q68" s="34">
        <v>3.84</v>
      </c>
    </row>
    <row r="69" spans="10:17" x14ac:dyDescent="0.3">
      <c r="J69" s="2">
        <f t="shared" ref="J69:J81" si="12">IF(M68=VLOOKUP(J68,$B$3:$H$15,3,FALSE),J68+1,J68)</f>
        <v>8</v>
      </c>
      <c r="K69" s="2" t="str">
        <f t="shared" ref="K69:K81" si="13">L69&amp;M69</f>
        <v>T4中1</v>
      </c>
      <c r="L69" s="2" t="str">
        <f t="shared" si="10"/>
        <v>T4中</v>
      </c>
      <c r="M69" s="2">
        <f t="shared" si="9"/>
        <v>1</v>
      </c>
      <c r="N69" s="34">
        <f t="shared" si="11"/>
        <v>2.13</v>
      </c>
      <c r="P69" s="2" t="s">
        <v>1275</v>
      </c>
      <c r="Q69" s="34">
        <v>3.84</v>
      </c>
    </row>
    <row r="70" spans="10:17" x14ac:dyDescent="0.3">
      <c r="J70" s="2">
        <f t="shared" si="12"/>
        <v>8</v>
      </c>
      <c r="K70" s="2" t="str">
        <f t="shared" si="13"/>
        <v>T4中2</v>
      </c>
      <c r="L70" s="2" t="str">
        <f t="shared" si="10"/>
        <v>T4中</v>
      </c>
      <c r="M70" s="2">
        <f t="shared" si="9"/>
        <v>2</v>
      </c>
      <c r="N70" s="34">
        <f t="shared" si="11"/>
        <v>2.2599999999999998</v>
      </c>
      <c r="P70" s="2" t="s">
        <v>1276</v>
      </c>
      <c r="Q70" s="2">
        <v>4</v>
      </c>
    </row>
    <row r="71" spans="10:17" x14ac:dyDescent="0.3">
      <c r="J71" s="2">
        <f t="shared" si="12"/>
        <v>8</v>
      </c>
      <c r="K71" s="2" t="str">
        <f t="shared" si="13"/>
        <v>T4中3</v>
      </c>
      <c r="L71" s="2" t="str">
        <f t="shared" si="10"/>
        <v>T4中</v>
      </c>
      <c r="M71" s="2">
        <f t="shared" si="9"/>
        <v>3</v>
      </c>
      <c r="N71" s="34">
        <f t="shared" si="11"/>
        <v>2.39</v>
      </c>
      <c r="P71" s="2" t="s">
        <v>796</v>
      </c>
      <c r="Q71" s="34">
        <v>4</v>
      </c>
    </row>
    <row r="72" spans="10:17" x14ac:dyDescent="0.3">
      <c r="J72" s="2">
        <f t="shared" si="12"/>
        <v>8</v>
      </c>
      <c r="K72" s="2" t="str">
        <f t="shared" si="13"/>
        <v>T4中4</v>
      </c>
      <c r="L72" s="2" t="str">
        <f t="shared" si="10"/>
        <v>T4中</v>
      </c>
      <c r="M72" s="2">
        <f t="shared" si="9"/>
        <v>4</v>
      </c>
      <c r="N72" s="34">
        <f t="shared" si="11"/>
        <v>2.52</v>
      </c>
      <c r="P72" s="2" t="s">
        <v>1277</v>
      </c>
      <c r="Q72" s="2">
        <v>4</v>
      </c>
    </row>
    <row r="73" spans="10:17" x14ac:dyDescent="0.3">
      <c r="J73" s="2">
        <f t="shared" si="12"/>
        <v>8</v>
      </c>
      <c r="K73" s="2" t="str">
        <f t="shared" si="13"/>
        <v>T4中5</v>
      </c>
      <c r="L73" s="2" t="str">
        <f t="shared" si="10"/>
        <v>T4中</v>
      </c>
      <c r="M73" s="2">
        <f t="shared" si="9"/>
        <v>5</v>
      </c>
      <c r="N73" s="34">
        <f t="shared" si="11"/>
        <v>2.65</v>
      </c>
      <c r="P73" s="2" t="s">
        <v>1278</v>
      </c>
      <c r="Q73" s="2">
        <v>4.03058823529412</v>
      </c>
    </row>
    <row r="74" spans="10:17" x14ac:dyDescent="0.3">
      <c r="J74" s="2">
        <f t="shared" si="12"/>
        <v>8</v>
      </c>
      <c r="K74" s="2" t="str">
        <f t="shared" si="13"/>
        <v>T4中6</v>
      </c>
      <c r="L74" s="2" t="str">
        <f t="shared" si="10"/>
        <v>T4中</v>
      </c>
      <c r="M74" s="2">
        <f t="shared" si="9"/>
        <v>6</v>
      </c>
      <c r="N74" s="34">
        <f t="shared" si="11"/>
        <v>2.7800000000000002</v>
      </c>
      <c r="P74" s="2" t="s">
        <v>788</v>
      </c>
      <c r="Q74" s="2">
        <v>4.0329411764705902</v>
      </c>
    </row>
    <row r="75" spans="10:17" x14ac:dyDescent="0.3">
      <c r="J75" s="2">
        <f t="shared" si="12"/>
        <v>8</v>
      </c>
      <c r="K75" s="2" t="str">
        <f t="shared" si="13"/>
        <v>T4中7</v>
      </c>
      <c r="L75" s="2" t="str">
        <f t="shared" si="10"/>
        <v>T4中</v>
      </c>
      <c r="M75" s="2">
        <f t="shared" si="9"/>
        <v>7</v>
      </c>
      <c r="N75" s="34">
        <f t="shared" si="11"/>
        <v>2.91</v>
      </c>
      <c r="P75" s="2" t="s">
        <v>1279</v>
      </c>
      <c r="Q75" s="34">
        <v>4.0485714285714298</v>
      </c>
    </row>
    <row r="76" spans="10:17" x14ac:dyDescent="0.3">
      <c r="J76" s="2">
        <f t="shared" si="12"/>
        <v>8</v>
      </c>
      <c r="K76" s="2" t="str">
        <f t="shared" si="13"/>
        <v>T4中8</v>
      </c>
      <c r="L76" s="2" t="str">
        <f t="shared" si="10"/>
        <v>T4中</v>
      </c>
      <c r="M76" s="2">
        <f t="shared" si="9"/>
        <v>8</v>
      </c>
      <c r="N76" s="34">
        <f t="shared" si="11"/>
        <v>3.04</v>
      </c>
      <c r="P76" s="2" t="s">
        <v>1280</v>
      </c>
      <c r="Q76" s="34">
        <v>4.0685714285714303</v>
      </c>
    </row>
    <row r="77" spans="10:17" x14ac:dyDescent="0.3">
      <c r="J77" s="2">
        <f t="shared" si="12"/>
        <v>8</v>
      </c>
      <c r="K77" s="2" t="str">
        <f t="shared" si="13"/>
        <v>T4中9</v>
      </c>
      <c r="L77" s="2" t="str">
        <f t="shared" si="10"/>
        <v>T4中</v>
      </c>
      <c r="M77" s="2">
        <f t="shared" si="9"/>
        <v>9</v>
      </c>
      <c r="N77" s="34">
        <f t="shared" si="11"/>
        <v>3.17</v>
      </c>
      <c r="P77" s="2" t="s">
        <v>1281</v>
      </c>
      <c r="Q77" s="34">
        <v>4.2</v>
      </c>
    </row>
    <row r="78" spans="10:17" x14ac:dyDescent="0.3">
      <c r="J78" s="2">
        <f t="shared" si="12"/>
        <v>8</v>
      </c>
      <c r="K78" s="2" t="str">
        <f t="shared" si="13"/>
        <v>T4中10</v>
      </c>
      <c r="L78" s="2" t="str">
        <f t="shared" si="10"/>
        <v>T4中</v>
      </c>
      <c r="M78" s="2">
        <f t="shared" si="9"/>
        <v>10</v>
      </c>
      <c r="N78" s="34">
        <f t="shared" si="11"/>
        <v>3.3</v>
      </c>
      <c r="P78" s="2" t="s">
        <v>1282</v>
      </c>
      <c r="Q78" s="2">
        <v>4.2</v>
      </c>
    </row>
    <row r="79" spans="10:17" x14ac:dyDescent="0.3">
      <c r="J79" s="2">
        <f t="shared" si="12"/>
        <v>8</v>
      </c>
      <c r="K79" s="2" t="str">
        <f t="shared" si="13"/>
        <v>T4中11</v>
      </c>
      <c r="L79" s="2" t="str">
        <f t="shared" si="10"/>
        <v>T4中</v>
      </c>
      <c r="M79" s="2">
        <f t="shared" si="9"/>
        <v>11</v>
      </c>
      <c r="N79" s="34">
        <f t="shared" si="11"/>
        <v>3.43</v>
      </c>
      <c r="P79" s="2" t="s">
        <v>1283</v>
      </c>
      <c r="Q79" s="2">
        <v>4.2</v>
      </c>
    </row>
    <row r="80" spans="10:17" x14ac:dyDescent="0.3">
      <c r="J80" s="2">
        <f t="shared" si="12"/>
        <v>9</v>
      </c>
      <c r="K80" s="2" t="str">
        <f t="shared" si="13"/>
        <v>T4高0</v>
      </c>
      <c r="L80" s="2" t="str">
        <f t="shared" si="10"/>
        <v>T4高</v>
      </c>
      <c r="M80" s="2">
        <f t="shared" si="9"/>
        <v>0</v>
      </c>
      <c r="N80" s="34">
        <f t="shared" si="11"/>
        <v>2</v>
      </c>
      <c r="P80" s="2" t="s">
        <v>1284</v>
      </c>
      <c r="Q80" s="2">
        <v>4.2140000000000004</v>
      </c>
    </row>
    <row r="81" spans="10:17" x14ac:dyDescent="0.3">
      <c r="J81" s="2">
        <f t="shared" si="12"/>
        <v>9</v>
      </c>
      <c r="K81" s="2" t="str">
        <f t="shared" si="13"/>
        <v>T4高1</v>
      </c>
      <c r="L81" s="2" t="str">
        <f t="shared" si="10"/>
        <v>T4高</v>
      </c>
      <c r="M81" s="2">
        <f t="shared" si="9"/>
        <v>1</v>
      </c>
      <c r="N81" s="34">
        <f t="shared" si="11"/>
        <v>2.1363636363636362</v>
      </c>
      <c r="P81" s="2" t="s">
        <v>801</v>
      </c>
      <c r="Q81" s="2">
        <v>4.2447058823529398</v>
      </c>
    </row>
    <row r="82" spans="10:17" x14ac:dyDescent="0.3">
      <c r="J82" s="2">
        <f t="shared" ref="J82:J128" si="14">IF(M81=VLOOKUP(J81,$B$3:$H$15,3,FALSE),J81+1,J81)</f>
        <v>9</v>
      </c>
      <c r="K82" s="2" t="str">
        <f t="shared" ref="K82:K128" si="15">L82&amp;M82</f>
        <v>T4高2</v>
      </c>
      <c r="L82" s="2" t="str">
        <f t="shared" ref="L82:L128" si="16">VLOOKUP(J82,$B$3:$H$15,2,FALSE)</f>
        <v>T4高</v>
      </c>
      <c r="M82" s="2">
        <f t="shared" ref="M82:M128" si="17">IF(J82&lt;&gt;J81,0,M81+1)</f>
        <v>2</v>
      </c>
      <c r="N82" s="34">
        <f t="shared" ref="N82:N128" si="18">VLOOKUP(J82,$B$3:$H$15,6,FALSE)+M82/VLOOKUP(J82,$B$3:$H$15,3,FALSE)*(VLOOKUP(J82,$B$3:$H$15,7,FALSE)-VLOOKUP(J82,$B$3:$H$15,6,FALSE))</f>
        <v>2.2727272727272725</v>
      </c>
      <c r="P82" s="2" t="s">
        <v>1285</v>
      </c>
      <c r="Q82" s="2">
        <v>4.2611764705882402</v>
      </c>
    </row>
    <row r="83" spans="10:17" x14ac:dyDescent="0.3">
      <c r="J83" s="2">
        <f t="shared" si="14"/>
        <v>9</v>
      </c>
      <c r="K83" s="2" t="str">
        <f t="shared" si="15"/>
        <v>T4高3</v>
      </c>
      <c r="L83" s="2" t="str">
        <f t="shared" si="16"/>
        <v>T4高</v>
      </c>
      <c r="M83" s="2">
        <f t="shared" si="17"/>
        <v>3</v>
      </c>
      <c r="N83" s="34">
        <f t="shared" si="18"/>
        <v>2.4090909090909092</v>
      </c>
      <c r="P83" s="2" t="s">
        <v>1286</v>
      </c>
      <c r="Q83" s="34">
        <v>4.2628571428571398</v>
      </c>
    </row>
    <row r="84" spans="10:17" x14ac:dyDescent="0.3">
      <c r="J84" s="2">
        <f t="shared" si="14"/>
        <v>9</v>
      </c>
      <c r="K84" s="2" t="str">
        <f t="shared" si="15"/>
        <v>T4高4</v>
      </c>
      <c r="L84" s="2" t="str">
        <f t="shared" si="16"/>
        <v>T4高</v>
      </c>
      <c r="M84" s="2">
        <f t="shared" si="17"/>
        <v>4</v>
      </c>
      <c r="N84" s="34">
        <f t="shared" si="18"/>
        <v>2.5454545454545454</v>
      </c>
      <c r="P84" s="2" t="s">
        <v>1287</v>
      </c>
      <c r="Q84" s="34">
        <v>4.2971428571428598</v>
      </c>
    </row>
    <row r="85" spans="10:17" x14ac:dyDescent="0.3">
      <c r="J85" s="2">
        <f t="shared" si="14"/>
        <v>9</v>
      </c>
      <c r="K85" s="2" t="str">
        <f t="shared" si="15"/>
        <v>T4高5</v>
      </c>
      <c r="L85" s="2" t="str">
        <f t="shared" si="16"/>
        <v>T4高</v>
      </c>
      <c r="M85" s="2">
        <f t="shared" si="17"/>
        <v>5</v>
      </c>
      <c r="N85" s="34">
        <f t="shared" si="18"/>
        <v>2.6818181818181817</v>
      </c>
      <c r="P85" s="2" t="s">
        <v>1288</v>
      </c>
      <c r="Q85" s="34">
        <v>4.4000000000000004</v>
      </c>
    </row>
    <row r="86" spans="10:17" x14ac:dyDescent="0.3">
      <c r="J86" s="2">
        <f t="shared" si="14"/>
        <v>9</v>
      </c>
      <c r="K86" s="2" t="str">
        <f t="shared" si="15"/>
        <v>T4高6</v>
      </c>
      <c r="L86" s="2" t="str">
        <f t="shared" si="16"/>
        <v>T4高</v>
      </c>
      <c r="M86" s="2">
        <f t="shared" si="17"/>
        <v>6</v>
      </c>
      <c r="N86" s="34">
        <f t="shared" si="18"/>
        <v>2.8181818181818183</v>
      </c>
      <c r="P86" s="2" t="s">
        <v>1289</v>
      </c>
      <c r="Q86" s="2">
        <v>4.4000000000000004</v>
      </c>
    </row>
    <row r="87" spans="10:17" x14ac:dyDescent="0.3">
      <c r="J87" s="2">
        <f t="shared" si="14"/>
        <v>9</v>
      </c>
      <c r="K87" s="2" t="str">
        <f t="shared" si="15"/>
        <v>T4高7</v>
      </c>
      <c r="L87" s="2" t="str">
        <f t="shared" si="16"/>
        <v>T4高</v>
      </c>
      <c r="M87" s="2">
        <f t="shared" si="17"/>
        <v>7</v>
      </c>
      <c r="N87" s="34">
        <f t="shared" si="18"/>
        <v>2.9545454545454546</v>
      </c>
      <c r="P87" s="2" t="s">
        <v>1290</v>
      </c>
      <c r="Q87" s="2">
        <v>4.4279999999999999</v>
      </c>
    </row>
    <row r="88" spans="10:17" x14ac:dyDescent="0.3">
      <c r="J88" s="2">
        <f t="shared" si="14"/>
        <v>9</v>
      </c>
      <c r="K88" s="2" t="str">
        <f t="shared" si="15"/>
        <v>T4高8</v>
      </c>
      <c r="L88" s="2" t="str">
        <f t="shared" si="16"/>
        <v>T4高</v>
      </c>
      <c r="M88" s="2">
        <f t="shared" si="17"/>
        <v>8</v>
      </c>
      <c r="N88" s="34">
        <f t="shared" si="18"/>
        <v>3.0909090909090908</v>
      </c>
      <c r="P88" s="2" t="s">
        <v>1291</v>
      </c>
      <c r="Q88" s="2">
        <v>4.4279999999999999</v>
      </c>
    </row>
    <row r="89" spans="10:17" x14ac:dyDescent="0.3">
      <c r="J89" s="2">
        <f t="shared" si="14"/>
        <v>9</v>
      </c>
      <c r="K89" s="2" t="str">
        <f t="shared" si="15"/>
        <v>T4高9</v>
      </c>
      <c r="L89" s="2" t="str">
        <f t="shared" si="16"/>
        <v>T4高</v>
      </c>
      <c r="M89" s="2">
        <f t="shared" si="17"/>
        <v>9</v>
      </c>
      <c r="N89" s="34">
        <f t="shared" si="18"/>
        <v>3.2272727272727275</v>
      </c>
      <c r="P89" s="2" t="s">
        <v>1292</v>
      </c>
      <c r="Q89" s="2">
        <v>4.4588235294117604</v>
      </c>
    </row>
    <row r="90" spans="10:17" x14ac:dyDescent="0.3">
      <c r="J90" s="2">
        <f t="shared" si="14"/>
        <v>9</v>
      </c>
      <c r="K90" s="2" t="str">
        <f t="shared" si="15"/>
        <v>T4高10</v>
      </c>
      <c r="L90" s="2" t="str">
        <f t="shared" si="16"/>
        <v>T4高</v>
      </c>
      <c r="M90" s="2">
        <f t="shared" si="17"/>
        <v>10</v>
      </c>
      <c r="N90" s="34">
        <f t="shared" si="18"/>
        <v>3.3636363636363633</v>
      </c>
      <c r="P90" s="2" t="s">
        <v>1293</v>
      </c>
      <c r="Q90" s="34">
        <v>4.4771428571428604</v>
      </c>
    </row>
    <row r="91" spans="10:17" x14ac:dyDescent="0.3">
      <c r="J91" s="2">
        <f t="shared" si="14"/>
        <v>9</v>
      </c>
      <c r="K91" s="2" t="str">
        <f t="shared" si="15"/>
        <v>T4高11</v>
      </c>
      <c r="L91" s="2" t="str">
        <f t="shared" si="16"/>
        <v>T4高</v>
      </c>
      <c r="M91" s="2">
        <f t="shared" si="17"/>
        <v>11</v>
      </c>
      <c r="N91" s="34">
        <f t="shared" si="18"/>
        <v>3.5</v>
      </c>
      <c r="P91" s="2" t="s">
        <v>802</v>
      </c>
      <c r="Q91" s="2">
        <v>4.4894117647058804</v>
      </c>
    </row>
    <row r="92" spans="10:17" x14ac:dyDescent="0.3">
      <c r="J92" s="2">
        <f t="shared" si="14"/>
        <v>10</v>
      </c>
      <c r="K92" s="2" t="str">
        <f t="shared" si="15"/>
        <v>T5低0</v>
      </c>
      <c r="L92" s="2" t="str">
        <f t="shared" si="16"/>
        <v>T5低</v>
      </c>
      <c r="M92" s="2">
        <f t="shared" si="17"/>
        <v>0</v>
      </c>
      <c r="N92" s="34">
        <f t="shared" si="18"/>
        <v>2.52</v>
      </c>
      <c r="P92" s="2" t="s">
        <v>1294</v>
      </c>
      <c r="Q92" s="34">
        <v>4.5257142857142796</v>
      </c>
    </row>
    <row r="93" spans="10:17" x14ac:dyDescent="0.3">
      <c r="J93" s="2">
        <f t="shared" si="14"/>
        <v>10</v>
      </c>
      <c r="K93" s="2" t="str">
        <f t="shared" si="15"/>
        <v>T5低1</v>
      </c>
      <c r="L93" s="2" t="str">
        <f t="shared" si="16"/>
        <v>T5低</v>
      </c>
      <c r="M93" s="2">
        <f t="shared" si="17"/>
        <v>1</v>
      </c>
      <c r="N93" s="34">
        <f t="shared" si="18"/>
        <v>2.6476923076923078</v>
      </c>
      <c r="P93" s="2" t="s">
        <v>1295</v>
      </c>
      <c r="Q93" s="34">
        <v>4.5999999999999996</v>
      </c>
    </row>
    <row r="94" spans="10:17" x14ac:dyDescent="0.3">
      <c r="J94" s="2">
        <f t="shared" si="14"/>
        <v>10</v>
      </c>
      <c r="K94" s="2" t="str">
        <f t="shared" si="15"/>
        <v>T5低2</v>
      </c>
      <c r="L94" s="2" t="str">
        <f t="shared" si="16"/>
        <v>T5低</v>
      </c>
      <c r="M94" s="2">
        <f t="shared" si="17"/>
        <v>2</v>
      </c>
      <c r="N94" s="34">
        <f t="shared" si="18"/>
        <v>2.7753846153846156</v>
      </c>
      <c r="P94" s="2" t="s">
        <v>1296</v>
      </c>
      <c r="Q94" s="2">
        <v>4.5999999999999996</v>
      </c>
    </row>
    <row r="95" spans="10:17" x14ac:dyDescent="0.3">
      <c r="J95" s="2">
        <f t="shared" si="14"/>
        <v>10</v>
      </c>
      <c r="K95" s="2" t="str">
        <f t="shared" si="15"/>
        <v>T5低3</v>
      </c>
      <c r="L95" s="2" t="str">
        <f t="shared" si="16"/>
        <v>T5低</v>
      </c>
      <c r="M95" s="2">
        <f t="shared" si="17"/>
        <v>3</v>
      </c>
      <c r="N95" s="34">
        <f t="shared" si="18"/>
        <v>2.9030769230769229</v>
      </c>
      <c r="P95" s="2" t="s">
        <v>1297</v>
      </c>
      <c r="Q95" s="2">
        <v>4.6420000000000003</v>
      </c>
    </row>
    <row r="96" spans="10:17" x14ac:dyDescent="0.3">
      <c r="J96" s="2">
        <f t="shared" si="14"/>
        <v>10</v>
      </c>
      <c r="K96" s="2" t="str">
        <f t="shared" si="15"/>
        <v>T5低4</v>
      </c>
      <c r="L96" s="2" t="str">
        <f t="shared" si="16"/>
        <v>T5低</v>
      </c>
      <c r="M96" s="2">
        <f t="shared" si="17"/>
        <v>4</v>
      </c>
      <c r="N96" s="34">
        <f t="shared" si="18"/>
        <v>3.0307692307692307</v>
      </c>
      <c r="P96" s="2" t="s">
        <v>1298</v>
      </c>
      <c r="Q96" s="2">
        <v>4.6559999999999997</v>
      </c>
    </row>
    <row r="97" spans="10:17" x14ac:dyDescent="0.3">
      <c r="J97" s="2">
        <f t="shared" si="14"/>
        <v>10</v>
      </c>
      <c r="K97" s="2" t="str">
        <f t="shared" si="15"/>
        <v>T5低5</v>
      </c>
      <c r="L97" s="2" t="str">
        <f t="shared" si="16"/>
        <v>T5低</v>
      </c>
      <c r="M97" s="2">
        <f t="shared" si="17"/>
        <v>5</v>
      </c>
      <c r="N97" s="34">
        <f t="shared" si="18"/>
        <v>3.1584615384615384</v>
      </c>
      <c r="P97" s="2" t="s">
        <v>1299</v>
      </c>
      <c r="Q97" s="2">
        <v>4.6729411764705899</v>
      </c>
    </row>
    <row r="98" spans="10:17" x14ac:dyDescent="0.3">
      <c r="J98" s="2">
        <f t="shared" si="14"/>
        <v>10</v>
      </c>
      <c r="K98" s="2" t="str">
        <f t="shared" si="15"/>
        <v>T5低6</v>
      </c>
      <c r="L98" s="2" t="str">
        <f t="shared" si="16"/>
        <v>T5低</v>
      </c>
      <c r="M98" s="2">
        <f t="shared" si="17"/>
        <v>6</v>
      </c>
      <c r="N98" s="34">
        <f t="shared" si="18"/>
        <v>3.2861538461538462</v>
      </c>
      <c r="P98" s="2" t="s">
        <v>1300</v>
      </c>
      <c r="Q98" s="34">
        <v>4.6914285714285704</v>
      </c>
    </row>
    <row r="99" spans="10:17" x14ac:dyDescent="0.3">
      <c r="J99" s="2">
        <f t="shared" si="14"/>
        <v>10</v>
      </c>
      <c r="K99" s="2" t="str">
        <f t="shared" si="15"/>
        <v>T5低7</v>
      </c>
      <c r="L99" s="2" t="str">
        <f t="shared" si="16"/>
        <v>T5低</v>
      </c>
      <c r="M99" s="2">
        <f t="shared" si="17"/>
        <v>7</v>
      </c>
      <c r="N99" s="34">
        <f t="shared" si="18"/>
        <v>3.4138461538461535</v>
      </c>
      <c r="P99" s="2" t="s">
        <v>1301</v>
      </c>
      <c r="Q99" s="2">
        <v>4.7176470588235304</v>
      </c>
    </row>
    <row r="100" spans="10:17" x14ac:dyDescent="0.3">
      <c r="J100" s="2">
        <f t="shared" si="14"/>
        <v>10</v>
      </c>
      <c r="K100" s="2" t="str">
        <f t="shared" si="15"/>
        <v>T5低8</v>
      </c>
      <c r="L100" s="2" t="str">
        <f t="shared" si="16"/>
        <v>T5低</v>
      </c>
      <c r="M100" s="2">
        <f t="shared" si="17"/>
        <v>8</v>
      </c>
      <c r="N100" s="34">
        <f t="shared" si="18"/>
        <v>3.5415384615384617</v>
      </c>
      <c r="P100" s="2" t="s">
        <v>1302</v>
      </c>
      <c r="Q100" s="34">
        <v>4.75428571428571</v>
      </c>
    </row>
    <row r="101" spans="10:17" x14ac:dyDescent="0.3">
      <c r="J101" s="2">
        <f t="shared" si="14"/>
        <v>10</v>
      </c>
      <c r="K101" s="2" t="str">
        <f t="shared" si="15"/>
        <v>T5低9</v>
      </c>
      <c r="L101" s="2" t="str">
        <f t="shared" si="16"/>
        <v>T5低</v>
      </c>
      <c r="M101" s="2">
        <f t="shared" si="17"/>
        <v>9</v>
      </c>
      <c r="N101" s="34">
        <f t="shared" si="18"/>
        <v>3.6692307692307691</v>
      </c>
      <c r="P101" s="2" t="s">
        <v>1303</v>
      </c>
      <c r="Q101" s="34">
        <v>4.8</v>
      </c>
    </row>
    <row r="102" spans="10:17" x14ac:dyDescent="0.3">
      <c r="J102" s="2">
        <f t="shared" si="14"/>
        <v>10</v>
      </c>
      <c r="K102" s="2" t="str">
        <f t="shared" si="15"/>
        <v>T5低10</v>
      </c>
      <c r="L102" s="2" t="str">
        <f t="shared" si="16"/>
        <v>T5低</v>
      </c>
      <c r="M102" s="2">
        <f t="shared" si="17"/>
        <v>10</v>
      </c>
      <c r="N102" s="34">
        <f t="shared" si="18"/>
        <v>3.7969230769230768</v>
      </c>
      <c r="P102" s="2" t="s">
        <v>792</v>
      </c>
      <c r="Q102" s="2">
        <v>4.8</v>
      </c>
    </row>
    <row r="103" spans="10:17" x14ac:dyDescent="0.3">
      <c r="J103" s="2">
        <f t="shared" si="14"/>
        <v>10</v>
      </c>
      <c r="K103" s="2" t="str">
        <f t="shared" si="15"/>
        <v>T5低11</v>
      </c>
      <c r="L103" s="2" t="str">
        <f t="shared" si="16"/>
        <v>T5低</v>
      </c>
      <c r="M103" s="2">
        <f t="shared" si="17"/>
        <v>11</v>
      </c>
      <c r="N103" s="34">
        <f t="shared" si="18"/>
        <v>3.9246153846153842</v>
      </c>
      <c r="P103" s="2" t="s">
        <v>1304</v>
      </c>
      <c r="Q103" s="2">
        <v>4.8559999999999999</v>
      </c>
    </row>
    <row r="104" spans="10:17" x14ac:dyDescent="0.3">
      <c r="J104" s="2">
        <f t="shared" si="14"/>
        <v>10</v>
      </c>
      <c r="K104" s="2" t="str">
        <f t="shared" si="15"/>
        <v>T5低12</v>
      </c>
      <c r="L104" s="2" t="str">
        <f t="shared" si="16"/>
        <v>T5低</v>
      </c>
      <c r="M104" s="2">
        <f t="shared" si="17"/>
        <v>12</v>
      </c>
      <c r="N104" s="34">
        <f t="shared" si="18"/>
        <v>4.0523076923076919</v>
      </c>
      <c r="P104" s="2" t="s">
        <v>1305</v>
      </c>
      <c r="Q104" s="2">
        <v>4.8840000000000003</v>
      </c>
    </row>
    <row r="105" spans="10:17" x14ac:dyDescent="0.3">
      <c r="J105" s="2">
        <f t="shared" si="14"/>
        <v>10</v>
      </c>
      <c r="K105" s="2" t="str">
        <f t="shared" si="15"/>
        <v>T5低13</v>
      </c>
      <c r="L105" s="2" t="str">
        <f t="shared" si="16"/>
        <v>T5低</v>
      </c>
      <c r="M105" s="2">
        <f t="shared" si="17"/>
        <v>13</v>
      </c>
      <c r="N105" s="34">
        <f t="shared" si="18"/>
        <v>4.18</v>
      </c>
      <c r="P105" s="2" t="s">
        <v>1306</v>
      </c>
      <c r="Q105" s="2">
        <v>4.8870588235294097</v>
      </c>
    </row>
    <row r="106" spans="10:17" x14ac:dyDescent="0.3">
      <c r="J106" s="2">
        <f t="shared" si="14"/>
        <v>11</v>
      </c>
      <c r="K106" s="2" t="str">
        <f t="shared" si="15"/>
        <v>T5中0</v>
      </c>
      <c r="L106" s="2" t="str">
        <f t="shared" si="16"/>
        <v>T5中</v>
      </c>
      <c r="M106" s="2">
        <f t="shared" si="17"/>
        <v>0</v>
      </c>
      <c r="N106" s="34">
        <f t="shared" si="18"/>
        <v>2.62</v>
      </c>
      <c r="P106" s="2" t="s">
        <v>1307</v>
      </c>
      <c r="Q106" s="34">
        <v>4.9057142857142901</v>
      </c>
    </row>
    <row r="107" spans="10:17" x14ac:dyDescent="0.3">
      <c r="J107" s="2">
        <f t="shared" si="14"/>
        <v>11</v>
      </c>
      <c r="K107" s="2" t="str">
        <f t="shared" si="15"/>
        <v>T5中1</v>
      </c>
      <c r="L107" s="2" t="str">
        <f t="shared" si="16"/>
        <v>T5中</v>
      </c>
      <c r="M107" s="2">
        <f t="shared" si="17"/>
        <v>1</v>
      </c>
      <c r="N107" s="34">
        <f t="shared" si="18"/>
        <v>2.7538461538461538</v>
      </c>
      <c r="P107" s="2" t="s">
        <v>1308</v>
      </c>
      <c r="Q107" s="2">
        <v>4.9458823529411804</v>
      </c>
    </row>
    <row r="108" spans="10:17" x14ac:dyDescent="0.3">
      <c r="J108" s="2">
        <f t="shared" si="14"/>
        <v>11</v>
      </c>
      <c r="K108" s="2" t="str">
        <f t="shared" si="15"/>
        <v>T5中2</v>
      </c>
      <c r="L108" s="2" t="str">
        <f t="shared" si="16"/>
        <v>T5中</v>
      </c>
      <c r="M108" s="2">
        <f t="shared" si="17"/>
        <v>2</v>
      </c>
      <c r="N108" s="34">
        <f t="shared" si="18"/>
        <v>2.887692307692308</v>
      </c>
      <c r="P108" s="2" t="s">
        <v>1309</v>
      </c>
      <c r="Q108" s="34">
        <v>4.9828571428571404</v>
      </c>
    </row>
    <row r="109" spans="10:17" x14ac:dyDescent="0.3">
      <c r="J109" s="2">
        <f t="shared" si="14"/>
        <v>11</v>
      </c>
      <c r="K109" s="2" t="str">
        <f t="shared" si="15"/>
        <v>T5中3</v>
      </c>
      <c r="L109" s="2" t="str">
        <f t="shared" si="16"/>
        <v>T5中</v>
      </c>
      <c r="M109" s="2">
        <f t="shared" si="17"/>
        <v>3</v>
      </c>
      <c r="N109" s="34">
        <f t="shared" si="18"/>
        <v>3.0215384615384617</v>
      </c>
      <c r="P109" s="2" t="s">
        <v>1310</v>
      </c>
      <c r="Q109" s="2">
        <v>5</v>
      </c>
    </row>
    <row r="110" spans="10:17" x14ac:dyDescent="0.3">
      <c r="J110" s="2">
        <f t="shared" si="14"/>
        <v>11</v>
      </c>
      <c r="K110" s="2" t="str">
        <f t="shared" si="15"/>
        <v>T5中4</v>
      </c>
      <c r="L110" s="2" t="str">
        <f t="shared" si="16"/>
        <v>T5中</v>
      </c>
      <c r="M110" s="2">
        <f t="shared" si="17"/>
        <v>4</v>
      </c>
      <c r="N110" s="34">
        <f t="shared" si="18"/>
        <v>3.1553846153846155</v>
      </c>
      <c r="P110" s="2" t="s">
        <v>793</v>
      </c>
      <c r="Q110" s="2">
        <v>5.07</v>
      </c>
    </row>
    <row r="111" spans="10:17" x14ac:dyDescent="0.3">
      <c r="J111" s="2">
        <f t="shared" si="14"/>
        <v>11</v>
      </c>
      <c r="K111" s="2" t="str">
        <f t="shared" si="15"/>
        <v>T5中5</v>
      </c>
      <c r="L111" s="2" t="str">
        <f t="shared" si="16"/>
        <v>T5中</v>
      </c>
      <c r="M111" s="2">
        <f t="shared" si="17"/>
        <v>5</v>
      </c>
      <c r="N111" s="34">
        <f t="shared" si="18"/>
        <v>3.2892307692307696</v>
      </c>
      <c r="P111" s="2" t="s">
        <v>1311</v>
      </c>
      <c r="Q111" s="2">
        <v>5.1011764705882401</v>
      </c>
    </row>
    <row r="112" spans="10:17" x14ac:dyDescent="0.3">
      <c r="J112" s="2">
        <f t="shared" si="14"/>
        <v>11</v>
      </c>
      <c r="K112" s="2" t="str">
        <f t="shared" si="15"/>
        <v>T5中6</v>
      </c>
      <c r="L112" s="2" t="str">
        <f t="shared" si="16"/>
        <v>T5中</v>
      </c>
      <c r="M112" s="2">
        <f t="shared" si="17"/>
        <v>6</v>
      </c>
      <c r="N112" s="34">
        <f t="shared" si="18"/>
        <v>3.4230769230769234</v>
      </c>
      <c r="P112" s="2" t="s">
        <v>1312</v>
      </c>
      <c r="Q112" s="2">
        <v>5.1120000000000001</v>
      </c>
    </row>
    <row r="113" spans="10:17" x14ac:dyDescent="0.3">
      <c r="J113" s="2">
        <f t="shared" si="14"/>
        <v>11</v>
      </c>
      <c r="K113" s="2" t="str">
        <f t="shared" si="15"/>
        <v>T5中7</v>
      </c>
      <c r="L113" s="2" t="str">
        <f t="shared" si="16"/>
        <v>T5中</v>
      </c>
      <c r="M113" s="2">
        <f t="shared" si="17"/>
        <v>7</v>
      </c>
      <c r="N113" s="34">
        <f t="shared" si="18"/>
        <v>3.5569230769230771</v>
      </c>
      <c r="P113" s="2" t="s">
        <v>1313</v>
      </c>
      <c r="Q113" s="34">
        <v>5.12</v>
      </c>
    </row>
    <row r="114" spans="10:17" x14ac:dyDescent="0.3">
      <c r="J114" s="2">
        <f t="shared" si="14"/>
        <v>11</v>
      </c>
      <c r="K114" s="2" t="str">
        <f t="shared" si="15"/>
        <v>T5中8</v>
      </c>
      <c r="L114" s="2" t="str">
        <f t="shared" si="16"/>
        <v>T5中</v>
      </c>
      <c r="M114" s="2">
        <f t="shared" si="17"/>
        <v>8</v>
      </c>
      <c r="N114" s="34">
        <f t="shared" si="18"/>
        <v>3.6907692307692308</v>
      </c>
      <c r="P114" s="2" t="s">
        <v>1314</v>
      </c>
      <c r="Q114" s="2">
        <v>5.1741176470588197</v>
      </c>
    </row>
    <row r="115" spans="10:17" x14ac:dyDescent="0.3">
      <c r="J115" s="2">
        <f t="shared" si="14"/>
        <v>11</v>
      </c>
      <c r="K115" s="2" t="str">
        <f t="shared" si="15"/>
        <v>T5中9</v>
      </c>
      <c r="L115" s="2" t="str">
        <f t="shared" si="16"/>
        <v>T5中</v>
      </c>
      <c r="M115" s="2">
        <f t="shared" si="17"/>
        <v>9</v>
      </c>
      <c r="N115" s="34">
        <f t="shared" si="18"/>
        <v>3.8246153846153845</v>
      </c>
      <c r="P115" s="2" t="s">
        <v>800</v>
      </c>
      <c r="Q115" s="2">
        <v>5.2</v>
      </c>
    </row>
    <row r="116" spans="10:17" x14ac:dyDescent="0.3">
      <c r="J116" s="2">
        <f t="shared" si="14"/>
        <v>11</v>
      </c>
      <c r="K116" s="2" t="str">
        <f t="shared" si="15"/>
        <v>T5中10</v>
      </c>
      <c r="L116" s="2" t="str">
        <f t="shared" si="16"/>
        <v>T5中</v>
      </c>
      <c r="M116" s="2">
        <f t="shared" si="17"/>
        <v>10</v>
      </c>
      <c r="N116" s="34">
        <f t="shared" si="18"/>
        <v>3.9584615384615387</v>
      </c>
      <c r="P116" s="2" t="s">
        <v>1315</v>
      </c>
      <c r="Q116" s="34">
        <v>5.21142857142857</v>
      </c>
    </row>
    <row r="117" spans="10:17" x14ac:dyDescent="0.3">
      <c r="J117" s="2">
        <f t="shared" si="14"/>
        <v>11</v>
      </c>
      <c r="K117" s="2" t="str">
        <f t="shared" si="15"/>
        <v>T5中11</v>
      </c>
      <c r="L117" s="2" t="str">
        <f t="shared" si="16"/>
        <v>T5中</v>
      </c>
      <c r="M117" s="2">
        <f t="shared" si="17"/>
        <v>11</v>
      </c>
      <c r="N117" s="34">
        <f t="shared" si="18"/>
        <v>4.0923076923076929</v>
      </c>
      <c r="P117" s="2" t="s">
        <v>1316</v>
      </c>
      <c r="Q117" s="2">
        <v>5.2839999999999998</v>
      </c>
    </row>
    <row r="118" spans="10:17" x14ac:dyDescent="0.3">
      <c r="J118" s="2">
        <f t="shared" si="14"/>
        <v>11</v>
      </c>
      <c r="K118" s="2" t="str">
        <f t="shared" si="15"/>
        <v>T5中12</v>
      </c>
      <c r="L118" s="2" t="str">
        <f t="shared" si="16"/>
        <v>T5中</v>
      </c>
      <c r="M118" s="2">
        <f t="shared" si="17"/>
        <v>12</v>
      </c>
      <c r="N118" s="34">
        <f t="shared" si="18"/>
        <v>4.2261538461538466</v>
      </c>
      <c r="P118" s="2" t="s">
        <v>1317</v>
      </c>
      <c r="Q118" s="2">
        <v>5.3152941176470598</v>
      </c>
    </row>
    <row r="119" spans="10:17" x14ac:dyDescent="0.3">
      <c r="J119" s="2">
        <f t="shared" si="14"/>
        <v>11</v>
      </c>
      <c r="K119" s="2" t="str">
        <f t="shared" si="15"/>
        <v>T5中13</v>
      </c>
      <c r="L119" s="2" t="str">
        <f t="shared" si="16"/>
        <v>T5中</v>
      </c>
      <c r="M119" s="2">
        <f t="shared" si="17"/>
        <v>13</v>
      </c>
      <c r="N119" s="34">
        <f t="shared" si="18"/>
        <v>4.3600000000000003</v>
      </c>
      <c r="P119" s="2" t="s">
        <v>795</v>
      </c>
      <c r="Q119" s="2">
        <v>5.34</v>
      </c>
    </row>
    <row r="120" spans="10:17" x14ac:dyDescent="0.3">
      <c r="J120" s="2">
        <f t="shared" si="14"/>
        <v>12</v>
      </c>
      <c r="K120" s="2" t="str">
        <f t="shared" si="15"/>
        <v>T5高0</v>
      </c>
      <c r="L120" s="2" t="str">
        <f t="shared" si="16"/>
        <v>T5高</v>
      </c>
      <c r="M120" s="2">
        <f t="shared" si="17"/>
        <v>0</v>
      </c>
      <c r="N120" s="34">
        <f t="shared" si="18"/>
        <v>2.62</v>
      </c>
      <c r="P120" s="2" t="s">
        <v>1318</v>
      </c>
      <c r="Q120" s="2">
        <v>5.4</v>
      </c>
    </row>
    <row r="121" spans="10:17" x14ac:dyDescent="0.3">
      <c r="J121" s="2">
        <f t="shared" si="14"/>
        <v>12</v>
      </c>
      <c r="K121" s="2" t="str">
        <f t="shared" si="15"/>
        <v>T5高1</v>
      </c>
      <c r="L121" s="2" t="str">
        <f t="shared" si="16"/>
        <v>T5高</v>
      </c>
      <c r="M121" s="2">
        <f t="shared" si="17"/>
        <v>1</v>
      </c>
      <c r="N121" s="34">
        <f t="shared" si="18"/>
        <v>2.7600000000000002</v>
      </c>
      <c r="P121" s="2" t="s">
        <v>1319</v>
      </c>
      <c r="Q121" s="2">
        <v>5.4023529411764697</v>
      </c>
    </row>
    <row r="122" spans="10:17" x14ac:dyDescent="0.3">
      <c r="J122" s="2">
        <f t="shared" si="14"/>
        <v>12</v>
      </c>
      <c r="K122" s="2" t="str">
        <f t="shared" si="15"/>
        <v>T5高2</v>
      </c>
      <c r="L122" s="2" t="str">
        <f t="shared" si="16"/>
        <v>T5高</v>
      </c>
      <c r="M122" s="2">
        <f t="shared" si="17"/>
        <v>2</v>
      </c>
      <c r="N122" s="34">
        <f t="shared" si="18"/>
        <v>2.9000000000000004</v>
      </c>
      <c r="P122" s="2" t="s">
        <v>1320</v>
      </c>
      <c r="Q122" s="34">
        <v>5.44</v>
      </c>
    </row>
    <row r="123" spans="10:17" x14ac:dyDescent="0.3">
      <c r="J123" s="2">
        <f t="shared" si="14"/>
        <v>12</v>
      </c>
      <c r="K123" s="2" t="str">
        <f t="shared" si="15"/>
        <v>T5高3</v>
      </c>
      <c r="L123" s="2" t="str">
        <f t="shared" si="16"/>
        <v>T5高</v>
      </c>
      <c r="M123" s="2">
        <f t="shared" si="17"/>
        <v>3</v>
      </c>
      <c r="N123" s="34">
        <f t="shared" si="18"/>
        <v>3.04</v>
      </c>
      <c r="P123" s="2" t="s">
        <v>806</v>
      </c>
      <c r="Q123" s="2">
        <v>5.4980000000000002</v>
      </c>
    </row>
    <row r="124" spans="10:17" x14ac:dyDescent="0.3">
      <c r="J124" s="2">
        <f t="shared" si="14"/>
        <v>12</v>
      </c>
      <c r="K124" s="2" t="str">
        <f t="shared" si="15"/>
        <v>T5高4</v>
      </c>
      <c r="L124" s="2" t="str">
        <f t="shared" si="16"/>
        <v>T5高</v>
      </c>
      <c r="M124" s="2">
        <f t="shared" si="17"/>
        <v>4</v>
      </c>
      <c r="N124" s="34">
        <f t="shared" si="18"/>
        <v>3.18</v>
      </c>
      <c r="P124" s="2" t="s">
        <v>1321</v>
      </c>
      <c r="Q124" s="2">
        <v>5.5294117647058796</v>
      </c>
    </row>
    <row r="125" spans="10:17" x14ac:dyDescent="0.3">
      <c r="J125" s="2">
        <f t="shared" si="14"/>
        <v>12</v>
      </c>
      <c r="K125" s="2" t="str">
        <f t="shared" si="15"/>
        <v>T5高5</v>
      </c>
      <c r="L125" s="2" t="str">
        <f t="shared" si="16"/>
        <v>T5高</v>
      </c>
      <c r="M125" s="2">
        <f t="shared" si="17"/>
        <v>5</v>
      </c>
      <c r="N125" s="34">
        <f t="shared" si="18"/>
        <v>3.3200000000000003</v>
      </c>
      <c r="P125" s="2" t="s">
        <v>1322</v>
      </c>
      <c r="Q125" s="2">
        <v>5.5679999999999996</v>
      </c>
    </row>
    <row r="126" spans="10:17" x14ac:dyDescent="0.3">
      <c r="J126" s="2">
        <f t="shared" si="14"/>
        <v>12</v>
      </c>
      <c r="K126" s="2" t="str">
        <f t="shared" si="15"/>
        <v>T5高6</v>
      </c>
      <c r="L126" s="2" t="str">
        <f t="shared" si="16"/>
        <v>T5高</v>
      </c>
      <c r="M126" s="2">
        <f t="shared" si="17"/>
        <v>6</v>
      </c>
      <c r="N126" s="34">
        <f t="shared" si="18"/>
        <v>3.4600000000000004</v>
      </c>
      <c r="P126" s="2" t="s">
        <v>1323</v>
      </c>
      <c r="Q126" s="2">
        <v>5.6</v>
      </c>
    </row>
    <row r="127" spans="10:17" x14ac:dyDescent="0.3">
      <c r="J127" s="2">
        <f t="shared" si="14"/>
        <v>12</v>
      </c>
      <c r="K127" s="2" t="str">
        <f t="shared" si="15"/>
        <v>T5高7</v>
      </c>
      <c r="L127" s="2" t="str">
        <f t="shared" si="16"/>
        <v>T5高</v>
      </c>
      <c r="M127" s="2">
        <f t="shared" si="17"/>
        <v>7</v>
      </c>
      <c r="N127" s="34">
        <f t="shared" si="18"/>
        <v>3.6</v>
      </c>
      <c r="P127" s="2" t="s">
        <v>1324</v>
      </c>
      <c r="Q127" s="2">
        <v>5.6305882352941197</v>
      </c>
    </row>
    <row r="128" spans="10:17" x14ac:dyDescent="0.3">
      <c r="J128" s="2">
        <f t="shared" si="14"/>
        <v>12</v>
      </c>
      <c r="K128" s="2" t="str">
        <f t="shared" si="15"/>
        <v>T5高8</v>
      </c>
      <c r="L128" s="2" t="str">
        <f t="shared" si="16"/>
        <v>T5高</v>
      </c>
      <c r="M128" s="2">
        <f t="shared" si="17"/>
        <v>8</v>
      </c>
      <c r="N128" s="34">
        <f t="shared" si="18"/>
        <v>3.74</v>
      </c>
      <c r="P128" s="2" t="s">
        <v>1325</v>
      </c>
      <c r="Q128" s="2">
        <v>5.7119999999999997</v>
      </c>
    </row>
    <row r="129" spans="10:17" x14ac:dyDescent="0.3">
      <c r="J129" s="2">
        <f t="shared" ref="J129:J152" si="19">IF(M128=VLOOKUP(J128,$B$3:$H$15,3,FALSE),J128+1,J128)</f>
        <v>12</v>
      </c>
      <c r="K129" s="2" t="str">
        <f t="shared" ref="K129:K152" si="20">L129&amp;M129</f>
        <v>T5高9</v>
      </c>
      <c r="L129" s="2" t="str">
        <f t="shared" ref="L129:L152" si="21">VLOOKUP(J129,$B$3:$H$15,2,FALSE)</f>
        <v>T5高</v>
      </c>
      <c r="M129" s="2">
        <f t="shared" ref="M129:M152" si="22">IF(J129&lt;&gt;J128,0,M128+1)</f>
        <v>9</v>
      </c>
      <c r="N129" s="34">
        <f t="shared" ref="N129:N152" si="23">VLOOKUP(J129,$B$3:$H$15,6,FALSE)+M129/VLOOKUP(J129,$B$3:$H$15,3,FALSE)*(VLOOKUP(J129,$B$3:$H$15,7,FALSE)-VLOOKUP(J129,$B$3:$H$15,6,FALSE))</f>
        <v>3.8800000000000003</v>
      </c>
      <c r="P129" s="2" t="s">
        <v>1326</v>
      </c>
      <c r="Q129" s="2">
        <v>5.74352941176471</v>
      </c>
    </row>
    <row r="130" spans="10:17" x14ac:dyDescent="0.3">
      <c r="J130" s="2">
        <f t="shared" si="19"/>
        <v>12</v>
      </c>
      <c r="K130" s="2" t="str">
        <f t="shared" si="20"/>
        <v>T5高10</v>
      </c>
      <c r="L130" s="2" t="str">
        <f t="shared" si="21"/>
        <v>T5高</v>
      </c>
      <c r="M130" s="2">
        <f t="shared" si="22"/>
        <v>10</v>
      </c>
      <c r="N130" s="34">
        <f t="shared" si="23"/>
        <v>4.0200000000000005</v>
      </c>
      <c r="P130" s="2" t="s">
        <v>1327</v>
      </c>
      <c r="Q130" s="2">
        <v>5.7960000000000003</v>
      </c>
    </row>
    <row r="131" spans="10:17" x14ac:dyDescent="0.3">
      <c r="J131" s="2">
        <f t="shared" si="19"/>
        <v>12</v>
      </c>
      <c r="K131" s="2" t="str">
        <f t="shared" si="20"/>
        <v>T5高11</v>
      </c>
      <c r="L131" s="2" t="str">
        <f t="shared" si="21"/>
        <v>T5高</v>
      </c>
      <c r="M131" s="2">
        <f t="shared" si="22"/>
        <v>11</v>
      </c>
      <c r="N131" s="34">
        <f t="shared" si="23"/>
        <v>4.16</v>
      </c>
      <c r="P131" s="2" t="s">
        <v>1328</v>
      </c>
      <c r="Q131" s="2">
        <v>5.8</v>
      </c>
    </row>
    <row r="132" spans="10:17" x14ac:dyDescent="0.3">
      <c r="J132" s="2">
        <f t="shared" si="19"/>
        <v>12</v>
      </c>
      <c r="K132" s="2" t="str">
        <f t="shared" si="20"/>
        <v>T5高12</v>
      </c>
      <c r="L132" s="2" t="str">
        <f t="shared" si="21"/>
        <v>T5高</v>
      </c>
      <c r="M132" s="2">
        <f t="shared" si="22"/>
        <v>12</v>
      </c>
      <c r="N132" s="34">
        <f t="shared" si="23"/>
        <v>4.3000000000000007</v>
      </c>
      <c r="P132" s="2" t="s">
        <v>1329</v>
      </c>
      <c r="Q132" s="2">
        <v>5.8588235294117696</v>
      </c>
    </row>
    <row r="133" spans="10:17" x14ac:dyDescent="0.3">
      <c r="J133" s="2">
        <f t="shared" si="19"/>
        <v>12</v>
      </c>
      <c r="K133" s="2" t="str">
        <f t="shared" si="20"/>
        <v>T5高13</v>
      </c>
      <c r="L133" s="2" t="str">
        <f t="shared" si="21"/>
        <v>T5高</v>
      </c>
      <c r="M133" s="2">
        <f t="shared" si="22"/>
        <v>13</v>
      </c>
      <c r="N133" s="34">
        <f t="shared" si="23"/>
        <v>4.4400000000000004</v>
      </c>
      <c r="P133" s="2" t="s">
        <v>1330</v>
      </c>
      <c r="Q133" s="2">
        <v>5.9260000000000002</v>
      </c>
    </row>
    <row r="134" spans="10:17" x14ac:dyDescent="0.3">
      <c r="J134" s="2">
        <f t="shared" si="19"/>
        <v>13</v>
      </c>
      <c r="K134" s="2" t="e">
        <f t="shared" si="20"/>
        <v>#N/A</v>
      </c>
      <c r="L134" s="2" t="e">
        <f t="shared" si="21"/>
        <v>#N/A</v>
      </c>
      <c r="M134" s="2">
        <f t="shared" si="22"/>
        <v>0</v>
      </c>
      <c r="N134" s="34" t="e">
        <f t="shared" si="23"/>
        <v>#N/A</v>
      </c>
      <c r="P134" s="2" t="s">
        <v>1331</v>
      </c>
      <c r="Q134" s="2">
        <v>5.9576470588235297</v>
      </c>
    </row>
    <row r="135" spans="10:17" x14ac:dyDescent="0.3">
      <c r="J135" s="2" t="e">
        <f t="shared" si="19"/>
        <v>#N/A</v>
      </c>
      <c r="K135" s="2" t="e">
        <f t="shared" si="20"/>
        <v>#N/A</v>
      </c>
      <c r="L135" s="2" t="e">
        <f t="shared" si="21"/>
        <v>#N/A</v>
      </c>
      <c r="M135" s="2" t="e">
        <f t="shared" si="22"/>
        <v>#N/A</v>
      </c>
      <c r="N135" s="34" t="e">
        <f t="shared" si="23"/>
        <v>#N/A</v>
      </c>
      <c r="P135" s="2" t="s">
        <v>1332</v>
      </c>
      <c r="Q135" s="2">
        <v>6</v>
      </c>
    </row>
    <row r="136" spans="10:17" x14ac:dyDescent="0.3">
      <c r="J136" s="2" t="e">
        <f t="shared" si="19"/>
        <v>#N/A</v>
      </c>
      <c r="K136" s="2" t="e">
        <f t="shared" si="20"/>
        <v>#N/A</v>
      </c>
      <c r="L136" s="2" t="e">
        <f t="shared" si="21"/>
        <v>#N/A</v>
      </c>
      <c r="M136" s="2" t="e">
        <f t="shared" si="22"/>
        <v>#N/A</v>
      </c>
      <c r="N136" s="34" t="e">
        <f t="shared" si="23"/>
        <v>#N/A</v>
      </c>
      <c r="P136" s="2" t="s">
        <v>1333</v>
      </c>
      <c r="Q136" s="2">
        <v>6.024</v>
      </c>
    </row>
    <row r="137" spans="10:17" x14ac:dyDescent="0.3">
      <c r="J137" s="2" t="e">
        <f t="shared" si="19"/>
        <v>#N/A</v>
      </c>
      <c r="K137" s="2" t="e">
        <f t="shared" si="20"/>
        <v>#N/A</v>
      </c>
      <c r="L137" s="2" t="e">
        <f t="shared" si="21"/>
        <v>#N/A</v>
      </c>
      <c r="M137" s="2" t="e">
        <f t="shared" si="22"/>
        <v>#N/A</v>
      </c>
      <c r="N137" s="34" t="e">
        <f t="shared" si="23"/>
        <v>#N/A</v>
      </c>
      <c r="P137" s="2" t="s">
        <v>1334</v>
      </c>
      <c r="Q137" s="2">
        <v>6.0870588235294099</v>
      </c>
    </row>
    <row r="138" spans="10:17" x14ac:dyDescent="0.3">
      <c r="J138" s="2" t="e">
        <f t="shared" si="19"/>
        <v>#N/A</v>
      </c>
      <c r="K138" s="2" t="e">
        <f t="shared" si="20"/>
        <v>#N/A</v>
      </c>
      <c r="L138" s="2" t="e">
        <f t="shared" si="21"/>
        <v>#N/A</v>
      </c>
      <c r="M138" s="2" t="e">
        <f t="shared" si="22"/>
        <v>#N/A</v>
      </c>
      <c r="N138" s="34" t="e">
        <f t="shared" si="23"/>
        <v>#N/A</v>
      </c>
      <c r="P138" s="2" t="s">
        <v>1335</v>
      </c>
      <c r="Q138" s="2">
        <v>6.14</v>
      </c>
    </row>
    <row r="139" spans="10:17" x14ac:dyDescent="0.3">
      <c r="J139" s="2" t="e">
        <f t="shared" si="19"/>
        <v>#N/A</v>
      </c>
      <c r="K139" s="2" t="e">
        <f t="shared" si="20"/>
        <v>#N/A</v>
      </c>
      <c r="L139" s="2" t="e">
        <f t="shared" si="21"/>
        <v>#N/A</v>
      </c>
      <c r="M139" s="2" t="e">
        <f t="shared" si="22"/>
        <v>#N/A</v>
      </c>
      <c r="N139" s="34" t="e">
        <f t="shared" si="23"/>
        <v>#N/A</v>
      </c>
      <c r="P139" s="2" t="s">
        <v>1336</v>
      </c>
      <c r="Q139" s="2">
        <v>6.1717647058823504</v>
      </c>
    </row>
    <row r="140" spans="10:17" x14ac:dyDescent="0.3">
      <c r="J140" s="2" t="e">
        <f t="shared" si="19"/>
        <v>#N/A</v>
      </c>
      <c r="K140" s="2" t="e">
        <f t="shared" si="20"/>
        <v>#N/A</v>
      </c>
      <c r="L140" s="2" t="e">
        <f t="shared" si="21"/>
        <v>#N/A</v>
      </c>
      <c r="M140" s="2" t="e">
        <f t="shared" si="22"/>
        <v>#N/A</v>
      </c>
      <c r="N140" s="34" t="e">
        <f t="shared" si="23"/>
        <v>#N/A</v>
      </c>
      <c r="P140" s="2" t="s">
        <v>1337</v>
      </c>
      <c r="Q140" s="2">
        <v>6.2</v>
      </c>
    </row>
    <row r="141" spans="10:17" x14ac:dyDescent="0.3">
      <c r="J141" s="2" t="e">
        <f t="shared" si="19"/>
        <v>#N/A</v>
      </c>
      <c r="K141" s="2" t="e">
        <f t="shared" si="20"/>
        <v>#N/A</v>
      </c>
      <c r="L141" s="2" t="e">
        <f t="shared" si="21"/>
        <v>#N/A</v>
      </c>
      <c r="M141" s="2" t="e">
        <f t="shared" si="22"/>
        <v>#N/A</v>
      </c>
      <c r="N141" s="34" t="e">
        <f t="shared" si="23"/>
        <v>#N/A</v>
      </c>
      <c r="P141" s="2" t="s">
        <v>1338</v>
      </c>
      <c r="Q141" s="2">
        <v>6.2519999999999998</v>
      </c>
    </row>
    <row r="142" spans="10:17" x14ac:dyDescent="0.3">
      <c r="J142" s="2" t="e">
        <f t="shared" si="19"/>
        <v>#N/A</v>
      </c>
      <c r="K142" s="2" t="e">
        <f t="shared" si="20"/>
        <v>#N/A</v>
      </c>
      <c r="L142" s="2" t="e">
        <f t="shared" si="21"/>
        <v>#N/A</v>
      </c>
      <c r="M142" s="2" t="e">
        <f t="shared" si="22"/>
        <v>#N/A</v>
      </c>
      <c r="N142" s="34" t="e">
        <f t="shared" si="23"/>
        <v>#N/A</v>
      </c>
      <c r="P142" s="2" t="s">
        <v>1339</v>
      </c>
      <c r="Q142" s="2">
        <v>6.3152941176470598</v>
      </c>
    </row>
    <row r="143" spans="10:17" x14ac:dyDescent="0.3">
      <c r="J143" s="2" t="e">
        <f t="shared" si="19"/>
        <v>#N/A</v>
      </c>
      <c r="K143" s="2" t="e">
        <f t="shared" si="20"/>
        <v>#N/A</v>
      </c>
      <c r="L143" s="2" t="e">
        <f t="shared" si="21"/>
        <v>#N/A</v>
      </c>
      <c r="M143" s="2" t="e">
        <f t="shared" si="22"/>
        <v>#N/A</v>
      </c>
      <c r="N143" s="34" t="e">
        <f t="shared" si="23"/>
        <v>#N/A</v>
      </c>
      <c r="P143" s="2" t="s">
        <v>1340</v>
      </c>
      <c r="Q143" s="2">
        <v>6.3540000000000001</v>
      </c>
    </row>
    <row r="144" spans="10:17" x14ac:dyDescent="0.3">
      <c r="J144" s="2" t="e">
        <f t="shared" si="19"/>
        <v>#N/A</v>
      </c>
      <c r="K144" s="2" t="e">
        <f t="shared" si="20"/>
        <v>#N/A</v>
      </c>
      <c r="L144" s="2" t="e">
        <f t="shared" si="21"/>
        <v>#N/A</v>
      </c>
      <c r="M144" s="2" t="e">
        <f t="shared" si="22"/>
        <v>#N/A</v>
      </c>
      <c r="N144" s="34" t="e">
        <f t="shared" si="23"/>
        <v>#N/A</v>
      </c>
      <c r="P144" s="2" t="s">
        <v>1341</v>
      </c>
      <c r="Q144" s="2">
        <v>6.3858823529411799</v>
      </c>
    </row>
    <row r="145" spans="10:17" x14ac:dyDescent="0.3">
      <c r="J145" s="2" t="e">
        <f t="shared" si="19"/>
        <v>#N/A</v>
      </c>
      <c r="K145" s="2" t="e">
        <f t="shared" si="20"/>
        <v>#N/A</v>
      </c>
      <c r="L145" s="2" t="e">
        <f t="shared" si="21"/>
        <v>#N/A</v>
      </c>
      <c r="M145" s="2" t="e">
        <f t="shared" si="22"/>
        <v>#N/A</v>
      </c>
      <c r="N145" s="34" t="e">
        <f t="shared" si="23"/>
        <v>#N/A</v>
      </c>
      <c r="P145" s="2" t="s">
        <v>1342</v>
      </c>
      <c r="Q145" s="2">
        <v>6.48</v>
      </c>
    </row>
    <row r="146" spans="10:17" x14ac:dyDescent="0.3">
      <c r="J146" s="2" t="e">
        <f t="shared" si="19"/>
        <v>#N/A</v>
      </c>
      <c r="K146" s="2" t="e">
        <f t="shared" si="20"/>
        <v>#N/A</v>
      </c>
      <c r="L146" s="2" t="e">
        <f t="shared" si="21"/>
        <v>#N/A</v>
      </c>
      <c r="M146" s="2" t="e">
        <f t="shared" si="22"/>
        <v>#N/A</v>
      </c>
      <c r="N146" s="34" t="e">
        <f t="shared" si="23"/>
        <v>#N/A</v>
      </c>
      <c r="P146" s="2" t="s">
        <v>1343</v>
      </c>
      <c r="Q146" s="2">
        <v>6.5435294117647098</v>
      </c>
    </row>
    <row r="147" spans="10:17" x14ac:dyDescent="0.3">
      <c r="J147" s="2" t="e">
        <f t="shared" si="19"/>
        <v>#N/A</v>
      </c>
      <c r="K147" s="2" t="e">
        <f t="shared" si="20"/>
        <v>#N/A</v>
      </c>
      <c r="L147" s="2" t="e">
        <f t="shared" si="21"/>
        <v>#N/A</v>
      </c>
      <c r="M147" s="2" t="e">
        <f t="shared" si="22"/>
        <v>#N/A</v>
      </c>
      <c r="N147" s="34" t="e">
        <f t="shared" si="23"/>
        <v>#N/A</v>
      </c>
      <c r="P147" s="2" t="s">
        <v>1344</v>
      </c>
      <c r="Q147" s="2">
        <v>6.5679999999999996</v>
      </c>
    </row>
    <row r="148" spans="10:17" x14ac:dyDescent="0.3">
      <c r="J148" s="2" t="e">
        <f t="shared" si="19"/>
        <v>#N/A</v>
      </c>
      <c r="K148" s="2" t="e">
        <f t="shared" si="20"/>
        <v>#N/A</v>
      </c>
      <c r="L148" s="2" t="e">
        <f t="shared" si="21"/>
        <v>#N/A</v>
      </c>
      <c r="M148" s="2" t="e">
        <f t="shared" si="22"/>
        <v>#N/A</v>
      </c>
      <c r="N148" s="34" t="e">
        <f t="shared" si="23"/>
        <v>#N/A</v>
      </c>
      <c r="P148" s="2" t="s">
        <v>1345</v>
      </c>
      <c r="Q148" s="2">
        <v>6.6</v>
      </c>
    </row>
    <row r="149" spans="10:17" x14ac:dyDescent="0.3">
      <c r="J149" s="2" t="e">
        <f t="shared" si="19"/>
        <v>#N/A</v>
      </c>
      <c r="K149" s="2" t="e">
        <f t="shared" si="20"/>
        <v>#N/A</v>
      </c>
      <c r="L149" s="2" t="e">
        <f t="shared" si="21"/>
        <v>#N/A</v>
      </c>
      <c r="M149" s="2" t="e">
        <f t="shared" si="22"/>
        <v>#N/A</v>
      </c>
      <c r="N149" s="34" t="e">
        <f t="shared" si="23"/>
        <v>#N/A</v>
      </c>
      <c r="P149" s="2" t="s">
        <v>1346</v>
      </c>
      <c r="Q149" s="2">
        <v>6.7080000000000002</v>
      </c>
    </row>
    <row r="150" spans="10:17" x14ac:dyDescent="0.3">
      <c r="J150" s="2" t="e">
        <f t="shared" si="19"/>
        <v>#N/A</v>
      </c>
      <c r="K150" s="2" t="e">
        <f t="shared" si="20"/>
        <v>#N/A</v>
      </c>
      <c r="L150" s="2" t="e">
        <f t="shared" si="21"/>
        <v>#N/A</v>
      </c>
      <c r="M150" s="2" t="e">
        <f t="shared" si="22"/>
        <v>#N/A</v>
      </c>
      <c r="N150" s="34" t="e">
        <f t="shared" si="23"/>
        <v>#N/A</v>
      </c>
      <c r="P150" s="2" t="s">
        <v>1347</v>
      </c>
      <c r="Q150" s="2">
        <v>6.77176470588235</v>
      </c>
    </row>
    <row r="151" spans="10:17" x14ac:dyDescent="0.3">
      <c r="J151" s="2" t="e">
        <f t="shared" si="19"/>
        <v>#N/A</v>
      </c>
      <c r="K151" s="2" t="e">
        <f t="shared" si="20"/>
        <v>#N/A</v>
      </c>
      <c r="L151" s="2" t="e">
        <f t="shared" si="21"/>
        <v>#N/A</v>
      </c>
      <c r="M151" s="2" t="e">
        <f t="shared" si="22"/>
        <v>#N/A</v>
      </c>
      <c r="N151" s="34" t="e">
        <f t="shared" si="23"/>
        <v>#N/A</v>
      </c>
      <c r="P151" s="2" t="s">
        <v>1348</v>
      </c>
      <c r="Q151" s="2">
        <v>6.782</v>
      </c>
    </row>
    <row r="152" spans="10:17" x14ac:dyDescent="0.3">
      <c r="J152" s="2" t="e">
        <f t="shared" si="19"/>
        <v>#N/A</v>
      </c>
      <c r="K152" s="2" t="e">
        <f t="shared" si="20"/>
        <v>#N/A</v>
      </c>
      <c r="L152" s="2" t="e">
        <f t="shared" si="21"/>
        <v>#N/A</v>
      </c>
      <c r="M152" s="2" t="e">
        <f t="shared" si="22"/>
        <v>#N/A</v>
      </c>
      <c r="N152" s="34" t="e">
        <f t="shared" si="23"/>
        <v>#N/A</v>
      </c>
      <c r="P152" s="2" t="s">
        <v>1349</v>
      </c>
      <c r="Q152" s="2">
        <v>6.9359999999999999</v>
      </c>
    </row>
    <row r="153" spans="10:17" x14ac:dyDescent="0.3">
      <c r="J153" s="2" t="e">
        <f t="shared" ref="J153:J168" si="24">IF(M152=VLOOKUP(J152,$B$3:$H$15,3,FALSE),J152+1,J152)</f>
        <v>#N/A</v>
      </c>
      <c r="K153" s="2" t="e">
        <f t="shared" ref="K153:K168" si="25">L153&amp;M153</f>
        <v>#N/A</v>
      </c>
      <c r="L153" s="2" t="e">
        <f t="shared" ref="L153:L168" si="26">VLOOKUP(J153,$B$3:$H$15,2,FALSE)</f>
        <v>#N/A</v>
      </c>
      <c r="M153" s="2" t="e">
        <f t="shared" ref="M153:M168" si="27">IF(J153&lt;&gt;J152,0,M152+1)</f>
        <v>#N/A</v>
      </c>
      <c r="N153" s="34" t="e">
        <f t="shared" ref="N153:N168" si="28">VLOOKUP(J153,$B$3:$H$15,6,FALSE)+M153/VLOOKUP(J153,$B$3:$H$15,3,FALSE)*(VLOOKUP(J153,$B$3:$H$15,7,FALSE)-VLOOKUP(J153,$B$3:$H$15,6,FALSE))</f>
        <v>#N/A</v>
      </c>
      <c r="P153" s="2" t="s">
        <v>1350</v>
      </c>
      <c r="Q153" s="2">
        <v>6.9960000000000004</v>
      </c>
    </row>
    <row r="154" spans="10:17" x14ac:dyDescent="0.3">
      <c r="J154" s="2" t="e">
        <f t="shared" si="24"/>
        <v>#N/A</v>
      </c>
      <c r="K154" s="2" t="e">
        <f t="shared" si="25"/>
        <v>#N/A</v>
      </c>
      <c r="L154" s="2" t="e">
        <f t="shared" si="26"/>
        <v>#N/A</v>
      </c>
      <c r="M154" s="2" t="e">
        <f t="shared" si="27"/>
        <v>#N/A</v>
      </c>
      <c r="N154" s="34" t="e">
        <f t="shared" si="28"/>
        <v>#N/A</v>
      </c>
      <c r="P154" s="2" t="s">
        <v>1351</v>
      </c>
      <c r="Q154" s="2">
        <v>7</v>
      </c>
    </row>
    <row r="155" spans="10:17" x14ac:dyDescent="0.3">
      <c r="J155" s="2" t="e">
        <f t="shared" si="24"/>
        <v>#N/A</v>
      </c>
      <c r="K155" s="2" t="e">
        <f t="shared" si="25"/>
        <v>#N/A</v>
      </c>
      <c r="L155" s="2" t="e">
        <f t="shared" si="26"/>
        <v>#N/A</v>
      </c>
      <c r="M155" s="2" t="e">
        <f t="shared" si="27"/>
        <v>#N/A</v>
      </c>
      <c r="N155" s="34" t="e">
        <f t="shared" si="28"/>
        <v>#N/A</v>
      </c>
      <c r="P155" s="2" t="s">
        <v>1352</v>
      </c>
      <c r="Q155" s="2">
        <v>7.1639999999999997</v>
      </c>
    </row>
    <row r="156" spans="10:17" x14ac:dyDescent="0.3">
      <c r="J156" s="2" t="e">
        <f t="shared" si="24"/>
        <v>#N/A</v>
      </c>
      <c r="K156" s="2" t="e">
        <f t="shared" si="25"/>
        <v>#N/A</v>
      </c>
      <c r="L156" s="2" t="e">
        <f t="shared" si="26"/>
        <v>#N/A</v>
      </c>
      <c r="M156" s="2" t="e">
        <f t="shared" si="27"/>
        <v>#N/A</v>
      </c>
      <c r="N156" s="34" t="e">
        <f t="shared" si="28"/>
        <v>#N/A</v>
      </c>
      <c r="P156" s="2" t="s">
        <v>1353</v>
      </c>
      <c r="Q156" s="2">
        <v>7.21</v>
      </c>
    </row>
    <row r="157" spans="10:17" x14ac:dyDescent="0.3">
      <c r="J157" s="2" t="e">
        <f t="shared" si="24"/>
        <v>#N/A</v>
      </c>
      <c r="K157" s="2" t="e">
        <f t="shared" si="25"/>
        <v>#N/A</v>
      </c>
      <c r="L157" s="2" t="e">
        <f t="shared" si="26"/>
        <v>#N/A</v>
      </c>
      <c r="M157" s="2" t="e">
        <f t="shared" si="27"/>
        <v>#N/A</v>
      </c>
      <c r="N157" s="34" t="e">
        <f t="shared" si="28"/>
        <v>#N/A</v>
      </c>
      <c r="P157" s="2" t="s">
        <v>1354</v>
      </c>
      <c r="Q157" s="2">
        <v>7.3920000000000003</v>
      </c>
    </row>
    <row r="158" spans="10:17" x14ac:dyDescent="0.3">
      <c r="J158" s="2" t="e">
        <f t="shared" si="24"/>
        <v>#N/A</v>
      </c>
      <c r="K158" s="2" t="e">
        <f t="shared" si="25"/>
        <v>#N/A</v>
      </c>
      <c r="L158" s="2" t="e">
        <f t="shared" si="26"/>
        <v>#N/A</v>
      </c>
      <c r="M158" s="2" t="e">
        <f t="shared" si="27"/>
        <v>#N/A</v>
      </c>
      <c r="N158" s="34" t="e">
        <f t="shared" si="28"/>
        <v>#N/A</v>
      </c>
      <c r="P158" s="2" t="s">
        <v>1355</v>
      </c>
      <c r="Q158" s="2">
        <v>7.4240000000000004</v>
      </c>
    </row>
    <row r="159" spans="10:17" x14ac:dyDescent="0.3">
      <c r="J159" s="2" t="e">
        <f t="shared" si="24"/>
        <v>#N/A</v>
      </c>
      <c r="K159" s="2" t="e">
        <f t="shared" si="25"/>
        <v>#N/A</v>
      </c>
      <c r="L159" s="2" t="e">
        <f t="shared" si="26"/>
        <v>#N/A</v>
      </c>
      <c r="M159" s="2" t="e">
        <f t="shared" si="27"/>
        <v>#N/A</v>
      </c>
      <c r="N159" s="34" t="e">
        <f t="shared" si="28"/>
        <v>#N/A</v>
      </c>
      <c r="P159" s="2" t="s">
        <v>1356</v>
      </c>
      <c r="Q159" s="2">
        <v>7.62</v>
      </c>
    </row>
    <row r="160" spans="10:17" x14ac:dyDescent="0.3">
      <c r="J160" s="2" t="e">
        <f t="shared" si="24"/>
        <v>#N/A</v>
      </c>
      <c r="K160" s="2" t="e">
        <f t="shared" si="25"/>
        <v>#N/A</v>
      </c>
      <c r="L160" s="2" t="e">
        <f t="shared" si="26"/>
        <v>#N/A</v>
      </c>
      <c r="M160" s="2" t="e">
        <f t="shared" si="27"/>
        <v>#N/A</v>
      </c>
      <c r="N160" s="34" t="e">
        <f t="shared" si="28"/>
        <v>#N/A</v>
      </c>
      <c r="P160" s="2" t="s">
        <v>1357</v>
      </c>
      <c r="Q160" s="2">
        <v>7.6379999999999999</v>
      </c>
    </row>
    <row r="161" spans="10:17" x14ac:dyDescent="0.3">
      <c r="J161" s="2" t="e">
        <f t="shared" si="24"/>
        <v>#N/A</v>
      </c>
      <c r="K161" s="2" t="e">
        <f t="shared" si="25"/>
        <v>#N/A</v>
      </c>
      <c r="L161" s="2" t="e">
        <f t="shared" si="26"/>
        <v>#N/A</v>
      </c>
      <c r="M161" s="2" t="e">
        <f t="shared" si="27"/>
        <v>#N/A</v>
      </c>
      <c r="N161" s="34" t="e">
        <f t="shared" si="28"/>
        <v>#N/A</v>
      </c>
      <c r="P161" s="2" t="s">
        <v>1358</v>
      </c>
      <c r="Q161" s="2">
        <v>7.8479999999999999</v>
      </c>
    </row>
    <row r="162" spans="10:17" x14ac:dyDescent="0.3">
      <c r="J162" s="2" t="e">
        <f t="shared" si="24"/>
        <v>#N/A</v>
      </c>
      <c r="K162" s="2" t="e">
        <f t="shared" si="25"/>
        <v>#N/A</v>
      </c>
      <c r="L162" s="2" t="e">
        <f t="shared" si="26"/>
        <v>#N/A</v>
      </c>
      <c r="M162" s="2" t="e">
        <f t="shared" si="27"/>
        <v>#N/A</v>
      </c>
      <c r="N162" s="34" t="e">
        <f t="shared" si="28"/>
        <v>#N/A</v>
      </c>
      <c r="P162" s="2" t="s">
        <v>1359</v>
      </c>
      <c r="Q162" s="2">
        <v>7.8520000000000003</v>
      </c>
    </row>
    <row r="163" spans="10:17" x14ac:dyDescent="0.3">
      <c r="J163" s="2" t="e">
        <f t="shared" si="24"/>
        <v>#N/A</v>
      </c>
      <c r="K163" s="2" t="e">
        <f t="shared" si="25"/>
        <v>#N/A</v>
      </c>
      <c r="L163" s="2" t="e">
        <f t="shared" si="26"/>
        <v>#N/A</v>
      </c>
      <c r="M163" s="2" t="e">
        <f t="shared" si="27"/>
        <v>#N/A</v>
      </c>
      <c r="N163" s="34" t="e">
        <f t="shared" si="28"/>
        <v>#N/A</v>
      </c>
      <c r="P163" s="2" t="s">
        <v>1360</v>
      </c>
      <c r="Q163" s="2">
        <v>8.0660000000000007</v>
      </c>
    </row>
    <row r="164" spans="10:17" x14ac:dyDescent="0.3">
      <c r="J164" s="2" t="e">
        <f t="shared" si="24"/>
        <v>#N/A</v>
      </c>
      <c r="K164" s="2" t="e">
        <f t="shared" si="25"/>
        <v>#N/A</v>
      </c>
      <c r="L164" s="2" t="e">
        <f t="shared" si="26"/>
        <v>#N/A</v>
      </c>
      <c r="M164" s="2" t="e">
        <f t="shared" si="27"/>
        <v>#N/A</v>
      </c>
      <c r="N164" s="34" t="e">
        <f t="shared" si="28"/>
        <v>#N/A</v>
      </c>
      <c r="P164" s="2" t="s">
        <v>1361</v>
      </c>
      <c r="Q164" s="2">
        <v>8.0760000000000005</v>
      </c>
    </row>
    <row r="165" spans="10:17" x14ac:dyDescent="0.3">
      <c r="J165" s="2" t="e">
        <f t="shared" si="24"/>
        <v>#N/A</v>
      </c>
      <c r="K165" s="2" t="e">
        <f t="shared" si="25"/>
        <v>#N/A</v>
      </c>
      <c r="L165" s="2" t="e">
        <f t="shared" si="26"/>
        <v>#N/A</v>
      </c>
      <c r="M165" s="2" t="e">
        <f t="shared" si="27"/>
        <v>#N/A</v>
      </c>
      <c r="N165" s="34" t="e">
        <f t="shared" si="28"/>
        <v>#N/A</v>
      </c>
      <c r="P165" s="2" t="s">
        <v>1362</v>
      </c>
      <c r="Q165" s="2">
        <v>8.2799999999999994</v>
      </c>
    </row>
    <row r="166" spans="10:17" x14ac:dyDescent="0.3">
      <c r="J166" s="2" t="e">
        <f t="shared" si="24"/>
        <v>#N/A</v>
      </c>
      <c r="K166" s="2" t="e">
        <f t="shared" si="25"/>
        <v>#N/A</v>
      </c>
      <c r="L166" s="2" t="e">
        <f t="shared" si="26"/>
        <v>#N/A</v>
      </c>
      <c r="M166" s="2" t="e">
        <f t="shared" si="27"/>
        <v>#N/A</v>
      </c>
      <c r="N166" s="34" t="e">
        <f t="shared" si="28"/>
        <v>#N/A</v>
      </c>
      <c r="P166" s="2" t="s">
        <v>1363</v>
      </c>
      <c r="Q166" s="2">
        <v>8.3040000000000003</v>
      </c>
    </row>
    <row r="167" spans="10:17" x14ac:dyDescent="0.3">
      <c r="J167" s="2" t="e">
        <f t="shared" si="24"/>
        <v>#N/A</v>
      </c>
      <c r="K167" s="2" t="e">
        <f t="shared" si="25"/>
        <v>#N/A</v>
      </c>
      <c r="L167" s="2" t="e">
        <f t="shared" si="26"/>
        <v>#N/A</v>
      </c>
      <c r="M167" s="2" t="e">
        <f t="shared" si="27"/>
        <v>#N/A</v>
      </c>
      <c r="N167" s="34" t="e">
        <f t="shared" si="28"/>
        <v>#N/A</v>
      </c>
      <c r="P167" s="2" t="s">
        <v>1364</v>
      </c>
      <c r="Q167" s="2">
        <v>8.532</v>
      </c>
    </row>
    <row r="168" spans="10:17" x14ac:dyDescent="0.3">
      <c r="J168" s="2" t="e">
        <f t="shared" si="24"/>
        <v>#N/A</v>
      </c>
      <c r="K168" s="2" t="e">
        <f t="shared" si="25"/>
        <v>#N/A</v>
      </c>
      <c r="L168" s="2" t="e">
        <f t="shared" si="26"/>
        <v>#N/A</v>
      </c>
      <c r="M168" s="2" t="e">
        <f t="shared" si="27"/>
        <v>#N/A</v>
      </c>
      <c r="N168" s="34" t="e">
        <f t="shared" si="28"/>
        <v>#N/A</v>
      </c>
      <c r="P168" s="2" t="s">
        <v>1365</v>
      </c>
      <c r="Q168" s="2">
        <v>8.76</v>
      </c>
    </row>
  </sheetData>
  <sortState xmlns:xlrd2="http://schemas.microsoft.com/office/spreadsheetml/2017/richdata2" ref="P2:Q172">
    <sortCondition ref="Q2:Q172"/>
  </sortState>
  <mergeCells count="2">
    <mergeCell ref="B2:H2"/>
    <mergeCell ref="J2:N2"/>
  </mergeCells>
  <phoneticPr fontId="32" type="noConversion"/>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20"/>
  <dimension ref="B2:AS62"/>
  <sheetViews>
    <sheetView topLeftCell="K1" workbookViewId="0">
      <selection activeCell="W9" sqref="N4:W9"/>
    </sheetView>
  </sheetViews>
  <sheetFormatPr defaultColWidth="9" defaultRowHeight="14.25" x14ac:dyDescent="0.3"/>
  <cols>
    <col min="1" max="1" width="9" style="1"/>
    <col min="2" max="2" width="10.5" style="1" customWidth="1"/>
    <col min="3" max="6" width="9" style="1" customWidth="1"/>
    <col min="7" max="8" width="10.5" style="1" customWidth="1"/>
    <col min="9" max="9" width="9" style="1" customWidth="1"/>
    <col min="10" max="11" width="9" style="1"/>
    <col min="12" max="12" width="11.375" style="1" customWidth="1"/>
    <col min="13" max="13" width="8.875" style="1" customWidth="1"/>
    <col min="14" max="16384" width="9" style="1"/>
  </cols>
  <sheetData>
    <row r="2" spans="2:45" ht="15.75" customHeight="1" x14ac:dyDescent="0.3">
      <c r="B2" s="2" t="s">
        <v>1366</v>
      </c>
      <c r="C2" s="25"/>
      <c r="D2" s="351" t="s">
        <v>1367</v>
      </c>
      <c r="E2" s="351"/>
      <c r="F2" s="351"/>
      <c r="G2" s="351"/>
      <c r="H2" s="351"/>
      <c r="I2" s="25"/>
      <c r="J2" s="351" t="s">
        <v>1368</v>
      </c>
      <c r="K2" s="351"/>
      <c r="L2" s="351"/>
      <c r="N2" s="351" t="s">
        <v>1369</v>
      </c>
      <c r="O2" s="351"/>
      <c r="P2" s="351"/>
      <c r="Q2" s="351"/>
      <c r="R2" s="351"/>
      <c r="S2" s="351"/>
      <c r="T2" s="351"/>
      <c r="U2" s="351"/>
      <c r="V2" s="351"/>
      <c r="W2" s="351"/>
      <c r="X2" s="25"/>
      <c r="Y2" s="351" t="s">
        <v>1370</v>
      </c>
      <c r="Z2" s="351"/>
      <c r="AA2" s="351"/>
      <c r="AB2" s="351"/>
      <c r="AC2" s="351"/>
      <c r="AD2" s="25"/>
      <c r="AE2" s="25"/>
      <c r="AF2" s="352" t="s">
        <v>1371</v>
      </c>
      <c r="AG2" s="353"/>
      <c r="AH2" s="353"/>
      <c r="AI2" s="353"/>
      <c r="AJ2" s="354"/>
      <c r="AK2" s="25"/>
    </row>
    <row r="3" spans="2:45" x14ac:dyDescent="0.3">
      <c r="B3" s="32">
        <v>2</v>
      </c>
      <c r="C3" s="143"/>
      <c r="D3" s="39" t="s">
        <v>667</v>
      </c>
      <c r="E3" s="144" t="s">
        <v>1372</v>
      </c>
      <c r="F3" s="144" t="s">
        <v>1373</v>
      </c>
      <c r="G3" s="144" t="s">
        <v>1374</v>
      </c>
      <c r="H3" s="29" t="s">
        <v>1375</v>
      </c>
      <c r="I3" s="143"/>
      <c r="J3" s="2" t="s">
        <v>1376</v>
      </c>
      <c r="K3" s="2" t="s">
        <v>1377</v>
      </c>
      <c r="L3" s="2" t="s">
        <v>1378</v>
      </c>
      <c r="N3" s="2" t="s">
        <v>1379</v>
      </c>
      <c r="O3" s="2" t="s">
        <v>1380</v>
      </c>
      <c r="P3" s="2" t="s">
        <v>594</v>
      </c>
      <c r="Q3" s="2" t="s">
        <v>1381</v>
      </c>
      <c r="R3" s="2" t="s">
        <v>1382</v>
      </c>
      <c r="S3" s="2" t="s">
        <v>1383</v>
      </c>
      <c r="T3" s="2" t="s">
        <v>1384</v>
      </c>
      <c r="U3" s="2" t="s">
        <v>1385</v>
      </c>
      <c r="V3" s="2" t="s">
        <v>1386</v>
      </c>
      <c r="W3" s="2" t="s">
        <v>1387</v>
      </c>
      <c r="Y3" s="2" t="s">
        <v>1388</v>
      </c>
      <c r="Z3" s="2" t="s">
        <v>1389</v>
      </c>
      <c r="AA3" s="2" t="s">
        <v>1381</v>
      </c>
      <c r="AB3" s="2" t="s">
        <v>1390</v>
      </c>
      <c r="AC3" s="2" t="s">
        <v>1391</v>
      </c>
      <c r="AD3" s="25"/>
      <c r="AE3" s="2" t="s">
        <v>886</v>
      </c>
      <c r="AF3" s="2" t="s">
        <v>667</v>
      </c>
      <c r="AG3" s="2" t="s">
        <v>1392</v>
      </c>
      <c r="AH3" s="2" t="s">
        <v>1373</v>
      </c>
      <c r="AI3" s="2" t="s">
        <v>1386</v>
      </c>
      <c r="AJ3" s="2" t="s">
        <v>1393</v>
      </c>
      <c r="AK3" s="25"/>
      <c r="AL3" s="2" t="s">
        <v>599</v>
      </c>
      <c r="AM3" s="2" t="s">
        <v>344</v>
      </c>
      <c r="AN3" s="2" t="s">
        <v>1394</v>
      </c>
      <c r="AO3" s="2" t="s">
        <v>776</v>
      </c>
      <c r="AP3" s="2" t="s">
        <v>1388</v>
      </c>
      <c r="AQ3" s="2" t="s">
        <v>1387</v>
      </c>
      <c r="AR3" s="2" t="s">
        <v>1377</v>
      </c>
      <c r="AS3" s="2" t="s">
        <v>1395</v>
      </c>
    </row>
    <row r="4" spans="2:45" x14ac:dyDescent="0.3">
      <c r="C4" s="1" t="e">
        <f>I4*#REF!</f>
        <v>#REF!</v>
      </c>
      <c r="D4" s="2" t="s">
        <v>604</v>
      </c>
      <c r="E4" s="2" t="e">
        <f>#REF!</f>
        <v>#REF!</v>
      </c>
      <c r="F4" s="2">
        <v>3</v>
      </c>
      <c r="G4" s="2">
        <v>50</v>
      </c>
      <c r="H4" s="2" t="s">
        <v>184</v>
      </c>
      <c r="J4" s="2">
        <v>1</v>
      </c>
      <c r="K4" s="32">
        <v>1000</v>
      </c>
      <c r="L4" s="2">
        <f>POWER(坦克等级成长!J13/坦克等级成长!J14,战斗力计算!$C$2)</f>
        <v>0.78181737487830738</v>
      </c>
      <c r="N4" s="2">
        <v>1</v>
      </c>
      <c r="O4" s="21">
        <v>5</v>
      </c>
      <c r="P4" s="2">
        <v>1</v>
      </c>
      <c r="Q4" s="146">
        <v>4.4999999999999998E-2</v>
      </c>
      <c r="R4" s="2">
        <f>Q4*P4+O4*$B$6</f>
        <v>7.0000000000000007E-2</v>
      </c>
      <c r="S4" s="145">
        <v>0.01</v>
      </c>
      <c r="T4" s="110">
        <f>$S$4</f>
        <v>0.01</v>
      </c>
      <c r="U4" s="21">
        <v>10</v>
      </c>
      <c r="V4" s="21">
        <v>30</v>
      </c>
      <c r="W4" s="2">
        <f>G4+V4*P4+VLOOKUP(O4,$Y$3:$AC$38,MATCH("累计属性",$Y$3:$AC$3,0),FALSE)</f>
        <v>130</v>
      </c>
      <c r="Y4" s="2">
        <v>1</v>
      </c>
      <c r="Z4" s="2">
        <v>1</v>
      </c>
      <c r="AA4" s="147">
        <f>VLOOKUP(Z4,$N$3:$W$10,MATCH("计算比例",$N$3:$W$3,0),FALSE)</f>
        <v>0.01</v>
      </c>
      <c r="AB4" s="2">
        <f>MROUND(VLOOKUP(Z4,$N$3:$U$10,8,FALSE),1)</f>
        <v>10</v>
      </c>
      <c r="AC4" s="2">
        <f>AB4</f>
        <v>10</v>
      </c>
      <c r="AD4" s="25"/>
      <c r="AE4" s="2" t="e">
        <f t="shared" ref="AE4:AE13" si="0">AG4&amp;"星"</f>
        <v>#REF!</v>
      </c>
      <c r="AF4" s="2" t="s">
        <v>351</v>
      </c>
      <c r="AG4" s="2" t="e">
        <f>#REF!</f>
        <v>#REF!</v>
      </c>
      <c r="AH4" s="2" t="e">
        <f>VLOOKUP(AF4,#REF!,3,FALSE)</f>
        <v>#REF!</v>
      </c>
      <c r="AI4" s="2" t="e">
        <f>ROUND(IF(AG4&lt;&gt;AH4,VLOOKUP(AF4,$D$3:$G$6,4,FALSE),VLOOKUP(AG4,$N$3:$W$10,MATCH(AI$3,$N$3:$W$3,0),FALSE)),0)</f>
        <v>#REF!</v>
      </c>
      <c r="AJ4" s="2" t="e">
        <f t="shared" ref="AJ4:AJ9" si="1">IF(AF4=AF3,AI4+AJ3,AI4)</f>
        <v>#REF!</v>
      </c>
      <c r="AK4" s="25"/>
      <c r="AL4" s="2" t="str">
        <f>坦克个性化设定!B19</f>
        <v>雷诺FT</v>
      </c>
      <c r="AM4" s="2" t="str">
        <f>坦克个性化设定!E19</f>
        <v>T1</v>
      </c>
      <c r="AN4" s="2" t="str">
        <f>坦克个性化细分!J4</f>
        <v>低</v>
      </c>
      <c r="AO4" s="2">
        <f>VLOOKUP(AM4&amp;AN4,坦克等级成长!$P$12:$U$24,MATCH(AO$3,坦克等级成长!$P$12:$U$12,0),FALSE)</f>
        <v>3</v>
      </c>
      <c r="AP4" s="2">
        <f t="shared" ref="AP4:AP33" si="2">_xlfn.IFNA(VLOOKUP(AO4,$N$3:$O$10,2,FALSE),$O$10)</f>
        <v>15</v>
      </c>
      <c r="AQ4" s="2">
        <f t="shared" ref="AQ4:AQ33" si="3">VLOOKUP(AO4,$N$3:$W$10,MATCH(AQ$3,$N$3:$W$3,0),FALSE)</f>
        <v>405</v>
      </c>
      <c r="AR4" s="2">
        <f t="shared" ref="AR4:AR33" si="4">VLOOKUP(AO4,$J$3:$L$10,MATCH(AR$3,$J$3:$L$3,0),FALSE)</f>
        <v>1750</v>
      </c>
      <c r="AS4" s="2">
        <f>AQ4/AR4</f>
        <v>0.23142857142857143</v>
      </c>
    </row>
    <row r="5" spans="2:45" x14ac:dyDescent="0.3">
      <c r="B5" s="2" t="s">
        <v>1396</v>
      </c>
      <c r="C5" s="1" t="e">
        <f>I5*#REF!</f>
        <v>#REF!</v>
      </c>
      <c r="D5" s="2" t="s">
        <v>606</v>
      </c>
      <c r="E5" s="2">
        <v>2</v>
      </c>
      <c r="F5" s="2">
        <v>4</v>
      </c>
      <c r="G5" s="2">
        <f>MROUND(G4+V5,5)</f>
        <v>110</v>
      </c>
      <c r="H5" s="2" t="s">
        <v>1397</v>
      </c>
      <c r="J5" s="2">
        <v>2</v>
      </c>
      <c r="K5" s="2">
        <f t="shared" ref="K5:K10" si="5">MROUND(K4/L4,50)</f>
        <v>1300</v>
      </c>
      <c r="L5" s="2">
        <f>POWER(坦克等级成长!J14/坦克等级成长!J16,战斗力计算!$C$2)</f>
        <v>0.75342732397673173</v>
      </c>
      <c r="N5" s="2">
        <v>2</v>
      </c>
      <c r="O5" s="21">
        <v>10</v>
      </c>
      <c r="P5" s="2">
        <v>1</v>
      </c>
      <c r="Q5" s="146">
        <v>4.2000000000000003E-2</v>
      </c>
      <c r="R5" s="2">
        <f>Q4*P4+Q5*P5+O5*$B$6</f>
        <v>0.13700000000000001</v>
      </c>
      <c r="S5" s="145">
        <v>8.0000000000000002E-3</v>
      </c>
      <c r="T5" s="110">
        <f>(O5*$S$5-O4*$S$5*K4/K5)/(O5-O4)</f>
        <v>9.8461538461538465E-3</v>
      </c>
      <c r="U5" s="21">
        <v>15</v>
      </c>
      <c r="V5" s="21">
        <v>60</v>
      </c>
      <c r="W5" s="2">
        <f>V4*P4+V5*P5+VLOOKUP(O5,$Y$3:$AC$38,MATCH("累计属性",$Y$3:$AC$3,0),FALSE)</f>
        <v>215</v>
      </c>
      <c r="Y5" s="2">
        <v>2</v>
      </c>
      <c r="Z5" s="2">
        <f>IF(VLOOKUP(Z4,$N$3:$O$10,2,FALSE)&lt;Y5,Z4+1,Z4)</f>
        <v>1</v>
      </c>
      <c r="AA5" s="147">
        <f t="shared" ref="AA5:AA38" si="6">VLOOKUP(Z5,$N$3:$W$10,MATCH("计算比例",$N$3:$W$3,0),FALSE)</f>
        <v>0.01</v>
      </c>
      <c r="AB5" s="2">
        <f t="shared" ref="AB5:AB38" si="7">MROUND(VLOOKUP(Z5,$N$3:$U$10,8,FALSE),1)</f>
        <v>10</v>
      </c>
      <c r="AC5" s="2">
        <f>AB5+AC4</f>
        <v>20</v>
      </c>
      <c r="AD5" s="25"/>
      <c r="AE5" s="2" t="e">
        <f t="shared" si="0"/>
        <v>#REF!</v>
      </c>
      <c r="AF5" s="2" t="e">
        <f t="shared" ref="AF5:AF13" si="8">IF(AG4=AH4,"T"&amp;RIGHT(AF4,1)*1+1,AF4)</f>
        <v>#REF!</v>
      </c>
      <c r="AG5" s="2" t="e">
        <f>IF(AG4&lt;AH4,AG4+1,VLOOKUP(AF5,#REF!,2,FALSE))</f>
        <v>#REF!</v>
      </c>
      <c r="AH5" s="2" t="e">
        <f>VLOOKUP(AF5,#REF!,3,FALSE)</f>
        <v>#REF!</v>
      </c>
      <c r="AI5" s="2" t="e">
        <f t="shared" ref="AI5:AI13" si="9">ROUND(IF(AG5&lt;&gt;AH5,VLOOKUP(AF5,$D$3:$G$6,4,FALSE),VLOOKUP(AG5-1,$N$3:$W$10,MATCH(AI$3,$N$3:$W$3,0),FALSE)),0)</f>
        <v>#REF!</v>
      </c>
      <c r="AJ5" s="2" t="e">
        <f t="shared" si="1"/>
        <v>#REF!</v>
      </c>
      <c r="AK5" s="25"/>
      <c r="AL5" s="2" t="str">
        <f>坦克个性化设定!B20</f>
        <v>二号</v>
      </c>
      <c r="AM5" s="2" t="str">
        <f>坦克个性化设定!E20</f>
        <v>T2</v>
      </c>
      <c r="AN5" s="2" t="str">
        <f>坦克个性化细分!J5</f>
        <v>低</v>
      </c>
      <c r="AO5" s="2">
        <f>VLOOKUP(AM5&amp;AN5,坦克等级成长!$P$12:$U$24,MATCH(AO$3,坦克等级成长!$P$12:$U$12,0),FALSE)</f>
        <v>4</v>
      </c>
      <c r="AP5" s="2">
        <f t="shared" si="2"/>
        <v>20</v>
      </c>
      <c r="AQ5" s="2">
        <f t="shared" si="3"/>
        <v>650</v>
      </c>
      <c r="AR5" s="2">
        <f t="shared" si="4"/>
        <v>2500</v>
      </c>
      <c r="AS5" s="2">
        <f t="shared" ref="AS5:AS33" si="10">AQ5/AR5</f>
        <v>0.26</v>
      </c>
    </row>
    <row r="6" spans="2:45" x14ac:dyDescent="0.3">
      <c r="B6" s="145">
        <v>5.0000000000000001E-3</v>
      </c>
      <c r="C6" s="1" t="e">
        <f>I6*#REF!</f>
        <v>#REF!</v>
      </c>
      <c r="D6" s="2" t="s">
        <v>610</v>
      </c>
      <c r="E6" s="2">
        <v>3</v>
      </c>
      <c r="F6" s="2">
        <v>5</v>
      </c>
      <c r="G6" s="2">
        <f>MROUND(G5+V6,5)</f>
        <v>200</v>
      </c>
      <c r="H6" s="2" t="s">
        <v>1398</v>
      </c>
      <c r="J6" s="2">
        <v>3</v>
      </c>
      <c r="K6" s="2">
        <f t="shared" si="5"/>
        <v>1750</v>
      </c>
      <c r="L6" s="2">
        <f>POWER(坦克等级成长!J16/坦克等级成长!J19,战斗力计算!$C$2)</f>
        <v>0.70371475488147239</v>
      </c>
      <c r="N6" s="2">
        <v>3</v>
      </c>
      <c r="O6" s="21">
        <v>15</v>
      </c>
      <c r="P6" s="2">
        <v>1</v>
      </c>
      <c r="Q6" s="146">
        <v>0.04</v>
      </c>
      <c r="R6" s="2">
        <f>Q4*P4+Q5*P5+Q6*P6+O6*$B$6</f>
        <v>0.20200000000000001</v>
      </c>
      <c r="S6" s="145">
        <v>7.0000000000000001E-3</v>
      </c>
      <c r="T6" s="110">
        <f>(O6*$S$6-O5*$S$6*K5/K6)/(O6-O5)</f>
        <v>1.0599999999999997E-2</v>
      </c>
      <c r="U6" s="21">
        <v>20</v>
      </c>
      <c r="V6" s="21">
        <v>90</v>
      </c>
      <c r="W6" s="2">
        <f>V4*P4+V5*P5+V6*P6+VLOOKUP(O6,$Y$3:$AC$38,MATCH("累计属性",$Y$3:$AC$3,0),FALSE)</f>
        <v>405</v>
      </c>
      <c r="Y6" s="2">
        <v>3</v>
      </c>
      <c r="Z6" s="2">
        <f t="shared" ref="Z6:Z38" si="11">IF(VLOOKUP(Z5,$N$3:$O$10,2,FALSE)&lt;Y6,Z5+1,Z5)</f>
        <v>1</v>
      </c>
      <c r="AA6" s="147">
        <f t="shared" si="6"/>
        <v>0.01</v>
      </c>
      <c r="AB6" s="2">
        <f t="shared" si="7"/>
        <v>10</v>
      </c>
      <c r="AC6" s="2">
        <f t="shared" ref="AC6:AC38" si="12">AB6+AC5</f>
        <v>30</v>
      </c>
      <c r="AD6" s="25"/>
      <c r="AE6" s="2" t="e">
        <f t="shared" si="0"/>
        <v>#REF!</v>
      </c>
      <c r="AF6" s="2" t="e">
        <f t="shared" si="8"/>
        <v>#REF!</v>
      </c>
      <c r="AG6" s="2" t="e">
        <f>IF(AG5&lt;AH5,AG5+1,VLOOKUP(AF6,#REF!,2,FALSE))</f>
        <v>#REF!</v>
      </c>
      <c r="AH6" s="2" t="e">
        <f>VLOOKUP(AF6,#REF!,3,FALSE)</f>
        <v>#REF!</v>
      </c>
      <c r="AI6" s="2" t="e">
        <f t="shared" si="9"/>
        <v>#REF!</v>
      </c>
      <c r="AJ6" s="2" t="e">
        <f t="shared" si="1"/>
        <v>#REF!</v>
      </c>
      <c r="AK6" s="25"/>
      <c r="AL6" s="2" t="str">
        <f>坦克个性化设定!B21</f>
        <v>Puma</v>
      </c>
      <c r="AM6" s="2" t="str">
        <f>坦克个性化设定!E21</f>
        <v>T2</v>
      </c>
      <c r="AN6" s="2" t="str">
        <f>坦克个性化细分!J6</f>
        <v>中</v>
      </c>
      <c r="AO6" s="2">
        <f>VLOOKUP(AM6&amp;AN6,坦克等级成长!$P$12:$U$24,MATCH(AO$3,坦克等级成长!$P$12:$U$12,0),FALSE)</f>
        <v>4</v>
      </c>
      <c r="AP6" s="2">
        <f t="shared" si="2"/>
        <v>20</v>
      </c>
      <c r="AQ6" s="2">
        <f t="shared" si="3"/>
        <v>650</v>
      </c>
      <c r="AR6" s="2">
        <f t="shared" si="4"/>
        <v>2500</v>
      </c>
      <c r="AS6" s="2">
        <f t="shared" si="10"/>
        <v>0.26</v>
      </c>
    </row>
    <row r="7" spans="2:45" x14ac:dyDescent="0.3">
      <c r="D7" s="121" t="s">
        <v>617</v>
      </c>
      <c r="E7" s="121">
        <v>3</v>
      </c>
      <c r="F7" s="121">
        <v>6</v>
      </c>
      <c r="G7" s="121">
        <f>MROUND(G6+V7,5)</f>
        <v>320</v>
      </c>
      <c r="H7" s="121"/>
      <c r="J7" s="2">
        <v>4</v>
      </c>
      <c r="K7" s="2">
        <f t="shared" si="5"/>
        <v>2500</v>
      </c>
      <c r="L7" s="2">
        <f>POWER(坦克等级成长!J19/坦克等级成长!J22,战斗力计算!$C$2)</f>
        <v>0.69273308279167156</v>
      </c>
      <c r="N7" s="2">
        <v>4</v>
      </c>
      <c r="O7" s="21">
        <v>20</v>
      </c>
      <c r="P7" s="2">
        <v>1</v>
      </c>
      <c r="Q7" s="146">
        <v>0.03</v>
      </c>
      <c r="R7" s="2">
        <f>Q4*P4+Q5*P5+Q6*P6+Q7*P7+O7*$B$6</f>
        <v>0.25700000000000001</v>
      </c>
      <c r="S7" s="145">
        <v>6.0000000000000001E-3</v>
      </c>
      <c r="T7" s="110">
        <f>(O7*$S$7-O6*$S$7*K6/K7)/(O7-O6)</f>
        <v>1.1399999999999999E-2</v>
      </c>
      <c r="U7" s="21">
        <v>25</v>
      </c>
      <c r="V7" s="21">
        <v>120</v>
      </c>
      <c r="W7" s="2">
        <f>V4*P4+V5*P5+V6*P6+V7*P7+VLOOKUP(O7,$Y$3:$AC$38,MATCH("累计属性",$Y$3:$AC$3,0),FALSE)</f>
        <v>650</v>
      </c>
      <c r="Y7" s="2">
        <v>4</v>
      </c>
      <c r="Z7" s="2">
        <f t="shared" si="11"/>
        <v>1</v>
      </c>
      <c r="AA7" s="147">
        <f t="shared" si="6"/>
        <v>0.01</v>
      </c>
      <c r="AB7" s="2">
        <f t="shared" si="7"/>
        <v>10</v>
      </c>
      <c r="AC7" s="2">
        <f t="shared" si="12"/>
        <v>40</v>
      </c>
      <c r="AD7" s="25"/>
      <c r="AE7" s="2" t="e">
        <f t="shared" si="0"/>
        <v>#REF!</v>
      </c>
      <c r="AF7" s="2" t="e">
        <f t="shared" si="8"/>
        <v>#REF!</v>
      </c>
      <c r="AG7" s="2" t="e">
        <f>IF(AG6&lt;AH6,AG6+1,VLOOKUP(AF7,#REF!,2,FALSE))</f>
        <v>#REF!</v>
      </c>
      <c r="AH7" s="2" t="e">
        <f>VLOOKUP(AF7,#REF!,3,FALSE)</f>
        <v>#REF!</v>
      </c>
      <c r="AI7" s="2" t="e">
        <f t="shared" si="9"/>
        <v>#REF!</v>
      </c>
      <c r="AJ7" s="2" t="e">
        <f t="shared" si="1"/>
        <v>#REF!</v>
      </c>
      <c r="AK7" s="25"/>
      <c r="AL7" s="2" t="str">
        <f>坦克个性化设定!B22</f>
        <v>35(t)</v>
      </c>
      <c r="AM7" s="2" t="str">
        <f>坦克个性化设定!E22</f>
        <v>T3</v>
      </c>
      <c r="AN7" s="2" t="str">
        <f>坦克个性化细分!J7</f>
        <v>低</v>
      </c>
      <c r="AO7" s="2">
        <f>VLOOKUP(AM7&amp;AN7,坦克等级成长!$P$12:$U$24,MATCH(AO$3,坦克等级成长!$P$12:$U$12,0),FALSE)</f>
        <v>5</v>
      </c>
      <c r="AP7" s="2">
        <f t="shared" si="2"/>
        <v>25</v>
      </c>
      <c r="AQ7" s="2">
        <f t="shared" si="3"/>
        <v>950</v>
      </c>
      <c r="AR7" s="2">
        <f t="shared" si="4"/>
        <v>3600</v>
      </c>
      <c r="AS7" s="2">
        <f t="shared" si="10"/>
        <v>0.2638888888888889</v>
      </c>
    </row>
    <row r="8" spans="2:45" x14ac:dyDescent="0.3">
      <c r="D8" s="121" t="s">
        <v>624</v>
      </c>
      <c r="E8" s="121">
        <v>3</v>
      </c>
      <c r="F8" s="121">
        <v>7</v>
      </c>
      <c r="G8" s="121">
        <f>MROUND(G7+V8,5)</f>
        <v>470</v>
      </c>
      <c r="H8" s="121"/>
      <c r="J8" s="2">
        <v>5</v>
      </c>
      <c r="K8" s="2">
        <f t="shared" si="5"/>
        <v>3600</v>
      </c>
      <c r="L8" s="2">
        <f>POWER(坦克等级成长!J22/(坦克等级成长!K22-坦克等级成长!I22*坦克等级成长!E22),战斗力计算!$C$2)</f>
        <v>0.69485935876716365</v>
      </c>
      <c r="N8" s="2">
        <v>5</v>
      </c>
      <c r="O8" s="21">
        <v>25</v>
      </c>
      <c r="P8" s="2">
        <v>1</v>
      </c>
      <c r="Q8" s="146">
        <v>2.7E-2</v>
      </c>
      <c r="R8" s="2">
        <f>Q4*P4+Q5*P5+Q6*P6+Q7*P7+Q8*P8+O8*$B$6</f>
        <v>0.309</v>
      </c>
      <c r="S8" s="145">
        <v>5.0000000000000001E-3</v>
      </c>
      <c r="T8" s="110">
        <f>(O8*$S$8-O7*$S$8*K7/K8)/(O8-O7)</f>
        <v>1.111111111111111E-2</v>
      </c>
      <c r="U8" s="21">
        <v>30</v>
      </c>
      <c r="V8" s="21">
        <v>150</v>
      </c>
      <c r="W8" s="2">
        <f>V4*P4+V5*P5+V6*P6+V7*P7+V8*P8+VLOOKUP(O8,$Y$3:$AC$38,MATCH("累计属性",$Y$3:$AC$3,0),FALSE)</f>
        <v>950</v>
      </c>
      <c r="Y8" s="2">
        <v>5</v>
      </c>
      <c r="Z8" s="2">
        <f t="shared" si="11"/>
        <v>1</v>
      </c>
      <c r="AA8" s="147">
        <f t="shared" si="6"/>
        <v>0.01</v>
      </c>
      <c r="AB8" s="2">
        <f t="shared" si="7"/>
        <v>10</v>
      </c>
      <c r="AC8" s="2">
        <f t="shared" si="12"/>
        <v>50</v>
      </c>
      <c r="AD8" s="25"/>
      <c r="AE8" s="2" t="e">
        <f t="shared" si="0"/>
        <v>#REF!</v>
      </c>
      <c r="AF8" s="2" t="e">
        <f t="shared" si="8"/>
        <v>#REF!</v>
      </c>
      <c r="AG8" s="2" t="e">
        <f>IF(AG7&lt;AH7,AG7+1,VLOOKUP(AF8,#REF!,2,FALSE))</f>
        <v>#REF!</v>
      </c>
      <c r="AH8" s="2" t="e">
        <f>VLOOKUP(AF8,#REF!,3,FALSE)</f>
        <v>#REF!</v>
      </c>
      <c r="AI8" s="2" t="e">
        <f t="shared" si="9"/>
        <v>#REF!</v>
      </c>
      <c r="AJ8" s="2" t="e">
        <f t="shared" si="1"/>
        <v>#REF!</v>
      </c>
      <c r="AK8" s="25"/>
      <c r="AL8" s="2" t="str">
        <f>坦克个性化设定!B23</f>
        <v>十字军</v>
      </c>
      <c r="AM8" s="2" t="str">
        <f>坦克个性化设定!E23</f>
        <v>T3</v>
      </c>
      <c r="AN8" s="2" t="str">
        <f>坦克个性化细分!J8</f>
        <v>中</v>
      </c>
      <c r="AO8" s="2">
        <f>VLOOKUP(AM8&amp;AN8,坦克等级成长!$P$12:$U$24,MATCH(AO$3,坦克等级成长!$P$12:$U$12,0),FALSE)</f>
        <v>5</v>
      </c>
      <c r="AP8" s="2">
        <f t="shared" si="2"/>
        <v>25</v>
      </c>
      <c r="AQ8" s="2">
        <f t="shared" si="3"/>
        <v>950</v>
      </c>
      <c r="AR8" s="2">
        <f t="shared" si="4"/>
        <v>3600</v>
      </c>
      <c r="AS8" s="2">
        <f t="shared" si="10"/>
        <v>0.2638888888888889</v>
      </c>
    </row>
    <row r="9" spans="2:45" x14ac:dyDescent="0.3">
      <c r="J9" s="2">
        <v>6</v>
      </c>
      <c r="K9" s="2">
        <f t="shared" si="5"/>
        <v>5200</v>
      </c>
      <c r="L9" s="2">
        <f>POWER(坦克等级成长!J23/(坦克等级成长!K23-坦克等级成长!I23*坦克等级成长!E23),战斗力计算!$C$2)</f>
        <v>0.70341270017465751</v>
      </c>
      <c r="N9" s="2">
        <v>6</v>
      </c>
      <c r="O9" s="21">
        <v>30</v>
      </c>
      <c r="P9" s="2">
        <v>1</v>
      </c>
      <c r="Q9" s="146">
        <v>2.1000000000000001E-2</v>
      </c>
      <c r="R9" s="2">
        <f>Q4*P4+Q5*P5+Q6*P6+Q7*P7+Q8*P8+Q9*P9+O9*$B$6</f>
        <v>0.35499999999999998</v>
      </c>
      <c r="S9" s="145">
        <v>4.4999999999999997E-3</v>
      </c>
      <c r="T9" s="110">
        <f>(O9*$S$9-O8*$S$9*K8/K9)/(O9-O8)</f>
        <v>1.1423076923076921E-2</v>
      </c>
      <c r="U9" s="21">
        <v>35</v>
      </c>
      <c r="V9" s="21">
        <v>180</v>
      </c>
      <c r="W9" s="2">
        <f>V4*P4+V5*P5+V6*P6+V7*P7+V8*P8+V9*P9+VLOOKUP(O9,$Y$3:$AC$38,MATCH("累计属性",$Y$3:$AC$3,0),FALSE)</f>
        <v>1305</v>
      </c>
      <c r="Y9" s="2">
        <v>6</v>
      </c>
      <c r="Z9" s="2">
        <f t="shared" si="11"/>
        <v>2</v>
      </c>
      <c r="AA9" s="147">
        <f t="shared" si="6"/>
        <v>9.8461538461538465E-3</v>
      </c>
      <c r="AB9" s="2">
        <f t="shared" si="7"/>
        <v>15</v>
      </c>
      <c r="AC9" s="2">
        <f t="shared" si="12"/>
        <v>65</v>
      </c>
      <c r="AD9" s="25"/>
      <c r="AE9" s="2" t="e">
        <f t="shared" si="0"/>
        <v>#REF!</v>
      </c>
      <c r="AF9" s="2" t="e">
        <f t="shared" si="8"/>
        <v>#REF!</v>
      </c>
      <c r="AG9" s="2" t="e">
        <f>IF(AG8&lt;AH8,AG8+1,VLOOKUP(AF9,#REF!,2,FALSE))</f>
        <v>#REF!</v>
      </c>
      <c r="AH9" s="2" t="e">
        <f>VLOOKUP(AF9,#REF!,3,FALSE)</f>
        <v>#REF!</v>
      </c>
      <c r="AI9" s="2" t="e">
        <f t="shared" si="9"/>
        <v>#REF!</v>
      </c>
      <c r="AJ9" s="2" t="e">
        <f t="shared" si="1"/>
        <v>#REF!</v>
      </c>
      <c r="AL9" s="2" t="str">
        <f>坦克个性化设定!B24</f>
        <v>AMX-13</v>
      </c>
      <c r="AM9" s="2" t="str">
        <f>坦克个性化设定!E24</f>
        <v>T3</v>
      </c>
      <c r="AN9" s="2" t="str">
        <f>坦克个性化细分!J9</f>
        <v>高</v>
      </c>
      <c r="AO9" s="2">
        <f>VLOOKUP(AM9&amp;AN9,坦克等级成长!$P$12:$U$24,MATCH(AO$3,坦克等级成长!$P$12:$U$12,0),FALSE)</f>
        <v>5</v>
      </c>
      <c r="AP9" s="2">
        <f t="shared" si="2"/>
        <v>25</v>
      </c>
      <c r="AQ9" s="2">
        <f t="shared" si="3"/>
        <v>950</v>
      </c>
      <c r="AR9" s="2">
        <f t="shared" si="4"/>
        <v>3600</v>
      </c>
      <c r="AS9" s="2">
        <f t="shared" si="10"/>
        <v>0.2638888888888889</v>
      </c>
    </row>
    <row r="10" spans="2:45" x14ac:dyDescent="0.3">
      <c r="J10" s="2">
        <v>7</v>
      </c>
      <c r="K10" s="2">
        <f t="shared" si="5"/>
        <v>7400</v>
      </c>
      <c r="L10" s="2">
        <f>POWER(坦克等级成长!J24/(坦克等级成长!K24-坦克等级成长!I24*坦克等级成长!E24),战斗力计算!$C$2)</f>
        <v>0.70341270017465751</v>
      </c>
      <c r="N10" s="2">
        <v>7</v>
      </c>
      <c r="O10" s="21">
        <v>35</v>
      </c>
      <c r="P10" s="2">
        <v>1</v>
      </c>
      <c r="Q10" s="146">
        <v>1.7000000000000001E-2</v>
      </c>
      <c r="R10" s="2">
        <f>Q5*P5+Q6*P6+Q7*P7+Q8*P8+Q9*P9+Q10*P10+O10*$B$6</f>
        <v>0.35199999999999998</v>
      </c>
      <c r="S10" s="145">
        <v>3.5999999999999999E-3</v>
      </c>
      <c r="T10" s="110">
        <f>(O10*$S$10-O9*$S$10*K9/K10)/(O10-O9)</f>
        <v>1.002162162162162E-2</v>
      </c>
      <c r="U10" s="21">
        <v>40</v>
      </c>
      <c r="V10" s="21">
        <v>210</v>
      </c>
      <c r="W10" s="2">
        <f>V4*P4+V5*P5+V6*P6+V7*P7+V8*P8+V9*P9+V10*P10+VLOOKUP(O10,$Y$3:$AC$38,MATCH("累计属性",$Y$3:$AC$3,0),FALSE)</f>
        <v>1715</v>
      </c>
      <c r="Y10" s="2">
        <v>7</v>
      </c>
      <c r="Z10" s="2">
        <f t="shared" si="11"/>
        <v>2</v>
      </c>
      <c r="AA10" s="147">
        <f t="shared" si="6"/>
        <v>9.8461538461538465E-3</v>
      </c>
      <c r="AB10" s="2">
        <f t="shared" si="7"/>
        <v>15</v>
      </c>
      <c r="AC10" s="2">
        <f t="shared" si="12"/>
        <v>80</v>
      </c>
      <c r="AD10" s="25"/>
      <c r="AE10" s="2" t="e">
        <f t="shared" si="0"/>
        <v>#REF!</v>
      </c>
      <c r="AF10" s="2" t="e">
        <f t="shared" si="8"/>
        <v>#REF!</v>
      </c>
      <c r="AG10" s="2" t="e">
        <f>IF(AG9&lt;AH9,AG9+1,VLOOKUP(AF10,#REF!,2,FALSE))</f>
        <v>#REF!</v>
      </c>
      <c r="AH10" s="2" t="e">
        <f>VLOOKUP(AF10,#REF!,3,FALSE)</f>
        <v>#REF!</v>
      </c>
      <c r="AI10" s="2" t="e">
        <f t="shared" si="9"/>
        <v>#REF!</v>
      </c>
      <c r="AJ10" s="2" t="e">
        <f>IF(AF10=AF9,AI10+AJ9,AI10)</f>
        <v>#REF!</v>
      </c>
      <c r="AL10" s="2" t="str">
        <f>坦克个性化设定!B25</f>
        <v>霞飞</v>
      </c>
      <c r="AM10" s="2" t="str">
        <f>坦克个性化设定!E25</f>
        <v>T4</v>
      </c>
      <c r="AN10" s="2" t="str">
        <f>坦克个性化细分!J10</f>
        <v>低</v>
      </c>
      <c r="AO10" s="2">
        <f>VLOOKUP(AM10&amp;AN10,坦克等级成长!$P$12:$U$24,MATCH(AO$3,坦克等级成长!$P$12:$U$12,0),FALSE)</f>
        <v>7</v>
      </c>
      <c r="AP10" s="2">
        <f t="shared" si="2"/>
        <v>35</v>
      </c>
      <c r="AQ10" s="2">
        <f t="shared" si="3"/>
        <v>1715</v>
      </c>
      <c r="AR10" s="2">
        <f t="shared" si="4"/>
        <v>7400</v>
      </c>
      <c r="AS10" s="2">
        <f t="shared" si="10"/>
        <v>0.23175675675675675</v>
      </c>
    </row>
    <row r="11" spans="2:45" x14ac:dyDescent="0.3">
      <c r="Y11" s="2">
        <v>8</v>
      </c>
      <c r="Z11" s="2">
        <f t="shared" si="11"/>
        <v>2</v>
      </c>
      <c r="AA11" s="147">
        <f t="shared" si="6"/>
        <v>9.8461538461538465E-3</v>
      </c>
      <c r="AB11" s="2">
        <f t="shared" si="7"/>
        <v>15</v>
      </c>
      <c r="AC11" s="2">
        <f t="shared" si="12"/>
        <v>95</v>
      </c>
      <c r="AD11" s="25"/>
      <c r="AE11" s="2" t="e">
        <f t="shared" si="0"/>
        <v>#REF!</v>
      </c>
      <c r="AF11" s="2" t="e">
        <f t="shared" si="8"/>
        <v>#REF!</v>
      </c>
      <c r="AG11" s="2" t="e">
        <f>IF(AG10&lt;AH10,AG10+1,VLOOKUP(AF11,#REF!,2,FALSE))</f>
        <v>#REF!</v>
      </c>
      <c r="AH11" s="2" t="e">
        <f>VLOOKUP(AF11,#REF!,3,FALSE)</f>
        <v>#REF!</v>
      </c>
      <c r="AI11" s="2" t="e">
        <f t="shared" si="9"/>
        <v>#REF!</v>
      </c>
      <c r="AJ11" s="2" t="e">
        <f>IF(AF11=AF10,AI11+AJ10,AI11)</f>
        <v>#REF!</v>
      </c>
      <c r="AL11" s="2" t="str">
        <f>坦克个性化设定!B26</f>
        <v>M-41</v>
      </c>
      <c r="AM11" s="2" t="str">
        <f>坦克个性化设定!E26</f>
        <v>T4</v>
      </c>
      <c r="AN11" s="2" t="str">
        <f>坦克个性化细分!J11</f>
        <v>中</v>
      </c>
      <c r="AO11" s="2">
        <f>VLOOKUP(AM11&amp;AN11,坦克等级成长!$P$12:$U$24,MATCH(AO$3,坦克等级成长!$P$12:$U$12,0),FALSE)</f>
        <v>7</v>
      </c>
      <c r="AP11" s="2">
        <f t="shared" si="2"/>
        <v>35</v>
      </c>
      <c r="AQ11" s="2">
        <f t="shared" si="3"/>
        <v>1715</v>
      </c>
      <c r="AR11" s="2">
        <f t="shared" si="4"/>
        <v>7400</v>
      </c>
      <c r="AS11" s="2">
        <f t="shared" si="10"/>
        <v>0.23175675675675675</v>
      </c>
    </row>
    <row r="12" spans="2:45" x14ac:dyDescent="0.3">
      <c r="Y12" s="2">
        <v>9</v>
      </c>
      <c r="Z12" s="2">
        <f t="shared" si="11"/>
        <v>2</v>
      </c>
      <c r="AA12" s="147">
        <f t="shared" si="6"/>
        <v>9.8461538461538465E-3</v>
      </c>
      <c r="AB12" s="2">
        <f t="shared" si="7"/>
        <v>15</v>
      </c>
      <c r="AC12" s="2">
        <f t="shared" si="12"/>
        <v>110</v>
      </c>
      <c r="AD12" s="25"/>
      <c r="AE12" s="2" t="e">
        <f t="shared" si="0"/>
        <v>#REF!</v>
      </c>
      <c r="AF12" s="2" t="e">
        <f t="shared" si="8"/>
        <v>#REF!</v>
      </c>
      <c r="AG12" s="2" t="e">
        <f>IF(AG11&lt;AH11,AG11+1,VLOOKUP(AF12,#REF!,2,FALSE))</f>
        <v>#REF!</v>
      </c>
      <c r="AH12" s="2" t="e">
        <f>VLOOKUP(AF12,#REF!,3,FALSE)</f>
        <v>#REF!</v>
      </c>
      <c r="AI12" s="2" t="e">
        <f t="shared" si="9"/>
        <v>#REF!</v>
      </c>
      <c r="AJ12" s="2" t="e">
        <f>IF(AF12=AF11,AI12+AJ11,AI12)</f>
        <v>#REF!</v>
      </c>
      <c r="AL12" s="2" t="str">
        <f>坦克个性化设定!B27</f>
        <v>BMP-3</v>
      </c>
      <c r="AM12" s="2" t="str">
        <f>坦克个性化设定!E27</f>
        <v>T4</v>
      </c>
      <c r="AN12" s="2" t="str">
        <f>坦克个性化细分!J12</f>
        <v>高</v>
      </c>
      <c r="AO12" s="2">
        <f>VLOOKUP(AM12&amp;AN12,坦克等级成长!$P$12:$U$24,MATCH(AO$3,坦克等级成长!$P$12:$U$12,0),FALSE)</f>
        <v>7</v>
      </c>
      <c r="AP12" s="2">
        <f t="shared" si="2"/>
        <v>35</v>
      </c>
      <c r="AQ12" s="2">
        <f t="shared" si="3"/>
        <v>1715</v>
      </c>
      <c r="AR12" s="2">
        <f t="shared" si="4"/>
        <v>7400</v>
      </c>
      <c r="AS12" s="2">
        <f t="shared" si="10"/>
        <v>0.23175675675675675</v>
      </c>
    </row>
    <row r="13" spans="2:45" x14ac:dyDescent="0.3">
      <c r="Y13" s="2">
        <v>10</v>
      </c>
      <c r="Z13" s="2">
        <f t="shared" si="11"/>
        <v>2</v>
      </c>
      <c r="AA13" s="147">
        <f t="shared" si="6"/>
        <v>9.8461538461538465E-3</v>
      </c>
      <c r="AB13" s="2">
        <f t="shared" si="7"/>
        <v>15</v>
      </c>
      <c r="AC13" s="2">
        <f t="shared" si="12"/>
        <v>125</v>
      </c>
      <c r="AD13" s="25"/>
      <c r="AE13" s="2" t="e">
        <f t="shared" si="0"/>
        <v>#REF!</v>
      </c>
      <c r="AF13" s="2" t="e">
        <f t="shared" si="8"/>
        <v>#REF!</v>
      </c>
      <c r="AG13" s="2" t="e">
        <f>IF(AG12&lt;AH12,AG12+1,VLOOKUP(AF13,#REF!,2,FALSE))</f>
        <v>#REF!</v>
      </c>
      <c r="AH13" s="2" t="e">
        <f>VLOOKUP(AF13,#REF!,3,FALSE)</f>
        <v>#REF!</v>
      </c>
      <c r="AI13" s="2" t="e">
        <f t="shared" si="9"/>
        <v>#REF!</v>
      </c>
      <c r="AJ13" s="2" t="e">
        <f>IF(AF13=AF12,AI13+AJ12,AI13)</f>
        <v>#REF!</v>
      </c>
      <c r="AL13" s="2" t="str">
        <f>坦克个性化设定!B28</f>
        <v>59式</v>
      </c>
      <c r="AM13" s="2" t="str">
        <f>坦克个性化设定!E28</f>
        <v>T5</v>
      </c>
      <c r="AN13" s="2" t="str">
        <f>坦克个性化细分!J13</f>
        <v>低</v>
      </c>
      <c r="AO13" s="2">
        <f>VLOOKUP(AM13&amp;AN13,坦克等级成长!$P$12:$U$24,MATCH(AO$3,坦克等级成长!$P$12:$U$12,0),FALSE)</f>
        <v>8</v>
      </c>
      <c r="AP13" s="2">
        <f t="shared" si="2"/>
        <v>35</v>
      </c>
      <c r="AQ13" s="2" t="e">
        <f t="shared" si="3"/>
        <v>#N/A</v>
      </c>
      <c r="AR13" s="2" t="e">
        <f t="shared" si="4"/>
        <v>#N/A</v>
      </c>
      <c r="AS13" s="2" t="e">
        <f t="shared" si="10"/>
        <v>#N/A</v>
      </c>
    </row>
    <row r="14" spans="2:45" x14ac:dyDescent="0.3">
      <c r="Y14" s="2">
        <v>11</v>
      </c>
      <c r="Z14" s="2">
        <f t="shared" si="11"/>
        <v>3</v>
      </c>
      <c r="AA14" s="147">
        <f t="shared" si="6"/>
        <v>1.0599999999999997E-2</v>
      </c>
      <c r="AB14" s="2">
        <f t="shared" si="7"/>
        <v>20</v>
      </c>
      <c r="AC14" s="2">
        <f t="shared" si="12"/>
        <v>145</v>
      </c>
      <c r="AD14" s="25"/>
      <c r="AL14" s="2" t="str">
        <f>坦克个性化设定!B29</f>
        <v>Stuart</v>
      </c>
      <c r="AM14" s="2" t="str">
        <f>坦克个性化设定!E29</f>
        <v>T1</v>
      </c>
      <c r="AN14" s="2" t="str">
        <f>坦克个性化细分!J14</f>
        <v>低</v>
      </c>
      <c r="AO14" s="2">
        <f>VLOOKUP(AM14&amp;AN14,坦克等级成长!$P$12:$U$24,MATCH(AO$3,坦克等级成长!$P$12:$U$12,0),FALSE)</f>
        <v>3</v>
      </c>
      <c r="AP14" s="2">
        <f t="shared" si="2"/>
        <v>15</v>
      </c>
      <c r="AQ14" s="2">
        <f t="shared" si="3"/>
        <v>405</v>
      </c>
      <c r="AR14" s="2">
        <f t="shared" si="4"/>
        <v>1750</v>
      </c>
      <c r="AS14" s="2">
        <f t="shared" si="10"/>
        <v>0.23142857142857143</v>
      </c>
    </row>
    <row r="15" spans="2:45" x14ac:dyDescent="0.3">
      <c r="Y15" s="2">
        <v>12</v>
      </c>
      <c r="Z15" s="2">
        <f t="shared" si="11"/>
        <v>3</v>
      </c>
      <c r="AA15" s="147">
        <f t="shared" si="6"/>
        <v>1.0599999999999997E-2</v>
      </c>
      <c r="AB15" s="2">
        <f t="shared" si="7"/>
        <v>20</v>
      </c>
      <c r="AC15" s="2">
        <f t="shared" si="12"/>
        <v>165</v>
      </c>
      <c r="AD15" s="25"/>
      <c r="AL15" s="2" t="str">
        <f>坦克个性化设定!B30</f>
        <v>T-34</v>
      </c>
      <c r="AM15" s="2" t="str">
        <f>坦克个性化设定!E30</f>
        <v>T2</v>
      </c>
      <c r="AN15" s="2" t="str">
        <f>坦克个性化细分!J15</f>
        <v>低</v>
      </c>
      <c r="AO15" s="2">
        <f>VLOOKUP(AM15&amp;AN15,坦克等级成长!$P$12:$U$24,MATCH(AO$3,坦克等级成长!$P$12:$U$12,0),FALSE)</f>
        <v>4</v>
      </c>
      <c r="AP15" s="2">
        <f t="shared" si="2"/>
        <v>20</v>
      </c>
      <c r="AQ15" s="2">
        <f t="shared" si="3"/>
        <v>650</v>
      </c>
      <c r="AR15" s="2">
        <f t="shared" si="4"/>
        <v>2500</v>
      </c>
      <c r="AS15" s="2">
        <f t="shared" si="10"/>
        <v>0.26</v>
      </c>
    </row>
    <row r="16" spans="2:45" x14ac:dyDescent="0.3">
      <c r="Y16" s="2">
        <v>13</v>
      </c>
      <c r="Z16" s="2">
        <f t="shared" si="11"/>
        <v>3</v>
      </c>
      <c r="AA16" s="147">
        <f t="shared" si="6"/>
        <v>1.0599999999999997E-2</v>
      </c>
      <c r="AB16" s="2">
        <f t="shared" si="7"/>
        <v>20</v>
      </c>
      <c r="AC16" s="2">
        <f t="shared" si="12"/>
        <v>185</v>
      </c>
      <c r="AD16" s="25"/>
      <c r="AL16" s="2" t="str">
        <f>坦克个性化设定!B31</f>
        <v>四号</v>
      </c>
      <c r="AM16" s="2" t="str">
        <f>坦克个性化设定!E31</f>
        <v>T2</v>
      </c>
      <c r="AN16" s="2" t="str">
        <f>坦克个性化细分!J16</f>
        <v>中</v>
      </c>
      <c r="AO16" s="2">
        <f>VLOOKUP(AM16&amp;AN16,坦克等级成长!$P$12:$U$24,MATCH(AO$3,坦克等级成长!$P$12:$U$12,0),FALSE)</f>
        <v>4</v>
      </c>
      <c r="AP16" s="2">
        <f t="shared" si="2"/>
        <v>20</v>
      </c>
      <c r="AQ16" s="2">
        <f t="shared" si="3"/>
        <v>650</v>
      </c>
      <c r="AR16" s="2">
        <f t="shared" si="4"/>
        <v>2500</v>
      </c>
      <c r="AS16" s="2">
        <f t="shared" si="10"/>
        <v>0.26</v>
      </c>
    </row>
    <row r="17" spans="3:45" x14ac:dyDescent="0.3">
      <c r="E17" s="36" t="s">
        <v>1399</v>
      </c>
      <c r="Y17" s="2">
        <v>14</v>
      </c>
      <c r="Z17" s="2">
        <f t="shared" si="11"/>
        <v>3</v>
      </c>
      <c r="AA17" s="147">
        <f t="shared" si="6"/>
        <v>1.0599999999999997E-2</v>
      </c>
      <c r="AB17" s="2">
        <f t="shared" si="7"/>
        <v>20</v>
      </c>
      <c r="AC17" s="2">
        <f t="shared" si="12"/>
        <v>205</v>
      </c>
      <c r="AD17" s="25"/>
      <c r="AL17" s="2" t="str">
        <f>坦克个性化设定!B32</f>
        <v>玛蒂尔达</v>
      </c>
      <c r="AM17" s="2" t="str">
        <f>坦克个性化设定!E32</f>
        <v>T3</v>
      </c>
      <c r="AN17" s="2" t="str">
        <f>坦克个性化细分!J17</f>
        <v>低</v>
      </c>
      <c r="AO17" s="2">
        <f>VLOOKUP(AM17&amp;AN17,坦克等级成长!$P$12:$U$24,MATCH(AO$3,坦克等级成长!$P$12:$U$12,0),FALSE)</f>
        <v>5</v>
      </c>
      <c r="AP17" s="2">
        <f t="shared" si="2"/>
        <v>25</v>
      </c>
      <c r="AQ17" s="2">
        <f t="shared" si="3"/>
        <v>950</v>
      </c>
      <c r="AR17" s="2">
        <f t="shared" si="4"/>
        <v>3600</v>
      </c>
      <c r="AS17" s="2">
        <f t="shared" si="10"/>
        <v>0.2638888888888889</v>
      </c>
    </row>
    <row r="18" spans="3:45" x14ac:dyDescent="0.3">
      <c r="E18" s="2" t="s">
        <v>888</v>
      </c>
      <c r="F18" s="2" t="s">
        <v>889</v>
      </c>
      <c r="G18" s="2" t="s">
        <v>890</v>
      </c>
      <c r="H18" s="2" t="s">
        <v>845</v>
      </c>
      <c r="I18" s="2" t="s">
        <v>891</v>
      </c>
      <c r="J18" s="2" t="s">
        <v>762</v>
      </c>
      <c r="Y18" s="2">
        <v>15</v>
      </c>
      <c r="Z18" s="2">
        <f t="shared" si="11"/>
        <v>3</v>
      </c>
      <c r="AA18" s="147">
        <f t="shared" si="6"/>
        <v>1.0599999999999997E-2</v>
      </c>
      <c r="AB18" s="2">
        <f t="shared" si="7"/>
        <v>20</v>
      </c>
      <c r="AC18" s="2">
        <f t="shared" si="12"/>
        <v>225</v>
      </c>
      <c r="AD18" s="25"/>
      <c r="AL18" s="2" t="str">
        <f>坦克个性化设定!B33</f>
        <v>谢尔曼</v>
      </c>
      <c r="AM18" s="2" t="str">
        <f>坦克个性化设定!E33</f>
        <v>T3</v>
      </c>
      <c r="AN18" s="2" t="str">
        <f>坦克个性化细分!J18</f>
        <v>中</v>
      </c>
      <c r="AO18" s="2">
        <f>VLOOKUP(AM18&amp;AN18,坦克等级成长!$P$12:$U$24,MATCH(AO$3,坦克等级成长!$P$12:$U$12,0),FALSE)</f>
        <v>5</v>
      </c>
      <c r="AP18" s="2">
        <f t="shared" si="2"/>
        <v>25</v>
      </c>
      <c r="AQ18" s="2">
        <f t="shared" si="3"/>
        <v>950</v>
      </c>
      <c r="AR18" s="2">
        <f t="shared" si="4"/>
        <v>3600</v>
      </c>
      <c r="AS18" s="2">
        <f t="shared" si="10"/>
        <v>0.2638888888888889</v>
      </c>
    </row>
    <row r="19" spans="3:45" x14ac:dyDescent="0.3">
      <c r="D19" s="2" t="s">
        <v>126</v>
      </c>
      <c r="E19" s="2">
        <v>0.25</v>
      </c>
      <c r="F19" s="2">
        <v>0.25</v>
      </c>
      <c r="G19" s="2">
        <v>0.33</v>
      </c>
      <c r="H19" s="2">
        <v>0.17</v>
      </c>
      <c r="I19" s="2">
        <v>0.14000000000000001</v>
      </c>
      <c r="J19" s="2">
        <v>0.15</v>
      </c>
      <c r="Y19" s="2">
        <v>16</v>
      </c>
      <c r="Z19" s="2">
        <f t="shared" si="11"/>
        <v>4</v>
      </c>
      <c r="AA19" s="147">
        <f t="shared" si="6"/>
        <v>1.1399999999999999E-2</v>
      </c>
      <c r="AB19" s="2">
        <f t="shared" si="7"/>
        <v>25</v>
      </c>
      <c r="AC19" s="2">
        <f t="shared" si="12"/>
        <v>250</v>
      </c>
      <c r="AD19" s="25"/>
      <c r="AL19" s="2" t="str">
        <f>坦克个性化设定!B34</f>
        <v>彗星</v>
      </c>
      <c r="AM19" s="2" t="str">
        <f>坦克个性化设定!E34</f>
        <v>T3</v>
      </c>
      <c r="AN19" s="2" t="str">
        <f>坦克个性化细分!J19</f>
        <v>高</v>
      </c>
      <c r="AO19" s="2">
        <f>VLOOKUP(AM19&amp;AN19,坦克等级成长!$P$12:$U$24,MATCH(AO$3,坦克等级成长!$P$12:$U$12,0),FALSE)</f>
        <v>5</v>
      </c>
      <c r="AP19" s="2">
        <f t="shared" si="2"/>
        <v>25</v>
      </c>
      <c r="AQ19" s="2">
        <f t="shared" si="3"/>
        <v>950</v>
      </c>
      <c r="AR19" s="2">
        <f t="shared" si="4"/>
        <v>3600</v>
      </c>
      <c r="AS19" s="2">
        <f t="shared" si="10"/>
        <v>0.2638888888888889</v>
      </c>
    </row>
    <row r="20" spans="3:45" x14ac:dyDescent="0.3">
      <c r="D20" s="2" t="s">
        <v>128</v>
      </c>
      <c r="E20" s="2">
        <v>0.25</v>
      </c>
      <c r="F20" s="2">
        <v>0.25</v>
      </c>
      <c r="G20" s="2">
        <v>0.33</v>
      </c>
      <c r="H20" s="2">
        <v>0.17</v>
      </c>
      <c r="I20" s="2">
        <v>0.14000000000000001</v>
      </c>
      <c r="J20" s="2">
        <v>0.1</v>
      </c>
      <c r="Y20" s="2">
        <v>17</v>
      </c>
      <c r="Z20" s="2">
        <f t="shared" si="11"/>
        <v>4</v>
      </c>
      <c r="AA20" s="147">
        <f t="shared" si="6"/>
        <v>1.1399999999999999E-2</v>
      </c>
      <c r="AB20" s="2">
        <f t="shared" si="7"/>
        <v>25</v>
      </c>
      <c r="AC20" s="2">
        <f t="shared" si="12"/>
        <v>275</v>
      </c>
      <c r="AD20" s="25"/>
      <c r="AL20" s="2" t="str">
        <f>坦克个性化设定!B35</f>
        <v>M-48</v>
      </c>
      <c r="AM20" s="2" t="str">
        <f>坦克个性化设定!E35</f>
        <v>T4</v>
      </c>
      <c r="AN20" s="2" t="str">
        <f>坦克个性化细分!J20</f>
        <v>低</v>
      </c>
      <c r="AO20" s="2">
        <f>VLOOKUP(AM20&amp;AN20,坦克等级成长!$P$12:$U$24,MATCH(AO$3,坦克等级成长!$P$12:$U$12,0),FALSE)</f>
        <v>7</v>
      </c>
      <c r="AP20" s="2">
        <f t="shared" si="2"/>
        <v>35</v>
      </c>
      <c r="AQ20" s="2">
        <f t="shared" si="3"/>
        <v>1715</v>
      </c>
      <c r="AR20" s="2">
        <f t="shared" si="4"/>
        <v>7400</v>
      </c>
      <c r="AS20" s="2">
        <f t="shared" si="10"/>
        <v>0.23175675675675675</v>
      </c>
    </row>
    <row r="21" spans="3:45" x14ac:dyDescent="0.3">
      <c r="D21" s="2" t="s">
        <v>130</v>
      </c>
      <c r="E21" s="2">
        <v>0.25</v>
      </c>
      <c r="F21" s="2">
        <v>0.25</v>
      </c>
      <c r="G21" s="2">
        <v>0.33</v>
      </c>
      <c r="H21" s="2">
        <v>0.17</v>
      </c>
      <c r="I21" s="2">
        <v>0.14000000000000001</v>
      </c>
      <c r="J21" s="2">
        <v>0.1</v>
      </c>
      <c r="Y21" s="2">
        <v>18</v>
      </c>
      <c r="Z21" s="2">
        <f t="shared" si="11"/>
        <v>4</v>
      </c>
      <c r="AA21" s="147">
        <f t="shared" si="6"/>
        <v>1.1399999999999999E-2</v>
      </c>
      <c r="AB21" s="2">
        <f t="shared" si="7"/>
        <v>25</v>
      </c>
      <c r="AC21" s="2">
        <f t="shared" si="12"/>
        <v>300</v>
      </c>
      <c r="AD21" s="25"/>
      <c r="AL21" s="2" t="str">
        <f>坦克个性化设定!B36</f>
        <v>潘兴</v>
      </c>
      <c r="AM21" s="2" t="str">
        <f>坦克个性化设定!E36</f>
        <v>T4</v>
      </c>
      <c r="AN21" s="2" t="str">
        <f>坦克个性化细分!J21</f>
        <v>中</v>
      </c>
      <c r="AO21" s="2">
        <f>VLOOKUP(AM21&amp;AN21,坦克等级成长!$P$12:$U$24,MATCH(AO$3,坦克等级成长!$P$12:$U$12,0),FALSE)</f>
        <v>7</v>
      </c>
      <c r="AP21" s="2">
        <f t="shared" si="2"/>
        <v>35</v>
      </c>
      <c r="AQ21" s="2">
        <f t="shared" si="3"/>
        <v>1715</v>
      </c>
      <c r="AR21" s="2">
        <f t="shared" si="4"/>
        <v>7400</v>
      </c>
      <c r="AS21" s="2">
        <f t="shared" si="10"/>
        <v>0.23175675675675675</v>
      </c>
    </row>
    <row r="22" spans="3:45" x14ac:dyDescent="0.3">
      <c r="Y22" s="2">
        <v>19</v>
      </c>
      <c r="Z22" s="2">
        <f t="shared" si="11"/>
        <v>4</v>
      </c>
      <c r="AA22" s="147">
        <f t="shared" si="6"/>
        <v>1.1399999999999999E-2</v>
      </c>
      <c r="AB22" s="2">
        <f t="shared" si="7"/>
        <v>25</v>
      </c>
      <c r="AC22" s="2">
        <f t="shared" si="12"/>
        <v>325</v>
      </c>
      <c r="AD22" s="25"/>
      <c r="AL22" s="2" t="str">
        <f>坦克个性化设定!B37</f>
        <v>百夫长</v>
      </c>
      <c r="AM22" s="2" t="str">
        <f>坦克个性化设定!E37</f>
        <v>T4</v>
      </c>
      <c r="AN22" s="2" t="str">
        <f>坦克个性化细分!J22</f>
        <v>高</v>
      </c>
      <c r="AO22" s="2">
        <f>VLOOKUP(AM22&amp;AN22,坦克等级成长!$P$12:$U$24,MATCH(AO$3,坦克等级成长!$P$12:$U$12,0),FALSE)</f>
        <v>7</v>
      </c>
      <c r="AP22" s="2">
        <f t="shared" si="2"/>
        <v>35</v>
      </c>
      <c r="AQ22" s="2">
        <f t="shared" si="3"/>
        <v>1715</v>
      </c>
      <c r="AR22" s="2">
        <f t="shared" si="4"/>
        <v>7400</v>
      </c>
      <c r="AS22" s="2">
        <f t="shared" si="10"/>
        <v>0.23175675675675675</v>
      </c>
    </row>
    <row r="23" spans="3:45" x14ac:dyDescent="0.3">
      <c r="Y23" s="2">
        <v>20</v>
      </c>
      <c r="Z23" s="2">
        <f t="shared" si="11"/>
        <v>4</v>
      </c>
      <c r="AA23" s="147">
        <f t="shared" si="6"/>
        <v>1.1399999999999999E-2</v>
      </c>
      <c r="AB23" s="2">
        <f t="shared" si="7"/>
        <v>25</v>
      </c>
      <c r="AC23" s="2">
        <f t="shared" si="12"/>
        <v>350</v>
      </c>
      <c r="AD23" s="25"/>
      <c r="AL23" s="2" t="str">
        <f>坦克个性化设定!B38</f>
        <v>挑战者</v>
      </c>
      <c r="AM23" s="2" t="str">
        <f>坦克个性化设定!E38</f>
        <v>T5</v>
      </c>
      <c r="AN23" s="2" t="str">
        <f>坦克个性化细分!J23</f>
        <v>低</v>
      </c>
      <c r="AO23" s="2">
        <f>VLOOKUP(AM23&amp;AN23,坦克等级成长!$P$12:$U$24,MATCH(AO$3,坦克等级成长!$P$12:$U$12,0),FALSE)</f>
        <v>8</v>
      </c>
      <c r="AP23" s="2">
        <f t="shared" si="2"/>
        <v>35</v>
      </c>
      <c r="AQ23" s="2" t="e">
        <f t="shared" si="3"/>
        <v>#N/A</v>
      </c>
      <c r="AR23" s="2" t="e">
        <f t="shared" si="4"/>
        <v>#N/A</v>
      </c>
      <c r="AS23" s="2" t="e">
        <f t="shared" si="10"/>
        <v>#N/A</v>
      </c>
    </row>
    <row r="24" spans="3:45" x14ac:dyDescent="0.3">
      <c r="D24" s="2" t="s">
        <v>726</v>
      </c>
      <c r="E24" s="2">
        <v>0</v>
      </c>
      <c r="F24" s="2" t="s">
        <v>889</v>
      </c>
      <c r="G24" s="2" t="s">
        <v>890</v>
      </c>
      <c r="H24" s="2" t="s">
        <v>845</v>
      </c>
      <c r="I24" s="2" t="s">
        <v>891</v>
      </c>
      <c r="J24" s="2" t="s">
        <v>762</v>
      </c>
      <c r="Y24" s="2">
        <v>21</v>
      </c>
      <c r="Z24" s="2">
        <f t="shared" si="11"/>
        <v>5</v>
      </c>
      <c r="AA24" s="147">
        <f t="shared" si="6"/>
        <v>1.111111111111111E-2</v>
      </c>
      <c r="AB24" s="2">
        <f t="shared" si="7"/>
        <v>30</v>
      </c>
      <c r="AC24" s="2">
        <f t="shared" si="12"/>
        <v>380</v>
      </c>
      <c r="AD24" s="25"/>
      <c r="AL24" s="2" t="str">
        <f>坦克个性化设定!B39</f>
        <v>B-1</v>
      </c>
      <c r="AM24" s="2" t="str">
        <f>坦克个性化设定!E39</f>
        <v>T1</v>
      </c>
      <c r="AN24" s="2" t="str">
        <f>坦克个性化细分!J24</f>
        <v>低</v>
      </c>
      <c r="AO24" s="2">
        <f>VLOOKUP(AM24&amp;AN24,坦克等级成长!$P$12:$U$24,MATCH(AO$3,坦克等级成长!$P$12:$U$12,0),FALSE)</f>
        <v>3</v>
      </c>
      <c r="AP24" s="2">
        <f t="shared" si="2"/>
        <v>15</v>
      </c>
      <c r="AQ24" s="2">
        <f t="shared" si="3"/>
        <v>405</v>
      </c>
      <c r="AR24" s="2">
        <f t="shared" si="4"/>
        <v>1750</v>
      </c>
      <c r="AS24" s="2">
        <f t="shared" si="10"/>
        <v>0.23142857142857143</v>
      </c>
    </row>
    <row r="25" spans="3:45" x14ac:dyDescent="0.3">
      <c r="C25" s="1">
        <f>D25-1</f>
        <v>0</v>
      </c>
      <c r="D25" s="2">
        <v>1</v>
      </c>
      <c r="E25" s="34">
        <f>(E$19/SUM($C$25:$C$31))*(SUM($C$25:$C25))</f>
        <v>0</v>
      </c>
      <c r="F25" s="34">
        <f>(F$19/SUM($C$25:$C$31))*(SUM($C$25:$C25))</f>
        <v>0</v>
      </c>
      <c r="G25" s="34">
        <f>(G$19/SUM($C$25:$C$31))*(SUM($C$25:$C25))</f>
        <v>0</v>
      </c>
      <c r="H25" s="34">
        <f>(H$19/SUM($C$25:$C$31))*(SUM($C$25:$C25))</f>
        <v>0</v>
      </c>
      <c r="I25" s="34">
        <f>(I$19/SUM($C$25:$C$31))*(SUM($C$25:$C25))</f>
        <v>0</v>
      </c>
      <c r="J25" s="34">
        <f>(J$19/SUM($C$25:$C$31))*(SUM($C$25:$C25))</f>
        <v>0</v>
      </c>
      <c r="Y25" s="2">
        <v>22</v>
      </c>
      <c r="Z25" s="2">
        <f t="shared" si="11"/>
        <v>5</v>
      </c>
      <c r="AA25" s="147">
        <f t="shared" si="6"/>
        <v>1.111111111111111E-2</v>
      </c>
      <c r="AB25" s="2">
        <f t="shared" si="7"/>
        <v>30</v>
      </c>
      <c r="AC25" s="2">
        <f t="shared" si="12"/>
        <v>410</v>
      </c>
      <c r="AD25" s="25"/>
      <c r="AL25" s="2" t="str">
        <f>坦克个性化设定!B40</f>
        <v>KV-1</v>
      </c>
      <c r="AM25" s="2" t="str">
        <f>坦克个性化设定!E40</f>
        <v>T2</v>
      </c>
      <c r="AN25" s="2" t="str">
        <f>坦克个性化细分!J25</f>
        <v>低</v>
      </c>
      <c r="AO25" s="2">
        <f>VLOOKUP(AM25&amp;AN25,坦克等级成长!$P$12:$U$24,MATCH(AO$3,坦克等级成长!$P$12:$U$12,0),FALSE)</f>
        <v>4</v>
      </c>
      <c r="AP25" s="2">
        <f t="shared" si="2"/>
        <v>20</v>
      </c>
      <c r="AQ25" s="2">
        <f t="shared" si="3"/>
        <v>650</v>
      </c>
      <c r="AR25" s="2">
        <f t="shared" si="4"/>
        <v>2500</v>
      </c>
      <c r="AS25" s="2">
        <f t="shared" si="10"/>
        <v>0.26</v>
      </c>
    </row>
    <row r="26" spans="3:45" x14ac:dyDescent="0.3">
      <c r="C26" s="1">
        <f t="shared" ref="C26:C31" si="13">D26-1</f>
        <v>1</v>
      </c>
      <c r="D26" s="2">
        <v>2</v>
      </c>
      <c r="E26" s="34">
        <f>(E$19/SUM($C$25:$C$31))*(SUM($C$25:$C26))</f>
        <v>1.1904761904761904E-2</v>
      </c>
      <c r="F26" s="34">
        <f>(F$19/SUM($C$25:$C$31))*(SUM($C$25:$C26))</f>
        <v>1.1904761904761904E-2</v>
      </c>
      <c r="G26" s="34">
        <f>(G$19/SUM($C$25:$C$31))*(SUM($C$25:$C26))</f>
        <v>1.5714285714285715E-2</v>
      </c>
      <c r="H26" s="34">
        <f>(H$19/SUM($C$25:$C$31))*(SUM($C$25:$C26))</f>
        <v>8.0952380952380963E-3</v>
      </c>
      <c r="I26" s="34">
        <f>(I$19/SUM($C$25:$C$31))*(SUM($C$25:$C26))</f>
        <v>6.6666666666666671E-3</v>
      </c>
      <c r="J26" s="34">
        <f>(J$19/SUM($C$25:$C$31))*(SUM($C$25:$C26))</f>
        <v>7.1428571428571426E-3</v>
      </c>
      <c r="Y26" s="2">
        <v>23</v>
      </c>
      <c r="Z26" s="2">
        <f t="shared" si="11"/>
        <v>5</v>
      </c>
      <c r="AA26" s="147">
        <f t="shared" si="6"/>
        <v>1.111111111111111E-2</v>
      </c>
      <c r="AB26" s="2">
        <f t="shared" si="7"/>
        <v>30</v>
      </c>
      <c r="AC26" s="2">
        <f t="shared" si="12"/>
        <v>440</v>
      </c>
      <c r="AD26" s="25"/>
      <c r="AL26" s="2" t="str">
        <f>坦克个性化设定!B41</f>
        <v>丘吉尔</v>
      </c>
      <c r="AM26" s="2" t="str">
        <f>坦克个性化设定!E41</f>
        <v>T2</v>
      </c>
      <c r="AN26" s="2" t="str">
        <f>坦克个性化细分!J26</f>
        <v>中</v>
      </c>
      <c r="AO26" s="2">
        <f>VLOOKUP(AM26&amp;AN26,坦克等级成长!$P$12:$U$24,MATCH(AO$3,坦克等级成长!$P$12:$U$12,0),FALSE)</f>
        <v>4</v>
      </c>
      <c r="AP26" s="2">
        <f t="shared" si="2"/>
        <v>20</v>
      </c>
      <c r="AQ26" s="2">
        <f t="shared" si="3"/>
        <v>650</v>
      </c>
      <c r="AR26" s="2">
        <f t="shared" si="4"/>
        <v>2500</v>
      </c>
      <c r="AS26" s="2">
        <f t="shared" si="10"/>
        <v>0.26</v>
      </c>
    </row>
    <row r="27" spans="3:45" x14ac:dyDescent="0.3">
      <c r="C27" s="1">
        <f t="shared" si="13"/>
        <v>2</v>
      </c>
      <c r="D27" s="2">
        <v>3</v>
      </c>
      <c r="E27" s="34">
        <f>(E$19/SUM($C$25:$C$31))*(SUM($C$25:$C27))</f>
        <v>3.5714285714285712E-2</v>
      </c>
      <c r="F27" s="34">
        <f>(F$19/SUM($C$25:$C$31))*(SUM($C$25:$C27))</f>
        <v>3.5714285714285712E-2</v>
      </c>
      <c r="G27" s="34">
        <f>(G$19/SUM($C$25:$C$31))*(SUM($C$25:$C27))</f>
        <v>4.7142857142857146E-2</v>
      </c>
      <c r="H27" s="34">
        <f>(H$19/SUM($C$25:$C$31))*(SUM($C$25:$C27))</f>
        <v>2.4285714285714289E-2</v>
      </c>
      <c r="I27" s="34">
        <f>(I$19/SUM($C$25:$C$31))*(SUM($C$25:$C27))</f>
        <v>0.02</v>
      </c>
      <c r="J27" s="34">
        <f>(J$19/SUM($C$25:$C$31))*(SUM($C$25:$C27))</f>
        <v>2.1428571428571429E-2</v>
      </c>
      <c r="Y27" s="2">
        <v>24</v>
      </c>
      <c r="Z27" s="2">
        <f t="shared" si="11"/>
        <v>5</v>
      </c>
      <c r="AA27" s="147">
        <f t="shared" si="6"/>
        <v>1.111111111111111E-2</v>
      </c>
      <c r="AB27" s="2">
        <f t="shared" si="7"/>
        <v>30</v>
      </c>
      <c r="AC27" s="2">
        <f t="shared" si="12"/>
        <v>470</v>
      </c>
      <c r="AD27" s="25"/>
      <c r="AL27" s="2" t="str">
        <f>坦克个性化设定!B42</f>
        <v>黑豹</v>
      </c>
      <c r="AM27" s="2" t="str">
        <f>坦克个性化设定!E42</f>
        <v>T3</v>
      </c>
      <c r="AN27" s="2" t="str">
        <f>坦克个性化细分!J27</f>
        <v>低</v>
      </c>
      <c r="AO27" s="2">
        <f>VLOOKUP(AM27&amp;AN27,坦克等级成长!$P$12:$U$24,MATCH(AO$3,坦克等级成长!$P$12:$U$12,0),FALSE)</f>
        <v>5</v>
      </c>
      <c r="AP27" s="2">
        <f t="shared" si="2"/>
        <v>25</v>
      </c>
      <c r="AQ27" s="2">
        <f t="shared" si="3"/>
        <v>950</v>
      </c>
      <c r="AR27" s="2">
        <f t="shared" si="4"/>
        <v>3600</v>
      </c>
      <c r="AS27" s="2">
        <f t="shared" si="10"/>
        <v>0.2638888888888889</v>
      </c>
    </row>
    <row r="28" spans="3:45" x14ac:dyDescent="0.3">
      <c r="C28" s="1">
        <f t="shared" si="13"/>
        <v>3</v>
      </c>
      <c r="D28" s="2">
        <v>4</v>
      </c>
      <c r="E28" s="34">
        <f>(E$19/SUM($C$25:$C$31))*(SUM($C$25:$C28))</f>
        <v>7.1428571428571425E-2</v>
      </c>
      <c r="F28" s="34">
        <f>(F$19/SUM($C$25:$C$31))*(SUM($C$25:$C28))</f>
        <v>7.1428571428571425E-2</v>
      </c>
      <c r="G28" s="34">
        <f>(G$19/SUM($C$25:$C$31))*(SUM($C$25:$C28))</f>
        <v>9.4285714285714292E-2</v>
      </c>
      <c r="H28" s="34">
        <f>(H$19/SUM($C$25:$C$31))*(SUM($C$25:$C28))</f>
        <v>4.8571428571428578E-2</v>
      </c>
      <c r="I28" s="34">
        <f>(I$19/SUM($C$25:$C$31))*(SUM($C$25:$C28))</f>
        <v>0.04</v>
      </c>
      <c r="J28" s="34">
        <f>(J$19/SUM($C$25:$C$31))*(SUM($C$25:$C28))</f>
        <v>4.2857142857142858E-2</v>
      </c>
      <c r="Y28" s="2">
        <v>25</v>
      </c>
      <c r="Z28" s="2">
        <f t="shared" si="11"/>
        <v>5</v>
      </c>
      <c r="AA28" s="147">
        <f t="shared" si="6"/>
        <v>1.111111111111111E-2</v>
      </c>
      <c r="AB28" s="2">
        <f t="shared" si="7"/>
        <v>30</v>
      </c>
      <c r="AC28" s="2">
        <f t="shared" si="12"/>
        <v>500</v>
      </c>
      <c r="AD28" s="25"/>
      <c r="AL28" s="2" t="str">
        <f>坦克个性化设定!B43</f>
        <v>虎式</v>
      </c>
      <c r="AM28" s="2" t="str">
        <f>坦克个性化设定!E43</f>
        <v>T3</v>
      </c>
      <c r="AN28" s="2" t="str">
        <f>坦克个性化细分!J28</f>
        <v>中</v>
      </c>
      <c r="AO28" s="2">
        <f>VLOOKUP(AM28&amp;AN28,坦克等级成长!$P$12:$U$24,MATCH(AO$3,坦克等级成长!$P$12:$U$12,0),FALSE)</f>
        <v>5</v>
      </c>
      <c r="AP28" s="2">
        <f t="shared" si="2"/>
        <v>25</v>
      </c>
      <c r="AQ28" s="2">
        <f t="shared" si="3"/>
        <v>950</v>
      </c>
      <c r="AR28" s="2">
        <f t="shared" si="4"/>
        <v>3600</v>
      </c>
      <c r="AS28" s="2">
        <f t="shared" si="10"/>
        <v>0.2638888888888889</v>
      </c>
    </row>
    <row r="29" spans="3:45" x14ac:dyDescent="0.3">
      <c r="C29" s="1">
        <f t="shared" si="13"/>
        <v>4</v>
      </c>
      <c r="D29" s="2">
        <v>5</v>
      </c>
      <c r="E29" s="34">
        <f>(E$19/SUM($C$25:$C$31))*(SUM($C$25:$C29))</f>
        <v>0.11904761904761904</v>
      </c>
      <c r="F29" s="34">
        <f>(F$19/SUM($C$25:$C$31))*(SUM($C$25:$C29))</f>
        <v>0.11904761904761904</v>
      </c>
      <c r="G29" s="34">
        <f>(G$19/SUM($C$25:$C$31))*(SUM($C$25:$C29))</f>
        <v>0.15714285714285714</v>
      </c>
      <c r="H29" s="34">
        <f>(H$19/SUM($C$25:$C$31))*(SUM($C$25:$C29))</f>
        <v>8.095238095238097E-2</v>
      </c>
      <c r="I29" s="34">
        <f>(I$19/SUM($C$25:$C$31))*(SUM($C$25:$C29))</f>
        <v>6.6666666666666666E-2</v>
      </c>
      <c r="J29" s="34">
        <f>(J$19/SUM($C$25:$C$31))*(SUM($C$25:$C29))</f>
        <v>7.1428571428571425E-2</v>
      </c>
      <c r="Y29" s="2">
        <v>26</v>
      </c>
      <c r="Z29" s="2">
        <f t="shared" si="11"/>
        <v>6</v>
      </c>
      <c r="AA29" s="147">
        <f t="shared" si="6"/>
        <v>1.1423076923076921E-2</v>
      </c>
      <c r="AB29" s="2">
        <f t="shared" si="7"/>
        <v>35</v>
      </c>
      <c r="AC29" s="2">
        <f t="shared" si="12"/>
        <v>535</v>
      </c>
      <c r="AD29" s="25"/>
      <c r="AL29" s="2" t="str">
        <f>坦克个性化设定!B44</f>
        <v>KV-2</v>
      </c>
      <c r="AM29" s="2" t="str">
        <f>坦克个性化设定!E44</f>
        <v>T3</v>
      </c>
      <c r="AN29" s="2" t="str">
        <f>坦克个性化细分!J29</f>
        <v>高</v>
      </c>
      <c r="AO29" s="2">
        <f>VLOOKUP(AM29&amp;AN29,坦克等级成长!$P$12:$U$24,MATCH(AO$3,坦克等级成长!$P$12:$U$12,0),FALSE)</f>
        <v>5</v>
      </c>
      <c r="AP29" s="2">
        <f t="shared" si="2"/>
        <v>25</v>
      </c>
      <c r="AQ29" s="2">
        <f t="shared" si="3"/>
        <v>950</v>
      </c>
      <c r="AR29" s="2">
        <f t="shared" si="4"/>
        <v>3600</v>
      </c>
      <c r="AS29" s="2">
        <f t="shared" si="10"/>
        <v>0.2638888888888889</v>
      </c>
    </row>
    <row r="30" spans="3:45" x14ac:dyDescent="0.3">
      <c r="C30" s="1">
        <f t="shared" si="13"/>
        <v>5</v>
      </c>
      <c r="D30" s="2">
        <v>6</v>
      </c>
      <c r="E30" s="34">
        <f>(E$19/SUM($C$25:$C$31))*(SUM($C$25:$C30))</f>
        <v>0.17857142857142855</v>
      </c>
      <c r="F30" s="34">
        <f>(F$19/SUM($C$25:$C$31))*(SUM($C$25:$C30))</f>
        <v>0.17857142857142855</v>
      </c>
      <c r="G30" s="34">
        <f>(G$19/SUM($C$25:$C$31))*(SUM($C$25:$C30))</f>
        <v>0.23571428571428574</v>
      </c>
      <c r="H30" s="34">
        <f>(H$19/SUM($C$25:$C$31))*(SUM($C$25:$C30))</f>
        <v>0.12142857142857144</v>
      </c>
      <c r="I30" s="34">
        <f>(I$19/SUM($C$25:$C$31))*(SUM($C$25:$C30))</f>
        <v>0.1</v>
      </c>
      <c r="J30" s="34">
        <f>(J$19/SUM($C$25:$C$31))*(SUM($C$25:$C30))</f>
        <v>0.10714285714285714</v>
      </c>
      <c r="Y30" s="2">
        <v>27</v>
      </c>
      <c r="Z30" s="2">
        <f t="shared" si="11"/>
        <v>6</v>
      </c>
      <c r="AA30" s="147">
        <f t="shared" si="6"/>
        <v>1.1423076923076921E-2</v>
      </c>
      <c r="AB30" s="2">
        <f t="shared" si="7"/>
        <v>35</v>
      </c>
      <c r="AC30" s="2">
        <f t="shared" si="12"/>
        <v>570</v>
      </c>
      <c r="AD30" s="25"/>
      <c r="AL30" s="2" t="str">
        <f>坦克个性化设定!B45</f>
        <v>征服者</v>
      </c>
      <c r="AM30" s="2" t="str">
        <f>坦克个性化设定!E45</f>
        <v>T4</v>
      </c>
      <c r="AN30" s="2" t="str">
        <f>坦克个性化细分!J30</f>
        <v>低</v>
      </c>
      <c r="AO30" s="2">
        <f>VLOOKUP(AM30&amp;AN30,坦克等级成长!$P$12:$U$24,MATCH(AO$3,坦克等级成长!$P$12:$U$12,0),FALSE)</f>
        <v>7</v>
      </c>
      <c r="AP30" s="2">
        <f t="shared" si="2"/>
        <v>35</v>
      </c>
      <c r="AQ30" s="2">
        <f t="shared" si="3"/>
        <v>1715</v>
      </c>
      <c r="AR30" s="2">
        <f t="shared" si="4"/>
        <v>7400</v>
      </c>
      <c r="AS30" s="2">
        <f t="shared" si="10"/>
        <v>0.23175675675675675</v>
      </c>
    </row>
    <row r="31" spans="3:45" x14ac:dyDescent="0.3">
      <c r="C31" s="1">
        <f t="shared" si="13"/>
        <v>6</v>
      </c>
      <c r="D31" s="2">
        <v>7</v>
      </c>
      <c r="E31" s="34">
        <f>(E$19/SUM($C$25:$C$31))*(SUM($C$25:$C31))</f>
        <v>0.25</v>
      </c>
      <c r="F31" s="34">
        <f>(F$19/SUM($C$25:$C$31))*(SUM($C$25:$C31))</f>
        <v>0.25</v>
      </c>
      <c r="G31" s="34">
        <f>(G$19/SUM($C$25:$C$31))*(SUM($C$25:$C31))</f>
        <v>0.33</v>
      </c>
      <c r="H31" s="34">
        <f>(H$19/SUM($C$25:$C$31))*(SUM($C$25:$C31))</f>
        <v>0.17</v>
      </c>
      <c r="I31" s="34">
        <f>(I$19/SUM($C$25:$C$31))*(SUM($C$25:$C31))</f>
        <v>0.14000000000000001</v>
      </c>
      <c r="J31" s="34">
        <f>(J$19/SUM($C$25:$C$31))*(SUM($C$25:$C31))</f>
        <v>0.15</v>
      </c>
      <c r="Y31" s="2">
        <v>28</v>
      </c>
      <c r="Z31" s="2">
        <f t="shared" si="11"/>
        <v>6</v>
      </c>
      <c r="AA31" s="147">
        <f t="shared" si="6"/>
        <v>1.1423076923076921E-2</v>
      </c>
      <c r="AB31" s="2">
        <f t="shared" si="7"/>
        <v>35</v>
      </c>
      <c r="AC31" s="2">
        <f t="shared" si="12"/>
        <v>605</v>
      </c>
      <c r="AD31" s="25"/>
      <c r="AL31" s="2" t="str">
        <f>坦克个性化设定!B46</f>
        <v>IS-4</v>
      </c>
      <c r="AM31" s="2" t="str">
        <f>坦克个性化设定!E46</f>
        <v>T4</v>
      </c>
      <c r="AN31" s="2" t="str">
        <f>坦克个性化细分!J31</f>
        <v>中</v>
      </c>
      <c r="AO31" s="2">
        <f>VLOOKUP(AM31&amp;AN31,坦克等级成长!$P$12:$U$24,MATCH(AO$3,坦克等级成长!$P$12:$U$12,0),FALSE)</f>
        <v>7</v>
      </c>
      <c r="AP31" s="2">
        <f t="shared" si="2"/>
        <v>35</v>
      </c>
      <c r="AQ31" s="2">
        <f t="shared" si="3"/>
        <v>1715</v>
      </c>
      <c r="AR31" s="2">
        <f t="shared" si="4"/>
        <v>7400</v>
      </c>
      <c r="AS31" s="2">
        <f t="shared" si="10"/>
        <v>0.23175675675675675</v>
      </c>
    </row>
    <row r="32" spans="3:45" x14ac:dyDescent="0.3">
      <c r="Y32" s="2">
        <v>29</v>
      </c>
      <c r="Z32" s="2">
        <f t="shared" si="11"/>
        <v>6</v>
      </c>
      <c r="AA32" s="147">
        <f t="shared" si="6"/>
        <v>1.1423076923076921E-2</v>
      </c>
      <c r="AB32" s="2">
        <f t="shared" si="7"/>
        <v>35</v>
      </c>
      <c r="AC32" s="2">
        <f t="shared" si="12"/>
        <v>640</v>
      </c>
      <c r="AD32" s="25"/>
      <c r="AL32" s="2" t="str">
        <f>坦克个性化设定!B47</f>
        <v>T-32</v>
      </c>
      <c r="AM32" s="2" t="str">
        <f>坦克个性化设定!E47</f>
        <v>T4</v>
      </c>
      <c r="AN32" s="2" t="str">
        <f>坦克个性化细分!J32</f>
        <v>高</v>
      </c>
      <c r="AO32" s="2">
        <f>VLOOKUP(AM32&amp;AN32,坦克等级成长!$P$12:$U$24,MATCH(AO$3,坦克等级成长!$P$12:$U$12,0),FALSE)</f>
        <v>7</v>
      </c>
      <c r="AP32" s="2">
        <f t="shared" si="2"/>
        <v>35</v>
      </c>
      <c r="AQ32" s="2">
        <f t="shared" si="3"/>
        <v>1715</v>
      </c>
      <c r="AR32" s="2">
        <f t="shared" si="4"/>
        <v>7400</v>
      </c>
      <c r="AS32" s="2">
        <f t="shared" si="10"/>
        <v>0.23175675675675675</v>
      </c>
    </row>
    <row r="33" spans="25:45" x14ac:dyDescent="0.3">
      <c r="Y33" s="2">
        <v>30</v>
      </c>
      <c r="Z33" s="2">
        <f t="shared" si="11"/>
        <v>6</v>
      </c>
      <c r="AA33" s="147">
        <f t="shared" si="6"/>
        <v>1.1423076923076921E-2</v>
      </c>
      <c r="AB33" s="2">
        <f t="shared" si="7"/>
        <v>35</v>
      </c>
      <c r="AC33" s="2">
        <f t="shared" si="12"/>
        <v>675</v>
      </c>
      <c r="AD33" s="25"/>
      <c r="AL33" s="2" t="str">
        <f>坦克个性化设定!B48</f>
        <v>M1A2</v>
      </c>
      <c r="AM33" s="2" t="str">
        <f>坦克个性化设定!E48</f>
        <v>T5</v>
      </c>
      <c r="AN33" s="2" t="str">
        <f>坦克个性化细分!J33</f>
        <v>低</v>
      </c>
      <c r="AO33" s="2">
        <f>VLOOKUP(AM33&amp;AN33,坦克等级成长!$P$12:$U$24,MATCH(AO$3,坦克等级成长!$P$12:$U$12,0),FALSE)</f>
        <v>8</v>
      </c>
      <c r="AP33" s="2">
        <f t="shared" si="2"/>
        <v>35</v>
      </c>
      <c r="AQ33" s="2" t="e">
        <f t="shared" si="3"/>
        <v>#N/A</v>
      </c>
      <c r="AR33" s="2" t="e">
        <f t="shared" si="4"/>
        <v>#N/A</v>
      </c>
      <c r="AS33" s="2" t="e">
        <f t="shared" si="10"/>
        <v>#N/A</v>
      </c>
    </row>
    <row r="34" spans="25:45" x14ac:dyDescent="0.3">
      <c r="Y34" s="2">
        <v>31</v>
      </c>
      <c r="Z34" s="2">
        <f t="shared" si="11"/>
        <v>7</v>
      </c>
      <c r="AA34" s="147">
        <f t="shared" si="6"/>
        <v>1.002162162162162E-2</v>
      </c>
      <c r="AB34" s="2">
        <f t="shared" si="7"/>
        <v>40</v>
      </c>
      <c r="AC34" s="2">
        <f t="shared" si="12"/>
        <v>715</v>
      </c>
      <c r="AD34" s="25"/>
    </row>
    <row r="35" spans="25:45" x14ac:dyDescent="0.3">
      <c r="Y35" s="2">
        <v>32</v>
      </c>
      <c r="Z35" s="2">
        <f t="shared" si="11"/>
        <v>7</v>
      </c>
      <c r="AA35" s="147">
        <f t="shared" si="6"/>
        <v>1.002162162162162E-2</v>
      </c>
      <c r="AB35" s="2">
        <f t="shared" si="7"/>
        <v>40</v>
      </c>
      <c r="AC35" s="2">
        <f t="shared" si="12"/>
        <v>755</v>
      </c>
      <c r="AD35" s="25"/>
    </row>
    <row r="36" spans="25:45" x14ac:dyDescent="0.3">
      <c r="Y36" s="2">
        <v>33</v>
      </c>
      <c r="Z36" s="2">
        <f t="shared" si="11"/>
        <v>7</v>
      </c>
      <c r="AA36" s="147">
        <f t="shared" si="6"/>
        <v>1.002162162162162E-2</v>
      </c>
      <c r="AB36" s="2">
        <f t="shared" si="7"/>
        <v>40</v>
      </c>
      <c r="AC36" s="2">
        <f t="shared" si="12"/>
        <v>795</v>
      </c>
      <c r="AD36" s="25"/>
    </row>
    <row r="37" spans="25:45" x14ac:dyDescent="0.3">
      <c r="Y37" s="2">
        <v>34</v>
      </c>
      <c r="Z37" s="2">
        <f t="shared" si="11"/>
        <v>7</v>
      </c>
      <c r="AA37" s="147">
        <f t="shared" si="6"/>
        <v>1.002162162162162E-2</v>
      </c>
      <c r="AB37" s="2">
        <f t="shared" si="7"/>
        <v>40</v>
      </c>
      <c r="AC37" s="2">
        <f t="shared" si="12"/>
        <v>835</v>
      </c>
      <c r="AD37" s="25"/>
    </row>
    <row r="38" spans="25:45" x14ac:dyDescent="0.3">
      <c r="Y38" s="2">
        <v>35</v>
      </c>
      <c r="Z38" s="2">
        <f t="shared" si="11"/>
        <v>7</v>
      </c>
      <c r="AA38" s="147">
        <f t="shared" si="6"/>
        <v>1.002162162162162E-2</v>
      </c>
      <c r="AB38" s="2">
        <f t="shared" si="7"/>
        <v>40</v>
      </c>
      <c r="AC38" s="2">
        <f t="shared" si="12"/>
        <v>875</v>
      </c>
      <c r="AD38" s="25"/>
    </row>
    <row r="39" spans="25:45" x14ac:dyDescent="0.3">
      <c r="AD39" s="25"/>
    </row>
    <row r="40" spans="25:45" x14ac:dyDescent="0.3">
      <c r="AD40" s="25"/>
    </row>
    <row r="41" spans="25:45" x14ac:dyDescent="0.3">
      <c r="AD41" s="25"/>
    </row>
    <row r="42" spans="25:45" x14ac:dyDescent="0.3">
      <c r="AD42" s="25"/>
    </row>
    <row r="43" spans="25:45" x14ac:dyDescent="0.3">
      <c r="AD43" s="25"/>
    </row>
    <row r="44" spans="25:45" x14ac:dyDescent="0.3">
      <c r="AD44" s="25"/>
    </row>
    <row r="45" spans="25:45" x14ac:dyDescent="0.3">
      <c r="AD45" s="25"/>
    </row>
    <row r="46" spans="25:45" x14ac:dyDescent="0.3">
      <c r="AD46" s="25"/>
    </row>
    <row r="47" spans="25:45" x14ac:dyDescent="0.3">
      <c r="AD47" s="25"/>
    </row>
    <row r="48" spans="25:45" x14ac:dyDescent="0.3">
      <c r="AD48" s="25"/>
    </row>
    <row r="49" spans="30:30" x14ac:dyDescent="0.3">
      <c r="AD49" s="25"/>
    </row>
    <row r="50" spans="30:30" x14ac:dyDescent="0.3">
      <c r="AD50" s="25"/>
    </row>
    <row r="51" spans="30:30" x14ac:dyDescent="0.3">
      <c r="AD51" s="25"/>
    </row>
    <row r="52" spans="30:30" x14ac:dyDescent="0.3">
      <c r="AD52" s="25"/>
    </row>
    <row r="53" spans="30:30" x14ac:dyDescent="0.3">
      <c r="AD53" s="25"/>
    </row>
    <row r="54" spans="30:30" x14ac:dyDescent="0.3">
      <c r="AD54" s="25"/>
    </row>
    <row r="55" spans="30:30" x14ac:dyDescent="0.3">
      <c r="AD55" s="25"/>
    </row>
    <row r="56" spans="30:30" x14ac:dyDescent="0.3">
      <c r="AD56" s="25"/>
    </row>
    <row r="57" spans="30:30" x14ac:dyDescent="0.3">
      <c r="AD57" s="25"/>
    </row>
    <row r="58" spans="30:30" x14ac:dyDescent="0.3">
      <c r="AD58" s="25"/>
    </row>
    <row r="59" spans="30:30" x14ac:dyDescent="0.3">
      <c r="AD59" s="25"/>
    </row>
    <row r="60" spans="30:30" x14ac:dyDescent="0.3">
      <c r="AD60" s="25"/>
    </row>
    <row r="61" spans="30:30" x14ac:dyDescent="0.3">
      <c r="AD61" s="25"/>
    </row>
    <row r="62" spans="30:30" x14ac:dyDescent="0.3">
      <c r="AD62" s="25"/>
    </row>
  </sheetData>
  <mergeCells count="5">
    <mergeCell ref="D2:H2"/>
    <mergeCell ref="J2:L2"/>
    <mergeCell ref="N2:W2"/>
    <mergeCell ref="Y2:AC2"/>
    <mergeCell ref="AF2:AJ2"/>
  </mergeCells>
  <phoneticPr fontId="32" type="noConversion"/>
  <pageMargins left="0.7" right="0.7" top="0.75" bottom="0.75" header="0.3" footer="0.3"/>
  <legacy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21"/>
  <dimension ref="A1:Z66"/>
  <sheetViews>
    <sheetView workbookViewId="0">
      <selection activeCell="M15" sqref="M15"/>
    </sheetView>
  </sheetViews>
  <sheetFormatPr defaultColWidth="9" defaultRowHeight="13.5" x14ac:dyDescent="0.15"/>
  <cols>
    <col min="14" max="14" width="9.125" customWidth="1"/>
    <col min="17" max="17" width="11.875" customWidth="1"/>
  </cols>
  <sheetData>
    <row r="1" spans="1:26" ht="15.75" x14ac:dyDescent="0.3">
      <c r="A1" s="11" t="s">
        <v>667</v>
      </c>
      <c r="B1" s="11" t="s">
        <v>667</v>
      </c>
      <c r="C1" s="11" t="s">
        <v>1372</v>
      </c>
      <c r="D1" s="11" t="s">
        <v>1373</v>
      </c>
      <c r="E1" s="12" t="s">
        <v>1380</v>
      </c>
      <c r="G1" s="11" t="s">
        <v>667</v>
      </c>
      <c r="H1" s="11" t="s">
        <v>1388</v>
      </c>
      <c r="I1" s="11" t="s">
        <v>728</v>
      </c>
      <c r="J1" s="11" t="s">
        <v>1400</v>
      </c>
      <c r="K1" s="11" t="s">
        <v>1401</v>
      </c>
      <c r="L1" s="264"/>
      <c r="N1" s="11" t="s">
        <v>667</v>
      </c>
      <c r="O1" s="12" t="s">
        <v>1379</v>
      </c>
      <c r="P1" s="12" t="s">
        <v>1400</v>
      </c>
      <c r="Q1" s="12" t="s">
        <v>1402</v>
      </c>
      <c r="S1" s="276" t="s">
        <v>3792</v>
      </c>
      <c r="T1" s="276" t="s">
        <v>1390</v>
      </c>
      <c r="U1" s="276" t="s">
        <v>1391</v>
      </c>
      <c r="V1" s="276" t="s">
        <v>3793</v>
      </c>
      <c r="W1" s="276" t="s">
        <v>1400</v>
      </c>
    </row>
    <row r="2" spans="1:26" ht="15.75" x14ac:dyDescent="0.3">
      <c r="A2" s="7" t="s">
        <v>604</v>
      </c>
      <c r="B2" s="7">
        <v>1</v>
      </c>
      <c r="C2" s="7">
        <v>1</v>
      </c>
      <c r="D2" s="7">
        <v>3</v>
      </c>
      <c r="E2" s="7">
        <f>D2*5</f>
        <v>15</v>
      </c>
      <c r="G2" s="7">
        <v>1</v>
      </c>
      <c r="H2" s="7">
        <v>1</v>
      </c>
      <c r="I2" s="7" t="str">
        <f>G2&amp;"_"&amp;H2</f>
        <v>1_1</v>
      </c>
      <c r="J2" s="7">
        <v>70</v>
      </c>
      <c r="K2" s="7">
        <v>120</v>
      </c>
      <c r="L2" s="38">
        <f>IF(H2&lt;H1,J2,J2+L1)</f>
        <v>70</v>
      </c>
      <c r="N2" s="7">
        <v>1</v>
      </c>
      <c r="O2" s="7">
        <v>1</v>
      </c>
      <c r="P2" s="7">
        <v>250</v>
      </c>
      <c r="Q2" s="7">
        <v>2</v>
      </c>
      <c r="S2" s="276">
        <v>1</v>
      </c>
      <c r="T2" s="276">
        <v>10</v>
      </c>
      <c r="U2" s="276">
        <v>10</v>
      </c>
      <c r="V2" s="276">
        <v>120</v>
      </c>
      <c r="W2" s="276">
        <v>70</v>
      </c>
      <c r="X2" s="339">
        <f>V2/T2</f>
        <v>12</v>
      </c>
      <c r="Y2" s="339">
        <f>W2/T2</f>
        <v>7</v>
      </c>
      <c r="Z2" s="339">
        <f>S2</f>
        <v>1</v>
      </c>
    </row>
    <row r="3" spans="1:26" ht="15.75" x14ac:dyDescent="0.3">
      <c r="A3" s="7" t="s">
        <v>606</v>
      </c>
      <c r="B3" s="7">
        <v>2</v>
      </c>
      <c r="C3" s="7">
        <v>2</v>
      </c>
      <c r="D3" s="7">
        <v>4</v>
      </c>
      <c r="E3" s="7">
        <f>D3*5</f>
        <v>20</v>
      </c>
      <c r="G3" s="7">
        <v>1</v>
      </c>
      <c r="H3" s="7">
        <v>2</v>
      </c>
      <c r="I3" s="7" t="str">
        <f t="shared" ref="I3:I66" si="0">G3&amp;"_"&amp;H3</f>
        <v>1_2</v>
      </c>
      <c r="J3" s="7">
        <v>100</v>
      </c>
      <c r="K3" s="7">
        <v>900</v>
      </c>
      <c r="L3" s="38">
        <f t="shared" ref="L3:L66" si="1">IF(H3&lt;H2,J3,J3+L2)</f>
        <v>170</v>
      </c>
      <c r="N3" s="7">
        <v>1</v>
      </c>
      <c r="O3" s="7">
        <v>2</v>
      </c>
      <c r="P3" s="7">
        <v>350</v>
      </c>
      <c r="Q3" s="7">
        <v>2</v>
      </c>
      <c r="S3" s="276">
        <v>2</v>
      </c>
      <c r="T3" s="276">
        <v>10</v>
      </c>
      <c r="U3" s="276">
        <v>20</v>
      </c>
      <c r="V3" s="276">
        <v>1740</v>
      </c>
      <c r="W3" s="276">
        <v>100</v>
      </c>
      <c r="X3" s="339">
        <f t="shared" ref="X3:X16" si="2">V3/T3</f>
        <v>174</v>
      </c>
      <c r="Y3" s="339">
        <f t="shared" ref="Y3:Y16" si="3">W3/T3</f>
        <v>10</v>
      </c>
      <c r="Z3" s="339">
        <f t="shared" ref="Z3:Z31" si="4">S3</f>
        <v>2</v>
      </c>
    </row>
    <row r="4" spans="1:26" ht="15.75" x14ac:dyDescent="0.3">
      <c r="A4" s="7" t="s">
        <v>610</v>
      </c>
      <c r="B4" s="7">
        <v>3</v>
      </c>
      <c r="C4" s="7">
        <v>3</v>
      </c>
      <c r="D4" s="7">
        <v>5</v>
      </c>
      <c r="E4" s="7">
        <f>D4*5</f>
        <v>25</v>
      </c>
      <c r="G4" s="7">
        <v>1</v>
      </c>
      <c r="H4" s="7">
        <v>3</v>
      </c>
      <c r="I4" s="7" t="str">
        <f t="shared" si="0"/>
        <v>1_3</v>
      </c>
      <c r="J4" s="7">
        <v>140</v>
      </c>
      <c r="K4" s="7">
        <v>1800</v>
      </c>
      <c r="L4" s="38">
        <f t="shared" si="1"/>
        <v>310</v>
      </c>
      <c r="N4" s="7">
        <v>1</v>
      </c>
      <c r="O4" s="7">
        <v>3</v>
      </c>
      <c r="P4" s="7">
        <v>0</v>
      </c>
      <c r="Q4" s="7">
        <v>0</v>
      </c>
      <c r="S4" s="276">
        <v>3</v>
      </c>
      <c r="T4" s="276">
        <v>10</v>
      </c>
      <c r="U4" s="276">
        <v>30</v>
      </c>
      <c r="V4" s="276">
        <v>3450</v>
      </c>
      <c r="W4" s="276">
        <v>140</v>
      </c>
      <c r="X4" s="339">
        <f t="shared" si="2"/>
        <v>345</v>
      </c>
      <c r="Y4" s="339">
        <f t="shared" si="3"/>
        <v>14</v>
      </c>
      <c r="Z4" s="339">
        <f t="shared" si="4"/>
        <v>3</v>
      </c>
    </row>
    <row r="5" spans="1:26" ht="15.75" x14ac:dyDescent="0.3">
      <c r="G5" s="7">
        <v>1</v>
      </c>
      <c r="H5" s="7">
        <v>4</v>
      </c>
      <c r="I5" s="7" t="str">
        <f t="shared" si="0"/>
        <v>1_4</v>
      </c>
      <c r="J5" s="7">
        <v>170</v>
      </c>
      <c r="K5" s="7">
        <v>3480</v>
      </c>
      <c r="L5" s="38">
        <f t="shared" si="1"/>
        <v>480</v>
      </c>
      <c r="N5" s="7">
        <v>2</v>
      </c>
      <c r="O5" s="7">
        <v>2</v>
      </c>
      <c r="P5" s="7">
        <v>350</v>
      </c>
      <c r="Q5" s="7">
        <v>2</v>
      </c>
      <c r="S5" s="276">
        <v>4</v>
      </c>
      <c r="T5" s="276">
        <v>10</v>
      </c>
      <c r="U5" s="276">
        <v>40</v>
      </c>
      <c r="V5" s="276">
        <v>5190</v>
      </c>
      <c r="W5" s="276">
        <v>170</v>
      </c>
      <c r="X5" s="339">
        <f t="shared" si="2"/>
        <v>519</v>
      </c>
      <c r="Y5" s="339">
        <f t="shared" si="3"/>
        <v>17</v>
      </c>
      <c r="Z5" s="339">
        <f t="shared" si="4"/>
        <v>4</v>
      </c>
    </row>
    <row r="6" spans="1:26" ht="15.75" x14ac:dyDescent="0.3">
      <c r="G6" s="7">
        <v>1</v>
      </c>
      <c r="H6" s="7">
        <v>5</v>
      </c>
      <c r="I6" s="7" t="str">
        <f t="shared" si="0"/>
        <v>1_5</v>
      </c>
      <c r="J6" s="7">
        <v>210</v>
      </c>
      <c r="K6" s="7">
        <v>5220</v>
      </c>
      <c r="L6" s="38">
        <f t="shared" si="1"/>
        <v>690</v>
      </c>
      <c r="N6" s="7">
        <v>2</v>
      </c>
      <c r="O6" s="7">
        <v>3</v>
      </c>
      <c r="P6" s="7">
        <v>2100</v>
      </c>
      <c r="Q6" s="7">
        <v>2</v>
      </c>
      <c r="S6" s="276">
        <v>5</v>
      </c>
      <c r="T6" s="276">
        <v>10</v>
      </c>
      <c r="U6" s="276">
        <v>50</v>
      </c>
      <c r="V6" s="276">
        <v>6750</v>
      </c>
      <c r="W6" s="276">
        <v>210</v>
      </c>
      <c r="X6" s="339">
        <f t="shared" si="2"/>
        <v>675</v>
      </c>
      <c r="Y6" s="339">
        <f t="shared" si="3"/>
        <v>21</v>
      </c>
      <c r="Z6" s="339">
        <f t="shared" si="4"/>
        <v>5</v>
      </c>
    </row>
    <row r="7" spans="1:26" ht="15.75" x14ac:dyDescent="0.3">
      <c r="G7" s="7">
        <v>1</v>
      </c>
      <c r="H7" s="7">
        <v>6</v>
      </c>
      <c r="I7" s="7" t="str">
        <f t="shared" si="0"/>
        <v>1_6</v>
      </c>
      <c r="J7" s="7">
        <v>600</v>
      </c>
      <c r="K7" s="7">
        <v>7620</v>
      </c>
      <c r="L7" s="38">
        <f t="shared" si="1"/>
        <v>1290</v>
      </c>
      <c r="N7" s="7">
        <v>2</v>
      </c>
      <c r="O7" s="7">
        <v>4</v>
      </c>
      <c r="P7" s="7">
        <v>0</v>
      </c>
      <c r="Q7" s="7">
        <v>0</v>
      </c>
      <c r="S7" s="276">
        <v>6</v>
      </c>
      <c r="T7" s="276">
        <v>15</v>
      </c>
      <c r="U7" s="276">
        <v>65</v>
      </c>
      <c r="V7" s="276">
        <v>7620</v>
      </c>
      <c r="W7" s="276">
        <v>600</v>
      </c>
      <c r="X7" s="339">
        <f t="shared" si="2"/>
        <v>508</v>
      </c>
      <c r="Y7" s="339">
        <f t="shared" si="3"/>
        <v>40</v>
      </c>
      <c r="Z7" s="339">
        <f t="shared" si="4"/>
        <v>6</v>
      </c>
    </row>
    <row r="8" spans="1:26" ht="15.75" x14ac:dyDescent="0.3">
      <c r="G8" s="7">
        <v>1</v>
      </c>
      <c r="H8" s="7">
        <v>7</v>
      </c>
      <c r="I8" s="7" t="str">
        <f t="shared" si="0"/>
        <v>1_7</v>
      </c>
      <c r="J8" s="7">
        <v>900</v>
      </c>
      <c r="K8" s="7">
        <v>11430</v>
      </c>
      <c r="L8" s="38">
        <f t="shared" si="1"/>
        <v>2190</v>
      </c>
      <c r="N8" s="7">
        <v>3</v>
      </c>
      <c r="O8" s="7">
        <v>3</v>
      </c>
      <c r="P8" s="7">
        <v>2100</v>
      </c>
      <c r="Q8" s="7">
        <v>2</v>
      </c>
      <c r="S8" s="276">
        <v>7</v>
      </c>
      <c r="T8" s="276">
        <v>15</v>
      </c>
      <c r="U8" s="276">
        <v>80</v>
      </c>
      <c r="V8" s="276">
        <v>11430</v>
      </c>
      <c r="W8" s="276">
        <v>900</v>
      </c>
      <c r="X8" s="339">
        <f t="shared" si="2"/>
        <v>762</v>
      </c>
      <c r="Y8" s="339">
        <f t="shared" si="3"/>
        <v>60</v>
      </c>
      <c r="Z8" s="339">
        <f t="shared" si="4"/>
        <v>7</v>
      </c>
    </row>
    <row r="9" spans="1:26" ht="15.75" x14ac:dyDescent="0.3">
      <c r="G9" s="7">
        <v>1</v>
      </c>
      <c r="H9" s="7">
        <v>8</v>
      </c>
      <c r="I9" s="7" t="str">
        <f t="shared" si="0"/>
        <v>1_8</v>
      </c>
      <c r="J9" s="7">
        <v>1200</v>
      </c>
      <c r="K9" s="7">
        <v>15240</v>
      </c>
      <c r="L9" s="38">
        <f t="shared" si="1"/>
        <v>3390</v>
      </c>
      <c r="N9" s="7">
        <v>3</v>
      </c>
      <c r="O9" s="7">
        <v>4</v>
      </c>
      <c r="P9" s="7">
        <v>7500</v>
      </c>
      <c r="Q9" s="7">
        <v>2</v>
      </c>
      <c r="S9" s="276">
        <v>8</v>
      </c>
      <c r="T9" s="276">
        <v>15</v>
      </c>
      <c r="U9" s="276">
        <v>95</v>
      </c>
      <c r="V9" s="276">
        <v>15240</v>
      </c>
      <c r="W9" s="276">
        <v>1200</v>
      </c>
      <c r="X9" s="339">
        <f t="shared" si="2"/>
        <v>1016</v>
      </c>
      <c r="Y9" s="339">
        <f t="shared" si="3"/>
        <v>80</v>
      </c>
      <c r="Z9" s="339">
        <f t="shared" si="4"/>
        <v>8</v>
      </c>
    </row>
    <row r="10" spans="1:26" ht="15.75" x14ac:dyDescent="0.3">
      <c r="G10" s="7">
        <v>1</v>
      </c>
      <c r="H10" s="7">
        <v>9</v>
      </c>
      <c r="I10" s="7" t="str">
        <f t="shared" si="0"/>
        <v>1_9</v>
      </c>
      <c r="J10" s="7">
        <v>1500</v>
      </c>
      <c r="K10" s="7">
        <v>19050</v>
      </c>
      <c r="L10" s="38">
        <f t="shared" si="1"/>
        <v>4890</v>
      </c>
      <c r="N10" s="7">
        <v>3</v>
      </c>
      <c r="O10" s="7">
        <v>5</v>
      </c>
      <c r="P10" s="7">
        <v>0</v>
      </c>
      <c r="Q10" s="7">
        <v>0</v>
      </c>
      <c r="S10" s="276">
        <v>9</v>
      </c>
      <c r="T10" s="276">
        <v>15</v>
      </c>
      <c r="U10" s="276">
        <v>110</v>
      </c>
      <c r="V10" s="276">
        <v>19050</v>
      </c>
      <c r="W10" s="276">
        <v>1500</v>
      </c>
      <c r="X10" s="339">
        <f t="shared" si="2"/>
        <v>1270</v>
      </c>
      <c r="Y10" s="339">
        <f t="shared" si="3"/>
        <v>100</v>
      </c>
      <c r="Z10" s="339">
        <f t="shared" si="4"/>
        <v>9</v>
      </c>
    </row>
    <row r="11" spans="1:26" ht="15.75" x14ac:dyDescent="0.3">
      <c r="G11" s="7">
        <v>1</v>
      </c>
      <c r="H11" s="7">
        <v>10</v>
      </c>
      <c r="I11" s="7" t="str">
        <f t="shared" si="0"/>
        <v>1_10</v>
      </c>
      <c r="J11" s="7">
        <v>1750</v>
      </c>
      <c r="K11" s="7">
        <v>22860</v>
      </c>
      <c r="L11" s="38">
        <f t="shared" si="1"/>
        <v>6640</v>
      </c>
      <c r="S11" s="276">
        <v>10</v>
      </c>
      <c r="T11" s="276">
        <v>15</v>
      </c>
      <c r="U11" s="276">
        <v>125</v>
      </c>
      <c r="V11" s="276">
        <v>22860</v>
      </c>
      <c r="W11" s="276">
        <v>1750</v>
      </c>
      <c r="X11" s="339">
        <f t="shared" si="2"/>
        <v>1524</v>
      </c>
      <c r="Y11" s="339">
        <f t="shared" si="3"/>
        <v>116.66666666666667</v>
      </c>
      <c r="Z11" s="339">
        <f t="shared" si="4"/>
        <v>10</v>
      </c>
    </row>
    <row r="12" spans="1:26" ht="15.75" x14ac:dyDescent="0.3">
      <c r="G12" s="7">
        <v>1</v>
      </c>
      <c r="H12" s="7">
        <v>11</v>
      </c>
      <c r="I12" s="7" t="str">
        <f t="shared" si="0"/>
        <v>1_11</v>
      </c>
      <c r="J12" s="7">
        <v>3650</v>
      </c>
      <c r="K12" s="7">
        <v>31710</v>
      </c>
      <c r="L12" s="38">
        <f t="shared" si="1"/>
        <v>10290</v>
      </c>
      <c r="S12" s="276">
        <v>11</v>
      </c>
      <c r="T12" s="276">
        <v>20</v>
      </c>
      <c r="U12" s="276">
        <v>145</v>
      </c>
      <c r="V12" s="276">
        <v>31710</v>
      </c>
      <c r="W12" s="276">
        <v>3650</v>
      </c>
      <c r="X12" s="339">
        <f t="shared" si="2"/>
        <v>1585.5</v>
      </c>
      <c r="Y12" s="339">
        <f t="shared" si="3"/>
        <v>182.5</v>
      </c>
      <c r="Z12" s="339">
        <f t="shared" si="4"/>
        <v>11</v>
      </c>
    </row>
    <row r="13" spans="1:26" ht="15.75" x14ac:dyDescent="0.3">
      <c r="G13" s="7">
        <v>1</v>
      </c>
      <c r="H13" s="7">
        <v>12</v>
      </c>
      <c r="I13" s="7" t="str">
        <f t="shared" si="0"/>
        <v>1_12</v>
      </c>
      <c r="J13" s="7">
        <v>5500</v>
      </c>
      <c r="K13" s="7">
        <v>47580</v>
      </c>
      <c r="L13" s="38">
        <f t="shared" si="1"/>
        <v>15790</v>
      </c>
      <c r="S13" s="276">
        <v>12</v>
      </c>
      <c r="T13" s="276">
        <v>20</v>
      </c>
      <c r="U13" s="276">
        <v>165</v>
      </c>
      <c r="V13" s="276">
        <v>47580</v>
      </c>
      <c r="W13" s="276">
        <v>5500</v>
      </c>
      <c r="X13" s="339">
        <f t="shared" si="2"/>
        <v>2379</v>
      </c>
      <c r="Y13" s="339">
        <f t="shared" si="3"/>
        <v>275</v>
      </c>
      <c r="Z13" s="339">
        <f t="shared" si="4"/>
        <v>12</v>
      </c>
    </row>
    <row r="14" spans="1:26" ht="15.75" x14ac:dyDescent="0.3">
      <c r="G14" s="7">
        <v>1</v>
      </c>
      <c r="H14" s="7">
        <v>13</v>
      </c>
      <c r="I14" s="7" t="str">
        <f t="shared" si="0"/>
        <v>1_13</v>
      </c>
      <c r="J14" s="7">
        <v>7300</v>
      </c>
      <c r="K14" s="7">
        <v>63420</v>
      </c>
      <c r="L14" s="38">
        <f t="shared" si="1"/>
        <v>23090</v>
      </c>
      <c r="S14" s="276">
        <v>13</v>
      </c>
      <c r="T14" s="276">
        <v>20</v>
      </c>
      <c r="U14" s="276">
        <v>185</v>
      </c>
      <c r="V14" s="276">
        <v>63420</v>
      </c>
      <c r="W14" s="276">
        <v>7300</v>
      </c>
      <c r="X14" s="339">
        <f t="shared" si="2"/>
        <v>3171</v>
      </c>
      <c r="Y14" s="339">
        <f t="shared" si="3"/>
        <v>365</v>
      </c>
      <c r="Z14" s="339">
        <f t="shared" si="4"/>
        <v>13</v>
      </c>
    </row>
    <row r="15" spans="1:26" ht="15.75" x14ac:dyDescent="0.3">
      <c r="G15" s="7">
        <v>1</v>
      </c>
      <c r="H15" s="7">
        <v>14</v>
      </c>
      <c r="I15" s="7" t="str">
        <f t="shared" si="0"/>
        <v>1_14</v>
      </c>
      <c r="J15" s="7">
        <v>9100</v>
      </c>
      <c r="K15" s="7">
        <v>79290</v>
      </c>
      <c r="L15" s="38">
        <f t="shared" si="1"/>
        <v>32190</v>
      </c>
      <c r="N15" s="287"/>
      <c r="S15" s="276">
        <v>14</v>
      </c>
      <c r="T15" s="276">
        <v>20</v>
      </c>
      <c r="U15" s="276">
        <v>205</v>
      </c>
      <c r="V15" s="276">
        <v>79290</v>
      </c>
      <c r="W15" s="276">
        <v>9100</v>
      </c>
      <c r="X15" s="339">
        <f t="shared" si="2"/>
        <v>3964.5</v>
      </c>
      <c r="Y15" s="339">
        <f t="shared" si="3"/>
        <v>455</v>
      </c>
      <c r="Z15" s="339">
        <f t="shared" si="4"/>
        <v>14</v>
      </c>
    </row>
    <row r="16" spans="1:26" ht="15.75" x14ac:dyDescent="0.3">
      <c r="G16" s="7">
        <v>1</v>
      </c>
      <c r="H16" s="7">
        <v>15</v>
      </c>
      <c r="I16" s="7" t="str">
        <f t="shared" si="0"/>
        <v>1_15</v>
      </c>
      <c r="J16" s="7">
        <v>11000</v>
      </c>
      <c r="K16" s="7">
        <v>95160</v>
      </c>
      <c r="L16" s="38">
        <f t="shared" si="1"/>
        <v>43190</v>
      </c>
      <c r="S16" s="276">
        <v>15</v>
      </c>
      <c r="T16" s="276">
        <v>20</v>
      </c>
      <c r="U16" s="276">
        <v>225</v>
      </c>
      <c r="V16" s="276">
        <v>95160</v>
      </c>
      <c r="W16" s="276">
        <v>11000</v>
      </c>
      <c r="X16" s="339">
        <f t="shared" si="2"/>
        <v>4758</v>
      </c>
      <c r="Y16" s="339">
        <f t="shared" si="3"/>
        <v>550</v>
      </c>
      <c r="Z16" s="339">
        <f t="shared" si="4"/>
        <v>15</v>
      </c>
    </row>
    <row r="17" spans="7:26" ht="15.75" x14ac:dyDescent="0.3">
      <c r="G17" s="7">
        <v>2</v>
      </c>
      <c r="H17" s="7">
        <v>1</v>
      </c>
      <c r="I17" s="7" t="str">
        <f t="shared" si="0"/>
        <v>2_1</v>
      </c>
      <c r="J17" s="7">
        <v>70</v>
      </c>
      <c r="K17" s="7">
        <v>180</v>
      </c>
      <c r="L17" s="38">
        <f t="shared" si="1"/>
        <v>70</v>
      </c>
      <c r="S17" s="276">
        <v>16</v>
      </c>
      <c r="T17" s="276">
        <v>25</v>
      </c>
      <c r="U17" s="276">
        <v>250</v>
      </c>
      <c r="V17" s="276">
        <f>ROUNDUP(T17*X17/10,0)*10</f>
        <v>105250</v>
      </c>
      <c r="W17" s="276">
        <f>ROUNDUP(T17*Y17/50,0)*50</f>
        <v>13750</v>
      </c>
      <c r="X17" s="339">
        <v>4210</v>
      </c>
      <c r="Y17" s="339">
        <v>550</v>
      </c>
      <c r="Z17" s="339">
        <f t="shared" si="4"/>
        <v>16</v>
      </c>
    </row>
    <row r="18" spans="7:26" ht="15.75" x14ac:dyDescent="0.3">
      <c r="G18" s="7">
        <v>2</v>
      </c>
      <c r="H18" s="7">
        <v>2</v>
      </c>
      <c r="I18" s="7" t="str">
        <f t="shared" si="0"/>
        <v>2_2</v>
      </c>
      <c r="J18" s="7">
        <v>100</v>
      </c>
      <c r="K18" s="7">
        <v>900</v>
      </c>
      <c r="L18" s="38">
        <f t="shared" si="1"/>
        <v>170</v>
      </c>
      <c r="S18" s="276">
        <v>17</v>
      </c>
      <c r="T18" s="276">
        <v>25</v>
      </c>
      <c r="U18" s="276">
        <v>275</v>
      </c>
      <c r="V18" s="276">
        <f t="shared" ref="V18:V31" si="5">ROUNDUP(T18*X18/10,0)*10</f>
        <v>110250</v>
      </c>
      <c r="W18" s="276">
        <f t="shared" ref="W18:W31" si="6">ROUNDUP(T18*Y18/50,0)*50</f>
        <v>15000</v>
      </c>
      <c r="X18" s="339">
        <v>4410</v>
      </c>
      <c r="Y18" s="339">
        <v>600</v>
      </c>
      <c r="Z18" s="339">
        <f t="shared" si="4"/>
        <v>17</v>
      </c>
    </row>
    <row r="19" spans="7:26" ht="15.75" x14ac:dyDescent="0.3">
      <c r="G19" s="7">
        <v>2</v>
      </c>
      <c r="H19" s="7">
        <v>3</v>
      </c>
      <c r="I19" s="7" t="str">
        <f t="shared" si="0"/>
        <v>2_3</v>
      </c>
      <c r="J19" s="7">
        <v>140</v>
      </c>
      <c r="K19" s="7">
        <v>1800</v>
      </c>
      <c r="L19" s="38">
        <f t="shared" si="1"/>
        <v>310</v>
      </c>
      <c r="S19" s="276">
        <v>18</v>
      </c>
      <c r="T19" s="276">
        <v>25</v>
      </c>
      <c r="U19" s="276">
        <v>300</v>
      </c>
      <c r="V19" s="276">
        <f t="shared" si="5"/>
        <v>115250</v>
      </c>
      <c r="W19" s="276">
        <f t="shared" si="6"/>
        <v>16250</v>
      </c>
      <c r="X19" s="339">
        <v>4610</v>
      </c>
      <c r="Y19" s="339">
        <v>650</v>
      </c>
      <c r="Z19" s="339">
        <f t="shared" si="4"/>
        <v>18</v>
      </c>
    </row>
    <row r="20" spans="7:26" ht="15.75" x14ac:dyDescent="0.3">
      <c r="G20" s="7">
        <v>2</v>
      </c>
      <c r="H20" s="7">
        <v>4</v>
      </c>
      <c r="I20" s="7" t="str">
        <f t="shared" si="0"/>
        <v>2_4</v>
      </c>
      <c r="J20" s="7">
        <v>170</v>
      </c>
      <c r="K20" s="7">
        <v>3480</v>
      </c>
      <c r="L20" s="38">
        <f t="shared" si="1"/>
        <v>480</v>
      </c>
      <c r="S20" s="276">
        <v>19</v>
      </c>
      <c r="T20" s="276">
        <v>25</v>
      </c>
      <c r="U20" s="276">
        <v>325</v>
      </c>
      <c r="V20" s="276">
        <f t="shared" si="5"/>
        <v>120250</v>
      </c>
      <c r="W20" s="276">
        <f t="shared" si="6"/>
        <v>17500</v>
      </c>
      <c r="X20" s="339">
        <v>4810</v>
      </c>
      <c r="Y20" s="339">
        <v>700</v>
      </c>
      <c r="Z20" s="339">
        <f t="shared" si="4"/>
        <v>19</v>
      </c>
    </row>
    <row r="21" spans="7:26" ht="15.75" x14ac:dyDescent="0.3">
      <c r="G21" s="7">
        <v>2</v>
      </c>
      <c r="H21" s="7">
        <v>5</v>
      </c>
      <c r="I21" s="7" t="str">
        <f t="shared" si="0"/>
        <v>2_5</v>
      </c>
      <c r="J21" s="7">
        <v>210</v>
      </c>
      <c r="K21" s="7">
        <v>5220</v>
      </c>
      <c r="L21" s="38">
        <f t="shared" si="1"/>
        <v>690</v>
      </c>
      <c r="S21" s="276">
        <v>20</v>
      </c>
      <c r="T21" s="276">
        <v>25</v>
      </c>
      <c r="U21" s="276">
        <v>350</v>
      </c>
      <c r="V21" s="276">
        <f t="shared" si="5"/>
        <v>125250</v>
      </c>
      <c r="W21" s="276">
        <f t="shared" si="6"/>
        <v>20250</v>
      </c>
      <c r="X21" s="339">
        <v>5010</v>
      </c>
      <c r="Y21" s="339">
        <v>810</v>
      </c>
      <c r="Z21" s="339">
        <f t="shared" si="4"/>
        <v>20</v>
      </c>
    </row>
    <row r="22" spans="7:26" ht="15.75" x14ac:dyDescent="0.3">
      <c r="G22" s="7">
        <v>2</v>
      </c>
      <c r="H22" s="7">
        <v>6</v>
      </c>
      <c r="I22" s="7" t="str">
        <f t="shared" si="0"/>
        <v>2_6</v>
      </c>
      <c r="J22" s="7">
        <v>600</v>
      </c>
      <c r="K22" s="7">
        <v>7620</v>
      </c>
      <c r="L22" s="38">
        <f t="shared" si="1"/>
        <v>1290</v>
      </c>
      <c r="S22" s="276">
        <v>21</v>
      </c>
      <c r="T22" s="276">
        <v>30</v>
      </c>
      <c r="U22" s="276">
        <v>380</v>
      </c>
      <c r="V22" s="276">
        <f t="shared" si="5"/>
        <v>156300</v>
      </c>
      <c r="W22" s="276">
        <f t="shared" si="6"/>
        <v>24900</v>
      </c>
      <c r="X22" s="339">
        <v>5210</v>
      </c>
      <c r="Y22" s="339">
        <v>830</v>
      </c>
      <c r="Z22" s="339">
        <f t="shared" si="4"/>
        <v>21</v>
      </c>
    </row>
    <row r="23" spans="7:26" ht="15.75" x14ac:dyDescent="0.3">
      <c r="G23" s="7">
        <v>2</v>
      </c>
      <c r="H23" s="7">
        <v>7</v>
      </c>
      <c r="I23" s="7" t="str">
        <f t="shared" si="0"/>
        <v>2_7</v>
      </c>
      <c r="J23" s="7">
        <v>900</v>
      </c>
      <c r="K23" s="7">
        <v>11430</v>
      </c>
      <c r="L23" s="38">
        <f t="shared" si="1"/>
        <v>2190</v>
      </c>
      <c r="S23" s="276">
        <v>22</v>
      </c>
      <c r="T23" s="276">
        <v>30</v>
      </c>
      <c r="U23" s="276">
        <v>410</v>
      </c>
      <c r="V23" s="276">
        <f t="shared" si="5"/>
        <v>162300</v>
      </c>
      <c r="W23" s="276">
        <f t="shared" si="6"/>
        <v>25500</v>
      </c>
      <c r="X23" s="339">
        <v>5410</v>
      </c>
      <c r="Y23" s="339">
        <v>850</v>
      </c>
      <c r="Z23" s="339">
        <f t="shared" si="4"/>
        <v>22</v>
      </c>
    </row>
    <row r="24" spans="7:26" ht="15.75" x14ac:dyDescent="0.3">
      <c r="G24" s="7">
        <v>2</v>
      </c>
      <c r="H24" s="7">
        <v>8</v>
      </c>
      <c r="I24" s="7" t="str">
        <f t="shared" si="0"/>
        <v>2_8</v>
      </c>
      <c r="J24" s="7">
        <v>1200</v>
      </c>
      <c r="K24" s="7">
        <v>15240</v>
      </c>
      <c r="L24" s="38">
        <f t="shared" si="1"/>
        <v>3390</v>
      </c>
      <c r="S24" s="276">
        <v>23</v>
      </c>
      <c r="T24" s="276">
        <v>30</v>
      </c>
      <c r="U24" s="276">
        <v>440</v>
      </c>
      <c r="V24" s="276">
        <f t="shared" si="5"/>
        <v>168300</v>
      </c>
      <c r="W24" s="276">
        <f t="shared" si="6"/>
        <v>27000</v>
      </c>
      <c r="X24" s="339">
        <v>5610</v>
      </c>
      <c r="Y24" s="339">
        <v>900</v>
      </c>
      <c r="Z24" s="339">
        <f t="shared" si="4"/>
        <v>23</v>
      </c>
    </row>
    <row r="25" spans="7:26" ht="15.75" x14ac:dyDescent="0.3">
      <c r="G25" s="7">
        <v>2</v>
      </c>
      <c r="H25" s="7">
        <v>9</v>
      </c>
      <c r="I25" s="7" t="str">
        <f t="shared" si="0"/>
        <v>2_9</v>
      </c>
      <c r="J25" s="7">
        <v>1500</v>
      </c>
      <c r="K25" s="7">
        <v>19050</v>
      </c>
      <c r="L25" s="38">
        <f t="shared" si="1"/>
        <v>4890</v>
      </c>
      <c r="S25" s="276">
        <v>24</v>
      </c>
      <c r="T25" s="276">
        <v>30</v>
      </c>
      <c r="U25" s="276">
        <v>470</v>
      </c>
      <c r="V25" s="276">
        <f t="shared" si="5"/>
        <v>174300</v>
      </c>
      <c r="W25" s="276">
        <f t="shared" si="6"/>
        <v>28500</v>
      </c>
      <c r="X25" s="339">
        <v>5810</v>
      </c>
      <c r="Y25" s="339">
        <v>950</v>
      </c>
      <c r="Z25" s="339">
        <f t="shared" si="4"/>
        <v>24</v>
      </c>
    </row>
    <row r="26" spans="7:26" ht="15.75" x14ac:dyDescent="0.3">
      <c r="G26" s="7">
        <v>2</v>
      </c>
      <c r="H26" s="7">
        <v>10</v>
      </c>
      <c r="I26" s="7" t="str">
        <f t="shared" si="0"/>
        <v>2_10</v>
      </c>
      <c r="J26" s="7">
        <v>1750</v>
      </c>
      <c r="K26" s="7">
        <v>22860</v>
      </c>
      <c r="L26" s="38">
        <f t="shared" si="1"/>
        <v>6640</v>
      </c>
      <c r="S26" s="276">
        <v>25</v>
      </c>
      <c r="T26" s="276">
        <v>30</v>
      </c>
      <c r="U26" s="276">
        <v>500</v>
      </c>
      <c r="V26" s="276">
        <f t="shared" si="5"/>
        <v>180300</v>
      </c>
      <c r="W26" s="276">
        <f t="shared" si="6"/>
        <v>30000</v>
      </c>
      <c r="X26" s="339">
        <v>6010</v>
      </c>
      <c r="Y26" s="339">
        <v>1000</v>
      </c>
      <c r="Z26" s="339">
        <f t="shared" si="4"/>
        <v>25</v>
      </c>
    </row>
    <row r="27" spans="7:26" ht="15.75" x14ac:dyDescent="0.3">
      <c r="G27" s="7">
        <v>2</v>
      </c>
      <c r="H27" s="7">
        <v>11</v>
      </c>
      <c r="I27" s="7" t="str">
        <f t="shared" si="0"/>
        <v>2_11</v>
      </c>
      <c r="J27" s="7">
        <v>3650</v>
      </c>
      <c r="K27" s="7">
        <v>31710</v>
      </c>
      <c r="L27" s="38">
        <f t="shared" si="1"/>
        <v>10290</v>
      </c>
      <c r="S27" s="276">
        <v>26</v>
      </c>
      <c r="T27" s="276">
        <v>35</v>
      </c>
      <c r="U27" s="276">
        <f>U26+T27</f>
        <v>535</v>
      </c>
      <c r="V27" s="276">
        <f t="shared" si="5"/>
        <v>217350</v>
      </c>
      <c r="W27" s="276">
        <f t="shared" si="6"/>
        <v>36750</v>
      </c>
      <c r="X27" s="339">
        <v>6210</v>
      </c>
      <c r="Y27" s="339">
        <v>1050</v>
      </c>
      <c r="Z27" s="339">
        <f t="shared" si="4"/>
        <v>26</v>
      </c>
    </row>
    <row r="28" spans="7:26" ht="15.75" x14ac:dyDescent="0.3">
      <c r="G28" s="7">
        <v>2</v>
      </c>
      <c r="H28" s="7">
        <v>12</v>
      </c>
      <c r="I28" s="7" t="str">
        <f t="shared" si="0"/>
        <v>2_12</v>
      </c>
      <c r="J28" s="7">
        <v>5500</v>
      </c>
      <c r="K28" s="7">
        <v>47580</v>
      </c>
      <c r="L28" s="38">
        <f t="shared" si="1"/>
        <v>15790</v>
      </c>
      <c r="S28" s="276">
        <v>27</v>
      </c>
      <c r="T28" s="276">
        <v>35</v>
      </c>
      <c r="U28" s="276">
        <f>U27+T28</f>
        <v>570</v>
      </c>
      <c r="V28" s="276">
        <f t="shared" si="5"/>
        <v>224350</v>
      </c>
      <c r="W28" s="276">
        <f t="shared" si="6"/>
        <v>38500</v>
      </c>
      <c r="X28" s="339">
        <v>6410</v>
      </c>
      <c r="Y28" s="339">
        <v>1100</v>
      </c>
      <c r="Z28" s="339">
        <f t="shared" si="4"/>
        <v>27</v>
      </c>
    </row>
    <row r="29" spans="7:26" ht="15.75" x14ac:dyDescent="0.3">
      <c r="G29" s="7">
        <v>2</v>
      </c>
      <c r="H29" s="7">
        <v>13</v>
      </c>
      <c r="I29" s="7" t="str">
        <f t="shared" si="0"/>
        <v>2_13</v>
      </c>
      <c r="J29" s="7">
        <v>7300</v>
      </c>
      <c r="K29" s="7">
        <v>63420</v>
      </c>
      <c r="L29" s="38">
        <f t="shared" si="1"/>
        <v>23090</v>
      </c>
      <c r="S29" s="276">
        <v>28</v>
      </c>
      <c r="T29" s="276">
        <v>35</v>
      </c>
      <c r="U29" s="276">
        <f>U28+T29</f>
        <v>605</v>
      </c>
      <c r="V29" s="276">
        <f t="shared" si="5"/>
        <v>231350</v>
      </c>
      <c r="W29" s="276">
        <f t="shared" si="6"/>
        <v>40250</v>
      </c>
      <c r="X29" s="339">
        <v>6610</v>
      </c>
      <c r="Y29" s="339">
        <v>1150</v>
      </c>
      <c r="Z29" s="339">
        <f t="shared" si="4"/>
        <v>28</v>
      </c>
    </row>
    <row r="30" spans="7:26" ht="15.75" x14ac:dyDescent="0.3">
      <c r="G30" s="7">
        <v>2</v>
      </c>
      <c r="H30" s="7">
        <v>14</v>
      </c>
      <c r="I30" s="7" t="str">
        <f t="shared" si="0"/>
        <v>2_14</v>
      </c>
      <c r="J30" s="7">
        <v>9100</v>
      </c>
      <c r="K30" s="7">
        <v>79290</v>
      </c>
      <c r="L30" s="38">
        <f t="shared" si="1"/>
        <v>32190</v>
      </c>
      <c r="S30" s="276">
        <v>29</v>
      </c>
      <c r="T30" s="276">
        <v>35</v>
      </c>
      <c r="U30" s="276">
        <f>U29+T30</f>
        <v>640</v>
      </c>
      <c r="V30" s="276">
        <f t="shared" si="5"/>
        <v>238350</v>
      </c>
      <c r="W30" s="276">
        <f t="shared" si="6"/>
        <v>42000</v>
      </c>
      <c r="X30" s="339">
        <v>6810</v>
      </c>
      <c r="Y30" s="339">
        <v>1200</v>
      </c>
      <c r="Z30" s="339">
        <f t="shared" si="4"/>
        <v>29</v>
      </c>
    </row>
    <row r="31" spans="7:26" ht="15.75" x14ac:dyDescent="0.3">
      <c r="G31" s="7">
        <v>2</v>
      </c>
      <c r="H31" s="7">
        <v>15</v>
      </c>
      <c r="I31" s="7" t="str">
        <f t="shared" si="0"/>
        <v>2_15</v>
      </c>
      <c r="J31" s="7">
        <v>11000</v>
      </c>
      <c r="K31" s="7">
        <v>95160</v>
      </c>
      <c r="L31" s="38">
        <f t="shared" si="1"/>
        <v>43190</v>
      </c>
      <c r="S31" s="276">
        <v>30</v>
      </c>
      <c r="T31" s="276">
        <v>35</v>
      </c>
      <c r="U31" s="276">
        <f>U30+T31</f>
        <v>675</v>
      </c>
      <c r="V31" s="276">
        <f t="shared" si="5"/>
        <v>245350</v>
      </c>
      <c r="W31" s="276">
        <f t="shared" si="6"/>
        <v>43750</v>
      </c>
      <c r="X31" s="339">
        <v>7010</v>
      </c>
      <c r="Y31" s="339">
        <v>1250</v>
      </c>
      <c r="Z31" s="339">
        <f t="shared" si="4"/>
        <v>30</v>
      </c>
    </row>
    <row r="32" spans="7:26" x14ac:dyDescent="0.15">
      <c r="G32" s="7">
        <v>2</v>
      </c>
      <c r="H32" s="7">
        <v>16</v>
      </c>
      <c r="I32" s="7" t="str">
        <f t="shared" si="0"/>
        <v>2_16</v>
      </c>
      <c r="J32" s="7">
        <v>11500</v>
      </c>
      <c r="K32" s="7">
        <v>36390</v>
      </c>
      <c r="L32" s="38">
        <f t="shared" si="1"/>
        <v>54690</v>
      </c>
    </row>
    <row r="33" spans="7:12" x14ac:dyDescent="0.15">
      <c r="G33" s="7">
        <v>2</v>
      </c>
      <c r="H33" s="7">
        <v>17</v>
      </c>
      <c r="I33" s="7" t="str">
        <f t="shared" si="0"/>
        <v>2_17</v>
      </c>
      <c r="J33" s="7">
        <v>12500</v>
      </c>
      <c r="K33" s="7">
        <v>54570</v>
      </c>
      <c r="L33" s="38">
        <f t="shared" si="1"/>
        <v>67190</v>
      </c>
    </row>
    <row r="34" spans="7:12" x14ac:dyDescent="0.15">
      <c r="G34" s="7">
        <v>2</v>
      </c>
      <c r="H34" s="7">
        <v>18</v>
      </c>
      <c r="I34" s="7" t="str">
        <f t="shared" si="0"/>
        <v>2_18</v>
      </c>
      <c r="J34" s="7">
        <v>13500</v>
      </c>
      <c r="K34" s="7">
        <v>72750</v>
      </c>
      <c r="L34" s="38">
        <f t="shared" si="1"/>
        <v>80690</v>
      </c>
    </row>
    <row r="35" spans="7:12" x14ac:dyDescent="0.15">
      <c r="G35" s="7">
        <v>2</v>
      </c>
      <c r="H35" s="7">
        <v>19</v>
      </c>
      <c r="I35" s="7" t="str">
        <f t="shared" si="0"/>
        <v>2_19</v>
      </c>
      <c r="J35" s="7">
        <v>16800</v>
      </c>
      <c r="K35" s="7">
        <v>90960</v>
      </c>
      <c r="L35" s="38">
        <f t="shared" si="1"/>
        <v>97490</v>
      </c>
    </row>
    <row r="36" spans="7:12" x14ac:dyDescent="0.15">
      <c r="G36" s="7">
        <v>2</v>
      </c>
      <c r="H36" s="7">
        <v>20</v>
      </c>
      <c r="I36" s="7" t="str">
        <f t="shared" si="0"/>
        <v>2_20</v>
      </c>
      <c r="J36" s="7">
        <v>20200</v>
      </c>
      <c r="K36" s="7">
        <v>109140</v>
      </c>
      <c r="L36" s="38">
        <f t="shared" si="1"/>
        <v>117690</v>
      </c>
    </row>
    <row r="37" spans="7:12" x14ac:dyDescent="0.15">
      <c r="G37" s="7">
        <v>3</v>
      </c>
      <c r="H37" s="7">
        <v>1</v>
      </c>
      <c r="I37" s="7" t="str">
        <f t="shared" si="0"/>
        <v>3_1</v>
      </c>
      <c r="J37" s="7">
        <v>70</v>
      </c>
      <c r="K37" s="7">
        <v>120</v>
      </c>
      <c r="L37" s="38">
        <f t="shared" si="1"/>
        <v>70</v>
      </c>
    </row>
    <row r="38" spans="7:12" x14ac:dyDescent="0.15">
      <c r="G38" s="7">
        <v>3</v>
      </c>
      <c r="H38" s="7">
        <v>2</v>
      </c>
      <c r="I38" s="7" t="str">
        <f t="shared" si="0"/>
        <v>3_2</v>
      </c>
      <c r="J38" s="7">
        <v>100</v>
      </c>
      <c r="K38" s="7">
        <v>1740</v>
      </c>
      <c r="L38" s="38">
        <f t="shared" si="1"/>
        <v>170</v>
      </c>
    </row>
    <row r="39" spans="7:12" x14ac:dyDescent="0.15">
      <c r="G39" s="7">
        <v>3</v>
      </c>
      <c r="H39" s="7">
        <v>3</v>
      </c>
      <c r="I39" s="7" t="str">
        <f t="shared" si="0"/>
        <v>3_3</v>
      </c>
      <c r="J39" s="7">
        <v>140</v>
      </c>
      <c r="K39" s="7">
        <v>3450</v>
      </c>
      <c r="L39" s="38">
        <f t="shared" si="1"/>
        <v>310</v>
      </c>
    </row>
    <row r="40" spans="7:12" x14ac:dyDescent="0.15">
      <c r="G40" s="7">
        <v>3</v>
      </c>
      <c r="H40" s="7">
        <v>4</v>
      </c>
      <c r="I40" s="7" t="str">
        <f t="shared" si="0"/>
        <v>3_4</v>
      </c>
      <c r="J40" s="7">
        <v>170</v>
      </c>
      <c r="K40" s="7">
        <v>5190</v>
      </c>
      <c r="L40" s="38">
        <f t="shared" si="1"/>
        <v>480</v>
      </c>
    </row>
    <row r="41" spans="7:12" x14ac:dyDescent="0.15">
      <c r="G41" s="7">
        <v>3</v>
      </c>
      <c r="H41" s="7">
        <v>5</v>
      </c>
      <c r="I41" s="7" t="str">
        <f t="shared" si="0"/>
        <v>3_5</v>
      </c>
      <c r="J41" s="7">
        <v>210</v>
      </c>
      <c r="K41" s="7">
        <v>6750</v>
      </c>
      <c r="L41" s="38">
        <f t="shared" si="1"/>
        <v>690</v>
      </c>
    </row>
    <row r="42" spans="7:12" x14ac:dyDescent="0.15">
      <c r="G42" s="7">
        <v>3</v>
      </c>
      <c r="H42" s="7">
        <v>6</v>
      </c>
      <c r="I42" s="7" t="str">
        <f t="shared" si="0"/>
        <v>3_6</v>
      </c>
      <c r="J42" s="7">
        <v>600</v>
      </c>
      <c r="K42" s="7">
        <v>7620</v>
      </c>
      <c r="L42" s="38">
        <f t="shared" si="1"/>
        <v>1290</v>
      </c>
    </row>
    <row r="43" spans="7:12" x14ac:dyDescent="0.15">
      <c r="G43" s="7">
        <v>3</v>
      </c>
      <c r="H43" s="7">
        <v>7</v>
      </c>
      <c r="I43" s="7" t="str">
        <f t="shared" si="0"/>
        <v>3_7</v>
      </c>
      <c r="J43" s="7">
        <v>900</v>
      </c>
      <c r="K43" s="7">
        <v>11430</v>
      </c>
      <c r="L43" s="38">
        <f t="shared" si="1"/>
        <v>2190</v>
      </c>
    </row>
    <row r="44" spans="7:12" x14ac:dyDescent="0.15">
      <c r="G44" s="7">
        <v>3</v>
      </c>
      <c r="H44" s="7">
        <v>8</v>
      </c>
      <c r="I44" s="7" t="str">
        <f t="shared" si="0"/>
        <v>3_8</v>
      </c>
      <c r="J44" s="7">
        <v>1200</v>
      </c>
      <c r="K44" s="7">
        <v>15240</v>
      </c>
      <c r="L44" s="38">
        <f t="shared" si="1"/>
        <v>3390</v>
      </c>
    </row>
    <row r="45" spans="7:12" x14ac:dyDescent="0.15">
      <c r="G45" s="7">
        <v>3</v>
      </c>
      <c r="H45" s="7">
        <v>9</v>
      </c>
      <c r="I45" s="7" t="str">
        <f t="shared" si="0"/>
        <v>3_9</v>
      </c>
      <c r="J45" s="7">
        <v>1500</v>
      </c>
      <c r="K45" s="7">
        <v>19050</v>
      </c>
      <c r="L45" s="38">
        <f t="shared" si="1"/>
        <v>4890</v>
      </c>
    </row>
    <row r="46" spans="7:12" x14ac:dyDescent="0.15">
      <c r="G46" s="7">
        <v>3</v>
      </c>
      <c r="H46" s="7">
        <v>10</v>
      </c>
      <c r="I46" s="7" t="str">
        <f t="shared" si="0"/>
        <v>3_10</v>
      </c>
      <c r="J46" s="7">
        <v>1750</v>
      </c>
      <c r="K46" s="7">
        <v>22860</v>
      </c>
      <c r="L46" s="38">
        <f t="shared" si="1"/>
        <v>6640</v>
      </c>
    </row>
    <row r="47" spans="7:12" x14ac:dyDescent="0.15">
      <c r="G47" s="7">
        <v>3</v>
      </c>
      <c r="H47" s="7">
        <v>11</v>
      </c>
      <c r="I47" s="7" t="str">
        <f t="shared" si="0"/>
        <v>3_11</v>
      </c>
      <c r="J47" s="7">
        <v>3650</v>
      </c>
      <c r="K47" s="7">
        <v>31710</v>
      </c>
      <c r="L47" s="38">
        <f t="shared" si="1"/>
        <v>10290</v>
      </c>
    </row>
    <row r="48" spans="7:12" x14ac:dyDescent="0.15">
      <c r="G48" s="7">
        <v>3</v>
      </c>
      <c r="H48" s="7">
        <v>12</v>
      </c>
      <c r="I48" s="7" t="str">
        <f t="shared" si="0"/>
        <v>3_12</v>
      </c>
      <c r="J48" s="7">
        <v>5500</v>
      </c>
      <c r="K48" s="7">
        <v>47580</v>
      </c>
      <c r="L48" s="38">
        <f t="shared" si="1"/>
        <v>15790</v>
      </c>
    </row>
    <row r="49" spans="7:12" x14ac:dyDescent="0.15">
      <c r="G49" s="7">
        <v>3</v>
      </c>
      <c r="H49" s="7">
        <v>13</v>
      </c>
      <c r="I49" s="7" t="str">
        <f t="shared" si="0"/>
        <v>3_13</v>
      </c>
      <c r="J49" s="7">
        <v>7300</v>
      </c>
      <c r="K49" s="7">
        <v>63420</v>
      </c>
      <c r="L49" s="38">
        <f t="shared" si="1"/>
        <v>23090</v>
      </c>
    </row>
    <row r="50" spans="7:12" x14ac:dyDescent="0.15">
      <c r="G50" s="7">
        <v>3</v>
      </c>
      <c r="H50" s="7">
        <v>14</v>
      </c>
      <c r="I50" s="7" t="str">
        <f t="shared" si="0"/>
        <v>3_14</v>
      </c>
      <c r="J50" s="7">
        <v>9100</v>
      </c>
      <c r="K50" s="7">
        <v>79290</v>
      </c>
      <c r="L50" s="38">
        <f t="shared" si="1"/>
        <v>32190</v>
      </c>
    </row>
    <row r="51" spans="7:12" x14ac:dyDescent="0.15">
      <c r="G51" s="7">
        <v>3</v>
      </c>
      <c r="H51" s="7">
        <v>15</v>
      </c>
      <c r="I51" s="7" t="str">
        <f t="shared" si="0"/>
        <v>3_15</v>
      </c>
      <c r="J51" s="7">
        <v>11000</v>
      </c>
      <c r="K51" s="7">
        <v>95160</v>
      </c>
      <c r="L51" s="38">
        <f t="shared" si="1"/>
        <v>43190</v>
      </c>
    </row>
    <row r="52" spans="7:12" x14ac:dyDescent="0.15">
      <c r="G52" s="7">
        <v>3</v>
      </c>
      <c r="H52" s="7">
        <v>16</v>
      </c>
      <c r="I52" s="7" t="str">
        <f t="shared" si="0"/>
        <v>3_16</v>
      </c>
      <c r="J52" s="7">
        <v>13750</v>
      </c>
      <c r="K52" s="7">
        <v>105250</v>
      </c>
      <c r="L52" s="38">
        <f t="shared" si="1"/>
        <v>56940</v>
      </c>
    </row>
    <row r="53" spans="7:12" x14ac:dyDescent="0.15">
      <c r="G53" s="7">
        <v>3</v>
      </c>
      <c r="H53" s="7">
        <v>17</v>
      </c>
      <c r="I53" s="7" t="str">
        <f t="shared" si="0"/>
        <v>3_17</v>
      </c>
      <c r="J53" s="7">
        <v>15000</v>
      </c>
      <c r="K53" s="7">
        <v>110250</v>
      </c>
      <c r="L53" s="38">
        <f t="shared" si="1"/>
        <v>71940</v>
      </c>
    </row>
    <row r="54" spans="7:12" x14ac:dyDescent="0.15">
      <c r="G54" s="7">
        <v>3</v>
      </c>
      <c r="H54" s="7">
        <v>18</v>
      </c>
      <c r="I54" s="7" t="str">
        <f t="shared" si="0"/>
        <v>3_18</v>
      </c>
      <c r="J54" s="7">
        <v>16250</v>
      </c>
      <c r="K54" s="7">
        <v>115250</v>
      </c>
      <c r="L54" s="38">
        <f t="shared" si="1"/>
        <v>88190</v>
      </c>
    </row>
    <row r="55" spans="7:12" x14ac:dyDescent="0.15">
      <c r="G55" s="7">
        <v>3</v>
      </c>
      <c r="H55" s="7">
        <v>19</v>
      </c>
      <c r="I55" s="7" t="str">
        <f t="shared" si="0"/>
        <v>3_19</v>
      </c>
      <c r="J55" s="7">
        <v>17500</v>
      </c>
      <c r="K55" s="7">
        <v>120250</v>
      </c>
      <c r="L55" s="38">
        <f t="shared" si="1"/>
        <v>105690</v>
      </c>
    </row>
    <row r="56" spans="7:12" x14ac:dyDescent="0.15">
      <c r="G56" s="7">
        <v>3</v>
      </c>
      <c r="H56" s="7">
        <v>20</v>
      </c>
      <c r="I56" s="7" t="str">
        <f t="shared" si="0"/>
        <v>3_20</v>
      </c>
      <c r="J56" s="7">
        <v>20250</v>
      </c>
      <c r="K56" s="7">
        <v>125250</v>
      </c>
      <c r="L56" s="38">
        <f t="shared" si="1"/>
        <v>125940</v>
      </c>
    </row>
    <row r="57" spans="7:12" x14ac:dyDescent="0.15">
      <c r="G57" s="7">
        <v>3</v>
      </c>
      <c r="H57" s="7">
        <v>21</v>
      </c>
      <c r="I57" s="7" t="str">
        <f t="shared" si="0"/>
        <v>3_21</v>
      </c>
      <c r="J57" s="7">
        <v>24900</v>
      </c>
      <c r="K57" s="7">
        <v>156300</v>
      </c>
      <c r="L57" s="38">
        <f t="shared" si="1"/>
        <v>150840</v>
      </c>
    </row>
    <row r="58" spans="7:12" x14ac:dyDescent="0.15">
      <c r="G58" s="7">
        <v>3</v>
      </c>
      <c r="H58" s="7">
        <v>22</v>
      </c>
      <c r="I58" s="7" t="str">
        <f t="shared" si="0"/>
        <v>3_22</v>
      </c>
      <c r="J58" s="7">
        <v>25500</v>
      </c>
      <c r="K58" s="7">
        <v>162300</v>
      </c>
      <c r="L58" s="38">
        <f t="shared" si="1"/>
        <v>176340</v>
      </c>
    </row>
    <row r="59" spans="7:12" x14ac:dyDescent="0.15">
      <c r="G59" s="7">
        <v>3</v>
      </c>
      <c r="H59" s="7">
        <v>23</v>
      </c>
      <c r="I59" s="7" t="str">
        <f t="shared" si="0"/>
        <v>3_23</v>
      </c>
      <c r="J59" s="7">
        <v>27000</v>
      </c>
      <c r="K59" s="7">
        <v>168300</v>
      </c>
      <c r="L59" s="38">
        <f t="shared" si="1"/>
        <v>203340</v>
      </c>
    </row>
    <row r="60" spans="7:12" x14ac:dyDescent="0.15">
      <c r="G60" s="7">
        <v>3</v>
      </c>
      <c r="H60" s="7">
        <v>24</v>
      </c>
      <c r="I60" s="7" t="str">
        <f t="shared" si="0"/>
        <v>3_24</v>
      </c>
      <c r="J60" s="7">
        <v>28500</v>
      </c>
      <c r="K60" s="7">
        <v>174300</v>
      </c>
      <c r="L60" s="38">
        <f t="shared" si="1"/>
        <v>231840</v>
      </c>
    </row>
    <row r="61" spans="7:12" x14ac:dyDescent="0.15">
      <c r="G61" s="7">
        <v>3</v>
      </c>
      <c r="H61" s="7">
        <v>25</v>
      </c>
      <c r="I61" s="7" t="str">
        <f t="shared" si="0"/>
        <v>3_25</v>
      </c>
      <c r="J61" s="7">
        <v>30000</v>
      </c>
      <c r="K61" s="7">
        <v>180300</v>
      </c>
      <c r="L61" s="38">
        <f t="shared" si="1"/>
        <v>261840</v>
      </c>
    </row>
    <row r="62" spans="7:12" x14ac:dyDescent="0.15">
      <c r="G62" s="7">
        <v>3</v>
      </c>
      <c r="H62" s="7">
        <v>26</v>
      </c>
      <c r="I62" s="7" t="str">
        <f t="shared" si="0"/>
        <v>3_26</v>
      </c>
      <c r="J62" s="7">
        <v>36750</v>
      </c>
      <c r="K62" s="7">
        <v>217350</v>
      </c>
      <c r="L62" s="38">
        <f t="shared" si="1"/>
        <v>298590</v>
      </c>
    </row>
    <row r="63" spans="7:12" x14ac:dyDescent="0.15">
      <c r="G63" s="7">
        <v>3</v>
      </c>
      <c r="H63" s="7">
        <v>27</v>
      </c>
      <c r="I63" s="7" t="str">
        <f t="shared" si="0"/>
        <v>3_27</v>
      </c>
      <c r="J63" s="7">
        <v>38500</v>
      </c>
      <c r="K63" s="7">
        <v>224350</v>
      </c>
      <c r="L63" s="38">
        <f t="shared" si="1"/>
        <v>337090</v>
      </c>
    </row>
    <row r="64" spans="7:12" x14ac:dyDescent="0.15">
      <c r="G64" s="7">
        <v>3</v>
      </c>
      <c r="H64" s="7">
        <v>28</v>
      </c>
      <c r="I64" s="7" t="str">
        <f t="shared" si="0"/>
        <v>3_28</v>
      </c>
      <c r="J64" s="7">
        <v>40250</v>
      </c>
      <c r="K64" s="7">
        <v>231350</v>
      </c>
      <c r="L64" s="38">
        <f t="shared" si="1"/>
        <v>377340</v>
      </c>
    </row>
    <row r="65" spans="7:12" x14ac:dyDescent="0.15">
      <c r="G65" s="7">
        <v>3</v>
      </c>
      <c r="H65" s="7">
        <v>29</v>
      </c>
      <c r="I65" s="7" t="str">
        <f t="shared" si="0"/>
        <v>3_29</v>
      </c>
      <c r="J65" s="7">
        <v>42000</v>
      </c>
      <c r="K65" s="7">
        <v>238350</v>
      </c>
      <c r="L65" s="38">
        <f t="shared" si="1"/>
        <v>419340</v>
      </c>
    </row>
    <row r="66" spans="7:12" x14ac:dyDescent="0.15">
      <c r="G66" s="7">
        <v>3</v>
      </c>
      <c r="H66" s="7">
        <v>30</v>
      </c>
      <c r="I66" s="7" t="str">
        <f t="shared" si="0"/>
        <v>3_30</v>
      </c>
      <c r="J66" s="7">
        <v>43750</v>
      </c>
      <c r="K66" s="7">
        <v>245350</v>
      </c>
      <c r="L66" s="38">
        <f t="shared" si="1"/>
        <v>463090</v>
      </c>
    </row>
  </sheetData>
  <phoneticPr fontId="32" type="noConversion"/>
  <conditionalFormatting sqref="K2:L61 L62:L66">
    <cfRule type="dataBar" priority="11">
      <dataBar>
        <cfvo type="min"/>
        <cfvo type="max"/>
        <color rgb="FF63C384"/>
      </dataBar>
      <extLst>
        <ext xmlns:x14="http://schemas.microsoft.com/office/spreadsheetml/2009/9/main" uri="{B025F937-C7B1-47D3-B67F-A62EFF666E3E}">
          <x14:id>{CE0429B1-AC2C-4415-AF3F-DB10E7FFFF27}</x14:id>
        </ext>
      </extLst>
    </cfRule>
  </conditionalFormatting>
  <conditionalFormatting sqref="J2:J61">
    <cfRule type="dataBar" priority="10">
      <dataBar>
        <cfvo type="min"/>
        <cfvo type="max"/>
        <color rgb="FFFFB628"/>
      </dataBar>
      <extLst>
        <ext xmlns:x14="http://schemas.microsoft.com/office/spreadsheetml/2009/9/main" uri="{B025F937-C7B1-47D3-B67F-A62EFF666E3E}">
          <x14:id>{D27344AF-45C3-4671-B9CE-9798924320A0}</x14:id>
        </ext>
      </extLst>
    </cfRule>
  </conditionalFormatting>
  <conditionalFormatting sqref="V2:V31">
    <cfRule type="dataBar" priority="7">
      <dataBar>
        <cfvo type="min"/>
        <cfvo type="max"/>
        <color rgb="FFFFB628"/>
      </dataBar>
      <extLst>
        <ext xmlns:x14="http://schemas.microsoft.com/office/spreadsheetml/2009/9/main" uri="{B025F937-C7B1-47D3-B67F-A62EFF666E3E}">
          <x14:id>{7FE132D1-BB2A-4725-B899-D482A542CF7E}</x14:id>
        </ext>
      </extLst>
    </cfRule>
  </conditionalFormatting>
  <conditionalFormatting sqref="W2:W31">
    <cfRule type="dataBar" priority="6">
      <dataBar>
        <cfvo type="min"/>
        <cfvo type="max"/>
        <color rgb="FFFFB628"/>
      </dataBar>
      <extLst>
        <ext xmlns:x14="http://schemas.microsoft.com/office/spreadsheetml/2009/9/main" uri="{B025F937-C7B1-47D3-B67F-A62EFF666E3E}">
          <x14:id>{1863C6A4-661E-4B0D-9C34-39EAC51E6D33}</x14:id>
        </ext>
      </extLst>
    </cfRule>
  </conditionalFormatting>
  <conditionalFormatting sqref="K62:K66">
    <cfRule type="dataBar" priority="5">
      <dataBar>
        <cfvo type="min"/>
        <cfvo type="max"/>
        <color rgb="FF63C384"/>
      </dataBar>
      <extLst>
        <ext xmlns:x14="http://schemas.microsoft.com/office/spreadsheetml/2009/9/main" uri="{B025F937-C7B1-47D3-B67F-A62EFF666E3E}">
          <x14:id>{7D269B9F-EFA9-473D-A433-BCB67DE2ED61}</x14:id>
        </ext>
      </extLst>
    </cfRule>
  </conditionalFormatting>
  <conditionalFormatting sqref="J62:J66">
    <cfRule type="dataBar" priority="4">
      <dataBar>
        <cfvo type="min"/>
        <cfvo type="max"/>
        <color rgb="FFFFB628"/>
      </dataBar>
      <extLst>
        <ext xmlns:x14="http://schemas.microsoft.com/office/spreadsheetml/2009/9/main" uri="{B025F937-C7B1-47D3-B67F-A62EFF666E3E}">
          <x14:id>{0F00AC17-CC69-4FFF-8D4A-75726B838894}</x14:id>
        </ext>
      </extLst>
    </cfRule>
  </conditionalFormatting>
  <conditionalFormatting sqref="J37:J66">
    <cfRule type="dataBar" priority="3">
      <dataBar>
        <cfvo type="min"/>
        <cfvo type="max"/>
        <color rgb="FFFFB628"/>
      </dataBar>
      <extLst>
        <ext xmlns:x14="http://schemas.microsoft.com/office/spreadsheetml/2009/9/main" uri="{B025F937-C7B1-47D3-B67F-A62EFF666E3E}">
          <x14:id>{3E1026EF-0CF4-4DB6-81C4-688E33D480D7}</x14:id>
        </ext>
      </extLst>
    </cfRule>
  </conditionalFormatting>
  <conditionalFormatting sqref="K37:K66">
    <cfRule type="dataBar" priority="2">
      <dataBar>
        <cfvo type="min"/>
        <cfvo type="max"/>
        <color rgb="FF63C384"/>
      </dataBar>
      <extLst>
        <ext xmlns:x14="http://schemas.microsoft.com/office/spreadsheetml/2009/9/main" uri="{B025F937-C7B1-47D3-B67F-A62EFF666E3E}">
          <x14:id>{E5F8E739-0274-4BD8-B0A7-8C91F2CFDAE2}</x14:id>
        </ext>
      </extLst>
    </cfRule>
  </conditionalFormatting>
  <conditionalFormatting sqref="X2:X31">
    <cfRule type="dataBar" priority="1">
      <dataBar>
        <cfvo type="min"/>
        <cfvo type="max"/>
        <color rgb="FF638EC6"/>
      </dataBar>
      <extLst>
        <ext xmlns:x14="http://schemas.microsoft.com/office/spreadsheetml/2009/9/main" uri="{B025F937-C7B1-47D3-B67F-A62EFF666E3E}">
          <x14:id>{ADD88853-7D54-441F-83FA-A5F62414D23A}</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CE0429B1-AC2C-4415-AF3F-DB10E7FFFF27}">
            <x14:dataBar minLength="0" maxLength="100" gradient="0">
              <x14:cfvo type="autoMin"/>
              <x14:cfvo type="autoMax"/>
              <x14:negativeFillColor rgb="FFFF0000"/>
              <x14:axisColor rgb="FF000000"/>
            </x14:dataBar>
          </x14:cfRule>
          <xm:sqref>K2:L61 L62:L66</xm:sqref>
        </x14:conditionalFormatting>
        <x14:conditionalFormatting xmlns:xm="http://schemas.microsoft.com/office/excel/2006/main">
          <x14:cfRule type="dataBar" id="{D27344AF-45C3-4671-B9CE-9798924320A0}">
            <x14:dataBar minLength="0" maxLength="100" gradient="0">
              <x14:cfvo type="autoMin"/>
              <x14:cfvo type="autoMax"/>
              <x14:negativeFillColor rgb="FFFF0000"/>
              <x14:axisColor rgb="FF000000"/>
            </x14:dataBar>
          </x14:cfRule>
          <xm:sqref>J2:J61</xm:sqref>
        </x14:conditionalFormatting>
        <x14:conditionalFormatting xmlns:xm="http://schemas.microsoft.com/office/excel/2006/main">
          <x14:cfRule type="dataBar" id="{7FE132D1-BB2A-4725-B899-D482A542CF7E}">
            <x14:dataBar minLength="0" maxLength="100" gradient="0">
              <x14:cfvo type="autoMin"/>
              <x14:cfvo type="autoMax"/>
              <x14:negativeFillColor rgb="FFFF0000"/>
              <x14:axisColor rgb="FF000000"/>
            </x14:dataBar>
          </x14:cfRule>
          <xm:sqref>V2:V31</xm:sqref>
        </x14:conditionalFormatting>
        <x14:conditionalFormatting xmlns:xm="http://schemas.microsoft.com/office/excel/2006/main">
          <x14:cfRule type="dataBar" id="{1863C6A4-661E-4B0D-9C34-39EAC51E6D33}">
            <x14:dataBar minLength="0" maxLength="100" gradient="0">
              <x14:cfvo type="autoMin"/>
              <x14:cfvo type="autoMax"/>
              <x14:negativeFillColor rgb="FFFF0000"/>
              <x14:axisColor rgb="FF000000"/>
            </x14:dataBar>
          </x14:cfRule>
          <xm:sqref>W2:W31</xm:sqref>
        </x14:conditionalFormatting>
        <x14:conditionalFormatting xmlns:xm="http://schemas.microsoft.com/office/excel/2006/main">
          <x14:cfRule type="dataBar" id="{7D269B9F-EFA9-473D-A433-BCB67DE2ED61}">
            <x14:dataBar minLength="0" maxLength="100" gradient="0">
              <x14:cfvo type="autoMin"/>
              <x14:cfvo type="autoMax"/>
              <x14:negativeFillColor rgb="FFFF0000"/>
              <x14:axisColor rgb="FF000000"/>
            </x14:dataBar>
          </x14:cfRule>
          <xm:sqref>K62:K66</xm:sqref>
        </x14:conditionalFormatting>
        <x14:conditionalFormatting xmlns:xm="http://schemas.microsoft.com/office/excel/2006/main">
          <x14:cfRule type="dataBar" id="{0F00AC17-CC69-4FFF-8D4A-75726B838894}">
            <x14:dataBar minLength="0" maxLength="100" gradient="0">
              <x14:cfvo type="autoMin"/>
              <x14:cfvo type="autoMax"/>
              <x14:negativeFillColor rgb="FFFF0000"/>
              <x14:axisColor rgb="FF000000"/>
            </x14:dataBar>
          </x14:cfRule>
          <xm:sqref>J62:J66</xm:sqref>
        </x14:conditionalFormatting>
        <x14:conditionalFormatting xmlns:xm="http://schemas.microsoft.com/office/excel/2006/main">
          <x14:cfRule type="dataBar" id="{3E1026EF-0CF4-4DB6-81C4-688E33D480D7}">
            <x14:dataBar minLength="0" maxLength="100" gradient="0">
              <x14:cfvo type="autoMin"/>
              <x14:cfvo type="autoMax"/>
              <x14:negativeFillColor rgb="FFFF0000"/>
              <x14:axisColor rgb="FF000000"/>
            </x14:dataBar>
          </x14:cfRule>
          <xm:sqref>J37:J66</xm:sqref>
        </x14:conditionalFormatting>
        <x14:conditionalFormatting xmlns:xm="http://schemas.microsoft.com/office/excel/2006/main">
          <x14:cfRule type="dataBar" id="{E5F8E739-0274-4BD8-B0A7-8C91F2CFDAE2}">
            <x14:dataBar minLength="0" maxLength="100" gradient="0">
              <x14:cfvo type="autoMin"/>
              <x14:cfvo type="autoMax"/>
              <x14:negativeFillColor rgb="FFFF0000"/>
              <x14:axisColor rgb="FF000000"/>
            </x14:dataBar>
          </x14:cfRule>
          <xm:sqref>K37:K66</xm:sqref>
        </x14:conditionalFormatting>
        <x14:conditionalFormatting xmlns:xm="http://schemas.microsoft.com/office/excel/2006/main">
          <x14:cfRule type="dataBar" id="{ADD88853-7D54-441F-83FA-A5F62414D23A}">
            <x14:dataBar minLength="0" maxLength="100" gradient="0">
              <x14:cfvo type="autoMin"/>
              <x14:cfvo type="autoMax"/>
              <x14:negativeFillColor rgb="FFFF0000"/>
              <x14:axisColor rgb="FF000000"/>
            </x14:dataBar>
          </x14:cfRule>
          <xm:sqref>X2:X31</xm:sqref>
        </x14:conditionalFormatting>
      </x14:conditionalFormattings>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1CB17E-9FFD-4781-8C4F-69E18D561426}">
  <sheetPr codeName="Sheet1"/>
  <dimension ref="A1:AO1083"/>
  <sheetViews>
    <sheetView workbookViewId="0">
      <selection activeCell="AE4" sqref="AE4"/>
    </sheetView>
  </sheetViews>
  <sheetFormatPr defaultRowHeight="14.25" x14ac:dyDescent="0.3"/>
  <cols>
    <col min="1" max="30" width="9" style="275"/>
    <col min="31" max="31" width="10.5" style="275" bestFit="1" customWidth="1"/>
    <col min="32" max="32" width="13.875" style="275" bestFit="1" customWidth="1"/>
    <col min="33" max="33" width="8.875" style="275" bestFit="1" customWidth="1"/>
    <col min="34" max="35" width="9" style="275"/>
    <col min="36" max="36" width="15.5" style="275" bestFit="1" customWidth="1"/>
    <col min="37" max="37" width="13.875" style="275" bestFit="1" customWidth="1"/>
    <col min="38" max="38" width="11.25" style="275" bestFit="1" customWidth="1"/>
    <col min="39" max="39" width="9" style="275"/>
    <col min="40" max="40" width="11.25" style="275" bestFit="1" customWidth="1"/>
    <col min="41" max="16384" width="9" style="275"/>
  </cols>
  <sheetData>
    <row r="1" spans="1:41" x14ac:dyDescent="0.3">
      <c r="A1" s="273" t="s">
        <v>3781</v>
      </c>
      <c r="B1" s="273" t="s">
        <v>3781</v>
      </c>
      <c r="C1" s="274" t="s">
        <v>3782</v>
      </c>
      <c r="D1" s="274" t="s">
        <v>3783</v>
      </c>
      <c r="F1" s="276" t="s">
        <v>3784</v>
      </c>
      <c r="G1" s="276" t="s">
        <v>3785</v>
      </c>
      <c r="H1" s="276" t="s">
        <v>3786</v>
      </c>
      <c r="I1" s="276" t="s">
        <v>3787</v>
      </c>
      <c r="S1" s="276" t="s">
        <v>3788</v>
      </c>
      <c r="T1" s="276" t="s">
        <v>3789</v>
      </c>
      <c r="U1" s="276" t="s">
        <v>3790</v>
      </c>
      <c r="V1" s="276" t="s">
        <v>3791</v>
      </c>
      <c r="X1" s="276" t="s">
        <v>3792</v>
      </c>
      <c r="Y1" s="276" t="s">
        <v>1390</v>
      </c>
      <c r="Z1" s="276" t="s">
        <v>1391</v>
      </c>
      <c r="AA1" s="276" t="s">
        <v>3793</v>
      </c>
      <c r="AB1" s="276" t="s">
        <v>1400</v>
      </c>
      <c r="AD1" s="277" t="s">
        <v>3790</v>
      </c>
      <c r="AE1" s="277" t="s">
        <v>3794</v>
      </c>
      <c r="AF1" s="277" t="s">
        <v>3795</v>
      </c>
      <c r="AG1" s="277" t="s">
        <v>3796</v>
      </c>
      <c r="AI1" s="276" t="s">
        <v>726</v>
      </c>
      <c r="AJ1" s="276" t="s">
        <v>3797</v>
      </c>
      <c r="AK1" s="276" t="s">
        <v>3798</v>
      </c>
      <c r="AL1" s="276" t="s">
        <v>3799</v>
      </c>
      <c r="AM1" s="276" t="s">
        <v>3800</v>
      </c>
      <c r="AN1" s="276" t="s">
        <v>3801</v>
      </c>
      <c r="AO1" s="276" t="s">
        <v>762</v>
      </c>
    </row>
    <row r="2" spans="1:41" x14ac:dyDescent="0.3">
      <c r="A2" s="276" t="s">
        <v>3802</v>
      </c>
      <c r="B2" s="276">
        <v>1</v>
      </c>
      <c r="C2" s="276">
        <v>1</v>
      </c>
      <c r="D2" s="276">
        <v>3</v>
      </c>
      <c r="F2" s="276">
        <v>1</v>
      </c>
      <c r="G2" s="276">
        <v>5</v>
      </c>
      <c r="H2" s="276">
        <v>250</v>
      </c>
      <c r="I2" s="276">
        <v>50</v>
      </c>
      <c r="S2" s="276">
        <v>1</v>
      </c>
      <c r="T2" s="276">
        <v>1110</v>
      </c>
      <c r="U2" s="276">
        <v>1</v>
      </c>
      <c r="V2" s="276">
        <v>101</v>
      </c>
      <c r="X2" s="276">
        <v>1</v>
      </c>
      <c r="Y2" s="276">
        <v>10</v>
      </c>
      <c r="Z2" s="276">
        <v>10</v>
      </c>
      <c r="AA2" s="276">
        <v>180</v>
      </c>
      <c r="AB2" s="276">
        <v>70</v>
      </c>
      <c r="AD2" s="278">
        <v>1</v>
      </c>
      <c r="AE2" s="276" t="s">
        <v>3803</v>
      </c>
      <c r="AF2" s="276" t="s">
        <v>3800</v>
      </c>
      <c r="AG2" s="276">
        <v>116</v>
      </c>
      <c r="AI2" s="276"/>
      <c r="AJ2" s="276">
        <v>106</v>
      </c>
      <c r="AK2" s="276">
        <v>105</v>
      </c>
      <c r="AL2" s="276">
        <v>109</v>
      </c>
      <c r="AM2" s="276">
        <v>116</v>
      </c>
      <c r="AN2" s="276">
        <v>108</v>
      </c>
      <c r="AO2" s="276">
        <v>110</v>
      </c>
    </row>
    <row r="3" spans="1:41" x14ac:dyDescent="0.3">
      <c r="A3" s="276" t="s">
        <v>606</v>
      </c>
      <c r="B3" s="276">
        <v>2</v>
      </c>
      <c r="C3" s="276">
        <v>2</v>
      </c>
      <c r="D3" s="276">
        <v>4</v>
      </c>
      <c r="F3" s="276">
        <v>2</v>
      </c>
      <c r="G3" s="276">
        <v>10</v>
      </c>
      <c r="H3" s="276">
        <v>350</v>
      </c>
      <c r="I3" s="276">
        <v>80</v>
      </c>
      <c r="J3" s="275" t="s">
        <v>3804</v>
      </c>
      <c r="K3" s="279" t="s">
        <v>2268</v>
      </c>
      <c r="L3" s="280" t="s">
        <v>1392</v>
      </c>
      <c r="M3" s="280"/>
      <c r="N3" s="281" t="s">
        <v>3805</v>
      </c>
      <c r="O3" s="281" t="s">
        <v>2268</v>
      </c>
      <c r="P3" s="282" t="s">
        <v>1388</v>
      </c>
      <c r="Q3" s="275" t="s">
        <v>3806</v>
      </c>
      <c r="S3" s="276">
        <v>2</v>
      </c>
      <c r="T3" s="276">
        <v>1120</v>
      </c>
      <c r="U3" s="276">
        <v>2</v>
      </c>
      <c r="V3" s="276">
        <v>101</v>
      </c>
      <c r="X3" s="276">
        <v>2</v>
      </c>
      <c r="Y3" s="276">
        <v>10</v>
      </c>
      <c r="Z3" s="276">
        <v>20</v>
      </c>
      <c r="AA3" s="276">
        <v>1740</v>
      </c>
      <c r="AB3" s="276">
        <v>100</v>
      </c>
      <c r="AD3" s="278">
        <v>2</v>
      </c>
      <c r="AE3" s="276" t="s">
        <v>3807</v>
      </c>
      <c r="AF3" s="276" t="s">
        <v>3801</v>
      </c>
      <c r="AG3" s="276">
        <v>108</v>
      </c>
      <c r="AI3" s="276">
        <v>1</v>
      </c>
      <c r="AJ3" s="276">
        <v>3.5714285714285712E-2</v>
      </c>
      <c r="AK3" s="276">
        <v>3.5714285714285712E-2</v>
      </c>
      <c r="AL3" s="276">
        <v>4.7142857142857146E-2</v>
      </c>
      <c r="AM3" s="276">
        <v>-2.4285714285714289E-2</v>
      </c>
      <c r="AN3" s="276">
        <v>-0.02</v>
      </c>
      <c r="AO3" s="276">
        <v>2.1428571428571429E-2</v>
      </c>
    </row>
    <row r="4" spans="1:41" x14ac:dyDescent="0.3">
      <c r="A4" s="276" t="s">
        <v>610</v>
      </c>
      <c r="B4" s="276">
        <v>3</v>
      </c>
      <c r="C4" s="276">
        <v>3</v>
      </c>
      <c r="D4" s="276">
        <v>5</v>
      </c>
      <c r="F4" s="276">
        <v>3</v>
      </c>
      <c r="G4" s="276">
        <v>15</v>
      </c>
      <c r="H4" s="276">
        <v>2100</v>
      </c>
      <c r="I4" s="276">
        <v>170</v>
      </c>
      <c r="J4" s="275">
        <v>1</v>
      </c>
      <c r="K4" s="275">
        <v>1110</v>
      </c>
      <c r="L4" s="275">
        <v>1</v>
      </c>
      <c r="M4" s="275">
        <f>J4</f>
        <v>1</v>
      </c>
      <c r="N4" s="275">
        <v>1</v>
      </c>
      <c r="O4" s="275">
        <v>1110</v>
      </c>
      <c r="P4" s="275">
        <v>1</v>
      </c>
      <c r="Q4" s="275">
        <f>N4</f>
        <v>1</v>
      </c>
      <c r="S4" s="276">
        <v>3</v>
      </c>
      <c r="T4" s="276">
        <v>1130</v>
      </c>
      <c r="U4" s="276">
        <v>3</v>
      </c>
      <c r="V4" s="276">
        <v>100</v>
      </c>
      <c r="X4" s="276">
        <v>3</v>
      </c>
      <c r="Y4" s="276">
        <v>10</v>
      </c>
      <c r="Z4" s="276">
        <v>30</v>
      </c>
      <c r="AA4" s="276">
        <v>3450</v>
      </c>
      <c r="AB4" s="276">
        <v>140</v>
      </c>
      <c r="AD4" s="278">
        <v>3</v>
      </c>
      <c r="AE4" s="276" t="s">
        <v>3808</v>
      </c>
      <c r="AF4" s="276" t="s">
        <v>3809</v>
      </c>
      <c r="AG4" s="276">
        <v>106</v>
      </c>
      <c r="AI4" s="276">
        <v>2</v>
      </c>
      <c r="AJ4" s="276">
        <v>7.1428571428571425E-2</v>
      </c>
      <c r="AK4" s="276">
        <v>7.1428571428571425E-2</v>
      </c>
      <c r="AL4" s="276">
        <v>9.4285714285714292E-2</v>
      </c>
      <c r="AM4" s="276">
        <v>-4.8571428571428578E-2</v>
      </c>
      <c r="AN4" s="276">
        <v>-0.04</v>
      </c>
      <c r="AO4" s="276">
        <v>4.2857142857142858E-2</v>
      </c>
    </row>
    <row r="5" spans="1:41" x14ac:dyDescent="0.3">
      <c r="A5" s="276" t="s">
        <v>3815</v>
      </c>
      <c r="B5" s="276">
        <v>4</v>
      </c>
      <c r="C5" s="276">
        <v>4</v>
      </c>
      <c r="D5" s="276">
        <v>6</v>
      </c>
      <c r="F5" s="276">
        <v>4</v>
      </c>
      <c r="G5" s="276">
        <v>20</v>
      </c>
      <c r="H5" s="276">
        <v>7500</v>
      </c>
      <c r="I5" s="276">
        <v>290</v>
      </c>
      <c r="J5" s="275">
        <v>2</v>
      </c>
      <c r="K5" s="275">
        <v>1110</v>
      </c>
      <c r="L5" s="275">
        <v>2</v>
      </c>
      <c r="M5" s="275">
        <f t="shared" ref="M5:M68" si="0">J5</f>
        <v>2</v>
      </c>
      <c r="N5" s="275">
        <v>2</v>
      </c>
      <c r="O5" s="275">
        <v>1110</v>
      </c>
      <c r="P5" s="275">
        <v>2</v>
      </c>
      <c r="Q5" s="275">
        <f t="shared" ref="Q5:Q68" si="1">N5</f>
        <v>2</v>
      </c>
      <c r="S5" s="276">
        <v>4</v>
      </c>
      <c r="T5" s="276">
        <v>1140</v>
      </c>
      <c r="U5" s="276">
        <v>4</v>
      </c>
      <c r="V5" s="276">
        <v>100</v>
      </c>
      <c r="X5" s="276">
        <v>4</v>
      </c>
      <c r="Y5" s="276">
        <v>10</v>
      </c>
      <c r="Z5" s="276">
        <v>40</v>
      </c>
      <c r="AA5" s="276">
        <v>5190</v>
      </c>
      <c r="AB5" s="276">
        <v>170</v>
      </c>
      <c r="AD5" s="278">
        <v>4</v>
      </c>
      <c r="AE5" s="276" t="s">
        <v>3810</v>
      </c>
      <c r="AF5" s="276" t="s">
        <v>3811</v>
      </c>
      <c r="AG5" s="276">
        <v>109</v>
      </c>
      <c r="AI5" s="276">
        <v>3</v>
      </c>
      <c r="AJ5" s="276">
        <v>0.10714285714285714</v>
      </c>
      <c r="AK5" s="276">
        <v>0.10714285714285714</v>
      </c>
      <c r="AL5" s="276">
        <v>0.14142857142857143</v>
      </c>
      <c r="AM5" s="276">
        <v>-7.285714285714287E-2</v>
      </c>
      <c r="AN5" s="276">
        <v>-0.06</v>
      </c>
      <c r="AO5" s="276">
        <v>6.4285714285714279E-2</v>
      </c>
    </row>
    <row r="6" spans="1:41" x14ac:dyDescent="0.3">
      <c r="F6" s="276">
        <v>5</v>
      </c>
      <c r="G6" s="276">
        <v>25</v>
      </c>
      <c r="H6" s="276">
        <v>12850</v>
      </c>
      <c r="I6" s="276">
        <v>400</v>
      </c>
      <c r="J6" s="275">
        <v>3</v>
      </c>
      <c r="K6" s="275">
        <v>1110</v>
      </c>
      <c r="L6" s="275">
        <v>3</v>
      </c>
      <c r="M6" s="275">
        <f t="shared" si="0"/>
        <v>3</v>
      </c>
      <c r="N6" s="275">
        <v>3</v>
      </c>
      <c r="O6" s="275">
        <v>1110</v>
      </c>
      <c r="P6" s="275">
        <v>3</v>
      </c>
      <c r="Q6" s="275">
        <f t="shared" si="1"/>
        <v>3</v>
      </c>
      <c r="S6" s="276">
        <v>5</v>
      </c>
      <c r="T6" s="276">
        <v>1150</v>
      </c>
      <c r="U6" s="276">
        <v>5</v>
      </c>
      <c r="V6" s="276">
        <v>102</v>
      </c>
      <c r="X6" s="276">
        <v>5</v>
      </c>
      <c r="Y6" s="276">
        <v>10</v>
      </c>
      <c r="Z6" s="276">
        <v>50</v>
      </c>
      <c r="AA6" s="276">
        <v>6750</v>
      </c>
      <c r="AB6" s="276">
        <v>210</v>
      </c>
      <c r="AD6" s="278">
        <v>5</v>
      </c>
      <c r="AE6" s="276" t="s">
        <v>3812</v>
      </c>
      <c r="AF6" s="276" t="s">
        <v>3813</v>
      </c>
      <c r="AG6" s="276">
        <v>105</v>
      </c>
      <c r="AI6" s="276">
        <v>4</v>
      </c>
      <c r="AJ6" s="276">
        <v>0.14285714285714285</v>
      </c>
      <c r="AK6" s="276">
        <v>0.14285714285714285</v>
      </c>
      <c r="AL6" s="276">
        <v>0.18857142857142858</v>
      </c>
      <c r="AM6" s="276">
        <v>-9.7142857142857156E-2</v>
      </c>
      <c r="AN6" s="276">
        <v>-0.08</v>
      </c>
      <c r="AO6" s="276">
        <v>8.5714285714285715E-2</v>
      </c>
    </row>
    <row r="7" spans="1:41" x14ac:dyDescent="0.3">
      <c r="F7" s="276">
        <v>6</v>
      </c>
      <c r="G7" s="276">
        <v>30</v>
      </c>
      <c r="H7" s="276">
        <v>25000</v>
      </c>
      <c r="I7" s="276">
        <v>550</v>
      </c>
      <c r="J7" s="275">
        <v>4</v>
      </c>
      <c r="K7" s="275">
        <v>1120</v>
      </c>
      <c r="L7" s="275">
        <v>1</v>
      </c>
      <c r="M7" s="275">
        <f t="shared" si="0"/>
        <v>4</v>
      </c>
      <c r="N7" s="275">
        <v>4</v>
      </c>
      <c r="O7" s="275">
        <v>1110</v>
      </c>
      <c r="P7" s="275">
        <v>4</v>
      </c>
      <c r="Q7" s="275">
        <f t="shared" si="1"/>
        <v>4</v>
      </c>
      <c r="S7" s="276">
        <v>6</v>
      </c>
      <c r="T7" s="276">
        <v>1160</v>
      </c>
      <c r="U7" s="276">
        <v>6</v>
      </c>
      <c r="V7" s="276">
        <v>102</v>
      </c>
      <c r="X7" s="276">
        <v>6</v>
      </c>
      <c r="Y7" s="276">
        <v>15</v>
      </c>
      <c r="Z7" s="276">
        <v>65</v>
      </c>
      <c r="AA7" s="276">
        <v>7620</v>
      </c>
      <c r="AB7" s="276">
        <v>600</v>
      </c>
      <c r="AD7" s="278">
        <v>6</v>
      </c>
      <c r="AE7" s="276" t="s">
        <v>3814</v>
      </c>
      <c r="AF7" s="276" t="s">
        <v>762</v>
      </c>
      <c r="AG7" s="276">
        <v>110</v>
      </c>
      <c r="AI7" s="276">
        <v>5</v>
      </c>
      <c r="AJ7" s="276">
        <v>0.17857142857142855</v>
      </c>
      <c r="AK7" s="276">
        <v>0.17857142857142855</v>
      </c>
      <c r="AL7" s="276">
        <v>0.23571428571428574</v>
      </c>
      <c r="AM7" s="276">
        <v>-0.12142857142857144</v>
      </c>
      <c r="AN7" s="276">
        <v>-0.1</v>
      </c>
      <c r="AO7" s="276">
        <v>0.10714285714285715</v>
      </c>
    </row>
    <row r="8" spans="1:41" x14ac:dyDescent="0.3">
      <c r="J8" s="275">
        <v>5</v>
      </c>
      <c r="K8" s="275">
        <v>1120</v>
      </c>
      <c r="L8" s="275">
        <v>2</v>
      </c>
      <c r="M8" s="275">
        <f t="shared" si="0"/>
        <v>5</v>
      </c>
      <c r="N8" s="275">
        <v>5</v>
      </c>
      <c r="O8" s="275">
        <v>1110</v>
      </c>
      <c r="P8" s="275">
        <v>5</v>
      </c>
      <c r="Q8" s="275">
        <f t="shared" si="1"/>
        <v>5</v>
      </c>
      <c r="S8" s="276">
        <v>7</v>
      </c>
      <c r="T8" s="276">
        <v>1210</v>
      </c>
      <c r="U8" s="276">
        <v>1</v>
      </c>
      <c r="V8" s="276">
        <f>V2</f>
        <v>101</v>
      </c>
      <c r="X8" s="276">
        <v>7</v>
      </c>
      <c r="Y8" s="276">
        <v>15</v>
      </c>
      <c r="Z8" s="276">
        <v>80</v>
      </c>
      <c r="AA8" s="276">
        <v>11430</v>
      </c>
      <c r="AB8" s="276">
        <v>900</v>
      </c>
      <c r="AI8" s="276">
        <v>6</v>
      </c>
      <c r="AJ8" s="276">
        <v>0.21428571428571427</v>
      </c>
      <c r="AK8" s="276">
        <v>0.21428571428571427</v>
      </c>
      <c r="AL8" s="276">
        <v>0.28285714285714286</v>
      </c>
      <c r="AM8" s="276">
        <v>-0.14571428571428574</v>
      </c>
      <c r="AN8" s="276">
        <v>-0.12</v>
      </c>
      <c r="AO8" s="276">
        <v>0.12857142857142856</v>
      </c>
    </row>
    <row r="9" spans="1:41" x14ac:dyDescent="0.3">
      <c r="J9" s="275">
        <v>6</v>
      </c>
      <c r="K9" s="275">
        <v>1120</v>
      </c>
      <c r="L9" s="275">
        <v>3</v>
      </c>
      <c r="M9" s="275">
        <f t="shared" si="0"/>
        <v>6</v>
      </c>
      <c r="N9" s="275">
        <v>6</v>
      </c>
      <c r="O9" s="275">
        <v>1110</v>
      </c>
      <c r="P9" s="275">
        <v>6</v>
      </c>
      <c r="Q9" s="275">
        <f t="shared" si="1"/>
        <v>6</v>
      </c>
      <c r="S9" s="276">
        <v>8</v>
      </c>
      <c r="T9" s="276">
        <v>1220</v>
      </c>
      <c r="U9" s="276">
        <v>2</v>
      </c>
      <c r="V9" s="276">
        <f t="shared" ref="V9:V55" si="2">V3</f>
        <v>101</v>
      </c>
      <c r="X9" s="276">
        <v>8</v>
      </c>
      <c r="Y9" s="276">
        <v>15</v>
      </c>
      <c r="Z9" s="276">
        <v>95</v>
      </c>
      <c r="AA9" s="276">
        <v>15240</v>
      </c>
      <c r="AB9" s="276">
        <v>1200</v>
      </c>
      <c r="AI9" s="276">
        <v>7</v>
      </c>
      <c r="AJ9" s="276">
        <v>0.25</v>
      </c>
      <c r="AK9" s="276">
        <v>0.25</v>
      </c>
      <c r="AL9" s="276">
        <v>0.33</v>
      </c>
      <c r="AM9" s="276">
        <v>-0.17</v>
      </c>
      <c r="AN9" s="276">
        <v>-0.14000000000000001</v>
      </c>
      <c r="AO9" s="276">
        <v>0.15</v>
      </c>
    </row>
    <row r="10" spans="1:41" x14ac:dyDescent="0.3">
      <c r="J10" s="275">
        <v>7</v>
      </c>
      <c r="K10" s="275">
        <v>1130</v>
      </c>
      <c r="L10" s="275">
        <v>1</v>
      </c>
      <c r="M10" s="275">
        <f t="shared" si="0"/>
        <v>7</v>
      </c>
      <c r="N10" s="275">
        <v>7</v>
      </c>
      <c r="O10" s="275">
        <v>1110</v>
      </c>
      <c r="P10" s="275">
        <v>7</v>
      </c>
      <c r="Q10" s="275">
        <f t="shared" si="1"/>
        <v>7</v>
      </c>
      <c r="S10" s="276">
        <v>9</v>
      </c>
      <c r="T10" s="276">
        <v>1230</v>
      </c>
      <c r="U10" s="276">
        <v>3</v>
      </c>
      <c r="V10" s="276">
        <f t="shared" si="2"/>
        <v>100</v>
      </c>
      <c r="X10" s="276">
        <v>9</v>
      </c>
      <c r="Y10" s="276">
        <v>15</v>
      </c>
      <c r="Z10" s="276">
        <v>110</v>
      </c>
      <c r="AA10" s="276">
        <v>19050</v>
      </c>
      <c r="AB10" s="276">
        <v>1500</v>
      </c>
    </row>
    <row r="11" spans="1:41" x14ac:dyDescent="0.3">
      <c r="J11" s="275">
        <v>8</v>
      </c>
      <c r="K11" s="275">
        <v>1130</v>
      </c>
      <c r="L11" s="275">
        <v>2</v>
      </c>
      <c r="M11" s="275">
        <f t="shared" si="0"/>
        <v>8</v>
      </c>
      <c r="N11" s="275">
        <v>8</v>
      </c>
      <c r="O11" s="275">
        <v>1110</v>
      </c>
      <c r="P11" s="275">
        <v>8</v>
      </c>
      <c r="Q11" s="275">
        <f t="shared" si="1"/>
        <v>8</v>
      </c>
      <c r="S11" s="276">
        <v>10</v>
      </c>
      <c r="T11" s="276">
        <v>1240</v>
      </c>
      <c r="U11" s="276">
        <v>4</v>
      </c>
      <c r="V11" s="276">
        <f t="shared" si="2"/>
        <v>100</v>
      </c>
      <c r="X11" s="276">
        <v>10</v>
      </c>
      <c r="Y11" s="276">
        <v>15</v>
      </c>
      <c r="Z11" s="276">
        <v>125</v>
      </c>
      <c r="AA11" s="276">
        <v>22860</v>
      </c>
      <c r="AB11" s="276">
        <v>1750</v>
      </c>
    </row>
    <row r="12" spans="1:41" x14ac:dyDescent="0.3">
      <c r="J12" s="275">
        <v>9</v>
      </c>
      <c r="K12" s="275">
        <v>1130</v>
      </c>
      <c r="L12" s="275">
        <v>3</v>
      </c>
      <c r="M12" s="275">
        <f t="shared" si="0"/>
        <v>9</v>
      </c>
      <c r="N12" s="275">
        <v>9</v>
      </c>
      <c r="O12" s="275">
        <v>1110</v>
      </c>
      <c r="P12" s="275">
        <v>9</v>
      </c>
      <c r="Q12" s="275">
        <f t="shared" si="1"/>
        <v>9</v>
      </c>
      <c r="S12" s="276">
        <v>11</v>
      </c>
      <c r="T12" s="276">
        <v>1250</v>
      </c>
      <c r="U12" s="276">
        <v>5</v>
      </c>
      <c r="V12" s="276">
        <f t="shared" si="2"/>
        <v>102</v>
      </c>
      <c r="X12" s="276">
        <v>11</v>
      </c>
      <c r="Y12" s="276">
        <v>20</v>
      </c>
      <c r="Z12" s="276">
        <v>145</v>
      </c>
      <c r="AA12" s="276">
        <v>31710</v>
      </c>
      <c r="AB12" s="276">
        <v>3650</v>
      </c>
    </row>
    <row r="13" spans="1:41" x14ac:dyDescent="0.3">
      <c r="J13" s="275">
        <v>10</v>
      </c>
      <c r="K13" s="275">
        <v>1140</v>
      </c>
      <c r="L13" s="275">
        <v>1</v>
      </c>
      <c r="M13" s="275">
        <f t="shared" si="0"/>
        <v>10</v>
      </c>
      <c r="N13" s="275">
        <v>10</v>
      </c>
      <c r="O13" s="275">
        <v>1110</v>
      </c>
      <c r="P13" s="275">
        <v>10</v>
      </c>
      <c r="Q13" s="275">
        <f t="shared" si="1"/>
        <v>10</v>
      </c>
      <c r="S13" s="276">
        <v>12</v>
      </c>
      <c r="T13" s="276">
        <v>1260</v>
      </c>
      <c r="U13" s="276">
        <v>6</v>
      </c>
      <c r="V13" s="276">
        <f t="shared" si="2"/>
        <v>102</v>
      </c>
      <c r="X13" s="276">
        <v>12</v>
      </c>
      <c r="Y13" s="276">
        <v>20</v>
      </c>
      <c r="Z13" s="276">
        <v>165</v>
      </c>
      <c r="AA13" s="276">
        <v>47580</v>
      </c>
      <c r="AB13" s="276">
        <v>5500</v>
      </c>
    </row>
    <row r="14" spans="1:41" x14ac:dyDescent="0.3">
      <c r="J14" s="275">
        <v>11</v>
      </c>
      <c r="K14" s="275">
        <v>1140</v>
      </c>
      <c r="L14" s="275">
        <v>2</v>
      </c>
      <c r="M14" s="275">
        <f t="shared" si="0"/>
        <v>11</v>
      </c>
      <c r="N14" s="275">
        <v>11</v>
      </c>
      <c r="O14" s="275">
        <v>1110</v>
      </c>
      <c r="P14" s="275">
        <v>11</v>
      </c>
      <c r="Q14" s="275">
        <f t="shared" si="1"/>
        <v>11</v>
      </c>
      <c r="S14" s="276">
        <v>13</v>
      </c>
      <c r="T14" s="276">
        <v>1310</v>
      </c>
      <c r="U14" s="276">
        <v>1</v>
      </c>
      <c r="V14" s="276">
        <f t="shared" si="2"/>
        <v>101</v>
      </c>
      <c r="X14" s="276">
        <v>13</v>
      </c>
      <c r="Y14" s="276">
        <v>20</v>
      </c>
      <c r="Z14" s="276">
        <v>185</v>
      </c>
      <c r="AA14" s="276">
        <v>63420</v>
      </c>
      <c r="AB14" s="276">
        <v>7300</v>
      </c>
    </row>
    <row r="15" spans="1:41" x14ac:dyDescent="0.3">
      <c r="J15" s="275">
        <v>12</v>
      </c>
      <c r="K15" s="275">
        <v>1140</v>
      </c>
      <c r="L15" s="275">
        <v>3</v>
      </c>
      <c r="M15" s="275">
        <f t="shared" si="0"/>
        <v>12</v>
      </c>
      <c r="N15" s="275">
        <v>12</v>
      </c>
      <c r="O15" s="275">
        <v>1110</v>
      </c>
      <c r="P15" s="275">
        <v>12</v>
      </c>
      <c r="Q15" s="275">
        <f t="shared" si="1"/>
        <v>12</v>
      </c>
      <c r="S15" s="276">
        <v>14</v>
      </c>
      <c r="T15" s="276">
        <v>1320</v>
      </c>
      <c r="U15" s="276">
        <v>2</v>
      </c>
      <c r="V15" s="276">
        <f t="shared" si="2"/>
        <v>101</v>
      </c>
      <c r="X15" s="276">
        <v>14</v>
      </c>
      <c r="Y15" s="276">
        <v>20</v>
      </c>
      <c r="Z15" s="276">
        <v>205</v>
      </c>
      <c r="AA15" s="276">
        <v>79290</v>
      </c>
      <c r="AB15" s="276">
        <v>9100</v>
      </c>
    </row>
    <row r="16" spans="1:41" x14ac:dyDescent="0.3">
      <c r="J16" s="275">
        <v>13</v>
      </c>
      <c r="K16" s="275">
        <v>1150</v>
      </c>
      <c r="L16" s="275">
        <v>1</v>
      </c>
      <c r="M16" s="275">
        <f t="shared" si="0"/>
        <v>13</v>
      </c>
      <c r="N16" s="275">
        <v>13</v>
      </c>
      <c r="O16" s="275">
        <v>1110</v>
      </c>
      <c r="P16" s="275">
        <v>13</v>
      </c>
      <c r="Q16" s="275">
        <f t="shared" si="1"/>
        <v>13</v>
      </c>
      <c r="S16" s="276">
        <v>15</v>
      </c>
      <c r="T16" s="276">
        <v>1330</v>
      </c>
      <c r="U16" s="276">
        <v>3</v>
      </c>
      <c r="V16" s="276">
        <f t="shared" si="2"/>
        <v>100</v>
      </c>
      <c r="X16" s="276">
        <v>15</v>
      </c>
      <c r="Y16" s="276">
        <v>20</v>
      </c>
      <c r="Z16" s="276">
        <v>225</v>
      </c>
      <c r="AA16" s="276">
        <v>95160</v>
      </c>
      <c r="AB16" s="276">
        <v>11000</v>
      </c>
    </row>
    <row r="17" spans="10:28" x14ac:dyDescent="0.3">
      <c r="J17" s="275">
        <v>14</v>
      </c>
      <c r="K17" s="275">
        <v>1150</v>
      </c>
      <c r="L17" s="275">
        <v>2</v>
      </c>
      <c r="M17" s="275">
        <f t="shared" si="0"/>
        <v>14</v>
      </c>
      <c r="N17" s="275">
        <v>14</v>
      </c>
      <c r="O17" s="275">
        <v>1110</v>
      </c>
      <c r="P17" s="275">
        <v>14</v>
      </c>
      <c r="Q17" s="275">
        <f t="shared" si="1"/>
        <v>14</v>
      </c>
      <c r="S17" s="276">
        <v>16</v>
      </c>
      <c r="T17" s="276">
        <v>1340</v>
      </c>
      <c r="U17" s="276">
        <v>4</v>
      </c>
      <c r="V17" s="276">
        <f t="shared" si="2"/>
        <v>100</v>
      </c>
      <c r="X17" s="276">
        <v>16</v>
      </c>
      <c r="Y17" s="276">
        <v>25</v>
      </c>
      <c r="Z17" s="276">
        <v>250</v>
      </c>
      <c r="AA17" s="276">
        <v>105250</v>
      </c>
      <c r="AB17" s="276">
        <v>13750</v>
      </c>
    </row>
    <row r="18" spans="10:28" x14ac:dyDescent="0.3">
      <c r="J18" s="275">
        <v>15</v>
      </c>
      <c r="K18" s="275">
        <v>1150</v>
      </c>
      <c r="L18" s="275">
        <v>3</v>
      </c>
      <c r="M18" s="275">
        <f t="shared" si="0"/>
        <v>15</v>
      </c>
      <c r="N18" s="275">
        <v>15</v>
      </c>
      <c r="O18" s="275">
        <v>1110</v>
      </c>
      <c r="P18" s="275">
        <v>15</v>
      </c>
      <c r="Q18" s="275">
        <f t="shared" si="1"/>
        <v>15</v>
      </c>
      <c r="S18" s="276">
        <v>17</v>
      </c>
      <c r="T18" s="276">
        <v>1350</v>
      </c>
      <c r="U18" s="276">
        <v>5</v>
      </c>
      <c r="V18" s="276">
        <f t="shared" si="2"/>
        <v>102</v>
      </c>
      <c r="X18" s="276">
        <v>17</v>
      </c>
      <c r="Y18" s="276">
        <v>25</v>
      </c>
      <c r="Z18" s="276">
        <v>275</v>
      </c>
      <c r="AA18" s="276">
        <v>110250</v>
      </c>
      <c r="AB18" s="276">
        <v>15000</v>
      </c>
    </row>
    <row r="19" spans="10:28" x14ac:dyDescent="0.3">
      <c r="J19" s="275">
        <v>16</v>
      </c>
      <c r="K19" s="275">
        <v>1160</v>
      </c>
      <c r="L19" s="275">
        <v>1</v>
      </c>
      <c r="M19" s="275">
        <f t="shared" si="0"/>
        <v>16</v>
      </c>
      <c r="N19" s="275">
        <v>16</v>
      </c>
      <c r="O19" s="275">
        <v>1120</v>
      </c>
      <c r="P19" s="275">
        <v>1</v>
      </c>
      <c r="Q19" s="275">
        <f t="shared" si="1"/>
        <v>16</v>
      </c>
      <c r="S19" s="276">
        <v>18</v>
      </c>
      <c r="T19" s="276">
        <v>1360</v>
      </c>
      <c r="U19" s="276">
        <v>6</v>
      </c>
      <c r="V19" s="276">
        <f t="shared" si="2"/>
        <v>102</v>
      </c>
      <c r="X19" s="276">
        <v>18</v>
      </c>
      <c r="Y19" s="276">
        <v>25</v>
      </c>
      <c r="Z19" s="276">
        <v>300</v>
      </c>
      <c r="AA19" s="276">
        <v>115250</v>
      </c>
      <c r="AB19" s="276">
        <v>16250</v>
      </c>
    </row>
    <row r="20" spans="10:28" x14ac:dyDescent="0.3">
      <c r="J20" s="275">
        <v>17</v>
      </c>
      <c r="K20" s="275">
        <v>1160</v>
      </c>
      <c r="L20" s="275">
        <v>2</v>
      </c>
      <c r="M20" s="275">
        <f t="shared" si="0"/>
        <v>17</v>
      </c>
      <c r="N20" s="275">
        <v>17</v>
      </c>
      <c r="O20" s="275">
        <v>1120</v>
      </c>
      <c r="P20" s="275">
        <v>2</v>
      </c>
      <c r="Q20" s="275">
        <f t="shared" si="1"/>
        <v>17</v>
      </c>
      <c r="S20" s="276">
        <v>19</v>
      </c>
      <c r="T20" s="276">
        <v>2110</v>
      </c>
      <c r="U20" s="276">
        <v>1</v>
      </c>
      <c r="V20" s="276">
        <f t="shared" si="2"/>
        <v>101</v>
      </c>
      <c r="X20" s="276">
        <v>19</v>
      </c>
      <c r="Y20" s="276">
        <v>25</v>
      </c>
      <c r="Z20" s="276">
        <v>325</v>
      </c>
      <c r="AA20" s="276">
        <v>120250</v>
      </c>
      <c r="AB20" s="276">
        <v>17500</v>
      </c>
    </row>
    <row r="21" spans="10:28" x14ac:dyDescent="0.3">
      <c r="J21" s="275">
        <v>18</v>
      </c>
      <c r="K21" s="275">
        <v>1160</v>
      </c>
      <c r="L21" s="275">
        <v>3</v>
      </c>
      <c r="M21" s="275">
        <f t="shared" si="0"/>
        <v>18</v>
      </c>
      <c r="N21" s="275">
        <v>18</v>
      </c>
      <c r="O21" s="275">
        <v>1120</v>
      </c>
      <c r="P21" s="275">
        <v>3</v>
      </c>
      <c r="Q21" s="275">
        <f t="shared" si="1"/>
        <v>18</v>
      </c>
      <c r="S21" s="276">
        <v>20</v>
      </c>
      <c r="T21" s="276">
        <v>2120</v>
      </c>
      <c r="U21" s="276">
        <v>2</v>
      </c>
      <c r="V21" s="276">
        <f t="shared" si="2"/>
        <v>101</v>
      </c>
      <c r="X21" s="276">
        <v>20</v>
      </c>
      <c r="Y21" s="276">
        <v>25</v>
      </c>
      <c r="Z21" s="276">
        <v>350</v>
      </c>
      <c r="AA21" s="276">
        <v>125250</v>
      </c>
      <c r="AB21" s="276">
        <v>20250</v>
      </c>
    </row>
    <row r="22" spans="10:28" x14ac:dyDescent="0.3">
      <c r="J22" s="275">
        <v>19</v>
      </c>
      <c r="K22" s="275">
        <v>1210</v>
      </c>
      <c r="L22" s="275">
        <v>1</v>
      </c>
      <c r="M22" s="275">
        <f t="shared" si="0"/>
        <v>19</v>
      </c>
      <c r="N22" s="275">
        <v>19</v>
      </c>
      <c r="O22" s="275">
        <v>1120</v>
      </c>
      <c r="P22" s="275">
        <v>4</v>
      </c>
      <c r="Q22" s="275">
        <f t="shared" si="1"/>
        <v>19</v>
      </c>
      <c r="S22" s="276">
        <v>21</v>
      </c>
      <c r="T22" s="276">
        <v>2130</v>
      </c>
      <c r="U22" s="276">
        <v>3</v>
      </c>
      <c r="V22" s="276">
        <f t="shared" si="2"/>
        <v>100</v>
      </c>
      <c r="X22" s="276">
        <v>21</v>
      </c>
      <c r="Y22" s="276">
        <v>30</v>
      </c>
      <c r="Z22" s="276">
        <v>380</v>
      </c>
      <c r="AA22" s="276">
        <v>156300</v>
      </c>
      <c r="AB22" s="276">
        <v>24900</v>
      </c>
    </row>
    <row r="23" spans="10:28" x14ac:dyDescent="0.3">
      <c r="J23" s="275">
        <v>20</v>
      </c>
      <c r="K23" s="275">
        <v>1210</v>
      </c>
      <c r="L23" s="275">
        <v>2</v>
      </c>
      <c r="M23" s="275">
        <f t="shared" si="0"/>
        <v>20</v>
      </c>
      <c r="N23" s="275">
        <v>20</v>
      </c>
      <c r="O23" s="275">
        <v>1120</v>
      </c>
      <c r="P23" s="275">
        <v>5</v>
      </c>
      <c r="Q23" s="275">
        <f t="shared" si="1"/>
        <v>20</v>
      </c>
      <c r="S23" s="276">
        <v>22</v>
      </c>
      <c r="T23" s="276">
        <v>2140</v>
      </c>
      <c r="U23" s="276">
        <v>4</v>
      </c>
      <c r="V23" s="276">
        <f t="shared" si="2"/>
        <v>100</v>
      </c>
      <c r="X23" s="276">
        <v>22</v>
      </c>
      <c r="Y23" s="276">
        <v>30</v>
      </c>
      <c r="Z23" s="276">
        <v>410</v>
      </c>
      <c r="AA23" s="276">
        <v>162300</v>
      </c>
      <c r="AB23" s="276">
        <v>25500</v>
      </c>
    </row>
    <row r="24" spans="10:28" x14ac:dyDescent="0.3">
      <c r="J24" s="275">
        <v>21</v>
      </c>
      <c r="K24" s="275">
        <v>1210</v>
      </c>
      <c r="L24" s="275">
        <v>3</v>
      </c>
      <c r="M24" s="275">
        <f t="shared" si="0"/>
        <v>21</v>
      </c>
      <c r="N24" s="275">
        <v>21</v>
      </c>
      <c r="O24" s="275">
        <v>1120</v>
      </c>
      <c r="P24" s="275">
        <v>6</v>
      </c>
      <c r="Q24" s="275">
        <f t="shared" si="1"/>
        <v>21</v>
      </c>
      <c r="S24" s="276">
        <v>23</v>
      </c>
      <c r="T24" s="276">
        <v>2150</v>
      </c>
      <c r="U24" s="276">
        <v>5</v>
      </c>
      <c r="V24" s="276">
        <f t="shared" si="2"/>
        <v>102</v>
      </c>
      <c r="X24" s="276">
        <v>23</v>
      </c>
      <c r="Y24" s="276">
        <v>30</v>
      </c>
      <c r="Z24" s="276">
        <v>440</v>
      </c>
      <c r="AA24" s="276">
        <v>168300</v>
      </c>
      <c r="AB24" s="276">
        <v>27000</v>
      </c>
    </row>
    <row r="25" spans="10:28" x14ac:dyDescent="0.3">
      <c r="J25" s="275">
        <v>22</v>
      </c>
      <c r="K25" s="275">
        <v>1220</v>
      </c>
      <c r="L25" s="275">
        <v>1</v>
      </c>
      <c r="M25" s="275">
        <f t="shared" si="0"/>
        <v>22</v>
      </c>
      <c r="N25" s="275">
        <v>22</v>
      </c>
      <c r="O25" s="275">
        <v>1120</v>
      </c>
      <c r="P25" s="275">
        <v>7</v>
      </c>
      <c r="Q25" s="275">
        <f t="shared" si="1"/>
        <v>22</v>
      </c>
      <c r="S25" s="276">
        <v>24</v>
      </c>
      <c r="T25" s="276">
        <v>2160</v>
      </c>
      <c r="U25" s="276">
        <v>6</v>
      </c>
      <c r="V25" s="276">
        <f t="shared" si="2"/>
        <v>102</v>
      </c>
      <c r="X25" s="276">
        <v>24</v>
      </c>
      <c r="Y25" s="276">
        <v>30</v>
      </c>
      <c r="Z25" s="276">
        <v>470</v>
      </c>
      <c r="AA25" s="276">
        <v>174300</v>
      </c>
      <c r="AB25" s="276">
        <v>28500</v>
      </c>
    </row>
    <row r="26" spans="10:28" x14ac:dyDescent="0.3">
      <c r="J26" s="275">
        <v>23</v>
      </c>
      <c r="K26" s="275">
        <v>1220</v>
      </c>
      <c r="L26" s="275">
        <v>2</v>
      </c>
      <c r="M26" s="275">
        <f t="shared" si="0"/>
        <v>23</v>
      </c>
      <c r="N26" s="275">
        <v>23</v>
      </c>
      <c r="O26" s="275">
        <v>1120</v>
      </c>
      <c r="P26" s="275">
        <v>8</v>
      </c>
      <c r="Q26" s="275">
        <f t="shared" si="1"/>
        <v>23</v>
      </c>
      <c r="S26" s="276">
        <v>25</v>
      </c>
      <c r="T26" s="276">
        <v>2210</v>
      </c>
      <c r="U26" s="276">
        <v>1</v>
      </c>
      <c r="V26" s="276">
        <f t="shared" si="2"/>
        <v>101</v>
      </c>
      <c r="X26" s="276">
        <v>25</v>
      </c>
      <c r="Y26" s="276">
        <v>30</v>
      </c>
      <c r="Z26" s="276">
        <v>500</v>
      </c>
      <c r="AA26" s="276">
        <v>180300</v>
      </c>
      <c r="AB26" s="276">
        <v>30000</v>
      </c>
    </row>
    <row r="27" spans="10:28" x14ac:dyDescent="0.3">
      <c r="J27" s="275">
        <v>24</v>
      </c>
      <c r="K27" s="275">
        <v>1220</v>
      </c>
      <c r="L27" s="275">
        <v>3</v>
      </c>
      <c r="M27" s="275">
        <f t="shared" si="0"/>
        <v>24</v>
      </c>
      <c r="N27" s="275">
        <v>24</v>
      </c>
      <c r="O27" s="275">
        <v>1120</v>
      </c>
      <c r="P27" s="275">
        <v>9</v>
      </c>
      <c r="Q27" s="275">
        <f t="shared" si="1"/>
        <v>24</v>
      </c>
      <c r="S27" s="276">
        <v>26</v>
      </c>
      <c r="T27" s="276">
        <v>2220</v>
      </c>
      <c r="U27" s="276">
        <v>2</v>
      </c>
      <c r="V27" s="276">
        <f t="shared" si="2"/>
        <v>101</v>
      </c>
      <c r="X27" s="276">
        <v>26</v>
      </c>
      <c r="Y27" s="276">
        <v>35</v>
      </c>
      <c r="Z27" s="276">
        <f>Z26+Y27</f>
        <v>535</v>
      </c>
      <c r="AA27" s="276">
        <v>217350</v>
      </c>
      <c r="AB27" s="276">
        <v>36750</v>
      </c>
    </row>
    <row r="28" spans="10:28" x14ac:dyDescent="0.3">
      <c r="J28" s="275">
        <v>25</v>
      </c>
      <c r="K28" s="275">
        <v>1230</v>
      </c>
      <c r="L28" s="275">
        <v>1</v>
      </c>
      <c r="M28" s="275">
        <f t="shared" si="0"/>
        <v>25</v>
      </c>
      <c r="N28" s="275">
        <v>25</v>
      </c>
      <c r="O28" s="275">
        <v>1120</v>
      </c>
      <c r="P28" s="275">
        <v>10</v>
      </c>
      <c r="Q28" s="275">
        <f t="shared" si="1"/>
        <v>25</v>
      </c>
      <c r="S28" s="276">
        <v>27</v>
      </c>
      <c r="T28" s="276">
        <v>2230</v>
      </c>
      <c r="U28" s="276">
        <v>3</v>
      </c>
      <c r="V28" s="276">
        <f t="shared" si="2"/>
        <v>100</v>
      </c>
      <c r="X28" s="276">
        <v>27</v>
      </c>
      <c r="Y28" s="276">
        <v>35</v>
      </c>
      <c r="Z28" s="276">
        <f>Z27+Y28</f>
        <v>570</v>
      </c>
      <c r="AA28" s="276">
        <v>224350</v>
      </c>
      <c r="AB28" s="276">
        <v>38500</v>
      </c>
    </row>
    <row r="29" spans="10:28" x14ac:dyDescent="0.3">
      <c r="J29" s="275">
        <v>26</v>
      </c>
      <c r="K29" s="275">
        <v>1230</v>
      </c>
      <c r="L29" s="275">
        <v>2</v>
      </c>
      <c r="M29" s="275">
        <f t="shared" si="0"/>
        <v>26</v>
      </c>
      <c r="N29" s="275">
        <v>26</v>
      </c>
      <c r="O29" s="275">
        <v>1120</v>
      </c>
      <c r="P29" s="275">
        <v>11</v>
      </c>
      <c r="Q29" s="275">
        <f t="shared" si="1"/>
        <v>26</v>
      </c>
      <c r="S29" s="276">
        <v>28</v>
      </c>
      <c r="T29" s="276">
        <v>2240</v>
      </c>
      <c r="U29" s="276">
        <v>4</v>
      </c>
      <c r="V29" s="276">
        <f t="shared" si="2"/>
        <v>100</v>
      </c>
      <c r="X29" s="276">
        <v>28</v>
      </c>
      <c r="Y29" s="276">
        <v>35</v>
      </c>
      <c r="Z29" s="276">
        <f>Z28+Y29</f>
        <v>605</v>
      </c>
      <c r="AA29" s="276">
        <v>231350</v>
      </c>
      <c r="AB29" s="276">
        <v>40250</v>
      </c>
    </row>
    <row r="30" spans="10:28" x14ac:dyDescent="0.3">
      <c r="J30" s="275">
        <v>27</v>
      </c>
      <c r="K30" s="275">
        <v>1230</v>
      </c>
      <c r="L30" s="275">
        <v>3</v>
      </c>
      <c r="M30" s="275">
        <f t="shared" si="0"/>
        <v>27</v>
      </c>
      <c r="N30" s="275">
        <v>27</v>
      </c>
      <c r="O30" s="275">
        <v>1120</v>
      </c>
      <c r="P30" s="275">
        <v>12</v>
      </c>
      <c r="Q30" s="275">
        <f t="shared" si="1"/>
        <v>27</v>
      </c>
      <c r="S30" s="276">
        <v>29</v>
      </c>
      <c r="T30" s="276">
        <v>2250</v>
      </c>
      <c r="U30" s="276">
        <v>5</v>
      </c>
      <c r="V30" s="276">
        <f t="shared" si="2"/>
        <v>102</v>
      </c>
      <c r="X30" s="276">
        <v>29</v>
      </c>
      <c r="Y30" s="276">
        <v>35</v>
      </c>
      <c r="Z30" s="276">
        <f>Z29+Y30</f>
        <v>640</v>
      </c>
      <c r="AA30" s="276">
        <v>238350</v>
      </c>
      <c r="AB30" s="276">
        <v>42000</v>
      </c>
    </row>
    <row r="31" spans="10:28" x14ac:dyDescent="0.3">
      <c r="J31" s="275">
        <v>28</v>
      </c>
      <c r="K31" s="275">
        <v>1240</v>
      </c>
      <c r="L31" s="275">
        <v>1</v>
      </c>
      <c r="M31" s="275">
        <f t="shared" si="0"/>
        <v>28</v>
      </c>
      <c r="N31" s="275">
        <v>28</v>
      </c>
      <c r="O31" s="275">
        <v>1120</v>
      </c>
      <c r="P31" s="275">
        <v>13</v>
      </c>
      <c r="Q31" s="275">
        <f t="shared" si="1"/>
        <v>28</v>
      </c>
      <c r="S31" s="276">
        <v>30</v>
      </c>
      <c r="T31" s="276">
        <v>2260</v>
      </c>
      <c r="U31" s="276">
        <v>6</v>
      </c>
      <c r="V31" s="276">
        <f t="shared" si="2"/>
        <v>102</v>
      </c>
      <c r="X31" s="276">
        <v>30</v>
      </c>
      <c r="Y31" s="276">
        <v>35</v>
      </c>
      <c r="Z31" s="276">
        <f>Z30+Y31</f>
        <v>675</v>
      </c>
      <c r="AA31" s="276">
        <v>245350</v>
      </c>
      <c r="AB31" s="276">
        <v>43750</v>
      </c>
    </row>
    <row r="32" spans="10:28" x14ac:dyDescent="0.3">
      <c r="J32" s="275">
        <v>29</v>
      </c>
      <c r="K32" s="275">
        <v>1240</v>
      </c>
      <c r="L32" s="275">
        <v>2</v>
      </c>
      <c r="M32" s="275">
        <f t="shared" si="0"/>
        <v>29</v>
      </c>
      <c r="N32" s="275">
        <v>29</v>
      </c>
      <c r="O32" s="275">
        <v>1120</v>
      </c>
      <c r="P32" s="275">
        <v>14</v>
      </c>
      <c r="Q32" s="275">
        <f t="shared" si="1"/>
        <v>29</v>
      </c>
      <c r="S32" s="276">
        <v>31</v>
      </c>
      <c r="T32" s="276">
        <v>2310</v>
      </c>
      <c r="U32" s="276">
        <v>1</v>
      </c>
      <c r="V32" s="276">
        <f t="shared" si="2"/>
        <v>101</v>
      </c>
    </row>
    <row r="33" spans="10:22" x14ac:dyDescent="0.3">
      <c r="J33" s="275">
        <v>30</v>
      </c>
      <c r="K33" s="275">
        <v>1240</v>
      </c>
      <c r="L33" s="275">
        <v>3</v>
      </c>
      <c r="M33" s="275">
        <f t="shared" si="0"/>
        <v>30</v>
      </c>
      <c r="N33" s="275">
        <v>30</v>
      </c>
      <c r="O33" s="275">
        <v>1120</v>
      </c>
      <c r="P33" s="275">
        <v>15</v>
      </c>
      <c r="Q33" s="275">
        <f t="shared" si="1"/>
        <v>30</v>
      </c>
      <c r="S33" s="276">
        <v>32</v>
      </c>
      <c r="T33" s="276">
        <v>2320</v>
      </c>
      <c r="U33" s="276">
        <v>2</v>
      </c>
      <c r="V33" s="276">
        <f t="shared" si="2"/>
        <v>101</v>
      </c>
    </row>
    <row r="34" spans="10:22" x14ac:dyDescent="0.3">
      <c r="J34" s="275">
        <v>31</v>
      </c>
      <c r="K34" s="275">
        <v>1250</v>
      </c>
      <c r="L34" s="275">
        <v>1</v>
      </c>
      <c r="M34" s="275">
        <f t="shared" si="0"/>
        <v>31</v>
      </c>
      <c r="N34" s="275">
        <v>31</v>
      </c>
      <c r="O34" s="275">
        <v>1130</v>
      </c>
      <c r="P34" s="275">
        <v>1</v>
      </c>
      <c r="Q34" s="275">
        <f t="shared" si="1"/>
        <v>31</v>
      </c>
      <c r="S34" s="276">
        <v>33</v>
      </c>
      <c r="T34" s="276">
        <v>2330</v>
      </c>
      <c r="U34" s="276">
        <v>3</v>
      </c>
      <c r="V34" s="276">
        <f t="shared" si="2"/>
        <v>100</v>
      </c>
    </row>
    <row r="35" spans="10:22" x14ac:dyDescent="0.3">
      <c r="J35" s="275">
        <v>32</v>
      </c>
      <c r="K35" s="275">
        <v>1250</v>
      </c>
      <c r="L35" s="275">
        <v>2</v>
      </c>
      <c r="M35" s="275">
        <f t="shared" si="0"/>
        <v>32</v>
      </c>
      <c r="N35" s="275">
        <v>32</v>
      </c>
      <c r="O35" s="275">
        <v>1130</v>
      </c>
      <c r="P35" s="275">
        <v>2</v>
      </c>
      <c r="Q35" s="275">
        <f t="shared" si="1"/>
        <v>32</v>
      </c>
      <c r="S35" s="276">
        <v>34</v>
      </c>
      <c r="T35" s="276">
        <v>2340</v>
      </c>
      <c r="U35" s="276">
        <v>4</v>
      </c>
      <c r="V35" s="276">
        <f t="shared" si="2"/>
        <v>100</v>
      </c>
    </row>
    <row r="36" spans="10:22" x14ac:dyDescent="0.3">
      <c r="J36" s="275">
        <v>33</v>
      </c>
      <c r="K36" s="275">
        <v>1250</v>
      </c>
      <c r="L36" s="275">
        <v>3</v>
      </c>
      <c r="M36" s="275">
        <f t="shared" si="0"/>
        <v>33</v>
      </c>
      <c r="N36" s="275">
        <v>33</v>
      </c>
      <c r="O36" s="275">
        <v>1130</v>
      </c>
      <c r="P36" s="275">
        <v>3</v>
      </c>
      <c r="Q36" s="275">
        <f t="shared" si="1"/>
        <v>33</v>
      </c>
      <c r="S36" s="276">
        <v>35</v>
      </c>
      <c r="T36" s="276">
        <v>2350</v>
      </c>
      <c r="U36" s="276">
        <v>5</v>
      </c>
      <c r="V36" s="276">
        <f t="shared" si="2"/>
        <v>102</v>
      </c>
    </row>
    <row r="37" spans="10:22" x14ac:dyDescent="0.3">
      <c r="J37" s="275">
        <v>34</v>
      </c>
      <c r="K37" s="275">
        <v>1260</v>
      </c>
      <c r="L37" s="275">
        <v>1</v>
      </c>
      <c r="M37" s="275">
        <f t="shared" si="0"/>
        <v>34</v>
      </c>
      <c r="N37" s="275">
        <v>34</v>
      </c>
      <c r="O37" s="275">
        <v>1130</v>
      </c>
      <c r="P37" s="275">
        <v>4</v>
      </c>
      <c r="Q37" s="275">
        <f t="shared" si="1"/>
        <v>34</v>
      </c>
      <c r="S37" s="276">
        <v>36</v>
      </c>
      <c r="T37" s="276">
        <v>2360</v>
      </c>
      <c r="U37" s="276">
        <v>6</v>
      </c>
      <c r="V37" s="276">
        <f t="shared" si="2"/>
        <v>102</v>
      </c>
    </row>
    <row r="38" spans="10:22" x14ac:dyDescent="0.3">
      <c r="J38" s="275">
        <v>35</v>
      </c>
      <c r="K38" s="275">
        <v>1260</v>
      </c>
      <c r="L38" s="275">
        <v>2</v>
      </c>
      <c r="M38" s="275">
        <f t="shared" si="0"/>
        <v>35</v>
      </c>
      <c r="N38" s="275">
        <v>35</v>
      </c>
      <c r="O38" s="275">
        <v>1130</v>
      </c>
      <c r="P38" s="275">
        <v>5</v>
      </c>
      <c r="Q38" s="275">
        <f t="shared" si="1"/>
        <v>35</v>
      </c>
      <c r="S38" s="276">
        <v>37</v>
      </c>
      <c r="T38" s="276">
        <v>3110</v>
      </c>
      <c r="U38" s="276">
        <v>1</v>
      </c>
      <c r="V38" s="276">
        <f t="shared" si="2"/>
        <v>101</v>
      </c>
    </row>
    <row r="39" spans="10:22" x14ac:dyDescent="0.3">
      <c r="J39" s="275">
        <v>36</v>
      </c>
      <c r="K39" s="275">
        <v>1260</v>
      </c>
      <c r="L39" s="275">
        <v>3</v>
      </c>
      <c r="M39" s="275">
        <f t="shared" si="0"/>
        <v>36</v>
      </c>
      <c r="N39" s="275">
        <v>36</v>
      </c>
      <c r="O39" s="275">
        <v>1130</v>
      </c>
      <c r="P39" s="275">
        <v>6</v>
      </c>
      <c r="Q39" s="275">
        <f t="shared" si="1"/>
        <v>36</v>
      </c>
      <c r="S39" s="276">
        <v>38</v>
      </c>
      <c r="T39" s="276">
        <v>3120</v>
      </c>
      <c r="U39" s="276">
        <v>2</v>
      </c>
      <c r="V39" s="276">
        <f t="shared" si="2"/>
        <v>101</v>
      </c>
    </row>
    <row r="40" spans="10:22" x14ac:dyDescent="0.3">
      <c r="J40" s="275">
        <v>37</v>
      </c>
      <c r="K40" s="275">
        <v>1310</v>
      </c>
      <c r="L40" s="275">
        <v>1</v>
      </c>
      <c r="M40" s="275">
        <f t="shared" si="0"/>
        <v>37</v>
      </c>
      <c r="N40" s="275">
        <v>37</v>
      </c>
      <c r="O40" s="275">
        <v>1130</v>
      </c>
      <c r="P40" s="275">
        <v>7</v>
      </c>
      <c r="Q40" s="275">
        <f t="shared" si="1"/>
        <v>37</v>
      </c>
      <c r="S40" s="276">
        <v>39</v>
      </c>
      <c r="T40" s="276">
        <v>3130</v>
      </c>
      <c r="U40" s="276">
        <v>3</v>
      </c>
      <c r="V40" s="276">
        <f t="shared" si="2"/>
        <v>100</v>
      </c>
    </row>
    <row r="41" spans="10:22" x14ac:dyDescent="0.3">
      <c r="J41" s="275">
        <v>38</v>
      </c>
      <c r="K41" s="275">
        <v>1310</v>
      </c>
      <c r="L41" s="275">
        <v>2</v>
      </c>
      <c r="M41" s="275">
        <f t="shared" si="0"/>
        <v>38</v>
      </c>
      <c r="N41" s="275">
        <v>38</v>
      </c>
      <c r="O41" s="275">
        <v>1130</v>
      </c>
      <c r="P41" s="275">
        <v>8</v>
      </c>
      <c r="Q41" s="275">
        <f t="shared" si="1"/>
        <v>38</v>
      </c>
      <c r="S41" s="276">
        <v>40</v>
      </c>
      <c r="T41" s="276">
        <v>3140</v>
      </c>
      <c r="U41" s="276">
        <v>4</v>
      </c>
      <c r="V41" s="276">
        <f t="shared" si="2"/>
        <v>100</v>
      </c>
    </row>
    <row r="42" spans="10:22" x14ac:dyDescent="0.3">
      <c r="J42" s="275">
        <v>39</v>
      </c>
      <c r="K42" s="275">
        <v>1310</v>
      </c>
      <c r="L42" s="275">
        <v>3</v>
      </c>
      <c r="M42" s="275">
        <f t="shared" si="0"/>
        <v>39</v>
      </c>
      <c r="N42" s="275">
        <v>39</v>
      </c>
      <c r="O42" s="275">
        <v>1130</v>
      </c>
      <c r="P42" s="275">
        <v>9</v>
      </c>
      <c r="Q42" s="275">
        <f t="shared" si="1"/>
        <v>39</v>
      </c>
      <c r="S42" s="276">
        <v>41</v>
      </c>
      <c r="T42" s="276">
        <v>3150</v>
      </c>
      <c r="U42" s="276">
        <v>5</v>
      </c>
      <c r="V42" s="276">
        <f t="shared" si="2"/>
        <v>102</v>
      </c>
    </row>
    <row r="43" spans="10:22" x14ac:dyDescent="0.3">
      <c r="J43" s="275">
        <v>40</v>
      </c>
      <c r="K43" s="275">
        <v>1320</v>
      </c>
      <c r="L43" s="275">
        <v>1</v>
      </c>
      <c r="M43" s="275">
        <f t="shared" si="0"/>
        <v>40</v>
      </c>
      <c r="N43" s="275">
        <v>40</v>
      </c>
      <c r="O43" s="275">
        <v>1130</v>
      </c>
      <c r="P43" s="275">
        <v>10</v>
      </c>
      <c r="Q43" s="275">
        <f t="shared" si="1"/>
        <v>40</v>
      </c>
      <c r="S43" s="276">
        <v>42</v>
      </c>
      <c r="T43" s="276">
        <v>3160</v>
      </c>
      <c r="U43" s="276">
        <v>6</v>
      </c>
      <c r="V43" s="276">
        <f t="shared" si="2"/>
        <v>102</v>
      </c>
    </row>
    <row r="44" spans="10:22" x14ac:dyDescent="0.3">
      <c r="J44" s="275">
        <v>41</v>
      </c>
      <c r="K44" s="275">
        <v>1320</v>
      </c>
      <c r="L44" s="275">
        <v>2</v>
      </c>
      <c r="M44" s="275">
        <f t="shared" si="0"/>
        <v>41</v>
      </c>
      <c r="N44" s="275">
        <v>41</v>
      </c>
      <c r="O44" s="275">
        <v>1130</v>
      </c>
      <c r="P44" s="275">
        <v>11</v>
      </c>
      <c r="Q44" s="275">
        <f t="shared" si="1"/>
        <v>41</v>
      </c>
      <c r="S44" s="276">
        <v>43</v>
      </c>
      <c r="T44" s="276">
        <v>3210</v>
      </c>
      <c r="U44" s="276">
        <v>1</v>
      </c>
      <c r="V44" s="276">
        <f t="shared" si="2"/>
        <v>101</v>
      </c>
    </row>
    <row r="45" spans="10:22" x14ac:dyDescent="0.3">
      <c r="J45" s="275">
        <v>42</v>
      </c>
      <c r="K45" s="275">
        <v>1320</v>
      </c>
      <c r="L45" s="275">
        <v>3</v>
      </c>
      <c r="M45" s="275">
        <f t="shared" si="0"/>
        <v>42</v>
      </c>
      <c r="N45" s="275">
        <v>42</v>
      </c>
      <c r="O45" s="275">
        <v>1130</v>
      </c>
      <c r="P45" s="275">
        <v>12</v>
      </c>
      <c r="Q45" s="275">
        <f t="shared" si="1"/>
        <v>42</v>
      </c>
      <c r="S45" s="276">
        <v>44</v>
      </c>
      <c r="T45" s="276">
        <v>3220</v>
      </c>
      <c r="U45" s="276">
        <v>2</v>
      </c>
      <c r="V45" s="276">
        <f t="shared" si="2"/>
        <v>101</v>
      </c>
    </row>
    <row r="46" spans="10:22" x14ac:dyDescent="0.3">
      <c r="J46" s="275">
        <v>43</v>
      </c>
      <c r="K46" s="275">
        <v>1330</v>
      </c>
      <c r="L46" s="275">
        <v>1</v>
      </c>
      <c r="M46" s="275">
        <f t="shared" si="0"/>
        <v>43</v>
      </c>
      <c r="N46" s="275">
        <v>43</v>
      </c>
      <c r="O46" s="275">
        <v>1130</v>
      </c>
      <c r="P46" s="275">
        <v>13</v>
      </c>
      <c r="Q46" s="275">
        <f t="shared" si="1"/>
        <v>43</v>
      </c>
      <c r="S46" s="276">
        <v>45</v>
      </c>
      <c r="T46" s="276">
        <v>3230</v>
      </c>
      <c r="U46" s="276">
        <v>3</v>
      </c>
      <c r="V46" s="276">
        <f t="shared" si="2"/>
        <v>100</v>
      </c>
    </row>
    <row r="47" spans="10:22" x14ac:dyDescent="0.3">
      <c r="J47" s="275">
        <v>44</v>
      </c>
      <c r="K47" s="275">
        <v>1330</v>
      </c>
      <c r="L47" s="275">
        <v>2</v>
      </c>
      <c r="M47" s="275">
        <f t="shared" si="0"/>
        <v>44</v>
      </c>
      <c r="N47" s="275">
        <v>44</v>
      </c>
      <c r="O47" s="275">
        <v>1130</v>
      </c>
      <c r="P47" s="275">
        <v>14</v>
      </c>
      <c r="Q47" s="275">
        <f t="shared" si="1"/>
        <v>44</v>
      </c>
      <c r="S47" s="276">
        <v>46</v>
      </c>
      <c r="T47" s="276">
        <v>3240</v>
      </c>
      <c r="U47" s="276">
        <v>4</v>
      </c>
      <c r="V47" s="276">
        <f t="shared" si="2"/>
        <v>100</v>
      </c>
    </row>
    <row r="48" spans="10:22" x14ac:dyDescent="0.3">
      <c r="J48" s="275">
        <v>45</v>
      </c>
      <c r="K48" s="275">
        <v>1330</v>
      </c>
      <c r="L48" s="275">
        <v>3</v>
      </c>
      <c r="M48" s="275">
        <f t="shared" si="0"/>
        <v>45</v>
      </c>
      <c r="N48" s="275">
        <v>45</v>
      </c>
      <c r="O48" s="275">
        <v>1130</v>
      </c>
      <c r="P48" s="275">
        <v>15</v>
      </c>
      <c r="Q48" s="275">
        <f t="shared" si="1"/>
        <v>45</v>
      </c>
      <c r="S48" s="276">
        <v>47</v>
      </c>
      <c r="T48" s="276">
        <v>3250</v>
      </c>
      <c r="U48" s="276">
        <v>5</v>
      </c>
      <c r="V48" s="276">
        <f t="shared" si="2"/>
        <v>102</v>
      </c>
    </row>
    <row r="49" spans="10:22" x14ac:dyDescent="0.3">
      <c r="J49" s="275">
        <v>46</v>
      </c>
      <c r="K49" s="275">
        <v>1340</v>
      </c>
      <c r="L49" s="275">
        <v>1</v>
      </c>
      <c r="M49" s="275">
        <f t="shared" si="0"/>
        <v>46</v>
      </c>
      <c r="N49" s="275">
        <v>46</v>
      </c>
      <c r="O49" s="275">
        <v>1140</v>
      </c>
      <c r="P49" s="275">
        <v>1</v>
      </c>
      <c r="Q49" s="275">
        <f t="shared" si="1"/>
        <v>46</v>
      </c>
      <c r="S49" s="276">
        <v>48</v>
      </c>
      <c r="T49" s="276">
        <v>3260</v>
      </c>
      <c r="U49" s="276">
        <v>6</v>
      </c>
      <c r="V49" s="276">
        <f t="shared" si="2"/>
        <v>102</v>
      </c>
    </row>
    <row r="50" spans="10:22" x14ac:dyDescent="0.3">
      <c r="J50" s="275">
        <v>47</v>
      </c>
      <c r="K50" s="275">
        <v>1340</v>
      </c>
      <c r="L50" s="275">
        <v>2</v>
      </c>
      <c r="M50" s="275">
        <f t="shared" si="0"/>
        <v>47</v>
      </c>
      <c r="N50" s="275">
        <v>47</v>
      </c>
      <c r="O50" s="275">
        <v>1140</v>
      </c>
      <c r="P50" s="275">
        <v>2</v>
      </c>
      <c r="Q50" s="275">
        <f t="shared" si="1"/>
        <v>47</v>
      </c>
      <c r="S50" s="276">
        <v>49</v>
      </c>
      <c r="T50" s="276">
        <v>3310</v>
      </c>
      <c r="U50" s="276">
        <v>1</v>
      </c>
      <c r="V50" s="276">
        <f t="shared" si="2"/>
        <v>101</v>
      </c>
    </row>
    <row r="51" spans="10:22" x14ac:dyDescent="0.3">
      <c r="J51" s="275">
        <v>48</v>
      </c>
      <c r="K51" s="275">
        <v>1340</v>
      </c>
      <c r="L51" s="275">
        <v>3</v>
      </c>
      <c r="M51" s="275">
        <f t="shared" si="0"/>
        <v>48</v>
      </c>
      <c r="N51" s="275">
        <v>48</v>
      </c>
      <c r="O51" s="275">
        <v>1140</v>
      </c>
      <c r="P51" s="275">
        <v>3</v>
      </c>
      <c r="Q51" s="275">
        <f t="shared" si="1"/>
        <v>48</v>
      </c>
      <c r="S51" s="276">
        <v>50</v>
      </c>
      <c r="T51" s="276">
        <v>3320</v>
      </c>
      <c r="U51" s="276">
        <v>2</v>
      </c>
      <c r="V51" s="276">
        <f t="shared" si="2"/>
        <v>101</v>
      </c>
    </row>
    <row r="52" spans="10:22" x14ac:dyDescent="0.3">
      <c r="J52" s="275">
        <v>49</v>
      </c>
      <c r="K52" s="275">
        <v>1350</v>
      </c>
      <c r="L52" s="275">
        <v>1</v>
      </c>
      <c r="M52" s="275">
        <f t="shared" si="0"/>
        <v>49</v>
      </c>
      <c r="N52" s="275">
        <v>49</v>
      </c>
      <c r="O52" s="275">
        <v>1140</v>
      </c>
      <c r="P52" s="275">
        <v>4</v>
      </c>
      <c r="Q52" s="275">
        <f t="shared" si="1"/>
        <v>49</v>
      </c>
      <c r="S52" s="276">
        <v>51</v>
      </c>
      <c r="T52" s="276">
        <v>3330</v>
      </c>
      <c r="U52" s="276">
        <v>3</v>
      </c>
      <c r="V52" s="276">
        <f t="shared" si="2"/>
        <v>100</v>
      </c>
    </row>
    <row r="53" spans="10:22" x14ac:dyDescent="0.3">
      <c r="J53" s="275">
        <v>50</v>
      </c>
      <c r="K53" s="275">
        <v>1350</v>
      </c>
      <c r="L53" s="275">
        <v>2</v>
      </c>
      <c r="M53" s="275">
        <f t="shared" si="0"/>
        <v>50</v>
      </c>
      <c r="N53" s="275">
        <v>50</v>
      </c>
      <c r="O53" s="275">
        <v>1140</v>
      </c>
      <c r="P53" s="275">
        <v>5</v>
      </c>
      <c r="Q53" s="275">
        <f t="shared" si="1"/>
        <v>50</v>
      </c>
      <c r="S53" s="276">
        <v>52</v>
      </c>
      <c r="T53" s="276">
        <v>3340</v>
      </c>
      <c r="U53" s="276">
        <v>4</v>
      </c>
      <c r="V53" s="276">
        <f t="shared" si="2"/>
        <v>100</v>
      </c>
    </row>
    <row r="54" spans="10:22" x14ac:dyDescent="0.3">
      <c r="J54" s="275">
        <v>51</v>
      </c>
      <c r="K54" s="275">
        <v>1350</v>
      </c>
      <c r="L54" s="275">
        <v>3</v>
      </c>
      <c r="M54" s="275">
        <f t="shared" si="0"/>
        <v>51</v>
      </c>
      <c r="N54" s="275">
        <v>51</v>
      </c>
      <c r="O54" s="275">
        <v>1140</v>
      </c>
      <c r="P54" s="275">
        <v>6</v>
      </c>
      <c r="Q54" s="275">
        <f t="shared" si="1"/>
        <v>51</v>
      </c>
      <c r="S54" s="276">
        <v>53</v>
      </c>
      <c r="T54" s="276">
        <v>3350</v>
      </c>
      <c r="U54" s="276">
        <v>5</v>
      </c>
      <c r="V54" s="276">
        <f t="shared" si="2"/>
        <v>102</v>
      </c>
    </row>
    <row r="55" spans="10:22" x14ac:dyDescent="0.3">
      <c r="J55" s="275">
        <v>52</v>
      </c>
      <c r="K55" s="275">
        <v>1360</v>
      </c>
      <c r="L55" s="275">
        <v>1</v>
      </c>
      <c r="M55" s="275">
        <f t="shared" si="0"/>
        <v>52</v>
      </c>
      <c r="N55" s="275">
        <v>52</v>
      </c>
      <c r="O55" s="275">
        <v>1140</v>
      </c>
      <c r="P55" s="275">
        <v>7</v>
      </c>
      <c r="Q55" s="275">
        <f t="shared" si="1"/>
        <v>52</v>
      </c>
      <c r="S55" s="276">
        <v>54</v>
      </c>
      <c r="T55" s="276">
        <v>3360</v>
      </c>
      <c r="U55" s="276">
        <v>6</v>
      </c>
      <c r="V55" s="276">
        <f t="shared" si="2"/>
        <v>102</v>
      </c>
    </row>
    <row r="56" spans="10:22" x14ac:dyDescent="0.3">
      <c r="J56" s="275">
        <v>53</v>
      </c>
      <c r="K56" s="275">
        <v>1360</v>
      </c>
      <c r="L56" s="275">
        <v>2</v>
      </c>
      <c r="M56" s="275">
        <f t="shared" si="0"/>
        <v>53</v>
      </c>
      <c r="N56" s="275">
        <v>53</v>
      </c>
      <c r="O56" s="275">
        <v>1140</v>
      </c>
      <c r="P56" s="275">
        <v>8</v>
      </c>
      <c r="Q56" s="275">
        <f t="shared" si="1"/>
        <v>53</v>
      </c>
      <c r="S56" s="276">
        <v>55</v>
      </c>
      <c r="T56" s="276">
        <v>4110</v>
      </c>
      <c r="U56" s="276">
        <v>1</v>
      </c>
      <c r="V56" s="276">
        <v>101</v>
      </c>
    </row>
    <row r="57" spans="10:22" x14ac:dyDescent="0.3">
      <c r="J57" s="275">
        <v>54</v>
      </c>
      <c r="K57" s="275">
        <v>1360</v>
      </c>
      <c r="L57" s="275">
        <v>3</v>
      </c>
      <c r="M57" s="275">
        <f t="shared" si="0"/>
        <v>54</v>
      </c>
      <c r="N57" s="275">
        <v>54</v>
      </c>
      <c r="O57" s="275">
        <v>1140</v>
      </c>
      <c r="P57" s="275">
        <v>9</v>
      </c>
      <c r="Q57" s="275">
        <f t="shared" si="1"/>
        <v>54</v>
      </c>
      <c r="S57" s="276">
        <v>56</v>
      </c>
      <c r="T57" s="276">
        <v>4120</v>
      </c>
      <c r="U57" s="276">
        <v>2</v>
      </c>
      <c r="V57" s="276">
        <v>101</v>
      </c>
    </row>
    <row r="58" spans="10:22" x14ac:dyDescent="0.3">
      <c r="J58" s="275">
        <v>55</v>
      </c>
      <c r="K58" s="275">
        <v>2110</v>
      </c>
      <c r="L58" s="275">
        <v>2</v>
      </c>
      <c r="M58" s="275">
        <f t="shared" si="0"/>
        <v>55</v>
      </c>
      <c r="N58" s="275">
        <v>55</v>
      </c>
      <c r="O58" s="275">
        <v>1140</v>
      </c>
      <c r="P58" s="275">
        <v>10</v>
      </c>
      <c r="Q58" s="275">
        <f t="shared" si="1"/>
        <v>55</v>
      </c>
      <c r="S58" s="276">
        <v>57</v>
      </c>
      <c r="T58" s="276">
        <v>4130</v>
      </c>
      <c r="U58" s="276">
        <v>3</v>
      </c>
      <c r="V58" s="276">
        <v>100</v>
      </c>
    </row>
    <row r="59" spans="10:22" x14ac:dyDescent="0.3">
      <c r="J59" s="275">
        <v>56</v>
      </c>
      <c r="K59" s="275">
        <v>2110</v>
      </c>
      <c r="L59" s="275">
        <v>3</v>
      </c>
      <c r="M59" s="275">
        <f t="shared" si="0"/>
        <v>56</v>
      </c>
      <c r="N59" s="275">
        <v>56</v>
      </c>
      <c r="O59" s="275">
        <v>1140</v>
      </c>
      <c r="P59" s="275">
        <v>11</v>
      </c>
      <c r="Q59" s="275">
        <f t="shared" si="1"/>
        <v>56</v>
      </c>
      <c r="S59" s="276">
        <v>58</v>
      </c>
      <c r="T59" s="276">
        <v>4140</v>
      </c>
      <c r="U59" s="276">
        <v>4</v>
      </c>
      <c r="V59" s="276">
        <v>100</v>
      </c>
    </row>
    <row r="60" spans="10:22" x14ac:dyDescent="0.3">
      <c r="J60" s="275">
        <v>57</v>
      </c>
      <c r="K60" s="275">
        <v>2110</v>
      </c>
      <c r="L60" s="275">
        <v>4</v>
      </c>
      <c r="M60" s="275">
        <f t="shared" si="0"/>
        <v>57</v>
      </c>
      <c r="N60" s="275">
        <v>57</v>
      </c>
      <c r="O60" s="275">
        <v>1140</v>
      </c>
      <c r="P60" s="275">
        <v>12</v>
      </c>
      <c r="Q60" s="275">
        <f t="shared" si="1"/>
        <v>57</v>
      </c>
      <c r="S60" s="276">
        <v>59</v>
      </c>
      <c r="T60" s="276">
        <v>4150</v>
      </c>
      <c r="U60" s="276">
        <v>5</v>
      </c>
      <c r="V60" s="276">
        <v>102</v>
      </c>
    </row>
    <row r="61" spans="10:22" x14ac:dyDescent="0.3">
      <c r="J61" s="275">
        <v>58</v>
      </c>
      <c r="K61" s="275">
        <v>2120</v>
      </c>
      <c r="L61" s="275">
        <v>2</v>
      </c>
      <c r="M61" s="275">
        <f t="shared" si="0"/>
        <v>58</v>
      </c>
      <c r="N61" s="275">
        <v>58</v>
      </c>
      <c r="O61" s="275">
        <v>1140</v>
      </c>
      <c r="P61" s="275">
        <v>13</v>
      </c>
      <c r="Q61" s="275">
        <f t="shared" si="1"/>
        <v>58</v>
      </c>
      <c r="S61" s="276">
        <v>60</v>
      </c>
      <c r="T61" s="276">
        <v>4160</v>
      </c>
      <c r="U61" s="276">
        <v>6</v>
      </c>
      <c r="V61" s="276">
        <v>102</v>
      </c>
    </row>
    <row r="62" spans="10:22" x14ac:dyDescent="0.3">
      <c r="J62" s="275">
        <v>59</v>
      </c>
      <c r="K62" s="275">
        <v>2120</v>
      </c>
      <c r="L62" s="275">
        <v>3</v>
      </c>
      <c r="M62" s="275">
        <f t="shared" si="0"/>
        <v>59</v>
      </c>
      <c r="N62" s="275">
        <v>59</v>
      </c>
      <c r="O62" s="275">
        <v>1140</v>
      </c>
      <c r="P62" s="275">
        <v>14</v>
      </c>
      <c r="Q62" s="275">
        <f t="shared" si="1"/>
        <v>59</v>
      </c>
      <c r="S62" s="276">
        <v>61</v>
      </c>
      <c r="T62" s="276">
        <v>4210</v>
      </c>
      <c r="U62" s="276">
        <v>1</v>
      </c>
      <c r="V62" s="276">
        <v>101</v>
      </c>
    </row>
    <row r="63" spans="10:22" x14ac:dyDescent="0.3">
      <c r="J63" s="275">
        <v>60</v>
      </c>
      <c r="K63" s="275">
        <v>2120</v>
      </c>
      <c r="L63" s="275">
        <v>4</v>
      </c>
      <c r="M63" s="275">
        <f t="shared" si="0"/>
        <v>60</v>
      </c>
      <c r="N63" s="275">
        <v>60</v>
      </c>
      <c r="O63" s="275">
        <v>1140</v>
      </c>
      <c r="P63" s="275">
        <v>15</v>
      </c>
      <c r="Q63" s="275">
        <f t="shared" si="1"/>
        <v>60</v>
      </c>
      <c r="S63" s="276">
        <v>62</v>
      </c>
      <c r="T63" s="276">
        <v>4220</v>
      </c>
      <c r="U63" s="276">
        <v>2</v>
      </c>
      <c r="V63" s="276">
        <v>101</v>
      </c>
    </row>
    <row r="64" spans="10:22" x14ac:dyDescent="0.3">
      <c r="J64" s="275">
        <v>61</v>
      </c>
      <c r="K64" s="275">
        <v>2130</v>
      </c>
      <c r="L64" s="275">
        <v>2</v>
      </c>
      <c r="M64" s="275">
        <f t="shared" si="0"/>
        <v>61</v>
      </c>
      <c r="N64" s="275">
        <v>61</v>
      </c>
      <c r="O64" s="275">
        <v>1150</v>
      </c>
      <c r="P64" s="275">
        <v>1</v>
      </c>
      <c r="Q64" s="275">
        <f t="shared" si="1"/>
        <v>61</v>
      </c>
      <c r="S64" s="276">
        <v>63</v>
      </c>
      <c r="T64" s="276">
        <v>4230</v>
      </c>
      <c r="U64" s="276">
        <v>3</v>
      </c>
      <c r="V64" s="276">
        <v>100</v>
      </c>
    </row>
    <row r="65" spans="10:22" x14ac:dyDescent="0.3">
      <c r="J65" s="275">
        <v>62</v>
      </c>
      <c r="K65" s="275">
        <v>2130</v>
      </c>
      <c r="L65" s="275">
        <v>3</v>
      </c>
      <c r="M65" s="275">
        <f t="shared" si="0"/>
        <v>62</v>
      </c>
      <c r="N65" s="275">
        <v>62</v>
      </c>
      <c r="O65" s="275">
        <v>1150</v>
      </c>
      <c r="P65" s="275">
        <v>2</v>
      </c>
      <c r="Q65" s="275">
        <f t="shared" si="1"/>
        <v>62</v>
      </c>
      <c r="S65" s="276">
        <v>64</v>
      </c>
      <c r="T65" s="276">
        <v>4240</v>
      </c>
      <c r="U65" s="276">
        <v>4</v>
      </c>
      <c r="V65" s="276">
        <v>100</v>
      </c>
    </row>
    <row r="66" spans="10:22" x14ac:dyDescent="0.3">
      <c r="J66" s="275">
        <v>63</v>
      </c>
      <c r="K66" s="275">
        <v>2130</v>
      </c>
      <c r="L66" s="275">
        <v>4</v>
      </c>
      <c r="M66" s="275">
        <f t="shared" si="0"/>
        <v>63</v>
      </c>
      <c r="N66" s="275">
        <v>63</v>
      </c>
      <c r="O66" s="275">
        <v>1150</v>
      </c>
      <c r="P66" s="275">
        <v>3</v>
      </c>
      <c r="Q66" s="275">
        <f t="shared" si="1"/>
        <v>63</v>
      </c>
      <c r="S66" s="276">
        <v>65</v>
      </c>
      <c r="T66" s="276">
        <v>4250</v>
      </c>
      <c r="U66" s="276">
        <v>5</v>
      </c>
      <c r="V66" s="276">
        <v>102</v>
      </c>
    </row>
    <row r="67" spans="10:22" x14ac:dyDescent="0.3">
      <c r="J67" s="275">
        <v>64</v>
      </c>
      <c r="K67" s="275">
        <v>2140</v>
      </c>
      <c r="L67" s="275">
        <v>2</v>
      </c>
      <c r="M67" s="275">
        <f t="shared" si="0"/>
        <v>64</v>
      </c>
      <c r="N67" s="275">
        <v>64</v>
      </c>
      <c r="O67" s="275">
        <v>1150</v>
      </c>
      <c r="P67" s="275">
        <v>4</v>
      </c>
      <c r="Q67" s="275">
        <f t="shared" si="1"/>
        <v>64</v>
      </c>
      <c r="S67" s="276">
        <v>66</v>
      </c>
      <c r="T67" s="276">
        <v>4260</v>
      </c>
      <c r="U67" s="276">
        <v>6</v>
      </c>
      <c r="V67" s="276">
        <v>102</v>
      </c>
    </row>
    <row r="68" spans="10:22" x14ac:dyDescent="0.3">
      <c r="J68" s="275">
        <v>65</v>
      </c>
      <c r="K68" s="275">
        <v>2140</v>
      </c>
      <c r="L68" s="275">
        <v>3</v>
      </c>
      <c r="M68" s="275">
        <f t="shared" si="0"/>
        <v>65</v>
      </c>
      <c r="N68" s="275">
        <v>65</v>
      </c>
      <c r="O68" s="275">
        <v>1150</v>
      </c>
      <c r="P68" s="275">
        <v>5</v>
      </c>
      <c r="Q68" s="275">
        <f t="shared" si="1"/>
        <v>65</v>
      </c>
      <c r="S68" s="276">
        <v>67</v>
      </c>
      <c r="T68" s="276">
        <v>4310</v>
      </c>
      <c r="U68" s="276">
        <v>1</v>
      </c>
      <c r="V68" s="276">
        <v>101</v>
      </c>
    </row>
    <row r="69" spans="10:22" x14ac:dyDescent="0.3">
      <c r="J69" s="275">
        <v>66</v>
      </c>
      <c r="K69" s="275">
        <v>2140</v>
      </c>
      <c r="L69" s="275">
        <v>4</v>
      </c>
      <c r="M69" s="275">
        <f t="shared" ref="M69:M132" si="3">J69</f>
        <v>66</v>
      </c>
      <c r="N69" s="275">
        <v>66</v>
      </c>
      <c r="O69" s="275">
        <v>1150</v>
      </c>
      <c r="P69" s="275">
        <v>6</v>
      </c>
      <c r="Q69" s="275">
        <f t="shared" ref="Q69:Q132" si="4">N69</f>
        <v>66</v>
      </c>
      <c r="S69" s="276">
        <v>68</v>
      </c>
      <c r="T69" s="276">
        <v>4320</v>
      </c>
      <c r="U69" s="276">
        <v>2</v>
      </c>
      <c r="V69" s="276">
        <v>101</v>
      </c>
    </row>
    <row r="70" spans="10:22" x14ac:dyDescent="0.3">
      <c r="J70" s="275">
        <v>67</v>
      </c>
      <c r="K70" s="275">
        <v>2150</v>
      </c>
      <c r="L70" s="275">
        <v>2</v>
      </c>
      <c r="M70" s="275">
        <f t="shared" si="3"/>
        <v>67</v>
      </c>
      <c r="N70" s="275">
        <v>67</v>
      </c>
      <c r="O70" s="275">
        <v>1150</v>
      </c>
      <c r="P70" s="275">
        <v>7</v>
      </c>
      <c r="Q70" s="275">
        <f t="shared" si="4"/>
        <v>67</v>
      </c>
      <c r="S70" s="276">
        <v>69</v>
      </c>
      <c r="T70" s="276">
        <v>4330</v>
      </c>
      <c r="U70" s="276">
        <v>3</v>
      </c>
      <c r="V70" s="276">
        <v>100</v>
      </c>
    </row>
    <row r="71" spans="10:22" x14ac:dyDescent="0.3">
      <c r="J71" s="275">
        <v>68</v>
      </c>
      <c r="K71" s="275">
        <v>2150</v>
      </c>
      <c r="L71" s="275">
        <v>3</v>
      </c>
      <c r="M71" s="275">
        <f t="shared" si="3"/>
        <v>68</v>
      </c>
      <c r="N71" s="275">
        <v>68</v>
      </c>
      <c r="O71" s="275">
        <v>1150</v>
      </c>
      <c r="P71" s="275">
        <v>8</v>
      </c>
      <c r="Q71" s="275">
        <f t="shared" si="4"/>
        <v>68</v>
      </c>
      <c r="S71" s="276">
        <v>70</v>
      </c>
      <c r="T71" s="276">
        <v>4340</v>
      </c>
      <c r="U71" s="276">
        <v>4</v>
      </c>
      <c r="V71" s="276">
        <v>100</v>
      </c>
    </row>
    <row r="72" spans="10:22" x14ac:dyDescent="0.3">
      <c r="J72" s="275">
        <v>69</v>
      </c>
      <c r="K72" s="275">
        <v>2150</v>
      </c>
      <c r="L72" s="275">
        <v>4</v>
      </c>
      <c r="M72" s="275">
        <f t="shared" si="3"/>
        <v>69</v>
      </c>
      <c r="N72" s="275">
        <v>69</v>
      </c>
      <c r="O72" s="275">
        <v>1150</v>
      </c>
      <c r="P72" s="275">
        <v>9</v>
      </c>
      <c r="Q72" s="275">
        <f t="shared" si="4"/>
        <v>69</v>
      </c>
      <c r="S72" s="276">
        <v>71</v>
      </c>
      <c r="T72" s="276">
        <v>4350</v>
      </c>
      <c r="U72" s="276">
        <v>5</v>
      </c>
      <c r="V72" s="276">
        <v>102</v>
      </c>
    </row>
    <row r="73" spans="10:22" x14ac:dyDescent="0.3">
      <c r="J73" s="275">
        <v>70</v>
      </c>
      <c r="K73" s="275">
        <v>2160</v>
      </c>
      <c r="L73" s="275">
        <v>2</v>
      </c>
      <c r="M73" s="275">
        <f t="shared" si="3"/>
        <v>70</v>
      </c>
      <c r="N73" s="275">
        <v>70</v>
      </c>
      <c r="O73" s="275">
        <v>1150</v>
      </c>
      <c r="P73" s="275">
        <v>10</v>
      </c>
      <c r="Q73" s="275">
        <f t="shared" si="4"/>
        <v>70</v>
      </c>
      <c r="S73" s="276">
        <v>72</v>
      </c>
      <c r="T73" s="276">
        <v>4360</v>
      </c>
      <c r="U73" s="276">
        <v>6</v>
      </c>
      <c r="V73" s="276">
        <v>102</v>
      </c>
    </row>
    <row r="74" spans="10:22" x14ac:dyDescent="0.3">
      <c r="J74" s="275">
        <v>71</v>
      </c>
      <c r="K74" s="275">
        <v>2160</v>
      </c>
      <c r="L74" s="275">
        <v>3</v>
      </c>
      <c r="M74" s="275">
        <f t="shared" si="3"/>
        <v>71</v>
      </c>
      <c r="N74" s="275">
        <v>71</v>
      </c>
      <c r="O74" s="275">
        <v>1150</v>
      </c>
      <c r="P74" s="275">
        <v>11</v>
      </c>
      <c r="Q74" s="275">
        <f t="shared" si="4"/>
        <v>71</v>
      </c>
    </row>
    <row r="75" spans="10:22" x14ac:dyDescent="0.3">
      <c r="J75" s="275">
        <v>72</v>
      </c>
      <c r="K75" s="275">
        <v>2160</v>
      </c>
      <c r="L75" s="275">
        <v>4</v>
      </c>
      <c r="M75" s="275">
        <f t="shared" si="3"/>
        <v>72</v>
      </c>
      <c r="N75" s="275">
        <v>72</v>
      </c>
      <c r="O75" s="275">
        <v>1150</v>
      </c>
      <c r="P75" s="275">
        <v>12</v>
      </c>
      <c r="Q75" s="275">
        <f t="shared" si="4"/>
        <v>72</v>
      </c>
    </row>
    <row r="76" spans="10:22" x14ac:dyDescent="0.3">
      <c r="J76" s="275">
        <v>73</v>
      </c>
      <c r="K76" s="275">
        <v>2210</v>
      </c>
      <c r="L76" s="275">
        <v>2</v>
      </c>
      <c r="M76" s="275">
        <f t="shared" si="3"/>
        <v>73</v>
      </c>
      <c r="N76" s="275">
        <v>73</v>
      </c>
      <c r="O76" s="275">
        <v>1150</v>
      </c>
      <c r="P76" s="275">
        <v>13</v>
      </c>
      <c r="Q76" s="275">
        <f t="shared" si="4"/>
        <v>73</v>
      </c>
    </row>
    <row r="77" spans="10:22" x14ac:dyDescent="0.3">
      <c r="J77" s="275">
        <v>74</v>
      </c>
      <c r="K77" s="275">
        <v>2210</v>
      </c>
      <c r="L77" s="275">
        <v>3</v>
      </c>
      <c r="M77" s="275">
        <f t="shared" si="3"/>
        <v>74</v>
      </c>
      <c r="N77" s="275">
        <v>74</v>
      </c>
      <c r="O77" s="275">
        <v>1150</v>
      </c>
      <c r="P77" s="275">
        <v>14</v>
      </c>
      <c r="Q77" s="275">
        <f t="shared" si="4"/>
        <v>74</v>
      </c>
    </row>
    <row r="78" spans="10:22" x14ac:dyDescent="0.3">
      <c r="J78" s="275">
        <v>75</v>
      </c>
      <c r="K78" s="275">
        <v>2210</v>
      </c>
      <c r="L78" s="275">
        <v>4</v>
      </c>
      <c r="M78" s="275">
        <f t="shared" si="3"/>
        <v>75</v>
      </c>
      <c r="N78" s="275">
        <v>75</v>
      </c>
      <c r="O78" s="275">
        <v>1150</v>
      </c>
      <c r="P78" s="275">
        <v>15</v>
      </c>
      <c r="Q78" s="275">
        <f t="shared" si="4"/>
        <v>75</v>
      </c>
    </row>
    <row r="79" spans="10:22" x14ac:dyDescent="0.3">
      <c r="J79" s="275">
        <v>76</v>
      </c>
      <c r="K79" s="275">
        <v>2220</v>
      </c>
      <c r="L79" s="275">
        <v>2</v>
      </c>
      <c r="M79" s="275">
        <f t="shared" si="3"/>
        <v>76</v>
      </c>
      <c r="N79" s="275">
        <v>76</v>
      </c>
      <c r="O79" s="275">
        <v>1160</v>
      </c>
      <c r="P79" s="275">
        <v>1</v>
      </c>
      <c r="Q79" s="275">
        <f t="shared" si="4"/>
        <v>76</v>
      </c>
    </row>
    <row r="80" spans="10:22" x14ac:dyDescent="0.3">
      <c r="J80" s="275">
        <v>77</v>
      </c>
      <c r="K80" s="275">
        <v>2220</v>
      </c>
      <c r="L80" s="275">
        <v>3</v>
      </c>
      <c r="M80" s="275">
        <f t="shared" si="3"/>
        <v>77</v>
      </c>
      <c r="N80" s="275">
        <v>77</v>
      </c>
      <c r="O80" s="275">
        <v>1160</v>
      </c>
      <c r="P80" s="275">
        <v>2</v>
      </c>
      <c r="Q80" s="275">
        <f t="shared" si="4"/>
        <v>77</v>
      </c>
    </row>
    <row r="81" spans="10:17" x14ac:dyDescent="0.3">
      <c r="J81" s="275">
        <v>78</v>
      </c>
      <c r="K81" s="275">
        <v>2220</v>
      </c>
      <c r="L81" s="275">
        <v>4</v>
      </c>
      <c r="M81" s="275">
        <f t="shared" si="3"/>
        <v>78</v>
      </c>
      <c r="N81" s="275">
        <v>78</v>
      </c>
      <c r="O81" s="275">
        <v>1160</v>
      </c>
      <c r="P81" s="275">
        <v>3</v>
      </c>
      <c r="Q81" s="275">
        <f t="shared" si="4"/>
        <v>78</v>
      </c>
    </row>
    <row r="82" spans="10:17" x14ac:dyDescent="0.3">
      <c r="J82" s="275">
        <v>79</v>
      </c>
      <c r="K82" s="275">
        <v>2230</v>
      </c>
      <c r="L82" s="275">
        <v>2</v>
      </c>
      <c r="M82" s="275">
        <f t="shared" si="3"/>
        <v>79</v>
      </c>
      <c r="N82" s="275">
        <v>79</v>
      </c>
      <c r="O82" s="275">
        <v>1160</v>
      </c>
      <c r="P82" s="275">
        <v>4</v>
      </c>
      <c r="Q82" s="275">
        <f t="shared" si="4"/>
        <v>79</v>
      </c>
    </row>
    <row r="83" spans="10:17" x14ac:dyDescent="0.3">
      <c r="J83" s="275">
        <v>80</v>
      </c>
      <c r="K83" s="275">
        <v>2230</v>
      </c>
      <c r="L83" s="275">
        <v>3</v>
      </c>
      <c r="M83" s="275">
        <f t="shared" si="3"/>
        <v>80</v>
      </c>
      <c r="N83" s="275">
        <v>80</v>
      </c>
      <c r="O83" s="275">
        <v>1160</v>
      </c>
      <c r="P83" s="275">
        <v>5</v>
      </c>
      <c r="Q83" s="275">
        <f t="shared" si="4"/>
        <v>80</v>
      </c>
    </row>
    <row r="84" spans="10:17" x14ac:dyDescent="0.3">
      <c r="J84" s="275">
        <v>81</v>
      </c>
      <c r="K84" s="275">
        <v>2230</v>
      </c>
      <c r="L84" s="275">
        <v>4</v>
      </c>
      <c r="M84" s="275">
        <f t="shared" si="3"/>
        <v>81</v>
      </c>
      <c r="N84" s="275">
        <v>81</v>
      </c>
      <c r="O84" s="275">
        <v>1160</v>
      </c>
      <c r="P84" s="275">
        <v>6</v>
      </c>
      <c r="Q84" s="275">
        <f t="shared" si="4"/>
        <v>81</v>
      </c>
    </row>
    <row r="85" spans="10:17" x14ac:dyDescent="0.3">
      <c r="J85" s="275">
        <v>82</v>
      </c>
      <c r="K85" s="275">
        <v>2240</v>
      </c>
      <c r="L85" s="275">
        <v>2</v>
      </c>
      <c r="M85" s="275">
        <f t="shared" si="3"/>
        <v>82</v>
      </c>
      <c r="N85" s="275">
        <v>82</v>
      </c>
      <c r="O85" s="275">
        <v>1160</v>
      </c>
      <c r="P85" s="275">
        <v>7</v>
      </c>
      <c r="Q85" s="275">
        <f t="shared" si="4"/>
        <v>82</v>
      </c>
    </row>
    <row r="86" spans="10:17" x14ac:dyDescent="0.3">
      <c r="J86" s="275">
        <v>83</v>
      </c>
      <c r="K86" s="275">
        <v>2240</v>
      </c>
      <c r="L86" s="275">
        <v>3</v>
      </c>
      <c r="M86" s="275">
        <f t="shared" si="3"/>
        <v>83</v>
      </c>
      <c r="N86" s="275">
        <v>83</v>
      </c>
      <c r="O86" s="275">
        <v>1160</v>
      </c>
      <c r="P86" s="275">
        <v>8</v>
      </c>
      <c r="Q86" s="275">
        <f t="shared" si="4"/>
        <v>83</v>
      </c>
    </row>
    <row r="87" spans="10:17" x14ac:dyDescent="0.3">
      <c r="J87" s="275">
        <v>84</v>
      </c>
      <c r="K87" s="275">
        <v>2240</v>
      </c>
      <c r="L87" s="275">
        <v>4</v>
      </c>
      <c r="M87" s="275">
        <f t="shared" si="3"/>
        <v>84</v>
      </c>
      <c r="N87" s="275">
        <v>84</v>
      </c>
      <c r="O87" s="275">
        <v>1160</v>
      </c>
      <c r="P87" s="275">
        <v>9</v>
      </c>
      <c r="Q87" s="275">
        <f t="shared" si="4"/>
        <v>84</v>
      </c>
    </row>
    <row r="88" spans="10:17" x14ac:dyDescent="0.3">
      <c r="J88" s="275">
        <v>85</v>
      </c>
      <c r="K88" s="275">
        <v>2250</v>
      </c>
      <c r="L88" s="275">
        <v>2</v>
      </c>
      <c r="M88" s="275">
        <f t="shared" si="3"/>
        <v>85</v>
      </c>
      <c r="N88" s="275">
        <v>85</v>
      </c>
      <c r="O88" s="275">
        <v>1160</v>
      </c>
      <c r="P88" s="275">
        <v>10</v>
      </c>
      <c r="Q88" s="275">
        <f t="shared" si="4"/>
        <v>85</v>
      </c>
    </row>
    <row r="89" spans="10:17" x14ac:dyDescent="0.3">
      <c r="J89" s="275">
        <v>86</v>
      </c>
      <c r="K89" s="275">
        <v>2250</v>
      </c>
      <c r="L89" s="275">
        <v>3</v>
      </c>
      <c r="M89" s="275">
        <f t="shared" si="3"/>
        <v>86</v>
      </c>
      <c r="N89" s="275">
        <v>86</v>
      </c>
      <c r="O89" s="275">
        <v>1160</v>
      </c>
      <c r="P89" s="275">
        <v>11</v>
      </c>
      <c r="Q89" s="275">
        <f t="shared" si="4"/>
        <v>86</v>
      </c>
    </row>
    <row r="90" spans="10:17" x14ac:dyDescent="0.3">
      <c r="J90" s="275">
        <v>87</v>
      </c>
      <c r="K90" s="275">
        <v>2250</v>
      </c>
      <c r="L90" s="275">
        <v>4</v>
      </c>
      <c r="M90" s="275">
        <f t="shared" si="3"/>
        <v>87</v>
      </c>
      <c r="N90" s="275">
        <v>87</v>
      </c>
      <c r="O90" s="275">
        <v>1160</v>
      </c>
      <c r="P90" s="275">
        <v>12</v>
      </c>
      <c r="Q90" s="275">
        <f t="shared" si="4"/>
        <v>87</v>
      </c>
    </row>
    <row r="91" spans="10:17" x14ac:dyDescent="0.3">
      <c r="J91" s="275">
        <v>88</v>
      </c>
      <c r="K91" s="275">
        <v>2260</v>
      </c>
      <c r="L91" s="275">
        <v>2</v>
      </c>
      <c r="M91" s="275">
        <f t="shared" si="3"/>
        <v>88</v>
      </c>
      <c r="N91" s="275">
        <v>88</v>
      </c>
      <c r="O91" s="275">
        <v>1160</v>
      </c>
      <c r="P91" s="275">
        <v>13</v>
      </c>
      <c r="Q91" s="275">
        <f t="shared" si="4"/>
        <v>88</v>
      </c>
    </row>
    <row r="92" spans="10:17" x14ac:dyDescent="0.3">
      <c r="J92" s="275">
        <v>89</v>
      </c>
      <c r="K92" s="275">
        <v>2260</v>
      </c>
      <c r="L92" s="275">
        <v>3</v>
      </c>
      <c r="M92" s="275">
        <f t="shared" si="3"/>
        <v>89</v>
      </c>
      <c r="N92" s="275">
        <v>89</v>
      </c>
      <c r="O92" s="275">
        <v>1160</v>
      </c>
      <c r="P92" s="275">
        <v>14</v>
      </c>
      <c r="Q92" s="275">
        <f t="shared" si="4"/>
        <v>89</v>
      </c>
    </row>
    <row r="93" spans="10:17" x14ac:dyDescent="0.3">
      <c r="J93" s="275">
        <v>90</v>
      </c>
      <c r="K93" s="275">
        <v>2260</v>
      </c>
      <c r="L93" s="275">
        <v>4</v>
      </c>
      <c r="M93" s="275">
        <f t="shared" si="3"/>
        <v>90</v>
      </c>
      <c r="N93" s="275">
        <v>90</v>
      </c>
      <c r="O93" s="275">
        <v>1160</v>
      </c>
      <c r="P93" s="275">
        <v>15</v>
      </c>
      <c r="Q93" s="275">
        <f t="shared" si="4"/>
        <v>90</v>
      </c>
    </row>
    <row r="94" spans="10:17" x14ac:dyDescent="0.3">
      <c r="J94" s="275">
        <v>91</v>
      </c>
      <c r="K94" s="275">
        <v>2310</v>
      </c>
      <c r="L94" s="275">
        <v>2</v>
      </c>
      <c r="M94" s="275">
        <f t="shared" si="3"/>
        <v>91</v>
      </c>
      <c r="N94" s="275">
        <v>91</v>
      </c>
      <c r="O94" s="275">
        <v>1210</v>
      </c>
      <c r="P94" s="275">
        <v>1</v>
      </c>
      <c r="Q94" s="275">
        <f t="shared" si="4"/>
        <v>91</v>
      </c>
    </row>
    <row r="95" spans="10:17" x14ac:dyDescent="0.3">
      <c r="J95" s="275">
        <v>92</v>
      </c>
      <c r="K95" s="275">
        <v>2310</v>
      </c>
      <c r="L95" s="275">
        <v>3</v>
      </c>
      <c r="M95" s="275">
        <f t="shared" si="3"/>
        <v>92</v>
      </c>
      <c r="N95" s="275">
        <v>92</v>
      </c>
      <c r="O95" s="275">
        <v>1210</v>
      </c>
      <c r="P95" s="275">
        <v>2</v>
      </c>
      <c r="Q95" s="275">
        <f t="shared" si="4"/>
        <v>92</v>
      </c>
    </row>
    <row r="96" spans="10:17" x14ac:dyDescent="0.3">
      <c r="J96" s="275">
        <v>93</v>
      </c>
      <c r="K96" s="275">
        <v>2310</v>
      </c>
      <c r="L96" s="275">
        <v>4</v>
      </c>
      <c r="M96" s="275">
        <f t="shared" si="3"/>
        <v>93</v>
      </c>
      <c r="N96" s="275">
        <v>93</v>
      </c>
      <c r="O96" s="275">
        <v>1210</v>
      </c>
      <c r="P96" s="275">
        <v>3</v>
      </c>
      <c r="Q96" s="275">
        <f t="shared" si="4"/>
        <v>93</v>
      </c>
    </row>
    <row r="97" spans="10:17" x14ac:dyDescent="0.3">
      <c r="J97" s="275">
        <v>94</v>
      </c>
      <c r="K97" s="275">
        <v>2320</v>
      </c>
      <c r="L97" s="275">
        <v>2</v>
      </c>
      <c r="M97" s="275">
        <f t="shared" si="3"/>
        <v>94</v>
      </c>
      <c r="N97" s="275">
        <v>94</v>
      </c>
      <c r="O97" s="275">
        <v>1210</v>
      </c>
      <c r="P97" s="275">
        <v>4</v>
      </c>
      <c r="Q97" s="275">
        <f t="shared" si="4"/>
        <v>94</v>
      </c>
    </row>
    <row r="98" spans="10:17" x14ac:dyDescent="0.3">
      <c r="J98" s="275">
        <v>95</v>
      </c>
      <c r="K98" s="275">
        <v>2320</v>
      </c>
      <c r="L98" s="275">
        <v>3</v>
      </c>
      <c r="M98" s="275">
        <f t="shared" si="3"/>
        <v>95</v>
      </c>
      <c r="N98" s="275">
        <v>95</v>
      </c>
      <c r="O98" s="275">
        <v>1210</v>
      </c>
      <c r="P98" s="275">
        <v>5</v>
      </c>
      <c r="Q98" s="275">
        <f t="shared" si="4"/>
        <v>95</v>
      </c>
    </row>
    <row r="99" spans="10:17" x14ac:dyDescent="0.3">
      <c r="J99" s="275">
        <v>96</v>
      </c>
      <c r="K99" s="275">
        <v>2320</v>
      </c>
      <c r="L99" s="275">
        <v>4</v>
      </c>
      <c r="M99" s="275">
        <f t="shared" si="3"/>
        <v>96</v>
      </c>
      <c r="N99" s="275">
        <v>96</v>
      </c>
      <c r="O99" s="275">
        <v>1210</v>
      </c>
      <c r="P99" s="275">
        <v>6</v>
      </c>
      <c r="Q99" s="275">
        <f t="shared" si="4"/>
        <v>96</v>
      </c>
    </row>
    <row r="100" spans="10:17" x14ac:dyDescent="0.3">
      <c r="J100" s="275">
        <v>97</v>
      </c>
      <c r="K100" s="275">
        <v>2330</v>
      </c>
      <c r="L100" s="275">
        <v>2</v>
      </c>
      <c r="M100" s="275">
        <f t="shared" si="3"/>
        <v>97</v>
      </c>
      <c r="N100" s="275">
        <v>97</v>
      </c>
      <c r="O100" s="275">
        <v>1210</v>
      </c>
      <c r="P100" s="275">
        <v>7</v>
      </c>
      <c r="Q100" s="275">
        <f t="shared" si="4"/>
        <v>97</v>
      </c>
    </row>
    <row r="101" spans="10:17" x14ac:dyDescent="0.3">
      <c r="J101" s="275">
        <v>98</v>
      </c>
      <c r="K101" s="275">
        <v>2330</v>
      </c>
      <c r="L101" s="275">
        <v>3</v>
      </c>
      <c r="M101" s="275">
        <f t="shared" si="3"/>
        <v>98</v>
      </c>
      <c r="N101" s="275">
        <v>98</v>
      </c>
      <c r="O101" s="275">
        <v>1210</v>
      </c>
      <c r="P101" s="275">
        <v>8</v>
      </c>
      <c r="Q101" s="275">
        <f t="shared" si="4"/>
        <v>98</v>
      </c>
    </row>
    <row r="102" spans="10:17" x14ac:dyDescent="0.3">
      <c r="J102" s="275">
        <v>99</v>
      </c>
      <c r="K102" s="275">
        <v>2330</v>
      </c>
      <c r="L102" s="275">
        <v>4</v>
      </c>
      <c r="M102" s="275">
        <f t="shared" si="3"/>
        <v>99</v>
      </c>
      <c r="N102" s="275">
        <v>99</v>
      </c>
      <c r="O102" s="275">
        <v>1210</v>
      </c>
      <c r="P102" s="275">
        <v>9</v>
      </c>
      <c r="Q102" s="275">
        <f t="shared" si="4"/>
        <v>99</v>
      </c>
    </row>
    <row r="103" spans="10:17" x14ac:dyDescent="0.3">
      <c r="J103" s="275">
        <v>100</v>
      </c>
      <c r="K103" s="275">
        <v>2340</v>
      </c>
      <c r="L103" s="275">
        <v>2</v>
      </c>
      <c r="M103" s="275">
        <f t="shared" si="3"/>
        <v>100</v>
      </c>
      <c r="N103" s="275">
        <v>100</v>
      </c>
      <c r="O103" s="275">
        <v>1210</v>
      </c>
      <c r="P103" s="275">
        <v>10</v>
      </c>
      <c r="Q103" s="275">
        <f t="shared" si="4"/>
        <v>100</v>
      </c>
    </row>
    <row r="104" spans="10:17" x14ac:dyDescent="0.3">
      <c r="J104" s="275">
        <v>101</v>
      </c>
      <c r="K104" s="275">
        <v>2340</v>
      </c>
      <c r="L104" s="275">
        <v>3</v>
      </c>
      <c r="M104" s="275">
        <f t="shared" si="3"/>
        <v>101</v>
      </c>
      <c r="N104" s="275">
        <v>101</v>
      </c>
      <c r="O104" s="275">
        <v>1210</v>
      </c>
      <c r="P104" s="275">
        <v>11</v>
      </c>
      <c r="Q104" s="275">
        <f t="shared" si="4"/>
        <v>101</v>
      </c>
    </row>
    <row r="105" spans="10:17" x14ac:dyDescent="0.3">
      <c r="J105" s="275">
        <v>102</v>
      </c>
      <c r="K105" s="275">
        <v>2340</v>
      </c>
      <c r="L105" s="275">
        <v>4</v>
      </c>
      <c r="M105" s="275">
        <f t="shared" si="3"/>
        <v>102</v>
      </c>
      <c r="N105" s="275">
        <v>102</v>
      </c>
      <c r="O105" s="275">
        <v>1210</v>
      </c>
      <c r="P105" s="275">
        <v>12</v>
      </c>
      <c r="Q105" s="275">
        <f t="shared" si="4"/>
        <v>102</v>
      </c>
    </row>
    <row r="106" spans="10:17" x14ac:dyDescent="0.3">
      <c r="J106" s="275">
        <v>103</v>
      </c>
      <c r="K106" s="275">
        <v>2350</v>
      </c>
      <c r="L106" s="275">
        <v>2</v>
      </c>
      <c r="M106" s="275">
        <f t="shared" si="3"/>
        <v>103</v>
      </c>
      <c r="N106" s="275">
        <v>103</v>
      </c>
      <c r="O106" s="275">
        <v>1210</v>
      </c>
      <c r="P106" s="275">
        <v>13</v>
      </c>
      <c r="Q106" s="275">
        <f t="shared" si="4"/>
        <v>103</v>
      </c>
    </row>
    <row r="107" spans="10:17" x14ac:dyDescent="0.3">
      <c r="J107" s="275">
        <v>104</v>
      </c>
      <c r="K107" s="275">
        <v>2350</v>
      </c>
      <c r="L107" s="275">
        <v>3</v>
      </c>
      <c r="M107" s="275">
        <f t="shared" si="3"/>
        <v>104</v>
      </c>
      <c r="N107" s="275">
        <v>104</v>
      </c>
      <c r="O107" s="275">
        <v>1210</v>
      </c>
      <c r="P107" s="275">
        <v>14</v>
      </c>
      <c r="Q107" s="275">
        <f t="shared" si="4"/>
        <v>104</v>
      </c>
    </row>
    <row r="108" spans="10:17" x14ac:dyDescent="0.3">
      <c r="J108" s="275">
        <v>105</v>
      </c>
      <c r="K108" s="275">
        <v>2350</v>
      </c>
      <c r="L108" s="275">
        <v>4</v>
      </c>
      <c r="M108" s="275">
        <f t="shared" si="3"/>
        <v>105</v>
      </c>
      <c r="N108" s="275">
        <v>105</v>
      </c>
      <c r="O108" s="275">
        <v>1210</v>
      </c>
      <c r="P108" s="275">
        <v>15</v>
      </c>
      <c r="Q108" s="275">
        <f t="shared" si="4"/>
        <v>105</v>
      </c>
    </row>
    <row r="109" spans="10:17" x14ac:dyDescent="0.3">
      <c r="J109" s="275">
        <v>106</v>
      </c>
      <c r="K109" s="275">
        <v>2360</v>
      </c>
      <c r="L109" s="275">
        <v>2</v>
      </c>
      <c r="M109" s="275">
        <f t="shared" si="3"/>
        <v>106</v>
      </c>
      <c r="N109" s="275">
        <v>106</v>
      </c>
      <c r="O109" s="275">
        <v>1220</v>
      </c>
      <c r="P109" s="275">
        <v>1</v>
      </c>
      <c r="Q109" s="275">
        <f t="shared" si="4"/>
        <v>106</v>
      </c>
    </row>
    <row r="110" spans="10:17" x14ac:dyDescent="0.3">
      <c r="J110" s="275">
        <v>107</v>
      </c>
      <c r="K110" s="275">
        <v>2360</v>
      </c>
      <c r="L110" s="275">
        <v>3</v>
      </c>
      <c r="M110" s="275">
        <f t="shared" si="3"/>
        <v>107</v>
      </c>
      <c r="N110" s="275">
        <v>107</v>
      </c>
      <c r="O110" s="275">
        <v>1220</v>
      </c>
      <c r="P110" s="275">
        <v>2</v>
      </c>
      <c r="Q110" s="275">
        <f t="shared" si="4"/>
        <v>107</v>
      </c>
    </row>
    <row r="111" spans="10:17" x14ac:dyDescent="0.3">
      <c r="J111" s="275">
        <v>108</v>
      </c>
      <c r="K111" s="275">
        <v>2360</v>
      </c>
      <c r="L111" s="275">
        <v>4</v>
      </c>
      <c r="M111" s="275">
        <f t="shared" si="3"/>
        <v>108</v>
      </c>
      <c r="N111" s="275">
        <v>108</v>
      </c>
      <c r="O111" s="275">
        <v>1220</v>
      </c>
      <c r="P111" s="275">
        <v>3</v>
      </c>
      <c r="Q111" s="275">
        <f t="shared" si="4"/>
        <v>108</v>
      </c>
    </row>
    <row r="112" spans="10:17" x14ac:dyDescent="0.3">
      <c r="J112" s="275">
        <v>109</v>
      </c>
      <c r="K112" s="275">
        <v>3110</v>
      </c>
      <c r="L112" s="275">
        <v>3</v>
      </c>
      <c r="M112" s="275">
        <f t="shared" si="3"/>
        <v>109</v>
      </c>
      <c r="N112" s="275">
        <v>109</v>
      </c>
      <c r="O112" s="275">
        <v>1220</v>
      </c>
      <c r="P112" s="275">
        <v>4</v>
      </c>
      <c r="Q112" s="275">
        <f t="shared" si="4"/>
        <v>109</v>
      </c>
    </row>
    <row r="113" spans="10:17" x14ac:dyDescent="0.3">
      <c r="J113" s="275">
        <v>110</v>
      </c>
      <c r="K113" s="275">
        <v>3110</v>
      </c>
      <c r="L113" s="275">
        <v>4</v>
      </c>
      <c r="M113" s="275">
        <f t="shared" si="3"/>
        <v>110</v>
      </c>
      <c r="N113" s="275">
        <v>110</v>
      </c>
      <c r="O113" s="275">
        <v>1220</v>
      </c>
      <c r="P113" s="275">
        <v>5</v>
      </c>
      <c r="Q113" s="275">
        <f t="shared" si="4"/>
        <v>110</v>
      </c>
    </row>
    <row r="114" spans="10:17" x14ac:dyDescent="0.3">
      <c r="J114" s="275">
        <v>111</v>
      </c>
      <c r="K114" s="275">
        <v>3110</v>
      </c>
      <c r="L114" s="275">
        <v>5</v>
      </c>
      <c r="M114" s="275">
        <f t="shared" si="3"/>
        <v>111</v>
      </c>
      <c r="N114" s="275">
        <v>111</v>
      </c>
      <c r="O114" s="275">
        <v>1220</v>
      </c>
      <c r="P114" s="275">
        <v>6</v>
      </c>
      <c r="Q114" s="275">
        <f t="shared" si="4"/>
        <v>111</v>
      </c>
    </row>
    <row r="115" spans="10:17" x14ac:dyDescent="0.3">
      <c r="J115" s="275">
        <v>112</v>
      </c>
      <c r="K115" s="275">
        <v>3120</v>
      </c>
      <c r="L115" s="275">
        <v>3</v>
      </c>
      <c r="M115" s="275">
        <f t="shared" si="3"/>
        <v>112</v>
      </c>
      <c r="N115" s="275">
        <v>112</v>
      </c>
      <c r="O115" s="275">
        <v>1220</v>
      </c>
      <c r="P115" s="275">
        <v>7</v>
      </c>
      <c r="Q115" s="275">
        <f t="shared" si="4"/>
        <v>112</v>
      </c>
    </row>
    <row r="116" spans="10:17" x14ac:dyDescent="0.3">
      <c r="J116" s="275">
        <v>113</v>
      </c>
      <c r="K116" s="275">
        <v>3120</v>
      </c>
      <c r="L116" s="275">
        <v>4</v>
      </c>
      <c r="M116" s="275">
        <f t="shared" si="3"/>
        <v>113</v>
      </c>
      <c r="N116" s="275">
        <v>113</v>
      </c>
      <c r="O116" s="275">
        <v>1220</v>
      </c>
      <c r="P116" s="275">
        <v>8</v>
      </c>
      <c r="Q116" s="275">
        <f t="shared" si="4"/>
        <v>113</v>
      </c>
    </row>
    <row r="117" spans="10:17" x14ac:dyDescent="0.3">
      <c r="J117" s="275">
        <v>114</v>
      </c>
      <c r="K117" s="275">
        <v>3120</v>
      </c>
      <c r="L117" s="275">
        <v>5</v>
      </c>
      <c r="M117" s="275">
        <f t="shared" si="3"/>
        <v>114</v>
      </c>
      <c r="N117" s="275">
        <v>114</v>
      </c>
      <c r="O117" s="275">
        <v>1220</v>
      </c>
      <c r="P117" s="275">
        <v>9</v>
      </c>
      <c r="Q117" s="275">
        <f t="shared" si="4"/>
        <v>114</v>
      </c>
    </row>
    <row r="118" spans="10:17" x14ac:dyDescent="0.3">
      <c r="J118" s="275">
        <v>115</v>
      </c>
      <c r="K118" s="275">
        <v>3130</v>
      </c>
      <c r="L118" s="275">
        <v>3</v>
      </c>
      <c r="M118" s="275">
        <f t="shared" si="3"/>
        <v>115</v>
      </c>
      <c r="N118" s="275">
        <v>115</v>
      </c>
      <c r="O118" s="275">
        <v>1220</v>
      </c>
      <c r="P118" s="275">
        <v>10</v>
      </c>
      <c r="Q118" s="275">
        <f t="shared" si="4"/>
        <v>115</v>
      </c>
    </row>
    <row r="119" spans="10:17" x14ac:dyDescent="0.3">
      <c r="J119" s="275">
        <v>116</v>
      </c>
      <c r="K119" s="275">
        <v>3130</v>
      </c>
      <c r="L119" s="275">
        <v>4</v>
      </c>
      <c r="M119" s="275">
        <f t="shared" si="3"/>
        <v>116</v>
      </c>
      <c r="N119" s="275">
        <v>116</v>
      </c>
      <c r="O119" s="275">
        <v>1220</v>
      </c>
      <c r="P119" s="275">
        <v>11</v>
      </c>
      <c r="Q119" s="275">
        <f t="shared" si="4"/>
        <v>116</v>
      </c>
    </row>
    <row r="120" spans="10:17" x14ac:dyDescent="0.3">
      <c r="J120" s="275">
        <v>117</v>
      </c>
      <c r="K120" s="275">
        <v>3130</v>
      </c>
      <c r="L120" s="275">
        <v>5</v>
      </c>
      <c r="M120" s="275">
        <f t="shared" si="3"/>
        <v>117</v>
      </c>
      <c r="N120" s="275">
        <v>117</v>
      </c>
      <c r="O120" s="275">
        <v>1220</v>
      </c>
      <c r="P120" s="275">
        <v>12</v>
      </c>
      <c r="Q120" s="275">
        <f t="shared" si="4"/>
        <v>117</v>
      </c>
    </row>
    <row r="121" spans="10:17" x14ac:dyDescent="0.3">
      <c r="J121" s="275">
        <v>118</v>
      </c>
      <c r="K121" s="275">
        <v>3140</v>
      </c>
      <c r="L121" s="275">
        <v>3</v>
      </c>
      <c r="M121" s="275">
        <f t="shared" si="3"/>
        <v>118</v>
      </c>
      <c r="N121" s="275">
        <v>118</v>
      </c>
      <c r="O121" s="275">
        <v>1220</v>
      </c>
      <c r="P121" s="275">
        <v>13</v>
      </c>
      <c r="Q121" s="275">
        <f t="shared" si="4"/>
        <v>118</v>
      </c>
    </row>
    <row r="122" spans="10:17" x14ac:dyDescent="0.3">
      <c r="J122" s="275">
        <v>119</v>
      </c>
      <c r="K122" s="275">
        <v>3140</v>
      </c>
      <c r="L122" s="275">
        <v>4</v>
      </c>
      <c r="M122" s="275">
        <f t="shared" si="3"/>
        <v>119</v>
      </c>
      <c r="N122" s="275">
        <v>119</v>
      </c>
      <c r="O122" s="275">
        <v>1220</v>
      </c>
      <c r="P122" s="275">
        <v>14</v>
      </c>
      <c r="Q122" s="275">
        <f t="shared" si="4"/>
        <v>119</v>
      </c>
    </row>
    <row r="123" spans="10:17" x14ac:dyDescent="0.3">
      <c r="J123" s="275">
        <v>120</v>
      </c>
      <c r="K123" s="275">
        <v>3140</v>
      </c>
      <c r="L123" s="275">
        <v>5</v>
      </c>
      <c r="M123" s="275">
        <f t="shared" si="3"/>
        <v>120</v>
      </c>
      <c r="N123" s="275">
        <v>120</v>
      </c>
      <c r="O123" s="275">
        <v>1220</v>
      </c>
      <c r="P123" s="275">
        <v>15</v>
      </c>
      <c r="Q123" s="275">
        <f t="shared" si="4"/>
        <v>120</v>
      </c>
    </row>
    <row r="124" spans="10:17" x14ac:dyDescent="0.3">
      <c r="J124" s="275">
        <v>121</v>
      </c>
      <c r="K124" s="275">
        <v>3150</v>
      </c>
      <c r="L124" s="275">
        <v>3</v>
      </c>
      <c r="M124" s="275">
        <f t="shared" si="3"/>
        <v>121</v>
      </c>
      <c r="N124" s="275">
        <v>121</v>
      </c>
      <c r="O124" s="275">
        <v>1230</v>
      </c>
      <c r="P124" s="275">
        <v>1</v>
      </c>
      <c r="Q124" s="275">
        <f t="shared" si="4"/>
        <v>121</v>
      </c>
    </row>
    <row r="125" spans="10:17" x14ac:dyDescent="0.3">
      <c r="J125" s="275">
        <v>122</v>
      </c>
      <c r="K125" s="275">
        <v>3150</v>
      </c>
      <c r="L125" s="275">
        <v>4</v>
      </c>
      <c r="M125" s="275">
        <f t="shared" si="3"/>
        <v>122</v>
      </c>
      <c r="N125" s="275">
        <v>122</v>
      </c>
      <c r="O125" s="275">
        <v>1230</v>
      </c>
      <c r="P125" s="275">
        <v>2</v>
      </c>
      <c r="Q125" s="275">
        <f t="shared" si="4"/>
        <v>122</v>
      </c>
    </row>
    <row r="126" spans="10:17" x14ac:dyDescent="0.3">
      <c r="J126" s="275">
        <v>123</v>
      </c>
      <c r="K126" s="275">
        <v>3150</v>
      </c>
      <c r="L126" s="275">
        <v>5</v>
      </c>
      <c r="M126" s="275">
        <f t="shared" si="3"/>
        <v>123</v>
      </c>
      <c r="N126" s="275">
        <v>123</v>
      </c>
      <c r="O126" s="275">
        <v>1230</v>
      </c>
      <c r="P126" s="275">
        <v>3</v>
      </c>
      <c r="Q126" s="275">
        <f t="shared" si="4"/>
        <v>123</v>
      </c>
    </row>
    <row r="127" spans="10:17" x14ac:dyDescent="0.3">
      <c r="J127" s="275">
        <v>124</v>
      </c>
      <c r="K127" s="275">
        <v>3160</v>
      </c>
      <c r="L127" s="275">
        <v>3</v>
      </c>
      <c r="M127" s="275">
        <f t="shared" si="3"/>
        <v>124</v>
      </c>
      <c r="N127" s="275">
        <v>124</v>
      </c>
      <c r="O127" s="275">
        <v>1230</v>
      </c>
      <c r="P127" s="275">
        <v>4</v>
      </c>
      <c r="Q127" s="275">
        <f t="shared" si="4"/>
        <v>124</v>
      </c>
    </row>
    <row r="128" spans="10:17" x14ac:dyDescent="0.3">
      <c r="J128" s="275">
        <v>125</v>
      </c>
      <c r="K128" s="275">
        <v>3160</v>
      </c>
      <c r="L128" s="275">
        <v>4</v>
      </c>
      <c r="M128" s="275">
        <f t="shared" si="3"/>
        <v>125</v>
      </c>
      <c r="N128" s="275">
        <v>125</v>
      </c>
      <c r="O128" s="275">
        <v>1230</v>
      </c>
      <c r="P128" s="275">
        <v>5</v>
      </c>
      <c r="Q128" s="275">
        <f t="shared" si="4"/>
        <v>125</v>
      </c>
    </row>
    <row r="129" spans="10:17" x14ac:dyDescent="0.3">
      <c r="J129" s="275">
        <v>126</v>
      </c>
      <c r="K129" s="275">
        <v>3160</v>
      </c>
      <c r="L129" s="275">
        <v>5</v>
      </c>
      <c r="M129" s="275">
        <f t="shared" si="3"/>
        <v>126</v>
      </c>
      <c r="N129" s="275">
        <v>126</v>
      </c>
      <c r="O129" s="275">
        <v>1230</v>
      </c>
      <c r="P129" s="275">
        <v>6</v>
      </c>
      <c r="Q129" s="275">
        <f t="shared" si="4"/>
        <v>126</v>
      </c>
    </row>
    <row r="130" spans="10:17" x14ac:dyDescent="0.3">
      <c r="J130" s="275">
        <v>127</v>
      </c>
      <c r="K130" s="275">
        <v>3210</v>
      </c>
      <c r="L130" s="275">
        <v>3</v>
      </c>
      <c r="M130" s="275">
        <f t="shared" si="3"/>
        <v>127</v>
      </c>
      <c r="N130" s="275">
        <v>127</v>
      </c>
      <c r="O130" s="275">
        <v>1230</v>
      </c>
      <c r="P130" s="275">
        <v>7</v>
      </c>
      <c r="Q130" s="275">
        <f t="shared" si="4"/>
        <v>127</v>
      </c>
    </row>
    <row r="131" spans="10:17" x14ac:dyDescent="0.3">
      <c r="J131" s="275">
        <v>128</v>
      </c>
      <c r="K131" s="275">
        <v>3210</v>
      </c>
      <c r="L131" s="275">
        <v>4</v>
      </c>
      <c r="M131" s="275">
        <f t="shared" si="3"/>
        <v>128</v>
      </c>
      <c r="N131" s="275">
        <v>128</v>
      </c>
      <c r="O131" s="275">
        <v>1230</v>
      </c>
      <c r="P131" s="275">
        <v>8</v>
      </c>
      <c r="Q131" s="275">
        <f t="shared" si="4"/>
        <v>128</v>
      </c>
    </row>
    <row r="132" spans="10:17" x14ac:dyDescent="0.3">
      <c r="J132" s="275">
        <v>129</v>
      </c>
      <c r="K132" s="275">
        <v>3210</v>
      </c>
      <c r="L132" s="275">
        <v>5</v>
      </c>
      <c r="M132" s="275">
        <f t="shared" si="3"/>
        <v>129</v>
      </c>
      <c r="N132" s="275">
        <v>129</v>
      </c>
      <c r="O132" s="275">
        <v>1230</v>
      </c>
      <c r="P132" s="275">
        <v>9</v>
      </c>
      <c r="Q132" s="275">
        <f t="shared" si="4"/>
        <v>129</v>
      </c>
    </row>
    <row r="133" spans="10:17" x14ac:dyDescent="0.3">
      <c r="J133" s="275">
        <v>130</v>
      </c>
      <c r="K133" s="275">
        <v>3220</v>
      </c>
      <c r="L133" s="275">
        <v>3</v>
      </c>
      <c r="M133" s="275">
        <f t="shared" ref="M133:M196" si="5">J133</f>
        <v>130</v>
      </c>
      <c r="N133" s="275">
        <v>130</v>
      </c>
      <c r="O133" s="275">
        <v>1230</v>
      </c>
      <c r="P133" s="275">
        <v>10</v>
      </c>
      <c r="Q133" s="275">
        <f t="shared" ref="Q133:Q196" si="6">N133</f>
        <v>130</v>
      </c>
    </row>
    <row r="134" spans="10:17" x14ac:dyDescent="0.3">
      <c r="J134" s="275">
        <v>131</v>
      </c>
      <c r="K134" s="275">
        <v>3220</v>
      </c>
      <c r="L134" s="275">
        <v>4</v>
      </c>
      <c r="M134" s="275">
        <f t="shared" si="5"/>
        <v>131</v>
      </c>
      <c r="N134" s="275">
        <v>131</v>
      </c>
      <c r="O134" s="275">
        <v>1230</v>
      </c>
      <c r="P134" s="275">
        <v>11</v>
      </c>
      <c r="Q134" s="275">
        <f t="shared" si="6"/>
        <v>131</v>
      </c>
    </row>
    <row r="135" spans="10:17" x14ac:dyDescent="0.3">
      <c r="J135" s="275">
        <v>132</v>
      </c>
      <c r="K135" s="275">
        <v>3220</v>
      </c>
      <c r="L135" s="275">
        <v>5</v>
      </c>
      <c r="M135" s="275">
        <f t="shared" si="5"/>
        <v>132</v>
      </c>
      <c r="N135" s="275">
        <v>132</v>
      </c>
      <c r="O135" s="275">
        <v>1230</v>
      </c>
      <c r="P135" s="275">
        <v>12</v>
      </c>
      <c r="Q135" s="275">
        <f t="shared" si="6"/>
        <v>132</v>
      </c>
    </row>
    <row r="136" spans="10:17" x14ac:dyDescent="0.3">
      <c r="J136" s="275">
        <v>133</v>
      </c>
      <c r="K136" s="275">
        <v>3230</v>
      </c>
      <c r="L136" s="275">
        <v>3</v>
      </c>
      <c r="M136" s="275">
        <f t="shared" si="5"/>
        <v>133</v>
      </c>
      <c r="N136" s="275">
        <v>133</v>
      </c>
      <c r="O136" s="275">
        <v>1230</v>
      </c>
      <c r="P136" s="275">
        <v>13</v>
      </c>
      <c r="Q136" s="275">
        <f t="shared" si="6"/>
        <v>133</v>
      </c>
    </row>
    <row r="137" spans="10:17" x14ac:dyDescent="0.3">
      <c r="J137" s="275">
        <v>134</v>
      </c>
      <c r="K137" s="275">
        <v>3230</v>
      </c>
      <c r="L137" s="275">
        <v>4</v>
      </c>
      <c r="M137" s="275">
        <f t="shared" si="5"/>
        <v>134</v>
      </c>
      <c r="N137" s="275">
        <v>134</v>
      </c>
      <c r="O137" s="275">
        <v>1230</v>
      </c>
      <c r="P137" s="275">
        <v>14</v>
      </c>
      <c r="Q137" s="275">
        <f t="shared" si="6"/>
        <v>134</v>
      </c>
    </row>
    <row r="138" spans="10:17" x14ac:dyDescent="0.3">
      <c r="J138" s="275">
        <v>135</v>
      </c>
      <c r="K138" s="275">
        <v>3230</v>
      </c>
      <c r="L138" s="275">
        <v>5</v>
      </c>
      <c r="M138" s="275">
        <f t="shared" si="5"/>
        <v>135</v>
      </c>
      <c r="N138" s="275">
        <v>135</v>
      </c>
      <c r="O138" s="275">
        <v>1230</v>
      </c>
      <c r="P138" s="275">
        <v>15</v>
      </c>
      <c r="Q138" s="275">
        <f t="shared" si="6"/>
        <v>135</v>
      </c>
    </row>
    <row r="139" spans="10:17" x14ac:dyDescent="0.3">
      <c r="J139" s="275">
        <v>136</v>
      </c>
      <c r="K139" s="275">
        <v>3240</v>
      </c>
      <c r="L139" s="275">
        <v>3</v>
      </c>
      <c r="M139" s="275">
        <f t="shared" si="5"/>
        <v>136</v>
      </c>
      <c r="N139" s="275">
        <v>136</v>
      </c>
      <c r="O139" s="275">
        <v>1240</v>
      </c>
      <c r="P139" s="275">
        <v>1</v>
      </c>
      <c r="Q139" s="275">
        <f t="shared" si="6"/>
        <v>136</v>
      </c>
    </row>
    <row r="140" spans="10:17" x14ac:dyDescent="0.3">
      <c r="J140" s="275">
        <v>137</v>
      </c>
      <c r="K140" s="275">
        <v>3240</v>
      </c>
      <c r="L140" s="275">
        <v>4</v>
      </c>
      <c r="M140" s="275">
        <f t="shared" si="5"/>
        <v>137</v>
      </c>
      <c r="N140" s="275">
        <v>137</v>
      </c>
      <c r="O140" s="275">
        <v>1240</v>
      </c>
      <c r="P140" s="275">
        <v>2</v>
      </c>
      <c r="Q140" s="275">
        <f t="shared" si="6"/>
        <v>137</v>
      </c>
    </row>
    <row r="141" spans="10:17" x14ac:dyDescent="0.3">
      <c r="J141" s="275">
        <v>138</v>
      </c>
      <c r="K141" s="275">
        <v>3240</v>
      </c>
      <c r="L141" s="275">
        <v>5</v>
      </c>
      <c r="M141" s="275">
        <f t="shared" si="5"/>
        <v>138</v>
      </c>
      <c r="N141" s="275">
        <v>138</v>
      </c>
      <c r="O141" s="275">
        <v>1240</v>
      </c>
      <c r="P141" s="275">
        <v>3</v>
      </c>
      <c r="Q141" s="275">
        <f t="shared" si="6"/>
        <v>138</v>
      </c>
    </row>
    <row r="142" spans="10:17" x14ac:dyDescent="0.3">
      <c r="J142" s="275">
        <v>139</v>
      </c>
      <c r="K142" s="275">
        <v>3250</v>
      </c>
      <c r="L142" s="275">
        <v>3</v>
      </c>
      <c r="M142" s="275">
        <f t="shared" si="5"/>
        <v>139</v>
      </c>
      <c r="N142" s="275">
        <v>139</v>
      </c>
      <c r="O142" s="275">
        <v>1240</v>
      </c>
      <c r="P142" s="275">
        <v>4</v>
      </c>
      <c r="Q142" s="275">
        <f t="shared" si="6"/>
        <v>139</v>
      </c>
    </row>
    <row r="143" spans="10:17" x14ac:dyDescent="0.3">
      <c r="J143" s="275">
        <v>140</v>
      </c>
      <c r="K143" s="275">
        <v>3250</v>
      </c>
      <c r="L143" s="275">
        <v>4</v>
      </c>
      <c r="M143" s="275">
        <f t="shared" si="5"/>
        <v>140</v>
      </c>
      <c r="N143" s="275">
        <v>140</v>
      </c>
      <c r="O143" s="275">
        <v>1240</v>
      </c>
      <c r="P143" s="275">
        <v>5</v>
      </c>
      <c r="Q143" s="275">
        <f t="shared" si="6"/>
        <v>140</v>
      </c>
    </row>
    <row r="144" spans="10:17" x14ac:dyDescent="0.3">
      <c r="J144" s="275">
        <v>141</v>
      </c>
      <c r="K144" s="275">
        <v>3250</v>
      </c>
      <c r="L144" s="275">
        <v>5</v>
      </c>
      <c r="M144" s="275">
        <f t="shared" si="5"/>
        <v>141</v>
      </c>
      <c r="N144" s="275">
        <v>141</v>
      </c>
      <c r="O144" s="275">
        <v>1240</v>
      </c>
      <c r="P144" s="275">
        <v>6</v>
      </c>
      <c r="Q144" s="275">
        <f t="shared" si="6"/>
        <v>141</v>
      </c>
    </row>
    <row r="145" spans="10:17" x14ac:dyDescent="0.3">
      <c r="J145" s="275">
        <v>142</v>
      </c>
      <c r="K145" s="275">
        <v>3260</v>
      </c>
      <c r="L145" s="275">
        <v>3</v>
      </c>
      <c r="M145" s="275">
        <f t="shared" si="5"/>
        <v>142</v>
      </c>
      <c r="N145" s="275">
        <v>142</v>
      </c>
      <c r="O145" s="275">
        <v>1240</v>
      </c>
      <c r="P145" s="275">
        <v>7</v>
      </c>
      <c r="Q145" s="275">
        <f t="shared" si="6"/>
        <v>142</v>
      </c>
    </row>
    <row r="146" spans="10:17" x14ac:dyDescent="0.3">
      <c r="J146" s="275">
        <v>143</v>
      </c>
      <c r="K146" s="275">
        <v>3260</v>
      </c>
      <c r="L146" s="275">
        <v>4</v>
      </c>
      <c r="M146" s="275">
        <f t="shared" si="5"/>
        <v>143</v>
      </c>
      <c r="N146" s="275">
        <v>143</v>
      </c>
      <c r="O146" s="275">
        <v>1240</v>
      </c>
      <c r="P146" s="275">
        <v>8</v>
      </c>
      <c r="Q146" s="275">
        <f t="shared" si="6"/>
        <v>143</v>
      </c>
    </row>
    <row r="147" spans="10:17" x14ac:dyDescent="0.3">
      <c r="J147" s="275">
        <v>144</v>
      </c>
      <c r="K147" s="275">
        <v>3260</v>
      </c>
      <c r="L147" s="275">
        <v>5</v>
      </c>
      <c r="M147" s="275">
        <f t="shared" si="5"/>
        <v>144</v>
      </c>
      <c r="N147" s="275">
        <v>144</v>
      </c>
      <c r="O147" s="275">
        <v>1240</v>
      </c>
      <c r="P147" s="275">
        <v>9</v>
      </c>
      <c r="Q147" s="275">
        <f t="shared" si="6"/>
        <v>144</v>
      </c>
    </row>
    <row r="148" spans="10:17" x14ac:dyDescent="0.3">
      <c r="J148" s="275">
        <v>145</v>
      </c>
      <c r="K148" s="275">
        <v>3310</v>
      </c>
      <c r="L148" s="275">
        <v>3</v>
      </c>
      <c r="M148" s="275">
        <f t="shared" si="5"/>
        <v>145</v>
      </c>
      <c r="N148" s="275">
        <v>145</v>
      </c>
      <c r="O148" s="275">
        <v>1240</v>
      </c>
      <c r="P148" s="275">
        <v>10</v>
      </c>
      <c r="Q148" s="275">
        <f t="shared" si="6"/>
        <v>145</v>
      </c>
    </row>
    <row r="149" spans="10:17" x14ac:dyDescent="0.3">
      <c r="J149" s="275">
        <v>146</v>
      </c>
      <c r="K149" s="275">
        <v>3310</v>
      </c>
      <c r="L149" s="275">
        <v>4</v>
      </c>
      <c r="M149" s="275">
        <f t="shared" si="5"/>
        <v>146</v>
      </c>
      <c r="N149" s="275">
        <v>146</v>
      </c>
      <c r="O149" s="275">
        <v>1240</v>
      </c>
      <c r="P149" s="275">
        <v>11</v>
      </c>
      <c r="Q149" s="275">
        <f t="shared" si="6"/>
        <v>146</v>
      </c>
    </row>
    <row r="150" spans="10:17" x14ac:dyDescent="0.3">
      <c r="J150" s="275">
        <v>147</v>
      </c>
      <c r="K150" s="275">
        <v>3310</v>
      </c>
      <c r="L150" s="275">
        <v>5</v>
      </c>
      <c r="M150" s="275">
        <f t="shared" si="5"/>
        <v>147</v>
      </c>
      <c r="N150" s="275">
        <v>147</v>
      </c>
      <c r="O150" s="275">
        <v>1240</v>
      </c>
      <c r="P150" s="275">
        <v>12</v>
      </c>
      <c r="Q150" s="275">
        <f t="shared" si="6"/>
        <v>147</v>
      </c>
    </row>
    <row r="151" spans="10:17" x14ac:dyDescent="0.3">
      <c r="J151" s="275">
        <v>148</v>
      </c>
      <c r="K151" s="275">
        <v>3320</v>
      </c>
      <c r="L151" s="275">
        <v>3</v>
      </c>
      <c r="M151" s="275">
        <f t="shared" si="5"/>
        <v>148</v>
      </c>
      <c r="N151" s="275">
        <v>148</v>
      </c>
      <c r="O151" s="275">
        <v>1240</v>
      </c>
      <c r="P151" s="275">
        <v>13</v>
      </c>
      <c r="Q151" s="275">
        <f t="shared" si="6"/>
        <v>148</v>
      </c>
    </row>
    <row r="152" spans="10:17" x14ac:dyDescent="0.3">
      <c r="J152" s="275">
        <v>149</v>
      </c>
      <c r="K152" s="275">
        <v>3320</v>
      </c>
      <c r="L152" s="275">
        <v>4</v>
      </c>
      <c r="M152" s="275">
        <f t="shared" si="5"/>
        <v>149</v>
      </c>
      <c r="N152" s="275">
        <v>149</v>
      </c>
      <c r="O152" s="275">
        <v>1240</v>
      </c>
      <c r="P152" s="275">
        <v>14</v>
      </c>
      <c r="Q152" s="275">
        <f t="shared" si="6"/>
        <v>149</v>
      </c>
    </row>
    <row r="153" spans="10:17" x14ac:dyDescent="0.3">
      <c r="J153" s="275">
        <v>150</v>
      </c>
      <c r="K153" s="275">
        <v>3320</v>
      </c>
      <c r="L153" s="275">
        <v>5</v>
      </c>
      <c r="M153" s="275">
        <f t="shared" si="5"/>
        <v>150</v>
      </c>
      <c r="N153" s="275">
        <v>150</v>
      </c>
      <c r="O153" s="275">
        <v>1240</v>
      </c>
      <c r="P153" s="275">
        <v>15</v>
      </c>
      <c r="Q153" s="275">
        <f t="shared" si="6"/>
        <v>150</v>
      </c>
    </row>
    <row r="154" spans="10:17" x14ac:dyDescent="0.3">
      <c r="J154" s="275">
        <v>151</v>
      </c>
      <c r="K154" s="275">
        <v>3330</v>
      </c>
      <c r="L154" s="275">
        <v>3</v>
      </c>
      <c r="M154" s="275">
        <f t="shared" si="5"/>
        <v>151</v>
      </c>
      <c r="N154" s="275">
        <v>151</v>
      </c>
      <c r="O154" s="275">
        <v>1250</v>
      </c>
      <c r="P154" s="275">
        <v>1</v>
      </c>
      <c r="Q154" s="275">
        <f t="shared" si="6"/>
        <v>151</v>
      </c>
    </row>
    <row r="155" spans="10:17" x14ac:dyDescent="0.3">
      <c r="J155" s="275">
        <v>152</v>
      </c>
      <c r="K155" s="275">
        <v>3330</v>
      </c>
      <c r="L155" s="275">
        <v>4</v>
      </c>
      <c r="M155" s="275">
        <f t="shared" si="5"/>
        <v>152</v>
      </c>
      <c r="N155" s="275">
        <v>152</v>
      </c>
      <c r="O155" s="275">
        <v>1250</v>
      </c>
      <c r="P155" s="275">
        <v>2</v>
      </c>
      <c r="Q155" s="275">
        <f t="shared" si="6"/>
        <v>152</v>
      </c>
    </row>
    <row r="156" spans="10:17" x14ac:dyDescent="0.3">
      <c r="J156" s="275">
        <v>153</v>
      </c>
      <c r="K156" s="275">
        <v>3330</v>
      </c>
      <c r="L156" s="275">
        <v>5</v>
      </c>
      <c r="M156" s="275">
        <f t="shared" si="5"/>
        <v>153</v>
      </c>
      <c r="N156" s="275">
        <v>153</v>
      </c>
      <c r="O156" s="275">
        <v>1250</v>
      </c>
      <c r="P156" s="275">
        <v>3</v>
      </c>
      <c r="Q156" s="275">
        <f t="shared" si="6"/>
        <v>153</v>
      </c>
    </row>
    <row r="157" spans="10:17" x14ac:dyDescent="0.3">
      <c r="J157" s="275">
        <v>154</v>
      </c>
      <c r="K157" s="275">
        <v>3340</v>
      </c>
      <c r="L157" s="275">
        <v>3</v>
      </c>
      <c r="M157" s="275">
        <f t="shared" si="5"/>
        <v>154</v>
      </c>
      <c r="N157" s="275">
        <v>154</v>
      </c>
      <c r="O157" s="275">
        <v>1250</v>
      </c>
      <c r="P157" s="275">
        <v>4</v>
      </c>
      <c r="Q157" s="275">
        <f t="shared" si="6"/>
        <v>154</v>
      </c>
    </row>
    <row r="158" spans="10:17" x14ac:dyDescent="0.3">
      <c r="J158" s="275">
        <v>155</v>
      </c>
      <c r="K158" s="275">
        <v>3340</v>
      </c>
      <c r="L158" s="275">
        <v>4</v>
      </c>
      <c r="M158" s="275">
        <f t="shared" si="5"/>
        <v>155</v>
      </c>
      <c r="N158" s="275">
        <v>155</v>
      </c>
      <c r="O158" s="275">
        <v>1250</v>
      </c>
      <c r="P158" s="275">
        <v>5</v>
      </c>
      <c r="Q158" s="275">
        <f t="shared" si="6"/>
        <v>155</v>
      </c>
    </row>
    <row r="159" spans="10:17" x14ac:dyDescent="0.3">
      <c r="J159" s="275">
        <v>156</v>
      </c>
      <c r="K159" s="275">
        <v>3340</v>
      </c>
      <c r="L159" s="275">
        <v>5</v>
      </c>
      <c r="M159" s="275">
        <f t="shared" si="5"/>
        <v>156</v>
      </c>
      <c r="N159" s="275">
        <v>156</v>
      </c>
      <c r="O159" s="275">
        <v>1250</v>
      </c>
      <c r="P159" s="275">
        <v>6</v>
      </c>
      <c r="Q159" s="275">
        <f t="shared" si="6"/>
        <v>156</v>
      </c>
    </row>
    <row r="160" spans="10:17" x14ac:dyDescent="0.3">
      <c r="J160" s="275">
        <v>157</v>
      </c>
      <c r="K160" s="275">
        <v>3350</v>
      </c>
      <c r="L160" s="275">
        <v>3</v>
      </c>
      <c r="M160" s="275">
        <f t="shared" si="5"/>
        <v>157</v>
      </c>
      <c r="N160" s="275">
        <v>157</v>
      </c>
      <c r="O160" s="275">
        <v>1250</v>
      </c>
      <c r="P160" s="275">
        <v>7</v>
      </c>
      <c r="Q160" s="275">
        <f t="shared" si="6"/>
        <v>157</v>
      </c>
    </row>
    <row r="161" spans="10:17" x14ac:dyDescent="0.3">
      <c r="J161" s="275">
        <v>158</v>
      </c>
      <c r="K161" s="275">
        <v>3350</v>
      </c>
      <c r="L161" s="275">
        <v>4</v>
      </c>
      <c r="M161" s="275">
        <f t="shared" si="5"/>
        <v>158</v>
      </c>
      <c r="N161" s="275">
        <v>158</v>
      </c>
      <c r="O161" s="275">
        <v>1250</v>
      </c>
      <c r="P161" s="275">
        <v>8</v>
      </c>
      <c r="Q161" s="275">
        <f t="shared" si="6"/>
        <v>158</v>
      </c>
    </row>
    <row r="162" spans="10:17" x14ac:dyDescent="0.3">
      <c r="J162" s="275">
        <v>159</v>
      </c>
      <c r="K162" s="275">
        <v>3350</v>
      </c>
      <c r="L162" s="275">
        <v>5</v>
      </c>
      <c r="M162" s="275">
        <f t="shared" si="5"/>
        <v>159</v>
      </c>
      <c r="N162" s="275">
        <v>159</v>
      </c>
      <c r="O162" s="275">
        <v>1250</v>
      </c>
      <c r="P162" s="275">
        <v>9</v>
      </c>
      <c r="Q162" s="275">
        <f t="shared" si="6"/>
        <v>159</v>
      </c>
    </row>
    <row r="163" spans="10:17" x14ac:dyDescent="0.3">
      <c r="J163" s="275">
        <v>160</v>
      </c>
      <c r="K163" s="275">
        <v>3360</v>
      </c>
      <c r="L163" s="275">
        <v>3</v>
      </c>
      <c r="M163" s="275">
        <f t="shared" si="5"/>
        <v>160</v>
      </c>
      <c r="N163" s="275">
        <v>160</v>
      </c>
      <c r="O163" s="275">
        <v>1250</v>
      </c>
      <c r="P163" s="275">
        <v>10</v>
      </c>
      <c r="Q163" s="275">
        <f t="shared" si="6"/>
        <v>160</v>
      </c>
    </row>
    <row r="164" spans="10:17" x14ac:dyDescent="0.3">
      <c r="J164" s="275">
        <v>161</v>
      </c>
      <c r="K164" s="275">
        <v>3360</v>
      </c>
      <c r="L164" s="275">
        <v>4</v>
      </c>
      <c r="M164" s="275">
        <f t="shared" si="5"/>
        <v>161</v>
      </c>
      <c r="N164" s="275">
        <v>161</v>
      </c>
      <c r="O164" s="275">
        <v>1250</v>
      </c>
      <c r="P164" s="275">
        <v>11</v>
      </c>
      <c r="Q164" s="275">
        <f t="shared" si="6"/>
        <v>161</v>
      </c>
    </row>
    <row r="165" spans="10:17" x14ac:dyDescent="0.3">
      <c r="J165" s="275">
        <v>162</v>
      </c>
      <c r="K165" s="275">
        <v>3360</v>
      </c>
      <c r="L165" s="275">
        <v>5</v>
      </c>
      <c r="M165" s="275">
        <f t="shared" si="5"/>
        <v>162</v>
      </c>
      <c r="N165" s="275">
        <v>162</v>
      </c>
      <c r="O165" s="275">
        <v>1250</v>
      </c>
      <c r="P165" s="275">
        <v>12</v>
      </c>
      <c r="Q165" s="275">
        <f t="shared" si="6"/>
        <v>162</v>
      </c>
    </row>
    <row r="166" spans="10:17" x14ac:dyDescent="0.3">
      <c r="M166" s="275">
        <f t="shared" si="5"/>
        <v>0</v>
      </c>
      <c r="N166" s="275">
        <v>163</v>
      </c>
      <c r="O166" s="275">
        <v>1250</v>
      </c>
      <c r="P166" s="275">
        <v>13</v>
      </c>
      <c r="Q166" s="275">
        <f t="shared" si="6"/>
        <v>163</v>
      </c>
    </row>
    <row r="167" spans="10:17" x14ac:dyDescent="0.3">
      <c r="M167" s="275">
        <f t="shared" si="5"/>
        <v>0</v>
      </c>
      <c r="N167" s="275">
        <v>164</v>
      </c>
      <c r="O167" s="275">
        <v>1250</v>
      </c>
      <c r="P167" s="275">
        <v>14</v>
      </c>
      <c r="Q167" s="275">
        <f t="shared" si="6"/>
        <v>164</v>
      </c>
    </row>
    <row r="168" spans="10:17" x14ac:dyDescent="0.3">
      <c r="M168" s="275">
        <f t="shared" si="5"/>
        <v>0</v>
      </c>
      <c r="N168" s="275">
        <v>165</v>
      </c>
      <c r="O168" s="275">
        <v>1250</v>
      </c>
      <c r="P168" s="275">
        <v>15</v>
      </c>
      <c r="Q168" s="275">
        <f t="shared" si="6"/>
        <v>165</v>
      </c>
    </row>
    <row r="169" spans="10:17" x14ac:dyDescent="0.3">
      <c r="M169" s="275">
        <f t="shared" si="5"/>
        <v>0</v>
      </c>
      <c r="N169" s="275">
        <v>166</v>
      </c>
      <c r="O169" s="275">
        <v>1260</v>
      </c>
      <c r="P169" s="275">
        <v>1</v>
      </c>
      <c r="Q169" s="275">
        <f t="shared" si="6"/>
        <v>166</v>
      </c>
    </row>
    <row r="170" spans="10:17" x14ac:dyDescent="0.3">
      <c r="M170" s="275">
        <f t="shared" si="5"/>
        <v>0</v>
      </c>
      <c r="N170" s="275">
        <v>167</v>
      </c>
      <c r="O170" s="275">
        <v>1260</v>
      </c>
      <c r="P170" s="275">
        <v>2</v>
      </c>
      <c r="Q170" s="275">
        <f t="shared" si="6"/>
        <v>167</v>
      </c>
    </row>
    <row r="171" spans="10:17" x14ac:dyDescent="0.3">
      <c r="M171" s="275">
        <f t="shared" si="5"/>
        <v>0</v>
      </c>
      <c r="N171" s="275">
        <v>168</v>
      </c>
      <c r="O171" s="275">
        <v>1260</v>
      </c>
      <c r="P171" s="275">
        <v>3</v>
      </c>
      <c r="Q171" s="275">
        <f t="shared" si="6"/>
        <v>168</v>
      </c>
    </row>
    <row r="172" spans="10:17" x14ac:dyDescent="0.3">
      <c r="M172" s="275">
        <f t="shared" si="5"/>
        <v>0</v>
      </c>
      <c r="N172" s="275">
        <v>169</v>
      </c>
      <c r="O172" s="275">
        <v>1260</v>
      </c>
      <c r="P172" s="275">
        <v>4</v>
      </c>
      <c r="Q172" s="275">
        <f t="shared" si="6"/>
        <v>169</v>
      </c>
    </row>
    <row r="173" spans="10:17" x14ac:dyDescent="0.3">
      <c r="M173" s="275">
        <f t="shared" si="5"/>
        <v>0</v>
      </c>
      <c r="N173" s="275">
        <v>170</v>
      </c>
      <c r="O173" s="275">
        <v>1260</v>
      </c>
      <c r="P173" s="275">
        <v>5</v>
      </c>
      <c r="Q173" s="275">
        <f t="shared" si="6"/>
        <v>170</v>
      </c>
    </row>
    <row r="174" spans="10:17" x14ac:dyDescent="0.3">
      <c r="M174" s="275">
        <f t="shared" si="5"/>
        <v>0</v>
      </c>
      <c r="N174" s="275">
        <v>171</v>
      </c>
      <c r="O174" s="275">
        <v>1260</v>
      </c>
      <c r="P174" s="275">
        <v>6</v>
      </c>
      <c r="Q174" s="275">
        <f t="shared" si="6"/>
        <v>171</v>
      </c>
    </row>
    <row r="175" spans="10:17" x14ac:dyDescent="0.3">
      <c r="M175" s="275">
        <f t="shared" si="5"/>
        <v>0</v>
      </c>
      <c r="N175" s="275">
        <v>172</v>
      </c>
      <c r="O175" s="275">
        <v>1260</v>
      </c>
      <c r="P175" s="275">
        <v>7</v>
      </c>
      <c r="Q175" s="275">
        <f t="shared" si="6"/>
        <v>172</v>
      </c>
    </row>
    <row r="176" spans="10:17" x14ac:dyDescent="0.3">
      <c r="M176" s="275">
        <f t="shared" si="5"/>
        <v>0</v>
      </c>
      <c r="N176" s="275">
        <v>173</v>
      </c>
      <c r="O176" s="275">
        <v>1260</v>
      </c>
      <c r="P176" s="275">
        <v>8</v>
      </c>
      <c r="Q176" s="275">
        <f t="shared" si="6"/>
        <v>173</v>
      </c>
    </row>
    <row r="177" spans="13:17" x14ac:dyDescent="0.3">
      <c r="M177" s="275">
        <f t="shared" si="5"/>
        <v>0</v>
      </c>
      <c r="N177" s="275">
        <v>174</v>
      </c>
      <c r="O177" s="275">
        <v>1260</v>
      </c>
      <c r="P177" s="275">
        <v>9</v>
      </c>
      <c r="Q177" s="275">
        <f t="shared" si="6"/>
        <v>174</v>
      </c>
    </row>
    <row r="178" spans="13:17" x14ac:dyDescent="0.3">
      <c r="M178" s="275">
        <f t="shared" si="5"/>
        <v>0</v>
      </c>
      <c r="N178" s="275">
        <v>175</v>
      </c>
      <c r="O178" s="275">
        <v>1260</v>
      </c>
      <c r="P178" s="275">
        <v>10</v>
      </c>
      <c r="Q178" s="275">
        <f t="shared" si="6"/>
        <v>175</v>
      </c>
    </row>
    <row r="179" spans="13:17" x14ac:dyDescent="0.3">
      <c r="M179" s="275">
        <f t="shared" si="5"/>
        <v>0</v>
      </c>
      <c r="N179" s="275">
        <v>176</v>
      </c>
      <c r="O179" s="275">
        <v>1260</v>
      </c>
      <c r="P179" s="275">
        <v>11</v>
      </c>
      <c r="Q179" s="275">
        <f t="shared" si="6"/>
        <v>176</v>
      </c>
    </row>
    <row r="180" spans="13:17" x14ac:dyDescent="0.3">
      <c r="M180" s="275">
        <f t="shared" si="5"/>
        <v>0</v>
      </c>
      <c r="N180" s="275">
        <v>177</v>
      </c>
      <c r="O180" s="275">
        <v>1260</v>
      </c>
      <c r="P180" s="275">
        <v>12</v>
      </c>
      <c r="Q180" s="275">
        <f t="shared" si="6"/>
        <v>177</v>
      </c>
    </row>
    <row r="181" spans="13:17" x14ac:dyDescent="0.3">
      <c r="M181" s="275">
        <f t="shared" si="5"/>
        <v>0</v>
      </c>
      <c r="N181" s="275">
        <v>178</v>
      </c>
      <c r="O181" s="275">
        <v>1260</v>
      </c>
      <c r="P181" s="275">
        <v>13</v>
      </c>
      <c r="Q181" s="275">
        <f t="shared" si="6"/>
        <v>178</v>
      </c>
    </row>
    <row r="182" spans="13:17" x14ac:dyDescent="0.3">
      <c r="M182" s="275">
        <f t="shared" si="5"/>
        <v>0</v>
      </c>
      <c r="N182" s="275">
        <v>179</v>
      </c>
      <c r="O182" s="275">
        <v>1260</v>
      </c>
      <c r="P182" s="275">
        <v>14</v>
      </c>
      <c r="Q182" s="275">
        <f t="shared" si="6"/>
        <v>179</v>
      </c>
    </row>
    <row r="183" spans="13:17" x14ac:dyDescent="0.3">
      <c r="M183" s="275">
        <f t="shared" si="5"/>
        <v>0</v>
      </c>
      <c r="N183" s="275">
        <v>180</v>
      </c>
      <c r="O183" s="275">
        <v>1260</v>
      </c>
      <c r="P183" s="275">
        <v>15</v>
      </c>
      <c r="Q183" s="275">
        <f t="shared" si="6"/>
        <v>180</v>
      </c>
    </row>
    <row r="184" spans="13:17" x14ac:dyDescent="0.3">
      <c r="M184" s="275">
        <f t="shared" si="5"/>
        <v>0</v>
      </c>
      <c r="N184" s="275">
        <v>181</v>
      </c>
      <c r="O184" s="275">
        <v>1310</v>
      </c>
      <c r="P184" s="275">
        <v>1</v>
      </c>
      <c r="Q184" s="275">
        <f t="shared" si="6"/>
        <v>181</v>
      </c>
    </row>
    <row r="185" spans="13:17" x14ac:dyDescent="0.3">
      <c r="M185" s="275">
        <f t="shared" si="5"/>
        <v>0</v>
      </c>
      <c r="N185" s="275">
        <v>182</v>
      </c>
      <c r="O185" s="275">
        <v>1310</v>
      </c>
      <c r="P185" s="275">
        <v>2</v>
      </c>
      <c r="Q185" s="275">
        <f t="shared" si="6"/>
        <v>182</v>
      </c>
    </row>
    <row r="186" spans="13:17" x14ac:dyDescent="0.3">
      <c r="M186" s="275">
        <f t="shared" si="5"/>
        <v>0</v>
      </c>
      <c r="N186" s="275">
        <v>183</v>
      </c>
      <c r="O186" s="275">
        <v>1310</v>
      </c>
      <c r="P186" s="275">
        <v>3</v>
      </c>
      <c r="Q186" s="275">
        <f t="shared" si="6"/>
        <v>183</v>
      </c>
    </row>
    <row r="187" spans="13:17" x14ac:dyDescent="0.3">
      <c r="M187" s="275">
        <f t="shared" si="5"/>
        <v>0</v>
      </c>
      <c r="N187" s="275">
        <v>184</v>
      </c>
      <c r="O187" s="275">
        <v>1310</v>
      </c>
      <c r="P187" s="275">
        <v>4</v>
      </c>
      <c r="Q187" s="275">
        <f t="shared" si="6"/>
        <v>184</v>
      </c>
    </row>
    <row r="188" spans="13:17" x14ac:dyDescent="0.3">
      <c r="M188" s="275">
        <f t="shared" si="5"/>
        <v>0</v>
      </c>
      <c r="N188" s="275">
        <v>185</v>
      </c>
      <c r="O188" s="275">
        <v>1310</v>
      </c>
      <c r="P188" s="275">
        <v>5</v>
      </c>
      <c r="Q188" s="275">
        <f t="shared" si="6"/>
        <v>185</v>
      </c>
    </row>
    <row r="189" spans="13:17" x14ac:dyDescent="0.3">
      <c r="M189" s="275">
        <f t="shared" si="5"/>
        <v>0</v>
      </c>
      <c r="N189" s="275">
        <v>186</v>
      </c>
      <c r="O189" s="275">
        <v>1310</v>
      </c>
      <c r="P189" s="275">
        <v>6</v>
      </c>
      <c r="Q189" s="275">
        <f t="shared" si="6"/>
        <v>186</v>
      </c>
    </row>
    <row r="190" spans="13:17" x14ac:dyDescent="0.3">
      <c r="M190" s="275">
        <f t="shared" si="5"/>
        <v>0</v>
      </c>
      <c r="N190" s="275">
        <v>187</v>
      </c>
      <c r="O190" s="275">
        <v>1310</v>
      </c>
      <c r="P190" s="275">
        <v>7</v>
      </c>
      <c r="Q190" s="275">
        <f t="shared" si="6"/>
        <v>187</v>
      </c>
    </row>
    <row r="191" spans="13:17" x14ac:dyDescent="0.3">
      <c r="M191" s="275">
        <f t="shared" si="5"/>
        <v>0</v>
      </c>
      <c r="N191" s="275">
        <v>188</v>
      </c>
      <c r="O191" s="275">
        <v>1310</v>
      </c>
      <c r="P191" s="275">
        <v>8</v>
      </c>
      <c r="Q191" s="275">
        <f t="shared" si="6"/>
        <v>188</v>
      </c>
    </row>
    <row r="192" spans="13:17" x14ac:dyDescent="0.3">
      <c r="M192" s="275">
        <f t="shared" si="5"/>
        <v>0</v>
      </c>
      <c r="N192" s="275">
        <v>189</v>
      </c>
      <c r="O192" s="275">
        <v>1310</v>
      </c>
      <c r="P192" s="275">
        <v>9</v>
      </c>
      <c r="Q192" s="275">
        <f t="shared" si="6"/>
        <v>189</v>
      </c>
    </row>
    <row r="193" spans="13:17" x14ac:dyDescent="0.3">
      <c r="M193" s="275">
        <f t="shared" si="5"/>
        <v>0</v>
      </c>
      <c r="N193" s="275">
        <v>190</v>
      </c>
      <c r="O193" s="275">
        <v>1310</v>
      </c>
      <c r="P193" s="275">
        <v>10</v>
      </c>
      <c r="Q193" s="275">
        <f t="shared" si="6"/>
        <v>190</v>
      </c>
    </row>
    <row r="194" spans="13:17" x14ac:dyDescent="0.3">
      <c r="M194" s="275">
        <f t="shared" si="5"/>
        <v>0</v>
      </c>
      <c r="N194" s="275">
        <v>191</v>
      </c>
      <c r="O194" s="275">
        <v>1310</v>
      </c>
      <c r="P194" s="275">
        <v>11</v>
      </c>
      <c r="Q194" s="275">
        <f t="shared" si="6"/>
        <v>191</v>
      </c>
    </row>
    <row r="195" spans="13:17" x14ac:dyDescent="0.3">
      <c r="M195" s="275">
        <f t="shared" si="5"/>
        <v>0</v>
      </c>
      <c r="N195" s="275">
        <v>192</v>
      </c>
      <c r="O195" s="275">
        <v>1310</v>
      </c>
      <c r="P195" s="275">
        <v>12</v>
      </c>
      <c r="Q195" s="275">
        <f t="shared" si="6"/>
        <v>192</v>
      </c>
    </row>
    <row r="196" spans="13:17" x14ac:dyDescent="0.3">
      <c r="M196" s="275">
        <f t="shared" si="5"/>
        <v>0</v>
      </c>
      <c r="N196" s="275">
        <v>193</v>
      </c>
      <c r="O196" s="275">
        <v>1310</v>
      </c>
      <c r="P196" s="275">
        <v>13</v>
      </c>
      <c r="Q196" s="275">
        <f t="shared" si="6"/>
        <v>193</v>
      </c>
    </row>
    <row r="197" spans="13:17" x14ac:dyDescent="0.3">
      <c r="M197" s="275">
        <f t="shared" ref="M197:M260" si="7">J197</f>
        <v>0</v>
      </c>
      <c r="N197" s="275">
        <v>194</v>
      </c>
      <c r="O197" s="275">
        <v>1310</v>
      </c>
      <c r="P197" s="275">
        <v>14</v>
      </c>
      <c r="Q197" s="275">
        <f t="shared" ref="Q197:Q260" si="8">N197</f>
        <v>194</v>
      </c>
    </row>
    <row r="198" spans="13:17" x14ac:dyDescent="0.3">
      <c r="M198" s="275">
        <f t="shared" si="7"/>
        <v>0</v>
      </c>
      <c r="N198" s="275">
        <v>195</v>
      </c>
      <c r="O198" s="275">
        <v>1310</v>
      </c>
      <c r="P198" s="275">
        <v>15</v>
      </c>
      <c r="Q198" s="275">
        <f t="shared" si="8"/>
        <v>195</v>
      </c>
    </row>
    <row r="199" spans="13:17" x14ac:dyDescent="0.3">
      <c r="M199" s="275">
        <f t="shared" si="7"/>
        <v>0</v>
      </c>
      <c r="N199" s="275">
        <v>196</v>
      </c>
      <c r="O199" s="275">
        <v>1320</v>
      </c>
      <c r="P199" s="275">
        <v>1</v>
      </c>
      <c r="Q199" s="275">
        <f t="shared" si="8"/>
        <v>196</v>
      </c>
    </row>
    <row r="200" spans="13:17" x14ac:dyDescent="0.3">
      <c r="M200" s="275">
        <f t="shared" si="7"/>
        <v>0</v>
      </c>
      <c r="N200" s="275">
        <v>197</v>
      </c>
      <c r="O200" s="275">
        <v>1320</v>
      </c>
      <c r="P200" s="275">
        <v>2</v>
      </c>
      <c r="Q200" s="275">
        <f t="shared" si="8"/>
        <v>197</v>
      </c>
    </row>
    <row r="201" spans="13:17" x14ac:dyDescent="0.3">
      <c r="M201" s="275">
        <f t="shared" si="7"/>
        <v>0</v>
      </c>
      <c r="N201" s="275">
        <v>198</v>
      </c>
      <c r="O201" s="275">
        <v>1320</v>
      </c>
      <c r="P201" s="275">
        <v>3</v>
      </c>
      <c r="Q201" s="275">
        <f t="shared" si="8"/>
        <v>198</v>
      </c>
    </row>
    <row r="202" spans="13:17" x14ac:dyDescent="0.3">
      <c r="M202" s="275">
        <f t="shared" si="7"/>
        <v>0</v>
      </c>
      <c r="N202" s="275">
        <v>199</v>
      </c>
      <c r="O202" s="275">
        <v>1320</v>
      </c>
      <c r="P202" s="275">
        <v>4</v>
      </c>
      <c r="Q202" s="275">
        <f t="shared" si="8"/>
        <v>199</v>
      </c>
    </row>
    <row r="203" spans="13:17" x14ac:dyDescent="0.3">
      <c r="M203" s="275">
        <f t="shared" si="7"/>
        <v>0</v>
      </c>
      <c r="N203" s="275">
        <v>200</v>
      </c>
      <c r="O203" s="275">
        <v>1320</v>
      </c>
      <c r="P203" s="275">
        <v>5</v>
      </c>
      <c r="Q203" s="275">
        <f t="shared" si="8"/>
        <v>200</v>
      </c>
    </row>
    <row r="204" spans="13:17" x14ac:dyDescent="0.3">
      <c r="M204" s="275">
        <f t="shared" si="7"/>
        <v>0</v>
      </c>
      <c r="N204" s="275">
        <v>201</v>
      </c>
      <c r="O204" s="275">
        <v>1320</v>
      </c>
      <c r="P204" s="275">
        <v>6</v>
      </c>
      <c r="Q204" s="275">
        <f t="shared" si="8"/>
        <v>201</v>
      </c>
    </row>
    <row r="205" spans="13:17" x14ac:dyDescent="0.3">
      <c r="M205" s="275">
        <f t="shared" si="7"/>
        <v>0</v>
      </c>
      <c r="N205" s="275">
        <v>202</v>
      </c>
      <c r="O205" s="275">
        <v>1320</v>
      </c>
      <c r="P205" s="275">
        <v>7</v>
      </c>
      <c r="Q205" s="275">
        <f t="shared" si="8"/>
        <v>202</v>
      </c>
    </row>
    <row r="206" spans="13:17" x14ac:dyDescent="0.3">
      <c r="M206" s="275">
        <f t="shared" si="7"/>
        <v>0</v>
      </c>
      <c r="N206" s="275">
        <v>203</v>
      </c>
      <c r="O206" s="275">
        <v>1320</v>
      </c>
      <c r="P206" s="275">
        <v>8</v>
      </c>
      <c r="Q206" s="275">
        <f t="shared" si="8"/>
        <v>203</v>
      </c>
    </row>
    <row r="207" spans="13:17" x14ac:dyDescent="0.3">
      <c r="M207" s="275">
        <f t="shared" si="7"/>
        <v>0</v>
      </c>
      <c r="N207" s="275">
        <v>204</v>
      </c>
      <c r="O207" s="275">
        <v>1320</v>
      </c>
      <c r="P207" s="275">
        <v>9</v>
      </c>
      <c r="Q207" s="275">
        <f t="shared" si="8"/>
        <v>204</v>
      </c>
    </row>
    <row r="208" spans="13:17" x14ac:dyDescent="0.3">
      <c r="M208" s="275">
        <f t="shared" si="7"/>
        <v>0</v>
      </c>
      <c r="N208" s="275">
        <v>205</v>
      </c>
      <c r="O208" s="275">
        <v>1320</v>
      </c>
      <c r="P208" s="275">
        <v>10</v>
      </c>
      <c r="Q208" s="275">
        <f t="shared" si="8"/>
        <v>205</v>
      </c>
    </row>
    <row r="209" spans="13:17" x14ac:dyDescent="0.3">
      <c r="M209" s="275">
        <f t="shared" si="7"/>
        <v>0</v>
      </c>
      <c r="N209" s="275">
        <v>206</v>
      </c>
      <c r="O209" s="275">
        <v>1320</v>
      </c>
      <c r="P209" s="275">
        <v>11</v>
      </c>
      <c r="Q209" s="275">
        <f t="shared" si="8"/>
        <v>206</v>
      </c>
    </row>
    <row r="210" spans="13:17" x14ac:dyDescent="0.3">
      <c r="M210" s="275">
        <f t="shared" si="7"/>
        <v>0</v>
      </c>
      <c r="N210" s="275">
        <v>207</v>
      </c>
      <c r="O210" s="275">
        <v>1320</v>
      </c>
      <c r="P210" s="275">
        <v>12</v>
      </c>
      <c r="Q210" s="275">
        <f t="shared" si="8"/>
        <v>207</v>
      </c>
    </row>
    <row r="211" spans="13:17" x14ac:dyDescent="0.3">
      <c r="M211" s="275">
        <f t="shared" si="7"/>
        <v>0</v>
      </c>
      <c r="N211" s="275">
        <v>208</v>
      </c>
      <c r="O211" s="275">
        <v>1320</v>
      </c>
      <c r="P211" s="275">
        <v>13</v>
      </c>
      <c r="Q211" s="275">
        <f t="shared" si="8"/>
        <v>208</v>
      </c>
    </row>
    <row r="212" spans="13:17" x14ac:dyDescent="0.3">
      <c r="M212" s="275">
        <f t="shared" si="7"/>
        <v>0</v>
      </c>
      <c r="N212" s="275">
        <v>209</v>
      </c>
      <c r="O212" s="275">
        <v>1320</v>
      </c>
      <c r="P212" s="275">
        <v>14</v>
      </c>
      <c r="Q212" s="275">
        <f t="shared" si="8"/>
        <v>209</v>
      </c>
    </row>
    <row r="213" spans="13:17" x14ac:dyDescent="0.3">
      <c r="M213" s="275">
        <f t="shared" si="7"/>
        <v>0</v>
      </c>
      <c r="N213" s="275">
        <v>210</v>
      </c>
      <c r="O213" s="275">
        <v>1320</v>
      </c>
      <c r="P213" s="275">
        <v>15</v>
      </c>
      <c r="Q213" s="275">
        <f t="shared" si="8"/>
        <v>210</v>
      </c>
    </row>
    <row r="214" spans="13:17" x14ac:dyDescent="0.3">
      <c r="M214" s="275">
        <f t="shared" si="7"/>
        <v>0</v>
      </c>
      <c r="N214" s="275">
        <v>211</v>
      </c>
      <c r="O214" s="275">
        <v>1330</v>
      </c>
      <c r="P214" s="275">
        <v>1</v>
      </c>
      <c r="Q214" s="275">
        <f t="shared" si="8"/>
        <v>211</v>
      </c>
    </row>
    <row r="215" spans="13:17" x14ac:dyDescent="0.3">
      <c r="M215" s="275">
        <f t="shared" si="7"/>
        <v>0</v>
      </c>
      <c r="N215" s="275">
        <v>212</v>
      </c>
      <c r="O215" s="275">
        <v>1330</v>
      </c>
      <c r="P215" s="275">
        <v>2</v>
      </c>
      <c r="Q215" s="275">
        <f t="shared" si="8"/>
        <v>212</v>
      </c>
    </row>
    <row r="216" spans="13:17" x14ac:dyDescent="0.3">
      <c r="M216" s="275">
        <f t="shared" si="7"/>
        <v>0</v>
      </c>
      <c r="N216" s="275">
        <v>213</v>
      </c>
      <c r="O216" s="275">
        <v>1330</v>
      </c>
      <c r="P216" s="275">
        <v>3</v>
      </c>
      <c r="Q216" s="275">
        <f t="shared" si="8"/>
        <v>213</v>
      </c>
    </row>
    <row r="217" spans="13:17" x14ac:dyDescent="0.3">
      <c r="M217" s="275">
        <f t="shared" si="7"/>
        <v>0</v>
      </c>
      <c r="N217" s="275">
        <v>214</v>
      </c>
      <c r="O217" s="275">
        <v>1330</v>
      </c>
      <c r="P217" s="275">
        <v>4</v>
      </c>
      <c r="Q217" s="275">
        <f t="shared" si="8"/>
        <v>214</v>
      </c>
    </row>
    <row r="218" spans="13:17" x14ac:dyDescent="0.3">
      <c r="M218" s="275">
        <f t="shared" si="7"/>
        <v>0</v>
      </c>
      <c r="N218" s="275">
        <v>215</v>
      </c>
      <c r="O218" s="275">
        <v>1330</v>
      </c>
      <c r="P218" s="275">
        <v>5</v>
      </c>
      <c r="Q218" s="275">
        <f t="shared" si="8"/>
        <v>215</v>
      </c>
    </row>
    <row r="219" spans="13:17" x14ac:dyDescent="0.3">
      <c r="M219" s="275">
        <f t="shared" si="7"/>
        <v>0</v>
      </c>
      <c r="N219" s="275">
        <v>216</v>
      </c>
      <c r="O219" s="275">
        <v>1330</v>
      </c>
      <c r="P219" s="275">
        <v>6</v>
      </c>
      <c r="Q219" s="275">
        <f t="shared" si="8"/>
        <v>216</v>
      </c>
    </row>
    <row r="220" spans="13:17" x14ac:dyDescent="0.3">
      <c r="M220" s="275">
        <f t="shared" si="7"/>
        <v>0</v>
      </c>
      <c r="N220" s="275">
        <v>217</v>
      </c>
      <c r="O220" s="275">
        <v>1330</v>
      </c>
      <c r="P220" s="275">
        <v>7</v>
      </c>
      <c r="Q220" s="275">
        <f t="shared" si="8"/>
        <v>217</v>
      </c>
    </row>
    <row r="221" spans="13:17" x14ac:dyDescent="0.3">
      <c r="M221" s="275">
        <f t="shared" si="7"/>
        <v>0</v>
      </c>
      <c r="N221" s="275">
        <v>218</v>
      </c>
      <c r="O221" s="275">
        <v>1330</v>
      </c>
      <c r="P221" s="275">
        <v>8</v>
      </c>
      <c r="Q221" s="275">
        <f t="shared" si="8"/>
        <v>218</v>
      </c>
    </row>
    <row r="222" spans="13:17" x14ac:dyDescent="0.3">
      <c r="M222" s="275">
        <f t="shared" si="7"/>
        <v>0</v>
      </c>
      <c r="N222" s="275">
        <v>219</v>
      </c>
      <c r="O222" s="275">
        <v>1330</v>
      </c>
      <c r="P222" s="275">
        <v>9</v>
      </c>
      <c r="Q222" s="275">
        <f t="shared" si="8"/>
        <v>219</v>
      </c>
    </row>
    <row r="223" spans="13:17" x14ac:dyDescent="0.3">
      <c r="M223" s="275">
        <f t="shared" si="7"/>
        <v>0</v>
      </c>
      <c r="N223" s="275">
        <v>220</v>
      </c>
      <c r="O223" s="275">
        <v>1330</v>
      </c>
      <c r="P223" s="275">
        <v>10</v>
      </c>
      <c r="Q223" s="275">
        <f t="shared" si="8"/>
        <v>220</v>
      </c>
    </row>
    <row r="224" spans="13:17" x14ac:dyDescent="0.3">
      <c r="M224" s="275">
        <f t="shared" si="7"/>
        <v>0</v>
      </c>
      <c r="N224" s="275">
        <v>221</v>
      </c>
      <c r="O224" s="275">
        <v>1330</v>
      </c>
      <c r="P224" s="275">
        <v>11</v>
      </c>
      <c r="Q224" s="275">
        <f t="shared" si="8"/>
        <v>221</v>
      </c>
    </row>
    <row r="225" spans="13:17" x14ac:dyDescent="0.3">
      <c r="M225" s="275">
        <f t="shared" si="7"/>
        <v>0</v>
      </c>
      <c r="N225" s="275">
        <v>222</v>
      </c>
      <c r="O225" s="275">
        <v>1330</v>
      </c>
      <c r="P225" s="275">
        <v>12</v>
      </c>
      <c r="Q225" s="275">
        <f t="shared" si="8"/>
        <v>222</v>
      </c>
    </row>
    <row r="226" spans="13:17" x14ac:dyDescent="0.3">
      <c r="M226" s="275">
        <f t="shared" si="7"/>
        <v>0</v>
      </c>
      <c r="N226" s="275">
        <v>223</v>
      </c>
      <c r="O226" s="275">
        <v>1330</v>
      </c>
      <c r="P226" s="275">
        <v>13</v>
      </c>
      <c r="Q226" s="275">
        <f t="shared" si="8"/>
        <v>223</v>
      </c>
    </row>
    <row r="227" spans="13:17" x14ac:dyDescent="0.3">
      <c r="M227" s="275">
        <f t="shared" si="7"/>
        <v>0</v>
      </c>
      <c r="N227" s="275">
        <v>224</v>
      </c>
      <c r="O227" s="275">
        <v>1330</v>
      </c>
      <c r="P227" s="275">
        <v>14</v>
      </c>
      <c r="Q227" s="275">
        <f t="shared" si="8"/>
        <v>224</v>
      </c>
    </row>
    <row r="228" spans="13:17" x14ac:dyDescent="0.3">
      <c r="M228" s="275">
        <f t="shared" si="7"/>
        <v>0</v>
      </c>
      <c r="N228" s="275">
        <v>225</v>
      </c>
      <c r="O228" s="275">
        <v>1330</v>
      </c>
      <c r="P228" s="275">
        <v>15</v>
      </c>
      <c r="Q228" s="275">
        <f t="shared" si="8"/>
        <v>225</v>
      </c>
    </row>
    <row r="229" spans="13:17" x14ac:dyDescent="0.3">
      <c r="M229" s="275">
        <f t="shared" si="7"/>
        <v>0</v>
      </c>
      <c r="N229" s="275">
        <v>226</v>
      </c>
      <c r="O229" s="275">
        <v>1340</v>
      </c>
      <c r="P229" s="275">
        <v>1</v>
      </c>
      <c r="Q229" s="275">
        <f t="shared" si="8"/>
        <v>226</v>
      </c>
    </row>
    <row r="230" spans="13:17" x14ac:dyDescent="0.3">
      <c r="M230" s="275">
        <f t="shared" si="7"/>
        <v>0</v>
      </c>
      <c r="N230" s="275">
        <v>227</v>
      </c>
      <c r="O230" s="275">
        <v>1340</v>
      </c>
      <c r="P230" s="275">
        <v>2</v>
      </c>
      <c r="Q230" s="275">
        <f t="shared" si="8"/>
        <v>227</v>
      </c>
    </row>
    <row r="231" spans="13:17" x14ac:dyDescent="0.3">
      <c r="M231" s="275">
        <f t="shared" si="7"/>
        <v>0</v>
      </c>
      <c r="N231" s="275">
        <v>228</v>
      </c>
      <c r="O231" s="275">
        <v>1340</v>
      </c>
      <c r="P231" s="275">
        <v>3</v>
      </c>
      <c r="Q231" s="275">
        <f t="shared" si="8"/>
        <v>228</v>
      </c>
    </row>
    <row r="232" spans="13:17" x14ac:dyDescent="0.3">
      <c r="M232" s="275">
        <f t="shared" si="7"/>
        <v>0</v>
      </c>
      <c r="N232" s="275">
        <v>229</v>
      </c>
      <c r="O232" s="275">
        <v>1340</v>
      </c>
      <c r="P232" s="275">
        <v>4</v>
      </c>
      <c r="Q232" s="275">
        <f t="shared" si="8"/>
        <v>229</v>
      </c>
    </row>
    <row r="233" spans="13:17" x14ac:dyDescent="0.3">
      <c r="M233" s="275">
        <f t="shared" si="7"/>
        <v>0</v>
      </c>
      <c r="N233" s="275">
        <v>230</v>
      </c>
      <c r="O233" s="275">
        <v>1340</v>
      </c>
      <c r="P233" s="275">
        <v>5</v>
      </c>
      <c r="Q233" s="275">
        <f t="shared" si="8"/>
        <v>230</v>
      </c>
    </row>
    <row r="234" spans="13:17" x14ac:dyDescent="0.3">
      <c r="M234" s="275">
        <f t="shared" si="7"/>
        <v>0</v>
      </c>
      <c r="N234" s="275">
        <v>231</v>
      </c>
      <c r="O234" s="275">
        <v>1340</v>
      </c>
      <c r="P234" s="275">
        <v>6</v>
      </c>
      <c r="Q234" s="275">
        <f t="shared" si="8"/>
        <v>231</v>
      </c>
    </row>
    <row r="235" spans="13:17" x14ac:dyDescent="0.3">
      <c r="M235" s="275">
        <f t="shared" si="7"/>
        <v>0</v>
      </c>
      <c r="N235" s="275">
        <v>232</v>
      </c>
      <c r="O235" s="275">
        <v>1340</v>
      </c>
      <c r="P235" s="275">
        <v>7</v>
      </c>
      <c r="Q235" s="275">
        <f t="shared" si="8"/>
        <v>232</v>
      </c>
    </row>
    <row r="236" spans="13:17" x14ac:dyDescent="0.3">
      <c r="M236" s="275">
        <f t="shared" si="7"/>
        <v>0</v>
      </c>
      <c r="N236" s="275">
        <v>233</v>
      </c>
      <c r="O236" s="275">
        <v>1340</v>
      </c>
      <c r="P236" s="275">
        <v>8</v>
      </c>
      <c r="Q236" s="275">
        <f t="shared" si="8"/>
        <v>233</v>
      </c>
    </row>
    <row r="237" spans="13:17" x14ac:dyDescent="0.3">
      <c r="M237" s="275">
        <f t="shared" si="7"/>
        <v>0</v>
      </c>
      <c r="N237" s="275">
        <v>234</v>
      </c>
      <c r="O237" s="275">
        <v>1340</v>
      </c>
      <c r="P237" s="275">
        <v>9</v>
      </c>
      <c r="Q237" s="275">
        <f t="shared" si="8"/>
        <v>234</v>
      </c>
    </row>
    <row r="238" spans="13:17" x14ac:dyDescent="0.3">
      <c r="M238" s="275">
        <f t="shared" si="7"/>
        <v>0</v>
      </c>
      <c r="N238" s="275">
        <v>235</v>
      </c>
      <c r="O238" s="275">
        <v>1340</v>
      </c>
      <c r="P238" s="275">
        <v>10</v>
      </c>
      <c r="Q238" s="275">
        <f t="shared" si="8"/>
        <v>235</v>
      </c>
    </row>
    <row r="239" spans="13:17" x14ac:dyDescent="0.3">
      <c r="M239" s="275">
        <f t="shared" si="7"/>
        <v>0</v>
      </c>
      <c r="N239" s="275">
        <v>236</v>
      </c>
      <c r="O239" s="275">
        <v>1340</v>
      </c>
      <c r="P239" s="275">
        <v>11</v>
      </c>
      <c r="Q239" s="275">
        <f t="shared" si="8"/>
        <v>236</v>
      </c>
    </row>
    <row r="240" spans="13:17" x14ac:dyDescent="0.3">
      <c r="M240" s="275">
        <f t="shared" si="7"/>
        <v>0</v>
      </c>
      <c r="N240" s="275">
        <v>237</v>
      </c>
      <c r="O240" s="275">
        <v>1340</v>
      </c>
      <c r="P240" s="275">
        <v>12</v>
      </c>
      <c r="Q240" s="275">
        <f t="shared" si="8"/>
        <v>237</v>
      </c>
    </row>
    <row r="241" spans="13:17" x14ac:dyDescent="0.3">
      <c r="M241" s="275">
        <f t="shared" si="7"/>
        <v>0</v>
      </c>
      <c r="N241" s="275">
        <v>238</v>
      </c>
      <c r="O241" s="275">
        <v>1340</v>
      </c>
      <c r="P241" s="275">
        <v>13</v>
      </c>
      <c r="Q241" s="275">
        <f t="shared" si="8"/>
        <v>238</v>
      </c>
    </row>
    <row r="242" spans="13:17" x14ac:dyDescent="0.3">
      <c r="M242" s="275">
        <f t="shared" si="7"/>
        <v>0</v>
      </c>
      <c r="N242" s="275">
        <v>239</v>
      </c>
      <c r="O242" s="275">
        <v>1340</v>
      </c>
      <c r="P242" s="275">
        <v>14</v>
      </c>
      <c r="Q242" s="275">
        <f t="shared" si="8"/>
        <v>239</v>
      </c>
    </row>
    <row r="243" spans="13:17" x14ac:dyDescent="0.3">
      <c r="M243" s="275">
        <f t="shared" si="7"/>
        <v>0</v>
      </c>
      <c r="N243" s="275">
        <v>240</v>
      </c>
      <c r="O243" s="275">
        <v>1340</v>
      </c>
      <c r="P243" s="275">
        <v>15</v>
      </c>
      <c r="Q243" s="275">
        <f t="shared" si="8"/>
        <v>240</v>
      </c>
    </row>
    <row r="244" spans="13:17" x14ac:dyDescent="0.3">
      <c r="M244" s="275">
        <f t="shared" si="7"/>
        <v>0</v>
      </c>
      <c r="N244" s="275">
        <v>241</v>
      </c>
      <c r="O244" s="275">
        <v>1350</v>
      </c>
      <c r="P244" s="275">
        <v>1</v>
      </c>
      <c r="Q244" s="275">
        <f t="shared" si="8"/>
        <v>241</v>
      </c>
    </row>
    <row r="245" spans="13:17" x14ac:dyDescent="0.3">
      <c r="M245" s="275">
        <f t="shared" si="7"/>
        <v>0</v>
      </c>
      <c r="N245" s="275">
        <v>242</v>
      </c>
      <c r="O245" s="275">
        <v>1350</v>
      </c>
      <c r="P245" s="275">
        <v>2</v>
      </c>
      <c r="Q245" s="275">
        <f t="shared" si="8"/>
        <v>242</v>
      </c>
    </row>
    <row r="246" spans="13:17" x14ac:dyDescent="0.3">
      <c r="M246" s="275">
        <f t="shared" si="7"/>
        <v>0</v>
      </c>
      <c r="N246" s="275">
        <v>243</v>
      </c>
      <c r="O246" s="275">
        <v>1350</v>
      </c>
      <c r="P246" s="275">
        <v>3</v>
      </c>
      <c r="Q246" s="275">
        <f t="shared" si="8"/>
        <v>243</v>
      </c>
    </row>
    <row r="247" spans="13:17" x14ac:dyDescent="0.3">
      <c r="M247" s="275">
        <f t="shared" si="7"/>
        <v>0</v>
      </c>
      <c r="N247" s="275">
        <v>244</v>
      </c>
      <c r="O247" s="275">
        <v>1350</v>
      </c>
      <c r="P247" s="275">
        <v>4</v>
      </c>
      <c r="Q247" s="275">
        <f t="shared" si="8"/>
        <v>244</v>
      </c>
    </row>
    <row r="248" spans="13:17" x14ac:dyDescent="0.3">
      <c r="M248" s="275">
        <f t="shared" si="7"/>
        <v>0</v>
      </c>
      <c r="N248" s="275">
        <v>245</v>
      </c>
      <c r="O248" s="275">
        <v>1350</v>
      </c>
      <c r="P248" s="275">
        <v>5</v>
      </c>
      <c r="Q248" s="275">
        <f t="shared" si="8"/>
        <v>245</v>
      </c>
    </row>
    <row r="249" spans="13:17" x14ac:dyDescent="0.3">
      <c r="M249" s="275">
        <f t="shared" si="7"/>
        <v>0</v>
      </c>
      <c r="N249" s="275">
        <v>246</v>
      </c>
      <c r="O249" s="275">
        <v>1350</v>
      </c>
      <c r="P249" s="275">
        <v>6</v>
      </c>
      <c r="Q249" s="275">
        <f t="shared" si="8"/>
        <v>246</v>
      </c>
    </row>
    <row r="250" spans="13:17" x14ac:dyDescent="0.3">
      <c r="M250" s="275">
        <f t="shared" si="7"/>
        <v>0</v>
      </c>
      <c r="N250" s="275">
        <v>247</v>
      </c>
      <c r="O250" s="275">
        <v>1350</v>
      </c>
      <c r="P250" s="275">
        <v>7</v>
      </c>
      <c r="Q250" s="275">
        <f t="shared" si="8"/>
        <v>247</v>
      </c>
    </row>
    <row r="251" spans="13:17" x14ac:dyDescent="0.3">
      <c r="M251" s="275">
        <f t="shared" si="7"/>
        <v>0</v>
      </c>
      <c r="N251" s="275">
        <v>248</v>
      </c>
      <c r="O251" s="275">
        <v>1350</v>
      </c>
      <c r="P251" s="275">
        <v>8</v>
      </c>
      <c r="Q251" s="275">
        <f t="shared" si="8"/>
        <v>248</v>
      </c>
    </row>
    <row r="252" spans="13:17" x14ac:dyDescent="0.3">
      <c r="M252" s="275">
        <f t="shared" si="7"/>
        <v>0</v>
      </c>
      <c r="N252" s="275">
        <v>249</v>
      </c>
      <c r="O252" s="275">
        <v>1350</v>
      </c>
      <c r="P252" s="275">
        <v>9</v>
      </c>
      <c r="Q252" s="275">
        <f t="shared" si="8"/>
        <v>249</v>
      </c>
    </row>
    <row r="253" spans="13:17" x14ac:dyDescent="0.3">
      <c r="M253" s="275">
        <f t="shared" si="7"/>
        <v>0</v>
      </c>
      <c r="N253" s="275">
        <v>250</v>
      </c>
      <c r="O253" s="275">
        <v>1350</v>
      </c>
      <c r="P253" s="275">
        <v>10</v>
      </c>
      <c r="Q253" s="275">
        <f t="shared" si="8"/>
        <v>250</v>
      </c>
    </row>
    <row r="254" spans="13:17" x14ac:dyDescent="0.3">
      <c r="M254" s="275">
        <f t="shared" si="7"/>
        <v>0</v>
      </c>
      <c r="N254" s="275">
        <v>251</v>
      </c>
      <c r="O254" s="275">
        <v>1350</v>
      </c>
      <c r="P254" s="275">
        <v>11</v>
      </c>
      <c r="Q254" s="275">
        <f t="shared" si="8"/>
        <v>251</v>
      </c>
    </row>
    <row r="255" spans="13:17" x14ac:dyDescent="0.3">
      <c r="M255" s="275">
        <f t="shared" si="7"/>
        <v>0</v>
      </c>
      <c r="N255" s="275">
        <v>252</v>
      </c>
      <c r="O255" s="275">
        <v>1350</v>
      </c>
      <c r="P255" s="275">
        <v>12</v>
      </c>
      <c r="Q255" s="275">
        <f t="shared" si="8"/>
        <v>252</v>
      </c>
    </row>
    <row r="256" spans="13:17" x14ac:dyDescent="0.3">
      <c r="M256" s="275">
        <f t="shared" si="7"/>
        <v>0</v>
      </c>
      <c r="N256" s="275">
        <v>253</v>
      </c>
      <c r="O256" s="275">
        <v>1350</v>
      </c>
      <c r="P256" s="275">
        <v>13</v>
      </c>
      <c r="Q256" s="275">
        <f t="shared" si="8"/>
        <v>253</v>
      </c>
    </row>
    <row r="257" spans="13:17" x14ac:dyDescent="0.3">
      <c r="M257" s="275">
        <f t="shared" si="7"/>
        <v>0</v>
      </c>
      <c r="N257" s="275">
        <v>254</v>
      </c>
      <c r="O257" s="275">
        <v>1350</v>
      </c>
      <c r="P257" s="275">
        <v>14</v>
      </c>
      <c r="Q257" s="275">
        <f t="shared" si="8"/>
        <v>254</v>
      </c>
    </row>
    <row r="258" spans="13:17" x14ac:dyDescent="0.3">
      <c r="M258" s="275">
        <f t="shared" si="7"/>
        <v>0</v>
      </c>
      <c r="N258" s="275">
        <v>255</v>
      </c>
      <c r="O258" s="275">
        <v>1350</v>
      </c>
      <c r="P258" s="275">
        <v>15</v>
      </c>
      <c r="Q258" s="275">
        <f t="shared" si="8"/>
        <v>255</v>
      </c>
    </row>
    <row r="259" spans="13:17" x14ac:dyDescent="0.3">
      <c r="M259" s="275">
        <f t="shared" si="7"/>
        <v>0</v>
      </c>
      <c r="N259" s="275">
        <v>256</v>
      </c>
      <c r="O259" s="275">
        <v>1360</v>
      </c>
      <c r="P259" s="275">
        <v>1</v>
      </c>
      <c r="Q259" s="275">
        <f t="shared" si="8"/>
        <v>256</v>
      </c>
    </row>
    <row r="260" spans="13:17" x14ac:dyDescent="0.3">
      <c r="M260" s="275">
        <f t="shared" si="7"/>
        <v>0</v>
      </c>
      <c r="N260" s="275">
        <v>257</v>
      </c>
      <c r="O260" s="275">
        <v>1360</v>
      </c>
      <c r="P260" s="275">
        <v>2</v>
      </c>
      <c r="Q260" s="275">
        <f t="shared" si="8"/>
        <v>257</v>
      </c>
    </row>
    <row r="261" spans="13:17" x14ac:dyDescent="0.3">
      <c r="M261" s="275">
        <f t="shared" ref="M261:M324" si="9">J261</f>
        <v>0</v>
      </c>
      <c r="N261" s="275">
        <v>258</v>
      </c>
      <c r="O261" s="275">
        <v>1360</v>
      </c>
      <c r="P261" s="275">
        <v>3</v>
      </c>
      <c r="Q261" s="275">
        <f t="shared" ref="Q261:Q324" si="10">N261</f>
        <v>258</v>
      </c>
    </row>
    <row r="262" spans="13:17" x14ac:dyDescent="0.3">
      <c r="M262" s="275">
        <f t="shared" si="9"/>
        <v>0</v>
      </c>
      <c r="N262" s="275">
        <v>259</v>
      </c>
      <c r="O262" s="275">
        <v>1360</v>
      </c>
      <c r="P262" s="275">
        <v>4</v>
      </c>
      <c r="Q262" s="275">
        <f t="shared" si="10"/>
        <v>259</v>
      </c>
    </row>
    <row r="263" spans="13:17" x14ac:dyDescent="0.3">
      <c r="M263" s="275">
        <f t="shared" si="9"/>
        <v>0</v>
      </c>
      <c r="N263" s="275">
        <v>260</v>
      </c>
      <c r="O263" s="275">
        <v>1360</v>
      </c>
      <c r="P263" s="275">
        <v>5</v>
      </c>
      <c r="Q263" s="275">
        <f t="shared" si="10"/>
        <v>260</v>
      </c>
    </row>
    <row r="264" spans="13:17" x14ac:dyDescent="0.3">
      <c r="M264" s="275">
        <f t="shared" si="9"/>
        <v>0</v>
      </c>
      <c r="N264" s="275">
        <v>261</v>
      </c>
      <c r="O264" s="275">
        <v>1360</v>
      </c>
      <c r="P264" s="275">
        <v>6</v>
      </c>
      <c r="Q264" s="275">
        <f t="shared" si="10"/>
        <v>261</v>
      </c>
    </row>
    <row r="265" spans="13:17" x14ac:dyDescent="0.3">
      <c r="M265" s="275">
        <f t="shared" si="9"/>
        <v>0</v>
      </c>
      <c r="N265" s="275">
        <v>262</v>
      </c>
      <c r="O265" s="275">
        <v>1360</v>
      </c>
      <c r="P265" s="275">
        <v>7</v>
      </c>
      <c r="Q265" s="275">
        <f t="shared" si="10"/>
        <v>262</v>
      </c>
    </row>
    <row r="266" spans="13:17" x14ac:dyDescent="0.3">
      <c r="M266" s="275">
        <f t="shared" si="9"/>
        <v>0</v>
      </c>
      <c r="N266" s="275">
        <v>263</v>
      </c>
      <c r="O266" s="275">
        <v>1360</v>
      </c>
      <c r="P266" s="275">
        <v>8</v>
      </c>
      <c r="Q266" s="275">
        <f t="shared" si="10"/>
        <v>263</v>
      </c>
    </row>
    <row r="267" spans="13:17" x14ac:dyDescent="0.3">
      <c r="M267" s="275">
        <f t="shared" si="9"/>
        <v>0</v>
      </c>
      <c r="N267" s="275">
        <v>264</v>
      </c>
      <c r="O267" s="275">
        <v>1360</v>
      </c>
      <c r="P267" s="275">
        <v>9</v>
      </c>
      <c r="Q267" s="275">
        <f t="shared" si="10"/>
        <v>264</v>
      </c>
    </row>
    <row r="268" spans="13:17" x14ac:dyDescent="0.3">
      <c r="M268" s="275">
        <f t="shared" si="9"/>
        <v>0</v>
      </c>
      <c r="N268" s="275">
        <v>265</v>
      </c>
      <c r="O268" s="275">
        <v>1360</v>
      </c>
      <c r="P268" s="275">
        <v>10</v>
      </c>
      <c r="Q268" s="275">
        <f t="shared" si="10"/>
        <v>265</v>
      </c>
    </row>
    <row r="269" spans="13:17" x14ac:dyDescent="0.3">
      <c r="M269" s="275">
        <f t="shared" si="9"/>
        <v>0</v>
      </c>
      <c r="N269" s="275">
        <v>266</v>
      </c>
      <c r="O269" s="275">
        <v>1360</v>
      </c>
      <c r="P269" s="275">
        <v>11</v>
      </c>
      <c r="Q269" s="275">
        <f t="shared" si="10"/>
        <v>266</v>
      </c>
    </row>
    <row r="270" spans="13:17" x14ac:dyDescent="0.3">
      <c r="M270" s="275">
        <f t="shared" si="9"/>
        <v>0</v>
      </c>
      <c r="N270" s="275">
        <v>267</v>
      </c>
      <c r="O270" s="275">
        <v>1360</v>
      </c>
      <c r="P270" s="275">
        <v>12</v>
      </c>
      <c r="Q270" s="275">
        <f t="shared" si="10"/>
        <v>267</v>
      </c>
    </row>
    <row r="271" spans="13:17" x14ac:dyDescent="0.3">
      <c r="M271" s="275">
        <f t="shared" si="9"/>
        <v>0</v>
      </c>
      <c r="N271" s="275">
        <v>268</v>
      </c>
      <c r="O271" s="275">
        <v>1360</v>
      </c>
      <c r="P271" s="275">
        <v>13</v>
      </c>
      <c r="Q271" s="275">
        <f t="shared" si="10"/>
        <v>268</v>
      </c>
    </row>
    <row r="272" spans="13:17" x14ac:dyDescent="0.3">
      <c r="M272" s="275">
        <f t="shared" si="9"/>
        <v>0</v>
      </c>
      <c r="N272" s="275">
        <v>269</v>
      </c>
      <c r="O272" s="275">
        <v>1360</v>
      </c>
      <c r="P272" s="275">
        <v>14</v>
      </c>
      <c r="Q272" s="275">
        <f t="shared" si="10"/>
        <v>269</v>
      </c>
    </row>
    <row r="273" spans="13:17" x14ac:dyDescent="0.3">
      <c r="M273" s="275">
        <f t="shared" si="9"/>
        <v>0</v>
      </c>
      <c r="N273" s="275">
        <v>270</v>
      </c>
      <c r="O273" s="275">
        <v>1360</v>
      </c>
      <c r="P273" s="275">
        <v>15</v>
      </c>
      <c r="Q273" s="275">
        <f t="shared" si="10"/>
        <v>270</v>
      </c>
    </row>
    <row r="274" spans="13:17" x14ac:dyDescent="0.3">
      <c r="M274" s="275">
        <f t="shared" si="9"/>
        <v>0</v>
      </c>
      <c r="N274" s="275">
        <v>271</v>
      </c>
      <c r="O274" s="275">
        <v>2110</v>
      </c>
      <c r="P274" s="275">
        <v>1</v>
      </c>
      <c r="Q274" s="275">
        <f t="shared" si="10"/>
        <v>271</v>
      </c>
    </row>
    <row r="275" spans="13:17" x14ac:dyDescent="0.3">
      <c r="M275" s="275">
        <f t="shared" si="9"/>
        <v>0</v>
      </c>
      <c r="N275" s="275">
        <v>272</v>
      </c>
      <c r="O275" s="275">
        <v>2110</v>
      </c>
      <c r="P275" s="275">
        <v>2</v>
      </c>
      <c r="Q275" s="275">
        <f t="shared" si="10"/>
        <v>272</v>
      </c>
    </row>
    <row r="276" spans="13:17" x14ac:dyDescent="0.3">
      <c r="M276" s="275">
        <f t="shared" si="9"/>
        <v>0</v>
      </c>
      <c r="N276" s="275">
        <v>273</v>
      </c>
      <c r="O276" s="275">
        <v>2110</v>
      </c>
      <c r="P276" s="275">
        <v>3</v>
      </c>
      <c r="Q276" s="275">
        <f t="shared" si="10"/>
        <v>273</v>
      </c>
    </row>
    <row r="277" spans="13:17" x14ac:dyDescent="0.3">
      <c r="M277" s="275">
        <f t="shared" si="9"/>
        <v>0</v>
      </c>
      <c r="N277" s="275">
        <v>274</v>
      </c>
      <c r="O277" s="275">
        <v>2110</v>
      </c>
      <c r="P277" s="275">
        <v>4</v>
      </c>
      <c r="Q277" s="275">
        <f t="shared" si="10"/>
        <v>274</v>
      </c>
    </row>
    <row r="278" spans="13:17" x14ac:dyDescent="0.3">
      <c r="M278" s="275">
        <f t="shared" si="9"/>
        <v>0</v>
      </c>
      <c r="N278" s="275">
        <v>275</v>
      </c>
      <c r="O278" s="275">
        <v>2110</v>
      </c>
      <c r="P278" s="275">
        <v>5</v>
      </c>
      <c r="Q278" s="275">
        <f t="shared" si="10"/>
        <v>275</v>
      </c>
    </row>
    <row r="279" spans="13:17" x14ac:dyDescent="0.3">
      <c r="M279" s="275">
        <f t="shared" si="9"/>
        <v>0</v>
      </c>
      <c r="N279" s="275">
        <v>276</v>
      </c>
      <c r="O279" s="275">
        <v>2110</v>
      </c>
      <c r="P279" s="275">
        <v>6</v>
      </c>
      <c r="Q279" s="275">
        <f t="shared" si="10"/>
        <v>276</v>
      </c>
    </row>
    <row r="280" spans="13:17" x14ac:dyDescent="0.3">
      <c r="M280" s="275">
        <f t="shared" si="9"/>
        <v>0</v>
      </c>
      <c r="N280" s="275">
        <v>277</v>
      </c>
      <c r="O280" s="275">
        <v>2110</v>
      </c>
      <c r="P280" s="275">
        <v>7</v>
      </c>
      <c r="Q280" s="275">
        <f t="shared" si="10"/>
        <v>277</v>
      </c>
    </row>
    <row r="281" spans="13:17" x14ac:dyDescent="0.3">
      <c r="M281" s="275">
        <f t="shared" si="9"/>
        <v>0</v>
      </c>
      <c r="N281" s="275">
        <v>278</v>
      </c>
      <c r="O281" s="275">
        <v>2110</v>
      </c>
      <c r="P281" s="275">
        <v>8</v>
      </c>
      <c r="Q281" s="275">
        <f t="shared" si="10"/>
        <v>278</v>
      </c>
    </row>
    <row r="282" spans="13:17" x14ac:dyDescent="0.3">
      <c r="M282" s="275">
        <f t="shared" si="9"/>
        <v>0</v>
      </c>
      <c r="N282" s="275">
        <v>279</v>
      </c>
      <c r="O282" s="275">
        <v>2110</v>
      </c>
      <c r="P282" s="275">
        <v>9</v>
      </c>
      <c r="Q282" s="275">
        <f t="shared" si="10"/>
        <v>279</v>
      </c>
    </row>
    <row r="283" spans="13:17" x14ac:dyDescent="0.3">
      <c r="M283" s="275">
        <f t="shared" si="9"/>
        <v>0</v>
      </c>
      <c r="N283" s="275">
        <v>280</v>
      </c>
      <c r="O283" s="275">
        <v>2110</v>
      </c>
      <c r="P283" s="275">
        <v>10</v>
      </c>
      <c r="Q283" s="275">
        <f t="shared" si="10"/>
        <v>280</v>
      </c>
    </row>
    <row r="284" spans="13:17" x14ac:dyDescent="0.3">
      <c r="M284" s="275">
        <f t="shared" si="9"/>
        <v>0</v>
      </c>
      <c r="N284" s="275">
        <v>281</v>
      </c>
      <c r="O284" s="275">
        <v>2110</v>
      </c>
      <c r="P284" s="275">
        <v>11</v>
      </c>
      <c r="Q284" s="275">
        <f t="shared" si="10"/>
        <v>281</v>
      </c>
    </row>
    <row r="285" spans="13:17" x14ac:dyDescent="0.3">
      <c r="M285" s="275">
        <f t="shared" si="9"/>
        <v>0</v>
      </c>
      <c r="N285" s="275">
        <v>282</v>
      </c>
      <c r="O285" s="275">
        <v>2110</v>
      </c>
      <c r="P285" s="275">
        <v>12</v>
      </c>
      <c r="Q285" s="275">
        <f t="shared" si="10"/>
        <v>282</v>
      </c>
    </row>
    <row r="286" spans="13:17" x14ac:dyDescent="0.3">
      <c r="M286" s="275">
        <f t="shared" si="9"/>
        <v>0</v>
      </c>
      <c r="N286" s="275">
        <v>283</v>
      </c>
      <c r="O286" s="275">
        <v>2110</v>
      </c>
      <c r="P286" s="275">
        <v>13</v>
      </c>
      <c r="Q286" s="275">
        <f t="shared" si="10"/>
        <v>283</v>
      </c>
    </row>
    <row r="287" spans="13:17" x14ac:dyDescent="0.3">
      <c r="M287" s="275">
        <f t="shared" si="9"/>
        <v>0</v>
      </c>
      <c r="N287" s="275">
        <v>284</v>
      </c>
      <c r="O287" s="275">
        <v>2110</v>
      </c>
      <c r="P287" s="275">
        <v>14</v>
      </c>
      <c r="Q287" s="275">
        <f t="shared" si="10"/>
        <v>284</v>
      </c>
    </row>
    <row r="288" spans="13:17" x14ac:dyDescent="0.3">
      <c r="M288" s="275">
        <f t="shared" si="9"/>
        <v>0</v>
      </c>
      <c r="N288" s="275">
        <v>285</v>
      </c>
      <c r="O288" s="275">
        <v>2110</v>
      </c>
      <c r="P288" s="275">
        <v>15</v>
      </c>
      <c r="Q288" s="275">
        <f t="shared" si="10"/>
        <v>285</v>
      </c>
    </row>
    <row r="289" spans="13:17" x14ac:dyDescent="0.3">
      <c r="M289" s="275">
        <f t="shared" si="9"/>
        <v>0</v>
      </c>
      <c r="N289" s="275">
        <v>286</v>
      </c>
      <c r="O289" s="275">
        <v>2110</v>
      </c>
      <c r="P289" s="275">
        <v>16</v>
      </c>
      <c r="Q289" s="275">
        <f t="shared" si="10"/>
        <v>286</v>
      </c>
    </row>
    <row r="290" spans="13:17" x14ac:dyDescent="0.3">
      <c r="M290" s="275">
        <f t="shared" si="9"/>
        <v>0</v>
      </c>
      <c r="N290" s="275">
        <v>287</v>
      </c>
      <c r="O290" s="275">
        <v>2110</v>
      </c>
      <c r="P290" s="275">
        <v>17</v>
      </c>
      <c r="Q290" s="275">
        <f t="shared" si="10"/>
        <v>287</v>
      </c>
    </row>
    <row r="291" spans="13:17" x14ac:dyDescent="0.3">
      <c r="M291" s="275">
        <f t="shared" si="9"/>
        <v>0</v>
      </c>
      <c r="N291" s="275">
        <v>288</v>
      </c>
      <c r="O291" s="275">
        <v>2110</v>
      </c>
      <c r="P291" s="275">
        <v>18</v>
      </c>
      <c r="Q291" s="275">
        <f t="shared" si="10"/>
        <v>288</v>
      </c>
    </row>
    <row r="292" spans="13:17" x14ac:dyDescent="0.3">
      <c r="M292" s="275">
        <f t="shared" si="9"/>
        <v>0</v>
      </c>
      <c r="N292" s="275">
        <v>289</v>
      </c>
      <c r="O292" s="275">
        <v>2110</v>
      </c>
      <c r="P292" s="275">
        <v>19</v>
      </c>
      <c r="Q292" s="275">
        <f t="shared" si="10"/>
        <v>289</v>
      </c>
    </row>
    <row r="293" spans="13:17" x14ac:dyDescent="0.3">
      <c r="M293" s="275">
        <f t="shared" si="9"/>
        <v>0</v>
      </c>
      <c r="N293" s="275">
        <v>290</v>
      </c>
      <c r="O293" s="275">
        <v>2110</v>
      </c>
      <c r="P293" s="275">
        <v>20</v>
      </c>
      <c r="Q293" s="275">
        <f t="shared" si="10"/>
        <v>290</v>
      </c>
    </row>
    <row r="294" spans="13:17" x14ac:dyDescent="0.3">
      <c r="M294" s="275">
        <f t="shared" si="9"/>
        <v>0</v>
      </c>
      <c r="N294" s="275">
        <v>291</v>
      </c>
      <c r="O294" s="275">
        <v>2120</v>
      </c>
      <c r="P294" s="275">
        <v>1</v>
      </c>
      <c r="Q294" s="275">
        <f t="shared" si="10"/>
        <v>291</v>
      </c>
    </row>
    <row r="295" spans="13:17" x14ac:dyDescent="0.3">
      <c r="M295" s="275">
        <f t="shared" si="9"/>
        <v>0</v>
      </c>
      <c r="N295" s="275">
        <v>292</v>
      </c>
      <c r="O295" s="275">
        <v>2120</v>
      </c>
      <c r="P295" s="275">
        <v>2</v>
      </c>
      <c r="Q295" s="275">
        <f t="shared" si="10"/>
        <v>292</v>
      </c>
    </row>
    <row r="296" spans="13:17" x14ac:dyDescent="0.3">
      <c r="M296" s="275">
        <f t="shared" si="9"/>
        <v>0</v>
      </c>
      <c r="N296" s="275">
        <v>293</v>
      </c>
      <c r="O296" s="275">
        <v>2120</v>
      </c>
      <c r="P296" s="275">
        <v>3</v>
      </c>
      <c r="Q296" s="275">
        <f t="shared" si="10"/>
        <v>293</v>
      </c>
    </row>
    <row r="297" spans="13:17" x14ac:dyDescent="0.3">
      <c r="M297" s="275">
        <f t="shared" si="9"/>
        <v>0</v>
      </c>
      <c r="N297" s="275">
        <v>294</v>
      </c>
      <c r="O297" s="275">
        <v>2120</v>
      </c>
      <c r="P297" s="275">
        <v>4</v>
      </c>
      <c r="Q297" s="275">
        <f t="shared" si="10"/>
        <v>294</v>
      </c>
    </row>
    <row r="298" spans="13:17" x14ac:dyDescent="0.3">
      <c r="M298" s="275">
        <f t="shared" si="9"/>
        <v>0</v>
      </c>
      <c r="N298" s="275">
        <v>295</v>
      </c>
      <c r="O298" s="275">
        <v>2120</v>
      </c>
      <c r="P298" s="275">
        <v>5</v>
      </c>
      <c r="Q298" s="275">
        <f t="shared" si="10"/>
        <v>295</v>
      </c>
    </row>
    <row r="299" spans="13:17" x14ac:dyDescent="0.3">
      <c r="M299" s="275">
        <f t="shared" si="9"/>
        <v>0</v>
      </c>
      <c r="N299" s="275">
        <v>296</v>
      </c>
      <c r="O299" s="275">
        <v>2120</v>
      </c>
      <c r="P299" s="275">
        <v>6</v>
      </c>
      <c r="Q299" s="275">
        <f t="shared" si="10"/>
        <v>296</v>
      </c>
    </row>
    <row r="300" spans="13:17" x14ac:dyDescent="0.3">
      <c r="M300" s="275">
        <f t="shared" si="9"/>
        <v>0</v>
      </c>
      <c r="N300" s="275">
        <v>297</v>
      </c>
      <c r="O300" s="275">
        <v>2120</v>
      </c>
      <c r="P300" s="275">
        <v>7</v>
      </c>
      <c r="Q300" s="275">
        <f t="shared" si="10"/>
        <v>297</v>
      </c>
    </row>
    <row r="301" spans="13:17" x14ac:dyDescent="0.3">
      <c r="M301" s="275">
        <f t="shared" si="9"/>
        <v>0</v>
      </c>
      <c r="N301" s="275">
        <v>298</v>
      </c>
      <c r="O301" s="275">
        <v>2120</v>
      </c>
      <c r="P301" s="275">
        <v>8</v>
      </c>
      <c r="Q301" s="275">
        <f t="shared" si="10"/>
        <v>298</v>
      </c>
    </row>
    <row r="302" spans="13:17" x14ac:dyDescent="0.3">
      <c r="M302" s="275">
        <f t="shared" si="9"/>
        <v>0</v>
      </c>
      <c r="N302" s="275">
        <v>299</v>
      </c>
      <c r="O302" s="275">
        <v>2120</v>
      </c>
      <c r="P302" s="275">
        <v>9</v>
      </c>
      <c r="Q302" s="275">
        <f t="shared" si="10"/>
        <v>299</v>
      </c>
    </row>
    <row r="303" spans="13:17" x14ac:dyDescent="0.3">
      <c r="M303" s="275">
        <f t="shared" si="9"/>
        <v>0</v>
      </c>
      <c r="N303" s="275">
        <v>300</v>
      </c>
      <c r="O303" s="275">
        <v>2120</v>
      </c>
      <c r="P303" s="275">
        <v>10</v>
      </c>
      <c r="Q303" s="275">
        <f t="shared" si="10"/>
        <v>300</v>
      </c>
    </row>
    <row r="304" spans="13:17" x14ac:dyDescent="0.3">
      <c r="M304" s="275">
        <f t="shared" si="9"/>
        <v>0</v>
      </c>
      <c r="N304" s="275">
        <v>301</v>
      </c>
      <c r="O304" s="275">
        <v>2120</v>
      </c>
      <c r="P304" s="275">
        <v>11</v>
      </c>
      <c r="Q304" s="275">
        <f t="shared" si="10"/>
        <v>301</v>
      </c>
    </row>
    <row r="305" spans="13:17" x14ac:dyDescent="0.3">
      <c r="M305" s="275">
        <f t="shared" si="9"/>
        <v>0</v>
      </c>
      <c r="N305" s="275">
        <v>302</v>
      </c>
      <c r="O305" s="275">
        <v>2120</v>
      </c>
      <c r="P305" s="275">
        <v>12</v>
      </c>
      <c r="Q305" s="275">
        <f t="shared" si="10"/>
        <v>302</v>
      </c>
    </row>
    <row r="306" spans="13:17" x14ac:dyDescent="0.3">
      <c r="M306" s="275">
        <f t="shared" si="9"/>
        <v>0</v>
      </c>
      <c r="N306" s="275">
        <v>303</v>
      </c>
      <c r="O306" s="275">
        <v>2120</v>
      </c>
      <c r="P306" s="275">
        <v>13</v>
      </c>
      <c r="Q306" s="275">
        <f t="shared" si="10"/>
        <v>303</v>
      </c>
    </row>
    <row r="307" spans="13:17" x14ac:dyDescent="0.3">
      <c r="M307" s="275">
        <f t="shared" si="9"/>
        <v>0</v>
      </c>
      <c r="N307" s="275">
        <v>304</v>
      </c>
      <c r="O307" s="275">
        <v>2120</v>
      </c>
      <c r="P307" s="275">
        <v>14</v>
      </c>
      <c r="Q307" s="275">
        <f t="shared" si="10"/>
        <v>304</v>
      </c>
    </row>
    <row r="308" spans="13:17" x14ac:dyDescent="0.3">
      <c r="M308" s="275">
        <f t="shared" si="9"/>
        <v>0</v>
      </c>
      <c r="N308" s="275">
        <v>305</v>
      </c>
      <c r="O308" s="275">
        <v>2120</v>
      </c>
      <c r="P308" s="275">
        <v>15</v>
      </c>
      <c r="Q308" s="275">
        <f t="shared" si="10"/>
        <v>305</v>
      </c>
    </row>
    <row r="309" spans="13:17" x14ac:dyDescent="0.3">
      <c r="M309" s="275">
        <f t="shared" si="9"/>
        <v>0</v>
      </c>
      <c r="N309" s="275">
        <v>306</v>
      </c>
      <c r="O309" s="275">
        <v>2120</v>
      </c>
      <c r="P309" s="275">
        <v>16</v>
      </c>
      <c r="Q309" s="275">
        <f t="shared" si="10"/>
        <v>306</v>
      </c>
    </row>
    <row r="310" spans="13:17" x14ac:dyDescent="0.3">
      <c r="M310" s="275">
        <f t="shared" si="9"/>
        <v>0</v>
      </c>
      <c r="N310" s="275">
        <v>307</v>
      </c>
      <c r="O310" s="275">
        <v>2120</v>
      </c>
      <c r="P310" s="275">
        <v>17</v>
      </c>
      <c r="Q310" s="275">
        <f t="shared" si="10"/>
        <v>307</v>
      </c>
    </row>
    <row r="311" spans="13:17" x14ac:dyDescent="0.3">
      <c r="M311" s="275">
        <f t="shared" si="9"/>
        <v>0</v>
      </c>
      <c r="N311" s="275">
        <v>308</v>
      </c>
      <c r="O311" s="275">
        <v>2120</v>
      </c>
      <c r="P311" s="275">
        <v>18</v>
      </c>
      <c r="Q311" s="275">
        <f t="shared" si="10"/>
        <v>308</v>
      </c>
    </row>
    <row r="312" spans="13:17" x14ac:dyDescent="0.3">
      <c r="M312" s="275">
        <f t="shared" si="9"/>
        <v>0</v>
      </c>
      <c r="N312" s="275">
        <v>309</v>
      </c>
      <c r="O312" s="275">
        <v>2120</v>
      </c>
      <c r="P312" s="275">
        <v>19</v>
      </c>
      <c r="Q312" s="275">
        <f t="shared" si="10"/>
        <v>309</v>
      </c>
    </row>
    <row r="313" spans="13:17" x14ac:dyDescent="0.3">
      <c r="M313" s="275">
        <f t="shared" si="9"/>
        <v>0</v>
      </c>
      <c r="N313" s="275">
        <v>310</v>
      </c>
      <c r="O313" s="275">
        <v>2120</v>
      </c>
      <c r="P313" s="275">
        <v>20</v>
      </c>
      <c r="Q313" s="275">
        <f t="shared" si="10"/>
        <v>310</v>
      </c>
    </row>
    <row r="314" spans="13:17" x14ac:dyDescent="0.3">
      <c r="M314" s="275">
        <f t="shared" si="9"/>
        <v>0</v>
      </c>
      <c r="N314" s="275">
        <v>311</v>
      </c>
      <c r="O314" s="275">
        <v>2130</v>
      </c>
      <c r="P314" s="275">
        <v>1</v>
      </c>
      <c r="Q314" s="275">
        <f t="shared" si="10"/>
        <v>311</v>
      </c>
    </row>
    <row r="315" spans="13:17" x14ac:dyDescent="0.3">
      <c r="M315" s="275">
        <f t="shared" si="9"/>
        <v>0</v>
      </c>
      <c r="N315" s="275">
        <v>312</v>
      </c>
      <c r="O315" s="275">
        <v>2130</v>
      </c>
      <c r="P315" s="275">
        <v>2</v>
      </c>
      <c r="Q315" s="275">
        <f t="shared" si="10"/>
        <v>312</v>
      </c>
    </row>
    <row r="316" spans="13:17" x14ac:dyDescent="0.3">
      <c r="M316" s="275">
        <f t="shared" si="9"/>
        <v>0</v>
      </c>
      <c r="N316" s="275">
        <v>313</v>
      </c>
      <c r="O316" s="275">
        <v>2130</v>
      </c>
      <c r="P316" s="275">
        <v>3</v>
      </c>
      <c r="Q316" s="275">
        <f t="shared" si="10"/>
        <v>313</v>
      </c>
    </row>
    <row r="317" spans="13:17" x14ac:dyDescent="0.3">
      <c r="M317" s="275">
        <f t="shared" si="9"/>
        <v>0</v>
      </c>
      <c r="N317" s="275">
        <v>314</v>
      </c>
      <c r="O317" s="275">
        <v>2130</v>
      </c>
      <c r="P317" s="275">
        <v>4</v>
      </c>
      <c r="Q317" s="275">
        <f t="shared" si="10"/>
        <v>314</v>
      </c>
    </row>
    <row r="318" spans="13:17" x14ac:dyDescent="0.3">
      <c r="M318" s="275">
        <f t="shared" si="9"/>
        <v>0</v>
      </c>
      <c r="N318" s="275">
        <v>315</v>
      </c>
      <c r="O318" s="275">
        <v>2130</v>
      </c>
      <c r="P318" s="275">
        <v>5</v>
      </c>
      <c r="Q318" s="275">
        <f t="shared" si="10"/>
        <v>315</v>
      </c>
    </row>
    <row r="319" spans="13:17" x14ac:dyDescent="0.3">
      <c r="M319" s="275">
        <f t="shared" si="9"/>
        <v>0</v>
      </c>
      <c r="N319" s="275">
        <v>316</v>
      </c>
      <c r="O319" s="275">
        <v>2130</v>
      </c>
      <c r="P319" s="275">
        <v>6</v>
      </c>
      <c r="Q319" s="275">
        <f t="shared" si="10"/>
        <v>316</v>
      </c>
    </row>
    <row r="320" spans="13:17" x14ac:dyDescent="0.3">
      <c r="M320" s="275">
        <f t="shared" si="9"/>
        <v>0</v>
      </c>
      <c r="N320" s="275">
        <v>317</v>
      </c>
      <c r="O320" s="275">
        <v>2130</v>
      </c>
      <c r="P320" s="275">
        <v>7</v>
      </c>
      <c r="Q320" s="275">
        <f t="shared" si="10"/>
        <v>317</v>
      </c>
    </row>
    <row r="321" spans="13:17" x14ac:dyDescent="0.3">
      <c r="M321" s="275">
        <f t="shared" si="9"/>
        <v>0</v>
      </c>
      <c r="N321" s="275">
        <v>318</v>
      </c>
      <c r="O321" s="275">
        <v>2130</v>
      </c>
      <c r="P321" s="275">
        <v>8</v>
      </c>
      <c r="Q321" s="275">
        <f t="shared" si="10"/>
        <v>318</v>
      </c>
    </row>
    <row r="322" spans="13:17" x14ac:dyDescent="0.3">
      <c r="M322" s="275">
        <f t="shared" si="9"/>
        <v>0</v>
      </c>
      <c r="N322" s="275">
        <v>319</v>
      </c>
      <c r="O322" s="275">
        <v>2130</v>
      </c>
      <c r="P322" s="275">
        <v>9</v>
      </c>
      <c r="Q322" s="275">
        <f t="shared" si="10"/>
        <v>319</v>
      </c>
    </row>
    <row r="323" spans="13:17" x14ac:dyDescent="0.3">
      <c r="M323" s="275">
        <f t="shared" si="9"/>
        <v>0</v>
      </c>
      <c r="N323" s="275">
        <v>320</v>
      </c>
      <c r="O323" s="275">
        <v>2130</v>
      </c>
      <c r="P323" s="275">
        <v>10</v>
      </c>
      <c r="Q323" s="275">
        <f t="shared" si="10"/>
        <v>320</v>
      </c>
    </row>
    <row r="324" spans="13:17" x14ac:dyDescent="0.3">
      <c r="M324" s="275">
        <f t="shared" si="9"/>
        <v>0</v>
      </c>
      <c r="N324" s="275">
        <v>321</v>
      </c>
      <c r="O324" s="275">
        <v>2130</v>
      </c>
      <c r="P324" s="275">
        <v>11</v>
      </c>
      <c r="Q324" s="275">
        <f t="shared" si="10"/>
        <v>321</v>
      </c>
    </row>
    <row r="325" spans="13:17" x14ac:dyDescent="0.3">
      <c r="M325" s="275">
        <f t="shared" ref="M325:M388" si="11">J325</f>
        <v>0</v>
      </c>
      <c r="N325" s="275">
        <v>322</v>
      </c>
      <c r="O325" s="275">
        <v>2130</v>
      </c>
      <c r="P325" s="275">
        <v>12</v>
      </c>
      <c r="Q325" s="275">
        <f t="shared" ref="Q325:Q388" si="12">N325</f>
        <v>322</v>
      </c>
    </row>
    <row r="326" spans="13:17" x14ac:dyDescent="0.3">
      <c r="M326" s="275">
        <f t="shared" si="11"/>
        <v>0</v>
      </c>
      <c r="N326" s="275">
        <v>323</v>
      </c>
      <c r="O326" s="275">
        <v>2130</v>
      </c>
      <c r="P326" s="275">
        <v>13</v>
      </c>
      <c r="Q326" s="275">
        <f t="shared" si="12"/>
        <v>323</v>
      </c>
    </row>
    <row r="327" spans="13:17" x14ac:dyDescent="0.3">
      <c r="M327" s="275">
        <f t="shared" si="11"/>
        <v>0</v>
      </c>
      <c r="N327" s="275">
        <v>324</v>
      </c>
      <c r="O327" s="275">
        <v>2130</v>
      </c>
      <c r="P327" s="275">
        <v>14</v>
      </c>
      <c r="Q327" s="275">
        <f t="shared" si="12"/>
        <v>324</v>
      </c>
    </row>
    <row r="328" spans="13:17" x14ac:dyDescent="0.3">
      <c r="M328" s="275">
        <f t="shared" si="11"/>
        <v>0</v>
      </c>
      <c r="N328" s="275">
        <v>325</v>
      </c>
      <c r="O328" s="275">
        <v>2130</v>
      </c>
      <c r="P328" s="275">
        <v>15</v>
      </c>
      <c r="Q328" s="275">
        <f t="shared" si="12"/>
        <v>325</v>
      </c>
    </row>
    <row r="329" spans="13:17" x14ac:dyDescent="0.3">
      <c r="M329" s="275">
        <f t="shared" si="11"/>
        <v>0</v>
      </c>
      <c r="N329" s="275">
        <v>326</v>
      </c>
      <c r="O329" s="275">
        <v>2130</v>
      </c>
      <c r="P329" s="275">
        <v>16</v>
      </c>
      <c r="Q329" s="275">
        <f t="shared" si="12"/>
        <v>326</v>
      </c>
    </row>
    <row r="330" spans="13:17" x14ac:dyDescent="0.3">
      <c r="M330" s="275">
        <f t="shared" si="11"/>
        <v>0</v>
      </c>
      <c r="N330" s="275">
        <v>327</v>
      </c>
      <c r="O330" s="275">
        <v>2130</v>
      </c>
      <c r="P330" s="275">
        <v>17</v>
      </c>
      <c r="Q330" s="275">
        <f t="shared" si="12"/>
        <v>327</v>
      </c>
    </row>
    <row r="331" spans="13:17" x14ac:dyDescent="0.3">
      <c r="M331" s="275">
        <f t="shared" si="11"/>
        <v>0</v>
      </c>
      <c r="N331" s="275">
        <v>328</v>
      </c>
      <c r="O331" s="275">
        <v>2130</v>
      </c>
      <c r="P331" s="275">
        <v>18</v>
      </c>
      <c r="Q331" s="275">
        <f t="shared" si="12"/>
        <v>328</v>
      </c>
    </row>
    <row r="332" spans="13:17" x14ac:dyDescent="0.3">
      <c r="M332" s="275">
        <f t="shared" si="11"/>
        <v>0</v>
      </c>
      <c r="N332" s="275">
        <v>329</v>
      </c>
      <c r="O332" s="275">
        <v>2130</v>
      </c>
      <c r="P332" s="275">
        <v>19</v>
      </c>
      <c r="Q332" s="275">
        <f t="shared" si="12"/>
        <v>329</v>
      </c>
    </row>
    <row r="333" spans="13:17" x14ac:dyDescent="0.3">
      <c r="M333" s="275">
        <f t="shared" si="11"/>
        <v>0</v>
      </c>
      <c r="N333" s="275">
        <v>330</v>
      </c>
      <c r="O333" s="275">
        <v>2130</v>
      </c>
      <c r="P333" s="275">
        <v>20</v>
      </c>
      <c r="Q333" s="275">
        <f t="shared" si="12"/>
        <v>330</v>
      </c>
    </row>
    <row r="334" spans="13:17" x14ac:dyDescent="0.3">
      <c r="M334" s="275">
        <f t="shared" si="11"/>
        <v>0</v>
      </c>
      <c r="N334" s="275">
        <v>331</v>
      </c>
      <c r="O334" s="275">
        <v>2140</v>
      </c>
      <c r="P334" s="275">
        <v>1</v>
      </c>
      <c r="Q334" s="275">
        <f t="shared" si="12"/>
        <v>331</v>
      </c>
    </row>
    <row r="335" spans="13:17" x14ac:dyDescent="0.3">
      <c r="M335" s="275">
        <f t="shared" si="11"/>
        <v>0</v>
      </c>
      <c r="N335" s="275">
        <v>332</v>
      </c>
      <c r="O335" s="275">
        <v>2140</v>
      </c>
      <c r="P335" s="275">
        <v>2</v>
      </c>
      <c r="Q335" s="275">
        <f t="shared" si="12"/>
        <v>332</v>
      </c>
    </row>
    <row r="336" spans="13:17" x14ac:dyDescent="0.3">
      <c r="M336" s="275">
        <f t="shared" si="11"/>
        <v>0</v>
      </c>
      <c r="N336" s="275">
        <v>333</v>
      </c>
      <c r="O336" s="275">
        <v>2140</v>
      </c>
      <c r="P336" s="275">
        <v>3</v>
      </c>
      <c r="Q336" s="275">
        <f t="shared" si="12"/>
        <v>333</v>
      </c>
    </row>
    <row r="337" spans="13:17" x14ac:dyDescent="0.3">
      <c r="M337" s="275">
        <f t="shared" si="11"/>
        <v>0</v>
      </c>
      <c r="N337" s="275">
        <v>334</v>
      </c>
      <c r="O337" s="275">
        <v>2140</v>
      </c>
      <c r="P337" s="275">
        <v>4</v>
      </c>
      <c r="Q337" s="275">
        <f t="shared" si="12"/>
        <v>334</v>
      </c>
    </row>
    <row r="338" spans="13:17" x14ac:dyDescent="0.3">
      <c r="M338" s="275">
        <f t="shared" si="11"/>
        <v>0</v>
      </c>
      <c r="N338" s="275">
        <v>335</v>
      </c>
      <c r="O338" s="275">
        <v>2140</v>
      </c>
      <c r="P338" s="275">
        <v>5</v>
      </c>
      <c r="Q338" s="275">
        <f t="shared" si="12"/>
        <v>335</v>
      </c>
    </row>
    <row r="339" spans="13:17" x14ac:dyDescent="0.3">
      <c r="M339" s="275">
        <f t="shared" si="11"/>
        <v>0</v>
      </c>
      <c r="N339" s="275">
        <v>336</v>
      </c>
      <c r="O339" s="275">
        <v>2140</v>
      </c>
      <c r="P339" s="275">
        <v>6</v>
      </c>
      <c r="Q339" s="275">
        <f t="shared" si="12"/>
        <v>336</v>
      </c>
    </row>
    <row r="340" spans="13:17" x14ac:dyDescent="0.3">
      <c r="M340" s="275">
        <f t="shared" si="11"/>
        <v>0</v>
      </c>
      <c r="N340" s="275">
        <v>337</v>
      </c>
      <c r="O340" s="275">
        <v>2140</v>
      </c>
      <c r="P340" s="275">
        <v>7</v>
      </c>
      <c r="Q340" s="275">
        <f t="shared" si="12"/>
        <v>337</v>
      </c>
    </row>
    <row r="341" spans="13:17" x14ac:dyDescent="0.3">
      <c r="M341" s="275">
        <f t="shared" si="11"/>
        <v>0</v>
      </c>
      <c r="N341" s="275">
        <v>338</v>
      </c>
      <c r="O341" s="275">
        <v>2140</v>
      </c>
      <c r="P341" s="275">
        <v>8</v>
      </c>
      <c r="Q341" s="275">
        <f t="shared" si="12"/>
        <v>338</v>
      </c>
    </row>
    <row r="342" spans="13:17" x14ac:dyDescent="0.3">
      <c r="M342" s="275">
        <f t="shared" si="11"/>
        <v>0</v>
      </c>
      <c r="N342" s="275">
        <v>339</v>
      </c>
      <c r="O342" s="275">
        <v>2140</v>
      </c>
      <c r="P342" s="275">
        <v>9</v>
      </c>
      <c r="Q342" s="275">
        <f t="shared" si="12"/>
        <v>339</v>
      </c>
    </row>
    <row r="343" spans="13:17" x14ac:dyDescent="0.3">
      <c r="M343" s="275">
        <f t="shared" si="11"/>
        <v>0</v>
      </c>
      <c r="N343" s="275">
        <v>340</v>
      </c>
      <c r="O343" s="275">
        <v>2140</v>
      </c>
      <c r="P343" s="275">
        <v>10</v>
      </c>
      <c r="Q343" s="275">
        <f t="shared" si="12"/>
        <v>340</v>
      </c>
    </row>
    <row r="344" spans="13:17" x14ac:dyDescent="0.3">
      <c r="M344" s="275">
        <f t="shared" si="11"/>
        <v>0</v>
      </c>
      <c r="N344" s="275">
        <v>341</v>
      </c>
      <c r="O344" s="275">
        <v>2140</v>
      </c>
      <c r="P344" s="275">
        <v>11</v>
      </c>
      <c r="Q344" s="275">
        <f t="shared" si="12"/>
        <v>341</v>
      </c>
    </row>
    <row r="345" spans="13:17" x14ac:dyDescent="0.3">
      <c r="M345" s="275">
        <f t="shared" si="11"/>
        <v>0</v>
      </c>
      <c r="N345" s="275">
        <v>342</v>
      </c>
      <c r="O345" s="275">
        <v>2140</v>
      </c>
      <c r="P345" s="275">
        <v>12</v>
      </c>
      <c r="Q345" s="275">
        <f t="shared" si="12"/>
        <v>342</v>
      </c>
    </row>
    <row r="346" spans="13:17" x14ac:dyDescent="0.3">
      <c r="M346" s="275">
        <f t="shared" si="11"/>
        <v>0</v>
      </c>
      <c r="N346" s="275">
        <v>343</v>
      </c>
      <c r="O346" s="275">
        <v>2140</v>
      </c>
      <c r="P346" s="275">
        <v>13</v>
      </c>
      <c r="Q346" s="275">
        <f t="shared" si="12"/>
        <v>343</v>
      </c>
    </row>
    <row r="347" spans="13:17" x14ac:dyDescent="0.3">
      <c r="M347" s="275">
        <f t="shared" si="11"/>
        <v>0</v>
      </c>
      <c r="N347" s="275">
        <v>344</v>
      </c>
      <c r="O347" s="275">
        <v>2140</v>
      </c>
      <c r="P347" s="275">
        <v>14</v>
      </c>
      <c r="Q347" s="275">
        <f t="shared" si="12"/>
        <v>344</v>
      </c>
    </row>
    <row r="348" spans="13:17" x14ac:dyDescent="0.3">
      <c r="M348" s="275">
        <f t="shared" si="11"/>
        <v>0</v>
      </c>
      <c r="N348" s="275">
        <v>345</v>
      </c>
      <c r="O348" s="275">
        <v>2140</v>
      </c>
      <c r="P348" s="275">
        <v>15</v>
      </c>
      <c r="Q348" s="275">
        <f t="shared" si="12"/>
        <v>345</v>
      </c>
    </row>
    <row r="349" spans="13:17" x14ac:dyDescent="0.3">
      <c r="M349" s="275">
        <f t="shared" si="11"/>
        <v>0</v>
      </c>
      <c r="N349" s="275">
        <v>346</v>
      </c>
      <c r="O349" s="275">
        <v>2140</v>
      </c>
      <c r="P349" s="275">
        <v>16</v>
      </c>
      <c r="Q349" s="275">
        <f t="shared" si="12"/>
        <v>346</v>
      </c>
    </row>
    <row r="350" spans="13:17" x14ac:dyDescent="0.3">
      <c r="M350" s="275">
        <f t="shared" si="11"/>
        <v>0</v>
      </c>
      <c r="N350" s="275">
        <v>347</v>
      </c>
      <c r="O350" s="275">
        <v>2140</v>
      </c>
      <c r="P350" s="275">
        <v>17</v>
      </c>
      <c r="Q350" s="275">
        <f t="shared" si="12"/>
        <v>347</v>
      </c>
    </row>
    <row r="351" spans="13:17" x14ac:dyDescent="0.3">
      <c r="M351" s="275">
        <f t="shared" si="11"/>
        <v>0</v>
      </c>
      <c r="N351" s="275">
        <v>348</v>
      </c>
      <c r="O351" s="275">
        <v>2140</v>
      </c>
      <c r="P351" s="275">
        <v>18</v>
      </c>
      <c r="Q351" s="275">
        <f t="shared" si="12"/>
        <v>348</v>
      </c>
    </row>
    <row r="352" spans="13:17" x14ac:dyDescent="0.3">
      <c r="M352" s="275">
        <f t="shared" si="11"/>
        <v>0</v>
      </c>
      <c r="N352" s="275">
        <v>349</v>
      </c>
      <c r="O352" s="275">
        <v>2140</v>
      </c>
      <c r="P352" s="275">
        <v>19</v>
      </c>
      <c r="Q352" s="275">
        <f t="shared" si="12"/>
        <v>349</v>
      </c>
    </row>
    <row r="353" spans="13:17" x14ac:dyDescent="0.3">
      <c r="M353" s="275">
        <f t="shared" si="11"/>
        <v>0</v>
      </c>
      <c r="N353" s="275">
        <v>350</v>
      </c>
      <c r="O353" s="275">
        <v>2140</v>
      </c>
      <c r="P353" s="275">
        <v>20</v>
      </c>
      <c r="Q353" s="275">
        <f t="shared" si="12"/>
        <v>350</v>
      </c>
    </row>
    <row r="354" spans="13:17" x14ac:dyDescent="0.3">
      <c r="M354" s="275">
        <f t="shared" si="11"/>
        <v>0</v>
      </c>
      <c r="N354" s="275">
        <v>351</v>
      </c>
      <c r="O354" s="275">
        <v>2150</v>
      </c>
      <c r="P354" s="275">
        <v>1</v>
      </c>
      <c r="Q354" s="275">
        <f t="shared" si="12"/>
        <v>351</v>
      </c>
    </row>
    <row r="355" spans="13:17" x14ac:dyDescent="0.3">
      <c r="M355" s="275">
        <f t="shared" si="11"/>
        <v>0</v>
      </c>
      <c r="N355" s="275">
        <v>352</v>
      </c>
      <c r="O355" s="275">
        <v>2150</v>
      </c>
      <c r="P355" s="275">
        <v>2</v>
      </c>
      <c r="Q355" s="275">
        <f t="shared" si="12"/>
        <v>352</v>
      </c>
    </row>
    <row r="356" spans="13:17" x14ac:dyDescent="0.3">
      <c r="M356" s="275">
        <f t="shared" si="11"/>
        <v>0</v>
      </c>
      <c r="N356" s="275">
        <v>353</v>
      </c>
      <c r="O356" s="275">
        <v>2150</v>
      </c>
      <c r="P356" s="275">
        <v>3</v>
      </c>
      <c r="Q356" s="275">
        <f t="shared" si="12"/>
        <v>353</v>
      </c>
    </row>
    <row r="357" spans="13:17" x14ac:dyDescent="0.3">
      <c r="M357" s="275">
        <f t="shared" si="11"/>
        <v>0</v>
      </c>
      <c r="N357" s="275">
        <v>354</v>
      </c>
      <c r="O357" s="275">
        <v>2150</v>
      </c>
      <c r="P357" s="275">
        <v>4</v>
      </c>
      <c r="Q357" s="275">
        <f t="shared" si="12"/>
        <v>354</v>
      </c>
    </row>
    <row r="358" spans="13:17" x14ac:dyDescent="0.3">
      <c r="M358" s="275">
        <f t="shared" si="11"/>
        <v>0</v>
      </c>
      <c r="N358" s="275">
        <v>355</v>
      </c>
      <c r="O358" s="275">
        <v>2150</v>
      </c>
      <c r="P358" s="275">
        <v>5</v>
      </c>
      <c r="Q358" s="275">
        <f t="shared" si="12"/>
        <v>355</v>
      </c>
    </row>
    <row r="359" spans="13:17" x14ac:dyDescent="0.3">
      <c r="M359" s="275">
        <f t="shared" si="11"/>
        <v>0</v>
      </c>
      <c r="N359" s="275">
        <v>356</v>
      </c>
      <c r="O359" s="275">
        <v>2150</v>
      </c>
      <c r="P359" s="275">
        <v>6</v>
      </c>
      <c r="Q359" s="275">
        <f t="shared" si="12"/>
        <v>356</v>
      </c>
    </row>
    <row r="360" spans="13:17" x14ac:dyDescent="0.3">
      <c r="M360" s="275">
        <f t="shared" si="11"/>
        <v>0</v>
      </c>
      <c r="N360" s="275">
        <v>357</v>
      </c>
      <c r="O360" s="275">
        <v>2150</v>
      </c>
      <c r="P360" s="275">
        <v>7</v>
      </c>
      <c r="Q360" s="275">
        <f t="shared" si="12"/>
        <v>357</v>
      </c>
    </row>
    <row r="361" spans="13:17" x14ac:dyDescent="0.3">
      <c r="M361" s="275">
        <f t="shared" si="11"/>
        <v>0</v>
      </c>
      <c r="N361" s="275">
        <v>358</v>
      </c>
      <c r="O361" s="275">
        <v>2150</v>
      </c>
      <c r="P361" s="275">
        <v>8</v>
      </c>
      <c r="Q361" s="275">
        <f t="shared" si="12"/>
        <v>358</v>
      </c>
    </row>
    <row r="362" spans="13:17" x14ac:dyDescent="0.3">
      <c r="M362" s="275">
        <f t="shared" si="11"/>
        <v>0</v>
      </c>
      <c r="N362" s="275">
        <v>359</v>
      </c>
      <c r="O362" s="275">
        <v>2150</v>
      </c>
      <c r="P362" s="275">
        <v>9</v>
      </c>
      <c r="Q362" s="275">
        <f t="shared" si="12"/>
        <v>359</v>
      </c>
    </row>
    <row r="363" spans="13:17" x14ac:dyDescent="0.3">
      <c r="M363" s="275">
        <f t="shared" si="11"/>
        <v>0</v>
      </c>
      <c r="N363" s="275">
        <v>360</v>
      </c>
      <c r="O363" s="275">
        <v>2150</v>
      </c>
      <c r="P363" s="275">
        <v>10</v>
      </c>
      <c r="Q363" s="275">
        <f t="shared" si="12"/>
        <v>360</v>
      </c>
    </row>
    <row r="364" spans="13:17" x14ac:dyDescent="0.3">
      <c r="M364" s="275">
        <f t="shared" si="11"/>
        <v>0</v>
      </c>
      <c r="N364" s="275">
        <v>361</v>
      </c>
      <c r="O364" s="275">
        <v>2150</v>
      </c>
      <c r="P364" s="275">
        <v>11</v>
      </c>
      <c r="Q364" s="275">
        <f t="shared" si="12"/>
        <v>361</v>
      </c>
    </row>
    <row r="365" spans="13:17" x14ac:dyDescent="0.3">
      <c r="M365" s="275">
        <f t="shared" si="11"/>
        <v>0</v>
      </c>
      <c r="N365" s="275">
        <v>362</v>
      </c>
      <c r="O365" s="275">
        <v>2150</v>
      </c>
      <c r="P365" s="275">
        <v>12</v>
      </c>
      <c r="Q365" s="275">
        <f t="shared" si="12"/>
        <v>362</v>
      </c>
    </row>
    <row r="366" spans="13:17" x14ac:dyDescent="0.3">
      <c r="M366" s="275">
        <f t="shared" si="11"/>
        <v>0</v>
      </c>
      <c r="N366" s="275">
        <v>363</v>
      </c>
      <c r="O366" s="275">
        <v>2150</v>
      </c>
      <c r="P366" s="275">
        <v>13</v>
      </c>
      <c r="Q366" s="275">
        <f t="shared" si="12"/>
        <v>363</v>
      </c>
    </row>
    <row r="367" spans="13:17" x14ac:dyDescent="0.3">
      <c r="M367" s="275">
        <f t="shared" si="11"/>
        <v>0</v>
      </c>
      <c r="N367" s="275">
        <v>364</v>
      </c>
      <c r="O367" s="275">
        <v>2150</v>
      </c>
      <c r="P367" s="275">
        <v>14</v>
      </c>
      <c r="Q367" s="275">
        <f t="shared" si="12"/>
        <v>364</v>
      </c>
    </row>
    <row r="368" spans="13:17" x14ac:dyDescent="0.3">
      <c r="M368" s="275">
        <f t="shared" si="11"/>
        <v>0</v>
      </c>
      <c r="N368" s="275">
        <v>365</v>
      </c>
      <c r="O368" s="275">
        <v>2150</v>
      </c>
      <c r="P368" s="275">
        <v>15</v>
      </c>
      <c r="Q368" s="275">
        <f t="shared" si="12"/>
        <v>365</v>
      </c>
    </row>
    <row r="369" spans="13:17" x14ac:dyDescent="0.3">
      <c r="M369" s="275">
        <f t="shared" si="11"/>
        <v>0</v>
      </c>
      <c r="N369" s="275">
        <v>366</v>
      </c>
      <c r="O369" s="275">
        <v>2150</v>
      </c>
      <c r="P369" s="275">
        <v>16</v>
      </c>
      <c r="Q369" s="275">
        <f t="shared" si="12"/>
        <v>366</v>
      </c>
    </row>
    <row r="370" spans="13:17" x14ac:dyDescent="0.3">
      <c r="M370" s="275">
        <f t="shared" si="11"/>
        <v>0</v>
      </c>
      <c r="N370" s="275">
        <v>367</v>
      </c>
      <c r="O370" s="275">
        <v>2150</v>
      </c>
      <c r="P370" s="275">
        <v>17</v>
      </c>
      <c r="Q370" s="275">
        <f t="shared" si="12"/>
        <v>367</v>
      </c>
    </row>
    <row r="371" spans="13:17" x14ac:dyDescent="0.3">
      <c r="M371" s="275">
        <f t="shared" si="11"/>
        <v>0</v>
      </c>
      <c r="N371" s="275">
        <v>368</v>
      </c>
      <c r="O371" s="275">
        <v>2150</v>
      </c>
      <c r="P371" s="275">
        <v>18</v>
      </c>
      <c r="Q371" s="275">
        <f t="shared" si="12"/>
        <v>368</v>
      </c>
    </row>
    <row r="372" spans="13:17" x14ac:dyDescent="0.3">
      <c r="M372" s="275">
        <f t="shared" si="11"/>
        <v>0</v>
      </c>
      <c r="N372" s="275">
        <v>369</v>
      </c>
      <c r="O372" s="275">
        <v>2150</v>
      </c>
      <c r="P372" s="275">
        <v>19</v>
      </c>
      <c r="Q372" s="275">
        <f t="shared" si="12"/>
        <v>369</v>
      </c>
    </row>
    <row r="373" spans="13:17" x14ac:dyDescent="0.3">
      <c r="M373" s="275">
        <f t="shared" si="11"/>
        <v>0</v>
      </c>
      <c r="N373" s="275">
        <v>370</v>
      </c>
      <c r="O373" s="275">
        <v>2150</v>
      </c>
      <c r="P373" s="275">
        <v>20</v>
      </c>
      <c r="Q373" s="275">
        <f t="shared" si="12"/>
        <v>370</v>
      </c>
    </row>
    <row r="374" spans="13:17" x14ac:dyDescent="0.3">
      <c r="M374" s="275">
        <f t="shared" si="11"/>
        <v>0</v>
      </c>
      <c r="N374" s="275">
        <v>371</v>
      </c>
      <c r="O374" s="275">
        <v>2160</v>
      </c>
      <c r="P374" s="275">
        <v>1</v>
      </c>
      <c r="Q374" s="275">
        <f t="shared" si="12"/>
        <v>371</v>
      </c>
    </row>
    <row r="375" spans="13:17" x14ac:dyDescent="0.3">
      <c r="M375" s="275">
        <f t="shared" si="11"/>
        <v>0</v>
      </c>
      <c r="N375" s="275">
        <v>372</v>
      </c>
      <c r="O375" s="275">
        <v>2160</v>
      </c>
      <c r="P375" s="275">
        <v>2</v>
      </c>
      <c r="Q375" s="275">
        <f t="shared" si="12"/>
        <v>372</v>
      </c>
    </row>
    <row r="376" spans="13:17" x14ac:dyDescent="0.3">
      <c r="M376" s="275">
        <f t="shared" si="11"/>
        <v>0</v>
      </c>
      <c r="N376" s="275">
        <v>373</v>
      </c>
      <c r="O376" s="275">
        <v>2160</v>
      </c>
      <c r="P376" s="275">
        <v>3</v>
      </c>
      <c r="Q376" s="275">
        <f t="shared" si="12"/>
        <v>373</v>
      </c>
    </row>
    <row r="377" spans="13:17" x14ac:dyDescent="0.3">
      <c r="M377" s="275">
        <f t="shared" si="11"/>
        <v>0</v>
      </c>
      <c r="N377" s="275">
        <v>374</v>
      </c>
      <c r="O377" s="275">
        <v>2160</v>
      </c>
      <c r="P377" s="275">
        <v>4</v>
      </c>
      <c r="Q377" s="275">
        <f t="shared" si="12"/>
        <v>374</v>
      </c>
    </row>
    <row r="378" spans="13:17" x14ac:dyDescent="0.3">
      <c r="M378" s="275">
        <f t="shared" si="11"/>
        <v>0</v>
      </c>
      <c r="N378" s="275">
        <v>375</v>
      </c>
      <c r="O378" s="275">
        <v>2160</v>
      </c>
      <c r="P378" s="275">
        <v>5</v>
      </c>
      <c r="Q378" s="275">
        <f t="shared" si="12"/>
        <v>375</v>
      </c>
    </row>
    <row r="379" spans="13:17" x14ac:dyDescent="0.3">
      <c r="M379" s="275">
        <f t="shared" si="11"/>
        <v>0</v>
      </c>
      <c r="N379" s="275">
        <v>376</v>
      </c>
      <c r="O379" s="275">
        <v>2160</v>
      </c>
      <c r="P379" s="275">
        <v>6</v>
      </c>
      <c r="Q379" s="275">
        <f t="shared" si="12"/>
        <v>376</v>
      </c>
    </row>
    <row r="380" spans="13:17" x14ac:dyDescent="0.3">
      <c r="M380" s="275">
        <f t="shared" si="11"/>
        <v>0</v>
      </c>
      <c r="N380" s="275">
        <v>377</v>
      </c>
      <c r="O380" s="275">
        <v>2160</v>
      </c>
      <c r="P380" s="275">
        <v>7</v>
      </c>
      <c r="Q380" s="275">
        <f t="shared" si="12"/>
        <v>377</v>
      </c>
    </row>
    <row r="381" spans="13:17" x14ac:dyDescent="0.3">
      <c r="M381" s="275">
        <f t="shared" si="11"/>
        <v>0</v>
      </c>
      <c r="N381" s="275">
        <v>378</v>
      </c>
      <c r="O381" s="275">
        <v>2160</v>
      </c>
      <c r="P381" s="275">
        <v>8</v>
      </c>
      <c r="Q381" s="275">
        <f t="shared" si="12"/>
        <v>378</v>
      </c>
    </row>
    <row r="382" spans="13:17" x14ac:dyDescent="0.3">
      <c r="M382" s="275">
        <f t="shared" si="11"/>
        <v>0</v>
      </c>
      <c r="N382" s="275">
        <v>379</v>
      </c>
      <c r="O382" s="275">
        <v>2160</v>
      </c>
      <c r="P382" s="275">
        <v>9</v>
      </c>
      <c r="Q382" s="275">
        <f t="shared" si="12"/>
        <v>379</v>
      </c>
    </row>
    <row r="383" spans="13:17" x14ac:dyDescent="0.3">
      <c r="M383" s="275">
        <f t="shared" si="11"/>
        <v>0</v>
      </c>
      <c r="N383" s="275">
        <v>380</v>
      </c>
      <c r="O383" s="275">
        <v>2160</v>
      </c>
      <c r="P383" s="275">
        <v>10</v>
      </c>
      <c r="Q383" s="275">
        <f t="shared" si="12"/>
        <v>380</v>
      </c>
    </row>
    <row r="384" spans="13:17" x14ac:dyDescent="0.3">
      <c r="M384" s="275">
        <f t="shared" si="11"/>
        <v>0</v>
      </c>
      <c r="N384" s="275">
        <v>381</v>
      </c>
      <c r="O384" s="275">
        <v>2160</v>
      </c>
      <c r="P384" s="275">
        <v>11</v>
      </c>
      <c r="Q384" s="275">
        <f t="shared" si="12"/>
        <v>381</v>
      </c>
    </row>
    <row r="385" spans="13:17" x14ac:dyDescent="0.3">
      <c r="M385" s="275">
        <f t="shared" si="11"/>
        <v>0</v>
      </c>
      <c r="N385" s="275">
        <v>382</v>
      </c>
      <c r="O385" s="275">
        <v>2160</v>
      </c>
      <c r="P385" s="275">
        <v>12</v>
      </c>
      <c r="Q385" s="275">
        <f t="shared" si="12"/>
        <v>382</v>
      </c>
    </row>
    <row r="386" spans="13:17" x14ac:dyDescent="0.3">
      <c r="M386" s="275">
        <f t="shared" si="11"/>
        <v>0</v>
      </c>
      <c r="N386" s="275">
        <v>383</v>
      </c>
      <c r="O386" s="275">
        <v>2160</v>
      </c>
      <c r="P386" s="275">
        <v>13</v>
      </c>
      <c r="Q386" s="275">
        <f t="shared" si="12"/>
        <v>383</v>
      </c>
    </row>
    <row r="387" spans="13:17" x14ac:dyDescent="0.3">
      <c r="M387" s="275">
        <f t="shared" si="11"/>
        <v>0</v>
      </c>
      <c r="N387" s="275">
        <v>384</v>
      </c>
      <c r="O387" s="275">
        <v>2160</v>
      </c>
      <c r="P387" s="275">
        <v>14</v>
      </c>
      <c r="Q387" s="275">
        <f t="shared" si="12"/>
        <v>384</v>
      </c>
    </row>
    <row r="388" spans="13:17" x14ac:dyDescent="0.3">
      <c r="M388" s="275">
        <f t="shared" si="11"/>
        <v>0</v>
      </c>
      <c r="N388" s="275">
        <v>385</v>
      </c>
      <c r="O388" s="275">
        <v>2160</v>
      </c>
      <c r="P388" s="275">
        <v>15</v>
      </c>
      <c r="Q388" s="275">
        <f t="shared" si="12"/>
        <v>385</v>
      </c>
    </row>
    <row r="389" spans="13:17" x14ac:dyDescent="0.3">
      <c r="M389" s="275">
        <f t="shared" ref="M389:M452" si="13">J389</f>
        <v>0</v>
      </c>
      <c r="N389" s="275">
        <v>386</v>
      </c>
      <c r="O389" s="275">
        <v>2160</v>
      </c>
      <c r="P389" s="275">
        <v>16</v>
      </c>
      <c r="Q389" s="275">
        <f t="shared" ref="Q389:Q452" si="14">N389</f>
        <v>386</v>
      </c>
    </row>
    <row r="390" spans="13:17" x14ac:dyDescent="0.3">
      <c r="M390" s="275">
        <f t="shared" si="13"/>
        <v>0</v>
      </c>
      <c r="N390" s="275">
        <v>387</v>
      </c>
      <c r="O390" s="275">
        <v>2160</v>
      </c>
      <c r="P390" s="275">
        <v>17</v>
      </c>
      <c r="Q390" s="275">
        <f t="shared" si="14"/>
        <v>387</v>
      </c>
    </row>
    <row r="391" spans="13:17" x14ac:dyDescent="0.3">
      <c r="M391" s="275">
        <f t="shared" si="13"/>
        <v>0</v>
      </c>
      <c r="N391" s="275">
        <v>388</v>
      </c>
      <c r="O391" s="275">
        <v>2160</v>
      </c>
      <c r="P391" s="275">
        <v>18</v>
      </c>
      <c r="Q391" s="275">
        <f t="shared" si="14"/>
        <v>388</v>
      </c>
    </row>
    <row r="392" spans="13:17" x14ac:dyDescent="0.3">
      <c r="M392" s="275">
        <f t="shared" si="13"/>
        <v>0</v>
      </c>
      <c r="N392" s="275">
        <v>389</v>
      </c>
      <c r="O392" s="275">
        <v>2160</v>
      </c>
      <c r="P392" s="275">
        <v>19</v>
      </c>
      <c r="Q392" s="275">
        <f t="shared" si="14"/>
        <v>389</v>
      </c>
    </row>
    <row r="393" spans="13:17" x14ac:dyDescent="0.3">
      <c r="M393" s="275">
        <f t="shared" si="13"/>
        <v>0</v>
      </c>
      <c r="N393" s="275">
        <v>390</v>
      </c>
      <c r="O393" s="275">
        <v>2160</v>
      </c>
      <c r="P393" s="275">
        <v>20</v>
      </c>
      <c r="Q393" s="275">
        <f t="shared" si="14"/>
        <v>390</v>
      </c>
    </row>
    <row r="394" spans="13:17" x14ac:dyDescent="0.3">
      <c r="M394" s="275">
        <f t="shared" si="13"/>
        <v>0</v>
      </c>
      <c r="N394" s="275">
        <v>391</v>
      </c>
      <c r="O394" s="275">
        <v>2210</v>
      </c>
      <c r="P394" s="275">
        <v>1</v>
      </c>
      <c r="Q394" s="275">
        <f t="shared" si="14"/>
        <v>391</v>
      </c>
    </row>
    <row r="395" spans="13:17" x14ac:dyDescent="0.3">
      <c r="M395" s="275">
        <f t="shared" si="13"/>
        <v>0</v>
      </c>
      <c r="N395" s="275">
        <v>392</v>
      </c>
      <c r="O395" s="275">
        <v>2210</v>
      </c>
      <c r="P395" s="275">
        <v>2</v>
      </c>
      <c r="Q395" s="275">
        <f t="shared" si="14"/>
        <v>392</v>
      </c>
    </row>
    <row r="396" spans="13:17" x14ac:dyDescent="0.3">
      <c r="M396" s="275">
        <f t="shared" si="13"/>
        <v>0</v>
      </c>
      <c r="N396" s="275">
        <v>393</v>
      </c>
      <c r="O396" s="275">
        <v>2210</v>
      </c>
      <c r="P396" s="275">
        <v>3</v>
      </c>
      <c r="Q396" s="275">
        <f t="shared" si="14"/>
        <v>393</v>
      </c>
    </row>
    <row r="397" spans="13:17" x14ac:dyDescent="0.3">
      <c r="M397" s="275">
        <f t="shared" si="13"/>
        <v>0</v>
      </c>
      <c r="N397" s="275">
        <v>394</v>
      </c>
      <c r="O397" s="275">
        <v>2210</v>
      </c>
      <c r="P397" s="275">
        <v>4</v>
      </c>
      <c r="Q397" s="275">
        <f t="shared" si="14"/>
        <v>394</v>
      </c>
    </row>
    <row r="398" spans="13:17" x14ac:dyDescent="0.3">
      <c r="M398" s="275">
        <f t="shared" si="13"/>
        <v>0</v>
      </c>
      <c r="N398" s="275">
        <v>395</v>
      </c>
      <c r="O398" s="275">
        <v>2210</v>
      </c>
      <c r="P398" s="275">
        <v>5</v>
      </c>
      <c r="Q398" s="275">
        <f t="shared" si="14"/>
        <v>395</v>
      </c>
    </row>
    <row r="399" spans="13:17" x14ac:dyDescent="0.3">
      <c r="M399" s="275">
        <f t="shared" si="13"/>
        <v>0</v>
      </c>
      <c r="N399" s="275">
        <v>396</v>
      </c>
      <c r="O399" s="275">
        <v>2210</v>
      </c>
      <c r="P399" s="275">
        <v>6</v>
      </c>
      <c r="Q399" s="275">
        <f t="shared" si="14"/>
        <v>396</v>
      </c>
    </row>
    <row r="400" spans="13:17" x14ac:dyDescent="0.3">
      <c r="M400" s="275">
        <f t="shared" si="13"/>
        <v>0</v>
      </c>
      <c r="N400" s="275">
        <v>397</v>
      </c>
      <c r="O400" s="275">
        <v>2210</v>
      </c>
      <c r="P400" s="275">
        <v>7</v>
      </c>
      <c r="Q400" s="275">
        <f t="shared" si="14"/>
        <v>397</v>
      </c>
    </row>
    <row r="401" spans="13:17" x14ac:dyDescent="0.3">
      <c r="M401" s="275">
        <f t="shared" si="13"/>
        <v>0</v>
      </c>
      <c r="N401" s="275">
        <v>398</v>
      </c>
      <c r="O401" s="275">
        <v>2210</v>
      </c>
      <c r="P401" s="275">
        <v>8</v>
      </c>
      <c r="Q401" s="275">
        <f t="shared" si="14"/>
        <v>398</v>
      </c>
    </row>
    <row r="402" spans="13:17" x14ac:dyDescent="0.3">
      <c r="M402" s="275">
        <f t="shared" si="13"/>
        <v>0</v>
      </c>
      <c r="N402" s="275">
        <v>399</v>
      </c>
      <c r="O402" s="275">
        <v>2210</v>
      </c>
      <c r="P402" s="275">
        <v>9</v>
      </c>
      <c r="Q402" s="275">
        <f t="shared" si="14"/>
        <v>399</v>
      </c>
    </row>
    <row r="403" spans="13:17" x14ac:dyDescent="0.3">
      <c r="M403" s="275">
        <f t="shared" si="13"/>
        <v>0</v>
      </c>
      <c r="N403" s="275">
        <v>400</v>
      </c>
      <c r="O403" s="275">
        <v>2210</v>
      </c>
      <c r="P403" s="275">
        <v>10</v>
      </c>
      <c r="Q403" s="275">
        <f t="shared" si="14"/>
        <v>400</v>
      </c>
    </row>
    <row r="404" spans="13:17" x14ac:dyDescent="0.3">
      <c r="M404" s="275">
        <f t="shared" si="13"/>
        <v>0</v>
      </c>
      <c r="N404" s="275">
        <v>401</v>
      </c>
      <c r="O404" s="275">
        <v>2210</v>
      </c>
      <c r="P404" s="275">
        <v>11</v>
      </c>
      <c r="Q404" s="275">
        <f t="shared" si="14"/>
        <v>401</v>
      </c>
    </row>
    <row r="405" spans="13:17" x14ac:dyDescent="0.3">
      <c r="M405" s="275">
        <f t="shared" si="13"/>
        <v>0</v>
      </c>
      <c r="N405" s="275">
        <v>402</v>
      </c>
      <c r="O405" s="275">
        <v>2210</v>
      </c>
      <c r="P405" s="275">
        <v>12</v>
      </c>
      <c r="Q405" s="275">
        <f t="shared" si="14"/>
        <v>402</v>
      </c>
    </row>
    <row r="406" spans="13:17" x14ac:dyDescent="0.3">
      <c r="M406" s="275">
        <f t="shared" si="13"/>
        <v>0</v>
      </c>
      <c r="N406" s="275">
        <v>403</v>
      </c>
      <c r="O406" s="275">
        <v>2210</v>
      </c>
      <c r="P406" s="275">
        <v>13</v>
      </c>
      <c r="Q406" s="275">
        <f t="shared" si="14"/>
        <v>403</v>
      </c>
    </row>
    <row r="407" spans="13:17" x14ac:dyDescent="0.3">
      <c r="M407" s="275">
        <f t="shared" si="13"/>
        <v>0</v>
      </c>
      <c r="N407" s="275">
        <v>404</v>
      </c>
      <c r="O407" s="275">
        <v>2210</v>
      </c>
      <c r="P407" s="275">
        <v>14</v>
      </c>
      <c r="Q407" s="275">
        <f t="shared" si="14"/>
        <v>404</v>
      </c>
    </row>
    <row r="408" spans="13:17" x14ac:dyDescent="0.3">
      <c r="M408" s="275">
        <f t="shared" si="13"/>
        <v>0</v>
      </c>
      <c r="N408" s="275">
        <v>405</v>
      </c>
      <c r="O408" s="275">
        <v>2210</v>
      </c>
      <c r="P408" s="275">
        <v>15</v>
      </c>
      <c r="Q408" s="275">
        <f t="shared" si="14"/>
        <v>405</v>
      </c>
    </row>
    <row r="409" spans="13:17" x14ac:dyDescent="0.3">
      <c r="M409" s="275">
        <f t="shared" si="13"/>
        <v>0</v>
      </c>
      <c r="N409" s="275">
        <v>406</v>
      </c>
      <c r="O409" s="275">
        <v>2210</v>
      </c>
      <c r="P409" s="275">
        <v>16</v>
      </c>
      <c r="Q409" s="275">
        <f t="shared" si="14"/>
        <v>406</v>
      </c>
    </row>
    <row r="410" spans="13:17" x14ac:dyDescent="0.3">
      <c r="M410" s="275">
        <f t="shared" si="13"/>
        <v>0</v>
      </c>
      <c r="N410" s="275">
        <v>407</v>
      </c>
      <c r="O410" s="275">
        <v>2210</v>
      </c>
      <c r="P410" s="275">
        <v>17</v>
      </c>
      <c r="Q410" s="275">
        <f t="shared" si="14"/>
        <v>407</v>
      </c>
    </row>
    <row r="411" spans="13:17" x14ac:dyDescent="0.3">
      <c r="M411" s="275">
        <f t="shared" si="13"/>
        <v>0</v>
      </c>
      <c r="N411" s="275">
        <v>408</v>
      </c>
      <c r="O411" s="275">
        <v>2210</v>
      </c>
      <c r="P411" s="275">
        <v>18</v>
      </c>
      <c r="Q411" s="275">
        <f t="shared" si="14"/>
        <v>408</v>
      </c>
    </row>
    <row r="412" spans="13:17" x14ac:dyDescent="0.3">
      <c r="M412" s="275">
        <f t="shared" si="13"/>
        <v>0</v>
      </c>
      <c r="N412" s="275">
        <v>409</v>
      </c>
      <c r="O412" s="275">
        <v>2210</v>
      </c>
      <c r="P412" s="275">
        <v>19</v>
      </c>
      <c r="Q412" s="275">
        <f t="shared" si="14"/>
        <v>409</v>
      </c>
    </row>
    <row r="413" spans="13:17" x14ac:dyDescent="0.3">
      <c r="M413" s="275">
        <f t="shared" si="13"/>
        <v>0</v>
      </c>
      <c r="N413" s="275">
        <v>410</v>
      </c>
      <c r="O413" s="275">
        <v>2210</v>
      </c>
      <c r="P413" s="275">
        <v>20</v>
      </c>
      <c r="Q413" s="275">
        <f t="shared" si="14"/>
        <v>410</v>
      </c>
    </row>
    <row r="414" spans="13:17" x14ac:dyDescent="0.3">
      <c r="M414" s="275">
        <f t="shared" si="13"/>
        <v>0</v>
      </c>
      <c r="N414" s="275">
        <v>411</v>
      </c>
      <c r="O414" s="275">
        <v>2220</v>
      </c>
      <c r="P414" s="275">
        <v>1</v>
      </c>
      <c r="Q414" s="275">
        <f t="shared" si="14"/>
        <v>411</v>
      </c>
    </row>
    <row r="415" spans="13:17" x14ac:dyDescent="0.3">
      <c r="M415" s="275">
        <f t="shared" si="13"/>
        <v>0</v>
      </c>
      <c r="N415" s="275">
        <v>412</v>
      </c>
      <c r="O415" s="275">
        <v>2220</v>
      </c>
      <c r="P415" s="275">
        <v>2</v>
      </c>
      <c r="Q415" s="275">
        <f t="shared" si="14"/>
        <v>412</v>
      </c>
    </row>
    <row r="416" spans="13:17" x14ac:dyDescent="0.3">
      <c r="M416" s="275">
        <f t="shared" si="13"/>
        <v>0</v>
      </c>
      <c r="N416" s="275">
        <v>413</v>
      </c>
      <c r="O416" s="275">
        <v>2220</v>
      </c>
      <c r="P416" s="275">
        <v>3</v>
      </c>
      <c r="Q416" s="275">
        <f t="shared" si="14"/>
        <v>413</v>
      </c>
    </row>
    <row r="417" spans="13:17" x14ac:dyDescent="0.3">
      <c r="M417" s="275">
        <f t="shared" si="13"/>
        <v>0</v>
      </c>
      <c r="N417" s="275">
        <v>414</v>
      </c>
      <c r="O417" s="275">
        <v>2220</v>
      </c>
      <c r="P417" s="275">
        <v>4</v>
      </c>
      <c r="Q417" s="275">
        <f t="shared" si="14"/>
        <v>414</v>
      </c>
    </row>
    <row r="418" spans="13:17" x14ac:dyDescent="0.3">
      <c r="M418" s="275">
        <f t="shared" si="13"/>
        <v>0</v>
      </c>
      <c r="N418" s="275">
        <v>415</v>
      </c>
      <c r="O418" s="275">
        <v>2220</v>
      </c>
      <c r="P418" s="275">
        <v>5</v>
      </c>
      <c r="Q418" s="275">
        <f t="shared" si="14"/>
        <v>415</v>
      </c>
    </row>
    <row r="419" spans="13:17" x14ac:dyDescent="0.3">
      <c r="M419" s="275">
        <f t="shared" si="13"/>
        <v>0</v>
      </c>
      <c r="N419" s="275">
        <v>416</v>
      </c>
      <c r="O419" s="275">
        <v>2220</v>
      </c>
      <c r="P419" s="275">
        <v>6</v>
      </c>
      <c r="Q419" s="275">
        <f t="shared" si="14"/>
        <v>416</v>
      </c>
    </row>
    <row r="420" spans="13:17" x14ac:dyDescent="0.3">
      <c r="M420" s="275">
        <f t="shared" si="13"/>
        <v>0</v>
      </c>
      <c r="N420" s="275">
        <v>417</v>
      </c>
      <c r="O420" s="275">
        <v>2220</v>
      </c>
      <c r="P420" s="275">
        <v>7</v>
      </c>
      <c r="Q420" s="275">
        <f t="shared" si="14"/>
        <v>417</v>
      </c>
    </row>
    <row r="421" spans="13:17" x14ac:dyDescent="0.3">
      <c r="M421" s="275">
        <f t="shared" si="13"/>
        <v>0</v>
      </c>
      <c r="N421" s="275">
        <v>418</v>
      </c>
      <c r="O421" s="275">
        <v>2220</v>
      </c>
      <c r="P421" s="275">
        <v>8</v>
      </c>
      <c r="Q421" s="275">
        <f t="shared" si="14"/>
        <v>418</v>
      </c>
    </row>
    <row r="422" spans="13:17" x14ac:dyDescent="0.3">
      <c r="M422" s="275">
        <f t="shared" si="13"/>
        <v>0</v>
      </c>
      <c r="N422" s="275">
        <v>419</v>
      </c>
      <c r="O422" s="275">
        <v>2220</v>
      </c>
      <c r="P422" s="275">
        <v>9</v>
      </c>
      <c r="Q422" s="275">
        <f t="shared" si="14"/>
        <v>419</v>
      </c>
    </row>
    <row r="423" spans="13:17" x14ac:dyDescent="0.3">
      <c r="M423" s="275">
        <f t="shared" si="13"/>
        <v>0</v>
      </c>
      <c r="N423" s="275">
        <v>420</v>
      </c>
      <c r="O423" s="275">
        <v>2220</v>
      </c>
      <c r="P423" s="275">
        <v>10</v>
      </c>
      <c r="Q423" s="275">
        <f t="shared" si="14"/>
        <v>420</v>
      </c>
    </row>
    <row r="424" spans="13:17" x14ac:dyDescent="0.3">
      <c r="M424" s="275">
        <f t="shared" si="13"/>
        <v>0</v>
      </c>
      <c r="N424" s="275">
        <v>421</v>
      </c>
      <c r="O424" s="275">
        <v>2220</v>
      </c>
      <c r="P424" s="275">
        <v>11</v>
      </c>
      <c r="Q424" s="275">
        <f t="shared" si="14"/>
        <v>421</v>
      </c>
    </row>
    <row r="425" spans="13:17" x14ac:dyDescent="0.3">
      <c r="M425" s="275">
        <f t="shared" si="13"/>
        <v>0</v>
      </c>
      <c r="N425" s="275">
        <v>422</v>
      </c>
      <c r="O425" s="275">
        <v>2220</v>
      </c>
      <c r="P425" s="275">
        <v>12</v>
      </c>
      <c r="Q425" s="275">
        <f t="shared" si="14"/>
        <v>422</v>
      </c>
    </row>
    <row r="426" spans="13:17" x14ac:dyDescent="0.3">
      <c r="M426" s="275">
        <f t="shared" si="13"/>
        <v>0</v>
      </c>
      <c r="N426" s="275">
        <v>423</v>
      </c>
      <c r="O426" s="275">
        <v>2220</v>
      </c>
      <c r="P426" s="275">
        <v>13</v>
      </c>
      <c r="Q426" s="275">
        <f t="shared" si="14"/>
        <v>423</v>
      </c>
    </row>
    <row r="427" spans="13:17" x14ac:dyDescent="0.3">
      <c r="M427" s="275">
        <f t="shared" si="13"/>
        <v>0</v>
      </c>
      <c r="N427" s="275">
        <v>424</v>
      </c>
      <c r="O427" s="275">
        <v>2220</v>
      </c>
      <c r="P427" s="275">
        <v>14</v>
      </c>
      <c r="Q427" s="275">
        <f t="shared" si="14"/>
        <v>424</v>
      </c>
    </row>
    <row r="428" spans="13:17" x14ac:dyDescent="0.3">
      <c r="M428" s="275">
        <f t="shared" si="13"/>
        <v>0</v>
      </c>
      <c r="N428" s="275">
        <v>425</v>
      </c>
      <c r="O428" s="275">
        <v>2220</v>
      </c>
      <c r="P428" s="275">
        <v>15</v>
      </c>
      <c r="Q428" s="275">
        <f t="shared" si="14"/>
        <v>425</v>
      </c>
    </row>
    <row r="429" spans="13:17" x14ac:dyDescent="0.3">
      <c r="M429" s="275">
        <f t="shared" si="13"/>
        <v>0</v>
      </c>
      <c r="N429" s="275">
        <v>426</v>
      </c>
      <c r="O429" s="275">
        <v>2220</v>
      </c>
      <c r="P429" s="275">
        <v>16</v>
      </c>
      <c r="Q429" s="275">
        <f t="shared" si="14"/>
        <v>426</v>
      </c>
    </row>
    <row r="430" spans="13:17" x14ac:dyDescent="0.3">
      <c r="M430" s="275">
        <f t="shared" si="13"/>
        <v>0</v>
      </c>
      <c r="N430" s="275">
        <v>427</v>
      </c>
      <c r="O430" s="275">
        <v>2220</v>
      </c>
      <c r="P430" s="275">
        <v>17</v>
      </c>
      <c r="Q430" s="275">
        <f t="shared" si="14"/>
        <v>427</v>
      </c>
    </row>
    <row r="431" spans="13:17" x14ac:dyDescent="0.3">
      <c r="M431" s="275">
        <f t="shared" si="13"/>
        <v>0</v>
      </c>
      <c r="N431" s="275">
        <v>428</v>
      </c>
      <c r="O431" s="275">
        <v>2220</v>
      </c>
      <c r="P431" s="275">
        <v>18</v>
      </c>
      <c r="Q431" s="275">
        <f t="shared" si="14"/>
        <v>428</v>
      </c>
    </row>
    <row r="432" spans="13:17" x14ac:dyDescent="0.3">
      <c r="M432" s="275">
        <f t="shared" si="13"/>
        <v>0</v>
      </c>
      <c r="N432" s="275">
        <v>429</v>
      </c>
      <c r="O432" s="275">
        <v>2220</v>
      </c>
      <c r="P432" s="275">
        <v>19</v>
      </c>
      <c r="Q432" s="275">
        <f t="shared" si="14"/>
        <v>429</v>
      </c>
    </row>
    <row r="433" spans="13:17" x14ac:dyDescent="0.3">
      <c r="M433" s="275">
        <f t="shared" si="13"/>
        <v>0</v>
      </c>
      <c r="N433" s="275">
        <v>430</v>
      </c>
      <c r="O433" s="275">
        <v>2220</v>
      </c>
      <c r="P433" s="275">
        <v>20</v>
      </c>
      <c r="Q433" s="275">
        <f t="shared" si="14"/>
        <v>430</v>
      </c>
    </row>
    <row r="434" spans="13:17" x14ac:dyDescent="0.3">
      <c r="M434" s="275">
        <f t="shared" si="13"/>
        <v>0</v>
      </c>
      <c r="N434" s="275">
        <v>431</v>
      </c>
      <c r="O434" s="275">
        <v>2230</v>
      </c>
      <c r="P434" s="275">
        <v>1</v>
      </c>
      <c r="Q434" s="275">
        <f t="shared" si="14"/>
        <v>431</v>
      </c>
    </row>
    <row r="435" spans="13:17" x14ac:dyDescent="0.3">
      <c r="M435" s="275">
        <f t="shared" si="13"/>
        <v>0</v>
      </c>
      <c r="N435" s="275">
        <v>432</v>
      </c>
      <c r="O435" s="275">
        <v>2230</v>
      </c>
      <c r="P435" s="275">
        <v>2</v>
      </c>
      <c r="Q435" s="275">
        <f t="shared" si="14"/>
        <v>432</v>
      </c>
    </row>
    <row r="436" spans="13:17" x14ac:dyDescent="0.3">
      <c r="M436" s="275">
        <f t="shared" si="13"/>
        <v>0</v>
      </c>
      <c r="N436" s="275">
        <v>433</v>
      </c>
      <c r="O436" s="275">
        <v>2230</v>
      </c>
      <c r="P436" s="275">
        <v>3</v>
      </c>
      <c r="Q436" s="275">
        <f t="shared" si="14"/>
        <v>433</v>
      </c>
    </row>
    <row r="437" spans="13:17" x14ac:dyDescent="0.3">
      <c r="M437" s="275">
        <f t="shared" si="13"/>
        <v>0</v>
      </c>
      <c r="N437" s="275">
        <v>434</v>
      </c>
      <c r="O437" s="275">
        <v>2230</v>
      </c>
      <c r="P437" s="275">
        <v>4</v>
      </c>
      <c r="Q437" s="275">
        <f t="shared" si="14"/>
        <v>434</v>
      </c>
    </row>
    <row r="438" spans="13:17" x14ac:dyDescent="0.3">
      <c r="M438" s="275">
        <f t="shared" si="13"/>
        <v>0</v>
      </c>
      <c r="N438" s="275">
        <v>435</v>
      </c>
      <c r="O438" s="275">
        <v>2230</v>
      </c>
      <c r="P438" s="275">
        <v>5</v>
      </c>
      <c r="Q438" s="275">
        <f t="shared" si="14"/>
        <v>435</v>
      </c>
    </row>
    <row r="439" spans="13:17" x14ac:dyDescent="0.3">
      <c r="M439" s="275">
        <f t="shared" si="13"/>
        <v>0</v>
      </c>
      <c r="N439" s="275">
        <v>436</v>
      </c>
      <c r="O439" s="275">
        <v>2230</v>
      </c>
      <c r="P439" s="275">
        <v>6</v>
      </c>
      <c r="Q439" s="275">
        <f t="shared" si="14"/>
        <v>436</v>
      </c>
    </row>
    <row r="440" spans="13:17" x14ac:dyDescent="0.3">
      <c r="M440" s="275">
        <f t="shared" si="13"/>
        <v>0</v>
      </c>
      <c r="N440" s="275">
        <v>437</v>
      </c>
      <c r="O440" s="275">
        <v>2230</v>
      </c>
      <c r="P440" s="275">
        <v>7</v>
      </c>
      <c r="Q440" s="275">
        <f t="shared" si="14"/>
        <v>437</v>
      </c>
    </row>
    <row r="441" spans="13:17" x14ac:dyDescent="0.3">
      <c r="M441" s="275">
        <f t="shared" si="13"/>
        <v>0</v>
      </c>
      <c r="N441" s="275">
        <v>438</v>
      </c>
      <c r="O441" s="275">
        <v>2230</v>
      </c>
      <c r="P441" s="275">
        <v>8</v>
      </c>
      <c r="Q441" s="275">
        <f t="shared" si="14"/>
        <v>438</v>
      </c>
    </row>
    <row r="442" spans="13:17" x14ac:dyDescent="0.3">
      <c r="M442" s="275">
        <f t="shared" si="13"/>
        <v>0</v>
      </c>
      <c r="N442" s="275">
        <v>439</v>
      </c>
      <c r="O442" s="275">
        <v>2230</v>
      </c>
      <c r="P442" s="275">
        <v>9</v>
      </c>
      <c r="Q442" s="275">
        <f t="shared" si="14"/>
        <v>439</v>
      </c>
    </row>
    <row r="443" spans="13:17" x14ac:dyDescent="0.3">
      <c r="M443" s="275">
        <f t="shared" si="13"/>
        <v>0</v>
      </c>
      <c r="N443" s="275">
        <v>440</v>
      </c>
      <c r="O443" s="275">
        <v>2230</v>
      </c>
      <c r="P443" s="275">
        <v>10</v>
      </c>
      <c r="Q443" s="275">
        <f t="shared" si="14"/>
        <v>440</v>
      </c>
    </row>
    <row r="444" spans="13:17" x14ac:dyDescent="0.3">
      <c r="M444" s="275">
        <f t="shared" si="13"/>
        <v>0</v>
      </c>
      <c r="N444" s="275">
        <v>441</v>
      </c>
      <c r="O444" s="275">
        <v>2230</v>
      </c>
      <c r="P444" s="275">
        <v>11</v>
      </c>
      <c r="Q444" s="275">
        <f t="shared" si="14"/>
        <v>441</v>
      </c>
    </row>
    <row r="445" spans="13:17" x14ac:dyDescent="0.3">
      <c r="M445" s="275">
        <f t="shared" si="13"/>
        <v>0</v>
      </c>
      <c r="N445" s="275">
        <v>442</v>
      </c>
      <c r="O445" s="275">
        <v>2230</v>
      </c>
      <c r="P445" s="275">
        <v>12</v>
      </c>
      <c r="Q445" s="275">
        <f t="shared" si="14"/>
        <v>442</v>
      </c>
    </row>
    <row r="446" spans="13:17" x14ac:dyDescent="0.3">
      <c r="M446" s="275">
        <f t="shared" si="13"/>
        <v>0</v>
      </c>
      <c r="N446" s="275">
        <v>443</v>
      </c>
      <c r="O446" s="275">
        <v>2230</v>
      </c>
      <c r="P446" s="275">
        <v>13</v>
      </c>
      <c r="Q446" s="275">
        <f t="shared" si="14"/>
        <v>443</v>
      </c>
    </row>
    <row r="447" spans="13:17" x14ac:dyDescent="0.3">
      <c r="M447" s="275">
        <f t="shared" si="13"/>
        <v>0</v>
      </c>
      <c r="N447" s="275">
        <v>444</v>
      </c>
      <c r="O447" s="275">
        <v>2230</v>
      </c>
      <c r="P447" s="275">
        <v>14</v>
      </c>
      <c r="Q447" s="275">
        <f t="shared" si="14"/>
        <v>444</v>
      </c>
    </row>
    <row r="448" spans="13:17" x14ac:dyDescent="0.3">
      <c r="M448" s="275">
        <f t="shared" si="13"/>
        <v>0</v>
      </c>
      <c r="N448" s="275">
        <v>445</v>
      </c>
      <c r="O448" s="275">
        <v>2230</v>
      </c>
      <c r="P448" s="275">
        <v>15</v>
      </c>
      <c r="Q448" s="275">
        <f t="shared" si="14"/>
        <v>445</v>
      </c>
    </row>
    <row r="449" spans="13:17" x14ac:dyDescent="0.3">
      <c r="M449" s="275">
        <f t="shared" si="13"/>
        <v>0</v>
      </c>
      <c r="N449" s="275">
        <v>446</v>
      </c>
      <c r="O449" s="275">
        <v>2230</v>
      </c>
      <c r="P449" s="275">
        <v>16</v>
      </c>
      <c r="Q449" s="275">
        <f t="shared" si="14"/>
        <v>446</v>
      </c>
    </row>
    <row r="450" spans="13:17" x14ac:dyDescent="0.3">
      <c r="M450" s="275">
        <f t="shared" si="13"/>
        <v>0</v>
      </c>
      <c r="N450" s="275">
        <v>447</v>
      </c>
      <c r="O450" s="275">
        <v>2230</v>
      </c>
      <c r="P450" s="275">
        <v>17</v>
      </c>
      <c r="Q450" s="275">
        <f t="shared" si="14"/>
        <v>447</v>
      </c>
    </row>
    <row r="451" spans="13:17" x14ac:dyDescent="0.3">
      <c r="M451" s="275">
        <f t="shared" si="13"/>
        <v>0</v>
      </c>
      <c r="N451" s="275">
        <v>448</v>
      </c>
      <c r="O451" s="275">
        <v>2230</v>
      </c>
      <c r="P451" s="275">
        <v>18</v>
      </c>
      <c r="Q451" s="275">
        <f t="shared" si="14"/>
        <v>448</v>
      </c>
    </row>
    <row r="452" spans="13:17" x14ac:dyDescent="0.3">
      <c r="M452" s="275">
        <f t="shared" si="13"/>
        <v>0</v>
      </c>
      <c r="N452" s="275">
        <v>449</v>
      </c>
      <c r="O452" s="275">
        <v>2230</v>
      </c>
      <c r="P452" s="275">
        <v>19</v>
      </c>
      <c r="Q452" s="275">
        <f t="shared" si="14"/>
        <v>449</v>
      </c>
    </row>
    <row r="453" spans="13:17" x14ac:dyDescent="0.3">
      <c r="M453" s="275">
        <f t="shared" ref="M453:M516" si="15">J453</f>
        <v>0</v>
      </c>
      <c r="N453" s="275">
        <v>450</v>
      </c>
      <c r="O453" s="275">
        <v>2230</v>
      </c>
      <c r="P453" s="275">
        <v>20</v>
      </c>
      <c r="Q453" s="275">
        <f t="shared" ref="Q453:Q516" si="16">N453</f>
        <v>450</v>
      </c>
    </row>
    <row r="454" spans="13:17" x14ac:dyDescent="0.3">
      <c r="M454" s="275">
        <f t="shared" si="15"/>
        <v>0</v>
      </c>
      <c r="N454" s="275">
        <v>451</v>
      </c>
      <c r="O454" s="275">
        <v>2240</v>
      </c>
      <c r="P454" s="275">
        <v>1</v>
      </c>
      <c r="Q454" s="275">
        <f t="shared" si="16"/>
        <v>451</v>
      </c>
    </row>
    <row r="455" spans="13:17" x14ac:dyDescent="0.3">
      <c r="M455" s="275">
        <f t="shared" si="15"/>
        <v>0</v>
      </c>
      <c r="N455" s="275">
        <v>452</v>
      </c>
      <c r="O455" s="275">
        <v>2240</v>
      </c>
      <c r="P455" s="275">
        <v>2</v>
      </c>
      <c r="Q455" s="275">
        <f t="shared" si="16"/>
        <v>452</v>
      </c>
    </row>
    <row r="456" spans="13:17" x14ac:dyDescent="0.3">
      <c r="M456" s="275">
        <f t="shared" si="15"/>
        <v>0</v>
      </c>
      <c r="N456" s="275">
        <v>453</v>
      </c>
      <c r="O456" s="275">
        <v>2240</v>
      </c>
      <c r="P456" s="275">
        <v>3</v>
      </c>
      <c r="Q456" s="275">
        <f t="shared" si="16"/>
        <v>453</v>
      </c>
    </row>
    <row r="457" spans="13:17" x14ac:dyDescent="0.3">
      <c r="M457" s="275">
        <f t="shared" si="15"/>
        <v>0</v>
      </c>
      <c r="N457" s="275">
        <v>454</v>
      </c>
      <c r="O457" s="275">
        <v>2240</v>
      </c>
      <c r="P457" s="275">
        <v>4</v>
      </c>
      <c r="Q457" s="275">
        <f t="shared" si="16"/>
        <v>454</v>
      </c>
    </row>
    <row r="458" spans="13:17" x14ac:dyDescent="0.3">
      <c r="M458" s="275">
        <f t="shared" si="15"/>
        <v>0</v>
      </c>
      <c r="N458" s="275">
        <v>455</v>
      </c>
      <c r="O458" s="275">
        <v>2240</v>
      </c>
      <c r="P458" s="275">
        <v>5</v>
      </c>
      <c r="Q458" s="275">
        <f t="shared" si="16"/>
        <v>455</v>
      </c>
    </row>
    <row r="459" spans="13:17" x14ac:dyDescent="0.3">
      <c r="M459" s="275">
        <f t="shared" si="15"/>
        <v>0</v>
      </c>
      <c r="N459" s="275">
        <v>456</v>
      </c>
      <c r="O459" s="275">
        <v>2240</v>
      </c>
      <c r="P459" s="275">
        <v>6</v>
      </c>
      <c r="Q459" s="275">
        <f t="shared" si="16"/>
        <v>456</v>
      </c>
    </row>
    <row r="460" spans="13:17" x14ac:dyDescent="0.3">
      <c r="M460" s="275">
        <f t="shared" si="15"/>
        <v>0</v>
      </c>
      <c r="N460" s="275">
        <v>457</v>
      </c>
      <c r="O460" s="275">
        <v>2240</v>
      </c>
      <c r="P460" s="275">
        <v>7</v>
      </c>
      <c r="Q460" s="275">
        <f t="shared" si="16"/>
        <v>457</v>
      </c>
    </row>
    <row r="461" spans="13:17" x14ac:dyDescent="0.3">
      <c r="M461" s="275">
        <f t="shared" si="15"/>
        <v>0</v>
      </c>
      <c r="N461" s="275">
        <v>458</v>
      </c>
      <c r="O461" s="275">
        <v>2240</v>
      </c>
      <c r="P461" s="275">
        <v>8</v>
      </c>
      <c r="Q461" s="275">
        <f t="shared" si="16"/>
        <v>458</v>
      </c>
    </row>
    <row r="462" spans="13:17" x14ac:dyDescent="0.3">
      <c r="M462" s="275">
        <f t="shared" si="15"/>
        <v>0</v>
      </c>
      <c r="N462" s="275">
        <v>459</v>
      </c>
      <c r="O462" s="275">
        <v>2240</v>
      </c>
      <c r="P462" s="275">
        <v>9</v>
      </c>
      <c r="Q462" s="275">
        <f t="shared" si="16"/>
        <v>459</v>
      </c>
    </row>
    <row r="463" spans="13:17" x14ac:dyDescent="0.3">
      <c r="M463" s="275">
        <f t="shared" si="15"/>
        <v>0</v>
      </c>
      <c r="N463" s="275">
        <v>460</v>
      </c>
      <c r="O463" s="275">
        <v>2240</v>
      </c>
      <c r="P463" s="275">
        <v>10</v>
      </c>
      <c r="Q463" s="275">
        <f t="shared" si="16"/>
        <v>460</v>
      </c>
    </row>
    <row r="464" spans="13:17" x14ac:dyDescent="0.3">
      <c r="M464" s="275">
        <f t="shared" si="15"/>
        <v>0</v>
      </c>
      <c r="N464" s="275">
        <v>461</v>
      </c>
      <c r="O464" s="275">
        <v>2240</v>
      </c>
      <c r="P464" s="275">
        <v>11</v>
      </c>
      <c r="Q464" s="275">
        <f t="shared" si="16"/>
        <v>461</v>
      </c>
    </row>
    <row r="465" spans="13:17" x14ac:dyDescent="0.3">
      <c r="M465" s="275">
        <f t="shared" si="15"/>
        <v>0</v>
      </c>
      <c r="N465" s="275">
        <v>462</v>
      </c>
      <c r="O465" s="275">
        <v>2240</v>
      </c>
      <c r="P465" s="275">
        <v>12</v>
      </c>
      <c r="Q465" s="275">
        <f t="shared" si="16"/>
        <v>462</v>
      </c>
    </row>
    <row r="466" spans="13:17" x14ac:dyDescent="0.3">
      <c r="M466" s="275">
        <f t="shared" si="15"/>
        <v>0</v>
      </c>
      <c r="N466" s="275">
        <v>463</v>
      </c>
      <c r="O466" s="275">
        <v>2240</v>
      </c>
      <c r="P466" s="275">
        <v>13</v>
      </c>
      <c r="Q466" s="275">
        <f t="shared" si="16"/>
        <v>463</v>
      </c>
    </row>
    <row r="467" spans="13:17" x14ac:dyDescent="0.3">
      <c r="M467" s="275">
        <f t="shared" si="15"/>
        <v>0</v>
      </c>
      <c r="N467" s="275">
        <v>464</v>
      </c>
      <c r="O467" s="275">
        <v>2240</v>
      </c>
      <c r="P467" s="275">
        <v>14</v>
      </c>
      <c r="Q467" s="275">
        <f t="shared" si="16"/>
        <v>464</v>
      </c>
    </row>
    <row r="468" spans="13:17" x14ac:dyDescent="0.3">
      <c r="M468" s="275">
        <f t="shared" si="15"/>
        <v>0</v>
      </c>
      <c r="N468" s="275">
        <v>465</v>
      </c>
      <c r="O468" s="275">
        <v>2240</v>
      </c>
      <c r="P468" s="275">
        <v>15</v>
      </c>
      <c r="Q468" s="275">
        <f t="shared" si="16"/>
        <v>465</v>
      </c>
    </row>
    <row r="469" spans="13:17" x14ac:dyDescent="0.3">
      <c r="M469" s="275">
        <f t="shared" si="15"/>
        <v>0</v>
      </c>
      <c r="N469" s="275">
        <v>466</v>
      </c>
      <c r="O469" s="275">
        <v>2240</v>
      </c>
      <c r="P469" s="275">
        <v>16</v>
      </c>
      <c r="Q469" s="275">
        <f t="shared" si="16"/>
        <v>466</v>
      </c>
    </row>
    <row r="470" spans="13:17" x14ac:dyDescent="0.3">
      <c r="M470" s="275">
        <f t="shared" si="15"/>
        <v>0</v>
      </c>
      <c r="N470" s="275">
        <v>467</v>
      </c>
      <c r="O470" s="275">
        <v>2240</v>
      </c>
      <c r="P470" s="275">
        <v>17</v>
      </c>
      <c r="Q470" s="275">
        <f t="shared" si="16"/>
        <v>467</v>
      </c>
    </row>
    <row r="471" spans="13:17" x14ac:dyDescent="0.3">
      <c r="M471" s="275">
        <f t="shared" si="15"/>
        <v>0</v>
      </c>
      <c r="N471" s="275">
        <v>468</v>
      </c>
      <c r="O471" s="275">
        <v>2240</v>
      </c>
      <c r="P471" s="275">
        <v>18</v>
      </c>
      <c r="Q471" s="275">
        <f t="shared" si="16"/>
        <v>468</v>
      </c>
    </row>
    <row r="472" spans="13:17" x14ac:dyDescent="0.3">
      <c r="M472" s="275">
        <f t="shared" si="15"/>
        <v>0</v>
      </c>
      <c r="N472" s="275">
        <v>469</v>
      </c>
      <c r="O472" s="275">
        <v>2240</v>
      </c>
      <c r="P472" s="275">
        <v>19</v>
      </c>
      <c r="Q472" s="275">
        <f t="shared" si="16"/>
        <v>469</v>
      </c>
    </row>
    <row r="473" spans="13:17" x14ac:dyDescent="0.3">
      <c r="M473" s="275">
        <f t="shared" si="15"/>
        <v>0</v>
      </c>
      <c r="N473" s="275">
        <v>470</v>
      </c>
      <c r="O473" s="275">
        <v>2240</v>
      </c>
      <c r="P473" s="275">
        <v>20</v>
      </c>
      <c r="Q473" s="275">
        <f t="shared" si="16"/>
        <v>470</v>
      </c>
    </row>
    <row r="474" spans="13:17" x14ac:dyDescent="0.3">
      <c r="M474" s="275">
        <f t="shared" si="15"/>
        <v>0</v>
      </c>
      <c r="N474" s="275">
        <v>471</v>
      </c>
      <c r="O474" s="275">
        <v>2250</v>
      </c>
      <c r="P474" s="275">
        <v>1</v>
      </c>
      <c r="Q474" s="275">
        <f t="shared" si="16"/>
        <v>471</v>
      </c>
    </row>
    <row r="475" spans="13:17" x14ac:dyDescent="0.3">
      <c r="M475" s="275">
        <f t="shared" si="15"/>
        <v>0</v>
      </c>
      <c r="N475" s="275">
        <v>472</v>
      </c>
      <c r="O475" s="275">
        <v>2250</v>
      </c>
      <c r="P475" s="275">
        <v>2</v>
      </c>
      <c r="Q475" s="275">
        <f t="shared" si="16"/>
        <v>472</v>
      </c>
    </row>
    <row r="476" spans="13:17" x14ac:dyDescent="0.3">
      <c r="M476" s="275">
        <f t="shared" si="15"/>
        <v>0</v>
      </c>
      <c r="N476" s="275">
        <v>473</v>
      </c>
      <c r="O476" s="275">
        <v>2250</v>
      </c>
      <c r="P476" s="275">
        <v>3</v>
      </c>
      <c r="Q476" s="275">
        <f t="shared" si="16"/>
        <v>473</v>
      </c>
    </row>
    <row r="477" spans="13:17" x14ac:dyDescent="0.3">
      <c r="M477" s="275">
        <f t="shared" si="15"/>
        <v>0</v>
      </c>
      <c r="N477" s="275">
        <v>474</v>
      </c>
      <c r="O477" s="275">
        <v>2250</v>
      </c>
      <c r="P477" s="275">
        <v>4</v>
      </c>
      <c r="Q477" s="275">
        <f t="shared" si="16"/>
        <v>474</v>
      </c>
    </row>
    <row r="478" spans="13:17" x14ac:dyDescent="0.3">
      <c r="M478" s="275">
        <f t="shared" si="15"/>
        <v>0</v>
      </c>
      <c r="N478" s="275">
        <v>475</v>
      </c>
      <c r="O478" s="275">
        <v>2250</v>
      </c>
      <c r="P478" s="275">
        <v>5</v>
      </c>
      <c r="Q478" s="275">
        <f t="shared" si="16"/>
        <v>475</v>
      </c>
    </row>
    <row r="479" spans="13:17" x14ac:dyDescent="0.3">
      <c r="M479" s="275">
        <f t="shared" si="15"/>
        <v>0</v>
      </c>
      <c r="N479" s="275">
        <v>476</v>
      </c>
      <c r="O479" s="275">
        <v>2250</v>
      </c>
      <c r="P479" s="275">
        <v>6</v>
      </c>
      <c r="Q479" s="275">
        <f t="shared" si="16"/>
        <v>476</v>
      </c>
    </row>
    <row r="480" spans="13:17" x14ac:dyDescent="0.3">
      <c r="M480" s="275">
        <f t="shared" si="15"/>
        <v>0</v>
      </c>
      <c r="N480" s="275">
        <v>477</v>
      </c>
      <c r="O480" s="275">
        <v>2250</v>
      </c>
      <c r="P480" s="275">
        <v>7</v>
      </c>
      <c r="Q480" s="275">
        <f t="shared" si="16"/>
        <v>477</v>
      </c>
    </row>
    <row r="481" spans="13:17" x14ac:dyDescent="0.3">
      <c r="M481" s="275">
        <f t="shared" si="15"/>
        <v>0</v>
      </c>
      <c r="N481" s="275">
        <v>478</v>
      </c>
      <c r="O481" s="275">
        <v>2250</v>
      </c>
      <c r="P481" s="275">
        <v>8</v>
      </c>
      <c r="Q481" s="275">
        <f t="shared" si="16"/>
        <v>478</v>
      </c>
    </row>
    <row r="482" spans="13:17" x14ac:dyDescent="0.3">
      <c r="M482" s="275">
        <f t="shared" si="15"/>
        <v>0</v>
      </c>
      <c r="N482" s="275">
        <v>479</v>
      </c>
      <c r="O482" s="275">
        <v>2250</v>
      </c>
      <c r="P482" s="275">
        <v>9</v>
      </c>
      <c r="Q482" s="275">
        <f t="shared" si="16"/>
        <v>479</v>
      </c>
    </row>
    <row r="483" spans="13:17" x14ac:dyDescent="0.3">
      <c r="M483" s="275">
        <f t="shared" si="15"/>
        <v>0</v>
      </c>
      <c r="N483" s="275">
        <v>480</v>
      </c>
      <c r="O483" s="275">
        <v>2250</v>
      </c>
      <c r="P483" s="275">
        <v>10</v>
      </c>
      <c r="Q483" s="275">
        <f t="shared" si="16"/>
        <v>480</v>
      </c>
    </row>
    <row r="484" spans="13:17" x14ac:dyDescent="0.3">
      <c r="M484" s="275">
        <f t="shared" si="15"/>
        <v>0</v>
      </c>
      <c r="N484" s="275">
        <v>481</v>
      </c>
      <c r="O484" s="275">
        <v>2250</v>
      </c>
      <c r="P484" s="275">
        <v>11</v>
      </c>
      <c r="Q484" s="275">
        <f t="shared" si="16"/>
        <v>481</v>
      </c>
    </row>
    <row r="485" spans="13:17" x14ac:dyDescent="0.3">
      <c r="M485" s="275">
        <f t="shared" si="15"/>
        <v>0</v>
      </c>
      <c r="N485" s="275">
        <v>482</v>
      </c>
      <c r="O485" s="275">
        <v>2250</v>
      </c>
      <c r="P485" s="275">
        <v>12</v>
      </c>
      <c r="Q485" s="275">
        <f t="shared" si="16"/>
        <v>482</v>
      </c>
    </row>
    <row r="486" spans="13:17" x14ac:dyDescent="0.3">
      <c r="M486" s="275">
        <f t="shared" si="15"/>
        <v>0</v>
      </c>
      <c r="N486" s="275">
        <v>483</v>
      </c>
      <c r="O486" s="275">
        <v>2250</v>
      </c>
      <c r="P486" s="275">
        <v>13</v>
      </c>
      <c r="Q486" s="275">
        <f t="shared" si="16"/>
        <v>483</v>
      </c>
    </row>
    <row r="487" spans="13:17" x14ac:dyDescent="0.3">
      <c r="M487" s="275">
        <f t="shared" si="15"/>
        <v>0</v>
      </c>
      <c r="N487" s="275">
        <v>484</v>
      </c>
      <c r="O487" s="275">
        <v>2250</v>
      </c>
      <c r="P487" s="275">
        <v>14</v>
      </c>
      <c r="Q487" s="275">
        <f t="shared" si="16"/>
        <v>484</v>
      </c>
    </row>
    <row r="488" spans="13:17" x14ac:dyDescent="0.3">
      <c r="M488" s="275">
        <f t="shared" si="15"/>
        <v>0</v>
      </c>
      <c r="N488" s="275">
        <v>485</v>
      </c>
      <c r="O488" s="275">
        <v>2250</v>
      </c>
      <c r="P488" s="275">
        <v>15</v>
      </c>
      <c r="Q488" s="275">
        <f t="shared" si="16"/>
        <v>485</v>
      </c>
    </row>
    <row r="489" spans="13:17" x14ac:dyDescent="0.3">
      <c r="M489" s="275">
        <f t="shared" si="15"/>
        <v>0</v>
      </c>
      <c r="N489" s="275">
        <v>486</v>
      </c>
      <c r="O489" s="275">
        <v>2250</v>
      </c>
      <c r="P489" s="275">
        <v>16</v>
      </c>
      <c r="Q489" s="275">
        <f t="shared" si="16"/>
        <v>486</v>
      </c>
    </row>
    <row r="490" spans="13:17" x14ac:dyDescent="0.3">
      <c r="M490" s="275">
        <f t="shared" si="15"/>
        <v>0</v>
      </c>
      <c r="N490" s="275">
        <v>487</v>
      </c>
      <c r="O490" s="275">
        <v>2250</v>
      </c>
      <c r="P490" s="275">
        <v>17</v>
      </c>
      <c r="Q490" s="275">
        <f t="shared" si="16"/>
        <v>487</v>
      </c>
    </row>
    <row r="491" spans="13:17" x14ac:dyDescent="0.3">
      <c r="M491" s="275">
        <f t="shared" si="15"/>
        <v>0</v>
      </c>
      <c r="N491" s="275">
        <v>488</v>
      </c>
      <c r="O491" s="275">
        <v>2250</v>
      </c>
      <c r="P491" s="275">
        <v>18</v>
      </c>
      <c r="Q491" s="275">
        <f t="shared" si="16"/>
        <v>488</v>
      </c>
    </row>
    <row r="492" spans="13:17" x14ac:dyDescent="0.3">
      <c r="M492" s="275">
        <f t="shared" si="15"/>
        <v>0</v>
      </c>
      <c r="N492" s="275">
        <v>489</v>
      </c>
      <c r="O492" s="275">
        <v>2250</v>
      </c>
      <c r="P492" s="275">
        <v>19</v>
      </c>
      <c r="Q492" s="275">
        <f t="shared" si="16"/>
        <v>489</v>
      </c>
    </row>
    <row r="493" spans="13:17" x14ac:dyDescent="0.3">
      <c r="M493" s="275">
        <f t="shared" si="15"/>
        <v>0</v>
      </c>
      <c r="N493" s="275">
        <v>490</v>
      </c>
      <c r="O493" s="275">
        <v>2250</v>
      </c>
      <c r="P493" s="275">
        <v>20</v>
      </c>
      <c r="Q493" s="275">
        <f t="shared" si="16"/>
        <v>490</v>
      </c>
    </row>
    <row r="494" spans="13:17" x14ac:dyDescent="0.3">
      <c r="M494" s="275">
        <f t="shared" si="15"/>
        <v>0</v>
      </c>
      <c r="N494" s="275">
        <v>491</v>
      </c>
      <c r="O494" s="275">
        <v>2260</v>
      </c>
      <c r="P494" s="275">
        <v>1</v>
      </c>
      <c r="Q494" s="275">
        <f t="shared" si="16"/>
        <v>491</v>
      </c>
    </row>
    <row r="495" spans="13:17" x14ac:dyDescent="0.3">
      <c r="M495" s="275">
        <f t="shared" si="15"/>
        <v>0</v>
      </c>
      <c r="N495" s="275">
        <v>492</v>
      </c>
      <c r="O495" s="275">
        <v>2260</v>
      </c>
      <c r="P495" s="275">
        <v>2</v>
      </c>
      <c r="Q495" s="275">
        <f t="shared" si="16"/>
        <v>492</v>
      </c>
    </row>
    <row r="496" spans="13:17" x14ac:dyDescent="0.3">
      <c r="M496" s="275">
        <f t="shared" si="15"/>
        <v>0</v>
      </c>
      <c r="N496" s="275">
        <v>493</v>
      </c>
      <c r="O496" s="275">
        <v>2260</v>
      </c>
      <c r="P496" s="275">
        <v>3</v>
      </c>
      <c r="Q496" s="275">
        <f t="shared" si="16"/>
        <v>493</v>
      </c>
    </row>
    <row r="497" spans="13:17" x14ac:dyDescent="0.3">
      <c r="M497" s="275">
        <f t="shared" si="15"/>
        <v>0</v>
      </c>
      <c r="N497" s="275">
        <v>494</v>
      </c>
      <c r="O497" s="275">
        <v>2260</v>
      </c>
      <c r="P497" s="275">
        <v>4</v>
      </c>
      <c r="Q497" s="275">
        <f t="shared" si="16"/>
        <v>494</v>
      </c>
    </row>
    <row r="498" spans="13:17" x14ac:dyDescent="0.3">
      <c r="M498" s="275">
        <f t="shared" si="15"/>
        <v>0</v>
      </c>
      <c r="N498" s="275">
        <v>495</v>
      </c>
      <c r="O498" s="275">
        <v>2260</v>
      </c>
      <c r="P498" s="275">
        <v>5</v>
      </c>
      <c r="Q498" s="275">
        <f t="shared" si="16"/>
        <v>495</v>
      </c>
    </row>
    <row r="499" spans="13:17" x14ac:dyDescent="0.3">
      <c r="M499" s="275">
        <f t="shared" si="15"/>
        <v>0</v>
      </c>
      <c r="N499" s="275">
        <v>496</v>
      </c>
      <c r="O499" s="275">
        <v>2260</v>
      </c>
      <c r="P499" s="275">
        <v>6</v>
      </c>
      <c r="Q499" s="275">
        <f t="shared" si="16"/>
        <v>496</v>
      </c>
    </row>
    <row r="500" spans="13:17" x14ac:dyDescent="0.3">
      <c r="M500" s="275">
        <f t="shared" si="15"/>
        <v>0</v>
      </c>
      <c r="N500" s="275">
        <v>497</v>
      </c>
      <c r="O500" s="275">
        <v>2260</v>
      </c>
      <c r="P500" s="275">
        <v>7</v>
      </c>
      <c r="Q500" s="275">
        <f t="shared" si="16"/>
        <v>497</v>
      </c>
    </row>
    <row r="501" spans="13:17" x14ac:dyDescent="0.3">
      <c r="M501" s="275">
        <f t="shared" si="15"/>
        <v>0</v>
      </c>
      <c r="N501" s="275">
        <v>498</v>
      </c>
      <c r="O501" s="275">
        <v>2260</v>
      </c>
      <c r="P501" s="275">
        <v>8</v>
      </c>
      <c r="Q501" s="275">
        <f t="shared" si="16"/>
        <v>498</v>
      </c>
    </row>
    <row r="502" spans="13:17" x14ac:dyDescent="0.3">
      <c r="M502" s="275">
        <f t="shared" si="15"/>
        <v>0</v>
      </c>
      <c r="N502" s="275">
        <v>499</v>
      </c>
      <c r="O502" s="275">
        <v>2260</v>
      </c>
      <c r="P502" s="275">
        <v>9</v>
      </c>
      <c r="Q502" s="275">
        <f t="shared" si="16"/>
        <v>499</v>
      </c>
    </row>
    <row r="503" spans="13:17" x14ac:dyDescent="0.3">
      <c r="M503" s="275">
        <f t="shared" si="15"/>
        <v>0</v>
      </c>
      <c r="N503" s="275">
        <v>500</v>
      </c>
      <c r="O503" s="275">
        <v>2260</v>
      </c>
      <c r="P503" s="275">
        <v>10</v>
      </c>
      <c r="Q503" s="275">
        <f t="shared" si="16"/>
        <v>500</v>
      </c>
    </row>
    <row r="504" spans="13:17" x14ac:dyDescent="0.3">
      <c r="M504" s="275">
        <f t="shared" si="15"/>
        <v>0</v>
      </c>
      <c r="N504" s="275">
        <v>501</v>
      </c>
      <c r="O504" s="275">
        <v>2260</v>
      </c>
      <c r="P504" s="275">
        <v>11</v>
      </c>
      <c r="Q504" s="275">
        <f t="shared" si="16"/>
        <v>501</v>
      </c>
    </row>
    <row r="505" spans="13:17" x14ac:dyDescent="0.3">
      <c r="M505" s="275">
        <f t="shared" si="15"/>
        <v>0</v>
      </c>
      <c r="N505" s="275">
        <v>502</v>
      </c>
      <c r="O505" s="275">
        <v>2260</v>
      </c>
      <c r="P505" s="275">
        <v>12</v>
      </c>
      <c r="Q505" s="275">
        <f t="shared" si="16"/>
        <v>502</v>
      </c>
    </row>
    <row r="506" spans="13:17" x14ac:dyDescent="0.3">
      <c r="M506" s="275">
        <f t="shared" si="15"/>
        <v>0</v>
      </c>
      <c r="N506" s="275">
        <v>503</v>
      </c>
      <c r="O506" s="275">
        <v>2260</v>
      </c>
      <c r="P506" s="275">
        <v>13</v>
      </c>
      <c r="Q506" s="275">
        <f t="shared" si="16"/>
        <v>503</v>
      </c>
    </row>
    <row r="507" spans="13:17" x14ac:dyDescent="0.3">
      <c r="M507" s="275">
        <f t="shared" si="15"/>
        <v>0</v>
      </c>
      <c r="N507" s="275">
        <v>504</v>
      </c>
      <c r="O507" s="275">
        <v>2260</v>
      </c>
      <c r="P507" s="275">
        <v>14</v>
      </c>
      <c r="Q507" s="275">
        <f t="shared" si="16"/>
        <v>504</v>
      </c>
    </row>
    <row r="508" spans="13:17" x14ac:dyDescent="0.3">
      <c r="M508" s="275">
        <f t="shared" si="15"/>
        <v>0</v>
      </c>
      <c r="N508" s="275">
        <v>505</v>
      </c>
      <c r="O508" s="275">
        <v>2260</v>
      </c>
      <c r="P508" s="275">
        <v>15</v>
      </c>
      <c r="Q508" s="275">
        <f t="shared" si="16"/>
        <v>505</v>
      </c>
    </row>
    <row r="509" spans="13:17" x14ac:dyDescent="0.3">
      <c r="M509" s="275">
        <f t="shared" si="15"/>
        <v>0</v>
      </c>
      <c r="N509" s="275">
        <v>506</v>
      </c>
      <c r="O509" s="275">
        <v>2260</v>
      </c>
      <c r="P509" s="275">
        <v>16</v>
      </c>
      <c r="Q509" s="275">
        <f t="shared" si="16"/>
        <v>506</v>
      </c>
    </row>
    <row r="510" spans="13:17" x14ac:dyDescent="0.3">
      <c r="M510" s="275">
        <f t="shared" si="15"/>
        <v>0</v>
      </c>
      <c r="N510" s="275">
        <v>507</v>
      </c>
      <c r="O510" s="275">
        <v>2260</v>
      </c>
      <c r="P510" s="275">
        <v>17</v>
      </c>
      <c r="Q510" s="275">
        <f t="shared" si="16"/>
        <v>507</v>
      </c>
    </row>
    <row r="511" spans="13:17" x14ac:dyDescent="0.3">
      <c r="M511" s="275">
        <f t="shared" si="15"/>
        <v>0</v>
      </c>
      <c r="N511" s="275">
        <v>508</v>
      </c>
      <c r="O511" s="275">
        <v>2260</v>
      </c>
      <c r="P511" s="275">
        <v>18</v>
      </c>
      <c r="Q511" s="275">
        <f t="shared" si="16"/>
        <v>508</v>
      </c>
    </row>
    <row r="512" spans="13:17" x14ac:dyDescent="0.3">
      <c r="M512" s="275">
        <f t="shared" si="15"/>
        <v>0</v>
      </c>
      <c r="N512" s="275">
        <v>509</v>
      </c>
      <c r="O512" s="275">
        <v>2260</v>
      </c>
      <c r="P512" s="275">
        <v>19</v>
      </c>
      <c r="Q512" s="275">
        <f t="shared" si="16"/>
        <v>509</v>
      </c>
    </row>
    <row r="513" spans="13:17" x14ac:dyDescent="0.3">
      <c r="M513" s="275">
        <f t="shared" si="15"/>
        <v>0</v>
      </c>
      <c r="N513" s="275">
        <v>510</v>
      </c>
      <c r="O513" s="275">
        <v>2260</v>
      </c>
      <c r="P513" s="275">
        <v>20</v>
      </c>
      <c r="Q513" s="275">
        <f t="shared" si="16"/>
        <v>510</v>
      </c>
    </row>
    <row r="514" spans="13:17" x14ac:dyDescent="0.3">
      <c r="M514" s="275">
        <f t="shared" si="15"/>
        <v>0</v>
      </c>
      <c r="N514" s="275">
        <v>511</v>
      </c>
      <c r="O514" s="275">
        <v>2310</v>
      </c>
      <c r="P514" s="275">
        <v>1</v>
      </c>
      <c r="Q514" s="275">
        <f t="shared" si="16"/>
        <v>511</v>
      </c>
    </row>
    <row r="515" spans="13:17" x14ac:dyDescent="0.3">
      <c r="M515" s="275">
        <f t="shared" si="15"/>
        <v>0</v>
      </c>
      <c r="N515" s="275">
        <v>512</v>
      </c>
      <c r="O515" s="275">
        <v>2310</v>
      </c>
      <c r="P515" s="275">
        <v>2</v>
      </c>
      <c r="Q515" s="275">
        <f t="shared" si="16"/>
        <v>512</v>
      </c>
    </row>
    <row r="516" spans="13:17" x14ac:dyDescent="0.3">
      <c r="M516" s="275">
        <f t="shared" si="15"/>
        <v>0</v>
      </c>
      <c r="N516" s="275">
        <v>513</v>
      </c>
      <c r="O516" s="275">
        <v>2310</v>
      </c>
      <c r="P516" s="275">
        <v>3</v>
      </c>
      <c r="Q516" s="275">
        <f t="shared" si="16"/>
        <v>513</v>
      </c>
    </row>
    <row r="517" spans="13:17" x14ac:dyDescent="0.3">
      <c r="M517" s="275">
        <f t="shared" ref="M517:M580" si="17">J517</f>
        <v>0</v>
      </c>
      <c r="N517" s="275">
        <v>514</v>
      </c>
      <c r="O517" s="275">
        <v>2310</v>
      </c>
      <c r="P517" s="275">
        <v>4</v>
      </c>
      <c r="Q517" s="275">
        <f t="shared" ref="Q517:Q580" si="18">N517</f>
        <v>514</v>
      </c>
    </row>
    <row r="518" spans="13:17" x14ac:dyDescent="0.3">
      <c r="M518" s="275">
        <f t="shared" si="17"/>
        <v>0</v>
      </c>
      <c r="N518" s="275">
        <v>515</v>
      </c>
      <c r="O518" s="275">
        <v>2310</v>
      </c>
      <c r="P518" s="275">
        <v>5</v>
      </c>
      <c r="Q518" s="275">
        <f t="shared" si="18"/>
        <v>515</v>
      </c>
    </row>
    <row r="519" spans="13:17" x14ac:dyDescent="0.3">
      <c r="M519" s="275">
        <f t="shared" si="17"/>
        <v>0</v>
      </c>
      <c r="N519" s="275">
        <v>516</v>
      </c>
      <c r="O519" s="275">
        <v>2310</v>
      </c>
      <c r="P519" s="275">
        <v>6</v>
      </c>
      <c r="Q519" s="275">
        <f t="shared" si="18"/>
        <v>516</v>
      </c>
    </row>
    <row r="520" spans="13:17" x14ac:dyDescent="0.3">
      <c r="M520" s="275">
        <f t="shared" si="17"/>
        <v>0</v>
      </c>
      <c r="N520" s="275">
        <v>517</v>
      </c>
      <c r="O520" s="275">
        <v>2310</v>
      </c>
      <c r="P520" s="275">
        <v>7</v>
      </c>
      <c r="Q520" s="275">
        <f t="shared" si="18"/>
        <v>517</v>
      </c>
    </row>
    <row r="521" spans="13:17" x14ac:dyDescent="0.3">
      <c r="M521" s="275">
        <f t="shared" si="17"/>
        <v>0</v>
      </c>
      <c r="N521" s="275">
        <v>518</v>
      </c>
      <c r="O521" s="275">
        <v>2310</v>
      </c>
      <c r="P521" s="275">
        <v>8</v>
      </c>
      <c r="Q521" s="275">
        <f t="shared" si="18"/>
        <v>518</v>
      </c>
    </row>
    <row r="522" spans="13:17" x14ac:dyDescent="0.3">
      <c r="M522" s="275">
        <f t="shared" si="17"/>
        <v>0</v>
      </c>
      <c r="N522" s="275">
        <v>519</v>
      </c>
      <c r="O522" s="275">
        <v>2310</v>
      </c>
      <c r="P522" s="275">
        <v>9</v>
      </c>
      <c r="Q522" s="275">
        <f t="shared" si="18"/>
        <v>519</v>
      </c>
    </row>
    <row r="523" spans="13:17" x14ac:dyDescent="0.3">
      <c r="M523" s="275">
        <f t="shared" si="17"/>
        <v>0</v>
      </c>
      <c r="N523" s="275">
        <v>520</v>
      </c>
      <c r="O523" s="275">
        <v>2310</v>
      </c>
      <c r="P523" s="275">
        <v>10</v>
      </c>
      <c r="Q523" s="275">
        <f t="shared" si="18"/>
        <v>520</v>
      </c>
    </row>
    <row r="524" spans="13:17" x14ac:dyDescent="0.3">
      <c r="M524" s="275">
        <f t="shared" si="17"/>
        <v>0</v>
      </c>
      <c r="N524" s="275">
        <v>521</v>
      </c>
      <c r="O524" s="275">
        <v>2310</v>
      </c>
      <c r="P524" s="275">
        <v>11</v>
      </c>
      <c r="Q524" s="275">
        <f t="shared" si="18"/>
        <v>521</v>
      </c>
    </row>
    <row r="525" spans="13:17" x14ac:dyDescent="0.3">
      <c r="M525" s="275">
        <f t="shared" si="17"/>
        <v>0</v>
      </c>
      <c r="N525" s="275">
        <v>522</v>
      </c>
      <c r="O525" s="275">
        <v>2310</v>
      </c>
      <c r="P525" s="275">
        <v>12</v>
      </c>
      <c r="Q525" s="275">
        <f t="shared" si="18"/>
        <v>522</v>
      </c>
    </row>
    <row r="526" spans="13:17" x14ac:dyDescent="0.3">
      <c r="M526" s="275">
        <f t="shared" si="17"/>
        <v>0</v>
      </c>
      <c r="N526" s="275">
        <v>523</v>
      </c>
      <c r="O526" s="275">
        <v>2310</v>
      </c>
      <c r="P526" s="275">
        <v>13</v>
      </c>
      <c r="Q526" s="275">
        <f t="shared" si="18"/>
        <v>523</v>
      </c>
    </row>
    <row r="527" spans="13:17" x14ac:dyDescent="0.3">
      <c r="M527" s="275">
        <f t="shared" si="17"/>
        <v>0</v>
      </c>
      <c r="N527" s="275">
        <v>524</v>
      </c>
      <c r="O527" s="275">
        <v>2310</v>
      </c>
      <c r="P527" s="275">
        <v>14</v>
      </c>
      <c r="Q527" s="275">
        <f t="shared" si="18"/>
        <v>524</v>
      </c>
    </row>
    <row r="528" spans="13:17" x14ac:dyDescent="0.3">
      <c r="M528" s="275">
        <f t="shared" si="17"/>
        <v>0</v>
      </c>
      <c r="N528" s="275">
        <v>525</v>
      </c>
      <c r="O528" s="275">
        <v>2310</v>
      </c>
      <c r="P528" s="275">
        <v>15</v>
      </c>
      <c r="Q528" s="275">
        <f t="shared" si="18"/>
        <v>525</v>
      </c>
    </row>
    <row r="529" spans="13:17" x14ac:dyDescent="0.3">
      <c r="M529" s="275">
        <f t="shared" si="17"/>
        <v>0</v>
      </c>
      <c r="N529" s="275">
        <v>526</v>
      </c>
      <c r="O529" s="275">
        <v>2310</v>
      </c>
      <c r="P529" s="275">
        <v>16</v>
      </c>
      <c r="Q529" s="275">
        <f t="shared" si="18"/>
        <v>526</v>
      </c>
    </row>
    <row r="530" spans="13:17" x14ac:dyDescent="0.3">
      <c r="M530" s="275">
        <f t="shared" si="17"/>
        <v>0</v>
      </c>
      <c r="N530" s="275">
        <v>527</v>
      </c>
      <c r="O530" s="275">
        <v>2310</v>
      </c>
      <c r="P530" s="275">
        <v>17</v>
      </c>
      <c r="Q530" s="275">
        <f t="shared" si="18"/>
        <v>527</v>
      </c>
    </row>
    <row r="531" spans="13:17" x14ac:dyDescent="0.3">
      <c r="M531" s="275">
        <f t="shared" si="17"/>
        <v>0</v>
      </c>
      <c r="N531" s="275">
        <v>528</v>
      </c>
      <c r="O531" s="275">
        <v>2310</v>
      </c>
      <c r="P531" s="275">
        <v>18</v>
      </c>
      <c r="Q531" s="275">
        <f t="shared" si="18"/>
        <v>528</v>
      </c>
    </row>
    <row r="532" spans="13:17" x14ac:dyDescent="0.3">
      <c r="M532" s="275">
        <f t="shared" si="17"/>
        <v>0</v>
      </c>
      <c r="N532" s="275">
        <v>529</v>
      </c>
      <c r="O532" s="275">
        <v>2310</v>
      </c>
      <c r="P532" s="275">
        <v>19</v>
      </c>
      <c r="Q532" s="275">
        <f t="shared" si="18"/>
        <v>529</v>
      </c>
    </row>
    <row r="533" spans="13:17" x14ac:dyDescent="0.3">
      <c r="M533" s="275">
        <f t="shared" si="17"/>
        <v>0</v>
      </c>
      <c r="N533" s="275">
        <v>530</v>
      </c>
      <c r="O533" s="275">
        <v>2310</v>
      </c>
      <c r="P533" s="275">
        <v>20</v>
      </c>
      <c r="Q533" s="275">
        <f t="shared" si="18"/>
        <v>530</v>
      </c>
    </row>
    <row r="534" spans="13:17" x14ac:dyDescent="0.3">
      <c r="M534" s="275">
        <f t="shared" si="17"/>
        <v>0</v>
      </c>
      <c r="N534" s="275">
        <v>531</v>
      </c>
      <c r="O534" s="275">
        <v>2320</v>
      </c>
      <c r="P534" s="275">
        <v>1</v>
      </c>
      <c r="Q534" s="275">
        <f t="shared" si="18"/>
        <v>531</v>
      </c>
    </row>
    <row r="535" spans="13:17" x14ac:dyDescent="0.3">
      <c r="M535" s="275">
        <f t="shared" si="17"/>
        <v>0</v>
      </c>
      <c r="N535" s="275">
        <v>532</v>
      </c>
      <c r="O535" s="275">
        <v>2320</v>
      </c>
      <c r="P535" s="275">
        <v>2</v>
      </c>
      <c r="Q535" s="275">
        <f t="shared" si="18"/>
        <v>532</v>
      </c>
    </row>
    <row r="536" spans="13:17" x14ac:dyDescent="0.3">
      <c r="M536" s="275">
        <f t="shared" si="17"/>
        <v>0</v>
      </c>
      <c r="N536" s="275">
        <v>533</v>
      </c>
      <c r="O536" s="275">
        <v>2320</v>
      </c>
      <c r="P536" s="275">
        <v>3</v>
      </c>
      <c r="Q536" s="275">
        <f t="shared" si="18"/>
        <v>533</v>
      </c>
    </row>
    <row r="537" spans="13:17" x14ac:dyDescent="0.3">
      <c r="M537" s="275">
        <f t="shared" si="17"/>
        <v>0</v>
      </c>
      <c r="N537" s="275">
        <v>534</v>
      </c>
      <c r="O537" s="275">
        <v>2320</v>
      </c>
      <c r="P537" s="275">
        <v>4</v>
      </c>
      <c r="Q537" s="275">
        <f t="shared" si="18"/>
        <v>534</v>
      </c>
    </row>
    <row r="538" spans="13:17" x14ac:dyDescent="0.3">
      <c r="M538" s="275">
        <f t="shared" si="17"/>
        <v>0</v>
      </c>
      <c r="N538" s="275">
        <v>535</v>
      </c>
      <c r="O538" s="275">
        <v>2320</v>
      </c>
      <c r="P538" s="275">
        <v>5</v>
      </c>
      <c r="Q538" s="275">
        <f t="shared" si="18"/>
        <v>535</v>
      </c>
    </row>
    <row r="539" spans="13:17" x14ac:dyDescent="0.3">
      <c r="M539" s="275">
        <f t="shared" si="17"/>
        <v>0</v>
      </c>
      <c r="N539" s="275">
        <v>536</v>
      </c>
      <c r="O539" s="275">
        <v>2320</v>
      </c>
      <c r="P539" s="275">
        <v>6</v>
      </c>
      <c r="Q539" s="275">
        <f t="shared" si="18"/>
        <v>536</v>
      </c>
    </row>
    <row r="540" spans="13:17" x14ac:dyDescent="0.3">
      <c r="M540" s="275">
        <f t="shared" si="17"/>
        <v>0</v>
      </c>
      <c r="N540" s="275">
        <v>537</v>
      </c>
      <c r="O540" s="275">
        <v>2320</v>
      </c>
      <c r="P540" s="275">
        <v>7</v>
      </c>
      <c r="Q540" s="275">
        <f t="shared" si="18"/>
        <v>537</v>
      </c>
    </row>
    <row r="541" spans="13:17" x14ac:dyDescent="0.3">
      <c r="M541" s="275">
        <f t="shared" si="17"/>
        <v>0</v>
      </c>
      <c r="N541" s="275">
        <v>538</v>
      </c>
      <c r="O541" s="275">
        <v>2320</v>
      </c>
      <c r="P541" s="275">
        <v>8</v>
      </c>
      <c r="Q541" s="275">
        <f t="shared" si="18"/>
        <v>538</v>
      </c>
    </row>
    <row r="542" spans="13:17" x14ac:dyDescent="0.3">
      <c r="M542" s="275">
        <f t="shared" si="17"/>
        <v>0</v>
      </c>
      <c r="N542" s="275">
        <v>539</v>
      </c>
      <c r="O542" s="275">
        <v>2320</v>
      </c>
      <c r="P542" s="275">
        <v>9</v>
      </c>
      <c r="Q542" s="275">
        <f t="shared" si="18"/>
        <v>539</v>
      </c>
    </row>
    <row r="543" spans="13:17" x14ac:dyDescent="0.3">
      <c r="M543" s="275">
        <f t="shared" si="17"/>
        <v>0</v>
      </c>
      <c r="N543" s="275">
        <v>540</v>
      </c>
      <c r="O543" s="275">
        <v>2320</v>
      </c>
      <c r="P543" s="275">
        <v>10</v>
      </c>
      <c r="Q543" s="275">
        <f t="shared" si="18"/>
        <v>540</v>
      </c>
    </row>
    <row r="544" spans="13:17" x14ac:dyDescent="0.3">
      <c r="M544" s="275">
        <f t="shared" si="17"/>
        <v>0</v>
      </c>
      <c r="N544" s="275">
        <v>541</v>
      </c>
      <c r="O544" s="275">
        <v>2320</v>
      </c>
      <c r="P544" s="275">
        <v>11</v>
      </c>
      <c r="Q544" s="275">
        <f t="shared" si="18"/>
        <v>541</v>
      </c>
    </row>
    <row r="545" spans="13:17" x14ac:dyDescent="0.3">
      <c r="M545" s="275">
        <f t="shared" si="17"/>
        <v>0</v>
      </c>
      <c r="N545" s="275">
        <v>542</v>
      </c>
      <c r="O545" s="275">
        <v>2320</v>
      </c>
      <c r="P545" s="275">
        <v>12</v>
      </c>
      <c r="Q545" s="275">
        <f t="shared" si="18"/>
        <v>542</v>
      </c>
    </row>
    <row r="546" spans="13:17" x14ac:dyDescent="0.3">
      <c r="M546" s="275">
        <f t="shared" si="17"/>
        <v>0</v>
      </c>
      <c r="N546" s="275">
        <v>543</v>
      </c>
      <c r="O546" s="275">
        <v>2320</v>
      </c>
      <c r="P546" s="275">
        <v>13</v>
      </c>
      <c r="Q546" s="275">
        <f t="shared" si="18"/>
        <v>543</v>
      </c>
    </row>
    <row r="547" spans="13:17" x14ac:dyDescent="0.3">
      <c r="M547" s="275">
        <f t="shared" si="17"/>
        <v>0</v>
      </c>
      <c r="N547" s="275">
        <v>544</v>
      </c>
      <c r="O547" s="275">
        <v>2320</v>
      </c>
      <c r="P547" s="275">
        <v>14</v>
      </c>
      <c r="Q547" s="275">
        <f t="shared" si="18"/>
        <v>544</v>
      </c>
    </row>
    <row r="548" spans="13:17" x14ac:dyDescent="0.3">
      <c r="M548" s="275">
        <f t="shared" si="17"/>
        <v>0</v>
      </c>
      <c r="N548" s="275">
        <v>545</v>
      </c>
      <c r="O548" s="275">
        <v>2320</v>
      </c>
      <c r="P548" s="275">
        <v>15</v>
      </c>
      <c r="Q548" s="275">
        <f t="shared" si="18"/>
        <v>545</v>
      </c>
    </row>
    <row r="549" spans="13:17" x14ac:dyDescent="0.3">
      <c r="M549" s="275">
        <f t="shared" si="17"/>
        <v>0</v>
      </c>
      <c r="N549" s="275">
        <v>546</v>
      </c>
      <c r="O549" s="275">
        <v>2320</v>
      </c>
      <c r="P549" s="275">
        <v>16</v>
      </c>
      <c r="Q549" s="275">
        <f t="shared" si="18"/>
        <v>546</v>
      </c>
    </row>
    <row r="550" spans="13:17" x14ac:dyDescent="0.3">
      <c r="M550" s="275">
        <f t="shared" si="17"/>
        <v>0</v>
      </c>
      <c r="N550" s="275">
        <v>547</v>
      </c>
      <c r="O550" s="275">
        <v>2320</v>
      </c>
      <c r="P550" s="275">
        <v>17</v>
      </c>
      <c r="Q550" s="275">
        <f t="shared" si="18"/>
        <v>547</v>
      </c>
    </row>
    <row r="551" spans="13:17" x14ac:dyDescent="0.3">
      <c r="M551" s="275">
        <f t="shared" si="17"/>
        <v>0</v>
      </c>
      <c r="N551" s="275">
        <v>548</v>
      </c>
      <c r="O551" s="275">
        <v>2320</v>
      </c>
      <c r="P551" s="275">
        <v>18</v>
      </c>
      <c r="Q551" s="275">
        <f t="shared" si="18"/>
        <v>548</v>
      </c>
    </row>
    <row r="552" spans="13:17" x14ac:dyDescent="0.3">
      <c r="M552" s="275">
        <f t="shared" si="17"/>
        <v>0</v>
      </c>
      <c r="N552" s="275">
        <v>549</v>
      </c>
      <c r="O552" s="275">
        <v>2320</v>
      </c>
      <c r="P552" s="275">
        <v>19</v>
      </c>
      <c r="Q552" s="275">
        <f t="shared" si="18"/>
        <v>549</v>
      </c>
    </row>
    <row r="553" spans="13:17" x14ac:dyDescent="0.3">
      <c r="M553" s="275">
        <f t="shared" si="17"/>
        <v>0</v>
      </c>
      <c r="N553" s="275">
        <v>550</v>
      </c>
      <c r="O553" s="275">
        <v>2320</v>
      </c>
      <c r="P553" s="275">
        <v>20</v>
      </c>
      <c r="Q553" s="275">
        <f t="shared" si="18"/>
        <v>550</v>
      </c>
    </row>
    <row r="554" spans="13:17" x14ac:dyDescent="0.3">
      <c r="M554" s="275">
        <f t="shared" si="17"/>
        <v>0</v>
      </c>
      <c r="N554" s="275">
        <v>551</v>
      </c>
      <c r="O554" s="275">
        <v>2330</v>
      </c>
      <c r="P554" s="275">
        <v>1</v>
      </c>
      <c r="Q554" s="275">
        <f t="shared" si="18"/>
        <v>551</v>
      </c>
    </row>
    <row r="555" spans="13:17" x14ac:dyDescent="0.3">
      <c r="M555" s="275">
        <f t="shared" si="17"/>
        <v>0</v>
      </c>
      <c r="N555" s="275">
        <v>552</v>
      </c>
      <c r="O555" s="275">
        <v>2330</v>
      </c>
      <c r="P555" s="275">
        <v>2</v>
      </c>
      <c r="Q555" s="275">
        <f t="shared" si="18"/>
        <v>552</v>
      </c>
    </row>
    <row r="556" spans="13:17" x14ac:dyDescent="0.3">
      <c r="M556" s="275">
        <f t="shared" si="17"/>
        <v>0</v>
      </c>
      <c r="N556" s="275">
        <v>553</v>
      </c>
      <c r="O556" s="275">
        <v>2330</v>
      </c>
      <c r="P556" s="275">
        <v>3</v>
      </c>
      <c r="Q556" s="275">
        <f t="shared" si="18"/>
        <v>553</v>
      </c>
    </row>
    <row r="557" spans="13:17" x14ac:dyDescent="0.3">
      <c r="M557" s="275">
        <f t="shared" si="17"/>
        <v>0</v>
      </c>
      <c r="N557" s="275">
        <v>554</v>
      </c>
      <c r="O557" s="275">
        <v>2330</v>
      </c>
      <c r="P557" s="275">
        <v>4</v>
      </c>
      <c r="Q557" s="275">
        <f t="shared" si="18"/>
        <v>554</v>
      </c>
    </row>
    <row r="558" spans="13:17" x14ac:dyDescent="0.3">
      <c r="M558" s="275">
        <f t="shared" si="17"/>
        <v>0</v>
      </c>
      <c r="N558" s="275">
        <v>555</v>
      </c>
      <c r="O558" s="275">
        <v>2330</v>
      </c>
      <c r="P558" s="275">
        <v>5</v>
      </c>
      <c r="Q558" s="275">
        <f t="shared" si="18"/>
        <v>555</v>
      </c>
    </row>
    <row r="559" spans="13:17" x14ac:dyDescent="0.3">
      <c r="M559" s="275">
        <f t="shared" si="17"/>
        <v>0</v>
      </c>
      <c r="N559" s="275">
        <v>556</v>
      </c>
      <c r="O559" s="275">
        <v>2330</v>
      </c>
      <c r="P559" s="275">
        <v>6</v>
      </c>
      <c r="Q559" s="275">
        <f t="shared" si="18"/>
        <v>556</v>
      </c>
    </row>
    <row r="560" spans="13:17" x14ac:dyDescent="0.3">
      <c r="M560" s="275">
        <f t="shared" si="17"/>
        <v>0</v>
      </c>
      <c r="N560" s="275">
        <v>557</v>
      </c>
      <c r="O560" s="275">
        <v>2330</v>
      </c>
      <c r="P560" s="275">
        <v>7</v>
      </c>
      <c r="Q560" s="275">
        <f t="shared" si="18"/>
        <v>557</v>
      </c>
    </row>
    <row r="561" spans="13:17" x14ac:dyDescent="0.3">
      <c r="M561" s="275">
        <f t="shared" si="17"/>
        <v>0</v>
      </c>
      <c r="N561" s="275">
        <v>558</v>
      </c>
      <c r="O561" s="275">
        <v>2330</v>
      </c>
      <c r="P561" s="275">
        <v>8</v>
      </c>
      <c r="Q561" s="275">
        <f t="shared" si="18"/>
        <v>558</v>
      </c>
    </row>
    <row r="562" spans="13:17" x14ac:dyDescent="0.3">
      <c r="M562" s="275">
        <f t="shared" si="17"/>
        <v>0</v>
      </c>
      <c r="N562" s="275">
        <v>559</v>
      </c>
      <c r="O562" s="275">
        <v>2330</v>
      </c>
      <c r="P562" s="275">
        <v>9</v>
      </c>
      <c r="Q562" s="275">
        <f t="shared" si="18"/>
        <v>559</v>
      </c>
    </row>
    <row r="563" spans="13:17" x14ac:dyDescent="0.3">
      <c r="M563" s="275">
        <f t="shared" si="17"/>
        <v>0</v>
      </c>
      <c r="N563" s="275">
        <v>560</v>
      </c>
      <c r="O563" s="275">
        <v>2330</v>
      </c>
      <c r="P563" s="275">
        <v>10</v>
      </c>
      <c r="Q563" s="275">
        <f t="shared" si="18"/>
        <v>560</v>
      </c>
    </row>
    <row r="564" spans="13:17" x14ac:dyDescent="0.3">
      <c r="M564" s="275">
        <f t="shared" si="17"/>
        <v>0</v>
      </c>
      <c r="N564" s="275">
        <v>561</v>
      </c>
      <c r="O564" s="275">
        <v>2330</v>
      </c>
      <c r="P564" s="275">
        <v>11</v>
      </c>
      <c r="Q564" s="275">
        <f t="shared" si="18"/>
        <v>561</v>
      </c>
    </row>
    <row r="565" spans="13:17" x14ac:dyDescent="0.3">
      <c r="M565" s="275">
        <f t="shared" si="17"/>
        <v>0</v>
      </c>
      <c r="N565" s="275">
        <v>562</v>
      </c>
      <c r="O565" s="275">
        <v>2330</v>
      </c>
      <c r="P565" s="275">
        <v>12</v>
      </c>
      <c r="Q565" s="275">
        <f t="shared" si="18"/>
        <v>562</v>
      </c>
    </row>
    <row r="566" spans="13:17" x14ac:dyDescent="0.3">
      <c r="M566" s="275">
        <f t="shared" si="17"/>
        <v>0</v>
      </c>
      <c r="N566" s="275">
        <v>563</v>
      </c>
      <c r="O566" s="275">
        <v>2330</v>
      </c>
      <c r="P566" s="275">
        <v>13</v>
      </c>
      <c r="Q566" s="275">
        <f t="shared" si="18"/>
        <v>563</v>
      </c>
    </row>
    <row r="567" spans="13:17" x14ac:dyDescent="0.3">
      <c r="M567" s="275">
        <f t="shared" si="17"/>
        <v>0</v>
      </c>
      <c r="N567" s="275">
        <v>564</v>
      </c>
      <c r="O567" s="275">
        <v>2330</v>
      </c>
      <c r="P567" s="275">
        <v>14</v>
      </c>
      <c r="Q567" s="275">
        <f t="shared" si="18"/>
        <v>564</v>
      </c>
    </row>
    <row r="568" spans="13:17" x14ac:dyDescent="0.3">
      <c r="M568" s="275">
        <f t="shared" si="17"/>
        <v>0</v>
      </c>
      <c r="N568" s="275">
        <v>565</v>
      </c>
      <c r="O568" s="275">
        <v>2330</v>
      </c>
      <c r="P568" s="275">
        <v>15</v>
      </c>
      <c r="Q568" s="275">
        <f t="shared" si="18"/>
        <v>565</v>
      </c>
    </row>
    <row r="569" spans="13:17" x14ac:dyDescent="0.3">
      <c r="M569" s="275">
        <f t="shared" si="17"/>
        <v>0</v>
      </c>
      <c r="N569" s="275">
        <v>566</v>
      </c>
      <c r="O569" s="275">
        <v>2330</v>
      </c>
      <c r="P569" s="275">
        <v>16</v>
      </c>
      <c r="Q569" s="275">
        <f t="shared" si="18"/>
        <v>566</v>
      </c>
    </row>
    <row r="570" spans="13:17" x14ac:dyDescent="0.3">
      <c r="M570" s="275">
        <f t="shared" si="17"/>
        <v>0</v>
      </c>
      <c r="N570" s="275">
        <v>567</v>
      </c>
      <c r="O570" s="275">
        <v>2330</v>
      </c>
      <c r="P570" s="275">
        <v>17</v>
      </c>
      <c r="Q570" s="275">
        <f t="shared" si="18"/>
        <v>567</v>
      </c>
    </row>
    <row r="571" spans="13:17" x14ac:dyDescent="0.3">
      <c r="M571" s="275">
        <f t="shared" si="17"/>
        <v>0</v>
      </c>
      <c r="N571" s="275">
        <v>568</v>
      </c>
      <c r="O571" s="275">
        <v>2330</v>
      </c>
      <c r="P571" s="275">
        <v>18</v>
      </c>
      <c r="Q571" s="275">
        <f t="shared" si="18"/>
        <v>568</v>
      </c>
    </row>
    <row r="572" spans="13:17" x14ac:dyDescent="0.3">
      <c r="M572" s="275">
        <f t="shared" si="17"/>
        <v>0</v>
      </c>
      <c r="N572" s="275">
        <v>569</v>
      </c>
      <c r="O572" s="275">
        <v>2330</v>
      </c>
      <c r="P572" s="275">
        <v>19</v>
      </c>
      <c r="Q572" s="275">
        <f t="shared" si="18"/>
        <v>569</v>
      </c>
    </row>
    <row r="573" spans="13:17" x14ac:dyDescent="0.3">
      <c r="M573" s="275">
        <f t="shared" si="17"/>
        <v>0</v>
      </c>
      <c r="N573" s="275">
        <v>570</v>
      </c>
      <c r="O573" s="275">
        <v>2330</v>
      </c>
      <c r="P573" s="275">
        <v>20</v>
      </c>
      <c r="Q573" s="275">
        <f t="shared" si="18"/>
        <v>570</v>
      </c>
    </row>
    <row r="574" spans="13:17" x14ac:dyDescent="0.3">
      <c r="M574" s="275">
        <f t="shared" si="17"/>
        <v>0</v>
      </c>
      <c r="N574" s="275">
        <v>571</v>
      </c>
      <c r="O574" s="275">
        <v>2340</v>
      </c>
      <c r="P574" s="275">
        <v>1</v>
      </c>
      <c r="Q574" s="275">
        <f t="shared" si="18"/>
        <v>571</v>
      </c>
    </row>
    <row r="575" spans="13:17" x14ac:dyDescent="0.3">
      <c r="M575" s="275">
        <f t="shared" si="17"/>
        <v>0</v>
      </c>
      <c r="N575" s="275">
        <v>572</v>
      </c>
      <c r="O575" s="275">
        <v>2340</v>
      </c>
      <c r="P575" s="275">
        <v>2</v>
      </c>
      <c r="Q575" s="275">
        <f t="shared" si="18"/>
        <v>572</v>
      </c>
    </row>
    <row r="576" spans="13:17" x14ac:dyDescent="0.3">
      <c r="M576" s="275">
        <f t="shared" si="17"/>
        <v>0</v>
      </c>
      <c r="N576" s="275">
        <v>573</v>
      </c>
      <c r="O576" s="275">
        <v>2340</v>
      </c>
      <c r="P576" s="275">
        <v>3</v>
      </c>
      <c r="Q576" s="275">
        <f t="shared" si="18"/>
        <v>573</v>
      </c>
    </row>
    <row r="577" spans="13:17" x14ac:dyDescent="0.3">
      <c r="M577" s="275">
        <f t="shared" si="17"/>
        <v>0</v>
      </c>
      <c r="N577" s="275">
        <v>574</v>
      </c>
      <c r="O577" s="275">
        <v>2340</v>
      </c>
      <c r="P577" s="275">
        <v>4</v>
      </c>
      <c r="Q577" s="275">
        <f t="shared" si="18"/>
        <v>574</v>
      </c>
    </row>
    <row r="578" spans="13:17" x14ac:dyDescent="0.3">
      <c r="M578" s="275">
        <f t="shared" si="17"/>
        <v>0</v>
      </c>
      <c r="N578" s="275">
        <v>575</v>
      </c>
      <c r="O578" s="275">
        <v>2340</v>
      </c>
      <c r="P578" s="275">
        <v>5</v>
      </c>
      <c r="Q578" s="275">
        <f t="shared" si="18"/>
        <v>575</v>
      </c>
    </row>
    <row r="579" spans="13:17" x14ac:dyDescent="0.3">
      <c r="M579" s="275">
        <f t="shared" si="17"/>
        <v>0</v>
      </c>
      <c r="N579" s="275">
        <v>576</v>
      </c>
      <c r="O579" s="275">
        <v>2340</v>
      </c>
      <c r="P579" s="275">
        <v>6</v>
      </c>
      <c r="Q579" s="275">
        <f t="shared" si="18"/>
        <v>576</v>
      </c>
    </row>
    <row r="580" spans="13:17" x14ac:dyDescent="0.3">
      <c r="M580" s="275">
        <f t="shared" si="17"/>
        <v>0</v>
      </c>
      <c r="N580" s="275">
        <v>577</v>
      </c>
      <c r="O580" s="275">
        <v>2340</v>
      </c>
      <c r="P580" s="275">
        <v>7</v>
      </c>
      <c r="Q580" s="275">
        <f t="shared" si="18"/>
        <v>577</v>
      </c>
    </row>
    <row r="581" spans="13:17" x14ac:dyDescent="0.3">
      <c r="M581" s="275">
        <f t="shared" ref="M581:M644" si="19">J581</f>
        <v>0</v>
      </c>
      <c r="N581" s="275">
        <v>578</v>
      </c>
      <c r="O581" s="275">
        <v>2340</v>
      </c>
      <c r="P581" s="275">
        <v>8</v>
      </c>
      <c r="Q581" s="275">
        <f t="shared" ref="Q581:Q644" si="20">N581</f>
        <v>578</v>
      </c>
    </row>
    <row r="582" spans="13:17" x14ac:dyDescent="0.3">
      <c r="M582" s="275">
        <f t="shared" si="19"/>
        <v>0</v>
      </c>
      <c r="N582" s="275">
        <v>579</v>
      </c>
      <c r="O582" s="275">
        <v>2340</v>
      </c>
      <c r="P582" s="275">
        <v>9</v>
      </c>
      <c r="Q582" s="275">
        <f t="shared" si="20"/>
        <v>579</v>
      </c>
    </row>
    <row r="583" spans="13:17" x14ac:dyDescent="0.3">
      <c r="M583" s="275">
        <f t="shared" si="19"/>
        <v>0</v>
      </c>
      <c r="N583" s="275">
        <v>580</v>
      </c>
      <c r="O583" s="275">
        <v>2340</v>
      </c>
      <c r="P583" s="275">
        <v>10</v>
      </c>
      <c r="Q583" s="275">
        <f t="shared" si="20"/>
        <v>580</v>
      </c>
    </row>
    <row r="584" spans="13:17" x14ac:dyDescent="0.3">
      <c r="M584" s="275">
        <f t="shared" si="19"/>
        <v>0</v>
      </c>
      <c r="N584" s="275">
        <v>581</v>
      </c>
      <c r="O584" s="275">
        <v>2340</v>
      </c>
      <c r="P584" s="275">
        <v>11</v>
      </c>
      <c r="Q584" s="275">
        <f t="shared" si="20"/>
        <v>581</v>
      </c>
    </row>
    <row r="585" spans="13:17" x14ac:dyDescent="0.3">
      <c r="M585" s="275">
        <f t="shared" si="19"/>
        <v>0</v>
      </c>
      <c r="N585" s="275">
        <v>582</v>
      </c>
      <c r="O585" s="275">
        <v>2340</v>
      </c>
      <c r="P585" s="275">
        <v>12</v>
      </c>
      <c r="Q585" s="275">
        <f t="shared" si="20"/>
        <v>582</v>
      </c>
    </row>
    <row r="586" spans="13:17" x14ac:dyDescent="0.3">
      <c r="M586" s="275">
        <f t="shared" si="19"/>
        <v>0</v>
      </c>
      <c r="N586" s="275">
        <v>583</v>
      </c>
      <c r="O586" s="275">
        <v>2340</v>
      </c>
      <c r="P586" s="275">
        <v>13</v>
      </c>
      <c r="Q586" s="275">
        <f t="shared" si="20"/>
        <v>583</v>
      </c>
    </row>
    <row r="587" spans="13:17" x14ac:dyDescent="0.3">
      <c r="M587" s="275">
        <f t="shared" si="19"/>
        <v>0</v>
      </c>
      <c r="N587" s="275">
        <v>584</v>
      </c>
      <c r="O587" s="275">
        <v>2340</v>
      </c>
      <c r="P587" s="275">
        <v>14</v>
      </c>
      <c r="Q587" s="275">
        <f t="shared" si="20"/>
        <v>584</v>
      </c>
    </row>
    <row r="588" spans="13:17" x14ac:dyDescent="0.3">
      <c r="M588" s="275">
        <f t="shared" si="19"/>
        <v>0</v>
      </c>
      <c r="N588" s="275">
        <v>585</v>
      </c>
      <c r="O588" s="275">
        <v>2340</v>
      </c>
      <c r="P588" s="275">
        <v>15</v>
      </c>
      <c r="Q588" s="275">
        <f t="shared" si="20"/>
        <v>585</v>
      </c>
    </row>
    <row r="589" spans="13:17" x14ac:dyDescent="0.3">
      <c r="M589" s="275">
        <f t="shared" si="19"/>
        <v>0</v>
      </c>
      <c r="N589" s="275">
        <v>586</v>
      </c>
      <c r="O589" s="275">
        <v>2340</v>
      </c>
      <c r="P589" s="275">
        <v>16</v>
      </c>
      <c r="Q589" s="275">
        <f t="shared" si="20"/>
        <v>586</v>
      </c>
    </row>
    <row r="590" spans="13:17" x14ac:dyDescent="0.3">
      <c r="M590" s="275">
        <f t="shared" si="19"/>
        <v>0</v>
      </c>
      <c r="N590" s="275">
        <v>587</v>
      </c>
      <c r="O590" s="275">
        <v>2340</v>
      </c>
      <c r="P590" s="275">
        <v>17</v>
      </c>
      <c r="Q590" s="275">
        <f t="shared" si="20"/>
        <v>587</v>
      </c>
    </row>
    <row r="591" spans="13:17" x14ac:dyDescent="0.3">
      <c r="M591" s="275">
        <f t="shared" si="19"/>
        <v>0</v>
      </c>
      <c r="N591" s="275">
        <v>588</v>
      </c>
      <c r="O591" s="275">
        <v>2340</v>
      </c>
      <c r="P591" s="275">
        <v>18</v>
      </c>
      <c r="Q591" s="275">
        <f t="shared" si="20"/>
        <v>588</v>
      </c>
    </row>
    <row r="592" spans="13:17" x14ac:dyDescent="0.3">
      <c r="M592" s="275">
        <f t="shared" si="19"/>
        <v>0</v>
      </c>
      <c r="N592" s="275">
        <v>589</v>
      </c>
      <c r="O592" s="275">
        <v>2340</v>
      </c>
      <c r="P592" s="275">
        <v>19</v>
      </c>
      <c r="Q592" s="275">
        <f t="shared" si="20"/>
        <v>589</v>
      </c>
    </row>
    <row r="593" spans="13:17" x14ac:dyDescent="0.3">
      <c r="M593" s="275">
        <f t="shared" si="19"/>
        <v>0</v>
      </c>
      <c r="N593" s="275">
        <v>590</v>
      </c>
      <c r="O593" s="275">
        <v>2340</v>
      </c>
      <c r="P593" s="275">
        <v>20</v>
      </c>
      <c r="Q593" s="275">
        <f t="shared" si="20"/>
        <v>590</v>
      </c>
    </row>
    <row r="594" spans="13:17" x14ac:dyDescent="0.3">
      <c r="M594" s="275">
        <f t="shared" si="19"/>
        <v>0</v>
      </c>
      <c r="N594" s="275">
        <v>591</v>
      </c>
      <c r="O594" s="275">
        <v>2350</v>
      </c>
      <c r="P594" s="275">
        <v>1</v>
      </c>
      <c r="Q594" s="275">
        <f t="shared" si="20"/>
        <v>591</v>
      </c>
    </row>
    <row r="595" spans="13:17" x14ac:dyDescent="0.3">
      <c r="M595" s="275">
        <f t="shared" si="19"/>
        <v>0</v>
      </c>
      <c r="N595" s="275">
        <v>592</v>
      </c>
      <c r="O595" s="275">
        <v>2350</v>
      </c>
      <c r="P595" s="275">
        <v>2</v>
      </c>
      <c r="Q595" s="275">
        <f t="shared" si="20"/>
        <v>592</v>
      </c>
    </row>
    <row r="596" spans="13:17" x14ac:dyDescent="0.3">
      <c r="M596" s="275">
        <f t="shared" si="19"/>
        <v>0</v>
      </c>
      <c r="N596" s="275">
        <v>593</v>
      </c>
      <c r="O596" s="275">
        <v>2350</v>
      </c>
      <c r="P596" s="275">
        <v>3</v>
      </c>
      <c r="Q596" s="275">
        <f t="shared" si="20"/>
        <v>593</v>
      </c>
    </row>
    <row r="597" spans="13:17" x14ac:dyDescent="0.3">
      <c r="M597" s="275">
        <f t="shared" si="19"/>
        <v>0</v>
      </c>
      <c r="N597" s="275">
        <v>594</v>
      </c>
      <c r="O597" s="275">
        <v>2350</v>
      </c>
      <c r="P597" s="275">
        <v>4</v>
      </c>
      <c r="Q597" s="275">
        <f t="shared" si="20"/>
        <v>594</v>
      </c>
    </row>
    <row r="598" spans="13:17" x14ac:dyDescent="0.3">
      <c r="M598" s="275">
        <f t="shared" si="19"/>
        <v>0</v>
      </c>
      <c r="N598" s="275">
        <v>595</v>
      </c>
      <c r="O598" s="275">
        <v>2350</v>
      </c>
      <c r="P598" s="275">
        <v>5</v>
      </c>
      <c r="Q598" s="275">
        <f t="shared" si="20"/>
        <v>595</v>
      </c>
    </row>
    <row r="599" spans="13:17" x14ac:dyDescent="0.3">
      <c r="M599" s="275">
        <f t="shared" si="19"/>
        <v>0</v>
      </c>
      <c r="N599" s="275">
        <v>596</v>
      </c>
      <c r="O599" s="275">
        <v>2350</v>
      </c>
      <c r="P599" s="275">
        <v>6</v>
      </c>
      <c r="Q599" s="275">
        <f t="shared" si="20"/>
        <v>596</v>
      </c>
    </row>
    <row r="600" spans="13:17" x14ac:dyDescent="0.3">
      <c r="M600" s="275">
        <f t="shared" si="19"/>
        <v>0</v>
      </c>
      <c r="N600" s="275">
        <v>597</v>
      </c>
      <c r="O600" s="275">
        <v>2350</v>
      </c>
      <c r="P600" s="275">
        <v>7</v>
      </c>
      <c r="Q600" s="275">
        <f t="shared" si="20"/>
        <v>597</v>
      </c>
    </row>
    <row r="601" spans="13:17" x14ac:dyDescent="0.3">
      <c r="M601" s="275">
        <f t="shared" si="19"/>
        <v>0</v>
      </c>
      <c r="N601" s="275">
        <v>598</v>
      </c>
      <c r="O601" s="275">
        <v>2350</v>
      </c>
      <c r="P601" s="275">
        <v>8</v>
      </c>
      <c r="Q601" s="275">
        <f t="shared" si="20"/>
        <v>598</v>
      </c>
    </row>
    <row r="602" spans="13:17" x14ac:dyDescent="0.3">
      <c r="M602" s="275">
        <f t="shared" si="19"/>
        <v>0</v>
      </c>
      <c r="N602" s="275">
        <v>599</v>
      </c>
      <c r="O602" s="275">
        <v>2350</v>
      </c>
      <c r="P602" s="275">
        <v>9</v>
      </c>
      <c r="Q602" s="275">
        <f t="shared" si="20"/>
        <v>599</v>
      </c>
    </row>
    <row r="603" spans="13:17" x14ac:dyDescent="0.3">
      <c r="M603" s="275">
        <f t="shared" si="19"/>
        <v>0</v>
      </c>
      <c r="N603" s="275">
        <v>600</v>
      </c>
      <c r="O603" s="275">
        <v>2350</v>
      </c>
      <c r="P603" s="275">
        <v>10</v>
      </c>
      <c r="Q603" s="275">
        <f t="shared" si="20"/>
        <v>600</v>
      </c>
    </row>
    <row r="604" spans="13:17" x14ac:dyDescent="0.3">
      <c r="M604" s="275">
        <f t="shared" si="19"/>
        <v>0</v>
      </c>
      <c r="N604" s="275">
        <v>601</v>
      </c>
      <c r="O604" s="275">
        <v>2350</v>
      </c>
      <c r="P604" s="275">
        <v>11</v>
      </c>
      <c r="Q604" s="275">
        <f t="shared" si="20"/>
        <v>601</v>
      </c>
    </row>
    <row r="605" spans="13:17" x14ac:dyDescent="0.3">
      <c r="M605" s="275">
        <f t="shared" si="19"/>
        <v>0</v>
      </c>
      <c r="N605" s="275">
        <v>602</v>
      </c>
      <c r="O605" s="275">
        <v>2350</v>
      </c>
      <c r="P605" s="275">
        <v>12</v>
      </c>
      <c r="Q605" s="275">
        <f t="shared" si="20"/>
        <v>602</v>
      </c>
    </row>
    <row r="606" spans="13:17" x14ac:dyDescent="0.3">
      <c r="M606" s="275">
        <f t="shared" si="19"/>
        <v>0</v>
      </c>
      <c r="N606" s="275">
        <v>603</v>
      </c>
      <c r="O606" s="275">
        <v>2350</v>
      </c>
      <c r="P606" s="275">
        <v>13</v>
      </c>
      <c r="Q606" s="275">
        <f t="shared" si="20"/>
        <v>603</v>
      </c>
    </row>
    <row r="607" spans="13:17" x14ac:dyDescent="0.3">
      <c r="M607" s="275">
        <f t="shared" si="19"/>
        <v>0</v>
      </c>
      <c r="N607" s="275">
        <v>604</v>
      </c>
      <c r="O607" s="275">
        <v>2350</v>
      </c>
      <c r="P607" s="275">
        <v>14</v>
      </c>
      <c r="Q607" s="275">
        <f t="shared" si="20"/>
        <v>604</v>
      </c>
    </row>
    <row r="608" spans="13:17" x14ac:dyDescent="0.3">
      <c r="M608" s="275">
        <f t="shared" si="19"/>
        <v>0</v>
      </c>
      <c r="N608" s="275">
        <v>605</v>
      </c>
      <c r="O608" s="275">
        <v>2350</v>
      </c>
      <c r="P608" s="275">
        <v>15</v>
      </c>
      <c r="Q608" s="275">
        <f t="shared" si="20"/>
        <v>605</v>
      </c>
    </row>
    <row r="609" spans="13:17" x14ac:dyDescent="0.3">
      <c r="M609" s="275">
        <f t="shared" si="19"/>
        <v>0</v>
      </c>
      <c r="N609" s="275">
        <v>606</v>
      </c>
      <c r="O609" s="275">
        <v>2350</v>
      </c>
      <c r="P609" s="275">
        <v>16</v>
      </c>
      <c r="Q609" s="275">
        <f t="shared" si="20"/>
        <v>606</v>
      </c>
    </row>
    <row r="610" spans="13:17" x14ac:dyDescent="0.3">
      <c r="M610" s="275">
        <f t="shared" si="19"/>
        <v>0</v>
      </c>
      <c r="N610" s="275">
        <v>607</v>
      </c>
      <c r="O610" s="275">
        <v>2350</v>
      </c>
      <c r="P610" s="275">
        <v>17</v>
      </c>
      <c r="Q610" s="275">
        <f t="shared" si="20"/>
        <v>607</v>
      </c>
    </row>
    <row r="611" spans="13:17" x14ac:dyDescent="0.3">
      <c r="M611" s="275">
        <f t="shared" si="19"/>
        <v>0</v>
      </c>
      <c r="N611" s="275">
        <v>608</v>
      </c>
      <c r="O611" s="275">
        <v>2350</v>
      </c>
      <c r="P611" s="275">
        <v>18</v>
      </c>
      <c r="Q611" s="275">
        <f t="shared" si="20"/>
        <v>608</v>
      </c>
    </row>
    <row r="612" spans="13:17" x14ac:dyDescent="0.3">
      <c r="M612" s="275">
        <f t="shared" si="19"/>
        <v>0</v>
      </c>
      <c r="N612" s="275">
        <v>609</v>
      </c>
      <c r="O612" s="275">
        <v>2350</v>
      </c>
      <c r="P612" s="275">
        <v>19</v>
      </c>
      <c r="Q612" s="275">
        <f t="shared" si="20"/>
        <v>609</v>
      </c>
    </row>
    <row r="613" spans="13:17" x14ac:dyDescent="0.3">
      <c r="M613" s="275">
        <f t="shared" si="19"/>
        <v>0</v>
      </c>
      <c r="N613" s="275">
        <v>610</v>
      </c>
      <c r="O613" s="275">
        <v>2350</v>
      </c>
      <c r="P613" s="275">
        <v>20</v>
      </c>
      <c r="Q613" s="275">
        <f t="shared" si="20"/>
        <v>610</v>
      </c>
    </row>
    <row r="614" spans="13:17" x14ac:dyDescent="0.3">
      <c r="M614" s="275">
        <f t="shared" si="19"/>
        <v>0</v>
      </c>
      <c r="N614" s="275">
        <v>611</v>
      </c>
      <c r="O614" s="275">
        <v>2360</v>
      </c>
      <c r="P614" s="275">
        <v>1</v>
      </c>
      <c r="Q614" s="275">
        <f t="shared" si="20"/>
        <v>611</v>
      </c>
    </row>
    <row r="615" spans="13:17" x14ac:dyDescent="0.3">
      <c r="M615" s="275">
        <f t="shared" si="19"/>
        <v>0</v>
      </c>
      <c r="N615" s="275">
        <v>612</v>
      </c>
      <c r="O615" s="275">
        <v>2360</v>
      </c>
      <c r="P615" s="275">
        <v>2</v>
      </c>
      <c r="Q615" s="275">
        <f t="shared" si="20"/>
        <v>612</v>
      </c>
    </row>
    <row r="616" spans="13:17" x14ac:dyDescent="0.3">
      <c r="M616" s="275">
        <f t="shared" si="19"/>
        <v>0</v>
      </c>
      <c r="N616" s="275">
        <v>613</v>
      </c>
      <c r="O616" s="275">
        <v>2360</v>
      </c>
      <c r="P616" s="275">
        <v>3</v>
      </c>
      <c r="Q616" s="275">
        <f t="shared" si="20"/>
        <v>613</v>
      </c>
    </row>
    <row r="617" spans="13:17" x14ac:dyDescent="0.3">
      <c r="M617" s="275">
        <f t="shared" si="19"/>
        <v>0</v>
      </c>
      <c r="N617" s="275">
        <v>614</v>
      </c>
      <c r="O617" s="275">
        <v>2360</v>
      </c>
      <c r="P617" s="275">
        <v>4</v>
      </c>
      <c r="Q617" s="275">
        <f t="shared" si="20"/>
        <v>614</v>
      </c>
    </row>
    <row r="618" spans="13:17" x14ac:dyDescent="0.3">
      <c r="M618" s="275">
        <f t="shared" si="19"/>
        <v>0</v>
      </c>
      <c r="N618" s="275">
        <v>615</v>
      </c>
      <c r="O618" s="275">
        <v>2360</v>
      </c>
      <c r="P618" s="275">
        <v>5</v>
      </c>
      <c r="Q618" s="275">
        <f t="shared" si="20"/>
        <v>615</v>
      </c>
    </row>
    <row r="619" spans="13:17" x14ac:dyDescent="0.3">
      <c r="M619" s="275">
        <f t="shared" si="19"/>
        <v>0</v>
      </c>
      <c r="N619" s="275">
        <v>616</v>
      </c>
      <c r="O619" s="275">
        <v>2360</v>
      </c>
      <c r="P619" s="275">
        <v>6</v>
      </c>
      <c r="Q619" s="275">
        <f t="shared" si="20"/>
        <v>616</v>
      </c>
    </row>
    <row r="620" spans="13:17" x14ac:dyDescent="0.3">
      <c r="M620" s="275">
        <f t="shared" si="19"/>
        <v>0</v>
      </c>
      <c r="N620" s="275">
        <v>617</v>
      </c>
      <c r="O620" s="275">
        <v>2360</v>
      </c>
      <c r="P620" s="275">
        <v>7</v>
      </c>
      <c r="Q620" s="275">
        <f t="shared" si="20"/>
        <v>617</v>
      </c>
    </row>
    <row r="621" spans="13:17" x14ac:dyDescent="0.3">
      <c r="M621" s="275">
        <f t="shared" si="19"/>
        <v>0</v>
      </c>
      <c r="N621" s="275">
        <v>618</v>
      </c>
      <c r="O621" s="275">
        <v>2360</v>
      </c>
      <c r="P621" s="275">
        <v>8</v>
      </c>
      <c r="Q621" s="275">
        <f t="shared" si="20"/>
        <v>618</v>
      </c>
    </row>
    <row r="622" spans="13:17" x14ac:dyDescent="0.3">
      <c r="M622" s="275">
        <f t="shared" si="19"/>
        <v>0</v>
      </c>
      <c r="N622" s="275">
        <v>619</v>
      </c>
      <c r="O622" s="275">
        <v>2360</v>
      </c>
      <c r="P622" s="275">
        <v>9</v>
      </c>
      <c r="Q622" s="275">
        <f t="shared" si="20"/>
        <v>619</v>
      </c>
    </row>
    <row r="623" spans="13:17" x14ac:dyDescent="0.3">
      <c r="M623" s="275">
        <f t="shared" si="19"/>
        <v>0</v>
      </c>
      <c r="N623" s="275">
        <v>620</v>
      </c>
      <c r="O623" s="275">
        <v>2360</v>
      </c>
      <c r="P623" s="275">
        <v>10</v>
      </c>
      <c r="Q623" s="275">
        <f t="shared" si="20"/>
        <v>620</v>
      </c>
    </row>
    <row r="624" spans="13:17" x14ac:dyDescent="0.3">
      <c r="M624" s="275">
        <f t="shared" si="19"/>
        <v>0</v>
      </c>
      <c r="N624" s="275">
        <v>621</v>
      </c>
      <c r="O624" s="275">
        <v>2360</v>
      </c>
      <c r="P624" s="275">
        <v>11</v>
      </c>
      <c r="Q624" s="275">
        <f t="shared" si="20"/>
        <v>621</v>
      </c>
    </row>
    <row r="625" spans="13:17" x14ac:dyDescent="0.3">
      <c r="M625" s="275">
        <f t="shared" si="19"/>
        <v>0</v>
      </c>
      <c r="N625" s="275">
        <v>622</v>
      </c>
      <c r="O625" s="275">
        <v>2360</v>
      </c>
      <c r="P625" s="275">
        <v>12</v>
      </c>
      <c r="Q625" s="275">
        <f t="shared" si="20"/>
        <v>622</v>
      </c>
    </row>
    <row r="626" spans="13:17" x14ac:dyDescent="0.3">
      <c r="M626" s="275">
        <f t="shared" si="19"/>
        <v>0</v>
      </c>
      <c r="N626" s="275">
        <v>623</v>
      </c>
      <c r="O626" s="275">
        <v>2360</v>
      </c>
      <c r="P626" s="275">
        <v>13</v>
      </c>
      <c r="Q626" s="275">
        <f t="shared" si="20"/>
        <v>623</v>
      </c>
    </row>
    <row r="627" spans="13:17" x14ac:dyDescent="0.3">
      <c r="M627" s="275">
        <f t="shared" si="19"/>
        <v>0</v>
      </c>
      <c r="N627" s="275">
        <v>624</v>
      </c>
      <c r="O627" s="275">
        <v>2360</v>
      </c>
      <c r="P627" s="275">
        <v>14</v>
      </c>
      <c r="Q627" s="275">
        <f t="shared" si="20"/>
        <v>624</v>
      </c>
    </row>
    <row r="628" spans="13:17" x14ac:dyDescent="0.3">
      <c r="M628" s="275">
        <f t="shared" si="19"/>
        <v>0</v>
      </c>
      <c r="N628" s="275">
        <v>625</v>
      </c>
      <c r="O628" s="275">
        <v>2360</v>
      </c>
      <c r="P628" s="275">
        <v>15</v>
      </c>
      <c r="Q628" s="275">
        <f t="shared" si="20"/>
        <v>625</v>
      </c>
    </row>
    <row r="629" spans="13:17" x14ac:dyDescent="0.3">
      <c r="M629" s="275">
        <f t="shared" si="19"/>
        <v>0</v>
      </c>
      <c r="N629" s="275">
        <v>626</v>
      </c>
      <c r="O629" s="275">
        <v>2360</v>
      </c>
      <c r="P629" s="275">
        <v>16</v>
      </c>
      <c r="Q629" s="275">
        <f t="shared" si="20"/>
        <v>626</v>
      </c>
    </row>
    <row r="630" spans="13:17" x14ac:dyDescent="0.3">
      <c r="M630" s="275">
        <f t="shared" si="19"/>
        <v>0</v>
      </c>
      <c r="N630" s="275">
        <v>627</v>
      </c>
      <c r="O630" s="275">
        <v>2360</v>
      </c>
      <c r="P630" s="275">
        <v>17</v>
      </c>
      <c r="Q630" s="275">
        <f t="shared" si="20"/>
        <v>627</v>
      </c>
    </row>
    <row r="631" spans="13:17" x14ac:dyDescent="0.3">
      <c r="M631" s="275">
        <f t="shared" si="19"/>
        <v>0</v>
      </c>
      <c r="N631" s="275">
        <v>628</v>
      </c>
      <c r="O631" s="275">
        <v>2360</v>
      </c>
      <c r="P631" s="275">
        <v>18</v>
      </c>
      <c r="Q631" s="275">
        <f t="shared" si="20"/>
        <v>628</v>
      </c>
    </row>
    <row r="632" spans="13:17" x14ac:dyDescent="0.3">
      <c r="M632" s="275">
        <f t="shared" si="19"/>
        <v>0</v>
      </c>
      <c r="N632" s="275">
        <v>629</v>
      </c>
      <c r="O632" s="275">
        <v>2360</v>
      </c>
      <c r="P632" s="275">
        <v>19</v>
      </c>
      <c r="Q632" s="275">
        <f t="shared" si="20"/>
        <v>629</v>
      </c>
    </row>
    <row r="633" spans="13:17" x14ac:dyDescent="0.3">
      <c r="M633" s="275">
        <f t="shared" si="19"/>
        <v>0</v>
      </c>
      <c r="N633" s="275">
        <v>630</v>
      </c>
      <c r="O633" s="275">
        <v>2360</v>
      </c>
      <c r="P633" s="275">
        <v>20</v>
      </c>
      <c r="Q633" s="275">
        <f t="shared" si="20"/>
        <v>630</v>
      </c>
    </row>
    <row r="634" spans="13:17" x14ac:dyDescent="0.3">
      <c r="M634" s="275">
        <f t="shared" si="19"/>
        <v>0</v>
      </c>
      <c r="N634" s="275">
        <v>631</v>
      </c>
      <c r="O634" s="275">
        <v>3110</v>
      </c>
      <c r="P634" s="275">
        <v>1</v>
      </c>
      <c r="Q634" s="275">
        <f t="shared" si="20"/>
        <v>631</v>
      </c>
    </row>
    <row r="635" spans="13:17" x14ac:dyDescent="0.3">
      <c r="M635" s="275">
        <f t="shared" si="19"/>
        <v>0</v>
      </c>
      <c r="N635" s="275">
        <v>632</v>
      </c>
      <c r="O635" s="275">
        <v>3110</v>
      </c>
      <c r="P635" s="275">
        <v>2</v>
      </c>
      <c r="Q635" s="275">
        <f t="shared" si="20"/>
        <v>632</v>
      </c>
    </row>
    <row r="636" spans="13:17" x14ac:dyDescent="0.3">
      <c r="M636" s="275">
        <f t="shared" si="19"/>
        <v>0</v>
      </c>
      <c r="N636" s="275">
        <v>633</v>
      </c>
      <c r="O636" s="275">
        <v>3110</v>
      </c>
      <c r="P636" s="275">
        <v>3</v>
      </c>
      <c r="Q636" s="275">
        <f t="shared" si="20"/>
        <v>633</v>
      </c>
    </row>
    <row r="637" spans="13:17" x14ac:dyDescent="0.3">
      <c r="M637" s="275">
        <f t="shared" si="19"/>
        <v>0</v>
      </c>
      <c r="N637" s="275">
        <v>634</v>
      </c>
      <c r="O637" s="275">
        <v>3110</v>
      </c>
      <c r="P637" s="275">
        <v>4</v>
      </c>
      <c r="Q637" s="275">
        <f t="shared" si="20"/>
        <v>634</v>
      </c>
    </row>
    <row r="638" spans="13:17" x14ac:dyDescent="0.3">
      <c r="M638" s="275">
        <f t="shared" si="19"/>
        <v>0</v>
      </c>
      <c r="N638" s="275">
        <v>635</v>
      </c>
      <c r="O638" s="275">
        <v>3110</v>
      </c>
      <c r="P638" s="275">
        <v>5</v>
      </c>
      <c r="Q638" s="275">
        <f t="shared" si="20"/>
        <v>635</v>
      </c>
    </row>
    <row r="639" spans="13:17" x14ac:dyDescent="0.3">
      <c r="M639" s="275">
        <f t="shared" si="19"/>
        <v>0</v>
      </c>
      <c r="N639" s="275">
        <v>636</v>
      </c>
      <c r="O639" s="275">
        <v>3110</v>
      </c>
      <c r="P639" s="275">
        <v>6</v>
      </c>
      <c r="Q639" s="275">
        <f t="shared" si="20"/>
        <v>636</v>
      </c>
    </row>
    <row r="640" spans="13:17" x14ac:dyDescent="0.3">
      <c r="M640" s="275">
        <f t="shared" si="19"/>
        <v>0</v>
      </c>
      <c r="N640" s="275">
        <v>637</v>
      </c>
      <c r="O640" s="275">
        <v>3110</v>
      </c>
      <c r="P640" s="275">
        <v>7</v>
      </c>
      <c r="Q640" s="275">
        <f t="shared" si="20"/>
        <v>637</v>
      </c>
    </row>
    <row r="641" spans="13:17" x14ac:dyDescent="0.3">
      <c r="M641" s="275">
        <f t="shared" si="19"/>
        <v>0</v>
      </c>
      <c r="N641" s="275">
        <v>638</v>
      </c>
      <c r="O641" s="275">
        <v>3110</v>
      </c>
      <c r="P641" s="275">
        <v>8</v>
      </c>
      <c r="Q641" s="275">
        <f t="shared" si="20"/>
        <v>638</v>
      </c>
    </row>
    <row r="642" spans="13:17" x14ac:dyDescent="0.3">
      <c r="M642" s="275">
        <f t="shared" si="19"/>
        <v>0</v>
      </c>
      <c r="N642" s="275">
        <v>639</v>
      </c>
      <c r="O642" s="275">
        <v>3110</v>
      </c>
      <c r="P642" s="275">
        <v>9</v>
      </c>
      <c r="Q642" s="275">
        <f t="shared" si="20"/>
        <v>639</v>
      </c>
    </row>
    <row r="643" spans="13:17" x14ac:dyDescent="0.3">
      <c r="M643" s="275">
        <f t="shared" si="19"/>
        <v>0</v>
      </c>
      <c r="N643" s="275">
        <v>640</v>
      </c>
      <c r="O643" s="275">
        <v>3110</v>
      </c>
      <c r="P643" s="275">
        <v>10</v>
      </c>
      <c r="Q643" s="275">
        <f t="shared" si="20"/>
        <v>640</v>
      </c>
    </row>
    <row r="644" spans="13:17" x14ac:dyDescent="0.3">
      <c r="M644" s="275">
        <f t="shared" si="19"/>
        <v>0</v>
      </c>
      <c r="N644" s="275">
        <v>641</v>
      </c>
      <c r="O644" s="275">
        <v>3110</v>
      </c>
      <c r="P644" s="275">
        <v>11</v>
      </c>
      <c r="Q644" s="275">
        <f t="shared" si="20"/>
        <v>641</v>
      </c>
    </row>
    <row r="645" spans="13:17" x14ac:dyDescent="0.3">
      <c r="M645" s="275">
        <f t="shared" ref="M645:M708" si="21">J645</f>
        <v>0</v>
      </c>
      <c r="N645" s="275">
        <v>642</v>
      </c>
      <c r="O645" s="275">
        <v>3110</v>
      </c>
      <c r="P645" s="275">
        <v>12</v>
      </c>
      <c r="Q645" s="275">
        <f t="shared" ref="Q645:Q708" si="22">N645</f>
        <v>642</v>
      </c>
    </row>
    <row r="646" spans="13:17" x14ac:dyDescent="0.3">
      <c r="M646" s="275">
        <f t="shared" si="21"/>
        <v>0</v>
      </c>
      <c r="N646" s="275">
        <v>643</v>
      </c>
      <c r="O646" s="275">
        <v>3110</v>
      </c>
      <c r="P646" s="275">
        <v>13</v>
      </c>
      <c r="Q646" s="275">
        <f t="shared" si="22"/>
        <v>643</v>
      </c>
    </row>
    <row r="647" spans="13:17" x14ac:dyDescent="0.3">
      <c r="M647" s="275">
        <f t="shared" si="21"/>
        <v>0</v>
      </c>
      <c r="N647" s="275">
        <v>644</v>
      </c>
      <c r="O647" s="275">
        <v>3110</v>
      </c>
      <c r="P647" s="275">
        <v>14</v>
      </c>
      <c r="Q647" s="275">
        <f t="shared" si="22"/>
        <v>644</v>
      </c>
    </row>
    <row r="648" spans="13:17" x14ac:dyDescent="0.3">
      <c r="M648" s="275">
        <f t="shared" si="21"/>
        <v>0</v>
      </c>
      <c r="N648" s="275">
        <v>645</v>
      </c>
      <c r="O648" s="275">
        <v>3110</v>
      </c>
      <c r="P648" s="275">
        <v>15</v>
      </c>
      <c r="Q648" s="275">
        <f t="shared" si="22"/>
        <v>645</v>
      </c>
    </row>
    <row r="649" spans="13:17" x14ac:dyDescent="0.3">
      <c r="M649" s="275">
        <f t="shared" si="21"/>
        <v>0</v>
      </c>
      <c r="N649" s="275">
        <v>646</v>
      </c>
      <c r="O649" s="275">
        <v>3110</v>
      </c>
      <c r="P649" s="275">
        <v>16</v>
      </c>
      <c r="Q649" s="275">
        <f t="shared" si="22"/>
        <v>646</v>
      </c>
    </row>
    <row r="650" spans="13:17" x14ac:dyDescent="0.3">
      <c r="M650" s="275">
        <f t="shared" si="21"/>
        <v>0</v>
      </c>
      <c r="N650" s="275">
        <v>647</v>
      </c>
      <c r="O650" s="275">
        <v>3110</v>
      </c>
      <c r="P650" s="275">
        <v>17</v>
      </c>
      <c r="Q650" s="275">
        <f t="shared" si="22"/>
        <v>647</v>
      </c>
    </row>
    <row r="651" spans="13:17" x14ac:dyDescent="0.3">
      <c r="M651" s="275">
        <f t="shared" si="21"/>
        <v>0</v>
      </c>
      <c r="N651" s="275">
        <v>648</v>
      </c>
      <c r="O651" s="275">
        <v>3110</v>
      </c>
      <c r="P651" s="275">
        <v>18</v>
      </c>
      <c r="Q651" s="275">
        <f t="shared" si="22"/>
        <v>648</v>
      </c>
    </row>
    <row r="652" spans="13:17" x14ac:dyDescent="0.3">
      <c r="M652" s="275">
        <f t="shared" si="21"/>
        <v>0</v>
      </c>
      <c r="N652" s="275">
        <v>649</v>
      </c>
      <c r="O652" s="275">
        <v>3110</v>
      </c>
      <c r="P652" s="275">
        <v>19</v>
      </c>
      <c r="Q652" s="275">
        <f t="shared" si="22"/>
        <v>649</v>
      </c>
    </row>
    <row r="653" spans="13:17" x14ac:dyDescent="0.3">
      <c r="M653" s="275">
        <f t="shared" si="21"/>
        <v>0</v>
      </c>
      <c r="N653" s="275">
        <v>650</v>
      </c>
      <c r="O653" s="275">
        <v>3110</v>
      </c>
      <c r="P653" s="275">
        <v>20</v>
      </c>
      <c r="Q653" s="275">
        <f t="shared" si="22"/>
        <v>650</v>
      </c>
    </row>
    <row r="654" spans="13:17" x14ac:dyDescent="0.3">
      <c r="M654" s="275">
        <f t="shared" si="21"/>
        <v>0</v>
      </c>
      <c r="N654" s="275">
        <v>651</v>
      </c>
      <c r="O654" s="275">
        <v>3110</v>
      </c>
      <c r="P654" s="275">
        <v>21</v>
      </c>
      <c r="Q654" s="275">
        <f t="shared" si="22"/>
        <v>651</v>
      </c>
    </row>
    <row r="655" spans="13:17" x14ac:dyDescent="0.3">
      <c r="M655" s="275">
        <f t="shared" si="21"/>
        <v>0</v>
      </c>
      <c r="N655" s="275">
        <v>652</v>
      </c>
      <c r="O655" s="275">
        <v>3110</v>
      </c>
      <c r="P655" s="275">
        <v>22</v>
      </c>
      <c r="Q655" s="275">
        <f t="shared" si="22"/>
        <v>652</v>
      </c>
    </row>
    <row r="656" spans="13:17" x14ac:dyDescent="0.3">
      <c r="M656" s="275">
        <f t="shared" si="21"/>
        <v>0</v>
      </c>
      <c r="N656" s="275">
        <v>653</v>
      </c>
      <c r="O656" s="275">
        <v>3110</v>
      </c>
      <c r="P656" s="275">
        <v>23</v>
      </c>
      <c r="Q656" s="275">
        <f t="shared" si="22"/>
        <v>653</v>
      </c>
    </row>
    <row r="657" spans="13:17" x14ac:dyDescent="0.3">
      <c r="M657" s="275">
        <f t="shared" si="21"/>
        <v>0</v>
      </c>
      <c r="N657" s="275">
        <v>654</v>
      </c>
      <c r="O657" s="275">
        <v>3110</v>
      </c>
      <c r="P657" s="275">
        <v>24</v>
      </c>
      <c r="Q657" s="275">
        <f t="shared" si="22"/>
        <v>654</v>
      </c>
    </row>
    <row r="658" spans="13:17" x14ac:dyDescent="0.3">
      <c r="M658" s="275">
        <f t="shared" si="21"/>
        <v>0</v>
      </c>
      <c r="N658" s="275">
        <v>655</v>
      </c>
      <c r="O658" s="275">
        <v>3110</v>
      </c>
      <c r="P658" s="275">
        <v>25</v>
      </c>
      <c r="Q658" s="275">
        <f t="shared" si="22"/>
        <v>655</v>
      </c>
    </row>
    <row r="659" spans="13:17" x14ac:dyDescent="0.3">
      <c r="M659" s="275">
        <f t="shared" si="21"/>
        <v>0</v>
      </c>
      <c r="N659" s="275">
        <v>656</v>
      </c>
      <c r="O659" s="275">
        <v>3120</v>
      </c>
      <c r="P659" s="275">
        <v>1</v>
      </c>
      <c r="Q659" s="275">
        <f t="shared" si="22"/>
        <v>656</v>
      </c>
    </row>
    <row r="660" spans="13:17" x14ac:dyDescent="0.3">
      <c r="M660" s="275">
        <f t="shared" si="21"/>
        <v>0</v>
      </c>
      <c r="N660" s="275">
        <v>657</v>
      </c>
      <c r="O660" s="275">
        <v>3120</v>
      </c>
      <c r="P660" s="275">
        <v>2</v>
      </c>
      <c r="Q660" s="275">
        <f t="shared" si="22"/>
        <v>657</v>
      </c>
    </row>
    <row r="661" spans="13:17" x14ac:dyDescent="0.3">
      <c r="M661" s="275">
        <f t="shared" si="21"/>
        <v>0</v>
      </c>
      <c r="N661" s="275">
        <v>658</v>
      </c>
      <c r="O661" s="275">
        <v>3120</v>
      </c>
      <c r="P661" s="275">
        <v>3</v>
      </c>
      <c r="Q661" s="275">
        <f t="shared" si="22"/>
        <v>658</v>
      </c>
    </row>
    <row r="662" spans="13:17" x14ac:dyDescent="0.3">
      <c r="M662" s="275">
        <f t="shared" si="21"/>
        <v>0</v>
      </c>
      <c r="N662" s="275">
        <v>659</v>
      </c>
      <c r="O662" s="275">
        <v>3120</v>
      </c>
      <c r="P662" s="275">
        <v>4</v>
      </c>
      <c r="Q662" s="275">
        <f t="shared" si="22"/>
        <v>659</v>
      </c>
    </row>
    <row r="663" spans="13:17" x14ac:dyDescent="0.3">
      <c r="M663" s="275">
        <f t="shared" si="21"/>
        <v>0</v>
      </c>
      <c r="N663" s="275">
        <v>660</v>
      </c>
      <c r="O663" s="275">
        <v>3120</v>
      </c>
      <c r="P663" s="275">
        <v>5</v>
      </c>
      <c r="Q663" s="275">
        <f t="shared" si="22"/>
        <v>660</v>
      </c>
    </row>
    <row r="664" spans="13:17" x14ac:dyDescent="0.3">
      <c r="M664" s="275">
        <f t="shared" si="21"/>
        <v>0</v>
      </c>
      <c r="N664" s="275">
        <v>661</v>
      </c>
      <c r="O664" s="275">
        <v>3120</v>
      </c>
      <c r="P664" s="275">
        <v>6</v>
      </c>
      <c r="Q664" s="275">
        <f t="shared" si="22"/>
        <v>661</v>
      </c>
    </row>
    <row r="665" spans="13:17" x14ac:dyDescent="0.3">
      <c r="M665" s="275">
        <f t="shared" si="21"/>
        <v>0</v>
      </c>
      <c r="N665" s="275">
        <v>662</v>
      </c>
      <c r="O665" s="275">
        <v>3120</v>
      </c>
      <c r="P665" s="275">
        <v>7</v>
      </c>
      <c r="Q665" s="275">
        <f t="shared" si="22"/>
        <v>662</v>
      </c>
    </row>
    <row r="666" spans="13:17" x14ac:dyDescent="0.3">
      <c r="M666" s="275">
        <f t="shared" si="21"/>
        <v>0</v>
      </c>
      <c r="N666" s="275">
        <v>663</v>
      </c>
      <c r="O666" s="275">
        <v>3120</v>
      </c>
      <c r="P666" s="275">
        <v>8</v>
      </c>
      <c r="Q666" s="275">
        <f t="shared" si="22"/>
        <v>663</v>
      </c>
    </row>
    <row r="667" spans="13:17" x14ac:dyDescent="0.3">
      <c r="M667" s="275">
        <f t="shared" si="21"/>
        <v>0</v>
      </c>
      <c r="N667" s="275">
        <v>664</v>
      </c>
      <c r="O667" s="275">
        <v>3120</v>
      </c>
      <c r="P667" s="275">
        <v>9</v>
      </c>
      <c r="Q667" s="275">
        <f t="shared" si="22"/>
        <v>664</v>
      </c>
    </row>
    <row r="668" spans="13:17" x14ac:dyDescent="0.3">
      <c r="M668" s="275">
        <f t="shared" si="21"/>
        <v>0</v>
      </c>
      <c r="N668" s="275">
        <v>665</v>
      </c>
      <c r="O668" s="275">
        <v>3120</v>
      </c>
      <c r="P668" s="275">
        <v>10</v>
      </c>
      <c r="Q668" s="275">
        <f t="shared" si="22"/>
        <v>665</v>
      </c>
    </row>
    <row r="669" spans="13:17" x14ac:dyDescent="0.3">
      <c r="M669" s="275">
        <f t="shared" si="21"/>
        <v>0</v>
      </c>
      <c r="N669" s="275">
        <v>666</v>
      </c>
      <c r="O669" s="275">
        <v>3120</v>
      </c>
      <c r="P669" s="275">
        <v>11</v>
      </c>
      <c r="Q669" s="275">
        <f t="shared" si="22"/>
        <v>666</v>
      </c>
    </row>
    <row r="670" spans="13:17" x14ac:dyDescent="0.3">
      <c r="M670" s="275">
        <f t="shared" si="21"/>
        <v>0</v>
      </c>
      <c r="N670" s="275">
        <v>667</v>
      </c>
      <c r="O670" s="275">
        <v>3120</v>
      </c>
      <c r="P670" s="275">
        <v>12</v>
      </c>
      <c r="Q670" s="275">
        <f t="shared" si="22"/>
        <v>667</v>
      </c>
    </row>
    <row r="671" spans="13:17" x14ac:dyDescent="0.3">
      <c r="M671" s="275">
        <f t="shared" si="21"/>
        <v>0</v>
      </c>
      <c r="N671" s="275">
        <v>668</v>
      </c>
      <c r="O671" s="275">
        <v>3120</v>
      </c>
      <c r="P671" s="275">
        <v>13</v>
      </c>
      <c r="Q671" s="275">
        <f t="shared" si="22"/>
        <v>668</v>
      </c>
    </row>
    <row r="672" spans="13:17" x14ac:dyDescent="0.3">
      <c r="M672" s="275">
        <f t="shared" si="21"/>
        <v>0</v>
      </c>
      <c r="N672" s="275">
        <v>669</v>
      </c>
      <c r="O672" s="275">
        <v>3120</v>
      </c>
      <c r="P672" s="275">
        <v>14</v>
      </c>
      <c r="Q672" s="275">
        <f t="shared" si="22"/>
        <v>669</v>
      </c>
    </row>
    <row r="673" spans="13:17" x14ac:dyDescent="0.3">
      <c r="M673" s="275">
        <f t="shared" si="21"/>
        <v>0</v>
      </c>
      <c r="N673" s="275">
        <v>670</v>
      </c>
      <c r="O673" s="275">
        <v>3120</v>
      </c>
      <c r="P673" s="275">
        <v>15</v>
      </c>
      <c r="Q673" s="275">
        <f t="shared" si="22"/>
        <v>670</v>
      </c>
    </row>
    <row r="674" spans="13:17" x14ac:dyDescent="0.3">
      <c r="M674" s="275">
        <f t="shared" si="21"/>
        <v>0</v>
      </c>
      <c r="N674" s="275">
        <v>671</v>
      </c>
      <c r="O674" s="275">
        <v>3120</v>
      </c>
      <c r="P674" s="275">
        <v>16</v>
      </c>
      <c r="Q674" s="275">
        <f t="shared" si="22"/>
        <v>671</v>
      </c>
    </row>
    <row r="675" spans="13:17" x14ac:dyDescent="0.3">
      <c r="M675" s="275">
        <f t="shared" si="21"/>
        <v>0</v>
      </c>
      <c r="N675" s="275">
        <v>672</v>
      </c>
      <c r="O675" s="275">
        <v>3120</v>
      </c>
      <c r="P675" s="275">
        <v>17</v>
      </c>
      <c r="Q675" s="275">
        <f t="shared" si="22"/>
        <v>672</v>
      </c>
    </row>
    <row r="676" spans="13:17" x14ac:dyDescent="0.3">
      <c r="M676" s="275">
        <f t="shared" si="21"/>
        <v>0</v>
      </c>
      <c r="N676" s="275">
        <v>673</v>
      </c>
      <c r="O676" s="275">
        <v>3120</v>
      </c>
      <c r="P676" s="275">
        <v>18</v>
      </c>
      <c r="Q676" s="275">
        <f t="shared" si="22"/>
        <v>673</v>
      </c>
    </row>
    <row r="677" spans="13:17" x14ac:dyDescent="0.3">
      <c r="M677" s="275">
        <f t="shared" si="21"/>
        <v>0</v>
      </c>
      <c r="N677" s="275">
        <v>674</v>
      </c>
      <c r="O677" s="275">
        <v>3120</v>
      </c>
      <c r="P677" s="275">
        <v>19</v>
      </c>
      <c r="Q677" s="275">
        <f t="shared" si="22"/>
        <v>674</v>
      </c>
    </row>
    <row r="678" spans="13:17" x14ac:dyDescent="0.3">
      <c r="M678" s="275">
        <f t="shared" si="21"/>
        <v>0</v>
      </c>
      <c r="N678" s="275">
        <v>675</v>
      </c>
      <c r="O678" s="275">
        <v>3120</v>
      </c>
      <c r="P678" s="275">
        <v>20</v>
      </c>
      <c r="Q678" s="275">
        <f t="shared" si="22"/>
        <v>675</v>
      </c>
    </row>
    <row r="679" spans="13:17" x14ac:dyDescent="0.3">
      <c r="M679" s="275">
        <f t="shared" si="21"/>
        <v>0</v>
      </c>
      <c r="N679" s="275">
        <v>676</v>
      </c>
      <c r="O679" s="275">
        <v>3120</v>
      </c>
      <c r="P679" s="275">
        <v>21</v>
      </c>
      <c r="Q679" s="275">
        <f t="shared" si="22"/>
        <v>676</v>
      </c>
    </row>
    <row r="680" spans="13:17" x14ac:dyDescent="0.3">
      <c r="M680" s="275">
        <f t="shared" si="21"/>
        <v>0</v>
      </c>
      <c r="N680" s="275">
        <v>677</v>
      </c>
      <c r="O680" s="275">
        <v>3120</v>
      </c>
      <c r="P680" s="275">
        <v>22</v>
      </c>
      <c r="Q680" s="275">
        <f t="shared" si="22"/>
        <v>677</v>
      </c>
    </row>
    <row r="681" spans="13:17" x14ac:dyDescent="0.3">
      <c r="M681" s="275">
        <f t="shared" si="21"/>
        <v>0</v>
      </c>
      <c r="N681" s="275">
        <v>678</v>
      </c>
      <c r="O681" s="275">
        <v>3120</v>
      </c>
      <c r="P681" s="275">
        <v>23</v>
      </c>
      <c r="Q681" s="275">
        <f t="shared" si="22"/>
        <v>678</v>
      </c>
    </row>
    <row r="682" spans="13:17" x14ac:dyDescent="0.3">
      <c r="M682" s="275">
        <f t="shared" si="21"/>
        <v>0</v>
      </c>
      <c r="N682" s="275">
        <v>679</v>
      </c>
      <c r="O682" s="275">
        <v>3120</v>
      </c>
      <c r="P682" s="275">
        <v>24</v>
      </c>
      <c r="Q682" s="275">
        <f t="shared" si="22"/>
        <v>679</v>
      </c>
    </row>
    <row r="683" spans="13:17" x14ac:dyDescent="0.3">
      <c r="M683" s="275">
        <f t="shared" si="21"/>
        <v>0</v>
      </c>
      <c r="N683" s="275">
        <v>680</v>
      </c>
      <c r="O683" s="275">
        <v>3120</v>
      </c>
      <c r="P683" s="275">
        <v>25</v>
      </c>
      <c r="Q683" s="275">
        <f t="shared" si="22"/>
        <v>680</v>
      </c>
    </row>
    <row r="684" spans="13:17" x14ac:dyDescent="0.3">
      <c r="M684" s="275">
        <f t="shared" si="21"/>
        <v>0</v>
      </c>
      <c r="N684" s="275">
        <v>681</v>
      </c>
      <c r="O684" s="275">
        <v>3130</v>
      </c>
      <c r="P684" s="275">
        <v>1</v>
      </c>
      <c r="Q684" s="275">
        <f t="shared" si="22"/>
        <v>681</v>
      </c>
    </row>
    <row r="685" spans="13:17" x14ac:dyDescent="0.3">
      <c r="M685" s="275">
        <f t="shared" si="21"/>
        <v>0</v>
      </c>
      <c r="N685" s="275">
        <v>682</v>
      </c>
      <c r="O685" s="275">
        <v>3130</v>
      </c>
      <c r="P685" s="275">
        <v>2</v>
      </c>
      <c r="Q685" s="275">
        <f t="shared" si="22"/>
        <v>682</v>
      </c>
    </row>
    <row r="686" spans="13:17" x14ac:dyDescent="0.3">
      <c r="M686" s="275">
        <f t="shared" si="21"/>
        <v>0</v>
      </c>
      <c r="N686" s="275">
        <v>683</v>
      </c>
      <c r="O686" s="275">
        <v>3130</v>
      </c>
      <c r="P686" s="275">
        <v>3</v>
      </c>
      <c r="Q686" s="275">
        <f t="shared" si="22"/>
        <v>683</v>
      </c>
    </row>
    <row r="687" spans="13:17" x14ac:dyDescent="0.3">
      <c r="M687" s="275">
        <f t="shared" si="21"/>
        <v>0</v>
      </c>
      <c r="N687" s="275">
        <v>684</v>
      </c>
      <c r="O687" s="275">
        <v>3130</v>
      </c>
      <c r="P687" s="275">
        <v>4</v>
      </c>
      <c r="Q687" s="275">
        <f t="shared" si="22"/>
        <v>684</v>
      </c>
    </row>
    <row r="688" spans="13:17" x14ac:dyDescent="0.3">
      <c r="M688" s="275">
        <f t="shared" si="21"/>
        <v>0</v>
      </c>
      <c r="N688" s="275">
        <v>685</v>
      </c>
      <c r="O688" s="275">
        <v>3130</v>
      </c>
      <c r="P688" s="275">
        <v>5</v>
      </c>
      <c r="Q688" s="275">
        <f t="shared" si="22"/>
        <v>685</v>
      </c>
    </row>
    <row r="689" spans="13:17" x14ac:dyDescent="0.3">
      <c r="M689" s="275">
        <f t="shared" si="21"/>
        <v>0</v>
      </c>
      <c r="N689" s="275">
        <v>686</v>
      </c>
      <c r="O689" s="275">
        <v>3130</v>
      </c>
      <c r="P689" s="275">
        <v>6</v>
      </c>
      <c r="Q689" s="275">
        <f t="shared" si="22"/>
        <v>686</v>
      </c>
    </row>
    <row r="690" spans="13:17" x14ac:dyDescent="0.3">
      <c r="M690" s="275">
        <f t="shared" si="21"/>
        <v>0</v>
      </c>
      <c r="N690" s="275">
        <v>687</v>
      </c>
      <c r="O690" s="275">
        <v>3130</v>
      </c>
      <c r="P690" s="275">
        <v>7</v>
      </c>
      <c r="Q690" s="275">
        <f t="shared" si="22"/>
        <v>687</v>
      </c>
    </row>
    <row r="691" spans="13:17" x14ac:dyDescent="0.3">
      <c r="M691" s="275">
        <f t="shared" si="21"/>
        <v>0</v>
      </c>
      <c r="N691" s="275">
        <v>688</v>
      </c>
      <c r="O691" s="275">
        <v>3130</v>
      </c>
      <c r="P691" s="275">
        <v>8</v>
      </c>
      <c r="Q691" s="275">
        <f t="shared" si="22"/>
        <v>688</v>
      </c>
    </row>
    <row r="692" spans="13:17" x14ac:dyDescent="0.3">
      <c r="M692" s="275">
        <f t="shared" si="21"/>
        <v>0</v>
      </c>
      <c r="N692" s="275">
        <v>689</v>
      </c>
      <c r="O692" s="275">
        <v>3130</v>
      </c>
      <c r="P692" s="275">
        <v>9</v>
      </c>
      <c r="Q692" s="275">
        <f t="shared" si="22"/>
        <v>689</v>
      </c>
    </row>
    <row r="693" spans="13:17" x14ac:dyDescent="0.3">
      <c r="M693" s="275">
        <f t="shared" si="21"/>
        <v>0</v>
      </c>
      <c r="N693" s="275">
        <v>690</v>
      </c>
      <c r="O693" s="275">
        <v>3130</v>
      </c>
      <c r="P693" s="275">
        <v>10</v>
      </c>
      <c r="Q693" s="275">
        <f t="shared" si="22"/>
        <v>690</v>
      </c>
    </row>
    <row r="694" spans="13:17" x14ac:dyDescent="0.3">
      <c r="M694" s="275">
        <f t="shared" si="21"/>
        <v>0</v>
      </c>
      <c r="N694" s="275">
        <v>691</v>
      </c>
      <c r="O694" s="275">
        <v>3130</v>
      </c>
      <c r="P694" s="275">
        <v>11</v>
      </c>
      <c r="Q694" s="275">
        <f t="shared" si="22"/>
        <v>691</v>
      </c>
    </row>
    <row r="695" spans="13:17" x14ac:dyDescent="0.3">
      <c r="M695" s="275">
        <f t="shared" si="21"/>
        <v>0</v>
      </c>
      <c r="N695" s="275">
        <v>692</v>
      </c>
      <c r="O695" s="275">
        <v>3130</v>
      </c>
      <c r="P695" s="275">
        <v>12</v>
      </c>
      <c r="Q695" s="275">
        <f t="shared" si="22"/>
        <v>692</v>
      </c>
    </row>
    <row r="696" spans="13:17" x14ac:dyDescent="0.3">
      <c r="M696" s="275">
        <f t="shared" si="21"/>
        <v>0</v>
      </c>
      <c r="N696" s="275">
        <v>693</v>
      </c>
      <c r="O696" s="275">
        <v>3130</v>
      </c>
      <c r="P696" s="275">
        <v>13</v>
      </c>
      <c r="Q696" s="275">
        <f t="shared" si="22"/>
        <v>693</v>
      </c>
    </row>
    <row r="697" spans="13:17" x14ac:dyDescent="0.3">
      <c r="M697" s="275">
        <f t="shared" si="21"/>
        <v>0</v>
      </c>
      <c r="N697" s="275">
        <v>694</v>
      </c>
      <c r="O697" s="275">
        <v>3130</v>
      </c>
      <c r="P697" s="275">
        <v>14</v>
      </c>
      <c r="Q697" s="275">
        <f t="shared" si="22"/>
        <v>694</v>
      </c>
    </row>
    <row r="698" spans="13:17" x14ac:dyDescent="0.3">
      <c r="M698" s="275">
        <f t="shared" si="21"/>
        <v>0</v>
      </c>
      <c r="N698" s="275">
        <v>695</v>
      </c>
      <c r="O698" s="275">
        <v>3130</v>
      </c>
      <c r="P698" s="275">
        <v>15</v>
      </c>
      <c r="Q698" s="275">
        <f t="shared" si="22"/>
        <v>695</v>
      </c>
    </row>
    <row r="699" spans="13:17" x14ac:dyDescent="0.3">
      <c r="M699" s="275">
        <f t="shared" si="21"/>
        <v>0</v>
      </c>
      <c r="N699" s="275">
        <v>696</v>
      </c>
      <c r="O699" s="275">
        <v>3130</v>
      </c>
      <c r="P699" s="275">
        <v>16</v>
      </c>
      <c r="Q699" s="275">
        <f t="shared" si="22"/>
        <v>696</v>
      </c>
    </row>
    <row r="700" spans="13:17" x14ac:dyDescent="0.3">
      <c r="M700" s="275">
        <f t="shared" si="21"/>
        <v>0</v>
      </c>
      <c r="N700" s="275">
        <v>697</v>
      </c>
      <c r="O700" s="275">
        <v>3130</v>
      </c>
      <c r="P700" s="275">
        <v>17</v>
      </c>
      <c r="Q700" s="275">
        <f t="shared" si="22"/>
        <v>697</v>
      </c>
    </row>
    <row r="701" spans="13:17" x14ac:dyDescent="0.3">
      <c r="M701" s="275">
        <f t="shared" si="21"/>
        <v>0</v>
      </c>
      <c r="N701" s="275">
        <v>698</v>
      </c>
      <c r="O701" s="275">
        <v>3130</v>
      </c>
      <c r="P701" s="275">
        <v>18</v>
      </c>
      <c r="Q701" s="275">
        <f t="shared" si="22"/>
        <v>698</v>
      </c>
    </row>
    <row r="702" spans="13:17" x14ac:dyDescent="0.3">
      <c r="M702" s="275">
        <f t="shared" si="21"/>
        <v>0</v>
      </c>
      <c r="N702" s="275">
        <v>699</v>
      </c>
      <c r="O702" s="275">
        <v>3130</v>
      </c>
      <c r="P702" s="275">
        <v>19</v>
      </c>
      <c r="Q702" s="275">
        <f t="shared" si="22"/>
        <v>699</v>
      </c>
    </row>
    <row r="703" spans="13:17" x14ac:dyDescent="0.3">
      <c r="M703" s="275">
        <f t="shared" si="21"/>
        <v>0</v>
      </c>
      <c r="N703" s="275">
        <v>700</v>
      </c>
      <c r="O703" s="275">
        <v>3130</v>
      </c>
      <c r="P703" s="275">
        <v>20</v>
      </c>
      <c r="Q703" s="275">
        <f t="shared" si="22"/>
        <v>700</v>
      </c>
    </row>
    <row r="704" spans="13:17" x14ac:dyDescent="0.3">
      <c r="M704" s="275">
        <f t="shared" si="21"/>
        <v>0</v>
      </c>
      <c r="N704" s="275">
        <v>701</v>
      </c>
      <c r="O704" s="275">
        <v>3130</v>
      </c>
      <c r="P704" s="275">
        <v>21</v>
      </c>
      <c r="Q704" s="275">
        <f t="shared" si="22"/>
        <v>701</v>
      </c>
    </row>
    <row r="705" spans="13:17" x14ac:dyDescent="0.3">
      <c r="M705" s="275">
        <f t="shared" si="21"/>
        <v>0</v>
      </c>
      <c r="N705" s="275">
        <v>702</v>
      </c>
      <c r="O705" s="275">
        <v>3130</v>
      </c>
      <c r="P705" s="275">
        <v>22</v>
      </c>
      <c r="Q705" s="275">
        <f t="shared" si="22"/>
        <v>702</v>
      </c>
    </row>
    <row r="706" spans="13:17" x14ac:dyDescent="0.3">
      <c r="M706" s="275">
        <f t="shared" si="21"/>
        <v>0</v>
      </c>
      <c r="N706" s="275">
        <v>703</v>
      </c>
      <c r="O706" s="275">
        <v>3130</v>
      </c>
      <c r="P706" s="275">
        <v>23</v>
      </c>
      <c r="Q706" s="275">
        <f t="shared" si="22"/>
        <v>703</v>
      </c>
    </row>
    <row r="707" spans="13:17" x14ac:dyDescent="0.3">
      <c r="M707" s="275">
        <f t="shared" si="21"/>
        <v>0</v>
      </c>
      <c r="N707" s="275">
        <v>704</v>
      </c>
      <c r="O707" s="275">
        <v>3130</v>
      </c>
      <c r="P707" s="275">
        <v>24</v>
      </c>
      <c r="Q707" s="275">
        <f t="shared" si="22"/>
        <v>704</v>
      </c>
    </row>
    <row r="708" spans="13:17" x14ac:dyDescent="0.3">
      <c r="M708" s="275">
        <f t="shared" si="21"/>
        <v>0</v>
      </c>
      <c r="N708" s="275">
        <v>705</v>
      </c>
      <c r="O708" s="275">
        <v>3130</v>
      </c>
      <c r="P708" s="275">
        <v>25</v>
      </c>
      <c r="Q708" s="275">
        <f t="shared" si="22"/>
        <v>705</v>
      </c>
    </row>
    <row r="709" spans="13:17" x14ac:dyDescent="0.3">
      <c r="M709" s="275">
        <f t="shared" ref="M709:M772" si="23">J709</f>
        <v>0</v>
      </c>
      <c r="N709" s="275">
        <v>706</v>
      </c>
      <c r="O709" s="275">
        <v>3140</v>
      </c>
      <c r="P709" s="275">
        <v>1</v>
      </c>
      <c r="Q709" s="275">
        <f t="shared" ref="Q709:Q772" si="24">N709</f>
        <v>706</v>
      </c>
    </row>
    <row r="710" spans="13:17" x14ac:dyDescent="0.3">
      <c r="M710" s="275">
        <f t="shared" si="23"/>
        <v>0</v>
      </c>
      <c r="N710" s="275">
        <v>707</v>
      </c>
      <c r="O710" s="275">
        <v>3140</v>
      </c>
      <c r="P710" s="275">
        <v>2</v>
      </c>
      <c r="Q710" s="275">
        <f t="shared" si="24"/>
        <v>707</v>
      </c>
    </row>
    <row r="711" spans="13:17" x14ac:dyDescent="0.3">
      <c r="M711" s="275">
        <f t="shared" si="23"/>
        <v>0</v>
      </c>
      <c r="N711" s="275">
        <v>708</v>
      </c>
      <c r="O711" s="275">
        <v>3140</v>
      </c>
      <c r="P711" s="275">
        <v>3</v>
      </c>
      <c r="Q711" s="275">
        <f t="shared" si="24"/>
        <v>708</v>
      </c>
    </row>
    <row r="712" spans="13:17" x14ac:dyDescent="0.3">
      <c r="M712" s="275">
        <f t="shared" si="23"/>
        <v>0</v>
      </c>
      <c r="N712" s="275">
        <v>709</v>
      </c>
      <c r="O712" s="275">
        <v>3140</v>
      </c>
      <c r="P712" s="275">
        <v>4</v>
      </c>
      <c r="Q712" s="275">
        <f t="shared" si="24"/>
        <v>709</v>
      </c>
    </row>
    <row r="713" spans="13:17" x14ac:dyDescent="0.3">
      <c r="M713" s="275">
        <f t="shared" si="23"/>
        <v>0</v>
      </c>
      <c r="N713" s="275">
        <v>710</v>
      </c>
      <c r="O713" s="275">
        <v>3140</v>
      </c>
      <c r="P713" s="275">
        <v>5</v>
      </c>
      <c r="Q713" s="275">
        <f t="shared" si="24"/>
        <v>710</v>
      </c>
    </row>
    <row r="714" spans="13:17" x14ac:dyDescent="0.3">
      <c r="M714" s="275">
        <f t="shared" si="23"/>
        <v>0</v>
      </c>
      <c r="N714" s="275">
        <v>711</v>
      </c>
      <c r="O714" s="275">
        <v>3140</v>
      </c>
      <c r="P714" s="275">
        <v>6</v>
      </c>
      <c r="Q714" s="275">
        <f t="shared" si="24"/>
        <v>711</v>
      </c>
    </row>
    <row r="715" spans="13:17" x14ac:dyDescent="0.3">
      <c r="M715" s="275">
        <f t="shared" si="23"/>
        <v>0</v>
      </c>
      <c r="N715" s="275">
        <v>712</v>
      </c>
      <c r="O715" s="275">
        <v>3140</v>
      </c>
      <c r="P715" s="275">
        <v>7</v>
      </c>
      <c r="Q715" s="275">
        <f t="shared" si="24"/>
        <v>712</v>
      </c>
    </row>
    <row r="716" spans="13:17" x14ac:dyDescent="0.3">
      <c r="M716" s="275">
        <f t="shared" si="23"/>
        <v>0</v>
      </c>
      <c r="N716" s="275">
        <v>713</v>
      </c>
      <c r="O716" s="275">
        <v>3140</v>
      </c>
      <c r="P716" s="275">
        <v>8</v>
      </c>
      <c r="Q716" s="275">
        <f t="shared" si="24"/>
        <v>713</v>
      </c>
    </row>
    <row r="717" spans="13:17" x14ac:dyDescent="0.3">
      <c r="M717" s="275">
        <f t="shared" si="23"/>
        <v>0</v>
      </c>
      <c r="N717" s="275">
        <v>714</v>
      </c>
      <c r="O717" s="275">
        <v>3140</v>
      </c>
      <c r="P717" s="275">
        <v>9</v>
      </c>
      <c r="Q717" s="275">
        <f t="shared" si="24"/>
        <v>714</v>
      </c>
    </row>
    <row r="718" spans="13:17" x14ac:dyDescent="0.3">
      <c r="M718" s="275">
        <f t="shared" si="23"/>
        <v>0</v>
      </c>
      <c r="N718" s="275">
        <v>715</v>
      </c>
      <c r="O718" s="275">
        <v>3140</v>
      </c>
      <c r="P718" s="275">
        <v>10</v>
      </c>
      <c r="Q718" s="275">
        <f t="shared" si="24"/>
        <v>715</v>
      </c>
    </row>
    <row r="719" spans="13:17" x14ac:dyDescent="0.3">
      <c r="M719" s="275">
        <f t="shared" si="23"/>
        <v>0</v>
      </c>
      <c r="N719" s="275">
        <v>716</v>
      </c>
      <c r="O719" s="275">
        <v>3140</v>
      </c>
      <c r="P719" s="275">
        <v>11</v>
      </c>
      <c r="Q719" s="275">
        <f t="shared" si="24"/>
        <v>716</v>
      </c>
    </row>
    <row r="720" spans="13:17" x14ac:dyDescent="0.3">
      <c r="M720" s="275">
        <f t="shared" si="23"/>
        <v>0</v>
      </c>
      <c r="N720" s="275">
        <v>717</v>
      </c>
      <c r="O720" s="275">
        <v>3140</v>
      </c>
      <c r="P720" s="275">
        <v>12</v>
      </c>
      <c r="Q720" s="275">
        <f t="shared" si="24"/>
        <v>717</v>
      </c>
    </row>
    <row r="721" spans="13:17" x14ac:dyDescent="0.3">
      <c r="M721" s="275">
        <f t="shared" si="23"/>
        <v>0</v>
      </c>
      <c r="N721" s="275">
        <v>718</v>
      </c>
      <c r="O721" s="275">
        <v>3140</v>
      </c>
      <c r="P721" s="275">
        <v>13</v>
      </c>
      <c r="Q721" s="275">
        <f t="shared" si="24"/>
        <v>718</v>
      </c>
    </row>
    <row r="722" spans="13:17" x14ac:dyDescent="0.3">
      <c r="M722" s="275">
        <f t="shared" si="23"/>
        <v>0</v>
      </c>
      <c r="N722" s="275">
        <v>719</v>
      </c>
      <c r="O722" s="275">
        <v>3140</v>
      </c>
      <c r="P722" s="275">
        <v>14</v>
      </c>
      <c r="Q722" s="275">
        <f t="shared" si="24"/>
        <v>719</v>
      </c>
    </row>
    <row r="723" spans="13:17" x14ac:dyDescent="0.3">
      <c r="M723" s="275">
        <f t="shared" si="23"/>
        <v>0</v>
      </c>
      <c r="N723" s="275">
        <v>720</v>
      </c>
      <c r="O723" s="275">
        <v>3140</v>
      </c>
      <c r="P723" s="275">
        <v>15</v>
      </c>
      <c r="Q723" s="275">
        <f t="shared" si="24"/>
        <v>720</v>
      </c>
    </row>
    <row r="724" spans="13:17" x14ac:dyDescent="0.3">
      <c r="M724" s="275">
        <f t="shared" si="23"/>
        <v>0</v>
      </c>
      <c r="N724" s="275">
        <v>721</v>
      </c>
      <c r="O724" s="275">
        <v>3140</v>
      </c>
      <c r="P724" s="275">
        <v>16</v>
      </c>
      <c r="Q724" s="275">
        <f t="shared" si="24"/>
        <v>721</v>
      </c>
    </row>
    <row r="725" spans="13:17" x14ac:dyDescent="0.3">
      <c r="M725" s="275">
        <f t="shared" si="23"/>
        <v>0</v>
      </c>
      <c r="N725" s="275">
        <v>722</v>
      </c>
      <c r="O725" s="275">
        <v>3140</v>
      </c>
      <c r="P725" s="275">
        <v>17</v>
      </c>
      <c r="Q725" s="275">
        <f t="shared" si="24"/>
        <v>722</v>
      </c>
    </row>
    <row r="726" spans="13:17" x14ac:dyDescent="0.3">
      <c r="M726" s="275">
        <f t="shared" si="23"/>
        <v>0</v>
      </c>
      <c r="N726" s="275">
        <v>723</v>
      </c>
      <c r="O726" s="275">
        <v>3140</v>
      </c>
      <c r="P726" s="275">
        <v>18</v>
      </c>
      <c r="Q726" s="275">
        <f t="shared" si="24"/>
        <v>723</v>
      </c>
    </row>
    <row r="727" spans="13:17" x14ac:dyDescent="0.3">
      <c r="M727" s="275">
        <f t="shared" si="23"/>
        <v>0</v>
      </c>
      <c r="N727" s="275">
        <v>724</v>
      </c>
      <c r="O727" s="275">
        <v>3140</v>
      </c>
      <c r="P727" s="275">
        <v>19</v>
      </c>
      <c r="Q727" s="275">
        <f t="shared" si="24"/>
        <v>724</v>
      </c>
    </row>
    <row r="728" spans="13:17" x14ac:dyDescent="0.3">
      <c r="M728" s="275">
        <f t="shared" si="23"/>
        <v>0</v>
      </c>
      <c r="N728" s="275">
        <v>725</v>
      </c>
      <c r="O728" s="275">
        <v>3140</v>
      </c>
      <c r="P728" s="275">
        <v>20</v>
      </c>
      <c r="Q728" s="275">
        <f t="shared" si="24"/>
        <v>725</v>
      </c>
    </row>
    <row r="729" spans="13:17" x14ac:dyDescent="0.3">
      <c r="M729" s="275">
        <f t="shared" si="23"/>
        <v>0</v>
      </c>
      <c r="N729" s="275">
        <v>726</v>
      </c>
      <c r="O729" s="275">
        <v>3140</v>
      </c>
      <c r="P729" s="275">
        <v>21</v>
      </c>
      <c r="Q729" s="275">
        <f t="shared" si="24"/>
        <v>726</v>
      </c>
    </row>
    <row r="730" spans="13:17" x14ac:dyDescent="0.3">
      <c r="M730" s="275">
        <f t="shared" si="23"/>
        <v>0</v>
      </c>
      <c r="N730" s="275">
        <v>727</v>
      </c>
      <c r="O730" s="275">
        <v>3140</v>
      </c>
      <c r="P730" s="275">
        <v>22</v>
      </c>
      <c r="Q730" s="275">
        <f t="shared" si="24"/>
        <v>727</v>
      </c>
    </row>
    <row r="731" spans="13:17" x14ac:dyDescent="0.3">
      <c r="M731" s="275">
        <f t="shared" si="23"/>
        <v>0</v>
      </c>
      <c r="N731" s="275">
        <v>728</v>
      </c>
      <c r="O731" s="275">
        <v>3140</v>
      </c>
      <c r="P731" s="275">
        <v>23</v>
      </c>
      <c r="Q731" s="275">
        <f t="shared" si="24"/>
        <v>728</v>
      </c>
    </row>
    <row r="732" spans="13:17" x14ac:dyDescent="0.3">
      <c r="M732" s="275">
        <f t="shared" si="23"/>
        <v>0</v>
      </c>
      <c r="N732" s="275">
        <v>729</v>
      </c>
      <c r="O732" s="275">
        <v>3140</v>
      </c>
      <c r="P732" s="275">
        <v>24</v>
      </c>
      <c r="Q732" s="275">
        <f t="shared" si="24"/>
        <v>729</v>
      </c>
    </row>
    <row r="733" spans="13:17" x14ac:dyDescent="0.3">
      <c r="M733" s="275">
        <f t="shared" si="23"/>
        <v>0</v>
      </c>
      <c r="N733" s="275">
        <v>730</v>
      </c>
      <c r="O733" s="275">
        <v>3140</v>
      </c>
      <c r="P733" s="275">
        <v>25</v>
      </c>
      <c r="Q733" s="275">
        <f t="shared" si="24"/>
        <v>730</v>
      </c>
    </row>
    <row r="734" spans="13:17" x14ac:dyDescent="0.3">
      <c r="M734" s="275">
        <f t="shared" si="23"/>
        <v>0</v>
      </c>
      <c r="N734" s="275">
        <v>731</v>
      </c>
      <c r="O734" s="275">
        <v>3150</v>
      </c>
      <c r="P734" s="275">
        <v>1</v>
      </c>
      <c r="Q734" s="275">
        <f t="shared" si="24"/>
        <v>731</v>
      </c>
    </row>
    <row r="735" spans="13:17" x14ac:dyDescent="0.3">
      <c r="M735" s="275">
        <f t="shared" si="23"/>
        <v>0</v>
      </c>
      <c r="N735" s="275">
        <v>732</v>
      </c>
      <c r="O735" s="275">
        <v>3150</v>
      </c>
      <c r="P735" s="275">
        <v>2</v>
      </c>
      <c r="Q735" s="275">
        <f t="shared" si="24"/>
        <v>732</v>
      </c>
    </row>
    <row r="736" spans="13:17" x14ac:dyDescent="0.3">
      <c r="M736" s="275">
        <f t="shared" si="23"/>
        <v>0</v>
      </c>
      <c r="N736" s="275">
        <v>733</v>
      </c>
      <c r="O736" s="275">
        <v>3150</v>
      </c>
      <c r="P736" s="275">
        <v>3</v>
      </c>
      <c r="Q736" s="275">
        <f t="shared" si="24"/>
        <v>733</v>
      </c>
    </row>
    <row r="737" spans="13:17" x14ac:dyDescent="0.3">
      <c r="M737" s="275">
        <f t="shared" si="23"/>
        <v>0</v>
      </c>
      <c r="N737" s="275">
        <v>734</v>
      </c>
      <c r="O737" s="275">
        <v>3150</v>
      </c>
      <c r="P737" s="275">
        <v>4</v>
      </c>
      <c r="Q737" s="275">
        <f t="shared" si="24"/>
        <v>734</v>
      </c>
    </row>
    <row r="738" spans="13:17" x14ac:dyDescent="0.3">
      <c r="M738" s="275">
        <f t="shared" si="23"/>
        <v>0</v>
      </c>
      <c r="N738" s="275">
        <v>735</v>
      </c>
      <c r="O738" s="275">
        <v>3150</v>
      </c>
      <c r="P738" s="275">
        <v>5</v>
      </c>
      <c r="Q738" s="275">
        <f t="shared" si="24"/>
        <v>735</v>
      </c>
    </row>
    <row r="739" spans="13:17" x14ac:dyDescent="0.3">
      <c r="M739" s="275">
        <f t="shared" si="23"/>
        <v>0</v>
      </c>
      <c r="N739" s="275">
        <v>736</v>
      </c>
      <c r="O739" s="275">
        <v>3150</v>
      </c>
      <c r="P739" s="275">
        <v>6</v>
      </c>
      <c r="Q739" s="275">
        <f t="shared" si="24"/>
        <v>736</v>
      </c>
    </row>
    <row r="740" spans="13:17" x14ac:dyDescent="0.3">
      <c r="M740" s="275">
        <f t="shared" si="23"/>
        <v>0</v>
      </c>
      <c r="N740" s="275">
        <v>737</v>
      </c>
      <c r="O740" s="275">
        <v>3150</v>
      </c>
      <c r="P740" s="275">
        <v>7</v>
      </c>
      <c r="Q740" s="275">
        <f t="shared" si="24"/>
        <v>737</v>
      </c>
    </row>
    <row r="741" spans="13:17" x14ac:dyDescent="0.3">
      <c r="M741" s="275">
        <f t="shared" si="23"/>
        <v>0</v>
      </c>
      <c r="N741" s="275">
        <v>738</v>
      </c>
      <c r="O741" s="275">
        <v>3150</v>
      </c>
      <c r="P741" s="275">
        <v>8</v>
      </c>
      <c r="Q741" s="275">
        <f t="shared" si="24"/>
        <v>738</v>
      </c>
    </row>
    <row r="742" spans="13:17" x14ac:dyDescent="0.3">
      <c r="M742" s="275">
        <f t="shared" si="23"/>
        <v>0</v>
      </c>
      <c r="N742" s="275">
        <v>739</v>
      </c>
      <c r="O742" s="275">
        <v>3150</v>
      </c>
      <c r="P742" s="275">
        <v>9</v>
      </c>
      <c r="Q742" s="275">
        <f t="shared" si="24"/>
        <v>739</v>
      </c>
    </row>
    <row r="743" spans="13:17" x14ac:dyDescent="0.3">
      <c r="M743" s="275">
        <f t="shared" si="23"/>
        <v>0</v>
      </c>
      <c r="N743" s="275">
        <v>740</v>
      </c>
      <c r="O743" s="275">
        <v>3150</v>
      </c>
      <c r="P743" s="275">
        <v>10</v>
      </c>
      <c r="Q743" s="275">
        <f t="shared" si="24"/>
        <v>740</v>
      </c>
    </row>
    <row r="744" spans="13:17" x14ac:dyDescent="0.3">
      <c r="M744" s="275">
        <f t="shared" si="23"/>
        <v>0</v>
      </c>
      <c r="N744" s="275">
        <v>741</v>
      </c>
      <c r="O744" s="275">
        <v>3150</v>
      </c>
      <c r="P744" s="275">
        <v>11</v>
      </c>
      <c r="Q744" s="275">
        <f t="shared" si="24"/>
        <v>741</v>
      </c>
    </row>
    <row r="745" spans="13:17" x14ac:dyDescent="0.3">
      <c r="M745" s="275">
        <f t="shared" si="23"/>
        <v>0</v>
      </c>
      <c r="N745" s="275">
        <v>742</v>
      </c>
      <c r="O745" s="275">
        <v>3150</v>
      </c>
      <c r="P745" s="275">
        <v>12</v>
      </c>
      <c r="Q745" s="275">
        <f t="shared" si="24"/>
        <v>742</v>
      </c>
    </row>
    <row r="746" spans="13:17" x14ac:dyDescent="0.3">
      <c r="M746" s="275">
        <f t="shared" si="23"/>
        <v>0</v>
      </c>
      <c r="N746" s="275">
        <v>743</v>
      </c>
      <c r="O746" s="275">
        <v>3150</v>
      </c>
      <c r="P746" s="275">
        <v>13</v>
      </c>
      <c r="Q746" s="275">
        <f t="shared" si="24"/>
        <v>743</v>
      </c>
    </row>
    <row r="747" spans="13:17" x14ac:dyDescent="0.3">
      <c r="M747" s="275">
        <f t="shared" si="23"/>
        <v>0</v>
      </c>
      <c r="N747" s="275">
        <v>744</v>
      </c>
      <c r="O747" s="275">
        <v>3150</v>
      </c>
      <c r="P747" s="275">
        <v>14</v>
      </c>
      <c r="Q747" s="275">
        <f t="shared" si="24"/>
        <v>744</v>
      </c>
    </row>
    <row r="748" spans="13:17" x14ac:dyDescent="0.3">
      <c r="M748" s="275">
        <f t="shared" si="23"/>
        <v>0</v>
      </c>
      <c r="N748" s="275">
        <v>745</v>
      </c>
      <c r="O748" s="275">
        <v>3150</v>
      </c>
      <c r="P748" s="275">
        <v>15</v>
      </c>
      <c r="Q748" s="275">
        <f t="shared" si="24"/>
        <v>745</v>
      </c>
    </row>
    <row r="749" spans="13:17" x14ac:dyDescent="0.3">
      <c r="M749" s="275">
        <f t="shared" si="23"/>
        <v>0</v>
      </c>
      <c r="N749" s="275">
        <v>746</v>
      </c>
      <c r="O749" s="275">
        <v>3150</v>
      </c>
      <c r="P749" s="275">
        <v>16</v>
      </c>
      <c r="Q749" s="275">
        <f t="shared" si="24"/>
        <v>746</v>
      </c>
    </row>
    <row r="750" spans="13:17" x14ac:dyDescent="0.3">
      <c r="M750" s="275">
        <f t="shared" si="23"/>
        <v>0</v>
      </c>
      <c r="N750" s="275">
        <v>747</v>
      </c>
      <c r="O750" s="275">
        <v>3150</v>
      </c>
      <c r="P750" s="275">
        <v>17</v>
      </c>
      <c r="Q750" s="275">
        <f t="shared" si="24"/>
        <v>747</v>
      </c>
    </row>
    <row r="751" spans="13:17" x14ac:dyDescent="0.3">
      <c r="M751" s="275">
        <f t="shared" si="23"/>
        <v>0</v>
      </c>
      <c r="N751" s="275">
        <v>748</v>
      </c>
      <c r="O751" s="275">
        <v>3150</v>
      </c>
      <c r="P751" s="275">
        <v>18</v>
      </c>
      <c r="Q751" s="275">
        <f t="shared" si="24"/>
        <v>748</v>
      </c>
    </row>
    <row r="752" spans="13:17" x14ac:dyDescent="0.3">
      <c r="M752" s="275">
        <f t="shared" si="23"/>
        <v>0</v>
      </c>
      <c r="N752" s="275">
        <v>749</v>
      </c>
      <c r="O752" s="275">
        <v>3150</v>
      </c>
      <c r="P752" s="275">
        <v>19</v>
      </c>
      <c r="Q752" s="275">
        <f t="shared" si="24"/>
        <v>749</v>
      </c>
    </row>
    <row r="753" spans="13:17" x14ac:dyDescent="0.3">
      <c r="M753" s="275">
        <f t="shared" si="23"/>
        <v>0</v>
      </c>
      <c r="N753" s="275">
        <v>750</v>
      </c>
      <c r="O753" s="275">
        <v>3150</v>
      </c>
      <c r="P753" s="275">
        <v>20</v>
      </c>
      <c r="Q753" s="275">
        <f t="shared" si="24"/>
        <v>750</v>
      </c>
    </row>
    <row r="754" spans="13:17" x14ac:dyDescent="0.3">
      <c r="M754" s="275">
        <f t="shared" si="23"/>
        <v>0</v>
      </c>
      <c r="N754" s="275">
        <v>751</v>
      </c>
      <c r="O754" s="275">
        <v>3150</v>
      </c>
      <c r="P754" s="275">
        <v>21</v>
      </c>
      <c r="Q754" s="275">
        <f t="shared" si="24"/>
        <v>751</v>
      </c>
    </row>
    <row r="755" spans="13:17" x14ac:dyDescent="0.3">
      <c r="M755" s="275">
        <f t="shared" si="23"/>
        <v>0</v>
      </c>
      <c r="N755" s="275">
        <v>752</v>
      </c>
      <c r="O755" s="275">
        <v>3150</v>
      </c>
      <c r="P755" s="275">
        <v>22</v>
      </c>
      <c r="Q755" s="275">
        <f t="shared" si="24"/>
        <v>752</v>
      </c>
    </row>
    <row r="756" spans="13:17" x14ac:dyDescent="0.3">
      <c r="M756" s="275">
        <f t="shared" si="23"/>
        <v>0</v>
      </c>
      <c r="N756" s="275">
        <v>753</v>
      </c>
      <c r="O756" s="275">
        <v>3150</v>
      </c>
      <c r="P756" s="275">
        <v>23</v>
      </c>
      <c r="Q756" s="275">
        <f t="shared" si="24"/>
        <v>753</v>
      </c>
    </row>
    <row r="757" spans="13:17" x14ac:dyDescent="0.3">
      <c r="M757" s="275">
        <f t="shared" si="23"/>
        <v>0</v>
      </c>
      <c r="N757" s="275">
        <v>754</v>
      </c>
      <c r="O757" s="275">
        <v>3150</v>
      </c>
      <c r="P757" s="275">
        <v>24</v>
      </c>
      <c r="Q757" s="275">
        <f t="shared" si="24"/>
        <v>754</v>
      </c>
    </row>
    <row r="758" spans="13:17" x14ac:dyDescent="0.3">
      <c r="M758" s="275">
        <f t="shared" si="23"/>
        <v>0</v>
      </c>
      <c r="N758" s="275">
        <v>755</v>
      </c>
      <c r="O758" s="275">
        <v>3150</v>
      </c>
      <c r="P758" s="275">
        <v>25</v>
      </c>
      <c r="Q758" s="275">
        <f t="shared" si="24"/>
        <v>755</v>
      </c>
    </row>
    <row r="759" spans="13:17" x14ac:dyDescent="0.3">
      <c r="M759" s="275">
        <f t="shared" si="23"/>
        <v>0</v>
      </c>
      <c r="N759" s="275">
        <v>756</v>
      </c>
      <c r="O759" s="275">
        <v>3160</v>
      </c>
      <c r="P759" s="275">
        <v>1</v>
      </c>
      <c r="Q759" s="275">
        <f t="shared" si="24"/>
        <v>756</v>
      </c>
    </row>
    <row r="760" spans="13:17" x14ac:dyDescent="0.3">
      <c r="M760" s="275">
        <f t="shared" si="23"/>
        <v>0</v>
      </c>
      <c r="N760" s="275">
        <v>757</v>
      </c>
      <c r="O760" s="275">
        <v>3160</v>
      </c>
      <c r="P760" s="275">
        <v>2</v>
      </c>
      <c r="Q760" s="275">
        <f t="shared" si="24"/>
        <v>757</v>
      </c>
    </row>
    <row r="761" spans="13:17" x14ac:dyDescent="0.3">
      <c r="M761" s="275">
        <f t="shared" si="23"/>
        <v>0</v>
      </c>
      <c r="N761" s="275">
        <v>758</v>
      </c>
      <c r="O761" s="275">
        <v>3160</v>
      </c>
      <c r="P761" s="275">
        <v>3</v>
      </c>
      <c r="Q761" s="275">
        <f t="shared" si="24"/>
        <v>758</v>
      </c>
    </row>
    <row r="762" spans="13:17" x14ac:dyDescent="0.3">
      <c r="M762" s="275">
        <f t="shared" si="23"/>
        <v>0</v>
      </c>
      <c r="N762" s="275">
        <v>759</v>
      </c>
      <c r="O762" s="275">
        <v>3160</v>
      </c>
      <c r="P762" s="275">
        <v>4</v>
      </c>
      <c r="Q762" s="275">
        <f t="shared" si="24"/>
        <v>759</v>
      </c>
    </row>
    <row r="763" spans="13:17" x14ac:dyDescent="0.3">
      <c r="M763" s="275">
        <f t="shared" si="23"/>
        <v>0</v>
      </c>
      <c r="N763" s="275">
        <v>760</v>
      </c>
      <c r="O763" s="275">
        <v>3160</v>
      </c>
      <c r="P763" s="275">
        <v>5</v>
      </c>
      <c r="Q763" s="275">
        <f t="shared" si="24"/>
        <v>760</v>
      </c>
    </row>
    <row r="764" spans="13:17" x14ac:dyDescent="0.3">
      <c r="M764" s="275">
        <f t="shared" si="23"/>
        <v>0</v>
      </c>
      <c r="N764" s="275">
        <v>761</v>
      </c>
      <c r="O764" s="275">
        <v>3160</v>
      </c>
      <c r="P764" s="275">
        <v>6</v>
      </c>
      <c r="Q764" s="275">
        <f t="shared" si="24"/>
        <v>761</v>
      </c>
    </row>
    <row r="765" spans="13:17" x14ac:dyDescent="0.3">
      <c r="M765" s="275">
        <f t="shared" si="23"/>
        <v>0</v>
      </c>
      <c r="N765" s="275">
        <v>762</v>
      </c>
      <c r="O765" s="275">
        <v>3160</v>
      </c>
      <c r="P765" s="275">
        <v>7</v>
      </c>
      <c r="Q765" s="275">
        <f t="shared" si="24"/>
        <v>762</v>
      </c>
    </row>
    <row r="766" spans="13:17" x14ac:dyDescent="0.3">
      <c r="M766" s="275">
        <f t="shared" si="23"/>
        <v>0</v>
      </c>
      <c r="N766" s="275">
        <v>763</v>
      </c>
      <c r="O766" s="275">
        <v>3160</v>
      </c>
      <c r="P766" s="275">
        <v>8</v>
      </c>
      <c r="Q766" s="275">
        <f t="shared" si="24"/>
        <v>763</v>
      </c>
    </row>
    <row r="767" spans="13:17" x14ac:dyDescent="0.3">
      <c r="M767" s="275">
        <f t="shared" si="23"/>
        <v>0</v>
      </c>
      <c r="N767" s="275">
        <v>764</v>
      </c>
      <c r="O767" s="275">
        <v>3160</v>
      </c>
      <c r="P767" s="275">
        <v>9</v>
      </c>
      <c r="Q767" s="275">
        <f t="shared" si="24"/>
        <v>764</v>
      </c>
    </row>
    <row r="768" spans="13:17" x14ac:dyDescent="0.3">
      <c r="M768" s="275">
        <f t="shared" si="23"/>
        <v>0</v>
      </c>
      <c r="N768" s="275">
        <v>765</v>
      </c>
      <c r="O768" s="275">
        <v>3160</v>
      </c>
      <c r="P768" s="275">
        <v>10</v>
      </c>
      <c r="Q768" s="275">
        <f t="shared" si="24"/>
        <v>765</v>
      </c>
    </row>
    <row r="769" spans="13:17" x14ac:dyDescent="0.3">
      <c r="M769" s="275">
        <f t="shared" si="23"/>
        <v>0</v>
      </c>
      <c r="N769" s="275">
        <v>766</v>
      </c>
      <c r="O769" s="275">
        <v>3160</v>
      </c>
      <c r="P769" s="275">
        <v>11</v>
      </c>
      <c r="Q769" s="275">
        <f t="shared" si="24"/>
        <v>766</v>
      </c>
    </row>
    <row r="770" spans="13:17" x14ac:dyDescent="0.3">
      <c r="M770" s="275">
        <f t="shared" si="23"/>
        <v>0</v>
      </c>
      <c r="N770" s="275">
        <v>767</v>
      </c>
      <c r="O770" s="275">
        <v>3160</v>
      </c>
      <c r="P770" s="275">
        <v>12</v>
      </c>
      <c r="Q770" s="275">
        <f t="shared" si="24"/>
        <v>767</v>
      </c>
    </row>
    <row r="771" spans="13:17" x14ac:dyDescent="0.3">
      <c r="M771" s="275">
        <f t="shared" si="23"/>
        <v>0</v>
      </c>
      <c r="N771" s="275">
        <v>768</v>
      </c>
      <c r="O771" s="275">
        <v>3160</v>
      </c>
      <c r="P771" s="275">
        <v>13</v>
      </c>
      <c r="Q771" s="275">
        <f t="shared" si="24"/>
        <v>768</v>
      </c>
    </row>
    <row r="772" spans="13:17" x14ac:dyDescent="0.3">
      <c r="M772" s="275">
        <f t="shared" si="23"/>
        <v>0</v>
      </c>
      <c r="N772" s="275">
        <v>769</v>
      </c>
      <c r="O772" s="275">
        <v>3160</v>
      </c>
      <c r="P772" s="275">
        <v>14</v>
      </c>
      <c r="Q772" s="275">
        <f t="shared" si="24"/>
        <v>769</v>
      </c>
    </row>
    <row r="773" spans="13:17" x14ac:dyDescent="0.3">
      <c r="M773" s="275">
        <f t="shared" ref="M773:M836" si="25">J773</f>
        <v>0</v>
      </c>
      <c r="N773" s="275">
        <v>770</v>
      </c>
      <c r="O773" s="275">
        <v>3160</v>
      </c>
      <c r="P773" s="275">
        <v>15</v>
      </c>
      <c r="Q773" s="275">
        <f t="shared" ref="Q773:Q836" si="26">N773</f>
        <v>770</v>
      </c>
    </row>
    <row r="774" spans="13:17" x14ac:dyDescent="0.3">
      <c r="M774" s="275">
        <f t="shared" si="25"/>
        <v>0</v>
      </c>
      <c r="N774" s="275">
        <v>771</v>
      </c>
      <c r="O774" s="275">
        <v>3160</v>
      </c>
      <c r="P774" s="275">
        <v>16</v>
      </c>
      <c r="Q774" s="275">
        <f t="shared" si="26"/>
        <v>771</v>
      </c>
    </row>
    <row r="775" spans="13:17" x14ac:dyDescent="0.3">
      <c r="M775" s="275">
        <f t="shared" si="25"/>
        <v>0</v>
      </c>
      <c r="N775" s="275">
        <v>772</v>
      </c>
      <c r="O775" s="275">
        <v>3160</v>
      </c>
      <c r="P775" s="275">
        <v>17</v>
      </c>
      <c r="Q775" s="275">
        <f t="shared" si="26"/>
        <v>772</v>
      </c>
    </row>
    <row r="776" spans="13:17" x14ac:dyDescent="0.3">
      <c r="M776" s="275">
        <f t="shared" si="25"/>
        <v>0</v>
      </c>
      <c r="N776" s="275">
        <v>773</v>
      </c>
      <c r="O776" s="275">
        <v>3160</v>
      </c>
      <c r="P776" s="275">
        <v>18</v>
      </c>
      <c r="Q776" s="275">
        <f t="shared" si="26"/>
        <v>773</v>
      </c>
    </row>
    <row r="777" spans="13:17" x14ac:dyDescent="0.3">
      <c r="M777" s="275">
        <f t="shared" si="25"/>
        <v>0</v>
      </c>
      <c r="N777" s="275">
        <v>774</v>
      </c>
      <c r="O777" s="275">
        <v>3160</v>
      </c>
      <c r="P777" s="275">
        <v>19</v>
      </c>
      <c r="Q777" s="275">
        <f t="shared" si="26"/>
        <v>774</v>
      </c>
    </row>
    <row r="778" spans="13:17" x14ac:dyDescent="0.3">
      <c r="M778" s="275">
        <f t="shared" si="25"/>
        <v>0</v>
      </c>
      <c r="N778" s="275">
        <v>775</v>
      </c>
      <c r="O778" s="275">
        <v>3160</v>
      </c>
      <c r="P778" s="275">
        <v>20</v>
      </c>
      <c r="Q778" s="275">
        <f t="shared" si="26"/>
        <v>775</v>
      </c>
    </row>
    <row r="779" spans="13:17" x14ac:dyDescent="0.3">
      <c r="M779" s="275">
        <f t="shared" si="25"/>
        <v>0</v>
      </c>
      <c r="N779" s="275">
        <v>776</v>
      </c>
      <c r="O779" s="275">
        <v>3160</v>
      </c>
      <c r="P779" s="275">
        <v>21</v>
      </c>
      <c r="Q779" s="275">
        <f t="shared" si="26"/>
        <v>776</v>
      </c>
    </row>
    <row r="780" spans="13:17" x14ac:dyDescent="0.3">
      <c r="M780" s="275">
        <f t="shared" si="25"/>
        <v>0</v>
      </c>
      <c r="N780" s="275">
        <v>777</v>
      </c>
      <c r="O780" s="275">
        <v>3160</v>
      </c>
      <c r="P780" s="275">
        <v>22</v>
      </c>
      <c r="Q780" s="275">
        <f t="shared" si="26"/>
        <v>777</v>
      </c>
    </row>
    <row r="781" spans="13:17" x14ac:dyDescent="0.3">
      <c r="M781" s="275">
        <f t="shared" si="25"/>
        <v>0</v>
      </c>
      <c r="N781" s="275">
        <v>778</v>
      </c>
      <c r="O781" s="275">
        <v>3160</v>
      </c>
      <c r="P781" s="275">
        <v>23</v>
      </c>
      <c r="Q781" s="275">
        <f t="shared" si="26"/>
        <v>778</v>
      </c>
    </row>
    <row r="782" spans="13:17" x14ac:dyDescent="0.3">
      <c r="M782" s="275">
        <f t="shared" si="25"/>
        <v>0</v>
      </c>
      <c r="N782" s="275">
        <v>779</v>
      </c>
      <c r="O782" s="275">
        <v>3160</v>
      </c>
      <c r="P782" s="275">
        <v>24</v>
      </c>
      <c r="Q782" s="275">
        <f t="shared" si="26"/>
        <v>779</v>
      </c>
    </row>
    <row r="783" spans="13:17" x14ac:dyDescent="0.3">
      <c r="M783" s="275">
        <f t="shared" si="25"/>
        <v>0</v>
      </c>
      <c r="N783" s="275">
        <v>780</v>
      </c>
      <c r="O783" s="275">
        <v>3160</v>
      </c>
      <c r="P783" s="275">
        <v>25</v>
      </c>
      <c r="Q783" s="275">
        <f t="shared" si="26"/>
        <v>780</v>
      </c>
    </row>
    <row r="784" spans="13:17" x14ac:dyDescent="0.3">
      <c r="M784" s="275">
        <f t="shared" si="25"/>
        <v>0</v>
      </c>
      <c r="N784" s="275">
        <v>781</v>
      </c>
      <c r="O784" s="275">
        <v>3210</v>
      </c>
      <c r="P784" s="275">
        <v>1</v>
      </c>
      <c r="Q784" s="275">
        <f t="shared" si="26"/>
        <v>781</v>
      </c>
    </row>
    <row r="785" spans="13:17" x14ac:dyDescent="0.3">
      <c r="M785" s="275">
        <f t="shared" si="25"/>
        <v>0</v>
      </c>
      <c r="N785" s="275">
        <v>782</v>
      </c>
      <c r="O785" s="275">
        <v>3210</v>
      </c>
      <c r="P785" s="275">
        <v>2</v>
      </c>
      <c r="Q785" s="275">
        <f t="shared" si="26"/>
        <v>782</v>
      </c>
    </row>
    <row r="786" spans="13:17" x14ac:dyDescent="0.3">
      <c r="M786" s="275">
        <f t="shared" si="25"/>
        <v>0</v>
      </c>
      <c r="N786" s="275">
        <v>783</v>
      </c>
      <c r="O786" s="275">
        <v>3210</v>
      </c>
      <c r="P786" s="275">
        <v>3</v>
      </c>
      <c r="Q786" s="275">
        <f t="shared" si="26"/>
        <v>783</v>
      </c>
    </row>
    <row r="787" spans="13:17" x14ac:dyDescent="0.3">
      <c r="M787" s="275">
        <f t="shared" si="25"/>
        <v>0</v>
      </c>
      <c r="N787" s="275">
        <v>784</v>
      </c>
      <c r="O787" s="275">
        <v>3210</v>
      </c>
      <c r="P787" s="275">
        <v>4</v>
      </c>
      <c r="Q787" s="275">
        <f t="shared" si="26"/>
        <v>784</v>
      </c>
    </row>
    <row r="788" spans="13:17" x14ac:dyDescent="0.3">
      <c r="M788" s="275">
        <f t="shared" si="25"/>
        <v>0</v>
      </c>
      <c r="N788" s="275">
        <v>785</v>
      </c>
      <c r="O788" s="275">
        <v>3210</v>
      </c>
      <c r="P788" s="275">
        <v>5</v>
      </c>
      <c r="Q788" s="275">
        <f t="shared" si="26"/>
        <v>785</v>
      </c>
    </row>
    <row r="789" spans="13:17" x14ac:dyDescent="0.3">
      <c r="M789" s="275">
        <f t="shared" si="25"/>
        <v>0</v>
      </c>
      <c r="N789" s="275">
        <v>786</v>
      </c>
      <c r="O789" s="275">
        <v>3210</v>
      </c>
      <c r="P789" s="275">
        <v>6</v>
      </c>
      <c r="Q789" s="275">
        <f t="shared" si="26"/>
        <v>786</v>
      </c>
    </row>
    <row r="790" spans="13:17" x14ac:dyDescent="0.3">
      <c r="M790" s="275">
        <f t="shared" si="25"/>
        <v>0</v>
      </c>
      <c r="N790" s="275">
        <v>787</v>
      </c>
      <c r="O790" s="275">
        <v>3210</v>
      </c>
      <c r="P790" s="275">
        <v>7</v>
      </c>
      <c r="Q790" s="275">
        <f t="shared" si="26"/>
        <v>787</v>
      </c>
    </row>
    <row r="791" spans="13:17" x14ac:dyDescent="0.3">
      <c r="M791" s="275">
        <f t="shared" si="25"/>
        <v>0</v>
      </c>
      <c r="N791" s="275">
        <v>788</v>
      </c>
      <c r="O791" s="275">
        <v>3210</v>
      </c>
      <c r="P791" s="275">
        <v>8</v>
      </c>
      <c r="Q791" s="275">
        <f t="shared" si="26"/>
        <v>788</v>
      </c>
    </row>
    <row r="792" spans="13:17" x14ac:dyDescent="0.3">
      <c r="M792" s="275">
        <f t="shared" si="25"/>
        <v>0</v>
      </c>
      <c r="N792" s="275">
        <v>789</v>
      </c>
      <c r="O792" s="275">
        <v>3210</v>
      </c>
      <c r="P792" s="275">
        <v>9</v>
      </c>
      <c r="Q792" s="275">
        <f t="shared" si="26"/>
        <v>789</v>
      </c>
    </row>
    <row r="793" spans="13:17" x14ac:dyDescent="0.3">
      <c r="M793" s="275">
        <f t="shared" si="25"/>
        <v>0</v>
      </c>
      <c r="N793" s="275">
        <v>790</v>
      </c>
      <c r="O793" s="275">
        <v>3210</v>
      </c>
      <c r="P793" s="275">
        <v>10</v>
      </c>
      <c r="Q793" s="275">
        <f t="shared" si="26"/>
        <v>790</v>
      </c>
    </row>
    <row r="794" spans="13:17" x14ac:dyDescent="0.3">
      <c r="M794" s="275">
        <f t="shared" si="25"/>
        <v>0</v>
      </c>
      <c r="N794" s="275">
        <v>791</v>
      </c>
      <c r="O794" s="275">
        <v>3210</v>
      </c>
      <c r="P794" s="275">
        <v>11</v>
      </c>
      <c r="Q794" s="275">
        <f t="shared" si="26"/>
        <v>791</v>
      </c>
    </row>
    <row r="795" spans="13:17" x14ac:dyDescent="0.3">
      <c r="M795" s="275">
        <f t="shared" si="25"/>
        <v>0</v>
      </c>
      <c r="N795" s="275">
        <v>792</v>
      </c>
      <c r="O795" s="275">
        <v>3210</v>
      </c>
      <c r="P795" s="275">
        <v>12</v>
      </c>
      <c r="Q795" s="275">
        <f t="shared" si="26"/>
        <v>792</v>
      </c>
    </row>
    <row r="796" spans="13:17" x14ac:dyDescent="0.3">
      <c r="M796" s="275">
        <f t="shared" si="25"/>
        <v>0</v>
      </c>
      <c r="N796" s="275">
        <v>793</v>
      </c>
      <c r="O796" s="275">
        <v>3210</v>
      </c>
      <c r="P796" s="275">
        <v>13</v>
      </c>
      <c r="Q796" s="275">
        <f t="shared" si="26"/>
        <v>793</v>
      </c>
    </row>
    <row r="797" spans="13:17" x14ac:dyDescent="0.3">
      <c r="M797" s="275">
        <f t="shared" si="25"/>
        <v>0</v>
      </c>
      <c r="N797" s="275">
        <v>794</v>
      </c>
      <c r="O797" s="275">
        <v>3210</v>
      </c>
      <c r="P797" s="275">
        <v>14</v>
      </c>
      <c r="Q797" s="275">
        <f t="shared" si="26"/>
        <v>794</v>
      </c>
    </row>
    <row r="798" spans="13:17" x14ac:dyDescent="0.3">
      <c r="M798" s="275">
        <f t="shared" si="25"/>
        <v>0</v>
      </c>
      <c r="N798" s="275">
        <v>795</v>
      </c>
      <c r="O798" s="275">
        <v>3210</v>
      </c>
      <c r="P798" s="275">
        <v>15</v>
      </c>
      <c r="Q798" s="275">
        <f t="shared" si="26"/>
        <v>795</v>
      </c>
    </row>
    <row r="799" spans="13:17" x14ac:dyDescent="0.3">
      <c r="M799" s="275">
        <f t="shared" si="25"/>
        <v>0</v>
      </c>
      <c r="N799" s="275">
        <v>796</v>
      </c>
      <c r="O799" s="275">
        <v>3210</v>
      </c>
      <c r="P799" s="275">
        <v>16</v>
      </c>
      <c r="Q799" s="275">
        <f t="shared" si="26"/>
        <v>796</v>
      </c>
    </row>
    <row r="800" spans="13:17" x14ac:dyDescent="0.3">
      <c r="M800" s="275">
        <f t="shared" si="25"/>
        <v>0</v>
      </c>
      <c r="N800" s="275">
        <v>797</v>
      </c>
      <c r="O800" s="275">
        <v>3210</v>
      </c>
      <c r="P800" s="275">
        <v>17</v>
      </c>
      <c r="Q800" s="275">
        <f t="shared" si="26"/>
        <v>797</v>
      </c>
    </row>
    <row r="801" spans="13:17" x14ac:dyDescent="0.3">
      <c r="M801" s="275">
        <f t="shared" si="25"/>
        <v>0</v>
      </c>
      <c r="N801" s="275">
        <v>798</v>
      </c>
      <c r="O801" s="275">
        <v>3210</v>
      </c>
      <c r="P801" s="275">
        <v>18</v>
      </c>
      <c r="Q801" s="275">
        <f t="shared" si="26"/>
        <v>798</v>
      </c>
    </row>
    <row r="802" spans="13:17" x14ac:dyDescent="0.3">
      <c r="M802" s="275">
        <f t="shared" si="25"/>
        <v>0</v>
      </c>
      <c r="N802" s="275">
        <v>799</v>
      </c>
      <c r="O802" s="275">
        <v>3210</v>
      </c>
      <c r="P802" s="275">
        <v>19</v>
      </c>
      <c r="Q802" s="275">
        <f t="shared" si="26"/>
        <v>799</v>
      </c>
    </row>
    <row r="803" spans="13:17" x14ac:dyDescent="0.3">
      <c r="M803" s="275">
        <f t="shared" si="25"/>
        <v>0</v>
      </c>
      <c r="N803" s="275">
        <v>800</v>
      </c>
      <c r="O803" s="275">
        <v>3210</v>
      </c>
      <c r="P803" s="275">
        <v>20</v>
      </c>
      <c r="Q803" s="275">
        <f t="shared" si="26"/>
        <v>800</v>
      </c>
    </row>
    <row r="804" spans="13:17" x14ac:dyDescent="0.3">
      <c r="M804" s="275">
        <f t="shared" si="25"/>
        <v>0</v>
      </c>
      <c r="N804" s="275">
        <v>801</v>
      </c>
      <c r="O804" s="275">
        <v>3210</v>
      </c>
      <c r="P804" s="275">
        <v>21</v>
      </c>
      <c r="Q804" s="275">
        <f t="shared" si="26"/>
        <v>801</v>
      </c>
    </row>
    <row r="805" spans="13:17" x14ac:dyDescent="0.3">
      <c r="M805" s="275">
        <f t="shared" si="25"/>
        <v>0</v>
      </c>
      <c r="N805" s="275">
        <v>802</v>
      </c>
      <c r="O805" s="275">
        <v>3210</v>
      </c>
      <c r="P805" s="275">
        <v>22</v>
      </c>
      <c r="Q805" s="275">
        <f t="shared" si="26"/>
        <v>802</v>
      </c>
    </row>
    <row r="806" spans="13:17" x14ac:dyDescent="0.3">
      <c r="M806" s="275">
        <f t="shared" si="25"/>
        <v>0</v>
      </c>
      <c r="N806" s="275">
        <v>803</v>
      </c>
      <c r="O806" s="275">
        <v>3210</v>
      </c>
      <c r="P806" s="275">
        <v>23</v>
      </c>
      <c r="Q806" s="275">
        <f t="shared" si="26"/>
        <v>803</v>
      </c>
    </row>
    <row r="807" spans="13:17" x14ac:dyDescent="0.3">
      <c r="M807" s="275">
        <f t="shared" si="25"/>
        <v>0</v>
      </c>
      <c r="N807" s="275">
        <v>804</v>
      </c>
      <c r="O807" s="275">
        <v>3210</v>
      </c>
      <c r="P807" s="275">
        <v>24</v>
      </c>
      <c r="Q807" s="275">
        <f t="shared" si="26"/>
        <v>804</v>
      </c>
    </row>
    <row r="808" spans="13:17" x14ac:dyDescent="0.3">
      <c r="M808" s="275">
        <f t="shared" si="25"/>
        <v>0</v>
      </c>
      <c r="N808" s="275">
        <v>805</v>
      </c>
      <c r="O808" s="275">
        <v>3210</v>
      </c>
      <c r="P808" s="275">
        <v>25</v>
      </c>
      <c r="Q808" s="275">
        <f t="shared" si="26"/>
        <v>805</v>
      </c>
    </row>
    <row r="809" spans="13:17" x14ac:dyDescent="0.3">
      <c r="M809" s="275">
        <f t="shared" si="25"/>
        <v>0</v>
      </c>
      <c r="N809" s="275">
        <v>806</v>
      </c>
      <c r="O809" s="275">
        <v>3220</v>
      </c>
      <c r="P809" s="275">
        <v>1</v>
      </c>
      <c r="Q809" s="275">
        <f t="shared" si="26"/>
        <v>806</v>
      </c>
    </row>
    <row r="810" spans="13:17" x14ac:dyDescent="0.3">
      <c r="M810" s="275">
        <f t="shared" si="25"/>
        <v>0</v>
      </c>
      <c r="N810" s="275">
        <v>807</v>
      </c>
      <c r="O810" s="275">
        <v>3220</v>
      </c>
      <c r="P810" s="275">
        <v>2</v>
      </c>
      <c r="Q810" s="275">
        <f t="shared" si="26"/>
        <v>807</v>
      </c>
    </row>
    <row r="811" spans="13:17" x14ac:dyDescent="0.3">
      <c r="M811" s="275">
        <f t="shared" si="25"/>
        <v>0</v>
      </c>
      <c r="N811" s="275">
        <v>808</v>
      </c>
      <c r="O811" s="275">
        <v>3220</v>
      </c>
      <c r="P811" s="275">
        <v>3</v>
      </c>
      <c r="Q811" s="275">
        <f t="shared" si="26"/>
        <v>808</v>
      </c>
    </row>
    <row r="812" spans="13:17" x14ac:dyDescent="0.3">
      <c r="M812" s="275">
        <f t="shared" si="25"/>
        <v>0</v>
      </c>
      <c r="N812" s="275">
        <v>809</v>
      </c>
      <c r="O812" s="275">
        <v>3220</v>
      </c>
      <c r="P812" s="275">
        <v>4</v>
      </c>
      <c r="Q812" s="275">
        <f t="shared" si="26"/>
        <v>809</v>
      </c>
    </row>
    <row r="813" spans="13:17" x14ac:dyDescent="0.3">
      <c r="M813" s="275">
        <f t="shared" si="25"/>
        <v>0</v>
      </c>
      <c r="N813" s="275">
        <v>810</v>
      </c>
      <c r="O813" s="275">
        <v>3220</v>
      </c>
      <c r="P813" s="275">
        <v>5</v>
      </c>
      <c r="Q813" s="275">
        <f t="shared" si="26"/>
        <v>810</v>
      </c>
    </row>
    <row r="814" spans="13:17" x14ac:dyDescent="0.3">
      <c r="M814" s="275">
        <f t="shared" si="25"/>
        <v>0</v>
      </c>
      <c r="N814" s="275">
        <v>811</v>
      </c>
      <c r="O814" s="275">
        <v>3220</v>
      </c>
      <c r="P814" s="275">
        <v>6</v>
      </c>
      <c r="Q814" s="275">
        <f t="shared" si="26"/>
        <v>811</v>
      </c>
    </row>
    <row r="815" spans="13:17" x14ac:dyDescent="0.3">
      <c r="M815" s="275">
        <f t="shared" si="25"/>
        <v>0</v>
      </c>
      <c r="N815" s="275">
        <v>812</v>
      </c>
      <c r="O815" s="275">
        <v>3220</v>
      </c>
      <c r="P815" s="275">
        <v>7</v>
      </c>
      <c r="Q815" s="275">
        <f t="shared" si="26"/>
        <v>812</v>
      </c>
    </row>
    <row r="816" spans="13:17" x14ac:dyDescent="0.3">
      <c r="M816" s="275">
        <f t="shared" si="25"/>
        <v>0</v>
      </c>
      <c r="N816" s="275">
        <v>813</v>
      </c>
      <c r="O816" s="275">
        <v>3220</v>
      </c>
      <c r="P816" s="275">
        <v>8</v>
      </c>
      <c r="Q816" s="275">
        <f t="shared" si="26"/>
        <v>813</v>
      </c>
    </row>
    <row r="817" spans="13:17" x14ac:dyDescent="0.3">
      <c r="M817" s="275">
        <f t="shared" si="25"/>
        <v>0</v>
      </c>
      <c r="N817" s="275">
        <v>814</v>
      </c>
      <c r="O817" s="275">
        <v>3220</v>
      </c>
      <c r="P817" s="275">
        <v>9</v>
      </c>
      <c r="Q817" s="275">
        <f t="shared" si="26"/>
        <v>814</v>
      </c>
    </row>
    <row r="818" spans="13:17" x14ac:dyDescent="0.3">
      <c r="M818" s="275">
        <f t="shared" si="25"/>
        <v>0</v>
      </c>
      <c r="N818" s="275">
        <v>815</v>
      </c>
      <c r="O818" s="275">
        <v>3220</v>
      </c>
      <c r="P818" s="275">
        <v>10</v>
      </c>
      <c r="Q818" s="275">
        <f t="shared" si="26"/>
        <v>815</v>
      </c>
    </row>
    <row r="819" spans="13:17" x14ac:dyDescent="0.3">
      <c r="M819" s="275">
        <f t="shared" si="25"/>
        <v>0</v>
      </c>
      <c r="N819" s="275">
        <v>816</v>
      </c>
      <c r="O819" s="275">
        <v>3220</v>
      </c>
      <c r="P819" s="275">
        <v>11</v>
      </c>
      <c r="Q819" s="275">
        <f t="shared" si="26"/>
        <v>816</v>
      </c>
    </row>
    <row r="820" spans="13:17" x14ac:dyDescent="0.3">
      <c r="M820" s="275">
        <f t="shared" si="25"/>
        <v>0</v>
      </c>
      <c r="N820" s="275">
        <v>817</v>
      </c>
      <c r="O820" s="275">
        <v>3220</v>
      </c>
      <c r="P820" s="275">
        <v>12</v>
      </c>
      <c r="Q820" s="275">
        <f t="shared" si="26"/>
        <v>817</v>
      </c>
    </row>
    <row r="821" spans="13:17" x14ac:dyDescent="0.3">
      <c r="M821" s="275">
        <f t="shared" si="25"/>
        <v>0</v>
      </c>
      <c r="N821" s="275">
        <v>818</v>
      </c>
      <c r="O821" s="275">
        <v>3220</v>
      </c>
      <c r="P821" s="275">
        <v>13</v>
      </c>
      <c r="Q821" s="275">
        <f t="shared" si="26"/>
        <v>818</v>
      </c>
    </row>
    <row r="822" spans="13:17" x14ac:dyDescent="0.3">
      <c r="M822" s="275">
        <f t="shared" si="25"/>
        <v>0</v>
      </c>
      <c r="N822" s="275">
        <v>819</v>
      </c>
      <c r="O822" s="275">
        <v>3220</v>
      </c>
      <c r="P822" s="275">
        <v>14</v>
      </c>
      <c r="Q822" s="275">
        <f t="shared" si="26"/>
        <v>819</v>
      </c>
    </row>
    <row r="823" spans="13:17" x14ac:dyDescent="0.3">
      <c r="M823" s="275">
        <f t="shared" si="25"/>
        <v>0</v>
      </c>
      <c r="N823" s="275">
        <v>820</v>
      </c>
      <c r="O823" s="275">
        <v>3220</v>
      </c>
      <c r="P823" s="275">
        <v>15</v>
      </c>
      <c r="Q823" s="275">
        <f t="shared" si="26"/>
        <v>820</v>
      </c>
    </row>
    <row r="824" spans="13:17" x14ac:dyDescent="0.3">
      <c r="M824" s="275">
        <f t="shared" si="25"/>
        <v>0</v>
      </c>
      <c r="N824" s="275">
        <v>821</v>
      </c>
      <c r="O824" s="275">
        <v>3220</v>
      </c>
      <c r="P824" s="275">
        <v>16</v>
      </c>
      <c r="Q824" s="275">
        <f t="shared" si="26"/>
        <v>821</v>
      </c>
    </row>
    <row r="825" spans="13:17" x14ac:dyDescent="0.3">
      <c r="M825" s="275">
        <f t="shared" si="25"/>
        <v>0</v>
      </c>
      <c r="N825" s="275">
        <v>822</v>
      </c>
      <c r="O825" s="275">
        <v>3220</v>
      </c>
      <c r="P825" s="275">
        <v>17</v>
      </c>
      <c r="Q825" s="275">
        <f t="shared" si="26"/>
        <v>822</v>
      </c>
    </row>
    <row r="826" spans="13:17" x14ac:dyDescent="0.3">
      <c r="M826" s="275">
        <f t="shared" si="25"/>
        <v>0</v>
      </c>
      <c r="N826" s="275">
        <v>823</v>
      </c>
      <c r="O826" s="275">
        <v>3220</v>
      </c>
      <c r="P826" s="275">
        <v>18</v>
      </c>
      <c r="Q826" s="275">
        <f t="shared" si="26"/>
        <v>823</v>
      </c>
    </row>
    <row r="827" spans="13:17" x14ac:dyDescent="0.3">
      <c r="M827" s="275">
        <f t="shared" si="25"/>
        <v>0</v>
      </c>
      <c r="N827" s="275">
        <v>824</v>
      </c>
      <c r="O827" s="275">
        <v>3220</v>
      </c>
      <c r="P827" s="275">
        <v>19</v>
      </c>
      <c r="Q827" s="275">
        <f t="shared" si="26"/>
        <v>824</v>
      </c>
    </row>
    <row r="828" spans="13:17" x14ac:dyDescent="0.3">
      <c r="M828" s="275">
        <f t="shared" si="25"/>
        <v>0</v>
      </c>
      <c r="N828" s="275">
        <v>825</v>
      </c>
      <c r="O828" s="275">
        <v>3220</v>
      </c>
      <c r="P828" s="275">
        <v>20</v>
      </c>
      <c r="Q828" s="275">
        <f t="shared" si="26"/>
        <v>825</v>
      </c>
    </row>
    <row r="829" spans="13:17" x14ac:dyDescent="0.3">
      <c r="M829" s="275">
        <f t="shared" si="25"/>
        <v>0</v>
      </c>
      <c r="N829" s="275">
        <v>826</v>
      </c>
      <c r="O829" s="275">
        <v>3220</v>
      </c>
      <c r="P829" s="275">
        <v>21</v>
      </c>
      <c r="Q829" s="275">
        <f t="shared" si="26"/>
        <v>826</v>
      </c>
    </row>
    <row r="830" spans="13:17" x14ac:dyDescent="0.3">
      <c r="M830" s="275">
        <f t="shared" si="25"/>
        <v>0</v>
      </c>
      <c r="N830" s="275">
        <v>827</v>
      </c>
      <c r="O830" s="275">
        <v>3220</v>
      </c>
      <c r="P830" s="275">
        <v>22</v>
      </c>
      <c r="Q830" s="275">
        <f t="shared" si="26"/>
        <v>827</v>
      </c>
    </row>
    <row r="831" spans="13:17" x14ac:dyDescent="0.3">
      <c r="M831" s="275">
        <f t="shared" si="25"/>
        <v>0</v>
      </c>
      <c r="N831" s="275">
        <v>828</v>
      </c>
      <c r="O831" s="275">
        <v>3220</v>
      </c>
      <c r="P831" s="275">
        <v>23</v>
      </c>
      <c r="Q831" s="275">
        <f t="shared" si="26"/>
        <v>828</v>
      </c>
    </row>
    <row r="832" spans="13:17" x14ac:dyDescent="0.3">
      <c r="M832" s="275">
        <f t="shared" si="25"/>
        <v>0</v>
      </c>
      <c r="N832" s="275">
        <v>829</v>
      </c>
      <c r="O832" s="275">
        <v>3220</v>
      </c>
      <c r="P832" s="275">
        <v>24</v>
      </c>
      <c r="Q832" s="275">
        <f t="shared" si="26"/>
        <v>829</v>
      </c>
    </row>
    <row r="833" spans="13:17" x14ac:dyDescent="0.3">
      <c r="M833" s="275">
        <f t="shared" si="25"/>
        <v>0</v>
      </c>
      <c r="N833" s="275">
        <v>830</v>
      </c>
      <c r="O833" s="275">
        <v>3220</v>
      </c>
      <c r="P833" s="275">
        <v>25</v>
      </c>
      <c r="Q833" s="275">
        <f t="shared" si="26"/>
        <v>830</v>
      </c>
    </row>
    <row r="834" spans="13:17" x14ac:dyDescent="0.3">
      <c r="M834" s="275">
        <f t="shared" si="25"/>
        <v>0</v>
      </c>
      <c r="N834" s="275">
        <v>831</v>
      </c>
      <c r="O834" s="275">
        <v>3230</v>
      </c>
      <c r="P834" s="275">
        <v>1</v>
      </c>
      <c r="Q834" s="275">
        <f t="shared" si="26"/>
        <v>831</v>
      </c>
    </row>
    <row r="835" spans="13:17" x14ac:dyDescent="0.3">
      <c r="M835" s="275">
        <f t="shared" si="25"/>
        <v>0</v>
      </c>
      <c r="N835" s="275">
        <v>832</v>
      </c>
      <c r="O835" s="275">
        <v>3230</v>
      </c>
      <c r="P835" s="275">
        <v>2</v>
      </c>
      <c r="Q835" s="275">
        <f t="shared" si="26"/>
        <v>832</v>
      </c>
    </row>
    <row r="836" spans="13:17" x14ac:dyDescent="0.3">
      <c r="M836" s="275">
        <f t="shared" si="25"/>
        <v>0</v>
      </c>
      <c r="N836" s="275">
        <v>833</v>
      </c>
      <c r="O836" s="275">
        <v>3230</v>
      </c>
      <c r="P836" s="275">
        <v>3</v>
      </c>
      <c r="Q836" s="275">
        <f t="shared" si="26"/>
        <v>833</v>
      </c>
    </row>
    <row r="837" spans="13:17" x14ac:dyDescent="0.3">
      <c r="M837" s="275">
        <f t="shared" ref="M837:M900" si="27">J837</f>
        <v>0</v>
      </c>
      <c r="N837" s="275">
        <v>834</v>
      </c>
      <c r="O837" s="275">
        <v>3230</v>
      </c>
      <c r="P837" s="275">
        <v>4</v>
      </c>
      <c r="Q837" s="275">
        <f t="shared" ref="Q837:Q900" si="28">N837</f>
        <v>834</v>
      </c>
    </row>
    <row r="838" spans="13:17" x14ac:dyDescent="0.3">
      <c r="M838" s="275">
        <f t="shared" si="27"/>
        <v>0</v>
      </c>
      <c r="N838" s="275">
        <v>835</v>
      </c>
      <c r="O838" s="275">
        <v>3230</v>
      </c>
      <c r="P838" s="275">
        <v>5</v>
      </c>
      <c r="Q838" s="275">
        <f t="shared" si="28"/>
        <v>835</v>
      </c>
    </row>
    <row r="839" spans="13:17" x14ac:dyDescent="0.3">
      <c r="M839" s="275">
        <f t="shared" si="27"/>
        <v>0</v>
      </c>
      <c r="N839" s="275">
        <v>836</v>
      </c>
      <c r="O839" s="275">
        <v>3230</v>
      </c>
      <c r="P839" s="275">
        <v>6</v>
      </c>
      <c r="Q839" s="275">
        <f t="shared" si="28"/>
        <v>836</v>
      </c>
    </row>
    <row r="840" spans="13:17" x14ac:dyDescent="0.3">
      <c r="M840" s="275">
        <f t="shared" si="27"/>
        <v>0</v>
      </c>
      <c r="N840" s="275">
        <v>837</v>
      </c>
      <c r="O840" s="275">
        <v>3230</v>
      </c>
      <c r="P840" s="275">
        <v>7</v>
      </c>
      <c r="Q840" s="275">
        <f t="shared" si="28"/>
        <v>837</v>
      </c>
    </row>
    <row r="841" spans="13:17" x14ac:dyDescent="0.3">
      <c r="M841" s="275">
        <f t="shared" si="27"/>
        <v>0</v>
      </c>
      <c r="N841" s="275">
        <v>838</v>
      </c>
      <c r="O841" s="275">
        <v>3230</v>
      </c>
      <c r="P841" s="275">
        <v>8</v>
      </c>
      <c r="Q841" s="275">
        <f t="shared" si="28"/>
        <v>838</v>
      </c>
    </row>
    <row r="842" spans="13:17" x14ac:dyDescent="0.3">
      <c r="M842" s="275">
        <f t="shared" si="27"/>
        <v>0</v>
      </c>
      <c r="N842" s="275">
        <v>839</v>
      </c>
      <c r="O842" s="275">
        <v>3230</v>
      </c>
      <c r="P842" s="275">
        <v>9</v>
      </c>
      <c r="Q842" s="275">
        <f t="shared" si="28"/>
        <v>839</v>
      </c>
    </row>
    <row r="843" spans="13:17" x14ac:dyDescent="0.3">
      <c r="M843" s="275">
        <f t="shared" si="27"/>
        <v>0</v>
      </c>
      <c r="N843" s="275">
        <v>840</v>
      </c>
      <c r="O843" s="275">
        <v>3230</v>
      </c>
      <c r="P843" s="275">
        <v>10</v>
      </c>
      <c r="Q843" s="275">
        <f t="shared" si="28"/>
        <v>840</v>
      </c>
    </row>
    <row r="844" spans="13:17" x14ac:dyDescent="0.3">
      <c r="M844" s="275">
        <f t="shared" si="27"/>
        <v>0</v>
      </c>
      <c r="N844" s="275">
        <v>841</v>
      </c>
      <c r="O844" s="275">
        <v>3230</v>
      </c>
      <c r="P844" s="275">
        <v>11</v>
      </c>
      <c r="Q844" s="275">
        <f t="shared" si="28"/>
        <v>841</v>
      </c>
    </row>
    <row r="845" spans="13:17" x14ac:dyDescent="0.3">
      <c r="M845" s="275">
        <f t="shared" si="27"/>
        <v>0</v>
      </c>
      <c r="N845" s="275">
        <v>842</v>
      </c>
      <c r="O845" s="275">
        <v>3230</v>
      </c>
      <c r="P845" s="275">
        <v>12</v>
      </c>
      <c r="Q845" s="275">
        <f t="shared" si="28"/>
        <v>842</v>
      </c>
    </row>
    <row r="846" spans="13:17" x14ac:dyDescent="0.3">
      <c r="M846" s="275">
        <f t="shared" si="27"/>
        <v>0</v>
      </c>
      <c r="N846" s="275">
        <v>843</v>
      </c>
      <c r="O846" s="275">
        <v>3230</v>
      </c>
      <c r="P846" s="275">
        <v>13</v>
      </c>
      <c r="Q846" s="275">
        <f t="shared" si="28"/>
        <v>843</v>
      </c>
    </row>
    <row r="847" spans="13:17" x14ac:dyDescent="0.3">
      <c r="M847" s="275">
        <f t="shared" si="27"/>
        <v>0</v>
      </c>
      <c r="N847" s="275">
        <v>844</v>
      </c>
      <c r="O847" s="275">
        <v>3230</v>
      </c>
      <c r="P847" s="275">
        <v>14</v>
      </c>
      <c r="Q847" s="275">
        <f t="shared" si="28"/>
        <v>844</v>
      </c>
    </row>
    <row r="848" spans="13:17" x14ac:dyDescent="0.3">
      <c r="M848" s="275">
        <f t="shared" si="27"/>
        <v>0</v>
      </c>
      <c r="N848" s="275">
        <v>845</v>
      </c>
      <c r="O848" s="275">
        <v>3230</v>
      </c>
      <c r="P848" s="275">
        <v>15</v>
      </c>
      <c r="Q848" s="275">
        <f t="shared" si="28"/>
        <v>845</v>
      </c>
    </row>
    <row r="849" spans="13:17" x14ac:dyDescent="0.3">
      <c r="M849" s="275">
        <f t="shared" si="27"/>
        <v>0</v>
      </c>
      <c r="N849" s="275">
        <v>846</v>
      </c>
      <c r="O849" s="275">
        <v>3230</v>
      </c>
      <c r="P849" s="275">
        <v>16</v>
      </c>
      <c r="Q849" s="275">
        <f t="shared" si="28"/>
        <v>846</v>
      </c>
    </row>
    <row r="850" spans="13:17" x14ac:dyDescent="0.3">
      <c r="M850" s="275">
        <f t="shared" si="27"/>
        <v>0</v>
      </c>
      <c r="N850" s="275">
        <v>847</v>
      </c>
      <c r="O850" s="275">
        <v>3230</v>
      </c>
      <c r="P850" s="275">
        <v>17</v>
      </c>
      <c r="Q850" s="275">
        <f t="shared" si="28"/>
        <v>847</v>
      </c>
    </row>
    <row r="851" spans="13:17" x14ac:dyDescent="0.3">
      <c r="M851" s="275">
        <f t="shared" si="27"/>
        <v>0</v>
      </c>
      <c r="N851" s="275">
        <v>848</v>
      </c>
      <c r="O851" s="275">
        <v>3230</v>
      </c>
      <c r="P851" s="275">
        <v>18</v>
      </c>
      <c r="Q851" s="275">
        <f t="shared" si="28"/>
        <v>848</v>
      </c>
    </row>
    <row r="852" spans="13:17" x14ac:dyDescent="0.3">
      <c r="M852" s="275">
        <f t="shared" si="27"/>
        <v>0</v>
      </c>
      <c r="N852" s="275">
        <v>849</v>
      </c>
      <c r="O852" s="275">
        <v>3230</v>
      </c>
      <c r="P852" s="275">
        <v>19</v>
      </c>
      <c r="Q852" s="275">
        <f t="shared" si="28"/>
        <v>849</v>
      </c>
    </row>
    <row r="853" spans="13:17" x14ac:dyDescent="0.3">
      <c r="M853" s="275">
        <f t="shared" si="27"/>
        <v>0</v>
      </c>
      <c r="N853" s="275">
        <v>850</v>
      </c>
      <c r="O853" s="275">
        <v>3230</v>
      </c>
      <c r="P853" s="275">
        <v>20</v>
      </c>
      <c r="Q853" s="275">
        <f t="shared" si="28"/>
        <v>850</v>
      </c>
    </row>
    <row r="854" spans="13:17" x14ac:dyDescent="0.3">
      <c r="M854" s="275">
        <f t="shared" si="27"/>
        <v>0</v>
      </c>
      <c r="N854" s="275">
        <v>851</v>
      </c>
      <c r="O854" s="275">
        <v>3230</v>
      </c>
      <c r="P854" s="275">
        <v>21</v>
      </c>
      <c r="Q854" s="275">
        <f t="shared" si="28"/>
        <v>851</v>
      </c>
    </row>
    <row r="855" spans="13:17" x14ac:dyDescent="0.3">
      <c r="M855" s="275">
        <f t="shared" si="27"/>
        <v>0</v>
      </c>
      <c r="N855" s="275">
        <v>852</v>
      </c>
      <c r="O855" s="275">
        <v>3230</v>
      </c>
      <c r="P855" s="275">
        <v>22</v>
      </c>
      <c r="Q855" s="275">
        <f t="shared" si="28"/>
        <v>852</v>
      </c>
    </row>
    <row r="856" spans="13:17" x14ac:dyDescent="0.3">
      <c r="M856" s="275">
        <f t="shared" si="27"/>
        <v>0</v>
      </c>
      <c r="N856" s="275">
        <v>853</v>
      </c>
      <c r="O856" s="275">
        <v>3230</v>
      </c>
      <c r="P856" s="275">
        <v>23</v>
      </c>
      <c r="Q856" s="275">
        <f t="shared" si="28"/>
        <v>853</v>
      </c>
    </row>
    <row r="857" spans="13:17" x14ac:dyDescent="0.3">
      <c r="M857" s="275">
        <f t="shared" si="27"/>
        <v>0</v>
      </c>
      <c r="N857" s="275">
        <v>854</v>
      </c>
      <c r="O857" s="275">
        <v>3230</v>
      </c>
      <c r="P857" s="275">
        <v>24</v>
      </c>
      <c r="Q857" s="275">
        <f t="shared" si="28"/>
        <v>854</v>
      </c>
    </row>
    <row r="858" spans="13:17" x14ac:dyDescent="0.3">
      <c r="M858" s="275">
        <f t="shared" si="27"/>
        <v>0</v>
      </c>
      <c r="N858" s="275">
        <v>855</v>
      </c>
      <c r="O858" s="275">
        <v>3230</v>
      </c>
      <c r="P858" s="275">
        <v>25</v>
      </c>
      <c r="Q858" s="275">
        <f t="shared" si="28"/>
        <v>855</v>
      </c>
    </row>
    <row r="859" spans="13:17" x14ac:dyDescent="0.3">
      <c r="M859" s="275">
        <f t="shared" si="27"/>
        <v>0</v>
      </c>
      <c r="N859" s="275">
        <v>856</v>
      </c>
      <c r="O859" s="275">
        <v>3240</v>
      </c>
      <c r="P859" s="275">
        <v>1</v>
      </c>
      <c r="Q859" s="275">
        <f t="shared" si="28"/>
        <v>856</v>
      </c>
    </row>
    <row r="860" spans="13:17" x14ac:dyDescent="0.3">
      <c r="M860" s="275">
        <f t="shared" si="27"/>
        <v>0</v>
      </c>
      <c r="N860" s="275">
        <v>857</v>
      </c>
      <c r="O860" s="275">
        <v>3240</v>
      </c>
      <c r="P860" s="275">
        <v>2</v>
      </c>
      <c r="Q860" s="275">
        <f t="shared" si="28"/>
        <v>857</v>
      </c>
    </row>
    <row r="861" spans="13:17" x14ac:dyDescent="0.3">
      <c r="M861" s="275">
        <f t="shared" si="27"/>
        <v>0</v>
      </c>
      <c r="N861" s="275">
        <v>858</v>
      </c>
      <c r="O861" s="275">
        <v>3240</v>
      </c>
      <c r="P861" s="275">
        <v>3</v>
      </c>
      <c r="Q861" s="275">
        <f t="shared" si="28"/>
        <v>858</v>
      </c>
    </row>
    <row r="862" spans="13:17" x14ac:dyDescent="0.3">
      <c r="M862" s="275">
        <f t="shared" si="27"/>
        <v>0</v>
      </c>
      <c r="N862" s="275">
        <v>859</v>
      </c>
      <c r="O862" s="275">
        <v>3240</v>
      </c>
      <c r="P862" s="275">
        <v>4</v>
      </c>
      <c r="Q862" s="275">
        <f t="shared" si="28"/>
        <v>859</v>
      </c>
    </row>
    <row r="863" spans="13:17" x14ac:dyDescent="0.3">
      <c r="M863" s="275">
        <f t="shared" si="27"/>
        <v>0</v>
      </c>
      <c r="N863" s="275">
        <v>860</v>
      </c>
      <c r="O863" s="275">
        <v>3240</v>
      </c>
      <c r="P863" s="275">
        <v>5</v>
      </c>
      <c r="Q863" s="275">
        <f t="shared" si="28"/>
        <v>860</v>
      </c>
    </row>
    <row r="864" spans="13:17" x14ac:dyDescent="0.3">
      <c r="M864" s="275">
        <f t="shared" si="27"/>
        <v>0</v>
      </c>
      <c r="N864" s="275">
        <v>861</v>
      </c>
      <c r="O864" s="275">
        <v>3240</v>
      </c>
      <c r="P864" s="275">
        <v>6</v>
      </c>
      <c r="Q864" s="275">
        <f t="shared" si="28"/>
        <v>861</v>
      </c>
    </row>
    <row r="865" spans="13:17" x14ac:dyDescent="0.3">
      <c r="M865" s="275">
        <f t="shared" si="27"/>
        <v>0</v>
      </c>
      <c r="N865" s="275">
        <v>862</v>
      </c>
      <c r="O865" s="275">
        <v>3240</v>
      </c>
      <c r="P865" s="275">
        <v>7</v>
      </c>
      <c r="Q865" s="275">
        <f t="shared" si="28"/>
        <v>862</v>
      </c>
    </row>
    <row r="866" spans="13:17" x14ac:dyDescent="0.3">
      <c r="M866" s="275">
        <f t="shared" si="27"/>
        <v>0</v>
      </c>
      <c r="N866" s="275">
        <v>863</v>
      </c>
      <c r="O866" s="275">
        <v>3240</v>
      </c>
      <c r="P866" s="275">
        <v>8</v>
      </c>
      <c r="Q866" s="275">
        <f t="shared" si="28"/>
        <v>863</v>
      </c>
    </row>
    <row r="867" spans="13:17" x14ac:dyDescent="0.3">
      <c r="M867" s="275">
        <f t="shared" si="27"/>
        <v>0</v>
      </c>
      <c r="N867" s="275">
        <v>864</v>
      </c>
      <c r="O867" s="275">
        <v>3240</v>
      </c>
      <c r="P867" s="275">
        <v>9</v>
      </c>
      <c r="Q867" s="275">
        <f t="shared" si="28"/>
        <v>864</v>
      </c>
    </row>
    <row r="868" spans="13:17" x14ac:dyDescent="0.3">
      <c r="M868" s="275">
        <f t="shared" si="27"/>
        <v>0</v>
      </c>
      <c r="N868" s="275">
        <v>865</v>
      </c>
      <c r="O868" s="275">
        <v>3240</v>
      </c>
      <c r="P868" s="275">
        <v>10</v>
      </c>
      <c r="Q868" s="275">
        <f t="shared" si="28"/>
        <v>865</v>
      </c>
    </row>
    <row r="869" spans="13:17" x14ac:dyDescent="0.3">
      <c r="M869" s="275">
        <f t="shared" si="27"/>
        <v>0</v>
      </c>
      <c r="N869" s="275">
        <v>866</v>
      </c>
      <c r="O869" s="275">
        <v>3240</v>
      </c>
      <c r="P869" s="275">
        <v>11</v>
      </c>
      <c r="Q869" s="275">
        <f t="shared" si="28"/>
        <v>866</v>
      </c>
    </row>
    <row r="870" spans="13:17" x14ac:dyDescent="0.3">
      <c r="M870" s="275">
        <f t="shared" si="27"/>
        <v>0</v>
      </c>
      <c r="N870" s="275">
        <v>867</v>
      </c>
      <c r="O870" s="275">
        <v>3240</v>
      </c>
      <c r="P870" s="275">
        <v>12</v>
      </c>
      <c r="Q870" s="275">
        <f t="shared" si="28"/>
        <v>867</v>
      </c>
    </row>
    <row r="871" spans="13:17" x14ac:dyDescent="0.3">
      <c r="M871" s="275">
        <f t="shared" si="27"/>
        <v>0</v>
      </c>
      <c r="N871" s="275">
        <v>868</v>
      </c>
      <c r="O871" s="275">
        <v>3240</v>
      </c>
      <c r="P871" s="275">
        <v>13</v>
      </c>
      <c r="Q871" s="275">
        <f t="shared" si="28"/>
        <v>868</v>
      </c>
    </row>
    <row r="872" spans="13:17" x14ac:dyDescent="0.3">
      <c r="M872" s="275">
        <f t="shared" si="27"/>
        <v>0</v>
      </c>
      <c r="N872" s="275">
        <v>869</v>
      </c>
      <c r="O872" s="275">
        <v>3240</v>
      </c>
      <c r="P872" s="275">
        <v>14</v>
      </c>
      <c r="Q872" s="275">
        <f t="shared" si="28"/>
        <v>869</v>
      </c>
    </row>
    <row r="873" spans="13:17" x14ac:dyDescent="0.3">
      <c r="M873" s="275">
        <f t="shared" si="27"/>
        <v>0</v>
      </c>
      <c r="N873" s="275">
        <v>870</v>
      </c>
      <c r="O873" s="275">
        <v>3240</v>
      </c>
      <c r="P873" s="275">
        <v>15</v>
      </c>
      <c r="Q873" s="275">
        <f t="shared" si="28"/>
        <v>870</v>
      </c>
    </row>
    <row r="874" spans="13:17" x14ac:dyDescent="0.3">
      <c r="M874" s="275">
        <f t="shared" si="27"/>
        <v>0</v>
      </c>
      <c r="N874" s="275">
        <v>871</v>
      </c>
      <c r="O874" s="275">
        <v>3240</v>
      </c>
      <c r="P874" s="275">
        <v>16</v>
      </c>
      <c r="Q874" s="275">
        <f t="shared" si="28"/>
        <v>871</v>
      </c>
    </row>
    <row r="875" spans="13:17" x14ac:dyDescent="0.3">
      <c r="M875" s="275">
        <f t="shared" si="27"/>
        <v>0</v>
      </c>
      <c r="N875" s="275">
        <v>872</v>
      </c>
      <c r="O875" s="275">
        <v>3240</v>
      </c>
      <c r="P875" s="275">
        <v>17</v>
      </c>
      <c r="Q875" s="275">
        <f t="shared" si="28"/>
        <v>872</v>
      </c>
    </row>
    <row r="876" spans="13:17" x14ac:dyDescent="0.3">
      <c r="M876" s="275">
        <f t="shared" si="27"/>
        <v>0</v>
      </c>
      <c r="N876" s="275">
        <v>873</v>
      </c>
      <c r="O876" s="275">
        <v>3240</v>
      </c>
      <c r="P876" s="275">
        <v>18</v>
      </c>
      <c r="Q876" s="275">
        <f t="shared" si="28"/>
        <v>873</v>
      </c>
    </row>
    <row r="877" spans="13:17" x14ac:dyDescent="0.3">
      <c r="M877" s="275">
        <f t="shared" si="27"/>
        <v>0</v>
      </c>
      <c r="N877" s="275">
        <v>874</v>
      </c>
      <c r="O877" s="275">
        <v>3240</v>
      </c>
      <c r="P877" s="275">
        <v>19</v>
      </c>
      <c r="Q877" s="275">
        <f t="shared" si="28"/>
        <v>874</v>
      </c>
    </row>
    <row r="878" spans="13:17" x14ac:dyDescent="0.3">
      <c r="M878" s="275">
        <f t="shared" si="27"/>
        <v>0</v>
      </c>
      <c r="N878" s="275">
        <v>875</v>
      </c>
      <c r="O878" s="275">
        <v>3240</v>
      </c>
      <c r="P878" s="275">
        <v>20</v>
      </c>
      <c r="Q878" s="275">
        <f t="shared" si="28"/>
        <v>875</v>
      </c>
    </row>
    <row r="879" spans="13:17" x14ac:dyDescent="0.3">
      <c r="M879" s="275">
        <f t="shared" si="27"/>
        <v>0</v>
      </c>
      <c r="N879" s="275">
        <v>876</v>
      </c>
      <c r="O879" s="275">
        <v>3240</v>
      </c>
      <c r="P879" s="275">
        <v>21</v>
      </c>
      <c r="Q879" s="275">
        <f t="shared" si="28"/>
        <v>876</v>
      </c>
    </row>
    <row r="880" spans="13:17" x14ac:dyDescent="0.3">
      <c r="M880" s="275">
        <f t="shared" si="27"/>
        <v>0</v>
      </c>
      <c r="N880" s="275">
        <v>877</v>
      </c>
      <c r="O880" s="275">
        <v>3240</v>
      </c>
      <c r="P880" s="275">
        <v>22</v>
      </c>
      <c r="Q880" s="275">
        <f t="shared" si="28"/>
        <v>877</v>
      </c>
    </row>
    <row r="881" spans="13:17" x14ac:dyDescent="0.3">
      <c r="M881" s="275">
        <f t="shared" si="27"/>
        <v>0</v>
      </c>
      <c r="N881" s="275">
        <v>878</v>
      </c>
      <c r="O881" s="275">
        <v>3240</v>
      </c>
      <c r="P881" s="275">
        <v>23</v>
      </c>
      <c r="Q881" s="275">
        <f t="shared" si="28"/>
        <v>878</v>
      </c>
    </row>
    <row r="882" spans="13:17" x14ac:dyDescent="0.3">
      <c r="M882" s="275">
        <f t="shared" si="27"/>
        <v>0</v>
      </c>
      <c r="N882" s="275">
        <v>879</v>
      </c>
      <c r="O882" s="275">
        <v>3240</v>
      </c>
      <c r="P882" s="275">
        <v>24</v>
      </c>
      <c r="Q882" s="275">
        <f t="shared" si="28"/>
        <v>879</v>
      </c>
    </row>
    <row r="883" spans="13:17" x14ac:dyDescent="0.3">
      <c r="M883" s="275">
        <f t="shared" si="27"/>
        <v>0</v>
      </c>
      <c r="N883" s="275">
        <v>880</v>
      </c>
      <c r="O883" s="275">
        <v>3240</v>
      </c>
      <c r="P883" s="275">
        <v>25</v>
      </c>
      <c r="Q883" s="275">
        <f t="shared" si="28"/>
        <v>880</v>
      </c>
    </row>
    <row r="884" spans="13:17" x14ac:dyDescent="0.3">
      <c r="M884" s="275">
        <f t="shared" si="27"/>
        <v>0</v>
      </c>
      <c r="N884" s="275">
        <v>881</v>
      </c>
      <c r="O884" s="275">
        <v>3250</v>
      </c>
      <c r="P884" s="275">
        <v>1</v>
      </c>
      <c r="Q884" s="275">
        <f t="shared" si="28"/>
        <v>881</v>
      </c>
    </row>
    <row r="885" spans="13:17" x14ac:dyDescent="0.3">
      <c r="M885" s="275">
        <f t="shared" si="27"/>
        <v>0</v>
      </c>
      <c r="N885" s="275">
        <v>882</v>
      </c>
      <c r="O885" s="275">
        <v>3250</v>
      </c>
      <c r="P885" s="275">
        <v>2</v>
      </c>
      <c r="Q885" s="275">
        <f t="shared" si="28"/>
        <v>882</v>
      </c>
    </row>
    <row r="886" spans="13:17" x14ac:dyDescent="0.3">
      <c r="M886" s="275">
        <f t="shared" si="27"/>
        <v>0</v>
      </c>
      <c r="N886" s="275">
        <v>883</v>
      </c>
      <c r="O886" s="275">
        <v>3250</v>
      </c>
      <c r="P886" s="275">
        <v>3</v>
      </c>
      <c r="Q886" s="275">
        <f t="shared" si="28"/>
        <v>883</v>
      </c>
    </row>
    <row r="887" spans="13:17" x14ac:dyDescent="0.3">
      <c r="M887" s="275">
        <f t="shared" si="27"/>
        <v>0</v>
      </c>
      <c r="N887" s="275">
        <v>884</v>
      </c>
      <c r="O887" s="275">
        <v>3250</v>
      </c>
      <c r="P887" s="275">
        <v>4</v>
      </c>
      <c r="Q887" s="275">
        <f t="shared" si="28"/>
        <v>884</v>
      </c>
    </row>
    <row r="888" spans="13:17" x14ac:dyDescent="0.3">
      <c r="M888" s="275">
        <f t="shared" si="27"/>
        <v>0</v>
      </c>
      <c r="N888" s="275">
        <v>885</v>
      </c>
      <c r="O888" s="275">
        <v>3250</v>
      </c>
      <c r="P888" s="275">
        <v>5</v>
      </c>
      <c r="Q888" s="275">
        <f t="shared" si="28"/>
        <v>885</v>
      </c>
    </row>
    <row r="889" spans="13:17" x14ac:dyDescent="0.3">
      <c r="M889" s="275">
        <f t="shared" si="27"/>
        <v>0</v>
      </c>
      <c r="N889" s="275">
        <v>886</v>
      </c>
      <c r="O889" s="275">
        <v>3250</v>
      </c>
      <c r="P889" s="275">
        <v>6</v>
      </c>
      <c r="Q889" s="275">
        <f t="shared" si="28"/>
        <v>886</v>
      </c>
    </row>
    <row r="890" spans="13:17" x14ac:dyDescent="0.3">
      <c r="M890" s="275">
        <f t="shared" si="27"/>
        <v>0</v>
      </c>
      <c r="N890" s="275">
        <v>887</v>
      </c>
      <c r="O890" s="275">
        <v>3250</v>
      </c>
      <c r="P890" s="275">
        <v>7</v>
      </c>
      <c r="Q890" s="275">
        <f t="shared" si="28"/>
        <v>887</v>
      </c>
    </row>
    <row r="891" spans="13:17" x14ac:dyDescent="0.3">
      <c r="M891" s="275">
        <f t="shared" si="27"/>
        <v>0</v>
      </c>
      <c r="N891" s="275">
        <v>888</v>
      </c>
      <c r="O891" s="275">
        <v>3250</v>
      </c>
      <c r="P891" s="275">
        <v>8</v>
      </c>
      <c r="Q891" s="275">
        <f t="shared" si="28"/>
        <v>888</v>
      </c>
    </row>
    <row r="892" spans="13:17" x14ac:dyDescent="0.3">
      <c r="M892" s="275">
        <f t="shared" si="27"/>
        <v>0</v>
      </c>
      <c r="N892" s="275">
        <v>889</v>
      </c>
      <c r="O892" s="275">
        <v>3250</v>
      </c>
      <c r="P892" s="275">
        <v>9</v>
      </c>
      <c r="Q892" s="275">
        <f t="shared" si="28"/>
        <v>889</v>
      </c>
    </row>
    <row r="893" spans="13:17" x14ac:dyDescent="0.3">
      <c r="M893" s="275">
        <f t="shared" si="27"/>
        <v>0</v>
      </c>
      <c r="N893" s="275">
        <v>890</v>
      </c>
      <c r="O893" s="275">
        <v>3250</v>
      </c>
      <c r="P893" s="275">
        <v>10</v>
      </c>
      <c r="Q893" s="275">
        <f t="shared" si="28"/>
        <v>890</v>
      </c>
    </row>
    <row r="894" spans="13:17" x14ac:dyDescent="0.3">
      <c r="M894" s="275">
        <f t="shared" si="27"/>
        <v>0</v>
      </c>
      <c r="N894" s="275">
        <v>891</v>
      </c>
      <c r="O894" s="275">
        <v>3250</v>
      </c>
      <c r="P894" s="275">
        <v>11</v>
      </c>
      <c r="Q894" s="275">
        <f t="shared" si="28"/>
        <v>891</v>
      </c>
    </row>
    <row r="895" spans="13:17" x14ac:dyDescent="0.3">
      <c r="M895" s="275">
        <f t="shared" si="27"/>
        <v>0</v>
      </c>
      <c r="N895" s="275">
        <v>892</v>
      </c>
      <c r="O895" s="275">
        <v>3250</v>
      </c>
      <c r="P895" s="275">
        <v>12</v>
      </c>
      <c r="Q895" s="275">
        <f t="shared" si="28"/>
        <v>892</v>
      </c>
    </row>
    <row r="896" spans="13:17" x14ac:dyDescent="0.3">
      <c r="M896" s="275">
        <f t="shared" si="27"/>
        <v>0</v>
      </c>
      <c r="N896" s="275">
        <v>893</v>
      </c>
      <c r="O896" s="275">
        <v>3250</v>
      </c>
      <c r="P896" s="275">
        <v>13</v>
      </c>
      <c r="Q896" s="275">
        <f t="shared" si="28"/>
        <v>893</v>
      </c>
    </row>
    <row r="897" spans="13:17" x14ac:dyDescent="0.3">
      <c r="M897" s="275">
        <f t="shared" si="27"/>
        <v>0</v>
      </c>
      <c r="N897" s="275">
        <v>894</v>
      </c>
      <c r="O897" s="275">
        <v>3250</v>
      </c>
      <c r="P897" s="275">
        <v>14</v>
      </c>
      <c r="Q897" s="275">
        <f t="shared" si="28"/>
        <v>894</v>
      </c>
    </row>
    <row r="898" spans="13:17" x14ac:dyDescent="0.3">
      <c r="M898" s="275">
        <f t="shared" si="27"/>
        <v>0</v>
      </c>
      <c r="N898" s="275">
        <v>895</v>
      </c>
      <c r="O898" s="275">
        <v>3250</v>
      </c>
      <c r="P898" s="275">
        <v>15</v>
      </c>
      <c r="Q898" s="275">
        <f t="shared" si="28"/>
        <v>895</v>
      </c>
    </row>
    <row r="899" spans="13:17" x14ac:dyDescent="0.3">
      <c r="M899" s="275">
        <f t="shared" si="27"/>
        <v>0</v>
      </c>
      <c r="N899" s="275">
        <v>896</v>
      </c>
      <c r="O899" s="275">
        <v>3250</v>
      </c>
      <c r="P899" s="275">
        <v>16</v>
      </c>
      <c r="Q899" s="275">
        <f t="shared" si="28"/>
        <v>896</v>
      </c>
    </row>
    <row r="900" spans="13:17" x14ac:dyDescent="0.3">
      <c r="M900" s="275">
        <f t="shared" si="27"/>
        <v>0</v>
      </c>
      <c r="N900" s="275">
        <v>897</v>
      </c>
      <c r="O900" s="275">
        <v>3250</v>
      </c>
      <c r="P900" s="275">
        <v>17</v>
      </c>
      <c r="Q900" s="275">
        <f t="shared" si="28"/>
        <v>897</v>
      </c>
    </row>
    <row r="901" spans="13:17" x14ac:dyDescent="0.3">
      <c r="M901" s="275">
        <f t="shared" ref="M901:M964" si="29">J901</f>
        <v>0</v>
      </c>
      <c r="N901" s="275">
        <v>898</v>
      </c>
      <c r="O901" s="275">
        <v>3250</v>
      </c>
      <c r="P901" s="275">
        <v>18</v>
      </c>
      <c r="Q901" s="275">
        <f t="shared" ref="Q901:Q964" si="30">N901</f>
        <v>898</v>
      </c>
    </row>
    <row r="902" spans="13:17" x14ac:dyDescent="0.3">
      <c r="M902" s="275">
        <f t="shared" si="29"/>
        <v>0</v>
      </c>
      <c r="N902" s="275">
        <v>899</v>
      </c>
      <c r="O902" s="275">
        <v>3250</v>
      </c>
      <c r="P902" s="275">
        <v>19</v>
      </c>
      <c r="Q902" s="275">
        <f t="shared" si="30"/>
        <v>899</v>
      </c>
    </row>
    <row r="903" spans="13:17" x14ac:dyDescent="0.3">
      <c r="M903" s="275">
        <f t="shared" si="29"/>
        <v>0</v>
      </c>
      <c r="N903" s="275">
        <v>900</v>
      </c>
      <c r="O903" s="275">
        <v>3250</v>
      </c>
      <c r="P903" s="275">
        <v>20</v>
      </c>
      <c r="Q903" s="275">
        <f t="shared" si="30"/>
        <v>900</v>
      </c>
    </row>
    <row r="904" spans="13:17" x14ac:dyDescent="0.3">
      <c r="M904" s="275">
        <f t="shared" si="29"/>
        <v>0</v>
      </c>
      <c r="N904" s="275">
        <v>901</v>
      </c>
      <c r="O904" s="275">
        <v>3250</v>
      </c>
      <c r="P904" s="275">
        <v>21</v>
      </c>
      <c r="Q904" s="275">
        <f t="shared" si="30"/>
        <v>901</v>
      </c>
    </row>
    <row r="905" spans="13:17" x14ac:dyDescent="0.3">
      <c r="M905" s="275">
        <f t="shared" si="29"/>
        <v>0</v>
      </c>
      <c r="N905" s="275">
        <v>902</v>
      </c>
      <c r="O905" s="275">
        <v>3250</v>
      </c>
      <c r="P905" s="275">
        <v>22</v>
      </c>
      <c r="Q905" s="275">
        <f t="shared" si="30"/>
        <v>902</v>
      </c>
    </row>
    <row r="906" spans="13:17" x14ac:dyDescent="0.3">
      <c r="M906" s="275">
        <f t="shared" si="29"/>
        <v>0</v>
      </c>
      <c r="N906" s="275">
        <v>903</v>
      </c>
      <c r="O906" s="275">
        <v>3250</v>
      </c>
      <c r="P906" s="275">
        <v>23</v>
      </c>
      <c r="Q906" s="275">
        <f t="shared" si="30"/>
        <v>903</v>
      </c>
    </row>
    <row r="907" spans="13:17" x14ac:dyDescent="0.3">
      <c r="M907" s="275">
        <f t="shared" si="29"/>
        <v>0</v>
      </c>
      <c r="N907" s="275">
        <v>904</v>
      </c>
      <c r="O907" s="275">
        <v>3250</v>
      </c>
      <c r="P907" s="275">
        <v>24</v>
      </c>
      <c r="Q907" s="275">
        <f t="shared" si="30"/>
        <v>904</v>
      </c>
    </row>
    <row r="908" spans="13:17" x14ac:dyDescent="0.3">
      <c r="M908" s="275">
        <f t="shared" si="29"/>
        <v>0</v>
      </c>
      <c r="N908" s="275">
        <v>905</v>
      </c>
      <c r="O908" s="275">
        <v>3250</v>
      </c>
      <c r="P908" s="275">
        <v>25</v>
      </c>
      <c r="Q908" s="275">
        <f t="shared" si="30"/>
        <v>905</v>
      </c>
    </row>
    <row r="909" spans="13:17" x14ac:dyDescent="0.3">
      <c r="M909" s="275">
        <f t="shared" si="29"/>
        <v>0</v>
      </c>
      <c r="N909" s="275">
        <v>906</v>
      </c>
      <c r="O909" s="275">
        <v>3260</v>
      </c>
      <c r="P909" s="275">
        <v>1</v>
      </c>
      <c r="Q909" s="275">
        <f t="shared" si="30"/>
        <v>906</v>
      </c>
    </row>
    <row r="910" spans="13:17" x14ac:dyDescent="0.3">
      <c r="M910" s="275">
        <f t="shared" si="29"/>
        <v>0</v>
      </c>
      <c r="N910" s="275">
        <v>907</v>
      </c>
      <c r="O910" s="275">
        <v>3260</v>
      </c>
      <c r="P910" s="275">
        <v>2</v>
      </c>
      <c r="Q910" s="275">
        <f t="shared" si="30"/>
        <v>907</v>
      </c>
    </row>
    <row r="911" spans="13:17" x14ac:dyDescent="0.3">
      <c r="M911" s="275">
        <f t="shared" si="29"/>
        <v>0</v>
      </c>
      <c r="N911" s="275">
        <v>908</v>
      </c>
      <c r="O911" s="275">
        <v>3260</v>
      </c>
      <c r="P911" s="275">
        <v>3</v>
      </c>
      <c r="Q911" s="275">
        <f t="shared" si="30"/>
        <v>908</v>
      </c>
    </row>
    <row r="912" spans="13:17" x14ac:dyDescent="0.3">
      <c r="M912" s="275">
        <f t="shared" si="29"/>
        <v>0</v>
      </c>
      <c r="N912" s="275">
        <v>909</v>
      </c>
      <c r="O912" s="275">
        <v>3260</v>
      </c>
      <c r="P912" s="275">
        <v>4</v>
      </c>
      <c r="Q912" s="275">
        <f t="shared" si="30"/>
        <v>909</v>
      </c>
    </row>
    <row r="913" spans="13:17" x14ac:dyDescent="0.3">
      <c r="M913" s="275">
        <f t="shared" si="29"/>
        <v>0</v>
      </c>
      <c r="N913" s="275">
        <v>910</v>
      </c>
      <c r="O913" s="275">
        <v>3260</v>
      </c>
      <c r="P913" s="275">
        <v>5</v>
      </c>
      <c r="Q913" s="275">
        <f t="shared" si="30"/>
        <v>910</v>
      </c>
    </row>
    <row r="914" spans="13:17" x14ac:dyDescent="0.3">
      <c r="M914" s="275">
        <f t="shared" si="29"/>
        <v>0</v>
      </c>
      <c r="N914" s="275">
        <v>911</v>
      </c>
      <c r="O914" s="275">
        <v>3260</v>
      </c>
      <c r="P914" s="275">
        <v>6</v>
      </c>
      <c r="Q914" s="275">
        <f t="shared" si="30"/>
        <v>911</v>
      </c>
    </row>
    <row r="915" spans="13:17" x14ac:dyDescent="0.3">
      <c r="M915" s="275">
        <f t="shared" si="29"/>
        <v>0</v>
      </c>
      <c r="N915" s="275">
        <v>912</v>
      </c>
      <c r="O915" s="275">
        <v>3260</v>
      </c>
      <c r="P915" s="275">
        <v>7</v>
      </c>
      <c r="Q915" s="275">
        <f t="shared" si="30"/>
        <v>912</v>
      </c>
    </row>
    <row r="916" spans="13:17" x14ac:dyDescent="0.3">
      <c r="M916" s="275">
        <f t="shared" si="29"/>
        <v>0</v>
      </c>
      <c r="N916" s="275">
        <v>913</v>
      </c>
      <c r="O916" s="275">
        <v>3260</v>
      </c>
      <c r="P916" s="275">
        <v>8</v>
      </c>
      <c r="Q916" s="275">
        <f t="shared" si="30"/>
        <v>913</v>
      </c>
    </row>
    <row r="917" spans="13:17" x14ac:dyDescent="0.3">
      <c r="M917" s="275">
        <f t="shared" si="29"/>
        <v>0</v>
      </c>
      <c r="N917" s="275">
        <v>914</v>
      </c>
      <c r="O917" s="275">
        <v>3260</v>
      </c>
      <c r="P917" s="275">
        <v>9</v>
      </c>
      <c r="Q917" s="275">
        <f t="shared" si="30"/>
        <v>914</v>
      </c>
    </row>
    <row r="918" spans="13:17" x14ac:dyDescent="0.3">
      <c r="M918" s="275">
        <f t="shared" si="29"/>
        <v>0</v>
      </c>
      <c r="N918" s="275">
        <v>915</v>
      </c>
      <c r="O918" s="275">
        <v>3260</v>
      </c>
      <c r="P918" s="275">
        <v>10</v>
      </c>
      <c r="Q918" s="275">
        <f t="shared" si="30"/>
        <v>915</v>
      </c>
    </row>
    <row r="919" spans="13:17" x14ac:dyDescent="0.3">
      <c r="M919" s="275">
        <f t="shared" si="29"/>
        <v>0</v>
      </c>
      <c r="N919" s="275">
        <v>916</v>
      </c>
      <c r="O919" s="275">
        <v>3260</v>
      </c>
      <c r="P919" s="275">
        <v>11</v>
      </c>
      <c r="Q919" s="275">
        <f t="shared" si="30"/>
        <v>916</v>
      </c>
    </row>
    <row r="920" spans="13:17" x14ac:dyDescent="0.3">
      <c r="M920" s="275">
        <f t="shared" si="29"/>
        <v>0</v>
      </c>
      <c r="N920" s="275">
        <v>917</v>
      </c>
      <c r="O920" s="275">
        <v>3260</v>
      </c>
      <c r="P920" s="275">
        <v>12</v>
      </c>
      <c r="Q920" s="275">
        <f t="shared" si="30"/>
        <v>917</v>
      </c>
    </row>
    <row r="921" spans="13:17" x14ac:dyDescent="0.3">
      <c r="M921" s="275">
        <f t="shared" si="29"/>
        <v>0</v>
      </c>
      <c r="N921" s="275">
        <v>918</v>
      </c>
      <c r="O921" s="275">
        <v>3260</v>
      </c>
      <c r="P921" s="275">
        <v>13</v>
      </c>
      <c r="Q921" s="275">
        <f t="shared" si="30"/>
        <v>918</v>
      </c>
    </row>
    <row r="922" spans="13:17" x14ac:dyDescent="0.3">
      <c r="M922" s="275">
        <f t="shared" si="29"/>
        <v>0</v>
      </c>
      <c r="N922" s="275">
        <v>919</v>
      </c>
      <c r="O922" s="275">
        <v>3260</v>
      </c>
      <c r="P922" s="275">
        <v>14</v>
      </c>
      <c r="Q922" s="275">
        <f t="shared" si="30"/>
        <v>919</v>
      </c>
    </row>
    <row r="923" spans="13:17" x14ac:dyDescent="0.3">
      <c r="M923" s="275">
        <f t="shared" si="29"/>
        <v>0</v>
      </c>
      <c r="N923" s="275">
        <v>920</v>
      </c>
      <c r="O923" s="275">
        <v>3260</v>
      </c>
      <c r="P923" s="275">
        <v>15</v>
      </c>
      <c r="Q923" s="275">
        <f t="shared" si="30"/>
        <v>920</v>
      </c>
    </row>
    <row r="924" spans="13:17" x14ac:dyDescent="0.3">
      <c r="M924" s="275">
        <f t="shared" si="29"/>
        <v>0</v>
      </c>
      <c r="N924" s="275">
        <v>921</v>
      </c>
      <c r="O924" s="275">
        <v>3260</v>
      </c>
      <c r="P924" s="275">
        <v>16</v>
      </c>
      <c r="Q924" s="275">
        <f t="shared" si="30"/>
        <v>921</v>
      </c>
    </row>
    <row r="925" spans="13:17" x14ac:dyDescent="0.3">
      <c r="M925" s="275">
        <f t="shared" si="29"/>
        <v>0</v>
      </c>
      <c r="N925" s="275">
        <v>922</v>
      </c>
      <c r="O925" s="275">
        <v>3260</v>
      </c>
      <c r="P925" s="275">
        <v>17</v>
      </c>
      <c r="Q925" s="275">
        <f t="shared" si="30"/>
        <v>922</v>
      </c>
    </row>
    <row r="926" spans="13:17" x14ac:dyDescent="0.3">
      <c r="M926" s="275">
        <f t="shared" si="29"/>
        <v>0</v>
      </c>
      <c r="N926" s="275">
        <v>923</v>
      </c>
      <c r="O926" s="275">
        <v>3260</v>
      </c>
      <c r="P926" s="275">
        <v>18</v>
      </c>
      <c r="Q926" s="275">
        <f t="shared" si="30"/>
        <v>923</v>
      </c>
    </row>
    <row r="927" spans="13:17" x14ac:dyDescent="0.3">
      <c r="M927" s="275">
        <f t="shared" si="29"/>
        <v>0</v>
      </c>
      <c r="N927" s="275">
        <v>924</v>
      </c>
      <c r="O927" s="275">
        <v>3260</v>
      </c>
      <c r="P927" s="275">
        <v>19</v>
      </c>
      <c r="Q927" s="275">
        <f t="shared" si="30"/>
        <v>924</v>
      </c>
    </row>
    <row r="928" spans="13:17" x14ac:dyDescent="0.3">
      <c r="M928" s="275">
        <f t="shared" si="29"/>
        <v>0</v>
      </c>
      <c r="N928" s="275">
        <v>925</v>
      </c>
      <c r="O928" s="275">
        <v>3260</v>
      </c>
      <c r="P928" s="275">
        <v>20</v>
      </c>
      <c r="Q928" s="275">
        <f t="shared" si="30"/>
        <v>925</v>
      </c>
    </row>
    <row r="929" spans="13:17" x14ac:dyDescent="0.3">
      <c r="M929" s="275">
        <f t="shared" si="29"/>
        <v>0</v>
      </c>
      <c r="N929" s="275">
        <v>926</v>
      </c>
      <c r="O929" s="275">
        <v>3260</v>
      </c>
      <c r="P929" s="275">
        <v>21</v>
      </c>
      <c r="Q929" s="275">
        <f t="shared" si="30"/>
        <v>926</v>
      </c>
    </row>
    <row r="930" spans="13:17" x14ac:dyDescent="0.3">
      <c r="M930" s="275">
        <f t="shared" si="29"/>
        <v>0</v>
      </c>
      <c r="N930" s="275">
        <v>927</v>
      </c>
      <c r="O930" s="275">
        <v>3260</v>
      </c>
      <c r="P930" s="275">
        <v>22</v>
      </c>
      <c r="Q930" s="275">
        <f t="shared" si="30"/>
        <v>927</v>
      </c>
    </row>
    <row r="931" spans="13:17" x14ac:dyDescent="0.3">
      <c r="M931" s="275">
        <f t="shared" si="29"/>
        <v>0</v>
      </c>
      <c r="N931" s="275">
        <v>928</v>
      </c>
      <c r="O931" s="275">
        <v>3260</v>
      </c>
      <c r="P931" s="275">
        <v>23</v>
      </c>
      <c r="Q931" s="275">
        <f t="shared" si="30"/>
        <v>928</v>
      </c>
    </row>
    <row r="932" spans="13:17" x14ac:dyDescent="0.3">
      <c r="M932" s="275">
        <f t="shared" si="29"/>
        <v>0</v>
      </c>
      <c r="N932" s="275">
        <v>929</v>
      </c>
      <c r="O932" s="275">
        <v>3260</v>
      </c>
      <c r="P932" s="275">
        <v>24</v>
      </c>
      <c r="Q932" s="275">
        <f t="shared" si="30"/>
        <v>929</v>
      </c>
    </row>
    <row r="933" spans="13:17" x14ac:dyDescent="0.3">
      <c r="M933" s="275">
        <f t="shared" si="29"/>
        <v>0</v>
      </c>
      <c r="N933" s="275">
        <v>930</v>
      </c>
      <c r="O933" s="275">
        <v>3260</v>
      </c>
      <c r="P933" s="275">
        <v>25</v>
      </c>
      <c r="Q933" s="275">
        <f t="shared" si="30"/>
        <v>930</v>
      </c>
    </row>
    <row r="934" spans="13:17" x14ac:dyDescent="0.3">
      <c r="M934" s="275">
        <f t="shared" si="29"/>
        <v>0</v>
      </c>
      <c r="N934" s="275">
        <v>931</v>
      </c>
      <c r="O934" s="275">
        <v>3310</v>
      </c>
      <c r="P934" s="275">
        <v>1</v>
      </c>
      <c r="Q934" s="275">
        <f t="shared" si="30"/>
        <v>931</v>
      </c>
    </row>
    <row r="935" spans="13:17" x14ac:dyDescent="0.3">
      <c r="M935" s="275">
        <f t="shared" si="29"/>
        <v>0</v>
      </c>
      <c r="N935" s="275">
        <v>932</v>
      </c>
      <c r="O935" s="275">
        <v>3310</v>
      </c>
      <c r="P935" s="275">
        <v>2</v>
      </c>
      <c r="Q935" s="275">
        <f t="shared" si="30"/>
        <v>932</v>
      </c>
    </row>
    <row r="936" spans="13:17" x14ac:dyDescent="0.3">
      <c r="M936" s="275">
        <f t="shared" si="29"/>
        <v>0</v>
      </c>
      <c r="N936" s="275">
        <v>933</v>
      </c>
      <c r="O936" s="275">
        <v>3310</v>
      </c>
      <c r="P936" s="275">
        <v>3</v>
      </c>
      <c r="Q936" s="275">
        <f t="shared" si="30"/>
        <v>933</v>
      </c>
    </row>
    <row r="937" spans="13:17" x14ac:dyDescent="0.3">
      <c r="M937" s="275">
        <f t="shared" si="29"/>
        <v>0</v>
      </c>
      <c r="N937" s="275">
        <v>934</v>
      </c>
      <c r="O937" s="275">
        <v>3310</v>
      </c>
      <c r="P937" s="275">
        <v>4</v>
      </c>
      <c r="Q937" s="275">
        <f t="shared" si="30"/>
        <v>934</v>
      </c>
    </row>
    <row r="938" spans="13:17" x14ac:dyDescent="0.3">
      <c r="M938" s="275">
        <f t="shared" si="29"/>
        <v>0</v>
      </c>
      <c r="N938" s="275">
        <v>935</v>
      </c>
      <c r="O938" s="275">
        <v>3310</v>
      </c>
      <c r="P938" s="275">
        <v>5</v>
      </c>
      <c r="Q938" s="275">
        <f t="shared" si="30"/>
        <v>935</v>
      </c>
    </row>
    <row r="939" spans="13:17" x14ac:dyDescent="0.3">
      <c r="M939" s="275">
        <f t="shared" si="29"/>
        <v>0</v>
      </c>
      <c r="N939" s="275">
        <v>936</v>
      </c>
      <c r="O939" s="275">
        <v>3310</v>
      </c>
      <c r="P939" s="275">
        <v>6</v>
      </c>
      <c r="Q939" s="275">
        <f t="shared" si="30"/>
        <v>936</v>
      </c>
    </row>
    <row r="940" spans="13:17" x14ac:dyDescent="0.3">
      <c r="M940" s="275">
        <f t="shared" si="29"/>
        <v>0</v>
      </c>
      <c r="N940" s="275">
        <v>937</v>
      </c>
      <c r="O940" s="275">
        <v>3310</v>
      </c>
      <c r="P940" s="275">
        <v>7</v>
      </c>
      <c r="Q940" s="275">
        <f t="shared" si="30"/>
        <v>937</v>
      </c>
    </row>
    <row r="941" spans="13:17" x14ac:dyDescent="0.3">
      <c r="M941" s="275">
        <f t="shared" si="29"/>
        <v>0</v>
      </c>
      <c r="N941" s="275">
        <v>938</v>
      </c>
      <c r="O941" s="275">
        <v>3310</v>
      </c>
      <c r="P941" s="275">
        <v>8</v>
      </c>
      <c r="Q941" s="275">
        <f t="shared" si="30"/>
        <v>938</v>
      </c>
    </row>
    <row r="942" spans="13:17" x14ac:dyDescent="0.3">
      <c r="M942" s="275">
        <f t="shared" si="29"/>
        <v>0</v>
      </c>
      <c r="N942" s="275">
        <v>939</v>
      </c>
      <c r="O942" s="275">
        <v>3310</v>
      </c>
      <c r="P942" s="275">
        <v>9</v>
      </c>
      <c r="Q942" s="275">
        <f t="shared" si="30"/>
        <v>939</v>
      </c>
    </row>
    <row r="943" spans="13:17" x14ac:dyDescent="0.3">
      <c r="M943" s="275">
        <f t="shared" si="29"/>
        <v>0</v>
      </c>
      <c r="N943" s="275">
        <v>940</v>
      </c>
      <c r="O943" s="275">
        <v>3310</v>
      </c>
      <c r="P943" s="275">
        <v>10</v>
      </c>
      <c r="Q943" s="275">
        <f t="shared" si="30"/>
        <v>940</v>
      </c>
    </row>
    <row r="944" spans="13:17" x14ac:dyDescent="0.3">
      <c r="M944" s="275">
        <f t="shared" si="29"/>
        <v>0</v>
      </c>
      <c r="N944" s="275">
        <v>941</v>
      </c>
      <c r="O944" s="275">
        <v>3310</v>
      </c>
      <c r="P944" s="275">
        <v>11</v>
      </c>
      <c r="Q944" s="275">
        <f t="shared" si="30"/>
        <v>941</v>
      </c>
    </row>
    <row r="945" spans="13:17" x14ac:dyDescent="0.3">
      <c r="M945" s="275">
        <f t="shared" si="29"/>
        <v>0</v>
      </c>
      <c r="N945" s="275">
        <v>942</v>
      </c>
      <c r="O945" s="275">
        <v>3310</v>
      </c>
      <c r="P945" s="275">
        <v>12</v>
      </c>
      <c r="Q945" s="275">
        <f t="shared" si="30"/>
        <v>942</v>
      </c>
    </row>
    <row r="946" spans="13:17" x14ac:dyDescent="0.3">
      <c r="M946" s="275">
        <f t="shared" si="29"/>
        <v>0</v>
      </c>
      <c r="N946" s="275">
        <v>943</v>
      </c>
      <c r="O946" s="275">
        <v>3310</v>
      </c>
      <c r="P946" s="275">
        <v>13</v>
      </c>
      <c r="Q946" s="275">
        <f t="shared" si="30"/>
        <v>943</v>
      </c>
    </row>
    <row r="947" spans="13:17" x14ac:dyDescent="0.3">
      <c r="M947" s="275">
        <f t="shared" si="29"/>
        <v>0</v>
      </c>
      <c r="N947" s="275">
        <v>944</v>
      </c>
      <c r="O947" s="275">
        <v>3310</v>
      </c>
      <c r="P947" s="275">
        <v>14</v>
      </c>
      <c r="Q947" s="275">
        <f t="shared" si="30"/>
        <v>944</v>
      </c>
    </row>
    <row r="948" spans="13:17" x14ac:dyDescent="0.3">
      <c r="M948" s="275">
        <f t="shared" si="29"/>
        <v>0</v>
      </c>
      <c r="N948" s="275">
        <v>945</v>
      </c>
      <c r="O948" s="275">
        <v>3310</v>
      </c>
      <c r="P948" s="275">
        <v>15</v>
      </c>
      <c r="Q948" s="275">
        <f t="shared" si="30"/>
        <v>945</v>
      </c>
    </row>
    <row r="949" spans="13:17" x14ac:dyDescent="0.3">
      <c r="M949" s="275">
        <f t="shared" si="29"/>
        <v>0</v>
      </c>
      <c r="N949" s="275">
        <v>946</v>
      </c>
      <c r="O949" s="275">
        <v>3310</v>
      </c>
      <c r="P949" s="275">
        <v>16</v>
      </c>
      <c r="Q949" s="275">
        <f t="shared" si="30"/>
        <v>946</v>
      </c>
    </row>
    <row r="950" spans="13:17" x14ac:dyDescent="0.3">
      <c r="M950" s="275">
        <f t="shared" si="29"/>
        <v>0</v>
      </c>
      <c r="N950" s="275">
        <v>947</v>
      </c>
      <c r="O950" s="275">
        <v>3310</v>
      </c>
      <c r="P950" s="275">
        <v>17</v>
      </c>
      <c r="Q950" s="275">
        <f t="shared" si="30"/>
        <v>947</v>
      </c>
    </row>
    <row r="951" spans="13:17" x14ac:dyDescent="0.3">
      <c r="M951" s="275">
        <f t="shared" si="29"/>
        <v>0</v>
      </c>
      <c r="N951" s="275">
        <v>948</v>
      </c>
      <c r="O951" s="275">
        <v>3310</v>
      </c>
      <c r="P951" s="275">
        <v>18</v>
      </c>
      <c r="Q951" s="275">
        <f t="shared" si="30"/>
        <v>948</v>
      </c>
    </row>
    <row r="952" spans="13:17" x14ac:dyDescent="0.3">
      <c r="M952" s="275">
        <f t="shared" si="29"/>
        <v>0</v>
      </c>
      <c r="N952" s="275">
        <v>949</v>
      </c>
      <c r="O952" s="275">
        <v>3310</v>
      </c>
      <c r="P952" s="275">
        <v>19</v>
      </c>
      <c r="Q952" s="275">
        <f t="shared" si="30"/>
        <v>949</v>
      </c>
    </row>
    <row r="953" spans="13:17" x14ac:dyDescent="0.3">
      <c r="M953" s="275">
        <f t="shared" si="29"/>
        <v>0</v>
      </c>
      <c r="N953" s="275">
        <v>950</v>
      </c>
      <c r="O953" s="275">
        <v>3310</v>
      </c>
      <c r="P953" s="275">
        <v>20</v>
      </c>
      <c r="Q953" s="275">
        <f t="shared" si="30"/>
        <v>950</v>
      </c>
    </row>
    <row r="954" spans="13:17" x14ac:dyDescent="0.3">
      <c r="M954" s="275">
        <f t="shared" si="29"/>
        <v>0</v>
      </c>
      <c r="N954" s="275">
        <v>951</v>
      </c>
      <c r="O954" s="275">
        <v>3310</v>
      </c>
      <c r="P954" s="275">
        <v>21</v>
      </c>
      <c r="Q954" s="275">
        <f t="shared" si="30"/>
        <v>951</v>
      </c>
    </row>
    <row r="955" spans="13:17" x14ac:dyDescent="0.3">
      <c r="M955" s="275">
        <f t="shared" si="29"/>
        <v>0</v>
      </c>
      <c r="N955" s="275">
        <v>952</v>
      </c>
      <c r="O955" s="275">
        <v>3310</v>
      </c>
      <c r="P955" s="275">
        <v>22</v>
      </c>
      <c r="Q955" s="275">
        <f t="shared" si="30"/>
        <v>952</v>
      </c>
    </row>
    <row r="956" spans="13:17" x14ac:dyDescent="0.3">
      <c r="M956" s="275">
        <f t="shared" si="29"/>
        <v>0</v>
      </c>
      <c r="N956" s="275">
        <v>953</v>
      </c>
      <c r="O956" s="275">
        <v>3310</v>
      </c>
      <c r="P956" s="275">
        <v>23</v>
      </c>
      <c r="Q956" s="275">
        <f t="shared" si="30"/>
        <v>953</v>
      </c>
    </row>
    <row r="957" spans="13:17" x14ac:dyDescent="0.3">
      <c r="M957" s="275">
        <f t="shared" si="29"/>
        <v>0</v>
      </c>
      <c r="N957" s="275">
        <v>954</v>
      </c>
      <c r="O957" s="275">
        <v>3310</v>
      </c>
      <c r="P957" s="275">
        <v>24</v>
      </c>
      <c r="Q957" s="275">
        <f t="shared" si="30"/>
        <v>954</v>
      </c>
    </row>
    <row r="958" spans="13:17" x14ac:dyDescent="0.3">
      <c r="M958" s="275">
        <f t="shared" si="29"/>
        <v>0</v>
      </c>
      <c r="N958" s="275">
        <v>955</v>
      </c>
      <c r="O958" s="275">
        <v>3310</v>
      </c>
      <c r="P958" s="275">
        <v>25</v>
      </c>
      <c r="Q958" s="275">
        <f t="shared" si="30"/>
        <v>955</v>
      </c>
    </row>
    <row r="959" spans="13:17" x14ac:dyDescent="0.3">
      <c r="M959" s="275">
        <f t="shared" si="29"/>
        <v>0</v>
      </c>
      <c r="N959" s="275">
        <v>956</v>
      </c>
      <c r="O959" s="275">
        <v>3320</v>
      </c>
      <c r="P959" s="275">
        <v>1</v>
      </c>
      <c r="Q959" s="275">
        <f t="shared" si="30"/>
        <v>956</v>
      </c>
    </row>
    <row r="960" spans="13:17" x14ac:dyDescent="0.3">
      <c r="M960" s="275">
        <f t="shared" si="29"/>
        <v>0</v>
      </c>
      <c r="N960" s="275">
        <v>957</v>
      </c>
      <c r="O960" s="275">
        <v>3320</v>
      </c>
      <c r="P960" s="275">
        <v>2</v>
      </c>
      <c r="Q960" s="275">
        <f t="shared" si="30"/>
        <v>957</v>
      </c>
    </row>
    <row r="961" spans="13:17" x14ac:dyDescent="0.3">
      <c r="M961" s="275">
        <f t="shared" si="29"/>
        <v>0</v>
      </c>
      <c r="N961" s="275">
        <v>958</v>
      </c>
      <c r="O961" s="275">
        <v>3320</v>
      </c>
      <c r="P961" s="275">
        <v>3</v>
      </c>
      <c r="Q961" s="275">
        <f t="shared" si="30"/>
        <v>958</v>
      </c>
    </row>
    <row r="962" spans="13:17" x14ac:dyDescent="0.3">
      <c r="M962" s="275">
        <f t="shared" si="29"/>
        <v>0</v>
      </c>
      <c r="N962" s="275">
        <v>959</v>
      </c>
      <c r="O962" s="275">
        <v>3320</v>
      </c>
      <c r="P962" s="275">
        <v>4</v>
      </c>
      <c r="Q962" s="275">
        <f t="shared" si="30"/>
        <v>959</v>
      </c>
    </row>
    <row r="963" spans="13:17" x14ac:dyDescent="0.3">
      <c r="M963" s="275">
        <f t="shared" si="29"/>
        <v>0</v>
      </c>
      <c r="N963" s="275">
        <v>960</v>
      </c>
      <c r="O963" s="275">
        <v>3320</v>
      </c>
      <c r="P963" s="275">
        <v>5</v>
      </c>
      <c r="Q963" s="275">
        <f t="shared" si="30"/>
        <v>960</v>
      </c>
    </row>
    <row r="964" spans="13:17" x14ac:dyDescent="0.3">
      <c r="M964" s="275">
        <f t="shared" si="29"/>
        <v>0</v>
      </c>
      <c r="N964" s="275">
        <v>961</v>
      </c>
      <c r="O964" s="275">
        <v>3320</v>
      </c>
      <c r="P964" s="275">
        <v>6</v>
      </c>
      <c r="Q964" s="275">
        <f t="shared" si="30"/>
        <v>961</v>
      </c>
    </row>
    <row r="965" spans="13:17" x14ac:dyDescent="0.3">
      <c r="M965" s="275">
        <f t="shared" ref="M965:M1028" si="31">J965</f>
        <v>0</v>
      </c>
      <c r="N965" s="275">
        <v>962</v>
      </c>
      <c r="O965" s="275">
        <v>3320</v>
      </c>
      <c r="P965" s="275">
        <v>7</v>
      </c>
      <c r="Q965" s="275">
        <f t="shared" ref="Q965:Q1028" si="32">N965</f>
        <v>962</v>
      </c>
    </row>
    <row r="966" spans="13:17" x14ac:dyDescent="0.3">
      <c r="M966" s="275">
        <f t="shared" si="31"/>
        <v>0</v>
      </c>
      <c r="N966" s="275">
        <v>963</v>
      </c>
      <c r="O966" s="275">
        <v>3320</v>
      </c>
      <c r="P966" s="275">
        <v>8</v>
      </c>
      <c r="Q966" s="275">
        <f t="shared" si="32"/>
        <v>963</v>
      </c>
    </row>
    <row r="967" spans="13:17" x14ac:dyDescent="0.3">
      <c r="M967" s="275">
        <f t="shared" si="31"/>
        <v>0</v>
      </c>
      <c r="N967" s="275">
        <v>964</v>
      </c>
      <c r="O967" s="275">
        <v>3320</v>
      </c>
      <c r="P967" s="275">
        <v>9</v>
      </c>
      <c r="Q967" s="275">
        <f t="shared" si="32"/>
        <v>964</v>
      </c>
    </row>
    <row r="968" spans="13:17" x14ac:dyDescent="0.3">
      <c r="M968" s="275">
        <f t="shared" si="31"/>
        <v>0</v>
      </c>
      <c r="N968" s="275">
        <v>965</v>
      </c>
      <c r="O968" s="275">
        <v>3320</v>
      </c>
      <c r="P968" s="275">
        <v>10</v>
      </c>
      <c r="Q968" s="275">
        <f t="shared" si="32"/>
        <v>965</v>
      </c>
    </row>
    <row r="969" spans="13:17" x14ac:dyDescent="0.3">
      <c r="M969" s="275">
        <f t="shared" si="31"/>
        <v>0</v>
      </c>
      <c r="N969" s="275">
        <v>966</v>
      </c>
      <c r="O969" s="275">
        <v>3320</v>
      </c>
      <c r="P969" s="275">
        <v>11</v>
      </c>
      <c r="Q969" s="275">
        <f t="shared" si="32"/>
        <v>966</v>
      </c>
    </row>
    <row r="970" spans="13:17" x14ac:dyDescent="0.3">
      <c r="M970" s="275">
        <f t="shared" si="31"/>
        <v>0</v>
      </c>
      <c r="N970" s="275">
        <v>967</v>
      </c>
      <c r="O970" s="275">
        <v>3320</v>
      </c>
      <c r="P970" s="275">
        <v>12</v>
      </c>
      <c r="Q970" s="275">
        <f t="shared" si="32"/>
        <v>967</v>
      </c>
    </row>
    <row r="971" spans="13:17" x14ac:dyDescent="0.3">
      <c r="M971" s="275">
        <f t="shared" si="31"/>
        <v>0</v>
      </c>
      <c r="N971" s="275">
        <v>968</v>
      </c>
      <c r="O971" s="275">
        <v>3320</v>
      </c>
      <c r="P971" s="275">
        <v>13</v>
      </c>
      <c r="Q971" s="275">
        <f t="shared" si="32"/>
        <v>968</v>
      </c>
    </row>
    <row r="972" spans="13:17" x14ac:dyDescent="0.3">
      <c r="M972" s="275">
        <f t="shared" si="31"/>
        <v>0</v>
      </c>
      <c r="N972" s="275">
        <v>969</v>
      </c>
      <c r="O972" s="275">
        <v>3320</v>
      </c>
      <c r="P972" s="275">
        <v>14</v>
      </c>
      <c r="Q972" s="275">
        <f t="shared" si="32"/>
        <v>969</v>
      </c>
    </row>
    <row r="973" spans="13:17" x14ac:dyDescent="0.3">
      <c r="M973" s="275">
        <f t="shared" si="31"/>
        <v>0</v>
      </c>
      <c r="N973" s="275">
        <v>970</v>
      </c>
      <c r="O973" s="275">
        <v>3320</v>
      </c>
      <c r="P973" s="275">
        <v>15</v>
      </c>
      <c r="Q973" s="275">
        <f t="shared" si="32"/>
        <v>970</v>
      </c>
    </row>
    <row r="974" spans="13:17" x14ac:dyDescent="0.3">
      <c r="M974" s="275">
        <f t="shared" si="31"/>
        <v>0</v>
      </c>
      <c r="N974" s="275">
        <v>971</v>
      </c>
      <c r="O974" s="275">
        <v>3320</v>
      </c>
      <c r="P974" s="275">
        <v>16</v>
      </c>
      <c r="Q974" s="275">
        <f t="shared" si="32"/>
        <v>971</v>
      </c>
    </row>
    <row r="975" spans="13:17" x14ac:dyDescent="0.3">
      <c r="M975" s="275">
        <f t="shared" si="31"/>
        <v>0</v>
      </c>
      <c r="N975" s="275">
        <v>972</v>
      </c>
      <c r="O975" s="275">
        <v>3320</v>
      </c>
      <c r="P975" s="275">
        <v>17</v>
      </c>
      <c r="Q975" s="275">
        <f t="shared" si="32"/>
        <v>972</v>
      </c>
    </row>
    <row r="976" spans="13:17" x14ac:dyDescent="0.3">
      <c r="M976" s="275">
        <f t="shared" si="31"/>
        <v>0</v>
      </c>
      <c r="N976" s="275">
        <v>973</v>
      </c>
      <c r="O976" s="275">
        <v>3320</v>
      </c>
      <c r="P976" s="275">
        <v>18</v>
      </c>
      <c r="Q976" s="275">
        <f t="shared" si="32"/>
        <v>973</v>
      </c>
    </row>
    <row r="977" spans="13:17" x14ac:dyDescent="0.3">
      <c r="M977" s="275">
        <f t="shared" si="31"/>
        <v>0</v>
      </c>
      <c r="N977" s="275">
        <v>974</v>
      </c>
      <c r="O977" s="275">
        <v>3320</v>
      </c>
      <c r="P977" s="275">
        <v>19</v>
      </c>
      <c r="Q977" s="275">
        <f t="shared" si="32"/>
        <v>974</v>
      </c>
    </row>
    <row r="978" spans="13:17" x14ac:dyDescent="0.3">
      <c r="M978" s="275">
        <f t="shared" si="31"/>
        <v>0</v>
      </c>
      <c r="N978" s="275">
        <v>975</v>
      </c>
      <c r="O978" s="275">
        <v>3320</v>
      </c>
      <c r="P978" s="275">
        <v>20</v>
      </c>
      <c r="Q978" s="275">
        <f t="shared" si="32"/>
        <v>975</v>
      </c>
    </row>
    <row r="979" spans="13:17" x14ac:dyDescent="0.3">
      <c r="M979" s="275">
        <f t="shared" si="31"/>
        <v>0</v>
      </c>
      <c r="N979" s="275">
        <v>976</v>
      </c>
      <c r="O979" s="275">
        <v>3320</v>
      </c>
      <c r="P979" s="275">
        <v>21</v>
      </c>
      <c r="Q979" s="275">
        <f t="shared" si="32"/>
        <v>976</v>
      </c>
    </row>
    <row r="980" spans="13:17" x14ac:dyDescent="0.3">
      <c r="M980" s="275">
        <f t="shared" si="31"/>
        <v>0</v>
      </c>
      <c r="N980" s="275">
        <v>977</v>
      </c>
      <c r="O980" s="275">
        <v>3320</v>
      </c>
      <c r="P980" s="275">
        <v>22</v>
      </c>
      <c r="Q980" s="275">
        <f t="shared" si="32"/>
        <v>977</v>
      </c>
    </row>
    <row r="981" spans="13:17" x14ac:dyDescent="0.3">
      <c r="M981" s="275">
        <f t="shared" si="31"/>
        <v>0</v>
      </c>
      <c r="N981" s="275">
        <v>978</v>
      </c>
      <c r="O981" s="275">
        <v>3320</v>
      </c>
      <c r="P981" s="275">
        <v>23</v>
      </c>
      <c r="Q981" s="275">
        <f t="shared" si="32"/>
        <v>978</v>
      </c>
    </row>
    <row r="982" spans="13:17" x14ac:dyDescent="0.3">
      <c r="M982" s="275">
        <f t="shared" si="31"/>
        <v>0</v>
      </c>
      <c r="N982" s="275">
        <v>979</v>
      </c>
      <c r="O982" s="275">
        <v>3320</v>
      </c>
      <c r="P982" s="275">
        <v>24</v>
      </c>
      <c r="Q982" s="275">
        <f t="shared" si="32"/>
        <v>979</v>
      </c>
    </row>
    <row r="983" spans="13:17" x14ac:dyDescent="0.3">
      <c r="M983" s="275">
        <f t="shared" si="31"/>
        <v>0</v>
      </c>
      <c r="N983" s="275">
        <v>980</v>
      </c>
      <c r="O983" s="275">
        <v>3320</v>
      </c>
      <c r="P983" s="275">
        <v>25</v>
      </c>
      <c r="Q983" s="275">
        <f t="shared" si="32"/>
        <v>980</v>
      </c>
    </row>
    <row r="984" spans="13:17" x14ac:dyDescent="0.3">
      <c r="M984" s="275">
        <f t="shared" si="31"/>
        <v>0</v>
      </c>
      <c r="N984" s="275">
        <v>981</v>
      </c>
      <c r="O984" s="275">
        <v>3330</v>
      </c>
      <c r="P984" s="275">
        <v>1</v>
      </c>
      <c r="Q984" s="275">
        <f t="shared" si="32"/>
        <v>981</v>
      </c>
    </row>
    <row r="985" spans="13:17" x14ac:dyDescent="0.3">
      <c r="M985" s="275">
        <f t="shared" si="31"/>
        <v>0</v>
      </c>
      <c r="N985" s="275">
        <v>982</v>
      </c>
      <c r="O985" s="275">
        <v>3330</v>
      </c>
      <c r="P985" s="275">
        <v>2</v>
      </c>
      <c r="Q985" s="275">
        <f t="shared" si="32"/>
        <v>982</v>
      </c>
    </row>
    <row r="986" spans="13:17" x14ac:dyDescent="0.3">
      <c r="M986" s="275">
        <f t="shared" si="31"/>
        <v>0</v>
      </c>
      <c r="N986" s="275">
        <v>983</v>
      </c>
      <c r="O986" s="275">
        <v>3330</v>
      </c>
      <c r="P986" s="275">
        <v>3</v>
      </c>
      <c r="Q986" s="275">
        <f t="shared" si="32"/>
        <v>983</v>
      </c>
    </row>
    <row r="987" spans="13:17" x14ac:dyDescent="0.3">
      <c r="M987" s="275">
        <f t="shared" si="31"/>
        <v>0</v>
      </c>
      <c r="N987" s="275">
        <v>984</v>
      </c>
      <c r="O987" s="275">
        <v>3330</v>
      </c>
      <c r="P987" s="275">
        <v>4</v>
      </c>
      <c r="Q987" s="275">
        <f t="shared" si="32"/>
        <v>984</v>
      </c>
    </row>
    <row r="988" spans="13:17" x14ac:dyDescent="0.3">
      <c r="M988" s="275">
        <f t="shared" si="31"/>
        <v>0</v>
      </c>
      <c r="N988" s="275">
        <v>985</v>
      </c>
      <c r="O988" s="275">
        <v>3330</v>
      </c>
      <c r="P988" s="275">
        <v>5</v>
      </c>
      <c r="Q988" s="275">
        <f t="shared" si="32"/>
        <v>985</v>
      </c>
    </row>
    <row r="989" spans="13:17" x14ac:dyDescent="0.3">
      <c r="M989" s="275">
        <f t="shared" si="31"/>
        <v>0</v>
      </c>
      <c r="N989" s="275">
        <v>986</v>
      </c>
      <c r="O989" s="275">
        <v>3330</v>
      </c>
      <c r="P989" s="275">
        <v>6</v>
      </c>
      <c r="Q989" s="275">
        <f t="shared" si="32"/>
        <v>986</v>
      </c>
    </row>
    <row r="990" spans="13:17" x14ac:dyDescent="0.3">
      <c r="M990" s="275">
        <f t="shared" si="31"/>
        <v>0</v>
      </c>
      <c r="N990" s="275">
        <v>987</v>
      </c>
      <c r="O990" s="275">
        <v>3330</v>
      </c>
      <c r="P990" s="275">
        <v>7</v>
      </c>
      <c r="Q990" s="275">
        <f t="shared" si="32"/>
        <v>987</v>
      </c>
    </row>
    <row r="991" spans="13:17" x14ac:dyDescent="0.3">
      <c r="M991" s="275">
        <f t="shared" si="31"/>
        <v>0</v>
      </c>
      <c r="N991" s="275">
        <v>988</v>
      </c>
      <c r="O991" s="275">
        <v>3330</v>
      </c>
      <c r="P991" s="275">
        <v>8</v>
      </c>
      <c r="Q991" s="275">
        <f t="shared" si="32"/>
        <v>988</v>
      </c>
    </row>
    <row r="992" spans="13:17" x14ac:dyDescent="0.3">
      <c r="M992" s="275">
        <f t="shared" si="31"/>
        <v>0</v>
      </c>
      <c r="N992" s="275">
        <v>989</v>
      </c>
      <c r="O992" s="275">
        <v>3330</v>
      </c>
      <c r="P992" s="275">
        <v>9</v>
      </c>
      <c r="Q992" s="275">
        <f t="shared" si="32"/>
        <v>989</v>
      </c>
    </row>
    <row r="993" spans="13:17" x14ac:dyDescent="0.3">
      <c r="M993" s="275">
        <f t="shared" si="31"/>
        <v>0</v>
      </c>
      <c r="N993" s="275">
        <v>990</v>
      </c>
      <c r="O993" s="275">
        <v>3330</v>
      </c>
      <c r="P993" s="275">
        <v>10</v>
      </c>
      <c r="Q993" s="275">
        <f t="shared" si="32"/>
        <v>990</v>
      </c>
    </row>
    <row r="994" spans="13:17" x14ac:dyDescent="0.3">
      <c r="M994" s="275">
        <f t="shared" si="31"/>
        <v>0</v>
      </c>
      <c r="N994" s="275">
        <v>991</v>
      </c>
      <c r="O994" s="275">
        <v>3330</v>
      </c>
      <c r="P994" s="275">
        <v>11</v>
      </c>
      <c r="Q994" s="275">
        <f t="shared" si="32"/>
        <v>991</v>
      </c>
    </row>
    <row r="995" spans="13:17" x14ac:dyDescent="0.3">
      <c r="M995" s="275">
        <f t="shared" si="31"/>
        <v>0</v>
      </c>
      <c r="N995" s="275">
        <v>992</v>
      </c>
      <c r="O995" s="275">
        <v>3330</v>
      </c>
      <c r="P995" s="275">
        <v>12</v>
      </c>
      <c r="Q995" s="275">
        <f t="shared" si="32"/>
        <v>992</v>
      </c>
    </row>
    <row r="996" spans="13:17" x14ac:dyDescent="0.3">
      <c r="M996" s="275">
        <f t="shared" si="31"/>
        <v>0</v>
      </c>
      <c r="N996" s="275">
        <v>993</v>
      </c>
      <c r="O996" s="275">
        <v>3330</v>
      </c>
      <c r="P996" s="275">
        <v>13</v>
      </c>
      <c r="Q996" s="275">
        <f t="shared" si="32"/>
        <v>993</v>
      </c>
    </row>
    <row r="997" spans="13:17" x14ac:dyDescent="0.3">
      <c r="M997" s="275">
        <f t="shared" si="31"/>
        <v>0</v>
      </c>
      <c r="N997" s="275">
        <v>994</v>
      </c>
      <c r="O997" s="275">
        <v>3330</v>
      </c>
      <c r="P997" s="275">
        <v>14</v>
      </c>
      <c r="Q997" s="275">
        <f t="shared" si="32"/>
        <v>994</v>
      </c>
    </row>
    <row r="998" spans="13:17" x14ac:dyDescent="0.3">
      <c r="M998" s="275">
        <f t="shared" si="31"/>
        <v>0</v>
      </c>
      <c r="N998" s="275">
        <v>995</v>
      </c>
      <c r="O998" s="275">
        <v>3330</v>
      </c>
      <c r="P998" s="275">
        <v>15</v>
      </c>
      <c r="Q998" s="275">
        <f t="shared" si="32"/>
        <v>995</v>
      </c>
    </row>
    <row r="999" spans="13:17" x14ac:dyDescent="0.3">
      <c r="M999" s="275">
        <f t="shared" si="31"/>
        <v>0</v>
      </c>
      <c r="N999" s="275">
        <v>996</v>
      </c>
      <c r="O999" s="275">
        <v>3330</v>
      </c>
      <c r="P999" s="275">
        <v>16</v>
      </c>
      <c r="Q999" s="275">
        <f t="shared" si="32"/>
        <v>996</v>
      </c>
    </row>
    <row r="1000" spans="13:17" x14ac:dyDescent="0.3">
      <c r="M1000" s="275">
        <f t="shared" si="31"/>
        <v>0</v>
      </c>
      <c r="N1000" s="275">
        <v>997</v>
      </c>
      <c r="O1000" s="275">
        <v>3330</v>
      </c>
      <c r="P1000" s="275">
        <v>17</v>
      </c>
      <c r="Q1000" s="275">
        <f t="shared" si="32"/>
        <v>997</v>
      </c>
    </row>
    <row r="1001" spans="13:17" x14ac:dyDescent="0.3">
      <c r="M1001" s="275">
        <f t="shared" si="31"/>
        <v>0</v>
      </c>
      <c r="N1001" s="275">
        <v>998</v>
      </c>
      <c r="O1001" s="275">
        <v>3330</v>
      </c>
      <c r="P1001" s="275">
        <v>18</v>
      </c>
      <c r="Q1001" s="275">
        <f t="shared" si="32"/>
        <v>998</v>
      </c>
    </row>
    <row r="1002" spans="13:17" x14ac:dyDescent="0.3">
      <c r="M1002" s="275">
        <f t="shared" si="31"/>
        <v>0</v>
      </c>
      <c r="N1002" s="275">
        <v>999</v>
      </c>
      <c r="O1002" s="275">
        <v>3330</v>
      </c>
      <c r="P1002" s="275">
        <v>19</v>
      </c>
      <c r="Q1002" s="275">
        <f t="shared" si="32"/>
        <v>999</v>
      </c>
    </row>
    <row r="1003" spans="13:17" x14ac:dyDescent="0.3">
      <c r="M1003" s="275">
        <f t="shared" si="31"/>
        <v>0</v>
      </c>
      <c r="N1003" s="275">
        <v>1000</v>
      </c>
      <c r="O1003" s="275">
        <v>3330</v>
      </c>
      <c r="P1003" s="275">
        <v>20</v>
      </c>
      <c r="Q1003" s="275">
        <f t="shared" si="32"/>
        <v>1000</v>
      </c>
    </row>
    <row r="1004" spans="13:17" x14ac:dyDescent="0.3">
      <c r="M1004" s="275">
        <f t="shared" si="31"/>
        <v>0</v>
      </c>
      <c r="N1004" s="275">
        <v>1001</v>
      </c>
      <c r="O1004" s="275">
        <v>3330</v>
      </c>
      <c r="P1004" s="275">
        <v>21</v>
      </c>
      <c r="Q1004" s="275">
        <f t="shared" si="32"/>
        <v>1001</v>
      </c>
    </row>
    <row r="1005" spans="13:17" x14ac:dyDescent="0.3">
      <c r="M1005" s="275">
        <f t="shared" si="31"/>
        <v>0</v>
      </c>
      <c r="N1005" s="275">
        <v>1002</v>
      </c>
      <c r="O1005" s="275">
        <v>3330</v>
      </c>
      <c r="P1005" s="275">
        <v>22</v>
      </c>
      <c r="Q1005" s="275">
        <f t="shared" si="32"/>
        <v>1002</v>
      </c>
    </row>
    <row r="1006" spans="13:17" x14ac:dyDescent="0.3">
      <c r="M1006" s="275">
        <f t="shared" si="31"/>
        <v>0</v>
      </c>
      <c r="N1006" s="275">
        <v>1003</v>
      </c>
      <c r="O1006" s="275">
        <v>3330</v>
      </c>
      <c r="P1006" s="275">
        <v>23</v>
      </c>
      <c r="Q1006" s="275">
        <f t="shared" si="32"/>
        <v>1003</v>
      </c>
    </row>
    <row r="1007" spans="13:17" x14ac:dyDescent="0.3">
      <c r="M1007" s="275">
        <f t="shared" si="31"/>
        <v>0</v>
      </c>
      <c r="N1007" s="275">
        <v>1004</v>
      </c>
      <c r="O1007" s="275">
        <v>3330</v>
      </c>
      <c r="P1007" s="275">
        <v>24</v>
      </c>
      <c r="Q1007" s="275">
        <f t="shared" si="32"/>
        <v>1004</v>
      </c>
    </row>
    <row r="1008" spans="13:17" x14ac:dyDescent="0.3">
      <c r="M1008" s="275">
        <f t="shared" si="31"/>
        <v>0</v>
      </c>
      <c r="N1008" s="275">
        <v>1005</v>
      </c>
      <c r="O1008" s="275">
        <v>3330</v>
      </c>
      <c r="P1008" s="275">
        <v>25</v>
      </c>
      <c r="Q1008" s="275">
        <f t="shared" si="32"/>
        <v>1005</v>
      </c>
    </row>
    <row r="1009" spans="13:17" x14ac:dyDescent="0.3">
      <c r="M1009" s="275">
        <f t="shared" si="31"/>
        <v>0</v>
      </c>
      <c r="N1009" s="275">
        <v>1006</v>
      </c>
      <c r="O1009" s="275">
        <v>3340</v>
      </c>
      <c r="P1009" s="275">
        <v>1</v>
      </c>
      <c r="Q1009" s="275">
        <f t="shared" si="32"/>
        <v>1006</v>
      </c>
    </row>
    <row r="1010" spans="13:17" x14ac:dyDescent="0.3">
      <c r="M1010" s="275">
        <f t="shared" si="31"/>
        <v>0</v>
      </c>
      <c r="N1010" s="275">
        <v>1007</v>
      </c>
      <c r="O1010" s="275">
        <v>3340</v>
      </c>
      <c r="P1010" s="275">
        <v>2</v>
      </c>
      <c r="Q1010" s="275">
        <f t="shared" si="32"/>
        <v>1007</v>
      </c>
    </row>
    <row r="1011" spans="13:17" x14ac:dyDescent="0.3">
      <c r="M1011" s="275">
        <f t="shared" si="31"/>
        <v>0</v>
      </c>
      <c r="N1011" s="275">
        <v>1008</v>
      </c>
      <c r="O1011" s="275">
        <v>3340</v>
      </c>
      <c r="P1011" s="275">
        <v>3</v>
      </c>
      <c r="Q1011" s="275">
        <f t="shared" si="32"/>
        <v>1008</v>
      </c>
    </row>
    <row r="1012" spans="13:17" x14ac:dyDescent="0.3">
      <c r="M1012" s="275">
        <f t="shared" si="31"/>
        <v>0</v>
      </c>
      <c r="N1012" s="275">
        <v>1009</v>
      </c>
      <c r="O1012" s="275">
        <v>3340</v>
      </c>
      <c r="P1012" s="275">
        <v>4</v>
      </c>
      <c r="Q1012" s="275">
        <f t="shared" si="32"/>
        <v>1009</v>
      </c>
    </row>
    <row r="1013" spans="13:17" x14ac:dyDescent="0.3">
      <c r="M1013" s="275">
        <f t="shared" si="31"/>
        <v>0</v>
      </c>
      <c r="N1013" s="275">
        <v>1010</v>
      </c>
      <c r="O1013" s="275">
        <v>3340</v>
      </c>
      <c r="P1013" s="275">
        <v>5</v>
      </c>
      <c r="Q1013" s="275">
        <f t="shared" si="32"/>
        <v>1010</v>
      </c>
    </row>
    <row r="1014" spans="13:17" x14ac:dyDescent="0.3">
      <c r="M1014" s="275">
        <f t="shared" si="31"/>
        <v>0</v>
      </c>
      <c r="N1014" s="275">
        <v>1011</v>
      </c>
      <c r="O1014" s="275">
        <v>3340</v>
      </c>
      <c r="P1014" s="275">
        <v>6</v>
      </c>
      <c r="Q1014" s="275">
        <f t="shared" si="32"/>
        <v>1011</v>
      </c>
    </row>
    <row r="1015" spans="13:17" x14ac:dyDescent="0.3">
      <c r="M1015" s="275">
        <f t="shared" si="31"/>
        <v>0</v>
      </c>
      <c r="N1015" s="275">
        <v>1012</v>
      </c>
      <c r="O1015" s="275">
        <v>3340</v>
      </c>
      <c r="P1015" s="275">
        <v>7</v>
      </c>
      <c r="Q1015" s="275">
        <f t="shared" si="32"/>
        <v>1012</v>
      </c>
    </row>
    <row r="1016" spans="13:17" x14ac:dyDescent="0.3">
      <c r="M1016" s="275">
        <f t="shared" si="31"/>
        <v>0</v>
      </c>
      <c r="N1016" s="275">
        <v>1013</v>
      </c>
      <c r="O1016" s="275">
        <v>3340</v>
      </c>
      <c r="P1016" s="275">
        <v>8</v>
      </c>
      <c r="Q1016" s="275">
        <f t="shared" si="32"/>
        <v>1013</v>
      </c>
    </row>
    <row r="1017" spans="13:17" x14ac:dyDescent="0.3">
      <c r="M1017" s="275">
        <f t="shared" si="31"/>
        <v>0</v>
      </c>
      <c r="N1017" s="275">
        <v>1014</v>
      </c>
      <c r="O1017" s="275">
        <v>3340</v>
      </c>
      <c r="P1017" s="275">
        <v>9</v>
      </c>
      <c r="Q1017" s="275">
        <f t="shared" si="32"/>
        <v>1014</v>
      </c>
    </row>
    <row r="1018" spans="13:17" x14ac:dyDescent="0.3">
      <c r="M1018" s="275">
        <f t="shared" si="31"/>
        <v>0</v>
      </c>
      <c r="N1018" s="275">
        <v>1015</v>
      </c>
      <c r="O1018" s="275">
        <v>3340</v>
      </c>
      <c r="P1018" s="275">
        <v>10</v>
      </c>
      <c r="Q1018" s="275">
        <f t="shared" si="32"/>
        <v>1015</v>
      </c>
    </row>
    <row r="1019" spans="13:17" x14ac:dyDescent="0.3">
      <c r="M1019" s="275">
        <f t="shared" si="31"/>
        <v>0</v>
      </c>
      <c r="N1019" s="275">
        <v>1016</v>
      </c>
      <c r="O1019" s="275">
        <v>3340</v>
      </c>
      <c r="P1019" s="275">
        <v>11</v>
      </c>
      <c r="Q1019" s="275">
        <f t="shared" si="32"/>
        <v>1016</v>
      </c>
    </row>
    <row r="1020" spans="13:17" x14ac:dyDescent="0.3">
      <c r="M1020" s="275">
        <f t="shared" si="31"/>
        <v>0</v>
      </c>
      <c r="N1020" s="275">
        <v>1017</v>
      </c>
      <c r="O1020" s="275">
        <v>3340</v>
      </c>
      <c r="P1020" s="275">
        <v>12</v>
      </c>
      <c r="Q1020" s="275">
        <f t="shared" si="32"/>
        <v>1017</v>
      </c>
    </row>
    <row r="1021" spans="13:17" x14ac:dyDescent="0.3">
      <c r="M1021" s="275">
        <f t="shared" si="31"/>
        <v>0</v>
      </c>
      <c r="N1021" s="275">
        <v>1018</v>
      </c>
      <c r="O1021" s="275">
        <v>3340</v>
      </c>
      <c r="P1021" s="275">
        <v>13</v>
      </c>
      <c r="Q1021" s="275">
        <f t="shared" si="32"/>
        <v>1018</v>
      </c>
    </row>
    <row r="1022" spans="13:17" x14ac:dyDescent="0.3">
      <c r="M1022" s="275">
        <f t="shared" si="31"/>
        <v>0</v>
      </c>
      <c r="N1022" s="275">
        <v>1019</v>
      </c>
      <c r="O1022" s="275">
        <v>3340</v>
      </c>
      <c r="P1022" s="275">
        <v>14</v>
      </c>
      <c r="Q1022" s="275">
        <f t="shared" si="32"/>
        <v>1019</v>
      </c>
    </row>
    <row r="1023" spans="13:17" x14ac:dyDescent="0.3">
      <c r="M1023" s="275">
        <f t="shared" si="31"/>
        <v>0</v>
      </c>
      <c r="N1023" s="275">
        <v>1020</v>
      </c>
      <c r="O1023" s="275">
        <v>3340</v>
      </c>
      <c r="P1023" s="275">
        <v>15</v>
      </c>
      <c r="Q1023" s="275">
        <f t="shared" si="32"/>
        <v>1020</v>
      </c>
    </row>
    <row r="1024" spans="13:17" x14ac:dyDescent="0.3">
      <c r="M1024" s="275">
        <f t="shared" si="31"/>
        <v>0</v>
      </c>
      <c r="N1024" s="275">
        <v>1021</v>
      </c>
      <c r="O1024" s="275">
        <v>3340</v>
      </c>
      <c r="P1024" s="275">
        <v>16</v>
      </c>
      <c r="Q1024" s="275">
        <f t="shared" si="32"/>
        <v>1021</v>
      </c>
    </row>
    <row r="1025" spans="13:17" x14ac:dyDescent="0.3">
      <c r="M1025" s="275">
        <f t="shared" si="31"/>
        <v>0</v>
      </c>
      <c r="N1025" s="275">
        <v>1022</v>
      </c>
      <c r="O1025" s="275">
        <v>3340</v>
      </c>
      <c r="P1025" s="275">
        <v>17</v>
      </c>
      <c r="Q1025" s="275">
        <f t="shared" si="32"/>
        <v>1022</v>
      </c>
    </row>
    <row r="1026" spans="13:17" x14ac:dyDescent="0.3">
      <c r="M1026" s="275">
        <f t="shared" si="31"/>
        <v>0</v>
      </c>
      <c r="N1026" s="275">
        <v>1023</v>
      </c>
      <c r="O1026" s="275">
        <v>3340</v>
      </c>
      <c r="P1026" s="275">
        <v>18</v>
      </c>
      <c r="Q1026" s="275">
        <f t="shared" si="32"/>
        <v>1023</v>
      </c>
    </row>
    <row r="1027" spans="13:17" x14ac:dyDescent="0.3">
      <c r="M1027" s="275">
        <f t="shared" si="31"/>
        <v>0</v>
      </c>
      <c r="N1027" s="275">
        <v>1024</v>
      </c>
      <c r="O1027" s="275">
        <v>3340</v>
      </c>
      <c r="P1027" s="275">
        <v>19</v>
      </c>
      <c r="Q1027" s="275">
        <f t="shared" si="32"/>
        <v>1024</v>
      </c>
    </row>
    <row r="1028" spans="13:17" x14ac:dyDescent="0.3">
      <c r="M1028" s="275">
        <f t="shared" si="31"/>
        <v>0</v>
      </c>
      <c r="N1028" s="275">
        <v>1025</v>
      </c>
      <c r="O1028" s="275">
        <v>3340</v>
      </c>
      <c r="P1028" s="275">
        <v>20</v>
      </c>
      <c r="Q1028" s="275">
        <f t="shared" si="32"/>
        <v>1025</v>
      </c>
    </row>
    <row r="1029" spans="13:17" x14ac:dyDescent="0.3">
      <c r="M1029" s="275">
        <f t="shared" ref="M1029:M1083" si="33">J1029</f>
        <v>0</v>
      </c>
      <c r="N1029" s="275">
        <v>1026</v>
      </c>
      <c r="O1029" s="275">
        <v>3340</v>
      </c>
      <c r="P1029" s="275">
        <v>21</v>
      </c>
      <c r="Q1029" s="275">
        <f t="shared" ref="Q1029:Q1083" si="34">N1029</f>
        <v>1026</v>
      </c>
    </row>
    <row r="1030" spans="13:17" x14ac:dyDescent="0.3">
      <c r="M1030" s="275">
        <f t="shared" si="33"/>
        <v>0</v>
      </c>
      <c r="N1030" s="275">
        <v>1027</v>
      </c>
      <c r="O1030" s="275">
        <v>3340</v>
      </c>
      <c r="P1030" s="275">
        <v>22</v>
      </c>
      <c r="Q1030" s="275">
        <f t="shared" si="34"/>
        <v>1027</v>
      </c>
    </row>
    <row r="1031" spans="13:17" x14ac:dyDescent="0.3">
      <c r="M1031" s="275">
        <f t="shared" si="33"/>
        <v>0</v>
      </c>
      <c r="N1031" s="275">
        <v>1028</v>
      </c>
      <c r="O1031" s="275">
        <v>3340</v>
      </c>
      <c r="P1031" s="275">
        <v>23</v>
      </c>
      <c r="Q1031" s="275">
        <f t="shared" si="34"/>
        <v>1028</v>
      </c>
    </row>
    <row r="1032" spans="13:17" x14ac:dyDescent="0.3">
      <c r="M1032" s="275">
        <f t="shared" si="33"/>
        <v>0</v>
      </c>
      <c r="N1032" s="275">
        <v>1029</v>
      </c>
      <c r="O1032" s="275">
        <v>3340</v>
      </c>
      <c r="P1032" s="275">
        <v>24</v>
      </c>
      <c r="Q1032" s="275">
        <f t="shared" si="34"/>
        <v>1029</v>
      </c>
    </row>
    <row r="1033" spans="13:17" x14ac:dyDescent="0.3">
      <c r="M1033" s="275">
        <f t="shared" si="33"/>
        <v>0</v>
      </c>
      <c r="N1033" s="275">
        <v>1030</v>
      </c>
      <c r="O1033" s="275">
        <v>3340</v>
      </c>
      <c r="P1033" s="275">
        <v>25</v>
      </c>
      <c r="Q1033" s="275">
        <f t="shared" si="34"/>
        <v>1030</v>
      </c>
    </row>
    <row r="1034" spans="13:17" x14ac:dyDescent="0.3">
      <c r="M1034" s="275">
        <f t="shared" si="33"/>
        <v>0</v>
      </c>
      <c r="N1034" s="275">
        <v>1031</v>
      </c>
      <c r="O1034" s="275">
        <v>3350</v>
      </c>
      <c r="P1034" s="275">
        <v>1</v>
      </c>
      <c r="Q1034" s="275">
        <f t="shared" si="34"/>
        <v>1031</v>
      </c>
    </row>
    <row r="1035" spans="13:17" x14ac:dyDescent="0.3">
      <c r="M1035" s="275">
        <f t="shared" si="33"/>
        <v>0</v>
      </c>
      <c r="N1035" s="275">
        <v>1032</v>
      </c>
      <c r="O1035" s="275">
        <v>3350</v>
      </c>
      <c r="P1035" s="275">
        <v>2</v>
      </c>
      <c r="Q1035" s="275">
        <f t="shared" si="34"/>
        <v>1032</v>
      </c>
    </row>
    <row r="1036" spans="13:17" x14ac:dyDescent="0.3">
      <c r="M1036" s="275">
        <f t="shared" si="33"/>
        <v>0</v>
      </c>
      <c r="N1036" s="275">
        <v>1033</v>
      </c>
      <c r="O1036" s="275">
        <v>3350</v>
      </c>
      <c r="P1036" s="275">
        <v>3</v>
      </c>
      <c r="Q1036" s="275">
        <f t="shared" si="34"/>
        <v>1033</v>
      </c>
    </row>
    <row r="1037" spans="13:17" x14ac:dyDescent="0.3">
      <c r="M1037" s="275">
        <f t="shared" si="33"/>
        <v>0</v>
      </c>
      <c r="N1037" s="275">
        <v>1034</v>
      </c>
      <c r="O1037" s="275">
        <v>3350</v>
      </c>
      <c r="P1037" s="275">
        <v>4</v>
      </c>
      <c r="Q1037" s="275">
        <f t="shared" si="34"/>
        <v>1034</v>
      </c>
    </row>
    <row r="1038" spans="13:17" x14ac:dyDescent="0.3">
      <c r="M1038" s="275">
        <f t="shared" si="33"/>
        <v>0</v>
      </c>
      <c r="N1038" s="275">
        <v>1035</v>
      </c>
      <c r="O1038" s="275">
        <v>3350</v>
      </c>
      <c r="P1038" s="275">
        <v>5</v>
      </c>
      <c r="Q1038" s="275">
        <f t="shared" si="34"/>
        <v>1035</v>
      </c>
    </row>
    <row r="1039" spans="13:17" x14ac:dyDescent="0.3">
      <c r="M1039" s="275">
        <f t="shared" si="33"/>
        <v>0</v>
      </c>
      <c r="N1039" s="275">
        <v>1036</v>
      </c>
      <c r="O1039" s="275">
        <v>3350</v>
      </c>
      <c r="P1039" s="275">
        <v>6</v>
      </c>
      <c r="Q1039" s="275">
        <f t="shared" si="34"/>
        <v>1036</v>
      </c>
    </row>
    <row r="1040" spans="13:17" x14ac:dyDescent="0.3">
      <c r="M1040" s="275">
        <f t="shared" si="33"/>
        <v>0</v>
      </c>
      <c r="N1040" s="275">
        <v>1037</v>
      </c>
      <c r="O1040" s="275">
        <v>3350</v>
      </c>
      <c r="P1040" s="275">
        <v>7</v>
      </c>
      <c r="Q1040" s="275">
        <f t="shared" si="34"/>
        <v>1037</v>
      </c>
    </row>
    <row r="1041" spans="13:17" x14ac:dyDescent="0.3">
      <c r="M1041" s="275">
        <f t="shared" si="33"/>
        <v>0</v>
      </c>
      <c r="N1041" s="275">
        <v>1038</v>
      </c>
      <c r="O1041" s="275">
        <v>3350</v>
      </c>
      <c r="P1041" s="275">
        <v>8</v>
      </c>
      <c r="Q1041" s="275">
        <f t="shared" si="34"/>
        <v>1038</v>
      </c>
    </row>
    <row r="1042" spans="13:17" x14ac:dyDescent="0.3">
      <c r="M1042" s="275">
        <f t="shared" si="33"/>
        <v>0</v>
      </c>
      <c r="N1042" s="275">
        <v>1039</v>
      </c>
      <c r="O1042" s="275">
        <v>3350</v>
      </c>
      <c r="P1042" s="275">
        <v>9</v>
      </c>
      <c r="Q1042" s="275">
        <f t="shared" si="34"/>
        <v>1039</v>
      </c>
    </row>
    <row r="1043" spans="13:17" x14ac:dyDescent="0.3">
      <c r="M1043" s="275">
        <f t="shared" si="33"/>
        <v>0</v>
      </c>
      <c r="N1043" s="275">
        <v>1040</v>
      </c>
      <c r="O1043" s="275">
        <v>3350</v>
      </c>
      <c r="P1043" s="275">
        <v>10</v>
      </c>
      <c r="Q1043" s="275">
        <f t="shared" si="34"/>
        <v>1040</v>
      </c>
    </row>
    <row r="1044" spans="13:17" x14ac:dyDescent="0.3">
      <c r="M1044" s="275">
        <f t="shared" si="33"/>
        <v>0</v>
      </c>
      <c r="N1044" s="275">
        <v>1041</v>
      </c>
      <c r="O1044" s="275">
        <v>3350</v>
      </c>
      <c r="P1044" s="275">
        <v>11</v>
      </c>
      <c r="Q1044" s="275">
        <f t="shared" si="34"/>
        <v>1041</v>
      </c>
    </row>
    <row r="1045" spans="13:17" x14ac:dyDescent="0.3">
      <c r="M1045" s="275">
        <f t="shared" si="33"/>
        <v>0</v>
      </c>
      <c r="N1045" s="275">
        <v>1042</v>
      </c>
      <c r="O1045" s="275">
        <v>3350</v>
      </c>
      <c r="P1045" s="275">
        <v>12</v>
      </c>
      <c r="Q1045" s="275">
        <f t="shared" si="34"/>
        <v>1042</v>
      </c>
    </row>
    <row r="1046" spans="13:17" x14ac:dyDescent="0.3">
      <c r="M1046" s="275">
        <f t="shared" si="33"/>
        <v>0</v>
      </c>
      <c r="N1046" s="275">
        <v>1043</v>
      </c>
      <c r="O1046" s="275">
        <v>3350</v>
      </c>
      <c r="P1046" s="275">
        <v>13</v>
      </c>
      <c r="Q1046" s="275">
        <f t="shared" si="34"/>
        <v>1043</v>
      </c>
    </row>
    <row r="1047" spans="13:17" x14ac:dyDescent="0.3">
      <c r="M1047" s="275">
        <f t="shared" si="33"/>
        <v>0</v>
      </c>
      <c r="N1047" s="275">
        <v>1044</v>
      </c>
      <c r="O1047" s="275">
        <v>3350</v>
      </c>
      <c r="P1047" s="275">
        <v>14</v>
      </c>
      <c r="Q1047" s="275">
        <f t="shared" si="34"/>
        <v>1044</v>
      </c>
    </row>
    <row r="1048" spans="13:17" x14ac:dyDescent="0.3">
      <c r="M1048" s="275">
        <f t="shared" si="33"/>
        <v>0</v>
      </c>
      <c r="N1048" s="275">
        <v>1045</v>
      </c>
      <c r="O1048" s="275">
        <v>3350</v>
      </c>
      <c r="P1048" s="275">
        <v>15</v>
      </c>
      <c r="Q1048" s="275">
        <f t="shared" si="34"/>
        <v>1045</v>
      </c>
    </row>
    <row r="1049" spans="13:17" x14ac:dyDescent="0.3">
      <c r="M1049" s="275">
        <f t="shared" si="33"/>
        <v>0</v>
      </c>
      <c r="N1049" s="275">
        <v>1046</v>
      </c>
      <c r="O1049" s="275">
        <v>3350</v>
      </c>
      <c r="P1049" s="275">
        <v>16</v>
      </c>
      <c r="Q1049" s="275">
        <f t="shared" si="34"/>
        <v>1046</v>
      </c>
    </row>
    <row r="1050" spans="13:17" x14ac:dyDescent="0.3">
      <c r="M1050" s="275">
        <f t="shared" si="33"/>
        <v>0</v>
      </c>
      <c r="N1050" s="275">
        <v>1047</v>
      </c>
      <c r="O1050" s="275">
        <v>3350</v>
      </c>
      <c r="P1050" s="275">
        <v>17</v>
      </c>
      <c r="Q1050" s="275">
        <f t="shared" si="34"/>
        <v>1047</v>
      </c>
    </row>
    <row r="1051" spans="13:17" x14ac:dyDescent="0.3">
      <c r="M1051" s="275">
        <f t="shared" si="33"/>
        <v>0</v>
      </c>
      <c r="N1051" s="275">
        <v>1048</v>
      </c>
      <c r="O1051" s="275">
        <v>3350</v>
      </c>
      <c r="P1051" s="275">
        <v>18</v>
      </c>
      <c r="Q1051" s="275">
        <f t="shared" si="34"/>
        <v>1048</v>
      </c>
    </row>
    <row r="1052" spans="13:17" x14ac:dyDescent="0.3">
      <c r="M1052" s="275">
        <f t="shared" si="33"/>
        <v>0</v>
      </c>
      <c r="N1052" s="275">
        <v>1049</v>
      </c>
      <c r="O1052" s="275">
        <v>3350</v>
      </c>
      <c r="P1052" s="275">
        <v>19</v>
      </c>
      <c r="Q1052" s="275">
        <f t="shared" si="34"/>
        <v>1049</v>
      </c>
    </row>
    <row r="1053" spans="13:17" x14ac:dyDescent="0.3">
      <c r="M1053" s="275">
        <f t="shared" si="33"/>
        <v>0</v>
      </c>
      <c r="N1053" s="275">
        <v>1050</v>
      </c>
      <c r="O1053" s="275">
        <v>3350</v>
      </c>
      <c r="P1053" s="275">
        <v>20</v>
      </c>
      <c r="Q1053" s="275">
        <f t="shared" si="34"/>
        <v>1050</v>
      </c>
    </row>
    <row r="1054" spans="13:17" x14ac:dyDescent="0.3">
      <c r="M1054" s="275">
        <f t="shared" si="33"/>
        <v>0</v>
      </c>
      <c r="N1054" s="275">
        <v>1051</v>
      </c>
      <c r="O1054" s="275">
        <v>3350</v>
      </c>
      <c r="P1054" s="275">
        <v>21</v>
      </c>
      <c r="Q1054" s="275">
        <f t="shared" si="34"/>
        <v>1051</v>
      </c>
    </row>
    <row r="1055" spans="13:17" x14ac:dyDescent="0.3">
      <c r="M1055" s="275">
        <f t="shared" si="33"/>
        <v>0</v>
      </c>
      <c r="N1055" s="275">
        <v>1052</v>
      </c>
      <c r="O1055" s="275">
        <v>3350</v>
      </c>
      <c r="P1055" s="275">
        <v>22</v>
      </c>
      <c r="Q1055" s="275">
        <f t="shared" si="34"/>
        <v>1052</v>
      </c>
    </row>
    <row r="1056" spans="13:17" x14ac:dyDescent="0.3">
      <c r="M1056" s="275">
        <f t="shared" si="33"/>
        <v>0</v>
      </c>
      <c r="N1056" s="275">
        <v>1053</v>
      </c>
      <c r="O1056" s="275">
        <v>3350</v>
      </c>
      <c r="P1056" s="275">
        <v>23</v>
      </c>
      <c r="Q1056" s="275">
        <f t="shared" si="34"/>
        <v>1053</v>
      </c>
    </row>
    <row r="1057" spans="13:17" x14ac:dyDescent="0.3">
      <c r="M1057" s="275">
        <f t="shared" si="33"/>
        <v>0</v>
      </c>
      <c r="N1057" s="275">
        <v>1054</v>
      </c>
      <c r="O1057" s="275">
        <v>3350</v>
      </c>
      <c r="P1057" s="275">
        <v>24</v>
      </c>
      <c r="Q1057" s="275">
        <f t="shared" si="34"/>
        <v>1054</v>
      </c>
    </row>
    <row r="1058" spans="13:17" x14ac:dyDescent="0.3">
      <c r="M1058" s="275">
        <f t="shared" si="33"/>
        <v>0</v>
      </c>
      <c r="N1058" s="275">
        <v>1055</v>
      </c>
      <c r="O1058" s="275">
        <v>3350</v>
      </c>
      <c r="P1058" s="275">
        <v>25</v>
      </c>
      <c r="Q1058" s="275">
        <f t="shared" si="34"/>
        <v>1055</v>
      </c>
    </row>
    <row r="1059" spans="13:17" x14ac:dyDescent="0.3">
      <c r="M1059" s="275">
        <f t="shared" si="33"/>
        <v>0</v>
      </c>
      <c r="N1059" s="275">
        <v>1056</v>
      </c>
      <c r="O1059" s="275">
        <v>3360</v>
      </c>
      <c r="P1059" s="275">
        <v>1</v>
      </c>
      <c r="Q1059" s="275">
        <f t="shared" si="34"/>
        <v>1056</v>
      </c>
    </row>
    <row r="1060" spans="13:17" x14ac:dyDescent="0.3">
      <c r="M1060" s="275">
        <f t="shared" si="33"/>
        <v>0</v>
      </c>
      <c r="N1060" s="275">
        <v>1057</v>
      </c>
      <c r="O1060" s="275">
        <v>3360</v>
      </c>
      <c r="P1060" s="275">
        <v>2</v>
      </c>
      <c r="Q1060" s="275">
        <f t="shared" si="34"/>
        <v>1057</v>
      </c>
    </row>
    <row r="1061" spans="13:17" x14ac:dyDescent="0.3">
      <c r="M1061" s="275">
        <f t="shared" si="33"/>
        <v>0</v>
      </c>
      <c r="N1061" s="275">
        <v>1058</v>
      </c>
      <c r="O1061" s="275">
        <v>3360</v>
      </c>
      <c r="P1061" s="275">
        <v>3</v>
      </c>
      <c r="Q1061" s="275">
        <f t="shared" si="34"/>
        <v>1058</v>
      </c>
    </row>
    <row r="1062" spans="13:17" x14ac:dyDescent="0.3">
      <c r="M1062" s="275">
        <f t="shared" si="33"/>
        <v>0</v>
      </c>
      <c r="N1062" s="275">
        <v>1059</v>
      </c>
      <c r="O1062" s="275">
        <v>3360</v>
      </c>
      <c r="P1062" s="275">
        <v>4</v>
      </c>
      <c r="Q1062" s="275">
        <f t="shared" si="34"/>
        <v>1059</v>
      </c>
    </row>
    <row r="1063" spans="13:17" x14ac:dyDescent="0.3">
      <c r="M1063" s="275">
        <f t="shared" si="33"/>
        <v>0</v>
      </c>
      <c r="N1063" s="275">
        <v>1060</v>
      </c>
      <c r="O1063" s="275">
        <v>3360</v>
      </c>
      <c r="P1063" s="275">
        <v>5</v>
      </c>
      <c r="Q1063" s="275">
        <f t="shared" si="34"/>
        <v>1060</v>
      </c>
    </row>
    <row r="1064" spans="13:17" x14ac:dyDescent="0.3">
      <c r="M1064" s="275">
        <f t="shared" si="33"/>
        <v>0</v>
      </c>
      <c r="N1064" s="275">
        <v>1061</v>
      </c>
      <c r="O1064" s="275">
        <v>3360</v>
      </c>
      <c r="P1064" s="275">
        <v>6</v>
      </c>
      <c r="Q1064" s="275">
        <f t="shared" si="34"/>
        <v>1061</v>
      </c>
    </row>
    <row r="1065" spans="13:17" x14ac:dyDescent="0.3">
      <c r="M1065" s="275">
        <f t="shared" si="33"/>
        <v>0</v>
      </c>
      <c r="N1065" s="275">
        <v>1062</v>
      </c>
      <c r="O1065" s="275">
        <v>3360</v>
      </c>
      <c r="P1065" s="275">
        <v>7</v>
      </c>
      <c r="Q1065" s="275">
        <f t="shared" si="34"/>
        <v>1062</v>
      </c>
    </row>
    <row r="1066" spans="13:17" x14ac:dyDescent="0.3">
      <c r="M1066" s="275">
        <f t="shared" si="33"/>
        <v>0</v>
      </c>
      <c r="N1066" s="275">
        <v>1063</v>
      </c>
      <c r="O1066" s="275">
        <v>3360</v>
      </c>
      <c r="P1066" s="275">
        <v>8</v>
      </c>
      <c r="Q1066" s="275">
        <f t="shared" si="34"/>
        <v>1063</v>
      </c>
    </row>
    <row r="1067" spans="13:17" x14ac:dyDescent="0.3">
      <c r="M1067" s="275">
        <f t="shared" si="33"/>
        <v>0</v>
      </c>
      <c r="N1067" s="275">
        <v>1064</v>
      </c>
      <c r="O1067" s="275">
        <v>3360</v>
      </c>
      <c r="P1067" s="275">
        <v>9</v>
      </c>
      <c r="Q1067" s="275">
        <f t="shared" si="34"/>
        <v>1064</v>
      </c>
    </row>
    <row r="1068" spans="13:17" x14ac:dyDescent="0.3">
      <c r="M1068" s="275">
        <f t="shared" si="33"/>
        <v>0</v>
      </c>
      <c r="N1068" s="275">
        <v>1065</v>
      </c>
      <c r="O1068" s="275">
        <v>3360</v>
      </c>
      <c r="P1068" s="275">
        <v>10</v>
      </c>
      <c r="Q1068" s="275">
        <f t="shared" si="34"/>
        <v>1065</v>
      </c>
    </row>
    <row r="1069" spans="13:17" x14ac:dyDescent="0.3">
      <c r="M1069" s="275">
        <f t="shared" si="33"/>
        <v>0</v>
      </c>
      <c r="N1069" s="275">
        <v>1066</v>
      </c>
      <c r="O1069" s="275">
        <v>3360</v>
      </c>
      <c r="P1069" s="275">
        <v>11</v>
      </c>
      <c r="Q1069" s="275">
        <f t="shared" si="34"/>
        <v>1066</v>
      </c>
    </row>
    <row r="1070" spans="13:17" x14ac:dyDescent="0.3">
      <c r="M1070" s="275">
        <f t="shared" si="33"/>
        <v>0</v>
      </c>
      <c r="N1070" s="275">
        <v>1067</v>
      </c>
      <c r="O1070" s="275">
        <v>3360</v>
      </c>
      <c r="P1070" s="275">
        <v>12</v>
      </c>
      <c r="Q1070" s="275">
        <f t="shared" si="34"/>
        <v>1067</v>
      </c>
    </row>
    <row r="1071" spans="13:17" x14ac:dyDescent="0.3">
      <c r="M1071" s="275">
        <f t="shared" si="33"/>
        <v>0</v>
      </c>
      <c r="N1071" s="275">
        <v>1068</v>
      </c>
      <c r="O1071" s="275">
        <v>3360</v>
      </c>
      <c r="P1071" s="275">
        <v>13</v>
      </c>
      <c r="Q1071" s="275">
        <f t="shared" si="34"/>
        <v>1068</v>
      </c>
    </row>
    <row r="1072" spans="13:17" x14ac:dyDescent="0.3">
      <c r="M1072" s="275">
        <f t="shared" si="33"/>
        <v>0</v>
      </c>
      <c r="N1072" s="275">
        <v>1069</v>
      </c>
      <c r="O1072" s="275">
        <v>3360</v>
      </c>
      <c r="P1072" s="275">
        <v>14</v>
      </c>
      <c r="Q1072" s="275">
        <f t="shared" si="34"/>
        <v>1069</v>
      </c>
    </row>
    <row r="1073" spans="13:17" x14ac:dyDescent="0.3">
      <c r="M1073" s="275">
        <f t="shared" si="33"/>
        <v>0</v>
      </c>
      <c r="N1073" s="275">
        <v>1070</v>
      </c>
      <c r="O1073" s="275">
        <v>3360</v>
      </c>
      <c r="P1073" s="275">
        <v>15</v>
      </c>
      <c r="Q1073" s="275">
        <f t="shared" si="34"/>
        <v>1070</v>
      </c>
    </row>
    <row r="1074" spans="13:17" x14ac:dyDescent="0.3">
      <c r="M1074" s="275">
        <f t="shared" si="33"/>
        <v>0</v>
      </c>
      <c r="N1074" s="275">
        <v>1071</v>
      </c>
      <c r="O1074" s="275">
        <v>3360</v>
      </c>
      <c r="P1074" s="275">
        <v>16</v>
      </c>
      <c r="Q1074" s="275">
        <f t="shared" si="34"/>
        <v>1071</v>
      </c>
    </row>
    <row r="1075" spans="13:17" x14ac:dyDescent="0.3">
      <c r="M1075" s="275">
        <f t="shared" si="33"/>
        <v>0</v>
      </c>
      <c r="N1075" s="275">
        <v>1072</v>
      </c>
      <c r="O1075" s="275">
        <v>3360</v>
      </c>
      <c r="P1075" s="275">
        <v>17</v>
      </c>
      <c r="Q1075" s="275">
        <f t="shared" si="34"/>
        <v>1072</v>
      </c>
    </row>
    <row r="1076" spans="13:17" x14ac:dyDescent="0.3">
      <c r="M1076" s="275">
        <f t="shared" si="33"/>
        <v>0</v>
      </c>
      <c r="N1076" s="275">
        <v>1073</v>
      </c>
      <c r="O1076" s="275">
        <v>3360</v>
      </c>
      <c r="P1076" s="275">
        <v>18</v>
      </c>
      <c r="Q1076" s="275">
        <f t="shared" si="34"/>
        <v>1073</v>
      </c>
    </row>
    <row r="1077" spans="13:17" x14ac:dyDescent="0.3">
      <c r="M1077" s="275">
        <f t="shared" si="33"/>
        <v>0</v>
      </c>
      <c r="N1077" s="275">
        <v>1074</v>
      </c>
      <c r="O1077" s="275">
        <v>3360</v>
      </c>
      <c r="P1077" s="275">
        <v>19</v>
      </c>
      <c r="Q1077" s="275">
        <f t="shared" si="34"/>
        <v>1074</v>
      </c>
    </row>
    <row r="1078" spans="13:17" x14ac:dyDescent="0.3">
      <c r="M1078" s="275">
        <f t="shared" si="33"/>
        <v>0</v>
      </c>
      <c r="N1078" s="275">
        <v>1075</v>
      </c>
      <c r="O1078" s="275">
        <v>3360</v>
      </c>
      <c r="P1078" s="275">
        <v>20</v>
      </c>
      <c r="Q1078" s="275">
        <f t="shared" si="34"/>
        <v>1075</v>
      </c>
    </row>
    <row r="1079" spans="13:17" x14ac:dyDescent="0.3">
      <c r="M1079" s="275">
        <f t="shared" si="33"/>
        <v>0</v>
      </c>
      <c r="N1079" s="275">
        <v>1076</v>
      </c>
      <c r="O1079" s="275">
        <v>3360</v>
      </c>
      <c r="P1079" s="275">
        <v>21</v>
      </c>
      <c r="Q1079" s="275">
        <f t="shared" si="34"/>
        <v>1076</v>
      </c>
    </row>
    <row r="1080" spans="13:17" x14ac:dyDescent="0.3">
      <c r="M1080" s="275">
        <f t="shared" si="33"/>
        <v>0</v>
      </c>
      <c r="N1080" s="275">
        <v>1077</v>
      </c>
      <c r="O1080" s="275">
        <v>3360</v>
      </c>
      <c r="P1080" s="275">
        <v>22</v>
      </c>
      <c r="Q1080" s="275">
        <f t="shared" si="34"/>
        <v>1077</v>
      </c>
    </row>
    <row r="1081" spans="13:17" x14ac:dyDescent="0.3">
      <c r="M1081" s="275">
        <f t="shared" si="33"/>
        <v>0</v>
      </c>
      <c r="N1081" s="275">
        <v>1078</v>
      </c>
      <c r="O1081" s="275">
        <v>3360</v>
      </c>
      <c r="P1081" s="275">
        <v>23</v>
      </c>
      <c r="Q1081" s="275">
        <f t="shared" si="34"/>
        <v>1078</v>
      </c>
    </row>
    <row r="1082" spans="13:17" x14ac:dyDescent="0.3">
      <c r="M1082" s="275">
        <f t="shared" si="33"/>
        <v>0</v>
      </c>
      <c r="N1082" s="275">
        <v>1079</v>
      </c>
      <c r="O1082" s="275">
        <v>3360</v>
      </c>
      <c r="P1082" s="275">
        <v>24</v>
      </c>
      <c r="Q1082" s="275">
        <f t="shared" si="34"/>
        <v>1079</v>
      </c>
    </row>
    <row r="1083" spans="13:17" x14ac:dyDescent="0.3">
      <c r="M1083" s="275">
        <f t="shared" si="33"/>
        <v>0</v>
      </c>
      <c r="N1083" s="275">
        <v>1080</v>
      </c>
      <c r="O1083" s="275">
        <v>3360</v>
      </c>
      <c r="P1083" s="275">
        <v>25</v>
      </c>
      <c r="Q1083" s="275">
        <f t="shared" si="34"/>
        <v>1080</v>
      </c>
    </row>
  </sheetData>
  <phoneticPr fontId="32" type="noConversion"/>
  <pageMargins left="0.7" right="0.7" top="0.75" bottom="0.75" header="0.3" footer="0.3"/>
  <pageSetup paperSize="9" orientation="portrait" horizontalDpi="300" verticalDpi="300"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22"/>
  <dimension ref="A3:AB640"/>
  <sheetViews>
    <sheetView topLeftCell="A340" workbookViewId="0">
      <pane xSplit="1" topLeftCell="B1" activePane="topRight" state="frozen"/>
      <selection activeCell="A283" sqref="A283"/>
      <selection pane="topRight" activeCell="K339" sqref="K339"/>
    </sheetView>
  </sheetViews>
  <sheetFormatPr defaultColWidth="9" defaultRowHeight="14.25" x14ac:dyDescent="0.3"/>
  <cols>
    <col min="1" max="1" width="20.5" style="1" customWidth="1"/>
    <col min="2" max="2" width="12.375" style="1" customWidth="1"/>
    <col min="3" max="3" width="11.375" style="1" customWidth="1"/>
    <col min="4" max="4" width="14.375" style="1" customWidth="1"/>
    <col min="5" max="5" width="13.875" style="1" customWidth="1"/>
    <col min="6" max="6" width="11.875" style="1" customWidth="1"/>
    <col min="7" max="7" width="11.625" style="1" customWidth="1"/>
    <col min="8" max="8" width="14.125" style="1" customWidth="1"/>
    <col min="9" max="9" width="12" style="1" customWidth="1"/>
    <col min="10" max="10" width="12.5" style="1" customWidth="1"/>
    <col min="11" max="11" width="9" style="1"/>
    <col min="12" max="12" width="16" style="1" customWidth="1"/>
    <col min="13" max="13" width="10.875" style="1" customWidth="1"/>
    <col min="14" max="14" width="13.125" style="1" customWidth="1"/>
    <col min="15" max="15" width="15.875" style="1" customWidth="1"/>
    <col min="16" max="16" width="15" style="1" customWidth="1"/>
    <col min="17" max="17" width="12.125" style="1" customWidth="1"/>
    <col min="18" max="18" width="9" style="1"/>
    <col min="19" max="19" width="16.5" style="1" customWidth="1"/>
    <col min="20" max="21" width="9" style="1"/>
    <col min="22" max="22" width="11.125" style="1" customWidth="1"/>
    <col min="23" max="23" width="13" style="1" customWidth="1"/>
    <col min="24" max="16384" width="9" style="1"/>
  </cols>
  <sheetData>
    <row r="3" spans="1:6" x14ac:dyDescent="0.3">
      <c r="A3" s="2" t="s">
        <v>1403</v>
      </c>
      <c r="B3" s="2" t="s">
        <v>1404</v>
      </c>
    </row>
    <row r="4" spans="1:6" x14ac:dyDescent="0.3">
      <c r="A4" s="2" t="s">
        <v>1405</v>
      </c>
      <c r="B4" s="2">
        <v>30</v>
      </c>
      <c r="C4" s="131">
        <v>0.3</v>
      </c>
    </row>
    <row r="5" spans="1:6" x14ac:dyDescent="0.3">
      <c r="A5" s="2" t="s">
        <v>1406</v>
      </c>
      <c r="B5" s="2">
        <v>15</v>
      </c>
    </row>
    <row r="6" spans="1:6" x14ac:dyDescent="0.3">
      <c r="A6" s="2" t="s">
        <v>1398</v>
      </c>
      <c r="B6" s="2" t="s">
        <v>184</v>
      </c>
    </row>
    <row r="8" spans="1:6" x14ac:dyDescent="0.3">
      <c r="A8" s="1" t="s">
        <v>1407</v>
      </c>
      <c r="B8" s="1" t="s">
        <v>1403</v>
      </c>
      <c r="C8" s="1" t="s">
        <v>1408</v>
      </c>
    </row>
    <row r="9" spans="1:6" x14ac:dyDescent="0.3">
      <c r="A9" s="1" t="s">
        <v>1409</v>
      </c>
      <c r="C9" s="1" t="s">
        <v>1410</v>
      </c>
      <c r="F9" s="1" t="s">
        <v>1411</v>
      </c>
    </row>
    <row r="10" spans="1:6" x14ac:dyDescent="0.3">
      <c r="A10" s="1" t="s">
        <v>1412</v>
      </c>
      <c r="C10" s="1" t="s">
        <v>1413</v>
      </c>
      <c r="F10" s="1" t="s">
        <v>1414</v>
      </c>
    </row>
    <row r="11" spans="1:6" x14ac:dyDescent="0.3">
      <c r="A11" s="1" t="s">
        <v>1415</v>
      </c>
      <c r="C11" s="1" t="s">
        <v>1416</v>
      </c>
      <c r="F11" s="1" t="s">
        <v>1417</v>
      </c>
    </row>
    <row r="12" spans="1:6" x14ac:dyDescent="0.3">
      <c r="A12" s="1" t="s">
        <v>1418</v>
      </c>
      <c r="C12" s="1" t="s">
        <v>1419</v>
      </c>
      <c r="F12" s="1" t="s">
        <v>1420</v>
      </c>
    </row>
    <row r="13" spans="1:6" x14ac:dyDescent="0.3">
      <c r="A13" s="1" t="s">
        <v>1421</v>
      </c>
      <c r="C13" s="1" t="s">
        <v>1422</v>
      </c>
      <c r="F13" s="1" t="s">
        <v>1423</v>
      </c>
    </row>
    <row r="14" spans="1:6" x14ac:dyDescent="0.3">
      <c r="A14" s="1" t="s">
        <v>1424</v>
      </c>
      <c r="C14" s="1" t="s">
        <v>1425</v>
      </c>
      <c r="F14" s="1" t="s">
        <v>1426</v>
      </c>
    </row>
    <row r="15" spans="1:6" x14ac:dyDescent="0.3">
      <c r="A15" s="1" t="s">
        <v>1427</v>
      </c>
      <c r="C15" s="1" t="s">
        <v>1428</v>
      </c>
      <c r="F15" s="1" t="s">
        <v>1429</v>
      </c>
    </row>
    <row r="16" spans="1:6" x14ac:dyDescent="0.3">
      <c r="A16" s="1" t="s">
        <v>1430</v>
      </c>
      <c r="C16" s="1" t="s">
        <v>1431</v>
      </c>
      <c r="F16" s="1" t="s">
        <v>1432</v>
      </c>
    </row>
    <row r="17" spans="1:15" x14ac:dyDescent="0.3">
      <c r="A17" s="1" t="s">
        <v>1433</v>
      </c>
      <c r="C17" s="1" t="s">
        <v>1434</v>
      </c>
      <c r="F17" s="1" t="s">
        <v>1435</v>
      </c>
    </row>
    <row r="19" spans="1:15" x14ac:dyDescent="0.3">
      <c r="O19" s="1" t="s">
        <v>1436</v>
      </c>
    </row>
    <row r="20" spans="1:15" x14ac:dyDescent="0.3">
      <c r="A20" s="1" t="s">
        <v>1437</v>
      </c>
      <c r="B20" s="1" t="s">
        <v>1438</v>
      </c>
      <c r="C20" s="1" t="s">
        <v>1439</v>
      </c>
      <c r="D20" s="1" t="s">
        <v>1440</v>
      </c>
      <c r="E20" s="1" t="s">
        <v>1441</v>
      </c>
      <c r="F20" s="1" t="s">
        <v>1442</v>
      </c>
      <c r="G20" s="1" t="s">
        <v>1443</v>
      </c>
      <c r="H20" s="1" t="s">
        <v>1444</v>
      </c>
      <c r="I20" s="1" t="s">
        <v>1445</v>
      </c>
      <c r="J20" s="131">
        <v>0.1</v>
      </c>
      <c r="K20" s="134">
        <f>J20+10%</f>
        <v>0.2</v>
      </c>
    </row>
    <row r="21" spans="1:15" x14ac:dyDescent="0.3">
      <c r="J21" s="131">
        <v>0.15</v>
      </c>
      <c r="K21" s="134">
        <f>J21+10%</f>
        <v>0.25</v>
      </c>
    </row>
    <row r="22" spans="1:15" x14ac:dyDescent="0.3">
      <c r="J22" s="131">
        <v>0.2</v>
      </c>
      <c r="K22" s="134">
        <f>J22+10%</f>
        <v>0.30000000000000004</v>
      </c>
      <c r="L22" s="1">
        <f>2/0.3</f>
        <v>6.666666666666667</v>
      </c>
      <c r="M22" s="1">
        <f>(L22+2)*5</f>
        <v>43.333333333333343</v>
      </c>
    </row>
    <row r="25" spans="1:15" x14ac:dyDescent="0.3">
      <c r="A25" s="1" t="s">
        <v>1446</v>
      </c>
      <c r="F25" s="1" t="s">
        <v>1447</v>
      </c>
    </row>
    <row r="26" spans="1:15" x14ac:dyDescent="0.3">
      <c r="A26" s="1" t="s">
        <v>1448</v>
      </c>
      <c r="F26" s="1" t="s">
        <v>1449</v>
      </c>
    </row>
    <row r="27" spans="1:15" x14ac:dyDescent="0.3">
      <c r="A27" s="1" t="s">
        <v>1450</v>
      </c>
      <c r="F27" s="1" t="s">
        <v>1451</v>
      </c>
    </row>
    <row r="28" spans="1:15" x14ac:dyDescent="0.3">
      <c r="A28" s="1" t="s">
        <v>1452</v>
      </c>
      <c r="F28" s="1" t="s">
        <v>1453</v>
      </c>
    </row>
    <row r="32" spans="1:15" x14ac:dyDescent="0.3">
      <c r="I32" s="1" t="s">
        <v>1454</v>
      </c>
      <c r="J32" s="1" t="s">
        <v>1455</v>
      </c>
      <c r="K32" s="1" t="s">
        <v>1456</v>
      </c>
      <c r="L32" s="1" t="s">
        <v>1187</v>
      </c>
      <c r="M32" s="1" t="s">
        <v>1457</v>
      </c>
      <c r="N32" s="1" t="s">
        <v>1458</v>
      </c>
      <c r="O32" s="1" t="s">
        <v>1459</v>
      </c>
    </row>
    <row r="33" spans="1:18" x14ac:dyDescent="0.3">
      <c r="A33" s="1" t="s">
        <v>1460</v>
      </c>
      <c r="D33" s="1" t="s">
        <v>1461</v>
      </c>
      <c r="G33" s="131">
        <v>0.05</v>
      </c>
      <c r="I33" s="131">
        <v>1</v>
      </c>
      <c r="J33" s="1" t="s">
        <v>1462</v>
      </c>
      <c r="M33" s="131">
        <v>0.05</v>
      </c>
      <c r="N33" s="1">
        <v>1</v>
      </c>
      <c r="O33" s="1">
        <v>0</v>
      </c>
    </row>
    <row r="34" spans="1:18" x14ac:dyDescent="0.3">
      <c r="A34" s="1" t="s">
        <v>1463</v>
      </c>
      <c r="D34" s="1" t="s">
        <v>1464</v>
      </c>
      <c r="G34" s="1" t="s">
        <v>1465</v>
      </c>
      <c r="I34" s="131">
        <v>0.3</v>
      </c>
      <c r="J34" s="1" t="s">
        <v>1466</v>
      </c>
      <c r="M34" s="131">
        <v>0.15</v>
      </c>
      <c r="N34" s="1">
        <v>8</v>
      </c>
      <c r="O34" s="1">
        <v>0</v>
      </c>
      <c r="P34" s="1" t="s">
        <v>1467</v>
      </c>
    </row>
    <row r="35" spans="1:18" x14ac:dyDescent="0.3">
      <c r="A35" s="1" t="s">
        <v>1468</v>
      </c>
      <c r="D35" s="1" t="s">
        <v>1469</v>
      </c>
      <c r="I35" s="131">
        <v>1</v>
      </c>
      <c r="J35" s="1" t="s">
        <v>1470</v>
      </c>
      <c r="M35" s="131">
        <v>0.2</v>
      </c>
      <c r="N35" s="1">
        <v>10</v>
      </c>
      <c r="O35" s="1">
        <v>60</v>
      </c>
      <c r="P35" s="1" t="s">
        <v>1471</v>
      </c>
    </row>
    <row r="36" spans="1:18" x14ac:dyDescent="0.3">
      <c r="A36" s="1" t="s">
        <v>1472</v>
      </c>
      <c r="D36" s="1" t="s">
        <v>1473</v>
      </c>
      <c r="I36" s="131">
        <v>1</v>
      </c>
      <c r="J36" s="1" t="s">
        <v>1474</v>
      </c>
      <c r="K36" s="1" t="s">
        <v>1475</v>
      </c>
      <c r="L36" s="131" t="s">
        <v>1476</v>
      </c>
    </row>
    <row r="37" spans="1:18" x14ac:dyDescent="0.3">
      <c r="A37" s="1" t="s">
        <v>1477</v>
      </c>
      <c r="D37" s="1" t="s">
        <v>1478</v>
      </c>
    </row>
    <row r="38" spans="1:18" x14ac:dyDescent="0.3">
      <c r="A38" s="1" t="s">
        <v>1479</v>
      </c>
      <c r="D38" s="1" t="s">
        <v>1480</v>
      </c>
    </row>
    <row r="39" spans="1:18" x14ac:dyDescent="0.3">
      <c r="A39" s="1" t="s">
        <v>1481</v>
      </c>
      <c r="D39" s="1" t="s">
        <v>1482</v>
      </c>
      <c r="R39" s="1" t="s">
        <v>1483</v>
      </c>
    </row>
    <row r="40" spans="1:18" x14ac:dyDescent="0.3">
      <c r="A40" s="1" t="s">
        <v>1484</v>
      </c>
      <c r="D40" s="1" t="s">
        <v>1485</v>
      </c>
      <c r="Q40" s="1" t="s">
        <v>1486</v>
      </c>
    </row>
    <row r="41" spans="1:18" x14ac:dyDescent="0.3">
      <c r="A41" s="1" t="s">
        <v>1487</v>
      </c>
      <c r="D41" s="1" t="s">
        <v>1488</v>
      </c>
      <c r="Q41" s="1" t="s">
        <v>1489</v>
      </c>
    </row>
    <row r="42" spans="1:18" x14ac:dyDescent="0.3">
      <c r="A42" s="1" t="s">
        <v>1490</v>
      </c>
      <c r="D42" s="1" t="s">
        <v>1491</v>
      </c>
      <c r="Q42" s="1" t="s">
        <v>1492</v>
      </c>
    </row>
    <row r="43" spans="1:18" x14ac:dyDescent="0.3">
      <c r="A43" s="1" t="s">
        <v>1493</v>
      </c>
      <c r="D43" s="1" t="s">
        <v>1494</v>
      </c>
      <c r="Q43" s="1" t="s">
        <v>1495</v>
      </c>
    </row>
    <row r="44" spans="1:18" x14ac:dyDescent="0.3">
      <c r="A44" s="1" t="s">
        <v>1496</v>
      </c>
      <c r="D44" s="1" t="s">
        <v>1497</v>
      </c>
      <c r="Q44" s="1" t="s">
        <v>1498</v>
      </c>
    </row>
    <row r="45" spans="1:18" x14ac:dyDescent="0.3">
      <c r="A45" s="1" t="s">
        <v>1499</v>
      </c>
      <c r="D45" s="1" t="s">
        <v>1500</v>
      </c>
    </row>
    <row r="46" spans="1:18" x14ac:dyDescent="0.3">
      <c r="A46" s="1" t="s">
        <v>1501</v>
      </c>
      <c r="D46" s="1" t="s">
        <v>1502</v>
      </c>
    </row>
    <row r="47" spans="1:18" x14ac:dyDescent="0.3">
      <c r="A47" s="1" t="s">
        <v>1503</v>
      </c>
      <c r="D47" s="1" t="s">
        <v>1504</v>
      </c>
      <c r="Q47" s="1" t="s">
        <v>1505</v>
      </c>
    </row>
    <row r="48" spans="1:18" x14ac:dyDescent="0.3">
      <c r="A48" s="1" t="s">
        <v>1506</v>
      </c>
      <c r="D48" s="1" t="s">
        <v>1507</v>
      </c>
      <c r="Q48" s="1" t="s">
        <v>1508</v>
      </c>
    </row>
    <row r="49" spans="1:28" x14ac:dyDescent="0.3">
      <c r="A49" s="1" t="s">
        <v>1509</v>
      </c>
      <c r="D49" s="1" t="s">
        <v>1510</v>
      </c>
      <c r="Q49" s="1" t="s">
        <v>184</v>
      </c>
      <c r="AB49" s="1" t="s">
        <v>1511</v>
      </c>
    </row>
    <row r="50" spans="1:28" x14ac:dyDescent="0.3">
      <c r="A50" s="1" t="s">
        <v>1512</v>
      </c>
      <c r="D50" s="1" t="s">
        <v>1513</v>
      </c>
      <c r="AB50" s="1" t="s">
        <v>1514</v>
      </c>
    </row>
    <row r="51" spans="1:28" x14ac:dyDescent="0.3">
      <c r="AB51" s="1" t="s">
        <v>1515</v>
      </c>
    </row>
    <row r="52" spans="1:28" x14ac:dyDescent="0.3">
      <c r="AB52" s="1" t="s">
        <v>1516</v>
      </c>
    </row>
    <row r="53" spans="1:28" x14ac:dyDescent="0.3">
      <c r="AB53" s="1" t="s">
        <v>1517</v>
      </c>
    </row>
    <row r="54" spans="1:28" x14ac:dyDescent="0.3">
      <c r="AB54" s="1" t="s">
        <v>1518</v>
      </c>
    </row>
    <row r="55" spans="1:28" x14ac:dyDescent="0.3">
      <c r="R55" s="1" t="s">
        <v>1519</v>
      </c>
      <c r="S55" s="1" t="s">
        <v>1520</v>
      </c>
      <c r="T55" s="1" t="s">
        <v>1521</v>
      </c>
      <c r="U55" s="1" t="s">
        <v>1522</v>
      </c>
      <c r="V55" s="1" t="s">
        <v>1523</v>
      </c>
      <c r="W55" s="1" t="s">
        <v>1524</v>
      </c>
    </row>
    <row r="56" spans="1:28" x14ac:dyDescent="0.3">
      <c r="A56" s="124">
        <v>38</v>
      </c>
      <c r="B56" s="1" t="s">
        <v>1460</v>
      </c>
      <c r="C56" s="36" t="s">
        <v>1525</v>
      </c>
      <c r="I56" s="1" t="s">
        <v>1526</v>
      </c>
      <c r="J56" s="1">
        <f>COUNTIF(I56:I70,I56)</f>
        <v>5</v>
      </c>
      <c r="M56" s="1">
        <v>52</v>
      </c>
      <c r="N56" s="1" t="s">
        <v>1409</v>
      </c>
      <c r="O56" s="36" t="s">
        <v>1411</v>
      </c>
    </row>
    <row r="57" spans="1:28" x14ac:dyDescent="0.3">
      <c r="A57" s="124">
        <v>39</v>
      </c>
      <c r="B57" s="1" t="s">
        <v>1463</v>
      </c>
      <c r="C57" s="36" t="s">
        <v>1527</v>
      </c>
      <c r="I57" s="1" t="s">
        <v>1528</v>
      </c>
      <c r="J57" s="1">
        <f>COUNTIF(I57:I71,I57)</f>
        <v>5</v>
      </c>
      <c r="M57" s="1">
        <v>2</v>
      </c>
      <c r="N57" s="1" t="s">
        <v>1412</v>
      </c>
      <c r="O57" s="36" t="s">
        <v>1529</v>
      </c>
    </row>
    <row r="58" spans="1:28" x14ac:dyDescent="0.3">
      <c r="A58" s="124">
        <v>40</v>
      </c>
      <c r="B58" s="1" t="s">
        <v>1468</v>
      </c>
      <c r="C58" s="36" t="s">
        <v>1530</v>
      </c>
      <c r="I58" s="1" t="s">
        <v>177</v>
      </c>
      <c r="J58" s="1">
        <f>COUNTIF(I58:I72,I58)</f>
        <v>4</v>
      </c>
      <c r="M58" s="1">
        <v>10</v>
      </c>
      <c r="N58" s="1" t="s">
        <v>1421</v>
      </c>
      <c r="O58" s="36" t="s">
        <v>1423</v>
      </c>
    </row>
    <row r="59" spans="1:28" x14ac:dyDescent="0.3">
      <c r="A59" s="124">
        <v>41</v>
      </c>
      <c r="B59" s="1" t="s">
        <v>1472</v>
      </c>
      <c r="C59" s="36" t="s">
        <v>1531</v>
      </c>
      <c r="I59" s="1" t="s">
        <v>1528</v>
      </c>
    </row>
    <row r="60" spans="1:28" x14ac:dyDescent="0.3">
      <c r="A60" s="124">
        <v>42</v>
      </c>
      <c r="B60" s="1" t="s">
        <v>1477</v>
      </c>
      <c r="C60" s="36" t="s">
        <v>1532</v>
      </c>
      <c r="I60" s="1" t="s">
        <v>1526</v>
      </c>
      <c r="M60" s="1">
        <v>6</v>
      </c>
      <c r="N60" s="1" t="s">
        <v>1415</v>
      </c>
      <c r="O60" s="36" t="s">
        <v>1417</v>
      </c>
      <c r="R60" s="131">
        <v>0.2</v>
      </c>
      <c r="S60" s="1">
        <v>5</v>
      </c>
      <c r="T60" s="1">
        <f>R60/S60</f>
        <v>0.04</v>
      </c>
      <c r="U60" s="1">
        <v>0.04</v>
      </c>
      <c r="V60" s="1">
        <f>T60-U60</f>
        <v>0</v>
      </c>
      <c r="W60" s="1">
        <f>ROUND(V60*AVERAGE(标准坦克设计!O28:Q28)/标准坦克设计!K18*45*标准坦克设计!U28,2)</f>
        <v>0</v>
      </c>
    </row>
    <row r="61" spans="1:28" x14ac:dyDescent="0.3">
      <c r="A61" s="124">
        <v>43</v>
      </c>
      <c r="B61" s="1" t="s">
        <v>1479</v>
      </c>
      <c r="C61" s="36" t="s">
        <v>1533</v>
      </c>
      <c r="I61" s="1" t="s">
        <v>1528</v>
      </c>
      <c r="M61" s="1">
        <v>7</v>
      </c>
      <c r="N61" s="1" t="s">
        <v>1418</v>
      </c>
      <c r="O61" s="36" t="s">
        <v>1420</v>
      </c>
      <c r="R61" s="131">
        <v>0.2</v>
      </c>
      <c r="S61" s="1">
        <v>5</v>
      </c>
      <c r="T61" s="1">
        <f>R61/S61</f>
        <v>0.04</v>
      </c>
      <c r="U61" s="1">
        <v>0.02</v>
      </c>
      <c r="V61" s="1">
        <f>T61-U61</f>
        <v>0.02</v>
      </c>
      <c r="W61" s="1">
        <f>ROUND(V61*AVERAGE(标准坦克设计!O26:Q26)/标准坦克设计!K16*45*标准坦克设计!U26,2)</f>
        <v>0.86</v>
      </c>
    </row>
    <row r="62" spans="1:28" x14ac:dyDescent="0.3">
      <c r="A62" s="124">
        <v>44</v>
      </c>
      <c r="B62" s="1" t="s">
        <v>1481</v>
      </c>
      <c r="C62" s="36" t="s">
        <v>1534</v>
      </c>
      <c r="I62" s="1" t="s">
        <v>1526</v>
      </c>
      <c r="M62" s="1">
        <v>51</v>
      </c>
      <c r="N62" s="1" t="s">
        <v>1424</v>
      </c>
      <c r="O62" s="36" t="s">
        <v>1426</v>
      </c>
    </row>
    <row r="63" spans="1:28" x14ac:dyDescent="0.3">
      <c r="A63" s="124">
        <v>45</v>
      </c>
      <c r="B63" s="1" t="s">
        <v>1484</v>
      </c>
      <c r="C63" s="36" t="s">
        <v>1535</v>
      </c>
      <c r="M63" s="1">
        <v>53</v>
      </c>
      <c r="N63" s="1" t="s">
        <v>1430</v>
      </c>
      <c r="O63" s="36" t="s">
        <v>1432</v>
      </c>
      <c r="R63" s="131">
        <v>0.25</v>
      </c>
      <c r="S63" s="1">
        <v>2</v>
      </c>
      <c r="U63" s="1">
        <f>R63/S63</f>
        <v>0.125</v>
      </c>
      <c r="X63" s="1" t="s">
        <v>1536</v>
      </c>
    </row>
    <row r="64" spans="1:28" x14ac:dyDescent="0.3">
      <c r="A64" s="124">
        <v>46</v>
      </c>
      <c r="B64" s="1" t="s">
        <v>1487</v>
      </c>
      <c r="C64" s="36" t="s">
        <v>1537</v>
      </c>
      <c r="I64" s="1" t="s">
        <v>1526</v>
      </c>
      <c r="J64" s="1" t="s">
        <v>177</v>
      </c>
      <c r="M64" s="1">
        <v>54</v>
      </c>
      <c r="N64" s="1" t="s">
        <v>1433</v>
      </c>
      <c r="O64" s="36" t="s">
        <v>1538</v>
      </c>
      <c r="R64" s="131">
        <v>0.4</v>
      </c>
      <c r="S64" s="1">
        <v>6</v>
      </c>
      <c r="U64" s="1">
        <f>R64/S64</f>
        <v>6.6666666666666666E-2</v>
      </c>
    </row>
    <row r="65" spans="1:21" x14ac:dyDescent="0.3">
      <c r="A65" s="124">
        <v>47</v>
      </c>
      <c r="B65" s="1" t="s">
        <v>1490</v>
      </c>
      <c r="C65" s="36" t="s">
        <v>1539</v>
      </c>
      <c r="I65" s="1" t="s">
        <v>177</v>
      </c>
      <c r="M65" s="1">
        <v>55</v>
      </c>
      <c r="N65" s="1" t="s">
        <v>1437</v>
      </c>
      <c r="O65" s="36" t="s">
        <v>1540</v>
      </c>
      <c r="R65" s="131">
        <v>0.15</v>
      </c>
      <c r="S65" s="1">
        <v>3</v>
      </c>
      <c r="U65" s="1">
        <f>R65/S65</f>
        <v>4.9999999999999996E-2</v>
      </c>
    </row>
    <row r="66" spans="1:21" x14ac:dyDescent="0.3">
      <c r="A66" s="124">
        <v>48</v>
      </c>
      <c r="B66" s="1" t="s">
        <v>1493</v>
      </c>
      <c r="C66" s="36" t="s">
        <v>1541</v>
      </c>
      <c r="I66" s="1" t="s">
        <v>1526</v>
      </c>
    </row>
    <row r="67" spans="1:21" x14ac:dyDescent="0.3">
      <c r="A67" s="124">
        <v>49</v>
      </c>
      <c r="B67" s="1" t="s">
        <v>1496</v>
      </c>
      <c r="C67" s="36" t="s">
        <v>1542</v>
      </c>
      <c r="I67" s="1" t="s">
        <v>1528</v>
      </c>
    </row>
    <row r="68" spans="1:21" x14ac:dyDescent="0.3">
      <c r="A68" s="1">
        <v>3</v>
      </c>
      <c r="B68" s="1" t="s">
        <v>1499</v>
      </c>
      <c r="C68" s="36" t="s">
        <v>1500</v>
      </c>
      <c r="I68" s="1" t="s">
        <v>177</v>
      </c>
    </row>
    <row r="69" spans="1:21" x14ac:dyDescent="0.3">
      <c r="A69" s="124">
        <v>21</v>
      </c>
      <c r="B69" s="1" t="s">
        <v>1501</v>
      </c>
      <c r="C69" s="36" t="s">
        <v>1543</v>
      </c>
      <c r="I69" s="1" t="s">
        <v>177</v>
      </c>
      <c r="N69" s="1" t="s">
        <v>1448</v>
      </c>
      <c r="O69" s="36" t="s">
        <v>1449</v>
      </c>
    </row>
    <row r="70" spans="1:21" x14ac:dyDescent="0.3">
      <c r="A70" s="124">
        <v>36</v>
      </c>
      <c r="B70" s="1" t="s">
        <v>1506</v>
      </c>
      <c r="C70" s="36" t="s">
        <v>1507</v>
      </c>
      <c r="I70" s="1" t="s">
        <v>1528</v>
      </c>
      <c r="N70" s="1" t="s">
        <v>1450</v>
      </c>
      <c r="O70" s="36" t="s">
        <v>1451</v>
      </c>
    </row>
    <row r="74" spans="1:21" x14ac:dyDescent="0.3">
      <c r="A74" s="1" t="s">
        <v>1460</v>
      </c>
      <c r="B74" s="1">
        <v>38</v>
      </c>
      <c r="D74" s="2" t="s">
        <v>1098</v>
      </c>
      <c r="E74" s="2" t="s">
        <v>1544</v>
      </c>
      <c r="F74" s="2" t="s">
        <v>1545</v>
      </c>
      <c r="G74" s="2" t="s">
        <v>1546</v>
      </c>
      <c r="H74" s="2" t="s">
        <v>1547</v>
      </c>
      <c r="I74" s="2" t="s">
        <v>1548</v>
      </c>
      <c r="J74" s="2" t="s">
        <v>1549</v>
      </c>
      <c r="K74" s="2" t="s">
        <v>1550</v>
      </c>
      <c r="L74" s="2" t="s">
        <v>1551</v>
      </c>
      <c r="M74" s="2" t="s">
        <v>1552</v>
      </c>
      <c r="N74" s="2" t="s">
        <v>1553</v>
      </c>
      <c r="O74" s="2"/>
    </row>
    <row r="75" spans="1:21" x14ac:dyDescent="0.3">
      <c r="A75" s="1" t="s">
        <v>1463</v>
      </c>
      <c r="B75" s="1">
        <v>39</v>
      </c>
      <c r="D75" s="2" t="s">
        <v>77</v>
      </c>
      <c r="E75" s="2" t="s">
        <v>1409</v>
      </c>
      <c r="F75" s="2" t="s">
        <v>1430</v>
      </c>
      <c r="G75" s="2" t="s">
        <v>1487</v>
      </c>
      <c r="H75" s="2" t="s">
        <v>1477</v>
      </c>
      <c r="I75" s="2" t="s">
        <v>1493</v>
      </c>
      <c r="J75" s="2">
        <f t="shared" ref="J75:N81" si="0">VLOOKUP(E75,$A$74:$B$97,2,FALSE)</f>
        <v>52</v>
      </c>
      <c r="K75" s="2">
        <f t="shared" si="0"/>
        <v>53</v>
      </c>
      <c r="L75" s="2">
        <f t="shared" si="0"/>
        <v>46</v>
      </c>
      <c r="M75" s="2">
        <f t="shared" si="0"/>
        <v>42</v>
      </c>
      <c r="N75" s="2">
        <f t="shared" si="0"/>
        <v>48</v>
      </c>
      <c r="O75" s="2" t="str">
        <f t="shared" ref="O75:O81" si="1">"["&amp;J75&amp;","&amp;K75&amp;","&amp;L75&amp;","&amp;M75&amp;","&amp;N75&amp;"]"</f>
        <v>[52,53,46,42,48]</v>
      </c>
    </row>
    <row r="76" spans="1:21" x14ac:dyDescent="0.3">
      <c r="A76" s="1" t="s">
        <v>1468</v>
      </c>
      <c r="B76" s="1">
        <v>40</v>
      </c>
      <c r="D76" s="2" t="s">
        <v>78</v>
      </c>
      <c r="E76" s="2" t="s">
        <v>1409</v>
      </c>
      <c r="F76" s="2" t="s">
        <v>1430</v>
      </c>
      <c r="G76" s="2" t="s">
        <v>1460</v>
      </c>
      <c r="H76" s="2" t="s">
        <v>1487</v>
      </c>
      <c r="I76" s="2" t="s">
        <v>1493</v>
      </c>
      <c r="J76" s="2">
        <f t="shared" si="0"/>
        <v>52</v>
      </c>
      <c r="K76" s="2">
        <f t="shared" si="0"/>
        <v>53</v>
      </c>
      <c r="L76" s="2">
        <f t="shared" si="0"/>
        <v>38</v>
      </c>
      <c r="M76" s="2">
        <f t="shared" si="0"/>
        <v>46</v>
      </c>
      <c r="N76" s="2">
        <f t="shared" si="0"/>
        <v>48</v>
      </c>
      <c r="O76" s="2" t="str">
        <f t="shared" si="1"/>
        <v>[52,53,38,46,48]</v>
      </c>
    </row>
    <row r="77" spans="1:21" x14ac:dyDescent="0.3">
      <c r="A77" s="1" t="s">
        <v>1472</v>
      </c>
      <c r="B77" s="1">
        <v>41</v>
      </c>
      <c r="D77" s="2" t="s">
        <v>79</v>
      </c>
      <c r="E77" s="2" t="s">
        <v>1409</v>
      </c>
      <c r="F77" s="2" t="s">
        <v>1418</v>
      </c>
      <c r="G77" s="2" t="s">
        <v>1460</v>
      </c>
      <c r="H77" s="2" t="s">
        <v>1477</v>
      </c>
      <c r="I77" s="2" t="s">
        <v>1481</v>
      </c>
      <c r="J77" s="2">
        <f t="shared" si="0"/>
        <v>52</v>
      </c>
      <c r="K77" s="2">
        <f t="shared" si="0"/>
        <v>7</v>
      </c>
      <c r="L77" s="2">
        <f t="shared" si="0"/>
        <v>38</v>
      </c>
      <c r="M77" s="2">
        <f t="shared" si="0"/>
        <v>42</v>
      </c>
      <c r="N77" s="2">
        <f t="shared" si="0"/>
        <v>44</v>
      </c>
      <c r="O77" s="2" t="str">
        <f t="shared" si="1"/>
        <v>[52,7,38,42,44]</v>
      </c>
    </row>
    <row r="78" spans="1:21" x14ac:dyDescent="0.3">
      <c r="A78" s="1" t="s">
        <v>1477</v>
      </c>
      <c r="B78" s="1">
        <v>42</v>
      </c>
      <c r="D78" s="2" t="s">
        <v>80</v>
      </c>
      <c r="E78" s="2" t="s">
        <v>1421</v>
      </c>
      <c r="F78" s="2" t="s">
        <v>1424</v>
      </c>
      <c r="G78" s="2" t="s">
        <v>1490</v>
      </c>
      <c r="H78" s="2" t="s">
        <v>1501</v>
      </c>
      <c r="I78" s="2" t="s">
        <v>1499</v>
      </c>
      <c r="J78" s="2">
        <f t="shared" si="0"/>
        <v>10</v>
      </c>
      <c r="K78" s="2">
        <f t="shared" si="0"/>
        <v>51</v>
      </c>
      <c r="L78" s="2">
        <f t="shared" si="0"/>
        <v>47</v>
      </c>
      <c r="M78" s="2">
        <f t="shared" si="0"/>
        <v>21</v>
      </c>
      <c r="N78" s="2">
        <f t="shared" si="0"/>
        <v>3</v>
      </c>
      <c r="O78" s="2" t="str">
        <f t="shared" si="1"/>
        <v>[10,51,47,21,3]</v>
      </c>
    </row>
    <row r="79" spans="1:21" x14ac:dyDescent="0.3">
      <c r="A79" s="1" t="s">
        <v>1479</v>
      </c>
      <c r="B79" s="1">
        <v>43</v>
      </c>
      <c r="D79" s="2" t="s">
        <v>860</v>
      </c>
      <c r="E79" s="2" t="s">
        <v>1421</v>
      </c>
      <c r="F79" s="2" t="s">
        <v>1415</v>
      </c>
      <c r="G79" s="2" t="s">
        <v>1468</v>
      </c>
      <c r="H79" s="2" t="s">
        <v>1487</v>
      </c>
      <c r="I79" s="2" t="s">
        <v>1499</v>
      </c>
      <c r="J79" s="2">
        <f t="shared" si="0"/>
        <v>10</v>
      </c>
      <c r="K79" s="2">
        <f t="shared" si="0"/>
        <v>6</v>
      </c>
      <c r="L79" s="2">
        <f t="shared" si="0"/>
        <v>40</v>
      </c>
      <c r="M79" s="2">
        <f t="shared" si="0"/>
        <v>46</v>
      </c>
      <c r="N79" s="2">
        <f t="shared" si="0"/>
        <v>3</v>
      </c>
      <c r="O79" s="2" t="str">
        <f t="shared" si="1"/>
        <v>[10,6,40,46,3]</v>
      </c>
    </row>
    <row r="80" spans="1:21" x14ac:dyDescent="0.3">
      <c r="A80" s="1" t="s">
        <v>1481</v>
      </c>
      <c r="B80" s="1">
        <v>44</v>
      </c>
      <c r="D80" s="2" t="s">
        <v>82</v>
      </c>
      <c r="E80" s="2" t="s">
        <v>1412</v>
      </c>
      <c r="F80" s="2" t="s">
        <v>1437</v>
      </c>
      <c r="G80" s="2" t="s">
        <v>1479</v>
      </c>
      <c r="H80" s="2" t="s">
        <v>1496</v>
      </c>
      <c r="I80" s="2" t="s">
        <v>1506</v>
      </c>
      <c r="J80" s="2">
        <f t="shared" si="0"/>
        <v>2</v>
      </c>
      <c r="K80" s="2">
        <f t="shared" si="0"/>
        <v>55</v>
      </c>
      <c r="L80" s="2">
        <f t="shared" si="0"/>
        <v>43</v>
      </c>
      <c r="M80" s="2">
        <f t="shared" si="0"/>
        <v>49</v>
      </c>
      <c r="N80" s="2">
        <f t="shared" si="0"/>
        <v>36</v>
      </c>
      <c r="O80" s="2" t="str">
        <f t="shared" si="1"/>
        <v>[2,55,43,49,36]</v>
      </c>
    </row>
    <row r="81" spans="1:15" x14ac:dyDescent="0.3">
      <c r="A81" s="1" t="s">
        <v>1484</v>
      </c>
      <c r="B81" s="1">
        <v>45</v>
      </c>
      <c r="D81" s="2" t="s">
        <v>83</v>
      </c>
      <c r="E81" s="2" t="s">
        <v>1412</v>
      </c>
      <c r="F81" s="2" t="s">
        <v>1433</v>
      </c>
      <c r="G81" s="2" t="s">
        <v>1463</v>
      </c>
      <c r="H81" s="2" t="s">
        <v>1472</v>
      </c>
      <c r="I81" s="2" t="s">
        <v>1496</v>
      </c>
      <c r="J81" s="2">
        <f t="shared" si="0"/>
        <v>2</v>
      </c>
      <c r="K81" s="2">
        <f t="shared" si="0"/>
        <v>54</v>
      </c>
      <c r="L81" s="2">
        <f t="shared" si="0"/>
        <v>39</v>
      </c>
      <c r="M81" s="2">
        <f t="shared" si="0"/>
        <v>41</v>
      </c>
      <c r="N81" s="2">
        <f t="shared" si="0"/>
        <v>49</v>
      </c>
      <c r="O81" s="2" t="str">
        <f t="shared" si="1"/>
        <v>[2,54,39,41,49]</v>
      </c>
    </row>
    <row r="82" spans="1:15" x14ac:dyDescent="0.3">
      <c r="A82" s="1" t="s">
        <v>1487</v>
      </c>
      <c r="B82" s="1">
        <v>46</v>
      </c>
    </row>
    <row r="83" spans="1:15" x14ac:dyDescent="0.3">
      <c r="A83" s="1" t="s">
        <v>1490</v>
      </c>
      <c r="B83" s="1">
        <v>47</v>
      </c>
    </row>
    <row r="84" spans="1:15" x14ac:dyDescent="0.3">
      <c r="A84" s="1" t="s">
        <v>1493</v>
      </c>
      <c r="B84" s="1">
        <v>48</v>
      </c>
    </row>
    <row r="85" spans="1:15" x14ac:dyDescent="0.3">
      <c r="A85" s="1" t="s">
        <v>1496</v>
      </c>
      <c r="B85" s="1">
        <v>49</v>
      </c>
    </row>
    <row r="86" spans="1:15" x14ac:dyDescent="0.3">
      <c r="A86" s="1" t="s">
        <v>1499</v>
      </c>
      <c r="B86" s="1">
        <v>3</v>
      </c>
    </row>
    <row r="87" spans="1:15" x14ac:dyDescent="0.3">
      <c r="A87" s="1" t="s">
        <v>1501</v>
      </c>
      <c r="B87" s="1">
        <v>21</v>
      </c>
    </row>
    <row r="88" spans="1:15" x14ac:dyDescent="0.3">
      <c r="A88" s="1" t="s">
        <v>1506</v>
      </c>
      <c r="B88" s="1">
        <v>36</v>
      </c>
    </row>
    <row r="89" spans="1:15" x14ac:dyDescent="0.3">
      <c r="A89" s="1" t="s">
        <v>1409</v>
      </c>
      <c r="B89" s="1">
        <v>52</v>
      </c>
    </row>
    <row r="90" spans="1:15" x14ac:dyDescent="0.3">
      <c r="A90" s="1" t="s">
        <v>1412</v>
      </c>
      <c r="B90" s="1">
        <v>2</v>
      </c>
    </row>
    <row r="91" spans="1:15" x14ac:dyDescent="0.3">
      <c r="A91" s="1" t="s">
        <v>1421</v>
      </c>
      <c r="B91" s="1">
        <v>10</v>
      </c>
    </row>
    <row r="92" spans="1:15" x14ac:dyDescent="0.3">
      <c r="A92" s="1" t="s">
        <v>1415</v>
      </c>
      <c r="B92" s="1">
        <v>6</v>
      </c>
    </row>
    <row r="93" spans="1:15" x14ac:dyDescent="0.3">
      <c r="A93" s="1" t="s">
        <v>1418</v>
      </c>
      <c r="B93" s="1">
        <v>7</v>
      </c>
    </row>
    <row r="94" spans="1:15" x14ac:dyDescent="0.3">
      <c r="A94" s="1" t="s">
        <v>1424</v>
      </c>
      <c r="B94" s="1">
        <v>51</v>
      </c>
    </row>
    <row r="95" spans="1:15" x14ac:dyDescent="0.3">
      <c r="A95" s="1" t="s">
        <v>1430</v>
      </c>
      <c r="B95" s="1">
        <v>53</v>
      </c>
    </row>
    <row r="96" spans="1:15" x14ac:dyDescent="0.3">
      <c r="A96" s="1" t="s">
        <v>1433</v>
      </c>
      <c r="B96" s="1">
        <v>54</v>
      </c>
    </row>
    <row r="97" spans="1:25" x14ac:dyDescent="0.3">
      <c r="A97" s="1" t="s">
        <v>1437</v>
      </c>
      <c r="B97" s="1">
        <v>55</v>
      </c>
    </row>
    <row r="101" spans="1:25" x14ac:dyDescent="0.3">
      <c r="A101" s="2" t="s">
        <v>599</v>
      </c>
      <c r="B101" s="2" t="s">
        <v>775</v>
      </c>
      <c r="C101" s="2" t="s">
        <v>602</v>
      </c>
      <c r="D101" s="2" t="s">
        <v>1098</v>
      </c>
      <c r="E101" s="2" t="s">
        <v>1544</v>
      </c>
      <c r="F101" s="2" t="s">
        <v>1545</v>
      </c>
      <c r="G101" s="2" t="s">
        <v>1546</v>
      </c>
      <c r="H101" s="2" t="s">
        <v>1547</v>
      </c>
      <c r="I101" s="2" t="s">
        <v>1548</v>
      </c>
      <c r="J101" s="2" t="s">
        <v>1549</v>
      </c>
      <c r="K101" s="2" t="s">
        <v>1550</v>
      </c>
      <c r="L101" s="2" t="s">
        <v>1551</v>
      </c>
      <c r="M101" s="2" t="s">
        <v>1552</v>
      </c>
      <c r="N101" s="2" t="s">
        <v>1553</v>
      </c>
    </row>
    <row r="102" spans="1:25" x14ac:dyDescent="0.3">
      <c r="A102" s="2" t="s">
        <v>510</v>
      </c>
      <c r="B102" s="29" t="str">
        <f>坦克个性化设定!E19</f>
        <v>T1</v>
      </c>
      <c r="C102" s="2" t="str">
        <f>坦克个性化细分!J4</f>
        <v>低</v>
      </c>
      <c r="D102" s="2" t="str">
        <f>VLOOKUP(A102,坦克个性化设定!$B$18:$F$48,5,FALSE)</f>
        <v>轻坦弹夹</v>
      </c>
      <c r="E102" s="2">
        <v>0</v>
      </c>
      <c r="F102" s="2">
        <v>1</v>
      </c>
      <c r="G102" s="2">
        <v>0</v>
      </c>
      <c r="H102" s="2">
        <v>0</v>
      </c>
      <c r="I102" s="2">
        <v>0</v>
      </c>
      <c r="J102" s="2">
        <f t="shared" ref="J102:J131" si="2">IF(E102&gt;0,VLOOKUP($D102,$D$74:$N$81,MATCH(J$101,$D$74:$N$74,0),FALSE),0)</f>
        <v>0</v>
      </c>
      <c r="K102" s="2">
        <f t="shared" ref="K102:K131" si="3">IF(F102&gt;0,VLOOKUP($D102,$D$74:$N$81,MATCH(K$101,$D$74:$N$74,0),FALSE),0)</f>
        <v>53</v>
      </c>
      <c r="L102" s="2">
        <f t="shared" ref="L102:L131" si="4">IF(G102&gt;0,VLOOKUP($D102,$D$74:$N$81,MATCH(L$101,$D$74:$N$74,0),FALSE),0)</f>
        <v>0</v>
      </c>
      <c r="M102" s="2">
        <f t="shared" ref="M102:M131" si="5">IF(H102&gt;0,VLOOKUP($D102,$D$74:$N$81,MATCH(M$101,$D$74:$N$74,0),FALSE),0)</f>
        <v>0</v>
      </c>
      <c r="N102" s="2">
        <f t="shared" ref="N102:N131" si="6">IF(I102&gt;0,VLOOKUP($D102,$D$74:$N$81,MATCH(N$101,$D$74:$N$74,0),FALSE),0)</f>
        <v>0</v>
      </c>
      <c r="O102" s="1" t="str">
        <f t="shared" ref="O102:O131" si="7">IF(J102&gt;0,J102&amp;",","")&amp;IF(K102&gt;0,K102&amp;",","")&amp;IF(L102&gt;0,L102&amp;",","")&amp;IF(M102&gt;0,M102&amp;",","")&amp;IF(N102&gt;0,N102&amp;",","")</f>
        <v>53,</v>
      </c>
      <c r="P102" s="1" t="str">
        <f>"["&amp;LEFT(O102,LEN(O102)-1)&amp;"]"</f>
        <v>[53]</v>
      </c>
      <c r="S102" s="1" t="str">
        <f t="shared" ref="S102:S131" si="8">VLOOKUP(D102,$D$74:$O$81,12,FALSE)</f>
        <v>[52,53,38,46,48]</v>
      </c>
      <c r="U102" s="1">
        <v>53</v>
      </c>
    </row>
    <row r="103" spans="1:25" x14ac:dyDescent="0.3">
      <c r="A103" s="2" t="s">
        <v>516</v>
      </c>
      <c r="B103" s="29" t="str">
        <f>坦克个性化设定!E20</f>
        <v>T2</v>
      </c>
      <c r="C103" s="2" t="str">
        <f>坦克个性化细分!J5</f>
        <v>低</v>
      </c>
      <c r="D103" s="2" t="str">
        <f>VLOOKUP(A103,坦克个性化设定!$B$18:$F$48,5,FALSE)</f>
        <v>轻坦弹夹</v>
      </c>
      <c r="E103" s="2">
        <v>0</v>
      </c>
      <c r="F103" s="2">
        <v>1</v>
      </c>
      <c r="G103" s="2">
        <v>1</v>
      </c>
      <c r="H103" s="2">
        <v>0</v>
      </c>
      <c r="I103" s="2">
        <v>0</v>
      </c>
      <c r="J103" s="2">
        <f t="shared" si="2"/>
        <v>0</v>
      </c>
      <c r="K103" s="2">
        <f t="shared" si="3"/>
        <v>53</v>
      </c>
      <c r="L103" s="2">
        <f t="shared" si="4"/>
        <v>38</v>
      </c>
      <c r="M103" s="2">
        <f t="shared" si="5"/>
        <v>0</v>
      </c>
      <c r="N103" s="2">
        <f t="shared" si="6"/>
        <v>0</v>
      </c>
      <c r="O103" s="1" t="str">
        <f t="shared" si="7"/>
        <v>53,38,</v>
      </c>
      <c r="P103" s="1" t="str">
        <f t="shared" ref="P103:P131" si="9">"["&amp;LEFT(O103,LEN(O103)-1)&amp;"]"</f>
        <v>[53,38]</v>
      </c>
      <c r="S103" s="1" t="str">
        <f t="shared" si="8"/>
        <v>[52,53,38,46,48]</v>
      </c>
      <c r="U103" s="1">
        <v>53</v>
      </c>
      <c r="V103" s="1">
        <v>38</v>
      </c>
    </row>
    <row r="104" spans="1:25" x14ac:dyDescent="0.3">
      <c r="A104" s="2" t="s">
        <v>607</v>
      </c>
      <c r="B104" s="29" t="str">
        <f>坦克个性化设定!E21</f>
        <v>T2</v>
      </c>
      <c r="C104" s="2" t="str">
        <f>坦克个性化细分!J6</f>
        <v>中</v>
      </c>
      <c r="D104" s="2" t="str">
        <f>VLOOKUP(A104,坦克个性化设定!$B$18:$F$48,5,FALSE)</f>
        <v>轻坦弹夹</v>
      </c>
      <c r="E104" s="2">
        <v>0</v>
      </c>
      <c r="F104" s="2">
        <v>1</v>
      </c>
      <c r="G104" s="2">
        <v>1</v>
      </c>
      <c r="H104" s="2">
        <v>0</v>
      </c>
      <c r="I104" s="2">
        <v>0</v>
      </c>
      <c r="J104" s="2">
        <f t="shared" si="2"/>
        <v>0</v>
      </c>
      <c r="K104" s="2">
        <f t="shared" si="3"/>
        <v>53</v>
      </c>
      <c r="L104" s="2">
        <f t="shared" si="4"/>
        <v>38</v>
      </c>
      <c r="M104" s="2">
        <f t="shared" si="5"/>
        <v>0</v>
      </c>
      <c r="N104" s="2">
        <f t="shared" si="6"/>
        <v>0</v>
      </c>
      <c r="O104" s="1" t="str">
        <f t="shared" si="7"/>
        <v>53,38,</v>
      </c>
      <c r="P104" s="1" t="str">
        <f t="shared" si="9"/>
        <v>[53,38]</v>
      </c>
      <c r="S104" s="1" t="str">
        <f t="shared" si="8"/>
        <v>[52,53,38,46,48]</v>
      </c>
      <c r="U104" s="1">
        <v>53</v>
      </c>
      <c r="V104" s="1">
        <v>46</v>
      </c>
    </row>
    <row r="105" spans="1:25" x14ac:dyDescent="0.3">
      <c r="A105" s="2" t="s">
        <v>522</v>
      </c>
      <c r="B105" s="29" t="str">
        <f>坦克个性化设定!E22</f>
        <v>T3</v>
      </c>
      <c r="C105" s="2" t="str">
        <f>坦克个性化细分!J7</f>
        <v>低</v>
      </c>
      <c r="D105" s="2" t="str">
        <f>VLOOKUP(A105,坦克个性化设定!$B$18:$F$48,5,FALSE)</f>
        <v>轻坦弹夹</v>
      </c>
      <c r="E105" s="2">
        <v>1</v>
      </c>
      <c r="F105" s="2">
        <v>1</v>
      </c>
      <c r="G105" s="2">
        <v>1</v>
      </c>
      <c r="H105" s="2">
        <v>0</v>
      </c>
      <c r="I105" s="2">
        <v>0</v>
      </c>
      <c r="J105" s="2">
        <f t="shared" si="2"/>
        <v>52</v>
      </c>
      <c r="K105" s="2">
        <f t="shared" si="3"/>
        <v>53</v>
      </c>
      <c r="L105" s="2">
        <f t="shared" si="4"/>
        <v>38</v>
      </c>
      <c r="M105" s="2">
        <f t="shared" si="5"/>
        <v>0</v>
      </c>
      <c r="N105" s="2">
        <f t="shared" si="6"/>
        <v>0</v>
      </c>
      <c r="O105" s="1" t="str">
        <f t="shared" si="7"/>
        <v>52,53,38,</v>
      </c>
      <c r="P105" s="1" t="str">
        <f t="shared" si="9"/>
        <v>[52,53,38]</v>
      </c>
      <c r="S105" s="1" t="str">
        <f t="shared" si="8"/>
        <v>[52,53,38,46,48]</v>
      </c>
      <c r="U105" s="1">
        <v>52</v>
      </c>
      <c r="V105" s="1">
        <v>53</v>
      </c>
      <c r="W105" s="1">
        <v>46</v>
      </c>
    </row>
    <row r="106" spans="1:25" x14ac:dyDescent="0.3">
      <c r="A106" s="2" t="s">
        <v>611</v>
      </c>
      <c r="B106" s="29" t="str">
        <f>坦克个性化设定!E23</f>
        <v>T3</v>
      </c>
      <c r="C106" s="2" t="str">
        <f>坦克个性化细分!J8</f>
        <v>中</v>
      </c>
      <c r="D106" s="2" t="str">
        <f>VLOOKUP(A106,坦克个性化设定!$B$18:$F$48,5,FALSE)</f>
        <v>轻坦弹夹</v>
      </c>
      <c r="E106" s="2">
        <v>1</v>
      </c>
      <c r="F106" s="2">
        <v>1</v>
      </c>
      <c r="G106" s="2">
        <v>1</v>
      </c>
      <c r="H106" s="2">
        <v>0</v>
      </c>
      <c r="I106" s="2">
        <v>0</v>
      </c>
      <c r="J106" s="2">
        <f t="shared" si="2"/>
        <v>52</v>
      </c>
      <c r="K106" s="2">
        <f t="shared" si="3"/>
        <v>53</v>
      </c>
      <c r="L106" s="2">
        <f t="shared" si="4"/>
        <v>38</v>
      </c>
      <c r="M106" s="2">
        <f t="shared" si="5"/>
        <v>0</v>
      </c>
      <c r="N106" s="2">
        <f t="shared" si="6"/>
        <v>0</v>
      </c>
      <c r="O106" s="1" t="str">
        <f t="shared" si="7"/>
        <v>52,53,38,</v>
      </c>
      <c r="P106" s="1" t="str">
        <f t="shared" si="9"/>
        <v>[52,53,38]</v>
      </c>
      <c r="S106" s="1" t="str">
        <f t="shared" si="8"/>
        <v>[52,53,38,46,48]</v>
      </c>
      <c r="U106" s="1">
        <v>52</v>
      </c>
      <c r="V106" s="1">
        <v>53</v>
      </c>
      <c r="W106" s="1">
        <v>38</v>
      </c>
    </row>
    <row r="107" spans="1:25" x14ac:dyDescent="0.3">
      <c r="A107" s="2" t="s">
        <v>613</v>
      </c>
      <c r="B107" s="29" t="str">
        <f>坦克个性化设定!E24</f>
        <v>T3</v>
      </c>
      <c r="C107" s="2" t="str">
        <f>坦克个性化细分!J9</f>
        <v>高</v>
      </c>
      <c r="D107" s="2" t="str">
        <f>VLOOKUP(A107,坦克个性化设定!$B$18:$F$48,5,FALSE)</f>
        <v>轻坦弹夹</v>
      </c>
      <c r="E107" s="2">
        <v>1</v>
      </c>
      <c r="F107" s="2">
        <v>1</v>
      </c>
      <c r="G107" s="2">
        <v>1</v>
      </c>
      <c r="H107" s="2">
        <v>0</v>
      </c>
      <c r="I107" s="2">
        <v>0</v>
      </c>
      <c r="J107" s="2">
        <f t="shared" si="2"/>
        <v>52</v>
      </c>
      <c r="K107" s="2">
        <f t="shared" si="3"/>
        <v>53</v>
      </c>
      <c r="L107" s="2">
        <f t="shared" si="4"/>
        <v>38</v>
      </c>
      <c r="M107" s="2">
        <f t="shared" si="5"/>
        <v>0</v>
      </c>
      <c r="N107" s="2">
        <f t="shared" si="6"/>
        <v>0</v>
      </c>
      <c r="O107" s="1" t="str">
        <f t="shared" si="7"/>
        <v>52,53,38,</v>
      </c>
      <c r="P107" s="1" t="str">
        <f t="shared" si="9"/>
        <v>[52,53,38]</v>
      </c>
      <c r="S107" s="1" t="str">
        <f t="shared" si="8"/>
        <v>[52,53,38,46,48]</v>
      </c>
      <c r="U107" s="1">
        <v>52</v>
      </c>
      <c r="V107" s="1">
        <v>7</v>
      </c>
      <c r="W107" s="1">
        <v>38</v>
      </c>
    </row>
    <row r="108" spans="1:25" x14ac:dyDescent="0.3">
      <c r="A108" s="2" t="s">
        <v>615</v>
      </c>
      <c r="B108" s="29" t="str">
        <f>坦克个性化设定!E25</f>
        <v>T4</v>
      </c>
      <c r="C108" s="2" t="str">
        <f>坦克个性化细分!J10</f>
        <v>低</v>
      </c>
      <c r="D108" s="2" t="str">
        <f>VLOOKUP(A108,坦克个性化设定!$B$18:$F$48,5,FALSE)</f>
        <v>轻坦弹夹</v>
      </c>
      <c r="E108" s="2">
        <v>1</v>
      </c>
      <c r="F108" s="2">
        <v>1</v>
      </c>
      <c r="G108" s="2">
        <v>1</v>
      </c>
      <c r="H108" s="2">
        <v>1</v>
      </c>
      <c r="I108" s="2">
        <v>0</v>
      </c>
      <c r="J108" s="2">
        <f t="shared" si="2"/>
        <v>52</v>
      </c>
      <c r="K108" s="2">
        <f t="shared" si="3"/>
        <v>53</v>
      </c>
      <c r="L108" s="2">
        <f t="shared" si="4"/>
        <v>38</v>
      </c>
      <c r="M108" s="2">
        <f t="shared" si="5"/>
        <v>46</v>
      </c>
      <c r="N108" s="2">
        <f t="shared" si="6"/>
        <v>0</v>
      </c>
      <c r="O108" s="1" t="str">
        <f t="shared" si="7"/>
        <v>52,53,38,46,</v>
      </c>
      <c r="P108" s="1" t="str">
        <f t="shared" si="9"/>
        <v>[52,53,38,46]</v>
      </c>
      <c r="S108" s="1" t="str">
        <f t="shared" si="8"/>
        <v>[52,53,38,46,48]</v>
      </c>
      <c r="U108" s="1">
        <v>52</v>
      </c>
      <c r="V108" s="1">
        <v>53</v>
      </c>
      <c r="W108" s="1">
        <v>46</v>
      </c>
      <c r="X108" s="1">
        <v>42</v>
      </c>
    </row>
    <row r="109" spans="1:25" x14ac:dyDescent="0.3">
      <c r="A109" s="2" t="s">
        <v>618</v>
      </c>
      <c r="B109" s="29" t="str">
        <f>坦克个性化设定!E26</f>
        <v>T4</v>
      </c>
      <c r="C109" s="2" t="str">
        <f>坦克个性化细分!J11</f>
        <v>中</v>
      </c>
      <c r="D109" s="2" t="str">
        <f>VLOOKUP(A109,坦克个性化设定!$B$18:$F$48,5,FALSE)</f>
        <v>轻坦弹夹</v>
      </c>
      <c r="E109" s="2">
        <v>1</v>
      </c>
      <c r="F109" s="2">
        <v>1</v>
      </c>
      <c r="G109" s="2">
        <v>1</v>
      </c>
      <c r="H109" s="2">
        <v>1</v>
      </c>
      <c r="I109" s="2">
        <v>0</v>
      </c>
      <c r="J109" s="2">
        <f t="shared" si="2"/>
        <v>52</v>
      </c>
      <c r="K109" s="2">
        <f t="shared" si="3"/>
        <v>53</v>
      </c>
      <c r="L109" s="2">
        <f t="shared" si="4"/>
        <v>38</v>
      </c>
      <c r="M109" s="2">
        <f t="shared" si="5"/>
        <v>46</v>
      </c>
      <c r="N109" s="2">
        <f t="shared" si="6"/>
        <v>0</v>
      </c>
      <c r="O109" s="1" t="str">
        <f t="shared" si="7"/>
        <v>52,53,38,46,</v>
      </c>
      <c r="P109" s="1" t="str">
        <f t="shared" si="9"/>
        <v>[52,53,38,46]</v>
      </c>
      <c r="S109" s="1" t="str">
        <f t="shared" si="8"/>
        <v>[52,53,38,46,48]</v>
      </c>
      <c r="U109" s="1">
        <v>52</v>
      </c>
      <c r="V109" s="1">
        <v>7</v>
      </c>
      <c r="W109" s="1">
        <v>38</v>
      </c>
      <c r="X109" s="1">
        <v>42</v>
      </c>
    </row>
    <row r="110" spans="1:25" x14ac:dyDescent="0.3">
      <c r="A110" s="2" t="s">
        <v>620</v>
      </c>
      <c r="B110" s="29" t="str">
        <f>坦克个性化设定!E27</f>
        <v>T4</v>
      </c>
      <c r="C110" s="2" t="str">
        <f>坦克个性化细分!J12</f>
        <v>高</v>
      </c>
      <c r="D110" s="2" t="str">
        <f>VLOOKUP(A110,坦克个性化设定!$B$18:$F$48,5,FALSE)</f>
        <v>轻坦弹夹</v>
      </c>
      <c r="E110" s="2">
        <v>1</v>
      </c>
      <c r="F110" s="2">
        <v>1</v>
      </c>
      <c r="G110" s="2">
        <v>1</v>
      </c>
      <c r="H110" s="2">
        <v>1</v>
      </c>
      <c r="I110" s="2">
        <v>0</v>
      </c>
      <c r="J110" s="2">
        <f t="shared" si="2"/>
        <v>52</v>
      </c>
      <c r="K110" s="2">
        <f t="shared" si="3"/>
        <v>53</v>
      </c>
      <c r="L110" s="2">
        <f t="shared" si="4"/>
        <v>38</v>
      </c>
      <c r="M110" s="2">
        <f t="shared" si="5"/>
        <v>46</v>
      </c>
      <c r="N110" s="2">
        <f t="shared" si="6"/>
        <v>0</v>
      </c>
      <c r="O110" s="1" t="str">
        <f t="shared" si="7"/>
        <v>52,53,38,46,</v>
      </c>
      <c r="P110" s="1" t="str">
        <f t="shared" si="9"/>
        <v>[52,53,38,46]</v>
      </c>
      <c r="S110" s="1" t="str">
        <f t="shared" si="8"/>
        <v>[52,53,38,46,48]</v>
      </c>
      <c r="U110" s="1">
        <v>52</v>
      </c>
      <c r="V110" s="1">
        <v>53</v>
      </c>
      <c r="W110" s="1">
        <v>46</v>
      </c>
      <c r="X110" s="1">
        <v>42</v>
      </c>
    </row>
    <row r="111" spans="1:25" x14ac:dyDescent="0.3">
      <c r="A111" s="2" t="s">
        <v>622</v>
      </c>
      <c r="B111" s="29" t="str">
        <f>坦克个性化设定!E28</f>
        <v>T5</v>
      </c>
      <c r="C111" s="2" t="str">
        <f>坦克个性化细分!J13</f>
        <v>低</v>
      </c>
      <c r="D111" s="2" t="str">
        <f>VLOOKUP(A111,坦克个性化设定!$B$18:$F$48,5,FALSE)</f>
        <v>轻坦弹夹</v>
      </c>
      <c r="E111" s="2">
        <v>1</v>
      </c>
      <c r="F111" s="2">
        <v>1</v>
      </c>
      <c r="G111" s="2">
        <v>1</v>
      </c>
      <c r="H111" s="2">
        <v>1</v>
      </c>
      <c r="I111" s="2">
        <v>1</v>
      </c>
      <c r="J111" s="2">
        <f t="shared" si="2"/>
        <v>52</v>
      </c>
      <c r="K111" s="2">
        <f t="shared" si="3"/>
        <v>53</v>
      </c>
      <c r="L111" s="2">
        <f t="shared" si="4"/>
        <v>38</v>
      </c>
      <c r="M111" s="2">
        <f t="shared" si="5"/>
        <v>46</v>
      </c>
      <c r="N111" s="2">
        <f t="shared" si="6"/>
        <v>48</v>
      </c>
      <c r="O111" s="1" t="str">
        <f t="shared" si="7"/>
        <v>52,53,38,46,48,</v>
      </c>
      <c r="P111" s="1" t="str">
        <f t="shared" si="9"/>
        <v>[52,53,38,46,48]</v>
      </c>
      <c r="S111" s="1" t="str">
        <f t="shared" si="8"/>
        <v>[52,53,38,46,48]</v>
      </c>
      <c r="U111" s="1">
        <v>52</v>
      </c>
      <c r="V111" s="1">
        <v>7</v>
      </c>
      <c r="W111" s="1">
        <v>38</v>
      </c>
      <c r="X111" s="1">
        <v>42</v>
      </c>
      <c r="Y111" s="1">
        <v>44</v>
      </c>
    </row>
    <row r="112" spans="1:25" x14ac:dyDescent="0.3">
      <c r="A112" s="2" t="s">
        <v>512</v>
      </c>
      <c r="B112" s="29" t="str">
        <f>坦克个性化设定!E29</f>
        <v>T1</v>
      </c>
      <c r="C112" s="2" t="str">
        <f>坦克个性化细分!J14</f>
        <v>低</v>
      </c>
      <c r="D112" s="2" t="str">
        <f>VLOOKUP(A112,坦克个性化设定!$B$18:$F$48,5,FALSE)</f>
        <v>中坦自动</v>
      </c>
      <c r="E112" s="2">
        <v>0</v>
      </c>
      <c r="F112" s="2">
        <v>1</v>
      </c>
      <c r="G112" s="2">
        <v>0</v>
      </c>
      <c r="H112" s="2">
        <v>0</v>
      </c>
      <c r="I112" s="2">
        <v>0</v>
      </c>
      <c r="J112" s="2">
        <f t="shared" si="2"/>
        <v>0</v>
      </c>
      <c r="K112" s="2" t="e">
        <f t="shared" si="3"/>
        <v>#N/A</v>
      </c>
      <c r="L112" s="2">
        <f t="shared" si="4"/>
        <v>0</v>
      </c>
      <c r="M112" s="2">
        <f t="shared" si="5"/>
        <v>0</v>
      </c>
      <c r="N112" s="2">
        <f t="shared" si="6"/>
        <v>0</v>
      </c>
      <c r="O112" s="1" t="e">
        <f t="shared" si="7"/>
        <v>#N/A</v>
      </c>
      <c r="P112" s="1" t="e">
        <f t="shared" si="9"/>
        <v>#N/A</v>
      </c>
      <c r="S112" s="1" t="e">
        <f t="shared" si="8"/>
        <v>#N/A</v>
      </c>
      <c r="U112" s="1">
        <v>51</v>
      </c>
    </row>
    <row r="113" spans="1:25" x14ac:dyDescent="0.3">
      <c r="A113" s="2" t="s">
        <v>518</v>
      </c>
      <c r="B113" s="29" t="str">
        <f>坦克个性化设定!E30</f>
        <v>T2</v>
      </c>
      <c r="C113" s="2" t="str">
        <f>坦克个性化细分!J15</f>
        <v>低</v>
      </c>
      <c r="D113" s="2" t="str">
        <f>VLOOKUP(A113,坦克个性化设定!$B$18:$F$48,5,FALSE)</f>
        <v>中坦自动</v>
      </c>
      <c r="E113" s="2">
        <v>0</v>
      </c>
      <c r="F113" s="2">
        <v>1</v>
      </c>
      <c r="G113" s="2">
        <v>1</v>
      </c>
      <c r="H113" s="2">
        <v>0</v>
      </c>
      <c r="I113" s="2">
        <v>0</v>
      </c>
      <c r="J113" s="2">
        <f t="shared" si="2"/>
        <v>0</v>
      </c>
      <c r="K113" s="2" t="e">
        <f t="shared" si="3"/>
        <v>#N/A</v>
      </c>
      <c r="L113" s="2" t="e">
        <f t="shared" si="4"/>
        <v>#N/A</v>
      </c>
      <c r="M113" s="2">
        <f t="shared" si="5"/>
        <v>0</v>
      </c>
      <c r="N113" s="2">
        <f t="shared" si="6"/>
        <v>0</v>
      </c>
      <c r="O113" s="1" t="e">
        <f t="shared" si="7"/>
        <v>#N/A</v>
      </c>
      <c r="P113" s="1" t="e">
        <f t="shared" si="9"/>
        <v>#N/A</v>
      </c>
      <c r="S113" s="1" t="e">
        <f t="shared" si="8"/>
        <v>#N/A</v>
      </c>
      <c r="U113" s="1">
        <v>51</v>
      </c>
      <c r="V113" s="1">
        <v>47</v>
      </c>
    </row>
    <row r="114" spans="1:25" x14ac:dyDescent="0.3">
      <c r="A114" s="2" t="s">
        <v>627</v>
      </c>
      <c r="B114" s="29" t="str">
        <f>坦克个性化设定!E31</f>
        <v>T2</v>
      </c>
      <c r="C114" s="2" t="str">
        <f>坦克个性化细分!J16</f>
        <v>中</v>
      </c>
      <c r="D114" s="2" t="str">
        <f>VLOOKUP(A114,坦克个性化设定!$B$18:$F$48,5,FALSE)</f>
        <v>中坦自动</v>
      </c>
      <c r="E114" s="2">
        <v>0</v>
      </c>
      <c r="F114" s="2">
        <v>1</v>
      </c>
      <c r="G114" s="2">
        <v>1</v>
      </c>
      <c r="H114" s="2">
        <v>0</v>
      </c>
      <c r="I114" s="2">
        <v>0</v>
      </c>
      <c r="J114" s="2">
        <f t="shared" si="2"/>
        <v>0</v>
      </c>
      <c r="K114" s="2" t="e">
        <f t="shared" si="3"/>
        <v>#N/A</v>
      </c>
      <c r="L114" s="2" t="e">
        <f t="shared" si="4"/>
        <v>#N/A</v>
      </c>
      <c r="M114" s="2">
        <f t="shared" si="5"/>
        <v>0</v>
      </c>
      <c r="N114" s="2">
        <f t="shared" si="6"/>
        <v>0</v>
      </c>
      <c r="O114" s="1" t="e">
        <f t="shared" si="7"/>
        <v>#N/A</v>
      </c>
      <c r="P114" s="1" t="e">
        <f t="shared" si="9"/>
        <v>#N/A</v>
      </c>
      <c r="S114" s="1" t="e">
        <f t="shared" si="8"/>
        <v>#N/A</v>
      </c>
      <c r="U114" s="1">
        <v>6</v>
      </c>
      <c r="V114" s="1">
        <v>40</v>
      </c>
    </row>
    <row r="115" spans="1:25" x14ac:dyDescent="0.3">
      <c r="A115" s="2" t="s">
        <v>526</v>
      </c>
      <c r="B115" s="29" t="str">
        <f>坦克个性化设定!E32</f>
        <v>T3</v>
      </c>
      <c r="C115" s="2" t="str">
        <f>坦克个性化细分!J17</f>
        <v>低</v>
      </c>
      <c r="D115" s="2" t="str">
        <f>VLOOKUP(A115,坦克个性化设定!$B$18:$F$48,5,FALSE)</f>
        <v>中坦自动</v>
      </c>
      <c r="E115" s="2">
        <v>1</v>
      </c>
      <c r="F115" s="2">
        <v>1</v>
      </c>
      <c r="G115" s="2">
        <v>1</v>
      </c>
      <c r="H115" s="2">
        <v>0</v>
      </c>
      <c r="I115" s="2">
        <v>0</v>
      </c>
      <c r="J115" s="2" t="e">
        <f t="shared" si="2"/>
        <v>#N/A</v>
      </c>
      <c r="K115" s="2" t="e">
        <f t="shared" si="3"/>
        <v>#N/A</v>
      </c>
      <c r="L115" s="2" t="e">
        <f t="shared" si="4"/>
        <v>#N/A</v>
      </c>
      <c r="M115" s="2">
        <f t="shared" si="5"/>
        <v>0</v>
      </c>
      <c r="N115" s="2">
        <f t="shared" si="6"/>
        <v>0</v>
      </c>
      <c r="O115" s="1" t="e">
        <f t="shared" si="7"/>
        <v>#N/A</v>
      </c>
      <c r="P115" s="1" t="e">
        <f t="shared" si="9"/>
        <v>#N/A</v>
      </c>
      <c r="S115" s="1" t="e">
        <f t="shared" si="8"/>
        <v>#N/A</v>
      </c>
      <c r="U115" s="1">
        <v>10</v>
      </c>
      <c r="V115" s="1">
        <v>51</v>
      </c>
      <c r="W115" s="1">
        <v>47</v>
      </c>
    </row>
    <row r="116" spans="1:25" x14ac:dyDescent="0.3">
      <c r="A116" s="2" t="s">
        <v>630</v>
      </c>
      <c r="B116" s="29" t="str">
        <f>坦克个性化设定!E33</f>
        <v>T3</v>
      </c>
      <c r="C116" s="2" t="str">
        <f>坦克个性化细分!J18</f>
        <v>中</v>
      </c>
      <c r="D116" s="2" t="str">
        <f>VLOOKUP(A116,坦克个性化设定!$B$18:$F$48,5,FALSE)</f>
        <v>中坦自动</v>
      </c>
      <c r="E116" s="2">
        <v>1</v>
      </c>
      <c r="F116" s="2">
        <v>1</v>
      </c>
      <c r="G116" s="2">
        <v>1</v>
      </c>
      <c r="H116" s="2">
        <v>0</v>
      </c>
      <c r="I116" s="2">
        <v>0</v>
      </c>
      <c r="J116" s="2" t="e">
        <f t="shared" si="2"/>
        <v>#N/A</v>
      </c>
      <c r="K116" s="2" t="e">
        <f t="shared" si="3"/>
        <v>#N/A</v>
      </c>
      <c r="L116" s="2" t="e">
        <f t="shared" si="4"/>
        <v>#N/A</v>
      </c>
      <c r="M116" s="2">
        <f t="shared" si="5"/>
        <v>0</v>
      </c>
      <c r="N116" s="2">
        <f t="shared" si="6"/>
        <v>0</v>
      </c>
      <c r="O116" s="1" t="e">
        <f t="shared" si="7"/>
        <v>#N/A</v>
      </c>
      <c r="P116" s="1" t="e">
        <f t="shared" si="9"/>
        <v>#N/A</v>
      </c>
      <c r="S116" s="1" t="e">
        <f t="shared" si="8"/>
        <v>#N/A</v>
      </c>
      <c r="U116" s="1">
        <v>10</v>
      </c>
      <c r="V116" s="1">
        <v>6</v>
      </c>
      <c r="W116" s="1">
        <v>40</v>
      </c>
    </row>
    <row r="117" spans="1:25" x14ac:dyDescent="0.3">
      <c r="A117" s="2" t="s">
        <v>632</v>
      </c>
      <c r="B117" s="29" t="str">
        <f>坦克个性化设定!E34</f>
        <v>T3</v>
      </c>
      <c r="C117" s="2" t="str">
        <f>坦克个性化细分!J19</f>
        <v>高</v>
      </c>
      <c r="D117" s="2" t="str">
        <f>VLOOKUP(A117,坦克个性化设定!$B$18:$F$48,5,FALSE)</f>
        <v>中坦自动</v>
      </c>
      <c r="E117" s="2">
        <v>1</v>
      </c>
      <c r="F117" s="2">
        <v>1</v>
      </c>
      <c r="G117" s="2">
        <v>1</v>
      </c>
      <c r="H117" s="2">
        <v>0</v>
      </c>
      <c r="I117" s="2">
        <v>0</v>
      </c>
      <c r="J117" s="2" t="e">
        <f t="shared" si="2"/>
        <v>#N/A</v>
      </c>
      <c r="K117" s="2" t="e">
        <f t="shared" si="3"/>
        <v>#N/A</v>
      </c>
      <c r="L117" s="2" t="e">
        <f t="shared" si="4"/>
        <v>#N/A</v>
      </c>
      <c r="M117" s="2">
        <f t="shared" si="5"/>
        <v>0</v>
      </c>
      <c r="N117" s="2">
        <f t="shared" si="6"/>
        <v>0</v>
      </c>
      <c r="O117" s="1" t="e">
        <f t="shared" si="7"/>
        <v>#N/A</v>
      </c>
      <c r="P117" s="1" t="e">
        <f t="shared" si="9"/>
        <v>#N/A</v>
      </c>
      <c r="S117" s="1" t="e">
        <f t="shared" si="8"/>
        <v>#N/A</v>
      </c>
      <c r="U117" s="1">
        <v>10</v>
      </c>
      <c r="V117" s="1">
        <v>6</v>
      </c>
      <c r="W117" s="1">
        <v>40</v>
      </c>
    </row>
    <row r="118" spans="1:25" x14ac:dyDescent="0.3">
      <c r="A118" s="2" t="s">
        <v>634</v>
      </c>
      <c r="B118" s="29" t="str">
        <f>坦克个性化设定!E35</f>
        <v>T4</v>
      </c>
      <c r="C118" s="2" t="str">
        <f>坦克个性化细分!J20</f>
        <v>低</v>
      </c>
      <c r="D118" s="2" t="str">
        <f>VLOOKUP(A118,坦克个性化设定!$B$18:$F$48,5,FALSE)</f>
        <v>中坦自动</v>
      </c>
      <c r="E118" s="2">
        <v>1</v>
      </c>
      <c r="F118" s="2">
        <v>1</v>
      </c>
      <c r="G118" s="2">
        <v>1</v>
      </c>
      <c r="H118" s="2">
        <v>1</v>
      </c>
      <c r="I118" s="2">
        <v>0</v>
      </c>
      <c r="J118" s="2" t="e">
        <f t="shared" si="2"/>
        <v>#N/A</v>
      </c>
      <c r="K118" s="2" t="e">
        <f t="shared" si="3"/>
        <v>#N/A</v>
      </c>
      <c r="L118" s="2" t="e">
        <f t="shared" si="4"/>
        <v>#N/A</v>
      </c>
      <c r="M118" s="2" t="e">
        <f t="shared" si="5"/>
        <v>#N/A</v>
      </c>
      <c r="N118" s="2">
        <f t="shared" si="6"/>
        <v>0</v>
      </c>
      <c r="O118" s="1" t="e">
        <f t="shared" si="7"/>
        <v>#N/A</v>
      </c>
      <c r="P118" s="1" t="e">
        <f t="shared" si="9"/>
        <v>#N/A</v>
      </c>
      <c r="S118" s="1" t="e">
        <f t="shared" si="8"/>
        <v>#N/A</v>
      </c>
      <c r="U118" s="1">
        <v>10</v>
      </c>
      <c r="V118" s="1">
        <v>51</v>
      </c>
      <c r="W118" s="1">
        <v>47</v>
      </c>
      <c r="X118" s="1">
        <v>21</v>
      </c>
    </row>
    <row r="119" spans="1:25" x14ac:dyDescent="0.3">
      <c r="A119" s="2" t="s">
        <v>636</v>
      </c>
      <c r="B119" s="29" t="str">
        <f>坦克个性化设定!E36</f>
        <v>T4</v>
      </c>
      <c r="C119" s="2" t="str">
        <f>坦克个性化细分!J21</f>
        <v>中</v>
      </c>
      <c r="D119" s="2" t="str">
        <f>VLOOKUP(A119,坦克个性化设定!$B$18:$F$48,5,FALSE)</f>
        <v>中坦自动</v>
      </c>
      <c r="E119" s="2">
        <v>1</v>
      </c>
      <c r="F119" s="2">
        <v>1</v>
      </c>
      <c r="G119" s="2">
        <v>1</v>
      </c>
      <c r="H119" s="2">
        <v>1</v>
      </c>
      <c r="I119" s="2">
        <v>0</v>
      </c>
      <c r="J119" s="2" t="e">
        <f t="shared" si="2"/>
        <v>#N/A</v>
      </c>
      <c r="K119" s="2" t="e">
        <f t="shared" si="3"/>
        <v>#N/A</v>
      </c>
      <c r="L119" s="2" t="e">
        <f t="shared" si="4"/>
        <v>#N/A</v>
      </c>
      <c r="M119" s="2" t="e">
        <f t="shared" si="5"/>
        <v>#N/A</v>
      </c>
      <c r="N119" s="2">
        <f t="shared" si="6"/>
        <v>0</v>
      </c>
      <c r="O119" s="1" t="e">
        <f t="shared" si="7"/>
        <v>#N/A</v>
      </c>
      <c r="P119" s="1" t="e">
        <f t="shared" si="9"/>
        <v>#N/A</v>
      </c>
      <c r="S119" s="1" t="e">
        <f t="shared" si="8"/>
        <v>#N/A</v>
      </c>
      <c r="U119" s="1">
        <v>10</v>
      </c>
      <c r="V119" s="1">
        <v>6</v>
      </c>
      <c r="W119" s="1">
        <v>40</v>
      </c>
      <c r="X119" s="1">
        <v>46</v>
      </c>
    </row>
    <row r="120" spans="1:25" x14ac:dyDescent="0.3">
      <c r="A120" s="2" t="s">
        <v>638</v>
      </c>
      <c r="B120" s="29" t="str">
        <f>坦克个性化设定!E37</f>
        <v>T4</v>
      </c>
      <c r="C120" s="2" t="str">
        <f>坦克个性化细分!J22</f>
        <v>高</v>
      </c>
      <c r="D120" s="2" t="str">
        <f>VLOOKUP(A120,坦克个性化设定!$B$18:$F$48,5,FALSE)</f>
        <v>中坦自动</v>
      </c>
      <c r="E120" s="2">
        <v>1</v>
      </c>
      <c r="F120" s="2">
        <v>1</v>
      </c>
      <c r="G120" s="2">
        <v>1</v>
      </c>
      <c r="H120" s="2">
        <v>1</v>
      </c>
      <c r="I120" s="2">
        <v>0</v>
      </c>
      <c r="J120" s="2" t="e">
        <f t="shared" si="2"/>
        <v>#N/A</v>
      </c>
      <c r="K120" s="2" t="e">
        <f t="shared" si="3"/>
        <v>#N/A</v>
      </c>
      <c r="L120" s="2" t="e">
        <f t="shared" si="4"/>
        <v>#N/A</v>
      </c>
      <c r="M120" s="2" t="e">
        <f t="shared" si="5"/>
        <v>#N/A</v>
      </c>
      <c r="N120" s="2">
        <f t="shared" si="6"/>
        <v>0</v>
      </c>
      <c r="O120" s="1" t="e">
        <f t="shared" si="7"/>
        <v>#N/A</v>
      </c>
      <c r="P120" s="1" t="e">
        <f t="shared" si="9"/>
        <v>#N/A</v>
      </c>
      <c r="S120" s="1" t="e">
        <f t="shared" si="8"/>
        <v>#N/A</v>
      </c>
      <c r="U120" s="1">
        <v>10</v>
      </c>
      <c r="V120" s="1">
        <v>6</v>
      </c>
      <c r="W120" s="1">
        <v>40</v>
      </c>
      <c r="X120" s="1">
        <v>46</v>
      </c>
    </row>
    <row r="121" spans="1:25" x14ac:dyDescent="0.3">
      <c r="A121" s="2" t="s">
        <v>640</v>
      </c>
      <c r="B121" s="29" t="str">
        <f>坦克个性化设定!E38</f>
        <v>T5</v>
      </c>
      <c r="C121" s="2" t="str">
        <f>坦克个性化细分!J23</f>
        <v>低</v>
      </c>
      <c r="D121" s="2" t="str">
        <f>VLOOKUP(A121,坦克个性化设定!$B$18:$F$48,5,FALSE)</f>
        <v>中坦自动</v>
      </c>
      <c r="E121" s="2">
        <v>1</v>
      </c>
      <c r="F121" s="2">
        <v>1</v>
      </c>
      <c r="G121" s="2">
        <v>1</v>
      </c>
      <c r="H121" s="2">
        <v>1</v>
      </c>
      <c r="I121" s="2">
        <v>1</v>
      </c>
      <c r="J121" s="2" t="e">
        <f t="shared" si="2"/>
        <v>#N/A</v>
      </c>
      <c r="K121" s="2" t="e">
        <f t="shared" si="3"/>
        <v>#N/A</v>
      </c>
      <c r="L121" s="2" t="e">
        <f t="shared" si="4"/>
        <v>#N/A</v>
      </c>
      <c r="M121" s="2" t="e">
        <f t="shared" si="5"/>
        <v>#N/A</v>
      </c>
      <c r="N121" s="2" t="e">
        <f t="shared" si="6"/>
        <v>#N/A</v>
      </c>
      <c r="O121" s="1" t="e">
        <f t="shared" si="7"/>
        <v>#N/A</v>
      </c>
      <c r="P121" s="1" t="e">
        <f t="shared" si="9"/>
        <v>#N/A</v>
      </c>
      <c r="S121" s="1" t="e">
        <f t="shared" si="8"/>
        <v>#N/A</v>
      </c>
      <c r="U121" s="1">
        <v>10</v>
      </c>
      <c r="V121" s="1">
        <v>6</v>
      </c>
      <c r="W121" s="1">
        <v>40</v>
      </c>
      <c r="X121" s="1">
        <v>46</v>
      </c>
      <c r="Y121" s="1">
        <v>3</v>
      </c>
    </row>
    <row r="122" spans="1:25" x14ac:dyDescent="0.3">
      <c r="A122" s="2" t="s">
        <v>642</v>
      </c>
      <c r="B122" s="29" t="str">
        <f>坦克个性化设定!E39</f>
        <v>T1</v>
      </c>
      <c r="C122" s="2" t="str">
        <f>坦克个性化细分!J24</f>
        <v>低</v>
      </c>
      <c r="D122" s="2" t="str">
        <f>VLOOKUP(A122,坦克个性化设定!$B$18:$F$48,5,FALSE)</f>
        <v>重坦自动</v>
      </c>
      <c r="E122" s="2">
        <v>0</v>
      </c>
      <c r="F122" s="2">
        <v>1</v>
      </c>
      <c r="G122" s="2">
        <v>0</v>
      </c>
      <c r="H122" s="2">
        <v>0</v>
      </c>
      <c r="I122" s="2">
        <v>0</v>
      </c>
      <c r="J122" s="2">
        <f t="shared" si="2"/>
        <v>0</v>
      </c>
      <c r="K122" s="2">
        <f t="shared" si="3"/>
        <v>55</v>
      </c>
      <c r="L122" s="2">
        <f t="shared" si="4"/>
        <v>0</v>
      </c>
      <c r="M122" s="2">
        <f t="shared" si="5"/>
        <v>0</v>
      </c>
      <c r="N122" s="2">
        <f t="shared" si="6"/>
        <v>0</v>
      </c>
      <c r="O122" s="1" t="str">
        <f t="shared" si="7"/>
        <v>55,</v>
      </c>
      <c r="P122" s="1" t="str">
        <f t="shared" si="9"/>
        <v>[55]</v>
      </c>
      <c r="S122" s="1" t="str">
        <f t="shared" si="8"/>
        <v>[2,55,43,49,36]</v>
      </c>
      <c r="U122" s="1">
        <v>55</v>
      </c>
    </row>
    <row r="123" spans="1:25" x14ac:dyDescent="0.3">
      <c r="A123" s="2" t="s">
        <v>644</v>
      </c>
      <c r="B123" s="29" t="str">
        <f>坦克个性化设定!E40</f>
        <v>T2</v>
      </c>
      <c r="C123" s="2" t="str">
        <f>坦克个性化细分!J25</f>
        <v>低</v>
      </c>
      <c r="D123" s="2" t="str">
        <f>VLOOKUP(A123,坦克个性化设定!$B$18:$F$48,5,FALSE)</f>
        <v>重坦自动</v>
      </c>
      <c r="E123" s="2">
        <v>0</v>
      </c>
      <c r="F123" s="2">
        <v>1</v>
      </c>
      <c r="G123" s="2">
        <v>1</v>
      </c>
      <c r="H123" s="2">
        <v>0</v>
      </c>
      <c r="I123" s="2">
        <v>0</v>
      </c>
      <c r="J123" s="2">
        <f t="shared" si="2"/>
        <v>0</v>
      </c>
      <c r="K123" s="2">
        <f t="shared" si="3"/>
        <v>55</v>
      </c>
      <c r="L123" s="2">
        <f t="shared" si="4"/>
        <v>43</v>
      </c>
      <c r="M123" s="2">
        <f t="shared" si="5"/>
        <v>0</v>
      </c>
      <c r="N123" s="2">
        <f t="shared" si="6"/>
        <v>0</v>
      </c>
      <c r="O123" s="1" t="str">
        <f t="shared" si="7"/>
        <v>55,43,</v>
      </c>
      <c r="P123" s="1" t="str">
        <f t="shared" si="9"/>
        <v>[55,43]</v>
      </c>
      <c r="S123" s="1" t="str">
        <f t="shared" si="8"/>
        <v>[2,55,43,49,36]</v>
      </c>
      <c r="U123" s="1">
        <v>55</v>
      </c>
      <c r="V123" s="1">
        <v>43</v>
      </c>
    </row>
    <row r="124" spans="1:25" x14ac:dyDescent="0.3">
      <c r="A124" s="2" t="s">
        <v>646</v>
      </c>
      <c r="B124" s="29" t="str">
        <f>坦克个性化设定!E41</f>
        <v>T2</v>
      </c>
      <c r="C124" s="2" t="str">
        <f>坦克个性化细分!J26</f>
        <v>中</v>
      </c>
      <c r="D124" s="2" t="str">
        <f>VLOOKUP(A124,坦克个性化设定!$B$18:$F$48,5,FALSE)</f>
        <v>重坦单发</v>
      </c>
      <c r="E124" s="2">
        <v>0</v>
      </c>
      <c r="F124" s="2">
        <v>1</v>
      </c>
      <c r="G124" s="2">
        <v>1</v>
      </c>
      <c r="H124" s="2">
        <v>0</v>
      </c>
      <c r="I124" s="2">
        <v>0</v>
      </c>
      <c r="J124" s="2">
        <f t="shared" si="2"/>
        <v>0</v>
      </c>
      <c r="K124" s="2">
        <f t="shared" si="3"/>
        <v>54</v>
      </c>
      <c r="L124" s="2">
        <f t="shared" si="4"/>
        <v>39</v>
      </c>
      <c r="M124" s="2">
        <f t="shared" si="5"/>
        <v>0</v>
      </c>
      <c r="N124" s="2">
        <f t="shared" si="6"/>
        <v>0</v>
      </c>
      <c r="O124" s="1" t="str">
        <f t="shared" si="7"/>
        <v>54,39,</v>
      </c>
      <c r="P124" s="1" t="str">
        <f t="shared" si="9"/>
        <v>[54,39]</v>
      </c>
      <c r="S124" s="1" t="str">
        <f t="shared" si="8"/>
        <v>[2,54,39,41,49]</v>
      </c>
      <c r="U124" s="1">
        <v>54</v>
      </c>
      <c r="V124" s="1">
        <v>39</v>
      </c>
    </row>
    <row r="125" spans="1:25" x14ac:dyDescent="0.3">
      <c r="A125" s="2" t="s">
        <v>529</v>
      </c>
      <c r="B125" s="29" t="str">
        <f>坦克个性化设定!E42</f>
        <v>T3</v>
      </c>
      <c r="C125" s="2" t="str">
        <f>坦克个性化细分!J27</f>
        <v>低</v>
      </c>
      <c r="D125" s="2" t="str">
        <f>VLOOKUP(A125,坦克个性化设定!$B$18:$F$48,5,FALSE)</f>
        <v>重坦单发</v>
      </c>
      <c r="E125" s="2">
        <v>1</v>
      </c>
      <c r="F125" s="2">
        <v>1</v>
      </c>
      <c r="G125" s="2">
        <v>1</v>
      </c>
      <c r="H125" s="2">
        <v>0</v>
      </c>
      <c r="I125" s="2">
        <v>0</v>
      </c>
      <c r="J125" s="2">
        <f t="shared" si="2"/>
        <v>2</v>
      </c>
      <c r="K125" s="2">
        <f t="shared" si="3"/>
        <v>54</v>
      </c>
      <c r="L125" s="2">
        <f t="shared" si="4"/>
        <v>39</v>
      </c>
      <c r="M125" s="2">
        <f t="shared" si="5"/>
        <v>0</v>
      </c>
      <c r="N125" s="2">
        <f t="shared" si="6"/>
        <v>0</v>
      </c>
      <c r="O125" s="1" t="str">
        <f t="shared" si="7"/>
        <v>2,54,39,</v>
      </c>
      <c r="P125" s="1" t="str">
        <f t="shared" si="9"/>
        <v>[2,54,39]</v>
      </c>
      <c r="S125" s="1" t="str">
        <f t="shared" si="8"/>
        <v>[2,54,39,41,49]</v>
      </c>
      <c r="U125" s="1">
        <v>2</v>
      </c>
      <c r="V125" s="1">
        <v>54</v>
      </c>
      <c r="W125" s="1">
        <v>39</v>
      </c>
    </row>
    <row r="126" spans="1:25" x14ac:dyDescent="0.3">
      <c r="A126" s="2" t="s">
        <v>649</v>
      </c>
      <c r="B126" s="29" t="str">
        <f>坦克个性化设定!E43</f>
        <v>T3</v>
      </c>
      <c r="C126" s="2" t="str">
        <f>坦克个性化细分!J28</f>
        <v>中</v>
      </c>
      <c r="D126" s="2" t="str">
        <f>VLOOKUP(A126,坦克个性化设定!$B$18:$F$48,5,FALSE)</f>
        <v>重坦单发</v>
      </c>
      <c r="E126" s="2">
        <v>1</v>
      </c>
      <c r="F126" s="2">
        <v>1</v>
      </c>
      <c r="G126" s="2">
        <v>1</v>
      </c>
      <c r="H126" s="2">
        <v>0</v>
      </c>
      <c r="I126" s="2">
        <v>0</v>
      </c>
      <c r="J126" s="2">
        <f t="shared" si="2"/>
        <v>2</v>
      </c>
      <c r="K126" s="2">
        <f t="shared" si="3"/>
        <v>54</v>
      </c>
      <c r="L126" s="2">
        <f t="shared" si="4"/>
        <v>39</v>
      </c>
      <c r="M126" s="2">
        <f t="shared" si="5"/>
        <v>0</v>
      </c>
      <c r="N126" s="2">
        <f t="shared" si="6"/>
        <v>0</v>
      </c>
      <c r="O126" s="1" t="str">
        <f t="shared" si="7"/>
        <v>2,54,39,</v>
      </c>
      <c r="P126" s="1" t="str">
        <f t="shared" si="9"/>
        <v>[2,54,39]</v>
      </c>
      <c r="S126" s="1" t="str">
        <f t="shared" si="8"/>
        <v>[2,54,39,41,49]</v>
      </c>
      <c r="U126" s="1">
        <v>2</v>
      </c>
      <c r="V126" s="1">
        <v>54</v>
      </c>
      <c r="W126" s="1">
        <v>39</v>
      </c>
    </row>
    <row r="127" spans="1:25" x14ac:dyDescent="0.3">
      <c r="A127" s="2" t="s">
        <v>651</v>
      </c>
      <c r="B127" s="29" t="str">
        <f>坦克个性化设定!E44</f>
        <v>T3</v>
      </c>
      <c r="C127" s="2" t="str">
        <f>坦克个性化细分!J29</f>
        <v>高</v>
      </c>
      <c r="D127" s="2" t="str">
        <f>VLOOKUP(A127,坦克个性化设定!$B$18:$F$48,5,FALSE)</f>
        <v>重坦自动</v>
      </c>
      <c r="E127" s="2">
        <v>1</v>
      </c>
      <c r="F127" s="2">
        <v>1</v>
      </c>
      <c r="G127" s="2">
        <v>1</v>
      </c>
      <c r="H127" s="2">
        <v>0</v>
      </c>
      <c r="I127" s="2">
        <v>0</v>
      </c>
      <c r="J127" s="2">
        <f t="shared" si="2"/>
        <v>2</v>
      </c>
      <c r="K127" s="2">
        <f t="shared" si="3"/>
        <v>55</v>
      </c>
      <c r="L127" s="2">
        <f t="shared" si="4"/>
        <v>43</v>
      </c>
      <c r="M127" s="2">
        <f t="shared" si="5"/>
        <v>0</v>
      </c>
      <c r="N127" s="2">
        <f t="shared" si="6"/>
        <v>0</v>
      </c>
      <c r="O127" s="1" t="str">
        <f t="shared" si="7"/>
        <v>2,55,43,</v>
      </c>
      <c r="P127" s="1" t="str">
        <f t="shared" si="9"/>
        <v>[2,55,43]</v>
      </c>
      <c r="S127" s="1" t="str">
        <f t="shared" si="8"/>
        <v>[2,55,43,49,36]</v>
      </c>
      <c r="U127" s="1">
        <v>2</v>
      </c>
      <c r="V127" s="1">
        <v>55</v>
      </c>
      <c r="W127" s="1">
        <v>43</v>
      </c>
    </row>
    <row r="128" spans="1:25" x14ac:dyDescent="0.3">
      <c r="A128" s="2" t="s">
        <v>653</v>
      </c>
      <c r="B128" s="29" t="str">
        <f>坦克个性化设定!E45</f>
        <v>T4</v>
      </c>
      <c r="C128" s="2" t="str">
        <f>坦克个性化细分!J30</f>
        <v>低</v>
      </c>
      <c r="D128" s="2" t="str">
        <f>VLOOKUP(A128,坦克个性化设定!$B$18:$F$48,5,FALSE)</f>
        <v>重坦单发</v>
      </c>
      <c r="E128" s="2">
        <v>1</v>
      </c>
      <c r="F128" s="2">
        <v>1</v>
      </c>
      <c r="G128" s="2">
        <v>1</v>
      </c>
      <c r="H128" s="2">
        <v>1</v>
      </c>
      <c r="I128" s="2">
        <v>0</v>
      </c>
      <c r="J128" s="2">
        <f t="shared" si="2"/>
        <v>2</v>
      </c>
      <c r="K128" s="2">
        <f t="shared" si="3"/>
        <v>54</v>
      </c>
      <c r="L128" s="2">
        <f t="shared" si="4"/>
        <v>39</v>
      </c>
      <c r="M128" s="2">
        <f t="shared" si="5"/>
        <v>41</v>
      </c>
      <c r="N128" s="2">
        <f t="shared" si="6"/>
        <v>0</v>
      </c>
      <c r="O128" s="1" t="str">
        <f t="shared" si="7"/>
        <v>2,54,39,41,</v>
      </c>
      <c r="P128" s="1" t="str">
        <f t="shared" si="9"/>
        <v>[2,54,39,41]</v>
      </c>
      <c r="S128" s="1" t="str">
        <f t="shared" si="8"/>
        <v>[2,54,39,41,49]</v>
      </c>
      <c r="U128" s="1">
        <v>2</v>
      </c>
      <c r="V128" s="1">
        <v>54</v>
      </c>
      <c r="W128" s="1">
        <v>39</v>
      </c>
      <c r="X128" s="1">
        <v>41</v>
      </c>
    </row>
    <row r="129" spans="1:25" x14ac:dyDescent="0.3">
      <c r="A129" s="2" t="s">
        <v>655</v>
      </c>
      <c r="B129" s="29" t="str">
        <f>坦克个性化设定!E46</f>
        <v>T4</v>
      </c>
      <c r="C129" s="2" t="str">
        <f>坦克个性化细分!J31</f>
        <v>中</v>
      </c>
      <c r="D129" s="2" t="str">
        <f>VLOOKUP(A129,坦克个性化设定!$B$18:$F$48,5,FALSE)</f>
        <v>重坦自动</v>
      </c>
      <c r="E129" s="2">
        <v>1</v>
      </c>
      <c r="F129" s="2">
        <v>1</v>
      </c>
      <c r="G129" s="2">
        <v>1</v>
      </c>
      <c r="H129" s="2">
        <v>1</v>
      </c>
      <c r="I129" s="2">
        <v>0</v>
      </c>
      <c r="J129" s="2">
        <f t="shared" si="2"/>
        <v>2</v>
      </c>
      <c r="K129" s="2">
        <f t="shared" si="3"/>
        <v>55</v>
      </c>
      <c r="L129" s="2">
        <f t="shared" si="4"/>
        <v>43</v>
      </c>
      <c r="M129" s="2">
        <f t="shared" si="5"/>
        <v>49</v>
      </c>
      <c r="N129" s="2">
        <f t="shared" si="6"/>
        <v>0</v>
      </c>
      <c r="O129" s="1" t="str">
        <f t="shared" si="7"/>
        <v>2,55,43,49,</v>
      </c>
      <c r="P129" s="1" t="str">
        <f t="shared" si="9"/>
        <v>[2,55,43,49]</v>
      </c>
      <c r="S129" s="1" t="str">
        <f t="shared" si="8"/>
        <v>[2,55,43,49,36]</v>
      </c>
      <c r="U129" s="1">
        <v>2</v>
      </c>
      <c r="V129" s="1">
        <v>55</v>
      </c>
      <c r="W129" s="1">
        <v>43</v>
      </c>
      <c r="X129" s="1">
        <v>49</v>
      </c>
    </row>
    <row r="130" spans="1:25" x14ac:dyDescent="0.3">
      <c r="A130" s="2" t="s">
        <v>657</v>
      </c>
      <c r="B130" s="29" t="str">
        <f>坦克个性化设定!E47</f>
        <v>T4</v>
      </c>
      <c r="C130" s="2" t="str">
        <f>坦克个性化细分!J32</f>
        <v>高</v>
      </c>
      <c r="D130" s="2" t="str">
        <f>VLOOKUP(A130,坦克个性化设定!$B$18:$F$48,5,FALSE)</f>
        <v>重坦单发</v>
      </c>
      <c r="E130" s="2">
        <v>1</v>
      </c>
      <c r="F130" s="2">
        <v>1</v>
      </c>
      <c r="G130" s="2">
        <v>1</v>
      </c>
      <c r="H130" s="2">
        <v>1</v>
      </c>
      <c r="I130" s="2">
        <v>0</v>
      </c>
      <c r="J130" s="2">
        <f t="shared" si="2"/>
        <v>2</v>
      </c>
      <c r="K130" s="2">
        <f t="shared" si="3"/>
        <v>54</v>
      </c>
      <c r="L130" s="2">
        <f t="shared" si="4"/>
        <v>39</v>
      </c>
      <c r="M130" s="2">
        <f t="shared" si="5"/>
        <v>41</v>
      </c>
      <c r="N130" s="2">
        <f t="shared" si="6"/>
        <v>0</v>
      </c>
      <c r="O130" s="1" t="str">
        <f t="shared" si="7"/>
        <v>2,54,39,41,</v>
      </c>
      <c r="P130" s="1" t="str">
        <f t="shared" si="9"/>
        <v>[2,54,39,41]</v>
      </c>
      <c r="S130" s="1" t="str">
        <f t="shared" si="8"/>
        <v>[2,54,39,41,49]</v>
      </c>
      <c r="U130" s="1">
        <v>2</v>
      </c>
      <c r="V130" s="1">
        <v>54</v>
      </c>
      <c r="W130" s="1">
        <v>39</v>
      </c>
      <c r="X130" s="1">
        <v>41</v>
      </c>
    </row>
    <row r="131" spans="1:25" x14ac:dyDescent="0.3">
      <c r="A131" s="2" t="s">
        <v>659</v>
      </c>
      <c r="B131" s="29" t="str">
        <f>坦克个性化设定!E48</f>
        <v>T5</v>
      </c>
      <c r="C131" s="2" t="str">
        <f>坦克个性化细分!J33</f>
        <v>低</v>
      </c>
      <c r="D131" s="2" t="str">
        <f>VLOOKUP(A131,坦克个性化设定!$B$18:$F$48,5,FALSE)</f>
        <v>重坦单发</v>
      </c>
      <c r="E131" s="2">
        <v>1</v>
      </c>
      <c r="F131" s="2">
        <v>1</v>
      </c>
      <c r="G131" s="2">
        <v>1</v>
      </c>
      <c r="H131" s="2">
        <v>1</v>
      </c>
      <c r="I131" s="2">
        <v>1</v>
      </c>
      <c r="J131" s="2">
        <f t="shared" si="2"/>
        <v>2</v>
      </c>
      <c r="K131" s="2">
        <f t="shared" si="3"/>
        <v>54</v>
      </c>
      <c r="L131" s="2">
        <f t="shared" si="4"/>
        <v>39</v>
      </c>
      <c r="M131" s="2">
        <f t="shared" si="5"/>
        <v>41</v>
      </c>
      <c r="N131" s="2">
        <f t="shared" si="6"/>
        <v>49</v>
      </c>
      <c r="O131" s="1" t="str">
        <f t="shared" si="7"/>
        <v>2,54,39,41,49,</v>
      </c>
      <c r="P131" s="1" t="str">
        <f t="shared" si="9"/>
        <v>[2,54,39,41,49]</v>
      </c>
      <c r="S131" s="1" t="str">
        <f t="shared" si="8"/>
        <v>[2,54,39,41,49]</v>
      </c>
      <c r="U131" s="1">
        <v>2</v>
      </c>
      <c r="V131" s="1">
        <v>54</v>
      </c>
      <c r="W131" s="1">
        <v>39</v>
      </c>
      <c r="X131" s="1">
        <v>41</v>
      </c>
      <c r="Y131" s="1">
        <v>49</v>
      </c>
    </row>
    <row r="135" spans="1:25" ht="15.75" x14ac:dyDescent="0.3">
      <c r="A135" s="35" t="s">
        <v>1554</v>
      </c>
    </row>
    <row r="137" spans="1:25" ht="15.75" x14ac:dyDescent="0.3">
      <c r="A137" s="135" t="s">
        <v>599</v>
      </c>
      <c r="B137" s="135" t="s">
        <v>775</v>
      </c>
      <c r="C137" s="135" t="s">
        <v>602</v>
      </c>
      <c r="D137" s="135" t="s">
        <v>1098</v>
      </c>
      <c r="E137" s="136" t="s">
        <v>1555</v>
      </c>
      <c r="F137" s="11" t="s">
        <v>1556</v>
      </c>
      <c r="G137" s="11" t="s">
        <v>1557</v>
      </c>
      <c r="H137" s="11" t="s">
        <v>1558</v>
      </c>
      <c r="I137" s="11" t="s">
        <v>1559</v>
      </c>
      <c r="J137" s="11" t="s">
        <v>1560</v>
      </c>
      <c r="K137" s="11" t="s">
        <v>692</v>
      </c>
      <c r="L137" s="11" t="s">
        <v>1561</v>
      </c>
      <c r="M137" s="135" t="s">
        <v>1561</v>
      </c>
      <c r="N137" s="135" t="s">
        <v>1562</v>
      </c>
      <c r="S137" s="48" t="s">
        <v>1563</v>
      </c>
      <c r="T137" s="48" t="s">
        <v>1564</v>
      </c>
      <c r="U137"/>
      <c r="V137" s="48" t="s">
        <v>1564</v>
      </c>
      <c r="W137" s="48" t="s">
        <v>1565</v>
      </c>
      <c r="X137" s="48" t="s">
        <v>1566</v>
      </c>
    </row>
    <row r="138" spans="1:25" ht="15.75" x14ac:dyDescent="0.3">
      <c r="A138" s="22" t="s">
        <v>510</v>
      </c>
      <c r="B138" s="137" t="s">
        <v>604</v>
      </c>
      <c r="C138" s="22" t="s">
        <v>175</v>
      </c>
      <c r="D138" s="22" t="s">
        <v>78</v>
      </c>
      <c r="E138" s="22" t="s">
        <v>603</v>
      </c>
      <c r="F138" s="22">
        <v>10</v>
      </c>
      <c r="G138" s="22" t="s">
        <v>1567</v>
      </c>
      <c r="H138" s="22" t="s">
        <v>1568</v>
      </c>
      <c r="I138" s="13">
        <v>990101</v>
      </c>
      <c r="J138" s="13">
        <f>IF(H138="","",F138*10000+100+1)</f>
        <v>100101</v>
      </c>
      <c r="K138" s="13">
        <f>VLOOKUP(A138,坦克标准养成属性!$C$6:$D$36,2,FALSE)</f>
        <v>1111</v>
      </c>
      <c r="L138" s="13" t="str">
        <f t="shared" ref="L138:L168" si="10">IF(J138="","["&amp;I138&amp;"]","["&amp;I138&amp;","&amp;J138&amp;"]")</f>
        <v>[990101,100101]</v>
      </c>
      <c r="M138" s="22" t="str">
        <f>IF(J138="","["&amp;N138&amp;"]","["&amp;1&amp;","&amp;N138&amp;"]")</f>
        <v>[1,3]</v>
      </c>
      <c r="N138" s="263">
        <f>VLOOKUP(B138,$C$183:$G$211,5,FALSE)</f>
        <v>3</v>
      </c>
      <c r="S138" s="1">
        <v>52</v>
      </c>
      <c r="T138" s="1" t="s">
        <v>1409</v>
      </c>
      <c r="U138"/>
      <c r="V138" t="s">
        <v>1430</v>
      </c>
      <c r="W138" t="s">
        <v>1568</v>
      </c>
      <c r="X138" s="140">
        <v>1001</v>
      </c>
    </row>
    <row r="139" spans="1:25" ht="15.75" x14ac:dyDescent="0.3">
      <c r="A139" s="22" t="s">
        <v>516</v>
      </c>
      <c r="B139" s="137" t="s">
        <v>606</v>
      </c>
      <c r="C139" s="22" t="s">
        <v>175</v>
      </c>
      <c r="D139" s="22" t="s">
        <v>78</v>
      </c>
      <c r="E139" s="22" t="s">
        <v>605</v>
      </c>
      <c r="F139" s="22">
        <v>11</v>
      </c>
      <c r="G139" s="22" t="s">
        <v>1567</v>
      </c>
      <c r="H139" s="22" t="s">
        <v>1568</v>
      </c>
      <c r="I139" s="13">
        <v>990101</v>
      </c>
      <c r="J139" s="13">
        <f t="shared" ref="J139:J168" si="11">IF(H139="","",F139*10000+100+1)</f>
        <v>110101</v>
      </c>
      <c r="K139" s="13">
        <f>VLOOKUP(A139,坦克标准养成属性!$C$6:$D$36,2,FALSE)</f>
        <v>1211</v>
      </c>
      <c r="L139" s="13" t="str">
        <f t="shared" si="10"/>
        <v>[990101,110101]</v>
      </c>
      <c r="M139" s="22" t="str">
        <f t="shared" ref="M139:M168" si="12">IF(J139="","["&amp;N139&amp;"]","["&amp;1&amp;","&amp;N139&amp;"]")</f>
        <v>[1,4]</v>
      </c>
      <c r="N139" s="22">
        <f>VLOOKUP(B139,$C$183:$G$211,5,FALSE)</f>
        <v>4</v>
      </c>
      <c r="S139" s="1">
        <v>2</v>
      </c>
      <c r="T139" s="1" t="s">
        <v>1412</v>
      </c>
      <c r="U139"/>
      <c r="V139" t="s">
        <v>1409</v>
      </c>
      <c r="W139" t="s">
        <v>1409</v>
      </c>
      <c r="X139" s="140">
        <v>1002</v>
      </c>
    </row>
    <row r="140" spans="1:25" ht="15.75" x14ac:dyDescent="0.3">
      <c r="A140" s="22" t="s">
        <v>607</v>
      </c>
      <c r="B140" s="137" t="s">
        <v>606</v>
      </c>
      <c r="C140" s="22" t="s">
        <v>177</v>
      </c>
      <c r="D140" s="22" t="s">
        <v>77</v>
      </c>
      <c r="E140" s="22" t="s">
        <v>608</v>
      </c>
      <c r="F140" s="22">
        <v>12</v>
      </c>
      <c r="G140" s="22" t="s">
        <v>1567</v>
      </c>
      <c r="H140" s="22" t="s">
        <v>1568</v>
      </c>
      <c r="I140" s="13">
        <v>990101</v>
      </c>
      <c r="J140" s="13">
        <f t="shared" si="11"/>
        <v>120101</v>
      </c>
      <c r="K140" s="13">
        <f>VLOOKUP(A140,坦克标准养成属性!$C$6:$D$36,2,FALSE)</f>
        <v>1221</v>
      </c>
      <c r="L140" s="13" t="str">
        <f t="shared" si="10"/>
        <v>[990101,120101]</v>
      </c>
      <c r="M140" s="22" t="str">
        <f t="shared" si="12"/>
        <v>[1,4]</v>
      </c>
      <c r="N140" s="263">
        <f t="shared" ref="N140:N168" si="13">VLOOKUP(B140,$C$183:$G$211,5,FALSE)</f>
        <v>4</v>
      </c>
      <c r="S140" s="1">
        <v>10</v>
      </c>
      <c r="T140" s="1" t="s">
        <v>1421</v>
      </c>
      <c r="U140"/>
      <c r="V140" t="s">
        <v>1424</v>
      </c>
      <c r="W140" t="s">
        <v>1569</v>
      </c>
      <c r="X140" s="140">
        <v>1003</v>
      </c>
    </row>
    <row r="141" spans="1:25" ht="15.75" x14ac:dyDescent="0.3">
      <c r="A141" s="22" t="s">
        <v>522</v>
      </c>
      <c r="B141" s="137" t="s">
        <v>610</v>
      </c>
      <c r="C141" s="22" t="s">
        <v>175</v>
      </c>
      <c r="D141" s="22" t="s">
        <v>77</v>
      </c>
      <c r="E141" s="22" t="s">
        <v>609</v>
      </c>
      <c r="F141" s="22">
        <v>13</v>
      </c>
      <c r="G141" s="22" t="s">
        <v>1567</v>
      </c>
      <c r="H141" s="22" t="s">
        <v>1568</v>
      </c>
      <c r="I141" s="13">
        <v>990101</v>
      </c>
      <c r="J141" s="13">
        <f t="shared" si="11"/>
        <v>130101</v>
      </c>
      <c r="K141" s="13">
        <f>VLOOKUP(A141,坦克标准养成属性!$C$6:$D$36,2,FALSE)</f>
        <v>1311</v>
      </c>
      <c r="L141" s="13" t="str">
        <f t="shared" si="10"/>
        <v>[990101,130101]</v>
      </c>
      <c r="M141" s="22" t="str">
        <f t="shared" si="12"/>
        <v>[1,5]</v>
      </c>
      <c r="N141" s="263">
        <f t="shared" si="13"/>
        <v>5</v>
      </c>
      <c r="S141" s="1">
        <v>6</v>
      </c>
      <c r="T141" s="1" t="s">
        <v>1415</v>
      </c>
      <c r="U141"/>
      <c r="V141" t="s">
        <v>1437</v>
      </c>
      <c r="W141" t="s">
        <v>1437</v>
      </c>
      <c r="X141" s="140">
        <v>1004</v>
      </c>
    </row>
    <row r="142" spans="1:25" ht="15.75" x14ac:dyDescent="0.3">
      <c r="A142" s="22" t="s">
        <v>611</v>
      </c>
      <c r="B142" s="137" t="s">
        <v>610</v>
      </c>
      <c r="C142" s="22" t="s">
        <v>177</v>
      </c>
      <c r="D142" s="22" t="s">
        <v>78</v>
      </c>
      <c r="E142" s="22" t="s">
        <v>612</v>
      </c>
      <c r="F142" s="22">
        <v>14</v>
      </c>
      <c r="G142" s="22" t="s">
        <v>1567</v>
      </c>
      <c r="H142" s="22" t="s">
        <v>1568</v>
      </c>
      <c r="I142" s="13">
        <v>990101</v>
      </c>
      <c r="J142" s="13">
        <f t="shared" si="11"/>
        <v>140101</v>
      </c>
      <c r="K142" s="13">
        <f>VLOOKUP(A142,坦克标准养成属性!$C$6:$D$36,2,FALSE)</f>
        <v>1321</v>
      </c>
      <c r="L142" s="13" t="str">
        <f t="shared" si="10"/>
        <v>[990101,140101]</v>
      </c>
      <c r="M142" s="22" t="str">
        <f t="shared" si="12"/>
        <v>[1,5]</v>
      </c>
      <c r="N142" s="263">
        <f t="shared" si="13"/>
        <v>5</v>
      </c>
      <c r="S142" s="1">
        <v>7</v>
      </c>
      <c r="T142" s="1" t="s">
        <v>1418</v>
      </c>
      <c r="U142"/>
      <c r="V142" t="s">
        <v>1412</v>
      </c>
      <c r="W142" t="s">
        <v>1570</v>
      </c>
      <c r="X142" s="140">
        <v>1005</v>
      </c>
    </row>
    <row r="143" spans="1:25" ht="15.75" x14ac:dyDescent="0.3">
      <c r="A143" s="22" t="s">
        <v>613</v>
      </c>
      <c r="B143" s="137" t="s">
        <v>610</v>
      </c>
      <c r="C143" s="22" t="s">
        <v>176</v>
      </c>
      <c r="D143" s="22" t="s">
        <v>79</v>
      </c>
      <c r="E143" s="22" t="s">
        <v>614</v>
      </c>
      <c r="F143" s="22">
        <v>15</v>
      </c>
      <c r="G143" s="22" t="s">
        <v>1567</v>
      </c>
      <c r="H143" s="22" t="s">
        <v>1418</v>
      </c>
      <c r="I143" s="13">
        <v>990101</v>
      </c>
      <c r="J143" s="13">
        <f t="shared" si="11"/>
        <v>150101</v>
      </c>
      <c r="K143" s="13">
        <f>VLOOKUP(A143,坦克标准养成属性!$C$6:$D$36,2,FALSE)</f>
        <v>1331</v>
      </c>
      <c r="L143" s="13" t="str">
        <f t="shared" si="10"/>
        <v>[990101,150101]</v>
      </c>
      <c r="M143" s="22" t="str">
        <f t="shared" si="12"/>
        <v>[1,5]</v>
      </c>
      <c r="N143" s="263">
        <f t="shared" si="13"/>
        <v>5</v>
      </c>
      <c r="S143" s="1">
        <v>51</v>
      </c>
      <c r="T143" s="1" t="s">
        <v>1424</v>
      </c>
      <c r="U143"/>
      <c r="V143" t="s">
        <v>1421</v>
      </c>
      <c r="W143" t="s">
        <v>1567</v>
      </c>
      <c r="X143" s="140">
        <v>1006</v>
      </c>
    </row>
    <row r="144" spans="1:25" ht="15.75" x14ac:dyDescent="0.3">
      <c r="A144" s="266" t="s">
        <v>615</v>
      </c>
      <c r="B144" s="267" t="s">
        <v>617</v>
      </c>
      <c r="C144" s="266" t="s">
        <v>175</v>
      </c>
      <c r="D144" s="266" t="s">
        <v>77</v>
      </c>
      <c r="E144" s="266" t="s">
        <v>616</v>
      </c>
      <c r="F144" s="266">
        <v>16</v>
      </c>
      <c r="G144" s="266" t="s">
        <v>3765</v>
      </c>
      <c r="H144" s="266" t="s">
        <v>3777</v>
      </c>
      <c r="I144" s="271">
        <v>990401</v>
      </c>
      <c r="J144" s="268">
        <f t="shared" si="11"/>
        <v>160101</v>
      </c>
      <c r="K144" s="268">
        <f>VLOOKUP(A144,坦克标准养成属性!$C$6:$D$36,2,FALSE)</f>
        <v>1411</v>
      </c>
      <c r="L144" s="268" t="str">
        <f t="shared" si="10"/>
        <v>[990401,160101]</v>
      </c>
      <c r="M144" s="266" t="str">
        <f t="shared" si="12"/>
        <v>[1,6]</v>
      </c>
      <c r="N144" s="263">
        <f t="shared" si="13"/>
        <v>6</v>
      </c>
      <c r="S144" s="1">
        <v>53</v>
      </c>
      <c r="T144" s="1" t="s">
        <v>1430</v>
      </c>
      <c r="U144"/>
      <c r="V144" t="s">
        <v>1433</v>
      </c>
      <c r="W144" t="s">
        <v>1433</v>
      </c>
      <c r="X144" s="140">
        <v>1007</v>
      </c>
    </row>
    <row r="145" spans="1:24" ht="15.75" x14ac:dyDescent="0.3">
      <c r="A145" s="266" t="s">
        <v>618</v>
      </c>
      <c r="B145" s="267" t="s">
        <v>617</v>
      </c>
      <c r="C145" s="266" t="s">
        <v>177</v>
      </c>
      <c r="D145" s="266" t="s">
        <v>79</v>
      </c>
      <c r="E145" s="266" t="s">
        <v>619</v>
      </c>
      <c r="F145" s="266">
        <v>17</v>
      </c>
      <c r="G145" s="266" t="s">
        <v>3765</v>
      </c>
      <c r="H145" s="266" t="s">
        <v>3778</v>
      </c>
      <c r="I145" s="271">
        <v>990401</v>
      </c>
      <c r="J145" s="268">
        <f t="shared" si="11"/>
        <v>170101</v>
      </c>
      <c r="K145" s="268">
        <f>VLOOKUP(A145,坦克标准养成属性!$C$6:$D$36,2,FALSE)</f>
        <v>1421</v>
      </c>
      <c r="L145" s="268" t="str">
        <f t="shared" si="10"/>
        <v>[990401,170101]</v>
      </c>
      <c r="M145" s="266" t="str">
        <f t="shared" si="12"/>
        <v>[1,6]</v>
      </c>
      <c r="N145" s="263">
        <f t="shared" si="13"/>
        <v>6</v>
      </c>
      <c r="S145" s="1">
        <v>54</v>
      </c>
      <c r="T145" s="1" t="s">
        <v>1433</v>
      </c>
      <c r="U145"/>
      <c r="V145" t="s">
        <v>1415</v>
      </c>
      <c r="W145" t="s">
        <v>1415</v>
      </c>
      <c r="X145" s="140">
        <v>1008</v>
      </c>
    </row>
    <row r="146" spans="1:24" ht="15.75" x14ac:dyDescent="0.3">
      <c r="A146" s="22" t="s">
        <v>620</v>
      </c>
      <c r="B146" s="137" t="s">
        <v>617</v>
      </c>
      <c r="C146" s="22" t="s">
        <v>176</v>
      </c>
      <c r="D146" s="22" t="s">
        <v>77</v>
      </c>
      <c r="E146" s="22" t="s">
        <v>621</v>
      </c>
      <c r="F146" s="22">
        <v>18</v>
      </c>
      <c r="G146" s="22" t="s">
        <v>1567</v>
      </c>
      <c r="H146" s="22" t="s">
        <v>1568</v>
      </c>
      <c r="I146" s="13">
        <v>990101</v>
      </c>
      <c r="J146" s="13">
        <f t="shared" si="11"/>
        <v>180101</v>
      </c>
      <c r="K146" s="13">
        <f>VLOOKUP(A146,坦克标准养成属性!$C$6:$D$36,2,FALSE)</f>
        <v>1431</v>
      </c>
      <c r="L146" s="13" t="str">
        <f t="shared" si="10"/>
        <v>[990101,180101]</v>
      </c>
      <c r="M146" s="22" t="str">
        <f t="shared" si="12"/>
        <v>[1,6]</v>
      </c>
      <c r="N146" s="263">
        <f t="shared" si="13"/>
        <v>6</v>
      </c>
      <c r="S146" s="1">
        <v>55</v>
      </c>
      <c r="T146" s="1" t="s">
        <v>1437</v>
      </c>
      <c r="U146"/>
      <c r="V146" t="s">
        <v>1418</v>
      </c>
      <c r="W146" t="s">
        <v>1418</v>
      </c>
      <c r="X146" s="140">
        <v>1009</v>
      </c>
    </row>
    <row r="147" spans="1:24" ht="15.75" x14ac:dyDescent="0.3">
      <c r="A147" s="22" t="s">
        <v>622</v>
      </c>
      <c r="B147" s="137" t="s">
        <v>624</v>
      </c>
      <c r="C147" s="22" t="s">
        <v>175</v>
      </c>
      <c r="D147" s="22" t="s">
        <v>79</v>
      </c>
      <c r="E147" s="22" t="s">
        <v>623</v>
      </c>
      <c r="F147" s="22">
        <v>19</v>
      </c>
      <c r="G147" s="22" t="s">
        <v>1567</v>
      </c>
      <c r="H147" s="22" t="s">
        <v>1418</v>
      </c>
      <c r="I147" s="13">
        <v>990101</v>
      </c>
      <c r="J147" s="13">
        <f t="shared" si="11"/>
        <v>190101</v>
      </c>
      <c r="K147" s="13">
        <f>VLOOKUP(A147,坦克标准养成属性!$C$6:$D$36,2,FALSE)</f>
        <v>1511</v>
      </c>
      <c r="L147" s="13" t="str">
        <f t="shared" si="10"/>
        <v>[990101,190101]</v>
      </c>
      <c r="M147" s="22" t="str">
        <f t="shared" si="12"/>
        <v>[1,7]</v>
      </c>
      <c r="N147" s="263">
        <f t="shared" si="13"/>
        <v>7</v>
      </c>
      <c r="R147"/>
      <c r="S147"/>
      <c r="T147"/>
      <c r="U147"/>
    </row>
    <row r="148" spans="1:24" ht="15.75" x14ac:dyDescent="0.3">
      <c r="A148" s="22" t="s">
        <v>512</v>
      </c>
      <c r="B148" s="137" t="s">
        <v>604</v>
      </c>
      <c r="C148" s="22" t="s">
        <v>175</v>
      </c>
      <c r="D148" s="22" t="s">
        <v>80</v>
      </c>
      <c r="E148" s="22" t="s">
        <v>625</v>
      </c>
      <c r="F148" s="22">
        <v>20</v>
      </c>
      <c r="G148" s="22" t="s">
        <v>1571</v>
      </c>
      <c r="H148" s="22" t="s">
        <v>1569</v>
      </c>
      <c r="I148" s="13">
        <v>990201</v>
      </c>
      <c r="J148" s="13">
        <f t="shared" si="11"/>
        <v>200101</v>
      </c>
      <c r="K148" s="13">
        <f>VLOOKUP(A148,坦克标准养成属性!$C$6:$D$36,2,FALSE)</f>
        <v>2111</v>
      </c>
      <c r="L148" s="13" t="str">
        <f t="shared" si="10"/>
        <v>[990201,200101]</v>
      </c>
      <c r="M148" s="22" t="str">
        <f t="shared" si="12"/>
        <v>[1,3]</v>
      </c>
      <c r="N148" s="263">
        <f t="shared" si="13"/>
        <v>3</v>
      </c>
      <c r="R148"/>
      <c r="S148"/>
      <c r="T148"/>
      <c r="U148"/>
    </row>
    <row r="149" spans="1:24" ht="15.75" x14ac:dyDescent="0.3">
      <c r="A149" s="22" t="s">
        <v>518</v>
      </c>
      <c r="B149" s="137" t="s">
        <v>606</v>
      </c>
      <c r="C149" s="22" t="s">
        <v>175</v>
      </c>
      <c r="D149" s="22" t="s">
        <v>80</v>
      </c>
      <c r="E149" s="22" t="s">
        <v>626</v>
      </c>
      <c r="F149" s="22">
        <v>21</v>
      </c>
      <c r="G149" s="22" t="s">
        <v>1571</v>
      </c>
      <c r="H149" s="22" t="s">
        <v>1569</v>
      </c>
      <c r="I149" s="13">
        <v>990201</v>
      </c>
      <c r="J149" s="13">
        <f t="shared" si="11"/>
        <v>210101</v>
      </c>
      <c r="K149" s="13">
        <f>VLOOKUP(A149,坦克标准养成属性!$C$6:$D$36,2,FALSE)</f>
        <v>2211</v>
      </c>
      <c r="L149" s="13" t="str">
        <f t="shared" si="10"/>
        <v>[990201,210101]</v>
      </c>
      <c r="M149" s="22" t="str">
        <f t="shared" si="12"/>
        <v>[1,4]</v>
      </c>
      <c r="N149" s="263">
        <f t="shared" si="13"/>
        <v>4</v>
      </c>
      <c r="R149"/>
      <c r="S149"/>
      <c r="T149"/>
      <c r="U149"/>
    </row>
    <row r="150" spans="1:24" ht="15.75" x14ac:dyDescent="0.3">
      <c r="A150" s="22" t="s">
        <v>627</v>
      </c>
      <c r="B150" s="137" t="s">
        <v>606</v>
      </c>
      <c r="C150" s="22" t="s">
        <v>177</v>
      </c>
      <c r="D150" s="22" t="s">
        <v>860</v>
      </c>
      <c r="E150" s="22" t="s">
        <v>628</v>
      </c>
      <c r="F150" s="22">
        <v>22</v>
      </c>
      <c r="G150" s="22" t="s">
        <v>1571</v>
      </c>
      <c r="H150" s="22" t="s">
        <v>1415</v>
      </c>
      <c r="I150" s="13">
        <v>990201</v>
      </c>
      <c r="J150" s="13">
        <f t="shared" si="11"/>
        <v>220101</v>
      </c>
      <c r="K150" s="13">
        <f>VLOOKUP(A150,坦克标准养成属性!$C$6:$D$36,2,FALSE)</f>
        <v>2221</v>
      </c>
      <c r="L150" s="13" t="str">
        <f t="shared" si="10"/>
        <v>[990201,220101]</v>
      </c>
      <c r="M150" s="22" t="str">
        <f t="shared" si="12"/>
        <v>[1,4]</v>
      </c>
      <c r="N150" s="263">
        <f t="shared" si="13"/>
        <v>4</v>
      </c>
      <c r="R150"/>
      <c r="U150"/>
    </row>
    <row r="151" spans="1:24" ht="15.75" x14ac:dyDescent="0.3">
      <c r="A151" s="22" t="s">
        <v>526</v>
      </c>
      <c r="B151" s="137" t="s">
        <v>610</v>
      </c>
      <c r="C151" s="22" t="s">
        <v>175</v>
      </c>
      <c r="D151" s="22" t="s">
        <v>80</v>
      </c>
      <c r="E151" s="22" t="s">
        <v>629</v>
      </c>
      <c r="F151" s="22">
        <v>23</v>
      </c>
      <c r="G151" s="22" t="s">
        <v>1571</v>
      </c>
      <c r="H151" s="22" t="s">
        <v>1569</v>
      </c>
      <c r="I151" s="13">
        <v>990201</v>
      </c>
      <c r="J151" s="13">
        <f t="shared" si="11"/>
        <v>230101</v>
      </c>
      <c r="K151" s="13">
        <f>VLOOKUP(A151,坦克标准养成属性!$C$6:$D$36,2,FALSE)</f>
        <v>2311</v>
      </c>
      <c r="L151" s="13" t="str">
        <f t="shared" si="10"/>
        <v>[990201,230101]</v>
      </c>
      <c r="M151" s="22" t="str">
        <f t="shared" si="12"/>
        <v>[1,5]</v>
      </c>
      <c r="N151" s="263">
        <f t="shared" si="13"/>
        <v>5</v>
      </c>
      <c r="R151"/>
      <c r="U151"/>
    </row>
    <row r="152" spans="1:24" ht="15.75" x14ac:dyDescent="0.3">
      <c r="A152" s="22" t="s">
        <v>630</v>
      </c>
      <c r="B152" s="137" t="s">
        <v>610</v>
      </c>
      <c r="C152" s="22" t="s">
        <v>177</v>
      </c>
      <c r="D152" s="22" t="s">
        <v>860</v>
      </c>
      <c r="E152" s="22" t="s">
        <v>631</v>
      </c>
      <c r="F152" s="22">
        <v>24</v>
      </c>
      <c r="G152" s="22" t="s">
        <v>1571</v>
      </c>
      <c r="H152" s="22" t="s">
        <v>1415</v>
      </c>
      <c r="I152" s="13">
        <v>990201</v>
      </c>
      <c r="J152" s="13">
        <f t="shared" si="11"/>
        <v>240101</v>
      </c>
      <c r="K152" s="13">
        <f>VLOOKUP(A152,坦克标准养成属性!$C$6:$D$36,2,FALSE)</f>
        <v>2321</v>
      </c>
      <c r="L152" s="13" t="str">
        <f t="shared" si="10"/>
        <v>[990201,240101]</v>
      </c>
      <c r="M152" s="22" t="str">
        <f t="shared" si="12"/>
        <v>[1,5]</v>
      </c>
      <c r="N152" s="263">
        <f t="shared" si="13"/>
        <v>5</v>
      </c>
      <c r="R152"/>
      <c r="U152"/>
    </row>
    <row r="153" spans="1:24" ht="15.75" x14ac:dyDescent="0.3">
      <c r="A153" s="22" t="s">
        <v>632</v>
      </c>
      <c r="B153" s="137" t="s">
        <v>610</v>
      </c>
      <c r="C153" s="22" t="s">
        <v>176</v>
      </c>
      <c r="D153" s="22" t="s">
        <v>860</v>
      </c>
      <c r="E153" s="22" t="s">
        <v>633</v>
      </c>
      <c r="F153" s="22">
        <v>25</v>
      </c>
      <c r="G153" s="22" t="s">
        <v>1571</v>
      </c>
      <c r="H153" s="22" t="s">
        <v>1415</v>
      </c>
      <c r="I153" s="13">
        <v>990201</v>
      </c>
      <c r="J153" s="13">
        <f t="shared" si="11"/>
        <v>250101</v>
      </c>
      <c r="K153" s="13">
        <f>VLOOKUP(A153,坦克标准养成属性!$C$6:$D$36,2,FALSE)</f>
        <v>2331</v>
      </c>
      <c r="L153" s="13" t="str">
        <f t="shared" si="10"/>
        <v>[990201,250101]</v>
      </c>
      <c r="M153" s="22" t="str">
        <f t="shared" si="12"/>
        <v>[1,5]</v>
      </c>
      <c r="N153" s="263">
        <f t="shared" si="13"/>
        <v>5</v>
      </c>
      <c r="R153"/>
      <c r="U153"/>
    </row>
    <row r="154" spans="1:24" ht="15.75" x14ac:dyDescent="0.3">
      <c r="A154" s="266" t="s">
        <v>634</v>
      </c>
      <c r="B154" s="267" t="s">
        <v>617</v>
      </c>
      <c r="C154" s="266" t="s">
        <v>175</v>
      </c>
      <c r="D154" s="266" t="s">
        <v>80</v>
      </c>
      <c r="E154" s="266" t="s">
        <v>635</v>
      </c>
      <c r="F154" s="266">
        <v>26</v>
      </c>
      <c r="G154" s="266" t="s">
        <v>3766</v>
      </c>
      <c r="H154" s="266" t="s">
        <v>3776</v>
      </c>
      <c r="I154" s="271">
        <v>990501</v>
      </c>
      <c r="J154" s="268">
        <f t="shared" si="11"/>
        <v>260101</v>
      </c>
      <c r="K154" s="268">
        <f>VLOOKUP(A154,坦克标准养成属性!$C$6:$D$36,2,FALSE)</f>
        <v>2411</v>
      </c>
      <c r="L154" s="268" t="str">
        <f t="shared" si="10"/>
        <v>[990501,260101]</v>
      </c>
      <c r="M154" s="266" t="str">
        <f t="shared" si="12"/>
        <v>[1,6]</v>
      </c>
      <c r="N154" s="263">
        <f t="shared" si="13"/>
        <v>6</v>
      </c>
      <c r="R154"/>
      <c r="U154"/>
    </row>
    <row r="155" spans="1:24" ht="15.75" x14ac:dyDescent="0.3">
      <c r="A155" s="266" t="s">
        <v>636</v>
      </c>
      <c r="B155" s="267" t="s">
        <v>617</v>
      </c>
      <c r="C155" s="266" t="s">
        <v>177</v>
      </c>
      <c r="D155" s="266" t="s">
        <v>860</v>
      </c>
      <c r="E155" s="266" t="s">
        <v>637</v>
      </c>
      <c r="F155" s="266">
        <v>27</v>
      </c>
      <c r="G155" s="266" t="s">
        <v>3766</v>
      </c>
      <c r="H155" s="266" t="s">
        <v>3750</v>
      </c>
      <c r="I155" s="271">
        <v>990501</v>
      </c>
      <c r="J155" s="268">
        <f t="shared" si="11"/>
        <v>270101</v>
      </c>
      <c r="K155" s="268">
        <f>VLOOKUP(A155,坦克标准养成属性!$C$6:$D$36,2,FALSE)</f>
        <v>2421</v>
      </c>
      <c r="L155" s="268" t="str">
        <f t="shared" si="10"/>
        <v>[990501,270101]</v>
      </c>
      <c r="M155" s="266" t="str">
        <f t="shared" si="12"/>
        <v>[1,6]</v>
      </c>
      <c r="N155" s="263">
        <f t="shared" si="13"/>
        <v>6</v>
      </c>
      <c r="R155"/>
      <c r="U155"/>
    </row>
    <row r="156" spans="1:24" ht="15.75" x14ac:dyDescent="0.3">
      <c r="A156" s="22" t="s">
        <v>638</v>
      </c>
      <c r="B156" s="137" t="s">
        <v>617</v>
      </c>
      <c r="C156" s="22" t="s">
        <v>176</v>
      </c>
      <c r="D156" s="22" t="s">
        <v>860</v>
      </c>
      <c r="E156" s="22" t="s">
        <v>639</v>
      </c>
      <c r="F156" s="22">
        <v>28</v>
      </c>
      <c r="G156" s="22" t="s">
        <v>1571</v>
      </c>
      <c r="H156" s="22" t="s">
        <v>1415</v>
      </c>
      <c r="I156" s="13">
        <v>990201</v>
      </c>
      <c r="J156" s="13">
        <f t="shared" si="11"/>
        <v>280101</v>
      </c>
      <c r="K156" s="13">
        <f>VLOOKUP(A156,坦克标准养成属性!$C$6:$D$36,2,FALSE)</f>
        <v>2431</v>
      </c>
      <c r="L156" s="13" t="str">
        <f t="shared" si="10"/>
        <v>[990201,280101]</v>
      </c>
      <c r="M156" s="22" t="str">
        <f t="shared" si="12"/>
        <v>[1,6]</v>
      </c>
      <c r="N156" s="263">
        <f t="shared" si="13"/>
        <v>6</v>
      </c>
      <c r="R156"/>
      <c r="S156"/>
      <c r="T156"/>
      <c r="U156"/>
    </row>
    <row r="157" spans="1:24" ht="15.75" x14ac:dyDescent="0.3">
      <c r="A157" s="22" t="s">
        <v>640</v>
      </c>
      <c r="B157" s="137" t="s">
        <v>624</v>
      </c>
      <c r="C157" s="22" t="s">
        <v>175</v>
      </c>
      <c r="D157" s="22" t="s">
        <v>860</v>
      </c>
      <c r="E157" s="22" t="s">
        <v>641</v>
      </c>
      <c r="F157" s="22">
        <v>29</v>
      </c>
      <c r="G157" s="22" t="s">
        <v>1571</v>
      </c>
      <c r="H157" s="22" t="s">
        <v>1415</v>
      </c>
      <c r="I157" s="13">
        <v>990201</v>
      </c>
      <c r="J157" s="13">
        <f t="shared" si="11"/>
        <v>290101</v>
      </c>
      <c r="K157" s="13">
        <f>VLOOKUP(A157,坦克标准养成属性!$C$6:$D$36,2,FALSE)</f>
        <v>2511</v>
      </c>
      <c r="L157" s="13" t="str">
        <f t="shared" si="10"/>
        <v>[990201,290101]</v>
      </c>
      <c r="M157" s="22" t="str">
        <f t="shared" si="12"/>
        <v>[1,7]</v>
      </c>
      <c r="N157" s="263">
        <f t="shared" si="13"/>
        <v>7</v>
      </c>
      <c r="R157"/>
      <c r="S157"/>
      <c r="T157"/>
      <c r="U157"/>
    </row>
    <row r="158" spans="1:24" ht="15.75" x14ac:dyDescent="0.3">
      <c r="A158" s="22" t="s">
        <v>642</v>
      </c>
      <c r="B158" s="137" t="s">
        <v>604</v>
      </c>
      <c r="C158" s="22" t="s">
        <v>175</v>
      </c>
      <c r="D158" s="22" t="s">
        <v>82</v>
      </c>
      <c r="E158" s="22" t="s">
        <v>643</v>
      </c>
      <c r="F158" s="22">
        <v>30</v>
      </c>
      <c r="G158" s="22" t="s">
        <v>1409</v>
      </c>
      <c r="H158" s="22" t="s">
        <v>1437</v>
      </c>
      <c r="I158" s="13">
        <v>990301</v>
      </c>
      <c r="J158" s="13">
        <f t="shared" si="11"/>
        <v>300101</v>
      </c>
      <c r="K158" s="13">
        <f>VLOOKUP(A158,坦克标准养成属性!$C$6:$D$36,2,FALSE)</f>
        <v>3111</v>
      </c>
      <c r="L158" s="13" t="str">
        <f t="shared" si="10"/>
        <v>[990301,300101]</v>
      </c>
      <c r="M158" s="22" t="str">
        <f t="shared" si="12"/>
        <v>[1,3]</v>
      </c>
      <c r="N158" s="263">
        <f t="shared" si="13"/>
        <v>3</v>
      </c>
      <c r="R158"/>
      <c r="S158"/>
      <c r="T158"/>
      <c r="U158"/>
    </row>
    <row r="159" spans="1:24" ht="15.75" x14ac:dyDescent="0.3">
      <c r="A159" s="22" t="s">
        <v>644</v>
      </c>
      <c r="B159" s="137" t="s">
        <v>606</v>
      </c>
      <c r="C159" s="22" t="s">
        <v>175</v>
      </c>
      <c r="D159" s="22" t="s">
        <v>82</v>
      </c>
      <c r="E159" s="22" t="s">
        <v>645</v>
      </c>
      <c r="F159" s="22">
        <v>31</v>
      </c>
      <c r="G159" s="22" t="s">
        <v>1409</v>
      </c>
      <c r="H159" s="22" t="s">
        <v>1437</v>
      </c>
      <c r="I159" s="13">
        <v>990301</v>
      </c>
      <c r="J159" s="13">
        <f t="shared" si="11"/>
        <v>310101</v>
      </c>
      <c r="K159" s="13">
        <f>VLOOKUP(A159,坦克标准养成属性!$C$6:$D$36,2,FALSE)</f>
        <v>3211</v>
      </c>
      <c r="L159" s="13" t="str">
        <f t="shared" si="10"/>
        <v>[990301,310101]</v>
      </c>
      <c r="M159" s="22" t="str">
        <f t="shared" si="12"/>
        <v>[1,4]</v>
      </c>
      <c r="N159" s="263">
        <f t="shared" si="13"/>
        <v>4</v>
      </c>
      <c r="R159"/>
      <c r="S159"/>
      <c r="T159"/>
      <c r="U159"/>
    </row>
    <row r="160" spans="1:24" ht="15.75" x14ac:dyDescent="0.3">
      <c r="A160" s="22" t="s">
        <v>646</v>
      </c>
      <c r="B160" s="137" t="s">
        <v>606</v>
      </c>
      <c r="C160" s="22" t="s">
        <v>177</v>
      </c>
      <c r="D160" s="22" t="s">
        <v>83</v>
      </c>
      <c r="E160" s="22" t="s">
        <v>647</v>
      </c>
      <c r="F160" s="22">
        <v>32</v>
      </c>
      <c r="G160" s="22" t="s">
        <v>1409</v>
      </c>
      <c r="H160" s="22" t="s">
        <v>1433</v>
      </c>
      <c r="I160" s="13">
        <v>990301</v>
      </c>
      <c r="J160" s="13">
        <f t="shared" si="11"/>
        <v>320101</v>
      </c>
      <c r="K160" s="13">
        <f>VLOOKUP(A160,坦克标准养成属性!$C$6:$D$36,2,FALSE)</f>
        <v>3221</v>
      </c>
      <c r="L160" s="13" t="str">
        <f t="shared" si="10"/>
        <v>[990301,320101]</v>
      </c>
      <c r="M160" s="22" t="str">
        <f t="shared" si="12"/>
        <v>[1,4]</v>
      </c>
      <c r="N160" s="263">
        <f t="shared" si="13"/>
        <v>4</v>
      </c>
      <c r="R160"/>
      <c r="S160"/>
      <c r="T160"/>
      <c r="U160"/>
    </row>
    <row r="161" spans="1:21" ht="15.75" x14ac:dyDescent="0.3">
      <c r="A161" s="22" t="s">
        <v>529</v>
      </c>
      <c r="B161" s="137" t="s">
        <v>610</v>
      </c>
      <c r="C161" s="22" t="s">
        <v>175</v>
      </c>
      <c r="D161" s="22" t="s">
        <v>83</v>
      </c>
      <c r="E161" s="22" t="s">
        <v>648</v>
      </c>
      <c r="F161" s="22">
        <v>33</v>
      </c>
      <c r="G161" s="22" t="s">
        <v>1409</v>
      </c>
      <c r="H161" s="22" t="s">
        <v>1433</v>
      </c>
      <c r="I161" s="13">
        <v>990301</v>
      </c>
      <c r="J161" s="13">
        <f t="shared" si="11"/>
        <v>330101</v>
      </c>
      <c r="K161" s="13">
        <f>VLOOKUP(A161,坦克标准养成属性!$C$6:$D$36,2,FALSE)</f>
        <v>3311</v>
      </c>
      <c r="L161" s="13" t="str">
        <f t="shared" si="10"/>
        <v>[990301,330101]</v>
      </c>
      <c r="M161" s="22" t="str">
        <f t="shared" si="12"/>
        <v>[1,5]</v>
      </c>
      <c r="N161" s="263">
        <f t="shared" si="13"/>
        <v>5</v>
      </c>
      <c r="R161"/>
      <c r="S161"/>
      <c r="T161"/>
      <c r="U161"/>
    </row>
    <row r="162" spans="1:21" ht="15.75" x14ac:dyDescent="0.3">
      <c r="A162" s="22" t="s">
        <v>649</v>
      </c>
      <c r="B162" s="137" t="s">
        <v>610</v>
      </c>
      <c r="C162" s="22" t="s">
        <v>177</v>
      </c>
      <c r="D162" s="22" t="s">
        <v>83</v>
      </c>
      <c r="E162" s="22" t="s">
        <v>650</v>
      </c>
      <c r="F162" s="22">
        <v>34</v>
      </c>
      <c r="G162" s="22" t="s">
        <v>1409</v>
      </c>
      <c r="H162" s="22" t="s">
        <v>1433</v>
      </c>
      <c r="I162" s="13">
        <v>990301</v>
      </c>
      <c r="J162" s="13">
        <f t="shared" si="11"/>
        <v>340101</v>
      </c>
      <c r="K162" s="13">
        <f>VLOOKUP(A162,坦克标准养成属性!$C$6:$D$36,2,FALSE)</f>
        <v>3321</v>
      </c>
      <c r="L162" s="13" t="str">
        <f t="shared" si="10"/>
        <v>[990301,340101]</v>
      </c>
      <c r="M162" s="22" t="str">
        <f t="shared" si="12"/>
        <v>[1,5]</v>
      </c>
      <c r="N162" s="263">
        <f t="shared" si="13"/>
        <v>5</v>
      </c>
      <c r="R162"/>
      <c r="S162"/>
      <c r="T162"/>
      <c r="U162"/>
    </row>
    <row r="163" spans="1:21" ht="15.75" x14ac:dyDescent="0.3">
      <c r="A163" s="266" t="s">
        <v>651</v>
      </c>
      <c r="B163" s="267" t="s">
        <v>610</v>
      </c>
      <c r="C163" s="266" t="s">
        <v>176</v>
      </c>
      <c r="D163" s="266" t="s">
        <v>82</v>
      </c>
      <c r="E163" s="266" t="s">
        <v>652</v>
      </c>
      <c r="F163" s="266">
        <v>35</v>
      </c>
      <c r="G163" s="266" t="s">
        <v>1409</v>
      </c>
      <c r="H163" s="266" t="s">
        <v>3775</v>
      </c>
      <c r="I163" s="268">
        <v>990301</v>
      </c>
      <c r="J163" s="268">
        <f t="shared" si="11"/>
        <v>350101</v>
      </c>
      <c r="K163" s="268">
        <f>VLOOKUP(A163,坦克标准养成属性!$C$6:$D$36,2,FALSE)</f>
        <v>3331</v>
      </c>
      <c r="L163" s="268" t="str">
        <f t="shared" si="10"/>
        <v>[990301,350101]</v>
      </c>
      <c r="M163" s="266" t="str">
        <f t="shared" si="12"/>
        <v>[1,5]</v>
      </c>
      <c r="N163" s="263">
        <f t="shared" si="13"/>
        <v>5</v>
      </c>
      <c r="R163"/>
      <c r="S163"/>
      <c r="T163"/>
      <c r="U163"/>
    </row>
    <row r="164" spans="1:21" ht="15.75" x14ac:dyDescent="0.3">
      <c r="A164" s="263" t="s">
        <v>661</v>
      </c>
      <c r="B164" s="137" t="s">
        <v>610</v>
      </c>
      <c r="C164" s="263" t="s">
        <v>176</v>
      </c>
      <c r="D164" s="263" t="s">
        <v>82</v>
      </c>
      <c r="E164" s="263" t="s">
        <v>3774</v>
      </c>
      <c r="F164" s="263">
        <v>40</v>
      </c>
      <c r="G164" s="263" t="s">
        <v>1409</v>
      </c>
      <c r="H164" s="263" t="s">
        <v>1437</v>
      </c>
      <c r="I164" s="13">
        <v>990301</v>
      </c>
      <c r="J164" s="13">
        <f t="shared" si="11"/>
        <v>400101</v>
      </c>
      <c r="K164" s="13">
        <f>VLOOKUP(A164,坦克标准养成属性!$C$6:$D$36,2,FALSE)</f>
        <v>3341</v>
      </c>
      <c r="L164" s="13" t="str">
        <f>IF(J164="","["&amp;I164&amp;"]","["&amp;I164&amp;","&amp;J164&amp;"]")</f>
        <v>[990301,400101]</v>
      </c>
      <c r="M164" s="263" t="str">
        <f>IF(J164="","["&amp;N164&amp;"]","["&amp;1&amp;","&amp;N164&amp;"]")</f>
        <v>[1,5]</v>
      </c>
      <c r="N164" s="263">
        <f t="shared" si="13"/>
        <v>5</v>
      </c>
      <c r="R164"/>
      <c r="S164"/>
      <c r="T164"/>
      <c r="U164"/>
    </row>
    <row r="165" spans="1:21" ht="15.75" x14ac:dyDescent="0.3">
      <c r="A165" s="266" t="s">
        <v>653</v>
      </c>
      <c r="B165" s="267" t="s">
        <v>617</v>
      </c>
      <c r="C165" s="266" t="s">
        <v>175</v>
      </c>
      <c r="D165" s="266" t="s">
        <v>83</v>
      </c>
      <c r="E165" s="266" t="s">
        <v>654</v>
      </c>
      <c r="F165" s="266">
        <v>36</v>
      </c>
      <c r="G165" s="266" t="s">
        <v>3767</v>
      </c>
      <c r="H165" s="266" t="s">
        <v>3779</v>
      </c>
      <c r="I165" s="271">
        <v>990601</v>
      </c>
      <c r="J165" s="268">
        <f t="shared" si="11"/>
        <v>360101</v>
      </c>
      <c r="K165" s="268">
        <f>VLOOKUP(A165,坦克标准养成属性!$C$6:$D$36,2,FALSE)</f>
        <v>3411</v>
      </c>
      <c r="L165" s="268" t="str">
        <f t="shared" si="10"/>
        <v>[990601,360101]</v>
      </c>
      <c r="M165" s="266" t="str">
        <f t="shared" si="12"/>
        <v>[1,6]</v>
      </c>
      <c r="N165" s="263">
        <f t="shared" si="13"/>
        <v>6</v>
      </c>
      <c r="R165"/>
      <c r="S165"/>
      <c r="T165"/>
      <c r="U165"/>
    </row>
    <row r="166" spans="1:21" ht="15.75" x14ac:dyDescent="0.3">
      <c r="A166" s="266" t="s">
        <v>655</v>
      </c>
      <c r="B166" s="267" t="s">
        <v>617</v>
      </c>
      <c r="C166" s="266" t="s">
        <v>177</v>
      </c>
      <c r="D166" s="266" t="s">
        <v>82</v>
      </c>
      <c r="E166" s="266" t="s">
        <v>656</v>
      </c>
      <c r="F166" s="266">
        <v>37</v>
      </c>
      <c r="G166" s="266" t="s">
        <v>3767</v>
      </c>
      <c r="H166" s="266" t="s">
        <v>3780</v>
      </c>
      <c r="I166" s="271">
        <v>990601</v>
      </c>
      <c r="J166" s="268">
        <f t="shared" si="11"/>
        <v>370101</v>
      </c>
      <c r="K166" s="268">
        <f>VLOOKUP(A166,坦克标准养成属性!$C$6:$D$36,2,FALSE)</f>
        <v>3421</v>
      </c>
      <c r="L166" s="268" t="str">
        <f t="shared" si="10"/>
        <v>[990601,370101]</v>
      </c>
      <c r="M166" s="266" t="str">
        <f t="shared" si="12"/>
        <v>[1,6]</v>
      </c>
      <c r="N166" s="263">
        <f t="shared" si="13"/>
        <v>6</v>
      </c>
      <c r="R166"/>
      <c r="S166"/>
      <c r="T166"/>
      <c r="U166"/>
    </row>
    <row r="167" spans="1:21" ht="15.75" x14ac:dyDescent="0.3">
      <c r="A167" s="22" t="s">
        <v>657</v>
      </c>
      <c r="B167" s="137" t="s">
        <v>617</v>
      </c>
      <c r="C167" s="22" t="s">
        <v>176</v>
      </c>
      <c r="D167" s="22" t="s">
        <v>83</v>
      </c>
      <c r="E167" s="22" t="s">
        <v>658</v>
      </c>
      <c r="F167" s="22">
        <v>38</v>
      </c>
      <c r="G167" s="22" t="s">
        <v>1409</v>
      </c>
      <c r="H167" s="22" t="s">
        <v>1433</v>
      </c>
      <c r="I167" s="13">
        <v>990301</v>
      </c>
      <c r="J167" s="13">
        <f t="shared" si="11"/>
        <v>380101</v>
      </c>
      <c r="K167" s="13">
        <f>VLOOKUP(A167,坦克标准养成属性!$C$6:$D$36,2,FALSE)</f>
        <v>3431</v>
      </c>
      <c r="L167" s="13" t="str">
        <f t="shared" si="10"/>
        <v>[990301,380101]</v>
      </c>
      <c r="M167" s="22" t="str">
        <f t="shared" si="12"/>
        <v>[1,6]</v>
      </c>
      <c r="N167" s="263">
        <f t="shared" si="13"/>
        <v>6</v>
      </c>
      <c r="R167"/>
      <c r="S167"/>
      <c r="T167"/>
      <c r="U167"/>
    </row>
    <row r="168" spans="1:21" ht="15.75" x14ac:dyDescent="0.3">
      <c r="A168" s="22" t="s">
        <v>659</v>
      </c>
      <c r="B168" s="137" t="s">
        <v>624</v>
      </c>
      <c r="C168" s="22" t="s">
        <v>175</v>
      </c>
      <c r="D168" s="22" t="s">
        <v>83</v>
      </c>
      <c r="E168" s="22" t="s">
        <v>660</v>
      </c>
      <c r="F168" s="22">
        <v>39</v>
      </c>
      <c r="G168" s="22" t="s">
        <v>1409</v>
      </c>
      <c r="H168" s="22" t="s">
        <v>1433</v>
      </c>
      <c r="I168" s="13">
        <v>990301</v>
      </c>
      <c r="J168" s="13">
        <f t="shared" si="11"/>
        <v>390101</v>
      </c>
      <c r="K168" s="13">
        <f>VLOOKUP(A168,坦克标准养成属性!$C$6:$D$36,2,FALSE)</f>
        <v>3511</v>
      </c>
      <c r="L168" s="13" t="str">
        <f t="shared" si="10"/>
        <v>[990301,390101]</v>
      </c>
      <c r="M168" s="22" t="str">
        <f t="shared" si="12"/>
        <v>[1,7]</v>
      </c>
      <c r="N168" s="263">
        <f t="shared" si="13"/>
        <v>7</v>
      </c>
      <c r="R168"/>
      <c r="S168"/>
      <c r="T168"/>
      <c r="U168"/>
    </row>
    <row r="169" spans="1:21" ht="15.75" x14ac:dyDescent="0.3">
      <c r="A169" s="25"/>
      <c r="B169" s="30"/>
      <c r="C169" s="25"/>
      <c r="D169" s="25"/>
      <c r="J169"/>
      <c r="K169"/>
      <c r="L169"/>
      <c r="M169"/>
      <c r="N169"/>
      <c r="O169"/>
      <c r="P169"/>
      <c r="Q169"/>
      <c r="R169"/>
      <c r="S169"/>
      <c r="T169"/>
      <c r="U169"/>
    </row>
    <row r="170" spans="1:21" ht="15.75" x14ac:dyDescent="0.3">
      <c r="A170" s="25"/>
      <c r="B170" s="30"/>
      <c r="C170" s="25"/>
      <c r="D170" s="25"/>
      <c r="J170"/>
      <c r="K170"/>
      <c r="L170"/>
      <c r="M170"/>
      <c r="N170"/>
      <c r="O170"/>
      <c r="P170"/>
      <c r="Q170"/>
      <c r="R170"/>
      <c r="S170"/>
      <c r="T170"/>
      <c r="U170"/>
    </row>
    <row r="171" spans="1:21" ht="15.75" x14ac:dyDescent="0.3">
      <c r="A171" s="25"/>
      <c r="B171" s="30"/>
      <c r="C171" s="25"/>
      <c r="D171" s="25"/>
      <c r="J171"/>
      <c r="K171"/>
      <c r="L171"/>
      <c r="M171"/>
      <c r="N171"/>
      <c r="O171"/>
      <c r="P171"/>
      <c r="Q171"/>
      <c r="R171"/>
      <c r="S171"/>
      <c r="T171"/>
      <c r="U171"/>
    </row>
    <row r="172" spans="1:21" ht="15.75" x14ac:dyDescent="0.3">
      <c r="A172" s="11" t="s">
        <v>344</v>
      </c>
      <c r="B172" s="11" t="s">
        <v>594</v>
      </c>
      <c r="C172" s="11" t="s">
        <v>1372</v>
      </c>
      <c r="D172" s="11" t="s">
        <v>1572</v>
      </c>
      <c r="E172" s="11" t="s">
        <v>1573</v>
      </c>
      <c r="J172"/>
      <c r="K172"/>
      <c r="L172"/>
      <c r="M172"/>
      <c r="N172"/>
      <c r="O172"/>
      <c r="P172"/>
      <c r="Q172"/>
      <c r="R172"/>
      <c r="S172"/>
      <c r="T172"/>
      <c r="U172"/>
    </row>
    <row r="173" spans="1:21" ht="15.75" x14ac:dyDescent="0.3">
      <c r="A173" s="7" t="s">
        <v>604</v>
      </c>
      <c r="B173" s="7">
        <v>5</v>
      </c>
      <c r="C173" s="2">
        <v>1</v>
      </c>
      <c r="D173" s="2">
        <v>3</v>
      </c>
      <c r="E173" s="2">
        <v>3</v>
      </c>
      <c r="J173"/>
      <c r="K173"/>
      <c r="L173"/>
      <c r="M173"/>
      <c r="N173"/>
      <c r="O173"/>
      <c r="P173"/>
      <c r="Q173"/>
      <c r="R173"/>
      <c r="S173"/>
      <c r="T173"/>
      <c r="U173"/>
    </row>
    <row r="174" spans="1:21" ht="15.75" x14ac:dyDescent="0.3">
      <c r="A174" s="7" t="s">
        <v>606</v>
      </c>
      <c r="B174" s="7">
        <v>7</v>
      </c>
      <c r="C174" s="2">
        <v>2</v>
      </c>
      <c r="D174" s="2">
        <v>4</v>
      </c>
      <c r="E174" s="2">
        <v>4</v>
      </c>
      <c r="J174"/>
      <c r="K174"/>
      <c r="L174"/>
      <c r="M174"/>
      <c r="N174"/>
      <c r="O174"/>
      <c r="P174"/>
      <c r="Q174"/>
      <c r="R174"/>
      <c r="S174"/>
      <c r="T174"/>
      <c r="U174"/>
    </row>
    <row r="175" spans="1:21" ht="15.75" x14ac:dyDescent="0.3">
      <c r="A175" s="7" t="s">
        <v>610</v>
      </c>
      <c r="B175" s="7">
        <v>9</v>
      </c>
      <c r="C175" s="2">
        <v>3</v>
      </c>
      <c r="D175" s="2">
        <v>5</v>
      </c>
      <c r="E175" s="2">
        <v>5</v>
      </c>
      <c r="J175"/>
      <c r="K175"/>
      <c r="L175"/>
      <c r="M175"/>
      <c r="N175"/>
      <c r="O175"/>
      <c r="P175"/>
      <c r="Q175"/>
      <c r="R175"/>
      <c r="S175"/>
      <c r="T175"/>
      <c r="U175"/>
    </row>
    <row r="176" spans="1:21" ht="15.75" x14ac:dyDescent="0.3">
      <c r="A176" s="7" t="s">
        <v>617</v>
      </c>
      <c r="B176" s="7">
        <v>11</v>
      </c>
      <c r="C176" s="2">
        <v>4</v>
      </c>
      <c r="D176" s="2">
        <v>6</v>
      </c>
      <c r="E176" s="2">
        <v>6</v>
      </c>
      <c r="J176"/>
      <c r="K176"/>
      <c r="L176"/>
      <c r="M176"/>
      <c r="N176"/>
      <c r="O176"/>
      <c r="P176"/>
      <c r="Q176"/>
      <c r="R176"/>
      <c r="S176"/>
      <c r="T176"/>
      <c r="U176"/>
    </row>
    <row r="177" spans="1:23" ht="15.75" x14ac:dyDescent="0.3">
      <c r="A177" s="7" t="s">
        <v>624</v>
      </c>
      <c r="B177" s="7">
        <v>13</v>
      </c>
      <c r="C177" s="2">
        <v>5</v>
      </c>
      <c r="D177" s="2">
        <v>7</v>
      </c>
      <c r="E177" s="2">
        <v>7</v>
      </c>
      <c r="J177"/>
      <c r="K177"/>
      <c r="L177"/>
      <c r="M177"/>
      <c r="N177"/>
      <c r="O177"/>
      <c r="P177"/>
      <c r="Q177"/>
      <c r="R177"/>
      <c r="S177"/>
      <c r="T177"/>
      <c r="U177"/>
    </row>
    <row r="181" spans="1:23" x14ac:dyDescent="0.3">
      <c r="B181" s="2" t="s">
        <v>599</v>
      </c>
      <c r="C181" s="2" t="s">
        <v>775</v>
      </c>
      <c r="D181" s="2" t="s">
        <v>594</v>
      </c>
      <c r="E181" s="2" t="s">
        <v>1372</v>
      </c>
      <c r="F181" s="2" t="s">
        <v>1572</v>
      </c>
      <c r="G181" s="2" t="s">
        <v>1573</v>
      </c>
      <c r="I181" s="1" t="s">
        <v>1574</v>
      </c>
      <c r="J181" s="1" t="s">
        <v>1575</v>
      </c>
      <c r="L181" s="1" t="s">
        <v>364</v>
      </c>
    </row>
    <row r="182" spans="1:23" x14ac:dyDescent="0.3">
      <c r="A182" s="1" t="str">
        <f>IF(LEN(H182)=3,"["&amp;G182&amp;"]","["&amp;G182&amp;","&amp;G182&amp;"]")</f>
        <v>[3]</v>
      </c>
      <c r="B182" s="2" t="s">
        <v>510</v>
      </c>
      <c r="C182" s="29" t="s">
        <v>604</v>
      </c>
      <c r="D182" s="2">
        <f t="shared" ref="D182:D211" si="14">VLOOKUP(C182,$A$172:$B$177,2,FALSE)</f>
        <v>5</v>
      </c>
      <c r="E182" s="2">
        <f t="shared" ref="E182:E211" si="15">VLOOKUP(C182,$A$173:$D$177,3,FALSE)</f>
        <v>1</v>
      </c>
      <c r="F182" s="2">
        <f t="shared" ref="F182:F211" si="16">VLOOKUP(C182,$A$173:$D$177,4,FALSE)</f>
        <v>3</v>
      </c>
      <c r="G182" s="2">
        <f t="shared" ref="G182:G211" si="17">VLOOKUP(C182,$A$173:$E$177,5,FALSE)</f>
        <v>3</v>
      </c>
      <c r="H182" s="1" t="s">
        <v>1576</v>
      </c>
      <c r="I182" s="1">
        <v>1</v>
      </c>
      <c r="J182" s="1">
        <v>1</v>
      </c>
      <c r="L182" s="1" t="s">
        <v>1577</v>
      </c>
      <c r="M182" s="1" t="s">
        <v>1578</v>
      </c>
      <c r="N182" s="111" t="s">
        <v>1574</v>
      </c>
      <c r="O182" s="1" t="s">
        <v>1579</v>
      </c>
      <c r="P182" s="1" t="s">
        <v>1574</v>
      </c>
    </row>
    <row r="183" spans="1:23" x14ac:dyDescent="0.3">
      <c r="A183" s="1" t="str">
        <f t="shared" ref="A183:A211" si="18">IF(LEN(H183)=3,"["&amp;G183&amp;"]","["&amp;G183&amp;","&amp;G183&amp;"]")</f>
        <v>[4]</v>
      </c>
      <c r="B183" s="2" t="s">
        <v>516</v>
      </c>
      <c r="C183" s="29" t="s">
        <v>606</v>
      </c>
      <c r="D183" s="2">
        <f t="shared" si="14"/>
        <v>7</v>
      </c>
      <c r="E183" s="2">
        <f t="shared" si="15"/>
        <v>2</v>
      </c>
      <c r="F183" s="2">
        <f t="shared" si="16"/>
        <v>4</v>
      </c>
      <c r="G183" s="2">
        <f t="shared" si="17"/>
        <v>4</v>
      </c>
      <c r="H183" s="1" t="s">
        <v>1580</v>
      </c>
      <c r="I183" s="1">
        <v>2</v>
      </c>
      <c r="J183" s="1">
        <v>2</v>
      </c>
      <c r="L183" s="1">
        <v>0</v>
      </c>
      <c r="M183" s="1">
        <v>0</v>
      </c>
      <c r="N183" s="111">
        <v>1</v>
      </c>
      <c r="P183" s="1">
        <v>1</v>
      </c>
      <c r="Q183" s="1">
        <v>2</v>
      </c>
      <c r="R183" s="1">
        <v>1</v>
      </c>
      <c r="S183" s="1">
        <v>2</v>
      </c>
    </row>
    <row r="184" spans="1:23" x14ac:dyDescent="0.3">
      <c r="A184" s="1" t="str">
        <f t="shared" si="18"/>
        <v>[4]</v>
      </c>
      <c r="B184" s="2" t="s">
        <v>607</v>
      </c>
      <c r="C184" s="29" t="s">
        <v>606</v>
      </c>
      <c r="D184" s="2">
        <f t="shared" si="14"/>
        <v>7</v>
      </c>
      <c r="E184" s="2">
        <f t="shared" si="15"/>
        <v>2</v>
      </c>
      <c r="F184" s="2">
        <f t="shared" si="16"/>
        <v>4</v>
      </c>
      <c r="G184" s="2">
        <f t="shared" si="17"/>
        <v>4</v>
      </c>
      <c r="H184" s="1" t="s">
        <v>1580</v>
      </c>
      <c r="I184" s="1">
        <v>3</v>
      </c>
      <c r="J184" s="1">
        <v>3</v>
      </c>
      <c r="L184" s="1">
        <v>1</v>
      </c>
      <c r="M184" s="1">
        <v>1</v>
      </c>
      <c r="N184" s="111">
        <v>1</v>
      </c>
      <c r="R184" s="1">
        <v>2</v>
      </c>
      <c r="S184" s="1">
        <v>3</v>
      </c>
    </row>
    <row r="185" spans="1:23" x14ac:dyDescent="0.3">
      <c r="A185" s="1" t="str">
        <f t="shared" si="18"/>
        <v>[5,5]</v>
      </c>
      <c r="B185" s="2" t="s">
        <v>522</v>
      </c>
      <c r="C185" s="29" t="s">
        <v>610</v>
      </c>
      <c r="D185" s="2">
        <f t="shared" si="14"/>
        <v>9</v>
      </c>
      <c r="E185" s="2">
        <f t="shared" si="15"/>
        <v>3</v>
      </c>
      <c r="F185" s="2">
        <f t="shared" si="16"/>
        <v>5</v>
      </c>
      <c r="G185" s="2">
        <f t="shared" si="17"/>
        <v>5</v>
      </c>
      <c r="H185" s="1" t="s">
        <v>1581</v>
      </c>
      <c r="I185" s="1">
        <v>4</v>
      </c>
      <c r="J185" s="1">
        <v>4</v>
      </c>
      <c r="L185" s="1">
        <v>2</v>
      </c>
      <c r="M185" s="1">
        <v>1</v>
      </c>
      <c r="N185" s="111">
        <v>2</v>
      </c>
      <c r="O185" s="1">
        <v>2</v>
      </c>
      <c r="P185" s="1">
        <v>2</v>
      </c>
      <c r="Q185" s="1">
        <v>2</v>
      </c>
      <c r="R185" s="1">
        <v>3</v>
      </c>
      <c r="S185" s="1">
        <v>4</v>
      </c>
    </row>
    <row r="186" spans="1:23" x14ac:dyDescent="0.3">
      <c r="A186" s="1" t="str">
        <f t="shared" si="18"/>
        <v>[5,5]</v>
      </c>
      <c r="B186" s="2" t="s">
        <v>611</v>
      </c>
      <c r="C186" s="29" t="s">
        <v>610</v>
      </c>
      <c r="D186" s="2">
        <f t="shared" si="14"/>
        <v>9</v>
      </c>
      <c r="E186" s="2">
        <f t="shared" si="15"/>
        <v>3</v>
      </c>
      <c r="F186" s="2">
        <f t="shared" si="16"/>
        <v>5</v>
      </c>
      <c r="G186" s="2">
        <f t="shared" si="17"/>
        <v>5</v>
      </c>
      <c r="H186" s="1" t="s">
        <v>1581</v>
      </c>
      <c r="I186" s="1">
        <v>5</v>
      </c>
      <c r="J186" s="1">
        <v>5</v>
      </c>
      <c r="L186" s="1">
        <v>3</v>
      </c>
      <c r="M186" s="1">
        <v>1</v>
      </c>
      <c r="N186" s="111">
        <v>2</v>
      </c>
      <c r="R186" s="1">
        <v>4</v>
      </c>
      <c r="S186" s="1">
        <v>4</v>
      </c>
    </row>
    <row r="187" spans="1:23" x14ac:dyDescent="0.3">
      <c r="A187" s="1" t="str">
        <f t="shared" si="18"/>
        <v>[5,5]</v>
      </c>
      <c r="B187" s="2" t="s">
        <v>613</v>
      </c>
      <c r="C187" s="29" t="s">
        <v>610</v>
      </c>
      <c r="D187" s="2">
        <f t="shared" si="14"/>
        <v>9</v>
      </c>
      <c r="E187" s="2">
        <f t="shared" si="15"/>
        <v>3</v>
      </c>
      <c r="F187" s="2">
        <f t="shared" si="16"/>
        <v>5</v>
      </c>
      <c r="G187" s="2">
        <f t="shared" si="17"/>
        <v>5</v>
      </c>
      <c r="H187" s="1" t="s">
        <v>1581</v>
      </c>
      <c r="I187" s="1">
        <v>6</v>
      </c>
      <c r="L187" s="1">
        <v>4</v>
      </c>
      <c r="M187" s="1">
        <v>1</v>
      </c>
      <c r="N187" s="111">
        <v>2</v>
      </c>
      <c r="R187" s="139">
        <v>5</v>
      </c>
      <c r="S187" s="139">
        <v>4</v>
      </c>
      <c r="T187" s="139"/>
      <c r="U187" s="139"/>
      <c r="V187" s="139"/>
      <c r="W187" s="139"/>
    </row>
    <row r="188" spans="1:23" x14ac:dyDescent="0.3">
      <c r="A188" s="1" t="str">
        <f t="shared" si="18"/>
        <v>[6,6]</v>
      </c>
      <c r="B188" s="2" t="s">
        <v>615</v>
      </c>
      <c r="C188" s="29" t="s">
        <v>617</v>
      </c>
      <c r="D188" s="2">
        <f t="shared" si="14"/>
        <v>11</v>
      </c>
      <c r="E188" s="2">
        <f t="shared" si="15"/>
        <v>4</v>
      </c>
      <c r="F188" s="2">
        <f t="shared" si="16"/>
        <v>6</v>
      </c>
      <c r="G188" s="2">
        <f t="shared" si="17"/>
        <v>6</v>
      </c>
      <c r="H188" s="1" t="s">
        <v>1582</v>
      </c>
      <c r="K188" s="1" t="s">
        <v>604</v>
      </c>
      <c r="L188" s="138">
        <v>5</v>
      </c>
      <c r="M188" s="1">
        <v>1</v>
      </c>
      <c r="N188" s="111">
        <v>3</v>
      </c>
      <c r="O188" s="1">
        <v>3</v>
      </c>
      <c r="P188" s="1">
        <v>3</v>
      </c>
      <c r="Q188" s="1">
        <v>3</v>
      </c>
      <c r="R188" s="139">
        <v>6</v>
      </c>
      <c r="S188" s="139">
        <v>4</v>
      </c>
      <c r="T188" s="139"/>
      <c r="U188" s="139"/>
      <c r="V188" s="139"/>
      <c r="W188" s="139"/>
    </row>
    <row r="189" spans="1:23" x14ac:dyDescent="0.3">
      <c r="A189" s="1" t="str">
        <f t="shared" si="18"/>
        <v>[6,6]</v>
      </c>
      <c r="B189" s="2" t="s">
        <v>618</v>
      </c>
      <c r="C189" s="29" t="s">
        <v>617</v>
      </c>
      <c r="D189" s="2">
        <f t="shared" si="14"/>
        <v>11</v>
      </c>
      <c r="E189" s="2">
        <f t="shared" si="15"/>
        <v>4</v>
      </c>
      <c r="F189" s="2">
        <f t="shared" si="16"/>
        <v>6</v>
      </c>
      <c r="G189" s="2">
        <f t="shared" si="17"/>
        <v>6</v>
      </c>
      <c r="H189" s="1" t="s">
        <v>1582</v>
      </c>
      <c r="L189" s="1">
        <v>6</v>
      </c>
      <c r="M189" s="1">
        <v>2</v>
      </c>
      <c r="N189" s="111">
        <v>3</v>
      </c>
      <c r="R189" s="139">
        <v>7</v>
      </c>
      <c r="S189" s="139">
        <v>4</v>
      </c>
      <c r="T189" s="139"/>
      <c r="U189" s="139"/>
      <c r="V189" s="139"/>
      <c r="W189" s="139"/>
    </row>
    <row r="190" spans="1:23" x14ac:dyDescent="0.3">
      <c r="A190" s="1" t="str">
        <f t="shared" si="18"/>
        <v>[6,6]</v>
      </c>
      <c r="B190" s="2" t="s">
        <v>620</v>
      </c>
      <c r="C190" s="29" t="s">
        <v>617</v>
      </c>
      <c r="D190" s="2">
        <f t="shared" si="14"/>
        <v>11</v>
      </c>
      <c r="E190" s="2">
        <f t="shared" si="15"/>
        <v>4</v>
      </c>
      <c r="F190" s="2">
        <f t="shared" si="16"/>
        <v>6</v>
      </c>
      <c r="G190" s="2">
        <f t="shared" si="17"/>
        <v>6</v>
      </c>
      <c r="H190" s="1" t="s">
        <v>1582</v>
      </c>
      <c r="K190" s="1" t="s">
        <v>353</v>
      </c>
      <c r="L190" s="138">
        <v>7</v>
      </c>
      <c r="M190" s="1">
        <v>2</v>
      </c>
      <c r="N190" s="111">
        <v>4</v>
      </c>
      <c r="O190" s="1">
        <v>4</v>
      </c>
      <c r="P190" s="139">
        <v>4</v>
      </c>
      <c r="Q190" s="139">
        <v>4</v>
      </c>
      <c r="R190" s="139"/>
      <c r="S190" s="139"/>
      <c r="T190" s="139"/>
      <c r="U190" s="139"/>
      <c r="V190" s="139"/>
      <c r="W190" s="139"/>
    </row>
    <row r="191" spans="1:23" x14ac:dyDescent="0.3">
      <c r="A191" s="1" t="str">
        <f t="shared" si="18"/>
        <v>[7,7]</v>
      </c>
      <c r="B191" s="2" t="s">
        <v>622</v>
      </c>
      <c r="C191" s="29" t="s">
        <v>624</v>
      </c>
      <c r="D191" s="2">
        <f t="shared" si="14"/>
        <v>13</v>
      </c>
      <c r="E191" s="2">
        <f t="shared" si="15"/>
        <v>5</v>
      </c>
      <c r="F191" s="2">
        <f t="shared" si="16"/>
        <v>7</v>
      </c>
      <c r="G191" s="2">
        <f t="shared" si="17"/>
        <v>7</v>
      </c>
      <c r="H191" s="1" t="s">
        <v>1583</v>
      </c>
      <c r="L191" s="1">
        <v>8</v>
      </c>
      <c r="M191" s="1">
        <v>2</v>
      </c>
      <c r="N191" s="111">
        <v>4</v>
      </c>
      <c r="P191" s="139"/>
      <c r="Q191" s="139"/>
      <c r="R191" s="139"/>
      <c r="S191" s="139"/>
      <c r="T191" s="139"/>
      <c r="U191" s="139"/>
      <c r="V191" s="139"/>
      <c r="W191" s="139"/>
    </row>
    <row r="192" spans="1:23" x14ac:dyDescent="0.3">
      <c r="A192" s="1" t="str">
        <f t="shared" si="18"/>
        <v>[3]</v>
      </c>
      <c r="B192" s="2" t="s">
        <v>512</v>
      </c>
      <c r="C192" s="29" t="s">
        <v>604</v>
      </c>
      <c r="D192" s="2">
        <f t="shared" si="14"/>
        <v>5</v>
      </c>
      <c r="E192" s="2">
        <f t="shared" si="15"/>
        <v>1</v>
      </c>
      <c r="F192" s="2">
        <f t="shared" si="16"/>
        <v>3</v>
      </c>
      <c r="G192" s="2">
        <f t="shared" si="17"/>
        <v>3</v>
      </c>
      <c r="H192" s="1" t="s">
        <v>1576</v>
      </c>
      <c r="K192" s="1" t="s">
        <v>356</v>
      </c>
      <c r="L192" s="138">
        <v>9</v>
      </c>
      <c r="M192" s="1">
        <v>2</v>
      </c>
      <c r="N192" s="111">
        <v>5</v>
      </c>
      <c r="O192" s="1">
        <v>4</v>
      </c>
      <c r="P192" s="139">
        <v>5</v>
      </c>
      <c r="Q192" s="139">
        <v>5</v>
      </c>
      <c r="R192" s="139"/>
      <c r="S192" s="139"/>
      <c r="T192" s="139"/>
      <c r="U192" s="139"/>
      <c r="V192" s="139"/>
      <c r="W192" s="139"/>
    </row>
    <row r="193" spans="1:24" x14ac:dyDescent="0.3">
      <c r="A193" s="1" t="str">
        <f t="shared" si="18"/>
        <v>[4]</v>
      </c>
      <c r="B193" s="2" t="s">
        <v>518</v>
      </c>
      <c r="C193" s="29" t="s">
        <v>606</v>
      </c>
      <c r="D193" s="2">
        <f t="shared" si="14"/>
        <v>7</v>
      </c>
      <c r="E193" s="2">
        <f t="shared" si="15"/>
        <v>2</v>
      </c>
      <c r="F193" s="2">
        <f t="shared" si="16"/>
        <v>4</v>
      </c>
      <c r="G193" s="2">
        <f t="shared" si="17"/>
        <v>4</v>
      </c>
      <c r="H193" s="1" t="s">
        <v>1580</v>
      </c>
      <c r="L193" s="1">
        <v>10</v>
      </c>
      <c r="M193" s="1">
        <v>2</v>
      </c>
      <c r="N193" s="111">
        <v>5</v>
      </c>
      <c r="P193" s="139"/>
      <c r="Q193" s="139"/>
      <c r="R193" s="139"/>
      <c r="S193" s="139"/>
      <c r="T193" s="139"/>
      <c r="U193" s="139"/>
      <c r="V193" s="139"/>
      <c r="W193" s="139"/>
    </row>
    <row r="194" spans="1:24" x14ac:dyDescent="0.3">
      <c r="A194" s="1" t="str">
        <f t="shared" si="18"/>
        <v>[4]</v>
      </c>
      <c r="B194" s="2" t="s">
        <v>627</v>
      </c>
      <c r="C194" s="29" t="s">
        <v>606</v>
      </c>
      <c r="D194" s="2">
        <f t="shared" si="14"/>
        <v>7</v>
      </c>
      <c r="E194" s="2">
        <f t="shared" si="15"/>
        <v>2</v>
      </c>
      <c r="F194" s="2">
        <f t="shared" si="16"/>
        <v>4</v>
      </c>
      <c r="G194" s="2">
        <f t="shared" si="17"/>
        <v>4</v>
      </c>
      <c r="H194" s="1" t="s">
        <v>1580</v>
      </c>
      <c r="K194" s="1" t="s">
        <v>360</v>
      </c>
      <c r="L194" s="138">
        <v>11</v>
      </c>
      <c r="M194" s="1">
        <v>2</v>
      </c>
      <c r="N194" s="111">
        <v>6</v>
      </c>
      <c r="O194" s="1">
        <v>4</v>
      </c>
      <c r="P194" s="139">
        <v>6</v>
      </c>
      <c r="Q194" s="139">
        <v>6</v>
      </c>
      <c r="R194" s="139"/>
      <c r="S194" s="139"/>
      <c r="T194" s="139"/>
      <c r="U194" s="139"/>
      <c r="V194" s="139"/>
      <c r="W194" s="139"/>
    </row>
    <row r="195" spans="1:24" x14ac:dyDescent="0.3">
      <c r="A195" s="1" t="str">
        <f t="shared" si="18"/>
        <v>[5,5]</v>
      </c>
      <c r="B195" s="2" t="s">
        <v>526</v>
      </c>
      <c r="C195" s="29" t="s">
        <v>610</v>
      </c>
      <c r="D195" s="2">
        <f t="shared" si="14"/>
        <v>9</v>
      </c>
      <c r="E195" s="2">
        <f t="shared" si="15"/>
        <v>3</v>
      </c>
      <c r="F195" s="2">
        <f t="shared" si="16"/>
        <v>5</v>
      </c>
      <c r="G195" s="2">
        <f t="shared" si="17"/>
        <v>5</v>
      </c>
      <c r="H195" s="1" t="s">
        <v>1581</v>
      </c>
      <c r="L195" s="1">
        <v>12</v>
      </c>
      <c r="M195" s="1">
        <v>2</v>
      </c>
      <c r="N195" s="111">
        <v>6</v>
      </c>
      <c r="P195" s="139"/>
      <c r="Q195" s="139"/>
      <c r="R195" s="139"/>
      <c r="S195" s="139"/>
      <c r="T195" s="139"/>
      <c r="U195" s="139"/>
      <c r="V195" s="139"/>
      <c r="W195" s="139"/>
    </row>
    <row r="196" spans="1:24" x14ac:dyDescent="0.3">
      <c r="A196" s="1" t="str">
        <f t="shared" si="18"/>
        <v>[5,5]</v>
      </c>
      <c r="B196" s="2" t="s">
        <v>630</v>
      </c>
      <c r="C196" s="29" t="s">
        <v>610</v>
      </c>
      <c r="D196" s="2">
        <f t="shared" si="14"/>
        <v>9</v>
      </c>
      <c r="E196" s="2">
        <f t="shared" si="15"/>
        <v>3</v>
      </c>
      <c r="F196" s="2">
        <f t="shared" si="16"/>
        <v>5</v>
      </c>
      <c r="G196" s="2">
        <f t="shared" si="17"/>
        <v>5</v>
      </c>
      <c r="H196" s="1" t="s">
        <v>1581</v>
      </c>
      <c r="K196" s="1" t="s">
        <v>364</v>
      </c>
      <c r="L196" s="138">
        <v>13</v>
      </c>
      <c r="M196" s="1">
        <v>2</v>
      </c>
      <c r="N196" s="111">
        <v>7</v>
      </c>
      <c r="O196" s="1">
        <v>4</v>
      </c>
      <c r="P196" s="1">
        <v>7</v>
      </c>
      <c r="Q196" s="139">
        <v>7</v>
      </c>
      <c r="T196" s="139"/>
      <c r="X196" s="139"/>
    </row>
    <row r="197" spans="1:24" x14ac:dyDescent="0.3">
      <c r="A197" s="1" t="str">
        <f t="shared" si="18"/>
        <v>[5,5]</v>
      </c>
      <c r="B197" s="2" t="s">
        <v>632</v>
      </c>
      <c r="C197" s="29" t="s">
        <v>610</v>
      </c>
      <c r="D197" s="2">
        <f t="shared" si="14"/>
        <v>9</v>
      </c>
      <c r="E197" s="2">
        <f t="shared" si="15"/>
        <v>3</v>
      </c>
      <c r="F197" s="2">
        <f t="shared" si="16"/>
        <v>5</v>
      </c>
      <c r="G197" s="2">
        <f t="shared" si="17"/>
        <v>5</v>
      </c>
      <c r="H197" s="1" t="s">
        <v>1581</v>
      </c>
      <c r="M197" s="139">
        <f>SUM(M183:M196)</f>
        <v>21</v>
      </c>
      <c r="N197" s="111"/>
      <c r="O197" s="1">
        <f>SUM(O183:O196)</f>
        <v>21</v>
      </c>
    </row>
    <row r="198" spans="1:24" x14ac:dyDescent="0.3">
      <c r="A198" s="1" t="str">
        <f t="shared" si="18"/>
        <v>[6,6]</v>
      </c>
      <c r="B198" s="2" t="s">
        <v>634</v>
      </c>
      <c r="C198" s="29" t="s">
        <v>617</v>
      </c>
      <c r="D198" s="2">
        <f t="shared" si="14"/>
        <v>11</v>
      </c>
      <c r="E198" s="2">
        <f t="shared" si="15"/>
        <v>4</v>
      </c>
      <c r="F198" s="2">
        <f t="shared" si="16"/>
        <v>6</v>
      </c>
      <c r="G198" s="2">
        <f t="shared" si="17"/>
        <v>6</v>
      </c>
      <c r="H198" s="1" t="s">
        <v>1582</v>
      </c>
    </row>
    <row r="199" spans="1:24" x14ac:dyDescent="0.3">
      <c r="A199" s="1" t="str">
        <f t="shared" si="18"/>
        <v>[6,6]</v>
      </c>
      <c r="B199" s="2" t="s">
        <v>636</v>
      </c>
      <c r="C199" s="29" t="s">
        <v>617</v>
      </c>
      <c r="D199" s="2">
        <f t="shared" si="14"/>
        <v>11</v>
      </c>
      <c r="E199" s="2">
        <f t="shared" si="15"/>
        <v>4</v>
      </c>
      <c r="F199" s="2">
        <f t="shared" si="16"/>
        <v>6</v>
      </c>
      <c r="G199" s="2">
        <f t="shared" si="17"/>
        <v>6</v>
      </c>
      <c r="H199" s="1" t="s">
        <v>1582</v>
      </c>
      <c r="K199" s="1" t="s">
        <v>1584</v>
      </c>
      <c r="L199" s="2" t="s">
        <v>1574</v>
      </c>
      <c r="M199" s="2" t="s">
        <v>268</v>
      </c>
    </row>
    <row r="200" spans="1:24" x14ac:dyDescent="0.3">
      <c r="A200" s="1" t="str">
        <f t="shared" si="18"/>
        <v>[6,6]</v>
      </c>
      <c r="B200" s="2" t="s">
        <v>638</v>
      </c>
      <c r="C200" s="29" t="s">
        <v>617</v>
      </c>
      <c r="D200" s="2">
        <f t="shared" si="14"/>
        <v>11</v>
      </c>
      <c r="E200" s="2">
        <f t="shared" si="15"/>
        <v>4</v>
      </c>
      <c r="F200" s="2">
        <f t="shared" si="16"/>
        <v>6</v>
      </c>
      <c r="G200" s="2">
        <f t="shared" si="17"/>
        <v>6</v>
      </c>
      <c r="H200" s="1" t="s">
        <v>1582</v>
      </c>
      <c r="L200" s="2">
        <v>1</v>
      </c>
      <c r="M200" s="2">
        <v>1800</v>
      </c>
    </row>
    <row r="201" spans="1:24" x14ac:dyDescent="0.3">
      <c r="A201" s="1" t="str">
        <f t="shared" si="18"/>
        <v>[7,7]</v>
      </c>
      <c r="B201" s="2" t="s">
        <v>640</v>
      </c>
      <c r="C201" s="29" t="s">
        <v>624</v>
      </c>
      <c r="D201" s="2">
        <f t="shared" si="14"/>
        <v>13</v>
      </c>
      <c r="E201" s="2">
        <f t="shared" si="15"/>
        <v>5</v>
      </c>
      <c r="F201" s="2">
        <f t="shared" si="16"/>
        <v>7</v>
      </c>
      <c r="G201" s="2">
        <f t="shared" si="17"/>
        <v>7</v>
      </c>
      <c r="H201" s="1" t="s">
        <v>1583</v>
      </c>
      <c r="L201" s="2">
        <v>2</v>
      </c>
      <c r="M201" s="2">
        <v>2400</v>
      </c>
    </row>
    <row r="202" spans="1:24" x14ac:dyDescent="0.3">
      <c r="A202" s="1" t="str">
        <f t="shared" si="18"/>
        <v>[3]</v>
      </c>
      <c r="B202" s="2" t="s">
        <v>642</v>
      </c>
      <c r="C202" s="29" t="s">
        <v>604</v>
      </c>
      <c r="D202" s="2">
        <f t="shared" si="14"/>
        <v>5</v>
      </c>
      <c r="E202" s="2">
        <f t="shared" si="15"/>
        <v>1</v>
      </c>
      <c r="F202" s="2">
        <f t="shared" si="16"/>
        <v>3</v>
      </c>
      <c r="G202" s="2">
        <f t="shared" si="17"/>
        <v>3</v>
      </c>
      <c r="H202" s="1" t="s">
        <v>1576</v>
      </c>
      <c r="L202" s="2">
        <v>3</v>
      </c>
      <c r="M202" s="2">
        <v>9500</v>
      </c>
    </row>
    <row r="203" spans="1:24" x14ac:dyDescent="0.3">
      <c r="A203" s="1" t="str">
        <f t="shared" si="18"/>
        <v>[4]</v>
      </c>
      <c r="B203" s="2" t="s">
        <v>644</v>
      </c>
      <c r="C203" s="29" t="s">
        <v>606</v>
      </c>
      <c r="D203" s="2">
        <f t="shared" si="14"/>
        <v>7</v>
      </c>
      <c r="E203" s="2">
        <f t="shared" si="15"/>
        <v>2</v>
      </c>
      <c r="F203" s="2">
        <f t="shared" si="16"/>
        <v>4</v>
      </c>
      <c r="G203" s="2">
        <f t="shared" si="17"/>
        <v>4</v>
      </c>
      <c r="H203" s="1" t="s">
        <v>1580</v>
      </c>
      <c r="L203" s="2">
        <v>4</v>
      </c>
      <c r="M203" s="2">
        <v>38000</v>
      </c>
    </row>
    <row r="204" spans="1:24" x14ac:dyDescent="0.3">
      <c r="A204" s="1" t="str">
        <f t="shared" si="18"/>
        <v>[4]</v>
      </c>
      <c r="B204" s="2" t="s">
        <v>646</v>
      </c>
      <c r="C204" s="29" t="s">
        <v>606</v>
      </c>
      <c r="D204" s="2">
        <f t="shared" si="14"/>
        <v>7</v>
      </c>
      <c r="E204" s="2">
        <f t="shared" si="15"/>
        <v>2</v>
      </c>
      <c r="F204" s="2">
        <f t="shared" si="16"/>
        <v>4</v>
      </c>
      <c r="G204" s="2">
        <f t="shared" si="17"/>
        <v>4</v>
      </c>
      <c r="H204" s="1" t="s">
        <v>1580</v>
      </c>
      <c r="L204" s="2">
        <v>5</v>
      </c>
      <c r="M204" s="2">
        <v>16500</v>
      </c>
    </row>
    <row r="205" spans="1:24" x14ac:dyDescent="0.3">
      <c r="A205" s="1" t="str">
        <f t="shared" si="18"/>
        <v>[5,5]</v>
      </c>
      <c r="B205" s="2" t="s">
        <v>529</v>
      </c>
      <c r="C205" s="29" t="s">
        <v>610</v>
      </c>
      <c r="D205" s="2">
        <f t="shared" si="14"/>
        <v>9</v>
      </c>
      <c r="E205" s="2">
        <f t="shared" si="15"/>
        <v>3</v>
      </c>
      <c r="F205" s="2">
        <f t="shared" si="16"/>
        <v>5</v>
      </c>
      <c r="G205" s="2">
        <f t="shared" si="17"/>
        <v>5</v>
      </c>
      <c r="H205" s="1" t="s">
        <v>1581</v>
      </c>
      <c r="L205" s="2">
        <v>6</v>
      </c>
      <c r="M205" s="2">
        <v>60000</v>
      </c>
    </row>
    <row r="206" spans="1:24" x14ac:dyDescent="0.3">
      <c r="A206" s="1" t="str">
        <f t="shared" si="18"/>
        <v>[5,5]</v>
      </c>
      <c r="B206" s="2" t="s">
        <v>649</v>
      </c>
      <c r="C206" s="29" t="s">
        <v>610</v>
      </c>
      <c r="D206" s="2">
        <f t="shared" si="14"/>
        <v>9</v>
      </c>
      <c r="E206" s="2">
        <f t="shared" si="15"/>
        <v>3</v>
      </c>
      <c r="F206" s="2">
        <f t="shared" si="16"/>
        <v>5</v>
      </c>
      <c r="G206" s="2">
        <f t="shared" si="17"/>
        <v>5</v>
      </c>
      <c r="H206" s="1" t="s">
        <v>1581</v>
      </c>
      <c r="L206" s="2">
        <v>7</v>
      </c>
      <c r="M206" s="2">
        <v>85400</v>
      </c>
    </row>
    <row r="207" spans="1:24" x14ac:dyDescent="0.3">
      <c r="A207" s="1" t="str">
        <f t="shared" si="18"/>
        <v>[5,5]</v>
      </c>
      <c r="B207" s="2" t="s">
        <v>651</v>
      </c>
      <c r="C207" s="29" t="s">
        <v>610</v>
      </c>
      <c r="D207" s="2">
        <f t="shared" si="14"/>
        <v>9</v>
      </c>
      <c r="E207" s="2">
        <f t="shared" si="15"/>
        <v>3</v>
      </c>
      <c r="F207" s="2">
        <f t="shared" si="16"/>
        <v>5</v>
      </c>
      <c r="G207" s="2">
        <f t="shared" si="17"/>
        <v>5</v>
      </c>
      <c r="H207" s="1" t="s">
        <v>1581</v>
      </c>
    </row>
    <row r="208" spans="1:24" x14ac:dyDescent="0.3">
      <c r="A208" s="1" t="str">
        <f t="shared" si="18"/>
        <v>[6,6]</v>
      </c>
      <c r="B208" s="2" t="s">
        <v>653</v>
      </c>
      <c r="C208" s="29" t="s">
        <v>617</v>
      </c>
      <c r="D208" s="2">
        <f t="shared" si="14"/>
        <v>11</v>
      </c>
      <c r="E208" s="2">
        <f t="shared" si="15"/>
        <v>4</v>
      </c>
      <c r="F208" s="2">
        <f t="shared" si="16"/>
        <v>6</v>
      </c>
      <c r="G208" s="2">
        <f t="shared" si="17"/>
        <v>6</v>
      </c>
      <c r="H208" s="1" t="s">
        <v>1582</v>
      </c>
    </row>
    <row r="209" spans="1:25" x14ac:dyDescent="0.3">
      <c r="A209" s="1" t="str">
        <f t="shared" si="18"/>
        <v>[6,6]</v>
      </c>
      <c r="B209" s="2" t="s">
        <v>655</v>
      </c>
      <c r="C209" s="29" t="s">
        <v>617</v>
      </c>
      <c r="D209" s="2">
        <f t="shared" si="14"/>
        <v>11</v>
      </c>
      <c r="E209" s="2">
        <f t="shared" si="15"/>
        <v>4</v>
      </c>
      <c r="F209" s="2">
        <f t="shared" si="16"/>
        <v>6</v>
      </c>
      <c r="G209" s="2">
        <f t="shared" si="17"/>
        <v>6</v>
      </c>
      <c r="H209" s="1" t="s">
        <v>1582</v>
      </c>
    </row>
    <row r="210" spans="1:25" x14ac:dyDescent="0.3">
      <c r="A210" s="1" t="str">
        <f t="shared" si="18"/>
        <v>[6,6]</v>
      </c>
      <c r="B210" s="2" t="s">
        <v>657</v>
      </c>
      <c r="C210" s="29" t="s">
        <v>617</v>
      </c>
      <c r="D210" s="2">
        <f t="shared" si="14"/>
        <v>11</v>
      </c>
      <c r="E210" s="2">
        <f t="shared" si="15"/>
        <v>4</v>
      </c>
      <c r="F210" s="2">
        <f t="shared" si="16"/>
        <v>6</v>
      </c>
      <c r="G210" s="2">
        <f t="shared" si="17"/>
        <v>6</v>
      </c>
      <c r="H210" s="1" t="s">
        <v>1582</v>
      </c>
    </row>
    <row r="211" spans="1:25" x14ac:dyDescent="0.3">
      <c r="A211" s="1" t="str">
        <f t="shared" si="18"/>
        <v>[7,7]</v>
      </c>
      <c r="B211" s="2" t="s">
        <v>659</v>
      </c>
      <c r="C211" s="29" t="s">
        <v>624</v>
      </c>
      <c r="D211" s="2">
        <f t="shared" si="14"/>
        <v>13</v>
      </c>
      <c r="E211" s="2">
        <f t="shared" si="15"/>
        <v>5</v>
      </c>
      <c r="F211" s="2">
        <f t="shared" si="16"/>
        <v>7</v>
      </c>
      <c r="G211" s="2">
        <f t="shared" si="17"/>
        <v>7</v>
      </c>
      <c r="H211" s="1" t="s">
        <v>1583</v>
      </c>
    </row>
    <row r="214" spans="1:25" x14ac:dyDescent="0.3">
      <c r="A214" s="2" t="s">
        <v>861</v>
      </c>
      <c r="B214" s="2" t="s">
        <v>1585</v>
      </c>
      <c r="C214" s="2" t="s">
        <v>1586</v>
      </c>
      <c r="D214" s="2"/>
      <c r="E214" s="2"/>
      <c r="F214" s="2"/>
      <c r="G214" s="2"/>
      <c r="H214" s="44" t="s">
        <v>1587</v>
      </c>
      <c r="I214" s="2"/>
      <c r="J214" s="2"/>
      <c r="K214" s="2"/>
      <c r="L214" s="2"/>
      <c r="M214" s="2"/>
      <c r="N214" s="2"/>
      <c r="O214" s="2"/>
      <c r="P214" s="2"/>
      <c r="Q214" s="2"/>
      <c r="R214" s="2"/>
      <c r="S214" s="2"/>
      <c r="T214" s="2"/>
    </row>
    <row r="215" spans="1:25" x14ac:dyDescent="0.3">
      <c r="A215" s="2" t="s">
        <v>1588</v>
      </c>
      <c r="B215" s="2" t="s">
        <v>1589</v>
      </c>
      <c r="C215" s="2" t="s">
        <v>1588</v>
      </c>
      <c r="D215" s="2"/>
      <c r="E215" s="2"/>
      <c r="F215" s="2"/>
      <c r="G215" s="2"/>
      <c r="H215" s="2"/>
      <c r="I215" s="2"/>
      <c r="J215" s="2"/>
      <c r="K215" s="2"/>
      <c r="L215" s="2"/>
      <c r="M215" s="2"/>
      <c r="N215" s="2"/>
      <c r="O215" s="2"/>
      <c r="P215" s="2"/>
      <c r="Q215" s="2"/>
      <c r="R215" s="2"/>
      <c r="S215" s="2"/>
      <c r="T215" s="2"/>
    </row>
    <row r="216" spans="1:25" x14ac:dyDescent="0.3">
      <c r="A216" s="2" t="s">
        <v>1590</v>
      </c>
      <c r="B216" s="2" t="s">
        <v>1591</v>
      </c>
      <c r="C216" s="2" t="s">
        <v>1592</v>
      </c>
      <c r="D216" s="2" t="s">
        <v>1593</v>
      </c>
      <c r="E216" s="2"/>
      <c r="F216" s="2"/>
      <c r="G216" s="2"/>
      <c r="H216" s="2"/>
      <c r="I216" s="2" t="s">
        <v>126</v>
      </c>
      <c r="J216" s="2"/>
      <c r="K216" s="2" t="s">
        <v>128</v>
      </c>
      <c r="L216" s="2"/>
      <c r="M216" s="2" t="s">
        <v>130</v>
      </c>
      <c r="N216" s="2"/>
      <c r="O216" s="2"/>
      <c r="P216" s="2"/>
      <c r="Q216" s="2"/>
      <c r="R216" s="2"/>
      <c r="S216" s="2"/>
      <c r="T216" s="2"/>
      <c r="V216" s="36" t="s">
        <v>1487</v>
      </c>
      <c r="X216" s="1" t="s">
        <v>1487</v>
      </c>
      <c r="Y216" s="1">
        <v>3</v>
      </c>
    </row>
    <row r="217" spans="1:25" x14ac:dyDescent="0.3">
      <c r="A217" s="2">
        <v>501</v>
      </c>
      <c r="B217" s="2" t="s">
        <v>1490</v>
      </c>
      <c r="C217" s="2">
        <v>2</v>
      </c>
      <c r="D217" s="2" t="s">
        <v>1594</v>
      </c>
      <c r="E217" s="2">
        <v>5</v>
      </c>
      <c r="F217" s="2"/>
      <c r="G217" s="2">
        <v>1</v>
      </c>
      <c r="H217" s="2" t="s">
        <v>1595</v>
      </c>
      <c r="I217" s="2">
        <f t="shared" ref="I217:I222" si="19">IFERROR(VLOOKUP(J217,$S$217:$T$243,2,FALSE),0)</f>
        <v>2010</v>
      </c>
      <c r="J217" s="2" t="s">
        <v>1596</v>
      </c>
      <c r="K217" s="2">
        <f t="shared" ref="K217:K222" si="20">IFERROR(VLOOKUP(L217,$S$217:$T$243,2,FALSE),0)</f>
        <v>2016</v>
      </c>
      <c r="L217" s="2" t="s">
        <v>1597</v>
      </c>
      <c r="M217" s="2">
        <f t="shared" ref="M217:M222" si="21">IFERROR(VLOOKUP(N217,$S$217:$T$243,2,FALSE),0)</f>
        <v>2002</v>
      </c>
      <c r="N217" s="2" t="s">
        <v>1487</v>
      </c>
      <c r="O217" s="2"/>
      <c r="P217" s="2" t="s">
        <v>1598</v>
      </c>
      <c r="Q217" s="2" t="s">
        <v>1598</v>
      </c>
      <c r="R217" s="2"/>
      <c r="S217" s="2" t="s">
        <v>1568</v>
      </c>
      <c r="T217" s="2">
        <v>1001</v>
      </c>
      <c r="V217" s="36" t="s">
        <v>1487</v>
      </c>
      <c r="X217" s="1" t="s">
        <v>1599</v>
      </c>
      <c r="Y217" s="1">
        <v>1</v>
      </c>
    </row>
    <row r="218" spans="1:25" x14ac:dyDescent="0.3">
      <c r="A218" s="2">
        <v>601</v>
      </c>
      <c r="B218" s="2" t="s">
        <v>1487</v>
      </c>
      <c r="C218" s="2">
        <v>2</v>
      </c>
      <c r="D218" s="2" t="s">
        <v>1600</v>
      </c>
      <c r="E218" s="2">
        <v>6</v>
      </c>
      <c r="F218" s="2"/>
      <c r="G218" s="2">
        <v>2</v>
      </c>
      <c r="H218" s="2" t="s">
        <v>1601</v>
      </c>
      <c r="I218" s="2">
        <f t="shared" si="19"/>
        <v>2010</v>
      </c>
      <c r="J218" s="2" t="s">
        <v>1596</v>
      </c>
      <c r="K218" s="2">
        <f t="shared" si="20"/>
        <v>2015</v>
      </c>
      <c r="L218" s="2" t="s">
        <v>1602</v>
      </c>
      <c r="M218" s="2">
        <f t="shared" si="21"/>
        <v>2013</v>
      </c>
      <c r="N218" s="2" t="s">
        <v>1603</v>
      </c>
      <c r="O218" s="2"/>
      <c r="P218" s="2" t="s">
        <v>1596</v>
      </c>
      <c r="Q218" s="2" t="s">
        <v>1596</v>
      </c>
      <c r="R218" s="2"/>
      <c r="S218" s="2" t="s">
        <v>1409</v>
      </c>
      <c r="T218" s="2">
        <v>1002</v>
      </c>
      <c r="V218" s="36" t="s">
        <v>1487</v>
      </c>
      <c r="X218" s="1" t="s">
        <v>1602</v>
      </c>
      <c r="Y218" s="1">
        <v>1</v>
      </c>
    </row>
    <row r="219" spans="1:25" x14ac:dyDescent="0.3">
      <c r="A219" s="2">
        <v>801</v>
      </c>
      <c r="B219" s="2" t="s">
        <v>1460</v>
      </c>
      <c r="C219" s="2">
        <v>2</v>
      </c>
      <c r="D219" s="2" t="s">
        <v>1604</v>
      </c>
      <c r="E219" s="2">
        <v>8</v>
      </c>
      <c r="F219" s="2"/>
      <c r="G219" s="2">
        <v>3</v>
      </c>
      <c r="H219" s="2" t="s">
        <v>1605</v>
      </c>
      <c r="I219" s="2">
        <f t="shared" si="19"/>
        <v>0</v>
      </c>
      <c r="J219" s="2"/>
      <c r="K219" s="2">
        <f t="shared" si="20"/>
        <v>0</v>
      </c>
      <c r="L219" s="2"/>
      <c r="M219" s="2">
        <f t="shared" si="21"/>
        <v>0</v>
      </c>
      <c r="N219" s="2"/>
      <c r="O219" s="2"/>
      <c r="P219" s="2" t="s">
        <v>1499</v>
      </c>
      <c r="Q219" s="2" t="s">
        <v>1499</v>
      </c>
      <c r="R219" s="2"/>
      <c r="S219" s="2" t="s">
        <v>1569</v>
      </c>
      <c r="T219" s="2">
        <v>1003</v>
      </c>
      <c r="V219" s="36" t="s">
        <v>1599</v>
      </c>
      <c r="X219" s="1" t="s">
        <v>1597</v>
      </c>
      <c r="Y219" s="1">
        <v>1</v>
      </c>
    </row>
    <row r="220" spans="1:25" x14ac:dyDescent="0.3">
      <c r="A220" s="2">
        <v>901</v>
      </c>
      <c r="B220" s="116" t="s">
        <v>1463</v>
      </c>
      <c r="C220" s="2">
        <v>2</v>
      </c>
      <c r="D220" s="2" t="s">
        <v>1606</v>
      </c>
      <c r="E220" s="2">
        <v>9</v>
      </c>
      <c r="F220" s="2"/>
      <c r="G220" s="2">
        <v>4</v>
      </c>
      <c r="H220" s="2" t="s">
        <v>1607</v>
      </c>
      <c r="I220" s="2">
        <f t="shared" si="19"/>
        <v>2012</v>
      </c>
      <c r="J220" s="2" t="s">
        <v>1599</v>
      </c>
      <c r="K220" s="2">
        <f t="shared" si="20"/>
        <v>2012</v>
      </c>
      <c r="L220" s="2" t="s">
        <v>1599</v>
      </c>
      <c r="M220" s="2">
        <f t="shared" si="21"/>
        <v>2012</v>
      </c>
      <c r="N220" s="2" t="s">
        <v>1599</v>
      </c>
      <c r="O220" s="2"/>
      <c r="P220" s="2" t="s">
        <v>1463</v>
      </c>
      <c r="Q220" s="2" t="s">
        <v>1463</v>
      </c>
      <c r="R220" s="2"/>
      <c r="S220" s="2" t="s">
        <v>1437</v>
      </c>
      <c r="T220" s="2">
        <v>1004</v>
      </c>
      <c r="V220" s="36" t="s">
        <v>1602</v>
      </c>
      <c r="X220" s="1" t="s">
        <v>1468</v>
      </c>
      <c r="Y220" s="1">
        <v>2</v>
      </c>
    </row>
    <row r="221" spans="1:25" x14ac:dyDescent="0.3">
      <c r="A221" s="2">
        <v>1001</v>
      </c>
      <c r="B221" s="2" t="s">
        <v>1472</v>
      </c>
      <c r="C221" s="2">
        <v>2</v>
      </c>
      <c r="D221" s="2" t="s">
        <v>1608</v>
      </c>
      <c r="E221" s="2">
        <v>10</v>
      </c>
      <c r="F221" s="2"/>
      <c r="G221" s="2">
        <v>5</v>
      </c>
      <c r="H221" s="2" t="s">
        <v>220</v>
      </c>
      <c r="I221" s="2">
        <f t="shared" si="19"/>
        <v>2004</v>
      </c>
      <c r="J221" s="2" t="s">
        <v>1463</v>
      </c>
      <c r="K221" s="2">
        <f t="shared" si="20"/>
        <v>2017</v>
      </c>
      <c r="L221" s="2" t="s">
        <v>1468</v>
      </c>
      <c r="M221" s="2">
        <f t="shared" si="21"/>
        <v>2002</v>
      </c>
      <c r="N221" s="2" t="s">
        <v>1487</v>
      </c>
      <c r="O221" s="2"/>
      <c r="P221" s="2" t="s">
        <v>1496</v>
      </c>
      <c r="Q221" s="2" t="s">
        <v>1496</v>
      </c>
      <c r="R221" s="2"/>
      <c r="S221" s="2" t="s">
        <v>1570</v>
      </c>
      <c r="T221" s="2">
        <v>1005</v>
      </c>
      <c r="V221" s="36" t="s">
        <v>1597</v>
      </c>
      <c r="X221" s="1" t="s">
        <v>1603</v>
      </c>
      <c r="Y221" s="1">
        <v>1</v>
      </c>
    </row>
    <row r="222" spans="1:25" x14ac:dyDescent="0.3">
      <c r="A222" s="2">
        <v>1101</v>
      </c>
      <c r="B222" s="2" t="s">
        <v>1496</v>
      </c>
      <c r="C222" s="2">
        <v>2</v>
      </c>
      <c r="D222" s="2" t="s">
        <v>1609</v>
      </c>
      <c r="E222" s="2">
        <v>11</v>
      </c>
      <c r="F222" s="2"/>
      <c r="G222" s="2">
        <v>6</v>
      </c>
      <c r="H222" s="2" t="s">
        <v>1610</v>
      </c>
      <c r="I222" s="2">
        <f t="shared" si="19"/>
        <v>2004</v>
      </c>
      <c r="J222" s="2" t="s">
        <v>1463</v>
      </c>
      <c r="K222" s="2">
        <f t="shared" si="20"/>
        <v>2017</v>
      </c>
      <c r="L222" s="2" t="s">
        <v>1468</v>
      </c>
      <c r="M222" s="2">
        <f t="shared" si="21"/>
        <v>2002</v>
      </c>
      <c r="N222" s="2" t="s">
        <v>1487</v>
      </c>
      <c r="O222" s="2"/>
      <c r="P222" s="2" t="s">
        <v>1490</v>
      </c>
      <c r="Q222" s="2" t="s">
        <v>1490</v>
      </c>
      <c r="R222" s="2"/>
      <c r="S222" s="2" t="s">
        <v>1567</v>
      </c>
      <c r="T222" s="2">
        <v>1006</v>
      </c>
      <c r="V222" s="36" t="s">
        <v>1468</v>
      </c>
      <c r="X222" s="1" t="s">
        <v>1596</v>
      </c>
      <c r="Y222" s="1">
        <v>2</v>
      </c>
    </row>
    <row r="223" spans="1:25" x14ac:dyDescent="0.3">
      <c r="A223" s="2">
        <v>1201</v>
      </c>
      <c r="B223" s="2" t="s">
        <v>1481</v>
      </c>
      <c r="C223" s="2">
        <v>2</v>
      </c>
      <c r="D223" s="2" t="s">
        <v>1611</v>
      </c>
      <c r="E223" s="2">
        <v>12</v>
      </c>
      <c r="F223" s="2"/>
      <c r="G223" s="2"/>
      <c r="H223" s="2"/>
      <c r="I223" s="2"/>
      <c r="J223" s="2"/>
      <c r="K223" s="2"/>
      <c r="L223" s="2"/>
      <c r="M223" s="2"/>
      <c r="N223" s="2"/>
      <c r="O223" s="2"/>
      <c r="P223" s="2" t="s">
        <v>1487</v>
      </c>
      <c r="Q223" s="2" t="s">
        <v>1487</v>
      </c>
      <c r="R223" s="2"/>
      <c r="S223" s="2" t="s">
        <v>1433</v>
      </c>
      <c r="T223" s="2">
        <v>1007</v>
      </c>
      <c r="V223" s="36" t="s">
        <v>1468</v>
      </c>
      <c r="X223" s="1" t="s">
        <v>1463</v>
      </c>
      <c r="Y223" s="1">
        <v>2</v>
      </c>
    </row>
    <row r="224" spans="1:25" ht="15.75" x14ac:dyDescent="0.3">
      <c r="A224" s="2">
        <v>1301</v>
      </c>
      <c r="B224" s="2" t="s">
        <v>1598</v>
      </c>
      <c r="C224" s="2">
        <v>2</v>
      </c>
      <c r="D224" s="2" t="s">
        <v>1612</v>
      </c>
      <c r="E224" s="2">
        <v>13</v>
      </c>
      <c r="F224" s="2"/>
      <c r="G224" s="2"/>
      <c r="H224" s="2"/>
      <c r="I224" s="2"/>
      <c r="J224" s="2"/>
      <c r="K224" s="2"/>
      <c r="L224" s="2"/>
      <c r="M224" s="2"/>
      <c r="N224" s="2"/>
      <c r="O224" s="2"/>
      <c r="P224" s="2" t="s">
        <v>1613</v>
      </c>
      <c r="Q224" s="2"/>
      <c r="R224" s="2"/>
      <c r="S224" s="2" t="s">
        <v>1415</v>
      </c>
      <c r="T224" s="2">
        <v>1008</v>
      </c>
      <c r="V224" s="36" t="s">
        <v>1603</v>
      </c>
      <c r="X224"/>
      <c r="Y224"/>
    </row>
    <row r="225" spans="1:25" ht="15.75" x14ac:dyDescent="0.3">
      <c r="A225" s="2">
        <v>1401</v>
      </c>
      <c r="B225" s="2" t="s">
        <v>1479</v>
      </c>
      <c r="C225" s="2">
        <v>2</v>
      </c>
      <c r="D225" s="2" t="s">
        <v>1614</v>
      </c>
      <c r="E225" s="2">
        <v>14</v>
      </c>
      <c r="F225" s="2"/>
      <c r="G225" s="2"/>
      <c r="H225" s="2"/>
      <c r="I225" s="2"/>
      <c r="J225" s="2"/>
      <c r="K225" s="2"/>
      <c r="L225" s="2"/>
      <c r="M225" s="2"/>
      <c r="N225" s="2"/>
      <c r="O225" s="2"/>
      <c r="P225" s="2" t="s">
        <v>1597</v>
      </c>
      <c r="Q225" s="2"/>
      <c r="R225" s="2"/>
      <c r="S225" s="2" t="s">
        <v>1418</v>
      </c>
      <c r="T225" s="2">
        <v>1009</v>
      </c>
      <c r="V225" s="36" t="s">
        <v>1596</v>
      </c>
      <c r="X225"/>
      <c r="Y225"/>
    </row>
    <row r="226" spans="1:25" ht="15.75" x14ac:dyDescent="0.3">
      <c r="A226" s="2">
        <v>1701</v>
      </c>
      <c r="B226" s="116" t="s">
        <v>1596</v>
      </c>
      <c r="C226" s="2">
        <v>2</v>
      </c>
      <c r="D226" s="2" t="s">
        <v>1615</v>
      </c>
      <c r="E226" s="2">
        <v>17</v>
      </c>
      <c r="F226" s="2"/>
      <c r="G226" s="2"/>
      <c r="H226" s="2"/>
      <c r="I226" s="2"/>
      <c r="J226" s="2"/>
      <c r="K226" s="2"/>
      <c r="L226" s="2"/>
      <c r="M226" s="2"/>
      <c r="N226" s="2"/>
      <c r="O226" s="2"/>
      <c r="P226" s="2" t="s">
        <v>1603</v>
      </c>
      <c r="Q226" s="2"/>
      <c r="R226" s="2"/>
      <c r="S226" s="2" t="s">
        <v>1490</v>
      </c>
      <c r="T226" s="2">
        <v>2001</v>
      </c>
      <c r="V226" s="36" t="s">
        <v>1596</v>
      </c>
      <c r="X226"/>
      <c r="Y226"/>
    </row>
    <row r="227" spans="1:25" ht="15.75" x14ac:dyDescent="0.3">
      <c r="A227" s="2">
        <v>1801</v>
      </c>
      <c r="B227" s="2" t="s">
        <v>1468</v>
      </c>
      <c r="C227" s="2">
        <v>2</v>
      </c>
      <c r="D227" s="2" t="s">
        <v>1616</v>
      </c>
      <c r="E227" s="2">
        <v>18</v>
      </c>
      <c r="F227" s="2"/>
      <c r="G227" s="2"/>
      <c r="H227" s="2"/>
      <c r="I227" s="2"/>
      <c r="J227" s="2"/>
      <c r="K227" s="2"/>
      <c r="L227" s="2"/>
      <c r="M227" s="2"/>
      <c r="N227" s="2"/>
      <c r="O227" s="2"/>
      <c r="P227" s="2" t="s">
        <v>1460</v>
      </c>
      <c r="Q227" s="2" t="s">
        <v>1460</v>
      </c>
      <c r="R227" s="2"/>
      <c r="S227" s="2" t="s">
        <v>1487</v>
      </c>
      <c r="T227" s="2">
        <v>2002</v>
      </c>
      <c r="V227" s="36" t="s">
        <v>1463</v>
      </c>
      <c r="X227"/>
      <c r="Y227"/>
    </row>
    <row r="228" spans="1:25" ht="15.75" x14ac:dyDescent="0.3">
      <c r="A228" s="2">
        <v>1901</v>
      </c>
      <c r="B228" s="2" t="s">
        <v>1499</v>
      </c>
      <c r="C228" s="2">
        <v>2</v>
      </c>
      <c r="D228" s="2" t="s">
        <v>1617</v>
      </c>
      <c r="E228" s="2">
        <v>19</v>
      </c>
      <c r="F228" s="2"/>
      <c r="G228" s="2"/>
      <c r="H228" s="2"/>
      <c r="I228" s="2"/>
      <c r="J228" s="2"/>
      <c r="K228" s="2"/>
      <c r="L228" s="2"/>
      <c r="M228" s="2"/>
      <c r="N228" s="2"/>
      <c r="O228" s="2"/>
      <c r="P228" s="2" t="s">
        <v>1602</v>
      </c>
      <c r="Q228" s="2"/>
      <c r="R228" s="2"/>
      <c r="S228" s="2" t="s">
        <v>1460</v>
      </c>
      <c r="T228" s="2">
        <v>2003</v>
      </c>
      <c r="V228" s="36" t="s">
        <v>1463</v>
      </c>
      <c r="X228"/>
      <c r="Y228"/>
    </row>
    <row r="229" spans="1:25" x14ac:dyDescent="0.3">
      <c r="A229" s="2">
        <v>2001</v>
      </c>
      <c r="B229" s="116" t="s">
        <v>1599</v>
      </c>
      <c r="C229" s="2">
        <v>2</v>
      </c>
      <c r="D229" s="2" t="s">
        <v>1618</v>
      </c>
      <c r="E229" s="2">
        <v>20</v>
      </c>
      <c r="F229" s="2"/>
      <c r="G229" s="2"/>
      <c r="H229" s="2"/>
      <c r="I229" s="2"/>
      <c r="J229" s="2"/>
      <c r="K229" s="2"/>
      <c r="L229" s="2"/>
      <c r="M229" s="2"/>
      <c r="N229" s="2"/>
      <c r="O229" s="2"/>
      <c r="P229" s="2" t="s">
        <v>1481</v>
      </c>
      <c r="Q229" s="2" t="s">
        <v>1481</v>
      </c>
      <c r="R229" s="2"/>
      <c r="S229" s="2" t="s">
        <v>1463</v>
      </c>
      <c r="T229" s="2">
        <v>2004</v>
      </c>
    </row>
    <row r="230" spans="1:25" x14ac:dyDescent="0.3">
      <c r="A230" s="2">
        <v>2201</v>
      </c>
      <c r="B230" s="2" t="s">
        <v>1603</v>
      </c>
      <c r="C230" s="2">
        <v>2</v>
      </c>
      <c r="D230" s="2" t="s">
        <v>1619</v>
      </c>
      <c r="E230" s="2">
        <v>22</v>
      </c>
      <c r="F230" s="2"/>
      <c r="G230" s="2"/>
      <c r="H230" s="2"/>
      <c r="I230" s="2"/>
      <c r="J230" s="2"/>
      <c r="K230" s="2"/>
      <c r="L230" s="2"/>
      <c r="M230" s="2"/>
      <c r="N230" s="2"/>
      <c r="O230" s="2"/>
      <c r="P230" s="2" t="s">
        <v>1472</v>
      </c>
      <c r="Q230" s="2" t="s">
        <v>1472</v>
      </c>
      <c r="R230" s="2"/>
      <c r="S230" s="2" t="s">
        <v>1472</v>
      </c>
      <c r="T230" s="2">
        <v>2005</v>
      </c>
    </row>
    <row r="231" spans="1:25" x14ac:dyDescent="0.3">
      <c r="A231" s="2">
        <v>2301</v>
      </c>
      <c r="B231" s="2" t="s">
        <v>1613</v>
      </c>
      <c r="C231" s="2">
        <v>2</v>
      </c>
      <c r="D231" s="2" t="s">
        <v>1620</v>
      </c>
      <c r="E231" s="2">
        <v>23</v>
      </c>
      <c r="F231" s="2"/>
      <c r="G231" s="2"/>
      <c r="H231" s="2"/>
      <c r="I231" s="2"/>
      <c r="J231" s="2"/>
      <c r="K231" s="2"/>
      <c r="L231" s="2"/>
      <c r="M231" s="2"/>
      <c r="N231" s="2"/>
      <c r="O231" s="2"/>
      <c r="P231" s="2" t="s">
        <v>1479</v>
      </c>
      <c r="Q231" s="2" t="s">
        <v>1479</v>
      </c>
      <c r="R231" s="2"/>
      <c r="S231" s="2" t="s">
        <v>1496</v>
      </c>
      <c r="T231" s="2">
        <v>2006</v>
      </c>
    </row>
    <row r="232" spans="1:25" x14ac:dyDescent="0.3">
      <c r="A232" s="2">
        <v>2401</v>
      </c>
      <c r="B232" s="2" t="s">
        <v>1602</v>
      </c>
      <c r="C232" s="2">
        <v>2</v>
      </c>
      <c r="D232" s="2" t="s">
        <v>1621</v>
      </c>
      <c r="E232" s="2">
        <v>24</v>
      </c>
      <c r="F232" s="2"/>
      <c r="G232" s="2"/>
      <c r="H232" s="2"/>
      <c r="I232" s="2"/>
      <c r="J232" s="2"/>
      <c r="K232" s="2"/>
      <c r="L232" s="2"/>
      <c r="M232" s="2"/>
      <c r="N232" s="2"/>
      <c r="O232" s="2"/>
      <c r="P232" s="2" t="s">
        <v>1468</v>
      </c>
      <c r="Q232" s="2" t="s">
        <v>1468</v>
      </c>
      <c r="R232" s="2"/>
      <c r="S232" s="2" t="s">
        <v>1481</v>
      </c>
      <c r="T232" s="2">
        <v>2007</v>
      </c>
    </row>
    <row r="233" spans="1:25" x14ac:dyDescent="0.3">
      <c r="A233" s="2">
        <v>2601</v>
      </c>
      <c r="B233" s="2" t="s">
        <v>1597</v>
      </c>
      <c r="C233" s="2">
        <v>2</v>
      </c>
      <c r="D233" s="2" t="s">
        <v>1622</v>
      </c>
      <c r="E233" s="2">
        <v>26</v>
      </c>
      <c r="F233" s="2"/>
      <c r="G233" s="2"/>
      <c r="H233" s="2"/>
      <c r="I233" s="2"/>
      <c r="J233" s="2"/>
      <c r="K233" s="2"/>
      <c r="L233" s="2"/>
      <c r="M233" s="2"/>
      <c r="N233" s="2"/>
      <c r="O233" s="2"/>
      <c r="P233" s="2" t="s">
        <v>1599</v>
      </c>
      <c r="Q233" s="2"/>
      <c r="R233" s="2"/>
      <c r="S233" s="2" t="s">
        <v>1598</v>
      </c>
      <c r="T233" s="2">
        <v>2008</v>
      </c>
    </row>
    <row r="234" spans="1:25" x14ac:dyDescent="0.3">
      <c r="A234" s="2">
        <v>101</v>
      </c>
      <c r="B234" s="2" t="s">
        <v>1568</v>
      </c>
      <c r="C234" s="2">
        <v>1</v>
      </c>
      <c r="D234" s="2" t="s">
        <v>1623</v>
      </c>
      <c r="E234" s="2">
        <v>1</v>
      </c>
      <c r="F234" s="2"/>
      <c r="G234" s="2"/>
      <c r="H234" s="2"/>
      <c r="I234" s="2"/>
      <c r="J234" s="2"/>
      <c r="K234" s="2"/>
      <c r="L234" s="2"/>
      <c r="M234" s="2"/>
      <c r="N234" s="2"/>
      <c r="O234" s="2"/>
      <c r="P234" s="2"/>
      <c r="Q234" s="2"/>
      <c r="R234" s="2"/>
      <c r="S234" s="2" t="s">
        <v>1479</v>
      </c>
      <c r="T234" s="2">
        <v>2009</v>
      </c>
    </row>
    <row r="235" spans="1:25" x14ac:dyDescent="0.3">
      <c r="A235" s="2">
        <v>201</v>
      </c>
      <c r="B235" s="2" t="s">
        <v>1409</v>
      </c>
      <c r="C235" s="2">
        <v>1</v>
      </c>
      <c r="D235" s="2" t="s">
        <v>1624</v>
      </c>
      <c r="E235" s="2">
        <v>2</v>
      </c>
      <c r="F235" s="2"/>
      <c r="G235" s="2"/>
      <c r="H235" s="2"/>
      <c r="I235" s="2"/>
      <c r="J235" s="2"/>
      <c r="K235" s="2"/>
      <c r="L235" s="2"/>
      <c r="M235" s="2"/>
      <c r="N235" s="2"/>
      <c r="O235" s="2"/>
      <c r="P235" s="2"/>
      <c r="Q235" s="2"/>
      <c r="R235" s="2"/>
      <c r="S235" s="2" t="s">
        <v>1596</v>
      </c>
      <c r="T235" s="2">
        <v>2010</v>
      </c>
    </row>
    <row r="236" spans="1:25" x14ac:dyDescent="0.3">
      <c r="A236" s="2">
        <v>301</v>
      </c>
      <c r="B236" s="2" t="s">
        <v>1569</v>
      </c>
      <c r="C236" s="2">
        <v>1</v>
      </c>
      <c r="D236" s="2" t="s">
        <v>1625</v>
      </c>
      <c r="E236" s="2">
        <v>3</v>
      </c>
      <c r="F236" s="2"/>
      <c r="G236" s="2"/>
      <c r="H236" s="2"/>
      <c r="I236" s="2"/>
      <c r="J236" s="2"/>
      <c r="K236" s="2"/>
      <c r="L236" s="2"/>
      <c r="M236" s="2"/>
      <c r="N236" s="2"/>
      <c r="O236" s="2"/>
      <c r="P236" s="2"/>
      <c r="Q236" s="2"/>
      <c r="R236" s="2"/>
      <c r="S236" s="2" t="s">
        <v>1499</v>
      </c>
      <c r="T236" s="2">
        <v>2011</v>
      </c>
    </row>
    <row r="237" spans="1:25" x14ac:dyDescent="0.3">
      <c r="A237" s="2">
        <v>401</v>
      </c>
      <c r="B237" s="2" t="s">
        <v>1437</v>
      </c>
      <c r="C237" s="2">
        <v>1</v>
      </c>
      <c r="D237" s="2" t="s">
        <v>1626</v>
      </c>
      <c r="E237" s="2">
        <v>4</v>
      </c>
      <c r="F237" s="2"/>
      <c r="G237" s="2"/>
      <c r="H237" s="2"/>
      <c r="I237" s="2"/>
      <c r="J237" s="2"/>
      <c r="K237" s="2"/>
      <c r="L237" s="2"/>
      <c r="M237" s="2"/>
      <c r="N237" s="2"/>
      <c r="O237" s="2"/>
      <c r="P237" s="2"/>
      <c r="Q237" s="2"/>
      <c r="R237" s="2"/>
      <c r="S237" s="2" t="s">
        <v>1599</v>
      </c>
      <c r="T237" s="2">
        <v>2012</v>
      </c>
    </row>
    <row r="238" spans="1:25" x14ac:dyDescent="0.3">
      <c r="A238" s="2">
        <v>701</v>
      </c>
      <c r="B238" s="2" t="s">
        <v>1570</v>
      </c>
      <c r="C238" s="2">
        <v>1</v>
      </c>
      <c r="D238" s="2" t="s">
        <v>1627</v>
      </c>
      <c r="E238" s="2">
        <v>7</v>
      </c>
      <c r="F238" s="2"/>
      <c r="G238" s="2"/>
      <c r="H238" s="2"/>
      <c r="I238" s="2"/>
      <c r="J238" s="2"/>
      <c r="K238" s="2"/>
      <c r="L238" s="2"/>
      <c r="M238" s="2"/>
      <c r="N238" s="2"/>
      <c r="O238" s="2"/>
      <c r="P238" s="2"/>
      <c r="Q238" s="2"/>
      <c r="R238" s="2"/>
      <c r="S238" s="2" t="s">
        <v>1603</v>
      </c>
      <c r="T238" s="2">
        <v>2013</v>
      </c>
    </row>
    <row r="239" spans="1:25" x14ac:dyDescent="0.3">
      <c r="A239" s="2">
        <v>1501</v>
      </c>
      <c r="B239" s="2" t="s">
        <v>1567</v>
      </c>
      <c r="C239" s="2">
        <v>1</v>
      </c>
      <c r="D239" s="2" t="s">
        <v>1628</v>
      </c>
      <c r="E239" s="2">
        <v>15</v>
      </c>
      <c r="F239" s="2"/>
      <c r="G239" s="2"/>
      <c r="H239" s="2"/>
      <c r="I239" s="2"/>
      <c r="J239" s="2"/>
      <c r="K239" s="2"/>
      <c r="L239" s="2"/>
      <c r="M239" s="2"/>
      <c r="N239" s="2"/>
      <c r="O239" s="2"/>
      <c r="P239" s="2"/>
      <c r="Q239" s="2"/>
      <c r="R239" s="2"/>
      <c r="S239" s="2" t="s">
        <v>1613</v>
      </c>
      <c r="T239" s="2">
        <v>2014</v>
      </c>
    </row>
    <row r="240" spans="1:25" x14ac:dyDescent="0.3">
      <c r="A240" s="2">
        <v>1601</v>
      </c>
      <c r="B240" s="2" t="s">
        <v>1433</v>
      </c>
      <c r="C240" s="2">
        <v>1</v>
      </c>
      <c r="D240" s="2" t="s">
        <v>1629</v>
      </c>
      <c r="E240" s="2">
        <v>16</v>
      </c>
      <c r="F240" s="2"/>
      <c r="G240" s="2"/>
      <c r="H240" s="2"/>
      <c r="I240" s="2"/>
      <c r="J240" s="2"/>
      <c r="K240" s="2"/>
      <c r="L240" s="2"/>
      <c r="M240" s="2"/>
      <c r="N240" s="2"/>
      <c r="O240" s="2"/>
      <c r="P240" s="2"/>
      <c r="Q240" s="2"/>
      <c r="R240" s="2"/>
      <c r="S240" s="2" t="s">
        <v>1602</v>
      </c>
      <c r="T240" s="2">
        <v>2015</v>
      </c>
    </row>
    <row r="241" spans="1:20" x14ac:dyDescent="0.3">
      <c r="A241" s="2">
        <v>2101</v>
      </c>
      <c r="B241" s="2" t="s">
        <v>1415</v>
      </c>
      <c r="C241" s="2">
        <v>1</v>
      </c>
      <c r="D241" s="2" t="s">
        <v>1630</v>
      </c>
      <c r="E241" s="2">
        <v>21</v>
      </c>
      <c r="F241" s="2"/>
      <c r="G241" s="2"/>
      <c r="H241" s="2"/>
      <c r="I241" s="2"/>
      <c r="J241" s="2"/>
      <c r="K241" s="2"/>
      <c r="L241" s="2"/>
      <c r="M241" s="2"/>
      <c r="N241" s="2"/>
      <c r="O241" s="2"/>
      <c r="P241" s="2"/>
      <c r="Q241" s="2"/>
      <c r="R241" s="2"/>
      <c r="S241" s="2" t="s">
        <v>1597</v>
      </c>
      <c r="T241" s="2">
        <v>2016</v>
      </c>
    </row>
    <row r="242" spans="1:20" x14ac:dyDescent="0.3">
      <c r="A242" s="2">
        <v>2501</v>
      </c>
      <c r="B242" s="2" t="s">
        <v>1418</v>
      </c>
      <c r="C242" s="2">
        <v>1</v>
      </c>
      <c r="D242" s="2" t="s">
        <v>1631</v>
      </c>
      <c r="E242" s="2">
        <v>25</v>
      </c>
      <c r="F242" s="2"/>
      <c r="G242" s="2"/>
      <c r="H242" s="2"/>
      <c r="I242" s="2"/>
      <c r="J242" s="2"/>
      <c r="K242" s="2"/>
      <c r="L242" s="2"/>
      <c r="M242" s="2"/>
      <c r="N242" s="2"/>
      <c r="O242" s="2"/>
      <c r="P242" s="2"/>
      <c r="Q242" s="2"/>
      <c r="R242" s="2"/>
      <c r="S242" s="2" t="s">
        <v>1468</v>
      </c>
      <c r="T242" s="2">
        <v>2017</v>
      </c>
    </row>
    <row r="243" spans="1:20" x14ac:dyDescent="0.3">
      <c r="A243" s="2">
        <v>2602</v>
      </c>
      <c r="B243" s="2" t="s">
        <v>1632</v>
      </c>
      <c r="C243" s="2">
        <v>1</v>
      </c>
      <c r="D243" s="2" t="s">
        <v>1633</v>
      </c>
      <c r="E243" s="2">
        <v>26</v>
      </c>
      <c r="F243" s="2"/>
      <c r="G243" s="2"/>
      <c r="H243" s="2"/>
      <c r="I243" s="2"/>
      <c r="J243" s="2"/>
      <c r="K243" s="2"/>
      <c r="L243" s="2"/>
      <c r="M243" s="2"/>
      <c r="N243" s="2"/>
      <c r="O243" s="2"/>
      <c r="P243" s="2"/>
      <c r="Q243" s="2"/>
      <c r="R243" s="2"/>
      <c r="S243" s="2" t="s">
        <v>1632</v>
      </c>
      <c r="T243" s="2">
        <v>3001</v>
      </c>
    </row>
    <row r="246" spans="1:20" x14ac:dyDescent="0.3">
      <c r="A246" s="1" t="s">
        <v>1634</v>
      </c>
      <c r="B246" s="1">
        <v>15</v>
      </c>
    </row>
    <row r="248" spans="1:20" ht="15.75" x14ac:dyDescent="0.3">
      <c r="A248" s="35" t="s">
        <v>1635</v>
      </c>
    </row>
    <row r="249" spans="1:20" x14ac:dyDescent="0.3">
      <c r="A249" s="109" t="s">
        <v>716</v>
      </c>
      <c r="B249" s="109" t="s">
        <v>1073</v>
      </c>
      <c r="C249" s="109" t="s">
        <v>1636</v>
      </c>
      <c r="D249" s="109" t="s">
        <v>728</v>
      </c>
      <c r="E249" s="109" t="s">
        <v>1637</v>
      </c>
      <c r="F249" s="109" t="s">
        <v>1638</v>
      </c>
      <c r="G249" s="109" t="s">
        <v>1639</v>
      </c>
      <c r="H249" s="109" t="s">
        <v>1640</v>
      </c>
      <c r="I249" s="109" t="s">
        <v>1641</v>
      </c>
      <c r="J249" s="109" t="s">
        <v>1642</v>
      </c>
      <c r="K249" s="109" t="s">
        <v>1408</v>
      </c>
      <c r="L249" s="109" t="s">
        <v>3764</v>
      </c>
      <c r="M249" s="109" t="s">
        <v>1643</v>
      </c>
      <c r="N249" s="109" t="s">
        <v>3754</v>
      </c>
      <c r="O249" s="109" t="s">
        <v>3755</v>
      </c>
    </row>
    <row r="250" spans="1:20" x14ac:dyDescent="0.3">
      <c r="A250" s="1" t="s">
        <v>1437</v>
      </c>
      <c r="B250" s="1">
        <v>1</v>
      </c>
      <c r="C250" s="1">
        <v>4</v>
      </c>
      <c r="D250" s="1" t="str">
        <f>A250&amp;B250</f>
        <v>电锯1</v>
      </c>
      <c r="E250" s="1">
        <v>1.2</v>
      </c>
      <c r="F250" s="1">
        <v>0</v>
      </c>
      <c r="G250" s="1">
        <v>1</v>
      </c>
      <c r="H250" s="1">
        <f>E250*100</f>
        <v>120</v>
      </c>
      <c r="K250" s="36" t="s">
        <v>1626</v>
      </c>
      <c r="L250" s="124">
        <v>15</v>
      </c>
      <c r="M250" s="1">
        <v>2</v>
      </c>
      <c r="N250" s="130">
        <f>IF(G250=1,(($B$246/L250+1)*M250*E250*100)/(100*$B$246),(($B$246/L250+1)*M250*F250*100)/(100*$B$246))</f>
        <v>0.32</v>
      </c>
      <c r="O250" s="130"/>
      <c r="P250" s="1" t="str">
        <f t="shared" ref="P250:P281" si="22">IF(AND(I250="",J250=""),"["&amp;H250&amp;"]",IF(J250="","["&amp;H250&amp;","&amp;I250&amp;"]","["&amp;H250&amp;","&amp;I250&amp;","&amp;J250&amp;"]"))</f>
        <v>[120]</v>
      </c>
      <c r="R250" s="1" t="s">
        <v>1644</v>
      </c>
      <c r="S250" s="1">
        <f>L250*1000</f>
        <v>15000</v>
      </c>
    </row>
    <row r="251" spans="1:20" x14ac:dyDescent="0.3">
      <c r="A251" s="1" t="s">
        <v>1437</v>
      </c>
      <c r="B251" s="1">
        <v>2</v>
      </c>
      <c r="C251" s="1">
        <v>4</v>
      </c>
      <c r="D251" s="1" t="str">
        <f t="shared" ref="D251:D291" si="23">A251&amp;B251</f>
        <v>电锯2</v>
      </c>
      <c r="E251" s="1">
        <v>1.5</v>
      </c>
      <c r="F251" s="1">
        <v>0</v>
      </c>
      <c r="G251" s="1">
        <v>1</v>
      </c>
      <c r="H251" s="1">
        <f t="shared" ref="H251:H256" si="24">E251*100</f>
        <v>150</v>
      </c>
      <c r="K251" s="36" t="s">
        <v>1626</v>
      </c>
      <c r="L251" s="124">
        <v>15</v>
      </c>
      <c r="M251" s="1">
        <v>2</v>
      </c>
      <c r="N251" s="130">
        <f t="shared" ref="N251:N291" si="25">IF(G251=1,(($B$246/L251+1)*M251*E251*100)/(100*$B$246),(($B$246/L251+1)*M251*F251*100)/(100*$B$246))</f>
        <v>0.4</v>
      </c>
      <c r="O251" s="130"/>
      <c r="P251" s="1" t="str">
        <f t="shared" si="22"/>
        <v>[150]</v>
      </c>
      <c r="R251" s="1" t="s">
        <v>1644</v>
      </c>
      <c r="S251" s="1">
        <f t="shared" ref="S251:S314" si="26">L251*1000</f>
        <v>15000</v>
      </c>
    </row>
    <row r="252" spans="1:20" x14ac:dyDescent="0.3">
      <c r="A252" s="1" t="s">
        <v>1437</v>
      </c>
      <c r="B252" s="1">
        <v>3</v>
      </c>
      <c r="C252" s="1">
        <v>4</v>
      </c>
      <c r="D252" s="1" t="str">
        <f t="shared" si="23"/>
        <v>电锯3</v>
      </c>
      <c r="E252" s="1">
        <v>1.7</v>
      </c>
      <c r="F252" s="1">
        <v>0</v>
      </c>
      <c r="G252" s="1">
        <v>1</v>
      </c>
      <c r="H252" s="1">
        <f t="shared" si="24"/>
        <v>170</v>
      </c>
      <c r="K252" s="36" t="s">
        <v>1626</v>
      </c>
      <c r="L252" s="124">
        <v>15</v>
      </c>
      <c r="M252" s="1">
        <v>2</v>
      </c>
      <c r="N252" s="130">
        <f t="shared" si="25"/>
        <v>0.45333333333333331</v>
      </c>
      <c r="O252" s="130"/>
      <c r="P252" s="1" t="str">
        <f t="shared" si="22"/>
        <v>[170]</v>
      </c>
      <c r="R252" s="1" t="s">
        <v>1644</v>
      </c>
      <c r="S252" s="1">
        <f t="shared" si="26"/>
        <v>15000</v>
      </c>
    </row>
    <row r="253" spans="1:20" x14ac:dyDescent="0.3">
      <c r="A253" s="1" t="s">
        <v>1437</v>
      </c>
      <c r="B253" s="1">
        <v>4</v>
      </c>
      <c r="C253" s="1">
        <v>4</v>
      </c>
      <c r="D253" s="1" t="str">
        <f t="shared" si="23"/>
        <v>电锯4</v>
      </c>
      <c r="E253" s="1">
        <v>1.8</v>
      </c>
      <c r="F253" s="1">
        <v>0</v>
      </c>
      <c r="G253" s="1">
        <v>1</v>
      </c>
      <c r="H253" s="1">
        <f t="shared" si="24"/>
        <v>180</v>
      </c>
      <c r="K253" s="36" t="s">
        <v>1626</v>
      </c>
      <c r="L253" s="124">
        <v>15</v>
      </c>
      <c r="M253" s="1">
        <v>2</v>
      </c>
      <c r="N253" s="130">
        <f t="shared" si="25"/>
        <v>0.48</v>
      </c>
      <c r="O253" s="130"/>
      <c r="P253" s="1" t="str">
        <f t="shared" si="22"/>
        <v>[180]</v>
      </c>
      <c r="R253" s="1" t="s">
        <v>1644</v>
      </c>
      <c r="S253" s="1">
        <f t="shared" si="26"/>
        <v>15000</v>
      </c>
    </row>
    <row r="254" spans="1:20" x14ac:dyDescent="0.3">
      <c r="A254" s="1" t="s">
        <v>1437</v>
      </c>
      <c r="B254" s="1">
        <v>5</v>
      </c>
      <c r="C254" s="1">
        <v>4</v>
      </c>
      <c r="D254" s="1" t="str">
        <f t="shared" si="23"/>
        <v>电锯5</v>
      </c>
      <c r="E254" s="1">
        <v>1.9</v>
      </c>
      <c r="F254" s="1">
        <v>0</v>
      </c>
      <c r="G254" s="1">
        <v>1</v>
      </c>
      <c r="H254" s="1">
        <f t="shared" si="24"/>
        <v>190</v>
      </c>
      <c r="K254" s="36" t="s">
        <v>1626</v>
      </c>
      <c r="L254" s="124">
        <v>15</v>
      </c>
      <c r="M254" s="1">
        <v>2</v>
      </c>
      <c r="N254" s="130">
        <f t="shared" si="25"/>
        <v>0.50666666666666671</v>
      </c>
      <c r="O254" s="130"/>
      <c r="P254" s="1" t="str">
        <f t="shared" si="22"/>
        <v>[190]</v>
      </c>
      <c r="R254" s="1" t="s">
        <v>1644</v>
      </c>
      <c r="S254" s="1">
        <f t="shared" si="26"/>
        <v>15000</v>
      </c>
    </row>
    <row r="255" spans="1:20" x14ac:dyDescent="0.3">
      <c r="A255" s="1" t="s">
        <v>1437</v>
      </c>
      <c r="B255" s="1">
        <v>6</v>
      </c>
      <c r="C255" s="1">
        <v>4</v>
      </c>
      <c r="D255" s="1" t="str">
        <f t="shared" si="23"/>
        <v>电锯6</v>
      </c>
      <c r="E255" s="1">
        <v>2</v>
      </c>
      <c r="F255" s="1">
        <v>0</v>
      </c>
      <c r="G255" s="1">
        <v>1</v>
      </c>
      <c r="H255" s="1">
        <f t="shared" si="24"/>
        <v>200</v>
      </c>
      <c r="K255" s="36" t="s">
        <v>1626</v>
      </c>
      <c r="L255" s="124">
        <v>15</v>
      </c>
      <c r="M255" s="1">
        <v>2</v>
      </c>
      <c r="N255" s="130">
        <f t="shared" si="25"/>
        <v>0.53333333333333333</v>
      </c>
      <c r="O255" s="130"/>
      <c r="P255" s="1" t="str">
        <f t="shared" si="22"/>
        <v>[200]</v>
      </c>
      <c r="R255" s="1" t="s">
        <v>1644</v>
      </c>
      <c r="S255" s="1">
        <f t="shared" si="26"/>
        <v>15000</v>
      </c>
    </row>
    <row r="256" spans="1:20" x14ac:dyDescent="0.3">
      <c r="A256" s="1" t="s">
        <v>1437</v>
      </c>
      <c r="B256" s="1">
        <v>7</v>
      </c>
      <c r="C256" s="1">
        <v>4</v>
      </c>
      <c r="D256" s="1" t="str">
        <f t="shared" si="23"/>
        <v>电锯7</v>
      </c>
      <c r="E256" s="1">
        <v>2.1</v>
      </c>
      <c r="F256" s="1">
        <v>0</v>
      </c>
      <c r="G256" s="1">
        <v>1</v>
      </c>
      <c r="H256" s="1">
        <f t="shared" si="24"/>
        <v>210</v>
      </c>
      <c r="K256" s="36" t="s">
        <v>1626</v>
      </c>
      <c r="L256" s="124">
        <v>15</v>
      </c>
      <c r="M256" s="1">
        <v>2</v>
      </c>
      <c r="N256" s="130">
        <f t="shared" si="25"/>
        <v>0.56000000000000005</v>
      </c>
      <c r="O256" s="130"/>
      <c r="P256" s="1" t="str">
        <f t="shared" si="22"/>
        <v>[210]</v>
      </c>
      <c r="R256" s="1" t="s">
        <v>1644</v>
      </c>
      <c r="S256" s="1">
        <f t="shared" si="26"/>
        <v>15000</v>
      </c>
    </row>
    <row r="257" spans="1:19" x14ac:dyDescent="0.3">
      <c r="A257" s="1" t="s">
        <v>1418</v>
      </c>
      <c r="B257" s="1">
        <v>1</v>
      </c>
      <c r="C257" s="1">
        <v>9</v>
      </c>
      <c r="D257" s="1" t="str">
        <f t="shared" si="23"/>
        <v>天火导弹1</v>
      </c>
      <c r="E257" s="1">
        <v>1.2</v>
      </c>
      <c r="F257" s="1">
        <v>1</v>
      </c>
      <c r="G257" s="1">
        <v>1</v>
      </c>
      <c r="H257" s="1">
        <v>3</v>
      </c>
      <c r="I257" s="1">
        <v>3</v>
      </c>
      <c r="J257" s="1">
        <f>E257*100</f>
        <v>120</v>
      </c>
      <c r="K257" s="36" t="s">
        <v>1645</v>
      </c>
      <c r="L257" s="139">
        <v>40</v>
      </c>
      <c r="M257" s="1">
        <v>3</v>
      </c>
      <c r="N257" s="130">
        <f t="shared" si="25"/>
        <v>0.33</v>
      </c>
      <c r="O257" s="130"/>
      <c r="P257" s="1" t="str">
        <f t="shared" si="22"/>
        <v>[3,3,120]</v>
      </c>
      <c r="R257" s="1" t="s">
        <v>1646</v>
      </c>
      <c r="S257" s="1">
        <f t="shared" si="26"/>
        <v>40000</v>
      </c>
    </row>
    <row r="258" spans="1:19" x14ac:dyDescent="0.3">
      <c r="A258" s="1" t="s">
        <v>1418</v>
      </c>
      <c r="B258" s="1">
        <v>2</v>
      </c>
      <c r="C258" s="1">
        <v>9</v>
      </c>
      <c r="D258" s="1" t="str">
        <f t="shared" si="23"/>
        <v>天火导弹2</v>
      </c>
      <c r="E258" s="1">
        <v>1.5</v>
      </c>
      <c r="F258" s="1">
        <v>1</v>
      </c>
      <c r="G258" s="1">
        <v>1</v>
      </c>
      <c r="H258" s="1">
        <v>3</v>
      </c>
      <c r="I258" s="1">
        <v>3</v>
      </c>
      <c r="J258" s="1">
        <f t="shared" ref="J258:J263" si="27">E258*100</f>
        <v>150</v>
      </c>
      <c r="K258" s="36" t="s">
        <v>1645</v>
      </c>
      <c r="L258" s="139">
        <v>40</v>
      </c>
      <c r="M258" s="1">
        <v>3</v>
      </c>
      <c r="N258" s="130">
        <f t="shared" si="25"/>
        <v>0.41249999999999998</v>
      </c>
      <c r="O258" s="130"/>
      <c r="P258" s="1" t="str">
        <f t="shared" si="22"/>
        <v>[3,3,150]</v>
      </c>
      <c r="R258" s="1" t="s">
        <v>1646</v>
      </c>
      <c r="S258" s="1">
        <f t="shared" si="26"/>
        <v>40000</v>
      </c>
    </row>
    <row r="259" spans="1:19" x14ac:dyDescent="0.3">
      <c r="A259" s="1" t="s">
        <v>1418</v>
      </c>
      <c r="B259" s="1">
        <v>3</v>
      </c>
      <c r="C259" s="1">
        <v>9</v>
      </c>
      <c r="D259" s="1" t="str">
        <f t="shared" si="23"/>
        <v>天火导弹3</v>
      </c>
      <c r="E259" s="1">
        <v>1.8</v>
      </c>
      <c r="F259" s="1">
        <v>1</v>
      </c>
      <c r="G259" s="1">
        <v>1</v>
      </c>
      <c r="H259" s="1">
        <v>3</v>
      </c>
      <c r="I259" s="1">
        <v>3</v>
      </c>
      <c r="J259" s="1">
        <f t="shared" si="27"/>
        <v>180</v>
      </c>
      <c r="K259" s="36" t="s">
        <v>1645</v>
      </c>
      <c r="L259" s="139">
        <v>40</v>
      </c>
      <c r="M259" s="1">
        <v>3</v>
      </c>
      <c r="N259" s="130">
        <f t="shared" si="25"/>
        <v>0.495</v>
      </c>
      <c r="O259" s="130"/>
      <c r="P259" s="1" t="str">
        <f t="shared" si="22"/>
        <v>[3,3,180]</v>
      </c>
      <c r="R259" s="1" t="s">
        <v>1646</v>
      </c>
      <c r="S259" s="1">
        <f t="shared" si="26"/>
        <v>40000</v>
      </c>
    </row>
    <row r="260" spans="1:19" x14ac:dyDescent="0.3">
      <c r="A260" s="1" t="s">
        <v>1418</v>
      </c>
      <c r="B260" s="1">
        <v>4</v>
      </c>
      <c r="C260" s="1">
        <v>9</v>
      </c>
      <c r="D260" s="1" t="str">
        <f t="shared" si="23"/>
        <v>天火导弹4</v>
      </c>
      <c r="E260" s="1">
        <v>2.1</v>
      </c>
      <c r="F260" s="1">
        <v>1</v>
      </c>
      <c r="G260" s="1">
        <v>1</v>
      </c>
      <c r="H260" s="1">
        <v>3</v>
      </c>
      <c r="I260" s="1">
        <v>3</v>
      </c>
      <c r="J260" s="1">
        <f t="shared" si="27"/>
        <v>210</v>
      </c>
      <c r="K260" s="36" t="s">
        <v>1645</v>
      </c>
      <c r="L260" s="139">
        <v>40</v>
      </c>
      <c r="M260" s="1">
        <v>3</v>
      </c>
      <c r="N260" s="130">
        <f t="shared" si="25"/>
        <v>0.57750000000000001</v>
      </c>
      <c r="O260" s="130"/>
      <c r="P260" s="1" t="str">
        <f t="shared" si="22"/>
        <v>[3,3,210]</v>
      </c>
      <c r="R260" s="1" t="s">
        <v>1646</v>
      </c>
      <c r="S260" s="1">
        <f t="shared" si="26"/>
        <v>40000</v>
      </c>
    </row>
    <row r="261" spans="1:19" x14ac:dyDescent="0.3">
      <c r="A261" s="1" t="s">
        <v>1418</v>
      </c>
      <c r="B261" s="1">
        <v>5</v>
      </c>
      <c r="C261" s="1">
        <v>9</v>
      </c>
      <c r="D261" s="1" t="str">
        <f t="shared" si="23"/>
        <v>天火导弹5</v>
      </c>
      <c r="E261" s="1">
        <v>2.2000000000000002</v>
      </c>
      <c r="F261" s="1">
        <v>1</v>
      </c>
      <c r="G261" s="1">
        <v>1</v>
      </c>
      <c r="H261" s="1">
        <v>3</v>
      </c>
      <c r="I261" s="1">
        <v>3</v>
      </c>
      <c r="J261" s="1">
        <f t="shared" si="27"/>
        <v>220.00000000000003</v>
      </c>
      <c r="K261" s="36" t="s">
        <v>1645</v>
      </c>
      <c r="L261" s="139">
        <v>40</v>
      </c>
      <c r="M261" s="1">
        <v>3</v>
      </c>
      <c r="N261" s="130">
        <f t="shared" si="25"/>
        <v>0.60500000000000009</v>
      </c>
      <c r="O261" s="130"/>
      <c r="P261" s="1" t="str">
        <f t="shared" si="22"/>
        <v>[3,3,220]</v>
      </c>
      <c r="R261" s="1" t="s">
        <v>1646</v>
      </c>
      <c r="S261" s="1">
        <f t="shared" si="26"/>
        <v>40000</v>
      </c>
    </row>
    <row r="262" spans="1:19" x14ac:dyDescent="0.3">
      <c r="A262" s="1" t="s">
        <v>1418</v>
      </c>
      <c r="B262" s="1">
        <v>6</v>
      </c>
      <c r="C262" s="1">
        <v>9</v>
      </c>
      <c r="D262" s="1" t="str">
        <f t="shared" si="23"/>
        <v>天火导弹6</v>
      </c>
      <c r="E262" s="1">
        <v>2.2999999999999998</v>
      </c>
      <c r="F262" s="1">
        <v>1</v>
      </c>
      <c r="G262" s="1">
        <v>1</v>
      </c>
      <c r="H262" s="1">
        <v>3</v>
      </c>
      <c r="I262" s="1">
        <v>3</v>
      </c>
      <c r="J262" s="1">
        <f t="shared" si="27"/>
        <v>229.99999999999997</v>
      </c>
      <c r="K262" s="36" t="s">
        <v>1645</v>
      </c>
      <c r="L262" s="139">
        <v>40</v>
      </c>
      <c r="M262" s="1">
        <v>3</v>
      </c>
      <c r="N262" s="130">
        <f t="shared" si="25"/>
        <v>0.63249999999999995</v>
      </c>
      <c r="O262" s="130"/>
      <c r="P262" s="1" t="str">
        <f t="shared" si="22"/>
        <v>[3,3,230]</v>
      </c>
      <c r="R262" s="1" t="s">
        <v>1646</v>
      </c>
      <c r="S262" s="1">
        <f t="shared" si="26"/>
        <v>40000</v>
      </c>
    </row>
    <row r="263" spans="1:19" x14ac:dyDescent="0.3">
      <c r="A263" s="1" t="s">
        <v>1418</v>
      </c>
      <c r="B263" s="1">
        <v>7</v>
      </c>
      <c r="C263" s="1">
        <v>9</v>
      </c>
      <c r="D263" s="1" t="str">
        <f t="shared" si="23"/>
        <v>天火导弹7</v>
      </c>
      <c r="E263" s="1">
        <v>2.4</v>
      </c>
      <c r="F263" s="1">
        <v>1</v>
      </c>
      <c r="G263" s="1">
        <v>1</v>
      </c>
      <c r="H263" s="1">
        <v>3</v>
      </c>
      <c r="I263" s="1">
        <v>3</v>
      </c>
      <c r="J263" s="1">
        <f t="shared" si="27"/>
        <v>240</v>
      </c>
      <c r="K263" s="36" t="s">
        <v>1645</v>
      </c>
      <c r="L263" s="139">
        <v>40</v>
      </c>
      <c r="M263" s="1">
        <v>3</v>
      </c>
      <c r="N263" s="130">
        <f t="shared" si="25"/>
        <v>0.66</v>
      </c>
      <c r="O263" s="130"/>
      <c r="P263" s="1" t="str">
        <f t="shared" si="22"/>
        <v>[3,3,240]</v>
      </c>
      <c r="R263" s="1" t="s">
        <v>1646</v>
      </c>
      <c r="S263" s="1">
        <f t="shared" si="26"/>
        <v>40000</v>
      </c>
    </row>
    <row r="264" spans="1:19" x14ac:dyDescent="0.3">
      <c r="A264" s="1" t="s">
        <v>1433</v>
      </c>
      <c r="B264" s="1">
        <v>1</v>
      </c>
      <c r="C264" s="1">
        <v>7</v>
      </c>
      <c r="D264" s="1" t="str">
        <f t="shared" si="23"/>
        <v>微型导弹1</v>
      </c>
      <c r="E264" s="1">
        <v>0.4</v>
      </c>
      <c r="F264" s="1">
        <v>0</v>
      </c>
      <c r="G264" s="1">
        <v>1</v>
      </c>
      <c r="H264" s="1">
        <f>E264*100</f>
        <v>40</v>
      </c>
      <c r="K264" s="36" t="s">
        <v>1629</v>
      </c>
      <c r="L264" s="124">
        <v>15</v>
      </c>
      <c r="M264" s="1">
        <v>4</v>
      </c>
      <c r="N264" s="130">
        <f t="shared" si="25"/>
        <v>0.21333333333333335</v>
      </c>
      <c r="O264" s="130"/>
      <c r="P264" s="1" t="str">
        <f t="shared" si="22"/>
        <v>[40]</v>
      </c>
      <c r="R264" s="1" t="s">
        <v>1647</v>
      </c>
      <c r="S264" s="1">
        <f t="shared" si="26"/>
        <v>15000</v>
      </c>
    </row>
    <row r="265" spans="1:19" x14ac:dyDescent="0.3">
      <c r="A265" s="1" t="s">
        <v>1433</v>
      </c>
      <c r="B265" s="1">
        <v>2</v>
      </c>
      <c r="C265" s="1">
        <v>7</v>
      </c>
      <c r="D265" s="1" t="str">
        <f t="shared" si="23"/>
        <v>微型导弹2</v>
      </c>
      <c r="E265" s="1">
        <v>0.7</v>
      </c>
      <c r="F265" s="1">
        <v>0</v>
      </c>
      <c r="G265" s="1">
        <v>1</v>
      </c>
      <c r="H265" s="1">
        <f t="shared" ref="H265:H271" si="28">E265*100</f>
        <v>70</v>
      </c>
      <c r="K265" s="36" t="s">
        <v>1629</v>
      </c>
      <c r="L265" s="124">
        <v>15</v>
      </c>
      <c r="M265" s="1">
        <v>4</v>
      </c>
      <c r="N265" s="130">
        <f t="shared" si="25"/>
        <v>0.37333333333333335</v>
      </c>
      <c r="O265" s="130"/>
      <c r="P265" s="1" t="str">
        <f t="shared" si="22"/>
        <v>[70]</v>
      </c>
      <c r="R265" s="1" t="s">
        <v>1647</v>
      </c>
      <c r="S265" s="1">
        <f t="shared" si="26"/>
        <v>15000</v>
      </c>
    </row>
    <row r="266" spans="1:19" x14ac:dyDescent="0.3">
      <c r="A266" s="1" t="s">
        <v>1433</v>
      </c>
      <c r="B266" s="1">
        <v>3</v>
      </c>
      <c r="C266" s="1">
        <v>7</v>
      </c>
      <c r="D266" s="1" t="str">
        <f t="shared" si="23"/>
        <v>微型导弹3</v>
      </c>
      <c r="E266" s="1">
        <v>0.8</v>
      </c>
      <c r="F266" s="1">
        <v>0</v>
      </c>
      <c r="G266" s="1">
        <v>1</v>
      </c>
      <c r="H266" s="1">
        <f t="shared" si="28"/>
        <v>80</v>
      </c>
      <c r="K266" s="36" t="s">
        <v>1629</v>
      </c>
      <c r="L266" s="124">
        <v>15</v>
      </c>
      <c r="M266" s="1">
        <v>4</v>
      </c>
      <c r="N266" s="130">
        <f t="shared" si="25"/>
        <v>0.42666666666666669</v>
      </c>
      <c r="O266" s="130"/>
      <c r="P266" s="1" t="str">
        <f t="shared" si="22"/>
        <v>[80]</v>
      </c>
      <c r="R266" s="1" t="s">
        <v>1647</v>
      </c>
      <c r="S266" s="1">
        <f t="shared" si="26"/>
        <v>15000</v>
      </c>
    </row>
    <row r="267" spans="1:19" x14ac:dyDescent="0.3">
      <c r="A267" s="1" t="s">
        <v>1433</v>
      </c>
      <c r="B267" s="1">
        <v>4</v>
      </c>
      <c r="C267" s="1">
        <v>7</v>
      </c>
      <c r="D267" s="1" t="str">
        <f t="shared" si="23"/>
        <v>微型导弹4</v>
      </c>
      <c r="E267" s="1">
        <v>0.9</v>
      </c>
      <c r="F267" s="1">
        <v>0</v>
      </c>
      <c r="G267" s="1">
        <v>1</v>
      </c>
      <c r="H267" s="1">
        <f t="shared" si="28"/>
        <v>90</v>
      </c>
      <c r="K267" s="36" t="s">
        <v>1629</v>
      </c>
      <c r="L267" s="124">
        <v>15</v>
      </c>
      <c r="M267" s="1">
        <v>4</v>
      </c>
      <c r="N267" s="130">
        <f t="shared" si="25"/>
        <v>0.48</v>
      </c>
      <c r="O267" s="130"/>
      <c r="P267" s="1" t="str">
        <f t="shared" si="22"/>
        <v>[90]</v>
      </c>
      <c r="R267" s="1" t="s">
        <v>1647</v>
      </c>
      <c r="S267" s="1">
        <f t="shared" si="26"/>
        <v>15000</v>
      </c>
    </row>
    <row r="268" spans="1:19" x14ac:dyDescent="0.3">
      <c r="A268" s="1" t="s">
        <v>1433</v>
      </c>
      <c r="B268" s="1">
        <v>5</v>
      </c>
      <c r="C268" s="1">
        <v>7</v>
      </c>
      <c r="D268" s="1" t="str">
        <f t="shared" si="23"/>
        <v>微型导弹5</v>
      </c>
      <c r="E268" s="1">
        <v>1</v>
      </c>
      <c r="F268" s="1">
        <v>0</v>
      </c>
      <c r="G268" s="1">
        <v>1</v>
      </c>
      <c r="H268" s="1">
        <f t="shared" si="28"/>
        <v>100</v>
      </c>
      <c r="K268" s="36" t="s">
        <v>1629</v>
      </c>
      <c r="L268" s="124">
        <v>15</v>
      </c>
      <c r="M268" s="1">
        <v>4</v>
      </c>
      <c r="N268" s="130">
        <f t="shared" si="25"/>
        <v>0.53333333333333333</v>
      </c>
      <c r="O268" s="130"/>
      <c r="P268" s="1" t="str">
        <f t="shared" si="22"/>
        <v>[100]</v>
      </c>
      <c r="R268" s="1" t="s">
        <v>1647</v>
      </c>
      <c r="S268" s="1">
        <f t="shared" si="26"/>
        <v>15000</v>
      </c>
    </row>
    <row r="269" spans="1:19" x14ac:dyDescent="0.3">
      <c r="A269" s="1" t="s">
        <v>1433</v>
      </c>
      <c r="B269" s="1">
        <v>6</v>
      </c>
      <c r="C269" s="1">
        <v>7</v>
      </c>
      <c r="D269" s="1" t="str">
        <f t="shared" si="23"/>
        <v>微型导弹6</v>
      </c>
      <c r="E269" s="1">
        <v>1.1000000000000001</v>
      </c>
      <c r="F269" s="1">
        <v>0</v>
      </c>
      <c r="G269" s="1">
        <v>1</v>
      </c>
      <c r="H269" s="1">
        <f t="shared" si="28"/>
        <v>110.00000000000001</v>
      </c>
      <c r="K269" s="36" t="s">
        <v>1629</v>
      </c>
      <c r="L269" s="124">
        <v>15</v>
      </c>
      <c r="M269" s="1">
        <v>4</v>
      </c>
      <c r="N269" s="130">
        <f t="shared" si="25"/>
        <v>0.58666666666666678</v>
      </c>
      <c r="O269" s="130"/>
      <c r="P269" s="1" t="str">
        <f t="shared" si="22"/>
        <v>[110]</v>
      </c>
      <c r="R269" s="1" t="s">
        <v>1647</v>
      </c>
      <c r="S269" s="1">
        <f t="shared" si="26"/>
        <v>15000</v>
      </c>
    </row>
    <row r="270" spans="1:19" x14ac:dyDescent="0.3">
      <c r="A270" s="1" t="s">
        <v>1433</v>
      </c>
      <c r="B270" s="1">
        <v>7</v>
      </c>
      <c r="C270" s="1">
        <v>7</v>
      </c>
      <c r="D270" s="1" t="str">
        <f t="shared" si="23"/>
        <v>微型导弹7</v>
      </c>
      <c r="E270" s="1">
        <v>1.2</v>
      </c>
      <c r="F270" s="1">
        <v>0</v>
      </c>
      <c r="G270" s="1">
        <v>1</v>
      </c>
      <c r="H270" s="1">
        <f t="shared" si="28"/>
        <v>120</v>
      </c>
      <c r="K270" s="36" t="s">
        <v>1629</v>
      </c>
      <c r="L270" s="124">
        <v>15</v>
      </c>
      <c r="M270" s="1">
        <v>4</v>
      </c>
      <c r="N270" s="130">
        <f t="shared" si="25"/>
        <v>0.64</v>
      </c>
      <c r="O270" s="130"/>
      <c r="P270" s="1" t="str">
        <f t="shared" si="22"/>
        <v>[120]</v>
      </c>
      <c r="R270" s="1" t="s">
        <v>1647</v>
      </c>
      <c r="S270" s="1">
        <f t="shared" si="26"/>
        <v>15000</v>
      </c>
    </row>
    <row r="271" spans="1:19" x14ac:dyDescent="0.3">
      <c r="A271" s="1" t="s">
        <v>1568</v>
      </c>
      <c r="B271" s="1">
        <v>1</v>
      </c>
      <c r="C271" s="1">
        <v>1</v>
      </c>
      <c r="D271" s="1" t="str">
        <f t="shared" si="23"/>
        <v>炸药桶1</v>
      </c>
      <c r="E271" s="1">
        <v>0.8</v>
      </c>
      <c r="F271" s="1">
        <v>0</v>
      </c>
      <c r="G271" s="1">
        <v>1</v>
      </c>
      <c r="H271" s="1">
        <f t="shared" si="28"/>
        <v>80</v>
      </c>
      <c r="K271" s="36" t="s">
        <v>1623</v>
      </c>
      <c r="L271" s="124">
        <v>5</v>
      </c>
      <c r="M271" s="1">
        <v>2</v>
      </c>
      <c r="N271" s="130">
        <f t="shared" si="25"/>
        <v>0.42666666666666669</v>
      </c>
      <c r="O271" s="130"/>
      <c r="P271" s="1" t="str">
        <f t="shared" si="22"/>
        <v>[80]</v>
      </c>
      <c r="R271" s="1" t="s">
        <v>1648</v>
      </c>
      <c r="S271" s="1">
        <f t="shared" si="26"/>
        <v>5000</v>
      </c>
    </row>
    <row r="272" spans="1:19" x14ac:dyDescent="0.3">
      <c r="A272" s="1" t="s">
        <v>1568</v>
      </c>
      <c r="B272" s="1">
        <v>2</v>
      </c>
      <c r="C272" s="1">
        <v>1</v>
      </c>
      <c r="D272" s="1" t="str">
        <f t="shared" si="23"/>
        <v>炸药桶2</v>
      </c>
      <c r="E272" s="1">
        <v>1</v>
      </c>
      <c r="F272" s="1">
        <v>0</v>
      </c>
      <c r="G272" s="1">
        <v>1</v>
      </c>
      <c r="H272" s="1">
        <f t="shared" ref="H272:H278" si="29">E272*100</f>
        <v>100</v>
      </c>
      <c r="K272" s="36" t="s">
        <v>1623</v>
      </c>
      <c r="L272" s="124">
        <v>5</v>
      </c>
      <c r="M272" s="1">
        <v>2</v>
      </c>
      <c r="N272" s="130">
        <f t="shared" si="25"/>
        <v>0.53333333333333333</v>
      </c>
      <c r="O272" s="130"/>
      <c r="P272" s="1" t="str">
        <f t="shared" si="22"/>
        <v>[100]</v>
      </c>
      <c r="R272" s="1" t="s">
        <v>1648</v>
      </c>
      <c r="S272" s="1">
        <f t="shared" si="26"/>
        <v>5000</v>
      </c>
    </row>
    <row r="273" spans="1:19" x14ac:dyDescent="0.3">
      <c r="A273" s="1" t="s">
        <v>1568</v>
      </c>
      <c r="B273" s="1">
        <v>3</v>
      </c>
      <c r="C273" s="1">
        <v>1</v>
      </c>
      <c r="D273" s="1" t="str">
        <f t="shared" si="23"/>
        <v>炸药桶3</v>
      </c>
      <c r="E273" s="1">
        <v>1.2</v>
      </c>
      <c r="F273" s="1">
        <v>0</v>
      </c>
      <c r="G273" s="1">
        <v>1</v>
      </c>
      <c r="H273" s="1">
        <f t="shared" si="29"/>
        <v>120</v>
      </c>
      <c r="K273" s="36" t="s">
        <v>1623</v>
      </c>
      <c r="L273" s="124">
        <v>5</v>
      </c>
      <c r="M273" s="1">
        <v>2</v>
      </c>
      <c r="N273" s="130">
        <f t="shared" si="25"/>
        <v>0.64</v>
      </c>
      <c r="O273" s="130"/>
      <c r="P273" s="1" t="str">
        <f t="shared" si="22"/>
        <v>[120]</v>
      </c>
      <c r="R273" s="1" t="s">
        <v>1648</v>
      </c>
      <c r="S273" s="1">
        <f t="shared" si="26"/>
        <v>5000</v>
      </c>
    </row>
    <row r="274" spans="1:19" x14ac:dyDescent="0.3">
      <c r="A274" s="1" t="s">
        <v>1568</v>
      </c>
      <c r="B274" s="1">
        <v>4</v>
      </c>
      <c r="C274" s="1">
        <v>1</v>
      </c>
      <c r="D274" s="1" t="str">
        <f t="shared" si="23"/>
        <v>炸药桶4</v>
      </c>
      <c r="E274" s="1">
        <v>1.3</v>
      </c>
      <c r="F274" s="1">
        <v>0</v>
      </c>
      <c r="G274" s="1">
        <v>1</v>
      </c>
      <c r="H274" s="1">
        <f t="shared" si="29"/>
        <v>130</v>
      </c>
      <c r="K274" s="36" t="s">
        <v>1623</v>
      </c>
      <c r="L274" s="124">
        <v>5</v>
      </c>
      <c r="M274" s="1">
        <v>2</v>
      </c>
      <c r="N274" s="130">
        <f t="shared" si="25"/>
        <v>0.69333333333333336</v>
      </c>
      <c r="O274" s="130"/>
      <c r="P274" s="1" t="str">
        <f t="shared" si="22"/>
        <v>[130]</v>
      </c>
      <c r="R274" s="1" t="s">
        <v>1648</v>
      </c>
      <c r="S274" s="1">
        <f t="shared" si="26"/>
        <v>5000</v>
      </c>
    </row>
    <row r="275" spans="1:19" x14ac:dyDescent="0.3">
      <c r="A275" s="1" t="s">
        <v>1568</v>
      </c>
      <c r="B275" s="1">
        <v>5</v>
      </c>
      <c r="C275" s="1">
        <v>1</v>
      </c>
      <c r="D275" s="1" t="str">
        <f t="shared" si="23"/>
        <v>炸药桶5</v>
      </c>
      <c r="E275" s="1">
        <v>1.4</v>
      </c>
      <c r="F275" s="1">
        <v>0</v>
      </c>
      <c r="G275" s="1">
        <v>1</v>
      </c>
      <c r="H275" s="1">
        <f t="shared" si="29"/>
        <v>140</v>
      </c>
      <c r="K275" s="36" t="s">
        <v>1623</v>
      </c>
      <c r="L275" s="124">
        <v>5</v>
      </c>
      <c r="M275" s="1">
        <v>2</v>
      </c>
      <c r="N275" s="130">
        <f t="shared" si="25"/>
        <v>0.7466666666666667</v>
      </c>
      <c r="O275" s="130"/>
      <c r="P275" s="1" t="str">
        <f t="shared" si="22"/>
        <v>[140]</v>
      </c>
      <c r="R275" s="1" t="s">
        <v>1648</v>
      </c>
      <c r="S275" s="1">
        <f>L275*1000</f>
        <v>5000</v>
      </c>
    </row>
    <row r="276" spans="1:19" x14ac:dyDescent="0.3">
      <c r="A276" s="1" t="s">
        <v>1568</v>
      </c>
      <c r="B276" s="1">
        <v>6</v>
      </c>
      <c r="C276" s="1">
        <v>1</v>
      </c>
      <c r="D276" s="1" t="str">
        <f t="shared" si="23"/>
        <v>炸药桶6</v>
      </c>
      <c r="E276" s="1">
        <v>1.5</v>
      </c>
      <c r="F276" s="1">
        <v>0</v>
      </c>
      <c r="G276" s="1">
        <v>1</v>
      </c>
      <c r="H276" s="1">
        <f t="shared" si="29"/>
        <v>150</v>
      </c>
      <c r="K276" s="36" t="s">
        <v>1623</v>
      </c>
      <c r="L276" s="124">
        <v>5</v>
      </c>
      <c r="M276" s="1">
        <v>2</v>
      </c>
      <c r="N276" s="130">
        <f t="shared" si="25"/>
        <v>0.8</v>
      </c>
      <c r="O276" s="130"/>
      <c r="P276" s="1" t="str">
        <f t="shared" si="22"/>
        <v>[150]</v>
      </c>
      <c r="R276" s="1" t="s">
        <v>1648</v>
      </c>
      <c r="S276" s="1">
        <f t="shared" si="26"/>
        <v>5000</v>
      </c>
    </row>
    <row r="277" spans="1:19" x14ac:dyDescent="0.3">
      <c r="A277" s="1" t="s">
        <v>1568</v>
      </c>
      <c r="B277" s="1">
        <v>7</v>
      </c>
      <c r="C277" s="1">
        <v>1</v>
      </c>
      <c r="D277" s="1" t="str">
        <f t="shared" si="23"/>
        <v>炸药桶7</v>
      </c>
      <c r="E277" s="1">
        <v>1.6</v>
      </c>
      <c r="F277" s="1">
        <v>0</v>
      </c>
      <c r="G277" s="1">
        <v>1</v>
      </c>
      <c r="H277" s="1">
        <f t="shared" si="29"/>
        <v>160</v>
      </c>
      <c r="K277" s="36" t="s">
        <v>1623</v>
      </c>
      <c r="L277" s="124">
        <v>5</v>
      </c>
      <c r="M277" s="1">
        <v>2</v>
      </c>
      <c r="N277" s="130">
        <f t="shared" si="25"/>
        <v>0.85333333333333339</v>
      </c>
      <c r="O277" s="130"/>
      <c r="P277" s="1" t="str">
        <f t="shared" si="22"/>
        <v>[160]</v>
      </c>
      <c r="R277" s="1" t="s">
        <v>1648</v>
      </c>
      <c r="S277" s="1">
        <f t="shared" si="26"/>
        <v>5000</v>
      </c>
    </row>
    <row r="278" spans="1:19" x14ac:dyDescent="0.3">
      <c r="A278" s="1" t="s">
        <v>1569</v>
      </c>
      <c r="B278" s="1">
        <v>1</v>
      </c>
      <c r="C278" s="1">
        <v>3</v>
      </c>
      <c r="D278" s="1" t="str">
        <f t="shared" si="23"/>
        <v>战术链1</v>
      </c>
      <c r="E278" s="1">
        <v>0.03</v>
      </c>
      <c r="F278" s="1">
        <v>0.2</v>
      </c>
      <c r="G278" s="1">
        <v>2</v>
      </c>
      <c r="H278" s="1">
        <f t="shared" si="29"/>
        <v>3</v>
      </c>
      <c r="I278" s="1">
        <f>F278*100</f>
        <v>20</v>
      </c>
      <c r="J278" s="1">
        <v>7</v>
      </c>
      <c r="K278" s="36" t="s">
        <v>1625</v>
      </c>
      <c r="L278" s="124">
        <v>7</v>
      </c>
      <c r="M278" s="1">
        <v>7</v>
      </c>
      <c r="N278" s="130">
        <f t="shared" si="25"/>
        <v>0.29333333333333339</v>
      </c>
      <c r="O278" s="130">
        <f t="shared" ref="O278:O284" si="30">IF(G278=1,(($B$246/L278+1)*M278*E278*100)/(100*$B$246),(($B$246/L278+1)*M278*E278*100)/(100*$B$246))</f>
        <v>4.3999999999999991E-2</v>
      </c>
      <c r="P278" s="1" t="str">
        <f t="shared" si="22"/>
        <v>[3,20,7]</v>
      </c>
      <c r="R278" s="1" t="s">
        <v>1649</v>
      </c>
      <c r="S278" s="1">
        <f t="shared" si="26"/>
        <v>7000</v>
      </c>
    </row>
    <row r="279" spans="1:19" x14ac:dyDescent="0.3">
      <c r="A279" s="1" t="s">
        <v>1569</v>
      </c>
      <c r="B279" s="1">
        <v>2</v>
      </c>
      <c r="C279" s="1">
        <v>3</v>
      </c>
      <c r="D279" s="1" t="str">
        <f t="shared" si="23"/>
        <v>战术链2</v>
      </c>
      <c r="E279" s="1">
        <v>0.04</v>
      </c>
      <c r="F279" s="1">
        <v>0.4</v>
      </c>
      <c r="G279" s="1">
        <v>2</v>
      </c>
      <c r="H279" s="1">
        <f t="shared" ref="H279:I291" si="31">E279*100</f>
        <v>4</v>
      </c>
      <c r="I279" s="1">
        <f t="shared" si="31"/>
        <v>40</v>
      </c>
      <c r="J279" s="1">
        <v>7</v>
      </c>
      <c r="K279" s="36" t="s">
        <v>1625</v>
      </c>
      <c r="L279" s="124">
        <v>7</v>
      </c>
      <c r="M279" s="1">
        <v>7</v>
      </c>
      <c r="N279" s="130">
        <f t="shared" si="25"/>
        <v>0.58666666666666678</v>
      </c>
      <c r="O279" s="130">
        <f t="shared" si="30"/>
        <v>5.8666666666666666E-2</v>
      </c>
      <c r="P279" s="1" t="str">
        <f t="shared" si="22"/>
        <v>[4,40,7]</v>
      </c>
      <c r="R279" s="1" t="s">
        <v>1649</v>
      </c>
      <c r="S279" s="1">
        <f t="shared" si="26"/>
        <v>7000</v>
      </c>
    </row>
    <row r="280" spans="1:19" x14ac:dyDescent="0.3">
      <c r="A280" s="1" t="s">
        <v>1569</v>
      </c>
      <c r="B280" s="1">
        <v>3</v>
      </c>
      <c r="C280" s="1">
        <v>3</v>
      </c>
      <c r="D280" s="1" t="str">
        <f t="shared" si="23"/>
        <v>战术链3</v>
      </c>
      <c r="E280" s="1">
        <v>0.05</v>
      </c>
      <c r="F280" s="1">
        <v>0.6</v>
      </c>
      <c r="G280" s="1">
        <v>2</v>
      </c>
      <c r="H280" s="1">
        <f t="shared" si="31"/>
        <v>5</v>
      </c>
      <c r="I280" s="1">
        <f t="shared" si="31"/>
        <v>60</v>
      </c>
      <c r="J280" s="1">
        <v>7</v>
      </c>
      <c r="K280" s="36" t="s">
        <v>1625</v>
      </c>
      <c r="L280" s="124">
        <v>7</v>
      </c>
      <c r="M280" s="1">
        <v>7</v>
      </c>
      <c r="N280" s="130">
        <f t="shared" si="25"/>
        <v>0.88</v>
      </c>
      <c r="O280" s="130">
        <f t="shared" si="30"/>
        <v>7.3333333333333348E-2</v>
      </c>
      <c r="P280" s="1" t="str">
        <f t="shared" si="22"/>
        <v>[5,60,7]</v>
      </c>
      <c r="R280" s="1" t="s">
        <v>1649</v>
      </c>
      <c r="S280" s="1">
        <f t="shared" si="26"/>
        <v>7000</v>
      </c>
    </row>
    <row r="281" spans="1:19" x14ac:dyDescent="0.3">
      <c r="A281" s="1" t="s">
        <v>1569</v>
      </c>
      <c r="B281" s="1">
        <v>4</v>
      </c>
      <c r="C281" s="1">
        <v>3</v>
      </c>
      <c r="D281" s="1" t="str">
        <f t="shared" si="23"/>
        <v>战术链4</v>
      </c>
      <c r="E281" s="1">
        <v>0.06</v>
      </c>
      <c r="F281" s="1">
        <v>0.7</v>
      </c>
      <c r="G281" s="1">
        <v>2</v>
      </c>
      <c r="H281" s="1">
        <f t="shared" si="31"/>
        <v>6</v>
      </c>
      <c r="I281" s="1">
        <f t="shared" si="31"/>
        <v>70</v>
      </c>
      <c r="J281" s="1">
        <v>7</v>
      </c>
      <c r="K281" s="36" t="s">
        <v>1625</v>
      </c>
      <c r="L281" s="124">
        <v>7</v>
      </c>
      <c r="M281" s="1">
        <v>7</v>
      </c>
      <c r="N281" s="130">
        <f t="shared" si="25"/>
        <v>1.0266666666666666</v>
      </c>
      <c r="O281" s="130">
        <f t="shared" si="30"/>
        <v>8.7999999999999981E-2</v>
      </c>
      <c r="P281" s="1" t="str">
        <f t="shared" si="22"/>
        <v>[6,70,7]</v>
      </c>
      <c r="R281" s="1" t="s">
        <v>1649</v>
      </c>
      <c r="S281" s="1">
        <f t="shared" si="26"/>
        <v>7000</v>
      </c>
    </row>
    <row r="282" spans="1:19" x14ac:dyDescent="0.3">
      <c r="A282" s="1" t="s">
        <v>1569</v>
      </c>
      <c r="B282" s="1">
        <v>5</v>
      </c>
      <c r="C282" s="1">
        <v>3</v>
      </c>
      <c r="D282" s="1" t="str">
        <f t="shared" si="23"/>
        <v>战术链5</v>
      </c>
      <c r="E282" s="1">
        <v>7.0000000000000007E-2</v>
      </c>
      <c r="F282" s="1">
        <v>0.8</v>
      </c>
      <c r="G282" s="1">
        <v>2</v>
      </c>
      <c r="H282" s="1">
        <f t="shared" si="31"/>
        <v>7.0000000000000009</v>
      </c>
      <c r="I282" s="1">
        <f t="shared" si="31"/>
        <v>80</v>
      </c>
      <c r="J282" s="1">
        <v>7</v>
      </c>
      <c r="K282" s="36" t="s">
        <v>1625</v>
      </c>
      <c r="L282" s="124">
        <v>7</v>
      </c>
      <c r="M282" s="1">
        <v>7</v>
      </c>
      <c r="N282" s="130">
        <f t="shared" si="25"/>
        <v>1.1733333333333336</v>
      </c>
      <c r="O282" s="130">
        <f t="shared" si="30"/>
        <v>0.10266666666666667</v>
      </c>
      <c r="P282" s="1" t="str">
        <f t="shared" ref="P282:P305" si="32">IF(AND(I282="",J282=""),"["&amp;H282&amp;"]",IF(J282="","["&amp;H282&amp;","&amp;I282&amp;"]","["&amp;H282&amp;","&amp;I282&amp;","&amp;J282&amp;"]"))</f>
        <v>[7,80,7]</v>
      </c>
      <c r="R282" s="1" t="s">
        <v>1649</v>
      </c>
      <c r="S282" s="1">
        <f t="shared" si="26"/>
        <v>7000</v>
      </c>
    </row>
    <row r="283" spans="1:19" x14ac:dyDescent="0.3">
      <c r="A283" s="1" t="s">
        <v>1569</v>
      </c>
      <c r="B283" s="1">
        <v>6</v>
      </c>
      <c r="C283" s="1">
        <v>3</v>
      </c>
      <c r="D283" s="1" t="str">
        <f t="shared" si="23"/>
        <v>战术链6</v>
      </c>
      <c r="E283" s="1">
        <v>0.08</v>
      </c>
      <c r="F283" s="1">
        <v>0.9</v>
      </c>
      <c r="G283" s="1">
        <v>2</v>
      </c>
      <c r="H283" s="1">
        <f t="shared" si="31"/>
        <v>8</v>
      </c>
      <c r="I283" s="1">
        <f t="shared" si="31"/>
        <v>90</v>
      </c>
      <c r="J283" s="1">
        <v>7</v>
      </c>
      <c r="K283" s="36" t="s">
        <v>1625</v>
      </c>
      <c r="L283" s="124">
        <v>7</v>
      </c>
      <c r="M283" s="1">
        <v>7</v>
      </c>
      <c r="N283" s="130">
        <f t="shared" si="25"/>
        <v>1.32</v>
      </c>
      <c r="O283" s="130">
        <f t="shared" si="30"/>
        <v>0.11733333333333333</v>
      </c>
      <c r="P283" s="1" t="str">
        <f t="shared" si="32"/>
        <v>[8,90,7]</v>
      </c>
      <c r="R283" s="1" t="s">
        <v>1649</v>
      </c>
      <c r="S283" s="1">
        <f t="shared" si="26"/>
        <v>7000</v>
      </c>
    </row>
    <row r="284" spans="1:19" x14ac:dyDescent="0.3">
      <c r="A284" s="1" t="s">
        <v>1569</v>
      </c>
      <c r="B284" s="1">
        <v>7</v>
      </c>
      <c r="C284" s="1">
        <v>3</v>
      </c>
      <c r="D284" s="1" t="str">
        <f t="shared" si="23"/>
        <v>战术链7</v>
      </c>
      <c r="E284" s="1">
        <v>0.09</v>
      </c>
      <c r="F284" s="1">
        <v>1</v>
      </c>
      <c r="G284" s="1">
        <v>2</v>
      </c>
      <c r="H284" s="1">
        <f t="shared" si="31"/>
        <v>9</v>
      </c>
      <c r="I284" s="1">
        <f t="shared" si="31"/>
        <v>100</v>
      </c>
      <c r="J284" s="1">
        <v>7</v>
      </c>
      <c r="K284" s="36" t="s">
        <v>1625</v>
      </c>
      <c r="L284" s="124">
        <v>7</v>
      </c>
      <c r="M284" s="1">
        <v>7</v>
      </c>
      <c r="N284" s="130">
        <f t="shared" si="25"/>
        <v>1.4666666666666666</v>
      </c>
      <c r="O284" s="130">
        <f t="shared" si="30"/>
        <v>0.13200000000000001</v>
      </c>
      <c r="P284" s="1" t="str">
        <f t="shared" si="32"/>
        <v>[9,100,7]</v>
      </c>
      <c r="R284" s="1" t="s">
        <v>1649</v>
      </c>
      <c r="S284" s="1">
        <f t="shared" si="26"/>
        <v>7000</v>
      </c>
    </row>
    <row r="285" spans="1:19" x14ac:dyDescent="0.3">
      <c r="A285" s="1" t="s">
        <v>1415</v>
      </c>
      <c r="B285" s="1">
        <v>1</v>
      </c>
      <c r="C285" s="1">
        <v>8</v>
      </c>
      <c r="D285" s="1" t="str">
        <f t="shared" si="23"/>
        <v>追踪导弹1</v>
      </c>
      <c r="E285" s="1">
        <v>0.3</v>
      </c>
      <c r="F285" s="1">
        <v>0</v>
      </c>
      <c r="G285" s="1">
        <v>1</v>
      </c>
      <c r="H285" s="1">
        <f>E285*100</f>
        <v>30</v>
      </c>
      <c r="K285" s="36" t="s">
        <v>1630</v>
      </c>
      <c r="L285" s="124">
        <v>10</v>
      </c>
      <c r="M285" s="1">
        <v>5</v>
      </c>
      <c r="N285" s="130">
        <f t="shared" si="25"/>
        <v>0.25</v>
      </c>
      <c r="O285" s="130"/>
      <c r="P285" s="1" t="str">
        <f t="shared" si="32"/>
        <v>[30]</v>
      </c>
      <c r="R285" s="1" t="s">
        <v>1650</v>
      </c>
      <c r="S285" s="1">
        <f t="shared" si="26"/>
        <v>10000</v>
      </c>
    </row>
    <row r="286" spans="1:19" x14ac:dyDescent="0.3">
      <c r="A286" s="1" t="s">
        <v>1415</v>
      </c>
      <c r="B286" s="1">
        <v>2</v>
      </c>
      <c r="C286" s="1">
        <v>8</v>
      </c>
      <c r="D286" s="1" t="str">
        <f t="shared" si="23"/>
        <v>追踪导弹2</v>
      </c>
      <c r="E286" s="1">
        <v>0.5</v>
      </c>
      <c r="F286" s="1">
        <v>0</v>
      </c>
      <c r="G286" s="1">
        <v>1</v>
      </c>
      <c r="H286" s="1">
        <f t="shared" si="31"/>
        <v>50</v>
      </c>
      <c r="K286" s="36" t="s">
        <v>1630</v>
      </c>
      <c r="L286" s="124">
        <v>10</v>
      </c>
      <c r="M286" s="1">
        <v>5</v>
      </c>
      <c r="N286" s="130">
        <f t="shared" si="25"/>
        <v>0.41666666666666669</v>
      </c>
      <c r="O286" s="130"/>
      <c r="P286" s="1" t="str">
        <f t="shared" si="32"/>
        <v>[50]</v>
      </c>
      <c r="R286" s="1" t="s">
        <v>1650</v>
      </c>
      <c r="S286" s="1">
        <f t="shared" si="26"/>
        <v>10000</v>
      </c>
    </row>
    <row r="287" spans="1:19" x14ac:dyDescent="0.3">
      <c r="A287" s="1" t="s">
        <v>1415</v>
      </c>
      <c r="B287" s="1">
        <v>3</v>
      </c>
      <c r="C287" s="1">
        <v>8</v>
      </c>
      <c r="D287" s="1" t="str">
        <f t="shared" si="23"/>
        <v>追踪导弹3</v>
      </c>
      <c r="E287" s="1">
        <v>0.6</v>
      </c>
      <c r="F287" s="1">
        <v>0</v>
      </c>
      <c r="G287" s="1">
        <v>1</v>
      </c>
      <c r="H287" s="1">
        <f t="shared" si="31"/>
        <v>60</v>
      </c>
      <c r="K287" s="36" t="s">
        <v>1630</v>
      </c>
      <c r="L287" s="124">
        <v>10</v>
      </c>
      <c r="M287" s="1">
        <v>5</v>
      </c>
      <c r="N287" s="130">
        <f t="shared" si="25"/>
        <v>0.5</v>
      </c>
      <c r="O287" s="130"/>
      <c r="P287" s="1" t="str">
        <f t="shared" si="32"/>
        <v>[60]</v>
      </c>
      <c r="R287" s="1" t="s">
        <v>1650</v>
      </c>
      <c r="S287" s="1">
        <f t="shared" si="26"/>
        <v>10000</v>
      </c>
    </row>
    <row r="288" spans="1:19" x14ac:dyDescent="0.3">
      <c r="A288" s="1" t="s">
        <v>1415</v>
      </c>
      <c r="B288" s="1">
        <v>4</v>
      </c>
      <c r="C288" s="1">
        <v>8</v>
      </c>
      <c r="D288" s="1" t="str">
        <f t="shared" si="23"/>
        <v>追踪导弹4</v>
      </c>
      <c r="E288" s="1">
        <v>0.7</v>
      </c>
      <c r="F288" s="1">
        <v>0</v>
      </c>
      <c r="G288" s="1">
        <v>1</v>
      </c>
      <c r="H288" s="1">
        <f t="shared" si="31"/>
        <v>70</v>
      </c>
      <c r="K288" s="36" t="s">
        <v>1630</v>
      </c>
      <c r="L288" s="124">
        <v>10</v>
      </c>
      <c r="M288" s="1">
        <v>5</v>
      </c>
      <c r="N288" s="130">
        <f t="shared" si="25"/>
        <v>0.58333333333333337</v>
      </c>
      <c r="O288" s="130"/>
      <c r="P288" s="1" t="str">
        <f t="shared" si="32"/>
        <v>[70]</v>
      </c>
      <c r="R288" s="1" t="s">
        <v>1650</v>
      </c>
      <c r="S288" s="1">
        <f t="shared" si="26"/>
        <v>10000</v>
      </c>
    </row>
    <row r="289" spans="1:19" x14ac:dyDescent="0.3">
      <c r="A289" s="1" t="s">
        <v>1415</v>
      </c>
      <c r="B289" s="1">
        <v>5</v>
      </c>
      <c r="C289" s="1">
        <v>8</v>
      </c>
      <c r="D289" s="1" t="str">
        <f t="shared" si="23"/>
        <v>追踪导弹5</v>
      </c>
      <c r="E289" s="1">
        <v>0.8</v>
      </c>
      <c r="F289" s="1">
        <v>0</v>
      </c>
      <c r="G289" s="1">
        <v>1</v>
      </c>
      <c r="H289" s="1">
        <f t="shared" si="31"/>
        <v>80</v>
      </c>
      <c r="K289" s="36" t="s">
        <v>1630</v>
      </c>
      <c r="L289" s="124">
        <v>10</v>
      </c>
      <c r="M289" s="1">
        <v>5</v>
      </c>
      <c r="N289" s="130">
        <f t="shared" si="25"/>
        <v>0.66666666666666663</v>
      </c>
      <c r="O289" s="130"/>
      <c r="P289" s="1" t="str">
        <f t="shared" si="32"/>
        <v>[80]</v>
      </c>
      <c r="R289" s="1" t="s">
        <v>1650</v>
      </c>
      <c r="S289" s="1">
        <f t="shared" si="26"/>
        <v>10000</v>
      </c>
    </row>
    <row r="290" spans="1:19" x14ac:dyDescent="0.3">
      <c r="A290" s="1" t="s">
        <v>1415</v>
      </c>
      <c r="B290" s="1">
        <v>6</v>
      </c>
      <c r="C290" s="1">
        <v>8</v>
      </c>
      <c r="D290" s="1" t="str">
        <f t="shared" si="23"/>
        <v>追踪导弹6</v>
      </c>
      <c r="E290" s="1">
        <v>1</v>
      </c>
      <c r="F290" s="1">
        <v>0</v>
      </c>
      <c r="G290" s="1">
        <v>1</v>
      </c>
      <c r="H290" s="1">
        <f t="shared" si="31"/>
        <v>100</v>
      </c>
      <c r="K290" s="36" t="s">
        <v>1630</v>
      </c>
      <c r="L290" s="124">
        <v>10</v>
      </c>
      <c r="M290" s="1">
        <v>5</v>
      </c>
      <c r="N290" s="130">
        <f t="shared" si="25"/>
        <v>0.83333333333333337</v>
      </c>
      <c r="O290" s="130"/>
      <c r="P290" s="1" t="str">
        <f t="shared" si="32"/>
        <v>[100]</v>
      </c>
      <c r="R290" s="1" t="s">
        <v>1650</v>
      </c>
      <c r="S290" s="1">
        <f t="shared" si="26"/>
        <v>10000</v>
      </c>
    </row>
    <row r="291" spans="1:19" x14ac:dyDescent="0.3">
      <c r="A291" s="1" t="s">
        <v>1415</v>
      </c>
      <c r="B291" s="1">
        <v>7</v>
      </c>
      <c r="C291" s="1">
        <v>8</v>
      </c>
      <c r="D291" s="1" t="str">
        <f t="shared" si="23"/>
        <v>追踪导弹7</v>
      </c>
      <c r="E291" s="1">
        <v>1.1000000000000001</v>
      </c>
      <c r="F291" s="1">
        <v>0</v>
      </c>
      <c r="G291" s="1">
        <v>1</v>
      </c>
      <c r="H291" s="1">
        <f t="shared" si="31"/>
        <v>110.00000000000001</v>
      </c>
      <c r="K291" s="36" t="s">
        <v>1630</v>
      </c>
      <c r="L291" s="124">
        <v>10</v>
      </c>
      <c r="M291" s="1">
        <v>5</v>
      </c>
      <c r="N291" s="130">
        <f t="shared" si="25"/>
        <v>0.91666666666666685</v>
      </c>
      <c r="O291" s="130"/>
      <c r="P291" s="1" t="str">
        <f t="shared" si="32"/>
        <v>[110]</v>
      </c>
      <c r="R291" s="1" t="s">
        <v>1650</v>
      </c>
      <c r="S291" s="1">
        <f t="shared" si="26"/>
        <v>10000</v>
      </c>
    </row>
    <row r="292" spans="1:19" x14ac:dyDescent="0.3">
      <c r="A292" s="270" t="s">
        <v>3750</v>
      </c>
      <c r="B292" s="1">
        <v>1</v>
      </c>
      <c r="C292" s="1">
        <v>31</v>
      </c>
      <c r="D292" s="1" t="str">
        <f t="shared" ref="D292:D340" si="33">A292&amp;B292</f>
        <v>暗雷1</v>
      </c>
      <c r="E292" s="1">
        <v>8</v>
      </c>
      <c r="F292" s="1">
        <v>0</v>
      </c>
      <c r="G292" s="1">
        <v>1</v>
      </c>
      <c r="H292" s="1">
        <v>800</v>
      </c>
      <c r="K292" s="36" t="s">
        <v>3751</v>
      </c>
      <c r="L292" s="124">
        <v>20</v>
      </c>
      <c r="M292" s="1">
        <v>0.5</v>
      </c>
      <c r="N292" s="130">
        <f t="shared" ref="N292:N298" si="34">IF(G292=1,(($B$246/L292+1)*M292*E292*100)/(100*$B$246),(($B$246/L292+1)*M292*F292*100)/(100*$B$246))</f>
        <v>0.46666666666666667</v>
      </c>
      <c r="O292" s="130"/>
      <c r="P292" s="1" t="str">
        <f t="shared" si="32"/>
        <v>[800]</v>
      </c>
      <c r="S292" s="1">
        <f t="shared" si="26"/>
        <v>20000</v>
      </c>
    </row>
    <row r="293" spans="1:19" x14ac:dyDescent="0.3">
      <c r="A293" s="270" t="s">
        <v>3750</v>
      </c>
      <c r="B293" s="1">
        <v>2</v>
      </c>
      <c r="C293" s="1">
        <v>31</v>
      </c>
      <c r="D293" s="1" t="str">
        <f t="shared" si="33"/>
        <v>暗雷2</v>
      </c>
      <c r="E293" s="1">
        <v>9</v>
      </c>
      <c r="F293" s="1">
        <v>0</v>
      </c>
      <c r="G293" s="1">
        <v>1</v>
      </c>
      <c r="H293" s="1">
        <v>900</v>
      </c>
      <c r="K293" s="36" t="s">
        <v>3751</v>
      </c>
      <c r="L293" s="124">
        <v>20</v>
      </c>
      <c r="M293" s="1">
        <v>0.5</v>
      </c>
      <c r="N293" s="130">
        <f t="shared" si="34"/>
        <v>0.52500000000000002</v>
      </c>
      <c r="O293" s="130"/>
      <c r="P293" s="1" t="str">
        <f t="shared" si="32"/>
        <v>[900]</v>
      </c>
      <c r="S293" s="1">
        <f t="shared" si="26"/>
        <v>20000</v>
      </c>
    </row>
    <row r="294" spans="1:19" x14ac:dyDescent="0.3">
      <c r="A294" s="270" t="s">
        <v>3750</v>
      </c>
      <c r="B294" s="1">
        <v>3</v>
      </c>
      <c r="C294" s="1">
        <v>31</v>
      </c>
      <c r="D294" s="1" t="str">
        <f t="shared" si="33"/>
        <v>暗雷3</v>
      </c>
      <c r="E294" s="1">
        <v>10</v>
      </c>
      <c r="F294" s="1">
        <v>0</v>
      </c>
      <c r="G294" s="1">
        <v>1</v>
      </c>
      <c r="H294" s="1">
        <v>1000</v>
      </c>
      <c r="K294" s="36" t="s">
        <v>3751</v>
      </c>
      <c r="L294" s="124">
        <v>20</v>
      </c>
      <c r="M294" s="1">
        <v>0.5</v>
      </c>
      <c r="N294" s="130">
        <f t="shared" si="34"/>
        <v>0.58333333333333337</v>
      </c>
      <c r="O294" s="130"/>
      <c r="P294" s="1" t="str">
        <f t="shared" si="32"/>
        <v>[1000]</v>
      </c>
      <c r="S294" s="1">
        <f>L294*1000</f>
        <v>20000</v>
      </c>
    </row>
    <row r="295" spans="1:19" x14ac:dyDescent="0.3">
      <c r="A295" s="270" t="s">
        <v>3750</v>
      </c>
      <c r="B295" s="1">
        <v>4</v>
      </c>
      <c r="C295" s="1">
        <v>31</v>
      </c>
      <c r="D295" s="1" t="str">
        <f t="shared" si="33"/>
        <v>暗雷4</v>
      </c>
      <c r="E295" s="1">
        <v>12</v>
      </c>
      <c r="F295" s="1">
        <v>0</v>
      </c>
      <c r="G295" s="1">
        <v>1</v>
      </c>
      <c r="H295" s="1">
        <v>1200</v>
      </c>
      <c r="K295" s="36" t="s">
        <v>3751</v>
      </c>
      <c r="L295" s="124">
        <v>20</v>
      </c>
      <c r="M295" s="1">
        <v>0.5</v>
      </c>
      <c r="N295" s="130">
        <f t="shared" si="34"/>
        <v>0.7</v>
      </c>
      <c r="O295" s="130"/>
      <c r="P295" s="1" t="str">
        <f t="shared" si="32"/>
        <v>[1200]</v>
      </c>
      <c r="S295" s="1">
        <f t="shared" si="26"/>
        <v>20000</v>
      </c>
    </row>
    <row r="296" spans="1:19" x14ac:dyDescent="0.3">
      <c r="A296" s="270" t="s">
        <v>3750</v>
      </c>
      <c r="B296" s="1">
        <v>5</v>
      </c>
      <c r="C296" s="1">
        <v>31</v>
      </c>
      <c r="D296" s="1" t="str">
        <f t="shared" si="33"/>
        <v>暗雷5</v>
      </c>
      <c r="E296" s="1">
        <v>15</v>
      </c>
      <c r="F296" s="1">
        <v>0</v>
      </c>
      <c r="G296" s="1">
        <v>1</v>
      </c>
      <c r="H296" s="1">
        <v>1500</v>
      </c>
      <c r="K296" s="36" t="s">
        <v>3751</v>
      </c>
      <c r="L296" s="124">
        <v>20</v>
      </c>
      <c r="M296" s="1">
        <v>0.5</v>
      </c>
      <c r="N296" s="130">
        <f t="shared" si="34"/>
        <v>0.875</v>
      </c>
      <c r="O296" s="130"/>
      <c r="P296" s="1" t="str">
        <f t="shared" si="32"/>
        <v>[1500]</v>
      </c>
      <c r="S296" s="1">
        <f t="shared" si="26"/>
        <v>20000</v>
      </c>
    </row>
    <row r="297" spans="1:19" x14ac:dyDescent="0.3">
      <c r="A297" s="270" t="s">
        <v>3750</v>
      </c>
      <c r="B297" s="1">
        <v>6</v>
      </c>
      <c r="C297" s="1">
        <v>31</v>
      </c>
      <c r="D297" s="1" t="str">
        <f t="shared" si="33"/>
        <v>暗雷6</v>
      </c>
      <c r="E297" s="1">
        <v>18</v>
      </c>
      <c r="F297" s="1">
        <v>0</v>
      </c>
      <c r="G297" s="1">
        <v>1</v>
      </c>
      <c r="H297" s="1">
        <v>1800</v>
      </c>
      <c r="K297" s="36" t="s">
        <v>3751</v>
      </c>
      <c r="L297" s="124">
        <v>20</v>
      </c>
      <c r="M297" s="1">
        <v>0.5</v>
      </c>
      <c r="N297" s="130">
        <f t="shared" si="34"/>
        <v>1.05</v>
      </c>
      <c r="O297" s="130"/>
      <c r="P297" s="1" t="str">
        <f t="shared" si="32"/>
        <v>[1800]</v>
      </c>
      <c r="S297" s="1">
        <f t="shared" si="26"/>
        <v>20000</v>
      </c>
    </row>
    <row r="298" spans="1:19" x14ac:dyDescent="0.3">
      <c r="A298" s="270" t="s">
        <v>3750</v>
      </c>
      <c r="B298" s="1">
        <v>7</v>
      </c>
      <c r="C298" s="1">
        <v>31</v>
      </c>
      <c r="D298" s="1" t="str">
        <f t="shared" si="33"/>
        <v>暗雷7</v>
      </c>
      <c r="E298" s="1">
        <v>20</v>
      </c>
      <c r="F298" s="1">
        <v>0</v>
      </c>
      <c r="G298" s="1">
        <v>1</v>
      </c>
      <c r="H298" s="1">
        <v>2000</v>
      </c>
      <c r="K298" s="36" t="s">
        <v>3751</v>
      </c>
      <c r="L298" s="124">
        <v>20</v>
      </c>
      <c r="M298" s="1">
        <v>0.5</v>
      </c>
      <c r="N298" s="130">
        <f t="shared" si="34"/>
        <v>1.1666666666666667</v>
      </c>
      <c r="O298" s="130"/>
      <c r="P298" s="1" t="str">
        <f t="shared" si="32"/>
        <v>[2000]</v>
      </c>
      <c r="S298" s="1">
        <f t="shared" si="26"/>
        <v>20000</v>
      </c>
    </row>
    <row r="299" spans="1:19" x14ac:dyDescent="0.3">
      <c r="A299" s="270" t="s">
        <v>1651</v>
      </c>
      <c r="B299" s="1">
        <v>1</v>
      </c>
      <c r="C299" s="1">
        <v>32</v>
      </c>
      <c r="D299" s="1" t="str">
        <f t="shared" ref="D299:D305" si="35">A299&amp;B299</f>
        <v>镭射光波1</v>
      </c>
      <c r="E299" s="1">
        <v>0.5</v>
      </c>
      <c r="F299" s="1">
        <v>7</v>
      </c>
      <c r="G299" s="1">
        <v>1</v>
      </c>
      <c r="H299" s="1">
        <v>50</v>
      </c>
      <c r="I299" s="1">
        <v>7</v>
      </c>
      <c r="K299" s="36" t="s">
        <v>1652</v>
      </c>
      <c r="L299" s="124">
        <v>15</v>
      </c>
      <c r="M299" s="1">
        <v>7</v>
      </c>
      <c r="N299" s="130">
        <f t="shared" ref="N299:N305" si="36">IF(G299=1,(($B$246/L299+1)*M299*E299*100)/(100*$B$246),(($B$246/L299+1)*M299*F299*100)/(100*$B$246))</f>
        <v>0.46666666666666667</v>
      </c>
      <c r="O299" s="130"/>
      <c r="P299" s="1" t="str">
        <f t="shared" si="32"/>
        <v>[50,7]</v>
      </c>
      <c r="R299" s="1" t="s">
        <v>1650</v>
      </c>
      <c r="S299" s="1">
        <f t="shared" si="26"/>
        <v>15000</v>
      </c>
    </row>
    <row r="300" spans="1:19" x14ac:dyDescent="0.3">
      <c r="A300" s="270" t="s">
        <v>1651</v>
      </c>
      <c r="B300" s="1">
        <v>2</v>
      </c>
      <c r="C300" s="1">
        <v>32</v>
      </c>
      <c r="D300" s="1" t="str">
        <f t="shared" si="35"/>
        <v>镭射光波2</v>
      </c>
      <c r="E300" s="1">
        <v>0.7</v>
      </c>
      <c r="F300" s="1">
        <v>7</v>
      </c>
      <c r="G300" s="1">
        <v>1</v>
      </c>
      <c r="H300" s="1">
        <v>70</v>
      </c>
      <c r="I300" s="1">
        <v>7</v>
      </c>
      <c r="K300" s="36" t="s">
        <v>3818</v>
      </c>
      <c r="L300" s="124">
        <v>15</v>
      </c>
      <c r="M300" s="1">
        <v>7</v>
      </c>
      <c r="N300" s="130">
        <f t="shared" si="36"/>
        <v>0.65333333333333321</v>
      </c>
      <c r="O300" s="130"/>
      <c r="P300" s="1" t="str">
        <f t="shared" si="32"/>
        <v>[70,7]</v>
      </c>
      <c r="R300" s="1" t="s">
        <v>1650</v>
      </c>
      <c r="S300" s="1">
        <f t="shared" si="26"/>
        <v>15000</v>
      </c>
    </row>
    <row r="301" spans="1:19" x14ac:dyDescent="0.3">
      <c r="A301" s="270" t="s">
        <v>1651</v>
      </c>
      <c r="B301" s="1">
        <v>3</v>
      </c>
      <c r="C301" s="1">
        <v>32</v>
      </c>
      <c r="D301" s="1" t="str">
        <f t="shared" si="35"/>
        <v>镭射光波3</v>
      </c>
      <c r="E301" s="1">
        <v>0.9</v>
      </c>
      <c r="F301" s="1">
        <v>7</v>
      </c>
      <c r="G301" s="1">
        <v>1</v>
      </c>
      <c r="H301" s="1">
        <v>90</v>
      </c>
      <c r="I301" s="1">
        <v>7</v>
      </c>
      <c r="K301" s="36" t="s">
        <v>3818</v>
      </c>
      <c r="L301" s="124">
        <v>15</v>
      </c>
      <c r="M301" s="1">
        <v>7</v>
      </c>
      <c r="N301" s="130">
        <f t="shared" si="36"/>
        <v>0.84</v>
      </c>
      <c r="O301" s="130"/>
      <c r="P301" s="1" t="str">
        <f t="shared" si="32"/>
        <v>[90,7]</v>
      </c>
      <c r="R301" s="1" t="s">
        <v>1650</v>
      </c>
      <c r="S301" s="1">
        <f t="shared" si="26"/>
        <v>15000</v>
      </c>
    </row>
    <row r="302" spans="1:19" x14ac:dyDescent="0.3">
      <c r="A302" s="270" t="s">
        <v>1651</v>
      </c>
      <c r="B302" s="1">
        <v>4</v>
      </c>
      <c r="C302" s="1">
        <v>32</v>
      </c>
      <c r="D302" s="1" t="str">
        <f t="shared" si="35"/>
        <v>镭射光波4</v>
      </c>
      <c r="E302" s="1">
        <v>1.1000000000000001</v>
      </c>
      <c r="F302" s="1">
        <v>7</v>
      </c>
      <c r="G302" s="1">
        <v>1</v>
      </c>
      <c r="H302" s="1">
        <v>110</v>
      </c>
      <c r="I302" s="1">
        <v>7</v>
      </c>
      <c r="K302" s="36" t="s">
        <v>1652</v>
      </c>
      <c r="L302" s="124">
        <v>15</v>
      </c>
      <c r="M302" s="1">
        <v>7</v>
      </c>
      <c r="N302" s="130">
        <f t="shared" si="36"/>
        <v>1.0266666666666668</v>
      </c>
      <c r="O302" s="130"/>
      <c r="P302" s="1" t="str">
        <f t="shared" si="32"/>
        <v>[110,7]</v>
      </c>
      <c r="R302" s="1" t="s">
        <v>1650</v>
      </c>
      <c r="S302" s="1">
        <f t="shared" si="26"/>
        <v>15000</v>
      </c>
    </row>
    <row r="303" spans="1:19" x14ac:dyDescent="0.3">
      <c r="A303" s="270" t="s">
        <v>1651</v>
      </c>
      <c r="B303" s="1">
        <v>5</v>
      </c>
      <c r="C303" s="1">
        <v>32</v>
      </c>
      <c r="D303" s="1" t="str">
        <f t="shared" si="35"/>
        <v>镭射光波5</v>
      </c>
      <c r="E303" s="1">
        <v>1.3</v>
      </c>
      <c r="F303" s="1">
        <v>7</v>
      </c>
      <c r="G303" s="1">
        <v>1</v>
      </c>
      <c r="H303" s="1">
        <v>130</v>
      </c>
      <c r="I303" s="1">
        <v>7</v>
      </c>
      <c r="K303" s="36" t="s">
        <v>1652</v>
      </c>
      <c r="L303" s="124">
        <v>15</v>
      </c>
      <c r="M303" s="1">
        <v>7</v>
      </c>
      <c r="N303" s="130">
        <f t="shared" si="36"/>
        <v>1.2133333333333334</v>
      </c>
      <c r="O303" s="130"/>
      <c r="P303" s="1" t="str">
        <f t="shared" si="32"/>
        <v>[130,7]</v>
      </c>
      <c r="R303" s="1" t="s">
        <v>1650</v>
      </c>
      <c r="S303" s="1">
        <f t="shared" si="26"/>
        <v>15000</v>
      </c>
    </row>
    <row r="304" spans="1:19" x14ac:dyDescent="0.3">
      <c r="A304" s="270" t="s">
        <v>1651</v>
      </c>
      <c r="B304" s="1">
        <v>6</v>
      </c>
      <c r="C304" s="1">
        <v>32</v>
      </c>
      <c r="D304" s="1" t="str">
        <f t="shared" si="35"/>
        <v>镭射光波6</v>
      </c>
      <c r="E304" s="1">
        <v>1.5</v>
      </c>
      <c r="F304" s="1">
        <v>7</v>
      </c>
      <c r="G304" s="1">
        <v>1</v>
      </c>
      <c r="H304" s="1">
        <v>150</v>
      </c>
      <c r="I304" s="1">
        <v>7</v>
      </c>
      <c r="K304" s="36" t="s">
        <v>1652</v>
      </c>
      <c r="L304" s="124">
        <v>15</v>
      </c>
      <c r="M304" s="1">
        <v>7</v>
      </c>
      <c r="N304" s="130">
        <f t="shared" si="36"/>
        <v>1.4</v>
      </c>
      <c r="O304" s="130"/>
      <c r="P304" s="1" t="str">
        <f t="shared" si="32"/>
        <v>[150,7]</v>
      </c>
      <c r="R304" s="1" t="s">
        <v>1650</v>
      </c>
      <c r="S304" s="1">
        <f t="shared" si="26"/>
        <v>15000</v>
      </c>
    </row>
    <row r="305" spans="1:19" x14ac:dyDescent="0.3">
      <c r="A305" s="270" t="s">
        <v>1651</v>
      </c>
      <c r="B305" s="1">
        <v>7</v>
      </c>
      <c r="C305" s="1">
        <v>32</v>
      </c>
      <c r="D305" s="1" t="str">
        <f t="shared" si="35"/>
        <v>镭射光波7</v>
      </c>
      <c r="E305" s="1">
        <v>1.7</v>
      </c>
      <c r="F305" s="1">
        <v>7</v>
      </c>
      <c r="G305" s="1">
        <v>1</v>
      </c>
      <c r="H305" s="1">
        <v>170</v>
      </c>
      <c r="I305" s="1">
        <v>7</v>
      </c>
      <c r="K305" s="36" t="s">
        <v>1652</v>
      </c>
      <c r="L305" s="124">
        <v>15</v>
      </c>
      <c r="M305" s="1">
        <v>7</v>
      </c>
      <c r="N305" s="130">
        <f t="shared" si="36"/>
        <v>1.5866666666666667</v>
      </c>
      <c r="O305" s="130"/>
      <c r="P305" s="1" t="str">
        <f t="shared" si="32"/>
        <v>[170,7]</v>
      </c>
      <c r="R305" s="1" t="s">
        <v>1650</v>
      </c>
      <c r="S305" s="1">
        <f t="shared" si="26"/>
        <v>15000</v>
      </c>
    </row>
    <row r="306" spans="1:19" x14ac:dyDescent="0.3">
      <c r="A306" s="270" t="s">
        <v>3752</v>
      </c>
      <c r="B306" s="1">
        <v>1</v>
      </c>
      <c r="C306" s="1">
        <v>33</v>
      </c>
      <c r="D306" s="1" t="str">
        <f t="shared" si="33"/>
        <v>防护结界1</v>
      </c>
      <c r="E306" s="1">
        <v>0.92</v>
      </c>
      <c r="F306" s="1">
        <v>8</v>
      </c>
      <c r="G306" s="1">
        <v>1</v>
      </c>
      <c r="H306" s="1">
        <f t="shared" ref="H306:H311" si="37">(1-E306)*100</f>
        <v>7.9999999999999964</v>
      </c>
      <c r="I306" s="1">
        <v>8</v>
      </c>
      <c r="K306" s="36" t="s">
        <v>3753</v>
      </c>
      <c r="L306" s="124">
        <v>15</v>
      </c>
      <c r="M306" s="1">
        <f>3*F306</f>
        <v>24</v>
      </c>
      <c r="N306" s="269"/>
      <c r="O306" s="130">
        <f>(($B$246/L306+1)*M306*(1-E306)*100)/(100*$B$246)</f>
        <v>0.25599999999999989</v>
      </c>
      <c r="P306" s="1" t="str">
        <f t="shared" ref="P306:P340" si="38">IF(AND(I306="",J306=""),"["&amp;H306&amp;"]",IF(J306="","["&amp;H306&amp;","&amp;I306&amp;"]","["&amp;H306&amp;","&amp;I306&amp;","&amp;J306&amp;"]"))</f>
        <v>[8,8]</v>
      </c>
      <c r="S306" s="1">
        <f t="shared" si="26"/>
        <v>15000</v>
      </c>
    </row>
    <row r="307" spans="1:19" x14ac:dyDescent="0.3">
      <c r="A307" s="270" t="s">
        <v>3752</v>
      </c>
      <c r="B307" s="1">
        <v>2</v>
      </c>
      <c r="C307" s="1">
        <v>33</v>
      </c>
      <c r="D307" s="1" t="str">
        <f t="shared" si="33"/>
        <v>防护结界2</v>
      </c>
      <c r="E307" s="1">
        <v>0.9</v>
      </c>
      <c r="F307" s="1">
        <v>8</v>
      </c>
      <c r="G307" s="1">
        <v>1</v>
      </c>
      <c r="H307" s="1">
        <f t="shared" si="37"/>
        <v>9.9999999999999982</v>
      </c>
      <c r="I307" s="1">
        <v>8</v>
      </c>
      <c r="K307" s="36" t="s">
        <v>3753</v>
      </c>
      <c r="L307" s="124">
        <v>15</v>
      </c>
      <c r="M307" s="1">
        <f t="shared" ref="M307:M312" si="39">3*F307</f>
        <v>24</v>
      </c>
      <c r="N307" s="269"/>
      <c r="O307" s="130">
        <f t="shared" ref="O307:O312" si="40">(($B$246/L307+1)*M307*(1-E307)*100)/(100*$B$246)</f>
        <v>0.31999999999999995</v>
      </c>
      <c r="P307" s="1" t="str">
        <f t="shared" si="38"/>
        <v>[10,8]</v>
      </c>
      <c r="S307" s="1">
        <f t="shared" si="26"/>
        <v>15000</v>
      </c>
    </row>
    <row r="308" spans="1:19" x14ac:dyDescent="0.3">
      <c r="A308" s="270" t="s">
        <v>3752</v>
      </c>
      <c r="B308" s="1">
        <v>3</v>
      </c>
      <c r="C308" s="1">
        <v>33</v>
      </c>
      <c r="D308" s="1" t="str">
        <f t="shared" si="33"/>
        <v>防护结界3</v>
      </c>
      <c r="E308" s="1">
        <v>0.85</v>
      </c>
      <c r="F308" s="1">
        <v>8</v>
      </c>
      <c r="G308" s="1">
        <v>1</v>
      </c>
      <c r="H308" s="1">
        <f t="shared" si="37"/>
        <v>15.000000000000002</v>
      </c>
      <c r="I308" s="1">
        <v>8</v>
      </c>
      <c r="K308" s="36" t="s">
        <v>3753</v>
      </c>
      <c r="L308" s="124">
        <v>15</v>
      </c>
      <c r="M308" s="1">
        <f t="shared" si="39"/>
        <v>24</v>
      </c>
      <c r="N308" s="269"/>
      <c r="O308" s="130">
        <f t="shared" si="40"/>
        <v>0.48000000000000009</v>
      </c>
      <c r="P308" s="1" t="str">
        <f t="shared" si="38"/>
        <v>[15,8]</v>
      </c>
      <c r="S308" s="1">
        <f t="shared" si="26"/>
        <v>15000</v>
      </c>
    </row>
    <row r="309" spans="1:19" x14ac:dyDescent="0.3">
      <c r="A309" s="270" t="s">
        <v>3752</v>
      </c>
      <c r="B309" s="1">
        <v>4</v>
      </c>
      <c r="C309" s="1">
        <v>33</v>
      </c>
      <c r="D309" s="1" t="str">
        <f t="shared" si="33"/>
        <v>防护结界4</v>
      </c>
      <c r="E309" s="1">
        <v>0.82</v>
      </c>
      <c r="F309" s="1">
        <v>8</v>
      </c>
      <c r="G309" s="1">
        <v>1</v>
      </c>
      <c r="H309" s="1">
        <f t="shared" si="37"/>
        <v>18.000000000000004</v>
      </c>
      <c r="I309" s="1">
        <v>8</v>
      </c>
      <c r="K309" s="36" t="s">
        <v>3753</v>
      </c>
      <c r="L309" s="124">
        <v>15</v>
      </c>
      <c r="M309" s="1">
        <f t="shared" si="39"/>
        <v>24</v>
      </c>
      <c r="N309" s="269"/>
      <c r="O309" s="130">
        <f t="shared" si="40"/>
        <v>0.57600000000000018</v>
      </c>
      <c r="P309" s="1" t="str">
        <f t="shared" si="38"/>
        <v>[18,8]</v>
      </c>
      <c r="S309" s="1">
        <f>L309*1000</f>
        <v>15000</v>
      </c>
    </row>
    <row r="310" spans="1:19" x14ac:dyDescent="0.3">
      <c r="A310" s="270" t="s">
        <v>3752</v>
      </c>
      <c r="B310" s="1">
        <v>5</v>
      </c>
      <c r="C310" s="1">
        <v>33</v>
      </c>
      <c r="D310" s="1" t="str">
        <f t="shared" si="33"/>
        <v>防护结界5</v>
      </c>
      <c r="E310" s="1">
        <v>0.8</v>
      </c>
      <c r="F310" s="1">
        <v>8</v>
      </c>
      <c r="G310" s="1">
        <v>1</v>
      </c>
      <c r="H310" s="1">
        <f t="shared" si="37"/>
        <v>19.999999999999996</v>
      </c>
      <c r="I310" s="1">
        <v>8</v>
      </c>
      <c r="K310" s="36" t="s">
        <v>3753</v>
      </c>
      <c r="L310" s="124">
        <v>15</v>
      </c>
      <c r="M310" s="1">
        <f t="shared" si="39"/>
        <v>24</v>
      </c>
      <c r="N310" s="269"/>
      <c r="O310" s="130">
        <f t="shared" si="40"/>
        <v>0.6399999999999999</v>
      </c>
      <c r="P310" s="1" t="str">
        <f t="shared" si="38"/>
        <v>[20,8]</v>
      </c>
      <c r="S310" s="1">
        <f t="shared" si="26"/>
        <v>15000</v>
      </c>
    </row>
    <row r="311" spans="1:19" x14ac:dyDescent="0.3">
      <c r="A311" s="270" t="s">
        <v>3752</v>
      </c>
      <c r="B311" s="1">
        <v>6</v>
      </c>
      <c r="C311" s="1">
        <v>33</v>
      </c>
      <c r="D311" s="1" t="str">
        <f t="shared" si="33"/>
        <v>防护结界6</v>
      </c>
      <c r="E311" s="1">
        <v>0.75</v>
      </c>
      <c r="F311" s="1">
        <v>8</v>
      </c>
      <c r="G311" s="1">
        <v>1</v>
      </c>
      <c r="H311" s="1">
        <f t="shared" si="37"/>
        <v>25</v>
      </c>
      <c r="I311" s="1">
        <v>8</v>
      </c>
      <c r="K311" s="36" t="s">
        <v>3753</v>
      </c>
      <c r="L311" s="124">
        <v>15</v>
      </c>
      <c r="M311" s="1">
        <f t="shared" si="39"/>
        <v>24</v>
      </c>
      <c r="N311" s="269"/>
      <c r="O311" s="130">
        <f t="shared" si="40"/>
        <v>0.8</v>
      </c>
      <c r="P311" s="1" t="str">
        <f t="shared" si="38"/>
        <v>[25,8]</v>
      </c>
      <c r="S311" s="1">
        <f t="shared" si="26"/>
        <v>15000</v>
      </c>
    </row>
    <row r="312" spans="1:19" x14ac:dyDescent="0.3">
      <c r="A312" s="270" t="s">
        <v>3752</v>
      </c>
      <c r="B312" s="1">
        <v>7</v>
      </c>
      <c r="C312" s="1">
        <v>33</v>
      </c>
      <c r="D312" s="1" t="str">
        <f t="shared" si="33"/>
        <v>防护结界7</v>
      </c>
      <c r="E312" s="1">
        <v>0.7</v>
      </c>
      <c r="F312" s="1">
        <v>8</v>
      </c>
      <c r="G312" s="1">
        <v>1</v>
      </c>
      <c r="H312" s="1">
        <f t="shared" ref="H312:H319" si="41">E312*100</f>
        <v>70</v>
      </c>
      <c r="I312" s="1">
        <v>8</v>
      </c>
      <c r="K312" s="36" t="s">
        <v>3753</v>
      </c>
      <c r="L312" s="124">
        <v>15</v>
      </c>
      <c r="M312" s="1">
        <f t="shared" si="39"/>
        <v>24</v>
      </c>
      <c r="N312" s="269"/>
      <c r="O312" s="130">
        <f t="shared" si="40"/>
        <v>0.96000000000000019</v>
      </c>
      <c r="P312" s="1" t="str">
        <f t="shared" si="38"/>
        <v>[70,8]</v>
      </c>
      <c r="S312" s="1">
        <f t="shared" si="26"/>
        <v>15000</v>
      </c>
    </row>
    <row r="313" spans="1:19" x14ac:dyDescent="0.3">
      <c r="A313" s="270" t="s">
        <v>3756</v>
      </c>
      <c r="B313" s="1">
        <v>1</v>
      </c>
      <c r="C313" s="1">
        <v>34</v>
      </c>
      <c r="D313" s="1" t="str">
        <f t="shared" si="33"/>
        <v>磁力风暴1</v>
      </c>
      <c r="E313" s="1">
        <v>0.5</v>
      </c>
      <c r="F313" s="1">
        <v>8</v>
      </c>
      <c r="G313" s="1">
        <v>1</v>
      </c>
      <c r="H313" s="1">
        <f t="shared" si="41"/>
        <v>50</v>
      </c>
      <c r="I313" s="1">
        <v>8</v>
      </c>
      <c r="K313" s="36" t="s">
        <v>3757</v>
      </c>
      <c r="L313" s="124">
        <v>25</v>
      </c>
      <c r="M313" s="1">
        <f>2*F313</f>
        <v>16</v>
      </c>
      <c r="N313" s="265">
        <f t="shared" ref="N313:N340" si="42">IF(G313=1,(($B$246/L313+1)*M313*E313*100)/(100*$B$246),(($B$246/L313+1)*M313*F313*100)/(100*$B$246))</f>
        <v>0.85333333333333339</v>
      </c>
      <c r="O313" s="130"/>
      <c r="P313" s="1" t="str">
        <f t="shared" si="38"/>
        <v>[50,8]</v>
      </c>
      <c r="S313" s="1">
        <f t="shared" si="26"/>
        <v>25000</v>
      </c>
    </row>
    <row r="314" spans="1:19" x14ac:dyDescent="0.3">
      <c r="A314" s="270" t="s">
        <v>3756</v>
      </c>
      <c r="B314" s="1">
        <v>2</v>
      </c>
      <c r="C314" s="1">
        <v>34</v>
      </c>
      <c r="D314" s="1" t="str">
        <f t="shared" si="33"/>
        <v>磁力风暴2</v>
      </c>
      <c r="E314" s="1">
        <v>0.6</v>
      </c>
      <c r="F314" s="1">
        <v>8</v>
      </c>
      <c r="G314" s="1">
        <v>1</v>
      </c>
      <c r="H314" s="1">
        <f t="shared" si="41"/>
        <v>60</v>
      </c>
      <c r="I314" s="1">
        <v>8</v>
      </c>
      <c r="K314" s="36" t="s">
        <v>3757</v>
      </c>
      <c r="L314" s="124">
        <v>25</v>
      </c>
      <c r="M314" s="1">
        <f t="shared" ref="M314:M319" si="43">2*F314</f>
        <v>16</v>
      </c>
      <c r="N314" s="265">
        <f t="shared" si="42"/>
        <v>1.024</v>
      </c>
      <c r="O314" s="130"/>
      <c r="P314" s="1" t="str">
        <f t="shared" si="38"/>
        <v>[60,8]</v>
      </c>
      <c r="S314" s="1">
        <f t="shared" si="26"/>
        <v>25000</v>
      </c>
    </row>
    <row r="315" spans="1:19" x14ac:dyDescent="0.3">
      <c r="A315" s="270" t="s">
        <v>3756</v>
      </c>
      <c r="B315" s="1">
        <v>3</v>
      </c>
      <c r="C315" s="1">
        <v>34</v>
      </c>
      <c r="D315" s="1" t="str">
        <f t="shared" si="33"/>
        <v>磁力风暴3</v>
      </c>
      <c r="E315" s="1">
        <v>0.7</v>
      </c>
      <c r="F315" s="1">
        <v>8</v>
      </c>
      <c r="G315" s="1">
        <v>1</v>
      </c>
      <c r="H315" s="1">
        <f t="shared" si="41"/>
        <v>70</v>
      </c>
      <c r="I315" s="1">
        <v>8</v>
      </c>
      <c r="K315" s="36" t="s">
        <v>3757</v>
      </c>
      <c r="L315" s="124">
        <v>25</v>
      </c>
      <c r="M315" s="1">
        <f t="shared" si="43"/>
        <v>16</v>
      </c>
      <c r="N315" s="265">
        <f t="shared" si="42"/>
        <v>1.1946666666666665</v>
      </c>
      <c r="O315" s="130"/>
      <c r="P315" s="1" t="str">
        <f t="shared" si="38"/>
        <v>[70,8]</v>
      </c>
      <c r="S315" s="1">
        <f>L315*1000</f>
        <v>25000</v>
      </c>
    </row>
    <row r="316" spans="1:19" x14ac:dyDescent="0.3">
      <c r="A316" s="270" t="s">
        <v>3756</v>
      </c>
      <c r="B316" s="1">
        <v>4</v>
      </c>
      <c r="C316" s="1">
        <v>34</v>
      </c>
      <c r="D316" s="1" t="str">
        <f t="shared" si="33"/>
        <v>磁力风暴4</v>
      </c>
      <c r="E316" s="1">
        <v>0.8</v>
      </c>
      <c r="F316" s="1">
        <v>8</v>
      </c>
      <c r="G316" s="1">
        <v>1</v>
      </c>
      <c r="H316" s="1">
        <f t="shared" si="41"/>
        <v>80</v>
      </c>
      <c r="I316" s="1">
        <v>8</v>
      </c>
      <c r="K316" s="36" t="s">
        <v>3757</v>
      </c>
      <c r="L316" s="124">
        <v>25</v>
      </c>
      <c r="M316" s="1">
        <f t="shared" si="43"/>
        <v>16</v>
      </c>
      <c r="N316" s="265">
        <f t="shared" si="42"/>
        <v>1.3653333333333337</v>
      </c>
      <c r="O316" s="130"/>
      <c r="P316" s="1" t="str">
        <f t="shared" si="38"/>
        <v>[80,8]</v>
      </c>
      <c r="S316" s="1">
        <f>L316*1000</f>
        <v>25000</v>
      </c>
    </row>
    <row r="317" spans="1:19" x14ac:dyDescent="0.3">
      <c r="A317" s="270" t="s">
        <v>3756</v>
      </c>
      <c r="B317" s="1">
        <v>5</v>
      </c>
      <c r="C317" s="1">
        <v>34</v>
      </c>
      <c r="D317" s="1" t="str">
        <f t="shared" si="33"/>
        <v>磁力风暴5</v>
      </c>
      <c r="E317" s="1">
        <v>0.9</v>
      </c>
      <c r="F317" s="1">
        <v>8</v>
      </c>
      <c r="G317" s="1">
        <v>1</v>
      </c>
      <c r="H317" s="1">
        <f t="shared" si="41"/>
        <v>90</v>
      </c>
      <c r="I317" s="1">
        <v>8</v>
      </c>
      <c r="K317" s="36" t="s">
        <v>3757</v>
      </c>
      <c r="L317" s="124">
        <v>25</v>
      </c>
      <c r="M317" s="1">
        <f t="shared" si="43"/>
        <v>16</v>
      </c>
      <c r="N317" s="265">
        <f t="shared" si="42"/>
        <v>1.5360000000000003</v>
      </c>
      <c r="O317" s="130"/>
      <c r="P317" s="1" t="str">
        <f t="shared" si="38"/>
        <v>[90,8]</v>
      </c>
      <c r="S317" s="1">
        <f>L317*1000</f>
        <v>25000</v>
      </c>
    </row>
    <row r="318" spans="1:19" x14ac:dyDescent="0.3">
      <c r="A318" s="270" t="s">
        <v>3756</v>
      </c>
      <c r="B318" s="1">
        <v>6</v>
      </c>
      <c r="C318" s="1">
        <v>34</v>
      </c>
      <c r="D318" s="1" t="str">
        <f t="shared" si="33"/>
        <v>磁力风暴6</v>
      </c>
      <c r="E318" s="1">
        <v>1</v>
      </c>
      <c r="F318" s="1">
        <v>8</v>
      </c>
      <c r="G318" s="1">
        <v>1</v>
      </c>
      <c r="H318" s="1">
        <f t="shared" si="41"/>
        <v>100</v>
      </c>
      <c r="I318" s="1">
        <v>8</v>
      </c>
      <c r="K318" s="36" t="s">
        <v>3757</v>
      </c>
      <c r="L318" s="124">
        <v>25</v>
      </c>
      <c r="M318" s="1">
        <f t="shared" si="43"/>
        <v>16</v>
      </c>
      <c r="N318" s="265">
        <f t="shared" si="42"/>
        <v>1.7066666666666668</v>
      </c>
      <c r="O318" s="130"/>
      <c r="P318" s="1" t="str">
        <f t="shared" si="38"/>
        <v>[100,8]</v>
      </c>
      <c r="S318" s="1">
        <f>L318*1000</f>
        <v>25000</v>
      </c>
    </row>
    <row r="319" spans="1:19" x14ac:dyDescent="0.3">
      <c r="A319" s="270" t="s">
        <v>3756</v>
      </c>
      <c r="B319" s="1">
        <v>7</v>
      </c>
      <c r="C319" s="1">
        <v>34</v>
      </c>
      <c r="D319" s="1" t="str">
        <f t="shared" si="33"/>
        <v>磁力风暴7</v>
      </c>
      <c r="E319" s="1">
        <v>1.2</v>
      </c>
      <c r="F319" s="1">
        <v>8</v>
      </c>
      <c r="G319" s="1">
        <v>1</v>
      </c>
      <c r="H319" s="1">
        <f t="shared" si="41"/>
        <v>120</v>
      </c>
      <c r="I319" s="1">
        <v>8</v>
      </c>
      <c r="K319" s="36" t="s">
        <v>3757</v>
      </c>
      <c r="L319" s="124">
        <v>25</v>
      </c>
      <c r="M319" s="1">
        <f t="shared" si="43"/>
        <v>16</v>
      </c>
      <c r="N319" s="265">
        <f t="shared" si="42"/>
        <v>2.048</v>
      </c>
      <c r="O319" s="130"/>
      <c r="P319" s="1" t="str">
        <f t="shared" si="38"/>
        <v>[120,8]</v>
      </c>
      <c r="S319" s="1">
        <f>L319*1000</f>
        <v>25000</v>
      </c>
    </row>
    <row r="320" spans="1:19" x14ac:dyDescent="0.3">
      <c r="A320" s="270" t="s">
        <v>3758</v>
      </c>
      <c r="B320" s="1">
        <v>1</v>
      </c>
      <c r="C320" s="1">
        <v>35</v>
      </c>
      <c r="D320" s="1" t="str">
        <f t="shared" si="33"/>
        <v>瘫痪1</v>
      </c>
      <c r="E320" s="1">
        <v>3</v>
      </c>
      <c r="F320" s="1">
        <v>0</v>
      </c>
      <c r="G320" s="1">
        <v>1</v>
      </c>
      <c r="H320" s="1">
        <v>3</v>
      </c>
      <c r="K320" s="36" t="s">
        <v>3759</v>
      </c>
      <c r="L320" s="124">
        <v>30</v>
      </c>
      <c r="M320" s="1">
        <v>1</v>
      </c>
      <c r="N320" s="265">
        <f t="shared" si="42"/>
        <v>0.3</v>
      </c>
      <c r="P320" s="1" t="str">
        <f t="shared" si="38"/>
        <v>[3]</v>
      </c>
      <c r="S320" s="1">
        <f t="shared" ref="S320:S330" si="44">L320*1000</f>
        <v>30000</v>
      </c>
    </row>
    <row r="321" spans="1:19" x14ac:dyDescent="0.3">
      <c r="A321" s="270" t="s">
        <v>3758</v>
      </c>
      <c r="B321" s="1">
        <v>2</v>
      </c>
      <c r="C321" s="1">
        <v>35</v>
      </c>
      <c r="D321" s="1" t="str">
        <f t="shared" si="33"/>
        <v>瘫痪2</v>
      </c>
      <c r="E321" s="1">
        <v>3.5</v>
      </c>
      <c r="F321" s="1">
        <v>0</v>
      </c>
      <c r="G321" s="1">
        <v>1</v>
      </c>
      <c r="H321" s="1">
        <v>3.5</v>
      </c>
      <c r="K321" s="36" t="s">
        <v>3759</v>
      </c>
      <c r="L321" s="124">
        <v>30</v>
      </c>
      <c r="M321" s="1">
        <v>1</v>
      </c>
      <c r="N321" s="265">
        <f t="shared" si="42"/>
        <v>0.35</v>
      </c>
      <c r="P321" s="1" t="str">
        <f t="shared" si="38"/>
        <v>[3.5]</v>
      </c>
      <c r="S321" s="1">
        <f t="shared" si="44"/>
        <v>30000</v>
      </c>
    </row>
    <row r="322" spans="1:19" x14ac:dyDescent="0.3">
      <c r="A322" s="270" t="s">
        <v>3758</v>
      </c>
      <c r="B322" s="1">
        <v>3</v>
      </c>
      <c r="C322" s="1">
        <v>35</v>
      </c>
      <c r="D322" s="1" t="str">
        <f t="shared" si="33"/>
        <v>瘫痪3</v>
      </c>
      <c r="E322" s="1">
        <v>4</v>
      </c>
      <c r="F322" s="1">
        <v>0</v>
      </c>
      <c r="G322" s="1">
        <v>1</v>
      </c>
      <c r="H322" s="1">
        <v>4</v>
      </c>
      <c r="K322" s="36" t="s">
        <v>3759</v>
      </c>
      <c r="L322" s="124">
        <v>30</v>
      </c>
      <c r="M322" s="1">
        <v>1</v>
      </c>
      <c r="N322" s="265">
        <f t="shared" si="42"/>
        <v>0.4</v>
      </c>
      <c r="P322" s="1" t="str">
        <f t="shared" si="38"/>
        <v>[4]</v>
      </c>
      <c r="S322" s="1">
        <f t="shared" si="44"/>
        <v>30000</v>
      </c>
    </row>
    <row r="323" spans="1:19" x14ac:dyDescent="0.3">
      <c r="A323" s="270" t="s">
        <v>3758</v>
      </c>
      <c r="B323" s="1">
        <v>4</v>
      </c>
      <c r="C323" s="1">
        <v>35</v>
      </c>
      <c r="D323" s="1" t="str">
        <f t="shared" si="33"/>
        <v>瘫痪4</v>
      </c>
      <c r="E323" s="1">
        <v>4.5</v>
      </c>
      <c r="F323" s="1">
        <v>0</v>
      </c>
      <c r="G323" s="1">
        <v>1</v>
      </c>
      <c r="H323" s="1">
        <v>4.5</v>
      </c>
      <c r="K323" s="36" t="s">
        <v>3759</v>
      </c>
      <c r="L323" s="124">
        <v>30</v>
      </c>
      <c r="M323" s="1">
        <v>1</v>
      </c>
      <c r="N323" s="265">
        <f t="shared" si="42"/>
        <v>0.45</v>
      </c>
      <c r="P323" s="1" t="str">
        <f t="shared" si="38"/>
        <v>[4.5]</v>
      </c>
      <c r="S323" s="1">
        <f t="shared" si="44"/>
        <v>30000</v>
      </c>
    </row>
    <row r="324" spans="1:19" x14ac:dyDescent="0.3">
      <c r="A324" s="270" t="s">
        <v>3758</v>
      </c>
      <c r="B324" s="1">
        <v>5</v>
      </c>
      <c r="C324" s="1">
        <v>35</v>
      </c>
      <c r="D324" s="1" t="str">
        <f t="shared" si="33"/>
        <v>瘫痪5</v>
      </c>
      <c r="E324" s="1">
        <v>5</v>
      </c>
      <c r="F324" s="1">
        <v>0</v>
      </c>
      <c r="G324" s="1">
        <v>1</v>
      </c>
      <c r="H324" s="1">
        <v>5</v>
      </c>
      <c r="K324" s="36" t="s">
        <v>3759</v>
      </c>
      <c r="L324" s="124">
        <v>30</v>
      </c>
      <c r="M324" s="1">
        <v>1</v>
      </c>
      <c r="N324" s="265">
        <f t="shared" si="42"/>
        <v>0.5</v>
      </c>
      <c r="P324" s="1" t="str">
        <f t="shared" si="38"/>
        <v>[5]</v>
      </c>
      <c r="S324" s="1">
        <f t="shared" si="44"/>
        <v>30000</v>
      </c>
    </row>
    <row r="325" spans="1:19" x14ac:dyDescent="0.3">
      <c r="A325" s="270" t="s">
        <v>3758</v>
      </c>
      <c r="B325" s="1">
        <v>6</v>
      </c>
      <c r="C325" s="1">
        <v>35</v>
      </c>
      <c r="D325" s="1" t="str">
        <f t="shared" si="33"/>
        <v>瘫痪6</v>
      </c>
      <c r="E325" s="1">
        <v>5.5</v>
      </c>
      <c r="F325" s="1">
        <v>0</v>
      </c>
      <c r="G325" s="1">
        <v>1</v>
      </c>
      <c r="H325" s="1">
        <v>5.5</v>
      </c>
      <c r="K325" s="36" t="s">
        <v>3759</v>
      </c>
      <c r="L325" s="124">
        <v>30</v>
      </c>
      <c r="M325" s="1">
        <v>1</v>
      </c>
      <c r="N325" s="265">
        <f t="shared" si="42"/>
        <v>0.55000000000000004</v>
      </c>
      <c r="P325" s="1" t="str">
        <f t="shared" si="38"/>
        <v>[5.5]</v>
      </c>
      <c r="S325" s="1">
        <f t="shared" si="44"/>
        <v>30000</v>
      </c>
    </row>
    <row r="326" spans="1:19" x14ac:dyDescent="0.3">
      <c r="A326" s="270" t="s">
        <v>3758</v>
      </c>
      <c r="B326" s="1">
        <v>7</v>
      </c>
      <c r="C326" s="1">
        <v>35</v>
      </c>
      <c r="D326" s="1" t="str">
        <f t="shared" si="33"/>
        <v>瘫痪7</v>
      </c>
      <c r="E326" s="1">
        <v>6</v>
      </c>
      <c r="F326" s="1">
        <v>0</v>
      </c>
      <c r="G326" s="1">
        <v>1</v>
      </c>
      <c r="H326" s="1">
        <v>6</v>
      </c>
      <c r="K326" s="36" t="s">
        <v>3759</v>
      </c>
      <c r="L326" s="124">
        <v>30</v>
      </c>
      <c r="M326" s="1">
        <v>1</v>
      </c>
      <c r="N326" s="265">
        <f t="shared" si="42"/>
        <v>0.6</v>
      </c>
      <c r="P326" s="1" t="str">
        <f t="shared" si="38"/>
        <v>[6]</v>
      </c>
      <c r="S326" s="1">
        <f t="shared" si="44"/>
        <v>30000</v>
      </c>
    </row>
    <row r="327" spans="1:19" x14ac:dyDescent="0.3">
      <c r="A327" s="270" t="s">
        <v>3760</v>
      </c>
      <c r="B327" s="1">
        <v>1</v>
      </c>
      <c r="C327" s="1">
        <v>36</v>
      </c>
      <c r="D327" s="1" t="str">
        <f t="shared" si="33"/>
        <v>喷火射击1</v>
      </c>
      <c r="E327" s="1">
        <v>0.5</v>
      </c>
      <c r="F327" s="1">
        <v>6</v>
      </c>
      <c r="G327" s="1">
        <v>1</v>
      </c>
      <c r="H327" s="1">
        <f>E327*100</f>
        <v>50</v>
      </c>
      <c r="I327" s="1">
        <v>6</v>
      </c>
      <c r="K327" s="36" t="s">
        <v>3761</v>
      </c>
      <c r="L327" s="124">
        <v>15</v>
      </c>
      <c r="M327" s="1">
        <f>2*F327</f>
        <v>12</v>
      </c>
      <c r="N327" s="265">
        <f t="shared" si="42"/>
        <v>0.8</v>
      </c>
      <c r="P327" s="1" t="str">
        <f t="shared" si="38"/>
        <v>[50,6]</v>
      </c>
      <c r="S327" s="1">
        <f t="shared" si="44"/>
        <v>15000</v>
      </c>
    </row>
    <row r="328" spans="1:19" x14ac:dyDescent="0.3">
      <c r="A328" s="270" t="s">
        <v>3760</v>
      </c>
      <c r="B328" s="1">
        <v>2</v>
      </c>
      <c r="C328" s="1">
        <v>36</v>
      </c>
      <c r="D328" s="1" t="str">
        <f t="shared" si="33"/>
        <v>喷火射击2</v>
      </c>
      <c r="E328" s="1">
        <v>0.6</v>
      </c>
      <c r="F328" s="1">
        <v>6</v>
      </c>
      <c r="G328" s="1">
        <v>1</v>
      </c>
      <c r="H328" s="1">
        <f t="shared" ref="H328:H333" si="45">E328*100</f>
        <v>60</v>
      </c>
      <c r="I328" s="1">
        <v>6</v>
      </c>
      <c r="K328" s="36" t="s">
        <v>3761</v>
      </c>
      <c r="L328" s="124">
        <v>15</v>
      </c>
      <c r="M328" s="1">
        <f t="shared" ref="M328:M333" si="46">2*F328</f>
        <v>12</v>
      </c>
      <c r="N328" s="265">
        <f t="shared" si="42"/>
        <v>0.95999999999999985</v>
      </c>
      <c r="P328" s="1" t="str">
        <f t="shared" si="38"/>
        <v>[60,6]</v>
      </c>
      <c r="S328" s="1">
        <f t="shared" si="44"/>
        <v>15000</v>
      </c>
    </row>
    <row r="329" spans="1:19" x14ac:dyDescent="0.3">
      <c r="A329" s="270" t="s">
        <v>3760</v>
      </c>
      <c r="B329" s="1">
        <v>3</v>
      </c>
      <c r="C329" s="1">
        <v>36</v>
      </c>
      <c r="D329" s="1" t="str">
        <f t="shared" si="33"/>
        <v>喷火射击3</v>
      </c>
      <c r="E329" s="1">
        <v>0.7</v>
      </c>
      <c r="F329" s="1">
        <v>6</v>
      </c>
      <c r="G329" s="1">
        <v>1</v>
      </c>
      <c r="H329" s="1">
        <f t="shared" si="45"/>
        <v>70</v>
      </c>
      <c r="I329" s="1">
        <v>6</v>
      </c>
      <c r="K329" s="36" t="s">
        <v>3761</v>
      </c>
      <c r="L329" s="124">
        <v>15</v>
      </c>
      <c r="M329" s="1">
        <f t="shared" si="46"/>
        <v>12</v>
      </c>
      <c r="N329" s="265">
        <f t="shared" si="42"/>
        <v>1.1199999999999999</v>
      </c>
      <c r="P329" s="1" t="str">
        <f t="shared" si="38"/>
        <v>[70,6]</v>
      </c>
      <c r="S329" s="1">
        <f t="shared" si="44"/>
        <v>15000</v>
      </c>
    </row>
    <row r="330" spans="1:19" x14ac:dyDescent="0.3">
      <c r="A330" s="270" t="s">
        <v>3760</v>
      </c>
      <c r="B330" s="1">
        <v>4</v>
      </c>
      <c r="C330" s="1">
        <v>36</v>
      </c>
      <c r="D330" s="1" t="str">
        <f t="shared" si="33"/>
        <v>喷火射击4</v>
      </c>
      <c r="E330" s="1">
        <v>0.8</v>
      </c>
      <c r="F330" s="1">
        <v>6</v>
      </c>
      <c r="G330" s="1">
        <v>1</v>
      </c>
      <c r="H330" s="1">
        <f t="shared" si="45"/>
        <v>80</v>
      </c>
      <c r="I330" s="1">
        <v>6</v>
      </c>
      <c r="K330" s="36" t="s">
        <v>3761</v>
      </c>
      <c r="L330" s="124">
        <v>15</v>
      </c>
      <c r="M330" s="1">
        <f t="shared" si="46"/>
        <v>12</v>
      </c>
      <c r="N330" s="265">
        <f t="shared" si="42"/>
        <v>1.2800000000000002</v>
      </c>
      <c r="P330" s="1" t="str">
        <f t="shared" si="38"/>
        <v>[80,6]</v>
      </c>
      <c r="S330" s="1">
        <f t="shared" si="44"/>
        <v>15000</v>
      </c>
    </row>
    <row r="331" spans="1:19" x14ac:dyDescent="0.3">
      <c r="A331" s="270" t="s">
        <v>3760</v>
      </c>
      <c r="B331" s="1">
        <v>5</v>
      </c>
      <c r="C331" s="1">
        <v>36</v>
      </c>
      <c r="D331" s="1" t="str">
        <f t="shared" si="33"/>
        <v>喷火射击5</v>
      </c>
      <c r="E331" s="1">
        <v>0.9</v>
      </c>
      <c r="F331" s="1">
        <v>6</v>
      </c>
      <c r="G331" s="1">
        <v>1</v>
      </c>
      <c r="H331" s="1">
        <f t="shared" si="45"/>
        <v>90</v>
      </c>
      <c r="I331" s="1">
        <v>6</v>
      </c>
      <c r="K331" s="36" t="s">
        <v>3761</v>
      </c>
      <c r="L331" s="124">
        <v>15</v>
      </c>
      <c r="M331" s="1">
        <f t="shared" si="46"/>
        <v>12</v>
      </c>
      <c r="N331" s="265">
        <f t="shared" si="42"/>
        <v>1.44</v>
      </c>
      <c r="P331" s="1" t="str">
        <f t="shared" si="38"/>
        <v>[90,6]</v>
      </c>
      <c r="S331" s="1">
        <f>L331*1000</f>
        <v>15000</v>
      </c>
    </row>
    <row r="332" spans="1:19" x14ac:dyDescent="0.3">
      <c r="A332" s="270" t="s">
        <v>3760</v>
      </c>
      <c r="B332" s="1">
        <v>6</v>
      </c>
      <c r="C332" s="1">
        <v>36</v>
      </c>
      <c r="D332" s="1" t="str">
        <f t="shared" si="33"/>
        <v>喷火射击6</v>
      </c>
      <c r="E332" s="1">
        <v>1</v>
      </c>
      <c r="F332" s="1">
        <v>6</v>
      </c>
      <c r="G332" s="1">
        <v>1</v>
      </c>
      <c r="H332" s="1">
        <f t="shared" si="45"/>
        <v>100</v>
      </c>
      <c r="I332" s="1">
        <v>6</v>
      </c>
      <c r="K332" s="36" t="s">
        <v>3761</v>
      </c>
      <c r="L332" s="124">
        <v>15</v>
      </c>
      <c r="M332" s="1">
        <f t="shared" si="46"/>
        <v>12</v>
      </c>
      <c r="N332" s="265">
        <f t="shared" si="42"/>
        <v>1.6</v>
      </c>
      <c r="P332" s="1" t="str">
        <f t="shared" si="38"/>
        <v>[100,6]</v>
      </c>
      <c r="S332" s="1">
        <f t="shared" ref="S332:S340" si="47">L332*1000</f>
        <v>15000</v>
      </c>
    </row>
    <row r="333" spans="1:19" x14ac:dyDescent="0.3">
      <c r="A333" s="270" t="s">
        <v>3760</v>
      </c>
      <c r="B333" s="1">
        <v>7</v>
      </c>
      <c r="C333" s="1">
        <v>36</v>
      </c>
      <c r="D333" s="1" t="str">
        <f t="shared" si="33"/>
        <v>喷火射击7</v>
      </c>
      <c r="E333" s="1">
        <v>1.1000000000000001</v>
      </c>
      <c r="F333" s="1">
        <v>6</v>
      </c>
      <c r="G333" s="1">
        <v>1</v>
      </c>
      <c r="H333" s="1">
        <f t="shared" si="45"/>
        <v>110.00000000000001</v>
      </c>
      <c r="I333" s="1">
        <v>6</v>
      </c>
      <c r="K333" s="36" t="s">
        <v>3761</v>
      </c>
      <c r="L333" s="124">
        <v>15</v>
      </c>
      <c r="M333" s="1">
        <f t="shared" si="46"/>
        <v>12</v>
      </c>
      <c r="N333" s="265">
        <f t="shared" si="42"/>
        <v>1.76</v>
      </c>
      <c r="P333" s="1" t="str">
        <f t="shared" si="38"/>
        <v>[110,6]</v>
      </c>
      <c r="S333" s="1">
        <f t="shared" si="47"/>
        <v>15000</v>
      </c>
    </row>
    <row r="334" spans="1:19" x14ac:dyDescent="0.3">
      <c r="A334" s="270" t="s">
        <v>3762</v>
      </c>
      <c r="B334" s="1">
        <v>1</v>
      </c>
      <c r="C334" s="1">
        <v>37</v>
      </c>
      <c r="D334" s="1" t="str">
        <f t="shared" si="33"/>
        <v>抗拒外壳1</v>
      </c>
      <c r="E334" s="1">
        <v>6</v>
      </c>
      <c r="F334" s="1">
        <v>0</v>
      </c>
      <c r="G334" s="1">
        <v>1</v>
      </c>
      <c r="H334" s="1">
        <v>6</v>
      </c>
      <c r="K334" s="36" t="s">
        <v>3763</v>
      </c>
      <c r="L334" s="124">
        <v>20</v>
      </c>
      <c r="M334" s="1">
        <v>1</v>
      </c>
      <c r="N334" s="265">
        <f t="shared" si="42"/>
        <v>0.7</v>
      </c>
      <c r="P334" s="1" t="str">
        <f t="shared" si="38"/>
        <v>[6]</v>
      </c>
      <c r="S334" s="1">
        <f t="shared" si="47"/>
        <v>20000</v>
      </c>
    </row>
    <row r="335" spans="1:19" x14ac:dyDescent="0.3">
      <c r="A335" s="270" t="s">
        <v>3762</v>
      </c>
      <c r="B335" s="1">
        <v>2</v>
      </c>
      <c r="C335" s="1">
        <v>37</v>
      </c>
      <c r="D335" s="1" t="str">
        <f t="shared" si="33"/>
        <v>抗拒外壳2</v>
      </c>
      <c r="E335" s="1">
        <v>6.5</v>
      </c>
      <c r="F335" s="1">
        <v>0</v>
      </c>
      <c r="G335" s="1">
        <v>1</v>
      </c>
      <c r="H335" s="1">
        <v>6.5</v>
      </c>
      <c r="K335" s="36" t="s">
        <v>3763</v>
      </c>
      <c r="L335" s="124">
        <v>20</v>
      </c>
      <c r="M335" s="1">
        <v>1</v>
      </c>
      <c r="N335" s="265">
        <f t="shared" si="42"/>
        <v>0.7583333333333333</v>
      </c>
      <c r="P335" s="1" t="str">
        <f t="shared" si="38"/>
        <v>[6.5]</v>
      </c>
      <c r="S335" s="1">
        <f t="shared" si="47"/>
        <v>20000</v>
      </c>
    </row>
    <row r="336" spans="1:19" x14ac:dyDescent="0.3">
      <c r="A336" s="270" t="s">
        <v>3762</v>
      </c>
      <c r="B336" s="1">
        <v>3</v>
      </c>
      <c r="C336" s="1">
        <v>37</v>
      </c>
      <c r="D336" s="1" t="str">
        <f t="shared" si="33"/>
        <v>抗拒外壳3</v>
      </c>
      <c r="E336" s="1">
        <v>7</v>
      </c>
      <c r="F336" s="1">
        <v>0</v>
      </c>
      <c r="G336" s="1">
        <v>1</v>
      </c>
      <c r="H336" s="1">
        <v>7</v>
      </c>
      <c r="K336" s="36" t="s">
        <v>3763</v>
      </c>
      <c r="L336" s="124">
        <v>20</v>
      </c>
      <c r="M336" s="1">
        <v>1</v>
      </c>
      <c r="N336" s="265">
        <f t="shared" si="42"/>
        <v>0.81666666666666665</v>
      </c>
      <c r="P336" s="1" t="str">
        <f t="shared" si="38"/>
        <v>[7]</v>
      </c>
      <c r="S336" s="1">
        <f t="shared" si="47"/>
        <v>20000</v>
      </c>
    </row>
    <row r="337" spans="1:19" x14ac:dyDescent="0.3">
      <c r="A337" s="270" t="s">
        <v>3762</v>
      </c>
      <c r="B337" s="1">
        <v>4</v>
      </c>
      <c r="C337" s="1">
        <v>37</v>
      </c>
      <c r="D337" s="1" t="str">
        <f t="shared" si="33"/>
        <v>抗拒外壳4</v>
      </c>
      <c r="E337" s="1">
        <v>7.5</v>
      </c>
      <c r="F337" s="1">
        <v>0</v>
      </c>
      <c r="G337" s="1">
        <v>1</v>
      </c>
      <c r="H337" s="1">
        <v>7.5</v>
      </c>
      <c r="K337" s="36" t="s">
        <v>3763</v>
      </c>
      <c r="L337" s="124">
        <v>20</v>
      </c>
      <c r="M337" s="1">
        <v>1</v>
      </c>
      <c r="N337" s="265">
        <f t="shared" si="42"/>
        <v>0.875</v>
      </c>
      <c r="P337" s="1" t="str">
        <f t="shared" si="38"/>
        <v>[7.5]</v>
      </c>
      <c r="S337" s="1">
        <f t="shared" si="47"/>
        <v>20000</v>
      </c>
    </row>
    <row r="338" spans="1:19" x14ac:dyDescent="0.3">
      <c r="A338" s="270" t="s">
        <v>3762</v>
      </c>
      <c r="B338" s="1">
        <v>5</v>
      </c>
      <c r="C338" s="1">
        <v>37</v>
      </c>
      <c r="D338" s="1" t="str">
        <f t="shared" si="33"/>
        <v>抗拒外壳5</v>
      </c>
      <c r="E338" s="1">
        <v>8</v>
      </c>
      <c r="F338" s="1">
        <v>0</v>
      </c>
      <c r="G338" s="1">
        <v>1</v>
      </c>
      <c r="H338" s="1">
        <v>8</v>
      </c>
      <c r="K338" s="36" t="s">
        <v>3763</v>
      </c>
      <c r="L338" s="124">
        <v>20</v>
      </c>
      <c r="M338" s="1">
        <v>1</v>
      </c>
      <c r="N338" s="265">
        <f t="shared" si="42"/>
        <v>0.93333333333333335</v>
      </c>
      <c r="P338" s="1" t="str">
        <f t="shared" si="38"/>
        <v>[8]</v>
      </c>
      <c r="S338" s="1">
        <f t="shared" si="47"/>
        <v>20000</v>
      </c>
    </row>
    <row r="339" spans="1:19" x14ac:dyDescent="0.3">
      <c r="A339" s="270" t="s">
        <v>3762</v>
      </c>
      <c r="B339" s="1">
        <v>6</v>
      </c>
      <c r="C339" s="1">
        <v>37</v>
      </c>
      <c r="D339" s="1" t="str">
        <f t="shared" si="33"/>
        <v>抗拒外壳6</v>
      </c>
      <c r="E339" s="1">
        <v>8.5</v>
      </c>
      <c r="F339" s="1">
        <v>0</v>
      </c>
      <c r="G339" s="1">
        <v>1</v>
      </c>
      <c r="H339" s="1">
        <v>8.5</v>
      </c>
      <c r="K339" s="36" t="s">
        <v>3763</v>
      </c>
      <c r="L339" s="124">
        <v>20</v>
      </c>
      <c r="M339" s="1">
        <v>1</v>
      </c>
      <c r="N339" s="265">
        <f t="shared" si="42"/>
        <v>0.9916666666666667</v>
      </c>
      <c r="P339" s="1" t="str">
        <f t="shared" si="38"/>
        <v>[8.5]</v>
      </c>
      <c r="S339" s="1">
        <f t="shared" si="47"/>
        <v>20000</v>
      </c>
    </row>
    <row r="340" spans="1:19" x14ac:dyDescent="0.3">
      <c r="A340" s="270" t="s">
        <v>3762</v>
      </c>
      <c r="B340" s="1">
        <v>7</v>
      </c>
      <c r="C340" s="1">
        <v>37</v>
      </c>
      <c r="D340" s="1" t="str">
        <f t="shared" si="33"/>
        <v>抗拒外壳7</v>
      </c>
      <c r="E340" s="1">
        <v>9</v>
      </c>
      <c r="F340" s="1">
        <v>0</v>
      </c>
      <c r="G340" s="1">
        <v>1</v>
      </c>
      <c r="H340" s="1">
        <v>9</v>
      </c>
      <c r="K340" s="36" t="s">
        <v>3763</v>
      </c>
      <c r="L340" s="124">
        <v>20</v>
      </c>
      <c r="M340" s="1">
        <v>1</v>
      </c>
      <c r="N340" s="265">
        <f t="shared" si="42"/>
        <v>1.05</v>
      </c>
      <c r="P340" s="1" t="str">
        <f t="shared" si="38"/>
        <v>[9]</v>
      </c>
      <c r="S340" s="1">
        <f t="shared" si="47"/>
        <v>20000</v>
      </c>
    </row>
    <row r="341" spans="1:19" x14ac:dyDescent="0.3">
      <c r="K341" s="36"/>
      <c r="L341" s="124"/>
      <c r="N341" s="130"/>
    </row>
    <row r="342" spans="1:19" x14ac:dyDescent="0.3">
      <c r="K342" s="36"/>
      <c r="L342" s="124"/>
      <c r="N342" s="130"/>
    </row>
    <row r="343" spans="1:19" x14ac:dyDescent="0.3">
      <c r="K343" s="36"/>
      <c r="L343" s="124"/>
      <c r="N343" s="130"/>
    </row>
    <row r="344" spans="1:19" x14ac:dyDescent="0.3">
      <c r="K344" s="36"/>
      <c r="L344" s="124"/>
      <c r="N344" s="130"/>
    </row>
    <row r="345" spans="1:19" x14ac:dyDescent="0.3">
      <c r="K345" s="36"/>
      <c r="L345" s="124"/>
      <c r="N345" s="130"/>
    </row>
    <row r="346" spans="1:19" ht="15.75" x14ac:dyDescent="0.3">
      <c r="A346"/>
    </row>
    <row r="347" spans="1:19" ht="15.75" x14ac:dyDescent="0.3">
      <c r="A347" s="35" t="s">
        <v>1653</v>
      </c>
    </row>
    <row r="348" spans="1:19" s="35" customFormat="1" ht="15" x14ac:dyDescent="0.25">
      <c r="A348" s="141" t="s">
        <v>1407</v>
      </c>
      <c r="B348" s="141" t="s">
        <v>1654</v>
      </c>
      <c r="C348" s="141" t="s">
        <v>1655</v>
      </c>
      <c r="D348" s="141" t="s">
        <v>1656</v>
      </c>
      <c r="E348" s="141" t="s">
        <v>1657</v>
      </c>
      <c r="F348" s="141" t="s">
        <v>1658</v>
      </c>
      <c r="G348" s="141" t="s">
        <v>1407</v>
      </c>
      <c r="H348" s="141" t="s">
        <v>1408</v>
      </c>
    </row>
    <row r="349" spans="1:19" ht="15.75" x14ac:dyDescent="0.3">
      <c r="A349" s="7" t="s">
        <v>1567</v>
      </c>
      <c r="B349" s="2">
        <v>6</v>
      </c>
      <c r="C349" s="142">
        <v>1</v>
      </c>
      <c r="D349" s="2">
        <v>25</v>
      </c>
      <c r="E349" s="2">
        <v>2</v>
      </c>
      <c r="F349" s="110">
        <f>(B349/D349)*E349</f>
        <v>0.48</v>
      </c>
      <c r="G349" s="2" t="s">
        <v>1567</v>
      </c>
      <c r="H349" s="3" t="s">
        <v>1628</v>
      </c>
    </row>
    <row r="350" spans="1:19" ht="15.75" x14ac:dyDescent="0.3">
      <c r="A350" s="7" t="s">
        <v>1571</v>
      </c>
      <c r="B350" s="2">
        <v>8</v>
      </c>
      <c r="C350" s="142">
        <v>0.75</v>
      </c>
      <c r="D350" s="2">
        <v>25</v>
      </c>
      <c r="E350" s="2">
        <v>1.75</v>
      </c>
      <c r="F350" s="110">
        <f t="shared" ref="F350:F355" si="48">(B350/D350)*E350</f>
        <v>0.56000000000000005</v>
      </c>
      <c r="G350" s="2" t="s">
        <v>1659</v>
      </c>
      <c r="H350" s="3" t="s">
        <v>1660</v>
      </c>
    </row>
    <row r="351" spans="1:19" ht="15.75" x14ac:dyDescent="0.3">
      <c r="A351" s="7" t="s">
        <v>1409</v>
      </c>
      <c r="B351" s="2">
        <v>6</v>
      </c>
      <c r="C351" s="142">
        <v>0.8</v>
      </c>
      <c r="D351" s="2">
        <v>15</v>
      </c>
      <c r="E351" s="2">
        <v>2</v>
      </c>
      <c r="F351" s="110">
        <f t="shared" si="48"/>
        <v>0.8</v>
      </c>
      <c r="G351" s="2" t="s">
        <v>1409</v>
      </c>
      <c r="H351" s="3" t="s">
        <v>1624</v>
      </c>
    </row>
    <row r="352" spans="1:19" ht="15.75" x14ac:dyDescent="0.3">
      <c r="A352" s="7" t="s">
        <v>3765</v>
      </c>
      <c r="B352" s="262">
        <v>10</v>
      </c>
      <c r="C352" s="142">
        <v>0.4</v>
      </c>
      <c r="D352" s="262">
        <v>15</v>
      </c>
      <c r="E352" s="262">
        <v>1.4</v>
      </c>
      <c r="F352" s="110">
        <f t="shared" si="48"/>
        <v>0.93333333333333324</v>
      </c>
      <c r="G352" s="262" t="s">
        <v>3771</v>
      </c>
      <c r="H352" s="3" t="s">
        <v>3768</v>
      </c>
    </row>
    <row r="353" spans="1:8" ht="15.75" x14ac:dyDescent="0.3">
      <c r="A353" s="7" t="s">
        <v>3766</v>
      </c>
      <c r="B353" s="262">
        <v>10</v>
      </c>
      <c r="C353" s="142">
        <v>0.6</v>
      </c>
      <c r="D353" s="262">
        <v>20</v>
      </c>
      <c r="E353" s="262">
        <v>1.4</v>
      </c>
      <c r="F353" s="110">
        <f t="shared" si="48"/>
        <v>0.7</v>
      </c>
      <c r="G353" s="262" t="s">
        <v>3772</v>
      </c>
      <c r="H353" s="3" t="s">
        <v>3769</v>
      </c>
    </row>
    <row r="354" spans="1:8" ht="15.75" x14ac:dyDescent="0.3">
      <c r="A354" s="7" t="s">
        <v>3767</v>
      </c>
      <c r="B354" s="262">
        <v>6</v>
      </c>
      <c r="C354" s="142">
        <v>0.5</v>
      </c>
      <c r="D354" s="262">
        <v>15</v>
      </c>
      <c r="E354" s="262">
        <v>2</v>
      </c>
      <c r="F354" s="110">
        <f t="shared" si="48"/>
        <v>0.8</v>
      </c>
      <c r="G354" s="262" t="s">
        <v>3773</v>
      </c>
      <c r="H354" s="3" t="s">
        <v>3770</v>
      </c>
    </row>
    <row r="355" spans="1:8" ht="15.75" x14ac:dyDescent="0.3">
      <c r="A355" s="284" t="s">
        <v>4264</v>
      </c>
      <c r="B355" s="348">
        <v>1</v>
      </c>
      <c r="C355" s="142">
        <v>1.1499999999999999</v>
      </c>
      <c r="D355" s="348">
        <v>15</v>
      </c>
      <c r="E355" s="348">
        <v>7</v>
      </c>
      <c r="F355" s="110">
        <f t="shared" si="48"/>
        <v>0.46666666666666667</v>
      </c>
      <c r="G355" s="348" t="s">
        <v>4264</v>
      </c>
      <c r="H355" s="348"/>
    </row>
    <row r="356" spans="1:8" ht="15.75" x14ac:dyDescent="0.3">
      <c r="A356"/>
    </row>
    <row r="357" spans="1:8" ht="15.75" x14ac:dyDescent="0.3">
      <c r="A357"/>
    </row>
    <row r="358" spans="1:8" ht="15.75" x14ac:dyDescent="0.3">
      <c r="A358"/>
    </row>
    <row r="359" spans="1:8" ht="15.75" x14ac:dyDescent="0.3">
      <c r="A359"/>
    </row>
    <row r="360" spans="1:8" ht="15.75" x14ac:dyDescent="0.3">
      <c r="A360"/>
    </row>
    <row r="361" spans="1:8" ht="15.75" x14ac:dyDescent="0.3">
      <c r="A361"/>
    </row>
    <row r="362" spans="1:8" ht="15.75" x14ac:dyDescent="0.3">
      <c r="A362"/>
    </row>
    <row r="363" spans="1:8" ht="15.75" x14ac:dyDescent="0.3">
      <c r="A363"/>
    </row>
    <row r="364" spans="1:8" ht="15.75" x14ac:dyDescent="0.3">
      <c r="A364"/>
    </row>
    <row r="365" spans="1:8" ht="15.75" x14ac:dyDescent="0.3">
      <c r="A365"/>
    </row>
    <row r="366" spans="1:8" ht="15.75" x14ac:dyDescent="0.3">
      <c r="A366"/>
    </row>
    <row r="367" spans="1:8" ht="15.75" x14ac:dyDescent="0.3">
      <c r="A367"/>
    </row>
    <row r="368" spans="1:8" ht="15.75" x14ac:dyDescent="0.3">
      <c r="A368"/>
    </row>
    <row r="369" spans="1:1" ht="15.75" x14ac:dyDescent="0.3">
      <c r="A369"/>
    </row>
    <row r="370" spans="1:1" ht="15.75" x14ac:dyDescent="0.3">
      <c r="A370"/>
    </row>
    <row r="371" spans="1:1" ht="15.75" x14ac:dyDescent="0.3">
      <c r="A371"/>
    </row>
    <row r="372" spans="1:1" ht="15.75" x14ac:dyDescent="0.3">
      <c r="A372"/>
    </row>
    <row r="373" spans="1:1" ht="15.75" x14ac:dyDescent="0.3">
      <c r="A373"/>
    </row>
    <row r="374" spans="1:1" ht="15.75" x14ac:dyDescent="0.3">
      <c r="A374"/>
    </row>
    <row r="375" spans="1:1" ht="15.75" x14ac:dyDescent="0.3">
      <c r="A375"/>
    </row>
    <row r="376" spans="1:1" ht="15.75" x14ac:dyDescent="0.3">
      <c r="A376"/>
    </row>
    <row r="377" spans="1:1" ht="15.75" x14ac:dyDescent="0.3">
      <c r="A377"/>
    </row>
    <row r="378" spans="1:1" ht="15.75" x14ac:dyDescent="0.3">
      <c r="A378"/>
    </row>
    <row r="379" spans="1:1" ht="15.75" x14ac:dyDescent="0.3">
      <c r="A379"/>
    </row>
    <row r="380" spans="1:1" ht="15.75" x14ac:dyDescent="0.3">
      <c r="A380"/>
    </row>
    <row r="381" spans="1:1" ht="15.75" x14ac:dyDescent="0.3">
      <c r="A381"/>
    </row>
    <row r="382" spans="1:1" ht="15.75" x14ac:dyDescent="0.3">
      <c r="A382"/>
    </row>
    <row r="383" spans="1:1" ht="15.75" x14ac:dyDescent="0.3">
      <c r="A383"/>
    </row>
    <row r="384" spans="1:1" ht="15.75" x14ac:dyDescent="0.3">
      <c r="A384"/>
    </row>
    <row r="385" spans="1:1" ht="15.75" x14ac:dyDescent="0.3">
      <c r="A385"/>
    </row>
    <row r="386" spans="1:1" ht="15.75" x14ac:dyDescent="0.3">
      <c r="A386"/>
    </row>
    <row r="387" spans="1:1" ht="15.75" x14ac:dyDescent="0.3">
      <c r="A387"/>
    </row>
    <row r="388" spans="1:1" ht="15.75" x14ac:dyDescent="0.3">
      <c r="A388"/>
    </row>
    <row r="389" spans="1:1" ht="15.75" x14ac:dyDescent="0.3">
      <c r="A389"/>
    </row>
    <row r="390" spans="1:1" ht="15.75" x14ac:dyDescent="0.3">
      <c r="A390"/>
    </row>
    <row r="391" spans="1:1" ht="15.75" x14ac:dyDescent="0.3">
      <c r="A391"/>
    </row>
    <row r="392" spans="1:1" ht="15.75" x14ac:dyDescent="0.3">
      <c r="A392"/>
    </row>
    <row r="393" spans="1:1" ht="15.75" x14ac:dyDescent="0.3">
      <c r="A393"/>
    </row>
    <row r="394" spans="1:1" ht="15.75" x14ac:dyDescent="0.3">
      <c r="A394"/>
    </row>
    <row r="395" spans="1:1" ht="15.75" x14ac:dyDescent="0.3">
      <c r="A395"/>
    </row>
    <row r="396" spans="1:1" ht="15.75" x14ac:dyDescent="0.3">
      <c r="A396"/>
    </row>
    <row r="397" spans="1:1" ht="15.75" x14ac:dyDescent="0.3">
      <c r="A397"/>
    </row>
    <row r="398" spans="1:1" ht="15.75" x14ac:dyDescent="0.3">
      <c r="A398"/>
    </row>
    <row r="399" spans="1:1" ht="15.75" x14ac:dyDescent="0.3">
      <c r="A399"/>
    </row>
    <row r="400" spans="1:1" ht="15.75" x14ac:dyDescent="0.3">
      <c r="A400"/>
    </row>
    <row r="401" spans="1:1" ht="15.75" x14ac:dyDescent="0.3">
      <c r="A401"/>
    </row>
    <row r="402" spans="1:1" ht="15.75" x14ac:dyDescent="0.3">
      <c r="A402"/>
    </row>
    <row r="403" spans="1:1" ht="15.75" x14ac:dyDescent="0.3">
      <c r="A403"/>
    </row>
    <row r="404" spans="1:1" ht="15.75" x14ac:dyDescent="0.3">
      <c r="A404"/>
    </row>
    <row r="405" spans="1:1" ht="15.75" x14ac:dyDescent="0.3">
      <c r="A405"/>
    </row>
    <row r="406" spans="1:1" ht="15.75" x14ac:dyDescent="0.3">
      <c r="A406"/>
    </row>
    <row r="407" spans="1:1" ht="15.75" x14ac:dyDescent="0.3">
      <c r="A407"/>
    </row>
    <row r="408" spans="1:1" ht="15.75" x14ac:dyDescent="0.3">
      <c r="A408"/>
    </row>
    <row r="409" spans="1:1" ht="15.75" x14ac:dyDescent="0.3">
      <c r="A409"/>
    </row>
    <row r="410" spans="1:1" ht="15.75" x14ac:dyDescent="0.3">
      <c r="A410"/>
    </row>
    <row r="411" spans="1:1" ht="15.75" x14ac:dyDescent="0.3">
      <c r="A411"/>
    </row>
    <row r="412" spans="1:1" ht="15.75" x14ac:dyDescent="0.3">
      <c r="A412"/>
    </row>
    <row r="413" spans="1:1" ht="15.75" x14ac:dyDescent="0.3">
      <c r="A413"/>
    </row>
    <row r="414" spans="1:1" ht="15.75" x14ac:dyDescent="0.3">
      <c r="A414"/>
    </row>
    <row r="415" spans="1:1" ht="15.75" x14ac:dyDescent="0.3">
      <c r="A415"/>
    </row>
    <row r="416" spans="1:1" ht="15.75" x14ac:dyDescent="0.3">
      <c r="A416"/>
    </row>
    <row r="417" spans="1:1" ht="15.75" x14ac:dyDescent="0.3">
      <c r="A417"/>
    </row>
    <row r="418" spans="1:1" ht="15.75" x14ac:dyDescent="0.3">
      <c r="A418"/>
    </row>
    <row r="419" spans="1:1" ht="15.75" x14ac:dyDescent="0.3">
      <c r="A419"/>
    </row>
    <row r="420" spans="1:1" ht="15.75" x14ac:dyDescent="0.3">
      <c r="A420"/>
    </row>
    <row r="421" spans="1:1" ht="15.75" x14ac:dyDescent="0.3">
      <c r="A421"/>
    </row>
    <row r="422" spans="1:1" ht="15.75" x14ac:dyDescent="0.3">
      <c r="A422"/>
    </row>
    <row r="423" spans="1:1" ht="15.75" x14ac:dyDescent="0.3">
      <c r="A423"/>
    </row>
    <row r="424" spans="1:1" ht="15.75" x14ac:dyDescent="0.3">
      <c r="A424"/>
    </row>
    <row r="425" spans="1:1" ht="15.75" x14ac:dyDescent="0.3">
      <c r="A425"/>
    </row>
    <row r="426" spans="1:1" ht="15.75" x14ac:dyDescent="0.3">
      <c r="A426"/>
    </row>
    <row r="427" spans="1:1" ht="15.75" x14ac:dyDescent="0.3">
      <c r="A427"/>
    </row>
    <row r="428" spans="1:1" ht="15.75" x14ac:dyDescent="0.3">
      <c r="A428"/>
    </row>
    <row r="429" spans="1:1" ht="15.75" x14ac:dyDescent="0.3">
      <c r="A429"/>
    </row>
    <row r="430" spans="1:1" ht="15.75" x14ac:dyDescent="0.3">
      <c r="A430"/>
    </row>
    <row r="431" spans="1:1" ht="15.75" x14ac:dyDescent="0.3">
      <c r="A431"/>
    </row>
    <row r="432" spans="1:1" ht="15.75" x14ac:dyDescent="0.3">
      <c r="A432"/>
    </row>
    <row r="433" spans="1:1" ht="15.75" x14ac:dyDescent="0.3">
      <c r="A433"/>
    </row>
    <row r="434" spans="1:1" ht="15.75" x14ac:dyDescent="0.3">
      <c r="A434"/>
    </row>
    <row r="435" spans="1:1" ht="15.75" x14ac:dyDescent="0.3">
      <c r="A435"/>
    </row>
    <row r="436" spans="1:1" ht="15.75" x14ac:dyDescent="0.3">
      <c r="A436"/>
    </row>
    <row r="437" spans="1:1" ht="15.75" x14ac:dyDescent="0.3">
      <c r="A437"/>
    </row>
    <row r="438" spans="1:1" ht="15.75" x14ac:dyDescent="0.3">
      <c r="A438"/>
    </row>
    <row r="439" spans="1:1" ht="15.75" x14ac:dyDescent="0.3">
      <c r="A439"/>
    </row>
    <row r="440" spans="1:1" ht="15.75" x14ac:dyDescent="0.3">
      <c r="A440"/>
    </row>
    <row r="441" spans="1:1" ht="15.75" x14ac:dyDescent="0.3">
      <c r="A441"/>
    </row>
    <row r="442" spans="1:1" ht="15.75" x14ac:dyDescent="0.3">
      <c r="A442"/>
    </row>
    <row r="443" spans="1:1" ht="15.75" x14ac:dyDescent="0.3">
      <c r="A443"/>
    </row>
    <row r="444" spans="1:1" ht="15.75" x14ac:dyDescent="0.3">
      <c r="A444"/>
    </row>
    <row r="445" spans="1:1" ht="15.75" x14ac:dyDescent="0.3">
      <c r="A445"/>
    </row>
    <row r="446" spans="1:1" ht="15.75" x14ac:dyDescent="0.3">
      <c r="A446"/>
    </row>
    <row r="447" spans="1:1" ht="15.75" x14ac:dyDescent="0.3">
      <c r="A447"/>
    </row>
    <row r="448" spans="1:1" ht="15.75" x14ac:dyDescent="0.3">
      <c r="A448"/>
    </row>
    <row r="449" spans="1:1" ht="15.75" x14ac:dyDescent="0.3">
      <c r="A449"/>
    </row>
    <row r="450" spans="1:1" ht="15.75" x14ac:dyDescent="0.3">
      <c r="A450"/>
    </row>
    <row r="451" spans="1:1" ht="15.75" x14ac:dyDescent="0.3">
      <c r="A451"/>
    </row>
    <row r="452" spans="1:1" ht="15.75" x14ac:dyDescent="0.3">
      <c r="A452"/>
    </row>
    <row r="453" spans="1:1" ht="15.75" x14ac:dyDescent="0.3">
      <c r="A453"/>
    </row>
    <row r="454" spans="1:1" ht="15.75" x14ac:dyDescent="0.3">
      <c r="A454"/>
    </row>
    <row r="455" spans="1:1" ht="15.75" x14ac:dyDescent="0.3">
      <c r="A455"/>
    </row>
    <row r="456" spans="1:1" ht="15.75" x14ac:dyDescent="0.3">
      <c r="A456"/>
    </row>
    <row r="457" spans="1:1" ht="15.75" x14ac:dyDescent="0.3">
      <c r="A457"/>
    </row>
    <row r="458" spans="1:1" ht="15.75" x14ac:dyDescent="0.3">
      <c r="A458"/>
    </row>
    <row r="459" spans="1:1" ht="15.75" x14ac:dyDescent="0.3">
      <c r="A459"/>
    </row>
    <row r="460" spans="1:1" ht="15.75" x14ac:dyDescent="0.3">
      <c r="A460"/>
    </row>
    <row r="461" spans="1:1" ht="15.75" x14ac:dyDescent="0.3">
      <c r="A461"/>
    </row>
    <row r="462" spans="1:1" ht="15.75" x14ac:dyDescent="0.3">
      <c r="A462"/>
    </row>
    <row r="463" spans="1:1" ht="15.75" x14ac:dyDescent="0.3">
      <c r="A463"/>
    </row>
    <row r="464" spans="1:1" ht="15.75" x14ac:dyDescent="0.3">
      <c r="A464"/>
    </row>
    <row r="465" spans="1:1" ht="15.75" x14ac:dyDescent="0.3">
      <c r="A465"/>
    </row>
    <row r="466" spans="1:1" ht="15.75" x14ac:dyDescent="0.3">
      <c r="A466"/>
    </row>
    <row r="467" spans="1:1" ht="15.75" x14ac:dyDescent="0.3">
      <c r="A467"/>
    </row>
    <row r="468" spans="1:1" ht="15.75" x14ac:dyDescent="0.3">
      <c r="A468"/>
    </row>
    <row r="469" spans="1:1" ht="15.75" x14ac:dyDescent="0.3">
      <c r="A469"/>
    </row>
    <row r="470" spans="1:1" ht="15.75" x14ac:dyDescent="0.3">
      <c r="A470"/>
    </row>
    <row r="471" spans="1:1" ht="15.75" x14ac:dyDescent="0.3">
      <c r="A471"/>
    </row>
    <row r="472" spans="1:1" ht="15.75" x14ac:dyDescent="0.3">
      <c r="A472"/>
    </row>
    <row r="473" spans="1:1" ht="15.75" x14ac:dyDescent="0.3">
      <c r="A473"/>
    </row>
    <row r="474" spans="1:1" ht="15.75" x14ac:dyDescent="0.3">
      <c r="A474"/>
    </row>
    <row r="475" spans="1:1" ht="15.75" x14ac:dyDescent="0.3">
      <c r="A475"/>
    </row>
    <row r="476" spans="1:1" ht="15.75" x14ac:dyDescent="0.3">
      <c r="A476"/>
    </row>
    <row r="477" spans="1:1" ht="15.75" x14ac:dyDescent="0.3">
      <c r="A477"/>
    </row>
    <row r="478" spans="1:1" ht="15.75" x14ac:dyDescent="0.3">
      <c r="A478"/>
    </row>
    <row r="479" spans="1:1" ht="15.75" x14ac:dyDescent="0.3">
      <c r="A479"/>
    </row>
    <row r="480" spans="1:1" ht="15.75" x14ac:dyDescent="0.3">
      <c r="A480"/>
    </row>
    <row r="481" spans="1:1" ht="15.75" x14ac:dyDescent="0.3">
      <c r="A481"/>
    </row>
    <row r="482" spans="1:1" ht="15.75" x14ac:dyDescent="0.3">
      <c r="A482"/>
    </row>
    <row r="483" spans="1:1" ht="15.75" x14ac:dyDescent="0.3">
      <c r="A483"/>
    </row>
    <row r="484" spans="1:1" ht="15.75" x14ac:dyDescent="0.3">
      <c r="A484"/>
    </row>
    <row r="485" spans="1:1" ht="15.75" x14ac:dyDescent="0.3">
      <c r="A485"/>
    </row>
    <row r="486" spans="1:1" ht="15.75" x14ac:dyDescent="0.3">
      <c r="A486"/>
    </row>
    <row r="487" spans="1:1" ht="15.75" x14ac:dyDescent="0.3">
      <c r="A487"/>
    </row>
    <row r="488" spans="1:1" ht="15.75" x14ac:dyDescent="0.3">
      <c r="A488"/>
    </row>
    <row r="489" spans="1:1" ht="15.75" x14ac:dyDescent="0.3">
      <c r="A489"/>
    </row>
    <row r="490" spans="1:1" ht="15.75" x14ac:dyDescent="0.3">
      <c r="A490"/>
    </row>
    <row r="491" spans="1:1" ht="15.75" x14ac:dyDescent="0.3">
      <c r="A491"/>
    </row>
    <row r="492" spans="1:1" ht="15.75" x14ac:dyDescent="0.3">
      <c r="A492"/>
    </row>
    <row r="493" spans="1:1" ht="15.75" x14ac:dyDescent="0.3">
      <c r="A493"/>
    </row>
    <row r="494" spans="1:1" ht="15.75" x14ac:dyDescent="0.3">
      <c r="A494"/>
    </row>
    <row r="495" spans="1:1" ht="15.75" x14ac:dyDescent="0.3">
      <c r="A495"/>
    </row>
    <row r="496" spans="1:1" ht="15.75" x14ac:dyDescent="0.3">
      <c r="A496"/>
    </row>
    <row r="497" spans="1:1" ht="15.75" x14ac:dyDescent="0.3">
      <c r="A497"/>
    </row>
    <row r="498" spans="1:1" ht="15.75" x14ac:dyDescent="0.3">
      <c r="A498"/>
    </row>
    <row r="499" spans="1:1" ht="15.75" x14ac:dyDescent="0.3">
      <c r="A499"/>
    </row>
    <row r="500" spans="1:1" ht="15.75" x14ac:dyDescent="0.3">
      <c r="A500"/>
    </row>
    <row r="501" spans="1:1" ht="15.75" x14ac:dyDescent="0.3">
      <c r="A501"/>
    </row>
    <row r="502" spans="1:1" ht="15.75" x14ac:dyDescent="0.3">
      <c r="A502"/>
    </row>
    <row r="503" spans="1:1" ht="15.75" x14ac:dyDescent="0.3">
      <c r="A503"/>
    </row>
    <row r="504" spans="1:1" ht="15.75" x14ac:dyDescent="0.3">
      <c r="A504"/>
    </row>
    <row r="505" spans="1:1" ht="15.75" x14ac:dyDescent="0.3">
      <c r="A505"/>
    </row>
    <row r="506" spans="1:1" ht="15.75" x14ac:dyDescent="0.3">
      <c r="A506"/>
    </row>
    <row r="507" spans="1:1" ht="15.75" x14ac:dyDescent="0.3">
      <c r="A507"/>
    </row>
    <row r="508" spans="1:1" ht="15.75" x14ac:dyDescent="0.3">
      <c r="A508"/>
    </row>
    <row r="509" spans="1:1" ht="15.75" x14ac:dyDescent="0.3">
      <c r="A509"/>
    </row>
    <row r="510" spans="1:1" ht="15.75" x14ac:dyDescent="0.3">
      <c r="A510"/>
    </row>
    <row r="511" spans="1:1" ht="15.75" x14ac:dyDescent="0.3">
      <c r="A511"/>
    </row>
    <row r="512" spans="1:1" ht="15.75" x14ac:dyDescent="0.3">
      <c r="A512"/>
    </row>
    <row r="513" spans="1:1" ht="15.75" x14ac:dyDescent="0.3">
      <c r="A513"/>
    </row>
    <row r="514" spans="1:1" ht="15.75" x14ac:dyDescent="0.3">
      <c r="A514"/>
    </row>
    <row r="515" spans="1:1" ht="15.75" x14ac:dyDescent="0.3">
      <c r="A515"/>
    </row>
    <row r="516" spans="1:1" ht="15.75" x14ac:dyDescent="0.3">
      <c r="A516"/>
    </row>
    <row r="517" spans="1:1" ht="15.75" x14ac:dyDescent="0.3">
      <c r="A517"/>
    </row>
    <row r="518" spans="1:1" ht="15.75" x14ac:dyDescent="0.3">
      <c r="A518"/>
    </row>
    <row r="519" spans="1:1" ht="15.75" x14ac:dyDescent="0.3">
      <c r="A519"/>
    </row>
    <row r="520" spans="1:1" ht="15.75" x14ac:dyDescent="0.3">
      <c r="A520"/>
    </row>
    <row r="521" spans="1:1" ht="15.75" x14ac:dyDescent="0.3">
      <c r="A521"/>
    </row>
    <row r="522" spans="1:1" ht="15.75" x14ac:dyDescent="0.3">
      <c r="A522"/>
    </row>
    <row r="523" spans="1:1" ht="15.75" x14ac:dyDescent="0.3">
      <c r="A523"/>
    </row>
    <row r="524" spans="1:1" ht="15.75" x14ac:dyDescent="0.3">
      <c r="A524"/>
    </row>
    <row r="525" spans="1:1" ht="15.75" x14ac:dyDescent="0.3">
      <c r="A525"/>
    </row>
    <row r="526" spans="1:1" ht="15.75" x14ac:dyDescent="0.3">
      <c r="A526"/>
    </row>
    <row r="527" spans="1:1" ht="15.75" x14ac:dyDescent="0.3">
      <c r="A527"/>
    </row>
    <row r="528" spans="1:1" ht="15.75" x14ac:dyDescent="0.3">
      <c r="A528"/>
    </row>
    <row r="529" spans="1:1" ht="15.75" x14ac:dyDescent="0.3">
      <c r="A529"/>
    </row>
    <row r="530" spans="1:1" ht="15.75" x14ac:dyDescent="0.3">
      <c r="A530"/>
    </row>
    <row r="531" spans="1:1" ht="15.75" x14ac:dyDescent="0.3">
      <c r="A531"/>
    </row>
    <row r="532" spans="1:1" ht="15.75" x14ac:dyDescent="0.3">
      <c r="A532"/>
    </row>
    <row r="533" spans="1:1" ht="15.75" x14ac:dyDescent="0.3">
      <c r="A533"/>
    </row>
    <row r="534" spans="1:1" ht="15.75" x14ac:dyDescent="0.3">
      <c r="A534"/>
    </row>
    <row r="535" spans="1:1" ht="15.75" x14ac:dyDescent="0.3">
      <c r="A535"/>
    </row>
    <row r="536" spans="1:1" ht="15.75" x14ac:dyDescent="0.3">
      <c r="A536"/>
    </row>
    <row r="537" spans="1:1" ht="15.75" x14ac:dyDescent="0.3">
      <c r="A537"/>
    </row>
    <row r="538" spans="1:1" ht="15.75" x14ac:dyDescent="0.3">
      <c r="A538"/>
    </row>
    <row r="539" spans="1:1" ht="15.75" x14ac:dyDescent="0.3">
      <c r="A539"/>
    </row>
    <row r="540" spans="1:1" ht="15.75" x14ac:dyDescent="0.3">
      <c r="A540"/>
    </row>
    <row r="541" spans="1:1" ht="15.75" x14ac:dyDescent="0.3">
      <c r="A541"/>
    </row>
    <row r="542" spans="1:1" ht="15.75" x14ac:dyDescent="0.3">
      <c r="A542"/>
    </row>
    <row r="543" spans="1:1" ht="15.75" x14ac:dyDescent="0.3">
      <c r="A543"/>
    </row>
    <row r="544" spans="1:1" ht="15.75" x14ac:dyDescent="0.3">
      <c r="A544"/>
    </row>
    <row r="545" spans="1:1" ht="15.75" x14ac:dyDescent="0.3">
      <c r="A545"/>
    </row>
    <row r="546" spans="1:1" ht="15.75" x14ac:dyDescent="0.3">
      <c r="A546"/>
    </row>
    <row r="547" spans="1:1" ht="15.75" x14ac:dyDescent="0.3">
      <c r="A547"/>
    </row>
    <row r="548" spans="1:1" ht="15.75" x14ac:dyDescent="0.3">
      <c r="A548"/>
    </row>
    <row r="549" spans="1:1" ht="15.75" x14ac:dyDescent="0.3">
      <c r="A549"/>
    </row>
    <row r="550" spans="1:1" ht="15.75" x14ac:dyDescent="0.3">
      <c r="A550"/>
    </row>
    <row r="551" spans="1:1" ht="15.75" x14ac:dyDescent="0.3">
      <c r="A551"/>
    </row>
    <row r="552" spans="1:1" ht="15.75" x14ac:dyDescent="0.3">
      <c r="A552"/>
    </row>
    <row r="553" spans="1:1" ht="15.75" x14ac:dyDescent="0.3">
      <c r="A553"/>
    </row>
    <row r="554" spans="1:1" ht="15.75" x14ac:dyDescent="0.3">
      <c r="A554"/>
    </row>
    <row r="555" spans="1:1" ht="15.75" x14ac:dyDescent="0.3">
      <c r="A555"/>
    </row>
    <row r="556" spans="1:1" ht="15.75" x14ac:dyDescent="0.3">
      <c r="A556"/>
    </row>
    <row r="557" spans="1:1" ht="15.75" x14ac:dyDescent="0.3">
      <c r="A557"/>
    </row>
    <row r="558" spans="1:1" ht="15.75" x14ac:dyDescent="0.3">
      <c r="A558"/>
    </row>
    <row r="559" spans="1:1" ht="15.75" x14ac:dyDescent="0.3">
      <c r="A559"/>
    </row>
    <row r="560" spans="1:1" ht="15.75" x14ac:dyDescent="0.3">
      <c r="A560"/>
    </row>
    <row r="561" spans="1:1" ht="15.75" x14ac:dyDescent="0.3">
      <c r="A561"/>
    </row>
    <row r="562" spans="1:1" ht="15.75" x14ac:dyDescent="0.3">
      <c r="A562"/>
    </row>
    <row r="563" spans="1:1" ht="15.75" x14ac:dyDescent="0.3">
      <c r="A563"/>
    </row>
    <row r="564" spans="1:1" ht="15.75" x14ac:dyDescent="0.3">
      <c r="A564"/>
    </row>
    <row r="565" spans="1:1" ht="15.75" x14ac:dyDescent="0.3">
      <c r="A565"/>
    </row>
    <row r="566" spans="1:1" ht="15.75" x14ac:dyDescent="0.3">
      <c r="A566"/>
    </row>
    <row r="567" spans="1:1" ht="15.75" x14ac:dyDescent="0.3">
      <c r="A567"/>
    </row>
    <row r="568" spans="1:1" ht="15.75" x14ac:dyDescent="0.3">
      <c r="A568"/>
    </row>
    <row r="569" spans="1:1" ht="15.75" x14ac:dyDescent="0.3">
      <c r="A569"/>
    </row>
    <row r="570" spans="1:1" ht="15.75" x14ac:dyDescent="0.3">
      <c r="A570"/>
    </row>
    <row r="571" spans="1:1" ht="15.75" x14ac:dyDescent="0.3">
      <c r="A571"/>
    </row>
    <row r="572" spans="1:1" ht="15.75" x14ac:dyDescent="0.3">
      <c r="A572"/>
    </row>
    <row r="573" spans="1:1" ht="15.75" x14ac:dyDescent="0.3">
      <c r="A573"/>
    </row>
    <row r="574" spans="1:1" ht="15.75" x14ac:dyDescent="0.3">
      <c r="A574"/>
    </row>
    <row r="575" spans="1:1" ht="15.75" x14ac:dyDescent="0.3">
      <c r="A575"/>
    </row>
    <row r="576" spans="1:1" ht="15.75" x14ac:dyDescent="0.3">
      <c r="A576"/>
    </row>
    <row r="577" spans="1:1" ht="15.75" x14ac:dyDescent="0.3">
      <c r="A577"/>
    </row>
    <row r="578" spans="1:1" ht="15.75" x14ac:dyDescent="0.3">
      <c r="A578"/>
    </row>
    <row r="579" spans="1:1" ht="15.75" x14ac:dyDescent="0.3">
      <c r="A579"/>
    </row>
    <row r="580" spans="1:1" ht="15.75" x14ac:dyDescent="0.3">
      <c r="A580"/>
    </row>
    <row r="581" spans="1:1" ht="15.75" x14ac:dyDescent="0.3">
      <c r="A581"/>
    </row>
    <row r="582" spans="1:1" ht="15.75" x14ac:dyDescent="0.3">
      <c r="A582"/>
    </row>
    <row r="583" spans="1:1" ht="15.75" x14ac:dyDescent="0.3">
      <c r="A583"/>
    </row>
    <row r="584" spans="1:1" ht="15.75" x14ac:dyDescent="0.3">
      <c r="A584"/>
    </row>
    <row r="585" spans="1:1" ht="15.75" x14ac:dyDescent="0.3">
      <c r="A585"/>
    </row>
    <row r="586" spans="1:1" ht="15.75" x14ac:dyDescent="0.3">
      <c r="A586"/>
    </row>
    <row r="587" spans="1:1" ht="15.75" x14ac:dyDescent="0.3">
      <c r="A587"/>
    </row>
    <row r="588" spans="1:1" ht="15.75" x14ac:dyDescent="0.3">
      <c r="A588"/>
    </row>
    <row r="589" spans="1:1" ht="15.75" x14ac:dyDescent="0.3">
      <c r="A589"/>
    </row>
    <row r="590" spans="1:1" ht="15.75" x14ac:dyDescent="0.3">
      <c r="A590"/>
    </row>
    <row r="591" spans="1:1" ht="15.75" x14ac:dyDescent="0.3">
      <c r="A591"/>
    </row>
    <row r="592" spans="1:1" ht="15.75" x14ac:dyDescent="0.3">
      <c r="A592"/>
    </row>
    <row r="593" spans="1:1" ht="15.75" x14ac:dyDescent="0.3">
      <c r="A593"/>
    </row>
    <row r="594" spans="1:1" ht="15.75" x14ac:dyDescent="0.3">
      <c r="A594"/>
    </row>
    <row r="595" spans="1:1" ht="15.75" x14ac:dyDescent="0.3">
      <c r="A595"/>
    </row>
    <row r="596" spans="1:1" ht="15.75" x14ac:dyDescent="0.3">
      <c r="A596"/>
    </row>
    <row r="597" spans="1:1" ht="15.75" x14ac:dyDescent="0.3">
      <c r="A597"/>
    </row>
    <row r="598" spans="1:1" ht="15.75" x14ac:dyDescent="0.3">
      <c r="A598"/>
    </row>
    <row r="599" spans="1:1" ht="15.75" x14ac:dyDescent="0.3">
      <c r="A599"/>
    </row>
    <row r="600" spans="1:1" ht="15.75" x14ac:dyDescent="0.3">
      <c r="A600"/>
    </row>
    <row r="601" spans="1:1" ht="15.75" x14ac:dyDescent="0.3">
      <c r="A601"/>
    </row>
    <row r="602" spans="1:1" ht="15.75" x14ac:dyDescent="0.3">
      <c r="A602"/>
    </row>
    <row r="603" spans="1:1" ht="15.75" x14ac:dyDescent="0.3">
      <c r="A603"/>
    </row>
    <row r="604" spans="1:1" ht="15.75" x14ac:dyDescent="0.3">
      <c r="A604"/>
    </row>
    <row r="605" spans="1:1" ht="15.75" x14ac:dyDescent="0.3">
      <c r="A605"/>
    </row>
    <row r="606" spans="1:1" ht="15.75" x14ac:dyDescent="0.3">
      <c r="A606"/>
    </row>
    <row r="607" spans="1:1" ht="15.75" x14ac:dyDescent="0.3">
      <c r="A607"/>
    </row>
    <row r="608" spans="1:1" ht="15.75" x14ac:dyDescent="0.3">
      <c r="A608"/>
    </row>
    <row r="609" spans="1:1" ht="15.75" x14ac:dyDescent="0.3">
      <c r="A609"/>
    </row>
    <row r="610" spans="1:1" ht="15.75" x14ac:dyDescent="0.3">
      <c r="A610"/>
    </row>
    <row r="611" spans="1:1" ht="15.75" x14ac:dyDescent="0.3">
      <c r="A611"/>
    </row>
    <row r="612" spans="1:1" ht="15.75" x14ac:dyDescent="0.3">
      <c r="A612"/>
    </row>
    <row r="613" spans="1:1" ht="15.75" x14ac:dyDescent="0.3">
      <c r="A613"/>
    </row>
    <row r="614" spans="1:1" ht="15.75" x14ac:dyDescent="0.3">
      <c r="A614"/>
    </row>
    <row r="615" spans="1:1" ht="15.75" x14ac:dyDescent="0.3">
      <c r="A615"/>
    </row>
    <row r="616" spans="1:1" ht="15.75" x14ac:dyDescent="0.3">
      <c r="A616"/>
    </row>
    <row r="617" spans="1:1" ht="15.75" x14ac:dyDescent="0.3">
      <c r="A617"/>
    </row>
    <row r="618" spans="1:1" ht="15.75" x14ac:dyDescent="0.3">
      <c r="A618"/>
    </row>
    <row r="619" spans="1:1" ht="15.75" x14ac:dyDescent="0.3">
      <c r="A619"/>
    </row>
    <row r="620" spans="1:1" ht="15.75" x14ac:dyDescent="0.3">
      <c r="A620"/>
    </row>
    <row r="621" spans="1:1" ht="15.75" x14ac:dyDescent="0.3">
      <c r="A621"/>
    </row>
    <row r="622" spans="1:1" ht="15.75" x14ac:dyDescent="0.3">
      <c r="A622"/>
    </row>
    <row r="623" spans="1:1" ht="15.75" x14ac:dyDescent="0.3">
      <c r="A623"/>
    </row>
    <row r="624" spans="1:1" ht="15.75" x14ac:dyDescent="0.3">
      <c r="A624"/>
    </row>
    <row r="625" spans="1:1" ht="15.75" x14ac:dyDescent="0.3">
      <c r="A625"/>
    </row>
    <row r="626" spans="1:1" ht="15.75" x14ac:dyDescent="0.3">
      <c r="A626"/>
    </row>
    <row r="627" spans="1:1" ht="15.75" x14ac:dyDescent="0.3">
      <c r="A627"/>
    </row>
    <row r="628" spans="1:1" ht="15.75" x14ac:dyDescent="0.3">
      <c r="A628"/>
    </row>
    <row r="629" spans="1:1" ht="15.75" x14ac:dyDescent="0.3">
      <c r="A629"/>
    </row>
    <row r="630" spans="1:1" ht="15.75" x14ac:dyDescent="0.3">
      <c r="A630"/>
    </row>
    <row r="631" spans="1:1" ht="15.75" x14ac:dyDescent="0.3">
      <c r="A631"/>
    </row>
    <row r="632" spans="1:1" ht="15.75" x14ac:dyDescent="0.3">
      <c r="A632"/>
    </row>
    <row r="633" spans="1:1" ht="15.75" x14ac:dyDescent="0.3">
      <c r="A633"/>
    </row>
    <row r="634" spans="1:1" ht="15.75" x14ac:dyDescent="0.3">
      <c r="A634"/>
    </row>
    <row r="635" spans="1:1" ht="15.75" x14ac:dyDescent="0.3">
      <c r="A635"/>
    </row>
    <row r="636" spans="1:1" ht="15.75" x14ac:dyDescent="0.3">
      <c r="A636"/>
    </row>
    <row r="637" spans="1:1" ht="15.75" x14ac:dyDescent="0.3">
      <c r="A637"/>
    </row>
    <row r="638" spans="1:1" ht="15.75" x14ac:dyDescent="0.3">
      <c r="A638"/>
    </row>
    <row r="639" spans="1:1" ht="15.75" x14ac:dyDescent="0.3">
      <c r="A639"/>
    </row>
    <row r="640" spans="1:1" ht="15.75" x14ac:dyDescent="0.3">
      <c r="A640"/>
    </row>
  </sheetData>
  <sortState xmlns:xlrd2="http://schemas.microsoft.com/office/spreadsheetml/2017/richdata2" ref="A247:A353">
    <sortCondition ref="A247"/>
  </sortState>
  <phoneticPr fontId="32" type="noConversion"/>
  <conditionalFormatting sqref="N250:N345">
    <cfRule type="dataBar" priority="13">
      <dataBar>
        <cfvo type="min"/>
        <cfvo type="max"/>
        <color rgb="FFFFB628"/>
      </dataBar>
      <extLst>
        <ext xmlns:x14="http://schemas.microsoft.com/office/spreadsheetml/2009/9/main" uri="{B025F937-C7B1-47D3-B67F-A62EFF666E3E}">
          <x14:id>{D0CD3AD7-62EA-4CF4-8018-15722302DA63}</x14:id>
        </ext>
      </extLst>
    </cfRule>
  </conditionalFormatting>
  <conditionalFormatting sqref="O250:O319">
    <cfRule type="dataBar" priority="1">
      <dataBar>
        <cfvo type="min"/>
        <cfvo type="max"/>
        <color rgb="FFFFB628"/>
      </dataBar>
      <extLst>
        <ext xmlns:x14="http://schemas.microsoft.com/office/spreadsheetml/2009/9/main" uri="{B025F937-C7B1-47D3-B67F-A62EFF666E3E}">
          <x14:id>{736CB85B-B227-4658-ACE6-EB6E19C84397}</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D0CD3AD7-62EA-4CF4-8018-15722302DA63}">
            <x14:dataBar minLength="0" maxLength="100" gradient="0">
              <x14:cfvo type="autoMin"/>
              <x14:cfvo type="autoMax"/>
              <x14:negativeFillColor rgb="FFFF0000"/>
              <x14:axisColor rgb="FF000000"/>
            </x14:dataBar>
          </x14:cfRule>
          <xm:sqref>N250:N345</xm:sqref>
        </x14:conditionalFormatting>
        <x14:conditionalFormatting xmlns:xm="http://schemas.microsoft.com/office/excel/2006/main">
          <x14:cfRule type="dataBar" id="{736CB85B-B227-4658-ACE6-EB6E19C84397}">
            <x14:dataBar minLength="0" maxLength="100" gradient="0">
              <x14:cfvo type="autoMin"/>
              <x14:cfvo type="autoMax"/>
              <x14:negativeFillColor rgb="FFFF0000"/>
              <x14:axisColor rgb="FF000000"/>
            </x14:dataBar>
          </x14:cfRule>
          <xm:sqref>O250:O319</xm:sqref>
        </x14:conditionalFormatting>
      </x14:conditionalFormatting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3"/>
  <dimension ref="B2:AY116"/>
  <sheetViews>
    <sheetView topLeftCell="A10" workbookViewId="0">
      <selection activeCell="N18" sqref="N18"/>
    </sheetView>
  </sheetViews>
  <sheetFormatPr defaultColWidth="9" defaultRowHeight="14.25" x14ac:dyDescent="0.3"/>
  <cols>
    <col min="1" max="16384" width="9" style="1"/>
  </cols>
  <sheetData>
    <row r="2" spans="2:51" x14ac:dyDescent="0.3">
      <c r="B2" s="2" t="s">
        <v>1661</v>
      </c>
      <c r="C2" s="21">
        <v>1.35</v>
      </c>
      <c r="K2" s="1" t="s">
        <v>1662</v>
      </c>
    </row>
    <row r="3" spans="2:51" x14ac:dyDescent="0.3">
      <c r="B3" s="2" t="s">
        <v>1663</v>
      </c>
      <c r="C3" s="21">
        <v>0.12</v>
      </c>
    </row>
    <row r="4" spans="2:51" x14ac:dyDescent="0.3">
      <c r="K4" s="1" t="s">
        <v>1664</v>
      </c>
      <c r="S4" s="1" t="s">
        <v>1665</v>
      </c>
      <c r="Z4" s="1" t="s">
        <v>1666</v>
      </c>
    </row>
    <row r="6" spans="2:51" x14ac:dyDescent="0.3">
      <c r="V6" s="1" t="s">
        <v>156</v>
      </c>
    </row>
    <row r="7" spans="2:51" x14ac:dyDescent="0.3">
      <c r="B7" s="2" t="s">
        <v>599</v>
      </c>
      <c r="C7" s="2" t="s">
        <v>1098</v>
      </c>
      <c r="D7" s="2" t="s">
        <v>602</v>
      </c>
      <c r="E7" s="2" t="s">
        <v>1667</v>
      </c>
      <c r="F7" s="2" t="s">
        <v>1104</v>
      </c>
      <c r="G7" s="2" t="s">
        <v>1169</v>
      </c>
      <c r="H7" s="2" t="s">
        <v>90</v>
      </c>
      <c r="I7" s="2" t="s">
        <v>171</v>
      </c>
      <c r="J7" s="26" t="s">
        <v>888</v>
      </c>
      <c r="K7" s="2" t="s">
        <v>889</v>
      </c>
      <c r="L7" s="2" t="s">
        <v>890</v>
      </c>
      <c r="M7" s="2" t="s">
        <v>86</v>
      </c>
      <c r="N7" s="2" t="s">
        <v>88</v>
      </c>
      <c r="O7" s="2" t="s">
        <v>89</v>
      </c>
      <c r="P7" s="2" t="s">
        <v>845</v>
      </c>
      <c r="Q7" s="2" t="s">
        <v>759</v>
      </c>
      <c r="R7" s="2" t="s">
        <v>760</v>
      </c>
      <c r="S7" s="2" t="s">
        <v>761</v>
      </c>
      <c r="T7" s="2" t="s">
        <v>76</v>
      </c>
      <c r="U7" s="2" t="s">
        <v>124</v>
      </c>
      <c r="V7" s="2" t="s">
        <v>762</v>
      </c>
      <c r="W7" s="2" t="s">
        <v>1203</v>
      </c>
      <c r="X7" s="2" t="s">
        <v>1204</v>
      </c>
      <c r="Y7" s="2" t="s">
        <v>1205</v>
      </c>
      <c r="Z7" s="2" t="s">
        <v>1668</v>
      </c>
      <c r="AA7" s="2" t="s">
        <v>136</v>
      </c>
      <c r="AB7" s="2" t="s">
        <v>123</v>
      </c>
      <c r="AC7" s="2" t="s">
        <v>1669</v>
      </c>
      <c r="AD7" s="2" t="s">
        <v>724</v>
      </c>
      <c r="AE7" s="25"/>
      <c r="AF7" s="2" t="s">
        <v>1670</v>
      </c>
      <c r="AG7" s="29" t="s">
        <v>1671</v>
      </c>
      <c r="AR7" s="1" t="s">
        <v>126</v>
      </c>
      <c r="AS7" s="1" t="s">
        <v>128</v>
      </c>
      <c r="AT7" s="1" t="s">
        <v>130</v>
      </c>
    </row>
    <row r="8" spans="2:51" x14ac:dyDescent="0.3">
      <c r="B8" s="2" t="str">
        <f>坦克个性化细分!I4</f>
        <v>雷诺FT</v>
      </c>
      <c r="C8" s="29" t="str">
        <f>VLOOKUP(B8,坦克个性化设定!$B$18:$F$48,5,FALSE)</f>
        <v>轻坦弹夹</v>
      </c>
      <c r="D8" s="2" t="str">
        <f>坦克个性化细分!J4</f>
        <v>低</v>
      </c>
      <c r="E8" s="2" t="str">
        <f t="shared" ref="E8:E37" si="0">B8&amp;D8</f>
        <v>雷诺FT低</v>
      </c>
      <c r="F8" s="34">
        <f>VLOOKUP($B8,坦克属性统计!$B$3:$AY$33,MATCH(F$7,坦克属性统计!$B$3:$AY$3,0),FALSE)</f>
        <v>0.86</v>
      </c>
      <c r="G8" s="34">
        <f>VLOOKUP($B8,坦克属性统计!$B$3:$AY$33,MATCH(G$7,坦克属性统计!$B$3:$AY$3,0),FALSE)</f>
        <v>0.45</v>
      </c>
      <c r="H8" s="34">
        <f>VLOOKUP($B8,坦克属性统计!$B$3:$AY$33,MATCH(H$7,坦克属性统计!$B$3:$AY$3,0),FALSE)</f>
        <v>0.60000000000000009</v>
      </c>
      <c r="I8" s="34">
        <f>VLOOKUP($B8,坦克属性统计!$B$3:$AY$33,MATCH(I$7,坦克属性统计!$B$3:$AY$3,0),FALSE)</f>
        <v>1.2</v>
      </c>
      <c r="J8" s="34">
        <f>VLOOKUP($B8,坦克属性统计!$B$3:$AY$33,MATCH(J$7,坦克属性统计!$B$3:$AY$3,0),FALSE)</f>
        <v>47.1</v>
      </c>
      <c r="K8" s="34">
        <f>VLOOKUP($B8,坦克属性统计!$B$3:$AY$33,MATCH(K$7,坦克属性统计!$B$3:$AY$3,0),FALSE)</f>
        <v>45</v>
      </c>
      <c r="L8" s="34">
        <f>VLOOKUP($B8,坦克属性统计!$B$3:$AY$33,MATCH(L$7,坦克属性统计!$B$3:$AY$3,0),FALSE)</f>
        <v>10.5</v>
      </c>
      <c r="M8" s="33">
        <f>VLOOKUP($B8,坦克属性统计!$B$3:$AY$33,MATCH(M$7,坦克属性统计!$B$3:$AY$3,0),FALSE)</f>
        <v>18</v>
      </c>
      <c r="N8" s="34">
        <f>VLOOKUP($B8,坦克属性统计!$B$3:$AY$33,MATCH(N$7,坦克属性统计!$B$3:$AY$3,0),FALSE)</f>
        <v>0</v>
      </c>
      <c r="O8" s="34">
        <f>VLOOKUP($B8,坦克属性统计!$B$3:$AY$33,MATCH(O$7,坦克属性统计!$B$3:$AY$3,0),FALSE)</f>
        <v>7.56</v>
      </c>
      <c r="P8" s="34">
        <f>VLOOKUP($B8,坦克属性统计!$B$3:$AY$33,MATCH(P$7,坦克属性统计!$B$3:$AY$3,0),FALSE)</f>
        <v>0.375</v>
      </c>
      <c r="Q8" s="42">
        <f ca="1">VLOOKUP($B8,坦克属性统计!$B$3:$AY$33,MATCH(Q$7,坦克属性统计!$B$3:$AY$3,0),FALSE)*(1+W8/Z8)</f>
        <v>633</v>
      </c>
      <c r="R8" s="42">
        <f ca="1">VLOOKUP($B8,坦克属性统计!$B$3:$AY$33,MATCH(R$7,坦克属性统计!$B$3:$AY$3,0),FALSE)*(1+X8/AA8)</f>
        <v>56</v>
      </c>
      <c r="S8" s="33">
        <f ca="1">VLOOKUP($B8,坦克属性统计!$B$3:$AY$33,MATCH(S$7,坦克属性统计!$B$3:$AY$3,0),FALSE)</f>
        <v>329</v>
      </c>
      <c r="T8" s="33">
        <f ca="1">VLOOKUP($B8,坦克属性统计!$B$3:$AY$33,MATCH(T$7,坦克属性统计!$B$3:$AY$3,0),FALSE)</f>
        <v>131</v>
      </c>
      <c r="U8" s="42">
        <f ca="1">VLOOKUP($B8,坦克属性统计!$B$3:$AY$33,MATCH(U$7,坦克属性统计!$B$3:$AY$3,0),FALSE)*(1+Y8/AB8)</f>
        <v>300</v>
      </c>
      <c r="V8" s="33">
        <f ca="1">VLOOKUP($B8,坦克属性统计!$B$3:$AY$33,MATCH(V$7,坦克属性统计!$B$3:$AY$3,0),FALSE)</f>
        <v>80</v>
      </c>
      <c r="W8" s="33">
        <f>VLOOKUP($B8,坦克属性统计!$B$3:$AY$33,MATCH(W$7,坦克属性统计!$B$3:$AY$3,0),FALSE)</f>
        <v>0</v>
      </c>
      <c r="X8" s="33">
        <f>VLOOKUP($B8,坦克属性统计!$B$3:$AY$33,MATCH(X$7,坦克属性统计!$B$3:$AY$3,0),FALSE)</f>
        <v>0</v>
      </c>
      <c r="Y8" s="33">
        <f>VLOOKUP($B8,坦克属性统计!$B$3:$AY$33,MATCH(Y$7,坦克属性统计!$B$3:$AY$3,0),FALSE)</f>
        <v>0</v>
      </c>
      <c r="Z8" s="33">
        <f>VLOOKUP(B8,坦克部件!$AL$3:$AS$33,MATCH("基础系数",坦克部件!$AL$3:$AS$3,0),FALSE)</f>
        <v>1750</v>
      </c>
      <c r="AA8" s="33">
        <f t="shared" ref="AA8:AB37" si="1">Z8</f>
        <v>1750</v>
      </c>
      <c r="AB8" s="33">
        <f t="shared" si="1"/>
        <v>1750</v>
      </c>
      <c r="AC8" s="34">
        <f>IF(LEN(C8)=5,(60-(M8-1)*H8)/N8+M8,IF(RIGHT(C8,4)="中坦弹夹",((60-(M8-1)*H8)/(O8+(M8-1)*H8)+1)*M8,IF(RIGHT(C8,4)="轻坦弹夹",((60-(M8/3-1)*H8)/(O8+(M8/3-1)*H8)+1)*M8,60/N8+M8)))</f>
        <v>115.15909090909091</v>
      </c>
      <c r="AD8" s="34" t="s">
        <v>604</v>
      </c>
      <c r="AE8" s="132"/>
      <c r="AF8" s="42">
        <f ca="1">POWER(POWER(R8*Q8*AC8*AVERAGE(S8:T8)*U8,1/4),$C$2)*$C$3</f>
        <v>877.94675365426747</v>
      </c>
      <c r="AG8" s="42">
        <f ca="1">AC8*R8</f>
        <v>6448.909090909091</v>
      </c>
      <c r="AI8" s="1">
        <f ca="1">Q8*R8*AC8</f>
        <v>4082159.4545454546</v>
      </c>
      <c r="AJ8" s="1">
        <f ca="1">AVERAGE(S8:T8)*U8</f>
        <v>69000</v>
      </c>
      <c r="AK8" s="1">
        <f ca="1">AI8/AJ8</f>
        <v>59.161731225296442</v>
      </c>
      <c r="AL8" s="1">
        <f ca="1">AI8/200</f>
        <v>20410.797272727272</v>
      </c>
      <c r="AM8" s="1">
        <f ca="1">SQRT(AI8/2+AJ8*100)</f>
        <v>2990.1638295037828</v>
      </c>
      <c r="AN8" s="1">
        <f ca="1">SQRT(AJ8)</f>
        <v>262.67851073127395</v>
      </c>
      <c r="AQ8" s="1" t="s">
        <v>604</v>
      </c>
      <c r="AR8" s="133">
        <f t="shared" ref="AR8:AR17" ca="1" si="2">AF8</f>
        <v>877.94675365426747</v>
      </c>
      <c r="AS8" s="133">
        <f t="shared" ref="AS8:AS17" ca="1" si="3">AF18</f>
        <v>804.04585156806161</v>
      </c>
      <c r="AT8" s="133">
        <f t="shared" ref="AT8:AT17" ca="1" si="4">AF28</f>
        <v>882.13311087146712</v>
      </c>
      <c r="AU8" s="133">
        <f t="shared" ref="AU8:AU17" ca="1" si="5">AVERAGE(AR8:AT8)</f>
        <v>854.70857203126536</v>
      </c>
      <c r="AW8" s="1">
        <f t="shared" ref="AW8:AW17" ca="1" si="6">ROUND(AR8/$AU8,3)</f>
        <v>1.0269999999999999</v>
      </c>
      <c r="AX8" s="1">
        <f t="shared" ref="AX8:AX17" ca="1" si="7">ROUND(AS8/$AU8,3)</f>
        <v>0.94099999999999995</v>
      </c>
      <c r="AY8" s="1">
        <f t="shared" ref="AY8:AY17" ca="1" si="8">ROUND(AT8/$AU8,3)</f>
        <v>1.032</v>
      </c>
    </row>
    <row r="9" spans="2:51" x14ac:dyDescent="0.3">
      <c r="B9" s="2" t="str">
        <f>坦克个性化细分!I5</f>
        <v>二号</v>
      </c>
      <c r="C9" s="29" t="str">
        <f>VLOOKUP(B9,坦克个性化设定!$B$18:$F$48,5,FALSE)</f>
        <v>轻坦弹夹</v>
      </c>
      <c r="D9" s="2" t="str">
        <f>坦克个性化细分!J5</f>
        <v>低</v>
      </c>
      <c r="E9" s="2" t="str">
        <f t="shared" si="0"/>
        <v>二号低</v>
      </c>
      <c r="F9" s="34">
        <f>VLOOKUP($B9,坦克属性统计!$B$3:$AY$33,MATCH(F$7,坦克属性统计!$B$3:$AY$3,0),FALSE)</f>
        <v>0.7</v>
      </c>
      <c r="G9" s="34">
        <f>VLOOKUP($B9,坦克属性统计!$B$3:$AY$33,MATCH(G$7,坦克属性统计!$B$3:$AY$3,0),FALSE)</f>
        <v>0.44</v>
      </c>
      <c r="H9" s="34">
        <f>VLOOKUP($B9,坦克属性统计!$B$3:$AY$33,MATCH(H$7,坦克属性统计!$B$3:$AY$3,0),FALSE)</f>
        <v>0.60000000000000009</v>
      </c>
      <c r="I9" s="34">
        <f>VLOOKUP($B9,坦克属性统计!$B$3:$AY$33,MATCH(I$7,坦克属性统计!$B$3:$AY$3,0),FALSE)</f>
        <v>1.2</v>
      </c>
      <c r="J9" s="34">
        <f>VLOOKUP($B9,坦克属性统计!$B$3:$AY$33,MATCH(J$7,坦克属性统计!$B$3:$AY$3,0),FALSE)</f>
        <v>47.1</v>
      </c>
      <c r="K9" s="34">
        <f>VLOOKUP($B9,坦克属性统计!$B$3:$AY$33,MATCH(K$7,坦克属性统计!$B$3:$AY$3,0),FALSE)</f>
        <v>45</v>
      </c>
      <c r="L9" s="34">
        <f>VLOOKUP($B9,坦克属性统计!$B$3:$AY$33,MATCH(L$7,坦克属性统计!$B$3:$AY$3,0),FALSE)</f>
        <v>10.5</v>
      </c>
      <c r="M9" s="33">
        <f>VLOOKUP($B9,坦克属性统计!$B$3:$AY$33,MATCH(M$7,坦克属性统计!$B$3:$AY$3,0),FALSE)</f>
        <v>20</v>
      </c>
      <c r="N9" s="34">
        <f>VLOOKUP($B9,坦克属性统计!$B$3:$AY$33,MATCH(N$7,坦克属性统计!$B$3:$AY$3,0),FALSE)</f>
        <v>0</v>
      </c>
      <c r="O9" s="34">
        <f>VLOOKUP($B9,坦克属性统计!$B$3:$AY$33,MATCH(O$7,坦克属性统计!$B$3:$AY$3,0),FALSE)</f>
        <v>11.2</v>
      </c>
      <c r="P9" s="34">
        <f>VLOOKUP($B9,坦克属性统计!$B$3:$AY$33,MATCH(P$7,坦克属性统计!$B$3:$AY$3,0),FALSE)</f>
        <v>0.3666666666666667</v>
      </c>
      <c r="Q9" s="42">
        <f ca="1">VLOOKUP($B9,坦克属性统计!$B$3:$AY$33,MATCH(Q$7,坦克属性统计!$B$3:$AY$3,0),FALSE)*(1+W9/Z9)</f>
        <v>876</v>
      </c>
      <c r="R9" s="42">
        <f ca="1">VLOOKUP($B9,坦克属性统计!$B$3:$AY$33,MATCH(R$7,坦克属性统计!$B$3:$AY$3,0),FALSE)*(1+X9/AA9)</f>
        <v>75</v>
      </c>
      <c r="S9" s="33">
        <f ca="1">VLOOKUP($B9,坦克属性统计!$B$3:$AY$33,MATCH(S$7,坦克属性统计!$B$3:$AY$3,0),FALSE)</f>
        <v>394</v>
      </c>
      <c r="T9" s="33">
        <f ca="1">VLOOKUP($B9,坦克属性统计!$B$3:$AY$33,MATCH(T$7,坦克属性统计!$B$3:$AY$3,0),FALSE)</f>
        <v>158</v>
      </c>
      <c r="U9" s="42">
        <f ca="1">VLOOKUP($B9,坦克属性统计!$B$3:$AY$33,MATCH(U$7,坦克属性统计!$B$3:$AY$3,0),FALSE)*(1+Y9/AB9)</f>
        <v>360</v>
      </c>
      <c r="V9" s="33">
        <f ca="1">VLOOKUP($B9,坦克属性统计!$B$3:$AY$33,MATCH(V$7,坦克属性统计!$B$3:$AY$3,0),FALSE)</f>
        <v>96</v>
      </c>
      <c r="W9" s="33">
        <f>VLOOKUP($B9,坦克属性统计!$B$3:$AY$33,MATCH(W$7,坦克属性统计!$B$3:$AY$3,0),FALSE)</f>
        <v>0</v>
      </c>
      <c r="X9" s="33">
        <f>VLOOKUP($B9,坦克属性统计!$B$3:$AY$33,MATCH(X$7,坦克属性统计!$B$3:$AY$3,0),FALSE)</f>
        <v>0</v>
      </c>
      <c r="Y9" s="33">
        <f>VLOOKUP($B9,坦克属性统计!$B$3:$AY$33,MATCH(Y$7,坦克属性统计!$B$3:$AY$3,0),FALSE)</f>
        <v>0</v>
      </c>
      <c r="Z9" s="33">
        <f>VLOOKUP(B9,坦克部件!$AL$3:$AS$33,MATCH("基础系数",坦克部件!$AL$3:$AS$3,0),FALSE)</f>
        <v>2500</v>
      </c>
      <c r="AA9" s="33">
        <f t="shared" si="1"/>
        <v>2500</v>
      </c>
      <c r="AB9" s="33">
        <f t="shared" si="1"/>
        <v>2500</v>
      </c>
      <c r="AC9" s="34">
        <f t="shared" ref="AC9:AC37" si="9">IF(LEN(C9)=5,(60-(M9-1)*H9)/N9+M9,IF(RIGHT(C9,4)="中坦弹夹",((60-(M9-1)*H9)/(O9+(M9-1)*H9)+1)*M9,IF(RIGHT(C9,4)="轻坦弹夹",((60-(M9/3-1)*H9)/(O9+(M9/3-1)*H9)+1)*M9,60/N9+M9)))</f>
        <v>97.534246575342465</v>
      </c>
      <c r="AD9" s="34" t="s">
        <v>606</v>
      </c>
      <c r="AE9" s="132"/>
      <c r="AF9" s="42">
        <f t="shared" ref="AF9:AF37" ca="1" si="10">POWER(POWER(R9*Q9*AC9*AVERAGE(S9:T9)*U9,1/4),$C$2)*$C$3</f>
        <v>1156.1362009729748</v>
      </c>
      <c r="AG9" s="42">
        <f t="shared" ref="AG9:AG37" ca="1" si="11">AC9*R9</f>
        <v>7315.0684931506848</v>
      </c>
      <c r="AI9" s="1">
        <f t="shared" ref="AI9:AI37" ca="1" si="12">Q9*R9*AC9</f>
        <v>6408000</v>
      </c>
      <c r="AJ9" s="1">
        <f t="shared" ref="AJ9:AJ37" ca="1" si="13">AVERAGE(S9:T9)*U9</f>
        <v>99360</v>
      </c>
      <c r="AK9" s="1">
        <f t="shared" ref="AK9:AK37" ca="1" si="14">AI9/AJ9</f>
        <v>64.492753623188406</v>
      </c>
      <c r="AL9" s="1">
        <f t="shared" ref="AL9:AL37" ca="1" si="15">AI9/200</f>
        <v>32040</v>
      </c>
      <c r="AM9" s="1">
        <f t="shared" ref="AM9:AM37" ca="1" si="16">SQRT(AI9/2+AJ9*100)</f>
        <v>3624.9137920783714</v>
      </c>
      <c r="AN9" s="1">
        <f t="shared" ref="AN9:AN37" ca="1" si="17">SQRT(AJ9)</f>
        <v>315.21421287752872</v>
      </c>
      <c r="AQ9" s="1" t="s">
        <v>606</v>
      </c>
      <c r="AR9" s="133">
        <f t="shared" ca="1" si="2"/>
        <v>1156.1362009729748</v>
      </c>
      <c r="AS9" s="133">
        <f t="shared" ca="1" si="3"/>
        <v>1029.6907671456206</v>
      </c>
      <c r="AT9" s="133">
        <f t="shared" ca="1" si="4"/>
        <v>1227.1790635432608</v>
      </c>
      <c r="AU9" s="133">
        <f t="shared" ca="1" si="5"/>
        <v>1137.6686772206187</v>
      </c>
      <c r="AW9" s="1">
        <f t="shared" ca="1" si="6"/>
        <v>1.016</v>
      </c>
      <c r="AX9" s="1">
        <f t="shared" ca="1" si="7"/>
        <v>0.90500000000000003</v>
      </c>
      <c r="AY9" s="1">
        <f t="shared" ca="1" si="8"/>
        <v>1.079</v>
      </c>
    </row>
    <row r="10" spans="2:51" x14ac:dyDescent="0.3">
      <c r="B10" s="2" t="str">
        <f>坦克个性化细分!I6</f>
        <v>Puma</v>
      </c>
      <c r="C10" s="29" t="str">
        <f>VLOOKUP(B10,坦克个性化设定!$B$18:$F$48,5,FALSE)</f>
        <v>轻坦弹夹</v>
      </c>
      <c r="D10" s="2" t="str">
        <f>坦克个性化细分!J6</f>
        <v>中</v>
      </c>
      <c r="E10" s="2" t="str">
        <f t="shared" si="0"/>
        <v>Puma中</v>
      </c>
      <c r="F10" s="34">
        <f>VLOOKUP($B10,坦克属性统计!$B$3:$AY$33,MATCH(F$7,坦克属性统计!$B$3:$AY$3,0),FALSE)</f>
        <v>0.82</v>
      </c>
      <c r="G10" s="34">
        <f>VLOOKUP($B10,坦克属性统计!$B$3:$AY$33,MATCH(G$7,坦克属性统计!$B$3:$AY$3,0),FALSE)</f>
        <v>0.62</v>
      </c>
      <c r="H10" s="34">
        <f>VLOOKUP($B10,坦克属性统计!$B$3:$AY$33,MATCH(H$7,坦克属性统计!$B$3:$AY$3,0),FALSE)</f>
        <v>0.8</v>
      </c>
      <c r="I10" s="34">
        <f>VLOOKUP($B10,坦克属性统计!$B$3:$AY$33,MATCH(I$7,坦克属性统计!$B$3:$AY$3,0),FALSE)</f>
        <v>1.2</v>
      </c>
      <c r="J10" s="34">
        <f>VLOOKUP($B10,坦克属性统计!$B$3:$AY$33,MATCH(J$7,坦克属性统计!$B$3:$AY$3,0),FALSE)</f>
        <v>43.3</v>
      </c>
      <c r="K10" s="34">
        <f>VLOOKUP($B10,坦克属性统计!$B$3:$AY$33,MATCH(K$7,坦克属性统计!$B$3:$AY$3,0),FALSE)</f>
        <v>51</v>
      </c>
      <c r="L10" s="34">
        <f>VLOOKUP($B10,坦克属性统计!$B$3:$AY$33,MATCH(L$7,坦克属性统计!$B$3:$AY$3,0),FALSE)</f>
        <v>10.199999999999999</v>
      </c>
      <c r="M10" s="33">
        <f>VLOOKUP($B10,坦克属性统计!$B$3:$AY$33,MATCH(M$7,坦克属性统计!$B$3:$AY$3,0),FALSE)</f>
        <v>9</v>
      </c>
      <c r="N10" s="34">
        <f>VLOOKUP($B10,坦克属性统计!$B$3:$AY$33,MATCH(N$7,坦克属性统计!$B$3:$AY$3,0),FALSE)</f>
        <v>0</v>
      </c>
      <c r="O10" s="34">
        <f>VLOOKUP($B10,坦克属性统计!$B$3:$AY$33,MATCH(O$7,坦克属性统计!$B$3:$AY$3,0),FALSE)</f>
        <v>4.7249999999999996</v>
      </c>
      <c r="P10" s="34">
        <f>VLOOKUP($B10,坦克属性统计!$B$3:$AY$33,MATCH(P$7,坦克属性统计!$B$3:$AY$3,0),FALSE)</f>
        <v>0.51666666666666672</v>
      </c>
      <c r="Q10" s="42">
        <f ca="1">VLOOKUP($B10,坦克属性统计!$B$3:$AY$33,MATCH(Q$7,坦克属性统计!$B$3:$AY$3,0),FALSE)*(1+W10/Z10)</f>
        <v>1054</v>
      </c>
      <c r="R10" s="42">
        <f ca="1">VLOOKUP($B10,坦克属性统计!$B$3:$AY$33,MATCH(R$7,坦克属性统计!$B$3:$AY$3,0),FALSE)*(1+X10/AA10)</f>
        <v>87</v>
      </c>
      <c r="S10" s="33">
        <f ca="1">VLOOKUP($B10,坦克属性统计!$B$3:$AY$33,MATCH(S$7,坦克属性统计!$B$3:$AY$3,0),FALSE)</f>
        <v>401</v>
      </c>
      <c r="T10" s="33">
        <f ca="1">VLOOKUP($B10,坦克属性统计!$B$3:$AY$33,MATCH(T$7,坦克属性统计!$B$3:$AY$3,0),FALSE)</f>
        <v>160</v>
      </c>
      <c r="U10" s="42">
        <f ca="1">VLOOKUP($B10,坦克属性统计!$B$3:$AY$33,MATCH(U$7,坦克属性统计!$B$3:$AY$3,0),FALSE)*(1+Y10/AB10)</f>
        <v>366</v>
      </c>
      <c r="V10" s="33">
        <f ca="1">VLOOKUP($B10,坦克属性统计!$B$3:$AY$33,MATCH(V$7,坦克属性统计!$B$3:$AY$3,0),FALSE)</f>
        <v>98</v>
      </c>
      <c r="W10" s="33">
        <f>VLOOKUP($B10,坦克属性统计!$B$3:$AY$33,MATCH(W$7,坦克属性统计!$B$3:$AY$3,0),FALSE)</f>
        <v>0</v>
      </c>
      <c r="X10" s="33">
        <f>VLOOKUP($B10,坦克属性统计!$B$3:$AY$33,MATCH(X$7,坦克属性统计!$B$3:$AY$3,0),FALSE)</f>
        <v>0</v>
      </c>
      <c r="Y10" s="33">
        <f>VLOOKUP($B10,坦克属性统计!$B$3:$AY$33,MATCH(Y$7,坦克属性统计!$B$3:$AY$3,0),FALSE)</f>
        <v>0</v>
      </c>
      <c r="Z10" s="33">
        <f>VLOOKUP(B10,坦克部件!$AL$3:$AS$33,MATCH("基础系数",坦克部件!$AL$3:$AS$3,0),FALSE)</f>
        <v>2500</v>
      </c>
      <c r="AA10" s="33">
        <f t="shared" si="1"/>
        <v>2500</v>
      </c>
      <c r="AB10" s="33">
        <f t="shared" si="1"/>
        <v>2500</v>
      </c>
      <c r="AC10" s="34">
        <f t="shared" si="9"/>
        <v>92.098814229249015</v>
      </c>
      <c r="AD10" s="34" t="s">
        <v>606</v>
      </c>
      <c r="AE10" s="132"/>
      <c r="AF10" s="42">
        <f t="shared" ca="1" si="10"/>
        <v>1283.1151904362607</v>
      </c>
      <c r="AG10" s="42">
        <f t="shared" ca="1" si="11"/>
        <v>8012.596837944664</v>
      </c>
      <c r="AI10" s="1">
        <f t="shared" ca="1" si="12"/>
        <v>8445277.0671936758</v>
      </c>
      <c r="AJ10" s="1">
        <f t="shared" ca="1" si="13"/>
        <v>102663</v>
      </c>
      <c r="AK10" s="1">
        <f t="shared" ca="1" si="14"/>
        <v>82.262130146144912</v>
      </c>
      <c r="AL10" s="1">
        <f t="shared" ca="1" si="15"/>
        <v>42226.385335968378</v>
      </c>
      <c r="AM10" s="1">
        <f t="shared" ca="1" si="16"/>
        <v>3806.4338341283219</v>
      </c>
      <c r="AN10" s="1">
        <f t="shared" ca="1" si="17"/>
        <v>320.410673979504</v>
      </c>
      <c r="AQ10" s="1" t="s">
        <v>606</v>
      </c>
      <c r="AR10" s="133">
        <f t="shared" ca="1" si="2"/>
        <v>1283.1151904362607</v>
      </c>
      <c r="AS10" s="133">
        <f t="shared" ca="1" si="3"/>
        <v>1106.8622293312685</v>
      </c>
      <c r="AT10" s="133">
        <f t="shared" ca="1" si="4"/>
        <v>1272.9790260548941</v>
      </c>
      <c r="AU10" s="133">
        <f t="shared" ca="1" si="5"/>
        <v>1220.9854819408076</v>
      </c>
      <c r="AW10" s="1">
        <f t="shared" ca="1" si="6"/>
        <v>1.0509999999999999</v>
      </c>
      <c r="AX10" s="1">
        <f t="shared" ca="1" si="7"/>
        <v>0.90700000000000003</v>
      </c>
      <c r="AY10" s="1">
        <f t="shared" ca="1" si="8"/>
        <v>1.0429999999999999</v>
      </c>
    </row>
    <row r="11" spans="2:51" x14ac:dyDescent="0.3">
      <c r="B11" s="2" t="str">
        <f>坦克个性化细分!I7</f>
        <v>35(t)</v>
      </c>
      <c r="C11" s="29" t="str">
        <f>VLOOKUP(B11,坦克个性化设定!$B$18:$F$48,5,FALSE)</f>
        <v>轻坦弹夹</v>
      </c>
      <c r="D11" s="2" t="str">
        <f>坦克个性化细分!J7</f>
        <v>低</v>
      </c>
      <c r="E11" s="2" t="str">
        <f t="shared" si="0"/>
        <v>35(t)低</v>
      </c>
      <c r="F11" s="34">
        <f>VLOOKUP($B11,坦克属性统计!$B$3:$AY$33,MATCH(F$7,坦克属性统计!$B$3:$AY$3,0),FALSE)</f>
        <v>0.78</v>
      </c>
      <c r="G11" s="34">
        <f>VLOOKUP($B11,坦克属性统计!$B$3:$AY$33,MATCH(G$7,坦克属性统计!$B$3:$AY$3,0),FALSE)</f>
        <v>0.56999999999999995</v>
      </c>
      <c r="H11" s="34">
        <f>VLOOKUP($B11,坦克属性统计!$B$3:$AY$33,MATCH(H$7,坦克属性统计!$B$3:$AY$3,0),FALSE)</f>
        <v>0.8</v>
      </c>
      <c r="I11" s="34">
        <f>VLOOKUP($B11,坦克属性统计!$B$3:$AY$33,MATCH(I$7,坦克属性统计!$B$3:$AY$3,0),FALSE)</f>
        <v>1.2</v>
      </c>
      <c r="J11" s="34">
        <f>VLOOKUP($B11,坦克属性统计!$B$3:$AY$33,MATCH(J$7,坦克属性统计!$B$3:$AY$3,0),FALSE)</f>
        <v>42.4</v>
      </c>
      <c r="K11" s="34">
        <f>VLOOKUP($B11,坦克属性统计!$B$3:$AY$33,MATCH(K$7,坦克属性统计!$B$3:$AY$3,0),FALSE)</f>
        <v>50</v>
      </c>
      <c r="L11" s="34">
        <f>VLOOKUP($B11,坦克属性统计!$B$3:$AY$33,MATCH(L$7,坦克属性统计!$B$3:$AY$3,0),FALSE)</f>
        <v>10</v>
      </c>
      <c r="M11" s="33">
        <f>VLOOKUP($B11,坦克属性统计!$B$3:$AY$33,MATCH(M$7,坦克属性统计!$B$3:$AY$3,0),FALSE)</f>
        <v>14</v>
      </c>
      <c r="N11" s="34">
        <f>VLOOKUP($B11,坦克属性统计!$B$3:$AY$33,MATCH(N$7,坦克属性统计!$B$3:$AY$3,0),FALSE)</f>
        <v>0</v>
      </c>
      <c r="O11" s="34">
        <f>VLOOKUP($B11,坦克属性统计!$B$3:$AY$33,MATCH(O$7,坦克属性统计!$B$3:$AY$3,0),FALSE)</f>
        <v>9.7999999999999989</v>
      </c>
      <c r="P11" s="34">
        <f>VLOOKUP($B11,坦克属性统计!$B$3:$AY$33,MATCH(P$7,坦克属性统计!$B$3:$AY$3,0),FALSE)</f>
        <v>0.47499999999999998</v>
      </c>
      <c r="Q11" s="42">
        <f ca="1">VLOOKUP($B11,坦克属性统计!$B$3:$AY$33,MATCH(Q$7,坦克属性统计!$B$3:$AY$3,0),FALSE)*(1+W11/Z11)</f>
        <v>1204</v>
      </c>
      <c r="R11" s="42">
        <f ca="1">VLOOKUP($B11,坦克属性统计!$B$3:$AY$33,MATCH(R$7,坦克属性统计!$B$3:$AY$3,0),FALSE)*(1+X11/AA11)</f>
        <v>105</v>
      </c>
      <c r="S11" s="33">
        <f ca="1">VLOOKUP($B11,坦克属性统计!$B$3:$AY$33,MATCH(S$7,坦克属性统计!$B$3:$AY$3,0),FALSE)</f>
        <v>486</v>
      </c>
      <c r="T11" s="33">
        <f ca="1">VLOOKUP($B11,坦克属性统计!$B$3:$AY$33,MATCH(T$7,坦克属性统计!$B$3:$AY$3,0),FALSE)</f>
        <v>195</v>
      </c>
      <c r="U11" s="42">
        <f ca="1">VLOOKUP($B11,坦克属性统计!$B$3:$AY$33,MATCH(U$7,坦克属性统计!$B$3:$AY$3,0),FALSE)*(1+Y11/AB11)</f>
        <v>444</v>
      </c>
      <c r="V11" s="33">
        <f ca="1">VLOOKUP($B11,坦克属性统计!$B$3:$AY$33,MATCH(V$7,坦克属性统计!$B$3:$AY$3,0),FALSE)</f>
        <v>118</v>
      </c>
      <c r="W11" s="33">
        <f>VLOOKUP($B11,坦克属性统计!$B$3:$AY$33,MATCH(W$7,坦克属性统计!$B$3:$AY$3,0),FALSE)</f>
        <v>0</v>
      </c>
      <c r="X11" s="33">
        <f>VLOOKUP($B11,坦克属性统计!$B$3:$AY$33,MATCH(X$7,坦克属性统计!$B$3:$AY$3,0),FALSE)</f>
        <v>0</v>
      </c>
      <c r="Y11" s="33">
        <f>VLOOKUP($B11,坦克属性统计!$B$3:$AY$33,MATCH(Y$7,坦克属性统计!$B$3:$AY$3,0),FALSE)</f>
        <v>0</v>
      </c>
      <c r="Z11" s="33">
        <f>VLOOKUP(B11,坦克部件!$AL$3:$AS$33,MATCH("基础系数",坦克部件!$AL$3:$AS$3,0),FALSE)</f>
        <v>3600</v>
      </c>
      <c r="AA11" s="33">
        <f t="shared" si="1"/>
        <v>3600</v>
      </c>
      <c r="AB11" s="33">
        <f t="shared" si="1"/>
        <v>3600</v>
      </c>
      <c r="AC11" s="34">
        <f t="shared" si="9"/>
        <v>76.7434554973822</v>
      </c>
      <c r="AD11" s="34" t="s">
        <v>610</v>
      </c>
      <c r="AE11" s="132"/>
      <c r="AF11" s="42">
        <f t="shared" ca="1" si="10"/>
        <v>1532.2400457679319</v>
      </c>
      <c r="AG11" s="42">
        <f t="shared" ca="1" si="11"/>
        <v>8058.0628272251306</v>
      </c>
      <c r="AI11" s="1">
        <f t="shared" ca="1" si="12"/>
        <v>9701907.6439790577</v>
      </c>
      <c r="AJ11" s="1">
        <f t="shared" ca="1" si="13"/>
        <v>151182</v>
      </c>
      <c r="AK11" s="1">
        <f t="shared" ca="1" si="14"/>
        <v>64.173695572085677</v>
      </c>
      <c r="AL11" s="1">
        <f t="shared" ca="1" si="15"/>
        <v>48509.538219895287</v>
      </c>
      <c r="AM11" s="1">
        <f t="shared" ca="1" si="16"/>
        <v>4468.6859166861941</v>
      </c>
      <c r="AN11" s="1">
        <f t="shared" ca="1" si="17"/>
        <v>388.82129571308207</v>
      </c>
      <c r="AQ11" s="1" t="s">
        <v>610</v>
      </c>
      <c r="AR11" s="133">
        <f t="shared" ca="1" si="2"/>
        <v>1532.2400457679319</v>
      </c>
      <c r="AS11" s="133">
        <f t="shared" ca="1" si="3"/>
        <v>1374.7178575774103</v>
      </c>
      <c r="AT11" s="133">
        <f t="shared" ca="1" si="4"/>
        <v>1654.8235771879076</v>
      </c>
      <c r="AU11" s="133">
        <f t="shared" ca="1" si="5"/>
        <v>1520.5938268444163</v>
      </c>
      <c r="AW11" s="1">
        <f t="shared" ca="1" si="6"/>
        <v>1.008</v>
      </c>
      <c r="AX11" s="1">
        <f t="shared" ca="1" si="7"/>
        <v>0.90400000000000003</v>
      </c>
      <c r="AY11" s="1">
        <f t="shared" ca="1" si="8"/>
        <v>1.0880000000000001</v>
      </c>
    </row>
    <row r="12" spans="2:51" x14ac:dyDescent="0.3">
      <c r="B12" s="2" t="str">
        <f>坦克个性化细分!I8</f>
        <v>十字军</v>
      </c>
      <c r="C12" s="29" t="str">
        <f>VLOOKUP(B12,坦克个性化设定!$B$18:$F$48,5,FALSE)</f>
        <v>轻坦弹夹</v>
      </c>
      <c r="D12" s="2" t="str">
        <f>坦克个性化细分!J8</f>
        <v>中</v>
      </c>
      <c r="E12" s="2" t="str">
        <f t="shared" si="0"/>
        <v>十字军中</v>
      </c>
      <c r="F12" s="34">
        <f>VLOOKUP($B12,坦克属性统计!$B$3:$AY$33,MATCH(F$7,坦克属性统计!$B$3:$AY$3,0),FALSE)</f>
        <v>0.82</v>
      </c>
      <c r="G12" s="34">
        <f>VLOOKUP($B12,坦克属性统计!$B$3:$AY$33,MATCH(G$7,坦克属性统计!$B$3:$AY$3,0),FALSE)</f>
        <v>0.45</v>
      </c>
      <c r="H12" s="34">
        <f>VLOOKUP($B12,坦克属性统计!$B$3:$AY$33,MATCH(H$7,坦克属性统计!$B$3:$AY$3,0),FALSE)</f>
        <v>0.60000000000000009</v>
      </c>
      <c r="I12" s="34">
        <f>VLOOKUP($B12,坦克属性统计!$B$3:$AY$33,MATCH(I$7,坦克属性统计!$B$3:$AY$3,0),FALSE)</f>
        <v>1.2</v>
      </c>
      <c r="J12" s="34">
        <f>VLOOKUP($B12,坦克属性统计!$B$3:$AY$33,MATCH(J$7,坦克属性统计!$B$3:$AY$3,0),FALSE)</f>
        <v>48.1</v>
      </c>
      <c r="K12" s="34">
        <f>VLOOKUP($B12,坦克属性统计!$B$3:$AY$33,MATCH(K$7,坦克属性统计!$B$3:$AY$3,0),FALSE)</f>
        <v>45.9</v>
      </c>
      <c r="L12" s="34">
        <f>VLOOKUP($B12,坦克属性统计!$B$3:$AY$33,MATCH(L$7,坦克属性统计!$B$3:$AY$3,0),FALSE)</f>
        <v>10.7</v>
      </c>
      <c r="M12" s="33">
        <f>VLOOKUP($B12,坦克属性统计!$B$3:$AY$33,MATCH(M$7,坦克属性统计!$B$3:$AY$3,0),FALSE)</f>
        <v>18</v>
      </c>
      <c r="N12" s="34">
        <f>VLOOKUP($B12,坦克属性统计!$B$3:$AY$33,MATCH(N$7,坦克属性统计!$B$3:$AY$3,0),FALSE)</f>
        <v>0</v>
      </c>
      <c r="O12" s="34">
        <f>VLOOKUP($B12,坦克属性统计!$B$3:$AY$33,MATCH(O$7,坦克属性统计!$B$3:$AY$3,0),FALSE)</f>
        <v>12.6</v>
      </c>
      <c r="P12" s="34">
        <f>VLOOKUP($B12,坦克属性统计!$B$3:$AY$33,MATCH(P$7,坦克属性统计!$B$3:$AY$3,0),FALSE)</f>
        <v>0.375</v>
      </c>
      <c r="Q12" s="42">
        <f ca="1">VLOOKUP($B12,坦克属性统计!$B$3:$AY$33,MATCH(Q$7,坦克属性统计!$B$3:$AY$3,0),FALSE)*(1+W12/Z12)</f>
        <v>1264</v>
      </c>
      <c r="R12" s="42">
        <f ca="1">VLOOKUP($B12,坦克属性统计!$B$3:$AY$33,MATCH(R$7,坦克属性统计!$B$3:$AY$3,0),FALSE)*(1+X12/AA12)</f>
        <v>73</v>
      </c>
      <c r="S12" s="33">
        <f ca="1">VLOOKUP($B12,坦克属性统计!$B$3:$AY$33,MATCH(S$7,坦克属性统计!$B$3:$AY$3,0),FALSE)</f>
        <v>506</v>
      </c>
      <c r="T12" s="33">
        <f ca="1">VLOOKUP($B12,坦克属性统计!$B$3:$AY$33,MATCH(T$7,坦克属性统计!$B$3:$AY$3,0),FALSE)</f>
        <v>202</v>
      </c>
      <c r="U12" s="42">
        <f ca="1">VLOOKUP($B12,坦克属性统计!$B$3:$AY$33,MATCH(U$7,坦克属性统计!$B$3:$AY$3,0),FALSE)*(1+Y12/AB12)</f>
        <v>462</v>
      </c>
      <c r="V12" s="33">
        <f ca="1">VLOOKUP($B12,坦克属性统计!$B$3:$AY$33,MATCH(V$7,坦克属性统计!$B$3:$AY$3,0),FALSE)</f>
        <v>123</v>
      </c>
      <c r="W12" s="33">
        <f>VLOOKUP($B12,坦克属性统计!$B$3:$AY$33,MATCH(W$7,坦克属性统计!$B$3:$AY$3,0),FALSE)</f>
        <v>0</v>
      </c>
      <c r="X12" s="33">
        <f>VLOOKUP($B12,坦克属性统计!$B$3:$AY$33,MATCH(X$7,坦克属性统计!$B$3:$AY$3,0),FALSE)</f>
        <v>0</v>
      </c>
      <c r="Y12" s="33">
        <f>VLOOKUP($B12,坦克属性统计!$B$3:$AY$33,MATCH(Y$7,坦克属性统计!$B$3:$AY$3,0),FALSE)</f>
        <v>0</v>
      </c>
      <c r="Z12" s="33">
        <f>VLOOKUP(B12,坦克部件!$AL$3:$AS$33,MATCH("基础系数",坦克部件!$AL$3:$AS$3,0),FALSE)</f>
        <v>3600</v>
      </c>
      <c r="AA12" s="33">
        <f t="shared" si="1"/>
        <v>3600</v>
      </c>
      <c r="AB12" s="33">
        <f t="shared" si="1"/>
        <v>3600</v>
      </c>
      <c r="AC12" s="34">
        <f t="shared" si="9"/>
        <v>83.769230769230759</v>
      </c>
      <c r="AD12" s="34" t="s">
        <v>610</v>
      </c>
      <c r="AE12" s="132"/>
      <c r="AF12" s="42">
        <f t="shared" ca="1" si="10"/>
        <v>1457.2653696891084</v>
      </c>
      <c r="AG12" s="42">
        <f t="shared" ca="1" si="11"/>
        <v>6115.1538461538457</v>
      </c>
      <c r="AI12" s="1">
        <f t="shared" ca="1" si="12"/>
        <v>7729554.461538461</v>
      </c>
      <c r="AJ12" s="1">
        <f t="shared" ca="1" si="13"/>
        <v>163548</v>
      </c>
      <c r="AK12" s="1">
        <f t="shared" ca="1" si="14"/>
        <v>47.261687465077294</v>
      </c>
      <c r="AL12" s="1">
        <f t="shared" ca="1" si="15"/>
        <v>38647.772307692307</v>
      </c>
      <c r="AM12" s="1">
        <f t="shared" ca="1" si="16"/>
        <v>4496.6184217441923</v>
      </c>
      <c r="AN12" s="1">
        <f t="shared" ca="1" si="17"/>
        <v>404.41068235149277</v>
      </c>
      <c r="AQ12" s="1" t="s">
        <v>610</v>
      </c>
      <c r="AR12" s="133">
        <f t="shared" ca="1" si="2"/>
        <v>1457.2653696891084</v>
      </c>
      <c r="AS12" s="133">
        <f t="shared" ca="1" si="3"/>
        <v>1516.104086355444</v>
      </c>
      <c r="AT12" s="133">
        <f t="shared" ca="1" si="4"/>
        <v>1746.7660435311464</v>
      </c>
      <c r="AU12" s="133">
        <f t="shared" ca="1" si="5"/>
        <v>1573.3784998585663</v>
      </c>
      <c r="AW12" s="1">
        <f t="shared" ca="1" si="6"/>
        <v>0.92600000000000005</v>
      </c>
      <c r="AX12" s="1">
        <f t="shared" ca="1" si="7"/>
        <v>0.96399999999999997</v>
      </c>
      <c r="AY12" s="1">
        <f t="shared" ca="1" si="8"/>
        <v>1.1100000000000001</v>
      </c>
    </row>
    <row r="13" spans="2:51" x14ac:dyDescent="0.3">
      <c r="B13" s="2" t="str">
        <f>坦克个性化细分!I9</f>
        <v>AMX-13</v>
      </c>
      <c r="C13" s="29" t="str">
        <f>VLOOKUP(B13,坦克个性化设定!$B$18:$F$48,5,FALSE)</f>
        <v>轻坦弹夹</v>
      </c>
      <c r="D13" s="2" t="str">
        <f>坦克个性化细分!J9</f>
        <v>高</v>
      </c>
      <c r="E13" s="2" t="str">
        <f t="shared" si="0"/>
        <v>AMX-13高</v>
      </c>
      <c r="F13" s="34">
        <f>VLOOKUP($B13,坦克属性统计!$B$3:$AY$33,MATCH(F$7,坦克属性统计!$B$3:$AY$3,0),FALSE)</f>
        <v>0.7</v>
      </c>
      <c r="G13" s="34">
        <f>VLOOKUP($B13,坦克属性统计!$B$3:$AY$33,MATCH(G$7,坦克属性统计!$B$3:$AY$3,0),FALSE)</f>
        <v>0.56999999999999995</v>
      </c>
      <c r="H13" s="34">
        <f>VLOOKUP($B13,坦克属性统计!$B$3:$AY$33,MATCH(H$7,坦克属性统计!$B$3:$AY$3,0),FALSE)</f>
        <v>0.8</v>
      </c>
      <c r="I13" s="34">
        <f>VLOOKUP($B13,坦克属性统计!$B$3:$AY$33,MATCH(I$7,坦克属性统计!$B$3:$AY$3,0),FALSE)</f>
        <v>1.2</v>
      </c>
      <c r="J13" s="34">
        <f>VLOOKUP($B13,坦克属性统计!$B$3:$AY$33,MATCH(J$7,坦克属性统计!$B$3:$AY$3,0),FALSE)</f>
        <v>39.6</v>
      </c>
      <c r="K13" s="34">
        <f>VLOOKUP($B13,坦克属性统计!$B$3:$AY$33,MATCH(K$7,坦克属性统计!$B$3:$AY$3,0),FALSE)</f>
        <v>59.1</v>
      </c>
      <c r="L13" s="34">
        <f>VLOOKUP($B13,坦克属性统计!$B$3:$AY$33,MATCH(L$7,坦克属性统计!$B$3:$AY$3,0),FALSE)</f>
        <v>9.9</v>
      </c>
      <c r="M13" s="33">
        <f>VLOOKUP($B13,坦克属性统计!$B$3:$AY$33,MATCH(M$7,坦克属性统计!$B$3:$AY$3,0),FALSE)</f>
        <v>14</v>
      </c>
      <c r="N13" s="34">
        <f>VLOOKUP($B13,坦克属性统计!$B$3:$AY$33,MATCH(N$7,坦克属性统计!$B$3:$AY$3,0),FALSE)</f>
        <v>0</v>
      </c>
      <c r="O13" s="34">
        <f>VLOOKUP($B13,坦克属性统计!$B$3:$AY$33,MATCH(O$7,坦克属性统计!$B$3:$AY$3,0),FALSE)</f>
        <v>9.7999999999999989</v>
      </c>
      <c r="P13" s="34">
        <f>VLOOKUP($B13,坦克属性统计!$B$3:$AY$33,MATCH(P$7,坦克属性统计!$B$3:$AY$3,0),FALSE)</f>
        <v>0.47499999999999998</v>
      </c>
      <c r="Q13" s="42">
        <f ca="1">VLOOKUP($B13,坦克属性统计!$B$3:$AY$33,MATCH(Q$7,坦克属性统计!$B$3:$AY$3,0),FALSE)*(1+W13/Z13)</f>
        <v>1168</v>
      </c>
      <c r="R13" s="42">
        <f ca="1">VLOOKUP($B13,坦克属性统计!$B$3:$AY$33,MATCH(R$7,坦克属性统计!$B$3:$AY$3,0),FALSE)*(1+X13/AA13)</f>
        <v>100</v>
      </c>
      <c r="S13" s="33">
        <f ca="1">VLOOKUP($B13,坦克属性统计!$B$3:$AY$33,MATCH(S$7,坦克属性统计!$B$3:$AY$3,0),FALSE)</f>
        <v>506</v>
      </c>
      <c r="T13" s="33">
        <f ca="1">VLOOKUP($B13,坦克属性统计!$B$3:$AY$33,MATCH(T$7,坦克属性统计!$B$3:$AY$3,0),FALSE)</f>
        <v>202</v>
      </c>
      <c r="U13" s="42">
        <f ca="1">VLOOKUP($B13,坦克属性统计!$B$3:$AY$33,MATCH(U$7,坦克属性统计!$B$3:$AY$3,0),FALSE)*(1+Y13/AB13)</f>
        <v>462</v>
      </c>
      <c r="V13" s="33">
        <f ca="1">VLOOKUP($B13,坦克属性统计!$B$3:$AY$33,MATCH(V$7,坦克属性统计!$B$3:$AY$3,0),FALSE)</f>
        <v>123</v>
      </c>
      <c r="W13" s="33">
        <f>VLOOKUP($B13,坦克属性统计!$B$3:$AY$33,MATCH(W$7,坦克属性统计!$B$3:$AY$3,0),FALSE)</f>
        <v>0</v>
      </c>
      <c r="X13" s="33">
        <f>VLOOKUP($B13,坦克属性统计!$B$3:$AY$33,MATCH(X$7,坦克属性统计!$B$3:$AY$3,0),FALSE)</f>
        <v>0</v>
      </c>
      <c r="Y13" s="33">
        <f>VLOOKUP($B13,坦克属性统计!$B$3:$AY$33,MATCH(Y$7,坦克属性统计!$B$3:$AY$3,0),FALSE)</f>
        <v>0</v>
      </c>
      <c r="Z13" s="33">
        <f>VLOOKUP(B13,坦克部件!$AL$3:$AS$33,MATCH("基础系数",坦克部件!$AL$3:$AS$3,0),FALSE)</f>
        <v>3600</v>
      </c>
      <c r="AA13" s="33">
        <f t="shared" si="1"/>
        <v>3600</v>
      </c>
      <c r="AB13" s="33">
        <f t="shared" si="1"/>
        <v>3600</v>
      </c>
      <c r="AC13" s="34">
        <f t="shared" si="9"/>
        <v>76.7434554973822</v>
      </c>
      <c r="AD13" s="34" t="s">
        <v>610</v>
      </c>
      <c r="AE13" s="132"/>
      <c r="AF13" s="42">
        <f t="shared" ca="1" si="10"/>
        <v>1531.9688291494513</v>
      </c>
      <c r="AG13" s="42">
        <f t="shared" ca="1" si="11"/>
        <v>7674.3455497382201</v>
      </c>
      <c r="AI13" s="1">
        <f t="shared" ca="1" si="12"/>
        <v>8963635.6020942405</v>
      </c>
      <c r="AJ13" s="1">
        <f t="shared" ca="1" si="13"/>
        <v>163548</v>
      </c>
      <c r="AK13" s="1">
        <f t="shared" ca="1" si="14"/>
        <v>54.807369103224985</v>
      </c>
      <c r="AL13" s="1">
        <f t="shared" ca="1" si="15"/>
        <v>44818.178010471202</v>
      </c>
      <c r="AM13" s="1">
        <f t="shared" ca="1" si="16"/>
        <v>4564.7144271079123</v>
      </c>
      <c r="AN13" s="1">
        <f t="shared" ca="1" si="17"/>
        <v>404.41068235149277</v>
      </c>
      <c r="AQ13" s="1" t="s">
        <v>610</v>
      </c>
      <c r="AR13" s="133">
        <f t="shared" ca="1" si="2"/>
        <v>1531.9688291494513</v>
      </c>
      <c r="AS13" s="133">
        <f t="shared" ca="1" si="3"/>
        <v>1479.591141162495</v>
      </c>
      <c r="AT13" s="133">
        <f t="shared" ca="1" si="4"/>
        <v>1721.1854141670246</v>
      </c>
      <c r="AU13" s="133">
        <f t="shared" ca="1" si="5"/>
        <v>1577.5817948263236</v>
      </c>
      <c r="AW13" s="1">
        <f t="shared" ca="1" si="6"/>
        <v>0.97099999999999997</v>
      </c>
      <c r="AX13" s="1">
        <f t="shared" ca="1" si="7"/>
        <v>0.93799999999999994</v>
      </c>
      <c r="AY13" s="1">
        <f t="shared" ca="1" si="8"/>
        <v>1.091</v>
      </c>
    </row>
    <row r="14" spans="2:51" x14ac:dyDescent="0.3">
      <c r="B14" s="2" t="str">
        <f>坦克个性化细分!I10</f>
        <v>霞飞</v>
      </c>
      <c r="C14" s="29" t="str">
        <f>VLOOKUP(B14,坦克个性化设定!$B$18:$F$48,5,FALSE)</f>
        <v>轻坦弹夹</v>
      </c>
      <c r="D14" s="2" t="str">
        <f>坦克个性化细分!J10</f>
        <v>低</v>
      </c>
      <c r="E14" s="2" t="str">
        <f t="shared" si="0"/>
        <v>霞飞低</v>
      </c>
      <c r="F14" s="34">
        <f>VLOOKUP($B14,坦克属性统计!$B$3:$AY$33,MATCH(F$7,坦克属性统计!$B$3:$AY$3,0),FALSE)</f>
        <v>0.82</v>
      </c>
      <c r="G14" s="34">
        <f>VLOOKUP($B14,坦克属性统计!$B$3:$AY$33,MATCH(G$7,坦克属性统计!$B$3:$AY$3,0),FALSE)</f>
        <v>0.48</v>
      </c>
      <c r="H14" s="34">
        <f>VLOOKUP($B14,坦克属性统计!$B$3:$AY$33,MATCH(H$7,坦克属性统计!$B$3:$AY$3,0),FALSE)</f>
        <v>0.60000000000000009</v>
      </c>
      <c r="I14" s="34">
        <f>VLOOKUP($B14,坦克属性统计!$B$3:$AY$33,MATCH(I$7,坦克属性统计!$B$3:$AY$3,0),FALSE)</f>
        <v>1.2</v>
      </c>
      <c r="J14" s="34">
        <f>VLOOKUP($B14,坦克属性统计!$B$3:$AY$33,MATCH(J$7,坦克属性统计!$B$3:$AY$3,0),FALSE)</f>
        <v>42.4</v>
      </c>
      <c r="K14" s="34">
        <f>VLOOKUP($B14,坦克属性统计!$B$3:$AY$33,MATCH(K$7,坦克属性统计!$B$3:$AY$3,0),FALSE)</f>
        <v>50</v>
      </c>
      <c r="L14" s="34">
        <f>VLOOKUP($B14,坦克属性统计!$B$3:$AY$33,MATCH(L$7,坦克属性统计!$B$3:$AY$3,0),FALSE)</f>
        <v>10</v>
      </c>
      <c r="M14" s="33">
        <f>VLOOKUP($B14,坦克属性统计!$B$3:$AY$33,MATCH(M$7,坦克属性统计!$B$3:$AY$3,0),FALSE)</f>
        <v>14</v>
      </c>
      <c r="N14" s="34">
        <f>VLOOKUP($B14,坦克属性统计!$B$3:$AY$33,MATCH(N$7,坦克属性统计!$B$3:$AY$3,0),FALSE)</f>
        <v>0</v>
      </c>
      <c r="O14" s="34">
        <f>VLOOKUP($B14,坦克属性统计!$B$3:$AY$33,MATCH(O$7,坦克属性统计!$B$3:$AY$3,0),FALSE)</f>
        <v>9.7999999999999989</v>
      </c>
      <c r="P14" s="34">
        <f>VLOOKUP($B14,坦克属性统计!$B$3:$AY$33,MATCH(P$7,坦克属性统计!$B$3:$AY$3,0),FALSE)</f>
        <v>0.4</v>
      </c>
      <c r="Q14" s="42">
        <f ca="1">VLOOKUP($B14,坦克属性统计!$B$3:$AY$33,MATCH(Q$7,坦克属性统计!$B$3:$AY$3,0),FALSE)*(1+W14/Z14)</f>
        <v>1467</v>
      </c>
      <c r="R14" s="42">
        <f ca="1">VLOOKUP($B14,坦克属性统计!$B$3:$AY$33,MATCH(R$7,坦克属性统计!$B$3:$AY$3,0),FALSE)*(1+X14/AA14)</f>
        <v>105</v>
      </c>
      <c r="S14" s="33">
        <f ca="1">VLOOKUP($B14,坦克属性统计!$B$3:$AY$33,MATCH(S$7,坦克属性统计!$B$3:$AY$3,0),FALSE)</f>
        <v>631</v>
      </c>
      <c r="T14" s="33">
        <f ca="1">VLOOKUP($B14,坦克属性统计!$B$3:$AY$33,MATCH(T$7,坦克属性统计!$B$3:$AY$3,0),FALSE)</f>
        <v>252</v>
      </c>
      <c r="U14" s="42">
        <f ca="1">VLOOKUP($B14,坦克属性统计!$B$3:$AY$33,MATCH(U$7,坦克属性统计!$B$3:$AY$3,0),FALSE)*(1+Y14/AB14)</f>
        <v>576</v>
      </c>
      <c r="V14" s="33">
        <f ca="1">VLOOKUP($B14,坦克属性统计!$B$3:$AY$33,MATCH(V$7,坦克属性统计!$B$3:$AY$3,0),FALSE)</f>
        <v>154</v>
      </c>
      <c r="W14" s="33">
        <f>VLOOKUP($B14,坦克属性统计!$B$3:$AY$33,MATCH(W$7,坦克属性统计!$B$3:$AY$3,0),FALSE)</f>
        <v>0</v>
      </c>
      <c r="X14" s="33">
        <f>VLOOKUP($B14,坦克属性统计!$B$3:$AY$33,MATCH(X$7,坦克属性统计!$B$3:$AY$3,0),FALSE)</f>
        <v>0</v>
      </c>
      <c r="Y14" s="33">
        <f>VLOOKUP($B14,坦克属性统计!$B$3:$AY$33,MATCH(Y$7,坦克属性统计!$B$3:$AY$3,0),FALSE)</f>
        <v>0</v>
      </c>
      <c r="Z14" s="33">
        <f>VLOOKUP(B14,坦克部件!$AL$3:$AS$33,MATCH("基础系数",坦克部件!$AL$3:$AS$3,0),FALSE)</f>
        <v>7400</v>
      </c>
      <c r="AA14" s="33">
        <f t="shared" si="1"/>
        <v>7400</v>
      </c>
      <c r="AB14" s="33">
        <f t="shared" si="1"/>
        <v>7400</v>
      </c>
      <c r="AC14" s="34">
        <f t="shared" si="9"/>
        <v>81.433333333333337</v>
      </c>
      <c r="AD14" s="34" t="s">
        <v>617</v>
      </c>
      <c r="AE14" s="132"/>
      <c r="AF14" s="42">
        <f t="shared" ca="1" si="10"/>
        <v>1991.6143491742516</v>
      </c>
      <c r="AG14" s="42">
        <f t="shared" ca="1" si="11"/>
        <v>8550.5</v>
      </c>
      <c r="AI14" s="1">
        <f t="shared" ca="1" si="12"/>
        <v>12543583.5</v>
      </c>
      <c r="AJ14" s="1">
        <f t="shared" ca="1" si="13"/>
        <v>254304</v>
      </c>
      <c r="AK14" s="1">
        <f t="shared" ca="1" si="14"/>
        <v>49.325152180067953</v>
      </c>
      <c r="AL14" s="1">
        <f t="shared" ca="1" si="15"/>
        <v>62717.917500000003</v>
      </c>
      <c r="AM14" s="1">
        <f t="shared" ca="1" si="16"/>
        <v>5630.4699404223802</v>
      </c>
      <c r="AN14" s="1">
        <f t="shared" ca="1" si="17"/>
        <v>504.28563334681667</v>
      </c>
      <c r="AQ14" s="1" t="s">
        <v>617</v>
      </c>
      <c r="AR14" s="133">
        <f t="shared" ca="1" si="2"/>
        <v>1991.6143491742516</v>
      </c>
      <c r="AS14" s="133">
        <f t="shared" ca="1" si="3"/>
        <v>2022.0436068069507</v>
      </c>
      <c r="AT14" s="133">
        <f t="shared" ca="1" si="4"/>
        <v>2349.9262359391482</v>
      </c>
      <c r="AU14" s="133">
        <f t="shared" ca="1" si="5"/>
        <v>2121.1947306401166</v>
      </c>
      <c r="AW14" s="1">
        <f t="shared" ca="1" si="6"/>
        <v>0.93899999999999995</v>
      </c>
      <c r="AX14" s="1">
        <f t="shared" ca="1" si="7"/>
        <v>0.95299999999999996</v>
      </c>
      <c r="AY14" s="1">
        <f t="shared" ca="1" si="8"/>
        <v>1.1080000000000001</v>
      </c>
    </row>
    <row r="15" spans="2:51" x14ac:dyDescent="0.3">
      <c r="B15" s="2" t="str">
        <f>坦克个性化细分!I11</f>
        <v>M-41</v>
      </c>
      <c r="C15" s="29" t="str">
        <f>VLOOKUP(B15,坦克个性化设定!$B$18:$F$48,5,FALSE)</f>
        <v>轻坦弹夹</v>
      </c>
      <c r="D15" s="2" t="str">
        <f>坦克个性化细分!J11</f>
        <v>中</v>
      </c>
      <c r="E15" s="2" t="str">
        <f t="shared" si="0"/>
        <v>M-41中</v>
      </c>
      <c r="F15" s="34">
        <f>VLOOKUP($B15,坦克属性统计!$B$3:$AY$33,MATCH(F$7,坦克属性统计!$B$3:$AY$3,0),FALSE)</f>
        <v>0.74</v>
      </c>
      <c r="G15" s="34">
        <f>VLOOKUP($B15,坦克属性统计!$B$3:$AY$33,MATCH(G$7,坦克属性统计!$B$3:$AY$3,0),FALSE)</f>
        <v>0.55000000000000004</v>
      </c>
      <c r="H15" s="34">
        <f>VLOOKUP($B15,坦克属性统计!$B$3:$AY$33,MATCH(H$7,坦克属性统计!$B$3:$AY$3,0),FALSE)</f>
        <v>0.8</v>
      </c>
      <c r="I15" s="34">
        <f>VLOOKUP($B15,坦克属性统计!$B$3:$AY$33,MATCH(I$7,坦克属性统计!$B$3:$AY$3,0),FALSE)</f>
        <v>1.2</v>
      </c>
      <c r="J15" s="34">
        <f>VLOOKUP($B15,坦克属性统计!$B$3:$AY$33,MATCH(J$7,坦克属性统计!$B$3:$AY$3,0),FALSE)</f>
        <v>38.5</v>
      </c>
      <c r="K15" s="34">
        <f>VLOOKUP($B15,坦克属性统计!$B$3:$AY$33,MATCH(K$7,坦克属性统计!$B$3:$AY$3,0),FALSE)</f>
        <v>57.4</v>
      </c>
      <c r="L15" s="34">
        <f>VLOOKUP($B15,坦克属性统计!$B$3:$AY$33,MATCH(L$7,坦克属性统计!$B$3:$AY$3,0),FALSE)</f>
        <v>9.6</v>
      </c>
      <c r="M15" s="33">
        <f>VLOOKUP($B15,坦克属性统计!$B$3:$AY$33,MATCH(M$7,坦克属性统计!$B$3:$AY$3,0),FALSE)</f>
        <v>18</v>
      </c>
      <c r="N15" s="34">
        <f>VLOOKUP($B15,坦克属性统计!$B$3:$AY$33,MATCH(N$7,坦克属性统计!$B$3:$AY$3,0),FALSE)</f>
        <v>0</v>
      </c>
      <c r="O15" s="34">
        <f>VLOOKUP($B15,坦克属性统计!$B$3:$AY$33,MATCH(O$7,坦克属性统计!$B$3:$AY$3,0),FALSE)</f>
        <v>12.6</v>
      </c>
      <c r="P15" s="34">
        <f>VLOOKUP($B15,坦克属性统计!$B$3:$AY$33,MATCH(P$7,坦克属性统计!$B$3:$AY$3,0),FALSE)</f>
        <v>0.45833333333333337</v>
      </c>
      <c r="Q15" s="42">
        <f ca="1">VLOOKUP($B15,坦克属性统计!$B$3:$AY$33,MATCH(Q$7,坦克属性统计!$B$3:$AY$3,0),FALSE)*(1+W15/Z15)</f>
        <v>1637</v>
      </c>
      <c r="R15" s="42">
        <f ca="1">VLOOKUP($B15,坦克属性统计!$B$3:$AY$33,MATCH(R$7,坦克属性统计!$B$3:$AY$3,0),FALSE)*(1+X15/AA15)</f>
        <v>112</v>
      </c>
      <c r="S15" s="33">
        <f ca="1">VLOOKUP($B15,坦克属性统计!$B$3:$AY$33,MATCH(S$7,坦克属性统计!$B$3:$AY$3,0),FALSE)</f>
        <v>657</v>
      </c>
      <c r="T15" s="33">
        <f ca="1">VLOOKUP($B15,坦克属性统计!$B$3:$AY$33,MATCH(T$7,坦克属性统计!$B$3:$AY$3,0),FALSE)</f>
        <v>263</v>
      </c>
      <c r="U15" s="42">
        <f ca="1">VLOOKUP($B15,坦克属性统计!$B$3:$AY$33,MATCH(U$7,坦克属性统计!$B$3:$AY$3,0),FALSE)*(1+Y15/AB15)</f>
        <v>600</v>
      </c>
      <c r="V15" s="33">
        <f ca="1">VLOOKUP($B15,坦克属性统计!$B$3:$AY$33,MATCH(V$7,坦克属性统计!$B$3:$AY$3,0),FALSE)</f>
        <v>160</v>
      </c>
      <c r="W15" s="33">
        <f>VLOOKUP($B15,坦克属性统计!$B$3:$AY$33,MATCH(W$7,坦克属性统计!$B$3:$AY$3,0),FALSE)</f>
        <v>0</v>
      </c>
      <c r="X15" s="33">
        <f>VLOOKUP($B15,坦克属性统计!$B$3:$AY$33,MATCH(X$7,坦克属性统计!$B$3:$AY$3,0),FALSE)</f>
        <v>0</v>
      </c>
      <c r="Y15" s="33">
        <f>VLOOKUP($B15,坦克属性统计!$B$3:$AY$33,MATCH(Y$7,坦克属性统计!$B$3:$AY$3,0),FALSE)</f>
        <v>0</v>
      </c>
      <c r="Z15" s="33">
        <f>VLOOKUP(B15,坦克部件!$AL$3:$AS$33,MATCH("基础系数",坦克部件!$AL$3:$AS$3,0),FALSE)</f>
        <v>7400</v>
      </c>
      <c r="AA15" s="33">
        <f t="shared" si="1"/>
        <v>7400</v>
      </c>
      <c r="AB15" s="33">
        <f t="shared" si="1"/>
        <v>7400</v>
      </c>
      <c r="AC15" s="34">
        <f t="shared" si="9"/>
        <v>78.722891566265048</v>
      </c>
      <c r="AD15" s="34" t="s">
        <v>617</v>
      </c>
      <c r="AE15" s="132"/>
      <c r="AF15" s="42">
        <f t="shared" ca="1" si="10"/>
        <v>2146.716396608138</v>
      </c>
      <c r="AG15" s="42">
        <f t="shared" ca="1" si="11"/>
        <v>8816.9638554216854</v>
      </c>
      <c r="AI15" s="1">
        <f t="shared" ca="1" si="12"/>
        <v>14433369.831325298</v>
      </c>
      <c r="AJ15" s="1">
        <f t="shared" ca="1" si="13"/>
        <v>276000</v>
      </c>
      <c r="AK15" s="1">
        <f t="shared" ca="1" si="14"/>
        <v>52.294818229439485</v>
      </c>
      <c r="AL15" s="1">
        <f t="shared" ca="1" si="15"/>
        <v>72166.849156626486</v>
      </c>
      <c r="AM15" s="1">
        <f t="shared" ca="1" si="16"/>
        <v>5900.5664910805508</v>
      </c>
      <c r="AN15" s="1">
        <f t="shared" ca="1" si="17"/>
        <v>525.35702146254789</v>
      </c>
      <c r="AQ15" s="1" t="s">
        <v>617</v>
      </c>
      <c r="AR15" s="133">
        <f t="shared" ca="1" si="2"/>
        <v>2146.716396608138</v>
      </c>
      <c r="AS15" s="133">
        <f t="shared" ca="1" si="3"/>
        <v>2054.5871172461148</v>
      </c>
      <c r="AT15" s="133">
        <f t="shared" ca="1" si="4"/>
        <v>2453.8611523833761</v>
      </c>
      <c r="AU15" s="133">
        <f t="shared" ca="1" si="5"/>
        <v>2218.3882220792098</v>
      </c>
      <c r="AW15" s="1">
        <f t="shared" ca="1" si="6"/>
        <v>0.96799999999999997</v>
      </c>
      <c r="AX15" s="1">
        <f t="shared" ca="1" si="7"/>
        <v>0.92600000000000005</v>
      </c>
      <c r="AY15" s="1">
        <f t="shared" ca="1" si="8"/>
        <v>1.1060000000000001</v>
      </c>
    </row>
    <row r="16" spans="2:51" x14ac:dyDescent="0.3">
      <c r="B16" s="2" t="str">
        <f>坦克个性化细分!I12</f>
        <v>BMP-3</v>
      </c>
      <c r="C16" s="29" t="str">
        <f>VLOOKUP(B16,坦克个性化设定!$B$18:$F$48,5,FALSE)</f>
        <v>轻坦弹夹</v>
      </c>
      <c r="D16" s="2" t="str">
        <f>坦克个性化细分!J12</f>
        <v>高</v>
      </c>
      <c r="E16" s="2" t="str">
        <f t="shared" si="0"/>
        <v>BMP-3高</v>
      </c>
      <c r="F16" s="34">
        <f>VLOOKUP($B16,坦克属性统计!$B$3:$AY$33,MATCH(F$7,坦克属性统计!$B$3:$AY$3,0),FALSE)</f>
        <v>0.78</v>
      </c>
      <c r="G16" s="34">
        <f>VLOOKUP($B16,坦克属性统计!$B$3:$AY$33,MATCH(G$7,坦克属性统计!$B$3:$AY$3,0),FALSE)</f>
        <v>0.62</v>
      </c>
      <c r="H16" s="34">
        <f>VLOOKUP($B16,坦克属性统计!$B$3:$AY$33,MATCH(H$7,坦克属性统计!$B$3:$AY$3,0),FALSE)</f>
        <v>0.8</v>
      </c>
      <c r="I16" s="34">
        <f>VLOOKUP($B16,坦克属性统计!$B$3:$AY$33,MATCH(I$7,坦克属性统计!$B$3:$AY$3,0),FALSE)</f>
        <v>1.2</v>
      </c>
      <c r="J16" s="34">
        <f>VLOOKUP($B16,坦克属性统计!$B$3:$AY$33,MATCH(J$7,坦克属性统计!$B$3:$AY$3,0),FALSE)</f>
        <v>44.5</v>
      </c>
      <c r="K16" s="34">
        <f>VLOOKUP($B16,坦克属性统计!$B$3:$AY$33,MATCH(K$7,坦克属性统计!$B$3:$AY$3,0),FALSE)</f>
        <v>52.5</v>
      </c>
      <c r="L16" s="34">
        <f>VLOOKUP($B16,坦克属性统计!$B$3:$AY$33,MATCH(L$7,坦克属性统计!$B$3:$AY$3,0),FALSE)</f>
        <v>10.5</v>
      </c>
      <c r="M16" s="33">
        <f>VLOOKUP($B16,坦克属性统计!$B$3:$AY$33,MATCH(M$7,坦克属性统计!$B$3:$AY$3,0),FALSE)</f>
        <v>9</v>
      </c>
      <c r="N16" s="34">
        <f>VLOOKUP($B16,坦克属性统计!$B$3:$AY$33,MATCH(N$7,坦克属性统计!$B$3:$AY$3,0),FALSE)</f>
        <v>0</v>
      </c>
      <c r="O16" s="34">
        <f>VLOOKUP($B16,坦克属性统计!$B$3:$AY$33,MATCH(O$7,坦克属性统计!$B$3:$AY$3,0),FALSE)</f>
        <v>6.3</v>
      </c>
      <c r="P16" s="34">
        <f>VLOOKUP($B16,坦克属性统计!$B$3:$AY$33,MATCH(P$7,坦克属性统计!$B$3:$AY$3,0),FALSE)</f>
        <v>0.51666666666666672</v>
      </c>
      <c r="Q16" s="42">
        <f ca="1">VLOOKUP($B16,坦克属性统计!$B$3:$AY$33,MATCH(Q$7,坦克属性统计!$B$3:$AY$3,0),FALSE)*(1+W16/Z16)</f>
        <v>1787</v>
      </c>
      <c r="R16" s="42">
        <f ca="1">VLOOKUP($B16,坦克属性统计!$B$3:$AY$33,MATCH(R$7,坦克属性统计!$B$3:$AY$3,0),FALSE)*(1+X16/AA16)</f>
        <v>115</v>
      </c>
      <c r="S16" s="33">
        <f ca="1">VLOOKUP($B16,坦克属性统计!$B$3:$AY$33,MATCH(S$7,坦克属性统计!$B$3:$AY$3,0),FALSE)</f>
        <v>657</v>
      </c>
      <c r="T16" s="33">
        <f ca="1">VLOOKUP($B16,坦克属性统计!$B$3:$AY$33,MATCH(T$7,坦克属性统计!$B$3:$AY$3,0),FALSE)</f>
        <v>263</v>
      </c>
      <c r="U16" s="42">
        <f ca="1">VLOOKUP($B16,坦克属性统计!$B$3:$AY$33,MATCH(U$7,坦克属性统计!$B$3:$AY$3,0),FALSE)*(1+Y16/AB16)</f>
        <v>600</v>
      </c>
      <c r="V16" s="33">
        <f ca="1">VLOOKUP($B16,坦克属性统计!$B$3:$AY$33,MATCH(V$7,坦克属性统计!$B$3:$AY$3,0),FALSE)</f>
        <v>160</v>
      </c>
      <c r="W16" s="33">
        <f>VLOOKUP($B16,坦克属性统计!$B$3:$AY$33,MATCH(W$7,坦克属性统计!$B$3:$AY$3,0),FALSE)</f>
        <v>0</v>
      </c>
      <c r="X16" s="33">
        <f>VLOOKUP($B16,坦克属性统计!$B$3:$AY$33,MATCH(X$7,坦克属性统计!$B$3:$AY$3,0),FALSE)</f>
        <v>0</v>
      </c>
      <c r="Y16" s="33">
        <f>VLOOKUP($B16,坦克属性统计!$B$3:$AY$33,MATCH(Y$7,坦克属性统计!$B$3:$AY$3,0),FALSE)</f>
        <v>0</v>
      </c>
      <c r="Z16" s="33">
        <f>VLOOKUP(B16,坦克部件!$AL$3:$AS$33,MATCH("基础系数",坦克部件!$AL$3:$AS$3,0),FALSE)</f>
        <v>7400</v>
      </c>
      <c r="AA16" s="33">
        <f t="shared" si="1"/>
        <v>7400</v>
      </c>
      <c r="AB16" s="33">
        <f t="shared" si="1"/>
        <v>7400</v>
      </c>
      <c r="AC16" s="34">
        <f t="shared" si="9"/>
        <v>75.531645569620252</v>
      </c>
      <c r="AD16" s="34" t="s">
        <v>617</v>
      </c>
      <c r="AE16" s="132"/>
      <c r="AF16" s="42">
        <f t="shared" ca="1" si="10"/>
        <v>2200.0580407465054</v>
      </c>
      <c r="AG16" s="42">
        <f t="shared" ca="1" si="11"/>
        <v>8686.1392405063289</v>
      </c>
      <c r="AI16" s="1">
        <f t="shared" ca="1" si="12"/>
        <v>15522130.822784809</v>
      </c>
      <c r="AJ16" s="1">
        <f t="shared" ca="1" si="13"/>
        <v>276000</v>
      </c>
      <c r="AK16" s="1">
        <f t="shared" ca="1" si="14"/>
        <v>56.239604430379742</v>
      </c>
      <c r="AL16" s="1">
        <f t="shared" ca="1" si="15"/>
        <v>77610.654113924043</v>
      </c>
      <c r="AM16" s="1">
        <f t="shared" ca="1" si="16"/>
        <v>5946.5170824098714</v>
      </c>
      <c r="AN16" s="1">
        <f t="shared" ca="1" si="17"/>
        <v>525.35702146254789</v>
      </c>
      <c r="AQ16" s="1" t="s">
        <v>617</v>
      </c>
      <c r="AR16" s="133">
        <f t="shared" ca="1" si="2"/>
        <v>2200.0580407465054</v>
      </c>
      <c r="AS16" s="133">
        <f t="shared" ca="1" si="3"/>
        <v>2170.6537613644118</v>
      </c>
      <c r="AT16" s="133">
        <f t="shared" ca="1" si="4"/>
        <v>2483.5505171521295</v>
      </c>
      <c r="AU16" s="133">
        <f t="shared" ca="1" si="5"/>
        <v>2284.7541064210159</v>
      </c>
      <c r="AW16" s="1">
        <f t="shared" ca="1" si="6"/>
        <v>0.96299999999999997</v>
      </c>
      <c r="AX16" s="1">
        <f t="shared" ca="1" si="7"/>
        <v>0.95</v>
      </c>
      <c r="AY16" s="1">
        <f t="shared" ca="1" si="8"/>
        <v>1.087</v>
      </c>
    </row>
    <row r="17" spans="2:51" x14ac:dyDescent="0.3">
      <c r="B17" s="2" t="str">
        <f>坦克个性化细分!I13</f>
        <v>59式</v>
      </c>
      <c r="C17" s="29" t="str">
        <f>VLOOKUP(B17,坦克个性化设定!$B$18:$F$48,5,FALSE)</f>
        <v>轻坦弹夹</v>
      </c>
      <c r="D17" s="2" t="str">
        <f>坦克个性化细分!J13</f>
        <v>低</v>
      </c>
      <c r="E17" s="2" t="str">
        <f t="shared" si="0"/>
        <v>59式低</v>
      </c>
      <c r="F17" s="34">
        <f>VLOOKUP($B17,坦克属性统计!$B$3:$AY$33,MATCH(F$7,坦克属性统计!$B$3:$AY$3,0),FALSE)</f>
        <v>0.7</v>
      </c>
      <c r="G17" s="34">
        <f>VLOOKUP($B17,坦克属性统计!$B$3:$AY$33,MATCH(G$7,坦克属性统计!$B$3:$AY$3,0),FALSE)</f>
        <v>0.56999999999999995</v>
      </c>
      <c r="H17" s="34">
        <f>VLOOKUP($B17,坦克属性统计!$B$3:$AY$33,MATCH(H$7,坦克属性统计!$B$3:$AY$3,0),FALSE)</f>
        <v>0.8</v>
      </c>
      <c r="I17" s="34">
        <f>VLOOKUP($B17,坦克属性统计!$B$3:$AY$33,MATCH(I$7,坦克属性统计!$B$3:$AY$3,0),FALSE)</f>
        <v>1.2</v>
      </c>
      <c r="J17" s="34">
        <f>VLOOKUP($B17,坦克属性统计!$B$3:$AY$33,MATCH(J$7,坦克属性统计!$B$3:$AY$3,0),FALSE)</f>
        <v>37.700000000000003</v>
      </c>
      <c r="K17" s="34">
        <f>VLOOKUP($B17,坦克属性统计!$B$3:$AY$33,MATCH(K$7,坦克属性统计!$B$3:$AY$3,0),FALSE)</f>
        <v>56.3</v>
      </c>
      <c r="L17" s="34">
        <f>VLOOKUP($B17,坦克属性统计!$B$3:$AY$33,MATCH(L$7,坦克属性统计!$B$3:$AY$3,0),FALSE)</f>
        <v>9.5</v>
      </c>
      <c r="M17" s="33">
        <f>VLOOKUP($B17,坦克属性统计!$B$3:$AY$33,MATCH(M$7,坦克属性统计!$B$3:$AY$3,0),FALSE)</f>
        <v>14</v>
      </c>
      <c r="N17" s="34">
        <f>VLOOKUP($B17,坦克属性统计!$B$3:$AY$33,MATCH(N$7,坦克属性统计!$B$3:$AY$3,0),FALSE)</f>
        <v>0</v>
      </c>
      <c r="O17" s="34">
        <f>VLOOKUP($B17,坦克属性统计!$B$3:$AY$33,MATCH(O$7,坦克属性统计!$B$3:$AY$3,0),FALSE)</f>
        <v>9.7999999999999989</v>
      </c>
      <c r="P17" s="34">
        <f>VLOOKUP($B17,坦克属性统计!$B$3:$AY$33,MATCH(P$7,坦克属性统计!$B$3:$AY$3,0),FALSE)</f>
        <v>0.47499999999999998</v>
      </c>
      <c r="Q17" s="42" t="e">
        <f ca="1">VLOOKUP($B17,坦克属性统计!$B$3:$AY$33,MATCH(Q$7,坦克属性统计!$B$3:$AY$3,0),FALSE)*(1+W17/Z17)</f>
        <v>#N/A</v>
      </c>
      <c r="R17" s="42" t="e">
        <f ca="1">VLOOKUP($B17,坦克属性统计!$B$3:$AY$33,MATCH(R$7,坦克属性统计!$B$3:$AY$3,0),FALSE)*(1+X17/AA17)</f>
        <v>#N/A</v>
      </c>
      <c r="S17" s="33">
        <f ca="1">VLOOKUP($B17,坦克属性统计!$B$3:$AY$33,MATCH(S$7,坦克属性统计!$B$3:$AY$3,0),FALSE)</f>
        <v>828</v>
      </c>
      <c r="T17" s="33">
        <f ca="1">VLOOKUP($B17,坦克属性统计!$B$3:$AY$33,MATCH(T$7,坦克属性统计!$B$3:$AY$3,0),FALSE)</f>
        <v>331</v>
      </c>
      <c r="U17" s="42" t="e">
        <f ca="1">VLOOKUP($B17,坦克属性统计!$B$3:$AY$33,MATCH(U$7,坦克属性统计!$B$3:$AY$3,0),FALSE)*(1+Y17/AB17)</f>
        <v>#N/A</v>
      </c>
      <c r="V17" s="33">
        <f ca="1">VLOOKUP($B17,坦克属性统计!$B$3:$AY$33,MATCH(V$7,坦克属性统计!$B$3:$AY$3,0),FALSE)</f>
        <v>202</v>
      </c>
      <c r="W17" s="33">
        <f>VLOOKUP($B17,坦克属性统计!$B$3:$AY$33,MATCH(W$7,坦克属性统计!$B$3:$AY$3,0),FALSE)</f>
        <v>0</v>
      </c>
      <c r="X17" s="33">
        <f>VLOOKUP($B17,坦克属性统计!$B$3:$AY$33,MATCH(X$7,坦克属性统计!$B$3:$AY$3,0),FALSE)</f>
        <v>0</v>
      </c>
      <c r="Y17" s="33">
        <f>VLOOKUP($B17,坦克属性统计!$B$3:$AY$33,MATCH(Y$7,坦克属性统计!$B$3:$AY$3,0),FALSE)</f>
        <v>0</v>
      </c>
      <c r="Z17" s="33" t="e">
        <f>VLOOKUP(B17,坦克部件!$AL$3:$AS$33,MATCH("基础系数",坦克部件!$AL$3:$AS$3,0),FALSE)</f>
        <v>#N/A</v>
      </c>
      <c r="AA17" s="33" t="e">
        <f t="shared" si="1"/>
        <v>#N/A</v>
      </c>
      <c r="AB17" s="33" t="e">
        <f t="shared" si="1"/>
        <v>#N/A</v>
      </c>
      <c r="AC17" s="34">
        <f t="shared" si="9"/>
        <v>76.7434554973822</v>
      </c>
      <c r="AD17" s="34" t="s">
        <v>624</v>
      </c>
      <c r="AE17" s="132"/>
      <c r="AF17" s="42" t="e">
        <f t="shared" ca="1" si="10"/>
        <v>#N/A</v>
      </c>
      <c r="AG17" s="42" t="e">
        <f t="shared" ca="1" si="11"/>
        <v>#N/A</v>
      </c>
      <c r="AI17" s="1" t="e">
        <f t="shared" ca="1" si="12"/>
        <v>#N/A</v>
      </c>
      <c r="AJ17" s="1" t="e">
        <f t="shared" ca="1" si="13"/>
        <v>#N/A</v>
      </c>
      <c r="AK17" s="1" t="e">
        <f t="shared" ca="1" si="14"/>
        <v>#N/A</v>
      </c>
      <c r="AL17" s="1" t="e">
        <f t="shared" ca="1" si="15"/>
        <v>#N/A</v>
      </c>
      <c r="AM17" s="1" t="e">
        <f t="shared" ca="1" si="16"/>
        <v>#N/A</v>
      </c>
      <c r="AN17" s="1" t="e">
        <f t="shared" ca="1" si="17"/>
        <v>#N/A</v>
      </c>
      <c r="AQ17" s="1" t="s">
        <v>624</v>
      </c>
      <c r="AR17" s="133" t="e">
        <f t="shared" ca="1" si="2"/>
        <v>#N/A</v>
      </c>
      <c r="AS17" s="133" t="e">
        <f t="shared" ca="1" si="3"/>
        <v>#N/A</v>
      </c>
      <c r="AT17" s="133" t="e">
        <f t="shared" ca="1" si="4"/>
        <v>#N/A</v>
      </c>
      <c r="AU17" s="133" t="e">
        <f t="shared" ca="1" si="5"/>
        <v>#N/A</v>
      </c>
      <c r="AW17" s="1" t="e">
        <f t="shared" ca="1" si="6"/>
        <v>#N/A</v>
      </c>
      <c r="AX17" s="1" t="e">
        <f t="shared" ca="1" si="7"/>
        <v>#N/A</v>
      </c>
      <c r="AY17" s="1" t="e">
        <f t="shared" ca="1" si="8"/>
        <v>#N/A</v>
      </c>
    </row>
    <row r="18" spans="2:51" x14ac:dyDescent="0.3">
      <c r="B18" s="2" t="str">
        <f>坦克个性化细分!I14</f>
        <v>Stuart</v>
      </c>
      <c r="C18" s="29" t="str">
        <f>VLOOKUP(B18,坦克个性化设定!$B$18:$F$48,5,FALSE)</f>
        <v>中坦自动</v>
      </c>
      <c r="D18" s="2" t="str">
        <f>坦克个性化细分!J14</f>
        <v>低</v>
      </c>
      <c r="E18" s="2" t="str">
        <f t="shared" si="0"/>
        <v>Stuart低</v>
      </c>
      <c r="F18" s="34">
        <f>VLOOKUP($B18,坦克属性统计!$B$3:$AY$33,MATCH(F$7,坦克属性统计!$B$3:$AY$3,0),FALSE)</f>
        <v>0.78</v>
      </c>
      <c r="G18" s="34">
        <f>VLOOKUP($B18,坦克属性统计!$B$3:$AY$33,MATCH(G$7,坦克属性统计!$B$3:$AY$3,0),FALSE)</f>
        <v>1</v>
      </c>
      <c r="H18" s="34">
        <f>VLOOKUP($B18,坦克属性统计!$B$3:$AY$33,MATCH(H$7,坦克属性统计!$B$3:$AY$3,0),FALSE)</f>
        <v>0.30000000000000004</v>
      </c>
      <c r="I18" s="34">
        <f>VLOOKUP($B18,坦克属性统计!$B$3:$AY$33,MATCH(I$7,坦克属性统计!$B$3:$AY$3,0),FALSE)</f>
        <v>1</v>
      </c>
      <c r="J18" s="34">
        <f>VLOOKUP($B18,坦克属性统计!$B$3:$AY$33,MATCH(J$7,坦克属性统计!$B$3:$AY$3,0),FALSE)</f>
        <v>44.5</v>
      </c>
      <c r="K18" s="34">
        <f>VLOOKUP($B18,坦克属性统计!$B$3:$AY$33,MATCH(K$7,坦克属性统计!$B$3:$AY$3,0),FALSE)</f>
        <v>40</v>
      </c>
      <c r="L18" s="34">
        <f>VLOOKUP($B18,坦克属性统计!$B$3:$AY$33,MATCH(L$7,坦克属性统计!$B$3:$AY$3,0),FALSE)</f>
        <v>8</v>
      </c>
      <c r="M18" s="33">
        <f>VLOOKUP($B18,坦克属性统计!$B$3:$AY$33,MATCH(M$7,坦克属性统计!$B$3:$AY$3,0),FALSE)</f>
        <v>9</v>
      </c>
      <c r="N18" s="34">
        <f>VLOOKUP($B18,坦克属性统计!$B$3:$AY$33,MATCH(N$7,坦克属性统计!$B$3:$AY$3,0),FALSE)</f>
        <v>3.2</v>
      </c>
      <c r="O18" s="34">
        <f>VLOOKUP($B18,坦克属性统计!$B$3:$AY$33,MATCH(O$7,坦克属性统计!$B$3:$AY$3,0),FALSE)</f>
        <v>0</v>
      </c>
      <c r="P18" s="34">
        <f>VLOOKUP($B18,坦克属性统计!$B$3:$AY$33,MATCH(P$7,坦克属性统计!$B$3:$AY$3,0),FALSE)</f>
        <v>1</v>
      </c>
      <c r="Q18" s="42">
        <f ca="1">VLOOKUP($B18,坦克属性统计!$B$3:$AY$33,MATCH(Q$7,坦克属性统计!$B$3:$AY$3,0),FALSE)*(1+W18/Z18)</f>
        <v>624</v>
      </c>
      <c r="R18" s="42">
        <f ca="1">VLOOKUP($B18,坦克属性统计!$B$3:$AY$33,MATCH(R$7,坦克属性统计!$B$3:$AY$3,0),FALSE)*(1+X18/AA18)</f>
        <v>146</v>
      </c>
      <c r="S18" s="33">
        <f ca="1">VLOOKUP($B18,坦克属性统计!$B$3:$AY$33,MATCH(S$7,坦克属性统计!$B$3:$AY$3,0),FALSE)</f>
        <v>329</v>
      </c>
      <c r="T18" s="33">
        <f ca="1">VLOOKUP($B18,坦克属性统计!$B$3:$AY$33,MATCH(T$7,坦克属性统计!$B$3:$AY$3,0),FALSE)</f>
        <v>148</v>
      </c>
      <c r="U18" s="42">
        <f ca="1">VLOOKUP($B18,坦克属性统计!$B$3:$AY$33,MATCH(U$7,坦克属性统计!$B$3:$AY$3,0),FALSE)*(1+Y18/AB18)</f>
        <v>360</v>
      </c>
      <c r="V18" s="33">
        <f ca="1">VLOOKUP($B18,坦克属性统计!$B$3:$AY$33,MATCH(V$7,坦克属性统计!$B$3:$AY$3,0),FALSE)</f>
        <v>84</v>
      </c>
      <c r="W18" s="33">
        <f>VLOOKUP($B18,坦克属性统计!$B$3:$AY$33,MATCH(W$7,坦克属性统计!$B$3:$AY$3,0),FALSE)</f>
        <v>0</v>
      </c>
      <c r="X18" s="33">
        <f>VLOOKUP($B18,坦克属性统计!$B$3:$AY$33,MATCH(X$7,坦克属性统计!$B$3:$AY$3,0),FALSE)</f>
        <v>0</v>
      </c>
      <c r="Y18" s="33">
        <f>VLOOKUP($B18,坦克属性统计!$B$3:$AY$33,MATCH(Y$7,坦克属性统计!$B$3:$AY$3,0),FALSE)</f>
        <v>0</v>
      </c>
      <c r="Z18" s="33">
        <f>VLOOKUP(B18,坦克部件!$AL$3:$AS$33,MATCH("基础系数",坦克部件!$AL$3:$AS$3,0),FALSE)</f>
        <v>1750</v>
      </c>
      <c r="AA18" s="33">
        <f t="shared" si="1"/>
        <v>1750</v>
      </c>
      <c r="AB18" s="33">
        <f t="shared" si="1"/>
        <v>1750</v>
      </c>
      <c r="AC18" s="34">
        <f t="shared" si="9"/>
        <v>27.75</v>
      </c>
      <c r="AD18" s="34" t="s">
        <v>604</v>
      </c>
      <c r="AE18" s="132"/>
      <c r="AF18" s="42">
        <f t="shared" ca="1" si="10"/>
        <v>804.04585156806161</v>
      </c>
      <c r="AG18" s="42">
        <f t="shared" ca="1" si="11"/>
        <v>4051.5</v>
      </c>
      <c r="AI18" s="1">
        <f t="shared" ca="1" si="12"/>
        <v>2528136</v>
      </c>
      <c r="AJ18" s="1">
        <f t="shared" ca="1" si="13"/>
        <v>85860</v>
      </c>
      <c r="AK18" s="1">
        <f t="shared" ca="1" si="14"/>
        <v>29.444863731656184</v>
      </c>
      <c r="AL18" s="1">
        <f t="shared" ca="1" si="15"/>
        <v>12640.68</v>
      </c>
      <c r="AM18" s="1">
        <f t="shared" ca="1" si="16"/>
        <v>3138.4817985771401</v>
      </c>
      <c r="AN18" s="1">
        <f t="shared" ca="1" si="17"/>
        <v>293.01877072979471</v>
      </c>
    </row>
    <row r="19" spans="2:51" x14ac:dyDescent="0.3">
      <c r="B19" s="2" t="str">
        <f>坦克个性化细分!I15</f>
        <v>T-34</v>
      </c>
      <c r="C19" s="29" t="str">
        <f>VLOOKUP(B19,坦克个性化设定!$B$18:$F$48,5,FALSE)</f>
        <v>中坦自动</v>
      </c>
      <c r="D19" s="2" t="str">
        <f>坦克个性化细分!J15</f>
        <v>低</v>
      </c>
      <c r="E19" s="2" t="str">
        <f t="shared" si="0"/>
        <v>T-34低</v>
      </c>
      <c r="F19" s="34">
        <f>VLOOKUP($B19,坦克属性统计!$B$3:$AY$33,MATCH(F$7,坦克属性统计!$B$3:$AY$3,0),FALSE)</f>
        <v>0.75</v>
      </c>
      <c r="G19" s="34">
        <f>VLOOKUP($B19,坦克属性统计!$B$3:$AY$33,MATCH(G$7,坦克属性统计!$B$3:$AY$3,0),FALSE)</f>
        <v>1.01</v>
      </c>
      <c r="H19" s="34">
        <f>VLOOKUP($B19,坦克属性统计!$B$3:$AY$33,MATCH(H$7,坦克属性统计!$B$3:$AY$3,0),FALSE)</f>
        <v>0.32</v>
      </c>
      <c r="I19" s="34">
        <f>VLOOKUP($B19,坦克属性统计!$B$3:$AY$33,MATCH(I$7,坦克属性统计!$B$3:$AY$3,0),FALSE)</f>
        <v>1</v>
      </c>
      <c r="J19" s="34">
        <f>VLOOKUP($B19,坦克属性统计!$B$3:$AY$33,MATCH(J$7,坦克属性统计!$B$3:$AY$3,0),FALSE)</f>
        <v>44.5</v>
      </c>
      <c r="K19" s="34">
        <f>VLOOKUP($B19,坦克属性统计!$B$3:$AY$33,MATCH(K$7,坦克属性统计!$B$3:$AY$3,0),FALSE)</f>
        <v>40</v>
      </c>
      <c r="L19" s="34">
        <f>VLOOKUP($B19,坦克属性统计!$B$3:$AY$33,MATCH(L$7,坦克属性统计!$B$3:$AY$3,0),FALSE)</f>
        <v>8</v>
      </c>
      <c r="M19" s="33">
        <f>VLOOKUP($B19,坦克属性统计!$B$3:$AY$33,MATCH(M$7,坦克属性统计!$B$3:$AY$3,0),FALSE)</f>
        <v>9</v>
      </c>
      <c r="N19" s="34">
        <f>VLOOKUP($B19,坦克属性统计!$B$3:$AY$33,MATCH(N$7,坦克属性统计!$B$3:$AY$3,0),FALSE)</f>
        <v>3.2</v>
      </c>
      <c r="O19" s="34">
        <f>VLOOKUP($B19,坦克属性统计!$B$3:$AY$33,MATCH(O$7,坦克属性统计!$B$3:$AY$3,0),FALSE)</f>
        <v>0</v>
      </c>
      <c r="P19" s="34">
        <f>VLOOKUP($B19,坦克属性统计!$B$3:$AY$33,MATCH(P$7,坦克属性统计!$B$3:$AY$3,0),FALSE)</f>
        <v>1.01</v>
      </c>
      <c r="Q19" s="42">
        <f ca="1">VLOOKUP($B19,坦克属性统计!$B$3:$AY$33,MATCH(Q$7,坦克属性统计!$B$3:$AY$3,0),FALSE)*(1+W19/Z19)</f>
        <v>923</v>
      </c>
      <c r="R19" s="42">
        <f ca="1">VLOOKUP($B19,坦克属性统计!$B$3:$AY$33,MATCH(R$7,坦克属性统计!$B$3:$AY$3,0),FALSE)*(1+X19/AA19)</f>
        <v>143</v>
      </c>
      <c r="S19" s="33">
        <f ca="1">VLOOKUP($B19,坦克属性统计!$B$3:$AY$33,MATCH(S$7,坦克属性统计!$B$3:$AY$3,0),FALSE)</f>
        <v>394</v>
      </c>
      <c r="T19" s="33">
        <f ca="1">VLOOKUP($B19,坦克属性统计!$B$3:$AY$33,MATCH(T$7,坦克属性统计!$B$3:$AY$3,0),FALSE)</f>
        <v>177</v>
      </c>
      <c r="U19" s="42">
        <f ca="1">VLOOKUP($B19,坦克属性统计!$B$3:$AY$33,MATCH(U$7,坦克属性统计!$B$3:$AY$3,0),FALSE)*(1+Y19/AB19)</f>
        <v>432</v>
      </c>
      <c r="V19" s="33">
        <f ca="1">VLOOKUP($B19,坦克属性统计!$B$3:$AY$33,MATCH(V$7,坦克属性统计!$B$3:$AY$3,0),FALSE)</f>
        <v>101</v>
      </c>
      <c r="W19" s="33">
        <f>VLOOKUP($B19,坦克属性统计!$B$3:$AY$33,MATCH(W$7,坦克属性统计!$B$3:$AY$3,0),FALSE)</f>
        <v>0</v>
      </c>
      <c r="X19" s="33">
        <f>VLOOKUP($B19,坦克属性统计!$B$3:$AY$33,MATCH(X$7,坦克属性统计!$B$3:$AY$3,0),FALSE)</f>
        <v>0</v>
      </c>
      <c r="Y19" s="33">
        <f>VLOOKUP($B19,坦克属性统计!$B$3:$AY$33,MATCH(Y$7,坦克属性统计!$B$3:$AY$3,0),FALSE)</f>
        <v>0</v>
      </c>
      <c r="Z19" s="33">
        <f>VLOOKUP(B19,坦克部件!$AL$3:$AS$33,MATCH("基础系数",坦克部件!$AL$3:$AS$3,0),FALSE)</f>
        <v>2500</v>
      </c>
      <c r="AA19" s="33">
        <f t="shared" si="1"/>
        <v>2500</v>
      </c>
      <c r="AB19" s="33">
        <f t="shared" si="1"/>
        <v>2500</v>
      </c>
      <c r="AC19" s="34">
        <f t="shared" si="9"/>
        <v>27.75</v>
      </c>
      <c r="AD19" s="34" t="s">
        <v>606</v>
      </c>
      <c r="AE19" s="132"/>
      <c r="AF19" s="42">
        <f t="shared" ca="1" si="10"/>
        <v>1029.6907671456206</v>
      </c>
      <c r="AG19" s="42">
        <f t="shared" ca="1" si="11"/>
        <v>3968.25</v>
      </c>
      <c r="AI19" s="1">
        <f t="shared" ca="1" si="12"/>
        <v>3662694.75</v>
      </c>
      <c r="AJ19" s="1">
        <f t="shared" ca="1" si="13"/>
        <v>123336</v>
      </c>
      <c r="AK19" s="1">
        <f t="shared" ca="1" si="14"/>
        <v>29.696882905234482</v>
      </c>
      <c r="AL19" s="1">
        <f t="shared" ca="1" si="15"/>
        <v>18313.473750000001</v>
      </c>
      <c r="AM19" s="1">
        <f t="shared" ca="1" si="16"/>
        <v>3763.6348620715053</v>
      </c>
      <c r="AN19" s="1">
        <f t="shared" ca="1" si="17"/>
        <v>351.19225503988554</v>
      </c>
    </row>
    <row r="20" spans="2:51" x14ac:dyDescent="0.3">
      <c r="B20" s="2" t="str">
        <f>坦克个性化细分!I16</f>
        <v>四号</v>
      </c>
      <c r="C20" s="29" t="str">
        <f>VLOOKUP(B20,坦克个性化设定!$B$18:$F$48,5,FALSE)</f>
        <v>中坦自动</v>
      </c>
      <c r="D20" s="2" t="str">
        <f>坦克个性化细分!J16</f>
        <v>中</v>
      </c>
      <c r="E20" s="2" t="str">
        <f t="shared" si="0"/>
        <v>四号中</v>
      </c>
      <c r="F20" s="34">
        <f>VLOOKUP($B20,坦克属性统计!$B$3:$AY$33,MATCH(F$7,坦克属性统计!$B$3:$AY$3,0),FALSE)</f>
        <v>0.64</v>
      </c>
      <c r="G20" s="34">
        <f>VLOOKUP($B20,坦克属性统计!$B$3:$AY$33,MATCH(G$7,坦克属性统计!$B$3:$AY$3,0),FALSE)</f>
        <v>1.4</v>
      </c>
      <c r="H20" s="34">
        <f>VLOOKUP($B20,坦克属性统计!$B$3:$AY$33,MATCH(H$7,坦克属性统计!$B$3:$AY$3,0),FALSE)</f>
        <v>0.4</v>
      </c>
      <c r="I20" s="34">
        <f>VLOOKUP($B20,坦克属性统计!$B$3:$AY$33,MATCH(I$7,坦克属性统计!$B$3:$AY$3,0),FALSE)</f>
        <v>1</v>
      </c>
      <c r="J20" s="34">
        <f>VLOOKUP($B20,坦克属性统计!$B$3:$AY$33,MATCH(J$7,坦克属性统计!$B$3:$AY$3,0),FALSE)</f>
        <v>36.299999999999997</v>
      </c>
      <c r="K20" s="34">
        <f>VLOOKUP($B20,坦克属性统计!$B$3:$AY$33,MATCH(K$7,坦克属性统计!$B$3:$AY$3,0),FALSE)</f>
        <v>51</v>
      </c>
      <c r="L20" s="34">
        <f>VLOOKUP($B20,坦克属性统计!$B$3:$AY$33,MATCH(L$7,坦克属性统计!$B$3:$AY$3,0),FALSE)</f>
        <v>7.3</v>
      </c>
      <c r="M20" s="33">
        <f>VLOOKUP($B20,坦克属性统计!$B$3:$AY$33,MATCH(M$7,坦克属性统计!$B$3:$AY$3,0),FALSE)</f>
        <v>6</v>
      </c>
      <c r="N20" s="34">
        <f>VLOOKUP($B20,坦克属性统计!$B$3:$AY$33,MATCH(N$7,坦克属性统计!$B$3:$AY$3,0),FALSE)</f>
        <v>2.4</v>
      </c>
      <c r="O20" s="34">
        <f>VLOOKUP($B20,坦克属性统计!$B$3:$AY$33,MATCH(O$7,坦克属性统计!$B$3:$AY$3,0),FALSE)</f>
        <v>0</v>
      </c>
      <c r="P20" s="34">
        <f>VLOOKUP($B20,坦克属性统计!$B$3:$AY$33,MATCH(P$7,坦克属性统计!$B$3:$AY$3,0),FALSE)</f>
        <v>1.4</v>
      </c>
      <c r="Q20" s="42">
        <f ca="1">VLOOKUP($B20,坦克属性统计!$B$3:$AY$33,MATCH(Q$7,坦克属性统计!$B$3:$AY$3,0),FALSE)*(1+W20/Z20)</f>
        <v>983</v>
      </c>
      <c r="R20" s="42">
        <f ca="1">VLOOKUP($B20,坦克属性统计!$B$3:$AY$33,MATCH(R$7,坦克属性统计!$B$3:$AY$3,0),FALSE)*(1+X20/AA20)</f>
        <v>144</v>
      </c>
      <c r="S20" s="33">
        <f ca="1">VLOOKUP($B20,坦克属性统计!$B$3:$AY$33,MATCH(S$7,坦克属性统计!$B$3:$AY$3,0),FALSE)</f>
        <v>401</v>
      </c>
      <c r="T20" s="33">
        <f ca="1">VLOOKUP($B20,坦克属性统计!$B$3:$AY$33,MATCH(T$7,坦克属性统计!$B$3:$AY$3,0),FALSE)</f>
        <v>180</v>
      </c>
      <c r="U20" s="42">
        <f ca="1">VLOOKUP($B20,坦克属性统计!$B$3:$AY$33,MATCH(U$7,坦克属性统计!$B$3:$AY$3,0),FALSE)*(1+Y20/AB20)</f>
        <v>439</v>
      </c>
      <c r="V20" s="33">
        <f ca="1">VLOOKUP($B20,坦克属性统计!$B$3:$AY$33,MATCH(V$7,坦克属性统计!$B$3:$AY$3,0),FALSE)</f>
        <v>103</v>
      </c>
      <c r="W20" s="33">
        <f>VLOOKUP($B20,坦克属性统计!$B$3:$AY$33,MATCH(W$7,坦克属性统计!$B$3:$AY$3,0),FALSE)</f>
        <v>0</v>
      </c>
      <c r="X20" s="33">
        <f>VLOOKUP($B20,坦克属性统计!$B$3:$AY$33,MATCH(X$7,坦克属性统计!$B$3:$AY$3,0),FALSE)</f>
        <v>0</v>
      </c>
      <c r="Y20" s="33">
        <f>VLOOKUP($B20,坦克属性统计!$B$3:$AY$33,MATCH(Y$7,坦克属性统计!$B$3:$AY$3,0),FALSE)</f>
        <v>0</v>
      </c>
      <c r="Z20" s="33">
        <f>VLOOKUP(B20,坦克部件!$AL$3:$AS$33,MATCH("基础系数",坦克部件!$AL$3:$AS$3,0),FALSE)</f>
        <v>2500</v>
      </c>
      <c r="AA20" s="33">
        <f t="shared" si="1"/>
        <v>2500</v>
      </c>
      <c r="AB20" s="33">
        <f t="shared" si="1"/>
        <v>2500</v>
      </c>
      <c r="AC20" s="34">
        <f t="shared" si="9"/>
        <v>31</v>
      </c>
      <c r="AD20" s="34" t="s">
        <v>606</v>
      </c>
      <c r="AE20" s="132"/>
      <c r="AF20" s="42">
        <f t="shared" ca="1" si="10"/>
        <v>1106.8622293312685</v>
      </c>
      <c r="AG20" s="42">
        <f t="shared" ca="1" si="11"/>
        <v>4464</v>
      </c>
      <c r="AI20" s="1">
        <f t="shared" ca="1" si="12"/>
        <v>4388112</v>
      </c>
      <c r="AJ20" s="1">
        <f t="shared" ca="1" si="13"/>
        <v>127529.5</v>
      </c>
      <c r="AK20" s="1">
        <f t="shared" ca="1" si="14"/>
        <v>34.408603499582448</v>
      </c>
      <c r="AL20" s="1">
        <f t="shared" ca="1" si="15"/>
        <v>21940.560000000001</v>
      </c>
      <c r="AM20" s="1">
        <f t="shared" ca="1" si="16"/>
        <v>3866.1357968907405</v>
      </c>
      <c r="AN20" s="1">
        <f t="shared" ca="1" si="17"/>
        <v>357.11272730049819</v>
      </c>
    </row>
    <row r="21" spans="2:51" x14ac:dyDescent="0.3">
      <c r="B21" s="2" t="str">
        <f>坦克个性化细分!I17</f>
        <v>玛蒂尔达</v>
      </c>
      <c r="C21" s="29" t="str">
        <f>VLOOKUP(B21,坦克个性化设定!$B$18:$F$48,5,FALSE)</f>
        <v>中坦自动</v>
      </c>
      <c r="D21" s="2" t="str">
        <f>坦克个性化细分!J17</f>
        <v>低</v>
      </c>
      <c r="E21" s="2" t="str">
        <f t="shared" si="0"/>
        <v>玛蒂尔达低</v>
      </c>
      <c r="F21" s="34">
        <f>VLOOKUP($B21,坦克属性统计!$B$3:$AY$33,MATCH(F$7,坦克属性统计!$B$3:$AY$3,0),FALSE)</f>
        <v>0.75</v>
      </c>
      <c r="G21" s="34">
        <f>VLOOKUP($B21,坦克属性统计!$B$3:$AY$33,MATCH(G$7,坦克属性统计!$B$3:$AY$3,0),FALSE)</f>
        <v>0.99</v>
      </c>
      <c r="H21" s="34">
        <f>VLOOKUP($B21,坦克属性统计!$B$3:$AY$33,MATCH(H$7,坦克属性统计!$B$3:$AY$3,0),FALSE)</f>
        <v>0.28000000000000003</v>
      </c>
      <c r="I21" s="34">
        <f>VLOOKUP($B21,坦克属性统计!$B$3:$AY$33,MATCH(I$7,坦克属性统计!$B$3:$AY$3,0),FALSE)</f>
        <v>1</v>
      </c>
      <c r="J21" s="34">
        <f>VLOOKUP($B21,坦克属性统计!$B$3:$AY$33,MATCH(J$7,坦克属性统计!$B$3:$AY$3,0),FALSE)</f>
        <v>44.5</v>
      </c>
      <c r="K21" s="34">
        <f>VLOOKUP($B21,坦克属性统计!$B$3:$AY$33,MATCH(K$7,坦克属性统计!$B$3:$AY$3,0),FALSE)</f>
        <v>40</v>
      </c>
      <c r="L21" s="34">
        <f>VLOOKUP($B21,坦克属性统计!$B$3:$AY$33,MATCH(L$7,坦克属性统计!$B$3:$AY$3,0),FALSE)</f>
        <v>8</v>
      </c>
      <c r="M21" s="33">
        <f>VLOOKUP($B21,坦克属性统计!$B$3:$AY$33,MATCH(M$7,坦克属性统计!$B$3:$AY$3,0),FALSE)</f>
        <v>9</v>
      </c>
      <c r="N21" s="34">
        <f>VLOOKUP($B21,坦克属性统计!$B$3:$AY$33,MATCH(N$7,坦克属性统计!$B$3:$AY$3,0),FALSE)</f>
        <v>3.2</v>
      </c>
      <c r="O21" s="34">
        <f>VLOOKUP($B21,坦克属性统计!$B$3:$AY$33,MATCH(O$7,坦克属性统计!$B$3:$AY$3,0),FALSE)</f>
        <v>0</v>
      </c>
      <c r="P21" s="34">
        <f>VLOOKUP($B21,坦克属性统计!$B$3:$AY$33,MATCH(P$7,坦克属性统计!$B$3:$AY$3,0),FALSE)</f>
        <v>0.99</v>
      </c>
      <c r="Q21" s="42">
        <f ca="1">VLOOKUP($B21,坦克属性统计!$B$3:$AY$33,MATCH(Q$7,坦克属性统计!$B$3:$AY$3,0),FALSE)*(1+W21/Z21)</f>
        <v>1186</v>
      </c>
      <c r="R21" s="42">
        <f ca="1">VLOOKUP($B21,坦克属性统计!$B$3:$AY$33,MATCH(R$7,坦克属性统计!$B$3:$AY$3,0),FALSE)*(1+X21/AA21)</f>
        <v>172</v>
      </c>
      <c r="S21" s="33">
        <f ca="1">VLOOKUP($B21,坦克属性统计!$B$3:$AY$33,MATCH(S$7,坦克属性统计!$B$3:$AY$3,0),FALSE)</f>
        <v>486</v>
      </c>
      <c r="T21" s="33">
        <f ca="1">VLOOKUP($B21,坦克属性统计!$B$3:$AY$33,MATCH(T$7,坦克属性统计!$B$3:$AY$3,0),FALSE)</f>
        <v>219</v>
      </c>
      <c r="U21" s="42">
        <f ca="1">VLOOKUP($B21,坦克属性统计!$B$3:$AY$33,MATCH(U$7,坦克属性统计!$B$3:$AY$3,0),FALSE)*(1+Y21/AB21)</f>
        <v>533</v>
      </c>
      <c r="V21" s="33">
        <f ca="1">VLOOKUP($B21,坦克属性统计!$B$3:$AY$33,MATCH(V$7,坦克属性统计!$B$3:$AY$3,0),FALSE)</f>
        <v>125</v>
      </c>
      <c r="W21" s="33">
        <f>VLOOKUP($B21,坦克属性统计!$B$3:$AY$33,MATCH(W$7,坦克属性统计!$B$3:$AY$3,0),FALSE)</f>
        <v>0</v>
      </c>
      <c r="X21" s="33">
        <f>VLOOKUP($B21,坦克属性统计!$B$3:$AY$33,MATCH(X$7,坦克属性统计!$B$3:$AY$3,0),FALSE)</f>
        <v>0</v>
      </c>
      <c r="Y21" s="33">
        <f>VLOOKUP($B21,坦克属性统计!$B$3:$AY$33,MATCH(Y$7,坦克属性统计!$B$3:$AY$3,0),FALSE)</f>
        <v>0</v>
      </c>
      <c r="Z21" s="33">
        <f>VLOOKUP(B21,坦克部件!$AL$3:$AS$33,MATCH("基础系数",坦克部件!$AL$3:$AS$3,0),FALSE)</f>
        <v>3600</v>
      </c>
      <c r="AA21" s="33">
        <f t="shared" si="1"/>
        <v>3600</v>
      </c>
      <c r="AB21" s="33">
        <f t="shared" si="1"/>
        <v>3600</v>
      </c>
      <c r="AC21" s="34">
        <f t="shared" si="9"/>
        <v>27.75</v>
      </c>
      <c r="AD21" s="34" t="s">
        <v>610</v>
      </c>
      <c r="AE21" s="132"/>
      <c r="AF21" s="42">
        <f t="shared" ca="1" si="10"/>
        <v>1374.7178575774103</v>
      </c>
      <c r="AG21" s="42">
        <f t="shared" ca="1" si="11"/>
        <v>4773</v>
      </c>
      <c r="AI21" s="1">
        <f t="shared" ca="1" si="12"/>
        <v>5660778</v>
      </c>
      <c r="AJ21" s="1">
        <f t="shared" ca="1" si="13"/>
        <v>187882.5</v>
      </c>
      <c r="AK21" s="1">
        <f t="shared" ca="1" si="14"/>
        <v>30.12935212167179</v>
      </c>
      <c r="AL21" s="1">
        <f t="shared" ca="1" si="15"/>
        <v>28303.89</v>
      </c>
      <c r="AM21" s="1">
        <f t="shared" ca="1" si="16"/>
        <v>4649.5848201748076</v>
      </c>
      <c r="AN21" s="1">
        <f t="shared" ca="1" si="17"/>
        <v>433.45414982440764</v>
      </c>
    </row>
    <row r="22" spans="2:51" x14ac:dyDescent="0.3">
      <c r="B22" s="2" t="str">
        <f>坦克个性化细分!I18</f>
        <v>谢尔曼</v>
      </c>
      <c r="C22" s="29" t="str">
        <f>VLOOKUP(B22,坦克个性化设定!$B$18:$F$48,5,FALSE)</f>
        <v>中坦自动</v>
      </c>
      <c r="D22" s="2" t="str">
        <f>坦克个性化细分!J18</f>
        <v>中</v>
      </c>
      <c r="E22" s="2" t="str">
        <f t="shared" si="0"/>
        <v>谢尔曼中</v>
      </c>
      <c r="F22" s="34">
        <f>VLOOKUP($B22,坦克属性统计!$B$3:$AY$33,MATCH(F$7,坦克属性统计!$B$3:$AY$3,0),FALSE)</f>
        <v>0.71</v>
      </c>
      <c r="G22" s="34">
        <f>VLOOKUP($B22,坦克属性统计!$B$3:$AY$33,MATCH(G$7,坦克属性统计!$B$3:$AY$3,0),FALSE)</f>
        <v>1.4</v>
      </c>
      <c r="H22" s="34">
        <f>VLOOKUP($B22,坦克属性统计!$B$3:$AY$33,MATCH(H$7,坦克属性统计!$B$3:$AY$3,0),FALSE)</f>
        <v>0.4</v>
      </c>
      <c r="I22" s="34">
        <f>VLOOKUP($B22,坦克属性统计!$B$3:$AY$33,MATCH(I$7,坦克属性统计!$B$3:$AY$3,0),FALSE)</f>
        <v>1</v>
      </c>
      <c r="J22" s="34">
        <f>VLOOKUP($B22,坦克属性统计!$B$3:$AY$33,MATCH(J$7,坦克属性统计!$B$3:$AY$3,0),FALSE)</f>
        <v>36.299999999999997</v>
      </c>
      <c r="K22" s="34">
        <f>VLOOKUP($B22,坦克属性统计!$B$3:$AY$33,MATCH(K$7,坦克属性统计!$B$3:$AY$3,0),FALSE)</f>
        <v>51</v>
      </c>
      <c r="L22" s="34">
        <f>VLOOKUP($B22,坦克属性统计!$B$3:$AY$33,MATCH(L$7,坦克属性统计!$B$3:$AY$3,0),FALSE)</f>
        <v>7.3</v>
      </c>
      <c r="M22" s="33">
        <f>VLOOKUP($B22,坦克属性统计!$B$3:$AY$33,MATCH(M$7,坦克属性统计!$B$3:$AY$3,0),FALSE)</f>
        <v>6</v>
      </c>
      <c r="N22" s="34">
        <f>VLOOKUP($B22,坦克属性统计!$B$3:$AY$33,MATCH(N$7,坦克属性统计!$B$3:$AY$3,0),FALSE)</f>
        <v>2.4</v>
      </c>
      <c r="O22" s="34">
        <f>VLOOKUP($B22,坦克属性统计!$B$3:$AY$33,MATCH(O$7,坦克属性统计!$B$3:$AY$3,0),FALSE)</f>
        <v>0</v>
      </c>
      <c r="P22" s="34">
        <f>VLOOKUP($B22,坦克属性统计!$B$3:$AY$33,MATCH(P$7,坦克属性统计!$B$3:$AY$3,0),FALSE)</f>
        <v>1.4</v>
      </c>
      <c r="Q22" s="42">
        <f ca="1">VLOOKUP($B22,坦克属性统计!$B$3:$AY$33,MATCH(Q$7,坦克属性统计!$B$3:$AY$3,0),FALSE)*(1+W22/Z22)</f>
        <v>1267</v>
      </c>
      <c r="R22" s="42">
        <f ca="1">VLOOKUP($B22,坦克属性统计!$B$3:$AY$33,MATCH(R$7,坦克属性统计!$B$3:$AY$3,0),FALSE)*(1+X22/AA22)</f>
        <v>178</v>
      </c>
      <c r="S22" s="33">
        <f ca="1">VLOOKUP($B22,坦克属性统计!$B$3:$AY$33,MATCH(S$7,坦克属性统计!$B$3:$AY$3,0),FALSE)</f>
        <v>506</v>
      </c>
      <c r="T22" s="33">
        <f ca="1">VLOOKUP($B22,坦克属性统计!$B$3:$AY$33,MATCH(T$7,坦克属性统计!$B$3:$AY$3,0),FALSE)</f>
        <v>228</v>
      </c>
      <c r="U22" s="42">
        <f ca="1">VLOOKUP($B22,坦克属性统计!$B$3:$AY$33,MATCH(U$7,坦克属性统计!$B$3:$AY$3,0),FALSE)*(1+Y22/AB22)</f>
        <v>554</v>
      </c>
      <c r="V22" s="33">
        <f ca="1">VLOOKUP($B22,坦克属性统计!$B$3:$AY$33,MATCH(V$7,坦克属性统计!$B$3:$AY$3,0),FALSE)</f>
        <v>130</v>
      </c>
      <c r="W22" s="33">
        <f>VLOOKUP($B22,坦克属性统计!$B$3:$AY$33,MATCH(W$7,坦克属性统计!$B$3:$AY$3,0),FALSE)</f>
        <v>0</v>
      </c>
      <c r="X22" s="33">
        <f>VLOOKUP($B22,坦克属性统计!$B$3:$AY$33,MATCH(X$7,坦克属性统计!$B$3:$AY$3,0),FALSE)</f>
        <v>0</v>
      </c>
      <c r="Y22" s="33">
        <f>VLOOKUP($B22,坦克属性统计!$B$3:$AY$33,MATCH(Y$7,坦克属性统计!$B$3:$AY$3,0),FALSE)</f>
        <v>0</v>
      </c>
      <c r="Z22" s="33">
        <f>VLOOKUP(B22,坦克部件!$AL$3:$AS$33,MATCH("基础系数",坦克部件!$AL$3:$AS$3,0),FALSE)</f>
        <v>3600</v>
      </c>
      <c r="AA22" s="33">
        <f t="shared" si="1"/>
        <v>3600</v>
      </c>
      <c r="AB22" s="33">
        <f t="shared" si="1"/>
        <v>3600</v>
      </c>
      <c r="AC22" s="34">
        <f t="shared" si="9"/>
        <v>31</v>
      </c>
      <c r="AD22" s="34" t="s">
        <v>610</v>
      </c>
      <c r="AE22" s="132"/>
      <c r="AF22" s="42">
        <f t="shared" ca="1" si="10"/>
        <v>1516.104086355444</v>
      </c>
      <c r="AG22" s="42">
        <f t="shared" ca="1" si="11"/>
        <v>5518</v>
      </c>
      <c r="AI22" s="1">
        <f t="shared" ca="1" si="12"/>
        <v>6991306</v>
      </c>
      <c r="AJ22" s="1">
        <f t="shared" ca="1" si="13"/>
        <v>203318</v>
      </c>
      <c r="AK22" s="1">
        <f t="shared" ca="1" si="14"/>
        <v>34.386065178685605</v>
      </c>
      <c r="AL22" s="1">
        <f t="shared" ca="1" si="15"/>
        <v>34956.53</v>
      </c>
      <c r="AM22" s="1">
        <f t="shared" ca="1" si="16"/>
        <v>4881.3372143296965</v>
      </c>
      <c r="AN22" s="1">
        <f t="shared" ca="1" si="17"/>
        <v>450.90797287251422</v>
      </c>
    </row>
    <row r="23" spans="2:51" x14ac:dyDescent="0.3">
      <c r="B23" s="2" t="str">
        <f>坦克个性化细分!I19</f>
        <v>彗星</v>
      </c>
      <c r="C23" s="29" t="str">
        <f>VLOOKUP(B23,坦克个性化设定!$B$18:$F$48,5,FALSE)</f>
        <v>中坦自动</v>
      </c>
      <c r="D23" s="2" t="str">
        <f>坦克个性化细分!J19</f>
        <v>高</v>
      </c>
      <c r="E23" s="2" t="str">
        <f t="shared" si="0"/>
        <v>彗星高</v>
      </c>
      <c r="F23" s="34">
        <f>VLOOKUP($B23,坦克属性统计!$B$3:$AY$33,MATCH(F$7,坦克属性统计!$B$3:$AY$3,0),FALSE)</f>
        <v>0.67</v>
      </c>
      <c r="G23" s="34">
        <f>VLOOKUP($B23,坦克属性统计!$B$3:$AY$33,MATCH(G$7,坦克属性统计!$B$3:$AY$3,0),FALSE)</f>
        <v>1.1499999999999999</v>
      </c>
      <c r="H23" s="34">
        <f>VLOOKUP($B23,坦克属性统计!$B$3:$AY$33,MATCH(H$7,坦克属性统计!$B$3:$AY$3,0),FALSE)</f>
        <v>0.4</v>
      </c>
      <c r="I23" s="34">
        <f>VLOOKUP($B23,坦克属性统计!$B$3:$AY$33,MATCH(I$7,坦克属性统计!$B$3:$AY$3,0),FALSE)</f>
        <v>1</v>
      </c>
      <c r="J23" s="34">
        <f>VLOOKUP($B23,坦克属性统计!$B$3:$AY$33,MATCH(J$7,坦克属性统计!$B$3:$AY$3,0),FALSE)</f>
        <v>37.4</v>
      </c>
      <c r="K23" s="34">
        <f>VLOOKUP($B23,坦克属性统计!$B$3:$AY$33,MATCH(K$7,坦克属性统计!$B$3:$AY$3,0),FALSE)</f>
        <v>52.5</v>
      </c>
      <c r="L23" s="34">
        <f>VLOOKUP($B23,坦克属性统计!$B$3:$AY$33,MATCH(L$7,坦克属性统计!$B$3:$AY$3,0),FALSE)</f>
        <v>7.6</v>
      </c>
      <c r="M23" s="33">
        <f>VLOOKUP($B23,坦克属性统计!$B$3:$AY$33,MATCH(M$7,坦克属性统计!$B$3:$AY$3,0),FALSE)</f>
        <v>8</v>
      </c>
      <c r="N23" s="34">
        <f>VLOOKUP($B23,坦克属性统计!$B$3:$AY$33,MATCH(N$7,坦克属性统计!$B$3:$AY$3,0),FALSE)</f>
        <v>3</v>
      </c>
      <c r="O23" s="34">
        <f>VLOOKUP($B23,坦克属性统计!$B$3:$AY$33,MATCH(O$7,坦克属性统计!$B$3:$AY$3,0),FALSE)</f>
        <v>0</v>
      </c>
      <c r="P23" s="34">
        <f>VLOOKUP($B23,坦克属性统计!$B$3:$AY$33,MATCH(P$7,坦克属性统计!$B$3:$AY$3,0),FALSE)</f>
        <v>1.1499999999999999</v>
      </c>
      <c r="Q23" s="42">
        <f ca="1">VLOOKUP($B23,坦克属性统计!$B$3:$AY$33,MATCH(Q$7,坦克属性统计!$B$3:$AY$3,0),FALSE)*(1+W23/Z23)</f>
        <v>1305</v>
      </c>
      <c r="R23" s="42">
        <f ca="1">VLOOKUP($B23,坦克属性统计!$B$3:$AY$33,MATCH(R$7,坦克属性统计!$B$3:$AY$3,0),FALSE)*(1+X23/AA23)</f>
        <v>178</v>
      </c>
      <c r="S23" s="33">
        <f ca="1">VLOOKUP($B23,坦克属性统计!$B$3:$AY$33,MATCH(S$7,坦克属性统计!$B$3:$AY$3,0),FALSE)</f>
        <v>506</v>
      </c>
      <c r="T23" s="33">
        <f ca="1">VLOOKUP($B23,坦克属性统计!$B$3:$AY$33,MATCH(T$7,坦克属性统计!$B$3:$AY$3,0),FALSE)</f>
        <v>228</v>
      </c>
      <c r="U23" s="42">
        <f ca="1">VLOOKUP($B23,坦克属性统计!$B$3:$AY$33,MATCH(U$7,坦克属性统计!$B$3:$AY$3,0),FALSE)*(1+Y23/AB23)</f>
        <v>554</v>
      </c>
      <c r="V23" s="33">
        <f ca="1">VLOOKUP($B23,坦克属性统计!$B$3:$AY$33,MATCH(V$7,坦克属性统计!$B$3:$AY$3,0),FALSE)</f>
        <v>130</v>
      </c>
      <c r="W23" s="33">
        <f>VLOOKUP($B23,坦克属性统计!$B$3:$AY$33,MATCH(W$7,坦克属性统计!$B$3:$AY$3,0),FALSE)</f>
        <v>0</v>
      </c>
      <c r="X23" s="33">
        <f>VLOOKUP($B23,坦克属性统计!$B$3:$AY$33,MATCH(X$7,坦克属性统计!$B$3:$AY$3,0),FALSE)</f>
        <v>0</v>
      </c>
      <c r="Y23" s="33">
        <f>VLOOKUP($B23,坦克属性统计!$B$3:$AY$33,MATCH(Y$7,坦克属性统计!$B$3:$AY$3,0),FALSE)</f>
        <v>0</v>
      </c>
      <c r="Z23" s="33">
        <f>VLOOKUP(B23,坦克部件!$AL$3:$AS$33,MATCH("基础系数",坦克部件!$AL$3:$AS$3,0),FALSE)</f>
        <v>3600</v>
      </c>
      <c r="AA23" s="33">
        <f t="shared" si="1"/>
        <v>3600</v>
      </c>
      <c r="AB23" s="33">
        <f t="shared" si="1"/>
        <v>3600</v>
      </c>
      <c r="AC23" s="34">
        <f t="shared" si="9"/>
        <v>28</v>
      </c>
      <c r="AD23" s="34" t="s">
        <v>610</v>
      </c>
      <c r="AE23" s="132"/>
      <c r="AF23" s="42">
        <f t="shared" ca="1" si="10"/>
        <v>1479.591141162495</v>
      </c>
      <c r="AG23" s="42">
        <f t="shared" ca="1" si="11"/>
        <v>4984</v>
      </c>
      <c r="AI23" s="1">
        <f t="shared" ca="1" si="12"/>
        <v>6504120</v>
      </c>
      <c r="AJ23" s="1">
        <f t="shared" ca="1" si="13"/>
        <v>203318</v>
      </c>
      <c r="AK23" s="1">
        <f t="shared" ca="1" si="14"/>
        <v>31.989887762027955</v>
      </c>
      <c r="AL23" s="1">
        <f t="shared" ca="1" si="15"/>
        <v>32520.6</v>
      </c>
      <c r="AM23" s="1">
        <f t="shared" ca="1" si="16"/>
        <v>4856.3216532680372</v>
      </c>
      <c r="AN23" s="1">
        <f t="shared" ca="1" si="17"/>
        <v>450.90797287251422</v>
      </c>
    </row>
    <row r="24" spans="2:51" x14ac:dyDescent="0.3">
      <c r="B24" s="2" t="str">
        <f>坦克个性化细分!I20</f>
        <v>M-48</v>
      </c>
      <c r="C24" s="29" t="str">
        <f>VLOOKUP(B24,坦克个性化设定!$B$18:$F$48,5,FALSE)</f>
        <v>中坦自动</v>
      </c>
      <c r="D24" s="2" t="str">
        <f>坦克个性化细分!J20</f>
        <v>低</v>
      </c>
      <c r="E24" s="2" t="str">
        <f t="shared" si="0"/>
        <v>M-48低</v>
      </c>
      <c r="F24" s="34">
        <f>VLOOKUP($B24,坦克属性统计!$B$3:$AY$33,MATCH(F$7,坦克属性统计!$B$3:$AY$3,0),FALSE)</f>
        <v>0.71</v>
      </c>
      <c r="G24" s="34">
        <f>VLOOKUP($B24,坦克属性统计!$B$3:$AY$33,MATCH(G$7,坦克属性统计!$B$3:$AY$3,0),FALSE)</f>
        <v>1.36</v>
      </c>
      <c r="H24" s="34">
        <f>VLOOKUP($B24,坦克属性统计!$B$3:$AY$33,MATCH(H$7,坦克属性统计!$B$3:$AY$3,0),FALSE)</f>
        <v>0.32</v>
      </c>
      <c r="I24" s="34">
        <f>VLOOKUP($B24,坦克属性统计!$B$3:$AY$33,MATCH(I$7,坦克属性统计!$B$3:$AY$3,0),FALSE)</f>
        <v>1</v>
      </c>
      <c r="J24" s="34">
        <f>VLOOKUP($B24,坦克属性统计!$B$3:$AY$33,MATCH(J$7,坦克属性统计!$B$3:$AY$3,0),FALSE)</f>
        <v>44.5</v>
      </c>
      <c r="K24" s="34">
        <f>VLOOKUP($B24,坦克属性统计!$B$3:$AY$33,MATCH(K$7,坦克属性统计!$B$3:$AY$3,0),FALSE)</f>
        <v>40</v>
      </c>
      <c r="L24" s="34">
        <f>VLOOKUP($B24,坦克属性统计!$B$3:$AY$33,MATCH(L$7,坦克属性统计!$B$3:$AY$3,0),FALSE)</f>
        <v>8</v>
      </c>
      <c r="M24" s="33">
        <f>VLOOKUP($B24,坦克属性统计!$B$3:$AY$33,MATCH(M$7,坦克属性统计!$B$3:$AY$3,0),FALSE)</f>
        <v>6</v>
      </c>
      <c r="N24" s="34">
        <f>VLOOKUP($B24,坦克属性统计!$B$3:$AY$33,MATCH(N$7,坦克属性统计!$B$3:$AY$3,0),FALSE)</f>
        <v>2.4</v>
      </c>
      <c r="O24" s="34">
        <f>VLOOKUP($B24,坦克属性统计!$B$3:$AY$33,MATCH(O$7,坦克属性统计!$B$3:$AY$3,0),FALSE)</f>
        <v>0</v>
      </c>
      <c r="P24" s="34">
        <f>VLOOKUP($B24,坦克属性统计!$B$3:$AY$33,MATCH(P$7,坦克属性统计!$B$3:$AY$3,0),FALSE)</f>
        <v>1.36</v>
      </c>
      <c r="Q24" s="42">
        <f ca="1">VLOOKUP($B24,坦克属性统计!$B$3:$AY$33,MATCH(Q$7,坦克属性统计!$B$3:$AY$3,0),FALSE)*(1+W24/Z24)</f>
        <v>1737</v>
      </c>
      <c r="R24" s="42">
        <f ca="1">VLOOKUP($B24,坦克属性统计!$B$3:$AY$33,MATCH(R$7,坦克属性统计!$B$3:$AY$3,0),FALSE)*(1+X24/AA24)</f>
        <v>196</v>
      </c>
      <c r="S24" s="33">
        <f ca="1">VLOOKUP($B24,坦克属性统计!$B$3:$AY$33,MATCH(S$7,坦克属性统计!$B$3:$AY$3,0),FALSE)</f>
        <v>631</v>
      </c>
      <c r="T24" s="33">
        <f ca="1">VLOOKUP($B24,坦克属性统计!$B$3:$AY$33,MATCH(T$7,坦克属性统计!$B$3:$AY$3,0),FALSE)</f>
        <v>284</v>
      </c>
      <c r="U24" s="42">
        <f ca="1">VLOOKUP($B24,坦克属性统计!$B$3:$AY$33,MATCH(U$7,坦克属性统计!$B$3:$AY$3,0),FALSE)*(1+Y24/AB24)</f>
        <v>691</v>
      </c>
      <c r="V24" s="33">
        <f ca="1">VLOOKUP($B24,坦克属性统计!$B$3:$AY$33,MATCH(V$7,坦克属性统计!$B$3:$AY$3,0),FALSE)</f>
        <v>162</v>
      </c>
      <c r="W24" s="33">
        <f>VLOOKUP($B24,坦克属性统计!$B$3:$AY$33,MATCH(W$7,坦克属性统计!$B$3:$AY$3,0),FALSE)</f>
        <v>0</v>
      </c>
      <c r="X24" s="33">
        <f>VLOOKUP($B24,坦克属性统计!$B$3:$AY$33,MATCH(X$7,坦克属性统计!$B$3:$AY$3,0),FALSE)</f>
        <v>0</v>
      </c>
      <c r="Y24" s="33">
        <f>VLOOKUP($B24,坦克属性统计!$B$3:$AY$33,MATCH(Y$7,坦克属性统计!$B$3:$AY$3,0),FALSE)</f>
        <v>0</v>
      </c>
      <c r="Z24" s="33">
        <f>VLOOKUP(B24,坦克部件!$AL$3:$AS$33,MATCH("基础系数",坦克部件!$AL$3:$AS$3,0),FALSE)</f>
        <v>7400</v>
      </c>
      <c r="AA24" s="33">
        <f t="shared" si="1"/>
        <v>7400</v>
      </c>
      <c r="AB24" s="33">
        <f t="shared" si="1"/>
        <v>7400</v>
      </c>
      <c r="AC24" s="34">
        <f t="shared" si="9"/>
        <v>31</v>
      </c>
      <c r="AD24" s="34" t="s">
        <v>617</v>
      </c>
      <c r="AE24" s="132"/>
      <c r="AF24" s="42">
        <f t="shared" ca="1" si="10"/>
        <v>2022.0436068069507</v>
      </c>
      <c r="AG24" s="42">
        <f t="shared" ca="1" si="11"/>
        <v>6076</v>
      </c>
      <c r="AI24" s="1">
        <f t="shared" ca="1" si="12"/>
        <v>10554012</v>
      </c>
      <c r="AJ24" s="1">
        <f t="shared" ca="1" si="13"/>
        <v>316132.5</v>
      </c>
      <c r="AK24" s="1">
        <f t="shared" ca="1" si="14"/>
        <v>33.38477378947119</v>
      </c>
      <c r="AL24" s="1">
        <f t="shared" ca="1" si="15"/>
        <v>52770.06</v>
      </c>
      <c r="AM24" s="1">
        <f t="shared" ca="1" si="16"/>
        <v>6073.7349300080587</v>
      </c>
      <c r="AN24" s="1">
        <f t="shared" ca="1" si="17"/>
        <v>562.25661401178729</v>
      </c>
    </row>
    <row r="25" spans="2:51" x14ac:dyDescent="0.3">
      <c r="B25" s="2" t="str">
        <f>坦克个性化细分!I21</f>
        <v>潘兴</v>
      </c>
      <c r="C25" s="29" t="str">
        <f>VLOOKUP(B25,坦克个性化设定!$B$18:$F$48,5,FALSE)</f>
        <v>中坦自动</v>
      </c>
      <c r="D25" s="2" t="str">
        <f>坦克个性化细分!J21</f>
        <v>中</v>
      </c>
      <c r="E25" s="2" t="str">
        <f t="shared" si="0"/>
        <v>潘兴中</v>
      </c>
      <c r="F25" s="34">
        <f>VLOOKUP($B25,坦克属性统计!$B$3:$AY$33,MATCH(F$7,坦克属性统计!$B$3:$AY$3,0),FALSE)</f>
        <v>0.64</v>
      </c>
      <c r="G25" s="34">
        <f>VLOOKUP($B25,坦克属性统计!$B$3:$AY$33,MATCH(G$7,坦克属性统计!$B$3:$AY$3,0),FALSE)</f>
        <v>1</v>
      </c>
      <c r="H25" s="34">
        <f>VLOOKUP($B25,坦克属性统计!$B$3:$AY$33,MATCH(H$7,坦克属性统计!$B$3:$AY$3,0),FALSE)</f>
        <v>0.4</v>
      </c>
      <c r="I25" s="34">
        <f>VLOOKUP($B25,坦克属性统计!$B$3:$AY$33,MATCH(I$7,坦克属性统计!$B$3:$AY$3,0),FALSE)</f>
        <v>1</v>
      </c>
      <c r="J25" s="34">
        <f>VLOOKUP($B25,坦克属性统计!$B$3:$AY$33,MATCH(J$7,坦克属性统计!$B$3:$AY$3,0),FALSE)</f>
        <v>36.299999999999997</v>
      </c>
      <c r="K25" s="34">
        <f>VLOOKUP($B25,坦克属性统计!$B$3:$AY$33,MATCH(K$7,坦克属性统计!$B$3:$AY$3,0),FALSE)</f>
        <v>51</v>
      </c>
      <c r="L25" s="34">
        <f>VLOOKUP($B25,坦克属性统计!$B$3:$AY$33,MATCH(L$7,坦克属性统计!$B$3:$AY$3,0),FALSE)</f>
        <v>7.3</v>
      </c>
      <c r="M25" s="33">
        <f>VLOOKUP($B25,坦克属性统计!$B$3:$AY$33,MATCH(M$7,坦克属性统计!$B$3:$AY$3,0),FALSE)</f>
        <v>10</v>
      </c>
      <c r="N25" s="34">
        <f>VLOOKUP($B25,坦克属性统计!$B$3:$AY$33,MATCH(N$7,坦克属性统计!$B$3:$AY$3,0),FALSE)</f>
        <v>3.6</v>
      </c>
      <c r="O25" s="34">
        <f>VLOOKUP($B25,坦克属性统计!$B$3:$AY$33,MATCH(O$7,坦克属性统计!$B$3:$AY$3,0),FALSE)</f>
        <v>0</v>
      </c>
      <c r="P25" s="34">
        <f>VLOOKUP($B25,坦克属性统计!$B$3:$AY$33,MATCH(P$7,坦克属性统计!$B$3:$AY$3,0),FALSE)</f>
        <v>1</v>
      </c>
      <c r="Q25" s="42">
        <f ca="1">VLOOKUP($B25,坦克属性统计!$B$3:$AY$33,MATCH(Q$7,坦克属性统计!$B$3:$AY$3,0),FALSE)*(1+W25/Z25)</f>
        <v>1677</v>
      </c>
      <c r="R25" s="42">
        <f ca="1">VLOOKUP($B25,坦克属性统计!$B$3:$AY$33,MATCH(R$7,坦克属性统计!$B$3:$AY$3,0),FALSE)*(1+X25/AA25)</f>
        <v>228</v>
      </c>
      <c r="S25" s="33">
        <f ca="1">VLOOKUP($B25,坦克属性统计!$B$3:$AY$33,MATCH(S$7,坦克属性统计!$B$3:$AY$3,0),FALSE)</f>
        <v>657</v>
      </c>
      <c r="T25" s="33">
        <f ca="1">VLOOKUP($B25,坦克属性统计!$B$3:$AY$33,MATCH(T$7,坦克属性统计!$B$3:$AY$3,0),FALSE)</f>
        <v>296</v>
      </c>
      <c r="U25" s="42">
        <f ca="1">VLOOKUP($B25,坦克属性统计!$B$3:$AY$33,MATCH(U$7,坦克属性统计!$B$3:$AY$3,0),FALSE)*(1+Y25/AB25)</f>
        <v>720</v>
      </c>
      <c r="V25" s="33">
        <f ca="1">VLOOKUP($B25,坦克属性统计!$B$3:$AY$33,MATCH(V$7,坦克属性统计!$B$3:$AY$3,0),FALSE)</f>
        <v>169</v>
      </c>
      <c r="W25" s="33">
        <f>VLOOKUP($B25,坦克属性统计!$B$3:$AY$33,MATCH(W$7,坦克属性统计!$B$3:$AY$3,0),FALSE)</f>
        <v>0</v>
      </c>
      <c r="X25" s="33">
        <f>VLOOKUP($B25,坦克属性统计!$B$3:$AY$33,MATCH(X$7,坦克属性统计!$B$3:$AY$3,0),FALSE)</f>
        <v>0</v>
      </c>
      <c r="Y25" s="33">
        <f>VLOOKUP($B25,坦克属性统计!$B$3:$AY$33,MATCH(Y$7,坦克属性统计!$B$3:$AY$3,0),FALSE)</f>
        <v>0</v>
      </c>
      <c r="Z25" s="33">
        <f>VLOOKUP(B25,坦克部件!$AL$3:$AS$33,MATCH("基础系数",坦克部件!$AL$3:$AS$3,0),FALSE)</f>
        <v>7400</v>
      </c>
      <c r="AA25" s="33">
        <f t="shared" si="1"/>
        <v>7400</v>
      </c>
      <c r="AB25" s="33">
        <f t="shared" si="1"/>
        <v>7400</v>
      </c>
      <c r="AC25" s="34">
        <f t="shared" si="9"/>
        <v>26.666666666666668</v>
      </c>
      <c r="AD25" s="34" t="s">
        <v>617</v>
      </c>
      <c r="AE25" s="132"/>
      <c r="AF25" s="42">
        <f t="shared" ca="1" si="10"/>
        <v>2054.5871172461148</v>
      </c>
      <c r="AG25" s="42">
        <f t="shared" ca="1" si="11"/>
        <v>6080</v>
      </c>
      <c r="AI25" s="1">
        <f t="shared" ca="1" si="12"/>
        <v>10196160</v>
      </c>
      <c r="AJ25" s="1">
        <f t="shared" ca="1" si="13"/>
        <v>343080</v>
      </c>
      <c r="AK25" s="1">
        <f t="shared" ca="1" si="14"/>
        <v>29.719482336481288</v>
      </c>
      <c r="AL25" s="1">
        <f t="shared" ca="1" si="15"/>
        <v>50980.800000000003</v>
      </c>
      <c r="AM25" s="1">
        <f t="shared" ca="1" si="16"/>
        <v>6277.4262241781862</v>
      </c>
      <c r="AN25" s="1">
        <f t="shared" ca="1" si="17"/>
        <v>585.73031336955751</v>
      </c>
    </row>
    <row r="26" spans="2:51" x14ac:dyDescent="0.3">
      <c r="B26" s="2" t="str">
        <f>坦克个性化细分!I22</f>
        <v>百夫长</v>
      </c>
      <c r="C26" s="29" t="str">
        <f>VLOOKUP(B26,坦克个性化设定!$B$18:$F$48,5,FALSE)</f>
        <v>中坦自动</v>
      </c>
      <c r="D26" s="2" t="str">
        <f>坦克个性化细分!J22</f>
        <v>高</v>
      </c>
      <c r="E26" s="2" t="str">
        <f t="shared" si="0"/>
        <v>百夫长高</v>
      </c>
      <c r="F26" s="34">
        <f>VLOOKUP($B26,坦克属性统计!$B$3:$AY$33,MATCH(F$7,坦克属性统计!$B$3:$AY$3,0),FALSE)</f>
        <v>0.71</v>
      </c>
      <c r="G26" s="34">
        <f>VLOOKUP($B26,坦克属性统计!$B$3:$AY$33,MATCH(G$7,坦克属性统计!$B$3:$AY$3,0),FALSE)</f>
        <v>1.87</v>
      </c>
      <c r="H26" s="34">
        <f>VLOOKUP($B26,坦克属性统计!$B$3:$AY$33,MATCH(H$7,坦克属性统计!$B$3:$AY$3,0),FALSE)</f>
        <v>0.26</v>
      </c>
      <c r="I26" s="34">
        <f>VLOOKUP($B26,坦克属性统计!$B$3:$AY$33,MATCH(I$7,坦克属性统计!$B$3:$AY$3,0),FALSE)</f>
        <v>1</v>
      </c>
      <c r="J26" s="34">
        <f>VLOOKUP($B26,坦克属性统计!$B$3:$AY$33,MATCH(J$7,坦克属性统计!$B$3:$AY$3,0),FALSE)</f>
        <v>46.7</v>
      </c>
      <c r="K26" s="34">
        <f>VLOOKUP($B26,坦克属性统计!$B$3:$AY$33,MATCH(K$7,坦克属性统计!$B$3:$AY$3,0),FALSE)</f>
        <v>42</v>
      </c>
      <c r="L26" s="34">
        <f>VLOOKUP($B26,坦克属性统计!$B$3:$AY$33,MATCH(L$7,坦克属性统计!$B$3:$AY$3,0),FALSE)</f>
        <v>8.4</v>
      </c>
      <c r="M26" s="33">
        <f>VLOOKUP($B26,坦克属性统计!$B$3:$AY$33,MATCH(M$7,坦克属性统计!$B$3:$AY$3,0),FALSE)</f>
        <v>4</v>
      </c>
      <c r="N26" s="34">
        <f>VLOOKUP($B26,坦克属性统计!$B$3:$AY$33,MATCH(N$7,坦克属性统计!$B$3:$AY$3,0),FALSE)</f>
        <v>2.4</v>
      </c>
      <c r="O26" s="34">
        <f>VLOOKUP($B26,坦克属性统计!$B$3:$AY$33,MATCH(O$7,坦克属性统计!$B$3:$AY$3,0),FALSE)</f>
        <v>0</v>
      </c>
      <c r="P26" s="34">
        <f>VLOOKUP($B26,坦克属性统计!$B$3:$AY$33,MATCH(P$7,坦克属性统计!$B$3:$AY$3,0),FALSE)</f>
        <v>1.87</v>
      </c>
      <c r="Q26" s="42">
        <f ca="1">VLOOKUP($B26,坦克属性统计!$B$3:$AY$33,MATCH(Q$7,坦克属性统计!$B$3:$AY$3,0),FALSE)*(1+W26/Z26)</f>
        <v>1898</v>
      </c>
      <c r="R26" s="42">
        <f ca="1">VLOOKUP($B26,坦克属性统计!$B$3:$AY$33,MATCH(R$7,坦克属性统计!$B$3:$AY$3,0),FALSE)*(1+X26/AA26)</f>
        <v>218</v>
      </c>
      <c r="S26" s="33">
        <f ca="1">VLOOKUP($B26,坦克属性统计!$B$3:$AY$33,MATCH(S$7,坦克属性统计!$B$3:$AY$3,0),FALSE)</f>
        <v>657</v>
      </c>
      <c r="T26" s="33">
        <f ca="1">VLOOKUP($B26,坦克属性统计!$B$3:$AY$33,MATCH(T$7,坦克属性统计!$B$3:$AY$3,0),FALSE)</f>
        <v>296</v>
      </c>
      <c r="U26" s="42">
        <f ca="1">VLOOKUP($B26,坦克属性统计!$B$3:$AY$33,MATCH(U$7,坦克属性统计!$B$3:$AY$3,0),FALSE)*(1+Y26/AB26)</f>
        <v>720</v>
      </c>
      <c r="V26" s="33">
        <f ca="1">VLOOKUP($B26,坦克属性统计!$B$3:$AY$33,MATCH(V$7,坦克属性统计!$B$3:$AY$3,0),FALSE)</f>
        <v>169</v>
      </c>
      <c r="W26" s="33">
        <f>VLOOKUP($B26,坦克属性统计!$B$3:$AY$33,MATCH(W$7,坦克属性统计!$B$3:$AY$3,0),FALSE)</f>
        <v>0</v>
      </c>
      <c r="X26" s="33">
        <f>VLOOKUP($B26,坦克属性统计!$B$3:$AY$33,MATCH(X$7,坦克属性统计!$B$3:$AY$3,0),FALSE)</f>
        <v>0</v>
      </c>
      <c r="Y26" s="33">
        <f>VLOOKUP($B26,坦克属性统计!$B$3:$AY$33,MATCH(Y$7,坦克属性统计!$B$3:$AY$3,0),FALSE)</f>
        <v>0</v>
      </c>
      <c r="Z26" s="33">
        <f>VLOOKUP(B26,坦克部件!$AL$3:$AS$33,MATCH("基础系数",坦克部件!$AL$3:$AS$3,0),FALSE)</f>
        <v>7400</v>
      </c>
      <c r="AA26" s="33">
        <f t="shared" si="1"/>
        <v>7400</v>
      </c>
      <c r="AB26" s="33">
        <f t="shared" si="1"/>
        <v>7400</v>
      </c>
      <c r="AC26" s="34">
        <f t="shared" si="9"/>
        <v>29</v>
      </c>
      <c r="AD26" s="34" t="s">
        <v>617</v>
      </c>
      <c r="AE26" s="132"/>
      <c r="AF26" s="42">
        <f t="shared" ca="1" si="10"/>
        <v>2170.6537613644118</v>
      </c>
      <c r="AG26" s="42">
        <f t="shared" ca="1" si="11"/>
        <v>6322</v>
      </c>
      <c r="AI26" s="1">
        <f t="shared" ca="1" si="12"/>
        <v>11999156</v>
      </c>
      <c r="AJ26" s="1">
        <f t="shared" ca="1" si="13"/>
        <v>343080</v>
      </c>
      <c r="AK26" s="1">
        <f t="shared" ca="1" si="14"/>
        <v>34.974804710271655</v>
      </c>
      <c r="AL26" s="1">
        <f t="shared" ca="1" si="15"/>
        <v>59995.78</v>
      </c>
      <c r="AM26" s="1">
        <f t="shared" ca="1" si="16"/>
        <v>6348.824930646615</v>
      </c>
      <c r="AN26" s="1">
        <f t="shared" ca="1" si="17"/>
        <v>585.73031336955751</v>
      </c>
    </row>
    <row r="27" spans="2:51" x14ac:dyDescent="0.3">
      <c r="B27" s="2" t="str">
        <f>坦克个性化细分!I23</f>
        <v>挑战者</v>
      </c>
      <c r="C27" s="29" t="str">
        <f>VLOOKUP(B27,坦克个性化设定!$B$18:$F$48,5,FALSE)</f>
        <v>中坦自动</v>
      </c>
      <c r="D27" s="2" t="str">
        <f>坦克个性化细分!J23</f>
        <v>低</v>
      </c>
      <c r="E27" s="2" t="str">
        <f t="shared" si="0"/>
        <v>挑战者低</v>
      </c>
      <c r="F27" s="34">
        <f>VLOOKUP($B27,坦克属性统计!$B$3:$AY$33,MATCH(F$7,坦克属性统计!$B$3:$AY$3,0),FALSE)</f>
        <v>0.71</v>
      </c>
      <c r="G27" s="34">
        <f>VLOOKUP($B27,坦克属性统计!$B$3:$AY$33,MATCH(G$7,坦克属性统计!$B$3:$AY$3,0),FALSE)</f>
        <v>1.4</v>
      </c>
      <c r="H27" s="34">
        <f>VLOOKUP($B27,坦克属性统计!$B$3:$AY$33,MATCH(H$7,坦克属性统计!$B$3:$AY$3,0),FALSE)</f>
        <v>0.4</v>
      </c>
      <c r="I27" s="34">
        <f>VLOOKUP($B27,坦克属性统计!$B$3:$AY$33,MATCH(I$7,坦克属性统计!$B$3:$AY$3,0),FALSE)</f>
        <v>1</v>
      </c>
      <c r="J27" s="34">
        <f>VLOOKUP($B27,坦克属性统计!$B$3:$AY$33,MATCH(J$7,坦克属性统计!$B$3:$AY$3,0),FALSE)</f>
        <v>35.6</v>
      </c>
      <c r="K27" s="34">
        <f>VLOOKUP($B27,坦克属性统计!$B$3:$AY$33,MATCH(K$7,坦克属性统计!$B$3:$AY$3,0),FALSE)</f>
        <v>50</v>
      </c>
      <c r="L27" s="34">
        <f>VLOOKUP($B27,坦克属性统计!$B$3:$AY$33,MATCH(L$7,坦克属性统计!$B$3:$AY$3,0),FALSE)</f>
        <v>7.2</v>
      </c>
      <c r="M27" s="33">
        <f>VLOOKUP($B27,坦克属性统计!$B$3:$AY$33,MATCH(M$7,坦克属性统计!$B$3:$AY$3,0),FALSE)</f>
        <v>6</v>
      </c>
      <c r="N27" s="34">
        <f>VLOOKUP($B27,坦克属性统计!$B$3:$AY$33,MATCH(N$7,坦克属性统计!$B$3:$AY$3,0),FALSE)</f>
        <v>2.4</v>
      </c>
      <c r="O27" s="34">
        <f>VLOOKUP($B27,坦克属性统计!$B$3:$AY$33,MATCH(O$7,坦克属性统计!$B$3:$AY$3,0),FALSE)</f>
        <v>0</v>
      </c>
      <c r="P27" s="34">
        <f>VLOOKUP($B27,坦克属性统计!$B$3:$AY$33,MATCH(P$7,坦克属性统计!$B$3:$AY$3,0),FALSE)</f>
        <v>1.4</v>
      </c>
      <c r="Q27" s="42" t="e">
        <f ca="1">VLOOKUP($B27,坦克属性统计!$B$3:$AY$33,MATCH(Q$7,坦克属性统计!$B$3:$AY$3,0),FALSE)*(1+W27/Z27)</f>
        <v>#N/A</v>
      </c>
      <c r="R27" s="42" t="e">
        <f ca="1">VLOOKUP($B27,坦克属性统计!$B$3:$AY$33,MATCH(R$7,坦克属性统计!$B$3:$AY$3,0),FALSE)*(1+X27/AA27)</f>
        <v>#N/A</v>
      </c>
      <c r="S27" s="33">
        <f ca="1">VLOOKUP($B27,坦克属性统计!$B$3:$AY$33,MATCH(S$7,坦克属性统计!$B$3:$AY$3,0),FALSE)</f>
        <v>828</v>
      </c>
      <c r="T27" s="33">
        <f ca="1">VLOOKUP($B27,坦克属性统计!$B$3:$AY$33,MATCH(T$7,坦克属性统计!$B$3:$AY$3,0),FALSE)</f>
        <v>373</v>
      </c>
      <c r="U27" s="42" t="e">
        <f ca="1">VLOOKUP($B27,坦克属性统计!$B$3:$AY$33,MATCH(U$7,坦克属性统计!$B$3:$AY$3,0),FALSE)*(1+Y27/AB27)</f>
        <v>#N/A</v>
      </c>
      <c r="V27" s="33">
        <f ca="1">VLOOKUP($B27,坦克属性统计!$B$3:$AY$33,MATCH(V$7,坦克属性统计!$B$3:$AY$3,0),FALSE)</f>
        <v>212</v>
      </c>
      <c r="W27" s="33">
        <f>VLOOKUP($B27,坦克属性统计!$B$3:$AY$33,MATCH(W$7,坦克属性统计!$B$3:$AY$3,0),FALSE)</f>
        <v>0</v>
      </c>
      <c r="X27" s="33">
        <f>VLOOKUP($B27,坦克属性统计!$B$3:$AY$33,MATCH(X$7,坦克属性统计!$B$3:$AY$3,0),FALSE)</f>
        <v>0</v>
      </c>
      <c r="Y27" s="33">
        <f>VLOOKUP($B27,坦克属性统计!$B$3:$AY$33,MATCH(Y$7,坦克属性统计!$B$3:$AY$3,0),FALSE)</f>
        <v>0</v>
      </c>
      <c r="Z27" s="33" t="e">
        <f>VLOOKUP(B27,坦克部件!$AL$3:$AS$33,MATCH("基础系数",坦克部件!$AL$3:$AS$3,0),FALSE)</f>
        <v>#N/A</v>
      </c>
      <c r="AA27" s="33" t="e">
        <f t="shared" si="1"/>
        <v>#N/A</v>
      </c>
      <c r="AB27" s="33" t="e">
        <f t="shared" si="1"/>
        <v>#N/A</v>
      </c>
      <c r="AC27" s="34">
        <f t="shared" si="9"/>
        <v>31</v>
      </c>
      <c r="AD27" s="34" t="s">
        <v>624</v>
      </c>
      <c r="AE27" s="132"/>
      <c r="AF27" s="42" t="e">
        <f t="shared" ca="1" si="10"/>
        <v>#N/A</v>
      </c>
      <c r="AG27" s="42" t="e">
        <f t="shared" ca="1" si="11"/>
        <v>#N/A</v>
      </c>
      <c r="AI27" s="1" t="e">
        <f t="shared" ca="1" si="12"/>
        <v>#N/A</v>
      </c>
      <c r="AJ27" s="1" t="e">
        <f t="shared" ca="1" si="13"/>
        <v>#N/A</v>
      </c>
      <c r="AK27" s="1" t="e">
        <f t="shared" ca="1" si="14"/>
        <v>#N/A</v>
      </c>
      <c r="AL27" s="1" t="e">
        <f t="shared" ca="1" si="15"/>
        <v>#N/A</v>
      </c>
      <c r="AM27" s="1" t="e">
        <f t="shared" ca="1" si="16"/>
        <v>#N/A</v>
      </c>
      <c r="AN27" s="1" t="e">
        <f t="shared" ca="1" si="17"/>
        <v>#N/A</v>
      </c>
    </row>
    <row r="28" spans="2:51" x14ac:dyDescent="0.3">
      <c r="B28" s="2" t="str">
        <f>坦克个性化细分!I24</f>
        <v>B-1</v>
      </c>
      <c r="C28" s="29" t="str">
        <f>VLOOKUP(B28,坦克个性化设定!$B$18:$F$48,5,FALSE)</f>
        <v>重坦自动</v>
      </c>
      <c r="D28" s="2" t="str">
        <f>坦克个性化细分!J24</f>
        <v>低</v>
      </c>
      <c r="E28" s="2" t="str">
        <f t="shared" si="0"/>
        <v>B-1低</v>
      </c>
      <c r="F28" s="34">
        <f>VLOOKUP($B28,坦克属性统计!$B$3:$AY$33,MATCH(F$7,坦克属性统计!$B$3:$AY$3,0),FALSE)</f>
        <v>0.74</v>
      </c>
      <c r="G28" s="34">
        <f>VLOOKUP($B28,坦克属性统计!$B$3:$AY$33,MATCH(G$7,坦克属性统计!$B$3:$AY$3,0),FALSE)</f>
        <v>3</v>
      </c>
      <c r="H28" s="34">
        <f>VLOOKUP($B28,坦克属性统计!$B$3:$AY$33,MATCH(H$7,坦克属性统计!$B$3:$AY$3,0),FALSE)</f>
        <v>2.8</v>
      </c>
      <c r="I28" s="34">
        <f>VLOOKUP($B28,坦克属性统计!$B$3:$AY$33,MATCH(I$7,坦克属性统计!$B$3:$AY$3,0),FALSE)</f>
        <v>1.2</v>
      </c>
      <c r="J28" s="34">
        <f>VLOOKUP($B28,坦克属性统计!$B$3:$AY$33,MATCH(J$7,坦克属性统计!$B$3:$AY$3,0),FALSE)</f>
        <v>38.299999999999997</v>
      </c>
      <c r="K28" s="34">
        <f>VLOOKUP($B28,坦克属性统计!$B$3:$AY$33,MATCH(K$7,坦克属性统计!$B$3:$AY$3,0),FALSE)</f>
        <v>28</v>
      </c>
      <c r="L28" s="34">
        <f>VLOOKUP($B28,坦克属性统计!$B$3:$AY$33,MATCH(L$7,坦克属性统计!$B$3:$AY$3,0),FALSE)</f>
        <v>7</v>
      </c>
      <c r="M28" s="33">
        <f>VLOOKUP($B28,坦克属性统计!$B$3:$AY$33,MATCH(M$7,坦克属性统计!$B$3:$AY$3,0),FALSE)</f>
        <v>1</v>
      </c>
      <c r="N28" s="34">
        <f>VLOOKUP($B28,坦克属性统计!$B$3:$AY$33,MATCH(N$7,坦克属性统计!$B$3:$AY$3,0),FALSE)</f>
        <v>5.3999999999999995</v>
      </c>
      <c r="O28" s="34">
        <f>VLOOKUP($B28,坦克属性统计!$B$3:$AY$33,MATCH(O$7,坦克属性统计!$B$3:$AY$3,0),FALSE)</f>
        <v>0</v>
      </c>
      <c r="P28" s="34">
        <f>VLOOKUP($B28,坦克属性统计!$B$3:$AY$33,MATCH(P$7,坦克属性统计!$B$3:$AY$3,0),FALSE)</f>
        <v>2.5</v>
      </c>
      <c r="Q28" s="42">
        <f ca="1">VLOOKUP($B28,坦克属性统计!$B$3:$AY$33,MATCH(Q$7,坦克属性统计!$B$3:$AY$3,0),FALSE)*(1+W28/Z28)</f>
        <v>675</v>
      </c>
      <c r="R28" s="42">
        <f ca="1">VLOOKUP($B28,坦克属性统计!$B$3:$AY$33,MATCH(R$7,坦克属性统计!$B$3:$AY$3,0),FALSE)*(1+X28/AA28)</f>
        <v>416</v>
      </c>
      <c r="S28" s="33">
        <f ca="1">VLOOKUP($B28,坦克属性统计!$B$3:$AY$33,MATCH(S$7,坦克属性统计!$B$3:$AY$3,0),FALSE)</f>
        <v>114</v>
      </c>
      <c r="T28" s="33">
        <f ca="1">VLOOKUP($B28,坦克属性统计!$B$3:$AY$33,MATCH(T$7,坦克属性统计!$B$3:$AY$3,0),FALSE)</f>
        <v>286</v>
      </c>
      <c r="U28" s="42">
        <f ca="1">VLOOKUP($B28,坦克属性统计!$B$3:$AY$33,MATCH(U$7,坦克属性统计!$B$3:$AY$3,0),FALSE)*(1+Y28/AB28)</f>
        <v>420</v>
      </c>
      <c r="V28" s="33">
        <f ca="1">VLOOKUP($B28,坦克属性统计!$B$3:$AY$33,MATCH(V$7,坦克属性统计!$B$3:$AY$3,0),FALSE)</f>
        <v>91</v>
      </c>
      <c r="W28" s="33">
        <f>VLOOKUP($B28,坦克属性统计!$B$3:$AY$33,MATCH(W$7,坦克属性统计!$B$3:$AY$3,0),FALSE)</f>
        <v>0</v>
      </c>
      <c r="X28" s="33">
        <f>VLOOKUP($B28,坦克属性统计!$B$3:$AY$33,MATCH(X$7,坦克属性统计!$B$3:$AY$3,0),FALSE)</f>
        <v>0</v>
      </c>
      <c r="Y28" s="33">
        <f>VLOOKUP($B28,坦克属性统计!$B$3:$AY$33,MATCH(Y$7,坦克属性统计!$B$3:$AY$3,0),FALSE)</f>
        <v>0</v>
      </c>
      <c r="Z28" s="33">
        <f>VLOOKUP(B28,坦克部件!$AL$3:$AS$33,MATCH("基础系数",坦克部件!$AL$3:$AS$3,0),FALSE)</f>
        <v>1750</v>
      </c>
      <c r="AA28" s="33">
        <f t="shared" si="1"/>
        <v>1750</v>
      </c>
      <c r="AB28" s="33">
        <f t="shared" si="1"/>
        <v>1750</v>
      </c>
      <c r="AC28" s="34">
        <f t="shared" si="9"/>
        <v>12.111111111111112</v>
      </c>
      <c r="AD28" s="34" t="s">
        <v>604</v>
      </c>
      <c r="AE28" s="132"/>
      <c r="AF28" s="42">
        <f t="shared" ca="1" si="10"/>
        <v>882.13311087146712</v>
      </c>
      <c r="AG28" s="42">
        <f t="shared" ca="1" si="11"/>
        <v>5038.2222222222226</v>
      </c>
      <c r="AI28" s="1">
        <f t="shared" ca="1" si="12"/>
        <v>3400800.0000000005</v>
      </c>
      <c r="AJ28" s="1">
        <f t="shared" ca="1" si="13"/>
        <v>84000</v>
      </c>
      <c r="AK28" s="1">
        <f t="shared" ca="1" si="14"/>
        <v>40.485714285714295</v>
      </c>
      <c r="AL28" s="1">
        <f t="shared" ca="1" si="15"/>
        <v>17004.000000000004</v>
      </c>
      <c r="AM28" s="1">
        <f t="shared" ca="1" si="16"/>
        <v>3178.1126474686198</v>
      </c>
      <c r="AN28" s="1">
        <f t="shared" ca="1" si="17"/>
        <v>289.82753492378879</v>
      </c>
    </row>
    <row r="29" spans="2:51" x14ac:dyDescent="0.3">
      <c r="B29" s="2" t="str">
        <f>坦克个性化细分!I25</f>
        <v>KV-1</v>
      </c>
      <c r="C29" s="29" t="str">
        <f>VLOOKUP(B29,坦克个性化设定!$B$18:$F$48,5,FALSE)</f>
        <v>重坦自动</v>
      </c>
      <c r="D29" s="2" t="str">
        <f>坦克个性化细分!J25</f>
        <v>低</v>
      </c>
      <c r="E29" s="2" t="str">
        <f t="shared" si="0"/>
        <v>KV-1低</v>
      </c>
      <c r="F29" s="34">
        <f>VLOOKUP($B29,坦克属性统计!$B$3:$AY$33,MATCH(F$7,坦克属性统计!$B$3:$AY$3,0),FALSE)</f>
        <v>0.71</v>
      </c>
      <c r="G29" s="34">
        <f>VLOOKUP($B29,坦克属性统计!$B$3:$AY$33,MATCH(G$7,坦克属性统计!$B$3:$AY$3,0),FALSE)</f>
        <v>2.63</v>
      </c>
      <c r="H29" s="34">
        <f>VLOOKUP($B29,坦克属性统计!$B$3:$AY$33,MATCH(H$7,坦克属性统计!$B$3:$AY$3,0),FALSE)</f>
        <v>1.88</v>
      </c>
      <c r="I29" s="34">
        <f>VLOOKUP($B29,坦克属性统计!$B$3:$AY$33,MATCH(I$7,坦克属性统计!$B$3:$AY$3,0),FALSE)</f>
        <v>1.2</v>
      </c>
      <c r="J29" s="34">
        <f>VLOOKUP($B29,坦克属性统计!$B$3:$AY$33,MATCH(J$7,坦克属性统计!$B$3:$AY$3,0),FALSE)</f>
        <v>38.299999999999997</v>
      </c>
      <c r="K29" s="34">
        <f>VLOOKUP($B29,坦克属性统计!$B$3:$AY$33,MATCH(K$7,坦克属性统计!$B$3:$AY$3,0),FALSE)</f>
        <v>28</v>
      </c>
      <c r="L29" s="34">
        <f>VLOOKUP($B29,坦克属性统计!$B$3:$AY$33,MATCH(L$7,坦克属性统计!$B$3:$AY$3,0),FALSE)</f>
        <v>7</v>
      </c>
      <c r="M29" s="33">
        <f>VLOOKUP($B29,坦克属性统计!$B$3:$AY$33,MATCH(M$7,坦克属性统计!$B$3:$AY$3,0),FALSE)</f>
        <v>2</v>
      </c>
      <c r="N29" s="34">
        <f>VLOOKUP($B29,坦克属性统计!$B$3:$AY$33,MATCH(N$7,坦克属性统计!$B$3:$AY$3,0),FALSE)</f>
        <v>3.6</v>
      </c>
      <c r="O29" s="34">
        <f>VLOOKUP($B29,坦克属性统计!$B$3:$AY$33,MATCH(O$7,坦克属性统计!$B$3:$AY$3,0),FALSE)</f>
        <v>0</v>
      </c>
      <c r="P29" s="34">
        <f>VLOOKUP($B29,坦克属性统计!$B$3:$AY$33,MATCH(P$7,坦克属性统计!$B$3:$AY$3,0),FALSE)</f>
        <v>2.1916666666666669</v>
      </c>
      <c r="Q29" s="42">
        <f ca="1">VLOOKUP($B29,坦克属性统计!$B$3:$AY$33,MATCH(Q$7,坦克属性统计!$B$3:$AY$3,0),FALSE)*(1+W29/Z29)</f>
        <v>1029</v>
      </c>
      <c r="R29" s="42">
        <f ca="1">VLOOKUP($B29,坦克属性统计!$B$3:$AY$33,MATCH(R$7,坦克属性统计!$B$3:$AY$3,0),FALSE)*(1+X29/AA29)</f>
        <v>327</v>
      </c>
      <c r="S29" s="33">
        <f ca="1">VLOOKUP($B29,坦克属性统计!$B$3:$AY$33,MATCH(S$7,坦克属性统计!$B$3:$AY$3,0),FALSE)</f>
        <v>137</v>
      </c>
      <c r="T29" s="33">
        <f ca="1">VLOOKUP($B29,坦克属性统计!$B$3:$AY$33,MATCH(T$7,坦克属性统计!$B$3:$AY$3,0),FALSE)</f>
        <v>343</v>
      </c>
      <c r="U29" s="42">
        <f ca="1">VLOOKUP($B29,坦克属性统计!$B$3:$AY$33,MATCH(U$7,坦克属性统计!$B$3:$AY$3,0),FALSE)*(1+Y29/AB29)</f>
        <v>504</v>
      </c>
      <c r="V29" s="33">
        <f ca="1">VLOOKUP($B29,坦克属性统计!$B$3:$AY$33,MATCH(V$7,坦克属性统计!$B$3:$AY$3,0),FALSE)</f>
        <v>109</v>
      </c>
      <c r="W29" s="33">
        <f>VLOOKUP($B29,坦克属性统计!$B$3:$AY$33,MATCH(W$7,坦克属性统计!$B$3:$AY$3,0),FALSE)</f>
        <v>0</v>
      </c>
      <c r="X29" s="33">
        <f>VLOOKUP($B29,坦克属性统计!$B$3:$AY$33,MATCH(X$7,坦克属性统计!$B$3:$AY$3,0),FALSE)</f>
        <v>0</v>
      </c>
      <c r="Y29" s="33">
        <f>VLOOKUP($B29,坦克属性统计!$B$3:$AY$33,MATCH(Y$7,坦克属性统计!$B$3:$AY$3,0),FALSE)</f>
        <v>0</v>
      </c>
      <c r="Z29" s="33">
        <f>VLOOKUP(B29,坦克部件!$AL$3:$AS$33,MATCH("基础系数",坦克部件!$AL$3:$AS$3,0),FALSE)</f>
        <v>2500</v>
      </c>
      <c r="AA29" s="33">
        <f t="shared" si="1"/>
        <v>2500</v>
      </c>
      <c r="AB29" s="33">
        <f t="shared" si="1"/>
        <v>2500</v>
      </c>
      <c r="AC29" s="34">
        <f t="shared" si="9"/>
        <v>18.666666666666668</v>
      </c>
      <c r="AD29" s="34" t="s">
        <v>606</v>
      </c>
      <c r="AE29" s="132"/>
      <c r="AF29" s="42">
        <f t="shared" ca="1" si="10"/>
        <v>1227.1790635432608</v>
      </c>
      <c r="AG29" s="42">
        <f t="shared" ca="1" si="11"/>
        <v>6104</v>
      </c>
      <c r="AI29" s="1">
        <f t="shared" ca="1" si="12"/>
        <v>6281016</v>
      </c>
      <c r="AJ29" s="1">
        <f t="shared" ca="1" si="13"/>
        <v>120960</v>
      </c>
      <c r="AK29" s="1">
        <f t="shared" ca="1" si="14"/>
        <v>51.926388888888887</v>
      </c>
      <c r="AL29" s="1">
        <f t="shared" ca="1" si="15"/>
        <v>31405.08</v>
      </c>
      <c r="AM29" s="1">
        <f t="shared" ca="1" si="16"/>
        <v>3903.3969821169867</v>
      </c>
      <c r="AN29" s="1">
        <f t="shared" ca="1" si="17"/>
        <v>347.79304190854651</v>
      </c>
    </row>
    <row r="30" spans="2:51" x14ac:dyDescent="0.3">
      <c r="B30" s="2" t="str">
        <f>坦克个性化细分!I26</f>
        <v>丘吉尔</v>
      </c>
      <c r="C30" s="29" t="str">
        <f>VLOOKUP(B30,坦克个性化设定!$B$18:$F$48,5,FALSE)</f>
        <v>重坦单发</v>
      </c>
      <c r="D30" s="2" t="str">
        <f>坦克个性化细分!J26</f>
        <v>中</v>
      </c>
      <c r="E30" s="2" t="str">
        <f t="shared" si="0"/>
        <v>丘吉尔中</v>
      </c>
      <c r="F30" s="34">
        <f>VLOOKUP($B30,坦克属性统计!$B$3:$AY$33,MATCH(F$7,坦克属性统计!$B$3:$AY$3,0),FALSE)</f>
        <v>0.68</v>
      </c>
      <c r="G30" s="34">
        <f>VLOOKUP($B30,坦克属性统计!$B$3:$AY$33,MATCH(G$7,坦克属性统计!$B$3:$AY$3,0),FALSE)</f>
        <v>3</v>
      </c>
      <c r="H30" s="34">
        <f>VLOOKUP($B30,坦克属性统计!$B$3:$AY$33,MATCH(H$7,坦克属性统计!$B$3:$AY$3,0),FALSE)</f>
        <v>0</v>
      </c>
      <c r="I30" s="34">
        <f>VLOOKUP($B30,坦克属性统计!$B$3:$AY$33,MATCH(I$7,坦克属性统计!$B$3:$AY$3,0),FALSE)</f>
        <v>1</v>
      </c>
      <c r="J30" s="34">
        <f>VLOOKUP($B30,坦克属性统计!$B$3:$AY$33,MATCH(J$7,坦克属性统计!$B$3:$AY$3,0),FALSE)</f>
        <v>31.3</v>
      </c>
      <c r="K30" s="34">
        <f>VLOOKUP($B30,坦克属性统计!$B$3:$AY$33,MATCH(K$7,坦克属性统计!$B$3:$AY$3,0),FALSE)</f>
        <v>31.4</v>
      </c>
      <c r="L30" s="34">
        <f>VLOOKUP($B30,坦克属性统计!$B$3:$AY$33,MATCH(L$7,坦克属性统计!$B$3:$AY$3,0),FALSE)</f>
        <v>6.4</v>
      </c>
      <c r="M30" s="33">
        <f>VLOOKUP($B30,坦克属性统计!$B$3:$AY$33,MATCH(M$7,坦克属性统计!$B$3:$AY$3,0),FALSE)</f>
        <v>1</v>
      </c>
      <c r="N30" s="34">
        <f>VLOOKUP($B30,坦克属性统计!$B$3:$AY$33,MATCH(N$7,坦克属性统计!$B$3:$AY$3,0),FALSE)</f>
        <v>6</v>
      </c>
      <c r="O30" s="34">
        <f>VLOOKUP($B30,坦克属性统计!$B$3:$AY$33,MATCH(O$7,坦克属性统计!$B$3:$AY$3,0),FALSE)</f>
        <v>0</v>
      </c>
      <c r="P30" s="34">
        <f>VLOOKUP($B30,坦克属性统计!$B$3:$AY$33,MATCH(P$7,坦克属性统计!$B$3:$AY$3,0),FALSE)</f>
        <v>3</v>
      </c>
      <c r="Q30" s="42">
        <f ca="1">VLOOKUP($B30,坦克属性统计!$B$3:$AY$33,MATCH(Q$7,坦克属性统计!$B$3:$AY$3,0),FALSE)*(1+W30/Z30)</f>
        <v>1079</v>
      </c>
      <c r="R30" s="42">
        <f ca="1">VLOOKUP($B30,坦克属性统计!$B$3:$AY$33,MATCH(R$7,坦克属性统计!$B$3:$AY$3,0),FALSE)*(1+X30/AA30)</f>
        <v>520</v>
      </c>
      <c r="S30" s="33">
        <f ca="1">VLOOKUP($B30,坦克属性统计!$B$3:$AY$33,MATCH(S$7,坦克属性统计!$B$3:$AY$3,0),FALSE)</f>
        <v>153</v>
      </c>
      <c r="T30" s="33">
        <f ca="1">VLOOKUP($B30,坦克属性统计!$B$3:$AY$33,MATCH(T$7,坦克属性统计!$B$3:$AY$3,0),FALSE)</f>
        <v>383</v>
      </c>
      <c r="U30" s="42">
        <f ca="1">VLOOKUP($B30,坦克属性统计!$B$3:$AY$33,MATCH(U$7,坦克属性统计!$B$3:$AY$3,0),FALSE)*(1+Y30/AB30)</f>
        <v>512</v>
      </c>
      <c r="V30" s="33">
        <f ca="1">VLOOKUP($B30,坦克属性统计!$B$3:$AY$33,MATCH(V$7,坦克属性统计!$B$3:$AY$3,0),FALSE)</f>
        <v>111</v>
      </c>
      <c r="W30" s="33">
        <f>VLOOKUP($B30,坦克属性统计!$B$3:$AY$33,MATCH(W$7,坦克属性统计!$B$3:$AY$3,0),FALSE)</f>
        <v>0</v>
      </c>
      <c r="X30" s="33">
        <f>VLOOKUP($B30,坦克属性统计!$B$3:$AY$33,MATCH(X$7,坦克属性统计!$B$3:$AY$3,0),FALSE)</f>
        <v>0</v>
      </c>
      <c r="Y30" s="33">
        <f>VLOOKUP($B30,坦克属性统计!$B$3:$AY$33,MATCH(Y$7,坦克属性统计!$B$3:$AY$3,0),FALSE)</f>
        <v>0</v>
      </c>
      <c r="Z30" s="33">
        <f>VLOOKUP(B30,坦克部件!$AL$3:$AS$33,MATCH("基础系数",坦克部件!$AL$3:$AS$3,0),FALSE)</f>
        <v>2500</v>
      </c>
      <c r="AA30" s="33">
        <f t="shared" si="1"/>
        <v>2500</v>
      </c>
      <c r="AB30" s="33">
        <f t="shared" si="1"/>
        <v>2500</v>
      </c>
      <c r="AC30" s="34">
        <f t="shared" si="9"/>
        <v>11</v>
      </c>
      <c r="AD30" s="34" t="s">
        <v>606</v>
      </c>
      <c r="AE30" s="132"/>
      <c r="AF30" s="42">
        <f t="shared" ca="1" si="10"/>
        <v>1272.9790260548941</v>
      </c>
      <c r="AG30" s="42">
        <f t="shared" ca="1" si="11"/>
        <v>5720</v>
      </c>
      <c r="AI30" s="1">
        <f t="shared" ca="1" si="12"/>
        <v>6171880</v>
      </c>
      <c r="AJ30" s="1">
        <f t="shared" ca="1" si="13"/>
        <v>137216</v>
      </c>
      <c r="AK30" s="1">
        <f t="shared" ca="1" si="14"/>
        <v>44.97930270522388</v>
      </c>
      <c r="AL30" s="1">
        <f t="shared" ca="1" si="15"/>
        <v>30859.4</v>
      </c>
      <c r="AM30" s="1">
        <f t="shared" ca="1" si="16"/>
        <v>4099.6999890235875</v>
      </c>
      <c r="AN30" s="1">
        <f t="shared" ca="1" si="17"/>
        <v>370.42678088928722</v>
      </c>
    </row>
    <row r="31" spans="2:51" x14ac:dyDescent="0.3">
      <c r="B31" s="2" t="str">
        <f>坦克个性化细分!I27</f>
        <v>黑豹</v>
      </c>
      <c r="C31" s="29" t="str">
        <f>VLOOKUP(B31,坦克个性化设定!$B$18:$F$48,5,FALSE)</f>
        <v>重坦单发</v>
      </c>
      <c r="D31" s="2" t="str">
        <f>坦克个性化细分!J27</f>
        <v>低</v>
      </c>
      <c r="E31" s="2" t="str">
        <f t="shared" si="0"/>
        <v>黑豹低</v>
      </c>
      <c r="F31" s="34">
        <f>VLOOKUP($B31,坦克属性统计!$B$3:$AY$33,MATCH(F$7,坦克属性统计!$B$3:$AY$3,0),FALSE)</f>
        <v>0.62</v>
      </c>
      <c r="G31" s="34">
        <f>VLOOKUP($B31,坦克属性统计!$B$3:$AY$33,MATCH(G$7,坦克属性统计!$B$3:$AY$3,0),FALSE)</f>
        <v>3</v>
      </c>
      <c r="H31" s="34">
        <f>VLOOKUP($B31,坦克属性统计!$B$3:$AY$33,MATCH(H$7,坦克属性统计!$B$3:$AY$3,0),FALSE)</f>
        <v>0</v>
      </c>
      <c r="I31" s="34">
        <f>VLOOKUP($B31,坦克属性统计!$B$3:$AY$33,MATCH(I$7,坦克属性统计!$B$3:$AY$3,0),FALSE)</f>
        <v>1</v>
      </c>
      <c r="J31" s="34">
        <f>VLOOKUP($B31,坦克属性统计!$B$3:$AY$33,MATCH(J$7,坦克属性统计!$B$3:$AY$3,0),FALSE)</f>
        <v>30.7</v>
      </c>
      <c r="K31" s="34">
        <f>VLOOKUP($B31,坦克属性统计!$B$3:$AY$33,MATCH(K$7,坦克属性统计!$B$3:$AY$3,0),FALSE)</f>
        <v>33.6</v>
      </c>
      <c r="L31" s="34">
        <f>VLOOKUP($B31,坦克属性统计!$B$3:$AY$33,MATCH(L$7,坦克属性统计!$B$3:$AY$3,0),FALSE)</f>
        <v>6.3</v>
      </c>
      <c r="M31" s="33">
        <f>VLOOKUP($B31,坦克属性统计!$B$3:$AY$33,MATCH(M$7,坦克属性统计!$B$3:$AY$3,0),FALSE)</f>
        <v>1</v>
      </c>
      <c r="N31" s="34">
        <f>VLOOKUP($B31,坦克属性统计!$B$3:$AY$33,MATCH(N$7,坦克属性统计!$B$3:$AY$3,0),FALSE)</f>
        <v>6</v>
      </c>
      <c r="O31" s="34">
        <f>VLOOKUP($B31,坦克属性统计!$B$3:$AY$33,MATCH(O$7,坦克属性统计!$B$3:$AY$3,0),FALSE)</f>
        <v>0</v>
      </c>
      <c r="P31" s="34">
        <f>VLOOKUP($B31,坦克属性统计!$B$3:$AY$33,MATCH(P$7,坦克属性统计!$B$3:$AY$3,0),FALSE)</f>
        <v>3</v>
      </c>
      <c r="Q31" s="42">
        <f ca="1">VLOOKUP($B31,坦克属性统计!$B$3:$AY$33,MATCH(Q$7,坦克属性统计!$B$3:$AY$3,0),FALSE)*(1+W31/Z31)</f>
        <v>1354</v>
      </c>
      <c r="R31" s="42">
        <f ca="1">VLOOKUP($B31,坦克属性统计!$B$3:$AY$33,MATCH(R$7,坦克属性统计!$B$3:$AY$3,0),FALSE)*(1+X31/AA31)</f>
        <v>611</v>
      </c>
      <c r="S31" s="33">
        <f ca="1">VLOOKUP($B31,坦克属性统计!$B$3:$AY$33,MATCH(S$7,坦克属性统计!$B$3:$AY$3,0),FALSE)</f>
        <v>186</v>
      </c>
      <c r="T31" s="33">
        <f ca="1">VLOOKUP($B31,坦克属性统计!$B$3:$AY$33,MATCH(T$7,坦克属性统计!$B$3:$AY$3,0),FALSE)</f>
        <v>465</v>
      </c>
      <c r="U31" s="42">
        <f ca="1">VLOOKUP($B31,坦克属性统计!$B$3:$AY$33,MATCH(U$7,坦克属性统计!$B$3:$AY$3,0),FALSE)*(1+Y31/AB31)</f>
        <v>622</v>
      </c>
      <c r="V31" s="33">
        <f ca="1">VLOOKUP($B31,坦克属性统计!$B$3:$AY$33,MATCH(V$7,坦克属性统计!$B$3:$AY$3,0),FALSE)</f>
        <v>135</v>
      </c>
      <c r="W31" s="33">
        <f>VLOOKUP($B31,坦克属性统计!$B$3:$AY$33,MATCH(W$7,坦克属性统计!$B$3:$AY$3,0),FALSE)</f>
        <v>0</v>
      </c>
      <c r="X31" s="33">
        <f>VLOOKUP($B31,坦克属性统计!$B$3:$AY$33,MATCH(X$7,坦克属性统计!$B$3:$AY$3,0),FALSE)</f>
        <v>0</v>
      </c>
      <c r="Y31" s="33">
        <f>VLOOKUP($B31,坦克属性统计!$B$3:$AY$33,MATCH(Y$7,坦克属性统计!$B$3:$AY$3,0),FALSE)</f>
        <v>0</v>
      </c>
      <c r="Z31" s="33">
        <f>VLOOKUP(B31,坦克部件!$AL$3:$AS$33,MATCH("基础系数",坦克部件!$AL$3:$AS$3,0),FALSE)</f>
        <v>3600</v>
      </c>
      <c r="AA31" s="33">
        <f t="shared" si="1"/>
        <v>3600</v>
      </c>
      <c r="AB31" s="33">
        <f t="shared" si="1"/>
        <v>3600</v>
      </c>
      <c r="AC31" s="34">
        <f t="shared" si="9"/>
        <v>11</v>
      </c>
      <c r="AD31" s="34" t="s">
        <v>610</v>
      </c>
      <c r="AE31" s="132"/>
      <c r="AF31" s="42">
        <f t="shared" ca="1" si="10"/>
        <v>1654.8235771879076</v>
      </c>
      <c r="AG31" s="42">
        <f t="shared" ca="1" si="11"/>
        <v>6721</v>
      </c>
      <c r="AI31" s="1">
        <f t="shared" ca="1" si="12"/>
        <v>9100234</v>
      </c>
      <c r="AJ31" s="1">
        <f t="shared" ca="1" si="13"/>
        <v>202461</v>
      </c>
      <c r="AK31" s="1">
        <f t="shared" ca="1" si="14"/>
        <v>44.948083828490425</v>
      </c>
      <c r="AL31" s="1">
        <f t="shared" ca="1" si="15"/>
        <v>45501.17</v>
      </c>
      <c r="AM31" s="1">
        <f t="shared" ca="1" si="16"/>
        <v>4979.5800023696775</v>
      </c>
      <c r="AN31" s="1">
        <f t="shared" ca="1" si="17"/>
        <v>449.95666458004598</v>
      </c>
    </row>
    <row r="32" spans="2:51" x14ac:dyDescent="0.3">
      <c r="B32" s="2" t="str">
        <f>坦克个性化细分!I28</f>
        <v>虎式</v>
      </c>
      <c r="C32" s="29" t="str">
        <f>VLOOKUP(B32,坦克个性化设定!$B$18:$F$48,5,FALSE)</f>
        <v>重坦单发</v>
      </c>
      <c r="D32" s="2" t="str">
        <f>坦克个性化细分!J28</f>
        <v>中</v>
      </c>
      <c r="E32" s="2" t="str">
        <f t="shared" si="0"/>
        <v>虎式中</v>
      </c>
      <c r="F32" s="34">
        <f>VLOOKUP($B32,坦克属性统计!$B$3:$AY$33,MATCH(F$7,坦克属性统计!$B$3:$AY$3,0),FALSE)</f>
        <v>0.68</v>
      </c>
      <c r="G32" s="34">
        <f>VLOOKUP($B32,坦克属性统计!$B$3:$AY$33,MATCH(G$7,坦克属性统计!$B$3:$AY$3,0),FALSE)</f>
        <v>3</v>
      </c>
      <c r="H32" s="34">
        <f>VLOOKUP($B32,坦克属性统计!$B$3:$AY$33,MATCH(H$7,坦克属性统计!$B$3:$AY$3,0),FALSE)</f>
        <v>0</v>
      </c>
      <c r="I32" s="34">
        <f>VLOOKUP($B32,坦克属性统计!$B$3:$AY$33,MATCH(I$7,坦克属性统计!$B$3:$AY$3,0),FALSE)</f>
        <v>1</v>
      </c>
      <c r="J32" s="34">
        <f>VLOOKUP($B32,坦克属性统计!$B$3:$AY$33,MATCH(J$7,坦克属性统计!$B$3:$AY$3,0),FALSE)</f>
        <v>31.3</v>
      </c>
      <c r="K32" s="34">
        <f>VLOOKUP($B32,坦克属性统计!$B$3:$AY$33,MATCH(K$7,坦克属性统计!$B$3:$AY$3,0),FALSE)</f>
        <v>35.700000000000003</v>
      </c>
      <c r="L32" s="34">
        <f>VLOOKUP($B32,坦克属性统计!$B$3:$AY$33,MATCH(L$7,坦克属性统计!$B$3:$AY$3,0),FALSE)</f>
        <v>6.4</v>
      </c>
      <c r="M32" s="33">
        <f>VLOOKUP($B32,坦克属性统计!$B$3:$AY$33,MATCH(M$7,坦克属性统计!$B$3:$AY$3,0),FALSE)</f>
        <v>1</v>
      </c>
      <c r="N32" s="34">
        <f>VLOOKUP($B32,坦克属性统计!$B$3:$AY$33,MATCH(N$7,坦克属性统计!$B$3:$AY$3,0),FALSE)</f>
        <v>6</v>
      </c>
      <c r="O32" s="34">
        <f>VLOOKUP($B32,坦克属性统计!$B$3:$AY$33,MATCH(O$7,坦克属性统计!$B$3:$AY$3,0),FALSE)</f>
        <v>0</v>
      </c>
      <c r="P32" s="34">
        <f>VLOOKUP($B32,坦克属性统计!$B$3:$AY$33,MATCH(P$7,坦克属性统计!$B$3:$AY$3,0),FALSE)</f>
        <v>3</v>
      </c>
      <c r="Q32" s="42">
        <f ca="1">VLOOKUP($B32,坦克属性统计!$B$3:$AY$33,MATCH(Q$7,坦克属性统计!$B$3:$AY$3,0),FALSE)*(1+W32/Z32)</f>
        <v>1354</v>
      </c>
      <c r="R32" s="42">
        <f ca="1">VLOOKUP($B32,坦克属性统计!$B$3:$AY$33,MATCH(R$7,坦克属性统计!$B$3:$AY$3,0),FALSE)*(1+X32/AA32)</f>
        <v>662</v>
      </c>
      <c r="S32" s="33">
        <f ca="1">VLOOKUP($B32,坦克属性统计!$B$3:$AY$33,MATCH(S$7,坦克属性统计!$B$3:$AY$3,0),FALSE)</f>
        <v>194</v>
      </c>
      <c r="T32" s="33">
        <f ca="1">VLOOKUP($B32,坦克属性统计!$B$3:$AY$33,MATCH(T$7,坦克属性统计!$B$3:$AY$3,0),FALSE)</f>
        <v>484</v>
      </c>
      <c r="U32" s="42">
        <f ca="1">VLOOKUP($B32,坦克属性统计!$B$3:$AY$33,MATCH(U$7,坦克属性统计!$B$3:$AY$3,0),FALSE)*(1+Y32/AB32)</f>
        <v>647</v>
      </c>
      <c r="V32" s="33">
        <f ca="1">VLOOKUP($B32,坦克属性统计!$B$3:$AY$33,MATCH(V$7,坦克属性统计!$B$3:$AY$3,0),FALSE)</f>
        <v>140</v>
      </c>
      <c r="W32" s="33">
        <f>VLOOKUP($B32,坦克属性统计!$B$3:$AY$33,MATCH(W$7,坦克属性统计!$B$3:$AY$3,0),FALSE)</f>
        <v>0</v>
      </c>
      <c r="X32" s="33">
        <f>VLOOKUP($B32,坦克属性统计!$B$3:$AY$33,MATCH(X$7,坦克属性统计!$B$3:$AY$3,0),FALSE)</f>
        <v>0</v>
      </c>
      <c r="Y32" s="33">
        <f>VLOOKUP($B32,坦克属性统计!$B$3:$AY$33,MATCH(Y$7,坦克属性统计!$B$3:$AY$3,0),FALSE)</f>
        <v>0</v>
      </c>
      <c r="Z32" s="33">
        <f>VLOOKUP(B32,坦克部件!$AL$3:$AS$33,MATCH("基础系数",坦克部件!$AL$3:$AS$3,0),FALSE)</f>
        <v>3600</v>
      </c>
      <c r="AA32" s="33">
        <f t="shared" si="1"/>
        <v>3600</v>
      </c>
      <c r="AB32" s="33">
        <f t="shared" si="1"/>
        <v>3600</v>
      </c>
      <c r="AC32" s="34">
        <f t="shared" si="9"/>
        <v>11</v>
      </c>
      <c r="AD32" s="34" t="s">
        <v>610</v>
      </c>
      <c r="AE32" s="132"/>
      <c r="AF32" s="42">
        <f t="shared" ca="1" si="10"/>
        <v>1746.7660435311464</v>
      </c>
      <c r="AG32" s="42">
        <f t="shared" ca="1" si="11"/>
        <v>7282</v>
      </c>
      <c r="AI32" s="1">
        <f t="shared" ca="1" si="12"/>
        <v>9859828</v>
      </c>
      <c r="AJ32" s="1">
        <f t="shared" ca="1" si="13"/>
        <v>219333</v>
      </c>
      <c r="AK32" s="1">
        <f t="shared" ca="1" si="14"/>
        <v>44.953691418983922</v>
      </c>
      <c r="AL32" s="1">
        <f t="shared" ca="1" si="15"/>
        <v>49299.14</v>
      </c>
      <c r="AM32" s="1">
        <f t="shared" ca="1" si="16"/>
        <v>5182.9734708948681</v>
      </c>
      <c r="AN32" s="1">
        <f t="shared" ca="1" si="17"/>
        <v>468.33001185061801</v>
      </c>
    </row>
    <row r="33" spans="2:40" x14ac:dyDescent="0.3">
      <c r="B33" s="2" t="str">
        <f>坦克个性化细分!I29</f>
        <v>KV-2</v>
      </c>
      <c r="C33" s="29" t="str">
        <f>VLOOKUP(B33,坦克个性化设定!$B$18:$F$48,5,FALSE)</f>
        <v>重坦自动</v>
      </c>
      <c r="D33" s="2" t="str">
        <f>坦克个性化细分!J29</f>
        <v>高</v>
      </c>
      <c r="E33" s="2" t="str">
        <f t="shared" si="0"/>
        <v>KV-2高</v>
      </c>
      <c r="F33" s="34">
        <f>VLOOKUP($B33,坦克属性统计!$B$3:$AY$33,MATCH(F$7,坦克属性统计!$B$3:$AY$3,0),FALSE)</f>
        <v>0.81</v>
      </c>
      <c r="G33" s="34">
        <f>VLOOKUP($B33,坦克属性统计!$B$3:$AY$33,MATCH(G$7,坦克属性统计!$B$3:$AY$3,0),FALSE)</f>
        <v>2.7</v>
      </c>
      <c r="H33" s="34">
        <f>VLOOKUP($B33,坦克属性统计!$B$3:$AY$33,MATCH(H$7,坦克属性统计!$B$3:$AY$3,0),FALSE)</f>
        <v>2</v>
      </c>
      <c r="I33" s="34">
        <f>VLOOKUP($B33,坦克属性统计!$B$3:$AY$33,MATCH(I$7,坦克属性统计!$B$3:$AY$3,0),FALSE)</f>
        <v>1.2</v>
      </c>
      <c r="J33" s="34">
        <f>VLOOKUP($B33,坦克属性统计!$B$3:$AY$33,MATCH(J$7,坦克属性统计!$B$3:$AY$3,0),FALSE)</f>
        <v>40.299999999999997</v>
      </c>
      <c r="K33" s="34">
        <f>VLOOKUP($B33,坦克属性统计!$B$3:$AY$33,MATCH(K$7,坦克属性统计!$B$3:$AY$3,0),FALSE)</f>
        <v>29.4</v>
      </c>
      <c r="L33" s="34">
        <f>VLOOKUP($B33,坦克属性统计!$B$3:$AY$33,MATCH(L$7,坦克属性统计!$B$3:$AY$3,0),FALSE)</f>
        <v>7.4</v>
      </c>
      <c r="M33" s="33">
        <f>VLOOKUP($B33,坦克属性统计!$B$3:$AY$33,MATCH(M$7,坦克属性统计!$B$3:$AY$3,0),FALSE)</f>
        <v>2</v>
      </c>
      <c r="N33" s="34">
        <f>VLOOKUP($B33,坦克属性统计!$B$3:$AY$33,MATCH(N$7,坦克属性统计!$B$3:$AY$3,0),FALSE)</f>
        <v>4.05</v>
      </c>
      <c r="O33" s="34">
        <f>VLOOKUP($B33,坦克属性统计!$B$3:$AY$33,MATCH(O$7,坦克属性统计!$B$3:$AY$3,0),FALSE)</f>
        <v>0</v>
      </c>
      <c r="P33" s="34">
        <f>VLOOKUP($B33,坦克属性统计!$B$3:$AY$33,MATCH(P$7,坦克属性统计!$B$3:$AY$3,0),FALSE)</f>
        <v>2.2500000000000004</v>
      </c>
      <c r="Q33" s="42">
        <f ca="1">VLOOKUP($B33,坦克属性统计!$B$3:$AY$33,MATCH(Q$7,坦克属性统计!$B$3:$AY$3,0),FALSE)*(1+W33/Z33)</f>
        <v>1379</v>
      </c>
      <c r="R33" s="42">
        <f ca="1">VLOOKUP($B33,坦克属性统计!$B$3:$AY$33,MATCH(R$7,坦克属性统计!$B$3:$AY$3,0),FALSE)*(1+X33/AA33)</f>
        <v>448</v>
      </c>
      <c r="S33" s="33">
        <f ca="1">VLOOKUP($B33,坦克属性统计!$B$3:$AY$33,MATCH(S$7,坦克属性统计!$B$3:$AY$3,0),FALSE)</f>
        <v>176</v>
      </c>
      <c r="T33" s="33">
        <f ca="1">VLOOKUP($B33,坦克属性统计!$B$3:$AY$33,MATCH(T$7,坦克属性统计!$B$3:$AY$3,0),FALSE)</f>
        <v>440</v>
      </c>
      <c r="U33" s="42">
        <f ca="1">VLOOKUP($B33,坦克属性统计!$B$3:$AY$33,MATCH(U$7,坦克属性统计!$B$3:$AY$3,0),FALSE)*(1+Y33/AB33)</f>
        <v>647</v>
      </c>
      <c r="V33" s="33">
        <f ca="1">VLOOKUP($B33,坦克属性统计!$B$3:$AY$33,MATCH(V$7,坦克属性统计!$B$3:$AY$3,0),FALSE)</f>
        <v>140</v>
      </c>
      <c r="W33" s="33">
        <f>VLOOKUP($B33,坦克属性统计!$B$3:$AY$33,MATCH(W$7,坦克属性统计!$B$3:$AY$3,0),FALSE)</f>
        <v>0</v>
      </c>
      <c r="X33" s="33">
        <f>VLOOKUP($B33,坦克属性统计!$B$3:$AY$33,MATCH(X$7,坦克属性统计!$B$3:$AY$3,0),FALSE)</f>
        <v>0</v>
      </c>
      <c r="Y33" s="33">
        <f>VLOOKUP($B33,坦克属性统计!$B$3:$AY$33,MATCH(Y$7,坦克属性统计!$B$3:$AY$3,0),FALSE)</f>
        <v>0</v>
      </c>
      <c r="Z33" s="33">
        <f>VLOOKUP(B33,坦克部件!$AL$3:$AS$33,MATCH("基础系数",坦克部件!$AL$3:$AS$3,0),FALSE)</f>
        <v>3600</v>
      </c>
      <c r="AA33" s="33">
        <f t="shared" si="1"/>
        <v>3600</v>
      </c>
      <c r="AB33" s="33">
        <f t="shared" si="1"/>
        <v>3600</v>
      </c>
      <c r="AC33" s="34">
        <f t="shared" si="9"/>
        <v>16.814814814814817</v>
      </c>
      <c r="AD33" s="34" t="s">
        <v>610</v>
      </c>
      <c r="AE33" s="132"/>
      <c r="AF33" s="42">
        <f t="shared" ca="1" si="10"/>
        <v>1721.1854141670246</v>
      </c>
      <c r="AG33" s="42">
        <f t="shared" ca="1" si="11"/>
        <v>7533.0370370370383</v>
      </c>
      <c r="AI33" s="1">
        <f t="shared" ca="1" si="12"/>
        <v>10388058.074074075</v>
      </c>
      <c r="AJ33" s="1">
        <f t="shared" ca="1" si="13"/>
        <v>199276</v>
      </c>
      <c r="AK33" s="1">
        <f t="shared" ca="1" si="14"/>
        <v>52.128997340743865</v>
      </c>
      <c r="AL33" s="1">
        <f t="shared" ca="1" si="15"/>
        <v>51940.290370370371</v>
      </c>
      <c r="AM33" s="1">
        <f t="shared" ca="1" si="16"/>
        <v>5012.1481459586803</v>
      </c>
      <c r="AN33" s="1">
        <f t="shared" ca="1" si="17"/>
        <v>446.403405004935</v>
      </c>
    </row>
    <row r="34" spans="2:40" x14ac:dyDescent="0.3">
      <c r="B34" s="2" t="str">
        <f>坦克个性化细分!I30</f>
        <v>征服者</v>
      </c>
      <c r="C34" s="29" t="str">
        <f>VLOOKUP(B34,坦克个性化设定!$B$18:$F$48,5,FALSE)</f>
        <v>重坦单发</v>
      </c>
      <c r="D34" s="2" t="str">
        <f>坦克个性化细分!J30</f>
        <v>低</v>
      </c>
      <c r="E34" s="2" t="str">
        <f t="shared" si="0"/>
        <v>征服者低</v>
      </c>
      <c r="F34" s="34">
        <f>VLOOKUP($B34,坦克属性统计!$B$3:$AY$33,MATCH(F$7,坦克属性统计!$B$3:$AY$3,0),FALSE)</f>
        <v>0.65</v>
      </c>
      <c r="G34" s="34">
        <f>VLOOKUP($B34,坦克属性统计!$B$3:$AY$33,MATCH(G$7,坦克属性统计!$B$3:$AY$3,0),FALSE)</f>
        <v>3</v>
      </c>
      <c r="H34" s="34">
        <f>VLOOKUP($B34,坦克属性统计!$B$3:$AY$33,MATCH(H$7,坦克属性统计!$B$3:$AY$3,0),FALSE)</f>
        <v>0</v>
      </c>
      <c r="I34" s="34">
        <f>VLOOKUP($B34,坦克属性统计!$B$3:$AY$33,MATCH(I$7,坦克属性统计!$B$3:$AY$3,0),FALSE)</f>
        <v>1</v>
      </c>
      <c r="J34" s="34">
        <f>VLOOKUP($B34,坦克属性统计!$B$3:$AY$33,MATCH(J$7,坦克属性统计!$B$3:$AY$3,0),FALSE)</f>
        <v>30.7</v>
      </c>
      <c r="K34" s="34">
        <f>VLOOKUP($B34,坦克属性统计!$B$3:$AY$33,MATCH(K$7,坦克属性统计!$B$3:$AY$3,0),FALSE)</f>
        <v>35</v>
      </c>
      <c r="L34" s="34">
        <f>VLOOKUP($B34,坦克属性统计!$B$3:$AY$33,MATCH(L$7,坦克属性统计!$B$3:$AY$3,0),FALSE)</f>
        <v>6.3</v>
      </c>
      <c r="M34" s="33">
        <f>VLOOKUP($B34,坦克属性统计!$B$3:$AY$33,MATCH(M$7,坦克属性统计!$B$3:$AY$3,0),FALSE)</f>
        <v>1</v>
      </c>
      <c r="N34" s="34">
        <f>VLOOKUP($B34,坦克属性统计!$B$3:$AY$33,MATCH(N$7,坦克属性统计!$B$3:$AY$3,0),FALSE)</f>
        <v>6</v>
      </c>
      <c r="O34" s="34">
        <f>VLOOKUP($B34,坦克属性统计!$B$3:$AY$33,MATCH(O$7,坦克属性统计!$B$3:$AY$3,0),FALSE)</f>
        <v>0</v>
      </c>
      <c r="P34" s="34">
        <f>VLOOKUP($B34,坦克属性统计!$B$3:$AY$33,MATCH(P$7,坦克属性统计!$B$3:$AY$3,0),FALSE)</f>
        <v>3</v>
      </c>
      <c r="Q34" s="42">
        <f ca="1">VLOOKUP($B34,坦克属性统计!$B$3:$AY$33,MATCH(Q$7,坦克属性统计!$B$3:$AY$3,0),FALSE)*(1+W34/Z34)</f>
        <v>1881</v>
      </c>
      <c r="R34" s="42">
        <f ca="1">VLOOKUP($B34,坦克属性统计!$B$3:$AY$33,MATCH(R$7,坦克属性统计!$B$3:$AY$3,0),FALSE)*(1+X34/AA34)</f>
        <v>740</v>
      </c>
      <c r="S34" s="33">
        <f ca="1">VLOOKUP($B34,坦克属性统计!$B$3:$AY$33,MATCH(S$7,坦克属性统计!$B$3:$AY$3,0),FALSE)</f>
        <v>241</v>
      </c>
      <c r="T34" s="33">
        <f ca="1">VLOOKUP($B34,坦克属性统计!$B$3:$AY$33,MATCH(T$7,坦克属性统计!$B$3:$AY$3,0),FALSE)</f>
        <v>603</v>
      </c>
      <c r="U34" s="42">
        <f ca="1">VLOOKUP($B34,坦克属性统计!$B$3:$AY$33,MATCH(U$7,坦克属性统计!$B$3:$AY$3,0),FALSE)*(1+Y34/AB34)</f>
        <v>806</v>
      </c>
      <c r="V34" s="33">
        <f ca="1">VLOOKUP($B34,坦克属性统计!$B$3:$AY$33,MATCH(V$7,坦克属性统计!$B$3:$AY$3,0),FALSE)</f>
        <v>175</v>
      </c>
      <c r="W34" s="33">
        <f>VLOOKUP($B34,坦克属性统计!$B$3:$AY$33,MATCH(W$7,坦克属性统计!$B$3:$AY$3,0),FALSE)</f>
        <v>0</v>
      </c>
      <c r="X34" s="33">
        <f>VLOOKUP($B34,坦克属性统计!$B$3:$AY$33,MATCH(X$7,坦克属性统计!$B$3:$AY$3,0),FALSE)</f>
        <v>0</v>
      </c>
      <c r="Y34" s="33">
        <f>VLOOKUP($B34,坦克属性统计!$B$3:$AY$33,MATCH(Y$7,坦克属性统计!$B$3:$AY$3,0),FALSE)</f>
        <v>0</v>
      </c>
      <c r="Z34" s="33">
        <f>VLOOKUP(B34,坦克部件!$AL$3:$AS$33,MATCH("基础系数",坦克部件!$AL$3:$AS$3,0),FALSE)</f>
        <v>7400</v>
      </c>
      <c r="AA34" s="33">
        <f t="shared" si="1"/>
        <v>7400</v>
      </c>
      <c r="AB34" s="33">
        <f t="shared" si="1"/>
        <v>7400</v>
      </c>
      <c r="AC34" s="34">
        <f t="shared" si="9"/>
        <v>11</v>
      </c>
      <c r="AD34" s="34" t="s">
        <v>617</v>
      </c>
      <c r="AE34" s="132"/>
      <c r="AF34" s="42">
        <f t="shared" ca="1" si="10"/>
        <v>2349.9262359391482</v>
      </c>
      <c r="AG34" s="42">
        <f t="shared" ca="1" si="11"/>
        <v>8140</v>
      </c>
      <c r="AI34" s="1">
        <f t="shared" ca="1" si="12"/>
        <v>15311340</v>
      </c>
      <c r="AJ34" s="1">
        <f t="shared" ca="1" si="13"/>
        <v>340132</v>
      </c>
      <c r="AK34" s="1">
        <f t="shared" ca="1" si="14"/>
        <v>45.015876189244175</v>
      </c>
      <c r="AL34" s="1">
        <f t="shared" ca="1" si="15"/>
        <v>76556.7</v>
      </c>
      <c r="AM34" s="1">
        <f t="shared" ca="1" si="16"/>
        <v>6455.1429108889606</v>
      </c>
      <c r="AN34" s="1">
        <f t="shared" ca="1" si="17"/>
        <v>583.20836756685856</v>
      </c>
    </row>
    <row r="35" spans="2:40" x14ac:dyDescent="0.3">
      <c r="B35" s="2" t="str">
        <f>坦克个性化细分!I31</f>
        <v>IS-4</v>
      </c>
      <c r="C35" s="29" t="str">
        <f>VLOOKUP(B35,坦克个性化设定!$B$18:$F$48,5,FALSE)</f>
        <v>重坦自动</v>
      </c>
      <c r="D35" s="2" t="str">
        <f>坦克个性化细分!J31</f>
        <v>中</v>
      </c>
      <c r="E35" s="2" t="str">
        <f t="shared" si="0"/>
        <v>IS-4中</v>
      </c>
      <c r="F35" s="34">
        <f>VLOOKUP($B35,坦克属性统计!$B$3:$AY$33,MATCH(F$7,坦克属性统计!$B$3:$AY$3,0),FALSE)</f>
        <v>0.65</v>
      </c>
      <c r="G35" s="34">
        <f>VLOOKUP($B35,坦克属性统计!$B$3:$AY$33,MATCH(G$7,坦克属性统计!$B$3:$AY$3,0),FALSE)</f>
        <v>2.7</v>
      </c>
      <c r="H35" s="34">
        <f>VLOOKUP($B35,坦克属性统计!$B$3:$AY$33,MATCH(H$7,坦克属性统计!$B$3:$AY$3,0),FALSE)</f>
        <v>2</v>
      </c>
      <c r="I35" s="34">
        <f>VLOOKUP($B35,坦克属性统计!$B$3:$AY$33,MATCH(I$7,坦克属性统计!$B$3:$AY$3,0),FALSE)</f>
        <v>1.2</v>
      </c>
      <c r="J35" s="34">
        <f>VLOOKUP($B35,坦克属性统计!$B$3:$AY$33,MATCH(J$7,坦克属性统计!$B$3:$AY$3,0),FALSE)</f>
        <v>31.3</v>
      </c>
      <c r="K35" s="34">
        <f>VLOOKUP($B35,坦克属性统计!$B$3:$AY$33,MATCH(K$7,坦克属性统计!$B$3:$AY$3,0),FALSE)</f>
        <v>35.700000000000003</v>
      </c>
      <c r="L35" s="34">
        <f>VLOOKUP($B35,坦克属性统计!$B$3:$AY$33,MATCH(L$7,坦克属性统计!$B$3:$AY$3,0),FALSE)</f>
        <v>6.4</v>
      </c>
      <c r="M35" s="33">
        <f>VLOOKUP($B35,坦克属性统计!$B$3:$AY$33,MATCH(M$7,坦克属性统计!$B$3:$AY$3,0),FALSE)</f>
        <v>2</v>
      </c>
      <c r="N35" s="34">
        <f>VLOOKUP($B35,坦克属性统计!$B$3:$AY$33,MATCH(N$7,坦克属性统计!$B$3:$AY$3,0),FALSE)</f>
        <v>4.5</v>
      </c>
      <c r="O35" s="34">
        <f>VLOOKUP($B35,坦克属性统计!$B$3:$AY$33,MATCH(O$7,坦克属性统计!$B$3:$AY$3,0),FALSE)</f>
        <v>0</v>
      </c>
      <c r="P35" s="34">
        <f>VLOOKUP($B35,坦克属性统计!$B$3:$AY$33,MATCH(P$7,坦克属性统计!$B$3:$AY$3,0),FALSE)</f>
        <v>2.2500000000000004</v>
      </c>
      <c r="Q35" s="42">
        <f ca="1">VLOOKUP($B35,坦克属性统计!$B$3:$AY$33,MATCH(Q$7,坦克属性统计!$B$3:$AY$3,0),FALSE)*(1+W35/Z35)</f>
        <v>1804</v>
      </c>
      <c r="R35" s="42">
        <f ca="1">VLOOKUP($B35,坦克属性统计!$B$3:$AY$33,MATCH(R$7,坦克属性统计!$B$3:$AY$3,0),FALSE)*(1+X35/AA35)</f>
        <v>637</v>
      </c>
      <c r="S35" s="33">
        <f ca="1">VLOOKUP($B35,坦克属性统计!$B$3:$AY$33,MATCH(S$7,坦克属性统计!$B$3:$AY$3,0),FALSE)</f>
        <v>229</v>
      </c>
      <c r="T35" s="33">
        <f ca="1">VLOOKUP($B35,坦克属性统计!$B$3:$AY$33,MATCH(T$7,坦克属性统计!$B$3:$AY$3,0),FALSE)</f>
        <v>571</v>
      </c>
      <c r="U35" s="42">
        <f ca="1">VLOOKUP($B35,坦克属性统计!$B$3:$AY$33,MATCH(U$7,坦克属性统计!$B$3:$AY$3,0),FALSE)*(1+Y35/AB35)</f>
        <v>840</v>
      </c>
      <c r="V35" s="33">
        <f ca="1">VLOOKUP($B35,坦克属性统计!$B$3:$AY$33,MATCH(V$7,坦克属性统计!$B$3:$AY$3,0),FALSE)</f>
        <v>182</v>
      </c>
      <c r="W35" s="33">
        <f>VLOOKUP($B35,坦克属性统计!$B$3:$AY$33,MATCH(W$7,坦克属性统计!$B$3:$AY$3,0),FALSE)</f>
        <v>0</v>
      </c>
      <c r="X35" s="33">
        <f>VLOOKUP($B35,坦克属性统计!$B$3:$AY$33,MATCH(X$7,坦克属性统计!$B$3:$AY$3,0),FALSE)</f>
        <v>0</v>
      </c>
      <c r="Y35" s="33">
        <f>VLOOKUP($B35,坦克属性统计!$B$3:$AY$33,MATCH(Y$7,坦克属性统计!$B$3:$AY$3,0),FALSE)</f>
        <v>0</v>
      </c>
      <c r="Z35" s="33">
        <f>VLOOKUP(B35,坦克部件!$AL$3:$AS$33,MATCH("基础系数",坦克部件!$AL$3:$AS$3,0),FALSE)</f>
        <v>7400</v>
      </c>
      <c r="AA35" s="33">
        <f t="shared" si="1"/>
        <v>7400</v>
      </c>
      <c r="AB35" s="33">
        <f t="shared" si="1"/>
        <v>7400</v>
      </c>
      <c r="AC35" s="34">
        <f t="shared" si="9"/>
        <v>15.333333333333334</v>
      </c>
      <c r="AD35" s="34" t="s">
        <v>617</v>
      </c>
      <c r="AE35" s="132"/>
      <c r="AF35" s="42">
        <f t="shared" ca="1" si="10"/>
        <v>2453.8611523833761</v>
      </c>
      <c r="AG35" s="42">
        <f t="shared" ca="1" si="11"/>
        <v>9767.3333333333339</v>
      </c>
      <c r="AI35" s="1">
        <f t="shared" ca="1" si="12"/>
        <v>17620269.333333336</v>
      </c>
      <c r="AJ35" s="1">
        <f t="shared" ca="1" si="13"/>
        <v>336000</v>
      </c>
      <c r="AK35" s="1">
        <f t="shared" ca="1" si="14"/>
        <v>52.441277777777785</v>
      </c>
      <c r="AL35" s="1">
        <f t="shared" ca="1" si="15"/>
        <v>88101.346666666679</v>
      </c>
      <c r="AM35" s="1">
        <f t="shared" ca="1" si="16"/>
        <v>6512.3064014730353</v>
      </c>
      <c r="AN35" s="1">
        <f t="shared" ca="1" si="17"/>
        <v>579.65506984757758</v>
      </c>
    </row>
    <row r="36" spans="2:40" x14ac:dyDescent="0.3">
      <c r="B36" s="2" t="str">
        <f>坦克个性化细分!I32</f>
        <v>T-32</v>
      </c>
      <c r="C36" s="29" t="str">
        <f>VLOOKUP(B36,坦克个性化设定!$B$18:$F$48,5,FALSE)</f>
        <v>重坦单发</v>
      </c>
      <c r="D36" s="2" t="str">
        <f>坦克个性化细分!J32</f>
        <v>高</v>
      </c>
      <c r="E36" s="2" t="str">
        <f t="shared" si="0"/>
        <v>T-32高</v>
      </c>
      <c r="F36" s="34">
        <f>VLOOKUP($B36,坦克属性统计!$B$3:$AY$33,MATCH(F$7,坦克属性统计!$B$3:$AY$3,0),FALSE)</f>
        <v>0.62</v>
      </c>
      <c r="G36" s="34">
        <f>VLOOKUP($B36,坦克属性统计!$B$3:$AY$33,MATCH(G$7,坦克属性统计!$B$3:$AY$3,0),FALSE)</f>
        <v>3</v>
      </c>
      <c r="H36" s="34">
        <f>VLOOKUP($B36,坦克属性统计!$B$3:$AY$33,MATCH(H$7,坦克属性统计!$B$3:$AY$3,0),FALSE)</f>
        <v>0</v>
      </c>
      <c r="I36" s="34">
        <f>VLOOKUP($B36,坦克属性统计!$B$3:$AY$33,MATCH(I$7,坦克属性统计!$B$3:$AY$3,0),FALSE)</f>
        <v>1</v>
      </c>
      <c r="J36" s="34">
        <f>VLOOKUP($B36,坦克属性统计!$B$3:$AY$33,MATCH(J$7,坦克属性统计!$B$3:$AY$3,0),FALSE)</f>
        <v>32.200000000000003</v>
      </c>
      <c r="K36" s="34">
        <f>VLOOKUP($B36,坦克属性统计!$B$3:$AY$33,MATCH(K$7,坦克属性统计!$B$3:$AY$3,0),FALSE)</f>
        <v>36.799999999999997</v>
      </c>
      <c r="L36" s="34">
        <f>VLOOKUP($B36,坦克属性统计!$B$3:$AY$33,MATCH(L$7,坦克属性统计!$B$3:$AY$3,0),FALSE)</f>
        <v>6.6</v>
      </c>
      <c r="M36" s="33">
        <f>VLOOKUP($B36,坦克属性统计!$B$3:$AY$33,MATCH(M$7,坦克属性统计!$B$3:$AY$3,0),FALSE)</f>
        <v>1</v>
      </c>
      <c r="N36" s="34">
        <f>VLOOKUP($B36,坦克属性统计!$B$3:$AY$33,MATCH(N$7,坦克属性统计!$B$3:$AY$3,0),FALSE)</f>
        <v>6</v>
      </c>
      <c r="O36" s="34">
        <f>VLOOKUP($B36,坦克属性统计!$B$3:$AY$33,MATCH(O$7,坦克属性统计!$B$3:$AY$3,0),FALSE)</f>
        <v>0</v>
      </c>
      <c r="P36" s="34">
        <f>VLOOKUP($B36,坦克属性统计!$B$3:$AY$33,MATCH(P$7,坦克属性统计!$B$3:$AY$3,0),FALSE)</f>
        <v>3</v>
      </c>
      <c r="Q36" s="42">
        <f ca="1">VLOOKUP($B36,坦克属性统计!$B$3:$AY$33,MATCH(Q$7,坦克属性统计!$B$3:$AY$3,0),FALSE)*(1+W36/Z36)</f>
        <v>1709</v>
      </c>
      <c r="R36" s="42">
        <f ca="1">VLOOKUP($B36,坦克属性统计!$B$3:$AY$33,MATCH(R$7,坦克属性统计!$B$3:$AY$3,0),FALSE)*(1+X36/AA36)</f>
        <v>883</v>
      </c>
      <c r="S36" s="33">
        <f ca="1">VLOOKUP($B36,坦克属性统计!$B$3:$AY$33,MATCH(S$7,坦克属性统计!$B$3:$AY$3,0),FALSE)</f>
        <v>251</v>
      </c>
      <c r="T36" s="33">
        <f ca="1">VLOOKUP($B36,坦克属性统计!$B$3:$AY$33,MATCH(T$7,坦克属性统计!$B$3:$AY$3,0),FALSE)</f>
        <v>629</v>
      </c>
      <c r="U36" s="42">
        <f ca="1">VLOOKUP($B36,坦克属性统计!$B$3:$AY$33,MATCH(U$7,坦克属性统计!$B$3:$AY$3,0),FALSE)*(1+Y36/AB36)</f>
        <v>840</v>
      </c>
      <c r="V36" s="33">
        <f ca="1">VLOOKUP($B36,坦克属性统计!$B$3:$AY$33,MATCH(V$7,坦克属性统计!$B$3:$AY$3,0),FALSE)</f>
        <v>182</v>
      </c>
      <c r="W36" s="33">
        <f>VLOOKUP($B36,坦克属性统计!$B$3:$AY$33,MATCH(W$7,坦克属性统计!$B$3:$AY$3,0),FALSE)</f>
        <v>0</v>
      </c>
      <c r="X36" s="33">
        <f>VLOOKUP($B36,坦克属性统计!$B$3:$AY$33,MATCH(X$7,坦克属性统计!$B$3:$AY$3,0),FALSE)</f>
        <v>0</v>
      </c>
      <c r="Y36" s="33">
        <f>VLOOKUP($B36,坦克属性统计!$B$3:$AY$33,MATCH(Y$7,坦克属性统计!$B$3:$AY$3,0),FALSE)</f>
        <v>0</v>
      </c>
      <c r="Z36" s="33">
        <f>VLOOKUP(B36,坦克部件!$AL$3:$AS$33,MATCH("基础系数",坦克部件!$AL$3:$AS$3,0),FALSE)</f>
        <v>7400</v>
      </c>
      <c r="AA36" s="33">
        <f t="shared" si="1"/>
        <v>7400</v>
      </c>
      <c r="AB36" s="33">
        <f t="shared" si="1"/>
        <v>7400</v>
      </c>
      <c r="AC36" s="34">
        <f t="shared" si="9"/>
        <v>11</v>
      </c>
      <c r="AD36" s="34" t="s">
        <v>617</v>
      </c>
      <c r="AE36" s="132"/>
      <c r="AF36" s="42">
        <f t="shared" ca="1" si="10"/>
        <v>2483.5505171521295</v>
      </c>
      <c r="AG36" s="42">
        <f t="shared" ca="1" si="11"/>
        <v>9713</v>
      </c>
      <c r="AI36" s="1">
        <f t="shared" ca="1" si="12"/>
        <v>16599517</v>
      </c>
      <c r="AJ36" s="1">
        <f t="shared" ca="1" si="13"/>
        <v>369600</v>
      </c>
      <c r="AK36" s="1">
        <f t="shared" ca="1" si="14"/>
        <v>44.912113095238098</v>
      </c>
      <c r="AL36" s="1">
        <f t="shared" ca="1" si="15"/>
        <v>82997.585000000006</v>
      </c>
      <c r="AM36" s="1">
        <f t="shared" ca="1" si="16"/>
        <v>6727.5373280272479</v>
      </c>
      <c r="AN36" s="1">
        <f t="shared" ca="1" si="17"/>
        <v>607.94736614282658</v>
      </c>
    </row>
    <row r="37" spans="2:40" x14ac:dyDescent="0.3">
      <c r="B37" s="2" t="str">
        <f>坦克个性化细分!I33</f>
        <v>M1A2</v>
      </c>
      <c r="C37" s="29" t="str">
        <f>VLOOKUP(B37,坦克个性化设定!$B$18:$F$48,5,FALSE)</f>
        <v>重坦单发</v>
      </c>
      <c r="D37" s="2" t="str">
        <f>坦克个性化细分!J33</f>
        <v>低</v>
      </c>
      <c r="E37" s="2" t="str">
        <f t="shared" si="0"/>
        <v>M1A2低</v>
      </c>
      <c r="F37" s="34">
        <f>VLOOKUP($B37,坦克属性统计!$B$3:$AY$33,MATCH(F$7,坦克属性统计!$B$3:$AY$3,0),FALSE)</f>
        <v>0.71</v>
      </c>
      <c r="G37" s="34">
        <f>VLOOKUP($B37,坦克属性统计!$B$3:$AY$33,MATCH(G$7,坦克属性统计!$B$3:$AY$3,0),FALSE)</f>
        <v>3</v>
      </c>
      <c r="H37" s="34">
        <f>VLOOKUP($B37,坦克属性统计!$B$3:$AY$33,MATCH(H$7,坦克属性统计!$B$3:$AY$3,0),FALSE)</f>
        <v>0</v>
      </c>
      <c r="I37" s="34">
        <f>VLOOKUP($B37,坦克属性统计!$B$3:$AY$33,MATCH(I$7,坦克属性统计!$B$3:$AY$3,0),FALSE)</f>
        <v>1</v>
      </c>
      <c r="J37" s="34">
        <f>VLOOKUP($B37,坦克属性统计!$B$3:$AY$33,MATCH(J$7,坦克属性统计!$B$3:$AY$3,0),FALSE)</f>
        <v>30.7</v>
      </c>
      <c r="K37" s="34">
        <f>VLOOKUP($B37,坦克属性统计!$B$3:$AY$33,MATCH(K$7,坦克属性统计!$B$3:$AY$3,0),FALSE)</f>
        <v>35</v>
      </c>
      <c r="L37" s="34">
        <f>VLOOKUP($B37,坦克属性统计!$B$3:$AY$33,MATCH(L$7,坦克属性统计!$B$3:$AY$3,0),FALSE)</f>
        <v>6.3</v>
      </c>
      <c r="M37" s="33">
        <f>VLOOKUP($B37,坦克属性统计!$B$3:$AY$33,MATCH(M$7,坦克属性统计!$B$3:$AY$3,0),FALSE)</f>
        <v>1</v>
      </c>
      <c r="N37" s="34">
        <f>VLOOKUP($B37,坦克属性统计!$B$3:$AY$33,MATCH(N$7,坦克属性统计!$B$3:$AY$3,0),FALSE)</f>
        <v>6</v>
      </c>
      <c r="O37" s="34">
        <f>VLOOKUP($B37,坦克属性统计!$B$3:$AY$33,MATCH(O$7,坦克属性统计!$B$3:$AY$3,0),FALSE)</f>
        <v>0</v>
      </c>
      <c r="P37" s="34">
        <f>VLOOKUP($B37,坦克属性统计!$B$3:$AY$33,MATCH(P$7,坦克属性统计!$B$3:$AY$3,0),FALSE)</f>
        <v>3</v>
      </c>
      <c r="Q37" s="42" t="e">
        <f ca="1">VLOOKUP($B37,坦克属性统计!$B$3:$AY$33,MATCH(Q$7,坦克属性统计!$B$3:$AY$3,0),FALSE)*(1+W37/Z37)</f>
        <v>#N/A</v>
      </c>
      <c r="R37" s="42" t="e">
        <f ca="1">VLOOKUP($B37,坦克属性统计!$B$3:$AY$33,MATCH(R$7,坦克属性统计!$B$3:$AY$3,0),FALSE)*(1+X37/AA37)</f>
        <v>#N/A</v>
      </c>
      <c r="S37" s="33">
        <f ca="1">VLOOKUP($B37,坦克属性统计!$B$3:$AY$33,MATCH(S$7,坦克属性统计!$B$3:$AY$3,0),FALSE)</f>
        <v>317</v>
      </c>
      <c r="T37" s="33">
        <f ca="1">VLOOKUP($B37,坦克属性统计!$B$3:$AY$33,MATCH(T$7,坦克属性统计!$B$3:$AY$3,0),FALSE)</f>
        <v>792</v>
      </c>
      <c r="U37" s="42" t="e">
        <f ca="1">VLOOKUP($B37,坦克属性统计!$B$3:$AY$33,MATCH(U$7,坦克属性统计!$B$3:$AY$3,0),FALSE)*(1+Y37/AB37)</f>
        <v>#N/A</v>
      </c>
      <c r="V37" s="33">
        <f ca="1">VLOOKUP($B37,坦克属性统计!$B$3:$AY$33,MATCH(V$7,坦克属性统计!$B$3:$AY$3,0),FALSE)</f>
        <v>229</v>
      </c>
      <c r="W37" s="33">
        <f>VLOOKUP($B37,坦克属性统计!$B$3:$AY$33,MATCH(W$7,坦克属性统计!$B$3:$AY$3,0),FALSE)</f>
        <v>0</v>
      </c>
      <c r="X37" s="33">
        <f>VLOOKUP($B37,坦克属性统计!$B$3:$AY$33,MATCH(X$7,坦克属性统计!$B$3:$AY$3,0),FALSE)</f>
        <v>0</v>
      </c>
      <c r="Y37" s="33">
        <f>VLOOKUP($B37,坦克属性统计!$B$3:$AY$33,MATCH(Y$7,坦克属性统计!$B$3:$AY$3,0),FALSE)</f>
        <v>0</v>
      </c>
      <c r="Z37" s="33" t="e">
        <f>VLOOKUP(B37,坦克部件!$AL$3:$AS$33,MATCH("基础系数",坦克部件!$AL$3:$AS$3,0),FALSE)</f>
        <v>#N/A</v>
      </c>
      <c r="AA37" s="33" t="e">
        <f t="shared" si="1"/>
        <v>#N/A</v>
      </c>
      <c r="AB37" s="33" t="e">
        <f t="shared" si="1"/>
        <v>#N/A</v>
      </c>
      <c r="AC37" s="34">
        <f t="shared" si="9"/>
        <v>11</v>
      </c>
      <c r="AD37" s="34" t="s">
        <v>624</v>
      </c>
      <c r="AE37" s="132"/>
      <c r="AF37" s="42" t="e">
        <f t="shared" ca="1" si="10"/>
        <v>#N/A</v>
      </c>
      <c r="AG37" s="42" t="e">
        <f t="shared" ca="1" si="11"/>
        <v>#N/A</v>
      </c>
      <c r="AI37" s="1" t="e">
        <f t="shared" ca="1" si="12"/>
        <v>#N/A</v>
      </c>
      <c r="AJ37" s="1" t="e">
        <f t="shared" ca="1" si="13"/>
        <v>#N/A</v>
      </c>
      <c r="AK37" s="1" t="e">
        <f t="shared" ca="1" si="14"/>
        <v>#N/A</v>
      </c>
      <c r="AL37" s="1" t="e">
        <f t="shared" ca="1" si="15"/>
        <v>#N/A</v>
      </c>
      <c r="AM37" s="1" t="e">
        <f t="shared" ca="1" si="16"/>
        <v>#N/A</v>
      </c>
      <c r="AN37" s="1" t="e">
        <f t="shared" ca="1" si="17"/>
        <v>#N/A</v>
      </c>
    </row>
    <row r="38" spans="2:40" x14ac:dyDescent="0.3">
      <c r="AC38" s="34"/>
      <c r="AF38" s="42"/>
    </row>
    <row r="39" spans="2:40" x14ac:dyDescent="0.3">
      <c r="B39" s="351" t="s">
        <v>1672</v>
      </c>
      <c r="C39" s="351"/>
      <c r="D39" s="351"/>
      <c r="E39" s="351"/>
      <c r="F39" s="351"/>
      <c r="G39" s="351"/>
      <c r="H39" s="351"/>
      <c r="I39" s="351"/>
      <c r="J39" s="351"/>
      <c r="K39" s="351"/>
      <c r="L39" s="351"/>
      <c r="M39" s="351"/>
      <c r="N39" s="351"/>
      <c r="O39" s="351"/>
      <c r="P39" s="351"/>
      <c r="Q39" s="351"/>
    </row>
    <row r="40" spans="2:40" x14ac:dyDescent="0.3">
      <c r="B40" s="2" t="s">
        <v>599</v>
      </c>
      <c r="C40" s="2" t="s">
        <v>1098</v>
      </c>
      <c r="D40" s="2" t="s">
        <v>602</v>
      </c>
      <c r="E40" s="2" t="s">
        <v>775</v>
      </c>
      <c r="F40" s="2" t="s">
        <v>594</v>
      </c>
      <c r="G40" s="2" t="s">
        <v>90</v>
      </c>
      <c r="H40" s="2" t="s">
        <v>86</v>
      </c>
      <c r="I40" s="2" t="s">
        <v>88</v>
      </c>
      <c r="J40" s="2" t="s">
        <v>89</v>
      </c>
      <c r="K40" s="2" t="s">
        <v>1669</v>
      </c>
      <c r="L40" s="2" t="s">
        <v>759</v>
      </c>
      <c r="M40" s="2" t="s">
        <v>760</v>
      </c>
      <c r="N40" s="2" t="s">
        <v>761</v>
      </c>
      <c r="O40" s="2" t="s">
        <v>76</v>
      </c>
      <c r="P40" s="2" t="s">
        <v>124</v>
      </c>
      <c r="Q40" s="2" t="s">
        <v>1673</v>
      </c>
    </row>
    <row r="41" spans="2:40" x14ac:dyDescent="0.3">
      <c r="B41" s="2" t="s">
        <v>510</v>
      </c>
      <c r="C41" s="29" t="str">
        <f>VLOOKUP(B41,坦克个性化设定!$B$18:$F$48,5,FALSE)</f>
        <v>轻坦弹夹</v>
      </c>
      <c r="D41" s="2" t="str">
        <f>VLOOKUP(B41,坦克个性化细分!$I$3:$J$33,2,FALSE)</f>
        <v>低</v>
      </c>
      <c r="E41" s="2" t="str">
        <f>VLOOKUP(B41,坦克个性化设定!$B$18:$F$48,MATCH(E$40,坦克个性化设定!$B$18:$F$18,0),FALSE)</f>
        <v>T1</v>
      </c>
      <c r="F41" s="2">
        <f>VLOOKUP(E41&amp;D41,坦克标准养成属性!$H$3:$P$15,MATCH(F$40,坦克标准养成属性!$H$3:$P$3,0),FALSE)</f>
        <v>5</v>
      </c>
      <c r="G41" s="2">
        <f t="shared" ref="G41:G70" si="18">VLOOKUP($B41&amp;$F41,所有坦克升星属性,MATCH(G$40,所有坦克升星属性标头,0),FALSE)</f>
        <v>0.25</v>
      </c>
      <c r="H41" s="2">
        <f>VLOOKUP($B41,坦克个性化设定!$B$51:$T$81,MATCH(H$40,坦克个性化设定!$B$51:$T$51,0),FALSE)</f>
        <v>18</v>
      </c>
      <c r="I41" s="2">
        <f t="shared" ref="I41:J70" si="19">VLOOKUP($B41&amp;$F41,所有坦克升星属性,MATCH(I$40,所有坦克升星属性标头,0),FALSE)</f>
        <v>0</v>
      </c>
      <c r="J41" s="2">
        <f t="shared" si="19"/>
        <v>12.3</v>
      </c>
      <c r="K41" s="34">
        <f>IF(LEN(C41)=5,(60-(H41-1)*G41)/I41+H41,IF(RIGHT(C41,2)="弹夹",((60-(H41-1)*G41)/(J41+(H41-1)*G41)+1)*H41,60/I41+H41))</f>
        <v>78.634441087613283</v>
      </c>
      <c r="L41" s="42">
        <f ca="1">VLOOKUP($B41&amp;"最终",坦克标准养成属性!$S$3:$AE$63,MATCH(L$40,坦克标准养成属性!$S$3:$AE$3,0),FALSE)</f>
        <v>1096.9132349719944</v>
      </c>
      <c r="M41" s="42">
        <f ca="1">VLOOKUP($B41&amp;"最终",坦克标准养成属性!$S$3:$AE$63,MATCH(M$40,坦克标准养成属性!$S$3:$AE$3,0),FALSE)</f>
        <v>73.145790093691474</v>
      </c>
      <c r="N41" s="2">
        <f ca="1">VLOOKUP($B41&amp;"最终",坦克标准养成属性!$S$3:$AE$63,MATCH(N$40,坦克标准养成属性!$S$3:$AE$3,0),FALSE)</f>
        <v>427</v>
      </c>
      <c r="O41" s="2">
        <f ca="1">VLOOKUP($B41&amp;"最终",坦克标准养成属性!$S$3:$AE$63,MATCH(O$40,坦克标准养成属性!$S$3:$AE$3,0),FALSE)</f>
        <v>171</v>
      </c>
      <c r="P41" s="2">
        <f ca="1">VLOOKUP($B41&amp;"最终",坦克标准养成属性!$S$3:$AE$63,MATCH(P$40,坦克标准养成属性!$S$3:$AE$3,0),FALSE)</f>
        <v>390</v>
      </c>
      <c r="Q41" s="42">
        <f ca="1">POWER(POWER(M41*L41*K41*AVERAGE(N41:O41)*P41,0.25),$C$2)*$C$3</f>
        <v>1213.9364236762522</v>
      </c>
    </row>
    <row r="42" spans="2:40" x14ac:dyDescent="0.3">
      <c r="B42" s="2" t="s">
        <v>516</v>
      </c>
      <c r="C42" s="29" t="str">
        <f>VLOOKUP(B42,坦克个性化设定!$B$18:$F$48,5,FALSE)</f>
        <v>轻坦弹夹</v>
      </c>
      <c r="D42" s="2" t="str">
        <f>VLOOKUP(B42,坦克个性化细分!$I$3:$J$33,2,FALSE)</f>
        <v>低</v>
      </c>
      <c r="E42" s="2" t="str">
        <f>VLOOKUP(B42,坦克个性化设定!$B$18:$F$48,MATCH(E$40,坦克个性化设定!$B$18:$F$18,0),FALSE)</f>
        <v>T2</v>
      </c>
      <c r="F42" s="2">
        <f>VLOOKUP(E42&amp;D42,坦克标准养成属性!$H$3:$P$15,MATCH(F$40,坦克标准养成属性!$H$3:$P$3,0),FALSE)</f>
        <v>7</v>
      </c>
      <c r="G42" s="2">
        <f t="shared" si="18"/>
        <v>0.6</v>
      </c>
      <c r="H42" s="2">
        <f>VLOOKUP($B42,坦克个性化设定!$B$51:$T$81,MATCH(H$40,坦克个性化设定!$B$51:$T$51,0),FALSE)</f>
        <v>20</v>
      </c>
      <c r="I42" s="2">
        <f t="shared" si="19"/>
        <v>0</v>
      </c>
      <c r="J42" s="2">
        <f t="shared" si="19"/>
        <v>7.1</v>
      </c>
      <c r="K42" s="34">
        <f t="shared" ref="K42:K70" si="20">IF(LEN(C42)=5,(60-(H42-1)*G42)/I42+H42,IF(RIGHT(C42,2)="弹夹",((60-(H42-1)*G42)/(J42+(H42-1)*G42)+1)*H42,60/I42+H42))</f>
        <v>72.540540540540547</v>
      </c>
      <c r="L42" s="42">
        <f ca="1">VLOOKUP($B42&amp;"最终",坦克标准养成属性!$S$3:$AE$63,MATCH(L$40,坦克标准养成属性!$S$3:$AE$3,0),FALSE)</f>
        <v>1217.1343340133149</v>
      </c>
      <c r="M42" s="42">
        <f ca="1">VLOOKUP($B42&amp;"最终",坦克标准养成属性!$S$3:$AE$63,MATCH(M$40,坦克标准养成属性!$S$3:$AE$3,0),FALSE)</f>
        <v>105.7390532119893</v>
      </c>
      <c r="N42" s="2">
        <f ca="1">VLOOKUP($B42&amp;"最终",坦克标准养成属性!$S$3:$AE$63,MATCH(N$40,坦克标准养成属性!$S$3:$AE$3,0),FALSE)</f>
        <v>559</v>
      </c>
      <c r="O42" s="2">
        <f ca="1">VLOOKUP($B42&amp;"最终",坦克标准养成属性!$S$3:$AE$63,MATCH(O$40,坦克标准养成属性!$S$3:$AE$3,0),FALSE)</f>
        <v>223</v>
      </c>
      <c r="P42" s="2">
        <f ca="1">VLOOKUP($B42&amp;"最终",坦克标准养成属性!$S$3:$AE$63,MATCH(P$40,坦克标准养成属性!$S$3:$AE$3,0),FALSE)</f>
        <v>510</v>
      </c>
      <c r="Q42" s="42">
        <f t="shared" ref="Q42:Q70" ca="1" si="21">POWER(POWER(M42*L42*K42*AVERAGE(N42:O42)*P42,0.25),$C$2)*$C$3</f>
        <v>1660.6306660485259</v>
      </c>
    </row>
    <row r="43" spans="2:40" x14ac:dyDescent="0.3">
      <c r="B43" s="2" t="s">
        <v>607</v>
      </c>
      <c r="C43" s="29" t="str">
        <f>VLOOKUP(B43,坦克个性化设定!$B$18:$F$48,5,FALSE)</f>
        <v>轻坦弹夹</v>
      </c>
      <c r="D43" s="2" t="str">
        <f>VLOOKUP(B43,坦克个性化细分!$I$3:$J$33,2,FALSE)</f>
        <v>中</v>
      </c>
      <c r="E43" s="2" t="str">
        <f>VLOOKUP(B43,坦克个性化设定!$B$18:$F$48,MATCH(E$40,坦克个性化设定!$B$18:$F$18,0),FALSE)</f>
        <v>T2</v>
      </c>
      <c r="F43" s="2">
        <f>VLOOKUP(E43&amp;D43,坦克标准养成属性!$H$3:$P$15,MATCH(F$40,坦克标准养成属性!$H$3:$P$3,0),FALSE)</f>
        <v>7</v>
      </c>
      <c r="G43" s="2">
        <f t="shared" si="18"/>
        <v>0.8</v>
      </c>
      <c r="H43" s="2">
        <f>VLOOKUP($B43,坦克个性化设定!$B$51:$T$81,MATCH(H$40,坦克个性化设定!$B$51:$T$51,0),FALSE)</f>
        <v>9</v>
      </c>
      <c r="I43" s="2">
        <f t="shared" si="19"/>
        <v>0</v>
      </c>
      <c r="J43" s="2">
        <f t="shared" si="19"/>
        <v>3</v>
      </c>
      <c r="K43" s="34">
        <f t="shared" si="20"/>
        <v>60.319148936170208</v>
      </c>
      <c r="L43" s="42">
        <f ca="1">VLOOKUP($B43&amp;"最终",坦克标准养成属性!$S$3:$AE$63,MATCH(L$40,坦克标准养成属性!$S$3:$AE$3,0),FALSE)</f>
        <v>1519.9332579392922</v>
      </c>
      <c r="M43" s="42">
        <f ca="1">VLOOKUP($B43&amp;"最终",坦克标准养成属性!$S$3:$AE$63,MATCH(M$40,坦克标准养成属性!$S$3:$AE$3,0),FALSE)</f>
        <v>124.63553312910116</v>
      </c>
      <c r="N43" s="2">
        <f ca="1">VLOOKUP($B43&amp;"最终",坦克标准养成属性!$S$3:$AE$63,MATCH(N$40,坦克标准养成属性!$S$3:$AE$3,0),FALSE)</f>
        <v>578</v>
      </c>
      <c r="O43" s="2">
        <f ca="1">VLOOKUP($B43&amp;"最终",坦克标准养成属性!$S$3:$AE$63,MATCH(O$40,坦克标准养成属性!$S$3:$AE$3,0),FALSE)</f>
        <v>231</v>
      </c>
      <c r="P43" s="2">
        <f ca="1">VLOOKUP($B43&amp;"最终",坦克标准养成属性!$S$3:$AE$63,MATCH(P$40,坦克标准养成属性!$S$3:$AE$3,0),FALSE)</f>
        <v>528</v>
      </c>
      <c r="Q43" s="42">
        <f t="shared" ca="1" si="21"/>
        <v>1819.5070265249199</v>
      </c>
    </row>
    <row r="44" spans="2:40" x14ac:dyDescent="0.3">
      <c r="B44" s="2" t="s">
        <v>522</v>
      </c>
      <c r="C44" s="29" t="str">
        <f>VLOOKUP(B44,坦克个性化设定!$B$18:$F$48,5,FALSE)</f>
        <v>轻坦弹夹</v>
      </c>
      <c r="D44" s="2" t="str">
        <f>VLOOKUP(B44,坦克个性化细分!$I$3:$J$33,2,FALSE)</f>
        <v>低</v>
      </c>
      <c r="E44" s="2" t="str">
        <f>VLOOKUP(B44,坦克个性化设定!$B$18:$F$48,MATCH(E$40,坦克个性化设定!$B$18:$F$18,0),FALSE)</f>
        <v>T3</v>
      </c>
      <c r="F44" s="2">
        <f>VLOOKUP(E44&amp;D44,坦克标准养成属性!$H$3:$P$15,MATCH(F$40,坦克标准养成属性!$H$3:$P$3,0),FALSE)</f>
        <v>9</v>
      </c>
      <c r="G44" s="2">
        <f t="shared" si="18"/>
        <v>0.8</v>
      </c>
      <c r="H44" s="2">
        <f>VLOOKUP($B44,坦克个性化设定!$B$51:$T$81,MATCH(H$40,坦克个性化设定!$B$51:$T$51,0),FALSE)</f>
        <v>14</v>
      </c>
      <c r="I44" s="2">
        <f t="shared" si="19"/>
        <v>0</v>
      </c>
      <c r="J44" s="2">
        <f t="shared" si="19"/>
        <v>6.3</v>
      </c>
      <c r="K44" s="34">
        <f t="shared" si="20"/>
        <v>55.580838323353298</v>
      </c>
      <c r="L44" s="42">
        <f ca="1">VLOOKUP($B44&amp;"最终",坦克标准养成属性!$S$3:$AE$63,MATCH(L$40,坦克标准养成属性!$S$3:$AE$3,0),FALSE)</f>
        <v>1724.1746625470419</v>
      </c>
      <c r="M44" s="42">
        <f ca="1">VLOOKUP($B44&amp;"最终",坦克标准养成属性!$S$3:$AE$63,MATCH(M$40,坦克标准养成属性!$S$3:$AE$3,0),FALSE)</f>
        <v>152.89500841474208</v>
      </c>
      <c r="N44" s="2">
        <f ca="1">VLOOKUP($B44&amp;"最终",坦克标准养成属性!$S$3:$AE$63,MATCH(N$40,坦克标准养成属性!$S$3:$AE$3,0),FALSE)</f>
        <v>713</v>
      </c>
      <c r="O44" s="2">
        <f ca="1">VLOOKUP($B44&amp;"最终",坦克标准养成属性!$S$3:$AE$63,MATCH(O$40,坦克标准养成属性!$S$3:$AE$3,0),FALSE)</f>
        <v>285</v>
      </c>
      <c r="P44" s="2">
        <f ca="1">VLOOKUP($B44&amp;"最终",坦克标准养成属性!$S$3:$AE$63,MATCH(P$40,坦克标准养成属性!$S$3:$AE$3,0),FALSE)</f>
        <v>651</v>
      </c>
      <c r="Q44" s="42">
        <f t="shared" ca="1" si="21"/>
        <v>2279.6328082675313</v>
      </c>
    </row>
    <row r="45" spans="2:40" x14ac:dyDescent="0.3">
      <c r="B45" s="2" t="s">
        <v>611</v>
      </c>
      <c r="C45" s="29" t="str">
        <f>VLOOKUP(B45,坦克个性化设定!$B$18:$F$48,5,FALSE)</f>
        <v>轻坦弹夹</v>
      </c>
      <c r="D45" s="2" t="str">
        <f>VLOOKUP(B45,坦克个性化细分!$I$3:$J$33,2,FALSE)</f>
        <v>中</v>
      </c>
      <c r="E45" s="2" t="str">
        <f>VLOOKUP(B45,坦克个性化设定!$B$18:$F$48,MATCH(E$40,坦克个性化设定!$B$18:$F$18,0),FALSE)</f>
        <v>T3</v>
      </c>
      <c r="F45" s="2">
        <f>VLOOKUP(E45&amp;D45,坦克标准养成属性!$H$3:$P$15,MATCH(F$40,坦克标准养成属性!$H$3:$P$3,0),FALSE)</f>
        <v>9</v>
      </c>
      <c r="G45" s="2">
        <f t="shared" si="18"/>
        <v>0.6</v>
      </c>
      <c r="H45" s="2">
        <f>VLOOKUP($B45,坦克个性化设定!$B$51:$T$81,MATCH(H$40,坦克个性化设定!$B$51:$T$51,0),FALSE)</f>
        <v>18</v>
      </c>
      <c r="I45" s="2">
        <f t="shared" si="19"/>
        <v>0</v>
      </c>
      <c r="J45" s="2">
        <f t="shared" si="19"/>
        <v>8.5</v>
      </c>
      <c r="K45" s="34">
        <f t="shared" si="20"/>
        <v>65.935828877005349</v>
      </c>
      <c r="L45" s="42">
        <f ca="1">VLOOKUP($B45&amp;"最终",坦克标准养成属性!$S$3:$AE$63,MATCH(L$40,坦克标准养成属性!$S$3:$AE$3,0),FALSE)</f>
        <v>1870.7019561522959</v>
      </c>
      <c r="M45" s="42">
        <f ca="1">VLOOKUP($B45&amp;"最终",坦克标准养成属性!$S$3:$AE$63,MATCH(M$40,坦克标准养成属性!$S$3:$AE$3,0),FALSE)</f>
        <v>106.67982222200082</v>
      </c>
      <c r="N45" s="2">
        <f ca="1">VLOOKUP($B45&amp;"最终",坦克标准养成属性!$S$3:$AE$63,MATCH(N$40,坦克标准养成属性!$S$3:$AE$3,0),FALSE)</f>
        <v>749</v>
      </c>
      <c r="O45" s="2">
        <f ca="1">VLOOKUP($B45&amp;"最终",坦克标准养成属性!$S$3:$AE$63,MATCH(O$40,坦克标准养成属性!$S$3:$AE$3,0),FALSE)</f>
        <v>300</v>
      </c>
      <c r="P45" s="2">
        <f ca="1">VLOOKUP($B45&amp;"最终",坦克标准养成属性!$S$3:$AE$63,MATCH(P$40,坦克标准养成属性!$S$3:$AE$3,0),FALSE)</f>
        <v>684</v>
      </c>
      <c r="Q45" s="42">
        <f t="shared" ca="1" si="21"/>
        <v>2273.3149263968094</v>
      </c>
    </row>
    <row r="46" spans="2:40" x14ac:dyDescent="0.3">
      <c r="B46" s="2" t="s">
        <v>613</v>
      </c>
      <c r="C46" s="29" t="str">
        <f>VLOOKUP(B46,坦克个性化设定!$B$18:$F$48,5,FALSE)</f>
        <v>轻坦弹夹</v>
      </c>
      <c r="D46" s="2" t="str">
        <f>VLOOKUP(B46,坦克个性化细分!$I$3:$J$33,2,FALSE)</f>
        <v>高</v>
      </c>
      <c r="E46" s="2" t="str">
        <f>VLOOKUP(B46,坦克个性化设定!$B$18:$F$48,MATCH(E$40,坦克个性化设定!$B$18:$F$18,0),FALSE)</f>
        <v>T3</v>
      </c>
      <c r="F46" s="2">
        <f>VLOOKUP(E46&amp;D46,坦克标准养成属性!$H$3:$P$15,MATCH(F$40,坦克标准养成属性!$H$3:$P$3,0),FALSE)</f>
        <v>9</v>
      </c>
      <c r="G46" s="2">
        <f t="shared" si="18"/>
        <v>0.8</v>
      </c>
      <c r="H46" s="2">
        <f>VLOOKUP($B46,坦克个性化设定!$B$51:$T$81,MATCH(H$40,坦克个性化设定!$B$51:$T$51,0),FALSE)</f>
        <v>14</v>
      </c>
      <c r="I46" s="2">
        <f t="shared" si="19"/>
        <v>0</v>
      </c>
      <c r="J46" s="2">
        <f t="shared" si="19"/>
        <v>6.3</v>
      </c>
      <c r="K46" s="34">
        <f t="shared" si="20"/>
        <v>55.580838323353298</v>
      </c>
      <c r="L46" s="42">
        <f ca="1">VLOOKUP($B46&amp;"最终",坦克标准养成属性!$S$3:$AE$63,MATCH(L$40,坦克标准养成属性!$S$3:$AE$3,0),FALSE)</f>
        <v>1729.9308499309877</v>
      </c>
      <c r="M46" s="42">
        <f ca="1">VLOOKUP($B46&amp;"最终",坦克标准养成属性!$S$3:$AE$63,MATCH(M$40,坦克标准养成属性!$S$3:$AE$3,0),FALSE)</f>
        <v>149.97291294555421</v>
      </c>
      <c r="N46" s="2">
        <f ca="1">VLOOKUP($B46&amp;"最终",坦克标准养成属性!$S$3:$AE$63,MATCH(N$40,坦克标准养成属性!$S$3:$AE$3,0),FALSE)</f>
        <v>766</v>
      </c>
      <c r="O46" s="2">
        <f ca="1">VLOOKUP($B46&amp;"最终",坦克标准养成属性!$S$3:$AE$63,MATCH(O$40,坦克标准养成属性!$S$3:$AE$3,0),FALSE)</f>
        <v>306</v>
      </c>
      <c r="P46" s="2">
        <f ca="1">VLOOKUP($B46&amp;"最终",坦克标准养成属性!$S$3:$AE$63,MATCH(P$40,坦克标准养成属性!$S$3:$AE$3,0),FALSE)</f>
        <v>699</v>
      </c>
      <c r="Q46" s="42">
        <f t="shared" ca="1" si="21"/>
        <v>2379.231265469632</v>
      </c>
    </row>
    <row r="47" spans="2:40" x14ac:dyDescent="0.3">
      <c r="B47" s="2" t="s">
        <v>615</v>
      </c>
      <c r="C47" s="29" t="str">
        <f>VLOOKUP(B47,坦克个性化设定!$B$18:$F$48,5,FALSE)</f>
        <v>轻坦弹夹</v>
      </c>
      <c r="D47" s="2" t="str">
        <f>VLOOKUP(B47,坦克个性化细分!$I$3:$J$33,2,FALSE)</f>
        <v>低</v>
      </c>
      <c r="E47" s="2" t="str">
        <f>VLOOKUP(B47,坦克个性化设定!$B$18:$F$48,MATCH(E$40,坦克个性化设定!$B$18:$F$18,0),FALSE)</f>
        <v>T4</v>
      </c>
      <c r="F47" s="2">
        <f>VLOOKUP(E47&amp;D47,坦克标准养成属性!$H$3:$P$15,MATCH(F$40,坦克标准养成属性!$H$3:$P$3,0),FALSE)</f>
        <v>11</v>
      </c>
      <c r="G47" s="2">
        <f t="shared" si="18"/>
        <v>0.6</v>
      </c>
      <c r="H47" s="2">
        <f>VLOOKUP($B47,坦克个性化设定!$B$51:$T$81,MATCH(H$40,坦克个性化设定!$B$51:$T$51,0),FALSE)</f>
        <v>14</v>
      </c>
      <c r="I47" s="2">
        <f t="shared" si="19"/>
        <v>0</v>
      </c>
      <c r="J47" s="2">
        <f t="shared" si="19"/>
        <v>6.9</v>
      </c>
      <c r="K47" s="34">
        <f t="shared" si="20"/>
        <v>63.714285714285722</v>
      </c>
      <c r="L47" s="42" t="e">
        <f ca="1">VLOOKUP($B47&amp;"最终",坦克标准养成属性!$S$3:$AE$63,MATCH(L$40,坦克标准养成属性!$S$3:$AE$3,0),FALSE)</f>
        <v>#N/A</v>
      </c>
      <c r="M47" s="42" t="e">
        <f ca="1">VLOOKUP($B47&amp;"最终",坦克标准养成属性!$S$3:$AE$63,MATCH(M$40,坦克标准养成属性!$S$3:$AE$3,0),FALSE)</f>
        <v>#N/A</v>
      </c>
      <c r="N47" s="2" t="e">
        <f ca="1">VLOOKUP($B47&amp;"最终",坦克标准养成属性!$S$3:$AE$63,MATCH(N$40,坦克标准养成属性!$S$3:$AE$3,0),FALSE)</f>
        <v>#N/A</v>
      </c>
      <c r="O47" s="2" t="e">
        <f ca="1">VLOOKUP($B47&amp;"最终",坦克标准养成属性!$S$3:$AE$63,MATCH(O$40,坦克标准养成属性!$S$3:$AE$3,0),FALSE)</f>
        <v>#N/A</v>
      </c>
      <c r="P47" s="2" t="e">
        <f ca="1">VLOOKUP($B47&amp;"最终",坦克标准养成属性!$S$3:$AE$63,MATCH(P$40,坦克标准养成属性!$S$3:$AE$3,0),FALSE)</f>
        <v>#N/A</v>
      </c>
      <c r="Q47" s="42" t="e">
        <f t="shared" ca="1" si="21"/>
        <v>#N/A</v>
      </c>
    </row>
    <row r="48" spans="2:40" x14ac:dyDescent="0.3">
      <c r="B48" s="2" t="s">
        <v>618</v>
      </c>
      <c r="C48" s="29" t="str">
        <f>VLOOKUP(B48,坦克个性化设定!$B$18:$F$48,5,FALSE)</f>
        <v>轻坦弹夹</v>
      </c>
      <c r="D48" s="2" t="str">
        <f>VLOOKUP(B48,坦克个性化细分!$I$3:$J$33,2,FALSE)</f>
        <v>中</v>
      </c>
      <c r="E48" s="2" t="str">
        <f>VLOOKUP(B48,坦克个性化设定!$B$18:$F$48,MATCH(E$40,坦克个性化设定!$B$18:$F$18,0),FALSE)</f>
        <v>T4</v>
      </c>
      <c r="F48" s="2">
        <f>VLOOKUP(E48&amp;D48,坦克标准养成属性!$H$3:$P$15,MATCH(F$40,坦克标准养成属性!$H$3:$P$3,0),FALSE)</f>
        <v>11</v>
      </c>
      <c r="G48" s="2">
        <f t="shared" si="18"/>
        <v>0.8</v>
      </c>
      <c r="H48" s="2">
        <f>VLOOKUP($B48,坦克个性化设定!$B$51:$T$81,MATCH(H$40,坦克个性化设定!$B$51:$T$51,0),FALSE)</f>
        <v>18</v>
      </c>
      <c r="I48" s="2">
        <f t="shared" si="19"/>
        <v>0</v>
      </c>
      <c r="J48" s="2">
        <f t="shared" si="19"/>
        <v>7.6</v>
      </c>
      <c r="K48" s="34">
        <f t="shared" si="20"/>
        <v>57.396226415094333</v>
      </c>
      <c r="L48" s="42" t="e">
        <f ca="1">VLOOKUP($B48&amp;"最终",坦克标准养成属性!$S$3:$AE$63,MATCH(L$40,坦克标准养成属性!$S$3:$AE$3,0),FALSE)</f>
        <v>#N/A</v>
      </c>
      <c r="M48" s="42" t="e">
        <f ca="1">VLOOKUP($B48&amp;"最终",坦克标准养成属性!$S$3:$AE$63,MATCH(M$40,坦克标准养成属性!$S$3:$AE$3,0),FALSE)</f>
        <v>#N/A</v>
      </c>
      <c r="N48" s="2" t="e">
        <f ca="1">VLOOKUP($B48&amp;"最终",坦克标准养成属性!$S$3:$AE$63,MATCH(N$40,坦克标准养成属性!$S$3:$AE$3,0),FALSE)</f>
        <v>#N/A</v>
      </c>
      <c r="O48" s="2" t="e">
        <f ca="1">VLOOKUP($B48&amp;"最终",坦克标准养成属性!$S$3:$AE$63,MATCH(O$40,坦克标准养成属性!$S$3:$AE$3,0),FALSE)</f>
        <v>#N/A</v>
      </c>
      <c r="P48" s="2" t="e">
        <f ca="1">VLOOKUP($B48&amp;"最终",坦克标准养成属性!$S$3:$AE$63,MATCH(P$40,坦克标准养成属性!$S$3:$AE$3,0),FALSE)</f>
        <v>#N/A</v>
      </c>
      <c r="Q48" s="42" t="e">
        <f t="shared" ca="1" si="21"/>
        <v>#N/A</v>
      </c>
    </row>
    <row r="49" spans="2:17" x14ac:dyDescent="0.3">
      <c r="B49" s="2" t="s">
        <v>620</v>
      </c>
      <c r="C49" s="29" t="str">
        <f>VLOOKUP(B49,坦克个性化设定!$B$18:$F$48,5,FALSE)</f>
        <v>轻坦弹夹</v>
      </c>
      <c r="D49" s="2" t="str">
        <f>VLOOKUP(B49,坦克个性化细分!$I$3:$J$33,2,FALSE)</f>
        <v>高</v>
      </c>
      <c r="E49" s="2" t="str">
        <f>VLOOKUP(B49,坦克个性化设定!$B$18:$F$48,MATCH(E$40,坦克个性化设定!$B$18:$F$18,0),FALSE)</f>
        <v>T4</v>
      </c>
      <c r="F49" s="2">
        <f>VLOOKUP(E49&amp;D49,坦克标准养成属性!$H$3:$P$15,MATCH(F$40,坦克标准养成属性!$H$3:$P$3,0),FALSE)</f>
        <v>11</v>
      </c>
      <c r="G49" s="2">
        <f t="shared" si="18"/>
        <v>0.8</v>
      </c>
      <c r="H49" s="2">
        <f>VLOOKUP($B49,坦克个性化设定!$B$51:$T$81,MATCH(H$40,坦克个性化设定!$B$51:$T$51,0),FALSE)</f>
        <v>9</v>
      </c>
      <c r="I49" s="2">
        <f t="shared" si="19"/>
        <v>0</v>
      </c>
      <c r="J49" s="2">
        <f t="shared" si="19"/>
        <v>4.3</v>
      </c>
      <c r="K49" s="34">
        <f t="shared" si="20"/>
        <v>54.084112149532714</v>
      </c>
      <c r="L49" s="42" t="e">
        <f ca="1">VLOOKUP($B49&amp;"最终",坦克标准养成属性!$S$3:$AE$63,MATCH(L$40,坦克标准养成属性!$S$3:$AE$3,0),FALSE)</f>
        <v>#N/A</v>
      </c>
      <c r="M49" s="42" t="e">
        <f ca="1">VLOOKUP($B49&amp;"最终",坦克标准养成属性!$S$3:$AE$63,MATCH(M$40,坦克标准养成属性!$S$3:$AE$3,0),FALSE)</f>
        <v>#N/A</v>
      </c>
      <c r="N49" s="2" t="e">
        <f ca="1">VLOOKUP($B49&amp;"最终",坦克标准养成属性!$S$3:$AE$63,MATCH(N$40,坦克标准养成属性!$S$3:$AE$3,0),FALSE)</f>
        <v>#N/A</v>
      </c>
      <c r="O49" s="2" t="e">
        <f ca="1">VLOOKUP($B49&amp;"最终",坦克标准养成属性!$S$3:$AE$63,MATCH(O$40,坦克标准养成属性!$S$3:$AE$3,0),FALSE)</f>
        <v>#N/A</v>
      </c>
      <c r="P49" s="2" t="e">
        <f ca="1">VLOOKUP($B49&amp;"最终",坦克标准养成属性!$S$3:$AE$63,MATCH(P$40,坦克标准养成属性!$S$3:$AE$3,0),FALSE)</f>
        <v>#N/A</v>
      </c>
      <c r="Q49" s="42" t="e">
        <f t="shared" ca="1" si="21"/>
        <v>#N/A</v>
      </c>
    </row>
    <row r="50" spans="2:17" x14ac:dyDescent="0.3">
      <c r="B50" s="2" t="s">
        <v>622</v>
      </c>
      <c r="C50" s="29" t="str">
        <f>VLOOKUP(B50,坦克个性化设定!$B$18:$F$48,5,FALSE)</f>
        <v>轻坦弹夹</v>
      </c>
      <c r="D50" s="2" t="str">
        <f>VLOOKUP(B50,坦克个性化细分!$I$3:$J$33,2,FALSE)</f>
        <v>低</v>
      </c>
      <c r="E50" s="2" t="str">
        <f>VLOOKUP(B50,坦克个性化设定!$B$18:$F$48,MATCH(E$40,坦克个性化设定!$B$18:$F$18,0),FALSE)</f>
        <v>T5</v>
      </c>
      <c r="F50" s="2">
        <f>VLOOKUP(E50&amp;D50,坦克标准养成属性!$H$3:$P$15,MATCH(F$40,坦克标准养成属性!$H$3:$P$3,0),FALSE)</f>
        <v>13</v>
      </c>
      <c r="G50" s="2">
        <f t="shared" si="18"/>
        <v>0.8</v>
      </c>
      <c r="H50" s="2">
        <f>VLOOKUP($B50,坦克个性化设定!$B$51:$T$81,MATCH(H$40,坦克个性化设定!$B$51:$T$51,0),FALSE)</f>
        <v>14</v>
      </c>
      <c r="I50" s="2">
        <f t="shared" si="19"/>
        <v>0</v>
      </c>
      <c r="J50" s="2">
        <f t="shared" si="19"/>
        <v>6.3</v>
      </c>
      <c r="K50" s="34">
        <f t="shared" si="20"/>
        <v>55.580838323353298</v>
      </c>
      <c r="L50" s="42" t="e">
        <f ca="1">VLOOKUP($B50&amp;"最终",坦克标准养成属性!$S$3:$AE$63,MATCH(L$40,坦克标准养成属性!$S$3:$AE$3,0),FALSE)</f>
        <v>#N/A</v>
      </c>
      <c r="M50" s="42" t="e">
        <f ca="1">VLOOKUP($B50&amp;"最终",坦克标准养成属性!$S$3:$AE$63,MATCH(M$40,坦克标准养成属性!$S$3:$AE$3,0),FALSE)</f>
        <v>#N/A</v>
      </c>
      <c r="N50" s="2" t="e">
        <f ca="1">VLOOKUP($B50&amp;"最终",坦克标准养成属性!$S$3:$AE$63,MATCH(N$40,坦克标准养成属性!$S$3:$AE$3,0),FALSE)</f>
        <v>#N/A</v>
      </c>
      <c r="O50" s="2" t="e">
        <f ca="1">VLOOKUP($B50&amp;"最终",坦克标准养成属性!$S$3:$AE$63,MATCH(O$40,坦克标准养成属性!$S$3:$AE$3,0),FALSE)</f>
        <v>#N/A</v>
      </c>
      <c r="P50" s="2" t="e">
        <f ca="1">VLOOKUP($B50&amp;"最终",坦克标准养成属性!$S$3:$AE$63,MATCH(P$40,坦克标准养成属性!$S$3:$AE$3,0),FALSE)</f>
        <v>#N/A</v>
      </c>
      <c r="Q50" s="42" t="e">
        <f t="shared" ca="1" si="21"/>
        <v>#N/A</v>
      </c>
    </row>
    <row r="51" spans="2:17" x14ac:dyDescent="0.3">
      <c r="B51" s="2" t="s">
        <v>512</v>
      </c>
      <c r="C51" s="29" t="str">
        <f>VLOOKUP(B51,坦克个性化设定!$B$18:$F$48,5,FALSE)</f>
        <v>中坦自动</v>
      </c>
      <c r="D51" s="2" t="str">
        <f>VLOOKUP(B51,坦克个性化细分!$I$3:$J$33,2,FALSE)</f>
        <v>低</v>
      </c>
      <c r="E51" s="2" t="str">
        <f>VLOOKUP(B51,坦克个性化设定!$B$18:$F$48,MATCH(E$40,坦克个性化设定!$B$18:$F$18,0),FALSE)</f>
        <v>T1</v>
      </c>
      <c r="F51" s="2">
        <f>VLOOKUP(E51&amp;D51,坦克标准养成属性!$H$3:$P$15,MATCH(F$40,坦克标准养成属性!$H$3:$P$3,0),FALSE)</f>
        <v>5</v>
      </c>
      <c r="G51" s="2">
        <f t="shared" si="18"/>
        <v>0.3</v>
      </c>
      <c r="H51" s="2">
        <f>VLOOKUP($B51,坦克个性化设定!$B$51:$T$81,MATCH(H$40,坦克个性化设定!$B$51:$T$51,0),FALSE)</f>
        <v>9</v>
      </c>
      <c r="I51" s="2">
        <f t="shared" si="19"/>
        <v>0</v>
      </c>
      <c r="J51" s="2">
        <f t="shared" si="19"/>
        <v>2.6</v>
      </c>
      <c r="K51" s="34" t="e">
        <f t="shared" si="20"/>
        <v>#DIV/0!</v>
      </c>
      <c r="L51" s="42">
        <f ca="1">VLOOKUP($B51&amp;"最终",坦克标准养成属性!$S$3:$AE$63,MATCH(L$40,坦克标准养成属性!$S$3:$AE$3,0),FALSE)</f>
        <v>1082.3047642126328</v>
      </c>
      <c r="M51" s="42">
        <f ca="1">VLOOKUP($B51&amp;"最终",坦克标准养成属性!$S$3:$AE$63,MATCH(M$40,坦克标准养成属性!$S$3:$AE$3,0),FALSE)</f>
        <v>189.56878578397487</v>
      </c>
      <c r="N51" s="2">
        <f ca="1">VLOOKUP($B51&amp;"最终",坦克标准养成属性!$S$3:$AE$63,MATCH(N$40,坦克标准养成属性!$S$3:$AE$3,0),FALSE)</f>
        <v>427</v>
      </c>
      <c r="O51" s="2">
        <f ca="1">VLOOKUP($B51&amp;"最终",坦克标准养成属性!$S$3:$AE$63,MATCH(O$40,坦克标准养成属性!$S$3:$AE$3,0),FALSE)</f>
        <v>192</v>
      </c>
      <c r="P51" s="2">
        <f ca="1">VLOOKUP($B51&amp;"最终",坦克标准养成属性!$S$3:$AE$63,MATCH(P$40,坦克标准养成属性!$S$3:$AE$3,0),FALSE)</f>
        <v>468</v>
      </c>
      <c r="Q51" s="42" t="e">
        <f t="shared" ca="1" si="21"/>
        <v>#DIV/0!</v>
      </c>
    </row>
    <row r="52" spans="2:17" x14ac:dyDescent="0.3">
      <c r="B52" s="2" t="s">
        <v>518</v>
      </c>
      <c r="C52" s="29" t="str">
        <f>VLOOKUP(B52,坦克个性化设定!$B$18:$F$48,5,FALSE)</f>
        <v>中坦自动</v>
      </c>
      <c r="D52" s="2" t="str">
        <f>VLOOKUP(B52,坦克个性化细分!$I$3:$J$33,2,FALSE)</f>
        <v>低</v>
      </c>
      <c r="E52" s="2" t="str">
        <f>VLOOKUP(B52,坦克个性化设定!$B$18:$F$48,MATCH(E$40,坦克个性化设定!$B$18:$F$18,0),FALSE)</f>
        <v>T2</v>
      </c>
      <c r="F52" s="2">
        <f>VLOOKUP(E52&amp;D52,坦克标准养成属性!$H$3:$P$15,MATCH(F$40,坦克标准养成属性!$H$3:$P$3,0),FALSE)</f>
        <v>7</v>
      </c>
      <c r="G52" s="2">
        <f t="shared" si="18"/>
        <v>1</v>
      </c>
      <c r="H52" s="2">
        <f>VLOOKUP($B52,坦克个性化设定!$B$51:$T$81,MATCH(H$40,坦克个性化设定!$B$51:$T$51,0),FALSE)</f>
        <v>9</v>
      </c>
      <c r="I52" s="2">
        <f t="shared" si="19"/>
        <v>0</v>
      </c>
      <c r="J52" s="2">
        <f t="shared" si="19"/>
        <v>2.6</v>
      </c>
      <c r="K52" s="34" t="e">
        <f t="shared" si="20"/>
        <v>#DIV/0!</v>
      </c>
      <c r="L52" s="42">
        <f ca="1">VLOOKUP($B52&amp;"最终",坦克标准养成属性!$S$3:$AE$63,MATCH(L$40,坦克标准养成属性!$S$3:$AE$3,0),FALSE)</f>
        <v>1281.5321916525384</v>
      </c>
      <c r="M52" s="42">
        <f ca="1">VLOOKUP($B52&amp;"最终",坦克标准养成属性!$S$3:$AE$63,MATCH(M$40,坦克标准养成属性!$S$3:$AE$3,0),FALSE)</f>
        <v>202.12234027478527</v>
      </c>
      <c r="N52" s="2">
        <f ca="1">VLOOKUP($B52&amp;"最终",坦克标准养成属性!$S$3:$AE$63,MATCH(N$40,坦克标准养成属性!$S$3:$AE$3,0),FALSE)</f>
        <v>559</v>
      </c>
      <c r="O52" s="2">
        <f ca="1">VLOOKUP($B52&amp;"最终",坦克标准养成属性!$S$3:$AE$63,MATCH(O$40,坦克标准养成属性!$S$3:$AE$3,0),FALSE)</f>
        <v>251</v>
      </c>
      <c r="P52" s="2">
        <f ca="1">VLOOKUP($B52&amp;"最终",坦克标准养成属性!$S$3:$AE$63,MATCH(P$40,坦克标准养成属性!$S$3:$AE$3,0),FALSE)</f>
        <v>612</v>
      </c>
      <c r="Q52" s="42" t="e">
        <f t="shared" ca="1" si="21"/>
        <v>#DIV/0!</v>
      </c>
    </row>
    <row r="53" spans="2:17" x14ac:dyDescent="0.3">
      <c r="B53" s="2" t="s">
        <v>627</v>
      </c>
      <c r="C53" s="29" t="str">
        <f>VLOOKUP(B53,坦克个性化设定!$B$18:$F$48,5,FALSE)</f>
        <v>中坦自动</v>
      </c>
      <c r="D53" s="2" t="str">
        <f>VLOOKUP(B53,坦克个性化细分!$I$3:$J$33,2,FALSE)</f>
        <v>中</v>
      </c>
      <c r="E53" s="2" t="str">
        <f>VLOOKUP(B53,坦克个性化设定!$B$18:$F$48,MATCH(E$40,坦克个性化设定!$B$18:$F$18,0),FALSE)</f>
        <v>T2</v>
      </c>
      <c r="F53" s="2">
        <f>VLOOKUP(E53&amp;D53,坦克标准养成属性!$H$3:$P$15,MATCH(F$40,坦克标准养成属性!$H$3:$P$3,0),FALSE)</f>
        <v>7</v>
      </c>
      <c r="G53" s="2">
        <f t="shared" si="18"/>
        <v>0.4</v>
      </c>
      <c r="H53" s="2">
        <f>VLOOKUP($B53,坦克个性化设定!$B$51:$T$81,MATCH(H$40,坦克个性化设定!$B$51:$T$51,0),FALSE)</f>
        <v>6</v>
      </c>
      <c r="I53" s="2">
        <f t="shared" si="19"/>
        <v>2.02</v>
      </c>
      <c r="J53" s="2">
        <f t="shared" si="19"/>
        <v>0</v>
      </c>
      <c r="K53" s="34">
        <f t="shared" si="20"/>
        <v>35.702970297029708</v>
      </c>
      <c r="L53" s="42">
        <f ca="1">VLOOKUP($B53&amp;"最终",坦克标准养成属性!$S$3:$AE$63,MATCH(L$40,坦克标准养成属性!$S$3:$AE$3,0),FALSE)</f>
        <v>1419.4017157835306</v>
      </c>
      <c r="M53" s="42">
        <f ca="1">VLOOKUP($B53&amp;"最终",坦克标准养成属性!$S$3:$AE$63,MATCH(M$40,坦克标准养成属性!$S$3:$AE$3,0),FALSE)</f>
        <v>207.2031093132336</v>
      </c>
      <c r="N53" s="2">
        <f ca="1">VLOOKUP($B53&amp;"最终",坦克标准养成属性!$S$3:$AE$63,MATCH(N$40,坦克标准养成属性!$S$3:$AE$3,0),FALSE)</f>
        <v>578</v>
      </c>
      <c r="O53" s="2">
        <f ca="1">VLOOKUP($B53&amp;"最终",坦克标准养成属性!$S$3:$AE$63,MATCH(O$40,坦克标准养成属性!$S$3:$AE$3,0),FALSE)</f>
        <v>260</v>
      </c>
      <c r="P53" s="2">
        <f ca="1">VLOOKUP($B53&amp;"最终",坦克标准养成属性!$S$3:$AE$63,MATCH(P$40,坦克标准养成属性!$S$3:$AE$3,0),FALSE)</f>
        <v>634</v>
      </c>
      <c r="Q53" s="42">
        <f t="shared" ca="1" si="21"/>
        <v>1903.44621221738</v>
      </c>
    </row>
    <row r="54" spans="2:17" x14ac:dyDescent="0.3">
      <c r="B54" s="2" t="s">
        <v>526</v>
      </c>
      <c r="C54" s="29" t="str">
        <f>VLOOKUP(B54,坦克个性化设定!$B$18:$F$48,5,FALSE)</f>
        <v>中坦自动</v>
      </c>
      <c r="D54" s="2" t="str">
        <f>VLOOKUP(B54,坦克个性化细分!$I$3:$J$33,2,FALSE)</f>
        <v>低</v>
      </c>
      <c r="E54" s="2" t="str">
        <f>VLOOKUP(B54,坦克个性化设定!$B$18:$F$48,MATCH(E$40,坦克个性化设定!$B$18:$F$18,0),FALSE)</f>
        <v>T3</v>
      </c>
      <c r="F54" s="2">
        <f>VLOOKUP(E54&amp;D54,坦克标准养成属性!$H$3:$P$15,MATCH(F$40,坦克标准养成属性!$H$3:$P$3,0),FALSE)</f>
        <v>9</v>
      </c>
      <c r="G54" s="2">
        <f t="shared" si="18"/>
        <v>0.6</v>
      </c>
      <c r="H54" s="2">
        <f>VLOOKUP($B54,坦克个性化设定!$B$51:$T$81,MATCH(H$40,坦克个性化设定!$B$51:$T$51,0),FALSE)</f>
        <v>9</v>
      </c>
      <c r="I54" s="2">
        <f t="shared" si="19"/>
        <v>0</v>
      </c>
      <c r="J54" s="2">
        <f t="shared" si="19"/>
        <v>2.6</v>
      </c>
      <c r="K54" s="34" t="e">
        <f t="shared" si="20"/>
        <v>#DIV/0!</v>
      </c>
      <c r="L54" s="42">
        <f ca="1">VLOOKUP($B54&amp;"最终",坦克标准养成属性!$S$3:$AE$63,MATCH(L$40,坦克标准养成属性!$S$3:$AE$3,0),FALSE)</f>
        <v>1697.6241611683129</v>
      </c>
      <c r="M54" s="42">
        <f ca="1">VLOOKUP($B54&amp;"最终",坦克标准养成属性!$S$3:$AE$63,MATCH(M$40,坦克标准养成属性!$S$3:$AE$3,0),FALSE)</f>
        <v>252.63542414761744</v>
      </c>
      <c r="N54" s="2">
        <f ca="1">VLOOKUP($B54&amp;"最终",坦克标准养成属性!$S$3:$AE$63,MATCH(N$40,坦克标准养成属性!$S$3:$AE$3,0),FALSE)</f>
        <v>713</v>
      </c>
      <c r="O54" s="2">
        <f ca="1">VLOOKUP($B54&amp;"最终",坦克标准养成属性!$S$3:$AE$63,MATCH(O$40,坦克标准养成属性!$S$3:$AE$3,0),FALSE)</f>
        <v>321</v>
      </c>
      <c r="P54" s="2">
        <f ca="1">VLOOKUP($B54&amp;"最终",坦克标准养成属性!$S$3:$AE$63,MATCH(P$40,坦克标准养成属性!$S$3:$AE$3,0),FALSE)</f>
        <v>781</v>
      </c>
      <c r="Q54" s="42" t="e">
        <f t="shared" ca="1" si="21"/>
        <v>#DIV/0!</v>
      </c>
    </row>
    <row r="55" spans="2:17" x14ac:dyDescent="0.3">
      <c r="B55" s="2" t="s">
        <v>630</v>
      </c>
      <c r="C55" s="29" t="str">
        <f>VLOOKUP(B55,坦克个性化设定!$B$18:$F$48,5,FALSE)</f>
        <v>中坦自动</v>
      </c>
      <c r="D55" s="2" t="str">
        <f>VLOOKUP(B55,坦克个性化细分!$I$3:$J$33,2,FALSE)</f>
        <v>中</v>
      </c>
      <c r="E55" s="2" t="str">
        <f>VLOOKUP(B55,坦克个性化设定!$B$18:$F$48,MATCH(E$40,坦克个性化设定!$B$18:$F$18,0),FALSE)</f>
        <v>T3</v>
      </c>
      <c r="F55" s="2">
        <f>VLOOKUP(E55&amp;D55,坦克标准养成属性!$H$3:$P$15,MATCH(F$40,坦克标准养成属性!$H$3:$P$3,0),FALSE)</f>
        <v>9</v>
      </c>
      <c r="G55" s="2">
        <f t="shared" si="18"/>
        <v>0.4</v>
      </c>
      <c r="H55" s="2">
        <f>VLOOKUP($B55,坦克个性化设定!$B$51:$T$81,MATCH(H$40,坦克个性化设定!$B$51:$T$51,0),FALSE)</f>
        <v>6</v>
      </c>
      <c r="I55" s="2">
        <f t="shared" si="19"/>
        <v>2.02</v>
      </c>
      <c r="J55" s="2">
        <f t="shared" si="19"/>
        <v>0</v>
      </c>
      <c r="K55" s="34">
        <f t="shared" si="20"/>
        <v>35.702970297029708</v>
      </c>
      <c r="L55" s="42">
        <f ca="1">VLOOKUP($B55&amp;"最终",坦克标准养成属性!$S$3:$AE$63,MATCH(L$40,坦克标准养成属性!$S$3:$AE$3,0),FALSE)</f>
        <v>1876.5814927418151</v>
      </c>
      <c r="M55" s="42">
        <f ca="1">VLOOKUP($B55&amp;"最终",坦克标准养成属性!$S$3:$AE$63,MATCH(M$40,坦克标准养成属性!$S$3:$AE$3,0),FALSE)</f>
        <v>262.68024156243956</v>
      </c>
      <c r="N55" s="2">
        <f ca="1">VLOOKUP($B55&amp;"最终",坦克标准养成属性!$S$3:$AE$63,MATCH(N$40,坦克标准养成属性!$S$3:$AE$3,0),FALSE)</f>
        <v>749</v>
      </c>
      <c r="O55" s="2">
        <f ca="1">VLOOKUP($B55&amp;"最终",坦克标准养成属性!$S$3:$AE$63,MATCH(O$40,坦克标准养成属性!$S$3:$AE$3,0),FALSE)</f>
        <v>337</v>
      </c>
      <c r="P55" s="2">
        <f ca="1">VLOOKUP($B55&amp;"最终",坦克标准养成属性!$S$3:$AE$63,MATCH(P$40,坦克标准养成属性!$S$3:$AE$3,0),FALSE)</f>
        <v>821</v>
      </c>
      <c r="Q55" s="42">
        <f t="shared" ca="1" si="21"/>
        <v>2698.5034573954931</v>
      </c>
    </row>
    <row r="56" spans="2:17" x14ac:dyDescent="0.3">
      <c r="B56" s="2" t="s">
        <v>632</v>
      </c>
      <c r="C56" s="29" t="str">
        <f>VLOOKUP(B56,坦克个性化设定!$B$18:$F$48,5,FALSE)</f>
        <v>中坦自动</v>
      </c>
      <c r="D56" s="2" t="str">
        <f>VLOOKUP(B56,坦克个性化细分!$I$3:$J$33,2,FALSE)</f>
        <v>高</v>
      </c>
      <c r="E56" s="2" t="str">
        <f>VLOOKUP(B56,坦克个性化设定!$B$18:$F$48,MATCH(E$40,坦克个性化设定!$B$18:$F$18,0),FALSE)</f>
        <v>T3</v>
      </c>
      <c r="F56" s="2">
        <f>VLOOKUP(E56&amp;D56,坦克标准养成属性!$H$3:$P$15,MATCH(F$40,坦克标准养成属性!$H$3:$P$3,0),FALSE)</f>
        <v>9</v>
      </c>
      <c r="G56" s="2">
        <f t="shared" si="18"/>
        <v>0.4</v>
      </c>
      <c r="H56" s="2">
        <f>VLOOKUP($B56,坦克个性化设定!$B$51:$T$81,MATCH(H$40,坦克个性化设定!$B$51:$T$51,0),FALSE)</f>
        <v>8</v>
      </c>
      <c r="I56" s="2">
        <f t="shared" si="19"/>
        <v>2.48</v>
      </c>
      <c r="J56" s="2">
        <f t="shared" si="19"/>
        <v>0</v>
      </c>
      <c r="K56" s="34">
        <f t="shared" si="20"/>
        <v>32.193548387096776</v>
      </c>
      <c r="L56" s="42">
        <f ca="1">VLOOKUP($B56&amp;"最终",坦克标准养成属性!$S$3:$AE$63,MATCH(L$40,坦克标准养成属性!$S$3:$AE$3,0),FALSE)</f>
        <v>1932.5315856850384</v>
      </c>
      <c r="M56" s="42">
        <f ca="1">VLOOKUP($B56&amp;"最终",坦克标准养成属性!$S$3:$AE$63,MATCH(M$40,坦克标准养成属性!$S$3:$AE$3,0),FALSE)</f>
        <v>268.11881769234481</v>
      </c>
      <c r="N56" s="2">
        <f ca="1">VLOOKUP($B56&amp;"最终",坦克标准养成属性!$S$3:$AE$63,MATCH(N$40,坦克标准养成属性!$S$3:$AE$3,0),FALSE)</f>
        <v>766</v>
      </c>
      <c r="O56" s="2">
        <f ca="1">VLOOKUP($B56&amp;"最终",坦克标准养成属性!$S$3:$AE$63,MATCH(O$40,坦克标准养成属性!$S$3:$AE$3,0),FALSE)</f>
        <v>345</v>
      </c>
      <c r="P56" s="2">
        <f ca="1">VLOOKUP($B56&amp;"最终",坦克标准养成属性!$S$3:$AE$63,MATCH(P$40,坦克标准养成属性!$S$3:$AE$3,0),FALSE)</f>
        <v>839</v>
      </c>
      <c r="Q56" s="42">
        <f t="shared" ca="1" si="21"/>
        <v>2690.1838134784216</v>
      </c>
    </row>
    <row r="57" spans="2:17" x14ac:dyDescent="0.3">
      <c r="B57" s="2" t="s">
        <v>634</v>
      </c>
      <c r="C57" s="29" t="str">
        <f>VLOOKUP(B57,坦克个性化设定!$B$18:$F$48,5,FALSE)</f>
        <v>中坦自动</v>
      </c>
      <c r="D57" s="2" t="str">
        <f>VLOOKUP(B57,坦克个性化细分!$I$3:$J$33,2,FALSE)</f>
        <v>低</v>
      </c>
      <c r="E57" s="2" t="str">
        <f>VLOOKUP(B57,坦克个性化设定!$B$18:$F$48,MATCH(E$40,坦克个性化设定!$B$18:$F$18,0),FALSE)</f>
        <v>T4</v>
      </c>
      <c r="F57" s="2">
        <f>VLOOKUP(E57&amp;D57,坦克标准养成属性!$H$3:$P$15,MATCH(F$40,坦克标准养成属性!$H$3:$P$3,0),FALSE)</f>
        <v>11</v>
      </c>
      <c r="G57" s="2">
        <f t="shared" si="18"/>
        <v>0.75</v>
      </c>
      <c r="H57" s="2">
        <f>VLOOKUP($B57,坦克个性化设定!$B$51:$T$81,MATCH(H$40,坦克个性化设定!$B$51:$T$51,0),FALSE)</f>
        <v>6</v>
      </c>
      <c r="I57" s="2">
        <f t="shared" si="19"/>
        <v>0</v>
      </c>
      <c r="J57" s="2">
        <f t="shared" si="19"/>
        <v>2</v>
      </c>
      <c r="K57" s="34" t="e">
        <f t="shared" si="20"/>
        <v>#DIV/0!</v>
      </c>
      <c r="L57" s="42" t="e">
        <f ca="1">VLOOKUP($B57&amp;"最终",坦克标准养成属性!$S$3:$AE$63,MATCH(L$40,坦克标准养成属性!$S$3:$AE$3,0),FALSE)</f>
        <v>#N/A</v>
      </c>
      <c r="M57" s="42" t="e">
        <f ca="1">VLOOKUP($B57&amp;"最终",坦克标准养成属性!$S$3:$AE$63,MATCH(M$40,坦克标准养成属性!$S$3:$AE$3,0),FALSE)</f>
        <v>#N/A</v>
      </c>
      <c r="N57" s="2" t="e">
        <f ca="1">VLOOKUP($B57&amp;"最终",坦克标准养成属性!$S$3:$AE$63,MATCH(N$40,坦克标准养成属性!$S$3:$AE$3,0),FALSE)</f>
        <v>#N/A</v>
      </c>
      <c r="O57" s="2" t="e">
        <f ca="1">VLOOKUP($B57&amp;"最终",坦克标准养成属性!$S$3:$AE$63,MATCH(O$40,坦克标准养成属性!$S$3:$AE$3,0),FALSE)</f>
        <v>#N/A</v>
      </c>
      <c r="P57" s="2" t="e">
        <f ca="1">VLOOKUP($B57&amp;"最终",坦克标准养成属性!$S$3:$AE$63,MATCH(P$40,坦克标准养成属性!$S$3:$AE$3,0),FALSE)</f>
        <v>#N/A</v>
      </c>
      <c r="Q57" s="42" t="e">
        <f t="shared" ca="1" si="21"/>
        <v>#N/A</v>
      </c>
    </row>
    <row r="58" spans="2:17" x14ac:dyDescent="0.3">
      <c r="B58" s="2" t="s">
        <v>636</v>
      </c>
      <c r="C58" s="29" t="str">
        <f>VLOOKUP(B58,坦克个性化设定!$B$18:$F$48,5,FALSE)</f>
        <v>中坦自动</v>
      </c>
      <c r="D58" s="2" t="str">
        <f>VLOOKUP(B58,坦克个性化细分!$I$3:$J$33,2,FALSE)</f>
        <v>中</v>
      </c>
      <c r="E58" s="2" t="str">
        <f>VLOOKUP(B58,坦克个性化设定!$B$18:$F$48,MATCH(E$40,坦克个性化设定!$B$18:$F$18,0),FALSE)</f>
        <v>T4</v>
      </c>
      <c r="F58" s="2">
        <f>VLOOKUP(E58&amp;D58,坦克标准养成属性!$H$3:$P$15,MATCH(F$40,坦克标准养成属性!$H$3:$P$3,0),FALSE)</f>
        <v>11</v>
      </c>
      <c r="G58" s="2">
        <f t="shared" si="18"/>
        <v>0.4</v>
      </c>
      <c r="H58" s="2">
        <f>VLOOKUP($B58,坦克个性化设定!$B$51:$T$81,MATCH(H$40,坦克个性化设定!$B$51:$T$51,0),FALSE)</f>
        <v>10</v>
      </c>
      <c r="I58" s="2">
        <f t="shared" si="19"/>
        <v>2.9</v>
      </c>
      <c r="J58" s="2">
        <f t="shared" si="19"/>
        <v>0</v>
      </c>
      <c r="K58" s="34">
        <f t="shared" si="20"/>
        <v>30.689655172413794</v>
      </c>
      <c r="L58" s="42" t="e">
        <f ca="1">VLOOKUP($B58&amp;"最终",坦克标准养成属性!$S$3:$AE$63,MATCH(L$40,坦克标准养成属性!$S$3:$AE$3,0),FALSE)</f>
        <v>#N/A</v>
      </c>
      <c r="M58" s="42" t="e">
        <f ca="1">VLOOKUP($B58&amp;"最终",坦克标准养成属性!$S$3:$AE$63,MATCH(M$40,坦克标准养成属性!$S$3:$AE$3,0),FALSE)</f>
        <v>#N/A</v>
      </c>
      <c r="N58" s="2" t="e">
        <f ca="1">VLOOKUP($B58&amp;"最终",坦克标准养成属性!$S$3:$AE$63,MATCH(N$40,坦克标准养成属性!$S$3:$AE$3,0),FALSE)</f>
        <v>#N/A</v>
      </c>
      <c r="O58" s="2" t="e">
        <f ca="1">VLOOKUP($B58&amp;"最终",坦克标准养成属性!$S$3:$AE$63,MATCH(O$40,坦克标准养成属性!$S$3:$AE$3,0),FALSE)</f>
        <v>#N/A</v>
      </c>
      <c r="P58" s="2" t="e">
        <f ca="1">VLOOKUP($B58&amp;"最终",坦克标准养成属性!$S$3:$AE$63,MATCH(P$40,坦克标准养成属性!$S$3:$AE$3,0),FALSE)</f>
        <v>#N/A</v>
      </c>
      <c r="Q58" s="42" t="e">
        <f t="shared" ca="1" si="21"/>
        <v>#N/A</v>
      </c>
    </row>
    <row r="59" spans="2:17" x14ac:dyDescent="0.3">
      <c r="B59" s="2" t="s">
        <v>638</v>
      </c>
      <c r="C59" s="29" t="str">
        <f>VLOOKUP(B59,坦克个性化设定!$B$18:$F$48,5,FALSE)</f>
        <v>中坦自动</v>
      </c>
      <c r="D59" s="2" t="str">
        <f>VLOOKUP(B59,坦克个性化细分!$I$3:$J$33,2,FALSE)</f>
        <v>高</v>
      </c>
      <c r="E59" s="2" t="str">
        <f>VLOOKUP(B59,坦克个性化设定!$B$18:$F$48,MATCH(E$40,坦克个性化设定!$B$18:$F$18,0),FALSE)</f>
        <v>T4</v>
      </c>
      <c r="F59" s="2">
        <f>VLOOKUP(E59&amp;D59,坦克标准养成属性!$H$3:$P$15,MATCH(F$40,坦克标准养成属性!$H$3:$P$3,0),FALSE)</f>
        <v>11</v>
      </c>
      <c r="G59" s="2">
        <f t="shared" si="18"/>
        <v>0.26</v>
      </c>
      <c r="H59" s="2">
        <f>VLOOKUP($B59,坦克个性化设定!$B$51:$T$81,MATCH(H$40,坦克个性化设定!$B$51:$T$51,0),FALSE)</f>
        <v>4</v>
      </c>
      <c r="I59" s="2">
        <f t="shared" si="19"/>
        <v>2.04</v>
      </c>
      <c r="J59" s="2">
        <f t="shared" si="19"/>
        <v>0</v>
      </c>
      <c r="K59" s="34">
        <f t="shared" si="20"/>
        <v>33.411764705882348</v>
      </c>
      <c r="L59" s="42" t="e">
        <f ca="1">VLOOKUP($B59&amp;"最终",坦克标准养成属性!$S$3:$AE$63,MATCH(L$40,坦克标准养成属性!$S$3:$AE$3,0),FALSE)</f>
        <v>#N/A</v>
      </c>
      <c r="M59" s="42" t="e">
        <f ca="1">VLOOKUP($B59&amp;"最终",坦克标准养成属性!$S$3:$AE$63,MATCH(M$40,坦克标准养成属性!$S$3:$AE$3,0),FALSE)</f>
        <v>#N/A</v>
      </c>
      <c r="N59" s="2" t="e">
        <f ca="1">VLOOKUP($B59&amp;"最终",坦克标准养成属性!$S$3:$AE$63,MATCH(N$40,坦克标准养成属性!$S$3:$AE$3,0),FALSE)</f>
        <v>#N/A</v>
      </c>
      <c r="O59" s="2" t="e">
        <f ca="1">VLOOKUP($B59&amp;"最终",坦克标准养成属性!$S$3:$AE$63,MATCH(O$40,坦克标准养成属性!$S$3:$AE$3,0),FALSE)</f>
        <v>#N/A</v>
      </c>
      <c r="P59" s="2" t="e">
        <f ca="1">VLOOKUP($B59&amp;"最终",坦克标准养成属性!$S$3:$AE$63,MATCH(P$40,坦克标准养成属性!$S$3:$AE$3,0),FALSE)</f>
        <v>#N/A</v>
      </c>
      <c r="Q59" s="42" t="e">
        <f t="shared" ca="1" si="21"/>
        <v>#N/A</v>
      </c>
    </row>
    <row r="60" spans="2:17" x14ac:dyDescent="0.3">
      <c r="B60" s="2" t="s">
        <v>640</v>
      </c>
      <c r="C60" s="29" t="str">
        <f>VLOOKUP(B60,坦克个性化设定!$B$18:$F$48,5,FALSE)</f>
        <v>中坦自动</v>
      </c>
      <c r="D60" s="2" t="str">
        <f>VLOOKUP(B60,坦克个性化细分!$I$3:$J$33,2,FALSE)</f>
        <v>低</v>
      </c>
      <c r="E60" s="2" t="str">
        <f>VLOOKUP(B60,坦克个性化设定!$B$18:$F$48,MATCH(E$40,坦克个性化设定!$B$18:$F$18,0),FALSE)</f>
        <v>T5</v>
      </c>
      <c r="F60" s="2">
        <f>VLOOKUP(E60&amp;D60,坦克标准养成属性!$H$3:$P$15,MATCH(F$40,坦克标准养成属性!$H$3:$P$3,0),FALSE)</f>
        <v>13</v>
      </c>
      <c r="G60" s="2">
        <f t="shared" si="18"/>
        <v>0.4</v>
      </c>
      <c r="H60" s="2">
        <f>VLOOKUP($B60,坦克个性化设定!$B$51:$T$81,MATCH(H$40,坦克个性化设定!$B$51:$T$51,0),FALSE)</f>
        <v>6</v>
      </c>
      <c r="I60" s="2">
        <f t="shared" si="19"/>
        <v>2.02</v>
      </c>
      <c r="J60" s="2">
        <f t="shared" si="19"/>
        <v>0</v>
      </c>
      <c r="K60" s="34">
        <f t="shared" si="20"/>
        <v>35.702970297029708</v>
      </c>
      <c r="L60" s="42" t="e">
        <f ca="1">VLOOKUP($B60&amp;"最终",坦克标准养成属性!$S$3:$AE$63,MATCH(L$40,坦克标准养成属性!$S$3:$AE$3,0),FALSE)</f>
        <v>#N/A</v>
      </c>
      <c r="M60" s="42" t="e">
        <f ca="1">VLOOKUP($B60&amp;"最终",坦克标准养成属性!$S$3:$AE$63,MATCH(M$40,坦克标准养成属性!$S$3:$AE$3,0),FALSE)</f>
        <v>#N/A</v>
      </c>
      <c r="N60" s="2" t="e">
        <f ca="1">VLOOKUP($B60&amp;"最终",坦克标准养成属性!$S$3:$AE$63,MATCH(N$40,坦克标准养成属性!$S$3:$AE$3,0),FALSE)</f>
        <v>#N/A</v>
      </c>
      <c r="O60" s="2" t="e">
        <f ca="1">VLOOKUP($B60&amp;"最终",坦克标准养成属性!$S$3:$AE$63,MATCH(O$40,坦克标准养成属性!$S$3:$AE$3,0),FALSE)</f>
        <v>#N/A</v>
      </c>
      <c r="P60" s="2" t="e">
        <f ca="1">VLOOKUP($B60&amp;"最终",坦克标准养成属性!$S$3:$AE$63,MATCH(P$40,坦克标准养成属性!$S$3:$AE$3,0),FALSE)</f>
        <v>#N/A</v>
      </c>
      <c r="Q60" s="42" t="e">
        <f t="shared" ca="1" si="21"/>
        <v>#N/A</v>
      </c>
    </row>
    <row r="61" spans="2:17" x14ac:dyDescent="0.3">
      <c r="B61" s="2" t="s">
        <v>642</v>
      </c>
      <c r="C61" s="29" t="str">
        <f>VLOOKUP(B61,坦克个性化设定!$B$18:$F$48,5,FALSE)</f>
        <v>重坦自动</v>
      </c>
      <c r="D61" s="2" t="str">
        <f>VLOOKUP(B61,坦克个性化细分!$I$3:$J$33,2,FALSE)</f>
        <v>低</v>
      </c>
      <c r="E61" s="2" t="str">
        <f>VLOOKUP(B61,坦克个性化设定!$B$18:$F$48,MATCH(E$40,坦克个性化设定!$B$18:$F$18,0),FALSE)</f>
        <v>T1</v>
      </c>
      <c r="F61" s="2">
        <f>VLOOKUP(E61&amp;D61,坦克标准养成属性!$H$3:$P$15,MATCH(F$40,坦克标准养成属性!$H$3:$P$3,0),FALSE)</f>
        <v>5</v>
      </c>
      <c r="G61" s="2">
        <f t="shared" si="18"/>
        <v>2.8</v>
      </c>
      <c r="H61" s="2">
        <f>VLOOKUP($B61,坦克个性化设定!$B$51:$T$81,MATCH(H$40,坦克个性化设定!$B$51:$T$51,0),FALSE)</f>
        <v>1</v>
      </c>
      <c r="I61" s="2">
        <f t="shared" si="19"/>
        <v>4.6399999999999997</v>
      </c>
      <c r="J61" s="2">
        <f t="shared" si="19"/>
        <v>0</v>
      </c>
      <c r="K61" s="34">
        <f t="shared" si="20"/>
        <v>13.931034482758621</v>
      </c>
      <c r="L61" s="42">
        <f ca="1">VLOOKUP($B61&amp;"最终",坦克标准养成属性!$S$3:$AE$63,MATCH(L$40,坦克标准养成属性!$S$3:$AE$3,0),FALSE)</f>
        <v>1169.5698486238832</v>
      </c>
      <c r="M61" s="42">
        <f ca="1">VLOOKUP($B61&amp;"最终",坦克标准养成属性!$S$3:$AE$63,MATCH(M$40,坦克标准养成属性!$S$3:$AE$3,0),FALSE)</f>
        <v>540.23477591199196</v>
      </c>
      <c r="N61" s="2">
        <f ca="1">VLOOKUP($B61&amp;"最终",坦克标准养成属性!$S$3:$AE$63,MATCH(N$40,坦克标准养成属性!$S$3:$AE$3,0),FALSE)</f>
        <v>149</v>
      </c>
      <c r="O61" s="2">
        <f ca="1">VLOOKUP($B61&amp;"最终",坦克标准养成属性!$S$3:$AE$63,MATCH(O$40,坦克标准养成属性!$S$3:$AE$3,0),FALSE)</f>
        <v>371</v>
      </c>
      <c r="P61" s="2">
        <f ca="1">VLOOKUP($B61&amp;"最终",坦克标准养成属性!$S$3:$AE$63,MATCH(P$40,坦克标准养成属性!$S$3:$AE$3,0),FALSE)</f>
        <v>546</v>
      </c>
      <c r="Q61" s="42">
        <f t="shared" ca="1" si="21"/>
        <v>1451.567014983166</v>
      </c>
    </row>
    <row r="62" spans="2:17" x14ac:dyDescent="0.3">
      <c r="B62" s="2" t="s">
        <v>644</v>
      </c>
      <c r="C62" s="29" t="str">
        <f>VLOOKUP(B62,坦克个性化设定!$B$18:$F$48,5,FALSE)</f>
        <v>重坦自动</v>
      </c>
      <c r="D62" s="2" t="str">
        <f>VLOOKUP(B62,坦克个性化细分!$I$3:$J$33,2,FALSE)</f>
        <v>低</v>
      </c>
      <c r="E62" s="2" t="str">
        <f>VLOOKUP(B62,坦克个性化设定!$B$18:$F$48,MATCH(E$40,坦克个性化设定!$B$18:$F$18,0),FALSE)</f>
        <v>T2</v>
      </c>
      <c r="F62" s="2">
        <f>VLOOKUP(E62&amp;D62,坦克标准养成属性!$H$3:$P$15,MATCH(F$40,坦克标准养成属性!$H$3:$P$3,0),FALSE)</f>
        <v>7</v>
      </c>
      <c r="G62" s="2">
        <f t="shared" si="18"/>
        <v>1.88</v>
      </c>
      <c r="H62" s="2">
        <f>VLOOKUP($B62,坦克个性化设定!$B$51:$T$81,MATCH(H$40,坦克个性化设定!$B$51:$T$51,0),FALSE)</f>
        <v>2</v>
      </c>
      <c r="I62" s="2">
        <f t="shared" si="19"/>
        <v>3.08</v>
      </c>
      <c r="J62" s="2">
        <f t="shared" si="19"/>
        <v>0</v>
      </c>
      <c r="K62" s="34">
        <f t="shared" si="20"/>
        <v>21.480519480519479</v>
      </c>
      <c r="L62" s="42">
        <f ca="1">VLOOKUP($B62&amp;"最终",坦克标准养成属性!$S$3:$AE$63,MATCH(L$40,坦克标准养成属性!$S$3:$AE$3,0),FALSE)</f>
        <v>1430.2150485131108</v>
      </c>
      <c r="M62" s="42">
        <f ca="1">VLOOKUP($B62&amp;"最终",坦克标准养成属性!$S$3:$AE$63,MATCH(M$40,坦克标准养成属性!$S$3:$AE$3,0),FALSE)</f>
        <v>462.27886794768699</v>
      </c>
      <c r="N62" s="2">
        <f ca="1">VLOOKUP($B62&amp;"最终",坦克标准养成属性!$S$3:$AE$63,MATCH(N$40,坦克标准养成属性!$S$3:$AE$3,0),FALSE)</f>
        <v>194</v>
      </c>
      <c r="O62" s="2">
        <f ca="1">VLOOKUP($B62&amp;"最终",坦克标准养成属性!$S$3:$AE$63,MATCH(O$40,坦克标准养成属性!$S$3:$AE$3,0),FALSE)</f>
        <v>486</v>
      </c>
      <c r="P62" s="2">
        <f ca="1">VLOOKUP($B62&amp;"最终",坦克标准养成属性!$S$3:$AE$63,MATCH(P$40,坦克标准养成属性!$S$3:$AE$3,0),FALSE)</f>
        <v>714</v>
      </c>
      <c r="Q62" s="42">
        <f t="shared" ca="1" si="21"/>
        <v>2044.5451591100584</v>
      </c>
    </row>
    <row r="63" spans="2:17" x14ac:dyDescent="0.3">
      <c r="B63" s="2" t="s">
        <v>646</v>
      </c>
      <c r="C63" s="29" t="str">
        <f>VLOOKUP(B63,坦克个性化设定!$B$18:$F$48,5,FALSE)</f>
        <v>重坦单发</v>
      </c>
      <c r="D63" s="2" t="str">
        <f>VLOOKUP(B63,坦克个性化细分!$I$3:$J$33,2,FALSE)</f>
        <v>中</v>
      </c>
      <c r="E63" s="2" t="str">
        <f>VLOOKUP(B63,坦克个性化设定!$B$18:$F$48,MATCH(E$40,坦克个性化设定!$B$18:$F$18,0),FALSE)</f>
        <v>T2</v>
      </c>
      <c r="F63" s="2">
        <f>VLOOKUP(E63&amp;D63,坦克标准养成属性!$H$3:$P$15,MATCH(F$40,坦克标准养成属性!$H$3:$P$3,0),FALSE)</f>
        <v>7</v>
      </c>
      <c r="G63" s="2">
        <f t="shared" si="18"/>
        <v>0</v>
      </c>
      <c r="H63" s="2">
        <f>VLOOKUP($B63,坦克个性化设定!$B$51:$T$81,MATCH(H$40,坦克个性化设定!$B$51:$T$51,0),FALSE)</f>
        <v>1</v>
      </c>
      <c r="I63" s="2">
        <f t="shared" si="19"/>
        <v>5.15</v>
      </c>
      <c r="J63" s="2">
        <f t="shared" si="19"/>
        <v>0</v>
      </c>
      <c r="K63" s="34">
        <f t="shared" si="20"/>
        <v>12.650485436893202</v>
      </c>
      <c r="L63" s="42">
        <f ca="1">VLOOKUP($B63&amp;"最终",坦克标准养成属性!$S$3:$AE$63,MATCH(L$40,坦克标准养成属性!$S$3:$AE$3,0),FALSE)</f>
        <v>1557.8553516080574</v>
      </c>
      <c r="M63" s="42">
        <f ca="1">VLOOKUP($B63&amp;"最终",坦克标准养成属性!$S$3:$AE$63,MATCH(M$40,坦克标准养成属性!$S$3:$AE$3,0),FALSE)</f>
        <v>750.68587002821141</v>
      </c>
      <c r="N63" s="2">
        <f ca="1">VLOOKUP($B63&amp;"最终",坦克标准养成属性!$S$3:$AE$63,MATCH(N$40,坦克标准养成属性!$S$3:$AE$3,0),FALSE)</f>
        <v>221</v>
      </c>
      <c r="O63" s="2">
        <f ca="1">VLOOKUP($B63&amp;"最终",坦克标准养成属性!$S$3:$AE$63,MATCH(O$40,坦克标准养成属性!$S$3:$AE$3,0),FALSE)</f>
        <v>553</v>
      </c>
      <c r="P63" s="2">
        <f ca="1">VLOOKUP($B63&amp;"最终",坦克标准养成属性!$S$3:$AE$63,MATCH(P$40,坦克标准养成属性!$S$3:$AE$3,0),FALSE)</f>
        <v>739</v>
      </c>
      <c r="Q63" s="42">
        <f t="shared" ca="1" si="21"/>
        <v>2190.8237214703913</v>
      </c>
    </row>
    <row r="64" spans="2:17" x14ac:dyDescent="0.3">
      <c r="B64" s="2" t="s">
        <v>529</v>
      </c>
      <c r="C64" s="29" t="str">
        <f>VLOOKUP(B64,坦克个性化设定!$B$18:$F$48,5,FALSE)</f>
        <v>重坦单发</v>
      </c>
      <c r="D64" s="2" t="str">
        <f>VLOOKUP(B64,坦克个性化细分!$I$3:$J$33,2,FALSE)</f>
        <v>低</v>
      </c>
      <c r="E64" s="2" t="str">
        <f>VLOOKUP(B64,坦克个性化设定!$B$18:$F$48,MATCH(E$40,坦克个性化设定!$B$18:$F$18,0),FALSE)</f>
        <v>T3</v>
      </c>
      <c r="F64" s="2">
        <f>VLOOKUP(E64&amp;D64,坦克标准养成属性!$H$3:$P$15,MATCH(F$40,坦克标准养成属性!$H$3:$P$3,0),FALSE)</f>
        <v>9</v>
      </c>
      <c r="G64" s="2">
        <f t="shared" si="18"/>
        <v>0</v>
      </c>
      <c r="H64" s="2">
        <f>VLOOKUP($B64,坦克个性化设定!$B$51:$T$81,MATCH(H$40,坦克个性化设定!$B$51:$T$51,0),FALSE)</f>
        <v>1</v>
      </c>
      <c r="I64" s="2">
        <f t="shared" si="19"/>
        <v>5.15</v>
      </c>
      <c r="J64" s="2">
        <f t="shared" si="19"/>
        <v>0</v>
      </c>
      <c r="K64" s="34">
        <f t="shared" si="20"/>
        <v>12.650485436893202</v>
      </c>
      <c r="L64" s="42">
        <f ca="1">VLOOKUP($B64&amp;"最终",坦克标准养成属性!$S$3:$AE$63,MATCH(L$40,坦克标准养成属性!$S$3:$AE$3,0),FALSE)</f>
        <v>1940.2252371267448</v>
      </c>
      <c r="M64" s="42">
        <f ca="1">VLOOKUP($B64&amp;"最终",坦克标准养成属性!$S$3:$AE$63,MATCH(M$40,坦克标准养成属性!$S$3:$AE$3,0),FALSE)</f>
        <v>895.25688397513147</v>
      </c>
      <c r="N64" s="2">
        <f ca="1">VLOOKUP($B64&amp;"最终",坦克标准养成属性!$S$3:$AE$63,MATCH(N$40,坦克标准养成属性!$S$3:$AE$3,0),FALSE)</f>
        <v>273</v>
      </c>
      <c r="O64" s="2">
        <f ca="1">VLOOKUP($B64&amp;"最终",坦克标准养成属性!$S$3:$AE$63,MATCH(O$40,坦克标准养成属性!$S$3:$AE$3,0),FALSE)</f>
        <v>682</v>
      </c>
      <c r="P64" s="2">
        <f ca="1">VLOOKUP($B64&amp;"最终",坦克标准养成属性!$S$3:$AE$63,MATCH(P$40,坦克标准养成属性!$S$3:$AE$3,0),FALSE)</f>
        <v>911</v>
      </c>
      <c r="Q64" s="42">
        <f t="shared" ca="1" si="21"/>
        <v>2884.4686843547252</v>
      </c>
    </row>
    <row r="65" spans="2:18" x14ac:dyDescent="0.3">
      <c r="B65" s="2" t="s">
        <v>649</v>
      </c>
      <c r="C65" s="29" t="str">
        <f>VLOOKUP(B65,坦克个性化设定!$B$18:$F$48,5,FALSE)</f>
        <v>重坦单发</v>
      </c>
      <c r="D65" s="2" t="str">
        <f>VLOOKUP(B65,坦克个性化细分!$I$3:$J$33,2,FALSE)</f>
        <v>中</v>
      </c>
      <c r="E65" s="2" t="str">
        <f>VLOOKUP(B65,坦克个性化设定!$B$18:$F$48,MATCH(E$40,坦克个性化设定!$B$18:$F$18,0),FALSE)</f>
        <v>T3</v>
      </c>
      <c r="F65" s="2">
        <f>VLOOKUP(E65&amp;D65,坦克标准养成属性!$H$3:$P$15,MATCH(F$40,坦克标准养成属性!$H$3:$P$3,0),FALSE)</f>
        <v>9</v>
      </c>
      <c r="G65" s="2">
        <f t="shared" si="18"/>
        <v>0</v>
      </c>
      <c r="H65" s="2">
        <f>VLOOKUP($B65,坦克个性化设定!$B$51:$T$81,MATCH(H$40,坦克个性化设定!$B$51:$T$51,0),FALSE)</f>
        <v>1</v>
      </c>
      <c r="I65" s="2">
        <f t="shared" si="19"/>
        <v>5.15</v>
      </c>
      <c r="J65" s="2">
        <f t="shared" si="19"/>
        <v>0</v>
      </c>
      <c r="K65" s="34">
        <f t="shared" si="20"/>
        <v>12.650485436893202</v>
      </c>
      <c r="L65" s="42">
        <f ca="1">VLOOKUP($B65&amp;"最终",坦克标准养成属性!$S$3:$AE$63,MATCH(L$40,坦克标准养成属性!$S$3:$AE$3,0),FALSE)</f>
        <v>2003.4991799707395</v>
      </c>
      <c r="M65" s="42">
        <f ca="1">VLOOKUP($B65&amp;"最终",坦克标准养成属性!$S$3:$AE$63,MATCH(M$40,坦克标准养成属性!$S$3:$AE$3,0),FALSE)</f>
        <v>978.72513231008065</v>
      </c>
      <c r="N65" s="2">
        <f ca="1">VLOOKUP($B65&amp;"最终",坦克标准养成属性!$S$3:$AE$63,MATCH(N$40,坦克标准养成属性!$S$3:$AE$3,0),FALSE)</f>
        <v>287</v>
      </c>
      <c r="O65" s="2">
        <f ca="1">VLOOKUP($B65&amp;"最终",坦克标准养成属性!$S$3:$AE$63,MATCH(O$40,坦克标准养成属性!$S$3:$AE$3,0),FALSE)</f>
        <v>717</v>
      </c>
      <c r="P65" s="2">
        <f ca="1">VLOOKUP($B65&amp;"最终",坦克标准养成属性!$S$3:$AE$63,MATCH(P$40,坦克标准养成属性!$S$3:$AE$3,0),FALSE)</f>
        <v>958</v>
      </c>
      <c r="Q65" s="42">
        <f t="shared" ca="1" si="21"/>
        <v>3108.4410194369175</v>
      </c>
    </row>
    <row r="66" spans="2:18" x14ac:dyDescent="0.3">
      <c r="B66" s="2" t="s">
        <v>651</v>
      </c>
      <c r="C66" s="29" t="str">
        <f>VLOOKUP(B66,坦克个性化设定!$B$18:$F$48,5,FALSE)</f>
        <v>重坦自动</v>
      </c>
      <c r="D66" s="2" t="str">
        <f>VLOOKUP(B66,坦克个性化细分!$I$3:$J$33,2,FALSE)</f>
        <v>高</v>
      </c>
      <c r="E66" s="2" t="str">
        <f>VLOOKUP(B66,坦克个性化设定!$B$18:$F$48,MATCH(E$40,坦克个性化设定!$B$18:$F$18,0),FALSE)</f>
        <v>T3</v>
      </c>
      <c r="F66" s="2">
        <f>VLOOKUP(E66&amp;D66,坦克标准养成属性!$H$3:$P$15,MATCH(F$40,坦克标准养成属性!$H$3:$P$3,0),FALSE)</f>
        <v>9</v>
      </c>
      <c r="G66" s="2">
        <f t="shared" si="18"/>
        <v>2</v>
      </c>
      <c r="H66" s="2">
        <f>VLOOKUP($B66,坦克个性化设定!$B$51:$T$81,MATCH(H$40,坦克个性化设定!$B$51:$T$51,0),FALSE)</f>
        <v>2</v>
      </c>
      <c r="I66" s="2">
        <f t="shared" si="19"/>
        <v>3.46</v>
      </c>
      <c r="J66" s="2">
        <f t="shared" si="19"/>
        <v>0</v>
      </c>
      <c r="K66" s="34">
        <f t="shared" si="20"/>
        <v>19.341040462427745</v>
      </c>
      <c r="L66" s="42">
        <f ca="1">VLOOKUP($B66&amp;"最终",坦克标准养成属性!$S$3:$AE$63,MATCH(L$40,坦克标准养成属性!$S$3:$AE$3,0),FALSE)</f>
        <v>2041.6644984675588</v>
      </c>
      <c r="M66" s="42">
        <f ca="1">VLOOKUP($B66&amp;"最终",坦克标准养成属性!$S$3:$AE$63,MATCH(M$40,坦克标准养成属性!$S$3:$AE$3,0),FALSE)</f>
        <v>676.94621142772212</v>
      </c>
      <c r="N66" s="2">
        <f ca="1">VLOOKUP($B66&amp;"最终",坦克标准养成属性!$S$3:$AE$63,MATCH(N$40,坦克标准养成属性!$S$3:$AE$3,0),FALSE)</f>
        <v>266</v>
      </c>
      <c r="O66" s="2">
        <f ca="1">VLOOKUP($B66&amp;"最终",坦克标准养成属性!$S$3:$AE$63,MATCH(O$40,坦克标准养成属性!$S$3:$AE$3,0),FALSE)</f>
        <v>666</v>
      </c>
      <c r="P66" s="2">
        <f ca="1">VLOOKUP($B66&amp;"最终",坦克标准养成属性!$S$3:$AE$63,MATCH(P$40,坦克标准养成属性!$S$3:$AE$3,0),FALSE)</f>
        <v>979</v>
      </c>
      <c r="Q66" s="42">
        <f t="shared" ca="1" si="21"/>
        <v>3131.622121180867</v>
      </c>
    </row>
    <row r="67" spans="2:18" x14ac:dyDescent="0.3">
      <c r="B67" s="2" t="s">
        <v>653</v>
      </c>
      <c r="C67" s="29" t="str">
        <f>VLOOKUP(B67,坦克个性化设定!$B$18:$F$48,5,FALSE)</f>
        <v>重坦单发</v>
      </c>
      <c r="D67" s="2" t="str">
        <f>VLOOKUP(B67,坦克个性化细分!$I$3:$J$33,2,FALSE)</f>
        <v>低</v>
      </c>
      <c r="E67" s="2" t="str">
        <f>VLOOKUP(B67,坦克个性化设定!$B$18:$F$48,MATCH(E$40,坦克个性化设定!$B$18:$F$18,0),FALSE)</f>
        <v>T4</v>
      </c>
      <c r="F67" s="2">
        <f>VLOOKUP(E67&amp;D67,坦克标准养成属性!$H$3:$P$15,MATCH(F$40,坦克标准养成属性!$H$3:$P$3,0),FALSE)</f>
        <v>11</v>
      </c>
      <c r="G67" s="2">
        <f t="shared" si="18"/>
        <v>0</v>
      </c>
      <c r="H67" s="2">
        <f>VLOOKUP($B67,坦克个性化设定!$B$51:$T$81,MATCH(H$40,坦克个性化设定!$B$51:$T$51,0),FALSE)</f>
        <v>1</v>
      </c>
      <c r="I67" s="2">
        <f t="shared" si="19"/>
        <v>5.15</v>
      </c>
      <c r="J67" s="2">
        <f t="shared" si="19"/>
        <v>0</v>
      </c>
      <c r="K67" s="34">
        <f t="shared" si="20"/>
        <v>12.650485436893202</v>
      </c>
      <c r="L67" s="42" t="e">
        <f ca="1">VLOOKUP($B67&amp;"最终",坦克标准养成属性!$S$3:$AE$63,MATCH(L$40,坦克标准养成属性!$S$3:$AE$3,0),FALSE)</f>
        <v>#N/A</v>
      </c>
      <c r="M67" s="42" t="e">
        <f ca="1">VLOOKUP($B67&amp;"最终",坦克标准养成属性!$S$3:$AE$63,MATCH(M$40,坦克标准养成属性!$S$3:$AE$3,0),FALSE)</f>
        <v>#N/A</v>
      </c>
      <c r="N67" s="2" t="e">
        <f ca="1">VLOOKUP($B67&amp;"最终",坦克标准养成属性!$S$3:$AE$63,MATCH(N$40,坦克标准养成属性!$S$3:$AE$3,0),FALSE)</f>
        <v>#N/A</v>
      </c>
      <c r="O67" s="2" t="e">
        <f ca="1">VLOOKUP($B67&amp;"最终",坦克标准养成属性!$S$3:$AE$63,MATCH(O$40,坦克标准养成属性!$S$3:$AE$3,0),FALSE)</f>
        <v>#N/A</v>
      </c>
      <c r="P67" s="2" t="e">
        <f ca="1">VLOOKUP($B67&amp;"最终",坦克标准养成属性!$S$3:$AE$63,MATCH(P$40,坦克标准养成属性!$S$3:$AE$3,0),FALSE)</f>
        <v>#N/A</v>
      </c>
      <c r="Q67" s="42" t="e">
        <f t="shared" ca="1" si="21"/>
        <v>#N/A</v>
      </c>
    </row>
    <row r="68" spans="2:18" x14ac:dyDescent="0.3">
      <c r="B68" s="2" t="s">
        <v>655</v>
      </c>
      <c r="C68" s="29" t="str">
        <f>VLOOKUP(B68,坦克个性化设定!$B$18:$F$48,5,FALSE)</f>
        <v>重坦自动</v>
      </c>
      <c r="D68" s="2" t="str">
        <f>VLOOKUP(B68,坦克个性化细分!$I$3:$J$33,2,FALSE)</f>
        <v>中</v>
      </c>
      <c r="E68" s="2" t="str">
        <f>VLOOKUP(B68,坦克个性化设定!$B$18:$F$48,MATCH(E$40,坦克个性化设定!$B$18:$F$18,0),FALSE)</f>
        <v>T4</v>
      </c>
      <c r="F68" s="2">
        <f>VLOOKUP(E68&amp;D68,坦克标准养成属性!$H$3:$P$15,MATCH(F$40,坦克标准养成属性!$H$3:$P$3,0),FALSE)</f>
        <v>11</v>
      </c>
      <c r="G68" s="2">
        <f t="shared" si="18"/>
        <v>2</v>
      </c>
      <c r="H68" s="2">
        <f>VLOOKUP($B68,坦克个性化设定!$B$51:$T$81,MATCH(H$40,坦克个性化设定!$B$51:$T$51,0),FALSE)</f>
        <v>2</v>
      </c>
      <c r="I68" s="2">
        <f t="shared" si="19"/>
        <v>3.84</v>
      </c>
      <c r="J68" s="2">
        <f t="shared" si="19"/>
        <v>0</v>
      </c>
      <c r="K68" s="34">
        <f t="shared" si="20"/>
        <v>17.625</v>
      </c>
      <c r="L68" s="42" t="e">
        <f ca="1">VLOOKUP($B68&amp;"最终",坦克标准养成属性!$S$3:$AE$63,MATCH(L$40,坦克标准养成属性!$S$3:$AE$3,0),FALSE)</f>
        <v>#N/A</v>
      </c>
      <c r="M68" s="42" t="e">
        <f ca="1">VLOOKUP($B68&amp;"最终",坦克标准养成属性!$S$3:$AE$63,MATCH(M$40,坦克标准养成属性!$S$3:$AE$3,0),FALSE)</f>
        <v>#N/A</v>
      </c>
      <c r="N68" s="2" t="e">
        <f ca="1">VLOOKUP($B68&amp;"最终",坦克标准养成属性!$S$3:$AE$63,MATCH(N$40,坦克标准养成属性!$S$3:$AE$3,0),FALSE)</f>
        <v>#N/A</v>
      </c>
      <c r="O68" s="2" t="e">
        <f ca="1">VLOOKUP($B68&amp;"最终",坦克标准养成属性!$S$3:$AE$63,MATCH(O$40,坦克标准养成属性!$S$3:$AE$3,0),FALSE)</f>
        <v>#N/A</v>
      </c>
      <c r="P68" s="2" t="e">
        <f ca="1">VLOOKUP($B68&amp;"最终",坦克标准养成属性!$S$3:$AE$63,MATCH(P$40,坦克标准养成属性!$S$3:$AE$3,0),FALSE)</f>
        <v>#N/A</v>
      </c>
      <c r="Q68" s="42" t="e">
        <f t="shared" ca="1" si="21"/>
        <v>#N/A</v>
      </c>
    </row>
    <row r="69" spans="2:18" x14ac:dyDescent="0.3">
      <c r="B69" s="2" t="s">
        <v>657</v>
      </c>
      <c r="C69" s="29" t="str">
        <f>VLOOKUP(B69,坦克个性化设定!$B$18:$F$48,5,FALSE)</f>
        <v>重坦单发</v>
      </c>
      <c r="D69" s="2" t="str">
        <f>VLOOKUP(B69,坦克个性化细分!$I$3:$J$33,2,FALSE)</f>
        <v>高</v>
      </c>
      <c r="E69" s="2" t="str">
        <f>VLOOKUP(B69,坦克个性化设定!$B$18:$F$48,MATCH(E$40,坦克个性化设定!$B$18:$F$18,0),FALSE)</f>
        <v>T4</v>
      </c>
      <c r="F69" s="2">
        <f>VLOOKUP(E69&amp;D69,坦克标准养成属性!$H$3:$P$15,MATCH(F$40,坦克标准养成属性!$H$3:$P$3,0),FALSE)</f>
        <v>11</v>
      </c>
      <c r="G69" s="2">
        <f t="shared" si="18"/>
        <v>0</v>
      </c>
      <c r="H69" s="2">
        <f>VLOOKUP($B69,坦克个性化设定!$B$51:$T$81,MATCH(H$40,坦克个性化设定!$B$51:$T$51,0),FALSE)</f>
        <v>1</v>
      </c>
      <c r="I69" s="2">
        <f t="shared" si="19"/>
        <v>5.15</v>
      </c>
      <c r="J69" s="2">
        <f t="shared" si="19"/>
        <v>0</v>
      </c>
      <c r="K69" s="34">
        <f t="shared" si="20"/>
        <v>12.650485436893202</v>
      </c>
      <c r="L69" s="42" t="e">
        <f ca="1">VLOOKUP($B69&amp;"最终",坦克标准养成属性!$S$3:$AE$63,MATCH(L$40,坦克标准养成属性!$S$3:$AE$3,0),FALSE)</f>
        <v>#N/A</v>
      </c>
      <c r="M69" s="42" t="e">
        <f ca="1">VLOOKUP($B69&amp;"最终",坦克标准养成属性!$S$3:$AE$63,MATCH(M$40,坦克标准养成属性!$S$3:$AE$3,0),FALSE)</f>
        <v>#N/A</v>
      </c>
      <c r="N69" s="2" t="e">
        <f ca="1">VLOOKUP($B69&amp;"最终",坦克标准养成属性!$S$3:$AE$63,MATCH(N$40,坦克标准养成属性!$S$3:$AE$3,0),FALSE)</f>
        <v>#N/A</v>
      </c>
      <c r="O69" s="2" t="e">
        <f ca="1">VLOOKUP($B69&amp;"最终",坦克标准养成属性!$S$3:$AE$63,MATCH(O$40,坦克标准养成属性!$S$3:$AE$3,0),FALSE)</f>
        <v>#N/A</v>
      </c>
      <c r="P69" s="2" t="e">
        <f ca="1">VLOOKUP($B69&amp;"最终",坦克标准养成属性!$S$3:$AE$63,MATCH(P$40,坦克标准养成属性!$S$3:$AE$3,0),FALSE)</f>
        <v>#N/A</v>
      </c>
      <c r="Q69" s="42" t="e">
        <f t="shared" ca="1" si="21"/>
        <v>#N/A</v>
      </c>
    </row>
    <row r="70" spans="2:18" x14ac:dyDescent="0.3">
      <c r="B70" s="2" t="s">
        <v>659</v>
      </c>
      <c r="C70" s="29" t="str">
        <f>VLOOKUP(B70,坦克个性化设定!$B$18:$F$48,5,FALSE)</f>
        <v>重坦单发</v>
      </c>
      <c r="D70" s="2" t="str">
        <f>VLOOKUP(B70,坦克个性化细分!$I$3:$J$33,2,FALSE)</f>
        <v>低</v>
      </c>
      <c r="E70" s="2" t="str">
        <f>VLOOKUP(B70,坦克个性化设定!$B$18:$F$48,MATCH(E$40,坦克个性化设定!$B$18:$F$18,0),FALSE)</f>
        <v>T5</v>
      </c>
      <c r="F70" s="2">
        <f>VLOOKUP(E70&amp;D70,坦克标准养成属性!$H$3:$P$15,MATCH(F$40,坦克标准养成属性!$H$3:$P$3,0),FALSE)</f>
        <v>13</v>
      </c>
      <c r="G70" s="2">
        <f t="shared" si="18"/>
        <v>0</v>
      </c>
      <c r="H70" s="2">
        <f>VLOOKUP($B70,坦克个性化设定!$B$51:$T$81,MATCH(H$40,坦克个性化设定!$B$51:$T$51,0),FALSE)</f>
        <v>1</v>
      </c>
      <c r="I70" s="2">
        <f t="shared" si="19"/>
        <v>5.15</v>
      </c>
      <c r="J70" s="2">
        <f t="shared" si="19"/>
        <v>0</v>
      </c>
      <c r="K70" s="34">
        <f t="shared" si="20"/>
        <v>12.650485436893202</v>
      </c>
      <c r="L70" s="42" t="e">
        <f ca="1">VLOOKUP($B70&amp;"最终",坦克标准养成属性!$S$3:$AE$63,MATCH(L$40,坦克标准养成属性!$S$3:$AE$3,0),FALSE)</f>
        <v>#N/A</v>
      </c>
      <c r="M70" s="42" t="e">
        <f ca="1">VLOOKUP($B70&amp;"最终",坦克标准养成属性!$S$3:$AE$63,MATCH(M$40,坦克标准养成属性!$S$3:$AE$3,0),FALSE)</f>
        <v>#N/A</v>
      </c>
      <c r="N70" s="2" t="e">
        <f ca="1">VLOOKUP($B70&amp;"最终",坦克标准养成属性!$S$3:$AE$63,MATCH(N$40,坦克标准养成属性!$S$3:$AE$3,0),FALSE)</f>
        <v>#N/A</v>
      </c>
      <c r="O70" s="2" t="e">
        <f ca="1">VLOOKUP($B70&amp;"最终",坦克标准养成属性!$S$3:$AE$63,MATCH(O$40,坦克标准养成属性!$S$3:$AE$3,0),FALSE)</f>
        <v>#N/A</v>
      </c>
      <c r="P70" s="2" t="e">
        <f ca="1">VLOOKUP($B70&amp;"最终",坦克标准养成属性!$S$3:$AE$63,MATCH(P$40,坦克标准养成属性!$S$3:$AE$3,0),FALSE)</f>
        <v>#N/A</v>
      </c>
      <c r="Q70" s="42" t="e">
        <f t="shared" ca="1" si="21"/>
        <v>#N/A</v>
      </c>
    </row>
    <row r="71" spans="2:18" x14ac:dyDescent="0.3">
      <c r="L71" s="1">
        <v>1.7999999999999999E-2</v>
      </c>
      <c r="M71" s="1">
        <v>1.1000000000000001</v>
      </c>
      <c r="N71" s="1">
        <v>-130.4</v>
      </c>
      <c r="O71" s="1">
        <v>3580</v>
      </c>
      <c r="P71" s="1">
        <v>3797</v>
      </c>
      <c r="R71" s="133"/>
    </row>
    <row r="72" spans="2:18" x14ac:dyDescent="0.3">
      <c r="B72" s="351" t="s">
        <v>1674</v>
      </c>
      <c r="C72" s="351"/>
      <c r="D72" s="351"/>
      <c r="E72" s="351"/>
      <c r="G72" s="352" t="s">
        <v>1675</v>
      </c>
      <c r="H72" s="353"/>
      <c r="I72" s="353"/>
      <c r="J72" s="353"/>
      <c r="K72" s="353"/>
      <c r="L72" s="353"/>
      <c r="M72" s="353"/>
      <c r="N72" s="353"/>
      <c r="O72" s="354"/>
    </row>
    <row r="73" spans="2:18" x14ac:dyDescent="0.3">
      <c r="B73" s="2" t="s">
        <v>599</v>
      </c>
      <c r="C73" s="2" t="s">
        <v>775</v>
      </c>
      <c r="D73" s="2" t="s">
        <v>1670</v>
      </c>
      <c r="E73" s="2" t="s">
        <v>1673</v>
      </c>
      <c r="G73" s="2" t="s">
        <v>377</v>
      </c>
      <c r="H73" s="2" t="s">
        <v>1676</v>
      </c>
      <c r="I73" s="2" t="s">
        <v>1677</v>
      </c>
      <c r="J73" s="2" t="s">
        <v>1678</v>
      </c>
      <c r="K73" s="2" t="s">
        <v>1679</v>
      </c>
      <c r="L73" s="2" t="s">
        <v>1680</v>
      </c>
      <c r="M73" s="2" t="s">
        <v>1681</v>
      </c>
      <c r="N73" s="2" t="s">
        <v>1682</v>
      </c>
      <c r="O73" s="2" t="s">
        <v>1683</v>
      </c>
    </row>
    <row r="74" spans="2:18" x14ac:dyDescent="0.3">
      <c r="B74" s="2" t="s">
        <v>510</v>
      </c>
      <c r="C74" s="2" t="str">
        <f>VLOOKUP(B74,坦克个性化设定!$B$18:$F$48,MATCH(C$73,坦克个性化设定!$B$18:$F$18,0),FALSE)</f>
        <v>T1</v>
      </c>
      <c r="D74" s="42">
        <f ca="1">AF8</f>
        <v>877.94675365426747</v>
      </c>
      <c r="E74" s="42">
        <f ca="1">Q41</f>
        <v>1213.9364236762522</v>
      </c>
      <c r="G74" s="2">
        <v>1</v>
      </c>
      <c r="H74" s="42">
        <f ca="1">AVERAGE(D74,D84,D94)</f>
        <v>854.70857203126536</v>
      </c>
      <c r="I74" s="42" t="e">
        <f t="shared" ref="I74:I82" ca="1" si="22">AVERAGE(E75,E85,E95,E74,E84,E94)</f>
        <v>#DIV/0!</v>
      </c>
      <c r="J74" s="42"/>
      <c r="K74" s="42"/>
      <c r="L74" s="42"/>
      <c r="M74" s="42"/>
      <c r="N74" s="42"/>
      <c r="O74" s="42"/>
    </row>
    <row r="75" spans="2:18" x14ac:dyDescent="0.3">
      <c r="B75" s="2" t="s">
        <v>516</v>
      </c>
      <c r="C75" s="2" t="str">
        <f>VLOOKUP(B75,坦克个性化设定!$B$18:$F$48,MATCH(C$73,坦克个性化设定!$B$18:$F$18,0),FALSE)</f>
        <v>T2</v>
      </c>
      <c r="D75" s="42">
        <f t="shared" ref="D75:D103" ca="1" si="23">AF9</f>
        <v>1156.1362009729748</v>
      </c>
      <c r="E75" s="42">
        <f t="shared" ref="E75:E103" ca="1" si="24">Q42</f>
        <v>1660.6306660485259</v>
      </c>
      <c r="G75" s="2">
        <v>2</v>
      </c>
      <c r="H75" s="42">
        <f ca="1">AVERAGE(D74,D84,D94,D75,D85,D95)</f>
        <v>996.18862462594223</v>
      </c>
      <c r="I75" s="42" t="e">
        <f t="shared" ca="1" si="22"/>
        <v>#DIV/0!</v>
      </c>
      <c r="J75" s="42"/>
      <c r="K75" s="42"/>
      <c r="L75" s="42"/>
      <c r="M75" s="42"/>
      <c r="N75" s="42"/>
      <c r="O75" s="42"/>
    </row>
    <row r="76" spans="2:18" x14ac:dyDescent="0.3">
      <c r="B76" s="2" t="s">
        <v>607</v>
      </c>
      <c r="C76" s="2" t="str">
        <f>VLOOKUP(B76,坦克个性化设定!$B$18:$F$48,MATCH(C$73,坦克个性化设定!$B$18:$F$18,0),FALSE)</f>
        <v>T2</v>
      </c>
      <c r="D76" s="42">
        <f t="shared" ca="1" si="23"/>
        <v>1283.1151904362607</v>
      </c>
      <c r="E76" s="42">
        <f t="shared" ca="1" si="24"/>
        <v>1819.5070265249199</v>
      </c>
      <c r="G76" s="2">
        <v>3</v>
      </c>
      <c r="H76" s="42">
        <f ca="1">AVERAGE(D75,D85,D95,D76,D86,D96)</f>
        <v>1179.3270795807132</v>
      </c>
      <c r="I76" s="42" t="e">
        <f t="shared" ca="1" si="22"/>
        <v>#DIV/0!</v>
      </c>
      <c r="J76" s="42"/>
      <c r="K76" s="42"/>
      <c r="L76" s="42"/>
      <c r="M76" s="42"/>
      <c r="N76" s="42"/>
      <c r="O76" s="42"/>
    </row>
    <row r="77" spans="2:18" x14ac:dyDescent="0.3">
      <c r="B77" s="2" t="s">
        <v>522</v>
      </c>
      <c r="C77" s="2" t="str">
        <f>VLOOKUP(B77,坦克个性化设定!$B$18:$F$48,MATCH(C$73,坦克个性化设定!$B$18:$F$18,0),FALSE)</f>
        <v>T3</v>
      </c>
      <c r="D77" s="42">
        <f t="shared" ca="1" si="23"/>
        <v>1532.2400457679319</v>
      </c>
      <c r="E77" s="42">
        <f t="shared" ca="1" si="24"/>
        <v>2279.6328082675313</v>
      </c>
      <c r="G77" s="2">
        <v>4</v>
      </c>
      <c r="H77" s="42">
        <f ca="1">AVERAGE(D76,D86,D96,D77,D87,D97)</f>
        <v>1370.7896543926124</v>
      </c>
      <c r="I77" s="42" t="e">
        <f t="shared" ca="1" si="22"/>
        <v>#DIV/0!</v>
      </c>
      <c r="J77" s="42"/>
      <c r="K77" s="42"/>
      <c r="L77" s="42"/>
      <c r="M77" s="42"/>
      <c r="N77" s="42"/>
      <c r="O77" s="42"/>
    </row>
    <row r="78" spans="2:18" x14ac:dyDescent="0.3">
      <c r="B78" s="2" t="s">
        <v>611</v>
      </c>
      <c r="C78" s="2" t="str">
        <f>VLOOKUP(B78,坦克个性化设定!$B$18:$F$48,MATCH(C$73,坦克个性化设定!$B$18:$F$18,0),FALSE)</f>
        <v>T3</v>
      </c>
      <c r="D78" s="42">
        <f t="shared" ca="1" si="23"/>
        <v>1457.2653696891084</v>
      </c>
      <c r="E78" s="42">
        <f t="shared" ca="1" si="24"/>
        <v>2273.3149263968094</v>
      </c>
      <c r="G78" s="2">
        <v>5</v>
      </c>
      <c r="H78" s="42">
        <f ca="1">AVERAGE(D77,D87,D97,D78,D88,D98)</f>
        <v>1546.9861633514913</v>
      </c>
      <c r="I78" s="42">
        <f t="shared" ca="1" si="22"/>
        <v>2713.5494338930234</v>
      </c>
      <c r="J78" s="42"/>
      <c r="K78" s="42"/>
      <c r="L78" s="42"/>
      <c r="M78" s="42"/>
      <c r="N78" s="42"/>
      <c r="O78" s="42"/>
    </row>
    <row r="79" spans="2:18" x14ac:dyDescent="0.3">
      <c r="B79" s="2" t="s">
        <v>613</v>
      </c>
      <c r="C79" s="2" t="str">
        <f>VLOOKUP(B79,坦克个性化设定!$B$18:$F$48,MATCH(C$73,坦克个性化设定!$B$18:$F$18,0),FALSE)</f>
        <v>T3</v>
      </c>
      <c r="D79" s="42">
        <f t="shared" ca="1" si="23"/>
        <v>1531.9688291494513</v>
      </c>
      <c r="E79" s="42">
        <f t="shared" ca="1" si="24"/>
        <v>2379.231265469632</v>
      </c>
      <c r="G79" s="2">
        <v>6</v>
      </c>
      <c r="H79" s="42">
        <f ca="1">AVERAGE(D78,D88,D100,D79,D89,D99)</f>
        <v>1676.006846077112</v>
      </c>
      <c r="I79" s="42" t="e">
        <f t="shared" ca="1" si="22"/>
        <v>#N/A</v>
      </c>
      <c r="J79" s="42"/>
      <c r="K79" s="42"/>
      <c r="L79" s="42"/>
      <c r="M79" s="42"/>
      <c r="N79" s="42"/>
      <c r="O79" s="42"/>
    </row>
    <row r="80" spans="2:18" x14ac:dyDescent="0.3">
      <c r="B80" s="2" t="s">
        <v>615</v>
      </c>
      <c r="C80" s="2" t="str">
        <f>VLOOKUP(B80,坦克个性化设定!$B$18:$F$48,MATCH(C$73,坦克个性化设定!$B$18:$F$18,0),FALSE)</f>
        <v>T4</v>
      </c>
      <c r="D80" s="42">
        <f t="shared" ca="1" si="23"/>
        <v>1991.6143491742516</v>
      </c>
      <c r="E80" s="42" t="e">
        <f t="shared" ca="1" si="24"/>
        <v>#N/A</v>
      </c>
      <c r="G80" s="2">
        <v>7</v>
      </c>
      <c r="H80" s="42">
        <f ca="1">AVERAGE(D79,D89,D99,D78,D88,D98)</f>
        <v>1575.480147342445</v>
      </c>
      <c r="I80" s="42" t="e">
        <f t="shared" ca="1" si="22"/>
        <v>#N/A</v>
      </c>
      <c r="J80" s="42"/>
      <c r="K80" s="42"/>
      <c r="L80" s="42"/>
      <c r="M80" s="42"/>
      <c r="N80" s="42"/>
      <c r="O80" s="42"/>
    </row>
    <row r="81" spans="2:15" x14ac:dyDescent="0.3">
      <c r="B81" s="2" t="s">
        <v>618</v>
      </c>
      <c r="C81" s="2" t="str">
        <f>VLOOKUP(B81,坦克个性化设定!$B$18:$F$48,MATCH(C$73,坦克个性化设定!$B$18:$F$18,0),FALSE)</f>
        <v>T4</v>
      </c>
      <c r="D81" s="42">
        <f t="shared" ca="1" si="23"/>
        <v>2146.716396608138</v>
      </c>
      <c r="E81" s="42" t="e">
        <f t="shared" ca="1" si="24"/>
        <v>#N/A</v>
      </c>
      <c r="G81" s="2">
        <v>8</v>
      </c>
      <c r="H81" s="42">
        <f ca="1">AVERAGE(D79,D89,D99,D78,D88,D98)</f>
        <v>1575.480147342445</v>
      </c>
      <c r="I81" s="42" t="e">
        <f t="shared" ca="1" si="22"/>
        <v>#N/A</v>
      </c>
      <c r="J81" s="42"/>
      <c r="K81" s="42"/>
      <c r="L81" s="42"/>
      <c r="M81" s="42"/>
      <c r="N81" s="42"/>
      <c r="O81" s="42"/>
    </row>
    <row r="82" spans="2:15" x14ac:dyDescent="0.3">
      <c r="B82" s="2" t="s">
        <v>620</v>
      </c>
      <c r="C82" s="2" t="str">
        <f>VLOOKUP(B82,坦克个性化设定!$B$18:$F$48,MATCH(C$73,坦克个性化设定!$B$18:$F$18,0),FALSE)</f>
        <v>T4</v>
      </c>
      <c r="D82" s="42">
        <f t="shared" ca="1" si="23"/>
        <v>2200.0580407465054</v>
      </c>
      <c r="E82" s="42" t="e">
        <f t="shared" ca="1" si="24"/>
        <v>#N/A</v>
      </c>
      <c r="G82" s="2">
        <v>9</v>
      </c>
      <c r="H82" s="42" t="e">
        <f ca="1">AVERAGE(D83,D93,D103,D82,D92,D102)</f>
        <v>#N/A</v>
      </c>
      <c r="I82" s="42" t="e">
        <f t="shared" ca="1" si="22"/>
        <v>#N/A</v>
      </c>
      <c r="J82" s="42"/>
      <c r="K82" s="42"/>
      <c r="L82" s="42"/>
      <c r="M82" s="42"/>
      <c r="N82" s="42"/>
      <c r="O82" s="42"/>
    </row>
    <row r="83" spans="2:15" x14ac:dyDescent="0.3">
      <c r="B83" s="2" t="s">
        <v>622</v>
      </c>
      <c r="C83" s="2" t="str">
        <f>VLOOKUP(B83,坦克个性化设定!$B$18:$F$48,MATCH(C$73,坦克个性化设定!$B$18:$F$18,0),FALSE)</f>
        <v>T5</v>
      </c>
      <c r="D83" s="42" t="e">
        <f t="shared" ca="1" si="23"/>
        <v>#N/A</v>
      </c>
      <c r="E83" s="42" t="e">
        <f t="shared" ca="1" si="24"/>
        <v>#N/A</v>
      </c>
      <c r="G83" s="2">
        <v>10</v>
      </c>
      <c r="H83" s="42" t="e">
        <f ca="1">ROUND((H$97-H$82)/(G$97-G$82)*(G83-G$82)+H$82,0)</f>
        <v>#N/A</v>
      </c>
      <c r="I83" s="42" t="e">
        <f ca="1">AVERAGE(E83,E93,E103)</f>
        <v>#N/A</v>
      </c>
      <c r="J83" s="42"/>
      <c r="K83" s="42"/>
      <c r="L83" s="42"/>
      <c r="M83" s="42"/>
      <c r="N83" s="42"/>
      <c r="O83" s="42"/>
    </row>
    <row r="84" spans="2:15" x14ac:dyDescent="0.3">
      <c r="B84" s="2" t="s">
        <v>512</v>
      </c>
      <c r="C84" s="2" t="str">
        <f>VLOOKUP(B84,坦克个性化设定!$B$18:$F$48,MATCH(C$73,坦克个性化设定!$B$18:$F$18,0),FALSE)</f>
        <v>T1</v>
      </c>
      <c r="D84" s="42">
        <f t="shared" ca="1" si="23"/>
        <v>804.04585156806161</v>
      </c>
      <c r="E84" s="42" t="e">
        <f t="shared" ca="1" si="24"/>
        <v>#DIV/0!</v>
      </c>
      <c r="G84" s="2">
        <v>11</v>
      </c>
      <c r="H84" s="42" t="e">
        <f t="shared" ref="H84:I96" ca="1" si="25">ROUND((H$97-H$82)/(G$97-G$82)*(G84-G$82)+H$82,0)</f>
        <v>#N/A</v>
      </c>
      <c r="I84" s="42" t="e">
        <f t="shared" ca="1" si="25"/>
        <v>#N/A</v>
      </c>
      <c r="J84" s="42"/>
      <c r="K84" s="42"/>
      <c r="L84" s="42"/>
      <c r="M84" s="42"/>
      <c r="N84" s="42"/>
      <c r="O84" s="42"/>
    </row>
    <row r="85" spans="2:15" x14ac:dyDescent="0.3">
      <c r="B85" s="2" t="s">
        <v>518</v>
      </c>
      <c r="C85" s="2" t="str">
        <f>VLOOKUP(B85,坦克个性化设定!$B$18:$F$48,MATCH(C$73,坦克个性化设定!$B$18:$F$18,0),FALSE)</f>
        <v>T2</v>
      </c>
      <c r="D85" s="42">
        <f t="shared" ca="1" si="23"/>
        <v>1029.6907671456206</v>
      </c>
      <c r="E85" s="42" t="e">
        <f t="shared" ca="1" si="24"/>
        <v>#DIV/0!</v>
      </c>
      <c r="G85" s="2">
        <v>12</v>
      </c>
      <c r="H85" s="42" t="e">
        <f t="shared" ca="1" si="25"/>
        <v>#N/A</v>
      </c>
      <c r="I85" s="42" t="e">
        <f t="shared" ca="1" si="25"/>
        <v>#N/A</v>
      </c>
      <c r="J85" s="42"/>
      <c r="K85" s="42"/>
      <c r="L85" s="42"/>
      <c r="M85" s="42"/>
      <c r="N85" s="42"/>
      <c r="O85" s="42"/>
    </row>
    <row r="86" spans="2:15" x14ac:dyDescent="0.3">
      <c r="B86" s="2" t="s">
        <v>627</v>
      </c>
      <c r="C86" s="2" t="str">
        <f>VLOOKUP(B86,坦克个性化设定!$B$18:$F$48,MATCH(C$73,坦克个性化设定!$B$18:$F$18,0),FALSE)</f>
        <v>T2</v>
      </c>
      <c r="D86" s="42">
        <f t="shared" ca="1" si="23"/>
        <v>1106.8622293312685</v>
      </c>
      <c r="E86" s="42">
        <f t="shared" ca="1" si="24"/>
        <v>1903.44621221738</v>
      </c>
      <c r="G86" s="2">
        <v>13</v>
      </c>
      <c r="H86" s="42" t="e">
        <f t="shared" ca="1" si="25"/>
        <v>#N/A</v>
      </c>
      <c r="I86" s="42" t="e">
        <f t="shared" ca="1" si="25"/>
        <v>#N/A</v>
      </c>
      <c r="J86" s="42"/>
      <c r="K86" s="42"/>
      <c r="L86" s="42"/>
      <c r="M86" s="42"/>
      <c r="N86" s="42"/>
      <c r="O86" s="42"/>
    </row>
    <row r="87" spans="2:15" x14ac:dyDescent="0.3">
      <c r="B87" s="2" t="s">
        <v>526</v>
      </c>
      <c r="C87" s="2" t="str">
        <f>VLOOKUP(B87,坦克个性化设定!$B$18:$F$48,MATCH(C$73,坦克个性化设定!$B$18:$F$18,0),FALSE)</f>
        <v>T3</v>
      </c>
      <c r="D87" s="42">
        <f t="shared" ca="1" si="23"/>
        <v>1374.7178575774103</v>
      </c>
      <c r="E87" s="42" t="e">
        <f t="shared" ca="1" si="24"/>
        <v>#DIV/0!</v>
      </c>
      <c r="G87" s="2">
        <v>14</v>
      </c>
      <c r="H87" s="42" t="e">
        <f t="shared" ca="1" si="25"/>
        <v>#N/A</v>
      </c>
      <c r="I87" s="42" t="e">
        <f t="shared" ca="1" si="25"/>
        <v>#N/A</v>
      </c>
      <c r="J87" s="42"/>
      <c r="K87" s="42"/>
      <c r="L87" s="42"/>
      <c r="M87" s="42"/>
      <c r="N87" s="42"/>
      <c r="O87" s="42"/>
    </row>
    <row r="88" spans="2:15" x14ac:dyDescent="0.3">
      <c r="B88" s="2" t="s">
        <v>630</v>
      </c>
      <c r="C88" s="2" t="str">
        <f>VLOOKUP(B88,坦克个性化设定!$B$18:$F$48,MATCH(C$73,坦克个性化设定!$B$18:$F$18,0),FALSE)</f>
        <v>T3</v>
      </c>
      <c r="D88" s="42">
        <f t="shared" ca="1" si="23"/>
        <v>1516.104086355444</v>
      </c>
      <c r="E88" s="42">
        <f t="shared" ca="1" si="24"/>
        <v>2698.5034573954931</v>
      </c>
      <c r="G88" s="2">
        <v>15</v>
      </c>
      <c r="H88" s="42" t="e">
        <f t="shared" ca="1" si="25"/>
        <v>#N/A</v>
      </c>
      <c r="I88" s="42" t="e">
        <f t="shared" ca="1" si="25"/>
        <v>#N/A</v>
      </c>
      <c r="J88" s="42"/>
      <c r="K88" s="42"/>
      <c r="L88" s="42"/>
      <c r="M88" s="42"/>
      <c r="N88" s="42"/>
      <c r="O88" s="42"/>
    </row>
    <row r="89" spans="2:15" x14ac:dyDescent="0.3">
      <c r="B89" s="2" t="s">
        <v>632</v>
      </c>
      <c r="C89" s="2" t="str">
        <f>VLOOKUP(B89,坦克个性化设定!$B$18:$F$48,MATCH(C$73,坦克个性化设定!$B$18:$F$18,0),FALSE)</f>
        <v>T3</v>
      </c>
      <c r="D89" s="42">
        <f t="shared" ca="1" si="23"/>
        <v>1479.591141162495</v>
      </c>
      <c r="E89" s="42">
        <f t="shared" ca="1" si="24"/>
        <v>2690.1838134784216</v>
      </c>
      <c r="G89" s="2">
        <v>16</v>
      </c>
      <c r="H89" s="42" t="e">
        <f t="shared" ca="1" si="25"/>
        <v>#N/A</v>
      </c>
      <c r="I89" s="42" t="e">
        <f t="shared" ca="1" si="25"/>
        <v>#N/A</v>
      </c>
      <c r="J89" s="42"/>
      <c r="K89" s="42"/>
      <c r="L89" s="42"/>
      <c r="M89" s="42"/>
      <c r="N89" s="42"/>
      <c r="O89" s="42"/>
    </row>
    <row r="90" spans="2:15" x14ac:dyDescent="0.3">
      <c r="B90" s="2" t="s">
        <v>634</v>
      </c>
      <c r="C90" s="2" t="str">
        <f>VLOOKUP(B90,坦克个性化设定!$B$18:$F$48,MATCH(C$73,坦克个性化设定!$B$18:$F$18,0),FALSE)</f>
        <v>T4</v>
      </c>
      <c r="D90" s="42">
        <f t="shared" ca="1" si="23"/>
        <v>2022.0436068069507</v>
      </c>
      <c r="E90" s="42" t="e">
        <f t="shared" ca="1" si="24"/>
        <v>#N/A</v>
      </c>
      <c r="G90" s="2">
        <v>17</v>
      </c>
      <c r="H90" s="42" t="e">
        <f t="shared" ca="1" si="25"/>
        <v>#N/A</v>
      </c>
      <c r="I90" s="42" t="e">
        <f t="shared" ca="1" si="25"/>
        <v>#N/A</v>
      </c>
      <c r="J90" s="42"/>
      <c r="K90" s="42"/>
      <c r="L90" s="42"/>
      <c r="M90" s="42"/>
      <c r="N90" s="42"/>
      <c r="O90" s="42"/>
    </row>
    <row r="91" spans="2:15" x14ac:dyDescent="0.3">
      <c r="B91" s="2" t="s">
        <v>636</v>
      </c>
      <c r="C91" s="2" t="str">
        <f>VLOOKUP(B91,坦克个性化设定!$B$18:$F$48,MATCH(C$73,坦克个性化设定!$B$18:$F$18,0),FALSE)</f>
        <v>T4</v>
      </c>
      <c r="D91" s="42">
        <f t="shared" ca="1" si="23"/>
        <v>2054.5871172461148</v>
      </c>
      <c r="E91" s="42" t="e">
        <f t="shared" ca="1" si="24"/>
        <v>#N/A</v>
      </c>
      <c r="G91" s="2">
        <v>18</v>
      </c>
      <c r="H91" s="42" t="e">
        <f t="shared" ca="1" si="25"/>
        <v>#N/A</v>
      </c>
      <c r="I91" s="42" t="e">
        <f t="shared" ca="1" si="25"/>
        <v>#N/A</v>
      </c>
      <c r="J91" s="42"/>
      <c r="K91" s="42"/>
      <c r="L91" s="42"/>
      <c r="M91" s="42"/>
      <c r="N91" s="42"/>
      <c r="O91" s="42"/>
    </row>
    <row r="92" spans="2:15" x14ac:dyDescent="0.3">
      <c r="B92" s="2" t="s">
        <v>638</v>
      </c>
      <c r="C92" s="2" t="str">
        <f>VLOOKUP(B92,坦克个性化设定!$B$18:$F$48,MATCH(C$73,坦克个性化设定!$B$18:$F$18,0),FALSE)</f>
        <v>T4</v>
      </c>
      <c r="D92" s="42">
        <f t="shared" ca="1" si="23"/>
        <v>2170.6537613644118</v>
      </c>
      <c r="E92" s="42" t="e">
        <f t="shared" ca="1" si="24"/>
        <v>#N/A</v>
      </c>
      <c r="G92" s="2">
        <v>19</v>
      </c>
      <c r="H92" s="42" t="e">
        <f t="shared" ca="1" si="25"/>
        <v>#N/A</v>
      </c>
      <c r="I92" s="42" t="e">
        <f t="shared" ca="1" si="25"/>
        <v>#N/A</v>
      </c>
      <c r="J92" s="42"/>
      <c r="K92" s="42"/>
      <c r="L92" s="42"/>
      <c r="M92" s="42"/>
      <c r="N92" s="42"/>
      <c r="O92" s="42"/>
    </row>
    <row r="93" spans="2:15" x14ac:dyDescent="0.3">
      <c r="B93" s="2" t="s">
        <v>640</v>
      </c>
      <c r="C93" s="2" t="str">
        <f>VLOOKUP(B93,坦克个性化设定!$B$18:$F$48,MATCH(C$73,坦克个性化设定!$B$18:$F$18,0),FALSE)</f>
        <v>T5</v>
      </c>
      <c r="D93" s="42" t="e">
        <f t="shared" ca="1" si="23"/>
        <v>#N/A</v>
      </c>
      <c r="E93" s="42" t="e">
        <f t="shared" ca="1" si="24"/>
        <v>#N/A</v>
      </c>
      <c r="G93" s="2">
        <v>20</v>
      </c>
      <c r="H93" s="42" t="e">
        <f t="shared" ca="1" si="25"/>
        <v>#N/A</v>
      </c>
      <c r="I93" s="42" t="e">
        <f t="shared" ca="1" si="25"/>
        <v>#N/A</v>
      </c>
      <c r="J93" s="42"/>
      <c r="K93" s="42"/>
      <c r="L93" s="42"/>
      <c r="M93" s="42"/>
      <c r="N93" s="42"/>
      <c r="O93" s="42"/>
    </row>
    <row r="94" spans="2:15" x14ac:dyDescent="0.3">
      <c r="B94" s="2" t="s">
        <v>642</v>
      </c>
      <c r="C94" s="2" t="str">
        <f>VLOOKUP(B94,坦克个性化设定!$B$18:$F$48,MATCH(C$73,坦克个性化设定!$B$18:$F$18,0),FALSE)</f>
        <v>T1</v>
      </c>
      <c r="D94" s="42">
        <f t="shared" ca="1" si="23"/>
        <v>882.13311087146712</v>
      </c>
      <c r="E94" s="42">
        <f t="shared" ca="1" si="24"/>
        <v>1451.567014983166</v>
      </c>
      <c r="G94" s="2">
        <v>21</v>
      </c>
      <c r="H94" s="42" t="e">
        <f t="shared" ca="1" si="25"/>
        <v>#N/A</v>
      </c>
      <c r="I94" s="42" t="e">
        <f t="shared" ca="1" si="25"/>
        <v>#N/A</v>
      </c>
      <c r="J94" s="42"/>
      <c r="K94" s="42"/>
      <c r="L94" s="42"/>
      <c r="M94" s="42"/>
      <c r="N94" s="42"/>
      <c r="O94" s="42"/>
    </row>
    <row r="95" spans="2:15" x14ac:dyDescent="0.3">
      <c r="B95" s="2" t="s">
        <v>644</v>
      </c>
      <c r="C95" s="2" t="str">
        <f>VLOOKUP(B95,坦克个性化设定!$B$18:$F$48,MATCH(C$73,坦克个性化设定!$B$18:$F$18,0),FALSE)</f>
        <v>T2</v>
      </c>
      <c r="D95" s="42">
        <f t="shared" ca="1" si="23"/>
        <v>1227.1790635432608</v>
      </c>
      <c r="E95" s="42">
        <f t="shared" ca="1" si="24"/>
        <v>2044.5451591100584</v>
      </c>
      <c r="G95" s="2">
        <v>22</v>
      </c>
      <c r="H95" s="42" t="e">
        <f t="shared" ca="1" si="25"/>
        <v>#N/A</v>
      </c>
      <c r="I95" s="42" t="e">
        <f t="shared" ca="1" si="25"/>
        <v>#N/A</v>
      </c>
      <c r="J95" s="42"/>
      <c r="K95" s="42"/>
      <c r="L95" s="42"/>
      <c r="M95" s="42"/>
      <c r="N95" s="42"/>
      <c r="O95" s="42"/>
    </row>
    <row r="96" spans="2:15" x14ac:dyDescent="0.3">
      <c r="B96" s="2" t="s">
        <v>646</v>
      </c>
      <c r="C96" s="2" t="str">
        <f>VLOOKUP(B96,坦克个性化设定!$B$18:$F$48,MATCH(C$73,坦克个性化设定!$B$18:$F$18,0),FALSE)</f>
        <v>T2</v>
      </c>
      <c r="D96" s="42">
        <f t="shared" ca="1" si="23"/>
        <v>1272.9790260548941</v>
      </c>
      <c r="E96" s="42">
        <f t="shared" ca="1" si="24"/>
        <v>2190.8237214703913</v>
      </c>
      <c r="G96" s="2">
        <v>23</v>
      </c>
      <c r="H96" s="42" t="e">
        <f t="shared" ca="1" si="25"/>
        <v>#N/A</v>
      </c>
      <c r="I96" s="42" t="e">
        <f t="shared" ca="1" si="25"/>
        <v>#N/A</v>
      </c>
      <c r="J96" s="42"/>
      <c r="K96" s="42"/>
      <c r="L96" s="42"/>
      <c r="M96" s="42"/>
      <c r="N96" s="42"/>
      <c r="O96" s="42"/>
    </row>
    <row r="97" spans="2:15" x14ac:dyDescent="0.3">
      <c r="B97" s="2" t="s">
        <v>529</v>
      </c>
      <c r="C97" s="2" t="str">
        <f>VLOOKUP(B97,坦克个性化设定!$B$18:$F$48,MATCH(C$73,坦克个性化设定!$B$18:$F$18,0),FALSE)</f>
        <v>T3</v>
      </c>
      <c r="D97" s="42">
        <f t="shared" ca="1" si="23"/>
        <v>1654.8235771879076</v>
      </c>
      <c r="E97" s="42">
        <f t="shared" ca="1" si="24"/>
        <v>2884.4686843547252</v>
      </c>
      <c r="G97" s="2">
        <v>24</v>
      </c>
      <c r="H97" s="42" t="e">
        <f ca="1">AVERAGE(E83,E93,E103)</f>
        <v>#N/A</v>
      </c>
      <c r="I97" s="42" t="e">
        <f ca="1">AVERAGE(E83,E93,E103)</f>
        <v>#N/A</v>
      </c>
      <c r="J97" s="42"/>
      <c r="K97" s="42"/>
      <c r="L97" s="42"/>
      <c r="M97" s="42"/>
      <c r="N97" s="42"/>
      <c r="O97" s="42"/>
    </row>
    <row r="98" spans="2:15" x14ac:dyDescent="0.3">
      <c r="B98" s="2" t="s">
        <v>649</v>
      </c>
      <c r="C98" s="2" t="str">
        <f>VLOOKUP(B98,坦克个性化设定!$B$18:$F$48,MATCH(C$73,坦克个性化设定!$B$18:$F$18,0),FALSE)</f>
        <v>T3</v>
      </c>
      <c r="D98" s="42">
        <f t="shared" ca="1" si="23"/>
        <v>1746.7660435311464</v>
      </c>
      <c r="E98" s="42">
        <f t="shared" ca="1" si="24"/>
        <v>3108.4410194369175</v>
      </c>
    </row>
    <row r="99" spans="2:15" x14ac:dyDescent="0.3">
      <c r="B99" s="2" t="s">
        <v>651</v>
      </c>
      <c r="C99" s="2" t="str">
        <f>VLOOKUP(B99,坦克个性化设定!$B$18:$F$48,MATCH(C$73,坦克个性化设定!$B$18:$F$18,0),FALSE)</f>
        <v>T3</v>
      </c>
      <c r="D99" s="42">
        <f t="shared" ca="1" si="23"/>
        <v>1721.1854141670246</v>
      </c>
      <c r="E99" s="42">
        <f t="shared" ca="1" si="24"/>
        <v>3131.622121180867</v>
      </c>
    </row>
    <row r="100" spans="2:15" x14ac:dyDescent="0.3">
      <c r="B100" s="2" t="s">
        <v>653</v>
      </c>
      <c r="C100" s="2" t="str">
        <f>VLOOKUP(B100,坦克个性化设定!$B$18:$F$48,MATCH(C$73,坦克个性化设定!$B$18:$F$18,0),FALSE)</f>
        <v>T4</v>
      </c>
      <c r="D100" s="42">
        <f t="shared" ca="1" si="23"/>
        <v>2349.9262359391482</v>
      </c>
      <c r="E100" s="42" t="e">
        <f t="shared" ca="1" si="24"/>
        <v>#N/A</v>
      </c>
      <c r="H100" s="133"/>
    </row>
    <row r="101" spans="2:15" x14ac:dyDescent="0.3">
      <c r="B101" s="2" t="s">
        <v>655</v>
      </c>
      <c r="C101" s="2" t="str">
        <f>VLOOKUP(B101,坦克个性化设定!$B$18:$F$48,MATCH(C$73,坦克个性化设定!$B$18:$F$18,0),FALSE)</f>
        <v>T4</v>
      </c>
      <c r="D101" s="42">
        <f t="shared" ca="1" si="23"/>
        <v>2453.8611523833761</v>
      </c>
      <c r="E101" s="42" t="e">
        <f t="shared" ca="1" si="24"/>
        <v>#N/A</v>
      </c>
      <c r="H101" s="133"/>
    </row>
    <row r="102" spans="2:15" x14ac:dyDescent="0.3">
      <c r="B102" s="2" t="s">
        <v>657</v>
      </c>
      <c r="C102" s="2" t="str">
        <f>VLOOKUP(B102,坦克个性化设定!$B$18:$F$48,MATCH(C$73,坦克个性化设定!$B$18:$F$18,0),FALSE)</f>
        <v>T4</v>
      </c>
      <c r="D102" s="42">
        <f t="shared" ca="1" si="23"/>
        <v>2483.5505171521295</v>
      </c>
      <c r="E102" s="42" t="e">
        <f t="shared" ca="1" si="24"/>
        <v>#N/A</v>
      </c>
      <c r="H102" s="133"/>
    </row>
    <row r="103" spans="2:15" x14ac:dyDescent="0.3">
      <c r="B103" s="2" t="s">
        <v>659</v>
      </c>
      <c r="C103" s="2" t="str">
        <f>VLOOKUP(B103,坦克个性化设定!$B$18:$F$48,MATCH(C$73,坦克个性化设定!$B$18:$F$18,0),FALSE)</f>
        <v>T5</v>
      </c>
      <c r="D103" s="42" t="e">
        <f t="shared" ca="1" si="23"/>
        <v>#N/A</v>
      </c>
      <c r="E103" s="42" t="e">
        <f t="shared" ca="1" si="24"/>
        <v>#N/A</v>
      </c>
      <c r="H103" s="133"/>
    </row>
    <row r="104" spans="2:15" x14ac:dyDescent="0.3">
      <c r="H104" s="133"/>
    </row>
    <row r="105" spans="2:15" x14ac:dyDescent="0.3">
      <c r="H105" s="133"/>
    </row>
    <row r="106" spans="2:15" x14ac:dyDescent="0.3">
      <c r="H106" s="133"/>
    </row>
    <row r="107" spans="2:15" x14ac:dyDescent="0.3">
      <c r="H107" s="133"/>
    </row>
    <row r="108" spans="2:15" x14ac:dyDescent="0.3">
      <c r="H108" s="133"/>
    </row>
    <row r="109" spans="2:15" x14ac:dyDescent="0.3">
      <c r="H109" s="133"/>
    </row>
    <row r="110" spans="2:15" x14ac:dyDescent="0.3">
      <c r="H110" s="133"/>
    </row>
    <row r="111" spans="2:15" x14ac:dyDescent="0.3">
      <c r="H111" s="133"/>
    </row>
    <row r="112" spans="2:15" x14ac:dyDescent="0.3">
      <c r="H112" s="133"/>
    </row>
    <row r="113" spans="8:8" x14ac:dyDescent="0.3">
      <c r="H113" s="133"/>
    </row>
    <row r="114" spans="8:8" x14ac:dyDescent="0.3">
      <c r="H114" s="133"/>
    </row>
    <row r="115" spans="8:8" x14ac:dyDescent="0.3">
      <c r="H115" s="133"/>
    </row>
    <row r="116" spans="8:8" x14ac:dyDescent="0.3">
      <c r="H116" s="133"/>
    </row>
  </sheetData>
  <mergeCells count="3">
    <mergeCell ref="B39:Q39"/>
    <mergeCell ref="B72:E72"/>
    <mergeCell ref="G72:O72"/>
  </mergeCells>
  <phoneticPr fontId="32" type="noConversion"/>
  <pageMargins left="0.7" right="0.7" top="0.75" bottom="0.75" header="0.3" footer="0.3"/>
  <pageSetup paperSize="9"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24"/>
  <dimension ref="B3:BM48"/>
  <sheetViews>
    <sheetView workbookViewId="0">
      <selection activeCell="I12" sqref="I12"/>
    </sheetView>
  </sheetViews>
  <sheetFormatPr defaultColWidth="9" defaultRowHeight="14.25" x14ac:dyDescent="0.3"/>
  <cols>
    <col min="1" max="16384" width="9" style="1"/>
  </cols>
  <sheetData>
    <row r="3" spans="2:65" x14ac:dyDescent="0.3">
      <c r="B3" s="2" t="s">
        <v>1684</v>
      </c>
      <c r="C3" s="2" t="s">
        <v>1685</v>
      </c>
      <c r="D3" s="2" t="s">
        <v>1686</v>
      </c>
      <c r="E3" s="2" t="s">
        <v>1687</v>
      </c>
      <c r="F3" s="2" t="s">
        <v>1688</v>
      </c>
      <c r="G3" s="2" t="s">
        <v>1689</v>
      </c>
      <c r="H3" s="2" t="s">
        <v>1690</v>
      </c>
      <c r="I3" s="2" t="s">
        <v>1691</v>
      </c>
      <c r="J3" s="2" t="s">
        <v>1692</v>
      </c>
      <c r="K3" s="2" t="s">
        <v>1693</v>
      </c>
      <c r="L3" s="2" t="s">
        <v>1694</v>
      </c>
      <c r="M3" s="2" t="s">
        <v>1695</v>
      </c>
      <c r="N3" s="2" t="s">
        <v>1696</v>
      </c>
      <c r="O3" s="2" t="s">
        <v>1697</v>
      </c>
      <c r="P3" s="2" t="s">
        <v>1698</v>
      </c>
      <c r="Q3" s="2" t="s">
        <v>1699</v>
      </c>
      <c r="R3" s="2" t="s">
        <v>1700</v>
      </c>
      <c r="S3" s="2" t="s">
        <v>1701</v>
      </c>
      <c r="T3" s="2" t="s">
        <v>1702</v>
      </c>
      <c r="U3" s="2" t="s">
        <v>1703</v>
      </c>
      <c r="V3" s="2" t="s">
        <v>1704</v>
      </c>
      <c r="W3" s="2" t="s">
        <v>1705</v>
      </c>
      <c r="X3" s="2" t="s">
        <v>1706</v>
      </c>
      <c r="Y3" s="2" t="s">
        <v>759</v>
      </c>
      <c r="Z3" s="2" t="s">
        <v>760</v>
      </c>
      <c r="AA3" s="2" t="s">
        <v>761</v>
      </c>
      <c r="AB3" s="2" t="s">
        <v>76</v>
      </c>
      <c r="AC3" s="2" t="s">
        <v>124</v>
      </c>
      <c r="AD3" s="2" t="s">
        <v>1203</v>
      </c>
      <c r="AE3" s="2" t="s">
        <v>1204</v>
      </c>
      <c r="AF3" s="2" t="s">
        <v>1205</v>
      </c>
      <c r="AG3" s="2" t="s">
        <v>86</v>
      </c>
      <c r="AH3" s="2" t="s">
        <v>90</v>
      </c>
      <c r="AI3" s="2" t="s">
        <v>88</v>
      </c>
      <c r="AJ3" s="2" t="s">
        <v>89</v>
      </c>
      <c r="AK3" s="2" t="s">
        <v>1669</v>
      </c>
      <c r="AL3" s="2" t="s">
        <v>759</v>
      </c>
      <c r="AM3" s="2" t="s">
        <v>760</v>
      </c>
      <c r="AN3" s="2" t="s">
        <v>761</v>
      </c>
      <c r="AO3" s="2" t="s">
        <v>76</v>
      </c>
      <c r="AP3" s="2" t="s">
        <v>124</v>
      </c>
      <c r="AQ3" s="2" t="s">
        <v>1203</v>
      </c>
      <c r="AR3" s="2" t="s">
        <v>1204</v>
      </c>
      <c r="AS3" s="2" t="s">
        <v>1205</v>
      </c>
      <c r="AT3" s="2" t="s">
        <v>86</v>
      </c>
      <c r="AU3" s="2" t="s">
        <v>90</v>
      </c>
      <c r="AV3" s="2" t="s">
        <v>88</v>
      </c>
      <c r="AW3" s="2" t="s">
        <v>89</v>
      </c>
      <c r="AX3" s="2" t="s">
        <v>1669</v>
      </c>
      <c r="AY3" s="2" t="s">
        <v>759</v>
      </c>
      <c r="AZ3" s="2" t="s">
        <v>760</v>
      </c>
      <c r="BA3" s="2" t="s">
        <v>761</v>
      </c>
      <c r="BB3" s="2" t="s">
        <v>76</v>
      </c>
      <c r="BC3" s="2" t="s">
        <v>124</v>
      </c>
      <c r="BD3" s="2" t="s">
        <v>1203</v>
      </c>
      <c r="BE3" s="2" t="s">
        <v>1204</v>
      </c>
      <c r="BF3" s="2" t="s">
        <v>1205</v>
      </c>
      <c r="BG3" s="2" t="s">
        <v>86</v>
      </c>
      <c r="BH3" s="2" t="s">
        <v>90</v>
      </c>
      <c r="BI3" s="2" t="s">
        <v>88</v>
      </c>
      <c r="BJ3" s="2" t="s">
        <v>89</v>
      </c>
      <c r="BK3" s="2" t="s">
        <v>1669</v>
      </c>
    </row>
    <row r="4" spans="2:65" x14ac:dyDescent="0.3">
      <c r="B4" s="2">
        <v>1</v>
      </c>
      <c r="C4" s="2" t="e">
        <f ca="1">MAX(V4:X4)*0.65+MIN(V4:X4)*0.1225+(SUM(V4:X4)-MAX(V4:X4)-MIN(V4:X4))*0.2275</f>
        <v>#REF!</v>
      </c>
      <c r="D4" s="2" t="s">
        <v>510</v>
      </c>
      <c r="E4" s="2" t="s">
        <v>512</v>
      </c>
      <c r="F4" s="2" t="s">
        <v>642</v>
      </c>
      <c r="G4" s="2" t="str">
        <f>VLOOKUP(D4,坦克个性化设定!$B$18:$F$48,5,FALSE)</f>
        <v>轻坦弹夹</v>
      </c>
      <c r="H4" s="2" t="str">
        <f>VLOOKUP(E4,坦克个性化设定!$B$18:$F$48,5,FALSE)</f>
        <v>中坦自动</v>
      </c>
      <c r="I4" s="2" t="str">
        <f>VLOOKUP(F4,坦克个性化设定!$B$18:$F$48,5,FALSE)</f>
        <v>重坦自动</v>
      </c>
      <c r="J4" s="2">
        <v>0</v>
      </c>
      <c r="K4" s="2">
        <v>0</v>
      </c>
      <c r="L4" s="2">
        <v>0</v>
      </c>
      <c r="M4" s="2" t="s">
        <v>1707</v>
      </c>
      <c r="N4" s="2" t="s">
        <v>1707</v>
      </c>
      <c r="O4" s="2" t="s">
        <v>1707</v>
      </c>
      <c r="P4" s="2">
        <v>0</v>
      </c>
      <c r="Q4" s="2">
        <v>0</v>
      </c>
      <c r="R4" s="2">
        <v>0</v>
      </c>
      <c r="S4" s="2">
        <v>1</v>
      </c>
      <c r="T4" s="2">
        <v>1</v>
      </c>
      <c r="U4" s="2">
        <v>1</v>
      </c>
      <c r="V4" s="42" t="e">
        <f ca="1">ROUND(SQRT(Y4*Z4*AK4/2+AVERAGE(AA4,AB4)*AC4*100),0)</f>
        <v>#REF!</v>
      </c>
      <c r="W4" s="42" t="e">
        <f ca="1">ROUND(SQRT(AL4*AM4*AX4/2+AVERAGE(AN4,AO4)*AP4*100),0)</f>
        <v>#REF!</v>
      </c>
      <c r="X4" s="42" t="e">
        <f ca="1">ROUND(SQRT(AY4*AZ4*BK4/2+AVERAGE(BA4,BB4)*BC4*100),0)</f>
        <v>#REF!</v>
      </c>
      <c r="Y4" s="2" t="e">
        <f ca="1">VLOOKUP($D4&amp;$J4,所有坦克升星属性,MATCH(Y$3,所有坦克升星属性标头,0),FALSE)+ROUND(AD4/VLOOKUP($D4,坦克部件!#REF!,4,FALSE)*VLOOKUP($D4&amp;0,所有坦克升星属性,MATCH(Y$3,所有坦克升星属性标头,0),FALSE),0)</f>
        <v>#REF!</v>
      </c>
      <c r="Z4" s="2" t="e">
        <f ca="1">VLOOKUP($D4&amp;$J4,所有坦克升星属性,MATCH(Z$3,所有坦克升星属性标头,0),FALSE)+ROUND(AE4/VLOOKUP($D4,坦克部件!#REF!,4,FALSE)*VLOOKUP($D4&amp;0,所有坦克升星属性,MATCH(Z$3,所有坦克升星属性标头,0),FALSE),0)</f>
        <v>#REF!</v>
      </c>
      <c r="AA4" s="2">
        <f t="shared" ref="AA4:AB23" ca="1" si="0">VLOOKUP($D4&amp;$J4,所有坦克升星属性,MATCH(AA$3,所有坦克升星属性标头,0),FALSE)</f>
        <v>329</v>
      </c>
      <c r="AB4" s="2">
        <f t="shared" ca="1" si="0"/>
        <v>131</v>
      </c>
      <c r="AC4" s="2" t="e">
        <f ca="1">VLOOKUP($D4&amp;$J4,所有坦克升星属性,MATCH(AC$3,所有坦克升星属性标头,0),FALSE)+ROUND(AF4/VLOOKUP($D4,坦克部件!#REF!,4,FALSE)*VLOOKUP($D4&amp;0,所有坦克升星属性,MATCH(AC$3,所有坦克升星属性标头,0),FALSE),0)</f>
        <v>#REF!</v>
      </c>
      <c r="AD4" s="2" t="e">
        <f>(VLOOKUP($S4,坦克部件!#REF!,MATCH("标准值",坦克部件!#REF!,0),FALSE)+VLOOKUP($M4,坦克部件!#REF!,MATCH("标准值",坦克部件!#REF!,0),FALSE))*$P4</f>
        <v>#REF!</v>
      </c>
      <c r="AE4" s="2" t="e">
        <f>(VLOOKUP($S4,坦克部件!#REF!,MATCH("标准值",坦克部件!#REF!,0),FALSE)+VLOOKUP($M4,坦克部件!#REF!,MATCH("标准值",坦克部件!#REF!,0),FALSE))*$P4</f>
        <v>#REF!</v>
      </c>
      <c r="AF4" s="2" t="e">
        <f>(VLOOKUP($S4,坦克部件!#REF!,MATCH("标准值",坦克部件!#REF!,0),FALSE)+VLOOKUP($M4,坦克部件!#REF!,MATCH("标准值",坦克部件!#REF!,0),FALSE))*$P4</f>
        <v>#REF!</v>
      </c>
      <c r="AG4" s="2">
        <f>VLOOKUP($D4,坦克属性统计!$B$3:$AY$33,MATCH(AG$3,坦克属性统计!$B$3:$AY$3,0),FALSE)</f>
        <v>18</v>
      </c>
      <c r="AH4" s="2">
        <f t="shared" ref="AH4:AJ23" si="1">VLOOKUP($D4&amp;$J4,所有坦克升星属性,MATCH(AH$3,所有坦克升星属性标头,0),FALSE)</f>
        <v>0.6</v>
      </c>
      <c r="AI4" s="2">
        <f t="shared" si="1"/>
        <v>0</v>
      </c>
      <c r="AJ4" s="2">
        <f t="shared" si="1"/>
        <v>7.6</v>
      </c>
      <c r="AK4" s="34">
        <f>IF(LEN(G4)=5,(60-(AG4-1)*AH4)/AI4+AG4,IF(RIGHT(G4,2)="弹夹",((60-(AG4-1)*AH4)/(AJ4+(AG4-1)*AH4)+1)*AG4,60/AI4+AG4))</f>
        <v>68.359550561797761</v>
      </c>
      <c r="AL4" s="2" t="e">
        <f ca="1">VLOOKUP($E4&amp;$K4,所有坦克升星属性,MATCH(AL$3,所有坦克升星属性标头,0),FALSE)+ROUND(AQ4/VLOOKUP($E4,坦克部件!#REF!,4,FALSE)*VLOOKUP($E4&amp;0,所有坦克升星属性,MATCH(AL$3,所有坦克升星属性标头,0),FALSE),0)</f>
        <v>#REF!</v>
      </c>
      <c r="AM4" s="2" t="e">
        <f ca="1">VLOOKUP($E4&amp;$K4,所有坦克升星属性,MATCH(AM$3,所有坦克升星属性标头,0),FALSE)+ROUND(AR4/VLOOKUP($E4,坦克部件!#REF!,4,FALSE)*VLOOKUP($E4&amp;0,所有坦克升星属性,MATCH(AM$3,所有坦克升星属性标头,0),FALSE),0)</f>
        <v>#REF!</v>
      </c>
      <c r="AN4" s="2">
        <f t="shared" ref="AN4:AO23" ca="1" si="2">VLOOKUP($E4&amp;$K4,所有坦克升星属性,MATCH(AN$3,所有坦克升星属性标头,0),FALSE)</f>
        <v>329</v>
      </c>
      <c r="AO4" s="2">
        <f t="shared" ca="1" si="2"/>
        <v>148</v>
      </c>
      <c r="AP4" s="2" t="e">
        <f ca="1">VLOOKUP($E4&amp;$K4,所有坦克升星属性,MATCH(AP$3,所有坦克升星属性标头,0),FALSE)+ROUND(AS4/VLOOKUP($E4,坦克部件!#REF!,4,FALSE)*VLOOKUP($E4&amp;0,所有坦克升星属性,MATCH(AP$3,所有坦克升星属性标头,0),FALSE),0)</f>
        <v>#REF!</v>
      </c>
      <c r="AQ4" s="2" t="e">
        <f>(VLOOKUP($T4,坦克部件!#REF!,MATCH("标准值",坦克部件!#REF!,0),FALSE)+VLOOKUP($N4,坦克部件!#REF!,MATCH("标准值",坦克部件!#REF!,0),FALSE))*$Q4</f>
        <v>#REF!</v>
      </c>
      <c r="AR4" s="2" t="e">
        <f>(VLOOKUP($T4,坦克部件!#REF!,MATCH("标准值",坦克部件!#REF!,0),FALSE)+VLOOKUP($N4,坦克部件!#REF!,MATCH("标准值",坦克部件!#REF!,0),FALSE))*$Q4</f>
        <v>#REF!</v>
      </c>
      <c r="AS4" s="2" t="e">
        <f>(VLOOKUP($T4,坦克部件!#REF!,MATCH("标准值",坦克部件!#REF!,0),FALSE)+VLOOKUP($N4,坦克部件!#REF!,MATCH("标准值",坦克部件!#REF!,0),FALSE))*$Q4</f>
        <v>#REF!</v>
      </c>
      <c r="AT4" s="2">
        <f>VLOOKUP($E4,坦克属性统计!$B$3:$AY$33,MATCH(AT$3,坦克属性统计!$B$3:$AY$3,0),FALSE)</f>
        <v>9</v>
      </c>
      <c r="AU4" s="2">
        <f t="shared" ref="AU4:AW23" si="3">VLOOKUP($E4&amp;$K4,所有坦克升星属性,MATCH(AU$3,所有坦克升星属性标头,0),FALSE)</f>
        <v>0.3</v>
      </c>
      <c r="AV4" s="2">
        <f t="shared" si="3"/>
        <v>0</v>
      </c>
      <c r="AW4" s="2">
        <f t="shared" si="3"/>
        <v>3.2</v>
      </c>
      <c r="AX4" s="34" t="e">
        <f>IF(LEN(H4)=5,(60-(AT4-1)*AU4)/AV4+AT4,IF(RIGHT(H4,2)="弹夹",((60-(AT4-1)*AU4)/(AW4+(AT4-1)*AU4)+1)*AT4,60/AV4+AT4))</f>
        <v>#DIV/0!</v>
      </c>
      <c r="AY4" s="2" t="e">
        <f ca="1">VLOOKUP($F4&amp;$L4,所有坦克升星属性,MATCH(AY$3,所有坦克升星属性标头,0),FALSE)+ROUND(BD4/VLOOKUP($F4,坦克部件!#REF!,4,FALSE)*VLOOKUP($F4&amp;0,所有坦克升星属性,MATCH(AY$3,所有坦克升星属性标头,0),FALSE),0)</f>
        <v>#REF!</v>
      </c>
      <c r="AZ4" s="2" t="e">
        <f ca="1">VLOOKUP($F4&amp;$L4,所有坦克升星属性,MATCH(AZ$3,所有坦克升星属性标头,0),FALSE)+ROUND(BE4/VLOOKUP($F4,坦克部件!#REF!,4,FALSE)*VLOOKUP($F4&amp;0,所有坦克升星属性,MATCH(AZ$3,所有坦克升星属性标头,0),FALSE),0)</f>
        <v>#REF!</v>
      </c>
      <c r="BA4" s="2">
        <f t="shared" ref="BA4:BB23" ca="1" si="4">VLOOKUP($F4&amp;$L4,所有坦克升星属性,MATCH(BA$3,所有坦克升星属性标头,0),FALSE)</f>
        <v>114</v>
      </c>
      <c r="BB4" s="2">
        <f t="shared" ca="1" si="4"/>
        <v>286</v>
      </c>
      <c r="BC4" s="2" t="e">
        <f ca="1">VLOOKUP($F4&amp;$L4,所有坦克升星属性,MATCH(BC$3,所有坦克升星属性标头,0),FALSE)+ROUND(BF4/VLOOKUP($F4,坦克部件!#REF!,4,FALSE)*VLOOKUP($F4&amp;0,所有坦克升星属性,MATCH(BC$3,所有坦克升星属性标头,0),FALSE),0)</f>
        <v>#REF!</v>
      </c>
      <c r="BD4" s="2" t="e">
        <f>(VLOOKUP($U4,坦克部件!#REF!,MATCH("标准值",坦克部件!#REF!,0),FALSE)+VLOOKUP($O4,坦克部件!#REF!,MATCH("标准值",坦克部件!#REF!,0),FALSE))*$R4</f>
        <v>#REF!</v>
      </c>
      <c r="BE4" s="2" t="e">
        <f>(VLOOKUP($U4,坦克部件!#REF!,MATCH("标准值",坦克部件!#REF!,0),FALSE)+VLOOKUP($O4,坦克部件!#REF!,MATCH("标准值",坦克部件!#REF!,0),FALSE))*$R4</f>
        <v>#REF!</v>
      </c>
      <c r="BF4" s="2" t="e">
        <f>(VLOOKUP($U4,坦克部件!#REF!,MATCH("标准值",坦克部件!#REF!,0),FALSE)+VLOOKUP($O4,坦克部件!#REF!,MATCH("标准值",坦克部件!#REF!,0),FALSE))*$R4</f>
        <v>#REF!</v>
      </c>
      <c r="BG4" s="2">
        <f>VLOOKUP($F4,坦克属性统计!$B$3:$AY$33,MATCH(BG$3,坦克属性统计!$B$3:$AY$3,0),FALSE)</f>
        <v>1</v>
      </c>
      <c r="BH4" s="2">
        <f t="shared" ref="BH4:BJ23" si="5">VLOOKUP($F4&amp;$L4,所有坦克升星属性,MATCH(BH$3,所有坦克升星属性标头,0),FALSE)</f>
        <v>2.8</v>
      </c>
      <c r="BI4" s="2">
        <f t="shared" si="5"/>
        <v>5.4</v>
      </c>
      <c r="BJ4" s="2">
        <f t="shared" si="5"/>
        <v>0</v>
      </c>
      <c r="BK4" s="34">
        <f>IF(LEN(I4)=5,(60-(BG4-1)*BH4)/BI4+BG4,IF(RIGHT(I4,2)="弹夹",((60-(BG4-1)*BH4)/(BJ4+(BG4-1)*BH4)+1)*BG4,60/BI4+BG4))</f>
        <v>12.111111111111111</v>
      </c>
      <c r="BM4" s="1" t="e">
        <f ca="1">ROUND((BK4*AZ4+AX4*AM4+AK4*Z4)/60/3*2*2.5/20,0)*20</f>
        <v>#REF!</v>
      </c>
    </row>
    <row r="5" spans="2:65" x14ac:dyDescent="0.3">
      <c r="B5" s="2">
        <v>2</v>
      </c>
      <c r="C5" s="2" t="e">
        <f ca="1">MAX(V5:X5)*0.65+MIN(V5:X5)*0.1225+(SUM(V5:X5)-MAX(V5:X5)-MIN(V5:X5))*0.2275</f>
        <v>#REF!</v>
      </c>
      <c r="D5" s="2" t="s">
        <v>510</v>
      </c>
      <c r="E5" s="2" t="s">
        <v>512</v>
      </c>
      <c r="F5" s="2" t="s">
        <v>642</v>
      </c>
      <c r="G5" s="2" t="str">
        <f>VLOOKUP(D5,坦克个性化设定!$B$18:$F$48,5,FALSE)</f>
        <v>轻坦弹夹</v>
      </c>
      <c r="H5" s="2" t="str">
        <f>VLOOKUP(E5,坦克个性化设定!$B$18:$F$48,5,FALSE)</f>
        <v>中坦自动</v>
      </c>
      <c r="I5" s="2" t="str">
        <f>VLOOKUP(F5,坦克个性化设定!$B$18:$F$48,5,FALSE)</f>
        <v>重坦自动</v>
      </c>
      <c r="J5" s="2">
        <v>0</v>
      </c>
      <c r="K5" s="2">
        <v>0</v>
      </c>
      <c r="L5" s="2">
        <v>0</v>
      </c>
      <c r="M5" s="2" t="s">
        <v>1707</v>
      </c>
      <c r="N5" s="2" t="s">
        <v>1707</v>
      </c>
      <c r="O5" s="2" t="s">
        <v>1707</v>
      </c>
      <c r="P5" s="2">
        <v>3</v>
      </c>
      <c r="Q5" s="2">
        <v>3</v>
      </c>
      <c r="R5" s="2">
        <v>3</v>
      </c>
      <c r="S5" s="2">
        <v>2</v>
      </c>
      <c r="T5" s="2">
        <v>1</v>
      </c>
      <c r="U5" s="2">
        <v>1</v>
      </c>
      <c r="V5" s="42" t="e">
        <f ca="1">ROUND(SQRT(Y5*Z5*AK5/2+AVERAGE(AA5,AB5)*AC5*100),0)</f>
        <v>#REF!</v>
      </c>
      <c r="W5" s="42" t="e">
        <f ca="1">ROUND(SQRT(AL5*AM5*AX5/2+AVERAGE(AN5,AO5)*AP5*100),0)</f>
        <v>#REF!</v>
      </c>
      <c r="X5" s="42" t="e">
        <f ca="1">ROUND(SQRT(AY5*AZ5*BK5/2+AVERAGE(BA5,BB5)*BC5*100),0)</f>
        <v>#REF!</v>
      </c>
      <c r="Y5" s="2" t="e">
        <f ca="1">VLOOKUP($D5&amp;$J5,所有坦克升星属性,MATCH(Y$3,所有坦克升星属性标头,0),FALSE)+ROUND(AD5/VLOOKUP($D5,坦克部件!#REF!,4,FALSE)*VLOOKUP($D5&amp;0,所有坦克升星属性,MATCH(Y$3,所有坦克升星属性标头,0),FALSE),0)</f>
        <v>#REF!</v>
      </c>
      <c r="Z5" s="2" t="e">
        <f ca="1">VLOOKUP($D5&amp;$J5,所有坦克升星属性,MATCH(Z$3,所有坦克升星属性标头,0),FALSE)+ROUND(AE5/VLOOKUP($D5,坦克部件!#REF!,4,FALSE)*VLOOKUP($D5&amp;0,所有坦克升星属性,MATCH(Z$3,所有坦克升星属性标头,0),FALSE),0)</f>
        <v>#REF!</v>
      </c>
      <c r="AA5" s="2">
        <f t="shared" ca="1" si="0"/>
        <v>329</v>
      </c>
      <c r="AB5" s="2">
        <f t="shared" ca="1" si="0"/>
        <v>131</v>
      </c>
      <c r="AC5" s="2" t="e">
        <f ca="1">VLOOKUP($D5&amp;$J5,所有坦克升星属性,MATCH(AC$3,所有坦克升星属性标头,0),FALSE)+ROUND(AF5/VLOOKUP($D5,坦克部件!#REF!,4,FALSE)*VLOOKUP($D5&amp;0,所有坦克升星属性,MATCH(AC$3,所有坦克升星属性标头,0),FALSE),0)</f>
        <v>#REF!</v>
      </c>
      <c r="AD5" s="2" t="e">
        <f>(VLOOKUP($S5,坦克部件!#REF!,MATCH("标准值",坦克部件!#REF!,0),FALSE)+VLOOKUP($M5,坦克部件!#REF!,MATCH("标准值",坦克部件!#REF!,0),FALSE))*$P5</f>
        <v>#REF!</v>
      </c>
      <c r="AE5" s="2" t="e">
        <f>(VLOOKUP($S5,坦克部件!#REF!,MATCH("标准值",坦克部件!#REF!,0),FALSE)+VLOOKUP($M5,坦克部件!#REF!,MATCH("标准值",坦克部件!#REF!,0),FALSE))*$P5</f>
        <v>#REF!</v>
      </c>
      <c r="AF5" s="2" t="e">
        <f>(VLOOKUP($S5,坦克部件!#REF!,MATCH("标准值",坦克部件!#REF!,0),FALSE)+VLOOKUP($M5,坦克部件!#REF!,MATCH("标准值",坦克部件!#REF!,0),FALSE))*$P5</f>
        <v>#REF!</v>
      </c>
      <c r="AG5" s="2">
        <f>VLOOKUP($D5,坦克属性统计!$B$3:$AY$33,MATCH(AG$3,坦克属性统计!$B$3:$AY$3,0),FALSE)</f>
        <v>18</v>
      </c>
      <c r="AH5" s="2">
        <f t="shared" si="1"/>
        <v>0.6</v>
      </c>
      <c r="AI5" s="2">
        <f t="shared" si="1"/>
        <v>0</v>
      </c>
      <c r="AJ5" s="2">
        <f t="shared" si="1"/>
        <v>7.6</v>
      </c>
      <c r="AK5" s="34">
        <f>IF(LEN(G5)=5,(60-(AG5-1)*AH5)/AI5+AG5,IF(RIGHT(G5,2)="弹夹",((60-(AG5-1)*AH5)/(AJ5+(AG5-1)*AH5)+1)*AG5,60/AI5+AG5))</f>
        <v>68.359550561797761</v>
      </c>
      <c r="AL5" s="2" t="e">
        <f ca="1">VLOOKUP($E5&amp;$K5,所有坦克升星属性,MATCH(AL$3,所有坦克升星属性标头,0),FALSE)+ROUND(AQ5/VLOOKUP($E5,坦克部件!#REF!,4,FALSE)*VLOOKUP($E5&amp;0,所有坦克升星属性,MATCH(AL$3,所有坦克升星属性标头,0),FALSE),0)</f>
        <v>#REF!</v>
      </c>
      <c r="AM5" s="2" t="e">
        <f ca="1">VLOOKUP($E5&amp;$K5,所有坦克升星属性,MATCH(AM$3,所有坦克升星属性标头,0),FALSE)+ROUND(AR5/VLOOKUP($E5,坦克部件!#REF!,4,FALSE)*VLOOKUP($E5&amp;0,所有坦克升星属性,MATCH(AM$3,所有坦克升星属性标头,0),FALSE),0)</f>
        <v>#REF!</v>
      </c>
      <c r="AN5" s="2">
        <f t="shared" ca="1" si="2"/>
        <v>329</v>
      </c>
      <c r="AO5" s="2">
        <f t="shared" ca="1" si="2"/>
        <v>148</v>
      </c>
      <c r="AP5" s="2" t="e">
        <f ca="1">VLOOKUP($E5&amp;$K5,所有坦克升星属性,MATCH(AP$3,所有坦克升星属性标头,0),FALSE)+ROUND(AS5/VLOOKUP($E5,坦克部件!#REF!,4,FALSE)*VLOOKUP($E5&amp;0,所有坦克升星属性,MATCH(AP$3,所有坦克升星属性标头,0),FALSE),0)</f>
        <v>#REF!</v>
      </c>
      <c r="AQ5" s="2" t="e">
        <f>(VLOOKUP($T5,坦克部件!#REF!,MATCH("标准值",坦克部件!#REF!,0),FALSE)+VLOOKUP($N5,坦克部件!#REF!,MATCH("标准值",坦克部件!#REF!,0),FALSE))*$Q5</f>
        <v>#REF!</v>
      </c>
      <c r="AR5" s="2" t="e">
        <f>(VLOOKUP($T5,坦克部件!#REF!,MATCH("标准值",坦克部件!#REF!,0),FALSE)+VLOOKUP($N5,坦克部件!#REF!,MATCH("标准值",坦克部件!#REF!,0),FALSE))*$Q5</f>
        <v>#REF!</v>
      </c>
      <c r="AS5" s="2" t="e">
        <f>(VLOOKUP($T5,坦克部件!#REF!,MATCH("标准值",坦克部件!#REF!,0),FALSE)+VLOOKUP($N5,坦克部件!#REF!,MATCH("标准值",坦克部件!#REF!,0),FALSE))*$Q5</f>
        <v>#REF!</v>
      </c>
      <c r="AT5" s="2">
        <f>VLOOKUP($E5,坦克属性统计!$B$3:$AY$33,MATCH(AT$3,坦克属性统计!$B$3:$AY$3,0),FALSE)</f>
        <v>9</v>
      </c>
      <c r="AU5" s="2">
        <f t="shared" si="3"/>
        <v>0.3</v>
      </c>
      <c r="AV5" s="2">
        <f t="shared" si="3"/>
        <v>0</v>
      </c>
      <c r="AW5" s="2">
        <f t="shared" si="3"/>
        <v>3.2</v>
      </c>
      <c r="AX5" s="34" t="e">
        <f>IF(LEN(H5)=5,(60-(AT5-1)*AU5)/AV5+AT5,IF(RIGHT(H5,2)="弹夹",((60-(AT5-1)*AU5)/(AW5+(AT5-1)*AU5)+1)*AT5,60/AV5+AT5))</f>
        <v>#DIV/0!</v>
      </c>
      <c r="AY5" s="2" t="e">
        <f ca="1">VLOOKUP($F5&amp;$L5,所有坦克升星属性,MATCH(AY$3,所有坦克升星属性标头,0),FALSE)+ROUND(BD5/VLOOKUP($F5,坦克部件!#REF!,4,FALSE)*VLOOKUP($F5&amp;0,所有坦克升星属性,MATCH(AY$3,所有坦克升星属性标头,0),FALSE),0)</f>
        <v>#REF!</v>
      </c>
      <c r="AZ5" s="2" t="e">
        <f ca="1">VLOOKUP($F5&amp;$L5,所有坦克升星属性,MATCH(AZ$3,所有坦克升星属性标头,0),FALSE)+ROUND(BE5/VLOOKUP($F5,坦克部件!#REF!,4,FALSE)*VLOOKUP($F5&amp;0,所有坦克升星属性,MATCH(AZ$3,所有坦克升星属性标头,0),FALSE),0)</f>
        <v>#REF!</v>
      </c>
      <c r="BA5" s="2">
        <f t="shared" ca="1" si="4"/>
        <v>114</v>
      </c>
      <c r="BB5" s="2">
        <f t="shared" ca="1" si="4"/>
        <v>286</v>
      </c>
      <c r="BC5" s="2" t="e">
        <f ca="1">VLOOKUP($F5&amp;$L5,所有坦克升星属性,MATCH(BC$3,所有坦克升星属性标头,0),FALSE)+ROUND(BF5/VLOOKUP($F5,坦克部件!#REF!,4,FALSE)*VLOOKUP($F5&amp;0,所有坦克升星属性,MATCH(BC$3,所有坦克升星属性标头,0),FALSE),0)</f>
        <v>#REF!</v>
      </c>
      <c r="BD5" s="2" t="e">
        <f>(VLOOKUP($U5,坦克部件!#REF!,MATCH("标准值",坦克部件!#REF!,0),FALSE)+VLOOKUP($O5,坦克部件!#REF!,MATCH("标准值",坦克部件!#REF!,0),FALSE))*$R5</f>
        <v>#REF!</v>
      </c>
      <c r="BE5" s="2" t="e">
        <f>(VLOOKUP($U5,坦克部件!#REF!,MATCH("标准值",坦克部件!#REF!,0),FALSE)+VLOOKUP($O5,坦克部件!#REF!,MATCH("标准值",坦克部件!#REF!,0),FALSE))*$R5</f>
        <v>#REF!</v>
      </c>
      <c r="BF5" s="2" t="e">
        <f>(VLOOKUP($U5,坦克部件!#REF!,MATCH("标准值",坦克部件!#REF!,0),FALSE)+VLOOKUP($O5,坦克部件!#REF!,MATCH("标准值",坦克部件!#REF!,0),FALSE))*$R5</f>
        <v>#REF!</v>
      </c>
      <c r="BG5" s="2">
        <f>VLOOKUP($F5,坦克属性统计!$B$3:$AY$33,MATCH(BG$3,坦克属性统计!$B$3:$AY$3,0),FALSE)</f>
        <v>1</v>
      </c>
      <c r="BH5" s="2">
        <f t="shared" si="5"/>
        <v>2.8</v>
      </c>
      <c r="BI5" s="2">
        <f t="shared" si="5"/>
        <v>5.4</v>
      </c>
      <c r="BJ5" s="2">
        <f t="shared" si="5"/>
        <v>0</v>
      </c>
      <c r="BK5" s="34">
        <f>IF(LEN(I5)=5,(60-(BG5-1)*BH5)/BI5+BG5,IF(RIGHT(I5,2)="弹夹",((60-(BG5-1)*BH5)/(BJ5+(BG5-1)*BH5)+1)*BG5,60/BI5+BG5))</f>
        <v>12.111111111111111</v>
      </c>
      <c r="BM5" s="1" t="e">
        <f t="shared" ref="BM5:BM37" ca="1" si="6">ROUND((BK5*AZ5+AX5*AM5+AK5*Z5)/60/3*2*2.5/20,0)*20</f>
        <v>#REF!</v>
      </c>
    </row>
    <row r="6" spans="2:65" x14ac:dyDescent="0.3">
      <c r="B6" s="2">
        <v>3</v>
      </c>
      <c r="C6" s="2" t="e">
        <f t="shared" ref="C6:C25" ca="1" si="7">MAX(V6:X6)*0.65+MIN(V6:X6)*0.1225+(SUM(V6:X6)-MAX(V6:X6)-MIN(V6:X6))*0.2275</f>
        <v>#REF!</v>
      </c>
      <c r="D6" s="2" t="s">
        <v>510</v>
      </c>
      <c r="E6" s="2" t="s">
        <v>512</v>
      </c>
      <c r="F6" s="2" t="s">
        <v>642</v>
      </c>
      <c r="G6" s="2" t="str">
        <f>VLOOKUP(D6,坦克个性化设定!$B$18:$F$48,5,FALSE)</f>
        <v>轻坦弹夹</v>
      </c>
      <c r="H6" s="2" t="str">
        <f>VLOOKUP(E6,坦克个性化设定!$B$18:$F$48,5,FALSE)</f>
        <v>中坦自动</v>
      </c>
      <c r="I6" s="2" t="str">
        <f>VLOOKUP(F6,坦克个性化设定!$B$18:$F$48,5,FALSE)</f>
        <v>重坦自动</v>
      </c>
      <c r="J6" s="2">
        <v>1</v>
      </c>
      <c r="K6" s="2">
        <v>0</v>
      </c>
      <c r="L6" s="2">
        <v>0</v>
      </c>
      <c r="M6" s="2" t="s">
        <v>1707</v>
      </c>
      <c r="N6" s="2" t="s">
        <v>1707</v>
      </c>
      <c r="O6" s="2" t="s">
        <v>1707</v>
      </c>
      <c r="P6" s="2">
        <v>3</v>
      </c>
      <c r="Q6" s="2">
        <v>3</v>
      </c>
      <c r="R6" s="2">
        <v>3</v>
      </c>
      <c r="S6" s="2">
        <v>3</v>
      </c>
      <c r="T6" s="2">
        <v>3</v>
      </c>
      <c r="U6" s="2">
        <v>3</v>
      </c>
      <c r="V6" s="42" t="e">
        <f t="shared" ref="V6:V25" ca="1" si="8">ROUND(SQRT(Y6*Z6*AK6/2+AVERAGE(AA6,AB6)*AC6*100),0)</f>
        <v>#REF!</v>
      </c>
      <c r="W6" s="42" t="e">
        <f t="shared" ref="W6:W25" ca="1" si="9">ROUND(SQRT(AL6*AM6*AX6/2+AVERAGE(AN6,AO6)*AP6*100),0)</f>
        <v>#REF!</v>
      </c>
      <c r="X6" s="42" t="e">
        <f t="shared" ref="X6:X25" ca="1" si="10">ROUND(SQRT(AY6*AZ6*BK6/2+AVERAGE(BA6,BB6)*BC6*100),0)</f>
        <v>#REF!</v>
      </c>
      <c r="Y6" s="2" t="e">
        <f ca="1">VLOOKUP($D6&amp;$J6,所有坦克升星属性,MATCH(Y$3,所有坦克升星属性标头,0),FALSE)+ROUND(AD6/VLOOKUP($D6,坦克部件!#REF!,4,FALSE)*VLOOKUP($D6&amp;0,所有坦克升星属性,MATCH(Y$3,所有坦克升星属性标头,0),FALSE),0)</f>
        <v>#REF!</v>
      </c>
      <c r="Z6" s="2" t="e">
        <f ca="1">VLOOKUP($D6&amp;$J6,所有坦克升星属性,MATCH(Z$3,所有坦克升星属性标头,0),FALSE)+ROUND(AE6/VLOOKUP($D6,坦克部件!#REF!,4,FALSE)*VLOOKUP($D6&amp;0,所有坦克升星属性,MATCH(Z$3,所有坦克升星属性标头,0),FALSE),0)</f>
        <v>#REF!</v>
      </c>
      <c r="AA6" s="2">
        <f t="shared" ca="1" si="0"/>
        <v>346</v>
      </c>
      <c r="AB6" s="2">
        <f t="shared" ca="1" si="0"/>
        <v>138</v>
      </c>
      <c r="AC6" s="2" t="e">
        <f ca="1">VLOOKUP($D6&amp;$J6,所有坦克升星属性,MATCH(AC$3,所有坦克升星属性标头,0),FALSE)+ROUND(AF6/VLOOKUP($D6,坦克部件!#REF!,4,FALSE)*VLOOKUP($D6&amp;0,所有坦克升星属性,MATCH(AC$3,所有坦克升星属性标头,0),FALSE),0)</f>
        <v>#REF!</v>
      </c>
      <c r="AD6" s="2" t="e">
        <f>(VLOOKUP($S6,坦克部件!#REF!,MATCH("标准值",坦克部件!#REF!,0),FALSE)+VLOOKUP($M6,坦克部件!#REF!,MATCH("标准值",坦克部件!#REF!,0),FALSE))*$P6</f>
        <v>#REF!</v>
      </c>
      <c r="AE6" s="2" t="e">
        <f>(VLOOKUP($S6,坦克部件!#REF!,MATCH("标准值",坦克部件!#REF!,0),FALSE)+VLOOKUP($M6,坦克部件!#REF!,MATCH("标准值",坦克部件!#REF!,0),FALSE))*$P6</f>
        <v>#REF!</v>
      </c>
      <c r="AF6" s="2" t="e">
        <f>(VLOOKUP($S6,坦克部件!#REF!,MATCH("标准值",坦克部件!#REF!,0),FALSE)+VLOOKUP($M6,坦克部件!#REF!,MATCH("标准值",坦克部件!#REF!,0),FALSE))*$P6</f>
        <v>#REF!</v>
      </c>
      <c r="AG6" s="2">
        <f>VLOOKUP($D6,坦克属性统计!$B$3:$AY$33,MATCH(AG$3,坦克属性统计!$B$3:$AY$3,0),FALSE)</f>
        <v>18</v>
      </c>
      <c r="AH6" s="2">
        <f t="shared" si="1"/>
        <v>0.53</v>
      </c>
      <c r="AI6" s="2">
        <f t="shared" si="1"/>
        <v>0</v>
      </c>
      <c r="AJ6" s="2">
        <f t="shared" si="1"/>
        <v>8.5</v>
      </c>
      <c r="AK6" s="34">
        <f t="shared" ref="AK6:AK25" si="11">IF(LEN(G6)=5,(60-(AG6-1)*AH6)/AI6+AG6,IF(RIGHT(G6,2)="弹夹",((60-(AG6-1)*AH6)/(AJ6+(AG6-1)*AH6)+1)*AG6,60/AI6+AG6))</f>
        <v>70.416904625928055</v>
      </c>
      <c r="AL6" s="2" t="e">
        <f ca="1">VLOOKUP($E6&amp;$K6,所有坦克升星属性,MATCH(AL$3,所有坦克升星属性标头,0),FALSE)+ROUND(AQ6/VLOOKUP($E6,坦克部件!#REF!,4,FALSE)*VLOOKUP($E6&amp;0,所有坦克升星属性,MATCH(AL$3,所有坦克升星属性标头,0),FALSE),0)</f>
        <v>#REF!</v>
      </c>
      <c r="AM6" s="2" t="e">
        <f ca="1">VLOOKUP($E6&amp;$K6,所有坦克升星属性,MATCH(AM$3,所有坦克升星属性标头,0),FALSE)+ROUND(AR6/VLOOKUP($E6,坦克部件!#REF!,4,FALSE)*VLOOKUP($E6&amp;0,所有坦克升星属性,MATCH(AM$3,所有坦克升星属性标头,0),FALSE),0)</f>
        <v>#REF!</v>
      </c>
      <c r="AN6" s="2">
        <f t="shared" ca="1" si="2"/>
        <v>329</v>
      </c>
      <c r="AO6" s="2">
        <f t="shared" ca="1" si="2"/>
        <v>148</v>
      </c>
      <c r="AP6" s="2" t="e">
        <f ca="1">VLOOKUP($E6&amp;$K6,所有坦克升星属性,MATCH(AP$3,所有坦克升星属性标头,0),FALSE)+ROUND(AS6/VLOOKUP($E6,坦克部件!#REF!,4,FALSE)*VLOOKUP($E6&amp;0,所有坦克升星属性,MATCH(AP$3,所有坦克升星属性标头,0),FALSE),0)</f>
        <v>#REF!</v>
      </c>
      <c r="AQ6" s="2" t="e">
        <f>(VLOOKUP($T6,坦克部件!#REF!,MATCH("标准值",坦克部件!#REF!,0),FALSE)+VLOOKUP($N6,坦克部件!#REF!,MATCH("标准值",坦克部件!#REF!,0),FALSE))*$Q6</f>
        <v>#REF!</v>
      </c>
      <c r="AR6" s="2" t="e">
        <f>(VLOOKUP($T6,坦克部件!#REF!,MATCH("标准值",坦克部件!#REF!,0),FALSE)+VLOOKUP($N6,坦克部件!#REF!,MATCH("标准值",坦克部件!#REF!,0),FALSE))*$Q6</f>
        <v>#REF!</v>
      </c>
      <c r="AS6" s="2" t="e">
        <f>(VLOOKUP($T6,坦克部件!#REF!,MATCH("标准值",坦克部件!#REF!,0),FALSE)+VLOOKUP($N6,坦克部件!#REF!,MATCH("标准值",坦克部件!#REF!,0),FALSE))*$Q6</f>
        <v>#REF!</v>
      </c>
      <c r="AT6" s="2">
        <f>VLOOKUP($E6,坦克属性统计!$B$3:$AY$33,MATCH(AT$3,坦克属性统计!$B$3:$AY$3,0),FALSE)</f>
        <v>9</v>
      </c>
      <c r="AU6" s="2">
        <f t="shared" si="3"/>
        <v>0.3</v>
      </c>
      <c r="AV6" s="2">
        <f t="shared" si="3"/>
        <v>0</v>
      </c>
      <c r="AW6" s="2">
        <f t="shared" si="3"/>
        <v>3.2</v>
      </c>
      <c r="AX6" s="34" t="e">
        <f t="shared" ref="AX6:AX25" si="12">IF(LEN(H6)=5,(60-(AT6-1)*AU6)/AV6+AT6,IF(RIGHT(H6,2)="弹夹",((60-(AT6-1)*AU6)/(AW6+(AT6-1)*AU6)+1)*AT6,60/AV6+AT6))</f>
        <v>#DIV/0!</v>
      </c>
      <c r="AY6" s="2" t="e">
        <f ca="1">VLOOKUP($F6&amp;$L6,所有坦克升星属性,MATCH(AY$3,所有坦克升星属性标头,0),FALSE)+ROUND(BD6/VLOOKUP($F6,坦克部件!#REF!,4,FALSE)*VLOOKUP($F6&amp;0,所有坦克升星属性,MATCH(AY$3,所有坦克升星属性标头,0),FALSE),0)</f>
        <v>#REF!</v>
      </c>
      <c r="AZ6" s="2" t="e">
        <f ca="1">VLOOKUP($F6&amp;$L6,所有坦克升星属性,MATCH(AZ$3,所有坦克升星属性标头,0),FALSE)+ROUND(BE6/VLOOKUP($F6,坦克部件!#REF!,4,FALSE)*VLOOKUP($F6&amp;0,所有坦克升星属性,MATCH(AZ$3,所有坦克升星属性标头,0),FALSE),0)</f>
        <v>#REF!</v>
      </c>
      <c r="BA6" s="2">
        <f t="shared" ca="1" si="4"/>
        <v>114</v>
      </c>
      <c r="BB6" s="2">
        <f t="shared" ca="1" si="4"/>
        <v>286</v>
      </c>
      <c r="BC6" s="2" t="e">
        <f ca="1">VLOOKUP($F6&amp;$L6,所有坦克升星属性,MATCH(BC$3,所有坦克升星属性标头,0),FALSE)+ROUND(BF6/VLOOKUP($F6,坦克部件!#REF!,4,FALSE)*VLOOKUP($F6&amp;0,所有坦克升星属性,MATCH(BC$3,所有坦克升星属性标头,0),FALSE),0)</f>
        <v>#REF!</v>
      </c>
      <c r="BD6" s="2" t="e">
        <f>(VLOOKUP($U6,坦克部件!#REF!,MATCH("标准值",坦克部件!#REF!,0),FALSE)+VLOOKUP($O6,坦克部件!#REF!,MATCH("标准值",坦克部件!#REF!,0),FALSE))*$R6</f>
        <v>#REF!</v>
      </c>
      <c r="BE6" s="2" t="e">
        <f>(VLOOKUP($U6,坦克部件!#REF!,MATCH("标准值",坦克部件!#REF!,0),FALSE)+VLOOKUP($O6,坦克部件!#REF!,MATCH("标准值",坦克部件!#REF!,0),FALSE))*$R6</f>
        <v>#REF!</v>
      </c>
      <c r="BF6" s="2" t="e">
        <f>(VLOOKUP($U6,坦克部件!#REF!,MATCH("标准值",坦克部件!#REF!,0),FALSE)+VLOOKUP($O6,坦克部件!#REF!,MATCH("标准值",坦克部件!#REF!,0),FALSE))*$R6</f>
        <v>#REF!</v>
      </c>
      <c r="BG6" s="2">
        <f>VLOOKUP($F6,坦克属性统计!$B$3:$AY$33,MATCH(BG$3,坦克属性统计!$B$3:$AY$3,0),FALSE)</f>
        <v>1</v>
      </c>
      <c r="BH6" s="2">
        <f t="shared" si="5"/>
        <v>2.8</v>
      </c>
      <c r="BI6" s="2">
        <f t="shared" si="5"/>
        <v>5.4</v>
      </c>
      <c r="BJ6" s="2">
        <f t="shared" si="5"/>
        <v>0</v>
      </c>
      <c r="BK6" s="34">
        <f t="shared" ref="BK6:BK25" si="13">IF(LEN(I6)=5,(60-(BG6-1)*BH6)/BI6+BG6,IF(RIGHT(I6,2)="弹夹",((60-(BG6-1)*BH6)/(BJ6+(BG6-1)*BH6)+1)*BG6,60/BI6+BG6))</f>
        <v>12.111111111111111</v>
      </c>
      <c r="BM6" s="1" t="e">
        <f t="shared" ca="1" si="6"/>
        <v>#REF!</v>
      </c>
    </row>
    <row r="7" spans="2:65" x14ac:dyDescent="0.3">
      <c r="B7" s="2">
        <v>4</v>
      </c>
      <c r="C7" s="2" t="e">
        <f t="shared" ca="1" si="7"/>
        <v>#REF!</v>
      </c>
      <c r="D7" s="2" t="s">
        <v>510</v>
      </c>
      <c r="E7" s="2" t="s">
        <v>512</v>
      </c>
      <c r="F7" s="2" t="s">
        <v>642</v>
      </c>
      <c r="G7" s="2" t="str">
        <f>VLOOKUP(D7,坦克个性化设定!$B$18:$F$48,5,FALSE)</f>
        <v>轻坦弹夹</v>
      </c>
      <c r="H7" s="2" t="str">
        <f>VLOOKUP(E7,坦克个性化设定!$B$18:$F$48,5,FALSE)</f>
        <v>中坦自动</v>
      </c>
      <c r="I7" s="2" t="str">
        <f>VLOOKUP(F7,坦克个性化设定!$B$18:$F$48,5,FALSE)</f>
        <v>重坦自动</v>
      </c>
      <c r="J7" s="2">
        <v>1</v>
      </c>
      <c r="K7" s="2">
        <v>1</v>
      </c>
      <c r="L7" s="2">
        <v>0</v>
      </c>
      <c r="M7" s="2" t="s">
        <v>1707</v>
      </c>
      <c r="N7" s="2" t="s">
        <v>1707</v>
      </c>
      <c r="O7" s="2" t="s">
        <v>1707</v>
      </c>
      <c r="P7" s="2">
        <v>3</v>
      </c>
      <c r="Q7" s="2">
        <v>3</v>
      </c>
      <c r="R7" s="2">
        <v>3</v>
      </c>
      <c r="S7" s="2">
        <v>6</v>
      </c>
      <c r="T7" s="2">
        <v>5</v>
      </c>
      <c r="U7" s="2">
        <v>4</v>
      </c>
      <c r="V7" s="42" t="e">
        <f t="shared" ca="1" si="8"/>
        <v>#REF!</v>
      </c>
      <c r="W7" s="42" t="e">
        <f t="shared" ca="1" si="9"/>
        <v>#REF!</v>
      </c>
      <c r="X7" s="42" t="e">
        <f t="shared" ca="1" si="10"/>
        <v>#REF!</v>
      </c>
      <c r="Y7" s="2" t="e">
        <f ca="1">VLOOKUP($D7&amp;$J7,所有坦克升星属性,MATCH(Y$3,所有坦克升星属性标头,0),FALSE)+ROUND(AD7/VLOOKUP($D7,坦克部件!#REF!,4,FALSE)*VLOOKUP($D7&amp;0,所有坦克升星属性,MATCH(Y$3,所有坦克升星属性标头,0),FALSE),0)</f>
        <v>#REF!</v>
      </c>
      <c r="Z7" s="2" t="e">
        <f ca="1">VLOOKUP($D7&amp;$J7,所有坦克升星属性,MATCH(Z$3,所有坦克升星属性标头,0),FALSE)+ROUND(AE7/VLOOKUP($D7,坦克部件!#REF!,4,FALSE)*VLOOKUP($D7&amp;0,所有坦克升星属性,MATCH(Z$3,所有坦克升星属性标头,0),FALSE),0)</f>
        <v>#REF!</v>
      </c>
      <c r="AA7" s="2">
        <f t="shared" ca="1" si="0"/>
        <v>346</v>
      </c>
      <c r="AB7" s="2">
        <f t="shared" ca="1" si="0"/>
        <v>138</v>
      </c>
      <c r="AC7" s="2" t="e">
        <f ca="1">VLOOKUP($D7&amp;$J7,所有坦克升星属性,MATCH(AC$3,所有坦克升星属性标头,0),FALSE)+ROUND(AF7/VLOOKUP($D7,坦克部件!#REF!,4,FALSE)*VLOOKUP($D7&amp;0,所有坦克升星属性,MATCH(AC$3,所有坦克升星属性标头,0),FALSE),0)</f>
        <v>#REF!</v>
      </c>
      <c r="AD7" s="2" t="e">
        <f>(VLOOKUP($S7,坦克部件!#REF!,MATCH("标准值",坦克部件!#REF!,0),FALSE)+VLOOKUP($M7,坦克部件!#REF!,MATCH("标准值",坦克部件!#REF!,0),FALSE))*$P7</f>
        <v>#REF!</v>
      </c>
      <c r="AE7" s="2" t="e">
        <f>(VLOOKUP($S7,坦克部件!#REF!,MATCH("标准值",坦克部件!#REF!,0),FALSE)+VLOOKUP($M7,坦克部件!#REF!,MATCH("标准值",坦克部件!#REF!,0),FALSE))*$P7</f>
        <v>#REF!</v>
      </c>
      <c r="AF7" s="2" t="e">
        <f>(VLOOKUP($S7,坦克部件!#REF!,MATCH("标准值",坦克部件!#REF!,0),FALSE)+VLOOKUP($M7,坦克部件!#REF!,MATCH("标准值",坦克部件!#REF!,0),FALSE))*$P7</f>
        <v>#REF!</v>
      </c>
      <c r="AG7" s="2">
        <f>VLOOKUP($D7,坦克属性统计!$B$3:$AY$33,MATCH(AG$3,坦克属性统计!$B$3:$AY$3,0),FALSE)</f>
        <v>18</v>
      </c>
      <c r="AH7" s="2">
        <f t="shared" si="1"/>
        <v>0.53</v>
      </c>
      <c r="AI7" s="2">
        <f t="shared" si="1"/>
        <v>0</v>
      </c>
      <c r="AJ7" s="2">
        <f t="shared" si="1"/>
        <v>8.5</v>
      </c>
      <c r="AK7" s="34">
        <f t="shared" si="11"/>
        <v>70.416904625928055</v>
      </c>
      <c r="AL7" s="2" t="e">
        <f ca="1">VLOOKUP($E7&amp;$K7,所有坦克升星属性,MATCH(AL$3,所有坦克升星属性标头,0),FALSE)+ROUND(AQ7/VLOOKUP($E7,坦克部件!#REF!,4,FALSE)*VLOOKUP($E7&amp;0,所有坦克升星属性,MATCH(AL$3,所有坦克升星属性标头,0),FALSE),0)</f>
        <v>#REF!</v>
      </c>
      <c r="AM7" s="2" t="e">
        <f ca="1">VLOOKUP($E7&amp;$K7,所有坦克升星属性,MATCH(AM$3,所有坦克升星属性标头,0),FALSE)+ROUND(AR7/VLOOKUP($E7,坦克部件!#REF!,4,FALSE)*VLOOKUP($E7&amp;0,所有坦克升星属性,MATCH(AM$3,所有坦克升星属性标头,0),FALSE),0)</f>
        <v>#REF!</v>
      </c>
      <c r="AN7" s="2">
        <f t="shared" ca="1" si="2"/>
        <v>346</v>
      </c>
      <c r="AO7" s="2">
        <f t="shared" ca="1" si="2"/>
        <v>156</v>
      </c>
      <c r="AP7" s="2" t="e">
        <f ca="1">VLOOKUP($E7&amp;$K7,所有坦克升星属性,MATCH(AP$3,所有坦克升星属性标头,0),FALSE)+ROUND(AS7/VLOOKUP($E7,坦克部件!#REF!,4,FALSE)*VLOOKUP($E7&amp;0,所有坦克升星属性,MATCH(AP$3,所有坦克升星属性标头,0),FALSE),0)</f>
        <v>#REF!</v>
      </c>
      <c r="AQ7" s="2" t="e">
        <f>(VLOOKUP($T7,坦克部件!#REF!,MATCH("标准值",坦克部件!#REF!,0),FALSE)+VLOOKUP($N7,坦克部件!#REF!,MATCH("标准值",坦克部件!#REF!,0),FALSE))*$Q7</f>
        <v>#REF!</v>
      </c>
      <c r="AR7" s="2" t="e">
        <f>(VLOOKUP($T7,坦克部件!#REF!,MATCH("标准值",坦克部件!#REF!,0),FALSE)+VLOOKUP($N7,坦克部件!#REF!,MATCH("标准值",坦克部件!#REF!,0),FALSE))*$Q7</f>
        <v>#REF!</v>
      </c>
      <c r="AS7" s="2" t="e">
        <f>(VLOOKUP($T7,坦克部件!#REF!,MATCH("标准值",坦克部件!#REF!,0),FALSE)+VLOOKUP($N7,坦克部件!#REF!,MATCH("标准值",坦克部件!#REF!,0),FALSE))*$Q7</f>
        <v>#REF!</v>
      </c>
      <c r="AT7" s="2">
        <f>VLOOKUP($E7,坦克属性统计!$B$3:$AY$33,MATCH(AT$3,坦克属性统计!$B$3:$AY$3,0),FALSE)</f>
        <v>9</v>
      </c>
      <c r="AU7" s="2">
        <f t="shared" si="3"/>
        <v>0.3</v>
      </c>
      <c r="AV7" s="2">
        <f t="shared" si="3"/>
        <v>0</v>
      </c>
      <c r="AW7" s="2">
        <f t="shared" si="3"/>
        <v>3.1</v>
      </c>
      <c r="AX7" s="34" t="e">
        <f t="shared" si="12"/>
        <v>#DIV/0!</v>
      </c>
      <c r="AY7" s="2" t="e">
        <f ca="1">VLOOKUP($F7&amp;$L7,所有坦克升星属性,MATCH(AY$3,所有坦克升星属性标头,0),FALSE)+ROUND(BD7/VLOOKUP($F7,坦克部件!#REF!,4,FALSE)*VLOOKUP($F7&amp;0,所有坦克升星属性,MATCH(AY$3,所有坦克升星属性标头,0),FALSE),0)</f>
        <v>#REF!</v>
      </c>
      <c r="AZ7" s="2" t="e">
        <f ca="1">VLOOKUP($F7&amp;$L7,所有坦克升星属性,MATCH(AZ$3,所有坦克升星属性标头,0),FALSE)+ROUND(BE7/VLOOKUP($F7,坦克部件!#REF!,4,FALSE)*VLOOKUP($F7&amp;0,所有坦克升星属性,MATCH(AZ$3,所有坦克升星属性标头,0),FALSE),0)</f>
        <v>#REF!</v>
      </c>
      <c r="BA7" s="2">
        <f t="shared" ca="1" si="4"/>
        <v>114</v>
      </c>
      <c r="BB7" s="2">
        <f t="shared" ca="1" si="4"/>
        <v>286</v>
      </c>
      <c r="BC7" s="2" t="e">
        <f ca="1">VLOOKUP($F7&amp;$L7,所有坦克升星属性,MATCH(BC$3,所有坦克升星属性标头,0),FALSE)+ROUND(BF7/VLOOKUP($F7,坦克部件!#REF!,4,FALSE)*VLOOKUP($F7&amp;0,所有坦克升星属性,MATCH(BC$3,所有坦克升星属性标头,0),FALSE),0)</f>
        <v>#REF!</v>
      </c>
      <c r="BD7" s="2" t="e">
        <f>(VLOOKUP($U7,坦克部件!#REF!,MATCH("标准值",坦克部件!#REF!,0),FALSE)+VLOOKUP($O7,坦克部件!#REF!,MATCH("标准值",坦克部件!#REF!,0),FALSE))*$R7</f>
        <v>#REF!</v>
      </c>
      <c r="BE7" s="2" t="e">
        <f>(VLOOKUP($U7,坦克部件!#REF!,MATCH("标准值",坦克部件!#REF!,0),FALSE)+VLOOKUP($O7,坦克部件!#REF!,MATCH("标准值",坦克部件!#REF!,0),FALSE))*$R7</f>
        <v>#REF!</v>
      </c>
      <c r="BF7" s="2" t="e">
        <f>(VLOOKUP($U7,坦克部件!#REF!,MATCH("标准值",坦克部件!#REF!,0),FALSE)+VLOOKUP($O7,坦克部件!#REF!,MATCH("标准值",坦克部件!#REF!,0),FALSE))*$R7</f>
        <v>#REF!</v>
      </c>
      <c r="BG7" s="2">
        <f>VLOOKUP($F7,坦克属性统计!$B$3:$AY$33,MATCH(BG$3,坦克属性统计!$B$3:$AY$3,0),FALSE)</f>
        <v>1</v>
      </c>
      <c r="BH7" s="2">
        <f t="shared" si="5"/>
        <v>2.8</v>
      </c>
      <c r="BI7" s="2">
        <f t="shared" si="5"/>
        <v>5.4</v>
      </c>
      <c r="BJ7" s="2">
        <f t="shared" si="5"/>
        <v>0</v>
      </c>
      <c r="BK7" s="34">
        <f t="shared" si="13"/>
        <v>12.111111111111111</v>
      </c>
      <c r="BM7" s="1" t="e">
        <f t="shared" ca="1" si="6"/>
        <v>#REF!</v>
      </c>
    </row>
    <row r="8" spans="2:65" x14ac:dyDescent="0.3">
      <c r="B8" s="2">
        <v>5</v>
      </c>
      <c r="C8" s="2" t="e">
        <f t="shared" ca="1" si="7"/>
        <v>#REF!</v>
      </c>
      <c r="D8" s="2" t="s">
        <v>516</v>
      </c>
      <c r="E8" s="2" t="s">
        <v>512</v>
      </c>
      <c r="F8" s="2" t="s">
        <v>642</v>
      </c>
      <c r="G8" s="2" t="str">
        <f>VLOOKUP(D8,坦克个性化设定!$B$18:$F$48,5,FALSE)</f>
        <v>轻坦弹夹</v>
      </c>
      <c r="H8" s="2" t="str">
        <f>VLOOKUP(E8,坦克个性化设定!$B$18:$F$48,5,FALSE)</f>
        <v>中坦自动</v>
      </c>
      <c r="I8" s="2" t="str">
        <f>VLOOKUP(F8,坦克个性化设定!$B$18:$F$48,5,FALSE)</f>
        <v>重坦自动</v>
      </c>
      <c r="J8" s="2">
        <v>0</v>
      </c>
      <c r="K8" s="2">
        <v>1</v>
      </c>
      <c r="L8" s="2">
        <v>1</v>
      </c>
      <c r="M8" s="2" t="s">
        <v>1707</v>
      </c>
      <c r="N8" s="2" t="s">
        <v>1707</v>
      </c>
      <c r="O8" s="2" t="s">
        <v>1707</v>
      </c>
      <c r="P8" s="2">
        <v>6</v>
      </c>
      <c r="Q8" s="2">
        <v>3</v>
      </c>
      <c r="R8" s="2">
        <v>3</v>
      </c>
      <c r="S8" s="2">
        <v>8</v>
      </c>
      <c r="T8" s="2">
        <v>7</v>
      </c>
      <c r="U8" s="2">
        <v>6</v>
      </c>
      <c r="V8" s="42" t="e">
        <f t="shared" ca="1" si="8"/>
        <v>#REF!</v>
      </c>
      <c r="W8" s="42" t="e">
        <f t="shared" ca="1" si="9"/>
        <v>#REF!</v>
      </c>
      <c r="X8" s="42" t="e">
        <f t="shared" ca="1" si="10"/>
        <v>#REF!</v>
      </c>
      <c r="Y8" s="2" t="e">
        <f ca="1">VLOOKUP($D8&amp;$J8,所有坦克升星属性,MATCH(Y$3,所有坦克升星属性标头,0),FALSE)+ROUND(AD8/VLOOKUP($D8,坦克部件!#REF!,4,FALSE)*VLOOKUP($D8&amp;0,所有坦克升星属性,MATCH(Y$3,所有坦克升星属性标头,0),FALSE),0)</f>
        <v>#REF!</v>
      </c>
      <c r="Z8" s="2" t="e">
        <f ca="1">VLOOKUP($D8&amp;$J8,所有坦克升星属性,MATCH(Z$3,所有坦克升星属性标头,0),FALSE)+ROUND(AE8/VLOOKUP($D8,坦克部件!#REF!,4,FALSE)*VLOOKUP($D8&amp;0,所有坦克升星属性,MATCH(Z$3,所有坦克升星属性标头,0),FALSE),0)</f>
        <v>#REF!</v>
      </c>
      <c r="AA8" s="2">
        <f t="shared" ca="1" si="0"/>
        <v>394</v>
      </c>
      <c r="AB8" s="2">
        <f t="shared" ca="1" si="0"/>
        <v>158</v>
      </c>
      <c r="AC8" s="2" t="e">
        <f ca="1">VLOOKUP($D8&amp;$J8,所有坦克升星属性,MATCH(AC$3,所有坦克升星属性标头,0),FALSE)+ROUND(AF8/VLOOKUP($D8,坦克部件!#REF!,4,FALSE)*VLOOKUP($D8&amp;0,所有坦克升星属性,MATCH(AC$3,所有坦克升星属性标头,0),FALSE),0)</f>
        <v>#REF!</v>
      </c>
      <c r="AD8" s="2" t="e">
        <f>(VLOOKUP($S8,坦克部件!#REF!,MATCH("标准值",坦克部件!#REF!,0),FALSE)+VLOOKUP($M8,坦克部件!#REF!,MATCH("标准值",坦克部件!#REF!,0),FALSE))*$P8</f>
        <v>#REF!</v>
      </c>
      <c r="AE8" s="2" t="e">
        <f>(VLOOKUP($S8,坦克部件!#REF!,MATCH("标准值",坦克部件!#REF!,0),FALSE)+VLOOKUP($M8,坦克部件!#REF!,MATCH("标准值",坦克部件!#REF!,0),FALSE))*$P8</f>
        <v>#REF!</v>
      </c>
      <c r="AF8" s="2" t="e">
        <f>(VLOOKUP($S8,坦克部件!#REF!,MATCH("标准值",坦克部件!#REF!,0),FALSE)+VLOOKUP($M8,坦克部件!#REF!,MATCH("标准值",坦克部件!#REF!,0),FALSE))*$P8</f>
        <v>#REF!</v>
      </c>
      <c r="AG8" s="2">
        <f>VLOOKUP($D8,坦克属性统计!$B$3:$AY$33,MATCH(AG$3,坦克属性统计!$B$3:$AY$3,0),FALSE)</f>
        <v>20</v>
      </c>
      <c r="AH8" s="2">
        <f t="shared" si="1"/>
        <v>0.6</v>
      </c>
      <c r="AI8" s="2">
        <f t="shared" si="1"/>
        <v>0</v>
      </c>
      <c r="AJ8" s="2">
        <f t="shared" si="1"/>
        <v>11.2</v>
      </c>
      <c r="AK8" s="34">
        <f t="shared" si="11"/>
        <v>63.008849557522126</v>
      </c>
      <c r="AL8" s="2" t="e">
        <f ca="1">VLOOKUP($E8&amp;$K8,所有坦克升星属性,MATCH(AL$3,所有坦克升星属性标头,0),FALSE)+ROUND(AQ8/VLOOKUP($E8,坦克部件!#REF!,4,FALSE)*VLOOKUP($E8&amp;0,所有坦克升星属性,MATCH(AL$3,所有坦克升星属性标头,0),FALSE),0)</f>
        <v>#REF!</v>
      </c>
      <c r="AM8" s="2" t="e">
        <f ca="1">VLOOKUP($E8&amp;$K8,所有坦克升星属性,MATCH(AM$3,所有坦克升星属性标头,0),FALSE)+ROUND(AR8/VLOOKUP($E8,坦克部件!#REF!,4,FALSE)*VLOOKUP($E8&amp;0,所有坦克升星属性,MATCH(AM$3,所有坦克升星属性标头,0),FALSE),0)</f>
        <v>#REF!</v>
      </c>
      <c r="AN8" s="2">
        <f t="shared" ca="1" si="2"/>
        <v>346</v>
      </c>
      <c r="AO8" s="2">
        <f t="shared" ca="1" si="2"/>
        <v>156</v>
      </c>
      <c r="AP8" s="2" t="e">
        <f ca="1">VLOOKUP($E8&amp;$K8,所有坦克升星属性,MATCH(AP$3,所有坦克升星属性标头,0),FALSE)+ROUND(AS8/VLOOKUP($E8,坦克部件!#REF!,4,FALSE)*VLOOKUP($E8&amp;0,所有坦克升星属性,MATCH(AP$3,所有坦克升星属性标头,0),FALSE),0)</f>
        <v>#REF!</v>
      </c>
      <c r="AQ8" s="2" t="e">
        <f>(VLOOKUP($T8,坦克部件!#REF!,MATCH("标准值",坦克部件!#REF!,0),FALSE)+VLOOKUP($N8,坦克部件!#REF!,MATCH("标准值",坦克部件!#REF!,0),FALSE))*$Q8</f>
        <v>#REF!</v>
      </c>
      <c r="AR8" s="2" t="e">
        <f>(VLOOKUP($T8,坦克部件!#REF!,MATCH("标准值",坦克部件!#REF!,0),FALSE)+VLOOKUP($N8,坦克部件!#REF!,MATCH("标准值",坦克部件!#REF!,0),FALSE))*$Q8</f>
        <v>#REF!</v>
      </c>
      <c r="AS8" s="2" t="e">
        <f>(VLOOKUP($T8,坦克部件!#REF!,MATCH("标准值",坦克部件!#REF!,0),FALSE)+VLOOKUP($N8,坦克部件!#REF!,MATCH("标准值",坦克部件!#REF!,0),FALSE))*$Q8</f>
        <v>#REF!</v>
      </c>
      <c r="AT8" s="2">
        <f>VLOOKUP($E8,坦克属性统计!$B$3:$AY$33,MATCH(AT$3,坦克属性统计!$B$3:$AY$3,0),FALSE)</f>
        <v>9</v>
      </c>
      <c r="AU8" s="2">
        <f t="shared" si="3"/>
        <v>0.3</v>
      </c>
      <c r="AV8" s="2">
        <f t="shared" si="3"/>
        <v>0</v>
      </c>
      <c r="AW8" s="2">
        <f t="shared" si="3"/>
        <v>3.1</v>
      </c>
      <c r="AX8" s="34" t="e">
        <f t="shared" si="12"/>
        <v>#DIV/0!</v>
      </c>
      <c r="AY8" s="2" t="e">
        <f ca="1">VLOOKUP($F8&amp;$L8,所有坦克升星属性,MATCH(AY$3,所有坦克升星属性标头,0),FALSE)+ROUND(BD8/VLOOKUP($F8,坦克部件!#REF!,4,FALSE)*VLOOKUP($F8&amp;0,所有坦克升星属性,MATCH(AY$3,所有坦克升星属性标头,0),FALSE),0)</f>
        <v>#REF!</v>
      </c>
      <c r="AZ8" s="2" t="e">
        <f ca="1">VLOOKUP($F8&amp;$L8,所有坦克升星属性,MATCH(AZ$3,所有坦克升星属性标头,0),FALSE)+ROUND(BE8/VLOOKUP($F8,坦克部件!#REF!,4,FALSE)*VLOOKUP($F8&amp;0,所有坦克升星属性,MATCH(AZ$3,所有坦克升星属性标头,0),FALSE),0)</f>
        <v>#REF!</v>
      </c>
      <c r="BA8" s="2">
        <f t="shared" ca="1" si="4"/>
        <v>120</v>
      </c>
      <c r="BB8" s="2">
        <f t="shared" ca="1" si="4"/>
        <v>301</v>
      </c>
      <c r="BC8" s="2" t="e">
        <f ca="1">VLOOKUP($F8&amp;$L8,所有坦克升星属性,MATCH(BC$3,所有坦克升星属性标头,0),FALSE)+ROUND(BF8/VLOOKUP($F8,坦克部件!#REF!,4,FALSE)*VLOOKUP($F8&amp;0,所有坦克升星属性,MATCH(BC$3,所有坦克升星属性标头,0),FALSE),0)</f>
        <v>#REF!</v>
      </c>
      <c r="BD8" s="2" t="e">
        <f>(VLOOKUP($U8,坦克部件!#REF!,MATCH("标准值",坦克部件!#REF!,0),FALSE)+VLOOKUP($O8,坦克部件!#REF!,MATCH("标准值",坦克部件!#REF!,0),FALSE))*$R8</f>
        <v>#REF!</v>
      </c>
      <c r="BE8" s="2" t="e">
        <f>(VLOOKUP($U8,坦克部件!#REF!,MATCH("标准值",坦克部件!#REF!,0),FALSE)+VLOOKUP($O8,坦克部件!#REF!,MATCH("标准值",坦克部件!#REF!,0),FALSE))*$R8</f>
        <v>#REF!</v>
      </c>
      <c r="BF8" s="2" t="e">
        <f>(VLOOKUP($U8,坦克部件!#REF!,MATCH("标准值",坦克部件!#REF!,0),FALSE)+VLOOKUP($O8,坦克部件!#REF!,MATCH("标准值",坦克部件!#REF!,0),FALSE))*$R8</f>
        <v>#REF!</v>
      </c>
      <c r="BG8" s="2">
        <f>VLOOKUP($F8,坦克属性统计!$B$3:$AY$33,MATCH(BG$3,坦克属性统计!$B$3:$AY$3,0),FALSE)</f>
        <v>1</v>
      </c>
      <c r="BH8" s="2">
        <f t="shared" si="5"/>
        <v>2.8</v>
      </c>
      <c r="BI8" s="2">
        <f t="shared" si="5"/>
        <v>5.25</v>
      </c>
      <c r="BJ8" s="2">
        <f t="shared" si="5"/>
        <v>0</v>
      </c>
      <c r="BK8" s="34">
        <f t="shared" si="13"/>
        <v>12.428571428571429</v>
      </c>
      <c r="BM8" s="1" t="e">
        <f t="shared" ca="1" si="6"/>
        <v>#REF!</v>
      </c>
    </row>
    <row r="9" spans="2:65" x14ac:dyDescent="0.3">
      <c r="B9" s="2">
        <v>6</v>
      </c>
      <c r="C9" s="2" t="e">
        <f t="shared" ca="1" si="7"/>
        <v>#REF!</v>
      </c>
      <c r="D9" s="2" t="s">
        <v>516</v>
      </c>
      <c r="E9" s="2" t="s">
        <v>512</v>
      </c>
      <c r="F9" s="2" t="s">
        <v>642</v>
      </c>
      <c r="G9" s="2" t="str">
        <f>VLOOKUP(D9,坦克个性化设定!$B$18:$F$48,5,FALSE)</f>
        <v>轻坦弹夹</v>
      </c>
      <c r="H9" s="2" t="str">
        <f>VLOOKUP(E9,坦克个性化设定!$B$18:$F$48,5,FALSE)</f>
        <v>中坦自动</v>
      </c>
      <c r="I9" s="2" t="str">
        <f>VLOOKUP(F9,坦克个性化设定!$B$18:$F$48,5,FALSE)</f>
        <v>重坦自动</v>
      </c>
      <c r="J9" s="2">
        <v>0</v>
      </c>
      <c r="K9" s="2">
        <v>1</v>
      </c>
      <c r="L9" s="2">
        <v>1</v>
      </c>
      <c r="M9" s="2" t="s">
        <v>1707</v>
      </c>
      <c r="N9" s="2" t="s">
        <v>1707</v>
      </c>
      <c r="O9" s="2" t="s">
        <v>1707</v>
      </c>
      <c r="P9" s="2">
        <v>6</v>
      </c>
      <c r="Q9" s="2">
        <v>6</v>
      </c>
      <c r="R9" s="2">
        <v>3</v>
      </c>
      <c r="S9" s="2">
        <v>8</v>
      </c>
      <c r="T9" s="2">
        <v>7</v>
      </c>
      <c r="U9" s="2">
        <v>6</v>
      </c>
      <c r="V9" s="42" t="e">
        <f t="shared" ca="1" si="8"/>
        <v>#REF!</v>
      </c>
      <c r="W9" s="42" t="e">
        <f t="shared" ca="1" si="9"/>
        <v>#REF!</v>
      </c>
      <c r="X9" s="42" t="e">
        <f t="shared" ca="1" si="10"/>
        <v>#REF!</v>
      </c>
      <c r="Y9" s="2" t="e">
        <f ca="1">VLOOKUP($D9&amp;$J9,所有坦克升星属性,MATCH(Y$3,所有坦克升星属性标头,0),FALSE)+ROUND(AD9/VLOOKUP($D9,坦克部件!#REF!,4,FALSE)*VLOOKUP($D9&amp;0,所有坦克升星属性,MATCH(Y$3,所有坦克升星属性标头,0),FALSE),0)</f>
        <v>#REF!</v>
      </c>
      <c r="Z9" s="2" t="e">
        <f ca="1">VLOOKUP($D9&amp;$J9,所有坦克升星属性,MATCH(Z$3,所有坦克升星属性标头,0),FALSE)+ROUND(AE9/VLOOKUP($D9,坦克部件!#REF!,4,FALSE)*VLOOKUP($D9&amp;0,所有坦克升星属性,MATCH(Z$3,所有坦克升星属性标头,0),FALSE),0)</f>
        <v>#REF!</v>
      </c>
      <c r="AA9" s="2">
        <f t="shared" ca="1" si="0"/>
        <v>394</v>
      </c>
      <c r="AB9" s="2">
        <f t="shared" ca="1" si="0"/>
        <v>158</v>
      </c>
      <c r="AC9" s="2" t="e">
        <f ca="1">VLOOKUP($D9&amp;$J9,所有坦克升星属性,MATCH(AC$3,所有坦克升星属性标头,0),FALSE)+ROUND(AF9/VLOOKUP($D9,坦克部件!#REF!,4,FALSE)*VLOOKUP($D9&amp;0,所有坦克升星属性,MATCH(AC$3,所有坦克升星属性标头,0),FALSE),0)</f>
        <v>#REF!</v>
      </c>
      <c r="AD9" s="2" t="e">
        <f>(VLOOKUP($S9,坦克部件!#REF!,MATCH("标准值",坦克部件!#REF!,0),FALSE)+VLOOKUP($M9,坦克部件!#REF!,MATCH("标准值",坦克部件!#REF!,0),FALSE))*$P9</f>
        <v>#REF!</v>
      </c>
      <c r="AE9" s="2" t="e">
        <f>(VLOOKUP($S9,坦克部件!#REF!,MATCH("标准值",坦克部件!#REF!,0),FALSE)+VLOOKUP($M9,坦克部件!#REF!,MATCH("标准值",坦克部件!#REF!,0),FALSE))*$P9</f>
        <v>#REF!</v>
      </c>
      <c r="AF9" s="2" t="e">
        <f>(VLOOKUP($S9,坦克部件!#REF!,MATCH("标准值",坦克部件!#REF!,0),FALSE)+VLOOKUP($M9,坦克部件!#REF!,MATCH("标准值",坦克部件!#REF!,0),FALSE))*$P9</f>
        <v>#REF!</v>
      </c>
      <c r="AG9" s="2">
        <f>VLOOKUP($D9,坦克属性统计!$B$3:$AY$33,MATCH(AG$3,坦克属性统计!$B$3:$AY$3,0),FALSE)</f>
        <v>20</v>
      </c>
      <c r="AH9" s="2">
        <f t="shared" si="1"/>
        <v>0.6</v>
      </c>
      <c r="AI9" s="2">
        <f t="shared" si="1"/>
        <v>0</v>
      </c>
      <c r="AJ9" s="2">
        <f t="shared" si="1"/>
        <v>11.2</v>
      </c>
      <c r="AK9" s="34">
        <f t="shared" si="11"/>
        <v>63.008849557522126</v>
      </c>
      <c r="AL9" s="2" t="e">
        <f ca="1">VLOOKUP($E9&amp;$K9,所有坦克升星属性,MATCH(AL$3,所有坦克升星属性标头,0),FALSE)+ROUND(AQ9/VLOOKUP($E9,坦克部件!#REF!,4,FALSE)*VLOOKUP($E9&amp;0,所有坦克升星属性,MATCH(AL$3,所有坦克升星属性标头,0),FALSE),0)</f>
        <v>#REF!</v>
      </c>
      <c r="AM9" s="2" t="e">
        <f ca="1">VLOOKUP($E9&amp;$K9,所有坦克升星属性,MATCH(AM$3,所有坦克升星属性标头,0),FALSE)+ROUND(AR9/VLOOKUP($E9,坦克部件!#REF!,4,FALSE)*VLOOKUP($E9&amp;0,所有坦克升星属性,MATCH(AM$3,所有坦克升星属性标头,0),FALSE),0)</f>
        <v>#REF!</v>
      </c>
      <c r="AN9" s="2">
        <f t="shared" ca="1" si="2"/>
        <v>346</v>
      </c>
      <c r="AO9" s="2">
        <f t="shared" ca="1" si="2"/>
        <v>156</v>
      </c>
      <c r="AP9" s="2" t="e">
        <f ca="1">VLOOKUP($E9&amp;$K9,所有坦克升星属性,MATCH(AP$3,所有坦克升星属性标头,0),FALSE)+ROUND(AS9/VLOOKUP($E9,坦克部件!#REF!,4,FALSE)*VLOOKUP($E9&amp;0,所有坦克升星属性,MATCH(AP$3,所有坦克升星属性标头,0),FALSE),0)</f>
        <v>#REF!</v>
      </c>
      <c r="AQ9" s="2" t="e">
        <f>(VLOOKUP($T9,坦克部件!#REF!,MATCH("标准值",坦克部件!#REF!,0),FALSE)+VLOOKUP($N9,坦克部件!#REF!,MATCH("标准值",坦克部件!#REF!,0),FALSE))*$Q9</f>
        <v>#REF!</v>
      </c>
      <c r="AR9" s="2" t="e">
        <f>(VLOOKUP($T9,坦克部件!#REF!,MATCH("标准值",坦克部件!#REF!,0),FALSE)+VLOOKUP($N9,坦克部件!#REF!,MATCH("标准值",坦克部件!#REF!,0),FALSE))*$Q9</f>
        <v>#REF!</v>
      </c>
      <c r="AS9" s="2" t="e">
        <f>(VLOOKUP($T9,坦克部件!#REF!,MATCH("标准值",坦克部件!#REF!,0),FALSE)+VLOOKUP($N9,坦克部件!#REF!,MATCH("标准值",坦克部件!#REF!,0),FALSE))*$Q9</f>
        <v>#REF!</v>
      </c>
      <c r="AT9" s="2">
        <f>VLOOKUP($E9,坦克属性统计!$B$3:$AY$33,MATCH(AT$3,坦克属性统计!$B$3:$AY$3,0),FALSE)</f>
        <v>9</v>
      </c>
      <c r="AU9" s="2">
        <f t="shared" si="3"/>
        <v>0.3</v>
      </c>
      <c r="AV9" s="2">
        <f t="shared" si="3"/>
        <v>0</v>
      </c>
      <c r="AW9" s="2">
        <f t="shared" si="3"/>
        <v>3.1</v>
      </c>
      <c r="AX9" s="34" t="e">
        <f t="shared" si="12"/>
        <v>#DIV/0!</v>
      </c>
      <c r="AY9" s="2" t="e">
        <f ca="1">VLOOKUP($F9&amp;$L9,所有坦克升星属性,MATCH(AY$3,所有坦克升星属性标头,0),FALSE)+ROUND(BD9/VLOOKUP($F9,坦克部件!#REF!,4,FALSE)*VLOOKUP($F9&amp;0,所有坦克升星属性,MATCH(AY$3,所有坦克升星属性标头,0),FALSE),0)</f>
        <v>#REF!</v>
      </c>
      <c r="AZ9" s="2" t="e">
        <f ca="1">VLOOKUP($F9&amp;$L9,所有坦克升星属性,MATCH(AZ$3,所有坦克升星属性标头,0),FALSE)+ROUND(BE9/VLOOKUP($F9,坦克部件!#REF!,4,FALSE)*VLOOKUP($F9&amp;0,所有坦克升星属性,MATCH(AZ$3,所有坦克升星属性标头,0),FALSE),0)</f>
        <v>#REF!</v>
      </c>
      <c r="BA9" s="2">
        <f t="shared" ca="1" si="4"/>
        <v>120</v>
      </c>
      <c r="BB9" s="2">
        <f t="shared" ca="1" si="4"/>
        <v>301</v>
      </c>
      <c r="BC9" s="2" t="e">
        <f ca="1">VLOOKUP($F9&amp;$L9,所有坦克升星属性,MATCH(BC$3,所有坦克升星属性标头,0),FALSE)+ROUND(BF9/VLOOKUP($F9,坦克部件!#REF!,4,FALSE)*VLOOKUP($F9&amp;0,所有坦克升星属性,MATCH(BC$3,所有坦克升星属性标头,0),FALSE),0)</f>
        <v>#REF!</v>
      </c>
      <c r="BD9" s="2" t="e">
        <f>(VLOOKUP($U9,坦克部件!#REF!,MATCH("标准值",坦克部件!#REF!,0),FALSE)+VLOOKUP($O9,坦克部件!#REF!,MATCH("标准值",坦克部件!#REF!,0),FALSE))*$R9</f>
        <v>#REF!</v>
      </c>
      <c r="BE9" s="2" t="e">
        <f>(VLOOKUP($U9,坦克部件!#REF!,MATCH("标准值",坦克部件!#REF!,0),FALSE)+VLOOKUP($O9,坦克部件!#REF!,MATCH("标准值",坦克部件!#REF!,0),FALSE))*$R9</f>
        <v>#REF!</v>
      </c>
      <c r="BF9" s="2" t="e">
        <f>(VLOOKUP($U9,坦克部件!#REF!,MATCH("标准值",坦克部件!#REF!,0),FALSE)+VLOOKUP($O9,坦克部件!#REF!,MATCH("标准值",坦克部件!#REF!,0),FALSE))*$R9</f>
        <v>#REF!</v>
      </c>
      <c r="BG9" s="2">
        <f>VLOOKUP($F9,坦克属性统计!$B$3:$AY$33,MATCH(BG$3,坦克属性统计!$B$3:$AY$3,0),FALSE)</f>
        <v>1</v>
      </c>
      <c r="BH9" s="2">
        <f t="shared" si="5"/>
        <v>2.8</v>
      </c>
      <c r="BI9" s="2">
        <f t="shared" si="5"/>
        <v>5.25</v>
      </c>
      <c r="BJ9" s="2">
        <f t="shared" si="5"/>
        <v>0</v>
      </c>
      <c r="BK9" s="34">
        <f t="shared" si="13"/>
        <v>12.428571428571429</v>
      </c>
      <c r="BM9" s="1" t="e">
        <f t="shared" ca="1" si="6"/>
        <v>#REF!</v>
      </c>
    </row>
    <row r="10" spans="2:65" x14ac:dyDescent="0.3">
      <c r="B10" s="2">
        <v>7</v>
      </c>
      <c r="C10" s="2" t="e">
        <f t="shared" ca="1" si="7"/>
        <v>#REF!</v>
      </c>
      <c r="D10" s="2" t="s">
        <v>516</v>
      </c>
      <c r="E10" s="2" t="s">
        <v>512</v>
      </c>
      <c r="F10" s="2" t="s">
        <v>642</v>
      </c>
      <c r="G10" s="2" t="str">
        <f>VLOOKUP(D10,坦克个性化设定!$B$18:$F$48,5,FALSE)</f>
        <v>轻坦弹夹</v>
      </c>
      <c r="H10" s="2" t="str">
        <f>VLOOKUP(E10,坦克个性化设定!$B$18:$F$48,5,FALSE)</f>
        <v>中坦自动</v>
      </c>
      <c r="I10" s="2" t="str">
        <f>VLOOKUP(F10,坦克个性化设定!$B$18:$F$48,5,FALSE)</f>
        <v>重坦自动</v>
      </c>
      <c r="J10" s="2">
        <v>0</v>
      </c>
      <c r="K10" s="2">
        <v>1</v>
      </c>
      <c r="L10" s="2">
        <v>1</v>
      </c>
      <c r="M10" s="2" t="s">
        <v>1707</v>
      </c>
      <c r="N10" s="2" t="s">
        <v>1707</v>
      </c>
      <c r="O10" s="2" t="s">
        <v>1707</v>
      </c>
      <c r="P10" s="2">
        <v>6</v>
      </c>
      <c r="Q10" s="2">
        <v>6</v>
      </c>
      <c r="R10" s="2">
        <v>6</v>
      </c>
      <c r="S10" s="2">
        <v>9</v>
      </c>
      <c r="T10" s="2">
        <v>8</v>
      </c>
      <c r="U10" s="2">
        <v>7</v>
      </c>
      <c r="V10" s="42" t="e">
        <f t="shared" ca="1" si="8"/>
        <v>#REF!</v>
      </c>
      <c r="W10" s="42" t="e">
        <f t="shared" ca="1" si="9"/>
        <v>#REF!</v>
      </c>
      <c r="X10" s="42" t="e">
        <f t="shared" ca="1" si="10"/>
        <v>#REF!</v>
      </c>
      <c r="Y10" s="2" t="e">
        <f ca="1">VLOOKUP($D10&amp;$J10,所有坦克升星属性,MATCH(Y$3,所有坦克升星属性标头,0),FALSE)+ROUND(AD10/VLOOKUP($D10,坦克部件!#REF!,4,FALSE)*VLOOKUP($D10&amp;0,所有坦克升星属性,MATCH(Y$3,所有坦克升星属性标头,0),FALSE),0)</f>
        <v>#REF!</v>
      </c>
      <c r="Z10" s="2" t="e">
        <f ca="1">VLOOKUP($D10&amp;$J10,所有坦克升星属性,MATCH(Z$3,所有坦克升星属性标头,0),FALSE)+ROUND(AE10/VLOOKUP($D10,坦克部件!#REF!,4,FALSE)*VLOOKUP($D10&amp;0,所有坦克升星属性,MATCH(Z$3,所有坦克升星属性标头,0),FALSE),0)</f>
        <v>#REF!</v>
      </c>
      <c r="AA10" s="2">
        <f t="shared" ca="1" si="0"/>
        <v>394</v>
      </c>
      <c r="AB10" s="2">
        <f t="shared" ca="1" si="0"/>
        <v>158</v>
      </c>
      <c r="AC10" s="2" t="e">
        <f ca="1">VLOOKUP($D10&amp;$J10,所有坦克升星属性,MATCH(AC$3,所有坦克升星属性标头,0),FALSE)+ROUND(AF10/VLOOKUP($D10,坦克部件!#REF!,4,FALSE)*VLOOKUP($D10&amp;0,所有坦克升星属性,MATCH(AC$3,所有坦克升星属性标头,0),FALSE),0)</f>
        <v>#REF!</v>
      </c>
      <c r="AD10" s="2" t="e">
        <f>(VLOOKUP($S10,坦克部件!#REF!,MATCH("标准值",坦克部件!#REF!,0),FALSE)+VLOOKUP($M10,坦克部件!#REF!,MATCH("标准值",坦克部件!#REF!,0),FALSE))*$P10</f>
        <v>#REF!</v>
      </c>
      <c r="AE10" s="2" t="e">
        <f>(VLOOKUP($S10,坦克部件!#REF!,MATCH("标准值",坦克部件!#REF!,0),FALSE)+VLOOKUP($M10,坦克部件!#REF!,MATCH("标准值",坦克部件!#REF!,0),FALSE))*$P10</f>
        <v>#REF!</v>
      </c>
      <c r="AF10" s="2" t="e">
        <f>(VLOOKUP($S10,坦克部件!#REF!,MATCH("标准值",坦克部件!#REF!,0),FALSE)+VLOOKUP($M10,坦克部件!#REF!,MATCH("标准值",坦克部件!#REF!,0),FALSE))*$P10</f>
        <v>#REF!</v>
      </c>
      <c r="AG10" s="2">
        <f>VLOOKUP($D10,坦克属性统计!$B$3:$AY$33,MATCH(AG$3,坦克属性统计!$B$3:$AY$3,0),FALSE)</f>
        <v>20</v>
      </c>
      <c r="AH10" s="2">
        <f t="shared" si="1"/>
        <v>0.6</v>
      </c>
      <c r="AI10" s="2">
        <f t="shared" si="1"/>
        <v>0</v>
      </c>
      <c r="AJ10" s="2">
        <f t="shared" si="1"/>
        <v>11.2</v>
      </c>
      <c r="AK10" s="34">
        <f t="shared" si="11"/>
        <v>63.008849557522126</v>
      </c>
      <c r="AL10" s="2" t="e">
        <f ca="1">VLOOKUP($E10&amp;$K10,所有坦克升星属性,MATCH(AL$3,所有坦克升星属性标头,0),FALSE)+ROUND(AQ10/VLOOKUP($E10,坦克部件!#REF!,4,FALSE)*VLOOKUP($E10&amp;0,所有坦克升星属性,MATCH(AL$3,所有坦克升星属性标头,0),FALSE),0)</f>
        <v>#REF!</v>
      </c>
      <c r="AM10" s="2" t="e">
        <f ca="1">VLOOKUP($E10&amp;$K10,所有坦克升星属性,MATCH(AM$3,所有坦克升星属性标头,0),FALSE)+ROUND(AR10/VLOOKUP($E10,坦克部件!#REF!,4,FALSE)*VLOOKUP($E10&amp;0,所有坦克升星属性,MATCH(AM$3,所有坦克升星属性标头,0),FALSE),0)</f>
        <v>#REF!</v>
      </c>
      <c r="AN10" s="2">
        <f t="shared" ca="1" si="2"/>
        <v>346</v>
      </c>
      <c r="AO10" s="2">
        <f t="shared" ca="1" si="2"/>
        <v>156</v>
      </c>
      <c r="AP10" s="2" t="e">
        <f ca="1">VLOOKUP($E10&amp;$K10,所有坦克升星属性,MATCH(AP$3,所有坦克升星属性标头,0),FALSE)+ROUND(AS10/VLOOKUP($E10,坦克部件!#REF!,4,FALSE)*VLOOKUP($E10&amp;0,所有坦克升星属性,MATCH(AP$3,所有坦克升星属性标头,0),FALSE),0)</f>
        <v>#REF!</v>
      </c>
      <c r="AQ10" s="2" t="e">
        <f>(VLOOKUP($T10,坦克部件!#REF!,MATCH("标准值",坦克部件!#REF!,0),FALSE)+VLOOKUP($N10,坦克部件!#REF!,MATCH("标准值",坦克部件!#REF!,0),FALSE))*$Q10</f>
        <v>#REF!</v>
      </c>
      <c r="AR10" s="2" t="e">
        <f>(VLOOKUP($T10,坦克部件!#REF!,MATCH("标准值",坦克部件!#REF!,0),FALSE)+VLOOKUP($N10,坦克部件!#REF!,MATCH("标准值",坦克部件!#REF!,0),FALSE))*$Q10</f>
        <v>#REF!</v>
      </c>
      <c r="AS10" s="2" t="e">
        <f>(VLOOKUP($T10,坦克部件!#REF!,MATCH("标准值",坦克部件!#REF!,0),FALSE)+VLOOKUP($N10,坦克部件!#REF!,MATCH("标准值",坦克部件!#REF!,0),FALSE))*$Q10</f>
        <v>#REF!</v>
      </c>
      <c r="AT10" s="2">
        <f>VLOOKUP($E10,坦克属性统计!$B$3:$AY$33,MATCH(AT$3,坦克属性统计!$B$3:$AY$3,0),FALSE)</f>
        <v>9</v>
      </c>
      <c r="AU10" s="2">
        <f t="shared" si="3"/>
        <v>0.3</v>
      </c>
      <c r="AV10" s="2">
        <f t="shared" si="3"/>
        <v>0</v>
      </c>
      <c r="AW10" s="2">
        <f t="shared" si="3"/>
        <v>3.1</v>
      </c>
      <c r="AX10" s="34" t="e">
        <f t="shared" si="12"/>
        <v>#DIV/0!</v>
      </c>
      <c r="AY10" s="2" t="e">
        <f ca="1">VLOOKUP($F10&amp;$L10,所有坦克升星属性,MATCH(AY$3,所有坦克升星属性标头,0),FALSE)+ROUND(BD10/VLOOKUP($F10,坦克部件!#REF!,4,FALSE)*VLOOKUP($F10&amp;0,所有坦克升星属性,MATCH(AY$3,所有坦克升星属性标头,0),FALSE),0)</f>
        <v>#REF!</v>
      </c>
      <c r="AZ10" s="2" t="e">
        <f ca="1">VLOOKUP($F10&amp;$L10,所有坦克升星属性,MATCH(AZ$3,所有坦克升星属性标头,0),FALSE)+ROUND(BE10/VLOOKUP($F10,坦克部件!#REF!,4,FALSE)*VLOOKUP($F10&amp;0,所有坦克升星属性,MATCH(AZ$3,所有坦克升星属性标头,0),FALSE),0)</f>
        <v>#REF!</v>
      </c>
      <c r="BA10" s="2">
        <f t="shared" ca="1" si="4"/>
        <v>120</v>
      </c>
      <c r="BB10" s="2">
        <f t="shared" ca="1" si="4"/>
        <v>301</v>
      </c>
      <c r="BC10" s="2" t="e">
        <f ca="1">VLOOKUP($F10&amp;$L10,所有坦克升星属性,MATCH(BC$3,所有坦克升星属性标头,0),FALSE)+ROUND(BF10/VLOOKUP($F10,坦克部件!#REF!,4,FALSE)*VLOOKUP($F10&amp;0,所有坦克升星属性,MATCH(BC$3,所有坦克升星属性标头,0),FALSE),0)</f>
        <v>#REF!</v>
      </c>
      <c r="BD10" s="2" t="e">
        <f>(VLOOKUP($U10,坦克部件!#REF!,MATCH("标准值",坦克部件!#REF!,0),FALSE)+VLOOKUP($O10,坦克部件!#REF!,MATCH("标准值",坦克部件!#REF!,0),FALSE))*$R10</f>
        <v>#REF!</v>
      </c>
      <c r="BE10" s="2" t="e">
        <f>(VLOOKUP($U10,坦克部件!#REF!,MATCH("标准值",坦克部件!#REF!,0),FALSE)+VLOOKUP($O10,坦克部件!#REF!,MATCH("标准值",坦克部件!#REF!,0),FALSE))*$R10</f>
        <v>#REF!</v>
      </c>
      <c r="BF10" s="2" t="e">
        <f>(VLOOKUP($U10,坦克部件!#REF!,MATCH("标准值",坦克部件!#REF!,0),FALSE)+VLOOKUP($O10,坦克部件!#REF!,MATCH("标准值",坦克部件!#REF!,0),FALSE))*$R10</f>
        <v>#REF!</v>
      </c>
      <c r="BG10" s="2">
        <f>VLOOKUP($F10,坦克属性统计!$B$3:$AY$33,MATCH(BG$3,坦克属性统计!$B$3:$AY$3,0),FALSE)</f>
        <v>1</v>
      </c>
      <c r="BH10" s="2">
        <f t="shared" si="5"/>
        <v>2.8</v>
      </c>
      <c r="BI10" s="2">
        <f t="shared" si="5"/>
        <v>5.25</v>
      </c>
      <c r="BJ10" s="2">
        <f t="shared" si="5"/>
        <v>0</v>
      </c>
      <c r="BK10" s="34">
        <f t="shared" si="13"/>
        <v>12.428571428571429</v>
      </c>
      <c r="BM10" s="1" t="e">
        <f t="shared" ca="1" si="6"/>
        <v>#REF!</v>
      </c>
    </row>
    <row r="11" spans="2:65" x14ac:dyDescent="0.3">
      <c r="B11" s="2">
        <v>8</v>
      </c>
      <c r="C11" s="2" t="e">
        <f t="shared" ca="1" si="7"/>
        <v>#REF!</v>
      </c>
      <c r="D11" s="2" t="s">
        <v>516</v>
      </c>
      <c r="E11" s="2" t="s">
        <v>518</v>
      </c>
      <c r="F11" s="2" t="s">
        <v>642</v>
      </c>
      <c r="G11" s="2" t="str">
        <f>VLOOKUP(D11,坦克个性化设定!$B$18:$F$48,5,FALSE)</f>
        <v>轻坦弹夹</v>
      </c>
      <c r="H11" s="2" t="str">
        <f>VLOOKUP(E11,坦克个性化设定!$B$18:$F$48,5,FALSE)</f>
        <v>中坦自动</v>
      </c>
      <c r="I11" s="2" t="str">
        <f>VLOOKUP(F11,坦克个性化设定!$B$18:$F$48,5,FALSE)</f>
        <v>重坦自动</v>
      </c>
      <c r="J11" s="2">
        <v>2</v>
      </c>
      <c r="K11" s="2">
        <v>1</v>
      </c>
      <c r="L11" s="2">
        <v>1</v>
      </c>
      <c r="M11" s="2" t="s">
        <v>1708</v>
      </c>
      <c r="N11" s="2" t="s">
        <v>1708</v>
      </c>
      <c r="O11" s="2" t="s">
        <v>1707</v>
      </c>
      <c r="P11" s="2">
        <v>6</v>
      </c>
      <c r="Q11" s="2">
        <v>6</v>
      </c>
      <c r="R11" s="2">
        <v>6</v>
      </c>
      <c r="S11" s="2">
        <v>10</v>
      </c>
      <c r="T11" s="2">
        <v>10</v>
      </c>
      <c r="U11" s="2">
        <v>10</v>
      </c>
      <c r="V11" s="42" t="e">
        <f t="shared" ca="1" si="8"/>
        <v>#REF!</v>
      </c>
      <c r="W11" s="42" t="e">
        <f t="shared" ca="1" si="9"/>
        <v>#REF!</v>
      </c>
      <c r="X11" s="42" t="e">
        <f t="shared" ca="1" si="10"/>
        <v>#REF!</v>
      </c>
      <c r="Y11" s="2" t="e">
        <f ca="1">VLOOKUP($D11&amp;$J11,所有坦克升星属性,MATCH(Y$3,所有坦克升星属性标头,0),FALSE)+ROUND(AD11/VLOOKUP($D11,坦克部件!#REF!,4,FALSE)*VLOOKUP($D11&amp;0,所有坦克升星属性,MATCH(Y$3,所有坦克升星属性标头,0),FALSE),0)</f>
        <v>#REF!</v>
      </c>
      <c r="Z11" s="2" t="e">
        <f ca="1">VLOOKUP($D11&amp;$J11,所有坦克升星属性,MATCH(Z$3,所有坦克升星属性标头,0),FALSE)+ROUND(AE11/VLOOKUP($D11,坦克部件!#REF!,4,FALSE)*VLOOKUP($D11&amp;0,所有坦克升星属性,MATCH(Z$3,所有坦克升星属性标头,0),FALSE),0)</f>
        <v>#REF!</v>
      </c>
      <c r="AA11" s="2">
        <f t="shared" ca="1" si="0"/>
        <v>435</v>
      </c>
      <c r="AB11" s="2">
        <f t="shared" ca="1" si="0"/>
        <v>174</v>
      </c>
      <c r="AC11" s="2" t="e">
        <f ca="1">VLOOKUP($D11&amp;$J11,所有坦克升星属性,MATCH(AC$3,所有坦克升星属性标头,0),FALSE)+ROUND(AF11/VLOOKUP($D11,坦克部件!#REF!,4,FALSE)*VLOOKUP($D11&amp;0,所有坦克升星属性,MATCH(AC$3,所有坦克升星属性标头,0),FALSE),0)</f>
        <v>#REF!</v>
      </c>
      <c r="AD11" s="2" t="e">
        <f>(VLOOKUP($S11,坦克部件!#REF!,MATCH("标准值",坦克部件!#REF!,0),FALSE)+VLOOKUP($M11,坦克部件!#REF!,MATCH("标准值",坦克部件!#REF!,0),FALSE))*$P11</f>
        <v>#REF!</v>
      </c>
      <c r="AE11" s="2" t="e">
        <f>(VLOOKUP($S11,坦克部件!#REF!,MATCH("标准值",坦克部件!#REF!,0),FALSE)+VLOOKUP($M11,坦克部件!#REF!,MATCH("标准值",坦克部件!#REF!,0),FALSE))*$P11</f>
        <v>#REF!</v>
      </c>
      <c r="AF11" s="2" t="e">
        <f>(VLOOKUP($S11,坦克部件!#REF!,MATCH("标准值",坦克部件!#REF!,0),FALSE)+VLOOKUP($M11,坦克部件!#REF!,MATCH("标准值",坦克部件!#REF!,0),FALSE))*$P11</f>
        <v>#REF!</v>
      </c>
      <c r="AG11" s="2">
        <f>VLOOKUP($D11,坦克属性统计!$B$3:$AY$33,MATCH(AG$3,坦克属性统计!$B$3:$AY$3,0),FALSE)</f>
        <v>20</v>
      </c>
      <c r="AH11" s="2">
        <f t="shared" si="1"/>
        <v>0.6</v>
      </c>
      <c r="AI11" s="2">
        <f t="shared" si="1"/>
        <v>0</v>
      </c>
      <c r="AJ11" s="2">
        <f t="shared" si="1"/>
        <v>10</v>
      </c>
      <c r="AK11" s="34">
        <f t="shared" si="11"/>
        <v>65.420560747663558</v>
      </c>
      <c r="AL11" s="2" t="e">
        <f ca="1">VLOOKUP($E11&amp;$K11,所有坦克升星属性,MATCH(AL$3,所有坦克升星属性标头,0),FALSE)+ROUND(AQ11/VLOOKUP($E11,坦克部件!#REF!,4,FALSE)*VLOOKUP($E11&amp;0,所有坦克升星属性,MATCH(AL$3,所有坦克升星属性标头,0),FALSE),0)</f>
        <v>#REF!</v>
      </c>
      <c r="AM11" s="2" t="e">
        <f ca="1">VLOOKUP($E11&amp;$K11,所有坦克升星属性,MATCH(AM$3,所有坦克升星属性标头,0),FALSE)+ROUND(AR11/VLOOKUP($E11,坦克部件!#REF!,4,FALSE)*VLOOKUP($E11&amp;0,所有坦克升星属性,MATCH(AM$3,所有坦克升星属性标头,0),FALSE),0)</f>
        <v>#REF!</v>
      </c>
      <c r="AN11" s="2">
        <f t="shared" ca="1" si="2"/>
        <v>414</v>
      </c>
      <c r="AO11" s="2">
        <f t="shared" ca="1" si="2"/>
        <v>186</v>
      </c>
      <c r="AP11" s="2" t="e">
        <f ca="1">VLOOKUP($E11&amp;$K11,所有坦克升星属性,MATCH(AP$3,所有坦克升星属性标头,0),FALSE)+ROUND(AS11/VLOOKUP($E11,坦克部件!#REF!,4,FALSE)*VLOOKUP($E11&amp;0,所有坦克升星属性,MATCH(AP$3,所有坦克升星属性标头,0),FALSE),0)</f>
        <v>#REF!</v>
      </c>
      <c r="AQ11" s="2" t="e">
        <f>(VLOOKUP($T11,坦克部件!#REF!,MATCH("标准值",坦克部件!#REF!,0),FALSE)+VLOOKUP($N11,坦克部件!#REF!,MATCH("标准值",坦克部件!#REF!,0),FALSE))*$Q11</f>
        <v>#REF!</v>
      </c>
      <c r="AR11" s="2" t="e">
        <f>(VLOOKUP($T11,坦克部件!#REF!,MATCH("标准值",坦克部件!#REF!,0),FALSE)+VLOOKUP($N11,坦克部件!#REF!,MATCH("标准值",坦克部件!#REF!,0),FALSE))*$Q11</f>
        <v>#REF!</v>
      </c>
      <c r="AS11" s="2" t="e">
        <f>(VLOOKUP($T11,坦克部件!#REF!,MATCH("标准值",坦克部件!#REF!,0),FALSE)+VLOOKUP($N11,坦克部件!#REF!,MATCH("标准值",坦克部件!#REF!,0),FALSE))*$Q11</f>
        <v>#REF!</v>
      </c>
      <c r="AT11" s="2">
        <f>VLOOKUP($E11,坦克属性统计!$B$3:$AY$33,MATCH(AT$3,坦克属性统计!$B$3:$AY$3,0),FALSE)</f>
        <v>9</v>
      </c>
      <c r="AU11" s="2">
        <f t="shared" si="3"/>
        <v>0.42</v>
      </c>
      <c r="AV11" s="2">
        <f t="shared" si="3"/>
        <v>0</v>
      </c>
      <c r="AW11" s="2">
        <f t="shared" si="3"/>
        <v>3.1</v>
      </c>
      <c r="AX11" s="34" t="e">
        <f t="shared" si="12"/>
        <v>#DIV/0!</v>
      </c>
      <c r="AY11" s="2" t="e">
        <f ca="1">VLOOKUP($F11&amp;$L11,所有坦克升星属性,MATCH(AY$3,所有坦克升星属性标头,0),FALSE)+ROUND(BD11/VLOOKUP($F11,坦克部件!#REF!,4,FALSE)*VLOOKUP($F11&amp;0,所有坦克升星属性,MATCH(AY$3,所有坦克升星属性标头,0),FALSE),0)</f>
        <v>#REF!</v>
      </c>
      <c r="AZ11" s="2" t="e">
        <f ca="1">VLOOKUP($F11&amp;$L11,所有坦克升星属性,MATCH(AZ$3,所有坦克升星属性标头,0),FALSE)+ROUND(BE11/VLOOKUP($F11,坦克部件!#REF!,4,FALSE)*VLOOKUP($F11&amp;0,所有坦克升星属性,MATCH(AZ$3,所有坦克升星属性标头,0),FALSE),0)</f>
        <v>#REF!</v>
      </c>
      <c r="BA11" s="2">
        <f t="shared" ca="1" si="4"/>
        <v>120</v>
      </c>
      <c r="BB11" s="2">
        <f t="shared" ca="1" si="4"/>
        <v>301</v>
      </c>
      <c r="BC11" s="2" t="e">
        <f ca="1">VLOOKUP($F11&amp;$L11,所有坦克升星属性,MATCH(BC$3,所有坦克升星属性标头,0),FALSE)+ROUND(BF11/VLOOKUP($F11,坦克部件!#REF!,4,FALSE)*VLOOKUP($F11&amp;0,所有坦克升星属性,MATCH(BC$3,所有坦克升星属性标头,0),FALSE),0)</f>
        <v>#REF!</v>
      </c>
      <c r="BD11" s="2" t="e">
        <f>(VLOOKUP($U11,坦克部件!#REF!,MATCH("标准值",坦克部件!#REF!,0),FALSE)+VLOOKUP($O11,坦克部件!#REF!,MATCH("标准值",坦克部件!#REF!,0),FALSE))*$R11</f>
        <v>#REF!</v>
      </c>
      <c r="BE11" s="2" t="e">
        <f>(VLOOKUP($U11,坦克部件!#REF!,MATCH("标准值",坦克部件!#REF!,0),FALSE)+VLOOKUP($O11,坦克部件!#REF!,MATCH("标准值",坦克部件!#REF!,0),FALSE))*$R11</f>
        <v>#REF!</v>
      </c>
      <c r="BF11" s="2" t="e">
        <f>(VLOOKUP($U11,坦克部件!#REF!,MATCH("标准值",坦克部件!#REF!,0),FALSE)+VLOOKUP($O11,坦克部件!#REF!,MATCH("标准值",坦克部件!#REF!,0),FALSE))*$R11</f>
        <v>#REF!</v>
      </c>
      <c r="BG11" s="2">
        <f>VLOOKUP($F11,坦克属性统计!$B$3:$AY$33,MATCH(BG$3,坦克属性统计!$B$3:$AY$3,0),FALSE)</f>
        <v>1</v>
      </c>
      <c r="BH11" s="2">
        <f t="shared" si="5"/>
        <v>2.8</v>
      </c>
      <c r="BI11" s="2">
        <f t="shared" si="5"/>
        <v>5.25</v>
      </c>
      <c r="BJ11" s="2">
        <f t="shared" si="5"/>
        <v>0</v>
      </c>
      <c r="BK11" s="34">
        <f t="shared" si="13"/>
        <v>12.428571428571429</v>
      </c>
      <c r="BM11" s="1" t="e">
        <f t="shared" ca="1" si="6"/>
        <v>#REF!</v>
      </c>
    </row>
    <row r="12" spans="2:65" x14ac:dyDescent="0.3">
      <c r="B12" s="2">
        <v>9</v>
      </c>
      <c r="C12" s="2" t="e">
        <f t="shared" ca="1" si="7"/>
        <v>#REF!</v>
      </c>
      <c r="D12" s="2" t="s">
        <v>516</v>
      </c>
      <c r="E12" s="2" t="s">
        <v>518</v>
      </c>
      <c r="F12" s="2" t="s">
        <v>642</v>
      </c>
      <c r="G12" s="2" t="str">
        <f>VLOOKUP(D12,坦克个性化设定!$B$18:$F$48,5,FALSE)</f>
        <v>轻坦弹夹</v>
      </c>
      <c r="H12" s="2" t="str">
        <f>VLOOKUP(E12,坦克个性化设定!$B$18:$F$48,5,FALSE)</f>
        <v>中坦自动</v>
      </c>
      <c r="I12" s="2" t="str">
        <f>VLOOKUP(F12,坦克个性化设定!$B$18:$F$48,5,FALSE)</f>
        <v>重坦自动</v>
      </c>
      <c r="J12" s="2">
        <v>2</v>
      </c>
      <c r="K12" s="2">
        <v>1</v>
      </c>
      <c r="L12" s="2">
        <v>1</v>
      </c>
      <c r="M12" s="2" t="s">
        <v>1709</v>
      </c>
      <c r="N12" s="2" t="s">
        <v>1708</v>
      </c>
      <c r="O12" s="2" t="s">
        <v>1708</v>
      </c>
      <c r="P12" s="2">
        <v>6</v>
      </c>
      <c r="Q12" s="2">
        <v>6</v>
      </c>
      <c r="R12" s="2">
        <v>6</v>
      </c>
      <c r="S12" s="2">
        <v>10</v>
      </c>
      <c r="T12" s="2">
        <v>10</v>
      </c>
      <c r="U12" s="2">
        <v>10</v>
      </c>
      <c r="V12" s="42" t="e">
        <f t="shared" ca="1" si="8"/>
        <v>#REF!</v>
      </c>
      <c r="W12" s="42" t="e">
        <f t="shared" ca="1" si="9"/>
        <v>#REF!</v>
      </c>
      <c r="X12" s="42" t="e">
        <f t="shared" ca="1" si="10"/>
        <v>#REF!</v>
      </c>
      <c r="Y12" s="2" t="e">
        <f ca="1">VLOOKUP($D12&amp;$J12,所有坦克升星属性,MATCH(Y$3,所有坦克升星属性标头,0),FALSE)+ROUND(AD12/VLOOKUP($D12,坦克部件!#REF!,4,FALSE)*VLOOKUP($D12&amp;0,所有坦克升星属性,MATCH(Y$3,所有坦克升星属性标头,0),FALSE),0)</f>
        <v>#REF!</v>
      </c>
      <c r="Z12" s="2" t="e">
        <f ca="1">VLOOKUP($D12&amp;$J12,所有坦克升星属性,MATCH(Z$3,所有坦克升星属性标头,0),FALSE)+ROUND(AE12/VLOOKUP($D12,坦克部件!#REF!,4,FALSE)*VLOOKUP($D12&amp;0,所有坦克升星属性,MATCH(Z$3,所有坦克升星属性标头,0),FALSE),0)</f>
        <v>#REF!</v>
      </c>
      <c r="AA12" s="2">
        <f t="shared" ca="1" si="0"/>
        <v>435</v>
      </c>
      <c r="AB12" s="2">
        <f t="shared" ca="1" si="0"/>
        <v>174</v>
      </c>
      <c r="AC12" s="2" t="e">
        <f ca="1">VLOOKUP($D12&amp;$J12,所有坦克升星属性,MATCH(AC$3,所有坦克升星属性标头,0),FALSE)+ROUND(AF12/VLOOKUP($D12,坦克部件!#REF!,4,FALSE)*VLOOKUP($D12&amp;0,所有坦克升星属性,MATCH(AC$3,所有坦克升星属性标头,0),FALSE),0)</f>
        <v>#REF!</v>
      </c>
      <c r="AD12" s="2" t="e">
        <f>(VLOOKUP($S12,坦克部件!#REF!,MATCH("标准值",坦克部件!#REF!,0),FALSE)+VLOOKUP($M12,坦克部件!#REF!,MATCH("标准值",坦克部件!#REF!,0),FALSE))*$P12</f>
        <v>#REF!</v>
      </c>
      <c r="AE12" s="2" t="e">
        <f>(VLOOKUP($S12,坦克部件!#REF!,MATCH("标准值",坦克部件!#REF!,0),FALSE)+VLOOKUP($M12,坦克部件!#REF!,MATCH("标准值",坦克部件!#REF!,0),FALSE))*$P12</f>
        <v>#REF!</v>
      </c>
      <c r="AF12" s="2" t="e">
        <f>(VLOOKUP($S12,坦克部件!#REF!,MATCH("标准值",坦克部件!#REF!,0),FALSE)+VLOOKUP($M12,坦克部件!#REF!,MATCH("标准值",坦克部件!#REF!,0),FALSE))*$P12</f>
        <v>#REF!</v>
      </c>
      <c r="AG12" s="2">
        <f>VLOOKUP($D12,坦克属性统计!$B$3:$AY$33,MATCH(AG$3,坦克属性统计!$B$3:$AY$3,0),FALSE)</f>
        <v>20</v>
      </c>
      <c r="AH12" s="2">
        <f t="shared" si="1"/>
        <v>0.6</v>
      </c>
      <c r="AI12" s="2">
        <f t="shared" si="1"/>
        <v>0</v>
      </c>
      <c r="AJ12" s="2">
        <f t="shared" si="1"/>
        <v>10</v>
      </c>
      <c r="AK12" s="34">
        <f t="shared" si="11"/>
        <v>65.420560747663558</v>
      </c>
      <c r="AL12" s="2" t="e">
        <f ca="1">VLOOKUP($E12&amp;$K12,所有坦克升星属性,MATCH(AL$3,所有坦克升星属性标头,0),FALSE)+ROUND(AQ12/VLOOKUP($E12,坦克部件!#REF!,4,FALSE)*VLOOKUP($E12&amp;0,所有坦克升星属性,MATCH(AL$3,所有坦克升星属性标头,0),FALSE),0)</f>
        <v>#REF!</v>
      </c>
      <c r="AM12" s="2" t="e">
        <f ca="1">VLOOKUP($E12&amp;$K12,所有坦克升星属性,MATCH(AM$3,所有坦克升星属性标头,0),FALSE)+ROUND(AR12/VLOOKUP($E12,坦克部件!#REF!,4,FALSE)*VLOOKUP($E12&amp;0,所有坦克升星属性,MATCH(AM$3,所有坦克升星属性标头,0),FALSE),0)</f>
        <v>#REF!</v>
      </c>
      <c r="AN12" s="2">
        <f t="shared" ca="1" si="2"/>
        <v>414</v>
      </c>
      <c r="AO12" s="2">
        <f t="shared" ca="1" si="2"/>
        <v>186</v>
      </c>
      <c r="AP12" s="2" t="e">
        <f ca="1">VLOOKUP($E12&amp;$K12,所有坦克升星属性,MATCH(AP$3,所有坦克升星属性标头,0),FALSE)+ROUND(AS12/VLOOKUP($E12,坦克部件!#REF!,4,FALSE)*VLOOKUP($E12&amp;0,所有坦克升星属性,MATCH(AP$3,所有坦克升星属性标头,0),FALSE),0)</f>
        <v>#REF!</v>
      </c>
      <c r="AQ12" s="2" t="e">
        <f>(VLOOKUP($T12,坦克部件!#REF!,MATCH("标准值",坦克部件!#REF!,0),FALSE)+VLOOKUP($N12,坦克部件!#REF!,MATCH("标准值",坦克部件!#REF!,0),FALSE))*$Q12</f>
        <v>#REF!</v>
      </c>
      <c r="AR12" s="2" t="e">
        <f>(VLOOKUP($T12,坦克部件!#REF!,MATCH("标准值",坦克部件!#REF!,0),FALSE)+VLOOKUP($N12,坦克部件!#REF!,MATCH("标准值",坦克部件!#REF!,0),FALSE))*$Q12</f>
        <v>#REF!</v>
      </c>
      <c r="AS12" s="2" t="e">
        <f>(VLOOKUP($T12,坦克部件!#REF!,MATCH("标准值",坦克部件!#REF!,0),FALSE)+VLOOKUP($N12,坦克部件!#REF!,MATCH("标准值",坦克部件!#REF!,0),FALSE))*$Q12</f>
        <v>#REF!</v>
      </c>
      <c r="AT12" s="2">
        <f>VLOOKUP($E12,坦克属性统计!$B$3:$AY$33,MATCH(AT$3,坦克属性统计!$B$3:$AY$3,0),FALSE)</f>
        <v>9</v>
      </c>
      <c r="AU12" s="2">
        <f t="shared" si="3"/>
        <v>0.42</v>
      </c>
      <c r="AV12" s="2">
        <f t="shared" si="3"/>
        <v>0</v>
      </c>
      <c r="AW12" s="2">
        <f t="shared" si="3"/>
        <v>3.1</v>
      </c>
      <c r="AX12" s="34" t="e">
        <f t="shared" si="12"/>
        <v>#DIV/0!</v>
      </c>
      <c r="AY12" s="2" t="e">
        <f ca="1">VLOOKUP($F12&amp;$L12,所有坦克升星属性,MATCH(AY$3,所有坦克升星属性标头,0),FALSE)+ROUND(BD12/VLOOKUP($F12,坦克部件!#REF!,4,FALSE)*VLOOKUP($F12&amp;0,所有坦克升星属性,MATCH(AY$3,所有坦克升星属性标头,0),FALSE),0)</f>
        <v>#REF!</v>
      </c>
      <c r="AZ12" s="2" t="e">
        <f ca="1">VLOOKUP($F12&amp;$L12,所有坦克升星属性,MATCH(AZ$3,所有坦克升星属性标头,0),FALSE)+ROUND(BE12/VLOOKUP($F12,坦克部件!#REF!,4,FALSE)*VLOOKUP($F12&amp;0,所有坦克升星属性,MATCH(AZ$3,所有坦克升星属性标头,0),FALSE),0)</f>
        <v>#REF!</v>
      </c>
      <c r="BA12" s="2">
        <f t="shared" ca="1" si="4"/>
        <v>120</v>
      </c>
      <c r="BB12" s="2">
        <f t="shared" ca="1" si="4"/>
        <v>301</v>
      </c>
      <c r="BC12" s="2" t="e">
        <f ca="1">VLOOKUP($F12&amp;$L12,所有坦克升星属性,MATCH(BC$3,所有坦克升星属性标头,0),FALSE)+ROUND(BF12/VLOOKUP($F12,坦克部件!#REF!,4,FALSE)*VLOOKUP($F12&amp;0,所有坦克升星属性,MATCH(BC$3,所有坦克升星属性标头,0),FALSE),0)</f>
        <v>#REF!</v>
      </c>
      <c r="BD12" s="2" t="e">
        <f>(VLOOKUP($U12,坦克部件!#REF!,MATCH("标准值",坦克部件!#REF!,0),FALSE)+VLOOKUP($O12,坦克部件!#REF!,MATCH("标准值",坦克部件!#REF!,0),FALSE))*$R12</f>
        <v>#REF!</v>
      </c>
      <c r="BE12" s="2" t="e">
        <f>(VLOOKUP($U12,坦克部件!#REF!,MATCH("标准值",坦克部件!#REF!,0),FALSE)+VLOOKUP($O12,坦克部件!#REF!,MATCH("标准值",坦克部件!#REF!,0),FALSE))*$R12</f>
        <v>#REF!</v>
      </c>
      <c r="BF12" s="2" t="e">
        <f>(VLOOKUP($U12,坦克部件!#REF!,MATCH("标准值",坦克部件!#REF!,0),FALSE)+VLOOKUP($O12,坦克部件!#REF!,MATCH("标准值",坦克部件!#REF!,0),FALSE))*$R12</f>
        <v>#REF!</v>
      </c>
      <c r="BG12" s="2">
        <f>VLOOKUP($F12,坦克属性统计!$B$3:$AY$33,MATCH(BG$3,坦克属性统计!$B$3:$AY$3,0),FALSE)</f>
        <v>1</v>
      </c>
      <c r="BH12" s="2">
        <f t="shared" si="5"/>
        <v>2.8</v>
      </c>
      <c r="BI12" s="2">
        <f t="shared" si="5"/>
        <v>5.25</v>
      </c>
      <c r="BJ12" s="2">
        <f t="shared" si="5"/>
        <v>0</v>
      </c>
      <c r="BK12" s="34">
        <f t="shared" si="13"/>
        <v>12.428571428571429</v>
      </c>
      <c r="BM12" s="1" t="e">
        <f t="shared" ca="1" si="6"/>
        <v>#REF!</v>
      </c>
    </row>
    <row r="13" spans="2:65" x14ac:dyDescent="0.3">
      <c r="B13" s="2">
        <v>10</v>
      </c>
      <c r="C13" s="2" t="e">
        <f t="shared" ca="1" si="7"/>
        <v>#REF!</v>
      </c>
      <c r="D13" s="2" t="s">
        <v>516</v>
      </c>
      <c r="E13" s="2" t="s">
        <v>518</v>
      </c>
      <c r="F13" s="2" t="s">
        <v>642</v>
      </c>
      <c r="G13" s="2" t="str">
        <f>VLOOKUP(D13,坦克个性化设定!$B$18:$F$48,5,FALSE)</f>
        <v>轻坦弹夹</v>
      </c>
      <c r="H13" s="2" t="str">
        <f>VLOOKUP(E13,坦克个性化设定!$B$18:$F$48,5,FALSE)</f>
        <v>中坦自动</v>
      </c>
      <c r="I13" s="2" t="str">
        <f>VLOOKUP(F13,坦克个性化设定!$B$18:$F$48,5,FALSE)</f>
        <v>重坦自动</v>
      </c>
      <c r="J13" s="2">
        <v>2</v>
      </c>
      <c r="K13" s="2">
        <v>1</v>
      </c>
      <c r="L13" s="2">
        <v>1</v>
      </c>
      <c r="M13" s="2" t="s">
        <v>1709</v>
      </c>
      <c r="N13" s="2" t="s">
        <v>1709</v>
      </c>
      <c r="O13" s="2" t="s">
        <v>1709</v>
      </c>
      <c r="P13" s="2">
        <v>6</v>
      </c>
      <c r="Q13" s="2">
        <v>6</v>
      </c>
      <c r="R13" s="2">
        <v>6</v>
      </c>
      <c r="S13" s="2">
        <v>10</v>
      </c>
      <c r="T13" s="2">
        <v>10</v>
      </c>
      <c r="U13" s="2">
        <v>10</v>
      </c>
      <c r="V13" s="42" t="e">
        <f t="shared" ca="1" si="8"/>
        <v>#REF!</v>
      </c>
      <c r="W13" s="42" t="e">
        <f t="shared" ca="1" si="9"/>
        <v>#REF!</v>
      </c>
      <c r="X13" s="42" t="e">
        <f t="shared" ca="1" si="10"/>
        <v>#REF!</v>
      </c>
      <c r="Y13" s="2" t="e">
        <f ca="1">VLOOKUP($D13&amp;$J13,所有坦克升星属性,MATCH(Y$3,所有坦克升星属性标头,0),FALSE)+ROUND(AD13/VLOOKUP($D13,坦克部件!#REF!,4,FALSE)*VLOOKUP($D13&amp;0,所有坦克升星属性,MATCH(Y$3,所有坦克升星属性标头,0),FALSE),0)</f>
        <v>#REF!</v>
      </c>
      <c r="Z13" s="2" t="e">
        <f ca="1">VLOOKUP($D13&amp;$J13,所有坦克升星属性,MATCH(Z$3,所有坦克升星属性标头,0),FALSE)+ROUND(AE13/VLOOKUP($D13,坦克部件!#REF!,4,FALSE)*VLOOKUP($D13&amp;0,所有坦克升星属性,MATCH(Z$3,所有坦克升星属性标头,0),FALSE),0)</f>
        <v>#REF!</v>
      </c>
      <c r="AA13" s="2">
        <f t="shared" ca="1" si="0"/>
        <v>435</v>
      </c>
      <c r="AB13" s="2">
        <f t="shared" ca="1" si="0"/>
        <v>174</v>
      </c>
      <c r="AC13" s="2" t="e">
        <f ca="1">VLOOKUP($D13&amp;$J13,所有坦克升星属性,MATCH(AC$3,所有坦克升星属性标头,0),FALSE)+ROUND(AF13/VLOOKUP($D13,坦克部件!#REF!,4,FALSE)*VLOOKUP($D13&amp;0,所有坦克升星属性,MATCH(AC$3,所有坦克升星属性标头,0),FALSE),0)</f>
        <v>#REF!</v>
      </c>
      <c r="AD13" s="2" t="e">
        <f>(VLOOKUP($S13,坦克部件!#REF!,MATCH("标准值",坦克部件!#REF!,0),FALSE)+VLOOKUP($M13,坦克部件!#REF!,MATCH("标准值",坦克部件!#REF!,0),FALSE))*$P13</f>
        <v>#REF!</v>
      </c>
      <c r="AE13" s="2" t="e">
        <f>(VLOOKUP($S13,坦克部件!#REF!,MATCH("标准值",坦克部件!#REF!,0),FALSE)+VLOOKUP($M13,坦克部件!#REF!,MATCH("标准值",坦克部件!#REF!,0),FALSE))*$P13</f>
        <v>#REF!</v>
      </c>
      <c r="AF13" s="2" t="e">
        <f>(VLOOKUP($S13,坦克部件!#REF!,MATCH("标准值",坦克部件!#REF!,0),FALSE)+VLOOKUP($M13,坦克部件!#REF!,MATCH("标准值",坦克部件!#REF!,0),FALSE))*$P13</f>
        <v>#REF!</v>
      </c>
      <c r="AG13" s="2">
        <f>VLOOKUP($D13,坦克属性统计!$B$3:$AY$33,MATCH(AG$3,坦克属性统计!$B$3:$AY$3,0),FALSE)</f>
        <v>20</v>
      </c>
      <c r="AH13" s="2">
        <f t="shared" si="1"/>
        <v>0.6</v>
      </c>
      <c r="AI13" s="2">
        <f t="shared" si="1"/>
        <v>0</v>
      </c>
      <c r="AJ13" s="2">
        <f t="shared" si="1"/>
        <v>10</v>
      </c>
      <c r="AK13" s="34">
        <f t="shared" si="11"/>
        <v>65.420560747663558</v>
      </c>
      <c r="AL13" s="2" t="e">
        <f ca="1">VLOOKUP($E13&amp;$K13,所有坦克升星属性,MATCH(AL$3,所有坦克升星属性标头,0),FALSE)+ROUND(AQ13/VLOOKUP($E13,坦克部件!#REF!,4,FALSE)*VLOOKUP($E13&amp;0,所有坦克升星属性,MATCH(AL$3,所有坦克升星属性标头,0),FALSE),0)</f>
        <v>#REF!</v>
      </c>
      <c r="AM13" s="2" t="e">
        <f ca="1">VLOOKUP($E13&amp;$K13,所有坦克升星属性,MATCH(AM$3,所有坦克升星属性标头,0),FALSE)+ROUND(AR13/VLOOKUP($E13,坦克部件!#REF!,4,FALSE)*VLOOKUP($E13&amp;0,所有坦克升星属性,MATCH(AM$3,所有坦克升星属性标头,0),FALSE),0)</f>
        <v>#REF!</v>
      </c>
      <c r="AN13" s="2">
        <f t="shared" ca="1" si="2"/>
        <v>414</v>
      </c>
      <c r="AO13" s="2">
        <f t="shared" ca="1" si="2"/>
        <v>186</v>
      </c>
      <c r="AP13" s="2" t="e">
        <f ca="1">VLOOKUP($E13&amp;$K13,所有坦克升星属性,MATCH(AP$3,所有坦克升星属性标头,0),FALSE)+ROUND(AS13/VLOOKUP($E13,坦克部件!#REF!,4,FALSE)*VLOOKUP($E13&amp;0,所有坦克升星属性,MATCH(AP$3,所有坦克升星属性标头,0),FALSE),0)</f>
        <v>#REF!</v>
      </c>
      <c r="AQ13" s="2" t="e">
        <f>(VLOOKUP($T13,坦克部件!#REF!,MATCH("标准值",坦克部件!#REF!,0),FALSE)+VLOOKUP($N13,坦克部件!#REF!,MATCH("标准值",坦克部件!#REF!,0),FALSE))*$Q13</f>
        <v>#REF!</v>
      </c>
      <c r="AR13" s="2" t="e">
        <f>(VLOOKUP($T13,坦克部件!#REF!,MATCH("标准值",坦克部件!#REF!,0),FALSE)+VLOOKUP($N13,坦克部件!#REF!,MATCH("标准值",坦克部件!#REF!,0),FALSE))*$Q13</f>
        <v>#REF!</v>
      </c>
      <c r="AS13" s="2" t="e">
        <f>(VLOOKUP($T13,坦克部件!#REF!,MATCH("标准值",坦克部件!#REF!,0),FALSE)+VLOOKUP($N13,坦克部件!#REF!,MATCH("标准值",坦克部件!#REF!,0),FALSE))*$Q13</f>
        <v>#REF!</v>
      </c>
      <c r="AT13" s="2">
        <f>VLOOKUP($E13,坦克属性统计!$B$3:$AY$33,MATCH(AT$3,坦克属性统计!$B$3:$AY$3,0),FALSE)</f>
        <v>9</v>
      </c>
      <c r="AU13" s="2">
        <f t="shared" si="3"/>
        <v>0.42</v>
      </c>
      <c r="AV13" s="2">
        <f t="shared" si="3"/>
        <v>0</v>
      </c>
      <c r="AW13" s="2">
        <f t="shared" si="3"/>
        <v>3.1</v>
      </c>
      <c r="AX13" s="34" t="e">
        <f t="shared" si="12"/>
        <v>#DIV/0!</v>
      </c>
      <c r="AY13" s="2" t="e">
        <f ca="1">VLOOKUP($F13&amp;$L13,所有坦克升星属性,MATCH(AY$3,所有坦克升星属性标头,0),FALSE)+ROUND(BD13/VLOOKUP($F13,坦克部件!#REF!,4,FALSE)*VLOOKUP($F13&amp;0,所有坦克升星属性,MATCH(AY$3,所有坦克升星属性标头,0),FALSE),0)</f>
        <v>#REF!</v>
      </c>
      <c r="AZ13" s="2" t="e">
        <f ca="1">VLOOKUP($F13&amp;$L13,所有坦克升星属性,MATCH(AZ$3,所有坦克升星属性标头,0),FALSE)+ROUND(BE13/VLOOKUP($F13,坦克部件!#REF!,4,FALSE)*VLOOKUP($F13&amp;0,所有坦克升星属性,MATCH(AZ$3,所有坦克升星属性标头,0),FALSE),0)</f>
        <v>#REF!</v>
      </c>
      <c r="BA13" s="2">
        <f t="shared" ca="1" si="4"/>
        <v>120</v>
      </c>
      <c r="BB13" s="2">
        <f t="shared" ca="1" si="4"/>
        <v>301</v>
      </c>
      <c r="BC13" s="2" t="e">
        <f ca="1">VLOOKUP($F13&amp;$L13,所有坦克升星属性,MATCH(BC$3,所有坦克升星属性标头,0),FALSE)+ROUND(BF13/VLOOKUP($F13,坦克部件!#REF!,4,FALSE)*VLOOKUP($F13&amp;0,所有坦克升星属性,MATCH(BC$3,所有坦克升星属性标头,0),FALSE),0)</f>
        <v>#REF!</v>
      </c>
      <c r="BD13" s="2" t="e">
        <f>(VLOOKUP($U13,坦克部件!#REF!,MATCH("标准值",坦克部件!#REF!,0),FALSE)+VLOOKUP($O13,坦克部件!#REF!,MATCH("标准值",坦克部件!#REF!,0),FALSE))*$R13</f>
        <v>#REF!</v>
      </c>
      <c r="BE13" s="2" t="e">
        <f>(VLOOKUP($U13,坦克部件!#REF!,MATCH("标准值",坦克部件!#REF!,0),FALSE)+VLOOKUP($O13,坦克部件!#REF!,MATCH("标准值",坦克部件!#REF!,0),FALSE))*$R13</f>
        <v>#REF!</v>
      </c>
      <c r="BF13" s="2" t="e">
        <f>(VLOOKUP($U13,坦克部件!#REF!,MATCH("标准值",坦克部件!#REF!,0),FALSE)+VLOOKUP($O13,坦克部件!#REF!,MATCH("标准值",坦克部件!#REF!,0),FALSE))*$R13</f>
        <v>#REF!</v>
      </c>
      <c r="BG13" s="2">
        <f>VLOOKUP($F13,坦克属性统计!$B$3:$AY$33,MATCH(BG$3,坦克属性统计!$B$3:$AY$3,0),FALSE)</f>
        <v>1</v>
      </c>
      <c r="BH13" s="2">
        <f t="shared" si="5"/>
        <v>2.8</v>
      </c>
      <c r="BI13" s="2">
        <f t="shared" si="5"/>
        <v>5.25</v>
      </c>
      <c r="BJ13" s="2">
        <f t="shared" si="5"/>
        <v>0</v>
      </c>
      <c r="BK13" s="34">
        <f t="shared" si="13"/>
        <v>12.428571428571429</v>
      </c>
      <c r="BM13" s="1" t="e">
        <f t="shared" ca="1" si="6"/>
        <v>#REF!</v>
      </c>
    </row>
    <row r="14" spans="2:65" x14ac:dyDescent="0.3">
      <c r="B14" s="2">
        <v>11</v>
      </c>
      <c r="C14" s="2" t="e">
        <f t="shared" ca="1" si="7"/>
        <v>#REF!</v>
      </c>
      <c r="D14" s="2" t="s">
        <v>607</v>
      </c>
      <c r="E14" s="2" t="s">
        <v>518</v>
      </c>
      <c r="F14" s="2" t="s">
        <v>644</v>
      </c>
      <c r="G14" s="2" t="str">
        <f>VLOOKUP(D14,坦克个性化设定!$B$18:$F$48,5,FALSE)</f>
        <v>轻坦弹夹</v>
      </c>
      <c r="H14" s="2" t="str">
        <f>VLOOKUP(E14,坦克个性化设定!$B$18:$F$48,5,FALSE)</f>
        <v>中坦自动</v>
      </c>
      <c r="I14" s="2" t="str">
        <f>VLOOKUP(F14,坦克个性化设定!$B$18:$F$48,5,FALSE)</f>
        <v>重坦自动</v>
      </c>
      <c r="J14" s="2">
        <v>0</v>
      </c>
      <c r="K14" s="2">
        <v>1</v>
      </c>
      <c r="L14" s="2">
        <v>1</v>
      </c>
      <c r="M14" s="2" t="s">
        <v>1710</v>
      </c>
      <c r="N14" s="2" t="s">
        <v>1710</v>
      </c>
      <c r="O14" s="2" t="s">
        <v>1710</v>
      </c>
      <c r="P14" s="2">
        <v>6</v>
      </c>
      <c r="Q14" s="2">
        <v>6</v>
      </c>
      <c r="R14" s="2">
        <v>6</v>
      </c>
      <c r="S14" s="2">
        <v>15</v>
      </c>
      <c r="T14" s="2">
        <v>15</v>
      </c>
      <c r="U14" s="2">
        <v>15</v>
      </c>
      <c r="V14" s="42" t="e">
        <f t="shared" ca="1" si="8"/>
        <v>#REF!</v>
      </c>
      <c r="W14" s="42" t="e">
        <f t="shared" ca="1" si="9"/>
        <v>#REF!</v>
      </c>
      <c r="X14" s="42" t="e">
        <f t="shared" ca="1" si="10"/>
        <v>#REF!</v>
      </c>
      <c r="Y14" s="2" t="e">
        <f ca="1">VLOOKUP($D14&amp;$J14,所有坦克升星属性,MATCH(Y$3,所有坦克升星属性标头,0),FALSE)+ROUND(AD14/VLOOKUP($D14,坦克部件!#REF!,4,FALSE)*VLOOKUP($D14&amp;0,所有坦克升星属性,MATCH(Y$3,所有坦克升星属性标头,0),FALSE),0)</f>
        <v>#REF!</v>
      </c>
      <c r="Z14" s="2" t="e">
        <f ca="1">VLOOKUP($D14&amp;$J14,所有坦克升星属性,MATCH(Z$3,所有坦克升星属性标头,0),FALSE)+ROUND(AE14/VLOOKUP($D14,坦克部件!#REF!,4,FALSE)*VLOOKUP($D14&amp;0,所有坦克升星属性,MATCH(Z$3,所有坦克升星属性标头,0),FALSE),0)</f>
        <v>#REF!</v>
      </c>
      <c r="AA14" s="2">
        <f t="shared" ca="1" si="0"/>
        <v>401</v>
      </c>
      <c r="AB14" s="2">
        <f t="shared" ca="1" si="0"/>
        <v>160</v>
      </c>
      <c r="AC14" s="2" t="e">
        <f ca="1">VLOOKUP($D14&amp;$J14,所有坦克升星属性,MATCH(AC$3,所有坦克升星属性标头,0),FALSE)+ROUND(AF14/VLOOKUP($D14,坦克部件!#REF!,4,FALSE)*VLOOKUP($D14&amp;0,所有坦克升星属性,MATCH(AC$3,所有坦克升星属性标头,0),FALSE),0)</f>
        <v>#REF!</v>
      </c>
      <c r="AD14" s="2" t="e">
        <f>(VLOOKUP($S14,坦克部件!#REF!,MATCH("标准值",坦克部件!#REF!,0),FALSE)+VLOOKUP($M14,坦克部件!#REF!,MATCH("标准值",坦克部件!#REF!,0),FALSE))*$P14</f>
        <v>#REF!</v>
      </c>
      <c r="AE14" s="2" t="e">
        <f>(VLOOKUP($S14,坦克部件!#REF!,MATCH("标准值",坦克部件!#REF!,0),FALSE)+VLOOKUP($M14,坦克部件!#REF!,MATCH("标准值",坦克部件!#REF!,0),FALSE))*$P14</f>
        <v>#REF!</v>
      </c>
      <c r="AF14" s="2" t="e">
        <f>(VLOOKUP($S14,坦克部件!#REF!,MATCH("标准值",坦克部件!#REF!,0),FALSE)+VLOOKUP($M14,坦克部件!#REF!,MATCH("标准值",坦克部件!#REF!,0),FALSE))*$P14</f>
        <v>#REF!</v>
      </c>
      <c r="AG14" s="2">
        <f>VLOOKUP($D14,坦克属性统计!$B$3:$AY$33,MATCH(AG$3,坦克属性统计!$B$3:$AY$3,0),FALSE)</f>
        <v>9</v>
      </c>
      <c r="AH14" s="2">
        <f t="shared" si="1"/>
        <v>0.8</v>
      </c>
      <c r="AI14" s="2">
        <f t="shared" si="1"/>
        <v>0</v>
      </c>
      <c r="AJ14" s="2">
        <f t="shared" si="1"/>
        <v>4.7</v>
      </c>
      <c r="AK14" s="34">
        <f t="shared" si="11"/>
        <v>52.459459459459453</v>
      </c>
      <c r="AL14" s="2" t="e">
        <f ca="1">VLOOKUP($E14&amp;$K14,所有坦克升星属性,MATCH(AL$3,所有坦克升星属性标头,0),FALSE)+ROUND(AQ14/VLOOKUP($E14,坦克部件!#REF!,4,FALSE)*VLOOKUP($E14&amp;0,所有坦克升星属性,MATCH(AL$3,所有坦克升星属性标头,0),FALSE),0)</f>
        <v>#REF!</v>
      </c>
      <c r="AM14" s="2" t="e">
        <f ca="1">VLOOKUP($E14&amp;$K14,所有坦克升星属性,MATCH(AM$3,所有坦克升星属性标头,0),FALSE)+ROUND(AR14/VLOOKUP($E14,坦克部件!#REF!,4,FALSE)*VLOOKUP($E14&amp;0,所有坦克升星属性,MATCH(AM$3,所有坦克升星属性标头,0),FALSE),0)</f>
        <v>#REF!</v>
      </c>
      <c r="AN14" s="2">
        <f t="shared" ca="1" si="2"/>
        <v>414</v>
      </c>
      <c r="AO14" s="2">
        <f t="shared" ca="1" si="2"/>
        <v>186</v>
      </c>
      <c r="AP14" s="2" t="e">
        <f ca="1">VLOOKUP($E14&amp;$K14,所有坦克升星属性,MATCH(AP$3,所有坦克升星属性标头,0),FALSE)+ROUND(AS14/VLOOKUP($E14,坦克部件!#REF!,4,FALSE)*VLOOKUP($E14&amp;0,所有坦克升星属性,MATCH(AP$3,所有坦克升星属性标头,0),FALSE),0)</f>
        <v>#REF!</v>
      </c>
      <c r="AQ14" s="2" t="e">
        <f>(VLOOKUP($T14,坦克部件!#REF!,MATCH("标准值",坦克部件!#REF!,0),FALSE)+VLOOKUP($N14,坦克部件!#REF!,MATCH("标准值",坦克部件!#REF!,0),FALSE))*$Q14</f>
        <v>#REF!</v>
      </c>
      <c r="AR14" s="2" t="e">
        <f>(VLOOKUP($T14,坦克部件!#REF!,MATCH("标准值",坦克部件!#REF!,0),FALSE)+VLOOKUP($N14,坦克部件!#REF!,MATCH("标准值",坦克部件!#REF!,0),FALSE))*$Q14</f>
        <v>#REF!</v>
      </c>
      <c r="AS14" s="2" t="e">
        <f>(VLOOKUP($T14,坦克部件!#REF!,MATCH("标准值",坦克部件!#REF!,0),FALSE)+VLOOKUP($N14,坦克部件!#REF!,MATCH("标准值",坦克部件!#REF!,0),FALSE))*$Q14</f>
        <v>#REF!</v>
      </c>
      <c r="AT14" s="2">
        <f>VLOOKUP($E14,坦克属性统计!$B$3:$AY$33,MATCH(AT$3,坦克属性统计!$B$3:$AY$3,0),FALSE)</f>
        <v>9</v>
      </c>
      <c r="AU14" s="2">
        <f t="shared" si="3"/>
        <v>0.42</v>
      </c>
      <c r="AV14" s="2">
        <f t="shared" si="3"/>
        <v>0</v>
      </c>
      <c r="AW14" s="2">
        <f t="shared" si="3"/>
        <v>3.1</v>
      </c>
      <c r="AX14" s="34" t="e">
        <f t="shared" si="12"/>
        <v>#DIV/0!</v>
      </c>
      <c r="AY14" s="2" t="e">
        <f ca="1">VLOOKUP($F14&amp;$L14,所有坦克升星属性,MATCH(AY$3,所有坦克升星属性标头,0),FALSE)+ROUND(BD14/VLOOKUP($F14,坦克部件!#REF!,4,FALSE)*VLOOKUP($F14&amp;0,所有坦克升星属性,MATCH(AY$3,所有坦克升星属性标头,0),FALSE),0)</f>
        <v>#REF!</v>
      </c>
      <c r="AZ14" s="2" t="e">
        <f ca="1">VLOOKUP($F14&amp;$L14,所有坦克升星属性,MATCH(AZ$3,所有坦克升星属性标头,0),FALSE)+ROUND(BE14/VLOOKUP($F14,坦克部件!#REF!,4,FALSE)*VLOOKUP($F14&amp;0,所有坦克升星属性,MATCH(AZ$3,所有坦克升星属性标头,0),FALSE),0)</f>
        <v>#REF!</v>
      </c>
      <c r="BA14" s="2">
        <f t="shared" ca="1" si="4"/>
        <v>144</v>
      </c>
      <c r="BB14" s="2">
        <f t="shared" ca="1" si="4"/>
        <v>361</v>
      </c>
      <c r="BC14" s="2" t="e">
        <f ca="1">VLOOKUP($F14&amp;$L14,所有坦克升星属性,MATCH(BC$3,所有坦克升星属性标头,0),FALSE)+ROUND(BF14/VLOOKUP($F14,坦克部件!#REF!,4,FALSE)*VLOOKUP($F14&amp;0,所有坦克升星属性,MATCH(BC$3,所有坦克升星属性标头,0),FALSE),0)</f>
        <v>#REF!</v>
      </c>
      <c r="BD14" s="2" t="e">
        <f>(VLOOKUP($U14,坦克部件!#REF!,MATCH("标准值",坦克部件!#REF!,0),FALSE)+VLOOKUP($O14,坦克部件!#REF!,MATCH("标准值",坦克部件!#REF!,0),FALSE))*$R14</f>
        <v>#REF!</v>
      </c>
      <c r="BE14" s="2" t="e">
        <f>(VLOOKUP($U14,坦克部件!#REF!,MATCH("标准值",坦克部件!#REF!,0),FALSE)+VLOOKUP($O14,坦克部件!#REF!,MATCH("标准值",坦克部件!#REF!,0),FALSE))*$R14</f>
        <v>#REF!</v>
      </c>
      <c r="BF14" s="2" t="e">
        <f>(VLOOKUP($U14,坦克部件!#REF!,MATCH("标准值",坦克部件!#REF!,0),FALSE)+VLOOKUP($O14,坦克部件!#REF!,MATCH("标准值",坦克部件!#REF!,0),FALSE))*$R14</f>
        <v>#REF!</v>
      </c>
      <c r="BG14" s="2">
        <f>VLOOKUP($F14,坦克属性统计!$B$3:$AY$33,MATCH(BG$3,坦克属性统计!$B$3:$AY$3,0),FALSE)</f>
        <v>2</v>
      </c>
      <c r="BH14" s="2">
        <f t="shared" si="5"/>
        <v>1.88</v>
      </c>
      <c r="BI14" s="2">
        <f t="shared" si="5"/>
        <v>3.53</v>
      </c>
      <c r="BJ14" s="2">
        <f t="shared" si="5"/>
        <v>0</v>
      </c>
      <c r="BK14" s="34">
        <f t="shared" si="13"/>
        <v>18.997167138810198</v>
      </c>
      <c r="BM14" s="1" t="e">
        <f t="shared" ca="1" si="6"/>
        <v>#REF!</v>
      </c>
    </row>
    <row r="15" spans="2:65" x14ac:dyDescent="0.3">
      <c r="B15" s="2">
        <v>12</v>
      </c>
      <c r="C15" s="2" t="e">
        <f t="shared" ca="1" si="7"/>
        <v>#REF!</v>
      </c>
      <c r="D15" s="2" t="s">
        <v>607</v>
      </c>
      <c r="E15" s="2" t="s">
        <v>518</v>
      </c>
      <c r="F15" s="2" t="s">
        <v>644</v>
      </c>
      <c r="G15" s="2" t="str">
        <f>VLOOKUP(D15,坦克个性化设定!$B$18:$F$48,5,FALSE)</f>
        <v>轻坦弹夹</v>
      </c>
      <c r="H15" s="2" t="str">
        <f>VLOOKUP(E15,坦克个性化设定!$B$18:$F$48,5,FALSE)</f>
        <v>中坦自动</v>
      </c>
      <c r="I15" s="2" t="str">
        <f>VLOOKUP(F15,坦克个性化设定!$B$18:$F$48,5,FALSE)</f>
        <v>重坦自动</v>
      </c>
      <c r="J15" s="2">
        <v>0</v>
      </c>
      <c r="K15" s="2">
        <v>0</v>
      </c>
      <c r="L15" s="2">
        <v>0</v>
      </c>
      <c r="M15" s="2" t="s">
        <v>1710</v>
      </c>
      <c r="N15" s="2" t="s">
        <v>1710</v>
      </c>
      <c r="O15" s="2" t="s">
        <v>1710</v>
      </c>
      <c r="P15" s="2">
        <v>6</v>
      </c>
      <c r="Q15" s="2">
        <v>6</v>
      </c>
      <c r="R15" s="2">
        <v>6</v>
      </c>
      <c r="S15" s="2">
        <v>20</v>
      </c>
      <c r="T15" s="2">
        <v>19</v>
      </c>
      <c r="U15" s="2">
        <v>19</v>
      </c>
      <c r="V15" s="42" t="e">
        <f t="shared" ca="1" si="8"/>
        <v>#REF!</v>
      </c>
      <c r="W15" s="42" t="e">
        <f t="shared" ca="1" si="9"/>
        <v>#REF!</v>
      </c>
      <c r="X15" s="42" t="e">
        <f t="shared" ca="1" si="10"/>
        <v>#REF!</v>
      </c>
      <c r="Y15" s="2" t="e">
        <f ca="1">VLOOKUP($D15&amp;$J15,所有坦克升星属性,MATCH(Y$3,所有坦克升星属性标头,0),FALSE)+ROUND(AD15/VLOOKUP($D15,坦克部件!#REF!,4,FALSE)*VLOOKUP($D15&amp;0,所有坦克升星属性,MATCH(Y$3,所有坦克升星属性标头,0),FALSE),0)</f>
        <v>#REF!</v>
      </c>
      <c r="Z15" s="2" t="e">
        <f ca="1">VLOOKUP($D15&amp;$J15,所有坦克升星属性,MATCH(Z$3,所有坦克升星属性标头,0),FALSE)+ROUND(AE15/VLOOKUP($D15,坦克部件!#REF!,4,FALSE)*VLOOKUP($D15&amp;0,所有坦克升星属性,MATCH(Z$3,所有坦克升星属性标头,0),FALSE),0)</f>
        <v>#REF!</v>
      </c>
      <c r="AA15" s="2">
        <f t="shared" ca="1" si="0"/>
        <v>401</v>
      </c>
      <c r="AB15" s="2">
        <f t="shared" ca="1" si="0"/>
        <v>160</v>
      </c>
      <c r="AC15" s="2" t="e">
        <f ca="1">VLOOKUP($D15&amp;$J15,所有坦克升星属性,MATCH(AC$3,所有坦克升星属性标头,0),FALSE)+ROUND(AF15/VLOOKUP($D15,坦克部件!#REF!,4,FALSE)*VLOOKUP($D15&amp;0,所有坦克升星属性,MATCH(AC$3,所有坦克升星属性标头,0),FALSE),0)</f>
        <v>#REF!</v>
      </c>
      <c r="AD15" s="2" t="e">
        <f>(VLOOKUP($S15,坦克部件!#REF!,MATCH("标准值",坦克部件!#REF!,0),FALSE)+VLOOKUP($M15,坦克部件!#REF!,MATCH("标准值",坦克部件!#REF!,0),FALSE))*$P15</f>
        <v>#REF!</v>
      </c>
      <c r="AE15" s="2" t="e">
        <f>(VLOOKUP($S15,坦克部件!#REF!,MATCH("标准值",坦克部件!#REF!,0),FALSE)+VLOOKUP($M15,坦克部件!#REF!,MATCH("标准值",坦克部件!#REF!,0),FALSE))*$P15</f>
        <v>#REF!</v>
      </c>
      <c r="AF15" s="2" t="e">
        <f>(VLOOKUP($S15,坦克部件!#REF!,MATCH("标准值",坦克部件!#REF!,0),FALSE)+VLOOKUP($M15,坦克部件!#REF!,MATCH("标准值",坦克部件!#REF!,0),FALSE))*$P15</f>
        <v>#REF!</v>
      </c>
      <c r="AG15" s="2">
        <f>VLOOKUP($D15,坦克属性统计!$B$3:$AY$33,MATCH(AG$3,坦克属性统计!$B$3:$AY$3,0),FALSE)</f>
        <v>9</v>
      </c>
      <c r="AH15" s="2">
        <f t="shared" si="1"/>
        <v>0.8</v>
      </c>
      <c r="AI15" s="2">
        <f t="shared" si="1"/>
        <v>0</v>
      </c>
      <c r="AJ15" s="2">
        <f t="shared" si="1"/>
        <v>4.7</v>
      </c>
      <c r="AK15" s="34">
        <f t="shared" si="11"/>
        <v>52.459459459459453</v>
      </c>
      <c r="AL15" s="2" t="e">
        <f ca="1">VLOOKUP($E15&amp;$K15,所有坦克升星属性,MATCH(AL$3,所有坦克升星属性标头,0),FALSE)+ROUND(AQ15/VLOOKUP($E15,坦克部件!#REF!,4,FALSE)*VLOOKUP($E15&amp;0,所有坦克升星属性,MATCH(AL$3,所有坦克升星属性标头,0),FALSE),0)</f>
        <v>#REF!</v>
      </c>
      <c r="AM15" s="2" t="e">
        <f ca="1">VLOOKUP($E15&amp;$K15,所有坦克升星属性,MATCH(AM$3,所有坦克升星属性标头,0),FALSE)+ROUND(AR15/VLOOKUP($E15,坦克部件!#REF!,4,FALSE)*VLOOKUP($E15&amp;0,所有坦克升星属性,MATCH(AM$3,所有坦克升星属性标头,0),FALSE),0)</f>
        <v>#REF!</v>
      </c>
      <c r="AN15" s="2">
        <f t="shared" ca="1" si="2"/>
        <v>394</v>
      </c>
      <c r="AO15" s="2">
        <f t="shared" ca="1" si="2"/>
        <v>177</v>
      </c>
      <c r="AP15" s="2" t="e">
        <f ca="1">VLOOKUP($E15&amp;$K15,所有坦克升星属性,MATCH(AP$3,所有坦克升星属性标头,0),FALSE)+ROUND(AS15/VLOOKUP($E15,坦克部件!#REF!,4,FALSE)*VLOOKUP($E15&amp;0,所有坦克升星属性,MATCH(AP$3,所有坦克升星属性标头,0),FALSE),0)</f>
        <v>#REF!</v>
      </c>
      <c r="AQ15" s="2" t="e">
        <f>(VLOOKUP($T15,坦克部件!#REF!,MATCH("标准值",坦克部件!#REF!,0),FALSE)+VLOOKUP($N15,坦克部件!#REF!,MATCH("标准值",坦克部件!#REF!,0),FALSE))*$Q15</f>
        <v>#REF!</v>
      </c>
      <c r="AR15" s="2" t="e">
        <f>(VLOOKUP($T15,坦克部件!#REF!,MATCH("标准值",坦克部件!#REF!,0),FALSE)+VLOOKUP($N15,坦克部件!#REF!,MATCH("标准值",坦克部件!#REF!,0),FALSE))*$Q15</f>
        <v>#REF!</v>
      </c>
      <c r="AS15" s="2" t="e">
        <f>(VLOOKUP($T15,坦克部件!#REF!,MATCH("标准值",坦克部件!#REF!,0),FALSE)+VLOOKUP($N15,坦克部件!#REF!,MATCH("标准值",坦克部件!#REF!,0),FALSE))*$Q15</f>
        <v>#REF!</v>
      </c>
      <c r="AT15" s="2">
        <f>VLOOKUP($E15,坦克属性统计!$B$3:$AY$33,MATCH(AT$3,坦克属性统计!$B$3:$AY$3,0),FALSE)</f>
        <v>9</v>
      </c>
      <c r="AU15" s="2">
        <f t="shared" si="3"/>
        <v>0.32</v>
      </c>
      <c r="AV15" s="2">
        <f t="shared" si="3"/>
        <v>0</v>
      </c>
      <c r="AW15" s="2">
        <f t="shared" si="3"/>
        <v>3.2</v>
      </c>
      <c r="AX15" s="34" t="e">
        <f t="shared" si="12"/>
        <v>#DIV/0!</v>
      </c>
      <c r="AY15" s="2" t="e">
        <f ca="1">VLOOKUP($F15&amp;$L15,所有坦克升星属性,MATCH(AY$3,所有坦克升星属性标头,0),FALSE)+ROUND(BD15/VLOOKUP($F15,坦克部件!#REF!,4,FALSE)*VLOOKUP($F15&amp;0,所有坦克升星属性,MATCH(AY$3,所有坦克升星属性标头,0),FALSE),0)</f>
        <v>#REF!</v>
      </c>
      <c r="AZ15" s="2" t="e">
        <f ca="1">VLOOKUP($F15&amp;$L15,所有坦克升星属性,MATCH(AZ$3,所有坦克升星属性标头,0),FALSE)+ROUND(BE15/VLOOKUP($F15,坦克部件!#REF!,4,FALSE)*VLOOKUP($F15&amp;0,所有坦克升星属性,MATCH(AZ$3,所有坦克升星属性标头,0),FALSE),0)</f>
        <v>#REF!</v>
      </c>
      <c r="BA15" s="2">
        <f t="shared" ca="1" si="4"/>
        <v>137</v>
      </c>
      <c r="BB15" s="2">
        <f t="shared" ca="1" si="4"/>
        <v>343</v>
      </c>
      <c r="BC15" s="2" t="e">
        <f ca="1">VLOOKUP($F15&amp;$L15,所有坦克升星属性,MATCH(BC$3,所有坦克升星属性标头,0),FALSE)+ROUND(BF15/VLOOKUP($F15,坦克部件!#REF!,4,FALSE)*VLOOKUP($F15&amp;0,所有坦克升星属性,MATCH(BC$3,所有坦克升星属性标头,0),FALSE),0)</f>
        <v>#REF!</v>
      </c>
      <c r="BD15" s="2" t="e">
        <f>(VLOOKUP($U15,坦克部件!#REF!,MATCH("标准值",坦克部件!#REF!,0),FALSE)+VLOOKUP($O15,坦克部件!#REF!,MATCH("标准值",坦克部件!#REF!,0),FALSE))*$R15</f>
        <v>#REF!</v>
      </c>
      <c r="BE15" s="2" t="e">
        <f>(VLOOKUP($U15,坦克部件!#REF!,MATCH("标准值",坦克部件!#REF!,0),FALSE)+VLOOKUP($O15,坦克部件!#REF!,MATCH("标准值",坦克部件!#REF!,0),FALSE))*$R15</f>
        <v>#REF!</v>
      </c>
      <c r="BF15" s="2" t="e">
        <f>(VLOOKUP($U15,坦克部件!#REF!,MATCH("标准值",坦克部件!#REF!,0),FALSE)+VLOOKUP($O15,坦克部件!#REF!,MATCH("标准值",坦克部件!#REF!,0),FALSE))*$R15</f>
        <v>#REF!</v>
      </c>
      <c r="BG15" s="2">
        <f>VLOOKUP($F15,坦克属性统计!$B$3:$AY$33,MATCH(BG$3,坦克属性统计!$B$3:$AY$3,0),FALSE)</f>
        <v>2</v>
      </c>
      <c r="BH15" s="2">
        <f t="shared" si="5"/>
        <v>1.88</v>
      </c>
      <c r="BI15" s="2">
        <f t="shared" si="5"/>
        <v>3.6</v>
      </c>
      <c r="BJ15" s="2">
        <f t="shared" si="5"/>
        <v>0</v>
      </c>
      <c r="BK15" s="34">
        <f t="shared" si="13"/>
        <v>18.666666666666668</v>
      </c>
      <c r="BM15" s="1" t="e">
        <f t="shared" ca="1" si="6"/>
        <v>#REF!</v>
      </c>
    </row>
    <row r="16" spans="2:65" x14ac:dyDescent="0.3">
      <c r="B16" s="2">
        <v>13</v>
      </c>
      <c r="C16" s="2" t="e">
        <f t="shared" ca="1" si="7"/>
        <v>#REF!</v>
      </c>
      <c r="D16" s="2" t="s">
        <v>607</v>
      </c>
      <c r="E16" s="2" t="s">
        <v>518</v>
      </c>
      <c r="F16" s="2" t="s">
        <v>644</v>
      </c>
      <c r="G16" s="2" t="str">
        <f>VLOOKUP(D16,坦克个性化设定!$B$18:$F$48,5,FALSE)</f>
        <v>轻坦弹夹</v>
      </c>
      <c r="H16" s="2" t="str">
        <f>VLOOKUP(E16,坦克个性化设定!$B$18:$F$48,5,FALSE)</f>
        <v>中坦自动</v>
      </c>
      <c r="I16" s="2" t="str">
        <f>VLOOKUP(F16,坦克个性化设定!$B$18:$F$48,5,FALSE)</f>
        <v>重坦自动</v>
      </c>
      <c r="J16" s="2">
        <v>0</v>
      </c>
      <c r="K16" s="2">
        <v>0</v>
      </c>
      <c r="L16" s="2">
        <v>0</v>
      </c>
      <c r="M16" s="2" t="s">
        <v>1711</v>
      </c>
      <c r="N16" s="2" t="s">
        <v>1712</v>
      </c>
      <c r="O16" s="2" t="s">
        <v>1712</v>
      </c>
      <c r="P16" s="2">
        <v>6</v>
      </c>
      <c r="Q16" s="2">
        <v>6</v>
      </c>
      <c r="R16" s="2">
        <v>6</v>
      </c>
      <c r="S16" s="2">
        <v>20</v>
      </c>
      <c r="T16" s="2">
        <v>20</v>
      </c>
      <c r="U16" s="2">
        <v>20</v>
      </c>
      <c r="V16" s="42" t="e">
        <f t="shared" ca="1" si="8"/>
        <v>#REF!</v>
      </c>
      <c r="W16" s="42" t="e">
        <f t="shared" ca="1" si="9"/>
        <v>#REF!</v>
      </c>
      <c r="X16" s="42" t="e">
        <f t="shared" ca="1" si="10"/>
        <v>#REF!</v>
      </c>
      <c r="Y16" s="2" t="e">
        <f ca="1">VLOOKUP($D16&amp;$J16,所有坦克升星属性,MATCH(Y$3,所有坦克升星属性标头,0),FALSE)+ROUND(AD16/VLOOKUP($D16,坦克部件!#REF!,4,FALSE)*VLOOKUP($D16&amp;0,所有坦克升星属性,MATCH(Y$3,所有坦克升星属性标头,0),FALSE),0)</f>
        <v>#REF!</v>
      </c>
      <c r="Z16" s="2" t="e">
        <f ca="1">VLOOKUP($D16&amp;$J16,所有坦克升星属性,MATCH(Z$3,所有坦克升星属性标头,0),FALSE)+ROUND(AE16/VLOOKUP($D16,坦克部件!#REF!,4,FALSE)*VLOOKUP($D16&amp;0,所有坦克升星属性,MATCH(Z$3,所有坦克升星属性标头,0),FALSE),0)</f>
        <v>#REF!</v>
      </c>
      <c r="AA16" s="2">
        <f t="shared" ca="1" si="0"/>
        <v>401</v>
      </c>
      <c r="AB16" s="2">
        <f t="shared" ca="1" si="0"/>
        <v>160</v>
      </c>
      <c r="AC16" s="2" t="e">
        <f ca="1">VLOOKUP($D16&amp;$J16,所有坦克升星属性,MATCH(AC$3,所有坦克升星属性标头,0),FALSE)+ROUND(AF16/VLOOKUP($D16,坦克部件!#REF!,4,FALSE)*VLOOKUP($D16&amp;0,所有坦克升星属性,MATCH(AC$3,所有坦克升星属性标头,0),FALSE),0)</f>
        <v>#REF!</v>
      </c>
      <c r="AD16" s="2" t="e">
        <f>(VLOOKUP($S16,坦克部件!#REF!,MATCH("标准值",坦克部件!#REF!,0),FALSE)+VLOOKUP($M16,坦克部件!#REF!,MATCH("标准值",坦克部件!#REF!,0),FALSE))*$P16</f>
        <v>#REF!</v>
      </c>
      <c r="AE16" s="2" t="e">
        <f>(VLOOKUP($S16,坦克部件!#REF!,MATCH("标准值",坦克部件!#REF!,0),FALSE)+VLOOKUP($M16,坦克部件!#REF!,MATCH("标准值",坦克部件!#REF!,0),FALSE))*$P16</f>
        <v>#REF!</v>
      </c>
      <c r="AF16" s="2" t="e">
        <f>(VLOOKUP($S16,坦克部件!#REF!,MATCH("标准值",坦克部件!#REF!,0),FALSE)+VLOOKUP($M16,坦克部件!#REF!,MATCH("标准值",坦克部件!#REF!,0),FALSE))*$P16</f>
        <v>#REF!</v>
      </c>
      <c r="AG16" s="2">
        <f>VLOOKUP($D16,坦克属性统计!$B$3:$AY$33,MATCH(AG$3,坦克属性统计!$B$3:$AY$3,0),FALSE)</f>
        <v>9</v>
      </c>
      <c r="AH16" s="2">
        <f t="shared" si="1"/>
        <v>0.8</v>
      </c>
      <c r="AI16" s="2">
        <f t="shared" si="1"/>
        <v>0</v>
      </c>
      <c r="AJ16" s="2">
        <f t="shared" si="1"/>
        <v>4.7</v>
      </c>
      <c r="AK16" s="34">
        <f t="shared" si="11"/>
        <v>52.459459459459453</v>
      </c>
      <c r="AL16" s="2" t="e">
        <f ca="1">VLOOKUP($E16&amp;$K16,所有坦克升星属性,MATCH(AL$3,所有坦克升星属性标头,0),FALSE)+ROUND(AQ16/VLOOKUP($E16,坦克部件!#REF!,4,FALSE)*VLOOKUP($E16&amp;0,所有坦克升星属性,MATCH(AL$3,所有坦克升星属性标头,0),FALSE),0)</f>
        <v>#REF!</v>
      </c>
      <c r="AM16" s="2" t="e">
        <f ca="1">VLOOKUP($E16&amp;$K16,所有坦克升星属性,MATCH(AM$3,所有坦克升星属性标头,0),FALSE)+ROUND(AR16/VLOOKUP($E16,坦克部件!#REF!,4,FALSE)*VLOOKUP($E16&amp;0,所有坦克升星属性,MATCH(AM$3,所有坦克升星属性标头,0),FALSE),0)</f>
        <v>#REF!</v>
      </c>
      <c r="AN16" s="2">
        <f t="shared" ca="1" si="2"/>
        <v>394</v>
      </c>
      <c r="AO16" s="2">
        <f t="shared" ca="1" si="2"/>
        <v>177</v>
      </c>
      <c r="AP16" s="2" t="e">
        <f ca="1">VLOOKUP($E16&amp;$K16,所有坦克升星属性,MATCH(AP$3,所有坦克升星属性标头,0),FALSE)+ROUND(AS16/VLOOKUP($E16,坦克部件!#REF!,4,FALSE)*VLOOKUP($E16&amp;0,所有坦克升星属性,MATCH(AP$3,所有坦克升星属性标头,0),FALSE),0)</f>
        <v>#REF!</v>
      </c>
      <c r="AQ16" s="2" t="e">
        <f>(VLOOKUP($T16,坦克部件!#REF!,MATCH("标准值",坦克部件!#REF!,0),FALSE)+VLOOKUP($N16,坦克部件!#REF!,MATCH("标准值",坦克部件!#REF!,0),FALSE))*$Q16</f>
        <v>#REF!</v>
      </c>
      <c r="AR16" s="2" t="e">
        <f>(VLOOKUP($T16,坦克部件!#REF!,MATCH("标准值",坦克部件!#REF!,0),FALSE)+VLOOKUP($N16,坦克部件!#REF!,MATCH("标准值",坦克部件!#REF!,0),FALSE))*$Q16</f>
        <v>#REF!</v>
      </c>
      <c r="AS16" s="2" t="e">
        <f>(VLOOKUP($T16,坦克部件!#REF!,MATCH("标准值",坦克部件!#REF!,0),FALSE)+VLOOKUP($N16,坦克部件!#REF!,MATCH("标准值",坦克部件!#REF!,0),FALSE))*$Q16</f>
        <v>#REF!</v>
      </c>
      <c r="AT16" s="2">
        <f>VLOOKUP($E16,坦克属性统计!$B$3:$AY$33,MATCH(AT$3,坦克属性统计!$B$3:$AY$3,0),FALSE)</f>
        <v>9</v>
      </c>
      <c r="AU16" s="2">
        <f t="shared" si="3"/>
        <v>0.32</v>
      </c>
      <c r="AV16" s="2">
        <f t="shared" si="3"/>
        <v>0</v>
      </c>
      <c r="AW16" s="2">
        <f t="shared" si="3"/>
        <v>3.2</v>
      </c>
      <c r="AX16" s="34" t="e">
        <f t="shared" si="12"/>
        <v>#DIV/0!</v>
      </c>
      <c r="AY16" s="2" t="e">
        <f ca="1">VLOOKUP($F16&amp;$L16,所有坦克升星属性,MATCH(AY$3,所有坦克升星属性标头,0),FALSE)+ROUND(BD16/VLOOKUP($F16,坦克部件!#REF!,4,FALSE)*VLOOKUP($F16&amp;0,所有坦克升星属性,MATCH(AY$3,所有坦克升星属性标头,0),FALSE),0)</f>
        <v>#REF!</v>
      </c>
      <c r="AZ16" s="2" t="e">
        <f ca="1">VLOOKUP($F16&amp;$L16,所有坦克升星属性,MATCH(AZ$3,所有坦克升星属性标头,0),FALSE)+ROUND(BE16/VLOOKUP($F16,坦克部件!#REF!,4,FALSE)*VLOOKUP($F16&amp;0,所有坦克升星属性,MATCH(AZ$3,所有坦克升星属性标头,0),FALSE),0)</f>
        <v>#REF!</v>
      </c>
      <c r="BA16" s="2">
        <f t="shared" ca="1" si="4"/>
        <v>137</v>
      </c>
      <c r="BB16" s="2">
        <f t="shared" ca="1" si="4"/>
        <v>343</v>
      </c>
      <c r="BC16" s="2" t="e">
        <f ca="1">VLOOKUP($F16&amp;$L16,所有坦克升星属性,MATCH(BC$3,所有坦克升星属性标头,0),FALSE)+ROUND(BF16/VLOOKUP($F16,坦克部件!#REF!,4,FALSE)*VLOOKUP($F16&amp;0,所有坦克升星属性,MATCH(BC$3,所有坦克升星属性标头,0),FALSE),0)</f>
        <v>#REF!</v>
      </c>
      <c r="BD16" s="2" t="e">
        <f>(VLOOKUP($U16,坦克部件!#REF!,MATCH("标准值",坦克部件!#REF!,0),FALSE)+VLOOKUP($O16,坦克部件!#REF!,MATCH("标准值",坦克部件!#REF!,0),FALSE))*$R16</f>
        <v>#REF!</v>
      </c>
      <c r="BE16" s="2" t="e">
        <f>(VLOOKUP($U16,坦克部件!#REF!,MATCH("标准值",坦克部件!#REF!,0),FALSE)+VLOOKUP($O16,坦克部件!#REF!,MATCH("标准值",坦克部件!#REF!,0),FALSE))*$R16</f>
        <v>#REF!</v>
      </c>
      <c r="BF16" s="2" t="e">
        <f>(VLOOKUP($U16,坦克部件!#REF!,MATCH("标准值",坦克部件!#REF!,0),FALSE)+VLOOKUP($O16,坦克部件!#REF!,MATCH("标准值",坦克部件!#REF!,0),FALSE))*$R16</f>
        <v>#REF!</v>
      </c>
      <c r="BG16" s="2">
        <f>VLOOKUP($F16,坦克属性统计!$B$3:$AY$33,MATCH(BG$3,坦克属性统计!$B$3:$AY$3,0),FALSE)</f>
        <v>2</v>
      </c>
      <c r="BH16" s="2">
        <f t="shared" si="5"/>
        <v>1.88</v>
      </c>
      <c r="BI16" s="2">
        <f t="shared" si="5"/>
        <v>3.6</v>
      </c>
      <c r="BJ16" s="2">
        <f t="shared" si="5"/>
        <v>0</v>
      </c>
      <c r="BK16" s="34">
        <f t="shared" si="13"/>
        <v>18.666666666666668</v>
      </c>
      <c r="BM16" s="1" t="e">
        <f t="shared" ca="1" si="6"/>
        <v>#REF!</v>
      </c>
    </row>
    <row r="17" spans="2:65" x14ac:dyDescent="0.3">
      <c r="B17" s="2">
        <v>14</v>
      </c>
      <c r="C17" s="2" t="e">
        <f t="shared" ca="1" si="7"/>
        <v>#REF!</v>
      </c>
      <c r="D17" s="2" t="s">
        <v>607</v>
      </c>
      <c r="E17" s="2" t="s">
        <v>627</v>
      </c>
      <c r="F17" s="2" t="s">
        <v>644</v>
      </c>
      <c r="G17" s="2" t="str">
        <f>VLOOKUP(D17,坦克个性化设定!$B$18:$F$48,5,FALSE)</f>
        <v>轻坦弹夹</v>
      </c>
      <c r="H17" s="2" t="str">
        <f>VLOOKUP(E17,坦克个性化设定!$B$18:$F$48,5,FALSE)</f>
        <v>中坦自动</v>
      </c>
      <c r="I17" s="2" t="str">
        <f>VLOOKUP(F17,坦克个性化设定!$B$18:$F$48,5,FALSE)</f>
        <v>重坦自动</v>
      </c>
      <c r="J17" s="2">
        <v>0</v>
      </c>
      <c r="K17" s="2">
        <v>0</v>
      </c>
      <c r="L17" s="2">
        <v>0</v>
      </c>
      <c r="M17" s="2" t="s">
        <v>1711</v>
      </c>
      <c r="N17" s="2" t="s">
        <v>1711</v>
      </c>
      <c r="O17" s="2" t="s">
        <v>1711</v>
      </c>
      <c r="P17" s="2">
        <v>6</v>
      </c>
      <c r="Q17" s="2">
        <v>6</v>
      </c>
      <c r="R17" s="2">
        <v>6</v>
      </c>
      <c r="S17" s="2">
        <v>20</v>
      </c>
      <c r="T17" s="2">
        <v>20</v>
      </c>
      <c r="U17" s="2">
        <v>20</v>
      </c>
      <c r="V17" s="42" t="e">
        <f t="shared" ca="1" si="8"/>
        <v>#REF!</v>
      </c>
      <c r="W17" s="42" t="e">
        <f t="shared" ca="1" si="9"/>
        <v>#REF!</v>
      </c>
      <c r="X17" s="42" t="e">
        <f t="shared" ca="1" si="10"/>
        <v>#REF!</v>
      </c>
      <c r="Y17" s="2" t="e">
        <f ca="1">VLOOKUP($D17&amp;$J17,所有坦克升星属性,MATCH(Y$3,所有坦克升星属性标头,0),FALSE)+ROUND(AD17/VLOOKUP($D17,坦克部件!#REF!,4,FALSE)*VLOOKUP($D17&amp;0,所有坦克升星属性,MATCH(Y$3,所有坦克升星属性标头,0),FALSE),0)</f>
        <v>#REF!</v>
      </c>
      <c r="Z17" s="2" t="e">
        <f ca="1">VLOOKUP($D17&amp;$J17,所有坦克升星属性,MATCH(Z$3,所有坦克升星属性标头,0),FALSE)+ROUND(AE17/VLOOKUP($D17,坦克部件!#REF!,4,FALSE)*VLOOKUP($D17&amp;0,所有坦克升星属性,MATCH(Z$3,所有坦克升星属性标头,0),FALSE),0)</f>
        <v>#REF!</v>
      </c>
      <c r="AA17" s="2">
        <f t="shared" ca="1" si="0"/>
        <v>401</v>
      </c>
      <c r="AB17" s="2">
        <f t="shared" ca="1" si="0"/>
        <v>160</v>
      </c>
      <c r="AC17" s="2" t="e">
        <f ca="1">VLOOKUP($D17&amp;$J17,所有坦克升星属性,MATCH(AC$3,所有坦克升星属性标头,0),FALSE)+ROUND(AF17/VLOOKUP($D17,坦克部件!#REF!,4,FALSE)*VLOOKUP($D17&amp;0,所有坦克升星属性,MATCH(AC$3,所有坦克升星属性标头,0),FALSE),0)</f>
        <v>#REF!</v>
      </c>
      <c r="AD17" s="2" t="e">
        <f>(VLOOKUP($S17,坦克部件!#REF!,MATCH("标准值",坦克部件!#REF!,0),FALSE)+VLOOKUP($M17,坦克部件!#REF!,MATCH("标准值",坦克部件!#REF!,0),FALSE))*$P17</f>
        <v>#REF!</v>
      </c>
      <c r="AE17" s="2" t="e">
        <f>(VLOOKUP($S17,坦克部件!#REF!,MATCH("标准值",坦克部件!#REF!,0),FALSE)+VLOOKUP($M17,坦克部件!#REF!,MATCH("标准值",坦克部件!#REF!,0),FALSE))*$P17</f>
        <v>#REF!</v>
      </c>
      <c r="AF17" s="2" t="e">
        <f>(VLOOKUP($S17,坦克部件!#REF!,MATCH("标准值",坦克部件!#REF!,0),FALSE)+VLOOKUP($M17,坦克部件!#REF!,MATCH("标准值",坦克部件!#REF!,0),FALSE))*$P17</f>
        <v>#REF!</v>
      </c>
      <c r="AG17" s="2">
        <f>VLOOKUP($D17,坦克属性统计!$B$3:$AY$33,MATCH(AG$3,坦克属性统计!$B$3:$AY$3,0),FALSE)</f>
        <v>9</v>
      </c>
      <c r="AH17" s="2">
        <f t="shared" si="1"/>
        <v>0.8</v>
      </c>
      <c r="AI17" s="2">
        <f t="shared" si="1"/>
        <v>0</v>
      </c>
      <c r="AJ17" s="2">
        <f t="shared" si="1"/>
        <v>4.7</v>
      </c>
      <c r="AK17" s="34">
        <f t="shared" si="11"/>
        <v>52.459459459459453</v>
      </c>
      <c r="AL17" s="2" t="e">
        <f ca="1">VLOOKUP($E17&amp;$K17,所有坦克升星属性,MATCH(AL$3,所有坦克升星属性标头,0),FALSE)+ROUND(AQ17/VLOOKUP($E17,坦克部件!#REF!,4,FALSE)*VLOOKUP($E17&amp;0,所有坦克升星属性,MATCH(AL$3,所有坦克升星属性标头,0),FALSE),0)</f>
        <v>#REF!</v>
      </c>
      <c r="AM17" s="2" t="e">
        <f ca="1">VLOOKUP($E17&amp;$K17,所有坦克升星属性,MATCH(AM$3,所有坦克升星属性标头,0),FALSE)+ROUND(AR17/VLOOKUP($E17,坦克部件!#REF!,4,FALSE)*VLOOKUP($E17&amp;0,所有坦克升星属性,MATCH(AM$3,所有坦克升星属性标头,0),FALSE),0)</f>
        <v>#REF!</v>
      </c>
      <c r="AN17" s="2">
        <f t="shared" ca="1" si="2"/>
        <v>401</v>
      </c>
      <c r="AO17" s="2">
        <f t="shared" ca="1" si="2"/>
        <v>180</v>
      </c>
      <c r="AP17" s="2" t="e">
        <f ca="1">VLOOKUP($E17&amp;$K17,所有坦克升星属性,MATCH(AP$3,所有坦克升星属性标头,0),FALSE)+ROUND(AS17/VLOOKUP($E17,坦克部件!#REF!,4,FALSE)*VLOOKUP($E17&amp;0,所有坦克升星属性,MATCH(AP$3,所有坦克升星属性标头,0),FALSE),0)</f>
        <v>#REF!</v>
      </c>
      <c r="AQ17" s="2" t="e">
        <f>(VLOOKUP($T17,坦克部件!#REF!,MATCH("标准值",坦克部件!#REF!,0),FALSE)+VLOOKUP($N17,坦克部件!#REF!,MATCH("标准值",坦克部件!#REF!,0),FALSE))*$Q17</f>
        <v>#REF!</v>
      </c>
      <c r="AR17" s="2" t="e">
        <f>(VLOOKUP($T17,坦克部件!#REF!,MATCH("标准值",坦克部件!#REF!,0),FALSE)+VLOOKUP($N17,坦克部件!#REF!,MATCH("标准值",坦克部件!#REF!,0),FALSE))*$Q17</f>
        <v>#REF!</v>
      </c>
      <c r="AS17" s="2" t="e">
        <f>(VLOOKUP($T17,坦克部件!#REF!,MATCH("标准值",坦克部件!#REF!,0),FALSE)+VLOOKUP($N17,坦克部件!#REF!,MATCH("标准值",坦克部件!#REF!,0),FALSE))*$Q17</f>
        <v>#REF!</v>
      </c>
      <c r="AT17" s="2">
        <f>VLOOKUP($E17,坦克属性统计!$B$3:$AY$33,MATCH(AT$3,坦克属性统计!$B$3:$AY$3,0),FALSE)</f>
        <v>6</v>
      </c>
      <c r="AU17" s="2">
        <f t="shared" si="3"/>
        <v>0.4</v>
      </c>
      <c r="AV17" s="2">
        <f t="shared" si="3"/>
        <v>2.4</v>
      </c>
      <c r="AW17" s="2">
        <f t="shared" si="3"/>
        <v>0</v>
      </c>
      <c r="AX17" s="34">
        <f t="shared" si="12"/>
        <v>31</v>
      </c>
      <c r="AY17" s="2" t="e">
        <f ca="1">VLOOKUP($F17&amp;$L17,所有坦克升星属性,MATCH(AY$3,所有坦克升星属性标头,0),FALSE)+ROUND(BD17/VLOOKUP($F17,坦克部件!#REF!,4,FALSE)*VLOOKUP($F17&amp;0,所有坦克升星属性,MATCH(AY$3,所有坦克升星属性标头,0),FALSE),0)</f>
        <v>#REF!</v>
      </c>
      <c r="AZ17" s="2" t="e">
        <f ca="1">VLOOKUP($F17&amp;$L17,所有坦克升星属性,MATCH(AZ$3,所有坦克升星属性标头,0),FALSE)+ROUND(BE17/VLOOKUP($F17,坦克部件!#REF!,4,FALSE)*VLOOKUP($F17&amp;0,所有坦克升星属性,MATCH(AZ$3,所有坦克升星属性标头,0),FALSE),0)</f>
        <v>#REF!</v>
      </c>
      <c r="BA17" s="2">
        <f t="shared" ca="1" si="4"/>
        <v>137</v>
      </c>
      <c r="BB17" s="2">
        <f t="shared" ca="1" si="4"/>
        <v>343</v>
      </c>
      <c r="BC17" s="2" t="e">
        <f ca="1">VLOOKUP($F17&amp;$L17,所有坦克升星属性,MATCH(BC$3,所有坦克升星属性标头,0),FALSE)+ROUND(BF17/VLOOKUP($F17,坦克部件!#REF!,4,FALSE)*VLOOKUP($F17&amp;0,所有坦克升星属性,MATCH(BC$3,所有坦克升星属性标头,0),FALSE),0)</f>
        <v>#REF!</v>
      </c>
      <c r="BD17" s="2" t="e">
        <f>(VLOOKUP($U17,坦克部件!#REF!,MATCH("标准值",坦克部件!#REF!,0),FALSE)+VLOOKUP($O17,坦克部件!#REF!,MATCH("标准值",坦克部件!#REF!,0),FALSE))*$R17</f>
        <v>#REF!</v>
      </c>
      <c r="BE17" s="2" t="e">
        <f>(VLOOKUP($U17,坦克部件!#REF!,MATCH("标准值",坦克部件!#REF!,0),FALSE)+VLOOKUP($O17,坦克部件!#REF!,MATCH("标准值",坦克部件!#REF!,0),FALSE))*$R17</f>
        <v>#REF!</v>
      </c>
      <c r="BF17" s="2" t="e">
        <f>(VLOOKUP($U17,坦克部件!#REF!,MATCH("标准值",坦克部件!#REF!,0),FALSE)+VLOOKUP($O17,坦克部件!#REF!,MATCH("标准值",坦克部件!#REF!,0),FALSE))*$R17</f>
        <v>#REF!</v>
      </c>
      <c r="BG17" s="2">
        <f>VLOOKUP($F17,坦克属性统计!$B$3:$AY$33,MATCH(BG$3,坦克属性统计!$B$3:$AY$3,0),FALSE)</f>
        <v>2</v>
      </c>
      <c r="BH17" s="2">
        <f t="shared" si="5"/>
        <v>1.88</v>
      </c>
      <c r="BI17" s="2">
        <f t="shared" si="5"/>
        <v>3.6</v>
      </c>
      <c r="BJ17" s="2">
        <f t="shared" si="5"/>
        <v>0</v>
      </c>
      <c r="BK17" s="34">
        <f t="shared" si="13"/>
        <v>18.666666666666668</v>
      </c>
      <c r="BM17" s="1" t="e">
        <f t="shared" ca="1" si="6"/>
        <v>#REF!</v>
      </c>
    </row>
    <row r="18" spans="2:65" x14ac:dyDescent="0.3">
      <c r="B18" s="2">
        <v>15</v>
      </c>
      <c r="C18" s="2" t="e">
        <f t="shared" ca="1" si="7"/>
        <v>#REF!</v>
      </c>
      <c r="D18" s="2" t="s">
        <v>607</v>
      </c>
      <c r="E18" s="2" t="s">
        <v>627</v>
      </c>
      <c r="F18" s="2" t="s">
        <v>644</v>
      </c>
      <c r="G18" s="2" t="str">
        <f>VLOOKUP(D18,坦克个性化设定!$B$18:$F$48,5,FALSE)</f>
        <v>轻坦弹夹</v>
      </c>
      <c r="H18" s="2" t="str">
        <f>VLOOKUP(E18,坦克个性化设定!$B$18:$F$48,5,FALSE)</f>
        <v>中坦自动</v>
      </c>
      <c r="I18" s="2" t="str">
        <f>VLOOKUP(F18,坦克个性化设定!$B$18:$F$48,5,FALSE)</f>
        <v>重坦自动</v>
      </c>
      <c r="J18" s="2">
        <v>1</v>
      </c>
      <c r="K18" s="2">
        <v>0</v>
      </c>
      <c r="L18" s="2">
        <v>0</v>
      </c>
      <c r="M18" s="2" t="s">
        <v>1711</v>
      </c>
      <c r="N18" s="2" t="s">
        <v>1711</v>
      </c>
      <c r="O18" s="2" t="s">
        <v>1711</v>
      </c>
      <c r="P18" s="2">
        <v>6</v>
      </c>
      <c r="Q18" s="2">
        <v>6</v>
      </c>
      <c r="R18" s="2">
        <v>6</v>
      </c>
      <c r="S18" s="2">
        <v>20</v>
      </c>
      <c r="T18" s="2">
        <v>20</v>
      </c>
      <c r="U18" s="2">
        <v>20</v>
      </c>
      <c r="V18" s="42" t="e">
        <f t="shared" ca="1" si="8"/>
        <v>#REF!</v>
      </c>
      <c r="W18" s="42" t="e">
        <f t="shared" ca="1" si="9"/>
        <v>#REF!</v>
      </c>
      <c r="X18" s="42" t="e">
        <f t="shared" ca="1" si="10"/>
        <v>#REF!</v>
      </c>
      <c r="Y18" s="2" t="e">
        <f ca="1">VLOOKUP($D18&amp;$J18,所有坦克升星属性,MATCH(Y$3,所有坦克升星属性标头,0),FALSE)+ROUND(AD18/VLOOKUP($D18,坦克部件!#REF!,4,FALSE)*VLOOKUP($D18&amp;0,所有坦克升星属性,MATCH(Y$3,所有坦克升星属性标头,0),FALSE),0)</f>
        <v>#REF!</v>
      </c>
      <c r="Z18" s="2" t="e">
        <f ca="1">VLOOKUP($D18&amp;$J18,所有坦克升星属性,MATCH(Z$3,所有坦克升星属性标头,0),FALSE)+ROUND(AE18/VLOOKUP($D18,坦克部件!#REF!,4,FALSE)*VLOOKUP($D18&amp;0,所有坦克升星属性,MATCH(Z$3,所有坦克升星属性标头,0),FALSE),0)</f>
        <v>#REF!</v>
      </c>
      <c r="AA18" s="2">
        <f t="shared" ca="1" si="0"/>
        <v>423</v>
      </c>
      <c r="AB18" s="2">
        <f t="shared" ca="1" si="0"/>
        <v>169</v>
      </c>
      <c r="AC18" s="2" t="e">
        <f ca="1">VLOOKUP($D18&amp;$J18,所有坦克升星属性,MATCH(AC$3,所有坦克升星属性标头,0),FALSE)+ROUND(AF18/VLOOKUP($D18,坦克部件!#REF!,4,FALSE)*VLOOKUP($D18&amp;0,所有坦克升星属性,MATCH(AC$3,所有坦克升星属性标头,0),FALSE),0)</f>
        <v>#REF!</v>
      </c>
      <c r="AD18" s="2" t="e">
        <f>(VLOOKUP($S18,坦克部件!#REF!,MATCH("标准值",坦克部件!#REF!,0),FALSE)+VLOOKUP($M18,坦克部件!#REF!,MATCH("标准值",坦克部件!#REF!,0),FALSE))*$P18</f>
        <v>#REF!</v>
      </c>
      <c r="AE18" s="2" t="e">
        <f>(VLOOKUP($S18,坦克部件!#REF!,MATCH("标准值",坦克部件!#REF!,0),FALSE)+VLOOKUP($M18,坦克部件!#REF!,MATCH("标准值",坦克部件!#REF!,0),FALSE))*$P18</f>
        <v>#REF!</v>
      </c>
      <c r="AF18" s="2" t="e">
        <f>(VLOOKUP($S18,坦克部件!#REF!,MATCH("标准值",坦克部件!#REF!,0),FALSE)+VLOOKUP($M18,坦克部件!#REF!,MATCH("标准值",坦克部件!#REF!,0),FALSE))*$P18</f>
        <v>#REF!</v>
      </c>
      <c r="AG18" s="2">
        <f>VLOOKUP($D18,坦克属性统计!$B$3:$AY$33,MATCH(AG$3,坦克属性统计!$B$3:$AY$3,0),FALSE)</f>
        <v>9</v>
      </c>
      <c r="AH18" s="2">
        <f t="shared" si="1"/>
        <v>0.8</v>
      </c>
      <c r="AI18" s="2">
        <f t="shared" si="1"/>
        <v>0</v>
      </c>
      <c r="AJ18" s="2">
        <f t="shared" si="1"/>
        <v>4.5</v>
      </c>
      <c r="AK18" s="34">
        <f t="shared" si="11"/>
        <v>53.256880733944953</v>
      </c>
      <c r="AL18" s="2" t="e">
        <f ca="1">VLOOKUP($E18&amp;$K18,所有坦克升星属性,MATCH(AL$3,所有坦克升星属性标头,0),FALSE)+ROUND(AQ18/VLOOKUP($E18,坦克部件!#REF!,4,FALSE)*VLOOKUP($E18&amp;0,所有坦克升星属性,MATCH(AL$3,所有坦克升星属性标头,0),FALSE),0)</f>
        <v>#REF!</v>
      </c>
      <c r="AM18" s="2" t="e">
        <f ca="1">VLOOKUP($E18&amp;$K18,所有坦克升星属性,MATCH(AM$3,所有坦克升星属性标头,0),FALSE)+ROUND(AR18/VLOOKUP($E18,坦克部件!#REF!,4,FALSE)*VLOOKUP($E18&amp;0,所有坦克升星属性,MATCH(AM$3,所有坦克升星属性标头,0),FALSE),0)</f>
        <v>#REF!</v>
      </c>
      <c r="AN18" s="2">
        <f t="shared" ca="1" si="2"/>
        <v>401</v>
      </c>
      <c r="AO18" s="2">
        <f t="shared" ca="1" si="2"/>
        <v>180</v>
      </c>
      <c r="AP18" s="2" t="e">
        <f ca="1">VLOOKUP($E18&amp;$K18,所有坦克升星属性,MATCH(AP$3,所有坦克升星属性标头,0),FALSE)+ROUND(AS18/VLOOKUP($E18,坦克部件!#REF!,4,FALSE)*VLOOKUP($E18&amp;0,所有坦克升星属性,MATCH(AP$3,所有坦克升星属性标头,0),FALSE),0)</f>
        <v>#REF!</v>
      </c>
      <c r="AQ18" s="2" t="e">
        <f>(VLOOKUP($T18,坦克部件!#REF!,MATCH("标准值",坦克部件!#REF!,0),FALSE)+VLOOKUP($N18,坦克部件!#REF!,MATCH("标准值",坦克部件!#REF!,0),FALSE))*$Q18</f>
        <v>#REF!</v>
      </c>
      <c r="AR18" s="2" t="e">
        <f>(VLOOKUP($T18,坦克部件!#REF!,MATCH("标准值",坦克部件!#REF!,0),FALSE)+VLOOKUP($N18,坦克部件!#REF!,MATCH("标准值",坦克部件!#REF!,0),FALSE))*$Q18</f>
        <v>#REF!</v>
      </c>
      <c r="AS18" s="2" t="e">
        <f>(VLOOKUP($T18,坦克部件!#REF!,MATCH("标准值",坦克部件!#REF!,0),FALSE)+VLOOKUP($N18,坦克部件!#REF!,MATCH("标准值",坦克部件!#REF!,0),FALSE))*$Q18</f>
        <v>#REF!</v>
      </c>
      <c r="AT18" s="2">
        <f>VLOOKUP($E18,坦克属性统计!$B$3:$AY$33,MATCH(AT$3,坦克属性统计!$B$3:$AY$3,0),FALSE)</f>
        <v>6</v>
      </c>
      <c r="AU18" s="2">
        <f t="shared" si="3"/>
        <v>0.4</v>
      </c>
      <c r="AV18" s="2">
        <f t="shared" si="3"/>
        <v>2.4</v>
      </c>
      <c r="AW18" s="2">
        <f t="shared" si="3"/>
        <v>0</v>
      </c>
      <c r="AX18" s="34">
        <f t="shared" si="12"/>
        <v>31</v>
      </c>
      <c r="AY18" s="2" t="e">
        <f ca="1">VLOOKUP($F18&amp;$L18,所有坦克升星属性,MATCH(AY$3,所有坦克升星属性标头,0),FALSE)+ROUND(BD18/VLOOKUP($F18,坦克部件!#REF!,4,FALSE)*VLOOKUP($F18&amp;0,所有坦克升星属性,MATCH(AY$3,所有坦克升星属性标头,0),FALSE),0)</f>
        <v>#REF!</v>
      </c>
      <c r="AZ18" s="2" t="e">
        <f ca="1">VLOOKUP($F18&amp;$L18,所有坦克升星属性,MATCH(AZ$3,所有坦克升星属性标头,0),FALSE)+ROUND(BE18/VLOOKUP($F18,坦克部件!#REF!,4,FALSE)*VLOOKUP($F18&amp;0,所有坦克升星属性,MATCH(AZ$3,所有坦克升星属性标头,0),FALSE),0)</f>
        <v>#REF!</v>
      </c>
      <c r="BA18" s="2">
        <f t="shared" ca="1" si="4"/>
        <v>137</v>
      </c>
      <c r="BB18" s="2">
        <f t="shared" ca="1" si="4"/>
        <v>343</v>
      </c>
      <c r="BC18" s="2" t="e">
        <f ca="1">VLOOKUP($F18&amp;$L18,所有坦克升星属性,MATCH(BC$3,所有坦克升星属性标头,0),FALSE)+ROUND(BF18/VLOOKUP($F18,坦克部件!#REF!,4,FALSE)*VLOOKUP($F18&amp;0,所有坦克升星属性,MATCH(BC$3,所有坦克升星属性标头,0),FALSE),0)</f>
        <v>#REF!</v>
      </c>
      <c r="BD18" s="2" t="e">
        <f>(VLOOKUP($U18,坦克部件!#REF!,MATCH("标准值",坦克部件!#REF!,0),FALSE)+VLOOKUP($O18,坦克部件!#REF!,MATCH("标准值",坦克部件!#REF!,0),FALSE))*$R18</f>
        <v>#REF!</v>
      </c>
      <c r="BE18" s="2" t="e">
        <f>(VLOOKUP($U18,坦克部件!#REF!,MATCH("标准值",坦克部件!#REF!,0),FALSE)+VLOOKUP($O18,坦克部件!#REF!,MATCH("标准值",坦克部件!#REF!,0),FALSE))*$R18</f>
        <v>#REF!</v>
      </c>
      <c r="BF18" s="2" t="e">
        <f>(VLOOKUP($U18,坦克部件!#REF!,MATCH("标准值",坦克部件!#REF!,0),FALSE)+VLOOKUP($O18,坦克部件!#REF!,MATCH("标准值",坦克部件!#REF!,0),FALSE))*$R18</f>
        <v>#REF!</v>
      </c>
      <c r="BG18" s="2">
        <f>VLOOKUP($F18,坦克属性统计!$B$3:$AY$33,MATCH(BG$3,坦克属性统计!$B$3:$AY$3,0),FALSE)</f>
        <v>2</v>
      </c>
      <c r="BH18" s="2">
        <f t="shared" si="5"/>
        <v>1.88</v>
      </c>
      <c r="BI18" s="2">
        <f t="shared" si="5"/>
        <v>3.6</v>
      </c>
      <c r="BJ18" s="2">
        <f t="shared" si="5"/>
        <v>0</v>
      </c>
      <c r="BK18" s="34">
        <f t="shared" si="13"/>
        <v>18.666666666666668</v>
      </c>
      <c r="BM18" s="1" t="e">
        <f t="shared" ca="1" si="6"/>
        <v>#REF!</v>
      </c>
    </row>
    <row r="19" spans="2:65" x14ac:dyDescent="0.3">
      <c r="B19" s="2">
        <v>16</v>
      </c>
      <c r="C19" s="2" t="e">
        <f t="shared" ca="1" si="7"/>
        <v>#REF!</v>
      </c>
      <c r="D19" s="2" t="s">
        <v>607</v>
      </c>
      <c r="E19" s="2" t="s">
        <v>627</v>
      </c>
      <c r="F19" s="2" t="s">
        <v>646</v>
      </c>
      <c r="G19" s="2" t="str">
        <f>VLOOKUP(D19,坦克个性化设定!$B$18:$F$48,5,FALSE)</f>
        <v>轻坦弹夹</v>
      </c>
      <c r="H19" s="2" t="str">
        <f>VLOOKUP(E19,坦克个性化设定!$B$18:$F$48,5,FALSE)</f>
        <v>中坦自动</v>
      </c>
      <c r="I19" s="2" t="str">
        <f>VLOOKUP(F19,坦克个性化设定!$B$18:$F$48,5,FALSE)</f>
        <v>重坦单发</v>
      </c>
      <c r="J19" s="2">
        <v>1</v>
      </c>
      <c r="K19" s="2">
        <v>0</v>
      </c>
      <c r="L19" s="2">
        <v>0</v>
      </c>
      <c r="M19" s="2" t="s">
        <v>1713</v>
      </c>
      <c r="N19" s="2" t="s">
        <v>1713</v>
      </c>
      <c r="O19" s="2" t="s">
        <v>1711</v>
      </c>
      <c r="P19" s="2">
        <v>6</v>
      </c>
      <c r="Q19" s="2">
        <v>6</v>
      </c>
      <c r="R19" s="2">
        <v>6</v>
      </c>
      <c r="S19" s="2">
        <v>20</v>
      </c>
      <c r="T19" s="2">
        <v>20</v>
      </c>
      <c r="U19" s="2">
        <v>20</v>
      </c>
      <c r="V19" s="42" t="e">
        <f t="shared" ca="1" si="8"/>
        <v>#REF!</v>
      </c>
      <c r="W19" s="42" t="e">
        <f t="shared" ca="1" si="9"/>
        <v>#REF!</v>
      </c>
      <c r="X19" s="42" t="e">
        <f t="shared" ca="1" si="10"/>
        <v>#REF!</v>
      </c>
      <c r="Y19" s="2" t="e">
        <f ca="1">VLOOKUP($D19&amp;$J19,所有坦克升星属性,MATCH(Y$3,所有坦克升星属性标头,0),FALSE)+ROUND(AD19/VLOOKUP($D19,坦克部件!#REF!,4,FALSE)*VLOOKUP($D19&amp;0,所有坦克升星属性,MATCH(Y$3,所有坦克升星属性标头,0),FALSE),0)</f>
        <v>#REF!</v>
      </c>
      <c r="Z19" s="2" t="e">
        <f ca="1">VLOOKUP($D19&amp;$J19,所有坦克升星属性,MATCH(Z$3,所有坦克升星属性标头,0),FALSE)+ROUND(AE19/VLOOKUP($D19,坦克部件!#REF!,4,FALSE)*VLOOKUP($D19&amp;0,所有坦克升星属性,MATCH(Z$3,所有坦克升星属性标头,0),FALSE),0)</f>
        <v>#REF!</v>
      </c>
      <c r="AA19" s="2">
        <f t="shared" ca="1" si="0"/>
        <v>423</v>
      </c>
      <c r="AB19" s="2">
        <f t="shared" ca="1" si="0"/>
        <v>169</v>
      </c>
      <c r="AC19" s="2" t="e">
        <f ca="1">VLOOKUP($D19&amp;$J19,所有坦克升星属性,MATCH(AC$3,所有坦克升星属性标头,0),FALSE)+ROUND(AF19/VLOOKUP($D19,坦克部件!#REF!,4,FALSE)*VLOOKUP($D19&amp;0,所有坦克升星属性,MATCH(AC$3,所有坦克升星属性标头,0),FALSE),0)</f>
        <v>#REF!</v>
      </c>
      <c r="AD19" s="2" t="e">
        <f>(VLOOKUP($S19,坦克部件!#REF!,MATCH("标准值",坦克部件!#REF!,0),FALSE)+VLOOKUP($M19,坦克部件!#REF!,MATCH("标准值",坦克部件!#REF!,0),FALSE))*$P19</f>
        <v>#REF!</v>
      </c>
      <c r="AE19" s="2" t="e">
        <f>(VLOOKUP($S19,坦克部件!#REF!,MATCH("标准值",坦克部件!#REF!,0),FALSE)+VLOOKUP($M19,坦克部件!#REF!,MATCH("标准值",坦克部件!#REF!,0),FALSE))*$P19</f>
        <v>#REF!</v>
      </c>
      <c r="AF19" s="2" t="e">
        <f>(VLOOKUP($S19,坦克部件!#REF!,MATCH("标准值",坦克部件!#REF!,0),FALSE)+VLOOKUP($M19,坦克部件!#REF!,MATCH("标准值",坦克部件!#REF!,0),FALSE))*$P19</f>
        <v>#REF!</v>
      </c>
      <c r="AG19" s="2">
        <f>VLOOKUP($D19,坦克属性统计!$B$3:$AY$33,MATCH(AG$3,坦克属性统计!$B$3:$AY$3,0),FALSE)</f>
        <v>9</v>
      </c>
      <c r="AH19" s="2">
        <f t="shared" si="1"/>
        <v>0.8</v>
      </c>
      <c r="AI19" s="2">
        <f t="shared" si="1"/>
        <v>0</v>
      </c>
      <c r="AJ19" s="2">
        <f t="shared" si="1"/>
        <v>4.5</v>
      </c>
      <c r="AK19" s="34">
        <f t="shared" si="11"/>
        <v>53.256880733944953</v>
      </c>
      <c r="AL19" s="2" t="e">
        <f ca="1">VLOOKUP($E19&amp;$K19,所有坦克升星属性,MATCH(AL$3,所有坦克升星属性标头,0),FALSE)+ROUND(AQ19/VLOOKUP($E19,坦克部件!#REF!,4,FALSE)*VLOOKUP($E19&amp;0,所有坦克升星属性,MATCH(AL$3,所有坦克升星属性标头,0),FALSE),0)</f>
        <v>#REF!</v>
      </c>
      <c r="AM19" s="2" t="e">
        <f ca="1">VLOOKUP($E19&amp;$K19,所有坦克升星属性,MATCH(AM$3,所有坦克升星属性标头,0),FALSE)+ROUND(AR19/VLOOKUP($E19,坦克部件!#REF!,4,FALSE)*VLOOKUP($E19&amp;0,所有坦克升星属性,MATCH(AM$3,所有坦克升星属性标头,0),FALSE),0)</f>
        <v>#REF!</v>
      </c>
      <c r="AN19" s="2">
        <f t="shared" ca="1" si="2"/>
        <v>401</v>
      </c>
      <c r="AO19" s="2">
        <f t="shared" ca="1" si="2"/>
        <v>180</v>
      </c>
      <c r="AP19" s="2" t="e">
        <f ca="1">VLOOKUP($E19&amp;$K19,所有坦克升星属性,MATCH(AP$3,所有坦克升星属性标头,0),FALSE)+ROUND(AS19/VLOOKUP($E19,坦克部件!#REF!,4,FALSE)*VLOOKUP($E19&amp;0,所有坦克升星属性,MATCH(AP$3,所有坦克升星属性标头,0),FALSE),0)</f>
        <v>#REF!</v>
      </c>
      <c r="AQ19" s="2" t="e">
        <f>(VLOOKUP($T19,坦克部件!#REF!,MATCH("标准值",坦克部件!#REF!,0),FALSE)+VLOOKUP($N19,坦克部件!#REF!,MATCH("标准值",坦克部件!#REF!,0),FALSE))*$Q19</f>
        <v>#REF!</v>
      </c>
      <c r="AR19" s="2" t="e">
        <f>(VLOOKUP($T19,坦克部件!#REF!,MATCH("标准值",坦克部件!#REF!,0),FALSE)+VLOOKUP($N19,坦克部件!#REF!,MATCH("标准值",坦克部件!#REF!,0),FALSE))*$Q19</f>
        <v>#REF!</v>
      </c>
      <c r="AS19" s="2" t="e">
        <f>(VLOOKUP($T19,坦克部件!#REF!,MATCH("标准值",坦克部件!#REF!,0),FALSE)+VLOOKUP($N19,坦克部件!#REF!,MATCH("标准值",坦克部件!#REF!,0),FALSE))*$Q19</f>
        <v>#REF!</v>
      </c>
      <c r="AT19" s="2">
        <f>VLOOKUP($E19,坦克属性统计!$B$3:$AY$33,MATCH(AT$3,坦克属性统计!$B$3:$AY$3,0),FALSE)</f>
        <v>6</v>
      </c>
      <c r="AU19" s="2">
        <f t="shared" si="3"/>
        <v>0.4</v>
      </c>
      <c r="AV19" s="2">
        <f t="shared" si="3"/>
        <v>2.4</v>
      </c>
      <c r="AW19" s="2">
        <f t="shared" si="3"/>
        <v>0</v>
      </c>
      <c r="AX19" s="34">
        <f t="shared" si="12"/>
        <v>31</v>
      </c>
      <c r="AY19" s="2" t="e">
        <f ca="1">VLOOKUP($F19&amp;$L19,所有坦克升星属性,MATCH(AY$3,所有坦克升星属性标头,0),FALSE)+ROUND(BD19/VLOOKUP($F19,坦克部件!#REF!,4,FALSE)*VLOOKUP($F19&amp;0,所有坦克升星属性,MATCH(AY$3,所有坦克升星属性标头,0),FALSE),0)</f>
        <v>#REF!</v>
      </c>
      <c r="AZ19" s="2" t="e">
        <f ca="1">VLOOKUP($F19&amp;$L19,所有坦克升星属性,MATCH(AZ$3,所有坦克升星属性标头,0),FALSE)+ROUND(BE19/VLOOKUP($F19,坦克部件!#REF!,4,FALSE)*VLOOKUP($F19&amp;0,所有坦克升星属性,MATCH(AZ$3,所有坦克升星属性标头,0),FALSE),0)</f>
        <v>#REF!</v>
      </c>
      <c r="BA19" s="2">
        <f t="shared" ca="1" si="4"/>
        <v>153</v>
      </c>
      <c r="BB19" s="2">
        <f t="shared" ca="1" si="4"/>
        <v>383</v>
      </c>
      <c r="BC19" s="2" t="e">
        <f ca="1">VLOOKUP($F19&amp;$L19,所有坦克升星属性,MATCH(BC$3,所有坦克升星属性标头,0),FALSE)+ROUND(BF19/VLOOKUP($F19,坦克部件!#REF!,4,FALSE)*VLOOKUP($F19&amp;0,所有坦克升星属性,MATCH(BC$3,所有坦克升星属性标头,0),FALSE),0)</f>
        <v>#REF!</v>
      </c>
      <c r="BD19" s="2" t="e">
        <f>(VLOOKUP($U19,坦克部件!#REF!,MATCH("标准值",坦克部件!#REF!,0),FALSE)+VLOOKUP($O19,坦克部件!#REF!,MATCH("标准值",坦克部件!#REF!,0),FALSE))*$R19</f>
        <v>#REF!</v>
      </c>
      <c r="BE19" s="2" t="e">
        <f>(VLOOKUP($U19,坦克部件!#REF!,MATCH("标准值",坦克部件!#REF!,0),FALSE)+VLOOKUP($O19,坦克部件!#REF!,MATCH("标准值",坦克部件!#REF!,0),FALSE))*$R19</f>
        <v>#REF!</v>
      </c>
      <c r="BF19" s="2" t="e">
        <f>(VLOOKUP($U19,坦克部件!#REF!,MATCH("标准值",坦克部件!#REF!,0),FALSE)+VLOOKUP($O19,坦克部件!#REF!,MATCH("标准值",坦克部件!#REF!,0),FALSE))*$R19</f>
        <v>#REF!</v>
      </c>
      <c r="BG19" s="2">
        <f>VLOOKUP($F19,坦克属性统计!$B$3:$AY$33,MATCH(BG$3,坦克属性统计!$B$3:$AY$3,0),FALSE)</f>
        <v>1</v>
      </c>
      <c r="BH19" s="2">
        <f t="shared" si="5"/>
        <v>0</v>
      </c>
      <c r="BI19" s="2">
        <f t="shared" si="5"/>
        <v>6</v>
      </c>
      <c r="BJ19" s="2">
        <f t="shared" si="5"/>
        <v>0</v>
      </c>
      <c r="BK19" s="34">
        <f t="shared" si="13"/>
        <v>11</v>
      </c>
      <c r="BM19" s="1" t="e">
        <f t="shared" ca="1" si="6"/>
        <v>#REF!</v>
      </c>
    </row>
    <row r="20" spans="2:65" x14ac:dyDescent="0.3">
      <c r="B20" s="2">
        <v>17</v>
      </c>
      <c r="C20" s="2" t="e">
        <f t="shared" ca="1" si="7"/>
        <v>#REF!</v>
      </c>
      <c r="D20" s="2" t="s">
        <v>607</v>
      </c>
      <c r="E20" s="2" t="s">
        <v>627</v>
      </c>
      <c r="F20" s="2" t="s">
        <v>646</v>
      </c>
      <c r="G20" s="2" t="str">
        <f>VLOOKUP(D20,坦克个性化设定!$B$18:$F$48,5,FALSE)</f>
        <v>轻坦弹夹</v>
      </c>
      <c r="H20" s="2" t="str">
        <f>VLOOKUP(E20,坦克个性化设定!$B$18:$F$48,5,FALSE)</f>
        <v>中坦自动</v>
      </c>
      <c r="I20" s="2" t="str">
        <f>VLOOKUP(F20,坦克个性化设定!$B$18:$F$48,5,FALSE)</f>
        <v>重坦单发</v>
      </c>
      <c r="J20" s="2">
        <v>1</v>
      </c>
      <c r="K20" s="2">
        <v>1</v>
      </c>
      <c r="L20" s="2">
        <v>0</v>
      </c>
      <c r="M20" s="2" t="s">
        <v>1713</v>
      </c>
      <c r="N20" s="2" t="s">
        <v>1713</v>
      </c>
      <c r="O20" s="2" t="s">
        <v>1713</v>
      </c>
      <c r="P20" s="2">
        <v>6</v>
      </c>
      <c r="Q20" s="2">
        <v>6</v>
      </c>
      <c r="R20" s="2">
        <v>6</v>
      </c>
      <c r="S20" s="2">
        <v>20</v>
      </c>
      <c r="T20" s="2">
        <v>20</v>
      </c>
      <c r="U20" s="2">
        <v>20</v>
      </c>
      <c r="V20" s="42" t="e">
        <f t="shared" ca="1" si="8"/>
        <v>#REF!</v>
      </c>
      <c r="W20" s="42" t="e">
        <f t="shared" ca="1" si="9"/>
        <v>#REF!</v>
      </c>
      <c r="X20" s="42" t="e">
        <f t="shared" ca="1" si="10"/>
        <v>#REF!</v>
      </c>
      <c r="Y20" s="2" t="e">
        <f ca="1">VLOOKUP($D20&amp;$J20,所有坦克升星属性,MATCH(Y$3,所有坦克升星属性标头,0),FALSE)+ROUND(AD20/VLOOKUP($D20,坦克部件!#REF!,4,FALSE)*VLOOKUP($D20&amp;0,所有坦克升星属性,MATCH(Y$3,所有坦克升星属性标头,0),FALSE),0)</f>
        <v>#REF!</v>
      </c>
      <c r="Z20" s="2" t="e">
        <f ca="1">VLOOKUP($D20&amp;$J20,所有坦克升星属性,MATCH(Z$3,所有坦克升星属性标头,0),FALSE)+ROUND(AE20/VLOOKUP($D20,坦克部件!#REF!,4,FALSE)*VLOOKUP($D20&amp;0,所有坦克升星属性,MATCH(Z$3,所有坦克升星属性标头,0),FALSE),0)</f>
        <v>#REF!</v>
      </c>
      <c r="AA20" s="2">
        <f t="shared" ca="1" si="0"/>
        <v>423</v>
      </c>
      <c r="AB20" s="2">
        <f t="shared" ca="1" si="0"/>
        <v>169</v>
      </c>
      <c r="AC20" s="2" t="e">
        <f ca="1">VLOOKUP($D20&amp;$J20,所有坦克升星属性,MATCH(AC$3,所有坦克升星属性标头,0),FALSE)+ROUND(AF20/VLOOKUP($D20,坦克部件!#REF!,4,FALSE)*VLOOKUP($D20&amp;0,所有坦克升星属性,MATCH(AC$3,所有坦克升星属性标头,0),FALSE),0)</f>
        <v>#REF!</v>
      </c>
      <c r="AD20" s="2" t="e">
        <f>(VLOOKUP($S20,坦克部件!#REF!,MATCH("标准值",坦克部件!#REF!,0),FALSE)+VLOOKUP($M20,坦克部件!#REF!,MATCH("标准值",坦克部件!#REF!,0),FALSE))*$P20</f>
        <v>#REF!</v>
      </c>
      <c r="AE20" s="2" t="e">
        <f>(VLOOKUP($S20,坦克部件!#REF!,MATCH("标准值",坦克部件!#REF!,0),FALSE)+VLOOKUP($M20,坦克部件!#REF!,MATCH("标准值",坦克部件!#REF!,0),FALSE))*$P20</f>
        <v>#REF!</v>
      </c>
      <c r="AF20" s="2" t="e">
        <f>(VLOOKUP($S20,坦克部件!#REF!,MATCH("标准值",坦克部件!#REF!,0),FALSE)+VLOOKUP($M20,坦克部件!#REF!,MATCH("标准值",坦克部件!#REF!,0),FALSE))*$P20</f>
        <v>#REF!</v>
      </c>
      <c r="AG20" s="2">
        <f>VLOOKUP($D20,坦克属性统计!$B$3:$AY$33,MATCH(AG$3,坦克属性统计!$B$3:$AY$3,0),FALSE)</f>
        <v>9</v>
      </c>
      <c r="AH20" s="2">
        <f t="shared" si="1"/>
        <v>0.8</v>
      </c>
      <c r="AI20" s="2">
        <f t="shared" si="1"/>
        <v>0</v>
      </c>
      <c r="AJ20" s="2">
        <f t="shared" si="1"/>
        <v>4.5</v>
      </c>
      <c r="AK20" s="34">
        <f t="shared" si="11"/>
        <v>53.256880733944953</v>
      </c>
      <c r="AL20" s="2" t="e">
        <f ca="1">VLOOKUP($E20&amp;$K20,所有坦克升星属性,MATCH(AL$3,所有坦克升星属性标头,0),FALSE)+ROUND(AQ20/VLOOKUP($E20,坦克部件!#REF!,4,FALSE)*VLOOKUP($E20&amp;0,所有坦克升星属性,MATCH(AL$3,所有坦克升星属性标头,0),FALSE),0)</f>
        <v>#REF!</v>
      </c>
      <c r="AM20" s="2" t="e">
        <f ca="1">VLOOKUP($E20&amp;$K20,所有坦克升星属性,MATCH(AM$3,所有坦克升星属性标头,0),FALSE)+ROUND(AR20/VLOOKUP($E20,坦克部件!#REF!,4,FALSE)*VLOOKUP($E20&amp;0,所有坦克升星属性,MATCH(AM$3,所有坦克升星属性标头,0),FALSE),0)</f>
        <v>#REF!</v>
      </c>
      <c r="AN20" s="2">
        <f t="shared" ca="1" si="2"/>
        <v>423</v>
      </c>
      <c r="AO20" s="2">
        <f t="shared" ca="1" si="2"/>
        <v>190</v>
      </c>
      <c r="AP20" s="2" t="e">
        <f ca="1">VLOOKUP($E20&amp;$K20,所有坦克升星属性,MATCH(AP$3,所有坦克升星属性标头,0),FALSE)+ROUND(AS20/VLOOKUP($E20,坦克部件!#REF!,4,FALSE)*VLOOKUP($E20&amp;0,所有坦克升星属性,MATCH(AP$3,所有坦克升星属性标头,0),FALSE),0)</f>
        <v>#REF!</v>
      </c>
      <c r="AQ20" s="2" t="e">
        <f>(VLOOKUP($T20,坦克部件!#REF!,MATCH("标准值",坦克部件!#REF!,0),FALSE)+VLOOKUP($N20,坦克部件!#REF!,MATCH("标准值",坦克部件!#REF!,0),FALSE))*$Q20</f>
        <v>#REF!</v>
      </c>
      <c r="AR20" s="2" t="e">
        <f>(VLOOKUP($T20,坦克部件!#REF!,MATCH("标准值",坦克部件!#REF!,0),FALSE)+VLOOKUP($N20,坦克部件!#REF!,MATCH("标准值",坦克部件!#REF!,0),FALSE))*$Q20</f>
        <v>#REF!</v>
      </c>
      <c r="AS20" s="2" t="e">
        <f>(VLOOKUP($T20,坦克部件!#REF!,MATCH("标准值",坦克部件!#REF!,0),FALSE)+VLOOKUP($N20,坦克部件!#REF!,MATCH("标准值",坦克部件!#REF!,0),FALSE))*$Q20</f>
        <v>#REF!</v>
      </c>
      <c r="AT20" s="2">
        <f>VLOOKUP($E20,坦克属性统计!$B$3:$AY$33,MATCH(AT$3,坦克属性统计!$B$3:$AY$3,0),FALSE)</f>
        <v>6</v>
      </c>
      <c r="AU20" s="2">
        <f t="shared" si="3"/>
        <v>0.4</v>
      </c>
      <c r="AV20" s="2">
        <f t="shared" si="3"/>
        <v>2.35</v>
      </c>
      <c r="AW20" s="2">
        <f t="shared" si="3"/>
        <v>0</v>
      </c>
      <c r="AX20" s="34">
        <f t="shared" si="12"/>
        <v>31.531914893617021</v>
      </c>
      <c r="AY20" s="2" t="e">
        <f ca="1">VLOOKUP($F20&amp;$L20,所有坦克升星属性,MATCH(AY$3,所有坦克升星属性标头,0),FALSE)+ROUND(BD20/VLOOKUP($F20,坦克部件!#REF!,4,FALSE)*VLOOKUP($F20&amp;0,所有坦克升星属性,MATCH(AY$3,所有坦克升星属性标头,0),FALSE),0)</f>
        <v>#REF!</v>
      </c>
      <c r="AZ20" s="2" t="e">
        <f ca="1">VLOOKUP($F20&amp;$L20,所有坦克升星属性,MATCH(AZ$3,所有坦克升星属性标头,0),FALSE)+ROUND(BE20/VLOOKUP($F20,坦克部件!#REF!,4,FALSE)*VLOOKUP($F20&amp;0,所有坦克升星属性,MATCH(AZ$3,所有坦克升星属性标头,0),FALSE),0)</f>
        <v>#REF!</v>
      </c>
      <c r="BA20" s="2">
        <f t="shared" ca="1" si="4"/>
        <v>153</v>
      </c>
      <c r="BB20" s="2">
        <f t="shared" ca="1" si="4"/>
        <v>383</v>
      </c>
      <c r="BC20" s="2" t="e">
        <f ca="1">VLOOKUP($F20&amp;$L20,所有坦克升星属性,MATCH(BC$3,所有坦克升星属性标头,0),FALSE)+ROUND(BF20/VLOOKUP($F20,坦克部件!#REF!,4,FALSE)*VLOOKUP($F20&amp;0,所有坦克升星属性,MATCH(BC$3,所有坦克升星属性标头,0),FALSE),0)</f>
        <v>#REF!</v>
      </c>
      <c r="BD20" s="2" t="e">
        <f>(VLOOKUP($U20,坦克部件!#REF!,MATCH("标准值",坦克部件!#REF!,0),FALSE)+VLOOKUP($O20,坦克部件!#REF!,MATCH("标准值",坦克部件!#REF!,0),FALSE))*$R20</f>
        <v>#REF!</v>
      </c>
      <c r="BE20" s="2" t="e">
        <f>(VLOOKUP($U20,坦克部件!#REF!,MATCH("标准值",坦克部件!#REF!,0),FALSE)+VLOOKUP($O20,坦克部件!#REF!,MATCH("标准值",坦克部件!#REF!,0),FALSE))*$R20</f>
        <v>#REF!</v>
      </c>
      <c r="BF20" s="2" t="e">
        <f>(VLOOKUP($U20,坦克部件!#REF!,MATCH("标准值",坦克部件!#REF!,0),FALSE)+VLOOKUP($O20,坦克部件!#REF!,MATCH("标准值",坦克部件!#REF!,0),FALSE))*$R20</f>
        <v>#REF!</v>
      </c>
      <c r="BG20" s="2">
        <f>VLOOKUP($F20,坦克属性统计!$B$3:$AY$33,MATCH(BG$3,坦克属性统计!$B$3:$AY$3,0),FALSE)</f>
        <v>1</v>
      </c>
      <c r="BH20" s="2">
        <f t="shared" si="5"/>
        <v>0</v>
      </c>
      <c r="BI20" s="2">
        <f t="shared" si="5"/>
        <v>6</v>
      </c>
      <c r="BJ20" s="2">
        <f t="shared" si="5"/>
        <v>0</v>
      </c>
      <c r="BK20" s="34">
        <f t="shared" si="13"/>
        <v>11</v>
      </c>
      <c r="BM20" s="1" t="e">
        <f t="shared" ca="1" si="6"/>
        <v>#REF!</v>
      </c>
    </row>
    <row r="21" spans="2:65" x14ac:dyDescent="0.3">
      <c r="B21" s="2">
        <v>18</v>
      </c>
      <c r="C21" s="2" t="e">
        <f t="shared" ca="1" si="7"/>
        <v>#REF!</v>
      </c>
      <c r="D21" s="2" t="s">
        <v>522</v>
      </c>
      <c r="E21" s="2" t="s">
        <v>526</v>
      </c>
      <c r="F21" s="2" t="s">
        <v>529</v>
      </c>
      <c r="G21" s="2" t="str">
        <f>VLOOKUP(D21,坦克个性化设定!$B$18:$F$48,5,FALSE)</f>
        <v>轻坦弹夹</v>
      </c>
      <c r="H21" s="2" t="str">
        <f>VLOOKUP(E21,坦克个性化设定!$B$18:$F$48,5,FALSE)</f>
        <v>中坦自动</v>
      </c>
      <c r="I21" s="2" t="str">
        <f>VLOOKUP(F21,坦克个性化设定!$B$18:$F$48,5,FALSE)</f>
        <v>重坦单发</v>
      </c>
      <c r="J21" s="2">
        <v>1</v>
      </c>
      <c r="K21" s="2">
        <v>1</v>
      </c>
      <c r="L21" s="2">
        <v>1</v>
      </c>
      <c r="M21" s="2" t="s">
        <v>1714</v>
      </c>
      <c r="N21" s="2" t="s">
        <v>1714</v>
      </c>
      <c r="O21" s="2" t="s">
        <v>1715</v>
      </c>
      <c r="P21" s="2">
        <v>6</v>
      </c>
      <c r="Q21" s="2">
        <v>6</v>
      </c>
      <c r="R21" s="2">
        <v>6</v>
      </c>
      <c r="S21" s="2">
        <v>30</v>
      </c>
      <c r="T21" s="2">
        <v>30</v>
      </c>
      <c r="U21" s="2">
        <v>30</v>
      </c>
      <c r="V21" s="42" t="e">
        <f t="shared" ca="1" si="8"/>
        <v>#REF!</v>
      </c>
      <c r="W21" s="42" t="e">
        <f t="shared" ca="1" si="9"/>
        <v>#REF!</v>
      </c>
      <c r="X21" s="42" t="e">
        <f t="shared" ca="1" si="10"/>
        <v>#REF!</v>
      </c>
      <c r="Y21" s="2" t="e">
        <f ca="1">VLOOKUP($D21&amp;$J21,所有坦克升星属性,MATCH(Y$3,所有坦克升星属性标头,0),FALSE)+ROUND(AD21/VLOOKUP($D21,坦克部件!#REF!,4,FALSE)*VLOOKUP($D21&amp;0,所有坦克升星属性,MATCH(Y$3,所有坦克升星属性标头,0),FALSE),0)</f>
        <v>#REF!</v>
      </c>
      <c r="Z21" s="2" t="e">
        <f ca="1">VLOOKUP($D21&amp;$J21,所有坦克升星属性,MATCH(Z$3,所有坦克升星属性标头,0),FALSE)+ROUND(AE21/VLOOKUP($D21,坦克部件!#REF!,4,FALSE)*VLOOKUP($D21&amp;0,所有坦克升星属性,MATCH(Z$3,所有坦克升星属性标头,0),FALSE),0)</f>
        <v>#REF!</v>
      </c>
      <c r="AA21" s="2">
        <f t="shared" ca="1" si="0"/>
        <v>507</v>
      </c>
      <c r="AB21" s="2">
        <f t="shared" ca="1" si="0"/>
        <v>203</v>
      </c>
      <c r="AC21" s="2" t="e">
        <f ca="1">VLOOKUP($D21&amp;$J21,所有坦克升星属性,MATCH(AC$3,所有坦克升星属性标头,0),FALSE)+ROUND(AF21/VLOOKUP($D21,坦克部件!#REF!,4,FALSE)*VLOOKUP($D21&amp;0,所有坦克升星属性,MATCH(AC$3,所有坦克升星属性标头,0),FALSE),0)</f>
        <v>#REF!</v>
      </c>
      <c r="AD21" s="2" t="e">
        <f>(VLOOKUP($S21,坦克部件!#REF!,MATCH("标准值",坦克部件!#REF!,0),FALSE)+VLOOKUP($M21,坦克部件!#REF!,MATCH("标准值",坦克部件!#REF!,0),FALSE))*$P21</f>
        <v>#REF!</v>
      </c>
      <c r="AE21" s="2" t="e">
        <f>(VLOOKUP($S21,坦克部件!#REF!,MATCH("标准值",坦克部件!#REF!,0),FALSE)+VLOOKUP($M21,坦克部件!#REF!,MATCH("标准值",坦克部件!#REF!,0),FALSE))*$P21</f>
        <v>#REF!</v>
      </c>
      <c r="AF21" s="2" t="e">
        <f>(VLOOKUP($S21,坦克部件!#REF!,MATCH("标准值",坦克部件!#REF!,0),FALSE)+VLOOKUP($M21,坦克部件!#REF!,MATCH("标准值",坦克部件!#REF!,0),FALSE))*$P21</f>
        <v>#REF!</v>
      </c>
      <c r="AG21" s="2">
        <f>VLOOKUP($D21,坦克属性统计!$B$3:$AY$33,MATCH(AG$3,坦克属性统计!$B$3:$AY$3,0),FALSE)</f>
        <v>14</v>
      </c>
      <c r="AH21" s="2">
        <f t="shared" si="1"/>
        <v>0.8</v>
      </c>
      <c r="AI21" s="2">
        <f t="shared" si="1"/>
        <v>0</v>
      </c>
      <c r="AJ21" s="2">
        <f t="shared" si="1"/>
        <v>9.4</v>
      </c>
      <c r="AK21" s="34">
        <f t="shared" si="11"/>
        <v>49.070707070707073</v>
      </c>
      <c r="AL21" s="2" t="e">
        <f ca="1">VLOOKUP($E21&amp;$K21,所有坦克升星属性,MATCH(AL$3,所有坦克升星属性标头,0),FALSE)+ROUND(AQ21/VLOOKUP($E21,坦克部件!#REF!,4,FALSE)*VLOOKUP($E21&amp;0,所有坦克升星属性,MATCH(AL$3,所有坦克升星属性标头,0),FALSE),0)</f>
        <v>#REF!</v>
      </c>
      <c r="AM21" s="2" t="e">
        <f ca="1">VLOOKUP($E21&amp;$K21,所有坦克升星属性,MATCH(AM$3,所有坦克升星属性标头,0),FALSE)+ROUND(AR21/VLOOKUP($E21,坦克部件!#REF!,4,FALSE)*VLOOKUP($E21&amp;0,所有坦克升星属性,MATCH(AM$3,所有坦克升星属性标头,0),FALSE),0)</f>
        <v>#REF!</v>
      </c>
      <c r="AN21" s="2">
        <f t="shared" ca="1" si="2"/>
        <v>507</v>
      </c>
      <c r="AO21" s="2">
        <f t="shared" ca="1" si="2"/>
        <v>229</v>
      </c>
      <c r="AP21" s="2" t="e">
        <f ca="1">VLOOKUP($E21&amp;$K21,所有坦克升星属性,MATCH(AP$3,所有坦克升星属性标头,0),FALSE)+ROUND(AS21/VLOOKUP($E21,坦克部件!#REF!,4,FALSE)*VLOOKUP($E21&amp;0,所有坦克升星属性,MATCH(AP$3,所有坦克升星属性标头,0),FALSE),0)</f>
        <v>#REF!</v>
      </c>
      <c r="AQ21" s="2" t="e">
        <f>(VLOOKUP($T21,坦克部件!#REF!,MATCH("标准值",坦克部件!#REF!,0),FALSE)+VLOOKUP($N21,坦克部件!#REF!,MATCH("标准值",坦克部件!#REF!,0),FALSE))*$Q21</f>
        <v>#REF!</v>
      </c>
      <c r="AR21" s="2" t="e">
        <f>(VLOOKUP($T21,坦克部件!#REF!,MATCH("标准值",坦克部件!#REF!,0),FALSE)+VLOOKUP($N21,坦克部件!#REF!,MATCH("标准值",坦克部件!#REF!,0),FALSE))*$Q21</f>
        <v>#REF!</v>
      </c>
      <c r="AS21" s="2" t="e">
        <f>(VLOOKUP($T21,坦克部件!#REF!,MATCH("标准值",坦克部件!#REF!,0),FALSE)+VLOOKUP($N21,坦克部件!#REF!,MATCH("标准值",坦克部件!#REF!,0),FALSE))*$Q21</f>
        <v>#REF!</v>
      </c>
      <c r="AT21" s="2">
        <f>VLOOKUP($E21,坦克属性统计!$B$3:$AY$33,MATCH(AT$3,坦克属性统计!$B$3:$AY$3,0),FALSE)</f>
        <v>9</v>
      </c>
      <c r="AU21" s="2">
        <f t="shared" si="3"/>
        <v>0.32</v>
      </c>
      <c r="AV21" s="2">
        <f t="shared" si="3"/>
        <v>0</v>
      </c>
      <c r="AW21" s="2">
        <f t="shared" si="3"/>
        <v>3.1</v>
      </c>
      <c r="AX21" s="34" t="e">
        <f t="shared" si="12"/>
        <v>#DIV/0!</v>
      </c>
      <c r="AY21" s="2" t="e">
        <f ca="1">VLOOKUP($F21&amp;$L21,所有坦克升星属性,MATCH(AY$3,所有坦克升星属性标头,0),FALSE)+ROUND(BD21/VLOOKUP($F21,坦克部件!#REF!,4,FALSE)*VLOOKUP($F21&amp;0,所有坦克升星属性,MATCH(AY$3,所有坦克升星属性标头,0),FALSE),0)</f>
        <v>#REF!</v>
      </c>
      <c r="AZ21" s="2" t="e">
        <f ca="1">VLOOKUP($F21&amp;$L21,所有坦克升星属性,MATCH(AZ$3,所有坦克升星属性标头,0),FALSE)+ROUND(BE21/VLOOKUP($F21,坦克部件!#REF!,4,FALSE)*VLOOKUP($F21&amp;0,所有坦克升星属性,MATCH(AZ$3,所有坦克升星属性标头,0),FALSE),0)</f>
        <v>#REF!</v>
      </c>
      <c r="BA21" s="2">
        <f t="shared" ca="1" si="4"/>
        <v>194</v>
      </c>
      <c r="BB21" s="2">
        <f t="shared" ca="1" si="4"/>
        <v>485</v>
      </c>
      <c r="BC21" s="2" t="e">
        <f ca="1">VLOOKUP($F21&amp;$L21,所有坦克升星属性,MATCH(BC$3,所有坦克升星属性标头,0),FALSE)+ROUND(BF21/VLOOKUP($F21,坦克部件!#REF!,4,FALSE)*VLOOKUP($F21&amp;0,所有坦克升星属性,MATCH(BC$3,所有坦克升星属性标头,0),FALSE),0)</f>
        <v>#REF!</v>
      </c>
      <c r="BD21" s="2" t="e">
        <f>(VLOOKUP($U21,坦克部件!#REF!,MATCH("标准值",坦克部件!#REF!,0),FALSE)+VLOOKUP($O21,坦克部件!#REF!,MATCH("标准值",坦克部件!#REF!,0),FALSE))*$R21</f>
        <v>#REF!</v>
      </c>
      <c r="BE21" s="2" t="e">
        <f>(VLOOKUP($U21,坦克部件!#REF!,MATCH("标准值",坦克部件!#REF!,0),FALSE)+VLOOKUP($O21,坦克部件!#REF!,MATCH("标准值",坦克部件!#REF!,0),FALSE))*$R21</f>
        <v>#REF!</v>
      </c>
      <c r="BF21" s="2" t="e">
        <f>(VLOOKUP($U21,坦克部件!#REF!,MATCH("标准值",坦克部件!#REF!,0),FALSE)+VLOOKUP($O21,坦克部件!#REF!,MATCH("标准值",坦克部件!#REF!,0),FALSE))*$R21</f>
        <v>#REF!</v>
      </c>
      <c r="BG21" s="2">
        <f>VLOOKUP($F21,坦克属性统计!$B$3:$AY$33,MATCH(BG$3,坦克属性统计!$B$3:$AY$3,0),FALSE)</f>
        <v>1</v>
      </c>
      <c r="BH21" s="2">
        <f t="shared" si="5"/>
        <v>0</v>
      </c>
      <c r="BI21" s="2">
        <f t="shared" si="5"/>
        <v>5.91</v>
      </c>
      <c r="BJ21" s="2">
        <f t="shared" si="5"/>
        <v>0</v>
      </c>
      <c r="BK21" s="34">
        <f t="shared" si="13"/>
        <v>11.152284263959391</v>
      </c>
      <c r="BM21" s="1" t="e">
        <f t="shared" ca="1" si="6"/>
        <v>#REF!</v>
      </c>
    </row>
    <row r="22" spans="2:65" x14ac:dyDescent="0.3">
      <c r="B22" s="2">
        <v>19</v>
      </c>
      <c r="C22" s="2" t="e">
        <f t="shared" ca="1" si="7"/>
        <v>#REF!</v>
      </c>
      <c r="D22" s="2" t="s">
        <v>522</v>
      </c>
      <c r="E22" s="2" t="s">
        <v>526</v>
      </c>
      <c r="F22" s="2" t="s">
        <v>529</v>
      </c>
      <c r="G22" s="2" t="str">
        <f>VLOOKUP(D22,坦克个性化设定!$B$18:$F$48,5,FALSE)</f>
        <v>轻坦弹夹</v>
      </c>
      <c r="H22" s="2" t="str">
        <f>VLOOKUP(E22,坦克个性化设定!$B$18:$F$48,5,FALSE)</f>
        <v>中坦自动</v>
      </c>
      <c r="I22" s="2" t="str">
        <f>VLOOKUP(F22,坦克个性化设定!$B$18:$F$48,5,FALSE)</f>
        <v>重坦单发</v>
      </c>
      <c r="J22" s="2">
        <v>2</v>
      </c>
      <c r="K22" s="2">
        <v>2</v>
      </c>
      <c r="L22" s="2">
        <v>2</v>
      </c>
      <c r="M22" s="2" t="s">
        <v>1714</v>
      </c>
      <c r="N22" s="2" t="s">
        <v>1714</v>
      </c>
      <c r="O22" s="2" t="s">
        <v>1714</v>
      </c>
      <c r="P22" s="2">
        <v>6</v>
      </c>
      <c r="Q22" s="2">
        <v>6</v>
      </c>
      <c r="R22" s="2">
        <v>6</v>
      </c>
      <c r="S22" s="2">
        <v>30</v>
      </c>
      <c r="T22" s="2">
        <v>30</v>
      </c>
      <c r="U22" s="2">
        <v>30</v>
      </c>
      <c r="V22" s="42" t="e">
        <f t="shared" ca="1" si="8"/>
        <v>#REF!</v>
      </c>
      <c r="W22" s="42" t="e">
        <f t="shared" ca="1" si="9"/>
        <v>#REF!</v>
      </c>
      <c r="X22" s="42" t="e">
        <f t="shared" ca="1" si="10"/>
        <v>#REF!</v>
      </c>
      <c r="Y22" s="2" t="e">
        <f ca="1">VLOOKUP($D22&amp;$J22,所有坦克升星属性,MATCH(Y$3,所有坦克升星属性标头,0),FALSE)+ROUND(AD22/VLOOKUP($D22,坦克部件!#REF!,4,FALSE)*VLOOKUP($D22&amp;0,所有坦克升星属性,MATCH(Y$3,所有坦克升星属性标头,0),FALSE),0)</f>
        <v>#REF!</v>
      </c>
      <c r="Z22" s="2" t="e">
        <f ca="1">VLOOKUP($D22&amp;$J22,所有坦克升星属性,MATCH(Z$3,所有坦克升星属性标头,0),FALSE)+ROUND(AE22/VLOOKUP($D22,坦克部件!#REF!,4,FALSE)*VLOOKUP($D22&amp;0,所有坦克升星属性,MATCH(Z$3,所有坦克升星属性标头,0),FALSE),0)</f>
        <v>#REF!</v>
      </c>
      <c r="AA22" s="2">
        <f t="shared" ca="1" si="0"/>
        <v>528</v>
      </c>
      <c r="AB22" s="2">
        <f t="shared" ca="1" si="0"/>
        <v>212</v>
      </c>
      <c r="AC22" s="2" t="e">
        <f ca="1">VLOOKUP($D22&amp;$J22,所有坦克升星属性,MATCH(AC$3,所有坦克升星属性标头,0),FALSE)+ROUND(AF22/VLOOKUP($D22,坦克部件!#REF!,4,FALSE)*VLOOKUP($D22&amp;0,所有坦克升星属性,MATCH(AC$3,所有坦克升星属性标头,0),FALSE),0)</f>
        <v>#REF!</v>
      </c>
      <c r="AD22" s="2" t="e">
        <f>(VLOOKUP($S22,坦克部件!#REF!,MATCH("标准值",坦克部件!#REF!,0),FALSE)+VLOOKUP($M22,坦克部件!#REF!,MATCH("标准值",坦克部件!#REF!,0),FALSE))*$P22</f>
        <v>#REF!</v>
      </c>
      <c r="AE22" s="2" t="e">
        <f>(VLOOKUP($S22,坦克部件!#REF!,MATCH("标准值",坦克部件!#REF!,0),FALSE)+VLOOKUP($M22,坦克部件!#REF!,MATCH("标准值",坦克部件!#REF!,0),FALSE))*$P22</f>
        <v>#REF!</v>
      </c>
      <c r="AF22" s="2" t="e">
        <f>(VLOOKUP($S22,坦克部件!#REF!,MATCH("标准值",坦克部件!#REF!,0),FALSE)+VLOOKUP($M22,坦克部件!#REF!,MATCH("标准值",坦克部件!#REF!,0),FALSE))*$P22</f>
        <v>#REF!</v>
      </c>
      <c r="AG22" s="2">
        <f>VLOOKUP($D22,坦克属性统计!$B$3:$AY$33,MATCH(AG$3,坦克属性统计!$B$3:$AY$3,0),FALSE)</f>
        <v>14</v>
      </c>
      <c r="AH22" s="2">
        <f t="shared" si="1"/>
        <v>0.8</v>
      </c>
      <c r="AI22" s="2">
        <f t="shared" si="1"/>
        <v>0</v>
      </c>
      <c r="AJ22" s="2">
        <f t="shared" si="1"/>
        <v>9</v>
      </c>
      <c r="AK22" s="34">
        <f t="shared" si="11"/>
        <v>49.793814432989691</v>
      </c>
      <c r="AL22" s="2" t="e">
        <f ca="1">VLOOKUP($E22&amp;$K22,所有坦克升星属性,MATCH(AL$3,所有坦克升星属性标头,0),FALSE)+ROUND(AQ22/VLOOKUP($E22,坦克部件!#REF!,4,FALSE)*VLOOKUP($E22&amp;0,所有坦克升星属性,MATCH(AL$3,所有坦克升星属性标头,0),FALSE),0)</f>
        <v>#REF!</v>
      </c>
      <c r="AM22" s="2" t="e">
        <f ca="1">VLOOKUP($E22&amp;$K22,所有坦克升星属性,MATCH(AM$3,所有坦克升星属性标头,0),FALSE)+ROUND(AR22/VLOOKUP($E22,坦克部件!#REF!,4,FALSE)*VLOOKUP($E22&amp;0,所有坦克升星属性,MATCH(AM$3,所有坦克升星属性标头,0),FALSE),0)</f>
        <v>#REF!</v>
      </c>
      <c r="AN22" s="2">
        <f t="shared" ca="1" si="2"/>
        <v>528</v>
      </c>
      <c r="AO22" s="2">
        <f t="shared" ca="1" si="2"/>
        <v>238</v>
      </c>
      <c r="AP22" s="2" t="e">
        <f ca="1">VLOOKUP($E22&amp;$K22,所有坦克升星属性,MATCH(AP$3,所有坦克升星属性标头,0),FALSE)+ROUND(AS22/VLOOKUP($E22,坦克部件!#REF!,4,FALSE)*VLOOKUP($E22&amp;0,所有坦克升星属性,MATCH(AP$3,所有坦克升星属性标头,0),FALSE),0)</f>
        <v>#REF!</v>
      </c>
      <c r="AQ22" s="2" t="e">
        <f>(VLOOKUP($T22,坦克部件!#REF!,MATCH("标准值",坦克部件!#REF!,0),FALSE)+VLOOKUP($N22,坦克部件!#REF!,MATCH("标准值",坦克部件!#REF!,0),FALSE))*$Q22</f>
        <v>#REF!</v>
      </c>
      <c r="AR22" s="2" t="e">
        <f>(VLOOKUP($T22,坦克部件!#REF!,MATCH("标准值",坦克部件!#REF!,0),FALSE)+VLOOKUP($N22,坦克部件!#REF!,MATCH("标准值",坦克部件!#REF!,0),FALSE))*$Q22</f>
        <v>#REF!</v>
      </c>
      <c r="AS22" s="2" t="e">
        <f>(VLOOKUP($T22,坦克部件!#REF!,MATCH("标准值",坦克部件!#REF!,0),FALSE)+VLOOKUP($N22,坦克部件!#REF!,MATCH("标准值",坦克部件!#REF!,0),FALSE))*$Q22</f>
        <v>#REF!</v>
      </c>
      <c r="AT22" s="2">
        <f>VLOOKUP($E22,坦克属性统计!$B$3:$AY$33,MATCH(AT$3,坦克属性统计!$B$3:$AY$3,0),FALSE)</f>
        <v>9</v>
      </c>
      <c r="AU22" s="2">
        <f t="shared" si="3"/>
        <v>0.35</v>
      </c>
      <c r="AV22" s="2">
        <f t="shared" si="3"/>
        <v>0</v>
      </c>
      <c r="AW22" s="2">
        <f t="shared" si="3"/>
        <v>3.1</v>
      </c>
      <c r="AX22" s="34" t="e">
        <f t="shared" si="12"/>
        <v>#DIV/0!</v>
      </c>
      <c r="AY22" s="2" t="e">
        <f ca="1">VLOOKUP($F22&amp;$L22,所有坦克升星属性,MATCH(AY$3,所有坦克升星属性标头,0),FALSE)+ROUND(BD22/VLOOKUP($F22,坦克部件!#REF!,4,FALSE)*VLOOKUP($F22&amp;0,所有坦克升星属性,MATCH(AY$3,所有坦克升星属性标头,0),FALSE),0)</f>
        <v>#REF!</v>
      </c>
      <c r="AZ22" s="2" t="e">
        <f ca="1">VLOOKUP($F22&amp;$L22,所有坦克升星属性,MATCH(AZ$3,所有坦克升星属性标头,0),FALSE)+ROUND(BE22/VLOOKUP($F22,坦克部件!#REF!,4,FALSE)*VLOOKUP($F22&amp;0,所有坦克升星属性,MATCH(AZ$3,所有坦克升星属性标头,0),FALSE),0)</f>
        <v>#REF!</v>
      </c>
      <c r="BA22" s="2">
        <f t="shared" ca="1" si="4"/>
        <v>202</v>
      </c>
      <c r="BB22" s="2">
        <f t="shared" ca="1" si="4"/>
        <v>506</v>
      </c>
      <c r="BC22" s="2" t="e">
        <f ca="1">VLOOKUP($F22&amp;$L22,所有坦克升星属性,MATCH(BC$3,所有坦克升星属性标头,0),FALSE)+ROUND(BF22/VLOOKUP($F22,坦克部件!#REF!,4,FALSE)*VLOOKUP($F22&amp;0,所有坦克升星属性,MATCH(BC$3,所有坦克升星属性标头,0),FALSE),0)</f>
        <v>#REF!</v>
      </c>
      <c r="BD22" s="2" t="e">
        <f>(VLOOKUP($U22,坦克部件!#REF!,MATCH("标准值",坦克部件!#REF!,0),FALSE)+VLOOKUP($O22,坦克部件!#REF!,MATCH("标准值",坦克部件!#REF!,0),FALSE))*$R22</f>
        <v>#REF!</v>
      </c>
      <c r="BE22" s="2" t="e">
        <f>(VLOOKUP($U22,坦克部件!#REF!,MATCH("标准值",坦克部件!#REF!,0),FALSE)+VLOOKUP($O22,坦克部件!#REF!,MATCH("标准值",坦克部件!#REF!,0),FALSE))*$R22</f>
        <v>#REF!</v>
      </c>
      <c r="BF22" s="2" t="e">
        <f>(VLOOKUP($U22,坦克部件!#REF!,MATCH("标准值",坦克部件!#REF!,0),FALSE)+VLOOKUP($O22,坦克部件!#REF!,MATCH("标准值",坦克部件!#REF!,0),FALSE))*$R22</f>
        <v>#REF!</v>
      </c>
      <c r="BG22" s="2">
        <f>VLOOKUP($F22,坦克属性统计!$B$3:$AY$33,MATCH(BG$3,坦克属性统计!$B$3:$AY$3,0),FALSE)</f>
        <v>1</v>
      </c>
      <c r="BH22" s="2">
        <f t="shared" si="5"/>
        <v>0</v>
      </c>
      <c r="BI22" s="2">
        <f t="shared" si="5"/>
        <v>5.81</v>
      </c>
      <c r="BJ22" s="2">
        <f t="shared" si="5"/>
        <v>0</v>
      </c>
      <c r="BK22" s="34">
        <f t="shared" si="13"/>
        <v>11.327022375215147</v>
      </c>
      <c r="BM22" s="1" t="e">
        <f t="shared" ca="1" si="6"/>
        <v>#REF!</v>
      </c>
    </row>
    <row r="23" spans="2:65" x14ac:dyDescent="0.3">
      <c r="B23" s="2">
        <v>20</v>
      </c>
      <c r="C23" s="2" t="e">
        <f t="shared" ca="1" si="7"/>
        <v>#REF!</v>
      </c>
      <c r="D23" s="2" t="s">
        <v>611</v>
      </c>
      <c r="E23" s="2" t="s">
        <v>630</v>
      </c>
      <c r="F23" s="2" t="s">
        <v>529</v>
      </c>
      <c r="G23" s="2" t="str">
        <f>VLOOKUP(D23,坦克个性化设定!$B$18:$F$48,5,FALSE)</f>
        <v>轻坦弹夹</v>
      </c>
      <c r="H23" s="2" t="str">
        <f>VLOOKUP(E23,坦克个性化设定!$B$18:$F$48,5,FALSE)</f>
        <v>中坦自动</v>
      </c>
      <c r="I23" s="2" t="str">
        <f>VLOOKUP(F23,坦克个性化设定!$B$18:$F$48,5,FALSE)</f>
        <v>重坦单发</v>
      </c>
      <c r="J23" s="2">
        <v>1</v>
      </c>
      <c r="K23" s="2">
        <v>1</v>
      </c>
      <c r="L23" s="2">
        <v>2</v>
      </c>
      <c r="M23" s="2" t="s">
        <v>1714</v>
      </c>
      <c r="N23" s="2" t="s">
        <v>1714</v>
      </c>
      <c r="O23" s="2" t="s">
        <v>1714</v>
      </c>
      <c r="P23" s="2">
        <v>6</v>
      </c>
      <c r="Q23" s="2">
        <v>6</v>
      </c>
      <c r="R23" s="2">
        <v>6</v>
      </c>
      <c r="S23" s="2">
        <v>30</v>
      </c>
      <c r="T23" s="2">
        <v>30</v>
      </c>
      <c r="U23" s="2">
        <v>30</v>
      </c>
      <c r="V23" s="42" t="e">
        <f t="shared" ca="1" si="8"/>
        <v>#REF!</v>
      </c>
      <c r="W23" s="42" t="e">
        <f t="shared" ca="1" si="9"/>
        <v>#REF!</v>
      </c>
      <c r="X23" s="42" t="e">
        <f t="shared" ca="1" si="10"/>
        <v>#REF!</v>
      </c>
      <c r="Y23" s="2" t="e">
        <f ca="1">VLOOKUP($D23&amp;$J23,所有坦克升星属性,MATCH(Y$3,所有坦克升星属性标头,0),FALSE)+ROUND(AD23/VLOOKUP($D23,坦克部件!#REF!,4,FALSE)*VLOOKUP($D23&amp;0,所有坦克升星属性,MATCH(Y$3,所有坦克升星属性标头,0),FALSE),0)</f>
        <v>#REF!</v>
      </c>
      <c r="Z23" s="2" t="e">
        <f ca="1">VLOOKUP($D23&amp;$J23,所有坦克升星属性,MATCH(Z$3,所有坦克升星属性标头,0),FALSE)+ROUND(AE23/VLOOKUP($D23,坦克部件!#REF!,4,FALSE)*VLOOKUP($D23&amp;0,所有坦克升星属性,MATCH(Z$3,所有坦克升星属性标头,0),FALSE),0)</f>
        <v>#REF!</v>
      </c>
      <c r="AA23" s="2">
        <f t="shared" ca="1" si="0"/>
        <v>529</v>
      </c>
      <c r="AB23" s="2">
        <f t="shared" ca="1" si="0"/>
        <v>211</v>
      </c>
      <c r="AC23" s="2" t="e">
        <f ca="1">VLOOKUP($D23&amp;$J23,所有坦克升星属性,MATCH(AC$3,所有坦克升星属性标头,0),FALSE)+ROUND(AF23/VLOOKUP($D23,坦克部件!#REF!,4,FALSE)*VLOOKUP($D23&amp;0,所有坦克升星属性,MATCH(AC$3,所有坦克升星属性标头,0),FALSE),0)</f>
        <v>#REF!</v>
      </c>
      <c r="AD23" s="2" t="e">
        <f>(VLOOKUP($S23,坦克部件!#REF!,MATCH("标准值",坦克部件!#REF!,0),FALSE)+VLOOKUP($M23,坦克部件!#REF!,MATCH("标准值",坦克部件!#REF!,0),FALSE))*$P23</f>
        <v>#REF!</v>
      </c>
      <c r="AE23" s="2" t="e">
        <f>(VLOOKUP($S23,坦克部件!#REF!,MATCH("标准值",坦克部件!#REF!,0),FALSE)+VLOOKUP($M23,坦克部件!#REF!,MATCH("标准值",坦克部件!#REF!,0),FALSE))*$P23</f>
        <v>#REF!</v>
      </c>
      <c r="AF23" s="2" t="e">
        <f>(VLOOKUP($S23,坦克部件!#REF!,MATCH("标准值",坦克部件!#REF!,0),FALSE)+VLOOKUP($M23,坦克部件!#REF!,MATCH("标准值",坦克部件!#REF!,0),FALSE))*$P23</f>
        <v>#REF!</v>
      </c>
      <c r="AG23" s="2">
        <f>VLOOKUP($D23,坦克属性统计!$B$3:$AY$33,MATCH(AG$3,坦克属性统计!$B$3:$AY$3,0),FALSE)</f>
        <v>18</v>
      </c>
      <c r="AH23" s="2">
        <f t="shared" si="1"/>
        <v>0.6</v>
      </c>
      <c r="AI23" s="2">
        <f t="shared" si="1"/>
        <v>0</v>
      </c>
      <c r="AJ23" s="2">
        <f t="shared" si="1"/>
        <v>12.1</v>
      </c>
      <c r="AK23" s="34">
        <f t="shared" si="11"/>
        <v>58.197309417040366</v>
      </c>
      <c r="AL23" s="2" t="e">
        <f ca="1">VLOOKUP($E23&amp;$K23,所有坦克升星属性,MATCH(AL$3,所有坦克升星属性标头,0),FALSE)+ROUND(AQ23/VLOOKUP($E23,坦克部件!#REF!,4,FALSE)*VLOOKUP($E23&amp;0,所有坦克升星属性,MATCH(AL$3,所有坦克升星属性标头,0),FALSE),0)</f>
        <v>#REF!</v>
      </c>
      <c r="AM23" s="2" t="e">
        <f ca="1">VLOOKUP($E23&amp;$K23,所有坦克升星属性,MATCH(AM$3,所有坦克升星属性标头,0),FALSE)+ROUND(AR23/VLOOKUP($E23,坦克部件!#REF!,4,FALSE)*VLOOKUP($E23&amp;0,所有坦克升星属性,MATCH(AM$3,所有坦克升星属性标头,0),FALSE),0)</f>
        <v>#REF!</v>
      </c>
      <c r="AN23" s="2">
        <f t="shared" ca="1" si="2"/>
        <v>529</v>
      </c>
      <c r="AO23" s="2">
        <f t="shared" ca="1" si="2"/>
        <v>238</v>
      </c>
      <c r="AP23" s="2" t="e">
        <f ca="1">VLOOKUP($E23&amp;$K23,所有坦克升星属性,MATCH(AP$3,所有坦克升星属性标头,0),FALSE)+ROUND(AS23/VLOOKUP($E23,坦克部件!#REF!,4,FALSE)*VLOOKUP($E23&amp;0,所有坦克升星属性,MATCH(AP$3,所有坦克升星属性标头,0),FALSE),0)</f>
        <v>#REF!</v>
      </c>
      <c r="AQ23" s="2" t="e">
        <f>(VLOOKUP($T23,坦克部件!#REF!,MATCH("标准值",坦克部件!#REF!,0),FALSE)+VLOOKUP($N23,坦克部件!#REF!,MATCH("标准值",坦克部件!#REF!,0),FALSE))*$Q23</f>
        <v>#REF!</v>
      </c>
      <c r="AR23" s="2" t="e">
        <f>(VLOOKUP($T23,坦克部件!#REF!,MATCH("标准值",坦克部件!#REF!,0),FALSE)+VLOOKUP($N23,坦克部件!#REF!,MATCH("标准值",坦克部件!#REF!,0),FALSE))*$Q23</f>
        <v>#REF!</v>
      </c>
      <c r="AS23" s="2" t="e">
        <f>(VLOOKUP($T23,坦克部件!#REF!,MATCH("标准值",坦克部件!#REF!,0),FALSE)+VLOOKUP($N23,坦克部件!#REF!,MATCH("标准值",坦克部件!#REF!,0),FALSE))*$Q23</f>
        <v>#REF!</v>
      </c>
      <c r="AT23" s="2">
        <f>VLOOKUP($E23,坦克属性统计!$B$3:$AY$33,MATCH(AT$3,坦克属性统计!$B$3:$AY$3,0),FALSE)</f>
        <v>6</v>
      </c>
      <c r="AU23" s="2">
        <f t="shared" si="3"/>
        <v>0.4</v>
      </c>
      <c r="AV23" s="2">
        <f t="shared" si="3"/>
        <v>2.36</v>
      </c>
      <c r="AW23" s="2">
        <f t="shared" si="3"/>
        <v>0</v>
      </c>
      <c r="AX23" s="34">
        <f t="shared" si="12"/>
        <v>31.423728813559322</v>
      </c>
      <c r="AY23" s="2" t="e">
        <f ca="1">VLOOKUP($F23&amp;$L23,所有坦克升星属性,MATCH(AY$3,所有坦克升星属性标头,0),FALSE)+ROUND(BD23/VLOOKUP($F23,坦克部件!#REF!,4,FALSE)*VLOOKUP($F23&amp;0,所有坦克升星属性,MATCH(AY$3,所有坦克升星属性标头,0),FALSE),0)</f>
        <v>#REF!</v>
      </c>
      <c r="AZ23" s="2" t="e">
        <f ca="1">VLOOKUP($F23&amp;$L23,所有坦克升星属性,MATCH(AZ$3,所有坦克升星属性标头,0),FALSE)+ROUND(BE23/VLOOKUP($F23,坦克部件!#REF!,4,FALSE)*VLOOKUP($F23&amp;0,所有坦克升星属性,MATCH(AZ$3,所有坦克升星属性标头,0),FALSE),0)</f>
        <v>#REF!</v>
      </c>
      <c r="BA23" s="2">
        <f t="shared" ca="1" si="4"/>
        <v>202</v>
      </c>
      <c r="BB23" s="2">
        <f t="shared" ca="1" si="4"/>
        <v>506</v>
      </c>
      <c r="BC23" s="2" t="e">
        <f ca="1">VLOOKUP($F23&amp;$L23,所有坦克升星属性,MATCH(BC$3,所有坦克升星属性标头,0),FALSE)+ROUND(BF23/VLOOKUP($F23,坦克部件!#REF!,4,FALSE)*VLOOKUP($F23&amp;0,所有坦克升星属性,MATCH(BC$3,所有坦克升星属性标头,0),FALSE),0)</f>
        <v>#REF!</v>
      </c>
      <c r="BD23" s="2" t="e">
        <f>(VLOOKUP($U23,坦克部件!#REF!,MATCH("标准值",坦克部件!#REF!,0),FALSE)+VLOOKUP($O23,坦克部件!#REF!,MATCH("标准值",坦克部件!#REF!,0),FALSE))*$R23</f>
        <v>#REF!</v>
      </c>
      <c r="BE23" s="2" t="e">
        <f>(VLOOKUP($U23,坦克部件!#REF!,MATCH("标准值",坦克部件!#REF!,0),FALSE)+VLOOKUP($O23,坦克部件!#REF!,MATCH("标准值",坦克部件!#REF!,0),FALSE))*$R23</f>
        <v>#REF!</v>
      </c>
      <c r="BF23" s="2" t="e">
        <f>(VLOOKUP($U23,坦克部件!#REF!,MATCH("标准值",坦克部件!#REF!,0),FALSE)+VLOOKUP($O23,坦克部件!#REF!,MATCH("标准值",坦克部件!#REF!,0),FALSE))*$R23</f>
        <v>#REF!</v>
      </c>
      <c r="BG23" s="2">
        <f>VLOOKUP($F23,坦克属性统计!$B$3:$AY$33,MATCH(BG$3,坦克属性统计!$B$3:$AY$3,0),FALSE)</f>
        <v>1</v>
      </c>
      <c r="BH23" s="2">
        <f t="shared" si="5"/>
        <v>0</v>
      </c>
      <c r="BI23" s="2">
        <f t="shared" si="5"/>
        <v>5.81</v>
      </c>
      <c r="BJ23" s="2">
        <f t="shared" si="5"/>
        <v>0</v>
      </c>
      <c r="BK23" s="34">
        <f t="shared" si="13"/>
        <v>11.327022375215147</v>
      </c>
      <c r="BM23" s="1" t="e">
        <f t="shared" ca="1" si="6"/>
        <v>#REF!</v>
      </c>
    </row>
    <row r="24" spans="2:65" x14ac:dyDescent="0.3">
      <c r="B24" s="2">
        <v>21</v>
      </c>
      <c r="C24" s="2" t="e">
        <f t="shared" ca="1" si="7"/>
        <v>#REF!</v>
      </c>
      <c r="D24" s="2" t="s">
        <v>611</v>
      </c>
      <c r="E24" s="2" t="s">
        <v>630</v>
      </c>
      <c r="F24" s="2" t="s">
        <v>649</v>
      </c>
      <c r="G24" s="2" t="str">
        <f>VLOOKUP(D24,坦克个性化设定!$B$18:$F$48,5,FALSE)</f>
        <v>轻坦弹夹</v>
      </c>
      <c r="H24" s="2" t="str">
        <f>VLOOKUP(E24,坦克个性化设定!$B$18:$F$48,5,FALSE)</f>
        <v>中坦自动</v>
      </c>
      <c r="I24" s="2" t="str">
        <f>VLOOKUP(F24,坦克个性化设定!$B$18:$F$48,5,FALSE)</f>
        <v>重坦单发</v>
      </c>
      <c r="J24" s="2">
        <v>1</v>
      </c>
      <c r="K24" s="2">
        <v>1</v>
      </c>
      <c r="L24" s="2">
        <v>1</v>
      </c>
      <c r="M24" s="2" t="s">
        <v>1714</v>
      </c>
      <c r="N24" s="2" t="s">
        <v>1714</v>
      </c>
      <c r="O24" s="2" t="s">
        <v>1714</v>
      </c>
      <c r="P24" s="2">
        <v>6</v>
      </c>
      <c r="Q24" s="2">
        <v>6</v>
      </c>
      <c r="R24" s="2">
        <v>6</v>
      </c>
      <c r="S24" s="2">
        <v>30</v>
      </c>
      <c r="T24" s="2">
        <v>30</v>
      </c>
      <c r="U24" s="2">
        <v>30</v>
      </c>
      <c r="V24" s="42" t="e">
        <f t="shared" ca="1" si="8"/>
        <v>#REF!</v>
      </c>
      <c r="W24" s="42" t="e">
        <f t="shared" ca="1" si="9"/>
        <v>#REF!</v>
      </c>
      <c r="X24" s="42" t="e">
        <f t="shared" ca="1" si="10"/>
        <v>#REF!</v>
      </c>
      <c r="Y24" s="2" t="e">
        <f ca="1">VLOOKUP($D24&amp;$J24,所有坦克升星属性,MATCH(Y$3,所有坦克升星属性标头,0),FALSE)+ROUND(AD24/VLOOKUP($D24,坦克部件!#REF!,4,FALSE)*VLOOKUP($D24&amp;0,所有坦克升星属性,MATCH(Y$3,所有坦克升星属性标头,0),FALSE),0)</f>
        <v>#REF!</v>
      </c>
      <c r="Z24" s="2" t="e">
        <f ca="1">VLOOKUP($D24&amp;$J24,所有坦克升星属性,MATCH(Z$3,所有坦克升星属性标头,0),FALSE)+ROUND(AE24/VLOOKUP($D24,坦克部件!#REF!,4,FALSE)*VLOOKUP($D24&amp;0,所有坦克升星属性,MATCH(Z$3,所有坦克升星属性标头,0),FALSE),0)</f>
        <v>#REF!</v>
      </c>
      <c r="AA24" s="2">
        <f t="shared" ref="AA24:AB37" ca="1" si="14">VLOOKUP($D24&amp;$J24,所有坦克升星属性,MATCH(AA$3,所有坦克升星属性标头,0),FALSE)</f>
        <v>529</v>
      </c>
      <c r="AB24" s="2">
        <f t="shared" ca="1" si="14"/>
        <v>211</v>
      </c>
      <c r="AC24" s="2" t="e">
        <f ca="1">VLOOKUP($D24&amp;$J24,所有坦克升星属性,MATCH(AC$3,所有坦克升星属性标头,0),FALSE)+ROUND(AF24/VLOOKUP($D24,坦克部件!#REF!,4,FALSE)*VLOOKUP($D24&amp;0,所有坦克升星属性,MATCH(AC$3,所有坦克升星属性标头,0),FALSE),0)</f>
        <v>#REF!</v>
      </c>
      <c r="AD24" s="2" t="e">
        <f>(VLOOKUP($S24,坦克部件!#REF!,MATCH("标准值",坦克部件!#REF!,0),FALSE)+VLOOKUP($M24,坦克部件!#REF!,MATCH("标准值",坦克部件!#REF!,0),FALSE))*$P24</f>
        <v>#REF!</v>
      </c>
      <c r="AE24" s="2" t="e">
        <f>(VLOOKUP($S24,坦克部件!#REF!,MATCH("标准值",坦克部件!#REF!,0),FALSE)+VLOOKUP($M24,坦克部件!#REF!,MATCH("标准值",坦克部件!#REF!,0),FALSE))*$P24</f>
        <v>#REF!</v>
      </c>
      <c r="AF24" s="2" t="e">
        <f>(VLOOKUP($S24,坦克部件!#REF!,MATCH("标准值",坦克部件!#REF!,0),FALSE)+VLOOKUP($M24,坦克部件!#REF!,MATCH("标准值",坦克部件!#REF!,0),FALSE))*$P24</f>
        <v>#REF!</v>
      </c>
      <c r="AG24" s="2">
        <f>VLOOKUP($D24,坦克属性统计!$B$3:$AY$33,MATCH(AG$3,坦克属性统计!$B$3:$AY$3,0),FALSE)</f>
        <v>18</v>
      </c>
      <c r="AH24" s="2">
        <f t="shared" ref="AH24:AJ37" si="15">VLOOKUP($D24&amp;$J24,所有坦克升星属性,MATCH(AH$3,所有坦克升星属性标头,0),FALSE)</f>
        <v>0.6</v>
      </c>
      <c r="AI24" s="2">
        <f t="shared" si="15"/>
        <v>0</v>
      </c>
      <c r="AJ24" s="2">
        <f t="shared" si="15"/>
        <v>12.1</v>
      </c>
      <c r="AK24" s="34">
        <f t="shared" si="11"/>
        <v>58.197309417040366</v>
      </c>
      <c r="AL24" s="2" t="e">
        <f ca="1">VLOOKUP($E24&amp;$K24,所有坦克升星属性,MATCH(AL$3,所有坦克升星属性标头,0),FALSE)+ROUND(AQ24/VLOOKUP($E24,坦克部件!#REF!,4,FALSE)*VLOOKUP($E24&amp;0,所有坦克升星属性,MATCH(AL$3,所有坦克升星属性标头,0),FALSE),0)</f>
        <v>#REF!</v>
      </c>
      <c r="AM24" s="2" t="e">
        <f ca="1">VLOOKUP($E24&amp;$K24,所有坦克升星属性,MATCH(AM$3,所有坦克升星属性标头,0),FALSE)+ROUND(AR24/VLOOKUP($E24,坦克部件!#REF!,4,FALSE)*VLOOKUP($E24&amp;0,所有坦克升星属性,MATCH(AM$3,所有坦克升星属性标头,0),FALSE),0)</f>
        <v>#REF!</v>
      </c>
      <c r="AN24" s="2">
        <f t="shared" ref="AN24:AO37" ca="1" si="16">VLOOKUP($E24&amp;$K24,所有坦克升星属性,MATCH(AN$3,所有坦克升星属性标头,0),FALSE)</f>
        <v>529</v>
      </c>
      <c r="AO24" s="2">
        <f t="shared" ca="1" si="16"/>
        <v>238</v>
      </c>
      <c r="AP24" s="2" t="e">
        <f ca="1">VLOOKUP($E24&amp;$K24,所有坦克升星属性,MATCH(AP$3,所有坦克升星属性标头,0),FALSE)+ROUND(AS24/VLOOKUP($E24,坦克部件!#REF!,4,FALSE)*VLOOKUP($E24&amp;0,所有坦克升星属性,MATCH(AP$3,所有坦克升星属性标头,0),FALSE),0)</f>
        <v>#REF!</v>
      </c>
      <c r="AQ24" s="2" t="e">
        <f>(VLOOKUP($T24,坦克部件!#REF!,MATCH("标准值",坦克部件!#REF!,0),FALSE)+VLOOKUP($N24,坦克部件!#REF!,MATCH("标准值",坦克部件!#REF!,0),FALSE))*$Q24</f>
        <v>#REF!</v>
      </c>
      <c r="AR24" s="2" t="e">
        <f>(VLOOKUP($T24,坦克部件!#REF!,MATCH("标准值",坦克部件!#REF!,0),FALSE)+VLOOKUP($N24,坦克部件!#REF!,MATCH("标准值",坦克部件!#REF!,0),FALSE))*$Q24</f>
        <v>#REF!</v>
      </c>
      <c r="AS24" s="2" t="e">
        <f>(VLOOKUP($T24,坦克部件!#REF!,MATCH("标准值",坦克部件!#REF!,0),FALSE)+VLOOKUP($N24,坦克部件!#REF!,MATCH("标准值",坦克部件!#REF!,0),FALSE))*$Q24</f>
        <v>#REF!</v>
      </c>
      <c r="AT24" s="2">
        <f>VLOOKUP($E24,坦克属性统计!$B$3:$AY$33,MATCH(AT$3,坦克属性统计!$B$3:$AY$3,0),FALSE)</f>
        <v>6</v>
      </c>
      <c r="AU24" s="2">
        <f t="shared" ref="AU24:AW37" si="17">VLOOKUP($E24&amp;$K24,所有坦克升星属性,MATCH(AU$3,所有坦克升星属性标头,0),FALSE)</f>
        <v>0.4</v>
      </c>
      <c r="AV24" s="2">
        <f t="shared" si="17"/>
        <v>2.36</v>
      </c>
      <c r="AW24" s="2">
        <f t="shared" si="17"/>
        <v>0</v>
      </c>
      <c r="AX24" s="34">
        <f t="shared" si="12"/>
        <v>31.423728813559322</v>
      </c>
      <c r="AY24" s="2" t="e">
        <f ca="1">VLOOKUP($F24&amp;$L24,所有坦克升星属性,MATCH(AY$3,所有坦克升星属性标头,0),FALSE)+ROUND(BD24/VLOOKUP($F24,坦克部件!#REF!,4,FALSE)*VLOOKUP($F24&amp;0,所有坦克升星属性,MATCH(AY$3,所有坦克升星属性标头,0),FALSE),0)</f>
        <v>#REF!</v>
      </c>
      <c r="AZ24" s="2" t="e">
        <f ca="1">VLOOKUP($F24&amp;$L24,所有坦克升星属性,MATCH(AZ$3,所有坦克升星属性标头,0),FALSE)+ROUND(BE24/VLOOKUP($F24,坦克部件!#REF!,4,FALSE)*VLOOKUP($F24&amp;0,所有坦克升星属性,MATCH(AZ$3,所有坦克升星属性标头,0),FALSE),0)</f>
        <v>#REF!</v>
      </c>
      <c r="BA24" s="2">
        <f t="shared" ref="BA24:BB37" ca="1" si="18">VLOOKUP($F24&amp;$L24,所有坦克升星属性,MATCH(BA$3,所有坦克升星属性标头,0),FALSE)</f>
        <v>203</v>
      </c>
      <c r="BB24" s="2">
        <f t="shared" ca="1" si="18"/>
        <v>506</v>
      </c>
      <c r="BC24" s="2" t="e">
        <f ca="1">VLOOKUP($F24&amp;$L24,所有坦克升星属性,MATCH(BC$3,所有坦克升星属性标头,0),FALSE)+ROUND(BF24/VLOOKUP($F24,坦克部件!#REF!,4,FALSE)*VLOOKUP($F24&amp;0,所有坦克升星属性,MATCH(BC$3,所有坦克升星属性标头,0),FALSE),0)</f>
        <v>#REF!</v>
      </c>
      <c r="BD24" s="2" t="e">
        <f>(VLOOKUP($U24,坦克部件!#REF!,MATCH("标准值",坦克部件!#REF!,0),FALSE)+VLOOKUP($O24,坦克部件!#REF!,MATCH("标准值",坦克部件!#REF!,0),FALSE))*$R24</f>
        <v>#REF!</v>
      </c>
      <c r="BE24" s="2" t="e">
        <f>(VLOOKUP($U24,坦克部件!#REF!,MATCH("标准值",坦克部件!#REF!,0),FALSE)+VLOOKUP($O24,坦克部件!#REF!,MATCH("标准值",坦克部件!#REF!,0),FALSE))*$R24</f>
        <v>#REF!</v>
      </c>
      <c r="BF24" s="2" t="e">
        <f>(VLOOKUP($U24,坦克部件!#REF!,MATCH("标准值",坦克部件!#REF!,0),FALSE)+VLOOKUP($O24,坦克部件!#REF!,MATCH("标准值",坦克部件!#REF!,0),FALSE))*$R24</f>
        <v>#REF!</v>
      </c>
      <c r="BG24" s="2">
        <f>VLOOKUP($F24,坦克属性统计!$B$3:$AY$33,MATCH(BG$3,坦克属性统计!$B$3:$AY$3,0),FALSE)</f>
        <v>1</v>
      </c>
      <c r="BH24" s="2">
        <f t="shared" ref="BH24:BJ37" si="19">VLOOKUP($F24&amp;$L24,所有坦克升星属性,MATCH(BH$3,所有坦克升星属性标头,0),FALSE)</f>
        <v>0</v>
      </c>
      <c r="BI24" s="2">
        <f t="shared" si="19"/>
        <v>5.91</v>
      </c>
      <c r="BJ24" s="2">
        <f t="shared" si="19"/>
        <v>0</v>
      </c>
      <c r="BK24" s="34">
        <f t="shared" si="13"/>
        <v>11.152284263959391</v>
      </c>
      <c r="BM24" s="1" t="e">
        <f t="shared" ca="1" si="6"/>
        <v>#REF!</v>
      </c>
    </row>
    <row r="25" spans="2:65" x14ac:dyDescent="0.3">
      <c r="B25" s="2">
        <v>22</v>
      </c>
      <c r="C25" s="2" t="e">
        <f t="shared" ca="1" si="7"/>
        <v>#N/A</v>
      </c>
      <c r="D25" s="2" t="s">
        <v>615</v>
      </c>
      <c r="E25" s="2" t="s">
        <v>630</v>
      </c>
      <c r="F25" s="2" t="s">
        <v>649</v>
      </c>
      <c r="G25" s="2" t="str">
        <f>VLOOKUP(D25,坦克个性化设定!$B$18:$F$48,5,FALSE)</f>
        <v>轻坦弹夹</v>
      </c>
      <c r="H25" s="2" t="str">
        <f>VLOOKUP(E25,坦克个性化设定!$B$18:$F$48,5,FALSE)</f>
        <v>中坦自动</v>
      </c>
      <c r="I25" s="2" t="str">
        <f>VLOOKUP(F25,坦克个性化设定!$B$18:$F$48,5,FALSE)</f>
        <v>重坦单发</v>
      </c>
      <c r="J25" s="2">
        <v>0</v>
      </c>
      <c r="K25" s="2">
        <v>2</v>
      </c>
      <c r="L25" s="2">
        <v>1</v>
      </c>
      <c r="M25" s="2" t="s">
        <v>1716</v>
      </c>
      <c r="N25" s="2" t="s">
        <v>1717</v>
      </c>
      <c r="O25" s="2" t="s">
        <v>1717</v>
      </c>
      <c r="P25" s="2">
        <v>6</v>
      </c>
      <c r="Q25" s="2">
        <v>6</v>
      </c>
      <c r="R25" s="2">
        <v>6</v>
      </c>
      <c r="S25" s="2">
        <v>40</v>
      </c>
      <c r="T25" s="2">
        <v>30</v>
      </c>
      <c r="U25" s="2">
        <v>30</v>
      </c>
      <c r="V25" s="42" t="e">
        <f t="shared" ca="1" si="8"/>
        <v>#N/A</v>
      </c>
      <c r="W25" s="42" t="e">
        <f t="shared" ca="1" si="9"/>
        <v>#REF!</v>
      </c>
      <c r="X25" s="42" t="e">
        <f t="shared" ca="1" si="10"/>
        <v>#REF!</v>
      </c>
      <c r="Y25" s="2" t="e">
        <f ca="1">VLOOKUP($D25&amp;$J25,所有坦克升星属性,MATCH(Y$3,所有坦克升星属性标头,0),FALSE)+ROUND(AD25/VLOOKUP($D25,坦克部件!#REF!,4,FALSE)*VLOOKUP($D25&amp;0,所有坦克升星属性,MATCH(Y$3,所有坦克升星属性标头,0),FALSE),0)</f>
        <v>#N/A</v>
      </c>
      <c r="Z25" s="2" t="e">
        <f ca="1">VLOOKUP($D25&amp;$J25,所有坦克升星属性,MATCH(Z$3,所有坦克升星属性标头,0),FALSE)+ROUND(AE25/VLOOKUP($D25,坦克部件!#REF!,4,FALSE)*VLOOKUP($D25&amp;0,所有坦克升星属性,MATCH(Z$3,所有坦克升星属性标头,0),FALSE),0)</f>
        <v>#N/A</v>
      </c>
      <c r="AA25" s="2" t="e">
        <f t="shared" ca="1" si="14"/>
        <v>#N/A</v>
      </c>
      <c r="AB25" s="2" t="e">
        <f t="shared" ca="1" si="14"/>
        <v>#N/A</v>
      </c>
      <c r="AC25" s="2" t="e">
        <f ca="1">VLOOKUP($D25&amp;$J25,所有坦克升星属性,MATCH(AC$3,所有坦克升星属性标头,0),FALSE)+ROUND(AF25/VLOOKUP($D25,坦克部件!#REF!,4,FALSE)*VLOOKUP($D25&amp;0,所有坦克升星属性,MATCH(AC$3,所有坦克升星属性标头,0),FALSE),0)</f>
        <v>#N/A</v>
      </c>
      <c r="AD25" s="2" t="e">
        <f>(VLOOKUP($S25,坦克部件!#REF!,MATCH("标准值",坦克部件!#REF!,0),FALSE)+VLOOKUP($M25,坦克部件!#REF!,MATCH("标准值",坦克部件!#REF!,0),FALSE))*$P25</f>
        <v>#REF!</v>
      </c>
      <c r="AE25" s="2" t="e">
        <f>(VLOOKUP($S25,坦克部件!#REF!,MATCH("标准值",坦克部件!#REF!,0),FALSE)+VLOOKUP($M25,坦克部件!#REF!,MATCH("标准值",坦克部件!#REF!,0),FALSE))*$P25</f>
        <v>#REF!</v>
      </c>
      <c r="AF25" s="2" t="e">
        <f>(VLOOKUP($S25,坦克部件!#REF!,MATCH("标准值",坦克部件!#REF!,0),FALSE)+VLOOKUP($M25,坦克部件!#REF!,MATCH("标准值",坦克部件!#REF!,0),FALSE))*$P25</f>
        <v>#REF!</v>
      </c>
      <c r="AG25" s="2">
        <f>VLOOKUP($D25,坦克属性统计!$B$3:$AY$33,MATCH(AG$3,坦克属性统计!$B$3:$AY$3,0),FALSE)</f>
        <v>14</v>
      </c>
      <c r="AH25" s="2">
        <f t="shared" si="15"/>
        <v>0.6</v>
      </c>
      <c r="AI25" s="2">
        <f t="shared" si="15"/>
        <v>0</v>
      </c>
      <c r="AJ25" s="2">
        <f t="shared" si="15"/>
        <v>9.8000000000000007</v>
      </c>
      <c r="AK25" s="34">
        <f t="shared" si="11"/>
        <v>55.522727272727273</v>
      </c>
      <c r="AL25" s="2" t="e">
        <f ca="1">VLOOKUP($E25&amp;$K25,所有坦克升星属性,MATCH(AL$3,所有坦克升星属性标头,0),FALSE)+ROUND(AQ25/VLOOKUP($E25,坦克部件!#REF!,4,FALSE)*VLOOKUP($E25&amp;0,所有坦克升星属性,MATCH(AL$3,所有坦克升星属性标头,0),FALSE),0)</f>
        <v>#REF!</v>
      </c>
      <c r="AM25" s="2" t="e">
        <f ca="1">VLOOKUP($E25&amp;$K25,所有坦克升星属性,MATCH(AM$3,所有坦克升星属性标头,0),FALSE)+ROUND(AR25/VLOOKUP($E25,坦克部件!#REF!,4,FALSE)*VLOOKUP($E25&amp;0,所有坦克升星属性,MATCH(AM$3,所有坦克升星属性标头,0),FALSE),0)</f>
        <v>#REF!</v>
      </c>
      <c r="AN25" s="2">
        <f t="shared" ca="1" si="16"/>
        <v>551</v>
      </c>
      <c r="AO25" s="2">
        <f t="shared" ca="1" si="16"/>
        <v>248</v>
      </c>
      <c r="AP25" s="2" t="e">
        <f ca="1">VLOOKUP($E25&amp;$K25,所有坦克升星属性,MATCH(AP$3,所有坦克升星属性标头,0),FALSE)+ROUND(AS25/VLOOKUP($E25,坦克部件!#REF!,4,FALSE)*VLOOKUP($E25&amp;0,所有坦克升星属性,MATCH(AP$3,所有坦克升星属性标头,0),FALSE),0)</f>
        <v>#REF!</v>
      </c>
      <c r="AQ25" s="2" t="e">
        <f>(VLOOKUP($T25,坦克部件!#REF!,MATCH("标准值",坦克部件!#REF!,0),FALSE)+VLOOKUP($N25,坦克部件!#REF!,MATCH("标准值",坦克部件!#REF!,0),FALSE))*$Q25</f>
        <v>#REF!</v>
      </c>
      <c r="AR25" s="2" t="e">
        <f>(VLOOKUP($T25,坦克部件!#REF!,MATCH("标准值",坦克部件!#REF!,0),FALSE)+VLOOKUP($N25,坦克部件!#REF!,MATCH("标准值",坦克部件!#REF!,0),FALSE))*$Q25</f>
        <v>#REF!</v>
      </c>
      <c r="AS25" s="2" t="e">
        <f>(VLOOKUP($T25,坦克部件!#REF!,MATCH("标准值",坦克部件!#REF!,0),FALSE)+VLOOKUP($N25,坦克部件!#REF!,MATCH("标准值",坦克部件!#REF!,0),FALSE))*$Q25</f>
        <v>#REF!</v>
      </c>
      <c r="AT25" s="2">
        <f>VLOOKUP($E25,坦克属性统计!$B$3:$AY$33,MATCH(AT$3,坦克属性统计!$B$3:$AY$3,0),FALSE)</f>
        <v>6</v>
      </c>
      <c r="AU25" s="2">
        <f t="shared" si="17"/>
        <v>0.4</v>
      </c>
      <c r="AV25" s="2">
        <f t="shared" si="17"/>
        <v>2.3199999999999998</v>
      </c>
      <c r="AW25" s="2">
        <f t="shared" si="17"/>
        <v>0</v>
      </c>
      <c r="AX25" s="34">
        <f t="shared" si="12"/>
        <v>31.862068965517242</v>
      </c>
      <c r="AY25" s="2" t="e">
        <f ca="1">VLOOKUP($F25&amp;$L25,所有坦克升星属性,MATCH(AY$3,所有坦克升星属性标头,0),FALSE)+ROUND(BD25/VLOOKUP($F25,坦克部件!#REF!,4,FALSE)*VLOOKUP($F25&amp;0,所有坦克升星属性,MATCH(AY$3,所有坦克升星属性标头,0),FALSE),0)</f>
        <v>#REF!</v>
      </c>
      <c r="AZ25" s="2" t="e">
        <f ca="1">VLOOKUP($F25&amp;$L25,所有坦克升星属性,MATCH(AZ$3,所有坦克升星属性标头,0),FALSE)+ROUND(BE25/VLOOKUP($F25,坦克部件!#REF!,4,FALSE)*VLOOKUP($F25&amp;0,所有坦克升星属性,MATCH(AZ$3,所有坦克升星属性标头,0),FALSE),0)</f>
        <v>#REF!</v>
      </c>
      <c r="BA25" s="2">
        <f t="shared" ca="1" si="18"/>
        <v>203</v>
      </c>
      <c r="BB25" s="2">
        <f t="shared" ca="1" si="18"/>
        <v>506</v>
      </c>
      <c r="BC25" s="2" t="e">
        <f ca="1">VLOOKUP($F25&amp;$L25,所有坦克升星属性,MATCH(BC$3,所有坦克升星属性标头,0),FALSE)+ROUND(BF25/VLOOKUP($F25,坦克部件!#REF!,4,FALSE)*VLOOKUP($F25&amp;0,所有坦克升星属性,MATCH(BC$3,所有坦克升星属性标头,0),FALSE),0)</f>
        <v>#REF!</v>
      </c>
      <c r="BD25" s="2" t="e">
        <f>(VLOOKUP($U25,坦克部件!#REF!,MATCH("标准值",坦克部件!#REF!,0),FALSE)+VLOOKUP($O25,坦克部件!#REF!,MATCH("标准值",坦克部件!#REF!,0),FALSE))*$R25</f>
        <v>#REF!</v>
      </c>
      <c r="BE25" s="2" t="e">
        <f>(VLOOKUP($U25,坦克部件!#REF!,MATCH("标准值",坦克部件!#REF!,0),FALSE)+VLOOKUP($O25,坦克部件!#REF!,MATCH("标准值",坦克部件!#REF!,0),FALSE))*$R25</f>
        <v>#REF!</v>
      </c>
      <c r="BF25" s="2" t="e">
        <f>(VLOOKUP($U25,坦克部件!#REF!,MATCH("标准值",坦克部件!#REF!,0),FALSE)+VLOOKUP($O25,坦克部件!#REF!,MATCH("标准值",坦克部件!#REF!,0),FALSE))*$R25</f>
        <v>#REF!</v>
      </c>
      <c r="BG25" s="2">
        <f>VLOOKUP($F25,坦克属性统计!$B$3:$AY$33,MATCH(BG$3,坦克属性统计!$B$3:$AY$3,0),FALSE)</f>
        <v>1</v>
      </c>
      <c r="BH25" s="2">
        <f t="shared" si="19"/>
        <v>0</v>
      </c>
      <c r="BI25" s="2">
        <f t="shared" si="19"/>
        <v>5.91</v>
      </c>
      <c r="BJ25" s="2">
        <f t="shared" si="19"/>
        <v>0</v>
      </c>
      <c r="BK25" s="34">
        <f t="shared" si="13"/>
        <v>11.152284263959391</v>
      </c>
      <c r="BM25" s="1" t="e">
        <f t="shared" ca="1" si="6"/>
        <v>#REF!</v>
      </c>
    </row>
    <row r="26" spans="2:65" x14ac:dyDescent="0.3">
      <c r="B26" s="2">
        <v>23</v>
      </c>
      <c r="C26" s="2" t="e">
        <f t="shared" ref="C26:C37" ca="1" si="20">MAX(V26:X26)*0.65+MIN(V26:X26)*0.1225+(SUM(V26:X26)-MAX(V26:X26)-MIN(V26:X26))*0.2275</f>
        <v>#N/A</v>
      </c>
      <c r="D26" s="2" t="s">
        <v>615</v>
      </c>
      <c r="E26" s="2" t="s">
        <v>634</v>
      </c>
      <c r="F26" s="2" t="s">
        <v>653</v>
      </c>
      <c r="G26" s="2" t="str">
        <f>VLOOKUP(D26,坦克个性化设定!$B$18:$F$48,5,FALSE)</f>
        <v>轻坦弹夹</v>
      </c>
      <c r="H26" s="2" t="str">
        <f>VLOOKUP(E26,坦克个性化设定!$B$18:$F$48,5,FALSE)</f>
        <v>中坦自动</v>
      </c>
      <c r="I26" s="2" t="str">
        <f>VLOOKUP(F26,坦克个性化设定!$B$18:$F$48,5,FALSE)</f>
        <v>重坦单发</v>
      </c>
      <c r="J26" s="2">
        <v>1</v>
      </c>
      <c r="K26" s="2">
        <v>0</v>
      </c>
      <c r="L26" s="2">
        <v>0</v>
      </c>
      <c r="M26" s="2" t="s">
        <v>1716</v>
      </c>
      <c r="N26" s="2" t="s">
        <v>1716</v>
      </c>
      <c r="O26" s="2" t="s">
        <v>1716</v>
      </c>
      <c r="P26" s="2">
        <v>6</v>
      </c>
      <c r="Q26" s="2">
        <v>6</v>
      </c>
      <c r="R26" s="2">
        <v>6</v>
      </c>
      <c r="S26" s="2">
        <v>40</v>
      </c>
      <c r="T26" s="2">
        <v>40</v>
      </c>
      <c r="U26" s="2">
        <v>39</v>
      </c>
      <c r="V26" s="42" t="e">
        <f t="shared" ref="V26:V37" ca="1" si="21">ROUND(SQRT(Y26*Z26*AK26/2+AVERAGE(AA26,AB26)*AC26*100),0)</f>
        <v>#N/A</v>
      </c>
      <c r="W26" s="42" t="e">
        <f t="shared" ref="W26:W37" ca="1" si="22">ROUND(SQRT(AL26*AM26*AX26/2+AVERAGE(AN26,AO26)*AP26*100),0)</f>
        <v>#N/A</v>
      </c>
      <c r="X26" s="42" t="e">
        <f t="shared" ref="X26:X37" ca="1" si="23">ROUND(SQRT(AY26*AZ26*BK26/2+AVERAGE(BA26,BB26)*BC26*100),0)</f>
        <v>#N/A</v>
      </c>
      <c r="Y26" s="2" t="e">
        <f ca="1">VLOOKUP($D26&amp;$J26,所有坦克升星属性,MATCH(Y$3,所有坦克升星属性标头,0),FALSE)+ROUND(AD26/VLOOKUP($D26,坦克部件!#REF!,4,FALSE)*VLOOKUP($D26&amp;0,所有坦克升星属性,MATCH(Y$3,所有坦克升星属性标头,0),FALSE),0)</f>
        <v>#N/A</v>
      </c>
      <c r="Z26" s="2" t="e">
        <f ca="1">VLOOKUP($D26&amp;$J26,所有坦克升星属性,MATCH(Z$3,所有坦克升星属性标头,0),FALSE)+ROUND(AE26/VLOOKUP($D26,坦克部件!#REF!,4,FALSE)*VLOOKUP($D26&amp;0,所有坦克升星属性,MATCH(Z$3,所有坦克升星属性标头,0),FALSE),0)</f>
        <v>#N/A</v>
      </c>
      <c r="AA26" s="2" t="e">
        <f t="shared" ca="1" si="14"/>
        <v>#N/A</v>
      </c>
      <c r="AB26" s="2" t="e">
        <f t="shared" ca="1" si="14"/>
        <v>#N/A</v>
      </c>
      <c r="AC26" s="2" t="e">
        <f ca="1">VLOOKUP($D26&amp;$J26,所有坦克升星属性,MATCH(AC$3,所有坦克升星属性标头,0),FALSE)+ROUND(AF26/VLOOKUP($D26,坦克部件!#REF!,4,FALSE)*VLOOKUP($D26&amp;0,所有坦克升星属性,MATCH(AC$3,所有坦克升星属性标头,0),FALSE),0)</f>
        <v>#N/A</v>
      </c>
      <c r="AD26" s="2" t="e">
        <f>(VLOOKUP($S26,坦克部件!#REF!,MATCH("标准值",坦克部件!#REF!,0),FALSE)+VLOOKUP($M26,坦克部件!#REF!,MATCH("标准值",坦克部件!#REF!,0),FALSE))*$P26</f>
        <v>#REF!</v>
      </c>
      <c r="AE26" s="2" t="e">
        <f>(VLOOKUP($S26,坦克部件!#REF!,MATCH("标准值",坦克部件!#REF!,0),FALSE)+VLOOKUP($M26,坦克部件!#REF!,MATCH("标准值",坦克部件!#REF!,0),FALSE))*$P26</f>
        <v>#REF!</v>
      </c>
      <c r="AF26" s="2" t="e">
        <f>(VLOOKUP($S26,坦克部件!#REF!,MATCH("标准值",坦克部件!#REF!,0),FALSE)+VLOOKUP($M26,坦克部件!#REF!,MATCH("标准值",坦克部件!#REF!,0),FALSE))*$P26</f>
        <v>#REF!</v>
      </c>
      <c r="AG26" s="2">
        <f>VLOOKUP($D26,坦克属性统计!$B$3:$AY$33,MATCH(AG$3,坦克属性统计!$B$3:$AY$3,0),FALSE)</f>
        <v>14</v>
      </c>
      <c r="AH26" s="2">
        <f t="shared" si="15"/>
        <v>0.6</v>
      </c>
      <c r="AI26" s="2">
        <f t="shared" si="15"/>
        <v>0</v>
      </c>
      <c r="AJ26" s="2">
        <f t="shared" si="15"/>
        <v>9.5</v>
      </c>
      <c r="AK26" s="34">
        <f t="shared" ref="AK26:AK37" si="24">IF(LEN(G26)=5,(60-(AG26-1)*AH26)/AI26+AG26,IF(RIGHT(G26,2)="弹夹",((60-(AG26-1)*AH26)/(AJ26+(AG26-1)*AH26)+1)*AG26,60/AI26+AG26))</f>
        <v>56.242774566473997</v>
      </c>
      <c r="AL26" s="2" t="e">
        <f ca="1">VLOOKUP($E26&amp;$K26,所有坦克升星属性,MATCH(AL$3,所有坦克升星属性标头,0),FALSE)+ROUND(AQ26/VLOOKUP($E26,坦克部件!#REF!,4,FALSE)*VLOOKUP($E26&amp;0,所有坦克升星属性,MATCH(AL$3,所有坦克升星属性标头,0),FALSE),0)</f>
        <v>#N/A</v>
      </c>
      <c r="AM26" s="2" t="e">
        <f ca="1">VLOOKUP($E26&amp;$K26,所有坦克升星属性,MATCH(AM$3,所有坦克升星属性标头,0),FALSE)+ROUND(AR26/VLOOKUP($E26,坦克部件!#REF!,4,FALSE)*VLOOKUP($E26&amp;0,所有坦克升星属性,MATCH(AM$3,所有坦克升星属性标头,0),FALSE),0)</f>
        <v>#N/A</v>
      </c>
      <c r="AN26" s="2" t="e">
        <f t="shared" ca="1" si="16"/>
        <v>#N/A</v>
      </c>
      <c r="AO26" s="2" t="e">
        <f t="shared" ca="1" si="16"/>
        <v>#N/A</v>
      </c>
      <c r="AP26" s="2" t="e">
        <f ca="1">VLOOKUP($E26&amp;$K26,所有坦克升星属性,MATCH(AP$3,所有坦克升星属性标头,0),FALSE)+ROUND(AS26/VLOOKUP($E26,坦克部件!#REF!,4,FALSE)*VLOOKUP($E26&amp;0,所有坦克升星属性,MATCH(AP$3,所有坦克升星属性标头,0),FALSE),0)</f>
        <v>#N/A</v>
      </c>
      <c r="AQ26" s="2" t="e">
        <f>(VLOOKUP($T26,坦克部件!#REF!,MATCH("标准值",坦克部件!#REF!,0),FALSE)+VLOOKUP($N26,坦克部件!#REF!,MATCH("标准值",坦克部件!#REF!,0),FALSE))*$Q26</f>
        <v>#REF!</v>
      </c>
      <c r="AR26" s="2" t="e">
        <f>(VLOOKUP($T26,坦克部件!#REF!,MATCH("标准值",坦克部件!#REF!,0),FALSE)+VLOOKUP($N26,坦克部件!#REF!,MATCH("标准值",坦克部件!#REF!,0),FALSE))*$Q26</f>
        <v>#REF!</v>
      </c>
      <c r="AS26" s="2" t="e">
        <f>(VLOOKUP($T26,坦克部件!#REF!,MATCH("标准值",坦克部件!#REF!,0),FALSE)+VLOOKUP($N26,坦克部件!#REF!,MATCH("标准值",坦克部件!#REF!,0),FALSE))*$Q26</f>
        <v>#REF!</v>
      </c>
      <c r="AT26" s="2">
        <f>VLOOKUP($E26,坦克属性统计!$B$3:$AY$33,MATCH(AT$3,坦克属性统计!$B$3:$AY$3,0),FALSE)</f>
        <v>6</v>
      </c>
      <c r="AU26" s="2">
        <f t="shared" si="17"/>
        <v>0.32</v>
      </c>
      <c r="AV26" s="2">
        <f t="shared" si="17"/>
        <v>0</v>
      </c>
      <c r="AW26" s="2">
        <f t="shared" si="17"/>
        <v>2.4</v>
      </c>
      <c r="AX26" s="34" t="e">
        <f t="shared" ref="AX26:AX37" si="25">IF(LEN(H26)=5,(60-(AT26-1)*AU26)/AV26+AT26,IF(RIGHT(H26,2)="弹夹",((60-(AT26-1)*AU26)/(AW26+(AT26-1)*AU26)+1)*AT26,60/AV26+AT26))</f>
        <v>#DIV/0!</v>
      </c>
      <c r="AY26" s="2" t="e">
        <f ca="1">VLOOKUP($F26&amp;$L26,所有坦克升星属性,MATCH(AY$3,所有坦克升星属性标头,0),FALSE)+ROUND(BD26/VLOOKUP($F26,坦克部件!#REF!,4,FALSE)*VLOOKUP($F26&amp;0,所有坦克升星属性,MATCH(AY$3,所有坦克升星属性标头,0),FALSE),0)</f>
        <v>#N/A</v>
      </c>
      <c r="AZ26" s="2" t="e">
        <f ca="1">VLOOKUP($F26&amp;$L26,所有坦克升星属性,MATCH(AZ$3,所有坦克升星属性标头,0),FALSE)+ROUND(BE26/VLOOKUP($F26,坦克部件!#REF!,4,FALSE)*VLOOKUP($F26&amp;0,所有坦克升星属性,MATCH(AZ$3,所有坦克升星属性标头,0),FALSE),0)</f>
        <v>#N/A</v>
      </c>
      <c r="BA26" s="2" t="e">
        <f t="shared" ca="1" si="18"/>
        <v>#N/A</v>
      </c>
      <c r="BB26" s="2" t="e">
        <f t="shared" ca="1" si="18"/>
        <v>#N/A</v>
      </c>
      <c r="BC26" s="2" t="e">
        <f ca="1">VLOOKUP($F26&amp;$L26,所有坦克升星属性,MATCH(BC$3,所有坦克升星属性标头,0),FALSE)+ROUND(BF26/VLOOKUP($F26,坦克部件!#REF!,4,FALSE)*VLOOKUP($F26&amp;0,所有坦克升星属性,MATCH(BC$3,所有坦克升星属性标头,0),FALSE),0)</f>
        <v>#N/A</v>
      </c>
      <c r="BD26" s="2" t="e">
        <f>(VLOOKUP($U26,坦克部件!#REF!,MATCH("标准值",坦克部件!#REF!,0),FALSE)+VLOOKUP($O26,坦克部件!#REF!,MATCH("标准值",坦克部件!#REF!,0),FALSE))*$R26</f>
        <v>#REF!</v>
      </c>
      <c r="BE26" s="2" t="e">
        <f>(VLOOKUP($U26,坦克部件!#REF!,MATCH("标准值",坦克部件!#REF!,0),FALSE)+VLOOKUP($O26,坦克部件!#REF!,MATCH("标准值",坦克部件!#REF!,0),FALSE))*$R26</f>
        <v>#REF!</v>
      </c>
      <c r="BF26" s="2" t="e">
        <f>(VLOOKUP($U26,坦克部件!#REF!,MATCH("标准值",坦克部件!#REF!,0),FALSE)+VLOOKUP($O26,坦克部件!#REF!,MATCH("标准值",坦克部件!#REF!,0),FALSE))*$R26</f>
        <v>#REF!</v>
      </c>
      <c r="BG26" s="2">
        <f>VLOOKUP($F26,坦克属性统计!$B$3:$AY$33,MATCH(BG$3,坦克属性统计!$B$3:$AY$3,0),FALSE)</f>
        <v>1</v>
      </c>
      <c r="BH26" s="2">
        <f t="shared" si="19"/>
        <v>0</v>
      </c>
      <c r="BI26" s="2">
        <f t="shared" si="19"/>
        <v>6</v>
      </c>
      <c r="BJ26" s="2">
        <f t="shared" si="19"/>
        <v>0</v>
      </c>
      <c r="BK26" s="34">
        <f t="shared" ref="BK26:BK37" si="26">IF(LEN(I26)=5,(60-(BG26-1)*BH26)/BI26+BG26,IF(RIGHT(I26,2)="弹夹",((60-(BG26-1)*BH26)/(BJ26+(BG26-1)*BH26)+1)*BG26,60/BI26+BG26))</f>
        <v>11</v>
      </c>
      <c r="BM26" s="1" t="e">
        <f t="shared" ca="1" si="6"/>
        <v>#N/A</v>
      </c>
    </row>
    <row r="27" spans="2:65" x14ac:dyDescent="0.3">
      <c r="B27" s="2">
        <v>24</v>
      </c>
      <c r="C27" s="2" t="e">
        <f t="shared" ca="1" si="20"/>
        <v>#N/A</v>
      </c>
      <c r="D27" s="2" t="s">
        <v>618</v>
      </c>
      <c r="E27" s="2" t="s">
        <v>634</v>
      </c>
      <c r="F27" s="2" t="s">
        <v>653</v>
      </c>
      <c r="G27" s="2" t="str">
        <f>VLOOKUP(D27,坦克个性化设定!$B$18:$F$48,5,FALSE)</f>
        <v>轻坦弹夹</v>
      </c>
      <c r="H27" s="2" t="str">
        <f>VLOOKUP(E27,坦克个性化设定!$B$18:$F$48,5,FALSE)</f>
        <v>中坦自动</v>
      </c>
      <c r="I27" s="2" t="str">
        <f>VLOOKUP(F27,坦克个性化设定!$B$18:$F$48,5,FALSE)</f>
        <v>重坦单发</v>
      </c>
      <c r="J27" s="2">
        <v>0</v>
      </c>
      <c r="K27" s="2">
        <v>1</v>
      </c>
      <c r="L27" s="2">
        <v>0</v>
      </c>
      <c r="M27" s="2" t="s">
        <v>1718</v>
      </c>
      <c r="N27" s="2" t="s">
        <v>1718</v>
      </c>
      <c r="O27" s="2" t="s">
        <v>1716</v>
      </c>
      <c r="P27" s="2">
        <v>6</v>
      </c>
      <c r="Q27" s="2">
        <v>6</v>
      </c>
      <c r="R27" s="2">
        <v>6</v>
      </c>
      <c r="S27" s="2">
        <v>40</v>
      </c>
      <c r="T27" s="2">
        <v>40</v>
      </c>
      <c r="U27" s="2">
        <v>40</v>
      </c>
      <c r="V27" s="42" t="e">
        <f t="shared" ca="1" si="21"/>
        <v>#N/A</v>
      </c>
      <c r="W27" s="42" t="e">
        <f t="shared" ca="1" si="22"/>
        <v>#N/A</v>
      </c>
      <c r="X27" s="42" t="e">
        <f t="shared" ca="1" si="23"/>
        <v>#N/A</v>
      </c>
      <c r="Y27" s="2" t="e">
        <f ca="1">VLOOKUP($D27&amp;$J27,所有坦克升星属性,MATCH(Y$3,所有坦克升星属性标头,0),FALSE)+ROUND(AD27/VLOOKUP($D27,坦克部件!#REF!,4,FALSE)*VLOOKUP($D27&amp;0,所有坦克升星属性,MATCH(Y$3,所有坦克升星属性标头,0),FALSE),0)</f>
        <v>#N/A</v>
      </c>
      <c r="Z27" s="2" t="e">
        <f ca="1">VLOOKUP($D27&amp;$J27,所有坦克升星属性,MATCH(Z$3,所有坦克升星属性标头,0),FALSE)+ROUND(AE27/VLOOKUP($D27,坦克部件!#REF!,4,FALSE)*VLOOKUP($D27&amp;0,所有坦克升星属性,MATCH(Z$3,所有坦克升星属性标头,0),FALSE),0)</f>
        <v>#N/A</v>
      </c>
      <c r="AA27" s="2" t="e">
        <f t="shared" ca="1" si="14"/>
        <v>#N/A</v>
      </c>
      <c r="AB27" s="2" t="e">
        <f t="shared" ca="1" si="14"/>
        <v>#N/A</v>
      </c>
      <c r="AC27" s="2" t="e">
        <f ca="1">VLOOKUP($D27&amp;$J27,所有坦克升星属性,MATCH(AC$3,所有坦克升星属性标头,0),FALSE)+ROUND(AF27/VLOOKUP($D27,坦克部件!#REF!,4,FALSE)*VLOOKUP($D27&amp;0,所有坦克升星属性,MATCH(AC$3,所有坦克升星属性标头,0),FALSE),0)</f>
        <v>#N/A</v>
      </c>
      <c r="AD27" s="2" t="e">
        <f>(VLOOKUP($S27,坦克部件!#REF!,MATCH("标准值",坦克部件!#REF!,0),FALSE)+VLOOKUP($M27,坦克部件!#REF!,MATCH("标准值",坦克部件!#REF!,0),FALSE))*$P27</f>
        <v>#REF!</v>
      </c>
      <c r="AE27" s="2" t="e">
        <f>(VLOOKUP($S27,坦克部件!#REF!,MATCH("标准值",坦克部件!#REF!,0),FALSE)+VLOOKUP($M27,坦克部件!#REF!,MATCH("标准值",坦克部件!#REF!,0),FALSE))*$P27</f>
        <v>#REF!</v>
      </c>
      <c r="AF27" s="2" t="e">
        <f>(VLOOKUP($S27,坦克部件!#REF!,MATCH("标准值",坦克部件!#REF!,0),FALSE)+VLOOKUP($M27,坦克部件!#REF!,MATCH("标准值",坦克部件!#REF!,0),FALSE))*$P27</f>
        <v>#REF!</v>
      </c>
      <c r="AG27" s="2">
        <f>VLOOKUP($D27,坦克属性统计!$B$3:$AY$33,MATCH(AG$3,坦克属性统计!$B$3:$AY$3,0),FALSE)</f>
        <v>18</v>
      </c>
      <c r="AH27" s="2">
        <f t="shared" si="15"/>
        <v>0.8</v>
      </c>
      <c r="AI27" s="2">
        <f t="shared" si="15"/>
        <v>0</v>
      </c>
      <c r="AJ27" s="2">
        <f t="shared" si="15"/>
        <v>12.6</v>
      </c>
      <c r="AK27" s="34">
        <f t="shared" si="24"/>
        <v>49.877862595419842</v>
      </c>
      <c r="AL27" s="2" t="e">
        <f ca="1">VLOOKUP($E27&amp;$K27,所有坦克升星属性,MATCH(AL$3,所有坦克升星属性标头,0),FALSE)+ROUND(AQ27/VLOOKUP($E27,坦克部件!#REF!,4,FALSE)*VLOOKUP($E27&amp;0,所有坦克升星属性,MATCH(AL$3,所有坦克升星属性标头,0),FALSE),0)</f>
        <v>#N/A</v>
      </c>
      <c r="AM27" s="2" t="e">
        <f ca="1">VLOOKUP($E27&amp;$K27,所有坦克升星属性,MATCH(AM$3,所有坦克升星属性标头,0),FALSE)+ROUND(AR27/VLOOKUP($E27,坦克部件!#REF!,4,FALSE)*VLOOKUP($E27&amp;0,所有坦克升星属性,MATCH(AM$3,所有坦克升星属性标头,0),FALSE),0)</f>
        <v>#N/A</v>
      </c>
      <c r="AN27" s="2" t="e">
        <f t="shared" ca="1" si="16"/>
        <v>#N/A</v>
      </c>
      <c r="AO27" s="2" t="e">
        <f t="shared" ca="1" si="16"/>
        <v>#N/A</v>
      </c>
      <c r="AP27" s="2" t="e">
        <f ca="1">VLOOKUP($E27&amp;$K27,所有坦克升星属性,MATCH(AP$3,所有坦克升星属性标头,0),FALSE)+ROUND(AS27/VLOOKUP($E27,坦克部件!#REF!,4,FALSE)*VLOOKUP($E27&amp;0,所有坦克升星属性,MATCH(AP$3,所有坦克升星属性标头,0),FALSE),0)</f>
        <v>#N/A</v>
      </c>
      <c r="AQ27" s="2" t="e">
        <f>(VLOOKUP($T27,坦克部件!#REF!,MATCH("标准值",坦克部件!#REF!,0),FALSE)+VLOOKUP($N27,坦克部件!#REF!,MATCH("标准值",坦克部件!#REF!,0),FALSE))*$Q27</f>
        <v>#REF!</v>
      </c>
      <c r="AR27" s="2" t="e">
        <f>(VLOOKUP($T27,坦克部件!#REF!,MATCH("标准值",坦克部件!#REF!,0),FALSE)+VLOOKUP($N27,坦克部件!#REF!,MATCH("标准值",坦克部件!#REF!,0),FALSE))*$Q27</f>
        <v>#REF!</v>
      </c>
      <c r="AS27" s="2" t="e">
        <f>(VLOOKUP($T27,坦克部件!#REF!,MATCH("标准值",坦克部件!#REF!,0),FALSE)+VLOOKUP($N27,坦克部件!#REF!,MATCH("标准值",坦克部件!#REF!,0),FALSE))*$Q27</f>
        <v>#REF!</v>
      </c>
      <c r="AT27" s="2">
        <f>VLOOKUP($E27,坦克属性统计!$B$3:$AY$33,MATCH(AT$3,坦克属性统计!$B$3:$AY$3,0),FALSE)</f>
        <v>6</v>
      </c>
      <c r="AU27" s="2">
        <f t="shared" si="17"/>
        <v>0.36</v>
      </c>
      <c r="AV27" s="2">
        <f t="shared" si="17"/>
        <v>0</v>
      </c>
      <c r="AW27" s="2">
        <f t="shared" si="17"/>
        <v>2.4</v>
      </c>
      <c r="AX27" s="34" t="e">
        <f t="shared" si="25"/>
        <v>#DIV/0!</v>
      </c>
      <c r="AY27" s="2" t="e">
        <f ca="1">VLOOKUP($F27&amp;$L27,所有坦克升星属性,MATCH(AY$3,所有坦克升星属性标头,0),FALSE)+ROUND(BD27/VLOOKUP($F27,坦克部件!#REF!,4,FALSE)*VLOOKUP($F27&amp;0,所有坦克升星属性,MATCH(AY$3,所有坦克升星属性标头,0),FALSE),0)</f>
        <v>#N/A</v>
      </c>
      <c r="AZ27" s="2" t="e">
        <f ca="1">VLOOKUP($F27&amp;$L27,所有坦克升星属性,MATCH(AZ$3,所有坦克升星属性标头,0),FALSE)+ROUND(BE27/VLOOKUP($F27,坦克部件!#REF!,4,FALSE)*VLOOKUP($F27&amp;0,所有坦克升星属性,MATCH(AZ$3,所有坦克升星属性标头,0),FALSE),0)</f>
        <v>#N/A</v>
      </c>
      <c r="BA27" s="2" t="e">
        <f t="shared" ca="1" si="18"/>
        <v>#N/A</v>
      </c>
      <c r="BB27" s="2" t="e">
        <f t="shared" ca="1" si="18"/>
        <v>#N/A</v>
      </c>
      <c r="BC27" s="2" t="e">
        <f ca="1">VLOOKUP($F27&amp;$L27,所有坦克升星属性,MATCH(BC$3,所有坦克升星属性标头,0),FALSE)+ROUND(BF27/VLOOKUP($F27,坦克部件!#REF!,4,FALSE)*VLOOKUP($F27&amp;0,所有坦克升星属性,MATCH(BC$3,所有坦克升星属性标头,0),FALSE),0)</f>
        <v>#N/A</v>
      </c>
      <c r="BD27" s="2" t="e">
        <f>(VLOOKUP($U27,坦克部件!#REF!,MATCH("标准值",坦克部件!#REF!,0),FALSE)+VLOOKUP($O27,坦克部件!#REF!,MATCH("标准值",坦克部件!#REF!,0),FALSE))*$R27</f>
        <v>#REF!</v>
      </c>
      <c r="BE27" s="2" t="e">
        <f>(VLOOKUP($U27,坦克部件!#REF!,MATCH("标准值",坦克部件!#REF!,0),FALSE)+VLOOKUP($O27,坦克部件!#REF!,MATCH("标准值",坦克部件!#REF!,0),FALSE))*$R27</f>
        <v>#REF!</v>
      </c>
      <c r="BF27" s="2" t="e">
        <f>(VLOOKUP($U27,坦克部件!#REF!,MATCH("标准值",坦克部件!#REF!,0),FALSE)+VLOOKUP($O27,坦克部件!#REF!,MATCH("标准值",坦克部件!#REF!,0),FALSE))*$R27</f>
        <v>#REF!</v>
      </c>
      <c r="BG27" s="2">
        <f>VLOOKUP($F27,坦克属性统计!$B$3:$AY$33,MATCH(BG$3,坦克属性统计!$B$3:$AY$3,0),FALSE)</f>
        <v>1</v>
      </c>
      <c r="BH27" s="2">
        <f t="shared" si="19"/>
        <v>0</v>
      </c>
      <c r="BI27" s="2">
        <f t="shared" si="19"/>
        <v>6</v>
      </c>
      <c r="BJ27" s="2">
        <f t="shared" si="19"/>
        <v>0</v>
      </c>
      <c r="BK27" s="34">
        <f t="shared" si="26"/>
        <v>11</v>
      </c>
      <c r="BM27" s="1" t="e">
        <f t="shared" ca="1" si="6"/>
        <v>#N/A</v>
      </c>
    </row>
    <row r="28" spans="2:65" x14ac:dyDescent="0.3">
      <c r="B28" s="2">
        <v>25</v>
      </c>
      <c r="C28" s="2" t="e">
        <f t="shared" ca="1" si="20"/>
        <v>#N/A</v>
      </c>
      <c r="D28" s="2" t="s">
        <v>618</v>
      </c>
      <c r="E28" s="2" t="s">
        <v>634</v>
      </c>
      <c r="F28" s="2" t="s">
        <v>653</v>
      </c>
      <c r="G28" s="2" t="str">
        <f>VLOOKUP(D28,坦克个性化设定!$B$18:$F$48,5,FALSE)</f>
        <v>轻坦弹夹</v>
      </c>
      <c r="H28" s="2" t="str">
        <f>VLOOKUP(E28,坦克个性化设定!$B$18:$F$48,5,FALSE)</f>
        <v>中坦自动</v>
      </c>
      <c r="I28" s="2" t="str">
        <f>VLOOKUP(F28,坦克个性化设定!$B$18:$F$48,5,FALSE)</f>
        <v>重坦单发</v>
      </c>
      <c r="J28" s="2">
        <v>1</v>
      </c>
      <c r="K28" s="2">
        <v>1</v>
      </c>
      <c r="L28" s="2">
        <v>0</v>
      </c>
      <c r="M28" s="2" t="s">
        <v>1719</v>
      </c>
      <c r="N28" s="2" t="s">
        <v>1718</v>
      </c>
      <c r="O28" s="2" t="s">
        <v>1718</v>
      </c>
      <c r="P28" s="2">
        <v>6</v>
      </c>
      <c r="Q28" s="2">
        <v>6</v>
      </c>
      <c r="R28" s="2">
        <v>6</v>
      </c>
      <c r="S28" s="2">
        <v>40</v>
      </c>
      <c r="T28" s="2">
        <v>40</v>
      </c>
      <c r="U28" s="2">
        <v>40</v>
      </c>
      <c r="V28" s="42" t="e">
        <f t="shared" ca="1" si="21"/>
        <v>#N/A</v>
      </c>
      <c r="W28" s="42" t="e">
        <f t="shared" ca="1" si="22"/>
        <v>#N/A</v>
      </c>
      <c r="X28" s="42" t="e">
        <f t="shared" ca="1" si="23"/>
        <v>#N/A</v>
      </c>
      <c r="Y28" s="2" t="e">
        <f ca="1">VLOOKUP($D28&amp;$J28,所有坦克升星属性,MATCH(Y$3,所有坦克升星属性标头,0),FALSE)+ROUND(AD28/VLOOKUP($D28,坦克部件!#REF!,4,FALSE)*VLOOKUP($D28&amp;0,所有坦克升星属性,MATCH(Y$3,所有坦克升星属性标头,0),FALSE),0)</f>
        <v>#N/A</v>
      </c>
      <c r="Z28" s="2" t="e">
        <f ca="1">VLOOKUP($D28&amp;$J28,所有坦克升星属性,MATCH(Z$3,所有坦克升星属性标头,0),FALSE)+ROUND(AE28/VLOOKUP($D28,坦克部件!#REF!,4,FALSE)*VLOOKUP($D28&amp;0,所有坦克升星属性,MATCH(Z$3,所有坦克升星属性标头,0),FALSE),0)</f>
        <v>#N/A</v>
      </c>
      <c r="AA28" s="2" t="e">
        <f t="shared" ca="1" si="14"/>
        <v>#N/A</v>
      </c>
      <c r="AB28" s="2" t="e">
        <f t="shared" ca="1" si="14"/>
        <v>#N/A</v>
      </c>
      <c r="AC28" s="2" t="e">
        <f ca="1">VLOOKUP($D28&amp;$J28,所有坦克升星属性,MATCH(AC$3,所有坦克升星属性标头,0),FALSE)+ROUND(AF28/VLOOKUP($D28,坦克部件!#REF!,4,FALSE)*VLOOKUP($D28&amp;0,所有坦克升星属性,MATCH(AC$3,所有坦克升星属性标头,0),FALSE),0)</f>
        <v>#N/A</v>
      </c>
      <c r="AD28" s="2" t="e">
        <f>(VLOOKUP($S28,坦克部件!#REF!,MATCH("标准值",坦克部件!#REF!,0),FALSE)+VLOOKUP($M28,坦克部件!#REF!,MATCH("标准值",坦克部件!#REF!,0),FALSE))*$P28</f>
        <v>#REF!</v>
      </c>
      <c r="AE28" s="2" t="e">
        <f>(VLOOKUP($S28,坦克部件!#REF!,MATCH("标准值",坦克部件!#REF!,0),FALSE)+VLOOKUP($M28,坦克部件!#REF!,MATCH("标准值",坦克部件!#REF!,0),FALSE))*$P28</f>
        <v>#REF!</v>
      </c>
      <c r="AF28" s="2" t="e">
        <f>(VLOOKUP($S28,坦克部件!#REF!,MATCH("标准值",坦克部件!#REF!,0),FALSE)+VLOOKUP($M28,坦克部件!#REF!,MATCH("标准值",坦克部件!#REF!,0),FALSE))*$P28</f>
        <v>#REF!</v>
      </c>
      <c r="AG28" s="2">
        <f>VLOOKUP($D28,坦克属性统计!$B$3:$AY$33,MATCH(AG$3,坦克属性统计!$B$3:$AY$3,0),FALSE)</f>
        <v>18</v>
      </c>
      <c r="AH28" s="2">
        <f t="shared" si="15"/>
        <v>0.8</v>
      </c>
      <c r="AI28" s="2">
        <f t="shared" si="15"/>
        <v>0</v>
      </c>
      <c r="AJ28" s="2">
        <f t="shared" si="15"/>
        <v>12.1</v>
      </c>
      <c r="AK28" s="34">
        <f t="shared" si="24"/>
        <v>50.498054474708169</v>
      </c>
      <c r="AL28" s="2" t="e">
        <f ca="1">VLOOKUP($E28&amp;$K28,所有坦克升星属性,MATCH(AL$3,所有坦克升星属性标头,0),FALSE)+ROUND(AQ28/VLOOKUP($E28,坦克部件!#REF!,4,FALSE)*VLOOKUP($E28&amp;0,所有坦克升星属性,MATCH(AL$3,所有坦克升星属性标头,0),FALSE),0)</f>
        <v>#N/A</v>
      </c>
      <c r="AM28" s="2" t="e">
        <f ca="1">VLOOKUP($E28&amp;$K28,所有坦克升星属性,MATCH(AM$3,所有坦克升星属性标头,0),FALSE)+ROUND(AR28/VLOOKUP($E28,坦克部件!#REF!,4,FALSE)*VLOOKUP($E28&amp;0,所有坦克升星属性,MATCH(AM$3,所有坦克升星属性标头,0),FALSE),0)</f>
        <v>#N/A</v>
      </c>
      <c r="AN28" s="2" t="e">
        <f t="shared" ca="1" si="16"/>
        <v>#N/A</v>
      </c>
      <c r="AO28" s="2" t="e">
        <f t="shared" ca="1" si="16"/>
        <v>#N/A</v>
      </c>
      <c r="AP28" s="2" t="e">
        <f ca="1">VLOOKUP($E28&amp;$K28,所有坦克升星属性,MATCH(AP$3,所有坦克升星属性标头,0),FALSE)+ROUND(AS28/VLOOKUP($E28,坦克部件!#REF!,4,FALSE)*VLOOKUP($E28&amp;0,所有坦克升星属性,MATCH(AP$3,所有坦克升星属性标头,0),FALSE),0)</f>
        <v>#N/A</v>
      </c>
      <c r="AQ28" s="2" t="e">
        <f>(VLOOKUP($T28,坦克部件!#REF!,MATCH("标准值",坦克部件!#REF!,0),FALSE)+VLOOKUP($N28,坦克部件!#REF!,MATCH("标准值",坦克部件!#REF!,0),FALSE))*$Q28</f>
        <v>#REF!</v>
      </c>
      <c r="AR28" s="2" t="e">
        <f>(VLOOKUP($T28,坦克部件!#REF!,MATCH("标准值",坦克部件!#REF!,0),FALSE)+VLOOKUP($N28,坦克部件!#REF!,MATCH("标准值",坦克部件!#REF!,0),FALSE))*$Q28</f>
        <v>#REF!</v>
      </c>
      <c r="AS28" s="2" t="e">
        <f>(VLOOKUP($T28,坦克部件!#REF!,MATCH("标准值",坦克部件!#REF!,0),FALSE)+VLOOKUP($N28,坦克部件!#REF!,MATCH("标准值",坦克部件!#REF!,0),FALSE))*$Q28</f>
        <v>#REF!</v>
      </c>
      <c r="AT28" s="2">
        <f>VLOOKUP($E28,坦克属性统计!$B$3:$AY$33,MATCH(AT$3,坦克属性统计!$B$3:$AY$3,0),FALSE)</f>
        <v>6</v>
      </c>
      <c r="AU28" s="2">
        <f t="shared" si="17"/>
        <v>0.36</v>
      </c>
      <c r="AV28" s="2">
        <f t="shared" si="17"/>
        <v>0</v>
      </c>
      <c r="AW28" s="2">
        <f t="shared" si="17"/>
        <v>2.4</v>
      </c>
      <c r="AX28" s="34" t="e">
        <f t="shared" si="25"/>
        <v>#DIV/0!</v>
      </c>
      <c r="AY28" s="2" t="e">
        <f ca="1">VLOOKUP($F28&amp;$L28,所有坦克升星属性,MATCH(AY$3,所有坦克升星属性标头,0),FALSE)+ROUND(BD28/VLOOKUP($F28,坦克部件!#REF!,4,FALSE)*VLOOKUP($F28&amp;0,所有坦克升星属性,MATCH(AY$3,所有坦克升星属性标头,0),FALSE),0)</f>
        <v>#N/A</v>
      </c>
      <c r="AZ28" s="2" t="e">
        <f ca="1">VLOOKUP($F28&amp;$L28,所有坦克升星属性,MATCH(AZ$3,所有坦克升星属性标头,0),FALSE)+ROUND(BE28/VLOOKUP($F28,坦克部件!#REF!,4,FALSE)*VLOOKUP($F28&amp;0,所有坦克升星属性,MATCH(AZ$3,所有坦克升星属性标头,0),FALSE),0)</f>
        <v>#N/A</v>
      </c>
      <c r="BA28" s="2" t="e">
        <f t="shared" ca="1" si="18"/>
        <v>#N/A</v>
      </c>
      <c r="BB28" s="2" t="e">
        <f t="shared" ca="1" si="18"/>
        <v>#N/A</v>
      </c>
      <c r="BC28" s="2" t="e">
        <f ca="1">VLOOKUP($F28&amp;$L28,所有坦克升星属性,MATCH(BC$3,所有坦克升星属性标头,0),FALSE)+ROUND(BF28/VLOOKUP($F28,坦克部件!#REF!,4,FALSE)*VLOOKUP($F28&amp;0,所有坦克升星属性,MATCH(BC$3,所有坦克升星属性标头,0),FALSE),0)</f>
        <v>#N/A</v>
      </c>
      <c r="BD28" s="2" t="e">
        <f>(VLOOKUP($U28,坦克部件!#REF!,MATCH("标准值",坦克部件!#REF!,0),FALSE)+VLOOKUP($O28,坦克部件!#REF!,MATCH("标准值",坦克部件!#REF!,0),FALSE))*$R28</f>
        <v>#REF!</v>
      </c>
      <c r="BE28" s="2" t="e">
        <f>(VLOOKUP($U28,坦克部件!#REF!,MATCH("标准值",坦克部件!#REF!,0),FALSE)+VLOOKUP($O28,坦克部件!#REF!,MATCH("标准值",坦克部件!#REF!,0),FALSE))*$R28</f>
        <v>#REF!</v>
      </c>
      <c r="BF28" s="2" t="e">
        <f>(VLOOKUP($U28,坦克部件!#REF!,MATCH("标准值",坦克部件!#REF!,0),FALSE)+VLOOKUP($O28,坦克部件!#REF!,MATCH("标准值",坦克部件!#REF!,0),FALSE))*$R28</f>
        <v>#REF!</v>
      </c>
      <c r="BG28" s="2">
        <f>VLOOKUP($F28,坦克属性统计!$B$3:$AY$33,MATCH(BG$3,坦克属性统计!$B$3:$AY$3,0),FALSE)</f>
        <v>1</v>
      </c>
      <c r="BH28" s="2">
        <f t="shared" si="19"/>
        <v>0</v>
      </c>
      <c r="BI28" s="2">
        <f t="shared" si="19"/>
        <v>6</v>
      </c>
      <c r="BJ28" s="2">
        <f t="shared" si="19"/>
        <v>0</v>
      </c>
      <c r="BK28" s="34">
        <f t="shared" si="26"/>
        <v>11</v>
      </c>
      <c r="BM28" s="1" t="e">
        <f t="shared" ca="1" si="6"/>
        <v>#N/A</v>
      </c>
    </row>
    <row r="29" spans="2:65" x14ac:dyDescent="0.3">
      <c r="B29" s="2">
        <v>26</v>
      </c>
      <c r="C29" s="2" t="e">
        <f t="shared" ca="1" si="20"/>
        <v>#N/A</v>
      </c>
      <c r="D29" s="2" t="s">
        <v>618</v>
      </c>
      <c r="E29" s="2" t="s">
        <v>636</v>
      </c>
      <c r="F29" s="2" t="s">
        <v>653</v>
      </c>
      <c r="G29" s="2" t="str">
        <f>VLOOKUP(D29,坦克个性化设定!$B$18:$F$48,5,FALSE)</f>
        <v>轻坦弹夹</v>
      </c>
      <c r="H29" s="2" t="str">
        <f>VLOOKUP(E29,坦克个性化设定!$B$18:$F$48,5,FALSE)</f>
        <v>中坦自动</v>
      </c>
      <c r="I29" s="2" t="str">
        <f>VLOOKUP(F29,坦克个性化设定!$B$18:$F$48,5,FALSE)</f>
        <v>重坦单发</v>
      </c>
      <c r="J29" s="2">
        <v>1</v>
      </c>
      <c r="K29" s="2">
        <v>0</v>
      </c>
      <c r="L29" s="2">
        <v>1</v>
      </c>
      <c r="M29" s="2" t="s">
        <v>1720</v>
      </c>
      <c r="N29" s="2" t="s">
        <v>1719</v>
      </c>
      <c r="O29" s="2" t="s">
        <v>1719</v>
      </c>
      <c r="P29" s="2">
        <v>6</v>
      </c>
      <c r="Q29" s="2">
        <v>6</v>
      </c>
      <c r="R29" s="2">
        <v>6</v>
      </c>
      <c r="S29" s="2">
        <v>40</v>
      </c>
      <c r="T29" s="2">
        <v>40</v>
      </c>
      <c r="U29" s="2">
        <v>40</v>
      </c>
      <c r="V29" s="42" t="e">
        <f t="shared" ca="1" si="21"/>
        <v>#N/A</v>
      </c>
      <c r="W29" s="42" t="e">
        <f t="shared" ca="1" si="22"/>
        <v>#N/A</v>
      </c>
      <c r="X29" s="42" t="e">
        <f t="shared" ca="1" si="23"/>
        <v>#N/A</v>
      </c>
      <c r="Y29" s="2" t="e">
        <f ca="1">VLOOKUP($D29&amp;$J29,所有坦克升星属性,MATCH(Y$3,所有坦克升星属性标头,0),FALSE)+ROUND(AD29/VLOOKUP($D29,坦克部件!#REF!,4,FALSE)*VLOOKUP($D29&amp;0,所有坦克升星属性,MATCH(Y$3,所有坦克升星属性标头,0),FALSE),0)</f>
        <v>#N/A</v>
      </c>
      <c r="Z29" s="2" t="e">
        <f ca="1">VLOOKUP($D29&amp;$J29,所有坦克升星属性,MATCH(Z$3,所有坦克升星属性标头,0),FALSE)+ROUND(AE29/VLOOKUP($D29,坦克部件!#REF!,4,FALSE)*VLOOKUP($D29&amp;0,所有坦克升星属性,MATCH(Z$3,所有坦克升星属性标头,0),FALSE),0)</f>
        <v>#N/A</v>
      </c>
      <c r="AA29" s="2" t="e">
        <f t="shared" ca="1" si="14"/>
        <v>#N/A</v>
      </c>
      <c r="AB29" s="2" t="e">
        <f t="shared" ca="1" si="14"/>
        <v>#N/A</v>
      </c>
      <c r="AC29" s="2" t="e">
        <f ca="1">VLOOKUP($D29&amp;$J29,所有坦克升星属性,MATCH(AC$3,所有坦克升星属性标头,0),FALSE)+ROUND(AF29/VLOOKUP($D29,坦克部件!#REF!,4,FALSE)*VLOOKUP($D29&amp;0,所有坦克升星属性,MATCH(AC$3,所有坦克升星属性标头,0),FALSE),0)</f>
        <v>#N/A</v>
      </c>
      <c r="AD29" s="2" t="e">
        <f>(VLOOKUP($S29,坦克部件!#REF!,MATCH("标准值",坦克部件!#REF!,0),FALSE)+VLOOKUP($M29,坦克部件!#REF!,MATCH("标准值",坦克部件!#REF!,0),FALSE))*$P29</f>
        <v>#REF!</v>
      </c>
      <c r="AE29" s="2" t="e">
        <f>(VLOOKUP($S29,坦克部件!#REF!,MATCH("标准值",坦克部件!#REF!,0),FALSE)+VLOOKUP($M29,坦克部件!#REF!,MATCH("标准值",坦克部件!#REF!,0),FALSE))*$P29</f>
        <v>#REF!</v>
      </c>
      <c r="AF29" s="2" t="e">
        <f>(VLOOKUP($S29,坦克部件!#REF!,MATCH("标准值",坦克部件!#REF!,0),FALSE)+VLOOKUP($M29,坦克部件!#REF!,MATCH("标准值",坦克部件!#REF!,0),FALSE))*$P29</f>
        <v>#REF!</v>
      </c>
      <c r="AG29" s="2">
        <f>VLOOKUP($D29,坦克属性统计!$B$3:$AY$33,MATCH(AG$3,坦克属性统计!$B$3:$AY$3,0),FALSE)</f>
        <v>18</v>
      </c>
      <c r="AH29" s="2">
        <f t="shared" si="15"/>
        <v>0.8</v>
      </c>
      <c r="AI29" s="2">
        <f t="shared" si="15"/>
        <v>0</v>
      </c>
      <c r="AJ29" s="2">
        <f t="shared" si="15"/>
        <v>12.1</v>
      </c>
      <c r="AK29" s="34">
        <f t="shared" si="24"/>
        <v>50.498054474708169</v>
      </c>
      <c r="AL29" s="2" t="e">
        <f ca="1">VLOOKUP($E29&amp;$K29,所有坦克升星属性,MATCH(AL$3,所有坦克升星属性标头,0),FALSE)+ROUND(AQ29/VLOOKUP($E29,坦克部件!#REF!,4,FALSE)*VLOOKUP($E29&amp;0,所有坦克升星属性,MATCH(AL$3,所有坦克升星属性标头,0),FALSE),0)</f>
        <v>#N/A</v>
      </c>
      <c r="AM29" s="2" t="e">
        <f ca="1">VLOOKUP($E29&amp;$K29,所有坦克升星属性,MATCH(AM$3,所有坦克升星属性标头,0),FALSE)+ROUND(AR29/VLOOKUP($E29,坦克部件!#REF!,4,FALSE)*VLOOKUP($E29&amp;0,所有坦克升星属性,MATCH(AM$3,所有坦克升星属性标头,0),FALSE),0)</f>
        <v>#N/A</v>
      </c>
      <c r="AN29" s="2" t="e">
        <f t="shared" ca="1" si="16"/>
        <v>#N/A</v>
      </c>
      <c r="AO29" s="2" t="e">
        <f t="shared" ca="1" si="16"/>
        <v>#N/A</v>
      </c>
      <c r="AP29" s="2" t="e">
        <f ca="1">VLOOKUP($E29&amp;$K29,所有坦克升星属性,MATCH(AP$3,所有坦克升星属性标头,0),FALSE)+ROUND(AS29/VLOOKUP($E29,坦克部件!#REF!,4,FALSE)*VLOOKUP($E29&amp;0,所有坦克升星属性,MATCH(AP$3,所有坦克升星属性标头,0),FALSE),0)</f>
        <v>#N/A</v>
      </c>
      <c r="AQ29" s="2" t="e">
        <f>(VLOOKUP($T29,坦克部件!#REF!,MATCH("标准值",坦克部件!#REF!,0),FALSE)+VLOOKUP($N29,坦克部件!#REF!,MATCH("标准值",坦克部件!#REF!,0),FALSE))*$Q29</f>
        <v>#REF!</v>
      </c>
      <c r="AR29" s="2" t="e">
        <f>(VLOOKUP($T29,坦克部件!#REF!,MATCH("标准值",坦克部件!#REF!,0),FALSE)+VLOOKUP($N29,坦克部件!#REF!,MATCH("标准值",坦克部件!#REF!,0),FALSE))*$Q29</f>
        <v>#REF!</v>
      </c>
      <c r="AS29" s="2" t="e">
        <f>(VLOOKUP($T29,坦克部件!#REF!,MATCH("标准值",坦克部件!#REF!,0),FALSE)+VLOOKUP($N29,坦克部件!#REF!,MATCH("标准值",坦克部件!#REF!,0),FALSE))*$Q29</f>
        <v>#REF!</v>
      </c>
      <c r="AT29" s="2">
        <f>VLOOKUP($E29,坦克属性统计!$B$3:$AY$33,MATCH(AT$3,坦克属性统计!$B$3:$AY$3,0),FALSE)</f>
        <v>10</v>
      </c>
      <c r="AU29" s="2">
        <f t="shared" si="17"/>
        <v>0.4</v>
      </c>
      <c r="AV29" s="2">
        <f t="shared" si="17"/>
        <v>3.6</v>
      </c>
      <c r="AW29" s="2">
        <f t="shared" si="17"/>
        <v>0</v>
      </c>
      <c r="AX29" s="34">
        <f t="shared" si="25"/>
        <v>26.666666666666668</v>
      </c>
      <c r="AY29" s="2" t="e">
        <f ca="1">VLOOKUP($F29&amp;$L29,所有坦克升星属性,MATCH(AY$3,所有坦克升星属性标头,0),FALSE)+ROUND(BD29/VLOOKUP($F29,坦克部件!#REF!,4,FALSE)*VLOOKUP($F29&amp;0,所有坦克升星属性,MATCH(AY$3,所有坦克升星属性标头,0),FALSE),0)</f>
        <v>#N/A</v>
      </c>
      <c r="AZ29" s="2" t="e">
        <f ca="1">VLOOKUP($F29&amp;$L29,所有坦克升星属性,MATCH(AZ$3,所有坦克升星属性标头,0),FALSE)+ROUND(BE29/VLOOKUP($F29,坦克部件!#REF!,4,FALSE)*VLOOKUP($F29&amp;0,所有坦克升星属性,MATCH(AZ$3,所有坦克升星属性标头,0),FALSE),0)</f>
        <v>#N/A</v>
      </c>
      <c r="BA29" s="2" t="e">
        <f t="shared" ca="1" si="18"/>
        <v>#N/A</v>
      </c>
      <c r="BB29" s="2" t="e">
        <f t="shared" ca="1" si="18"/>
        <v>#N/A</v>
      </c>
      <c r="BC29" s="2" t="e">
        <f ca="1">VLOOKUP($F29&amp;$L29,所有坦克升星属性,MATCH(BC$3,所有坦克升星属性标头,0),FALSE)+ROUND(BF29/VLOOKUP($F29,坦克部件!#REF!,4,FALSE)*VLOOKUP($F29&amp;0,所有坦克升星属性,MATCH(BC$3,所有坦克升星属性标头,0),FALSE),0)</f>
        <v>#N/A</v>
      </c>
      <c r="BD29" s="2" t="e">
        <f>(VLOOKUP($U29,坦克部件!#REF!,MATCH("标准值",坦克部件!#REF!,0),FALSE)+VLOOKUP($O29,坦克部件!#REF!,MATCH("标准值",坦克部件!#REF!,0),FALSE))*$R29</f>
        <v>#REF!</v>
      </c>
      <c r="BE29" s="2" t="e">
        <f>(VLOOKUP($U29,坦克部件!#REF!,MATCH("标准值",坦克部件!#REF!,0),FALSE)+VLOOKUP($O29,坦克部件!#REF!,MATCH("标准值",坦克部件!#REF!,0),FALSE))*$R29</f>
        <v>#REF!</v>
      </c>
      <c r="BF29" s="2" t="e">
        <f>(VLOOKUP($U29,坦克部件!#REF!,MATCH("标准值",坦克部件!#REF!,0),FALSE)+VLOOKUP($O29,坦克部件!#REF!,MATCH("标准值",坦克部件!#REF!,0),FALSE))*$R29</f>
        <v>#REF!</v>
      </c>
      <c r="BG29" s="2">
        <f>VLOOKUP($F29,坦克属性统计!$B$3:$AY$33,MATCH(BG$3,坦克属性统计!$B$3:$AY$3,0),FALSE)</f>
        <v>1</v>
      </c>
      <c r="BH29" s="2">
        <f t="shared" si="19"/>
        <v>0</v>
      </c>
      <c r="BI29" s="2">
        <f t="shared" si="19"/>
        <v>5.92</v>
      </c>
      <c r="BJ29" s="2">
        <f t="shared" si="19"/>
        <v>0</v>
      </c>
      <c r="BK29" s="34">
        <f t="shared" si="26"/>
        <v>11.135135135135135</v>
      </c>
      <c r="BM29" s="1" t="e">
        <f t="shared" ca="1" si="6"/>
        <v>#N/A</v>
      </c>
    </row>
    <row r="30" spans="2:65" x14ac:dyDescent="0.3">
      <c r="B30" s="2">
        <v>27</v>
      </c>
      <c r="C30" s="2" t="e">
        <f t="shared" ca="1" si="20"/>
        <v>#N/A</v>
      </c>
      <c r="D30" s="2" t="s">
        <v>618</v>
      </c>
      <c r="E30" s="2" t="s">
        <v>636</v>
      </c>
      <c r="F30" s="2" t="s">
        <v>655</v>
      </c>
      <c r="G30" s="2" t="str">
        <f>VLOOKUP(D30,坦克个性化设定!$B$18:$F$48,5,FALSE)</f>
        <v>轻坦弹夹</v>
      </c>
      <c r="H30" s="2" t="str">
        <f>VLOOKUP(E30,坦克个性化设定!$B$18:$F$48,5,FALSE)</f>
        <v>中坦自动</v>
      </c>
      <c r="I30" s="2" t="str">
        <f>VLOOKUP(F30,坦克个性化设定!$B$18:$F$48,5,FALSE)</f>
        <v>重坦自动</v>
      </c>
      <c r="J30" s="2">
        <v>1</v>
      </c>
      <c r="K30" s="2">
        <v>0</v>
      </c>
      <c r="L30" s="2">
        <v>0</v>
      </c>
      <c r="M30" s="2" t="s">
        <v>1721</v>
      </c>
      <c r="N30" s="2" t="s">
        <v>1721</v>
      </c>
      <c r="O30" s="2" t="s">
        <v>1720</v>
      </c>
      <c r="P30" s="2">
        <v>6</v>
      </c>
      <c r="Q30" s="2">
        <v>6</v>
      </c>
      <c r="R30" s="2">
        <v>6</v>
      </c>
      <c r="S30" s="2">
        <v>40</v>
      </c>
      <c r="T30" s="2">
        <v>40</v>
      </c>
      <c r="U30" s="2">
        <v>40</v>
      </c>
      <c r="V30" s="42" t="e">
        <f t="shared" ca="1" si="21"/>
        <v>#N/A</v>
      </c>
      <c r="W30" s="42" t="e">
        <f t="shared" ca="1" si="22"/>
        <v>#N/A</v>
      </c>
      <c r="X30" s="42" t="e">
        <f t="shared" ca="1" si="23"/>
        <v>#N/A</v>
      </c>
      <c r="Y30" s="2" t="e">
        <f ca="1">VLOOKUP($D30&amp;$J30,所有坦克升星属性,MATCH(Y$3,所有坦克升星属性标头,0),FALSE)+ROUND(AD30/VLOOKUP($D30,坦克部件!#REF!,4,FALSE)*VLOOKUP($D30&amp;0,所有坦克升星属性,MATCH(Y$3,所有坦克升星属性标头,0),FALSE),0)</f>
        <v>#N/A</v>
      </c>
      <c r="Z30" s="2" t="e">
        <f ca="1">VLOOKUP($D30&amp;$J30,所有坦克升星属性,MATCH(Z$3,所有坦克升星属性标头,0),FALSE)+ROUND(AE30/VLOOKUP($D30,坦克部件!#REF!,4,FALSE)*VLOOKUP($D30&amp;0,所有坦克升星属性,MATCH(Z$3,所有坦克升星属性标头,0),FALSE),0)</f>
        <v>#N/A</v>
      </c>
      <c r="AA30" s="2" t="e">
        <f t="shared" ca="1" si="14"/>
        <v>#N/A</v>
      </c>
      <c r="AB30" s="2" t="e">
        <f t="shared" ca="1" si="14"/>
        <v>#N/A</v>
      </c>
      <c r="AC30" s="2" t="e">
        <f ca="1">VLOOKUP($D30&amp;$J30,所有坦克升星属性,MATCH(AC$3,所有坦克升星属性标头,0),FALSE)+ROUND(AF30/VLOOKUP($D30,坦克部件!#REF!,4,FALSE)*VLOOKUP($D30&amp;0,所有坦克升星属性,MATCH(AC$3,所有坦克升星属性标头,0),FALSE),0)</f>
        <v>#N/A</v>
      </c>
      <c r="AD30" s="2" t="e">
        <f>(VLOOKUP($S30,坦克部件!#REF!,MATCH("标准值",坦克部件!#REF!,0),FALSE)+VLOOKUP($M30,坦克部件!#REF!,MATCH("标准值",坦克部件!#REF!,0),FALSE))*$P30</f>
        <v>#REF!</v>
      </c>
      <c r="AE30" s="2" t="e">
        <f>(VLOOKUP($S30,坦克部件!#REF!,MATCH("标准值",坦克部件!#REF!,0),FALSE)+VLOOKUP($M30,坦克部件!#REF!,MATCH("标准值",坦克部件!#REF!,0),FALSE))*$P30</f>
        <v>#REF!</v>
      </c>
      <c r="AF30" s="2" t="e">
        <f>(VLOOKUP($S30,坦克部件!#REF!,MATCH("标准值",坦克部件!#REF!,0),FALSE)+VLOOKUP($M30,坦克部件!#REF!,MATCH("标准值",坦克部件!#REF!,0),FALSE))*$P30</f>
        <v>#REF!</v>
      </c>
      <c r="AG30" s="2">
        <f>VLOOKUP($D30,坦克属性统计!$B$3:$AY$33,MATCH(AG$3,坦克属性统计!$B$3:$AY$3,0),FALSE)</f>
        <v>18</v>
      </c>
      <c r="AH30" s="2">
        <f t="shared" si="15"/>
        <v>0.8</v>
      </c>
      <c r="AI30" s="2">
        <f t="shared" si="15"/>
        <v>0</v>
      </c>
      <c r="AJ30" s="2">
        <f t="shared" si="15"/>
        <v>12.1</v>
      </c>
      <c r="AK30" s="34">
        <f t="shared" si="24"/>
        <v>50.498054474708169</v>
      </c>
      <c r="AL30" s="2" t="e">
        <f ca="1">VLOOKUP($E30&amp;$K30,所有坦克升星属性,MATCH(AL$3,所有坦克升星属性标头,0),FALSE)+ROUND(AQ30/VLOOKUP($E30,坦克部件!#REF!,4,FALSE)*VLOOKUP($E30&amp;0,所有坦克升星属性,MATCH(AL$3,所有坦克升星属性标头,0),FALSE),0)</f>
        <v>#N/A</v>
      </c>
      <c r="AM30" s="2" t="e">
        <f ca="1">VLOOKUP($E30&amp;$K30,所有坦克升星属性,MATCH(AM$3,所有坦克升星属性标头,0),FALSE)+ROUND(AR30/VLOOKUP($E30,坦克部件!#REF!,4,FALSE)*VLOOKUP($E30&amp;0,所有坦克升星属性,MATCH(AM$3,所有坦克升星属性标头,0),FALSE),0)</f>
        <v>#N/A</v>
      </c>
      <c r="AN30" s="2" t="e">
        <f t="shared" ca="1" si="16"/>
        <v>#N/A</v>
      </c>
      <c r="AO30" s="2" t="e">
        <f t="shared" ca="1" si="16"/>
        <v>#N/A</v>
      </c>
      <c r="AP30" s="2" t="e">
        <f ca="1">VLOOKUP($E30&amp;$K30,所有坦克升星属性,MATCH(AP$3,所有坦克升星属性标头,0),FALSE)+ROUND(AS30/VLOOKUP($E30,坦克部件!#REF!,4,FALSE)*VLOOKUP($E30&amp;0,所有坦克升星属性,MATCH(AP$3,所有坦克升星属性标头,0),FALSE),0)</f>
        <v>#N/A</v>
      </c>
      <c r="AQ30" s="2" t="e">
        <f>(VLOOKUP($T30,坦克部件!#REF!,MATCH("标准值",坦克部件!#REF!,0),FALSE)+VLOOKUP($N30,坦克部件!#REF!,MATCH("标准值",坦克部件!#REF!,0),FALSE))*$Q30</f>
        <v>#REF!</v>
      </c>
      <c r="AR30" s="2" t="e">
        <f>(VLOOKUP($T30,坦克部件!#REF!,MATCH("标准值",坦克部件!#REF!,0),FALSE)+VLOOKUP($N30,坦克部件!#REF!,MATCH("标准值",坦克部件!#REF!,0),FALSE))*$Q30</f>
        <v>#REF!</v>
      </c>
      <c r="AS30" s="2" t="e">
        <f>(VLOOKUP($T30,坦克部件!#REF!,MATCH("标准值",坦克部件!#REF!,0),FALSE)+VLOOKUP($N30,坦克部件!#REF!,MATCH("标准值",坦克部件!#REF!,0),FALSE))*$Q30</f>
        <v>#REF!</v>
      </c>
      <c r="AT30" s="2">
        <f>VLOOKUP($E30,坦克属性统计!$B$3:$AY$33,MATCH(AT$3,坦克属性统计!$B$3:$AY$3,0),FALSE)</f>
        <v>10</v>
      </c>
      <c r="AU30" s="2">
        <f t="shared" si="17"/>
        <v>0.4</v>
      </c>
      <c r="AV30" s="2">
        <f t="shared" si="17"/>
        <v>3.6</v>
      </c>
      <c r="AW30" s="2">
        <f t="shared" si="17"/>
        <v>0</v>
      </c>
      <c r="AX30" s="34">
        <f t="shared" si="25"/>
        <v>26.666666666666668</v>
      </c>
      <c r="AY30" s="2" t="e">
        <f ca="1">VLOOKUP($F30&amp;$L30,所有坦克升星属性,MATCH(AY$3,所有坦克升星属性标头,0),FALSE)+ROUND(BD30/VLOOKUP($F30,坦克部件!#REF!,4,FALSE)*VLOOKUP($F30&amp;0,所有坦克升星属性,MATCH(AY$3,所有坦克升星属性标头,0),FALSE),0)</f>
        <v>#N/A</v>
      </c>
      <c r="AZ30" s="2" t="e">
        <f ca="1">VLOOKUP($F30&amp;$L30,所有坦克升星属性,MATCH(AZ$3,所有坦克升星属性标头,0),FALSE)+ROUND(BE30/VLOOKUP($F30,坦克部件!#REF!,4,FALSE)*VLOOKUP($F30&amp;0,所有坦克升星属性,MATCH(AZ$3,所有坦克升星属性标头,0),FALSE),0)</f>
        <v>#N/A</v>
      </c>
      <c r="BA30" s="2" t="e">
        <f t="shared" ca="1" si="18"/>
        <v>#N/A</v>
      </c>
      <c r="BB30" s="2" t="e">
        <f t="shared" ca="1" si="18"/>
        <v>#N/A</v>
      </c>
      <c r="BC30" s="2" t="e">
        <f ca="1">VLOOKUP($F30&amp;$L30,所有坦克升星属性,MATCH(BC$3,所有坦克升星属性标头,0),FALSE)+ROUND(BF30/VLOOKUP($F30,坦克部件!#REF!,4,FALSE)*VLOOKUP($F30&amp;0,所有坦克升星属性,MATCH(BC$3,所有坦克升星属性标头,0),FALSE),0)</f>
        <v>#N/A</v>
      </c>
      <c r="BD30" s="2" t="e">
        <f>(VLOOKUP($U30,坦克部件!#REF!,MATCH("标准值",坦克部件!#REF!,0),FALSE)+VLOOKUP($O30,坦克部件!#REF!,MATCH("标准值",坦克部件!#REF!,0),FALSE))*$R30</f>
        <v>#REF!</v>
      </c>
      <c r="BE30" s="2" t="e">
        <f>(VLOOKUP($U30,坦克部件!#REF!,MATCH("标准值",坦克部件!#REF!,0),FALSE)+VLOOKUP($O30,坦克部件!#REF!,MATCH("标准值",坦克部件!#REF!,0),FALSE))*$R30</f>
        <v>#REF!</v>
      </c>
      <c r="BF30" s="2" t="e">
        <f>(VLOOKUP($U30,坦克部件!#REF!,MATCH("标准值",坦克部件!#REF!,0),FALSE)+VLOOKUP($O30,坦克部件!#REF!,MATCH("标准值",坦克部件!#REF!,0),FALSE))*$R30</f>
        <v>#REF!</v>
      </c>
      <c r="BG30" s="2">
        <f>VLOOKUP($F30,坦克属性统计!$B$3:$AY$33,MATCH(BG$3,坦克属性统计!$B$3:$AY$3,0),FALSE)</f>
        <v>2</v>
      </c>
      <c r="BH30" s="2">
        <f t="shared" si="19"/>
        <v>2</v>
      </c>
      <c r="BI30" s="2">
        <f t="shared" si="19"/>
        <v>4.5</v>
      </c>
      <c r="BJ30" s="2">
        <f t="shared" si="19"/>
        <v>0</v>
      </c>
      <c r="BK30" s="34">
        <f t="shared" si="26"/>
        <v>15.333333333333334</v>
      </c>
      <c r="BM30" s="1" t="e">
        <f t="shared" ca="1" si="6"/>
        <v>#N/A</v>
      </c>
    </row>
    <row r="31" spans="2:65" x14ac:dyDescent="0.3">
      <c r="B31" s="2">
        <v>28</v>
      </c>
      <c r="C31" s="2" t="e">
        <f t="shared" ca="1" si="20"/>
        <v>#N/A</v>
      </c>
      <c r="D31" s="2" t="s">
        <v>620</v>
      </c>
      <c r="E31" s="2" t="s">
        <v>636</v>
      </c>
      <c r="F31" s="2" t="s">
        <v>655</v>
      </c>
      <c r="G31" s="2" t="str">
        <f>VLOOKUP(D31,坦克个性化设定!$B$18:$F$48,5,FALSE)</f>
        <v>轻坦弹夹</v>
      </c>
      <c r="H31" s="2" t="str">
        <f>VLOOKUP(E31,坦克个性化设定!$B$18:$F$48,5,FALSE)</f>
        <v>中坦自动</v>
      </c>
      <c r="I31" s="2" t="str">
        <f>VLOOKUP(F31,坦克个性化设定!$B$18:$F$48,5,FALSE)</f>
        <v>重坦自动</v>
      </c>
      <c r="J31" s="2">
        <v>0</v>
      </c>
      <c r="K31" s="2">
        <v>1</v>
      </c>
      <c r="L31" s="2">
        <v>0</v>
      </c>
      <c r="M31" s="2" t="s">
        <v>1721</v>
      </c>
      <c r="N31" s="2" t="s">
        <v>1721</v>
      </c>
      <c r="O31" s="2" t="s">
        <v>1721</v>
      </c>
      <c r="P31" s="2">
        <v>6</v>
      </c>
      <c r="Q31" s="2">
        <v>6</v>
      </c>
      <c r="R31" s="2">
        <v>6</v>
      </c>
      <c r="S31" s="2">
        <v>40</v>
      </c>
      <c r="T31" s="2">
        <v>40</v>
      </c>
      <c r="U31" s="2">
        <v>40</v>
      </c>
      <c r="V31" s="42" t="e">
        <f t="shared" ca="1" si="21"/>
        <v>#N/A</v>
      </c>
      <c r="W31" s="42" t="e">
        <f t="shared" ca="1" si="22"/>
        <v>#N/A</v>
      </c>
      <c r="X31" s="42" t="e">
        <f t="shared" ca="1" si="23"/>
        <v>#N/A</v>
      </c>
      <c r="Y31" s="2" t="e">
        <f ca="1">VLOOKUP($D31&amp;$J31,所有坦克升星属性,MATCH(Y$3,所有坦克升星属性标头,0),FALSE)+ROUND(AD31/VLOOKUP($D31,坦克部件!#REF!,4,FALSE)*VLOOKUP($D31&amp;0,所有坦克升星属性,MATCH(Y$3,所有坦克升星属性标头,0),FALSE),0)</f>
        <v>#N/A</v>
      </c>
      <c r="Z31" s="2" t="e">
        <f ca="1">VLOOKUP($D31&amp;$J31,所有坦克升星属性,MATCH(Z$3,所有坦克升星属性标头,0),FALSE)+ROUND(AE31/VLOOKUP($D31,坦克部件!#REF!,4,FALSE)*VLOOKUP($D31&amp;0,所有坦克升星属性,MATCH(Z$3,所有坦克升星属性标头,0),FALSE),0)</f>
        <v>#N/A</v>
      </c>
      <c r="AA31" s="2" t="e">
        <f t="shared" ca="1" si="14"/>
        <v>#N/A</v>
      </c>
      <c r="AB31" s="2" t="e">
        <f t="shared" ca="1" si="14"/>
        <v>#N/A</v>
      </c>
      <c r="AC31" s="2" t="e">
        <f ca="1">VLOOKUP($D31&amp;$J31,所有坦克升星属性,MATCH(AC$3,所有坦克升星属性标头,0),FALSE)+ROUND(AF31/VLOOKUP($D31,坦克部件!#REF!,4,FALSE)*VLOOKUP($D31&amp;0,所有坦克升星属性,MATCH(AC$3,所有坦克升星属性标头,0),FALSE),0)</f>
        <v>#N/A</v>
      </c>
      <c r="AD31" s="2" t="e">
        <f>(VLOOKUP($S31,坦克部件!#REF!,MATCH("标准值",坦克部件!#REF!,0),FALSE)+VLOOKUP($M31,坦克部件!#REF!,MATCH("标准值",坦克部件!#REF!,0),FALSE))*$P31</f>
        <v>#REF!</v>
      </c>
      <c r="AE31" s="2" t="e">
        <f>(VLOOKUP($S31,坦克部件!#REF!,MATCH("标准值",坦克部件!#REF!,0),FALSE)+VLOOKUP($M31,坦克部件!#REF!,MATCH("标准值",坦克部件!#REF!,0),FALSE))*$P31</f>
        <v>#REF!</v>
      </c>
      <c r="AF31" s="2" t="e">
        <f>(VLOOKUP($S31,坦克部件!#REF!,MATCH("标准值",坦克部件!#REF!,0),FALSE)+VLOOKUP($M31,坦克部件!#REF!,MATCH("标准值",坦克部件!#REF!,0),FALSE))*$P31</f>
        <v>#REF!</v>
      </c>
      <c r="AG31" s="2">
        <f>VLOOKUP($D31,坦克属性统计!$B$3:$AY$33,MATCH(AG$3,坦克属性统计!$B$3:$AY$3,0),FALSE)</f>
        <v>9</v>
      </c>
      <c r="AH31" s="2">
        <f t="shared" si="15"/>
        <v>0.8</v>
      </c>
      <c r="AI31" s="2">
        <f t="shared" si="15"/>
        <v>0</v>
      </c>
      <c r="AJ31" s="2">
        <f t="shared" si="15"/>
        <v>6.3</v>
      </c>
      <c r="AK31" s="34">
        <f t="shared" si="24"/>
        <v>46.984251968503941</v>
      </c>
      <c r="AL31" s="2" t="e">
        <f ca="1">VLOOKUP($E31&amp;$K31,所有坦克升星属性,MATCH(AL$3,所有坦克升星属性标头,0),FALSE)+ROUND(AQ31/VLOOKUP($E31,坦克部件!#REF!,4,FALSE)*VLOOKUP($E31&amp;0,所有坦克升星属性,MATCH(AL$3,所有坦克升星属性标头,0),FALSE),0)</f>
        <v>#N/A</v>
      </c>
      <c r="AM31" s="2" t="e">
        <f ca="1">VLOOKUP($E31&amp;$K31,所有坦克升星属性,MATCH(AM$3,所有坦克升星属性标头,0),FALSE)+ROUND(AR31/VLOOKUP($E31,坦克部件!#REF!,4,FALSE)*VLOOKUP($E31&amp;0,所有坦克升星属性,MATCH(AM$3,所有坦克升星属性标头,0),FALSE),0)</f>
        <v>#N/A</v>
      </c>
      <c r="AN31" s="2" t="e">
        <f t="shared" ca="1" si="16"/>
        <v>#N/A</v>
      </c>
      <c r="AO31" s="2" t="e">
        <f t="shared" ca="1" si="16"/>
        <v>#N/A</v>
      </c>
      <c r="AP31" s="2" t="e">
        <f ca="1">VLOOKUP($E31&amp;$K31,所有坦克升星属性,MATCH(AP$3,所有坦克升星属性标头,0),FALSE)+ROUND(AS31/VLOOKUP($E31,坦克部件!#REF!,4,FALSE)*VLOOKUP($E31&amp;0,所有坦克升星属性,MATCH(AP$3,所有坦克升星属性标头,0),FALSE),0)</f>
        <v>#N/A</v>
      </c>
      <c r="AQ31" s="2" t="e">
        <f>(VLOOKUP($T31,坦克部件!#REF!,MATCH("标准值",坦克部件!#REF!,0),FALSE)+VLOOKUP($N31,坦克部件!#REF!,MATCH("标准值",坦克部件!#REF!,0),FALSE))*$Q31</f>
        <v>#REF!</v>
      </c>
      <c r="AR31" s="2" t="e">
        <f>(VLOOKUP($T31,坦克部件!#REF!,MATCH("标准值",坦克部件!#REF!,0),FALSE)+VLOOKUP($N31,坦克部件!#REF!,MATCH("标准值",坦克部件!#REF!,0),FALSE))*$Q31</f>
        <v>#REF!</v>
      </c>
      <c r="AS31" s="2" t="e">
        <f>(VLOOKUP($T31,坦克部件!#REF!,MATCH("标准值",坦克部件!#REF!,0),FALSE)+VLOOKUP($N31,坦克部件!#REF!,MATCH("标准值",坦克部件!#REF!,0),FALSE))*$Q31</f>
        <v>#REF!</v>
      </c>
      <c r="AT31" s="2">
        <f>VLOOKUP($E31,坦克属性统计!$B$3:$AY$33,MATCH(AT$3,坦克属性统计!$B$3:$AY$3,0),FALSE)</f>
        <v>10</v>
      </c>
      <c r="AU31" s="2">
        <f t="shared" si="17"/>
        <v>0.4</v>
      </c>
      <c r="AV31" s="2">
        <f t="shared" si="17"/>
        <v>3.54</v>
      </c>
      <c r="AW31" s="2">
        <f t="shared" si="17"/>
        <v>0</v>
      </c>
      <c r="AX31" s="34">
        <f t="shared" si="25"/>
        <v>26.949152542372882</v>
      </c>
      <c r="AY31" s="2" t="e">
        <f ca="1">VLOOKUP($F31&amp;$L31,所有坦克升星属性,MATCH(AY$3,所有坦克升星属性标头,0),FALSE)+ROUND(BD31/VLOOKUP($F31,坦克部件!#REF!,4,FALSE)*VLOOKUP($F31&amp;0,所有坦克升星属性,MATCH(AY$3,所有坦克升星属性标头,0),FALSE),0)</f>
        <v>#N/A</v>
      </c>
      <c r="AZ31" s="2" t="e">
        <f ca="1">VLOOKUP($F31&amp;$L31,所有坦克升星属性,MATCH(AZ$3,所有坦克升星属性标头,0),FALSE)+ROUND(BE31/VLOOKUP($F31,坦克部件!#REF!,4,FALSE)*VLOOKUP($F31&amp;0,所有坦克升星属性,MATCH(AZ$3,所有坦克升星属性标头,0),FALSE),0)</f>
        <v>#N/A</v>
      </c>
      <c r="BA31" s="2" t="e">
        <f t="shared" ca="1" si="18"/>
        <v>#N/A</v>
      </c>
      <c r="BB31" s="2" t="e">
        <f t="shared" ca="1" si="18"/>
        <v>#N/A</v>
      </c>
      <c r="BC31" s="2" t="e">
        <f ca="1">VLOOKUP($F31&amp;$L31,所有坦克升星属性,MATCH(BC$3,所有坦克升星属性标头,0),FALSE)+ROUND(BF31/VLOOKUP($F31,坦克部件!#REF!,4,FALSE)*VLOOKUP($F31&amp;0,所有坦克升星属性,MATCH(BC$3,所有坦克升星属性标头,0),FALSE),0)</f>
        <v>#N/A</v>
      </c>
      <c r="BD31" s="2" t="e">
        <f>(VLOOKUP($U31,坦克部件!#REF!,MATCH("标准值",坦克部件!#REF!,0),FALSE)+VLOOKUP($O31,坦克部件!#REF!,MATCH("标准值",坦克部件!#REF!,0),FALSE))*$R31</f>
        <v>#REF!</v>
      </c>
      <c r="BE31" s="2" t="e">
        <f>(VLOOKUP($U31,坦克部件!#REF!,MATCH("标准值",坦克部件!#REF!,0),FALSE)+VLOOKUP($O31,坦克部件!#REF!,MATCH("标准值",坦克部件!#REF!,0),FALSE))*$R31</f>
        <v>#REF!</v>
      </c>
      <c r="BF31" s="2" t="e">
        <f>(VLOOKUP($U31,坦克部件!#REF!,MATCH("标准值",坦克部件!#REF!,0),FALSE)+VLOOKUP($O31,坦克部件!#REF!,MATCH("标准值",坦克部件!#REF!,0),FALSE))*$R31</f>
        <v>#REF!</v>
      </c>
      <c r="BG31" s="2">
        <f>VLOOKUP($F31,坦克属性统计!$B$3:$AY$33,MATCH(BG$3,坦克属性统计!$B$3:$AY$3,0),FALSE)</f>
        <v>2</v>
      </c>
      <c r="BH31" s="2">
        <f t="shared" si="19"/>
        <v>2</v>
      </c>
      <c r="BI31" s="2">
        <f t="shared" si="19"/>
        <v>4.5</v>
      </c>
      <c r="BJ31" s="2">
        <f t="shared" si="19"/>
        <v>0</v>
      </c>
      <c r="BK31" s="34">
        <f t="shared" si="26"/>
        <v>15.333333333333334</v>
      </c>
      <c r="BM31" s="1" t="e">
        <f t="shared" ca="1" si="6"/>
        <v>#N/A</v>
      </c>
    </row>
    <row r="32" spans="2:65" x14ac:dyDescent="0.3">
      <c r="B32" s="2">
        <v>29</v>
      </c>
      <c r="C32" s="2" t="e">
        <f t="shared" ca="1" si="20"/>
        <v>#N/A</v>
      </c>
      <c r="D32" s="2" t="s">
        <v>620</v>
      </c>
      <c r="E32" s="2" t="s">
        <v>636</v>
      </c>
      <c r="F32" s="2" t="s">
        <v>655</v>
      </c>
      <c r="G32" s="2" t="str">
        <f>VLOOKUP(D32,坦克个性化设定!$B$18:$F$48,5,FALSE)</f>
        <v>轻坦弹夹</v>
      </c>
      <c r="H32" s="2" t="str">
        <f>VLOOKUP(E32,坦克个性化设定!$B$18:$F$48,5,FALSE)</f>
        <v>中坦自动</v>
      </c>
      <c r="I32" s="2" t="str">
        <f>VLOOKUP(F32,坦克个性化设定!$B$18:$F$48,5,FALSE)</f>
        <v>重坦自动</v>
      </c>
      <c r="J32" s="2">
        <v>0</v>
      </c>
      <c r="K32" s="2">
        <v>1</v>
      </c>
      <c r="L32" s="2">
        <v>1</v>
      </c>
      <c r="M32" s="2" t="s">
        <v>1721</v>
      </c>
      <c r="N32" s="2" t="s">
        <v>1721</v>
      </c>
      <c r="O32" s="2" t="s">
        <v>1721</v>
      </c>
      <c r="P32" s="2">
        <v>6</v>
      </c>
      <c r="Q32" s="2">
        <v>6</v>
      </c>
      <c r="R32" s="2">
        <v>6</v>
      </c>
      <c r="S32" s="2">
        <v>40</v>
      </c>
      <c r="T32" s="2">
        <v>40</v>
      </c>
      <c r="U32" s="2">
        <v>40</v>
      </c>
      <c r="V32" s="42" t="e">
        <f t="shared" ca="1" si="21"/>
        <v>#N/A</v>
      </c>
      <c r="W32" s="42" t="e">
        <f t="shared" ca="1" si="22"/>
        <v>#N/A</v>
      </c>
      <c r="X32" s="42" t="e">
        <f t="shared" ca="1" si="23"/>
        <v>#N/A</v>
      </c>
      <c r="Y32" s="2" t="e">
        <f ca="1">VLOOKUP($D32&amp;$J32,所有坦克升星属性,MATCH(Y$3,所有坦克升星属性标头,0),FALSE)+ROUND(AD32/VLOOKUP($D32,坦克部件!#REF!,4,FALSE)*VLOOKUP($D32&amp;0,所有坦克升星属性,MATCH(Y$3,所有坦克升星属性标头,0),FALSE),0)</f>
        <v>#N/A</v>
      </c>
      <c r="Z32" s="2" t="e">
        <f ca="1">VLOOKUP($D32&amp;$J32,所有坦克升星属性,MATCH(Z$3,所有坦克升星属性标头,0),FALSE)+ROUND(AE32/VLOOKUP($D32,坦克部件!#REF!,4,FALSE)*VLOOKUP($D32&amp;0,所有坦克升星属性,MATCH(Z$3,所有坦克升星属性标头,0),FALSE),0)</f>
        <v>#N/A</v>
      </c>
      <c r="AA32" s="2" t="e">
        <f t="shared" ca="1" si="14"/>
        <v>#N/A</v>
      </c>
      <c r="AB32" s="2" t="e">
        <f t="shared" ca="1" si="14"/>
        <v>#N/A</v>
      </c>
      <c r="AC32" s="2" t="e">
        <f ca="1">VLOOKUP($D32&amp;$J32,所有坦克升星属性,MATCH(AC$3,所有坦克升星属性标头,0),FALSE)+ROUND(AF32/VLOOKUP($D32,坦克部件!#REF!,4,FALSE)*VLOOKUP($D32&amp;0,所有坦克升星属性,MATCH(AC$3,所有坦克升星属性标头,0),FALSE),0)</f>
        <v>#N/A</v>
      </c>
      <c r="AD32" s="2" t="e">
        <f>(VLOOKUP($S32,坦克部件!#REF!,MATCH("标准值",坦克部件!#REF!,0),FALSE)+VLOOKUP($M32,坦克部件!#REF!,MATCH("标准值",坦克部件!#REF!,0),FALSE))*$P32</f>
        <v>#REF!</v>
      </c>
      <c r="AE32" s="2" t="e">
        <f>(VLOOKUP($S32,坦克部件!#REF!,MATCH("标准值",坦克部件!#REF!,0),FALSE)+VLOOKUP($M32,坦克部件!#REF!,MATCH("标准值",坦克部件!#REF!,0),FALSE))*$P32</f>
        <v>#REF!</v>
      </c>
      <c r="AF32" s="2" t="e">
        <f>(VLOOKUP($S32,坦克部件!#REF!,MATCH("标准值",坦克部件!#REF!,0),FALSE)+VLOOKUP($M32,坦克部件!#REF!,MATCH("标准值",坦克部件!#REF!,0),FALSE))*$P32</f>
        <v>#REF!</v>
      </c>
      <c r="AG32" s="2">
        <f>VLOOKUP($D32,坦克属性统计!$B$3:$AY$33,MATCH(AG$3,坦克属性统计!$B$3:$AY$3,0),FALSE)</f>
        <v>9</v>
      </c>
      <c r="AH32" s="2">
        <f t="shared" si="15"/>
        <v>0.8</v>
      </c>
      <c r="AI32" s="2">
        <f t="shared" si="15"/>
        <v>0</v>
      </c>
      <c r="AJ32" s="2">
        <f t="shared" si="15"/>
        <v>6.3</v>
      </c>
      <c r="AK32" s="34">
        <f t="shared" si="24"/>
        <v>46.984251968503941</v>
      </c>
      <c r="AL32" s="2" t="e">
        <f ca="1">VLOOKUP($E32&amp;$K32,所有坦克升星属性,MATCH(AL$3,所有坦克升星属性标头,0),FALSE)+ROUND(AQ32/VLOOKUP($E32,坦克部件!#REF!,4,FALSE)*VLOOKUP($E32&amp;0,所有坦克升星属性,MATCH(AL$3,所有坦克升星属性标头,0),FALSE),0)</f>
        <v>#N/A</v>
      </c>
      <c r="AM32" s="2" t="e">
        <f ca="1">VLOOKUP($E32&amp;$K32,所有坦克升星属性,MATCH(AM$3,所有坦克升星属性标头,0),FALSE)+ROUND(AR32/VLOOKUP($E32,坦克部件!#REF!,4,FALSE)*VLOOKUP($E32&amp;0,所有坦克升星属性,MATCH(AM$3,所有坦克升星属性标头,0),FALSE),0)</f>
        <v>#N/A</v>
      </c>
      <c r="AN32" s="2" t="e">
        <f t="shared" ca="1" si="16"/>
        <v>#N/A</v>
      </c>
      <c r="AO32" s="2" t="e">
        <f t="shared" ca="1" si="16"/>
        <v>#N/A</v>
      </c>
      <c r="AP32" s="2" t="e">
        <f ca="1">VLOOKUP($E32&amp;$K32,所有坦克升星属性,MATCH(AP$3,所有坦克升星属性标头,0),FALSE)+ROUND(AS32/VLOOKUP($E32,坦克部件!#REF!,4,FALSE)*VLOOKUP($E32&amp;0,所有坦克升星属性,MATCH(AP$3,所有坦克升星属性标头,0),FALSE),0)</f>
        <v>#N/A</v>
      </c>
      <c r="AQ32" s="2" t="e">
        <f>(VLOOKUP($T32,坦克部件!#REF!,MATCH("标准值",坦克部件!#REF!,0),FALSE)+VLOOKUP($N32,坦克部件!#REF!,MATCH("标准值",坦克部件!#REF!,0),FALSE))*$Q32</f>
        <v>#REF!</v>
      </c>
      <c r="AR32" s="2" t="e">
        <f>(VLOOKUP($T32,坦克部件!#REF!,MATCH("标准值",坦克部件!#REF!,0),FALSE)+VLOOKUP($N32,坦克部件!#REF!,MATCH("标准值",坦克部件!#REF!,0),FALSE))*$Q32</f>
        <v>#REF!</v>
      </c>
      <c r="AS32" s="2" t="e">
        <f>(VLOOKUP($T32,坦克部件!#REF!,MATCH("标准值",坦克部件!#REF!,0),FALSE)+VLOOKUP($N32,坦克部件!#REF!,MATCH("标准值",坦克部件!#REF!,0),FALSE))*$Q32</f>
        <v>#REF!</v>
      </c>
      <c r="AT32" s="2">
        <f>VLOOKUP($E32,坦克属性统计!$B$3:$AY$33,MATCH(AT$3,坦克属性统计!$B$3:$AY$3,0),FALSE)</f>
        <v>10</v>
      </c>
      <c r="AU32" s="2">
        <f t="shared" si="17"/>
        <v>0.4</v>
      </c>
      <c r="AV32" s="2">
        <f t="shared" si="17"/>
        <v>3.54</v>
      </c>
      <c r="AW32" s="2">
        <f t="shared" si="17"/>
        <v>0</v>
      </c>
      <c r="AX32" s="34">
        <f t="shared" si="25"/>
        <v>26.949152542372882</v>
      </c>
      <c r="AY32" s="2" t="e">
        <f ca="1">VLOOKUP($F32&amp;$L32,所有坦克升星属性,MATCH(AY$3,所有坦克升星属性标头,0),FALSE)+ROUND(BD32/VLOOKUP($F32,坦克部件!#REF!,4,FALSE)*VLOOKUP($F32&amp;0,所有坦克升星属性,MATCH(AY$3,所有坦克升星属性标头,0),FALSE),0)</f>
        <v>#N/A</v>
      </c>
      <c r="AZ32" s="2" t="e">
        <f ca="1">VLOOKUP($F32&amp;$L32,所有坦克升星属性,MATCH(AZ$3,所有坦克升星属性标头,0),FALSE)+ROUND(BE32/VLOOKUP($F32,坦克部件!#REF!,4,FALSE)*VLOOKUP($F32&amp;0,所有坦克升星属性,MATCH(AZ$3,所有坦克升星属性标头,0),FALSE),0)</f>
        <v>#N/A</v>
      </c>
      <c r="BA32" s="2" t="e">
        <f t="shared" ca="1" si="18"/>
        <v>#N/A</v>
      </c>
      <c r="BB32" s="2" t="e">
        <f t="shared" ca="1" si="18"/>
        <v>#N/A</v>
      </c>
      <c r="BC32" s="2" t="e">
        <f ca="1">VLOOKUP($F32&amp;$L32,所有坦克升星属性,MATCH(BC$3,所有坦克升星属性标头,0),FALSE)+ROUND(BF32/VLOOKUP($F32,坦克部件!#REF!,4,FALSE)*VLOOKUP($F32&amp;0,所有坦克升星属性,MATCH(BC$3,所有坦克升星属性标头,0),FALSE),0)</f>
        <v>#N/A</v>
      </c>
      <c r="BD32" s="2" t="e">
        <f>(VLOOKUP($U32,坦克部件!#REF!,MATCH("标准值",坦克部件!#REF!,0),FALSE)+VLOOKUP($O32,坦克部件!#REF!,MATCH("标准值",坦克部件!#REF!,0),FALSE))*$R32</f>
        <v>#REF!</v>
      </c>
      <c r="BE32" s="2" t="e">
        <f>(VLOOKUP($U32,坦克部件!#REF!,MATCH("标准值",坦克部件!#REF!,0),FALSE)+VLOOKUP($O32,坦克部件!#REF!,MATCH("标准值",坦克部件!#REF!,0),FALSE))*$R32</f>
        <v>#REF!</v>
      </c>
      <c r="BF32" s="2" t="e">
        <f>(VLOOKUP($U32,坦克部件!#REF!,MATCH("标准值",坦克部件!#REF!,0),FALSE)+VLOOKUP($O32,坦克部件!#REF!,MATCH("标准值",坦克部件!#REF!,0),FALSE))*$R32</f>
        <v>#REF!</v>
      </c>
      <c r="BG32" s="2">
        <f>VLOOKUP($F32,坦克属性统计!$B$3:$AY$33,MATCH(BG$3,坦克属性统计!$B$3:$AY$3,0),FALSE)</f>
        <v>2</v>
      </c>
      <c r="BH32" s="2">
        <f t="shared" si="19"/>
        <v>2</v>
      </c>
      <c r="BI32" s="2">
        <f t="shared" si="19"/>
        <v>4.4400000000000004</v>
      </c>
      <c r="BJ32" s="2">
        <f t="shared" si="19"/>
        <v>0</v>
      </c>
      <c r="BK32" s="34">
        <f t="shared" si="26"/>
        <v>15.513513513513512</v>
      </c>
      <c r="BM32" s="1" t="e">
        <f t="shared" ca="1" si="6"/>
        <v>#N/A</v>
      </c>
    </row>
    <row r="33" spans="2:65" x14ac:dyDescent="0.3">
      <c r="B33" s="2">
        <v>30</v>
      </c>
      <c r="C33" s="2" t="e">
        <f t="shared" ca="1" si="20"/>
        <v>#N/A</v>
      </c>
      <c r="D33" s="2" t="s">
        <v>620</v>
      </c>
      <c r="E33" s="2" t="s">
        <v>638</v>
      </c>
      <c r="F33" s="2" t="s">
        <v>655</v>
      </c>
      <c r="G33" s="2" t="str">
        <f>VLOOKUP(D33,坦克个性化设定!$B$18:$F$48,5,FALSE)</f>
        <v>轻坦弹夹</v>
      </c>
      <c r="H33" s="2" t="str">
        <f>VLOOKUP(E33,坦克个性化设定!$B$18:$F$48,5,FALSE)</f>
        <v>中坦自动</v>
      </c>
      <c r="I33" s="2" t="str">
        <f>VLOOKUP(F33,坦克个性化设定!$B$18:$F$48,5,FALSE)</f>
        <v>重坦自动</v>
      </c>
      <c r="J33" s="2">
        <v>1</v>
      </c>
      <c r="K33" s="2">
        <v>0</v>
      </c>
      <c r="L33" s="2">
        <v>1</v>
      </c>
      <c r="M33" s="2" t="s">
        <v>1721</v>
      </c>
      <c r="N33" s="2" t="s">
        <v>1721</v>
      </c>
      <c r="O33" s="2" t="s">
        <v>1721</v>
      </c>
      <c r="P33" s="2">
        <v>6</v>
      </c>
      <c r="Q33" s="2">
        <v>6</v>
      </c>
      <c r="R33" s="2">
        <v>6</v>
      </c>
      <c r="S33" s="2">
        <v>40</v>
      </c>
      <c r="T33" s="2">
        <v>40</v>
      </c>
      <c r="U33" s="2">
        <v>40</v>
      </c>
      <c r="V33" s="42" t="e">
        <f t="shared" ca="1" si="21"/>
        <v>#N/A</v>
      </c>
      <c r="W33" s="42" t="e">
        <f t="shared" ca="1" si="22"/>
        <v>#N/A</v>
      </c>
      <c r="X33" s="42" t="e">
        <f t="shared" ca="1" si="23"/>
        <v>#N/A</v>
      </c>
      <c r="Y33" s="2" t="e">
        <f ca="1">VLOOKUP($D33&amp;$J33,所有坦克升星属性,MATCH(Y$3,所有坦克升星属性标头,0),FALSE)+ROUND(AD33/VLOOKUP($D33,坦克部件!#REF!,4,FALSE)*VLOOKUP($D33&amp;0,所有坦克升星属性,MATCH(Y$3,所有坦克升星属性标头,0),FALSE),0)</f>
        <v>#N/A</v>
      </c>
      <c r="Z33" s="2" t="e">
        <f ca="1">VLOOKUP($D33&amp;$J33,所有坦克升星属性,MATCH(Z$3,所有坦克升星属性标头,0),FALSE)+ROUND(AE33/VLOOKUP($D33,坦克部件!#REF!,4,FALSE)*VLOOKUP($D33&amp;0,所有坦克升星属性,MATCH(Z$3,所有坦克升星属性标头,0),FALSE),0)</f>
        <v>#N/A</v>
      </c>
      <c r="AA33" s="2" t="e">
        <f t="shared" ca="1" si="14"/>
        <v>#N/A</v>
      </c>
      <c r="AB33" s="2" t="e">
        <f t="shared" ca="1" si="14"/>
        <v>#N/A</v>
      </c>
      <c r="AC33" s="2" t="e">
        <f ca="1">VLOOKUP($D33&amp;$J33,所有坦克升星属性,MATCH(AC$3,所有坦克升星属性标头,0),FALSE)+ROUND(AF33/VLOOKUP($D33,坦克部件!#REF!,4,FALSE)*VLOOKUP($D33&amp;0,所有坦克升星属性,MATCH(AC$3,所有坦克升星属性标头,0),FALSE),0)</f>
        <v>#N/A</v>
      </c>
      <c r="AD33" s="2" t="e">
        <f>(VLOOKUP($S33,坦克部件!#REF!,MATCH("标准值",坦克部件!#REF!,0),FALSE)+VLOOKUP($M33,坦克部件!#REF!,MATCH("标准值",坦克部件!#REF!,0),FALSE))*$P33</f>
        <v>#REF!</v>
      </c>
      <c r="AE33" s="2" t="e">
        <f>(VLOOKUP($S33,坦克部件!#REF!,MATCH("标准值",坦克部件!#REF!,0),FALSE)+VLOOKUP($M33,坦克部件!#REF!,MATCH("标准值",坦克部件!#REF!,0),FALSE))*$P33</f>
        <v>#REF!</v>
      </c>
      <c r="AF33" s="2" t="e">
        <f>(VLOOKUP($S33,坦克部件!#REF!,MATCH("标准值",坦克部件!#REF!,0),FALSE)+VLOOKUP($M33,坦克部件!#REF!,MATCH("标准值",坦克部件!#REF!,0),FALSE))*$P33</f>
        <v>#REF!</v>
      </c>
      <c r="AG33" s="2">
        <f>VLOOKUP($D33,坦克属性统计!$B$3:$AY$33,MATCH(AG$3,坦克属性统计!$B$3:$AY$3,0),FALSE)</f>
        <v>9</v>
      </c>
      <c r="AH33" s="2">
        <f t="shared" si="15"/>
        <v>0.8</v>
      </c>
      <c r="AI33" s="2">
        <f t="shared" si="15"/>
        <v>0</v>
      </c>
      <c r="AJ33" s="2">
        <f t="shared" si="15"/>
        <v>6.1</v>
      </c>
      <c r="AK33" s="34">
        <f t="shared" si="24"/>
        <v>47.591999999999999</v>
      </c>
      <c r="AL33" s="2" t="e">
        <f ca="1">VLOOKUP($E33&amp;$K33,所有坦克升星属性,MATCH(AL$3,所有坦克升星属性标头,0),FALSE)+ROUND(AQ33/VLOOKUP($E33,坦克部件!#REF!,4,FALSE)*VLOOKUP($E33&amp;0,所有坦克升星属性,MATCH(AL$3,所有坦克升星属性标头,0),FALSE),0)</f>
        <v>#N/A</v>
      </c>
      <c r="AM33" s="2" t="e">
        <f ca="1">VLOOKUP($E33&amp;$K33,所有坦克升星属性,MATCH(AM$3,所有坦克升星属性标头,0),FALSE)+ROUND(AR33/VLOOKUP($E33,坦克部件!#REF!,4,FALSE)*VLOOKUP($E33&amp;0,所有坦克升星属性,MATCH(AM$3,所有坦克升星属性标头,0),FALSE),0)</f>
        <v>#N/A</v>
      </c>
      <c r="AN33" s="2" t="e">
        <f t="shared" ca="1" si="16"/>
        <v>#N/A</v>
      </c>
      <c r="AO33" s="2" t="e">
        <f t="shared" ca="1" si="16"/>
        <v>#N/A</v>
      </c>
      <c r="AP33" s="2" t="e">
        <f ca="1">VLOOKUP($E33&amp;$K33,所有坦克升星属性,MATCH(AP$3,所有坦克升星属性标头,0),FALSE)+ROUND(AS33/VLOOKUP($E33,坦克部件!#REF!,4,FALSE)*VLOOKUP($E33&amp;0,所有坦克升星属性,MATCH(AP$3,所有坦克升星属性标头,0),FALSE),0)</f>
        <v>#N/A</v>
      </c>
      <c r="AQ33" s="2" t="e">
        <f>(VLOOKUP($T33,坦克部件!#REF!,MATCH("标准值",坦克部件!#REF!,0),FALSE)+VLOOKUP($N33,坦克部件!#REF!,MATCH("标准值",坦克部件!#REF!,0),FALSE))*$Q33</f>
        <v>#REF!</v>
      </c>
      <c r="AR33" s="2" t="e">
        <f>(VLOOKUP($T33,坦克部件!#REF!,MATCH("标准值",坦克部件!#REF!,0),FALSE)+VLOOKUP($N33,坦克部件!#REF!,MATCH("标准值",坦克部件!#REF!,0),FALSE))*$Q33</f>
        <v>#REF!</v>
      </c>
      <c r="AS33" s="2" t="e">
        <f>(VLOOKUP($T33,坦克部件!#REF!,MATCH("标准值",坦克部件!#REF!,0),FALSE)+VLOOKUP($N33,坦克部件!#REF!,MATCH("标准值",坦克部件!#REF!,0),FALSE))*$Q33</f>
        <v>#REF!</v>
      </c>
      <c r="AT33" s="2">
        <f>VLOOKUP($E33,坦克属性统计!$B$3:$AY$33,MATCH(AT$3,坦克属性统计!$B$3:$AY$3,0),FALSE)</f>
        <v>4</v>
      </c>
      <c r="AU33" s="2">
        <f t="shared" si="17"/>
        <v>0.26</v>
      </c>
      <c r="AV33" s="2">
        <f t="shared" si="17"/>
        <v>2.4</v>
      </c>
      <c r="AW33" s="2">
        <f t="shared" si="17"/>
        <v>0</v>
      </c>
      <c r="AX33" s="34">
        <f t="shared" si="25"/>
        <v>29</v>
      </c>
      <c r="AY33" s="2" t="e">
        <f ca="1">VLOOKUP($F33&amp;$L33,所有坦克升星属性,MATCH(AY$3,所有坦克升星属性标头,0),FALSE)+ROUND(BD33/VLOOKUP($F33,坦克部件!#REF!,4,FALSE)*VLOOKUP($F33&amp;0,所有坦克升星属性,MATCH(AY$3,所有坦克升星属性标头,0),FALSE),0)</f>
        <v>#N/A</v>
      </c>
      <c r="AZ33" s="2" t="e">
        <f ca="1">VLOOKUP($F33&amp;$L33,所有坦克升星属性,MATCH(AZ$3,所有坦克升星属性标头,0),FALSE)+ROUND(BE33/VLOOKUP($F33,坦克部件!#REF!,4,FALSE)*VLOOKUP($F33&amp;0,所有坦克升星属性,MATCH(AZ$3,所有坦克升星属性标头,0),FALSE),0)</f>
        <v>#N/A</v>
      </c>
      <c r="BA33" s="2" t="e">
        <f t="shared" ca="1" si="18"/>
        <v>#N/A</v>
      </c>
      <c r="BB33" s="2" t="e">
        <f t="shared" ca="1" si="18"/>
        <v>#N/A</v>
      </c>
      <c r="BC33" s="2" t="e">
        <f ca="1">VLOOKUP($F33&amp;$L33,所有坦克升星属性,MATCH(BC$3,所有坦克升星属性标头,0),FALSE)+ROUND(BF33/VLOOKUP($F33,坦克部件!#REF!,4,FALSE)*VLOOKUP($F33&amp;0,所有坦克升星属性,MATCH(BC$3,所有坦克升星属性标头,0),FALSE),0)</f>
        <v>#N/A</v>
      </c>
      <c r="BD33" s="2" t="e">
        <f>(VLOOKUP($U33,坦克部件!#REF!,MATCH("标准值",坦克部件!#REF!,0),FALSE)+VLOOKUP($O33,坦克部件!#REF!,MATCH("标准值",坦克部件!#REF!,0),FALSE))*$R33</f>
        <v>#REF!</v>
      </c>
      <c r="BE33" s="2" t="e">
        <f>(VLOOKUP($U33,坦克部件!#REF!,MATCH("标准值",坦克部件!#REF!,0),FALSE)+VLOOKUP($O33,坦克部件!#REF!,MATCH("标准值",坦克部件!#REF!,0),FALSE))*$R33</f>
        <v>#REF!</v>
      </c>
      <c r="BF33" s="2" t="e">
        <f>(VLOOKUP($U33,坦克部件!#REF!,MATCH("标准值",坦克部件!#REF!,0),FALSE)+VLOOKUP($O33,坦克部件!#REF!,MATCH("标准值",坦克部件!#REF!,0),FALSE))*$R33</f>
        <v>#REF!</v>
      </c>
      <c r="BG33" s="2">
        <f>VLOOKUP($F33,坦克属性统计!$B$3:$AY$33,MATCH(BG$3,坦克属性统计!$B$3:$AY$3,0),FALSE)</f>
        <v>2</v>
      </c>
      <c r="BH33" s="2">
        <f t="shared" si="19"/>
        <v>2</v>
      </c>
      <c r="BI33" s="2">
        <f t="shared" si="19"/>
        <v>4.4400000000000004</v>
      </c>
      <c r="BJ33" s="2">
        <f t="shared" si="19"/>
        <v>0</v>
      </c>
      <c r="BK33" s="34">
        <f t="shared" si="26"/>
        <v>15.513513513513512</v>
      </c>
      <c r="BM33" s="1" t="e">
        <f t="shared" ca="1" si="6"/>
        <v>#N/A</v>
      </c>
    </row>
    <row r="34" spans="2:65" x14ac:dyDescent="0.3">
      <c r="B34" s="2">
        <v>31</v>
      </c>
      <c r="C34" s="2" t="e">
        <f t="shared" ca="1" si="20"/>
        <v>#N/A</v>
      </c>
      <c r="D34" s="2" t="s">
        <v>620</v>
      </c>
      <c r="E34" s="2" t="s">
        <v>638</v>
      </c>
      <c r="F34" s="2" t="s">
        <v>657</v>
      </c>
      <c r="G34" s="2" t="str">
        <f>VLOOKUP(D34,坦克个性化设定!$B$18:$F$48,5,FALSE)</f>
        <v>轻坦弹夹</v>
      </c>
      <c r="H34" s="2" t="str">
        <f>VLOOKUP(E34,坦克个性化设定!$B$18:$F$48,5,FALSE)</f>
        <v>中坦自动</v>
      </c>
      <c r="I34" s="2" t="str">
        <f>VLOOKUP(F34,坦克个性化设定!$B$18:$F$48,5,FALSE)</f>
        <v>重坦单发</v>
      </c>
      <c r="J34" s="2">
        <v>1</v>
      </c>
      <c r="K34" s="2">
        <v>1</v>
      </c>
      <c r="L34" s="2">
        <v>0</v>
      </c>
      <c r="M34" s="2" t="s">
        <v>1721</v>
      </c>
      <c r="N34" s="2" t="s">
        <v>1721</v>
      </c>
      <c r="O34" s="2" t="s">
        <v>1721</v>
      </c>
      <c r="P34" s="2">
        <v>6</v>
      </c>
      <c r="Q34" s="2">
        <v>6</v>
      </c>
      <c r="R34" s="2">
        <v>6</v>
      </c>
      <c r="S34" s="2">
        <v>40</v>
      </c>
      <c r="T34" s="2">
        <v>40</v>
      </c>
      <c r="U34" s="2">
        <v>40</v>
      </c>
      <c r="V34" s="42" t="e">
        <f t="shared" ca="1" si="21"/>
        <v>#N/A</v>
      </c>
      <c r="W34" s="42" t="e">
        <f t="shared" ca="1" si="22"/>
        <v>#N/A</v>
      </c>
      <c r="X34" s="42" t="e">
        <f t="shared" ca="1" si="23"/>
        <v>#N/A</v>
      </c>
      <c r="Y34" s="2" t="e">
        <f ca="1">VLOOKUP($D34&amp;$J34,所有坦克升星属性,MATCH(Y$3,所有坦克升星属性标头,0),FALSE)+ROUND(AD34/VLOOKUP($D34,坦克部件!#REF!,4,FALSE)*VLOOKUP($D34&amp;0,所有坦克升星属性,MATCH(Y$3,所有坦克升星属性标头,0),FALSE),0)</f>
        <v>#N/A</v>
      </c>
      <c r="Z34" s="2" t="e">
        <f ca="1">VLOOKUP($D34&amp;$J34,所有坦克升星属性,MATCH(Z$3,所有坦克升星属性标头,0),FALSE)+ROUND(AE34/VLOOKUP($D34,坦克部件!#REF!,4,FALSE)*VLOOKUP($D34&amp;0,所有坦克升星属性,MATCH(Z$3,所有坦克升星属性标头,0),FALSE),0)</f>
        <v>#N/A</v>
      </c>
      <c r="AA34" s="2" t="e">
        <f t="shared" ca="1" si="14"/>
        <v>#N/A</v>
      </c>
      <c r="AB34" s="2" t="e">
        <f t="shared" ca="1" si="14"/>
        <v>#N/A</v>
      </c>
      <c r="AC34" s="2" t="e">
        <f ca="1">VLOOKUP($D34&amp;$J34,所有坦克升星属性,MATCH(AC$3,所有坦克升星属性标头,0),FALSE)+ROUND(AF34/VLOOKUP($D34,坦克部件!#REF!,4,FALSE)*VLOOKUP($D34&amp;0,所有坦克升星属性,MATCH(AC$3,所有坦克升星属性标头,0),FALSE),0)</f>
        <v>#N/A</v>
      </c>
      <c r="AD34" s="2" t="e">
        <f>(VLOOKUP($S34,坦克部件!#REF!,MATCH("标准值",坦克部件!#REF!,0),FALSE)+VLOOKUP($M34,坦克部件!#REF!,MATCH("标准值",坦克部件!#REF!,0),FALSE))*$P34</f>
        <v>#REF!</v>
      </c>
      <c r="AE34" s="2" t="e">
        <f>(VLOOKUP($S34,坦克部件!#REF!,MATCH("标准值",坦克部件!#REF!,0),FALSE)+VLOOKUP($M34,坦克部件!#REF!,MATCH("标准值",坦克部件!#REF!,0),FALSE))*$P34</f>
        <v>#REF!</v>
      </c>
      <c r="AF34" s="2" t="e">
        <f>(VLOOKUP($S34,坦克部件!#REF!,MATCH("标准值",坦克部件!#REF!,0),FALSE)+VLOOKUP($M34,坦克部件!#REF!,MATCH("标准值",坦克部件!#REF!,0),FALSE))*$P34</f>
        <v>#REF!</v>
      </c>
      <c r="AG34" s="2">
        <f>VLOOKUP($D34,坦克属性统计!$B$3:$AY$33,MATCH(AG$3,坦克属性统计!$B$3:$AY$3,0),FALSE)</f>
        <v>9</v>
      </c>
      <c r="AH34" s="2">
        <f t="shared" si="15"/>
        <v>0.8</v>
      </c>
      <c r="AI34" s="2">
        <f t="shared" si="15"/>
        <v>0</v>
      </c>
      <c r="AJ34" s="2">
        <f t="shared" si="15"/>
        <v>6.1</v>
      </c>
      <c r="AK34" s="34">
        <f t="shared" si="24"/>
        <v>47.591999999999999</v>
      </c>
      <c r="AL34" s="2" t="e">
        <f ca="1">VLOOKUP($E34&amp;$K34,所有坦克升星属性,MATCH(AL$3,所有坦克升星属性标头,0),FALSE)+ROUND(AQ34/VLOOKUP($E34,坦克部件!#REF!,4,FALSE)*VLOOKUP($E34&amp;0,所有坦克升星属性,MATCH(AL$3,所有坦克升星属性标头,0),FALSE),0)</f>
        <v>#N/A</v>
      </c>
      <c r="AM34" s="2" t="e">
        <f ca="1">VLOOKUP($E34&amp;$K34,所有坦克升星属性,MATCH(AM$3,所有坦克升星属性标头,0),FALSE)+ROUND(AR34/VLOOKUP($E34,坦克部件!#REF!,4,FALSE)*VLOOKUP($E34&amp;0,所有坦克升星属性,MATCH(AM$3,所有坦克升星属性标头,0),FALSE),0)</f>
        <v>#N/A</v>
      </c>
      <c r="AN34" s="2" t="e">
        <f t="shared" ca="1" si="16"/>
        <v>#N/A</v>
      </c>
      <c r="AO34" s="2" t="e">
        <f t="shared" ca="1" si="16"/>
        <v>#N/A</v>
      </c>
      <c r="AP34" s="2" t="e">
        <f ca="1">VLOOKUP($E34&amp;$K34,所有坦克升星属性,MATCH(AP$3,所有坦克升星属性标头,0),FALSE)+ROUND(AS34/VLOOKUP($E34,坦克部件!#REF!,4,FALSE)*VLOOKUP($E34&amp;0,所有坦克升星属性,MATCH(AP$3,所有坦克升星属性标头,0),FALSE),0)</f>
        <v>#N/A</v>
      </c>
      <c r="AQ34" s="2" t="e">
        <f>(VLOOKUP($T34,坦克部件!#REF!,MATCH("标准值",坦克部件!#REF!,0),FALSE)+VLOOKUP($N34,坦克部件!#REF!,MATCH("标准值",坦克部件!#REF!,0),FALSE))*$Q34</f>
        <v>#REF!</v>
      </c>
      <c r="AR34" s="2" t="e">
        <f>(VLOOKUP($T34,坦克部件!#REF!,MATCH("标准值",坦克部件!#REF!,0),FALSE)+VLOOKUP($N34,坦克部件!#REF!,MATCH("标准值",坦克部件!#REF!,0),FALSE))*$Q34</f>
        <v>#REF!</v>
      </c>
      <c r="AS34" s="2" t="e">
        <f>(VLOOKUP($T34,坦克部件!#REF!,MATCH("标准值",坦克部件!#REF!,0),FALSE)+VLOOKUP($N34,坦克部件!#REF!,MATCH("标准值",坦克部件!#REF!,0),FALSE))*$Q34</f>
        <v>#REF!</v>
      </c>
      <c r="AT34" s="2">
        <f>VLOOKUP($E34,坦克属性统计!$B$3:$AY$33,MATCH(AT$3,坦克属性统计!$B$3:$AY$3,0),FALSE)</f>
        <v>4</v>
      </c>
      <c r="AU34" s="2">
        <f t="shared" si="17"/>
        <v>0.26</v>
      </c>
      <c r="AV34" s="2">
        <f t="shared" si="17"/>
        <v>2.37</v>
      </c>
      <c r="AW34" s="2">
        <f t="shared" si="17"/>
        <v>0</v>
      </c>
      <c r="AX34" s="34">
        <f t="shared" si="25"/>
        <v>29.316455696202532</v>
      </c>
      <c r="AY34" s="2" t="e">
        <f ca="1">VLOOKUP($F34&amp;$L34,所有坦克升星属性,MATCH(AY$3,所有坦克升星属性标头,0),FALSE)+ROUND(BD34/VLOOKUP($F34,坦克部件!#REF!,4,FALSE)*VLOOKUP($F34&amp;0,所有坦克升星属性,MATCH(AY$3,所有坦克升星属性标头,0),FALSE),0)</f>
        <v>#N/A</v>
      </c>
      <c r="AZ34" s="2" t="e">
        <f ca="1">VLOOKUP($F34&amp;$L34,所有坦克升星属性,MATCH(AZ$3,所有坦克升星属性标头,0),FALSE)+ROUND(BE34/VLOOKUP($F34,坦克部件!#REF!,4,FALSE)*VLOOKUP($F34&amp;0,所有坦克升星属性,MATCH(AZ$3,所有坦克升星属性标头,0),FALSE),0)</f>
        <v>#N/A</v>
      </c>
      <c r="BA34" s="2" t="e">
        <f t="shared" ca="1" si="18"/>
        <v>#N/A</v>
      </c>
      <c r="BB34" s="2" t="e">
        <f t="shared" ca="1" si="18"/>
        <v>#N/A</v>
      </c>
      <c r="BC34" s="2" t="e">
        <f ca="1">VLOOKUP($F34&amp;$L34,所有坦克升星属性,MATCH(BC$3,所有坦克升星属性标头,0),FALSE)+ROUND(BF34/VLOOKUP($F34,坦克部件!#REF!,4,FALSE)*VLOOKUP($F34&amp;0,所有坦克升星属性,MATCH(BC$3,所有坦克升星属性标头,0),FALSE),0)</f>
        <v>#N/A</v>
      </c>
      <c r="BD34" s="2" t="e">
        <f>(VLOOKUP($U34,坦克部件!#REF!,MATCH("标准值",坦克部件!#REF!,0),FALSE)+VLOOKUP($O34,坦克部件!#REF!,MATCH("标准值",坦克部件!#REF!,0),FALSE))*$R34</f>
        <v>#REF!</v>
      </c>
      <c r="BE34" s="2" t="e">
        <f>(VLOOKUP($U34,坦克部件!#REF!,MATCH("标准值",坦克部件!#REF!,0),FALSE)+VLOOKUP($O34,坦克部件!#REF!,MATCH("标准值",坦克部件!#REF!,0),FALSE))*$R34</f>
        <v>#REF!</v>
      </c>
      <c r="BF34" s="2" t="e">
        <f>(VLOOKUP($U34,坦克部件!#REF!,MATCH("标准值",坦克部件!#REF!,0),FALSE)+VLOOKUP($O34,坦克部件!#REF!,MATCH("标准值",坦克部件!#REF!,0),FALSE))*$R34</f>
        <v>#REF!</v>
      </c>
      <c r="BG34" s="2">
        <f>VLOOKUP($F34,坦克属性统计!$B$3:$AY$33,MATCH(BG$3,坦克属性统计!$B$3:$AY$3,0),FALSE)</f>
        <v>1</v>
      </c>
      <c r="BH34" s="2">
        <f t="shared" si="19"/>
        <v>0</v>
      </c>
      <c r="BI34" s="2">
        <f t="shared" si="19"/>
        <v>6</v>
      </c>
      <c r="BJ34" s="2">
        <f t="shared" si="19"/>
        <v>0</v>
      </c>
      <c r="BK34" s="34">
        <f t="shared" si="26"/>
        <v>11</v>
      </c>
      <c r="BM34" s="1" t="e">
        <f t="shared" ca="1" si="6"/>
        <v>#N/A</v>
      </c>
    </row>
    <row r="35" spans="2:65" x14ac:dyDescent="0.3">
      <c r="B35" s="2">
        <v>32</v>
      </c>
      <c r="C35" s="2" t="e">
        <f t="shared" ca="1" si="20"/>
        <v>#N/A</v>
      </c>
      <c r="D35" s="2" t="s">
        <v>620</v>
      </c>
      <c r="E35" s="2" t="s">
        <v>638</v>
      </c>
      <c r="F35" s="2" t="s">
        <v>657</v>
      </c>
      <c r="G35" s="2" t="str">
        <f>VLOOKUP(D35,坦克个性化设定!$B$18:$F$48,5,FALSE)</f>
        <v>轻坦弹夹</v>
      </c>
      <c r="H35" s="2" t="str">
        <f>VLOOKUP(E35,坦克个性化设定!$B$18:$F$48,5,FALSE)</f>
        <v>中坦自动</v>
      </c>
      <c r="I35" s="2" t="str">
        <f>VLOOKUP(F35,坦克个性化设定!$B$18:$F$48,5,FALSE)</f>
        <v>重坦单发</v>
      </c>
      <c r="J35" s="2">
        <v>1</v>
      </c>
      <c r="K35" s="2">
        <v>1</v>
      </c>
      <c r="L35" s="2">
        <v>1</v>
      </c>
      <c r="M35" s="2" t="s">
        <v>1721</v>
      </c>
      <c r="N35" s="2" t="s">
        <v>1721</v>
      </c>
      <c r="O35" s="2" t="s">
        <v>1721</v>
      </c>
      <c r="P35" s="2">
        <v>6</v>
      </c>
      <c r="Q35" s="2">
        <v>6</v>
      </c>
      <c r="R35" s="2">
        <v>6</v>
      </c>
      <c r="S35" s="2">
        <v>40</v>
      </c>
      <c r="T35" s="2">
        <v>40</v>
      </c>
      <c r="U35" s="2">
        <v>40</v>
      </c>
      <c r="V35" s="42" t="e">
        <f t="shared" ca="1" si="21"/>
        <v>#N/A</v>
      </c>
      <c r="W35" s="42" t="e">
        <f t="shared" ca="1" si="22"/>
        <v>#N/A</v>
      </c>
      <c r="X35" s="42" t="e">
        <f t="shared" ca="1" si="23"/>
        <v>#N/A</v>
      </c>
      <c r="Y35" s="2" t="e">
        <f ca="1">VLOOKUP($D35&amp;$J35,所有坦克升星属性,MATCH(Y$3,所有坦克升星属性标头,0),FALSE)+ROUND(AD35/VLOOKUP($D35,坦克部件!#REF!,4,FALSE)*VLOOKUP($D35&amp;0,所有坦克升星属性,MATCH(Y$3,所有坦克升星属性标头,0),FALSE),0)</f>
        <v>#N/A</v>
      </c>
      <c r="Z35" s="2" t="e">
        <f ca="1">VLOOKUP($D35&amp;$J35,所有坦克升星属性,MATCH(Z$3,所有坦克升星属性标头,0),FALSE)+ROUND(AE35/VLOOKUP($D35,坦克部件!#REF!,4,FALSE)*VLOOKUP($D35&amp;0,所有坦克升星属性,MATCH(Z$3,所有坦克升星属性标头,0),FALSE),0)</f>
        <v>#N/A</v>
      </c>
      <c r="AA35" s="2" t="e">
        <f t="shared" ca="1" si="14"/>
        <v>#N/A</v>
      </c>
      <c r="AB35" s="2" t="e">
        <f t="shared" ca="1" si="14"/>
        <v>#N/A</v>
      </c>
      <c r="AC35" s="2" t="e">
        <f ca="1">VLOOKUP($D35&amp;$J35,所有坦克升星属性,MATCH(AC$3,所有坦克升星属性标头,0),FALSE)+ROUND(AF35/VLOOKUP($D35,坦克部件!#REF!,4,FALSE)*VLOOKUP($D35&amp;0,所有坦克升星属性,MATCH(AC$3,所有坦克升星属性标头,0),FALSE),0)</f>
        <v>#N/A</v>
      </c>
      <c r="AD35" s="2" t="e">
        <f>(VLOOKUP($S35,坦克部件!#REF!,MATCH("标准值",坦克部件!#REF!,0),FALSE)+VLOOKUP($M35,坦克部件!#REF!,MATCH("标准值",坦克部件!#REF!,0),FALSE))*$P35</f>
        <v>#REF!</v>
      </c>
      <c r="AE35" s="2" t="e">
        <f>(VLOOKUP($S35,坦克部件!#REF!,MATCH("标准值",坦克部件!#REF!,0),FALSE)+VLOOKUP($M35,坦克部件!#REF!,MATCH("标准值",坦克部件!#REF!,0),FALSE))*$P35</f>
        <v>#REF!</v>
      </c>
      <c r="AF35" s="2" t="e">
        <f>(VLOOKUP($S35,坦克部件!#REF!,MATCH("标准值",坦克部件!#REF!,0),FALSE)+VLOOKUP($M35,坦克部件!#REF!,MATCH("标准值",坦克部件!#REF!,0),FALSE))*$P35</f>
        <v>#REF!</v>
      </c>
      <c r="AG35" s="2">
        <f>VLOOKUP($D35,坦克属性统计!$B$3:$AY$33,MATCH(AG$3,坦克属性统计!$B$3:$AY$3,0),FALSE)</f>
        <v>9</v>
      </c>
      <c r="AH35" s="2">
        <f t="shared" si="15"/>
        <v>0.8</v>
      </c>
      <c r="AI35" s="2">
        <f t="shared" si="15"/>
        <v>0</v>
      </c>
      <c r="AJ35" s="2">
        <f t="shared" si="15"/>
        <v>6.1</v>
      </c>
      <c r="AK35" s="34">
        <f t="shared" si="24"/>
        <v>47.591999999999999</v>
      </c>
      <c r="AL35" s="2" t="e">
        <f ca="1">VLOOKUP($E35&amp;$K35,所有坦克升星属性,MATCH(AL$3,所有坦克升星属性标头,0),FALSE)+ROUND(AQ35/VLOOKUP($E35,坦克部件!#REF!,4,FALSE)*VLOOKUP($E35&amp;0,所有坦克升星属性,MATCH(AL$3,所有坦克升星属性标头,0),FALSE),0)</f>
        <v>#N/A</v>
      </c>
      <c r="AM35" s="2" t="e">
        <f ca="1">VLOOKUP($E35&amp;$K35,所有坦克升星属性,MATCH(AM$3,所有坦克升星属性标头,0),FALSE)+ROUND(AR35/VLOOKUP($E35,坦克部件!#REF!,4,FALSE)*VLOOKUP($E35&amp;0,所有坦克升星属性,MATCH(AM$3,所有坦克升星属性标头,0),FALSE),0)</f>
        <v>#N/A</v>
      </c>
      <c r="AN35" s="2" t="e">
        <f t="shared" ca="1" si="16"/>
        <v>#N/A</v>
      </c>
      <c r="AO35" s="2" t="e">
        <f t="shared" ca="1" si="16"/>
        <v>#N/A</v>
      </c>
      <c r="AP35" s="2" t="e">
        <f ca="1">VLOOKUP($E35&amp;$K35,所有坦克升星属性,MATCH(AP$3,所有坦克升星属性标头,0),FALSE)+ROUND(AS35/VLOOKUP($E35,坦克部件!#REF!,4,FALSE)*VLOOKUP($E35&amp;0,所有坦克升星属性,MATCH(AP$3,所有坦克升星属性标头,0),FALSE),0)</f>
        <v>#N/A</v>
      </c>
      <c r="AQ35" s="2" t="e">
        <f>(VLOOKUP($T35,坦克部件!#REF!,MATCH("标准值",坦克部件!#REF!,0),FALSE)+VLOOKUP($N35,坦克部件!#REF!,MATCH("标准值",坦克部件!#REF!,0),FALSE))*$Q35</f>
        <v>#REF!</v>
      </c>
      <c r="AR35" s="2" t="e">
        <f>(VLOOKUP($T35,坦克部件!#REF!,MATCH("标准值",坦克部件!#REF!,0),FALSE)+VLOOKUP($N35,坦克部件!#REF!,MATCH("标准值",坦克部件!#REF!,0),FALSE))*$Q35</f>
        <v>#REF!</v>
      </c>
      <c r="AS35" s="2" t="e">
        <f>(VLOOKUP($T35,坦克部件!#REF!,MATCH("标准值",坦克部件!#REF!,0),FALSE)+VLOOKUP($N35,坦克部件!#REF!,MATCH("标准值",坦克部件!#REF!,0),FALSE))*$Q35</f>
        <v>#REF!</v>
      </c>
      <c r="AT35" s="2">
        <f>VLOOKUP($E35,坦克属性统计!$B$3:$AY$33,MATCH(AT$3,坦克属性统计!$B$3:$AY$3,0),FALSE)</f>
        <v>4</v>
      </c>
      <c r="AU35" s="2">
        <f t="shared" si="17"/>
        <v>0.26</v>
      </c>
      <c r="AV35" s="2">
        <f t="shared" si="17"/>
        <v>2.37</v>
      </c>
      <c r="AW35" s="2">
        <f t="shared" si="17"/>
        <v>0</v>
      </c>
      <c r="AX35" s="34">
        <f t="shared" si="25"/>
        <v>29.316455696202532</v>
      </c>
      <c r="AY35" s="2" t="e">
        <f ca="1">VLOOKUP($F35&amp;$L35,所有坦克升星属性,MATCH(AY$3,所有坦克升星属性标头,0),FALSE)+ROUND(BD35/VLOOKUP($F35,坦克部件!#REF!,4,FALSE)*VLOOKUP($F35&amp;0,所有坦克升星属性,MATCH(AY$3,所有坦克升星属性标头,0),FALSE),0)</f>
        <v>#N/A</v>
      </c>
      <c r="AZ35" s="2" t="e">
        <f ca="1">VLOOKUP($F35&amp;$L35,所有坦克升星属性,MATCH(AZ$3,所有坦克升星属性标头,0),FALSE)+ROUND(BE35/VLOOKUP($F35,坦克部件!#REF!,4,FALSE)*VLOOKUP($F35&amp;0,所有坦克升星属性,MATCH(AZ$3,所有坦克升星属性标头,0),FALSE),0)</f>
        <v>#N/A</v>
      </c>
      <c r="BA35" s="2" t="e">
        <f t="shared" ca="1" si="18"/>
        <v>#N/A</v>
      </c>
      <c r="BB35" s="2" t="e">
        <f t="shared" ca="1" si="18"/>
        <v>#N/A</v>
      </c>
      <c r="BC35" s="2" t="e">
        <f ca="1">VLOOKUP($F35&amp;$L35,所有坦克升星属性,MATCH(BC$3,所有坦克升星属性标头,0),FALSE)+ROUND(BF35/VLOOKUP($F35,坦克部件!#REF!,4,FALSE)*VLOOKUP($F35&amp;0,所有坦克升星属性,MATCH(BC$3,所有坦克升星属性标头,0),FALSE),0)</f>
        <v>#N/A</v>
      </c>
      <c r="BD35" s="2" t="e">
        <f>(VLOOKUP($U35,坦克部件!#REF!,MATCH("标准值",坦克部件!#REF!,0),FALSE)+VLOOKUP($O35,坦克部件!#REF!,MATCH("标准值",坦克部件!#REF!,0),FALSE))*$R35</f>
        <v>#REF!</v>
      </c>
      <c r="BE35" s="2" t="e">
        <f>(VLOOKUP($U35,坦克部件!#REF!,MATCH("标准值",坦克部件!#REF!,0),FALSE)+VLOOKUP($O35,坦克部件!#REF!,MATCH("标准值",坦克部件!#REF!,0),FALSE))*$R35</f>
        <v>#REF!</v>
      </c>
      <c r="BF35" s="2" t="e">
        <f>(VLOOKUP($U35,坦克部件!#REF!,MATCH("标准值",坦克部件!#REF!,0),FALSE)+VLOOKUP($O35,坦克部件!#REF!,MATCH("标准值",坦克部件!#REF!,0),FALSE))*$R35</f>
        <v>#REF!</v>
      </c>
      <c r="BG35" s="2">
        <f>VLOOKUP($F35,坦克属性统计!$B$3:$AY$33,MATCH(BG$3,坦克属性统计!$B$3:$AY$3,0),FALSE)</f>
        <v>1</v>
      </c>
      <c r="BH35" s="2">
        <f t="shared" si="19"/>
        <v>0</v>
      </c>
      <c r="BI35" s="2">
        <f t="shared" si="19"/>
        <v>5.92</v>
      </c>
      <c r="BJ35" s="2">
        <f t="shared" si="19"/>
        <v>0</v>
      </c>
      <c r="BK35" s="34">
        <f t="shared" si="26"/>
        <v>11.135135135135135</v>
      </c>
      <c r="BM35" s="1" t="e">
        <f t="shared" ca="1" si="6"/>
        <v>#N/A</v>
      </c>
    </row>
    <row r="36" spans="2:65" x14ac:dyDescent="0.3">
      <c r="B36" s="2">
        <v>33</v>
      </c>
      <c r="C36" s="2" t="e">
        <f t="shared" ca="1" si="20"/>
        <v>#N/A</v>
      </c>
      <c r="D36" s="2" t="s">
        <v>620</v>
      </c>
      <c r="E36" s="2" t="s">
        <v>638</v>
      </c>
      <c r="F36" s="2" t="s">
        <v>657</v>
      </c>
      <c r="G36" s="2" t="str">
        <f>VLOOKUP(D36,坦克个性化设定!$B$18:$F$48,5,FALSE)</f>
        <v>轻坦弹夹</v>
      </c>
      <c r="H36" s="2" t="str">
        <f>VLOOKUP(E36,坦克个性化设定!$B$18:$F$48,5,FALSE)</f>
        <v>中坦自动</v>
      </c>
      <c r="I36" s="2" t="str">
        <f>VLOOKUP(F36,坦克个性化设定!$B$18:$F$48,5,FALSE)</f>
        <v>重坦单发</v>
      </c>
      <c r="J36" s="2">
        <v>2</v>
      </c>
      <c r="K36" s="2">
        <v>2</v>
      </c>
      <c r="L36" s="2">
        <v>2</v>
      </c>
      <c r="M36" s="2" t="s">
        <v>1721</v>
      </c>
      <c r="N36" s="2" t="s">
        <v>1721</v>
      </c>
      <c r="O36" s="2" t="s">
        <v>1721</v>
      </c>
      <c r="P36" s="2">
        <v>6</v>
      </c>
      <c r="Q36" s="2">
        <v>6</v>
      </c>
      <c r="R36" s="2">
        <v>6</v>
      </c>
      <c r="S36" s="2">
        <v>40</v>
      </c>
      <c r="T36" s="2">
        <v>40</v>
      </c>
      <c r="U36" s="2">
        <v>40</v>
      </c>
      <c r="V36" s="42" t="e">
        <f t="shared" ca="1" si="21"/>
        <v>#N/A</v>
      </c>
      <c r="W36" s="42" t="e">
        <f t="shared" ca="1" si="22"/>
        <v>#N/A</v>
      </c>
      <c r="X36" s="42" t="e">
        <f t="shared" ca="1" si="23"/>
        <v>#N/A</v>
      </c>
      <c r="Y36" s="2" t="e">
        <f ca="1">VLOOKUP($D36&amp;$J36,所有坦克升星属性,MATCH(Y$3,所有坦克升星属性标头,0),FALSE)+ROUND(AD36/VLOOKUP($D36,坦克部件!#REF!,4,FALSE)*VLOOKUP($D36&amp;0,所有坦克升星属性,MATCH(Y$3,所有坦克升星属性标头,0),FALSE),0)</f>
        <v>#N/A</v>
      </c>
      <c r="Z36" s="2" t="e">
        <f ca="1">VLOOKUP($D36&amp;$J36,所有坦克升星属性,MATCH(Z$3,所有坦克升星属性标头,0),FALSE)+ROUND(AE36/VLOOKUP($D36,坦克部件!#REF!,4,FALSE)*VLOOKUP($D36&amp;0,所有坦克升星属性,MATCH(Z$3,所有坦克升星属性标头,0),FALSE),0)</f>
        <v>#N/A</v>
      </c>
      <c r="AA36" s="2" t="e">
        <f t="shared" ca="1" si="14"/>
        <v>#N/A</v>
      </c>
      <c r="AB36" s="2" t="e">
        <f t="shared" ca="1" si="14"/>
        <v>#N/A</v>
      </c>
      <c r="AC36" s="2" t="e">
        <f ca="1">VLOOKUP($D36&amp;$J36,所有坦克升星属性,MATCH(AC$3,所有坦克升星属性标头,0),FALSE)+ROUND(AF36/VLOOKUP($D36,坦克部件!#REF!,4,FALSE)*VLOOKUP($D36&amp;0,所有坦克升星属性,MATCH(AC$3,所有坦克升星属性标头,0),FALSE),0)</f>
        <v>#N/A</v>
      </c>
      <c r="AD36" s="2" t="e">
        <f>(VLOOKUP($S36,坦克部件!#REF!,MATCH("标准值",坦克部件!#REF!,0),FALSE)+VLOOKUP($M36,坦克部件!#REF!,MATCH("标准值",坦克部件!#REF!,0),FALSE))*$P36</f>
        <v>#REF!</v>
      </c>
      <c r="AE36" s="2" t="e">
        <f>(VLOOKUP($S36,坦克部件!#REF!,MATCH("标准值",坦克部件!#REF!,0),FALSE)+VLOOKUP($M36,坦克部件!#REF!,MATCH("标准值",坦克部件!#REF!,0),FALSE))*$P36</f>
        <v>#REF!</v>
      </c>
      <c r="AF36" s="2" t="e">
        <f>(VLOOKUP($S36,坦克部件!#REF!,MATCH("标准值",坦克部件!#REF!,0),FALSE)+VLOOKUP($M36,坦克部件!#REF!,MATCH("标准值",坦克部件!#REF!,0),FALSE))*$P36</f>
        <v>#REF!</v>
      </c>
      <c r="AG36" s="2">
        <f>VLOOKUP($D36,坦克属性统计!$B$3:$AY$33,MATCH(AG$3,坦克属性统计!$B$3:$AY$3,0),FALSE)</f>
        <v>9</v>
      </c>
      <c r="AH36" s="2">
        <f t="shared" si="15"/>
        <v>0.8</v>
      </c>
      <c r="AI36" s="2">
        <f t="shared" si="15"/>
        <v>0</v>
      </c>
      <c r="AJ36" s="2">
        <f t="shared" si="15"/>
        <v>5.9</v>
      </c>
      <c r="AK36" s="34">
        <f t="shared" si="24"/>
        <v>48.219512195121951</v>
      </c>
      <c r="AL36" s="2" t="e">
        <f ca="1">VLOOKUP($E36&amp;$K36,所有坦克升星属性,MATCH(AL$3,所有坦克升星属性标头,0),FALSE)+ROUND(AQ36/VLOOKUP($E36,坦克部件!#REF!,4,FALSE)*VLOOKUP($E36&amp;0,所有坦克升星属性,MATCH(AL$3,所有坦克升星属性标头,0),FALSE),0)</f>
        <v>#N/A</v>
      </c>
      <c r="AM36" s="2" t="e">
        <f ca="1">VLOOKUP($E36&amp;$K36,所有坦克升星属性,MATCH(AM$3,所有坦克升星属性标头,0),FALSE)+ROUND(AR36/VLOOKUP($E36,坦克部件!#REF!,4,FALSE)*VLOOKUP($E36&amp;0,所有坦克升星属性,MATCH(AM$3,所有坦克升星属性标头,0),FALSE),0)</f>
        <v>#N/A</v>
      </c>
      <c r="AN36" s="2" t="e">
        <f t="shared" ca="1" si="16"/>
        <v>#N/A</v>
      </c>
      <c r="AO36" s="2" t="e">
        <f t="shared" ca="1" si="16"/>
        <v>#N/A</v>
      </c>
      <c r="AP36" s="2" t="e">
        <f ca="1">VLOOKUP($E36&amp;$K36,所有坦克升星属性,MATCH(AP$3,所有坦克升星属性标头,0),FALSE)+ROUND(AS36/VLOOKUP($E36,坦克部件!#REF!,4,FALSE)*VLOOKUP($E36&amp;0,所有坦克升星属性,MATCH(AP$3,所有坦克升星属性标头,0),FALSE),0)</f>
        <v>#N/A</v>
      </c>
      <c r="AQ36" s="2" t="e">
        <f>(VLOOKUP($T36,坦克部件!#REF!,MATCH("标准值",坦克部件!#REF!,0),FALSE)+VLOOKUP($N36,坦克部件!#REF!,MATCH("标准值",坦克部件!#REF!,0),FALSE))*$Q36</f>
        <v>#REF!</v>
      </c>
      <c r="AR36" s="2" t="e">
        <f>(VLOOKUP($T36,坦克部件!#REF!,MATCH("标准值",坦克部件!#REF!,0),FALSE)+VLOOKUP($N36,坦克部件!#REF!,MATCH("标准值",坦克部件!#REF!,0),FALSE))*$Q36</f>
        <v>#REF!</v>
      </c>
      <c r="AS36" s="2" t="e">
        <f>(VLOOKUP($T36,坦克部件!#REF!,MATCH("标准值",坦克部件!#REF!,0),FALSE)+VLOOKUP($N36,坦克部件!#REF!,MATCH("标准值",坦克部件!#REF!,0),FALSE))*$Q36</f>
        <v>#REF!</v>
      </c>
      <c r="AT36" s="2">
        <f>VLOOKUP($E36,坦克属性统计!$B$3:$AY$33,MATCH(AT$3,坦克属性统计!$B$3:$AY$3,0),FALSE)</f>
        <v>4</v>
      </c>
      <c r="AU36" s="2">
        <f t="shared" si="17"/>
        <v>0.26</v>
      </c>
      <c r="AV36" s="2">
        <f t="shared" si="17"/>
        <v>2.34</v>
      </c>
      <c r="AW36" s="2">
        <f t="shared" si="17"/>
        <v>0</v>
      </c>
      <c r="AX36" s="34">
        <f t="shared" si="25"/>
        <v>29.641025641025642</v>
      </c>
      <c r="AY36" s="2" t="e">
        <f ca="1">VLOOKUP($F36&amp;$L36,所有坦克升星属性,MATCH(AY$3,所有坦克升星属性标头,0),FALSE)+ROUND(BD36/VLOOKUP($F36,坦克部件!#REF!,4,FALSE)*VLOOKUP($F36&amp;0,所有坦克升星属性,MATCH(AY$3,所有坦克升星属性标头,0),FALSE),0)</f>
        <v>#N/A</v>
      </c>
      <c r="AZ36" s="2" t="e">
        <f ca="1">VLOOKUP($F36&amp;$L36,所有坦克升星属性,MATCH(AZ$3,所有坦克升星属性标头,0),FALSE)+ROUND(BE36/VLOOKUP($F36,坦克部件!#REF!,4,FALSE)*VLOOKUP($F36&amp;0,所有坦克升星属性,MATCH(AZ$3,所有坦克升星属性标头,0),FALSE),0)</f>
        <v>#N/A</v>
      </c>
      <c r="BA36" s="2" t="e">
        <f t="shared" ca="1" si="18"/>
        <v>#N/A</v>
      </c>
      <c r="BB36" s="2" t="e">
        <f t="shared" ca="1" si="18"/>
        <v>#N/A</v>
      </c>
      <c r="BC36" s="2" t="e">
        <f ca="1">VLOOKUP($F36&amp;$L36,所有坦克升星属性,MATCH(BC$3,所有坦克升星属性标头,0),FALSE)+ROUND(BF36/VLOOKUP($F36,坦克部件!#REF!,4,FALSE)*VLOOKUP($F36&amp;0,所有坦克升星属性,MATCH(BC$3,所有坦克升星属性标头,0),FALSE),0)</f>
        <v>#N/A</v>
      </c>
      <c r="BD36" s="2" t="e">
        <f>(VLOOKUP($U36,坦克部件!#REF!,MATCH("标准值",坦克部件!#REF!,0),FALSE)+VLOOKUP($O36,坦克部件!#REF!,MATCH("标准值",坦克部件!#REF!,0),FALSE))*$R36</f>
        <v>#REF!</v>
      </c>
      <c r="BE36" s="2" t="e">
        <f>(VLOOKUP($U36,坦克部件!#REF!,MATCH("标准值",坦克部件!#REF!,0),FALSE)+VLOOKUP($O36,坦克部件!#REF!,MATCH("标准值",坦克部件!#REF!,0),FALSE))*$R36</f>
        <v>#REF!</v>
      </c>
      <c r="BF36" s="2" t="e">
        <f>(VLOOKUP($U36,坦克部件!#REF!,MATCH("标准值",坦克部件!#REF!,0),FALSE)+VLOOKUP($O36,坦克部件!#REF!,MATCH("标准值",坦克部件!#REF!,0),FALSE))*$R36</f>
        <v>#REF!</v>
      </c>
      <c r="BG36" s="2">
        <f>VLOOKUP($F36,坦克属性统计!$B$3:$AY$33,MATCH(BG$3,坦克属性统计!$B$3:$AY$3,0),FALSE)</f>
        <v>1</v>
      </c>
      <c r="BH36" s="2">
        <f t="shared" si="19"/>
        <v>0</v>
      </c>
      <c r="BI36" s="2">
        <f t="shared" si="19"/>
        <v>5.85</v>
      </c>
      <c r="BJ36" s="2">
        <f t="shared" si="19"/>
        <v>0</v>
      </c>
      <c r="BK36" s="34">
        <f t="shared" si="26"/>
        <v>11.256410256410257</v>
      </c>
      <c r="BM36" s="1" t="e">
        <f t="shared" ca="1" si="6"/>
        <v>#N/A</v>
      </c>
    </row>
    <row r="37" spans="2:65" x14ac:dyDescent="0.3">
      <c r="B37" s="2">
        <v>34</v>
      </c>
      <c r="C37" s="2" t="e">
        <f t="shared" ca="1" si="20"/>
        <v>#N/A</v>
      </c>
      <c r="D37" s="2" t="s">
        <v>620</v>
      </c>
      <c r="E37" s="2" t="s">
        <v>638</v>
      </c>
      <c r="F37" s="2" t="s">
        <v>657</v>
      </c>
      <c r="G37" s="2" t="str">
        <f>VLOOKUP(D37,坦克个性化设定!$B$18:$F$48,5,FALSE)</f>
        <v>轻坦弹夹</v>
      </c>
      <c r="H37" s="2" t="str">
        <f>VLOOKUP(E37,坦克个性化设定!$B$18:$F$48,5,FALSE)</f>
        <v>中坦自动</v>
      </c>
      <c r="I37" s="2" t="str">
        <f>VLOOKUP(F37,坦克个性化设定!$B$18:$F$48,5,FALSE)</f>
        <v>重坦单发</v>
      </c>
      <c r="J37" s="2">
        <v>3</v>
      </c>
      <c r="K37" s="2">
        <v>3</v>
      </c>
      <c r="L37" s="2">
        <v>3</v>
      </c>
      <c r="M37" s="2" t="s">
        <v>1721</v>
      </c>
      <c r="N37" s="2" t="s">
        <v>1721</v>
      </c>
      <c r="O37" s="2" t="s">
        <v>1721</v>
      </c>
      <c r="P37" s="2">
        <v>6</v>
      </c>
      <c r="Q37" s="2">
        <v>6</v>
      </c>
      <c r="R37" s="2">
        <v>6</v>
      </c>
      <c r="S37" s="2">
        <v>40</v>
      </c>
      <c r="T37" s="2">
        <v>40</v>
      </c>
      <c r="U37" s="2">
        <v>40</v>
      </c>
      <c r="V37" s="42" t="e">
        <f t="shared" ca="1" si="21"/>
        <v>#N/A</v>
      </c>
      <c r="W37" s="42" t="e">
        <f t="shared" ca="1" si="22"/>
        <v>#N/A</v>
      </c>
      <c r="X37" s="42" t="e">
        <f t="shared" ca="1" si="23"/>
        <v>#N/A</v>
      </c>
      <c r="Y37" s="2" t="e">
        <f ca="1">VLOOKUP($D37&amp;$J37,所有坦克升星属性,MATCH(Y$3,所有坦克升星属性标头,0),FALSE)+ROUND(AD37/VLOOKUP($D37,坦克部件!#REF!,4,FALSE)*VLOOKUP($D37&amp;0,所有坦克升星属性,MATCH(Y$3,所有坦克升星属性标头,0),FALSE),0)</f>
        <v>#N/A</v>
      </c>
      <c r="Z37" s="2" t="e">
        <f ca="1">VLOOKUP($D37&amp;$J37,所有坦克升星属性,MATCH(Z$3,所有坦克升星属性标头,0),FALSE)+ROUND(AE37/VLOOKUP($D37,坦克部件!#REF!,4,FALSE)*VLOOKUP($D37&amp;0,所有坦克升星属性,MATCH(Z$3,所有坦克升星属性标头,0),FALSE),0)</f>
        <v>#N/A</v>
      </c>
      <c r="AA37" s="2" t="e">
        <f t="shared" ca="1" si="14"/>
        <v>#N/A</v>
      </c>
      <c r="AB37" s="2" t="e">
        <f t="shared" ca="1" si="14"/>
        <v>#N/A</v>
      </c>
      <c r="AC37" s="2" t="e">
        <f ca="1">VLOOKUP($D37&amp;$J37,所有坦克升星属性,MATCH(AC$3,所有坦克升星属性标头,0),FALSE)+ROUND(AF37/VLOOKUP($D37,坦克部件!#REF!,4,FALSE)*VLOOKUP($D37&amp;0,所有坦克升星属性,MATCH(AC$3,所有坦克升星属性标头,0),FALSE),0)</f>
        <v>#N/A</v>
      </c>
      <c r="AD37" s="2" t="e">
        <f>(VLOOKUP($S37,坦克部件!#REF!,MATCH("标准值",坦克部件!#REF!,0),FALSE)+VLOOKUP($M37,坦克部件!#REF!,MATCH("标准值",坦克部件!#REF!,0),FALSE))*$P37</f>
        <v>#REF!</v>
      </c>
      <c r="AE37" s="2" t="e">
        <f>(VLOOKUP($S37,坦克部件!#REF!,MATCH("标准值",坦克部件!#REF!,0),FALSE)+VLOOKUP($M37,坦克部件!#REF!,MATCH("标准值",坦克部件!#REF!,0),FALSE))*$P37</f>
        <v>#REF!</v>
      </c>
      <c r="AF37" s="2" t="e">
        <f>(VLOOKUP($S37,坦克部件!#REF!,MATCH("标准值",坦克部件!#REF!,0),FALSE)+VLOOKUP($M37,坦克部件!#REF!,MATCH("标准值",坦克部件!#REF!,0),FALSE))*$P37</f>
        <v>#REF!</v>
      </c>
      <c r="AG37" s="2">
        <f>VLOOKUP($D37,坦克属性统计!$B$3:$AY$33,MATCH(AG$3,坦克属性统计!$B$3:$AY$3,0),FALSE)</f>
        <v>9</v>
      </c>
      <c r="AH37" s="2">
        <f t="shared" si="15"/>
        <v>0.8</v>
      </c>
      <c r="AI37" s="2">
        <f t="shared" si="15"/>
        <v>0</v>
      </c>
      <c r="AJ37" s="2">
        <f t="shared" si="15"/>
        <v>5.8</v>
      </c>
      <c r="AK37" s="34">
        <f t="shared" si="24"/>
        <v>48.540983606557383</v>
      </c>
      <c r="AL37" s="2" t="e">
        <f ca="1">VLOOKUP($E37&amp;$K37,所有坦克升星属性,MATCH(AL$3,所有坦克升星属性标头,0),FALSE)+ROUND(AQ37/VLOOKUP($E37,坦克部件!#REF!,4,FALSE)*VLOOKUP($E37&amp;0,所有坦克升星属性,MATCH(AL$3,所有坦克升星属性标头,0),FALSE),0)</f>
        <v>#N/A</v>
      </c>
      <c r="AM37" s="2" t="e">
        <f ca="1">VLOOKUP($E37&amp;$K37,所有坦克升星属性,MATCH(AM$3,所有坦克升星属性标头,0),FALSE)+ROUND(AR37/VLOOKUP($E37,坦克部件!#REF!,4,FALSE)*VLOOKUP($E37&amp;0,所有坦克升星属性,MATCH(AM$3,所有坦克升星属性标头,0),FALSE),0)</f>
        <v>#N/A</v>
      </c>
      <c r="AN37" s="2" t="e">
        <f t="shared" ca="1" si="16"/>
        <v>#N/A</v>
      </c>
      <c r="AO37" s="2" t="e">
        <f t="shared" ca="1" si="16"/>
        <v>#N/A</v>
      </c>
      <c r="AP37" s="2" t="e">
        <f ca="1">VLOOKUP($E37&amp;$K37,所有坦克升星属性,MATCH(AP$3,所有坦克升星属性标头,0),FALSE)+ROUND(AS37/VLOOKUP($E37,坦克部件!#REF!,4,FALSE)*VLOOKUP($E37&amp;0,所有坦克升星属性,MATCH(AP$3,所有坦克升星属性标头,0),FALSE),0)</f>
        <v>#N/A</v>
      </c>
      <c r="AQ37" s="2" t="e">
        <f>(VLOOKUP($T37,坦克部件!#REF!,MATCH("标准值",坦克部件!#REF!,0),FALSE)+VLOOKUP($N37,坦克部件!#REF!,MATCH("标准值",坦克部件!#REF!,0),FALSE))*$Q37</f>
        <v>#REF!</v>
      </c>
      <c r="AR37" s="2" t="e">
        <f>(VLOOKUP($T37,坦克部件!#REF!,MATCH("标准值",坦克部件!#REF!,0),FALSE)+VLOOKUP($N37,坦克部件!#REF!,MATCH("标准值",坦克部件!#REF!,0),FALSE))*$Q37</f>
        <v>#REF!</v>
      </c>
      <c r="AS37" s="2" t="e">
        <f>(VLOOKUP($T37,坦克部件!#REF!,MATCH("标准值",坦克部件!#REF!,0),FALSE)+VLOOKUP($N37,坦克部件!#REF!,MATCH("标准值",坦克部件!#REF!,0),FALSE))*$Q37</f>
        <v>#REF!</v>
      </c>
      <c r="AT37" s="2">
        <f>VLOOKUP($E37,坦克属性统计!$B$3:$AY$33,MATCH(AT$3,坦克属性统计!$B$3:$AY$3,0),FALSE)</f>
        <v>4</v>
      </c>
      <c r="AU37" s="2">
        <f t="shared" si="17"/>
        <v>0.26</v>
      </c>
      <c r="AV37" s="2">
        <f t="shared" si="17"/>
        <v>2.2999999999999998</v>
      </c>
      <c r="AW37" s="2">
        <f t="shared" si="17"/>
        <v>0</v>
      </c>
      <c r="AX37" s="34">
        <f t="shared" si="25"/>
        <v>30.086956521739133</v>
      </c>
      <c r="AY37" s="2" t="e">
        <f ca="1">VLOOKUP($F37&amp;$L37,所有坦克升星属性,MATCH(AY$3,所有坦克升星属性标头,0),FALSE)+ROUND(BD37/VLOOKUP($F37,坦克部件!#REF!,4,FALSE)*VLOOKUP($F37&amp;0,所有坦克升星属性,MATCH(AY$3,所有坦克升星属性标头,0),FALSE),0)</f>
        <v>#N/A</v>
      </c>
      <c r="AZ37" s="2" t="e">
        <f ca="1">VLOOKUP($F37&amp;$L37,所有坦克升星属性,MATCH(AZ$3,所有坦克升星属性标头,0),FALSE)+ROUND(BE37/VLOOKUP($F37,坦克部件!#REF!,4,FALSE)*VLOOKUP($F37&amp;0,所有坦克升星属性,MATCH(AZ$3,所有坦克升星属性标头,0),FALSE),0)</f>
        <v>#N/A</v>
      </c>
      <c r="BA37" s="2" t="e">
        <f t="shared" ca="1" si="18"/>
        <v>#N/A</v>
      </c>
      <c r="BB37" s="2" t="e">
        <f t="shared" ca="1" si="18"/>
        <v>#N/A</v>
      </c>
      <c r="BC37" s="2" t="e">
        <f ca="1">VLOOKUP($F37&amp;$L37,所有坦克升星属性,MATCH(BC$3,所有坦克升星属性标头,0),FALSE)+ROUND(BF37/VLOOKUP($F37,坦克部件!#REF!,4,FALSE)*VLOOKUP($F37&amp;0,所有坦克升星属性,MATCH(BC$3,所有坦克升星属性标头,0),FALSE),0)</f>
        <v>#N/A</v>
      </c>
      <c r="BD37" s="2" t="e">
        <f>(VLOOKUP($U37,坦克部件!#REF!,MATCH("标准值",坦克部件!#REF!,0),FALSE)+VLOOKUP($O37,坦克部件!#REF!,MATCH("标准值",坦克部件!#REF!,0),FALSE))*$R37</f>
        <v>#REF!</v>
      </c>
      <c r="BE37" s="2" t="e">
        <f>(VLOOKUP($U37,坦克部件!#REF!,MATCH("标准值",坦克部件!#REF!,0),FALSE)+VLOOKUP($O37,坦克部件!#REF!,MATCH("标准值",坦克部件!#REF!,0),FALSE))*$R37</f>
        <v>#REF!</v>
      </c>
      <c r="BF37" s="2" t="e">
        <f>(VLOOKUP($U37,坦克部件!#REF!,MATCH("标准值",坦克部件!#REF!,0),FALSE)+VLOOKUP($O37,坦克部件!#REF!,MATCH("标准值",坦克部件!#REF!,0),FALSE))*$R37</f>
        <v>#REF!</v>
      </c>
      <c r="BG37" s="2">
        <f>VLOOKUP($F37,坦克属性统计!$B$3:$AY$33,MATCH(BG$3,坦克属性统计!$B$3:$AY$3,0),FALSE)</f>
        <v>1</v>
      </c>
      <c r="BH37" s="2">
        <f t="shared" si="19"/>
        <v>0</v>
      </c>
      <c r="BI37" s="2">
        <f t="shared" si="19"/>
        <v>5.77</v>
      </c>
      <c r="BJ37" s="2">
        <f t="shared" si="19"/>
        <v>0</v>
      </c>
      <c r="BK37" s="34">
        <f t="shared" si="26"/>
        <v>11.398613518197575</v>
      </c>
      <c r="BM37" s="1" t="e">
        <f t="shared" ca="1" si="6"/>
        <v>#N/A</v>
      </c>
    </row>
    <row r="48" spans="2:65" x14ac:dyDescent="0.3">
      <c r="M48" s="130"/>
      <c r="N48" s="131"/>
      <c r="O48" s="130"/>
    </row>
  </sheetData>
  <phoneticPr fontId="32" type="noConversion"/>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25"/>
  <dimension ref="B3:L60"/>
  <sheetViews>
    <sheetView workbookViewId="0">
      <selection activeCell="T47" sqref="T47"/>
    </sheetView>
  </sheetViews>
  <sheetFormatPr defaultColWidth="9" defaultRowHeight="14.25" x14ac:dyDescent="0.3"/>
  <cols>
    <col min="1" max="3" width="9" style="1"/>
    <col min="4" max="4" width="10.5" style="1" customWidth="1"/>
    <col min="5" max="16384" width="9" style="1"/>
  </cols>
  <sheetData>
    <row r="3" spans="2:12" x14ac:dyDescent="0.3">
      <c r="B3" s="2" t="s">
        <v>1722</v>
      </c>
      <c r="C3" s="2" t="s">
        <v>1723</v>
      </c>
      <c r="D3" s="2" t="s">
        <v>1724</v>
      </c>
      <c r="E3" s="2" t="s">
        <v>1724</v>
      </c>
    </row>
    <row r="4" spans="2:12" x14ac:dyDescent="0.3">
      <c r="B4" s="2" t="s">
        <v>1725</v>
      </c>
      <c r="C4" s="2">
        <v>24</v>
      </c>
      <c r="D4" s="2" t="s">
        <v>1726</v>
      </c>
      <c r="E4" s="2" t="s">
        <v>316</v>
      </c>
    </row>
    <row r="5" spans="2:12" x14ac:dyDescent="0.3">
      <c r="B5" s="2" t="s">
        <v>1727</v>
      </c>
      <c r="C5" s="2" t="s">
        <v>184</v>
      </c>
      <c r="D5" s="2" t="s">
        <v>268</v>
      </c>
      <c r="E5" s="2"/>
    </row>
    <row r="6" spans="2:12" x14ac:dyDescent="0.3">
      <c r="B6" s="2" t="s">
        <v>1728</v>
      </c>
      <c r="C6" s="2" t="s">
        <v>184</v>
      </c>
      <c r="D6" s="2" t="s">
        <v>317</v>
      </c>
      <c r="E6" s="2"/>
    </row>
    <row r="8" spans="2:12" x14ac:dyDescent="0.3">
      <c r="C8" s="351" t="s">
        <v>1729</v>
      </c>
      <c r="D8" s="351"/>
      <c r="E8" s="351"/>
      <c r="F8" s="351" t="s">
        <v>376</v>
      </c>
      <c r="G8" s="351"/>
      <c r="H8" s="351"/>
    </row>
    <row r="9" spans="2:12" x14ac:dyDescent="0.3">
      <c r="B9" s="2" t="s">
        <v>377</v>
      </c>
      <c r="C9" s="2" t="s">
        <v>1686</v>
      </c>
      <c r="D9" s="2" t="s">
        <v>1687</v>
      </c>
      <c r="E9" s="2" t="s">
        <v>1688</v>
      </c>
      <c r="F9" s="2" t="s">
        <v>1730</v>
      </c>
      <c r="G9" s="2" t="s">
        <v>1731</v>
      </c>
      <c r="H9" s="2" t="s">
        <v>1732</v>
      </c>
    </row>
    <row r="10" spans="2:12" x14ac:dyDescent="0.3">
      <c r="B10" s="2">
        <v>1</v>
      </c>
      <c r="C10" s="2" t="e">
        <f>游戏时长规划!#REF!</f>
        <v>#REF!</v>
      </c>
      <c r="D10" s="2" t="e">
        <f>游戏时长规划!#REF!</f>
        <v>#REF!</v>
      </c>
      <c r="E10" s="2" t="e">
        <f>游戏时长规划!#REF!</f>
        <v>#REF!</v>
      </c>
      <c r="F10" s="2" t="e">
        <f>IF(#REF!="","",#REF!)</f>
        <v>#REF!</v>
      </c>
      <c r="G10" s="2" t="e">
        <f>IF(#REF!="","",#REF!)</f>
        <v>#REF!</v>
      </c>
      <c r="H10" s="2" t="e">
        <f>IF(#REF!="","",#REF!)</f>
        <v>#REF!</v>
      </c>
      <c r="J10" s="1" t="s">
        <v>510</v>
      </c>
      <c r="K10" s="1" t="s">
        <v>512</v>
      </c>
      <c r="L10" s="1" t="s">
        <v>642</v>
      </c>
    </row>
    <row r="11" spans="2:12" x14ac:dyDescent="0.3">
      <c r="B11" s="2">
        <v>2</v>
      </c>
      <c r="C11" s="2" t="e">
        <f>游戏时长规划!#REF!</f>
        <v>#REF!</v>
      </c>
      <c r="D11" s="2" t="e">
        <f>游戏时长规划!#REF!</f>
        <v>#REF!</v>
      </c>
      <c r="E11" s="2" t="e">
        <f>游戏时长规划!#REF!</f>
        <v>#REF!</v>
      </c>
      <c r="F11" s="2" t="e">
        <f>IF(#REF!="","",#REF!)</f>
        <v>#REF!</v>
      </c>
      <c r="G11" s="2" t="e">
        <f>IF(#REF!="","",#REF!)</f>
        <v>#REF!</v>
      </c>
      <c r="H11" s="2" t="e">
        <f>IF(#REF!="","",#REF!)</f>
        <v>#REF!</v>
      </c>
      <c r="J11" s="1" t="s">
        <v>516</v>
      </c>
      <c r="K11" s="1" t="s">
        <v>518</v>
      </c>
      <c r="L11" s="1" t="s">
        <v>644</v>
      </c>
    </row>
    <row r="12" spans="2:12" x14ac:dyDescent="0.3">
      <c r="B12" s="2">
        <v>3</v>
      </c>
      <c r="C12" s="2" t="e">
        <f>游戏时长规划!#REF!</f>
        <v>#REF!</v>
      </c>
      <c r="D12" s="2" t="e">
        <f>游戏时长规划!#REF!</f>
        <v>#REF!</v>
      </c>
      <c r="E12" s="2" t="e">
        <f>游戏时长规划!#REF!</f>
        <v>#REF!</v>
      </c>
      <c r="F12" s="2" t="e">
        <f>IF(#REF!="","",#REF!)</f>
        <v>#REF!</v>
      </c>
      <c r="G12" s="2" t="e">
        <f>IF(#REF!="","",#REF!)</f>
        <v>#REF!</v>
      </c>
      <c r="H12" s="2" t="e">
        <f>IF(#REF!="","",#REF!)</f>
        <v>#REF!</v>
      </c>
      <c r="J12" s="1" t="s">
        <v>516</v>
      </c>
      <c r="K12" s="1" t="s">
        <v>518</v>
      </c>
      <c r="L12" s="1" t="s">
        <v>644</v>
      </c>
    </row>
    <row r="13" spans="2:12" x14ac:dyDescent="0.3">
      <c r="B13" s="2">
        <v>4</v>
      </c>
      <c r="C13" s="2" t="e">
        <f>游戏时长规划!#REF!</f>
        <v>#REF!</v>
      </c>
      <c r="D13" s="2" t="e">
        <f>游戏时长规划!#REF!</f>
        <v>#REF!</v>
      </c>
      <c r="E13" s="2" t="e">
        <f>游戏时长规划!#REF!</f>
        <v>#REF!</v>
      </c>
      <c r="F13" s="2" t="e">
        <f>IF(#REF!="","",#REF!)</f>
        <v>#REF!</v>
      </c>
      <c r="G13" s="2" t="e">
        <f>IF(#REF!="","",#REF!)</f>
        <v>#REF!</v>
      </c>
      <c r="H13" s="2" t="e">
        <f>IF(#REF!="","",#REF!)</f>
        <v>#REF!</v>
      </c>
      <c r="J13" s="1" t="s">
        <v>516</v>
      </c>
      <c r="K13" s="1" t="s">
        <v>518</v>
      </c>
      <c r="L13" s="1" t="s">
        <v>644</v>
      </c>
    </row>
    <row r="14" spans="2:12" x14ac:dyDescent="0.3">
      <c r="B14" s="2">
        <v>5</v>
      </c>
      <c r="C14" s="2" t="e">
        <f>游戏时长规划!#REF!</f>
        <v>#REF!</v>
      </c>
      <c r="D14" s="2" t="e">
        <f>游戏时长规划!#REF!</f>
        <v>#REF!</v>
      </c>
      <c r="E14" s="2" t="e">
        <f>游戏时长规划!#REF!</f>
        <v>#REF!</v>
      </c>
      <c r="F14" s="2" t="e">
        <f>IF(#REF!="","",#REF!)</f>
        <v>#REF!</v>
      </c>
      <c r="G14" s="2" t="e">
        <f>IF(#REF!="","",#REF!)</f>
        <v>#REF!</v>
      </c>
      <c r="H14" s="2" t="e">
        <f>IF(#REF!="","",#REF!)</f>
        <v>#REF!</v>
      </c>
      <c r="J14" s="1" t="s">
        <v>522</v>
      </c>
      <c r="K14" s="1" t="s">
        <v>526</v>
      </c>
      <c r="L14" s="1" t="s">
        <v>529</v>
      </c>
    </row>
    <row r="15" spans="2:12" x14ac:dyDescent="0.3">
      <c r="B15" s="2">
        <v>6</v>
      </c>
      <c r="C15" s="2" t="e">
        <f>游戏时长规划!#REF!</f>
        <v>#REF!</v>
      </c>
      <c r="D15" s="2" t="e">
        <f>游戏时长规划!#REF!</f>
        <v>#REF!</v>
      </c>
      <c r="E15" s="2" t="e">
        <f>游戏时长规划!#REF!</f>
        <v>#REF!</v>
      </c>
      <c r="F15" s="2" t="e">
        <f>IF(#REF!="","",#REF!)</f>
        <v>#REF!</v>
      </c>
      <c r="G15" s="2" t="e">
        <f>IF(#REF!="","",#REF!)</f>
        <v>#REF!</v>
      </c>
      <c r="H15" s="2" t="e">
        <f>IF(#REF!="","",#REF!)</f>
        <v>#REF!</v>
      </c>
      <c r="J15" s="1" t="s">
        <v>522</v>
      </c>
      <c r="K15" s="1" t="s">
        <v>526</v>
      </c>
      <c r="L15" s="1" t="s">
        <v>529</v>
      </c>
    </row>
    <row r="16" spans="2:12" x14ac:dyDescent="0.3">
      <c r="B16" s="2">
        <v>7</v>
      </c>
      <c r="C16" s="2" t="e">
        <f>游戏时长规划!#REF!</f>
        <v>#REF!</v>
      </c>
      <c r="D16" s="2" t="e">
        <f>游戏时长规划!#REF!</f>
        <v>#REF!</v>
      </c>
      <c r="E16" s="2" t="e">
        <f>游戏时长规划!#REF!</f>
        <v>#REF!</v>
      </c>
      <c r="F16" s="2" t="e">
        <f>IF(#REF!="","",#REF!)</f>
        <v>#REF!</v>
      </c>
      <c r="G16" s="2" t="e">
        <f>IF(#REF!="","",#REF!)</f>
        <v>#REF!</v>
      </c>
      <c r="H16" s="2" t="e">
        <f>IF(#REF!="","",#REF!)</f>
        <v>#REF!</v>
      </c>
      <c r="J16" s="1" t="s">
        <v>522</v>
      </c>
      <c r="K16" s="1" t="s">
        <v>526</v>
      </c>
      <c r="L16" s="1" t="s">
        <v>529</v>
      </c>
    </row>
    <row r="17" spans="2:12" x14ac:dyDescent="0.3">
      <c r="B17" s="2">
        <v>8</v>
      </c>
      <c r="C17" s="2" t="e">
        <f>游戏时长规划!#REF!</f>
        <v>#REF!</v>
      </c>
      <c r="D17" s="2" t="e">
        <f>游戏时长规划!#REF!</f>
        <v>#REF!</v>
      </c>
      <c r="E17" s="2" t="e">
        <f>游戏时长规划!#REF!</f>
        <v>#REF!</v>
      </c>
      <c r="F17" s="2" t="e">
        <f>IF(#REF!="","",#REF!)</f>
        <v>#REF!</v>
      </c>
      <c r="G17" s="2" t="e">
        <f>IF(#REF!="","",#REF!)</f>
        <v>#REF!</v>
      </c>
      <c r="H17" s="2" t="e">
        <f>IF(#REF!="","",#REF!)</f>
        <v>#REF!</v>
      </c>
      <c r="J17" s="1" t="s">
        <v>615</v>
      </c>
      <c r="K17" s="1" t="s">
        <v>634</v>
      </c>
      <c r="L17" s="1" t="s">
        <v>653</v>
      </c>
    </row>
    <row r="18" spans="2:12" x14ac:dyDescent="0.3">
      <c r="B18" s="2">
        <v>9</v>
      </c>
      <c r="C18" s="2" t="e">
        <f>游戏时长规划!#REF!</f>
        <v>#REF!</v>
      </c>
      <c r="D18" s="2" t="e">
        <f>游戏时长规划!#REF!</f>
        <v>#REF!</v>
      </c>
      <c r="E18" s="2" t="e">
        <f>游戏时长规划!#REF!</f>
        <v>#REF!</v>
      </c>
      <c r="F18" s="2" t="e">
        <f>IF(#REF!="","",#REF!)</f>
        <v>#REF!</v>
      </c>
      <c r="G18" s="2" t="e">
        <f>IF(#REF!="","",#REF!)</f>
        <v>#REF!</v>
      </c>
      <c r="H18" s="2" t="e">
        <f>IF(#REF!="","",#REF!)</f>
        <v>#REF!</v>
      </c>
      <c r="J18" s="1" t="s">
        <v>615</v>
      </c>
      <c r="K18" s="1" t="s">
        <v>634</v>
      </c>
      <c r="L18" s="1" t="s">
        <v>653</v>
      </c>
    </row>
    <row r="19" spans="2:12" x14ac:dyDescent="0.3">
      <c r="B19" s="2">
        <v>10</v>
      </c>
      <c r="C19" s="2" t="e">
        <f>游戏时长规划!#REF!</f>
        <v>#REF!</v>
      </c>
      <c r="D19" s="2" t="e">
        <f>游戏时长规划!#REF!</f>
        <v>#REF!</v>
      </c>
      <c r="E19" s="2" t="e">
        <f>游戏时长规划!#REF!</f>
        <v>#REF!</v>
      </c>
      <c r="F19" s="2" t="e">
        <f>IF(#REF!="","",#REF!)</f>
        <v>#REF!</v>
      </c>
      <c r="G19" s="2" t="e">
        <f>IF(#REF!="","",#REF!)</f>
        <v>#REF!</v>
      </c>
      <c r="H19" s="2" t="e">
        <f>IF(#REF!="","",#REF!)</f>
        <v>#REF!</v>
      </c>
      <c r="J19" s="1" t="s">
        <v>618</v>
      </c>
      <c r="K19" s="1" t="s">
        <v>636</v>
      </c>
      <c r="L19" s="1" t="s">
        <v>655</v>
      </c>
    </row>
    <row r="20" spans="2:12" ht="15.75" x14ac:dyDescent="0.3">
      <c r="B20" s="127" t="s">
        <v>1733</v>
      </c>
      <c r="C20" s="2" t="e">
        <f>游戏时长规划!#REF!</f>
        <v>#REF!</v>
      </c>
      <c r="D20" s="2" t="e">
        <f>游戏时长规划!#REF!</f>
        <v>#REF!</v>
      </c>
      <c r="E20" s="2" t="e">
        <f>游戏时长规划!#REF!</f>
        <v>#REF!</v>
      </c>
      <c r="F20" s="2" t="e">
        <f>IF(#REF!="","",#REF!)</f>
        <v>#REF!</v>
      </c>
      <c r="G20" s="2" t="e">
        <f>IF(#REF!="","",#REF!)</f>
        <v>#REF!</v>
      </c>
      <c r="H20" s="2" t="e">
        <f>IF(#REF!="","",#REF!)</f>
        <v>#REF!</v>
      </c>
      <c r="J20" s="1" t="s">
        <v>618</v>
      </c>
      <c r="K20" s="1" t="s">
        <v>636</v>
      </c>
      <c r="L20" s="1" t="s">
        <v>655</v>
      </c>
    </row>
    <row r="23" spans="2:12" x14ac:dyDescent="0.3">
      <c r="B23" s="2" t="s">
        <v>1097</v>
      </c>
      <c r="C23" s="2" t="s">
        <v>1734</v>
      </c>
      <c r="D23" s="2" t="s">
        <v>1735</v>
      </c>
      <c r="E23" s="2" t="s">
        <v>1736</v>
      </c>
      <c r="F23" s="2" t="s">
        <v>1737</v>
      </c>
      <c r="G23" s="2" t="s">
        <v>1738</v>
      </c>
      <c r="H23" s="2" t="s">
        <v>1739</v>
      </c>
    </row>
    <row r="24" spans="2:12" x14ac:dyDescent="0.3">
      <c r="B24" s="2" t="s">
        <v>378</v>
      </c>
      <c r="C24" s="2" t="e">
        <f>游戏时长规划!#REF!</f>
        <v>#REF!</v>
      </c>
      <c r="D24" s="2" t="e">
        <f>#REF!</f>
        <v>#REF!</v>
      </c>
      <c r="E24" s="34" t="e">
        <f>D24/C24*0.3</f>
        <v>#REF!</v>
      </c>
      <c r="F24" s="2">
        <v>3</v>
      </c>
      <c r="G24" s="128">
        <v>0.32500000000000001</v>
      </c>
      <c r="H24" s="33" t="e">
        <f>E24*F24*G24</f>
        <v>#REF!</v>
      </c>
      <c r="I24" s="1">
        <f>VLOOKUP(B24&amp;"碎片",道具价值!$B$33:$E$45,3,FALSE)</f>
        <v>1</v>
      </c>
    </row>
    <row r="25" spans="2:12" x14ac:dyDescent="0.3">
      <c r="B25" s="2" t="s">
        <v>379</v>
      </c>
      <c r="C25" s="2" t="e">
        <f>游戏时长规划!#REF!</f>
        <v>#REF!</v>
      </c>
      <c r="D25" s="2" t="e">
        <f>#REF!</f>
        <v>#REF!</v>
      </c>
      <c r="E25" s="34" t="e">
        <f t="shared" ref="E25:E33" si="0">D25/C25*0.3</f>
        <v>#REF!</v>
      </c>
      <c r="F25" s="2">
        <v>3</v>
      </c>
      <c r="G25" s="128">
        <v>0.371428571428571</v>
      </c>
      <c r="H25" s="33" t="e">
        <f t="shared" ref="H25:H33" si="1">E25*F25*G25</f>
        <v>#REF!</v>
      </c>
      <c r="I25" s="1" t="e">
        <f>VLOOKUP(B25&amp;"碎片",道具价值!B34:E46,FALSE)</f>
        <v>#VALUE!</v>
      </c>
    </row>
    <row r="26" spans="2:12" x14ac:dyDescent="0.3">
      <c r="B26" s="2" t="s">
        <v>380</v>
      </c>
      <c r="C26" s="2" t="e">
        <f>游戏时长规划!#REF!</f>
        <v>#REF!</v>
      </c>
      <c r="D26" s="2" t="e">
        <f>#REF!</f>
        <v>#REF!</v>
      </c>
      <c r="E26" s="34" t="e">
        <f t="shared" si="0"/>
        <v>#REF!</v>
      </c>
      <c r="F26" s="2">
        <v>3</v>
      </c>
      <c r="G26" s="128">
        <v>0.33333333333333298</v>
      </c>
      <c r="H26" s="33" t="e">
        <f t="shared" si="1"/>
        <v>#REF!</v>
      </c>
      <c r="I26" s="1" t="e">
        <f>VLOOKUP(B26&amp;"碎片",道具价值!B35:E47,FALSE)</f>
        <v>#VALUE!</v>
      </c>
    </row>
    <row r="27" spans="2:12" x14ac:dyDescent="0.3">
      <c r="B27" s="2" t="s">
        <v>381</v>
      </c>
      <c r="C27" s="2" t="e">
        <f>游戏时长规划!#REF!</f>
        <v>#REF!</v>
      </c>
      <c r="D27" s="2" t="e">
        <f>#REF!</f>
        <v>#REF!</v>
      </c>
      <c r="E27" s="34" t="e">
        <f t="shared" si="0"/>
        <v>#REF!</v>
      </c>
      <c r="F27" s="2">
        <v>3</v>
      </c>
      <c r="G27" s="128">
        <v>0.36666666666666697</v>
      </c>
      <c r="H27" s="33" t="e">
        <f t="shared" si="1"/>
        <v>#REF!</v>
      </c>
      <c r="I27" s="1" t="e">
        <f>VLOOKUP(B27&amp;"碎片",道具价值!B36:E48,FALSE)</f>
        <v>#VALUE!</v>
      </c>
    </row>
    <row r="28" spans="2:12" x14ac:dyDescent="0.3">
      <c r="B28" s="2" t="s">
        <v>382</v>
      </c>
      <c r="C28" s="2" t="e">
        <f>游戏时长规划!#REF!</f>
        <v>#REF!</v>
      </c>
      <c r="D28" s="2" t="e">
        <f>#REF!</f>
        <v>#REF!</v>
      </c>
      <c r="E28" s="34" t="e">
        <f t="shared" si="0"/>
        <v>#REF!</v>
      </c>
      <c r="F28" s="2">
        <v>3</v>
      </c>
      <c r="G28" s="128">
        <v>0.3125</v>
      </c>
      <c r="H28" s="33" t="e">
        <f t="shared" si="1"/>
        <v>#REF!</v>
      </c>
      <c r="I28" s="1" t="e">
        <f>VLOOKUP(B28&amp;"碎片",道具价值!B37:E49,FALSE)</f>
        <v>#VALUE!</v>
      </c>
    </row>
    <row r="29" spans="2:12" x14ac:dyDescent="0.3">
      <c r="B29" s="2" t="s">
        <v>383</v>
      </c>
      <c r="C29" s="2" t="e">
        <f>游戏时长规划!#REF!</f>
        <v>#REF!</v>
      </c>
      <c r="D29" s="2" t="e">
        <f>#REF!</f>
        <v>#REF!</v>
      </c>
      <c r="E29" s="34" t="e">
        <f t="shared" si="0"/>
        <v>#REF!</v>
      </c>
      <c r="F29" s="2">
        <v>3</v>
      </c>
      <c r="G29" s="128">
        <v>0.164444444444444</v>
      </c>
      <c r="H29" s="33" t="e">
        <f t="shared" si="1"/>
        <v>#REF!</v>
      </c>
      <c r="I29" s="1" t="e">
        <f>VLOOKUP(B29&amp;"碎片",道具价值!B38:E50,FALSE)</f>
        <v>#N/A</v>
      </c>
    </row>
    <row r="30" spans="2:12" x14ac:dyDescent="0.3">
      <c r="B30" s="2" t="s">
        <v>384</v>
      </c>
      <c r="C30" s="2" t="e">
        <f>游戏时长规划!#REF!</f>
        <v>#REF!</v>
      </c>
      <c r="D30" s="2" t="e">
        <f>#REF!</f>
        <v>#REF!</v>
      </c>
      <c r="E30" s="34" t="e">
        <f t="shared" si="0"/>
        <v>#REF!</v>
      </c>
      <c r="F30" s="2">
        <v>3</v>
      </c>
      <c r="G30" s="128">
        <v>0.335555555555556</v>
      </c>
      <c r="H30" s="33" t="e">
        <f t="shared" si="1"/>
        <v>#REF!</v>
      </c>
      <c r="I30" s="1" t="e">
        <f>VLOOKUP(B30&amp;"碎片",道具价值!B39:E51,FALSE)</f>
        <v>#VALUE!</v>
      </c>
    </row>
    <row r="31" spans="2:12" x14ac:dyDescent="0.3">
      <c r="B31" s="2" t="s">
        <v>385</v>
      </c>
      <c r="C31" s="2" t="e">
        <f>游戏时长规划!#REF!</f>
        <v>#REF!</v>
      </c>
      <c r="D31" s="2" t="e">
        <f>#REF!</f>
        <v>#REF!</v>
      </c>
      <c r="E31" s="34" t="e">
        <f t="shared" si="0"/>
        <v>#REF!</v>
      </c>
      <c r="F31" s="2">
        <v>3</v>
      </c>
      <c r="G31" s="128">
        <v>0.224</v>
      </c>
      <c r="H31" s="33" t="e">
        <f t="shared" si="1"/>
        <v>#REF!</v>
      </c>
      <c r="I31" s="1" t="e">
        <f>VLOOKUP(B31&amp;"碎片",道具价值!B40:E52,FALSE)</f>
        <v>#VALUE!</v>
      </c>
    </row>
    <row r="32" spans="2:12" x14ac:dyDescent="0.3">
      <c r="B32" s="2" t="s">
        <v>386</v>
      </c>
      <c r="C32" s="2" t="e">
        <f>游戏时长规划!#REF!</f>
        <v>#REF!</v>
      </c>
      <c r="D32" s="2" t="e">
        <f>#REF!</f>
        <v>#REF!</v>
      </c>
      <c r="E32" s="34" t="e">
        <f t="shared" si="0"/>
        <v>#REF!</v>
      </c>
      <c r="F32" s="2">
        <v>3</v>
      </c>
      <c r="G32" s="128">
        <v>0.34333333333333299</v>
      </c>
      <c r="H32" s="33" t="e">
        <f t="shared" si="1"/>
        <v>#REF!</v>
      </c>
      <c r="I32" s="1" t="e">
        <f>VLOOKUP(B32&amp;"碎片",道具价值!B41:E53,FALSE)</f>
        <v>#VALUE!</v>
      </c>
    </row>
    <row r="33" spans="2:9" x14ac:dyDescent="0.3">
      <c r="B33" s="2" t="s">
        <v>387</v>
      </c>
      <c r="C33" s="2" t="e">
        <f>游戏时长规划!#REF!</f>
        <v>#REF!</v>
      </c>
      <c r="D33" s="2" t="e">
        <f>#REF!</f>
        <v>#REF!</v>
      </c>
      <c r="E33" s="34" t="e">
        <f t="shared" si="0"/>
        <v>#REF!</v>
      </c>
      <c r="F33" s="2">
        <v>3</v>
      </c>
      <c r="G33" s="128">
        <v>0.246</v>
      </c>
      <c r="H33" s="33" t="e">
        <f t="shared" si="1"/>
        <v>#REF!</v>
      </c>
      <c r="I33" s="1" t="e">
        <f>VLOOKUP(B33&amp;"碎片",道具价值!B42:E54,FALSE)</f>
        <v>#VALUE!</v>
      </c>
    </row>
    <row r="36" spans="2:9" x14ac:dyDescent="0.3">
      <c r="B36" s="109" t="s">
        <v>1740</v>
      </c>
    </row>
    <row r="37" spans="2:9" x14ac:dyDescent="0.3">
      <c r="B37" s="2" t="s">
        <v>1741</v>
      </c>
      <c r="C37" s="2">
        <v>5</v>
      </c>
      <c r="I37" s="129"/>
    </row>
    <row r="38" spans="2:9" x14ac:dyDescent="0.3">
      <c r="B38" s="2" t="s">
        <v>1742</v>
      </c>
      <c r="C38" s="2">
        <v>3.5000000000000003E-2</v>
      </c>
      <c r="D38" s="114">
        <f>ROUNDUP(C38*1000/(1-C38),0)</f>
        <v>37</v>
      </c>
      <c r="E38" s="1">
        <f>ROUNDUP(C38*5000/(1-C38),0)</f>
        <v>182</v>
      </c>
      <c r="F38" s="1">
        <f>ROUNDUP(C38*3000/(1-C38),0)</f>
        <v>109</v>
      </c>
      <c r="G38" s="1">
        <f>ROUNDUP(C38*1500/(1-C38),0)</f>
        <v>55</v>
      </c>
      <c r="I38" s="129"/>
    </row>
    <row r="39" spans="2:9" x14ac:dyDescent="0.3">
      <c r="B39" s="2" t="s">
        <v>1743</v>
      </c>
      <c r="C39" s="2">
        <v>0.01</v>
      </c>
      <c r="D39" s="114">
        <f>ROUNDUP(C39*1000/(1-C39),0)</f>
        <v>11</v>
      </c>
      <c r="E39" s="1">
        <f>ROUNDUP(C39*5000/(1-C39),0)</f>
        <v>51</v>
      </c>
      <c r="F39" s="1">
        <f>ROUNDUP(C39*3000/(1-C39),0)</f>
        <v>31</v>
      </c>
      <c r="G39" s="1">
        <f>ROUNDUP(C39*1500/(1-C39),0)</f>
        <v>16</v>
      </c>
      <c r="I39" s="129"/>
    </row>
    <row r="40" spans="2:9" x14ac:dyDescent="0.3">
      <c r="B40" s="2" t="s">
        <v>1744</v>
      </c>
      <c r="C40" s="110">
        <f>1-POWER(1-(C38+C39),C37)</f>
        <v>0.20564093140312512</v>
      </c>
      <c r="I40" s="129"/>
    </row>
    <row r="41" spans="2:9" x14ac:dyDescent="0.3">
      <c r="I41" s="129"/>
    </row>
    <row r="42" spans="2:9" x14ac:dyDescent="0.3">
      <c r="I42" s="129"/>
    </row>
    <row r="43" spans="2:9" x14ac:dyDescent="0.3">
      <c r="I43" s="129"/>
    </row>
    <row r="44" spans="2:9" x14ac:dyDescent="0.3">
      <c r="I44" s="129"/>
    </row>
    <row r="45" spans="2:9" x14ac:dyDescent="0.3">
      <c r="I45" s="129"/>
    </row>
    <row r="46" spans="2:9" x14ac:dyDescent="0.3">
      <c r="I46" s="129"/>
    </row>
    <row r="47" spans="2:9" x14ac:dyDescent="0.3">
      <c r="I47" s="129"/>
    </row>
    <row r="48" spans="2:9" x14ac:dyDescent="0.3">
      <c r="I48" s="129"/>
    </row>
    <row r="49" spans="9:9" x14ac:dyDescent="0.3">
      <c r="I49" s="129"/>
    </row>
    <row r="50" spans="9:9" x14ac:dyDescent="0.3">
      <c r="I50" s="129"/>
    </row>
    <row r="51" spans="9:9" x14ac:dyDescent="0.3">
      <c r="I51" s="129"/>
    </row>
    <row r="52" spans="9:9" x14ac:dyDescent="0.3">
      <c r="I52" s="129"/>
    </row>
    <row r="53" spans="9:9" x14ac:dyDescent="0.3">
      <c r="I53" s="129"/>
    </row>
    <row r="54" spans="9:9" x14ac:dyDescent="0.3">
      <c r="I54" s="129"/>
    </row>
    <row r="55" spans="9:9" x14ac:dyDescent="0.3">
      <c r="I55" s="129"/>
    </row>
    <row r="56" spans="9:9" x14ac:dyDescent="0.3">
      <c r="I56" s="129"/>
    </row>
    <row r="57" spans="9:9" x14ac:dyDescent="0.3">
      <c r="I57" s="129"/>
    </row>
    <row r="58" spans="9:9" x14ac:dyDescent="0.3">
      <c r="I58" s="129"/>
    </row>
    <row r="59" spans="9:9" x14ac:dyDescent="0.3">
      <c r="I59" s="129"/>
    </row>
    <row r="60" spans="9:9" x14ac:dyDescent="0.3">
      <c r="I60" s="129"/>
    </row>
  </sheetData>
  <mergeCells count="2">
    <mergeCell ref="C8:E8"/>
    <mergeCell ref="F8:H8"/>
  </mergeCells>
  <phoneticPr fontId="32" type="noConversion"/>
  <pageMargins left="0.7" right="0.7" top="0.75" bottom="0.75" header="0.3" footer="0.3"/>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26"/>
  <dimension ref="B2:AQ123"/>
  <sheetViews>
    <sheetView topLeftCell="A46" zoomScale="130" zoomScaleNormal="130" workbookViewId="0">
      <selection activeCell="J56" sqref="J56"/>
    </sheetView>
  </sheetViews>
  <sheetFormatPr defaultColWidth="9" defaultRowHeight="14.25" x14ac:dyDescent="0.3"/>
  <cols>
    <col min="1" max="25" width="9" style="1"/>
    <col min="26" max="26" width="10.875" style="1" customWidth="1"/>
    <col min="27" max="16384" width="9" style="1"/>
  </cols>
  <sheetData>
    <row r="2" spans="2:41" x14ac:dyDescent="0.3">
      <c r="B2" s="351" t="s">
        <v>1745</v>
      </c>
      <c r="C2" s="351"/>
      <c r="D2" s="351"/>
      <c r="E2" s="351"/>
      <c r="F2" s="351"/>
      <c r="H2" s="352" t="s">
        <v>1746</v>
      </c>
      <c r="I2" s="353"/>
      <c r="J2" s="353"/>
      <c r="K2" s="354"/>
      <c r="M2" s="352" t="s">
        <v>1747</v>
      </c>
      <c r="N2" s="353"/>
      <c r="O2" s="353"/>
      <c r="P2" s="353"/>
      <c r="Q2" s="353"/>
      <c r="R2" s="353"/>
      <c r="S2" s="353"/>
      <c r="T2" s="353"/>
      <c r="U2" s="353"/>
      <c r="V2" s="353"/>
      <c r="W2" s="353"/>
      <c r="X2" s="353"/>
      <c r="Y2" s="353"/>
      <c r="Z2" s="353"/>
      <c r="AA2" s="353"/>
      <c r="AB2" s="353"/>
      <c r="AC2" s="353"/>
      <c r="AD2" s="353"/>
      <c r="AE2" s="353"/>
      <c r="AF2" s="353"/>
      <c r="AG2" s="353"/>
      <c r="AH2" s="353"/>
      <c r="AI2" s="353"/>
      <c r="AJ2" s="354"/>
    </row>
    <row r="3" spans="2:41" x14ac:dyDescent="0.3">
      <c r="B3" s="2" t="s">
        <v>1748</v>
      </c>
      <c r="C3" s="2" t="s">
        <v>1749</v>
      </c>
      <c r="D3" s="2" t="s">
        <v>1750</v>
      </c>
      <c r="E3" s="2" t="s">
        <v>1751</v>
      </c>
      <c r="F3" s="2" t="s">
        <v>1752</v>
      </c>
      <c r="G3" s="25"/>
      <c r="H3" s="2" t="s">
        <v>1753</v>
      </c>
      <c r="I3" s="2" t="s">
        <v>1097</v>
      </c>
      <c r="J3" s="2" t="s">
        <v>775</v>
      </c>
      <c r="K3" s="2" t="s">
        <v>602</v>
      </c>
      <c r="M3" s="2" t="s">
        <v>377</v>
      </c>
      <c r="N3" s="2" t="s">
        <v>1754</v>
      </c>
      <c r="O3" s="2" t="s">
        <v>1755</v>
      </c>
      <c r="P3" s="2" t="s">
        <v>1756</v>
      </c>
      <c r="Q3" s="2" t="s">
        <v>1757</v>
      </c>
      <c r="R3" s="2" t="s">
        <v>1758</v>
      </c>
      <c r="S3" s="2" t="s">
        <v>1759</v>
      </c>
      <c r="T3" s="2" t="s">
        <v>378</v>
      </c>
      <c r="U3" s="2" t="s">
        <v>379</v>
      </c>
      <c r="V3" s="2" t="s">
        <v>380</v>
      </c>
      <c r="W3" s="2" t="s">
        <v>381</v>
      </c>
      <c r="X3" s="2" t="s">
        <v>382</v>
      </c>
      <c r="Y3" s="2" t="s">
        <v>383</v>
      </c>
      <c r="Z3" s="2" t="s">
        <v>384</v>
      </c>
      <c r="AA3" s="2" t="s">
        <v>385</v>
      </c>
      <c r="AB3" s="2" t="s">
        <v>386</v>
      </c>
      <c r="AC3" s="2" t="s">
        <v>387</v>
      </c>
      <c r="AD3" s="2" t="s">
        <v>388</v>
      </c>
      <c r="AE3" s="2" t="s">
        <v>389</v>
      </c>
      <c r="AF3" s="2" t="s">
        <v>495</v>
      </c>
      <c r="AG3" s="2" t="s">
        <v>496</v>
      </c>
      <c r="AH3" s="2" t="s">
        <v>497</v>
      </c>
      <c r="AI3" s="2" t="s">
        <v>1760</v>
      </c>
      <c r="AJ3" s="2" t="s">
        <v>1761</v>
      </c>
    </row>
    <row r="4" spans="2:41" x14ac:dyDescent="0.3">
      <c r="B4" s="2" t="s">
        <v>378</v>
      </c>
      <c r="C4" s="42">
        <f>[1]基础经济系数!F33</f>
        <v>300</v>
      </c>
      <c r="D4" s="122">
        <v>0.05</v>
      </c>
      <c r="E4" s="42">
        <f>ROUND(C4*D4,0)</f>
        <v>15</v>
      </c>
      <c r="F4" s="42">
        <f>ROUND(E4*$Q$73/500,0)*500</f>
        <v>4000</v>
      </c>
      <c r="G4" s="123"/>
      <c r="H4" s="2" t="s">
        <v>510</v>
      </c>
      <c r="I4" s="2" t="str">
        <f>VLOOKUP(H4,[1]坦克个性化设定!$B$18:$E$48,3,FALSE)</f>
        <v>轻坦</v>
      </c>
      <c r="J4" s="42" t="str">
        <f>VLOOKUP(H4,[1]坦克个性化设定!$B$18:$E$48,4,FALSE)</f>
        <v>T1</v>
      </c>
      <c r="K4" s="42" t="str">
        <f>VLOOKUP(H4,[1]坦克个性化细分!$I$3:$J$33,2,FALSE)</f>
        <v>低</v>
      </c>
      <c r="M4" s="2">
        <v>1</v>
      </c>
      <c r="N4" s="2" t="s">
        <v>378</v>
      </c>
      <c r="O4" s="2"/>
      <c r="P4" s="2"/>
      <c r="Q4" s="2" t="str">
        <f>[1]游戏时长规划!C73</f>
        <v>T1低</v>
      </c>
      <c r="R4" s="2" t="str">
        <f>[1]游戏时长规划!D73</f>
        <v>T1低</v>
      </c>
      <c r="S4" s="2" t="str">
        <f>[1]游戏时长规划!E73</f>
        <v>T1低</v>
      </c>
      <c r="T4" s="32">
        <v>1</v>
      </c>
      <c r="U4" s="32">
        <v>1</v>
      </c>
      <c r="V4" s="32">
        <v>1</v>
      </c>
      <c r="W4" s="32">
        <v>1</v>
      </c>
      <c r="X4" s="32">
        <v>1</v>
      </c>
      <c r="Y4" s="32">
        <v>1</v>
      </c>
      <c r="Z4" s="32">
        <v>1</v>
      </c>
      <c r="AA4" s="32">
        <v>1</v>
      </c>
      <c r="AB4" s="32">
        <v>1</v>
      </c>
      <c r="AC4" s="32">
        <v>1</v>
      </c>
      <c r="AD4" s="32">
        <v>1</v>
      </c>
      <c r="AE4" s="32">
        <v>1</v>
      </c>
      <c r="AF4" s="32">
        <v>1</v>
      </c>
      <c r="AG4" s="32">
        <v>1</v>
      </c>
      <c r="AH4" s="32">
        <v>1</v>
      </c>
      <c r="AI4" s="32">
        <v>1</v>
      </c>
      <c r="AJ4" s="32">
        <v>1</v>
      </c>
      <c r="AL4" s="1">
        <v>1</v>
      </c>
      <c r="AM4" s="1" t="s">
        <v>378</v>
      </c>
    </row>
    <row r="5" spans="2:41" x14ac:dyDescent="0.3">
      <c r="B5" s="2" t="s">
        <v>379</v>
      </c>
      <c r="C5" s="42">
        <f>[1]基础经济系数!F34</f>
        <v>600</v>
      </c>
      <c r="D5" s="33">
        <f>D4</f>
        <v>0.05</v>
      </c>
      <c r="E5" s="42">
        <f t="shared" ref="E5:E30" si="0">ROUND(C5*D5,0)</f>
        <v>30</v>
      </c>
      <c r="F5" s="42">
        <f t="shared" ref="F5:F30" si="1">ROUND(E5*$Q$73/500,0)*500</f>
        <v>7500</v>
      </c>
      <c r="G5" s="123"/>
      <c r="H5" s="2" t="s">
        <v>516</v>
      </c>
      <c r="I5" s="2" t="str">
        <f>VLOOKUP(H5,[1]坦克个性化设定!$B$18:$E$48,3,FALSE)</f>
        <v>轻坦</v>
      </c>
      <c r="J5" s="42" t="str">
        <f>VLOOKUP(H5,[1]坦克个性化设定!$B$18:$E$48,4,FALSE)</f>
        <v>T2</v>
      </c>
      <c r="K5" s="42" t="str">
        <f>VLOOKUP(H5,[1]坦克个性化细分!$I$3:$J$33,2,FALSE)</f>
        <v>低</v>
      </c>
      <c r="M5" s="2">
        <v>2</v>
      </c>
      <c r="N5" s="2" t="s">
        <v>379</v>
      </c>
      <c r="O5" s="2"/>
      <c r="P5" s="2"/>
      <c r="Q5" s="2" t="str">
        <f>[1]游戏时长规划!C74</f>
        <v>T2低</v>
      </c>
      <c r="R5" s="2" t="str">
        <f>[1]游戏时长规划!D74</f>
        <v>T1低</v>
      </c>
      <c r="S5" s="2" t="str">
        <f>[1]游戏时长规划!E74</f>
        <v>T1低</v>
      </c>
      <c r="T5" s="32">
        <v>0.94</v>
      </c>
      <c r="U5" s="32">
        <v>1</v>
      </c>
      <c r="V5" s="32">
        <v>1</v>
      </c>
      <c r="W5" s="32">
        <v>1</v>
      </c>
      <c r="X5" s="32">
        <v>1</v>
      </c>
      <c r="Y5" s="32">
        <v>1</v>
      </c>
      <c r="Z5" s="32">
        <v>1</v>
      </c>
      <c r="AA5" s="32">
        <v>1</v>
      </c>
      <c r="AB5" s="32">
        <v>1</v>
      </c>
      <c r="AC5" s="32">
        <v>1</v>
      </c>
      <c r="AD5" s="32">
        <v>1</v>
      </c>
      <c r="AE5" s="32">
        <v>1</v>
      </c>
      <c r="AF5" s="32">
        <v>0.95</v>
      </c>
      <c r="AG5" s="32">
        <v>1</v>
      </c>
      <c r="AH5" s="32">
        <v>1</v>
      </c>
      <c r="AI5" s="32">
        <v>1</v>
      </c>
      <c r="AJ5" s="32">
        <v>1</v>
      </c>
      <c r="AL5" s="1">
        <v>2</v>
      </c>
      <c r="AM5" s="1" t="s">
        <v>379</v>
      </c>
    </row>
    <row r="6" spans="2:41" x14ac:dyDescent="0.3">
      <c r="B6" s="2" t="s">
        <v>380</v>
      </c>
      <c r="C6" s="42">
        <f>[1]基础经济系数!F35</f>
        <v>800</v>
      </c>
      <c r="D6" s="33">
        <f t="shared" ref="D6:D27" si="2">D5</f>
        <v>0.05</v>
      </c>
      <c r="E6" s="42">
        <f t="shared" si="0"/>
        <v>40</v>
      </c>
      <c r="F6" s="42">
        <f t="shared" si="1"/>
        <v>10000</v>
      </c>
      <c r="G6" s="123"/>
      <c r="H6" s="2" t="s">
        <v>607</v>
      </c>
      <c r="I6" s="2" t="str">
        <f>VLOOKUP(H6,[1]坦克个性化设定!$B$18:$E$48,3,FALSE)</f>
        <v>轻坦</v>
      </c>
      <c r="J6" s="42" t="str">
        <f>VLOOKUP(H6,[1]坦克个性化设定!$B$18:$E$48,4,FALSE)</f>
        <v>T2</v>
      </c>
      <c r="K6" s="42" t="str">
        <f>VLOOKUP(H6,[1]坦克个性化细分!$I$3:$J$33,2,FALSE)</f>
        <v>中</v>
      </c>
      <c r="M6" s="2">
        <v>3</v>
      </c>
      <c r="N6" s="2" t="s">
        <v>379</v>
      </c>
      <c r="O6" s="2" t="s">
        <v>380</v>
      </c>
      <c r="P6" s="2"/>
      <c r="Q6" s="2" t="str">
        <f>[1]游戏时长规划!C75</f>
        <v>T2低</v>
      </c>
      <c r="R6" s="2" t="str">
        <f>[1]游戏时长规划!D75</f>
        <v>T2低</v>
      </c>
      <c r="S6" s="2" t="str">
        <f>[1]游戏时长规划!E75</f>
        <v>T1低</v>
      </c>
      <c r="T6" s="32">
        <v>0.88</v>
      </c>
      <c r="U6" s="32">
        <v>0.94</v>
      </c>
      <c r="V6" s="32">
        <v>1</v>
      </c>
      <c r="W6" s="32">
        <v>1</v>
      </c>
      <c r="X6" s="32">
        <v>1</v>
      </c>
      <c r="Y6" s="32">
        <v>1</v>
      </c>
      <c r="Z6" s="32">
        <v>1</v>
      </c>
      <c r="AA6" s="32">
        <v>1</v>
      </c>
      <c r="AB6" s="32">
        <v>1</v>
      </c>
      <c r="AC6" s="32">
        <v>1</v>
      </c>
      <c r="AD6" s="32">
        <v>1</v>
      </c>
      <c r="AE6" s="32">
        <v>1</v>
      </c>
      <c r="AF6" s="32">
        <v>0.9</v>
      </c>
      <c r="AG6" s="32">
        <v>1</v>
      </c>
      <c r="AH6" s="32">
        <v>1</v>
      </c>
      <c r="AI6" s="32">
        <v>1</v>
      </c>
      <c r="AJ6" s="32">
        <v>1</v>
      </c>
      <c r="AL6" s="1">
        <v>3</v>
      </c>
      <c r="AM6" s="1" t="s">
        <v>380</v>
      </c>
    </row>
    <row r="7" spans="2:41" x14ac:dyDescent="0.3">
      <c r="B7" s="2" t="s">
        <v>381</v>
      </c>
      <c r="C7" s="42">
        <f>[1]基础经济系数!F36</f>
        <v>1650</v>
      </c>
      <c r="D7" s="33">
        <f t="shared" si="2"/>
        <v>0.05</v>
      </c>
      <c r="E7" s="42">
        <f t="shared" si="0"/>
        <v>83</v>
      </c>
      <c r="F7" s="42">
        <f t="shared" si="1"/>
        <v>21000</v>
      </c>
      <c r="G7" s="123"/>
      <c r="H7" s="2" t="s">
        <v>522</v>
      </c>
      <c r="I7" s="2" t="str">
        <f>VLOOKUP(H7,[1]坦克个性化设定!$B$18:$E$48,3,FALSE)</f>
        <v>轻坦</v>
      </c>
      <c r="J7" s="42" t="str">
        <f>VLOOKUP(H7,[1]坦克个性化设定!$B$18:$E$48,4,FALSE)</f>
        <v>T3</v>
      </c>
      <c r="K7" s="42" t="str">
        <f>VLOOKUP(H7,[1]坦克个性化细分!$I$3:$J$33,2,FALSE)</f>
        <v>低</v>
      </c>
      <c r="M7" s="2">
        <v>4</v>
      </c>
      <c r="N7" s="2" t="s">
        <v>379</v>
      </c>
      <c r="O7" s="2" t="s">
        <v>380</v>
      </c>
      <c r="P7" s="2"/>
      <c r="Q7" s="2" t="str">
        <f>[1]游戏时长规划!C76</f>
        <v>T2低</v>
      </c>
      <c r="R7" s="2" t="str">
        <f>[1]游戏时长规划!D76</f>
        <v>T2低</v>
      </c>
      <c r="S7" s="2" t="str">
        <f>[1]游戏时长规划!E76</f>
        <v>T2低</v>
      </c>
      <c r="T7" s="32">
        <v>0.82</v>
      </c>
      <c r="U7" s="32">
        <v>0.88</v>
      </c>
      <c r="V7" s="32">
        <v>0.96</v>
      </c>
      <c r="W7" s="32">
        <v>1</v>
      </c>
      <c r="X7" s="32">
        <v>1</v>
      </c>
      <c r="Y7" s="32">
        <v>1</v>
      </c>
      <c r="Z7" s="32">
        <v>1</v>
      </c>
      <c r="AA7" s="32">
        <v>1</v>
      </c>
      <c r="AB7" s="32">
        <v>1</v>
      </c>
      <c r="AC7" s="32">
        <v>1</v>
      </c>
      <c r="AD7" s="32">
        <v>1</v>
      </c>
      <c r="AE7" s="32">
        <v>1</v>
      </c>
      <c r="AF7" s="32">
        <v>0.85</v>
      </c>
      <c r="AG7" s="32">
        <v>0.96499999999999997</v>
      </c>
      <c r="AH7" s="32">
        <v>1</v>
      </c>
      <c r="AI7" s="32">
        <v>1</v>
      </c>
      <c r="AJ7" s="32">
        <v>1</v>
      </c>
      <c r="AL7" s="1">
        <v>4</v>
      </c>
    </row>
    <row r="8" spans="2:41" x14ac:dyDescent="0.3">
      <c r="B8" s="2" t="s">
        <v>382</v>
      </c>
      <c r="C8" s="42">
        <f>[1]基础经济系数!F37</f>
        <v>2100</v>
      </c>
      <c r="D8" s="33">
        <f t="shared" si="2"/>
        <v>0.05</v>
      </c>
      <c r="E8" s="42">
        <f t="shared" si="0"/>
        <v>105</v>
      </c>
      <c r="F8" s="42">
        <f t="shared" si="1"/>
        <v>26500</v>
      </c>
      <c r="G8" s="123"/>
      <c r="H8" s="2" t="s">
        <v>611</v>
      </c>
      <c r="I8" s="2" t="str">
        <f>VLOOKUP(H8,[1]坦克个性化设定!$B$18:$E$48,3,FALSE)</f>
        <v>轻坦</v>
      </c>
      <c r="J8" s="42" t="str">
        <f>VLOOKUP(H8,[1]坦克个性化设定!$B$18:$E$48,4,FALSE)</f>
        <v>T3</v>
      </c>
      <c r="K8" s="42" t="str">
        <f>VLOOKUP(H8,[1]坦克个性化细分!$I$3:$J$33,2,FALSE)</f>
        <v>中</v>
      </c>
      <c r="M8" s="2">
        <v>5</v>
      </c>
      <c r="N8" s="2" t="s">
        <v>381</v>
      </c>
      <c r="O8" s="2" t="s">
        <v>382</v>
      </c>
      <c r="P8" s="2"/>
      <c r="Q8" s="2" t="str">
        <f>[1]游戏时长规划!C77</f>
        <v>T3低</v>
      </c>
      <c r="R8" s="2" t="str">
        <f>[1]游戏时长规划!D77</f>
        <v>T2低</v>
      </c>
      <c r="S8" s="2" t="str">
        <f>[1]游戏时长规划!E77</f>
        <v>T2低</v>
      </c>
      <c r="T8" s="32">
        <v>0.76</v>
      </c>
      <c r="U8" s="32">
        <v>0.82</v>
      </c>
      <c r="V8" s="32">
        <v>0.92</v>
      </c>
      <c r="W8" s="32">
        <v>1</v>
      </c>
      <c r="X8" s="32">
        <v>1</v>
      </c>
      <c r="Y8" s="32">
        <v>1</v>
      </c>
      <c r="Z8" s="32">
        <v>1</v>
      </c>
      <c r="AA8" s="32">
        <v>1</v>
      </c>
      <c r="AB8" s="32">
        <v>1</v>
      </c>
      <c r="AC8" s="32">
        <v>1</v>
      </c>
      <c r="AD8" s="32">
        <v>1</v>
      </c>
      <c r="AE8" s="32">
        <v>1</v>
      </c>
      <c r="AF8" s="32">
        <v>0.8</v>
      </c>
      <c r="AG8" s="32">
        <v>0.93</v>
      </c>
      <c r="AH8" s="32">
        <v>1</v>
      </c>
      <c r="AI8" s="32">
        <v>1</v>
      </c>
      <c r="AJ8" s="32">
        <v>1</v>
      </c>
      <c r="AL8" s="1">
        <v>5</v>
      </c>
      <c r="AM8" s="1" t="s">
        <v>381</v>
      </c>
      <c r="AN8" s="1" t="s">
        <v>382</v>
      </c>
    </row>
    <row r="9" spans="2:41" x14ac:dyDescent="0.3">
      <c r="B9" s="2" t="s">
        <v>383</v>
      </c>
      <c r="C9" s="42">
        <f>[1]基础经济系数!F38</f>
        <v>2400</v>
      </c>
      <c r="D9" s="33">
        <f t="shared" si="2"/>
        <v>0.05</v>
      </c>
      <c r="E9" s="42">
        <f t="shared" si="0"/>
        <v>120</v>
      </c>
      <c r="F9" s="42">
        <f t="shared" si="1"/>
        <v>30500</v>
      </c>
      <c r="G9" s="123"/>
      <c r="H9" s="2" t="s">
        <v>613</v>
      </c>
      <c r="I9" s="2" t="str">
        <f>VLOOKUP(H9,[1]坦克个性化设定!$B$18:$E$48,3,FALSE)</f>
        <v>轻坦</v>
      </c>
      <c r="J9" s="42" t="str">
        <f>VLOOKUP(H9,[1]坦克个性化设定!$B$18:$E$48,4,FALSE)</f>
        <v>T3</v>
      </c>
      <c r="K9" s="42" t="str">
        <f>VLOOKUP(H9,[1]坦克个性化细分!$I$3:$J$33,2,FALSE)</f>
        <v>高</v>
      </c>
      <c r="M9" s="2">
        <v>6</v>
      </c>
      <c r="N9" s="2" t="s">
        <v>381</v>
      </c>
      <c r="O9" s="2" t="s">
        <v>382</v>
      </c>
      <c r="P9" s="2"/>
      <c r="Q9" s="2" t="str">
        <f>[1]游戏时长规划!C78</f>
        <v>T3低</v>
      </c>
      <c r="R9" s="2" t="str">
        <f>[1]游戏时长规划!D78</f>
        <v>T3低</v>
      </c>
      <c r="S9" s="2" t="str">
        <f>[1]游戏时长规划!E78</f>
        <v>T2低</v>
      </c>
      <c r="T9" s="32">
        <v>0.7</v>
      </c>
      <c r="U9" s="32">
        <v>0.76</v>
      </c>
      <c r="V9" s="32">
        <v>0.88</v>
      </c>
      <c r="W9" s="32">
        <v>0.94</v>
      </c>
      <c r="X9" s="32">
        <v>0.96</v>
      </c>
      <c r="Y9" s="32">
        <v>0.96</v>
      </c>
      <c r="Z9" s="32">
        <v>1</v>
      </c>
      <c r="AA9" s="32">
        <v>1</v>
      </c>
      <c r="AB9" s="32">
        <v>1</v>
      </c>
      <c r="AC9" s="32">
        <v>1</v>
      </c>
      <c r="AD9" s="32">
        <v>1</v>
      </c>
      <c r="AE9" s="32">
        <v>1</v>
      </c>
      <c r="AF9" s="32">
        <v>0.75</v>
      </c>
      <c r="AG9" s="32">
        <v>0.89500000000000002</v>
      </c>
      <c r="AH9" s="32">
        <v>0.98</v>
      </c>
      <c r="AI9" s="32">
        <v>1</v>
      </c>
      <c r="AJ9" s="32">
        <v>1</v>
      </c>
      <c r="AL9" s="1">
        <v>6</v>
      </c>
    </row>
    <row r="10" spans="2:41" x14ac:dyDescent="0.3">
      <c r="B10" s="2" t="s">
        <v>384</v>
      </c>
      <c r="C10" s="42">
        <f>[1]基础经济系数!F39</f>
        <v>5250</v>
      </c>
      <c r="D10" s="33">
        <f t="shared" si="2"/>
        <v>0.05</v>
      </c>
      <c r="E10" s="42">
        <f t="shared" si="0"/>
        <v>263</v>
      </c>
      <c r="F10" s="42">
        <f t="shared" si="1"/>
        <v>66500</v>
      </c>
      <c r="G10" s="123"/>
      <c r="H10" s="2" t="s">
        <v>615</v>
      </c>
      <c r="I10" s="2" t="str">
        <f>VLOOKUP(H10,[1]坦克个性化设定!$B$18:$E$48,3,FALSE)</f>
        <v>轻坦</v>
      </c>
      <c r="J10" s="42" t="str">
        <f>VLOOKUP(H10,[1]坦克个性化设定!$B$18:$E$48,4,FALSE)</f>
        <v>T4</v>
      </c>
      <c r="K10" s="42" t="str">
        <f>VLOOKUP(H10,[1]坦克个性化细分!$I$3:$J$33,2,FALSE)</f>
        <v>低</v>
      </c>
      <c r="M10" s="2">
        <v>7</v>
      </c>
      <c r="N10" s="2" t="s">
        <v>381</v>
      </c>
      <c r="O10" s="2" t="s">
        <v>382</v>
      </c>
      <c r="P10" s="2"/>
      <c r="Q10" s="2" t="str">
        <f>[1]游戏时长规划!C79</f>
        <v>T3低</v>
      </c>
      <c r="R10" s="2" t="str">
        <f>[1]游戏时长规划!D79</f>
        <v>T3低</v>
      </c>
      <c r="S10" s="2" t="str">
        <f>[1]游戏时长规划!E79</f>
        <v>T3低</v>
      </c>
      <c r="T10" s="32">
        <v>0.64</v>
      </c>
      <c r="U10" s="32">
        <v>0.7</v>
      </c>
      <c r="V10" s="32">
        <v>0.84</v>
      </c>
      <c r="W10" s="32">
        <v>0.88</v>
      </c>
      <c r="X10" s="32">
        <v>0.92</v>
      </c>
      <c r="Y10" s="32">
        <v>0.92</v>
      </c>
      <c r="Z10" s="32">
        <v>1</v>
      </c>
      <c r="AA10" s="32">
        <v>1</v>
      </c>
      <c r="AB10" s="32">
        <v>1</v>
      </c>
      <c r="AC10" s="32">
        <v>1</v>
      </c>
      <c r="AD10" s="32">
        <v>1</v>
      </c>
      <c r="AE10" s="32">
        <v>1</v>
      </c>
      <c r="AF10" s="32">
        <v>0.7</v>
      </c>
      <c r="AG10" s="32">
        <v>0.86</v>
      </c>
      <c r="AH10" s="32">
        <v>0.96</v>
      </c>
      <c r="AI10" s="32">
        <v>1</v>
      </c>
      <c r="AJ10" s="32">
        <v>1</v>
      </c>
      <c r="AL10" s="1">
        <v>7</v>
      </c>
    </row>
    <row r="11" spans="2:41" x14ac:dyDescent="0.3">
      <c r="B11" s="2" t="s">
        <v>385</v>
      </c>
      <c r="C11" s="42">
        <f>[1]基础经济系数!F40</f>
        <v>6500</v>
      </c>
      <c r="D11" s="33">
        <f t="shared" si="2"/>
        <v>0.05</v>
      </c>
      <c r="E11" s="42">
        <f t="shared" si="0"/>
        <v>325</v>
      </c>
      <c r="F11" s="42">
        <f t="shared" si="1"/>
        <v>82000</v>
      </c>
      <c r="G11" s="123"/>
      <c r="H11" s="2" t="s">
        <v>618</v>
      </c>
      <c r="I11" s="2" t="str">
        <f>VLOOKUP(H11,[1]坦克个性化设定!$B$18:$E$48,3,FALSE)</f>
        <v>轻坦</v>
      </c>
      <c r="J11" s="42" t="str">
        <f>VLOOKUP(H11,[1]坦克个性化设定!$B$18:$E$48,4,FALSE)</f>
        <v>T4</v>
      </c>
      <c r="K11" s="42" t="str">
        <f>VLOOKUP(H11,[1]坦克个性化细分!$I$3:$J$33,2,FALSE)</f>
        <v>中</v>
      </c>
      <c r="M11" s="2">
        <v>8</v>
      </c>
      <c r="N11" s="2" t="s">
        <v>384</v>
      </c>
      <c r="O11" s="2" t="s">
        <v>385</v>
      </c>
      <c r="P11" s="2" t="s">
        <v>386</v>
      </c>
      <c r="Q11" s="2" t="str">
        <f>[1]游戏时长规划!C80</f>
        <v>T3低</v>
      </c>
      <c r="R11" s="2" t="str">
        <f>[1]游戏时长规划!D80</f>
        <v>T3低</v>
      </c>
      <c r="S11" s="2" t="str">
        <f>[1]游戏时长规划!E80</f>
        <v>T3低</v>
      </c>
      <c r="T11" s="32">
        <v>0.57999999999999996</v>
      </c>
      <c r="U11" s="32">
        <v>0.64</v>
      </c>
      <c r="V11" s="32">
        <v>0.8</v>
      </c>
      <c r="W11" s="32">
        <v>0.82</v>
      </c>
      <c r="X11" s="32">
        <v>0.88</v>
      </c>
      <c r="Y11" s="32">
        <v>0.88</v>
      </c>
      <c r="Z11" s="32">
        <v>1</v>
      </c>
      <c r="AA11" s="32">
        <v>1</v>
      </c>
      <c r="AB11" s="32">
        <v>1</v>
      </c>
      <c r="AC11" s="32">
        <v>1</v>
      </c>
      <c r="AD11" s="32">
        <v>1</v>
      </c>
      <c r="AE11" s="32">
        <v>1</v>
      </c>
      <c r="AF11" s="32">
        <v>0.65</v>
      </c>
      <c r="AG11" s="32">
        <v>0.82499999999999996</v>
      </c>
      <c r="AH11" s="32">
        <v>0.94</v>
      </c>
      <c r="AI11" s="32">
        <v>1</v>
      </c>
      <c r="AJ11" s="32">
        <v>1</v>
      </c>
      <c r="AL11" s="1">
        <v>8</v>
      </c>
      <c r="AM11" s="1" t="s">
        <v>384</v>
      </c>
      <c r="AN11" s="1" t="s">
        <v>385</v>
      </c>
      <c r="AO11" s="1" t="s">
        <v>386</v>
      </c>
    </row>
    <row r="12" spans="2:41" x14ac:dyDescent="0.3">
      <c r="B12" s="2" t="s">
        <v>386</v>
      </c>
      <c r="C12" s="42">
        <f>[1]基础经济系数!F41</f>
        <v>7250</v>
      </c>
      <c r="D12" s="33">
        <f t="shared" si="2"/>
        <v>0.05</v>
      </c>
      <c r="E12" s="42">
        <f t="shared" si="0"/>
        <v>363</v>
      </c>
      <c r="F12" s="42">
        <f t="shared" si="1"/>
        <v>91500</v>
      </c>
      <c r="G12" s="123"/>
      <c r="H12" s="2" t="s">
        <v>620</v>
      </c>
      <c r="I12" s="2" t="str">
        <f>VLOOKUP(H12,[1]坦克个性化设定!$B$18:$E$48,3,FALSE)</f>
        <v>轻坦</v>
      </c>
      <c r="J12" s="42" t="str">
        <f>VLOOKUP(H12,[1]坦克个性化设定!$B$18:$E$48,4,FALSE)</f>
        <v>T4</v>
      </c>
      <c r="K12" s="42" t="str">
        <f>VLOOKUP(H12,[1]坦克个性化细分!$I$3:$J$33,2,FALSE)</f>
        <v>高</v>
      </c>
      <c r="M12" s="2">
        <v>9</v>
      </c>
      <c r="N12" s="2" t="s">
        <v>384</v>
      </c>
      <c r="O12" s="2" t="s">
        <v>385</v>
      </c>
      <c r="P12" s="2" t="s">
        <v>386</v>
      </c>
      <c r="Q12" s="2" t="str">
        <f>[1]游戏时长规划!C81</f>
        <v>T4低</v>
      </c>
      <c r="R12" s="2" t="str">
        <f>[1]游戏时长规划!D81</f>
        <v>T4低</v>
      </c>
      <c r="S12" s="2" t="str">
        <f>[1]游戏时长规划!E81</f>
        <v>T3低</v>
      </c>
      <c r="T12" s="32">
        <v>0.52</v>
      </c>
      <c r="U12" s="32">
        <v>0.57999999999999996</v>
      </c>
      <c r="V12" s="32">
        <v>0.76</v>
      </c>
      <c r="W12" s="32">
        <v>0.76</v>
      </c>
      <c r="X12" s="32">
        <v>0.84</v>
      </c>
      <c r="Y12" s="32">
        <v>0.84</v>
      </c>
      <c r="Z12" s="32">
        <v>0.96</v>
      </c>
      <c r="AA12" s="32">
        <v>0.96</v>
      </c>
      <c r="AB12" s="32">
        <v>0.96</v>
      </c>
      <c r="AC12" s="32">
        <v>1</v>
      </c>
      <c r="AD12" s="32">
        <v>1</v>
      </c>
      <c r="AE12" s="32">
        <v>1</v>
      </c>
      <c r="AF12" s="32">
        <v>0.6</v>
      </c>
      <c r="AG12" s="32">
        <v>0.79</v>
      </c>
      <c r="AH12" s="32">
        <v>0.92</v>
      </c>
      <c r="AI12" s="32">
        <v>1</v>
      </c>
      <c r="AJ12" s="32">
        <v>1</v>
      </c>
      <c r="AL12" s="1">
        <v>9</v>
      </c>
      <c r="AM12" s="1" t="s">
        <v>385</v>
      </c>
      <c r="AN12" s="1" t="s">
        <v>386</v>
      </c>
    </row>
    <row r="13" spans="2:41" x14ac:dyDescent="0.3">
      <c r="B13" s="2" t="s">
        <v>387</v>
      </c>
      <c r="C13" s="42">
        <f>[1]基础经济系数!F42</f>
        <v>15600</v>
      </c>
      <c r="D13" s="33">
        <f t="shared" si="2"/>
        <v>0.05</v>
      </c>
      <c r="E13" s="42">
        <f t="shared" si="0"/>
        <v>780</v>
      </c>
      <c r="F13" s="42">
        <f t="shared" si="1"/>
        <v>197000</v>
      </c>
      <c r="G13" s="123"/>
      <c r="H13" s="2" t="s">
        <v>622</v>
      </c>
      <c r="I13" s="2" t="str">
        <f>VLOOKUP(H13,[1]坦克个性化设定!$B$18:$E$48,3,FALSE)</f>
        <v>轻坦</v>
      </c>
      <c r="J13" s="42" t="str">
        <f>VLOOKUP(H13,[1]坦克个性化设定!$B$18:$E$48,4,FALSE)</f>
        <v>T5</v>
      </c>
      <c r="K13" s="42" t="str">
        <f>VLOOKUP(H13,[1]坦克个性化细分!$I$3:$J$33,2,FALSE)</f>
        <v>低</v>
      </c>
      <c r="M13" s="2">
        <v>10</v>
      </c>
      <c r="N13" s="2" t="s">
        <v>384</v>
      </c>
      <c r="O13" s="2" t="s">
        <v>385</v>
      </c>
      <c r="P13" s="2" t="s">
        <v>386</v>
      </c>
      <c r="Q13" s="2" t="str">
        <f>[1]游戏时长规划!C82</f>
        <v>T4低</v>
      </c>
      <c r="R13" s="2" t="str">
        <f>[1]游戏时长规划!D82</f>
        <v>T4低</v>
      </c>
      <c r="S13" s="2" t="str">
        <f>[1]游戏时长规划!E82</f>
        <v>T4低</v>
      </c>
      <c r="T13" s="32">
        <v>0.46</v>
      </c>
      <c r="U13" s="32">
        <v>0.52</v>
      </c>
      <c r="V13" s="32">
        <v>0.72</v>
      </c>
      <c r="W13" s="32">
        <v>0.7</v>
      </c>
      <c r="X13" s="32">
        <v>0.8</v>
      </c>
      <c r="Y13" s="32">
        <v>0.8</v>
      </c>
      <c r="Z13" s="32">
        <v>0.92</v>
      </c>
      <c r="AA13" s="32">
        <v>0.92</v>
      </c>
      <c r="AB13" s="32">
        <v>0.92</v>
      </c>
      <c r="AC13" s="32">
        <v>1</v>
      </c>
      <c r="AD13" s="32">
        <v>1</v>
      </c>
      <c r="AE13" s="32">
        <v>1</v>
      </c>
      <c r="AF13" s="32">
        <v>0.55000000000000004</v>
      </c>
      <c r="AG13" s="32">
        <v>0.755</v>
      </c>
      <c r="AH13" s="32">
        <v>0.9</v>
      </c>
      <c r="AI13" s="32">
        <v>1</v>
      </c>
      <c r="AJ13" s="32">
        <v>1</v>
      </c>
      <c r="AL13" s="1">
        <v>10</v>
      </c>
    </row>
    <row r="14" spans="2:41" x14ac:dyDescent="0.3">
      <c r="B14" s="2" t="s">
        <v>388</v>
      </c>
      <c r="C14" s="42">
        <f>[1]基础经济系数!F43</f>
        <v>18800</v>
      </c>
      <c r="D14" s="33">
        <f t="shared" si="2"/>
        <v>0.05</v>
      </c>
      <c r="E14" s="42">
        <f t="shared" si="0"/>
        <v>940</v>
      </c>
      <c r="F14" s="42">
        <f t="shared" si="1"/>
        <v>237000</v>
      </c>
      <c r="G14" s="123"/>
      <c r="H14" s="2" t="s">
        <v>512</v>
      </c>
      <c r="I14" s="2" t="str">
        <f>VLOOKUP(H14,[1]坦克个性化设定!$B$18:$E$48,3,FALSE)</f>
        <v>中坦</v>
      </c>
      <c r="J14" s="42" t="str">
        <f>VLOOKUP(H14,[1]坦克个性化设定!$B$18:$E$48,4,FALSE)</f>
        <v>T1</v>
      </c>
      <c r="K14" s="42" t="str">
        <f>VLOOKUP(H14,[1]坦克个性化细分!$I$3:$J$33,2,FALSE)</f>
        <v>低</v>
      </c>
      <c r="M14" s="2">
        <v>11</v>
      </c>
      <c r="N14" s="2" t="s">
        <v>387</v>
      </c>
      <c r="O14" s="2" t="s">
        <v>388</v>
      </c>
      <c r="P14" s="2" t="s">
        <v>389</v>
      </c>
      <c r="Q14" s="2" t="str">
        <f>[1]游戏时长规划!C83</f>
        <v>T5低</v>
      </c>
      <c r="R14" s="2" t="str">
        <f>[1]游戏时长规划!D83</f>
        <v>T4低</v>
      </c>
      <c r="S14" s="2" t="str">
        <f>[1]游戏时长规划!E83</f>
        <v>T4低</v>
      </c>
      <c r="T14" s="32">
        <v>0.40000000000000102</v>
      </c>
      <c r="U14" s="32">
        <v>0.46</v>
      </c>
      <c r="V14" s="32">
        <v>0.68000000000000105</v>
      </c>
      <c r="W14" s="32">
        <v>0.64</v>
      </c>
      <c r="X14" s="32">
        <v>0.76</v>
      </c>
      <c r="Y14" s="32">
        <v>0.76</v>
      </c>
      <c r="Z14" s="32">
        <v>0.88</v>
      </c>
      <c r="AA14" s="32">
        <v>0.88</v>
      </c>
      <c r="AB14" s="32">
        <v>0.88</v>
      </c>
      <c r="AC14" s="32">
        <v>0.98</v>
      </c>
      <c r="AD14" s="32">
        <v>0.98</v>
      </c>
      <c r="AE14" s="32">
        <v>0.98</v>
      </c>
      <c r="AF14" s="32">
        <v>0.5</v>
      </c>
      <c r="AG14" s="32">
        <v>0.72</v>
      </c>
      <c r="AH14" s="32">
        <v>0.88</v>
      </c>
      <c r="AI14" s="32">
        <v>1</v>
      </c>
      <c r="AJ14" s="32">
        <v>1</v>
      </c>
    </row>
    <row r="15" spans="2:41" x14ac:dyDescent="0.3">
      <c r="B15" s="2" t="s">
        <v>389</v>
      </c>
      <c r="C15" s="42">
        <f>[1]基础经济系数!F44</f>
        <v>20000</v>
      </c>
      <c r="D15" s="33">
        <f t="shared" si="2"/>
        <v>0.05</v>
      </c>
      <c r="E15" s="42">
        <f t="shared" si="0"/>
        <v>1000</v>
      </c>
      <c r="F15" s="42">
        <f t="shared" si="1"/>
        <v>252500</v>
      </c>
      <c r="G15" s="123"/>
      <c r="H15" s="2" t="s">
        <v>518</v>
      </c>
      <c r="I15" s="2" t="str">
        <f>VLOOKUP(H15,[1]坦克个性化设定!$B$18:$E$48,3,FALSE)</f>
        <v>中坦</v>
      </c>
      <c r="J15" s="42" t="str">
        <f>VLOOKUP(H15,[1]坦克个性化设定!$B$18:$E$48,4,FALSE)</f>
        <v>T2</v>
      </c>
      <c r="K15" s="42" t="str">
        <f>VLOOKUP(H15,[1]坦克个性化细分!$I$3:$J$33,2,FALSE)</f>
        <v>低</v>
      </c>
      <c r="M15" s="2">
        <v>12</v>
      </c>
      <c r="N15" s="2" t="s">
        <v>387</v>
      </c>
      <c r="O15" s="2" t="s">
        <v>388</v>
      </c>
      <c r="P15" s="2" t="s">
        <v>389</v>
      </c>
      <c r="Q15" s="2" t="str">
        <f>[1]游戏时长规划!C84</f>
        <v>T5低</v>
      </c>
      <c r="R15" s="2" t="str">
        <f>[1]游戏时长规划!D84</f>
        <v>T5低</v>
      </c>
      <c r="S15" s="2" t="str">
        <f>[1]游戏时长规划!E84</f>
        <v>T4低</v>
      </c>
      <c r="T15" s="32">
        <v>0.34000000000000102</v>
      </c>
      <c r="U15" s="32">
        <v>0.40000000000000102</v>
      </c>
      <c r="V15" s="32">
        <v>0.64000000000000101</v>
      </c>
      <c r="W15" s="32">
        <v>0.57999999999999996</v>
      </c>
      <c r="X15" s="32">
        <v>0.72</v>
      </c>
      <c r="Y15" s="32">
        <v>0.72</v>
      </c>
      <c r="Z15" s="32">
        <v>0.84</v>
      </c>
      <c r="AA15" s="32">
        <v>0.84</v>
      </c>
      <c r="AB15" s="32">
        <v>0.84</v>
      </c>
      <c r="AC15" s="32">
        <v>0.96</v>
      </c>
      <c r="AD15" s="32">
        <v>0.96</v>
      </c>
      <c r="AE15" s="32">
        <v>0.96</v>
      </c>
      <c r="AF15" s="32">
        <v>0.45</v>
      </c>
      <c r="AG15" s="32">
        <v>0.68500000000000005</v>
      </c>
      <c r="AH15" s="32">
        <v>0.86</v>
      </c>
      <c r="AI15" s="32">
        <v>1</v>
      </c>
      <c r="AJ15" s="32">
        <v>1</v>
      </c>
    </row>
    <row r="16" spans="2:41" x14ac:dyDescent="0.3">
      <c r="B16" s="2" t="s">
        <v>1762</v>
      </c>
      <c r="C16" s="42">
        <f>基础经济系数!H33</f>
        <v>100</v>
      </c>
      <c r="D16" s="33">
        <f t="shared" si="2"/>
        <v>0.05</v>
      </c>
      <c r="E16" s="42">
        <f t="shared" si="0"/>
        <v>5</v>
      </c>
      <c r="F16" s="42">
        <f t="shared" si="1"/>
        <v>1500</v>
      </c>
      <c r="G16" s="123"/>
      <c r="H16" s="2" t="s">
        <v>627</v>
      </c>
      <c r="I16" s="2" t="str">
        <f>VLOOKUP(H16,[1]坦克个性化设定!$B$18:$E$48,3,FALSE)</f>
        <v>中坦</v>
      </c>
      <c r="J16" s="42" t="str">
        <f>VLOOKUP(H16,[1]坦克个性化设定!$B$18:$E$48,4,FALSE)</f>
        <v>T2</v>
      </c>
      <c r="K16" s="42" t="str">
        <f>VLOOKUP(H16,[1]坦克个性化细分!$I$3:$J$33,2,FALSE)</f>
        <v>中</v>
      </c>
    </row>
    <row r="17" spans="2:43" x14ac:dyDescent="0.3">
      <c r="B17" s="2" t="s">
        <v>1763</v>
      </c>
      <c r="C17" s="42">
        <f>基础经济系数!H34</f>
        <v>100</v>
      </c>
      <c r="D17" s="33">
        <f t="shared" si="2"/>
        <v>0.05</v>
      </c>
      <c r="E17" s="42">
        <f t="shared" si="0"/>
        <v>5</v>
      </c>
      <c r="F17" s="42">
        <f t="shared" si="1"/>
        <v>1500</v>
      </c>
      <c r="G17" s="123"/>
      <c r="H17" s="2" t="s">
        <v>526</v>
      </c>
      <c r="I17" s="2" t="str">
        <f>VLOOKUP(H17,[1]坦克个性化设定!$B$18:$E$48,3,FALSE)</f>
        <v>中坦</v>
      </c>
      <c r="J17" s="42" t="str">
        <f>VLOOKUP(H17,[1]坦克个性化设定!$B$18:$E$48,4,FALSE)</f>
        <v>T3</v>
      </c>
      <c r="K17" s="42" t="str">
        <f>VLOOKUP(H17,[1]坦克个性化细分!$I$3:$J$33,2,FALSE)</f>
        <v>低</v>
      </c>
      <c r="M17" s="351" t="s">
        <v>1764</v>
      </c>
      <c r="N17" s="351"/>
      <c r="O17" s="351"/>
      <c r="P17" s="351"/>
      <c r="Q17" s="351"/>
      <c r="R17" s="351"/>
      <c r="S17" s="351"/>
      <c r="T17" s="351"/>
      <c r="U17" s="351"/>
      <c r="V17" s="351"/>
      <c r="W17" s="351"/>
      <c r="X17" s="351"/>
      <c r="Y17" s="351"/>
      <c r="Z17" s="351"/>
      <c r="AA17" s="351"/>
      <c r="AB17" s="351"/>
      <c r="AC17" s="351"/>
      <c r="AD17" s="351"/>
      <c r="AE17" s="351"/>
      <c r="AF17" s="351"/>
      <c r="AG17" s="351"/>
      <c r="AH17" s="351"/>
      <c r="AI17" s="351"/>
      <c r="AJ17" s="351"/>
      <c r="AK17" s="351"/>
      <c r="AL17" s="351"/>
      <c r="AM17" s="351"/>
      <c r="AN17" s="351"/>
      <c r="AO17" s="351"/>
      <c r="AP17" s="351"/>
      <c r="AQ17" s="351"/>
    </row>
    <row r="18" spans="2:43" x14ac:dyDescent="0.3">
      <c r="B18" s="2" t="s">
        <v>1765</v>
      </c>
      <c r="C18" s="42">
        <f>基础经济系数!H35</f>
        <v>133.33333333333334</v>
      </c>
      <c r="D18" s="33">
        <f t="shared" si="2"/>
        <v>0.05</v>
      </c>
      <c r="E18" s="42">
        <f t="shared" si="0"/>
        <v>7</v>
      </c>
      <c r="F18" s="42">
        <f t="shared" si="1"/>
        <v>2000</v>
      </c>
      <c r="G18" s="123"/>
      <c r="H18" s="2" t="s">
        <v>630</v>
      </c>
      <c r="I18" s="2" t="str">
        <f>VLOOKUP(H18,[1]坦克个性化设定!$B$18:$E$48,3,FALSE)</f>
        <v>中坦</v>
      </c>
      <c r="J18" s="42" t="str">
        <f>VLOOKUP(H18,[1]坦克个性化设定!$B$18:$E$48,4,FALSE)</f>
        <v>T3</v>
      </c>
      <c r="K18" s="42" t="str">
        <f>VLOOKUP(H18,[1]坦克个性化细分!$I$3:$J$33,2,FALSE)</f>
        <v>中</v>
      </c>
      <c r="M18" s="2" t="s">
        <v>377</v>
      </c>
      <c r="N18" s="2" t="s">
        <v>510</v>
      </c>
      <c r="O18" s="2" t="s">
        <v>516</v>
      </c>
      <c r="P18" s="2" t="s">
        <v>607</v>
      </c>
      <c r="Q18" s="2" t="s">
        <v>522</v>
      </c>
      <c r="R18" s="2" t="s">
        <v>611</v>
      </c>
      <c r="S18" s="2" t="s">
        <v>613</v>
      </c>
      <c r="T18" s="2" t="s">
        <v>615</v>
      </c>
      <c r="U18" s="2" t="s">
        <v>618</v>
      </c>
      <c r="V18" s="2" t="s">
        <v>620</v>
      </c>
      <c r="W18" s="2" t="s">
        <v>622</v>
      </c>
      <c r="X18" s="2" t="s">
        <v>512</v>
      </c>
      <c r="Y18" s="2" t="s">
        <v>518</v>
      </c>
      <c r="Z18" s="2" t="s">
        <v>627</v>
      </c>
      <c r="AA18" s="2" t="s">
        <v>526</v>
      </c>
      <c r="AB18" s="2" t="s">
        <v>630</v>
      </c>
      <c r="AC18" s="2" t="s">
        <v>632</v>
      </c>
      <c r="AD18" s="2" t="s">
        <v>634</v>
      </c>
      <c r="AE18" s="2" t="s">
        <v>636</v>
      </c>
      <c r="AF18" s="2" t="s">
        <v>638</v>
      </c>
      <c r="AG18" s="2" t="s">
        <v>640</v>
      </c>
      <c r="AH18" s="2" t="s">
        <v>642</v>
      </c>
      <c r="AI18" s="2" t="s">
        <v>644</v>
      </c>
      <c r="AJ18" s="2" t="s">
        <v>646</v>
      </c>
      <c r="AK18" s="2" t="s">
        <v>529</v>
      </c>
      <c r="AL18" s="2" t="s">
        <v>649</v>
      </c>
      <c r="AM18" s="2" t="s">
        <v>651</v>
      </c>
      <c r="AN18" s="2" t="s">
        <v>653</v>
      </c>
      <c r="AO18" s="2" t="s">
        <v>655</v>
      </c>
      <c r="AP18" s="2" t="s">
        <v>657</v>
      </c>
      <c r="AQ18" s="2" t="s">
        <v>659</v>
      </c>
    </row>
    <row r="19" spans="2:43" x14ac:dyDescent="0.3">
      <c r="B19" s="2" t="s">
        <v>1766</v>
      </c>
      <c r="C19" s="42">
        <f>基础经济系数!H36</f>
        <v>68.75</v>
      </c>
      <c r="D19" s="33">
        <f t="shared" si="2"/>
        <v>0.05</v>
      </c>
      <c r="E19" s="42">
        <f t="shared" si="0"/>
        <v>3</v>
      </c>
      <c r="F19" s="42">
        <f t="shared" si="1"/>
        <v>1000</v>
      </c>
      <c r="G19" s="123"/>
      <c r="H19" s="2" t="s">
        <v>632</v>
      </c>
      <c r="I19" s="2" t="str">
        <f>VLOOKUP(H19,[1]坦克个性化设定!$B$18:$E$48,3,FALSE)</f>
        <v>中坦</v>
      </c>
      <c r="J19" s="42" t="str">
        <f>VLOOKUP(H19,[1]坦克个性化设定!$B$18:$E$48,4,FALSE)</f>
        <v>T3</v>
      </c>
      <c r="K19" s="42" t="str">
        <f>VLOOKUP(H19,[1]坦克个性化细分!$I$3:$J$33,2,FALSE)</f>
        <v>高</v>
      </c>
      <c r="M19" s="2">
        <v>1</v>
      </c>
      <c r="N19" s="42">
        <f t="shared" ref="N19:AQ27" si="3">IFERROR(VLOOKUP(VLOOKUP(N$18,$H$3:$K$33,3,FALSE)&amp;VLOOKUP(N$18,$H$3:$K$33,4,FALSE),$B$3:$C$27,2,FALSE)*VLOOKUP($M19,$M$3:$AE$15,MATCH(VLOOKUP(N$18,$H$3:$K$33,3,FALSE)&amp;VLOOKUP(N$18,$H$3:$K$33,4,FALSE),$M$3:$AE$3,0),FALSE),N18)</f>
        <v>300</v>
      </c>
      <c r="O19" s="42">
        <f t="shared" si="3"/>
        <v>600</v>
      </c>
      <c r="P19" s="42">
        <f t="shared" si="3"/>
        <v>800</v>
      </c>
      <c r="Q19" s="42">
        <f t="shared" si="3"/>
        <v>1650</v>
      </c>
      <c r="R19" s="42">
        <f t="shared" si="3"/>
        <v>2100</v>
      </c>
      <c r="S19" s="42">
        <f t="shared" si="3"/>
        <v>2400</v>
      </c>
      <c r="T19" s="42">
        <f t="shared" si="3"/>
        <v>5250</v>
      </c>
      <c r="U19" s="42">
        <f t="shared" si="3"/>
        <v>6500</v>
      </c>
      <c r="V19" s="42">
        <f t="shared" si="3"/>
        <v>7250</v>
      </c>
      <c r="W19" s="42">
        <f t="shared" si="3"/>
        <v>15600</v>
      </c>
      <c r="X19" s="42">
        <f t="shared" si="3"/>
        <v>300</v>
      </c>
      <c r="Y19" s="42">
        <f t="shared" si="3"/>
        <v>600</v>
      </c>
      <c r="Z19" s="42">
        <f t="shared" si="3"/>
        <v>800</v>
      </c>
      <c r="AA19" s="42">
        <f t="shared" si="3"/>
        <v>1650</v>
      </c>
      <c r="AB19" s="42">
        <f t="shared" si="3"/>
        <v>2100</v>
      </c>
      <c r="AC19" s="42">
        <f t="shared" si="3"/>
        <v>2400</v>
      </c>
      <c r="AD19" s="42">
        <f t="shared" si="3"/>
        <v>5250</v>
      </c>
      <c r="AE19" s="42">
        <f t="shared" si="3"/>
        <v>6500</v>
      </c>
      <c r="AF19" s="42">
        <f t="shared" si="3"/>
        <v>7250</v>
      </c>
      <c r="AG19" s="42">
        <f t="shared" si="3"/>
        <v>15600</v>
      </c>
      <c r="AH19" s="42">
        <f t="shared" si="3"/>
        <v>300</v>
      </c>
      <c r="AI19" s="42">
        <f t="shared" si="3"/>
        <v>600</v>
      </c>
      <c r="AJ19" s="42">
        <f t="shared" si="3"/>
        <v>800</v>
      </c>
      <c r="AK19" s="42">
        <f t="shared" si="3"/>
        <v>1650</v>
      </c>
      <c r="AL19" s="42">
        <f t="shared" si="3"/>
        <v>2100</v>
      </c>
      <c r="AM19" s="42">
        <f t="shared" si="3"/>
        <v>2400</v>
      </c>
      <c r="AN19" s="42">
        <f t="shared" si="3"/>
        <v>5250</v>
      </c>
      <c r="AO19" s="42">
        <f t="shared" si="3"/>
        <v>6500</v>
      </c>
      <c r="AP19" s="42">
        <f t="shared" si="3"/>
        <v>7250</v>
      </c>
      <c r="AQ19" s="42">
        <f t="shared" si="3"/>
        <v>15600</v>
      </c>
    </row>
    <row r="20" spans="2:43" x14ac:dyDescent="0.3">
      <c r="B20" s="2" t="s">
        <v>1767</v>
      </c>
      <c r="C20" s="42">
        <f>基础经济系数!H37</f>
        <v>87.5</v>
      </c>
      <c r="D20" s="33">
        <f t="shared" si="2"/>
        <v>0.05</v>
      </c>
      <c r="E20" s="42">
        <f t="shared" si="0"/>
        <v>4</v>
      </c>
      <c r="F20" s="42">
        <f t="shared" si="1"/>
        <v>1000</v>
      </c>
      <c r="G20" s="123"/>
      <c r="H20" s="2" t="s">
        <v>634</v>
      </c>
      <c r="I20" s="2" t="str">
        <f>VLOOKUP(H20,[1]坦克个性化设定!$B$18:$E$48,3,FALSE)</f>
        <v>中坦</v>
      </c>
      <c r="J20" s="42" t="str">
        <f>VLOOKUP(H20,[1]坦克个性化设定!$B$18:$E$48,4,FALSE)</f>
        <v>T4</v>
      </c>
      <c r="K20" s="42" t="str">
        <f>VLOOKUP(H20,[1]坦克个性化细分!$I$3:$J$33,2,FALSE)</f>
        <v>低</v>
      </c>
      <c r="M20" s="2">
        <v>2</v>
      </c>
      <c r="N20" s="42">
        <f t="shared" si="3"/>
        <v>282</v>
      </c>
      <c r="O20" s="42">
        <f t="shared" si="3"/>
        <v>600</v>
      </c>
      <c r="P20" s="42">
        <f t="shared" si="3"/>
        <v>800</v>
      </c>
      <c r="Q20" s="42">
        <f t="shared" si="3"/>
        <v>1650</v>
      </c>
      <c r="R20" s="42">
        <f t="shared" si="3"/>
        <v>2100</v>
      </c>
      <c r="S20" s="42">
        <f t="shared" si="3"/>
        <v>2400</v>
      </c>
      <c r="T20" s="42">
        <f t="shared" si="3"/>
        <v>5250</v>
      </c>
      <c r="U20" s="42">
        <f t="shared" si="3"/>
        <v>6500</v>
      </c>
      <c r="V20" s="42">
        <f t="shared" si="3"/>
        <v>7250</v>
      </c>
      <c r="W20" s="42">
        <f t="shared" si="3"/>
        <v>15600</v>
      </c>
      <c r="X20" s="42">
        <f t="shared" si="3"/>
        <v>282</v>
      </c>
      <c r="Y20" s="42">
        <f t="shared" si="3"/>
        <v>600</v>
      </c>
      <c r="Z20" s="42">
        <f t="shared" si="3"/>
        <v>800</v>
      </c>
      <c r="AA20" s="42">
        <f t="shared" si="3"/>
        <v>1650</v>
      </c>
      <c r="AB20" s="42">
        <f t="shared" si="3"/>
        <v>2100</v>
      </c>
      <c r="AC20" s="42">
        <f t="shared" si="3"/>
        <v>2400</v>
      </c>
      <c r="AD20" s="42">
        <f t="shared" si="3"/>
        <v>5250</v>
      </c>
      <c r="AE20" s="42">
        <f t="shared" si="3"/>
        <v>6500</v>
      </c>
      <c r="AF20" s="42">
        <f t="shared" si="3"/>
        <v>7250</v>
      </c>
      <c r="AG20" s="42">
        <f t="shared" si="3"/>
        <v>15600</v>
      </c>
      <c r="AH20" s="42">
        <f t="shared" si="3"/>
        <v>282</v>
      </c>
      <c r="AI20" s="42">
        <f t="shared" si="3"/>
        <v>600</v>
      </c>
      <c r="AJ20" s="42">
        <f t="shared" si="3"/>
        <v>800</v>
      </c>
      <c r="AK20" s="42">
        <f t="shared" si="3"/>
        <v>1650</v>
      </c>
      <c r="AL20" s="42">
        <f t="shared" si="3"/>
        <v>2100</v>
      </c>
      <c r="AM20" s="42">
        <f t="shared" si="3"/>
        <v>2400</v>
      </c>
      <c r="AN20" s="42">
        <f t="shared" si="3"/>
        <v>5250</v>
      </c>
      <c r="AO20" s="42">
        <f t="shared" si="3"/>
        <v>6500</v>
      </c>
      <c r="AP20" s="42">
        <f t="shared" si="3"/>
        <v>7250</v>
      </c>
      <c r="AQ20" s="42">
        <f t="shared" si="3"/>
        <v>15600</v>
      </c>
    </row>
    <row r="21" spans="2:43" x14ac:dyDescent="0.3">
      <c r="B21" s="2" t="s">
        <v>1768</v>
      </c>
      <c r="C21" s="42">
        <f>基础经济系数!H38</f>
        <v>100</v>
      </c>
      <c r="D21" s="33">
        <f t="shared" si="2"/>
        <v>0.05</v>
      </c>
      <c r="E21" s="42">
        <f t="shared" si="0"/>
        <v>5</v>
      </c>
      <c r="F21" s="42">
        <f t="shared" si="1"/>
        <v>1500</v>
      </c>
      <c r="G21" s="123"/>
      <c r="H21" s="2" t="s">
        <v>636</v>
      </c>
      <c r="I21" s="2" t="str">
        <f>VLOOKUP(H21,[1]坦克个性化设定!$B$18:$E$48,3,FALSE)</f>
        <v>中坦</v>
      </c>
      <c r="J21" s="42" t="str">
        <f>VLOOKUP(H21,[1]坦克个性化设定!$B$18:$E$48,4,FALSE)</f>
        <v>T4</v>
      </c>
      <c r="K21" s="42" t="str">
        <f>VLOOKUP(H21,[1]坦克个性化细分!$I$3:$J$33,2,FALSE)</f>
        <v>中</v>
      </c>
      <c r="M21" s="2">
        <v>3</v>
      </c>
      <c r="N21" s="42">
        <f t="shared" si="3"/>
        <v>264</v>
      </c>
      <c r="O21" s="42">
        <f t="shared" si="3"/>
        <v>564</v>
      </c>
      <c r="P21" s="42">
        <f t="shared" si="3"/>
        <v>800</v>
      </c>
      <c r="Q21" s="42">
        <f t="shared" si="3"/>
        <v>1650</v>
      </c>
      <c r="R21" s="42">
        <f t="shared" si="3"/>
        <v>2100</v>
      </c>
      <c r="S21" s="42">
        <f t="shared" si="3"/>
        <v>2400</v>
      </c>
      <c r="T21" s="42">
        <f t="shared" si="3"/>
        <v>5250</v>
      </c>
      <c r="U21" s="42">
        <f t="shared" si="3"/>
        <v>6500</v>
      </c>
      <c r="V21" s="42">
        <f t="shared" si="3"/>
        <v>7250</v>
      </c>
      <c r="W21" s="42">
        <f t="shared" si="3"/>
        <v>15600</v>
      </c>
      <c r="X21" s="42">
        <f t="shared" si="3"/>
        <v>264</v>
      </c>
      <c r="Y21" s="42">
        <f t="shared" si="3"/>
        <v>564</v>
      </c>
      <c r="Z21" s="42">
        <f t="shared" si="3"/>
        <v>800</v>
      </c>
      <c r="AA21" s="42">
        <f t="shared" si="3"/>
        <v>1650</v>
      </c>
      <c r="AB21" s="42">
        <f t="shared" si="3"/>
        <v>2100</v>
      </c>
      <c r="AC21" s="42">
        <f t="shared" si="3"/>
        <v>2400</v>
      </c>
      <c r="AD21" s="42">
        <f t="shared" si="3"/>
        <v>5250</v>
      </c>
      <c r="AE21" s="42">
        <f t="shared" si="3"/>
        <v>6500</v>
      </c>
      <c r="AF21" s="42">
        <f t="shared" si="3"/>
        <v>7250</v>
      </c>
      <c r="AG21" s="42">
        <f t="shared" si="3"/>
        <v>15600</v>
      </c>
      <c r="AH21" s="42">
        <f t="shared" si="3"/>
        <v>264</v>
      </c>
      <c r="AI21" s="42">
        <f t="shared" si="3"/>
        <v>564</v>
      </c>
      <c r="AJ21" s="42">
        <f t="shared" si="3"/>
        <v>800</v>
      </c>
      <c r="AK21" s="42">
        <f t="shared" si="3"/>
        <v>1650</v>
      </c>
      <c r="AL21" s="42">
        <f t="shared" si="3"/>
        <v>2100</v>
      </c>
      <c r="AM21" s="42">
        <f t="shared" si="3"/>
        <v>2400</v>
      </c>
      <c r="AN21" s="42">
        <f t="shared" si="3"/>
        <v>5250</v>
      </c>
      <c r="AO21" s="42">
        <f t="shared" si="3"/>
        <v>6500</v>
      </c>
      <c r="AP21" s="42">
        <f t="shared" si="3"/>
        <v>7250</v>
      </c>
      <c r="AQ21" s="42">
        <f t="shared" si="3"/>
        <v>15600</v>
      </c>
    </row>
    <row r="22" spans="2:43" x14ac:dyDescent="0.3">
      <c r="B22" s="2" t="s">
        <v>1769</v>
      </c>
      <c r="C22" s="42">
        <f>基础经济系数!H39</f>
        <v>105</v>
      </c>
      <c r="D22" s="33">
        <f t="shared" si="2"/>
        <v>0.05</v>
      </c>
      <c r="E22" s="42">
        <f t="shared" si="0"/>
        <v>5</v>
      </c>
      <c r="F22" s="42">
        <f t="shared" si="1"/>
        <v>1500</v>
      </c>
      <c r="G22" s="123"/>
      <c r="H22" s="2" t="s">
        <v>638</v>
      </c>
      <c r="I22" s="2" t="str">
        <f>VLOOKUP(H22,[1]坦克个性化设定!$B$18:$E$48,3,FALSE)</f>
        <v>中坦</v>
      </c>
      <c r="J22" s="42" t="str">
        <f>VLOOKUP(H22,[1]坦克个性化设定!$B$18:$E$48,4,FALSE)</f>
        <v>T4</v>
      </c>
      <c r="K22" s="42" t="str">
        <f>VLOOKUP(H22,[1]坦克个性化细分!$I$3:$J$33,2,FALSE)</f>
        <v>高</v>
      </c>
      <c r="M22" s="2">
        <v>4</v>
      </c>
      <c r="N22" s="42">
        <f t="shared" si="3"/>
        <v>245.99999999999997</v>
      </c>
      <c r="O22" s="42">
        <f t="shared" si="3"/>
        <v>528</v>
      </c>
      <c r="P22" s="42">
        <f t="shared" si="3"/>
        <v>768</v>
      </c>
      <c r="Q22" s="42">
        <f t="shared" si="3"/>
        <v>1650</v>
      </c>
      <c r="R22" s="42">
        <f t="shared" si="3"/>
        <v>2100</v>
      </c>
      <c r="S22" s="42">
        <f t="shared" si="3"/>
        <v>2400</v>
      </c>
      <c r="T22" s="42">
        <f t="shared" si="3"/>
        <v>5250</v>
      </c>
      <c r="U22" s="42">
        <f t="shared" si="3"/>
        <v>6500</v>
      </c>
      <c r="V22" s="42">
        <f t="shared" si="3"/>
        <v>7250</v>
      </c>
      <c r="W22" s="42">
        <f t="shared" si="3"/>
        <v>15600</v>
      </c>
      <c r="X22" s="42">
        <f t="shared" si="3"/>
        <v>245.99999999999997</v>
      </c>
      <c r="Y22" s="42">
        <f t="shared" si="3"/>
        <v>528</v>
      </c>
      <c r="Z22" s="42">
        <f t="shared" si="3"/>
        <v>768</v>
      </c>
      <c r="AA22" s="42">
        <f t="shared" si="3"/>
        <v>1650</v>
      </c>
      <c r="AB22" s="42">
        <f t="shared" si="3"/>
        <v>2100</v>
      </c>
      <c r="AC22" s="42">
        <f t="shared" si="3"/>
        <v>2400</v>
      </c>
      <c r="AD22" s="42">
        <f t="shared" si="3"/>
        <v>5250</v>
      </c>
      <c r="AE22" s="42">
        <f t="shared" si="3"/>
        <v>6500</v>
      </c>
      <c r="AF22" s="42">
        <f t="shared" si="3"/>
        <v>7250</v>
      </c>
      <c r="AG22" s="42">
        <f t="shared" si="3"/>
        <v>15600</v>
      </c>
      <c r="AH22" s="42">
        <f t="shared" si="3"/>
        <v>245.99999999999997</v>
      </c>
      <c r="AI22" s="42">
        <f t="shared" si="3"/>
        <v>528</v>
      </c>
      <c r="AJ22" s="42">
        <f t="shared" si="3"/>
        <v>768</v>
      </c>
      <c r="AK22" s="42">
        <f t="shared" si="3"/>
        <v>1650</v>
      </c>
      <c r="AL22" s="42">
        <f t="shared" si="3"/>
        <v>2100</v>
      </c>
      <c r="AM22" s="42">
        <f t="shared" si="3"/>
        <v>2400</v>
      </c>
      <c r="AN22" s="42">
        <f t="shared" si="3"/>
        <v>5250</v>
      </c>
      <c r="AO22" s="42">
        <f t="shared" si="3"/>
        <v>6500</v>
      </c>
      <c r="AP22" s="42">
        <f t="shared" si="3"/>
        <v>7250</v>
      </c>
      <c r="AQ22" s="42">
        <f t="shared" si="3"/>
        <v>15600</v>
      </c>
    </row>
    <row r="23" spans="2:43" x14ac:dyDescent="0.3">
      <c r="B23" s="2" t="s">
        <v>1770</v>
      </c>
      <c r="C23" s="42">
        <f>基础经济系数!H40</f>
        <v>130</v>
      </c>
      <c r="D23" s="33">
        <f t="shared" si="2"/>
        <v>0.05</v>
      </c>
      <c r="E23" s="42">
        <f t="shared" si="0"/>
        <v>7</v>
      </c>
      <c r="F23" s="42">
        <f t="shared" si="1"/>
        <v>2000</v>
      </c>
      <c r="G23" s="123"/>
      <c r="H23" s="2" t="s">
        <v>640</v>
      </c>
      <c r="I23" s="2" t="str">
        <f>VLOOKUP(H23,[1]坦克个性化设定!$B$18:$E$48,3,FALSE)</f>
        <v>中坦</v>
      </c>
      <c r="J23" s="42" t="str">
        <f>VLOOKUP(H23,[1]坦克个性化设定!$B$18:$E$48,4,FALSE)</f>
        <v>T5</v>
      </c>
      <c r="K23" s="42" t="str">
        <f>VLOOKUP(H23,[1]坦克个性化细分!$I$3:$J$33,2,FALSE)</f>
        <v>低</v>
      </c>
      <c r="M23" s="2">
        <v>5</v>
      </c>
      <c r="N23" s="42">
        <f t="shared" si="3"/>
        <v>228</v>
      </c>
      <c r="O23" s="42">
        <f t="shared" si="3"/>
        <v>491.99999999999994</v>
      </c>
      <c r="P23" s="42">
        <f t="shared" si="3"/>
        <v>736</v>
      </c>
      <c r="Q23" s="42">
        <f t="shared" si="3"/>
        <v>1650</v>
      </c>
      <c r="R23" s="42">
        <f t="shared" si="3"/>
        <v>2100</v>
      </c>
      <c r="S23" s="42">
        <f t="shared" si="3"/>
        <v>2400</v>
      </c>
      <c r="T23" s="42">
        <f t="shared" si="3"/>
        <v>5250</v>
      </c>
      <c r="U23" s="42">
        <f t="shared" si="3"/>
        <v>6500</v>
      </c>
      <c r="V23" s="42">
        <f t="shared" si="3"/>
        <v>7250</v>
      </c>
      <c r="W23" s="42">
        <f t="shared" si="3"/>
        <v>15600</v>
      </c>
      <c r="X23" s="42">
        <f t="shared" si="3"/>
        <v>228</v>
      </c>
      <c r="Y23" s="42">
        <f t="shared" si="3"/>
        <v>491.99999999999994</v>
      </c>
      <c r="Z23" s="42">
        <f t="shared" si="3"/>
        <v>736</v>
      </c>
      <c r="AA23" s="42">
        <f t="shared" si="3"/>
        <v>1650</v>
      </c>
      <c r="AB23" s="42">
        <f t="shared" si="3"/>
        <v>2100</v>
      </c>
      <c r="AC23" s="42">
        <f t="shared" si="3"/>
        <v>2400</v>
      </c>
      <c r="AD23" s="42">
        <f t="shared" si="3"/>
        <v>5250</v>
      </c>
      <c r="AE23" s="42">
        <f t="shared" si="3"/>
        <v>6500</v>
      </c>
      <c r="AF23" s="42">
        <f t="shared" si="3"/>
        <v>7250</v>
      </c>
      <c r="AG23" s="42">
        <f t="shared" si="3"/>
        <v>15600</v>
      </c>
      <c r="AH23" s="42">
        <f t="shared" si="3"/>
        <v>228</v>
      </c>
      <c r="AI23" s="42">
        <f t="shared" si="3"/>
        <v>491.99999999999994</v>
      </c>
      <c r="AJ23" s="42">
        <f t="shared" si="3"/>
        <v>736</v>
      </c>
      <c r="AK23" s="42">
        <f t="shared" si="3"/>
        <v>1650</v>
      </c>
      <c r="AL23" s="42">
        <f t="shared" si="3"/>
        <v>2100</v>
      </c>
      <c r="AM23" s="42">
        <f t="shared" si="3"/>
        <v>2400</v>
      </c>
      <c r="AN23" s="42">
        <f t="shared" si="3"/>
        <v>5250</v>
      </c>
      <c r="AO23" s="42">
        <f t="shared" si="3"/>
        <v>6500</v>
      </c>
      <c r="AP23" s="42">
        <f t="shared" si="3"/>
        <v>7250</v>
      </c>
      <c r="AQ23" s="42">
        <f t="shared" si="3"/>
        <v>15600</v>
      </c>
    </row>
    <row r="24" spans="2:43" x14ac:dyDescent="0.3">
      <c r="B24" s="2" t="s">
        <v>1771</v>
      </c>
      <c r="C24" s="42">
        <f>基础经济系数!H41</f>
        <v>145</v>
      </c>
      <c r="D24" s="33">
        <f t="shared" si="2"/>
        <v>0.05</v>
      </c>
      <c r="E24" s="42">
        <f t="shared" si="0"/>
        <v>7</v>
      </c>
      <c r="F24" s="42">
        <f t="shared" si="1"/>
        <v>2000</v>
      </c>
      <c r="G24" s="123"/>
      <c r="H24" s="2" t="s">
        <v>642</v>
      </c>
      <c r="I24" s="2" t="str">
        <f>VLOOKUP(H24,[1]坦克个性化设定!$B$18:$E$48,3,FALSE)</f>
        <v>重坦</v>
      </c>
      <c r="J24" s="42" t="str">
        <f>VLOOKUP(H24,[1]坦克个性化设定!$B$18:$E$48,4,FALSE)</f>
        <v>T1</v>
      </c>
      <c r="K24" s="42" t="str">
        <f>VLOOKUP(H24,[1]坦克个性化细分!$I$3:$J$33,2,FALSE)</f>
        <v>低</v>
      </c>
      <c r="M24" s="2">
        <v>6</v>
      </c>
      <c r="N24" s="42">
        <f t="shared" si="3"/>
        <v>210</v>
      </c>
      <c r="O24" s="42">
        <f t="shared" si="3"/>
        <v>456</v>
      </c>
      <c r="P24" s="42">
        <f t="shared" si="3"/>
        <v>704</v>
      </c>
      <c r="Q24" s="42">
        <f t="shared" si="3"/>
        <v>1551</v>
      </c>
      <c r="R24" s="42">
        <f t="shared" si="3"/>
        <v>2016</v>
      </c>
      <c r="S24" s="42">
        <f t="shared" si="3"/>
        <v>2304</v>
      </c>
      <c r="T24" s="42">
        <f t="shared" si="3"/>
        <v>5250</v>
      </c>
      <c r="U24" s="42">
        <f t="shared" si="3"/>
        <v>6500</v>
      </c>
      <c r="V24" s="42">
        <f t="shared" si="3"/>
        <v>7250</v>
      </c>
      <c r="W24" s="42">
        <f t="shared" si="3"/>
        <v>15600</v>
      </c>
      <c r="X24" s="42">
        <f t="shared" si="3"/>
        <v>210</v>
      </c>
      <c r="Y24" s="42">
        <f t="shared" si="3"/>
        <v>456</v>
      </c>
      <c r="Z24" s="42">
        <f t="shared" si="3"/>
        <v>704</v>
      </c>
      <c r="AA24" s="42">
        <f t="shared" si="3"/>
        <v>1551</v>
      </c>
      <c r="AB24" s="42">
        <f t="shared" si="3"/>
        <v>2016</v>
      </c>
      <c r="AC24" s="42">
        <f t="shared" si="3"/>
        <v>2304</v>
      </c>
      <c r="AD24" s="42">
        <f t="shared" si="3"/>
        <v>5250</v>
      </c>
      <c r="AE24" s="42">
        <f t="shared" si="3"/>
        <v>6500</v>
      </c>
      <c r="AF24" s="42">
        <f t="shared" si="3"/>
        <v>7250</v>
      </c>
      <c r="AG24" s="42">
        <f t="shared" si="3"/>
        <v>15600</v>
      </c>
      <c r="AH24" s="42">
        <f t="shared" si="3"/>
        <v>210</v>
      </c>
      <c r="AI24" s="42">
        <f t="shared" si="3"/>
        <v>456</v>
      </c>
      <c r="AJ24" s="42">
        <f t="shared" si="3"/>
        <v>704</v>
      </c>
      <c r="AK24" s="42">
        <f t="shared" si="3"/>
        <v>1551</v>
      </c>
      <c r="AL24" s="42">
        <f t="shared" si="3"/>
        <v>2016</v>
      </c>
      <c r="AM24" s="42">
        <f t="shared" si="3"/>
        <v>2304</v>
      </c>
      <c r="AN24" s="42">
        <f t="shared" si="3"/>
        <v>5250</v>
      </c>
      <c r="AO24" s="42">
        <f t="shared" si="3"/>
        <v>6500</v>
      </c>
      <c r="AP24" s="42">
        <f t="shared" si="3"/>
        <v>7250</v>
      </c>
      <c r="AQ24" s="42">
        <f t="shared" si="3"/>
        <v>15600</v>
      </c>
    </row>
    <row r="25" spans="2:43" x14ac:dyDescent="0.3">
      <c r="B25" s="2" t="s">
        <v>1772</v>
      </c>
      <c r="C25" s="42">
        <f>基础经济系数!H42</f>
        <v>195</v>
      </c>
      <c r="D25" s="33">
        <f t="shared" si="2"/>
        <v>0.05</v>
      </c>
      <c r="E25" s="42">
        <f t="shared" si="0"/>
        <v>10</v>
      </c>
      <c r="F25" s="42">
        <f t="shared" si="1"/>
        <v>2500</v>
      </c>
      <c r="G25" s="123"/>
      <c r="H25" s="2" t="s">
        <v>644</v>
      </c>
      <c r="I25" s="2" t="str">
        <f>VLOOKUP(H25,[1]坦克个性化设定!$B$18:$E$48,3,FALSE)</f>
        <v>重坦</v>
      </c>
      <c r="J25" s="42" t="str">
        <f>VLOOKUP(H25,[1]坦克个性化设定!$B$18:$E$48,4,FALSE)</f>
        <v>T2</v>
      </c>
      <c r="K25" s="42" t="str">
        <f>VLOOKUP(H25,[1]坦克个性化细分!$I$3:$J$33,2,FALSE)</f>
        <v>低</v>
      </c>
      <c r="M25" s="2">
        <v>7</v>
      </c>
      <c r="N25" s="42">
        <f t="shared" si="3"/>
        <v>192</v>
      </c>
      <c r="O25" s="42">
        <f t="shared" si="3"/>
        <v>420</v>
      </c>
      <c r="P25" s="42">
        <f t="shared" si="3"/>
        <v>672</v>
      </c>
      <c r="Q25" s="42">
        <f t="shared" si="3"/>
        <v>1452</v>
      </c>
      <c r="R25" s="42">
        <f t="shared" si="3"/>
        <v>1932</v>
      </c>
      <c r="S25" s="42">
        <f t="shared" si="3"/>
        <v>2208</v>
      </c>
      <c r="T25" s="42">
        <f t="shared" si="3"/>
        <v>5250</v>
      </c>
      <c r="U25" s="42">
        <f t="shared" si="3"/>
        <v>6500</v>
      </c>
      <c r="V25" s="42">
        <f t="shared" si="3"/>
        <v>7250</v>
      </c>
      <c r="W25" s="42">
        <f t="shared" si="3"/>
        <v>15600</v>
      </c>
      <c r="X25" s="42">
        <f t="shared" si="3"/>
        <v>192</v>
      </c>
      <c r="Y25" s="42">
        <f t="shared" si="3"/>
        <v>420</v>
      </c>
      <c r="Z25" s="42">
        <f t="shared" si="3"/>
        <v>672</v>
      </c>
      <c r="AA25" s="42">
        <f t="shared" si="3"/>
        <v>1452</v>
      </c>
      <c r="AB25" s="42">
        <f t="shared" si="3"/>
        <v>1932</v>
      </c>
      <c r="AC25" s="42">
        <f t="shared" si="3"/>
        <v>2208</v>
      </c>
      <c r="AD25" s="42">
        <f t="shared" si="3"/>
        <v>5250</v>
      </c>
      <c r="AE25" s="42">
        <f t="shared" si="3"/>
        <v>6500</v>
      </c>
      <c r="AF25" s="42">
        <f t="shared" si="3"/>
        <v>7250</v>
      </c>
      <c r="AG25" s="42">
        <f t="shared" si="3"/>
        <v>15600</v>
      </c>
      <c r="AH25" s="42">
        <f t="shared" si="3"/>
        <v>192</v>
      </c>
      <c r="AI25" s="42">
        <f t="shared" si="3"/>
        <v>420</v>
      </c>
      <c r="AJ25" s="42">
        <f t="shared" si="3"/>
        <v>672</v>
      </c>
      <c r="AK25" s="42">
        <f t="shared" si="3"/>
        <v>1452</v>
      </c>
      <c r="AL25" s="42">
        <f t="shared" si="3"/>
        <v>1932</v>
      </c>
      <c r="AM25" s="42">
        <f t="shared" si="3"/>
        <v>2208</v>
      </c>
      <c r="AN25" s="42">
        <f t="shared" si="3"/>
        <v>5250</v>
      </c>
      <c r="AO25" s="42">
        <f t="shared" si="3"/>
        <v>6500</v>
      </c>
      <c r="AP25" s="42">
        <f t="shared" si="3"/>
        <v>7250</v>
      </c>
      <c r="AQ25" s="42">
        <f t="shared" si="3"/>
        <v>15600</v>
      </c>
    </row>
    <row r="26" spans="2:43" x14ac:dyDescent="0.3">
      <c r="B26" s="2" t="s">
        <v>1773</v>
      </c>
      <c r="C26" s="42" t="e">
        <f>基础经济系数!H43</f>
        <v>#N/A</v>
      </c>
      <c r="D26" s="33">
        <f t="shared" si="2"/>
        <v>0.05</v>
      </c>
      <c r="E26" s="42" t="e">
        <f t="shared" si="0"/>
        <v>#N/A</v>
      </c>
      <c r="F26" s="42" t="e">
        <f t="shared" si="1"/>
        <v>#N/A</v>
      </c>
      <c r="G26" s="123"/>
      <c r="H26" s="2" t="s">
        <v>646</v>
      </c>
      <c r="I26" s="2" t="str">
        <f>VLOOKUP(H26,[1]坦克个性化设定!$B$18:$E$48,3,FALSE)</f>
        <v>重坦</v>
      </c>
      <c r="J26" s="42" t="str">
        <f>VLOOKUP(H26,[1]坦克个性化设定!$B$18:$E$48,4,FALSE)</f>
        <v>T2</v>
      </c>
      <c r="K26" s="42" t="str">
        <f>VLOOKUP(H26,[1]坦克个性化细分!$I$3:$J$33,2,FALSE)</f>
        <v>中</v>
      </c>
      <c r="M26" s="2">
        <v>8</v>
      </c>
      <c r="N26" s="42">
        <f t="shared" si="3"/>
        <v>174</v>
      </c>
      <c r="O26" s="42">
        <f t="shared" si="3"/>
        <v>384</v>
      </c>
      <c r="P26" s="42">
        <f t="shared" si="3"/>
        <v>640</v>
      </c>
      <c r="Q26" s="42">
        <f t="shared" si="3"/>
        <v>1353</v>
      </c>
      <c r="R26" s="42">
        <f t="shared" si="3"/>
        <v>1848</v>
      </c>
      <c r="S26" s="42">
        <f t="shared" si="3"/>
        <v>2112</v>
      </c>
      <c r="T26" s="42">
        <f t="shared" si="3"/>
        <v>5250</v>
      </c>
      <c r="U26" s="42">
        <f t="shared" si="3"/>
        <v>6500</v>
      </c>
      <c r="V26" s="42">
        <f t="shared" si="3"/>
        <v>7250</v>
      </c>
      <c r="W26" s="42">
        <f t="shared" si="3"/>
        <v>15600</v>
      </c>
      <c r="X26" s="42">
        <f t="shared" si="3"/>
        <v>174</v>
      </c>
      <c r="Y26" s="42">
        <f t="shared" si="3"/>
        <v>384</v>
      </c>
      <c r="Z26" s="42">
        <f t="shared" si="3"/>
        <v>640</v>
      </c>
      <c r="AA26" s="42">
        <f t="shared" si="3"/>
        <v>1353</v>
      </c>
      <c r="AB26" s="42">
        <f t="shared" si="3"/>
        <v>1848</v>
      </c>
      <c r="AC26" s="42">
        <f t="shared" si="3"/>
        <v>2112</v>
      </c>
      <c r="AD26" s="42">
        <f t="shared" si="3"/>
        <v>5250</v>
      </c>
      <c r="AE26" s="42">
        <f t="shared" si="3"/>
        <v>6500</v>
      </c>
      <c r="AF26" s="42">
        <f t="shared" si="3"/>
        <v>7250</v>
      </c>
      <c r="AG26" s="42">
        <f t="shared" si="3"/>
        <v>15600</v>
      </c>
      <c r="AH26" s="42">
        <f t="shared" si="3"/>
        <v>174</v>
      </c>
      <c r="AI26" s="42">
        <f t="shared" si="3"/>
        <v>384</v>
      </c>
      <c r="AJ26" s="42">
        <f t="shared" si="3"/>
        <v>640</v>
      </c>
      <c r="AK26" s="42">
        <f t="shared" si="3"/>
        <v>1353</v>
      </c>
      <c r="AL26" s="42">
        <f t="shared" si="3"/>
        <v>1848</v>
      </c>
      <c r="AM26" s="42">
        <f t="shared" si="3"/>
        <v>2112</v>
      </c>
      <c r="AN26" s="42">
        <f t="shared" si="3"/>
        <v>5250</v>
      </c>
      <c r="AO26" s="42">
        <f t="shared" si="3"/>
        <v>6500</v>
      </c>
      <c r="AP26" s="42">
        <f t="shared" si="3"/>
        <v>7250</v>
      </c>
      <c r="AQ26" s="42">
        <f t="shared" si="3"/>
        <v>15600</v>
      </c>
    </row>
    <row r="27" spans="2:43" x14ac:dyDescent="0.3">
      <c r="B27" s="2" t="s">
        <v>1774</v>
      </c>
      <c r="C27" s="42" t="e">
        <f>基础经济系数!H44</f>
        <v>#N/A</v>
      </c>
      <c r="D27" s="33">
        <f t="shared" si="2"/>
        <v>0.05</v>
      </c>
      <c r="E27" s="42" t="e">
        <f t="shared" si="0"/>
        <v>#N/A</v>
      </c>
      <c r="F27" s="42" t="e">
        <f t="shared" si="1"/>
        <v>#N/A</v>
      </c>
      <c r="G27" s="123"/>
      <c r="H27" s="2" t="s">
        <v>529</v>
      </c>
      <c r="I27" s="2" t="str">
        <f>VLOOKUP(H27,[1]坦克个性化设定!$B$18:$E$48,3,FALSE)</f>
        <v>重坦</v>
      </c>
      <c r="J27" s="42" t="str">
        <f>VLOOKUP(H27,[1]坦克个性化设定!$B$18:$E$48,4,FALSE)</f>
        <v>T3</v>
      </c>
      <c r="K27" s="42" t="str">
        <f>VLOOKUP(H27,[1]坦克个性化细分!$I$3:$J$33,2,FALSE)</f>
        <v>低</v>
      </c>
      <c r="M27" s="2">
        <v>9</v>
      </c>
      <c r="N27" s="42">
        <f t="shared" si="3"/>
        <v>156</v>
      </c>
      <c r="O27" s="42">
        <f t="shared" si="3"/>
        <v>348</v>
      </c>
      <c r="P27" s="42">
        <f t="shared" si="3"/>
        <v>608</v>
      </c>
      <c r="Q27" s="42">
        <f t="shared" si="3"/>
        <v>1254</v>
      </c>
      <c r="R27" s="42">
        <f t="shared" si="3"/>
        <v>1764</v>
      </c>
      <c r="S27" s="42">
        <f t="shared" si="3"/>
        <v>2016</v>
      </c>
      <c r="T27" s="42">
        <f t="shared" si="3"/>
        <v>5040</v>
      </c>
      <c r="U27" s="42">
        <f t="shared" si="3"/>
        <v>6240</v>
      </c>
      <c r="V27" s="42">
        <f t="shared" si="3"/>
        <v>6960</v>
      </c>
      <c r="W27" s="42">
        <f t="shared" si="3"/>
        <v>15600</v>
      </c>
      <c r="X27" s="42">
        <f t="shared" si="3"/>
        <v>156</v>
      </c>
      <c r="Y27" s="42">
        <f t="shared" si="3"/>
        <v>348</v>
      </c>
      <c r="Z27" s="42">
        <f t="shared" si="3"/>
        <v>608</v>
      </c>
      <c r="AA27" s="42">
        <f t="shared" si="3"/>
        <v>1254</v>
      </c>
      <c r="AB27" s="42">
        <f t="shared" si="3"/>
        <v>1764</v>
      </c>
      <c r="AC27" s="42">
        <f t="shared" ref="AC27:AQ42" si="4">IFERROR(VLOOKUP(VLOOKUP(AC$18,$H$3:$K$33,3,FALSE)&amp;VLOOKUP(AC$18,$H$3:$K$33,4,FALSE),$B$3:$C$27,2,FALSE)*VLOOKUP($M27,$M$3:$AE$15,MATCH(VLOOKUP(AC$18,$H$3:$K$33,3,FALSE)&amp;VLOOKUP(AC$18,$H$3:$K$33,4,FALSE),$M$3:$AE$3,0),FALSE),AC26)</f>
        <v>2016</v>
      </c>
      <c r="AD27" s="42">
        <f t="shared" si="4"/>
        <v>5040</v>
      </c>
      <c r="AE27" s="42">
        <f t="shared" si="4"/>
        <v>6240</v>
      </c>
      <c r="AF27" s="42">
        <f t="shared" si="4"/>
        <v>6960</v>
      </c>
      <c r="AG27" s="42">
        <f t="shared" si="4"/>
        <v>15600</v>
      </c>
      <c r="AH27" s="42">
        <f t="shared" si="4"/>
        <v>156</v>
      </c>
      <c r="AI27" s="42">
        <f t="shared" si="4"/>
        <v>348</v>
      </c>
      <c r="AJ27" s="42">
        <f t="shared" si="4"/>
        <v>608</v>
      </c>
      <c r="AK27" s="42">
        <f t="shared" si="4"/>
        <v>1254</v>
      </c>
      <c r="AL27" s="42">
        <f t="shared" si="4"/>
        <v>1764</v>
      </c>
      <c r="AM27" s="42">
        <f t="shared" si="4"/>
        <v>2016</v>
      </c>
      <c r="AN27" s="42">
        <f t="shared" si="4"/>
        <v>5040</v>
      </c>
      <c r="AO27" s="42">
        <f t="shared" si="4"/>
        <v>6240</v>
      </c>
      <c r="AP27" s="42">
        <f t="shared" si="4"/>
        <v>6960</v>
      </c>
      <c r="AQ27" s="42">
        <f t="shared" si="4"/>
        <v>15600</v>
      </c>
    </row>
    <row r="28" spans="2:43" x14ac:dyDescent="0.3">
      <c r="B28" s="2" t="s">
        <v>495</v>
      </c>
      <c r="C28" s="29">
        <f>[1]坦克部件养成!G16</f>
        <v>40</v>
      </c>
      <c r="D28" s="122">
        <v>0.1</v>
      </c>
      <c r="E28" s="42">
        <f t="shared" si="0"/>
        <v>4</v>
      </c>
      <c r="F28" s="42">
        <f t="shared" si="1"/>
        <v>1000</v>
      </c>
      <c r="H28" s="2" t="s">
        <v>649</v>
      </c>
      <c r="I28" s="2" t="str">
        <f>VLOOKUP(H28,[1]坦克个性化设定!$B$18:$E$48,3,FALSE)</f>
        <v>重坦</v>
      </c>
      <c r="J28" s="42" t="str">
        <f>VLOOKUP(H28,[1]坦克个性化设定!$B$18:$E$48,4,FALSE)</f>
        <v>T3</v>
      </c>
      <c r="K28" s="42" t="str">
        <f>VLOOKUP(H28,[1]坦克个性化细分!$I$3:$J$33,2,FALSE)</f>
        <v>中</v>
      </c>
      <c r="M28" s="2">
        <v>10</v>
      </c>
      <c r="N28" s="42">
        <f t="shared" ref="N28:AB42" si="5">IFERROR(VLOOKUP(VLOOKUP(N$18,$H$3:$K$33,3,FALSE)&amp;VLOOKUP(N$18,$H$3:$K$33,4,FALSE),$B$3:$C$27,2,FALSE)*VLOOKUP($M28,$M$3:$AE$15,MATCH(VLOOKUP(N$18,$H$3:$K$33,3,FALSE)&amp;VLOOKUP(N$18,$H$3:$K$33,4,FALSE),$M$3:$AE$3,0),FALSE),N27)</f>
        <v>138</v>
      </c>
      <c r="O28" s="42">
        <f t="shared" si="5"/>
        <v>312</v>
      </c>
      <c r="P28" s="42">
        <f t="shared" si="5"/>
        <v>576</v>
      </c>
      <c r="Q28" s="42">
        <f t="shared" si="5"/>
        <v>1155</v>
      </c>
      <c r="R28" s="42">
        <f t="shared" si="5"/>
        <v>1680</v>
      </c>
      <c r="S28" s="42">
        <f t="shared" si="5"/>
        <v>1920</v>
      </c>
      <c r="T28" s="42">
        <f t="shared" si="5"/>
        <v>4830</v>
      </c>
      <c r="U28" s="42">
        <f t="shared" si="5"/>
        <v>5980</v>
      </c>
      <c r="V28" s="42">
        <f t="shared" si="5"/>
        <v>6670</v>
      </c>
      <c r="W28" s="42">
        <f t="shared" si="5"/>
        <v>15600</v>
      </c>
      <c r="X28" s="42">
        <f t="shared" si="5"/>
        <v>138</v>
      </c>
      <c r="Y28" s="42">
        <f t="shared" si="5"/>
        <v>312</v>
      </c>
      <c r="Z28" s="42">
        <f t="shared" si="5"/>
        <v>576</v>
      </c>
      <c r="AA28" s="42">
        <f t="shared" si="5"/>
        <v>1155</v>
      </c>
      <c r="AB28" s="42">
        <f t="shared" si="5"/>
        <v>1680</v>
      </c>
      <c r="AC28" s="42">
        <f t="shared" si="4"/>
        <v>1920</v>
      </c>
      <c r="AD28" s="42">
        <f t="shared" si="4"/>
        <v>4830</v>
      </c>
      <c r="AE28" s="42">
        <f t="shared" si="4"/>
        <v>5980</v>
      </c>
      <c r="AF28" s="42">
        <f t="shared" si="4"/>
        <v>6670</v>
      </c>
      <c r="AG28" s="42">
        <f t="shared" si="4"/>
        <v>15600</v>
      </c>
      <c r="AH28" s="42">
        <f t="shared" si="4"/>
        <v>138</v>
      </c>
      <c r="AI28" s="42">
        <f t="shared" si="4"/>
        <v>312</v>
      </c>
      <c r="AJ28" s="42">
        <f t="shared" si="4"/>
        <v>576</v>
      </c>
      <c r="AK28" s="42">
        <f t="shared" si="4"/>
        <v>1155</v>
      </c>
      <c r="AL28" s="42">
        <f t="shared" si="4"/>
        <v>1680</v>
      </c>
      <c r="AM28" s="42">
        <f t="shared" si="4"/>
        <v>1920</v>
      </c>
      <c r="AN28" s="42">
        <f t="shared" si="4"/>
        <v>4830</v>
      </c>
      <c r="AO28" s="42">
        <f t="shared" si="4"/>
        <v>5980</v>
      </c>
      <c r="AP28" s="42">
        <f t="shared" si="4"/>
        <v>6670</v>
      </c>
      <c r="AQ28" s="42">
        <f t="shared" si="4"/>
        <v>15600</v>
      </c>
    </row>
    <row r="29" spans="2:43" x14ac:dyDescent="0.3">
      <c r="B29" s="2" t="s">
        <v>496</v>
      </c>
      <c r="C29" s="29">
        <f>[1]坦克部件养成!G17</f>
        <v>70</v>
      </c>
      <c r="D29" s="122">
        <v>0.05</v>
      </c>
      <c r="E29" s="42">
        <f t="shared" si="0"/>
        <v>4</v>
      </c>
      <c r="F29" s="42">
        <f t="shared" si="1"/>
        <v>1000</v>
      </c>
      <c r="H29" s="2" t="s">
        <v>651</v>
      </c>
      <c r="I29" s="2" t="str">
        <f>VLOOKUP(H29,[1]坦克个性化设定!$B$18:$E$48,3,FALSE)</f>
        <v>重坦</v>
      </c>
      <c r="J29" s="42" t="str">
        <f>VLOOKUP(H29,[1]坦克个性化设定!$B$18:$E$48,4,FALSE)</f>
        <v>T3</v>
      </c>
      <c r="K29" s="42" t="str">
        <f>VLOOKUP(H29,[1]坦克个性化细分!$I$3:$J$33,2,FALSE)</f>
        <v>高</v>
      </c>
      <c r="M29" s="2">
        <v>11</v>
      </c>
      <c r="N29" s="42">
        <f t="shared" si="5"/>
        <v>120.00000000000031</v>
      </c>
      <c r="O29" s="42">
        <f t="shared" si="5"/>
        <v>276</v>
      </c>
      <c r="P29" s="42">
        <f t="shared" si="5"/>
        <v>544.0000000000008</v>
      </c>
      <c r="Q29" s="42">
        <f t="shared" si="5"/>
        <v>1056</v>
      </c>
      <c r="R29" s="42">
        <f t="shared" si="5"/>
        <v>1596</v>
      </c>
      <c r="S29" s="42">
        <f t="shared" si="5"/>
        <v>1824</v>
      </c>
      <c r="T29" s="42">
        <f t="shared" si="5"/>
        <v>4620</v>
      </c>
      <c r="U29" s="42">
        <f t="shared" si="5"/>
        <v>5720</v>
      </c>
      <c r="V29" s="42">
        <f t="shared" si="5"/>
        <v>6380</v>
      </c>
      <c r="W29" s="42">
        <f t="shared" si="5"/>
        <v>15288</v>
      </c>
      <c r="X29" s="42">
        <f t="shared" si="5"/>
        <v>120.00000000000031</v>
      </c>
      <c r="Y29" s="42">
        <f t="shared" si="5"/>
        <v>276</v>
      </c>
      <c r="Z29" s="42">
        <f t="shared" si="5"/>
        <v>544.0000000000008</v>
      </c>
      <c r="AA29" s="42">
        <f t="shared" si="5"/>
        <v>1056</v>
      </c>
      <c r="AB29" s="42">
        <f t="shared" si="5"/>
        <v>1596</v>
      </c>
      <c r="AC29" s="42">
        <f t="shared" si="4"/>
        <v>1824</v>
      </c>
      <c r="AD29" s="42">
        <f t="shared" si="4"/>
        <v>4620</v>
      </c>
      <c r="AE29" s="42">
        <f t="shared" si="4"/>
        <v>5720</v>
      </c>
      <c r="AF29" s="42">
        <f t="shared" si="4"/>
        <v>6380</v>
      </c>
      <c r="AG29" s="42">
        <f t="shared" si="4"/>
        <v>15288</v>
      </c>
      <c r="AH29" s="42">
        <f t="shared" si="4"/>
        <v>120.00000000000031</v>
      </c>
      <c r="AI29" s="42">
        <f t="shared" si="4"/>
        <v>276</v>
      </c>
      <c r="AJ29" s="42">
        <f t="shared" si="4"/>
        <v>544.0000000000008</v>
      </c>
      <c r="AK29" s="42">
        <f t="shared" si="4"/>
        <v>1056</v>
      </c>
      <c r="AL29" s="42">
        <f t="shared" si="4"/>
        <v>1596</v>
      </c>
      <c r="AM29" s="42">
        <f t="shared" si="4"/>
        <v>1824</v>
      </c>
      <c r="AN29" s="42">
        <f t="shared" si="4"/>
        <v>4620</v>
      </c>
      <c r="AO29" s="42">
        <f t="shared" si="4"/>
        <v>5720</v>
      </c>
      <c r="AP29" s="42">
        <f t="shared" si="4"/>
        <v>6380</v>
      </c>
      <c r="AQ29" s="42">
        <f t="shared" si="4"/>
        <v>15288</v>
      </c>
    </row>
    <row r="30" spans="2:43" x14ac:dyDescent="0.3">
      <c r="B30" s="2" t="s">
        <v>497</v>
      </c>
      <c r="C30" s="29">
        <f>[1]坦克部件养成!G18</f>
        <v>120</v>
      </c>
      <c r="D30" s="122">
        <v>0.05</v>
      </c>
      <c r="E30" s="42">
        <f t="shared" si="0"/>
        <v>6</v>
      </c>
      <c r="F30" s="42">
        <f t="shared" si="1"/>
        <v>1500</v>
      </c>
      <c r="H30" s="2" t="s">
        <v>653</v>
      </c>
      <c r="I30" s="2" t="str">
        <f>VLOOKUP(H30,[1]坦克个性化设定!$B$18:$E$48,3,FALSE)</f>
        <v>重坦</v>
      </c>
      <c r="J30" s="42" t="str">
        <f>VLOOKUP(H30,[1]坦克个性化设定!$B$18:$E$48,4,FALSE)</f>
        <v>T4</v>
      </c>
      <c r="K30" s="42" t="str">
        <f>VLOOKUP(H30,[1]坦克个性化细分!$I$3:$J$33,2,FALSE)</f>
        <v>低</v>
      </c>
      <c r="M30" s="2">
        <v>12</v>
      </c>
      <c r="N30" s="42">
        <f t="shared" si="5"/>
        <v>102.00000000000031</v>
      </c>
      <c r="O30" s="42">
        <f t="shared" si="5"/>
        <v>240.00000000000063</v>
      </c>
      <c r="P30" s="42">
        <f t="shared" si="5"/>
        <v>512.0000000000008</v>
      </c>
      <c r="Q30" s="42">
        <f t="shared" si="5"/>
        <v>956.99999999999989</v>
      </c>
      <c r="R30" s="42">
        <f t="shared" si="5"/>
        <v>1512</v>
      </c>
      <c r="S30" s="42">
        <f t="shared" si="5"/>
        <v>1728</v>
      </c>
      <c r="T30" s="42">
        <f t="shared" si="5"/>
        <v>4410</v>
      </c>
      <c r="U30" s="42">
        <f t="shared" si="5"/>
        <v>5460</v>
      </c>
      <c r="V30" s="42">
        <f t="shared" si="5"/>
        <v>6090</v>
      </c>
      <c r="W30" s="42">
        <f t="shared" si="5"/>
        <v>14976</v>
      </c>
      <c r="X30" s="42">
        <f t="shared" si="5"/>
        <v>102.00000000000031</v>
      </c>
      <c r="Y30" s="42">
        <f t="shared" si="5"/>
        <v>240.00000000000063</v>
      </c>
      <c r="Z30" s="42">
        <f t="shared" si="5"/>
        <v>512.0000000000008</v>
      </c>
      <c r="AA30" s="42">
        <f t="shared" si="5"/>
        <v>956.99999999999989</v>
      </c>
      <c r="AB30" s="42">
        <f t="shared" si="5"/>
        <v>1512</v>
      </c>
      <c r="AC30" s="42">
        <f t="shared" si="4"/>
        <v>1728</v>
      </c>
      <c r="AD30" s="42">
        <f t="shared" si="4"/>
        <v>4410</v>
      </c>
      <c r="AE30" s="42">
        <f t="shared" si="4"/>
        <v>5460</v>
      </c>
      <c r="AF30" s="42">
        <f t="shared" si="4"/>
        <v>6090</v>
      </c>
      <c r="AG30" s="42">
        <f t="shared" si="4"/>
        <v>14976</v>
      </c>
      <c r="AH30" s="42">
        <f t="shared" si="4"/>
        <v>102.00000000000031</v>
      </c>
      <c r="AI30" s="42">
        <f t="shared" si="4"/>
        <v>240.00000000000063</v>
      </c>
      <c r="AJ30" s="42">
        <f t="shared" si="4"/>
        <v>512.0000000000008</v>
      </c>
      <c r="AK30" s="42">
        <f t="shared" si="4"/>
        <v>956.99999999999989</v>
      </c>
      <c r="AL30" s="42">
        <f t="shared" si="4"/>
        <v>1512</v>
      </c>
      <c r="AM30" s="42">
        <f t="shared" si="4"/>
        <v>1728</v>
      </c>
      <c r="AN30" s="42">
        <f t="shared" si="4"/>
        <v>4410</v>
      </c>
      <c r="AO30" s="42">
        <f t="shared" si="4"/>
        <v>5460</v>
      </c>
      <c r="AP30" s="42">
        <f t="shared" si="4"/>
        <v>6090</v>
      </c>
      <c r="AQ30" s="42">
        <f t="shared" si="4"/>
        <v>14976</v>
      </c>
    </row>
    <row r="31" spans="2:43" x14ac:dyDescent="0.3">
      <c r="H31" s="2" t="s">
        <v>655</v>
      </c>
      <c r="I31" s="2" t="str">
        <f>VLOOKUP(H31,[1]坦克个性化设定!$B$18:$E$48,3,FALSE)</f>
        <v>重坦</v>
      </c>
      <c r="J31" s="42" t="str">
        <f>VLOOKUP(H31,[1]坦克个性化设定!$B$18:$E$48,4,FALSE)</f>
        <v>T4</v>
      </c>
      <c r="K31" s="42" t="str">
        <f>VLOOKUP(H31,[1]坦克个性化细分!$I$3:$J$33,2,FALSE)</f>
        <v>中</v>
      </c>
      <c r="M31" s="2">
        <v>13</v>
      </c>
      <c r="N31" s="42">
        <f t="shared" si="5"/>
        <v>102.00000000000031</v>
      </c>
      <c r="O31" s="42">
        <f t="shared" si="5"/>
        <v>240.00000000000063</v>
      </c>
      <c r="P31" s="42">
        <f t="shared" si="5"/>
        <v>512.0000000000008</v>
      </c>
      <c r="Q31" s="42">
        <f t="shared" si="5"/>
        <v>956.99999999999989</v>
      </c>
      <c r="R31" s="42">
        <f t="shared" si="5"/>
        <v>1512</v>
      </c>
      <c r="S31" s="42">
        <f t="shared" si="5"/>
        <v>1728</v>
      </c>
      <c r="T31" s="42">
        <f t="shared" si="5"/>
        <v>4410</v>
      </c>
      <c r="U31" s="42">
        <f t="shared" si="5"/>
        <v>5460</v>
      </c>
      <c r="V31" s="42">
        <f t="shared" si="5"/>
        <v>6090</v>
      </c>
      <c r="W31" s="42">
        <f t="shared" si="5"/>
        <v>14976</v>
      </c>
      <c r="X31" s="42">
        <f t="shared" si="5"/>
        <v>102.00000000000031</v>
      </c>
      <c r="Y31" s="42">
        <f t="shared" si="5"/>
        <v>240.00000000000063</v>
      </c>
      <c r="Z31" s="42">
        <f t="shared" si="5"/>
        <v>512.0000000000008</v>
      </c>
      <c r="AA31" s="42">
        <f t="shared" si="5"/>
        <v>956.99999999999989</v>
      </c>
      <c r="AB31" s="42">
        <f t="shared" si="5"/>
        <v>1512</v>
      </c>
      <c r="AC31" s="42">
        <f t="shared" si="4"/>
        <v>1728</v>
      </c>
      <c r="AD31" s="42">
        <f t="shared" si="4"/>
        <v>4410</v>
      </c>
      <c r="AE31" s="42">
        <f t="shared" si="4"/>
        <v>5460</v>
      </c>
      <c r="AF31" s="42">
        <f t="shared" si="4"/>
        <v>6090</v>
      </c>
      <c r="AG31" s="42">
        <f t="shared" si="4"/>
        <v>14976</v>
      </c>
      <c r="AH31" s="42">
        <f t="shared" si="4"/>
        <v>102.00000000000031</v>
      </c>
      <c r="AI31" s="42">
        <f t="shared" si="4"/>
        <v>240.00000000000063</v>
      </c>
      <c r="AJ31" s="42">
        <f t="shared" si="4"/>
        <v>512.0000000000008</v>
      </c>
      <c r="AK31" s="42">
        <f t="shared" si="4"/>
        <v>956.99999999999989</v>
      </c>
      <c r="AL31" s="42">
        <f t="shared" si="4"/>
        <v>1512</v>
      </c>
      <c r="AM31" s="42">
        <f t="shared" si="4"/>
        <v>1728</v>
      </c>
      <c r="AN31" s="42">
        <f t="shared" si="4"/>
        <v>4410</v>
      </c>
      <c r="AO31" s="42">
        <f t="shared" si="4"/>
        <v>5460</v>
      </c>
      <c r="AP31" s="42">
        <f t="shared" si="4"/>
        <v>6090</v>
      </c>
      <c r="AQ31" s="42">
        <f t="shared" si="4"/>
        <v>14976</v>
      </c>
    </row>
    <row r="32" spans="2:43" x14ac:dyDescent="0.3">
      <c r="H32" s="2" t="s">
        <v>657</v>
      </c>
      <c r="I32" s="2" t="str">
        <f>VLOOKUP(H32,[1]坦克个性化设定!$B$18:$E$48,3,FALSE)</f>
        <v>重坦</v>
      </c>
      <c r="J32" s="42" t="str">
        <f>VLOOKUP(H32,[1]坦克个性化设定!$B$18:$E$48,4,FALSE)</f>
        <v>T4</v>
      </c>
      <c r="K32" s="42" t="str">
        <f>VLOOKUP(H32,[1]坦克个性化细分!$I$3:$J$33,2,FALSE)</f>
        <v>高</v>
      </c>
      <c r="M32" s="2">
        <v>14</v>
      </c>
      <c r="N32" s="42">
        <f t="shared" si="5"/>
        <v>102.00000000000031</v>
      </c>
      <c r="O32" s="42">
        <f t="shared" si="5"/>
        <v>240.00000000000063</v>
      </c>
      <c r="P32" s="42">
        <f t="shared" si="5"/>
        <v>512.0000000000008</v>
      </c>
      <c r="Q32" s="42">
        <f t="shared" si="5"/>
        <v>956.99999999999989</v>
      </c>
      <c r="R32" s="42">
        <f t="shared" si="5"/>
        <v>1512</v>
      </c>
      <c r="S32" s="42">
        <f t="shared" si="5"/>
        <v>1728</v>
      </c>
      <c r="T32" s="42">
        <f t="shared" si="5"/>
        <v>4410</v>
      </c>
      <c r="U32" s="42">
        <f t="shared" si="5"/>
        <v>5460</v>
      </c>
      <c r="V32" s="42">
        <f t="shared" si="5"/>
        <v>6090</v>
      </c>
      <c r="W32" s="42">
        <f t="shared" si="5"/>
        <v>14976</v>
      </c>
      <c r="X32" s="42">
        <f t="shared" si="5"/>
        <v>102.00000000000031</v>
      </c>
      <c r="Y32" s="42">
        <f t="shared" si="5"/>
        <v>240.00000000000063</v>
      </c>
      <c r="Z32" s="42">
        <f t="shared" si="5"/>
        <v>512.0000000000008</v>
      </c>
      <c r="AA32" s="42">
        <f t="shared" si="5"/>
        <v>956.99999999999989</v>
      </c>
      <c r="AB32" s="42">
        <f t="shared" si="5"/>
        <v>1512</v>
      </c>
      <c r="AC32" s="42">
        <f t="shared" si="4"/>
        <v>1728</v>
      </c>
      <c r="AD32" s="42">
        <f t="shared" si="4"/>
        <v>4410</v>
      </c>
      <c r="AE32" s="42">
        <f t="shared" si="4"/>
        <v>5460</v>
      </c>
      <c r="AF32" s="42">
        <f t="shared" si="4"/>
        <v>6090</v>
      </c>
      <c r="AG32" s="42">
        <f t="shared" si="4"/>
        <v>14976</v>
      </c>
      <c r="AH32" s="42">
        <f t="shared" si="4"/>
        <v>102.00000000000031</v>
      </c>
      <c r="AI32" s="42">
        <f t="shared" si="4"/>
        <v>240.00000000000063</v>
      </c>
      <c r="AJ32" s="42">
        <f t="shared" si="4"/>
        <v>512.0000000000008</v>
      </c>
      <c r="AK32" s="42">
        <f t="shared" si="4"/>
        <v>956.99999999999989</v>
      </c>
      <c r="AL32" s="42">
        <f t="shared" si="4"/>
        <v>1512</v>
      </c>
      <c r="AM32" s="42">
        <f t="shared" si="4"/>
        <v>1728</v>
      </c>
      <c r="AN32" s="42">
        <f t="shared" si="4"/>
        <v>4410</v>
      </c>
      <c r="AO32" s="42">
        <f t="shared" si="4"/>
        <v>5460</v>
      </c>
      <c r="AP32" s="42">
        <f t="shared" si="4"/>
        <v>6090</v>
      </c>
      <c r="AQ32" s="42">
        <f t="shared" si="4"/>
        <v>14976</v>
      </c>
    </row>
    <row r="33" spans="2:43" x14ac:dyDescent="0.3">
      <c r="B33" s="2" t="s">
        <v>1748</v>
      </c>
      <c r="C33" s="2" t="s">
        <v>1775</v>
      </c>
      <c r="D33" s="2" t="s">
        <v>371</v>
      </c>
      <c r="E33" s="2" t="s">
        <v>1776</v>
      </c>
      <c r="H33" s="2" t="s">
        <v>659</v>
      </c>
      <c r="I33" s="2" t="str">
        <f>VLOOKUP(H33,[1]坦克个性化设定!$B$18:$E$48,3,FALSE)</f>
        <v>重坦</v>
      </c>
      <c r="J33" s="42" t="str">
        <f>VLOOKUP(H33,[1]坦克个性化设定!$B$18:$E$48,4,FALSE)</f>
        <v>T5</v>
      </c>
      <c r="K33" s="42" t="str">
        <f>VLOOKUP(H33,[1]坦克个性化细分!$I$3:$J$33,2,FALSE)</f>
        <v>低</v>
      </c>
      <c r="M33" s="2">
        <v>15</v>
      </c>
      <c r="N33" s="42">
        <f t="shared" si="5"/>
        <v>102.00000000000031</v>
      </c>
      <c r="O33" s="42">
        <f t="shared" si="5"/>
        <v>240.00000000000063</v>
      </c>
      <c r="P33" s="42">
        <f t="shared" si="5"/>
        <v>512.0000000000008</v>
      </c>
      <c r="Q33" s="42">
        <f t="shared" si="5"/>
        <v>956.99999999999989</v>
      </c>
      <c r="R33" s="42">
        <f t="shared" si="5"/>
        <v>1512</v>
      </c>
      <c r="S33" s="42">
        <f t="shared" si="5"/>
        <v>1728</v>
      </c>
      <c r="T33" s="42">
        <f t="shared" si="5"/>
        <v>4410</v>
      </c>
      <c r="U33" s="42">
        <f t="shared" si="5"/>
        <v>5460</v>
      </c>
      <c r="V33" s="42">
        <f t="shared" si="5"/>
        <v>6090</v>
      </c>
      <c r="W33" s="42">
        <f t="shared" si="5"/>
        <v>14976</v>
      </c>
      <c r="X33" s="42">
        <f t="shared" si="5"/>
        <v>102.00000000000031</v>
      </c>
      <c r="Y33" s="42">
        <f t="shared" si="5"/>
        <v>240.00000000000063</v>
      </c>
      <c r="Z33" s="42">
        <f t="shared" si="5"/>
        <v>512.0000000000008</v>
      </c>
      <c r="AA33" s="42">
        <f t="shared" si="5"/>
        <v>956.99999999999989</v>
      </c>
      <c r="AB33" s="42">
        <f t="shared" si="5"/>
        <v>1512</v>
      </c>
      <c r="AC33" s="42">
        <f t="shared" si="4"/>
        <v>1728</v>
      </c>
      <c r="AD33" s="42">
        <f t="shared" si="4"/>
        <v>4410</v>
      </c>
      <c r="AE33" s="42">
        <f t="shared" si="4"/>
        <v>5460</v>
      </c>
      <c r="AF33" s="42">
        <f t="shared" si="4"/>
        <v>6090</v>
      </c>
      <c r="AG33" s="42">
        <f t="shared" si="4"/>
        <v>14976</v>
      </c>
      <c r="AH33" s="42">
        <f t="shared" si="4"/>
        <v>102.00000000000031</v>
      </c>
      <c r="AI33" s="42">
        <f t="shared" si="4"/>
        <v>240.00000000000063</v>
      </c>
      <c r="AJ33" s="42">
        <f t="shared" si="4"/>
        <v>512.0000000000008</v>
      </c>
      <c r="AK33" s="42">
        <f t="shared" si="4"/>
        <v>956.99999999999989</v>
      </c>
      <c r="AL33" s="42">
        <f t="shared" si="4"/>
        <v>1512</v>
      </c>
      <c r="AM33" s="42">
        <f t="shared" si="4"/>
        <v>1728</v>
      </c>
      <c r="AN33" s="42">
        <f t="shared" si="4"/>
        <v>4410</v>
      </c>
      <c r="AO33" s="42">
        <f t="shared" si="4"/>
        <v>5460</v>
      </c>
      <c r="AP33" s="42">
        <f t="shared" si="4"/>
        <v>6090</v>
      </c>
      <c r="AQ33" s="42">
        <f t="shared" si="4"/>
        <v>14976</v>
      </c>
    </row>
    <row r="34" spans="2:43" x14ac:dyDescent="0.3">
      <c r="B34" s="2" t="s">
        <v>1762</v>
      </c>
      <c r="C34" s="42">
        <f t="shared" ref="C34:C45" si="6">C16</f>
        <v>100</v>
      </c>
      <c r="D34" s="21">
        <v>1</v>
      </c>
      <c r="E34" s="2">
        <f>MROUND(C34*D34,10)</f>
        <v>100</v>
      </c>
      <c r="G34" s="124"/>
      <c r="M34" s="2">
        <v>16</v>
      </c>
      <c r="N34" s="42">
        <f t="shared" si="5"/>
        <v>102.00000000000031</v>
      </c>
      <c r="O34" s="42">
        <f t="shared" si="5"/>
        <v>240.00000000000063</v>
      </c>
      <c r="P34" s="42">
        <f t="shared" si="5"/>
        <v>512.0000000000008</v>
      </c>
      <c r="Q34" s="42">
        <f t="shared" si="5"/>
        <v>956.99999999999989</v>
      </c>
      <c r="R34" s="42">
        <f t="shared" si="5"/>
        <v>1512</v>
      </c>
      <c r="S34" s="42">
        <f t="shared" si="5"/>
        <v>1728</v>
      </c>
      <c r="T34" s="42">
        <f t="shared" si="5"/>
        <v>4410</v>
      </c>
      <c r="U34" s="42">
        <f t="shared" si="5"/>
        <v>5460</v>
      </c>
      <c r="V34" s="42">
        <f t="shared" si="5"/>
        <v>6090</v>
      </c>
      <c r="W34" s="42">
        <f t="shared" si="5"/>
        <v>14976</v>
      </c>
      <c r="X34" s="42">
        <f t="shared" si="5"/>
        <v>102.00000000000031</v>
      </c>
      <c r="Y34" s="42">
        <f t="shared" si="5"/>
        <v>240.00000000000063</v>
      </c>
      <c r="Z34" s="42">
        <f t="shared" si="5"/>
        <v>512.0000000000008</v>
      </c>
      <c r="AA34" s="42">
        <f t="shared" si="5"/>
        <v>956.99999999999989</v>
      </c>
      <c r="AB34" s="42">
        <f t="shared" si="5"/>
        <v>1512</v>
      </c>
      <c r="AC34" s="42">
        <f t="shared" si="4"/>
        <v>1728</v>
      </c>
      <c r="AD34" s="42">
        <f t="shared" si="4"/>
        <v>4410</v>
      </c>
      <c r="AE34" s="42">
        <f t="shared" si="4"/>
        <v>5460</v>
      </c>
      <c r="AF34" s="42">
        <f t="shared" si="4"/>
        <v>6090</v>
      </c>
      <c r="AG34" s="42">
        <f t="shared" si="4"/>
        <v>14976</v>
      </c>
      <c r="AH34" s="42">
        <f t="shared" si="4"/>
        <v>102.00000000000031</v>
      </c>
      <c r="AI34" s="42">
        <f t="shared" si="4"/>
        <v>240.00000000000063</v>
      </c>
      <c r="AJ34" s="42">
        <f t="shared" si="4"/>
        <v>512.0000000000008</v>
      </c>
      <c r="AK34" s="42">
        <f t="shared" si="4"/>
        <v>956.99999999999989</v>
      </c>
      <c r="AL34" s="42">
        <f t="shared" si="4"/>
        <v>1512</v>
      </c>
      <c r="AM34" s="42">
        <f t="shared" si="4"/>
        <v>1728</v>
      </c>
      <c r="AN34" s="42">
        <f t="shared" si="4"/>
        <v>4410</v>
      </c>
      <c r="AO34" s="42">
        <f t="shared" si="4"/>
        <v>5460</v>
      </c>
      <c r="AP34" s="42">
        <f t="shared" si="4"/>
        <v>6090</v>
      </c>
      <c r="AQ34" s="42">
        <f t="shared" si="4"/>
        <v>14976</v>
      </c>
    </row>
    <row r="35" spans="2:43" x14ac:dyDescent="0.3">
      <c r="B35" s="2" t="s">
        <v>1763</v>
      </c>
      <c r="C35" s="42">
        <f t="shared" si="6"/>
        <v>100</v>
      </c>
      <c r="D35" s="21">
        <v>1</v>
      </c>
      <c r="E35" s="2">
        <f t="shared" ref="E35:E45" si="7">MROUND(C35*D35,10)</f>
        <v>100</v>
      </c>
      <c r="G35" s="124"/>
      <c r="M35" s="2">
        <v>17</v>
      </c>
      <c r="N35" s="42">
        <f t="shared" si="5"/>
        <v>102.00000000000031</v>
      </c>
      <c r="O35" s="42">
        <f t="shared" si="5"/>
        <v>240.00000000000063</v>
      </c>
      <c r="P35" s="42">
        <f t="shared" si="5"/>
        <v>512.0000000000008</v>
      </c>
      <c r="Q35" s="42">
        <f t="shared" si="5"/>
        <v>956.99999999999989</v>
      </c>
      <c r="R35" s="42">
        <f t="shared" si="5"/>
        <v>1512</v>
      </c>
      <c r="S35" s="42">
        <f t="shared" si="5"/>
        <v>1728</v>
      </c>
      <c r="T35" s="42">
        <f t="shared" si="5"/>
        <v>4410</v>
      </c>
      <c r="U35" s="42">
        <f t="shared" si="5"/>
        <v>5460</v>
      </c>
      <c r="V35" s="42">
        <f t="shared" si="5"/>
        <v>6090</v>
      </c>
      <c r="W35" s="42">
        <f t="shared" si="5"/>
        <v>14976</v>
      </c>
      <c r="X35" s="42">
        <f t="shared" si="5"/>
        <v>102.00000000000031</v>
      </c>
      <c r="Y35" s="42">
        <f t="shared" si="5"/>
        <v>240.00000000000063</v>
      </c>
      <c r="Z35" s="42">
        <f t="shared" si="5"/>
        <v>512.0000000000008</v>
      </c>
      <c r="AA35" s="42">
        <f t="shared" si="5"/>
        <v>956.99999999999989</v>
      </c>
      <c r="AB35" s="42">
        <f t="shared" si="5"/>
        <v>1512</v>
      </c>
      <c r="AC35" s="42">
        <f t="shared" si="4"/>
        <v>1728</v>
      </c>
      <c r="AD35" s="42">
        <f t="shared" si="4"/>
        <v>4410</v>
      </c>
      <c r="AE35" s="42">
        <f t="shared" si="4"/>
        <v>5460</v>
      </c>
      <c r="AF35" s="42">
        <f t="shared" si="4"/>
        <v>6090</v>
      </c>
      <c r="AG35" s="42">
        <f t="shared" si="4"/>
        <v>14976</v>
      </c>
      <c r="AH35" s="42">
        <f t="shared" si="4"/>
        <v>102.00000000000031</v>
      </c>
      <c r="AI35" s="42">
        <f t="shared" si="4"/>
        <v>240.00000000000063</v>
      </c>
      <c r="AJ35" s="42">
        <f t="shared" si="4"/>
        <v>512.0000000000008</v>
      </c>
      <c r="AK35" s="42">
        <f t="shared" si="4"/>
        <v>956.99999999999989</v>
      </c>
      <c r="AL35" s="42">
        <f t="shared" si="4"/>
        <v>1512</v>
      </c>
      <c r="AM35" s="42">
        <f t="shared" si="4"/>
        <v>1728</v>
      </c>
      <c r="AN35" s="42">
        <f t="shared" si="4"/>
        <v>4410</v>
      </c>
      <c r="AO35" s="42">
        <f t="shared" si="4"/>
        <v>5460</v>
      </c>
      <c r="AP35" s="42">
        <f t="shared" si="4"/>
        <v>6090</v>
      </c>
      <c r="AQ35" s="42">
        <f t="shared" si="4"/>
        <v>14976</v>
      </c>
    </row>
    <row r="36" spans="2:43" x14ac:dyDescent="0.3">
      <c r="B36" s="2" t="s">
        <v>1765</v>
      </c>
      <c r="C36" s="42">
        <f t="shared" si="6"/>
        <v>133.33333333333334</v>
      </c>
      <c r="D36" s="21">
        <v>1</v>
      </c>
      <c r="E36" s="2">
        <f t="shared" si="7"/>
        <v>130</v>
      </c>
      <c r="G36" s="124"/>
      <c r="M36" s="2">
        <v>18</v>
      </c>
      <c r="N36" s="42">
        <f t="shared" si="5"/>
        <v>102.00000000000031</v>
      </c>
      <c r="O36" s="42">
        <f t="shared" si="5"/>
        <v>240.00000000000063</v>
      </c>
      <c r="P36" s="42">
        <f t="shared" si="5"/>
        <v>512.0000000000008</v>
      </c>
      <c r="Q36" s="42">
        <f t="shared" si="5"/>
        <v>956.99999999999989</v>
      </c>
      <c r="R36" s="42">
        <f t="shared" si="5"/>
        <v>1512</v>
      </c>
      <c r="S36" s="42">
        <f t="shared" si="5"/>
        <v>1728</v>
      </c>
      <c r="T36" s="42">
        <f t="shared" si="5"/>
        <v>4410</v>
      </c>
      <c r="U36" s="42">
        <f t="shared" si="5"/>
        <v>5460</v>
      </c>
      <c r="V36" s="42">
        <f t="shared" si="5"/>
        <v>6090</v>
      </c>
      <c r="W36" s="42">
        <f t="shared" si="5"/>
        <v>14976</v>
      </c>
      <c r="X36" s="42">
        <f t="shared" si="5"/>
        <v>102.00000000000031</v>
      </c>
      <c r="Y36" s="42">
        <f t="shared" si="5"/>
        <v>240.00000000000063</v>
      </c>
      <c r="Z36" s="42">
        <f t="shared" si="5"/>
        <v>512.0000000000008</v>
      </c>
      <c r="AA36" s="42">
        <f t="shared" si="5"/>
        <v>956.99999999999989</v>
      </c>
      <c r="AB36" s="42">
        <f t="shared" si="5"/>
        <v>1512</v>
      </c>
      <c r="AC36" s="42">
        <f t="shared" si="4"/>
        <v>1728</v>
      </c>
      <c r="AD36" s="42">
        <f t="shared" si="4"/>
        <v>4410</v>
      </c>
      <c r="AE36" s="42">
        <f t="shared" si="4"/>
        <v>5460</v>
      </c>
      <c r="AF36" s="42">
        <f t="shared" si="4"/>
        <v>6090</v>
      </c>
      <c r="AG36" s="42">
        <f t="shared" si="4"/>
        <v>14976</v>
      </c>
      <c r="AH36" s="42">
        <f t="shared" si="4"/>
        <v>102.00000000000031</v>
      </c>
      <c r="AI36" s="42">
        <f t="shared" si="4"/>
        <v>240.00000000000063</v>
      </c>
      <c r="AJ36" s="42">
        <f t="shared" si="4"/>
        <v>512.0000000000008</v>
      </c>
      <c r="AK36" s="42">
        <f t="shared" si="4"/>
        <v>956.99999999999989</v>
      </c>
      <c r="AL36" s="42">
        <f t="shared" si="4"/>
        <v>1512</v>
      </c>
      <c r="AM36" s="42">
        <f t="shared" si="4"/>
        <v>1728</v>
      </c>
      <c r="AN36" s="42">
        <f t="shared" si="4"/>
        <v>4410</v>
      </c>
      <c r="AO36" s="42">
        <f t="shared" si="4"/>
        <v>5460</v>
      </c>
      <c r="AP36" s="42">
        <f t="shared" si="4"/>
        <v>6090</v>
      </c>
      <c r="AQ36" s="42">
        <f t="shared" si="4"/>
        <v>14976</v>
      </c>
    </row>
    <row r="37" spans="2:43" x14ac:dyDescent="0.3">
      <c r="B37" s="2" t="s">
        <v>1766</v>
      </c>
      <c r="C37" s="42">
        <f t="shared" si="6"/>
        <v>68.75</v>
      </c>
      <c r="D37" s="21">
        <v>1</v>
      </c>
      <c r="E37" s="2">
        <f t="shared" si="7"/>
        <v>70</v>
      </c>
      <c r="G37" s="124"/>
      <c r="M37" s="2">
        <v>19</v>
      </c>
      <c r="N37" s="42">
        <f t="shared" si="5"/>
        <v>102.00000000000031</v>
      </c>
      <c r="O37" s="42">
        <f t="shared" si="5"/>
        <v>240.00000000000063</v>
      </c>
      <c r="P37" s="42">
        <f t="shared" si="5"/>
        <v>512.0000000000008</v>
      </c>
      <c r="Q37" s="42">
        <f t="shared" si="5"/>
        <v>956.99999999999989</v>
      </c>
      <c r="R37" s="42">
        <f t="shared" si="5"/>
        <v>1512</v>
      </c>
      <c r="S37" s="42">
        <f t="shared" si="5"/>
        <v>1728</v>
      </c>
      <c r="T37" s="42">
        <f t="shared" si="5"/>
        <v>4410</v>
      </c>
      <c r="U37" s="42">
        <f t="shared" si="5"/>
        <v>5460</v>
      </c>
      <c r="V37" s="42">
        <f t="shared" si="5"/>
        <v>6090</v>
      </c>
      <c r="W37" s="42">
        <f t="shared" si="5"/>
        <v>14976</v>
      </c>
      <c r="X37" s="42">
        <f t="shared" si="5"/>
        <v>102.00000000000031</v>
      </c>
      <c r="Y37" s="42">
        <f t="shared" si="5"/>
        <v>240.00000000000063</v>
      </c>
      <c r="Z37" s="42">
        <f t="shared" si="5"/>
        <v>512.0000000000008</v>
      </c>
      <c r="AA37" s="42">
        <f t="shared" si="5"/>
        <v>956.99999999999989</v>
      </c>
      <c r="AB37" s="42">
        <f t="shared" si="5"/>
        <v>1512</v>
      </c>
      <c r="AC37" s="42">
        <f t="shared" si="4"/>
        <v>1728</v>
      </c>
      <c r="AD37" s="42">
        <f t="shared" si="4"/>
        <v>4410</v>
      </c>
      <c r="AE37" s="42">
        <f t="shared" si="4"/>
        <v>5460</v>
      </c>
      <c r="AF37" s="42">
        <f t="shared" si="4"/>
        <v>6090</v>
      </c>
      <c r="AG37" s="42">
        <f t="shared" si="4"/>
        <v>14976</v>
      </c>
      <c r="AH37" s="42">
        <f t="shared" si="4"/>
        <v>102.00000000000031</v>
      </c>
      <c r="AI37" s="42">
        <f t="shared" si="4"/>
        <v>240.00000000000063</v>
      </c>
      <c r="AJ37" s="42">
        <f t="shared" si="4"/>
        <v>512.0000000000008</v>
      </c>
      <c r="AK37" s="42">
        <f t="shared" si="4"/>
        <v>956.99999999999989</v>
      </c>
      <c r="AL37" s="42">
        <f t="shared" si="4"/>
        <v>1512</v>
      </c>
      <c r="AM37" s="42">
        <f t="shared" si="4"/>
        <v>1728</v>
      </c>
      <c r="AN37" s="42">
        <f t="shared" si="4"/>
        <v>4410</v>
      </c>
      <c r="AO37" s="42">
        <f t="shared" si="4"/>
        <v>5460</v>
      </c>
      <c r="AP37" s="42">
        <f t="shared" si="4"/>
        <v>6090</v>
      </c>
      <c r="AQ37" s="42">
        <f t="shared" si="4"/>
        <v>14976</v>
      </c>
    </row>
    <row r="38" spans="2:43" x14ac:dyDescent="0.3">
      <c r="B38" s="2" t="s">
        <v>1767</v>
      </c>
      <c r="C38" s="42">
        <f t="shared" si="6"/>
        <v>87.5</v>
      </c>
      <c r="D38" s="21">
        <v>1</v>
      </c>
      <c r="E38" s="2">
        <f t="shared" si="7"/>
        <v>90</v>
      </c>
      <c r="G38" s="124"/>
      <c r="H38" s="2" t="s">
        <v>1777</v>
      </c>
      <c r="I38" s="2" t="s">
        <v>1778</v>
      </c>
      <c r="M38" s="2">
        <v>20</v>
      </c>
      <c r="N38" s="42">
        <f t="shared" si="5"/>
        <v>102.00000000000031</v>
      </c>
      <c r="O38" s="42">
        <f t="shared" si="5"/>
        <v>240.00000000000063</v>
      </c>
      <c r="P38" s="42">
        <f t="shared" si="5"/>
        <v>512.0000000000008</v>
      </c>
      <c r="Q38" s="42">
        <f t="shared" si="5"/>
        <v>956.99999999999989</v>
      </c>
      <c r="R38" s="42">
        <f t="shared" si="5"/>
        <v>1512</v>
      </c>
      <c r="S38" s="42">
        <f t="shared" si="5"/>
        <v>1728</v>
      </c>
      <c r="T38" s="42">
        <f t="shared" si="5"/>
        <v>4410</v>
      </c>
      <c r="U38" s="42">
        <f t="shared" si="5"/>
        <v>5460</v>
      </c>
      <c r="V38" s="42">
        <f t="shared" si="5"/>
        <v>6090</v>
      </c>
      <c r="W38" s="42">
        <f t="shared" si="5"/>
        <v>14976</v>
      </c>
      <c r="X38" s="42">
        <f t="shared" si="5"/>
        <v>102.00000000000031</v>
      </c>
      <c r="Y38" s="42">
        <f t="shared" si="5"/>
        <v>240.00000000000063</v>
      </c>
      <c r="Z38" s="42">
        <f t="shared" si="5"/>
        <v>512.0000000000008</v>
      </c>
      <c r="AA38" s="42">
        <f t="shared" si="5"/>
        <v>956.99999999999989</v>
      </c>
      <c r="AB38" s="42">
        <f t="shared" si="5"/>
        <v>1512</v>
      </c>
      <c r="AC38" s="42">
        <f t="shared" si="4"/>
        <v>1728</v>
      </c>
      <c r="AD38" s="42">
        <f t="shared" si="4"/>
        <v>4410</v>
      </c>
      <c r="AE38" s="42">
        <f t="shared" si="4"/>
        <v>5460</v>
      </c>
      <c r="AF38" s="42">
        <f t="shared" si="4"/>
        <v>6090</v>
      </c>
      <c r="AG38" s="42">
        <f t="shared" si="4"/>
        <v>14976</v>
      </c>
      <c r="AH38" s="42">
        <f t="shared" si="4"/>
        <v>102.00000000000031</v>
      </c>
      <c r="AI38" s="42">
        <f t="shared" si="4"/>
        <v>240.00000000000063</v>
      </c>
      <c r="AJ38" s="42">
        <f t="shared" si="4"/>
        <v>512.0000000000008</v>
      </c>
      <c r="AK38" s="42">
        <f t="shared" si="4"/>
        <v>956.99999999999989</v>
      </c>
      <c r="AL38" s="42">
        <f t="shared" si="4"/>
        <v>1512</v>
      </c>
      <c r="AM38" s="42">
        <f t="shared" si="4"/>
        <v>1728</v>
      </c>
      <c r="AN38" s="42">
        <f t="shared" si="4"/>
        <v>4410</v>
      </c>
      <c r="AO38" s="42">
        <f t="shared" si="4"/>
        <v>5460</v>
      </c>
      <c r="AP38" s="42">
        <f t="shared" si="4"/>
        <v>6090</v>
      </c>
      <c r="AQ38" s="42">
        <f t="shared" si="4"/>
        <v>14976</v>
      </c>
    </row>
    <row r="39" spans="2:43" x14ac:dyDescent="0.3">
      <c r="B39" s="2" t="s">
        <v>1768</v>
      </c>
      <c r="C39" s="42">
        <f t="shared" si="6"/>
        <v>100</v>
      </c>
      <c r="D39" s="21">
        <v>1</v>
      </c>
      <c r="E39" s="2">
        <f t="shared" si="7"/>
        <v>100</v>
      </c>
      <c r="G39" s="124"/>
      <c r="H39" s="2">
        <v>30</v>
      </c>
      <c r="I39" s="2">
        <v>1.05</v>
      </c>
      <c r="M39" s="2">
        <v>21</v>
      </c>
      <c r="N39" s="42">
        <f t="shared" si="5"/>
        <v>102.00000000000031</v>
      </c>
      <c r="O39" s="42">
        <f t="shared" si="5"/>
        <v>240.00000000000063</v>
      </c>
      <c r="P39" s="42">
        <f t="shared" si="5"/>
        <v>512.0000000000008</v>
      </c>
      <c r="Q39" s="42">
        <f t="shared" si="5"/>
        <v>956.99999999999989</v>
      </c>
      <c r="R39" s="42">
        <f t="shared" si="5"/>
        <v>1512</v>
      </c>
      <c r="S39" s="42">
        <f t="shared" si="5"/>
        <v>1728</v>
      </c>
      <c r="T39" s="42">
        <f t="shared" si="5"/>
        <v>4410</v>
      </c>
      <c r="U39" s="42">
        <f t="shared" si="5"/>
        <v>5460</v>
      </c>
      <c r="V39" s="42">
        <f t="shared" si="5"/>
        <v>6090</v>
      </c>
      <c r="W39" s="42">
        <f t="shared" si="5"/>
        <v>14976</v>
      </c>
      <c r="X39" s="42">
        <f t="shared" si="5"/>
        <v>102.00000000000031</v>
      </c>
      <c r="Y39" s="42">
        <f t="shared" si="5"/>
        <v>240.00000000000063</v>
      </c>
      <c r="Z39" s="42">
        <f t="shared" si="5"/>
        <v>512.0000000000008</v>
      </c>
      <c r="AA39" s="42">
        <f t="shared" si="5"/>
        <v>956.99999999999989</v>
      </c>
      <c r="AB39" s="42">
        <f t="shared" si="5"/>
        <v>1512</v>
      </c>
      <c r="AC39" s="42">
        <f t="shared" si="4"/>
        <v>1728</v>
      </c>
      <c r="AD39" s="42">
        <f t="shared" si="4"/>
        <v>4410</v>
      </c>
      <c r="AE39" s="42">
        <f t="shared" si="4"/>
        <v>5460</v>
      </c>
      <c r="AF39" s="42">
        <f t="shared" si="4"/>
        <v>6090</v>
      </c>
      <c r="AG39" s="42">
        <f t="shared" si="4"/>
        <v>14976</v>
      </c>
      <c r="AH39" s="42">
        <f t="shared" si="4"/>
        <v>102.00000000000031</v>
      </c>
      <c r="AI39" s="42">
        <f t="shared" si="4"/>
        <v>240.00000000000063</v>
      </c>
      <c r="AJ39" s="42">
        <f t="shared" si="4"/>
        <v>512.0000000000008</v>
      </c>
      <c r="AK39" s="42">
        <f t="shared" si="4"/>
        <v>956.99999999999989</v>
      </c>
      <c r="AL39" s="42">
        <f t="shared" si="4"/>
        <v>1512</v>
      </c>
      <c r="AM39" s="42">
        <f t="shared" si="4"/>
        <v>1728</v>
      </c>
      <c r="AN39" s="42">
        <f t="shared" si="4"/>
        <v>4410</v>
      </c>
      <c r="AO39" s="42">
        <f t="shared" si="4"/>
        <v>5460</v>
      </c>
      <c r="AP39" s="42">
        <f t="shared" si="4"/>
        <v>6090</v>
      </c>
      <c r="AQ39" s="42">
        <f t="shared" si="4"/>
        <v>14976</v>
      </c>
    </row>
    <row r="40" spans="2:43" x14ac:dyDescent="0.3">
      <c r="B40" s="2" t="s">
        <v>1769</v>
      </c>
      <c r="C40" s="42">
        <f t="shared" si="6"/>
        <v>105</v>
      </c>
      <c r="D40" s="21">
        <v>1</v>
      </c>
      <c r="E40" s="2">
        <f t="shared" si="7"/>
        <v>110</v>
      </c>
      <c r="G40" s="124"/>
      <c r="H40" s="2">
        <v>60</v>
      </c>
      <c r="I40" s="2">
        <v>1</v>
      </c>
      <c r="M40" s="2">
        <v>22</v>
      </c>
      <c r="N40" s="42">
        <f t="shared" si="5"/>
        <v>102.00000000000031</v>
      </c>
      <c r="O40" s="42">
        <f t="shared" si="5"/>
        <v>240.00000000000063</v>
      </c>
      <c r="P40" s="42">
        <f t="shared" si="5"/>
        <v>512.0000000000008</v>
      </c>
      <c r="Q40" s="42">
        <f t="shared" si="5"/>
        <v>956.99999999999989</v>
      </c>
      <c r="R40" s="42">
        <f t="shared" si="5"/>
        <v>1512</v>
      </c>
      <c r="S40" s="42">
        <f t="shared" si="5"/>
        <v>1728</v>
      </c>
      <c r="T40" s="42">
        <f t="shared" si="5"/>
        <v>4410</v>
      </c>
      <c r="U40" s="42">
        <f t="shared" si="5"/>
        <v>5460</v>
      </c>
      <c r="V40" s="42">
        <f t="shared" si="5"/>
        <v>6090</v>
      </c>
      <c r="W40" s="42">
        <f t="shared" si="5"/>
        <v>14976</v>
      </c>
      <c r="X40" s="42">
        <f t="shared" si="5"/>
        <v>102.00000000000031</v>
      </c>
      <c r="Y40" s="42">
        <f t="shared" si="5"/>
        <v>240.00000000000063</v>
      </c>
      <c r="Z40" s="42">
        <f t="shared" si="5"/>
        <v>512.0000000000008</v>
      </c>
      <c r="AA40" s="42">
        <f t="shared" si="5"/>
        <v>956.99999999999989</v>
      </c>
      <c r="AB40" s="42">
        <f t="shared" si="5"/>
        <v>1512</v>
      </c>
      <c r="AC40" s="42">
        <f t="shared" si="4"/>
        <v>1728</v>
      </c>
      <c r="AD40" s="42">
        <f t="shared" si="4"/>
        <v>4410</v>
      </c>
      <c r="AE40" s="42">
        <f t="shared" si="4"/>
        <v>5460</v>
      </c>
      <c r="AF40" s="42">
        <f t="shared" si="4"/>
        <v>6090</v>
      </c>
      <c r="AG40" s="42">
        <f t="shared" si="4"/>
        <v>14976</v>
      </c>
      <c r="AH40" s="42">
        <f t="shared" si="4"/>
        <v>102.00000000000031</v>
      </c>
      <c r="AI40" s="42">
        <f t="shared" si="4"/>
        <v>240.00000000000063</v>
      </c>
      <c r="AJ40" s="42">
        <f t="shared" si="4"/>
        <v>512.0000000000008</v>
      </c>
      <c r="AK40" s="42">
        <f t="shared" si="4"/>
        <v>956.99999999999989</v>
      </c>
      <c r="AL40" s="42">
        <f t="shared" si="4"/>
        <v>1512</v>
      </c>
      <c r="AM40" s="42">
        <f t="shared" si="4"/>
        <v>1728</v>
      </c>
      <c r="AN40" s="42">
        <f t="shared" si="4"/>
        <v>4410</v>
      </c>
      <c r="AO40" s="42">
        <f t="shared" si="4"/>
        <v>5460</v>
      </c>
      <c r="AP40" s="42">
        <f t="shared" si="4"/>
        <v>6090</v>
      </c>
      <c r="AQ40" s="42">
        <f t="shared" si="4"/>
        <v>14976</v>
      </c>
    </row>
    <row r="41" spans="2:43" x14ac:dyDescent="0.3">
      <c r="B41" s="2" t="s">
        <v>1770</v>
      </c>
      <c r="C41" s="42">
        <f t="shared" si="6"/>
        <v>130</v>
      </c>
      <c r="D41" s="21">
        <v>1</v>
      </c>
      <c r="E41" s="2">
        <f t="shared" si="7"/>
        <v>130</v>
      </c>
      <c r="G41" s="124"/>
      <c r="H41" s="2">
        <v>120</v>
      </c>
      <c r="I41" s="2">
        <v>0.95</v>
      </c>
      <c r="M41" s="2">
        <v>23</v>
      </c>
      <c r="N41" s="42">
        <f t="shared" si="5"/>
        <v>102.00000000000031</v>
      </c>
      <c r="O41" s="42">
        <f t="shared" si="5"/>
        <v>240.00000000000063</v>
      </c>
      <c r="P41" s="42">
        <f t="shared" si="5"/>
        <v>512.0000000000008</v>
      </c>
      <c r="Q41" s="42">
        <f t="shared" si="5"/>
        <v>956.99999999999989</v>
      </c>
      <c r="R41" s="42">
        <f t="shared" si="5"/>
        <v>1512</v>
      </c>
      <c r="S41" s="42">
        <f t="shared" si="5"/>
        <v>1728</v>
      </c>
      <c r="T41" s="42">
        <f t="shared" si="5"/>
        <v>4410</v>
      </c>
      <c r="U41" s="42">
        <f t="shared" si="5"/>
        <v>5460</v>
      </c>
      <c r="V41" s="42">
        <f t="shared" si="5"/>
        <v>6090</v>
      </c>
      <c r="W41" s="42">
        <f t="shared" si="5"/>
        <v>14976</v>
      </c>
      <c r="X41" s="42">
        <f t="shared" si="5"/>
        <v>102.00000000000031</v>
      </c>
      <c r="Y41" s="42">
        <f t="shared" si="5"/>
        <v>240.00000000000063</v>
      </c>
      <c r="Z41" s="42">
        <f t="shared" si="5"/>
        <v>512.0000000000008</v>
      </c>
      <c r="AA41" s="42">
        <f t="shared" si="5"/>
        <v>956.99999999999989</v>
      </c>
      <c r="AB41" s="42">
        <f t="shared" si="5"/>
        <v>1512</v>
      </c>
      <c r="AC41" s="42">
        <f t="shared" si="4"/>
        <v>1728</v>
      </c>
      <c r="AD41" s="42">
        <f t="shared" si="4"/>
        <v>4410</v>
      </c>
      <c r="AE41" s="42">
        <f t="shared" si="4"/>
        <v>5460</v>
      </c>
      <c r="AF41" s="42">
        <f t="shared" si="4"/>
        <v>6090</v>
      </c>
      <c r="AG41" s="42">
        <f t="shared" si="4"/>
        <v>14976</v>
      </c>
      <c r="AH41" s="42">
        <f t="shared" si="4"/>
        <v>102.00000000000031</v>
      </c>
      <c r="AI41" s="42">
        <f t="shared" si="4"/>
        <v>240.00000000000063</v>
      </c>
      <c r="AJ41" s="42">
        <f t="shared" si="4"/>
        <v>512.0000000000008</v>
      </c>
      <c r="AK41" s="42">
        <f t="shared" si="4"/>
        <v>956.99999999999989</v>
      </c>
      <c r="AL41" s="42">
        <f t="shared" si="4"/>
        <v>1512</v>
      </c>
      <c r="AM41" s="42">
        <f t="shared" si="4"/>
        <v>1728</v>
      </c>
      <c r="AN41" s="42">
        <f t="shared" si="4"/>
        <v>4410</v>
      </c>
      <c r="AO41" s="42">
        <f t="shared" si="4"/>
        <v>5460</v>
      </c>
      <c r="AP41" s="42">
        <f t="shared" si="4"/>
        <v>6090</v>
      </c>
      <c r="AQ41" s="42">
        <f t="shared" si="4"/>
        <v>14976</v>
      </c>
    </row>
    <row r="42" spans="2:43" x14ac:dyDescent="0.3">
      <c r="B42" s="2" t="s">
        <v>1771</v>
      </c>
      <c r="C42" s="42">
        <f t="shared" si="6"/>
        <v>145</v>
      </c>
      <c r="D42" s="21">
        <v>1</v>
      </c>
      <c r="E42" s="2">
        <f t="shared" si="7"/>
        <v>150</v>
      </c>
      <c r="G42" s="124"/>
      <c r="H42" s="2">
        <v>480</v>
      </c>
      <c r="I42" s="2">
        <v>0.9</v>
      </c>
      <c r="M42" s="2">
        <v>24</v>
      </c>
      <c r="N42" s="42">
        <f t="shared" si="5"/>
        <v>102.00000000000031</v>
      </c>
      <c r="O42" s="42">
        <f t="shared" si="5"/>
        <v>240.00000000000063</v>
      </c>
      <c r="P42" s="42">
        <f t="shared" si="5"/>
        <v>512.0000000000008</v>
      </c>
      <c r="Q42" s="42">
        <f t="shared" si="5"/>
        <v>956.99999999999989</v>
      </c>
      <c r="R42" s="42">
        <f t="shared" si="5"/>
        <v>1512</v>
      </c>
      <c r="S42" s="42">
        <f t="shared" si="5"/>
        <v>1728</v>
      </c>
      <c r="T42" s="42">
        <f t="shared" si="5"/>
        <v>4410</v>
      </c>
      <c r="U42" s="42">
        <f t="shared" si="5"/>
        <v>5460</v>
      </c>
      <c r="V42" s="42">
        <f t="shared" si="5"/>
        <v>6090</v>
      </c>
      <c r="W42" s="42">
        <f t="shared" si="5"/>
        <v>14976</v>
      </c>
      <c r="X42" s="42">
        <f t="shared" si="5"/>
        <v>102.00000000000031</v>
      </c>
      <c r="Y42" s="42">
        <f t="shared" si="5"/>
        <v>240.00000000000063</v>
      </c>
      <c r="Z42" s="42">
        <f t="shared" si="5"/>
        <v>512.0000000000008</v>
      </c>
      <c r="AA42" s="42">
        <f t="shared" si="5"/>
        <v>956.99999999999989</v>
      </c>
      <c r="AB42" s="42">
        <f t="shared" si="5"/>
        <v>1512</v>
      </c>
      <c r="AC42" s="42">
        <f t="shared" si="4"/>
        <v>1728</v>
      </c>
      <c r="AD42" s="42">
        <f t="shared" si="4"/>
        <v>4410</v>
      </c>
      <c r="AE42" s="42">
        <f t="shared" si="4"/>
        <v>5460</v>
      </c>
      <c r="AF42" s="42">
        <f t="shared" si="4"/>
        <v>6090</v>
      </c>
      <c r="AG42" s="42">
        <f t="shared" si="4"/>
        <v>14976</v>
      </c>
      <c r="AH42" s="42">
        <f t="shared" si="4"/>
        <v>102.00000000000031</v>
      </c>
      <c r="AI42" s="42">
        <f t="shared" si="4"/>
        <v>240.00000000000063</v>
      </c>
      <c r="AJ42" s="42">
        <f t="shared" si="4"/>
        <v>512.0000000000008</v>
      </c>
      <c r="AK42" s="42">
        <f t="shared" si="4"/>
        <v>956.99999999999989</v>
      </c>
      <c r="AL42" s="42">
        <f t="shared" si="4"/>
        <v>1512</v>
      </c>
      <c r="AM42" s="42">
        <f t="shared" si="4"/>
        <v>1728</v>
      </c>
      <c r="AN42" s="42">
        <f t="shared" si="4"/>
        <v>4410</v>
      </c>
      <c r="AO42" s="42">
        <f t="shared" si="4"/>
        <v>5460</v>
      </c>
      <c r="AP42" s="42">
        <f t="shared" si="4"/>
        <v>6090</v>
      </c>
      <c r="AQ42" s="42">
        <f t="shared" si="4"/>
        <v>14976</v>
      </c>
    </row>
    <row r="43" spans="2:43" x14ac:dyDescent="0.3">
      <c r="B43" s="2" t="s">
        <v>1772</v>
      </c>
      <c r="C43" s="42">
        <f t="shared" si="6"/>
        <v>195</v>
      </c>
      <c r="D43" s="21">
        <v>1</v>
      </c>
      <c r="E43" s="2">
        <f t="shared" si="7"/>
        <v>200</v>
      </c>
      <c r="G43" s="124"/>
    </row>
    <row r="44" spans="2:43" x14ac:dyDescent="0.3">
      <c r="B44" s="2" t="s">
        <v>1773</v>
      </c>
      <c r="C44" s="42" t="e">
        <f t="shared" si="6"/>
        <v>#N/A</v>
      </c>
      <c r="D44" s="21">
        <v>1</v>
      </c>
      <c r="E44" s="2" t="e">
        <f t="shared" si="7"/>
        <v>#N/A</v>
      </c>
      <c r="G44" s="124"/>
      <c r="M44" s="351" t="s">
        <v>1779</v>
      </c>
      <c r="N44" s="351"/>
      <c r="O44" s="351"/>
      <c r="P44" s="351"/>
      <c r="Q44" s="351"/>
      <c r="R44" s="351"/>
      <c r="S44" s="351"/>
      <c r="T44" s="351"/>
      <c r="U44" s="351"/>
      <c r="V44" s="351"/>
      <c r="W44" s="351"/>
      <c r="X44" s="351"/>
      <c r="Y44" s="351"/>
      <c r="Z44" s="351"/>
      <c r="AA44" s="351"/>
      <c r="AB44" s="351"/>
      <c r="AC44" s="351"/>
      <c r="AD44" s="351"/>
      <c r="AE44" s="351"/>
      <c r="AF44" s="351"/>
      <c r="AG44" s="351"/>
      <c r="AH44" s="351"/>
      <c r="AI44" s="351"/>
      <c r="AJ44" s="351"/>
      <c r="AK44" s="351"/>
      <c r="AL44" s="351"/>
      <c r="AM44" s="351"/>
      <c r="AN44" s="351"/>
      <c r="AO44" s="351"/>
      <c r="AP44" s="351"/>
      <c r="AQ44" s="351"/>
    </row>
    <row r="45" spans="2:43" x14ac:dyDescent="0.3">
      <c r="B45" s="2" t="s">
        <v>1774</v>
      </c>
      <c r="C45" s="42" t="e">
        <f t="shared" si="6"/>
        <v>#N/A</v>
      </c>
      <c r="D45" s="21">
        <v>1</v>
      </c>
      <c r="E45" s="2" t="e">
        <f t="shared" si="7"/>
        <v>#N/A</v>
      </c>
      <c r="G45" s="124"/>
      <c r="H45" s="2" t="s">
        <v>1780</v>
      </c>
      <c r="I45" s="2" t="s">
        <v>1778</v>
      </c>
      <c r="M45" s="2" t="s">
        <v>377</v>
      </c>
      <c r="N45" s="2" t="s">
        <v>510</v>
      </c>
      <c r="O45" s="2" t="s">
        <v>516</v>
      </c>
      <c r="P45" s="2" t="s">
        <v>607</v>
      </c>
      <c r="Q45" s="2" t="s">
        <v>522</v>
      </c>
      <c r="R45" s="2" t="s">
        <v>611</v>
      </c>
      <c r="S45" s="2" t="s">
        <v>613</v>
      </c>
      <c r="T45" s="2" t="s">
        <v>615</v>
      </c>
      <c r="U45" s="2" t="s">
        <v>618</v>
      </c>
      <c r="V45" s="2" t="s">
        <v>620</v>
      </c>
      <c r="W45" s="2" t="s">
        <v>622</v>
      </c>
      <c r="X45" s="2" t="s">
        <v>512</v>
      </c>
      <c r="Y45" s="2" t="s">
        <v>518</v>
      </c>
      <c r="Z45" s="2" t="s">
        <v>627</v>
      </c>
      <c r="AA45" s="2" t="s">
        <v>526</v>
      </c>
      <c r="AB45" s="2" t="s">
        <v>630</v>
      </c>
      <c r="AC45" s="2" t="s">
        <v>632</v>
      </c>
      <c r="AD45" s="2" t="s">
        <v>634</v>
      </c>
      <c r="AE45" s="2" t="s">
        <v>636</v>
      </c>
      <c r="AF45" s="2" t="s">
        <v>638</v>
      </c>
      <c r="AG45" s="2" t="s">
        <v>640</v>
      </c>
      <c r="AH45" s="2" t="s">
        <v>642</v>
      </c>
      <c r="AI45" s="2" t="s">
        <v>644</v>
      </c>
      <c r="AJ45" s="2" t="s">
        <v>646</v>
      </c>
      <c r="AK45" s="2" t="s">
        <v>529</v>
      </c>
      <c r="AL45" s="2" t="s">
        <v>649</v>
      </c>
      <c r="AM45" s="2" t="s">
        <v>651</v>
      </c>
      <c r="AN45" s="2" t="s">
        <v>653</v>
      </c>
      <c r="AO45" s="2" t="s">
        <v>655</v>
      </c>
      <c r="AP45" s="2" t="s">
        <v>657</v>
      </c>
      <c r="AQ45" s="2" t="s">
        <v>659</v>
      </c>
    </row>
    <row r="46" spans="2:43" x14ac:dyDescent="0.3">
      <c r="G46" s="124"/>
      <c r="H46" s="2">
        <v>3</v>
      </c>
      <c r="I46" s="2">
        <v>0.8</v>
      </c>
      <c r="M46" s="2">
        <v>1</v>
      </c>
      <c r="N46" s="31">
        <f t="shared" ref="N46:AQ54" si="8">IFERROR(VLOOKUP(VLOOKUP(N$18,$H$3:$K$33,3,FALSE)&amp;VLOOKUP(N$18,$H$3:$K$33,4,FALSE)&amp;"碎片",$B$3:$C$27,2,FALSE)*VLOOKUP($M46,$M$3:$AE$15,MATCH(VLOOKUP(N$18,$H$3:$K$33,3,FALSE)&amp;VLOOKUP(N$18,$H$3:$K$33,4,FALSE),$M$3:$AE$3,0),FALSE),N45)</f>
        <v>100</v>
      </c>
      <c r="O46" s="31">
        <f t="shared" si="8"/>
        <v>100</v>
      </c>
      <c r="P46" s="31">
        <f t="shared" si="8"/>
        <v>133.33333333333334</v>
      </c>
      <c r="Q46" s="31">
        <f t="shared" si="8"/>
        <v>68.75</v>
      </c>
      <c r="R46" s="31">
        <f t="shared" si="8"/>
        <v>87.5</v>
      </c>
      <c r="S46" s="31">
        <f t="shared" si="8"/>
        <v>100</v>
      </c>
      <c r="T46" s="31">
        <f t="shared" si="8"/>
        <v>105</v>
      </c>
      <c r="U46" s="31">
        <f t="shared" si="8"/>
        <v>130</v>
      </c>
      <c r="V46" s="31">
        <f t="shared" si="8"/>
        <v>145</v>
      </c>
      <c r="W46" s="31">
        <f t="shared" si="8"/>
        <v>195</v>
      </c>
      <c r="X46" s="31">
        <f t="shared" si="8"/>
        <v>100</v>
      </c>
      <c r="Y46" s="31">
        <f t="shared" si="8"/>
        <v>100</v>
      </c>
      <c r="Z46" s="31">
        <f t="shared" si="8"/>
        <v>133.33333333333334</v>
      </c>
      <c r="AA46" s="31">
        <f t="shared" si="8"/>
        <v>68.75</v>
      </c>
      <c r="AB46" s="31">
        <f t="shared" si="8"/>
        <v>87.5</v>
      </c>
      <c r="AC46" s="31">
        <f t="shared" si="8"/>
        <v>100</v>
      </c>
      <c r="AD46" s="31">
        <f t="shared" si="8"/>
        <v>105</v>
      </c>
      <c r="AE46" s="31">
        <f t="shared" si="8"/>
        <v>130</v>
      </c>
      <c r="AF46" s="31">
        <f t="shared" si="8"/>
        <v>145</v>
      </c>
      <c r="AG46" s="31">
        <f t="shared" si="8"/>
        <v>195</v>
      </c>
      <c r="AH46" s="31">
        <f t="shared" si="8"/>
        <v>100</v>
      </c>
      <c r="AI46" s="31">
        <f t="shared" si="8"/>
        <v>100</v>
      </c>
      <c r="AJ46" s="31">
        <f t="shared" si="8"/>
        <v>133.33333333333334</v>
      </c>
      <c r="AK46" s="31">
        <f t="shared" si="8"/>
        <v>68.75</v>
      </c>
      <c r="AL46" s="31">
        <f t="shared" si="8"/>
        <v>87.5</v>
      </c>
      <c r="AM46" s="31">
        <f t="shared" si="8"/>
        <v>100</v>
      </c>
      <c r="AN46" s="31">
        <f t="shared" si="8"/>
        <v>105</v>
      </c>
      <c r="AO46" s="31">
        <f t="shared" si="8"/>
        <v>130</v>
      </c>
      <c r="AP46" s="31">
        <f t="shared" si="8"/>
        <v>145</v>
      </c>
      <c r="AQ46" s="31">
        <f t="shared" si="8"/>
        <v>195</v>
      </c>
    </row>
    <row r="47" spans="2:43" x14ac:dyDescent="0.3">
      <c r="G47" s="124"/>
      <c r="H47" s="2">
        <v>5</v>
      </c>
      <c r="I47" s="2">
        <v>0.9</v>
      </c>
      <c r="M47" s="2">
        <v>2</v>
      </c>
      <c r="N47" s="31">
        <f t="shared" si="8"/>
        <v>94</v>
      </c>
      <c r="O47" s="31">
        <f t="shared" si="8"/>
        <v>100</v>
      </c>
      <c r="P47" s="31">
        <f t="shared" si="8"/>
        <v>133.33333333333334</v>
      </c>
      <c r="Q47" s="31">
        <f t="shared" si="8"/>
        <v>68.75</v>
      </c>
      <c r="R47" s="31">
        <f t="shared" si="8"/>
        <v>87.5</v>
      </c>
      <c r="S47" s="31">
        <f t="shared" si="8"/>
        <v>100</v>
      </c>
      <c r="T47" s="31">
        <f t="shared" si="8"/>
        <v>105</v>
      </c>
      <c r="U47" s="31">
        <f t="shared" si="8"/>
        <v>130</v>
      </c>
      <c r="V47" s="31">
        <f t="shared" si="8"/>
        <v>145</v>
      </c>
      <c r="W47" s="31">
        <f t="shared" si="8"/>
        <v>195</v>
      </c>
      <c r="X47" s="31">
        <f t="shared" si="8"/>
        <v>94</v>
      </c>
      <c r="Y47" s="31">
        <f t="shared" si="8"/>
        <v>100</v>
      </c>
      <c r="Z47" s="31">
        <f t="shared" si="8"/>
        <v>133.33333333333334</v>
      </c>
      <c r="AA47" s="31">
        <f t="shared" si="8"/>
        <v>68.75</v>
      </c>
      <c r="AB47" s="31">
        <f t="shared" si="8"/>
        <v>87.5</v>
      </c>
      <c r="AC47" s="31">
        <f t="shared" si="8"/>
        <v>100</v>
      </c>
      <c r="AD47" s="31">
        <f t="shared" si="8"/>
        <v>105</v>
      </c>
      <c r="AE47" s="31">
        <f t="shared" si="8"/>
        <v>130</v>
      </c>
      <c r="AF47" s="31">
        <f t="shared" si="8"/>
        <v>145</v>
      </c>
      <c r="AG47" s="31">
        <f t="shared" si="8"/>
        <v>195</v>
      </c>
      <c r="AH47" s="31">
        <f t="shared" si="8"/>
        <v>94</v>
      </c>
      <c r="AI47" s="31">
        <f t="shared" si="8"/>
        <v>100</v>
      </c>
      <c r="AJ47" s="31">
        <f t="shared" si="8"/>
        <v>133.33333333333334</v>
      </c>
      <c r="AK47" s="31">
        <f t="shared" si="8"/>
        <v>68.75</v>
      </c>
      <c r="AL47" s="31">
        <f t="shared" si="8"/>
        <v>87.5</v>
      </c>
      <c r="AM47" s="31">
        <f t="shared" si="8"/>
        <v>100</v>
      </c>
      <c r="AN47" s="31">
        <f t="shared" si="8"/>
        <v>105</v>
      </c>
      <c r="AO47" s="31">
        <f t="shared" si="8"/>
        <v>130</v>
      </c>
      <c r="AP47" s="31">
        <f t="shared" si="8"/>
        <v>145</v>
      </c>
      <c r="AQ47" s="31">
        <f t="shared" si="8"/>
        <v>195</v>
      </c>
    </row>
    <row r="48" spans="2:43" x14ac:dyDescent="0.3">
      <c r="H48" s="2">
        <v>8</v>
      </c>
      <c r="I48" s="2">
        <v>1</v>
      </c>
      <c r="M48" s="2">
        <v>3</v>
      </c>
      <c r="N48" s="31">
        <f t="shared" si="8"/>
        <v>88</v>
      </c>
      <c r="O48" s="31">
        <f t="shared" si="8"/>
        <v>94</v>
      </c>
      <c r="P48" s="31">
        <f t="shared" si="8"/>
        <v>133.33333333333334</v>
      </c>
      <c r="Q48" s="31">
        <f t="shared" si="8"/>
        <v>68.75</v>
      </c>
      <c r="R48" s="31">
        <f t="shared" si="8"/>
        <v>87.5</v>
      </c>
      <c r="S48" s="31">
        <f t="shared" si="8"/>
        <v>100</v>
      </c>
      <c r="T48" s="31">
        <f t="shared" si="8"/>
        <v>105</v>
      </c>
      <c r="U48" s="31">
        <f t="shared" si="8"/>
        <v>130</v>
      </c>
      <c r="V48" s="31">
        <f t="shared" si="8"/>
        <v>145</v>
      </c>
      <c r="W48" s="31">
        <f t="shared" si="8"/>
        <v>195</v>
      </c>
      <c r="X48" s="31">
        <f t="shared" si="8"/>
        <v>88</v>
      </c>
      <c r="Y48" s="31">
        <f t="shared" si="8"/>
        <v>94</v>
      </c>
      <c r="Z48" s="31">
        <f t="shared" si="8"/>
        <v>133.33333333333334</v>
      </c>
      <c r="AA48" s="31">
        <f t="shared" si="8"/>
        <v>68.75</v>
      </c>
      <c r="AB48" s="31">
        <f t="shared" si="8"/>
        <v>87.5</v>
      </c>
      <c r="AC48" s="31">
        <f t="shared" si="8"/>
        <v>100</v>
      </c>
      <c r="AD48" s="31">
        <f t="shared" si="8"/>
        <v>105</v>
      </c>
      <c r="AE48" s="31">
        <f t="shared" si="8"/>
        <v>130</v>
      </c>
      <c r="AF48" s="31">
        <f t="shared" si="8"/>
        <v>145</v>
      </c>
      <c r="AG48" s="31">
        <f t="shared" si="8"/>
        <v>195</v>
      </c>
      <c r="AH48" s="31">
        <f t="shared" si="8"/>
        <v>88</v>
      </c>
      <c r="AI48" s="31">
        <f t="shared" si="8"/>
        <v>94</v>
      </c>
      <c r="AJ48" s="31">
        <f t="shared" si="8"/>
        <v>133.33333333333334</v>
      </c>
      <c r="AK48" s="31">
        <f t="shared" si="8"/>
        <v>68.75</v>
      </c>
      <c r="AL48" s="31">
        <f t="shared" si="8"/>
        <v>87.5</v>
      </c>
      <c r="AM48" s="31">
        <f t="shared" si="8"/>
        <v>100</v>
      </c>
      <c r="AN48" s="31">
        <f t="shared" si="8"/>
        <v>105</v>
      </c>
      <c r="AO48" s="31">
        <f t="shared" si="8"/>
        <v>130</v>
      </c>
      <c r="AP48" s="31">
        <f t="shared" si="8"/>
        <v>145</v>
      </c>
      <c r="AQ48" s="31">
        <f t="shared" si="8"/>
        <v>195</v>
      </c>
    </row>
    <row r="49" spans="2:43" x14ac:dyDescent="0.3">
      <c r="B49" s="351" t="s">
        <v>1781</v>
      </c>
      <c r="C49" s="351"/>
      <c r="D49" s="351"/>
      <c r="E49" s="351"/>
      <c r="F49" s="351"/>
      <c r="M49" s="2">
        <v>4</v>
      </c>
      <c r="N49" s="31">
        <f t="shared" si="8"/>
        <v>82</v>
      </c>
      <c r="O49" s="31">
        <f t="shared" si="8"/>
        <v>88</v>
      </c>
      <c r="P49" s="31">
        <f t="shared" si="8"/>
        <v>128</v>
      </c>
      <c r="Q49" s="31">
        <f t="shared" si="8"/>
        <v>68.75</v>
      </c>
      <c r="R49" s="31">
        <f t="shared" si="8"/>
        <v>87.5</v>
      </c>
      <c r="S49" s="31">
        <f t="shared" si="8"/>
        <v>100</v>
      </c>
      <c r="T49" s="31">
        <f t="shared" si="8"/>
        <v>105</v>
      </c>
      <c r="U49" s="31">
        <f t="shared" si="8"/>
        <v>130</v>
      </c>
      <c r="V49" s="31">
        <f t="shared" si="8"/>
        <v>145</v>
      </c>
      <c r="W49" s="31">
        <f t="shared" si="8"/>
        <v>195</v>
      </c>
      <c r="X49" s="31">
        <f t="shared" si="8"/>
        <v>82</v>
      </c>
      <c r="Y49" s="31">
        <f t="shared" si="8"/>
        <v>88</v>
      </c>
      <c r="Z49" s="31">
        <f t="shared" si="8"/>
        <v>128</v>
      </c>
      <c r="AA49" s="31">
        <f t="shared" si="8"/>
        <v>68.75</v>
      </c>
      <c r="AB49" s="31">
        <f t="shared" si="8"/>
        <v>87.5</v>
      </c>
      <c r="AC49" s="31">
        <f t="shared" si="8"/>
        <v>100</v>
      </c>
      <c r="AD49" s="31">
        <f t="shared" si="8"/>
        <v>105</v>
      </c>
      <c r="AE49" s="31">
        <f t="shared" si="8"/>
        <v>130</v>
      </c>
      <c r="AF49" s="31">
        <f t="shared" si="8"/>
        <v>145</v>
      </c>
      <c r="AG49" s="31">
        <f t="shared" si="8"/>
        <v>195</v>
      </c>
      <c r="AH49" s="31">
        <f t="shared" si="8"/>
        <v>82</v>
      </c>
      <c r="AI49" s="31">
        <f t="shared" si="8"/>
        <v>88</v>
      </c>
      <c r="AJ49" s="31">
        <f t="shared" si="8"/>
        <v>128</v>
      </c>
      <c r="AK49" s="31">
        <f t="shared" si="8"/>
        <v>68.75</v>
      </c>
      <c r="AL49" s="31">
        <f t="shared" si="8"/>
        <v>87.5</v>
      </c>
      <c r="AM49" s="31">
        <f t="shared" si="8"/>
        <v>100</v>
      </c>
      <c r="AN49" s="31">
        <f t="shared" si="8"/>
        <v>105</v>
      </c>
      <c r="AO49" s="31">
        <f t="shared" si="8"/>
        <v>130</v>
      </c>
      <c r="AP49" s="31">
        <f t="shared" si="8"/>
        <v>145</v>
      </c>
      <c r="AQ49" s="31">
        <f t="shared" si="8"/>
        <v>195</v>
      </c>
    </row>
    <row r="50" spans="2:43" x14ac:dyDescent="0.3">
      <c r="B50" s="2" t="str">
        <f>[1]坦克部件养成!B21</f>
        <v>时间戳(分)</v>
      </c>
      <c r="C50" s="2" t="str">
        <f>[1]坦克部件养成!C21</f>
        <v>时间戳(秒)</v>
      </c>
      <c r="D50" s="2" t="str">
        <f>[1]坦克部件养成!D21</f>
        <v>1钻时长(秒)</v>
      </c>
      <c r="E50" s="2" t="str">
        <f>[1]坦克部件养成!E21</f>
        <v>消耗钻石</v>
      </c>
      <c r="F50" s="2" t="str">
        <f>[1]坦克部件养成!F21</f>
        <v>时间/钻</v>
      </c>
      <c r="M50" s="2">
        <v>5</v>
      </c>
      <c r="N50" s="31">
        <f t="shared" si="8"/>
        <v>76</v>
      </c>
      <c r="O50" s="31">
        <f t="shared" si="8"/>
        <v>82</v>
      </c>
      <c r="P50" s="31">
        <f t="shared" si="8"/>
        <v>122.66666666666669</v>
      </c>
      <c r="Q50" s="31">
        <f t="shared" si="8"/>
        <v>68.75</v>
      </c>
      <c r="R50" s="31">
        <f t="shared" si="8"/>
        <v>87.5</v>
      </c>
      <c r="S50" s="31">
        <f t="shared" si="8"/>
        <v>100</v>
      </c>
      <c r="T50" s="31">
        <f t="shared" si="8"/>
        <v>105</v>
      </c>
      <c r="U50" s="31">
        <f t="shared" si="8"/>
        <v>130</v>
      </c>
      <c r="V50" s="31">
        <f t="shared" si="8"/>
        <v>145</v>
      </c>
      <c r="W50" s="31">
        <f t="shared" si="8"/>
        <v>195</v>
      </c>
      <c r="X50" s="31">
        <f t="shared" si="8"/>
        <v>76</v>
      </c>
      <c r="Y50" s="31">
        <f t="shared" si="8"/>
        <v>82</v>
      </c>
      <c r="Z50" s="31">
        <f t="shared" si="8"/>
        <v>122.66666666666669</v>
      </c>
      <c r="AA50" s="31">
        <f t="shared" si="8"/>
        <v>68.75</v>
      </c>
      <c r="AB50" s="31">
        <f t="shared" si="8"/>
        <v>87.5</v>
      </c>
      <c r="AC50" s="31">
        <f t="shared" si="8"/>
        <v>100</v>
      </c>
      <c r="AD50" s="31">
        <f t="shared" si="8"/>
        <v>105</v>
      </c>
      <c r="AE50" s="31">
        <f t="shared" si="8"/>
        <v>130</v>
      </c>
      <c r="AF50" s="31">
        <f t="shared" si="8"/>
        <v>145</v>
      </c>
      <c r="AG50" s="31">
        <f t="shared" si="8"/>
        <v>195</v>
      </c>
      <c r="AH50" s="31">
        <f t="shared" si="8"/>
        <v>76</v>
      </c>
      <c r="AI50" s="31">
        <f t="shared" si="8"/>
        <v>82</v>
      </c>
      <c r="AJ50" s="31">
        <f t="shared" si="8"/>
        <v>122.66666666666669</v>
      </c>
      <c r="AK50" s="31">
        <f t="shared" si="8"/>
        <v>68.75</v>
      </c>
      <c r="AL50" s="31">
        <f t="shared" si="8"/>
        <v>87.5</v>
      </c>
      <c r="AM50" s="31">
        <f t="shared" si="8"/>
        <v>100</v>
      </c>
      <c r="AN50" s="31">
        <f t="shared" si="8"/>
        <v>105</v>
      </c>
      <c r="AO50" s="31">
        <f t="shared" si="8"/>
        <v>130</v>
      </c>
      <c r="AP50" s="31">
        <f t="shared" si="8"/>
        <v>145</v>
      </c>
      <c r="AQ50" s="31">
        <f t="shared" si="8"/>
        <v>195</v>
      </c>
    </row>
    <row r="51" spans="2:43" x14ac:dyDescent="0.3">
      <c r="B51" s="2">
        <f>[1]坦克部件养成!B22</f>
        <v>0</v>
      </c>
      <c r="C51" s="2">
        <f>[1]坦克部件养成!C22</f>
        <v>0</v>
      </c>
      <c r="D51" s="2">
        <f>[1]坦克部件养成!D22</f>
        <v>60</v>
      </c>
      <c r="E51" s="2">
        <f>[1]坦克部件养成!E22</f>
        <v>0</v>
      </c>
      <c r="F51" s="42">
        <f>[1]坦克部件养成!F22</f>
        <v>60</v>
      </c>
      <c r="H51" s="2" t="s">
        <v>1782</v>
      </c>
      <c r="I51" s="21">
        <v>0.5</v>
      </c>
      <c r="M51" s="2">
        <v>6</v>
      </c>
      <c r="N51" s="31">
        <f t="shared" si="8"/>
        <v>70</v>
      </c>
      <c r="O51" s="31">
        <f t="shared" si="8"/>
        <v>76</v>
      </c>
      <c r="P51" s="31">
        <f t="shared" si="8"/>
        <v>117.33333333333334</v>
      </c>
      <c r="Q51" s="31">
        <f t="shared" si="8"/>
        <v>64.625</v>
      </c>
      <c r="R51" s="31">
        <f t="shared" si="8"/>
        <v>84</v>
      </c>
      <c r="S51" s="31">
        <f t="shared" si="8"/>
        <v>96</v>
      </c>
      <c r="T51" s="31">
        <f t="shared" si="8"/>
        <v>105</v>
      </c>
      <c r="U51" s="31">
        <f t="shared" si="8"/>
        <v>130</v>
      </c>
      <c r="V51" s="31">
        <f t="shared" si="8"/>
        <v>145</v>
      </c>
      <c r="W51" s="31">
        <f t="shared" si="8"/>
        <v>195</v>
      </c>
      <c r="X51" s="31">
        <f t="shared" si="8"/>
        <v>70</v>
      </c>
      <c r="Y51" s="31">
        <f t="shared" si="8"/>
        <v>76</v>
      </c>
      <c r="Z51" s="31">
        <f t="shared" si="8"/>
        <v>117.33333333333334</v>
      </c>
      <c r="AA51" s="31">
        <f t="shared" si="8"/>
        <v>64.625</v>
      </c>
      <c r="AB51" s="31">
        <f t="shared" si="8"/>
        <v>84</v>
      </c>
      <c r="AC51" s="31">
        <f t="shared" si="8"/>
        <v>96</v>
      </c>
      <c r="AD51" s="31">
        <f t="shared" si="8"/>
        <v>105</v>
      </c>
      <c r="AE51" s="31">
        <f t="shared" si="8"/>
        <v>130</v>
      </c>
      <c r="AF51" s="31">
        <f t="shared" si="8"/>
        <v>145</v>
      </c>
      <c r="AG51" s="31">
        <f t="shared" si="8"/>
        <v>195</v>
      </c>
      <c r="AH51" s="31">
        <f t="shared" si="8"/>
        <v>70</v>
      </c>
      <c r="AI51" s="31">
        <f t="shared" si="8"/>
        <v>76</v>
      </c>
      <c r="AJ51" s="31">
        <f t="shared" si="8"/>
        <v>117.33333333333334</v>
      </c>
      <c r="AK51" s="31">
        <f t="shared" si="8"/>
        <v>64.625</v>
      </c>
      <c r="AL51" s="31">
        <f t="shared" si="8"/>
        <v>84</v>
      </c>
      <c r="AM51" s="31">
        <f t="shared" si="8"/>
        <v>96</v>
      </c>
      <c r="AN51" s="31">
        <f t="shared" si="8"/>
        <v>105</v>
      </c>
      <c r="AO51" s="31">
        <f t="shared" si="8"/>
        <v>130</v>
      </c>
      <c r="AP51" s="31">
        <f t="shared" si="8"/>
        <v>145</v>
      </c>
      <c r="AQ51" s="31">
        <f t="shared" si="8"/>
        <v>195</v>
      </c>
    </row>
    <row r="52" spans="2:43" x14ac:dyDescent="0.3">
      <c r="B52" s="2">
        <f>[1]坦克部件养成!B23</f>
        <v>10</v>
      </c>
      <c r="C52" s="2">
        <f>[1]坦克部件养成!C23</f>
        <v>600</v>
      </c>
      <c r="D52" s="2">
        <f>[1]坦克部件养成!D23</f>
        <v>80</v>
      </c>
      <c r="E52" s="2">
        <f>[1]坦克部件养成!E23</f>
        <v>10</v>
      </c>
      <c r="F52" s="42">
        <f>[1]坦克部件养成!F23</f>
        <v>75</v>
      </c>
      <c r="M52" s="2">
        <v>7</v>
      </c>
      <c r="N52" s="31">
        <f t="shared" si="8"/>
        <v>64</v>
      </c>
      <c r="O52" s="31">
        <f t="shared" si="8"/>
        <v>70</v>
      </c>
      <c r="P52" s="31">
        <f t="shared" si="8"/>
        <v>112</v>
      </c>
      <c r="Q52" s="31">
        <f t="shared" si="8"/>
        <v>60.5</v>
      </c>
      <c r="R52" s="31">
        <f t="shared" si="8"/>
        <v>80.5</v>
      </c>
      <c r="S52" s="31">
        <f t="shared" si="8"/>
        <v>92</v>
      </c>
      <c r="T52" s="31">
        <f t="shared" si="8"/>
        <v>105</v>
      </c>
      <c r="U52" s="31">
        <f t="shared" si="8"/>
        <v>130</v>
      </c>
      <c r="V52" s="31">
        <f t="shared" si="8"/>
        <v>145</v>
      </c>
      <c r="W52" s="31">
        <f t="shared" si="8"/>
        <v>195</v>
      </c>
      <c r="X52" s="31">
        <f t="shared" si="8"/>
        <v>64</v>
      </c>
      <c r="Y52" s="31">
        <f t="shared" si="8"/>
        <v>70</v>
      </c>
      <c r="Z52" s="31">
        <f t="shared" si="8"/>
        <v>112</v>
      </c>
      <c r="AA52" s="31">
        <f t="shared" si="8"/>
        <v>60.5</v>
      </c>
      <c r="AB52" s="31">
        <f t="shared" si="8"/>
        <v>80.5</v>
      </c>
      <c r="AC52" s="31">
        <f t="shared" si="8"/>
        <v>92</v>
      </c>
      <c r="AD52" s="31">
        <f t="shared" si="8"/>
        <v>105</v>
      </c>
      <c r="AE52" s="31">
        <f t="shared" si="8"/>
        <v>130</v>
      </c>
      <c r="AF52" s="31">
        <f t="shared" si="8"/>
        <v>145</v>
      </c>
      <c r="AG52" s="31">
        <f t="shared" si="8"/>
        <v>195</v>
      </c>
      <c r="AH52" s="31">
        <f t="shared" si="8"/>
        <v>64</v>
      </c>
      <c r="AI52" s="31">
        <f t="shared" si="8"/>
        <v>70</v>
      </c>
      <c r="AJ52" s="31">
        <f t="shared" si="8"/>
        <v>112</v>
      </c>
      <c r="AK52" s="31">
        <f t="shared" si="8"/>
        <v>60.5</v>
      </c>
      <c r="AL52" s="31">
        <f t="shared" si="8"/>
        <v>80.5</v>
      </c>
      <c r="AM52" s="31">
        <f t="shared" si="8"/>
        <v>92</v>
      </c>
      <c r="AN52" s="31">
        <f t="shared" si="8"/>
        <v>105</v>
      </c>
      <c r="AO52" s="31">
        <f t="shared" si="8"/>
        <v>130</v>
      </c>
      <c r="AP52" s="31">
        <f t="shared" si="8"/>
        <v>145</v>
      </c>
      <c r="AQ52" s="31">
        <f t="shared" si="8"/>
        <v>195</v>
      </c>
    </row>
    <row r="53" spans="2:43" x14ac:dyDescent="0.3">
      <c r="B53" s="2">
        <f>[1]坦克部件养成!B24</f>
        <v>60</v>
      </c>
      <c r="C53" s="2">
        <f>[1]坦克部件养成!C24</f>
        <v>3600</v>
      </c>
      <c r="D53" s="2">
        <f>[1]坦克部件养成!D24</f>
        <v>100</v>
      </c>
      <c r="E53" s="2">
        <f>[1]坦克部件养成!E24</f>
        <v>48</v>
      </c>
      <c r="F53" s="42">
        <f>[1]坦克部件养成!F24</f>
        <v>90</v>
      </c>
      <c r="M53" s="2">
        <v>8</v>
      </c>
      <c r="N53" s="31">
        <f t="shared" si="8"/>
        <v>57.999999999999993</v>
      </c>
      <c r="O53" s="31">
        <f t="shared" si="8"/>
        <v>64</v>
      </c>
      <c r="P53" s="31">
        <f t="shared" si="8"/>
        <v>106.66666666666669</v>
      </c>
      <c r="Q53" s="31">
        <f t="shared" si="8"/>
        <v>56.375</v>
      </c>
      <c r="R53" s="31">
        <f t="shared" si="8"/>
        <v>77</v>
      </c>
      <c r="S53" s="31">
        <f t="shared" si="8"/>
        <v>88</v>
      </c>
      <c r="T53" s="31">
        <f t="shared" si="8"/>
        <v>105</v>
      </c>
      <c r="U53" s="31">
        <f t="shared" si="8"/>
        <v>130</v>
      </c>
      <c r="V53" s="31">
        <f t="shared" si="8"/>
        <v>145</v>
      </c>
      <c r="W53" s="31">
        <f t="shared" si="8"/>
        <v>195</v>
      </c>
      <c r="X53" s="31">
        <f t="shared" si="8"/>
        <v>57.999999999999993</v>
      </c>
      <c r="Y53" s="31">
        <f t="shared" si="8"/>
        <v>64</v>
      </c>
      <c r="Z53" s="31">
        <f t="shared" si="8"/>
        <v>106.66666666666669</v>
      </c>
      <c r="AA53" s="31">
        <f t="shared" si="8"/>
        <v>56.375</v>
      </c>
      <c r="AB53" s="31">
        <f t="shared" si="8"/>
        <v>77</v>
      </c>
      <c r="AC53" s="31">
        <f t="shared" si="8"/>
        <v>88</v>
      </c>
      <c r="AD53" s="31">
        <f t="shared" si="8"/>
        <v>105</v>
      </c>
      <c r="AE53" s="31">
        <f t="shared" si="8"/>
        <v>130</v>
      </c>
      <c r="AF53" s="31">
        <f t="shared" si="8"/>
        <v>145</v>
      </c>
      <c r="AG53" s="31">
        <f t="shared" si="8"/>
        <v>195</v>
      </c>
      <c r="AH53" s="31">
        <f t="shared" si="8"/>
        <v>57.999999999999993</v>
      </c>
      <c r="AI53" s="31">
        <f t="shared" si="8"/>
        <v>64</v>
      </c>
      <c r="AJ53" s="31">
        <f t="shared" si="8"/>
        <v>106.66666666666669</v>
      </c>
      <c r="AK53" s="31">
        <f t="shared" si="8"/>
        <v>56.375</v>
      </c>
      <c r="AL53" s="31">
        <f t="shared" si="8"/>
        <v>77</v>
      </c>
      <c r="AM53" s="31">
        <f t="shared" si="8"/>
        <v>88</v>
      </c>
      <c r="AN53" s="31">
        <f t="shared" si="8"/>
        <v>105</v>
      </c>
      <c r="AO53" s="31">
        <f t="shared" si="8"/>
        <v>130</v>
      </c>
      <c r="AP53" s="31">
        <f t="shared" si="8"/>
        <v>145</v>
      </c>
      <c r="AQ53" s="31">
        <f t="shared" si="8"/>
        <v>195</v>
      </c>
    </row>
    <row r="54" spans="2:43" x14ac:dyDescent="0.3">
      <c r="B54" s="2">
        <f>[1]坦克部件养成!B25</f>
        <v>180</v>
      </c>
      <c r="C54" s="2">
        <f>[1]坦克部件养成!C25</f>
        <v>10800</v>
      </c>
      <c r="D54" s="2">
        <f>[1]坦克部件养成!D25</f>
        <v>120</v>
      </c>
      <c r="E54" s="2">
        <f>[1]坦克部件养成!E25</f>
        <v>120</v>
      </c>
      <c r="F54" s="42">
        <f>[1]坦克部件养成!F25</f>
        <v>110.769230769231</v>
      </c>
      <c r="M54" s="2">
        <v>9</v>
      </c>
      <c r="N54" s="31">
        <f t="shared" si="8"/>
        <v>52</v>
      </c>
      <c r="O54" s="31">
        <f t="shared" si="8"/>
        <v>57.999999999999993</v>
      </c>
      <c r="P54" s="31">
        <f t="shared" si="8"/>
        <v>101.33333333333334</v>
      </c>
      <c r="Q54" s="31">
        <f t="shared" si="8"/>
        <v>52.25</v>
      </c>
      <c r="R54" s="31">
        <f t="shared" si="8"/>
        <v>73.5</v>
      </c>
      <c r="S54" s="31">
        <f t="shared" si="8"/>
        <v>84</v>
      </c>
      <c r="T54" s="31">
        <f t="shared" si="8"/>
        <v>100.8</v>
      </c>
      <c r="U54" s="31">
        <f t="shared" si="8"/>
        <v>124.8</v>
      </c>
      <c r="V54" s="31">
        <f t="shared" si="8"/>
        <v>139.19999999999999</v>
      </c>
      <c r="W54" s="31">
        <f t="shared" si="8"/>
        <v>195</v>
      </c>
      <c r="X54" s="31">
        <f t="shared" si="8"/>
        <v>52</v>
      </c>
      <c r="Y54" s="31">
        <f t="shared" si="8"/>
        <v>57.999999999999993</v>
      </c>
      <c r="Z54" s="31">
        <f t="shared" si="8"/>
        <v>101.33333333333334</v>
      </c>
      <c r="AA54" s="31">
        <f t="shared" si="8"/>
        <v>52.25</v>
      </c>
      <c r="AB54" s="31">
        <f t="shared" si="8"/>
        <v>73.5</v>
      </c>
      <c r="AC54" s="31">
        <f t="shared" ref="AC54:AQ69" si="9">IFERROR(VLOOKUP(VLOOKUP(AC$18,$H$3:$K$33,3,FALSE)&amp;VLOOKUP(AC$18,$H$3:$K$33,4,FALSE)&amp;"碎片",$B$3:$C$27,2,FALSE)*VLOOKUP($M54,$M$3:$AE$15,MATCH(VLOOKUP(AC$18,$H$3:$K$33,3,FALSE)&amp;VLOOKUP(AC$18,$H$3:$K$33,4,FALSE),$M$3:$AE$3,0),FALSE),AC53)</f>
        <v>84</v>
      </c>
      <c r="AD54" s="31">
        <f t="shared" si="9"/>
        <v>100.8</v>
      </c>
      <c r="AE54" s="31">
        <f t="shared" si="9"/>
        <v>124.8</v>
      </c>
      <c r="AF54" s="31">
        <f t="shared" si="9"/>
        <v>139.19999999999999</v>
      </c>
      <c r="AG54" s="31">
        <f t="shared" si="9"/>
        <v>195</v>
      </c>
      <c r="AH54" s="31">
        <f t="shared" si="9"/>
        <v>52</v>
      </c>
      <c r="AI54" s="31">
        <f t="shared" si="9"/>
        <v>57.999999999999993</v>
      </c>
      <c r="AJ54" s="31">
        <f t="shared" si="9"/>
        <v>101.33333333333334</v>
      </c>
      <c r="AK54" s="31">
        <f t="shared" si="9"/>
        <v>52.25</v>
      </c>
      <c r="AL54" s="31">
        <f t="shared" si="9"/>
        <v>73.5</v>
      </c>
      <c r="AM54" s="31">
        <f t="shared" si="9"/>
        <v>84</v>
      </c>
      <c r="AN54" s="31">
        <f t="shared" si="9"/>
        <v>100.8</v>
      </c>
      <c r="AO54" s="31">
        <f t="shared" si="9"/>
        <v>124.8</v>
      </c>
      <c r="AP54" s="31">
        <f t="shared" si="9"/>
        <v>139.19999999999999</v>
      </c>
      <c r="AQ54" s="31">
        <f t="shared" si="9"/>
        <v>195</v>
      </c>
    </row>
    <row r="55" spans="2:43" x14ac:dyDescent="0.3">
      <c r="B55" s="2">
        <f>[1]坦克部件养成!B26</f>
        <v>720</v>
      </c>
      <c r="C55" s="2">
        <f>[1]坦克部件养成!C26</f>
        <v>43200</v>
      </c>
      <c r="D55" s="2">
        <f>[1]坦克部件养成!D26</f>
        <v>140</v>
      </c>
      <c r="E55" s="2">
        <f>[1]坦克部件养成!E26</f>
        <v>390</v>
      </c>
      <c r="F55" s="42">
        <f>[1]坦克部件养成!F26</f>
        <v>123.605150214592</v>
      </c>
      <c r="M55" s="2">
        <v>10</v>
      </c>
      <c r="N55" s="31">
        <f t="shared" ref="N55:AB69" si="10">IFERROR(VLOOKUP(VLOOKUP(N$18,$H$3:$K$33,3,FALSE)&amp;VLOOKUP(N$18,$H$3:$K$33,4,FALSE)&amp;"碎片",$B$3:$C$27,2,FALSE)*VLOOKUP($M55,$M$3:$AE$15,MATCH(VLOOKUP(N$18,$H$3:$K$33,3,FALSE)&amp;VLOOKUP(N$18,$H$3:$K$33,4,FALSE),$M$3:$AE$3,0),FALSE),N54)</f>
        <v>46</v>
      </c>
      <c r="O55" s="31">
        <f t="shared" si="10"/>
        <v>52</v>
      </c>
      <c r="P55" s="31">
        <f t="shared" si="10"/>
        <v>96</v>
      </c>
      <c r="Q55" s="31">
        <f t="shared" si="10"/>
        <v>48.125</v>
      </c>
      <c r="R55" s="31">
        <f t="shared" si="10"/>
        <v>70</v>
      </c>
      <c r="S55" s="31">
        <f t="shared" si="10"/>
        <v>80</v>
      </c>
      <c r="T55" s="31">
        <f t="shared" si="10"/>
        <v>96.600000000000009</v>
      </c>
      <c r="U55" s="31">
        <f t="shared" si="10"/>
        <v>119.60000000000001</v>
      </c>
      <c r="V55" s="31">
        <f t="shared" si="10"/>
        <v>133.4</v>
      </c>
      <c r="W55" s="31">
        <f t="shared" si="10"/>
        <v>195</v>
      </c>
      <c r="X55" s="31">
        <f t="shared" si="10"/>
        <v>46</v>
      </c>
      <c r="Y55" s="31">
        <f t="shared" si="10"/>
        <v>52</v>
      </c>
      <c r="Z55" s="31">
        <f t="shared" si="10"/>
        <v>96</v>
      </c>
      <c r="AA55" s="31">
        <f t="shared" si="10"/>
        <v>48.125</v>
      </c>
      <c r="AB55" s="31">
        <f t="shared" si="10"/>
        <v>70</v>
      </c>
      <c r="AC55" s="31">
        <f t="shared" si="9"/>
        <v>80</v>
      </c>
      <c r="AD55" s="31">
        <f t="shared" si="9"/>
        <v>96.600000000000009</v>
      </c>
      <c r="AE55" s="31">
        <f t="shared" si="9"/>
        <v>119.60000000000001</v>
      </c>
      <c r="AF55" s="31">
        <f t="shared" si="9"/>
        <v>133.4</v>
      </c>
      <c r="AG55" s="31">
        <f t="shared" si="9"/>
        <v>195</v>
      </c>
      <c r="AH55" s="31">
        <f t="shared" si="9"/>
        <v>46</v>
      </c>
      <c r="AI55" s="31">
        <f t="shared" si="9"/>
        <v>52</v>
      </c>
      <c r="AJ55" s="31">
        <f t="shared" si="9"/>
        <v>96</v>
      </c>
      <c r="AK55" s="31">
        <f t="shared" si="9"/>
        <v>48.125</v>
      </c>
      <c r="AL55" s="31">
        <f t="shared" si="9"/>
        <v>70</v>
      </c>
      <c r="AM55" s="31">
        <f t="shared" si="9"/>
        <v>80</v>
      </c>
      <c r="AN55" s="31">
        <f t="shared" si="9"/>
        <v>96.600000000000009</v>
      </c>
      <c r="AO55" s="31">
        <f t="shared" si="9"/>
        <v>119.60000000000001</v>
      </c>
      <c r="AP55" s="31">
        <f t="shared" si="9"/>
        <v>133.4</v>
      </c>
      <c r="AQ55" s="31">
        <f t="shared" si="9"/>
        <v>195</v>
      </c>
    </row>
    <row r="56" spans="2:43" x14ac:dyDescent="0.3">
      <c r="B56" s="2">
        <f>[1]坦克部件养成!B27</f>
        <v>1440</v>
      </c>
      <c r="C56" s="2">
        <f>[1]坦克部件养成!C27</f>
        <v>86400</v>
      </c>
      <c r="D56" s="2">
        <f>[1]坦克部件养成!D27</f>
        <v>160</v>
      </c>
      <c r="E56" s="2">
        <f>[1]坦克部件养成!E27</f>
        <v>699</v>
      </c>
      <c r="F56" s="42">
        <f>[1]坦克部件养成!F27</f>
        <v>139.467312348668</v>
      </c>
      <c r="M56" s="2">
        <v>11</v>
      </c>
      <c r="N56" s="31">
        <f t="shared" si="10"/>
        <v>40.000000000000099</v>
      </c>
      <c r="O56" s="31">
        <f t="shared" si="10"/>
        <v>46</v>
      </c>
      <c r="P56" s="31">
        <f t="shared" si="10"/>
        <v>90.666666666666814</v>
      </c>
      <c r="Q56" s="31">
        <f t="shared" si="10"/>
        <v>44</v>
      </c>
      <c r="R56" s="31">
        <f t="shared" si="10"/>
        <v>66.5</v>
      </c>
      <c r="S56" s="31">
        <f t="shared" si="10"/>
        <v>76</v>
      </c>
      <c r="T56" s="31">
        <f t="shared" si="10"/>
        <v>92.4</v>
      </c>
      <c r="U56" s="31">
        <f t="shared" si="10"/>
        <v>114.4</v>
      </c>
      <c r="V56" s="31">
        <f t="shared" si="10"/>
        <v>127.6</v>
      </c>
      <c r="W56" s="31">
        <f t="shared" si="10"/>
        <v>191.1</v>
      </c>
      <c r="X56" s="31">
        <f t="shared" si="10"/>
        <v>40.000000000000099</v>
      </c>
      <c r="Y56" s="31">
        <f t="shared" si="10"/>
        <v>46</v>
      </c>
      <c r="Z56" s="31">
        <f t="shared" si="10"/>
        <v>90.666666666666814</v>
      </c>
      <c r="AA56" s="31">
        <f t="shared" si="10"/>
        <v>44</v>
      </c>
      <c r="AB56" s="31">
        <f t="shared" si="10"/>
        <v>66.5</v>
      </c>
      <c r="AC56" s="31">
        <f t="shared" si="9"/>
        <v>76</v>
      </c>
      <c r="AD56" s="31">
        <f t="shared" si="9"/>
        <v>92.4</v>
      </c>
      <c r="AE56" s="31">
        <f t="shared" si="9"/>
        <v>114.4</v>
      </c>
      <c r="AF56" s="31">
        <f t="shared" si="9"/>
        <v>127.6</v>
      </c>
      <c r="AG56" s="31">
        <f t="shared" si="9"/>
        <v>191.1</v>
      </c>
      <c r="AH56" s="31">
        <f t="shared" si="9"/>
        <v>40.000000000000099</v>
      </c>
      <c r="AI56" s="31">
        <f t="shared" si="9"/>
        <v>46</v>
      </c>
      <c r="AJ56" s="31">
        <f t="shared" si="9"/>
        <v>90.666666666666814</v>
      </c>
      <c r="AK56" s="31">
        <f t="shared" si="9"/>
        <v>44</v>
      </c>
      <c r="AL56" s="31">
        <f t="shared" si="9"/>
        <v>66.5</v>
      </c>
      <c r="AM56" s="31">
        <f t="shared" si="9"/>
        <v>76</v>
      </c>
      <c r="AN56" s="31">
        <f t="shared" si="9"/>
        <v>92.4</v>
      </c>
      <c r="AO56" s="31">
        <f t="shared" si="9"/>
        <v>114.4</v>
      </c>
      <c r="AP56" s="31">
        <f t="shared" si="9"/>
        <v>127.6</v>
      </c>
      <c r="AQ56" s="31">
        <f t="shared" si="9"/>
        <v>191.1</v>
      </c>
    </row>
    <row r="57" spans="2:43" x14ac:dyDescent="0.3">
      <c r="B57" s="2">
        <f>[1]坦克部件养成!B28</f>
        <v>2880</v>
      </c>
      <c r="C57" s="2">
        <f>[1]坦克部件养成!C28</f>
        <v>172800</v>
      </c>
      <c r="D57" s="2">
        <f>[1]坦克部件养成!D28</f>
        <v>180</v>
      </c>
      <c r="E57" s="2">
        <f>[1]坦克部件养成!E28</f>
        <v>1239</v>
      </c>
      <c r="F57" s="42">
        <f>[1]坦克部件养成!F28</f>
        <v>157.16234652114599</v>
      </c>
      <c r="M57" s="2">
        <v>12</v>
      </c>
      <c r="N57" s="31">
        <f t="shared" si="10"/>
        <v>34.000000000000099</v>
      </c>
      <c r="O57" s="31">
        <f t="shared" si="10"/>
        <v>40.000000000000099</v>
      </c>
      <c r="P57" s="31">
        <f t="shared" si="10"/>
        <v>85.333333333333471</v>
      </c>
      <c r="Q57" s="31">
        <f t="shared" si="10"/>
        <v>39.875</v>
      </c>
      <c r="R57" s="31">
        <f t="shared" si="10"/>
        <v>63</v>
      </c>
      <c r="S57" s="31">
        <f t="shared" si="10"/>
        <v>72</v>
      </c>
      <c r="T57" s="31">
        <f t="shared" si="10"/>
        <v>88.2</v>
      </c>
      <c r="U57" s="31">
        <f t="shared" si="10"/>
        <v>109.2</v>
      </c>
      <c r="V57" s="31">
        <f t="shared" si="10"/>
        <v>121.8</v>
      </c>
      <c r="W57" s="31">
        <f t="shared" si="10"/>
        <v>187.2</v>
      </c>
      <c r="X57" s="31">
        <f t="shared" si="10"/>
        <v>34.000000000000099</v>
      </c>
      <c r="Y57" s="31">
        <f t="shared" si="10"/>
        <v>40.000000000000099</v>
      </c>
      <c r="Z57" s="31">
        <f t="shared" si="10"/>
        <v>85.333333333333471</v>
      </c>
      <c r="AA57" s="31">
        <f t="shared" si="10"/>
        <v>39.875</v>
      </c>
      <c r="AB57" s="31">
        <f t="shared" si="10"/>
        <v>63</v>
      </c>
      <c r="AC57" s="31">
        <f t="shared" si="9"/>
        <v>72</v>
      </c>
      <c r="AD57" s="31">
        <f t="shared" si="9"/>
        <v>88.2</v>
      </c>
      <c r="AE57" s="31">
        <f t="shared" si="9"/>
        <v>109.2</v>
      </c>
      <c r="AF57" s="31">
        <f t="shared" si="9"/>
        <v>121.8</v>
      </c>
      <c r="AG57" s="31">
        <f t="shared" si="9"/>
        <v>187.2</v>
      </c>
      <c r="AH57" s="31">
        <f t="shared" si="9"/>
        <v>34.000000000000099</v>
      </c>
      <c r="AI57" s="31">
        <f t="shared" si="9"/>
        <v>40.000000000000099</v>
      </c>
      <c r="AJ57" s="31">
        <f t="shared" si="9"/>
        <v>85.333333333333471</v>
      </c>
      <c r="AK57" s="31">
        <f t="shared" si="9"/>
        <v>39.875</v>
      </c>
      <c r="AL57" s="31">
        <f t="shared" si="9"/>
        <v>63</v>
      </c>
      <c r="AM57" s="31">
        <f t="shared" si="9"/>
        <v>72</v>
      </c>
      <c r="AN57" s="31">
        <f t="shared" si="9"/>
        <v>88.2</v>
      </c>
      <c r="AO57" s="31">
        <f t="shared" si="9"/>
        <v>109.2</v>
      </c>
      <c r="AP57" s="31">
        <f t="shared" si="9"/>
        <v>121.8</v>
      </c>
      <c r="AQ57" s="31">
        <f t="shared" si="9"/>
        <v>187.2</v>
      </c>
    </row>
    <row r="58" spans="2:43" x14ac:dyDescent="0.3">
      <c r="B58" s="2">
        <f>[1]坦克部件养成!B29</f>
        <v>5760</v>
      </c>
      <c r="C58" s="2">
        <f>[1]坦克部件养成!C29</f>
        <v>345600</v>
      </c>
      <c r="D58" s="2">
        <f>[1]坦克部件养成!D29</f>
        <v>200</v>
      </c>
      <c r="E58" s="2">
        <f>[1]坦克部件养成!E29</f>
        <v>2199</v>
      </c>
      <c r="F58" s="42">
        <f>[1]坦克部件养成!F29</f>
        <v>176.012223071047</v>
      </c>
      <c r="M58" s="2">
        <v>13</v>
      </c>
      <c r="N58" s="31">
        <f t="shared" si="10"/>
        <v>34.000000000000099</v>
      </c>
      <c r="O58" s="31">
        <f t="shared" si="10"/>
        <v>40.000000000000099</v>
      </c>
      <c r="P58" s="31">
        <f t="shared" si="10"/>
        <v>85.333333333333471</v>
      </c>
      <c r="Q58" s="31">
        <f t="shared" si="10"/>
        <v>39.875</v>
      </c>
      <c r="R58" s="31">
        <f t="shared" si="10"/>
        <v>63</v>
      </c>
      <c r="S58" s="31">
        <f t="shared" si="10"/>
        <v>72</v>
      </c>
      <c r="T58" s="31">
        <f t="shared" si="10"/>
        <v>88.2</v>
      </c>
      <c r="U58" s="31">
        <f t="shared" si="10"/>
        <v>109.2</v>
      </c>
      <c r="V58" s="31">
        <f t="shared" si="10"/>
        <v>121.8</v>
      </c>
      <c r="W58" s="31">
        <f t="shared" si="10"/>
        <v>187.2</v>
      </c>
      <c r="X58" s="31">
        <f t="shared" si="10"/>
        <v>34.000000000000099</v>
      </c>
      <c r="Y58" s="31">
        <f t="shared" si="10"/>
        <v>40.000000000000099</v>
      </c>
      <c r="Z58" s="31">
        <f t="shared" si="10"/>
        <v>85.333333333333471</v>
      </c>
      <c r="AA58" s="31">
        <f t="shared" si="10"/>
        <v>39.875</v>
      </c>
      <c r="AB58" s="31">
        <f t="shared" si="10"/>
        <v>63</v>
      </c>
      <c r="AC58" s="31">
        <f t="shared" si="9"/>
        <v>72</v>
      </c>
      <c r="AD58" s="31">
        <f t="shared" si="9"/>
        <v>88.2</v>
      </c>
      <c r="AE58" s="31">
        <f t="shared" si="9"/>
        <v>109.2</v>
      </c>
      <c r="AF58" s="31">
        <f t="shared" si="9"/>
        <v>121.8</v>
      </c>
      <c r="AG58" s="31">
        <f t="shared" si="9"/>
        <v>187.2</v>
      </c>
      <c r="AH58" s="31">
        <f t="shared" si="9"/>
        <v>34.000000000000099</v>
      </c>
      <c r="AI58" s="31">
        <f t="shared" si="9"/>
        <v>40.000000000000099</v>
      </c>
      <c r="AJ58" s="31">
        <f t="shared" si="9"/>
        <v>85.333333333333471</v>
      </c>
      <c r="AK58" s="31">
        <f t="shared" si="9"/>
        <v>39.875</v>
      </c>
      <c r="AL58" s="31">
        <f t="shared" si="9"/>
        <v>63</v>
      </c>
      <c r="AM58" s="31">
        <f t="shared" si="9"/>
        <v>72</v>
      </c>
      <c r="AN58" s="31">
        <f t="shared" si="9"/>
        <v>88.2</v>
      </c>
      <c r="AO58" s="31">
        <f t="shared" si="9"/>
        <v>109.2</v>
      </c>
      <c r="AP58" s="31">
        <f t="shared" si="9"/>
        <v>121.8</v>
      </c>
      <c r="AQ58" s="31">
        <f t="shared" si="9"/>
        <v>187.2</v>
      </c>
    </row>
    <row r="59" spans="2:43" x14ac:dyDescent="0.3">
      <c r="B59" s="2">
        <f>[1]坦克部件养成!B30</f>
        <v>11520</v>
      </c>
      <c r="C59" s="2">
        <f>[1]坦克部件养成!C30</f>
        <v>691200</v>
      </c>
      <c r="D59" s="2">
        <f>[1]坦克部件养成!D30</f>
        <v>200</v>
      </c>
      <c r="E59" s="2">
        <f>[1]坦克部件养成!E30</f>
        <v>3927</v>
      </c>
      <c r="F59" s="42">
        <f>[1]坦克部件养成!F30</f>
        <v>176.012223071047</v>
      </c>
      <c r="M59" s="2">
        <v>14</v>
      </c>
      <c r="N59" s="31">
        <f t="shared" si="10"/>
        <v>34.000000000000099</v>
      </c>
      <c r="O59" s="31">
        <f t="shared" si="10"/>
        <v>40.000000000000099</v>
      </c>
      <c r="P59" s="31">
        <f t="shared" si="10"/>
        <v>85.333333333333471</v>
      </c>
      <c r="Q59" s="31">
        <f t="shared" si="10"/>
        <v>39.875</v>
      </c>
      <c r="R59" s="31">
        <f t="shared" si="10"/>
        <v>63</v>
      </c>
      <c r="S59" s="31">
        <f t="shared" si="10"/>
        <v>72</v>
      </c>
      <c r="T59" s="31">
        <f t="shared" si="10"/>
        <v>88.2</v>
      </c>
      <c r="U59" s="31">
        <f t="shared" si="10"/>
        <v>109.2</v>
      </c>
      <c r="V59" s="31">
        <f t="shared" si="10"/>
        <v>121.8</v>
      </c>
      <c r="W59" s="31">
        <f t="shared" si="10"/>
        <v>187.2</v>
      </c>
      <c r="X59" s="31">
        <f t="shared" si="10"/>
        <v>34.000000000000099</v>
      </c>
      <c r="Y59" s="31">
        <f t="shared" si="10"/>
        <v>40.000000000000099</v>
      </c>
      <c r="Z59" s="31">
        <f t="shared" si="10"/>
        <v>85.333333333333471</v>
      </c>
      <c r="AA59" s="31">
        <f t="shared" si="10"/>
        <v>39.875</v>
      </c>
      <c r="AB59" s="31">
        <f t="shared" si="10"/>
        <v>63</v>
      </c>
      <c r="AC59" s="31">
        <f t="shared" si="9"/>
        <v>72</v>
      </c>
      <c r="AD59" s="31">
        <f t="shared" si="9"/>
        <v>88.2</v>
      </c>
      <c r="AE59" s="31">
        <f t="shared" si="9"/>
        <v>109.2</v>
      </c>
      <c r="AF59" s="31">
        <f t="shared" si="9"/>
        <v>121.8</v>
      </c>
      <c r="AG59" s="31">
        <f t="shared" si="9"/>
        <v>187.2</v>
      </c>
      <c r="AH59" s="31">
        <f t="shared" si="9"/>
        <v>34.000000000000099</v>
      </c>
      <c r="AI59" s="31">
        <f t="shared" si="9"/>
        <v>40.000000000000099</v>
      </c>
      <c r="AJ59" s="31">
        <f t="shared" si="9"/>
        <v>85.333333333333471</v>
      </c>
      <c r="AK59" s="31">
        <f t="shared" si="9"/>
        <v>39.875</v>
      </c>
      <c r="AL59" s="31">
        <f t="shared" si="9"/>
        <v>63</v>
      </c>
      <c r="AM59" s="31">
        <f t="shared" si="9"/>
        <v>72</v>
      </c>
      <c r="AN59" s="31">
        <f t="shared" si="9"/>
        <v>88.2</v>
      </c>
      <c r="AO59" s="31">
        <f t="shared" si="9"/>
        <v>109.2</v>
      </c>
      <c r="AP59" s="31">
        <f t="shared" si="9"/>
        <v>121.8</v>
      </c>
      <c r="AQ59" s="31">
        <f t="shared" si="9"/>
        <v>187.2</v>
      </c>
    </row>
    <row r="60" spans="2:43" x14ac:dyDescent="0.3">
      <c r="M60" s="2">
        <v>15</v>
      </c>
      <c r="N60" s="31">
        <f t="shared" si="10"/>
        <v>34.000000000000099</v>
      </c>
      <c r="O60" s="31">
        <f t="shared" si="10"/>
        <v>40.000000000000099</v>
      </c>
      <c r="P60" s="31">
        <f t="shared" si="10"/>
        <v>85.333333333333471</v>
      </c>
      <c r="Q60" s="31">
        <f t="shared" si="10"/>
        <v>39.875</v>
      </c>
      <c r="R60" s="31">
        <f t="shared" si="10"/>
        <v>63</v>
      </c>
      <c r="S60" s="31">
        <f t="shared" si="10"/>
        <v>72</v>
      </c>
      <c r="T60" s="31">
        <f t="shared" si="10"/>
        <v>88.2</v>
      </c>
      <c r="U60" s="31">
        <f t="shared" si="10"/>
        <v>109.2</v>
      </c>
      <c r="V60" s="31">
        <f t="shared" si="10"/>
        <v>121.8</v>
      </c>
      <c r="W60" s="31">
        <f t="shared" si="10"/>
        <v>187.2</v>
      </c>
      <c r="X60" s="31">
        <f t="shared" si="10"/>
        <v>34.000000000000099</v>
      </c>
      <c r="Y60" s="31">
        <f t="shared" si="10"/>
        <v>40.000000000000099</v>
      </c>
      <c r="Z60" s="31">
        <f t="shared" si="10"/>
        <v>85.333333333333471</v>
      </c>
      <c r="AA60" s="31">
        <f t="shared" si="10"/>
        <v>39.875</v>
      </c>
      <c r="AB60" s="31">
        <f t="shared" si="10"/>
        <v>63</v>
      </c>
      <c r="AC60" s="31">
        <f t="shared" si="9"/>
        <v>72</v>
      </c>
      <c r="AD60" s="31">
        <f t="shared" si="9"/>
        <v>88.2</v>
      </c>
      <c r="AE60" s="31">
        <f t="shared" si="9"/>
        <v>109.2</v>
      </c>
      <c r="AF60" s="31">
        <f t="shared" si="9"/>
        <v>121.8</v>
      </c>
      <c r="AG60" s="31">
        <f t="shared" si="9"/>
        <v>187.2</v>
      </c>
      <c r="AH60" s="31">
        <f t="shared" si="9"/>
        <v>34.000000000000099</v>
      </c>
      <c r="AI60" s="31">
        <f t="shared" si="9"/>
        <v>40.000000000000099</v>
      </c>
      <c r="AJ60" s="31">
        <f t="shared" si="9"/>
        <v>85.333333333333471</v>
      </c>
      <c r="AK60" s="31">
        <f t="shared" si="9"/>
        <v>39.875</v>
      </c>
      <c r="AL60" s="31">
        <f t="shared" si="9"/>
        <v>63</v>
      </c>
      <c r="AM60" s="31">
        <f t="shared" si="9"/>
        <v>72</v>
      </c>
      <c r="AN60" s="31">
        <f t="shared" si="9"/>
        <v>88.2</v>
      </c>
      <c r="AO60" s="31">
        <f t="shared" si="9"/>
        <v>109.2</v>
      </c>
      <c r="AP60" s="31">
        <f t="shared" si="9"/>
        <v>121.8</v>
      </c>
      <c r="AQ60" s="31">
        <f t="shared" si="9"/>
        <v>187.2</v>
      </c>
    </row>
    <row r="61" spans="2:43" x14ac:dyDescent="0.3">
      <c r="M61" s="2">
        <v>16</v>
      </c>
      <c r="N61" s="31">
        <f t="shared" si="10"/>
        <v>34.000000000000099</v>
      </c>
      <c r="O61" s="31">
        <f t="shared" si="10"/>
        <v>40.000000000000099</v>
      </c>
      <c r="P61" s="31">
        <f t="shared" si="10"/>
        <v>85.333333333333471</v>
      </c>
      <c r="Q61" s="31">
        <f t="shared" si="10"/>
        <v>39.875</v>
      </c>
      <c r="R61" s="31">
        <f t="shared" si="10"/>
        <v>63</v>
      </c>
      <c r="S61" s="31">
        <f t="shared" si="10"/>
        <v>72</v>
      </c>
      <c r="T61" s="31">
        <f t="shared" si="10"/>
        <v>88.2</v>
      </c>
      <c r="U61" s="31">
        <f t="shared" si="10"/>
        <v>109.2</v>
      </c>
      <c r="V61" s="31">
        <f t="shared" si="10"/>
        <v>121.8</v>
      </c>
      <c r="W61" s="31">
        <f t="shared" si="10"/>
        <v>187.2</v>
      </c>
      <c r="X61" s="31">
        <f t="shared" si="10"/>
        <v>34.000000000000099</v>
      </c>
      <c r="Y61" s="31">
        <f t="shared" si="10"/>
        <v>40.000000000000099</v>
      </c>
      <c r="Z61" s="31">
        <f t="shared" si="10"/>
        <v>85.333333333333471</v>
      </c>
      <c r="AA61" s="31">
        <f t="shared" si="10"/>
        <v>39.875</v>
      </c>
      <c r="AB61" s="31">
        <f t="shared" si="10"/>
        <v>63</v>
      </c>
      <c r="AC61" s="31">
        <f t="shared" si="9"/>
        <v>72</v>
      </c>
      <c r="AD61" s="31">
        <f t="shared" si="9"/>
        <v>88.2</v>
      </c>
      <c r="AE61" s="31">
        <f t="shared" si="9"/>
        <v>109.2</v>
      </c>
      <c r="AF61" s="31">
        <f t="shared" si="9"/>
        <v>121.8</v>
      </c>
      <c r="AG61" s="31">
        <f t="shared" si="9"/>
        <v>187.2</v>
      </c>
      <c r="AH61" s="31">
        <f t="shared" si="9"/>
        <v>34.000000000000099</v>
      </c>
      <c r="AI61" s="31">
        <f t="shared" si="9"/>
        <v>40.000000000000099</v>
      </c>
      <c r="AJ61" s="31">
        <f t="shared" si="9"/>
        <v>85.333333333333471</v>
      </c>
      <c r="AK61" s="31">
        <f t="shared" si="9"/>
        <v>39.875</v>
      </c>
      <c r="AL61" s="31">
        <f t="shared" si="9"/>
        <v>63</v>
      </c>
      <c r="AM61" s="31">
        <f t="shared" si="9"/>
        <v>72</v>
      </c>
      <c r="AN61" s="31">
        <f t="shared" si="9"/>
        <v>88.2</v>
      </c>
      <c r="AO61" s="31">
        <f t="shared" si="9"/>
        <v>109.2</v>
      </c>
      <c r="AP61" s="31">
        <f t="shared" si="9"/>
        <v>121.8</v>
      </c>
      <c r="AQ61" s="31">
        <f t="shared" si="9"/>
        <v>187.2</v>
      </c>
    </row>
    <row r="62" spans="2:43" x14ac:dyDescent="0.3">
      <c r="B62" s="2" t="s">
        <v>1783</v>
      </c>
      <c r="C62" s="2" t="s">
        <v>1777</v>
      </c>
      <c r="D62" s="2" t="s">
        <v>1780</v>
      </c>
      <c r="E62" s="2" t="s">
        <v>1778</v>
      </c>
      <c r="F62" s="2" t="s">
        <v>959</v>
      </c>
      <c r="G62" s="2" t="s">
        <v>1784</v>
      </c>
      <c r="H62" s="2" t="s">
        <v>1785</v>
      </c>
      <c r="I62" s="2" t="s">
        <v>1786</v>
      </c>
      <c r="J62" s="2" t="s">
        <v>1787</v>
      </c>
      <c r="K62" s="2" t="s">
        <v>1788</v>
      </c>
      <c r="M62" s="2">
        <v>17</v>
      </c>
      <c r="N62" s="31">
        <f t="shared" si="10"/>
        <v>34.000000000000099</v>
      </c>
      <c r="O62" s="31">
        <f t="shared" si="10"/>
        <v>40.000000000000099</v>
      </c>
      <c r="P62" s="31">
        <f t="shared" si="10"/>
        <v>85.333333333333471</v>
      </c>
      <c r="Q62" s="31">
        <f t="shared" si="10"/>
        <v>39.875</v>
      </c>
      <c r="R62" s="31">
        <f t="shared" si="10"/>
        <v>63</v>
      </c>
      <c r="S62" s="31">
        <f t="shared" si="10"/>
        <v>72</v>
      </c>
      <c r="T62" s="31">
        <f t="shared" si="10"/>
        <v>88.2</v>
      </c>
      <c r="U62" s="31">
        <f t="shared" si="10"/>
        <v>109.2</v>
      </c>
      <c r="V62" s="31">
        <f t="shared" si="10"/>
        <v>121.8</v>
      </c>
      <c r="W62" s="31">
        <f t="shared" si="10"/>
        <v>187.2</v>
      </c>
      <c r="X62" s="31">
        <f t="shared" si="10"/>
        <v>34.000000000000099</v>
      </c>
      <c r="Y62" s="31">
        <f t="shared" si="10"/>
        <v>40.000000000000099</v>
      </c>
      <c r="Z62" s="31">
        <f t="shared" si="10"/>
        <v>85.333333333333471</v>
      </c>
      <c r="AA62" s="31">
        <f t="shared" si="10"/>
        <v>39.875</v>
      </c>
      <c r="AB62" s="31">
        <f t="shared" si="10"/>
        <v>63</v>
      </c>
      <c r="AC62" s="31">
        <f t="shared" si="9"/>
        <v>72</v>
      </c>
      <c r="AD62" s="31">
        <f t="shared" si="9"/>
        <v>88.2</v>
      </c>
      <c r="AE62" s="31">
        <f t="shared" si="9"/>
        <v>109.2</v>
      </c>
      <c r="AF62" s="31">
        <f t="shared" si="9"/>
        <v>121.8</v>
      </c>
      <c r="AG62" s="31">
        <f t="shared" si="9"/>
        <v>187.2</v>
      </c>
      <c r="AH62" s="31">
        <f t="shared" si="9"/>
        <v>34.000000000000099</v>
      </c>
      <c r="AI62" s="31">
        <f t="shared" si="9"/>
        <v>40.000000000000099</v>
      </c>
      <c r="AJ62" s="31">
        <f t="shared" si="9"/>
        <v>85.333333333333471</v>
      </c>
      <c r="AK62" s="31">
        <f t="shared" si="9"/>
        <v>39.875</v>
      </c>
      <c r="AL62" s="31">
        <f t="shared" si="9"/>
        <v>63</v>
      </c>
      <c r="AM62" s="31">
        <f t="shared" si="9"/>
        <v>72</v>
      </c>
      <c r="AN62" s="31">
        <f t="shared" si="9"/>
        <v>88.2</v>
      </c>
      <c r="AO62" s="31">
        <f t="shared" si="9"/>
        <v>109.2</v>
      </c>
      <c r="AP62" s="31">
        <f t="shared" si="9"/>
        <v>121.8</v>
      </c>
      <c r="AQ62" s="31">
        <f t="shared" si="9"/>
        <v>187.2</v>
      </c>
    </row>
    <row r="63" spans="2:43" x14ac:dyDescent="0.3">
      <c r="B63" s="2" t="s">
        <v>4217</v>
      </c>
      <c r="C63" s="2">
        <v>30</v>
      </c>
      <c r="D63" s="2">
        <v>3</v>
      </c>
      <c r="E63" s="2">
        <f t="shared" ref="E63:E70" si="11">VLOOKUP(C63,$H$38:$I$42,2,FALSE)*VLOOKUP(D63,$H$45:$I$48,2,FALSE)</f>
        <v>0.84000000000000008</v>
      </c>
      <c r="F63" s="2">
        <f>C63*(D63-1)</f>
        <v>60</v>
      </c>
      <c r="G63" s="2">
        <f>C63</f>
        <v>30</v>
      </c>
      <c r="H63" s="2">
        <f t="shared" ref="H63:H70" si="12">ROUNDUP((F63*60-VLOOKUP(F63*60,$C$50:$E$59,1,TRUE))/VLOOKUP(F63*60,$C$50:$E$59,2,TRUE),0)+VLOOKUP(F63*60,$C$50:$E$59,3,TRUE)</f>
        <v>48</v>
      </c>
      <c r="I63" s="2">
        <f t="shared" ref="I63:I70" si="13">(ROUNDUP((G63*60-VLOOKUP(G63*60,$C$50:$E$59,1,TRUE))/VLOOKUP(G63*60,$C$50:$E$59,2,TRUE),0)+VLOOKUP(G63*60,$C$50:$E$59,3,TRUE))*$I$51</f>
        <v>12.5</v>
      </c>
      <c r="J63" s="2">
        <f>ROUND((H63-I63)/5,0)*5</f>
        <v>35</v>
      </c>
      <c r="K63" s="2">
        <f>ROUND((H63-I63)*3/5,0)*5</f>
        <v>105</v>
      </c>
      <c r="M63" s="2">
        <v>18</v>
      </c>
      <c r="N63" s="31">
        <f t="shared" si="10"/>
        <v>34.000000000000099</v>
      </c>
      <c r="O63" s="31">
        <f t="shared" si="10"/>
        <v>40.000000000000099</v>
      </c>
      <c r="P63" s="31">
        <f t="shared" si="10"/>
        <v>85.333333333333471</v>
      </c>
      <c r="Q63" s="31">
        <f t="shared" si="10"/>
        <v>39.875</v>
      </c>
      <c r="R63" s="31">
        <f t="shared" si="10"/>
        <v>63</v>
      </c>
      <c r="S63" s="31">
        <f t="shared" si="10"/>
        <v>72</v>
      </c>
      <c r="T63" s="31">
        <f t="shared" si="10"/>
        <v>88.2</v>
      </c>
      <c r="U63" s="31">
        <f t="shared" si="10"/>
        <v>109.2</v>
      </c>
      <c r="V63" s="31">
        <f t="shared" si="10"/>
        <v>121.8</v>
      </c>
      <c r="W63" s="31">
        <f t="shared" si="10"/>
        <v>187.2</v>
      </c>
      <c r="X63" s="31">
        <f t="shared" si="10"/>
        <v>34.000000000000099</v>
      </c>
      <c r="Y63" s="31">
        <f t="shared" si="10"/>
        <v>40.000000000000099</v>
      </c>
      <c r="Z63" s="31">
        <f t="shared" si="10"/>
        <v>85.333333333333471</v>
      </c>
      <c r="AA63" s="31">
        <f t="shared" si="10"/>
        <v>39.875</v>
      </c>
      <c r="AB63" s="31">
        <f t="shared" si="10"/>
        <v>63</v>
      </c>
      <c r="AC63" s="31">
        <f t="shared" si="9"/>
        <v>72</v>
      </c>
      <c r="AD63" s="31">
        <f t="shared" si="9"/>
        <v>88.2</v>
      </c>
      <c r="AE63" s="31">
        <f t="shared" si="9"/>
        <v>109.2</v>
      </c>
      <c r="AF63" s="31">
        <f t="shared" si="9"/>
        <v>121.8</v>
      </c>
      <c r="AG63" s="31">
        <f t="shared" si="9"/>
        <v>187.2</v>
      </c>
      <c r="AH63" s="31">
        <f t="shared" si="9"/>
        <v>34.000000000000099</v>
      </c>
      <c r="AI63" s="31">
        <f t="shared" si="9"/>
        <v>40.000000000000099</v>
      </c>
      <c r="AJ63" s="31">
        <f t="shared" si="9"/>
        <v>85.333333333333471</v>
      </c>
      <c r="AK63" s="31">
        <f t="shared" si="9"/>
        <v>39.875</v>
      </c>
      <c r="AL63" s="31">
        <f t="shared" si="9"/>
        <v>63</v>
      </c>
      <c r="AM63" s="31">
        <f t="shared" si="9"/>
        <v>72</v>
      </c>
      <c r="AN63" s="31">
        <f t="shared" si="9"/>
        <v>88.2</v>
      </c>
      <c r="AO63" s="31">
        <f t="shared" si="9"/>
        <v>109.2</v>
      </c>
      <c r="AP63" s="31">
        <f t="shared" si="9"/>
        <v>121.8</v>
      </c>
      <c r="AQ63" s="31">
        <f t="shared" si="9"/>
        <v>187.2</v>
      </c>
    </row>
    <row r="64" spans="2:43" x14ac:dyDescent="0.3">
      <c r="B64" s="2" t="s">
        <v>1789</v>
      </c>
      <c r="C64" s="2">
        <v>60</v>
      </c>
      <c r="D64" s="2">
        <v>3</v>
      </c>
      <c r="E64" s="2">
        <f t="shared" si="11"/>
        <v>0.8</v>
      </c>
      <c r="F64" s="2">
        <f t="shared" ref="F64:F70" si="14">C64*(D64-1)</f>
        <v>120</v>
      </c>
      <c r="G64" s="2">
        <f t="shared" ref="G64:G70" si="15">C64</f>
        <v>60</v>
      </c>
      <c r="H64" s="2">
        <f t="shared" si="12"/>
        <v>84</v>
      </c>
      <c r="I64" s="2">
        <f t="shared" si="13"/>
        <v>24</v>
      </c>
      <c r="J64" s="2">
        <f t="shared" ref="J64:J70" si="16">ROUND((H64-I64)/5,0)*5</f>
        <v>60</v>
      </c>
      <c r="K64" s="2">
        <f t="shared" ref="K64:K70" si="17">ROUND((H64-I64)*3/5,0)*5</f>
        <v>180</v>
      </c>
      <c r="M64" s="2">
        <v>19</v>
      </c>
      <c r="N64" s="31">
        <f t="shared" si="10"/>
        <v>34.000000000000099</v>
      </c>
      <c r="O64" s="31">
        <f t="shared" si="10"/>
        <v>40.000000000000099</v>
      </c>
      <c r="P64" s="31">
        <f t="shared" si="10"/>
        <v>85.333333333333471</v>
      </c>
      <c r="Q64" s="31">
        <f t="shared" si="10"/>
        <v>39.875</v>
      </c>
      <c r="R64" s="31">
        <f t="shared" si="10"/>
        <v>63</v>
      </c>
      <c r="S64" s="31">
        <f t="shared" si="10"/>
        <v>72</v>
      </c>
      <c r="T64" s="31">
        <f t="shared" si="10"/>
        <v>88.2</v>
      </c>
      <c r="U64" s="31">
        <f t="shared" si="10"/>
        <v>109.2</v>
      </c>
      <c r="V64" s="31">
        <f t="shared" si="10"/>
        <v>121.8</v>
      </c>
      <c r="W64" s="31">
        <f t="shared" si="10"/>
        <v>187.2</v>
      </c>
      <c r="X64" s="31">
        <f t="shared" si="10"/>
        <v>34.000000000000099</v>
      </c>
      <c r="Y64" s="31">
        <f t="shared" si="10"/>
        <v>40.000000000000099</v>
      </c>
      <c r="Z64" s="31">
        <f t="shared" si="10"/>
        <v>85.333333333333471</v>
      </c>
      <c r="AA64" s="31">
        <f t="shared" si="10"/>
        <v>39.875</v>
      </c>
      <c r="AB64" s="31">
        <f t="shared" si="10"/>
        <v>63</v>
      </c>
      <c r="AC64" s="31">
        <f t="shared" si="9"/>
        <v>72</v>
      </c>
      <c r="AD64" s="31">
        <f t="shared" si="9"/>
        <v>88.2</v>
      </c>
      <c r="AE64" s="31">
        <f t="shared" si="9"/>
        <v>109.2</v>
      </c>
      <c r="AF64" s="31">
        <f t="shared" si="9"/>
        <v>121.8</v>
      </c>
      <c r="AG64" s="31">
        <f t="shared" si="9"/>
        <v>187.2</v>
      </c>
      <c r="AH64" s="31">
        <f t="shared" si="9"/>
        <v>34.000000000000099</v>
      </c>
      <c r="AI64" s="31">
        <f t="shared" si="9"/>
        <v>40.000000000000099</v>
      </c>
      <c r="AJ64" s="31">
        <f t="shared" si="9"/>
        <v>85.333333333333471</v>
      </c>
      <c r="AK64" s="31">
        <f t="shared" si="9"/>
        <v>39.875</v>
      </c>
      <c r="AL64" s="31">
        <f t="shared" si="9"/>
        <v>63</v>
      </c>
      <c r="AM64" s="31">
        <f t="shared" si="9"/>
        <v>72</v>
      </c>
      <c r="AN64" s="31">
        <f t="shared" si="9"/>
        <v>88.2</v>
      </c>
      <c r="AO64" s="31">
        <f t="shared" si="9"/>
        <v>109.2</v>
      </c>
      <c r="AP64" s="31">
        <f t="shared" si="9"/>
        <v>121.8</v>
      </c>
      <c r="AQ64" s="31">
        <f t="shared" si="9"/>
        <v>187.2</v>
      </c>
    </row>
    <row r="65" spans="2:43" x14ac:dyDescent="0.3">
      <c r="B65" s="125" t="s">
        <v>1790</v>
      </c>
      <c r="C65" s="125">
        <v>30</v>
      </c>
      <c r="D65" s="125">
        <v>5</v>
      </c>
      <c r="E65" s="125">
        <f t="shared" si="11"/>
        <v>0.94500000000000006</v>
      </c>
      <c r="F65" s="125">
        <f t="shared" si="14"/>
        <v>120</v>
      </c>
      <c r="G65" s="125">
        <f t="shared" si="15"/>
        <v>30</v>
      </c>
      <c r="H65" s="125">
        <f t="shared" si="12"/>
        <v>84</v>
      </c>
      <c r="I65" s="125">
        <f t="shared" si="13"/>
        <v>12.5</v>
      </c>
      <c r="J65" s="125">
        <f t="shared" si="16"/>
        <v>70</v>
      </c>
      <c r="K65" s="2">
        <f t="shared" si="17"/>
        <v>215</v>
      </c>
      <c r="M65" s="2">
        <v>20</v>
      </c>
      <c r="N65" s="31">
        <f t="shared" si="10"/>
        <v>34.000000000000099</v>
      </c>
      <c r="O65" s="31">
        <f t="shared" si="10"/>
        <v>40.000000000000099</v>
      </c>
      <c r="P65" s="31">
        <f t="shared" si="10"/>
        <v>85.333333333333471</v>
      </c>
      <c r="Q65" s="31">
        <f t="shared" si="10"/>
        <v>39.875</v>
      </c>
      <c r="R65" s="31">
        <f t="shared" si="10"/>
        <v>63</v>
      </c>
      <c r="S65" s="31">
        <f t="shared" si="10"/>
        <v>72</v>
      </c>
      <c r="T65" s="31">
        <f t="shared" si="10"/>
        <v>88.2</v>
      </c>
      <c r="U65" s="31">
        <f t="shared" si="10"/>
        <v>109.2</v>
      </c>
      <c r="V65" s="31">
        <f t="shared" si="10"/>
        <v>121.8</v>
      </c>
      <c r="W65" s="31">
        <f t="shared" si="10"/>
        <v>187.2</v>
      </c>
      <c r="X65" s="31">
        <f t="shared" si="10"/>
        <v>34.000000000000099</v>
      </c>
      <c r="Y65" s="31">
        <f t="shared" si="10"/>
        <v>40.000000000000099</v>
      </c>
      <c r="Z65" s="31">
        <f t="shared" si="10"/>
        <v>85.333333333333471</v>
      </c>
      <c r="AA65" s="31">
        <f t="shared" si="10"/>
        <v>39.875</v>
      </c>
      <c r="AB65" s="31">
        <f t="shared" si="10"/>
        <v>63</v>
      </c>
      <c r="AC65" s="31">
        <f t="shared" si="9"/>
        <v>72</v>
      </c>
      <c r="AD65" s="31">
        <f t="shared" si="9"/>
        <v>88.2</v>
      </c>
      <c r="AE65" s="31">
        <f t="shared" si="9"/>
        <v>109.2</v>
      </c>
      <c r="AF65" s="31">
        <f t="shared" si="9"/>
        <v>121.8</v>
      </c>
      <c r="AG65" s="31">
        <f t="shared" si="9"/>
        <v>187.2</v>
      </c>
      <c r="AH65" s="31">
        <f t="shared" si="9"/>
        <v>34.000000000000099</v>
      </c>
      <c r="AI65" s="31">
        <f t="shared" si="9"/>
        <v>40.000000000000099</v>
      </c>
      <c r="AJ65" s="31">
        <f t="shared" si="9"/>
        <v>85.333333333333471</v>
      </c>
      <c r="AK65" s="31">
        <f t="shared" si="9"/>
        <v>39.875</v>
      </c>
      <c r="AL65" s="31">
        <f t="shared" si="9"/>
        <v>63</v>
      </c>
      <c r="AM65" s="31">
        <f t="shared" si="9"/>
        <v>72</v>
      </c>
      <c r="AN65" s="31">
        <f t="shared" si="9"/>
        <v>88.2</v>
      </c>
      <c r="AO65" s="31">
        <f t="shared" si="9"/>
        <v>109.2</v>
      </c>
      <c r="AP65" s="31">
        <f t="shared" si="9"/>
        <v>121.8</v>
      </c>
      <c r="AQ65" s="31">
        <f t="shared" si="9"/>
        <v>187.2</v>
      </c>
    </row>
    <row r="66" spans="2:43" x14ac:dyDescent="0.3">
      <c r="B66" s="2" t="s">
        <v>1791</v>
      </c>
      <c r="C66" s="2">
        <v>60</v>
      </c>
      <c r="D66" s="2">
        <v>5</v>
      </c>
      <c r="E66" s="2">
        <f t="shared" si="11"/>
        <v>0.9</v>
      </c>
      <c r="F66" s="2">
        <f t="shared" si="14"/>
        <v>240</v>
      </c>
      <c r="G66" s="2">
        <f t="shared" si="15"/>
        <v>60</v>
      </c>
      <c r="H66" s="2">
        <f t="shared" si="12"/>
        <v>150</v>
      </c>
      <c r="I66" s="2">
        <f t="shared" si="13"/>
        <v>24</v>
      </c>
      <c r="J66" s="2">
        <f t="shared" si="16"/>
        <v>125</v>
      </c>
      <c r="K66" s="2">
        <f t="shared" si="17"/>
        <v>380</v>
      </c>
      <c r="M66" s="2">
        <v>21</v>
      </c>
      <c r="N66" s="31">
        <f t="shared" si="10"/>
        <v>34.000000000000099</v>
      </c>
      <c r="O66" s="31">
        <f t="shared" si="10"/>
        <v>40.000000000000099</v>
      </c>
      <c r="P66" s="31">
        <f t="shared" si="10"/>
        <v>85.333333333333471</v>
      </c>
      <c r="Q66" s="31">
        <f t="shared" si="10"/>
        <v>39.875</v>
      </c>
      <c r="R66" s="31">
        <f t="shared" si="10"/>
        <v>63</v>
      </c>
      <c r="S66" s="31">
        <f t="shared" si="10"/>
        <v>72</v>
      </c>
      <c r="T66" s="31">
        <f t="shared" si="10"/>
        <v>88.2</v>
      </c>
      <c r="U66" s="31">
        <f t="shared" si="10"/>
        <v>109.2</v>
      </c>
      <c r="V66" s="31">
        <f t="shared" si="10"/>
        <v>121.8</v>
      </c>
      <c r="W66" s="31">
        <f t="shared" si="10"/>
        <v>187.2</v>
      </c>
      <c r="X66" s="31">
        <f t="shared" si="10"/>
        <v>34.000000000000099</v>
      </c>
      <c r="Y66" s="31">
        <f t="shared" si="10"/>
        <v>40.000000000000099</v>
      </c>
      <c r="Z66" s="31">
        <f t="shared" si="10"/>
        <v>85.333333333333471</v>
      </c>
      <c r="AA66" s="31">
        <f t="shared" si="10"/>
        <v>39.875</v>
      </c>
      <c r="AB66" s="31">
        <f t="shared" si="10"/>
        <v>63</v>
      </c>
      <c r="AC66" s="31">
        <f t="shared" si="9"/>
        <v>72</v>
      </c>
      <c r="AD66" s="31">
        <f t="shared" si="9"/>
        <v>88.2</v>
      </c>
      <c r="AE66" s="31">
        <f t="shared" si="9"/>
        <v>109.2</v>
      </c>
      <c r="AF66" s="31">
        <f t="shared" si="9"/>
        <v>121.8</v>
      </c>
      <c r="AG66" s="31">
        <f t="shared" si="9"/>
        <v>187.2</v>
      </c>
      <c r="AH66" s="31">
        <f t="shared" si="9"/>
        <v>34.000000000000099</v>
      </c>
      <c r="AI66" s="31">
        <f t="shared" si="9"/>
        <v>40.000000000000099</v>
      </c>
      <c r="AJ66" s="31">
        <f t="shared" si="9"/>
        <v>85.333333333333471</v>
      </c>
      <c r="AK66" s="31">
        <f t="shared" si="9"/>
        <v>39.875</v>
      </c>
      <c r="AL66" s="31">
        <f t="shared" si="9"/>
        <v>63</v>
      </c>
      <c r="AM66" s="31">
        <f t="shared" si="9"/>
        <v>72</v>
      </c>
      <c r="AN66" s="31">
        <f t="shared" si="9"/>
        <v>88.2</v>
      </c>
      <c r="AO66" s="31">
        <f t="shared" si="9"/>
        <v>109.2</v>
      </c>
      <c r="AP66" s="31">
        <f t="shared" si="9"/>
        <v>121.8</v>
      </c>
      <c r="AQ66" s="31">
        <f t="shared" si="9"/>
        <v>187.2</v>
      </c>
    </row>
    <row r="67" spans="2:43" x14ac:dyDescent="0.3">
      <c r="B67" s="2" t="s">
        <v>1792</v>
      </c>
      <c r="C67" s="2">
        <v>120</v>
      </c>
      <c r="D67" s="2">
        <v>5</v>
      </c>
      <c r="E67" s="2">
        <f t="shared" si="11"/>
        <v>0.85499999999999998</v>
      </c>
      <c r="F67" s="2">
        <f t="shared" si="14"/>
        <v>480</v>
      </c>
      <c r="G67" s="2">
        <f t="shared" si="15"/>
        <v>120</v>
      </c>
      <c r="H67" s="2">
        <f t="shared" si="12"/>
        <v>270</v>
      </c>
      <c r="I67" s="2">
        <f t="shared" si="13"/>
        <v>42</v>
      </c>
      <c r="J67" s="2">
        <f t="shared" si="16"/>
        <v>230</v>
      </c>
      <c r="K67" s="2">
        <f t="shared" si="17"/>
        <v>685</v>
      </c>
      <c r="M67" s="2">
        <v>22</v>
      </c>
      <c r="N67" s="31">
        <f t="shared" si="10"/>
        <v>34.000000000000099</v>
      </c>
      <c r="O67" s="31">
        <f t="shared" si="10"/>
        <v>40.000000000000099</v>
      </c>
      <c r="P67" s="31">
        <f t="shared" si="10"/>
        <v>85.333333333333471</v>
      </c>
      <c r="Q67" s="31">
        <f t="shared" si="10"/>
        <v>39.875</v>
      </c>
      <c r="R67" s="31">
        <f t="shared" si="10"/>
        <v>63</v>
      </c>
      <c r="S67" s="31">
        <f t="shared" si="10"/>
        <v>72</v>
      </c>
      <c r="T67" s="31">
        <f t="shared" si="10"/>
        <v>88.2</v>
      </c>
      <c r="U67" s="31">
        <f t="shared" si="10"/>
        <v>109.2</v>
      </c>
      <c r="V67" s="31">
        <f t="shared" si="10"/>
        <v>121.8</v>
      </c>
      <c r="W67" s="31">
        <f t="shared" si="10"/>
        <v>187.2</v>
      </c>
      <c r="X67" s="31">
        <f t="shared" si="10"/>
        <v>34.000000000000099</v>
      </c>
      <c r="Y67" s="31">
        <f t="shared" si="10"/>
        <v>40.000000000000099</v>
      </c>
      <c r="Z67" s="31">
        <f t="shared" si="10"/>
        <v>85.333333333333471</v>
      </c>
      <c r="AA67" s="31">
        <f t="shared" si="10"/>
        <v>39.875</v>
      </c>
      <c r="AB67" s="31">
        <f t="shared" si="10"/>
        <v>63</v>
      </c>
      <c r="AC67" s="31">
        <f t="shared" si="9"/>
        <v>72</v>
      </c>
      <c r="AD67" s="31">
        <f t="shared" si="9"/>
        <v>88.2</v>
      </c>
      <c r="AE67" s="31">
        <f t="shared" si="9"/>
        <v>109.2</v>
      </c>
      <c r="AF67" s="31">
        <f t="shared" si="9"/>
        <v>121.8</v>
      </c>
      <c r="AG67" s="31">
        <f t="shared" si="9"/>
        <v>187.2</v>
      </c>
      <c r="AH67" s="31">
        <f t="shared" si="9"/>
        <v>34.000000000000099</v>
      </c>
      <c r="AI67" s="31">
        <f t="shared" si="9"/>
        <v>40.000000000000099</v>
      </c>
      <c r="AJ67" s="31">
        <f t="shared" si="9"/>
        <v>85.333333333333471</v>
      </c>
      <c r="AK67" s="31">
        <f t="shared" si="9"/>
        <v>39.875</v>
      </c>
      <c r="AL67" s="31">
        <f t="shared" si="9"/>
        <v>63</v>
      </c>
      <c r="AM67" s="31">
        <f t="shared" si="9"/>
        <v>72</v>
      </c>
      <c r="AN67" s="31">
        <f t="shared" si="9"/>
        <v>88.2</v>
      </c>
      <c r="AO67" s="31">
        <f t="shared" si="9"/>
        <v>109.2</v>
      </c>
      <c r="AP67" s="31">
        <f t="shared" si="9"/>
        <v>121.8</v>
      </c>
      <c r="AQ67" s="31">
        <f t="shared" si="9"/>
        <v>187.2</v>
      </c>
    </row>
    <row r="68" spans="2:43" x14ac:dyDescent="0.3">
      <c r="B68" s="116" t="s">
        <v>1793</v>
      </c>
      <c r="C68" s="116">
        <v>60</v>
      </c>
      <c r="D68" s="116">
        <v>8</v>
      </c>
      <c r="E68" s="116">
        <f t="shared" si="11"/>
        <v>1</v>
      </c>
      <c r="F68" s="116">
        <f t="shared" si="14"/>
        <v>420</v>
      </c>
      <c r="G68" s="116">
        <f t="shared" si="15"/>
        <v>60</v>
      </c>
      <c r="H68" s="116">
        <f t="shared" si="12"/>
        <v>240</v>
      </c>
      <c r="I68" s="116">
        <f t="shared" si="13"/>
        <v>24</v>
      </c>
      <c r="J68" s="116">
        <f t="shared" si="16"/>
        <v>215</v>
      </c>
      <c r="K68" s="2">
        <f t="shared" si="17"/>
        <v>650</v>
      </c>
      <c r="M68" s="2">
        <v>23</v>
      </c>
      <c r="N68" s="31">
        <f t="shared" si="10"/>
        <v>34.000000000000099</v>
      </c>
      <c r="O68" s="31">
        <f t="shared" si="10"/>
        <v>40.000000000000099</v>
      </c>
      <c r="P68" s="31">
        <f t="shared" si="10"/>
        <v>85.333333333333471</v>
      </c>
      <c r="Q68" s="31">
        <f t="shared" si="10"/>
        <v>39.875</v>
      </c>
      <c r="R68" s="31">
        <f t="shared" si="10"/>
        <v>63</v>
      </c>
      <c r="S68" s="31">
        <f t="shared" si="10"/>
        <v>72</v>
      </c>
      <c r="T68" s="31">
        <f t="shared" si="10"/>
        <v>88.2</v>
      </c>
      <c r="U68" s="31">
        <f t="shared" si="10"/>
        <v>109.2</v>
      </c>
      <c r="V68" s="31">
        <f t="shared" si="10"/>
        <v>121.8</v>
      </c>
      <c r="W68" s="31">
        <f t="shared" si="10"/>
        <v>187.2</v>
      </c>
      <c r="X68" s="31">
        <f t="shared" si="10"/>
        <v>34.000000000000099</v>
      </c>
      <c r="Y68" s="31">
        <f t="shared" si="10"/>
        <v>40.000000000000099</v>
      </c>
      <c r="Z68" s="31">
        <f t="shared" si="10"/>
        <v>85.333333333333471</v>
      </c>
      <c r="AA68" s="31">
        <f t="shared" si="10"/>
        <v>39.875</v>
      </c>
      <c r="AB68" s="31">
        <f t="shared" si="10"/>
        <v>63</v>
      </c>
      <c r="AC68" s="31">
        <f t="shared" si="9"/>
        <v>72</v>
      </c>
      <c r="AD68" s="31">
        <f t="shared" si="9"/>
        <v>88.2</v>
      </c>
      <c r="AE68" s="31">
        <f t="shared" si="9"/>
        <v>109.2</v>
      </c>
      <c r="AF68" s="31">
        <f t="shared" si="9"/>
        <v>121.8</v>
      </c>
      <c r="AG68" s="31">
        <f t="shared" si="9"/>
        <v>187.2</v>
      </c>
      <c r="AH68" s="31">
        <f t="shared" si="9"/>
        <v>34.000000000000099</v>
      </c>
      <c r="AI68" s="31">
        <f t="shared" si="9"/>
        <v>40.000000000000099</v>
      </c>
      <c r="AJ68" s="31">
        <f t="shared" si="9"/>
        <v>85.333333333333471</v>
      </c>
      <c r="AK68" s="31">
        <f t="shared" si="9"/>
        <v>39.875</v>
      </c>
      <c r="AL68" s="31">
        <f t="shared" si="9"/>
        <v>63</v>
      </c>
      <c r="AM68" s="31">
        <f t="shared" si="9"/>
        <v>72</v>
      </c>
      <c r="AN68" s="31">
        <f t="shared" si="9"/>
        <v>88.2</v>
      </c>
      <c r="AO68" s="31">
        <f t="shared" si="9"/>
        <v>109.2</v>
      </c>
      <c r="AP68" s="31">
        <f t="shared" si="9"/>
        <v>121.8</v>
      </c>
      <c r="AQ68" s="31">
        <f t="shared" si="9"/>
        <v>187.2</v>
      </c>
    </row>
    <row r="69" spans="2:43" x14ac:dyDescent="0.3">
      <c r="B69" s="2" t="s">
        <v>1794</v>
      </c>
      <c r="C69" s="2">
        <v>120</v>
      </c>
      <c r="D69" s="2">
        <v>8</v>
      </c>
      <c r="E69" s="2">
        <f t="shared" si="11"/>
        <v>0.95</v>
      </c>
      <c r="F69" s="2">
        <f t="shared" si="14"/>
        <v>840</v>
      </c>
      <c r="G69" s="2">
        <f t="shared" si="15"/>
        <v>120</v>
      </c>
      <c r="H69" s="2">
        <f t="shared" si="12"/>
        <v>442</v>
      </c>
      <c r="I69" s="2">
        <f t="shared" si="13"/>
        <v>42</v>
      </c>
      <c r="J69" s="2">
        <f t="shared" si="16"/>
        <v>400</v>
      </c>
      <c r="K69" s="2">
        <f t="shared" si="17"/>
        <v>1200</v>
      </c>
      <c r="M69" s="2">
        <v>24</v>
      </c>
      <c r="N69" s="31">
        <f t="shared" si="10"/>
        <v>34.000000000000099</v>
      </c>
      <c r="O69" s="31">
        <f t="shared" si="10"/>
        <v>40.000000000000099</v>
      </c>
      <c r="P69" s="31">
        <f t="shared" si="10"/>
        <v>85.333333333333471</v>
      </c>
      <c r="Q69" s="31">
        <f t="shared" si="10"/>
        <v>39.875</v>
      </c>
      <c r="R69" s="31">
        <f t="shared" si="10"/>
        <v>63</v>
      </c>
      <c r="S69" s="31">
        <f t="shared" si="10"/>
        <v>72</v>
      </c>
      <c r="T69" s="31">
        <f t="shared" si="10"/>
        <v>88.2</v>
      </c>
      <c r="U69" s="31">
        <f t="shared" si="10"/>
        <v>109.2</v>
      </c>
      <c r="V69" s="31">
        <f t="shared" si="10"/>
        <v>121.8</v>
      </c>
      <c r="W69" s="31">
        <f t="shared" si="10"/>
        <v>187.2</v>
      </c>
      <c r="X69" s="31">
        <f t="shared" si="10"/>
        <v>34.000000000000099</v>
      </c>
      <c r="Y69" s="31">
        <f t="shared" si="10"/>
        <v>40.000000000000099</v>
      </c>
      <c r="Z69" s="31">
        <f t="shared" si="10"/>
        <v>85.333333333333471</v>
      </c>
      <c r="AA69" s="31">
        <f t="shared" si="10"/>
        <v>39.875</v>
      </c>
      <c r="AB69" s="31">
        <f t="shared" si="10"/>
        <v>63</v>
      </c>
      <c r="AC69" s="31">
        <f t="shared" si="9"/>
        <v>72</v>
      </c>
      <c r="AD69" s="31">
        <f t="shared" si="9"/>
        <v>88.2</v>
      </c>
      <c r="AE69" s="31">
        <f t="shared" si="9"/>
        <v>109.2</v>
      </c>
      <c r="AF69" s="31">
        <f t="shared" si="9"/>
        <v>121.8</v>
      </c>
      <c r="AG69" s="31">
        <f t="shared" si="9"/>
        <v>187.2</v>
      </c>
      <c r="AH69" s="31">
        <f t="shared" si="9"/>
        <v>34.000000000000099</v>
      </c>
      <c r="AI69" s="31">
        <f t="shared" si="9"/>
        <v>40.000000000000099</v>
      </c>
      <c r="AJ69" s="31">
        <f t="shared" si="9"/>
        <v>85.333333333333471</v>
      </c>
      <c r="AK69" s="31">
        <f t="shared" si="9"/>
        <v>39.875</v>
      </c>
      <c r="AL69" s="31">
        <f t="shared" si="9"/>
        <v>63</v>
      </c>
      <c r="AM69" s="31">
        <f t="shared" si="9"/>
        <v>72</v>
      </c>
      <c r="AN69" s="31">
        <f t="shared" si="9"/>
        <v>88.2</v>
      </c>
      <c r="AO69" s="31">
        <f t="shared" si="9"/>
        <v>109.2</v>
      </c>
      <c r="AP69" s="31">
        <f t="shared" si="9"/>
        <v>121.8</v>
      </c>
      <c r="AQ69" s="31">
        <f t="shared" si="9"/>
        <v>187.2</v>
      </c>
    </row>
    <row r="70" spans="2:43" x14ac:dyDescent="0.3">
      <c r="B70" s="2" t="s">
        <v>1795</v>
      </c>
      <c r="C70" s="2">
        <v>480</v>
      </c>
      <c r="D70" s="2">
        <v>8</v>
      </c>
      <c r="E70" s="2">
        <f t="shared" si="11"/>
        <v>0.9</v>
      </c>
      <c r="F70" s="2">
        <f t="shared" si="14"/>
        <v>3360</v>
      </c>
      <c r="G70" s="2">
        <f t="shared" si="15"/>
        <v>480</v>
      </c>
      <c r="H70" s="2">
        <f t="shared" si="12"/>
        <v>1399</v>
      </c>
      <c r="I70" s="2">
        <f t="shared" si="13"/>
        <v>135</v>
      </c>
      <c r="J70" s="2">
        <f t="shared" si="16"/>
        <v>1265</v>
      </c>
      <c r="K70" s="2">
        <f t="shared" si="17"/>
        <v>3790</v>
      </c>
    </row>
    <row r="71" spans="2:43" x14ac:dyDescent="0.3">
      <c r="M71" s="352" t="s">
        <v>1796</v>
      </c>
      <c r="N71" s="353"/>
      <c r="O71" s="353"/>
      <c r="P71" s="353"/>
      <c r="Q71" s="353"/>
      <c r="R71" s="353"/>
      <c r="S71" s="354"/>
    </row>
    <row r="72" spans="2:43" x14ac:dyDescent="0.3">
      <c r="M72" s="2" t="s">
        <v>377</v>
      </c>
      <c r="N72" s="2" t="s">
        <v>268</v>
      </c>
      <c r="O72" s="2" t="s">
        <v>273</v>
      </c>
      <c r="P72" s="2" t="s">
        <v>511</v>
      </c>
      <c r="Q72" s="2" t="s">
        <v>1797</v>
      </c>
      <c r="R72" s="2" t="s">
        <v>1798</v>
      </c>
      <c r="S72" s="2" t="s">
        <v>1799</v>
      </c>
      <c r="U72" s="103" t="s">
        <v>1800</v>
      </c>
      <c r="V72" s="103" t="s">
        <v>1801</v>
      </c>
      <c r="W72" s="103" t="s">
        <v>1802</v>
      </c>
      <c r="X72" s="103" t="s">
        <v>1803</v>
      </c>
      <c r="Y72" s="103" t="s">
        <v>1804</v>
      </c>
      <c r="Z72" s="84" t="s">
        <v>1805</v>
      </c>
      <c r="AA72" s="84" t="s">
        <v>1804</v>
      </c>
    </row>
    <row r="73" spans="2:43" ht="16.5" x14ac:dyDescent="0.35">
      <c r="B73" s="126" t="s">
        <v>1806</v>
      </c>
      <c r="M73" s="2">
        <v>1</v>
      </c>
      <c r="N73" s="42">
        <f>[1]基础经济系数!G83</f>
        <v>200</v>
      </c>
      <c r="O73" s="34">
        <f>基础经济系数!$C$7</f>
        <v>0.83333333333333404</v>
      </c>
      <c r="P73" s="2">
        <f>O73*0.6</f>
        <v>0.50000000000000044</v>
      </c>
      <c r="Q73" s="42">
        <f>AVERAGE($N$73:$N$96)*0.6</f>
        <v>252.375</v>
      </c>
      <c r="R73" s="34">
        <f t="shared" ref="R73:R96" si="18">O73*2.1</f>
        <v>1.7500000000000016</v>
      </c>
      <c r="S73" s="2">
        <f>P73</f>
        <v>0.50000000000000044</v>
      </c>
      <c r="U73" s="2">
        <v>100</v>
      </c>
      <c r="V73" s="2">
        <v>0.94</v>
      </c>
      <c r="W73" s="2">
        <f>ROUND(U73*Q75*V73/X73,0)*X73</f>
        <v>36000</v>
      </c>
      <c r="X73" s="2">
        <v>4000</v>
      </c>
      <c r="Y73" s="2">
        <f>W73/U73</f>
        <v>360</v>
      </c>
      <c r="Z73" s="2">
        <v>4500</v>
      </c>
      <c r="AA73" s="2">
        <f>Z73/U73</f>
        <v>45</v>
      </c>
      <c r="AB73" s="1">
        <f>1/AA73</f>
        <v>2.2222222222222223E-2</v>
      </c>
    </row>
    <row r="74" spans="2:43" x14ac:dyDescent="0.3">
      <c r="B74" s="101" t="s">
        <v>1807</v>
      </c>
      <c r="C74" s="101" t="s">
        <v>372</v>
      </c>
      <c r="D74" s="101" t="s">
        <v>1808</v>
      </c>
      <c r="E74" s="101" t="s">
        <v>266</v>
      </c>
      <c r="M74" s="2">
        <v>2</v>
      </c>
      <c r="N74" s="42">
        <f>[1]基础经济系数!G84</f>
        <v>216</v>
      </c>
      <c r="O74" s="34">
        <f>基础经济系数!$C$7</f>
        <v>0.83333333333333404</v>
      </c>
      <c r="P74" s="2">
        <f t="shared" ref="P74:P96" si="19">O74*0.6</f>
        <v>0.50000000000000044</v>
      </c>
      <c r="Q74" s="42">
        <f t="shared" ref="Q74:Q96" si="20">MAX($N$73:$N$96)*0.6</f>
        <v>393</v>
      </c>
      <c r="R74" s="34">
        <f t="shared" si="18"/>
        <v>1.7500000000000016</v>
      </c>
      <c r="S74" s="2">
        <f t="shared" ref="S74:S96" si="21">P74</f>
        <v>0.50000000000000044</v>
      </c>
      <c r="U74" s="2">
        <v>200</v>
      </c>
      <c r="V74" s="2">
        <v>0.95</v>
      </c>
      <c r="W74" s="2">
        <f>ROUND(U74*Q76*V74/X74,0)*X74</f>
        <v>75000</v>
      </c>
      <c r="X74" s="2">
        <v>5000</v>
      </c>
      <c r="Y74" s="2">
        <f>W74/U74</f>
        <v>375</v>
      </c>
      <c r="Z74" s="2">
        <v>9500</v>
      </c>
      <c r="AA74" s="2">
        <f>Z74/U74</f>
        <v>47.5</v>
      </c>
      <c r="AB74" s="1">
        <f>1/AA74</f>
        <v>2.1052631578947368E-2</v>
      </c>
    </row>
    <row r="75" spans="2:43" x14ac:dyDescent="0.3">
      <c r="B75" s="2">
        <v>1</v>
      </c>
      <c r="C75" s="2">
        <v>225</v>
      </c>
      <c r="D75" s="33">
        <v>2.99</v>
      </c>
      <c r="E75" s="2">
        <f t="shared" ref="E75:E80" si="22">C75/D75</f>
        <v>75.250836120401331</v>
      </c>
      <c r="M75" s="2">
        <v>3</v>
      </c>
      <c r="N75" s="42">
        <f>[1]基础经济系数!G85</f>
        <v>234</v>
      </c>
      <c r="O75" s="34">
        <f>基础经济系数!$C$7</f>
        <v>0.83333333333333404</v>
      </c>
      <c r="P75" s="2">
        <f t="shared" si="19"/>
        <v>0.50000000000000044</v>
      </c>
      <c r="Q75" s="42">
        <f t="shared" si="20"/>
        <v>393</v>
      </c>
      <c r="R75" s="34">
        <f t="shared" si="18"/>
        <v>1.7500000000000016</v>
      </c>
      <c r="S75" s="2">
        <f t="shared" si="21"/>
        <v>0.50000000000000044</v>
      </c>
      <c r="U75" s="2">
        <v>500</v>
      </c>
      <c r="V75" s="2">
        <v>0.97</v>
      </c>
      <c r="W75" s="2">
        <f>ROUND(U75*Q76*V75/X75,0)*X75</f>
        <v>190000</v>
      </c>
      <c r="X75" s="2">
        <v>5000</v>
      </c>
      <c r="Y75" s="2">
        <f>W75/U75</f>
        <v>380</v>
      </c>
      <c r="Z75" s="2">
        <v>24000</v>
      </c>
      <c r="AA75" s="2">
        <f>Z75/U75</f>
        <v>48</v>
      </c>
      <c r="AB75" s="1">
        <f>1/AA75</f>
        <v>2.0833333333333332E-2</v>
      </c>
    </row>
    <row r="76" spans="2:43" x14ac:dyDescent="0.3">
      <c r="B76" s="2">
        <v>2</v>
      </c>
      <c r="C76" s="2">
        <v>400</v>
      </c>
      <c r="D76" s="33">
        <v>4.99</v>
      </c>
      <c r="E76" s="2">
        <f t="shared" si="22"/>
        <v>80.160320641282567</v>
      </c>
      <c r="M76" s="2">
        <v>4</v>
      </c>
      <c r="N76" s="42">
        <f>[1]基础经济系数!G86</f>
        <v>250</v>
      </c>
      <c r="O76" s="34">
        <f>基础经济系数!$C$7</f>
        <v>0.83333333333333404</v>
      </c>
      <c r="P76" s="2">
        <f t="shared" si="19"/>
        <v>0.50000000000000044</v>
      </c>
      <c r="Q76" s="42">
        <f t="shared" si="20"/>
        <v>393</v>
      </c>
      <c r="R76" s="34">
        <f t="shared" si="18"/>
        <v>1.7500000000000016</v>
      </c>
      <c r="S76" s="2">
        <f t="shared" si="21"/>
        <v>0.50000000000000044</v>
      </c>
      <c r="U76" s="2">
        <v>1000</v>
      </c>
      <c r="V76" s="2">
        <v>1.01</v>
      </c>
      <c r="W76" s="2">
        <f>ROUND(U76*Q77*V76/X76,0)*X76</f>
        <v>400000</v>
      </c>
      <c r="X76" s="2">
        <v>10000</v>
      </c>
      <c r="Y76" s="2">
        <f>W76/U76</f>
        <v>400</v>
      </c>
      <c r="Z76" s="2">
        <v>50000</v>
      </c>
      <c r="AA76" s="2">
        <f>Z76/U76</f>
        <v>50</v>
      </c>
      <c r="AB76" s="1">
        <f>1/AA76</f>
        <v>0.02</v>
      </c>
    </row>
    <row r="77" spans="2:43" x14ac:dyDescent="0.3">
      <c r="B77" s="2">
        <v>3</v>
      </c>
      <c r="C77" s="2">
        <v>850</v>
      </c>
      <c r="D77" s="33">
        <v>9.99</v>
      </c>
      <c r="E77" s="2">
        <f t="shared" si="22"/>
        <v>85.085085085085083</v>
      </c>
      <c r="M77" s="2">
        <v>5</v>
      </c>
      <c r="N77" s="42">
        <f>[1]基础经济系数!G87</f>
        <v>266</v>
      </c>
      <c r="O77" s="34">
        <f>基础经济系数!$C$7</f>
        <v>0.83333333333333404</v>
      </c>
      <c r="P77" s="2">
        <f t="shared" si="19"/>
        <v>0.50000000000000044</v>
      </c>
      <c r="Q77" s="42">
        <f t="shared" si="20"/>
        <v>393</v>
      </c>
      <c r="R77" s="34">
        <f t="shared" si="18"/>
        <v>1.7500000000000016</v>
      </c>
      <c r="S77" s="2">
        <f t="shared" si="21"/>
        <v>0.50000000000000044</v>
      </c>
    </row>
    <row r="78" spans="2:43" x14ac:dyDescent="0.3">
      <c r="B78" s="2">
        <v>4</v>
      </c>
      <c r="C78" s="2">
        <v>1800</v>
      </c>
      <c r="D78" s="33">
        <v>19.989999999999998</v>
      </c>
      <c r="E78" s="2">
        <f t="shared" si="22"/>
        <v>90.045022511255638</v>
      </c>
      <c r="M78" s="2">
        <v>6</v>
      </c>
      <c r="N78" s="42">
        <f>[1]基础经济系数!G88</f>
        <v>284</v>
      </c>
      <c r="O78" s="34">
        <f>基础经济系数!$C$7</f>
        <v>0.83333333333333404</v>
      </c>
      <c r="P78" s="2">
        <f t="shared" si="19"/>
        <v>0.50000000000000044</v>
      </c>
      <c r="Q78" s="42">
        <f t="shared" si="20"/>
        <v>393</v>
      </c>
      <c r="R78" s="34">
        <f t="shared" si="18"/>
        <v>1.7500000000000016</v>
      </c>
      <c r="S78" s="2">
        <f t="shared" si="21"/>
        <v>0.50000000000000044</v>
      </c>
    </row>
    <row r="79" spans="2:43" x14ac:dyDescent="0.3">
      <c r="B79" s="2">
        <v>5</v>
      </c>
      <c r="C79" s="2">
        <v>4750</v>
      </c>
      <c r="D79" s="33">
        <v>49.99</v>
      </c>
      <c r="E79" s="2">
        <f t="shared" si="22"/>
        <v>95.019003800760146</v>
      </c>
      <c r="M79" s="2">
        <v>7</v>
      </c>
      <c r="N79" s="42">
        <f>[1]基础经济系数!G89</f>
        <v>300</v>
      </c>
      <c r="O79" s="34">
        <f>基础经济系数!$C$7</f>
        <v>0.83333333333333404</v>
      </c>
      <c r="P79" s="2">
        <f t="shared" si="19"/>
        <v>0.50000000000000044</v>
      </c>
      <c r="Q79" s="42">
        <f t="shared" si="20"/>
        <v>393</v>
      </c>
      <c r="R79" s="34">
        <f t="shared" si="18"/>
        <v>1.7500000000000016</v>
      </c>
      <c r="S79" s="2">
        <f t="shared" si="21"/>
        <v>0.50000000000000044</v>
      </c>
    </row>
    <row r="80" spans="2:43" x14ac:dyDescent="0.3">
      <c r="B80" s="2">
        <v>6</v>
      </c>
      <c r="C80" s="2">
        <v>10000</v>
      </c>
      <c r="D80" s="33">
        <v>99.99</v>
      </c>
      <c r="E80" s="2">
        <f t="shared" si="22"/>
        <v>100.01000100010002</v>
      </c>
      <c r="M80" s="2">
        <v>8</v>
      </c>
      <c r="N80" s="42">
        <f>[1]基础经济系数!G90</f>
        <v>316</v>
      </c>
      <c r="O80" s="34">
        <f>基础经济系数!$C$7</f>
        <v>0.83333333333333404</v>
      </c>
      <c r="P80" s="2">
        <f t="shared" si="19"/>
        <v>0.50000000000000044</v>
      </c>
      <c r="Q80" s="42">
        <f t="shared" si="20"/>
        <v>393</v>
      </c>
      <c r="R80" s="34">
        <f t="shared" si="18"/>
        <v>1.7500000000000016</v>
      </c>
      <c r="S80" s="2">
        <f t="shared" si="21"/>
        <v>0.50000000000000044</v>
      </c>
      <c r="U80" s="2" t="s">
        <v>1809</v>
      </c>
      <c r="V80" s="2" t="s">
        <v>1810</v>
      </c>
      <c r="W80" s="2" t="s">
        <v>1811</v>
      </c>
      <c r="X80" s="2" t="s">
        <v>1778</v>
      </c>
      <c r="Y80" s="2" t="s">
        <v>1812</v>
      </c>
    </row>
    <row r="81" spans="2:25" x14ac:dyDescent="0.3">
      <c r="M81" s="2">
        <v>9</v>
      </c>
      <c r="N81" s="42">
        <f>[1]基础经济系数!G91</f>
        <v>334</v>
      </c>
      <c r="O81" s="34">
        <f>基础经济系数!$C$7</f>
        <v>0.83333333333333404</v>
      </c>
      <c r="P81" s="2">
        <f t="shared" si="19"/>
        <v>0.50000000000000044</v>
      </c>
      <c r="Q81" s="42">
        <f t="shared" si="20"/>
        <v>393</v>
      </c>
      <c r="R81" s="34">
        <f t="shared" si="18"/>
        <v>1.7500000000000016</v>
      </c>
      <c r="S81" s="2">
        <f t="shared" si="21"/>
        <v>0.50000000000000044</v>
      </c>
      <c r="U81" s="2">
        <v>0.5</v>
      </c>
      <c r="V81" s="2">
        <f>U81*[1]基础经济系数!$C$9</f>
        <v>100</v>
      </c>
      <c r="W81" s="2">
        <f>V81*$S$73</f>
        <v>50.000000000000043</v>
      </c>
      <c r="X81" s="21">
        <v>1.2</v>
      </c>
      <c r="Y81" s="2">
        <f>ROUND(X81*W81/5,0)*5</f>
        <v>60</v>
      </c>
    </row>
    <row r="82" spans="2:25" x14ac:dyDescent="0.3">
      <c r="B82" s="107" t="s">
        <v>1813</v>
      </c>
      <c r="M82" s="2">
        <v>10</v>
      </c>
      <c r="N82" s="42">
        <f>[1]基础经济系数!G92</f>
        <v>350</v>
      </c>
      <c r="O82" s="34">
        <f>基础经济系数!$C$7</f>
        <v>0.83333333333333404</v>
      </c>
      <c r="P82" s="2">
        <f t="shared" si="19"/>
        <v>0.50000000000000044</v>
      </c>
      <c r="Q82" s="42">
        <f t="shared" si="20"/>
        <v>393</v>
      </c>
      <c r="R82" s="34">
        <f t="shared" si="18"/>
        <v>1.7500000000000016</v>
      </c>
      <c r="S82" s="2">
        <f t="shared" si="21"/>
        <v>0.50000000000000044</v>
      </c>
      <c r="U82" s="2">
        <v>1.5</v>
      </c>
      <c r="V82" s="2">
        <f>U82*[1]基础经济系数!$C$9</f>
        <v>300</v>
      </c>
      <c r="W82" s="2">
        <f>V82*$S$73</f>
        <v>150.00000000000014</v>
      </c>
      <c r="X82" s="21">
        <v>1</v>
      </c>
      <c r="Y82" s="2">
        <f>ROUND(X82*W82/5,0)*5</f>
        <v>150</v>
      </c>
    </row>
    <row r="83" spans="2:25" x14ac:dyDescent="0.3">
      <c r="B83" s="101" t="s">
        <v>1807</v>
      </c>
      <c r="C83" s="101" t="s">
        <v>1814</v>
      </c>
      <c r="D83" s="101" t="s">
        <v>1808</v>
      </c>
      <c r="E83" s="101" t="s">
        <v>317</v>
      </c>
      <c r="F83" s="101" t="s">
        <v>1815</v>
      </c>
      <c r="M83" s="2">
        <v>11</v>
      </c>
      <c r="N83" s="42">
        <f>[1]基础经济系数!G93</f>
        <v>366</v>
      </c>
      <c r="O83" s="34">
        <f>基础经济系数!$C$7</f>
        <v>0.83333333333333404</v>
      </c>
      <c r="P83" s="2">
        <f t="shared" si="19"/>
        <v>0.50000000000000044</v>
      </c>
      <c r="Q83" s="42">
        <f t="shared" si="20"/>
        <v>393</v>
      </c>
      <c r="R83" s="34">
        <f t="shared" si="18"/>
        <v>1.7500000000000016</v>
      </c>
      <c r="S83" s="2">
        <f t="shared" si="21"/>
        <v>0.50000000000000044</v>
      </c>
      <c r="U83" s="2">
        <v>3</v>
      </c>
      <c r="V83" s="2">
        <f>U83*[1]基础经济系数!$C$9</f>
        <v>600</v>
      </c>
      <c r="W83" s="2">
        <f>V83*$S$73</f>
        <v>300.00000000000028</v>
      </c>
      <c r="X83" s="21">
        <v>0.89</v>
      </c>
      <c r="Y83" s="2">
        <f>ROUND(X83*W83/5,0)*5</f>
        <v>265</v>
      </c>
    </row>
    <row r="84" spans="2:25" x14ac:dyDescent="0.3">
      <c r="B84" s="2">
        <v>1</v>
      </c>
      <c r="C84" s="2">
        <v>600</v>
      </c>
      <c r="D84" s="2">
        <v>9.99</v>
      </c>
      <c r="E84" s="2">
        <v>850</v>
      </c>
      <c r="F84" s="2">
        <f>E84/C84</f>
        <v>1.4166666666666667</v>
      </c>
      <c r="M84" s="2">
        <v>12</v>
      </c>
      <c r="N84" s="42">
        <f>[1]基础经济系数!G94</f>
        <v>384</v>
      </c>
      <c r="O84" s="34">
        <f>基础经济系数!$C$7</f>
        <v>0.83333333333333404</v>
      </c>
      <c r="P84" s="2">
        <f t="shared" si="19"/>
        <v>0.50000000000000044</v>
      </c>
      <c r="Q84" s="42">
        <f t="shared" si="20"/>
        <v>393</v>
      </c>
      <c r="R84" s="34">
        <f t="shared" si="18"/>
        <v>1.7500000000000016</v>
      </c>
      <c r="S84" s="2">
        <f t="shared" si="21"/>
        <v>0.50000000000000044</v>
      </c>
      <c r="U84" s="2">
        <v>5</v>
      </c>
      <c r="V84" s="2">
        <f>U84*[1]基础经济系数!$C$9</f>
        <v>1000</v>
      </c>
      <c r="W84" s="2">
        <f>V84*$S$73</f>
        <v>500.00000000000045</v>
      </c>
      <c r="X84" s="21">
        <v>0.8</v>
      </c>
      <c r="Y84" s="2">
        <f>ROUND(X84*W84/5,0)*5</f>
        <v>400</v>
      </c>
    </row>
    <row r="85" spans="2:25" x14ac:dyDescent="0.3">
      <c r="B85" s="2">
        <v>2</v>
      </c>
      <c r="C85" s="2">
        <v>1980</v>
      </c>
      <c r="D85" s="2">
        <v>29.99</v>
      </c>
      <c r="E85" s="2">
        <f>D85/D79*C79</f>
        <v>2849.619923984797</v>
      </c>
      <c r="F85" s="2">
        <f>E85/C85</f>
        <v>1.4392019818105035</v>
      </c>
      <c r="M85" s="2">
        <v>13</v>
      </c>
      <c r="N85" s="42">
        <f>[1]基础经济系数!G95</f>
        <v>400</v>
      </c>
      <c r="O85" s="34">
        <f>基础经济系数!$C$7</f>
        <v>0.83333333333333404</v>
      </c>
      <c r="P85" s="2">
        <f t="shared" si="19"/>
        <v>0.50000000000000044</v>
      </c>
      <c r="Q85" s="42">
        <f t="shared" si="20"/>
        <v>393</v>
      </c>
      <c r="R85" s="34">
        <f t="shared" si="18"/>
        <v>1.7500000000000016</v>
      </c>
      <c r="S85" s="2">
        <f t="shared" si="21"/>
        <v>0.50000000000000044</v>
      </c>
    </row>
    <row r="86" spans="2:25" x14ac:dyDescent="0.3">
      <c r="M86" s="2">
        <v>14</v>
      </c>
      <c r="N86" s="42">
        <f>[1]基础经济系数!G96</f>
        <v>470</v>
      </c>
      <c r="O86" s="34">
        <f>基础经济系数!$C$7</f>
        <v>0.83333333333333404</v>
      </c>
      <c r="P86" s="2">
        <f t="shared" si="19"/>
        <v>0.50000000000000044</v>
      </c>
      <c r="Q86" s="42">
        <f t="shared" si="20"/>
        <v>393</v>
      </c>
      <c r="R86" s="34">
        <f t="shared" si="18"/>
        <v>1.7500000000000016</v>
      </c>
      <c r="S86" s="2">
        <f t="shared" si="21"/>
        <v>0.50000000000000044</v>
      </c>
    </row>
    <row r="87" spans="2:25" x14ac:dyDescent="0.3">
      <c r="M87" s="2">
        <v>15</v>
      </c>
      <c r="N87" s="42">
        <f>[1]基础经济系数!G97</f>
        <v>490</v>
      </c>
      <c r="O87" s="34">
        <f>基础经济系数!$C$7</f>
        <v>0.83333333333333404</v>
      </c>
      <c r="P87" s="2">
        <f t="shared" si="19"/>
        <v>0.50000000000000044</v>
      </c>
      <c r="Q87" s="42">
        <f t="shared" si="20"/>
        <v>393</v>
      </c>
      <c r="R87" s="34">
        <f t="shared" si="18"/>
        <v>1.7500000000000016</v>
      </c>
      <c r="S87" s="2">
        <f t="shared" si="21"/>
        <v>0.50000000000000044</v>
      </c>
    </row>
    <row r="88" spans="2:25" x14ac:dyDescent="0.3">
      <c r="B88" s="107" t="s">
        <v>1816</v>
      </c>
      <c r="M88" s="2">
        <v>16</v>
      </c>
      <c r="N88" s="42">
        <f>[1]基础经济系数!G98</f>
        <v>505</v>
      </c>
      <c r="O88" s="34">
        <f>基础经济系数!$C$7</f>
        <v>0.83333333333333404</v>
      </c>
      <c r="P88" s="2">
        <f t="shared" si="19"/>
        <v>0.50000000000000044</v>
      </c>
      <c r="Q88" s="42">
        <f t="shared" si="20"/>
        <v>393</v>
      </c>
      <c r="R88" s="34">
        <f t="shared" si="18"/>
        <v>1.7500000000000016</v>
      </c>
      <c r="S88" s="2">
        <f t="shared" si="21"/>
        <v>0.50000000000000044</v>
      </c>
    </row>
    <row r="89" spans="2:25" x14ac:dyDescent="0.3">
      <c r="B89" s="44" t="s">
        <v>1817</v>
      </c>
      <c r="C89" s="44" t="s">
        <v>1818</v>
      </c>
      <c r="D89" s="44" t="s">
        <v>1819</v>
      </c>
      <c r="E89" s="44" t="s">
        <v>1820</v>
      </c>
      <c r="F89" s="44" t="s">
        <v>1821</v>
      </c>
      <c r="G89" s="44" t="s">
        <v>1822</v>
      </c>
      <c r="H89" s="101" t="s">
        <v>1823</v>
      </c>
      <c r="I89" s="101" t="s">
        <v>1824</v>
      </c>
      <c r="M89" s="2">
        <v>17</v>
      </c>
      <c r="N89" s="42">
        <f>[1]基础经济系数!G99</f>
        <v>525</v>
      </c>
      <c r="O89" s="34">
        <f>基础经济系数!$C$7</f>
        <v>0.83333333333333404</v>
      </c>
      <c r="P89" s="2">
        <f t="shared" si="19"/>
        <v>0.50000000000000044</v>
      </c>
      <c r="Q89" s="42">
        <f t="shared" si="20"/>
        <v>393</v>
      </c>
      <c r="R89" s="34">
        <f t="shared" si="18"/>
        <v>1.7500000000000016</v>
      </c>
      <c r="S89" s="2">
        <f t="shared" si="21"/>
        <v>0.50000000000000044</v>
      </c>
    </row>
    <row r="90" spans="2:25" x14ac:dyDescent="0.3">
      <c r="B90" s="2" t="s">
        <v>317</v>
      </c>
      <c r="C90" s="2">
        <v>80</v>
      </c>
      <c r="D90" s="2" t="s">
        <v>268</v>
      </c>
      <c r="E90" s="2">
        <v>2000</v>
      </c>
      <c r="F90" s="2" t="s">
        <v>511</v>
      </c>
      <c r="G90" s="2">
        <v>30</v>
      </c>
      <c r="H90" s="31">
        <f>C90+E90*$AB$73+G90*$P$73</f>
        <v>139.44444444444446</v>
      </c>
      <c r="I90" s="31">
        <f>H90/E75</f>
        <v>1.8530617283950621</v>
      </c>
      <c r="M90" s="2">
        <v>18</v>
      </c>
      <c r="N90" s="42">
        <f>[1]基础经济系数!G100</f>
        <v>545</v>
      </c>
      <c r="O90" s="34">
        <f>基础经济系数!$C$7</f>
        <v>0.83333333333333404</v>
      </c>
      <c r="P90" s="2">
        <f t="shared" si="19"/>
        <v>0.50000000000000044</v>
      </c>
      <c r="Q90" s="42">
        <f t="shared" si="20"/>
        <v>393</v>
      </c>
      <c r="R90" s="34">
        <f t="shared" si="18"/>
        <v>1.7500000000000016</v>
      </c>
      <c r="S90" s="2">
        <f t="shared" si="21"/>
        <v>0.50000000000000044</v>
      </c>
    </row>
    <row r="91" spans="2:25" x14ac:dyDescent="0.3">
      <c r="B91" s="2" t="s">
        <v>317</v>
      </c>
      <c r="C91" s="2">
        <v>150</v>
      </c>
      <c r="D91" s="2" t="s">
        <v>268</v>
      </c>
      <c r="E91" s="2">
        <v>3000</v>
      </c>
      <c r="F91" s="2" t="s">
        <v>273</v>
      </c>
      <c r="G91" s="2">
        <v>30</v>
      </c>
      <c r="H91" s="31">
        <f>C91+E91*$AB$73+G91*$P$73</f>
        <v>231.66666666666669</v>
      </c>
      <c r="I91" s="31">
        <f>H91/E76</f>
        <v>2.8900416666666668</v>
      </c>
      <c r="M91" s="2">
        <v>19</v>
      </c>
      <c r="N91" s="42">
        <f>[1]基础经济系数!G101</f>
        <v>565</v>
      </c>
      <c r="O91" s="34">
        <f>基础经济系数!$C$7</f>
        <v>0.83333333333333404</v>
      </c>
      <c r="P91" s="2">
        <f t="shared" si="19"/>
        <v>0.50000000000000044</v>
      </c>
      <c r="Q91" s="42">
        <f t="shared" si="20"/>
        <v>393</v>
      </c>
      <c r="R91" s="34">
        <f t="shared" si="18"/>
        <v>1.7500000000000016</v>
      </c>
      <c r="S91" s="2">
        <f t="shared" si="21"/>
        <v>0.50000000000000044</v>
      </c>
    </row>
    <row r="92" spans="2:25" x14ac:dyDescent="0.3">
      <c r="B92" s="2" t="s">
        <v>317</v>
      </c>
      <c r="C92" s="2">
        <v>200</v>
      </c>
      <c r="D92" s="2" t="s">
        <v>268</v>
      </c>
      <c r="E92" s="2">
        <v>5000</v>
      </c>
      <c r="F92" s="2" t="s">
        <v>273</v>
      </c>
      <c r="G92" s="2">
        <v>50</v>
      </c>
      <c r="H92" s="31">
        <f>C92+E92*$AB$73+G92*$P$73</f>
        <v>336.11111111111109</v>
      </c>
      <c r="I92" s="31">
        <f>H92/E77</f>
        <v>3.9502941176470587</v>
      </c>
      <c r="M92" s="2">
        <v>20</v>
      </c>
      <c r="N92" s="42">
        <f>[1]基础经济系数!G102</f>
        <v>580</v>
      </c>
      <c r="O92" s="34">
        <f>基础经济系数!$C$7</f>
        <v>0.83333333333333404</v>
      </c>
      <c r="P92" s="2">
        <f t="shared" si="19"/>
        <v>0.50000000000000044</v>
      </c>
      <c r="Q92" s="42">
        <f t="shared" si="20"/>
        <v>393</v>
      </c>
      <c r="R92" s="34">
        <f t="shared" si="18"/>
        <v>1.7500000000000016</v>
      </c>
      <c r="S92" s="2">
        <f t="shared" si="21"/>
        <v>0.50000000000000044</v>
      </c>
    </row>
    <row r="93" spans="2:25" x14ac:dyDescent="0.3">
      <c r="B93" s="2" t="s">
        <v>317</v>
      </c>
      <c r="C93" s="2">
        <v>300</v>
      </c>
      <c r="D93" s="2" t="s">
        <v>268</v>
      </c>
      <c r="E93" s="2">
        <v>6000</v>
      </c>
      <c r="F93" s="2" t="s">
        <v>273</v>
      </c>
      <c r="G93" s="2">
        <v>50</v>
      </c>
      <c r="H93" s="31">
        <f>C93+E93*$AB$73+G93*$P$73</f>
        <v>458.33333333333337</v>
      </c>
      <c r="I93" s="31">
        <f>H93/E78</f>
        <v>5.090046296296296</v>
      </c>
      <c r="M93" s="2">
        <v>21</v>
      </c>
      <c r="N93" s="42">
        <f>[1]基础经济系数!G103</f>
        <v>600</v>
      </c>
      <c r="O93" s="34">
        <f>基础经济系数!$C$7</f>
        <v>0.83333333333333404</v>
      </c>
      <c r="P93" s="2">
        <f t="shared" si="19"/>
        <v>0.50000000000000044</v>
      </c>
      <c r="Q93" s="42">
        <f t="shared" si="20"/>
        <v>393</v>
      </c>
      <c r="R93" s="34">
        <f t="shared" si="18"/>
        <v>1.7500000000000016</v>
      </c>
      <c r="S93" s="2">
        <f t="shared" si="21"/>
        <v>0.50000000000000044</v>
      </c>
    </row>
    <row r="94" spans="2:25" x14ac:dyDescent="0.3">
      <c r="M94" s="2">
        <v>22</v>
      </c>
      <c r="N94" s="42">
        <f>[1]基础经济系数!G104</f>
        <v>620</v>
      </c>
      <c r="O94" s="34">
        <f>基础经济系数!$C$7</f>
        <v>0.83333333333333404</v>
      </c>
      <c r="P94" s="2">
        <f t="shared" si="19"/>
        <v>0.50000000000000044</v>
      </c>
      <c r="Q94" s="42">
        <f t="shared" si="20"/>
        <v>393</v>
      </c>
      <c r="R94" s="34">
        <f t="shared" si="18"/>
        <v>1.7500000000000016</v>
      </c>
      <c r="S94" s="2">
        <f t="shared" si="21"/>
        <v>0.50000000000000044</v>
      </c>
    </row>
    <row r="95" spans="2:25" x14ac:dyDescent="0.3">
      <c r="M95" s="2">
        <v>23</v>
      </c>
      <c r="N95" s="42">
        <f>[1]基础经济系数!G105</f>
        <v>640</v>
      </c>
      <c r="O95" s="34">
        <f>基础经济系数!$C$7</f>
        <v>0.83333333333333404</v>
      </c>
      <c r="P95" s="2">
        <f t="shared" si="19"/>
        <v>0.50000000000000044</v>
      </c>
      <c r="Q95" s="42">
        <f t="shared" si="20"/>
        <v>393</v>
      </c>
      <c r="R95" s="34">
        <f t="shared" si="18"/>
        <v>1.7500000000000016</v>
      </c>
      <c r="S95" s="2">
        <f t="shared" si="21"/>
        <v>0.50000000000000044</v>
      </c>
    </row>
    <row r="96" spans="2:25" x14ac:dyDescent="0.3">
      <c r="M96" s="2">
        <v>24</v>
      </c>
      <c r="N96" s="42">
        <f>[1]基础经济系数!G106</f>
        <v>655</v>
      </c>
      <c r="O96" s="34">
        <f>基础经济系数!$C$7</f>
        <v>0.83333333333333404</v>
      </c>
      <c r="P96" s="2">
        <f t="shared" si="19"/>
        <v>0.50000000000000044</v>
      </c>
      <c r="Q96" s="42">
        <f t="shared" si="20"/>
        <v>393</v>
      </c>
      <c r="R96" s="34">
        <f t="shared" si="18"/>
        <v>1.7500000000000016</v>
      </c>
      <c r="S96" s="2">
        <f t="shared" si="21"/>
        <v>0.50000000000000044</v>
      </c>
    </row>
    <row r="98" spans="13:25" x14ac:dyDescent="0.3">
      <c r="M98" s="352" t="s">
        <v>1825</v>
      </c>
      <c r="N98" s="353"/>
      <c r="O98" s="353"/>
      <c r="P98" s="354"/>
    </row>
    <row r="99" spans="13:25" x14ac:dyDescent="0.3">
      <c r="M99" s="39" t="s">
        <v>377</v>
      </c>
      <c r="N99" s="39" t="s">
        <v>495</v>
      </c>
      <c r="O99" s="39" t="s">
        <v>496</v>
      </c>
      <c r="P99" s="39" t="s">
        <v>497</v>
      </c>
      <c r="V99" s="2" t="s">
        <v>1826</v>
      </c>
      <c r="W99" s="2" t="s">
        <v>1775</v>
      </c>
      <c r="X99" s="2" t="s">
        <v>1801</v>
      </c>
      <c r="Y99" s="2" t="s">
        <v>1827</v>
      </c>
    </row>
    <row r="100" spans="13:25" x14ac:dyDescent="0.3">
      <c r="M100" s="2">
        <v>1</v>
      </c>
      <c r="N100" s="2">
        <f t="shared" ref="N100:P115" si="23">IFERROR(VLOOKUP(N$99,$B$3:$C$30,2,FALSE)*VLOOKUP($M100,$M$3:$AJ$15,MATCH(N$99,$M$3:$AJ$3,0),FALSE),N99)</f>
        <v>40</v>
      </c>
      <c r="O100" s="2">
        <f t="shared" si="23"/>
        <v>70</v>
      </c>
      <c r="P100" s="2">
        <f t="shared" si="23"/>
        <v>120</v>
      </c>
      <c r="Q100" s="1">
        <f t="shared" ref="Q100:R123" si="24">O100/N100</f>
        <v>1.75</v>
      </c>
      <c r="R100" s="1">
        <f t="shared" si="24"/>
        <v>1.7142857142857142</v>
      </c>
      <c r="V100" s="2" t="s">
        <v>495</v>
      </c>
      <c r="W100" s="2">
        <f>C28</f>
        <v>40</v>
      </c>
      <c r="X100" s="21">
        <v>1.3333333333333299</v>
      </c>
      <c r="Y100" s="2">
        <f>X100*W100</f>
        <v>53.333333333333201</v>
      </c>
    </row>
    <row r="101" spans="13:25" x14ac:dyDescent="0.3">
      <c r="M101" s="2">
        <v>2</v>
      </c>
      <c r="N101" s="2">
        <f t="shared" si="23"/>
        <v>38</v>
      </c>
      <c r="O101" s="2">
        <f t="shared" si="23"/>
        <v>70</v>
      </c>
      <c r="P101" s="2">
        <f t="shared" si="23"/>
        <v>120</v>
      </c>
      <c r="Q101" s="1">
        <f t="shared" si="24"/>
        <v>1.8421052631578947</v>
      </c>
      <c r="R101" s="1">
        <f t="shared" si="24"/>
        <v>1.7142857142857142</v>
      </c>
      <c r="V101" s="2" t="s">
        <v>496</v>
      </c>
      <c r="W101" s="2">
        <f>C29</f>
        <v>70</v>
      </c>
      <c r="X101" s="21">
        <v>1.3333333333333299</v>
      </c>
      <c r="Y101" s="2">
        <f>X101*W101</f>
        <v>93.333333333333101</v>
      </c>
    </row>
    <row r="102" spans="13:25" x14ac:dyDescent="0.3">
      <c r="M102" s="2">
        <v>3</v>
      </c>
      <c r="N102" s="2">
        <f t="shared" si="23"/>
        <v>36</v>
      </c>
      <c r="O102" s="2">
        <f t="shared" si="23"/>
        <v>70</v>
      </c>
      <c r="P102" s="2">
        <f t="shared" si="23"/>
        <v>120</v>
      </c>
      <c r="Q102" s="1">
        <f t="shared" si="24"/>
        <v>1.9444444444444444</v>
      </c>
      <c r="R102" s="1">
        <f t="shared" si="24"/>
        <v>1.7142857142857142</v>
      </c>
      <c r="V102" s="2" t="s">
        <v>497</v>
      </c>
      <c r="W102" s="2">
        <f>C30</f>
        <v>120</v>
      </c>
      <c r="X102" s="21">
        <v>1.3333333333333299</v>
      </c>
      <c r="Y102" s="2">
        <f>X102*W102</f>
        <v>159.9999999999996</v>
      </c>
    </row>
    <row r="103" spans="13:25" x14ac:dyDescent="0.3">
      <c r="M103" s="2">
        <v>4</v>
      </c>
      <c r="N103" s="2">
        <f t="shared" si="23"/>
        <v>34</v>
      </c>
      <c r="O103" s="2">
        <f t="shared" si="23"/>
        <v>67.55</v>
      </c>
      <c r="P103" s="2">
        <f t="shared" si="23"/>
        <v>120</v>
      </c>
      <c r="Q103" s="1">
        <f t="shared" si="24"/>
        <v>1.9867647058823528</v>
      </c>
      <c r="R103" s="1">
        <f t="shared" si="24"/>
        <v>1.7764618800888232</v>
      </c>
    </row>
    <row r="104" spans="13:25" x14ac:dyDescent="0.3">
      <c r="M104" s="2">
        <v>5</v>
      </c>
      <c r="N104" s="2">
        <f t="shared" si="23"/>
        <v>32</v>
      </c>
      <c r="O104" s="2">
        <f t="shared" si="23"/>
        <v>65.100000000000009</v>
      </c>
      <c r="P104" s="2">
        <f t="shared" si="23"/>
        <v>120</v>
      </c>
      <c r="Q104" s="1">
        <f t="shared" si="24"/>
        <v>2.0343750000000003</v>
      </c>
      <c r="R104" s="1">
        <f t="shared" si="24"/>
        <v>1.8433179723502302</v>
      </c>
    </row>
    <row r="105" spans="13:25" x14ac:dyDescent="0.3">
      <c r="M105" s="2">
        <v>6</v>
      </c>
      <c r="N105" s="2">
        <f t="shared" si="23"/>
        <v>30</v>
      </c>
      <c r="O105" s="2">
        <f t="shared" si="23"/>
        <v>62.65</v>
      </c>
      <c r="P105" s="2">
        <f t="shared" si="23"/>
        <v>117.6</v>
      </c>
      <c r="Q105" s="1">
        <f t="shared" si="24"/>
        <v>2.0883333333333334</v>
      </c>
      <c r="R105" s="1">
        <f t="shared" si="24"/>
        <v>1.8770949720670391</v>
      </c>
    </row>
    <row r="106" spans="13:25" x14ac:dyDescent="0.3">
      <c r="M106" s="2">
        <v>7</v>
      </c>
      <c r="N106" s="2">
        <f t="shared" si="23"/>
        <v>28</v>
      </c>
      <c r="O106" s="2">
        <f t="shared" si="23"/>
        <v>60.199999999999996</v>
      </c>
      <c r="P106" s="2">
        <f t="shared" si="23"/>
        <v>115.19999999999999</v>
      </c>
      <c r="Q106" s="1">
        <f t="shared" si="24"/>
        <v>2.15</v>
      </c>
      <c r="R106" s="1">
        <f t="shared" si="24"/>
        <v>1.9136212624584716</v>
      </c>
    </row>
    <row r="107" spans="13:25" x14ac:dyDescent="0.3">
      <c r="M107" s="2">
        <v>8</v>
      </c>
      <c r="N107" s="2">
        <f t="shared" si="23"/>
        <v>26</v>
      </c>
      <c r="O107" s="2">
        <f t="shared" si="23"/>
        <v>57.75</v>
      </c>
      <c r="P107" s="2">
        <f t="shared" si="23"/>
        <v>112.8</v>
      </c>
      <c r="Q107" s="1">
        <f t="shared" si="24"/>
        <v>2.2211538461538463</v>
      </c>
      <c r="R107" s="1">
        <f t="shared" si="24"/>
        <v>1.9532467532467532</v>
      </c>
    </row>
    <row r="108" spans="13:25" x14ac:dyDescent="0.3">
      <c r="M108" s="2">
        <v>9</v>
      </c>
      <c r="N108" s="2">
        <f t="shared" si="23"/>
        <v>24</v>
      </c>
      <c r="O108" s="2">
        <f t="shared" si="23"/>
        <v>55.300000000000004</v>
      </c>
      <c r="P108" s="2">
        <f t="shared" si="23"/>
        <v>110.4</v>
      </c>
      <c r="Q108" s="1">
        <f t="shared" si="24"/>
        <v>2.3041666666666667</v>
      </c>
      <c r="R108" s="1">
        <f t="shared" si="24"/>
        <v>1.996383363471971</v>
      </c>
    </row>
    <row r="109" spans="13:25" x14ac:dyDescent="0.3">
      <c r="M109" s="2">
        <v>10</v>
      </c>
      <c r="N109" s="2">
        <f t="shared" si="23"/>
        <v>22</v>
      </c>
      <c r="O109" s="2">
        <f t="shared" si="23"/>
        <v>52.85</v>
      </c>
      <c r="P109" s="2">
        <f t="shared" si="23"/>
        <v>108</v>
      </c>
      <c r="Q109" s="1">
        <f t="shared" si="24"/>
        <v>2.4022727272727273</v>
      </c>
      <c r="R109" s="1">
        <f t="shared" si="24"/>
        <v>2.0435193945127721</v>
      </c>
    </row>
    <row r="110" spans="13:25" x14ac:dyDescent="0.3">
      <c r="M110" s="2">
        <v>11</v>
      </c>
      <c r="N110" s="2">
        <f t="shared" si="23"/>
        <v>20</v>
      </c>
      <c r="O110" s="2">
        <f t="shared" si="23"/>
        <v>50.4</v>
      </c>
      <c r="P110" s="2">
        <f t="shared" si="23"/>
        <v>105.6</v>
      </c>
      <c r="Q110" s="1">
        <f t="shared" si="24"/>
        <v>2.52</v>
      </c>
      <c r="R110" s="1">
        <f t="shared" si="24"/>
        <v>2.0952380952380953</v>
      </c>
    </row>
    <row r="111" spans="13:25" x14ac:dyDescent="0.3">
      <c r="M111" s="2">
        <v>12</v>
      </c>
      <c r="N111" s="2">
        <f t="shared" si="23"/>
        <v>18</v>
      </c>
      <c r="O111" s="2">
        <f t="shared" si="23"/>
        <v>47.95</v>
      </c>
      <c r="P111" s="2">
        <f t="shared" si="23"/>
        <v>103.2</v>
      </c>
      <c r="Q111" s="1">
        <f t="shared" si="24"/>
        <v>2.6638888888888892</v>
      </c>
      <c r="R111" s="1">
        <f t="shared" si="24"/>
        <v>2.1522419186652764</v>
      </c>
    </row>
    <row r="112" spans="13:25" x14ac:dyDescent="0.3">
      <c r="M112" s="2">
        <v>13</v>
      </c>
      <c r="N112" s="2">
        <f t="shared" si="23"/>
        <v>18</v>
      </c>
      <c r="O112" s="2">
        <f t="shared" si="23"/>
        <v>47.95</v>
      </c>
      <c r="P112" s="2">
        <f t="shared" si="23"/>
        <v>103.2</v>
      </c>
      <c r="Q112" s="1">
        <f t="shared" si="24"/>
        <v>2.6638888888888892</v>
      </c>
      <c r="R112" s="1">
        <f t="shared" si="24"/>
        <v>2.1522419186652764</v>
      </c>
    </row>
    <row r="113" spans="13:18" x14ac:dyDescent="0.3">
      <c r="M113" s="2">
        <v>14</v>
      </c>
      <c r="N113" s="2">
        <f t="shared" si="23"/>
        <v>18</v>
      </c>
      <c r="O113" s="2">
        <f t="shared" si="23"/>
        <v>47.95</v>
      </c>
      <c r="P113" s="2">
        <f t="shared" si="23"/>
        <v>103.2</v>
      </c>
      <c r="Q113" s="1">
        <f t="shared" si="24"/>
        <v>2.6638888888888892</v>
      </c>
      <c r="R113" s="1">
        <f t="shared" si="24"/>
        <v>2.1522419186652764</v>
      </c>
    </row>
    <row r="114" spans="13:18" x14ac:dyDescent="0.3">
      <c r="M114" s="2">
        <v>15</v>
      </c>
      <c r="N114" s="2">
        <f t="shared" si="23"/>
        <v>18</v>
      </c>
      <c r="O114" s="2">
        <f t="shared" si="23"/>
        <v>47.95</v>
      </c>
      <c r="P114" s="2">
        <f t="shared" si="23"/>
        <v>103.2</v>
      </c>
      <c r="Q114" s="1">
        <f t="shared" si="24"/>
        <v>2.6638888888888892</v>
      </c>
      <c r="R114" s="1">
        <f t="shared" si="24"/>
        <v>2.1522419186652764</v>
      </c>
    </row>
    <row r="115" spans="13:18" x14ac:dyDescent="0.3">
      <c r="M115" s="2">
        <v>16</v>
      </c>
      <c r="N115" s="2">
        <f t="shared" si="23"/>
        <v>18</v>
      </c>
      <c r="O115" s="2">
        <f t="shared" si="23"/>
        <v>47.95</v>
      </c>
      <c r="P115" s="2">
        <f t="shared" si="23"/>
        <v>103.2</v>
      </c>
      <c r="Q115" s="1">
        <f t="shared" si="24"/>
        <v>2.6638888888888892</v>
      </c>
      <c r="R115" s="1">
        <f t="shared" si="24"/>
        <v>2.1522419186652764</v>
      </c>
    </row>
    <row r="116" spans="13:18" x14ac:dyDescent="0.3">
      <c r="M116" s="2">
        <v>17</v>
      </c>
      <c r="N116" s="2">
        <f t="shared" ref="N116:P123" si="25">IFERROR(VLOOKUP(N$99,$B$3:$C$30,2,FALSE)*VLOOKUP($M116,$M$3:$AJ$15,MATCH(N$99,$M$3:$AJ$3,0),FALSE),N115)</f>
        <v>18</v>
      </c>
      <c r="O116" s="2">
        <f t="shared" si="25"/>
        <v>47.95</v>
      </c>
      <c r="P116" s="2">
        <f t="shared" si="25"/>
        <v>103.2</v>
      </c>
      <c r="Q116" s="1">
        <f t="shared" si="24"/>
        <v>2.6638888888888892</v>
      </c>
      <c r="R116" s="1">
        <f t="shared" si="24"/>
        <v>2.1522419186652764</v>
      </c>
    </row>
    <row r="117" spans="13:18" x14ac:dyDescent="0.3">
      <c r="M117" s="2">
        <v>18</v>
      </c>
      <c r="N117" s="2">
        <f t="shared" si="25"/>
        <v>18</v>
      </c>
      <c r="O117" s="2">
        <f t="shared" si="25"/>
        <v>47.95</v>
      </c>
      <c r="P117" s="2">
        <f t="shared" si="25"/>
        <v>103.2</v>
      </c>
      <c r="Q117" s="1">
        <f t="shared" si="24"/>
        <v>2.6638888888888892</v>
      </c>
      <c r="R117" s="1">
        <f t="shared" si="24"/>
        <v>2.1522419186652764</v>
      </c>
    </row>
    <row r="118" spans="13:18" x14ac:dyDescent="0.3">
      <c r="M118" s="2">
        <v>19</v>
      </c>
      <c r="N118" s="2">
        <f t="shared" si="25"/>
        <v>18</v>
      </c>
      <c r="O118" s="2">
        <f t="shared" si="25"/>
        <v>47.95</v>
      </c>
      <c r="P118" s="2">
        <f t="shared" si="25"/>
        <v>103.2</v>
      </c>
      <c r="Q118" s="1">
        <f t="shared" si="24"/>
        <v>2.6638888888888892</v>
      </c>
      <c r="R118" s="1">
        <f t="shared" si="24"/>
        <v>2.1522419186652764</v>
      </c>
    </row>
    <row r="119" spans="13:18" x14ac:dyDescent="0.3">
      <c r="M119" s="2">
        <v>20</v>
      </c>
      <c r="N119" s="2">
        <f t="shared" si="25"/>
        <v>18</v>
      </c>
      <c r="O119" s="2">
        <f t="shared" si="25"/>
        <v>47.95</v>
      </c>
      <c r="P119" s="2">
        <f t="shared" si="25"/>
        <v>103.2</v>
      </c>
      <c r="Q119" s="1">
        <f t="shared" si="24"/>
        <v>2.6638888888888892</v>
      </c>
      <c r="R119" s="1">
        <f t="shared" si="24"/>
        <v>2.1522419186652764</v>
      </c>
    </row>
    <row r="120" spans="13:18" x14ac:dyDescent="0.3">
      <c r="M120" s="2">
        <v>21</v>
      </c>
      <c r="N120" s="2">
        <f t="shared" si="25"/>
        <v>18</v>
      </c>
      <c r="O120" s="2">
        <f t="shared" si="25"/>
        <v>47.95</v>
      </c>
      <c r="P120" s="2">
        <f t="shared" si="25"/>
        <v>103.2</v>
      </c>
      <c r="Q120" s="1">
        <f t="shared" si="24"/>
        <v>2.6638888888888892</v>
      </c>
      <c r="R120" s="1">
        <f t="shared" si="24"/>
        <v>2.1522419186652764</v>
      </c>
    </row>
    <row r="121" spans="13:18" x14ac:dyDescent="0.3">
      <c r="M121" s="2">
        <v>22</v>
      </c>
      <c r="N121" s="2">
        <f t="shared" si="25"/>
        <v>18</v>
      </c>
      <c r="O121" s="2">
        <f t="shared" si="25"/>
        <v>47.95</v>
      </c>
      <c r="P121" s="2">
        <f t="shared" si="25"/>
        <v>103.2</v>
      </c>
      <c r="Q121" s="1">
        <f t="shared" si="24"/>
        <v>2.6638888888888892</v>
      </c>
      <c r="R121" s="1">
        <f t="shared" si="24"/>
        <v>2.1522419186652764</v>
      </c>
    </row>
    <row r="122" spans="13:18" x14ac:dyDescent="0.3">
      <c r="M122" s="2">
        <v>23</v>
      </c>
      <c r="N122" s="2">
        <f t="shared" si="25"/>
        <v>18</v>
      </c>
      <c r="O122" s="2">
        <f t="shared" si="25"/>
        <v>47.95</v>
      </c>
      <c r="P122" s="2">
        <f t="shared" si="25"/>
        <v>103.2</v>
      </c>
      <c r="Q122" s="1">
        <f t="shared" si="24"/>
        <v>2.6638888888888892</v>
      </c>
      <c r="R122" s="1">
        <f t="shared" si="24"/>
        <v>2.1522419186652764</v>
      </c>
    </row>
    <row r="123" spans="13:18" x14ac:dyDescent="0.3">
      <c r="M123" s="2">
        <v>24</v>
      </c>
      <c r="N123" s="2">
        <f t="shared" si="25"/>
        <v>18</v>
      </c>
      <c r="O123" s="2">
        <f t="shared" si="25"/>
        <v>47.95</v>
      </c>
      <c r="P123" s="2">
        <f t="shared" si="25"/>
        <v>103.2</v>
      </c>
      <c r="Q123" s="1">
        <f t="shared" si="24"/>
        <v>2.6638888888888892</v>
      </c>
      <c r="R123" s="1">
        <f t="shared" si="24"/>
        <v>2.1522419186652764</v>
      </c>
    </row>
  </sheetData>
  <mergeCells count="8">
    <mergeCell ref="B49:F49"/>
    <mergeCell ref="M71:S71"/>
    <mergeCell ref="M98:P98"/>
    <mergeCell ref="B2:F2"/>
    <mergeCell ref="H2:K2"/>
    <mergeCell ref="M2:AJ2"/>
    <mergeCell ref="M17:AQ17"/>
    <mergeCell ref="M44:AQ44"/>
  </mergeCells>
  <phoneticPr fontId="32" type="noConversion"/>
  <pageMargins left="0.7" right="0.7" top="0.75" bottom="0.75" header="0.3" footer="0.3"/>
  <legacy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27"/>
  <dimension ref="B2:R684"/>
  <sheetViews>
    <sheetView topLeftCell="A639" workbookViewId="0">
      <selection activeCell="L671" sqref="L671"/>
    </sheetView>
  </sheetViews>
  <sheetFormatPr defaultColWidth="9" defaultRowHeight="14.25" x14ac:dyDescent="0.3"/>
  <cols>
    <col min="1" max="1" width="9" style="1"/>
    <col min="2" max="2" width="10.875" style="1" customWidth="1"/>
    <col min="3" max="11" width="9" style="1"/>
    <col min="12" max="12" width="21.875" style="1" customWidth="1"/>
    <col min="13" max="13" width="9" style="1"/>
    <col min="14" max="14" width="28.375" style="1" customWidth="1"/>
    <col min="15" max="15" width="15.125" style="1" customWidth="1"/>
    <col min="16" max="16384" width="9" style="1"/>
  </cols>
  <sheetData>
    <row r="2" spans="2:18" x14ac:dyDescent="0.3">
      <c r="B2" s="2" t="s">
        <v>1828</v>
      </c>
      <c r="C2" s="2" t="s">
        <v>1829</v>
      </c>
      <c r="L2" s="2" t="s">
        <v>1828</v>
      </c>
      <c r="M2" s="2" t="s">
        <v>1829</v>
      </c>
      <c r="N2" s="2" t="s">
        <v>1830</v>
      </c>
      <c r="R2" s="1" t="str">
        <f>L2</f>
        <v>货币名称</v>
      </c>
    </row>
    <row r="3" spans="2:18" x14ac:dyDescent="0.3">
      <c r="B3" s="2" t="s">
        <v>317</v>
      </c>
      <c r="C3" s="2">
        <v>101</v>
      </c>
      <c r="L3" s="2" t="s">
        <v>317</v>
      </c>
      <c r="M3" s="2">
        <v>101</v>
      </c>
      <c r="N3" s="2" t="s">
        <v>1831</v>
      </c>
      <c r="O3" s="1" t="s">
        <v>1832</v>
      </c>
      <c r="R3" s="1" t="str">
        <f t="shared" ref="R3:R42" si="0">L3</f>
        <v>钻石</v>
      </c>
    </row>
    <row r="4" spans="2:18" x14ac:dyDescent="0.3">
      <c r="B4" s="2" t="s">
        <v>268</v>
      </c>
      <c r="C4" s="2">
        <v>102</v>
      </c>
      <c r="L4" s="2" t="s">
        <v>268</v>
      </c>
      <c r="M4" s="2">
        <v>102</v>
      </c>
      <c r="N4" s="2" t="s">
        <v>1833</v>
      </c>
      <c r="O4" s="1" t="s">
        <v>1834</v>
      </c>
      <c r="R4" s="1" t="str">
        <f t="shared" si="0"/>
        <v>军费</v>
      </c>
    </row>
    <row r="5" spans="2:18" x14ac:dyDescent="0.3">
      <c r="B5" s="2" t="s">
        <v>1835</v>
      </c>
      <c r="C5" s="2">
        <v>103</v>
      </c>
      <c r="L5" s="2" t="s">
        <v>1835</v>
      </c>
      <c r="M5" s="2">
        <v>103</v>
      </c>
      <c r="N5" s="2" t="s">
        <v>1836</v>
      </c>
      <c r="R5" s="1" t="str">
        <f t="shared" si="0"/>
        <v>经验</v>
      </c>
    </row>
    <row r="6" spans="2:18" x14ac:dyDescent="0.3">
      <c r="B6" s="2" t="s">
        <v>1837</v>
      </c>
      <c r="C6" s="2">
        <v>104</v>
      </c>
      <c r="L6" s="2" t="s">
        <v>1837</v>
      </c>
      <c r="M6" s="2">
        <v>104</v>
      </c>
      <c r="N6" s="2" t="s">
        <v>1838</v>
      </c>
      <c r="R6" s="1" t="str">
        <f t="shared" si="0"/>
        <v>科技值</v>
      </c>
    </row>
    <row r="7" spans="2:18" x14ac:dyDescent="0.3">
      <c r="B7" s="2" t="s">
        <v>273</v>
      </c>
      <c r="C7" s="2">
        <v>105</v>
      </c>
      <c r="L7" s="2" t="s">
        <v>273</v>
      </c>
      <c r="M7" s="2">
        <v>105</v>
      </c>
      <c r="N7" s="2" t="s">
        <v>1839</v>
      </c>
      <c r="R7" s="1" t="str">
        <f t="shared" si="0"/>
        <v>钥匙</v>
      </c>
    </row>
    <row r="8" spans="2:18" x14ac:dyDescent="0.3">
      <c r="B8" s="2" t="s">
        <v>1840</v>
      </c>
      <c r="C8" s="2">
        <v>106</v>
      </c>
      <c r="L8" s="2" t="s">
        <v>1840</v>
      </c>
      <c r="M8" s="2">
        <v>106</v>
      </c>
      <c r="N8" s="2" t="s">
        <v>1841</v>
      </c>
      <c r="R8" s="1" t="str">
        <f t="shared" si="0"/>
        <v>联赛积分</v>
      </c>
    </row>
    <row r="9" spans="2:18" x14ac:dyDescent="0.3">
      <c r="B9" s="2" t="s">
        <v>1842</v>
      </c>
      <c r="C9" s="2">
        <v>107</v>
      </c>
      <c r="L9" s="2" t="s">
        <v>1842</v>
      </c>
      <c r="M9" s="2">
        <v>107</v>
      </c>
      <c r="N9" s="2" t="s">
        <v>1843</v>
      </c>
      <c r="R9" s="1" t="str">
        <f t="shared" si="0"/>
        <v>军团贡献值</v>
      </c>
    </row>
    <row r="10" spans="2:18" x14ac:dyDescent="0.3">
      <c r="B10" s="2" t="s">
        <v>277</v>
      </c>
      <c r="C10" s="2">
        <v>108</v>
      </c>
      <c r="L10" s="2" t="s">
        <v>277</v>
      </c>
      <c r="M10" s="2">
        <v>108</v>
      </c>
      <c r="N10" s="2" t="s">
        <v>1844</v>
      </c>
      <c r="R10" s="1" t="str">
        <f t="shared" si="0"/>
        <v>活跃值</v>
      </c>
    </row>
    <row r="11" spans="2:18" x14ac:dyDescent="0.3">
      <c r="B11" s="2" t="s">
        <v>1845</v>
      </c>
      <c r="C11" s="2">
        <v>109</v>
      </c>
      <c r="L11" s="2" t="s">
        <v>1845</v>
      </c>
      <c r="M11" s="2">
        <v>109</v>
      </c>
      <c r="N11" s="2" t="s">
        <v>1839</v>
      </c>
      <c r="R11" s="1" t="str">
        <f t="shared" si="0"/>
        <v>钥匙槽</v>
      </c>
    </row>
    <row r="12" spans="2:18" x14ac:dyDescent="0.3">
      <c r="B12" s="2" t="s">
        <v>1846</v>
      </c>
      <c r="C12" s="2">
        <v>110</v>
      </c>
      <c r="L12" s="2" t="s">
        <v>1846</v>
      </c>
      <c r="M12" s="2">
        <v>110</v>
      </c>
      <c r="N12" s="2" t="s">
        <v>1836</v>
      </c>
      <c r="R12" s="1" t="str">
        <f t="shared" si="0"/>
        <v>图鉴经验</v>
      </c>
    </row>
    <row r="13" spans="2:18" x14ac:dyDescent="0.3">
      <c r="B13" s="2" t="s">
        <v>511</v>
      </c>
      <c r="C13" s="2">
        <v>111</v>
      </c>
      <c r="L13" s="2" t="s">
        <v>511</v>
      </c>
      <c r="M13" s="2">
        <v>111</v>
      </c>
      <c r="N13" s="2" t="s">
        <v>1847</v>
      </c>
      <c r="O13" s="1" t="s">
        <v>1848</v>
      </c>
      <c r="R13" s="1" t="str">
        <f t="shared" si="0"/>
        <v>双倍钥匙</v>
      </c>
    </row>
    <row r="14" spans="2:18" x14ac:dyDescent="0.3">
      <c r="L14" s="25"/>
      <c r="M14" s="25"/>
      <c r="R14" s="1">
        <f t="shared" si="0"/>
        <v>0</v>
      </c>
    </row>
    <row r="15" spans="2:18" x14ac:dyDescent="0.3">
      <c r="B15" s="2" t="s">
        <v>599</v>
      </c>
      <c r="C15" s="2" t="s">
        <v>1849</v>
      </c>
      <c r="D15" s="2" t="s">
        <v>48</v>
      </c>
      <c r="E15" s="2" t="s">
        <v>1850</v>
      </c>
      <c r="F15" s="2" t="s">
        <v>1851</v>
      </c>
      <c r="L15" s="2" t="s">
        <v>1783</v>
      </c>
      <c r="M15" s="2" t="s">
        <v>48</v>
      </c>
      <c r="N15" s="2" t="s">
        <v>1830</v>
      </c>
      <c r="R15" s="1" t="str">
        <f t="shared" si="0"/>
        <v>道具名称</v>
      </c>
    </row>
    <row r="16" spans="2:18" x14ac:dyDescent="0.3">
      <c r="B16" s="39" t="s">
        <v>510</v>
      </c>
      <c r="C16" s="2">
        <v>1111</v>
      </c>
      <c r="D16" s="2">
        <f>C16+10000</f>
        <v>11111</v>
      </c>
      <c r="E16" s="2">
        <f>C16+50000</f>
        <v>51111</v>
      </c>
      <c r="F16" s="2">
        <f>C16+30000</f>
        <v>31111</v>
      </c>
      <c r="L16" s="2" t="s">
        <v>4267</v>
      </c>
      <c r="M16" s="2">
        <v>100301</v>
      </c>
      <c r="N16" s="2" t="s">
        <v>1852</v>
      </c>
      <c r="R16" s="1" t="str">
        <f t="shared" si="0"/>
        <v>3倍加速1</v>
      </c>
    </row>
    <row r="17" spans="2:18" x14ac:dyDescent="0.3">
      <c r="B17" s="2" t="s">
        <v>516</v>
      </c>
      <c r="C17" s="2">
        <v>1211</v>
      </c>
      <c r="D17" s="2">
        <f t="shared" ref="D17:D45" si="1">C17+10000</f>
        <v>11211</v>
      </c>
      <c r="E17" s="2">
        <f t="shared" ref="E17:E45" si="2">C17+50000</f>
        <v>51211</v>
      </c>
      <c r="F17" s="2">
        <f t="shared" ref="F17:F45" si="3">C17+30000</f>
        <v>31211</v>
      </c>
      <c r="L17" s="2" t="s">
        <v>4266</v>
      </c>
      <c r="M17" s="2">
        <v>100302</v>
      </c>
      <c r="N17" s="2" t="s">
        <v>1852</v>
      </c>
      <c r="O17" s="1" t="s">
        <v>1853</v>
      </c>
      <c r="R17" s="1" t="str">
        <f t="shared" si="0"/>
        <v>3倍加速2</v>
      </c>
    </row>
    <row r="18" spans="2:18" x14ac:dyDescent="0.3">
      <c r="B18" s="2" t="s">
        <v>607</v>
      </c>
      <c r="C18" s="2">
        <v>1221</v>
      </c>
      <c r="D18" s="2">
        <f t="shared" si="1"/>
        <v>11221</v>
      </c>
      <c r="E18" s="2">
        <f t="shared" si="2"/>
        <v>51221</v>
      </c>
      <c r="F18" s="2">
        <f t="shared" si="3"/>
        <v>31221</v>
      </c>
      <c r="L18" s="2" t="s">
        <v>1790</v>
      </c>
      <c r="M18" s="2">
        <v>100501</v>
      </c>
      <c r="N18" s="2" t="s">
        <v>1854</v>
      </c>
      <c r="R18" s="1" t="str">
        <f t="shared" si="0"/>
        <v>5倍加速1</v>
      </c>
    </row>
    <row r="19" spans="2:18" x14ac:dyDescent="0.3">
      <c r="B19" s="2" t="s">
        <v>522</v>
      </c>
      <c r="C19" s="2">
        <v>1311</v>
      </c>
      <c r="D19" s="2">
        <f t="shared" si="1"/>
        <v>11311</v>
      </c>
      <c r="E19" s="2">
        <f t="shared" si="2"/>
        <v>51311</v>
      </c>
      <c r="F19" s="2">
        <f t="shared" si="3"/>
        <v>31311</v>
      </c>
      <c r="L19" s="2" t="s">
        <v>1791</v>
      </c>
      <c r="M19" s="2">
        <v>100502</v>
      </c>
      <c r="N19" s="2" t="s">
        <v>1854</v>
      </c>
      <c r="R19" s="1" t="str">
        <f t="shared" si="0"/>
        <v>5倍加速2</v>
      </c>
    </row>
    <row r="20" spans="2:18" x14ac:dyDescent="0.3">
      <c r="B20" s="2" t="s">
        <v>611</v>
      </c>
      <c r="C20" s="2">
        <v>1321</v>
      </c>
      <c r="D20" s="2">
        <f t="shared" si="1"/>
        <v>11321</v>
      </c>
      <c r="E20" s="2">
        <f t="shared" si="2"/>
        <v>51321</v>
      </c>
      <c r="F20" s="2">
        <f t="shared" si="3"/>
        <v>31321</v>
      </c>
      <c r="L20" s="2" t="s">
        <v>1792</v>
      </c>
      <c r="M20" s="2">
        <v>100503</v>
      </c>
      <c r="N20" s="2" t="s">
        <v>1854</v>
      </c>
      <c r="R20" s="1" t="str">
        <f t="shared" si="0"/>
        <v>5倍加速3</v>
      </c>
    </row>
    <row r="21" spans="2:18" x14ac:dyDescent="0.3">
      <c r="B21" s="2" t="s">
        <v>613</v>
      </c>
      <c r="C21" s="2">
        <v>1331</v>
      </c>
      <c r="D21" s="2">
        <f t="shared" si="1"/>
        <v>11331</v>
      </c>
      <c r="E21" s="2">
        <f t="shared" si="2"/>
        <v>51331</v>
      </c>
      <c r="F21" s="2">
        <f t="shared" si="3"/>
        <v>31331</v>
      </c>
      <c r="L21" s="2" t="s">
        <v>1793</v>
      </c>
      <c r="M21" s="2">
        <v>100801</v>
      </c>
      <c r="N21" s="2" t="s">
        <v>1855</v>
      </c>
      <c r="R21" s="1" t="str">
        <f t="shared" si="0"/>
        <v>8倍加速1</v>
      </c>
    </row>
    <row r="22" spans="2:18" x14ac:dyDescent="0.3">
      <c r="B22" s="2" t="s">
        <v>615</v>
      </c>
      <c r="C22" s="2">
        <v>1411</v>
      </c>
      <c r="D22" s="2">
        <f t="shared" si="1"/>
        <v>11411</v>
      </c>
      <c r="E22" s="2">
        <f t="shared" si="2"/>
        <v>51411</v>
      </c>
      <c r="F22" s="2">
        <f t="shared" si="3"/>
        <v>31411</v>
      </c>
      <c r="L22" s="2" t="s">
        <v>1794</v>
      </c>
      <c r="M22" s="2">
        <v>100802</v>
      </c>
      <c r="N22" s="2" t="s">
        <v>1855</v>
      </c>
      <c r="R22" s="1" t="str">
        <f t="shared" si="0"/>
        <v>8倍加速2</v>
      </c>
    </row>
    <row r="23" spans="2:18" x14ac:dyDescent="0.3">
      <c r="B23" s="2" t="s">
        <v>618</v>
      </c>
      <c r="C23" s="2">
        <v>1421</v>
      </c>
      <c r="D23" s="2">
        <f t="shared" si="1"/>
        <v>11421</v>
      </c>
      <c r="E23" s="2">
        <f t="shared" si="2"/>
        <v>51421</v>
      </c>
      <c r="F23" s="2">
        <f t="shared" si="3"/>
        <v>31421</v>
      </c>
      <c r="L23" s="2" t="s">
        <v>1795</v>
      </c>
      <c r="M23" s="2">
        <v>100803</v>
      </c>
      <c r="N23" s="2" t="s">
        <v>1855</v>
      </c>
      <c r="R23" s="1" t="str">
        <f t="shared" si="0"/>
        <v>8倍加速3</v>
      </c>
    </row>
    <row r="24" spans="2:18" x14ac:dyDescent="0.3">
      <c r="B24" s="2" t="s">
        <v>620</v>
      </c>
      <c r="C24" s="2">
        <v>1431</v>
      </c>
      <c r="D24" s="2">
        <f t="shared" si="1"/>
        <v>11431</v>
      </c>
      <c r="E24" s="2">
        <f t="shared" si="2"/>
        <v>51431</v>
      </c>
      <c r="F24" s="2">
        <f t="shared" si="3"/>
        <v>31431</v>
      </c>
      <c r="R24" s="1">
        <f t="shared" si="0"/>
        <v>0</v>
      </c>
    </row>
    <row r="25" spans="2:18" x14ac:dyDescent="0.3">
      <c r="B25" s="2" t="s">
        <v>622</v>
      </c>
      <c r="C25" s="2">
        <v>1511</v>
      </c>
      <c r="D25" s="2">
        <f t="shared" si="1"/>
        <v>11511</v>
      </c>
      <c r="E25" s="2">
        <f t="shared" si="2"/>
        <v>51511</v>
      </c>
      <c r="F25" s="2">
        <f t="shared" si="3"/>
        <v>31511</v>
      </c>
      <c r="L25" s="2" t="s">
        <v>599</v>
      </c>
      <c r="M25" s="2" t="s">
        <v>48</v>
      </c>
      <c r="N25" s="2" t="s">
        <v>1830</v>
      </c>
      <c r="R25" s="1" t="str">
        <f t="shared" si="0"/>
        <v>坦克名称</v>
      </c>
    </row>
    <row r="26" spans="2:18" x14ac:dyDescent="0.3">
      <c r="B26" s="2" t="s">
        <v>512</v>
      </c>
      <c r="C26" s="2">
        <v>2111</v>
      </c>
      <c r="D26" s="2">
        <f t="shared" si="1"/>
        <v>12111</v>
      </c>
      <c r="E26" s="2">
        <f t="shared" si="2"/>
        <v>52111</v>
      </c>
      <c r="F26" s="2">
        <f t="shared" si="3"/>
        <v>32111</v>
      </c>
      <c r="L26" s="39" t="s">
        <v>510</v>
      </c>
      <c r="M26" s="2">
        <v>11111</v>
      </c>
      <c r="N26" s="2" t="s">
        <v>1133</v>
      </c>
      <c r="R26" s="1" t="str">
        <f t="shared" si="0"/>
        <v>雷诺FT</v>
      </c>
    </row>
    <row r="27" spans="2:18" x14ac:dyDescent="0.3">
      <c r="B27" s="2" t="s">
        <v>518</v>
      </c>
      <c r="C27" s="2">
        <v>2211</v>
      </c>
      <c r="D27" s="2">
        <f t="shared" si="1"/>
        <v>12211</v>
      </c>
      <c r="E27" s="2">
        <f t="shared" si="2"/>
        <v>52211</v>
      </c>
      <c r="F27" s="2">
        <f t="shared" si="3"/>
        <v>32211</v>
      </c>
      <c r="L27" s="2" t="s">
        <v>516</v>
      </c>
      <c r="M27" s="2">
        <v>11211</v>
      </c>
      <c r="N27" s="2" t="s">
        <v>1135</v>
      </c>
      <c r="R27" s="1" t="str">
        <f t="shared" si="0"/>
        <v>二号</v>
      </c>
    </row>
    <row r="28" spans="2:18" x14ac:dyDescent="0.3">
      <c r="B28" s="2" t="s">
        <v>627</v>
      </c>
      <c r="C28" s="2">
        <v>2221</v>
      </c>
      <c r="D28" s="2">
        <f t="shared" si="1"/>
        <v>12221</v>
      </c>
      <c r="E28" s="2">
        <f t="shared" si="2"/>
        <v>52221</v>
      </c>
      <c r="F28" s="2">
        <f t="shared" si="3"/>
        <v>32221</v>
      </c>
      <c r="L28" s="2" t="s">
        <v>607</v>
      </c>
      <c r="M28" s="2">
        <v>11221</v>
      </c>
      <c r="N28" s="2" t="s">
        <v>1136</v>
      </c>
      <c r="R28" s="1" t="str">
        <f t="shared" si="0"/>
        <v>Puma</v>
      </c>
    </row>
    <row r="29" spans="2:18" x14ac:dyDescent="0.3">
      <c r="B29" s="2" t="s">
        <v>526</v>
      </c>
      <c r="C29" s="2">
        <v>2311</v>
      </c>
      <c r="D29" s="2">
        <f t="shared" si="1"/>
        <v>12311</v>
      </c>
      <c r="E29" s="2">
        <f t="shared" si="2"/>
        <v>52311</v>
      </c>
      <c r="F29" s="2">
        <f t="shared" si="3"/>
        <v>32311</v>
      </c>
      <c r="L29" s="2" t="s">
        <v>522</v>
      </c>
      <c r="M29" s="2">
        <v>11311</v>
      </c>
      <c r="N29" s="2" t="s">
        <v>1137</v>
      </c>
      <c r="R29" s="1" t="str">
        <f t="shared" si="0"/>
        <v>35(t)</v>
      </c>
    </row>
    <row r="30" spans="2:18" x14ac:dyDescent="0.3">
      <c r="B30" s="2" t="s">
        <v>630</v>
      </c>
      <c r="C30" s="2">
        <v>2321</v>
      </c>
      <c r="D30" s="2">
        <f t="shared" si="1"/>
        <v>12321</v>
      </c>
      <c r="E30" s="2">
        <f t="shared" si="2"/>
        <v>52321</v>
      </c>
      <c r="F30" s="2">
        <f t="shared" si="3"/>
        <v>32321</v>
      </c>
      <c r="L30" s="2" t="s">
        <v>611</v>
      </c>
      <c r="M30" s="2">
        <v>11321</v>
      </c>
      <c r="N30" s="2" t="s">
        <v>1138</v>
      </c>
      <c r="R30" s="1" t="str">
        <f t="shared" si="0"/>
        <v>十字军</v>
      </c>
    </row>
    <row r="31" spans="2:18" x14ac:dyDescent="0.3">
      <c r="B31" s="2" t="s">
        <v>632</v>
      </c>
      <c r="C31" s="2">
        <v>2331</v>
      </c>
      <c r="D31" s="2">
        <f t="shared" si="1"/>
        <v>12331</v>
      </c>
      <c r="E31" s="2">
        <f t="shared" si="2"/>
        <v>52331</v>
      </c>
      <c r="F31" s="2">
        <f t="shared" si="3"/>
        <v>32331</v>
      </c>
      <c r="L31" s="2" t="s">
        <v>3829</v>
      </c>
      <c r="M31" s="2">
        <v>11331</v>
      </c>
      <c r="N31" s="2" t="s">
        <v>1139</v>
      </c>
      <c r="R31" s="1" t="str">
        <f t="shared" si="0"/>
        <v>AMX-13</v>
      </c>
    </row>
    <row r="32" spans="2:18" x14ac:dyDescent="0.3">
      <c r="B32" s="2" t="s">
        <v>634</v>
      </c>
      <c r="C32" s="2">
        <v>2411</v>
      </c>
      <c r="D32" s="2">
        <f t="shared" si="1"/>
        <v>12411</v>
      </c>
      <c r="E32" s="2">
        <f t="shared" si="2"/>
        <v>52411</v>
      </c>
      <c r="F32" s="2">
        <f t="shared" si="3"/>
        <v>32411</v>
      </c>
      <c r="L32" s="2" t="s">
        <v>615</v>
      </c>
      <c r="M32" s="2">
        <v>11411</v>
      </c>
      <c r="N32" s="2" t="s">
        <v>1140</v>
      </c>
      <c r="R32" s="1" t="str">
        <f t="shared" si="0"/>
        <v>霞飞</v>
      </c>
    </row>
    <row r="33" spans="2:18" x14ac:dyDescent="0.3">
      <c r="B33" s="2" t="s">
        <v>636</v>
      </c>
      <c r="C33" s="2">
        <v>2421</v>
      </c>
      <c r="D33" s="2">
        <f t="shared" si="1"/>
        <v>12421</v>
      </c>
      <c r="E33" s="2">
        <f t="shared" si="2"/>
        <v>52421</v>
      </c>
      <c r="F33" s="2">
        <f t="shared" si="3"/>
        <v>32421</v>
      </c>
      <c r="L33" s="2" t="s">
        <v>618</v>
      </c>
      <c r="M33" s="2">
        <v>11421</v>
      </c>
      <c r="N33" s="2" t="s">
        <v>1141</v>
      </c>
      <c r="R33" s="1" t="str">
        <f t="shared" si="0"/>
        <v>M-41</v>
      </c>
    </row>
    <row r="34" spans="2:18" x14ac:dyDescent="0.3">
      <c r="B34" s="2" t="s">
        <v>638</v>
      </c>
      <c r="C34" s="2">
        <v>2431</v>
      </c>
      <c r="D34" s="2">
        <f t="shared" si="1"/>
        <v>12431</v>
      </c>
      <c r="E34" s="2">
        <f t="shared" si="2"/>
        <v>52431</v>
      </c>
      <c r="F34" s="2">
        <f t="shared" si="3"/>
        <v>32431</v>
      </c>
      <c r="L34" s="2" t="s">
        <v>620</v>
      </c>
      <c r="M34" s="2">
        <v>11431</v>
      </c>
      <c r="N34" s="2" t="s">
        <v>1142</v>
      </c>
      <c r="R34" s="1" t="str">
        <f t="shared" si="0"/>
        <v>BMP-3</v>
      </c>
    </row>
    <row r="35" spans="2:18" x14ac:dyDescent="0.3">
      <c r="B35" s="2" t="s">
        <v>640</v>
      </c>
      <c r="C35" s="2">
        <v>2511</v>
      </c>
      <c r="D35" s="2">
        <f t="shared" si="1"/>
        <v>12511</v>
      </c>
      <c r="E35" s="2">
        <f t="shared" si="2"/>
        <v>52511</v>
      </c>
      <c r="F35" s="2">
        <f t="shared" si="3"/>
        <v>32511</v>
      </c>
      <c r="L35" s="2" t="s">
        <v>622</v>
      </c>
      <c r="M35" s="2">
        <v>11511</v>
      </c>
      <c r="N35" s="2">
        <v>59</v>
      </c>
      <c r="R35" s="1" t="str">
        <f t="shared" si="0"/>
        <v>59式</v>
      </c>
    </row>
    <row r="36" spans="2:18" x14ac:dyDescent="0.3">
      <c r="B36" s="2" t="s">
        <v>642</v>
      </c>
      <c r="C36" s="2">
        <v>3111</v>
      </c>
      <c r="D36" s="2">
        <f t="shared" si="1"/>
        <v>13111</v>
      </c>
      <c r="E36" s="2">
        <f t="shared" si="2"/>
        <v>53111</v>
      </c>
      <c r="F36" s="2">
        <f t="shared" si="3"/>
        <v>33111</v>
      </c>
      <c r="L36" s="2" t="s">
        <v>512</v>
      </c>
      <c r="M36" s="2">
        <v>12111</v>
      </c>
      <c r="N36" s="2" t="s">
        <v>1143</v>
      </c>
      <c r="R36" s="1" t="str">
        <f t="shared" si="0"/>
        <v>Stuart</v>
      </c>
    </row>
    <row r="37" spans="2:18" x14ac:dyDescent="0.3">
      <c r="B37" s="2" t="s">
        <v>644</v>
      </c>
      <c r="C37" s="2">
        <v>3211</v>
      </c>
      <c r="D37" s="2">
        <f t="shared" si="1"/>
        <v>13211</v>
      </c>
      <c r="E37" s="2">
        <f t="shared" si="2"/>
        <v>53211</v>
      </c>
      <c r="F37" s="2">
        <f t="shared" si="3"/>
        <v>33211</v>
      </c>
      <c r="L37" s="2" t="s">
        <v>518</v>
      </c>
      <c r="M37" s="2">
        <v>12211</v>
      </c>
      <c r="N37" s="2" t="s">
        <v>1144</v>
      </c>
      <c r="R37" s="1" t="str">
        <f t="shared" si="0"/>
        <v>T-34</v>
      </c>
    </row>
    <row r="38" spans="2:18" x14ac:dyDescent="0.3">
      <c r="B38" s="2" t="s">
        <v>646</v>
      </c>
      <c r="C38" s="2">
        <v>3221</v>
      </c>
      <c r="D38" s="2">
        <f t="shared" si="1"/>
        <v>13221</v>
      </c>
      <c r="E38" s="2">
        <f t="shared" si="2"/>
        <v>53221</v>
      </c>
      <c r="F38" s="2">
        <f t="shared" si="3"/>
        <v>33221</v>
      </c>
      <c r="L38" s="2" t="s">
        <v>627</v>
      </c>
      <c r="M38" s="2">
        <v>12221</v>
      </c>
      <c r="N38" s="2" t="s">
        <v>1145</v>
      </c>
      <c r="R38" s="1" t="str">
        <f t="shared" si="0"/>
        <v>四号</v>
      </c>
    </row>
    <row r="39" spans="2:18" x14ac:dyDescent="0.3">
      <c r="B39" s="2" t="s">
        <v>529</v>
      </c>
      <c r="C39" s="2">
        <v>3311</v>
      </c>
      <c r="D39" s="2">
        <f t="shared" si="1"/>
        <v>13311</v>
      </c>
      <c r="E39" s="2">
        <f t="shared" si="2"/>
        <v>53311</v>
      </c>
      <c r="F39" s="2">
        <f t="shared" si="3"/>
        <v>33311</v>
      </c>
      <c r="L39" s="2" t="s">
        <v>526</v>
      </c>
      <c r="M39" s="2">
        <v>12311</v>
      </c>
      <c r="N39" s="2" t="s">
        <v>1147</v>
      </c>
      <c r="R39" s="1" t="str">
        <f t="shared" si="0"/>
        <v>玛蒂尔达</v>
      </c>
    </row>
    <row r="40" spans="2:18" x14ac:dyDescent="0.3">
      <c r="B40" s="2" t="s">
        <v>649</v>
      </c>
      <c r="C40" s="2">
        <v>3321</v>
      </c>
      <c r="D40" s="2">
        <f t="shared" si="1"/>
        <v>13321</v>
      </c>
      <c r="E40" s="2">
        <f t="shared" si="2"/>
        <v>53321</v>
      </c>
      <c r="F40" s="2">
        <f t="shared" si="3"/>
        <v>33321</v>
      </c>
      <c r="L40" s="2" t="s">
        <v>630</v>
      </c>
      <c r="M40" s="2">
        <v>12321</v>
      </c>
      <c r="N40" s="2" t="s">
        <v>1148</v>
      </c>
      <c r="R40" s="1" t="str">
        <f t="shared" si="0"/>
        <v>谢尔曼</v>
      </c>
    </row>
    <row r="41" spans="2:18" x14ac:dyDescent="0.3">
      <c r="B41" s="2" t="s">
        <v>651</v>
      </c>
      <c r="C41" s="2">
        <v>3331</v>
      </c>
      <c r="D41" s="2">
        <f t="shared" si="1"/>
        <v>13331</v>
      </c>
      <c r="E41" s="2">
        <f t="shared" si="2"/>
        <v>53331</v>
      </c>
      <c r="F41" s="2">
        <f t="shared" si="3"/>
        <v>33331</v>
      </c>
      <c r="L41" s="2" t="s">
        <v>632</v>
      </c>
      <c r="M41" s="2">
        <v>12331</v>
      </c>
      <c r="N41" s="2" t="s">
        <v>1149</v>
      </c>
      <c r="R41" s="1" t="str">
        <f t="shared" si="0"/>
        <v>彗星</v>
      </c>
    </row>
    <row r="42" spans="2:18" x14ac:dyDescent="0.3">
      <c r="B42" s="2" t="s">
        <v>653</v>
      </c>
      <c r="C42" s="2">
        <v>3411</v>
      </c>
      <c r="D42" s="2">
        <f t="shared" si="1"/>
        <v>13411</v>
      </c>
      <c r="E42" s="2">
        <f t="shared" si="2"/>
        <v>53411</v>
      </c>
      <c r="F42" s="2">
        <f t="shared" si="3"/>
        <v>33411</v>
      </c>
      <c r="L42" s="340" t="s">
        <v>4211</v>
      </c>
      <c r="M42" s="340">
        <v>12341</v>
      </c>
      <c r="N42" s="340" t="s">
        <v>4213</v>
      </c>
      <c r="R42" s="1" t="str">
        <f t="shared" si="0"/>
        <v>新坦克-M42</v>
      </c>
    </row>
    <row r="43" spans="2:18" x14ac:dyDescent="0.3">
      <c r="B43" s="2" t="s">
        <v>655</v>
      </c>
      <c r="C43" s="2">
        <v>3421</v>
      </c>
      <c r="D43" s="2">
        <f t="shared" si="1"/>
        <v>13421</v>
      </c>
      <c r="E43" s="2">
        <f t="shared" si="2"/>
        <v>53421</v>
      </c>
      <c r="F43" s="2">
        <f t="shared" si="3"/>
        <v>33421</v>
      </c>
      <c r="L43" s="2" t="s">
        <v>634</v>
      </c>
      <c r="M43" s="2">
        <v>12411</v>
      </c>
      <c r="N43" s="2" t="s">
        <v>1150</v>
      </c>
      <c r="R43" s="1" t="str">
        <f t="shared" ref="R43:R68" si="4">L43</f>
        <v>M-48</v>
      </c>
    </row>
    <row r="44" spans="2:18" x14ac:dyDescent="0.3">
      <c r="B44" s="2" t="s">
        <v>657</v>
      </c>
      <c r="C44" s="2">
        <v>3431</v>
      </c>
      <c r="D44" s="2">
        <f t="shared" si="1"/>
        <v>13431</v>
      </c>
      <c r="E44" s="2">
        <f t="shared" si="2"/>
        <v>53431</v>
      </c>
      <c r="F44" s="2">
        <f t="shared" si="3"/>
        <v>33431</v>
      </c>
      <c r="L44" s="2" t="s">
        <v>636</v>
      </c>
      <c r="M44" s="2">
        <v>12421</v>
      </c>
      <c r="N44" s="2" t="s">
        <v>1151</v>
      </c>
      <c r="R44" s="1" t="str">
        <f t="shared" si="4"/>
        <v>潘兴</v>
      </c>
    </row>
    <row r="45" spans="2:18" x14ac:dyDescent="0.3">
      <c r="B45" s="2" t="s">
        <v>659</v>
      </c>
      <c r="C45" s="2">
        <v>3511</v>
      </c>
      <c r="D45" s="2">
        <f t="shared" si="1"/>
        <v>13511</v>
      </c>
      <c r="E45" s="2">
        <f t="shared" si="2"/>
        <v>53511</v>
      </c>
      <c r="F45" s="2">
        <f t="shared" si="3"/>
        <v>33511</v>
      </c>
      <c r="L45" s="2" t="s">
        <v>638</v>
      </c>
      <c r="M45" s="2">
        <v>12431</v>
      </c>
      <c r="N45" s="2" t="s">
        <v>1152</v>
      </c>
      <c r="R45" s="1" t="str">
        <f t="shared" si="4"/>
        <v>百夫长</v>
      </c>
    </row>
    <row r="46" spans="2:18" x14ac:dyDescent="0.3">
      <c r="L46" s="2" t="s">
        <v>640</v>
      </c>
      <c r="M46" s="2">
        <v>12511</v>
      </c>
      <c r="N46" s="2" t="s">
        <v>1153</v>
      </c>
      <c r="R46" s="1" t="str">
        <f t="shared" si="4"/>
        <v>挑战者</v>
      </c>
    </row>
    <row r="47" spans="2:18" x14ac:dyDescent="0.3">
      <c r="B47" s="2" t="s">
        <v>1856</v>
      </c>
      <c r="C47" s="2" t="s">
        <v>1857</v>
      </c>
      <c r="D47" s="2" t="s">
        <v>48</v>
      </c>
      <c r="L47" s="2" t="s">
        <v>642</v>
      </c>
      <c r="M47" s="2">
        <v>13111</v>
      </c>
      <c r="N47" s="2" t="s">
        <v>1154</v>
      </c>
      <c r="R47" s="1" t="str">
        <f t="shared" si="4"/>
        <v>B-1</v>
      </c>
    </row>
    <row r="48" spans="2:18" x14ac:dyDescent="0.3">
      <c r="B48" s="2" t="s">
        <v>1858</v>
      </c>
      <c r="C48" s="2" t="s">
        <v>1859</v>
      </c>
      <c r="D48" s="2">
        <v>80101</v>
      </c>
      <c r="L48" s="2" t="s">
        <v>644</v>
      </c>
      <c r="M48" s="2">
        <v>13211</v>
      </c>
      <c r="N48" s="2" t="s">
        <v>1155</v>
      </c>
      <c r="R48" s="1" t="str">
        <f t="shared" si="4"/>
        <v>KV-1</v>
      </c>
    </row>
    <row r="49" spans="2:18" x14ac:dyDescent="0.3">
      <c r="B49" s="2" t="s">
        <v>1860</v>
      </c>
      <c r="C49" s="2" t="s">
        <v>1861</v>
      </c>
      <c r="D49" s="2">
        <v>81901</v>
      </c>
      <c r="L49" s="2" t="s">
        <v>646</v>
      </c>
      <c r="M49" s="2">
        <v>13221</v>
      </c>
      <c r="N49" s="2" t="s">
        <v>1156</v>
      </c>
      <c r="R49" s="1" t="str">
        <f t="shared" si="4"/>
        <v>丘吉尔</v>
      </c>
    </row>
    <row r="50" spans="2:18" x14ac:dyDescent="0.3">
      <c r="B50" s="2" t="s">
        <v>1862</v>
      </c>
      <c r="C50" s="2" t="s">
        <v>1863</v>
      </c>
      <c r="D50" s="2">
        <v>83701</v>
      </c>
      <c r="L50" s="2" t="s">
        <v>529</v>
      </c>
      <c r="M50" s="2">
        <v>13311</v>
      </c>
      <c r="N50" s="2" t="s">
        <v>1157</v>
      </c>
      <c r="R50" s="1" t="str">
        <f t="shared" si="4"/>
        <v>黑豹</v>
      </c>
    </row>
    <row r="51" spans="2:18" x14ac:dyDescent="0.3">
      <c r="B51" s="2" t="s">
        <v>1864</v>
      </c>
      <c r="C51" s="2" t="s">
        <v>1865</v>
      </c>
      <c r="D51" s="2">
        <v>80102</v>
      </c>
      <c r="L51" s="2" t="s">
        <v>649</v>
      </c>
      <c r="M51" s="2">
        <v>13321</v>
      </c>
      <c r="N51" s="2" t="s">
        <v>1158</v>
      </c>
      <c r="R51" s="1" t="str">
        <f t="shared" si="4"/>
        <v>虎式</v>
      </c>
    </row>
    <row r="52" spans="2:18" x14ac:dyDescent="0.3">
      <c r="B52" s="2" t="s">
        <v>1866</v>
      </c>
      <c r="C52" s="2" t="s">
        <v>1867</v>
      </c>
      <c r="D52" s="2">
        <v>81902</v>
      </c>
      <c r="L52" s="2" t="s">
        <v>651</v>
      </c>
      <c r="M52" s="2">
        <v>13331</v>
      </c>
      <c r="N52" s="2" t="s">
        <v>1159</v>
      </c>
      <c r="R52" s="1" t="str">
        <f t="shared" si="4"/>
        <v>KV-2</v>
      </c>
    </row>
    <row r="53" spans="2:18" x14ac:dyDescent="0.3">
      <c r="B53" s="2" t="s">
        <v>1868</v>
      </c>
      <c r="C53" s="2" t="s">
        <v>1869</v>
      </c>
      <c r="D53" s="2">
        <v>83702</v>
      </c>
      <c r="L53" s="2" t="s">
        <v>653</v>
      </c>
      <c r="M53" s="2">
        <v>13411</v>
      </c>
      <c r="N53" s="2" t="s">
        <v>1160</v>
      </c>
      <c r="R53" s="1" t="str">
        <f t="shared" si="4"/>
        <v>征服者</v>
      </c>
    </row>
    <row r="54" spans="2:18" x14ac:dyDescent="0.3">
      <c r="B54" s="2" t="s">
        <v>1870</v>
      </c>
      <c r="C54" s="2" t="s">
        <v>1871</v>
      </c>
      <c r="D54" s="2">
        <v>80301</v>
      </c>
      <c r="L54" s="2" t="s">
        <v>655</v>
      </c>
      <c r="M54" s="2">
        <v>13421</v>
      </c>
      <c r="N54" s="2" t="s">
        <v>1161</v>
      </c>
      <c r="R54" s="1" t="str">
        <f t="shared" si="4"/>
        <v>IS-4</v>
      </c>
    </row>
    <row r="55" spans="2:18" x14ac:dyDescent="0.3">
      <c r="B55" s="2" t="s">
        <v>1872</v>
      </c>
      <c r="C55" s="2" t="s">
        <v>1873</v>
      </c>
      <c r="D55" s="2">
        <v>82101</v>
      </c>
      <c r="L55" s="2" t="s">
        <v>657</v>
      </c>
      <c r="M55" s="2">
        <v>13431</v>
      </c>
      <c r="N55" s="2" t="s">
        <v>1162</v>
      </c>
      <c r="R55" s="1" t="str">
        <f t="shared" si="4"/>
        <v>T-32</v>
      </c>
    </row>
    <row r="56" spans="2:18" x14ac:dyDescent="0.3">
      <c r="B56" s="2" t="s">
        <v>1874</v>
      </c>
      <c r="C56" s="2" t="s">
        <v>1875</v>
      </c>
      <c r="D56" s="2">
        <v>83901</v>
      </c>
      <c r="L56" s="2" t="s">
        <v>659</v>
      </c>
      <c r="M56" s="2">
        <v>13511</v>
      </c>
      <c r="N56" s="2" t="s">
        <v>1163</v>
      </c>
      <c r="R56" s="1" t="str">
        <f t="shared" si="4"/>
        <v>M1A2</v>
      </c>
    </row>
    <row r="57" spans="2:18" x14ac:dyDescent="0.3">
      <c r="B57" s="2" t="s">
        <v>1878</v>
      </c>
      <c r="C57" s="2" t="s">
        <v>1879</v>
      </c>
      <c r="D57" s="2">
        <v>80302</v>
      </c>
      <c r="L57" s="39" t="s">
        <v>1876</v>
      </c>
      <c r="M57" s="2">
        <v>51111</v>
      </c>
      <c r="N57" s="2" t="s">
        <v>1877</v>
      </c>
      <c r="R57" s="1" t="str">
        <f t="shared" si="4"/>
        <v>雷诺FT碎片</v>
      </c>
    </row>
    <row r="58" spans="2:18" x14ac:dyDescent="0.3">
      <c r="B58" s="2" t="s">
        <v>1882</v>
      </c>
      <c r="C58" s="2" t="s">
        <v>1883</v>
      </c>
      <c r="D58" s="2">
        <v>82102</v>
      </c>
      <c r="L58" s="2" t="s">
        <v>1880</v>
      </c>
      <c r="M58" s="2">
        <v>51211</v>
      </c>
      <c r="N58" s="2" t="s">
        <v>1881</v>
      </c>
      <c r="R58" s="1" t="str">
        <f t="shared" si="4"/>
        <v>二号碎片</v>
      </c>
    </row>
    <row r="59" spans="2:18" x14ac:dyDescent="0.3">
      <c r="B59" s="2" t="s">
        <v>1887</v>
      </c>
      <c r="C59" s="2" t="s">
        <v>1888</v>
      </c>
      <c r="D59" s="2">
        <v>83902</v>
      </c>
      <c r="L59" s="2" t="s">
        <v>1884</v>
      </c>
      <c r="M59" s="2">
        <v>51221</v>
      </c>
      <c r="N59" s="2" t="s">
        <v>1885</v>
      </c>
      <c r="O59" s="1" t="s">
        <v>1886</v>
      </c>
      <c r="R59" s="1" t="str">
        <f t="shared" si="4"/>
        <v>Puma碎片</v>
      </c>
    </row>
    <row r="60" spans="2:18" x14ac:dyDescent="0.3">
      <c r="B60" s="2" t="s">
        <v>1891</v>
      </c>
      <c r="C60" s="2" t="s">
        <v>1892</v>
      </c>
      <c r="D60" s="2">
        <v>80201</v>
      </c>
      <c r="L60" s="2" t="s">
        <v>1889</v>
      </c>
      <c r="M60" s="2">
        <v>51311</v>
      </c>
      <c r="N60" s="2" t="s">
        <v>1890</v>
      </c>
      <c r="R60" s="1" t="str">
        <f t="shared" si="4"/>
        <v>35(t)碎片</v>
      </c>
    </row>
    <row r="61" spans="2:18" x14ac:dyDescent="0.3">
      <c r="B61" s="2" t="s">
        <v>1895</v>
      </c>
      <c r="C61" s="2" t="s">
        <v>1896</v>
      </c>
      <c r="D61" s="2">
        <v>82001</v>
      </c>
      <c r="L61" s="2" t="s">
        <v>1893</v>
      </c>
      <c r="M61" s="2">
        <v>51321</v>
      </c>
      <c r="N61" s="2" t="s">
        <v>1894</v>
      </c>
      <c r="R61" s="1" t="str">
        <f t="shared" si="4"/>
        <v>十字军碎片</v>
      </c>
    </row>
    <row r="62" spans="2:18" x14ac:dyDescent="0.3">
      <c r="B62" s="2" t="s">
        <v>1899</v>
      </c>
      <c r="C62" s="2" t="s">
        <v>1900</v>
      </c>
      <c r="D62" s="2">
        <v>83801</v>
      </c>
      <c r="L62" s="2" t="s">
        <v>3827</v>
      </c>
      <c r="M62" s="2">
        <v>51331</v>
      </c>
      <c r="N62" s="2" t="s">
        <v>1898</v>
      </c>
      <c r="R62" s="1" t="str">
        <f t="shared" si="4"/>
        <v>AMX-13碎片</v>
      </c>
    </row>
    <row r="63" spans="2:18" x14ac:dyDescent="0.3">
      <c r="B63" s="2" t="s">
        <v>1901</v>
      </c>
      <c r="C63" s="2" t="s">
        <v>1902</v>
      </c>
      <c r="D63" s="2">
        <v>80202</v>
      </c>
      <c r="L63" s="338" t="s">
        <v>4209</v>
      </c>
      <c r="M63" s="338">
        <v>51341</v>
      </c>
      <c r="N63" s="338" t="s">
        <v>4210</v>
      </c>
      <c r="R63" s="1" t="str">
        <f t="shared" si="4"/>
        <v>霞飞碎片</v>
      </c>
    </row>
    <row r="64" spans="2:18" x14ac:dyDescent="0.3">
      <c r="B64" s="2" t="s">
        <v>1905</v>
      </c>
      <c r="C64" s="2" t="s">
        <v>1906</v>
      </c>
      <c r="D64" s="2">
        <v>82002</v>
      </c>
      <c r="L64" s="2" t="s">
        <v>4216</v>
      </c>
      <c r="M64" s="2">
        <v>51411</v>
      </c>
      <c r="N64" s="2"/>
      <c r="R64" s="1" t="str">
        <f t="shared" si="4"/>
        <v>新T4轻坦碎片</v>
      </c>
    </row>
    <row r="65" spans="2:18" x14ac:dyDescent="0.3">
      <c r="B65" s="2" t="s">
        <v>1909</v>
      </c>
      <c r="C65" s="2" t="s">
        <v>1910</v>
      </c>
      <c r="D65" s="2">
        <v>83802</v>
      </c>
      <c r="L65" s="2" t="s">
        <v>1903</v>
      </c>
      <c r="M65" s="2">
        <v>51421</v>
      </c>
      <c r="N65" s="2" t="s">
        <v>1904</v>
      </c>
      <c r="R65" s="1" t="str">
        <f t="shared" si="4"/>
        <v>M-41碎片</v>
      </c>
    </row>
    <row r="66" spans="2:18" x14ac:dyDescent="0.3">
      <c r="B66" s="2" t="s">
        <v>1913</v>
      </c>
      <c r="C66" s="2" t="s">
        <v>1914</v>
      </c>
      <c r="D66" s="2">
        <v>80401</v>
      </c>
      <c r="L66" s="2" t="s">
        <v>1907</v>
      </c>
      <c r="M66" s="2">
        <v>51431</v>
      </c>
      <c r="N66" s="2" t="s">
        <v>1908</v>
      </c>
      <c r="R66" s="1" t="str">
        <f t="shared" si="4"/>
        <v>BMP-3碎片</v>
      </c>
    </row>
    <row r="67" spans="2:18" x14ac:dyDescent="0.3">
      <c r="B67" s="2" t="s">
        <v>1917</v>
      </c>
      <c r="C67" s="2" t="s">
        <v>1918</v>
      </c>
      <c r="D67" s="2">
        <v>82201</v>
      </c>
      <c r="L67" s="2" t="s">
        <v>1911</v>
      </c>
      <c r="M67" s="2">
        <v>51511</v>
      </c>
      <c r="N67" s="2" t="s">
        <v>1912</v>
      </c>
      <c r="R67" s="1" t="str">
        <f t="shared" si="4"/>
        <v>59式碎片</v>
      </c>
    </row>
    <row r="68" spans="2:18" x14ac:dyDescent="0.3">
      <c r="B68" s="2" t="s">
        <v>1921</v>
      </c>
      <c r="C68" s="2" t="s">
        <v>1922</v>
      </c>
      <c r="D68" s="2">
        <v>84001</v>
      </c>
      <c r="L68" s="2" t="s">
        <v>1915</v>
      </c>
      <c r="M68" s="2">
        <v>52111</v>
      </c>
      <c r="N68" s="2" t="s">
        <v>1916</v>
      </c>
      <c r="R68" s="1" t="str">
        <f t="shared" si="4"/>
        <v>Stuart碎片</v>
      </c>
    </row>
    <row r="69" spans="2:18" x14ac:dyDescent="0.3">
      <c r="B69" s="2" t="s">
        <v>1926</v>
      </c>
      <c r="C69" s="2" t="s">
        <v>1927</v>
      </c>
      <c r="D69" s="2">
        <v>80402</v>
      </c>
      <c r="L69" s="2" t="s">
        <v>1919</v>
      </c>
      <c r="M69" s="2">
        <v>52211</v>
      </c>
      <c r="N69" s="2" t="s">
        <v>1920</v>
      </c>
      <c r="R69" s="1" t="str">
        <f t="shared" ref="R69:R74" si="5">L69</f>
        <v>T-34碎片</v>
      </c>
    </row>
    <row r="70" spans="2:18" x14ac:dyDescent="0.3">
      <c r="B70" s="2" t="s">
        <v>1930</v>
      </c>
      <c r="C70" s="2" t="s">
        <v>1931</v>
      </c>
      <c r="D70" s="2">
        <v>82202</v>
      </c>
      <c r="L70" s="2" t="s">
        <v>1923</v>
      </c>
      <c r="M70" s="2">
        <v>52221</v>
      </c>
      <c r="N70" s="2" t="s">
        <v>1924</v>
      </c>
      <c r="O70" s="1" t="s">
        <v>1925</v>
      </c>
      <c r="R70" s="1" t="str">
        <f t="shared" si="5"/>
        <v>四号碎片</v>
      </c>
    </row>
    <row r="71" spans="2:18" x14ac:dyDescent="0.3">
      <c r="B71" s="2" t="s">
        <v>1934</v>
      </c>
      <c r="C71" s="2" t="s">
        <v>1935</v>
      </c>
      <c r="D71" s="2">
        <v>84002</v>
      </c>
      <c r="L71" s="2" t="s">
        <v>1928</v>
      </c>
      <c r="M71" s="2">
        <v>52311</v>
      </c>
      <c r="N71" s="2" t="s">
        <v>1929</v>
      </c>
      <c r="R71" s="1" t="str">
        <f t="shared" si="5"/>
        <v>玛蒂尔达碎片</v>
      </c>
    </row>
    <row r="72" spans="2:18" x14ac:dyDescent="0.3">
      <c r="B72" s="2" t="s">
        <v>1938</v>
      </c>
      <c r="C72" s="2" t="s">
        <v>1939</v>
      </c>
      <c r="D72" s="2">
        <v>80501</v>
      </c>
      <c r="L72" s="2" t="s">
        <v>1932</v>
      </c>
      <c r="M72" s="2">
        <v>52321</v>
      </c>
      <c r="N72" s="2" t="s">
        <v>1933</v>
      </c>
      <c r="R72" s="1" t="str">
        <f t="shared" si="5"/>
        <v>谢尔曼碎片</v>
      </c>
    </row>
    <row r="73" spans="2:18" x14ac:dyDescent="0.3">
      <c r="B73" s="2" t="s">
        <v>1942</v>
      </c>
      <c r="C73" s="2" t="s">
        <v>1943</v>
      </c>
      <c r="D73" s="2">
        <v>82301</v>
      </c>
      <c r="L73" s="2" t="s">
        <v>1936</v>
      </c>
      <c r="M73" s="2">
        <v>52331</v>
      </c>
      <c r="N73" s="2" t="s">
        <v>1937</v>
      </c>
      <c r="R73" s="1" t="str">
        <f t="shared" si="5"/>
        <v>彗星碎片</v>
      </c>
    </row>
    <row r="74" spans="2:18" x14ac:dyDescent="0.3">
      <c r="B74" s="2" t="s">
        <v>1946</v>
      </c>
      <c r="C74" s="2" t="s">
        <v>1947</v>
      </c>
      <c r="D74" s="2">
        <v>84101</v>
      </c>
      <c r="L74" s="340" t="s">
        <v>4215</v>
      </c>
      <c r="M74" s="340">
        <v>52341</v>
      </c>
      <c r="N74" s="340" t="s">
        <v>4212</v>
      </c>
      <c r="R74" s="1" t="str">
        <f t="shared" si="5"/>
        <v>新坦克-M42碎片</v>
      </c>
    </row>
    <row r="75" spans="2:18" x14ac:dyDescent="0.3">
      <c r="B75" s="2" t="s">
        <v>1950</v>
      </c>
      <c r="C75" s="2" t="s">
        <v>1951</v>
      </c>
      <c r="D75" s="2">
        <v>80502</v>
      </c>
      <c r="L75" s="2" t="s">
        <v>1940</v>
      </c>
      <c r="M75" s="2">
        <v>52411</v>
      </c>
      <c r="N75" s="2" t="s">
        <v>1941</v>
      </c>
      <c r="R75" s="1" t="str">
        <f t="shared" ref="R75:R106" si="6">L75</f>
        <v>M-48碎片</v>
      </c>
    </row>
    <row r="76" spans="2:18" x14ac:dyDescent="0.3">
      <c r="B76" s="2" t="s">
        <v>1954</v>
      </c>
      <c r="C76" s="2" t="s">
        <v>1955</v>
      </c>
      <c r="D76" s="2">
        <v>82302</v>
      </c>
      <c r="L76" s="2" t="s">
        <v>1944</v>
      </c>
      <c r="M76" s="2">
        <v>52421</v>
      </c>
      <c r="N76" s="2" t="s">
        <v>1945</v>
      </c>
      <c r="R76" s="1" t="str">
        <f t="shared" si="6"/>
        <v>潘兴碎片</v>
      </c>
    </row>
    <row r="77" spans="2:18" x14ac:dyDescent="0.3">
      <c r="B77" s="2" t="s">
        <v>1957</v>
      </c>
      <c r="C77" s="2" t="s">
        <v>1958</v>
      </c>
      <c r="D77" s="2">
        <v>84102</v>
      </c>
      <c r="L77" s="2" t="s">
        <v>1948</v>
      </c>
      <c r="M77" s="2">
        <v>52431</v>
      </c>
      <c r="N77" s="2" t="s">
        <v>1949</v>
      </c>
      <c r="R77" s="1" t="str">
        <f t="shared" si="6"/>
        <v>百夫长碎片</v>
      </c>
    </row>
    <row r="78" spans="2:18" x14ac:dyDescent="0.3">
      <c r="B78" s="2" t="s">
        <v>1961</v>
      </c>
      <c r="C78" s="2" t="s">
        <v>1962</v>
      </c>
      <c r="D78" s="2">
        <v>80503</v>
      </c>
      <c r="L78" s="2" t="s">
        <v>1952</v>
      </c>
      <c r="M78" s="2">
        <v>52511</v>
      </c>
      <c r="N78" s="2" t="s">
        <v>1953</v>
      </c>
      <c r="R78" s="1" t="str">
        <f t="shared" si="6"/>
        <v>挑战者碎片</v>
      </c>
    </row>
    <row r="79" spans="2:18" x14ac:dyDescent="0.3">
      <c r="B79" s="2" t="s">
        <v>1966</v>
      </c>
      <c r="C79" s="2" t="s">
        <v>1967</v>
      </c>
      <c r="D79" s="2">
        <v>82303</v>
      </c>
      <c r="L79" s="2" t="s">
        <v>509</v>
      </c>
      <c r="M79" s="2">
        <v>53111</v>
      </c>
      <c r="N79" s="2" t="s">
        <v>1956</v>
      </c>
      <c r="R79" s="1" t="str">
        <f t="shared" si="6"/>
        <v>B-1碎片</v>
      </c>
    </row>
    <row r="80" spans="2:18" x14ac:dyDescent="0.3">
      <c r="B80" s="2" t="s">
        <v>1970</v>
      </c>
      <c r="C80" s="2" t="s">
        <v>1971</v>
      </c>
      <c r="D80" s="2">
        <v>84103</v>
      </c>
      <c r="L80" s="2" t="s">
        <v>1959</v>
      </c>
      <c r="M80" s="2">
        <v>53211</v>
      </c>
      <c r="N80" s="2" t="s">
        <v>1960</v>
      </c>
      <c r="R80" s="1" t="str">
        <f t="shared" si="6"/>
        <v>KV-1碎片</v>
      </c>
    </row>
    <row r="81" spans="2:18" x14ac:dyDescent="0.3">
      <c r="B81" s="2" t="s">
        <v>1974</v>
      </c>
      <c r="C81" s="2" t="s">
        <v>1975</v>
      </c>
      <c r="D81" s="2">
        <v>80601</v>
      </c>
      <c r="L81" s="2" t="s">
        <v>1963</v>
      </c>
      <c r="M81" s="2">
        <v>53221</v>
      </c>
      <c r="N81" s="2" t="s">
        <v>1964</v>
      </c>
      <c r="O81" s="1" t="s">
        <v>1965</v>
      </c>
      <c r="R81" s="1" t="str">
        <f t="shared" si="6"/>
        <v>丘吉尔碎片</v>
      </c>
    </row>
    <row r="82" spans="2:18" x14ac:dyDescent="0.3">
      <c r="B82" s="2" t="s">
        <v>1978</v>
      </c>
      <c r="C82" s="2" t="s">
        <v>1979</v>
      </c>
      <c r="D82" s="2">
        <v>82401</v>
      </c>
      <c r="L82" s="2" t="s">
        <v>1968</v>
      </c>
      <c r="M82" s="2">
        <v>53311</v>
      </c>
      <c r="N82" s="2" t="s">
        <v>1969</v>
      </c>
      <c r="R82" s="1" t="str">
        <f t="shared" si="6"/>
        <v>黑豹碎片</v>
      </c>
    </row>
    <row r="83" spans="2:18" x14ac:dyDescent="0.3">
      <c r="B83" s="2" t="s">
        <v>1982</v>
      </c>
      <c r="C83" s="2" t="s">
        <v>1983</v>
      </c>
      <c r="D83" s="2">
        <v>84201</v>
      </c>
      <c r="L83" s="2" t="s">
        <v>1972</v>
      </c>
      <c r="M83" s="2">
        <v>53321</v>
      </c>
      <c r="N83" s="2" t="s">
        <v>1973</v>
      </c>
      <c r="R83" s="1" t="str">
        <f t="shared" si="6"/>
        <v>虎式碎片</v>
      </c>
    </row>
    <row r="84" spans="2:18" x14ac:dyDescent="0.3">
      <c r="B84" s="2" t="s">
        <v>1986</v>
      </c>
      <c r="C84" s="2" t="s">
        <v>1987</v>
      </c>
      <c r="D84" s="2">
        <v>80602</v>
      </c>
      <c r="L84" s="2" t="s">
        <v>1976</v>
      </c>
      <c r="M84" s="2">
        <v>53331</v>
      </c>
      <c r="N84" s="2" t="s">
        <v>1977</v>
      </c>
      <c r="R84" s="1" t="str">
        <f t="shared" si="6"/>
        <v>KV-2碎片</v>
      </c>
    </row>
    <row r="85" spans="2:18" x14ac:dyDescent="0.3">
      <c r="B85" s="2" t="s">
        <v>1990</v>
      </c>
      <c r="C85" s="2" t="s">
        <v>1991</v>
      </c>
      <c r="D85" s="2">
        <v>82402</v>
      </c>
      <c r="L85" s="2" t="s">
        <v>1980</v>
      </c>
      <c r="M85" s="2">
        <v>53411</v>
      </c>
      <c r="N85" s="2" t="s">
        <v>1981</v>
      </c>
      <c r="R85" s="1" t="str">
        <f t="shared" si="6"/>
        <v>征服者碎片</v>
      </c>
    </row>
    <row r="86" spans="2:18" x14ac:dyDescent="0.3">
      <c r="B86" s="2" t="s">
        <v>1994</v>
      </c>
      <c r="C86" s="2" t="s">
        <v>1995</v>
      </c>
      <c r="D86" s="2">
        <v>84202</v>
      </c>
      <c r="L86" s="2" t="s">
        <v>1984</v>
      </c>
      <c r="M86" s="2">
        <v>53421</v>
      </c>
      <c r="N86" s="2" t="s">
        <v>1985</v>
      </c>
      <c r="R86" s="1" t="str">
        <f t="shared" si="6"/>
        <v>IS-4碎片</v>
      </c>
    </row>
    <row r="87" spans="2:18" x14ac:dyDescent="0.3">
      <c r="B87" s="2" t="s">
        <v>1997</v>
      </c>
      <c r="C87" s="2" t="s">
        <v>1998</v>
      </c>
      <c r="D87" s="2">
        <v>80603</v>
      </c>
      <c r="L87" s="2" t="s">
        <v>1988</v>
      </c>
      <c r="M87" s="2">
        <v>53431</v>
      </c>
      <c r="N87" s="2" t="s">
        <v>1989</v>
      </c>
      <c r="R87" s="1" t="str">
        <f t="shared" si="6"/>
        <v>T-32碎片</v>
      </c>
    </row>
    <row r="88" spans="2:18" x14ac:dyDescent="0.3">
      <c r="B88" s="2" t="s">
        <v>1999</v>
      </c>
      <c r="C88" s="2" t="s">
        <v>2000</v>
      </c>
      <c r="D88" s="2">
        <v>82403</v>
      </c>
      <c r="L88" s="2" t="s">
        <v>1992</v>
      </c>
      <c r="M88" s="2">
        <v>53511</v>
      </c>
      <c r="N88" s="2" t="s">
        <v>1993</v>
      </c>
      <c r="R88" s="1" t="str">
        <f t="shared" si="6"/>
        <v>M1A2碎片</v>
      </c>
    </row>
    <row r="89" spans="2:18" x14ac:dyDescent="0.3">
      <c r="B89" s="2" t="s">
        <v>2002</v>
      </c>
      <c r="C89" s="2" t="s">
        <v>2003</v>
      </c>
      <c r="D89" s="2">
        <v>84203</v>
      </c>
      <c r="L89" s="1" t="s">
        <v>534</v>
      </c>
      <c r="M89" s="1">
        <v>53341</v>
      </c>
      <c r="N89" s="1" t="s">
        <v>1996</v>
      </c>
      <c r="R89" s="1" t="str">
        <f t="shared" si="6"/>
        <v>钢狼碎片</v>
      </c>
    </row>
    <row r="90" spans="2:18" x14ac:dyDescent="0.3">
      <c r="B90" s="2" t="s">
        <v>2005</v>
      </c>
      <c r="C90" s="2" t="s">
        <v>2006</v>
      </c>
      <c r="D90" s="2">
        <v>80701</v>
      </c>
      <c r="L90" s="2" t="s">
        <v>1856</v>
      </c>
      <c r="M90" s="2" t="s">
        <v>48</v>
      </c>
      <c r="N90" s="2" t="s">
        <v>1830</v>
      </c>
      <c r="R90" s="1" t="str">
        <f t="shared" si="6"/>
        <v>涂装简写</v>
      </c>
    </row>
    <row r="91" spans="2:18" x14ac:dyDescent="0.3">
      <c r="B91" s="2" t="s">
        <v>2008</v>
      </c>
      <c r="C91" s="2" t="s">
        <v>2009</v>
      </c>
      <c r="D91" s="2">
        <v>82501</v>
      </c>
      <c r="L91" s="2" t="s">
        <v>1858</v>
      </c>
      <c r="M91" s="2">
        <v>80101</v>
      </c>
      <c r="N91" s="2" t="s">
        <v>2001</v>
      </c>
      <c r="R91" s="1" t="str">
        <f t="shared" si="6"/>
        <v>T2低轻贴三</v>
      </c>
    </row>
    <row r="92" spans="2:18" x14ac:dyDescent="0.3">
      <c r="B92" s="2" t="s">
        <v>2010</v>
      </c>
      <c r="C92" s="2" t="s">
        <v>2011</v>
      </c>
      <c r="D92" s="2">
        <v>84301</v>
      </c>
      <c r="L92" s="2" t="s">
        <v>1860</v>
      </c>
      <c r="M92" s="2">
        <v>81901</v>
      </c>
      <c r="N92" s="2" t="s">
        <v>2004</v>
      </c>
      <c r="R92" s="1" t="str">
        <f t="shared" si="6"/>
        <v>T2低中贴三</v>
      </c>
    </row>
    <row r="93" spans="2:18" x14ac:dyDescent="0.3">
      <c r="B93" s="2" t="s">
        <v>2012</v>
      </c>
      <c r="C93" s="2" t="s">
        <v>2013</v>
      </c>
      <c r="D93" s="2">
        <v>80702</v>
      </c>
      <c r="L93" s="2" t="s">
        <v>1862</v>
      </c>
      <c r="M93" s="2">
        <v>83701</v>
      </c>
      <c r="N93" s="2" t="s">
        <v>2007</v>
      </c>
      <c r="R93" s="1" t="str">
        <f t="shared" si="6"/>
        <v>T2低重贴三</v>
      </c>
    </row>
    <row r="94" spans="2:18" x14ac:dyDescent="0.3">
      <c r="B94" s="2" t="s">
        <v>2014</v>
      </c>
      <c r="C94" s="2" t="s">
        <v>2015</v>
      </c>
      <c r="D94" s="2">
        <v>82502</v>
      </c>
      <c r="L94" s="2" t="s">
        <v>1864</v>
      </c>
      <c r="M94" s="2">
        <v>80102</v>
      </c>
      <c r="N94" s="2" t="s">
        <v>2001</v>
      </c>
      <c r="R94" s="1" t="str">
        <f t="shared" si="6"/>
        <v>T2低轻贴永</v>
      </c>
    </row>
    <row r="95" spans="2:18" x14ac:dyDescent="0.3">
      <c r="B95" s="2" t="s">
        <v>2017</v>
      </c>
      <c r="C95" s="2" t="s">
        <v>2018</v>
      </c>
      <c r="D95" s="2">
        <v>84302</v>
      </c>
      <c r="L95" s="2" t="s">
        <v>1866</v>
      </c>
      <c r="M95" s="2">
        <v>81902</v>
      </c>
      <c r="N95" s="2" t="s">
        <v>2004</v>
      </c>
      <c r="R95" s="1" t="str">
        <f t="shared" si="6"/>
        <v>T2低中贴永</v>
      </c>
    </row>
    <row r="96" spans="2:18" x14ac:dyDescent="0.3">
      <c r="B96" s="2" t="s">
        <v>2020</v>
      </c>
      <c r="C96" s="2" t="s">
        <v>2021</v>
      </c>
      <c r="D96" s="2">
        <v>80703</v>
      </c>
      <c r="L96" s="2" t="s">
        <v>1868</v>
      </c>
      <c r="M96" s="2">
        <v>83702</v>
      </c>
      <c r="N96" s="2" t="s">
        <v>2007</v>
      </c>
      <c r="R96" s="1" t="str">
        <f t="shared" si="6"/>
        <v>T2低重贴永</v>
      </c>
    </row>
    <row r="97" spans="2:18" x14ac:dyDescent="0.3">
      <c r="B97" s="2" t="s">
        <v>2023</v>
      </c>
      <c r="C97" s="2" t="s">
        <v>2024</v>
      </c>
      <c r="D97" s="2">
        <v>82503</v>
      </c>
      <c r="L97" s="2" t="s">
        <v>1870</v>
      </c>
      <c r="M97" s="2">
        <v>80301</v>
      </c>
      <c r="N97" s="2" t="s">
        <v>2016</v>
      </c>
      <c r="R97" s="1" t="str">
        <f t="shared" si="6"/>
        <v>T2中轻贴三</v>
      </c>
    </row>
    <row r="98" spans="2:18" x14ac:dyDescent="0.3">
      <c r="B98" s="2" t="s">
        <v>2025</v>
      </c>
      <c r="C98" s="2" t="s">
        <v>2026</v>
      </c>
      <c r="D98" s="2">
        <v>84303</v>
      </c>
      <c r="L98" s="2" t="s">
        <v>1872</v>
      </c>
      <c r="M98" s="2">
        <v>82101</v>
      </c>
      <c r="N98" s="2" t="s">
        <v>2019</v>
      </c>
      <c r="R98" s="1" t="str">
        <f t="shared" si="6"/>
        <v>T2中中贴三</v>
      </c>
    </row>
    <row r="99" spans="2:18" x14ac:dyDescent="0.3">
      <c r="B99" s="2" t="s">
        <v>2027</v>
      </c>
      <c r="C99" s="2" t="s">
        <v>2028</v>
      </c>
      <c r="D99" s="2">
        <v>80801</v>
      </c>
      <c r="L99" s="2" t="s">
        <v>1874</v>
      </c>
      <c r="M99" s="2">
        <v>83901</v>
      </c>
      <c r="N99" s="2" t="s">
        <v>2022</v>
      </c>
      <c r="R99" s="1" t="str">
        <f t="shared" si="6"/>
        <v>T2中重贴三</v>
      </c>
    </row>
    <row r="100" spans="2:18" x14ac:dyDescent="0.3">
      <c r="B100" s="2" t="s">
        <v>2029</v>
      </c>
      <c r="C100" s="2" t="s">
        <v>2030</v>
      </c>
      <c r="D100" s="2">
        <v>82601</v>
      </c>
      <c r="L100" s="2" t="s">
        <v>1878</v>
      </c>
      <c r="M100" s="2">
        <v>80302</v>
      </c>
      <c r="N100" s="2" t="s">
        <v>2016</v>
      </c>
      <c r="R100" s="1" t="str">
        <f t="shared" si="6"/>
        <v>T2中轻贴永</v>
      </c>
    </row>
    <row r="101" spans="2:18" x14ac:dyDescent="0.3">
      <c r="B101" s="2" t="s">
        <v>2032</v>
      </c>
      <c r="C101" s="2" t="s">
        <v>2033</v>
      </c>
      <c r="D101" s="2">
        <v>84401</v>
      </c>
      <c r="L101" s="2" t="s">
        <v>1882</v>
      </c>
      <c r="M101" s="2">
        <v>82102</v>
      </c>
      <c r="N101" s="2" t="s">
        <v>2019</v>
      </c>
      <c r="R101" s="1" t="str">
        <f t="shared" si="6"/>
        <v>T2中中贴永</v>
      </c>
    </row>
    <row r="102" spans="2:18" x14ac:dyDescent="0.3">
      <c r="B102" s="2" t="s">
        <v>2035</v>
      </c>
      <c r="C102" s="2" t="s">
        <v>2036</v>
      </c>
      <c r="D102" s="2">
        <v>80802</v>
      </c>
      <c r="L102" s="2" t="s">
        <v>1887</v>
      </c>
      <c r="M102" s="2">
        <v>83902</v>
      </c>
      <c r="N102" s="2" t="s">
        <v>2022</v>
      </c>
      <c r="R102" s="1" t="str">
        <f t="shared" si="6"/>
        <v>T2中重贴永</v>
      </c>
    </row>
    <row r="103" spans="2:18" x14ac:dyDescent="0.3">
      <c r="B103" s="2" t="s">
        <v>2038</v>
      </c>
      <c r="C103" s="2" t="s">
        <v>2039</v>
      </c>
      <c r="D103" s="2">
        <v>82602</v>
      </c>
      <c r="L103" s="2" t="s">
        <v>1891</v>
      </c>
      <c r="M103" s="2">
        <v>80201</v>
      </c>
      <c r="N103" s="2" t="s">
        <v>2031</v>
      </c>
      <c r="R103" s="1" t="str">
        <f t="shared" si="6"/>
        <v>T2低轻图三</v>
      </c>
    </row>
    <row r="104" spans="2:18" x14ac:dyDescent="0.3">
      <c r="B104" s="2" t="s">
        <v>2040</v>
      </c>
      <c r="C104" s="2" t="s">
        <v>2041</v>
      </c>
      <c r="D104" s="2">
        <v>84402</v>
      </c>
      <c r="L104" s="2" t="s">
        <v>1895</v>
      </c>
      <c r="M104" s="2">
        <v>82001</v>
      </c>
      <c r="N104" s="2" t="s">
        <v>2034</v>
      </c>
      <c r="R104" s="1" t="str">
        <f t="shared" si="6"/>
        <v>T2低中图三</v>
      </c>
    </row>
    <row r="105" spans="2:18" x14ac:dyDescent="0.3">
      <c r="B105" s="2" t="s">
        <v>2042</v>
      </c>
      <c r="C105" s="2" t="s">
        <v>2043</v>
      </c>
      <c r="D105" s="2">
        <v>80803</v>
      </c>
      <c r="L105" s="2" t="s">
        <v>1899</v>
      </c>
      <c r="M105" s="2">
        <v>83801</v>
      </c>
      <c r="N105" s="2" t="s">
        <v>2037</v>
      </c>
      <c r="R105" s="1" t="str">
        <f t="shared" si="6"/>
        <v>T2低重图三</v>
      </c>
    </row>
    <row r="106" spans="2:18" x14ac:dyDescent="0.3">
      <c r="B106" s="2" t="s">
        <v>2044</v>
      </c>
      <c r="C106" s="2" t="s">
        <v>2045</v>
      </c>
      <c r="D106" s="2">
        <v>82603</v>
      </c>
      <c r="L106" s="2" t="s">
        <v>1901</v>
      </c>
      <c r="M106" s="2">
        <v>80202</v>
      </c>
      <c r="N106" s="2" t="s">
        <v>2031</v>
      </c>
      <c r="R106" s="1" t="str">
        <f t="shared" si="6"/>
        <v>T2低轻图永</v>
      </c>
    </row>
    <row r="107" spans="2:18" x14ac:dyDescent="0.3">
      <c r="B107" s="2" t="s">
        <v>2047</v>
      </c>
      <c r="C107" s="2" t="s">
        <v>2048</v>
      </c>
      <c r="D107" s="2">
        <v>84403</v>
      </c>
      <c r="L107" s="2" t="s">
        <v>1905</v>
      </c>
      <c r="M107" s="2">
        <v>82002</v>
      </c>
      <c r="N107" s="2" t="s">
        <v>2034</v>
      </c>
      <c r="R107" s="1" t="str">
        <f t="shared" ref="R107:R133" si="7">L107</f>
        <v>T2低中图永</v>
      </c>
    </row>
    <row r="108" spans="2:18" x14ac:dyDescent="0.3">
      <c r="B108" s="2" t="s">
        <v>2050</v>
      </c>
      <c r="C108" s="2" t="s">
        <v>2051</v>
      </c>
      <c r="D108" s="2">
        <v>80901</v>
      </c>
      <c r="L108" s="2" t="s">
        <v>1909</v>
      </c>
      <c r="M108" s="2">
        <v>83802</v>
      </c>
      <c r="N108" s="2" t="s">
        <v>2037</v>
      </c>
      <c r="R108" s="1" t="str">
        <f t="shared" si="7"/>
        <v>T2低重图永</v>
      </c>
    </row>
    <row r="109" spans="2:18" x14ac:dyDescent="0.3">
      <c r="B109" s="2" t="s">
        <v>2053</v>
      </c>
      <c r="C109" s="2" t="s">
        <v>2054</v>
      </c>
      <c r="D109" s="2">
        <v>82701</v>
      </c>
      <c r="L109" s="2" t="s">
        <v>1913</v>
      </c>
      <c r="M109" s="2">
        <v>80401</v>
      </c>
      <c r="N109" s="2" t="s">
        <v>2046</v>
      </c>
      <c r="R109" s="1" t="str">
        <f t="shared" si="7"/>
        <v>T2中轻图三</v>
      </c>
    </row>
    <row r="110" spans="2:18" x14ac:dyDescent="0.3">
      <c r="B110" s="2" t="s">
        <v>2055</v>
      </c>
      <c r="C110" s="2" t="s">
        <v>2056</v>
      </c>
      <c r="D110" s="2">
        <v>84501</v>
      </c>
      <c r="L110" s="2" t="s">
        <v>1917</v>
      </c>
      <c r="M110" s="2">
        <v>82201</v>
      </c>
      <c r="N110" s="2" t="s">
        <v>2049</v>
      </c>
      <c r="R110" s="1" t="str">
        <f t="shared" si="7"/>
        <v>T2中中图三</v>
      </c>
    </row>
    <row r="111" spans="2:18" x14ac:dyDescent="0.3">
      <c r="B111" s="2" t="s">
        <v>2057</v>
      </c>
      <c r="C111" s="2" t="s">
        <v>2058</v>
      </c>
      <c r="D111" s="2">
        <v>80902</v>
      </c>
      <c r="L111" s="2" t="s">
        <v>1921</v>
      </c>
      <c r="M111" s="2">
        <v>84001</v>
      </c>
      <c r="N111" s="2" t="s">
        <v>2052</v>
      </c>
      <c r="R111" s="1" t="str">
        <f t="shared" si="7"/>
        <v>T2中重图三</v>
      </c>
    </row>
    <row r="112" spans="2:18" x14ac:dyDescent="0.3">
      <c r="B112" s="2" t="s">
        <v>2059</v>
      </c>
      <c r="C112" s="2" t="s">
        <v>2060</v>
      </c>
      <c r="D112" s="2">
        <v>82702</v>
      </c>
      <c r="L112" s="2" t="s">
        <v>1926</v>
      </c>
      <c r="M112" s="2">
        <v>80402</v>
      </c>
      <c r="N112" s="2" t="s">
        <v>2046</v>
      </c>
      <c r="R112" s="1" t="str">
        <f t="shared" si="7"/>
        <v>T2中轻图永</v>
      </c>
    </row>
    <row r="113" spans="2:18" x14ac:dyDescent="0.3">
      <c r="B113" s="2" t="s">
        <v>2062</v>
      </c>
      <c r="C113" s="2" t="s">
        <v>2063</v>
      </c>
      <c r="D113" s="2">
        <v>84502</v>
      </c>
      <c r="L113" s="2" t="s">
        <v>1930</v>
      </c>
      <c r="M113" s="2">
        <v>82202</v>
      </c>
      <c r="N113" s="2" t="s">
        <v>2049</v>
      </c>
      <c r="R113" s="1" t="str">
        <f t="shared" si="7"/>
        <v>T2中中图永</v>
      </c>
    </row>
    <row r="114" spans="2:18" x14ac:dyDescent="0.3">
      <c r="B114" s="2" t="s">
        <v>2065</v>
      </c>
      <c r="C114" s="2" t="s">
        <v>2066</v>
      </c>
      <c r="D114" s="2">
        <v>80903</v>
      </c>
      <c r="L114" s="2" t="s">
        <v>1934</v>
      </c>
      <c r="M114" s="2">
        <v>84002</v>
      </c>
      <c r="N114" s="2" t="s">
        <v>2052</v>
      </c>
      <c r="R114" s="1" t="str">
        <f t="shared" si="7"/>
        <v>T2中重图永</v>
      </c>
    </row>
    <row r="115" spans="2:18" x14ac:dyDescent="0.3">
      <c r="B115" s="2" t="s">
        <v>2068</v>
      </c>
      <c r="C115" s="2" t="s">
        <v>2069</v>
      </c>
      <c r="D115" s="2">
        <v>82703</v>
      </c>
      <c r="L115" s="2" t="s">
        <v>1938</v>
      </c>
      <c r="M115" s="2">
        <v>80501</v>
      </c>
      <c r="N115" s="2" t="s">
        <v>2061</v>
      </c>
      <c r="R115" s="1" t="str">
        <f t="shared" si="7"/>
        <v>T3低轻贴三</v>
      </c>
    </row>
    <row r="116" spans="2:18" x14ac:dyDescent="0.3">
      <c r="B116" s="2" t="s">
        <v>2070</v>
      </c>
      <c r="C116" s="2" t="s">
        <v>2071</v>
      </c>
      <c r="D116" s="2">
        <v>84503</v>
      </c>
      <c r="L116" s="2" t="s">
        <v>1942</v>
      </c>
      <c r="M116" s="2">
        <v>82301</v>
      </c>
      <c r="N116" s="2" t="s">
        <v>2064</v>
      </c>
      <c r="R116" s="1" t="str">
        <f t="shared" si="7"/>
        <v>T3低中贴三</v>
      </c>
    </row>
    <row r="117" spans="2:18" x14ac:dyDescent="0.3">
      <c r="B117" s="2" t="s">
        <v>2072</v>
      </c>
      <c r="C117" s="2" t="s">
        <v>2073</v>
      </c>
      <c r="D117" s="2">
        <v>81001</v>
      </c>
      <c r="L117" s="2" t="s">
        <v>1946</v>
      </c>
      <c r="M117" s="2">
        <v>84101</v>
      </c>
      <c r="N117" s="2" t="s">
        <v>2067</v>
      </c>
      <c r="R117" s="1" t="str">
        <f t="shared" si="7"/>
        <v>T3低重贴三</v>
      </c>
    </row>
    <row r="118" spans="2:18" x14ac:dyDescent="0.3">
      <c r="B118" s="2" t="s">
        <v>2074</v>
      </c>
      <c r="C118" s="2" t="s">
        <v>2075</v>
      </c>
      <c r="D118" s="2">
        <v>82801</v>
      </c>
      <c r="L118" s="2" t="s">
        <v>1950</v>
      </c>
      <c r="M118" s="2">
        <v>80502</v>
      </c>
      <c r="N118" s="2" t="s">
        <v>2061</v>
      </c>
      <c r="R118" s="1" t="str">
        <f t="shared" si="7"/>
        <v>T3低轻贴半</v>
      </c>
    </row>
    <row r="119" spans="2:18" x14ac:dyDescent="0.3">
      <c r="B119" s="2" t="s">
        <v>2076</v>
      </c>
      <c r="C119" s="2" t="s">
        <v>2077</v>
      </c>
      <c r="D119" s="2">
        <v>84601</v>
      </c>
      <c r="L119" s="2" t="s">
        <v>1954</v>
      </c>
      <c r="M119" s="2">
        <v>82302</v>
      </c>
      <c r="N119" s="2" t="s">
        <v>2064</v>
      </c>
      <c r="R119" s="1" t="str">
        <f t="shared" si="7"/>
        <v>T3低中贴半</v>
      </c>
    </row>
    <row r="120" spans="2:18" x14ac:dyDescent="0.3">
      <c r="B120" s="2" t="s">
        <v>2078</v>
      </c>
      <c r="C120" s="2" t="s">
        <v>2079</v>
      </c>
      <c r="D120" s="2">
        <v>81002</v>
      </c>
      <c r="L120" s="2" t="s">
        <v>1957</v>
      </c>
      <c r="M120" s="2">
        <v>84102</v>
      </c>
      <c r="N120" s="2" t="s">
        <v>2067</v>
      </c>
      <c r="R120" s="1" t="str">
        <f t="shared" si="7"/>
        <v>T3低重贴半</v>
      </c>
    </row>
    <row r="121" spans="2:18" x14ac:dyDescent="0.3">
      <c r="B121" s="2" t="s">
        <v>2080</v>
      </c>
      <c r="C121" s="2" t="s">
        <v>2081</v>
      </c>
      <c r="D121" s="2">
        <v>82802</v>
      </c>
      <c r="L121" s="2" t="s">
        <v>1961</v>
      </c>
      <c r="M121" s="2">
        <v>80503</v>
      </c>
      <c r="N121" s="2" t="s">
        <v>2061</v>
      </c>
      <c r="R121" s="1" t="str">
        <f t="shared" si="7"/>
        <v>T3低轻贴永</v>
      </c>
    </row>
    <row r="122" spans="2:18" x14ac:dyDescent="0.3">
      <c r="B122" s="2" t="s">
        <v>2083</v>
      </c>
      <c r="C122" s="2" t="s">
        <v>2084</v>
      </c>
      <c r="D122" s="2">
        <v>84602</v>
      </c>
      <c r="L122" s="2" t="s">
        <v>1966</v>
      </c>
      <c r="M122" s="2">
        <v>82303</v>
      </c>
      <c r="N122" s="2" t="s">
        <v>2064</v>
      </c>
      <c r="R122" s="1" t="str">
        <f t="shared" si="7"/>
        <v>T3低中贴永</v>
      </c>
    </row>
    <row r="123" spans="2:18" x14ac:dyDescent="0.3">
      <c r="B123" s="2" t="s">
        <v>2086</v>
      </c>
      <c r="C123" s="2" t="s">
        <v>2087</v>
      </c>
      <c r="D123" s="2">
        <v>81003</v>
      </c>
      <c r="L123" s="2" t="s">
        <v>1970</v>
      </c>
      <c r="M123" s="2">
        <v>84103</v>
      </c>
      <c r="N123" s="2" t="s">
        <v>2067</v>
      </c>
      <c r="R123" s="1" t="str">
        <f t="shared" si="7"/>
        <v>T3低重贴永</v>
      </c>
    </row>
    <row r="124" spans="2:18" x14ac:dyDescent="0.3">
      <c r="B124" s="2" t="s">
        <v>2089</v>
      </c>
      <c r="C124" s="2" t="s">
        <v>2090</v>
      </c>
      <c r="D124" s="2">
        <v>82803</v>
      </c>
      <c r="L124" s="2" t="s">
        <v>1974</v>
      </c>
      <c r="M124" s="2">
        <v>80601</v>
      </c>
      <c r="N124" s="2" t="s">
        <v>2082</v>
      </c>
      <c r="R124" s="1" t="str">
        <f t="shared" si="7"/>
        <v>T3低轻图三</v>
      </c>
    </row>
    <row r="125" spans="2:18" x14ac:dyDescent="0.3">
      <c r="B125" s="2" t="s">
        <v>2091</v>
      </c>
      <c r="C125" s="2" t="s">
        <v>2092</v>
      </c>
      <c r="D125" s="2">
        <v>84603</v>
      </c>
      <c r="L125" s="2" t="s">
        <v>1978</v>
      </c>
      <c r="M125" s="2">
        <v>82401</v>
      </c>
      <c r="N125" s="2" t="s">
        <v>2085</v>
      </c>
      <c r="R125" s="1" t="str">
        <f t="shared" si="7"/>
        <v>T3低中图三</v>
      </c>
    </row>
    <row r="126" spans="2:18" x14ac:dyDescent="0.3">
      <c r="B126" s="2" t="s">
        <v>2093</v>
      </c>
      <c r="C126" s="2" t="s">
        <v>2094</v>
      </c>
      <c r="D126" s="2">
        <v>81101</v>
      </c>
      <c r="L126" s="2" t="s">
        <v>1982</v>
      </c>
      <c r="M126" s="2">
        <v>84201</v>
      </c>
      <c r="N126" s="2" t="s">
        <v>2088</v>
      </c>
      <c r="R126" s="1" t="str">
        <f t="shared" si="7"/>
        <v>T3低重图三</v>
      </c>
    </row>
    <row r="127" spans="2:18" x14ac:dyDescent="0.3">
      <c r="B127" s="2" t="s">
        <v>2095</v>
      </c>
      <c r="C127" s="2" t="s">
        <v>2096</v>
      </c>
      <c r="D127" s="2">
        <v>82901</v>
      </c>
      <c r="L127" s="2" t="s">
        <v>1986</v>
      </c>
      <c r="M127" s="2">
        <v>80602</v>
      </c>
      <c r="N127" s="2" t="s">
        <v>2082</v>
      </c>
      <c r="R127" s="1" t="str">
        <f t="shared" si="7"/>
        <v>T3低轻图半</v>
      </c>
    </row>
    <row r="128" spans="2:18" x14ac:dyDescent="0.3">
      <c r="B128" s="2" t="s">
        <v>2097</v>
      </c>
      <c r="C128" s="2" t="s">
        <v>2098</v>
      </c>
      <c r="D128" s="2">
        <v>84701</v>
      </c>
      <c r="L128" s="2" t="s">
        <v>1990</v>
      </c>
      <c r="M128" s="2">
        <v>82402</v>
      </c>
      <c r="N128" s="2" t="s">
        <v>2085</v>
      </c>
      <c r="R128" s="1" t="str">
        <f t="shared" si="7"/>
        <v>T3低中图半</v>
      </c>
    </row>
    <row r="129" spans="2:18" x14ac:dyDescent="0.3">
      <c r="B129" s="2" t="s">
        <v>2099</v>
      </c>
      <c r="C129" s="2" t="s">
        <v>2100</v>
      </c>
      <c r="D129" s="2">
        <v>81102</v>
      </c>
      <c r="L129" s="2" t="s">
        <v>1994</v>
      </c>
      <c r="M129" s="2">
        <v>84202</v>
      </c>
      <c r="N129" s="2" t="s">
        <v>2088</v>
      </c>
      <c r="R129" s="1" t="str">
        <f t="shared" si="7"/>
        <v>T3低重图半</v>
      </c>
    </row>
    <row r="130" spans="2:18" x14ac:dyDescent="0.3">
      <c r="B130" s="2" t="s">
        <v>2101</v>
      </c>
      <c r="C130" s="2" t="s">
        <v>2102</v>
      </c>
      <c r="D130" s="2">
        <v>82902</v>
      </c>
      <c r="L130" s="2" t="s">
        <v>1997</v>
      </c>
      <c r="M130" s="2">
        <v>80603</v>
      </c>
      <c r="N130" s="2" t="s">
        <v>2082</v>
      </c>
      <c r="R130" s="1" t="str">
        <f t="shared" si="7"/>
        <v>T3低轻图永</v>
      </c>
    </row>
    <row r="131" spans="2:18" x14ac:dyDescent="0.3">
      <c r="B131" s="2" t="s">
        <v>2104</v>
      </c>
      <c r="C131" s="2" t="s">
        <v>2105</v>
      </c>
      <c r="D131" s="2">
        <v>84702</v>
      </c>
      <c r="L131" s="2" t="s">
        <v>1999</v>
      </c>
      <c r="M131" s="2">
        <v>82403</v>
      </c>
      <c r="N131" s="2" t="s">
        <v>2085</v>
      </c>
      <c r="R131" s="1" t="str">
        <f t="shared" si="7"/>
        <v>T3低中图永</v>
      </c>
    </row>
    <row r="132" spans="2:18" x14ac:dyDescent="0.3">
      <c r="B132" s="2" t="s">
        <v>2107</v>
      </c>
      <c r="C132" s="2" t="s">
        <v>2108</v>
      </c>
      <c r="D132" s="2">
        <v>81103</v>
      </c>
      <c r="L132" s="2" t="s">
        <v>2002</v>
      </c>
      <c r="M132" s="2">
        <v>84203</v>
      </c>
      <c r="N132" s="2" t="s">
        <v>2088</v>
      </c>
      <c r="R132" s="1" t="str">
        <f t="shared" si="7"/>
        <v>T3低重图永</v>
      </c>
    </row>
    <row r="133" spans="2:18" x14ac:dyDescent="0.3">
      <c r="B133" s="2" t="s">
        <v>2110</v>
      </c>
      <c r="C133" s="2" t="s">
        <v>2111</v>
      </c>
      <c r="D133" s="2">
        <v>82903</v>
      </c>
      <c r="L133" s="2" t="s">
        <v>2005</v>
      </c>
      <c r="M133" s="2">
        <v>80701</v>
      </c>
      <c r="N133" s="2" t="s">
        <v>2103</v>
      </c>
      <c r="R133" s="1" t="str">
        <f t="shared" si="7"/>
        <v>T3中轻贴三</v>
      </c>
    </row>
    <row r="134" spans="2:18" x14ac:dyDescent="0.3">
      <c r="B134" s="2" t="s">
        <v>2112</v>
      </c>
      <c r="C134" s="2" t="s">
        <v>2113</v>
      </c>
      <c r="D134" s="2">
        <v>84703</v>
      </c>
      <c r="L134" s="2" t="s">
        <v>2008</v>
      </c>
      <c r="M134" s="2">
        <v>82501</v>
      </c>
      <c r="N134" s="2" t="s">
        <v>2106</v>
      </c>
      <c r="R134" s="1" t="str">
        <f t="shared" ref="R134:R197" si="8">L134</f>
        <v>T3中中贴三</v>
      </c>
    </row>
    <row r="135" spans="2:18" x14ac:dyDescent="0.3">
      <c r="B135" s="2" t="s">
        <v>2114</v>
      </c>
      <c r="C135" s="2" t="s">
        <v>2115</v>
      </c>
      <c r="D135" s="2">
        <v>81201</v>
      </c>
      <c r="L135" s="2" t="s">
        <v>2010</v>
      </c>
      <c r="M135" s="2">
        <v>84301</v>
      </c>
      <c r="N135" s="2" t="s">
        <v>2109</v>
      </c>
      <c r="R135" s="1" t="str">
        <f t="shared" si="8"/>
        <v>T3中重贴三</v>
      </c>
    </row>
    <row r="136" spans="2:18" x14ac:dyDescent="0.3">
      <c r="B136" s="2" t="s">
        <v>2116</v>
      </c>
      <c r="C136" s="2" t="s">
        <v>2117</v>
      </c>
      <c r="D136" s="2">
        <v>83001</v>
      </c>
      <c r="L136" s="2" t="s">
        <v>2012</v>
      </c>
      <c r="M136" s="2">
        <v>80702</v>
      </c>
      <c r="N136" s="2" t="s">
        <v>2103</v>
      </c>
      <c r="R136" s="1" t="str">
        <f t="shared" si="8"/>
        <v>T3中轻贴半</v>
      </c>
    </row>
    <row r="137" spans="2:18" x14ac:dyDescent="0.3">
      <c r="B137" s="2" t="s">
        <v>2118</v>
      </c>
      <c r="C137" s="2" t="s">
        <v>2119</v>
      </c>
      <c r="D137" s="2">
        <v>84801</v>
      </c>
      <c r="L137" s="2" t="s">
        <v>2014</v>
      </c>
      <c r="M137" s="2">
        <v>82502</v>
      </c>
      <c r="N137" s="2" t="s">
        <v>2106</v>
      </c>
      <c r="R137" s="1" t="str">
        <f t="shared" si="8"/>
        <v>T3中中贴半</v>
      </c>
    </row>
    <row r="138" spans="2:18" x14ac:dyDescent="0.3">
      <c r="B138" s="2" t="s">
        <v>2120</v>
      </c>
      <c r="C138" s="2" t="s">
        <v>2121</v>
      </c>
      <c r="D138" s="2">
        <v>81202</v>
      </c>
      <c r="L138" s="2" t="s">
        <v>2017</v>
      </c>
      <c r="M138" s="2">
        <v>84302</v>
      </c>
      <c r="N138" s="2" t="s">
        <v>2109</v>
      </c>
      <c r="R138" s="1" t="str">
        <f t="shared" si="8"/>
        <v>T3中重贴半</v>
      </c>
    </row>
    <row r="139" spans="2:18" x14ac:dyDescent="0.3">
      <c r="B139" s="2" t="s">
        <v>2122</v>
      </c>
      <c r="C139" s="2" t="s">
        <v>2123</v>
      </c>
      <c r="D139" s="2">
        <v>83002</v>
      </c>
      <c r="L139" s="2" t="s">
        <v>2020</v>
      </c>
      <c r="M139" s="2">
        <v>80703</v>
      </c>
      <c r="N139" s="2" t="s">
        <v>2103</v>
      </c>
      <c r="R139" s="1" t="str">
        <f t="shared" si="8"/>
        <v>T3中轻贴永</v>
      </c>
    </row>
    <row r="140" spans="2:18" x14ac:dyDescent="0.3">
      <c r="B140" s="2" t="s">
        <v>2125</v>
      </c>
      <c r="C140" s="2" t="s">
        <v>2126</v>
      </c>
      <c r="D140" s="2">
        <v>84802</v>
      </c>
      <c r="L140" s="2" t="s">
        <v>2023</v>
      </c>
      <c r="M140" s="2">
        <v>82503</v>
      </c>
      <c r="N140" s="2" t="s">
        <v>2106</v>
      </c>
      <c r="R140" s="1" t="str">
        <f t="shared" si="8"/>
        <v>T3中中贴永</v>
      </c>
    </row>
    <row r="141" spans="2:18" x14ac:dyDescent="0.3">
      <c r="B141" s="2" t="s">
        <v>2128</v>
      </c>
      <c r="C141" s="2" t="s">
        <v>2129</v>
      </c>
      <c r="D141" s="2">
        <v>81203</v>
      </c>
      <c r="L141" s="2" t="s">
        <v>2025</v>
      </c>
      <c r="M141" s="2">
        <v>84303</v>
      </c>
      <c r="N141" s="2" t="s">
        <v>2109</v>
      </c>
      <c r="R141" s="1" t="str">
        <f t="shared" si="8"/>
        <v>T3中重贴永</v>
      </c>
    </row>
    <row r="142" spans="2:18" x14ac:dyDescent="0.3">
      <c r="B142" s="2" t="s">
        <v>2131</v>
      </c>
      <c r="C142" s="2" t="s">
        <v>2132</v>
      </c>
      <c r="D142" s="2">
        <v>83003</v>
      </c>
      <c r="L142" s="2" t="s">
        <v>2027</v>
      </c>
      <c r="M142" s="2">
        <v>80801</v>
      </c>
      <c r="N142" s="2" t="s">
        <v>2124</v>
      </c>
      <c r="R142" s="1" t="str">
        <f t="shared" si="8"/>
        <v>T3中轻图三</v>
      </c>
    </row>
    <row r="143" spans="2:18" x14ac:dyDescent="0.3">
      <c r="B143" s="2" t="s">
        <v>2133</v>
      </c>
      <c r="C143" s="2" t="s">
        <v>2134</v>
      </c>
      <c r="D143" s="2">
        <v>84803</v>
      </c>
      <c r="L143" s="2" t="s">
        <v>2029</v>
      </c>
      <c r="M143" s="2">
        <v>82601</v>
      </c>
      <c r="N143" s="2" t="s">
        <v>2127</v>
      </c>
      <c r="R143" s="1" t="str">
        <f t="shared" si="8"/>
        <v>T3中中图三</v>
      </c>
    </row>
    <row r="144" spans="2:18" x14ac:dyDescent="0.3">
      <c r="B144" s="2" t="s">
        <v>2135</v>
      </c>
      <c r="C144" s="2" t="s">
        <v>2136</v>
      </c>
      <c r="D144" s="2">
        <v>81301</v>
      </c>
      <c r="L144" s="2" t="s">
        <v>2032</v>
      </c>
      <c r="M144" s="2">
        <v>84401</v>
      </c>
      <c r="N144" s="2" t="s">
        <v>2130</v>
      </c>
      <c r="R144" s="1" t="str">
        <f t="shared" si="8"/>
        <v>T3中重图三</v>
      </c>
    </row>
    <row r="145" spans="2:18" x14ac:dyDescent="0.3">
      <c r="B145" s="2" t="s">
        <v>2137</v>
      </c>
      <c r="C145" s="2" t="s">
        <v>2138</v>
      </c>
      <c r="D145" s="2">
        <v>83101</v>
      </c>
      <c r="L145" s="2" t="s">
        <v>2035</v>
      </c>
      <c r="M145" s="2">
        <v>80802</v>
      </c>
      <c r="N145" s="2" t="s">
        <v>2124</v>
      </c>
      <c r="R145" s="1" t="str">
        <f t="shared" si="8"/>
        <v>T3中轻图半</v>
      </c>
    </row>
    <row r="146" spans="2:18" x14ac:dyDescent="0.3">
      <c r="B146" s="2" t="s">
        <v>2139</v>
      </c>
      <c r="C146" s="2" t="s">
        <v>2140</v>
      </c>
      <c r="D146" s="2">
        <v>84901</v>
      </c>
      <c r="L146" s="2" t="s">
        <v>2038</v>
      </c>
      <c r="M146" s="2">
        <v>82602</v>
      </c>
      <c r="N146" s="2" t="s">
        <v>2127</v>
      </c>
      <c r="R146" s="1" t="str">
        <f t="shared" si="8"/>
        <v>T3中中图半</v>
      </c>
    </row>
    <row r="147" spans="2:18" x14ac:dyDescent="0.3">
      <c r="B147" s="2" t="s">
        <v>2141</v>
      </c>
      <c r="C147" s="2" t="s">
        <v>2142</v>
      </c>
      <c r="D147" s="2">
        <v>81302</v>
      </c>
      <c r="L147" s="2" t="s">
        <v>2040</v>
      </c>
      <c r="M147" s="2">
        <v>84402</v>
      </c>
      <c r="N147" s="2" t="s">
        <v>2130</v>
      </c>
      <c r="R147" s="1" t="str">
        <f t="shared" si="8"/>
        <v>T3中重图半</v>
      </c>
    </row>
    <row r="148" spans="2:18" x14ac:dyDescent="0.3">
      <c r="B148" s="2" t="s">
        <v>2143</v>
      </c>
      <c r="C148" s="2" t="s">
        <v>2144</v>
      </c>
      <c r="D148" s="2">
        <v>83102</v>
      </c>
      <c r="L148" s="2" t="s">
        <v>2042</v>
      </c>
      <c r="M148" s="2">
        <v>80803</v>
      </c>
      <c r="N148" s="2" t="s">
        <v>2124</v>
      </c>
      <c r="R148" s="1" t="str">
        <f t="shared" si="8"/>
        <v>T3中轻图永</v>
      </c>
    </row>
    <row r="149" spans="2:18" x14ac:dyDescent="0.3">
      <c r="B149" s="2" t="s">
        <v>2146</v>
      </c>
      <c r="C149" s="2" t="s">
        <v>2147</v>
      </c>
      <c r="D149" s="2">
        <v>84902</v>
      </c>
      <c r="L149" s="2" t="s">
        <v>2044</v>
      </c>
      <c r="M149" s="2">
        <v>82603</v>
      </c>
      <c r="N149" s="2" t="s">
        <v>2127</v>
      </c>
      <c r="R149" s="1" t="str">
        <f t="shared" si="8"/>
        <v>T3中中图永</v>
      </c>
    </row>
    <row r="150" spans="2:18" x14ac:dyDescent="0.3">
      <c r="B150" s="2" t="s">
        <v>2149</v>
      </c>
      <c r="C150" s="2" t="s">
        <v>2150</v>
      </c>
      <c r="D150" s="2">
        <v>81303</v>
      </c>
      <c r="L150" s="2" t="s">
        <v>2047</v>
      </c>
      <c r="M150" s="2">
        <v>84403</v>
      </c>
      <c r="N150" s="2" t="s">
        <v>2130</v>
      </c>
      <c r="R150" s="1" t="str">
        <f t="shared" si="8"/>
        <v>T3中重图永</v>
      </c>
    </row>
    <row r="151" spans="2:18" x14ac:dyDescent="0.3">
      <c r="B151" s="2" t="s">
        <v>2152</v>
      </c>
      <c r="C151" s="2" t="s">
        <v>2153</v>
      </c>
      <c r="D151" s="2">
        <v>83103</v>
      </c>
      <c r="L151" s="2" t="s">
        <v>2050</v>
      </c>
      <c r="M151" s="2">
        <v>80901</v>
      </c>
      <c r="N151" s="2" t="s">
        <v>2145</v>
      </c>
      <c r="R151" s="1" t="str">
        <f t="shared" si="8"/>
        <v>T3高轻贴三</v>
      </c>
    </row>
    <row r="152" spans="2:18" x14ac:dyDescent="0.3">
      <c r="B152" s="2" t="s">
        <v>2154</v>
      </c>
      <c r="C152" s="2" t="s">
        <v>2155</v>
      </c>
      <c r="D152" s="2">
        <v>84903</v>
      </c>
      <c r="L152" s="2" t="s">
        <v>2053</v>
      </c>
      <c r="M152" s="2">
        <v>82701</v>
      </c>
      <c r="N152" s="2" t="s">
        <v>2148</v>
      </c>
      <c r="R152" s="1" t="str">
        <f t="shared" si="8"/>
        <v>T3高中贴三</v>
      </c>
    </row>
    <row r="153" spans="2:18" x14ac:dyDescent="0.3">
      <c r="B153" s="2" t="s">
        <v>2156</v>
      </c>
      <c r="C153" s="2" t="s">
        <v>2157</v>
      </c>
      <c r="D153" s="2">
        <v>81401</v>
      </c>
      <c r="L153" s="2" t="s">
        <v>2055</v>
      </c>
      <c r="M153" s="2">
        <v>84501</v>
      </c>
      <c r="N153" s="2" t="s">
        <v>2151</v>
      </c>
      <c r="R153" s="1" t="str">
        <f t="shared" si="8"/>
        <v>T3高重贴三</v>
      </c>
    </row>
    <row r="154" spans="2:18" x14ac:dyDescent="0.3">
      <c r="B154" s="2" t="s">
        <v>2158</v>
      </c>
      <c r="C154" s="2" t="s">
        <v>2159</v>
      </c>
      <c r="D154" s="2">
        <v>83201</v>
      </c>
      <c r="L154" s="2" t="s">
        <v>2057</v>
      </c>
      <c r="M154" s="2">
        <v>80902</v>
      </c>
      <c r="N154" s="2" t="s">
        <v>2145</v>
      </c>
      <c r="R154" s="1" t="str">
        <f t="shared" si="8"/>
        <v>T3高轻贴半</v>
      </c>
    </row>
    <row r="155" spans="2:18" x14ac:dyDescent="0.3">
      <c r="B155" s="2" t="s">
        <v>2160</v>
      </c>
      <c r="C155" s="2" t="s">
        <v>2161</v>
      </c>
      <c r="D155" s="2">
        <v>85001</v>
      </c>
      <c r="L155" s="2" t="s">
        <v>2059</v>
      </c>
      <c r="M155" s="2">
        <v>82702</v>
      </c>
      <c r="N155" s="2" t="s">
        <v>2148</v>
      </c>
      <c r="R155" s="1" t="str">
        <f t="shared" si="8"/>
        <v>T3高中贴半</v>
      </c>
    </row>
    <row r="156" spans="2:18" x14ac:dyDescent="0.3">
      <c r="B156" s="2" t="s">
        <v>2162</v>
      </c>
      <c r="C156" s="2" t="s">
        <v>2163</v>
      </c>
      <c r="D156" s="2">
        <v>81402</v>
      </c>
      <c r="L156" s="2" t="s">
        <v>2062</v>
      </c>
      <c r="M156" s="2">
        <v>84502</v>
      </c>
      <c r="N156" s="2" t="s">
        <v>2151</v>
      </c>
      <c r="R156" s="1" t="str">
        <f t="shared" si="8"/>
        <v>T3高重贴半</v>
      </c>
    </row>
    <row r="157" spans="2:18" x14ac:dyDescent="0.3">
      <c r="B157" s="2" t="s">
        <v>2164</v>
      </c>
      <c r="C157" s="2" t="s">
        <v>2165</v>
      </c>
      <c r="D157" s="2">
        <v>83202</v>
      </c>
      <c r="L157" s="2" t="s">
        <v>2065</v>
      </c>
      <c r="M157" s="2">
        <v>80903</v>
      </c>
      <c r="N157" s="2" t="s">
        <v>2145</v>
      </c>
      <c r="R157" s="1" t="str">
        <f t="shared" si="8"/>
        <v>T3高轻贴永</v>
      </c>
    </row>
    <row r="158" spans="2:18" x14ac:dyDescent="0.3">
      <c r="B158" s="2" t="s">
        <v>2167</v>
      </c>
      <c r="C158" s="2" t="s">
        <v>2168</v>
      </c>
      <c r="D158" s="2">
        <v>85002</v>
      </c>
      <c r="L158" s="2" t="s">
        <v>2068</v>
      </c>
      <c r="M158" s="2">
        <v>82703</v>
      </c>
      <c r="N158" s="2" t="s">
        <v>2148</v>
      </c>
      <c r="R158" s="1" t="str">
        <f t="shared" si="8"/>
        <v>T3高中贴永</v>
      </c>
    </row>
    <row r="159" spans="2:18" x14ac:dyDescent="0.3">
      <c r="B159" s="2" t="s">
        <v>2170</v>
      </c>
      <c r="C159" s="2" t="s">
        <v>2171</v>
      </c>
      <c r="D159" s="2">
        <v>81403</v>
      </c>
      <c r="L159" s="2" t="s">
        <v>2070</v>
      </c>
      <c r="M159" s="2">
        <v>84503</v>
      </c>
      <c r="N159" s="2" t="s">
        <v>2151</v>
      </c>
      <c r="R159" s="1" t="str">
        <f t="shared" si="8"/>
        <v>T3高重贴永</v>
      </c>
    </row>
    <row r="160" spans="2:18" x14ac:dyDescent="0.3">
      <c r="B160" s="2" t="s">
        <v>2173</v>
      </c>
      <c r="C160" s="2" t="s">
        <v>2174</v>
      </c>
      <c r="D160" s="2">
        <v>83203</v>
      </c>
      <c r="L160" s="2" t="s">
        <v>2072</v>
      </c>
      <c r="M160" s="2">
        <v>81001</v>
      </c>
      <c r="N160" s="2" t="s">
        <v>2166</v>
      </c>
      <c r="R160" s="1" t="str">
        <f t="shared" si="8"/>
        <v>T3高轻图三</v>
      </c>
    </row>
    <row r="161" spans="2:18" x14ac:dyDescent="0.3">
      <c r="B161" s="2" t="s">
        <v>2175</v>
      </c>
      <c r="C161" s="2" t="s">
        <v>2176</v>
      </c>
      <c r="D161" s="2">
        <v>85003</v>
      </c>
      <c r="L161" s="2" t="s">
        <v>2074</v>
      </c>
      <c r="M161" s="2">
        <v>82801</v>
      </c>
      <c r="N161" s="2" t="s">
        <v>2169</v>
      </c>
      <c r="R161" s="1" t="str">
        <f t="shared" si="8"/>
        <v>T3高中图三</v>
      </c>
    </row>
    <row r="162" spans="2:18" x14ac:dyDescent="0.3">
      <c r="B162" s="2" t="s">
        <v>2177</v>
      </c>
      <c r="C162" s="2" t="s">
        <v>2178</v>
      </c>
      <c r="D162" s="2">
        <v>81501</v>
      </c>
      <c r="L162" s="2" t="s">
        <v>2076</v>
      </c>
      <c r="M162" s="2">
        <v>84601</v>
      </c>
      <c r="N162" s="2" t="s">
        <v>2172</v>
      </c>
      <c r="R162" s="1" t="str">
        <f t="shared" si="8"/>
        <v>T3高重图三</v>
      </c>
    </row>
    <row r="163" spans="2:18" x14ac:dyDescent="0.3">
      <c r="B163" s="2" t="s">
        <v>2179</v>
      </c>
      <c r="C163" s="2" t="s">
        <v>2180</v>
      </c>
      <c r="D163" s="2">
        <v>83301</v>
      </c>
      <c r="L163" s="2" t="s">
        <v>2078</v>
      </c>
      <c r="M163" s="2">
        <v>81002</v>
      </c>
      <c r="N163" s="2" t="s">
        <v>2166</v>
      </c>
      <c r="R163" s="1" t="str">
        <f t="shared" si="8"/>
        <v>T3高轻图半</v>
      </c>
    </row>
    <row r="164" spans="2:18" x14ac:dyDescent="0.3">
      <c r="B164" s="2" t="s">
        <v>2181</v>
      </c>
      <c r="C164" s="2" t="s">
        <v>2182</v>
      </c>
      <c r="D164" s="2">
        <v>85101</v>
      </c>
      <c r="L164" s="2" t="s">
        <v>2080</v>
      </c>
      <c r="M164" s="2">
        <v>82802</v>
      </c>
      <c r="N164" s="2" t="s">
        <v>2169</v>
      </c>
      <c r="R164" s="1" t="str">
        <f t="shared" si="8"/>
        <v>T3高中图半</v>
      </c>
    </row>
    <row r="165" spans="2:18" x14ac:dyDescent="0.3">
      <c r="B165" s="2" t="s">
        <v>2183</v>
      </c>
      <c r="C165" s="2" t="s">
        <v>2184</v>
      </c>
      <c r="D165" s="2">
        <v>81502</v>
      </c>
      <c r="L165" s="2" t="s">
        <v>2083</v>
      </c>
      <c r="M165" s="2">
        <v>84602</v>
      </c>
      <c r="N165" s="2" t="s">
        <v>2172</v>
      </c>
      <c r="R165" s="1" t="str">
        <f t="shared" si="8"/>
        <v>T3高重图半</v>
      </c>
    </row>
    <row r="166" spans="2:18" x14ac:dyDescent="0.3">
      <c r="B166" s="2" t="s">
        <v>2185</v>
      </c>
      <c r="C166" s="2" t="s">
        <v>2186</v>
      </c>
      <c r="D166" s="2">
        <v>83302</v>
      </c>
      <c r="L166" s="2" t="s">
        <v>2086</v>
      </c>
      <c r="M166" s="2">
        <v>81003</v>
      </c>
      <c r="N166" s="2" t="s">
        <v>2166</v>
      </c>
      <c r="R166" s="1" t="str">
        <f t="shared" si="8"/>
        <v>T3高轻图永</v>
      </c>
    </row>
    <row r="167" spans="2:18" x14ac:dyDescent="0.3">
      <c r="B167" s="2" t="s">
        <v>2188</v>
      </c>
      <c r="C167" s="2" t="s">
        <v>2189</v>
      </c>
      <c r="D167" s="2">
        <v>85102</v>
      </c>
      <c r="L167" s="2" t="s">
        <v>2089</v>
      </c>
      <c r="M167" s="2">
        <v>82803</v>
      </c>
      <c r="N167" s="2" t="s">
        <v>2169</v>
      </c>
      <c r="R167" s="1" t="str">
        <f t="shared" si="8"/>
        <v>T3高中图永</v>
      </c>
    </row>
    <row r="168" spans="2:18" x14ac:dyDescent="0.3">
      <c r="B168" s="2" t="s">
        <v>2191</v>
      </c>
      <c r="C168" s="2" t="s">
        <v>2192</v>
      </c>
      <c r="D168" s="2">
        <v>81503</v>
      </c>
      <c r="L168" s="2" t="s">
        <v>2091</v>
      </c>
      <c r="M168" s="2">
        <v>84603</v>
      </c>
      <c r="N168" s="2" t="s">
        <v>2172</v>
      </c>
      <c r="R168" s="1" t="str">
        <f t="shared" si="8"/>
        <v>T3高重图永</v>
      </c>
    </row>
    <row r="169" spans="2:18" x14ac:dyDescent="0.3">
      <c r="B169" s="2" t="s">
        <v>2194</v>
      </c>
      <c r="C169" s="2" t="s">
        <v>2195</v>
      </c>
      <c r="D169" s="2">
        <v>83303</v>
      </c>
      <c r="L169" s="2" t="s">
        <v>2093</v>
      </c>
      <c r="M169" s="2">
        <v>81101</v>
      </c>
      <c r="N169" s="2" t="s">
        <v>2187</v>
      </c>
      <c r="R169" s="1" t="str">
        <f t="shared" si="8"/>
        <v>T4低轻贴三</v>
      </c>
    </row>
    <row r="170" spans="2:18" x14ac:dyDescent="0.3">
      <c r="B170" s="2" t="s">
        <v>2196</v>
      </c>
      <c r="C170" s="2" t="s">
        <v>2197</v>
      </c>
      <c r="D170" s="2">
        <v>85103</v>
      </c>
      <c r="L170" s="2" t="s">
        <v>2095</v>
      </c>
      <c r="M170" s="2">
        <v>82901</v>
      </c>
      <c r="N170" s="2" t="s">
        <v>2190</v>
      </c>
      <c r="R170" s="1" t="str">
        <f t="shared" si="8"/>
        <v>T4低中贴三</v>
      </c>
    </row>
    <row r="171" spans="2:18" x14ac:dyDescent="0.3">
      <c r="B171" s="2" t="s">
        <v>2198</v>
      </c>
      <c r="C171" s="2" t="s">
        <v>2199</v>
      </c>
      <c r="D171" s="2">
        <v>81601</v>
      </c>
      <c r="L171" s="2" t="s">
        <v>2097</v>
      </c>
      <c r="M171" s="2">
        <v>84701</v>
      </c>
      <c r="N171" s="2" t="s">
        <v>2193</v>
      </c>
      <c r="R171" s="1" t="str">
        <f t="shared" si="8"/>
        <v>T4低重贴三</v>
      </c>
    </row>
    <row r="172" spans="2:18" x14ac:dyDescent="0.3">
      <c r="B172" s="2" t="s">
        <v>2200</v>
      </c>
      <c r="C172" s="2" t="s">
        <v>2201</v>
      </c>
      <c r="D172" s="2">
        <v>83401</v>
      </c>
      <c r="L172" s="2" t="s">
        <v>2099</v>
      </c>
      <c r="M172" s="2">
        <v>81102</v>
      </c>
      <c r="N172" s="2" t="s">
        <v>2187</v>
      </c>
      <c r="R172" s="1" t="str">
        <f t="shared" si="8"/>
        <v>T4低轻贴半</v>
      </c>
    </row>
    <row r="173" spans="2:18" x14ac:dyDescent="0.3">
      <c r="B173" s="2" t="s">
        <v>2202</v>
      </c>
      <c r="C173" s="2" t="s">
        <v>2203</v>
      </c>
      <c r="D173" s="2">
        <v>85201</v>
      </c>
      <c r="L173" s="2" t="s">
        <v>2101</v>
      </c>
      <c r="M173" s="2">
        <v>82902</v>
      </c>
      <c r="N173" s="2" t="s">
        <v>2190</v>
      </c>
      <c r="R173" s="1" t="str">
        <f t="shared" si="8"/>
        <v>T4低中贴半</v>
      </c>
    </row>
    <row r="174" spans="2:18" x14ac:dyDescent="0.3">
      <c r="B174" s="2" t="s">
        <v>2204</v>
      </c>
      <c r="C174" s="2" t="s">
        <v>2205</v>
      </c>
      <c r="D174" s="2">
        <v>81602</v>
      </c>
      <c r="L174" s="2" t="s">
        <v>2104</v>
      </c>
      <c r="M174" s="2">
        <v>84702</v>
      </c>
      <c r="N174" s="2" t="s">
        <v>2193</v>
      </c>
      <c r="R174" s="1" t="str">
        <f t="shared" si="8"/>
        <v>T4低重贴半</v>
      </c>
    </row>
    <row r="175" spans="2:18" x14ac:dyDescent="0.3">
      <c r="B175" s="2" t="s">
        <v>2206</v>
      </c>
      <c r="C175" s="2" t="s">
        <v>2207</v>
      </c>
      <c r="D175" s="2">
        <v>83402</v>
      </c>
      <c r="L175" s="2" t="s">
        <v>2107</v>
      </c>
      <c r="M175" s="2">
        <v>81103</v>
      </c>
      <c r="N175" s="2" t="s">
        <v>2187</v>
      </c>
      <c r="R175" s="1" t="str">
        <f t="shared" si="8"/>
        <v>T4低轻贴永</v>
      </c>
    </row>
    <row r="176" spans="2:18" x14ac:dyDescent="0.3">
      <c r="B176" s="2" t="s">
        <v>2209</v>
      </c>
      <c r="C176" s="2" t="s">
        <v>2210</v>
      </c>
      <c r="D176" s="2">
        <v>85202</v>
      </c>
      <c r="L176" s="2" t="s">
        <v>2110</v>
      </c>
      <c r="M176" s="2">
        <v>82903</v>
      </c>
      <c r="N176" s="2" t="s">
        <v>2190</v>
      </c>
      <c r="R176" s="1" t="str">
        <f t="shared" si="8"/>
        <v>T4低中贴永</v>
      </c>
    </row>
    <row r="177" spans="2:18" x14ac:dyDescent="0.3">
      <c r="B177" s="2" t="s">
        <v>2212</v>
      </c>
      <c r="C177" s="2" t="s">
        <v>2213</v>
      </c>
      <c r="D177" s="2">
        <v>81603</v>
      </c>
      <c r="L177" s="2" t="s">
        <v>2112</v>
      </c>
      <c r="M177" s="2">
        <v>84703</v>
      </c>
      <c r="N177" s="2" t="s">
        <v>2193</v>
      </c>
      <c r="R177" s="1" t="str">
        <f t="shared" si="8"/>
        <v>T4低重贴永</v>
      </c>
    </row>
    <row r="178" spans="2:18" x14ac:dyDescent="0.3">
      <c r="B178" s="2" t="s">
        <v>2215</v>
      </c>
      <c r="C178" s="2" t="s">
        <v>2216</v>
      </c>
      <c r="D178" s="2">
        <v>83403</v>
      </c>
      <c r="L178" s="2" t="s">
        <v>2114</v>
      </c>
      <c r="M178" s="2">
        <v>81201</v>
      </c>
      <c r="N178" s="2" t="s">
        <v>2208</v>
      </c>
      <c r="R178" s="1" t="str">
        <f t="shared" si="8"/>
        <v>T4低轻图三</v>
      </c>
    </row>
    <row r="179" spans="2:18" x14ac:dyDescent="0.3">
      <c r="B179" s="2" t="s">
        <v>2217</v>
      </c>
      <c r="C179" s="2" t="s">
        <v>2218</v>
      </c>
      <c r="D179" s="2">
        <v>85203</v>
      </c>
      <c r="L179" s="2" t="s">
        <v>2116</v>
      </c>
      <c r="M179" s="2">
        <v>83001</v>
      </c>
      <c r="N179" s="2" t="s">
        <v>2211</v>
      </c>
      <c r="R179" s="1" t="str">
        <f t="shared" si="8"/>
        <v>T4低中图三</v>
      </c>
    </row>
    <row r="180" spans="2:18" x14ac:dyDescent="0.3">
      <c r="B180" s="2" t="s">
        <v>2219</v>
      </c>
      <c r="C180" s="2" t="s">
        <v>2220</v>
      </c>
      <c r="D180" s="2">
        <v>81701</v>
      </c>
      <c r="L180" s="2" t="s">
        <v>2118</v>
      </c>
      <c r="M180" s="2">
        <v>84801</v>
      </c>
      <c r="N180" s="2" t="s">
        <v>2214</v>
      </c>
      <c r="R180" s="1" t="str">
        <f t="shared" si="8"/>
        <v>T4低重图三</v>
      </c>
    </row>
    <row r="181" spans="2:18" x14ac:dyDescent="0.3">
      <c r="B181" s="2" t="s">
        <v>2221</v>
      </c>
      <c r="C181" s="2" t="s">
        <v>2222</v>
      </c>
      <c r="D181" s="2">
        <v>83501</v>
      </c>
      <c r="L181" s="2" t="s">
        <v>2120</v>
      </c>
      <c r="M181" s="2">
        <v>81202</v>
      </c>
      <c r="N181" s="2" t="s">
        <v>2208</v>
      </c>
      <c r="R181" s="1" t="str">
        <f t="shared" si="8"/>
        <v>T4低轻图半</v>
      </c>
    </row>
    <row r="182" spans="2:18" x14ac:dyDescent="0.3">
      <c r="B182" s="2" t="s">
        <v>2223</v>
      </c>
      <c r="C182" s="2" t="s">
        <v>2224</v>
      </c>
      <c r="D182" s="2">
        <v>85301</v>
      </c>
      <c r="L182" s="2" t="s">
        <v>2122</v>
      </c>
      <c r="M182" s="2">
        <v>83002</v>
      </c>
      <c r="N182" s="2" t="s">
        <v>2211</v>
      </c>
      <c r="R182" s="1" t="str">
        <f t="shared" si="8"/>
        <v>T4低中图半</v>
      </c>
    </row>
    <row r="183" spans="2:18" x14ac:dyDescent="0.3">
      <c r="B183" s="2" t="s">
        <v>2225</v>
      </c>
      <c r="C183" s="2" t="s">
        <v>2226</v>
      </c>
      <c r="D183" s="2">
        <v>81702</v>
      </c>
      <c r="L183" s="2" t="s">
        <v>2125</v>
      </c>
      <c r="M183" s="2">
        <v>84802</v>
      </c>
      <c r="N183" s="2" t="s">
        <v>2214</v>
      </c>
      <c r="R183" s="1" t="str">
        <f t="shared" si="8"/>
        <v>T4低重图半</v>
      </c>
    </row>
    <row r="184" spans="2:18" x14ac:dyDescent="0.3">
      <c r="B184" s="2" t="s">
        <v>2227</v>
      </c>
      <c r="C184" s="2" t="s">
        <v>2228</v>
      </c>
      <c r="D184" s="2">
        <v>83502</v>
      </c>
      <c r="L184" s="2" t="s">
        <v>2128</v>
      </c>
      <c r="M184" s="2">
        <v>81203</v>
      </c>
      <c r="N184" s="2" t="s">
        <v>2208</v>
      </c>
      <c r="R184" s="1" t="str">
        <f t="shared" si="8"/>
        <v>T4低轻图永</v>
      </c>
    </row>
    <row r="185" spans="2:18" x14ac:dyDescent="0.3">
      <c r="B185" s="2" t="s">
        <v>2230</v>
      </c>
      <c r="C185" s="2" t="s">
        <v>2231</v>
      </c>
      <c r="D185" s="2">
        <v>85302</v>
      </c>
      <c r="L185" s="2" t="s">
        <v>2131</v>
      </c>
      <c r="M185" s="2">
        <v>83003</v>
      </c>
      <c r="N185" s="2" t="s">
        <v>2211</v>
      </c>
      <c r="R185" s="1" t="str">
        <f t="shared" si="8"/>
        <v>T4低中图永</v>
      </c>
    </row>
    <row r="186" spans="2:18" x14ac:dyDescent="0.3">
      <c r="B186" s="2" t="s">
        <v>2233</v>
      </c>
      <c r="C186" s="2" t="s">
        <v>2234</v>
      </c>
      <c r="D186" s="2">
        <v>81703</v>
      </c>
      <c r="L186" s="2" t="s">
        <v>2133</v>
      </c>
      <c r="M186" s="2">
        <v>84803</v>
      </c>
      <c r="N186" s="2" t="s">
        <v>2214</v>
      </c>
      <c r="R186" s="1" t="str">
        <f t="shared" si="8"/>
        <v>T4低重图永</v>
      </c>
    </row>
    <row r="187" spans="2:18" x14ac:dyDescent="0.3">
      <c r="B187" s="2" t="s">
        <v>2236</v>
      </c>
      <c r="C187" s="2" t="s">
        <v>2237</v>
      </c>
      <c r="D187" s="2">
        <v>83503</v>
      </c>
      <c r="L187" s="2" t="s">
        <v>2135</v>
      </c>
      <c r="M187" s="2">
        <v>81301</v>
      </c>
      <c r="N187" s="2" t="s">
        <v>2229</v>
      </c>
      <c r="R187" s="1" t="str">
        <f t="shared" si="8"/>
        <v>T4中轻贴三</v>
      </c>
    </row>
    <row r="188" spans="2:18" x14ac:dyDescent="0.3">
      <c r="B188" s="2" t="s">
        <v>2238</v>
      </c>
      <c r="C188" s="2" t="s">
        <v>2239</v>
      </c>
      <c r="D188" s="2">
        <v>85303</v>
      </c>
      <c r="L188" s="2" t="s">
        <v>2137</v>
      </c>
      <c r="M188" s="2">
        <v>83101</v>
      </c>
      <c r="N188" s="2" t="s">
        <v>2232</v>
      </c>
      <c r="R188" s="1" t="str">
        <f t="shared" si="8"/>
        <v>T4中中贴三</v>
      </c>
    </row>
    <row r="189" spans="2:18" x14ac:dyDescent="0.3">
      <c r="B189" s="2" t="s">
        <v>2240</v>
      </c>
      <c r="C189" s="2" t="s">
        <v>2241</v>
      </c>
      <c r="D189" s="2">
        <v>81801</v>
      </c>
      <c r="L189" s="2" t="s">
        <v>2139</v>
      </c>
      <c r="M189" s="2">
        <v>84901</v>
      </c>
      <c r="N189" s="2" t="s">
        <v>2235</v>
      </c>
      <c r="R189" s="1" t="str">
        <f t="shared" si="8"/>
        <v>T4中重贴三</v>
      </c>
    </row>
    <row r="190" spans="2:18" x14ac:dyDescent="0.3">
      <c r="B190" s="2" t="s">
        <v>2242</v>
      </c>
      <c r="C190" s="2" t="s">
        <v>2243</v>
      </c>
      <c r="D190" s="2">
        <v>83601</v>
      </c>
      <c r="L190" s="2" t="s">
        <v>2141</v>
      </c>
      <c r="M190" s="2">
        <v>81302</v>
      </c>
      <c r="N190" s="2" t="s">
        <v>2229</v>
      </c>
      <c r="R190" s="1" t="str">
        <f t="shared" si="8"/>
        <v>T4中轻贴半</v>
      </c>
    </row>
    <row r="191" spans="2:18" x14ac:dyDescent="0.3">
      <c r="B191" s="2" t="s">
        <v>2244</v>
      </c>
      <c r="C191" s="2" t="s">
        <v>2245</v>
      </c>
      <c r="D191" s="2">
        <v>85401</v>
      </c>
      <c r="L191" s="2" t="s">
        <v>2143</v>
      </c>
      <c r="M191" s="2">
        <v>83102</v>
      </c>
      <c r="N191" s="2" t="s">
        <v>2232</v>
      </c>
      <c r="R191" s="1" t="str">
        <f t="shared" si="8"/>
        <v>T4中中贴半</v>
      </c>
    </row>
    <row r="192" spans="2:18" x14ac:dyDescent="0.3">
      <c r="B192" s="2" t="s">
        <v>2246</v>
      </c>
      <c r="C192" s="2" t="s">
        <v>2247</v>
      </c>
      <c r="D192" s="2">
        <v>81802</v>
      </c>
      <c r="L192" s="2" t="s">
        <v>2146</v>
      </c>
      <c r="M192" s="2">
        <v>84902</v>
      </c>
      <c r="N192" s="2" t="s">
        <v>2235</v>
      </c>
      <c r="R192" s="1" t="str">
        <f t="shared" si="8"/>
        <v>T4中重贴半</v>
      </c>
    </row>
    <row r="193" spans="2:18" x14ac:dyDescent="0.3">
      <c r="B193" s="2" t="s">
        <v>2248</v>
      </c>
      <c r="C193" s="2" t="s">
        <v>2249</v>
      </c>
      <c r="D193" s="2">
        <v>83602</v>
      </c>
      <c r="L193" s="2" t="s">
        <v>2149</v>
      </c>
      <c r="M193" s="2">
        <v>81303</v>
      </c>
      <c r="N193" s="2" t="s">
        <v>2229</v>
      </c>
      <c r="R193" s="1" t="str">
        <f t="shared" si="8"/>
        <v>T4中轻贴永</v>
      </c>
    </row>
    <row r="194" spans="2:18" x14ac:dyDescent="0.3">
      <c r="B194" s="2" t="s">
        <v>2251</v>
      </c>
      <c r="C194" s="2" t="s">
        <v>2252</v>
      </c>
      <c r="D194" s="2">
        <v>85402</v>
      </c>
      <c r="L194" s="2" t="s">
        <v>2152</v>
      </c>
      <c r="M194" s="2">
        <v>83103</v>
      </c>
      <c r="N194" s="2" t="s">
        <v>2232</v>
      </c>
      <c r="R194" s="1" t="str">
        <f t="shared" si="8"/>
        <v>T4中中贴永</v>
      </c>
    </row>
    <row r="195" spans="2:18" x14ac:dyDescent="0.3">
      <c r="B195" s="2" t="s">
        <v>2254</v>
      </c>
      <c r="C195" s="2" t="s">
        <v>2255</v>
      </c>
      <c r="D195" s="2">
        <v>81803</v>
      </c>
      <c r="L195" s="2" t="s">
        <v>2154</v>
      </c>
      <c r="M195" s="2">
        <v>84903</v>
      </c>
      <c r="N195" s="2" t="s">
        <v>2235</v>
      </c>
      <c r="R195" s="1" t="str">
        <f t="shared" si="8"/>
        <v>T4中重贴永</v>
      </c>
    </row>
    <row r="196" spans="2:18" x14ac:dyDescent="0.3">
      <c r="B196" s="2" t="s">
        <v>2257</v>
      </c>
      <c r="C196" s="2" t="s">
        <v>2258</v>
      </c>
      <c r="D196" s="2">
        <v>83603</v>
      </c>
      <c r="L196" s="2" t="s">
        <v>2156</v>
      </c>
      <c r="M196" s="2">
        <v>81401</v>
      </c>
      <c r="N196" s="2" t="s">
        <v>2250</v>
      </c>
      <c r="R196" s="1" t="str">
        <f t="shared" si="8"/>
        <v>T4中轻图三</v>
      </c>
    </row>
    <row r="197" spans="2:18" x14ac:dyDescent="0.3">
      <c r="B197" s="2" t="s">
        <v>2259</v>
      </c>
      <c r="C197" s="2" t="s">
        <v>2260</v>
      </c>
      <c r="D197" s="2">
        <v>85403</v>
      </c>
      <c r="L197" s="2" t="s">
        <v>2158</v>
      </c>
      <c r="M197" s="2">
        <v>83201</v>
      </c>
      <c r="N197" s="2" t="s">
        <v>2253</v>
      </c>
      <c r="R197" s="1" t="str">
        <f t="shared" si="8"/>
        <v>T4中中图三</v>
      </c>
    </row>
    <row r="198" spans="2:18" x14ac:dyDescent="0.3">
      <c r="L198" s="2" t="s">
        <v>2160</v>
      </c>
      <c r="M198" s="2">
        <v>85001</v>
      </c>
      <c r="N198" s="2" t="s">
        <v>2256</v>
      </c>
      <c r="R198" s="1" t="str">
        <f t="shared" ref="R198:R261" si="9">L198</f>
        <v>T4中重图三</v>
      </c>
    </row>
    <row r="199" spans="2:18" x14ac:dyDescent="0.3">
      <c r="L199" s="2" t="s">
        <v>2162</v>
      </c>
      <c r="M199" s="2">
        <v>81402</v>
      </c>
      <c r="N199" s="2" t="s">
        <v>2250</v>
      </c>
      <c r="R199" s="1" t="str">
        <f t="shared" si="9"/>
        <v>T4中轻图半</v>
      </c>
    </row>
    <row r="200" spans="2:18" x14ac:dyDescent="0.3">
      <c r="B200" s="121" t="s">
        <v>1783</v>
      </c>
      <c r="C200" s="121" t="s">
        <v>48</v>
      </c>
      <c r="L200" s="2" t="s">
        <v>2164</v>
      </c>
      <c r="M200" s="2">
        <v>83202</v>
      </c>
      <c r="N200" s="2" t="s">
        <v>2253</v>
      </c>
      <c r="R200" s="1" t="str">
        <f t="shared" si="9"/>
        <v>T4中中图半</v>
      </c>
    </row>
    <row r="201" spans="2:18" x14ac:dyDescent="0.3">
      <c r="B201" s="121" t="s">
        <v>2261</v>
      </c>
      <c r="C201" s="121">
        <v>70101</v>
      </c>
      <c r="L201" s="2" t="s">
        <v>2167</v>
      </c>
      <c r="M201" s="2">
        <v>85002</v>
      </c>
      <c r="N201" s="2" t="s">
        <v>2256</v>
      </c>
      <c r="R201" s="1" t="str">
        <f t="shared" si="9"/>
        <v>T4中重图半</v>
      </c>
    </row>
    <row r="202" spans="2:18" x14ac:dyDescent="0.3">
      <c r="B202" s="121" t="s">
        <v>2262</v>
      </c>
      <c r="C202" s="121">
        <v>70102</v>
      </c>
      <c r="L202" s="2" t="s">
        <v>2170</v>
      </c>
      <c r="M202" s="2">
        <v>81403</v>
      </c>
      <c r="N202" s="2" t="s">
        <v>2250</v>
      </c>
      <c r="R202" s="1" t="str">
        <f t="shared" si="9"/>
        <v>T4中轻图永</v>
      </c>
    </row>
    <row r="203" spans="2:18" x14ac:dyDescent="0.3">
      <c r="B203" s="121" t="s">
        <v>2264</v>
      </c>
      <c r="C203" s="121">
        <v>70103</v>
      </c>
      <c r="L203" s="2" t="s">
        <v>2173</v>
      </c>
      <c r="M203" s="2">
        <v>83203</v>
      </c>
      <c r="N203" s="2" t="s">
        <v>2253</v>
      </c>
      <c r="R203" s="1" t="str">
        <f t="shared" si="9"/>
        <v>T4中中图永</v>
      </c>
    </row>
    <row r="204" spans="2:18" x14ac:dyDescent="0.3">
      <c r="L204" s="2" t="s">
        <v>2175</v>
      </c>
      <c r="M204" s="2">
        <v>85003</v>
      </c>
      <c r="N204" s="2" t="s">
        <v>2256</v>
      </c>
      <c r="R204" s="1" t="str">
        <f t="shared" si="9"/>
        <v>T4中重图永</v>
      </c>
    </row>
    <row r="205" spans="2:18" x14ac:dyDescent="0.3">
      <c r="L205" s="2" t="s">
        <v>2177</v>
      </c>
      <c r="M205" s="2">
        <v>81501</v>
      </c>
      <c r="N205" s="2" t="s">
        <v>2263</v>
      </c>
      <c r="R205" s="1" t="str">
        <f t="shared" si="9"/>
        <v>T4高轻贴三</v>
      </c>
    </row>
    <row r="206" spans="2:18" x14ac:dyDescent="0.3">
      <c r="B206" s="2" t="s">
        <v>2267</v>
      </c>
      <c r="C206" s="2" t="s">
        <v>48</v>
      </c>
      <c r="D206" s="2" t="s">
        <v>2268</v>
      </c>
      <c r="L206" s="2" t="s">
        <v>2179</v>
      </c>
      <c r="M206" s="2">
        <v>83301</v>
      </c>
      <c r="N206" s="2" t="s">
        <v>2265</v>
      </c>
      <c r="R206" s="1" t="str">
        <f t="shared" si="9"/>
        <v>T4高中贴三</v>
      </c>
    </row>
    <row r="207" spans="2:18" x14ac:dyDescent="0.3">
      <c r="B207" s="2" t="s">
        <v>425</v>
      </c>
      <c r="C207" s="2">
        <v>91001</v>
      </c>
      <c r="D207" s="2">
        <v>1110</v>
      </c>
      <c r="L207" s="2" t="s">
        <v>2181</v>
      </c>
      <c r="M207" s="2">
        <v>85101</v>
      </c>
      <c r="N207" s="2" t="s">
        <v>2266</v>
      </c>
      <c r="R207" s="1" t="str">
        <f t="shared" si="9"/>
        <v>T4高重贴三</v>
      </c>
    </row>
    <row r="208" spans="2:18" x14ac:dyDescent="0.3">
      <c r="B208" s="2" t="s">
        <v>434</v>
      </c>
      <c r="C208" s="2">
        <v>91002</v>
      </c>
      <c r="D208" s="2">
        <v>1120</v>
      </c>
      <c r="L208" s="2" t="s">
        <v>2183</v>
      </c>
      <c r="M208" s="2">
        <v>81502</v>
      </c>
      <c r="N208" s="2" t="s">
        <v>2263</v>
      </c>
      <c r="R208" s="1" t="str">
        <f t="shared" si="9"/>
        <v>T4高轻贴半</v>
      </c>
    </row>
    <row r="209" spans="2:18" x14ac:dyDescent="0.3">
      <c r="B209" s="2" t="s">
        <v>426</v>
      </c>
      <c r="C209" s="2">
        <v>91003</v>
      </c>
      <c r="D209" s="2">
        <v>1130</v>
      </c>
      <c r="L209" s="2" t="s">
        <v>2185</v>
      </c>
      <c r="M209" s="2">
        <v>83302</v>
      </c>
      <c r="N209" s="2" t="s">
        <v>2265</v>
      </c>
      <c r="R209" s="1" t="str">
        <f t="shared" si="9"/>
        <v>T4高中贴半</v>
      </c>
    </row>
    <row r="210" spans="2:18" x14ac:dyDescent="0.3">
      <c r="B210" s="2" t="s">
        <v>435</v>
      </c>
      <c r="C210" s="2">
        <v>91004</v>
      </c>
      <c r="D210" s="2">
        <v>1140</v>
      </c>
      <c r="L210" s="2" t="s">
        <v>2188</v>
      </c>
      <c r="M210" s="2">
        <v>85102</v>
      </c>
      <c r="N210" s="2" t="s">
        <v>2266</v>
      </c>
      <c r="R210" s="1" t="str">
        <f t="shared" si="9"/>
        <v>T4高重贴半</v>
      </c>
    </row>
    <row r="211" spans="2:18" x14ac:dyDescent="0.3">
      <c r="B211" s="2" t="s">
        <v>427</v>
      </c>
      <c r="C211" s="2">
        <v>91005</v>
      </c>
      <c r="D211" s="2">
        <v>1150</v>
      </c>
      <c r="L211" s="2" t="s">
        <v>2191</v>
      </c>
      <c r="M211" s="2">
        <v>81503</v>
      </c>
      <c r="N211" s="2" t="s">
        <v>2263</v>
      </c>
      <c r="R211" s="1" t="str">
        <f t="shared" si="9"/>
        <v>T4高轻贴永</v>
      </c>
    </row>
    <row r="212" spans="2:18" x14ac:dyDescent="0.3">
      <c r="B212" s="2" t="s">
        <v>436</v>
      </c>
      <c r="C212" s="2">
        <v>91006</v>
      </c>
      <c r="D212" s="2">
        <v>1160</v>
      </c>
      <c r="L212" s="2" t="s">
        <v>2194</v>
      </c>
      <c r="M212" s="2">
        <v>83303</v>
      </c>
      <c r="N212" s="2" t="s">
        <v>2265</v>
      </c>
      <c r="R212" s="1" t="str">
        <f t="shared" si="9"/>
        <v>T4高中贴永</v>
      </c>
    </row>
    <row r="213" spans="2:18" x14ac:dyDescent="0.3">
      <c r="B213" s="2" t="s">
        <v>428</v>
      </c>
      <c r="C213" s="2">
        <v>91101</v>
      </c>
      <c r="D213" s="2">
        <v>1210</v>
      </c>
      <c r="L213" s="2" t="s">
        <v>2196</v>
      </c>
      <c r="M213" s="2">
        <v>85103</v>
      </c>
      <c r="N213" s="2" t="s">
        <v>2266</v>
      </c>
      <c r="R213" s="1" t="str">
        <f t="shared" si="9"/>
        <v>T4高重贴永</v>
      </c>
    </row>
    <row r="214" spans="2:18" x14ac:dyDescent="0.3">
      <c r="B214" s="2" t="s">
        <v>437</v>
      </c>
      <c r="C214" s="2">
        <v>91102</v>
      </c>
      <c r="D214" s="2">
        <v>1220</v>
      </c>
      <c r="L214" s="2" t="s">
        <v>2198</v>
      </c>
      <c r="M214" s="2">
        <v>81601</v>
      </c>
      <c r="N214" s="2" t="s">
        <v>2269</v>
      </c>
      <c r="R214" s="1" t="str">
        <f t="shared" si="9"/>
        <v>T4高轻图三</v>
      </c>
    </row>
    <row r="215" spans="2:18" x14ac:dyDescent="0.3">
      <c r="B215" s="2" t="s">
        <v>429</v>
      </c>
      <c r="C215" s="2">
        <v>91103</v>
      </c>
      <c r="D215" s="2">
        <v>1230</v>
      </c>
      <c r="L215" s="2" t="s">
        <v>2200</v>
      </c>
      <c r="M215" s="2">
        <v>83401</v>
      </c>
      <c r="N215" s="2" t="s">
        <v>2270</v>
      </c>
      <c r="R215" s="1" t="str">
        <f t="shared" si="9"/>
        <v>T4高中图三</v>
      </c>
    </row>
    <row r="216" spans="2:18" x14ac:dyDescent="0.3">
      <c r="B216" s="2" t="s">
        <v>438</v>
      </c>
      <c r="C216" s="2">
        <v>91104</v>
      </c>
      <c r="D216" s="2">
        <v>1240</v>
      </c>
      <c r="L216" s="2" t="s">
        <v>2202</v>
      </c>
      <c r="M216" s="2">
        <v>85201</v>
      </c>
      <c r="N216" s="2" t="s">
        <v>2271</v>
      </c>
      <c r="R216" s="1" t="str">
        <f t="shared" si="9"/>
        <v>T4高重图三</v>
      </c>
    </row>
    <row r="217" spans="2:18" x14ac:dyDescent="0.3">
      <c r="B217" s="2" t="s">
        <v>430</v>
      </c>
      <c r="C217" s="2">
        <v>91105</v>
      </c>
      <c r="D217" s="2">
        <v>1250</v>
      </c>
      <c r="L217" s="2" t="s">
        <v>2204</v>
      </c>
      <c r="M217" s="2">
        <v>81602</v>
      </c>
      <c r="N217" s="2" t="s">
        <v>2269</v>
      </c>
      <c r="R217" s="1" t="str">
        <f t="shared" si="9"/>
        <v>T4高轻图半</v>
      </c>
    </row>
    <row r="218" spans="2:18" x14ac:dyDescent="0.3">
      <c r="B218" s="2" t="s">
        <v>439</v>
      </c>
      <c r="C218" s="2">
        <v>91106</v>
      </c>
      <c r="D218" s="2">
        <v>1260</v>
      </c>
      <c r="L218" s="2" t="s">
        <v>2206</v>
      </c>
      <c r="M218" s="2">
        <v>83402</v>
      </c>
      <c r="N218" s="2" t="s">
        <v>2270</v>
      </c>
      <c r="R218" s="1" t="str">
        <f t="shared" si="9"/>
        <v>T4高中图半</v>
      </c>
    </row>
    <row r="219" spans="2:18" x14ac:dyDescent="0.3">
      <c r="B219" s="2" t="s">
        <v>431</v>
      </c>
      <c r="C219" s="2">
        <v>91201</v>
      </c>
      <c r="D219" s="2">
        <v>1310</v>
      </c>
      <c r="L219" s="2" t="s">
        <v>2209</v>
      </c>
      <c r="M219" s="2">
        <v>85202</v>
      </c>
      <c r="N219" s="2" t="s">
        <v>2271</v>
      </c>
      <c r="R219" s="1" t="str">
        <f t="shared" si="9"/>
        <v>T4高重图半</v>
      </c>
    </row>
    <row r="220" spans="2:18" x14ac:dyDescent="0.3">
      <c r="B220" s="2" t="s">
        <v>440</v>
      </c>
      <c r="C220" s="2">
        <v>91202</v>
      </c>
      <c r="D220" s="2">
        <v>1320</v>
      </c>
      <c r="L220" s="2" t="s">
        <v>2212</v>
      </c>
      <c r="M220" s="2">
        <v>81603</v>
      </c>
      <c r="N220" s="2" t="s">
        <v>2269</v>
      </c>
      <c r="R220" s="1" t="str">
        <f t="shared" si="9"/>
        <v>T4高轻图永</v>
      </c>
    </row>
    <row r="221" spans="2:18" x14ac:dyDescent="0.3">
      <c r="B221" s="2" t="s">
        <v>432</v>
      </c>
      <c r="C221" s="2">
        <v>91203</v>
      </c>
      <c r="D221" s="2">
        <v>1330</v>
      </c>
      <c r="L221" s="2" t="s">
        <v>2215</v>
      </c>
      <c r="M221" s="2">
        <v>83403</v>
      </c>
      <c r="N221" s="2" t="s">
        <v>2270</v>
      </c>
      <c r="R221" s="1" t="str">
        <f t="shared" si="9"/>
        <v>T4高中图永</v>
      </c>
    </row>
    <row r="222" spans="2:18" x14ac:dyDescent="0.3">
      <c r="B222" s="2" t="s">
        <v>441</v>
      </c>
      <c r="C222" s="2">
        <v>91204</v>
      </c>
      <c r="D222" s="2">
        <v>1340</v>
      </c>
      <c r="L222" s="2" t="s">
        <v>2217</v>
      </c>
      <c r="M222" s="2">
        <v>85203</v>
      </c>
      <c r="N222" s="2" t="s">
        <v>2271</v>
      </c>
      <c r="R222" s="1" t="str">
        <f t="shared" si="9"/>
        <v>T4高重图永</v>
      </c>
    </row>
    <row r="223" spans="2:18" x14ac:dyDescent="0.3">
      <c r="B223" s="2" t="s">
        <v>433</v>
      </c>
      <c r="C223" s="2">
        <v>91205</v>
      </c>
      <c r="D223" s="2">
        <v>1350</v>
      </c>
      <c r="L223" s="2" t="s">
        <v>2219</v>
      </c>
      <c r="M223" s="2">
        <v>81701</v>
      </c>
      <c r="N223" s="2" t="s">
        <v>2272</v>
      </c>
      <c r="R223" s="1" t="str">
        <f t="shared" si="9"/>
        <v>T5低轻贴三</v>
      </c>
    </row>
    <row r="224" spans="2:18" x14ac:dyDescent="0.3">
      <c r="B224" s="2" t="s">
        <v>442</v>
      </c>
      <c r="C224" s="2">
        <v>91206</v>
      </c>
      <c r="D224" s="2">
        <v>1360</v>
      </c>
      <c r="L224" s="2" t="s">
        <v>2221</v>
      </c>
      <c r="M224" s="2">
        <v>83501</v>
      </c>
      <c r="N224" s="2" t="s">
        <v>2273</v>
      </c>
      <c r="R224" s="1" t="str">
        <f t="shared" si="9"/>
        <v>T5低中贴三</v>
      </c>
    </row>
    <row r="225" spans="2:18" x14ac:dyDescent="0.3">
      <c r="B225" s="2" t="s">
        <v>444</v>
      </c>
      <c r="C225" s="2">
        <v>92001</v>
      </c>
      <c r="D225" s="2">
        <v>2110</v>
      </c>
      <c r="L225" s="2" t="s">
        <v>2223</v>
      </c>
      <c r="M225" s="2">
        <v>85301</v>
      </c>
      <c r="N225" s="2" t="s">
        <v>2274</v>
      </c>
      <c r="R225" s="1" t="str">
        <f t="shared" si="9"/>
        <v>T5低重贴三</v>
      </c>
    </row>
    <row r="226" spans="2:18" x14ac:dyDescent="0.3">
      <c r="B226" s="2" t="s">
        <v>453</v>
      </c>
      <c r="C226" s="2">
        <v>92002</v>
      </c>
      <c r="D226" s="2">
        <v>2120</v>
      </c>
      <c r="L226" s="2" t="s">
        <v>2225</v>
      </c>
      <c r="M226" s="2">
        <v>81702</v>
      </c>
      <c r="N226" s="2" t="s">
        <v>2272</v>
      </c>
      <c r="R226" s="1" t="str">
        <f t="shared" si="9"/>
        <v>T5低轻贴半</v>
      </c>
    </row>
    <row r="227" spans="2:18" x14ac:dyDescent="0.3">
      <c r="B227" s="2" t="s">
        <v>445</v>
      </c>
      <c r="C227" s="2">
        <v>92003</v>
      </c>
      <c r="D227" s="2">
        <v>2130</v>
      </c>
      <c r="L227" s="2" t="s">
        <v>2227</v>
      </c>
      <c r="M227" s="2">
        <v>83502</v>
      </c>
      <c r="N227" s="2" t="s">
        <v>2273</v>
      </c>
      <c r="R227" s="1" t="str">
        <f t="shared" si="9"/>
        <v>T5低中贴半</v>
      </c>
    </row>
    <row r="228" spans="2:18" x14ac:dyDescent="0.3">
      <c r="B228" s="2" t="s">
        <v>454</v>
      </c>
      <c r="C228" s="2">
        <v>92004</v>
      </c>
      <c r="D228" s="2">
        <v>2140</v>
      </c>
      <c r="L228" s="2" t="s">
        <v>2230</v>
      </c>
      <c r="M228" s="2">
        <v>85302</v>
      </c>
      <c r="N228" s="2" t="s">
        <v>2274</v>
      </c>
      <c r="R228" s="1" t="str">
        <f t="shared" si="9"/>
        <v>T5低重贴半</v>
      </c>
    </row>
    <row r="229" spans="2:18" x14ac:dyDescent="0.3">
      <c r="B229" s="2" t="s">
        <v>446</v>
      </c>
      <c r="C229" s="2">
        <v>92005</v>
      </c>
      <c r="D229" s="2">
        <v>2150</v>
      </c>
      <c r="L229" s="2" t="s">
        <v>2233</v>
      </c>
      <c r="M229" s="2">
        <v>81703</v>
      </c>
      <c r="N229" s="2" t="s">
        <v>2272</v>
      </c>
      <c r="R229" s="1" t="str">
        <f t="shared" si="9"/>
        <v>T5低轻贴永</v>
      </c>
    </row>
    <row r="230" spans="2:18" x14ac:dyDescent="0.3">
      <c r="B230" s="2" t="s">
        <v>455</v>
      </c>
      <c r="C230" s="2">
        <v>92006</v>
      </c>
      <c r="D230" s="2">
        <v>2160</v>
      </c>
      <c r="L230" s="2" t="s">
        <v>2236</v>
      </c>
      <c r="M230" s="2">
        <v>83503</v>
      </c>
      <c r="N230" s="2" t="s">
        <v>2273</v>
      </c>
      <c r="R230" s="1" t="str">
        <f t="shared" si="9"/>
        <v>T5低中贴永</v>
      </c>
    </row>
    <row r="231" spans="2:18" x14ac:dyDescent="0.3">
      <c r="B231" s="2" t="s">
        <v>447</v>
      </c>
      <c r="C231" s="2">
        <v>92101</v>
      </c>
      <c r="D231" s="2">
        <v>2210</v>
      </c>
      <c r="L231" s="2" t="s">
        <v>2238</v>
      </c>
      <c r="M231" s="2">
        <v>85303</v>
      </c>
      <c r="N231" s="2" t="s">
        <v>2274</v>
      </c>
      <c r="R231" s="1" t="str">
        <f t="shared" si="9"/>
        <v>T5低重贴永</v>
      </c>
    </row>
    <row r="232" spans="2:18" x14ac:dyDescent="0.3">
      <c r="B232" s="2" t="s">
        <v>456</v>
      </c>
      <c r="C232" s="2">
        <v>92102</v>
      </c>
      <c r="D232" s="2">
        <v>2220</v>
      </c>
      <c r="L232" s="2" t="s">
        <v>2240</v>
      </c>
      <c r="M232" s="2">
        <v>81801</v>
      </c>
      <c r="N232" s="2" t="s">
        <v>2275</v>
      </c>
      <c r="R232" s="1" t="str">
        <f t="shared" si="9"/>
        <v>T5低轻图三</v>
      </c>
    </row>
    <row r="233" spans="2:18" x14ac:dyDescent="0.3">
      <c r="B233" s="2" t="s">
        <v>448</v>
      </c>
      <c r="C233" s="2">
        <v>92103</v>
      </c>
      <c r="D233" s="2">
        <v>2230</v>
      </c>
      <c r="L233" s="2" t="s">
        <v>2242</v>
      </c>
      <c r="M233" s="2">
        <v>83601</v>
      </c>
      <c r="N233" s="2" t="s">
        <v>2276</v>
      </c>
      <c r="R233" s="1" t="str">
        <f t="shared" si="9"/>
        <v>T5低中图三</v>
      </c>
    </row>
    <row r="234" spans="2:18" x14ac:dyDescent="0.3">
      <c r="B234" s="2" t="s">
        <v>457</v>
      </c>
      <c r="C234" s="2">
        <v>92104</v>
      </c>
      <c r="D234" s="2">
        <v>2240</v>
      </c>
      <c r="L234" s="2" t="s">
        <v>2244</v>
      </c>
      <c r="M234" s="2">
        <v>85401</v>
      </c>
      <c r="N234" s="2" t="s">
        <v>2277</v>
      </c>
      <c r="R234" s="1" t="str">
        <f t="shared" si="9"/>
        <v>T5低重图三</v>
      </c>
    </row>
    <row r="235" spans="2:18" x14ac:dyDescent="0.3">
      <c r="B235" s="2" t="s">
        <v>449</v>
      </c>
      <c r="C235" s="2">
        <v>92105</v>
      </c>
      <c r="D235" s="2">
        <v>2250</v>
      </c>
      <c r="L235" s="2" t="s">
        <v>2246</v>
      </c>
      <c r="M235" s="2">
        <v>81802</v>
      </c>
      <c r="N235" s="2" t="s">
        <v>2275</v>
      </c>
      <c r="R235" s="1" t="str">
        <f t="shared" si="9"/>
        <v>T5低轻图半</v>
      </c>
    </row>
    <row r="236" spans="2:18" x14ac:dyDescent="0.3">
      <c r="B236" s="2" t="s">
        <v>458</v>
      </c>
      <c r="C236" s="2">
        <v>92106</v>
      </c>
      <c r="D236" s="2">
        <v>2260</v>
      </c>
      <c r="L236" s="2" t="s">
        <v>2248</v>
      </c>
      <c r="M236" s="2">
        <v>83602</v>
      </c>
      <c r="N236" s="2" t="s">
        <v>2276</v>
      </c>
      <c r="R236" s="1" t="str">
        <f t="shared" si="9"/>
        <v>T5低中图半</v>
      </c>
    </row>
    <row r="237" spans="2:18" x14ac:dyDescent="0.3">
      <c r="B237" s="2" t="s">
        <v>450</v>
      </c>
      <c r="C237" s="2">
        <v>92201</v>
      </c>
      <c r="D237" s="2">
        <v>2310</v>
      </c>
      <c r="L237" s="2" t="s">
        <v>2251</v>
      </c>
      <c r="M237" s="2">
        <v>85402</v>
      </c>
      <c r="N237" s="2" t="s">
        <v>2277</v>
      </c>
      <c r="R237" s="1" t="str">
        <f t="shared" si="9"/>
        <v>T5低重图半</v>
      </c>
    </row>
    <row r="238" spans="2:18" x14ac:dyDescent="0.3">
      <c r="B238" s="2" t="s">
        <v>459</v>
      </c>
      <c r="C238" s="2">
        <v>92202</v>
      </c>
      <c r="D238" s="2">
        <v>2320</v>
      </c>
      <c r="L238" s="2" t="s">
        <v>2254</v>
      </c>
      <c r="M238" s="2">
        <v>81803</v>
      </c>
      <c r="N238" s="2" t="s">
        <v>2275</v>
      </c>
      <c r="R238" s="1" t="str">
        <f t="shared" si="9"/>
        <v>T5低轻图永</v>
      </c>
    </row>
    <row r="239" spans="2:18" x14ac:dyDescent="0.3">
      <c r="B239" s="2" t="s">
        <v>451</v>
      </c>
      <c r="C239" s="2">
        <v>92203</v>
      </c>
      <c r="D239" s="2">
        <v>2330</v>
      </c>
      <c r="L239" s="2" t="s">
        <v>2257</v>
      </c>
      <c r="M239" s="2">
        <v>83603</v>
      </c>
      <c r="N239" s="2" t="s">
        <v>2276</v>
      </c>
      <c r="R239" s="1" t="str">
        <f t="shared" si="9"/>
        <v>T5低中图永</v>
      </c>
    </row>
    <row r="240" spans="2:18" x14ac:dyDescent="0.3">
      <c r="B240" s="2" t="s">
        <v>460</v>
      </c>
      <c r="C240" s="2">
        <v>92204</v>
      </c>
      <c r="D240" s="2">
        <v>2340</v>
      </c>
      <c r="L240" s="2" t="s">
        <v>2259</v>
      </c>
      <c r="M240" s="2">
        <v>85403</v>
      </c>
      <c r="N240" s="2" t="s">
        <v>2277</v>
      </c>
      <c r="R240" s="1" t="str">
        <f t="shared" si="9"/>
        <v>T5低重图永</v>
      </c>
    </row>
    <row r="241" spans="2:18" x14ac:dyDescent="0.3">
      <c r="B241" s="2" t="s">
        <v>452</v>
      </c>
      <c r="C241" s="2">
        <v>92205</v>
      </c>
      <c r="D241" s="2">
        <v>2350</v>
      </c>
      <c r="R241" s="1">
        <f t="shared" si="9"/>
        <v>0</v>
      </c>
    </row>
    <row r="242" spans="2:18" x14ac:dyDescent="0.3">
      <c r="B242" s="2" t="s">
        <v>461</v>
      </c>
      <c r="C242" s="2">
        <v>92206</v>
      </c>
      <c r="D242" s="2">
        <v>2360</v>
      </c>
      <c r="L242" s="2" t="s">
        <v>2267</v>
      </c>
      <c r="M242" s="2" t="s">
        <v>48</v>
      </c>
      <c r="N242" s="2" t="s">
        <v>1830</v>
      </c>
      <c r="R242" s="1" t="str">
        <f t="shared" si="9"/>
        <v>部件名称</v>
      </c>
    </row>
    <row r="243" spans="2:18" x14ac:dyDescent="0.3">
      <c r="B243" s="2" t="s">
        <v>463</v>
      </c>
      <c r="C243" s="2">
        <v>93001</v>
      </c>
      <c r="D243" s="2">
        <v>3110</v>
      </c>
      <c r="L243" s="2" t="s">
        <v>425</v>
      </c>
      <c r="M243" s="2">
        <v>91001</v>
      </c>
      <c r="N243" s="2" t="s">
        <v>2278</v>
      </c>
      <c r="R243" s="1" t="str">
        <f t="shared" si="9"/>
        <v>T1LP1</v>
      </c>
    </row>
    <row r="244" spans="2:18" x14ac:dyDescent="0.3">
      <c r="B244" s="2" t="s">
        <v>472</v>
      </c>
      <c r="C244" s="2">
        <v>93002</v>
      </c>
      <c r="D244" s="2">
        <v>3120</v>
      </c>
      <c r="L244" s="2" t="s">
        <v>434</v>
      </c>
      <c r="M244" s="2">
        <v>91002</v>
      </c>
      <c r="N244" s="2" t="s">
        <v>2279</v>
      </c>
      <c r="R244" s="1" t="str">
        <f t="shared" si="9"/>
        <v>T1LP2</v>
      </c>
    </row>
    <row r="245" spans="2:18" x14ac:dyDescent="0.3">
      <c r="B245" s="2" t="s">
        <v>464</v>
      </c>
      <c r="C245" s="2">
        <v>93003</v>
      </c>
      <c r="D245" s="2">
        <v>3130</v>
      </c>
      <c r="L245" s="2" t="s">
        <v>426</v>
      </c>
      <c r="M245" s="2">
        <v>91003</v>
      </c>
      <c r="N245" s="2" t="s">
        <v>2280</v>
      </c>
      <c r="R245" s="1" t="str">
        <f t="shared" si="9"/>
        <v>T1LP3</v>
      </c>
    </row>
    <row r="246" spans="2:18" x14ac:dyDescent="0.3">
      <c r="B246" s="2" t="s">
        <v>473</v>
      </c>
      <c r="C246" s="2">
        <v>93004</v>
      </c>
      <c r="D246" s="2">
        <v>3140</v>
      </c>
      <c r="L246" s="2" t="s">
        <v>435</v>
      </c>
      <c r="M246" s="2">
        <v>91004</v>
      </c>
      <c r="N246" s="2" t="s">
        <v>2281</v>
      </c>
      <c r="R246" s="1" t="str">
        <f t="shared" si="9"/>
        <v>T1LP4</v>
      </c>
    </row>
    <row r="247" spans="2:18" x14ac:dyDescent="0.3">
      <c r="B247" s="2" t="s">
        <v>465</v>
      </c>
      <c r="C247" s="2">
        <v>93005</v>
      </c>
      <c r="D247" s="2">
        <v>3150</v>
      </c>
      <c r="L247" s="2" t="s">
        <v>427</v>
      </c>
      <c r="M247" s="2">
        <v>91005</v>
      </c>
      <c r="N247" s="2" t="s">
        <v>2282</v>
      </c>
      <c r="R247" s="1" t="str">
        <f t="shared" si="9"/>
        <v>T1LP5</v>
      </c>
    </row>
    <row r="248" spans="2:18" x14ac:dyDescent="0.3">
      <c r="B248" s="2" t="s">
        <v>474</v>
      </c>
      <c r="C248" s="2">
        <v>93006</v>
      </c>
      <c r="D248" s="2">
        <v>3160</v>
      </c>
      <c r="L248" s="2" t="s">
        <v>436</v>
      </c>
      <c r="M248" s="2">
        <v>91006</v>
      </c>
      <c r="N248" s="2" t="s">
        <v>2283</v>
      </c>
      <c r="R248" s="1" t="str">
        <f t="shared" si="9"/>
        <v>T1LP6</v>
      </c>
    </row>
    <row r="249" spans="2:18" x14ac:dyDescent="0.3">
      <c r="B249" s="2" t="s">
        <v>466</v>
      </c>
      <c r="C249" s="2">
        <v>93101</v>
      </c>
      <c r="D249" s="2">
        <v>3210</v>
      </c>
      <c r="L249" s="2" t="s">
        <v>428</v>
      </c>
      <c r="M249" s="2">
        <v>91101</v>
      </c>
      <c r="N249" s="2" t="s">
        <v>2284</v>
      </c>
      <c r="R249" s="1" t="str">
        <f t="shared" si="9"/>
        <v>T1MP1</v>
      </c>
    </row>
    <row r="250" spans="2:18" x14ac:dyDescent="0.3">
      <c r="B250" s="2" t="s">
        <v>475</v>
      </c>
      <c r="C250" s="2">
        <v>93102</v>
      </c>
      <c r="D250" s="2">
        <v>3220</v>
      </c>
      <c r="L250" s="2" t="s">
        <v>437</v>
      </c>
      <c r="M250" s="2">
        <v>91102</v>
      </c>
      <c r="N250" s="2" t="s">
        <v>2285</v>
      </c>
      <c r="R250" s="1" t="str">
        <f t="shared" si="9"/>
        <v>T1MP2</v>
      </c>
    </row>
    <row r="251" spans="2:18" x14ac:dyDescent="0.3">
      <c r="B251" s="2" t="s">
        <v>467</v>
      </c>
      <c r="C251" s="2">
        <v>93103</v>
      </c>
      <c r="D251" s="2">
        <v>3230</v>
      </c>
      <c r="L251" s="2" t="s">
        <v>429</v>
      </c>
      <c r="M251" s="2">
        <v>91103</v>
      </c>
      <c r="N251" s="2" t="s">
        <v>2286</v>
      </c>
      <c r="R251" s="1" t="str">
        <f t="shared" si="9"/>
        <v>T1MP3</v>
      </c>
    </row>
    <row r="252" spans="2:18" x14ac:dyDescent="0.3">
      <c r="B252" s="2" t="s">
        <v>476</v>
      </c>
      <c r="C252" s="2">
        <v>93104</v>
      </c>
      <c r="D252" s="2">
        <v>3240</v>
      </c>
      <c r="L252" s="2" t="s">
        <v>438</v>
      </c>
      <c r="M252" s="2">
        <v>91104</v>
      </c>
      <c r="N252" s="2" t="s">
        <v>2287</v>
      </c>
      <c r="R252" s="1" t="str">
        <f t="shared" si="9"/>
        <v>T1MP4</v>
      </c>
    </row>
    <row r="253" spans="2:18" x14ac:dyDescent="0.3">
      <c r="B253" s="2" t="s">
        <v>468</v>
      </c>
      <c r="C253" s="2">
        <v>93105</v>
      </c>
      <c r="D253" s="2">
        <v>3250</v>
      </c>
      <c r="L253" s="2" t="s">
        <v>430</v>
      </c>
      <c r="M253" s="2">
        <v>91105</v>
      </c>
      <c r="N253" s="2" t="s">
        <v>2288</v>
      </c>
      <c r="R253" s="1" t="str">
        <f t="shared" si="9"/>
        <v>T1MP5</v>
      </c>
    </row>
    <row r="254" spans="2:18" x14ac:dyDescent="0.3">
      <c r="B254" s="2" t="s">
        <v>477</v>
      </c>
      <c r="C254" s="2">
        <v>93106</v>
      </c>
      <c r="D254" s="2">
        <v>3260</v>
      </c>
      <c r="L254" s="2" t="s">
        <v>439</v>
      </c>
      <c r="M254" s="2">
        <v>91106</v>
      </c>
      <c r="N254" s="2" t="s">
        <v>2289</v>
      </c>
      <c r="R254" s="1" t="str">
        <f t="shared" si="9"/>
        <v>T1MP6</v>
      </c>
    </row>
    <row r="255" spans="2:18" x14ac:dyDescent="0.3">
      <c r="B255" s="2" t="s">
        <v>469</v>
      </c>
      <c r="C255" s="2">
        <v>93201</v>
      </c>
      <c r="D255" s="2">
        <v>3310</v>
      </c>
      <c r="L255" s="2" t="s">
        <v>431</v>
      </c>
      <c r="M255" s="2">
        <v>91201</v>
      </c>
      <c r="N255" s="2" t="s">
        <v>2290</v>
      </c>
      <c r="R255" s="1" t="str">
        <f t="shared" si="9"/>
        <v>T1HP1</v>
      </c>
    </row>
    <row r="256" spans="2:18" x14ac:dyDescent="0.3">
      <c r="B256" s="2" t="s">
        <v>478</v>
      </c>
      <c r="C256" s="2">
        <v>93202</v>
      </c>
      <c r="D256" s="2">
        <v>3320</v>
      </c>
      <c r="L256" s="2" t="s">
        <v>440</v>
      </c>
      <c r="M256" s="2">
        <v>91202</v>
      </c>
      <c r="N256" s="2" t="s">
        <v>2291</v>
      </c>
      <c r="R256" s="1" t="str">
        <f t="shared" si="9"/>
        <v>T1HP2</v>
      </c>
    </row>
    <row r="257" spans="2:18" x14ac:dyDescent="0.3">
      <c r="B257" s="2" t="s">
        <v>470</v>
      </c>
      <c r="C257" s="2">
        <v>93203</v>
      </c>
      <c r="D257" s="2">
        <v>3330</v>
      </c>
      <c r="L257" s="2" t="s">
        <v>432</v>
      </c>
      <c r="M257" s="2">
        <v>91203</v>
      </c>
      <c r="N257" s="2" t="s">
        <v>2292</v>
      </c>
      <c r="R257" s="1" t="str">
        <f t="shared" si="9"/>
        <v>T1HP3</v>
      </c>
    </row>
    <row r="258" spans="2:18" x14ac:dyDescent="0.3">
      <c r="B258" s="2" t="s">
        <v>479</v>
      </c>
      <c r="C258" s="2">
        <v>93204</v>
      </c>
      <c r="D258" s="2">
        <v>3340</v>
      </c>
      <c r="L258" s="2" t="s">
        <v>441</v>
      </c>
      <c r="M258" s="2">
        <v>91204</v>
      </c>
      <c r="N258" s="2" t="s">
        <v>2293</v>
      </c>
      <c r="R258" s="1" t="str">
        <f t="shared" si="9"/>
        <v>T1HP4</v>
      </c>
    </row>
    <row r="259" spans="2:18" x14ac:dyDescent="0.3">
      <c r="B259" s="2" t="s">
        <v>471</v>
      </c>
      <c r="C259" s="2">
        <v>93205</v>
      </c>
      <c r="D259" s="2">
        <v>3350</v>
      </c>
      <c r="L259" s="2" t="s">
        <v>433</v>
      </c>
      <c r="M259" s="2">
        <v>91205</v>
      </c>
      <c r="N259" s="2" t="s">
        <v>2294</v>
      </c>
      <c r="R259" s="1" t="str">
        <f t="shared" si="9"/>
        <v>T1HP5</v>
      </c>
    </row>
    <row r="260" spans="2:18" x14ac:dyDescent="0.3">
      <c r="B260" s="2" t="s">
        <v>480</v>
      </c>
      <c r="C260" s="2">
        <v>93206</v>
      </c>
      <c r="D260" s="2">
        <v>3360</v>
      </c>
      <c r="L260" s="2" t="s">
        <v>442</v>
      </c>
      <c r="M260" s="2">
        <v>91206</v>
      </c>
      <c r="N260" s="2" t="s">
        <v>2295</v>
      </c>
      <c r="R260" s="1" t="str">
        <f t="shared" si="9"/>
        <v>T1HP6</v>
      </c>
    </row>
    <row r="261" spans="2:18" x14ac:dyDescent="0.3">
      <c r="B261" s="2" t="s">
        <v>2299</v>
      </c>
      <c r="C261" s="2">
        <v>94001</v>
      </c>
      <c r="D261" s="2">
        <v>4110</v>
      </c>
      <c r="L261" s="2" t="s">
        <v>444</v>
      </c>
      <c r="M261" s="2">
        <v>92001</v>
      </c>
      <c r="N261" s="2" t="s">
        <v>2296</v>
      </c>
      <c r="R261" s="1" t="str">
        <f t="shared" si="9"/>
        <v>T2LP1</v>
      </c>
    </row>
    <row r="262" spans="2:18" x14ac:dyDescent="0.3">
      <c r="B262" s="2" t="s">
        <v>2301</v>
      </c>
      <c r="C262" s="2">
        <v>94002</v>
      </c>
      <c r="D262" s="2">
        <v>4120</v>
      </c>
      <c r="L262" s="2" t="s">
        <v>453</v>
      </c>
      <c r="M262" s="2">
        <v>92002</v>
      </c>
      <c r="N262" s="2" t="s">
        <v>2297</v>
      </c>
      <c r="R262" s="1" t="str">
        <f t="shared" ref="R262:R325" si="10">L262</f>
        <v>T2LP2</v>
      </c>
    </row>
    <row r="263" spans="2:18" x14ac:dyDescent="0.3">
      <c r="B263" s="2" t="s">
        <v>2303</v>
      </c>
      <c r="C263" s="2">
        <v>94003</v>
      </c>
      <c r="D263" s="2">
        <v>4130</v>
      </c>
      <c r="L263" s="2" t="s">
        <v>445</v>
      </c>
      <c r="M263" s="2">
        <v>92003</v>
      </c>
      <c r="N263" s="2" t="s">
        <v>2298</v>
      </c>
      <c r="R263" s="1" t="str">
        <f t="shared" si="10"/>
        <v>T2LP3</v>
      </c>
    </row>
    <row r="264" spans="2:18" x14ac:dyDescent="0.3">
      <c r="B264" s="2" t="s">
        <v>2305</v>
      </c>
      <c r="C264" s="2">
        <v>94004</v>
      </c>
      <c r="D264" s="2">
        <v>4140</v>
      </c>
      <c r="L264" s="2" t="s">
        <v>454</v>
      </c>
      <c r="M264" s="2">
        <v>92004</v>
      </c>
      <c r="N264" s="2" t="s">
        <v>2300</v>
      </c>
      <c r="R264" s="1" t="str">
        <f t="shared" si="10"/>
        <v>T2LP4</v>
      </c>
    </row>
    <row r="265" spans="2:18" x14ac:dyDescent="0.3">
      <c r="B265" s="2" t="s">
        <v>2307</v>
      </c>
      <c r="C265" s="2">
        <v>94005</v>
      </c>
      <c r="D265" s="2">
        <v>4150</v>
      </c>
      <c r="L265" s="2" t="s">
        <v>446</v>
      </c>
      <c r="M265" s="2">
        <v>92005</v>
      </c>
      <c r="N265" s="2" t="s">
        <v>2302</v>
      </c>
      <c r="R265" s="1" t="str">
        <f t="shared" si="10"/>
        <v>T2LP5</v>
      </c>
    </row>
    <row r="266" spans="2:18" x14ac:dyDescent="0.3">
      <c r="B266" s="2" t="s">
        <v>2309</v>
      </c>
      <c r="C266" s="2">
        <v>94006</v>
      </c>
      <c r="D266" s="2">
        <v>4160</v>
      </c>
      <c r="L266" s="2" t="s">
        <v>455</v>
      </c>
      <c r="M266" s="2">
        <v>92006</v>
      </c>
      <c r="N266" s="2" t="s">
        <v>2304</v>
      </c>
      <c r="R266" s="1" t="str">
        <f t="shared" si="10"/>
        <v>T2LP6</v>
      </c>
    </row>
    <row r="267" spans="2:18" x14ac:dyDescent="0.3">
      <c r="B267" s="2" t="s">
        <v>2311</v>
      </c>
      <c r="C267" s="2">
        <v>94101</v>
      </c>
      <c r="D267" s="2">
        <v>4210</v>
      </c>
      <c r="L267" s="2" t="s">
        <v>447</v>
      </c>
      <c r="M267" s="2">
        <v>92101</v>
      </c>
      <c r="N267" s="2" t="s">
        <v>2306</v>
      </c>
      <c r="R267" s="1" t="str">
        <f t="shared" si="10"/>
        <v>T2MP1</v>
      </c>
    </row>
    <row r="268" spans="2:18" x14ac:dyDescent="0.3">
      <c r="B268" s="2" t="s">
        <v>2313</v>
      </c>
      <c r="C268" s="2">
        <v>94102</v>
      </c>
      <c r="D268" s="2">
        <v>4220</v>
      </c>
      <c r="L268" s="2" t="s">
        <v>456</v>
      </c>
      <c r="M268" s="2">
        <v>92102</v>
      </c>
      <c r="N268" s="2" t="s">
        <v>2308</v>
      </c>
      <c r="R268" s="1" t="str">
        <f t="shared" si="10"/>
        <v>T2MP2</v>
      </c>
    </row>
    <row r="269" spans="2:18" x14ac:dyDescent="0.3">
      <c r="B269" s="2" t="s">
        <v>2315</v>
      </c>
      <c r="C269" s="2">
        <v>94103</v>
      </c>
      <c r="D269" s="2">
        <v>4230</v>
      </c>
      <c r="L269" s="2" t="s">
        <v>448</v>
      </c>
      <c r="M269" s="2">
        <v>92103</v>
      </c>
      <c r="N269" s="2" t="s">
        <v>2310</v>
      </c>
      <c r="R269" s="1" t="str">
        <f t="shared" si="10"/>
        <v>T2MP3</v>
      </c>
    </row>
    <row r="270" spans="2:18" x14ac:dyDescent="0.3">
      <c r="B270" s="2" t="s">
        <v>2317</v>
      </c>
      <c r="C270" s="2">
        <v>94104</v>
      </c>
      <c r="D270" s="2">
        <v>4240</v>
      </c>
      <c r="L270" s="2" t="s">
        <v>457</v>
      </c>
      <c r="M270" s="2">
        <v>92104</v>
      </c>
      <c r="N270" s="2" t="s">
        <v>2312</v>
      </c>
      <c r="R270" s="1" t="str">
        <f t="shared" si="10"/>
        <v>T2MP4</v>
      </c>
    </row>
    <row r="271" spans="2:18" x14ac:dyDescent="0.3">
      <c r="B271" s="2" t="s">
        <v>2319</v>
      </c>
      <c r="C271" s="2">
        <v>94105</v>
      </c>
      <c r="D271" s="2">
        <v>4250</v>
      </c>
      <c r="L271" s="2" t="s">
        <v>449</v>
      </c>
      <c r="M271" s="2">
        <v>92105</v>
      </c>
      <c r="N271" s="2" t="s">
        <v>2314</v>
      </c>
      <c r="R271" s="1" t="str">
        <f t="shared" si="10"/>
        <v>T2MP5</v>
      </c>
    </row>
    <row r="272" spans="2:18" x14ac:dyDescent="0.3">
      <c r="B272" s="2" t="s">
        <v>2321</v>
      </c>
      <c r="C272" s="2">
        <v>94106</v>
      </c>
      <c r="D272" s="2">
        <v>4260</v>
      </c>
      <c r="L272" s="2" t="s">
        <v>458</v>
      </c>
      <c r="M272" s="2">
        <v>92106</v>
      </c>
      <c r="N272" s="2" t="s">
        <v>2316</v>
      </c>
      <c r="R272" s="1" t="str">
        <f t="shared" si="10"/>
        <v>T2MP6</v>
      </c>
    </row>
    <row r="273" spans="2:18" x14ac:dyDescent="0.3">
      <c r="B273" s="2" t="s">
        <v>2323</v>
      </c>
      <c r="C273" s="2">
        <v>94201</v>
      </c>
      <c r="D273" s="2">
        <v>4310</v>
      </c>
      <c r="L273" s="2" t="s">
        <v>450</v>
      </c>
      <c r="M273" s="2">
        <v>92201</v>
      </c>
      <c r="N273" s="2" t="s">
        <v>2318</v>
      </c>
      <c r="R273" s="1" t="str">
        <f t="shared" si="10"/>
        <v>T2HP1</v>
      </c>
    </row>
    <row r="274" spans="2:18" x14ac:dyDescent="0.3">
      <c r="B274" s="2" t="s">
        <v>2325</v>
      </c>
      <c r="C274" s="2">
        <v>94202</v>
      </c>
      <c r="D274" s="2">
        <v>4320</v>
      </c>
      <c r="L274" s="2" t="s">
        <v>459</v>
      </c>
      <c r="M274" s="2">
        <v>92202</v>
      </c>
      <c r="N274" s="2" t="s">
        <v>2320</v>
      </c>
      <c r="R274" s="1" t="str">
        <f t="shared" si="10"/>
        <v>T2HP2</v>
      </c>
    </row>
    <row r="275" spans="2:18" x14ac:dyDescent="0.3">
      <c r="B275" s="2" t="s">
        <v>2327</v>
      </c>
      <c r="C275" s="2">
        <v>94203</v>
      </c>
      <c r="D275" s="2">
        <v>4330</v>
      </c>
      <c r="L275" s="2" t="s">
        <v>451</v>
      </c>
      <c r="M275" s="2">
        <v>92203</v>
      </c>
      <c r="N275" s="2" t="s">
        <v>2322</v>
      </c>
      <c r="R275" s="1" t="str">
        <f t="shared" si="10"/>
        <v>T2HP3</v>
      </c>
    </row>
    <row r="276" spans="2:18" x14ac:dyDescent="0.3">
      <c r="B276" s="2" t="s">
        <v>2329</v>
      </c>
      <c r="C276" s="2">
        <v>94204</v>
      </c>
      <c r="D276" s="2">
        <v>4340</v>
      </c>
      <c r="L276" s="2" t="s">
        <v>460</v>
      </c>
      <c r="M276" s="2">
        <v>92204</v>
      </c>
      <c r="N276" s="2" t="s">
        <v>2324</v>
      </c>
      <c r="R276" s="1" t="str">
        <f t="shared" si="10"/>
        <v>T2HP4</v>
      </c>
    </row>
    <row r="277" spans="2:18" x14ac:dyDescent="0.3">
      <c r="B277" s="2" t="s">
        <v>2331</v>
      </c>
      <c r="C277" s="2">
        <v>94205</v>
      </c>
      <c r="D277" s="2">
        <v>4350</v>
      </c>
      <c r="L277" s="2" t="s">
        <v>452</v>
      </c>
      <c r="M277" s="2">
        <v>92205</v>
      </c>
      <c r="N277" s="2" t="s">
        <v>2326</v>
      </c>
      <c r="R277" s="1" t="str">
        <f t="shared" si="10"/>
        <v>T2HP5</v>
      </c>
    </row>
    <row r="278" spans="2:18" x14ac:dyDescent="0.3">
      <c r="B278" s="2" t="s">
        <v>2333</v>
      </c>
      <c r="C278" s="2">
        <v>94206</v>
      </c>
      <c r="D278" s="2">
        <v>4360</v>
      </c>
      <c r="L278" s="2" t="s">
        <v>461</v>
      </c>
      <c r="M278" s="2">
        <v>92206</v>
      </c>
      <c r="N278" s="2" t="s">
        <v>2328</v>
      </c>
      <c r="R278" s="1" t="str">
        <f t="shared" si="10"/>
        <v>T2HP6</v>
      </c>
    </row>
    <row r="279" spans="2:18" x14ac:dyDescent="0.3">
      <c r="B279" s="2" t="s">
        <v>2335</v>
      </c>
      <c r="C279" s="2">
        <v>95001</v>
      </c>
      <c r="D279" s="2">
        <v>5110</v>
      </c>
      <c r="L279" s="2" t="s">
        <v>463</v>
      </c>
      <c r="M279" s="2">
        <v>93001</v>
      </c>
      <c r="N279" s="2" t="s">
        <v>2330</v>
      </c>
      <c r="R279" s="1" t="str">
        <f t="shared" si="10"/>
        <v>T3LP1</v>
      </c>
    </row>
    <row r="280" spans="2:18" x14ac:dyDescent="0.3">
      <c r="B280" s="2" t="s">
        <v>2337</v>
      </c>
      <c r="C280" s="2">
        <v>95002</v>
      </c>
      <c r="D280" s="2">
        <v>5120</v>
      </c>
      <c r="L280" s="2" t="s">
        <v>472</v>
      </c>
      <c r="M280" s="2">
        <v>93002</v>
      </c>
      <c r="N280" s="2" t="s">
        <v>2332</v>
      </c>
      <c r="R280" s="1" t="str">
        <f t="shared" si="10"/>
        <v>T3LP2</v>
      </c>
    </row>
    <row r="281" spans="2:18" x14ac:dyDescent="0.3">
      <c r="B281" s="2" t="s">
        <v>2339</v>
      </c>
      <c r="C281" s="2">
        <v>95003</v>
      </c>
      <c r="D281" s="2">
        <v>5130</v>
      </c>
      <c r="L281" s="2" t="s">
        <v>464</v>
      </c>
      <c r="M281" s="2">
        <v>93003</v>
      </c>
      <c r="N281" s="2" t="s">
        <v>2334</v>
      </c>
      <c r="R281" s="1" t="str">
        <f t="shared" si="10"/>
        <v>T3LP3</v>
      </c>
    </row>
    <row r="282" spans="2:18" x14ac:dyDescent="0.3">
      <c r="B282" s="2" t="s">
        <v>2341</v>
      </c>
      <c r="C282" s="2">
        <v>95004</v>
      </c>
      <c r="D282" s="2">
        <v>5140</v>
      </c>
      <c r="L282" s="2" t="s">
        <v>473</v>
      </c>
      <c r="M282" s="2">
        <v>93004</v>
      </c>
      <c r="N282" s="2" t="s">
        <v>2336</v>
      </c>
      <c r="R282" s="1" t="str">
        <f t="shared" si="10"/>
        <v>T3LP4</v>
      </c>
    </row>
    <row r="283" spans="2:18" x14ac:dyDescent="0.3">
      <c r="B283" s="2" t="s">
        <v>2343</v>
      </c>
      <c r="C283" s="2">
        <v>95005</v>
      </c>
      <c r="D283" s="2">
        <v>5150</v>
      </c>
      <c r="L283" s="2" t="s">
        <v>465</v>
      </c>
      <c r="M283" s="2">
        <v>93005</v>
      </c>
      <c r="N283" s="2" t="s">
        <v>2338</v>
      </c>
      <c r="R283" s="1" t="str">
        <f t="shared" si="10"/>
        <v>T3LP5</v>
      </c>
    </row>
    <row r="284" spans="2:18" x14ac:dyDescent="0.3">
      <c r="B284" s="2" t="s">
        <v>2345</v>
      </c>
      <c r="C284" s="2">
        <v>95006</v>
      </c>
      <c r="D284" s="2">
        <v>5160</v>
      </c>
      <c r="L284" s="2" t="s">
        <v>474</v>
      </c>
      <c r="M284" s="2">
        <v>93006</v>
      </c>
      <c r="N284" s="2" t="s">
        <v>2340</v>
      </c>
      <c r="R284" s="1" t="str">
        <f t="shared" si="10"/>
        <v>T3LP6</v>
      </c>
    </row>
    <row r="285" spans="2:18" x14ac:dyDescent="0.3">
      <c r="B285" s="2" t="s">
        <v>2347</v>
      </c>
      <c r="C285" s="2">
        <v>95101</v>
      </c>
      <c r="D285" s="2">
        <v>5210</v>
      </c>
      <c r="L285" s="2" t="s">
        <v>466</v>
      </c>
      <c r="M285" s="2">
        <v>93101</v>
      </c>
      <c r="N285" s="2" t="s">
        <v>2342</v>
      </c>
      <c r="R285" s="1" t="str">
        <f t="shared" si="10"/>
        <v>T3MP1</v>
      </c>
    </row>
    <row r="286" spans="2:18" x14ac:dyDescent="0.3">
      <c r="B286" s="2" t="s">
        <v>2349</v>
      </c>
      <c r="C286" s="2">
        <v>95102</v>
      </c>
      <c r="D286" s="2">
        <v>5220</v>
      </c>
      <c r="L286" s="2" t="s">
        <v>475</v>
      </c>
      <c r="M286" s="2">
        <v>93102</v>
      </c>
      <c r="N286" s="2" t="s">
        <v>2344</v>
      </c>
      <c r="R286" s="1" t="str">
        <f t="shared" si="10"/>
        <v>T3MP2</v>
      </c>
    </row>
    <row r="287" spans="2:18" x14ac:dyDescent="0.3">
      <c r="B287" s="2" t="s">
        <v>2351</v>
      </c>
      <c r="C287" s="2">
        <v>95103</v>
      </c>
      <c r="D287" s="2">
        <v>5230</v>
      </c>
      <c r="L287" s="2" t="s">
        <v>467</v>
      </c>
      <c r="M287" s="2">
        <v>93103</v>
      </c>
      <c r="N287" s="2" t="s">
        <v>2346</v>
      </c>
      <c r="R287" s="1" t="str">
        <f t="shared" si="10"/>
        <v>T3MP3</v>
      </c>
    </row>
    <row r="288" spans="2:18" x14ac:dyDescent="0.3">
      <c r="B288" s="2" t="s">
        <v>2353</v>
      </c>
      <c r="C288" s="2">
        <v>95104</v>
      </c>
      <c r="D288" s="2">
        <v>5240</v>
      </c>
      <c r="L288" s="2" t="s">
        <v>476</v>
      </c>
      <c r="M288" s="2">
        <v>93104</v>
      </c>
      <c r="N288" s="2" t="s">
        <v>2348</v>
      </c>
      <c r="R288" s="1" t="str">
        <f t="shared" si="10"/>
        <v>T3MP4</v>
      </c>
    </row>
    <row r="289" spans="2:18" x14ac:dyDescent="0.3">
      <c r="B289" s="2" t="s">
        <v>2355</v>
      </c>
      <c r="C289" s="2">
        <v>95105</v>
      </c>
      <c r="D289" s="2">
        <v>5250</v>
      </c>
      <c r="L289" s="2" t="s">
        <v>468</v>
      </c>
      <c r="M289" s="2">
        <v>93105</v>
      </c>
      <c r="N289" s="2" t="s">
        <v>2350</v>
      </c>
      <c r="R289" s="1" t="str">
        <f t="shared" si="10"/>
        <v>T3MP5</v>
      </c>
    </row>
    <row r="290" spans="2:18" x14ac:dyDescent="0.3">
      <c r="B290" s="2" t="s">
        <v>2357</v>
      </c>
      <c r="C290" s="2">
        <v>95106</v>
      </c>
      <c r="D290" s="2">
        <v>5260</v>
      </c>
      <c r="L290" s="2" t="s">
        <v>477</v>
      </c>
      <c r="M290" s="2">
        <v>93106</v>
      </c>
      <c r="N290" s="2" t="s">
        <v>2352</v>
      </c>
      <c r="R290" s="1" t="str">
        <f t="shared" si="10"/>
        <v>T3MP6</v>
      </c>
    </row>
    <row r="291" spans="2:18" x14ac:dyDescent="0.3">
      <c r="B291" s="2" t="s">
        <v>2359</v>
      </c>
      <c r="C291" s="2">
        <v>95201</v>
      </c>
      <c r="D291" s="2">
        <v>5310</v>
      </c>
      <c r="L291" s="2" t="s">
        <v>469</v>
      </c>
      <c r="M291" s="2">
        <v>93201</v>
      </c>
      <c r="N291" s="2" t="s">
        <v>2354</v>
      </c>
      <c r="R291" s="1" t="str">
        <f t="shared" si="10"/>
        <v>T3HP1</v>
      </c>
    </row>
    <row r="292" spans="2:18" x14ac:dyDescent="0.3">
      <c r="B292" s="2" t="s">
        <v>2361</v>
      </c>
      <c r="C292" s="2">
        <v>95202</v>
      </c>
      <c r="D292" s="2">
        <v>5320</v>
      </c>
      <c r="L292" s="2" t="s">
        <v>478</v>
      </c>
      <c r="M292" s="2">
        <v>93202</v>
      </c>
      <c r="N292" s="2" t="s">
        <v>2356</v>
      </c>
      <c r="R292" s="1" t="str">
        <f t="shared" si="10"/>
        <v>T3HP2</v>
      </c>
    </row>
    <row r="293" spans="2:18" x14ac:dyDescent="0.3">
      <c r="B293" s="2" t="s">
        <v>2363</v>
      </c>
      <c r="C293" s="2">
        <v>95203</v>
      </c>
      <c r="D293" s="2">
        <v>5330</v>
      </c>
      <c r="L293" s="2" t="s">
        <v>470</v>
      </c>
      <c r="M293" s="2">
        <v>93203</v>
      </c>
      <c r="N293" s="2" t="s">
        <v>2358</v>
      </c>
      <c r="R293" s="1" t="str">
        <f t="shared" si="10"/>
        <v>T3HP3</v>
      </c>
    </row>
    <row r="294" spans="2:18" x14ac:dyDescent="0.3">
      <c r="B294" s="2" t="s">
        <v>2365</v>
      </c>
      <c r="C294" s="2">
        <v>95204</v>
      </c>
      <c r="D294" s="2">
        <v>5340</v>
      </c>
      <c r="L294" s="2" t="s">
        <v>479</v>
      </c>
      <c r="M294" s="2">
        <v>93204</v>
      </c>
      <c r="N294" s="2" t="s">
        <v>2360</v>
      </c>
      <c r="R294" s="1" t="str">
        <f t="shared" si="10"/>
        <v>T3HP4</v>
      </c>
    </row>
    <row r="295" spans="2:18" x14ac:dyDescent="0.3">
      <c r="B295" s="2" t="s">
        <v>2367</v>
      </c>
      <c r="C295" s="2">
        <v>95205</v>
      </c>
      <c r="D295" s="2">
        <v>5350</v>
      </c>
      <c r="L295" s="2" t="s">
        <v>471</v>
      </c>
      <c r="M295" s="2">
        <v>93205</v>
      </c>
      <c r="N295" s="2" t="s">
        <v>2362</v>
      </c>
      <c r="R295" s="1" t="str">
        <f t="shared" si="10"/>
        <v>T3HP5</v>
      </c>
    </row>
    <row r="296" spans="2:18" x14ac:dyDescent="0.3">
      <c r="B296" s="2" t="s">
        <v>2369</v>
      </c>
      <c r="C296" s="2">
        <v>95206</v>
      </c>
      <c r="D296" s="2">
        <v>5360</v>
      </c>
      <c r="L296" s="2" t="s">
        <v>480</v>
      </c>
      <c r="M296" s="2">
        <v>93206</v>
      </c>
      <c r="N296" s="2" t="s">
        <v>2364</v>
      </c>
      <c r="R296" s="1" t="str">
        <f t="shared" si="10"/>
        <v>T3HP6</v>
      </c>
    </row>
    <row r="297" spans="2:18" x14ac:dyDescent="0.3">
      <c r="L297" s="2" t="s">
        <v>2299</v>
      </c>
      <c r="M297" s="2">
        <v>94001</v>
      </c>
      <c r="N297" s="2" t="s">
        <v>2366</v>
      </c>
      <c r="R297" s="1" t="str">
        <f t="shared" si="10"/>
        <v>T4LP1</v>
      </c>
    </row>
    <row r="298" spans="2:18" x14ac:dyDescent="0.3">
      <c r="L298" s="2" t="s">
        <v>2301</v>
      </c>
      <c r="M298" s="2">
        <v>94002</v>
      </c>
      <c r="N298" s="2" t="s">
        <v>2368</v>
      </c>
      <c r="R298" s="1" t="str">
        <f t="shared" si="10"/>
        <v>T4LP2</v>
      </c>
    </row>
    <row r="299" spans="2:18" x14ac:dyDescent="0.3">
      <c r="B299" s="2" t="s">
        <v>2373</v>
      </c>
      <c r="C299" s="2" t="s">
        <v>2374</v>
      </c>
      <c r="L299" s="2" t="s">
        <v>2303</v>
      </c>
      <c r="M299" s="2">
        <v>94003</v>
      </c>
      <c r="N299" s="2" t="s">
        <v>2370</v>
      </c>
      <c r="R299" s="1" t="str">
        <f t="shared" si="10"/>
        <v>T4LP3</v>
      </c>
    </row>
    <row r="300" spans="2:18" x14ac:dyDescent="0.3">
      <c r="B300" s="2" t="s">
        <v>2376</v>
      </c>
      <c r="C300" s="2">
        <v>23000</v>
      </c>
      <c r="L300" s="2" t="s">
        <v>2305</v>
      </c>
      <c r="M300" s="2">
        <v>94004</v>
      </c>
      <c r="N300" s="2" t="s">
        <v>2371</v>
      </c>
      <c r="R300" s="1" t="str">
        <f t="shared" si="10"/>
        <v>T4LP4</v>
      </c>
    </row>
    <row r="301" spans="2:18" x14ac:dyDescent="0.3">
      <c r="B301" s="2" t="s">
        <v>2378</v>
      </c>
      <c r="C301" s="2">
        <v>23001</v>
      </c>
      <c r="L301" s="2" t="s">
        <v>2307</v>
      </c>
      <c r="M301" s="2">
        <v>94005</v>
      </c>
      <c r="N301" s="2" t="s">
        <v>2372</v>
      </c>
      <c r="R301" s="1" t="str">
        <f t="shared" si="10"/>
        <v>T4LP5</v>
      </c>
    </row>
    <row r="302" spans="2:18" x14ac:dyDescent="0.3">
      <c r="B302" s="2" t="s">
        <v>515</v>
      </c>
      <c r="C302" s="2">
        <v>23002</v>
      </c>
      <c r="L302" s="2" t="s">
        <v>2309</v>
      </c>
      <c r="M302" s="2">
        <v>94006</v>
      </c>
      <c r="N302" s="2" t="s">
        <v>2375</v>
      </c>
      <c r="R302" s="1" t="str">
        <f t="shared" si="10"/>
        <v>T4LP6</v>
      </c>
    </row>
    <row r="303" spans="2:18" x14ac:dyDescent="0.3">
      <c r="B303" s="2" t="s">
        <v>517</v>
      </c>
      <c r="C303" s="2">
        <v>23003</v>
      </c>
      <c r="L303" s="2" t="s">
        <v>2311</v>
      </c>
      <c r="M303" s="2">
        <v>94101</v>
      </c>
      <c r="N303" s="2" t="s">
        <v>2377</v>
      </c>
      <c r="R303" s="1" t="str">
        <f t="shared" si="10"/>
        <v>T4MP1</v>
      </c>
    </row>
    <row r="304" spans="2:18" x14ac:dyDescent="0.3">
      <c r="B304" s="2" t="s">
        <v>2382</v>
      </c>
      <c r="C304" s="2">
        <v>23004</v>
      </c>
      <c r="L304" s="2" t="s">
        <v>2313</v>
      </c>
      <c r="M304" s="2">
        <v>94102</v>
      </c>
      <c r="N304" s="2" t="s">
        <v>2379</v>
      </c>
      <c r="R304" s="1" t="str">
        <f t="shared" si="10"/>
        <v>T4MP2</v>
      </c>
    </row>
    <row r="305" spans="2:18" x14ac:dyDescent="0.3">
      <c r="B305" s="2" t="s">
        <v>525</v>
      </c>
      <c r="C305" s="2">
        <v>23005</v>
      </c>
      <c r="L305" s="2" t="s">
        <v>2315</v>
      </c>
      <c r="M305" s="2">
        <v>94103</v>
      </c>
      <c r="N305" s="2" t="s">
        <v>2380</v>
      </c>
      <c r="R305" s="1" t="str">
        <f t="shared" si="10"/>
        <v>T4MP3</v>
      </c>
    </row>
    <row r="306" spans="2:18" x14ac:dyDescent="0.3">
      <c r="B306" s="2" t="s">
        <v>532</v>
      </c>
      <c r="C306" s="2">
        <v>23006</v>
      </c>
      <c r="L306" s="2" t="s">
        <v>2317</v>
      </c>
      <c r="M306" s="2">
        <v>94104</v>
      </c>
      <c r="N306" s="2" t="s">
        <v>2381</v>
      </c>
      <c r="R306" s="1" t="str">
        <f t="shared" si="10"/>
        <v>T4MP4</v>
      </c>
    </row>
    <row r="307" spans="2:18" x14ac:dyDescent="0.3">
      <c r="B307" s="2" t="s">
        <v>2386</v>
      </c>
      <c r="C307" s="2">
        <v>23007</v>
      </c>
      <c r="L307" s="2" t="s">
        <v>2319</v>
      </c>
      <c r="M307" s="2">
        <v>94105</v>
      </c>
      <c r="N307" s="2" t="s">
        <v>2383</v>
      </c>
      <c r="R307" s="1" t="str">
        <f t="shared" si="10"/>
        <v>T4MP5</v>
      </c>
    </row>
    <row r="308" spans="2:18" x14ac:dyDescent="0.3">
      <c r="B308" s="2" t="s">
        <v>2388</v>
      </c>
      <c r="C308" s="2">
        <v>23008</v>
      </c>
      <c r="L308" s="2" t="s">
        <v>2321</v>
      </c>
      <c r="M308" s="2">
        <v>94106</v>
      </c>
      <c r="N308" s="2" t="s">
        <v>2384</v>
      </c>
      <c r="R308" s="1" t="str">
        <f t="shared" si="10"/>
        <v>T4MP6</v>
      </c>
    </row>
    <row r="309" spans="2:18" x14ac:dyDescent="0.3">
      <c r="B309" s="2" t="s">
        <v>2390</v>
      </c>
      <c r="C309" s="2">
        <v>23009</v>
      </c>
      <c r="L309" s="2" t="s">
        <v>2323</v>
      </c>
      <c r="M309" s="2">
        <v>94201</v>
      </c>
      <c r="N309" s="2" t="s">
        <v>2385</v>
      </c>
      <c r="R309" s="1" t="str">
        <f t="shared" si="10"/>
        <v>T4HP1</v>
      </c>
    </row>
    <row r="310" spans="2:18" x14ac:dyDescent="0.3">
      <c r="B310" s="2" t="s">
        <v>2392</v>
      </c>
      <c r="C310" s="2">
        <v>23010</v>
      </c>
      <c r="L310" s="2" t="s">
        <v>2325</v>
      </c>
      <c r="M310" s="2">
        <v>94202</v>
      </c>
      <c r="N310" s="2" t="s">
        <v>2387</v>
      </c>
      <c r="R310" s="1" t="str">
        <f t="shared" si="10"/>
        <v>T4HP2</v>
      </c>
    </row>
    <row r="311" spans="2:18" x14ac:dyDescent="0.3">
      <c r="B311" s="2" t="s">
        <v>2394</v>
      </c>
      <c r="C311" s="2">
        <v>24001</v>
      </c>
      <c r="L311" s="2" t="s">
        <v>2327</v>
      </c>
      <c r="M311" s="2">
        <v>94203</v>
      </c>
      <c r="N311" s="2" t="s">
        <v>2389</v>
      </c>
      <c r="R311" s="1" t="str">
        <f t="shared" si="10"/>
        <v>T4HP3</v>
      </c>
    </row>
    <row r="312" spans="2:18" x14ac:dyDescent="0.3">
      <c r="B312" s="2" t="s">
        <v>513</v>
      </c>
      <c r="C312" s="2">
        <v>24002</v>
      </c>
      <c r="L312" s="2" t="s">
        <v>2329</v>
      </c>
      <c r="M312" s="2">
        <v>94204</v>
      </c>
      <c r="N312" s="2" t="s">
        <v>2391</v>
      </c>
      <c r="R312" s="1" t="str">
        <f t="shared" si="10"/>
        <v>T4HP4</v>
      </c>
    </row>
    <row r="313" spans="2:18" x14ac:dyDescent="0.3">
      <c r="B313" s="2" t="s">
        <v>2396</v>
      </c>
      <c r="C313" s="2">
        <v>24003</v>
      </c>
      <c r="L313" s="2" t="s">
        <v>2331</v>
      </c>
      <c r="M313" s="2">
        <v>94205</v>
      </c>
      <c r="N313" s="2" t="s">
        <v>2393</v>
      </c>
      <c r="R313" s="1" t="str">
        <f t="shared" si="10"/>
        <v>T4HP5</v>
      </c>
    </row>
    <row r="314" spans="2:18" x14ac:dyDescent="0.3">
      <c r="B314" s="2" t="s">
        <v>521</v>
      </c>
      <c r="C314" s="2">
        <v>24004</v>
      </c>
      <c r="L314" s="2" t="s">
        <v>2333</v>
      </c>
      <c r="M314" s="2">
        <v>94206</v>
      </c>
      <c r="N314" s="2" t="s">
        <v>2395</v>
      </c>
      <c r="R314" s="1" t="str">
        <f t="shared" si="10"/>
        <v>T4HP6</v>
      </c>
    </row>
    <row r="315" spans="2:18" x14ac:dyDescent="0.3">
      <c r="B315" s="2" t="s">
        <v>2397</v>
      </c>
      <c r="C315" s="2">
        <v>24005</v>
      </c>
      <c r="L315" s="2" t="s">
        <v>2335</v>
      </c>
      <c r="M315" s="2">
        <v>95001</v>
      </c>
      <c r="N315" s="2" t="s">
        <v>2366</v>
      </c>
      <c r="R315" s="1" t="str">
        <f t="shared" si="10"/>
        <v>T5LP1</v>
      </c>
    </row>
    <row r="316" spans="2:18" x14ac:dyDescent="0.3">
      <c r="B316" s="2" t="s">
        <v>528</v>
      </c>
      <c r="C316" s="2">
        <v>24006</v>
      </c>
      <c r="L316" s="2" t="s">
        <v>2337</v>
      </c>
      <c r="M316" s="2">
        <v>95002</v>
      </c>
      <c r="N316" s="2" t="s">
        <v>2368</v>
      </c>
      <c r="R316" s="1" t="str">
        <f t="shared" si="10"/>
        <v>T5LP2</v>
      </c>
    </row>
    <row r="317" spans="2:18" x14ac:dyDescent="0.3">
      <c r="B317" s="2" t="s">
        <v>533</v>
      </c>
      <c r="C317" s="2">
        <v>24007</v>
      </c>
      <c r="L317" s="2" t="s">
        <v>2339</v>
      </c>
      <c r="M317" s="2">
        <v>95003</v>
      </c>
      <c r="N317" s="2" t="s">
        <v>2370</v>
      </c>
      <c r="R317" s="1" t="str">
        <f t="shared" si="10"/>
        <v>T5LP3</v>
      </c>
    </row>
    <row r="318" spans="2:18" x14ac:dyDescent="0.3">
      <c r="B318" s="2" t="s">
        <v>2398</v>
      </c>
      <c r="C318" s="2">
        <v>24008</v>
      </c>
      <c r="L318" s="2" t="s">
        <v>2341</v>
      </c>
      <c r="M318" s="2">
        <v>95004</v>
      </c>
      <c r="N318" s="2" t="s">
        <v>2371</v>
      </c>
      <c r="R318" s="1" t="str">
        <f t="shared" si="10"/>
        <v>T5LP4</v>
      </c>
    </row>
    <row r="319" spans="2:18" x14ac:dyDescent="0.3">
      <c r="B319" s="2" t="s">
        <v>2399</v>
      </c>
      <c r="C319" s="2">
        <v>24009</v>
      </c>
      <c r="L319" s="2" t="s">
        <v>2343</v>
      </c>
      <c r="M319" s="2">
        <v>95005</v>
      </c>
      <c r="N319" s="2" t="s">
        <v>2372</v>
      </c>
      <c r="R319" s="1" t="str">
        <f t="shared" si="10"/>
        <v>T5LP5</v>
      </c>
    </row>
    <row r="320" spans="2:18" x14ac:dyDescent="0.3">
      <c r="B320" s="2" t="s">
        <v>2400</v>
      </c>
      <c r="C320" s="2">
        <v>24010</v>
      </c>
      <c r="L320" s="2" t="s">
        <v>2345</v>
      </c>
      <c r="M320" s="2">
        <v>95006</v>
      </c>
      <c r="N320" s="2" t="s">
        <v>2375</v>
      </c>
      <c r="R320" s="1" t="str">
        <f t="shared" si="10"/>
        <v>T5LP6</v>
      </c>
    </row>
    <row r="321" spans="2:18" x14ac:dyDescent="0.3">
      <c r="B321" s="2" t="s">
        <v>2401</v>
      </c>
      <c r="C321" s="2">
        <v>23101</v>
      </c>
      <c r="L321" s="2" t="s">
        <v>2347</v>
      </c>
      <c r="M321" s="2">
        <v>95101</v>
      </c>
      <c r="N321" s="2" t="s">
        <v>2377</v>
      </c>
      <c r="R321" s="1" t="str">
        <f t="shared" si="10"/>
        <v>T5MP1</v>
      </c>
    </row>
    <row r="322" spans="2:18" x14ac:dyDescent="0.3">
      <c r="B322" s="2" t="s">
        <v>2402</v>
      </c>
      <c r="C322" s="2">
        <v>23102</v>
      </c>
      <c r="L322" s="2" t="s">
        <v>2349</v>
      </c>
      <c r="M322" s="2">
        <v>95102</v>
      </c>
      <c r="N322" s="2" t="s">
        <v>2379</v>
      </c>
      <c r="R322" s="1" t="str">
        <f t="shared" si="10"/>
        <v>T5MP2</v>
      </c>
    </row>
    <row r="323" spans="2:18" x14ac:dyDescent="0.3">
      <c r="B323" s="2" t="s">
        <v>2403</v>
      </c>
      <c r="C323" s="2">
        <v>23103</v>
      </c>
      <c r="L323" s="2" t="s">
        <v>2351</v>
      </c>
      <c r="M323" s="2">
        <v>95103</v>
      </c>
      <c r="N323" s="2" t="s">
        <v>2380</v>
      </c>
      <c r="R323" s="1" t="str">
        <f t="shared" si="10"/>
        <v>T5MP3</v>
      </c>
    </row>
    <row r="324" spans="2:18" x14ac:dyDescent="0.3">
      <c r="B324" s="2" t="s">
        <v>2404</v>
      </c>
      <c r="C324" s="2">
        <v>23104</v>
      </c>
      <c r="L324" s="2" t="s">
        <v>2353</v>
      </c>
      <c r="M324" s="2">
        <v>95104</v>
      </c>
      <c r="N324" s="2" t="s">
        <v>2381</v>
      </c>
      <c r="R324" s="1" t="str">
        <f t="shared" si="10"/>
        <v>T5MP4</v>
      </c>
    </row>
    <row r="325" spans="2:18" x14ac:dyDescent="0.3">
      <c r="B325" s="2" t="s">
        <v>2405</v>
      </c>
      <c r="C325" s="2">
        <v>23105</v>
      </c>
      <c r="L325" s="2" t="s">
        <v>2355</v>
      </c>
      <c r="M325" s="2">
        <v>95105</v>
      </c>
      <c r="N325" s="2" t="s">
        <v>2383</v>
      </c>
      <c r="R325" s="1" t="str">
        <f t="shared" si="10"/>
        <v>T5MP5</v>
      </c>
    </row>
    <row r="326" spans="2:18" x14ac:dyDescent="0.3">
      <c r="B326" s="2" t="s">
        <v>2406</v>
      </c>
      <c r="C326" s="2">
        <v>23106</v>
      </c>
      <c r="L326" s="2" t="s">
        <v>2357</v>
      </c>
      <c r="M326" s="2">
        <v>95106</v>
      </c>
      <c r="N326" s="2" t="s">
        <v>2384</v>
      </c>
      <c r="R326" s="1" t="str">
        <f t="shared" ref="R326:R389" si="11">L326</f>
        <v>T5MP6</v>
      </c>
    </row>
    <row r="327" spans="2:18" x14ac:dyDescent="0.3">
      <c r="B327" s="2" t="s">
        <v>2407</v>
      </c>
      <c r="C327" s="2">
        <v>23107</v>
      </c>
      <c r="L327" s="2" t="s">
        <v>2359</v>
      </c>
      <c r="M327" s="2">
        <v>95201</v>
      </c>
      <c r="N327" s="2" t="s">
        <v>2385</v>
      </c>
      <c r="R327" s="1" t="str">
        <f t="shared" si="11"/>
        <v>T5HP1</v>
      </c>
    </row>
    <row r="328" spans="2:18" x14ac:dyDescent="0.3">
      <c r="B328" s="2" t="s">
        <v>2408</v>
      </c>
      <c r="C328" s="2">
        <v>23108</v>
      </c>
      <c r="L328" s="2" t="s">
        <v>2361</v>
      </c>
      <c r="M328" s="2">
        <v>95202</v>
      </c>
      <c r="N328" s="2" t="s">
        <v>2387</v>
      </c>
      <c r="R328" s="1" t="str">
        <f t="shared" si="11"/>
        <v>T5HP2</v>
      </c>
    </row>
    <row r="329" spans="2:18" x14ac:dyDescent="0.3">
      <c r="B329" s="2" t="s">
        <v>2409</v>
      </c>
      <c r="C329" s="2">
        <v>23109</v>
      </c>
      <c r="L329" s="2" t="s">
        <v>2363</v>
      </c>
      <c r="M329" s="2">
        <v>95203</v>
      </c>
      <c r="N329" s="2" t="s">
        <v>2389</v>
      </c>
      <c r="R329" s="1" t="str">
        <f t="shared" si="11"/>
        <v>T5HP3</v>
      </c>
    </row>
    <row r="330" spans="2:18" x14ac:dyDescent="0.3">
      <c r="B330" s="2" t="s">
        <v>2410</v>
      </c>
      <c r="C330" s="2">
        <v>23110</v>
      </c>
      <c r="L330" s="2" t="s">
        <v>2365</v>
      </c>
      <c r="M330" s="2">
        <v>95204</v>
      </c>
      <c r="N330" s="2" t="s">
        <v>2391</v>
      </c>
      <c r="R330" s="1" t="str">
        <f t="shared" si="11"/>
        <v>T5HP4</v>
      </c>
    </row>
    <row r="331" spans="2:18" x14ac:dyDescent="0.3">
      <c r="B331" s="2" t="s">
        <v>2411</v>
      </c>
      <c r="C331" s="2">
        <v>24101</v>
      </c>
      <c r="L331" s="2" t="s">
        <v>2367</v>
      </c>
      <c r="M331" s="2">
        <v>95205</v>
      </c>
      <c r="N331" s="2" t="s">
        <v>2393</v>
      </c>
      <c r="R331" s="1" t="str">
        <f t="shared" si="11"/>
        <v>T5HP5</v>
      </c>
    </row>
    <row r="332" spans="2:18" x14ac:dyDescent="0.3">
      <c r="B332" s="2" t="s">
        <v>2412</v>
      </c>
      <c r="C332" s="2">
        <v>24102</v>
      </c>
      <c r="L332" s="2" t="s">
        <v>2369</v>
      </c>
      <c r="M332" s="2">
        <v>95206</v>
      </c>
      <c r="N332" s="2" t="s">
        <v>2395</v>
      </c>
      <c r="R332" s="1" t="str">
        <f t="shared" si="11"/>
        <v>T5HP6</v>
      </c>
    </row>
    <row r="333" spans="2:18" x14ac:dyDescent="0.3">
      <c r="B333" s="2" t="s">
        <v>2414</v>
      </c>
      <c r="C333" s="2">
        <v>24103</v>
      </c>
      <c r="R333" s="1">
        <f t="shared" si="11"/>
        <v>0</v>
      </c>
    </row>
    <row r="334" spans="2:18" x14ac:dyDescent="0.3">
      <c r="B334" s="2" t="s">
        <v>2415</v>
      </c>
      <c r="C334" s="2">
        <v>24104</v>
      </c>
      <c r="L334" s="2" t="s">
        <v>2373</v>
      </c>
      <c r="M334" s="2" t="s">
        <v>2374</v>
      </c>
      <c r="N334" s="2" t="s">
        <v>1830</v>
      </c>
      <c r="R334" s="1" t="str">
        <f t="shared" si="11"/>
        <v>宝箱名称</v>
      </c>
    </row>
    <row r="335" spans="2:18" x14ac:dyDescent="0.3">
      <c r="B335" s="2" t="s">
        <v>2416</v>
      </c>
      <c r="C335" s="2">
        <v>24105</v>
      </c>
      <c r="L335" s="2" t="s">
        <v>2376</v>
      </c>
      <c r="M335" s="2">
        <v>23000</v>
      </c>
      <c r="N335" s="2" t="s">
        <v>2413</v>
      </c>
      <c r="R335" s="1" t="str">
        <f t="shared" si="11"/>
        <v>部件宝箱0</v>
      </c>
    </row>
    <row r="336" spans="2:18" x14ac:dyDescent="0.3">
      <c r="B336" s="2" t="s">
        <v>2417</v>
      </c>
      <c r="C336" s="2">
        <v>24106</v>
      </c>
      <c r="L336" s="2" t="s">
        <v>2378</v>
      </c>
      <c r="M336" s="2">
        <v>23001</v>
      </c>
      <c r="N336" s="2" t="s">
        <v>2413</v>
      </c>
      <c r="R336" s="1" t="str">
        <f t="shared" si="11"/>
        <v>部件宝箱1</v>
      </c>
    </row>
    <row r="337" spans="2:18" x14ac:dyDescent="0.3">
      <c r="B337" s="2" t="s">
        <v>2418</v>
      </c>
      <c r="C337" s="2">
        <v>24107</v>
      </c>
      <c r="L337" s="2" t="s">
        <v>515</v>
      </c>
      <c r="M337" s="2">
        <v>23002</v>
      </c>
      <c r="N337" s="2" t="s">
        <v>2413</v>
      </c>
      <c r="R337" s="1" t="str">
        <f t="shared" si="11"/>
        <v>部件宝箱2</v>
      </c>
    </row>
    <row r="338" spans="2:18" x14ac:dyDescent="0.3">
      <c r="B338" s="2" t="s">
        <v>2419</v>
      </c>
      <c r="C338" s="2">
        <v>24108</v>
      </c>
      <c r="L338" s="2" t="s">
        <v>517</v>
      </c>
      <c r="M338" s="2">
        <v>23003</v>
      </c>
      <c r="N338" s="2" t="s">
        <v>2413</v>
      </c>
      <c r="R338" s="1" t="str">
        <f t="shared" si="11"/>
        <v>部件宝箱3</v>
      </c>
    </row>
    <row r="339" spans="2:18" x14ac:dyDescent="0.3">
      <c r="B339" s="2" t="s">
        <v>2420</v>
      </c>
      <c r="C339" s="2">
        <v>24109</v>
      </c>
      <c r="L339" s="2" t="s">
        <v>2382</v>
      </c>
      <c r="M339" s="2">
        <v>23004</v>
      </c>
      <c r="N339" s="2" t="s">
        <v>2413</v>
      </c>
      <c r="R339" s="1" t="str">
        <f t="shared" si="11"/>
        <v>部件宝箱4</v>
      </c>
    </row>
    <row r="340" spans="2:18" x14ac:dyDescent="0.3">
      <c r="B340" s="2" t="s">
        <v>2421</v>
      </c>
      <c r="C340" s="2">
        <v>24110</v>
      </c>
      <c r="L340" s="2" t="s">
        <v>525</v>
      </c>
      <c r="M340" s="2">
        <v>23005</v>
      </c>
      <c r="N340" s="2" t="s">
        <v>2413</v>
      </c>
      <c r="R340" s="1" t="str">
        <f t="shared" si="11"/>
        <v>部件宝箱5</v>
      </c>
    </row>
    <row r="341" spans="2:18" x14ac:dyDescent="0.3">
      <c r="B341" s="2" t="s">
        <v>2422</v>
      </c>
      <c r="C341" s="2">
        <v>25001</v>
      </c>
      <c r="L341" s="2" t="s">
        <v>532</v>
      </c>
      <c r="M341" s="2">
        <v>23006</v>
      </c>
      <c r="N341" s="2" t="s">
        <v>2413</v>
      </c>
      <c r="R341" s="1" t="str">
        <f t="shared" si="11"/>
        <v>部件宝箱6</v>
      </c>
    </row>
    <row r="342" spans="2:18" x14ac:dyDescent="0.3">
      <c r="B342" s="2" t="s">
        <v>2423</v>
      </c>
      <c r="C342" s="2">
        <v>25002</v>
      </c>
      <c r="L342" s="2" t="s">
        <v>2386</v>
      </c>
      <c r="M342" s="2">
        <v>23007</v>
      </c>
      <c r="N342" s="2" t="s">
        <v>2413</v>
      </c>
      <c r="R342" s="1" t="str">
        <f t="shared" si="11"/>
        <v>部件宝箱7</v>
      </c>
    </row>
    <row r="343" spans="2:18" x14ac:dyDescent="0.3">
      <c r="B343" s="2" t="s">
        <v>2424</v>
      </c>
      <c r="C343" s="2">
        <v>25003</v>
      </c>
      <c r="L343" s="2" t="s">
        <v>2388</v>
      </c>
      <c r="M343" s="2">
        <v>23008</v>
      </c>
      <c r="N343" s="2" t="s">
        <v>2413</v>
      </c>
      <c r="R343" s="1" t="str">
        <f t="shared" si="11"/>
        <v>部件宝箱8</v>
      </c>
    </row>
    <row r="344" spans="2:18" x14ac:dyDescent="0.3">
      <c r="B344" s="2" t="s">
        <v>2426</v>
      </c>
      <c r="C344" s="2">
        <v>25004</v>
      </c>
      <c r="L344" s="2" t="s">
        <v>2390</v>
      </c>
      <c r="M344" s="2">
        <v>23009</v>
      </c>
      <c r="N344" s="2" t="s">
        <v>2413</v>
      </c>
      <c r="R344" s="1" t="str">
        <f t="shared" si="11"/>
        <v>部件宝箱9</v>
      </c>
    </row>
    <row r="345" spans="2:18" x14ac:dyDescent="0.3">
      <c r="B345" s="2" t="s">
        <v>2427</v>
      </c>
      <c r="C345" s="2">
        <v>25005</v>
      </c>
      <c r="L345" s="2" t="s">
        <v>2392</v>
      </c>
      <c r="M345" s="2">
        <v>23010</v>
      </c>
      <c r="N345" s="2" t="s">
        <v>2413</v>
      </c>
      <c r="R345" s="1" t="str">
        <f t="shared" si="11"/>
        <v>部件宝箱10</v>
      </c>
    </row>
    <row r="346" spans="2:18" x14ac:dyDescent="0.3">
      <c r="B346" s="2" t="s">
        <v>2428</v>
      </c>
      <c r="C346" s="2">
        <v>25006</v>
      </c>
      <c r="L346" s="2" t="s">
        <v>2394</v>
      </c>
      <c r="M346" s="2">
        <v>24001</v>
      </c>
      <c r="N346" s="2" t="s">
        <v>2425</v>
      </c>
      <c r="R346" s="1" t="str">
        <f t="shared" si="11"/>
        <v>碎片宝箱1</v>
      </c>
    </row>
    <row r="347" spans="2:18" x14ac:dyDescent="0.3">
      <c r="B347" s="2" t="s">
        <v>2429</v>
      </c>
      <c r="C347" s="2">
        <v>25007</v>
      </c>
      <c r="L347" s="2" t="s">
        <v>513</v>
      </c>
      <c r="M347" s="2">
        <v>24002</v>
      </c>
      <c r="N347" s="2" t="s">
        <v>2425</v>
      </c>
      <c r="R347" s="1" t="str">
        <f t="shared" si="11"/>
        <v>碎片宝箱2</v>
      </c>
    </row>
    <row r="348" spans="2:18" x14ac:dyDescent="0.3">
      <c r="B348" s="2" t="s">
        <v>2430</v>
      </c>
      <c r="C348" s="2">
        <v>25008</v>
      </c>
      <c r="L348" s="2" t="s">
        <v>2396</v>
      </c>
      <c r="M348" s="2">
        <v>24003</v>
      </c>
      <c r="N348" s="2" t="s">
        <v>2425</v>
      </c>
      <c r="R348" s="1" t="str">
        <f t="shared" si="11"/>
        <v>碎片宝箱3</v>
      </c>
    </row>
    <row r="349" spans="2:18" x14ac:dyDescent="0.3">
      <c r="B349" s="2" t="s">
        <v>2431</v>
      </c>
      <c r="C349" s="2">
        <v>25009</v>
      </c>
      <c r="L349" s="2" t="s">
        <v>521</v>
      </c>
      <c r="M349" s="2">
        <v>24004</v>
      </c>
      <c r="N349" s="2" t="s">
        <v>2425</v>
      </c>
      <c r="R349" s="1" t="str">
        <f t="shared" si="11"/>
        <v>碎片宝箱4</v>
      </c>
    </row>
    <row r="350" spans="2:18" x14ac:dyDescent="0.3">
      <c r="B350" s="2" t="s">
        <v>2432</v>
      </c>
      <c r="C350" s="2">
        <v>25010</v>
      </c>
      <c r="L350" s="2" t="s">
        <v>2397</v>
      </c>
      <c r="M350" s="2">
        <v>24005</v>
      </c>
      <c r="N350" s="2" t="s">
        <v>2425</v>
      </c>
      <c r="R350" s="1" t="str">
        <f t="shared" si="11"/>
        <v>碎片宝箱5</v>
      </c>
    </row>
    <row r="351" spans="2:18" x14ac:dyDescent="0.3">
      <c r="B351" s="2" t="s">
        <v>2433</v>
      </c>
      <c r="C351" s="2">
        <v>25051</v>
      </c>
      <c r="L351" s="2" t="s">
        <v>528</v>
      </c>
      <c r="M351" s="2">
        <v>24006</v>
      </c>
      <c r="N351" s="2" t="s">
        <v>2425</v>
      </c>
      <c r="R351" s="1" t="str">
        <f t="shared" si="11"/>
        <v>碎片宝箱6</v>
      </c>
    </row>
    <row r="352" spans="2:18" x14ac:dyDescent="0.3">
      <c r="B352" s="2" t="s">
        <v>2434</v>
      </c>
      <c r="C352" s="2">
        <v>25052</v>
      </c>
      <c r="L352" s="2" t="s">
        <v>533</v>
      </c>
      <c r="M352" s="2">
        <v>24007</v>
      </c>
      <c r="N352" s="2" t="s">
        <v>2425</v>
      </c>
      <c r="R352" s="1" t="str">
        <f t="shared" si="11"/>
        <v>碎片宝箱7</v>
      </c>
    </row>
    <row r="353" spans="2:18" x14ac:dyDescent="0.3">
      <c r="B353" s="2" t="s">
        <v>2435</v>
      </c>
      <c r="C353" s="2">
        <v>25053</v>
      </c>
      <c r="L353" s="2" t="s">
        <v>2398</v>
      </c>
      <c r="M353" s="2">
        <v>24008</v>
      </c>
      <c r="N353" s="2" t="s">
        <v>2425</v>
      </c>
      <c r="R353" s="1" t="str">
        <f t="shared" si="11"/>
        <v>碎片宝箱8</v>
      </c>
    </row>
    <row r="354" spans="2:18" x14ac:dyDescent="0.3">
      <c r="B354" s="2" t="s">
        <v>2437</v>
      </c>
      <c r="C354" s="2">
        <v>25054</v>
      </c>
      <c r="L354" s="2" t="s">
        <v>2399</v>
      </c>
      <c r="M354" s="2">
        <v>24009</v>
      </c>
      <c r="N354" s="2" t="s">
        <v>2425</v>
      </c>
      <c r="R354" s="1" t="str">
        <f t="shared" si="11"/>
        <v>碎片宝箱9</v>
      </c>
    </row>
    <row r="355" spans="2:18" x14ac:dyDescent="0.3">
      <c r="B355" s="2" t="s">
        <v>2438</v>
      </c>
      <c r="C355" s="2">
        <v>25055</v>
      </c>
      <c r="L355" s="2" t="s">
        <v>2400</v>
      </c>
      <c r="M355" s="2">
        <v>24010</v>
      </c>
      <c r="N355" s="2" t="s">
        <v>2425</v>
      </c>
      <c r="R355" s="1" t="str">
        <f t="shared" si="11"/>
        <v>碎片宝箱10</v>
      </c>
    </row>
    <row r="356" spans="2:18" x14ac:dyDescent="0.3">
      <c r="B356" s="2" t="s">
        <v>2439</v>
      </c>
      <c r="C356" s="2">
        <v>25056</v>
      </c>
      <c r="L356" s="2" t="s">
        <v>2401</v>
      </c>
      <c r="M356" s="2">
        <v>23101</v>
      </c>
      <c r="N356" s="2" t="s">
        <v>2436</v>
      </c>
      <c r="R356" s="1" t="str">
        <f t="shared" si="11"/>
        <v>部件手宝箱1</v>
      </c>
    </row>
    <row r="357" spans="2:18" x14ac:dyDescent="0.3">
      <c r="B357" s="2" t="s">
        <v>2440</v>
      </c>
      <c r="C357" s="2">
        <v>25057</v>
      </c>
      <c r="L357" s="2" t="s">
        <v>2402</v>
      </c>
      <c r="M357" s="2">
        <v>23102</v>
      </c>
      <c r="N357" s="2" t="s">
        <v>2436</v>
      </c>
      <c r="R357" s="1" t="str">
        <f t="shared" si="11"/>
        <v>部件手宝箱2</v>
      </c>
    </row>
    <row r="358" spans="2:18" x14ac:dyDescent="0.3">
      <c r="B358" s="2" t="s">
        <v>2441</v>
      </c>
      <c r="C358" s="2">
        <v>25058</v>
      </c>
      <c r="L358" s="2" t="s">
        <v>2403</v>
      </c>
      <c r="M358" s="2">
        <v>23103</v>
      </c>
      <c r="N358" s="2" t="s">
        <v>2436</v>
      </c>
      <c r="R358" s="1" t="str">
        <f t="shared" si="11"/>
        <v>部件手宝箱3</v>
      </c>
    </row>
    <row r="359" spans="2:18" x14ac:dyDescent="0.3">
      <c r="B359" s="2" t="s">
        <v>2442</v>
      </c>
      <c r="C359" s="2">
        <v>25059</v>
      </c>
      <c r="L359" s="2" t="s">
        <v>2404</v>
      </c>
      <c r="M359" s="2">
        <v>23104</v>
      </c>
      <c r="N359" s="2" t="s">
        <v>2436</v>
      </c>
      <c r="R359" s="1" t="str">
        <f t="shared" si="11"/>
        <v>部件手宝箱4</v>
      </c>
    </row>
    <row r="360" spans="2:18" x14ac:dyDescent="0.3">
      <c r="B360" s="2" t="s">
        <v>2443</v>
      </c>
      <c r="C360" s="2">
        <v>25060</v>
      </c>
      <c r="L360" s="2" t="s">
        <v>2405</v>
      </c>
      <c r="M360" s="2">
        <v>23105</v>
      </c>
      <c r="N360" s="2" t="s">
        <v>2436</v>
      </c>
      <c r="R360" s="1" t="str">
        <f t="shared" si="11"/>
        <v>部件手宝箱5</v>
      </c>
    </row>
    <row r="361" spans="2:18" x14ac:dyDescent="0.3">
      <c r="B361" s="2" t="s">
        <v>2444</v>
      </c>
      <c r="C361" s="2">
        <v>25101</v>
      </c>
      <c r="L361" s="2" t="s">
        <v>2406</v>
      </c>
      <c r="M361" s="2">
        <v>23106</v>
      </c>
      <c r="N361" s="2" t="s">
        <v>2436</v>
      </c>
      <c r="R361" s="1" t="str">
        <f t="shared" si="11"/>
        <v>部件手宝箱6</v>
      </c>
    </row>
    <row r="362" spans="2:18" x14ac:dyDescent="0.3">
      <c r="B362" s="2" t="s">
        <v>2445</v>
      </c>
      <c r="C362" s="2">
        <v>25102</v>
      </c>
      <c r="L362" s="2" t="s">
        <v>2407</v>
      </c>
      <c r="M362" s="2">
        <v>23107</v>
      </c>
      <c r="N362" s="2" t="s">
        <v>2436</v>
      </c>
      <c r="R362" s="1" t="str">
        <f t="shared" si="11"/>
        <v>部件手宝箱7</v>
      </c>
    </row>
    <row r="363" spans="2:18" x14ac:dyDescent="0.3">
      <c r="B363" s="2" t="s">
        <v>2446</v>
      </c>
      <c r="C363" s="2">
        <v>25103</v>
      </c>
      <c r="L363" s="2" t="s">
        <v>2408</v>
      </c>
      <c r="M363" s="2">
        <v>23108</v>
      </c>
      <c r="N363" s="2" t="s">
        <v>2436</v>
      </c>
      <c r="R363" s="1" t="str">
        <f t="shared" si="11"/>
        <v>部件手宝箱8</v>
      </c>
    </row>
    <row r="364" spans="2:18" x14ac:dyDescent="0.3">
      <c r="B364" s="2" t="s">
        <v>2448</v>
      </c>
      <c r="C364" s="2">
        <v>25104</v>
      </c>
      <c r="L364" s="2" t="s">
        <v>2409</v>
      </c>
      <c r="M364" s="2">
        <v>23109</v>
      </c>
      <c r="N364" s="2" t="s">
        <v>2436</v>
      </c>
      <c r="R364" s="1" t="str">
        <f t="shared" si="11"/>
        <v>部件手宝箱9</v>
      </c>
    </row>
    <row r="365" spans="2:18" x14ac:dyDescent="0.3">
      <c r="B365" s="2" t="s">
        <v>2449</v>
      </c>
      <c r="C365" s="2">
        <v>25105</v>
      </c>
      <c r="L365" s="2" t="s">
        <v>2410</v>
      </c>
      <c r="M365" s="2">
        <v>23110</v>
      </c>
      <c r="N365" s="2" t="s">
        <v>2436</v>
      </c>
      <c r="R365" s="1" t="str">
        <f t="shared" si="11"/>
        <v>部件手宝箱10</v>
      </c>
    </row>
    <row r="366" spans="2:18" x14ac:dyDescent="0.3">
      <c r="B366" s="2" t="s">
        <v>2450</v>
      </c>
      <c r="C366" s="2">
        <v>25106</v>
      </c>
      <c r="L366" s="2" t="s">
        <v>2411</v>
      </c>
      <c r="M366" s="2">
        <v>24101</v>
      </c>
      <c r="N366" s="2" t="s">
        <v>2447</v>
      </c>
      <c r="R366" s="1" t="str">
        <f t="shared" si="11"/>
        <v>碎片手宝箱1</v>
      </c>
    </row>
    <row r="367" spans="2:18" x14ac:dyDescent="0.3">
      <c r="B367" s="2" t="s">
        <v>2451</v>
      </c>
      <c r="C367" s="2">
        <v>25107</v>
      </c>
      <c r="L367" s="2" t="s">
        <v>2412</v>
      </c>
      <c r="M367" s="2">
        <v>24102</v>
      </c>
      <c r="N367" s="2" t="s">
        <v>2447</v>
      </c>
      <c r="R367" s="1" t="str">
        <f t="shared" si="11"/>
        <v>碎片手宝箱2</v>
      </c>
    </row>
    <row r="368" spans="2:18" x14ac:dyDescent="0.3">
      <c r="B368" s="2" t="s">
        <v>2452</v>
      </c>
      <c r="C368" s="2">
        <v>25108</v>
      </c>
      <c r="L368" s="2" t="s">
        <v>2414</v>
      </c>
      <c r="M368" s="2">
        <v>24103</v>
      </c>
      <c r="N368" s="2" t="s">
        <v>2447</v>
      </c>
      <c r="R368" s="1" t="str">
        <f t="shared" si="11"/>
        <v>碎片手宝箱3</v>
      </c>
    </row>
    <row r="369" spans="2:18" x14ac:dyDescent="0.3">
      <c r="B369" s="2" t="s">
        <v>2453</v>
      </c>
      <c r="C369" s="2">
        <v>25109</v>
      </c>
      <c r="L369" s="2" t="s">
        <v>2415</v>
      </c>
      <c r="M369" s="2">
        <v>24104</v>
      </c>
      <c r="N369" s="2" t="s">
        <v>2447</v>
      </c>
      <c r="R369" s="1" t="str">
        <f t="shared" si="11"/>
        <v>碎片手宝箱4</v>
      </c>
    </row>
    <row r="370" spans="2:18" x14ac:dyDescent="0.3">
      <c r="B370" s="2" t="s">
        <v>2454</v>
      </c>
      <c r="C370" s="2">
        <v>25110</v>
      </c>
      <c r="L370" s="2" t="s">
        <v>2416</v>
      </c>
      <c r="M370" s="2">
        <v>24105</v>
      </c>
      <c r="N370" s="2" t="s">
        <v>2447</v>
      </c>
      <c r="R370" s="1" t="str">
        <f t="shared" si="11"/>
        <v>碎片手宝箱5</v>
      </c>
    </row>
    <row r="371" spans="2:18" x14ac:dyDescent="0.3">
      <c r="B371" s="2" t="s">
        <v>2455</v>
      </c>
      <c r="C371" s="2">
        <v>25151</v>
      </c>
      <c r="L371" s="2" t="s">
        <v>2417</v>
      </c>
      <c r="M371" s="2">
        <v>24106</v>
      </c>
      <c r="N371" s="2" t="s">
        <v>2447</v>
      </c>
      <c r="R371" s="1" t="str">
        <f t="shared" si="11"/>
        <v>碎片手宝箱6</v>
      </c>
    </row>
    <row r="372" spans="2:18" x14ac:dyDescent="0.3">
      <c r="B372" s="2" t="s">
        <v>514</v>
      </c>
      <c r="C372" s="2">
        <v>25152</v>
      </c>
      <c r="L372" s="2" t="s">
        <v>2418</v>
      </c>
      <c r="M372" s="2">
        <v>24107</v>
      </c>
      <c r="N372" s="2" t="s">
        <v>2447</v>
      </c>
      <c r="R372" s="1" t="str">
        <f t="shared" si="11"/>
        <v>碎片手宝箱7</v>
      </c>
    </row>
    <row r="373" spans="2:18" x14ac:dyDescent="0.3">
      <c r="B373" s="2" t="s">
        <v>2456</v>
      </c>
      <c r="C373" s="2">
        <v>25153</v>
      </c>
      <c r="L373" s="2" t="s">
        <v>2419</v>
      </c>
      <c r="M373" s="2">
        <v>24108</v>
      </c>
      <c r="N373" s="2" t="s">
        <v>2447</v>
      </c>
      <c r="R373" s="1" t="str">
        <f t="shared" si="11"/>
        <v>碎片手宝箱8</v>
      </c>
    </row>
    <row r="374" spans="2:18" x14ac:dyDescent="0.3">
      <c r="B374" s="2" t="s">
        <v>2457</v>
      </c>
      <c r="C374" s="2">
        <v>25154</v>
      </c>
      <c r="L374" s="2" t="s">
        <v>2420</v>
      </c>
      <c r="M374" s="2">
        <v>24109</v>
      </c>
      <c r="N374" s="2" t="s">
        <v>2447</v>
      </c>
      <c r="R374" s="1" t="str">
        <f t="shared" si="11"/>
        <v>碎片手宝箱9</v>
      </c>
    </row>
    <row r="375" spans="2:18" x14ac:dyDescent="0.3">
      <c r="B375" s="2" t="s">
        <v>2458</v>
      </c>
      <c r="C375" s="2">
        <v>25155</v>
      </c>
      <c r="L375" s="2" t="s">
        <v>2421</v>
      </c>
      <c r="M375" s="2">
        <v>24110</v>
      </c>
      <c r="N375" s="2" t="s">
        <v>2447</v>
      </c>
      <c r="R375" s="1" t="str">
        <f t="shared" si="11"/>
        <v>碎片手宝箱10</v>
      </c>
    </row>
    <row r="376" spans="2:18" x14ac:dyDescent="0.3">
      <c r="B376" s="2" t="s">
        <v>2459</v>
      </c>
      <c r="C376" s="2">
        <v>25156</v>
      </c>
      <c r="L376" s="2" t="s">
        <v>2422</v>
      </c>
      <c r="M376" s="2">
        <v>25001</v>
      </c>
      <c r="N376" s="2" t="s">
        <v>3859</v>
      </c>
      <c r="R376" s="1" t="str">
        <f t="shared" si="11"/>
        <v>普通宝箱1</v>
      </c>
    </row>
    <row r="377" spans="2:18" x14ac:dyDescent="0.3">
      <c r="B377" s="2" t="s">
        <v>2460</v>
      </c>
      <c r="C377" s="2">
        <v>25157</v>
      </c>
      <c r="L377" s="2" t="s">
        <v>2423</v>
      </c>
      <c r="M377" s="2">
        <v>25002</v>
      </c>
      <c r="N377" s="289" t="s">
        <v>3859</v>
      </c>
      <c r="R377" s="1" t="str">
        <f t="shared" si="11"/>
        <v>普通宝箱2</v>
      </c>
    </row>
    <row r="378" spans="2:18" x14ac:dyDescent="0.3">
      <c r="B378" s="2" t="s">
        <v>2461</v>
      </c>
      <c r="C378" s="2">
        <v>25158</v>
      </c>
      <c r="L378" s="2" t="s">
        <v>2424</v>
      </c>
      <c r="M378" s="2">
        <v>25003</v>
      </c>
      <c r="N378" s="289" t="s">
        <v>3858</v>
      </c>
      <c r="R378" s="1" t="str">
        <f t="shared" si="11"/>
        <v>普通宝箱3</v>
      </c>
    </row>
    <row r="379" spans="2:18" x14ac:dyDescent="0.3">
      <c r="B379" s="2" t="s">
        <v>2462</v>
      </c>
      <c r="C379" s="2">
        <v>25159</v>
      </c>
      <c r="L379" s="2" t="s">
        <v>2426</v>
      </c>
      <c r="M379" s="2">
        <v>25004</v>
      </c>
      <c r="N379" s="289" t="s">
        <v>3858</v>
      </c>
      <c r="R379" s="1" t="str">
        <f t="shared" si="11"/>
        <v>普通宝箱4</v>
      </c>
    </row>
    <row r="380" spans="2:18" x14ac:dyDescent="0.3">
      <c r="B380" s="2" t="s">
        <v>2463</v>
      </c>
      <c r="C380" s="2">
        <v>25160</v>
      </c>
      <c r="L380" s="2" t="s">
        <v>2427</v>
      </c>
      <c r="M380" s="2">
        <v>25005</v>
      </c>
      <c r="N380" s="289" t="s">
        <v>3858</v>
      </c>
      <c r="R380" s="1" t="str">
        <f t="shared" si="11"/>
        <v>普通宝箱5</v>
      </c>
    </row>
    <row r="381" spans="2:18" x14ac:dyDescent="0.3">
      <c r="B381" s="2" t="s">
        <v>2464</v>
      </c>
      <c r="C381" s="2">
        <v>25201</v>
      </c>
      <c r="L381" s="2" t="s">
        <v>2428</v>
      </c>
      <c r="M381" s="2">
        <v>25006</v>
      </c>
      <c r="N381" s="289" t="s">
        <v>3858</v>
      </c>
      <c r="R381" s="1" t="str">
        <f t="shared" si="11"/>
        <v>普通宝箱6</v>
      </c>
    </row>
    <row r="382" spans="2:18" x14ac:dyDescent="0.3">
      <c r="B382" s="2" t="s">
        <v>2465</v>
      </c>
      <c r="C382" s="2">
        <v>25202</v>
      </c>
      <c r="L382" s="2" t="s">
        <v>2429</v>
      </c>
      <c r="M382" s="2">
        <v>25007</v>
      </c>
      <c r="N382" s="289" t="s">
        <v>3858</v>
      </c>
      <c r="R382" s="1" t="str">
        <f t="shared" si="11"/>
        <v>普通宝箱7</v>
      </c>
    </row>
    <row r="383" spans="2:18" x14ac:dyDescent="0.3">
      <c r="B383" s="2" t="s">
        <v>2466</v>
      </c>
      <c r="C383" s="2">
        <v>25203</v>
      </c>
      <c r="L383" s="2" t="s">
        <v>2430</v>
      </c>
      <c r="M383" s="2">
        <v>25008</v>
      </c>
      <c r="N383" s="289" t="s">
        <v>3858</v>
      </c>
      <c r="R383" s="1" t="str">
        <f t="shared" si="11"/>
        <v>普通宝箱8</v>
      </c>
    </row>
    <row r="384" spans="2:18" x14ac:dyDescent="0.3">
      <c r="B384" s="2" t="s">
        <v>2467</v>
      </c>
      <c r="C384" s="2">
        <v>25204</v>
      </c>
      <c r="L384" s="2" t="s">
        <v>2431</v>
      </c>
      <c r="M384" s="2">
        <v>25009</v>
      </c>
      <c r="N384" s="289" t="s">
        <v>3858</v>
      </c>
      <c r="R384" s="1" t="str">
        <f t="shared" si="11"/>
        <v>普通宝箱9</v>
      </c>
    </row>
    <row r="385" spans="2:18" x14ac:dyDescent="0.3">
      <c r="B385" s="2" t="s">
        <v>2468</v>
      </c>
      <c r="C385" s="2">
        <v>25205</v>
      </c>
      <c r="L385" s="2" t="s">
        <v>2432</v>
      </c>
      <c r="M385" s="2">
        <v>25010</v>
      </c>
      <c r="N385" s="289" t="s">
        <v>3858</v>
      </c>
      <c r="R385" s="1" t="str">
        <f t="shared" si="11"/>
        <v>普通宝箱10</v>
      </c>
    </row>
    <row r="386" spans="2:18" x14ac:dyDescent="0.3">
      <c r="B386" s="2" t="s">
        <v>2469</v>
      </c>
      <c r="C386" s="2">
        <v>25206</v>
      </c>
      <c r="L386" s="2" t="s">
        <v>2433</v>
      </c>
      <c r="M386" s="2">
        <v>25051</v>
      </c>
      <c r="N386" s="289" t="s">
        <v>3858</v>
      </c>
      <c r="R386" s="1" t="str">
        <f t="shared" si="11"/>
        <v>普通自宝箱1</v>
      </c>
    </row>
    <row r="387" spans="2:18" x14ac:dyDescent="0.3">
      <c r="B387" s="2" t="s">
        <v>2470</v>
      </c>
      <c r="C387" s="2">
        <v>25207</v>
      </c>
      <c r="L387" s="2" t="s">
        <v>2434</v>
      </c>
      <c r="M387" s="2">
        <v>25052</v>
      </c>
      <c r="N387" s="289" t="s">
        <v>3858</v>
      </c>
      <c r="R387" s="1" t="str">
        <f t="shared" si="11"/>
        <v>普通自宝箱2</v>
      </c>
    </row>
    <row r="388" spans="2:18" x14ac:dyDescent="0.3">
      <c r="B388" s="2" t="s">
        <v>2471</v>
      </c>
      <c r="C388" s="2">
        <v>25208</v>
      </c>
      <c r="L388" s="2" t="s">
        <v>2435</v>
      </c>
      <c r="M388" s="2">
        <v>25053</v>
      </c>
      <c r="N388" s="289" t="s">
        <v>3858</v>
      </c>
      <c r="R388" s="1" t="str">
        <f t="shared" si="11"/>
        <v>普通自宝箱3</v>
      </c>
    </row>
    <row r="389" spans="2:18" x14ac:dyDescent="0.3">
      <c r="B389" s="2" t="s">
        <v>2472</v>
      </c>
      <c r="C389" s="2">
        <v>25209</v>
      </c>
      <c r="L389" s="2" t="s">
        <v>2437</v>
      </c>
      <c r="M389" s="2">
        <v>25054</v>
      </c>
      <c r="N389" s="289" t="s">
        <v>3858</v>
      </c>
      <c r="R389" s="1" t="str">
        <f t="shared" si="11"/>
        <v>普通自宝箱4</v>
      </c>
    </row>
    <row r="390" spans="2:18" x14ac:dyDescent="0.3">
      <c r="B390" s="2" t="s">
        <v>2473</v>
      </c>
      <c r="C390" s="2">
        <v>25210</v>
      </c>
      <c r="L390" s="2" t="s">
        <v>2438</v>
      </c>
      <c r="M390" s="2">
        <v>25055</v>
      </c>
      <c r="N390" s="289" t="s">
        <v>3858</v>
      </c>
      <c r="R390" s="1" t="str">
        <f t="shared" ref="R390:R453" si="12">L390</f>
        <v>普通自宝箱5</v>
      </c>
    </row>
    <row r="391" spans="2:18" x14ac:dyDescent="0.3">
      <c r="B391" s="2" t="s">
        <v>2474</v>
      </c>
      <c r="C391" s="2">
        <v>25251</v>
      </c>
      <c r="L391" s="2" t="s">
        <v>2439</v>
      </c>
      <c r="M391" s="2">
        <v>25056</v>
      </c>
      <c r="N391" s="289" t="s">
        <v>3858</v>
      </c>
      <c r="R391" s="1" t="str">
        <f t="shared" si="12"/>
        <v>普通自宝箱6</v>
      </c>
    </row>
    <row r="392" spans="2:18" x14ac:dyDescent="0.3">
      <c r="B392" s="2" t="s">
        <v>2475</v>
      </c>
      <c r="C392" s="2">
        <v>25252</v>
      </c>
      <c r="L392" s="2" t="s">
        <v>2440</v>
      </c>
      <c r="M392" s="2">
        <v>25057</v>
      </c>
      <c r="N392" s="289" t="s">
        <v>3858</v>
      </c>
      <c r="R392" s="1" t="str">
        <f t="shared" si="12"/>
        <v>普通自宝箱7</v>
      </c>
    </row>
    <row r="393" spans="2:18" x14ac:dyDescent="0.3">
      <c r="B393" s="2" t="s">
        <v>2476</v>
      </c>
      <c r="C393" s="2">
        <v>25253</v>
      </c>
      <c r="L393" s="2" t="s">
        <v>2441</v>
      </c>
      <c r="M393" s="2">
        <v>25058</v>
      </c>
      <c r="N393" s="289" t="s">
        <v>3858</v>
      </c>
      <c r="R393" s="1" t="str">
        <f t="shared" si="12"/>
        <v>普通自宝箱8</v>
      </c>
    </row>
    <row r="394" spans="2:18" x14ac:dyDescent="0.3">
      <c r="B394" s="2" t="s">
        <v>2478</v>
      </c>
      <c r="C394" s="2">
        <v>25254</v>
      </c>
      <c r="L394" s="2" t="s">
        <v>2442</v>
      </c>
      <c r="M394" s="2">
        <v>25059</v>
      </c>
      <c r="N394" s="289" t="s">
        <v>3858</v>
      </c>
      <c r="R394" s="1" t="str">
        <f t="shared" si="12"/>
        <v>普通自宝箱9</v>
      </c>
    </row>
    <row r="395" spans="2:18" x14ac:dyDescent="0.3">
      <c r="B395" s="2" t="s">
        <v>2479</v>
      </c>
      <c r="C395" s="2">
        <v>25255</v>
      </c>
      <c r="L395" s="2" t="s">
        <v>2443</v>
      </c>
      <c r="M395" s="2">
        <v>25060</v>
      </c>
      <c r="N395" s="289" t="s">
        <v>3858</v>
      </c>
      <c r="R395" s="1" t="str">
        <f t="shared" si="12"/>
        <v>普通自宝箱10</v>
      </c>
    </row>
    <row r="396" spans="2:18" x14ac:dyDescent="0.3">
      <c r="B396" s="2" t="s">
        <v>2480</v>
      </c>
      <c r="C396" s="2">
        <v>25256</v>
      </c>
      <c r="L396" s="2" t="s">
        <v>2444</v>
      </c>
      <c r="M396" s="2">
        <v>25101</v>
      </c>
      <c r="N396" s="2" t="s">
        <v>4111</v>
      </c>
      <c r="R396" s="1" t="str">
        <f t="shared" si="12"/>
        <v>高级宝箱1</v>
      </c>
    </row>
    <row r="397" spans="2:18" x14ac:dyDescent="0.3">
      <c r="B397" s="2" t="s">
        <v>2481</v>
      </c>
      <c r="C397" s="2">
        <v>25257</v>
      </c>
      <c r="L397" s="2" t="s">
        <v>2445</v>
      </c>
      <c r="M397" s="2">
        <v>25102</v>
      </c>
      <c r="N397" s="323" t="s">
        <v>4111</v>
      </c>
      <c r="R397" s="1" t="str">
        <f t="shared" si="12"/>
        <v>高级宝箱2</v>
      </c>
    </row>
    <row r="398" spans="2:18" x14ac:dyDescent="0.3">
      <c r="B398" s="2" t="s">
        <v>2482</v>
      </c>
      <c r="C398" s="2">
        <v>25258</v>
      </c>
      <c r="L398" s="2" t="s">
        <v>2446</v>
      </c>
      <c r="M398" s="2">
        <v>25103</v>
      </c>
      <c r="N398" s="323" t="s">
        <v>2477</v>
      </c>
      <c r="R398" s="1" t="str">
        <f t="shared" si="12"/>
        <v>高级宝箱3</v>
      </c>
    </row>
    <row r="399" spans="2:18" x14ac:dyDescent="0.3">
      <c r="B399" s="2" t="s">
        <v>2483</v>
      </c>
      <c r="C399" s="2">
        <v>25259</v>
      </c>
      <c r="L399" s="2" t="s">
        <v>2448</v>
      </c>
      <c r="M399" s="2">
        <v>25104</v>
      </c>
      <c r="N399" s="323" t="s">
        <v>2477</v>
      </c>
      <c r="R399" s="1" t="str">
        <f t="shared" si="12"/>
        <v>高级宝箱4</v>
      </c>
    </row>
    <row r="400" spans="2:18" x14ac:dyDescent="0.3">
      <c r="B400" s="2" t="s">
        <v>2484</v>
      </c>
      <c r="C400" s="2">
        <v>25260</v>
      </c>
      <c r="L400" s="2" t="s">
        <v>2449</v>
      </c>
      <c r="M400" s="2">
        <v>25105</v>
      </c>
      <c r="N400" s="323" t="s">
        <v>2477</v>
      </c>
      <c r="R400" s="1" t="str">
        <f t="shared" si="12"/>
        <v>高级宝箱5</v>
      </c>
    </row>
    <row r="401" spans="2:18" x14ac:dyDescent="0.3">
      <c r="B401" s="2" t="s">
        <v>2485</v>
      </c>
      <c r="C401" s="2">
        <v>25301</v>
      </c>
      <c r="L401" s="2" t="s">
        <v>2450</v>
      </c>
      <c r="M401" s="2">
        <v>25106</v>
      </c>
      <c r="N401" s="323" t="s">
        <v>2477</v>
      </c>
      <c r="R401" s="1" t="str">
        <f t="shared" si="12"/>
        <v>高级宝箱6</v>
      </c>
    </row>
    <row r="402" spans="2:18" x14ac:dyDescent="0.3">
      <c r="B402" s="2" t="s">
        <v>2486</v>
      </c>
      <c r="C402" s="2">
        <v>25302</v>
      </c>
      <c r="L402" s="2" t="s">
        <v>2451</v>
      </c>
      <c r="M402" s="2">
        <v>25107</v>
      </c>
      <c r="N402" s="323" t="s">
        <v>2477</v>
      </c>
      <c r="R402" s="1" t="str">
        <f t="shared" si="12"/>
        <v>高级宝箱7</v>
      </c>
    </row>
    <row r="403" spans="2:18" x14ac:dyDescent="0.3">
      <c r="B403" s="2" t="s">
        <v>2487</v>
      </c>
      <c r="C403" s="2">
        <v>25303</v>
      </c>
      <c r="L403" s="2" t="s">
        <v>2452</v>
      </c>
      <c r="M403" s="2">
        <v>25108</v>
      </c>
      <c r="N403" s="323" t="s">
        <v>2477</v>
      </c>
      <c r="R403" s="1" t="str">
        <f t="shared" si="12"/>
        <v>高级宝箱8</v>
      </c>
    </row>
    <row r="404" spans="2:18" x14ac:dyDescent="0.3">
      <c r="B404" s="2" t="s">
        <v>2488</v>
      </c>
      <c r="C404" s="2">
        <v>25304</v>
      </c>
      <c r="L404" s="2" t="s">
        <v>2453</v>
      </c>
      <c r="M404" s="2">
        <v>25109</v>
      </c>
      <c r="N404" s="323" t="s">
        <v>2477</v>
      </c>
      <c r="R404" s="1" t="str">
        <f t="shared" si="12"/>
        <v>高级宝箱9</v>
      </c>
    </row>
    <row r="405" spans="2:18" x14ac:dyDescent="0.3">
      <c r="B405" s="2" t="s">
        <v>2489</v>
      </c>
      <c r="C405" s="2">
        <v>25305</v>
      </c>
      <c r="L405" s="2" t="s">
        <v>2454</v>
      </c>
      <c r="M405" s="2">
        <v>25110</v>
      </c>
      <c r="N405" s="323" t="s">
        <v>2477</v>
      </c>
      <c r="R405" s="1" t="str">
        <f t="shared" si="12"/>
        <v>高级宝箱10</v>
      </c>
    </row>
    <row r="406" spans="2:18" x14ac:dyDescent="0.3">
      <c r="B406" s="2" t="s">
        <v>2490</v>
      </c>
      <c r="C406" s="2">
        <v>25306</v>
      </c>
      <c r="L406" s="2" t="s">
        <v>2455</v>
      </c>
      <c r="M406" s="2">
        <v>25151</v>
      </c>
      <c r="N406" s="323" t="s">
        <v>2477</v>
      </c>
      <c r="R406" s="1" t="str">
        <f t="shared" si="12"/>
        <v>高级自宝箱1</v>
      </c>
    </row>
    <row r="407" spans="2:18" x14ac:dyDescent="0.3">
      <c r="B407" s="2" t="s">
        <v>2491</v>
      </c>
      <c r="C407" s="2">
        <v>25307</v>
      </c>
      <c r="L407" s="2" t="s">
        <v>514</v>
      </c>
      <c r="M407" s="2">
        <v>25152</v>
      </c>
      <c r="N407" s="323" t="s">
        <v>2477</v>
      </c>
      <c r="R407" s="1" t="str">
        <f t="shared" si="12"/>
        <v>高级自宝箱2</v>
      </c>
    </row>
    <row r="408" spans="2:18" x14ac:dyDescent="0.3">
      <c r="B408" s="2" t="s">
        <v>2492</v>
      </c>
      <c r="C408" s="2">
        <v>25308</v>
      </c>
      <c r="L408" s="2" t="s">
        <v>2456</v>
      </c>
      <c r="M408" s="2">
        <v>25153</v>
      </c>
      <c r="N408" s="323" t="s">
        <v>2477</v>
      </c>
      <c r="R408" s="1" t="str">
        <f t="shared" si="12"/>
        <v>高级自宝箱3</v>
      </c>
    </row>
    <row r="409" spans="2:18" x14ac:dyDescent="0.3">
      <c r="B409" s="2" t="s">
        <v>2493</v>
      </c>
      <c r="C409" s="2">
        <v>25309</v>
      </c>
      <c r="L409" s="2" t="s">
        <v>2457</v>
      </c>
      <c r="M409" s="2">
        <v>25154</v>
      </c>
      <c r="N409" s="323" t="s">
        <v>2477</v>
      </c>
      <c r="R409" s="1" t="str">
        <f t="shared" si="12"/>
        <v>高级自宝箱4</v>
      </c>
    </row>
    <row r="410" spans="2:18" x14ac:dyDescent="0.3">
      <c r="B410" s="2" t="s">
        <v>2494</v>
      </c>
      <c r="C410" s="2">
        <v>25310</v>
      </c>
      <c r="L410" s="2" t="s">
        <v>2458</v>
      </c>
      <c r="M410" s="2">
        <v>25155</v>
      </c>
      <c r="N410" s="323" t="s">
        <v>2477</v>
      </c>
      <c r="R410" s="1" t="str">
        <f t="shared" si="12"/>
        <v>高级自宝箱5</v>
      </c>
    </row>
    <row r="411" spans="2:18" x14ac:dyDescent="0.3">
      <c r="B411" s="2" t="s">
        <v>2495</v>
      </c>
      <c r="C411" s="2">
        <v>25351</v>
      </c>
      <c r="L411" s="2" t="s">
        <v>2459</v>
      </c>
      <c r="M411" s="2">
        <v>25156</v>
      </c>
      <c r="N411" s="323" t="s">
        <v>2477</v>
      </c>
      <c r="R411" s="1" t="str">
        <f t="shared" si="12"/>
        <v>高级自宝箱6</v>
      </c>
    </row>
    <row r="412" spans="2:18" x14ac:dyDescent="0.3">
      <c r="B412" s="2" t="s">
        <v>2496</v>
      </c>
      <c r="C412" s="2">
        <v>25352</v>
      </c>
      <c r="L412" s="2" t="s">
        <v>2460</v>
      </c>
      <c r="M412" s="2">
        <v>25157</v>
      </c>
      <c r="N412" s="323" t="s">
        <v>2477</v>
      </c>
      <c r="R412" s="1" t="str">
        <f t="shared" si="12"/>
        <v>高级自宝箱7</v>
      </c>
    </row>
    <row r="413" spans="2:18" x14ac:dyDescent="0.3">
      <c r="B413" s="2" t="s">
        <v>2497</v>
      </c>
      <c r="C413" s="2">
        <v>25353</v>
      </c>
      <c r="L413" s="2" t="s">
        <v>2461</v>
      </c>
      <c r="M413" s="2">
        <v>25158</v>
      </c>
      <c r="N413" s="323" t="s">
        <v>2477</v>
      </c>
      <c r="R413" s="1" t="str">
        <f t="shared" si="12"/>
        <v>高级自宝箱8</v>
      </c>
    </row>
    <row r="414" spans="2:18" x14ac:dyDescent="0.3">
      <c r="B414" s="2" t="s">
        <v>2499</v>
      </c>
      <c r="C414" s="2">
        <v>25354</v>
      </c>
      <c r="L414" s="2" t="s">
        <v>2462</v>
      </c>
      <c r="M414" s="2">
        <v>25159</v>
      </c>
      <c r="N414" s="323" t="s">
        <v>2477</v>
      </c>
      <c r="R414" s="1" t="str">
        <f t="shared" si="12"/>
        <v>高级自宝箱9</v>
      </c>
    </row>
    <row r="415" spans="2:18" x14ac:dyDescent="0.3">
      <c r="B415" s="2" t="s">
        <v>2500</v>
      </c>
      <c r="C415" s="2">
        <v>25355</v>
      </c>
      <c r="L415" s="2" t="s">
        <v>2463</v>
      </c>
      <c r="M415" s="2">
        <v>25160</v>
      </c>
      <c r="N415" s="323" t="s">
        <v>2477</v>
      </c>
      <c r="R415" s="1" t="str">
        <f t="shared" si="12"/>
        <v>高级自宝箱10</v>
      </c>
    </row>
    <row r="416" spans="2:18" x14ac:dyDescent="0.3">
      <c r="B416" s="2" t="s">
        <v>2501</v>
      </c>
      <c r="C416" s="2">
        <v>25356</v>
      </c>
      <c r="L416" s="2" t="s">
        <v>2464</v>
      </c>
      <c r="M416" s="2">
        <v>25201</v>
      </c>
      <c r="N416" s="2" t="s">
        <v>3860</v>
      </c>
      <c r="R416" s="1" t="str">
        <f t="shared" si="12"/>
        <v>稀有宝箱1</v>
      </c>
    </row>
    <row r="417" spans="2:18" x14ac:dyDescent="0.3">
      <c r="B417" s="2" t="s">
        <v>2502</v>
      </c>
      <c r="C417" s="2">
        <v>25357</v>
      </c>
      <c r="L417" s="2" t="s">
        <v>2465</v>
      </c>
      <c r="M417" s="2">
        <v>25202</v>
      </c>
      <c r="N417" s="289" t="s">
        <v>3860</v>
      </c>
      <c r="R417" s="1" t="str">
        <f t="shared" si="12"/>
        <v>稀有宝箱2</v>
      </c>
    </row>
    <row r="418" spans="2:18" x14ac:dyDescent="0.3">
      <c r="B418" s="2" t="s">
        <v>2503</v>
      </c>
      <c r="C418" s="2">
        <v>25358</v>
      </c>
      <c r="L418" s="2" t="s">
        <v>2466</v>
      </c>
      <c r="M418" s="2">
        <v>25203</v>
      </c>
      <c r="N418" s="289" t="s">
        <v>2559</v>
      </c>
      <c r="R418" s="1" t="str">
        <f t="shared" si="12"/>
        <v>稀有宝箱3</v>
      </c>
    </row>
    <row r="419" spans="2:18" x14ac:dyDescent="0.3">
      <c r="B419" s="2" t="s">
        <v>2504</v>
      </c>
      <c r="C419" s="2">
        <v>25359</v>
      </c>
      <c r="L419" s="2" t="s">
        <v>2467</v>
      </c>
      <c r="M419" s="2">
        <v>25204</v>
      </c>
      <c r="N419" s="289" t="s">
        <v>2559</v>
      </c>
      <c r="R419" s="1" t="str">
        <f t="shared" si="12"/>
        <v>稀有宝箱4</v>
      </c>
    </row>
    <row r="420" spans="2:18" x14ac:dyDescent="0.3">
      <c r="B420" s="2" t="s">
        <v>2505</v>
      </c>
      <c r="C420" s="2">
        <v>25360</v>
      </c>
      <c r="L420" s="2" t="s">
        <v>2468</v>
      </c>
      <c r="M420" s="2">
        <v>25205</v>
      </c>
      <c r="N420" s="289" t="s">
        <v>2559</v>
      </c>
      <c r="R420" s="1" t="str">
        <f t="shared" si="12"/>
        <v>稀有宝箱5</v>
      </c>
    </row>
    <row r="421" spans="2:18" x14ac:dyDescent="0.3">
      <c r="B421" s="2" t="s">
        <v>2506</v>
      </c>
      <c r="C421" s="2">
        <v>25401</v>
      </c>
      <c r="L421" s="2" t="s">
        <v>2469</v>
      </c>
      <c r="M421" s="2">
        <v>25206</v>
      </c>
      <c r="N421" s="289" t="s">
        <v>2559</v>
      </c>
      <c r="R421" s="1" t="str">
        <f t="shared" si="12"/>
        <v>稀有宝箱6</v>
      </c>
    </row>
    <row r="422" spans="2:18" x14ac:dyDescent="0.3">
      <c r="B422" s="2" t="s">
        <v>2507</v>
      </c>
      <c r="C422" s="2">
        <v>25402</v>
      </c>
      <c r="L422" s="2" t="s">
        <v>2470</v>
      </c>
      <c r="M422" s="2">
        <v>25207</v>
      </c>
      <c r="N422" s="289" t="s">
        <v>2559</v>
      </c>
      <c r="R422" s="1" t="str">
        <f t="shared" si="12"/>
        <v>稀有宝箱7</v>
      </c>
    </row>
    <row r="423" spans="2:18" x14ac:dyDescent="0.3">
      <c r="B423" s="2" t="s">
        <v>2508</v>
      </c>
      <c r="C423" s="2">
        <v>25403</v>
      </c>
      <c r="L423" s="2" t="s">
        <v>2471</v>
      </c>
      <c r="M423" s="2">
        <v>25208</v>
      </c>
      <c r="N423" s="289" t="s">
        <v>2559</v>
      </c>
      <c r="R423" s="1" t="str">
        <f t="shared" si="12"/>
        <v>稀有宝箱8</v>
      </c>
    </row>
    <row r="424" spans="2:18" x14ac:dyDescent="0.3">
      <c r="B424" s="2" t="s">
        <v>2509</v>
      </c>
      <c r="C424" s="2">
        <v>25404</v>
      </c>
      <c r="L424" s="2" t="s">
        <v>2472</v>
      </c>
      <c r="M424" s="2">
        <v>25209</v>
      </c>
      <c r="N424" s="289" t="s">
        <v>2559</v>
      </c>
      <c r="R424" s="1" t="str">
        <f t="shared" si="12"/>
        <v>稀有宝箱9</v>
      </c>
    </row>
    <row r="425" spans="2:18" x14ac:dyDescent="0.3">
      <c r="B425" s="2" t="s">
        <v>2510</v>
      </c>
      <c r="C425" s="2">
        <v>25405</v>
      </c>
      <c r="L425" s="2" t="s">
        <v>2473</v>
      </c>
      <c r="M425" s="2">
        <v>25210</v>
      </c>
      <c r="N425" s="289" t="s">
        <v>2559</v>
      </c>
      <c r="R425" s="1" t="str">
        <f t="shared" si="12"/>
        <v>稀有宝箱10</v>
      </c>
    </row>
    <row r="426" spans="2:18" x14ac:dyDescent="0.3">
      <c r="B426" s="2" t="s">
        <v>2511</v>
      </c>
      <c r="C426" s="2">
        <v>25406</v>
      </c>
      <c r="L426" s="2" t="s">
        <v>2474</v>
      </c>
      <c r="M426" s="2">
        <v>25251</v>
      </c>
      <c r="N426" s="289" t="s">
        <v>2559</v>
      </c>
      <c r="R426" s="1" t="str">
        <f t="shared" si="12"/>
        <v>稀有自宝箱1</v>
      </c>
    </row>
    <row r="427" spans="2:18" x14ac:dyDescent="0.3">
      <c r="B427" s="2" t="s">
        <v>2512</v>
      </c>
      <c r="C427" s="2">
        <v>25407</v>
      </c>
      <c r="L427" s="2" t="s">
        <v>2475</v>
      </c>
      <c r="M427" s="2">
        <v>25252</v>
      </c>
      <c r="N427" s="289" t="s">
        <v>2559</v>
      </c>
      <c r="R427" s="1" t="str">
        <f t="shared" si="12"/>
        <v>稀有自宝箱2</v>
      </c>
    </row>
    <row r="428" spans="2:18" x14ac:dyDescent="0.3">
      <c r="B428" s="2" t="s">
        <v>2513</v>
      </c>
      <c r="C428" s="2">
        <v>25408</v>
      </c>
      <c r="L428" s="2" t="s">
        <v>2476</v>
      </c>
      <c r="M428" s="2">
        <v>25253</v>
      </c>
      <c r="N428" s="289" t="s">
        <v>2559</v>
      </c>
      <c r="R428" s="1" t="str">
        <f t="shared" si="12"/>
        <v>稀有自宝箱3</v>
      </c>
    </row>
    <row r="429" spans="2:18" x14ac:dyDescent="0.3">
      <c r="B429" s="2" t="s">
        <v>2514</v>
      </c>
      <c r="C429" s="2">
        <v>25409</v>
      </c>
      <c r="L429" s="2" t="s">
        <v>2478</v>
      </c>
      <c r="M429" s="2">
        <v>25254</v>
      </c>
      <c r="N429" s="289" t="s">
        <v>2559</v>
      </c>
      <c r="R429" s="1" t="str">
        <f t="shared" si="12"/>
        <v>稀有自宝箱4</v>
      </c>
    </row>
    <row r="430" spans="2:18" x14ac:dyDescent="0.3">
      <c r="B430" s="2" t="s">
        <v>2515</v>
      </c>
      <c r="C430" s="2">
        <v>25410</v>
      </c>
      <c r="L430" s="2" t="s">
        <v>2479</v>
      </c>
      <c r="M430" s="2">
        <v>25255</v>
      </c>
      <c r="N430" s="289" t="s">
        <v>2559</v>
      </c>
      <c r="R430" s="1" t="str">
        <f t="shared" si="12"/>
        <v>稀有自宝箱5</v>
      </c>
    </row>
    <row r="431" spans="2:18" x14ac:dyDescent="0.3">
      <c r="B431" s="2" t="s">
        <v>2516</v>
      </c>
      <c r="C431" s="2">
        <v>25451</v>
      </c>
      <c r="L431" s="2" t="s">
        <v>2480</v>
      </c>
      <c r="M431" s="2">
        <v>25256</v>
      </c>
      <c r="N431" s="289" t="s">
        <v>2559</v>
      </c>
      <c r="R431" s="1" t="str">
        <f t="shared" si="12"/>
        <v>稀有自宝箱6</v>
      </c>
    </row>
    <row r="432" spans="2:18" x14ac:dyDescent="0.3">
      <c r="B432" s="2" t="s">
        <v>2517</v>
      </c>
      <c r="C432" s="2">
        <v>25452</v>
      </c>
      <c r="L432" s="2" t="s">
        <v>2481</v>
      </c>
      <c r="M432" s="2">
        <v>25257</v>
      </c>
      <c r="N432" s="289" t="s">
        <v>2559</v>
      </c>
      <c r="R432" s="1" t="str">
        <f t="shared" si="12"/>
        <v>稀有自宝箱7</v>
      </c>
    </row>
    <row r="433" spans="2:18" x14ac:dyDescent="0.3">
      <c r="B433" s="2" t="s">
        <v>2518</v>
      </c>
      <c r="C433" s="2">
        <v>25453</v>
      </c>
      <c r="L433" s="2" t="s">
        <v>4106</v>
      </c>
      <c r="M433" s="2">
        <v>25258</v>
      </c>
      <c r="N433" s="289" t="s">
        <v>2559</v>
      </c>
      <c r="R433" s="1" t="str">
        <f t="shared" si="12"/>
        <v>稀有自宝箱8</v>
      </c>
    </row>
    <row r="434" spans="2:18" x14ac:dyDescent="0.3">
      <c r="B434" s="2" t="s">
        <v>2519</v>
      </c>
      <c r="C434" s="2">
        <v>25454</v>
      </c>
      <c r="L434" s="2" t="s">
        <v>2483</v>
      </c>
      <c r="M434" s="2">
        <v>25259</v>
      </c>
      <c r="N434" s="289" t="s">
        <v>2559</v>
      </c>
      <c r="R434" s="1" t="str">
        <f t="shared" si="12"/>
        <v>稀有自宝箱9</v>
      </c>
    </row>
    <row r="435" spans="2:18" x14ac:dyDescent="0.3">
      <c r="B435" s="2" t="s">
        <v>2520</v>
      </c>
      <c r="C435" s="2">
        <v>25455</v>
      </c>
      <c r="L435" s="2" t="s">
        <v>2484</v>
      </c>
      <c r="M435" s="2">
        <v>25260</v>
      </c>
      <c r="N435" s="289" t="s">
        <v>2559</v>
      </c>
      <c r="R435" s="1" t="str">
        <f t="shared" si="12"/>
        <v>稀有自宝箱10</v>
      </c>
    </row>
    <row r="436" spans="2:18" x14ac:dyDescent="0.3">
      <c r="B436" s="2" t="s">
        <v>2521</v>
      </c>
      <c r="C436" s="2">
        <v>25456</v>
      </c>
      <c r="L436" s="2" t="s">
        <v>2485</v>
      </c>
      <c r="M436" s="2">
        <v>25301</v>
      </c>
      <c r="N436" s="2" t="s">
        <v>2477</v>
      </c>
      <c r="R436" s="1" t="str">
        <f t="shared" si="12"/>
        <v>紫晶宝箱1</v>
      </c>
    </row>
    <row r="437" spans="2:18" x14ac:dyDescent="0.3">
      <c r="B437" s="2" t="s">
        <v>2522</v>
      </c>
      <c r="C437" s="2">
        <v>25457</v>
      </c>
      <c r="L437" s="2" t="s">
        <v>2486</v>
      </c>
      <c r="M437" s="2">
        <v>25302</v>
      </c>
      <c r="N437" s="2" t="s">
        <v>2477</v>
      </c>
      <c r="R437" s="1" t="str">
        <f t="shared" si="12"/>
        <v>紫晶宝箱2</v>
      </c>
    </row>
    <row r="438" spans="2:18" x14ac:dyDescent="0.3">
      <c r="B438" s="2" t="s">
        <v>2523</v>
      </c>
      <c r="C438" s="2">
        <v>25458</v>
      </c>
      <c r="L438" s="2" t="s">
        <v>2487</v>
      </c>
      <c r="M438" s="2">
        <v>25303</v>
      </c>
      <c r="N438" s="2" t="s">
        <v>2477</v>
      </c>
      <c r="R438" s="1" t="str">
        <f t="shared" si="12"/>
        <v>紫晶宝箱3</v>
      </c>
    </row>
    <row r="439" spans="2:18" x14ac:dyDescent="0.3">
      <c r="B439" s="2" t="s">
        <v>2524</v>
      </c>
      <c r="C439" s="2">
        <v>25459</v>
      </c>
      <c r="L439" s="2" t="s">
        <v>2488</v>
      </c>
      <c r="M439" s="2">
        <v>25304</v>
      </c>
      <c r="N439" s="2" t="s">
        <v>2477</v>
      </c>
      <c r="R439" s="1" t="str">
        <f t="shared" si="12"/>
        <v>紫晶宝箱4</v>
      </c>
    </row>
    <row r="440" spans="2:18" x14ac:dyDescent="0.3">
      <c r="B440" s="2" t="s">
        <v>2525</v>
      </c>
      <c r="C440" s="2">
        <v>25460</v>
      </c>
      <c r="L440" s="2" t="s">
        <v>2489</v>
      </c>
      <c r="M440" s="2">
        <v>25305</v>
      </c>
      <c r="N440" s="2" t="s">
        <v>2477</v>
      </c>
      <c r="R440" s="1" t="str">
        <f t="shared" si="12"/>
        <v>紫晶宝箱5</v>
      </c>
    </row>
    <row r="441" spans="2:18" x14ac:dyDescent="0.3">
      <c r="B441" s="2" t="s">
        <v>2526</v>
      </c>
      <c r="C441" s="2">
        <v>25501</v>
      </c>
      <c r="L441" s="2" t="s">
        <v>2490</v>
      </c>
      <c r="M441" s="2">
        <v>25306</v>
      </c>
      <c r="N441" s="2" t="s">
        <v>2477</v>
      </c>
      <c r="R441" s="1" t="str">
        <f t="shared" si="12"/>
        <v>紫晶宝箱6</v>
      </c>
    </row>
    <row r="442" spans="2:18" x14ac:dyDescent="0.3">
      <c r="B442" s="2" t="s">
        <v>2527</v>
      </c>
      <c r="C442" s="2">
        <v>25502</v>
      </c>
      <c r="L442" s="2" t="s">
        <v>2491</v>
      </c>
      <c r="M442" s="2">
        <v>25307</v>
      </c>
      <c r="N442" s="2" t="s">
        <v>2477</v>
      </c>
      <c r="R442" s="1" t="str">
        <f t="shared" si="12"/>
        <v>紫晶宝箱7</v>
      </c>
    </row>
    <row r="443" spans="2:18" x14ac:dyDescent="0.3">
      <c r="B443" s="2" t="s">
        <v>2528</v>
      </c>
      <c r="C443" s="2">
        <v>25503</v>
      </c>
      <c r="L443" s="2" t="s">
        <v>2492</v>
      </c>
      <c r="M443" s="2">
        <v>25308</v>
      </c>
      <c r="N443" s="2" t="s">
        <v>2477</v>
      </c>
      <c r="R443" s="1" t="str">
        <f t="shared" si="12"/>
        <v>紫晶宝箱8</v>
      </c>
    </row>
    <row r="444" spans="2:18" x14ac:dyDescent="0.3">
      <c r="B444" s="2" t="s">
        <v>2529</v>
      </c>
      <c r="C444" s="2">
        <v>25504</v>
      </c>
      <c r="L444" s="2" t="s">
        <v>2493</v>
      </c>
      <c r="M444" s="2">
        <v>25309</v>
      </c>
      <c r="N444" s="2" t="s">
        <v>2477</v>
      </c>
      <c r="R444" s="1" t="str">
        <f t="shared" si="12"/>
        <v>紫晶宝箱9</v>
      </c>
    </row>
    <row r="445" spans="2:18" x14ac:dyDescent="0.3">
      <c r="B445" s="2" t="s">
        <v>2530</v>
      </c>
      <c r="C445" s="2">
        <v>25505</v>
      </c>
      <c r="L445" s="2" t="s">
        <v>2494</v>
      </c>
      <c r="M445" s="2">
        <v>25310</v>
      </c>
      <c r="N445" s="2" t="s">
        <v>2477</v>
      </c>
      <c r="R445" s="1" t="str">
        <f t="shared" si="12"/>
        <v>紫晶宝箱10</v>
      </c>
    </row>
    <row r="446" spans="2:18" x14ac:dyDescent="0.3">
      <c r="B446" s="2" t="s">
        <v>2531</v>
      </c>
      <c r="C446" s="2">
        <v>25506</v>
      </c>
      <c r="L446" s="2" t="s">
        <v>2495</v>
      </c>
      <c r="M446" s="2">
        <v>25351</v>
      </c>
      <c r="N446" s="2" t="s">
        <v>2477</v>
      </c>
      <c r="R446" s="1" t="str">
        <f t="shared" si="12"/>
        <v>紫晶自宝箱1</v>
      </c>
    </row>
    <row r="447" spans="2:18" x14ac:dyDescent="0.3">
      <c r="B447" s="2" t="s">
        <v>2532</v>
      </c>
      <c r="C447" s="2">
        <v>25507</v>
      </c>
      <c r="L447" s="2" t="s">
        <v>2496</v>
      </c>
      <c r="M447" s="2">
        <v>25352</v>
      </c>
      <c r="N447" s="2" t="s">
        <v>2477</v>
      </c>
      <c r="R447" s="1" t="str">
        <f t="shared" si="12"/>
        <v>紫晶自宝箱2</v>
      </c>
    </row>
    <row r="448" spans="2:18" x14ac:dyDescent="0.3">
      <c r="B448" s="2" t="s">
        <v>2533</v>
      </c>
      <c r="C448" s="2">
        <v>25508</v>
      </c>
      <c r="L448" s="2" t="s">
        <v>2497</v>
      </c>
      <c r="M448" s="2">
        <v>25353</v>
      </c>
      <c r="N448" s="2" t="s">
        <v>2477</v>
      </c>
      <c r="R448" s="1" t="str">
        <f t="shared" si="12"/>
        <v>紫晶自宝箱3</v>
      </c>
    </row>
    <row r="449" spans="2:18" x14ac:dyDescent="0.3">
      <c r="B449" s="2" t="s">
        <v>2534</v>
      </c>
      <c r="C449" s="2">
        <v>25509</v>
      </c>
      <c r="L449" s="2" t="s">
        <v>2499</v>
      </c>
      <c r="M449" s="2">
        <v>25354</v>
      </c>
      <c r="N449" s="2" t="s">
        <v>2477</v>
      </c>
      <c r="R449" s="1" t="str">
        <f t="shared" si="12"/>
        <v>紫晶自宝箱4</v>
      </c>
    </row>
    <row r="450" spans="2:18" x14ac:dyDescent="0.3">
      <c r="B450" s="2" t="s">
        <v>2535</v>
      </c>
      <c r="C450" s="2">
        <v>25510</v>
      </c>
      <c r="L450" s="2" t="s">
        <v>2500</v>
      </c>
      <c r="M450" s="2">
        <v>25355</v>
      </c>
      <c r="N450" s="2" t="s">
        <v>2477</v>
      </c>
      <c r="R450" s="1" t="str">
        <f t="shared" si="12"/>
        <v>紫晶自宝箱5</v>
      </c>
    </row>
    <row r="451" spans="2:18" x14ac:dyDescent="0.3">
      <c r="B451" s="2" t="s">
        <v>2536</v>
      </c>
      <c r="C451" s="2">
        <v>25551</v>
      </c>
      <c r="L451" s="2" t="s">
        <v>2501</v>
      </c>
      <c r="M451" s="2">
        <v>25356</v>
      </c>
      <c r="N451" s="2" t="s">
        <v>2477</v>
      </c>
      <c r="R451" s="1" t="str">
        <f t="shared" si="12"/>
        <v>紫晶自宝箱6</v>
      </c>
    </row>
    <row r="452" spans="2:18" x14ac:dyDescent="0.3">
      <c r="B452" s="2" t="s">
        <v>2537</v>
      </c>
      <c r="C452" s="2">
        <v>25552</v>
      </c>
      <c r="L452" s="2" t="s">
        <v>2502</v>
      </c>
      <c r="M452" s="2">
        <v>25357</v>
      </c>
      <c r="N452" s="2" t="s">
        <v>2477</v>
      </c>
      <c r="R452" s="1" t="str">
        <f t="shared" si="12"/>
        <v>紫晶自宝箱7</v>
      </c>
    </row>
    <row r="453" spans="2:18" x14ac:dyDescent="0.3">
      <c r="B453" s="2" t="s">
        <v>2538</v>
      </c>
      <c r="C453" s="2">
        <v>25553</v>
      </c>
      <c r="L453" s="2" t="s">
        <v>2503</v>
      </c>
      <c r="M453" s="2">
        <v>25358</v>
      </c>
      <c r="N453" s="2" t="s">
        <v>2477</v>
      </c>
      <c r="R453" s="1" t="str">
        <f t="shared" si="12"/>
        <v>紫晶自宝箱8</v>
      </c>
    </row>
    <row r="454" spans="2:18" x14ac:dyDescent="0.3">
      <c r="B454" s="2" t="s">
        <v>2539</v>
      </c>
      <c r="C454" s="2">
        <v>25554</v>
      </c>
      <c r="L454" s="2" t="s">
        <v>2504</v>
      </c>
      <c r="M454" s="2">
        <v>25359</v>
      </c>
      <c r="N454" s="2" t="s">
        <v>2477</v>
      </c>
      <c r="R454" s="1" t="str">
        <f t="shared" ref="R454:R517" si="13">L454</f>
        <v>紫晶自宝箱9</v>
      </c>
    </row>
    <row r="455" spans="2:18" x14ac:dyDescent="0.3">
      <c r="B455" s="2" t="s">
        <v>2540</v>
      </c>
      <c r="C455" s="2">
        <v>25555</v>
      </c>
      <c r="L455" s="2" t="s">
        <v>2505</v>
      </c>
      <c r="M455" s="2">
        <v>25360</v>
      </c>
      <c r="N455" s="2" t="s">
        <v>2477</v>
      </c>
      <c r="R455" s="1" t="str">
        <f t="shared" si="13"/>
        <v>紫晶自宝箱10</v>
      </c>
    </row>
    <row r="456" spans="2:18" x14ac:dyDescent="0.3">
      <c r="B456" s="2" t="s">
        <v>2541</v>
      </c>
      <c r="C456" s="2">
        <v>25556</v>
      </c>
      <c r="L456" s="2" t="s">
        <v>2506</v>
      </c>
      <c r="M456" s="2">
        <v>25401</v>
      </c>
      <c r="N456" s="2" t="s">
        <v>2498</v>
      </c>
      <c r="R456" s="1" t="str">
        <f t="shared" si="13"/>
        <v>黄金宝箱1</v>
      </c>
    </row>
    <row r="457" spans="2:18" x14ac:dyDescent="0.3">
      <c r="B457" s="2" t="s">
        <v>2542</v>
      </c>
      <c r="C457" s="2">
        <v>25557</v>
      </c>
      <c r="L457" s="2" t="s">
        <v>2507</v>
      </c>
      <c r="M457" s="2">
        <v>25402</v>
      </c>
      <c r="N457" s="2" t="s">
        <v>2498</v>
      </c>
      <c r="R457" s="1" t="str">
        <f t="shared" si="13"/>
        <v>黄金宝箱2</v>
      </c>
    </row>
    <row r="458" spans="2:18" x14ac:dyDescent="0.3">
      <c r="B458" s="2" t="s">
        <v>2543</v>
      </c>
      <c r="C458" s="2">
        <v>25558</v>
      </c>
      <c r="L458" s="2" t="s">
        <v>2508</v>
      </c>
      <c r="M458" s="2">
        <v>25403</v>
      </c>
      <c r="N458" s="2" t="s">
        <v>2498</v>
      </c>
      <c r="R458" s="1" t="str">
        <f t="shared" si="13"/>
        <v>黄金宝箱3</v>
      </c>
    </row>
    <row r="459" spans="2:18" x14ac:dyDescent="0.3">
      <c r="B459" s="2" t="s">
        <v>2544</v>
      </c>
      <c r="C459" s="2">
        <v>25559</v>
      </c>
      <c r="L459" s="2" t="s">
        <v>2509</v>
      </c>
      <c r="M459" s="2">
        <v>25404</v>
      </c>
      <c r="N459" s="2" t="s">
        <v>2498</v>
      </c>
      <c r="R459" s="1" t="str">
        <f t="shared" si="13"/>
        <v>黄金宝箱4</v>
      </c>
    </row>
    <row r="460" spans="2:18" x14ac:dyDescent="0.3">
      <c r="B460" s="2" t="s">
        <v>2545</v>
      </c>
      <c r="C460" s="2">
        <v>25560</v>
      </c>
      <c r="L460" s="2" t="s">
        <v>2510</v>
      </c>
      <c r="M460" s="2">
        <v>25405</v>
      </c>
      <c r="N460" s="2" t="s">
        <v>2498</v>
      </c>
      <c r="R460" s="1" t="str">
        <f t="shared" si="13"/>
        <v>黄金宝箱5</v>
      </c>
    </row>
    <row r="461" spans="2:18" x14ac:dyDescent="0.3">
      <c r="B461" s="2" t="s">
        <v>2546</v>
      </c>
      <c r="C461" s="2">
        <v>23511</v>
      </c>
      <c r="L461" s="2" t="s">
        <v>2511</v>
      </c>
      <c r="M461" s="2">
        <v>25406</v>
      </c>
      <c r="N461" s="2" t="s">
        <v>2498</v>
      </c>
      <c r="R461" s="1" t="str">
        <f t="shared" si="13"/>
        <v>黄金宝箱6</v>
      </c>
    </row>
    <row r="462" spans="2:18" x14ac:dyDescent="0.3">
      <c r="B462" s="2" t="s">
        <v>2547</v>
      </c>
      <c r="C462" s="2">
        <v>23512</v>
      </c>
      <c r="L462" s="2" t="s">
        <v>2512</v>
      </c>
      <c r="M462" s="2">
        <v>25407</v>
      </c>
      <c r="N462" s="2" t="s">
        <v>2498</v>
      </c>
      <c r="R462" s="1" t="str">
        <f t="shared" si="13"/>
        <v>黄金宝箱7</v>
      </c>
    </row>
    <row r="463" spans="2:18" x14ac:dyDescent="0.3">
      <c r="B463" s="2" t="s">
        <v>2548</v>
      </c>
      <c r="C463" s="2">
        <v>23521</v>
      </c>
      <c r="L463" s="2" t="s">
        <v>2513</v>
      </c>
      <c r="M463" s="2">
        <v>25408</v>
      </c>
      <c r="N463" s="2" t="s">
        <v>2498</v>
      </c>
      <c r="R463" s="1" t="str">
        <f t="shared" si="13"/>
        <v>黄金宝箱8</v>
      </c>
    </row>
    <row r="464" spans="2:18" x14ac:dyDescent="0.3">
      <c r="B464" s="2" t="s">
        <v>2549</v>
      </c>
      <c r="C464" s="2">
        <v>23522</v>
      </c>
      <c r="L464" s="2" t="s">
        <v>2514</v>
      </c>
      <c r="M464" s="2">
        <v>25409</v>
      </c>
      <c r="N464" s="2" t="s">
        <v>2498</v>
      </c>
      <c r="R464" s="1" t="str">
        <f t="shared" si="13"/>
        <v>黄金宝箱9</v>
      </c>
    </row>
    <row r="465" spans="2:18" x14ac:dyDescent="0.3">
      <c r="B465" s="2" t="s">
        <v>2550</v>
      </c>
      <c r="C465" s="2">
        <v>23531</v>
      </c>
      <c r="L465" s="2" t="s">
        <v>2515</v>
      </c>
      <c r="M465" s="2">
        <v>25410</v>
      </c>
      <c r="N465" s="2" t="s">
        <v>2498</v>
      </c>
      <c r="R465" s="1" t="str">
        <f t="shared" si="13"/>
        <v>黄金宝箱10</v>
      </c>
    </row>
    <row r="466" spans="2:18" x14ac:dyDescent="0.3">
      <c r="B466" s="2" t="s">
        <v>2551</v>
      </c>
      <c r="C466" s="2">
        <v>23532</v>
      </c>
      <c r="L466" s="2" t="s">
        <v>2516</v>
      </c>
      <c r="M466" s="2">
        <v>25451</v>
      </c>
      <c r="N466" s="2" t="s">
        <v>2498</v>
      </c>
      <c r="R466" s="1" t="str">
        <f t="shared" si="13"/>
        <v>黄金自宝箱1</v>
      </c>
    </row>
    <row r="467" spans="2:18" x14ac:dyDescent="0.3">
      <c r="B467" s="2" t="s">
        <v>2552</v>
      </c>
      <c r="C467" s="2">
        <v>23541</v>
      </c>
      <c r="L467" s="2" t="s">
        <v>2517</v>
      </c>
      <c r="M467" s="2">
        <v>25452</v>
      </c>
      <c r="N467" s="2" t="s">
        <v>2498</v>
      </c>
      <c r="R467" s="1" t="str">
        <f t="shared" si="13"/>
        <v>黄金自宝箱2</v>
      </c>
    </row>
    <row r="468" spans="2:18" x14ac:dyDescent="0.3">
      <c r="B468" s="2" t="s">
        <v>2553</v>
      </c>
      <c r="C468" s="2">
        <v>23542</v>
      </c>
      <c r="L468" s="2" t="s">
        <v>2518</v>
      </c>
      <c r="M468" s="2">
        <v>25453</v>
      </c>
      <c r="N468" s="2" t="s">
        <v>2498</v>
      </c>
      <c r="R468" s="1" t="str">
        <f t="shared" si="13"/>
        <v>黄金自宝箱3</v>
      </c>
    </row>
    <row r="469" spans="2:18" x14ac:dyDescent="0.3">
      <c r="B469" s="2" t="s">
        <v>2554</v>
      </c>
      <c r="C469" s="2">
        <v>24511</v>
      </c>
      <c r="L469" s="2" t="s">
        <v>2519</v>
      </c>
      <c r="M469" s="2">
        <v>25454</v>
      </c>
      <c r="N469" s="2" t="s">
        <v>2498</v>
      </c>
      <c r="R469" s="1" t="str">
        <f t="shared" si="13"/>
        <v>黄金自宝箱4</v>
      </c>
    </row>
    <row r="470" spans="2:18" x14ac:dyDescent="0.3">
      <c r="B470" s="2" t="s">
        <v>2555</v>
      </c>
      <c r="C470" s="2">
        <v>24521</v>
      </c>
      <c r="L470" s="2" t="s">
        <v>2520</v>
      </c>
      <c r="M470" s="2">
        <v>25455</v>
      </c>
      <c r="N470" s="2" t="s">
        <v>2498</v>
      </c>
      <c r="R470" s="1" t="str">
        <f t="shared" si="13"/>
        <v>黄金自宝箱5</v>
      </c>
    </row>
    <row r="471" spans="2:18" x14ac:dyDescent="0.3">
      <c r="B471" s="2" t="s">
        <v>2556</v>
      </c>
      <c r="C471" s="2">
        <v>24522</v>
      </c>
      <c r="L471" s="2" t="s">
        <v>2521</v>
      </c>
      <c r="M471" s="2">
        <v>25456</v>
      </c>
      <c r="N471" s="2" t="s">
        <v>2498</v>
      </c>
      <c r="R471" s="1" t="str">
        <f t="shared" si="13"/>
        <v>黄金自宝箱6</v>
      </c>
    </row>
    <row r="472" spans="2:18" x14ac:dyDescent="0.3">
      <c r="B472" s="2" t="s">
        <v>2557</v>
      </c>
      <c r="C472" s="2">
        <v>24531</v>
      </c>
      <c r="L472" s="2" t="s">
        <v>2522</v>
      </c>
      <c r="M472" s="2">
        <v>25457</v>
      </c>
      <c r="N472" s="2" t="s">
        <v>2498</v>
      </c>
      <c r="R472" s="1" t="str">
        <f t="shared" si="13"/>
        <v>黄金自宝箱7</v>
      </c>
    </row>
    <row r="473" spans="2:18" x14ac:dyDescent="0.3">
      <c r="B473" s="2" t="s">
        <v>2558</v>
      </c>
      <c r="C473" s="2">
        <v>24532</v>
      </c>
      <c r="L473" s="2" t="s">
        <v>2523</v>
      </c>
      <c r="M473" s="2">
        <v>25458</v>
      </c>
      <c r="N473" s="2" t="s">
        <v>2498</v>
      </c>
      <c r="R473" s="1" t="str">
        <f t="shared" si="13"/>
        <v>黄金自宝箱8</v>
      </c>
    </row>
    <row r="474" spans="2:18" x14ac:dyDescent="0.3">
      <c r="B474" s="2" t="s">
        <v>2560</v>
      </c>
      <c r="C474" s="2">
        <v>24541</v>
      </c>
      <c r="L474" s="2" t="s">
        <v>2524</v>
      </c>
      <c r="M474" s="2">
        <v>25459</v>
      </c>
      <c r="N474" s="2" t="s">
        <v>2498</v>
      </c>
      <c r="R474" s="1" t="str">
        <f t="shared" si="13"/>
        <v>黄金自宝箱9</v>
      </c>
    </row>
    <row r="475" spans="2:18" x14ac:dyDescent="0.3">
      <c r="B475" s="2" t="s">
        <v>2561</v>
      </c>
      <c r="C475" s="2">
        <v>24542</v>
      </c>
      <c r="L475" s="2" t="s">
        <v>2525</v>
      </c>
      <c r="M475" s="2">
        <v>25460</v>
      </c>
      <c r="N475" s="2" t="s">
        <v>2498</v>
      </c>
      <c r="R475" s="1" t="str">
        <f t="shared" si="13"/>
        <v>黄金自宝箱10</v>
      </c>
    </row>
    <row r="476" spans="2:18" x14ac:dyDescent="0.3">
      <c r="B476" s="2" t="s">
        <v>2562</v>
      </c>
      <c r="C476" s="2">
        <v>24543</v>
      </c>
      <c r="L476" s="2" t="s">
        <v>2526</v>
      </c>
      <c r="M476" s="2">
        <v>25501</v>
      </c>
      <c r="N476" s="2" t="s">
        <v>2559</v>
      </c>
      <c r="O476" s="1" t="str">
        <f>"Rank "&amp;RIGHT(L476,1)&amp;" Epic Chest"</f>
        <v>Rank 1 Epic Chest</v>
      </c>
      <c r="R476" s="1" t="str">
        <f t="shared" si="13"/>
        <v>史诗宝箱1</v>
      </c>
    </row>
    <row r="477" spans="2:18" x14ac:dyDescent="0.3">
      <c r="L477" s="2" t="s">
        <v>2527</v>
      </c>
      <c r="M477" s="2">
        <v>25502</v>
      </c>
      <c r="N477" s="2" t="s">
        <v>2559</v>
      </c>
      <c r="O477" s="1" t="str">
        <f t="shared" ref="O477:O494" si="14">"Rank "&amp;RIGHT(L477,1)&amp;" Epic Chest"</f>
        <v>Rank 2 Epic Chest</v>
      </c>
      <c r="R477" s="1" t="str">
        <f t="shared" si="13"/>
        <v>史诗宝箱2</v>
      </c>
    </row>
    <row r="478" spans="2:18" x14ac:dyDescent="0.3">
      <c r="L478" s="2" t="s">
        <v>2528</v>
      </c>
      <c r="M478" s="2">
        <v>25503</v>
      </c>
      <c r="N478" s="2" t="s">
        <v>2559</v>
      </c>
      <c r="O478" s="1" t="str">
        <f t="shared" si="14"/>
        <v>Rank 3 Epic Chest</v>
      </c>
      <c r="R478" s="1" t="str">
        <f t="shared" si="13"/>
        <v>史诗宝箱3</v>
      </c>
    </row>
    <row r="479" spans="2:18" x14ac:dyDescent="0.3">
      <c r="L479" s="2" t="s">
        <v>2529</v>
      </c>
      <c r="M479" s="2">
        <v>25504</v>
      </c>
      <c r="N479" s="2" t="s">
        <v>2559</v>
      </c>
      <c r="O479" s="1" t="str">
        <f t="shared" si="14"/>
        <v>Rank 4 Epic Chest</v>
      </c>
      <c r="R479" s="1" t="str">
        <f t="shared" si="13"/>
        <v>史诗宝箱4</v>
      </c>
    </row>
    <row r="480" spans="2:18" x14ac:dyDescent="0.3">
      <c r="L480" s="2" t="s">
        <v>2530</v>
      </c>
      <c r="M480" s="2">
        <v>25505</v>
      </c>
      <c r="N480" s="2" t="s">
        <v>2559</v>
      </c>
      <c r="O480" s="1" t="str">
        <f t="shared" si="14"/>
        <v>Rank 5 Epic Chest</v>
      </c>
      <c r="R480" s="1" t="str">
        <f t="shared" si="13"/>
        <v>史诗宝箱5</v>
      </c>
    </row>
    <row r="481" spans="12:18" x14ac:dyDescent="0.3">
      <c r="L481" s="2" t="s">
        <v>2531</v>
      </c>
      <c r="M481" s="2">
        <v>25506</v>
      </c>
      <c r="N481" s="2" t="s">
        <v>2559</v>
      </c>
      <c r="O481" s="1" t="str">
        <f t="shared" si="14"/>
        <v>Rank 6 Epic Chest</v>
      </c>
      <c r="R481" s="1" t="str">
        <f t="shared" si="13"/>
        <v>史诗宝箱6</v>
      </c>
    </row>
    <row r="482" spans="12:18" x14ac:dyDescent="0.3">
      <c r="L482" s="2" t="s">
        <v>2532</v>
      </c>
      <c r="M482" s="2">
        <v>25507</v>
      </c>
      <c r="N482" s="2" t="s">
        <v>2559</v>
      </c>
      <c r="O482" s="1" t="str">
        <f t="shared" si="14"/>
        <v>Rank 7 Epic Chest</v>
      </c>
      <c r="R482" s="1" t="str">
        <f t="shared" si="13"/>
        <v>史诗宝箱7</v>
      </c>
    </row>
    <row r="483" spans="12:18" x14ac:dyDescent="0.3">
      <c r="L483" s="2" t="s">
        <v>2533</v>
      </c>
      <c r="M483" s="2">
        <v>25508</v>
      </c>
      <c r="N483" s="2" t="s">
        <v>2559</v>
      </c>
      <c r="O483" s="1" t="str">
        <f t="shared" si="14"/>
        <v>Rank 8 Epic Chest</v>
      </c>
      <c r="R483" s="1" t="str">
        <f t="shared" si="13"/>
        <v>史诗宝箱8</v>
      </c>
    </row>
    <row r="484" spans="12:18" x14ac:dyDescent="0.3">
      <c r="L484" s="2" t="s">
        <v>2534</v>
      </c>
      <c r="M484" s="2">
        <v>25509</v>
      </c>
      <c r="N484" s="2" t="s">
        <v>2559</v>
      </c>
      <c r="O484" s="1" t="str">
        <f t="shared" si="14"/>
        <v>Rank 9 Epic Chest</v>
      </c>
      <c r="R484" s="1" t="str">
        <f t="shared" si="13"/>
        <v>史诗宝箱9</v>
      </c>
    </row>
    <row r="485" spans="12:18" x14ac:dyDescent="0.3">
      <c r="L485" s="2" t="s">
        <v>2535</v>
      </c>
      <c r="M485" s="2">
        <v>25510</v>
      </c>
      <c r="N485" s="2" t="s">
        <v>2559</v>
      </c>
      <c r="O485" s="1" t="str">
        <f>"Rank "&amp;RIGHT(L485,2)&amp;" Epic Chest"</f>
        <v>Rank 10 Epic Chest</v>
      </c>
      <c r="R485" s="1" t="str">
        <f t="shared" si="13"/>
        <v>史诗宝箱10</v>
      </c>
    </row>
    <row r="486" spans="12:18" x14ac:dyDescent="0.3">
      <c r="L486" s="2" t="s">
        <v>2536</v>
      </c>
      <c r="M486" s="2">
        <v>25551</v>
      </c>
      <c r="N486" s="2" t="s">
        <v>2559</v>
      </c>
      <c r="O486" s="1" t="str">
        <f t="shared" si="14"/>
        <v>Rank 1 Epic Chest</v>
      </c>
      <c r="R486" s="1" t="str">
        <f t="shared" si="13"/>
        <v>史诗自宝箱1</v>
      </c>
    </row>
    <row r="487" spans="12:18" x14ac:dyDescent="0.3">
      <c r="L487" s="2" t="s">
        <v>2537</v>
      </c>
      <c r="M487" s="2">
        <v>25552</v>
      </c>
      <c r="N487" s="2" t="s">
        <v>2559</v>
      </c>
      <c r="O487" s="1" t="str">
        <f t="shared" si="14"/>
        <v>Rank 2 Epic Chest</v>
      </c>
      <c r="R487" s="1" t="str">
        <f t="shared" si="13"/>
        <v>史诗自宝箱2</v>
      </c>
    </row>
    <row r="488" spans="12:18" x14ac:dyDescent="0.3">
      <c r="L488" s="2" t="s">
        <v>2538</v>
      </c>
      <c r="M488" s="2">
        <v>25553</v>
      </c>
      <c r="N488" s="2" t="s">
        <v>2559</v>
      </c>
      <c r="O488" s="1" t="str">
        <f t="shared" si="14"/>
        <v>Rank 3 Epic Chest</v>
      </c>
      <c r="R488" s="1" t="str">
        <f t="shared" si="13"/>
        <v>史诗自宝箱3</v>
      </c>
    </row>
    <row r="489" spans="12:18" x14ac:dyDescent="0.3">
      <c r="L489" s="2" t="s">
        <v>2539</v>
      </c>
      <c r="M489" s="2">
        <v>25554</v>
      </c>
      <c r="N489" s="2" t="s">
        <v>2559</v>
      </c>
      <c r="O489" s="1" t="str">
        <f t="shared" si="14"/>
        <v>Rank 4 Epic Chest</v>
      </c>
      <c r="R489" s="1" t="str">
        <f t="shared" si="13"/>
        <v>史诗自宝箱4</v>
      </c>
    </row>
    <row r="490" spans="12:18" x14ac:dyDescent="0.3">
      <c r="L490" s="2" t="s">
        <v>2540</v>
      </c>
      <c r="M490" s="2">
        <v>25555</v>
      </c>
      <c r="N490" s="2" t="s">
        <v>2559</v>
      </c>
      <c r="O490" s="1" t="str">
        <f t="shared" si="14"/>
        <v>Rank 5 Epic Chest</v>
      </c>
      <c r="R490" s="1" t="str">
        <f t="shared" si="13"/>
        <v>史诗自宝箱5</v>
      </c>
    </row>
    <row r="491" spans="12:18" x14ac:dyDescent="0.3">
      <c r="L491" s="2" t="s">
        <v>2541</v>
      </c>
      <c r="M491" s="2">
        <v>25556</v>
      </c>
      <c r="N491" s="2" t="s">
        <v>2559</v>
      </c>
      <c r="O491" s="1" t="str">
        <f t="shared" si="14"/>
        <v>Rank 6 Epic Chest</v>
      </c>
      <c r="R491" s="1" t="str">
        <f t="shared" si="13"/>
        <v>史诗自宝箱6</v>
      </c>
    </row>
    <row r="492" spans="12:18" x14ac:dyDescent="0.3">
      <c r="L492" s="2" t="s">
        <v>2542</v>
      </c>
      <c r="M492" s="2">
        <v>25557</v>
      </c>
      <c r="N492" s="2" t="s">
        <v>2559</v>
      </c>
      <c r="O492" s="1" t="str">
        <f t="shared" si="14"/>
        <v>Rank 7 Epic Chest</v>
      </c>
      <c r="R492" s="1" t="str">
        <f t="shared" si="13"/>
        <v>史诗自宝箱7</v>
      </c>
    </row>
    <row r="493" spans="12:18" x14ac:dyDescent="0.3">
      <c r="L493" s="2" t="s">
        <v>2543</v>
      </c>
      <c r="M493" s="2">
        <v>25558</v>
      </c>
      <c r="N493" s="2" t="s">
        <v>2559</v>
      </c>
      <c r="O493" s="1" t="str">
        <f t="shared" si="14"/>
        <v>Rank 8 Epic Chest</v>
      </c>
      <c r="R493" s="1" t="str">
        <f t="shared" si="13"/>
        <v>史诗自宝箱8</v>
      </c>
    </row>
    <row r="494" spans="12:18" x14ac:dyDescent="0.3">
      <c r="L494" s="2" t="s">
        <v>2544</v>
      </c>
      <c r="M494" s="2">
        <v>25559</v>
      </c>
      <c r="N494" s="2" t="s">
        <v>2559</v>
      </c>
      <c r="O494" s="1" t="str">
        <f t="shared" si="14"/>
        <v>Rank 9 Epic Chest</v>
      </c>
      <c r="R494" s="1" t="str">
        <f t="shared" si="13"/>
        <v>史诗自宝箱9</v>
      </c>
    </row>
    <row r="495" spans="12:18" x14ac:dyDescent="0.3">
      <c r="L495" s="2" t="s">
        <v>2545</v>
      </c>
      <c r="M495" s="2">
        <v>25560</v>
      </c>
      <c r="N495" s="2" t="s">
        <v>2559</v>
      </c>
      <c r="O495" s="1" t="str">
        <f>"Rank "&amp;RIGHT(L495,2)&amp;" Epic Chest"</f>
        <v>Rank 10 Epic Chest</v>
      </c>
      <c r="R495" s="1" t="str">
        <f t="shared" si="13"/>
        <v>史诗自宝箱10</v>
      </c>
    </row>
    <row r="496" spans="12:18" x14ac:dyDescent="0.3">
      <c r="L496" s="2" t="s">
        <v>2563</v>
      </c>
      <c r="M496" s="2">
        <v>23201</v>
      </c>
      <c r="N496" s="2" t="s">
        <v>2413</v>
      </c>
      <c r="O496" s="1" t="s">
        <v>2564</v>
      </c>
      <c r="P496" s="2" t="s">
        <v>495</v>
      </c>
      <c r="R496" s="1" t="str">
        <f t="shared" si="13"/>
        <v>部件礼包1</v>
      </c>
    </row>
    <row r="497" spans="12:18" x14ac:dyDescent="0.3">
      <c r="L497" s="2" t="s">
        <v>2565</v>
      </c>
      <c r="M497" s="2">
        <v>23202</v>
      </c>
      <c r="N497" s="2" t="s">
        <v>2413</v>
      </c>
      <c r="O497" s="1" t="s">
        <v>2564</v>
      </c>
      <c r="P497" s="2" t="s">
        <v>495</v>
      </c>
      <c r="R497" s="1" t="str">
        <f t="shared" si="13"/>
        <v>部件礼包2</v>
      </c>
    </row>
    <row r="498" spans="12:18" x14ac:dyDescent="0.3">
      <c r="L498" s="2" t="s">
        <v>2566</v>
      </c>
      <c r="M498" s="2">
        <v>23203</v>
      </c>
      <c r="N498" s="2" t="s">
        <v>2413</v>
      </c>
      <c r="O498" s="1" t="s">
        <v>2564</v>
      </c>
      <c r="P498" s="2" t="s">
        <v>495</v>
      </c>
      <c r="R498" s="1" t="str">
        <f t="shared" si="13"/>
        <v>部件礼包3</v>
      </c>
    </row>
    <row r="499" spans="12:18" x14ac:dyDescent="0.3">
      <c r="L499" s="2" t="s">
        <v>2567</v>
      </c>
      <c r="M499" s="2">
        <v>23204</v>
      </c>
      <c r="N499" s="2" t="s">
        <v>2413</v>
      </c>
      <c r="O499" s="1" t="s">
        <v>2568</v>
      </c>
      <c r="P499" s="2" t="s">
        <v>496</v>
      </c>
      <c r="R499" s="1" t="str">
        <f t="shared" si="13"/>
        <v>部件礼包4</v>
      </c>
    </row>
    <row r="500" spans="12:18" x14ac:dyDescent="0.3">
      <c r="L500" s="2" t="s">
        <v>2569</v>
      </c>
      <c r="M500" s="2">
        <v>23205</v>
      </c>
      <c r="N500" s="2" t="s">
        <v>2413</v>
      </c>
      <c r="O500" s="1" t="s">
        <v>2568</v>
      </c>
      <c r="P500" s="2" t="s">
        <v>496</v>
      </c>
      <c r="R500" s="1" t="str">
        <f t="shared" si="13"/>
        <v>部件礼包5</v>
      </c>
    </row>
    <row r="501" spans="12:18" x14ac:dyDescent="0.3">
      <c r="L501" s="2" t="s">
        <v>2570</v>
      </c>
      <c r="M501" s="2">
        <v>23206</v>
      </c>
      <c r="N501" s="2" t="s">
        <v>2413</v>
      </c>
      <c r="O501" s="1" t="s">
        <v>2568</v>
      </c>
      <c r="P501" s="2" t="s">
        <v>496</v>
      </c>
      <c r="R501" s="1" t="str">
        <f t="shared" si="13"/>
        <v>部件礼包6</v>
      </c>
    </row>
    <row r="502" spans="12:18" x14ac:dyDescent="0.3">
      <c r="L502" s="2" t="s">
        <v>2571</v>
      </c>
      <c r="M502" s="2">
        <v>23207</v>
      </c>
      <c r="N502" s="2" t="s">
        <v>2413</v>
      </c>
      <c r="O502" s="1" t="s">
        <v>2572</v>
      </c>
      <c r="P502" s="2" t="s">
        <v>497</v>
      </c>
      <c r="R502" s="1" t="str">
        <f t="shared" si="13"/>
        <v>部件礼包7</v>
      </c>
    </row>
    <row r="503" spans="12:18" x14ac:dyDescent="0.3">
      <c r="L503" s="2" t="s">
        <v>2573</v>
      </c>
      <c r="M503" s="2">
        <v>23208</v>
      </c>
      <c r="N503" s="2" t="s">
        <v>2413</v>
      </c>
      <c r="O503" s="1" t="s">
        <v>2572</v>
      </c>
      <c r="P503" s="2" t="s">
        <v>497</v>
      </c>
      <c r="R503" s="1" t="str">
        <f t="shared" si="13"/>
        <v>部件礼包8</v>
      </c>
    </row>
    <row r="504" spans="12:18" x14ac:dyDescent="0.3">
      <c r="L504" s="2" t="s">
        <v>2574</v>
      </c>
      <c r="M504" s="2">
        <v>23209</v>
      </c>
      <c r="N504" s="2" t="s">
        <v>2413</v>
      </c>
      <c r="O504" s="1" t="s">
        <v>2572</v>
      </c>
      <c r="P504" s="2" t="s">
        <v>497</v>
      </c>
      <c r="R504" s="1" t="str">
        <f t="shared" si="13"/>
        <v>部件礼包9</v>
      </c>
    </row>
    <row r="505" spans="12:18" x14ac:dyDescent="0.3">
      <c r="L505" s="2" t="s">
        <v>2575</v>
      </c>
      <c r="M505" s="2">
        <v>24201</v>
      </c>
      <c r="N505" s="2" t="s">
        <v>2425</v>
      </c>
      <c r="O505" s="1" t="s">
        <v>2576</v>
      </c>
      <c r="P505" s="2" t="s">
        <v>1762</v>
      </c>
      <c r="R505" s="1" t="str">
        <f t="shared" si="13"/>
        <v>碎片礼包1</v>
      </c>
    </row>
    <row r="506" spans="12:18" x14ac:dyDescent="0.3">
      <c r="L506" s="2" t="s">
        <v>2577</v>
      </c>
      <c r="M506" s="2">
        <v>24202</v>
      </c>
      <c r="N506" s="2" t="s">
        <v>2425</v>
      </c>
      <c r="O506" s="1" t="s">
        <v>2578</v>
      </c>
      <c r="P506" s="2" t="s">
        <v>1763</v>
      </c>
      <c r="R506" s="1" t="str">
        <f t="shared" si="13"/>
        <v>碎片礼包2</v>
      </c>
    </row>
    <row r="507" spans="12:18" x14ac:dyDescent="0.3">
      <c r="L507" s="2" t="s">
        <v>2579</v>
      </c>
      <c r="M507" s="2">
        <v>24203</v>
      </c>
      <c r="N507" s="2" t="s">
        <v>2425</v>
      </c>
      <c r="O507" s="1" t="s">
        <v>2580</v>
      </c>
      <c r="P507" s="2" t="s">
        <v>1765</v>
      </c>
      <c r="R507" s="1" t="str">
        <f t="shared" si="13"/>
        <v>碎片礼包3</v>
      </c>
    </row>
    <row r="508" spans="12:18" x14ac:dyDescent="0.3">
      <c r="L508" s="2" t="s">
        <v>2581</v>
      </c>
      <c r="M508" s="2">
        <v>24204</v>
      </c>
      <c r="N508" s="2" t="s">
        <v>2425</v>
      </c>
      <c r="O508" s="1" t="s">
        <v>2582</v>
      </c>
      <c r="P508" s="2" t="s">
        <v>1766</v>
      </c>
      <c r="R508" s="1" t="str">
        <f t="shared" si="13"/>
        <v>碎片礼包4</v>
      </c>
    </row>
    <row r="509" spans="12:18" x14ac:dyDescent="0.3">
      <c r="L509" s="2" t="s">
        <v>2583</v>
      </c>
      <c r="M509" s="2">
        <v>24205</v>
      </c>
      <c r="N509" s="2" t="s">
        <v>2425</v>
      </c>
      <c r="O509" s="1" t="s">
        <v>2584</v>
      </c>
      <c r="P509" s="2" t="s">
        <v>1767</v>
      </c>
      <c r="R509" s="1" t="str">
        <f t="shared" si="13"/>
        <v>碎片礼包5</v>
      </c>
    </row>
    <row r="510" spans="12:18" x14ac:dyDescent="0.3">
      <c r="L510" s="2" t="s">
        <v>2585</v>
      </c>
      <c r="M510" s="2">
        <v>24206</v>
      </c>
      <c r="N510" s="2" t="s">
        <v>2425</v>
      </c>
      <c r="O510" s="1" t="s">
        <v>2586</v>
      </c>
      <c r="P510" s="2" t="s">
        <v>1769</v>
      </c>
      <c r="R510" s="1" t="str">
        <f t="shared" si="13"/>
        <v>碎片礼包6</v>
      </c>
    </row>
    <row r="511" spans="12:18" x14ac:dyDescent="0.3">
      <c r="L511" s="2" t="s">
        <v>2587</v>
      </c>
      <c r="M511" s="2">
        <v>24207</v>
      </c>
      <c r="N511" s="2" t="s">
        <v>2425</v>
      </c>
      <c r="O511" s="1" t="s">
        <v>2588</v>
      </c>
      <c r="P511" s="2" t="s">
        <v>1770</v>
      </c>
      <c r="R511" s="1" t="str">
        <f t="shared" si="13"/>
        <v>碎片礼包7</v>
      </c>
    </row>
    <row r="512" spans="12:18" x14ac:dyDescent="0.3">
      <c r="L512" s="2" t="s">
        <v>2589</v>
      </c>
      <c r="M512" s="2">
        <v>24208</v>
      </c>
      <c r="N512" s="2" t="s">
        <v>2425</v>
      </c>
      <c r="R512" s="1" t="str">
        <f t="shared" si="13"/>
        <v>碎片礼包8</v>
      </c>
    </row>
    <row r="513" spans="12:18" x14ac:dyDescent="0.3">
      <c r="R513" s="1">
        <f t="shared" si="13"/>
        <v>0</v>
      </c>
    </row>
    <row r="514" spans="12:18" x14ac:dyDescent="0.3">
      <c r="L514" s="2" t="s">
        <v>2590</v>
      </c>
      <c r="M514" s="2">
        <v>150101</v>
      </c>
      <c r="N514" s="2" t="s">
        <v>2591</v>
      </c>
      <c r="R514" s="1" t="str">
        <f t="shared" si="13"/>
        <v>涂鸦-失败者</v>
      </c>
    </row>
    <row r="515" spans="12:18" x14ac:dyDescent="0.3">
      <c r="L515" s="2" t="s">
        <v>2592</v>
      </c>
      <c r="M515" s="2">
        <v>150102</v>
      </c>
      <c r="N515" s="2" t="s">
        <v>2593</v>
      </c>
      <c r="R515" s="1" t="str">
        <f t="shared" si="13"/>
        <v>涂鸦-鲨鱼</v>
      </c>
    </row>
    <row r="516" spans="12:18" x14ac:dyDescent="0.3">
      <c r="L516" s="2" t="s">
        <v>2594</v>
      </c>
      <c r="M516" s="2">
        <v>150103</v>
      </c>
      <c r="N516" s="2" t="s">
        <v>2595</v>
      </c>
      <c r="R516" s="1" t="str">
        <f t="shared" si="13"/>
        <v>涂鸦-胜利骑士</v>
      </c>
    </row>
    <row r="517" spans="12:18" x14ac:dyDescent="0.3">
      <c r="L517" s="2" t="s">
        <v>2596</v>
      </c>
      <c r="M517" s="2">
        <v>150104</v>
      </c>
      <c r="N517" s="2" t="s">
        <v>2597</v>
      </c>
      <c r="R517" s="1" t="str">
        <f t="shared" si="13"/>
        <v>涂鸦-裂缝</v>
      </c>
    </row>
    <row r="518" spans="12:18" x14ac:dyDescent="0.3">
      <c r="L518" s="2" t="s">
        <v>2598</v>
      </c>
      <c r="M518" s="2">
        <v>150105</v>
      </c>
      <c r="N518" s="2" t="s">
        <v>2599</v>
      </c>
      <c r="R518" s="1" t="str">
        <f t="shared" ref="R518:R581" si="15">L518</f>
        <v>涂鸦-小丑</v>
      </c>
    </row>
    <row r="519" spans="12:18" x14ac:dyDescent="0.3">
      <c r="L519" s="2" t="s">
        <v>2600</v>
      </c>
      <c r="M519" s="2">
        <v>150106</v>
      </c>
      <c r="N519" s="2" t="s">
        <v>2601</v>
      </c>
      <c r="R519" s="1" t="str">
        <f t="shared" si="15"/>
        <v>涂鸦-魔眼</v>
      </c>
    </row>
    <row r="520" spans="12:18" x14ac:dyDescent="0.3">
      <c r="L520" s="2" t="s">
        <v>2602</v>
      </c>
      <c r="M520" s="2">
        <v>150107</v>
      </c>
      <c r="N520" s="2" t="s">
        <v>2603</v>
      </c>
      <c r="R520" s="1" t="str">
        <f t="shared" si="15"/>
        <v>涂鸦-死神</v>
      </c>
    </row>
    <row r="521" spans="12:18" x14ac:dyDescent="0.3">
      <c r="L521" s="2" t="s">
        <v>2604</v>
      </c>
      <c r="M521" s="2">
        <v>130102</v>
      </c>
      <c r="N521" s="2" t="s">
        <v>2605</v>
      </c>
      <c r="R521" s="1" t="str">
        <f t="shared" si="15"/>
        <v>头像框-初级指挥官</v>
      </c>
    </row>
    <row r="522" spans="12:18" x14ac:dyDescent="0.3">
      <c r="L522" s="2" t="s">
        <v>2606</v>
      </c>
      <c r="M522" s="2">
        <v>130103</v>
      </c>
      <c r="N522" s="2" t="s">
        <v>2607</v>
      </c>
      <c r="R522" s="1" t="str">
        <f t="shared" si="15"/>
        <v>头像框-针锋相对</v>
      </c>
    </row>
    <row r="523" spans="12:18" x14ac:dyDescent="0.3">
      <c r="L523" s="2" t="s">
        <v>2608</v>
      </c>
      <c r="M523" s="2">
        <v>130104</v>
      </c>
      <c r="N523" s="2" t="s">
        <v>2609</v>
      </c>
      <c r="R523" s="1" t="str">
        <f t="shared" si="15"/>
        <v>头像框-S1·起航</v>
      </c>
    </row>
    <row r="524" spans="12:18" x14ac:dyDescent="0.3">
      <c r="L524" s="2" t="s">
        <v>2610</v>
      </c>
      <c r="M524" s="2">
        <v>130105</v>
      </c>
      <c r="N524" s="2" t="s">
        <v>2611</v>
      </c>
      <c r="R524" s="1" t="str">
        <f t="shared" si="15"/>
        <v>头像框-战斗之星</v>
      </c>
    </row>
    <row r="525" spans="12:18" x14ac:dyDescent="0.3">
      <c r="L525" s="2" t="s">
        <v>2612</v>
      </c>
      <c r="M525" s="2">
        <v>130106</v>
      </c>
      <c r="N525" s="2" t="s">
        <v>2613</v>
      </c>
      <c r="R525" s="1" t="str">
        <f t="shared" si="15"/>
        <v>头像框-我的战场</v>
      </c>
    </row>
    <row r="526" spans="12:18" x14ac:dyDescent="0.3">
      <c r="L526" s="2" t="s">
        <v>2614</v>
      </c>
      <c r="M526" s="2">
        <v>130107</v>
      </c>
      <c r="N526" s="2" t="s">
        <v>2615</v>
      </c>
      <c r="R526" s="1" t="str">
        <f t="shared" si="15"/>
        <v>头像框-风驰电掣</v>
      </c>
    </row>
    <row r="527" spans="12:18" x14ac:dyDescent="0.3">
      <c r="L527" s="2" t="s">
        <v>2616</v>
      </c>
      <c r="M527" s="2">
        <v>130108</v>
      </c>
      <c r="N527" s="2" t="s">
        <v>2617</v>
      </c>
      <c r="R527" s="1" t="str">
        <f t="shared" si="15"/>
        <v>头像框-钢铁信仰</v>
      </c>
    </row>
    <row r="528" spans="12:18" x14ac:dyDescent="0.3">
      <c r="L528" s="2" t="s">
        <v>2618</v>
      </c>
      <c r="M528" s="2">
        <v>110101</v>
      </c>
      <c r="N528" s="2" t="s">
        <v>2619</v>
      </c>
      <c r="R528" s="1" t="str">
        <f t="shared" si="15"/>
        <v>摆件1-小丑</v>
      </c>
    </row>
    <row r="529" spans="12:18" x14ac:dyDescent="0.3">
      <c r="L529" s="2" t="s">
        <v>2620</v>
      </c>
      <c r="M529" s="2">
        <v>110102</v>
      </c>
      <c r="N529" s="2" t="s">
        <v>2621</v>
      </c>
      <c r="R529" s="1" t="str">
        <f t="shared" si="15"/>
        <v>摆件2-小黄鸭</v>
      </c>
    </row>
    <row r="530" spans="12:18" x14ac:dyDescent="0.3">
      <c r="L530" s="2" t="s">
        <v>2622</v>
      </c>
      <c r="M530" s="2">
        <v>110103</v>
      </c>
      <c r="N530" s="2" t="s">
        <v>2623</v>
      </c>
      <c r="R530" s="1" t="str">
        <f t="shared" si="15"/>
        <v>摆件3-机械蜘蛛</v>
      </c>
    </row>
    <row r="531" spans="12:18" x14ac:dyDescent="0.3">
      <c r="L531" s="2" t="s">
        <v>2624</v>
      </c>
      <c r="M531" s="2">
        <v>110104</v>
      </c>
      <c r="N531" s="2" t="s">
        <v>2625</v>
      </c>
      <c r="R531" s="1" t="str">
        <f t="shared" si="15"/>
        <v>摆件4-鲨鱼头</v>
      </c>
    </row>
    <row r="532" spans="12:18" x14ac:dyDescent="0.3">
      <c r="L532" s="2" t="s">
        <v>2626</v>
      </c>
      <c r="M532" s="2">
        <v>110105</v>
      </c>
      <c r="N532" s="2" t="s">
        <v>2627</v>
      </c>
      <c r="R532" s="1" t="str">
        <f t="shared" si="15"/>
        <v>摆件5-恶魔之眼</v>
      </c>
    </row>
    <row r="533" spans="12:18" x14ac:dyDescent="0.3">
      <c r="L533" s="2" t="s">
        <v>2628</v>
      </c>
      <c r="M533" s="2">
        <v>120101</v>
      </c>
      <c r="N533" s="2" t="s">
        <v>2629</v>
      </c>
      <c r="R533" s="1" t="str">
        <f t="shared" si="15"/>
        <v>战旗旗杆-雄心旗杆</v>
      </c>
    </row>
    <row r="534" spans="12:18" x14ac:dyDescent="0.3">
      <c r="L534" s="2" t="s">
        <v>2630</v>
      </c>
      <c r="M534" s="2">
        <v>120102</v>
      </c>
      <c r="N534" s="2" t="s">
        <v>2631</v>
      </c>
      <c r="R534" s="1" t="str">
        <f t="shared" si="15"/>
        <v>战旗旗杆-正义旗杆</v>
      </c>
    </row>
    <row r="535" spans="12:18" x14ac:dyDescent="0.3">
      <c r="L535" s="2" t="s">
        <v>2632</v>
      </c>
      <c r="M535" s="2">
        <v>120103</v>
      </c>
      <c r="N535" s="2" t="s">
        <v>2633</v>
      </c>
      <c r="R535" s="1" t="str">
        <f t="shared" si="15"/>
        <v>战旗旗杆-绝命旗杆</v>
      </c>
    </row>
    <row r="536" spans="12:18" x14ac:dyDescent="0.3">
      <c r="L536" s="2" t="s">
        <v>2634</v>
      </c>
      <c r="M536" s="2">
        <v>120104</v>
      </c>
      <c r="N536" s="2" t="s">
        <v>2635</v>
      </c>
      <c r="R536" s="1" t="str">
        <f t="shared" si="15"/>
        <v>战旗旗杆-荣耀旗杆</v>
      </c>
    </row>
    <row r="537" spans="12:18" x14ac:dyDescent="0.3">
      <c r="L537" s="2" t="s">
        <v>2636</v>
      </c>
      <c r="M537" s="2">
        <v>120201</v>
      </c>
      <c r="N537" s="2" t="s">
        <v>2637</v>
      </c>
      <c r="R537" s="1" t="str">
        <f t="shared" si="15"/>
        <v>战旗旗帜-雄心旗帜</v>
      </c>
    </row>
    <row r="538" spans="12:18" x14ac:dyDescent="0.3">
      <c r="L538" s="2" t="s">
        <v>2638</v>
      </c>
      <c r="M538" s="2">
        <v>120202</v>
      </c>
      <c r="N538" s="2" t="s">
        <v>2639</v>
      </c>
      <c r="R538" s="1" t="str">
        <f t="shared" si="15"/>
        <v>战旗旗帜-正义旗帜</v>
      </c>
    </row>
    <row r="539" spans="12:18" x14ac:dyDescent="0.3">
      <c r="L539" s="2" t="s">
        <v>2640</v>
      </c>
      <c r="M539" s="2">
        <v>120203</v>
      </c>
      <c r="N539" s="2" t="s">
        <v>2641</v>
      </c>
      <c r="R539" s="1" t="str">
        <f t="shared" si="15"/>
        <v>战旗旗帜-绝命旗帜</v>
      </c>
    </row>
    <row r="540" spans="12:18" x14ac:dyDescent="0.3">
      <c r="L540" s="2" t="s">
        <v>2642</v>
      </c>
      <c r="M540" s="2">
        <v>120204</v>
      </c>
      <c r="N540" s="2" t="s">
        <v>2643</v>
      </c>
      <c r="R540" s="1" t="str">
        <f t="shared" si="15"/>
        <v>战旗旗帜-荣耀旗帜</v>
      </c>
    </row>
    <row r="541" spans="12:18" x14ac:dyDescent="0.3">
      <c r="L541" s="2" t="s">
        <v>2644</v>
      </c>
      <c r="M541" s="2">
        <v>120301</v>
      </c>
      <c r="N541" s="2" t="s">
        <v>2645</v>
      </c>
      <c r="R541" s="1" t="str">
        <f t="shared" si="15"/>
        <v>战旗图案-雄心图案</v>
      </c>
    </row>
    <row r="542" spans="12:18" x14ac:dyDescent="0.3">
      <c r="L542" s="2" t="s">
        <v>2646</v>
      </c>
      <c r="M542" s="2">
        <v>120302</v>
      </c>
      <c r="N542" s="2" t="s">
        <v>2647</v>
      </c>
      <c r="R542" s="1" t="str">
        <f t="shared" si="15"/>
        <v>战旗图案-正义图案</v>
      </c>
    </row>
    <row r="543" spans="12:18" x14ac:dyDescent="0.3">
      <c r="L543" s="2" t="s">
        <v>2648</v>
      </c>
      <c r="M543" s="2">
        <v>120303</v>
      </c>
      <c r="N543" s="2" t="s">
        <v>2649</v>
      </c>
      <c r="R543" s="1" t="str">
        <f t="shared" si="15"/>
        <v>战旗图案-绝命图案</v>
      </c>
    </row>
    <row r="544" spans="12:18" x14ac:dyDescent="0.3">
      <c r="L544" s="2" t="s">
        <v>2650</v>
      </c>
      <c r="M544" s="2">
        <v>120304</v>
      </c>
      <c r="N544" s="2" t="s">
        <v>2651</v>
      </c>
      <c r="R544" s="1" t="str">
        <f t="shared" si="15"/>
        <v>战旗图案-荣耀图案</v>
      </c>
    </row>
    <row r="545" spans="12:18" x14ac:dyDescent="0.3">
      <c r="L545" s="2" t="s">
        <v>2652</v>
      </c>
      <c r="M545" s="2">
        <v>180001</v>
      </c>
      <c r="N545" s="2" t="s">
        <v>2653</v>
      </c>
      <c r="R545" s="1" t="str">
        <f t="shared" si="15"/>
        <v>坦克涂装-坦克皮肤:丛林</v>
      </c>
    </row>
    <row r="546" spans="12:18" x14ac:dyDescent="0.3">
      <c r="L546" s="2" t="s">
        <v>2654</v>
      </c>
      <c r="M546" s="2">
        <v>180002</v>
      </c>
      <c r="N546" s="2" t="s">
        <v>2655</v>
      </c>
      <c r="R546" s="1" t="str">
        <f t="shared" si="15"/>
        <v>坦克涂装-坦克皮肤:沙漠</v>
      </c>
    </row>
    <row r="547" spans="12:18" x14ac:dyDescent="0.3">
      <c r="L547" s="2" t="s">
        <v>2656</v>
      </c>
      <c r="M547" s="2">
        <v>180003</v>
      </c>
      <c r="N547" s="2" t="s">
        <v>2657</v>
      </c>
      <c r="R547" s="1" t="str">
        <f t="shared" si="15"/>
        <v>坦克涂装-坦克皮肤:雪地</v>
      </c>
    </row>
    <row r="548" spans="12:18" x14ac:dyDescent="0.3">
      <c r="L548" s="2" t="s">
        <v>2658</v>
      </c>
      <c r="M548" s="2">
        <v>180004</v>
      </c>
      <c r="N548" s="2" t="s">
        <v>2659</v>
      </c>
      <c r="R548" s="1" t="str">
        <f t="shared" si="15"/>
        <v>坦克涂装-坦克皮肤:红色丝网</v>
      </c>
    </row>
    <row r="549" spans="12:18" x14ac:dyDescent="0.3">
      <c r="L549" s="2" t="s">
        <v>2660</v>
      </c>
      <c r="M549" s="2">
        <v>180005</v>
      </c>
      <c r="N549" s="2" t="s">
        <v>2661</v>
      </c>
      <c r="R549" s="1" t="str">
        <f t="shared" si="15"/>
        <v>坦克涂装-坦克皮肤:霓虹灯</v>
      </c>
    </row>
    <row r="550" spans="12:18" x14ac:dyDescent="0.3">
      <c r="L550" s="2" t="s">
        <v>2662</v>
      </c>
      <c r="M550" s="2">
        <v>180006</v>
      </c>
      <c r="N550" s="2" t="s">
        <v>2663</v>
      </c>
      <c r="R550" s="1" t="str">
        <f t="shared" si="15"/>
        <v>坦克涂装-坦克皮肤:冰晶</v>
      </c>
    </row>
    <row r="551" spans="12:18" x14ac:dyDescent="0.3">
      <c r="L551" s="2" t="s">
        <v>2664</v>
      </c>
      <c r="M551" s="2">
        <v>180007</v>
      </c>
      <c r="N551" s="2" t="s">
        <v>2665</v>
      </c>
      <c r="R551" s="1" t="str">
        <f t="shared" si="15"/>
        <v>坦克涂装-坦克皮肤:喷彩</v>
      </c>
    </row>
    <row r="552" spans="12:18" x14ac:dyDescent="0.3">
      <c r="L552" s="2" t="s">
        <v>2666</v>
      </c>
      <c r="M552" s="2">
        <v>180008</v>
      </c>
      <c r="N552" s="2" t="s">
        <v>2667</v>
      </c>
      <c r="R552" s="1" t="str">
        <f t="shared" si="15"/>
        <v>坦克涂装-坦克皮肤:枫叶</v>
      </c>
    </row>
    <row r="553" spans="12:18" x14ac:dyDescent="0.3">
      <c r="L553" s="2" t="s">
        <v>2668</v>
      </c>
      <c r="M553" s="2">
        <v>180009</v>
      </c>
      <c r="N553" s="2" t="s">
        <v>2669</v>
      </c>
      <c r="R553" s="1" t="str">
        <f t="shared" si="15"/>
        <v>坦克涂装-坦克皮肤:黑白涂鸦</v>
      </c>
    </row>
    <row r="554" spans="12:18" x14ac:dyDescent="0.3">
      <c r="L554" s="2" t="s">
        <v>2670</v>
      </c>
      <c r="M554" s="2">
        <v>180010</v>
      </c>
      <c r="N554" s="2" t="s">
        <v>2671</v>
      </c>
      <c r="R554" s="1" t="str">
        <f t="shared" si="15"/>
        <v>坦克涂装-坦克皮肤:蓝天</v>
      </c>
    </row>
    <row r="555" spans="12:18" x14ac:dyDescent="0.3">
      <c r="L555" s="2" t="s">
        <v>2672</v>
      </c>
      <c r="M555" s="2">
        <v>180013</v>
      </c>
      <c r="N555" s="2" t="s">
        <v>2673</v>
      </c>
      <c r="R555" s="1" t="str">
        <f t="shared" si="15"/>
        <v>坦克涂装-坦克皮肤:滩涂</v>
      </c>
    </row>
    <row r="556" spans="12:18" x14ac:dyDescent="0.3">
      <c r="L556" s="2" t="s">
        <v>2674</v>
      </c>
      <c r="M556" s="2">
        <v>180014</v>
      </c>
      <c r="N556" s="2" t="s">
        <v>2675</v>
      </c>
      <c r="R556" s="1" t="str">
        <f t="shared" si="15"/>
        <v>坦克涂装-坦克皮肤:城市</v>
      </c>
    </row>
    <row r="557" spans="12:18" x14ac:dyDescent="0.3">
      <c r="L557" s="2" t="s">
        <v>2676</v>
      </c>
      <c r="M557" s="2">
        <v>180015</v>
      </c>
      <c r="N557" s="2" t="s">
        <v>2677</v>
      </c>
      <c r="R557" s="1" t="str">
        <f t="shared" si="15"/>
        <v>坦克涂装-坦克皮肤:山地</v>
      </c>
    </row>
    <row r="558" spans="12:18" x14ac:dyDescent="0.3">
      <c r="L558" s="2" t="s">
        <v>2678</v>
      </c>
      <c r="M558" s="2">
        <v>180016</v>
      </c>
      <c r="N558" s="2" t="s">
        <v>2679</v>
      </c>
      <c r="R558" s="1" t="str">
        <f t="shared" si="15"/>
        <v>坦克涂装-坦克皮肤:暗夜</v>
      </c>
    </row>
    <row r="559" spans="12:18" x14ac:dyDescent="0.3">
      <c r="L559" s="2" t="s">
        <v>2680</v>
      </c>
      <c r="M559" s="2">
        <v>190001</v>
      </c>
      <c r="N559" s="2" t="s">
        <v>2681</v>
      </c>
      <c r="R559" s="1" t="str">
        <f t="shared" si="15"/>
        <v>坦克流光特效-全电坦克</v>
      </c>
    </row>
    <row r="560" spans="12:18" x14ac:dyDescent="0.3">
      <c r="L560" s="2" t="s">
        <v>2682</v>
      </c>
      <c r="M560" s="2">
        <v>190002</v>
      </c>
      <c r="N560" s="2" t="s">
        <v>2683</v>
      </c>
      <c r="R560" s="1" t="str">
        <f t="shared" si="15"/>
        <v>坦克流光特效-美人鱼</v>
      </c>
    </row>
    <row r="561" spans="12:18" x14ac:dyDescent="0.3">
      <c r="L561" s="2" t="s">
        <v>2684</v>
      </c>
      <c r="M561" s="2">
        <v>190003</v>
      </c>
      <c r="N561" s="2" t="s">
        <v>2685</v>
      </c>
      <c r="R561" s="1" t="str">
        <f t="shared" si="15"/>
        <v>坦克流光特效-地狱使者</v>
      </c>
    </row>
    <row r="562" spans="12:18" x14ac:dyDescent="0.3">
      <c r="L562" s="2" t="s">
        <v>2686</v>
      </c>
      <c r="M562" s="2">
        <v>113</v>
      </c>
      <c r="N562" s="2" t="s">
        <v>1836</v>
      </c>
      <c r="R562" s="1" t="str">
        <f t="shared" si="15"/>
        <v>BattlePass货币</v>
      </c>
    </row>
    <row r="563" spans="12:18" x14ac:dyDescent="0.3">
      <c r="L563" s="2" t="s">
        <v>2687</v>
      </c>
      <c r="M563" s="2">
        <v>140101</v>
      </c>
      <c r="N563" s="2" t="s">
        <v>2688</v>
      </c>
      <c r="R563" s="1" t="str">
        <f t="shared" si="15"/>
        <v>头像-默认头像</v>
      </c>
    </row>
    <row r="564" spans="12:18" x14ac:dyDescent="0.3">
      <c r="L564" s="2" t="s">
        <v>2689</v>
      </c>
      <c r="M564" s="2">
        <v>140102</v>
      </c>
      <c r="N564" s="2" t="s">
        <v>2690</v>
      </c>
      <c r="R564" s="1" t="str">
        <f t="shared" si="15"/>
        <v>头像-龙</v>
      </c>
    </row>
    <row r="565" spans="12:18" x14ac:dyDescent="0.3">
      <c r="L565" s="2" t="s">
        <v>2691</v>
      </c>
      <c r="M565" s="2">
        <v>140103</v>
      </c>
      <c r="N565" s="2" t="s">
        <v>2692</v>
      </c>
      <c r="R565" s="1" t="str">
        <f t="shared" si="15"/>
        <v>头像-S1奖牌</v>
      </c>
    </row>
    <row r="566" spans="12:18" x14ac:dyDescent="0.3">
      <c r="L566" s="2" t="s">
        <v>2693</v>
      </c>
      <c r="M566" s="2">
        <v>140104</v>
      </c>
      <c r="N566" s="2" t="s">
        <v>2694</v>
      </c>
      <c r="R566" s="1" t="str">
        <f t="shared" si="15"/>
        <v>头像-金光坦克</v>
      </c>
    </row>
    <row r="567" spans="12:18" x14ac:dyDescent="0.3">
      <c r="L567" s="2" t="s">
        <v>2695</v>
      </c>
      <c r="M567" s="2">
        <v>140105</v>
      </c>
      <c r="N567" s="2" t="s">
        <v>2696</v>
      </c>
      <c r="R567" s="1" t="str">
        <f t="shared" si="15"/>
        <v>头像-预注册-鹰</v>
      </c>
    </row>
    <row r="568" spans="12:18" x14ac:dyDescent="0.3">
      <c r="L568" s="2" t="s">
        <v>2697</v>
      </c>
      <c r="M568" s="2">
        <v>140106</v>
      </c>
      <c r="N568" s="2" t="s">
        <v>2698</v>
      </c>
      <c r="R568" s="1" t="str">
        <f t="shared" si="15"/>
        <v>头像-老虎</v>
      </c>
    </row>
    <row r="569" spans="12:18" x14ac:dyDescent="0.3">
      <c r="L569" s="2" t="s">
        <v>2699</v>
      </c>
      <c r="M569" s="2">
        <v>140107</v>
      </c>
      <c r="N569" s="2" t="s">
        <v>2700</v>
      </c>
      <c r="R569" s="1" t="str">
        <f t="shared" si="15"/>
        <v>头像-吐舌头</v>
      </c>
    </row>
    <row r="570" spans="12:18" x14ac:dyDescent="0.3">
      <c r="L570" s="2" t="s">
        <v>2701</v>
      </c>
      <c r="M570" s="2">
        <v>140108</v>
      </c>
      <c r="N570" s="2" t="s">
        <v>2702</v>
      </c>
      <c r="R570" s="1" t="str">
        <f t="shared" si="15"/>
        <v>头像-皇冠</v>
      </c>
    </row>
    <row r="571" spans="12:18" x14ac:dyDescent="0.3">
      <c r="L571" s="2" t="s">
        <v>2703</v>
      </c>
      <c r="M571" s="2">
        <v>140109</v>
      </c>
      <c r="N571" s="2" t="s">
        <v>2704</v>
      </c>
      <c r="R571" s="1" t="str">
        <f t="shared" si="15"/>
        <v>头像-头盔</v>
      </c>
    </row>
    <row r="572" spans="12:18" x14ac:dyDescent="0.3">
      <c r="L572" s="2" t="s">
        <v>2705</v>
      </c>
      <c r="M572" s="2">
        <v>140110</v>
      </c>
      <c r="N572" s="2" t="s">
        <v>2706</v>
      </c>
      <c r="R572" s="1" t="str">
        <f t="shared" si="15"/>
        <v>头像-蛇</v>
      </c>
    </row>
    <row r="573" spans="12:18" x14ac:dyDescent="0.3">
      <c r="L573" s="2" t="s">
        <v>2707</v>
      </c>
      <c r="M573" s="2">
        <v>140111</v>
      </c>
      <c r="N573" s="2" t="s">
        <v>2708</v>
      </c>
      <c r="R573" s="1" t="str">
        <f t="shared" si="15"/>
        <v>头像-狮子</v>
      </c>
    </row>
    <row r="574" spans="12:18" x14ac:dyDescent="0.3">
      <c r="L574" s="2" t="s">
        <v>2709</v>
      </c>
      <c r="M574" s="2">
        <v>140112</v>
      </c>
      <c r="N574" s="2" t="s">
        <v>2710</v>
      </c>
      <c r="R574" s="1" t="str">
        <f t="shared" si="15"/>
        <v>头像-IF抽象标识</v>
      </c>
    </row>
    <row r="575" spans="12:18" x14ac:dyDescent="0.3">
      <c r="L575" s="2" t="s">
        <v>2711</v>
      </c>
      <c r="M575" s="2">
        <v>140113</v>
      </c>
      <c r="N575" s="2" t="s">
        <v>2712</v>
      </c>
      <c r="R575" s="1" t="str">
        <f t="shared" si="15"/>
        <v>头像-炸弹头听音乐</v>
      </c>
    </row>
    <row r="576" spans="12:18" x14ac:dyDescent="0.3">
      <c r="L576" s="2" t="s">
        <v>2713</v>
      </c>
      <c r="M576" s="2">
        <v>140114</v>
      </c>
      <c r="N576" s="2" t="s">
        <v>2714</v>
      </c>
      <c r="R576" s="1" t="str">
        <f t="shared" si="15"/>
        <v>头像-熊猫</v>
      </c>
    </row>
    <row r="577" spans="12:18" x14ac:dyDescent="0.3">
      <c r="L577" s="2" t="s">
        <v>2715</v>
      </c>
      <c r="M577" s="2">
        <v>180017</v>
      </c>
      <c r="N577" s="2" t="s">
        <v>2716</v>
      </c>
      <c r="R577" s="1" t="str">
        <f t="shared" si="15"/>
        <v>坦克涂装-电磁炮-兽人</v>
      </c>
    </row>
    <row r="578" spans="12:18" x14ac:dyDescent="0.3">
      <c r="L578" s="2" t="s">
        <v>2717</v>
      </c>
      <c r="M578" s="2">
        <v>180018</v>
      </c>
      <c r="N578" s="2" t="s">
        <v>2718</v>
      </c>
      <c r="R578" s="1" t="str">
        <f t="shared" si="15"/>
        <v>坦克涂装-电磁炮-食月鸟</v>
      </c>
    </row>
    <row r="579" spans="12:18" x14ac:dyDescent="0.3">
      <c r="L579" s="2" t="s">
        <v>2719</v>
      </c>
      <c r="M579" s="2">
        <v>180020</v>
      </c>
      <c r="N579" s="2" t="s">
        <v>2720</v>
      </c>
      <c r="R579" s="1" t="str">
        <f t="shared" si="15"/>
        <v>坦克涂装-金龙-吸血鬼</v>
      </c>
    </row>
    <row r="580" spans="12:18" x14ac:dyDescent="0.3">
      <c r="L580" s="2" t="s">
        <v>2721</v>
      </c>
      <c r="M580" s="2">
        <v>180021</v>
      </c>
      <c r="N580" s="2" t="s">
        <v>2722</v>
      </c>
      <c r="R580" s="1" t="str">
        <f t="shared" si="15"/>
        <v>坦克涂装-金龙-神秘猿</v>
      </c>
    </row>
    <row r="581" spans="12:18" x14ac:dyDescent="0.3">
      <c r="L581" s="2" t="s">
        <v>2723</v>
      </c>
      <c r="M581" s="2">
        <v>180023</v>
      </c>
      <c r="N581" s="2" t="s">
        <v>2724</v>
      </c>
      <c r="R581" s="1" t="str">
        <f t="shared" si="15"/>
        <v>坦克涂装-铠甲勇士-森林精灵</v>
      </c>
    </row>
    <row r="582" spans="12:18" x14ac:dyDescent="0.3">
      <c r="L582" s="2" t="s">
        <v>2725</v>
      </c>
      <c r="M582" s="2">
        <v>180024</v>
      </c>
      <c r="N582" s="2" t="s">
        <v>2726</v>
      </c>
      <c r="R582" s="1" t="str">
        <f t="shared" ref="R582:R645" si="16">L582</f>
        <v>坦克涂装-铠甲勇士-偷火巨人</v>
      </c>
    </row>
    <row r="583" spans="12:18" x14ac:dyDescent="0.3">
      <c r="L583" s="2" t="s">
        <v>2727</v>
      </c>
      <c r="M583" s="2">
        <v>112</v>
      </c>
      <c r="N583" s="2" t="s">
        <v>1836</v>
      </c>
      <c r="R583" s="1" t="str">
        <f t="shared" si="16"/>
        <v>BattlePass经验</v>
      </c>
    </row>
    <row r="584" spans="12:18" x14ac:dyDescent="0.3">
      <c r="L584" s="2" t="s">
        <v>2728</v>
      </c>
      <c r="M584" s="2">
        <v>220001</v>
      </c>
      <c r="N584" s="2" t="s">
        <v>2729</v>
      </c>
      <c r="R584" s="1" t="str">
        <f t="shared" si="16"/>
        <v>雪花</v>
      </c>
    </row>
    <row r="585" spans="12:18" x14ac:dyDescent="0.3">
      <c r="L585" s="2" t="s">
        <v>2730</v>
      </c>
      <c r="M585" s="2">
        <v>220002</v>
      </c>
      <c r="N585" s="2" t="s">
        <v>2731</v>
      </c>
      <c r="R585" s="1" t="str">
        <f t="shared" si="16"/>
        <v>铃铛</v>
      </c>
    </row>
    <row r="586" spans="12:18" x14ac:dyDescent="0.3">
      <c r="L586" s="2" t="s">
        <v>2732</v>
      </c>
      <c r="M586" s="2">
        <v>220003</v>
      </c>
      <c r="N586" s="2" t="s">
        <v>2733</v>
      </c>
      <c r="R586" s="1" t="str">
        <f t="shared" si="16"/>
        <v>圣诞糖果</v>
      </c>
    </row>
    <row r="587" spans="12:18" x14ac:dyDescent="0.3">
      <c r="L587" s="2" t="s">
        <v>3836</v>
      </c>
      <c r="M587" s="2">
        <v>220004</v>
      </c>
      <c r="N587" s="2" t="s">
        <v>2734</v>
      </c>
      <c r="R587" s="1" t="str">
        <f t="shared" si="16"/>
        <v>活动幸运币</v>
      </c>
    </row>
    <row r="588" spans="12:18" x14ac:dyDescent="0.3">
      <c r="L588" s="2" t="s">
        <v>2735</v>
      </c>
      <c r="M588" s="2">
        <v>220005</v>
      </c>
      <c r="N588" s="2" t="s">
        <v>2736</v>
      </c>
      <c r="R588" s="1" t="str">
        <f t="shared" si="16"/>
        <v>圣诞拼图</v>
      </c>
    </row>
    <row r="589" spans="12:18" x14ac:dyDescent="0.3">
      <c r="L589" s="2" t="s">
        <v>2737</v>
      </c>
      <c r="M589" s="2">
        <v>220006</v>
      </c>
      <c r="N589" s="2" t="s">
        <v>2738</v>
      </c>
      <c r="R589" s="1" t="str">
        <f t="shared" si="16"/>
        <v>拼图积分</v>
      </c>
    </row>
    <row r="590" spans="12:18" x14ac:dyDescent="0.3">
      <c r="L590" s="2" t="s">
        <v>2739</v>
      </c>
      <c r="M590" s="2">
        <v>220007</v>
      </c>
      <c r="N590" s="2" t="s">
        <v>2740</v>
      </c>
      <c r="R590" s="1" t="str">
        <f t="shared" si="16"/>
        <v>车库装饰-圣诞雪人</v>
      </c>
    </row>
    <row r="591" spans="12:18" x14ac:dyDescent="0.3">
      <c r="L591" s="2" t="s">
        <v>2741</v>
      </c>
      <c r="M591" s="2">
        <v>220008</v>
      </c>
      <c r="N591" s="2" t="s">
        <v>2742</v>
      </c>
      <c r="R591" s="1" t="str">
        <f t="shared" si="16"/>
        <v>车库装饰-圣诞树</v>
      </c>
    </row>
    <row r="592" spans="12:18" x14ac:dyDescent="0.3">
      <c r="L592" s="2" t="s">
        <v>2743</v>
      </c>
      <c r="M592" s="2">
        <v>220009</v>
      </c>
      <c r="N592" s="2" t="s">
        <v>2744</v>
      </c>
      <c r="R592" s="1" t="str">
        <f t="shared" si="16"/>
        <v>车库装饰-圣诞礼盒</v>
      </c>
    </row>
    <row r="593" spans="12:18" x14ac:dyDescent="0.3">
      <c r="L593" s="2" t="s">
        <v>2745</v>
      </c>
      <c r="M593" s="2">
        <v>180027</v>
      </c>
      <c r="N593" s="2" t="s">
        <v>2746</v>
      </c>
      <c r="R593" s="1" t="str">
        <f t="shared" si="16"/>
        <v>坦克涂装-圣诞皮肤</v>
      </c>
    </row>
    <row r="594" spans="12:18" x14ac:dyDescent="0.3">
      <c r="L594" s="2" t="s">
        <v>2747</v>
      </c>
      <c r="M594" s="2">
        <v>150108</v>
      </c>
      <c r="N594" s="2" t="s">
        <v>2748</v>
      </c>
      <c r="R594" s="1" t="str">
        <f t="shared" si="16"/>
        <v>涂鸦-圣诞标识</v>
      </c>
    </row>
    <row r="595" spans="12:18" x14ac:dyDescent="0.3">
      <c r="L595" s="2" t="s">
        <v>2749</v>
      </c>
      <c r="M595" s="2">
        <v>150109</v>
      </c>
      <c r="N595" s="2" t="s">
        <v>2750</v>
      </c>
      <c r="R595" s="1" t="str">
        <f t="shared" si="16"/>
        <v>涂鸦-圣诞树</v>
      </c>
    </row>
    <row r="596" spans="12:18" x14ac:dyDescent="0.3">
      <c r="L596" s="2" t="s">
        <v>2751</v>
      </c>
      <c r="M596" s="2">
        <v>110106</v>
      </c>
      <c r="N596" s="2" t="s">
        <v>2752</v>
      </c>
      <c r="R596" s="1" t="str">
        <f t="shared" si="16"/>
        <v>摆件6-圣诞老人</v>
      </c>
    </row>
    <row r="597" spans="12:18" x14ac:dyDescent="0.3">
      <c r="L597" s="2" t="s">
        <v>283</v>
      </c>
      <c r="M597" s="2">
        <v>170101</v>
      </c>
      <c r="N597" s="2" t="s">
        <v>2753</v>
      </c>
      <c r="R597" s="1" t="str">
        <f t="shared" si="16"/>
        <v>Score</v>
      </c>
    </row>
    <row r="598" spans="12:18" x14ac:dyDescent="0.3">
      <c r="L598" s="2" t="s">
        <v>314</v>
      </c>
      <c r="M598" s="2">
        <v>40001</v>
      </c>
      <c r="N598" s="2" t="s">
        <v>2754</v>
      </c>
      <c r="R598" s="1" t="str">
        <f t="shared" si="16"/>
        <v>钥匙宝箱</v>
      </c>
    </row>
    <row r="599" spans="12:18" x14ac:dyDescent="0.3">
      <c r="L599" s="2" t="s">
        <v>2755</v>
      </c>
      <c r="M599" s="2">
        <v>40002</v>
      </c>
      <c r="N599" s="2" t="s">
        <v>2756</v>
      </c>
      <c r="R599" s="1" t="str">
        <f t="shared" si="16"/>
        <v>活跃小箱</v>
      </c>
    </row>
    <row r="600" spans="12:18" x14ac:dyDescent="0.3">
      <c r="L600" s="2" t="s">
        <v>2757</v>
      </c>
      <c r="M600" s="2">
        <v>40003</v>
      </c>
      <c r="N600" s="2" t="s">
        <v>2447</v>
      </c>
      <c r="R600" s="1" t="str">
        <f t="shared" si="16"/>
        <v>活跃中箱</v>
      </c>
    </row>
    <row r="601" spans="12:18" x14ac:dyDescent="0.3">
      <c r="L601" s="2" t="s">
        <v>2758</v>
      </c>
      <c r="M601" s="2">
        <v>40004</v>
      </c>
      <c r="N601" s="2" t="s">
        <v>2759</v>
      </c>
      <c r="R601" s="1" t="str">
        <f t="shared" si="16"/>
        <v>活跃大箱</v>
      </c>
    </row>
    <row r="602" spans="12:18" x14ac:dyDescent="0.3">
      <c r="L602" s="2" t="s">
        <v>2760</v>
      </c>
      <c r="M602" s="2">
        <v>40005</v>
      </c>
      <c r="N602" s="2" t="s">
        <v>2436</v>
      </c>
      <c r="R602" s="1" t="str">
        <f t="shared" si="16"/>
        <v>活跃巨箱</v>
      </c>
    </row>
    <row r="603" spans="12:18" x14ac:dyDescent="0.3">
      <c r="L603" s="2" t="s">
        <v>2761</v>
      </c>
      <c r="M603" s="2">
        <v>220010</v>
      </c>
      <c r="N603" s="2" t="s">
        <v>2729</v>
      </c>
      <c r="R603" s="1" t="str">
        <f t="shared" si="16"/>
        <v>雪花-售卖专用</v>
      </c>
    </row>
    <row r="604" spans="12:18" x14ac:dyDescent="0.3">
      <c r="L604" s="2" t="s">
        <v>2762</v>
      </c>
      <c r="M604" s="2">
        <v>220011</v>
      </c>
      <c r="N604" s="2" t="s">
        <v>2731</v>
      </c>
      <c r="R604" s="1" t="str">
        <f t="shared" si="16"/>
        <v>铃铛-售卖专用</v>
      </c>
    </row>
    <row r="605" spans="12:18" x14ac:dyDescent="0.3">
      <c r="L605" s="2" t="s">
        <v>2763</v>
      </c>
      <c r="M605" s="2">
        <v>220012</v>
      </c>
      <c r="N605" s="2" t="s">
        <v>2733</v>
      </c>
      <c r="R605" s="1" t="str">
        <f t="shared" si="16"/>
        <v>圣诞糖果-售卖专用</v>
      </c>
    </row>
    <row r="606" spans="12:18" x14ac:dyDescent="0.3">
      <c r="L606" s="2" t="s">
        <v>2764</v>
      </c>
      <c r="M606" s="2">
        <v>220013</v>
      </c>
      <c r="N606" s="2" t="s">
        <v>2734</v>
      </c>
      <c r="R606" s="1" t="str">
        <f t="shared" si="16"/>
        <v>圣诞幸运币-售卖专用</v>
      </c>
    </row>
    <row r="607" spans="12:18" x14ac:dyDescent="0.3">
      <c r="L607" s="2" t="s">
        <v>2765</v>
      </c>
      <c r="M607" s="2">
        <v>220014</v>
      </c>
      <c r="N607" s="2" t="s">
        <v>2736</v>
      </c>
      <c r="R607" s="1" t="str">
        <f t="shared" si="16"/>
        <v>圣诞拼图-售卖专用</v>
      </c>
    </row>
    <row r="608" spans="12:18" x14ac:dyDescent="0.3">
      <c r="L608" s="2" t="s">
        <v>2766</v>
      </c>
      <c r="M608" s="2">
        <v>220015</v>
      </c>
      <c r="N608" s="2" t="s">
        <v>2738</v>
      </c>
      <c r="R608" s="1" t="str">
        <f t="shared" si="16"/>
        <v>拼图积分-售卖专用</v>
      </c>
    </row>
    <row r="609" spans="12:18" x14ac:dyDescent="0.3">
      <c r="L609" s="2" t="s">
        <v>2767</v>
      </c>
      <c r="M609" s="2">
        <v>140121</v>
      </c>
      <c r="N609" s="2" t="s">
        <v>2768</v>
      </c>
      <c r="R609" s="1" t="str">
        <f t="shared" si="16"/>
        <v>头像-圣诞老人</v>
      </c>
    </row>
    <row r="610" spans="12:18" x14ac:dyDescent="0.3">
      <c r="L610" s="2" t="s">
        <v>2769</v>
      </c>
      <c r="M610" s="2">
        <v>140122</v>
      </c>
      <c r="N610" s="2" t="s">
        <v>2770</v>
      </c>
      <c r="R610" s="1" t="str">
        <f t="shared" si="16"/>
        <v>头像-雪人</v>
      </c>
    </row>
    <row r="611" spans="12:18" x14ac:dyDescent="0.3">
      <c r="L611" s="2" t="s">
        <v>2771</v>
      </c>
      <c r="M611" s="2">
        <v>130112</v>
      </c>
      <c r="N611" s="2" t="s">
        <v>2772</v>
      </c>
      <c r="R611" s="1" t="str">
        <f t="shared" si="16"/>
        <v>头像框-圣诞1</v>
      </c>
    </row>
    <row r="612" spans="12:18" x14ac:dyDescent="0.3">
      <c r="L612" s="2" t="s">
        <v>2773</v>
      </c>
      <c r="M612" s="2">
        <v>130113</v>
      </c>
      <c r="N612" s="2" t="s">
        <v>2774</v>
      </c>
      <c r="R612" s="1" t="str">
        <f t="shared" si="16"/>
        <v>头像框-圣诞2</v>
      </c>
    </row>
    <row r="613" spans="12:18" x14ac:dyDescent="0.3">
      <c r="L613" s="2" t="s">
        <v>2775</v>
      </c>
      <c r="M613" s="2">
        <v>20019</v>
      </c>
      <c r="N613" s="2" t="s">
        <v>2425</v>
      </c>
      <c r="R613" s="1" t="str">
        <f t="shared" si="16"/>
        <v>碎片宝箱-决胜活动奖励</v>
      </c>
    </row>
    <row r="614" spans="12:18" x14ac:dyDescent="0.3">
      <c r="L614" s="2" t="s">
        <v>2769</v>
      </c>
      <c r="M614" s="2">
        <v>140122</v>
      </c>
      <c r="N614" s="2" t="s">
        <v>2770</v>
      </c>
      <c r="R614" s="1" t="str">
        <f t="shared" si="16"/>
        <v>头像-雪人</v>
      </c>
    </row>
    <row r="615" spans="12:18" x14ac:dyDescent="0.3">
      <c r="L615" s="2" t="s">
        <v>2776</v>
      </c>
      <c r="M615" s="2">
        <v>140123</v>
      </c>
      <c r="N615" s="2" t="s">
        <v>2777</v>
      </c>
      <c r="R615" s="1" t="str">
        <f t="shared" si="16"/>
        <v>头像-滑雪运动员</v>
      </c>
    </row>
    <row r="616" spans="12:18" x14ac:dyDescent="0.3">
      <c r="L616" s="2" t="s">
        <v>2778</v>
      </c>
      <c r="M616" s="2">
        <v>140124</v>
      </c>
      <c r="N616" s="2" t="s">
        <v>2779</v>
      </c>
      <c r="R616" s="1" t="str">
        <f t="shared" si="16"/>
        <v>头像-企鹅</v>
      </c>
    </row>
    <row r="617" spans="12:18" x14ac:dyDescent="0.3">
      <c r="L617" s="2" t="s">
        <v>2780</v>
      </c>
      <c r="M617" s="2">
        <v>140125</v>
      </c>
      <c r="N617" s="2" t="s">
        <v>2781</v>
      </c>
      <c r="R617" s="1" t="str">
        <f t="shared" si="16"/>
        <v>头像-北极熊</v>
      </c>
    </row>
    <row r="618" spans="12:18" x14ac:dyDescent="0.3">
      <c r="L618" s="2" t="s">
        <v>2782</v>
      </c>
      <c r="M618" s="2">
        <v>140126</v>
      </c>
      <c r="N618" s="2" t="s">
        <v>2783</v>
      </c>
      <c r="R618" s="1" t="str">
        <f t="shared" si="16"/>
        <v>头像-雪花水晶球</v>
      </c>
    </row>
    <row r="619" spans="12:18" x14ac:dyDescent="0.3">
      <c r="L619" s="2" t="s">
        <v>2784</v>
      </c>
      <c r="M619" s="2">
        <v>140127</v>
      </c>
      <c r="N619" s="2" t="s">
        <v>2785</v>
      </c>
      <c r="R619" s="1" t="str">
        <f t="shared" si="16"/>
        <v>头像-勇攀雪山</v>
      </c>
    </row>
    <row r="620" spans="12:18" x14ac:dyDescent="0.3">
      <c r="L620" s="2" t="s">
        <v>2786</v>
      </c>
      <c r="M620" s="2">
        <v>130114</v>
      </c>
      <c r="N620" s="2" t="s">
        <v>2787</v>
      </c>
      <c r="R620" s="1" t="str">
        <f t="shared" si="16"/>
        <v>头像框-滑雪</v>
      </c>
    </row>
    <row r="621" spans="12:18" x14ac:dyDescent="0.3">
      <c r="L621" s="2" t="s">
        <v>2788</v>
      </c>
      <c r="M621" s="2">
        <v>130115</v>
      </c>
      <c r="N621" s="2" t="s">
        <v>2789</v>
      </c>
      <c r="R621" s="1" t="str">
        <f t="shared" si="16"/>
        <v>头像框-冬季编织</v>
      </c>
    </row>
    <row r="622" spans="12:18" x14ac:dyDescent="0.3">
      <c r="L622" s="2" t="s">
        <v>2790</v>
      </c>
      <c r="M622" s="2">
        <v>130116</v>
      </c>
      <c r="N622" s="2" t="s">
        <v>2791</v>
      </c>
      <c r="R622" s="1" t="str">
        <f t="shared" si="16"/>
        <v>头像框-冰雪</v>
      </c>
    </row>
    <row r="623" spans="12:18" x14ac:dyDescent="0.3">
      <c r="L623" s="2" t="s">
        <v>2792</v>
      </c>
      <c r="M623" s="2">
        <v>130117</v>
      </c>
      <c r="N623" s="2" t="s">
        <v>2793</v>
      </c>
      <c r="R623" s="1" t="str">
        <f t="shared" si="16"/>
        <v>头像框-雪山</v>
      </c>
    </row>
    <row r="624" spans="12:18" x14ac:dyDescent="0.3">
      <c r="L624" s="2" t="s">
        <v>2794</v>
      </c>
      <c r="M624" s="2">
        <v>130118</v>
      </c>
      <c r="N624" s="2" t="s">
        <v>2795</v>
      </c>
      <c r="R624" s="1" t="str">
        <f t="shared" si="16"/>
        <v>头像框-冰雪女王</v>
      </c>
    </row>
    <row r="625" spans="12:18" x14ac:dyDescent="0.3">
      <c r="L625" s="2" t="s">
        <v>2796</v>
      </c>
      <c r="M625" s="2">
        <v>130119</v>
      </c>
      <c r="N625" s="2" t="s">
        <v>2797</v>
      </c>
      <c r="R625" s="1" t="str">
        <f t="shared" si="16"/>
        <v>头像框-暖炉</v>
      </c>
    </row>
    <row r="626" spans="12:18" x14ac:dyDescent="0.3">
      <c r="L626" s="2" t="s">
        <v>2798</v>
      </c>
      <c r="M626" s="2">
        <v>130120</v>
      </c>
      <c r="N626" s="2" t="s">
        <v>2799</v>
      </c>
      <c r="R626" s="1" t="str">
        <f t="shared" si="16"/>
        <v>头像框-极光</v>
      </c>
    </row>
    <row r="627" spans="12:18" x14ac:dyDescent="0.3">
      <c r="L627" s="2" t="s">
        <v>2800</v>
      </c>
      <c r="M627" s="2">
        <v>180035</v>
      </c>
      <c r="N627" s="2" t="s">
        <v>2801</v>
      </c>
      <c r="R627" s="1" t="str">
        <f t="shared" si="16"/>
        <v>坦克涂装-冰龙-巨魔</v>
      </c>
    </row>
    <row r="628" spans="12:18" x14ac:dyDescent="0.3">
      <c r="L628" s="2" t="s">
        <v>2802</v>
      </c>
      <c r="M628" s="2">
        <v>150110</v>
      </c>
      <c r="N628" s="2" t="s">
        <v>2803</v>
      </c>
      <c r="R628" s="1" t="str">
        <f t="shared" si="16"/>
        <v>涂鸦-冰雪女王</v>
      </c>
    </row>
    <row r="629" spans="12:18" x14ac:dyDescent="0.3">
      <c r="L629" s="2" t="s">
        <v>2804</v>
      </c>
      <c r="M629" s="2">
        <v>150111</v>
      </c>
      <c r="N629" s="2" t="s">
        <v>2805</v>
      </c>
      <c r="R629" s="1" t="str">
        <f t="shared" si="16"/>
        <v>涂鸦-雪城</v>
      </c>
    </row>
    <row r="630" spans="12:18" x14ac:dyDescent="0.3">
      <c r="L630" s="2" t="s">
        <v>2806</v>
      </c>
      <c r="M630" s="2">
        <v>150112</v>
      </c>
      <c r="N630" s="2" t="s">
        <v>2807</v>
      </c>
      <c r="R630" s="1" t="str">
        <f t="shared" si="16"/>
        <v>涂鸦-滑雪</v>
      </c>
    </row>
    <row r="631" spans="12:18" x14ac:dyDescent="0.3">
      <c r="L631" s="2" t="s">
        <v>2808</v>
      </c>
      <c r="M631" s="2">
        <v>110107</v>
      </c>
      <c r="N631" s="2" t="s">
        <v>2809</v>
      </c>
      <c r="R631" s="1" t="str">
        <f t="shared" si="16"/>
        <v>摆件7-企鹅</v>
      </c>
    </row>
    <row r="632" spans="12:18" x14ac:dyDescent="0.3">
      <c r="L632" s="2" t="s">
        <v>2810</v>
      </c>
      <c r="M632" s="2">
        <v>110108</v>
      </c>
      <c r="N632" s="2" t="s">
        <v>2811</v>
      </c>
      <c r="R632" s="1" t="str">
        <f t="shared" si="16"/>
        <v>摆件8-北极熊</v>
      </c>
    </row>
    <row r="633" spans="12:18" x14ac:dyDescent="0.3">
      <c r="L633" s="2" t="s">
        <v>2812</v>
      </c>
      <c r="M633" s="2">
        <v>110109</v>
      </c>
      <c r="N633" s="2" t="s">
        <v>2813</v>
      </c>
      <c r="R633" s="1" t="str">
        <f t="shared" si="16"/>
        <v>摆件9-冰霜之冠</v>
      </c>
    </row>
    <row r="634" spans="12:18" x14ac:dyDescent="0.3">
      <c r="L634" s="2" t="s">
        <v>2814</v>
      </c>
      <c r="M634" s="2">
        <v>190004</v>
      </c>
      <c r="N634" s="2" t="s">
        <v>2815</v>
      </c>
      <c r="R634" s="1" t="str">
        <f t="shared" si="16"/>
        <v>坦克流光特效-流水</v>
      </c>
    </row>
    <row r="635" spans="12:18" x14ac:dyDescent="0.3">
      <c r="L635" s="2" t="s">
        <v>2816</v>
      </c>
      <c r="M635" s="2">
        <v>190005</v>
      </c>
      <c r="N635" s="2" t="s">
        <v>2817</v>
      </c>
      <c r="R635" s="1" t="str">
        <f t="shared" si="16"/>
        <v>坦克流光特效-飘雪</v>
      </c>
    </row>
    <row r="636" spans="12:18" x14ac:dyDescent="0.3">
      <c r="L636" s="285" t="s">
        <v>3825</v>
      </c>
      <c r="M636" s="285">
        <v>140128</v>
      </c>
      <c r="N636" s="285" t="s">
        <v>3840</v>
      </c>
      <c r="R636" s="1" t="str">
        <f t="shared" si="16"/>
        <v>复活节头像</v>
      </c>
    </row>
    <row r="637" spans="12:18" x14ac:dyDescent="0.3">
      <c r="L637" s="285" t="s">
        <v>3821</v>
      </c>
      <c r="M637" s="285">
        <v>180036</v>
      </c>
      <c r="N637" s="285"/>
      <c r="R637" s="1" t="str">
        <f t="shared" si="16"/>
        <v>坦克涂装-复活节皮肤</v>
      </c>
    </row>
    <row r="638" spans="12:18" x14ac:dyDescent="0.3">
      <c r="L638" s="285" t="s">
        <v>3830</v>
      </c>
      <c r="M638" s="285">
        <v>240001</v>
      </c>
      <c r="N638" s="285" t="s">
        <v>3835</v>
      </c>
      <c r="R638" s="1" t="str">
        <f t="shared" si="16"/>
        <v>复活节彩蛋1</v>
      </c>
    </row>
    <row r="639" spans="12:18" x14ac:dyDescent="0.3">
      <c r="L639" s="285" t="s">
        <v>3831</v>
      </c>
      <c r="M639" s="285">
        <v>240002</v>
      </c>
      <c r="N639" s="285" t="s">
        <v>3833</v>
      </c>
      <c r="R639" s="1" t="str">
        <f t="shared" si="16"/>
        <v>复活节彩蛋2</v>
      </c>
    </row>
    <row r="640" spans="12:18" x14ac:dyDescent="0.3">
      <c r="L640" s="285" t="s">
        <v>3832</v>
      </c>
      <c r="M640" s="285">
        <v>240003</v>
      </c>
      <c r="N640" s="285" t="s">
        <v>3834</v>
      </c>
      <c r="R640" s="1" t="str">
        <f t="shared" si="16"/>
        <v>复活节彩蛋3</v>
      </c>
    </row>
    <row r="641" spans="12:18" x14ac:dyDescent="0.3">
      <c r="L641" s="285" t="s">
        <v>3837</v>
      </c>
      <c r="M641" s="285">
        <v>240004</v>
      </c>
      <c r="N641" s="285" t="s">
        <v>2734</v>
      </c>
      <c r="R641" s="1" t="str">
        <f t="shared" si="16"/>
        <v>复活节幸运币</v>
      </c>
    </row>
    <row r="642" spans="12:18" x14ac:dyDescent="0.3">
      <c r="L642" s="285" t="s">
        <v>3839</v>
      </c>
      <c r="M642" s="285">
        <v>240005</v>
      </c>
      <c r="N642" s="285" t="s">
        <v>2738</v>
      </c>
      <c r="R642" s="1" t="str">
        <f t="shared" si="16"/>
        <v>复活节拼图</v>
      </c>
    </row>
    <row r="643" spans="12:18" x14ac:dyDescent="0.3">
      <c r="L643" s="290" t="s">
        <v>3862</v>
      </c>
      <c r="M643" s="290">
        <v>240006</v>
      </c>
      <c r="N643" s="290" t="s">
        <v>3865</v>
      </c>
      <c r="R643" s="1" t="str">
        <f t="shared" si="16"/>
        <v>复活节彩蛋1-售卖专用</v>
      </c>
    </row>
    <row r="644" spans="12:18" x14ac:dyDescent="0.3">
      <c r="L644" s="290" t="s">
        <v>3863</v>
      </c>
      <c r="M644" s="290">
        <v>240007</v>
      </c>
      <c r="N644" s="290" t="s">
        <v>3833</v>
      </c>
      <c r="R644" s="1" t="str">
        <f t="shared" si="16"/>
        <v>复活节彩蛋2-售卖专用</v>
      </c>
    </row>
    <row r="645" spans="12:18" x14ac:dyDescent="0.3">
      <c r="L645" s="290" t="s">
        <v>3864</v>
      </c>
      <c r="M645" s="290">
        <v>240008</v>
      </c>
      <c r="N645" s="290" t="s">
        <v>3834</v>
      </c>
      <c r="R645" s="1" t="str">
        <f t="shared" si="16"/>
        <v>复活节彩蛋3-售卖专用</v>
      </c>
    </row>
    <row r="646" spans="12:18" x14ac:dyDescent="0.3">
      <c r="L646" s="291" t="s">
        <v>3870</v>
      </c>
      <c r="M646" s="291">
        <v>120205</v>
      </c>
      <c r="N646" s="291" t="s">
        <v>3873</v>
      </c>
      <c r="R646" s="1" t="str">
        <f t="shared" ref="R646:R671" si="17">L646</f>
        <v>战旗旗帜-暗棕色旗帜</v>
      </c>
    </row>
    <row r="647" spans="12:18" x14ac:dyDescent="0.3">
      <c r="L647" s="291" t="s">
        <v>3871</v>
      </c>
      <c r="M647" s="291">
        <v>120105</v>
      </c>
      <c r="N647" s="291" t="s">
        <v>3872</v>
      </c>
      <c r="R647" s="1" t="str">
        <f t="shared" si="17"/>
        <v>战旗旗杆-木质旗杆</v>
      </c>
    </row>
    <row r="648" spans="12:18" x14ac:dyDescent="0.3">
      <c r="L648" s="291" t="s">
        <v>3866</v>
      </c>
      <c r="M648" s="291">
        <v>120305</v>
      </c>
      <c r="N648" s="291" t="s">
        <v>3874</v>
      </c>
      <c r="R648" s="1" t="str">
        <f t="shared" si="17"/>
        <v>战旗图案-蜥蜴图案</v>
      </c>
    </row>
    <row r="649" spans="12:18" x14ac:dyDescent="0.3">
      <c r="L649" s="291" t="s">
        <v>3876</v>
      </c>
      <c r="M649" s="291">
        <v>150113</v>
      </c>
      <c r="N649" s="291" t="s">
        <v>3878</v>
      </c>
      <c r="R649" s="1" t="str">
        <f t="shared" si="17"/>
        <v>涂鸦-雄鹿</v>
      </c>
    </row>
    <row r="650" spans="12:18" x14ac:dyDescent="0.3">
      <c r="L650" s="291" t="s">
        <v>3875</v>
      </c>
      <c r="M650" s="291">
        <v>150114</v>
      </c>
      <c r="N650" s="291" t="s">
        <v>3879</v>
      </c>
      <c r="R650" s="1" t="str">
        <f t="shared" si="17"/>
        <v>涂鸦-不许动</v>
      </c>
    </row>
    <row r="651" spans="12:18" x14ac:dyDescent="0.3">
      <c r="L651" s="291" t="s">
        <v>3877</v>
      </c>
      <c r="M651" s="291">
        <v>150115</v>
      </c>
      <c r="N651" s="291" t="s">
        <v>3880</v>
      </c>
      <c r="R651" s="1" t="str">
        <f t="shared" si="17"/>
        <v>涂鸦-异域节奏</v>
      </c>
    </row>
    <row r="652" spans="12:18" x14ac:dyDescent="0.3">
      <c r="L652" s="291" t="s">
        <v>3881</v>
      </c>
      <c r="M652" s="291">
        <v>140129</v>
      </c>
      <c r="N652" s="291" t="s">
        <v>3886</v>
      </c>
      <c r="R652" s="1" t="str">
        <f t="shared" si="17"/>
        <v>头像-左轮手枪</v>
      </c>
    </row>
    <row r="653" spans="12:18" x14ac:dyDescent="0.3">
      <c r="L653" s="291" t="s">
        <v>3882</v>
      </c>
      <c r="M653" s="291">
        <v>140130</v>
      </c>
      <c r="N653" s="291" t="s">
        <v>3887</v>
      </c>
      <c r="R653" s="1" t="str">
        <f t="shared" si="17"/>
        <v>头像-野猪</v>
      </c>
    </row>
    <row r="654" spans="12:18" x14ac:dyDescent="0.3">
      <c r="L654" s="291" t="s">
        <v>3883</v>
      </c>
      <c r="M654" s="291">
        <v>140131</v>
      </c>
      <c r="N654" s="291" t="s">
        <v>3888</v>
      </c>
      <c r="R654" s="1" t="str">
        <f t="shared" si="17"/>
        <v>头像-外星人</v>
      </c>
    </row>
    <row r="655" spans="12:18" x14ac:dyDescent="0.3">
      <c r="L655" s="291" t="s">
        <v>3884</v>
      </c>
      <c r="M655" s="291">
        <v>140132</v>
      </c>
      <c r="N655" s="291" t="s">
        <v>3889</v>
      </c>
      <c r="R655" s="1" t="str">
        <f t="shared" si="17"/>
        <v>头像-牛仔</v>
      </c>
    </row>
    <row r="656" spans="12:18" x14ac:dyDescent="0.3">
      <c r="L656" s="291" t="s">
        <v>3885</v>
      </c>
      <c r="M656" s="291">
        <v>140133</v>
      </c>
      <c r="N656" s="291" t="s">
        <v>3890</v>
      </c>
      <c r="R656" s="1" t="str">
        <f t="shared" si="17"/>
        <v>头像-仙人掌</v>
      </c>
    </row>
    <row r="657" spans="12:18" x14ac:dyDescent="0.3">
      <c r="L657" s="291" t="s">
        <v>3891</v>
      </c>
      <c r="M657" s="291">
        <v>130121</v>
      </c>
      <c r="N657" s="291" t="s">
        <v>3896</v>
      </c>
      <c r="R657" s="1" t="str">
        <f t="shared" si="17"/>
        <v>头像框-牛仔</v>
      </c>
    </row>
    <row r="658" spans="12:18" x14ac:dyDescent="0.3">
      <c r="L658" s="291" t="s">
        <v>3892</v>
      </c>
      <c r="M658" s="291">
        <v>130122</v>
      </c>
      <c r="N658" s="291" t="s">
        <v>3897</v>
      </c>
      <c r="R658" s="1" t="str">
        <f t="shared" si="17"/>
        <v>头像框-沙漠绿洲</v>
      </c>
    </row>
    <row r="659" spans="12:18" x14ac:dyDescent="0.3">
      <c r="L659" s="291" t="s">
        <v>3893</v>
      </c>
      <c r="M659" s="291">
        <v>130123</v>
      </c>
      <c r="N659" s="291" t="s">
        <v>3898</v>
      </c>
      <c r="R659" s="1" t="str">
        <f t="shared" si="17"/>
        <v>头像框-酒馆</v>
      </c>
    </row>
    <row r="660" spans="12:18" x14ac:dyDescent="0.3">
      <c r="L660" s="291" t="s">
        <v>3894</v>
      </c>
      <c r="M660" s="291">
        <v>130124</v>
      </c>
      <c r="N660" s="291" t="s">
        <v>3899</v>
      </c>
      <c r="R660" s="1" t="str">
        <f t="shared" si="17"/>
        <v>头像框-探索宇宙</v>
      </c>
    </row>
    <row r="661" spans="12:18" x14ac:dyDescent="0.3">
      <c r="L661" s="291" t="s">
        <v>3895</v>
      </c>
      <c r="M661" s="291">
        <v>130125</v>
      </c>
      <c r="N661" s="291" t="s">
        <v>3900</v>
      </c>
      <c r="R661" s="1" t="str">
        <f t="shared" si="17"/>
        <v>头像框-扑克</v>
      </c>
    </row>
    <row r="662" spans="12:18" x14ac:dyDescent="0.3">
      <c r="L662" s="291" t="s">
        <v>3867</v>
      </c>
      <c r="M662" s="291">
        <v>110110</v>
      </c>
      <c r="N662" s="291" t="s">
        <v>3901</v>
      </c>
      <c r="R662" s="1" t="str">
        <f t="shared" si="17"/>
        <v>摆件10-西部生活</v>
      </c>
    </row>
    <row r="663" spans="12:18" x14ac:dyDescent="0.3">
      <c r="L663" s="291" t="s">
        <v>3868</v>
      </c>
      <c r="M663" s="291">
        <v>110111</v>
      </c>
      <c r="N663" s="291" t="s">
        <v>3902</v>
      </c>
      <c r="R663" s="1" t="str">
        <f t="shared" si="17"/>
        <v>摆件11-蜥蜴</v>
      </c>
    </row>
    <row r="664" spans="12:18" x14ac:dyDescent="0.3">
      <c r="L664" s="291" t="s">
        <v>3869</v>
      </c>
      <c r="M664" s="291">
        <v>110112</v>
      </c>
      <c r="N664" s="291" t="s">
        <v>3903</v>
      </c>
      <c r="R664" s="1" t="str">
        <f t="shared" si="17"/>
        <v>摆件12-仙人掌</v>
      </c>
    </row>
    <row r="665" spans="12:18" x14ac:dyDescent="0.3">
      <c r="L665" s="291" t="s">
        <v>3905</v>
      </c>
      <c r="M665" s="291">
        <v>180037</v>
      </c>
      <c r="N665" s="291" t="s">
        <v>3917</v>
      </c>
      <c r="R665" s="1" t="str">
        <f t="shared" si="17"/>
        <v>坦克涂装-牛仔</v>
      </c>
    </row>
    <row r="666" spans="12:18" x14ac:dyDescent="0.3">
      <c r="L666" s="291" t="s">
        <v>3907</v>
      </c>
      <c r="M666" s="291">
        <v>180038</v>
      </c>
      <c r="N666" s="291" t="s">
        <v>3920</v>
      </c>
      <c r="R666" s="1" t="str">
        <f t="shared" si="17"/>
        <v>坦克涂装-虎式专属-沙漠巨蜥</v>
      </c>
    </row>
    <row r="667" spans="12:18" x14ac:dyDescent="0.3">
      <c r="L667" s="291" t="s">
        <v>3909</v>
      </c>
      <c r="M667" s="291">
        <v>190006</v>
      </c>
      <c r="N667" s="291" t="s">
        <v>3918</v>
      </c>
      <c r="R667" s="1" t="str">
        <f t="shared" si="17"/>
        <v>坦克流光特效-风沙</v>
      </c>
    </row>
    <row r="668" spans="12:18" x14ac:dyDescent="0.3">
      <c r="L668" s="291" t="s">
        <v>3911</v>
      </c>
      <c r="M668" s="291">
        <v>190007</v>
      </c>
      <c r="N668" s="291" t="s">
        <v>3919</v>
      </c>
      <c r="R668" s="1" t="str">
        <f t="shared" si="17"/>
        <v>坦克流光特效-蛇纹</v>
      </c>
    </row>
    <row r="669" spans="12:18" x14ac:dyDescent="0.3">
      <c r="L669" s="340" t="s">
        <v>4265</v>
      </c>
      <c r="M669" s="340">
        <v>100202</v>
      </c>
      <c r="N669" s="340" t="s">
        <v>4220</v>
      </c>
      <c r="R669" s="1" t="str">
        <f t="shared" si="17"/>
        <v>5分钟加速</v>
      </c>
    </row>
    <row r="670" spans="12:18" x14ac:dyDescent="0.3">
      <c r="L670" s="340" t="s">
        <v>4218</v>
      </c>
      <c r="M670" s="340">
        <v>100203</v>
      </c>
      <c r="N670" s="340" t="s">
        <v>4221</v>
      </c>
      <c r="R670" s="1" t="str">
        <f t="shared" si="17"/>
        <v>30分钟加速</v>
      </c>
    </row>
    <row r="671" spans="12:18" x14ac:dyDescent="0.3">
      <c r="L671" s="340" t="s">
        <v>4219</v>
      </c>
      <c r="M671" s="340">
        <v>100204</v>
      </c>
      <c r="N671" s="340" t="s">
        <v>4222</v>
      </c>
      <c r="R671" s="1" t="str">
        <f t="shared" si="17"/>
        <v>60分钟加速</v>
      </c>
    </row>
    <row r="672" spans="12:18" x14ac:dyDescent="0.3">
      <c r="L672" s="340" t="s">
        <v>4231</v>
      </c>
      <c r="M672" s="340">
        <v>280001</v>
      </c>
      <c r="N672" s="340" t="s">
        <v>4237</v>
      </c>
    </row>
    <row r="673" spans="12:14" x14ac:dyDescent="0.3">
      <c r="L673" s="340" t="s">
        <v>4232</v>
      </c>
      <c r="M673" s="340">
        <v>280002</v>
      </c>
      <c r="N673" s="340" t="s">
        <v>4238</v>
      </c>
    </row>
    <row r="674" spans="12:14" x14ac:dyDescent="0.3">
      <c r="L674" s="340" t="s">
        <v>4233</v>
      </c>
      <c r="M674" s="340">
        <v>280003</v>
      </c>
      <c r="N674" s="340" t="s">
        <v>4239</v>
      </c>
    </row>
    <row r="675" spans="12:14" x14ac:dyDescent="0.3">
      <c r="L675" s="340" t="s">
        <v>4234</v>
      </c>
      <c r="M675" s="340">
        <v>280004</v>
      </c>
      <c r="N675" s="340" t="s">
        <v>4240</v>
      </c>
    </row>
    <row r="676" spans="12:14" x14ac:dyDescent="0.3">
      <c r="L676" s="340" t="s">
        <v>4235</v>
      </c>
      <c r="M676" s="340">
        <v>280005</v>
      </c>
      <c r="N676" s="340" t="s">
        <v>4241</v>
      </c>
    </row>
    <row r="677" spans="12:14" x14ac:dyDescent="0.3">
      <c r="L677" s="340" t="s">
        <v>4236</v>
      </c>
      <c r="M677" s="340">
        <v>280006</v>
      </c>
      <c r="N677" s="340" t="s">
        <v>4242</v>
      </c>
    </row>
    <row r="678" spans="12:14" x14ac:dyDescent="0.3">
      <c r="L678" s="340" t="s">
        <v>314</v>
      </c>
      <c r="M678" s="340">
        <v>40001</v>
      </c>
      <c r="N678" s="340" t="s">
        <v>2754</v>
      </c>
    </row>
    <row r="679" spans="12:14" x14ac:dyDescent="0.3">
      <c r="L679" s="340" t="s">
        <v>2755</v>
      </c>
      <c r="M679" s="340">
        <v>40002</v>
      </c>
      <c r="N679" s="340" t="s">
        <v>2756</v>
      </c>
    </row>
    <row r="680" spans="12:14" x14ac:dyDescent="0.3">
      <c r="L680" s="340" t="s">
        <v>2757</v>
      </c>
      <c r="M680" s="340">
        <v>40003</v>
      </c>
      <c r="N680" s="340" t="s">
        <v>2447</v>
      </c>
    </row>
    <row r="681" spans="12:14" x14ac:dyDescent="0.3">
      <c r="L681" s="340" t="s">
        <v>2758</v>
      </c>
      <c r="M681" s="340">
        <v>40004</v>
      </c>
      <c r="N681" s="340" t="s">
        <v>2759</v>
      </c>
    </row>
    <row r="682" spans="12:14" x14ac:dyDescent="0.3">
      <c r="L682" s="340" t="s">
        <v>2760</v>
      </c>
      <c r="M682" s="340">
        <v>40005</v>
      </c>
      <c r="N682" s="340" t="s">
        <v>2436</v>
      </c>
    </row>
    <row r="683" spans="12:14" x14ac:dyDescent="0.3">
      <c r="L683" s="340" t="s">
        <v>4246</v>
      </c>
      <c r="M683" s="340">
        <v>40006</v>
      </c>
      <c r="N683" s="340" t="s">
        <v>2498</v>
      </c>
    </row>
    <row r="684" spans="12:14" x14ac:dyDescent="0.3">
      <c r="L684" s="340" t="s">
        <v>4247</v>
      </c>
      <c r="M684" s="340">
        <v>40007</v>
      </c>
      <c r="N684" s="340" t="s">
        <v>4248</v>
      </c>
    </row>
  </sheetData>
  <sortState xmlns:xlrd2="http://schemas.microsoft.com/office/spreadsheetml/2017/richdata2" ref="K45:N71">
    <sortCondition ref="K45"/>
  </sortState>
  <phoneticPr fontId="32" type="noConversion"/>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29"/>
  <dimension ref="B2:W398"/>
  <sheetViews>
    <sheetView topLeftCell="A34" workbookViewId="0">
      <selection activeCell="L56" sqref="L56"/>
    </sheetView>
  </sheetViews>
  <sheetFormatPr defaultColWidth="9" defaultRowHeight="14.25" x14ac:dyDescent="0.3"/>
  <cols>
    <col min="1" max="1" width="9" style="1"/>
    <col min="2" max="2" width="20.625" style="1" customWidth="1"/>
    <col min="3" max="3" width="14.125" style="1" customWidth="1"/>
    <col min="4" max="4" width="14.625" style="1" customWidth="1"/>
    <col min="5" max="5" width="11.625" style="1" customWidth="1"/>
    <col min="6" max="6" width="12.125" style="1" customWidth="1"/>
    <col min="7" max="7" width="9" style="1"/>
    <col min="8" max="8" width="14.625" style="1" customWidth="1"/>
    <col min="9" max="9" width="9" style="1"/>
    <col min="10" max="10" width="28.5" style="1" customWidth="1"/>
    <col min="11" max="11" width="9" style="1"/>
    <col min="12" max="12" width="21.625" style="1" customWidth="1"/>
    <col min="13" max="13" width="20.375" style="1" customWidth="1"/>
    <col min="14" max="14" width="14.625" style="1" customWidth="1"/>
    <col min="15" max="15" width="24" style="1" customWidth="1"/>
    <col min="16" max="19" width="9" style="1"/>
    <col min="20" max="20" width="10.875" style="1" customWidth="1"/>
    <col min="21" max="16384" width="9" style="1"/>
  </cols>
  <sheetData>
    <row r="2" spans="2:7" x14ac:dyDescent="0.3">
      <c r="B2" s="2"/>
      <c r="C2" s="2"/>
    </row>
    <row r="3" spans="2:7" x14ac:dyDescent="0.3">
      <c r="B3" s="2" t="s">
        <v>2893</v>
      </c>
      <c r="C3" s="2" t="s">
        <v>1745</v>
      </c>
    </row>
    <row r="4" spans="2:7" x14ac:dyDescent="0.3">
      <c r="B4" s="2" t="s">
        <v>1840</v>
      </c>
      <c r="C4" s="21">
        <v>155</v>
      </c>
    </row>
    <row r="5" spans="2:7" x14ac:dyDescent="0.3">
      <c r="B5" s="2" t="s">
        <v>2894</v>
      </c>
      <c r="C5" s="21">
        <v>35</v>
      </c>
    </row>
    <row r="7" spans="2:7" x14ac:dyDescent="0.3">
      <c r="B7" s="351" t="s">
        <v>2895</v>
      </c>
      <c r="C7" s="351"/>
      <c r="D7" s="351"/>
      <c r="E7" s="351"/>
    </row>
    <row r="8" spans="2:7" x14ac:dyDescent="0.3">
      <c r="B8" s="2" t="s">
        <v>2896</v>
      </c>
      <c r="C8" s="2" t="s">
        <v>2897</v>
      </c>
      <c r="D8" s="2" t="s">
        <v>2898</v>
      </c>
      <c r="E8" s="2" t="s">
        <v>2899</v>
      </c>
      <c r="F8" s="1" t="s">
        <v>2900</v>
      </c>
      <c r="G8" s="1" t="s">
        <v>2901</v>
      </c>
    </row>
    <row r="9" spans="2:7" x14ac:dyDescent="0.3">
      <c r="B9" s="2">
        <v>1</v>
      </c>
      <c r="C9" s="2">
        <f>VLOOKUP(B9,游戏时长规划!$B$16:$R$26,2,FALSE)</f>
        <v>60</v>
      </c>
      <c r="D9" s="2">
        <v>5</v>
      </c>
      <c r="E9" s="2">
        <f>C9/(D9+1)</f>
        <v>10</v>
      </c>
      <c r="F9" s="1">
        <f>C9</f>
        <v>60</v>
      </c>
    </row>
    <row r="10" spans="2:7" x14ac:dyDescent="0.3">
      <c r="B10" s="2">
        <v>2</v>
      </c>
      <c r="C10" s="2">
        <f>VLOOKUP(B10,游戏时长规划!$B$16:$R$26,2,FALSE)</f>
        <v>120</v>
      </c>
      <c r="D10" s="2">
        <v>5</v>
      </c>
      <c r="E10" s="2">
        <f t="shared" ref="E10:E18" si="0">C10/(D10+1)</f>
        <v>20</v>
      </c>
      <c r="F10" s="1">
        <f>F9+C10</f>
        <v>180</v>
      </c>
    </row>
    <row r="11" spans="2:7" x14ac:dyDescent="0.3">
      <c r="B11" s="2">
        <v>3</v>
      </c>
      <c r="C11" s="2">
        <f>VLOOKUP(B11,游戏时长规划!$B$16:$R$26,2,FALSE)</f>
        <v>120</v>
      </c>
      <c r="D11" s="2">
        <v>5</v>
      </c>
      <c r="E11" s="2">
        <f t="shared" si="0"/>
        <v>20</v>
      </c>
      <c r="F11" s="1">
        <f t="shared" ref="F11:F18" si="1">F10+C11</f>
        <v>300</v>
      </c>
    </row>
    <row r="12" spans="2:7" x14ac:dyDescent="0.3">
      <c r="B12" s="2">
        <v>4</v>
      </c>
      <c r="C12" s="2">
        <f>VLOOKUP(B12,游戏时长规划!$B$16:$R$26,2,FALSE)</f>
        <v>300</v>
      </c>
      <c r="D12" s="2">
        <v>5</v>
      </c>
      <c r="E12" s="2">
        <f t="shared" si="0"/>
        <v>50</v>
      </c>
      <c r="F12" s="1">
        <f t="shared" si="1"/>
        <v>600</v>
      </c>
    </row>
    <row r="13" spans="2:7" x14ac:dyDescent="0.3">
      <c r="B13" s="2">
        <v>5</v>
      </c>
      <c r="C13" s="2">
        <f>VLOOKUP(B13,游戏时长规划!$B$16:$R$26,2,FALSE)</f>
        <v>300</v>
      </c>
      <c r="D13" s="2">
        <v>5</v>
      </c>
      <c r="E13" s="2">
        <f t="shared" si="0"/>
        <v>50</v>
      </c>
      <c r="F13" s="1">
        <f t="shared" si="1"/>
        <v>900</v>
      </c>
    </row>
    <row r="14" spans="2:7" x14ac:dyDescent="0.3">
      <c r="B14" s="2">
        <v>6</v>
      </c>
      <c r="C14" s="2">
        <f>VLOOKUP(B14,游戏时长规划!$B$16:$R$26,2,FALSE)</f>
        <v>300</v>
      </c>
      <c r="D14" s="2">
        <v>5</v>
      </c>
      <c r="E14" s="2">
        <f t="shared" si="0"/>
        <v>50</v>
      </c>
      <c r="F14" s="1">
        <f t="shared" si="1"/>
        <v>1200</v>
      </c>
    </row>
    <row r="15" spans="2:7" x14ac:dyDescent="0.3">
      <c r="B15" s="2">
        <v>7</v>
      </c>
      <c r="C15" s="2">
        <f>VLOOKUP(B15,游戏时长规划!$B$16:$R$26,2,FALSE)</f>
        <v>300</v>
      </c>
      <c r="D15" s="2">
        <v>5</v>
      </c>
      <c r="E15" s="2">
        <f t="shared" si="0"/>
        <v>50</v>
      </c>
      <c r="F15" s="1">
        <f t="shared" si="1"/>
        <v>1500</v>
      </c>
    </row>
    <row r="16" spans="2:7" x14ac:dyDescent="0.3">
      <c r="B16" s="2">
        <v>8</v>
      </c>
      <c r="C16" s="2">
        <f>VLOOKUP(B16,游戏时长规划!$B$16:$R$26,2,FALSE)</f>
        <v>500</v>
      </c>
      <c r="D16" s="2">
        <v>5</v>
      </c>
      <c r="E16" s="2">
        <f t="shared" si="0"/>
        <v>83.333333333333329</v>
      </c>
      <c r="F16" s="1">
        <f t="shared" si="1"/>
        <v>2000</v>
      </c>
    </row>
    <row r="17" spans="2:23" x14ac:dyDescent="0.3">
      <c r="B17" s="2">
        <v>9</v>
      </c>
      <c r="C17" s="2">
        <f>VLOOKUP(B17,游戏时长规划!$B$16:$R$26,2,FALSE)</f>
        <v>500</v>
      </c>
      <c r="D17" s="2">
        <v>5</v>
      </c>
      <c r="E17" s="2">
        <f t="shared" si="0"/>
        <v>83.333333333333329</v>
      </c>
      <c r="F17" s="1">
        <f t="shared" si="1"/>
        <v>2500</v>
      </c>
    </row>
    <row r="18" spans="2:23" x14ac:dyDescent="0.3">
      <c r="B18" s="2">
        <v>10</v>
      </c>
      <c r="C18" s="2">
        <f>VLOOKUP(B18,游戏时长规划!$B$16:$R$26,2,FALSE)</f>
        <v>500</v>
      </c>
      <c r="D18" s="2">
        <v>5</v>
      </c>
      <c r="E18" s="2">
        <f t="shared" si="0"/>
        <v>83.333333333333329</v>
      </c>
      <c r="F18" s="1">
        <f t="shared" si="1"/>
        <v>3000</v>
      </c>
    </row>
    <row r="19" spans="2:23" x14ac:dyDescent="0.3">
      <c r="B19" s="2"/>
      <c r="C19" s="2"/>
      <c r="D19" s="2"/>
      <c r="E19" s="2"/>
    </row>
    <row r="21" spans="2:23" x14ac:dyDescent="0.3">
      <c r="B21" s="351" t="s">
        <v>2902</v>
      </c>
      <c r="C21" s="351"/>
      <c r="D21" s="351"/>
      <c r="E21" s="351"/>
      <c r="F21" s="351"/>
      <c r="G21" s="351"/>
      <c r="H21" s="352" t="s">
        <v>2903</v>
      </c>
      <c r="I21" s="353"/>
      <c r="J21" s="353"/>
      <c r="K21" s="353"/>
      <c r="L21" s="353"/>
      <c r="M21" s="354"/>
      <c r="N21" s="351" t="s">
        <v>2904</v>
      </c>
      <c r="O21" s="351"/>
      <c r="P21" s="351"/>
      <c r="R21" s="1" t="s">
        <v>2905</v>
      </c>
    </row>
    <row r="22" spans="2:23" x14ac:dyDescent="0.3">
      <c r="B22" s="2" t="s">
        <v>1840</v>
      </c>
      <c r="C22" s="2" t="s">
        <v>2896</v>
      </c>
      <c r="D22" s="2" t="s">
        <v>2906</v>
      </c>
      <c r="E22" s="2" t="s">
        <v>584</v>
      </c>
      <c r="F22" s="2" t="s">
        <v>2907</v>
      </c>
      <c r="G22" s="2" t="s">
        <v>2898</v>
      </c>
      <c r="H22" s="2" t="s">
        <v>2908</v>
      </c>
      <c r="I22" s="2" t="s">
        <v>2909</v>
      </c>
      <c r="J22" s="2" t="s">
        <v>2910</v>
      </c>
      <c r="K22" s="2" t="s">
        <v>586</v>
      </c>
      <c r="L22" s="2" t="s">
        <v>2911</v>
      </c>
      <c r="M22" s="2" t="s">
        <v>2912</v>
      </c>
      <c r="N22" s="2" t="s">
        <v>2904</v>
      </c>
      <c r="O22" s="2" t="s">
        <v>2913</v>
      </c>
      <c r="P22" s="2" t="s">
        <v>48</v>
      </c>
      <c r="Q22" s="97" t="s">
        <v>2914</v>
      </c>
      <c r="R22" s="98" t="s">
        <v>2915</v>
      </c>
      <c r="V22" s="2" t="s">
        <v>1783</v>
      </c>
      <c r="W22" s="2" t="s">
        <v>2825</v>
      </c>
    </row>
    <row r="23" spans="2:23" x14ac:dyDescent="0.3">
      <c r="B23" s="2">
        <f>$E$9</f>
        <v>10</v>
      </c>
      <c r="C23" s="2">
        <f>VLOOKUP(B23,游戏时长规划!$C$29:$G$39,MATCH("联赛等级",游戏时长规划!$C$29:$G$29,0),TRUE)</f>
        <v>1</v>
      </c>
      <c r="D23" s="2">
        <f>IF(B23=VLOOKUP(C23,游戏时长规划!$B$29:$C$39,2,FALSE),C23-1,C23)</f>
        <v>1</v>
      </c>
      <c r="E23" s="2">
        <f>VLOOKUP(D23,游戏时长规划!$B$16:$R$26,MATCH(E$22,游戏时长规划!$B$16:$R$16,0),FALSE)</f>
        <v>60</v>
      </c>
      <c r="F23" s="2">
        <f>B23</f>
        <v>10</v>
      </c>
      <c r="G23" s="2">
        <f t="shared" ref="G23:G69" si="2">COUNTIF($D$23:$D$69,D23)</f>
        <v>5</v>
      </c>
      <c r="H23" s="2">
        <f>F23/VLOOKUP(D23,游戏时长规划!$B$16:$R$26,4,FALSE)/游戏时长规划!$C$5</f>
        <v>16.333333333333332</v>
      </c>
      <c r="I23" s="2">
        <f>SUM(H23:H$23)</f>
        <v>16.333333333333332</v>
      </c>
      <c r="J23" s="34">
        <f>H23/[1]游戏时长规划!$C$4</f>
        <v>2.1777777777777776</v>
      </c>
      <c r="K23" s="34">
        <f>I23/[1]游戏时长规划!$C$4</f>
        <v>2.1777777777777776</v>
      </c>
      <c r="L23" s="34">
        <f>J23*$C$4</f>
        <v>337.55555555555554</v>
      </c>
      <c r="M23" s="33">
        <f t="shared" ref="M23:M69" si="3">O23*VLOOKUP(N23,$V$22:$W$69,2,FALSE)</f>
        <v>100</v>
      </c>
      <c r="N23" s="34" t="s">
        <v>2394</v>
      </c>
      <c r="O23" s="32">
        <v>1</v>
      </c>
      <c r="P23" s="2">
        <f>VLOOKUP(N23,道具ID,2,FALSE)</f>
        <v>24001</v>
      </c>
      <c r="Q23" s="99" t="str">
        <f>"["&amp;P23&amp;"]"</f>
        <v>[24001]</v>
      </c>
      <c r="R23" s="99" t="str">
        <f>"["&amp;O23&amp;"]"</f>
        <v>[1]</v>
      </c>
      <c r="S23" s="1" t="str">
        <f t="shared" ref="S23:S69" si="4">VLOOKUP(N23,道具ID,3,FALSE)</f>
        <v>chest_shard</v>
      </c>
      <c r="V23" s="2" t="s">
        <v>268</v>
      </c>
      <c r="W23" s="2">
        <f>[1]道具价值!AB73</f>
        <v>2.2222222222222199E-2</v>
      </c>
    </row>
    <row r="24" spans="2:23" x14ac:dyDescent="0.3">
      <c r="B24" s="2">
        <f t="shared" ref="B24:B69" si="5">IF(VLOOKUP(C23,$B$8:$E$19,MATCH("积分差值",$B$8:$E$8,0),FALSE)+B23=E23,VLOOKUP(C23+1,$B$8:$E$19,MATCH("积分差值",$B$8:$E$8,0),FALSE)+E23,VLOOKUP(C23,$B$8:$E$19,MATCH("积分差值",$B$8:$E$8,0),FALSE)+B23)</f>
        <v>20</v>
      </c>
      <c r="C24" s="2">
        <f>VLOOKUP(B24,游戏时长规划!$C$29:$G$39,MATCH("联赛等级",游戏时长规划!$C$29:$G$29,0),TRUE)</f>
        <v>1</v>
      </c>
      <c r="D24" s="2">
        <f>IF(B24=VLOOKUP(C24,游戏时长规划!$B$29:$C$39,2,FALSE),C24-1,C24)</f>
        <v>1</v>
      </c>
      <c r="E24" s="2">
        <f>VLOOKUP(D24,游戏时长规划!$B$16:$R$26,MATCH(E$22,游戏时长规划!$B$16:$R$16,0),FALSE)</f>
        <v>60</v>
      </c>
      <c r="F24" s="2">
        <f>B24-B23</f>
        <v>10</v>
      </c>
      <c r="G24" s="2">
        <f t="shared" si="2"/>
        <v>5</v>
      </c>
      <c r="H24" s="2">
        <f>F24/VLOOKUP(D24,游戏时长规划!$B$16:$R$26,4,FALSE)/游戏时长规划!$C$5</f>
        <v>16.333333333333332</v>
      </c>
      <c r="I24" s="2">
        <f>SUM(H$23:H24)</f>
        <v>32.666666666666664</v>
      </c>
      <c r="J24" s="34">
        <f>H24/[1]游戏时长规划!$C$4</f>
        <v>2.1777777777777776</v>
      </c>
      <c r="K24" s="34">
        <f>I24/[1]游戏时长规划!$C$4</f>
        <v>4.3555555555555552</v>
      </c>
      <c r="L24" s="34">
        <f t="shared" ref="L24:L69" si="6">J24*$C$4</f>
        <v>337.55555555555554</v>
      </c>
      <c r="M24" s="33">
        <f t="shared" si="3"/>
        <v>200</v>
      </c>
      <c r="N24" s="34" t="s">
        <v>2433</v>
      </c>
      <c r="O24" s="32">
        <v>1</v>
      </c>
      <c r="P24" s="2">
        <f>VLOOKUP(N24,道具ID,2,FALSE)</f>
        <v>25051</v>
      </c>
      <c r="Q24" s="99" t="str">
        <f t="shared" ref="Q24:Q69" si="7">"["&amp;P24&amp;"]"</f>
        <v>[25051]</v>
      </c>
      <c r="R24" s="99" t="str">
        <f>"["&amp;O24&amp;"]"</f>
        <v>[1]</v>
      </c>
      <c r="S24" s="1" t="str">
        <f t="shared" si="4"/>
        <v>chest_lv3_icon</v>
      </c>
      <c r="V24" s="2" t="s">
        <v>273</v>
      </c>
      <c r="W24" s="2">
        <f>[1]道具价值!$O$73</f>
        <v>1.25</v>
      </c>
    </row>
    <row r="25" spans="2:23" x14ac:dyDescent="0.3">
      <c r="B25" s="2">
        <f t="shared" si="5"/>
        <v>30</v>
      </c>
      <c r="C25" s="2">
        <f>VLOOKUP(B25,游戏时长规划!$C$29:$G$39,MATCH("联赛等级",游戏时长规划!$C$29:$G$29,0),TRUE)</f>
        <v>1</v>
      </c>
      <c r="D25" s="2">
        <f>IF(B25=VLOOKUP(C25,游戏时长规划!$B$29:$C$39,2,FALSE),C25-1,C25)</f>
        <v>1</v>
      </c>
      <c r="E25" s="2">
        <f>VLOOKUP(D25,游戏时长规划!$B$16:$R$26,MATCH(E$22,游戏时长规划!$B$16:$R$16,0),FALSE)</f>
        <v>60</v>
      </c>
      <c r="F25" s="2">
        <f t="shared" ref="F25:F69" si="8">B25-B24</f>
        <v>10</v>
      </c>
      <c r="G25" s="2">
        <f t="shared" si="2"/>
        <v>5</v>
      </c>
      <c r="H25" s="2">
        <f>F25/VLOOKUP(D25,游戏时长规划!$B$16:$R$26,4,FALSE)/游戏时长规划!$C$5</f>
        <v>16.333333333333332</v>
      </c>
      <c r="I25" s="2">
        <f>SUM(H$23:H25)</f>
        <v>49</v>
      </c>
      <c r="J25" s="34">
        <f>H25/[1]游戏时长规划!$C$4</f>
        <v>2.1777777777777776</v>
      </c>
      <c r="K25" s="34">
        <f>I25/[1]游戏时长规划!$C$4</f>
        <v>6.5333333333333332</v>
      </c>
      <c r="L25" s="34">
        <f t="shared" si="6"/>
        <v>337.55555555555554</v>
      </c>
      <c r="M25" s="33">
        <f t="shared" si="3"/>
        <v>150</v>
      </c>
      <c r="N25" s="34" t="s">
        <v>511</v>
      </c>
      <c r="O25" s="32">
        <v>200</v>
      </c>
      <c r="P25" s="2">
        <f>VLOOKUP(N25,道具ID,2,FALSE)</f>
        <v>111</v>
      </c>
      <c r="Q25" s="99" t="str">
        <f t="shared" si="7"/>
        <v>[111]</v>
      </c>
      <c r="R25" s="99" t="str">
        <f>"["&amp;O25&amp;"]"</f>
        <v>[200]</v>
      </c>
      <c r="S25" s="1" t="str">
        <f t="shared" si="4"/>
        <v>StoreDoubleKey_1</v>
      </c>
      <c r="V25" s="2" t="s">
        <v>317</v>
      </c>
      <c r="W25" s="2">
        <v>1</v>
      </c>
    </row>
    <row r="26" spans="2:23" x14ac:dyDescent="0.3">
      <c r="B26" s="2">
        <f t="shared" si="5"/>
        <v>40</v>
      </c>
      <c r="C26" s="2">
        <f>VLOOKUP(B26,游戏时长规划!$C$29:$G$39,MATCH("联赛等级",游戏时长规划!$C$29:$G$29,0),TRUE)</f>
        <v>1</v>
      </c>
      <c r="D26" s="2">
        <f>IF(B26=VLOOKUP(C26,游戏时长规划!$B$29:$C$39,2,FALSE),C26-1,C26)</f>
        <v>1</v>
      </c>
      <c r="E26" s="2">
        <f>VLOOKUP(D26,游戏时长规划!$B$16:$R$26,MATCH(E$22,游戏时长规划!$B$16:$R$16,0),FALSE)</f>
        <v>60</v>
      </c>
      <c r="F26" s="2">
        <f t="shared" si="8"/>
        <v>10</v>
      </c>
      <c r="G26" s="2">
        <f t="shared" si="2"/>
        <v>5</v>
      </c>
      <c r="H26" s="2">
        <f>F26/VLOOKUP(D26,游戏时长规划!$B$16:$R$26,4,FALSE)/游戏时长规划!$C$5</f>
        <v>16.333333333333332</v>
      </c>
      <c r="I26" s="2">
        <f>SUM(H$23:H26)</f>
        <v>65.333333333333329</v>
      </c>
      <c r="J26" s="34">
        <f>H26/[1]游戏时长规划!$C$4</f>
        <v>2.1777777777777776</v>
      </c>
      <c r="K26" s="34">
        <f>I26/[1]游戏时长规划!$C$4</f>
        <v>8.7111111111111104</v>
      </c>
      <c r="L26" s="34">
        <f t="shared" si="6"/>
        <v>337.55555555555554</v>
      </c>
      <c r="M26" s="33">
        <f t="shared" si="3"/>
        <v>50</v>
      </c>
      <c r="N26" s="34" t="s">
        <v>317</v>
      </c>
      <c r="O26" s="32">
        <v>50</v>
      </c>
      <c r="P26" s="2">
        <f>VLOOKUP(N26,道具ID,2,FALSE)</f>
        <v>101</v>
      </c>
      <c r="Q26" s="99" t="str">
        <f t="shared" si="7"/>
        <v>[101]</v>
      </c>
      <c r="R26" s="99" t="str">
        <f>"["&amp;O26&amp;"]"</f>
        <v>[50]</v>
      </c>
      <c r="S26" s="1" t="str">
        <f t="shared" si="4"/>
        <v>StoreDiamond_1</v>
      </c>
      <c r="V26" s="2" t="s">
        <v>511</v>
      </c>
      <c r="W26" s="2">
        <f>[1]道具价值!$P$73</f>
        <v>0.75</v>
      </c>
    </row>
    <row r="27" spans="2:23" x14ac:dyDescent="0.3">
      <c r="B27" s="2">
        <f t="shared" si="5"/>
        <v>50</v>
      </c>
      <c r="C27" s="2">
        <f>VLOOKUP(B27,游戏时长规划!$C$29:$G$39,MATCH("联赛等级",游戏时长规划!$C$29:$G$29,0),TRUE)</f>
        <v>1</v>
      </c>
      <c r="D27" s="2">
        <f>IF(B27=VLOOKUP(C27,游戏时长规划!$B$29:$C$39,2,FALSE),C27-1,C27)</f>
        <v>1</v>
      </c>
      <c r="E27" s="2">
        <f>VLOOKUP(D27,游戏时长规划!$B$16:$R$26,MATCH(E$22,游戏时长规划!$B$16:$R$16,0),FALSE)</f>
        <v>60</v>
      </c>
      <c r="F27" s="2">
        <f t="shared" si="8"/>
        <v>10</v>
      </c>
      <c r="G27" s="2">
        <f t="shared" si="2"/>
        <v>5</v>
      </c>
      <c r="H27" s="2">
        <f>F27/VLOOKUP(D27,游戏时长规划!$B$16:$R$26,4,FALSE)/游戏时长规划!$C$5</f>
        <v>16.333333333333332</v>
      </c>
      <c r="I27" s="2">
        <f>SUM(H$23:H27)</f>
        <v>81.666666666666657</v>
      </c>
      <c r="J27" s="34">
        <f>H27/[1]游戏时长规划!$C$4</f>
        <v>2.1777777777777776</v>
      </c>
      <c r="K27" s="34">
        <f>I27/[1]游戏时长规划!$C$4</f>
        <v>10.888888888888888</v>
      </c>
      <c r="L27" s="34">
        <f t="shared" si="6"/>
        <v>337.55555555555554</v>
      </c>
      <c r="M27" s="33">
        <f t="shared" si="3"/>
        <v>100</v>
      </c>
      <c r="N27" s="34" t="s">
        <v>2378</v>
      </c>
      <c r="O27" s="32">
        <v>1</v>
      </c>
      <c r="P27" s="2">
        <f>VLOOKUP(N27,道具ID,2,FALSE)</f>
        <v>23001</v>
      </c>
      <c r="Q27" s="99" t="str">
        <f t="shared" si="7"/>
        <v>[23001]</v>
      </c>
      <c r="R27" s="99" t="str">
        <f>"["&amp;O27&amp;"]"</f>
        <v>[1]</v>
      </c>
      <c r="S27" s="1" t="str">
        <f t="shared" si="4"/>
        <v>chest_tankpart</v>
      </c>
      <c r="V27" s="2" t="s">
        <v>4217</v>
      </c>
      <c r="W27" s="2">
        <f>[1]道具价值!$J$63</f>
        <v>35</v>
      </c>
    </row>
    <row r="28" spans="2:23" x14ac:dyDescent="0.3">
      <c r="B28" s="2">
        <f t="shared" si="5"/>
        <v>80</v>
      </c>
      <c r="C28" s="2">
        <f>VLOOKUP(B28,游戏时长规划!$C$29:$G$39,MATCH("联赛等级",游戏时长规划!$C$29:$G$29,0),TRUE)</f>
        <v>2</v>
      </c>
      <c r="D28" s="2">
        <f>IF(B28=VLOOKUP(C28,游戏时长规划!$B$29:$C$39,2,FALSE),C28-1,C28)</f>
        <v>2</v>
      </c>
      <c r="E28" s="2">
        <f>VLOOKUP(D28,游戏时长规划!$B$16:$R$26,MATCH(E$22,游戏时长规划!$B$16:$R$16,0),FALSE)</f>
        <v>180</v>
      </c>
      <c r="F28" s="2">
        <f t="shared" si="8"/>
        <v>30</v>
      </c>
      <c r="G28" s="2">
        <f t="shared" si="2"/>
        <v>5</v>
      </c>
      <c r="H28" s="2">
        <f>F28/VLOOKUP(D28,游戏时长规划!$B$16:$R$26,4,FALSE)/游戏时长规划!$C$5</f>
        <v>23.400000000000002</v>
      </c>
      <c r="I28" s="2">
        <f>SUM(H$23:H28)</f>
        <v>105.06666666666666</v>
      </c>
      <c r="J28" s="34">
        <f>H28/[1]游戏时长规划!$C$4</f>
        <v>3.12</v>
      </c>
      <c r="K28" s="34">
        <f>I28/[1]游戏时长规划!$C$4</f>
        <v>14.008888888888889</v>
      </c>
      <c r="L28" s="34">
        <f t="shared" si="6"/>
        <v>483.6</v>
      </c>
      <c r="M28" s="33">
        <f t="shared" si="3"/>
        <v>100</v>
      </c>
      <c r="N28" s="34" t="s">
        <v>513</v>
      </c>
      <c r="O28" s="32">
        <v>1</v>
      </c>
      <c r="P28" s="2">
        <f t="shared" ref="P28:P60" si="9">VLOOKUP(N28,道具ID,2,FALSE)</f>
        <v>24002</v>
      </c>
      <c r="Q28" s="99" t="str">
        <f t="shared" si="7"/>
        <v>[24002]</v>
      </c>
      <c r="R28" s="99" t="str">
        <f t="shared" ref="R28:R60" si="10">"["&amp;O28&amp;"]"</f>
        <v>[1]</v>
      </c>
      <c r="S28" s="1" t="str">
        <f t="shared" si="4"/>
        <v>chest_shard</v>
      </c>
      <c r="V28" s="2" t="s">
        <v>578</v>
      </c>
      <c r="W28" s="2">
        <f>[1]道具价值!$J$64</f>
        <v>60</v>
      </c>
    </row>
    <row r="29" spans="2:23" x14ac:dyDescent="0.3">
      <c r="B29" s="2">
        <f t="shared" si="5"/>
        <v>100</v>
      </c>
      <c r="C29" s="2">
        <f>VLOOKUP(B29,游戏时长规划!$C$29:$G$39,MATCH("联赛等级",游戏时长规划!$C$29:$G$29,0),TRUE)</f>
        <v>2</v>
      </c>
      <c r="D29" s="2">
        <f>IF(B29=VLOOKUP(C29,游戏时长规划!$B$29:$C$39,2,FALSE),C29-1,C29)</f>
        <v>2</v>
      </c>
      <c r="E29" s="2">
        <f>VLOOKUP(D29,游戏时长规划!$B$16:$R$26,MATCH(E$22,游戏时长规划!$B$16:$R$16,0),FALSE)</f>
        <v>180</v>
      </c>
      <c r="F29" s="2">
        <f t="shared" si="8"/>
        <v>20</v>
      </c>
      <c r="G29" s="2">
        <f t="shared" si="2"/>
        <v>5</v>
      </c>
      <c r="H29" s="2">
        <f>F29/VLOOKUP(D29,游戏时长规划!$B$16:$R$26,4,FALSE)/游戏时长规划!$C$5</f>
        <v>15.600000000000001</v>
      </c>
      <c r="I29" s="2">
        <f>SUM(H$23:H29)</f>
        <v>120.66666666666666</v>
      </c>
      <c r="J29" s="34">
        <f>H29/[1]游戏时长规划!$C$4</f>
        <v>2.08</v>
      </c>
      <c r="K29" s="34">
        <f>I29/[1]游戏时长规划!$C$4</f>
        <v>16.088888888888889</v>
      </c>
      <c r="L29" s="34">
        <f t="shared" si="6"/>
        <v>322.40000000000003</v>
      </c>
      <c r="M29" s="33">
        <f t="shared" si="3"/>
        <v>600</v>
      </c>
      <c r="N29" s="34" t="s">
        <v>514</v>
      </c>
      <c r="O29" s="32">
        <v>1</v>
      </c>
      <c r="P29" s="2">
        <f t="shared" si="9"/>
        <v>25152</v>
      </c>
      <c r="Q29" s="99" t="str">
        <f t="shared" si="7"/>
        <v>[25152]</v>
      </c>
      <c r="R29" s="99" t="str">
        <f t="shared" si="10"/>
        <v>[1]</v>
      </c>
      <c r="S29" s="1" t="str">
        <f t="shared" si="4"/>
        <v>chest_lv4_icon</v>
      </c>
      <c r="V29" s="2" t="s">
        <v>2433</v>
      </c>
      <c r="W29" s="2">
        <f>[1]宝箱设定!$C$9</f>
        <v>200</v>
      </c>
    </row>
    <row r="30" spans="2:23" x14ac:dyDescent="0.3">
      <c r="B30" s="2">
        <f t="shared" si="5"/>
        <v>120</v>
      </c>
      <c r="C30" s="2">
        <f>VLOOKUP(B30,游戏时长规划!$C$29:$G$39,MATCH("联赛等级",游戏时长规划!$C$29:$G$29,0),TRUE)</f>
        <v>2</v>
      </c>
      <c r="D30" s="2">
        <f>IF(B30=VLOOKUP(C30,游戏时长规划!$B$29:$C$39,2,FALSE),C30-1,C30)</f>
        <v>2</v>
      </c>
      <c r="E30" s="2">
        <f>VLOOKUP(D30,游戏时长规划!$B$16:$R$26,MATCH(E$22,游戏时长规划!$B$16:$R$16,0),FALSE)</f>
        <v>180</v>
      </c>
      <c r="F30" s="2">
        <f t="shared" si="8"/>
        <v>20</v>
      </c>
      <c r="G30" s="2">
        <f t="shared" si="2"/>
        <v>5</v>
      </c>
      <c r="H30" s="2">
        <f>F30/VLOOKUP(D30,游戏时长规划!$B$16:$R$26,4,FALSE)/游戏时长规划!$C$5</f>
        <v>15.600000000000001</v>
      </c>
      <c r="I30" s="2">
        <f>SUM(H$23:H30)</f>
        <v>136.26666666666665</v>
      </c>
      <c r="J30" s="34">
        <f>H30/[1]游戏时长规划!$C$4</f>
        <v>2.08</v>
      </c>
      <c r="K30" s="34">
        <f>I30/[1]游戏时长规划!$C$4</f>
        <v>18.168888888888887</v>
      </c>
      <c r="L30" s="34">
        <f t="shared" si="6"/>
        <v>322.40000000000003</v>
      </c>
      <c r="M30" s="33">
        <f t="shared" si="3"/>
        <v>187.5</v>
      </c>
      <c r="N30" s="34" t="s">
        <v>511</v>
      </c>
      <c r="O30" s="32">
        <v>250</v>
      </c>
      <c r="P30" s="2">
        <f t="shared" si="9"/>
        <v>111</v>
      </c>
      <c r="Q30" s="99" t="str">
        <f t="shared" si="7"/>
        <v>[111]</v>
      </c>
      <c r="R30" s="99" t="str">
        <f t="shared" si="10"/>
        <v>[250]</v>
      </c>
      <c r="S30" s="1" t="str">
        <f t="shared" si="4"/>
        <v>StoreDoubleKey_1</v>
      </c>
      <c r="V30" s="2" t="s">
        <v>2434</v>
      </c>
      <c r="W30" s="2">
        <f>[1]宝箱设定!$C$9</f>
        <v>200</v>
      </c>
    </row>
    <row r="31" spans="2:23" x14ac:dyDescent="0.3">
      <c r="B31" s="2">
        <f t="shared" si="5"/>
        <v>140</v>
      </c>
      <c r="C31" s="2">
        <f>VLOOKUP(B31,游戏时长规划!$C$29:$G$39,MATCH("联赛等级",游戏时长规划!$C$29:$G$29,0),TRUE)</f>
        <v>2</v>
      </c>
      <c r="D31" s="2">
        <f>IF(B31=VLOOKUP(C31,游戏时长规划!$B$29:$C$39,2,FALSE),C31-1,C31)</f>
        <v>2</v>
      </c>
      <c r="E31" s="2">
        <f>VLOOKUP(D31,游戏时长规划!$B$16:$R$26,MATCH(E$22,游戏时长规划!$B$16:$R$16,0),FALSE)</f>
        <v>180</v>
      </c>
      <c r="F31" s="2">
        <f t="shared" si="8"/>
        <v>20</v>
      </c>
      <c r="G31" s="2">
        <f t="shared" si="2"/>
        <v>5</v>
      </c>
      <c r="H31" s="2">
        <f>F31/VLOOKUP(D31,游戏时长规划!$B$16:$R$26,4,FALSE)/游戏时长规划!$C$5</f>
        <v>15.600000000000001</v>
      </c>
      <c r="I31" s="2">
        <f>SUM(H$23:H31)</f>
        <v>151.86666666666665</v>
      </c>
      <c r="J31" s="34">
        <f>H31/[1]游戏时长规划!$C$4</f>
        <v>2.08</v>
      </c>
      <c r="K31" s="34">
        <f>I31/[1]游戏时长规划!$C$4</f>
        <v>20.248888888888885</v>
      </c>
      <c r="L31" s="34">
        <f t="shared" si="6"/>
        <v>322.40000000000003</v>
      </c>
      <c r="M31" s="33">
        <f t="shared" si="3"/>
        <v>50</v>
      </c>
      <c r="N31" s="34" t="s">
        <v>317</v>
      </c>
      <c r="O31" s="32">
        <v>50</v>
      </c>
      <c r="P31" s="2">
        <f t="shared" si="9"/>
        <v>101</v>
      </c>
      <c r="Q31" s="99" t="str">
        <f t="shared" si="7"/>
        <v>[101]</v>
      </c>
      <c r="R31" s="99" t="str">
        <f t="shared" si="10"/>
        <v>[50]</v>
      </c>
      <c r="S31" s="1" t="str">
        <f t="shared" si="4"/>
        <v>StoreDiamond_1</v>
      </c>
      <c r="V31" s="2" t="s">
        <v>2435</v>
      </c>
      <c r="W31" s="2">
        <f>[1]宝箱设定!$C$9</f>
        <v>200</v>
      </c>
    </row>
    <row r="32" spans="2:23" x14ac:dyDescent="0.3">
      <c r="B32" s="2">
        <f t="shared" si="5"/>
        <v>160</v>
      </c>
      <c r="C32" s="2">
        <f>VLOOKUP(B32,游戏时长规划!$C$29:$G$39,MATCH("联赛等级",游戏时长规划!$C$29:$G$29,0),TRUE)</f>
        <v>2</v>
      </c>
      <c r="D32" s="2">
        <f>IF(B32=VLOOKUP(C32,游戏时长规划!$B$29:$C$39,2,FALSE),C32-1,C32)</f>
        <v>2</v>
      </c>
      <c r="E32" s="2">
        <f>VLOOKUP(D32,游戏时长规划!$B$16:$R$26,MATCH(E$22,游戏时长规划!$B$16:$R$16,0),FALSE)</f>
        <v>180</v>
      </c>
      <c r="F32" s="2">
        <f t="shared" si="8"/>
        <v>20</v>
      </c>
      <c r="G32" s="2">
        <f t="shared" si="2"/>
        <v>5</v>
      </c>
      <c r="H32" s="2">
        <f>F32/VLOOKUP(D32,游戏时长规划!$B$16:$R$26,4,FALSE)/游戏时长规划!$C$5</f>
        <v>15.600000000000001</v>
      </c>
      <c r="I32" s="2">
        <f>SUM(H$23:H32)</f>
        <v>167.46666666666664</v>
      </c>
      <c r="J32" s="34">
        <f>H32/[1]游戏时长规划!$C$4</f>
        <v>2.08</v>
      </c>
      <c r="K32" s="34">
        <f>I32/[1]游戏时长规划!$C$4</f>
        <v>22.328888888888887</v>
      </c>
      <c r="L32" s="34">
        <f t="shared" si="6"/>
        <v>322.40000000000003</v>
      </c>
      <c r="M32" s="33">
        <f t="shared" si="3"/>
        <v>100</v>
      </c>
      <c r="N32" s="34" t="s">
        <v>515</v>
      </c>
      <c r="O32" s="32">
        <v>1</v>
      </c>
      <c r="P32" s="2">
        <f t="shared" si="9"/>
        <v>23002</v>
      </c>
      <c r="Q32" s="99" t="str">
        <f t="shared" si="7"/>
        <v>[23002]</v>
      </c>
      <c r="R32" s="99" t="str">
        <f t="shared" si="10"/>
        <v>[1]</v>
      </c>
      <c r="S32" s="1" t="str">
        <f t="shared" si="4"/>
        <v>chest_tankpart</v>
      </c>
      <c r="V32" s="2" t="s">
        <v>2437</v>
      </c>
      <c r="W32" s="2">
        <f>[1]宝箱设定!$C$9</f>
        <v>200</v>
      </c>
    </row>
    <row r="33" spans="2:23" x14ac:dyDescent="0.3">
      <c r="B33" s="2">
        <f t="shared" si="5"/>
        <v>200</v>
      </c>
      <c r="C33" s="2">
        <f>VLOOKUP(B33,游戏时长规划!$C$29:$G$39,MATCH("联赛等级",游戏时长规划!$C$29:$G$29,0),TRUE)</f>
        <v>3</v>
      </c>
      <c r="D33" s="2">
        <f>IF(B33=VLOOKUP(C33,游戏时长规划!$B$29:$C$39,2,FALSE),C33-1,C33)</f>
        <v>3</v>
      </c>
      <c r="E33" s="2">
        <f>VLOOKUP(D33,游戏时长规划!$B$16:$R$26,MATCH(E$22,游戏时长规划!$B$16:$R$16,0),FALSE)</f>
        <v>300</v>
      </c>
      <c r="F33" s="2">
        <f t="shared" si="8"/>
        <v>40</v>
      </c>
      <c r="G33" s="2">
        <f t="shared" si="2"/>
        <v>5</v>
      </c>
      <c r="H33" s="2">
        <f>F33/VLOOKUP(D33,游戏时长规划!$B$16:$R$26,4,FALSE)/游戏时长规划!$C$5</f>
        <v>29.600000000000005</v>
      </c>
      <c r="I33" s="2">
        <f>SUM(H$23:H33)</f>
        <v>197.06666666666663</v>
      </c>
      <c r="J33" s="34">
        <f>H33/[1]游戏时长规划!$C$4</f>
        <v>3.9466666666666672</v>
      </c>
      <c r="K33" s="34">
        <f>I33/[1]游戏时长规划!$C$4</f>
        <v>26.275555555555552</v>
      </c>
      <c r="L33" s="34">
        <f t="shared" si="6"/>
        <v>611.73333333333346</v>
      </c>
      <c r="M33" s="33">
        <f t="shared" si="3"/>
        <v>100</v>
      </c>
      <c r="N33" s="34" t="s">
        <v>2396</v>
      </c>
      <c r="O33" s="32">
        <v>1</v>
      </c>
      <c r="P33" s="2">
        <f t="shared" si="9"/>
        <v>24003</v>
      </c>
      <c r="Q33" s="99" t="str">
        <f t="shared" si="7"/>
        <v>[24003]</v>
      </c>
      <c r="R33" s="99" t="str">
        <f t="shared" si="10"/>
        <v>[1]</v>
      </c>
      <c r="S33" s="1" t="str">
        <f t="shared" si="4"/>
        <v>chest_shard</v>
      </c>
      <c r="V33" s="2" t="s">
        <v>2438</v>
      </c>
      <c r="W33" s="2">
        <f>[1]宝箱设定!$C$9</f>
        <v>200</v>
      </c>
    </row>
    <row r="34" spans="2:23" x14ac:dyDescent="0.3">
      <c r="B34" s="2">
        <f t="shared" si="5"/>
        <v>220</v>
      </c>
      <c r="C34" s="2">
        <f>VLOOKUP(B34,游戏时长规划!$C$29:$G$39,MATCH("联赛等级",游戏时长规划!$C$29:$G$29,0),TRUE)</f>
        <v>3</v>
      </c>
      <c r="D34" s="2">
        <f>IF(B34=VLOOKUP(C34,游戏时长规划!$B$29:$C$39,2,FALSE),C34-1,C34)</f>
        <v>3</v>
      </c>
      <c r="E34" s="2">
        <f>VLOOKUP(D34,游戏时长规划!$B$16:$R$26,MATCH(E$22,游戏时长规划!$B$16:$R$16,0),FALSE)</f>
        <v>300</v>
      </c>
      <c r="F34" s="2">
        <f t="shared" si="8"/>
        <v>20</v>
      </c>
      <c r="G34" s="2">
        <f t="shared" si="2"/>
        <v>5</v>
      </c>
      <c r="H34" s="2">
        <f>F34/VLOOKUP(D34,游戏时长规划!$B$16:$R$26,4,FALSE)/游戏时长规划!$C$5</f>
        <v>14.800000000000002</v>
      </c>
      <c r="I34" s="2">
        <f>SUM(H$23:H34)</f>
        <v>211.86666666666665</v>
      </c>
      <c r="J34" s="34">
        <f>H34/[1]游戏时长规划!$C$4</f>
        <v>1.9733333333333336</v>
      </c>
      <c r="K34" s="34">
        <f>I34/[1]游戏时长规划!$C$4</f>
        <v>28.248888888888885</v>
      </c>
      <c r="L34" s="34">
        <f t="shared" si="6"/>
        <v>305.86666666666673</v>
      </c>
      <c r="M34" s="33">
        <f t="shared" si="3"/>
        <v>600</v>
      </c>
      <c r="N34" s="34" t="s">
        <v>2456</v>
      </c>
      <c r="O34" s="32">
        <v>1</v>
      </c>
      <c r="P34" s="2">
        <f t="shared" si="9"/>
        <v>25153</v>
      </c>
      <c r="Q34" s="99" t="str">
        <f t="shared" si="7"/>
        <v>[25153]</v>
      </c>
      <c r="R34" s="99" t="str">
        <f t="shared" si="10"/>
        <v>[1]</v>
      </c>
      <c r="S34" s="1" t="str">
        <f t="shared" si="4"/>
        <v>chest_lv4_icon</v>
      </c>
      <c r="V34" s="2" t="s">
        <v>2439</v>
      </c>
      <c r="W34" s="2">
        <f>[1]宝箱设定!$C$9</f>
        <v>200</v>
      </c>
    </row>
    <row r="35" spans="2:23" x14ac:dyDescent="0.3">
      <c r="B35" s="2">
        <f t="shared" si="5"/>
        <v>240</v>
      </c>
      <c r="C35" s="2">
        <f>VLOOKUP(B35,游戏时长规划!$C$29:$G$39,MATCH("联赛等级",游戏时长规划!$C$29:$G$29,0),TRUE)</f>
        <v>3</v>
      </c>
      <c r="D35" s="2">
        <f>IF(B35=VLOOKUP(C35,游戏时长规划!$B$29:$C$39,2,FALSE),C35-1,C35)</f>
        <v>3</v>
      </c>
      <c r="E35" s="2">
        <f>VLOOKUP(D35,游戏时长规划!$B$16:$R$26,MATCH(E$22,游戏时长规划!$B$16:$R$16,0),FALSE)</f>
        <v>300</v>
      </c>
      <c r="F35" s="2">
        <f t="shared" si="8"/>
        <v>20</v>
      </c>
      <c r="G35" s="2">
        <f t="shared" si="2"/>
        <v>5</v>
      </c>
      <c r="H35" s="2">
        <f>F35/VLOOKUP(D35,游戏时长规划!$B$16:$R$26,4,FALSE)/游戏时长规划!$C$5</f>
        <v>14.800000000000002</v>
      </c>
      <c r="I35" s="2">
        <f>SUM(H$23:H35)</f>
        <v>226.66666666666666</v>
      </c>
      <c r="J35" s="34">
        <f>H35/[1]游戏时长规划!$C$4</f>
        <v>1.9733333333333336</v>
      </c>
      <c r="K35" s="34">
        <f>I35/[1]游戏时长规划!$C$4</f>
        <v>30.222222222222221</v>
      </c>
      <c r="L35" s="34">
        <f t="shared" si="6"/>
        <v>305.86666666666673</v>
      </c>
      <c r="M35" s="33">
        <f t="shared" si="3"/>
        <v>225</v>
      </c>
      <c r="N35" s="34" t="s">
        <v>511</v>
      </c>
      <c r="O35" s="32">
        <v>300</v>
      </c>
      <c r="P35" s="2">
        <f t="shared" si="9"/>
        <v>111</v>
      </c>
      <c r="Q35" s="99" t="str">
        <f t="shared" si="7"/>
        <v>[111]</v>
      </c>
      <c r="R35" s="99" t="str">
        <f t="shared" si="10"/>
        <v>[300]</v>
      </c>
      <c r="S35" s="1" t="str">
        <f t="shared" si="4"/>
        <v>StoreDoubleKey_1</v>
      </c>
      <c r="V35" s="2" t="s">
        <v>2440</v>
      </c>
      <c r="W35" s="2">
        <f>[1]宝箱设定!$C$9</f>
        <v>200</v>
      </c>
    </row>
    <row r="36" spans="2:23" x14ac:dyDescent="0.3">
      <c r="B36" s="2">
        <f t="shared" si="5"/>
        <v>260</v>
      </c>
      <c r="C36" s="2">
        <f>VLOOKUP(B36,游戏时长规划!$C$29:$G$39,MATCH("联赛等级",游戏时长规划!$C$29:$G$29,0),TRUE)</f>
        <v>3</v>
      </c>
      <c r="D36" s="2">
        <f>IF(B36=VLOOKUP(C36,游戏时长规划!$B$29:$C$39,2,FALSE),C36-1,C36)</f>
        <v>3</v>
      </c>
      <c r="E36" s="2">
        <f>VLOOKUP(D36,游戏时长规划!$B$16:$R$26,MATCH(E$22,游戏时长规划!$B$16:$R$16,0),FALSE)</f>
        <v>300</v>
      </c>
      <c r="F36" s="2">
        <f t="shared" si="8"/>
        <v>20</v>
      </c>
      <c r="G36" s="2">
        <f t="shared" si="2"/>
        <v>5</v>
      </c>
      <c r="H36" s="2">
        <f>F36/VLOOKUP(D36,游戏时长规划!$B$16:$R$26,4,FALSE)/游戏时长规划!$C$5</f>
        <v>14.800000000000002</v>
      </c>
      <c r="I36" s="2">
        <f>SUM(H$23:H36)</f>
        <v>241.46666666666667</v>
      </c>
      <c r="J36" s="34">
        <f>H36/[1]游戏时长规划!$C$4</f>
        <v>1.9733333333333336</v>
      </c>
      <c r="K36" s="34">
        <f>I36/[1]游戏时长规划!$C$4</f>
        <v>32.195555555555558</v>
      </c>
      <c r="L36" s="34">
        <f t="shared" si="6"/>
        <v>305.86666666666673</v>
      </c>
      <c r="M36" s="33">
        <f t="shared" si="3"/>
        <v>100</v>
      </c>
      <c r="N36" s="34" t="s">
        <v>317</v>
      </c>
      <c r="O36" s="32">
        <v>100</v>
      </c>
      <c r="P36" s="2">
        <f t="shared" si="9"/>
        <v>101</v>
      </c>
      <c r="Q36" s="99" t="str">
        <f t="shared" si="7"/>
        <v>[101]</v>
      </c>
      <c r="R36" s="99" t="str">
        <f t="shared" si="10"/>
        <v>[100]</v>
      </c>
      <c r="S36" s="1" t="str">
        <f t="shared" si="4"/>
        <v>StoreDiamond_1</v>
      </c>
      <c r="V36" s="2" t="s">
        <v>2441</v>
      </c>
      <c r="W36" s="2">
        <f>[1]宝箱设定!$C$9</f>
        <v>200</v>
      </c>
    </row>
    <row r="37" spans="2:23" x14ac:dyDescent="0.3">
      <c r="B37" s="2">
        <f t="shared" si="5"/>
        <v>280</v>
      </c>
      <c r="C37" s="2">
        <f>VLOOKUP(B37,游戏时长规划!$C$29:$G$39,MATCH("联赛等级",游戏时长规划!$C$29:$G$29,0),TRUE)</f>
        <v>3</v>
      </c>
      <c r="D37" s="2">
        <f>IF(B37=VLOOKUP(C37,游戏时长规划!$B$29:$C$39,2,FALSE),C37-1,C37)</f>
        <v>3</v>
      </c>
      <c r="E37" s="2">
        <f>VLOOKUP(D37,游戏时长规划!$B$16:$R$26,MATCH(E$22,游戏时长规划!$B$16:$R$16,0),FALSE)</f>
        <v>300</v>
      </c>
      <c r="F37" s="2">
        <f t="shared" si="8"/>
        <v>20</v>
      </c>
      <c r="G37" s="2">
        <f t="shared" si="2"/>
        <v>5</v>
      </c>
      <c r="H37" s="2">
        <f>F37/VLOOKUP(D37,游戏时长规划!$B$16:$R$26,4,FALSE)/游戏时长规划!$C$5</f>
        <v>14.800000000000002</v>
      </c>
      <c r="I37" s="2">
        <f>SUM(H$23:H37)</f>
        <v>256.26666666666665</v>
      </c>
      <c r="J37" s="34">
        <f>H37/[1]游戏时长规划!$C$4</f>
        <v>1.9733333333333336</v>
      </c>
      <c r="K37" s="34">
        <f>I37/[1]游戏时长规划!$C$4</f>
        <v>34.168888888888887</v>
      </c>
      <c r="L37" s="34">
        <f t="shared" si="6"/>
        <v>305.86666666666673</v>
      </c>
      <c r="M37" s="33">
        <f t="shared" si="3"/>
        <v>100</v>
      </c>
      <c r="N37" s="34" t="s">
        <v>517</v>
      </c>
      <c r="O37" s="32">
        <v>1</v>
      </c>
      <c r="P37" s="2">
        <f t="shared" si="9"/>
        <v>23003</v>
      </c>
      <c r="Q37" s="99" t="str">
        <f t="shared" si="7"/>
        <v>[23003]</v>
      </c>
      <c r="R37" s="99" t="str">
        <f t="shared" si="10"/>
        <v>[1]</v>
      </c>
      <c r="S37" s="1" t="str">
        <f t="shared" si="4"/>
        <v>chest_tankpart</v>
      </c>
      <c r="V37" s="2" t="s">
        <v>2442</v>
      </c>
      <c r="W37" s="2">
        <f>[1]宝箱设定!$C$9</f>
        <v>200</v>
      </c>
    </row>
    <row r="38" spans="2:23" x14ac:dyDescent="0.3">
      <c r="B38" s="2">
        <f t="shared" si="5"/>
        <v>350</v>
      </c>
      <c r="C38" s="2">
        <f>VLOOKUP(B38,游戏时长规划!$C$29:$G$39,MATCH("联赛等级",游戏时长规划!$C$29:$G$29,0),TRUE)</f>
        <v>4</v>
      </c>
      <c r="D38" s="2">
        <f>IF(B38=VLOOKUP(C38,游戏时长规划!$B$29:$C$39,2,FALSE),C38-1,C38)</f>
        <v>4</v>
      </c>
      <c r="E38" s="2">
        <f>VLOOKUP(D38,游戏时长规划!$B$16:$R$26,MATCH(E$22,游戏时长规划!$B$16:$R$16,0),FALSE)</f>
        <v>600</v>
      </c>
      <c r="F38" s="2">
        <f t="shared" si="8"/>
        <v>70</v>
      </c>
      <c r="G38" s="2">
        <f t="shared" si="2"/>
        <v>5</v>
      </c>
      <c r="H38" s="2">
        <f>F38/VLOOKUP(D38,游戏时长规划!$B$16:$R$26,4,FALSE)/游戏时长规划!$C$5</f>
        <v>16.333333333333332</v>
      </c>
      <c r="I38" s="2">
        <f>SUM(H$23:H38)</f>
        <v>272.59999999999997</v>
      </c>
      <c r="J38" s="34">
        <f>H38/[1]游戏时长规划!$C$4</f>
        <v>2.1777777777777776</v>
      </c>
      <c r="K38" s="34">
        <f>I38/[1]游戏时长规划!$C$4</f>
        <v>36.346666666666664</v>
      </c>
      <c r="L38" s="34">
        <f t="shared" si="6"/>
        <v>337.55555555555554</v>
      </c>
      <c r="M38" s="33">
        <f t="shared" si="3"/>
        <v>100</v>
      </c>
      <c r="N38" s="34" t="s">
        <v>521</v>
      </c>
      <c r="O38" s="32">
        <v>1</v>
      </c>
      <c r="P38" s="2">
        <f t="shared" si="9"/>
        <v>24004</v>
      </c>
      <c r="Q38" s="99" t="str">
        <f t="shared" si="7"/>
        <v>[24004]</v>
      </c>
      <c r="R38" s="99" t="str">
        <f t="shared" si="10"/>
        <v>[1]</v>
      </c>
      <c r="S38" s="1" t="str">
        <f t="shared" si="4"/>
        <v>chest_shard</v>
      </c>
      <c r="V38" s="2" t="s">
        <v>2443</v>
      </c>
      <c r="W38" s="2">
        <f>[1]宝箱设定!$C$9</f>
        <v>200</v>
      </c>
    </row>
    <row r="39" spans="2:23" x14ac:dyDescent="0.3">
      <c r="B39" s="2">
        <f t="shared" si="5"/>
        <v>400</v>
      </c>
      <c r="C39" s="2">
        <f>VLOOKUP(B39,游戏时长规划!$C$29:$G$39,MATCH("联赛等级",游戏时长规划!$C$29:$G$29,0),TRUE)</f>
        <v>4</v>
      </c>
      <c r="D39" s="2">
        <f>IF(B39=VLOOKUP(C39,游戏时长规划!$B$29:$C$39,2,FALSE),C39-1,C39)</f>
        <v>4</v>
      </c>
      <c r="E39" s="2">
        <f>VLOOKUP(D39,游戏时长规划!$B$16:$R$26,MATCH(E$22,游戏时长规划!$B$16:$R$16,0),FALSE)</f>
        <v>600</v>
      </c>
      <c r="F39" s="2">
        <f t="shared" si="8"/>
        <v>50</v>
      </c>
      <c r="G39" s="2">
        <f t="shared" si="2"/>
        <v>5</v>
      </c>
      <c r="H39" s="2">
        <f>F39/VLOOKUP(D39,游戏时长规划!$B$16:$R$26,4,FALSE)/游戏时长规划!$C$5</f>
        <v>11.666666666666668</v>
      </c>
      <c r="I39" s="2">
        <f>SUM(H$23:H39)</f>
        <v>284.26666666666665</v>
      </c>
      <c r="J39" s="34">
        <f>H39/[1]游戏时长规划!$C$4</f>
        <v>1.5555555555555558</v>
      </c>
      <c r="K39" s="34">
        <f>I39/[1]游戏时长规划!$C$4</f>
        <v>37.902222222222221</v>
      </c>
      <c r="L39" s="34">
        <f t="shared" si="6"/>
        <v>241.11111111111114</v>
      </c>
      <c r="M39" s="33">
        <f t="shared" si="3"/>
        <v>600</v>
      </c>
      <c r="N39" s="34" t="s">
        <v>2457</v>
      </c>
      <c r="O39" s="32">
        <v>1</v>
      </c>
      <c r="P39" s="2">
        <f t="shared" si="9"/>
        <v>25154</v>
      </c>
      <c r="Q39" s="99" t="str">
        <f t="shared" si="7"/>
        <v>[25154]</v>
      </c>
      <c r="R39" s="99" t="str">
        <f t="shared" si="10"/>
        <v>[1]</v>
      </c>
      <c r="S39" s="1" t="str">
        <f t="shared" si="4"/>
        <v>chest_lv4_icon</v>
      </c>
      <c r="V39" s="2" t="s">
        <v>2378</v>
      </c>
      <c r="W39" s="2">
        <f>[1]宝箱设定!$C$12</f>
        <v>100</v>
      </c>
    </row>
    <row r="40" spans="2:23" x14ac:dyDescent="0.3">
      <c r="B40" s="2">
        <f t="shared" si="5"/>
        <v>450</v>
      </c>
      <c r="C40" s="2">
        <f>VLOOKUP(B40,游戏时长规划!$C$29:$G$39,MATCH("联赛等级",游戏时长规划!$C$29:$G$29,0),TRUE)</f>
        <v>4</v>
      </c>
      <c r="D40" s="2">
        <f>IF(B40=VLOOKUP(C40,游戏时长规划!$B$29:$C$39,2,FALSE),C40-1,C40)</f>
        <v>4</v>
      </c>
      <c r="E40" s="2">
        <f>VLOOKUP(D40,游戏时长规划!$B$16:$R$26,MATCH(E$22,游戏时长规划!$B$16:$R$16,0),FALSE)</f>
        <v>600</v>
      </c>
      <c r="F40" s="2">
        <f t="shared" si="8"/>
        <v>50</v>
      </c>
      <c r="G40" s="2">
        <f t="shared" si="2"/>
        <v>5</v>
      </c>
      <c r="H40" s="2">
        <f>F40/VLOOKUP(D40,游戏时长规划!$B$16:$R$26,4,FALSE)/游戏时长规划!$C$5</f>
        <v>11.666666666666668</v>
      </c>
      <c r="I40" s="2">
        <f>SUM(H$23:H40)</f>
        <v>295.93333333333334</v>
      </c>
      <c r="J40" s="34">
        <f>H40/[1]游戏时长规划!$C$4</f>
        <v>1.5555555555555558</v>
      </c>
      <c r="K40" s="34">
        <f>I40/[1]游戏时长规划!$C$4</f>
        <v>39.457777777777778</v>
      </c>
      <c r="L40" s="34">
        <f t="shared" si="6"/>
        <v>241.11111111111114</v>
      </c>
      <c r="M40" s="33">
        <f t="shared" si="3"/>
        <v>262.5</v>
      </c>
      <c r="N40" s="34" t="s">
        <v>511</v>
      </c>
      <c r="O40" s="32">
        <v>350</v>
      </c>
      <c r="P40" s="2">
        <f t="shared" si="9"/>
        <v>111</v>
      </c>
      <c r="Q40" s="99" t="str">
        <f t="shared" si="7"/>
        <v>[111]</v>
      </c>
      <c r="R40" s="99" t="str">
        <f t="shared" si="10"/>
        <v>[350]</v>
      </c>
      <c r="S40" s="1" t="str">
        <f t="shared" si="4"/>
        <v>StoreDoubleKey_1</v>
      </c>
      <c r="V40" s="2" t="s">
        <v>515</v>
      </c>
      <c r="W40" s="2">
        <f>[1]宝箱设定!$C$12</f>
        <v>100</v>
      </c>
    </row>
    <row r="41" spans="2:23" x14ac:dyDescent="0.3">
      <c r="B41" s="2">
        <f t="shared" si="5"/>
        <v>500</v>
      </c>
      <c r="C41" s="2">
        <f>VLOOKUP(B41,游戏时长规划!$C$29:$G$39,MATCH("联赛等级",游戏时长规划!$C$29:$G$29,0),TRUE)</f>
        <v>4</v>
      </c>
      <c r="D41" s="2">
        <f>IF(B41=VLOOKUP(C41,游戏时长规划!$B$29:$C$39,2,FALSE),C41-1,C41)</f>
        <v>4</v>
      </c>
      <c r="E41" s="2">
        <f>VLOOKUP(D41,游戏时长规划!$B$16:$R$26,MATCH(E$22,游戏时长规划!$B$16:$R$16,0),FALSE)</f>
        <v>600</v>
      </c>
      <c r="F41" s="2">
        <f t="shared" si="8"/>
        <v>50</v>
      </c>
      <c r="G41" s="2">
        <f t="shared" si="2"/>
        <v>5</v>
      </c>
      <c r="H41" s="2">
        <f>F41/VLOOKUP(D41,游戏时长规划!$B$16:$R$26,4,FALSE)/游戏时长规划!$C$5</f>
        <v>11.666666666666668</v>
      </c>
      <c r="I41" s="2">
        <f>SUM(H$23:H41)</f>
        <v>307.60000000000002</v>
      </c>
      <c r="J41" s="34">
        <f>H41/[1]游戏时长规划!$C$4</f>
        <v>1.5555555555555558</v>
      </c>
      <c r="K41" s="34">
        <f>I41/[1]游戏时长规划!$C$4</f>
        <v>41.013333333333335</v>
      </c>
      <c r="L41" s="34">
        <f t="shared" si="6"/>
        <v>241.11111111111114</v>
      </c>
      <c r="M41" s="33">
        <f t="shared" si="3"/>
        <v>100</v>
      </c>
      <c r="N41" s="34" t="s">
        <v>317</v>
      </c>
      <c r="O41" s="32">
        <v>100</v>
      </c>
      <c r="P41" s="2">
        <f t="shared" si="9"/>
        <v>101</v>
      </c>
      <c r="Q41" s="99" t="str">
        <f t="shared" si="7"/>
        <v>[101]</v>
      </c>
      <c r="R41" s="99" t="str">
        <f t="shared" si="10"/>
        <v>[100]</v>
      </c>
      <c r="S41" s="1" t="str">
        <f t="shared" si="4"/>
        <v>StoreDiamond_1</v>
      </c>
      <c r="V41" s="2" t="s">
        <v>517</v>
      </c>
      <c r="W41" s="2">
        <f>[1]宝箱设定!$C$12</f>
        <v>100</v>
      </c>
    </row>
    <row r="42" spans="2:23" x14ac:dyDescent="0.3">
      <c r="B42" s="2">
        <f t="shared" si="5"/>
        <v>550</v>
      </c>
      <c r="C42" s="2">
        <f>VLOOKUP(B42,游戏时长规划!$C$29:$G$39,MATCH("联赛等级",游戏时长规划!$C$29:$G$29,0),TRUE)</f>
        <v>4</v>
      </c>
      <c r="D42" s="2">
        <f>IF(B42=VLOOKUP(C42,游戏时长规划!$B$29:$C$39,2,FALSE),C42-1,C42)</f>
        <v>4</v>
      </c>
      <c r="E42" s="2">
        <f>VLOOKUP(D42,游戏时长规划!$B$16:$R$26,MATCH(E$22,游戏时长规划!$B$16:$R$16,0),FALSE)</f>
        <v>600</v>
      </c>
      <c r="F42" s="2">
        <f t="shared" si="8"/>
        <v>50</v>
      </c>
      <c r="G42" s="2">
        <f t="shared" si="2"/>
        <v>5</v>
      </c>
      <c r="H42" s="2">
        <f>F42/VLOOKUP(D42,游戏时长规划!$B$16:$R$26,4,FALSE)/游戏时长规划!$C$5</f>
        <v>11.666666666666668</v>
      </c>
      <c r="I42" s="2">
        <f>SUM(H$23:H42)</f>
        <v>319.26666666666671</v>
      </c>
      <c r="J42" s="34">
        <f>H42/[1]游戏时长规划!$C$4</f>
        <v>1.5555555555555558</v>
      </c>
      <c r="K42" s="34">
        <f>I42/[1]游戏时长规划!$C$4</f>
        <v>42.568888888888893</v>
      </c>
      <c r="L42" s="34">
        <f t="shared" si="6"/>
        <v>241.11111111111114</v>
      </c>
      <c r="M42" s="33">
        <f t="shared" si="3"/>
        <v>100</v>
      </c>
      <c r="N42" s="34" t="s">
        <v>2382</v>
      </c>
      <c r="O42" s="32">
        <v>1</v>
      </c>
      <c r="P42" s="2">
        <f t="shared" si="9"/>
        <v>23004</v>
      </c>
      <c r="Q42" s="99" t="str">
        <f t="shared" si="7"/>
        <v>[23004]</v>
      </c>
      <c r="R42" s="99" t="str">
        <f t="shared" si="10"/>
        <v>[1]</v>
      </c>
      <c r="S42" s="1" t="str">
        <f t="shared" si="4"/>
        <v>chest_tankpart</v>
      </c>
      <c r="V42" s="2" t="s">
        <v>2382</v>
      </c>
      <c r="W42" s="2">
        <f>[1]宝箱设定!$C$12</f>
        <v>100</v>
      </c>
    </row>
    <row r="43" spans="2:23" x14ac:dyDescent="0.3">
      <c r="B43" s="2">
        <f t="shared" si="5"/>
        <v>650</v>
      </c>
      <c r="C43" s="2">
        <f>VLOOKUP(B43,游戏时长规划!$C$29:$G$39,MATCH("联赛等级",游戏时长规划!$C$29:$G$29,0),TRUE)</f>
        <v>5</v>
      </c>
      <c r="D43" s="2">
        <f>IF(B43=VLOOKUP(C43,游戏时长规划!$B$29:$C$39,2,FALSE),C43-1,C43)</f>
        <v>5</v>
      </c>
      <c r="E43" s="2">
        <f>VLOOKUP(D43,游戏时长规划!$B$16:$R$26,MATCH(E$22,游戏时长规划!$B$16:$R$16,0),FALSE)</f>
        <v>900</v>
      </c>
      <c r="F43" s="2">
        <f t="shared" si="8"/>
        <v>100</v>
      </c>
      <c r="G43" s="2">
        <f t="shared" si="2"/>
        <v>5</v>
      </c>
      <c r="H43" s="2">
        <f>F43/VLOOKUP(D43,游戏时长规划!$B$16:$R$26,4,FALSE)/游戏时长规划!$C$5</f>
        <v>16.666666666666668</v>
      </c>
      <c r="I43" s="2">
        <f>SUM(H$23:H43)</f>
        <v>335.93333333333339</v>
      </c>
      <c r="J43" s="34">
        <f>H43/[1]游戏时长规划!$C$4</f>
        <v>2.2222222222222223</v>
      </c>
      <c r="K43" s="34">
        <f>I43/[1]游戏时长规划!$C$4</f>
        <v>44.791111111111121</v>
      </c>
      <c r="L43" s="34">
        <f t="shared" si="6"/>
        <v>344.44444444444446</v>
      </c>
      <c r="M43" s="33">
        <f t="shared" si="3"/>
        <v>100</v>
      </c>
      <c r="N43" s="34" t="s">
        <v>2397</v>
      </c>
      <c r="O43" s="32">
        <v>1</v>
      </c>
      <c r="P43" s="2">
        <f t="shared" si="9"/>
        <v>24005</v>
      </c>
      <c r="Q43" s="99" t="str">
        <f t="shared" si="7"/>
        <v>[24005]</v>
      </c>
      <c r="R43" s="99" t="str">
        <f t="shared" si="10"/>
        <v>[1]</v>
      </c>
      <c r="S43" s="1" t="str">
        <f t="shared" si="4"/>
        <v>chest_shard</v>
      </c>
      <c r="V43" s="2" t="s">
        <v>525</v>
      </c>
      <c r="W43" s="2">
        <f>[1]宝箱设定!$C$12</f>
        <v>100</v>
      </c>
    </row>
    <row r="44" spans="2:23" x14ac:dyDescent="0.3">
      <c r="B44" s="2">
        <f t="shared" si="5"/>
        <v>700</v>
      </c>
      <c r="C44" s="2">
        <f>VLOOKUP(B44,游戏时长规划!$C$29:$G$39,MATCH("联赛等级",游戏时长规划!$C$29:$G$29,0),TRUE)</f>
        <v>5</v>
      </c>
      <c r="D44" s="2">
        <f>IF(B44=VLOOKUP(C44,游戏时长规划!$B$29:$C$39,2,FALSE),C44-1,C44)</f>
        <v>5</v>
      </c>
      <c r="E44" s="2">
        <f>VLOOKUP(D44,游戏时长规划!$B$16:$R$26,MATCH(E$22,游戏时长规划!$B$16:$R$16,0),FALSE)</f>
        <v>900</v>
      </c>
      <c r="F44" s="2">
        <f t="shared" si="8"/>
        <v>50</v>
      </c>
      <c r="G44" s="2">
        <f t="shared" si="2"/>
        <v>5</v>
      </c>
      <c r="H44" s="2">
        <f>F44/VLOOKUP(D44,游戏时长规划!$B$16:$R$26,4,FALSE)/游戏时长规划!$C$5</f>
        <v>8.3333333333333339</v>
      </c>
      <c r="I44" s="2">
        <f>SUM(H$23:H44)</f>
        <v>344.26666666666671</v>
      </c>
      <c r="J44" s="34">
        <f>H44/[1]游戏时长规划!$C$4</f>
        <v>1.1111111111111112</v>
      </c>
      <c r="K44" s="34">
        <f>I44/[1]游戏时长规划!$C$4</f>
        <v>45.902222222222228</v>
      </c>
      <c r="L44" s="34">
        <f t="shared" si="6"/>
        <v>172.22222222222223</v>
      </c>
      <c r="M44" s="33">
        <f t="shared" si="3"/>
        <v>600</v>
      </c>
      <c r="N44" s="34" t="s">
        <v>2458</v>
      </c>
      <c r="O44" s="32">
        <v>1</v>
      </c>
      <c r="P44" s="2">
        <f t="shared" si="9"/>
        <v>25155</v>
      </c>
      <c r="Q44" s="99" t="str">
        <f t="shared" si="7"/>
        <v>[25155]</v>
      </c>
      <c r="R44" s="99" t="str">
        <f t="shared" si="10"/>
        <v>[1]</v>
      </c>
      <c r="S44" s="1" t="str">
        <f t="shared" si="4"/>
        <v>chest_lv4_icon</v>
      </c>
      <c r="V44" s="2" t="s">
        <v>532</v>
      </c>
      <c r="W44" s="2">
        <f>[1]宝箱设定!$C$12</f>
        <v>100</v>
      </c>
    </row>
    <row r="45" spans="2:23" x14ac:dyDescent="0.3">
      <c r="B45" s="2">
        <f t="shared" si="5"/>
        <v>750</v>
      </c>
      <c r="C45" s="2">
        <f>VLOOKUP(B45,游戏时长规划!$C$29:$G$39,MATCH("联赛等级",游戏时长规划!$C$29:$G$29,0),TRUE)</f>
        <v>5</v>
      </c>
      <c r="D45" s="2">
        <f>IF(B45=VLOOKUP(C45,游戏时长规划!$B$29:$C$39,2,FALSE),C45-1,C45)</f>
        <v>5</v>
      </c>
      <c r="E45" s="2">
        <f>VLOOKUP(D45,游戏时长规划!$B$16:$R$26,MATCH(E$22,游戏时长规划!$B$16:$R$16,0),FALSE)</f>
        <v>900</v>
      </c>
      <c r="F45" s="2">
        <f t="shared" si="8"/>
        <v>50</v>
      </c>
      <c r="G45" s="2">
        <f t="shared" si="2"/>
        <v>5</v>
      </c>
      <c r="H45" s="2">
        <f>F45/VLOOKUP(D45,游戏时长规划!$B$16:$R$26,4,FALSE)/游戏时长规划!$C$5</f>
        <v>8.3333333333333339</v>
      </c>
      <c r="I45" s="2">
        <f>SUM(H$23:H45)</f>
        <v>352.6</v>
      </c>
      <c r="J45" s="34">
        <f>H45/[1]游戏时长规划!$C$4</f>
        <v>1.1111111111111112</v>
      </c>
      <c r="K45" s="34">
        <f>I45/[1]游戏时长规划!$C$4</f>
        <v>47.013333333333335</v>
      </c>
      <c r="L45" s="34">
        <f t="shared" si="6"/>
        <v>172.22222222222223</v>
      </c>
      <c r="M45" s="33">
        <f t="shared" si="3"/>
        <v>300</v>
      </c>
      <c r="N45" s="34" t="s">
        <v>511</v>
      </c>
      <c r="O45" s="32">
        <v>400</v>
      </c>
      <c r="P45" s="2">
        <f t="shared" si="9"/>
        <v>111</v>
      </c>
      <c r="Q45" s="99" t="str">
        <f t="shared" si="7"/>
        <v>[111]</v>
      </c>
      <c r="R45" s="99" t="str">
        <f t="shared" si="10"/>
        <v>[400]</v>
      </c>
      <c r="S45" s="1" t="str">
        <f t="shared" si="4"/>
        <v>StoreDoubleKey_1</v>
      </c>
      <c r="V45" s="2" t="s">
        <v>2386</v>
      </c>
      <c r="W45" s="2">
        <f>[1]宝箱设定!$C$12</f>
        <v>100</v>
      </c>
    </row>
    <row r="46" spans="2:23" x14ac:dyDescent="0.3">
      <c r="B46" s="2">
        <f t="shared" si="5"/>
        <v>800</v>
      </c>
      <c r="C46" s="2">
        <f>VLOOKUP(B46,游戏时长规划!$C$29:$G$39,MATCH("联赛等级",游戏时长规划!$C$29:$G$29,0),TRUE)</f>
        <v>5</v>
      </c>
      <c r="D46" s="2">
        <f>IF(B46=VLOOKUP(C46,游戏时长规划!$B$29:$C$39,2,FALSE),C46-1,C46)</f>
        <v>5</v>
      </c>
      <c r="E46" s="2">
        <f>VLOOKUP(D46,游戏时长规划!$B$16:$R$26,MATCH(E$22,游戏时长规划!$B$16:$R$16,0),FALSE)</f>
        <v>900</v>
      </c>
      <c r="F46" s="2">
        <f t="shared" si="8"/>
        <v>50</v>
      </c>
      <c r="G46" s="2">
        <f t="shared" si="2"/>
        <v>5</v>
      </c>
      <c r="H46" s="2">
        <f>F46/VLOOKUP(D46,游戏时长规划!$B$16:$R$26,4,FALSE)/游戏时长规划!$C$5</f>
        <v>8.3333333333333339</v>
      </c>
      <c r="I46" s="2">
        <f>SUM(H$23:H46)</f>
        <v>360.93333333333334</v>
      </c>
      <c r="J46" s="34">
        <f>H46/[1]游戏时长规划!$C$4</f>
        <v>1.1111111111111112</v>
      </c>
      <c r="K46" s="34">
        <f>I46/[1]游戏时长规划!$C$4</f>
        <v>48.124444444444443</v>
      </c>
      <c r="L46" s="34">
        <f t="shared" si="6"/>
        <v>172.22222222222223</v>
      </c>
      <c r="M46" s="33">
        <f t="shared" si="3"/>
        <v>200</v>
      </c>
      <c r="N46" s="34" t="s">
        <v>317</v>
      </c>
      <c r="O46" s="32">
        <v>200</v>
      </c>
      <c r="P46" s="2">
        <f t="shared" si="9"/>
        <v>101</v>
      </c>
      <c r="Q46" s="99" t="str">
        <f t="shared" si="7"/>
        <v>[101]</v>
      </c>
      <c r="R46" s="99" t="str">
        <f t="shared" si="10"/>
        <v>[200]</v>
      </c>
      <c r="S46" s="1" t="str">
        <f t="shared" si="4"/>
        <v>StoreDiamond_1</v>
      </c>
      <c r="V46" s="2" t="s">
        <v>2388</v>
      </c>
      <c r="W46" s="2">
        <f>[1]宝箱设定!$C$12</f>
        <v>100</v>
      </c>
    </row>
    <row r="47" spans="2:23" x14ac:dyDescent="0.3">
      <c r="B47" s="2">
        <f t="shared" si="5"/>
        <v>850</v>
      </c>
      <c r="C47" s="2">
        <f>VLOOKUP(B47,游戏时长规划!$C$29:$G$39,MATCH("联赛等级",游戏时长规划!$C$29:$G$29,0),TRUE)</f>
        <v>5</v>
      </c>
      <c r="D47" s="2">
        <f>IF(B47=VLOOKUP(C47,游戏时长规划!$B$29:$C$39,2,FALSE),C47-1,C47)</f>
        <v>5</v>
      </c>
      <c r="E47" s="2">
        <f>VLOOKUP(D47,游戏时长规划!$B$16:$R$26,MATCH(E$22,游戏时长规划!$B$16:$R$16,0),FALSE)</f>
        <v>900</v>
      </c>
      <c r="F47" s="2">
        <f t="shared" si="8"/>
        <v>50</v>
      </c>
      <c r="G47" s="2">
        <f t="shared" si="2"/>
        <v>5</v>
      </c>
      <c r="H47" s="2">
        <f>F47/VLOOKUP(D47,游戏时长规划!$B$16:$R$26,4,FALSE)/游戏时长规划!$C$5</f>
        <v>8.3333333333333339</v>
      </c>
      <c r="I47" s="2">
        <f>SUM(H$23:H47)</f>
        <v>369.26666666666665</v>
      </c>
      <c r="J47" s="34">
        <f>H47/[1]游戏时长规划!$C$4</f>
        <v>1.1111111111111112</v>
      </c>
      <c r="K47" s="34">
        <f>I47/[1]游戏时长规划!$C$4</f>
        <v>49.235555555555557</v>
      </c>
      <c r="L47" s="34">
        <f t="shared" si="6"/>
        <v>172.22222222222223</v>
      </c>
      <c r="M47" s="33">
        <f t="shared" si="3"/>
        <v>100</v>
      </c>
      <c r="N47" s="34" t="s">
        <v>525</v>
      </c>
      <c r="O47" s="32">
        <v>1</v>
      </c>
      <c r="P47" s="2">
        <f t="shared" si="9"/>
        <v>23005</v>
      </c>
      <c r="Q47" s="99" t="str">
        <f t="shared" si="7"/>
        <v>[23005]</v>
      </c>
      <c r="R47" s="99" t="str">
        <f t="shared" si="10"/>
        <v>[1]</v>
      </c>
      <c r="S47" s="1" t="str">
        <f t="shared" si="4"/>
        <v>chest_tankpart</v>
      </c>
      <c r="V47" s="2" t="s">
        <v>2390</v>
      </c>
      <c r="W47" s="2">
        <f>[1]宝箱设定!$C$12</f>
        <v>100</v>
      </c>
    </row>
    <row r="48" spans="2:23" x14ac:dyDescent="0.3">
      <c r="B48" s="2">
        <f t="shared" si="5"/>
        <v>950</v>
      </c>
      <c r="C48" s="2">
        <f>VLOOKUP(B48,游戏时长规划!$C$29:$G$39,MATCH("联赛等级",游戏时长规划!$C$29:$G$29,0),TRUE)</f>
        <v>6</v>
      </c>
      <c r="D48" s="2">
        <f>IF(B48=VLOOKUP(C48,游戏时长规划!$B$29:$C$39,2,FALSE),C48-1,C48)</f>
        <v>6</v>
      </c>
      <c r="E48" s="2">
        <f>VLOOKUP(D48,游戏时长规划!$B$16:$R$26,MATCH(E$22,游戏时长规划!$B$16:$R$16,0),FALSE)</f>
        <v>1200</v>
      </c>
      <c r="F48" s="2">
        <f t="shared" si="8"/>
        <v>100</v>
      </c>
      <c r="G48" s="2">
        <f t="shared" si="2"/>
        <v>5</v>
      </c>
      <c r="H48" s="2">
        <f>F48/VLOOKUP(D48,游戏时长规划!$B$16:$R$26,4,FALSE)/游戏时长规划!$C$5</f>
        <v>20</v>
      </c>
      <c r="I48" s="2">
        <f>SUM(H$23:H48)</f>
        <v>389.26666666666665</v>
      </c>
      <c r="J48" s="34">
        <f>H48/[1]游戏时长规划!$C$4</f>
        <v>2.6666666666666665</v>
      </c>
      <c r="K48" s="34">
        <f>I48/[1]游戏时长规划!$C$4</f>
        <v>51.902222222222221</v>
      </c>
      <c r="L48" s="34">
        <f t="shared" si="6"/>
        <v>413.33333333333331</v>
      </c>
      <c r="M48" s="33">
        <f t="shared" si="3"/>
        <v>100</v>
      </c>
      <c r="N48" s="34" t="s">
        <v>528</v>
      </c>
      <c r="O48" s="32">
        <v>1</v>
      </c>
      <c r="P48" s="2">
        <f t="shared" si="9"/>
        <v>24006</v>
      </c>
      <c r="Q48" s="99" t="str">
        <f t="shared" si="7"/>
        <v>[24006]</v>
      </c>
      <c r="R48" s="99" t="str">
        <f t="shared" si="10"/>
        <v>[1]</v>
      </c>
      <c r="S48" s="1" t="str">
        <f t="shared" si="4"/>
        <v>chest_shard</v>
      </c>
      <c r="V48" s="2" t="s">
        <v>2392</v>
      </c>
      <c r="W48" s="2">
        <f>[1]宝箱设定!$C$12</f>
        <v>100</v>
      </c>
    </row>
    <row r="49" spans="2:23" x14ac:dyDescent="0.3">
      <c r="B49" s="2">
        <f t="shared" si="5"/>
        <v>1000</v>
      </c>
      <c r="C49" s="2">
        <f>VLOOKUP(B49,游戏时长规划!$C$29:$G$39,MATCH("联赛等级",游戏时长规划!$C$29:$G$29,0),TRUE)</f>
        <v>6</v>
      </c>
      <c r="D49" s="2">
        <f>IF(B49=VLOOKUP(C49,游戏时长规划!$B$29:$C$39,2,FALSE),C49-1,C49)</f>
        <v>6</v>
      </c>
      <c r="E49" s="2">
        <f>VLOOKUP(D49,游戏时长规划!$B$16:$R$26,MATCH(E$22,游戏时长规划!$B$16:$R$16,0),FALSE)</f>
        <v>1200</v>
      </c>
      <c r="F49" s="2">
        <f t="shared" si="8"/>
        <v>50</v>
      </c>
      <c r="G49" s="2">
        <f t="shared" si="2"/>
        <v>5</v>
      </c>
      <c r="H49" s="2">
        <f>F49/VLOOKUP(D49,游戏时长规划!$B$16:$R$26,4,FALSE)/游戏时长规划!$C$5</f>
        <v>10</v>
      </c>
      <c r="I49" s="2">
        <f>SUM(H$23:H49)</f>
        <v>399.26666666666665</v>
      </c>
      <c r="J49" s="34">
        <f>H49/[1]游戏时长规划!$C$4</f>
        <v>1.3333333333333333</v>
      </c>
      <c r="K49" s="34">
        <f>I49/[1]游戏时长规划!$C$4</f>
        <v>53.235555555555557</v>
      </c>
      <c r="L49" s="34">
        <f t="shared" si="6"/>
        <v>206.66666666666666</v>
      </c>
      <c r="M49" s="33">
        <f t="shared" si="3"/>
        <v>600</v>
      </c>
      <c r="N49" s="34" t="s">
        <v>2459</v>
      </c>
      <c r="O49" s="32">
        <v>1</v>
      </c>
      <c r="P49" s="2">
        <f t="shared" si="9"/>
        <v>25156</v>
      </c>
      <c r="Q49" s="99" t="str">
        <f t="shared" si="7"/>
        <v>[25156]</v>
      </c>
      <c r="R49" s="99" t="str">
        <f t="shared" si="10"/>
        <v>[1]</v>
      </c>
      <c r="S49" s="1" t="str">
        <f t="shared" si="4"/>
        <v>chest_lv4_icon</v>
      </c>
      <c r="V49" s="2" t="s">
        <v>2455</v>
      </c>
      <c r="W49" s="2">
        <f>[1]宝箱设定!$C$10</f>
        <v>600</v>
      </c>
    </row>
    <row r="50" spans="2:23" x14ac:dyDescent="0.3">
      <c r="B50" s="2">
        <f t="shared" si="5"/>
        <v>1050</v>
      </c>
      <c r="C50" s="2">
        <f>VLOOKUP(B50,游戏时长规划!$C$29:$G$39,MATCH("联赛等级",游戏时长规划!$C$29:$G$29,0),TRUE)</f>
        <v>6</v>
      </c>
      <c r="D50" s="2">
        <f>IF(B50=VLOOKUP(C50,游戏时长规划!$B$29:$C$39,2,FALSE),C50-1,C50)</f>
        <v>6</v>
      </c>
      <c r="E50" s="2">
        <f>VLOOKUP(D50,游戏时长规划!$B$16:$R$26,MATCH(E$22,游戏时长规划!$B$16:$R$16,0),FALSE)</f>
        <v>1200</v>
      </c>
      <c r="F50" s="2">
        <f t="shared" si="8"/>
        <v>50</v>
      </c>
      <c r="G50" s="2">
        <f t="shared" si="2"/>
        <v>5</v>
      </c>
      <c r="H50" s="2">
        <f>F50/VLOOKUP(D50,游戏时长规划!$B$16:$R$26,4,FALSE)/游戏时长规划!$C$5</f>
        <v>10</v>
      </c>
      <c r="I50" s="2">
        <f>SUM(H$23:H50)</f>
        <v>409.26666666666665</v>
      </c>
      <c r="J50" s="34">
        <f>H50/[1]游戏时长规划!$C$4</f>
        <v>1.3333333333333333</v>
      </c>
      <c r="K50" s="34">
        <f>I50/[1]游戏时长规划!$C$4</f>
        <v>54.568888888888885</v>
      </c>
      <c r="L50" s="34">
        <f t="shared" si="6"/>
        <v>206.66666666666666</v>
      </c>
      <c r="M50" s="33">
        <f t="shared" si="3"/>
        <v>375</v>
      </c>
      <c r="N50" s="34" t="s">
        <v>511</v>
      </c>
      <c r="O50" s="32">
        <v>500</v>
      </c>
      <c r="P50" s="2">
        <f t="shared" si="9"/>
        <v>111</v>
      </c>
      <c r="Q50" s="99" t="str">
        <f t="shared" si="7"/>
        <v>[111]</v>
      </c>
      <c r="R50" s="99" t="str">
        <f t="shared" si="10"/>
        <v>[500]</v>
      </c>
      <c r="S50" s="1" t="str">
        <f t="shared" si="4"/>
        <v>StoreDoubleKey_1</v>
      </c>
      <c r="V50" s="2" t="s">
        <v>514</v>
      </c>
      <c r="W50" s="2">
        <f>[1]宝箱设定!$C$10</f>
        <v>600</v>
      </c>
    </row>
    <row r="51" spans="2:23" x14ac:dyDescent="0.3">
      <c r="B51" s="2">
        <f t="shared" si="5"/>
        <v>1100</v>
      </c>
      <c r="C51" s="2">
        <f>VLOOKUP(B51,游戏时长规划!$C$29:$G$39,MATCH("联赛等级",游戏时长规划!$C$29:$G$29,0),TRUE)</f>
        <v>6</v>
      </c>
      <c r="D51" s="2">
        <f>IF(B51=VLOOKUP(C51,游戏时长规划!$B$29:$C$39,2,FALSE),C51-1,C51)</f>
        <v>6</v>
      </c>
      <c r="E51" s="2">
        <f>VLOOKUP(D51,游戏时长规划!$B$16:$R$26,MATCH(E$22,游戏时长规划!$B$16:$R$16,0),FALSE)</f>
        <v>1200</v>
      </c>
      <c r="F51" s="2">
        <f t="shared" si="8"/>
        <v>50</v>
      </c>
      <c r="G51" s="2">
        <f t="shared" si="2"/>
        <v>5</v>
      </c>
      <c r="H51" s="2">
        <f>F51/VLOOKUP(D51,游戏时长规划!$B$16:$R$26,4,FALSE)/游戏时长规划!$C$5</f>
        <v>10</v>
      </c>
      <c r="I51" s="2">
        <f>SUM(H$23:H51)</f>
        <v>419.26666666666665</v>
      </c>
      <c r="J51" s="34">
        <f>H51/[1]游戏时长规划!$C$4</f>
        <v>1.3333333333333333</v>
      </c>
      <c r="K51" s="34">
        <f>I51/[1]游戏时长规划!$C$4</f>
        <v>55.902222222222221</v>
      </c>
      <c r="L51" s="34">
        <f t="shared" si="6"/>
        <v>206.66666666666666</v>
      </c>
      <c r="M51" s="33">
        <f t="shared" si="3"/>
        <v>200</v>
      </c>
      <c r="N51" s="34" t="s">
        <v>317</v>
      </c>
      <c r="O51" s="32">
        <v>200</v>
      </c>
      <c r="P51" s="2">
        <f t="shared" si="9"/>
        <v>101</v>
      </c>
      <c r="Q51" s="99" t="str">
        <f t="shared" si="7"/>
        <v>[101]</v>
      </c>
      <c r="R51" s="99" t="str">
        <f t="shared" si="10"/>
        <v>[200]</v>
      </c>
      <c r="S51" s="1" t="str">
        <f t="shared" si="4"/>
        <v>StoreDiamond_1</v>
      </c>
      <c r="V51" s="2" t="s">
        <v>2456</v>
      </c>
      <c r="W51" s="2">
        <f>[1]宝箱设定!$C$10</f>
        <v>600</v>
      </c>
    </row>
    <row r="52" spans="2:23" x14ac:dyDescent="0.3">
      <c r="B52" s="2">
        <f t="shared" si="5"/>
        <v>1150</v>
      </c>
      <c r="C52" s="2">
        <f>VLOOKUP(B52,游戏时长规划!$C$29:$G$39,MATCH("联赛等级",游戏时长规划!$C$29:$G$29,0),TRUE)</f>
        <v>6</v>
      </c>
      <c r="D52" s="2">
        <f>IF(B52=VLOOKUP(C52,游戏时长规划!$B$29:$C$39,2,FALSE),C52-1,C52)</f>
        <v>6</v>
      </c>
      <c r="E52" s="2">
        <f>VLOOKUP(D52,游戏时长规划!$B$16:$R$26,MATCH(E$22,游戏时长规划!$B$16:$R$16,0),FALSE)</f>
        <v>1200</v>
      </c>
      <c r="F52" s="2">
        <f t="shared" si="8"/>
        <v>50</v>
      </c>
      <c r="G52" s="2">
        <f t="shared" si="2"/>
        <v>5</v>
      </c>
      <c r="H52" s="2">
        <f>F52/VLOOKUP(D52,游戏时长规划!$B$16:$R$26,4,FALSE)/游戏时长规划!$C$5</f>
        <v>10</v>
      </c>
      <c r="I52" s="2">
        <f>SUM(H$23:H52)</f>
        <v>429.26666666666665</v>
      </c>
      <c r="J52" s="34">
        <f>H52/[1]游戏时长规划!$C$4</f>
        <v>1.3333333333333333</v>
      </c>
      <c r="K52" s="34">
        <f>I52/[1]游戏时长规划!$C$4</f>
        <v>57.235555555555557</v>
      </c>
      <c r="L52" s="34">
        <f t="shared" si="6"/>
        <v>206.66666666666666</v>
      </c>
      <c r="M52" s="33">
        <f t="shared" si="3"/>
        <v>100</v>
      </c>
      <c r="N52" s="34" t="s">
        <v>532</v>
      </c>
      <c r="O52" s="32">
        <v>1</v>
      </c>
      <c r="P52" s="2">
        <f t="shared" si="9"/>
        <v>23006</v>
      </c>
      <c r="Q52" s="99" t="str">
        <f t="shared" si="7"/>
        <v>[23006]</v>
      </c>
      <c r="R52" s="99" t="str">
        <f t="shared" si="10"/>
        <v>[1]</v>
      </c>
      <c r="S52" s="1" t="str">
        <f t="shared" si="4"/>
        <v>chest_tankpart</v>
      </c>
      <c r="V52" s="2" t="s">
        <v>2457</v>
      </c>
      <c r="W52" s="2">
        <f>[1]宝箱设定!$C$10</f>
        <v>600</v>
      </c>
    </row>
    <row r="53" spans="2:23" x14ac:dyDescent="0.3">
      <c r="B53" s="2">
        <f t="shared" si="5"/>
        <v>1250</v>
      </c>
      <c r="C53" s="2">
        <f>VLOOKUP(B53,游戏时长规划!$C$29:$G$39,MATCH("联赛等级",游戏时长规划!$C$29:$G$29,0),TRUE)</f>
        <v>7</v>
      </c>
      <c r="D53" s="2">
        <f>IF(B53=VLOOKUP(C53,游戏时长规划!$B$29:$C$39,2,FALSE),C53-1,C53)</f>
        <v>7</v>
      </c>
      <c r="E53" s="2">
        <f>VLOOKUP(D53,游戏时长规划!$B$16:$R$26,MATCH(E$22,游戏时长规划!$B$16:$R$16,0),FALSE)</f>
        <v>1500</v>
      </c>
      <c r="F53" s="2">
        <f t="shared" si="8"/>
        <v>100</v>
      </c>
      <c r="G53" s="2">
        <f t="shared" si="2"/>
        <v>5</v>
      </c>
      <c r="H53" s="2">
        <f>F53/VLOOKUP(D53,游戏时长规划!$B$16:$R$26,4,FALSE)/游戏时长规划!$C$5</f>
        <v>13.333333333333334</v>
      </c>
      <c r="I53" s="2">
        <f>SUM(H$23:H53)</f>
        <v>442.59999999999997</v>
      </c>
      <c r="J53" s="34">
        <f>H53/[1]游戏时长规划!$C$4</f>
        <v>1.7777777777777779</v>
      </c>
      <c r="K53" s="34">
        <f>I53/[1]游戏时长规划!$C$4</f>
        <v>59.013333333333328</v>
      </c>
      <c r="L53" s="34">
        <f t="shared" si="6"/>
        <v>275.5555555555556</v>
      </c>
      <c r="M53" s="33">
        <f t="shared" si="3"/>
        <v>100</v>
      </c>
      <c r="N53" s="34" t="s">
        <v>533</v>
      </c>
      <c r="O53" s="32">
        <v>1</v>
      </c>
      <c r="P53" s="2">
        <f t="shared" si="9"/>
        <v>24007</v>
      </c>
      <c r="Q53" s="99" t="str">
        <f t="shared" si="7"/>
        <v>[24007]</v>
      </c>
      <c r="R53" s="99" t="str">
        <f t="shared" si="10"/>
        <v>[1]</v>
      </c>
      <c r="S53" s="1" t="str">
        <f t="shared" si="4"/>
        <v>chest_shard</v>
      </c>
      <c r="V53" s="2" t="s">
        <v>2458</v>
      </c>
      <c r="W53" s="2">
        <f>[1]宝箱设定!$C$10</f>
        <v>600</v>
      </c>
    </row>
    <row r="54" spans="2:23" x14ac:dyDescent="0.3">
      <c r="B54" s="2">
        <f t="shared" si="5"/>
        <v>1300</v>
      </c>
      <c r="C54" s="2">
        <f>VLOOKUP(B54,游戏时长规划!$C$29:$G$39,MATCH("联赛等级",游戏时长规划!$C$29:$G$29,0),TRUE)</f>
        <v>7</v>
      </c>
      <c r="D54" s="2">
        <f>IF(B54=VLOOKUP(C54,游戏时长规划!$B$29:$C$39,2,FALSE),C54-1,C54)</f>
        <v>7</v>
      </c>
      <c r="E54" s="2">
        <f>VLOOKUP(D54,游戏时长规划!$B$16:$R$26,MATCH(E$22,游戏时长规划!$B$16:$R$16,0),FALSE)</f>
        <v>1500</v>
      </c>
      <c r="F54" s="2">
        <f t="shared" si="8"/>
        <v>50</v>
      </c>
      <c r="G54" s="2">
        <f t="shared" si="2"/>
        <v>5</v>
      </c>
      <c r="H54" s="2">
        <f>F54/VLOOKUP(D54,游戏时长规划!$B$16:$R$26,4,FALSE)/游戏时长规划!$C$5</f>
        <v>6.666666666666667</v>
      </c>
      <c r="I54" s="2">
        <f>SUM(H$23:H54)</f>
        <v>449.26666666666665</v>
      </c>
      <c r="J54" s="34">
        <f>H54/[1]游戏时长规划!$C$4</f>
        <v>0.88888888888888895</v>
      </c>
      <c r="K54" s="34">
        <f>I54/[1]游戏时长规划!$C$4</f>
        <v>59.902222222222221</v>
      </c>
      <c r="L54" s="34">
        <f t="shared" si="6"/>
        <v>137.7777777777778</v>
      </c>
      <c r="M54" s="33">
        <f t="shared" si="3"/>
        <v>600</v>
      </c>
      <c r="N54" s="34" t="s">
        <v>2460</v>
      </c>
      <c r="O54" s="32">
        <v>1</v>
      </c>
      <c r="P54" s="2">
        <f t="shared" si="9"/>
        <v>25157</v>
      </c>
      <c r="Q54" s="99" t="str">
        <f t="shared" si="7"/>
        <v>[25157]</v>
      </c>
      <c r="R54" s="99" t="str">
        <f t="shared" si="10"/>
        <v>[1]</v>
      </c>
      <c r="S54" s="1" t="str">
        <f t="shared" si="4"/>
        <v>chest_lv4_icon</v>
      </c>
      <c r="V54" s="2" t="s">
        <v>2459</v>
      </c>
      <c r="W54" s="2">
        <f>[1]宝箱设定!$C$10</f>
        <v>600</v>
      </c>
    </row>
    <row r="55" spans="2:23" x14ac:dyDescent="0.3">
      <c r="B55" s="2">
        <f t="shared" si="5"/>
        <v>1350</v>
      </c>
      <c r="C55" s="2">
        <f>VLOOKUP(B55,游戏时长规划!$C$29:$G$39,MATCH("联赛等级",游戏时长规划!$C$29:$G$29,0),TRUE)</f>
        <v>7</v>
      </c>
      <c r="D55" s="2">
        <f>IF(B55=VLOOKUP(C55,游戏时长规划!$B$29:$C$39,2,FALSE),C55-1,C55)</f>
        <v>7</v>
      </c>
      <c r="E55" s="2">
        <f>VLOOKUP(D55,游戏时长规划!$B$16:$R$26,MATCH(E$22,游戏时长规划!$B$16:$R$16,0),FALSE)</f>
        <v>1500</v>
      </c>
      <c r="F55" s="2">
        <f t="shared" si="8"/>
        <v>50</v>
      </c>
      <c r="G55" s="2">
        <f t="shared" si="2"/>
        <v>5</v>
      </c>
      <c r="H55" s="2">
        <f>F55/VLOOKUP(D55,游戏时长规划!$B$16:$R$26,4,FALSE)/游戏时长规划!$C$5</f>
        <v>6.666666666666667</v>
      </c>
      <c r="I55" s="2">
        <f>SUM(H$23:H55)</f>
        <v>455.93333333333334</v>
      </c>
      <c r="J55" s="34">
        <f>H55/[1]游戏时长规划!$C$4</f>
        <v>0.88888888888888895</v>
      </c>
      <c r="K55" s="34">
        <f>I55/[1]游戏时长规划!$C$4</f>
        <v>60.791111111111114</v>
      </c>
      <c r="L55" s="34">
        <f t="shared" si="6"/>
        <v>137.7777777777778</v>
      </c>
      <c r="M55" s="33">
        <f t="shared" si="3"/>
        <v>450</v>
      </c>
      <c r="N55" s="34" t="s">
        <v>511</v>
      </c>
      <c r="O55" s="32">
        <v>600</v>
      </c>
      <c r="P55" s="2">
        <f t="shared" si="9"/>
        <v>111</v>
      </c>
      <c r="Q55" s="99" t="str">
        <f t="shared" si="7"/>
        <v>[111]</v>
      </c>
      <c r="R55" s="99" t="str">
        <f t="shared" si="10"/>
        <v>[600]</v>
      </c>
      <c r="S55" s="1" t="str">
        <f t="shared" si="4"/>
        <v>StoreDoubleKey_1</v>
      </c>
      <c r="V55" s="2" t="s">
        <v>2460</v>
      </c>
      <c r="W55" s="2">
        <f>[1]宝箱设定!$C$10</f>
        <v>600</v>
      </c>
    </row>
    <row r="56" spans="2:23" x14ac:dyDescent="0.3">
      <c r="B56" s="2">
        <f t="shared" si="5"/>
        <v>1400</v>
      </c>
      <c r="C56" s="2">
        <f>VLOOKUP(B56,游戏时长规划!$C$29:$G$39,MATCH("联赛等级",游戏时长规划!$C$29:$G$29,0),TRUE)</f>
        <v>7</v>
      </c>
      <c r="D56" s="2">
        <f>IF(B56=VLOOKUP(C56,游戏时长规划!$B$29:$C$39,2,FALSE),C56-1,C56)</f>
        <v>7</v>
      </c>
      <c r="E56" s="2">
        <f>VLOOKUP(D56,游戏时长规划!$B$16:$R$26,MATCH(E$22,游戏时长规划!$B$16:$R$16,0),FALSE)</f>
        <v>1500</v>
      </c>
      <c r="F56" s="2">
        <f t="shared" si="8"/>
        <v>50</v>
      </c>
      <c r="G56" s="2">
        <f t="shared" si="2"/>
        <v>5</v>
      </c>
      <c r="H56" s="2">
        <f>F56/VLOOKUP(D56,游戏时长规划!$B$16:$R$26,4,FALSE)/游戏时长规划!$C$5</f>
        <v>6.666666666666667</v>
      </c>
      <c r="I56" s="2">
        <f>SUM(H$23:H56)</f>
        <v>462.6</v>
      </c>
      <c r="J56" s="34">
        <f>H56/[1]游戏时长规划!$C$4</f>
        <v>0.88888888888888895</v>
      </c>
      <c r="K56" s="34">
        <f>I56/[1]游戏时长规划!$C$4</f>
        <v>61.68</v>
      </c>
      <c r="L56" s="34">
        <f t="shared" si="6"/>
        <v>137.7777777777778</v>
      </c>
      <c r="M56" s="33">
        <f t="shared" si="3"/>
        <v>200</v>
      </c>
      <c r="N56" s="34" t="s">
        <v>317</v>
      </c>
      <c r="O56" s="32">
        <v>200</v>
      </c>
      <c r="P56" s="2">
        <f t="shared" si="9"/>
        <v>101</v>
      </c>
      <c r="Q56" s="99" t="str">
        <f t="shared" si="7"/>
        <v>[101]</v>
      </c>
      <c r="R56" s="99" t="str">
        <f t="shared" si="10"/>
        <v>[200]</v>
      </c>
      <c r="S56" s="1" t="str">
        <f t="shared" si="4"/>
        <v>StoreDiamond_1</v>
      </c>
      <c r="V56" s="2" t="s">
        <v>2461</v>
      </c>
      <c r="W56" s="2">
        <f>[1]宝箱设定!$C$10</f>
        <v>600</v>
      </c>
    </row>
    <row r="57" spans="2:23" x14ac:dyDescent="0.3">
      <c r="B57" s="2">
        <f t="shared" si="5"/>
        <v>1450</v>
      </c>
      <c r="C57" s="2">
        <f>VLOOKUP(B57,游戏时长规划!$C$29:$G$39,MATCH("联赛等级",游戏时长规划!$C$29:$G$29,0),TRUE)</f>
        <v>7</v>
      </c>
      <c r="D57" s="2">
        <f>IF(B57=VLOOKUP(C57,游戏时长规划!$B$29:$C$39,2,FALSE),C57-1,C57)</f>
        <v>7</v>
      </c>
      <c r="E57" s="2">
        <f>VLOOKUP(D57,游戏时长规划!$B$16:$R$26,MATCH(E$22,游戏时长规划!$B$16:$R$16,0),FALSE)</f>
        <v>1500</v>
      </c>
      <c r="F57" s="2">
        <f t="shared" si="8"/>
        <v>50</v>
      </c>
      <c r="G57" s="2">
        <f t="shared" si="2"/>
        <v>5</v>
      </c>
      <c r="H57" s="2">
        <f>F57/VLOOKUP(D57,游戏时长规划!$B$16:$R$26,4,FALSE)/游戏时长规划!$C$5</f>
        <v>6.666666666666667</v>
      </c>
      <c r="I57" s="2">
        <f>SUM(H$23:H57)</f>
        <v>469.26666666666671</v>
      </c>
      <c r="J57" s="34">
        <f>H57/[1]游戏时长规划!$C$4</f>
        <v>0.88888888888888895</v>
      </c>
      <c r="K57" s="34">
        <f>I57/[1]游戏时长规划!$C$4</f>
        <v>62.568888888888893</v>
      </c>
      <c r="L57" s="34">
        <f t="shared" si="6"/>
        <v>137.7777777777778</v>
      </c>
      <c r="M57" s="33">
        <f t="shared" si="3"/>
        <v>100</v>
      </c>
      <c r="N57" s="34" t="s">
        <v>2386</v>
      </c>
      <c r="O57" s="32">
        <v>1</v>
      </c>
      <c r="P57" s="2">
        <f t="shared" si="9"/>
        <v>23007</v>
      </c>
      <c r="Q57" s="99" t="str">
        <f t="shared" si="7"/>
        <v>[23007]</v>
      </c>
      <c r="R57" s="99" t="str">
        <f t="shared" si="10"/>
        <v>[1]</v>
      </c>
      <c r="S57" s="1" t="str">
        <f t="shared" si="4"/>
        <v>chest_tankpart</v>
      </c>
      <c r="V57" s="2" t="s">
        <v>2462</v>
      </c>
      <c r="W57" s="2">
        <f>[1]宝箱设定!$C$10</f>
        <v>600</v>
      </c>
    </row>
    <row r="58" spans="2:23" x14ac:dyDescent="0.3">
      <c r="B58" s="2">
        <f t="shared" si="5"/>
        <v>1583.3333333333333</v>
      </c>
      <c r="C58" s="2">
        <f>VLOOKUP(B58,游戏时长规划!$C$29:$G$39,MATCH("联赛等级",游戏时长规划!$C$29:$G$29,0),TRUE)</f>
        <v>8</v>
      </c>
      <c r="D58" s="2">
        <f>IF(B58=VLOOKUP(C58,游戏时长规划!$B$29:$C$39,2,FALSE),C58-1,C58)</f>
        <v>8</v>
      </c>
      <c r="E58" s="2">
        <f>VLOOKUP(D58,游戏时长规划!$B$16:$R$26,MATCH(E$22,游戏时长规划!$B$16:$R$16,0),FALSE)</f>
        <v>2000</v>
      </c>
      <c r="F58" s="2">
        <f t="shared" si="8"/>
        <v>133.33333333333326</v>
      </c>
      <c r="G58" s="2">
        <f t="shared" si="2"/>
        <v>5</v>
      </c>
      <c r="H58" s="2">
        <f>F58/VLOOKUP(D58,游戏时长规划!$B$16:$R$26,4,FALSE)/游戏时长规划!$C$5</f>
        <v>6.3999999999999968</v>
      </c>
      <c r="I58" s="2">
        <f>SUM(H$23:H58)</f>
        <v>475.66666666666669</v>
      </c>
      <c r="J58" s="34">
        <f>H58/[1]游戏时长规划!$C$4</f>
        <v>0.85333333333333294</v>
      </c>
      <c r="K58" s="34">
        <f>I58/[1]游戏时长规划!$C$4</f>
        <v>63.422222222222224</v>
      </c>
      <c r="L58" s="34">
        <f t="shared" si="6"/>
        <v>132.26666666666659</v>
      </c>
      <c r="M58" s="33">
        <f t="shared" si="3"/>
        <v>100</v>
      </c>
      <c r="N58" s="34" t="s">
        <v>2398</v>
      </c>
      <c r="O58" s="32">
        <v>1</v>
      </c>
      <c r="P58" s="2">
        <f t="shared" si="9"/>
        <v>24008</v>
      </c>
      <c r="Q58" s="99" t="str">
        <f t="shared" si="7"/>
        <v>[24008]</v>
      </c>
      <c r="R58" s="99" t="str">
        <f t="shared" si="10"/>
        <v>[1]</v>
      </c>
      <c r="S58" s="1" t="str">
        <f t="shared" si="4"/>
        <v>chest_shard</v>
      </c>
      <c r="V58" s="2" t="s">
        <v>2463</v>
      </c>
      <c r="W58" s="2">
        <f>[1]宝箱设定!$C$10</f>
        <v>600</v>
      </c>
    </row>
    <row r="59" spans="2:23" x14ac:dyDescent="0.3">
      <c r="B59" s="2">
        <f t="shared" si="5"/>
        <v>1666.6666666666665</v>
      </c>
      <c r="C59" s="2">
        <f>VLOOKUP(B59,游戏时长规划!$C$29:$G$39,MATCH("联赛等级",游戏时长规划!$C$29:$G$29,0),TRUE)</f>
        <v>8</v>
      </c>
      <c r="D59" s="2">
        <f>IF(B59=VLOOKUP(C59,游戏时长规划!$B$29:$C$39,2,FALSE),C59-1,C59)</f>
        <v>8</v>
      </c>
      <c r="E59" s="2">
        <f>VLOOKUP(D59,游戏时长规划!$B$16:$R$26,MATCH(E$22,游戏时长规划!$B$16:$R$16,0),FALSE)</f>
        <v>2000</v>
      </c>
      <c r="F59" s="2">
        <f t="shared" si="8"/>
        <v>83.333333333333258</v>
      </c>
      <c r="G59" s="2">
        <f t="shared" si="2"/>
        <v>5</v>
      </c>
      <c r="H59" s="2">
        <f>F59/VLOOKUP(D59,游戏时长规划!$B$16:$R$26,4,FALSE)/游戏时长规划!$C$5</f>
        <v>3.9999999999999964</v>
      </c>
      <c r="I59" s="2">
        <f>SUM(H$23:H59)</f>
        <v>479.66666666666669</v>
      </c>
      <c r="J59" s="34">
        <f>H59/[1]游戏时长规划!$C$4</f>
        <v>0.53333333333333288</v>
      </c>
      <c r="K59" s="34">
        <f>I59/[1]游戏时长规划!$C$4</f>
        <v>63.955555555555556</v>
      </c>
      <c r="L59" s="34">
        <f t="shared" si="6"/>
        <v>82.6666666666666</v>
      </c>
      <c r="M59" s="33">
        <f t="shared" si="3"/>
        <v>600</v>
      </c>
      <c r="N59" s="34" t="s">
        <v>2461</v>
      </c>
      <c r="O59" s="32">
        <v>1</v>
      </c>
      <c r="P59" s="2">
        <f t="shared" si="9"/>
        <v>25158</v>
      </c>
      <c r="Q59" s="99" t="str">
        <f t="shared" si="7"/>
        <v>[25158]</v>
      </c>
      <c r="R59" s="99" t="str">
        <f t="shared" si="10"/>
        <v>[1]</v>
      </c>
      <c r="S59" s="1" t="str">
        <f t="shared" si="4"/>
        <v>chest_lv4_icon</v>
      </c>
      <c r="V59" s="2" t="s">
        <v>2394</v>
      </c>
      <c r="W59" s="2">
        <f>[1]宝箱设定!C$13</f>
        <v>100</v>
      </c>
    </row>
    <row r="60" spans="2:23" x14ac:dyDescent="0.3">
      <c r="B60" s="2">
        <f t="shared" si="5"/>
        <v>1749.9999999999998</v>
      </c>
      <c r="C60" s="2">
        <f>VLOOKUP(B60,游戏时长规划!$C$29:$G$39,MATCH("联赛等级",游戏时长规划!$C$29:$G$29,0),TRUE)</f>
        <v>8</v>
      </c>
      <c r="D60" s="2">
        <f>IF(B60=VLOOKUP(C60,游戏时长规划!$B$29:$C$39,2,FALSE),C60-1,C60)</f>
        <v>8</v>
      </c>
      <c r="E60" s="2">
        <f>VLOOKUP(D60,游戏时长规划!$B$16:$R$26,MATCH(E$22,游戏时长规划!$B$16:$R$16,0),FALSE)</f>
        <v>2000</v>
      </c>
      <c r="F60" s="2">
        <f t="shared" si="8"/>
        <v>83.333333333333258</v>
      </c>
      <c r="G60" s="2">
        <f t="shared" si="2"/>
        <v>5</v>
      </c>
      <c r="H60" s="2">
        <f>F60/VLOOKUP(D60,游戏时长规划!$B$16:$R$26,4,FALSE)/游戏时长规划!$C$5</f>
        <v>3.9999999999999964</v>
      </c>
      <c r="I60" s="2">
        <f>SUM(H$23:H60)</f>
        <v>483.66666666666669</v>
      </c>
      <c r="J60" s="34">
        <f>H60/[1]游戏时长规划!$C$4</f>
        <v>0.53333333333333288</v>
      </c>
      <c r="K60" s="34">
        <f>I60/[1]游戏时长规划!$C$4</f>
        <v>64.488888888888894</v>
      </c>
      <c r="L60" s="34">
        <f t="shared" si="6"/>
        <v>82.6666666666666</v>
      </c>
      <c r="M60" s="33">
        <f t="shared" si="3"/>
        <v>450</v>
      </c>
      <c r="N60" s="34" t="s">
        <v>511</v>
      </c>
      <c r="O60" s="32">
        <v>600</v>
      </c>
      <c r="P60" s="2">
        <f t="shared" si="9"/>
        <v>111</v>
      </c>
      <c r="Q60" s="99" t="str">
        <f t="shared" si="7"/>
        <v>[111]</v>
      </c>
      <c r="R60" s="99" t="str">
        <f t="shared" si="10"/>
        <v>[600]</v>
      </c>
      <c r="S60" s="1" t="str">
        <f t="shared" si="4"/>
        <v>StoreDoubleKey_1</v>
      </c>
      <c r="V60" s="2" t="s">
        <v>513</v>
      </c>
      <c r="W60" s="2">
        <f>[1]宝箱设定!C$13</f>
        <v>100</v>
      </c>
    </row>
    <row r="61" spans="2:23" x14ac:dyDescent="0.3">
      <c r="B61" s="2">
        <f t="shared" si="5"/>
        <v>1833.333333333333</v>
      </c>
      <c r="C61" s="2">
        <f>VLOOKUP(B61,游戏时长规划!$C$29:$G$39,MATCH("联赛等级",游戏时长规划!$C$29:$G$29,0),TRUE)</f>
        <v>8</v>
      </c>
      <c r="D61" s="2">
        <f>IF(B61=VLOOKUP(C61,游戏时长规划!$B$29:$C$39,2,FALSE),C61-1,C61)</f>
        <v>8</v>
      </c>
      <c r="E61" s="2">
        <f>VLOOKUP(D61,游戏时长规划!$B$16:$R$26,MATCH(E$22,游戏时长规划!$B$16:$R$16,0),FALSE)</f>
        <v>2000</v>
      </c>
      <c r="F61" s="2">
        <f t="shared" si="8"/>
        <v>83.333333333333258</v>
      </c>
      <c r="G61" s="2">
        <f t="shared" si="2"/>
        <v>5</v>
      </c>
      <c r="H61" s="2">
        <f>F61/VLOOKUP(D61,游戏时长规划!$B$16:$R$26,4,FALSE)/游戏时长规划!$C$5</f>
        <v>3.9999999999999964</v>
      </c>
      <c r="I61" s="2">
        <f>SUM(H$23:H61)</f>
        <v>487.66666666666669</v>
      </c>
      <c r="J61" s="34">
        <f>H61/[1]游戏时长规划!$C$4</f>
        <v>0.53333333333333288</v>
      </c>
      <c r="K61" s="34">
        <f>I61/[1]游戏时长规划!$C$4</f>
        <v>65.022222222222226</v>
      </c>
      <c r="L61" s="34">
        <f t="shared" si="6"/>
        <v>82.6666666666666</v>
      </c>
      <c r="M61" s="33">
        <f t="shared" si="3"/>
        <v>200</v>
      </c>
      <c r="N61" s="34" t="s">
        <v>317</v>
      </c>
      <c r="O61" s="32">
        <v>200</v>
      </c>
      <c r="P61" s="2">
        <f t="shared" ref="P61:P69" si="11">VLOOKUP(N61,道具ID,2,FALSE)</f>
        <v>101</v>
      </c>
      <c r="Q61" s="99" t="str">
        <f t="shared" si="7"/>
        <v>[101]</v>
      </c>
      <c r="R61" s="99" t="str">
        <f t="shared" ref="R61:R69" si="12">"["&amp;O61&amp;"]"</f>
        <v>[200]</v>
      </c>
      <c r="S61" s="1" t="str">
        <f t="shared" si="4"/>
        <v>StoreDiamond_1</v>
      </c>
      <c r="V61" s="2" t="s">
        <v>2396</v>
      </c>
      <c r="W61" s="2">
        <f>[1]宝箱设定!C$13</f>
        <v>100</v>
      </c>
    </row>
    <row r="62" spans="2:23" x14ac:dyDescent="0.3">
      <c r="B62" s="2">
        <f t="shared" si="5"/>
        <v>1916.6666666666663</v>
      </c>
      <c r="C62" s="2">
        <f>VLOOKUP(B62,游戏时长规划!$C$29:$G$39,MATCH("联赛等级",游戏时长规划!$C$29:$G$29,0),TRUE)</f>
        <v>8</v>
      </c>
      <c r="D62" s="2">
        <f>IF(B62=VLOOKUP(C62,游戏时长规划!$B$29:$C$39,2,FALSE),C62-1,C62)</f>
        <v>8</v>
      </c>
      <c r="E62" s="2">
        <f>VLOOKUP(D62,游戏时长规划!$B$16:$R$26,MATCH(E$22,游戏时长规划!$B$16:$R$16,0),FALSE)</f>
        <v>2000</v>
      </c>
      <c r="F62" s="2">
        <f t="shared" si="8"/>
        <v>83.333333333333258</v>
      </c>
      <c r="G62" s="2">
        <f t="shared" si="2"/>
        <v>5</v>
      </c>
      <c r="H62" s="2">
        <f>F62/VLOOKUP(D62,游戏时长规划!$B$16:$R$26,4,FALSE)/游戏时长规划!$C$5</f>
        <v>3.9999999999999964</v>
      </c>
      <c r="I62" s="2">
        <f>SUM(H$23:H62)</f>
        <v>491.66666666666669</v>
      </c>
      <c r="J62" s="34">
        <f>H62/[1]游戏时长规划!$C$4</f>
        <v>0.53333333333333288</v>
      </c>
      <c r="K62" s="34">
        <f>I62/[1]游戏时长规划!$C$4</f>
        <v>65.555555555555557</v>
      </c>
      <c r="L62" s="34">
        <f t="shared" si="6"/>
        <v>82.6666666666666</v>
      </c>
      <c r="M62" s="33">
        <f t="shared" si="3"/>
        <v>100</v>
      </c>
      <c r="N62" s="34" t="s">
        <v>2388</v>
      </c>
      <c r="O62" s="32">
        <v>1</v>
      </c>
      <c r="P62" s="2">
        <f t="shared" si="11"/>
        <v>23008</v>
      </c>
      <c r="Q62" s="99" t="str">
        <f t="shared" si="7"/>
        <v>[23008]</v>
      </c>
      <c r="R62" s="99" t="str">
        <f t="shared" si="12"/>
        <v>[1]</v>
      </c>
      <c r="S62" s="1" t="str">
        <f t="shared" si="4"/>
        <v>chest_tankpart</v>
      </c>
      <c r="V62" s="2" t="s">
        <v>521</v>
      </c>
      <c r="W62" s="2">
        <f>[1]宝箱设定!C$13</f>
        <v>100</v>
      </c>
    </row>
    <row r="63" spans="2:23" x14ac:dyDescent="0.3">
      <c r="B63" s="2">
        <f t="shared" si="5"/>
        <v>2083.3333333333335</v>
      </c>
      <c r="C63" s="2">
        <f>VLOOKUP(B63,游戏时长规划!$C$29:$G$39,MATCH("联赛等级",游戏时长规划!$C$29:$G$29,0),TRUE)</f>
        <v>9</v>
      </c>
      <c r="D63" s="2">
        <f>IF(B63=VLOOKUP(C63,游戏时长规划!$B$29:$C$39,2,FALSE),C63-1,C63)</f>
        <v>9</v>
      </c>
      <c r="E63" s="2">
        <f>VLOOKUP(D63,游戏时长规划!$B$16:$R$26,MATCH(E$22,游戏时长规划!$B$16:$R$16,0),FALSE)</f>
        <v>2500</v>
      </c>
      <c r="F63" s="2">
        <f t="shared" si="8"/>
        <v>166.6666666666672</v>
      </c>
      <c r="G63" s="2">
        <f t="shared" si="2"/>
        <v>5</v>
      </c>
      <c r="H63" s="2">
        <f>F63/VLOOKUP(D63,游戏时长规划!$B$16:$R$26,4,FALSE)/游戏时长规划!$C$5</f>
        <v>10.000000000000032</v>
      </c>
      <c r="I63" s="2">
        <f>SUM(H$23:H63)</f>
        <v>501.66666666666674</v>
      </c>
      <c r="J63" s="34">
        <f>H63/[1]游戏时长规划!$C$4</f>
        <v>1.3333333333333377</v>
      </c>
      <c r="K63" s="34">
        <f>I63/[1]游戏时长规划!$C$4</f>
        <v>66.8888888888889</v>
      </c>
      <c r="L63" s="34">
        <f t="shared" si="6"/>
        <v>206.66666666666734</v>
      </c>
      <c r="M63" s="33">
        <f t="shared" si="3"/>
        <v>100</v>
      </c>
      <c r="N63" s="34" t="s">
        <v>2399</v>
      </c>
      <c r="O63" s="32">
        <v>1</v>
      </c>
      <c r="P63" s="2">
        <f t="shared" si="11"/>
        <v>24009</v>
      </c>
      <c r="Q63" s="99" t="str">
        <f t="shared" si="7"/>
        <v>[24009]</v>
      </c>
      <c r="R63" s="99" t="str">
        <f t="shared" si="12"/>
        <v>[1]</v>
      </c>
      <c r="S63" s="1" t="str">
        <f t="shared" si="4"/>
        <v>chest_shard</v>
      </c>
      <c r="V63" s="2" t="s">
        <v>2397</v>
      </c>
      <c r="W63" s="2">
        <f>[1]宝箱设定!C$13</f>
        <v>100</v>
      </c>
    </row>
    <row r="64" spans="2:23" x14ac:dyDescent="0.3">
      <c r="B64" s="2">
        <f t="shared" si="5"/>
        <v>2166.666666666667</v>
      </c>
      <c r="C64" s="2">
        <f>VLOOKUP(B64,游戏时长规划!$C$29:$G$39,MATCH("联赛等级",游戏时长规划!$C$29:$G$29,0),TRUE)</f>
        <v>9</v>
      </c>
      <c r="D64" s="2">
        <f>IF(B64=VLOOKUP(C64,游戏时长规划!$B$29:$C$39,2,FALSE),C64-1,C64)</f>
        <v>9</v>
      </c>
      <c r="E64" s="2">
        <f>VLOOKUP(D64,游戏时长规划!$B$16:$R$26,MATCH(E$22,游戏时长规划!$B$16:$R$16,0),FALSE)</f>
        <v>2500</v>
      </c>
      <c r="F64" s="2">
        <f t="shared" si="8"/>
        <v>83.333333333333485</v>
      </c>
      <c r="G64" s="2">
        <f t="shared" si="2"/>
        <v>5</v>
      </c>
      <c r="H64" s="2">
        <f>F64/VLOOKUP(D64,游戏时长规划!$B$16:$R$26,4,FALSE)/游戏时长规划!$C$5</f>
        <v>5.0000000000000089</v>
      </c>
      <c r="I64" s="2">
        <f>SUM(H$23:H64)</f>
        <v>506.66666666666674</v>
      </c>
      <c r="J64" s="34">
        <f>H64/[1]游戏时长规划!$C$4</f>
        <v>0.66666666666666785</v>
      </c>
      <c r="K64" s="34">
        <f>I64/[1]游戏时长规划!$C$4</f>
        <v>67.555555555555571</v>
      </c>
      <c r="L64" s="34">
        <f t="shared" si="6"/>
        <v>103.33333333333351</v>
      </c>
      <c r="M64" s="33">
        <f t="shared" si="3"/>
        <v>600</v>
      </c>
      <c r="N64" s="34" t="s">
        <v>2462</v>
      </c>
      <c r="O64" s="32">
        <v>1</v>
      </c>
      <c r="P64" s="2">
        <f t="shared" si="11"/>
        <v>25159</v>
      </c>
      <c r="Q64" s="99" t="str">
        <f t="shared" si="7"/>
        <v>[25159]</v>
      </c>
      <c r="R64" s="99" t="str">
        <f t="shared" si="12"/>
        <v>[1]</v>
      </c>
      <c r="S64" s="1" t="str">
        <f t="shared" si="4"/>
        <v>chest_lv4_icon</v>
      </c>
      <c r="V64" s="2" t="s">
        <v>528</v>
      </c>
      <c r="W64" s="2">
        <f>[1]宝箱设定!C$13</f>
        <v>100</v>
      </c>
    </row>
    <row r="65" spans="2:23" x14ac:dyDescent="0.3">
      <c r="B65" s="2">
        <f t="shared" si="5"/>
        <v>2250.0000000000005</v>
      </c>
      <c r="C65" s="2">
        <f>VLOOKUP(B65,游戏时长规划!$C$29:$G$39,MATCH("联赛等级",游戏时长规划!$C$29:$G$29,0),TRUE)</f>
        <v>9</v>
      </c>
      <c r="D65" s="2">
        <f>IF(B65=VLOOKUP(C65,游戏时长规划!$B$29:$C$39,2,FALSE),C65-1,C65)</f>
        <v>9</v>
      </c>
      <c r="E65" s="2">
        <f>VLOOKUP(D65,游戏时长规划!$B$16:$R$26,MATCH(E$22,游戏时长规划!$B$16:$R$16,0),FALSE)</f>
        <v>2500</v>
      </c>
      <c r="F65" s="2">
        <f t="shared" si="8"/>
        <v>83.333333333333485</v>
      </c>
      <c r="G65" s="2">
        <f t="shared" si="2"/>
        <v>5</v>
      </c>
      <c r="H65" s="2">
        <f>F65/VLOOKUP(D65,游戏时长规划!$B$16:$R$26,4,FALSE)/游戏时长规划!$C$5</f>
        <v>5.0000000000000089</v>
      </c>
      <c r="I65" s="2">
        <f>SUM(H$23:H65)</f>
        <v>511.66666666666674</v>
      </c>
      <c r="J65" s="34">
        <f>H65/[1]游戏时长规划!$C$4</f>
        <v>0.66666666666666785</v>
      </c>
      <c r="K65" s="34">
        <f>I65/[1]游戏时长规划!$C$4</f>
        <v>68.222222222222229</v>
      </c>
      <c r="L65" s="34">
        <f t="shared" si="6"/>
        <v>103.33333333333351</v>
      </c>
      <c r="M65" s="33">
        <f t="shared" si="3"/>
        <v>450</v>
      </c>
      <c r="N65" s="34" t="s">
        <v>511</v>
      </c>
      <c r="O65" s="32">
        <v>600</v>
      </c>
      <c r="P65" s="2">
        <f t="shared" si="11"/>
        <v>111</v>
      </c>
      <c r="Q65" s="99" t="str">
        <f t="shared" si="7"/>
        <v>[111]</v>
      </c>
      <c r="R65" s="99" t="str">
        <f t="shared" si="12"/>
        <v>[600]</v>
      </c>
      <c r="S65" s="1" t="str">
        <f t="shared" si="4"/>
        <v>StoreDoubleKey_1</v>
      </c>
      <c r="V65" s="2" t="s">
        <v>533</v>
      </c>
      <c r="W65" s="2">
        <f>[1]宝箱设定!C$13</f>
        <v>100</v>
      </c>
    </row>
    <row r="66" spans="2:23" x14ac:dyDescent="0.3">
      <c r="B66" s="2">
        <f t="shared" si="5"/>
        <v>2333.3333333333339</v>
      </c>
      <c r="C66" s="2">
        <f>VLOOKUP(B66,游戏时长规划!$C$29:$G$39,MATCH("联赛等级",游戏时长规划!$C$29:$G$29,0),TRUE)</f>
        <v>9</v>
      </c>
      <c r="D66" s="2">
        <f>IF(B66=VLOOKUP(C66,游戏时长规划!$B$29:$C$39,2,FALSE),C66-1,C66)</f>
        <v>9</v>
      </c>
      <c r="E66" s="2">
        <f>VLOOKUP(D66,游戏时长规划!$B$16:$R$26,MATCH(E$22,游戏时长规划!$B$16:$R$16,0),FALSE)</f>
        <v>2500</v>
      </c>
      <c r="F66" s="2">
        <f t="shared" si="8"/>
        <v>83.333333333333485</v>
      </c>
      <c r="G66" s="2">
        <f t="shared" si="2"/>
        <v>5</v>
      </c>
      <c r="H66" s="2">
        <f>F66/VLOOKUP(D66,游戏时长规划!$B$16:$R$26,4,FALSE)/游戏时长规划!$C$5</f>
        <v>5.0000000000000089</v>
      </c>
      <c r="I66" s="2">
        <f>SUM(H$23:H66)</f>
        <v>516.66666666666674</v>
      </c>
      <c r="J66" s="34">
        <f>H66/[1]游戏时长规划!$C$4</f>
        <v>0.66666666666666785</v>
      </c>
      <c r="K66" s="34">
        <f>I66/[1]游戏时长规划!$C$4</f>
        <v>68.8888888888889</v>
      </c>
      <c r="L66" s="34">
        <f t="shared" si="6"/>
        <v>103.33333333333351</v>
      </c>
      <c r="M66" s="33">
        <f t="shared" si="3"/>
        <v>50</v>
      </c>
      <c r="N66" s="34" t="s">
        <v>317</v>
      </c>
      <c r="O66" s="32">
        <v>50</v>
      </c>
      <c r="P66" s="2">
        <f t="shared" si="11"/>
        <v>101</v>
      </c>
      <c r="Q66" s="99" t="str">
        <f t="shared" si="7"/>
        <v>[101]</v>
      </c>
      <c r="R66" s="99" t="str">
        <f t="shared" si="12"/>
        <v>[50]</v>
      </c>
      <c r="S66" s="1" t="str">
        <f t="shared" si="4"/>
        <v>StoreDiamond_1</v>
      </c>
      <c r="V66" s="2" t="s">
        <v>2398</v>
      </c>
      <c r="W66" s="2">
        <f>[1]宝箱设定!C$13</f>
        <v>100</v>
      </c>
    </row>
    <row r="67" spans="2:23" x14ac:dyDescent="0.3">
      <c r="B67" s="2">
        <f t="shared" si="5"/>
        <v>2416.6666666666674</v>
      </c>
      <c r="C67" s="2">
        <f>VLOOKUP(B67,游戏时长规划!$C$29:$G$39,MATCH("联赛等级",游戏时长规划!$C$29:$G$29,0),TRUE)</f>
        <v>9</v>
      </c>
      <c r="D67" s="2">
        <f>IF(B67=VLOOKUP(C67,游戏时长规划!$B$29:$C$39,2,FALSE),C67-1,C67)</f>
        <v>9</v>
      </c>
      <c r="E67" s="2">
        <f>VLOOKUP(D67,游戏时长规划!$B$16:$R$26,MATCH(E$22,游戏时长规划!$B$16:$R$16,0),FALSE)</f>
        <v>2500</v>
      </c>
      <c r="F67" s="2">
        <f t="shared" si="8"/>
        <v>83.333333333333485</v>
      </c>
      <c r="G67" s="2">
        <f t="shared" si="2"/>
        <v>5</v>
      </c>
      <c r="H67" s="2">
        <f>F67/VLOOKUP(D67,游戏时长规划!$B$16:$R$26,4,FALSE)/游戏时长规划!$C$5</f>
        <v>5.0000000000000089</v>
      </c>
      <c r="I67" s="2">
        <f>SUM(H$23:H67)</f>
        <v>521.66666666666674</v>
      </c>
      <c r="J67" s="34">
        <f>H67/[1]游戏时长规划!$C$4</f>
        <v>0.66666666666666785</v>
      </c>
      <c r="K67" s="34">
        <f>I67/[1]游戏时长规划!$C$4</f>
        <v>69.555555555555571</v>
      </c>
      <c r="L67" s="34">
        <f t="shared" si="6"/>
        <v>103.33333333333351</v>
      </c>
      <c r="M67" s="33">
        <f t="shared" si="3"/>
        <v>100</v>
      </c>
      <c r="N67" s="34" t="s">
        <v>2390</v>
      </c>
      <c r="O67" s="32">
        <v>1</v>
      </c>
      <c r="P67" s="2">
        <f t="shared" si="11"/>
        <v>23009</v>
      </c>
      <c r="Q67" s="99" t="str">
        <f t="shared" si="7"/>
        <v>[23009]</v>
      </c>
      <c r="R67" s="99" t="str">
        <f t="shared" si="12"/>
        <v>[1]</v>
      </c>
      <c r="S67" s="1" t="str">
        <f t="shared" si="4"/>
        <v>chest_tankpart</v>
      </c>
      <c r="V67" s="2" t="s">
        <v>2399</v>
      </c>
      <c r="W67" s="2">
        <f>[1]宝箱设定!C$13</f>
        <v>100</v>
      </c>
    </row>
    <row r="68" spans="2:23" x14ac:dyDescent="0.3">
      <c r="B68" s="2">
        <f t="shared" si="5"/>
        <v>2583.3333333333335</v>
      </c>
      <c r="C68" s="2">
        <f>VLOOKUP(B68,游戏时长规划!$C$29:$G$39,MATCH("联赛等级",游戏时长规划!$C$29:$G$29,0),TRUE)</f>
        <v>10</v>
      </c>
      <c r="D68" s="2">
        <f>IF(B68=VLOOKUP(C68,游戏时长规划!$B$29:$C$39,2,FALSE),C68-1,C68)</f>
        <v>10</v>
      </c>
      <c r="E68" s="2">
        <f>VLOOKUP(D68,游戏时长规划!$B$16:$R$26,MATCH(E$22,游戏时长规划!$B$16:$R$16,0),FALSE)</f>
        <v>3000</v>
      </c>
      <c r="F68" s="2">
        <f t="shared" si="8"/>
        <v>166.66666666666606</v>
      </c>
      <c r="G68" s="2">
        <f t="shared" si="2"/>
        <v>2</v>
      </c>
      <c r="H68" s="2">
        <f>F68/VLOOKUP(D68,游戏时长规划!$B$16:$R$26,4,FALSE)/游戏时长规划!$C$5</f>
        <v>9.9999999999999627</v>
      </c>
      <c r="I68" s="2">
        <f>SUM(H$23:H68)</f>
        <v>531.66666666666674</v>
      </c>
      <c r="J68" s="34">
        <f>H68/[1]游戏时长规划!$C$4</f>
        <v>1.3333333333333284</v>
      </c>
      <c r="K68" s="34">
        <f>I68/[1]游戏时长规划!$C$4</f>
        <v>70.8888888888889</v>
      </c>
      <c r="L68" s="34">
        <f t="shared" si="6"/>
        <v>206.66666666666589</v>
      </c>
      <c r="M68" s="33">
        <f t="shared" si="3"/>
        <v>300</v>
      </c>
      <c r="N68" s="34" t="s">
        <v>317</v>
      </c>
      <c r="O68" s="32">
        <v>300</v>
      </c>
      <c r="P68" s="2">
        <f t="shared" si="11"/>
        <v>101</v>
      </c>
      <c r="Q68" s="99" t="str">
        <f t="shared" si="7"/>
        <v>[101]</v>
      </c>
      <c r="R68" s="99" t="str">
        <f t="shared" si="12"/>
        <v>[300]</v>
      </c>
      <c r="S68" s="1" t="str">
        <f t="shared" si="4"/>
        <v>StoreDiamond_1</v>
      </c>
      <c r="V68" s="2" t="s">
        <v>2400</v>
      </c>
      <c r="W68" s="2">
        <f>[1]宝箱设定!C$13</f>
        <v>100</v>
      </c>
    </row>
    <row r="69" spans="2:23" x14ac:dyDescent="0.3">
      <c r="B69" s="2">
        <f t="shared" si="5"/>
        <v>2666.666666666667</v>
      </c>
      <c r="C69" s="2">
        <f>VLOOKUP(B69,游戏时长规划!$C$29:$G$39,MATCH("联赛等级",游戏时长规划!$C$29:$G$29,0),TRUE)</f>
        <v>10</v>
      </c>
      <c r="D69" s="2">
        <f>IF(B69=VLOOKUP(C69,游戏时长规划!$B$29:$C$39,2,FALSE),C69-1,C69)</f>
        <v>10</v>
      </c>
      <c r="E69" s="2">
        <f>VLOOKUP(D69,游戏时长规划!$B$16:$R$26,MATCH(E$22,游戏时长规划!$B$16:$R$16,0),FALSE)</f>
        <v>3000</v>
      </c>
      <c r="F69" s="2">
        <f t="shared" si="8"/>
        <v>83.333333333333485</v>
      </c>
      <c r="G69" s="2">
        <f t="shared" si="2"/>
        <v>2</v>
      </c>
      <c r="H69" s="2">
        <f>F69/VLOOKUP(D69,游戏时长规划!$B$16:$R$26,4,FALSE)/游戏时长规划!$C$5</f>
        <v>5.0000000000000089</v>
      </c>
      <c r="I69" s="2">
        <f>SUM(H$23:H69)</f>
        <v>536.66666666666674</v>
      </c>
      <c r="J69" s="34">
        <f>H69/[1]游戏时长规划!$C$4</f>
        <v>0.66666666666666785</v>
      </c>
      <c r="K69" s="34">
        <f>I69/[1]游戏时长规划!$C$4</f>
        <v>71.555555555555571</v>
      </c>
      <c r="L69" s="34">
        <f t="shared" si="6"/>
        <v>103.33333333333351</v>
      </c>
      <c r="M69" s="33">
        <f t="shared" si="3"/>
        <v>2000</v>
      </c>
      <c r="N69" s="34" t="s">
        <v>2484</v>
      </c>
      <c r="O69" s="32">
        <v>1</v>
      </c>
      <c r="P69" s="2">
        <f t="shared" si="11"/>
        <v>25260</v>
      </c>
      <c r="Q69" s="99" t="str">
        <f t="shared" si="7"/>
        <v>[25260]</v>
      </c>
      <c r="R69" s="99" t="str">
        <f t="shared" si="12"/>
        <v>[1]</v>
      </c>
      <c r="S69" s="1" t="str">
        <f t="shared" si="4"/>
        <v>chest_lv6_icon</v>
      </c>
      <c r="V69" s="2" t="s">
        <v>2484</v>
      </c>
      <c r="W69" s="2">
        <f>[1]宝箱设定!$C$11</f>
        <v>2000</v>
      </c>
    </row>
    <row r="70" spans="2:23" x14ac:dyDescent="0.3">
      <c r="V70" s="1" t="s">
        <v>4268</v>
      </c>
      <c r="W70" s="1">
        <v>24</v>
      </c>
    </row>
    <row r="71" spans="2:23" x14ac:dyDescent="0.3">
      <c r="L71" s="1" t="s">
        <v>2916</v>
      </c>
    </row>
    <row r="72" spans="2:23" x14ac:dyDescent="0.3">
      <c r="B72" s="2" t="s">
        <v>559</v>
      </c>
      <c r="C72" s="2" t="s">
        <v>2917</v>
      </c>
      <c r="D72" s="2" t="s">
        <v>2909</v>
      </c>
      <c r="E72" s="2" t="s">
        <v>2910</v>
      </c>
      <c r="F72" s="2" t="s">
        <v>586</v>
      </c>
      <c r="G72" s="2" t="s">
        <v>2911</v>
      </c>
      <c r="H72" s="2" t="s">
        <v>2904</v>
      </c>
      <c r="I72" s="2" t="s">
        <v>2911</v>
      </c>
      <c r="J72" s="2" t="s">
        <v>2913</v>
      </c>
      <c r="K72" s="2" t="s">
        <v>2918</v>
      </c>
      <c r="L72" s="98" t="s">
        <v>2919</v>
      </c>
    </row>
    <row r="73" spans="2:23" x14ac:dyDescent="0.3">
      <c r="B73" s="2">
        <v>1</v>
      </c>
      <c r="C73" s="2">
        <f>游戏时长规划!V4</f>
        <v>0</v>
      </c>
      <c r="D73" s="2">
        <f>SUM(C$73:C73)</f>
        <v>0</v>
      </c>
      <c r="E73" s="34">
        <f>C73/[1]基础经济系数!$C$5</f>
        <v>0</v>
      </c>
      <c r="F73" s="34">
        <f>D73/[1]基础经济系数!$C$5</f>
        <v>0</v>
      </c>
      <c r="G73" s="2">
        <f>E73*$C$5</f>
        <v>0</v>
      </c>
      <c r="H73" s="2" t="s">
        <v>184</v>
      </c>
      <c r="I73" s="29">
        <v>0</v>
      </c>
      <c r="J73" s="29">
        <v>0</v>
      </c>
      <c r="K73" s="2">
        <v>0</v>
      </c>
      <c r="L73" s="99"/>
    </row>
    <row r="74" spans="2:23" x14ac:dyDescent="0.3">
      <c r="B74" s="2">
        <v>2</v>
      </c>
      <c r="C74" s="2">
        <f>游戏时长规划!V5</f>
        <v>3</v>
      </c>
      <c r="D74" s="2">
        <f>SUM(C$73:C74)</f>
        <v>3</v>
      </c>
      <c r="E74" s="34">
        <f>C74/[1]基础经济系数!$C$5</f>
        <v>0.3</v>
      </c>
      <c r="F74" s="34">
        <f>D74/[1]基础经济系数!$C$5</f>
        <v>0.3</v>
      </c>
      <c r="G74" s="2">
        <f t="shared" ref="G74:G102" si="13">E74*$C$5</f>
        <v>10.5</v>
      </c>
      <c r="H74" s="2" t="s">
        <v>273</v>
      </c>
      <c r="I74" s="29">
        <f>J74*VLOOKUP(H74,V:W,2,FALSE)</f>
        <v>37.5</v>
      </c>
      <c r="J74" s="32">
        <v>30</v>
      </c>
      <c r="K74" s="2">
        <f t="shared" ref="K74:K102" si="14">VLOOKUP(H74,道具ID,2,FALSE)</f>
        <v>105</v>
      </c>
      <c r="L74" s="99" t="str">
        <f>"["&amp;K74&amp;","&amp;J74&amp;"]"</f>
        <v>[105,30]</v>
      </c>
    </row>
    <row r="75" spans="2:23" x14ac:dyDescent="0.3">
      <c r="B75" s="2">
        <v>3</v>
      </c>
      <c r="C75" s="2">
        <f>游戏时长规划!V6</f>
        <v>3</v>
      </c>
      <c r="D75" s="2">
        <f>SUM(C$73:C75)</f>
        <v>6</v>
      </c>
      <c r="E75" s="34">
        <f>C75/[1]基础经济系数!$C$5</f>
        <v>0.3</v>
      </c>
      <c r="F75" s="34">
        <f>D75/[1]基础经济系数!$C$5</f>
        <v>0.6</v>
      </c>
      <c r="G75" s="2">
        <f t="shared" si="13"/>
        <v>10.5</v>
      </c>
      <c r="H75" s="2" t="s">
        <v>268</v>
      </c>
      <c r="I75" s="349">
        <f t="shared" ref="I75:I102" si="15">J75*VLOOKUP(H75,V:W,2,FALSE)</f>
        <v>66.6666666666666</v>
      </c>
      <c r="J75" s="32">
        <v>3000</v>
      </c>
      <c r="K75" s="2">
        <f t="shared" si="14"/>
        <v>102</v>
      </c>
      <c r="L75" s="99" t="str">
        <f t="shared" ref="L75:L102" si="16">"["&amp;K75&amp;","&amp;J75&amp;"]"</f>
        <v>[102,3000]</v>
      </c>
    </row>
    <row r="76" spans="2:23" x14ac:dyDescent="0.3">
      <c r="B76" s="2">
        <v>4</v>
      </c>
      <c r="C76" s="2">
        <f>游戏时长规划!V7</f>
        <v>4</v>
      </c>
      <c r="D76" s="2">
        <f>SUM(C$73:C76)</f>
        <v>10</v>
      </c>
      <c r="E76" s="34">
        <f>C76/[1]基础经济系数!$C$5</f>
        <v>0.4</v>
      </c>
      <c r="F76" s="34">
        <f>D76/[1]基础经济系数!$C$5</f>
        <v>1</v>
      </c>
      <c r="G76" s="2">
        <f t="shared" si="13"/>
        <v>14</v>
      </c>
      <c r="H76" s="2" t="s">
        <v>4268</v>
      </c>
      <c r="I76" s="349">
        <f t="shared" si="15"/>
        <v>24</v>
      </c>
      <c r="J76" s="32">
        <v>1</v>
      </c>
      <c r="K76" s="2">
        <f t="shared" si="14"/>
        <v>100203</v>
      </c>
      <c r="L76" s="99" t="str">
        <f t="shared" si="16"/>
        <v>[100203,1]</v>
      </c>
    </row>
    <row r="77" spans="2:23" x14ac:dyDescent="0.3">
      <c r="B77" s="2">
        <v>5</v>
      </c>
      <c r="C77" s="2">
        <f>游戏时长规划!V8</f>
        <v>5</v>
      </c>
      <c r="D77" s="2">
        <f>SUM(C$73:C77)</f>
        <v>15</v>
      </c>
      <c r="E77" s="34">
        <f>C77/[1]基础经济系数!$C$5</f>
        <v>0.5</v>
      </c>
      <c r="F77" s="34">
        <f>D77/[1]基础经济系数!$C$5</f>
        <v>1.5</v>
      </c>
      <c r="G77" s="2">
        <f t="shared" si="13"/>
        <v>17.5</v>
      </c>
      <c r="H77" s="2" t="s">
        <v>317</v>
      </c>
      <c r="I77" s="349">
        <f t="shared" si="15"/>
        <v>20</v>
      </c>
      <c r="J77" s="32">
        <v>20</v>
      </c>
      <c r="K77" s="2">
        <f t="shared" si="14"/>
        <v>101</v>
      </c>
      <c r="L77" s="99" t="str">
        <f t="shared" si="16"/>
        <v>[101,20]</v>
      </c>
    </row>
    <row r="78" spans="2:23" x14ac:dyDescent="0.3">
      <c r="B78" s="2">
        <v>6</v>
      </c>
      <c r="C78" s="2">
        <f>游戏时长规划!V9</f>
        <v>6</v>
      </c>
      <c r="D78" s="2">
        <f>SUM(C$73:C78)</f>
        <v>21</v>
      </c>
      <c r="E78" s="34">
        <f>C78/[1]基础经济系数!$C$5</f>
        <v>0.6</v>
      </c>
      <c r="F78" s="34">
        <f>D78/[1]基础经济系数!$C$5</f>
        <v>2.1</v>
      </c>
      <c r="G78" s="2">
        <f t="shared" si="13"/>
        <v>21</v>
      </c>
      <c r="H78" s="2" t="s">
        <v>511</v>
      </c>
      <c r="I78" s="349">
        <f t="shared" si="15"/>
        <v>150</v>
      </c>
      <c r="J78" s="32">
        <v>200</v>
      </c>
      <c r="K78" s="2">
        <f t="shared" si="14"/>
        <v>111</v>
      </c>
      <c r="L78" s="99" t="str">
        <f t="shared" si="16"/>
        <v>[111,200]</v>
      </c>
    </row>
    <row r="79" spans="2:23" x14ac:dyDescent="0.3">
      <c r="B79" s="2">
        <v>7</v>
      </c>
      <c r="C79" s="2">
        <f>游戏时长规划!V10</f>
        <v>8</v>
      </c>
      <c r="D79" s="2">
        <f>SUM(C$73:C79)</f>
        <v>29</v>
      </c>
      <c r="E79" s="34">
        <f>C79/[1]基础经济系数!$C$5</f>
        <v>0.8</v>
      </c>
      <c r="F79" s="34">
        <f>D79/[1]基础经济系数!$C$5</f>
        <v>2.9</v>
      </c>
      <c r="G79" s="2">
        <f t="shared" si="13"/>
        <v>28</v>
      </c>
      <c r="H79" s="2" t="s">
        <v>268</v>
      </c>
      <c r="I79" s="349">
        <f t="shared" si="15"/>
        <v>133.3333333333332</v>
      </c>
      <c r="J79" s="32">
        <v>6000</v>
      </c>
      <c r="K79" s="2">
        <f t="shared" si="14"/>
        <v>102</v>
      </c>
      <c r="L79" s="99" t="str">
        <f t="shared" si="16"/>
        <v>[102,6000]</v>
      </c>
    </row>
    <row r="80" spans="2:23" x14ac:dyDescent="0.3">
      <c r="B80" s="2">
        <v>8</v>
      </c>
      <c r="C80" s="2">
        <f>游戏时长规划!V11</f>
        <v>2</v>
      </c>
      <c r="D80" s="2">
        <f>SUM(C$73:C80)</f>
        <v>31</v>
      </c>
      <c r="E80" s="34">
        <f>C80/[1]基础经济系数!$C$5</f>
        <v>0.2</v>
      </c>
      <c r="F80" s="34">
        <f>D80/[1]基础经济系数!$C$5</f>
        <v>3.1</v>
      </c>
      <c r="G80" s="2">
        <f t="shared" si="13"/>
        <v>7</v>
      </c>
      <c r="H80" s="2" t="s">
        <v>4268</v>
      </c>
      <c r="I80" s="349">
        <f t="shared" si="15"/>
        <v>24</v>
      </c>
      <c r="J80" s="32">
        <v>1</v>
      </c>
      <c r="K80" s="2">
        <f t="shared" si="14"/>
        <v>100203</v>
      </c>
      <c r="L80" s="99" t="str">
        <f t="shared" si="16"/>
        <v>[100203,1]</v>
      </c>
    </row>
    <row r="81" spans="2:12" x14ac:dyDescent="0.3">
      <c r="B81" s="2">
        <v>9</v>
      </c>
      <c r="C81" s="2">
        <f>游戏时长规划!V12</f>
        <v>3</v>
      </c>
      <c r="D81" s="2">
        <f>SUM(C$73:C81)</f>
        <v>34</v>
      </c>
      <c r="E81" s="34">
        <f>C81/[1]基础经济系数!$C$5</f>
        <v>0.3</v>
      </c>
      <c r="F81" s="34">
        <f>D81/[1]基础经济系数!$C$5</f>
        <v>3.4</v>
      </c>
      <c r="G81" s="2">
        <f t="shared" si="13"/>
        <v>10.5</v>
      </c>
      <c r="H81" s="2" t="s">
        <v>317</v>
      </c>
      <c r="I81" s="349">
        <f t="shared" si="15"/>
        <v>40</v>
      </c>
      <c r="J81" s="32">
        <v>40</v>
      </c>
      <c r="K81" s="2">
        <f t="shared" si="14"/>
        <v>101</v>
      </c>
      <c r="L81" s="99" t="str">
        <f t="shared" si="16"/>
        <v>[101,40]</v>
      </c>
    </row>
    <row r="82" spans="2:12" x14ac:dyDescent="0.3">
      <c r="B82" s="2">
        <v>10</v>
      </c>
      <c r="C82" s="2">
        <f>游戏时长规划!V13</f>
        <v>4</v>
      </c>
      <c r="D82" s="2">
        <f>SUM(C$73:C82)</f>
        <v>38</v>
      </c>
      <c r="E82" s="34">
        <f>C82/[1]基础经济系数!$C$5</f>
        <v>0.4</v>
      </c>
      <c r="F82" s="34">
        <f>D82/[1]基础经济系数!$C$5</f>
        <v>3.8</v>
      </c>
      <c r="G82" s="2">
        <f t="shared" si="13"/>
        <v>14</v>
      </c>
      <c r="H82" s="2" t="s">
        <v>273</v>
      </c>
      <c r="I82" s="349">
        <f t="shared" si="15"/>
        <v>37.5</v>
      </c>
      <c r="J82" s="32">
        <v>30</v>
      </c>
      <c r="K82" s="2">
        <f t="shared" si="14"/>
        <v>105</v>
      </c>
      <c r="L82" s="99" t="str">
        <f t="shared" si="16"/>
        <v>[105,30]</v>
      </c>
    </row>
    <row r="83" spans="2:12" x14ac:dyDescent="0.3">
      <c r="B83" s="2">
        <v>11</v>
      </c>
      <c r="C83" s="2">
        <f>游戏时长规划!V14</f>
        <v>5</v>
      </c>
      <c r="D83" s="2">
        <f>SUM(C$73:C83)</f>
        <v>43</v>
      </c>
      <c r="E83" s="34">
        <f>C83/[1]基础经济系数!$C$5</f>
        <v>0.5</v>
      </c>
      <c r="F83" s="34">
        <f>D83/[1]基础经济系数!$C$5</f>
        <v>4.3</v>
      </c>
      <c r="G83" s="2">
        <f t="shared" si="13"/>
        <v>17.5</v>
      </c>
      <c r="H83" s="2" t="s">
        <v>268</v>
      </c>
      <c r="I83" s="349">
        <f t="shared" si="15"/>
        <v>222.222222222222</v>
      </c>
      <c r="J83" s="32">
        <v>10000</v>
      </c>
      <c r="K83" s="2">
        <f t="shared" si="14"/>
        <v>102</v>
      </c>
      <c r="L83" s="99" t="str">
        <f t="shared" si="16"/>
        <v>[102,10000]</v>
      </c>
    </row>
    <row r="84" spans="2:12" x14ac:dyDescent="0.3">
      <c r="B84" s="2">
        <v>12</v>
      </c>
      <c r="C84" s="2">
        <f>游戏时长规划!V15</f>
        <v>6</v>
      </c>
      <c r="D84" s="2">
        <f>SUM(C$73:C84)</f>
        <v>49</v>
      </c>
      <c r="E84" s="34">
        <f>C84/[1]基础经济系数!$C$5</f>
        <v>0.6</v>
      </c>
      <c r="F84" s="34">
        <f>D84/[1]基础经济系数!$C$5</f>
        <v>4.9000000000000004</v>
      </c>
      <c r="G84" s="2">
        <f t="shared" si="13"/>
        <v>21</v>
      </c>
      <c r="H84" s="2" t="s">
        <v>4268</v>
      </c>
      <c r="I84" s="349">
        <f t="shared" si="15"/>
        <v>48</v>
      </c>
      <c r="J84" s="32">
        <v>2</v>
      </c>
      <c r="K84" s="2">
        <f t="shared" si="14"/>
        <v>100203</v>
      </c>
      <c r="L84" s="99" t="str">
        <f t="shared" si="16"/>
        <v>[100203,2]</v>
      </c>
    </row>
    <row r="85" spans="2:12" x14ac:dyDescent="0.3">
      <c r="B85" s="2">
        <v>13</v>
      </c>
      <c r="C85" s="2">
        <f>游戏时长规划!V16</f>
        <v>8</v>
      </c>
      <c r="D85" s="2">
        <f>SUM(C$73:C85)</f>
        <v>57</v>
      </c>
      <c r="E85" s="34">
        <f>C85/[1]基础经济系数!$C$5</f>
        <v>0.8</v>
      </c>
      <c r="F85" s="34">
        <f>D85/[1]基础经济系数!$C$5</f>
        <v>5.7</v>
      </c>
      <c r="G85" s="2">
        <f t="shared" si="13"/>
        <v>28</v>
      </c>
      <c r="H85" s="2" t="s">
        <v>317</v>
      </c>
      <c r="I85" s="349">
        <f t="shared" si="15"/>
        <v>60</v>
      </c>
      <c r="J85" s="32">
        <v>60</v>
      </c>
      <c r="K85" s="2">
        <f t="shared" si="14"/>
        <v>101</v>
      </c>
      <c r="L85" s="99" t="str">
        <f t="shared" si="16"/>
        <v>[101,60]</v>
      </c>
    </row>
    <row r="86" spans="2:12" x14ac:dyDescent="0.3">
      <c r="B86" s="2">
        <v>14</v>
      </c>
      <c r="C86" s="2">
        <f>游戏时长规划!V17</f>
        <v>10</v>
      </c>
      <c r="D86" s="2">
        <f>SUM(C$73:C86)</f>
        <v>67</v>
      </c>
      <c r="E86" s="34">
        <f>C86/[1]基础经济系数!$C$5</f>
        <v>1</v>
      </c>
      <c r="F86" s="34">
        <f>D86/[1]基础经济系数!$C$5</f>
        <v>6.7</v>
      </c>
      <c r="G86" s="2">
        <f t="shared" si="13"/>
        <v>35</v>
      </c>
      <c r="H86" s="2" t="s">
        <v>511</v>
      </c>
      <c r="I86" s="349">
        <f t="shared" si="15"/>
        <v>300</v>
      </c>
      <c r="J86" s="32">
        <v>400</v>
      </c>
      <c r="K86" s="2">
        <f t="shared" si="14"/>
        <v>111</v>
      </c>
      <c r="L86" s="99" t="str">
        <f t="shared" si="16"/>
        <v>[111,400]</v>
      </c>
    </row>
    <row r="87" spans="2:12" x14ac:dyDescent="0.3">
      <c r="B87" s="2">
        <v>15</v>
      </c>
      <c r="C87" s="2">
        <f>游戏时长规划!V18</f>
        <v>15</v>
      </c>
      <c r="D87" s="2">
        <f>SUM(C$73:C87)</f>
        <v>82</v>
      </c>
      <c r="E87" s="34">
        <f>C87/[1]基础经济系数!$C$5</f>
        <v>1.5</v>
      </c>
      <c r="F87" s="34">
        <f>D87/[1]基础经济系数!$C$5</f>
        <v>8.1999999999999993</v>
      </c>
      <c r="G87" s="2">
        <f t="shared" si="13"/>
        <v>52.5</v>
      </c>
      <c r="H87" s="2" t="s">
        <v>268</v>
      </c>
      <c r="I87" s="349">
        <f t="shared" si="15"/>
        <v>311.1111111111108</v>
      </c>
      <c r="J87" s="32">
        <v>14000</v>
      </c>
      <c r="K87" s="2">
        <f t="shared" si="14"/>
        <v>102</v>
      </c>
      <c r="L87" s="99" t="str">
        <f t="shared" si="16"/>
        <v>[102,14000]</v>
      </c>
    </row>
    <row r="88" spans="2:12" x14ac:dyDescent="0.3">
      <c r="B88" s="2">
        <v>16</v>
      </c>
      <c r="C88" s="2">
        <f>游戏时长规划!V19</f>
        <v>15</v>
      </c>
      <c r="D88" s="2">
        <f>SUM(C$73:C88)</f>
        <v>97</v>
      </c>
      <c r="E88" s="34">
        <f>C88/[1]基础经济系数!$C$5</f>
        <v>1.5</v>
      </c>
      <c r="F88" s="34">
        <f>D88/[1]基础经济系数!$C$5</f>
        <v>9.6999999999999993</v>
      </c>
      <c r="G88" s="2">
        <f t="shared" si="13"/>
        <v>52.5</v>
      </c>
      <c r="H88" s="2" t="s">
        <v>4268</v>
      </c>
      <c r="I88" s="349">
        <f t="shared" si="15"/>
        <v>48</v>
      </c>
      <c r="J88" s="32">
        <v>2</v>
      </c>
      <c r="K88" s="2">
        <f t="shared" si="14"/>
        <v>100203</v>
      </c>
      <c r="L88" s="99" t="str">
        <f t="shared" si="16"/>
        <v>[100203,2]</v>
      </c>
    </row>
    <row r="89" spans="2:12" x14ac:dyDescent="0.3">
      <c r="B89" s="2">
        <v>17</v>
      </c>
      <c r="C89" s="2">
        <f>游戏时长规划!V20</f>
        <v>20</v>
      </c>
      <c r="D89" s="2">
        <f>SUM(C$73:C89)</f>
        <v>117</v>
      </c>
      <c r="E89" s="34">
        <f>C89/[1]基础经济系数!$C$5</f>
        <v>2</v>
      </c>
      <c r="F89" s="34">
        <f>D89/[1]基础经济系数!$C$5</f>
        <v>11.7</v>
      </c>
      <c r="G89" s="2">
        <f t="shared" si="13"/>
        <v>70</v>
      </c>
      <c r="H89" s="2" t="s">
        <v>317</v>
      </c>
      <c r="I89" s="349">
        <f t="shared" si="15"/>
        <v>80</v>
      </c>
      <c r="J89" s="32">
        <v>80</v>
      </c>
      <c r="K89" s="2">
        <f t="shared" si="14"/>
        <v>101</v>
      </c>
      <c r="L89" s="99" t="str">
        <f t="shared" si="16"/>
        <v>[101,80]</v>
      </c>
    </row>
    <row r="90" spans="2:12" x14ac:dyDescent="0.3">
      <c r="B90" s="2">
        <v>18</v>
      </c>
      <c r="C90" s="2">
        <f>游戏时长规划!V21</f>
        <v>25</v>
      </c>
      <c r="D90" s="2">
        <f>SUM(C$73:C90)</f>
        <v>142</v>
      </c>
      <c r="E90" s="34">
        <f>C90/[1]基础经济系数!$C$5</f>
        <v>2.5</v>
      </c>
      <c r="F90" s="34">
        <f>D90/[1]基础经济系数!$C$5</f>
        <v>14.2</v>
      </c>
      <c r="G90" s="2">
        <f t="shared" si="13"/>
        <v>87.5</v>
      </c>
      <c r="H90" s="2" t="s">
        <v>273</v>
      </c>
      <c r="I90" s="349">
        <f t="shared" si="15"/>
        <v>37.5</v>
      </c>
      <c r="J90" s="32">
        <v>30</v>
      </c>
      <c r="K90" s="2">
        <f t="shared" si="14"/>
        <v>105</v>
      </c>
      <c r="L90" s="99" t="str">
        <f t="shared" si="16"/>
        <v>[105,30]</v>
      </c>
    </row>
    <row r="91" spans="2:12" x14ac:dyDescent="0.3">
      <c r="B91" s="2">
        <v>19</v>
      </c>
      <c r="C91" s="2">
        <f>游戏时长规划!V22</f>
        <v>30</v>
      </c>
      <c r="D91" s="2">
        <f>SUM(C$73:C91)</f>
        <v>172</v>
      </c>
      <c r="E91" s="34">
        <f>C91/[1]基础经济系数!$C$5</f>
        <v>3</v>
      </c>
      <c r="F91" s="34">
        <f>D91/[1]基础经济系数!$C$5</f>
        <v>17.2</v>
      </c>
      <c r="G91" s="2">
        <f t="shared" si="13"/>
        <v>105</v>
      </c>
      <c r="H91" s="2" t="s">
        <v>268</v>
      </c>
      <c r="I91" s="349">
        <f t="shared" si="15"/>
        <v>399.9999999999996</v>
      </c>
      <c r="J91" s="32">
        <v>18000</v>
      </c>
      <c r="K91" s="2">
        <f t="shared" si="14"/>
        <v>102</v>
      </c>
      <c r="L91" s="99" t="str">
        <f t="shared" si="16"/>
        <v>[102,18000]</v>
      </c>
    </row>
    <row r="92" spans="2:12" x14ac:dyDescent="0.3">
      <c r="B92" s="2">
        <v>20</v>
      </c>
      <c r="C92" s="2">
        <f>游戏时长规划!V23</f>
        <v>40</v>
      </c>
      <c r="D92" s="2">
        <f>SUM(C$73:C92)</f>
        <v>212</v>
      </c>
      <c r="E92" s="34">
        <f>C92/[1]基础经济系数!$C$5</f>
        <v>4</v>
      </c>
      <c r="F92" s="34">
        <f>D92/[1]基础经济系数!$C$5</f>
        <v>21.2</v>
      </c>
      <c r="G92" s="2">
        <f t="shared" si="13"/>
        <v>140</v>
      </c>
      <c r="H92" s="2" t="s">
        <v>4268</v>
      </c>
      <c r="I92" s="349">
        <f t="shared" si="15"/>
        <v>72</v>
      </c>
      <c r="J92" s="32">
        <v>3</v>
      </c>
      <c r="K92" s="2">
        <f t="shared" si="14"/>
        <v>100203</v>
      </c>
      <c r="L92" s="99" t="str">
        <f t="shared" si="16"/>
        <v>[100203,3]</v>
      </c>
    </row>
    <row r="93" spans="2:12" x14ac:dyDescent="0.3">
      <c r="B93" s="2">
        <v>21</v>
      </c>
      <c r="C93" s="2">
        <f>游戏时长规划!V24</f>
        <v>50</v>
      </c>
      <c r="D93" s="2">
        <f>SUM(C$73:C93)</f>
        <v>262</v>
      </c>
      <c r="E93" s="34">
        <f>C93/[1]基础经济系数!$C$5</f>
        <v>5</v>
      </c>
      <c r="F93" s="34">
        <f>D93/[1]基础经济系数!$C$5</f>
        <v>26.2</v>
      </c>
      <c r="G93" s="2">
        <f t="shared" si="13"/>
        <v>175</v>
      </c>
      <c r="H93" s="2" t="s">
        <v>317</v>
      </c>
      <c r="I93" s="349">
        <f t="shared" si="15"/>
        <v>100</v>
      </c>
      <c r="J93" s="32">
        <v>100</v>
      </c>
      <c r="K93" s="2">
        <f t="shared" si="14"/>
        <v>101</v>
      </c>
      <c r="L93" s="99" t="str">
        <f t="shared" si="16"/>
        <v>[101,100]</v>
      </c>
    </row>
    <row r="94" spans="2:12" x14ac:dyDescent="0.3">
      <c r="B94" s="2">
        <v>22</v>
      </c>
      <c r="C94" s="2">
        <f>游戏时长规划!V25</f>
        <v>65</v>
      </c>
      <c r="D94" s="2">
        <f>SUM(C$73:C94)</f>
        <v>327</v>
      </c>
      <c r="E94" s="34">
        <f>C94/[1]基础经济系数!$C$5</f>
        <v>6.5</v>
      </c>
      <c r="F94" s="34">
        <f>D94/[1]基础经济系数!$C$5</f>
        <v>32.700000000000003</v>
      </c>
      <c r="G94" s="2">
        <f t="shared" si="13"/>
        <v>227.5</v>
      </c>
      <c r="H94" s="2" t="s">
        <v>511</v>
      </c>
      <c r="I94" s="349">
        <f t="shared" si="15"/>
        <v>450</v>
      </c>
      <c r="J94" s="32">
        <v>600</v>
      </c>
      <c r="K94" s="2">
        <f t="shared" si="14"/>
        <v>111</v>
      </c>
      <c r="L94" s="99" t="str">
        <f t="shared" si="16"/>
        <v>[111,600]</v>
      </c>
    </row>
    <row r="95" spans="2:12" x14ac:dyDescent="0.3">
      <c r="B95" s="2">
        <v>23</v>
      </c>
      <c r="C95" s="2">
        <f>游戏时长规划!V26</f>
        <v>80</v>
      </c>
      <c r="D95" s="2">
        <f>SUM(C$73:C95)</f>
        <v>407</v>
      </c>
      <c r="E95" s="34">
        <f>C95/[1]基础经济系数!$C$5</f>
        <v>8</v>
      </c>
      <c r="F95" s="34">
        <f>D95/[1]基础经济系数!$C$5</f>
        <v>40.700000000000003</v>
      </c>
      <c r="G95" s="2">
        <f t="shared" si="13"/>
        <v>280</v>
      </c>
      <c r="H95" s="2" t="s">
        <v>268</v>
      </c>
      <c r="I95" s="349">
        <f t="shared" si="15"/>
        <v>488.88888888888835</v>
      </c>
      <c r="J95" s="32">
        <v>22000</v>
      </c>
      <c r="K95" s="2">
        <f t="shared" si="14"/>
        <v>102</v>
      </c>
      <c r="L95" s="99" t="str">
        <f t="shared" si="16"/>
        <v>[102,22000]</v>
      </c>
    </row>
    <row r="96" spans="2:12" x14ac:dyDescent="0.3">
      <c r="B96" s="2">
        <v>24</v>
      </c>
      <c r="C96" s="2">
        <f>游戏时长规划!V27</f>
        <v>105</v>
      </c>
      <c r="D96" s="2">
        <f>SUM(C$73:C96)</f>
        <v>512</v>
      </c>
      <c r="E96" s="34">
        <f>C96/[1]基础经济系数!$C$5</f>
        <v>10.5</v>
      </c>
      <c r="F96" s="34">
        <f>D96/[1]基础经济系数!$C$5</f>
        <v>51.2</v>
      </c>
      <c r="G96" s="2">
        <f t="shared" si="13"/>
        <v>367.5</v>
      </c>
      <c r="H96" s="2" t="s">
        <v>4268</v>
      </c>
      <c r="I96" s="349">
        <f t="shared" si="15"/>
        <v>72</v>
      </c>
      <c r="J96" s="32">
        <v>3</v>
      </c>
      <c r="K96" s="2">
        <f t="shared" si="14"/>
        <v>100203</v>
      </c>
      <c r="L96" s="99" t="str">
        <f t="shared" si="16"/>
        <v>[100203,3]</v>
      </c>
    </row>
    <row r="97" spans="2:12" x14ac:dyDescent="0.3">
      <c r="B97" s="2">
        <v>25</v>
      </c>
      <c r="C97" s="2">
        <f>游戏时长规划!V28</f>
        <v>130</v>
      </c>
      <c r="D97" s="2">
        <f>SUM(C$73:C97)</f>
        <v>642</v>
      </c>
      <c r="E97" s="34">
        <f>C97/[1]基础经济系数!$C$5</f>
        <v>13</v>
      </c>
      <c r="F97" s="34">
        <f>D97/[1]基础经济系数!$C$5</f>
        <v>64.2</v>
      </c>
      <c r="G97" s="2">
        <f t="shared" si="13"/>
        <v>455</v>
      </c>
      <c r="H97" s="2" t="s">
        <v>317</v>
      </c>
      <c r="I97" s="349">
        <f t="shared" si="15"/>
        <v>120</v>
      </c>
      <c r="J97" s="32">
        <v>120</v>
      </c>
      <c r="K97" s="2">
        <f t="shared" si="14"/>
        <v>101</v>
      </c>
      <c r="L97" s="99" t="str">
        <f t="shared" si="16"/>
        <v>[101,120]</v>
      </c>
    </row>
    <row r="98" spans="2:12" x14ac:dyDescent="0.3">
      <c r="B98" s="2">
        <v>26</v>
      </c>
      <c r="C98" s="2">
        <f>游戏时长规划!V29</f>
        <v>165</v>
      </c>
      <c r="D98" s="2">
        <f>SUM(C$73:C98)</f>
        <v>807</v>
      </c>
      <c r="E98" s="34">
        <f>C98/[1]基础经济系数!$C$5</f>
        <v>16.5</v>
      </c>
      <c r="F98" s="34">
        <f>D98/[1]基础经济系数!$C$5</f>
        <v>80.7</v>
      </c>
      <c r="G98" s="2">
        <f t="shared" si="13"/>
        <v>577.5</v>
      </c>
      <c r="H98" s="2" t="s">
        <v>273</v>
      </c>
      <c r="I98" s="349">
        <f t="shared" si="15"/>
        <v>37.5</v>
      </c>
      <c r="J98" s="32">
        <v>30</v>
      </c>
      <c r="K98" s="2">
        <f t="shared" si="14"/>
        <v>105</v>
      </c>
      <c r="L98" s="99" t="str">
        <f t="shared" si="16"/>
        <v>[105,30]</v>
      </c>
    </row>
    <row r="99" spans="2:12" x14ac:dyDescent="0.3">
      <c r="B99" s="2">
        <v>27</v>
      </c>
      <c r="C99" s="2">
        <f>游戏时长规划!V30</f>
        <v>205</v>
      </c>
      <c r="D99" s="2">
        <f>SUM(C$73:C99)</f>
        <v>1012</v>
      </c>
      <c r="E99" s="34">
        <f>C99/[1]基础经济系数!$C$5</f>
        <v>20.5</v>
      </c>
      <c r="F99" s="34">
        <f>D99/[1]基础经济系数!$C$5</f>
        <v>101.2</v>
      </c>
      <c r="G99" s="2">
        <f t="shared" si="13"/>
        <v>717.5</v>
      </c>
      <c r="H99" s="2" t="s">
        <v>268</v>
      </c>
      <c r="I99" s="349">
        <f t="shared" si="15"/>
        <v>577.77777777777715</v>
      </c>
      <c r="J99" s="32">
        <v>26000</v>
      </c>
      <c r="K99" s="2">
        <f t="shared" si="14"/>
        <v>102</v>
      </c>
      <c r="L99" s="99" t="str">
        <f t="shared" si="16"/>
        <v>[102,26000]</v>
      </c>
    </row>
    <row r="100" spans="2:12" x14ac:dyDescent="0.3">
      <c r="B100" s="2">
        <v>28</v>
      </c>
      <c r="C100" s="2">
        <f>游戏时长规划!V31</f>
        <v>260</v>
      </c>
      <c r="D100" s="2">
        <f>SUM(C$73:C100)</f>
        <v>1272</v>
      </c>
      <c r="E100" s="34">
        <f>C100/[1]基础经济系数!$C$5</f>
        <v>26</v>
      </c>
      <c r="F100" s="34">
        <f>D100/[1]基础经济系数!$C$5</f>
        <v>127.2</v>
      </c>
      <c r="G100" s="2">
        <f t="shared" si="13"/>
        <v>910</v>
      </c>
      <c r="H100" s="2" t="s">
        <v>578</v>
      </c>
      <c r="I100" s="349">
        <f t="shared" si="15"/>
        <v>240</v>
      </c>
      <c r="J100" s="32">
        <v>4</v>
      </c>
      <c r="K100" s="2">
        <f t="shared" si="14"/>
        <v>100302</v>
      </c>
      <c r="L100" s="99" t="str">
        <f t="shared" si="16"/>
        <v>[100302,4]</v>
      </c>
    </row>
    <row r="101" spans="2:12" x14ac:dyDescent="0.3">
      <c r="B101" s="2">
        <v>29</v>
      </c>
      <c r="C101" s="2">
        <f>游戏时长规划!V32</f>
        <v>330</v>
      </c>
      <c r="D101" s="2">
        <f>SUM(C$73:C101)</f>
        <v>1602</v>
      </c>
      <c r="E101" s="34">
        <f>C101/[1]基础经济系数!$C$5</f>
        <v>33</v>
      </c>
      <c r="F101" s="34">
        <f>D101/[1]基础经济系数!$C$5</f>
        <v>160.19999999999999</v>
      </c>
      <c r="G101" s="2">
        <f t="shared" si="13"/>
        <v>1155</v>
      </c>
      <c r="H101" s="2" t="s">
        <v>317</v>
      </c>
      <c r="I101" s="349">
        <f t="shared" si="15"/>
        <v>140</v>
      </c>
      <c r="J101" s="32">
        <v>140</v>
      </c>
      <c r="K101" s="2">
        <f t="shared" si="14"/>
        <v>101</v>
      </c>
      <c r="L101" s="99" t="str">
        <f t="shared" si="16"/>
        <v>[101,140]</v>
      </c>
    </row>
    <row r="102" spans="2:12" x14ac:dyDescent="0.3">
      <c r="B102" s="2">
        <v>30</v>
      </c>
      <c r="C102" s="2">
        <f>游戏时长规划!V33</f>
        <v>420</v>
      </c>
      <c r="D102" s="2">
        <f>SUM(C$73:C102)</f>
        <v>2022</v>
      </c>
      <c r="E102" s="34">
        <f>C102/[1]基础经济系数!$C$5</f>
        <v>42</v>
      </c>
      <c r="F102" s="34">
        <f>D102/[1]基础经济系数!$C$5</f>
        <v>202.2</v>
      </c>
      <c r="G102" s="2">
        <f t="shared" si="13"/>
        <v>1470</v>
      </c>
      <c r="H102" s="2" t="s">
        <v>511</v>
      </c>
      <c r="I102" s="349">
        <f t="shared" si="15"/>
        <v>600</v>
      </c>
      <c r="J102" s="32">
        <v>800</v>
      </c>
      <c r="K102" s="2">
        <f t="shared" si="14"/>
        <v>111</v>
      </c>
      <c r="L102" s="99" t="str">
        <f t="shared" si="16"/>
        <v>[111,800]</v>
      </c>
    </row>
    <row r="106" spans="2:12" ht="18" x14ac:dyDescent="0.35">
      <c r="B106" s="100" t="s">
        <v>506</v>
      </c>
      <c r="I106" s="100"/>
    </row>
    <row r="107" spans="2:12" x14ac:dyDescent="0.3">
      <c r="B107" s="101" t="s">
        <v>2920</v>
      </c>
      <c r="C107" s="101" t="s">
        <v>2904</v>
      </c>
      <c r="D107" s="101" t="s">
        <v>2913</v>
      </c>
      <c r="E107" s="101" t="s">
        <v>569</v>
      </c>
      <c r="F107" s="101" t="s">
        <v>2911</v>
      </c>
    </row>
    <row r="108" spans="2:12" x14ac:dyDescent="0.3">
      <c r="B108" s="2">
        <v>1</v>
      </c>
      <c r="C108" s="2" t="s">
        <v>268</v>
      </c>
      <c r="D108" s="2">
        <v>60</v>
      </c>
      <c r="E108" s="2">
        <f t="shared" ref="E108:E114" si="17">VLOOKUP(C108,道具ID,2,FALSE)</f>
        <v>102</v>
      </c>
      <c r="F108" s="2">
        <f t="shared" ref="F108:F114" si="18">VLOOKUP(C108,V:W,2,FALSE)*D108</f>
        <v>1.3333333333333319</v>
      </c>
    </row>
    <row r="109" spans="2:12" x14ac:dyDescent="0.3">
      <c r="B109" s="102">
        <v>2</v>
      </c>
      <c r="C109" s="2" t="s">
        <v>317</v>
      </c>
      <c r="D109" s="2">
        <v>100</v>
      </c>
      <c r="E109" s="2">
        <f t="shared" si="17"/>
        <v>101</v>
      </c>
      <c r="F109" s="2">
        <f t="shared" si="18"/>
        <v>100</v>
      </c>
    </row>
    <row r="110" spans="2:12" x14ac:dyDescent="0.3">
      <c r="B110" s="2">
        <v>3</v>
      </c>
      <c r="C110" s="2" t="s">
        <v>273</v>
      </c>
      <c r="D110" s="2">
        <v>20</v>
      </c>
      <c r="E110" s="2">
        <f t="shared" si="17"/>
        <v>105</v>
      </c>
      <c r="F110" s="2">
        <f t="shared" si="18"/>
        <v>25</v>
      </c>
    </row>
    <row r="111" spans="2:12" x14ac:dyDescent="0.3">
      <c r="B111" s="102">
        <v>4</v>
      </c>
      <c r="C111" s="2" t="s">
        <v>2397</v>
      </c>
      <c r="D111" s="2">
        <v>1</v>
      </c>
      <c r="E111" s="2">
        <f t="shared" si="17"/>
        <v>24005</v>
      </c>
      <c r="F111" s="2">
        <f t="shared" si="18"/>
        <v>100</v>
      </c>
    </row>
    <row r="112" spans="2:12" x14ac:dyDescent="0.3">
      <c r="B112" s="2">
        <v>5</v>
      </c>
      <c r="C112" s="2" t="s">
        <v>268</v>
      </c>
      <c r="D112" s="2">
        <v>250</v>
      </c>
      <c r="E112" s="2">
        <f t="shared" si="17"/>
        <v>102</v>
      </c>
      <c r="F112" s="2">
        <f t="shared" si="18"/>
        <v>5.55555555555555</v>
      </c>
    </row>
    <row r="113" spans="2:13" x14ac:dyDescent="0.3">
      <c r="B113" s="2">
        <v>6</v>
      </c>
      <c r="C113" s="2" t="s">
        <v>4268</v>
      </c>
      <c r="D113" s="2">
        <v>1</v>
      </c>
      <c r="E113" s="2">
        <f t="shared" si="17"/>
        <v>100203</v>
      </c>
      <c r="F113" s="2">
        <f t="shared" si="18"/>
        <v>24</v>
      </c>
    </row>
    <row r="114" spans="2:13" x14ac:dyDescent="0.3">
      <c r="B114" s="102">
        <v>7</v>
      </c>
      <c r="C114" s="2" t="s">
        <v>2458</v>
      </c>
      <c r="D114" s="2">
        <v>1</v>
      </c>
      <c r="E114" s="2">
        <f t="shared" si="17"/>
        <v>25155</v>
      </c>
      <c r="F114" s="2">
        <f t="shared" si="18"/>
        <v>600</v>
      </c>
    </row>
    <row r="116" spans="2:13" x14ac:dyDescent="0.3">
      <c r="B116" s="103" t="s">
        <v>2830</v>
      </c>
      <c r="C116" s="31">
        <f>SUM(F108:F114)</f>
        <v>855.88888888888891</v>
      </c>
    </row>
    <row r="117" spans="2:13" x14ac:dyDescent="0.3">
      <c r="B117" s="103" t="s">
        <v>2921</v>
      </c>
      <c r="C117" s="31">
        <f>C116/7</f>
        <v>122.26984126984128</v>
      </c>
    </row>
    <row r="118" spans="2:13" x14ac:dyDescent="0.3">
      <c r="B118" s="2" t="s">
        <v>2922</v>
      </c>
      <c r="C118" s="2">
        <f>SUMIFS(D108:D114,C108:C114,"钻石")</f>
        <v>100</v>
      </c>
    </row>
    <row r="122" spans="2:13" x14ac:dyDescent="0.3">
      <c r="L122" s="25"/>
      <c r="M122" s="25"/>
    </row>
    <row r="156" spans="2:4" ht="18" x14ac:dyDescent="0.35">
      <c r="B156" s="100" t="s">
        <v>3819</v>
      </c>
    </row>
    <row r="157" spans="2:4" ht="15" customHeight="1" x14ac:dyDescent="0.3">
      <c r="B157" s="35" t="s">
        <v>2923</v>
      </c>
    </row>
    <row r="158" spans="2:4" ht="15" customHeight="1" x14ac:dyDescent="0.35">
      <c r="B158" s="104" t="s">
        <v>2924</v>
      </c>
      <c r="C158" s="2">
        <v>50</v>
      </c>
      <c r="D158" s="40"/>
    </row>
    <row r="159" spans="2:4" ht="15" customHeight="1" x14ac:dyDescent="0.35">
      <c r="B159" s="104" t="s">
        <v>2925</v>
      </c>
      <c r="C159" s="31">
        <f>C158*道具价值!$E$80</f>
        <v>5000.500050005001</v>
      </c>
    </row>
    <row r="160" spans="2:4" ht="15" customHeight="1" x14ac:dyDescent="0.35">
      <c r="B160" s="104" t="s">
        <v>2926</v>
      </c>
      <c r="C160" s="31">
        <v>10</v>
      </c>
    </row>
    <row r="161" spans="2:5" ht="15" customHeight="1" x14ac:dyDescent="0.35">
      <c r="B161" s="104" t="s">
        <v>2927</v>
      </c>
      <c r="C161" s="31">
        <f>C159/C160</f>
        <v>500.05000500050011</v>
      </c>
    </row>
    <row r="162" spans="2:5" ht="15" customHeight="1" x14ac:dyDescent="0.35">
      <c r="B162" s="104" t="s">
        <v>2928</v>
      </c>
      <c r="C162" s="31">
        <v>14</v>
      </c>
    </row>
    <row r="163" spans="2:5" ht="15" customHeight="1" x14ac:dyDescent="0.35">
      <c r="B163" s="105"/>
      <c r="C163" s="40"/>
    </row>
    <row r="164" spans="2:5" ht="15" customHeight="1" x14ac:dyDescent="0.3">
      <c r="B164" s="35" t="s">
        <v>2929</v>
      </c>
      <c r="C164" s="40"/>
    </row>
    <row r="165" spans="2:5" ht="15" customHeight="1" x14ac:dyDescent="0.35">
      <c r="B165" s="106" t="s">
        <v>2930</v>
      </c>
      <c r="C165" s="106" t="s">
        <v>2931</v>
      </c>
    </row>
    <row r="166" spans="2:5" ht="15" customHeight="1" x14ac:dyDescent="0.3">
      <c r="B166" s="3" t="s">
        <v>3824</v>
      </c>
      <c r="C166" s="3" t="s">
        <v>3823</v>
      </c>
      <c r="E166" s="1" t="s">
        <v>2767</v>
      </c>
    </row>
    <row r="167" spans="2:5" ht="15" customHeight="1" x14ac:dyDescent="0.3">
      <c r="B167" s="3" t="s">
        <v>2747</v>
      </c>
      <c r="C167" s="3" t="s">
        <v>2933</v>
      </c>
      <c r="E167" s="1" t="s">
        <v>2769</v>
      </c>
    </row>
    <row r="168" spans="2:5" ht="15" customHeight="1" x14ac:dyDescent="0.3">
      <c r="B168" s="3" t="s">
        <v>2749</v>
      </c>
      <c r="C168" s="3" t="s">
        <v>2934</v>
      </c>
      <c r="E168" s="1" t="s">
        <v>2771</v>
      </c>
    </row>
    <row r="169" spans="2:5" ht="15" customHeight="1" x14ac:dyDescent="0.3">
      <c r="B169" s="3" t="s">
        <v>2751</v>
      </c>
      <c r="C169" s="3" t="s">
        <v>2935</v>
      </c>
      <c r="E169" s="1" t="s">
        <v>2773</v>
      </c>
    </row>
    <row r="170" spans="2:5" ht="14.25" customHeight="1" x14ac:dyDescent="0.35">
      <c r="B170" s="104" t="s">
        <v>2715</v>
      </c>
      <c r="C170" s="3" t="s">
        <v>2936</v>
      </c>
    </row>
    <row r="171" spans="2:5" ht="14.25" customHeight="1" x14ac:dyDescent="0.35">
      <c r="B171" s="104" t="s">
        <v>2767</v>
      </c>
      <c r="C171" s="3" t="s">
        <v>2935</v>
      </c>
    </row>
    <row r="172" spans="2:5" ht="14.25" customHeight="1" x14ac:dyDescent="0.35">
      <c r="B172" s="104" t="s">
        <v>2769</v>
      </c>
      <c r="C172" s="3" t="s">
        <v>2932</v>
      </c>
    </row>
    <row r="173" spans="2:5" ht="14.25" customHeight="1" x14ac:dyDescent="0.35">
      <c r="B173" s="104" t="s">
        <v>2771</v>
      </c>
      <c r="C173" s="3" t="s">
        <v>2934</v>
      </c>
    </row>
    <row r="174" spans="2:5" ht="14.25" customHeight="1" x14ac:dyDescent="0.35">
      <c r="B174" s="104" t="s">
        <v>2773</v>
      </c>
      <c r="C174" s="3" t="s">
        <v>2937</v>
      </c>
    </row>
    <row r="175" spans="2:5" ht="15" customHeight="1" x14ac:dyDescent="0.35">
      <c r="B175" s="105"/>
      <c r="C175" s="40"/>
    </row>
    <row r="176" spans="2:5" ht="15" customHeight="1" x14ac:dyDescent="0.35">
      <c r="B176" s="100"/>
    </row>
    <row r="177" spans="2:13" x14ac:dyDescent="0.3">
      <c r="B177" s="107" t="s">
        <v>2938</v>
      </c>
    </row>
    <row r="178" spans="2:13" x14ac:dyDescent="0.3">
      <c r="B178" s="44" t="s">
        <v>2939</v>
      </c>
      <c r="C178" s="44" t="s">
        <v>1818</v>
      </c>
      <c r="D178" s="44" t="s">
        <v>2940</v>
      </c>
      <c r="E178" s="44" t="s">
        <v>1820</v>
      </c>
      <c r="F178" s="44" t="s">
        <v>2941</v>
      </c>
      <c r="G178" s="44" t="s">
        <v>1822</v>
      </c>
      <c r="H178" s="44" t="s">
        <v>2942</v>
      </c>
      <c r="I178" s="44" t="s">
        <v>1818</v>
      </c>
      <c r="J178" s="44" t="s">
        <v>2943</v>
      </c>
      <c r="K178" s="44" t="s">
        <v>1820</v>
      </c>
      <c r="L178" s="44" t="s">
        <v>2944</v>
      </c>
      <c r="M178" s="44" t="s">
        <v>2945</v>
      </c>
    </row>
    <row r="179" spans="2:13" x14ac:dyDescent="0.3">
      <c r="B179" s="2" t="s">
        <v>2728</v>
      </c>
      <c r="C179" s="2">
        <v>10</v>
      </c>
      <c r="D179" s="2"/>
      <c r="E179" s="2"/>
      <c r="F179" s="2"/>
      <c r="G179" s="2"/>
      <c r="H179" s="2" t="s">
        <v>268</v>
      </c>
      <c r="I179" s="2">
        <v>100</v>
      </c>
      <c r="J179" s="2"/>
      <c r="K179" s="2"/>
      <c r="L179" s="31">
        <f t="shared" ref="L179:L185" si="19">MAX(IF(B179="",0,C179/VLOOKUP(B179,$B$206:$C$208,2,FALSE)),IF(D179="",0,E179/VLOOKUP(D179,$B$206:$C$208,2,FALSE)),IF(F179="",0,G179/VLOOKUP(F179,$B$206:$C$208,2,FALSE)))</f>
        <v>0.83333333333333337</v>
      </c>
      <c r="M179" s="2">
        <f>$C$162/L179*I179</f>
        <v>1680</v>
      </c>
    </row>
    <row r="180" spans="2:13" x14ac:dyDescent="0.3">
      <c r="B180" s="2" t="s">
        <v>2730</v>
      </c>
      <c r="C180" s="2">
        <v>12</v>
      </c>
      <c r="D180" s="2"/>
      <c r="E180" s="2"/>
      <c r="F180" s="2"/>
      <c r="G180" s="2"/>
      <c r="H180" s="2" t="s">
        <v>2735</v>
      </c>
      <c r="I180" s="2">
        <v>1</v>
      </c>
      <c r="J180" s="2"/>
      <c r="K180" s="2"/>
      <c r="L180" s="31">
        <f t="shared" si="19"/>
        <v>1.5</v>
      </c>
      <c r="M180" s="2">
        <f t="shared" ref="M180:M185" si="20">$C$162/L180*I180</f>
        <v>9.3333333333333339</v>
      </c>
    </row>
    <row r="181" spans="2:13" x14ac:dyDescent="0.3">
      <c r="B181" s="2" t="s">
        <v>2732</v>
      </c>
      <c r="C181" s="2">
        <v>25</v>
      </c>
      <c r="D181" s="2"/>
      <c r="E181" s="2"/>
      <c r="F181" s="2"/>
      <c r="G181" s="2"/>
      <c r="H181" s="2" t="s">
        <v>3836</v>
      </c>
      <c r="I181" s="2">
        <v>1</v>
      </c>
      <c r="J181" s="2"/>
      <c r="K181" s="2"/>
      <c r="L181" s="31">
        <f t="shared" si="19"/>
        <v>5</v>
      </c>
      <c r="M181" s="2">
        <f t="shared" si="20"/>
        <v>2.8</v>
      </c>
    </row>
    <row r="182" spans="2:13" x14ac:dyDescent="0.3">
      <c r="B182" s="2" t="s">
        <v>2728</v>
      </c>
      <c r="C182" s="2">
        <v>80</v>
      </c>
      <c r="D182" s="2" t="s">
        <v>2730</v>
      </c>
      <c r="E182" s="2">
        <v>50</v>
      </c>
      <c r="F182" s="2" t="s">
        <v>2732</v>
      </c>
      <c r="G182" s="2">
        <v>30</v>
      </c>
      <c r="H182" s="2" t="s">
        <v>2769</v>
      </c>
      <c r="I182" s="2">
        <v>1</v>
      </c>
      <c r="J182" s="2"/>
      <c r="K182" s="2"/>
      <c r="L182" s="31">
        <f t="shared" si="19"/>
        <v>6.666666666666667</v>
      </c>
      <c r="M182" s="2">
        <f t="shared" si="20"/>
        <v>2.1</v>
      </c>
    </row>
    <row r="183" spans="2:13" x14ac:dyDescent="0.3">
      <c r="B183" s="2" t="s">
        <v>2728</v>
      </c>
      <c r="C183" s="2">
        <v>100</v>
      </c>
      <c r="D183" s="2" t="s">
        <v>2730</v>
      </c>
      <c r="E183" s="2">
        <v>60</v>
      </c>
      <c r="F183" s="2" t="s">
        <v>2732</v>
      </c>
      <c r="G183" s="2">
        <v>50</v>
      </c>
      <c r="H183" s="2" t="s">
        <v>2745</v>
      </c>
      <c r="I183" s="2">
        <v>1</v>
      </c>
      <c r="J183" s="2"/>
      <c r="K183" s="2"/>
      <c r="L183" s="31">
        <f t="shared" si="19"/>
        <v>10</v>
      </c>
      <c r="M183" s="2">
        <f t="shared" si="20"/>
        <v>1.4</v>
      </c>
    </row>
    <row r="184" spans="2:13" x14ac:dyDescent="0.3">
      <c r="B184" s="2"/>
      <c r="C184" s="2"/>
      <c r="D184" s="2"/>
      <c r="E184" s="2"/>
      <c r="F184" s="2"/>
      <c r="G184" s="2"/>
      <c r="H184" s="2"/>
      <c r="I184" s="2"/>
      <c r="J184" s="2"/>
      <c r="K184" s="2"/>
      <c r="L184" s="31">
        <f t="shared" si="19"/>
        <v>0</v>
      </c>
      <c r="M184" s="2" t="e">
        <f t="shared" si="20"/>
        <v>#DIV/0!</v>
      </c>
    </row>
    <row r="185" spans="2:13" x14ac:dyDescent="0.3">
      <c r="B185" s="2"/>
      <c r="C185" s="2"/>
      <c r="D185" s="2"/>
      <c r="E185" s="2"/>
      <c r="F185" s="2"/>
      <c r="G185" s="2"/>
      <c r="H185" s="2"/>
      <c r="I185" s="2"/>
      <c r="J185" s="2"/>
      <c r="K185" s="2"/>
      <c r="L185" s="31">
        <f t="shared" si="19"/>
        <v>0</v>
      </c>
      <c r="M185" s="2" t="e">
        <f t="shared" si="20"/>
        <v>#DIV/0!</v>
      </c>
    </row>
    <row r="186" spans="2:13" x14ac:dyDescent="0.3">
      <c r="B186" s="25"/>
      <c r="C186" s="25"/>
      <c r="D186" s="25"/>
      <c r="E186" s="25"/>
      <c r="F186" s="25"/>
      <c r="G186" s="25"/>
      <c r="H186" s="25"/>
      <c r="I186" s="25"/>
      <c r="J186" s="25"/>
      <c r="K186" s="25"/>
    </row>
    <row r="187" spans="2:13" x14ac:dyDescent="0.3">
      <c r="B187" s="108" t="s">
        <v>2946</v>
      </c>
      <c r="C187" s="25"/>
      <c r="D187" s="25"/>
      <c r="E187" s="25"/>
      <c r="F187" s="25"/>
      <c r="G187" s="25"/>
      <c r="H187" s="25"/>
      <c r="I187" s="25"/>
      <c r="J187" s="25"/>
      <c r="K187" s="25"/>
    </row>
    <row r="188" spans="2:13" x14ac:dyDescent="0.3">
      <c r="B188" s="36" t="str">
        <f>IF(D179="","["&amp;"("&amp;VLOOKUP(B179,道具ID!$L:$N,2,FALSE)&amp;","&amp;C179&amp;")"&amp;"]",IF(F179="","["&amp;"("&amp;VLOOKUP(B179,道具ID!$L:$N,2,FALSE)&amp;","&amp;C179&amp;")"&amp;","&amp;"("&amp;VLOOKUP(D179,道具ID!$L:$N,2,FALSE)&amp;","&amp;E179&amp;")"&amp;"]","["&amp;"("&amp;VLOOKUP(B179,道具ID!$L:$N,2,FALSE)&amp;","&amp;C179&amp;")"&amp;","&amp;"("&amp;VLOOKUP(D179,道具ID!$L:$N,2,FALSE)&amp;","&amp;E179&amp;")"&amp;","&amp;"("&amp;VLOOKUP(F179,道具ID!$L:$N,2,FALSE)&amp;","&amp;G179&amp;")"&amp;"]"))</f>
        <v>[(220001,10)]</v>
      </c>
      <c r="C188" s="36" t="str">
        <f>IF(J179="","["&amp;"("&amp;VLOOKUP(H179,道具ID!$L:$N,2,FALSE)&amp;","&amp;I179&amp;")"&amp;"]","["&amp;"("&amp;VLOOKUP(H179,道具ID!$L:$N,2,FALSE)&amp;","&amp;I179&amp;")"&amp;","&amp;"("&amp;VLOOKUP(J179,道具ID!$L:$N,2,FALSE)&amp;","&amp;E179&amp;")"&amp;"]")</f>
        <v>[(102,100)]</v>
      </c>
      <c r="D188" s="36" t="str">
        <f t="shared" ref="D188:D194" si="21">B179&amp;","&amp;D179&amp;","&amp;F179</f>
        <v>雪花,,</v>
      </c>
      <c r="E188" s="36" t="str">
        <f t="shared" ref="E188:E194" si="22">H179&amp;","&amp;J179</f>
        <v>军费,</v>
      </c>
      <c r="F188" s="25"/>
      <c r="G188" s="25"/>
      <c r="H188" s="25"/>
      <c r="I188" s="25"/>
      <c r="J188" s="25"/>
      <c r="K188" s="25"/>
    </row>
    <row r="189" spans="2:13" x14ac:dyDescent="0.3">
      <c r="B189" s="36" t="str">
        <f>IF(D180="","["&amp;"("&amp;VLOOKUP(B180,道具ID!$L:$N,2,FALSE)&amp;","&amp;C180&amp;")"&amp;"]",IF(F180="","["&amp;"("&amp;VLOOKUP(B180,道具ID!$L:$N,2,FALSE)&amp;","&amp;C180&amp;")"&amp;","&amp;"("&amp;VLOOKUP(D180,道具ID!$L:$N,2,FALSE)&amp;","&amp;E180&amp;")"&amp;"]","["&amp;"("&amp;VLOOKUP(B180,道具ID!$L:$N,2,FALSE)&amp;","&amp;C180&amp;")"&amp;","&amp;"("&amp;VLOOKUP(D180,道具ID!$L:$N,2,FALSE)&amp;","&amp;E180&amp;")"&amp;","&amp;"("&amp;VLOOKUP(F180,道具ID!$L:$N,2,FALSE)&amp;","&amp;G180&amp;")"&amp;"]"))</f>
        <v>[(220002,12)]</v>
      </c>
      <c r="C189" s="36" t="str">
        <f>IF(J180="","["&amp;"("&amp;VLOOKUP(H180,道具ID!$L:$N,2,FALSE)&amp;","&amp;I180&amp;")"&amp;"]","["&amp;"("&amp;VLOOKUP(H180,道具ID!$L:$N,2,FALSE)&amp;","&amp;I180&amp;")"&amp;","&amp;"("&amp;VLOOKUP(J180,道具ID!$L:$N,2,FALSE)&amp;","&amp;E180&amp;")"&amp;"]")</f>
        <v>[(220005,1)]</v>
      </c>
      <c r="D189" s="36" t="str">
        <f t="shared" si="21"/>
        <v>铃铛,,</v>
      </c>
      <c r="E189" s="36" t="str">
        <f t="shared" si="22"/>
        <v>圣诞拼图,</v>
      </c>
      <c r="F189" s="25"/>
      <c r="G189" s="25"/>
      <c r="H189" s="25"/>
      <c r="I189" s="25"/>
      <c r="J189" s="25"/>
      <c r="K189" s="25"/>
    </row>
    <row r="190" spans="2:13" x14ac:dyDescent="0.3">
      <c r="B190" s="36" t="str">
        <f>IF(D181="","["&amp;"("&amp;VLOOKUP(B181,道具ID!$L:$N,2,FALSE)&amp;","&amp;C181&amp;")"&amp;"]",IF(F181="","["&amp;"("&amp;VLOOKUP(B181,道具ID!$L:$N,2,FALSE)&amp;","&amp;C181&amp;")"&amp;","&amp;"("&amp;VLOOKUP(D181,道具ID!$L:$N,2,FALSE)&amp;","&amp;E181&amp;")"&amp;"]","["&amp;"("&amp;VLOOKUP(B181,道具ID!$L:$N,2,FALSE)&amp;","&amp;C181&amp;")"&amp;","&amp;"("&amp;VLOOKUP(D181,道具ID!$L:$N,2,FALSE)&amp;","&amp;E181&amp;")"&amp;","&amp;"("&amp;VLOOKUP(F181,道具ID!$L:$N,2,FALSE)&amp;","&amp;G181&amp;")"&amp;"]"))</f>
        <v>[(220003,25)]</v>
      </c>
      <c r="C190" s="36" t="str">
        <f>IF(J181="","["&amp;"("&amp;VLOOKUP(H181,道具ID!$L:$N,2,FALSE)&amp;","&amp;I181&amp;")"&amp;"]","["&amp;"("&amp;VLOOKUP(H181,道具ID!$L:$N,2,FALSE)&amp;","&amp;I181&amp;")"&amp;","&amp;"("&amp;VLOOKUP(J181,道具ID!$L:$N,2,FALSE)&amp;","&amp;E181&amp;")"&amp;"]")</f>
        <v>[(220004,1)]</v>
      </c>
      <c r="D190" s="36" t="str">
        <f t="shared" si="21"/>
        <v>圣诞糖果,,</v>
      </c>
      <c r="E190" s="36" t="str">
        <f t="shared" si="22"/>
        <v>活动幸运币,</v>
      </c>
      <c r="F190" s="25"/>
      <c r="G190" s="25"/>
      <c r="H190" s="25"/>
      <c r="I190" s="25"/>
      <c r="J190" s="25"/>
      <c r="K190" s="25"/>
    </row>
    <row r="191" spans="2:13" x14ac:dyDescent="0.3">
      <c r="B191" s="36" t="str">
        <f>IF(D182="","["&amp;"("&amp;VLOOKUP(B182,道具ID!$L:$N,2,FALSE)&amp;","&amp;C182&amp;")"&amp;"]",IF(F182="","["&amp;"("&amp;VLOOKUP(B182,道具ID!$L:$N,2,FALSE)&amp;","&amp;C182&amp;")"&amp;","&amp;"("&amp;VLOOKUP(D182,道具ID!$L:$N,2,FALSE)&amp;","&amp;E182&amp;")"&amp;"]","["&amp;"("&amp;VLOOKUP(B182,道具ID!$L:$N,2,FALSE)&amp;","&amp;C182&amp;")"&amp;","&amp;"("&amp;VLOOKUP(D182,道具ID!$L:$N,2,FALSE)&amp;","&amp;E182&amp;")"&amp;","&amp;"("&amp;VLOOKUP(F182,道具ID!$L:$N,2,FALSE)&amp;","&amp;G182&amp;")"&amp;"]"))</f>
        <v>[(220001,80),(220002,50),(220003,30)]</v>
      </c>
      <c r="C191" s="36" t="str">
        <f>IF(J182="","["&amp;"("&amp;VLOOKUP(H182,道具ID!$L:$N,2,FALSE)&amp;","&amp;I182&amp;")"&amp;"]","["&amp;"("&amp;VLOOKUP(H182,道具ID!$L:$N,2,FALSE)&amp;","&amp;I182&amp;")"&amp;","&amp;"("&amp;VLOOKUP(J182,道具ID!$L:$N,2,FALSE)&amp;","&amp;E182&amp;")"&amp;"]")</f>
        <v>[(140122,1)]</v>
      </c>
      <c r="D191" s="36" t="str">
        <f t="shared" si="21"/>
        <v>雪花,铃铛,圣诞糖果</v>
      </c>
      <c r="E191" s="36" t="str">
        <f t="shared" si="22"/>
        <v>头像-雪人,</v>
      </c>
      <c r="F191" s="25"/>
      <c r="G191" s="25"/>
      <c r="H191" s="25"/>
      <c r="I191" s="25"/>
      <c r="J191" s="25"/>
      <c r="K191" s="25"/>
    </row>
    <row r="192" spans="2:13" x14ac:dyDescent="0.3">
      <c r="B192" s="36" t="str">
        <f>IF(D183="","["&amp;"("&amp;VLOOKUP(B183,道具ID!$L:$N,2,FALSE)&amp;","&amp;C183&amp;")"&amp;"]",IF(F183="","["&amp;"("&amp;VLOOKUP(B183,道具ID!$L:$N,2,FALSE)&amp;","&amp;C183&amp;")"&amp;","&amp;"("&amp;VLOOKUP(D183,道具ID!$L:$N,2,FALSE)&amp;","&amp;E183&amp;")"&amp;"]","["&amp;"("&amp;VLOOKUP(B183,道具ID!$L:$N,2,FALSE)&amp;","&amp;C183&amp;")"&amp;","&amp;"("&amp;VLOOKUP(D183,道具ID!$L:$N,2,FALSE)&amp;","&amp;E183&amp;")"&amp;","&amp;"("&amp;VLOOKUP(F183,道具ID!$L:$N,2,FALSE)&amp;","&amp;G183&amp;")"&amp;"]"))</f>
        <v>[(220001,100),(220002,60),(220003,50)]</v>
      </c>
      <c r="C192" s="36" t="str">
        <f>IF(J183="","["&amp;"("&amp;VLOOKUP(H183,道具ID!$L:$N,2,FALSE)&amp;","&amp;I183&amp;")"&amp;"]","["&amp;"("&amp;VLOOKUP(H183,道具ID!$L:$N,2,FALSE)&amp;","&amp;I183&amp;")"&amp;","&amp;"("&amp;VLOOKUP(J183,道具ID!$L:$N,2,FALSE)&amp;","&amp;E183&amp;")"&amp;"]")</f>
        <v>[(180027,1)]</v>
      </c>
      <c r="D192" s="36" t="str">
        <f t="shared" si="21"/>
        <v>雪花,铃铛,圣诞糖果</v>
      </c>
      <c r="E192" s="36" t="str">
        <f t="shared" si="22"/>
        <v>坦克涂装-圣诞皮肤,</v>
      </c>
      <c r="F192" s="25"/>
      <c r="G192" s="25"/>
      <c r="H192" s="25"/>
      <c r="I192" s="25"/>
      <c r="J192" s="25"/>
      <c r="K192" s="25"/>
    </row>
    <row r="193" spans="2:11" x14ac:dyDescent="0.3">
      <c r="B193" s="36" t="e">
        <f>IF(D184="","["&amp;"("&amp;VLOOKUP(B184,道具ID!$L:$N,2,FALSE)&amp;","&amp;C184&amp;")"&amp;"]",IF(F184="","["&amp;"("&amp;VLOOKUP(B184,道具ID!$L:$N,2,FALSE)&amp;","&amp;C184&amp;")"&amp;","&amp;"("&amp;VLOOKUP(D184,道具ID!$L:$N,2,FALSE)&amp;","&amp;E184&amp;")"&amp;"]","["&amp;"("&amp;VLOOKUP(B184,道具ID!$L:$N,2,FALSE)&amp;","&amp;C184&amp;")"&amp;","&amp;"("&amp;VLOOKUP(D184,道具ID!$L:$N,2,FALSE)&amp;","&amp;E184&amp;")"&amp;","&amp;"("&amp;VLOOKUP(F184,道具ID!$L:$N,2,FALSE)&amp;","&amp;G184&amp;")"&amp;"]"))</f>
        <v>#N/A</v>
      </c>
      <c r="C193" s="36" t="e">
        <f>IF(J184="","["&amp;"("&amp;VLOOKUP(H184,道具ID!$L:$N,2,FALSE)&amp;","&amp;I184&amp;")"&amp;"]","["&amp;"("&amp;VLOOKUP(H184,道具ID!$L:$N,2,FALSE)&amp;","&amp;I184&amp;")"&amp;","&amp;"("&amp;VLOOKUP(J184,道具ID!$L:$N,2,FALSE)&amp;","&amp;E184&amp;")"&amp;"]")</f>
        <v>#N/A</v>
      </c>
      <c r="D193" s="36" t="str">
        <f t="shared" si="21"/>
        <v>,,</v>
      </c>
      <c r="E193" s="36" t="str">
        <f t="shared" si="22"/>
        <v>,</v>
      </c>
      <c r="F193" s="25"/>
      <c r="G193" s="25"/>
      <c r="H193" s="25"/>
      <c r="I193" s="25"/>
      <c r="J193" s="25"/>
      <c r="K193" s="25"/>
    </row>
    <row r="194" spans="2:11" x14ac:dyDescent="0.3">
      <c r="B194" s="36" t="e">
        <f>IF(D185="","["&amp;"("&amp;VLOOKUP(B185,道具ID!$L:$N,2,FALSE)&amp;","&amp;C185&amp;")"&amp;"]",IF(F185="","["&amp;"("&amp;VLOOKUP(B185,道具ID!$L:$N,2,FALSE)&amp;","&amp;C185&amp;")"&amp;","&amp;"("&amp;VLOOKUP(D185,道具ID!$L:$N,2,FALSE)&amp;","&amp;E185&amp;")"&amp;"]","["&amp;"("&amp;VLOOKUP(B185,道具ID!$L:$N,2,FALSE)&amp;","&amp;C185&amp;")"&amp;","&amp;"("&amp;VLOOKUP(D185,道具ID!$L:$N,2,FALSE)&amp;","&amp;E185&amp;")"&amp;","&amp;"("&amp;VLOOKUP(F185,道具ID!$L:$N,2,FALSE)&amp;","&amp;G185&amp;")"&amp;"]"))</f>
        <v>#N/A</v>
      </c>
      <c r="C194" s="36" t="e">
        <f>IF(J185="","["&amp;"("&amp;VLOOKUP(H185,道具ID!$L:$N,2,FALSE)&amp;","&amp;I185&amp;")"&amp;"]","["&amp;"("&amp;VLOOKUP(H185,道具ID!$L:$N,2,FALSE)&amp;","&amp;I185&amp;")"&amp;","&amp;"("&amp;VLOOKUP(J185,道具ID!$L:$N,2,FALSE)&amp;","&amp;E185&amp;")"&amp;"]")</f>
        <v>#N/A</v>
      </c>
      <c r="D194" s="36" t="str">
        <f t="shared" si="21"/>
        <v>,,</v>
      </c>
      <c r="E194" s="36" t="str">
        <f t="shared" si="22"/>
        <v>,</v>
      </c>
      <c r="F194" s="25"/>
      <c r="G194" s="25"/>
      <c r="H194" s="25"/>
      <c r="I194" s="25"/>
      <c r="J194" s="25"/>
      <c r="K194" s="25"/>
    </row>
    <row r="195" spans="2:11" x14ac:dyDescent="0.3">
      <c r="B195" s="25"/>
      <c r="C195" s="25"/>
      <c r="D195" s="25"/>
      <c r="E195" s="25"/>
      <c r="F195" s="25"/>
      <c r="G195" s="25"/>
      <c r="H195" s="25"/>
      <c r="I195" s="25"/>
      <c r="J195" s="25"/>
      <c r="K195" s="25"/>
    </row>
    <row r="196" spans="2:11" x14ac:dyDescent="0.3">
      <c r="B196" s="107" t="s">
        <v>2947</v>
      </c>
    </row>
    <row r="197" spans="2:11" x14ac:dyDescent="0.3">
      <c r="B197" s="44" t="s">
        <v>2948</v>
      </c>
      <c r="C197" s="44" t="s">
        <v>2949</v>
      </c>
      <c r="D197" s="44" t="s">
        <v>2950</v>
      </c>
      <c r="E197" s="44" t="s">
        <v>569</v>
      </c>
      <c r="F197" s="109"/>
    </row>
    <row r="198" spans="2:11" x14ac:dyDescent="0.3">
      <c r="B198" s="2" t="s">
        <v>268</v>
      </c>
      <c r="C198" s="2">
        <v>100</v>
      </c>
      <c r="D198" s="110">
        <f t="shared" ref="D198:D203" si="23">C198/SUM($C$198:$C$203)</f>
        <v>0.2</v>
      </c>
      <c r="E198" s="2">
        <f>VLOOKUP(B198,道具ID!L:M,2,FALSE)</f>
        <v>102</v>
      </c>
      <c r="F198" s="111" t="str">
        <f t="shared" ref="F198:F203" si="24">E198&amp;","</f>
        <v>102,</v>
      </c>
      <c r="G198" s="111" t="str">
        <f t="shared" ref="G198:G203" si="25">C198&amp;","</f>
        <v>100,</v>
      </c>
      <c r="H198" s="112" t="str">
        <f>H197&amp;F198</f>
        <v>102,</v>
      </c>
      <c r="I198" s="112" t="str">
        <f>I197&amp;G198</f>
        <v>100,</v>
      </c>
      <c r="J198" s="112" t="str">
        <f>"["&amp;LEFT(H198,LEN(H198)-1)&amp;"]"</f>
        <v>[102]</v>
      </c>
      <c r="K198" s="112" t="str">
        <f>"["&amp;LEFT(I198,LEN(I198)-1)&amp;"]"</f>
        <v>[100]</v>
      </c>
    </row>
    <row r="199" spans="2:11" x14ac:dyDescent="0.3">
      <c r="B199" s="2" t="s">
        <v>273</v>
      </c>
      <c r="C199" s="2">
        <v>50</v>
      </c>
      <c r="D199" s="110">
        <f t="shared" si="23"/>
        <v>0.1</v>
      </c>
      <c r="E199" s="2">
        <f>VLOOKUP(B199,道具ID!L:M,2,FALSE)</f>
        <v>105</v>
      </c>
      <c r="F199" s="111" t="str">
        <f t="shared" si="24"/>
        <v>105,</v>
      </c>
      <c r="G199" s="111" t="str">
        <f t="shared" si="25"/>
        <v>50,</v>
      </c>
      <c r="H199" s="112" t="str">
        <f t="shared" ref="H199:I203" si="26">H198&amp;F199</f>
        <v>102,105,</v>
      </c>
      <c r="I199" s="112" t="str">
        <f t="shared" si="26"/>
        <v>100,50,</v>
      </c>
      <c r="J199" s="112" t="str">
        <f t="shared" ref="J199:K203" si="27">"["&amp;LEFT(H199,LEN(H199)-1)&amp;"]"</f>
        <v>[102,105]</v>
      </c>
      <c r="K199" s="112" t="str">
        <f t="shared" si="27"/>
        <v>[100,50]</v>
      </c>
    </row>
    <row r="200" spans="2:11" x14ac:dyDescent="0.3">
      <c r="B200" s="2" t="s">
        <v>283</v>
      </c>
      <c r="C200" s="2">
        <v>100</v>
      </c>
      <c r="D200" s="110">
        <f t="shared" si="23"/>
        <v>0.2</v>
      </c>
      <c r="E200" s="2">
        <f>VLOOKUP(B200,道具ID!L:M,2,FALSE)</f>
        <v>170101</v>
      </c>
      <c r="F200" s="111" t="str">
        <f t="shared" si="24"/>
        <v>170101,</v>
      </c>
      <c r="G200" s="111" t="str">
        <f t="shared" si="25"/>
        <v>100,</v>
      </c>
      <c r="H200" s="112" t="str">
        <f t="shared" si="26"/>
        <v>102,105,170101,</v>
      </c>
      <c r="I200" s="112" t="str">
        <f t="shared" si="26"/>
        <v>100,50,100,</v>
      </c>
      <c r="J200" s="112" t="str">
        <f t="shared" si="27"/>
        <v>[102,105,170101]</v>
      </c>
      <c r="K200" s="112" t="str">
        <f t="shared" si="27"/>
        <v>[100,50,100]</v>
      </c>
    </row>
    <row r="201" spans="2:11" x14ac:dyDescent="0.3">
      <c r="B201" s="2" t="s">
        <v>2728</v>
      </c>
      <c r="C201" s="2">
        <v>120</v>
      </c>
      <c r="D201" s="110">
        <f t="shared" si="23"/>
        <v>0.24</v>
      </c>
      <c r="E201" s="2">
        <f>VLOOKUP(B201,道具ID!L:M,2,FALSE)</f>
        <v>220001</v>
      </c>
      <c r="F201" s="111" t="str">
        <f t="shared" si="24"/>
        <v>220001,</v>
      </c>
      <c r="G201" s="111" t="str">
        <f t="shared" si="25"/>
        <v>120,</v>
      </c>
      <c r="H201" s="112" t="str">
        <f t="shared" si="26"/>
        <v>102,105,170101,220001,</v>
      </c>
      <c r="I201" s="112" t="str">
        <f t="shared" si="26"/>
        <v>100,50,100,120,</v>
      </c>
      <c r="J201" s="112" t="str">
        <f t="shared" si="27"/>
        <v>[102,105,170101,220001]</v>
      </c>
      <c r="K201" s="112" t="str">
        <f t="shared" si="27"/>
        <v>[100,50,100,120]</v>
      </c>
    </row>
    <row r="202" spans="2:11" x14ac:dyDescent="0.3">
      <c r="B202" s="2" t="s">
        <v>2730</v>
      </c>
      <c r="C202" s="2">
        <v>80</v>
      </c>
      <c r="D202" s="110">
        <f t="shared" si="23"/>
        <v>0.16</v>
      </c>
      <c r="E202" s="2">
        <f>VLOOKUP(B202,道具ID!L:M,2,FALSE)</f>
        <v>220002</v>
      </c>
      <c r="F202" s="111" t="str">
        <f t="shared" si="24"/>
        <v>220002,</v>
      </c>
      <c r="G202" s="111" t="str">
        <f t="shared" si="25"/>
        <v>80,</v>
      </c>
      <c r="H202" s="112" t="str">
        <f t="shared" si="26"/>
        <v>102,105,170101,220001,220002,</v>
      </c>
      <c r="I202" s="112" t="str">
        <f t="shared" si="26"/>
        <v>100,50,100,120,80,</v>
      </c>
      <c r="J202" s="112" t="str">
        <f t="shared" si="27"/>
        <v>[102,105,170101,220001,220002]</v>
      </c>
      <c r="K202" s="112" t="str">
        <f t="shared" si="27"/>
        <v>[100,50,100,120,80]</v>
      </c>
    </row>
    <row r="203" spans="2:11" x14ac:dyDescent="0.3">
      <c r="B203" s="2" t="s">
        <v>2732</v>
      </c>
      <c r="C203" s="2">
        <v>50</v>
      </c>
      <c r="D203" s="110">
        <f t="shared" si="23"/>
        <v>0.1</v>
      </c>
      <c r="E203" s="2">
        <f>VLOOKUP(B203,道具ID!L:M,2,FALSE)</f>
        <v>220003</v>
      </c>
      <c r="F203" s="111" t="str">
        <f t="shared" si="24"/>
        <v>220003,</v>
      </c>
      <c r="G203" s="111" t="str">
        <f t="shared" si="25"/>
        <v>50,</v>
      </c>
      <c r="H203" s="112" t="str">
        <f t="shared" si="26"/>
        <v>102,105,170101,220001,220002,220003,</v>
      </c>
      <c r="I203" s="112" t="str">
        <f t="shared" si="26"/>
        <v>100,50,100,120,80,50,</v>
      </c>
      <c r="J203" s="37" t="str">
        <f t="shared" si="27"/>
        <v>[102,105,170101,220001,220002,220003]</v>
      </c>
      <c r="K203" s="37" t="str">
        <f t="shared" si="27"/>
        <v>[100,50,100,120,80,50]</v>
      </c>
    </row>
    <row r="205" spans="2:11" x14ac:dyDescent="0.3">
      <c r="B205" s="107" t="s">
        <v>2951</v>
      </c>
    </row>
    <row r="206" spans="2:11" x14ac:dyDescent="0.3">
      <c r="B206" s="2" t="s">
        <v>2728</v>
      </c>
      <c r="C206" s="2">
        <f>VLOOKUP(B206,$B$197:$D$203,3,FALSE)*基础经济系数!$AF$17*基础经济系数!$C$5</f>
        <v>12</v>
      </c>
    </row>
    <row r="207" spans="2:11" x14ac:dyDescent="0.3">
      <c r="B207" s="2" t="s">
        <v>2730</v>
      </c>
      <c r="C207" s="2">
        <f>VLOOKUP(B207,$B$197:$D$203,3,FALSE)*基础经济系数!$AF$17*基础经济系数!$C$5</f>
        <v>8</v>
      </c>
    </row>
    <row r="208" spans="2:11" x14ac:dyDescent="0.3">
      <c r="B208" s="2" t="s">
        <v>2732</v>
      </c>
      <c r="C208" s="2">
        <f>VLOOKUP(B208,$B$197:$D$203,3,FALSE)*基础经济系数!$AF$17*基础经济系数!$C$5</f>
        <v>5</v>
      </c>
    </row>
    <row r="209" spans="2:15" x14ac:dyDescent="0.3">
      <c r="B209" s="25"/>
      <c r="C209" s="25"/>
    </row>
    <row r="210" spans="2:15" x14ac:dyDescent="0.3">
      <c r="B210" s="108" t="s">
        <v>3725</v>
      </c>
      <c r="C210" s="25"/>
    </row>
    <row r="211" spans="2:15" x14ac:dyDescent="0.3">
      <c r="B211" s="44" t="s">
        <v>2952</v>
      </c>
      <c r="C211" s="44" t="s">
        <v>1817</v>
      </c>
      <c r="D211" s="44" t="s">
        <v>1818</v>
      </c>
      <c r="E211" s="44" t="s">
        <v>1819</v>
      </c>
      <c r="F211" s="44" t="s">
        <v>1820</v>
      </c>
    </row>
    <row r="212" spans="2:15" x14ac:dyDescent="0.3">
      <c r="B212" s="2">
        <v>2.99</v>
      </c>
      <c r="C212" s="2" t="s">
        <v>268</v>
      </c>
      <c r="D212" s="2">
        <v>12000</v>
      </c>
      <c r="E212" s="2" t="s">
        <v>2953</v>
      </c>
      <c r="F212" s="2">
        <v>1</v>
      </c>
    </row>
    <row r="213" spans="2:15" x14ac:dyDescent="0.3">
      <c r="B213" s="2">
        <v>19.989999999999998</v>
      </c>
      <c r="C213" s="2" t="s">
        <v>268</v>
      </c>
      <c r="D213" s="2">
        <v>100000</v>
      </c>
      <c r="E213" s="2" t="s">
        <v>2953</v>
      </c>
      <c r="F213" s="2">
        <v>8</v>
      </c>
    </row>
    <row r="214" spans="2:15" x14ac:dyDescent="0.3">
      <c r="B214" s="25"/>
      <c r="C214" s="25"/>
      <c r="D214" s="25"/>
      <c r="E214" s="25"/>
      <c r="F214" s="25"/>
    </row>
    <row r="215" spans="2:15" x14ac:dyDescent="0.3">
      <c r="B215" s="108" t="s">
        <v>2954</v>
      </c>
      <c r="C215" s="25"/>
      <c r="D215" s="25"/>
      <c r="E215" s="25"/>
      <c r="F215" s="25"/>
    </row>
    <row r="216" spans="2:15" x14ac:dyDescent="0.3">
      <c r="B216" s="44" t="s">
        <v>2955</v>
      </c>
      <c r="C216" s="44" t="s">
        <v>2956</v>
      </c>
      <c r="D216" s="44" t="s">
        <v>2949</v>
      </c>
      <c r="E216" s="2" t="s">
        <v>2950</v>
      </c>
      <c r="F216" s="44" t="s">
        <v>1818</v>
      </c>
      <c r="G216" s="44" t="s">
        <v>1820</v>
      </c>
      <c r="H216" s="44" t="s">
        <v>2822</v>
      </c>
      <c r="I216" s="44" t="s">
        <v>2957</v>
      </c>
      <c r="J216" s="113"/>
    </row>
    <row r="217" spans="2:15" x14ac:dyDescent="0.3">
      <c r="B217" s="2" t="s">
        <v>2761</v>
      </c>
      <c r="C217" s="2">
        <f>VLOOKUP(B217,道具ID!$L:$M,2,FALSE)</f>
        <v>220010</v>
      </c>
      <c r="D217" s="2">
        <v>120</v>
      </c>
      <c r="E217" s="110">
        <f>D217/SUM($D$217:$D$219)</f>
        <v>0.42857142857142855</v>
      </c>
      <c r="F217" s="2">
        <v>3</v>
      </c>
      <c r="G217" s="2">
        <v>10</v>
      </c>
      <c r="H217" s="2">
        <v>2</v>
      </c>
      <c r="I217" s="2">
        <f>AVERAGE(F217:G217)*E217*H217</f>
        <v>5.5714285714285712</v>
      </c>
      <c r="J217" s="25" t="str">
        <f t="shared" ref="J217:K219" si="28">C217&amp;","</f>
        <v>220010,</v>
      </c>
      <c r="K217" s="25" t="str">
        <f t="shared" si="28"/>
        <v>120,</v>
      </c>
      <c r="L217" s="1" t="str">
        <f>"("&amp;F217&amp;","&amp;G217&amp;")"&amp;","</f>
        <v>(3,10),</v>
      </c>
      <c r="M217" s="1" t="str">
        <f>J217&amp;J218&amp;J219</f>
        <v>220010,220011,220012,</v>
      </c>
      <c r="N217" s="1" t="str">
        <f>K217&amp;K218&amp;K219</f>
        <v>120,100,60,</v>
      </c>
      <c r="O217" s="1" t="str">
        <f>L217&amp;L218&amp;L219</f>
        <v>(3,10),(3,10),(3,10),</v>
      </c>
    </row>
    <row r="218" spans="2:15" x14ac:dyDescent="0.3">
      <c r="B218" s="2" t="s">
        <v>2762</v>
      </c>
      <c r="C218" s="2">
        <f>VLOOKUP(B218,道具ID!$L:$M,2,FALSE)</f>
        <v>220011</v>
      </c>
      <c r="D218" s="2">
        <v>100</v>
      </c>
      <c r="E218" s="110">
        <f>D218/SUM($D$217:$D$219)</f>
        <v>0.35714285714285715</v>
      </c>
      <c r="F218" s="2">
        <v>3</v>
      </c>
      <c r="G218" s="2">
        <v>10</v>
      </c>
      <c r="H218" s="2">
        <v>2</v>
      </c>
      <c r="I218" s="2">
        <f>AVERAGE(F218:G218)*E218*H218</f>
        <v>4.6428571428571432</v>
      </c>
      <c r="J218" s="25" t="str">
        <f t="shared" si="28"/>
        <v>220011,</v>
      </c>
      <c r="K218" s="25" t="str">
        <f t="shared" si="28"/>
        <v>100,</v>
      </c>
      <c r="L218" s="1" t="str">
        <f>"("&amp;F218&amp;","&amp;G218&amp;")"&amp;","</f>
        <v>(3,10),</v>
      </c>
      <c r="M218" s="114" t="str">
        <f>"["&amp;LEFT(M217,LEN(M217)-1)&amp;"]"</f>
        <v>[220010,220011,220012]</v>
      </c>
      <c r="N218" s="114" t="str">
        <f>"["&amp;LEFT(N217,LEN(N217)-1)&amp;"]"</f>
        <v>[120,100,60]</v>
      </c>
      <c r="O218" s="114" t="str">
        <f>"["&amp;LEFT(O217,LEN(O217)-1)&amp;"]"</f>
        <v>[(3,10),(3,10),(3,10)]</v>
      </c>
    </row>
    <row r="219" spans="2:15" x14ac:dyDescent="0.3">
      <c r="B219" s="2" t="s">
        <v>2763</v>
      </c>
      <c r="C219" s="2">
        <f>VLOOKUP(B219,道具ID!$L:$M,2,FALSE)</f>
        <v>220012</v>
      </c>
      <c r="D219" s="2">
        <v>60</v>
      </c>
      <c r="E219" s="110">
        <f>D219/SUM($D$217:$D$219)</f>
        <v>0.21428571428571427</v>
      </c>
      <c r="F219" s="2">
        <v>3</v>
      </c>
      <c r="G219" s="2">
        <v>10</v>
      </c>
      <c r="H219" s="2">
        <v>2</v>
      </c>
      <c r="I219" s="2">
        <f>AVERAGE(F219:G219)*E219*H219</f>
        <v>2.7857142857142856</v>
      </c>
      <c r="J219" s="25" t="str">
        <f t="shared" si="28"/>
        <v>220012,</v>
      </c>
      <c r="K219" s="25" t="str">
        <f t="shared" si="28"/>
        <v>60,</v>
      </c>
      <c r="L219" s="1" t="str">
        <f>"("&amp;F219&amp;","&amp;G219&amp;")"&amp;","</f>
        <v>(3,10),</v>
      </c>
    </row>
    <row r="220" spans="2:15" x14ac:dyDescent="0.3">
      <c r="B220" s="25"/>
      <c r="C220" s="25"/>
      <c r="D220" s="25"/>
      <c r="E220" s="25"/>
      <c r="F220" s="25"/>
    </row>
    <row r="221" spans="2:15" x14ac:dyDescent="0.3">
      <c r="B221" s="25" t="s">
        <v>2958</v>
      </c>
      <c r="C221" s="25">
        <f>(B213/F213)*(G185/I219)</f>
        <v>0</v>
      </c>
      <c r="D221" s="25"/>
      <c r="E221" s="25"/>
      <c r="F221" s="25"/>
    </row>
    <row r="222" spans="2:15" x14ac:dyDescent="0.3">
      <c r="B222" s="25"/>
      <c r="C222" s="25"/>
      <c r="D222" s="25"/>
      <c r="E222" s="25"/>
      <c r="F222" s="25"/>
    </row>
    <row r="223" spans="2:15" ht="15.75" x14ac:dyDescent="0.3">
      <c r="B223" s="35" t="s">
        <v>2959</v>
      </c>
    </row>
    <row r="224" spans="2:15" ht="15.75" x14ac:dyDescent="0.3">
      <c r="B224" s="35" t="s">
        <v>2960</v>
      </c>
    </row>
    <row r="225" spans="2:9" x14ac:dyDescent="0.3">
      <c r="B225" s="3" t="s">
        <v>268</v>
      </c>
      <c r="C225" s="2">
        <v>30</v>
      </c>
      <c r="D225" s="2">
        <f>VLOOKUP(B225,道具ID!L:M,2,FALSE)</f>
        <v>102</v>
      </c>
      <c r="F225" s="2" t="s">
        <v>268</v>
      </c>
      <c r="G225" s="2">
        <f>SUMIFS($C$225:$C$236,$B$225:$B$236,F225)*3</f>
        <v>720</v>
      </c>
      <c r="I225" s="1" t="str">
        <f>"[("&amp;D225&amp;","&amp;C225&amp;")]"</f>
        <v>[(102,30)]</v>
      </c>
    </row>
    <row r="226" spans="2:9" x14ac:dyDescent="0.3">
      <c r="B226" s="3" t="s">
        <v>273</v>
      </c>
      <c r="C226" s="2">
        <v>5</v>
      </c>
      <c r="D226" s="2">
        <f>VLOOKUP(B226,道具ID!L:M,2,FALSE)</f>
        <v>105</v>
      </c>
      <c r="F226" s="2" t="s">
        <v>273</v>
      </c>
      <c r="G226" s="2">
        <f>SUMIFS($C$225:$C$236,$B$225:$B$236,F226)*3</f>
        <v>45</v>
      </c>
      <c r="I226" s="1" t="str">
        <f t="shared" ref="I226:I236" si="29">"[("&amp;D226&amp;","&amp;C226&amp;")]"</f>
        <v>[(105,5)]</v>
      </c>
    </row>
    <row r="227" spans="2:9" x14ac:dyDescent="0.3">
      <c r="B227" s="3" t="s">
        <v>268</v>
      </c>
      <c r="C227" s="2">
        <v>50</v>
      </c>
      <c r="D227" s="2">
        <f>VLOOKUP(B227,道具ID!L:M,2,FALSE)</f>
        <v>102</v>
      </c>
      <c r="F227" s="2" t="s">
        <v>511</v>
      </c>
      <c r="G227" s="2">
        <f>SUMIFS($C$225:$C$236,$B$225:$B$236,F227)*3</f>
        <v>45</v>
      </c>
      <c r="I227" s="1" t="str">
        <f t="shared" si="29"/>
        <v>[(102,50)]</v>
      </c>
    </row>
    <row r="228" spans="2:9" x14ac:dyDescent="0.3">
      <c r="B228" s="3" t="s">
        <v>511</v>
      </c>
      <c r="C228" s="2">
        <v>5</v>
      </c>
      <c r="D228" s="2">
        <f>VLOOKUP(B228,道具ID!L:M,2,FALSE)</f>
        <v>111</v>
      </c>
      <c r="I228" s="1" t="str">
        <f t="shared" si="29"/>
        <v>[(111,5)]</v>
      </c>
    </row>
    <row r="229" spans="2:9" x14ac:dyDescent="0.3">
      <c r="B229" s="3" t="s">
        <v>268</v>
      </c>
      <c r="C229" s="2">
        <v>30</v>
      </c>
      <c r="D229" s="2">
        <f>VLOOKUP(B229,道具ID!L:M,2,FALSE)</f>
        <v>102</v>
      </c>
      <c r="I229" s="1" t="str">
        <f t="shared" si="29"/>
        <v>[(102,30)]</v>
      </c>
    </row>
    <row r="230" spans="2:9" x14ac:dyDescent="0.3">
      <c r="B230" s="3" t="s">
        <v>273</v>
      </c>
      <c r="C230" s="2">
        <v>5</v>
      </c>
      <c r="D230" s="2">
        <f>VLOOKUP(B230,道具ID!L:M,2,FALSE)</f>
        <v>105</v>
      </c>
      <c r="I230" s="1" t="str">
        <f t="shared" si="29"/>
        <v>[(105,5)]</v>
      </c>
    </row>
    <row r="231" spans="2:9" x14ac:dyDescent="0.3">
      <c r="B231" s="3" t="s">
        <v>268</v>
      </c>
      <c r="C231" s="2">
        <v>50</v>
      </c>
      <c r="D231" s="2">
        <f>VLOOKUP(B231,道具ID!L:M,2,FALSE)</f>
        <v>102</v>
      </c>
      <c r="I231" s="1" t="str">
        <f t="shared" si="29"/>
        <v>[(102,50)]</v>
      </c>
    </row>
    <row r="232" spans="2:9" x14ac:dyDescent="0.3">
      <c r="B232" s="3" t="s">
        <v>511</v>
      </c>
      <c r="C232" s="2">
        <v>5</v>
      </c>
      <c r="D232" s="2">
        <f>VLOOKUP(B232,道具ID!L:M,2,FALSE)</f>
        <v>111</v>
      </c>
      <c r="I232" s="1" t="str">
        <f t="shared" si="29"/>
        <v>[(111,5)]</v>
      </c>
    </row>
    <row r="233" spans="2:9" x14ac:dyDescent="0.3">
      <c r="B233" s="3" t="s">
        <v>268</v>
      </c>
      <c r="C233" s="2">
        <v>30</v>
      </c>
      <c r="D233" s="2">
        <f>VLOOKUP(B233,道具ID!L:M,2,FALSE)</f>
        <v>102</v>
      </c>
      <c r="I233" s="1" t="str">
        <f t="shared" si="29"/>
        <v>[(102,30)]</v>
      </c>
    </row>
    <row r="234" spans="2:9" x14ac:dyDescent="0.3">
      <c r="B234" s="3" t="s">
        <v>273</v>
      </c>
      <c r="C234" s="2">
        <v>5</v>
      </c>
      <c r="D234" s="2">
        <f>VLOOKUP(B234,道具ID!L:M,2,FALSE)</f>
        <v>105</v>
      </c>
      <c r="I234" s="1" t="str">
        <f t="shared" si="29"/>
        <v>[(105,5)]</v>
      </c>
    </row>
    <row r="235" spans="2:9" x14ac:dyDescent="0.3">
      <c r="B235" s="3" t="s">
        <v>268</v>
      </c>
      <c r="C235" s="2">
        <v>50</v>
      </c>
      <c r="D235" s="2">
        <f>VLOOKUP(B235,道具ID!L:M,2,FALSE)</f>
        <v>102</v>
      </c>
      <c r="I235" s="1" t="str">
        <f t="shared" si="29"/>
        <v>[(102,50)]</v>
      </c>
    </row>
    <row r="236" spans="2:9" x14ac:dyDescent="0.3">
      <c r="B236" s="3" t="s">
        <v>511</v>
      </c>
      <c r="C236" s="2">
        <v>5</v>
      </c>
      <c r="D236" s="2">
        <f>VLOOKUP(B236,道具ID!L:M,2,FALSE)</f>
        <v>111</v>
      </c>
      <c r="I236" s="1" t="str">
        <f t="shared" si="29"/>
        <v>[(111,5)]</v>
      </c>
    </row>
    <row r="237" spans="2:9" ht="15.75" x14ac:dyDescent="0.3">
      <c r="B237" s="35"/>
    </row>
    <row r="238" spans="2:9" ht="15.75" x14ac:dyDescent="0.3">
      <c r="B238" s="35" t="s">
        <v>2961</v>
      </c>
    </row>
    <row r="239" spans="2:9" x14ac:dyDescent="0.3">
      <c r="B239" s="43" t="s">
        <v>716</v>
      </c>
      <c r="C239" s="44" t="s">
        <v>570</v>
      </c>
      <c r="D239" s="44" t="s">
        <v>569</v>
      </c>
    </row>
    <row r="240" spans="2:9" x14ac:dyDescent="0.3">
      <c r="B240" s="3" t="s">
        <v>1889</v>
      </c>
      <c r="C240" s="2">
        <v>3</v>
      </c>
      <c r="D240" s="2">
        <f>VLOOKUP(B240,道具ID!L:M,2,FALSE)</f>
        <v>51311</v>
      </c>
    </row>
    <row r="241" spans="2:16" x14ac:dyDescent="0.3">
      <c r="B241" s="3" t="s">
        <v>1889</v>
      </c>
      <c r="C241" s="2">
        <v>5</v>
      </c>
      <c r="D241" s="2">
        <f>VLOOKUP(B241,道具ID!L:M,2,FALSE)</f>
        <v>51311</v>
      </c>
    </row>
    <row r="242" spans="2:16" x14ac:dyDescent="0.3">
      <c r="B242" s="3" t="s">
        <v>2747</v>
      </c>
      <c r="C242" s="2">
        <v>1</v>
      </c>
      <c r="D242" s="2">
        <f>VLOOKUP(B242,道具ID!L:M,2,FALSE)</f>
        <v>150108</v>
      </c>
    </row>
    <row r="243" spans="2:16" x14ac:dyDescent="0.3">
      <c r="B243" s="3" t="s">
        <v>2715</v>
      </c>
      <c r="C243" s="2">
        <v>1</v>
      </c>
      <c r="D243" s="2">
        <f>VLOOKUP(B243,道具ID!L:M,2,FALSE)</f>
        <v>180017</v>
      </c>
    </row>
    <row r="245" spans="2:16" ht="15" customHeight="1" x14ac:dyDescent="0.3"/>
    <row r="246" spans="2:16" ht="15.75" x14ac:dyDescent="0.3">
      <c r="B246" s="35" t="s">
        <v>2962</v>
      </c>
    </row>
    <row r="247" spans="2:16" ht="16.5" x14ac:dyDescent="0.35">
      <c r="B247" s="104" t="s">
        <v>2963</v>
      </c>
      <c r="C247" s="2">
        <v>100</v>
      </c>
    </row>
    <row r="248" spans="2:16" ht="15.75" x14ac:dyDescent="0.3">
      <c r="B248" s="35"/>
    </row>
    <row r="249" spans="2:16" x14ac:dyDescent="0.3">
      <c r="B249" s="107" t="s">
        <v>2964</v>
      </c>
      <c r="J249" s="107" t="s">
        <v>2965</v>
      </c>
    </row>
    <row r="250" spans="2:16" x14ac:dyDescent="0.3">
      <c r="B250" s="44" t="s">
        <v>2948</v>
      </c>
      <c r="C250" s="44" t="s">
        <v>2949</v>
      </c>
      <c r="D250" s="44" t="s">
        <v>570</v>
      </c>
      <c r="E250" s="44" t="s">
        <v>2950</v>
      </c>
      <c r="F250" s="44" t="s">
        <v>2825</v>
      </c>
      <c r="G250" s="2" t="s">
        <v>2966</v>
      </c>
      <c r="H250" s="44" t="s">
        <v>725</v>
      </c>
      <c r="J250" s="44" t="s">
        <v>2948</v>
      </c>
      <c r="K250" s="44" t="s">
        <v>2949</v>
      </c>
      <c r="L250" s="44" t="s">
        <v>570</v>
      </c>
      <c r="M250" s="44" t="s">
        <v>2950</v>
      </c>
      <c r="N250" s="44" t="s">
        <v>2825</v>
      </c>
      <c r="O250" s="2" t="s">
        <v>2966</v>
      </c>
      <c r="P250" s="44" t="s">
        <v>725</v>
      </c>
    </row>
    <row r="251" spans="2:16" x14ac:dyDescent="0.3">
      <c r="B251" s="2" t="s">
        <v>522</v>
      </c>
      <c r="C251" s="2">
        <v>8</v>
      </c>
      <c r="D251" s="2">
        <v>1</v>
      </c>
      <c r="E251" s="110">
        <f t="shared" ref="E251:E262" si="30">C251/SUM($C$251:$C$262)</f>
        <v>1.0025062656641603E-2</v>
      </c>
      <c r="F251" s="2">
        <v>1500</v>
      </c>
      <c r="G251" s="31">
        <f>D251*E251*F251</f>
        <v>15.037593984962406</v>
      </c>
      <c r="H251" s="2">
        <v>5</v>
      </c>
      <c r="I251" s="1">
        <f>VLOOKUP(B251,道具ID!$L:$M,2,FALSE)</f>
        <v>11311</v>
      </c>
      <c r="J251" s="2" t="s">
        <v>522</v>
      </c>
      <c r="K251" s="2">
        <v>8</v>
      </c>
      <c r="L251" s="2">
        <v>1</v>
      </c>
      <c r="M251" s="110">
        <f t="shared" ref="M251:M262" si="31">K251/SUM($C$251:$C$262)</f>
        <v>1.0025062656641603E-2</v>
      </c>
      <c r="N251" s="2">
        <v>1500</v>
      </c>
      <c r="O251" s="31">
        <f>L251*M251*N251</f>
        <v>15.037593984962406</v>
      </c>
      <c r="P251" s="2">
        <v>5</v>
      </c>
    </row>
    <row r="252" spans="2:16" x14ac:dyDescent="0.3">
      <c r="B252" s="2" t="s">
        <v>268</v>
      </c>
      <c r="C252" s="2">
        <v>100</v>
      </c>
      <c r="D252" s="2">
        <v>1000</v>
      </c>
      <c r="E252" s="110">
        <f t="shared" si="30"/>
        <v>0.12531328320802004</v>
      </c>
      <c r="F252" s="2">
        <v>2.2200000000000001E-2</v>
      </c>
      <c r="G252" s="31">
        <f t="shared" ref="G252:G262" si="32">D252*E252*F252</f>
        <v>2.7819548872180451</v>
      </c>
      <c r="H252" s="2">
        <v>2</v>
      </c>
      <c r="I252" s="1">
        <f>VLOOKUP(B252,道具ID!$L:$M,2,FALSE)</f>
        <v>102</v>
      </c>
      <c r="J252" s="2" t="s">
        <v>268</v>
      </c>
      <c r="K252" s="2">
        <v>100</v>
      </c>
      <c r="L252" s="2">
        <v>500</v>
      </c>
      <c r="M252" s="110">
        <f t="shared" si="31"/>
        <v>0.12531328320802004</v>
      </c>
      <c r="N252" s="2">
        <v>2.2200000000000001E-2</v>
      </c>
      <c r="O252" s="31">
        <f t="shared" ref="O252:O262" si="33">L252*M252*N252</f>
        <v>1.3909774436090225</v>
      </c>
      <c r="P252" s="2">
        <v>2</v>
      </c>
    </row>
    <row r="253" spans="2:16" x14ac:dyDescent="0.3">
      <c r="B253" s="2" t="s">
        <v>2758</v>
      </c>
      <c r="C253" s="2">
        <v>50</v>
      </c>
      <c r="D253" s="2">
        <v>1</v>
      </c>
      <c r="E253" s="110">
        <f t="shared" si="30"/>
        <v>6.2656641604010022E-2</v>
      </c>
      <c r="F253" s="2">
        <v>200</v>
      </c>
      <c r="G253" s="31">
        <f t="shared" si="32"/>
        <v>12.531328320802004</v>
      </c>
      <c r="H253" s="2">
        <v>4</v>
      </c>
      <c r="I253" s="1">
        <f>VLOOKUP(B253,道具ID!$L:$M,2,FALSE)</f>
        <v>40004</v>
      </c>
      <c r="J253" s="2" t="s">
        <v>2758</v>
      </c>
      <c r="K253" s="2">
        <v>50</v>
      </c>
      <c r="L253" s="2">
        <v>1</v>
      </c>
      <c r="M253" s="110">
        <f t="shared" si="31"/>
        <v>6.2656641604010022E-2</v>
      </c>
      <c r="N253" s="2">
        <v>200</v>
      </c>
      <c r="O253" s="31">
        <f t="shared" si="33"/>
        <v>12.531328320802004</v>
      </c>
      <c r="P253" s="2">
        <v>4</v>
      </c>
    </row>
    <row r="254" spans="2:16" x14ac:dyDescent="0.3">
      <c r="B254" s="2" t="s">
        <v>2771</v>
      </c>
      <c r="C254" s="2">
        <v>50</v>
      </c>
      <c r="D254" s="2">
        <v>1</v>
      </c>
      <c r="E254" s="110">
        <f t="shared" si="30"/>
        <v>6.2656641604010022E-2</v>
      </c>
      <c r="F254" s="2">
        <v>200</v>
      </c>
      <c r="G254" s="31">
        <f t="shared" si="32"/>
        <v>12.531328320802004</v>
      </c>
      <c r="H254" s="2">
        <v>4</v>
      </c>
      <c r="I254" s="1">
        <f>VLOOKUP(B254,道具ID!$L:$M,2,FALSE)</f>
        <v>130112</v>
      </c>
      <c r="J254" s="2" t="s">
        <v>2769</v>
      </c>
      <c r="K254" s="2">
        <v>0</v>
      </c>
      <c r="L254" s="2">
        <v>1</v>
      </c>
      <c r="M254" s="110">
        <f t="shared" si="31"/>
        <v>0</v>
      </c>
      <c r="N254" s="2">
        <v>200</v>
      </c>
      <c r="O254" s="31">
        <f t="shared" si="33"/>
        <v>0</v>
      </c>
      <c r="P254" s="2">
        <v>4</v>
      </c>
    </row>
    <row r="255" spans="2:16" x14ac:dyDescent="0.3">
      <c r="B255" s="2" t="s">
        <v>453</v>
      </c>
      <c r="C255" s="2">
        <v>120</v>
      </c>
      <c r="D255" s="2">
        <v>1</v>
      </c>
      <c r="E255" s="110">
        <f t="shared" si="30"/>
        <v>0.15037593984962405</v>
      </c>
      <c r="F255" s="2">
        <v>60</v>
      </c>
      <c r="G255" s="31">
        <f t="shared" si="32"/>
        <v>9.0225563909774422</v>
      </c>
      <c r="H255" s="2">
        <v>3</v>
      </c>
      <c r="I255" s="1">
        <f>VLOOKUP(B255,道具ID!$L:$M,2,FALSE)</f>
        <v>92002</v>
      </c>
      <c r="J255" s="2" t="s">
        <v>453</v>
      </c>
      <c r="K255" s="2">
        <v>120</v>
      </c>
      <c r="L255" s="2">
        <v>1</v>
      </c>
      <c r="M255" s="110">
        <f t="shared" si="31"/>
        <v>0.15037593984962405</v>
      </c>
      <c r="N255" s="2">
        <v>60</v>
      </c>
      <c r="O255" s="31">
        <f t="shared" si="33"/>
        <v>9.0225563909774422</v>
      </c>
      <c r="P255" s="2">
        <v>3</v>
      </c>
    </row>
    <row r="256" spans="2:16" x14ac:dyDescent="0.3">
      <c r="B256" s="2" t="s">
        <v>2749</v>
      </c>
      <c r="C256" s="2">
        <v>10</v>
      </c>
      <c r="D256" s="2">
        <v>1</v>
      </c>
      <c r="E256" s="110">
        <f t="shared" si="30"/>
        <v>1.2531328320802004E-2</v>
      </c>
      <c r="F256" s="2">
        <v>500</v>
      </c>
      <c r="G256" s="31">
        <f t="shared" si="32"/>
        <v>6.2656641604010019</v>
      </c>
      <c r="H256" s="2">
        <v>5</v>
      </c>
      <c r="I256" s="1">
        <f>VLOOKUP(B256,道具ID!$L:$M,2,FALSE)</f>
        <v>150109</v>
      </c>
      <c r="J256" s="2" t="s">
        <v>2749</v>
      </c>
      <c r="K256" s="2">
        <v>0</v>
      </c>
      <c r="L256" s="2">
        <v>1</v>
      </c>
      <c r="M256" s="110">
        <f t="shared" si="31"/>
        <v>0</v>
      </c>
      <c r="N256" s="2">
        <v>500</v>
      </c>
      <c r="O256" s="31">
        <f t="shared" si="33"/>
        <v>0</v>
      </c>
      <c r="P256" s="2">
        <v>5</v>
      </c>
    </row>
    <row r="257" spans="2:16" x14ac:dyDescent="0.3">
      <c r="B257" s="2" t="s">
        <v>2967</v>
      </c>
      <c r="C257" s="2">
        <v>120</v>
      </c>
      <c r="D257" s="2">
        <v>1</v>
      </c>
      <c r="E257" s="110">
        <f t="shared" si="30"/>
        <v>0.15037593984962405</v>
      </c>
      <c r="F257" s="2">
        <v>60</v>
      </c>
      <c r="G257" s="31">
        <f t="shared" si="32"/>
        <v>9.0225563909774422</v>
      </c>
      <c r="H257" s="2">
        <v>3</v>
      </c>
      <c r="I257" s="1">
        <f>VLOOKUP(B257,道具ID!$L:$M,2,FALSE)</f>
        <v>92003</v>
      </c>
      <c r="J257" s="2" t="s">
        <v>2967</v>
      </c>
      <c r="K257" s="2">
        <v>120</v>
      </c>
      <c r="L257" s="2">
        <v>1</v>
      </c>
      <c r="M257" s="110">
        <f t="shared" si="31"/>
        <v>0.15037593984962405</v>
      </c>
      <c r="N257" s="2">
        <v>60</v>
      </c>
      <c r="O257" s="31">
        <f t="shared" si="33"/>
        <v>9.0225563909774422</v>
      </c>
      <c r="P257" s="2">
        <v>3</v>
      </c>
    </row>
    <row r="258" spans="2:16" x14ac:dyDescent="0.3">
      <c r="B258" s="2" t="s">
        <v>472</v>
      </c>
      <c r="C258" s="2">
        <v>80</v>
      </c>
      <c r="D258" s="2">
        <v>1</v>
      </c>
      <c r="E258" s="110">
        <f t="shared" si="30"/>
        <v>0.10025062656641603</v>
      </c>
      <c r="F258" s="2">
        <v>120</v>
      </c>
      <c r="G258" s="31">
        <f t="shared" si="32"/>
        <v>12.030075187969924</v>
      </c>
      <c r="H258" s="2">
        <v>2</v>
      </c>
      <c r="I258" s="1">
        <f>VLOOKUP(B258,道具ID!$L:$M,2,FALSE)</f>
        <v>93002</v>
      </c>
      <c r="J258" s="2" t="s">
        <v>434</v>
      </c>
      <c r="K258" s="2">
        <v>80</v>
      </c>
      <c r="L258" s="2">
        <v>1</v>
      </c>
      <c r="M258" s="110">
        <f t="shared" si="31"/>
        <v>0.10025062656641603</v>
      </c>
      <c r="N258" s="2">
        <v>120</v>
      </c>
      <c r="O258" s="31">
        <f t="shared" si="33"/>
        <v>12.030075187969924</v>
      </c>
      <c r="P258" s="2">
        <v>2</v>
      </c>
    </row>
    <row r="259" spans="2:16" x14ac:dyDescent="0.3">
      <c r="B259" s="2" t="s">
        <v>273</v>
      </c>
      <c r="C259" s="2">
        <v>100</v>
      </c>
      <c r="D259" s="2">
        <v>20</v>
      </c>
      <c r="E259" s="110">
        <f t="shared" si="30"/>
        <v>0.12531328320802004</v>
      </c>
      <c r="F259" s="2">
        <v>1.25</v>
      </c>
      <c r="G259" s="31">
        <f t="shared" si="32"/>
        <v>3.132832080200501</v>
      </c>
      <c r="H259" s="2">
        <v>2</v>
      </c>
      <c r="I259" s="1">
        <f>VLOOKUP(B259,道具ID!$L:$M,2,FALSE)</f>
        <v>105</v>
      </c>
      <c r="J259" s="2" t="s">
        <v>273</v>
      </c>
      <c r="K259" s="2">
        <v>100</v>
      </c>
      <c r="L259" s="2">
        <v>10</v>
      </c>
      <c r="M259" s="110">
        <f t="shared" si="31"/>
        <v>0.12531328320802004</v>
      </c>
      <c r="N259" s="2">
        <v>1.25</v>
      </c>
      <c r="O259" s="31">
        <f t="shared" si="33"/>
        <v>1.5664160401002505</v>
      </c>
      <c r="P259" s="2">
        <v>2</v>
      </c>
    </row>
    <row r="260" spans="2:16" x14ac:dyDescent="0.3">
      <c r="B260" s="2" t="s">
        <v>464</v>
      </c>
      <c r="C260" s="2">
        <v>80</v>
      </c>
      <c r="D260" s="2">
        <v>1</v>
      </c>
      <c r="E260" s="110">
        <f t="shared" si="30"/>
        <v>0.10025062656641603</v>
      </c>
      <c r="F260" s="2">
        <v>120</v>
      </c>
      <c r="G260" s="31">
        <f t="shared" si="32"/>
        <v>12.030075187969924</v>
      </c>
      <c r="H260" s="2">
        <v>2</v>
      </c>
      <c r="I260" s="1">
        <f>VLOOKUP(B260,道具ID!$L:$M,2,FALSE)</f>
        <v>93003</v>
      </c>
      <c r="J260" s="2" t="s">
        <v>2968</v>
      </c>
      <c r="K260" s="2">
        <v>80</v>
      </c>
      <c r="L260" s="2">
        <v>1</v>
      </c>
      <c r="M260" s="110">
        <f t="shared" si="31"/>
        <v>0.10025062656641603</v>
      </c>
      <c r="N260" s="2">
        <v>120</v>
      </c>
      <c r="O260" s="31">
        <f t="shared" si="33"/>
        <v>12.030075187969924</v>
      </c>
      <c r="P260" s="2">
        <v>2</v>
      </c>
    </row>
    <row r="261" spans="2:16" x14ac:dyDescent="0.3">
      <c r="B261" s="2" t="s">
        <v>4217</v>
      </c>
      <c r="C261" s="2">
        <v>20</v>
      </c>
      <c r="D261" s="2">
        <v>1</v>
      </c>
      <c r="E261" s="110">
        <f t="shared" si="30"/>
        <v>2.5062656641604009E-2</v>
      </c>
      <c r="F261" s="2">
        <v>35</v>
      </c>
      <c r="G261" s="31">
        <f t="shared" si="32"/>
        <v>0.8771929824561403</v>
      </c>
      <c r="H261" s="2">
        <v>3</v>
      </c>
      <c r="I261" s="1">
        <f>VLOOKUP(B261,道具ID!$L:$M,2,FALSE)</f>
        <v>100202</v>
      </c>
      <c r="J261" s="2" t="s">
        <v>4217</v>
      </c>
      <c r="K261" s="2">
        <v>20</v>
      </c>
      <c r="L261" s="2">
        <v>1</v>
      </c>
      <c r="M261" s="110">
        <f t="shared" si="31"/>
        <v>2.5062656641604009E-2</v>
      </c>
      <c r="N261" s="2">
        <v>35</v>
      </c>
      <c r="O261" s="31">
        <f t="shared" si="33"/>
        <v>0.8771929824561403</v>
      </c>
      <c r="P261" s="2">
        <v>3</v>
      </c>
    </row>
    <row r="262" spans="2:16" x14ac:dyDescent="0.3">
      <c r="B262" s="2" t="s">
        <v>1889</v>
      </c>
      <c r="C262" s="2">
        <v>60</v>
      </c>
      <c r="D262" s="2">
        <v>2</v>
      </c>
      <c r="E262" s="110">
        <f t="shared" si="30"/>
        <v>7.5187969924812026E-2</v>
      </c>
      <c r="F262" s="2">
        <v>65</v>
      </c>
      <c r="G262" s="31">
        <f t="shared" si="32"/>
        <v>9.7744360902255636</v>
      </c>
      <c r="H262" s="2">
        <v>4</v>
      </c>
      <c r="I262" s="1">
        <f>VLOOKUP(B262,道具ID!$L:$M,2,FALSE)</f>
        <v>51311</v>
      </c>
      <c r="J262" s="2" t="s">
        <v>1889</v>
      </c>
      <c r="K262" s="2">
        <v>60</v>
      </c>
      <c r="L262" s="2">
        <v>1</v>
      </c>
      <c r="M262" s="110">
        <f t="shared" si="31"/>
        <v>7.5187969924812026E-2</v>
      </c>
      <c r="N262" s="2">
        <v>65</v>
      </c>
      <c r="O262" s="31">
        <f t="shared" si="33"/>
        <v>4.8872180451127818</v>
      </c>
      <c r="P262" s="2">
        <v>4</v>
      </c>
    </row>
    <row r="263" spans="2:16" x14ac:dyDescent="0.3">
      <c r="G263" s="115">
        <f>SUM(G251:G262)</f>
        <v>105.0375939849624</v>
      </c>
      <c r="O263" s="115">
        <f>SUM(O251:O262)</f>
        <v>78.395989974937351</v>
      </c>
    </row>
    <row r="264" spans="2:16" x14ac:dyDescent="0.3">
      <c r="B264" s="1" t="s">
        <v>2969</v>
      </c>
    </row>
    <row r="265" spans="2:16" x14ac:dyDescent="0.3">
      <c r="B265" s="2" t="s">
        <v>2970</v>
      </c>
      <c r="C265" s="2" t="s">
        <v>1817</v>
      </c>
      <c r="D265" s="2" t="s">
        <v>1818</v>
      </c>
      <c r="E265" s="2" t="s">
        <v>1819</v>
      </c>
      <c r="F265" s="2" t="s">
        <v>1820</v>
      </c>
      <c r="G265" s="2" t="s">
        <v>2971</v>
      </c>
      <c r="H265" s="2" t="s">
        <v>2972</v>
      </c>
    </row>
    <row r="266" spans="2:16" x14ac:dyDescent="0.3">
      <c r="B266" s="2">
        <v>1</v>
      </c>
      <c r="C266" s="2" t="s">
        <v>268</v>
      </c>
      <c r="D266" s="2">
        <v>2000</v>
      </c>
      <c r="E266" s="2"/>
      <c r="F266" s="2"/>
      <c r="G266" s="2">
        <v>3</v>
      </c>
      <c r="H266" s="2">
        <f>G266*$C$247</f>
        <v>300</v>
      </c>
    </row>
    <row r="267" spans="2:16" x14ac:dyDescent="0.3">
      <c r="B267" s="2">
        <v>2</v>
      </c>
      <c r="C267" s="2" t="s">
        <v>268</v>
      </c>
      <c r="D267" s="2">
        <v>5000</v>
      </c>
      <c r="E267" s="2" t="s">
        <v>474</v>
      </c>
      <c r="F267" s="2">
        <v>1</v>
      </c>
      <c r="G267" s="2">
        <v>10</v>
      </c>
      <c r="H267" s="2">
        <f>G267*$C$247</f>
        <v>1000</v>
      </c>
    </row>
    <row r="268" spans="2:16" x14ac:dyDescent="0.3">
      <c r="B268" s="2">
        <v>3</v>
      </c>
      <c r="C268" s="2" t="s">
        <v>463</v>
      </c>
      <c r="D268" s="2">
        <v>1</v>
      </c>
      <c r="E268" s="2" t="s">
        <v>473</v>
      </c>
      <c r="F268" s="2">
        <v>1</v>
      </c>
      <c r="G268" s="2">
        <v>30</v>
      </c>
      <c r="H268" s="2">
        <f>G268*$C$247</f>
        <v>3000</v>
      </c>
    </row>
    <row r="269" spans="2:16" x14ac:dyDescent="0.3">
      <c r="B269" s="2">
        <v>4</v>
      </c>
      <c r="C269" s="2" t="s">
        <v>2973</v>
      </c>
      <c r="D269" s="2">
        <v>1</v>
      </c>
      <c r="E269" s="2" t="s">
        <v>2773</v>
      </c>
      <c r="F269" s="2">
        <v>1</v>
      </c>
      <c r="G269" s="2">
        <v>60</v>
      </c>
      <c r="H269" s="2">
        <f>G269*$C$247</f>
        <v>6000</v>
      </c>
    </row>
    <row r="270" spans="2:16" x14ac:dyDescent="0.3">
      <c r="B270" s="2">
        <v>5</v>
      </c>
      <c r="C270" s="2" t="s">
        <v>2751</v>
      </c>
      <c r="D270" s="2">
        <v>1</v>
      </c>
      <c r="E270" s="2" t="s">
        <v>2767</v>
      </c>
      <c r="F270" s="2">
        <v>1</v>
      </c>
      <c r="G270" s="2">
        <v>100</v>
      </c>
      <c r="H270" s="2">
        <f>G270*$C$247</f>
        <v>10000</v>
      </c>
    </row>
    <row r="272" spans="2:16" x14ac:dyDescent="0.3">
      <c r="C272" s="1">
        <f>IF(C266="","",VLOOKUP(C266,道具ID!$L:$M,2,FALSE))</f>
        <v>102</v>
      </c>
      <c r="D272" s="1">
        <f>D266</f>
        <v>2000</v>
      </c>
      <c r="E272" s="1" t="str">
        <f>IF(E266="","",VLOOKUP(E266,道具ID!$L:$M,2,FALSE))</f>
        <v/>
      </c>
      <c r="I272" s="1" t="str">
        <f>IF(C272="","","("&amp;C272&amp;","&amp;D272&amp;")")</f>
        <v>(102,2000)</v>
      </c>
      <c r="K272" s="1" t="str">
        <f>IF(E272="","","("&amp;E272&amp;","&amp;F272&amp;")")</f>
        <v/>
      </c>
      <c r="L272" s="1" t="str">
        <f>IF(K272="","["&amp;I272&amp;"]","["&amp;I272&amp;","&amp;K272&amp;"]")</f>
        <v>[(102,2000)]</v>
      </c>
      <c r="M272" s="1" t="str">
        <f>IF(E272="","["&amp;C272&amp;"]","["&amp;C272&amp;","&amp;E272&amp;"]")</f>
        <v>[102]</v>
      </c>
      <c r="N272" s="1" t="str">
        <f>IF(F272="","["&amp;D272&amp;"]","["&amp;D272&amp;","&amp;F272&amp;"]")</f>
        <v>[2000]</v>
      </c>
    </row>
    <row r="273" spans="2:14" x14ac:dyDescent="0.3">
      <c r="C273" s="1">
        <f>IF(C267="","",VLOOKUP(C267,道具ID!$L:$M,2,FALSE))</f>
        <v>102</v>
      </c>
      <c r="D273" s="1">
        <f t="shared" ref="D273:F276" si="34">D267</f>
        <v>5000</v>
      </c>
      <c r="E273" s="1">
        <f>IF(E267="","",VLOOKUP(E267,道具ID!$L:$M,2,FALSE))</f>
        <v>93006</v>
      </c>
      <c r="F273" s="1">
        <f t="shared" si="34"/>
        <v>1</v>
      </c>
      <c r="I273" s="1" t="str">
        <f t="shared" ref="I273:K276" si="35">IF(C273="","","("&amp;C273&amp;","&amp;D273&amp;")")</f>
        <v>(102,5000)</v>
      </c>
      <c r="K273" s="1" t="str">
        <f t="shared" si="35"/>
        <v>(93006,1)</v>
      </c>
      <c r="L273" s="1" t="str">
        <f>IF(K273="","["&amp;I273&amp;"]","["&amp;I273&amp;","&amp;K273&amp;"]")</f>
        <v>[(102,5000),(93006,1)]</v>
      </c>
      <c r="M273" s="1" t="str">
        <f t="shared" ref="M273:N276" si="36">IF(E273="","["&amp;C273&amp;"]","["&amp;C273&amp;","&amp;E273&amp;"]")</f>
        <v>[102,93006]</v>
      </c>
      <c r="N273" s="1" t="str">
        <f t="shared" si="36"/>
        <v>[5000,1]</v>
      </c>
    </row>
    <row r="274" spans="2:14" x14ac:dyDescent="0.3">
      <c r="C274" s="1">
        <f>IF(C268="","",VLOOKUP(C268,道具ID!$L:$M,2,FALSE))</f>
        <v>93001</v>
      </c>
      <c r="D274" s="1">
        <f t="shared" si="34"/>
        <v>1</v>
      </c>
      <c r="E274" s="1">
        <f>IF(E268="","",VLOOKUP(E268,道具ID!$L:$M,2,FALSE))</f>
        <v>93004</v>
      </c>
      <c r="F274" s="1">
        <f t="shared" si="34"/>
        <v>1</v>
      </c>
      <c r="I274" s="1" t="str">
        <f t="shared" si="35"/>
        <v>(93001,1)</v>
      </c>
      <c r="K274" s="1" t="str">
        <f t="shared" si="35"/>
        <v>(93004,1)</v>
      </c>
      <c r="L274" s="1" t="str">
        <f>IF(K274="","["&amp;I274&amp;"]","["&amp;I274&amp;","&amp;K274&amp;"]")</f>
        <v>[(93001,1),(93004,1)]</v>
      </c>
      <c r="M274" s="1" t="str">
        <f t="shared" si="36"/>
        <v>[93001,93004]</v>
      </c>
      <c r="N274" s="1" t="str">
        <f t="shared" si="36"/>
        <v>[1,1]</v>
      </c>
    </row>
    <row r="275" spans="2:14" x14ac:dyDescent="0.3">
      <c r="C275" s="1">
        <f>IF(C269="","",VLOOKUP(C269,道具ID!$L:$M,2,FALSE))</f>
        <v>93005</v>
      </c>
      <c r="D275" s="1">
        <f t="shared" si="34"/>
        <v>1</v>
      </c>
      <c r="E275" s="1">
        <f>IF(E269="","",VLOOKUP(E269,道具ID!$L:$M,2,FALSE))</f>
        <v>130113</v>
      </c>
      <c r="F275" s="1">
        <f t="shared" si="34"/>
        <v>1</v>
      </c>
      <c r="I275" s="1" t="str">
        <f t="shared" si="35"/>
        <v>(93005,1)</v>
      </c>
      <c r="K275" s="1" t="str">
        <f t="shared" si="35"/>
        <v>(130113,1)</v>
      </c>
      <c r="L275" s="1" t="str">
        <f>IF(K275="","["&amp;I275&amp;"]","["&amp;I275&amp;","&amp;K275&amp;"]")</f>
        <v>[(93005,1),(130113,1)]</v>
      </c>
      <c r="M275" s="1" t="str">
        <f t="shared" si="36"/>
        <v>[93005,130113]</v>
      </c>
      <c r="N275" s="1" t="str">
        <f t="shared" si="36"/>
        <v>[1,1]</v>
      </c>
    </row>
    <row r="276" spans="2:14" x14ac:dyDescent="0.3">
      <c r="C276" s="1">
        <f>IF(C270="","",VLOOKUP(C270,道具ID!$L:$M,2,FALSE))</f>
        <v>110106</v>
      </c>
      <c r="D276" s="1">
        <f t="shared" si="34"/>
        <v>1</v>
      </c>
      <c r="E276" s="1">
        <f>IF(E270="","",VLOOKUP(E270,道具ID!$L:$M,2,FALSE))</f>
        <v>140121</v>
      </c>
      <c r="F276" s="1">
        <f t="shared" si="34"/>
        <v>1</v>
      </c>
      <c r="I276" s="1" t="str">
        <f t="shared" si="35"/>
        <v>(110106,1)</v>
      </c>
      <c r="K276" s="1" t="str">
        <f t="shared" si="35"/>
        <v>(140121,1)</v>
      </c>
      <c r="L276" s="1" t="str">
        <f>IF(K276="","["&amp;I276&amp;"]","["&amp;I276&amp;","&amp;K276&amp;"]")</f>
        <v>[(110106,1),(140121,1)]</v>
      </c>
      <c r="M276" s="1" t="str">
        <f t="shared" si="36"/>
        <v>[110106,140121]</v>
      </c>
      <c r="N276" s="1" t="str">
        <f t="shared" si="36"/>
        <v>[1,1]</v>
      </c>
    </row>
    <row r="283" spans="2:14" ht="18" x14ac:dyDescent="0.35">
      <c r="B283" s="100" t="s">
        <v>3820</v>
      </c>
    </row>
    <row r="284" spans="2:14" ht="15.75" x14ac:dyDescent="0.3">
      <c r="B284" s="35" t="s">
        <v>2923</v>
      </c>
    </row>
    <row r="285" spans="2:14" ht="16.5" x14ac:dyDescent="0.35">
      <c r="B285" s="104" t="s">
        <v>2924</v>
      </c>
      <c r="C285" s="285">
        <v>50</v>
      </c>
      <c r="D285" s="40"/>
    </row>
    <row r="286" spans="2:14" ht="16.5" x14ac:dyDescent="0.35">
      <c r="B286" s="104" t="s">
        <v>2925</v>
      </c>
      <c r="C286" s="31">
        <f>C285*道具价值!$E$80</f>
        <v>5000.500050005001</v>
      </c>
    </row>
    <row r="287" spans="2:14" ht="16.5" x14ac:dyDescent="0.35">
      <c r="B287" s="104" t="s">
        <v>2926</v>
      </c>
      <c r="C287" s="31">
        <v>10</v>
      </c>
    </row>
    <row r="288" spans="2:14" ht="16.5" x14ac:dyDescent="0.35">
      <c r="B288" s="104" t="s">
        <v>2927</v>
      </c>
      <c r="C288" s="31">
        <f>C286/C287</f>
        <v>500.05000500050011</v>
      </c>
    </row>
    <row r="289" spans="2:13" ht="16.5" x14ac:dyDescent="0.35">
      <c r="B289" s="104" t="s">
        <v>2928</v>
      </c>
      <c r="C289" s="31">
        <v>14</v>
      </c>
    </row>
    <row r="290" spans="2:13" ht="16.5" x14ac:dyDescent="0.35">
      <c r="B290" s="105"/>
      <c r="C290" s="40"/>
    </row>
    <row r="291" spans="2:13" ht="15.75" x14ac:dyDescent="0.3">
      <c r="B291" s="35" t="s">
        <v>2929</v>
      </c>
      <c r="C291" s="40"/>
    </row>
    <row r="292" spans="2:13" ht="16.5" x14ac:dyDescent="0.35">
      <c r="B292" s="106" t="s">
        <v>2930</v>
      </c>
      <c r="C292" s="106" t="s">
        <v>2931</v>
      </c>
    </row>
    <row r="293" spans="2:13" x14ac:dyDescent="0.3">
      <c r="B293" s="3" t="s">
        <v>3827</v>
      </c>
      <c r="C293" s="3" t="s">
        <v>2932</v>
      </c>
    </row>
    <row r="294" spans="2:13" x14ac:dyDescent="0.3">
      <c r="B294" s="3" t="s">
        <v>3827</v>
      </c>
      <c r="C294" s="3" t="s">
        <v>2933</v>
      </c>
    </row>
    <row r="295" spans="2:13" x14ac:dyDescent="0.3">
      <c r="B295" s="3" t="s">
        <v>3827</v>
      </c>
      <c r="C295" s="3" t="s">
        <v>2934</v>
      </c>
    </row>
    <row r="296" spans="2:13" x14ac:dyDescent="0.3">
      <c r="B296" s="3" t="s">
        <v>3826</v>
      </c>
      <c r="C296" s="3" t="s">
        <v>2935</v>
      </c>
    </row>
    <row r="297" spans="2:13" ht="16.5" x14ac:dyDescent="0.35">
      <c r="B297" s="104" t="s">
        <v>3822</v>
      </c>
      <c r="C297" s="3" t="s">
        <v>2936</v>
      </c>
    </row>
    <row r="298" spans="2:13" ht="16.5" x14ac:dyDescent="0.35">
      <c r="B298" s="104" t="s">
        <v>3829</v>
      </c>
      <c r="C298" s="3" t="s">
        <v>3828</v>
      </c>
    </row>
    <row r="299" spans="2:13" ht="16.5" x14ac:dyDescent="0.35">
      <c r="B299" s="105"/>
      <c r="C299" s="40"/>
    </row>
    <row r="300" spans="2:13" ht="18" x14ac:dyDescent="0.35">
      <c r="B300" s="100"/>
    </row>
    <row r="301" spans="2:13" x14ac:dyDescent="0.3">
      <c r="B301" s="107" t="s">
        <v>2938</v>
      </c>
    </row>
    <row r="302" spans="2:13" x14ac:dyDescent="0.3">
      <c r="B302" s="44" t="s">
        <v>2939</v>
      </c>
      <c r="C302" s="44" t="s">
        <v>1818</v>
      </c>
      <c r="D302" s="44" t="s">
        <v>2940</v>
      </c>
      <c r="E302" s="44" t="s">
        <v>1820</v>
      </c>
      <c r="F302" s="44" t="s">
        <v>2941</v>
      </c>
      <c r="G302" s="44" t="s">
        <v>1822</v>
      </c>
      <c r="H302" s="44" t="s">
        <v>2942</v>
      </c>
      <c r="I302" s="44" t="s">
        <v>1818</v>
      </c>
      <c r="J302" s="44" t="s">
        <v>2943</v>
      </c>
      <c r="K302" s="44" t="s">
        <v>1820</v>
      </c>
      <c r="L302" s="44" t="s">
        <v>2944</v>
      </c>
      <c r="M302" s="44" t="s">
        <v>2945</v>
      </c>
    </row>
    <row r="303" spans="2:13" x14ac:dyDescent="0.3">
      <c r="B303" s="285" t="s">
        <v>3830</v>
      </c>
      <c r="C303" s="285">
        <v>15</v>
      </c>
      <c r="D303" s="285"/>
      <c r="E303" s="285"/>
      <c r="F303" s="285"/>
      <c r="G303" s="285"/>
      <c r="H303" s="285" t="s">
        <v>268</v>
      </c>
      <c r="I303" s="285">
        <v>100</v>
      </c>
      <c r="J303" s="285"/>
      <c r="K303" s="285"/>
      <c r="L303" s="31">
        <f t="shared" ref="L303:L308" si="37">MAX(IF(B303="",0,C303/VLOOKUP(B303,$B$328:$C$330,2,FALSE)),IF(D303="",0,E303/VLOOKUP(D303,$B$328:$C$330,2,FALSE)),IF(F303="",0,G303/VLOOKUP(F303,$B$328:$C$330,2,FALSE)))</f>
        <v>0.83333333333333337</v>
      </c>
      <c r="M303" s="285">
        <f>$C$162/L303*I303</f>
        <v>1680</v>
      </c>
    </row>
    <row r="304" spans="2:13" x14ac:dyDescent="0.3">
      <c r="B304" s="285" t="s">
        <v>3861</v>
      </c>
      <c r="C304" s="285">
        <v>30</v>
      </c>
      <c r="D304" s="285"/>
      <c r="E304" s="285"/>
      <c r="F304" s="285"/>
      <c r="G304" s="285"/>
      <c r="H304" s="285" t="s">
        <v>3838</v>
      </c>
      <c r="I304" s="285">
        <v>1</v>
      </c>
      <c r="J304" s="285"/>
      <c r="K304" s="285"/>
      <c r="L304" s="31">
        <f t="shared" si="37"/>
        <v>6</v>
      </c>
      <c r="M304" s="285">
        <f t="shared" ref="M304:M308" si="38">$C$162/L304*I304</f>
        <v>2.3333333333333335</v>
      </c>
    </row>
    <row r="305" spans="2:13" x14ac:dyDescent="0.3">
      <c r="B305" s="285" t="s">
        <v>3830</v>
      </c>
      <c r="C305" s="285">
        <v>100</v>
      </c>
      <c r="D305" s="285" t="s">
        <v>3831</v>
      </c>
      <c r="E305" s="285">
        <v>30</v>
      </c>
      <c r="F305" s="285" t="s">
        <v>3832</v>
      </c>
      <c r="G305" s="285">
        <v>10</v>
      </c>
      <c r="H305" s="285" t="s">
        <v>1897</v>
      </c>
      <c r="I305" s="285">
        <v>5</v>
      </c>
      <c r="J305" s="285"/>
      <c r="K305" s="285"/>
      <c r="L305" s="31">
        <f t="shared" si="37"/>
        <v>7.1428571428571423</v>
      </c>
      <c r="M305" s="285">
        <f>$C$162/L305*I305</f>
        <v>9.8000000000000007</v>
      </c>
    </row>
    <row r="306" spans="2:13" x14ac:dyDescent="0.3">
      <c r="B306" s="285"/>
      <c r="C306" s="285"/>
      <c r="D306" s="285"/>
      <c r="E306" s="285"/>
      <c r="F306" s="285"/>
      <c r="G306" s="285"/>
      <c r="H306" s="285"/>
      <c r="I306" s="285"/>
      <c r="J306" s="285"/>
      <c r="K306" s="285"/>
      <c r="L306" s="31">
        <f t="shared" si="37"/>
        <v>0</v>
      </c>
      <c r="M306" s="285" t="e">
        <f t="shared" si="38"/>
        <v>#DIV/0!</v>
      </c>
    </row>
    <row r="307" spans="2:13" x14ac:dyDescent="0.3">
      <c r="B307" s="285"/>
      <c r="C307" s="285"/>
      <c r="D307" s="285"/>
      <c r="E307" s="285"/>
      <c r="F307" s="285"/>
      <c r="G307" s="285"/>
      <c r="H307" s="285"/>
      <c r="I307" s="285"/>
      <c r="J307" s="285"/>
      <c r="K307" s="285"/>
      <c r="L307" s="31">
        <f t="shared" si="37"/>
        <v>0</v>
      </c>
      <c r="M307" s="285" t="e">
        <f t="shared" si="38"/>
        <v>#DIV/0!</v>
      </c>
    </row>
    <row r="308" spans="2:13" x14ac:dyDescent="0.3">
      <c r="B308" s="285"/>
      <c r="C308" s="285"/>
      <c r="D308" s="285"/>
      <c r="E308" s="285"/>
      <c r="F308" s="285"/>
      <c r="G308" s="285"/>
      <c r="H308" s="285"/>
      <c r="I308" s="285"/>
      <c r="J308" s="285"/>
      <c r="K308" s="285"/>
      <c r="L308" s="31">
        <f t="shared" si="37"/>
        <v>0</v>
      </c>
      <c r="M308" s="285" t="e">
        <f t="shared" si="38"/>
        <v>#DIV/0!</v>
      </c>
    </row>
    <row r="309" spans="2:13" x14ac:dyDescent="0.3">
      <c r="B309" s="286"/>
      <c r="C309" s="286"/>
      <c r="D309" s="286"/>
      <c r="E309" s="286"/>
      <c r="F309" s="286"/>
      <c r="G309" s="286"/>
      <c r="H309" s="286"/>
      <c r="I309" s="286"/>
      <c r="J309" s="286"/>
      <c r="K309" s="286"/>
    </row>
    <row r="310" spans="2:13" x14ac:dyDescent="0.3">
      <c r="B310" s="108" t="s">
        <v>2946</v>
      </c>
      <c r="C310" s="286"/>
      <c r="D310" s="286"/>
      <c r="E310" s="286"/>
      <c r="F310" s="286"/>
      <c r="G310" s="286"/>
      <c r="H310" s="286"/>
      <c r="I310" s="286"/>
      <c r="J310" s="286"/>
      <c r="K310" s="286"/>
    </row>
    <row r="311" spans="2:13" x14ac:dyDescent="0.3">
      <c r="B311" s="36" t="str">
        <f>IF(D303="","["&amp;"("&amp;VLOOKUP(B303,道具ID!$L:$N,2,FALSE)&amp;","&amp;C303&amp;")"&amp;"]",IF(F303="","["&amp;"("&amp;VLOOKUP(B303,道具ID!$L:$N,2,FALSE)&amp;","&amp;C303&amp;")"&amp;","&amp;"("&amp;VLOOKUP(D303,道具ID!$L:$N,2,FALSE)&amp;","&amp;E303&amp;")"&amp;"]","["&amp;"("&amp;VLOOKUP(B303,道具ID!$L:$N,2,FALSE)&amp;","&amp;C303&amp;")"&amp;","&amp;"("&amp;VLOOKUP(D303,道具ID!$L:$N,2,FALSE)&amp;","&amp;E303&amp;")"&amp;","&amp;"("&amp;VLOOKUP(F303,道具ID!$L:$N,2,FALSE)&amp;","&amp;G303&amp;")"&amp;"]"))</f>
        <v>[(240001,15)]</v>
      </c>
      <c r="C311" s="36" t="str">
        <f>IF(J303="","["&amp;"("&amp;VLOOKUP(H303,道具ID!$L:$N,2,FALSE)&amp;","&amp;I303&amp;")"&amp;"]","["&amp;"("&amp;VLOOKUP(H303,道具ID!$L:$N,2,FALSE)&amp;","&amp;I303&amp;")"&amp;","&amp;"("&amp;VLOOKUP(J303,道具ID!$L:$N,2,FALSE)&amp;","&amp;E303&amp;")"&amp;"]")</f>
        <v>[(102,100)]</v>
      </c>
      <c r="D311" s="36" t="str">
        <f t="shared" ref="D311:D316" si="39">B303&amp;","&amp;D303&amp;","&amp;F303</f>
        <v>复活节彩蛋1,,</v>
      </c>
      <c r="E311" s="36" t="str">
        <f t="shared" ref="E311:E316" si="40">H303&amp;","&amp;J303</f>
        <v>军费,</v>
      </c>
      <c r="F311" s="286"/>
      <c r="G311" s="286"/>
      <c r="H311" s="286"/>
      <c r="I311" s="286"/>
      <c r="J311" s="286"/>
      <c r="K311" s="286"/>
    </row>
    <row r="312" spans="2:13" x14ac:dyDescent="0.3">
      <c r="B312" s="36" t="str">
        <f>IF(D304="","["&amp;"("&amp;VLOOKUP(B304,道具ID!$L:$N,2,FALSE)&amp;","&amp;C304&amp;")"&amp;"]",IF(F304="","["&amp;"("&amp;VLOOKUP(B304,道具ID!$L:$N,2,FALSE)&amp;","&amp;C304&amp;")"&amp;","&amp;"("&amp;VLOOKUP(D304,道具ID!$L:$N,2,FALSE)&amp;","&amp;E304&amp;")"&amp;"]","["&amp;"("&amp;VLOOKUP(B304,道具ID!$L:$N,2,FALSE)&amp;","&amp;C304&amp;")"&amp;","&amp;"("&amp;VLOOKUP(D304,道具ID!$L:$N,2,FALSE)&amp;","&amp;E304&amp;")"&amp;","&amp;"("&amp;VLOOKUP(F304,道具ID!$L:$N,2,FALSE)&amp;","&amp;G304&amp;")"&amp;"]"))</f>
        <v>[(240002,30)]</v>
      </c>
      <c r="C312" s="36" t="str">
        <f>IF(J304="","["&amp;"("&amp;VLOOKUP(H304,道具ID!$L:$N,2,FALSE)&amp;","&amp;I304&amp;")"&amp;"]","["&amp;"("&amp;VLOOKUP(H304,道具ID!$L:$N,2,FALSE)&amp;","&amp;I304&amp;")"&amp;","&amp;"("&amp;VLOOKUP(J304,道具ID!$L:$N,2,FALSE)&amp;","&amp;E304&amp;")"&amp;"]")</f>
        <v>[(240004,1)]</v>
      </c>
      <c r="D312" s="36" t="str">
        <f t="shared" si="39"/>
        <v>复活节彩蛋2,,</v>
      </c>
      <c r="E312" s="36" t="str">
        <f t="shared" si="40"/>
        <v>复活节幸运币,</v>
      </c>
      <c r="F312" s="286"/>
      <c r="G312" s="286"/>
      <c r="H312" s="286"/>
      <c r="I312" s="286"/>
      <c r="J312" s="286"/>
      <c r="K312" s="286"/>
    </row>
    <row r="313" spans="2:13" x14ac:dyDescent="0.3">
      <c r="B313" s="36" t="str">
        <f>IF(D305="","["&amp;"("&amp;VLOOKUP(B305,道具ID!$L:$N,2,FALSE)&amp;","&amp;C305&amp;")"&amp;"]",IF(F305="","["&amp;"("&amp;VLOOKUP(B305,道具ID!$L:$N,2,FALSE)&amp;","&amp;C305&amp;")"&amp;","&amp;"("&amp;VLOOKUP(D305,道具ID!$L:$N,2,FALSE)&amp;","&amp;E305&amp;")"&amp;"]","["&amp;"("&amp;VLOOKUP(B305,道具ID!$L:$N,2,FALSE)&amp;","&amp;C305&amp;")"&amp;","&amp;"("&amp;VLOOKUP(D305,道具ID!$L:$N,2,FALSE)&amp;","&amp;E305&amp;")"&amp;","&amp;"("&amp;VLOOKUP(F305,道具ID!$L:$N,2,FALSE)&amp;","&amp;G305&amp;")"&amp;"]"))</f>
        <v>[(240001,100),(240002,30),(240003,10)]</v>
      </c>
      <c r="C313" s="36" t="str">
        <f>IF(J305="","["&amp;"("&amp;VLOOKUP(H305,道具ID!$L:$N,2,FALSE)&amp;","&amp;I305&amp;")"&amp;"]","["&amp;"("&amp;VLOOKUP(H305,道具ID!$L:$N,2,FALSE)&amp;","&amp;I305&amp;")"&amp;","&amp;"("&amp;VLOOKUP(J305,道具ID!$L:$N,2,FALSE)&amp;","&amp;E305&amp;")"&amp;"]")</f>
        <v>[(51331,5)]</v>
      </c>
      <c r="D313" s="36" t="str">
        <f t="shared" si="39"/>
        <v>复活节彩蛋1,复活节彩蛋2,复活节彩蛋3</v>
      </c>
      <c r="E313" s="36" t="str">
        <f t="shared" si="40"/>
        <v>AMX-13碎片,</v>
      </c>
      <c r="F313" s="286"/>
      <c r="G313" s="286"/>
      <c r="H313" s="286"/>
      <c r="I313" s="286"/>
      <c r="J313" s="286"/>
      <c r="K313" s="286"/>
    </row>
    <row r="314" spans="2:13" x14ac:dyDescent="0.3">
      <c r="B314" s="36" t="e">
        <f>IF(D306="","["&amp;"("&amp;VLOOKUP(B306,道具ID!$L:$N,2,FALSE)&amp;","&amp;C306&amp;")"&amp;"]",IF(F306="","["&amp;"("&amp;VLOOKUP(B306,道具ID!$L:$N,2,FALSE)&amp;","&amp;C306&amp;")"&amp;","&amp;"("&amp;VLOOKUP(D306,道具ID!$L:$N,2,FALSE)&amp;","&amp;E306&amp;")"&amp;"]","["&amp;"("&amp;VLOOKUP(B306,道具ID!$L:$N,2,FALSE)&amp;","&amp;C306&amp;")"&amp;","&amp;"("&amp;VLOOKUP(D306,道具ID!$L:$N,2,FALSE)&amp;","&amp;E306&amp;")"&amp;","&amp;"("&amp;VLOOKUP(F306,道具ID!$L:$N,2,FALSE)&amp;","&amp;G306&amp;")"&amp;"]"))</f>
        <v>#N/A</v>
      </c>
      <c r="C314" s="36" t="e">
        <f>IF(J306="","["&amp;"("&amp;VLOOKUP(H306,道具ID!$L:$N,2,FALSE)&amp;","&amp;I306&amp;")"&amp;"]","["&amp;"("&amp;VLOOKUP(H306,道具ID!$L:$N,2,FALSE)&amp;","&amp;I306&amp;")"&amp;","&amp;"("&amp;VLOOKUP(J306,道具ID!$L:$N,2,FALSE)&amp;","&amp;E306&amp;")"&amp;"]")</f>
        <v>#N/A</v>
      </c>
      <c r="D314" s="36" t="str">
        <f t="shared" si="39"/>
        <v>,,</v>
      </c>
      <c r="E314" s="36" t="str">
        <f t="shared" si="40"/>
        <v>,</v>
      </c>
      <c r="F314" s="286"/>
      <c r="G314" s="286"/>
      <c r="H314" s="286"/>
      <c r="I314" s="286"/>
      <c r="J314" s="286"/>
      <c r="K314" s="286"/>
    </row>
    <row r="315" spans="2:13" x14ac:dyDescent="0.3">
      <c r="B315" s="36" t="e">
        <f>IF(D307="","["&amp;"("&amp;VLOOKUP(B307,道具ID!$L:$N,2,FALSE)&amp;","&amp;C307&amp;")"&amp;"]",IF(F307="","["&amp;"("&amp;VLOOKUP(B307,道具ID!$L:$N,2,FALSE)&amp;","&amp;C307&amp;")"&amp;","&amp;"("&amp;VLOOKUP(D307,道具ID!$L:$N,2,FALSE)&amp;","&amp;E307&amp;")"&amp;"]","["&amp;"("&amp;VLOOKUP(B307,道具ID!$L:$N,2,FALSE)&amp;","&amp;C307&amp;")"&amp;","&amp;"("&amp;VLOOKUP(D307,道具ID!$L:$N,2,FALSE)&amp;","&amp;E307&amp;")"&amp;","&amp;"("&amp;VLOOKUP(F307,道具ID!$L:$N,2,FALSE)&amp;","&amp;G307&amp;")"&amp;"]"))</f>
        <v>#N/A</v>
      </c>
      <c r="C315" s="36" t="e">
        <f>IF(J307="","["&amp;"("&amp;VLOOKUP(H307,道具ID!$L:$N,2,FALSE)&amp;","&amp;I307&amp;")"&amp;"]","["&amp;"("&amp;VLOOKUP(H307,道具ID!$L:$N,2,FALSE)&amp;","&amp;I307&amp;")"&amp;","&amp;"("&amp;VLOOKUP(J307,道具ID!$L:$N,2,FALSE)&amp;","&amp;E307&amp;")"&amp;"]")</f>
        <v>#N/A</v>
      </c>
      <c r="D315" s="36" t="str">
        <f t="shared" si="39"/>
        <v>,,</v>
      </c>
      <c r="E315" s="36" t="str">
        <f t="shared" si="40"/>
        <v>,</v>
      </c>
      <c r="F315" s="286"/>
      <c r="G315" s="286"/>
      <c r="H315" s="286"/>
      <c r="I315" s="286"/>
      <c r="J315" s="286"/>
      <c r="K315" s="286"/>
    </row>
    <row r="316" spans="2:13" x14ac:dyDescent="0.3">
      <c r="B316" s="36" t="e">
        <f>IF(D308="","["&amp;"("&amp;VLOOKUP(B308,道具ID!$L:$N,2,FALSE)&amp;","&amp;C308&amp;")"&amp;"]",IF(F308="","["&amp;"("&amp;VLOOKUP(B308,道具ID!$L:$N,2,FALSE)&amp;","&amp;C308&amp;")"&amp;","&amp;"("&amp;VLOOKUP(D308,道具ID!$L:$N,2,FALSE)&amp;","&amp;E308&amp;")"&amp;"]","["&amp;"("&amp;VLOOKUP(B308,道具ID!$L:$N,2,FALSE)&amp;","&amp;C308&amp;")"&amp;","&amp;"("&amp;VLOOKUP(D308,道具ID!$L:$N,2,FALSE)&amp;","&amp;E308&amp;")"&amp;","&amp;"("&amp;VLOOKUP(F308,道具ID!$L:$N,2,FALSE)&amp;","&amp;G308&amp;")"&amp;"]"))</f>
        <v>#N/A</v>
      </c>
      <c r="C316" s="36" t="e">
        <f>IF(J308="","["&amp;"("&amp;VLOOKUP(H308,道具ID!$L:$N,2,FALSE)&amp;","&amp;I308&amp;")"&amp;"]","["&amp;"("&amp;VLOOKUP(H308,道具ID!$L:$N,2,FALSE)&amp;","&amp;I308&amp;")"&amp;","&amp;"("&amp;VLOOKUP(J308,道具ID!$L:$N,2,FALSE)&amp;","&amp;E308&amp;")"&amp;"]")</f>
        <v>#N/A</v>
      </c>
      <c r="D316" s="36" t="str">
        <f t="shared" si="39"/>
        <v>,,</v>
      </c>
      <c r="E316" s="36" t="str">
        <f t="shared" si="40"/>
        <v>,</v>
      </c>
      <c r="F316" s="286"/>
      <c r="G316" s="286"/>
      <c r="H316" s="286"/>
      <c r="I316" s="286"/>
      <c r="J316" s="286"/>
      <c r="K316" s="286"/>
    </row>
    <row r="317" spans="2:13" x14ac:dyDescent="0.3">
      <c r="B317" s="286"/>
      <c r="C317" s="286"/>
      <c r="D317" s="286"/>
      <c r="E317" s="286"/>
      <c r="F317" s="286"/>
      <c r="G317" s="286"/>
      <c r="H317" s="286"/>
      <c r="I317" s="286"/>
      <c r="J317" s="286"/>
      <c r="K317" s="286"/>
    </row>
    <row r="318" spans="2:13" x14ac:dyDescent="0.3">
      <c r="B318" s="107" t="s">
        <v>2947</v>
      </c>
    </row>
    <row r="319" spans="2:13" x14ac:dyDescent="0.3">
      <c r="B319" s="44" t="s">
        <v>2948</v>
      </c>
      <c r="C319" s="44" t="s">
        <v>2949</v>
      </c>
      <c r="D319" s="44" t="s">
        <v>2950</v>
      </c>
      <c r="E319" s="44" t="s">
        <v>569</v>
      </c>
      <c r="F319" s="109"/>
    </row>
    <row r="320" spans="2:13" x14ac:dyDescent="0.3">
      <c r="B320" s="285" t="s">
        <v>268</v>
      </c>
      <c r="C320" s="285">
        <v>100</v>
      </c>
      <c r="D320" s="110">
        <f t="shared" ref="D320:D325" si="41">C320/SUM($C$198:$C$203)</f>
        <v>0.2</v>
      </c>
      <c r="E320" s="285">
        <f>VLOOKUP(B320,道具ID!L:M,2,FALSE)</f>
        <v>102</v>
      </c>
      <c r="F320" s="111" t="str">
        <f t="shared" ref="F320:F325" si="42">E320&amp;","</f>
        <v>102,</v>
      </c>
      <c r="G320" s="111" t="str">
        <f t="shared" ref="G320:G325" si="43">C320&amp;","</f>
        <v>100,</v>
      </c>
      <c r="H320" s="112" t="str">
        <f>H319&amp;F320</f>
        <v>102,</v>
      </c>
      <c r="I320" s="112" t="str">
        <f>I319&amp;G320</f>
        <v>100,</v>
      </c>
      <c r="J320" s="112" t="str">
        <f>"["&amp;LEFT(H320,LEN(H320)-1)&amp;"]"</f>
        <v>[102]</v>
      </c>
      <c r="K320" s="112" t="str">
        <f>"["&amp;LEFT(I320,LEN(I320)-1)&amp;"]"</f>
        <v>[100]</v>
      </c>
    </row>
    <row r="321" spans="2:11" x14ac:dyDescent="0.3">
      <c r="B321" s="285" t="s">
        <v>273</v>
      </c>
      <c r="C321" s="285">
        <v>50</v>
      </c>
      <c r="D321" s="110">
        <f t="shared" si="41"/>
        <v>0.1</v>
      </c>
      <c r="E321" s="285">
        <f>VLOOKUP(B321,道具ID!L:M,2,FALSE)</f>
        <v>105</v>
      </c>
      <c r="F321" s="111" t="str">
        <f t="shared" si="42"/>
        <v>105,</v>
      </c>
      <c r="G321" s="111" t="str">
        <f t="shared" si="43"/>
        <v>50,</v>
      </c>
      <c r="H321" s="112" t="str">
        <f t="shared" ref="H321:H325" si="44">H320&amp;F321</f>
        <v>102,105,</v>
      </c>
      <c r="I321" s="112" t="str">
        <f t="shared" ref="I321:I325" si="45">I320&amp;G321</f>
        <v>100,50,</v>
      </c>
      <c r="J321" s="112" t="str">
        <f t="shared" ref="J321:J325" si="46">"["&amp;LEFT(H321,LEN(H321)-1)&amp;"]"</f>
        <v>[102,105]</v>
      </c>
      <c r="K321" s="112" t="str">
        <f t="shared" ref="K321:K325" si="47">"["&amp;LEFT(I321,LEN(I321)-1)&amp;"]"</f>
        <v>[100,50]</v>
      </c>
    </row>
    <row r="322" spans="2:11" x14ac:dyDescent="0.3">
      <c r="B322" s="285" t="s">
        <v>283</v>
      </c>
      <c r="C322" s="285">
        <v>100</v>
      </c>
      <c r="D322" s="110">
        <f t="shared" si="41"/>
        <v>0.2</v>
      </c>
      <c r="E322" s="285">
        <f>VLOOKUP(B322,道具ID!L:M,2,FALSE)</f>
        <v>170101</v>
      </c>
      <c r="F322" s="111" t="str">
        <f t="shared" si="42"/>
        <v>170101,</v>
      </c>
      <c r="G322" s="111" t="str">
        <f t="shared" si="43"/>
        <v>100,</v>
      </c>
      <c r="H322" s="112" t="str">
        <f t="shared" si="44"/>
        <v>102,105,170101,</v>
      </c>
      <c r="I322" s="112" t="str">
        <f t="shared" si="45"/>
        <v>100,50,100,</v>
      </c>
      <c r="J322" s="112" t="str">
        <f t="shared" si="46"/>
        <v>[102,105,170101]</v>
      </c>
      <c r="K322" s="112" t="str">
        <f t="shared" si="47"/>
        <v>[100,50,100]</v>
      </c>
    </row>
    <row r="323" spans="2:11" x14ac:dyDescent="0.3">
      <c r="B323" s="285" t="s">
        <v>3830</v>
      </c>
      <c r="C323" s="285">
        <v>180</v>
      </c>
      <c r="D323" s="110">
        <f t="shared" si="41"/>
        <v>0.36</v>
      </c>
      <c r="E323" s="285">
        <f>VLOOKUP(B323,道具ID!L:M,2,FALSE)</f>
        <v>240001</v>
      </c>
      <c r="F323" s="111" t="str">
        <f t="shared" si="42"/>
        <v>240001,</v>
      </c>
      <c r="G323" s="111" t="str">
        <f t="shared" si="43"/>
        <v>180,</v>
      </c>
      <c r="H323" s="112" t="str">
        <f t="shared" si="44"/>
        <v>102,105,170101,240001,</v>
      </c>
      <c r="I323" s="112" t="str">
        <f t="shared" si="45"/>
        <v>100,50,100,180,</v>
      </c>
      <c r="J323" s="112" t="str">
        <f t="shared" si="46"/>
        <v>[102,105,170101,240001]</v>
      </c>
      <c r="K323" s="112" t="str">
        <f t="shared" si="47"/>
        <v>[100,50,100,180]</v>
      </c>
    </row>
    <row r="324" spans="2:11" x14ac:dyDescent="0.3">
      <c r="B324" s="285" t="s">
        <v>3831</v>
      </c>
      <c r="C324" s="285">
        <v>50</v>
      </c>
      <c r="D324" s="110">
        <f t="shared" si="41"/>
        <v>0.1</v>
      </c>
      <c r="E324" s="285">
        <f>VLOOKUP(B324,道具ID!L:M,2,FALSE)</f>
        <v>240002</v>
      </c>
      <c r="F324" s="111" t="str">
        <f t="shared" si="42"/>
        <v>240002,</v>
      </c>
      <c r="G324" s="111" t="str">
        <f t="shared" si="43"/>
        <v>50,</v>
      </c>
      <c r="H324" s="112" t="str">
        <f t="shared" si="44"/>
        <v>102,105,170101,240001,240002,</v>
      </c>
      <c r="I324" s="112" t="str">
        <f t="shared" si="45"/>
        <v>100,50,100,180,50,</v>
      </c>
      <c r="J324" s="112" t="str">
        <f t="shared" si="46"/>
        <v>[102,105,170101,240001,240002]</v>
      </c>
      <c r="K324" s="112" t="str">
        <f t="shared" si="47"/>
        <v>[100,50,100,180,50]</v>
      </c>
    </row>
    <row r="325" spans="2:11" x14ac:dyDescent="0.3">
      <c r="B325" s="285" t="s">
        <v>3832</v>
      </c>
      <c r="C325" s="285">
        <v>14</v>
      </c>
      <c r="D325" s="110">
        <f t="shared" si="41"/>
        <v>2.8000000000000001E-2</v>
      </c>
      <c r="E325" s="285">
        <f>VLOOKUP(B325,道具ID!L:M,2,FALSE)</f>
        <v>240003</v>
      </c>
      <c r="F325" s="111" t="str">
        <f t="shared" si="42"/>
        <v>240003,</v>
      </c>
      <c r="G325" s="111" t="str">
        <f t="shared" si="43"/>
        <v>14,</v>
      </c>
      <c r="H325" s="112" t="str">
        <f t="shared" si="44"/>
        <v>102,105,170101,240001,240002,240003,</v>
      </c>
      <c r="I325" s="112" t="str">
        <f t="shared" si="45"/>
        <v>100,50,100,180,50,14,</v>
      </c>
      <c r="J325" s="37" t="str">
        <f t="shared" si="46"/>
        <v>[102,105,170101,240001,240002,240003]</v>
      </c>
      <c r="K325" s="37" t="str">
        <f t="shared" si="47"/>
        <v>[100,50,100,180,50,14]</v>
      </c>
    </row>
    <row r="327" spans="2:11" x14ac:dyDescent="0.3">
      <c r="B327" s="107" t="s">
        <v>2951</v>
      </c>
    </row>
    <row r="328" spans="2:11" x14ac:dyDescent="0.3">
      <c r="B328" s="285" t="s">
        <v>3830</v>
      </c>
      <c r="C328" s="285">
        <f>VLOOKUP(B328,$B$320:$D$325,3,FALSE)*基础经济系数!$AF$17*基础经济系数!$C$5</f>
        <v>18</v>
      </c>
    </row>
    <row r="329" spans="2:11" x14ac:dyDescent="0.3">
      <c r="B329" s="285" t="s">
        <v>3831</v>
      </c>
      <c r="C329" s="285">
        <f>VLOOKUP(B329,$B$320:$D$325,3,FALSE)*基础经济系数!$AF$17*基础经济系数!$C$5</f>
        <v>5</v>
      </c>
    </row>
    <row r="330" spans="2:11" x14ac:dyDescent="0.3">
      <c r="B330" s="285" t="s">
        <v>3832</v>
      </c>
      <c r="C330" s="285">
        <f>VLOOKUP(B330,$B$320:$D$325,3,FALSE)*基础经济系数!$AF$17*基础经济系数!$C$5</f>
        <v>1.4000000000000001</v>
      </c>
    </row>
    <row r="331" spans="2:11" x14ac:dyDescent="0.3">
      <c r="B331" s="286"/>
      <c r="C331" s="286"/>
    </row>
    <row r="332" spans="2:11" x14ac:dyDescent="0.3">
      <c r="B332" s="108" t="s">
        <v>3725</v>
      </c>
      <c r="C332" s="286"/>
    </row>
    <row r="333" spans="2:11" x14ac:dyDescent="0.3">
      <c r="B333" s="44" t="s">
        <v>2952</v>
      </c>
      <c r="C333" s="44" t="s">
        <v>1817</v>
      </c>
      <c r="D333" s="44" t="s">
        <v>1818</v>
      </c>
      <c r="E333" s="44" t="s">
        <v>1819</v>
      </c>
      <c r="F333" s="44" t="s">
        <v>1820</v>
      </c>
    </row>
    <row r="334" spans="2:11" x14ac:dyDescent="0.3">
      <c r="B334" s="285">
        <v>2.99</v>
      </c>
      <c r="C334" s="285" t="s">
        <v>268</v>
      </c>
      <c r="D334" s="285">
        <v>12000</v>
      </c>
      <c r="E334" s="285" t="s">
        <v>3841</v>
      </c>
      <c r="F334" s="285">
        <v>1</v>
      </c>
    </row>
    <row r="335" spans="2:11" x14ac:dyDescent="0.3">
      <c r="B335" s="285">
        <v>19.989999999999998</v>
      </c>
      <c r="C335" s="285" t="s">
        <v>268</v>
      </c>
      <c r="D335" s="285">
        <v>100000</v>
      </c>
      <c r="E335" s="285" t="s">
        <v>3841</v>
      </c>
      <c r="F335" s="285">
        <v>8</v>
      </c>
    </row>
    <row r="336" spans="2:11" x14ac:dyDescent="0.3">
      <c r="B336" s="286"/>
      <c r="C336" s="286"/>
      <c r="D336" s="286"/>
      <c r="E336" s="286"/>
      <c r="F336" s="286"/>
    </row>
    <row r="337" spans="2:15" x14ac:dyDescent="0.3">
      <c r="B337" s="108" t="s">
        <v>2954</v>
      </c>
      <c r="C337" s="286"/>
      <c r="D337" s="286"/>
      <c r="E337" s="286"/>
      <c r="F337" s="286"/>
    </row>
    <row r="338" spans="2:15" x14ac:dyDescent="0.3">
      <c r="B338" s="44" t="s">
        <v>2955</v>
      </c>
      <c r="C338" s="44" t="s">
        <v>2956</v>
      </c>
      <c r="D338" s="44" t="s">
        <v>2949</v>
      </c>
      <c r="E338" s="285" t="s">
        <v>2950</v>
      </c>
      <c r="F338" s="44" t="s">
        <v>1818</v>
      </c>
      <c r="G338" s="44" t="s">
        <v>1820</v>
      </c>
      <c r="H338" s="44" t="s">
        <v>2822</v>
      </c>
      <c r="I338" s="44" t="s">
        <v>2957</v>
      </c>
      <c r="J338" s="113"/>
    </row>
    <row r="339" spans="2:15" x14ac:dyDescent="0.3">
      <c r="B339" s="285" t="s">
        <v>3862</v>
      </c>
      <c r="C339" s="285">
        <f>VLOOKUP(B339,道具ID!$L:$M,2,FALSE)</f>
        <v>240006</v>
      </c>
      <c r="D339" s="285">
        <v>180</v>
      </c>
      <c r="E339" s="110">
        <f>D339/SUM($D$339:$D$341)</f>
        <v>0.75</v>
      </c>
      <c r="F339" s="285">
        <v>3</v>
      </c>
      <c r="G339" s="285">
        <v>10</v>
      </c>
      <c r="H339" s="285">
        <v>2</v>
      </c>
      <c r="I339" s="285">
        <f>AVERAGE(F339:G339)*E339*H339</f>
        <v>9.75</v>
      </c>
      <c r="J339" s="286" t="str">
        <f t="shared" ref="J339:J341" si="48">C339&amp;","</f>
        <v>240006,</v>
      </c>
      <c r="K339" s="286" t="str">
        <f t="shared" ref="K339:K341" si="49">D339&amp;","</f>
        <v>180,</v>
      </c>
      <c r="L339" s="1" t="str">
        <f>"("&amp;F339&amp;","&amp;G339&amp;")"&amp;","</f>
        <v>(3,10),</v>
      </c>
      <c r="M339" s="1" t="str">
        <f>J339&amp;J340&amp;J341</f>
        <v>240006,240007,240008,</v>
      </c>
      <c r="N339" s="1" t="str">
        <f>K339&amp;K340&amp;K341</f>
        <v>180,50,10,</v>
      </c>
      <c r="O339" s="1" t="str">
        <f>L339&amp;L340&amp;L341</f>
        <v>(3,10),(3,10),(3,10),</v>
      </c>
    </row>
    <row r="340" spans="2:15" x14ac:dyDescent="0.3">
      <c r="B340" s="285" t="s">
        <v>3863</v>
      </c>
      <c r="C340" s="285">
        <f>VLOOKUP(B340,道具ID!$L:$M,2,FALSE)</f>
        <v>240007</v>
      </c>
      <c r="D340" s="285">
        <v>50</v>
      </c>
      <c r="E340" s="110">
        <f t="shared" ref="E340:E341" si="50">D340/SUM($D$339:$D$341)</f>
        <v>0.20833333333333334</v>
      </c>
      <c r="F340" s="285">
        <v>3</v>
      </c>
      <c r="G340" s="285">
        <v>10</v>
      </c>
      <c r="H340" s="285">
        <v>2</v>
      </c>
      <c r="I340" s="285">
        <f>AVERAGE(F340:G340)*E340*H340</f>
        <v>2.7083333333333335</v>
      </c>
      <c r="J340" s="286" t="str">
        <f t="shared" si="48"/>
        <v>240007,</v>
      </c>
      <c r="K340" s="286" t="str">
        <f t="shared" si="49"/>
        <v>50,</v>
      </c>
      <c r="L340" s="1" t="str">
        <f>"("&amp;F340&amp;","&amp;G340&amp;")"&amp;","</f>
        <v>(3,10),</v>
      </c>
      <c r="M340" s="114" t="str">
        <f>"["&amp;LEFT(M339,LEN(M339)-1)&amp;"]"</f>
        <v>[240006,240007,240008]</v>
      </c>
      <c r="N340" s="114" t="str">
        <f>"["&amp;LEFT(N339,LEN(N339)-1)&amp;"]"</f>
        <v>[180,50,10]</v>
      </c>
      <c r="O340" s="114" t="str">
        <f>"["&amp;LEFT(O339,LEN(O339)-1)&amp;"]"</f>
        <v>[(3,10),(3,10),(3,10)]</v>
      </c>
    </row>
    <row r="341" spans="2:15" x14ac:dyDescent="0.3">
      <c r="B341" s="285" t="s">
        <v>3864</v>
      </c>
      <c r="C341" s="285">
        <f>VLOOKUP(B341,道具ID!$L:$M,2,FALSE)</f>
        <v>240008</v>
      </c>
      <c r="D341" s="285">
        <v>10</v>
      </c>
      <c r="E341" s="110">
        <f t="shared" si="50"/>
        <v>4.1666666666666664E-2</v>
      </c>
      <c r="F341" s="285">
        <v>3</v>
      </c>
      <c r="G341" s="285">
        <v>10</v>
      </c>
      <c r="H341" s="285">
        <v>2</v>
      </c>
      <c r="I341" s="285">
        <f>AVERAGE(F341:G341)*E341*H341</f>
        <v>0.54166666666666663</v>
      </c>
      <c r="J341" s="286" t="str">
        <f t="shared" si="48"/>
        <v>240008,</v>
      </c>
      <c r="K341" s="286" t="str">
        <f t="shared" si="49"/>
        <v>10,</v>
      </c>
      <c r="L341" s="1" t="str">
        <f>"("&amp;F341&amp;","&amp;G341&amp;")"&amp;","</f>
        <v>(3,10),</v>
      </c>
    </row>
    <row r="342" spans="2:15" x14ac:dyDescent="0.3">
      <c r="B342" s="286"/>
      <c r="C342" s="286"/>
      <c r="D342" s="286"/>
      <c r="E342" s="286"/>
      <c r="F342" s="286"/>
    </row>
    <row r="343" spans="2:15" x14ac:dyDescent="0.3">
      <c r="B343" s="286" t="s">
        <v>2958</v>
      </c>
      <c r="C343" s="286">
        <f>(B335/F335)*(G305/I341)</f>
        <v>46.130769230769232</v>
      </c>
      <c r="D343" s="286">
        <f>(B335/F335)*(E305/I340)</f>
        <v>27.678461538461537</v>
      </c>
      <c r="E343" s="286">
        <f>(B335/F335)*(C305/I339)</f>
        <v>25.628205128205128</v>
      </c>
      <c r="F343" s="286"/>
    </row>
    <row r="344" spans="2:15" x14ac:dyDescent="0.3">
      <c r="B344" s="286"/>
      <c r="C344" s="286"/>
      <c r="D344" s="286"/>
      <c r="E344" s="286"/>
      <c r="F344" s="286"/>
    </row>
    <row r="345" spans="2:15" ht="15.75" x14ac:dyDescent="0.3">
      <c r="B345" s="35" t="s">
        <v>2959</v>
      </c>
    </row>
    <row r="346" spans="2:15" ht="15.75" x14ac:dyDescent="0.3">
      <c r="B346" s="35" t="s">
        <v>2960</v>
      </c>
    </row>
    <row r="347" spans="2:15" x14ac:dyDescent="0.3">
      <c r="B347" s="3" t="s">
        <v>268</v>
      </c>
      <c r="C347" s="285">
        <v>30</v>
      </c>
      <c r="D347" s="285">
        <f>VLOOKUP(B347,道具ID!L:M,2,FALSE)</f>
        <v>102</v>
      </c>
      <c r="F347" s="285" t="s">
        <v>268</v>
      </c>
      <c r="G347" s="285">
        <f>SUMIFS($C$225:$C$236,$B$225:$B$236,F347)*3</f>
        <v>720</v>
      </c>
      <c r="I347" s="1" t="str">
        <f>"[("&amp;D347&amp;","&amp;C347&amp;")]"</f>
        <v>[(102,30)]</v>
      </c>
    </row>
    <row r="348" spans="2:15" x14ac:dyDescent="0.3">
      <c r="B348" s="3" t="s">
        <v>273</v>
      </c>
      <c r="C348" s="285">
        <v>5</v>
      </c>
      <c r="D348" s="285">
        <f>VLOOKUP(B348,道具ID!L:M,2,FALSE)</f>
        <v>105</v>
      </c>
      <c r="F348" s="285" t="s">
        <v>273</v>
      </c>
      <c r="G348" s="285">
        <f>SUMIFS($C$225:$C$236,$B$225:$B$236,F348)*3</f>
        <v>45</v>
      </c>
      <c r="I348" s="1" t="str">
        <f t="shared" ref="I348:I358" si="51">"[("&amp;D348&amp;","&amp;C348&amp;")]"</f>
        <v>[(105,5)]</v>
      </c>
    </row>
    <row r="349" spans="2:15" x14ac:dyDescent="0.3">
      <c r="B349" s="3" t="s">
        <v>268</v>
      </c>
      <c r="C349" s="285">
        <v>50</v>
      </c>
      <c r="D349" s="285">
        <f>VLOOKUP(B349,道具ID!L:M,2,FALSE)</f>
        <v>102</v>
      </c>
      <c r="F349" s="285" t="s">
        <v>511</v>
      </c>
      <c r="G349" s="285">
        <f>SUMIFS($C$225:$C$236,$B$225:$B$236,F349)*3</f>
        <v>45</v>
      </c>
      <c r="I349" s="1" t="str">
        <f t="shared" si="51"/>
        <v>[(102,50)]</v>
      </c>
    </row>
    <row r="350" spans="2:15" x14ac:dyDescent="0.3">
      <c r="B350" s="3" t="s">
        <v>511</v>
      </c>
      <c r="C350" s="285">
        <v>5</v>
      </c>
      <c r="D350" s="285">
        <f>VLOOKUP(B350,道具ID!L:M,2,FALSE)</f>
        <v>111</v>
      </c>
      <c r="I350" s="1" t="str">
        <f t="shared" si="51"/>
        <v>[(111,5)]</v>
      </c>
    </row>
    <row r="351" spans="2:15" x14ac:dyDescent="0.3">
      <c r="B351" s="3" t="s">
        <v>268</v>
      </c>
      <c r="C351" s="285">
        <v>30</v>
      </c>
      <c r="D351" s="285">
        <f>VLOOKUP(B351,道具ID!L:M,2,FALSE)</f>
        <v>102</v>
      </c>
      <c r="I351" s="1" t="str">
        <f t="shared" si="51"/>
        <v>[(102,30)]</v>
      </c>
    </row>
    <row r="352" spans="2:15" x14ac:dyDescent="0.3">
      <c r="B352" s="3" t="s">
        <v>273</v>
      </c>
      <c r="C352" s="285">
        <v>5</v>
      </c>
      <c r="D352" s="285">
        <f>VLOOKUP(B352,道具ID!L:M,2,FALSE)</f>
        <v>105</v>
      </c>
      <c r="I352" s="1" t="str">
        <f t="shared" si="51"/>
        <v>[(105,5)]</v>
      </c>
    </row>
    <row r="353" spans="2:9" x14ac:dyDescent="0.3">
      <c r="B353" s="3" t="s">
        <v>268</v>
      </c>
      <c r="C353" s="285">
        <v>50</v>
      </c>
      <c r="D353" s="285">
        <f>VLOOKUP(B353,道具ID!L:M,2,FALSE)</f>
        <v>102</v>
      </c>
      <c r="I353" s="1" t="str">
        <f t="shared" si="51"/>
        <v>[(102,50)]</v>
      </c>
    </row>
    <row r="354" spans="2:9" x14ac:dyDescent="0.3">
      <c r="B354" s="3" t="s">
        <v>511</v>
      </c>
      <c r="C354" s="285">
        <v>5</v>
      </c>
      <c r="D354" s="285">
        <f>VLOOKUP(B354,道具ID!L:M,2,FALSE)</f>
        <v>111</v>
      </c>
      <c r="I354" s="1" t="str">
        <f t="shared" si="51"/>
        <v>[(111,5)]</v>
      </c>
    </row>
    <row r="355" spans="2:9" x14ac:dyDescent="0.3">
      <c r="B355" s="3" t="s">
        <v>268</v>
      </c>
      <c r="C355" s="285">
        <v>30</v>
      </c>
      <c r="D355" s="285">
        <f>VLOOKUP(B355,道具ID!L:M,2,FALSE)</f>
        <v>102</v>
      </c>
      <c r="I355" s="1" t="str">
        <f t="shared" si="51"/>
        <v>[(102,30)]</v>
      </c>
    </row>
    <row r="356" spans="2:9" x14ac:dyDescent="0.3">
      <c r="B356" s="3" t="s">
        <v>273</v>
      </c>
      <c r="C356" s="285">
        <v>5</v>
      </c>
      <c r="D356" s="285">
        <f>VLOOKUP(B356,道具ID!L:M,2,FALSE)</f>
        <v>105</v>
      </c>
      <c r="I356" s="1" t="str">
        <f t="shared" si="51"/>
        <v>[(105,5)]</v>
      </c>
    </row>
    <row r="357" spans="2:9" x14ac:dyDescent="0.3">
      <c r="B357" s="3" t="s">
        <v>268</v>
      </c>
      <c r="C357" s="285">
        <v>50</v>
      </c>
      <c r="D357" s="285">
        <f>VLOOKUP(B357,道具ID!L:M,2,FALSE)</f>
        <v>102</v>
      </c>
      <c r="I357" s="1" t="str">
        <f t="shared" si="51"/>
        <v>[(102,50)]</v>
      </c>
    </row>
    <row r="358" spans="2:9" x14ac:dyDescent="0.3">
      <c r="B358" s="3" t="s">
        <v>511</v>
      </c>
      <c r="C358" s="285">
        <v>5</v>
      </c>
      <c r="D358" s="285">
        <f>VLOOKUP(B358,道具ID!L:M,2,FALSE)</f>
        <v>111</v>
      </c>
      <c r="I358" s="1" t="str">
        <f t="shared" si="51"/>
        <v>[(111,5)]</v>
      </c>
    </row>
    <row r="359" spans="2:9" ht="15.75" x14ac:dyDescent="0.3">
      <c r="B359" s="35"/>
    </row>
    <row r="360" spans="2:9" ht="15.75" x14ac:dyDescent="0.3">
      <c r="B360" s="35" t="s">
        <v>2961</v>
      </c>
    </row>
    <row r="361" spans="2:9" x14ac:dyDescent="0.3">
      <c r="B361" s="43" t="s">
        <v>716</v>
      </c>
      <c r="C361" s="44" t="s">
        <v>570</v>
      </c>
      <c r="D361" s="44" t="s">
        <v>569</v>
      </c>
    </row>
    <row r="362" spans="2:9" x14ac:dyDescent="0.3">
      <c r="B362" s="3" t="s">
        <v>268</v>
      </c>
      <c r="C362" s="285">
        <v>500</v>
      </c>
      <c r="D362" s="285">
        <f>VLOOKUP(B362,道具ID!L:M,2,FALSE)</f>
        <v>102</v>
      </c>
      <c r="E362" s="1" t="str">
        <f>"[("&amp;D362&amp;","&amp;C362&amp;")]"</f>
        <v>[(102,500)]</v>
      </c>
    </row>
    <row r="363" spans="2:9" x14ac:dyDescent="0.3">
      <c r="B363" s="3" t="s">
        <v>3842</v>
      </c>
      <c r="C363" s="285">
        <v>1</v>
      </c>
      <c r="D363" s="285">
        <f>VLOOKUP(B363,道具ID!L:M,2,FALSE)</f>
        <v>92001</v>
      </c>
      <c r="E363" s="1" t="str">
        <f t="shared" ref="E363:E365" si="52">"[("&amp;D363&amp;","&amp;C363&amp;")]"</f>
        <v>[(92001,1)]</v>
      </c>
    </row>
    <row r="364" spans="2:9" x14ac:dyDescent="0.3">
      <c r="B364" s="3" t="s">
        <v>1897</v>
      </c>
      <c r="C364" s="285">
        <v>3</v>
      </c>
      <c r="D364" s="285">
        <f>VLOOKUP(B364,道具ID!L:M,2,FALSE)</f>
        <v>51331</v>
      </c>
      <c r="E364" s="1" t="str">
        <f t="shared" si="52"/>
        <v>[(51331,3)]</v>
      </c>
    </row>
    <row r="365" spans="2:9" x14ac:dyDescent="0.3">
      <c r="B365" s="3" t="s">
        <v>3821</v>
      </c>
      <c r="C365" s="285">
        <v>1</v>
      </c>
      <c r="D365" s="285">
        <f>VLOOKUP(B365,道具ID!L:M,2,FALSE)</f>
        <v>180036</v>
      </c>
      <c r="E365" s="1" t="str">
        <f t="shared" si="52"/>
        <v>[(180036,1)]</v>
      </c>
    </row>
    <row r="368" spans="2:9" ht="15.75" x14ac:dyDescent="0.3">
      <c r="B368" s="35" t="s">
        <v>2962</v>
      </c>
    </row>
    <row r="369" spans="2:16" ht="16.5" x14ac:dyDescent="0.35">
      <c r="B369" s="104" t="s">
        <v>2963</v>
      </c>
      <c r="C369" s="285">
        <v>100</v>
      </c>
    </row>
    <row r="370" spans="2:16" ht="15.75" x14ac:dyDescent="0.3">
      <c r="B370" s="35"/>
    </row>
    <row r="371" spans="2:16" x14ac:dyDescent="0.3">
      <c r="B371" s="107" t="s">
        <v>2964</v>
      </c>
      <c r="J371" s="107" t="s">
        <v>2965</v>
      </c>
    </row>
    <row r="372" spans="2:16" x14ac:dyDescent="0.3">
      <c r="B372" s="44" t="s">
        <v>2948</v>
      </c>
      <c r="C372" s="44" t="s">
        <v>2949</v>
      </c>
      <c r="D372" s="44" t="s">
        <v>570</v>
      </c>
      <c r="E372" s="44" t="s">
        <v>2950</v>
      </c>
      <c r="F372" s="44" t="s">
        <v>3848</v>
      </c>
      <c r="G372" s="285" t="s">
        <v>2966</v>
      </c>
      <c r="H372" s="44" t="s">
        <v>725</v>
      </c>
      <c r="J372" s="44" t="s">
        <v>2948</v>
      </c>
      <c r="K372" s="44" t="s">
        <v>2949</v>
      </c>
      <c r="L372" s="44" t="s">
        <v>570</v>
      </c>
      <c r="M372" s="44" t="s">
        <v>2950</v>
      </c>
      <c r="N372" s="44" t="s">
        <v>2825</v>
      </c>
      <c r="O372" s="285" t="s">
        <v>2966</v>
      </c>
      <c r="P372" s="44" t="s">
        <v>725</v>
      </c>
    </row>
    <row r="373" spans="2:16" x14ac:dyDescent="0.3">
      <c r="B373" s="285" t="s">
        <v>613</v>
      </c>
      <c r="C373" s="285">
        <v>6</v>
      </c>
      <c r="D373" s="285">
        <v>1</v>
      </c>
      <c r="E373" s="110">
        <f t="shared" ref="E373:E384" si="53">C373/SUM($C$251:$C$262)</f>
        <v>7.5187969924812026E-3</v>
      </c>
      <c r="F373" s="285">
        <v>1500</v>
      </c>
      <c r="G373" s="31">
        <f>D373*E373*F373</f>
        <v>11.278195488721805</v>
      </c>
      <c r="H373" s="285">
        <v>5</v>
      </c>
      <c r="I373" s="1">
        <f>VLOOKUP(B373,道具ID!$L:$M,2,FALSE)</f>
        <v>11331</v>
      </c>
      <c r="J373" s="285" t="s">
        <v>613</v>
      </c>
      <c r="K373" s="285">
        <v>6</v>
      </c>
      <c r="L373" s="285">
        <v>1</v>
      </c>
      <c r="M373" s="110">
        <f t="shared" ref="M373:M384" si="54">K373/SUM($C$251:$C$262)</f>
        <v>7.5187969924812026E-3</v>
      </c>
      <c r="N373" s="285">
        <v>1500</v>
      </c>
      <c r="O373" s="31">
        <f>L373*M373*N373</f>
        <v>11.278195488721805</v>
      </c>
      <c r="P373" s="285">
        <v>5</v>
      </c>
    </row>
    <row r="374" spans="2:16" x14ac:dyDescent="0.3">
      <c r="B374" s="285" t="s">
        <v>3843</v>
      </c>
      <c r="C374" s="285">
        <v>200</v>
      </c>
      <c r="D374" s="285">
        <v>300</v>
      </c>
      <c r="E374" s="110">
        <f t="shared" si="53"/>
        <v>0.25062656641604009</v>
      </c>
      <c r="F374" s="285">
        <v>2.2200000000000001E-2</v>
      </c>
      <c r="G374" s="31">
        <f t="shared" ref="G374:G384" si="55">D374*E374*F374</f>
        <v>1.6691729323308271</v>
      </c>
      <c r="H374" s="285">
        <v>2</v>
      </c>
      <c r="I374" s="1">
        <f>VLOOKUP(B374,道具ID!$L:$M,2,FALSE)</f>
        <v>102</v>
      </c>
      <c r="J374" s="285" t="s">
        <v>3843</v>
      </c>
      <c r="K374" s="285">
        <v>200</v>
      </c>
      <c r="L374" s="285">
        <v>300</v>
      </c>
      <c r="M374" s="110">
        <f t="shared" si="54"/>
        <v>0.25062656641604009</v>
      </c>
      <c r="N374" s="285">
        <v>2.2200000000000001E-2</v>
      </c>
      <c r="O374" s="31">
        <f t="shared" ref="O374:O384" si="56">L374*M374*N374</f>
        <v>1.6691729323308271</v>
      </c>
      <c r="P374" s="285">
        <v>2</v>
      </c>
    </row>
    <row r="375" spans="2:16" x14ac:dyDescent="0.3">
      <c r="B375" s="285" t="s">
        <v>2758</v>
      </c>
      <c r="C375" s="285">
        <v>50</v>
      </c>
      <c r="D375" s="285">
        <v>1</v>
      </c>
      <c r="E375" s="110">
        <f t="shared" si="53"/>
        <v>6.2656641604010022E-2</v>
      </c>
      <c r="F375" s="285">
        <v>200</v>
      </c>
      <c r="G375" s="31">
        <f t="shared" si="55"/>
        <v>12.531328320802004</v>
      </c>
      <c r="H375" s="285">
        <v>4</v>
      </c>
      <c r="I375" s="1">
        <f>VLOOKUP(B375,道具ID!$L:$M,2,FALSE)</f>
        <v>40004</v>
      </c>
      <c r="J375" s="285" t="s">
        <v>2758</v>
      </c>
      <c r="K375" s="285">
        <v>50</v>
      </c>
      <c r="L375" s="285">
        <v>1</v>
      </c>
      <c r="M375" s="110">
        <f t="shared" si="54"/>
        <v>6.2656641604010022E-2</v>
      </c>
      <c r="N375" s="285">
        <v>200</v>
      </c>
      <c r="O375" s="31">
        <f t="shared" si="56"/>
        <v>12.531328320802004</v>
      </c>
      <c r="P375" s="285">
        <v>4</v>
      </c>
    </row>
    <row r="376" spans="2:16" x14ac:dyDescent="0.3">
      <c r="B376" s="285" t="s">
        <v>3843</v>
      </c>
      <c r="C376" s="285">
        <v>150</v>
      </c>
      <c r="D376" s="285">
        <v>1000</v>
      </c>
      <c r="E376" s="110">
        <f t="shared" si="53"/>
        <v>0.18796992481203006</v>
      </c>
      <c r="F376" s="285">
        <v>2.2200000000000001E-2</v>
      </c>
      <c r="G376" s="31">
        <f t="shared" si="55"/>
        <v>4.1729323308270674</v>
      </c>
      <c r="H376" s="285">
        <v>3</v>
      </c>
      <c r="I376" s="1">
        <f>VLOOKUP(B376,道具ID!$L:$M,2,FALSE)</f>
        <v>102</v>
      </c>
      <c r="J376" s="285" t="s">
        <v>3843</v>
      </c>
      <c r="K376" s="285">
        <v>150</v>
      </c>
      <c r="L376" s="285">
        <v>1000</v>
      </c>
      <c r="M376" s="110">
        <f t="shared" si="54"/>
        <v>0.18796992481203006</v>
      </c>
      <c r="N376" s="285">
        <v>2.2200000000000001E-2</v>
      </c>
      <c r="O376" s="31">
        <f t="shared" si="56"/>
        <v>4.1729323308270674</v>
      </c>
      <c r="P376" s="285">
        <v>3</v>
      </c>
    </row>
    <row r="377" spans="2:16" x14ac:dyDescent="0.3">
      <c r="B377" s="285" t="s">
        <v>3847</v>
      </c>
      <c r="C377" s="285">
        <v>120</v>
      </c>
      <c r="D377" s="285">
        <v>1</v>
      </c>
      <c r="E377" s="110">
        <f t="shared" si="53"/>
        <v>0.15037593984962405</v>
      </c>
      <c r="F377" s="285">
        <v>60</v>
      </c>
      <c r="G377" s="31">
        <f t="shared" si="55"/>
        <v>9.0225563909774422</v>
      </c>
      <c r="H377" s="285">
        <v>2</v>
      </c>
      <c r="I377" s="1">
        <f>VLOOKUP(B377,道具ID!$L:$M,2,FALSE)</f>
        <v>92002</v>
      </c>
      <c r="J377" s="285" t="s">
        <v>3847</v>
      </c>
      <c r="K377" s="285">
        <v>120</v>
      </c>
      <c r="L377" s="285">
        <v>1</v>
      </c>
      <c r="M377" s="110">
        <f t="shared" si="54"/>
        <v>0.15037593984962405</v>
      </c>
      <c r="N377" s="285">
        <v>60</v>
      </c>
      <c r="O377" s="31">
        <f t="shared" si="56"/>
        <v>9.0225563909774422</v>
      </c>
      <c r="P377" s="285">
        <v>2</v>
      </c>
    </row>
    <row r="378" spans="2:16" x14ac:dyDescent="0.3">
      <c r="B378" s="285" t="s">
        <v>3842</v>
      </c>
      <c r="C378" s="285">
        <v>120</v>
      </c>
      <c r="D378" s="285">
        <v>1</v>
      </c>
      <c r="E378" s="110">
        <f t="shared" si="53"/>
        <v>0.15037593984962405</v>
      </c>
      <c r="F378" s="285">
        <v>60</v>
      </c>
      <c r="G378" s="31">
        <f t="shared" si="55"/>
        <v>9.0225563909774422</v>
      </c>
      <c r="H378" s="285">
        <v>2</v>
      </c>
      <c r="I378" s="1">
        <f>VLOOKUP(B378,道具ID!$L:$M,2,FALSE)</f>
        <v>92001</v>
      </c>
      <c r="J378" s="285" t="s">
        <v>3842</v>
      </c>
      <c r="K378" s="285">
        <v>120</v>
      </c>
      <c r="L378" s="285">
        <v>1</v>
      </c>
      <c r="M378" s="110">
        <f t="shared" si="54"/>
        <v>0.15037593984962405</v>
      </c>
      <c r="N378" s="285">
        <v>60</v>
      </c>
      <c r="O378" s="31">
        <f t="shared" si="56"/>
        <v>9.0225563909774422</v>
      </c>
      <c r="P378" s="285">
        <v>2</v>
      </c>
    </row>
    <row r="379" spans="2:16" x14ac:dyDescent="0.3">
      <c r="B379" s="285" t="s">
        <v>2967</v>
      </c>
      <c r="C379" s="285">
        <v>120</v>
      </c>
      <c r="D379" s="285">
        <v>1</v>
      </c>
      <c r="E379" s="110">
        <f t="shared" si="53"/>
        <v>0.15037593984962405</v>
      </c>
      <c r="F379" s="285">
        <v>60</v>
      </c>
      <c r="G379" s="31">
        <f t="shared" si="55"/>
        <v>9.0225563909774422</v>
      </c>
      <c r="H379" s="285">
        <v>2</v>
      </c>
      <c r="I379" s="1">
        <f>VLOOKUP(B379,道具ID!$L:$M,2,FALSE)</f>
        <v>92003</v>
      </c>
      <c r="J379" s="285" t="s">
        <v>2967</v>
      </c>
      <c r="K379" s="285">
        <v>120</v>
      </c>
      <c r="L379" s="285">
        <v>1</v>
      </c>
      <c r="M379" s="110">
        <f t="shared" si="54"/>
        <v>0.15037593984962405</v>
      </c>
      <c r="N379" s="285">
        <v>60</v>
      </c>
      <c r="O379" s="31">
        <f t="shared" si="56"/>
        <v>9.0225563909774422</v>
      </c>
      <c r="P379" s="285">
        <v>2</v>
      </c>
    </row>
    <row r="380" spans="2:16" x14ac:dyDescent="0.3">
      <c r="B380" s="285" t="s">
        <v>472</v>
      </c>
      <c r="C380" s="285">
        <v>80</v>
      </c>
      <c r="D380" s="285">
        <v>1</v>
      </c>
      <c r="E380" s="110">
        <f t="shared" si="53"/>
        <v>0.10025062656641603</v>
      </c>
      <c r="F380" s="285">
        <v>120</v>
      </c>
      <c r="G380" s="31">
        <f t="shared" si="55"/>
        <v>12.030075187969924</v>
      </c>
      <c r="H380" s="285">
        <v>3</v>
      </c>
      <c r="I380" s="1">
        <f>VLOOKUP(B380,道具ID!$L:$M,2,FALSE)</f>
        <v>93002</v>
      </c>
      <c r="J380" s="285" t="s">
        <v>472</v>
      </c>
      <c r="K380" s="285">
        <v>80</v>
      </c>
      <c r="L380" s="285">
        <v>1</v>
      </c>
      <c r="M380" s="110">
        <f t="shared" si="54"/>
        <v>0.10025062656641603</v>
      </c>
      <c r="N380" s="285">
        <v>120</v>
      </c>
      <c r="O380" s="31">
        <f t="shared" si="56"/>
        <v>12.030075187969924</v>
      </c>
      <c r="P380" s="285">
        <v>3</v>
      </c>
    </row>
    <row r="381" spans="2:16" x14ac:dyDescent="0.3">
      <c r="B381" s="285" t="s">
        <v>273</v>
      </c>
      <c r="C381" s="285">
        <v>100</v>
      </c>
      <c r="D381" s="285">
        <v>20</v>
      </c>
      <c r="E381" s="110">
        <f t="shared" si="53"/>
        <v>0.12531328320802004</v>
      </c>
      <c r="F381" s="285">
        <v>1.25</v>
      </c>
      <c r="G381" s="31">
        <f t="shared" si="55"/>
        <v>3.132832080200501</v>
      </c>
      <c r="H381" s="285">
        <v>2</v>
      </c>
      <c r="I381" s="1">
        <f>VLOOKUP(B381,道具ID!$L:$M,2,FALSE)</f>
        <v>105</v>
      </c>
      <c r="J381" s="285" t="s">
        <v>273</v>
      </c>
      <c r="K381" s="285">
        <v>100</v>
      </c>
      <c r="L381" s="285">
        <v>20</v>
      </c>
      <c r="M381" s="110">
        <f t="shared" si="54"/>
        <v>0.12531328320802004</v>
      </c>
      <c r="N381" s="285">
        <v>1.25</v>
      </c>
      <c r="O381" s="31">
        <f t="shared" si="56"/>
        <v>3.132832080200501</v>
      </c>
      <c r="P381" s="285">
        <v>2</v>
      </c>
    </row>
    <row r="382" spans="2:16" x14ac:dyDescent="0.3">
      <c r="B382" s="285" t="s">
        <v>464</v>
      </c>
      <c r="C382" s="285">
        <v>80</v>
      </c>
      <c r="D382" s="285">
        <v>1</v>
      </c>
      <c r="E382" s="110">
        <f t="shared" si="53"/>
        <v>0.10025062656641603</v>
      </c>
      <c r="F382" s="285">
        <v>120</v>
      </c>
      <c r="G382" s="31">
        <f t="shared" si="55"/>
        <v>12.030075187969924</v>
      </c>
      <c r="H382" s="285">
        <v>3</v>
      </c>
      <c r="I382" s="1">
        <f>VLOOKUP(B382,道具ID!$L:$M,2,FALSE)</f>
        <v>93003</v>
      </c>
      <c r="J382" s="285" t="s">
        <v>464</v>
      </c>
      <c r="K382" s="285">
        <v>80</v>
      </c>
      <c r="L382" s="285">
        <v>1</v>
      </c>
      <c r="M382" s="110">
        <f t="shared" si="54"/>
        <v>0.10025062656641603</v>
      </c>
      <c r="N382" s="285">
        <v>120</v>
      </c>
      <c r="O382" s="31">
        <f t="shared" si="56"/>
        <v>12.030075187969924</v>
      </c>
      <c r="P382" s="285">
        <v>3</v>
      </c>
    </row>
    <row r="383" spans="2:16" x14ac:dyDescent="0.3">
      <c r="B383" s="285" t="s">
        <v>4217</v>
      </c>
      <c r="C383" s="285">
        <v>20</v>
      </c>
      <c r="D383" s="285">
        <v>1</v>
      </c>
      <c r="E383" s="110">
        <f t="shared" si="53"/>
        <v>2.5062656641604009E-2</v>
      </c>
      <c r="F383" s="285">
        <v>35</v>
      </c>
      <c r="G383" s="31">
        <f t="shared" si="55"/>
        <v>0.8771929824561403</v>
      </c>
      <c r="H383" s="285">
        <v>3</v>
      </c>
      <c r="I383" s="1">
        <f>VLOOKUP(B383,道具ID!$L:$M,2,FALSE)</f>
        <v>100202</v>
      </c>
      <c r="J383" s="285" t="s">
        <v>4217</v>
      </c>
      <c r="K383" s="285">
        <v>20</v>
      </c>
      <c r="L383" s="285">
        <v>1</v>
      </c>
      <c r="M383" s="110">
        <f t="shared" si="54"/>
        <v>2.5062656641604009E-2</v>
      </c>
      <c r="N383" s="285">
        <v>35</v>
      </c>
      <c r="O383" s="31">
        <f t="shared" si="56"/>
        <v>0.8771929824561403</v>
      </c>
      <c r="P383" s="285">
        <v>3</v>
      </c>
    </row>
    <row r="384" spans="2:16" x14ac:dyDescent="0.3">
      <c r="B384" s="285" t="s">
        <v>1897</v>
      </c>
      <c r="C384" s="285">
        <v>60</v>
      </c>
      <c r="D384" s="285">
        <v>1</v>
      </c>
      <c r="E384" s="110">
        <f t="shared" si="53"/>
        <v>7.5187969924812026E-2</v>
      </c>
      <c r="F384" s="285">
        <v>65</v>
      </c>
      <c r="G384" s="31">
        <f t="shared" si="55"/>
        <v>4.8872180451127818</v>
      </c>
      <c r="H384" s="285">
        <v>4</v>
      </c>
      <c r="I384" s="1">
        <f>VLOOKUP(B384,道具ID!$L:$M,2,FALSE)</f>
        <v>51331</v>
      </c>
      <c r="J384" s="285" t="s">
        <v>1897</v>
      </c>
      <c r="K384" s="285">
        <v>60</v>
      </c>
      <c r="L384" s="285">
        <v>1</v>
      </c>
      <c r="M384" s="110">
        <f t="shared" si="54"/>
        <v>7.5187969924812026E-2</v>
      </c>
      <c r="N384" s="285">
        <v>65</v>
      </c>
      <c r="O384" s="31">
        <f t="shared" si="56"/>
        <v>4.8872180451127818</v>
      </c>
      <c r="P384" s="285">
        <v>4</v>
      </c>
    </row>
    <row r="385" spans="2:15" x14ac:dyDescent="0.3">
      <c r="G385" s="115">
        <f>SUM(G373:G384)</f>
        <v>89.676691729323295</v>
      </c>
      <c r="O385" s="115">
        <f>SUM(O373:O384)</f>
        <v>89.676691729323295</v>
      </c>
    </row>
    <row r="386" spans="2:15" x14ac:dyDescent="0.3">
      <c r="B386" s="1" t="s">
        <v>2969</v>
      </c>
    </row>
    <row r="387" spans="2:15" x14ac:dyDescent="0.3">
      <c r="B387" s="285" t="s">
        <v>2970</v>
      </c>
      <c r="C387" s="285" t="s">
        <v>1817</v>
      </c>
      <c r="D387" s="285" t="s">
        <v>1818</v>
      </c>
      <c r="E387" s="285" t="s">
        <v>1819</v>
      </c>
      <c r="F387" s="285" t="s">
        <v>1820</v>
      </c>
      <c r="G387" s="285" t="s">
        <v>2971</v>
      </c>
      <c r="H387" s="285" t="s">
        <v>2972</v>
      </c>
    </row>
    <row r="388" spans="2:15" x14ac:dyDescent="0.3">
      <c r="B388" s="285">
        <v>1</v>
      </c>
      <c r="C388" s="285" t="s">
        <v>268</v>
      </c>
      <c r="D388" s="285">
        <v>2000</v>
      </c>
      <c r="E388" s="285"/>
      <c r="F388" s="285"/>
      <c r="G388" s="285">
        <v>3</v>
      </c>
      <c r="H388" s="285">
        <f>G388*$C$247</f>
        <v>300</v>
      </c>
    </row>
    <row r="389" spans="2:15" x14ac:dyDescent="0.3">
      <c r="B389" s="285">
        <v>2</v>
      </c>
      <c r="C389" s="285" t="s">
        <v>268</v>
      </c>
      <c r="D389" s="285">
        <v>5000</v>
      </c>
      <c r="E389" s="285"/>
      <c r="F389" s="285"/>
      <c r="G389" s="285">
        <v>10</v>
      </c>
      <c r="H389" s="285">
        <f>G389*$C$247</f>
        <v>1000</v>
      </c>
    </row>
    <row r="390" spans="2:15" x14ac:dyDescent="0.3">
      <c r="B390" s="285">
        <v>3</v>
      </c>
      <c r="C390" s="285" t="s">
        <v>463</v>
      </c>
      <c r="D390" s="285">
        <v>1</v>
      </c>
      <c r="E390" s="285"/>
      <c r="F390" s="285"/>
      <c r="G390" s="285">
        <v>30</v>
      </c>
      <c r="H390" s="285">
        <f>G390*$C$247</f>
        <v>3000</v>
      </c>
    </row>
    <row r="391" spans="2:15" x14ac:dyDescent="0.3">
      <c r="B391" s="285">
        <v>4</v>
      </c>
      <c r="C391" s="285" t="s">
        <v>3844</v>
      </c>
      <c r="D391" s="285">
        <v>1</v>
      </c>
      <c r="E391" s="285" t="s">
        <v>3846</v>
      </c>
      <c r="F391" s="285">
        <v>1</v>
      </c>
      <c r="G391" s="285">
        <v>60</v>
      </c>
      <c r="H391" s="285">
        <f>G391*$C$247</f>
        <v>6000</v>
      </c>
    </row>
    <row r="392" spans="2:15" x14ac:dyDescent="0.3">
      <c r="B392" s="285">
        <v>5</v>
      </c>
      <c r="C392" s="285" t="s">
        <v>3845</v>
      </c>
      <c r="D392" s="285">
        <v>1</v>
      </c>
      <c r="E392" s="285" t="s">
        <v>3825</v>
      </c>
      <c r="F392" s="285">
        <v>1</v>
      </c>
      <c r="G392" s="285">
        <v>100</v>
      </c>
      <c r="H392" s="285">
        <f>G392*$C$247</f>
        <v>10000</v>
      </c>
    </row>
    <row r="394" spans="2:15" x14ac:dyDescent="0.3">
      <c r="C394" s="1">
        <f>IF(C388="","",VLOOKUP(C388,道具ID!$L:$M,2,FALSE))</f>
        <v>102</v>
      </c>
      <c r="D394" s="1">
        <f>D388</f>
        <v>2000</v>
      </c>
      <c r="E394" s="1" t="str">
        <f>IF(E388="","",VLOOKUP(E388,道具ID!$L:$M,2,FALSE))</f>
        <v/>
      </c>
      <c r="I394" s="1" t="str">
        <f>IF(C394="","","("&amp;C394&amp;","&amp;D394&amp;")")</f>
        <v>(102,2000)</v>
      </c>
      <c r="K394" s="1" t="str">
        <f>IF(E394="","","("&amp;E394&amp;","&amp;F394&amp;")")</f>
        <v/>
      </c>
      <c r="L394" s="1" t="str">
        <f>IF(K394="","["&amp;I394&amp;"]","["&amp;I394&amp;","&amp;K394&amp;"]")</f>
        <v>[(102,2000)]</v>
      </c>
      <c r="M394" s="1" t="str">
        <f>IF(E394="","["&amp;C394&amp;"]","["&amp;C394&amp;","&amp;E394&amp;"]")</f>
        <v>[102]</v>
      </c>
      <c r="N394" s="1" t="str">
        <f>IF(F394="","["&amp;D394&amp;"]","["&amp;D394&amp;","&amp;F394&amp;"]")</f>
        <v>[2000]</v>
      </c>
    </row>
    <row r="395" spans="2:15" x14ac:dyDescent="0.3">
      <c r="C395" s="1">
        <f>IF(C389="","",VLOOKUP(C389,道具ID!$L:$M,2,FALSE))</f>
        <v>102</v>
      </c>
      <c r="D395" s="1">
        <f t="shared" ref="D395" si="57">D389</f>
        <v>5000</v>
      </c>
      <c r="E395" s="1" t="str">
        <f>IF(E389="","",VLOOKUP(E389,道具ID!$L:$M,2,FALSE))</f>
        <v/>
      </c>
      <c r="F395" s="1">
        <f t="shared" ref="F395" si="58">F389</f>
        <v>0</v>
      </c>
      <c r="I395" s="1" t="str">
        <f t="shared" ref="I395:I398" si="59">IF(C395="","","("&amp;C395&amp;","&amp;D395&amp;")")</f>
        <v>(102,5000)</v>
      </c>
      <c r="K395" s="1" t="str">
        <f t="shared" ref="K395:K398" si="60">IF(E395="","","("&amp;E395&amp;","&amp;F395&amp;")")</f>
        <v/>
      </c>
      <c r="L395" s="1" t="str">
        <f>IF(K395="","["&amp;I395&amp;"]","["&amp;I395&amp;","&amp;K395&amp;"]")</f>
        <v>[(102,5000)]</v>
      </c>
      <c r="M395" s="1" t="str">
        <f t="shared" ref="M395:M398" si="61">IF(E395="","["&amp;C395&amp;"]","["&amp;C395&amp;","&amp;E395&amp;"]")</f>
        <v>[102]</v>
      </c>
      <c r="N395" s="1" t="str">
        <f t="shared" ref="N395:N398" si="62">IF(F395="","["&amp;D395&amp;"]","["&amp;D395&amp;","&amp;F395&amp;"]")</f>
        <v>[5000,0]</v>
      </c>
    </row>
    <row r="396" spans="2:15" x14ac:dyDescent="0.3">
      <c r="C396" s="1">
        <f>IF(C390="","",VLOOKUP(C390,道具ID!$L:$M,2,FALSE))</f>
        <v>93001</v>
      </c>
      <c r="D396" s="1">
        <f t="shared" ref="D396" si="63">D390</f>
        <v>1</v>
      </c>
      <c r="E396" s="1" t="str">
        <f>IF(E390="","",VLOOKUP(E390,道具ID!$L:$M,2,FALSE))</f>
        <v/>
      </c>
      <c r="F396" s="1">
        <f t="shared" ref="F396" si="64">F390</f>
        <v>0</v>
      </c>
      <c r="I396" s="1" t="str">
        <f t="shared" si="59"/>
        <v>(93001,1)</v>
      </c>
      <c r="K396" s="1" t="str">
        <f t="shared" si="60"/>
        <v/>
      </c>
      <c r="L396" s="1" t="str">
        <f>IF(K396="","["&amp;I396&amp;"]","["&amp;I396&amp;","&amp;K396&amp;"]")</f>
        <v>[(93001,1)]</v>
      </c>
      <c r="M396" s="1" t="str">
        <f t="shared" si="61"/>
        <v>[93001]</v>
      </c>
      <c r="N396" s="1" t="str">
        <f t="shared" si="62"/>
        <v>[1,0]</v>
      </c>
    </row>
    <row r="397" spans="2:15" x14ac:dyDescent="0.3">
      <c r="C397" s="1">
        <f>IF(C391="","",VLOOKUP(C391,道具ID!$L:$M,2,FALSE))</f>
        <v>93005</v>
      </c>
      <c r="D397" s="1">
        <f t="shared" ref="D397" si="65">D391</f>
        <v>1</v>
      </c>
      <c r="E397" s="1">
        <f>IF(E391="","",VLOOKUP(E391,道具ID!$L:$M,2,FALSE))</f>
        <v>93004</v>
      </c>
      <c r="F397" s="1">
        <f t="shared" ref="F397" si="66">F391</f>
        <v>1</v>
      </c>
      <c r="I397" s="1" t="str">
        <f t="shared" si="59"/>
        <v>(93005,1)</v>
      </c>
      <c r="K397" s="1" t="str">
        <f t="shared" si="60"/>
        <v>(93004,1)</v>
      </c>
      <c r="L397" s="1" t="str">
        <f>IF(K397="","["&amp;I397&amp;"]","["&amp;I397&amp;","&amp;K397&amp;"]")</f>
        <v>[(93005,1),(93004,1)]</v>
      </c>
      <c r="M397" s="1" t="str">
        <f t="shared" si="61"/>
        <v>[93005,93004]</v>
      </c>
      <c r="N397" s="1" t="str">
        <f t="shared" si="62"/>
        <v>[1,1]</v>
      </c>
    </row>
    <row r="398" spans="2:15" x14ac:dyDescent="0.3">
      <c r="C398" s="1">
        <f>IF(C392="","",VLOOKUP(C392,道具ID!$L:$M,2,FALSE))</f>
        <v>93006</v>
      </c>
      <c r="D398" s="1">
        <f t="shared" ref="D398" si="67">D392</f>
        <v>1</v>
      </c>
      <c r="E398" s="1">
        <f>IF(E392="","",VLOOKUP(E392,道具ID!$L:$M,2,FALSE))</f>
        <v>140128</v>
      </c>
      <c r="F398" s="1">
        <f t="shared" ref="F398" si="68">F392</f>
        <v>1</v>
      </c>
      <c r="I398" s="1" t="str">
        <f t="shared" si="59"/>
        <v>(93006,1)</v>
      </c>
      <c r="K398" s="1" t="str">
        <f t="shared" si="60"/>
        <v>(140128,1)</v>
      </c>
      <c r="L398" s="1" t="str">
        <f>IF(K398="","["&amp;I398&amp;"]","["&amp;I398&amp;","&amp;K398&amp;"]")</f>
        <v>[(93006,1),(140128,1)]</v>
      </c>
      <c r="M398" s="1" t="str">
        <f t="shared" si="61"/>
        <v>[93006,140128]</v>
      </c>
      <c r="N398" s="1" t="str">
        <f t="shared" si="62"/>
        <v>[1,1]</v>
      </c>
    </row>
  </sheetData>
  <mergeCells count="4">
    <mergeCell ref="B7:E7"/>
    <mergeCell ref="B21:G21"/>
    <mergeCell ref="H21:M21"/>
    <mergeCell ref="N21:P21"/>
  </mergeCells>
  <phoneticPr fontId="32" type="noConversion"/>
  <conditionalFormatting sqref="M122">
    <cfRule type="dataBar" priority="9">
      <dataBar>
        <cfvo type="min"/>
        <cfvo type="max"/>
        <color rgb="FF008AEF"/>
      </dataBar>
      <extLst>
        <ext xmlns:x14="http://schemas.microsoft.com/office/spreadsheetml/2009/9/main" uri="{B025F937-C7B1-47D3-B67F-A62EFF666E3E}">
          <x14:id>{C84DE058-E0B0-48BF-A850-B158B433F6B0}</x14:id>
        </ext>
      </extLst>
    </cfRule>
  </conditionalFormatting>
  <conditionalFormatting sqref="F108:F114">
    <cfRule type="dataBar" priority="10">
      <dataBar>
        <cfvo type="min"/>
        <cfvo type="max"/>
        <color rgb="FFFFB628"/>
      </dataBar>
      <extLst>
        <ext xmlns:x14="http://schemas.microsoft.com/office/spreadsheetml/2009/9/main" uri="{B025F937-C7B1-47D3-B67F-A62EFF666E3E}">
          <x14:id>{499120BF-970B-4DB7-AE1A-D5A5C826EC39}</x14:id>
        </ext>
      </extLst>
    </cfRule>
  </conditionalFormatting>
  <conditionalFormatting sqref="F251:F262">
    <cfRule type="dataBar" priority="5">
      <dataBar>
        <cfvo type="min"/>
        <cfvo type="max"/>
        <color rgb="FFFFB628"/>
      </dataBar>
      <extLst>
        <ext xmlns:x14="http://schemas.microsoft.com/office/spreadsheetml/2009/9/main" uri="{B025F937-C7B1-47D3-B67F-A62EFF666E3E}">
          <x14:id>{458F0DE3-545C-48EF-9A3D-A1D84696F216}</x14:id>
        </ext>
      </extLst>
    </cfRule>
  </conditionalFormatting>
  <conditionalFormatting sqref="L179:L185">
    <cfRule type="dataBar" priority="7">
      <dataBar>
        <cfvo type="min"/>
        <cfvo type="max"/>
        <color rgb="FFFFB628"/>
      </dataBar>
      <extLst>
        <ext xmlns:x14="http://schemas.microsoft.com/office/spreadsheetml/2009/9/main" uri="{B025F937-C7B1-47D3-B67F-A62EFF666E3E}">
          <x14:id>{89708227-C60B-4A6B-AA0F-70C3D0802914}</x14:id>
        </ext>
      </extLst>
    </cfRule>
  </conditionalFormatting>
  <conditionalFormatting sqref="N251:N262">
    <cfRule type="dataBar" priority="6">
      <dataBar>
        <cfvo type="min"/>
        <cfvo type="max"/>
        <color rgb="FFFFB628"/>
      </dataBar>
      <extLst>
        <ext xmlns:x14="http://schemas.microsoft.com/office/spreadsheetml/2009/9/main" uri="{B025F937-C7B1-47D3-B67F-A62EFF666E3E}">
          <x14:id>{FEE2A87A-FB96-4905-9C1E-D8CA9A327149}</x14:id>
        </ext>
      </extLst>
    </cfRule>
  </conditionalFormatting>
  <conditionalFormatting sqref="F373:F384">
    <cfRule type="dataBar" priority="2">
      <dataBar>
        <cfvo type="min"/>
        <cfvo type="max"/>
        <color rgb="FFFFB628"/>
      </dataBar>
      <extLst>
        <ext xmlns:x14="http://schemas.microsoft.com/office/spreadsheetml/2009/9/main" uri="{B025F937-C7B1-47D3-B67F-A62EFF666E3E}">
          <x14:id>{844ADF22-3CD0-4BF9-8DDC-0F2C0D77798A}</x14:id>
        </ext>
      </extLst>
    </cfRule>
  </conditionalFormatting>
  <conditionalFormatting sqref="N373:N384">
    <cfRule type="dataBar" priority="1">
      <dataBar>
        <cfvo type="min"/>
        <cfvo type="max"/>
        <color rgb="FFFFB628"/>
      </dataBar>
      <extLst>
        <ext xmlns:x14="http://schemas.microsoft.com/office/spreadsheetml/2009/9/main" uri="{B025F937-C7B1-47D3-B67F-A62EFF666E3E}">
          <x14:id>{2D6D178C-0EB2-4C51-AAB3-CBEA07B466F4}</x14:id>
        </ext>
      </extLst>
    </cfRule>
  </conditionalFormatting>
  <conditionalFormatting sqref="L303:L308">
    <cfRule type="dataBar" priority="20">
      <dataBar>
        <cfvo type="min"/>
        <cfvo type="max"/>
        <color rgb="FFFFB628"/>
      </dataBar>
      <extLst>
        <ext xmlns:x14="http://schemas.microsoft.com/office/spreadsheetml/2009/9/main" uri="{B025F937-C7B1-47D3-B67F-A62EFF666E3E}">
          <x14:id>{61AE51FF-8A32-403B-8C96-178EB217C0A5}</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C84DE058-E0B0-48BF-A850-B158B433F6B0}">
            <x14:dataBar minLength="0" maxLength="100" gradient="0">
              <x14:cfvo type="autoMin"/>
              <x14:cfvo type="autoMax"/>
              <x14:negativeFillColor rgb="FFFF0000"/>
              <x14:axisColor rgb="FF000000"/>
            </x14:dataBar>
          </x14:cfRule>
          <xm:sqref>M122</xm:sqref>
        </x14:conditionalFormatting>
        <x14:conditionalFormatting xmlns:xm="http://schemas.microsoft.com/office/excel/2006/main">
          <x14:cfRule type="dataBar" id="{499120BF-970B-4DB7-AE1A-D5A5C826EC39}">
            <x14:dataBar minLength="0" maxLength="100" gradient="0">
              <x14:cfvo type="autoMin"/>
              <x14:cfvo type="autoMax"/>
              <x14:negativeFillColor rgb="FFFF0000"/>
              <x14:axisColor rgb="FF000000"/>
            </x14:dataBar>
          </x14:cfRule>
          <xm:sqref>F108:F114</xm:sqref>
        </x14:conditionalFormatting>
        <x14:conditionalFormatting xmlns:xm="http://schemas.microsoft.com/office/excel/2006/main">
          <x14:cfRule type="dataBar" id="{458F0DE3-545C-48EF-9A3D-A1D84696F216}">
            <x14:dataBar minLength="0" maxLength="100" gradient="0">
              <x14:cfvo type="autoMin"/>
              <x14:cfvo type="autoMax"/>
              <x14:negativeFillColor rgb="FFFF0000"/>
              <x14:axisColor rgb="FF000000"/>
            </x14:dataBar>
          </x14:cfRule>
          <xm:sqref>F251:F262</xm:sqref>
        </x14:conditionalFormatting>
        <x14:conditionalFormatting xmlns:xm="http://schemas.microsoft.com/office/excel/2006/main">
          <x14:cfRule type="dataBar" id="{89708227-C60B-4A6B-AA0F-70C3D0802914}">
            <x14:dataBar minLength="0" maxLength="100" gradient="0">
              <x14:cfvo type="autoMin"/>
              <x14:cfvo type="autoMax"/>
              <x14:negativeFillColor rgb="FFFF0000"/>
              <x14:axisColor rgb="FF000000"/>
            </x14:dataBar>
          </x14:cfRule>
          <xm:sqref>L179:L185</xm:sqref>
        </x14:conditionalFormatting>
        <x14:conditionalFormatting xmlns:xm="http://schemas.microsoft.com/office/excel/2006/main">
          <x14:cfRule type="dataBar" id="{FEE2A87A-FB96-4905-9C1E-D8CA9A327149}">
            <x14:dataBar minLength="0" maxLength="100" gradient="0">
              <x14:cfvo type="autoMin"/>
              <x14:cfvo type="autoMax"/>
              <x14:negativeFillColor rgb="FFFF0000"/>
              <x14:axisColor rgb="FF000000"/>
            </x14:dataBar>
          </x14:cfRule>
          <xm:sqref>N251:N262</xm:sqref>
        </x14:conditionalFormatting>
        <x14:conditionalFormatting xmlns:xm="http://schemas.microsoft.com/office/excel/2006/main">
          <x14:cfRule type="dataBar" id="{844ADF22-3CD0-4BF9-8DDC-0F2C0D77798A}">
            <x14:dataBar minLength="0" maxLength="100" gradient="0">
              <x14:cfvo type="autoMin"/>
              <x14:cfvo type="autoMax"/>
              <x14:negativeFillColor rgb="FFFF0000"/>
              <x14:axisColor rgb="FF000000"/>
            </x14:dataBar>
          </x14:cfRule>
          <xm:sqref>F373:F384</xm:sqref>
        </x14:conditionalFormatting>
        <x14:conditionalFormatting xmlns:xm="http://schemas.microsoft.com/office/excel/2006/main">
          <x14:cfRule type="dataBar" id="{2D6D178C-0EB2-4C51-AAB3-CBEA07B466F4}">
            <x14:dataBar minLength="0" maxLength="100" gradient="0">
              <x14:cfvo type="autoMin"/>
              <x14:cfvo type="autoMax"/>
              <x14:negativeFillColor rgb="FFFF0000"/>
              <x14:axisColor rgb="FF000000"/>
            </x14:dataBar>
          </x14:cfRule>
          <xm:sqref>N373:N384</xm:sqref>
        </x14:conditionalFormatting>
        <x14:conditionalFormatting xmlns:xm="http://schemas.microsoft.com/office/excel/2006/main">
          <x14:cfRule type="dataBar" id="{61AE51FF-8A32-403B-8C96-178EB217C0A5}">
            <x14:dataBar minLength="0" maxLength="100" gradient="0">
              <x14:cfvo type="autoMin"/>
              <x14:cfvo type="autoMax"/>
              <x14:negativeFillColor rgb="FFFF0000"/>
              <x14:axisColor rgb="FF000000"/>
            </x14:dataBar>
          </x14:cfRule>
          <xm:sqref>L303:L308</xm:sqref>
        </x14:conditionalFormatting>
      </x14:conditionalFormattings>
    </ext>
  </extLs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dimension ref="A1:S33"/>
  <sheetViews>
    <sheetView workbookViewId="0">
      <selection activeCell="Q31" sqref="Q31"/>
    </sheetView>
  </sheetViews>
  <sheetFormatPr defaultColWidth="9" defaultRowHeight="13.5" x14ac:dyDescent="0.15"/>
  <cols>
    <col min="6" max="6" width="9.5" customWidth="1"/>
    <col min="7" max="7" width="10.125" customWidth="1"/>
    <col min="12" max="12" width="10.125" customWidth="1"/>
    <col min="13" max="13" width="13" customWidth="1"/>
    <col min="14" max="14" width="13.375" customWidth="1"/>
    <col min="15" max="15" width="13.125" customWidth="1"/>
    <col min="16" max="16" width="13.375" customWidth="1"/>
    <col min="19" max="19" width="13.125" customWidth="1"/>
  </cols>
  <sheetData>
    <row r="1" spans="1:17" x14ac:dyDescent="0.15">
      <c r="A1" s="218" t="s">
        <v>663</v>
      </c>
      <c r="B1" s="11" t="s">
        <v>71</v>
      </c>
      <c r="C1" s="11" t="s">
        <v>664</v>
      </c>
      <c r="D1" s="11" t="s">
        <v>665</v>
      </c>
      <c r="F1" s="218" t="s">
        <v>666</v>
      </c>
      <c r="G1" s="12" t="s">
        <v>667</v>
      </c>
      <c r="H1" s="12" t="s">
        <v>664</v>
      </c>
      <c r="I1" s="12" t="s">
        <v>668</v>
      </c>
      <c r="K1" s="218" t="s">
        <v>669</v>
      </c>
      <c r="L1" s="12" t="s">
        <v>667</v>
      </c>
      <c r="M1" s="12" t="s">
        <v>664</v>
      </c>
      <c r="N1" s="12" t="s">
        <v>670</v>
      </c>
      <c r="P1" s="12" t="s">
        <v>671</v>
      </c>
      <c r="Q1" s="7">
        <v>10000</v>
      </c>
    </row>
    <row r="2" spans="1:17" x14ac:dyDescent="0.15">
      <c r="B2" s="7" t="s">
        <v>672</v>
      </c>
      <c r="C2" s="7">
        <f>SUMIF(坦克升星消耗!D:D,游戏付费深度!B2,坦克升星消耗!G:G)</f>
        <v>10405</v>
      </c>
      <c r="D2" s="7">
        <f>SUMIF(坦克升星消耗!D:D,游戏付费深度!B2,坦克升星消耗!F:F)+VLOOKUP(B2&amp;"_1",坦克升星消耗!E:F,MATCH("升星碎片数",坦克升星消耗!E$1:F$1,0),FALSE)</f>
        <v>47</v>
      </c>
      <c r="G2" s="7">
        <v>1</v>
      </c>
      <c r="H2" s="7">
        <f>SUMIFS(坦克部件养成!$J:$J,坦克部件养成!$G:$G,游戏付费深度!G2)</f>
        <v>43190</v>
      </c>
      <c r="I2" s="7">
        <f>SUMIFS(坦克部件养成!$K:$K,坦克部件养成!$G:$G,游戏付费深度!G2)</f>
        <v>404880</v>
      </c>
      <c r="L2" s="7">
        <v>1</v>
      </c>
      <c r="M2" s="7">
        <f>SUMIFS(坦克部件养成!$P:$P,坦克部件养成!$N:$N,游戏付费深度!L2)</f>
        <v>600</v>
      </c>
      <c r="N2" s="7">
        <v>4</v>
      </c>
      <c r="P2" s="11" t="s">
        <v>673</v>
      </c>
      <c r="Q2" s="7">
        <v>2000</v>
      </c>
    </row>
    <row r="3" spans="1:17" x14ac:dyDescent="0.15">
      <c r="B3" s="7" t="s">
        <v>674</v>
      </c>
      <c r="C3" s="7">
        <f>SUMIF(坦克升星消耗!D:D,游戏付费深度!B3,坦克升星消耗!G:G)</f>
        <v>75500</v>
      </c>
      <c r="D3" s="7">
        <f>SUMIF(坦克升星消耗!D:D,游戏付费深度!B3,坦克升星消耗!F:F)+VLOOKUP(B3&amp;"_1",坦克升星消耗!E:F,MATCH("升星碎片数",坦克升星消耗!E$1:F$1,0),FALSE)</f>
        <v>176</v>
      </c>
      <c r="G3" s="7">
        <v>2</v>
      </c>
      <c r="H3" s="7">
        <f>SUMIFS(坦克部件养成!$J:$J,坦克部件养成!$G:$G,游戏付费深度!G3)</f>
        <v>117690</v>
      </c>
      <c r="I3" s="7">
        <f>SUMIFS(坦克部件养成!$K:$K,坦克部件养成!$G:$G,游戏付费深度!G3)</f>
        <v>768750</v>
      </c>
      <c r="L3" s="7">
        <v>2</v>
      </c>
      <c r="M3" s="7">
        <f>SUMIFS(坦克部件养成!$P:$P,坦克部件养成!$N:$N,游戏付费深度!L3)</f>
        <v>2450</v>
      </c>
      <c r="N3" s="7">
        <v>4</v>
      </c>
      <c r="P3" s="11" t="s">
        <v>675</v>
      </c>
      <c r="Q3" s="7">
        <f>1/220</f>
        <v>4.5454545454545452E-3</v>
      </c>
    </row>
    <row r="4" spans="1:17" x14ac:dyDescent="0.15">
      <c r="B4" s="7" t="s">
        <v>676</v>
      </c>
      <c r="C4" s="7">
        <f>SUMIF(坦克升星消耗!D:D,游戏付费深度!B4,坦克升星消耗!G:G)</f>
        <v>169550</v>
      </c>
      <c r="D4" s="7">
        <f>SUMIF(坦克升星消耗!D:D,游戏付费深度!B4,坦克升星消耗!F:F)+VLOOKUP(B4&amp;"_1",坦克升星消耗!E:F,MATCH("升星碎片数",坦克升星消耗!E$1:F$1,0),FALSE)</f>
        <v>176</v>
      </c>
      <c r="G4" s="7">
        <v>3</v>
      </c>
      <c r="H4" s="7">
        <f>SUMIFS(坦克部件养成!$J:$J,坦克部件养成!$G:$G,游戏付费深度!G4)</f>
        <v>463090</v>
      </c>
      <c r="I4" s="7">
        <f>SUMIFS(坦克部件养成!$K:$K,坦克部件养成!$G:$G,游戏付费深度!G4)</f>
        <v>2985110</v>
      </c>
      <c r="L4" s="7">
        <v>3</v>
      </c>
      <c r="M4" s="7">
        <f>SUMIFS(坦克部件养成!$P:$P,坦克部件养成!$N:$N,游戏付费深度!L4)</f>
        <v>9600</v>
      </c>
      <c r="N4" s="7">
        <v>4</v>
      </c>
      <c r="P4" s="12" t="s">
        <v>677</v>
      </c>
      <c r="Q4" s="7">
        <f>道具价值!AB76</f>
        <v>0.02</v>
      </c>
    </row>
    <row r="5" spans="1:17" x14ac:dyDescent="0.15">
      <c r="B5" s="7" t="s">
        <v>678</v>
      </c>
      <c r="C5" s="7">
        <f>SUMIF(坦克升星消耗!D:D,游戏付费深度!B5,坦克升星消耗!G:G)</f>
        <v>335850</v>
      </c>
      <c r="D5" s="7">
        <f>SUMIF(坦克升星消耗!D:D,游戏付费深度!B5,坦克升星消耗!F:F)+VLOOKUP(B5&amp;"_1",坦克升星消耗!E:F,MATCH("升星碎片数",坦克升星消耗!E$1:F$1,0),FALSE)</f>
        <v>408</v>
      </c>
    </row>
    <row r="6" spans="1:17" x14ac:dyDescent="0.15">
      <c r="B6" s="7" t="s">
        <v>679</v>
      </c>
      <c r="C6" s="7">
        <f>SUMIF(坦克升星消耗!D:D,游戏付费深度!B6,坦克升星消耗!G:G)</f>
        <v>561350</v>
      </c>
      <c r="D6" s="7">
        <f>SUMIF(坦克升星消耗!D:D,游戏付费深度!B6,坦克升星消耗!F:F)+VLOOKUP(B6&amp;"_1",坦克升星消耗!E:F,MATCH("升星碎片数",坦克升星消耗!E$1:F$1,0),FALSE)</f>
        <v>408</v>
      </c>
    </row>
    <row r="7" spans="1:17" x14ac:dyDescent="0.15">
      <c r="B7" s="7" t="s">
        <v>680</v>
      </c>
      <c r="C7" s="7">
        <f>SUMIF(坦克升星消耗!D:D,游戏付费深度!B7,坦克升星消耗!G:G)</f>
        <v>852900</v>
      </c>
      <c r="D7" s="7">
        <f>SUMIF(坦克升星消耗!D:D,游戏付费深度!B7,坦克升星消耗!F:F)+VLOOKUP(B7&amp;"_1",坦克升星消耗!E:F,MATCH("升星碎片数",坦克升星消耗!E$1:F$1,0),FALSE)</f>
        <v>408</v>
      </c>
    </row>
    <row r="8" spans="1:17" x14ac:dyDescent="0.15">
      <c r="B8" s="7" t="s">
        <v>681</v>
      </c>
      <c r="C8" s="7">
        <f>SUMIF(坦克升星消耗!D:D,游戏付费深度!B8,坦克升星消耗!G:G)</f>
        <v>1611100</v>
      </c>
      <c r="D8" s="7">
        <f>SUMIF(坦克升星消耗!D:D,游戏付费深度!B8,坦克升星消耗!F:F)+VLOOKUP(B8&amp;"_1",坦克升星消耗!E:F,MATCH("升星碎片数",坦克升星消耗!E$1:F$1,0),FALSE)</f>
        <v>790</v>
      </c>
    </row>
    <row r="9" spans="1:17" x14ac:dyDescent="0.15">
      <c r="B9" s="7" t="s">
        <v>682</v>
      </c>
      <c r="C9" s="7">
        <f>SUMIF(坦克升星消耗!D:D,游戏付费深度!B9,坦克升星消耗!G:G)</f>
        <v>2595800</v>
      </c>
      <c r="D9" s="7">
        <f>SUMIF(坦克升星消耗!D:D,游戏付费深度!B9,坦克升星消耗!F:F)+VLOOKUP(B9&amp;"_1",坦克升星消耗!E:F,MATCH("升星碎片数",坦克升星消耗!E$1:F$1,0),FALSE)</f>
        <v>790</v>
      </c>
    </row>
    <row r="10" spans="1:17" x14ac:dyDescent="0.15">
      <c r="B10" s="7" t="s">
        <v>683</v>
      </c>
      <c r="C10" s="7">
        <f>SUMIF(坦克升星消耗!D:D,游戏付费深度!B10,坦克升星消耗!G:G)</f>
        <v>3794000</v>
      </c>
      <c r="D10" s="7">
        <f>SUMIF(坦克升星消耗!D:D,游戏付费深度!B10,坦克升星消耗!F:F)+VLOOKUP(B10&amp;"_1",坦克升星消耗!E:F,MATCH("升星碎片数",坦克升星消耗!E$1:F$1,0),FALSE)</f>
        <v>790</v>
      </c>
    </row>
    <row r="11" spans="1:17" x14ac:dyDescent="0.15">
      <c r="B11" s="7" t="s">
        <v>684</v>
      </c>
      <c r="C11" s="7">
        <f>SUMIF(坦克升星消耗!D:D,游戏付费深度!B11,坦克升星消耗!G:G)</f>
        <v>6449000</v>
      </c>
      <c r="D11" s="7">
        <f>SUMIF(坦克升星消耗!D:D,游戏付费深度!B11,坦克升星消耗!F:F)+VLOOKUP(B11&amp;"_1",坦克升星消耗!E:F,MATCH("升星碎片数",坦克升星消耗!E$1:F$1,0),FALSE)</f>
        <v>1248</v>
      </c>
    </row>
    <row r="15" spans="1:17" x14ac:dyDescent="0.15">
      <c r="A15" t="s">
        <v>685</v>
      </c>
    </row>
    <row r="16" spans="1:17" x14ac:dyDescent="0.15">
      <c r="L16" s="7"/>
      <c r="M16" s="7" t="s">
        <v>686</v>
      </c>
      <c r="N16" s="7" t="s">
        <v>687</v>
      </c>
      <c r="P16" s="7"/>
      <c r="Q16" s="7" t="s">
        <v>688</v>
      </c>
    </row>
    <row r="17" spans="1:19" ht="13.5" customHeight="1" x14ac:dyDescent="0.15">
      <c r="A17" s="38" t="s">
        <v>689</v>
      </c>
      <c r="B17" s="38"/>
      <c r="C17" s="38"/>
      <c r="D17" s="38"/>
      <c r="E17" t="s">
        <v>690</v>
      </c>
      <c r="H17" t="s">
        <v>691</v>
      </c>
      <c r="K17" s="219"/>
      <c r="L17" s="7" t="s">
        <v>663</v>
      </c>
      <c r="M17" s="7" t="e">
        <f>SUM(C27:C29)</f>
        <v>#VALUE!</v>
      </c>
      <c r="N17" s="7" t="e">
        <f>M17*$Q$1</f>
        <v>#VALUE!</v>
      </c>
      <c r="P17" s="7" t="s">
        <v>663</v>
      </c>
      <c r="Q17" s="7">
        <f>SUM(D27:D29)</f>
        <v>2558700</v>
      </c>
    </row>
    <row r="18" spans="1:19" ht="13.5" customHeight="1" x14ac:dyDescent="0.15">
      <c r="A18" s="7" t="s">
        <v>692</v>
      </c>
      <c r="B18" s="7" t="s">
        <v>693</v>
      </c>
      <c r="C18" s="7" t="s">
        <v>694</v>
      </c>
      <c r="D18" s="38"/>
      <c r="E18" s="7" t="s">
        <v>695</v>
      </c>
      <c r="F18" s="7" t="e">
        <f>SUMIFS([2]稀有宝箱!$L:$L,[2]稀有宝箱!$J:$J,"T3部件",[2]稀有宝箱!$K:$K,8)</f>
        <v>#VALUE!</v>
      </c>
      <c r="H18" s="7" t="s">
        <v>696</v>
      </c>
      <c r="I18" s="7" t="e">
        <f>SUMIFS([2]稀有宝箱!$L:$L,[2]稀有宝箱!$J:$J,"T3部件",[2]稀有宝箱!$K:$K,8)</f>
        <v>#VALUE!</v>
      </c>
      <c r="K18" s="219"/>
      <c r="L18" s="7" t="s">
        <v>666</v>
      </c>
      <c r="M18" s="7" t="e">
        <f>F20</f>
        <v>#VALUE!</v>
      </c>
      <c r="N18" s="7" t="e">
        <f>M18*$Q$1</f>
        <v>#VALUE!</v>
      </c>
      <c r="P18" s="7" t="s">
        <v>666</v>
      </c>
      <c r="Q18" s="7">
        <f>F21</f>
        <v>8335620</v>
      </c>
    </row>
    <row r="19" spans="1:19" x14ac:dyDescent="0.15">
      <c r="A19" s="7">
        <v>51321</v>
      </c>
      <c r="B19" s="7" t="e">
        <f>SUMIFS([2]稀有宝箱!$L:$L,[2]稀有宝箱!$C:$C,A19,[2]稀有宝箱!$K:$K,8)</f>
        <v>#VALUE!</v>
      </c>
      <c r="C19" s="7" t="e">
        <f t="shared" ref="C19:C24" si="0">IF(LEFT(A19,1)="5",B19,B19*18)</f>
        <v>#VALUE!</v>
      </c>
      <c r="E19" s="7" t="s">
        <v>697</v>
      </c>
      <c r="F19" s="7">
        <v>18</v>
      </c>
      <c r="H19" s="7" t="s">
        <v>698</v>
      </c>
      <c r="I19" s="7">
        <f>$F$19*$N$4</f>
        <v>72</v>
      </c>
      <c r="L19" s="7" t="s">
        <v>669</v>
      </c>
      <c r="M19" s="7" t="e">
        <f>I20</f>
        <v>#VALUE!</v>
      </c>
      <c r="N19" s="7" t="e">
        <f>M19*$Q$1</f>
        <v>#VALUE!</v>
      </c>
      <c r="P19" s="7" t="s">
        <v>669</v>
      </c>
      <c r="Q19" s="7">
        <f>I21</f>
        <v>172800</v>
      </c>
    </row>
    <row r="20" spans="1:19" x14ac:dyDescent="0.15">
      <c r="A20" s="7">
        <v>52321</v>
      </c>
      <c r="B20" s="7" t="e">
        <f>SUMIFS([2]稀有宝箱!$L:$L,[2]稀有宝箱!$C:$C,A20,[2]稀有宝箱!$K:$K,8)</f>
        <v>#VALUE!</v>
      </c>
      <c r="C20" s="7" t="e">
        <f t="shared" si="0"/>
        <v>#VALUE!</v>
      </c>
      <c r="E20" s="7" t="s">
        <v>699</v>
      </c>
      <c r="F20" s="7" t="e">
        <f>F19/F18</f>
        <v>#VALUE!</v>
      </c>
      <c r="H20" s="13" t="s">
        <v>699</v>
      </c>
      <c r="I20" s="7" t="e">
        <f>I19/I18</f>
        <v>#VALUE!</v>
      </c>
      <c r="L20" s="7" t="s">
        <v>700</v>
      </c>
      <c r="M20" s="7" t="e">
        <f>MAX(M17:M19)</f>
        <v>#VALUE!</v>
      </c>
      <c r="N20" s="7" t="e">
        <f>MAX(N17:N19)</f>
        <v>#VALUE!</v>
      </c>
      <c r="P20" s="7" t="s">
        <v>700</v>
      </c>
      <c r="Q20" s="7">
        <f>SUM(Q17:Q19)</f>
        <v>11067120</v>
      </c>
    </row>
    <row r="21" spans="1:19" x14ac:dyDescent="0.15">
      <c r="A21" s="7">
        <v>53321</v>
      </c>
      <c r="B21" s="7" t="e">
        <f>SUMIFS([2]稀有宝箱!$L:$L,[2]稀有宝箱!$C:$C,A21,[2]稀有宝箱!$K:$K,8)</f>
        <v>#VALUE!</v>
      </c>
      <c r="C21" s="7" t="e">
        <f t="shared" si="0"/>
        <v>#VALUE!</v>
      </c>
      <c r="E21" s="13" t="s">
        <v>701</v>
      </c>
      <c r="F21" s="7">
        <f>F19*H4</f>
        <v>8335620</v>
      </c>
      <c r="H21" s="13" t="s">
        <v>701</v>
      </c>
      <c r="I21" s="7">
        <f>F19*M4</f>
        <v>172800</v>
      </c>
    </row>
    <row r="22" spans="1:19" ht="18.75" x14ac:dyDescent="0.25">
      <c r="A22" s="7">
        <v>11321</v>
      </c>
      <c r="B22" s="7" t="e">
        <f>SUMIFS([2]稀有宝箱!$L:$L,[2]稀有宝箱!$C:$C,A22,[2]稀有宝箱!$K:$K,8)</f>
        <v>#VALUE!</v>
      </c>
      <c r="C22" s="7" t="e">
        <f t="shared" si="0"/>
        <v>#VALUE!</v>
      </c>
      <c r="E22" s="13" t="s">
        <v>702</v>
      </c>
      <c r="F22" s="7">
        <f>F19*I4</f>
        <v>53731980</v>
      </c>
      <c r="L22" s="367" t="s">
        <v>703</v>
      </c>
      <c r="M22" s="367"/>
      <c r="N22" s="367"/>
      <c r="O22" s="367"/>
      <c r="P22" s="367"/>
    </row>
    <row r="23" spans="1:19" x14ac:dyDescent="0.15">
      <c r="A23" s="7">
        <v>12321</v>
      </c>
      <c r="B23" s="7" t="e">
        <f>SUMIFS([2]稀有宝箱!$L:$L,[2]稀有宝箱!$C:$C,A23,[2]稀有宝箱!$K:$K,8)</f>
        <v>#VALUE!</v>
      </c>
      <c r="C23" s="7" t="e">
        <f t="shared" si="0"/>
        <v>#VALUE!</v>
      </c>
      <c r="L23" s="7"/>
      <c r="M23" s="11" t="s">
        <v>570</v>
      </c>
      <c r="N23" s="11" t="s">
        <v>704</v>
      </c>
      <c r="O23" s="11" t="s">
        <v>705</v>
      </c>
      <c r="P23" s="11" t="s">
        <v>706</v>
      </c>
      <c r="R23" s="12" t="s">
        <v>705</v>
      </c>
      <c r="S23" s="220" t="e">
        <f>SUM(O24:O26)</f>
        <v>#VALUE!</v>
      </c>
    </row>
    <row r="24" spans="1:19" x14ac:dyDescent="0.15">
      <c r="A24" s="7">
        <v>13321</v>
      </c>
      <c r="B24" s="7" t="e">
        <f>SUMIFS([2]稀有宝箱!$L:$L,[2]稀有宝箱!$C:$C,A24,[2]稀有宝箱!$K:$K,8)</f>
        <v>#VALUE!</v>
      </c>
      <c r="C24" s="7" t="e">
        <f t="shared" si="0"/>
        <v>#VALUE!</v>
      </c>
      <c r="L24" s="7" t="s">
        <v>707</v>
      </c>
      <c r="M24" s="8" t="e">
        <f>M20</f>
        <v>#VALUE!</v>
      </c>
      <c r="N24" s="8" t="e">
        <f>M24*Q2</f>
        <v>#VALUE!</v>
      </c>
      <c r="O24" s="220" t="e">
        <f>N24/道具价值!$E$75</f>
        <v>#VALUE!</v>
      </c>
      <c r="P24" s="220" t="e">
        <f>N24/道具价值!$E$80</f>
        <v>#VALUE!</v>
      </c>
      <c r="R24" s="11" t="s">
        <v>706</v>
      </c>
      <c r="S24" s="222" t="e">
        <f>SUM(P24:P26)</f>
        <v>#VALUE!</v>
      </c>
    </row>
    <row r="25" spans="1:19" x14ac:dyDescent="0.15">
      <c r="L25" s="7" t="s">
        <v>708</v>
      </c>
      <c r="M25" s="8" t="e">
        <f>IF((Q20-N20)&lt;0,0,Q20-N20)</f>
        <v>#VALUE!</v>
      </c>
      <c r="N25" s="8" t="e">
        <f>M25*Q4</f>
        <v>#VALUE!</v>
      </c>
      <c r="O25" s="220" t="e">
        <f>N25/道具价值!$E$75</f>
        <v>#VALUE!</v>
      </c>
      <c r="P25" s="220" t="e">
        <f>N25/道具价值!$E$80</f>
        <v>#VALUE!</v>
      </c>
    </row>
    <row r="26" spans="1:19" x14ac:dyDescent="0.15">
      <c r="A26" s="7" t="s">
        <v>692</v>
      </c>
      <c r="B26" s="7" t="s">
        <v>693</v>
      </c>
      <c r="C26" s="7" t="s">
        <v>707</v>
      </c>
      <c r="D26" s="13" t="s">
        <v>688</v>
      </c>
      <c r="L26" s="7" t="s">
        <v>709</v>
      </c>
      <c r="M26" s="8">
        <f>F22</f>
        <v>53731980</v>
      </c>
      <c r="N26" s="8">
        <f>M26*Q3</f>
        <v>244236.27272727271</v>
      </c>
      <c r="O26" s="220">
        <f>N26/道具价值!$E$75</f>
        <v>3245.6286909090909</v>
      </c>
      <c r="P26" s="220">
        <f>N26/道具价值!$E$80</f>
        <v>2442.1184909999997</v>
      </c>
    </row>
    <row r="27" spans="1:19" x14ac:dyDescent="0.15">
      <c r="A27" s="7">
        <v>1321</v>
      </c>
      <c r="B27" s="7" t="e">
        <f>C19+C22</f>
        <v>#VALUE!</v>
      </c>
      <c r="C27" s="7" t="e">
        <f>$D$7/B27</f>
        <v>#VALUE!</v>
      </c>
      <c r="D27" s="7">
        <f>C7</f>
        <v>852900</v>
      </c>
      <c r="O27" s="221"/>
      <c r="P27" s="221"/>
    </row>
    <row r="28" spans="1:19" x14ac:dyDescent="0.15">
      <c r="A28" s="7">
        <v>2321</v>
      </c>
      <c r="B28" s="7" t="e">
        <f>C20+C23</f>
        <v>#VALUE!</v>
      </c>
      <c r="C28" s="7" t="e">
        <f>$D$7/B28</f>
        <v>#VALUE!</v>
      </c>
      <c r="D28" s="7">
        <f>C7</f>
        <v>852900</v>
      </c>
    </row>
    <row r="29" spans="1:19" x14ac:dyDescent="0.15">
      <c r="A29" s="7">
        <v>3323</v>
      </c>
      <c r="B29" s="7" t="e">
        <f>C21+C24</f>
        <v>#VALUE!</v>
      </c>
      <c r="C29" s="7" t="e">
        <f>$D$7/B29</f>
        <v>#VALUE!</v>
      </c>
      <c r="D29" s="7">
        <f>C7</f>
        <v>852900</v>
      </c>
      <c r="L29" s="7"/>
      <c r="M29" s="11" t="s">
        <v>710</v>
      </c>
      <c r="N29" s="11" t="s">
        <v>705</v>
      </c>
      <c r="O29" s="11" t="s">
        <v>706</v>
      </c>
    </row>
    <row r="30" spans="1:19" x14ac:dyDescent="0.15">
      <c r="L30" s="7" t="s">
        <v>711</v>
      </c>
      <c r="M30" s="8">
        <f>D7*3*道具价值!Y53</f>
        <v>78336</v>
      </c>
      <c r="N30" s="220">
        <f>M30/道具价值!$E$75</f>
        <v>1040.9984000000002</v>
      </c>
      <c r="O30" s="220">
        <f>M30/道具价值!$E$80</f>
        <v>783.28166399999998</v>
      </c>
    </row>
    <row r="31" spans="1:19" x14ac:dyDescent="0.15">
      <c r="L31" s="7" t="s">
        <v>712</v>
      </c>
      <c r="M31" s="8">
        <f>Q20*Q4</f>
        <v>221342.4</v>
      </c>
      <c r="N31" s="220">
        <f>M31/道具价值!$E$75</f>
        <v>2941.3945600000002</v>
      </c>
      <c r="O31" s="220">
        <f>M31/道具价值!$E$80</f>
        <v>2213.2026575999998</v>
      </c>
      <c r="R31" s="11" t="s">
        <v>713</v>
      </c>
      <c r="S31" s="220">
        <f>SUM(N30:N32)</f>
        <v>7228.0216509090915</v>
      </c>
    </row>
    <row r="32" spans="1:19" x14ac:dyDescent="0.15">
      <c r="L32" s="7" t="s">
        <v>714</v>
      </c>
      <c r="M32" s="8">
        <f>N26</f>
        <v>244236.27272727271</v>
      </c>
      <c r="N32" s="220">
        <f>M32/道具价值!$E$75</f>
        <v>3245.6286909090909</v>
      </c>
      <c r="O32" s="220">
        <f>M32/道具价值!$E$80</f>
        <v>2442.1184909999997</v>
      </c>
      <c r="R32" s="11" t="s">
        <v>715</v>
      </c>
      <c r="S32" s="222">
        <f>SUM(O30:O32)</f>
        <v>5438.6028126000001</v>
      </c>
    </row>
    <row r="33" spans="14:15" x14ac:dyDescent="0.15">
      <c r="N33" s="221"/>
      <c r="O33" s="221"/>
    </row>
  </sheetData>
  <mergeCells count="1">
    <mergeCell ref="L22:P22"/>
  </mergeCells>
  <phoneticPr fontId="32" type="noConversion"/>
  <conditionalFormatting sqref="O30:O32">
    <cfRule type="dataBar" priority="1">
      <dataBar>
        <cfvo type="min"/>
        <cfvo type="max"/>
        <color rgb="FFFFB628"/>
      </dataBar>
      <extLst>
        <ext xmlns:x14="http://schemas.microsoft.com/office/spreadsheetml/2009/9/main" uri="{B025F937-C7B1-47D3-B67F-A62EFF666E3E}">
          <x14:id>{D0C4F564-A4D3-4A93-AB13-2D78A54B22B9}</x14:id>
        </ext>
      </extLst>
    </cfRule>
  </conditionalFormatting>
  <conditionalFormatting sqref="P24:P26">
    <cfRule type="dataBar" priority="2">
      <dataBar>
        <cfvo type="min"/>
        <cfvo type="max"/>
        <color rgb="FFFF555A"/>
      </dataBar>
      <extLst>
        <ext xmlns:x14="http://schemas.microsoft.com/office/spreadsheetml/2009/9/main" uri="{B025F937-C7B1-47D3-B67F-A62EFF666E3E}">
          <x14:id>{EEA5F233-BDF8-4F0F-8A00-627C7E65CE4B}</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D0C4F564-A4D3-4A93-AB13-2D78A54B22B9}">
            <x14:dataBar minLength="0" maxLength="100" gradient="0">
              <x14:cfvo type="autoMin"/>
              <x14:cfvo type="autoMax"/>
              <x14:negativeFillColor rgb="FFFF0000"/>
              <x14:axisColor rgb="FF000000"/>
            </x14:dataBar>
          </x14:cfRule>
          <xm:sqref>O30:O32</xm:sqref>
        </x14:conditionalFormatting>
        <x14:conditionalFormatting xmlns:xm="http://schemas.microsoft.com/office/excel/2006/main">
          <x14:cfRule type="dataBar" id="{EEA5F233-BDF8-4F0F-8A00-627C7E65CE4B}">
            <x14:dataBar minLength="0" maxLength="100" gradient="0">
              <x14:cfvo type="autoMin"/>
              <x14:cfvo type="autoMax"/>
              <x14:negativeFillColor rgb="FFFF0000"/>
              <x14:axisColor rgb="FF000000"/>
            </x14:dataBar>
          </x14:cfRule>
          <xm:sqref>P24:P26</xm:sqref>
        </x14:conditionalFormatting>
      </x14:conditionalFormattings>
    </ext>
  </extLs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28"/>
  <dimension ref="A2:AP312"/>
  <sheetViews>
    <sheetView topLeftCell="C247" workbookViewId="0">
      <selection activeCell="M289" sqref="M289"/>
    </sheetView>
  </sheetViews>
  <sheetFormatPr defaultColWidth="9" defaultRowHeight="14.25" x14ac:dyDescent="0.3"/>
  <cols>
    <col min="1" max="1" width="9" style="1"/>
    <col min="2" max="2" width="13.125" style="1" bestFit="1" customWidth="1"/>
    <col min="3" max="3" width="11" style="1" customWidth="1"/>
    <col min="4" max="5" width="12.125" style="1" customWidth="1"/>
    <col min="6" max="6" width="11.625" style="1" customWidth="1"/>
    <col min="7" max="9" width="9" style="1"/>
    <col min="10" max="10" width="10.25" style="1" customWidth="1"/>
    <col min="11" max="11" width="11.125" style="1" customWidth="1"/>
    <col min="12" max="12" width="10.375" style="1" customWidth="1"/>
    <col min="13" max="16" width="9" style="1"/>
    <col min="17" max="17" width="10.375" style="1" customWidth="1"/>
    <col min="18" max="18" width="10.125" style="1" customWidth="1"/>
    <col min="19" max="20" width="9" style="1"/>
    <col min="21" max="21" width="13.25" style="1" customWidth="1"/>
    <col min="22" max="22" width="9" style="1"/>
    <col min="23" max="23" width="17.375" style="1" customWidth="1"/>
    <col min="24" max="24" width="23.875" style="1" customWidth="1"/>
    <col min="25" max="25" width="11.75" style="1" bestFit="1" customWidth="1"/>
    <col min="26" max="26" width="9" style="1"/>
    <col min="27" max="27" width="15.875" style="1" customWidth="1"/>
    <col min="28" max="29" width="9" style="1"/>
    <col min="30" max="30" width="17.375" style="1" customWidth="1"/>
    <col min="31" max="31" width="9" style="1"/>
    <col min="32" max="32" width="13" style="1" customWidth="1"/>
    <col min="33" max="33" width="25.625" style="1" customWidth="1"/>
    <col min="34" max="35" width="9" style="1"/>
    <col min="36" max="36" width="13.125" style="1" customWidth="1"/>
    <col min="37" max="37" width="8.5" style="1" customWidth="1"/>
    <col min="38" max="38" width="12.625" style="1" customWidth="1"/>
    <col min="39" max="39" width="15.125" style="1" customWidth="1"/>
    <col min="40" max="16384" width="9" style="1"/>
  </cols>
  <sheetData>
    <row r="2" spans="2:29" x14ac:dyDescent="0.3">
      <c r="B2" s="2" t="s">
        <v>2818</v>
      </c>
      <c r="G2" s="2" t="s">
        <v>2819</v>
      </c>
      <c r="H2" s="2" t="s">
        <v>2820</v>
      </c>
      <c r="I2" s="2" t="s">
        <v>1818</v>
      </c>
      <c r="J2" s="2" t="s">
        <v>2821</v>
      </c>
      <c r="K2" s="2" t="s">
        <v>1820</v>
      </c>
      <c r="L2" s="2" t="s">
        <v>1776</v>
      </c>
      <c r="M2" s="2" t="s">
        <v>2822</v>
      </c>
      <c r="N2" s="2" t="s">
        <v>500</v>
      </c>
      <c r="O2" s="25"/>
      <c r="P2" s="25"/>
    </row>
    <row r="3" spans="2:29" x14ac:dyDescent="0.3">
      <c r="B3" s="2" t="s">
        <v>511</v>
      </c>
      <c r="G3" s="2" t="s">
        <v>2563</v>
      </c>
      <c r="H3" s="2" t="e">
        <f>#REF!</f>
        <v>#REF!</v>
      </c>
      <c r="I3" s="2" t="e">
        <f>#REF!</f>
        <v>#REF!</v>
      </c>
      <c r="J3" s="2" t="e">
        <f>#REF!</f>
        <v>#REF!</v>
      </c>
      <c r="K3" s="2" t="e">
        <f>#REF!</f>
        <v>#REF!</v>
      </c>
      <c r="L3" s="2" t="e">
        <f>VLOOKUP(H3,道具价值!$V$99:$Y$102,4,FALSE)*I3+IFERROR(VLOOKUP(J3,道具价值!$V$99:$Y$102,4,FALSE)*K3,0)</f>
        <v>#REF!</v>
      </c>
      <c r="M3" s="2" t="e">
        <f>#REF!</f>
        <v>#REF!</v>
      </c>
      <c r="N3" s="2" t="e">
        <f>#REF!</f>
        <v>#REF!</v>
      </c>
      <c r="O3" s="25"/>
      <c r="P3" s="25"/>
    </row>
    <row r="4" spans="2:29" x14ac:dyDescent="0.3">
      <c r="B4" s="2" t="s">
        <v>2833</v>
      </c>
      <c r="G4" s="2" t="s">
        <v>2565</v>
      </c>
      <c r="H4" s="2" t="e">
        <f>#REF!</f>
        <v>#REF!</v>
      </c>
      <c r="I4" s="2" t="e">
        <f>#REF!</f>
        <v>#REF!</v>
      </c>
      <c r="J4" s="2" t="e">
        <f>#REF!</f>
        <v>#REF!</v>
      </c>
      <c r="K4" s="2" t="e">
        <f>#REF!</f>
        <v>#REF!</v>
      </c>
      <c r="L4" s="2" t="e">
        <f>VLOOKUP(H4,道具价值!$V$99:$Y$102,4,FALSE)*I4+IFERROR(VLOOKUP(J4,道具价值!$V$99:$Y$102,4,FALSE)*K4,0)</f>
        <v>#REF!</v>
      </c>
      <c r="M4" s="2" t="e">
        <f>#REF!</f>
        <v>#REF!</v>
      </c>
      <c r="N4" s="2" t="e">
        <f>#REF!</f>
        <v>#REF!</v>
      </c>
      <c r="O4" s="25"/>
      <c r="P4" s="25"/>
    </row>
    <row r="5" spans="2:29" x14ac:dyDescent="0.3">
      <c r="B5" s="2" t="s">
        <v>2835</v>
      </c>
      <c r="G5" s="2" t="s">
        <v>2566</v>
      </c>
      <c r="H5" s="2" t="e">
        <f>#REF!</f>
        <v>#REF!</v>
      </c>
      <c r="I5" s="2" t="e">
        <f>#REF!</f>
        <v>#REF!</v>
      </c>
      <c r="J5" s="2" t="e">
        <f>#REF!</f>
        <v>#REF!</v>
      </c>
      <c r="K5" s="2" t="e">
        <f>#REF!</f>
        <v>#REF!</v>
      </c>
      <c r="L5" s="2" t="e">
        <f>VLOOKUP(H5,道具价值!$V$99:$Y$102,4,FALSE)*I5+IFERROR(VLOOKUP(J5,道具价值!$V$99:$Y$102,4,FALSE)*K5,0)</f>
        <v>#REF!</v>
      </c>
      <c r="M5" s="2" t="e">
        <f>#REF!</f>
        <v>#REF!</v>
      </c>
      <c r="N5" s="2" t="e">
        <f>#REF!</f>
        <v>#REF!</v>
      </c>
      <c r="O5" s="25"/>
      <c r="P5" s="25"/>
    </row>
    <row r="6" spans="2:29" x14ac:dyDescent="0.3">
      <c r="B6" s="2" t="s">
        <v>2838</v>
      </c>
      <c r="G6" s="2" t="s">
        <v>2567</v>
      </c>
      <c r="H6" s="2" t="e">
        <f>#REF!</f>
        <v>#REF!</v>
      </c>
      <c r="I6" s="2" t="e">
        <f>#REF!</f>
        <v>#REF!</v>
      </c>
      <c r="J6" s="2" t="e">
        <f>#REF!</f>
        <v>#REF!</v>
      </c>
      <c r="K6" s="2" t="e">
        <f>#REF!</f>
        <v>#REF!</v>
      </c>
      <c r="L6" s="2" t="e">
        <f>VLOOKUP(H6,道具价值!$V$99:$Y$102,4,FALSE)*I6+IFERROR(VLOOKUP(J6,道具价值!$V$99:$Y$102,4,FALSE)*K6,0)</f>
        <v>#REF!</v>
      </c>
      <c r="M6" s="2" t="e">
        <f>#REF!</f>
        <v>#REF!</v>
      </c>
      <c r="N6" s="2" t="e">
        <f>#REF!</f>
        <v>#REF!</v>
      </c>
      <c r="O6" s="25"/>
      <c r="P6" s="25"/>
    </row>
    <row r="7" spans="2:29" x14ac:dyDescent="0.3">
      <c r="B7" s="2" t="s">
        <v>2842</v>
      </c>
      <c r="G7" s="2" t="s">
        <v>2569</v>
      </c>
      <c r="H7" s="2" t="e">
        <f>#REF!</f>
        <v>#REF!</v>
      </c>
      <c r="I7" s="2" t="e">
        <f>#REF!</f>
        <v>#REF!</v>
      </c>
      <c r="J7" s="2" t="e">
        <f>#REF!</f>
        <v>#REF!</v>
      </c>
      <c r="K7" s="2" t="e">
        <f>#REF!</f>
        <v>#REF!</v>
      </c>
      <c r="L7" s="2" t="e">
        <f>VLOOKUP(H7,道具价值!$V$99:$Y$102,4,FALSE)*I7+IFERROR(VLOOKUP(J7,道具价值!$V$99:$Y$102,4,FALSE)*K7,0)</f>
        <v>#REF!</v>
      </c>
      <c r="M7" s="2" t="e">
        <f>#REF!</f>
        <v>#REF!</v>
      </c>
      <c r="N7" s="2" t="e">
        <f>#REF!</f>
        <v>#REF!</v>
      </c>
      <c r="O7" s="25"/>
      <c r="P7" s="25"/>
    </row>
    <row r="8" spans="2:29" x14ac:dyDescent="0.3">
      <c r="B8" s="2" t="s">
        <v>268</v>
      </c>
      <c r="G8" s="2" t="s">
        <v>2570</v>
      </c>
      <c r="H8" s="2" t="e">
        <f>#REF!</f>
        <v>#REF!</v>
      </c>
      <c r="I8" s="2" t="e">
        <f>#REF!</f>
        <v>#REF!</v>
      </c>
      <c r="J8" s="2" t="e">
        <f>#REF!</f>
        <v>#REF!</v>
      </c>
      <c r="K8" s="2" t="e">
        <f>#REF!</f>
        <v>#REF!</v>
      </c>
      <c r="L8" s="2" t="e">
        <f>VLOOKUP(H8,道具价值!$V$99:$Y$102,4,FALSE)*I8+IFERROR(VLOOKUP(J8,道具价值!$V$99:$Y$102,4,FALSE)*K8,0)</f>
        <v>#REF!</v>
      </c>
      <c r="M8" s="2" t="e">
        <f>#REF!</f>
        <v>#REF!</v>
      </c>
      <c r="N8" s="2" t="e">
        <f>#REF!</f>
        <v>#REF!</v>
      </c>
      <c r="O8" s="25"/>
      <c r="P8" s="25"/>
    </row>
    <row r="9" spans="2:29" x14ac:dyDescent="0.3">
      <c r="B9" s="2" t="s">
        <v>317</v>
      </c>
      <c r="G9" s="2" t="s">
        <v>2571</v>
      </c>
      <c r="H9" s="2" t="e">
        <f>#REF!</f>
        <v>#REF!</v>
      </c>
      <c r="I9" s="2" t="e">
        <f>#REF!</f>
        <v>#REF!</v>
      </c>
      <c r="J9" s="2" t="e">
        <f>#REF!</f>
        <v>#REF!</v>
      </c>
      <c r="K9" s="2" t="e">
        <f>#REF!</f>
        <v>#REF!</v>
      </c>
      <c r="L9" s="2" t="e">
        <f>VLOOKUP(H9,道具价值!$V$99:$Y$102,4,FALSE)*I9+IFERROR(VLOOKUP(J9,道具价值!$V$99:$Y$102,4,FALSE)*K9,0)</f>
        <v>#REF!</v>
      </c>
      <c r="M9" s="2" t="e">
        <f>#REF!</f>
        <v>#REF!</v>
      </c>
      <c r="N9" s="2" t="e">
        <f>#REF!</f>
        <v>#REF!</v>
      </c>
      <c r="O9" s="25"/>
      <c r="P9" s="25"/>
    </row>
    <row r="10" spans="2:29" x14ac:dyDescent="0.3">
      <c r="B10" s="2" t="s">
        <v>2850</v>
      </c>
      <c r="G10" s="2" t="s">
        <v>2573</v>
      </c>
      <c r="H10" s="2" t="e">
        <f>#REF!</f>
        <v>#REF!</v>
      </c>
      <c r="I10" s="2" t="e">
        <f>#REF!</f>
        <v>#REF!</v>
      </c>
      <c r="J10" s="2" t="e">
        <f>#REF!</f>
        <v>#REF!</v>
      </c>
      <c r="K10" s="2" t="e">
        <f>#REF!</f>
        <v>#REF!</v>
      </c>
      <c r="L10" s="2" t="e">
        <f>VLOOKUP(H10,道具价值!$V$99:$Y$102,4,FALSE)*I10+IFERROR(VLOOKUP(J10,道具价值!$V$99:$Y$102,4,FALSE)*K10,0)</f>
        <v>#REF!</v>
      </c>
      <c r="M10" s="2" t="e">
        <f>#REF!</f>
        <v>#REF!</v>
      </c>
      <c r="N10" s="2" t="e">
        <f>#REF!</f>
        <v>#REF!</v>
      </c>
      <c r="O10" s="25"/>
      <c r="P10" s="25"/>
    </row>
    <row r="11" spans="2:29" x14ac:dyDescent="0.3">
      <c r="B11" s="2" t="s">
        <v>2853</v>
      </c>
      <c r="G11" s="2" t="s">
        <v>2574</v>
      </c>
      <c r="H11" s="2" t="e">
        <f>#REF!</f>
        <v>#REF!</v>
      </c>
      <c r="I11" s="2" t="e">
        <f>#REF!</f>
        <v>#REF!</v>
      </c>
      <c r="J11" s="2" t="e">
        <f>#REF!</f>
        <v>#REF!</v>
      </c>
      <c r="K11" s="2" t="e">
        <f>#REF!</f>
        <v>#REF!</v>
      </c>
      <c r="L11" s="2" t="e">
        <f>VLOOKUP(H11,道具价值!$V$99:$Y$102,4,FALSE)*I11+IFERROR(VLOOKUP(J11,道具价值!$V$99:$Y$102,4,FALSE)*K11,0)</f>
        <v>#REF!</v>
      </c>
      <c r="M11" s="2" t="e">
        <f>#REF!</f>
        <v>#REF!</v>
      </c>
      <c r="N11" s="2" t="e">
        <f>#REF!</f>
        <v>#REF!</v>
      </c>
      <c r="O11" s="25"/>
      <c r="P11" s="25"/>
    </row>
    <row r="12" spans="2:29" x14ac:dyDescent="0.3">
      <c r="G12" s="2" t="s">
        <v>2575</v>
      </c>
      <c r="H12" s="2" t="e">
        <f>#REF!</f>
        <v>#REF!</v>
      </c>
      <c r="I12" s="2" t="e">
        <f>#REF!</f>
        <v>#REF!</v>
      </c>
      <c r="J12" s="2" t="e">
        <f>#REF!</f>
        <v>#REF!</v>
      </c>
      <c r="K12" s="2" t="e">
        <f>#REF!</f>
        <v>#REF!</v>
      </c>
      <c r="L12" s="2" t="e">
        <f>VLOOKUP(H12,道具价值!$B$33:$E$45,4,FALSE)*I12+IFERROR(VLOOKUP(J12,道具价值!$B$33:$E$45,4,FALSE)*K12,0)</f>
        <v>#REF!</v>
      </c>
      <c r="M12" s="2" t="e">
        <f>#REF!</f>
        <v>#REF!</v>
      </c>
      <c r="N12" s="2" t="e">
        <f>#REF!</f>
        <v>#REF!</v>
      </c>
      <c r="O12" s="25"/>
      <c r="P12" s="25"/>
      <c r="W12" s="25"/>
      <c r="X12" s="25"/>
      <c r="Y12" s="25"/>
      <c r="Z12" s="25"/>
      <c r="AA12" s="25"/>
      <c r="AB12" s="25"/>
      <c r="AC12" s="25"/>
    </row>
    <row r="13" spans="2:29" x14ac:dyDescent="0.3">
      <c r="B13" s="352" t="s">
        <v>376</v>
      </c>
      <c r="C13" s="353"/>
      <c r="D13" s="353"/>
      <c r="E13" s="354"/>
      <c r="F13" s="25"/>
      <c r="G13" s="2" t="s">
        <v>2577</v>
      </c>
      <c r="H13" s="2" t="e">
        <f>#REF!</f>
        <v>#REF!</v>
      </c>
      <c r="I13" s="2" t="e">
        <f>#REF!</f>
        <v>#REF!</v>
      </c>
      <c r="J13" s="2" t="e">
        <f>#REF!</f>
        <v>#REF!</v>
      </c>
      <c r="K13" s="2" t="e">
        <f>#REF!</f>
        <v>#REF!</v>
      </c>
      <c r="L13" s="2" t="e">
        <f>VLOOKUP(H13,道具价值!$B$33:$E$45,4,FALSE)*I13+IFERROR(VLOOKUP(J13,道具价值!$B$33:$E$45,4,FALSE)*K13,0)</f>
        <v>#REF!</v>
      </c>
      <c r="M13" s="2" t="e">
        <f>#REF!</f>
        <v>#REF!</v>
      </c>
      <c r="N13" s="2" t="e">
        <f>#REF!</f>
        <v>#REF!</v>
      </c>
      <c r="O13" s="25"/>
      <c r="P13" s="25"/>
      <c r="W13" s="25"/>
      <c r="X13" s="25"/>
      <c r="Y13" s="25"/>
      <c r="Z13" s="25"/>
      <c r="AA13" s="25"/>
      <c r="AB13" s="25"/>
      <c r="AC13" s="25"/>
    </row>
    <row r="14" spans="2:29" x14ac:dyDescent="0.3">
      <c r="B14" s="2" t="s">
        <v>377</v>
      </c>
      <c r="C14" s="2" t="s">
        <v>390</v>
      </c>
      <c r="D14" s="2" t="s">
        <v>391</v>
      </c>
      <c r="E14" s="2" t="s">
        <v>392</v>
      </c>
      <c r="F14" s="25"/>
      <c r="G14" s="2" t="s">
        <v>2579</v>
      </c>
      <c r="H14" s="2" t="e">
        <f>#REF!</f>
        <v>#REF!</v>
      </c>
      <c r="I14" s="2" t="e">
        <f>#REF!</f>
        <v>#REF!</v>
      </c>
      <c r="J14" s="2" t="e">
        <f>#REF!</f>
        <v>#REF!</v>
      </c>
      <c r="K14" s="2" t="e">
        <f>#REF!</f>
        <v>#REF!</v>
      </c>
      <c r="L14" s="2" t="e">
        <f>VLOOKUP(H14,道具价值!$B$33:$E$45,4,FALSE)*I14+IFERROR(VLOOKUP(J14,道具价值!$B$33:$E$45,4,FALSE)*K14,0)</f>
        <v>#REF!</v>
      </c>
      <c r="M14" s="2" t="e">
        <f>#REF!</f>
        <v>#REF!</v>
      </c>
      <c r="N14" s="2" t="e">
        <f>#REF!</f>
        <v>#REF!</v>
      </c>
      <c r="O14" s="25"/>
      <c r="P14" s="25"/>
      <c r="W14" s="25"/>
      <c r="X14" s="25"/>
      <c r="Y14" s="25"/>
      <c r="Z14" s="25"/>
      <c r="AA14" s="25"/>
      <c r="AB14" s="25"/>
      <c r="AC14" s="25"/>
    </row>
    <row r="15" spans="2:29" x14ac:dyDescent="0.3">
      <c r="B15" s="2" t="e">
        <f>#REF!</f>
        <v>#REF!</v>
      </c>
      <c r="C15" s="2" t="e">
        <f>#REF!</f>
        <v>#REF!</v>
      </c>
      <c r="D15" s="2"/>
      <c r="E15" s="2"/>
      <c r="F15" s="25"/>
      <c r="G15" s="2" t="s">
        <v>2581</v>
      </c>
      <c r="H15" s="2" t="e">
        <f>#REF!</f>
        <v>#REF!</v>
      </c>
      <c r="I15" s="2" t="e">
        <f>#REF!</f>
        <v>#REF!</v>
      </c>
      <c r="J15" s="2" t="e">
        <f>#REF!</f>
        <v>#REF!</v>
      </c>
      <c r="K15" s="2" t="e">
        <f>#REF!</f>
        <v>#REF!</v>
      </c>
      <c r="L15" s="2" t="e">
        <f>VLOOKUP(H15,道具价值!$B$33:$E$45,4,FALSE)*I15+IFERROR(VLOOKUP(J15,道具价值!$B$33:$E$45,4,FALSE)*K15,0)</f>
        <v>#REF!</v>
      </c>
      <c r="M15" s="2" t="e">
        <f>#REF!</f>
        <v>#REF!</v>
      </c>
      <c r="N15" s="2" t="e">
        <f>#REF!</f>
        <v>#REF!</v>
      </c>
      <c r="O15" s="25"/>
      <c r="P15" s="25"/>
      <c r="W15" s="25"/>
      <c r="X15" s="25"/>
      <c r="Y15" s="25"/>
      <c r="Z15" s="25"/>
      <c r="AA15" s="25"/>
      <c r="AB15" s="25"/>
      <c r="AC15" s="25"/>
    </row>
    <row r="16" spans="2:29" x14ac:dyDescent="0.3">
      <c r="B16" s="2" t="e">
        <f>#REF!</f>
        <v>#REF!</v>
      </c>
      <c r="C16" s="2" t="e">
        <f>#REF!</f>
        <v>#REF!</v>
      </c>
      <c r="D16" s="2"/>
      <c r="E16" s="2"/>
      <c r="F16" s="25"/>
      <c r="G16" s="2" t="s">
        <v>2583</v>
      </c>
      <c r="H16" s="2" t="e">
        <f>#REF!</f>
        <v>#REF!</v>
      </c>
      <c r="I16" s="2" t="e">
        <f>#REF!</f>
        <v>#REF!</v>
      </c>
      <c r="J16" s="2" t="e">
        <f>#REF!</f>
        <v>#REF!</v>
      </c>
      <c r="K16" s="2" t="e">
        <f>#REF!</f>
        <v>#REF!</v>
      </c>
      <c r="L16" s="2" t="e">
        <f>VLOOKUP(H16,道具价值!$B$33:$E$45,4,FALSE)*I16+IFERROR(VLOOKUP(J16,道具价值!$B$33:$E$45,4,FALSE)*K16,0)</f>
        <v>#REF!</v>
      </c>
      <c r="M16" s="2" t="e">
        <f>#REF!</f>
        <v>#REF!</v>
      </c>
      <c r="N16" s="2" t="e">
        <f>#REF!</f>
        <v>#REF!</v>
      </c>
      <c r="O16" s="25"/>
      <c r="P16" s="25"/>
      <c r="W16" s="25"/>
      <c r="X16" s="25"/>
      <c r="Y16" s="25"/>
      <c r="Z16" s="25"/>
      <c r="AA16" s="25"/>
      <c r="AB16" s="25"/>
      <c r="AC16" s="25"/>
    </row>
    <row r="17" spans="2:42" x14ac:dyDescent="0.3">
      <c r="B17" s="2" t="e">
        <f>#REF!</f>
        <v>#REF!</v>
      </c>
      <c r="C17" s="2" t="e">
        <f>#REF!</f>
        <v>#REF!</v>
      </c>
      <c r="D17" s="2"/>
      <c r="E17" s="2"/>
      <c r="F17" s="25"/>
      <c r="G17" s="2" t="s">
        <v>2585</v>
      </c>
      <c r="H17" s="2" t="e">
        <f>#REF!</f>
        <v>#REF!</v>
      </c>
      <c r="I17" s="2" t="e">
        <f>#REF!</f>
        <v>#REF!</v>
      </c>
      <c r="J17" s="2" t="e">
        <f>#REF!</f>
        <v>#REF!</v>
      </c>
      <c r="K17" s="2" t="e">
        <f>#REF!</f>
        <v>#REF!</v>
      </c>
      <c r="L17" s="2" t="e">
        <f>VLOOKUP(H17,道具价值!$B$33:$E$45,4,FALSE)*I17+IFERROR(VLOOKUP(J17,道具价值!$B$33:$E$45,4,FALSE)*K17,0)</f>
        <v>#REF!</v>
      </c>
      <c r="M17" s="2" t="e">
        <f>#REF!</f>
        <v>#REF!</v>
      </c>
      <c r="N17" s="2" t="e">
        <f>#REF!</f>
        <v>#REF!</v>
      </c>
      <c r="O17" s="25"/>
      <c r="P17" s="25"/>
      <c r="W17" s="25"/>
      <c r="X17" s="25"/>
      <c r="Y17" s="25"/>
      <c r="Z17" s="25"/>
      <c r="AA17" s="25"/>
      <c r="AB17" s="25"/>
      <c r="AC17" s="25"/>
    </row>
    <row r="18" spans="2:42" x14ac:dyDescent="0.3">
      <c r="B18" s="2" t="e">
        <f>#REF!</f>
        <v>#REF!</v>
      </c>
      <c r="C18" s="2"/>
      <c r="D18" s="2"/>
      <c r="E18" s="2"/>
      <c r="F18" s="25"/>
      <c r="G18" s="2" t="s">
        <v>2587</v>
      </c>
      <c r="H18" s="2" t="e">
        <f>#REF!</f>
        <v>#REF!</v>
      </c>
      <c r="I18" s="2" t="e">
        <f>#REF!</f>
        <v>#REF!</v>
      </c>
      <c r="J18" s="2" t="e">
        <f>#REF!</f>
        <v>#REF!</v>
      </c>
      <c r="K18" s="2" t="e">
        <f>#REF!</f>
        <v>#REF!</v>
      </c>
      <c r="L18" s="2" t="e">
        <f>VLOOKUP(H18,道具价值!$B$33:$E$45,4,FALSE)*I18+IFERROR(VLOOKUP(J18,道具价值!$B$33:$E$45,4,FALSE)*K18,0)</f>
        <v>#REF!</v>
      </c>
      <c r="M18" s="2" t="e">
        <f>#REF!</f>
        <v>#REF!</v>
      </c>
      <c r="N18" s="2" t="e">
        <f>#REF!</f>
        <v>#REF!</v>
      </c>
      <c r="O18" s="25"/>
      <c r="P18" s="25"/>
      <c r="W18" s="25"/>
      <c r="X18" s="25"/>
      <c r="Y18" s="25"/>
      <c r="Z18" s="25"/>
      <c r="AA18" s="25"/>
      <c r="AB18" s="25"/>
    </row>
    <row r="19" spans="2:42" x14ac:dyDescent="0.3">
      <c r="B19" s="2" t="e">
        <f>#REF!</f>
        <v>#REF!</v>
      </c>
      <c r="C19" s="2" t="e">
        <f>#REF!</f>
        <v>#REF!</v>
      </c>
      <c r="D19" s="2" t="e">
        <f>#REF!</f>
        <v>#REF!</v>
      </c>
      <c r="E19" s="2"/>
      <c r="F19" s="25"/>
      <c r="G19" s="2" t="s">
        <v>2589</v>
      </c>
      <c r="H19" s="2" t="e">
        <f>#REF!</f>
        <v>#REF!</v>
      </c>
      <c r="I19" s="2" t="e">
        <f>#REF!</f>
        <v>#REF!</v>
      </c>
      <c r="J19" s="2" t="e">
        <f>#REF!</f>
        <v>#REF!</v>
      </c>
      <c r="K19" s="2" t="e">
        <f>#REF!</f>
        <v>#REF!</v>
      </c>
      <c r="L19" s="2" t="e">
        <f>VLOOKUP(H19,道具价值!$B$33:$E$45,4,FALSE)*I19+IFERROR(VLOOKUP(J19,道具价值!$B$33:$E$45,4,FALSE)*K19,0)</f>
        <v>#REF!</v>
      </c>
      <c r="M19" s="2" t="e">
        <f>#REF!</f>
        <v>#REF!</v>
      </c>
      <c r="N19" s="2" t="e">
        <f>#REF!</f>
        <v>#REF!</v>
      </c>
      <c r="O19" s="25"/>
      <c r="P19" s="25"/>
      <c r="W19" s="25"/>
      <c r="X19" s="25"/>
      <c r="Y19" s="25"/>
      <c r="Z19" s="25"/>
      <c r="AA19" s="25"/>
      <c r="AB19" s="25"/>
    </row>
    <row r="20" spans="2:42" x14ac:dyDescent="0.3">
      <c r="B20" s="2" t="e">
        <f>#REF!</f>
        <v>#REF!</v>
      </c>
      <c r="C20" s="2"/>
      <c r="D20" s="2"/>
      <c r="E20" s="2"/>
      <c r="F20" s="25"/>
      <c r="G20" s="25"/>
      <c r="H20" s="25"/>
      <c r="I20" s="25"/>
      <c r="J20" s="25"/>
      <c r="K20" s="25"/>
      <c r="L20" s="25"/>
      <c r="M20" s="25"/>
      <c r="N20" s="25"/>
      <c r="O20" s="25"/>
      <c r="P20" s="25"/>
      <c r="W20" s="25"/>
      <c r="X20" s="25"/>
      <c r="Y20" s="25"/>
      <c r="Z20" s="25"/>
      <c r="AA20" s="25"/>
      <c r="AB20" s="25"/>
    </row>
    <row r="21" spans="2:42" x14ac:dyDescent="0.3">
      <c r="B21" s="2" t="e">
        <f>#REF!</f>
        <v>#REF!</v>
      </c>
      <c r="C21" s="2"/>
      <c r="D21" s="2"/>
      <c r="E21" s="2"/>
      <c r="F21" s="25"/>
      <c r="G21" s="25"/>
      <c r="H21" s="25"/>
      <c r="I21" s="25"/>
      <c r="J21" s="25"/>
      <c r="K21" s="25"/>
      <c r="L21" s="25"/>
      <c r="M21" s="25"/>
      <c r="N21" s="25"/>
      <c r="O21" s="25"/>
      <c r="P21" s="25"/>
      <c r="Q21" s="25"/>
      <c r="R21" s="25"/>
      <c r="S21" s="25"/>
      <c r="T21" s="25"/>
      <c r="U21" s="25"/>
      <c r="V21" s="25"/>
      <c r="W21" s="25"/>
      <c r="X21" s="25"/>
      <c r="Y21" s="25"/>
      <c r="Z21" s="25"/>
      <c r="AA21" s="25"/>
      <c r="AB21" s="25"/>
      <c r="AC21" s="25"/>
    </row>
    <row r="22" spans="2:42" x14ac:dyDescent="0.3">
      <c r="B22" s="2" t="e">
        <f>#REF!</f>
        <v>#REF!</v>
      </c>
      <c r="C22" s="2" t="e">
        <f>#REF!</f>
        <v>#REF!</v>
      </c>
      <c r="D22" s="2" t="e">
        <f>#REF!</f>
        <v>#REF!</v>
      </c>
      <c r="E22" s="2" t="e">
        <f>#REF!</f>
        <v>#REF!</v>
      </c>
      <c r="F22" s="25"/>
      <c r="G22" s="2" t="s">
        <v>377</v>
      </c>
      <c r="H22" s="2" t="s">
        <v>2858</v>
      </c>
      <c r="I22" s="2" t="s">
        <v>2859</v>
      </c>
      <c r="J22" s="2" t="s">
        <v>2860</v>
      </c>
      <c r="K22" s="2" t="s">
        <v>2861</v>
      </c>
      <c r="L22" s="2" t="s">
        <v>2862</v>
      </c>
      <c r="M22" s="2" t="s">
        <v>2863</v>
      </c>
      <c r="N22" s="2" t="s">
        <v>1808</v>
      </c>
      <c r="O22" s="2" t="s">
        <v>317</v>
      </c>
      <c r="P22" s="2" t="s">
        <v>2864</v>
      </c>
      <c r="Q22" s="2" t="s">
        <v>2865</v>
      </c>
      <c r="R22" s="2" t="s">
        <v>1818</v>
      </c>
      <c r="S22" s="2" t="s">
        <v>2866</v>
      </c>
      <c r="T22" s="2" t="s">
        <v>2867</v>
      </c>
      <c r="U22" s="2" t="s">
        <v>1820</v>
      </c>
      <c r="V22" s="2" t="s">
        <v>2868</v>
      </c>
      <c r="W22" s="2" t="s">
        <v>2869</v>
      </c>
      <c r="X22" s="2" t="s">
        <v>1822</v>
      </c>
      <c r="Y22" s="2" t="s">
        <v>2870</v>
      </c>
      <c r="Z22" s="2" t="s">
        <v>2871</v>
      </c>
      <c r="AA22" s="2" t="s">
        <v>2872</v>
      </c>
      <c r="AB22" s="2" t="s">
        <v>2873</v>
      </c>
      <c r="AC22" s="2" t="s">
        <v>2874</v>
      </c>
      <c r="AD22" s="2" t="s">
        <v>2875</v>
      </c>
      <c r="AE22" s="2" t="s">
        <v>2876</v>
      </c>
      <c r="AF22" s="2" t="s">
        <v>2877</v>
      </c>
      <c r="AG22" s="2" t="s">
        <v>2878</v>
      </c>
      <c r="AH22" s="2" t="s">
        <v>2879</v>
      </c>
      <c r="AI22" s="2" t="s">
        <v>2880</v>
      </c>
      <c r="AJ22" s="2" t="s">
        <v>2881</v>
      </c>
      <c r="AK22" s="2" t="s">
        <v>2882</v>
      </c>
      <c r="AL22" s="2" t="s">
        <v>2883</v>
      </c>
      <c r="AP22" s="120" t="s">
        <v>2884</v>
      </c>
    </row>
    <row r="23" spans="2:42" x14ac:dyDescent="0.3">
      <c r="B23" s="2" t="e">
        <f>#REF!</f>
        <v>#REF!</v>
      </c>
      <c r="C23" s="2" t="e">
        <f>#REF!</f>
        <v>#REF!</v>
      </c>
      <c r="D23" s="2" t="e">
        <f>#REF!</f>
        <v>#REF!</v>
      </c>
      <c r="E23" s="2"/>
      <c r="F23" s="25"/>
      <c r="G23" s="2">
        <v>1</v>
      </c>
      <c r="H23" s="2" t="s">
        <v>2563</v>
      </c>
      <c r="I23" s="2" t="s">
        <v>578</v>
      </c>
      <c r="J23" s="2" t="s">
        <v>317</v>
      </c>
      <c r="K23" s="2" t="e">
        <f t="shared" ref="K23:K54" si="0">IFERROR(VLOOKUP(LEFT(H23,4),$B$40:$C$81,2,FALSE),VLOOKUP(H23,$B$40:$C$81,2,FALSE))</f>
        <v>#REF!</v>
      </c>
      <c r="L23" s="2">
        <f t="shared" ref="L23:L40" si="1">VLOOKUP(I23,$B$40:$C$81,2,FALSE)</f>
        <v>60</v>
      </c>
      <c r="M23" s="2">
        <f t="shared" ref="M23:M40" si="2">VLOOKUP(J23,$B$40:$C$81,2,FALSE)</f>
        <v>1</v>
      </c>
      <c r="N23" s="2">
        <v>1</v>
      </c>
      <c r="O23" s="2" t="e">
        <f>N23*#REF!</f>
        <v>#REF!</v>
      </c>
      <c r="P23" s="2">
        <v>5</v>
      </c>
      <c r="Q23" s="2" t="e">
        <f t="shared" ref="Q23:Q34" si="3">O23*P23</f>
        <v>#REF!</v>
      </c>
      <c r="R23" s="2">
        <v>1</v>
      </c>
      <c r="S23" s="2" t="e">
        <f t="shared" ref="S23:S34" si="4">R23*K23</f>
        <v>#REF!</v>
      </c>
      <c r="T23" s="2" t="e">
        <f t="shared" ref="T23:T34" si="5">S23/Q23</f>
        <v>#REF!</v>
      </c>
      <c r="U23" s="2">
        <v>2</v>
      </c>
      <c r="V23" s="2">
        <f t="shared" ref="V23:V34" si="6">U23*L23</f>
        <v>120</v>
      </c>
      <c r="W23" s="2" t="e">
        <f t="shared" ref="W23:W34" si="7">V23/Q23</f>
        <v>#REF!</v>
      </c>
      <c r="X23" s="2">
        <v>300</v>
      </c>
      <c r="Y23" s="2" t="e">
        <f t="shared" ref="Y23:Y40" si="8">Z23*Q23</f>
        <v>#REF!</v>
      </c>
      <c r="Z23" s="2" t="e">
        <f t="shared" ref="Z23:Z40" si="9">1-T23-W23</f>
        <v>#REF!</v>
      </c>
      <c r="AA23" s="2" t="e">
        <f t="shared" ref="AA23:AA54" si="10">R23*K23+U23*L23+X23*M23</f>
        <v>#REF!</v>
      </c>
      <c r="AB23" s="2" t="e">
        <f t="shared" ref="AB23:AB54" si="11">1-1/(AA23/O23)</f>
        <v>#REF!</v>
      </c>
      <c r="AC23" s="2">
        <f t="shared" ref="AC23:AC40" si="12">VLOOKUP(H23,道具ID,2,FALSE)</f>
        <v>23201</v>
      </c>
      <c r="AD23" s="2">
        <f t="shared" ref="AD23:AD40" si="13">VLOOKUP(I23,道具ID,2,FALSE)</f>
        <v>100302</v>
      </c>
      <c r="AE23" s="2">
        <f t="shared" ref="AE23:AE40" si="14">VLOOKUP(J23,道具ID,2,FALSE)</f>
        <v>101</v>
      </c>
      <c r="AF23" s="2" t="str">
        <f t="shared" ref="AF23:AF40" si="15">VLOOKUP(H23,道具ID,3,FALSE)</f>
        <v>chest_tankpart</v>
      </c>
      <c r="AG23" s="2" t="str">
        <f t="shared" ref="AG23:AG40" si="16">VLOOKUP(I23,道具ID,3,FALSE)</f>
        <v>StoreQuikenItem_1</v>
      </c>
      <c r="AH23" s="2" t="str">
        <f t="shared" ref="AH23:AH40" si="17">VLOOKUP(J23,道具ID,3,FALSE)</f>
        <v>StoreDiamond_1</v>
      </c>
      <c r="AI23" s="2" t="str">
        <f>"["&amp;AC23&amp;","&amp;AD23&amp;","&amp;AE23&amp;"]"</f>
        <v>[23201,100302,101]</v>
      </c>
      <c r="AJ23" s="2" t="str">
        <f>"["&amp;R23&amp;","&amp;U23&amp;","&amp;X23&amp;"]"</f>
        <v>[1,2,300]</v>
      </c>
      <c r="AK23" s="2" t="str">
        <f>"["&amp;AF23&amp;","&amp;AG23&amp;","&amp;AH23&amp;"]"</f>
        <v>[chest_tankpart,StoreQuikenItem_1,StoreDiamond_1]</v>
      </c>
      <c r="AL23" s="2" t="str">
        <f>G23&amp;"+"&amp;N23&amp;"+"&amp;LEFT(H23,4)</f>
        <v>1+1+部件礼包</v>
      </c>
      <c r="AM23" s="1" t="str">
        <f t="shared" ref="AM23:AM40" si="18">VLOOKUP(H23,道具ID,4,FALSE)</f>
        <v>T1 Component</v>
      </c>
      <c r="AN23" s="1" t="str">
        <f t="shared" ref="AN23:AN40" si="19">VLOOKUP(I23,道具ID,4,FALSE)</f>
        <v>1H_X3_Accelerater</v>
      </c>
      <c r="AO23" s="1" t="str">
        <f t="shared" ref="AO23:AO40" si="20">VLOOKUP(J23,道具ID,4,FALSE)</f>
        <v>Diamond</v>
      </c>
    </row>
    <row r="24" spans="2:42" x14ac:dyDescent="0.3">
      <c r="B24" s="2" t="e">
        <f>#REF!</f>
        <v>#REF!</v>
      </c>
      <c r="C24" s="2" t="e">
        <f>#REF!</f>
        <v>#REF!</v>
      </c>
      <c r="D24" s="2" t="e">
        <f>#REF!</f>
        <v>#REF!</v>
      </c>
      <c r="E24" s="2"/>
      <c r="F24" s="25"/>
      <c r="G24" s="2">
        <v>1</v>
      </c>
      <c r="H24" s="2" t="s">
        <v>2575</v>
      </c>
      <c r="I24" s="2" t="s">
        <v>511</v>
      </c>
      <c r="J24" s="2" t="s">
        <v>268</v>
      </c>
      <c r="K24" s="2" t="e">
        <f t="shared" si="0"/>
        <v>#REF!</v>
      </c>
      <c r="L24" s="2">
        <f t="shared" si="1"/>
        <v>0.50000000000000044</v>
      </c>
      <c r="M24" s="2">
        <f t="shared" si="2"/>
        <v>3.9623576027736501E-3</v>
      </c>
      <c r="N24" s="2">
        <v>1</v>
      </c>
      <c r="O24" s="2" t="e">
        <f>N24*#REF!</f>
        <v>#REF!</v>
      </c>
      <c r="P24" s="2">
        <v>5</v>
      </c>
      <c r="Q24" s="2" t="e">
        <f t="shared" si="3"/>
        <v>#REF!</v>
      </c>
      <c r="R24" s="2">
        <v>2</v>
      </c>
      <c r="S24" s="2" t="e">
        <f t="shared" si="4"/>
        <v>#REF!</v>
      </c>
      <c r="T24" s="2" t="e">
        <f t="shared" si="5"/>
        <v>#REF!</v>
      </c>
      <c r="U24" s="2">
        <v>100</v>
      </c>
      <c r="V24" s="2">
        <f t="shared" si="6"/>
        <v>50.000000000000043</v>
      </c>
      <c r="W24" s="2" t="e">
        <f t="shared" si="7"/>
        <v>#REF!</v>
      </c>
      <c r="X24" s="2">
        <v>20000</v>
      </c>
      <c r="Y24" s="2" t="e">
        <f t="shared" si="8"/>
        <v>#REF!</v>
      </c>
      <c r="Z24" s="2" t="e">
        <f t="shared" si="9"/>
        <v>#REF!</v>
      </c>
      <c r="AA24" s="2" t="e">
        <f t="shared" si="10"/>
        <v>#REF!</v>
      </c>
      <c r="AB24" s="2" t="e">
        <f t="shared" si="11"/>
        <v>#REF!</v>
      </c>
      <c r="AC24" s="2">
        <f t="shared" si="12"/>
        <v>24201</v>
      </c>
      <c r="AD24" s="2">
        <f t="shared" si="13"/>
        <v>111</v>
      </c>
      <c r="AE24" s="2">
        <f t="shared" si="14"/>
        <v>102</v>
      </c>
      <c r="AF24" s="2" t="str">
        <f t="shared" si="15"/>
        <v>chest_shard</v>
      </c>
      <c r="AG24" s="2" t="str">
        <f t="shared" si="16"/>
        <v>StoreDoubleKey_1</v>
      </c>
      <c r="AH24" s="2" t="str">
        <f t="shared" si="17"/>
        <v>StoreFund_3</v>
      </c>
      <c r="AI24" s="2" t="str">
        <f t="shared" ref="AI24:AI87" si="21">"["&amp;AC24&amp;","&amp;AD24&amp;","&amp;AE24&amp;"]"</f>
        <v>[24201,111,102]</v>
      </c>
      <c r="AJ24" s="2" t="str">
        <f t="shared" ref="AJ24:AJ87" si="22">"["&amp;R24&amp;","&amp;U24&amp;","&amp;X24&amp;"]"</f>
        <v>[2,100,20000]</v>
      </c>
      <c r="AK24" s="2" t="str">
        <f t="shared" ref="AK24:AK87" si="23">"["&amp;AF24&amp;","&amp;AG24&amp;","&amp;AH24&amp;"]"</f>
        <v>[chest_shard,StoreDoubleKey_1,StoreFund_3]</v>
      </c>
      <c r="AL24" s="2" t="str">
        <f t="shared" ref="AL24:AL87" si="24">G24&amp;"+"&amp;N24&amp;"+"&amp;LEFT(H24,4)</f>
        <v>1+1+碎片礼包</v>
      </c>
      <c r="AM24" s="1" t="str">
        <f t="shared" si="18"/>
        <v xml:space="preserve"> T1 General Shard</v>
      </c>
      <c r="AN24" s="1" t="str">
        <f t="shared" si="19"/>
        <v>DoubleKeys</v>
      </c>
      <c r="AO24" s="1" t="str">
        <f t="shared" si="20"/>
        <v>Funds</v>
      </c>
    </row>
    <row r="25" spans="2:42" x14ac:dyDescent="0.3">
      <c r="G25" s="2">
        <v>1</v>
      </c>
      <c r="H25" s="2" t="s">
        <v>2563</v>
      </c>
      <c r="I25" s="2" t="s">
        <v>578</v>
      </c>
      <c r="J25" s="2" t="s">
        <v>317</v>
      </c>
      <c r="K25" s="2" t="e">
        <f t="shared" si="0"/>
        <v>#REF!</v>
      </c>
      <c r="L25" s="2">
        <f t="shared" si="1"/>
        <v>60</v>
      </c>
      <c r="M25" s="2">
        <f t="shared" si="2"/>
        <v>1</v>
      </c>
      <c r="N25" s="2">
        <v>3</v>
      </c>
      <c r="O25" s="2" t="e">
        <f>N25*#REF!</f>
        <v>#REF!</v>
      </c>
      <c r="P25" s="2">
        <v>5</v>
      </c>
      <c r="Q25" s="2" t="e">
        <f t="shared" si="3"/>
        <v>#REF!</v>
      </c>
      <c r="R25" s="2">
        <v>2</v>
      </c>
      <c r="S25" s="2" t="e">
        <f t="shared" si="4"/>
        <v>#REF!</v>
      </c>
      <c r="T25" s="2" t="e">
        <f t="shared" si="5"/>
        <v>#REF!</v>
      </c>
      <c r="U25" s="2">
        <v>10</v>
      </c>
      <c r="V25" s="2">
        <f t="shared" si="6"/>
        <v>600</v>
      </c>
      <c r="W25" s="2" t="e">
        <f t="shared" si="7"/>
        <v>#REF!</v>
      </c>
      <c r="X25" s="2">
        <v>700</v>
      </c>
      <c r="Y25" s="2" t="e">
        <f t="shared" si="8"/>
        <v>#REF!</v>
      </c>
      <c r="Z25" s="2" t="e">
        <f t="shared" si="9"/>
        <v>#REF!</v>
      </c>
      <c r="AA25" s="2" t="e">
        <f t="shared" si="10"/>
        <v>#REF!</v>
      </c>
      <c r="AB25" s="2" t="e">
        <f t="shared" si="11"/>
        <v>#REF!</v>
      </c>
      <c r="AC25" s="2">
        <f t="shared" si="12"/>
        <v>23201</v>
      </c>
      <c r="AD25" s="2">
        <f t="shared" si="13"/>
        <v>100302</v>
      </c>
      <c r="AE25" s="2">
        <f t="shared" si="14"/>
        <v>101</v>
      </c>
      <c r="AF25" s="2" t="str">
        <f t="shared" si="15"/>
        <v>chest_tankpart</v>
      </c>
      <c r="AG25" s="2" t="str">
        <f t="shared" si="16"/>
        <v>StoreQuikenItem_1</v>
      </c>
      <c r="AH25" s="2" t="str">
        <f t="shared" si="17"/>
        <v>StoreDiamond_1</v>
      </c>
      <c r="AI25" s="2" t="str">
        <f t="shared" si="21"/>
        <v>[23201,100302,101]</v>
      </c>
      <c r="AJ25" s="2" t="str">
        <f t="shared" si="22"/>
        <v>[2,10,700]</v>
      </c>
      <c r="AK25" s="2" t="str">
        <f t="shared" si="23"/>
        <v>[chest_tankpart,StoreQuikenItem_1,StoreDiamond_1]</v>
      </c>
      <c r="AL25" s="2" t="str">
        <f t="shared" si="24"/>
        <v>1+3+部件礼包</v>
      </c>
      <c r="AM25" s="1" t="str">
        <f t="shared" si="18"/>
        <v>T1 Component</v>
      </c>
      <c r="AN25" s="1" t="str">
        <f t="shared" si="19"/>
        <v>1H_X3_Accelerater</v>
      </c>
      <c r="AO25" s="1" t="str">
        <f t="shared" si="20"/>
        <v>Diamond</v>
      </c>
    </row>
    <row r="26" spans="2:42" x14ac:dyDescent="0.3">
      <c r="B26" s="352" t="s">
        <v>2885</v>
      </c>
      <c r="C26" s="353"/>
      <c r="D26" s="354"/>
      <c r="G26" s="2">
        <v>1</v>
      </c>
      <c r="H26" s="2" t="s">
        <v>2575</v>
      </c>
      <c r="I26" s="2" t="s">
        <v>511</v>
      </c>
      <c r="J26" s="2" t="s">
        <v>268</v>
      </c>
      <c r="K26" s="2" t="e">
        <f t="shared" si="0"/>
        <v>#REF!</v>
      </c>
      <c r="L26" s="2">
        <f t="shared" si="1"/>
        <v>0.50000000000000044</v>
      </c>
      <c r="M26" s="2">
        <f t="shared" si="2"/>
        <v>3.9623576027736501E-3</v>
      </c>
      <c r="N26" s="2">
        <v>3</v>
      </c>
      <c r="O26" s="2" t="e">
        <f>N26*#REF!</f>
        <v>#REF!</v>
      </c>
      <c r="P26" s="2">
        <v>5</v>
      </c>
      <c r="Q26" s="2" t="e">
        <f t="shared" si="3"/>
        <v>#REF!</v>
      </c>
      <c r="R26" s="2">
        <v>7</v>
      </c>
      <c r="S26" s="2" t="e">
        <f t="shared" si="4"/>
        <v>#REF!</v>
      </c>
      <c r="T26" s="2" t="e">
        <f t="shared" si="5"/>
        <v>#REF!</v>
      </c>
      <c r="U26" s="2">
        <v>77</v>
      </c>
      <c r="V26" s="2">
        <f t="shared" si="6"/>
        <v>38.500000000000036</v>
      </c>
      <c r="W26" s="2" t="e">
        <f t="shared" si="7"/>
        <v>#REF!</v>
      </c>
      <c r="X26" s="2">
        <v>50000</v>
      </c>
      <c r="Y26" s="2" t="e">
        <f t="shared" si="8"/>
        <v>#REF!</v>
      </c>
      <c r="Z26" s="2" t="e">
        <f t="shared" si="9"/>
        <v>#REF!</v>
      </c>
      <c r="AA26" s="2" t="e">
        <f t="shared" si="10"/>
        <v>#REF!</v>
      </c>
      <c r="AB26" s="2" t="e">
        <f t="shared" si="11"/>
        <v>#REF!</v>
      </c>
      <c r="AC26" s="2">
        <f t="shared" si="12"/>
        <v>24201</v>
      </c>
      <c r="AD26" s="2">
        <f t="shared" si="13"/>
        <v>111</v>
      </c>
      <c r="AE26" s="2">
        <f t="shared" si="14"/>
        <v>102</v>
      </c>
      <c r="AF26" s="2" t="str">
        <f t="shared" si="15"/>
        <v>chest_shard</v>
      </c>
      <c r="AG26" s="2" t="str">
        <f t="shared" si="16"/>
        <v>StoreDoubleKey_1</v>
      </c>
      <c r="AH26" s="2" t="str">
        <f t="shared" si="17"/>
        <v>StoreFund_3</v>
      </c>
      <c r="AI26" s="2" t="str">
        <f t="shared" si="21"/>
        <v>[24201,111,102]</v>
      </c>
      <c r="AJ26" s="2" t="str">
        <f t="shared" si="22"/>
        <v>[7,77,50000]</v>
      </c>
      <c r="AK26" s="2" t="str">
        <f t="shared" si="23"/>
        <v>[chest_shard,StoreDoubleKey_1,StoreFund_3]</v>
      </c>
      <c r="AL26" s="2" t="str">
        <f t="shared" si="24"/>
        <v>1+3+碎片礼包</v>
      </c>
      <c r="AM26" s="1" t="str">
        <f t="shared" si="18"/>
        <v xml:space="preserve"> T1 General Shard</v>
      </c>
      <c r="AN26" s="1" t="str">
        <f t="shared" si="19"/>
        <v>DoubleKeys</v>
      </c>
      <c r="AO26" s="1" t="str">
        <f t="shared" si="20"/>
        <v>Funds</v>
      </c>
    </row>
    <row r="27" spans="2:42" x14ac:dyDescent="0.3">
      <c r="B27" s="2" t="s">
        <v>377</v>
      </c>
      <c r="C27" s="2" t="s">
        <v>2886</v>
      </c>
      <c r="D27" s="2" t="s">
        <v>2887</v>
      </c>
      <c r="G27" s="2">
        <v>1</v>
      </c>
      <c r="H27" s="2" t="s">
        <v>2563</v>
      </c>
      <c r="I27" s="2" t="s">
        <v>578</v>
      </c>
      <c r="J27" s="2" t="s">
        <v>317</v>
      </c>
      <c r="K27" s="2" t="e">
        <f t="shared" si="0"/>
        <v>#REF!</v>
      </c>
      <c r="L27" s="2">
        <f t="shared" si="1"/>
        <v>60</v>
      </c>
      <c r="M27" s="2">
        <f t="shared" si="2"/>
        <v>1</v>
      </c>
      <c r="N27" s="2">
        <v>5</v>
      </c>
      <c r="O27" s="2" t="e">
        <f>N27*#REF!</f>
        <v>#REF!</v>
      </c>
      <c r="P27" s="2">
        <v>5</v>
      </c>
      <c r="Q27" s="2" t="e">
        <f t="shared" si="3"/>
        <v>#REF!</v>
      </c>
      <c r="R27" s="2">
        <v>3</v>
      </c>
      <c r="S27" s="2" t="e">
        <f t="shared" si="4"/>
        <v>#REF!</v>
      </c>
      <c r="T27" s="2" t="e">
        <f t="shared" si="5"/>
        <v>#REF!</v>
      </c>
      <c r="U27" s="2">
        <v>20</v>
      </c>
      <c r="V27" s="2">
        <f t="shared" si="6"/>
        <v>1200</v>
      </c>
      <c r="W27" s="2" t="e">
        <f t="shared" si="7"/>
        <v>#REF!</v>
      </c>
      <c r="X27" s="2">
        <v>1000</v>
      </c>
      <c r="Y27" s="2" t="e">
        <f t="shared" si="8"/>
        <v>#REF!</v>
      </c>
      <c r="Z27" s="2" t="e">
        <f t="shared" si="9"/>
        <v>#REF!</v>
      </c>
      <c r="AA27" s="2" t="e">
        <f t="shared" si="10"/>
        <v>#REF!</v>
      </c>
      <c r="AB27" s="2" t="e">
        <f t="shared" si="11"/>
        <v>#REF!</v>
      </c>
      <c r="AC27" s="2">
        <f t="shared" si="12"/>
        <v>23201</v>
      </c>
      <c r="AD27" s="2">
        <f t="shared" si="13"/>
        <v>100302</v>
      </c>
      <c r="AE27" s="2">
        <f t="shared" si="14"/>
        <v>101</v>
      </c>
      <c r="AF27" s="2" t="str">
        <f t="shared" si="15"/>
        <v>chest_tankpart</v>
      </c>
      <c r="AG27" s="2" t="str">
        <f t="shared" si="16"/>
        <v>StoreQuikenItem_1</v>
      </c>
      <c r="AH27" s="2" t="str">
        <f t="shared" si="17"/>
        <v>StoreDiamond_1</v>
      </c>
      <c r="AI27" s="2" t="str">
        <f t="shared" si="21"/>
        <v>[23201,100302,101]</v>
      </c>
      <c r="AJ27" s="2" t="str">
        <f t="shared" si="22"/>
        <v>[3,20,1000]</v>
      </c>
      <c r="AK27" s="2" t="str">
        <f t="shared" si="23"/>
        <v>[chest_tankpart,StoreQuikenItem_1,StoreDiamond_1]</v>
      </c>
      <c r="AL27" s="2" t="str">
        <f t="shared" si="24"/>
        <v>1+5+部件礼包</v>
      </c>
      <c r="AM27" s="1" t="str">
        <f t="shared" si="18"/>
        <v>T1 Component</v>
      </c>
      <c r="AN27" s="1" t="str">
        <f t="shared" si="19"/>
        <v>1H_X3_Accelerater</v>
      </c>
      <c r="AO27" s="1" t="str">
        <f t="shared" si="20"/>
        <v>Diamond</v>
      </c>
    </row>
    <row r="28" spans="2:42" x14ac:dyDescent="0.3">
      <c r="B28" s="2" t="e">
        <f>#REF!</f>
        <v>#REF!</v>
      </c>
      <c r="C28" s="2" t="e">
        <f>#REF!</f>
        <v>#REF!</v>
      </c>
      <c r="D28" s="2"/>
      <c r="G28" s="2">
        <v>1</v>
      </c>
      <c r="H28" s="2" t="s">
        <v>2575</v>
      </c>
      <c r="I28" s="2" t="s">
        <v>511</v>
      </c>
      <c r="J28" s="2" t="s">
        <v>268</v>
      </c>
      <c r="K28" s="2" t="e">
        <f t="shared" si="0"/>
        <v>#REF!</v>
      </c>
      <c r="L28" s="2">
        <f t="shared" si="1"/>
        <v>0.50000000000000044</v>
      </c>
      <c r="M28" s="2">
        <f t="shared" si="2"/>
        <v>3.9623576027736501E-3</v>
      </c>
      <c r="N28" s="2">
        <v>5</v>
      </c>
      <c r="O28" s="2" t="e">
        <f>N28*#REF!</f>
        <v>#REF!</v>
      </c>
      <c r="P28" s="2">
        <v>5</v>
      </c>
      <c r="Q28" s="2" t="e">
        <f t="shared" si="3"/>
        <v>#REF!</v>
      </c>
      <c r="R28" s="2">
        <v>12</v>
      </c>
      <c r="S28" s="2" t="e">
        <f t="shared" si="4"/>
        <v>#REF!</v>
      </c>
      <c r="T28" s="2" t="e">
        <f t="shared" si="5"/>
        <v>#REF!</v>
      </c>
      <c r="U28" s="2">
        <v>50</v>
      </c>
      <c r="V28" s="2">
        <f t="shared" si="6"/>
        <v>25.000000000000021</v>
      </c>
      <c r="W28" s="2" t="e">
        <f t="shared" si="7"/>
        <v>#REF!</v>
      </c>
      <c r="X28" s="2">
        <v>80000</v>
      </c>
      <c r="Y28" s="2" t="e">
        <f t="shared" si="8"/>
        <v>#REF!</v>
      </c>
      <c r="Z28" s="2" t="e">
        <f t="shared" si="9"/>
        <v>#REF!</v>
      </c>
      <c r="AA28" s="2" t="e">
        <f t="shared" si="10"/>
        <v>#REF!</v>
      </c>
      <c r="AB28" s="2" t="e">
        <f t="shared" si="11"/>
        <v>#REF!</v>
      </c>
      <c r="AC28" s="2">
        <f t="shared" si="12"/>
        <v>24201</v>
      </c>
      <c r="AD28" s="2">
        <f t="shared" si="13"/>
        <v>111</v>
      </c>
      <c r="AE28" s="2">
        <f t="shared" si="14"/>
        <v>102</v>
      </c>
      <c r="AF28" s="2" t="str">
        <f t="shared" si="15"/>
        <v>chest_shard</v>
      </c>
      <c r="AG28" s="2" t="str">
        <f t="shared" si="16"/>
        <v>StoreDoubleKey_1</v>
      </c>
      <c r="AH28" s="2" t="str">
        <f t="shared" si="17"/>
        <v>StoreFund_3</v>
      </c>
      <c r="AI28" s="2" t="str">
        <f t="shared" si="21"/>
        <v>[24201,111,102]</v>
      </c>
      <c r="AJ28" s="2" t="str">
        <f t="shared" si="22"/>
        <v>[12,50,80000]</v>
      </c>
      <c r="AK28" s="2" t="str">
        <f t="shared" si="23"/>
        <v>[chest_shard,StoreDoubleKey_1,StoreFund_3]</v>
      </c>
      <c r="AL28" s="2" t="str">
        <f t="shared" si="24"/>
        <v>1+5+碎片礼包</v>
      </c>
      <c r="AM28" s="1" t="str">
        <f t="shared" si="18"/>
        <v xml:space="preserve"> T1 General Shard</v>
      </c>
      <c r="AN28" s="1" t="str">
        <f t="shared" si="19"/>
        <v>DoubleKeys</v>
      </c>
      <c r="AO28" s="1" t="str">
        <f t="shared" si="20"/>
        <v>Funds</v>
      </c>
    </row>
    <row r="29" spans="2:42" x14ac:dyDescent="0.3">
      <c r="B29" s="2" t="e">
        <f>#REF!</f>
        <v>#REF!</v>
      </c>
      <c r="C29" s="2" t="e">
        <f>#REF!</f>
        <v>#REF!</v>
      </c>
      <c r="D29" s="2" t="e">
        <f>#REF!</f>
        <v>#REF!</v>
      </c>
      <c r="G29" s="2">
        <v>2</v>
      </c>
      <c r="H29" s="2" t="s">
        <v>2565</v>
      </c>
      <c r="I29" s="2" t="s">
        <v>578</v>
      </c>
      <c r="J29" s="2" t="s">
        <v>317</v>
      </c>
      <c r="K29" s="2" t="e">
        <f t="shared" si="0"/>
        <v>#REF!</v>
      </c>
      <c r="L29" s="2">
        <f t="shared" si="1"/>
        <v>60</v>
      </c>
      <c r="M29" s="2">
        <f t="shared" si="2"/>
        <v>1</v>
      </c>
      <c r="N29" s="2">
        <v>2</v>
      </c>
      <c r="O29" s="2" t="e">
        <f>N29*#REF!</f>
        <v>#REF!</v>
      </c>
      <c r="P29" s="2">
        <v>5</v>
      </c>
      <c r="Q29" s="2" t="e">
        <f t="shared" si="3"/>
        <v>#REF!</v>
      </c>
      <c r="R29" s="2">
        <v>2</v>
      </c>
      <c r="S29" s="2" t="e">
        <f t="shared" si="4"/>
        <v>#REF!</v>
      </c>
      <c r="T29" s="2" t="e">
        <f t="shared" si="5"/>
        <v>#REF!</v>
      </c>
      <c r="U29" s="2">
        <v>10</v>
      </c>
      <c r="V29" s="2">
        <f t="shared" si="6"/>
        <v>600</v>
      </c>
      <c r="W29" s="2" t="e">
        <f t="shared" si="7"/>
        <v>#REF!</v>
      </c>
      <c r="X29" s="2">
        <v>200</v>
      </c>
      <c r="Y29" s="2" t="e">
        <f t="shared" si="8"/>
        <v>#REF!</v>
      </c>
      <c r="Z29" s="2" t="e">
        <f t="shared" si="9"/>
        <v>#REF!</v>
      </c>
      <c r="AA29" s="2" t="e">
        <f t="shared" si="10"/>
        <v>#REF!</v>
      </c>
      <c r="AB29" s="2" t="e">
        <f t="shared" si="11"/>
        <v>#REF!</v>
      </c>
      <c r="AC29" s="2">
        <f t="shared" si="12"/>
        <v>23202</v>
      </c>
      <c r="AD29" s="2">
        <f t="shared" si="13"/>
        <v>100302</v>
      </c>
      <c r="AE29" s="2">
        <f t="shared" si="14"/>
        <v>101</v>
      </c>
      <c r="AF29" s="2" t="str">
        <f t="shared" si="15"/>
        <v>chest_tankpart</v>
      </c>
      <c r="AG29" s="2" t="str">
        <f t="shared" si="16"/>
        <v>StoreQuikenItem_1</v>
      </c>
      <c r="AH29" s="2" t="str">
        <f t="shared" si="17"/>
        <v>StoreDiamond_1</v>
      </c>
      <c r="AI29" s="2" t="str">
        <f t="shared" si="21"/>
        <v>[23202,100302,101]</v>
      </c>
      <c r="AJ29" s="2" t="str">
        <f t="shared" si="22"/>
        <v>[2,10,200]</v>
      </c>
      <c r="AK29" s="2" t="str">
        <f t="shared" si="23"/>
        <v>[chest_tankpart,StoreQuikenItem_1,StoreDiamond_1]</v>
      </c>
      <c r="AL29" s="2" t="str">
        <f t="shared" si="24"/>
        <v>2+2+部件礼包</v>
      </c>
      <c r="AM29" s="1" t="str">
        <f t="shared" si="18"/>
        <v>T1 Component</v>
      </c>
      <c r="AN29" s="1" t="str">
        <f t="shared" si="19"/>
        <v>1H_X3_Accelerater</v>
      </c>
      <c r="AO29" s="1" t="str">
        <f t="shared" si="20"/>
        <v>Diamond</v>
      </c>
    </row>
    <row r="30" spans="2:42" x14ac:dyDescent="0.3">
      <c r="B30" s="2" t="e">
        <f>#REF!</f>
        <v>#REF!</v>
      </c>
      <c r="C30" s="2" t="e">
        <f>#REF!</f>
        <v>#REF!</v>
      </c>
      <c r="D30" s="2" t="e">
        <f>#REF!</f>
        <v>#REF!</v>
      </c>
      <c r="G30" s="2">
        <v>2</v>
      </c>
      <c r="H30" s="2" t="s">
        <v>2577</v>
      </c>
      <c r="I30" s="2" t="s">
        <v>511</v>
      </c>
      <c r="J30" s="2" t="s">
        <v>268</v>
      </c>
      <c r="K30" s="2" t="e">
        <f t="shared" si="0"/>
        <v>#REF!</v>
      </c>
      <c r="L30" s="2">
        <f t="shared" si="1"/>
        <v>0.50000000000000044</v>
      </c>
      <c r="M30" s="2">
        <f t="shared" si="2"/>
        <v>3.9623576027736501E-3</v>
      </c>
      <c r="N30" s="2">
        <v>2</v>
      </c>
      <c r="O30" s="2" t="e">
        <f>N30*#REF!</f>
        <v>#REF!</v>
      </c>
      <c r="P30" s="2">
        <v>5</v>
      </c>
      <c r="Q30" s="2" t="e">
        <f t="shared" si="3"/>
        <v>#REF!</v>
      </c>
      <c r="R30" s="2">
        <v>4</v>
      </c>
      <c r="S30" s="2" t="e">
        <f t="shared" si="4"/>
        <v>#REF!</v>
      </c>
      <c r="T30" s="2" t="e">
        <f t="shared" si="5"/>
        <v>#REF!</v>
      </c>
      <c r="U30" s="2">
        <v>50</v>
      </c>
      <c r="V30" s="2">
        <f t="shared" si="6"/>
        <v>25.000000000000021</v>
      </c>
      <c r="W30" s="2" t="e">
        <f t="shared" si="7"/>
        <v>#REF!</v>
      </c>
      <c r="X30" s="2">
        <v>60000</v>
      </c>
      <c r="Y30" s="2" t="e">
        <f t="shared" si="8"/>
        <v>#REF!</v>
      </c>
      <c r="Z30" s="2" t="e">
        <f t="shared" si="9"/>
        <v>#REF!</v>
      </c>
      <c r="AA30" s="2" t="e">
        <f t="shared" si="10"/>
        <v>#REF!</v>
      </c>
      <c r="AB30" s="2" t="e">
        <f t="shared" si="11"/>
        <v>#REF!</v>
      </c>
      <c r="AC30" s="2">
        <f t="shared" si="12"/>
        <v>24202</v>
      </c>
      <c r="AD30" s="2">
        <f t="shared" si="13"/>
        <v>111</v>
      </c>
      <c r="AE30" s="2">
        <f t="shared" si="14"/>
        <v>102</v>
      </c>
      <c r="AF30" s="2" t="str">
        <f t="shared" si="15"/>
        <v>chest_shard</v>
      </c>
      <c r="AG30" s="2" t="str">
        <f t="shared" si="16"/>
        <v>StoreDoubleKey_1</v>
      </c>
      <c r="AH30" s="2" t="str">
        <f t="shared" si="17"/>
        <v>StoreFund_3</v>
      </c>
      <c r="AI30" s="2" t="str">
        <f t="shared" si="21"/>
        <v>[24202,111,102]</v>
      </c>
      <c r="AJ30" s="2" t="str">
        <f t="shared" si="22"/>
        <v>[4,50,60000]</v>
      </c>
      <c r="AK30" s="2" t="str">
        <f t="shared" si="23"/>
        <v>[chest_shard,StoreDoubleKey_1,StoreFund_3]</v>
      </c>
      <c r="AL30" s="2" t="str">
        <f t="shared" si="24"/>
        <v>2+2+碎片礼包</v>
      </c>
      <c r="AM30" s="1" t="str">
        <f t="shared" si="18"/>
        <v xml:space="preserve"> T2 General Shard</v>
      </c>
      <c r="AN30" s="1" t="str">
        <f t="shared" si="19"/>
        <v>DoubleKeys</v>
      </c>
      <c r="AO30" s="1" t="str">
        <f t="shared" si="20"/>
        <v>Funds</v>
      </c>
    </row>
    <row r="31" spans="2:42" x14ac:dyDescent="0.3">
      <c r="B31" s="2" t="e">
        <f>#REF!</f>
        <v>#REF!</v>
      </c>
      <c r="C31" s="2" t="e">
        <f>#REF!</f>
        <v>#REF!</v>
      </c>
      <c r="D31" s="2" t="e">
        <f>#REF!</f>
        <v>#REF!</v>
      </c>
      <c r="G31" s="2">
        <v>2</v>
      </c>
      <c r="H31" s="2" t="s">
        <v>2565</v>
      </c>
      <c r="I31" s="2" t="s">
        <v>578</v>
      </c>
      <c r="J31" s="2" t="s">
        <v>317</v>
      </c>
      <c r="K31" s="2" t="e">
        <f t="shared" si="0"/>
        <v>#REF!</v>
      </c>
      <c r="L31" s="2">
        <f t="shared" si="1"/>
        <v>60</v>
      </c>
      <c r="M31" s="2">
        <f t="shared" si="2"/>
        <v>1</v>
      </c>
      <c r="N31" s="2">
        <v>5</v>
      </c>
      <c r="O31" s="2" t="e">
        <f>N31*#REF!</f>
        <v>#REF!</v>
      </c>
      <c r="P31" s="2">
        <v>5</v>
      </c>
      <c r="Q31" s="2" t="e">
        <f t="shared" si="3"/>
        <v>#REF!</v>
      </c>
      <c r="R31" s="2">
        <v>3</v>
      </c>
      <c r="S31" s="2" t="e">
        <f t="shared" si="4"/>
        <v>#REF!</v>
      </c>
      <c r="T31" s="2" t="e">
        <f t="shared" si="5"/>
        <v>#REF!</v>
      </c>
      <c r="U31" s="2">
        <v>10</v>
      </c>
      <c r="V31" s="2">
        <f t="shared" si="6"/>
        <v>600</v>
      </c>
      <c r="W31" s="2" t="e">
        <f t="shared" si="7"/>
        <v>#REF!</v>
      </c>
      <c r="X31" s="2">
        <v>1600</v>
      </c>
      <c r="Y31" s="2" t="e">
        <f t="shared" si="8"/>
        <v>#REF!</v>
      </c>
      <c r="Z31" s="2" t="e">
        <f t="shared" si="9"/>
        <v>#REF!</v>
      </c>
      <c r="AA31" s="2" t="e">
        <f t="shared" si="10"/>
        <v>#REF!</v>
      </c>
      <c r="AB31" s="2" t="e">
        <f t="shared" si="11"/>
        <v>#REF!</v>
      </c>
      <c r="AC31" s="2">
        <f t="shared" si="12"/>
        <v>23202</v>
      </c>
      <c r="AD31" s="2">
        <f t="shared" si="13"/>
        <v>100302</v>
      </c>
      <c r="AE31" s="2">
        <f t="shared" si="14"/>
        <v>101</v>
      </c>
      <c r="AF31" s="2" t="str">
        <f t="shared" si="15"/>
        <v>chest_tankpart</v>
      </c>
      <c r="AG31" s="2" t="str">
        <f t="shared" si="16"/>
        <v>StoreQuikenItem_1</v>
      </c>
      <c r="AH31" s="2" t="str">
        <f t="shared" si="17"/>
        <v>StoreDiamond_1</v>
      </c>
      <c r="AI31" s="2" t="str">
        <f t="shared" si="21"/>
        <v>[23202,100302,101]</v>
      </c>
      <c r="AJ31" s="2" t="str">
        <f t="shared" si="22"/>
        <v>[3,10,1600]</v>
      </c>
      <c r="AK31" s="2" t="str">
        <f t="shared" si="23"/>
        <v>[chest_tankpart,StoreQuikenItem_1,StoreDiamond_1]</v>
      </c>
      <c r="AL31" s="2" t="str">
        <f t="shared" si="24"/>
        <v>2+5+部件礼包</v>
      </c>
      <c r="AM31" s="1" t="str">
        <f t="shared" si="18"/>
        <v>T1 Component</v>
      </c>
      <c r="AN31" s="1" t="str">
        <f t="shared" si="19"/>
        <v>1H_X3_Accelerater</v>
      </c>
      <c r="AO31" s="1" t="str">
        <f t="shared" si="20"/>
        <v>Diamond</v>
      </c>
    </row>
    <row r="32" spans="2:42" x14ac:dyDescent="0.3">
      <c r="B32" s="2" t="e">
        <f>#REF!</f>
        <v>#REF!</v>
      </c>
      <c r="C32" s="2" t="e">
        <f>#REF!</f>
        <v>#REF!</v>
      </c>
      <c r="D32" s="2" t="e">
        <f>#REF!</f>
        <v>#REF!</v>
      </c>
      <c r="G32" s="2">
        <v>2</v>
      </c>
      <c r="H32" s="2" t="s">
        <v>2577</v>
      </c>
      <c r="I32" s="2" t="s">
        <v>511</v>
      </c>
      <c r="J32" s="2" t="s">
        <v>268</v>
      </c>
      <c r="K32" s="2" t="e">
        <f t="shared" si="0"/>
        <v>#REF!</v>
      </c>
      <c r="L32" s="2">
        <f t="shared" si="1"/>
        <v>0.50000000000000044</v>
      </c>
      <c r="M32" s="2">
        <f t="shared" si="2"/>
        <v>3.9623576027736501E-3</v>
      </c>
      <c r="N32" s="2">
        <v>5</v>
      </c>
      <c r="O32" s="2" t="e">
        <f>N32*#REF!</f>
        <v>#REF!</v>
      </c>
      <c r="P32" s="2">
        <v>5</v>
      </c>
      <c r="Q32" s="2" t="e">
        <f t="shared" si="3"/>
        <v>#REF!</v>
      </c>
      <c r="R32" s="2">
        <v>12</v>
      </c>
      <c r="S32" s="2" t="e">
        <f t="shared" si="4"/>
        <v>#REF!</v>
      </c>
      <c r="T32" s="2" t="e">
        <f t="shared" si="5"/>
        <v>#REF!</v>
      </c>
      <c r="U32" s="2">
        <v>50</v>
      </c>
      <c r="V32" s="2">
        <f t="shared" si="6"/>
        <v>25.000000000000021</v>
      </c>
      <c r="W32" s="2" t="e">
        <f t="shared" si="7"/>
        <v>#REF!</v>
      </c>
      <c r="X32" s="2">
        <v>80000</v>
      </c>
      <c r="Y32" s="2" t="e">
        <f t="shared" si="8"/>
        <v>#REF!</v>
      </c>
      <c r="Z32" s="2" t="e">
        <f t="shared" si="9"/>
        <v>#REF!</v>
      </c>
      <c r="AA32" s="2" t="e">
        <f t="shared" si="10"/>
        <v>#REF!</v>
      </c>
      <c r="AB32" s="2" t="e">
        <f t="shared" si="11"/>
        <v>#REF!</v>
      </c>
      <c r="AC32" s="2">
        <f t="shared" si="12"/>
        <v>24202</v>
      </c>
      <c r="AD32" s="2">
        <f t="shared" si="13"/>
        <v>111</v>
      </c>
      <c r="AE32" s="2">
        <f t="shared" si="14"/>
        <v>102</v>
      </c>
      <c r="AF32" s="2" t="str">
        <f t="shared" si="15"/>
        <v>chest_shard</v>
      </c>
      <c r="AG32" s="2" t="str">
        <f t="shared" si="16"/>
        <v>StoreDoubleKey_1</v>
      </c>
      <c r="AH32" s="2" t="str">
        <f t="shared" si="17"/>
        <v>StoreFund_3</v>
      </c>
      <c r="AI32" s="2" t="str">
        <f t="shared" si="21"/>
        <v>[24202,111,102]</v>
      </c>
      <c r="AJ32" s="2" t="str">
        <f t="shared" si="22"/>
        <v>[12,50,80000]</v>
      </c>
      <c r="AK32" s="2" t="str">
        <f t="shared" si="23"/>
        <v>[chest_shard,StoreDoubleKey_1,StoreFund_3]</v>
      </c>
      <c r="AL32" s="2" t="str">
        <f t="shared" si="24"/>
        <v>2+5+碎片礼包</v>
      </c>
      <c r="AM32" s="1" t="str">
        <f t="shared" si="18"/>
        <v xml:space="preserve"> T2 General Shard</v>
      </c>
      <c r="AN32" s="1" t="str">
        <f t="shared" si="19"/>
        <v>DoubleKeys</v>
      </c>
      <c r="AO32" s="1" t="str">
        <f t="shared" si="20"/>
        <v>Funds</v>
      </c>
    </row>
    <row r="33" spans="2:41" x14ac:dyDescent="0.3">
      <c r="B33" s="2" t="e">
        <f>#REF!</f>
        <v>#REF!</v>
      </c>
      <c r="C33" s="2" t="e">
        <f>#REF!</f>
        <v>#REF!</v>
      </c>
      <c r="D33" s="2" t="e">
        <f>#REF!</f>
        <v>#REF!</v>
      </c>
      <c r="G33" s="2">
        <v>2</v>
      </c>
      <c r="H33" s="2" t="s">
        <v>2565</v>
      </c>
      <c r="I33" s="2" t="s">
        <v>578</v>
      </c>
      <c r="J33" s="2" t="s">
        <v>317</v>
      </c>
      <c r="K33" s="2" t="e">
        <f t="shared" si="0"/>
        <v>#REF!</v>
      </c>
      <c r="L33" s="2">
        <f t="shared" si="1"/>
        <v>60</v>
      </c>
      <c r="M33" s="2">
        <f t="shared" si="2"/>
        <v>1</v>
      </c>
      <c r="N33" s="2">
        <v>10</v>
      </c>
      <c r="O33" s="2" t="e">
        <f>N33*#REF!</f>
        <v>#REF!</v>
      </c>
      <c r="P33" s="2">
        <v>5</v>
      </c>
      <c r="Q33" s="2" t="e">
        <f t="shared" si="3"/>
        <v>#REF!</v>
      </c>
      <c r="R33" s="2">
        <v>4</v>
      </c>
      <c r="S33" s="2" t="e">
        <f t="shared" si="4"/>
        <v>#REF!</v>
      </c>
      <c r="T33" s="2" t="e">
        <f t="shared" si="5"/>
        <v>#REF!</v>
      </c>
      <c r="U33" s="2">
        <v>20</v>
      </c>
      <c r="V33" s="2">
        <f t="shared" si="6"/>
        <v>1200</v>
      </c>
      <c r="W33" s="2" t="e">
        <f t="shared" si="7"/>
        <v>#REF!</v>
      </c>
      <c r="X33" s="2">
        <v>3400</v>
      </c>
      <c r="Y33" s="2" t="e">
        <f t="shared" si="8"/>
        <v>#REF!</v>
      </c>
      <c r="Z33" s="2" t="e">
        <f t="shared" si="9"/>
        <v>#REF!</v>
      </c>
      <c r="AA33" s="2" t="e">
        <f t="shared" si="10"/>
        <v>#REF!</v>
      </c>
      <c r="AB33" s="2" t="e">
        <f t="shared" si="11"/>
        <v>#REF!</v>
      </c>
      <c r="AC33" s="2">
        <f t="shared" si="12"/>
        <v>23202</v>
      </c>
      <c r="AD33" s="2">
        <f t="shared" si="13"/>
        <v>100302</v>
      </c>
      <c r="AE33" s="2">
        <f t="shared" si="14"/>
        <v>101</v>
      </c>
      <c r="AF33" s="2" t="str">
        <f t="shared" si="15"/>
        <v>chest_tankpart</v>
      </c>
      <c r="AG33" s="2" t="str">
        <f t="shared" si="16"/>
        <v>StoreQuikenItem_1</v>
      </c>
      <c r="AH33" s="2" t="str">
        <f t="shared" si="17"/>
        <v>StoreDiamond_1</v>
      </c>
      <c r="AI33" s="2" t="str">
        <f t="shared" si="21"/>
        <v>[23202,100302,101]</v>
      </c>
      <c r="AJ33" s="2" t="str">
        <f t="shared" si="22"/>
        <v>[4,20,3400]</v>
      </c>
      <c r="AK33" s="2" t="str">
        <f t="shared" si="23"/>
        <v>[chest_tankpart,StoreQuikenItem_1,StoreDiamond_1]</v>
      </c>
      <c r="AL33" s="2" t="str">
        <f t="shared" si="24"/>
        <v>2+10+部件礼包</v>
      </c>
      <c r="AM33" s="1" t="str">
        <f t="shared" si="18"/>
        <v>T1 Component</v>
      </c>
      <c r="AN33" s="1" t="str">
        <f t="shared" si="19"/>
        <v>1H_X3_Accelerater</v>
      </c>
      <c r="AO33" s="1" t="str">
        <f t="shared" si="20"/>
        <v>Diamond</v>
      </c>
    </row>
    <row r="34" spans="2:41" x14ac:dyDescent="0.3">
      <c r="B34" s="2" t="e">
        <f>#REF!</f>
        <v>#REF!</v>
      </c>
      <c r="C34" s="2" t="e">
        <f>#REF!</f>
        <v>#REF!</v>
      </c>
      <c r="D34" s="2" t="e">
        <f>#REF!</f>
        <v>#REF!</v>
      </c>
      <c r="G34" s="2">
        <v>2</v>
      </c>
      <c r="H34" s="2" t="s">
        <v>2577</v>
      </c>
      <c r="I34" s="2" t="s">
        <v>511</v>
      </c>
      <c r="J34" s="2" t="s">
        <v>268</v>
      </c>
      <c r="K34" s="2" t="e">
        <f t="shared" si="0"/>
        <v>#REF!</v>
      </c>
      <c r="L34" s="2">
        <f t="shared" si="1"/>
        <v>0.50000000000000044</v>
      </c>
      <c r="M34" s="2">
        <f t="shared" si="2"/>
        <v>3.9623576027736501E-3</v>
      </c>
      <c r="N34" s="2">
        <v>10</v>
      </c>
      <c r="O34" s="2" t="e">
        <f>N34*#REF!</f>
        <v>#REF!</v>
      </c>
      <c r="P34" s="2">
        <v>5</v>
      </c>
      <c r="Q34" s="2" t="e">
        <f t="shared" si="3"/>
        <v>#REF!</v>
      </c>
      <c r="R34" s="2">
        <v>25</v>
      </c>
      <c r="S34" s="2" t="e">
        <f t="shared" si="4"/>
        <v>#REF!</v>
      </c>
      <c r="T34" s="2" t="e">
        <f t="shared" si="5"/>
        <v>#REF!</v>
      </c>
      <c r="U34" s="2">
        <v>200</v>
      </c>
      <c r="V34" s="2">
        <f t="shared" si="6"/>
        <v>100.00000000000009</v>
      </c>
      <c r="W34" s="2" t="e">
        <f t="shared" si="7"/>
        <v>#REF!</v>
      </c>
      <c r="X34" s="2">
        <v>90000</v>
      </c>
      <c r="Y34" s="2" t="e">
        <f t="shared" si="8"/>
        <v>#REF!</v>
      </c>
      <c r="Z34" s="2" t="e">
        <f t="shared" si="9"/>
        <v>#REF!</v>
      </c>
      <c r="AA34" s="2" t="e">
        <f t="shared" si="10"/>
        <v>#REF!</v>
      </c>
      <c r="AB34" s="2" t="e">
        <f t="shared" si="11"/>
        <v>#REF!</v>
      </c>
      <c r="AC34" s="2">
        <f t="shared" si="12"/>
        <v>24202</v>
      </c>
      <c r="AD34" s="2">
        <f t="shared" si="13"/>
        <v>111</v>
      </c>
      <c r="AE34" s="2">
        <f t="shared" si="14"/>
        <v>102</v>
      </c>
      <c r="AF34" s="2" t="str">
        <f t="shared" si="15"/>
        <v>chest_shard</v>
      </c>
      <c r="AG34" s="2" t="str">
        <f t="shared" si="16"/>
        <v>StoreDoubleKey_1</v>
      </c>
      <c r="AH34" s="2" t="str">
        <f t="shared" si="17"/>
        <v>StoreFund_3</v>
      </c>
      <c r="AI34" s="2" t="str">
        <f t="shared" si="21"/>
        <v>[24202,111,102]</v>
      </c>
      <c r="AJ34" s="2" t="str">
        <f t="shared" si="22"/>
        <v>[25,200,90000]</v>
      </c>
      <c r="AK34" s="2" t="str">
        <f t="shared" si="23"/>
        <v>[chest_shard,StoreDoubleKey_1,StoreFund_3]</v>
      </c>
      <c r="AL34" s="2" t="str">
        <f t="shared" si="24"/>
        <v>2+10+碎片礼包</v>
      </c>
      <c r="AM34" s="1" t="str">
        <f t="shared" si="18"/>
        <v xml:space="preserve"> T2 General Shard</v>
      </c>
      <c r="AN34" s="1" t="str">
        <f t="shared" si="19"/>
        <v>DoubleKeys</v>
      </c>
      <c r="AO34" s="1" t="str">
        <f t="shared" si="20"/>
        <v>Funds</v>
      </c>
    </row>
    <row r="35" spans="2:41" x14ac:dyDescent="0.3">
      <c r="B35" s="2" t="e">
        <f>#REF!</f>
        <v>#REF!</v>
      </c>
      <c r="C35" s="2" t="e">
        <f>#REF!</f>
        <v>#REF!</v>
      </c>
      <c r="D35" s="2" t="e">
        <f>#REF!</f>
        <v>#REF!</v>
      </c>
      <c r="G35" s="2">
        <v>2</v>
      </c>
      <c r="H35" s="2" t="s">
        <v>2565</v>
      </c>
      <c r="I35" s="2" t="s">
        <v>578</v>
      </c>
      <c r="J35" s="2" t="s">
        <v>317</v>
      </c>
      <c r="K35" s="2" t="e">
        <f t="shared" si="0"/>
        <v>#REF!</v>
      </c>
      <c r="L35" s="2">
        <f t="shared" si="1"/>
        <v>60</v>
      </c>
      <c r="M35" s="2">
        <f t="shared" si="2"/>
        <v>1</v>
      </c>
      <c r="N35" s="2">
        <v>2</v>
      </c>
      <c r="O35" s="2" t="e">
        <f>N35*#REF!</f>
        <v>#REF!</v>
      </c>
      <c r="P35" s="2">
        <v>3</v>
      </c>
      <c r="Q35" s="2" t="e">
        <f t="shared" ref="Q35:Q40" si="25">O35*P35</f>
        <v>#REF!</v>
      </c>
      <c r="R35" s="2">
        <v>1</v>
      </c>
      <c r="S35" s="2" t="e">
        <f t="shared" ref="S35:S40" si="26">R35*K35</f>
        <v>#REF!</v>
      </c>
      <c r="T35" s="2" t="e">
        <f t="shared" ref="T35:T40" si="27">S35/Q35</f>
        <v>#REF!</v>
      </c>
      <c r="U35" s="2">
        <v>5</v>
      </c>
      <c r="V35" s="2">
        <f t="shared" ref="V35:V40" si="28">U35*L35</f>
        <v>300</v>
      </c>
      <c r="W35" s="2" t="e">
        <f t="shared" ref="W35:W40" si="29">V35/Q35</f>
        <v>#REF!</v>
      </c>
      <c r="X35" s="2">
        <v>200</v>
      </c>
      <c r="Y35" s="2" t="e">
        <f t="shared" si="8"/>
        <v>#REF!</v>
      </c>
      <c r="Z35" s="2" t="e">
        <f t="shared" si="9"/>
        <v>#REF!</v>
      </c>
      <c r="AA35" s="2" t="e">
        <f t="shared" si="10"/>
        <v>#REF!</v>
      </c>
      <c r="AB35" s="2" t="e">
        <f t="shared" si="11"/>
        <v>#REF!</v>
      </c>
      <c r="AC35" s="2">
        <f t="shared" si="12"/>
        <v>23202</v>
      </c>
      <c r="AD35" s="2">
        <f t="shared" si="13"/>
        <v>100302</v>
      </c>
      <c r="AE35" s="2">
        <f t="shared" si="14"/>
        <v>101</v>
      </c>
      <c r="AF35" s="2" t="str">
        <f t="shared" si="15"/>
        <v>chest_tankpart</v>
      </c>
      <c r="AG35" s="2" t="str">
        <f t="shared" si="16"/>
        <v>StoreQuikenItem_1</v>
      </c>
      <c r="AH35" s="2" t="str">
        <f t="shared" si="17"/>
        <v>StoreDiamond_1</v>
      </c>
      <c r="AI35" s="2" t="str">
        <f t="shared" si="21"/>
        <v>[23202,100302,101]</v>
      </c>
      <c r="AJ35" s="2" t="str">
        <f t="shared" si="22"/>
        <v>[1,5,200]</v>
      </c>
      <c r="AK35" s="2" t="str">
        <f t="shared" si="23"/>
        <v>[chest_tankpart,StoreQuikenItem_1,StoreDiamond_1]</v>
      </c>
      <c r="AL35" s="2" t="str">
        <f t="shared" si="24"/>
        <v>2+2+部件礼包</v>
      </c>
      <c r="AM35" s="1" t="str">
        <f t="shared" si="18"/>
        <v>T1 Component</v>
      </c>
      <c r="AN35" s="1" t="str">
        <f t="shared" si="19"/>
        <v>1H_X3_Accelerater</v>
      </c>
      <c r="AO35" s="1" t="str">
        <f t="shared" si="20"/>
        <v>Diamond</v>
      </c>
    </row>
    <row r="36" spans="2:41" x14ac:dyDescent="0.3">
      <c r="B36" s="2" t="e">
        <f>#REF!</f>
        <v>#REF!</v>
      </c>
      <c r="C36" s="2" t="e">
        <f>#REF!</f>
        <v>#REF!</v>
      </c>
      <c r="D36" s="2" t="e">
        <f>#REF!</f>
        <v>#REF!</v>
      </c>
      <c r="G36" s="2">
        <v>2</v>
      </c>
      <c r="H36" s="2" t="s">
        <v>2577</v>
      </c>
      <c r="I36" s="2" t="s">
        <v>511</v>
      </c>
      <c r="J36" s="2" t="s">
        <v>268</v>
      </c>
      <c r="K36" s="2" t="e">
        <f t="shared" si="0"/>
        <v>#REF!</v>
      </c>
      <c r="L36" s="2">
        <f t="shared" si="1"/>
        <v>0.50000000000000044</v>
      </c>
      <c r="M36" s="2">
        <f t="shared" si="2"/>
        <v>3.9623576027736501E-3</v>
      </c>
      <c r="N36" s="2">
        <v>2</v>
      </c>
      <c r="O36" s="2" t="e">
        <f>N36*#REF!</f>
        <v>#REF!</v>
      </c>
      <c r="P36" s="2">
        <v>3</v>
      </c>
      <c r="Q36" s="2" t="e">
        <f t="shared" si="25"/>
        <v>#REF!</v>
      </c>
      <c r="R36" s="2">
        <v>2</v>
      </c>
      <c r="S36" s="2" t="e">
        <f t="shared" si="26"/>
        <v>#REF!</v>
      </c>
      <c r="T36" s="2" t="e">
        <f t="shared" si="27"/>
        <v>#REF!</v>
      </c>
      <c r="U36" s="2">
        <v>50</v>
      </c>
      <c r="V36" s="2">
        <f t="shared" si="28"/>
        <v>25.000000000000021</v>
      </c>
      <c r="W36" s="2" t="e">
        <f t="shared" si="29"/>
        <v>#REF!</v>
      </c>
      <c r="X36" s="2">
        <v>50000</v>
      </c>
      <c r="Y36" s="2" t="e">
        <f t="shared" si="8"/>
        <v>#REF!</v>
      </c>
      <c r="Z36" s="2" t="e">
        <f t="shared" si="9"/>
        <v>#REF!</v>
      </c>
      <c r="AA36" s="2" t="e">
        <f t="shared" si="10"/>
        <v>#REF!</v>
      </c>
      <c r="AB36" s="2" t="e">
        <f t="shared" si="11"/>
        <v>#REF!</v>
      </c>
      <c r="AC36" s="2">
        <f t="shared" si="12"/>
        <v>24202</v>
      </c>
      <c r="AD36" s="2">
        <f t="shared" si="13"/>
        <v>111</v>
      </c>
      <c r="AE36" s="2">
        <f t="shared" si="14"/>
        <v>102</v>
      </c>
      <c r="AF36" s="2" t="str">
        <f t="shared" si="15"/>
        <v>chest_shard</v>
      </c>
      <c r="AG36" s="2" t="str">
        <f t="shared" si="16"/>
        <v>StoreDoubleKey_1</v>
      </c>
      <c r="AH36" s="2" t="str">
        <f t="shared" si="17"/>
        <v>StoreFund_3</v>
      </c>
      <c r="AI36" s="2" t="str">
        <f t="shared" si="21"/>
        <v>[24202,111,102]</v>
      </c>
      <c r="AJ36" s="2" t="str">
        <f t="shared" si="22"/>
        <v>[2,50,50000]</v>
      </c>
      <c r="AK36" s="2" t="str">
        <f t="shared" si="23"/>
        <v>[chest_shard,StoreDoubleKey_1,StoreFund_3]</v>
      </c>
      <c r="AL36" s="2" t="str">
        <f t="shared" si="24"/>
        <v>2+2+碎片礼包</v>
      </c>
      <c r="AM36" s="1" t="str">
        <f t="shared" si="18"/>
        <v xml:space="preserve"> T2 General Shard</v>
      </c>
      <c r="AN36" s="1" t="str">
        <f t="shared" si="19"/>
        <v>DoubleKeys</v>
      </c>
      <c r="AO36" s="1" t="str">
        <f t="shared" si="20"/>
        <v>Funds</v>
      </c>
    </row>
    <row r="37" spans="2:41" x14ac:dyDescent="0.3">
      <c r="B37" s="2" t="e">
        <f>#REF!</f>
        <v>#REF!</v>
      </c>
      <c r="C37" s="2" t="e">
        <f>#REF!</f>
        <v>#REF!</v>
      </c>
      <c r="D37" s="2" t="e">
        <f>#REF!</f>
        <v>#REF!</v>
      </c>
      <c r="G37" s="2">
        <v>2</v>
      </c>
      <c r="H37" s="2" t="s">
        <v>2565</v>
      </c>
      <c r="I37" s="2" t="s">
        <v>578</v>
      </c>
      <c r="J37" s="2" t="s">
        <v>317</v>
      </c>
      <c r="K37" s="2" t="e">
        <f t="shared" si="0"/>
        <v>#REF!</v>
      </c>
      <c r="L37" s="2">
        <f t="shared" si="1"/>
        <v>60</v>
      </c>
      <c r="M37" s="2">
        <f t="shared" si="2"/>
        <v>1</v>
      </c>
      <c r="N37" s="2">
        <v>5</v>
      </c>
      <c r="O37" s="2" t="e">
        <f>N37*#REF!</f>
        <v>#REF!</v>
      </c>
      <c r="P37" s="2">
        <v>3</v>
      </c>
      <c r="Q37" s="2" t="e">
        <f t="shared" si="25"/>
        <v>#REF!</v>
      </c>
      <c r="R37" s="2">
        <v>2</v>
      </c>
      <c r="S37" s="2" t="e">
        <f t="shared" si="26"/>
        <v>#REF!</v>
      </c>
      <c r="T37" s="2" t="e">
        <f t="shared" si="27"/>
        <v>#REF!</v>
      </c>
      <c r="U37" s="2">
        <v>10</v>
      </c>
      <c r="V37" s="2">
        <f t="shared" si="28"/>
        <v>600</v>
      </c>
      <c r="W37" s="2" t="e">
        <f t="shared" si="29"/>
        <v>#REF!</v>
      </c>
      <c r="X37" s="2">
        <v>700</v>
      </c>
      <c r="Y37" s="2" t="e">
        <f t="shared" si="8"/>
        <v>#REF!</v>
      </c>
      <c r="Z37" s="2" t="e">
        <f t="shared" si="9"/>
        <v>#REF!</v>
      </c>
      <c r="AA37" s="2" t="e">
        <f t="shared" si="10"/>
        <v>#REF!</v>
      </c>
      <c r="AB37" s="2" t="e">
        <f t="shared" si="11"/>
        <v>#REF!</v>
      </c>
      <c r="AC37" s="2">
        <f t="shared" si="12"/>
        <v>23202</v>
      </c>
      <c r="AD37" s="2">
        <f t="shared" si="13"/>
        <v>100302</v>
      </c>
      <c r="AE37" s="2">
        <f t="shared" si="14"/>
        <v>101</v>
      </c>
      <c r="AF37" s="2" t="str">
        <f t="shared" si="15"/>
        <v>chest_tankpart</v>
      </c>
      <c r="AG37" s="2" t="str">
        <f t="shared" si="16"/>
        <v>StoreQuikenItem_1</v>
      </c>
      <c r="AH37" s="2" t="str">
        <f t="shared" si="17"/>
        <v>StoreDiamond_1</v>
      </c>
      <c r="AI37" s="2" t="str">
        <f t="shared" si="21"/>
        <v>[23202,100302,101]</v>
      </c>
      <c r="AJ37" s="2" t="str">
        <f t="shared" si="22"/>
        <v>[2,10,700]</v>
      </c>
      <c r="AK37" s="2" t="str">
        <f t="shared" si="23"/>
        <v>[chest_tankpart,StoreQuikenItem_1,StoreDiamond_1]</v>
      </c>
      <c r="AL37" s="2" t="str">
        <f t="shared" si="24"/>
        <v>2+5+部件礼包</v>
      </c>
      <c r="AM37" s="1" t="str">
        <f t="shared" si="18"/>
        <v>T1 Component</v>
      </c>
      <c r="AN37" s="1" t="str">
        <f t="shared" si="19"/>
        <v>1H_X3_Accelerater</v>
      </c>
      <c r="AO37" s="1" t="str">
        <f t="shared" si="20"/>
        <v>Diamond</v>
      </c>
    </row>
    <row r="38" spans="2:41" x14ac:dyDescent="0.3">
      <c r="G38" s="2">
        <v>2</v>
      </c>
      <c r="H38" s="2" t="s">
        <v>2577</v>
      </c>
      <c r="I38" s="2" t="s">
        <v>511</v>
      </c>
      <c r="J38" s="2" t="s">
        <v>268</v>
      </c>
      <c r="K38" s="2" t="e">
        <f t="shared" si="0"/>
        <v>#REF!</v>
      </c>
      <c r="L38" s="2">
        <f t="shared" si="1"/>
        <v>0.50000000000000044</v>
      </c>
      <c r="M38" s="2">
        <f t="shared" si="2"/>
        <v>3.9623576027736501E-3</v>
      </c>
      <c r="N38" s="2">
        <v>5</v>
      </c>
      <c r="O38" s="2" t="e">
        <f>N38*#REF!</f>
        <v>#REF!</v>
      </c>
      <c r="P38" s="2">
        <v>3</v>
      </c>
      <c r="Q38" s="2" t="e">
        <f t="shared" si="25"/>
        <v>#REF!</v>
      </c>
      <c r="R38" s="2">
        <v>6</v>
      </c>
      <c r="S38" s="2" t="e">
        <f t="shared" si="26"/>
        <v>#REF!</v>
      </c>
      <c r="T38" s="2" t="e">
        <f t="shared" si="27"/>
        <v>#REF!</v>
      </c>
      <c r="U38" s="2">
        <v>50</v>
      </c>
      <c r="V38" s="2">
        <f t="shared" si="28"/>
        <v>25.000000000000021</v>
      </c>
      <c r="W38" s="2" t="e">
        <f t="shared" si="29"/>
        <v>#REF!</v>
      </c>
      <c r="X38" s="2">
        <v>100000</v>
      </c>
      <c r="Y38" s="2" t="e">
        <f t="shared" si="8"/>
        <v>#REF!</v>
      </c>
      <c r="Z38" s="2" t="e">
        <f t="shared" si="9"/>
        <v>#REF!</v>
      </c>
      <c r="AA38" s="2" t="e">
        <f t="shared" si="10"/>
        <v>#REF!</v>
      </c>
      <c r="AB38" s="2" t="e">
        <f t="shared" si="11"/>
        <v>#REF!</v>
      </c>
      <c r="AC38" s="2">
        <f t="shared" si="12"/>
        <v>24202</v>
      </c>
      <c r="AD38" s="2">
        <f t="shared" si="13"/>
        <v>111</v>
      </c>
      <c r="AE38" s="2">
        <f t="shared" si="14"/>
        <v>102</v>
      </c>
      <c r="AF38" s="2" t="str">
        <f t="shared" si="15"/>
        <v>chest_shard</v>
      </c>
      <c r="AG38" s="2" t="str">
        <f t="shared" si="16"/>
        <v>StoreDoubleKey_1</v>
      </c>
      <c r="AH38" s="2" t="str">
        <f t="shared" si="17"/>
        <v>StoreFund_3</v>
      </c>
      <c r="AI38" s="2" t="str">
        <f t="shared" si="21"/>
        <v>[24202,111,102]</v>
      </c>
      <c r="AJ38" s="2" t="str">
        <f t="shared" si="22"/>
        <v>[6,50,100000]</v>
      </c>
      <c r="AK38" s="2" t="str">
        <f t="shared" si="23"/>
        <v>[chest_shard,StoreDoubleKey_1,StoreFund_3]</v>
      </c>
      <c r="AL38" s="2" t="str">
        <f t="shared" si="24"/>
        <v>2+5+碎片礼包</v>
      </c>
      <c r="AM38" s="1" t="str">
        <f t="shared" si="18"/>
        <v xml:space="preserve"> T2 General Shard</v>
      </c>
      <c r="AN38" s="1" t="str">
        <f t="shared" si="19"/>
        <v>DoubleKeys</v>
      </c>
      <c r="AO38" s="1" t="str">
        <f t="shared" si="20"/>
        <v>Funds</v>
      </c>
    </row>
    <row r="39" spans="2:41" x14ac:dyDescent="0.3">
      <c r="G39" s="2">
        <v>2</v>
      </c>
      <c r="H39" s="2" t="s">
        <v>2565</v>
      </c>
      <c r="I39" s="2" t="s">
        <v>578</v>
      </c>
      <c r="J39" s="2" t="s">
        <v>317</v>
      </c>
      <c r="K39" s="2" t="e">
        <f t="shared" si="0"/>
        <v>#REF!</v>
      </c>
      <c r="L39" s="2">
        <f t="shared" si="1"/>
        <v>60</v>
      </c>
      <c r="M39" s="2">
        <f t="shared" si="2"/>
        <v>1</v>
      </c>
      <c r="N39" s="2">
        <v>10</v>
      </c>
      <c r="O39" s="2" t="e">
        <f>N39*#REF!</f>
        <v>#REF!</v>
      </c>
      <c r="P39" s="2">
        <v>3</v>
      </c>
      <c r="Q39" s="2" t="e">
        <f t="shared" si="25"/>
        <v>#REF!</v>
      </c>
      <c r="R39" s="2">
        <v>3</v>
      </c>
      <c r="S39" s="2" t="e">
        <f t="shared" si="26"/>
        <v>#REF!</v>
      </c>
      <c r="T39" s="2" t="e">
        <f t="shared" si="27"/>
        <v>#REF!</v>
      </c>
      <c r="U39" s="2">
        <v>20</v>
      </c>
      <c r="V39" s="2">
        <f t="shared" si="28"/>
        <v>1200</v>
      </c>
      <c r="W39" s="2" t="e">
        <f t="shared" si="29"/>
        <v>#REF!</v>
      </c>
      <c r="X39" s="2">
        <v>1500</v>
      </c>
      <c r="Y39" s="2" t="e">
        <f t="shared" si="8"/>
        <v>#REF!</v>
      </c>
      <c r="Z39" s="2" t="e">
        <f t="shared" si="9"/>
        <v>#REF!</v>
      </c>
      <c r="AA39" s="2" t="e">
        <f t="shared" si="10"/>
        <v>#REF!</v>
      </c>
      <c r="AB39" s="2" t="e">
        <f t="shared" si="11"/>
        <v>#REF!</v>
      </c>
      <c r="AC39" s="2">
        <f t="shared" si="12"/>
        <v>23202</v>
      </c>
      <c r="AD39" s="2">
        <f t="shared" si="13"/>
        <v>100302</v>
      </c>
      <c r="AE39" s="2">
        <f t="shared" si="14"/>
        <v>101</v>
      </c>
      <c r="AF39" s="2" t="str">
        <f t="shared" si="15"/>
        <v>chest_tankpart</v>
      </c>
      <c r="AG39" s="2" t="str">
        <f t="shared" si="16"/>
        <v>StoreQuikenItem_1</v>
      </c>
      <c r="AH39" s="2" t="str">
        <f t="shared" si="17"/>
        <v>StoreDiamond_1</v>
      </c>
      <c r="AI39" s="2" t="str">
        <f t="shared" si="21"/>
        <v>[23202,100302,101]</v>
      </c>
      <c r="AJ39" s="2" t="str">
        <f t="shared" si="22"/>
        <v>[3,20,1500]</v>
      </c>
      <c r="AK39" s="2" t="str">
        <f t="shared" si="23"/>
        <v>[chest_tankpart,StoreQuikenItem_1,StoreDiamond_1]</v>
      </c>
      <c r="AL39" s="2" t="str">
        <f t="shared" si="24"/>
        <v>2+10+部件礼包</v>
      </c>
      <c r="AM39" s="1" t="str">
        <f t="shared" si="18"/>
        <v>T1 Component</v>
      </c>
      <c r="AN39" s="1" t="str">
        <f t="shared" si="19"/>
        <v>1H_X3_Accelerater</v>
      </c>
      <c r="AO39" s="1" t="str">
        <f t="shared" si="20"/>
        <v>Diamond</v>
      </c>
    </row>
    <row r="40" spans="2:41" x14ac:dyDescent="0.3">
      <c r="B40" s="2" t="s">
        <v>2888</v>
      </c>
      <c r="C40" s="2" t="s">
        <v>2889</v>
      </c>
      <c r="G40" s="2">
        <v>2</v>
      </c>
      <c r="H40" s="2" t="s">
        <v>2577</v>
      </c>
      <c r="I40" s="2" t="s">
        <v>511</v>
      </c>
      <c r="J40" s="2" t="s">
        <v>268</v>
      </c>
      <c r="K40" s="2" t="e">
        <f t="shared" si="0"/>
        <v>#REF!</v>
      </c>
      <c r="L40" s="2">
        <f t="shared" si="1"/>
        <v>0.50000000000000044</v>
      </c>
      <c r="M40" s="2">
        <f t="shared" si="2"/>
        <v>3.9623576027736501E-3</v>
      </c>
      <c r="N40" s="2">
        <v>10</v>
      </c>
      <c r="O40" s="2" t="e">
        <f>N40*#REF!</f>
        <v>#REF!</v>
      </c>
      <c r="P40" s="2">
        <v>3</v>
      </c>
      <c r="Q40" s="2" t="e">
        <f t="shared" si="25"/>
        <v>#REF!</v>
      </c>
      <c r="R40" s="2">
        <v>15</v>
      </c>
      <c r="S40" s="2" t="e">
        <f t="shared" si="26"/>
        <v>#REF!</v>
      </c>
      <c r="T40" s="2" t="e">
        <f t="shared" si="27"/>
        <v>#REF!</v>
      </c>
      <c r="U40" s="2">
        <v>50</v>
      </c>
      <c r="V40" s="2">
        <f t="shared" si="28"/>
        <v>25.000000000000021</v>
      </c>
      <c r="W40" s="2" t="e">
        <f t="shared" si="29"/>
        <v>#REF!</v>
      </c>
      <c r="X40" s="2">
        <v>70000</v>
      </c>
      <c r="Y40" s="2" t="e">
        <f t="shared" si="8"/>
        <v>#REF!</v>
      </c>
      <c r="Z40" s="2" t="e">
        <f t="shared" si="9"/>
        <v>#REF!</v>
      </c>
      <c r="AA40" s="2" t="e">
        <f t="shared" si="10"/>
        <v>#REF!</v>
      </c>
      <c r="AB40" s="2" t="e">
        <f t="shared" si="11"/>
        <v>#REF!</v>
      </c>
      <c r="AC40" s="2">
        <f t="shared" si="12"/>
        <v>24202</v>
      </c>
      <c r="AD40" s="2">
        <f t="shared" si="13"/>
        <v>111</v>
      </c>
      <c r="AE40" s="2">
        <f t="shared" si="14"/>
        <v>102</v>
      </c>
      <c r="AF40" s="2" t="str">
        <f t="shared" si="15"/>
        <v>chest_shard</v>
      </c>
      <c r="AG40" s="2" t="str">
        <f t="shared" si="16"/>
        <v>StoreDoubleKey_1</v>
      </c>
      <c r="AH40" s="2" t="str">
        <f t="shared" si="17"/>
        <v>StoreFund_3</v>
      </c>
      <c r="AI40" s="2" t="str">
        <f t="shared" si="21"/>
        <v>[24202,111,102]</v>
      </c>
      <c r="AJ40" s="2" t="str">
        <f t="shared" si="22"/>
        <v>[15,50,70000]</v>
      </c>
      <c r="AK40" s="2" t="str">
        <f t="shared" si="23"/>
        <v>[chest_shard,StoreDoubleKey_1,StoreFund_3]</v>
      </c>
      <c r="AL40" s="2" t="str">
        <f t="shared" si="24"/>
        <v>2+10+碎片礼包</v>
      </c>
      <c r="AM40" s="1" t="str">
        <f t="shared" si="18"/>
        <v xml:space="preserve"> T2 General Shard</v>
      </c>
      <c r="AN40" s="1" t="str">
        <f t="shared" si="19"/>
        <v>DoubleKeys</v>
      </c>
      <c r="AO40" s="1" t="str">
        <f t="shared" si="20"/>
        <v>Funds</v>
      </c>
    </row>
    <row r="41" spans="2:41" x14ac:dyDescent="0.3">
      <c r="B41" s="2" t="s">
        <v>314</v>
      </c>
      <c r="C41" s="2" t="e">
        <f>#REF!</f>
        <v>#REF!</v>
      </c>
      <c r="G41" s="2">
        <v>3</v>
      </c>
      <c r="H41" s="2" t="s">
        <v>1884</v>
      </c>
      <c r="I41" s="2" t="s">
        <v>317</v>
      </c>
      <c r="J41" s="2"/>
      <c r="K41" s="2">
        <f t="shared" si="0"/>
        <v>130</v>
      </c>
      <c r="L41" s="2">
        <f t="shared" ref="L41:L72" si="30">VLOOKUP(I41,$B$40:$C$81,2,FALSE)</f>
        <v>1</v>
      </c>
      <c r="M41" s="2"/>
      <c r="N41" s="2">
        <v>5</v>
      </c>
      <c r="O41" s="2" t="e">
        <f>N41*#REF!</f>
        <v>#REF!</v>
      </c>
      <c r="P41" s="2">
        <v>5</v>
      </c>
      <c r="Q41" s="2" t="e">
        <f t="shared" ref="Q41:Q49" si="31">O41*P41</f>
        <v>#REF!</v>
      </c>
      <c r="R41" s="2">
        <v>25</v>
      </c>
      <c r="S41" s="2">
        <f t="shared" ref="S41:S49" si="32">R41*K41</f>
        <v>3250</v>
      </c>
      <c r="T41" s="2" t="e">
        <f t="shared" ref="T41:T49" si="33">S41/Q41</f>
        <v>#REF!</v>
      </c>
      <c r="U41" s="2">
        <v>500</v>
      </c>
      <c r="V41" s="2" t="e">
        <f>W41*Q41</f>
        <v>#REF!</v>
      </c>
      <c r="W41" s="2" t="e">
        <f>1-T41</f>
        <v>#REF!</v>
      </c>
      <c r="X41" s="2"/>
      <c r="Y41" s="2"/>
      <c r="Z41" s="2"/>
      <c r="AA41" s="2">
        <f t="shared" si="10"/>
        <v>3750</v>
      </c>
      <c r="AB41" s="2" t="e">
        <f t="shared" si="11"/>
        <v>#REF!</v>
      </c>
      <c r="AC41" s="2">
        <f t="shared" ref="AC41:AC72" si="34">VLOOKUP(H41,道具ID,2,FALSE)</f>
        <v>51221</v>
      </c>
      <c r="AD41" s="2">
        <f t="shared" ref="AD41:AD72" si="35">VLOOKUP(I41,道具ID,2,FALSE)</f>
        <v>101</v>
      </c>
      <c r="AE41" s="2"/>
      <c r="AF41" s="2" t="str">
        <f t="shared" ref="AF41:AF72" si="36">VLOOKUP(H41,道具ID,3,FALSE)</f>
        <v>shard_sdkfz234</v>
      </c>
      <c r="AG41" s="2" t="str">
        <f t="shared" ref="AG41:AG72" si="37">VLOOKUP(I41,道具ID,3,FALSE)</f>
        <v>StoreDiamond_1</v>
      </c>
      <c r="AH41" s="2"/>
      <c r="AI41" s="2" t="str">
        <f>"["&amp;AC41&amp;","&amp;AD41&amp;"]"</f>
        <v>[51221,101]</v>
      </c>
      <c r="AJ41" s="2" t="str">
        <f>"["&amp;R41&amp;","&amp;U41&amp;"]"</f>
        <v>[25,500]</v>
      </c>
      <c r="AK41" s="2" t="str">
        <f>"["&amp;AF41&amp;","&amp;AG41&amp;"]"</f>
        <v>[shard_sdkfz234,StoreDiamond_1]</v>
      </c>
      <c r="AL41" s="2" t="str">
        <f t="shared" si="24"/>
        <v>3+5+Puma</v>
      </c>
      <c r="AM41" s="1" t="str">
        <f t="shared" ref="AM41:AM72" si="38">VLOOKUP(H41,道具ID,4,FALSE)</f>
        <v>Gulon Shard</v>
      </c>
      <c r="AN41" s="1" t="str">
        <f t="shared" ref="AN41:AN72" si="39">VLOOKUP(I41,道具ID,4,FALSE)</f>
        <v>Diamond</v>
      </c>
    </row>
    <row r="42" spans="2:41" x14ac:dyDescent="0.3">
      <c r="B42" s="2" t="s">
        <v>2755</v>
      </c>
      <c r="C42" s="2" t="e">
        <f>#REF!</f>
        <v>#REF!</v>
      </c>
      <c r="G42" s="2">
        <v>3</v>
      </c>
      <c r="H42" s="2" t="s">
        <v>1923</v>
      </c>
      <c r="I42" s="2" t="s">
        <v>317</v>
      </c>
      <c r="J42" s="2"/>
      <c r="K42" s="2">
        <f t="shared" si="0"/>
        <v>130</v>
      </c>
      <c r="L42" s="2">
        <f t="shared" si="30"/>
        <v>1</v>
      </c>
      <c r="M42" s="2"/>
      <c r="N42" s="2">
        <v>5</v>
      </c>
      <c r="O42" s="2" t="e">
        <f>N42*#REF!</f>
        <v>#REF!</v>
      </c>
      <c r="P42" s="2">
        <v>5</v>
      </c>
      <c r="Q42" s="2" t="e">
        <f t="shared" si="31"/>
        <v>#REF!</v>
      </c>
      <c r="R42" s="2">
        <v>25</v>
      </c>
      <c r="S42" s="2">
        <f t="shared" si="32"/>
        <v>3250</v>
      </c>
      <c r="T42" s="2" t="e">
        <f t="shared" si="33"/>
        <v>#REF!</v>
      </c>
      <c r="U42" s="2">
        <v>500</v>
      </c>
      <c r="V42" s="2" t="e">
        <f t="shared" ref="V42:V58" si="40">W42*Q42</f>
        <v>#REF!</v>
      </c>
      <c r="W42" s="2" t="e">
        <f t="shared" ref="W42:W58" si="41">1-T42</f>
        <v>#REF!</v>
      </c>
      <c r="X42" s="2"/>
      <c r="Y42" s="2"/>
      <c r="Z42" s="2"/>
      <c r="AA42" s="2">
        <f t="shared" si="10"/>
        <v>3750</v>
      </c>
      <c r="AB42" s="2" t="e">
        <f t="shared" si="11"/>
        <v>#REF!</v>
      </c>
      <c r="AC42" s="2">
        <f t="shared" si="34"/>
        <v>52221</v>
      </c>
      <c r="AD42" s="2">
        <f t="shared" si="35"/>
        <v>101</v>
      </c>
      <c r="AE42" s="2"/>
      <c r="AF42" s="2" t="str">
        <f t="shared" si="36"/>
        <v>shard_iv</v>
      </c>
      <c r="AG42" s="2" t="str">
        <f t="shared" si="37"/>
        <v>StoreDiamond_1</v>
      </c>
      <c r="AH42" s="2"/>
      <c r="AI42" s="2" t="str">
        <f t="shared" ref="AI42:AI58" si="42">"["&amp;AC42&amp;","&amp;AD42&amp;"]"</f>
        <v>[52221,101]</v>
      </c>
      <c r="AJ42" s="2" t="str">
        <f t="shared" ref="AJ42:AJ58" si="43">"["&amp;R42&amp;","&amp;U42&amp;"]"</f>
        <v>[25,500]</v>
      </c>
      <c r="AK42" s="2" t="str">
        <f t="shared" ref="AK42:AK58" si="44">"["&amp;AF42&amp;","&amp;AG42&amp;"]"</f>
        <v>[shard_iv,StoreDiamond_1]</v>
      </c>
      <c r="AL42" s="2" t="str">
        <f t="shared" si="24"/>
        <v>3+5+四号碎片</v>
      </c>
      <c r="AM42" s="1" t="str">
        <f t="shared" si="38"/>
        <v>Minotaur Shard</v>
      </c>
      <c r="AN42" s="1" t="str">
        <f t="shared" si="39"/>
        <v>Diamond</v>
      </c>
    </row>
    <row r="43" spans="2:41" x14ac:dyDescent="0.3">
      <c r="B43" s="2" t="s">
        <v>2757</v>
      </c>
      <c r="C43" s="2" t="e">
        <f>#REF!</f>
        <v>#REF!</v>
      </c>
      <c r="G43" s="2">
        <v>3</v>
      </c>
      <c r="H43" s="2" t="s">
        <v>1963</v>
      </c>
      <c r="I43" s="2" t="s">
        <v>317</v>
      </c>
      <c r="J43" s="2"/>
      <c r="K43" s="2">
        <f t="shared" si="0"/>
        <v>130</v>
      </c>
      <c r="L43" s="2">
        <f t="shared" si="30"/>
        <v>1</v>
      </c>
      <c r="M43" s="2"/>
      <c r="N43" s="2">
        <v>5</v>
      </c>
      <c r="O43" s="2" t="e">
        <f>N43*#REF!</f>
        <v>#REF!</v>
      </c>
      <c r="P43" s="2">
        <v>5</v>
      </c>
      <c r="Q43" s="2" t="e">
        <f t="shared" si="31"/>
        <v>#REF!</v>
      </c>
      <c r="R43" s="2">
        <v>25</v>
      </c>
      <c r="S43" s="2">
        <f t="shared" si="32"/>
        <v>3250</v>
      </c>
      <c r="T43" s="2" t="e">
        <f t="shared" si="33"/>
        <v>#REF!</v>
      </c>
      <c r="U43" s="2">
        <v>500</v>
      </c>
      <c r="V43" s="2" t="e">
        <f t="shared" si="40"/>
        <v>#REF!</v>
      </c>
      <c r="W43" s="2" t="e">
        <f t="shared" si="41"/>
        <v>#REF!</v>
      </c>
      <c r="X43" s="2"/>
      <c r="Y43" s="2"/>
      <c r="Z43" s="2"/>
      <c r="AA43" s="2">
        <f t="shared" si="10"/>
        <v>3750</v>
      </c>
      <c r="AB43" s="2" t="e">
        <f t="shared" si="11"/>
        <v>#REF!</v>
      </c>
      <c r="AC43" s="2">
        <f t="shared" si="34"/>
        <v>53221</v>
      </c>
      <c r="AD43" s="2">
        <f t="shared" si="35"/>
        <v>101</v>
      </c>
      <c r="AE43" s="2"/>
      <c r="AF43" s="2" t="str">
        <f t="shared" si="36"/>
        <v>shard_churchill</v>
      </c>
      <c r="AG43" s="2" t="str">
        <f t="shared" si="37"/>
        <v>StoreDiamond_1</v>
      </c>
      <c r="AH43" s="2"/>
      <c r="AI43" s="2" t="str">
        <f t="shared" si="42"/>
        <v>[53221,101]</v>
      </c>
      <c r="AJ43" s="2" t="str">
        <f t="shared" si="43"/>
        <v>[25,500]</v>
      </c>
      <c r="AK43" s="2" t="str">
        <f t="shared" si="44"/>
        <v>[shard_churchill,StoreDiamond_1]</v>
      </c>
      <c r="AL43" s="2" t="str">
        <f t="shared" si="24"/>
        <v>3+5+丘吉尔碎</v>
      </c>
      <c r="AM43" s="1" t="str">
        <f t="shared" si="38"/>
        <v>Wyrm Shard</v>
      </c>
      <c r="AN43" s="1" t="str">
        <f t="shared" si="39"/>
        <v>Diamond</v>
      </c>
    </row>
    <row r="44" spans="2:41" x14ac:dyDescent="0.3">
      <c r="B44" s="2" t="s">
        <v>2758</v>
      </c>
      <c r="C44" s="2" t="e">
        <f>#REF!</f>
        <v>#REF!</v>
      </c>
      <c r="G44" s="2">
        <v>3</v>
      </c>
      <c r="H44" s="2" t="s">
        <v>1884</v>
      </c>
      <c r="I44" s="2" t="s">
        <v>317</v>
      </c>
      <c r="J44" s="2"/>
      <c r="K44" s="2">
        <f t="shared" si="0"/>
        <v>130</v>
      </c>
      <c r="L44" s="2">
        <f t="shared" si="30"/>
        <v>1</v>
      </c>
      <c r="M44" s="2"/>
      <c r="N44" s="2">
        <v>10</v>
      </c>
      <c r="O44" s="2" t="e">
        <f>N44*#REF!</f>
        <v>#REF!</v>
      </c>
      <c r="P44" s="2">
        <v>5</v>
      </c>
      <c r="Q44" s="2" t="e">
        <f t="shared" si="31"/>
        <v>#REF!</v>
      </c>
      <c r="R44" s="2">
        <v>50</v>
      </c>
      <c r="S44" s="2">
        <f t="shared" si="32"/>
        <v>6500</v>
      </c>
      <c r="T44" s="2" t="e">
        <f t="shared" si="33"/>
        <v>#REF!</v>
      </c>
      <c r="U44" s="2">
        <v>1000</v>
      </c>
      <c r="V44" s="2" t="e">
        <f t="shared" si="40"/>
        <v>#REF!</v>
      </c>
      <c r="W44" s="2" t="e">
        <f t="shared" si="41"/>
        <v>#REF!</v>
      </c>
      <c r="X44" s="2"/>
      <c r="Y44" s="2"/>
      <c r="Z44" s="2"/>
      <c r="AA44" s="2">
        <f t="shared" si="10"/>
        <v>7500</v>
      </c>
      <c r="AB44" s="2" t="e">
        <f t="shared" si="11"/>
        <v>#REF!</v>
      </c>
      <c r="AC44" s="2">
        <f t="shared" si="34"/>
        <v>51221</v>
      </c>
      <c r="AD44" s="2">
        <f t="shared" si="35"/>
        <v>101</v>
      </c>
      <c r="AE44" s="2"/>
      <c r="AF44" s="2" t="str">
        <f t="shared" si="36"/>
        <v>shard_sdkfz234</v>
      </c>
      <c r="AG44" s="2" t="str">
        <f t="shared" si="37"/>
        <v>StoreDiamond_1</v>
      </c>
      <c r="AH44" s="2"/>
      <c r="AI44" s="2" t="str">
        <f t="shared" si="42"/>
        <v>[51221,101]</v>
      </c>
      <c r="AJ44" s="2" t="str">
        <f t="shared" si="43"/>
        <v>[50,1000]</v>
      </c>
      <c r="AK44" s="2" t="str">
        <f t="shared" si="44"/>
        <v>[shard_sdkfz234,StoreDiamond_1]</v>
      </c>
      <c r="AL44" s="2" t="str">
        <f t="shared" si="24"/>
        <v>3+10+Puma</v>
      </c>
      <c r="AM44" s="1" t="str">
        <f t="shared" si="38"/>
        <v>Gulon Shard</v>
      </c>
      <c r="AN44" s="1" t="str">
        <f t="shared" si="39"/>
        <v>Diamond</v>
      </c>
    </row>
    <row r="45" spans="2:41" x14ac:dyDescent="0.3">
      <c r="B45" s="2" t="s">
        <v>2760</v>
      </c>
      <c r="C45" s="2" t="e">
        <f>#REF!</f>
        <v>#REF!</v>
      </c>
      <c r="G45" s="2">
        <v>3</v>
      </c>
      <c r="H45" s="2" t="s">
        <v>1923</v>
      </c>
      <c r="I45" s="2" t="s">
        <v>317</v>
      </c>
      <c r="J45" s="2"/>
      <c r="K45" s="2">
        <f t="shared" si="0"/>
        <v>130</v>
      </c>
      <c r="L45" s="2">
        <f t="shared" si="30"/>
        <v>1</v>
      </c>
      <c r="M45" s="2"/>
      <c r="N45" s="2">
        <v>10</v>
      </c>
      <c r="O45" s="2" t="e">
        <f>N45*#REF!</f>
        <v>#REF!</v>
      </c>
      <c r="P45" s="2">
        <v>5</v>
      </c>
      <c r="Q45" s="2" t="e">
        <f t="shared" si="31"/>
        <v>#REF!</v>
      </c>
      <c r="R45" s="2">
        <v>50</v>
      </c>
      <c r="S45" s="2">
        <f t="shared" si="32"/>
        <v>6500</v>
      </c>
      <c r="T45" s="2" t="e">
        <f t="shared" si="33"/>
        <v>#REF!</v>
      </c>
      <c r="U45" s="2">
        <v>1000</v>
      </c>
      <c r="V45" s="2" t="e">
        <f t="shared" si="40"/>
        <v>#REF!</v>
      </c>
      <c r="W45" s="2" t="e">
        <f t="shared" si="41"/>
        <v>#REF!</v>
      </c>
      <c r="X45" s="2"/>
      <c r="Y45" s="2"/>
      <c r="Z45" s="2"/>
      <c r="AA45" s="2">
        <f t="shared" si="10"/>
        <v>7500</v>
      </c>
      <c r="AB45" s="2" t="e">
        <f t="shared" si="11"/>
        <v>#REF!</v>
      </c>
      <c r="AC45" s="2">
        <f t="shared" si="34"/>
        <v>52221</v>
      </c>
      <c r="AD45" s="2">
        <f t="shared" si="35"/>
        <v>101</v>
      </c>
      <c r="AE45" s="2"/>
      <c r="AF45" s="2" t="str">
        <f t="shared" si="36"/>
        <v>shard_iv</v>
      </c>
      <c r="AG45" s="2" t="str">
        <f t="shared" si="37"/>
        <v>StoreDiamond_1</v>
      </c>
      <c r="AH45" s="2"/>
      <c r="AI45" s="2" t="str">
        <f t="shared" si="42"/>
        <v>[52221,101]</v>
      </c>
      <c r="AJ45" s="2" t="str">
        <f t="shared" si="43"/>
        <v>[50,1000]</v>
      </c>
      <c r="AK45" s="2" t="str">
        <f t="shared" si="44"/>
        <v>[shard_iv,StoreDiamond_1]</v>
      </c>
      <c r="AL45" s="2" t="str">
        <f t="shared" si="24"/>
        <v>3+10+四号碎片</v>
      </c>
      <c r="AM45" s="1" t="str">
        <f t="shared" si="38"/>
        <v>Minotaur Shard</v>
      </c>
      <c r="AN45" s="1" t="str">
        <f t="shared" si="39"/>
        <v>Diamond</v>
      </c>
    </row>
    <row r="46" spans="2:41" x14ac:dyDescent="0.3">
      <c r="B46" s="116" t="s">
        <v>2890</v>
      </c>
      <c r="C46" s="2" t="e">
        <f>#REF!</f>
        <v>#REF!</v>
      </c>
      <c r="G46" s="2">
        <v>3</v>
      </c>
      <c r="H46" s="2" t="s">
        <v>1963</v>
      </c>
      <c r="I46" s="2" t="s">
        <v>317</v>
      </c>
      <c r="J46" s="2"/>
      <c r="K46" s="2">
        <f t="shared" si="0"/>
        <v>130</v>
      </c>
      <c r="L46" s="2">
        <f t="shared" si="30"/>
        <v>1</v>
      </c>
      <c r="M46" s="2"/>
      <c r="N46" s="2">
        <v>10</v>
      </c>
      <c r="O46" s="2" t="e">
        <f>N46*#REF!</f>
        <v>#REF!</v>
      </c>
      <c r="P46" s="2">
        <v>5</v>
      </c>
      <c r="Q46" s="2" t="e">
        <f t="shared" si="31"/>
        <v>#REF!</v>
      </c>
      <c r="R46" s="2">
        <v>50</v>
      </c>
      <c r="S46" s="2">
        <f t="shared" si="32"/>
        <v>6500</v>
      </c>
      <c r="T46" s="2" t="e">
        <f t="shared" si="33"/>
        <v>#REF!</v>
      </c>
      <c r="U46" s="2">
        <v>1000</v>
      </c>
      <c r="V46" s="2" t="e">
        <f t="shared" si="40"/>
        <v>#REF!</v>
      </c>
      <c r="W46" s="2" t="e">
        <f t="shared" si="41"/>
        <v>#REF!</v>
      </c>
      <c r="X46" s="2"/>
      <c r="Y46" s="2"/>
      <c r="Z46" s="2"/>
      <c r="AA46" s="2">
        <f t="shared" si="10"/>
        <v>7500</v>
      </c>
      <c r="AB46" s="2" t="e">
        <f t="shared" si="11"/>
        <v>#REF!</v>
      </c>
      <c r="AC46" s="2">
        <f t="shared" si="34"/>
        <v>53221</v>
      </c>
      <c r="AD46" s="2">
        <f t="shared" si="35"/>
        <v>101</v>
      </c>
      <c r="AE46" s="2"/>
      <c r="AF46" s="2" t="str">
        <f t="shared" si="36"/>
        <v>shard_churchill</v>
      </c>
      <c r="AG46" s="2" t="str">
        <f t="shared" si="37"/>
        <v>StoreDiamond_1</v>
      </c>
      <c r="AH46" s="2"/>
      <c r="AI46" s="2" t="str">
        <f t="shared" si="42"/>
        <v>[53221,101]</v>
      </c>
      <c r="AJ46" s="2" t="str">
        <f t="shared" si="43"/>
        <v>[50,1000]</v>
      </c>
      <c r="AK46" s="2" t="str">
        <f t="shared" si="44"/>
        <v>[shard_churchill,StoreDiamond_1]</v>
      </c>
      <c r="AL46" s="2" t="str">
        <f t="shared" si="24"/>
        <v>3+10+丘吉尔碎</v>
      </c>
      <c r="AM46" s="1" t="str">
        <f t="shared" si="38"/>
        <v>Wyrm Shard</v>
      </c>
      <c r="AN46" s="1" t="str">
        <f t="shared" si="39"/>
        <v>Diamond</v>
      </c>
    </row>
    <row r="47" spans="2:41" x14ac:dyDescent="0.3">
      <c r="B47" s="116" t="s">
        <v>2891</v>
      </c>
      <c r="C47" s="2" t="e">
        <f>#REF!</f>
        <v>#REF!</v>
      </c>
      <c r="G47" s="2">
        <v>3</v>
      </c>
      <c r="H47" s="2" t="s">
        <v>1884</v>
      </c>
      <c r="I47" s="2" t="s">
        <v>317</v>
      </c>
      <c r="J47" s="2"/>
      <c r="K47" s="2">
        <f t="shared" si="0"/>
        <v>130</v>
      </c>
      <c r="L47" s="2">
        <f t="shared" si="30"/>
        <v>1</v>
      </c>
      <c r="M47" s="2"/>
      <c r="N47" s="2">
        <v>20</v>
      </c>
      <c r="O47" s="2" t="e">
        <f>N47*#REF!</f>
        <v>#REF!</v>
      </c>
      <c r="P47" s="2">
        <v>5</v>
      </c>
      <c r="Q47" s="2" t="e">
        <f t="shared" si="31"/>
        <v>#REF!</v>
      </c>
      <c r="R47" s="2">
        <v>100</v>
      </c>
      <c r="S47" s="2">
        <f t="shared" si="32"/>
        <v>13000</v>
      </c>
      <c r="T47" s="2" t="e">
        <f t="shared" si="33"/>
        <v>#REF!</v>
      </c>
      <c r="U47" s="2">
        <v>2000</v>
      </c>
      <c r="V47" s="2" t="e">
        <f t="shared" si="40"/>
        <v>#REF!</v>
      </c>
      <c r="W47" s="2" t="e">
        <f t="shared" si="41"/>
        <v>#REF!</v>
      </c>
      <c r="X47" s="2"/>
      <c r="Y47" s="2"/>
      <c r="Z47" s="2"/>
      <c r="AA47" s="2">
        <f t="shared" si="10"/>
        <v>15000</v>
      </c>
      <c r="AB47" s="2" t="e">
        <f t="shared" si="11"/>
        <v>#REF!</v>
      </c>
      <c r="AC47" s="2">
        <f t="shared" si="34"/>
        <v>51221</v>
      </c>
      <c r="AD47" s="2">
        <f t="shared" si="35"/>
        <v>101</v>
      </c>
      <c r="AE47" s="2"/>
      <c r="AF47" s="2" t="str">
        <f t="shared" si="36"/>
        <v>shard_sdkfz234</v>
      </c>
      <c r="AG47" s="2" t="str">
        <f t="shared" si="37"/>
        <v>StoreDiamond_1</v>
      </c>
      <c r="AH47" s="2"/>
      <c r="AI47" s="2" t="str">
        <f t="shared" si="42"/>
        <v>[51221,101]</v>
      </c>
      <c r="AJ47" s="2" t="str">
        <f t="shared" si="43"/>
        <v>[100,2000]</v>
      </c>
      <c r="AK47" s="2" t="str">
        <f t="shared" si="44"/>
        <v>[shard_sdkfz234,StoreDiamond_1]</v>
      </c>
      <c r="AL47" s="2" t="str">
        <f t="shared" si="24"/>
        <v>3+20+Puma</v>
      </c>
      <c r="AM47" s="1" t="str">
        <f t="shared" si="38"/>
        <v>Gulon Shard</v>
      </c>
      <c r="AN47" s="1" t="str">
        <f t="shared" si="39"/>
        <v>Diamond</v>
      </c>
    </row>
    <row r="48" spans="2:41" x14ac:dyDescent="0.3">
      <c r="B48" s="116" t="s">
        <v>2892</v>
      </c>
      <c r="C48" s="2" t="e">
        <f>#REF!</f>
        <v>#REF!</v>
      </c>
      <c r="G48" s="2">
        <v>3</v>
      </c>
      <c r="H48" s="2" t="s">
        <v>1923</v>
      </c>
      <c r="I48" s="2" t="s">
        <v>317</v>
      </c>
      <c r="J48" s="2"/>
      <c r="K48" s="2">
        <f t="shared" si="0"/>
        <v>130</v>
      </c>
      <c r="L48" s="2">
        <f t="shared" si="30"/>
        <v>1</v>
      </c>
      <c r="M48" s="2"/>
      <c r="N48" s="2">
        <v>20</v>
      </c>
      <c r="O48" s="2" t="e">
        <f>N48*#REF!</f>
        <v>#REF!</v>
      </c>
      <c r="P48" s="2">
        <v>5</v>
      </c>
      <c r="Q48" s="2" t="e">
        <f t="shared" si="31"/>
        <v>#REF!</v>
      </c>
      <c r="R48" s="2">
        <v>100</v>
      </c>
      <c r="S48" s="2">
        <f t="shared" si="32"/>
        <v>13000</v>
      </c>
      <c r="T48" s="2" t="e">
        <f t="shared" si="33"/>
        <v>#REF!</v>
      </c>
      <c r="U48" s="2">
        <v>2000</v>
      </c>
      <c r="V48" s="2" t="e">
        <f t="shared" si="40"/>
        <v>#REF!</v>
      </c>
      <c r="W48" s="2" t="e">
        <f t="shared" si="41"/>
        <v>#REF!</v>
      </c>
      <c r="X48" s="2"/>
      <c r="Y48" s="2"/>
      <c r="Z48" s="2"/>
      <c r="AA48" s="2">
        <f t="shared" si="10"/>
        <v>15000</v>
      </c>
      <c r="AB48" s="2" t="e">
        <f t="shared" si="11"/>
        <v>#REF!</v>
      </c>
      <c r="AC48" s="2">
        <f t="shared" si="34"/>
        <v>52221</v>
      </c>
      <c r="AD48" s="2">
        <f t="shared" si="35"/>
        <v>101</v>
      </c>
      <c r="AE48" s="2"/>
      <c r="AF48" s="2" t="str">
        <f t="shared" si="36"/>
        <v>shard_iv</v>
      </c>
      <c r="AG48" s="2" t="str">
        <f t="shared" si="37"/>
        <v>StoreDiamond_1</v>
      </c>
      <c r="AH48" s="2"/>
      <c r="AI48" s="2" t="str">
        <f t="shared" si="42"/>
        <v>[52221,101]</v>
      </c>
      <c r="AJ48" s="2" t="str">
        <f t="shared" si="43"/>
        <v>[100,2000]</v>
      </c>
      <c r="AK48" s="2" t="str">
        <f t="shared" si="44"/>
        <v>[shard_iv,StoreDiamond_1]</v>
      </c>
      <c r="AL48" s="2" t="str">
        <f t="shared" si="24"/>
        <v>3+20+四号碎片</v>
      </c>
      <c r="AM48" s="1" t="str">
        <f t="shared" si="38"/>
        <v>Minotaur Shard</v>
      </c>
      <c r="AN48" s="1" t="str">
        <f t="shared" si="39"/>
        <v>Diamond</v>
      </c>
    </row>
    <row r="49" spans="2:41" x14ac:dyDescent="0.3">
      <c r="B49" s="22" t="s">
        <v>2842</v>
      </c>
      <c r="C49" s="2" t="e">
        <f>#REF!</f>
        <v>#REF!</v>
      </c>
      <c r="G49" s="2">
        <v>3</v>
      </c>
      <c r="H49" s="2" t="s">
        <v>1963</v>
      </c>
      <c r="I49" s="2" t="s">
        <v>317</v>
      </c>
      <c r="J49" s="2"/>
      <c r="K49" s="2">
        <f t="shared" si="0"/>
        <v>130</v>
      </c>
      <c r="L49" s="2">
        <f t="shared" si="30"/>
        <v>1</v>
      </c>
      <c r="M49" s="2"/>
      <c r="N49" s="2">
        <v>20</v>
      </c>
      <c r="O49" s="2" t="e">
        <f>N49*#REF!</f>
        <v>#REF!</v>
      </c>
      <c r="P49" s="2">
        <v>5</v>
      </c>
      <c r="Q49" s="2" t="e">
        <f t="shared" si="31"/>
        <v>#REF!</v>
      </c>
      <c r="R49" s="2">
        <v>100</v>
      </c>
      <c r="S49" s="2">
        <f t="shared" si="32"/>
        <v>13000</v>
      </c>
      <c r="T49" s="2" t="e">
        <f t="shared" si="33"/>
        <v>#REF!</v>
      </c>
      <c r="U49" s="2">
        <v>2000</v>
      </c>
      <c r="V49" s="2" t="e">
        <f t="shared" si="40"/>
        <v>#REF!</v>
      </c>
      <c r="W49" s="2" t="e">
        <f t="shared" si="41"/>
        <v>#REF!</v>
      </c>
      <c r="X49" s="2"/>
      <c r="Y49" s="2"/>
      <c r="Z49" s="2"/>
      <c r="AA49" s="2">
        <f t="shared" si="10"/>
        <v>15000</v>
      </c>
      <c r="AB49" s="2" t="e">
        <f t="shared" si="11"/>
        <v>#REF!</v>
      </c>
      <c r="AC49" s="2">
        <f t="shared" si="34"/>
        <v>53221</v>
      </c>
      <c r="AD49" s="2">
        <f t="shared" si="35"/>
        <v>101</v>
      </c>
      <c r="AE49" s="2"/>
      <c r="AF49" s="2" t="str">
        <f t="shared" si="36"/>
        <v>shard_churchill</v>
      </c>
      <c r="AG49" s="2" t="str">
        <f t="shared" si="37"/>
        <v>StoreDiamond_1</v>
      </c>
      <c r="AH49" s="2"/>
      <c r="AI49" s="2" t="str">
        <f t="shared" si="42"/>
        <v>[53221,101]</v>
      </c>
      <c r="AJ49" s="2" t="str">
        <f t="shared" si="43"/>
        <v>[100,2000]</v>
      </c>
      <c r="AK49" s="2" t="str">
        <f t="shared" si="44"/>
        <v>[shard_churchill,StoreDiamond_1]</v>
      </c>
      <c r="AL49" s="2" t="str">
        <f t="shared" si="24"/>
        <v>3+20+丘吉尔碎</v>
      </c>
      <c r="AM49" s="1" t="str">
        <f t="shared" si="38"/>
        <v>Wyrm Shard</v>
      </c>
      <c r="AN49" s="1" t="str">
        <f t="shared" si="39"/>
        <v>Diamond</v>
      </c>
    </row>
    <row r="50" spans="2:41" x14ac:dyDescent="0.3">
      <c r="B50" s="22" t="s">
        <v>2838</v>
      </c>
      <c r="C50" s="2" t="e">
        <f>#REF!</f>
        <v>#REF!</v>
      </c>
      <c r="G50" s="2">
        <v>3</v>
      </c>
      <c r="H50" s="2" t="s">
        <v>1884</v>
      </c>
      <c r="I50" s="2" t="s">
        <v>317</v>
      </c>
      <c r="J50" s="2"/>
      <c r="K50" s="2">
        <f t="shared" si="0"/>
        <v>130</v>
      </c>
      <c r="L50" s="2">
        <f t="shared" si="30"/>
        <v>1</v>
      </c>
      <c r="M50" s="2"/>
      <c r="N50" s="2">
        <v>5</v>
      </c>
      <c r="O50" s="2" t="e">
        <f>N50*#REF!</f>
        <v>#REF!</v>
      </c>
      <c r="P50" s="2">
        <v>4</v>
      </c>
      <c r="Q50" s="2" t="e">
        <f t="shared" ref="Q50:Q58" si="45">O50*P50</f>
        <v>#REF!</v>
      </c>
      <c r="R50" s="2">
        <v>20</v>
      </c>
      <c r="S50" s="2">
        <f t="shared" ref="S50:S58" si="46">R50*K50</f>
        <v>2600</v>
      </c>
      <c r="T50" s="2" t="e">
        <f t="shared" ref="T50:T58" si="47">S50/Q50</f>
        <v>#REF!</v>
      </c>
      <c r="U50" s="2">
        <v>400</v>
      </c>
      <c r="V50" s="2" t="e">
        <f t="shared" si="40"/>
        <v>#REF!</v>
      </c>
      <c r="W50" s="2" t="e">
        <f t="shared" si="41"/>
        <v>#REF!</v>
      </c>
      <c r="X50" s="2"/>
      <c r="Y50" s="2"/>
      <c r="Z50" s="2"/>
      <c r="AA50" s="2">
        <f t="shared" si="10"/>
        <v>3000</v>
      </c>
      <c r="AB50" s="2" t="e">
        <f t="shared" si="11"/>
        <v>#REF!</v>
      </c>
      <c r="AC50" s="2">
        <f t="shared" si="34"/>
        <v>51221</v>
      </c>
      <c r="AD50" s="2">
        <f t="shared" si="35"/>
        <v>101</v>
      </c>
      <c r="AE50" s="2"/>
      <c r="AF50" s="2" t="str">
        <f t="shared" si="36"/>
        <v>shard_sdkfz234</v>
      </c>
      <c r="AG50" s="2" t="str">
        <f t="shared" si="37"/>
        <v>StoreDiamond_1</v>
      </c>
      <c r="AH50" s="2"/>
      <c r="AI50" s="2" t="str">
        <f t="shared" si="42"/>
        <v>[51221,101]</v>
      </c>
      <c r="AJ50" s="2" t="str">
        <f t="shared" si="43"/>
        <v>[20,400]</v>
      </c>
      <c r="AK50" s="2" t="str">
        <f t="shared" si="44"/>
        <v>[shard_sdkfz234,StoreDiamond_1]</v>
      </c>
      <c r="AL50" s="2" t="str">
        <f t="shared" si="24"/>
        <v>3+5+Puma</v>
      </c>
      <c r="AM50" s="1" t="str">
        <f t="shared" si="38"/>
        <v>Gulon Shard</v>
      </c>
      <c r="AN50" s="1" t="str">
        <f t="shared" si="39"/>
        <v>Diamond</v>
      </c>
    </row>
    <row r="51" spans="2:41" x14ac:dyDescent="0.3">
      <c r="B51" s="2" t="s">
        <v>1884</v>
      </c>
      <c r="C51" s="2">
        <f>道具价值!$E$36</f>
        <v>130</v>
      </c>
      <c r="G51" s="2">
        <v>3</v>
      </c>
      <c r="H51" s="2" t="s">
        <v>1923</v>
      </c>
      <c r="I51" s="2" t="s">
        <v>317</v>
      </c>
      <c r="J51" s="2"/>
      <c r="K51" s="2">
        <f t="shared" si="0"/>
        <v>130</v>
      </c>
      <c r="L51" s="2">
        <f t="shared" si="30"/>
        <v>1</v>
      </c>
      <c r="M51" s="2"/>
      <c r="N51" s="2">
        <v>5</v>
      </c>
      <c r="O51" s="2" t="e">
        <f>N51*#REF!</f>
        <v>#REF!</v>
      </c>
      <c r="P51" s="2">
        <v>4</v>
      </c>
      <c r="Q51" s="2" t="e">
        <f t="shared" si="45"/>
        <v>#REF!</v>
      </c>
      <c r="R51" s="2">
        <v>20</v>
      </c>
      <c r="S51" s="2">
        <f t="shared" si="46"/>
        <v>2600</v>
      </c>
      <c r="T51" s="2" t="e">
        <f t="shared" si="47"/>
        <v>#REF!</v>
      </c>
      <c r="U51" s="2">
        <v>400</v>
      </c>
      <c r="V51" s="2" t="e">
        <f t="shared" si="40"/>
        <v>#REF!</v>
      </c>
      <c r="W51" s="2" t="e">
        <f t="shared" si="41"/>
        <v>#REF!</v>
      </c>
      <c r="X51" s="2"/>
      <c r="Y51" s="2"/>
      <c r="Z51" s="2"/>
      <c r="AA51" s="2">
        <f t="shared" si="10"/>
        <v>3000</v>
      </c>
      <c r="AB51" s="2" t="e">
        <f t="shared" si="11"/>
        <v>#REF!</v>
      </c>
      <c r="AC51" s="2">
        <f t="shared" si="34"/>
        <v>52221</v>
      </c>
      <c r="AD51" s="2">
        <f t="shared" si="35"/>
        <v>101</v>
      </c>
      <c r="AE51" s="2"/>
      <c r="AF51" s="2" t="str">
        <f t="shared" si="36"/>
        <v>shard_iv</v>
      </c>
      <c r="AG51" s="2" t="str">
        <f t="shared" si="37"/>
        <v>StoreDiamond_1</v>
      </c>
      <c r="AH51" s="2"/>
      <c r="AI51" s="2" t="str">
        <f t="shared" si="42"/>
        <v>[52221,101]</v>
      </c>
      <c r="AJ51" s="2" t="str">
        <f t="shared" si="43"/>
        <v>[20,400]</v>
      </c>
      <c r="AK51" s="2" t="str">
        <f t="shared" si="44"/>
        <v>[shard_iv,StoreDiamond_1]</v>
      </c>
      <c r="AL51" s="2" t="str">
        <f t="shared" si="24"/>
        <v>3+5+四号碎片</v>
      </c>
      <c r="AM51" s="1" t="str">
        <f t="shared" si="38"/>
        <v>Minotaur Shard</v>
      </c>
      <c r="AN51" s="1" t="str">
        <f t="shared" si="39"/>
        <v>Diamond</v>
      </c>
    </row>
    <row r="52" spans="2:41" x14ac:dyDescent="0.3">
      <c r="B52" s="2" t="s">
        <v>1923</v>
      </c>
      <c r="C52" s="2">
        <f>道具价值!$E$36</f>
        <v>130</v>
      </c>
      <c r="G52" s="2">
        <v>3</v>
      </c>
      <c r="H52" s="2" t="s">
        <v>1963</v>
      </c>
      <c r="I52" s="2" t="s">
        <v>317</v>
      </c>
      <c r="J52" s="2"/>
      <c r="K52" s="2">
        <f t="shared" si="0"/>
        <v>130</v>
      </c>
      <c r="L52" s="2">
        <f t="shared" si="30"/>
        <v>1</v>
      </c>
      <c r="M52" s="2"/>
      <c r="N52" s="2">
        <v>5</v>
      </c>
      <c r="O52" s="2" t="e">
        <f>N52*#REF!</f>
        <v>#REF!</v>
      </c>
      <c r="P52" s="2">
        <v>4</v>
      </c>
      <c r="Q52" s="2" t="e">
        <f t="shared" si="45"/>
        <v>#REF!</v>
      </c>
      <c r="R52" s="2">
        <v>20</v>
      </c>
      <c r="S52" s="2">
        <f t="shared" si="46"/>
        <v>2600</v>
      </c>
      <c r="T52" s="2" t="e">
        <f t="shared" si="47"/>
        <v>#REF!</v>
      </c>
      <c r="U52" s="2">
        <v>400</v>
      </c>
      <c r="V52" s="2" t="e">
        <f t="shared" si="40"/>
        <v>#REF!</v>
      </c>
      <c r="W52" s="2" t="e">
        <f t="shared" si="41"/>
        <v>#REF!</v>
      </c>
      <c r="X52" s="2"/>
      <c r="Y52" s="2"/>
      <c r="Z52" s="2"/>
      <c r="AA52" s="2">
        <f t="shared" si="10"/>
        <v>3000</v>
      </c>
      <c r="AB52" s="2" t="e">
        <f t="shared" si="11"/>
        <v>#REF!</v>
      </c>
      <c r="AC52" s="2">
        <f t="shared" si="34"/>
        <v>53221</v>
      </c>
      <c r="AD52" s="2">
        <f t="shared" si="35"/>
        <v>101</v>
      </c>
      <c r="AE52" s="2"/>
      <c r="AF52" s="2" t="str">
        <f t="shared" si="36"/>
        <v>shard_churchill</v>
      </c>
      <c r="AG52" s="2" t="str">
        <f t="shared" si="37"/>
        <v>StoreDiamond_1</v>
      </c>
      <c r="AH52" s="2"/>
      <c r="AI52" s="2" t="str">
        <f t="shared" si="42"/>
        <v>[53221,101]</v>
      </c>
      <c r="AJ52" s="2" t="str">
        <f t="shared" si="43"/>
        <v>[20,400]</v>
      </c>
      <c r="AK52" s="2" t="str">
        <f t="shared" si="44"/>
        <v>[shard_churchill,StoreDiamond_1]</v>
      </c>
      <c r="AL52" s="2" t="str">
        <f t="shared" si="24"/>
        <v>3+5+丘吉尔碎</v>
      </c>
      <c r="AM52" s="1" t="str">
        <f t="shared" si="38"/>
        <v>Wyrm Shard</v>
      </c>
      <c r="AN52" s="1" t="str">
        <f t="shared" si="39"/>
        <v>Diamond</v>
      </c>
    </row>
    <row r="53" spans="2:41" x14ac:dyDescent="0.3">
      <c r="B53" s="2" t="s">
        <v>1963</v>
      </c>
      <c r="C53" s="2">
        <f>道具价值!$E$36</f>
        <v>130</v>
      </c>
      <c r="G53" s="2">
        <v>3</v>
      </c>
      <c r="H53" s="2" t="s">
        <v>1884</v>
      </c>
      <c r="I53" s="2" t="s">
        <v>317</v>
      </c>
      <c r="J53" s="2"/>
      <c r="K53" s="2">
        <f t="shared" si="0"/>
        <v>130</v>
      </c>
      <c r="L53" s="2">
        <f t="shared" si="30"/>
        <v>1</v>
      </c>
      <c r="M53" s="2"/>
      <c r="N53" s="2">
        <v>10</v>
      </c>
      <c r="O53" s="2" t="e">
        <f>N53*#REF!</f>
        <v>#REF!</v>
      </c>
      <c r="P53" s="2">
        <v>4</v>
      </c>
      <c r="Q53" s="2" t="e">
        <f t="shared" si="45"/>
        <v>#REF!</v>
      </c>
      <c r="R53" s="2">
        <v>40</v>
      </c>
      <c r="S53" s="2">
        <f t="shared" si="46"/>
        <v>5200</v>
      </c>
      <c r="T53" s="2" t="e">
        <f t="shared" si="47"/>
        <v>#REF!</v>
      </c>
      <c r="U53" s="2">
        <v>800</v>
      </c>
      <c r="V53" s="2" t="e">
        <f t="shared" si="40"/>
        <v>#REF!</v>
      </c>
      <c r="W53" s="2" t="e">
        <f t="shared" si="41"/>
        <v>#REF!</v>
      </c>
      <c r="X53" s="2"/>
      <c r="Y53" s="2"/>
      <c r="Z53" s="2"/>
      <c r="AA53" s="2">
        <f t="shared" si="10"/>
        <v>6000</v>
      </c>
      <c r="AB53" s="2" t="e">
        <f t="shared" si="11"/>
        <v>#REF!</v>
      </c>
      <c r="AC53" s="2">
        <f t="shared" si="34"/>
        <v>51221</v>
      </c>
      <c r="AD53" s="2">
        <f t="shared" si="35"/>
        <v>101</v>
      </c>
      <c r="AE53" s="2"/>
      <c r="AF53" s="2" t="str">
        <f t="shared" si="36"/>
        <v>shard_sdkfz234</v>
      </c>
      <c r="AG53" s="2" t="str">
        <f t="shared" si="37"/>
        <v>StoreDiamond_1</v>
      </c>
      <c r="AH53" s="2"/>
      <c r="AI53" s="2" t="str">
        <f t="shared" si="42"/>
        <v>[51221,101]</v>
      </c>
      <c r="AJ53" s="2" t="str">
        <f t="shared" si="43"/>
        <v>[40,800]</v>
      </c>
      <c r="AK53" s="2" t="str">
        <f t="shared" si="44"/>
        <v>[shard_sdkfz234,StoreDiamond_1]</v>
      </c>
      <c r="AL53" s="2" t="str">
        <f t="shared" si="24"/>
        <v>3+10+Puma</v>
      </c>
      <c r="AM53" s="1" t="str">
        <f t="shared" si="38"/>
        <v>Gulon Shard</v>
      </c>
      <c r="AN53" s="1" t="str">
        <f t="shared" si="39"/>
        <v>Diamond</v>
      </c>
    </row>
    <row r="54" spans="2:41" x14ac:dyDescent="0.3">
      <c r="B54" s="2" t="s">
        <v>4217</v>
      </c>
      <c r="C54" s="2">
        <f>道具价值!J63</f>
        <v>35</v>
      </c>
      <c r="G54" s="2">
        <v>3</v>
      </c>
      <c r="H54" s="2" t="s">
        <v>1923</v>
      </c>
      <c r="I54" s="2" t="s">
        <v>317</v>
      </c>
      <c r="J54" s="2"/>
      <c r="K54" s="2">
        <f t="shared" si="0"/>
        <v>130</v>
      </c>
      <c r="L54" s="2">
        <f t="shared" si="30"/>
        <v>1</v>
      </c>
      <c r="M54" s="2"/>
      <c r="N54" s="2">
        <v>10</v>
      </c>
      <c r="O54" s="2" t="e">
        <f>N54*#REF!</f>
        <v>#REF!</v>
      </c>
      <c r="P54" s="2">
        <v>4</v>
      </c>
      <c r="Q54" s="2" t="e">
        <f t="shared" si="45"/>
        <v>#REF!</v>
      </c>
      <c r="R54" s="2">
        <v>40</v>
      </c>
      <c r="S54" s="2">
        <f t="shared" si="46"/>
        <v>5200</v>
      </c>
      <c r="T54" s="2" t="e">
        <f t="shared" si="47"/>
        <v>#REF!</v>
      </c>
      <c r="U54" s="2">
        <v>800</v>
      </c>
      <c r="V54" s="2" t="e">
        <f t="shared" si="40"/>
        <v>#REF!</v>
      </c>
      <c r="W54" s="2" t="e">
        <f t="shared" si="41"/>
        <v>#REF!</v>
      </c>
      <c r="X54" s="2"/>
      <c r="Y54" s="2"/>
      <c r="Z54" s="2"/>
      <c r="AA54" s="2">
        <f t="shared" si="10"/>
        <v>6000</v>
      </c>
      <c r="AB54" s="2" t="e">
        <f t="shared" si="11"/>
        <v>#REF!</v>
      </c>
      <c r="AC54" s="2">
        <f t="shared" si="34"/>
        <v>52221</v>
      </c>
      <c r="AD54" s="2">
        <f t="shared" si="35"/>
        <v>101</v>
      </c>
      <c r="AE54" s="2"/>
      <c r="AF54" s="2" t="str">
        <f t="shared" si="36"/>
        <v>shard_iv</v>
      </c>
      <c r="AG54" s="2" t="str">
        <f t="shared" si="37"/>
        <v>StoreDiamond_1</v>
      </c>
      <c r="AH54" s="2"/>
      <c r="AI54" s="2" t="str">
        <f t="shared" si="42"/>
        <v>[52221,101]</v>
      </c>
      <c r="AJ54" s="2" t="str">
        <f t="shared" si="43"/>
        <v>[40,800]</v>
      </c>
      <c r="AK54" s="2" t="str">
        <f t="shared" si="44"/>
        <v>[shard_iv,StoreDiamond_1]</v>
      </c>
      <c r="AL54" s="2" t="str">
        <f t="shared" si="24"/>
        <v>3+10+四号碎片</v>
      </c>
      <c r="AM54" s="1" t="str">
        <f t="shared" si="38"/>
        <v>Minotaur Shard</v>
      </c>
      <c r="AN54" s="1" t="str">
        <f t="shared" si="39"/>
        <v>Diamond</v>
      </c>
    </row>
    <row r="55" spans="2:41" x14ac:dyDescent="0.3">
      <c r="B55" s="2" t="s">
        <v>578</v>
      </c>
      <c r="C55" s="2">
        <f>道具价值!J64</f>
        <v>60</v>
      </c>
      <c r="G55" s="2">
        <v>3</v>
      </c>
      <c r="H55" s="2" t="s">
        <v>1963</v>
      </c>
      <c r="I55" s="2" t="s">
        <v>317</v>
      </c>
      <c r="J55" s="2"/>
      <c r="K55" s="2">
        <f t="shared" ref="K55:K86" si="48">IFERROR(VLOOKUP(LEFT(H55,4),$B$40:$C$81,2,FALSE),VLOOKUP(H55,$B$40:$C$81,2,FALSE))</f>
        <v>130</v>
      </c>
      <c r="L55" s="2">
        <f t="shared" si="30"/>
        <v>1</v>
      </c>
      <c r="M55" s="2"/>
      <c r="N55" s="2">
        <v>10</v>
      </c>
      <c r="O55" s="2" t="e">
        <f>N55*#REF!</f>
        <v>#REF!</v>
      </c>
      <c r="P55" s="2">
        <v>4</v>
      </c>
      <c r="Q55" s="2" t="e">
        <f t="shared" si="45"/>
        <v>#REF!</v>
      </c>
      <c r="R55" s="2">
        <v>40</v>
      </c>
      <c r="S55" s="2">
        <f t="shared" si="46"/>
        <v>5200</v>
      </c>
      <c r="T55" s="2" t="e">
        <f t="shared" si="47"/>
        <v>#REF!</v>
      </c>
      <c r="U55" s="2">
        <v>800</v>
      </c>
      <c r="V55" s="2" t="e">
        <f t="shared" si="40"/>
        <v>#REF!</v>
      </c>
      <c r="W55" s="2" t="e">
        <f t="shared" si="41"/>
        <v>#REF!</v>
      </c>
      <c r="X55" s="2"/>
      <c r="Y55" s="2"/>
      <c r="Z55" s="2"/>
      <c r="AA55" s="2">
        <f t="shared" ref="AA55:AA86" si="49">R55*K55+U55*L55+X55*M55</f>
        <v>6000</v>
      </c>
      <c r="AB55" s="2" t="e">
        <f t="shared" ref="AB55:AB86" si="50">1-1/(AA55/O55)</f>
        <v>#REF!</v>
      </c>
      <c r="AC55" s="2">
        <f t="shared" si="34"/>
        <v>53221</v>
      </c>
      <c r="AD55" s="2">
        <f t="shared" si="35"/>
        <v>101</v>
      </c>
      <c r="AE55" s="2"/>
      <c r="AF55" s="2" t="str">
        <f t="shared" si="36"/>
        <v>shard_churchill</v>
      </c>
      <c r="AG55" s="2" t="str">
        <f t="shared" si="37"/>
        <v>StoreDiamond_1</v>
      </c>
      <c r="AH55" s="2"/>
      <c r="AI55" s="2" t="str">
        <f t="shared" si="42"/>
        <v>[53221,101]</v>
      </c>
      <c r="AJ55" s="2" t="str">
        <f t="shared" si="43"/>
        <v>[40,800]</v>
      </c>
      <c r="AK55" s="2" t="str">
        <f t="shared" si="44"/>
        <v>[shard_churchill,StoreDiamond_1]</v>
      </c>
      <c r="AL55" s="2" t="str">
        <f t="shared" si="24"/>
        <v>3+10+丘吉尔碎</v>
      </c>
      <c r="AM55" s="1" t="str">
        <f t="shared" si="38"/>
        <v>Wyrm Shard</v>
      </c>
      <c r="AN55" s="1" t="str">
        <f t="shared" si="39"/>
        <v>Diamond</v>
      </c>
    </row>
    <row r="56" spans="2:41" x14ac:dyDescent="0.3">
      <c r="B56" s="2" t="s">
        <v>1790</v>
      </c>
      <c r="C56" s="2">
        <f>道具价值!J65</f>
        <v>70</v>
      </c>
      <c r="G56" s="2">
        <v>3</v>
      </c>
      <c r="H56" s="2" t="s">
        <v>1884</v>
      </c>
      <c r="I56" s="2" t="s">
        <v>317</v>
      </c>
      <c r="J56" s="2"/>
      <c r="K56" s="2">
        <f t="shared" si="48"/>
        <v>130</v>
      </c>
      <c r="L56" s="2">
        <f t="shared" si="30"/>
        <v>1</v>
      </c>
      <c r="M56" s="2"/>
      <c r="N56" s="2">
        <v>20</v>
      </c>
      <c r="O56" s="2" t="e">
        <f>N56*#REF!</f>
        <v>#REF!</v>
      </c>
      <c r="P56" s="2">
        <v>4</v>
      </c>
      <c r="Q56" s="2" t="e">
        <f t="shared" si="45"/>
        <v>#REF!</v>
      </c>
      <c r="R56" s="2">
        <v>80</v>
      </c>
      <c r="S56" s="2">
        <f t="shared" si="46"/>
        <v>10400</v>
      </c>
      <c r="T56" s="2" t="e">
        <f t="shared" si="47"/>
        <v>#REF!</v>
      </c>
      <c r="U56" s="2">
        <v>1600</v>
      </c>
      <c r="V56" s="2" t="e">
        <f t="shared" si="40"/>
        <v>#REF!</v>
      </c>
      <c r="W56" s="2" t="e">
        <f t="shared" si="41"/>
        <v>#REF!</v>
      </c>
      <c r="X56" s="2"/>
      <c r="Y56" s="2"/>
      <c r="Z56" s="2"/>
      <c r="AA56" s="2">
        <f t="shared" si="49"/>
        <v>12000</v>
      </c>
      <c r="AB56" s="2" t="e">
        <f t="shared" si="50"/>
        <v>#REF!</v>
      </c>
      <c r="AC56" s="2">
        <f t="shared" si="34"/>
        <v>51221</v>
      </c>
      <c r="AD56" s="2">
        <f t="shared" si="35"/>
        <v>101</v>
      </c>
      <c r="AE56" s="2"/>
      <c r="AF56" s="2" t="str">
        <f t="shared" si="36"/>
        <v>shard_sdkfz234</v>
      </c>
      <c r="AG56" s="2" t="str">
        <f t="shared" si="37"/>
        <v>StoreDiamond_1</v>
      </c>
      <c r="AH56" s="2"/>
      <c r="AI56" s="2" t="str">
        <f t="shared" si="42"/>
        <v>[51221,101]</v>
      </c>
      <c r="AJ56" s="2" t="str">
        <f t="shared" si="43"/>
        <v>[80,1600]</v>
      </c>
      <c r="AK56" s="2" t="str">
        <f t="shared" si="44"/>
        <v>[shard_sdkfz234,StoreDiamond_1]</v>
      </c>
      <c r="AL56" s="2" t="str">
        <f t="shared" si="24"/>
        <v>3+20+Puma</v>
      </c>
      <c r="AM56" s="1" t="str">
        <f t="shared" si="38"/>
        <v>Gulon Shard</v>
      </c>
      <c r="AN56" s="1" t="str">
        <f t="shared" si="39"/>
        <v>Diamond</v>
      </c>
    </row>
    <row r="57" spans="2:41" x14ac:dyDescent="0.3">
      <c r="B57" s="2" t="s">
        <v>1791</v>
      </c>
      <c r="C57" s="2">
        <f>道具价值!J66</f>
        <v>125</v>
      </c>
      <c r="G57" s="2">
        <v>3</v>
      </c>
      <c r="H57" s="2" t="s">
        <v>1923</v>
      </c>
      <c r="I57" s="2" t="s">
        <v>317</v>
      </c>
      <c r="J57" s="2"/>
      <c r="K57" s="2">
        <f t="shared" si="48"/>
        <v>130</v>
      </c>
      <c r="L57" s="2">
        <f t="shared" si="30"/>
        <v>1</v>
      </c>
      <c r="M57" s="2"/>
      <c r="N57" s="2">
        <v>20</v>
      </c>
      <c r="O57" s="2" t="e">
        <f>N57*#REF!</f>
        <v>#REF!</v>
      </c>
      <c r="P57" s="2">
        <v>4</v>
      </c>
      <c r="Q57" s="2" t="e">
        <f t="shared" si="45"/>
        <v>#REF!</v>
      </c>
      <c r="R57" s="2">
        <v>80</v>
      </c>
      <c r="S57" s="2">
        <f t="shared" si="46"/>
        <v>10400</v>
      </c>
      <c r="T57" s="2" t="e">
        <f t="shared" si="47"/>
        <v>#REF!</v>
      </c>
      <c r="U57" s="2">
        <v>1600</v>
      </c>
      <c r="V57" s="2" t="e">
        <f t="shared" si="40"/>
        <v>#REF!</v>
      </c>
      <c r="W57" s="2" t="e">
        <f t="shared" si="41"/>
        <v>#REF!</v>
      </c>
      <c r="X57" s="2"/>
      <c r="Y57" s="2"/>
      <c r="Z57" s="2"/>
      <c r="AA57" s="2">
        <f t="shared" si="49"/>
        <v>12000</v>
      </c>
      <c r="AB57" s="2" t="e">
        <f t="shared" si="50"/>
        <v>#REF!</v>
      </c>
      <c r="AC57" s="2">
        <f t="shared" si="34"/>
        <v>52221</v>
      </c>
      <c r="AD57" s="2">
        <f t="shared" si="35"/>
        <v>101</v>
      </c>
      <c r="AE57" s="2"/>
      <c r="AF57" s="2" t="str">
        <f t="shared" si="36"/>
        <v>shard_iv</v>
      </c>
      <c r="AG57" s="2" t="str">
        <f t="shared" si="37"/>
        <v>StoreDiamond_1</v>
      </c>
      <c r="AH57" s="2"/>
      <c r="AI57" s="2" t="str">
        <f t="shared" si="42"/>
        <v>[52221,101]</v>
      </c>
      <c r="AJ57" s="2" t="str">
        <f t="shared" si="43"/>
        <v>[80,1600]</v>
      </c>
      <c r="AK57" s="2" t="str">
        <f t="shared" si="44"/>
        <v>[shard_iv,StoreDiamond_1]</v>
      </c>
      <c r="AL57" s="2" t="str">
        <f t="shared" si="24"/>
        <v>3+20+四号碎片</v>
      </c>
      <c r="AM57" s="1" t="str">
        <f t="shared" si="38"/>
        <v>Minotaur Shard</v>
      </c>
      <c r="AN57" s="1" t="str">
        <f t="shared" si="39"/>
        <v>Diamond</v>
      </c>
    </row>
    <row r="58" spans="2:41" x14ac:dyDescent="0.3">
      <c r="B58" s="2" t="s">
        <v>1792</v>
      </c>
      <c r="C58" s="2">
        <f>道具价值!J67</f>
        <v>230</v>
      </c>
      <c r="G58" s="2">
        <v>3</v>
      </c>
      <c r="H58" s="2" t="s">
        <v>1963</v>
      </c>
      <c r="I58" s="2" t="s">
        <v>317</v>
      </c>
      <c r="J58" s="2"/>
      <c r="K58" s="2">
        <f t="shared" si="48"/>
        <v>130</v>
      </c>
      <c r="L58" s="2">
        <f t="shared" si="30"/>
        <v>1</v>
      </c>
      <c r="M58" s="2"/>
      <c r="N58" s="2">
        <v>20</v>
      </c>
      <c r="O58" s="2" t="e">
        <f>N58*#REF!</f>
        <v>#REF!</v>
      </c>
      <c r="P58" s="2">
        <v>4</v>
      </c>
      <c r="Q58" s="2" t="e">
        <f t="shared" si="45"/>
        <v>#REF!</v>
      </c>
      <c r="R58" s="2">
        <v>80</v>
      </c>
      <c r="S58" s="2">
        <f t="shared" si="46"/>
        <v>10400</v>
      </c>
      <c r="T58" s="2" t="e">
        <f t="shared" si="47"/>
        <v>#REF!</v>
      </c>
      <c r="U58" s="2">
        <v>1600</v>
      </c>
      <c r="V58" s="2" t="e">
        <f t="shared" si="40"/>
        <v>#REF!</v>
      </c>
      <c r="W58" s="2" t="e">
        <f t="shared" si="41"/>
        <v>#REF!</v>
      </c>
      <c r="X58" s="2"/>
      <c r="Y58" s="2"/>
      <c r="Z58" s="2"/>
      <c r="AA58" s="2">
        <f t="shared" si="49"/>
        <v>12000</v>
      </c>
      <c r="AB58" s="2" t="e">
        <f t="shared" si="50"/>
        <v>#REF!</v>
      </c>
      <c r="AC58" s="2">
        <f t="shared" si="34"/>
        <v>53221</v>
      </c>
      <c r="AD58" s="2">
        <f t="shared" si="35"/>
        <v>101</v>
      </c>
      <c r="AE58" s="2"/>
      <c r="AF58" s="2" t="str">
        <f t="shared" si="36"/>
        <v>shard_churchill</v>
      </c>
      <c r="AG58" s="2" t="str">
        <f t="shared" si="37"/>
        <v>StoreDiamond_1</v>
      </c>
      <c r="AH58" s="2"/>
      <c r="AI58" s="2" t="str">
        <f t="shared" si="42"/>
        <v>[53221,101]</v>
      </c>
      <c r="AJ58" s="2" t="str">
        <f t="shared" si="43"/>
        <v>[80,1600]</v>
      </c>
      <c r="AK58" s="2" t="str">
        <f t="shared" si="44"/>
        <v>[shard_churchill,StoreDiamond_1]</v>
      </c>
      <c r="AL58" s="2" t="str">
        <f t="shared" si="24"/>
        <v>3+20+丘吉尔碎</v>
      </c>
      <c r="AM58" s="1" t="str">
        <f t="shared" si="38"/>
        <v>Wyrm Shard</v>
      </c>
      <c r="AN58" s="1" t="str">
        <f t="shared" si="39"/>
        <v>Diamond</v>
      </c>
    </row>
    <row r="59" spans="2:41" x14ac:dyDescent="0.3">
      <c r="B59" s="2" t="s">
        <v>1793</v>
      </c>
      <c r="C59" s="2">
        <f>道具价值!J68</f>
        <v>215</v>
      </c>
      <c r="G59" s="2">
        <v>3</v>
      </c>
      <c r="H59" s="2" t="s">
        <v>2566</v>
      </c>
      <c r="I59" s="2" t="s">
        <v>578</v>
      </c>
      <c r="J59" s="2" t="s">
        <v>317</v>
      </c>
      <c r="K59" s="2" t="e">
        <f t="shared" si="48"/>
        <v>#REF!</v>
      </c>
      <c r="L59" s="2">
        <f t="shared" si="30"/>
        <v>60</v>
      </c>
      <c r="M59" s="2">
        <f t="shared" ref="M59:M90" si="51">VLOOKUP(J59,$B$40:$C$81,2,FALSE)</f>
        <v>1</v>
      </c>
      <c r="N59" s="2">
        <v>2</v>
      </c>
      <c r="O59" s="2" t="e">
        <f>N59*#REF!</f>
        <v>#REF!</v>
      </c>
      <c r="P59" s="2">
        <v>4</v>
      </c>
      <c r="Q59" s="2" t="e">
        <f t="shared" ref="Q59:Q64" si="52">O59*P59</f>
        <v>#REF!</v>
      </c>
      <c r="R59" s="2">
        <v>2</v>
      </c>
      <c r="S59" s="2" t="e">
        <f t="shared" ref="S59:S64" si="53">R59*K59</f>
        <v>#REF!</v>
      </c>
      <c r="T59" s="2" t="e">
        <f t="shared" ref="T59:T64" si="54">S59/Q59</f>
        <v>#REF!</v>
      </c>
      <c r="U59" s="2">
        <v>2</v>
      </c>
      <c r="V59" s="2">
        <f t="shared" ref="V59:V64" si="55">U59*L59</f>
        <v>120</v>
      </c>
      <c r="W59" s="2" t="e">
        <f t="shared" ref="W59:W64" si="56">V59/Q59</f>
        <v>#REF!</v>
      </c>
      <c r="X59" s="2">
        <v>400</v>
      </c>
      <c r="Y59" s="2" t="e">
        <f t="shared" ref="Y59:Y90" si="57">Z59*Q59</f>
        <v>#REF!</v>
      </c>
      <c r="Z59" s="2" t="e">
        <f t="shared" ref="Z59:Z90" si="58">1-T59-W59</f>
        <v>#REF!</v>
      </c>
      <c r="AA59" s="2" t="e">
        <f t="shared" si="49"/>
        <v>#REF!</v>
      </c>
      <c r="AB59" s="2" t="e">
        <f t="shared" si="50"/>
        <v>#REF!</v>
      </c>
      <c r="AC59" s="2">
        <f t="shared" si="34"/>
        <v>23203</v>
      </c>
      <c r="AD59" s="2">
        <f t="shared" si="35"/>
        <v>100302</v>
      </c>
      <c r="AE59" s="2">
        <f t="shared" ref="AE59:AE90" si="59">VLOOKUP(J59,道具ID,2,FALSE)</f>
        <v>101</v>
      </c>
      <c r="AF59" s="2" t="str">
        <f t="shared" si="36"/>
        <v>chest_tankpart</v>
      </c>
      <c r="AG59" s="2" t="str">
        <f t="shared" si="37"/>
        <v>StoreQuikenItem_1</v>
      </c>
      <c r="AH59" s="2" t="str">
        <f t="shared" ref="AH59:AH90" si="60">VLOOKUP(J59,道具ID,3,FALSE)</f>
        <v>StoreDiamond_1</v>
      </c>
      <c r="AI59" s="2" t="str">
        <f t="shared" si="21"/>
        <v>[23203,100302,101]</v>
      </c>
      <c r="AJ59" s="2" t="str">
        <f t="shared" si="22"/>
        <v>[2,2,400]</v>
      </c>
      <c r="AK59" s="2" t="str">
        <f t="shared" si="23"/>
        <v>[chest_tankpart,StoreQuikenItem_1,StoreDiamond_1]</v>
      </c>
      <c r="AL59" s="2" t="str">
        <f t="shared" si="24"/>
        <v>3+2+部件礼包</v>
      </c>
      <c r="AM59" s="1" t="str">
        <f t="shared" si="38"/>
        <v>T1 Component</v>
      </c>
      <c r="AN59" s="1" t="str">
        <f t="shared" si="39"/>
        <v>1H_X3_Accelerater</v>
      </c>
      <c r="AO59" s="1" t="str">
        <f t="shared" ref="AO59:AO90" si="61">VLOOKUP(J59,道具ID,4,FALSE)</f>
        <v>Diamond</v>
      </c>
    </row>
    <row r="60" spans="2:41" x14ac:dyDescent="0.3">
      <c r="B60" s="2" t="s">
        <v>1794</v>
      </c>
      <c r="C60" s="2">
        <f>道具价值!J69</f>
        <v>400</v>
      </c>
      <c r="G60" s="2">
        <v>3</v>
      </c>
      <c r="H60" s="2" t="s">
        <v>2579</v>
      </c>
      <c r="I60" s="2" t="s">
        <v>511</v>
      </c>
      <c r="J60" s="2" t="s">
        <v>268</v>
      </c>
      <c r="K60" s="2" t="e">
        <f t="shared" si="48"/>
        <v>#REF!</v>
      </c>
      <c r="L60" s="2">
        <f t="shared" si="30"/>
        <v>0.50000000000000044</v>
      </c>
      <c r="M60" s="2">
        <f t="shared" si="51"/>
        <v>3.9623576027736501E-3</v>
      </c>
      <c r="N60" s="2">
        <v>2</v>
      </c>
      <c r="O60" s="2" t="e">
        <f>N60*#REF!</f>
        <v>#REF!</v>
      </c>
      <c r="P60" s="2">
        <v>4</v>
      </c>
      <c r="Q60" s="2" t="e">
        <f t="shared" si="52"/>
        <v>#REF!</v>
      </c>
      <c r="R60" s="2">
        <v>2</v>
      </c>
      <c r="S60" s="2" t="e">
        <f t="shared" si="53"/>
        <v>#REF!</v>
      </c>
      <c r="T60" s="2" t="e">
        <f t="shared" si="54"/>
        <v>#REF!</v>
      </c>
      <c r="U60" s="2">
        <v>80</v>
      </c>
      <c r="V60" s="2">
        <f t="shared" si="55"/>
        <v>40.000000000000036</v>
      </c>
      <c r="W60" s="2" t="e">
        <f t="shared" si="56"/>
        <v>#REF!</v>
      </c>
      <c r="X60" s="2">
        <v>70000</v>
      </c>
      <c r="Y60" s="2" t="e">
        <f t="shared" si="57"/>
        <v>#REF!</v>
      </c>
      <c r="Z60" s="2" t="e">
        <f t="shared" si="58"/>
        <v>#REF!</v>
      </c>
      <c r="AA60" s="2" t="e">
        <f t="shared" si="49"/>
        <v>#REF!</v>
      </c>
      <c r="AB60" s="2" t="e">
        <f t="shared" si="50"/>
        <v>#REF!</v>
      </c>
      <c r="AC60" s="2">
        <f t="shared" si="34"/>
        <v>24203</v>
      </c>
      <c r="AD60" s="2">
        <f t="shared" si="35"/>
        <v>111</v>
      </c>
      <c r="AE60" s="2">
        <f t="shared" si="59"/>
        <v>102</v>
      </c>
      <c r="AF60" s="2" t="str">
        <f t="shared" si="36"/>
        <v>chest_shard</v>
      </c>
      <c r="AG60" s="2" t="str">
        <f t="shared" si="37"/>
        <v>StoreDoubleKey_1</v>
      </c>
      <c r="AH60" s="2" t="str">
        <f t="shared" si="60"/>
        <v>StoreFund_3</v>
      </c>
      <c r="AI60" s="2" t="str">
        <f t="shared" si="21"/>
        <v>[24203,111,102]</v>
      </c>
      <c r="AJ60" s="2" t="str">
        <f t="shared" si="22"/>
        <v>[2,80,70000]</v>
      </c>
      <c r="AK60" s="2" t="str">
        <f t="shared" si="23"/>
        <v>[chest_shard,StoreDoubleKey_1,StoreFund_3]</v>
      </c>
      <c r="AL60" s="2" t="str">
        <f t="shared" si="24"/>
        <v>3+2+碎片礼包</v>
      </c>
      <c r="AM60" s="1" t="str">
        <f t="shared" si="38"/>
        <v>T2 Senior Shard</v>
      </c>
      <c r="AN60" s="1" t="str">
        <f t="shared" si="39"/>
        <v>DoubleKeys</v>
      </c>
      <c r="AO60" s="1" t="str">
        <f t="shared" si="61"/>
        <v>Funds</v>
      </c>
    </row>
    <row r="61" spans="2:41" x14ac:dyDescent="0.3">
      <c r="B61" s="2" t="s">
        <v>1795</v>
      </c>
      <c r="C61" s="2">
        <f>道具价值!J70</f>
        <v>1265</v>
      </c>
      <c r="G61" s="2">
        <v>3</v>
      </c>
      <c r="H61" s="2" t="s">
        <v>2566</v>
      </c>
      <c r="I61" s="2" t="s">
        <v>578</v>
      </c>
      <c r="J61" s="2" t="s">
        <v>317</v>
      </c>
      <c r="K61" s="2" t="e">
        <f t="shared" si="48"/>
        <v>#REF!</v>
      </c>
      <c r="L61" s="2">
        <f t="shared" si="30"/>
        <v>60</v>
      </c>
      <c r="M61" s="2">
        <f t="shared" si="51"/>
        <v>1</v>
      </c>
      <c r="N61" s="2">
        <v>5</v>
      </c>
      <c r="O61" s="2" t="e">
        <f>N61*#REF!</f>
        <v>#REF!</v>
      </c>
      <c r="P61" s="2">
        <v>4</v>
      </c>
      <c r="Q61" s="2" t="e">
        <f t="shared" si="52"/>
        <v>#REF!</v>
      </c>
      <c r="R61" s="2">
        <v>3</v>
      </c>
      <c r="S61" s="2" t="e">
        <f t="shared" si="53"/>
        <v>#REF!</v>
      </c>
      <c r="T61" s="2" t="e">
        <f t="shared" si="54"/>
        <v>#REF!</v>
      </c>
      <c r="U61" s="2">
        <v>10</v>
      </c>
      <c r="V61" s="2">
        <f t="shared" si="55"/>
        <v>600</v>
      </c>
      <c r="W61" s="2" t="e">
        <f t="shared" si="56"/>
        <v>#REF!</v>
      </c>
      <c r="X61" s="2">
        <v>1000</v>
      </c>
      <c r="Y61" s="2" t="e">
        <f t="shared" si="57"/>
        <v>#REF!</v>
      </c>
      <c r="Z61" s="2" t="e">
        <f t="shared" si="58"/>
        <v>#REF!</v>
      </c>
      <c r="AA61" s="2" t="e">
        <f t="shared" si="49"/>
        <v>#REF!</v>
      </c>
      <c r="AB61" s="2" t="e">
        <f t="shared" si="50"/>
        <v>#REF!</v>
      </c>
      <c r="AC61" s="2">
        <f t="shared" si="34"/>
        <v>23203</v>
      </c>
      <c r="AD61" s="2">
        <f t="shared" si="35"/>
        <v>100302</v>
      </c>
      <c r="AE61" s="2">
        <f t="shared" si="59"/>
        <v>101</v>
      </c>
      <c r="AF61" s="2" t="str">
        <f t="shared" si="36"/>
        <v>chest_tankpart</v>
      </c>
      <c r="AG61" s="2" t="str">
        <f t="shared" si="37"/>
        <v>StoreQuikenItem_1</v>
      </c>
      <c r="AH61" s="2" t="str">
        <f t="shared" si="60"/>
        <v>StoreDiamond_1</v>
      </c>
      <c r="AI61" s="2" t="str">
        <f t="shared" si="21"/>
        <v>[23203,100302,101]</v>
      </c>
      <c r="AJ61" s="2" t="str">
        <f t="shared" si="22"/>
        <v>[3,10,1000]</v>
      </c>
      <c r="AK61" s="2" t="str">
        <f t="shared" si="23"/>
        <v>[chest_tankpart,StoreQuikenItem_1,StoreDiamond_1]</v>
      </c>
      <c r="AL61" s="2" t="str">
        <f t="shared" si="24"/>
        <v>3+5+部件礼包</v>
      </c>
      <c r="AM61" s="1" t="str">
        <f t="shared" si="38"/>
        <v>T1 Component</v>
      </c>
      <c r="AN61" s="1" t="str">
        <f t="shared" si="39"/>
        <v>1H_X3_Accelerater</v>
      </c>
      <c r="AO61" s="1" t="str">
        <f t="shared" si="61"/>
        <v>Diamond</v>
      </c>
    </row>
    <row r="62" spans="2:41" x14ac:dyDescent="0.3">
      <c r="B62" s="2" t="s">
        <v>511</v>
      </c>
      <c r="C62" s="2">
        <f>道具价值!S73</f>
        <v>0.50000000000000044</v>
      </c>
      <c r="G62" s="2">
        <v>3</v>
      </c>
      <c r="H62" s="2" t="s">
        <v>2579</v>
      </c>
      <c r="I62" s="2" t="s">
        <v>511</v>
      </c>
      <c r="J62" s="2" t="s">
        <v>268</v>
      </c>
      <c r="K62" s="2" t="e">
        <f t="shared" si="48"/>
        <v>#REF!</v>
      </c>
      <c r="L62" s="2">
        <f t="shared" si="30"/>
        <v>0.50000000000000044</v>
      </c>
      <c r="M62" s="2">
        <f t="shared" si="51"/>
        <v>3.9623576027736501E-3</v>
      </c>
      <c r="N62" s="2">
        <v>5</v>
      </c>
      <c r="O62" s="2" t="e">
        <f>N62*#REF!</f>
        <v>#REF!</v>
      </c>
      <c r="P62" s="2">
        <v>4</v>
      </c>
      <c r="Q62" s="2" t="e">
        <f t="shared" si="52"/>
        <v>#REF!</v>
      </c>
      <c r="R62" s="2">
        <v>7</v>
      </c>
      <c r="S62" s="2" t="e">
        <f t="shared" si="53"/>
        <v>#REF!</v>
      </c>
      <c r="T62" s="2" t="e">
        <f t="shared" si="54"/>
        <v>#REF!</v>
      </c>
      <c r="U62" s="2">
        <v>80</v>
      </c>
      <c r="V62" s="2">
        <f t="shared" si="55"/>
        <v>40.000000000000036</v>
      </c>
      <c r="W62" s="2" t="e">
        <f t="shared" si="56"/>
        <v>#REF!</v>
      </c>
      <c r="X62" s="2">
        <v>70000</v>
      </c>
      <c r="Y62" s="2" t="e">
        <f t="shared" si="57"/>
        <v>#REF!</v>
      </c>
      <c r="Z62" s="2" t="e">
        <f t="shared" si="58"/>
        <v>#REF!</v>
      </c>
      <c r="AA62" s="2" t="e">
        <f t="shared" si="49"/>
        <v>#REF!</v>
      </c>
      <c r="AB62" s="2" t="e">
        <f t="shared" si="50"/>
        <v>#REF!</v>
      </c>
      <c r="AC62" s="2">
        <f t="shared" si="34"/>
        <v>24203</v>
      </c>
      <c r="AD62" s="2">
        <f t="shared" si="35"/>
        <v>111</v>
      </c>
      <c r="AE62" s="2">
        <f t="shared" si="59"/>
        <v>102</v>
      </c>
      <c r="AF62" s="2" t="str">
        <f t="shared" si="36"/>
        <v>chest_shard</v>
      </c>
      <c r="AG62" s="2" t="str">
        <f t="shared" si="37"/>
        <v>StoreDoubleKey_1</v>
      </c>
      <c r="AH62" s="2" t="str">
        <f t="shared" si="60"/>
        <v>StoreFund_3</v>
      </c>
      <c r="AI62" s="2" t="str">
        <f t="shared" si="21"/>
        <v>[24203,111,102]</v>
      </c>
      <c r="AJ62" s="2" t="str">
        <f t="shared" si="22"/>
        <v>[7,80,70000]</v>
      </c>
      <c r="AK62" s="2" t="str">
        <f t="shared" si="23"/>
        <v>[chest_shard,StoreDoubleKey_1,StoreFund_3]</v>
      </c>
      <c r="AL62" s="2" t="str">
        <f t="shared" si="24"/>
        <v>3+5+碎片礼包</v>
      </c>
      <c r="AM62" s="1" t="str">
        <f t="shared" si="38"/>
        <v>T2 Senior Shard</v>
      </c>
      <c r="AN62" s="1" t="str">
        <f t="shared" si="39"/>
        <v>DoubleKeys</v>
      </c>
      <c r="AO62" s="1" t="str">
        <f t="shared" si="61"/>
        <v>Funds</v>
      </c>
    </row>
    <row r="63" spans="2:41" x14ac:dyDescent="0.3">
      <c r="B63" s="2" t="s">
        <v>317</v>
      </c>
      <c r="C63" s="2">
        <v>1</v>
      </c>
      <c r="G63" s="2">
        <v>3</v>
      </c>
      <c r="H63" s="2" t="s">
        <v>2566</v>
      </c>
      <c r="I63" s="2" t="s">
        <v>578</v>
      </c>
      <c r="J63" s="2" t="s">
        <v>317</v>
      </c>
      <c r="K63" s="2" t="e">
        <f t="shared" si="48"/>
        <v>#REF!</v>
      </c>
      <c r="L63" s="2">
        <f t="shared" si="30"/>
        <v>60</v>
      </c>
      <c r="M63" s="2">
        <f t="shared" si="51"/>
        <v>1</v>
      </c>
      <c r="N63" s="2">
        <v>10</v>
      </c>
      <c r="O63" s="2" t="e">
        <f>N63*#REF!</f>
        <v>#REF!</v>
      </c>
      <c r="P63" s="2">
        <v>4</v>
      </c>
      <c r="Q63" s="2" t="e">
        <f t="shared" si="52"/>
        <v>#REF!</v>
      </c>
      <c r="R63" s="2">
        <v>4</v>
      </c>
      <c r="S63" s="2" t="e">
        <f t="shared" si="53"/>
        <v>#REF!</v>
      </c>
      <c r="T63" s="2" t="e">
        <f t="shared" si="54"/>
        <v>#REF!</v>
      </c>
      <c r="U63" s="2">
        <v>15</v>
      </c>
      <c r="V63" s="2">
        <f t="shared" si="55"/>
        <v>900</v>
      </c>
      <c r="W63" s="2" t="e">
        <f t="shared" si="56"/>
        <v>#REF!</v>
      </c>
      <c r="X63" s="2">
        <v>2500</v>
      </c>
      <c r="Y63" s="2" t="e">
        <f t="shared" si="57"/>
        <v>#REF!</v>
      </c>
      <c r="Z63" s="2" t="e">
        <f t="shared" si="58"/>
        <v>#REF!</v>
      </c>
      <c r="AA63" s="2" t="e">
        <f t="shared" si="49"/>
        <v>#REF!</v>
      </c>
      <c r="AB63" s="2" t="e">
        <f t="shared" si="50"/>
        <v>#REF!</v>
      </c>
      <c r="AC63" s="2">
        <f t="shared" si="34"/>
        <v>23203</v>
      </c>
      <c r="AD63" s="2">
        <f t="shared" si="35"/>
        <v>100302</v>
      </c>
      <c r="AE63" s="2">
        <f t="shared" si="59"/>
        <v>101</v>
      </c>
      <c r="AF63" s="2" t="str">
        <f t="shared" si="36"/>
        <v>chest_tankpart</v>
      </c>
      <c r="AG63" s="2" t="str">
        <f t="shared" si="37"/>
        <v>StoreQuikenItem_1</v>
      </c>
      <c r="AH63" s="2" t="str">
        <f t="shared" si="60"/>
        <v>StoreDiamond_1</v>
      </c>
      <c r="AI63" s="2" t="str">
        <f t="shared" si="21"/>
        <v>[23203,100302,101]</v>
      </c>
      <c r="AJ63" s="2" t="str">
        <f t="shared" si="22"/>
        <v>[4,15,2500]</v>
      </c>
      <c r="AK63" s="2" t="str">
        <f t="shared" si="23"/>
        <v>[chest_tankpart,StoreQuikenItem_1,StoreDiamond_1]</v>
      </c>
      <c r="AL63" s="2" t="str">
        <f t="shared" si="24"/>
        <v>3+10+部件礼包</v>
      </c>
      <c r="AM63" s="1" t="str">
        <f t="shared" si="38"/>
        <v>T1 Component</v>
      </c>
      <c r="AN63" s="1" t="str">
        <f t="shared" si="39"/>
        <v>1H_X3_Accelerater</v>
      </c>
      <c r="AO63" s="1" t="str">
        <f t="shared" si="61"/>
        <v>Diamond</v>
      </c>
    </row>
    <row r="64" spans="2:41" x14ac:dyDescent="0.3">
      <c r="B64" s="2" t="s">
        <v>268</v>
      </c>
      <c r="C64" s="2">
        <f>1/道具价值!$Q$73</f>
        <v>3.9623576027736501E-3</v>
      </c>
      <c r="G64" s="2">
        <v>3</v>
      </c>
      <c r="H64" s="2" t="s">
        <v>2579</v>
      </c>
      <c r="I64" s="2" t="s">
        <v>511</v>
      </c>
      <c r="J64" s="2" t="s">
        <v>268</v>
      </c>
      <c r="K64" s="2" t="e">
        <f t="shared" si="48"/>
        <v>#REF!</v>
      </c>
      <c r="L64" s="2">
        <f t="shared" si="30"/>
        <v>0.50000000000000044</v>
      </c>
      <c r="M64" s="2">
        <f t="shared" si="51"/>
        <v>3.9623576027736501E-3</v>
      </c>
      <c r="N64" s="2">
        <v>10</v>
      </c>
      <c r="O64" s="2" t="e">
        <f>N64*#REF!</f>
        <v>#REF!</v>
      </c>
      <c r="P64" s="2">
        <v>4</v>
      </c>
      <c r="Q64" s="2" t="e">
        <f t="shared" si="52"/>
        <v>#REF!</v>
      </c>
      <c r="R64" s="2">
        <v>15</v>
      </c>
      <c r="S64" s="2" t="e">
        <f t="shared" si="53"/>
        <v>#REF!</v>
      </c>
      <c r="T64" s="2" t="e">
        <f t="shared" si="54"/>
        <v>#REF!</v>
      </c>
      <c r="U64" s="2">
        <v>80</v>
      </c>
      <c r="V64" s="2">
        <f t="shared" si="55"/>
        <v>40.000000000000036</v>
      </c>
      <c r="W64" s="2" t="e">
        <f t="shared" si="56"/>
        <v>#REF!</v>
      </c>
      <c r="X64" s="2">
        <v>90000</v>
      </c>
      <c r="Y64" s="2" t="e">
        <f t="shared" si="57"/>
        <v>#REF!</v>
      </c>
      <c r="Z64" s="2" t="e">
        <f t="shared" si="58"/>
        <v>#REF!</v>
      </c>
      <c r="AA64" s="2" t="e">
        <f t="shared" si="49"/>
        <v>#REF!</v>
      </c>
      <c r="AB64" s="2" t="e">
        <f t="shared" si="50"/>
        <v>#REF!</v>
      </c>
      <c r="AC64" s="2">
        <f t="shared" si="34"/>
        <v>24203</v>
      </c>
      <c r="AD64" s="2">
        <f t="shared" si="35"/>
        <v>111</v>
      </c>
      <c r="AE64" s="2">
        <f t="shared" si="59"/>
        <v>102</v>
      </c>
      <c r="AF64" s="2" t="str">
        <f t="shared" si="36"/>
        <v>chest_shard</v>
      </c>
      <c r="AG64" s="2" t="str">
        <f t="shared" si="37"/>
        <v>StoreDoubleKey_1</v>
      </c>
      <c r="AH64" s="2" t="str">
        <f t="shared" si="60"/>
        <v>StoreFund_3</v>
      </c>
      <c r="AI64" s="2" t="str">
        <f t="shared" si="21"/>
        <v>[24203,111,102]</v>
      </c>
      <c r="AJ64" s="2" t="str">
        <f t="shared" si="22"/>
        <v>[15,80,90000]</v>
      </c>
      <c r="AK64" s="2" t="str">
        <f t="shared" si="23"/>
        <v>[chest_shard,StoreDoubleKey_1,StoreFund_3]</v>
      </c>
      <c r="AL64" s="2" t="str">
        <f t="shared" si="24"/>
        <v>3+10+碎片礼包</v>
      </c>
      <c r="AM64" s="1" t="str">
        <f t="shared" si="38"/>
        <v>T2 Senior Shard</v>
      </c>
      <c r="AN64" s="1" t="str">
        <f t="shared" si="39"/>
        <v>DoubleKeys</v>
      </c>
      <c r="AO64" s="1" t="str">
        <f t="shared" si="61"/>
        <v>Funds</v>
      </c>
    </row>
    <row r="65" spans="2:41" x14ac:dyDescent="0.3">
      <c r="B65" s="2" t="s">
        <v>2563</v>
      </c>
      <c r="C65" s="2" t="e">
        <f>L3</f>
        <v>#REF!</v>
      </c>
      <c r="G65" s="2">
        <v>3</v>
      </c>
      <c r="H65" s="2" t="s">
        <v>2566</v>
      </c>
      <c r="I65" s="2" t="s">
        <v>578</v>
      </c>
      <c r="J65" s="2" t="s">
        <v>317</v>
      </c>
      <c r="K65" s="2" t="e">
        <f t="shared" si="48"/>
        <v>#REF!</v>
      </c>
      <c r="L65" s="2">
        <f t="shared" si="30"/>
        <v>60</v>
      </c>
      <c r="M65" s="2">
        <f t="shared" si="51"/>
        <v>1</v>
      </c>
      <c r="N65" s="2">
        <v>2</v>
      </c>
      <c r="O65" s="2" t="e">
        <f>N65*#REF!</f>
        <v>#REF!</v>
      </c>
      <c r="P65" s="2">
        <v>3</v>
      </c>
      <c r="Q65" s="2" t="e">
        <f t="shared" ref="Q65:Q76" si="62">O65*P65</f>
        <v>#REF!</v>
      </c>
      <c r="R65" s="2">
        <v>1</v>
      </c>
      <c r="S65" s="2" t="e">
        <f t="shared" ref="S65:S76" si="63">R65*K65</f>
        <v>#REF!</v>
      </c>
      <c r="T65" s="2" t="e">
        <f t="shared" ref="T65:T76" si="64">S65/Q65</f>
        <v>#REF!</v>
      </c>
      <c r="U65" s="2">
        <v>5</v>
      </c>
      <c r="V65" s="2">
        <f t="shared" ref="V65:V76" si="65">U65*L65</f>
        <v>300</v>
      </c>
      <c r="W65" s="2" t="e">
        <f t="shared" ref="W65:W76" si="66">V65/Q65</f>
        <v>#REF!</v>
      </c>
      <c r="X65" s="2">
        <v>200</v>
      </c>
      <c r="Y65" s="2" t="e">
        <f t="shared" si="57"/>
        <v>#REF!</v>
      </c>
      <c r="Z65" s="2" t="e">
        <f t="shared" si="58"/>
        <v>#REF!</v>
      </c>
      <c r="AA65" s="2" t="e">
        <f t="shared" si="49"/>
        <v>#REF!</v>
      </c>
      <c r="AB65" s="2" t="e">
        <f t="shared" si="50"/>
        <v>#REF!</v>
      </c>
      <c r="AC65" s="2">
        <f t="shared" si="34"/>
        <v>23203</v>
      </c>
      <c r="AD65" s="2">
        <f t="shared" si="35"/>
        <v>100302</v>
      </c>
      <c r="AE65" s="2">
        <f t="shared" si="59"/>
        <v>101</v>
      </c>
      <c r="AF65" s="2" t="str">
        <f t="shared" si="36"/>
        <v>chest_tankpart</v>
      </c>
      <c r="AG65" s="2" t="str">
        <f t="shared" si="37"/>
        <v>StoreQuikenItem_1</v>
      </c>
      <c r="AH65" s="2" t="str">
        <f t="shared" si="60"/>
        <v>StoreDiamond_1</v>
      </c>
      <c r="AI65" s="2" t="str">
        <f t="shared" si="21"/>
        <v>[23203,100302,101]</v>
      </c>
      <c r="AJ65" s="2" t="str">
        <f t="shared" si="22"/>
        <v>[1,5,200]</v>
      </c>
      <c r="AK65" s="2" t="str">
        <f t="shared" si="23"/>
        <v>[chest_tankpart,StoreQuikenItem_1,StoreDiamond_1]</v>
      </c>
      <c r="AL65" s="2" t="str">
        <f t="shared" si="24"/>
        <v>3+2+部件礼包</v>
      </c>
      <c r="AM65" s="1" t="str">
        <f t="shared" si="38"/>
        <v>T1 Component</v>
      </c>
      <c r="AN65" s="1" t="str">
        <f t="shared" si="39"/>
        <v>1H_X3_Accelerater</v>
      </c>
      <c r="AO65" s="1" t="str">
        <f t="shared" si="61"/>
        <v>Diamond</v>
      </c>
    </row>
    <row r="66" spans="2:41" x14ac:dyDescent="0.3">
      <c r="B66" s="2" t="s">
        <v>2565</v>
      </c>
      <c r="C66" s="2" t="e">
        <f t="shared" ref="C66:C81" si="67">L4</f>
        <v>#REF!</v>
      </c>
      <c r="G66" s="2">
        <v>3</v>
      </c>
      <c r="H66" s="2" t="s">
        <v>2579</v>
      </c>
      <c r="I66" s="2" t="s">
        <v>511</v>
      </c>
      <c r="J66" s="2" t="s">
        <v>268</v>
      </c>
      <c r="K66" s="2" t="e">
        <f t="shared" si="48"/>
        <v>#REF!</v>
      </c>
      <c r="L66" s="2">
        <f t="shared" si="30"/>
        <v>0.50000000000000044</v>
      </c>
      <c r="M66" s="2">
        <f t="shared" si="51"/>
        <v>3.9623576027736501E-3</v>
      </c>
      <c r="N66" s="2">
        <v>2</v>
      </c>
      <c r="O66" s="2" t="e">
        <f>N66*#REF!</f>
        <v>#REF!</v>
      </c>
      <c r="P66" s="2">
        <v>3</v>
      </c>
      <c r="Q66" s="2" t="e">
        <f t="shared" si="62"/>
        <v>#REF!</v>
      </c>
      <c r="R66" s="2">
        <v>2</v>
      </c>
      <c r="S66" s="2" t="e">
        <f t="shared" si="63"/>
        <v>#REF!</v>
      </c>
      <c r="T66" s="2" t="e">
        <f t="shared" si="64"/>
        <v>#REF!</v>
      </c>
      <c r="U66" s="2">
        <v>50</v>
      </c>
      <c r="V66" s="2">
        <f t="shared" si="65"/>
        <v>25.000000000000021</v>
      </c>
      <c r="W66" s="2" t="e">
        <f t="shared" si="66"/>
        <v>#REF!</v>
      </c>
      <c r="X66" s="2">
        <v>20000</v>
      </c>
      <c r="Y66" s="2" t="e">
        <f t="shared" si="57"/>
        <v>#REF!</v>
      </c>
      <c r="Z66" s="2" t="e">
        <f t="shared" si="58"/>
        <v>#REF!</v>
      </c>
      <c r="AA66" s="2" t="e">
        <f t="shared" si="49"/>
        <v>#REF!</v>
      </c>
      <c r="AB66" s="2" t="e">
        <f t="shared" si="50"/>
        <v>#REF!</v>
      </c>
      <c r="AC66" s="2">
        <f t="shared" si="34"/>
        <v>24203</v>
      </c>
      <c r="AD66" s="2">
        <f t="shared" si="35"/>
        <v>111</v>
      </c>
      <c r="AE66" s="2">
        <f t="shared" si="59"/>
        <v>102</v>
      </c>
      <c r="AF66" s="2" t="str">
        <f t="shared" si="36"/>
        <v>chest_shard</v>
      </c>
      <c r="AG66" s="2" t="str">
        <f t="shared" si="37"/>
        <v>StoreDoubleKey_1</v>
      </c>
      <c r="AH66" s="2" t="str">
        <f t="shared" si="60"/>
        <v>StoreFund_3</v>
      </c>
      <c r="AI66" s="2" t="str">
        <f t="shared" si="21"/>
        <v>[24203,111,102]</v>
      </c>
      <c r="AJ66" s="2" t="str">
        <f t="shared" si="22"/>
        <v>[2,50,20000]</v>
      </c>
      <c r="AK66" s="2" t="str">
        <f t="shared" si="23"/>
        <v>[chest_shard,StoreDoubleKey_1,StoreFund_3]</v>
      </c>
      <c r="AL66" s="2" t="str">
        <f t="shared" si="24"/>
        <v>3+2+碎片礼包</v>
      </c>
      <c r="AM66" s="1" t="str">
        <f t="shared" si="38"/>
        <v>T2 Senior Shard</v>
      </c>
      <c r="AN66" s="1" t="str">
        <f t="shared" si="39"/>
        <v>DoubleKeys</v>
      </c>
      <c r="AO66" s="1" t="str">
        <f t="shared" si="61"/>
        <v>Funds</v>
      </c>
    </row>
    <row r="67" spans="2:41" x14ac:dyDescent="0.3">
      <c r="B67" s="2" t="s">
        <v>2566</v>
      </c>
      <c r="C67" s="2" t="e">
        <f t="shared" si="67"/>
        <v>#REF!</v>
      </c>
      <c r="G67" s="2">
        <v>3</v>
      </c>
      <c r="H67" s="2" t="s">
        <v>2566</v>
      </c>
      <c r="I67" s="2" t="s">
        <v>578</v>
      </c>
      <c r="J67" s="2" t="s">
        <v>317</v>
      </c>
      <c r="K67" s="2" t="e">
        <f t="shared" si="48"/>
        <v>#REF!</v>
      </c>
      <c r="L67" s="2">
        <f t="shared" si="30"/>
        <v>60</v>
      </c>
      <c r="M67" s="2">
        <f t="shared" si="51"/>
        <v>1</v>
      </c>
      <c r="N67" s="2">
        <v>5</v>
      </c>
      <c r="O67" s="2" t="e">
        <f>N67*#REF!</f>
        <v>#REF!</v>
      </c>
      <c r="P67" s="2">
        <v>3</v>
      </c>
      <c r="Q67" s="2" t="e">
        <f t="shared" si="62"/>
        <v>#REF!</v>
      </c>
      <c r="R67" s="2">
        <v>2</v>
      </c>
      <c r="S67" s="2" t="e">
        <f t="shared" si="63"/>
        <v>#REF!</v>
      </c>
      <c r="T67" s="2" t="e">
        <f t="shared" si="64"/>
        <v>#REF!</v>
      </c>
      <c r="U67" s="2">
        <v>5</v>
      </c>
      <c r="V67" s="2">
        <f t="shared" si="65"/>
        <v>300</v>
      </c>
      <c r="W67" s="2" t="e">
        <f t="shared" si="66"/>
        <v>#REF!</v>
      </c>
      <c r="X67" s="2">
        <v>900</v>
      </c>
      <c r="Y67" s="2" t="e">
        <f t="shared" si="57"/>
        <v>#REF!</v>
      </c>
      <c r="Z67" s="2" t="e">
        <f t="shared" si="58"/>
        <v>#REF!</v>
      </c>
      <c r="AA67" s="2" t="e">
        <f t="shared" si="49"/>
        <v>#REF!</v>
      </c>
      <c r="AB67" s="2" t="e">
        <f t="shared" si="50"/>
        <v>#REF!</v>
      </c>
      <c r="AC67" s="2">
        <f t="shared" si="34"/>
        <v>23203</v>
      </c>
      <c r="AD67" s="2">
        <f t="shared" si="35"/>
        <v>100302</v>
      </c>
      <c r="AE67" s="2">
        <f t="shared" si="59"/>
        <v>101</v>
      </c>
      <c r="AF67" s="2" t="str">
        <f t="shared" si="36"/>
        <v>chest_tankpart</v>
      </c>
      <c r="AG67" s="2" t="str">
        <f t="shared" si="37"/>
        <v>StoreQuikenItem_1</v>
      </c>
      <c r="AH67" s="2" t="str">
        <f t="shared" si="60"/>
        <v>StoreDiamond_1</v>
      </c>
      <c r="AI67" s="2" t="str">
        <f t="shared" si="21"/>
        <v>[23203,100302,101]</v>
      </c>
      <c r="AJ67" s="2" t="str">
        <f t="shared" si="22"/>
        <v>[2,5,900]</v>
      </c>
      <c r="AK67" s="2" t="str">
        <f t="shared" si="23"/>
        <v>[chest_tankpart,StoreQuikenItem_1,StoreDiamond_1]</v>
      </c>
      <c r="AL67" s="2" t="str">
        <f t="shared" si="24"/>
        <v>3+5+部件礼包</v>
      </c>
      <c r="AM67" s="1" t="str">
        <f t="shared" si="38"/>
        <v>T1 Component</v>
      </c>
      <c r="AN67" s="1" t="str">
        <f t="shared" si="39"/>
        <v>1H_X3_Accelerater</v>
      </c>
      <c r="AO67" s="1" t="str">
        <f t="shared" si="61"/>
        <v>Diamond</v>
      </c>
    </row>
    <row r="68" spans="2:41" x14ac:dyDescent="0.3">
      <c r="B68" s="2" t="s">
        <v>2567</v>
      </c>
      <c r="C68" s="2" t="e">
        <f t="shared" si="67"/>
        <v>#REF!</v>
      </c>
      <c r="G68" s="2">
        <v>3</v>
      </c>
      <c r="H68" s="2" t="s">
        <v>2579</v>
      </c>
      <c r="I68" s="2" t="s">
        <v>511</v>
      </c>
      <c r="J68" s="2" t="s">
        <v>268</v>
      </c>
      <c r="K68" s="2" t="e">
        <f t="shared" si="48"/>
        <v>#REF!</v>
      </c>
      <c r="L68" s="2">
        <f t="shared" si="30"/>
        <v>0.50000000000000044</v>
      </c>
      <c r="M68" s="2">
        <f t="shared" si="51"/>
        <v>3.9623576027736501E-3</v>
      </c>
      <c r="N68" s="2">
        <v>5</v>
      </c>
      <c r="O68" s="2" t="e">
        <f>N68*#REF!</f>
        <v>#REF!</v>
      </c>
      <c r="P68" s="2">
        <v>3</v>
      </c>
      <c r="Q68" s="2" t="e">
        <f t="shared" si="62"/>
        <v>#REF!</v>
      </c>
      <c r="R68" s="2">
        <v>6</v>
      </c>
      <c r="S68" s="2" t="e">
        <f t="shared" si="63"/>
        <v>#REF!</v>
      </c>
      <c r="T68" s="2" t="e">
        <f t="shared" si="64"/>
        <v>#REF!</v>
      </c>
      <c r="U68" s="2">
        <v>50</v>
      </c>
      <c r="V68" s="2">
        <f t="shared" si="65"/>
        <v>25.000000000000021</v>
      </c>
      <c r="W68" s="2" t="e">
        <f t="shared" si="66"/>
        <v>#REF!</v>
      </c>
      <c r="X68" s="2">
        <v>10000</v>
      </c>
      <c r="Y68" s="2" t="e">
        <f t="shared" si="57"/>
        <v>#REF!</v>
      </c>
      <c r="Z68" s="2" t="e">
        <f t="shared" si="58"/>
        <v>#REF!</v>
      </c>
      <c r="AA68" s="2" t="e">
        <f t="shared" si="49"/>
        <v>#REF!</v>
      </c>
      <c r="AB68" s="2" t="e">
        <f t="shared" si="50"/>
        <v>#REF!</v>
      </c>
      <c r="AC68" s="2">
        <f t="shared" si="34"/>
        <v>24203</v>
      </c>
      <c r="AD68" s="2">
        <f t="shared" si="35"/>
        <v>111</v>
      </c>
      <c r="AE68" s="2">
        <f t="shared" si="59"/>
        <v>102</v>
      </c>
      <c r="AF68" s="2" t="str">
        <f t="shared" si="36"/>
        <v>chest_shard</v>
      </c>
      <c r="AG68" s="2" t="str">
        <f t="shared" si="37"/>
        <v>StoreDoubleKey_1</v>
      </c>
      <c r="AH68" s="2" t="str">
        <f t="shared" si="60"/>
        <v>StoreFund_3</v>
      </c>
      <c r="AI68" s="2" t="str">
        <f t="shared" si="21"/>
        <v>[24203,111,102]</v>
      </c>
      <c r="AJ68" s="2" t="str">
        <f t="shared" si="22"/>
        <v>[6,50,10000]</v>
      </c>
      <c r="AK68" s="2" t="str">
        <f t="shared" si="23"/>
        <v>[chest_shard,StoreDoubleKey_1,StoreFund_3]</v>
      </c>
      <c r="AL68" s="2" t="str">
        <f t="shared" si="24"/>
        <v>3+5+碎片礼包</v>
      </c>
      <c r="AM68" s="1" t="str">
        <f t="shared" si="38"/>
        <v>T2 Senior Shard</v>
      </c>
      <c r="AN68" s="1" t="str">
        <f t="shared" si="39"/>
        <v>DoubleKeys</v>
      </c>
      <c r="AO68" s="1" t="str">
        <f t="shared" si="61"/>
        <v>Funds</v>
      </c>
    </row>
    <row r="69" spans="2:41" x14ac:dyDescent="0.3">
      <c r="B69" s="2" t="s">
        <v>2569</v>
      </c>
      <c r="C69" s="2" t="e">
        <f t="shared" si="67"/>
        <v>#REF!</v>
      </c>
      <c r="G69" s="2">
        <v>3</v>
      </c>
      <c r="H69" s="2" t="s">
        <v>2566</v>
      </c>
      <c r="I69" s="2" t="s">
        <v>578</v>
      </c>
      <c r="J69" s="2" t="s">
        <v>317</v>
      </c>
      <c r="K69" s="2" t="e">
        <f t="shared" si="48"/>
        <v>#REF!</v>
      </c>
      <c r="L69" s="2">
        <f t="shared" si="30"/>
        <v>60</v>
      </c>
      <c r="M69" s="2">
        <f t="shared" si="51"/>
        <v>1</v>
      </c>
      <c r="N69" s="2">
        <v>10</v>
      </c>
      <c r="O69" s="2" t="e">
        <f>N69*#REF!</f>
        <v>#REF!</v>
      </c>
      <c r="P69" s="2">
        <v>3</v>
      </c>
      <c r="Q69" s="2" t="e">
        <f t="shared" si="62"/>
        <v>#REF!</v>
      </c>
      <c r="R69" s="2">
        <v>3</v>
      </c>
      <c r="S69" s="2" t="e">
        <f t="shared" si="63"/>
        <v>#REF!</v>
      </c>
      <c r="T69" s="2" t="e">
        <f t="shared" si="64"/>
        <v>#REF!</v>
      </c>
      <c r="U69" s="2">
        <v>10</v>
      </c>
      <c r="V69" s="2">
        <f t="shared" si="65"/>
        <v>600</v>
      </c>
      <c r="W69" s="2" t="e">
        <f t="shared" si="66"/>
        <v>#REF!</v>
      </c>
      <c r="X69" s="2">
        <v>2000</v>
      </c>
      <c r="Y69" s="2" t="e">
        <f t="shared" si="57"/>
        <v>#REF!</v>
      </c>
      <c r="Z69" s="2" t="e">
        <f t="shared" si="58"/>
        <v>#REF!</v>
      </c>
      <c r="AA69" s="2" t="e">
        <f t="shared" si="49"/>
        <v>#REF!</v>
      </c>
      <c r="AB69" s="2" t="e">
        <f t="shared" si="50"/>
        <v>#REF!</v>
      </c>
      <c r="AC69" s="2">
        <f t="shared" si="34"/>
        <v>23203</v>
      </c>
      <c r="AD69" s="2">
        <f t="shared" si="35"/>
        <v>100302</v>
      </c>
      <c r="AE69" s="2">
        <f t="shared" si="59"/>
        <v>101</v>
      </c>
      <c r="AF69" s="2" t="str">
        <f t="shared" si="36"/>
        <v>chest_tankpart</v>
      </c>
      <c r="AG69" s="2" t="str">
        <f t="shared" si="37"/>
        <v>StoreQuikenItem_1</v>
      </c>
      <c r="AH69" s="2" t="str">
        <f t="shared" si="60"/>
        <v>StoreDiamond_1</v>
      </c>
      <c r="AI69" s="2" t="str">
        <f t="shared" si="21"/>
        <v>[23203,100302,101]</v>
      </c>
      <c r="AJ69" s="2" t="str">
        <f t="shared" si="22"/>
        <v>[3,10,2000]</v>
      </c>
      <c r="AK69" s="2" t="str">
        <f t="shared" si="23"/>
        <v>[chest_tankpart,StoreQuikenItem_1,StoreDiamond_1]</v>
      </c>
      <c r="AL69" s="2" t="str">
        <f t="shared" si="24"/>
        <v>3+10+部件礼包</v>
      </c>
      <c r="AM69" s="1" t="str">
        <f t="shared" si="38"/>
        <v>T1 Component</v>
      </c>
      <c r="AN69" s="1" t="str">
        <f t="shared" si="39"/>
        <v>1H_X3_Accelerater</v>
      </c>
      <c r="AO69" s="1" t="str">
        <f t="shared" si="61"/>
        <v>Diamond</v>
      </c>
    </row>
    <row r="70" spans="2:41" x14ac:dyDescent="0.3">
      <c r="B70" s="2" t="s">
        <v>2570</v>
      </c>
      <c r="C70" s="2" t="e">
        <f t="shared" si="67"/>
        <v>#REF!</v>
      </c>
      <c r="G70" s="2">
        <v>3</v>
      </c>
      <c r="H70" s="2" t="s">
        <v>2579</v>
      </c>
      <c r="I70" s="2" t="s">
        <v>511</v>
      </c>
      <c r="J70" s="2" t="s">
        <v>268</v>
      </c>
      <c r="K70" s="2" t="e">
        <f t="shared" si="48"/>
        <v>#REF!</v>
      </c>
      <c r="L70" s="2">
        <f t="shared" si="30"/>
        <v>0.50000000000000044</v>
      </c>
      <c r="M70" s="2">
        <f t="shared" si="51"/>
        <v>3.9623576027736501E-3</v>
      </c>
      <c r="N70" s="2">
        <v>10</v>
      </c>
      <c r="O70" s="2" t="e">
        <f>N70*#REF!</f>
        <v>#REF!</v>
      </c>
      <c r="P70" s="2">
        <v>3</v>
      </c>
      <c r="Q70" s="2" t="e">
        <f t="shared" si="62"/>
        <v>#REF!</v>
      </c>
      <c r="R70" s="2">
        <v>12</v>
      </c>
      <c r="S70" s="2" t="e">
        <f t="shared" si="63"/>
        <v>#REF!</v>
      </c>
      <c r="T70" s="2" t="e">
        <f t="shared" si="64"/>
        <v>#REF!</v>
      </c>
      <c r="U70" s="2">
        <v>80</v>
      </c>
      <c r="V70" s="2">
        <f t="shared" si="65"/>
        <v>40.000000000000036</v>
      </c>
      <c r="W70" s="2" t="e">
        <f t="shared" si="66"/>
        <v>#REF!</v>
      </c>
      <c r="X70" s="2">
        <v>20000</v>
      </c>
      <c r="Y70" s="2" t="e">
        <f t="shared" si="57"/>
        <v>#REF!</v>
      </c>
      <c r="Z70" s="2" t="e">
        <f t="shared" si="58"/>
        <v>#REF!</v>
      </c>
      <c r="AA70" s="2" t="e">
        <f t="shared" si="49"/>
        <v>#REF!</v>
      </c>
      <c r="AB70" s="2" t="e">
        <f t="shared" si="50"/>
        <v>#REF!</v>
      </c>
      <c r="AC70" s="2">
        <f t="shared" si="34"/>
        <v>24203</v>
      </c>
      <c r="AD70" s="2">
        <f t="shared" si="35"/>
        <v>111</v>
      </c>
      <c r="AE70" s="2">
        <f t="shared" si="59"/>
        <v>102</v>
      </c>
      <c r="AF70" s="2" t="str">
        <f t="shared" si="36"/>
        <v>chest_shard</v>
      </c>
      <c r="AG70" s="2" t="str">
        <f t="shared" si="37"/>
        <v>StoreDoubleKey_1</v>
      </c>
      <c r="AH70" s="2" t="str">
        <f t="shared" si="60"/>
        <v>StoreFund_3</v>
      </c>
      <c r="AI70" s="2" t="str">
        <f t="shared" si="21"/>
        <v>[24203,111,102]</v>
      </c>
      <c r="AJ70" s="2" t="str">
        <f t="shared" si="22"/>
        <v>[12,80,20000]</v>
      </c>
      <c r="AK70" s="2" t="str">
        <f t="shared" si="23"/>
        <v>[chest_shard,StoreDoubleKey_1,StoreFund_3]</v>
      </c>
      <c r="AL70" s="2" t="str">
        <f t="shared" si="24"/>
        <v>3+10+碎片礼包</v>
      </c>
      <c r="AM70" s="1" t="str">
        <f t="shared" si="38"/>
        <v>T2 Senior Shard</v>
      </c>
      <c r="AN70" s="1" t="str">
        <f t="shared" si="39"/>
        <v>DoubleKeys</v>
      </c>
      <c r="AO70" s="1" t="str">
        <f t="shared" si="61"/>
        <v>Funds</v>
      </c>
    </row>
    <row r="71" spans="2:41" x14ac:dyDescent="0.3">
      <c r="B71" s="2" t="s">
        <v>2571</v>
      </c>
      <c r="C71" s="2" t="e">
        <f t="shared" si="67"/>
        <v>#REF!</v>
      </c>
      <c r="G71" s="2">
        <v>3</v>
      </c>
      <c r="H71" s="2" t="s">
        <v>2565</v>
      </c>
      <c r="I71" s="2" t="s">
        <v>578</v>
      </c>
      <c r="J71" s="2" t="s">
        <v>317</v>
      </c>
      <c r="K71" s="2" t="e">
        <f t="shared" si="48"/>
        <v>#REF!</v>
      </c>
      <c r="L71" s="2">
        <f t="shared" si="30"/>
        <v>60</v>
      </c>
      <c r="M71" s="2">
        <f t="shared" si="51"/>
        <v>1</v>
      </c>
      <c r="N71" s="2">
        <v>2</v>
      </c>
      <c r="O71" s="2" t="e">
        <f>N71*#REF!</f>
        <v>#REF!</v>
      </c>
      <c r="P71" s="2">
        <v>2</v>
      </c>
      <c r="Q71" s="2" t="e">
        <f t="shared" si="62"/>
        <v>#REF!</v>
      </c>
      <c r="R71" s="2">
        <v>1</v>
      </c>
      <c r="S71" s="2" t="e">
        <f t="shared" si="63"/>
        <v>#REF!</v>
      </c>
      <c r="T71" s="2" t="e">
        <f t="shared" si="64"/>
        <v>#REF!</v>
      </c>
      <c r="U71" s="2">
        <v>1</v>
      </c>
      <c r="V71" s="2">
        <f t="shared" si="65"/>
        <v>60</v>
      </c>
      <c r="W71" s="2" t="e">
        <f t="shared" si="66"/>
        <v>#REF!</v>
      </c>
      <c r="X71" s="2">
        <v>200</v>
      </c>
      <c r="Y71" s="2" t="e">
        <f t="shared" si="57"/>
        <v>#REF!</v>
      </c>
      <c r="Z71" s="2" t="e">
        <f t="shared" si="58"/>
        <v>#REF!</v>
      </c>
      <c r="AA71" s="2" t="e">
        <f t="shared" si="49"/>
        <v>#REF!</v>
      </c>
      <c r="AB71" s="2" t="e">
        <f t="shared" si="50"/>
        <v>#REF!</v>
      </c>
      <c r="AC71" s="2">
        <f t="shared" si="34"/>
        <v>23202</v>
      </c>
      <c r="AD71" s="2">
        <f t="shared" si="35"/>
        <v>100302</v>
      </c>
      <c r="AE71" s="2">
        <f t="shared" si="59"/>
        <v>101</v>
      </c>
      <c r="AF71" s="2" t="str">
        <f t="shared" si="36"/>
        <v>chest_tankpart</v>
      </c>
      <c r="AG71" s="2" t="str">
        <f t="shared" si="37"/>
        <v>StoreQuikenItem_1</v>
      </c>
      <c r="AH71" s="2" t="str">
        <f t="shared" si="60"/>
        <v>StoreDiamond_1</v>
      </c>
      <c r="AI71" s="2" t="str">
        <f t="shared" si="21"/>
        <v>[23202,100302,101]</v>
      </c>
      <c r="AJ71" s="2" t="str">
        <f t="shared" si="22"/>
        <v>[1,1,200]</v>
      </c>
      <c r="AK71" s="2" t="str">
        <f t="shared" si="23"/>
        <v>[chest_tankpart,StoreQuikenItem_1,StoreDiamond_1]</v>
      </c>
      <c r="AL71" s="2" t="str">
        <f t="shared" si="24"/>
        <v>3+2+部件礼包</v>
      </c>
      <c r="AM71" s="1" t="str">
        <f t="shared" si="38"/>
        <v>T1 Component</v>
      </c>
      <c r="AN71" s="1" t="str">
        <f t="shared" si="39"/>
        <v>1H_X3_Accelerater</v>
      </c>
      <c r="AO71" s="1" t="str">
        <f t="shared" si="61"/>
        <v>Diamond</v>
      </c>
    </row>
    <row r="72" spans="2:41" x14ac:dyDescent="0.3">
      <c r="B72" s="2" t="s">
        <v>2573</v>
      </c>
      <c r="C72" s="2" t="e">
        <f t="shared" si="67"/>
        <v>#REF!</v>
      </c>
      <c r="G72" s="2">
        <v>3</v>
      </c>
      <c r="H72" s="2" t="s">
        <v>2579</v>
      </c>
      <c r="I72" s="2" t="s">
        <v>511</v>
      </c>
      <c r="J72" s="2" t="s">
        <v>268</v>
      </c>
      <c r="K72" s="2" t="e">
        <f t="shared" si="48"/>
        <v>#REF!</v>
      </c>
      <c r="L72" s="2">
        <f t="shared" si="30"/>
        <v>0.50000000000000044</v>
      </c>
      <c r="M72" s="2">
        <f t="shared" si="51"/>
        <v>3.9623576027736501E-3</v>
      </c>
      <c r="N72" s="2">
        <v>2</v>
      </c>
      <c r="O72" s="2" t="e">
        <f>N72*#REF!</f>
        <v>#REF!</v>
      </c>
      <c r="P72" s="2">
        <v>2</v>
      </c>
      <c r="Q72" s="2" t="e">
        <f t="shared" si="62"/>
        <v>#REF!</v>
      </c>
      <c r="R72" s="2">
        <v>1</v>
      </c>
      <c r="S72" s="2" t="e">
        <f t="shared" si="63"/>
        <v>#REF!</v>
      </c>
      <c r="T72" s="2" t="e">
        <f t="shared" si="64"/>
        <v>#REF!</v>
      </c>
      <c r="U72" s="2">
        <v>20</v>
      </c>
      <c r="V72" s="2">
        <f t="shared" si="65"/>
        <v>10.000000000000009</v>
      </c>
      <c r="W72" s="2" t="e">
        <f t="shared" si="66"/>
        <v>#REF!</v>
      </c>
      <c r="X72" s="2">
        <v>40000</v>
      </c>
      <c r="Y72" s="2" t="e">
        <f t="shared" si="57"/>
        <v>#REF!</v>
      </c>
      <c r="Z72" s="2" t="e">
        <f t="shared" si="58"/>
        <v>#REF!</v>
      </c>
      <c r="AA72" s="2" t="e">
        <f t="shared" si="49"/>
        <v>#REF!</v>
      </c>
      <c r="AB72" s="2" t="e">
        <f t="shared" si="50"/>
        <v>#REF!</v>
      </c>
      <c r="AC72" s="2">
        <f t="shared" si="34"/>
        <v>24203</v>
      </c>
      <c r="AD72" s="2">
        <f t="shared" si="35"/>
        <v>111</v>
      </c>
      <c r="AE72" s="2">
        <f t="shared" si="59"/>
        <v>102</v>
      </c>
      <c r="AF72" s="2" t="str">
        <f t="shared" si="36"/>
        <v>chest_shard</v>
      </c>
      <c r="AG72" s="2" t="str">
        <f t="shared" si="37"/>
        <v>StoreDoubleKey_1</v>
      </c>
      <c r="AH72" s="2" t="str">
        <f t="shared" si="60"/>
        <v>StoreFund_3</v>
      </c>
      <c r="AI72" s="2" t="str">
        <f t="shared" si="21"/>
        <v>[24203,111,102]</v>
      </c>
      <c r="AJ72" s="2" t="str">
        <f t="shared" si="22"/>
        <v>[1,20,40000]</v>
      </c>
      <c r="AK72" s="2" t="str">
        <f t="shared" si="23"/>
        <v>[chest_shard,StoreDoubleKey_1,StoreFund_3]</v>
      </c>
      <c r="AL72" s="2" t="str">
        <f t="shared" si="24"/>
        <v>3+2+碎片礼包</v>
      </c>
      <c r="AM72" s="1" t="str">
        <f t="shared" si="38"/>
        <v>T2 Senior Shard</v>
      </c>
      <c r="AN72" s="1" t="str">
        <f t="shared" si="39"/>
        <v>DoubleKeys</v>
      </c>
      <c r="AO72" s="1" t="str">
        <f t="shared" si="61"/>
        <v>Funds</v>
      </c>
    </row>
    <row r="73" spans="2:41" x14ac:dyDescent="0.3">
      <c r="B73" s="2" t="s">
        <v>2574</v>
      </c>
      <c r="C73" s="2" t="e">
        <f t="shared" si="67"/>
        <v>#REF!</v>
      </c>
      <c r="G73" s="2">
        <v>3</v>
      </c>
      <c r="H73" s="2" t="s">
        <v>2566</v>
      </c>
      <c r="I73" s="2" t="s">
        <v>578</v>
      </c>
      <c r="J73" s="2" t="s">
        <v>317</v>
      </c>
      <c r="K73" s="2" t="e">
        <f t="shared" si="48"/>
        <v>#REF!</v>
      </c>
      <c r="L73" s="2">
        <f t="shared" ref="L73:L104" si="68">VLOOKUP(I73,$B$40:$C$81,2,FALSE)</f>
        <v>60</v>
      </c>
      <c r="M73" s="2">
        <f t="shared" si="51"/>
        <v>1</v>
      </c>
      <c r="N73" s="2">
        <v>5</v>
      </c>
      <c r="O73" s="2" t="e">
        <f>N73*#REF!</f>
        <v>#REF!</v>
      </c>
      <c r="P73" s="2">
        <v>2</v>
      </c>
      <c r="Q73" s="2" t="e">
        <f t="shared" si="62"/>
        <v>#REF!</v>
      </c>
      <c r="R73" s="2">
        <v>2</v>
      </c>
      <c r="S73" s="2" t="e">
        <f t="shared" si="63"/>
        <v>#REF!</v>
      </c>
      <c r="T73" s="2" t="e">
        <f t="shared" si="64"/>
        <v>#REF!</v>
      </c>
      <c r="U73" s="2">
        <v>5</v>
      </c>
      <c r="V73" s="2">
        <f t="shared" si="65"/>
        <v>300</v>
      </c>
      <c r="W73" s="2" t="e">
        <f t="shared" si="66"/>
        <v>#REF!</v>
      </c>
      <c r="X73" s="2">
        <v>400</v>
      </c>
      <c r="Y73" s="2" t="e">
        <f t="shared" si="57"/>
        <v>#REF!</v>
      </c>
      <c r="Z73" s="2" t="e">
        <f t="shared" si="58"/>
        <v>#REF!</v>
      </c>
      <c r="AA73" s="2" t="e">
        <f t="shared" si="49"/>
        <v>#REF!</v>
      </c>
      <c r="AB73" s="2" t="e">
        <f t="shared" si="50"/>
        <v>#REF!</v>
      </c>
      <c r="AC73" s="2">
        <f t="shared" ref="AC73:AC104" si="69">VLOOKUP(H73,道具ID,2,FALSE)</f>
        <v>23203</v>
      </c>
      <c r="AD73" s="2">
        <f t="shared" ref="AD73:AD104" si="70">VLOOKUP(I73,道具ID,2,FALSE)</f>
        <v>100302</v>
      </c>
      <c r="AE73" s="2">
        <f t="shared" si="59"/>
        <v>101</v>
      </c>
      <c r="AF73" s="2" t="str">
        <f t="shared" ref="AF73:AF104" si="71">VLOOKUP(H73,道具ID,3,FALSE)</f>
        <v>chest_tankpart</v>
      </c>
      <c r="AG73" s="2" t="str">
        <f t="shared" ref="AG73:AG104" si="72">VLOOKUP(I73,道具ID,3,FALSE)</f>
        <v>StoreQuikenItem_1</v>
      </c>
      <c r="AH73" s="2" t="str">
        <f t="shared" si="60"/>
        <v>StoreDiamond_1</v>
      </c>
      <c r="AI73" s="2" t="str">
        <f t="shared" si="21"/>
        <v>[23203,100302,101]</v>
      </c>
      <c r="AJ73" s="2" t="str">
        <f t="shared" si="22"/>
        <v>[2,5,400]</v>
      </c>
      <c r="AK73" s="2" t="str">
        <f t="shared" si="23"/>
        <v>[chest_tankpart,StoreQuikenItem_1,StoreDiamond_1]</v>
      </c>
      <c r="AL73" s="2" t="str">
        <f t="shared" si="24"/>
        <v>3+5+部件礼包</v>
      </c>
      <c r="AM73" s="1" t="str">
        <f t="shared" ref="AM73:AM104" si="73">VLOOKUP(H73,道具ID,4,FALSE)</f>
        <v>T1 Component</v>
      </c>
      <c r="AN73" s="1" t="str">
        <f t="shared" ref="AN73:AN104" si="74">VLOOKUP(I73,道具ID,4,FALSE)</f>
        <v>1H_X3_Accelerater</v>
      </c>
      <c r="AO73" s="1" t="str">
        <f t="shared" si="61"/>
        <v>Diamond</v>
      </c>
    </row>
    <row r="74" spans="2:41" x14ac:dyDescent="0.3">
      <c r="B74" s="2" t="s">
        <v>2575</v>
      </c>
      <c r="C74" s="2" t="e">
        <f t="shared" si="67"/>
        <v>#REF!</v>
      </c>
      <c r="G74" s="2">
        <v>3</v>
      </c>
      <c r="H74" s="2" t="s">
        <v>2579</v>
      </c>
      <c r="I74" s="2" t="s">
        <v>511</v>
      </c>
      <c r="J74" s="2" t="s">
        <v>268</v>
      </c>
      <c r="K74" s="2" t="e">
        <f t="shared" si="48"/>
        <v>#REF!</v>
      </c>
      <c r="L74" s="2">
        <f t="shared" si="68"/>
        <v>0.50000000000000044</v>
      </c>
      <c r="M74" s="2">
        <f t="shared" si="51"/>
        <v>3.9623576027736501E-3</v>
      </c>
      <c r="N74" s="2">
        <v>5</v>
      </c>
      <c r="O74" s="2" t="e">
        <f>N74*#REF!</f>
        <v>#REF!</v>
      </c>
      <c r="P74" s="2">
        <v>2</v>
      </c>
      <c r="Q74" s="2" t="e">
        <f t="shared" si="62"/>
        <v>#REF!</v>
      </c>
      <c r="R74" s="2">
        <v>3</v>
      </c>
      <c r="S74" s="2" t="e">
        <f t="shared" si="63"/>
        <v>#REF!</v>
      </c>
      <c r="T74" s="2" t="e">
        <f t="shared" si="64"/>
        <v>#REF!</v>
      </c>
      <c r="U74" s="2">
        <v>40</v>
      </c>
      <c r="V74" s="2">
        <f t="shared" si="65"/>
        <v>20.000000000000018</v>
      </c>
      <c r="W74" s="2" t="e">
        <f t="shared" si="66"/>
        <v>#REF!</v>
      </c>
      <c r="X74" s="2">
        <v>60000</v>
      </c>
      <c r="Y74" s="2" t="e">
        <f t="shared" si="57"/>
        <v>#REF!</v>
      </c>
      <c r="Z74" s="2" t="e">
        <f t="shared" si="58"/>
        <v>#REF!</v>
      </c>
      <c r="AA74" s="2" t="e">
        <f t="shared" si="49"/>
        <v>#REF!</v>
      </c>
      <c r="AB74" s="2" t="e">
        <f t="shared" si="50"/>
        <v>#REF!</v>
      </c>
      <c r="AC74" s="2">
        <f t="shared" si="69"/>
        <v>24203</v>
      </c>
      <c r="AD74" s="2">
        <f t="shared" si="70"/>
        <v>111</v>
      </c>
      <c r="AE74" s="2">
        <f t="shared" si="59"/>
        <v>102</v>
      </c>
      <c r="AF74" s="2" t="str">
        <f t="shared" si="71"/>
        <v>chest_shard</v>
      </c>
      <c r="AG74" s="2" t="str">
        <f t="shared" si="72"/>
        <v>StoreDoubleKey_1</v>
      </c>
      <c r="AH74" s="2" t="str">
        <f t="shared" si="60"/>
        <v>StoreFund_3</v>
      </c>
      <c r="AI74" s="2" t="str">
        <f t="shared" si="21"/>
        <v>[24203,111,102]</v>
      </c>
      <c r="AJ74" s="2" t="str">
        <f t="shared" si="22"/>
        <v>[3,40,60000]</v>
      </c>
      <c r="AK74" s="2" t="str">
        <f t="shared" si="23"/>
        <v>[chest_shard,StoreDoubleKey_1,StoreFund_3]</v>
      </c>
      <c r="AL74" s="2" t="str">
        <f t="shared" si="24"/>
        <v>3+5+碎片礼包</v>
      </c>
      <c r="AM74" s="1" t="str">
        <f t="shared" si="73"/>
        <v>T2 Senior Shard</v>
      </c>
      <c r="AN74" s="1" t="str">
        <f t="shared" si="74"/>
        <v>DoubleKeys</v>
      </c>
      <c r="AO74" s="1" t="str">
        <f t="shared" si="61"/>
        <v>Funds</v>
      </c>
    </row>
    <row r="75" spans="2:41" x14ac:dyDescent="0.3">
      <c r="B75" s="2" t="s">
        <v>2577</v>
      </c>
      <c r="C75" s="2" t="e">
        <f t="shared" si="67"/>
        <v>#REF!</v>
      </c>
      <c r="G75" s="2">
        <v>3</v>
      </c>
      <c r="H75" s="2" t="s">
        <v>2566</v>
      </c>
      <c r="I75" s="2" t="s">
        <v>578</v>
      </c>
      <c r="J75" s="2" t="s">
        <v>317</v>
      </c>
      <c r="K75" s="2" t="e">
        <f t="shared" si="48"/>
        <v>#REF!</v>
      </c>
      <c r="L75" s="2">
        <f t="shared" si="68"/>
        <v>60</v>
      </c>
      <c r="M75" s="2">
        <f t="shared" si="51"/>
        <v>1</v>
      </c>
      <c r="N75" s="2">
        <v>10</v>
      </c>
      <c r="O75" s="2" t="e">
        <f>N75*#REF!</f>
        <v>#REF!</v>
      </c>
      <c r="P75" s="2">
        <v>2</v>
      </c>
      <c r="Q75" s="2" t="e">
        <f t="shared" si="62"/>
        <v>#REF!</v>
      </c>
      <c r="R75" s="2">
        <v>4</v>
      </c>
      <c r="S75" s="2" t="e">
        <f t="shared" si="63"/>
        <v>#REF!</v>
      </c>
      <c r="T75" s="2" t="e">
        <f t="shared" si="64"/>
        <v>#REF!</v>
      </c>
      <c r="U75" s="2">
        <v>10</v>
      </c>
      <c r="V75" s="2">
        <f t="shared" si="65"/>
        <v>600</v>
      </c>
      <c r="W75" s="2" t="e">
        <f t="shared" si="66"/>
        <v>#REF!</v>
      </c>
      <c r="X75" s="2">
        <v>800</v>
      </c>
      <c r="Y75" s="2" t="e">
        <f t="shared" si="57"/>
        <v>#REF!</v>
      </c>
      <c r="Z75" s="2" t="e">
        <f t="shared" si="58"/>
        <v>#REF!</v>
      </c>
      <c r="AA75" s="2" t="e">
        <f t="shared" si="49"/>
        <v>#REF!</v>
      </c>
      <c r="AB75" s="2" t="e">
        <f t="shared" si="50"/>
        <v>#REF!</v>
      </c>
      <c r="AC75" s="2">
        <f t="shared" si="69"/>
        <v>23203</v>
      </c>
      <c r="AD75" s="2">
        <f t="shared" si="70"/>
        <v>100302</v>
      </c>
      <c r="AE75" s="2">
        <f t="shared" si="59"/>
        <v>101</v>
      </c>
      <c r="AF75" s="2" t="str">
        <f t="shared" si="71"/>
        <v>chest_tankpart</v>
      </c>
      <c r="AG75" s="2" t="str">
        <f t="shared" si="72"/>
        <v>StoreQuikenItem_1</v>
      </c>
      <c r="AH75" s="2" t="str">
        <f t="shared" si="60"/>
        <v>StoreDiamond_1</v>
      </c>
      <c r="AI75" s="2" t="str">
        <f t="shared" si="21"/>
        <v>[23203,100302,101]</v>
      </c>
      <c r="AJ75" s="2" t="str">
        <f t="shared" si="22"/>
        <v>[4,10,800]</v>
      </c>
      <c r="AK75" s="2" t="str">
        <f t="shared" si="23"/>
        <v>[chest_tankpart,StoreQuikenItem_1,StoreDiamond_1]</v>
      </c>
      <c r="AL75" s="2" t="str">
        <f t="shared" si="24"/>
        <v>3+10+部件礼包</v>
      </c>
      <c r="AM75" s="1" t="str">
        <f t="shared" si="73"/>
        <v>T1 Component</v>
      </c>
      <c r="AN75" s="1" t="str">
        <f t="shared" si="74"/>
        <v>1H_X3_Accelerater</v>
      </c>
      <c r="AO75" s="1" t="str">
        <f t="shared" si="61"/>
        <v>Diamond</v>
      </c>
    </row>
    <row r="76" spans="2:41" x14ac:dyDescent="0.3">
      <c r="B76" s="2" t="s">
        <v>2579</v>
      </c>
      <c r="C76" s="2" t="e">
        <f t="shared" si="67"/>
        <v>#REF!</v>
      </c>
      <c r="G76" s="2">
        <v>3</v>
      </c>
      <c r="H76" s="2" t="s">
        <v>2579</v>
      </c>
      <c r="I76" s="2" t="s">
        <v>511</v>
      </c>
      <c r="J76" s="2" t="s">
        <v>268</v>
      </c>
      <c r="K76" s="2" t="e">
        <f t="shared" si="48"/>
        <v>#REF!</v>
      </c>
      <c r="L76" s="2">
        <f t="shared" si="68"/>
        <v>0.50000000000000044</v>
      </c>
      <c r="M76" s="2">
        <f t="shared" si="51"/>
        <v>3.9623576027736501E-3</v>
      </c>
      <c r="N76" s="2">
        <v>10</v>
      </c>
      <c r="O76" s="2" t="e">
        <f>N76*#REF!</f>
        <v>#REF!</v>
      </c>
      <c r="P76" s="2">
        <v>2</v>
      </c>
      <c r="Q76" s="2" t="e">
        <f t="shared" si="62"/>
        <v>#REF!</v>
      </c>
      <c r="R76" s="2">
        <v>7</v>
      </c>
      <c r="S76" s="2" t="e">
        <f t="shared" si="63"/>
        <v>#REF!</v>
      </c>
      <c r="T76" s="2" t="e">
        <f t="shared" si="64"/>
        <v>#REF!</v>
      </c>
      <c r="U76" s="2">
        <v>60</v>
      </c>
      <c r="V76" s="2">
        <f t="shared" si="65"/>
        <v>30.000000000000028</v>
      </c>
      <c r="W76" s="2" t="e">
        <f t="shared" si="66"/>
        <v>#REF!</v>
      </c>
      <c r="X76" s="2">
        <v>70000</v>
      </c>
      <c r="Y76" s="2" t="e">
        <f t="shared" si="57"/>
        <v>#REF!</v>
      </c>
      <c r="Z76" s="2" t="e">
        <f t="shared" si="58"/>
        <v>#REF!</v>
      </c>
      <c r="AA76" s="2" t="e">
        <f t="shared" si="49"/>
        <v>#REF!</v>
      </c>
      <c r="AB76" s="2" t="e">
        <f t="shared" si="50"/>
        <v>#REF!</v>
      </c>
      <c r="AC76" s="2">
        <f t="shared" si="69"/>
        <v>24203</v>
      </c>
      <c r="AD76" s="2">
        <f t="shared" si="70"/>
        <v>111</v>
      </c>
      <c r="AE76" s="2">
        <f t="shared" si="59"/>
        <v>102</v>
      </c>
      <c r="AF76" s="2" t="str">
        <f t="shared" si="71"/>
        <v>chest_shard</v>
      </c>
      <c r="AG76" s="2" t="str">
        <f t="shared" si="72"/>
        <v>StoreDoubleKey_1</v>
      </c>
      <c r="AH76" s="2" t="str">
        <f t="shared" si="60"/>
        <v>StoreFund_3</v>
      </c>
      <c r="AI76" s="2" t="str">
        <f t="shared" si="21"/>
        <v>[24203,111,102]</v>
      </c>
      <c r="AJ76" s="2" t="str">
        <f t="shared" si="22"/>
        <v>[7,60,70000]</v>
      </c>
      <c r="AK76" s="2" t="str">
        <f t="shared" si="23"/>
        <v>[chest_shard,StoreDoubleKey_1,StoreFund_3]</v>
      </c>
      <c r="AL76" s="2" t="str">
        <f t="shared" si="24"/>
        <v>3+10+碎片礼包</v>
      </c>
      <c r="AM76" s="1" t="str">
        <f t="shared" si="73"/>
        <v>T2 Senior Shard</v>
      </c>
      <c r="AN76" s="1" t="str">
        <f t="shared" si="74"/>
        <v>DoubleKeys</v>
      </c>
      <c r="AO76" s="1" t="str">
        <f t="shared" si="61"/>
        <v>Funds</v>
      </c>
    </row>
    <row r="77" spans="2:41" x14ac:dyDescent="0.3">
      <c r="B77" s="2" t="s">
        <v>2581</v>
      </c>
      <c r="C77" s="2" t="e">
        <f t="shared" si="67"/>
        <v>#REF!</v>
      </c>
      <c r="G77" s="2">
        <v>4</v>
      </c>
      <c r="H77" s="2" t="s">
        <v>2567</v>
      </c>
      <c r="I77" s="2" t="s">
        <v>578</v>
      </c>
      <c r="J77" s="2" t="s">
        <v>317</v>
      </c>
      <c r="K77" s="2" t="e">
        <f t="shared" si="48"/>
        <v>#REF!</v>
      </c>
      <c r="L77" s="2">
        <f t="shared" si="68"/>
        <v>60</v>
      </c>
      <c r="M77" s="2">
        <f t="shared" si="51"/>
        <v>1</v>
      </c>
      <c r="N77" s="2">
        <v>5</v>
      </c>
      <c r="O77" s="2" t="e">
        <f>N77*#REF!</f>
        <v>#REF!</v>
      </c>
      <c r="P77" s="2">
        <v>4</v>
      </c>
      <c r="Q77" s="2" t="e">
        <f t="shared" ref="Q77:Q82" si="75">O77*P77</f>
        <v>#REF!</v>
      </c>
      <c r="R77" s="2">
        <v>3</v>
      </c>
      <c r="S77" s="2" t="e">
        <f t="shared" ref="S77:S82" si="76">R77*K77</f>
        <v>#REF!</v>
      </c>
      <c r="T77" s="2" t="e">
        <f t="shared" ref="T77:T82" si="77">S77/Q77</f>
        <v>#REF!</v>
      </c>
      <c r="U77" s="2">
        <v>10</v>
      </c>
      <c r="V77" s="2">
        <f t="shared" ref="V77:V82" si="78">U77*L77</f>
        <v>600</v>
      </c>
      <c r="W77" s="2" t="e">
        <f t="shared" ref="W77:W82" si="79">V77/Q77</f>
        <v>#REF!</v>
      </c>
      <c r="X77" s="2">
        <v>800</v>
      </c>
      <c r="Y77" s="2" t="e">
        <f t="shared" si="57"/>
        <v>#REF!</v>
      </c>
      <c r="Z77" s="2" t="e">
        <f t="shared" si="58"/>
        <v>#REF!</v>
      </c>
      <c r="AA77" s="2" t="e">
        <f t="shared" si="49"/>
        <v>#REF!</v>
      </c>
      <c r="AB77" s="2" t="e">
        <f t="shared" si="50"/>
        <v>#REF!</v>
      </c>
      <c r="AC77" s="2">
        <f t="shared" si="69"/>
        <v>23204</v>
      </c>
      <c r="AD77" s="2">
        <f t="shared" si="70"/>
        <v>100302</v>
      </c>
      <c r="AE77" s="2">
        <f t="shared" si="59"/>
        <v>101</v>
      </c>
      <c r="AF77" s="2" t="str">
        <f t="shared" si="71"/>
        <v>chest_tankpart</v>
      </c>
      <c r="AG77" s="2" t="str">
        <f t="shared" si="72"/>
        <v>StoreQuikenItem_1</v>
      </c>
      <c r="AH77" s="2" t="str">
        <f t="shared" si="60"/>
        <v>StoreDiamond_1</v>
      </c>
      <c r="AI77" s="2" t="str">
        <f t="shared" si="21"/>
        <v>[23204,100302,101]</v>
      </c>
      <c r="AJ77" s="2" t="str">
        <f t="shared" si="22"/>
        <v>[3,10,800]</v>
      </c>
      <c r="AK77" s="2" t="str">
        <f t="shared" si="23"/>
        <v>[chest_tankpart,StoreQuikenItem_1,StoreDiamond_1]</v>
      </c>
      <c r="AL77" s="2" t="str">
        <f t="shared" si="24"/>
        <v>4+5+部件礼包</v>
      </c>
      <c r="AM77" s="1" t="str">
        <f t="shared" si="73"/>
        <v>T2 Component</v>
      </c>
      <c r="AN77" s="1" t="str">
        <f t="shared" si="74"/>
        <v>1H_X3_Accelerater</v>
      </c>
      <c r="AO77" s="1" t="str">
        <f t="shared" si="61"/>
        <v>Diamond</v>
      </c>
    </row>
    <row r="78" spans="2:41" x14ac:dyDescent="0.3">
      <c r="B78" s="2" t="s">
        <v>2583</v>
      </c>
      <c r="C78" s="2" t="e">
        <f t="shared" si="67"/>
        <v>#REF!</v>
      </c>
      <c r="G78" s="2">
        <v>4</v>
      </c>
      <c r="H78" s="2" t="s">
        <v>2579</v>
      </c>
      <c r="I78" s="2" t="s">
        <v>511</v>
      </c>
      <c r="J78" s="2" t="s">
        <v>268</v>
      </c>
      <c r="K78" s="2" t="e">
        <f t="shared" si="48"/>
        <v>#REF!</v>
      </c>
      <c r="L78" s="2">
        <f t="shared" si="68"/>
        <v>0.50000000000000044</v>
      </c>
      <c r="M78" s="2">
        <f t="shared" si="51"/>
        <v>3.9623576027736501E-3</v>
      </c>
      <c r="N78" s="2">
        <v>5</v>
      </c>
      <c r="O78" s="2" t="e">
        <f>N78*#REF!</f>
        <v>#REF!</v>
      </c>
      <c r="P78" s="2">
        <v>4</v>
      </c>
      <c r="Q78" s="2" t="e">
        <f t="shared" si="75"/>
        <v>#REF!</v>
      </c>
      <c r="R78" s="2">
        <v>7</v>
      </c>
      <c r="S78" s="2" t="e">
        <f t="shared" si="76"/>
        <v>#REF!</v>
      </c>
      <c r="T78" s="2" t="e">
        <f t="shared" si="77"/>
        <v>#REF!</v>
      </c>
      <c r="U78" s="2">
        <v>80</v>
      </c>
      <c r="V78" s="2">
        <f t="shared" si="78"/>
        <v>40.000000000000036</v>
      </c>
      <c r="W78" s="2" t="e">
        <f t="shared" si="79"/>
        <v>#REF!</v>
      </c>
      <c r="X78" s="2">
        <v>70000</v>
      </c>
      <c r="Y78" s="2" t="e">
        <f t="shared" si="57"/>
        <v>#REF!</v>
      </c>
      <c r="Z78" s="2" t="e">
        <f t="shared" si="58"/>
        <v>#REF!</v>
      </c>
      <c r="AA78" s="2" t="e">
        <f t="shared" si="49"/>
        <v>#REF!</v>
      </c>
      <c r="AB78" s="2" t="e">
        <f t="shared" si="50"/>
        <v>#REF!</v>
      </c>
      <c r="AC78" s="2">
        <f t="shared" si="69"/>
        <v>24203</v>
      </c>
      <c r="AD78" s="2">
        <f t="shared" si="70"/>
        <v>111</v>
      </c>
      <c r="AE78" s="2">
        <f t="shared" si="59"/>
        <v>102</v>
      </c>
      <c r="AF78" s="2" t="str">
        <f t="shared" si="71"/>
        <v>chest_shard</v>
      </c>
      <c r="AG78" s="2" t="str">
        <f t="shared" si="72"/>
        <v>StoreDoubleKey_1</v>
      </c>
      <c r="AH78" s="2" t="str">
        <f t="shared" si="60"/>
        <v>StoreFund_3</v>
      </c>
      <c r="AI78" s="2" t="str">
        <f t="shared" si="21"/>
        <v>[24203,111,102]</v>
      </c>
      <c r="AJ78" s="2" t="str">
        <f t="shared" si="22"/>
        <v>[7,80,70000]</v>
      </c>
      <c r="AK78" s="2" t="str">
        <f t="shared" si="23"/>
        <v>[chest_shard,StoreDoubleKey_1,StoreFund_3]</v>
      </c>
      <c r="AL78" s="2" t="str">
        <f t="shared" si="24"/>
        <v>4+5+碎片礼包</v>
      </c>
      <c r="AM78" s="1" t="str">
        <f t="shared" si="73"/>
        <v>T2 Senior Shard</v>
      </c>
      <c r="AN78" s="1" t="str">
        <f t="shared" si="74"/>
        <v>DoubleKeys</v>
      </c>
      <c r="AO78" s="1" t="str">
        <f t="shared" si="61"/>
        <v>Funds</v>
      </c>
    </row>
    <row r="79" spans="2:41" x14ac:dyDescent="0.3">
      <c r="B79" s="2" t="s">
        <v>2585</v>
      </c>
      <c r="C79" s="2" t="e">
        <f t="shared" si="67"/>
        <v>#REF!</v>
      </c>
      <c r="G79" s="2">
        <v>4</v>
      </c>
      <c r="H79" s="2" t="s">
        <v>2567</v>
      </c>
      <c r="I79" s="2" t="s">
        <v>578</v>
      </c>
      <c r="J79" s="2" t="s">
        <v>317</v>
      </c>
      <c r="K79" s="2" t="e">
        <f t="shared" si="48"/>
        <v>#REF!</v>
      </c>
      <c r="L79" s="2">
        <f t="shared" si="68"/>
        <v>60</v>
      </c>
      <c r="M79" s="2">
        <f t="shared" si="51"/>
        <v>1</v>
      </c>
      <c r="N79" s="2">
        <v>10</v>
      </c>
      <c r="O79" s="2" t="e">
        <f>N79*#REF!</f>
        <v>#REF!</v>
      </c>
      <c r="P79" s="2">
        <v>4</v>
      </c>
      <c r="Q79" s="2" t="e">
        <f t="shared" si="75"/>
        <v>#REF!</v>
      </c>
      <c r="R79" s="2">
        <v>4</v>
      </c>
      <c r="S79" s="2" t="e">
        <f t="shared" si="76"/>
        <v>#REF!</v>
      </c>
      <c r="T79" s="2" t="e">
        <f t="shared" si="77"/>
        <v>#REF!</v>
      </c>
      <c r="U79" s="2">
        <v>10</v>
      </c>
      <c r="V79" s="2">
        <f t="shared" si="78"/>
        <v>600</v>
      </c>
      <c r="W79" s="2" t="e">
        <f t="shared" si="79"/>
        <v>#REF!</v>
      </c>
      <c r="X79" s="2">
        <v>2700</v>
      </c>
      <c r="Y79" s="2" t="e">
        <f t="shared" si="57"/>
        <v>#REF!</v>
      </c>
      <c r="Z79" s="2" t="e">
        <f t="shared" si="58"/>
        <v>#REF!</v>
      </c>
      <c r="AA79" s="2" t="e">
        <f t="shared" si="49"/>
        <v>#REF!</v>
      </c>
      <c r="AB79" s="2" t="e">
        <f t="shared" si="50"/>
        <v>#REF!</v>
      </c>
      <c r="AC79" s="2">
        <f t="shared" si="69"/>
        <v>23204</v>
      </c>
      <c r="AD79" s="2">
        <f t="shared" si="70"/>
        <v>100302</v>
      </c>
      <c r="AE79" s="2">
        <f t="shared" si="59"/>
        <v>101</v>
      </c>
      <c r="AF79" s="2" t="str">
        <f t="shared" si="71"/>
        <v>chest_tankpart</v>
      </c>
      <c r="AG79" s="2" t="str">
        <f t="shared" si="72"/>
        <v>StoreQuikenItem_1</v>
      </c>
      <c r="AH79" s="2" t="str">
        <f t="shared" si="60"/>
        <v>StoreDiamond_1</v>
      </c>
      <c r="AI79" s="2" t="str">
        <f t="shared" si="21"/>
        <v>[23204,100302,101]</v>
      </c>
      <c r="AJ79" s="2" t="str">
        <f t="shared" si="22"/>
        <v>[4,10,2700]</v>
      </c>
      <c r="AK79" s="2" t="str">
        <f t="shared" si="23"/>
        <v>[chest_tankpart,StoreQuikenItem_1,StoreDiamond_1]</v>
      </c>
      <c r="AL79" s="2" t="str">
        <f t="shared" si="24"/>
        <v>4+10+部件礼包</v>
      </c>
      <c r="AM79" s="1" t="str">
        <f t="shared" si="73"/>
        <v>T2 Component</v>
      </c>
      <c r="AN79" s="1" t="str">
        <f t="shared" si="74"/>
        <v>1H_X3_Accelerater</v>
      </c>
      <c r="AO79" s="1" t="str">
        <f t="shared" si="61"/>
        <v>Diamond</v>
      </c>
    </row>
    <row r="80" spans="2:41" x14ac:dyDescent="0.3">
      <c r="B80" s="2" t="s">
        <v>2587</v>
      </c>
      <c r="C80" s="2" t="e">
        <f t="shared" si="67"/>
        <v>#REF!</v>
      </c>
      <c r="G80" s="2">
        <v>4</v>
      </c>
      <c r="H80" s="2" t="s">
        <v>2579</v>
      </c>
      <c r="I80" s="2" t="s">
        <v>511</v>
      </c>
      <c r="J80" s="2" t="s">
        <v>268</v>
      </c>
      <c r="K80" s="2" t="e">
        <f t="shared" si="48"/>
        <v>#REF!</v>
      </c>
      <c r="L80" s="2">
        <f t="shared" si="68"/>
        <v>0.50000000000000044</v>
      </c>
      <c r="M80" s="2">
        <f t="shared" si="51"/>
        <v>3.9623576027736501E-3</v>
      </c>
      <c r="N80" s="2">
        <v>10</v>
      </c>
      <c r="O80" s="2" t="e">
        <f>N80*#REF!</f>
        <v>#REF!</v>
      </c>
      <c r="P80" s="2">
        <v>4</v>
      </c>
      <c r="Q80" s="2" t="e">
        <f t="shared" si="75"/>
        <v>#REF!</v>
      </c>
      <c r="R80" s="2">
        <v>15</v>
      </c>
      <c r="S80" s="2" t="e">
        <f t="shared" si="76"/>
        <v>#REF!</v>
      </c>
      <c r="T80" s="2" t="e">
        <f t="shared" si="77"/>
        <v>#REF!</v>
      </c>
      <c r="U80" s="2">
        <v>80</v>
      </c>
      <c r="V80" s="2">
        <f t="shared" si="78"/>
        <v>40.000000000000036</v>
      </c>
      <c r="W80" s="2" t="e">
        <f t="shared" si="79"/>
        <v>#REF!</v>
      </c>
      <c r="X80" s="2">
        <v>90000</v>
      </c>
      <c r="Y80" s="2" t="e">
        <f t="shared" si="57"/>
        <v>#REF!</v>
      </c>
      <c r="Z80" s="2" t="e">
        <f t="shared" si="58"/>
        <v>#REF!</v>
      </c>
      <c r="AA80" s="2" t="e">
        <f t="shared" si="49"/>
        <v>#REF!</v>
      </c>
      <c r="AB80" s="2" t="e">
        <f t="shared" si="50"/>
        <v>#REF!</v>
      </c>
      <c r="AC80" s="2">
        <f t="shared" si="69"/>
        <v>24203</v>
      </c>
      <c r="AD80" s="2">
        <f t="shared" si="70"/>
        <v>111</v>
      </c>
      <c r="AE80" s="2">
        <f t="shared" si="59"/>
        <v>102</v>
      </c>
      <c r="AF80" s="2" t="str">
        <f t="shared" si="71"/>
        <v>chest_shard</v>
      </c>
      <c r="AG80" s="2" t="str">
        <f t="shared" si="72"/>
        <v>StoreDoubleKey_1</v>
      </c>
      <c r="AH80" s="2" t="str">
        <f t="shared" si="60"/>
        <v>StoreFund_3</v>
      </c>
      <c r="AI80" s="2" t="str">
        <f t="shared" si="21"/>
        <v>[24203,111,102]</v>
      </c>
      <c r="AJ80" s="2" t="str">
        <f t="shared" si="22"/>
        <v>[15,80,90000]</v>
      </c>
      <c r="AK80" s="2" t="str">
        <f t="shared" si="23"/>
        <v>[chest_shard,StoreDoubleKey_1,StoreFund_3]</v>
      </c>
      <c r="AL80" s="2" t="str">
        <f t="shared" si="24"/>
        <v>4+10+碎片礼包</v>
      </c>
      <c r="AM80" s="1" t="str">
        <f t="shared" si="73"/>
        <v>T2 Senior Shard</v>
      </c>
      <c r="AN80" s="1" t="str">
        <f t="shared" si="74"/>
        <v>DoubleKeys</v>
      </c>
      <c r="AO80" s="1" t="str">
        <f t="shared" si="61"/>
        <v>Funds</v>
      </c>
    </row>
    <row r="81" spans="2:41" x14ac:dyDescent="0.3">
      <c r="B81" s="2" t="s">
        <v>2589</v>
      </c>
      <c r="C81" s="2" t="e">
        <f t="shared" si="67"/>
        <v>#REF!</v>
      </c>
      <c r="G81" s="2">
        <v>4</v>
      </c>
      <c r="H81" s="2" t="s">
        <v>2567</v>
      </c>
      <c r="I81" s="2" t="s">
        <v>578</v>
      </c>
      <c r="J81" s="2" t="s">
        <v>317</v>
      </c>
      <c r="K81" s="2" t="e">
        <f t="shared" si="48"/>
        <v>#REF!</v>
      </c>
      <c r="L81" s="2">
        <f t="shared" si="68"/>
        <v>60</v>
      </c>
      <c r="M81" s="2">
        <f t="shared" si="51"/>
        <v>1</v>
      </c>
      <c r="N81" s="2">
        <v>20</v>
      </c>
      <c r="O81" s="2" t="e">
        <f>N81*#REF!</f>
        <v>#REF!</v>
      </c>
      <c r="P81" s="2">
        <v>4</v>
      </c>
      <c r="Q81" s="2" t="e">
        <f t="shared" si="75"/>
        <v>#REF!</v>
      </c>
      <c r="R81" s="2">
        <v>5</v>
      </c>
      <c r="S81" s="2" t="e">
        <f t="shared" si="76"/>
        <v>#REF!</v>
      </c>
      <c r="T81" s="2" t="e">
        <f t="shared" si="77"/>
        <v>#REF!</v>
      </c>
      <c r="U81" s="2">
        <v>20</v>
      </c>
      <c r="V81" s="2">
        <f t="shared" si="78"/>
        <v>1200</v>
      </c>
      <c r="W81" s="2" t="e">
        <f t="shared" si="79"/>
        <v>#REF!</v>
      </c>
      <c r="X81" s="2">
        <v>5900</v>
      </c>
      <c r="Y81" s="2" t="e">
        <f t="shared" si="57"/>
        <v>#REF!</v>
      </c>
      <c r="Z81" s="2" t="e">
        <f t="shared" si="58"/>
        <v>#REF!</v>
      </c>
      <c r="AA81" s="2" t="e">
        <f t="shared" si="49"/>
        <v>#REF!</v>
      </c>
      <c r="AB81" s="2" t="e">
        <f t="shared" si="50"/>
        <v>#REF!</v>
      </c>
      <c r="AC81" s="2">
        <f t="shared" si="69"/>
        <v>23204</v>
      </c>
      <c r="AD81" s="2">
        <f t="shared" si="70"/>
        <v>100302</v>
      </c>
      <c r="AE81" s="2">
        <f t="shared" si="59"/>
        <v>101</v>
      </c>
      <c r="AF81" s="2" t="str">
        <f t="shared" si="71"/>
        <v>chest_tankpart</v>
      </c>
      <c r="AG81" s="2" t="str">
        <f t="shared" si="72"/>
        <v>StoreQuikenItem_1</v>
      </c>
      <c r="AH81" s="2" t="str">
        <f t="shared" si="60"/>
        <v>StoreDiamond_1</v>
      </c>
      <c r="AI81" s="2" t="str">
        <f t="shared" si="21"/>
        <v>[23204,100302,101]</v>
      </c>
      <c r="AJ81" s="2" t="str">
        <f t="shared" si="22"/>
        <v>[5,20,5900]</v>
      </c>
      <c r="AK81" s="2" t="str">
        <f t="shared" si="23"/>
        <v>[chest_tankpart,StoreQuikenItem_1,StoreDiamond_1]</v>
      </c>
      <c r="AL81" s="2" t="str">
        <f t="shared" si="24"/>
        <v>4+20+部件礼包</v>
      </c>
      <c r="AM81" s="1" t="str">
        <f t="shared" si="73"/>
        <v>T2 Component</v>
      </c>
      <c r="AN81" s="1" t="str">
        <f t="shared" si="74"/>
        <v>1H_X3_Accelerater</v>
      </c>
      <c r="AO81" s="1" t="str">
        <f t="shared" si="61"/>
        <v>Diamond</v>
      </c>
    </row>
    <row r="82" spans="2:41" x14ac:dyDescent="0.3">
      <c r="G82" s="2">
        <v>4</v>
      </c>
      <c r="H82" s="2" t="s">
        <v>2579</v>
      </c>
      <c r="I82" s="2" t="s">
        <v>511</v>
      </c>
      <c r="J82" s="2" t="s">
        <v>268</v>
      </c>
      <c r="K82" s="2" t="e">
        <f t="shared" si="48"/>
        <v>#REF!</v>
      </c>
      <c r="L82" s="2">
        <f t="shared" si="68"/>
        <v>0.50000000000000044</v>
      </c>
      <c r="M82" s="2">
        <f t="shared" si="51"/>
        <v>3.9623576027736501E-3</v>
      </c>
      <c r="N82" s="2">
        <v>20</v>
      </c>
      <c r="O82" s="2" t="e">
        <f>N82*#REF!</f>
        <v>#REF!</v>
      </c>
      <c r="P82" s="2">
        <v>4</v>
      </c>
      <c r="Q82" s="2" t="e">
        <f t="shared" si="75"/>
        <v>#REF!</v>
      </c>
      <c r="R82" s="2">
        <v>32</v>
      </c>
      <c r="S82" s="2" t="e">
        <f t="shared" si="76"/>
        <v>#REF!</v>
      </c>
      <c r="T82" s="2" t="e">
        <f t="shared" si="77"/>
        <v>#REF!</v>
      </c>
      <c r="U82" s="2">
        <v>100</v>
      </c>
      <c r="V82" s="2">
        <f t="shared" si="78"/>
        <v>50.000000000000043</v>
      </c>
      <c r="W82" s="2" t="e">
        <f t="shared" si="79"/>
        <v>#REF!</v>
      </c>
      <c r="X82" s="2">
        <v>60000</v>
      </c>
      <c r="Y82" s="2" t="e">
        <f t="shared" si="57"/>
        <v>#REF!</v>
      </c>
      <c r="Z82" s="2" t="e">
        <f t="shared" si="58"/>
        <v>#REF!</v>
      </c>
      <c r="AA82" s="2" t="e">
        <f t="shared" si="49"/>
        <v>#REF!</v>
      </c>
      <c r="AB82" s="2" t="e">
        <f t="shared" si="50"/>
        <v>#REF!</v>
      </c>
      <c r="AC82" s="2">
        <f t="shared" si="69"/>
        <v>24203</v>
      </c>
      <c r="AD82" s="2">
        <f t="shared" si="70"/>
        <v>111</v>
      </c>
      <c r="AE82" s="2">
        <f t="shared" si="59"/>
        <v>102</v>
      </c>
      <c r="AF82" s="2" t="str">
        <f t="shared" si="71"/>
        <v>chest_shard</v>
      </c>
      <c r="AG82" s="2" t="str">
        <f t="shared" si="72"/>
        <v>StoreDoubleKey_1</v>
      </c>
      <c r="AH82" s="2" t="str">
        <f t="shared" si="60"/>
        <v>StoreFund_3</v>
      </c>
      <c r="AI82" s="2" t="str">
        <f t="shared" si="21"/>
        <v>[24203,111,102]</v>
      </c>
      <c r="AJ82" s="2" t="str">
        <f t="shared" si="22"/>
        <v>[32,100,60000]</v>
      </c>
      <c r="AK82" s="2" t="str">
        <f t="shared" si="23"/>
        <v>[chest_shard,StoreDoubleKey_1,StoreFund_3]</v>
      </c>
      <c r="AL82" s="2" t="str">
        <f t="shared" si="24"/>
        <v>4+20+碎片礼包</v>
      </c>
      <c r="AM82" s="1" t="str">
        <f t="shared" si="73"/>
        <v>T2 Senior Shard</v>
      </c>
      <c r="AN82" s="1" t="str">
        <f t="shared" si="74"/>
        <v>DoubleKeys</v>
      </c>
      <c r="AO82" s="1" t="str">
        <f t="shared" si="61"/>
        <v>Funds</v>
      </c>
    </row>
    <row r="83" spans="2:41" x14ac:dyDescent="0.3">
      <c r="G83" s="2">
        <v>4</v>
      </c>
      <c r="H83" s="2" t="s">
        <v>2567</v>
      </c>
      <c r="I83" s="2" t="s">
        <v>578</v>
      </c>
      <c r="J83" s="2" t="s">
        <v>317</v>
      </c>
      <c r="K83" s="2" t="e">
        <f t="shared" si="48"/>
        <v>#REF!</v>
      </c>
      <c r="L83" s="2">
        <f t="shared" si="68"/>
        <v>60</v>
      </c>
      <c r="M83" s="2">
        <f t="shared" si="51"/>
        <v>1</v>
      </c>
      <c r="N83" s="2">
        <v>5</v>
      </c>
      <c r="O83" s="2" t="e">
        <f>N83*#REF!</f>
        <v>#REF!</v>
      </c>
      <c r="P83" s="2">
        <v>3</v>
      </c>
      <c r="Q83" s="2" t="e">
        <f t="shared" ref="Q83:Q94" si="80">O83*P83</f>
        <v>#REF!</v>
      </c>
      <c r="R83" s="2">
        <v>1</v>
      </c>
      <c r="S83" s="2" t="e">
        <f t="shared" ref="S83:S94" si="81">R83*K83</f>
        <v>#REF!</v>
      </c>
      <c r="T83" s="2" t="e">
        <f t="shared" ref="T83:T94" si="82">S83/Q83</f>
        <v>#REF!</v>
      </c>
      <c r="U83" s="2">
        <v>2</v>
      </c>
      <c r="V83" s="2">
        <f t="shared" ref="V83:V94" si="83">U83*L83</f>
        <v>120</v>
      </c>
      <c r="W83" s="2" t="e">
        <f t="shared" ref="W83:W94" si="84">V83/Q83</f>
        <v>#REF!</v>
      </c>
      <c r="X83" s="2">
        <v>1200</v>
      </c>
      <c r="Y83" s="2" t="e">
        <f t="shared" si="57"/>
        <v>#REF!</v>
      </c>
      <c r="Z83" s="2" t="e">
        <f t="shared" si="58"/>
        <v>#REF!</v>
      </c>
      <c r="AA83" s="2" t="e">
        <f t="shared" si="49"/>
        <v>#REF!</v>
      </c>
      <c r="AB83" s="2" t="e">
        <f t="shared" si="50"/>
        <v>#REF!</v>
      </c>
      <c r="AC83" s="2">
        <f t="shared" si="69"/>
        <v>23204</v>
      </c>
      <c r="AD83" s="2">
        <f t="shared" si="70"/>
        <v>100302</v>
      </c>
      <c r="AE83" s="2">
        <f t="shared" si="59"/>
        <v>101</v>
      </c>
      <c r="AF83" s="2" t="str">
        <f t="shared" si="71"/>
        <v>chest_tankpart</v>
      </c>
      <c r="AG83" s="2" t="str">
        <f t="shared" si="72"/>
        <v>StoreQuikenItem_1</v>
      </c>
      <c r="AH83" s="2" t="str">
        <f t="shared" si="60"/>
        <v>StoreDiamond_1</v>
      </c>
      <c r="AI83" s="2" t="str">
        <f t="shared" si="21"/>
        <v>[23204,100302,101]</v>
      </c>
      <c r="AJ83" s="2" t="str">
        <f t="shared" si="22"/>
        <v>[1,2,1200]</v>
      </c>
      <c r="AK83" s="2" t="str">
        <f t="shared" si="23"/>
        <v>[chest_tankpart,StoreQuikenItem_1,StoreDiamond_1]</v>
      </c>
      <c r="AL83" s="2" t="str">
        <f t="shared" si="24"/>
        <v>4+5+部件礼包</v>
      </c>
      <c r="AM83" s="1" t="str">
        <f t="shared" si="73"/>
        <v>T2 Component</v>
      </c>
      <c r="AN83" s="1" t="str">
        <f t="shared" si="74"/>
        <v>1H_X3_Accelerater</v>
      </c>
      <c r="AO83" s="1" t="str">
        <f t="shared" si="61"/>
        <v>Diamond</v>
      </c>
    </row>
    <row r="84" spans="2:41" x14ac:dyDescent="0.3">
      <c r="G84" s="2">
        <v>4</v>
      </c>
      <c r="H84" s="2" t="s">
        <v>2579</v>
      </c>
      <c r="I84" s="2" t="s">
        <v>511</v>
      </c>
      <c r="J84" s="2" t="s">
        <v>268</v>
      </c>
      <c r="K84" s="2" t="e">
        <f t="shared" si="48"/>
        <v>#REF!</v>
      </c>
      <c r="L84" s="2">
        <f t="shared" si="68"/>
        <v>0.50000000000000044</v>
      </c>
      <c r="M84" s="2">
        <f t="shared" si="51"/>
        <v>3.9623576027736501E-3</v>
      </c>
      <c r="N84" s="2">
        <v>5</v>
      </c>
      <c r="O84" s="2" t="e">
        <f>N84*#REF!</f>
        <v>#REF!</v>
      </c>
      <c r="P84" s="2">
        <v>3</v>
      </c>
      <c r="Q84" s="2" t="e">
        <f t="shared" si="80"/>
        <v>#REF!</v>
      </c>
      <c r="R84" s="2">
        <v>5</v>
      </c>
      <c r="S84" s="2" t="e">
        <f t="shared" si="81"/>
        <v>#REF!</v>
      </c>
      <c r="T84" s="2" t="e">
        <f t="shared" si="82"/>
        <v>#REF!</v>
      </c>
      <c r="U84" s="2">
        <v>50</v>
      </c>
      <c r="V84" s="2">
        <f t="shared" si="83"/>
        <v>25.000000000000021</v>
      </c>
      <c r="W84" s="2" t="e">
        <f t="shared" si="84"/>
        <v>#REF!</v>
      </c>
      <c r="X84" s="2">
        <v>70000</v>
      </c>
      <c r="Y84" s="2" t="e">
        <f t="shared" si="57"/>
        <v>#REF!</v>
      </c>
      <c r="Z84" s="2" t="e">
        <f t="shared" si="58"/>
        <v>#REF!</v>
      </c>
      <c r="AA84" s="2" t="e">
        <f t="shared" si="49"/>
        <v>#REF!</v>
      </c>
      <c r="AB84" s="2" t="e">
        <f t="shared" si="50"/>
        <v>#REF!</v>
      </c>
      <c r="AC84" s="2">
        <f t="shared" si="69"/>
        <v>24203</v>
      </c>
      <c r="AD84" s="2">
        <f t="shared" si="70"/>
        <v>111</v>
      </c>
      <c r="AE84" s="2">
        <f t="shared" si="59"/>
        <v>102</v>
      </c>
      <c r="AF84" s="2" t="str">
        <f t="shared" si="71"/>
        <v>chest_shard</v>
      </c>
      <c r="AG84" s="2" t="str">
        <f t="shared" si="72"/>
        <v>StoreDoubleKey_1</v>
      </c>
      <c r="AH84" s="2" t="str">
        <f t="shared" si="60"/>
        <v>StoreFund_3</v>
      </c>
      <c r="AI84" s="2" t="str">
        <f t="shared" si="21"/>
        <v>[24203,111,102]</v>
      </c>
      <c r="AJ84" s="2" t="str">
        <f t="shared" si="22"/>
        <v>[5,50,70000]</v>
      </c>
      <c r="AK84" s="2" t="str">
        <f t="shared" si="23"/>
        <v>[chest_shard,StoreDoubleKey_1,StoreFund_3]</v>
      </c>
      <c r="AL84" s="2" t="str">
        <f t="shared" si="24"/>
        <v>4+5+碎片礼包</v>
      </c>
      <c r="AM84" s="1" t="str">
        <f t="shared" si="73"/>
        <v>T2 Senior Shard</v>
      </c>
      <c r="AN84" s="1" t="str">
        <f t="shared" si="74"/>
        <v>DoubleKeys</v>
      </c>
      <c r="AO84" s="1" t="str">
        <f t="shared" si="61"/>
        <v>Funds</v>
      </c>
    </row>
    <row r="85" spans="2:41" x14ac:dyDescent="0.3">
      <c r="G85" s="2">
        <v>4</v>
      </c>
      <c r="H85" s="2" t="s">
        <v>2567</v>
      </c>
      <c r="I85" s="2" t="s">
        <v>578</v>
      </c>
      <c r="J85" s="2" t="s">
        <v>317</v>
      </c>
      <c r="K85" s="2" t="e">
        <f t="shared" si="48"/>
        <v>#REF!</v>
      </c>
      <c r="L85" s="2">
        <f t="shared" si="68"/>
        <v>60</v>
      </c>
      <c r="M85" s="2">
        <f t="shared" si="51"/>
        <v>1</v>
      </c>
      <c r="N85" s="2">
        <v>10</v>
      </c>
      <c r="O85" s="2" t="e">
        <f>N85*#REF!</f>
        <v>#REF!</v>
      </c>
      <c r="P85" s="2">
        <v>3</v>
      </c>
      <c r="Q85" s="2" t="e">
        <f t="shared" si="80"/>
        <v>#REF!</v>
      </c>
      <c r="R85" s="2">
        <v>2</v>
      </c>
      <c r="S85" s="2" t="e">
        <f t="shared" si="81"/>
        <v>#REF!</v>
      </c>
      <c r="T85" s="2" t="e">
        <f t="shared" si="82"/>
        <v>#REF!</v>
      </c>
      <c r="U85" s="2">
        <v>5</v>
      </c>
      <c r="V85" s="2">
        <f t="shared" si="83"/>
        <v>300</v>
      </c>
      <c r="W85" s="2" t="e">
        <f t="shared" si="84"/>
        <v>#REF!</v>
      </c>
      <c r="X85" s="2">
        <v>2300</v>
      </c>
      <c r="Y85" s="2" t="e">
        <f t="shared" si="57"/>
        <v>#REF!</v>
      </c>
      <c r="Z85" s="2" t="e">
        <f t="shared" si="58"/>
        <v>#REF!</v>
      </c>
      <c r="AA85" s="2" t="e">
        <f t="shared" si="49"/>
        <v>#REF!</v>
      </c>
      <c r="AB85" s="2" t="e">
        <f t="shared" si="50"/>
        <v>#REF!</v>
      </c>
      <c r="AC85" s="2">
        <f t="shared" si="69"/>
        <v>23204</v>
      </c>
      <c r="AD85" s="2">
        <f t="shared" si="70"/>
        <v>100302</v>
      </c>
      <c r="AE85" s="2">
        <f t="shared" si="59"/>
        <v>101</v>
      </c>
      <c r="AF85" s="2" t="str">
        <f t="shared" si="71"/>
        <v>chest_tankpart</v>
      </c>
      <c r="AG85" s="2" t="str">
        <f t="shared" si="72"/>
        <v>StoreQuikenItem_1</v>
      </c>
      <c r="AH85" s="2" t="str">
        <f t="shared" si="60"/>
        <v>StoreDiamond_1</v>
      </c>
      <c r="AI85" s="2" t="str">
        <f t="shared" si="21"/>
        <v>[23204,100302,101]</v>
      </c>
      <c r="AJ85" s="2" t="str">
        <f t="shared" si="22"/>
        <v>[2,5,2300]</v>
      </c>
      <c r="AK85" s="2" t="str">
        <f t="shared" si="23"/>
        <v>[chest_tankpart,StoreQuikenItem_1,StoreDiamond_1]</v>
      </c>
      <c r="AL85" s="2" t="str">
        <f t="shared" si="24"/>
        <v>4+10+部件礼包</v>
      </c>
      <c r="AM85" s="1" t="str">
        <f t="shared" si="73"/>
        <v>T2 Component</v>
      </c>
      <c r="AN85" s="1" t="str">
        <f t="shared" si="74"/>
        <v>1H_X3_Accelerater</v>
      </c>
      <c r="AO85" s="1" t="str">
        <f t="shared" si="61"/>
        <v>Diamond</v>
      </c>
    </row>
    <row r="86" spans="2:41" x14ac:dyDescent="0.3">
      <c r="G86" s="2">
        <v>4</v>
      </c>
      <c r="H86" s="2" t="s">
        <v>2579</v>
      </c>
      <c r="I86" s="2" t="s">
        <v>511</v>
      </c>
      <c r="J86" s="2" t="s">
        <v>268</v>
      </c>
      <c r="K86" s="2" t="e">
        <f t="shared" si="48"/>
        <v>#REF!</v>
      </c>
      <c r="L86" s="2">
        <f t="shared" si="68"/>
        <v>0.50000000000000044</v>
      </c>
      <c r="M86" s="2">
        <f t="shared" si="51"/>
        <v>3.9623576027736501E-3</v>
      </c>
      <c r="N86" s="2">
        <v>10</v>
      </c>
      <c r="O86" s="2" t="e">
        <f>N86*#REF!</f>
        <v>#REF!</v>
      </c>
      <c r="P86" s="2">
        <v>3</v>
      </c>
      <c r="Q86" s="2" t="e">
        <f t="shared" si="80"/>
        <v>#REF!</v>
      </c>
      <c r="R86" s="2">
        <v>12</v>
      </c>
      <c r="S86" s="2" t="e">
        <f t="shared" si="81"/>
        <v>#REF!</v>
      </c>
      <c r="T86" s="2" t="e">
        <f t="shared" si="82"/>
        <v>#REF!</v>
      </c>
      <c r="U86" s="2">
        <v>60</v>
      </c>
      <c r="V86" s="2">
        <f t="shared" si="83"/>
        <v>30.000000000000028</v>
      </c>
      <c r="W86" s="2" t="e">
        <f t="shared" si="84"/>
        <v>#REF!</v>
      </c>
      <c r="X86" s="2">
        <v>20000</v>
      </c>
      <c r="Y86" s="2" t="e">
        <f t="shared" si="57"/>
        <v>#REF!</v>
      </c>
      <c r="Z86" s="2" t="e">
        <f t="shared" si="58"/>
        <v>#REF!</v>
      </c>
      <c r="AA86" s="2" t="e">
        <f t="shared" si="49"/>
        <v>#REF!</v>
      </c>
      <c r="AB86" s="2" t="e">
        <f t="shared" si="50"/>
        <v>#REF!</v>
      </c>
      <c r="AC86" s="2">
        <f t="shared" si="69"/>
        <v>24203</v>
      </c>
      <c r="AD86" s="2">
        <f t="shared" si="70"/>
        <v>111</v>
      </c>
      <c r="AE86" s="2">
        <f t="shared" si="59"/>
        <v>102</v>
      </c>
      <c r="AF86" s="2" t="str">
        <f t="shared" si="71"/>
        <v>chest_shard</v>
      </c>
      <c r="AG86" s="2" t="str">
        <f t="shared" si="72"/>
        <v>StoreDoubleKey_1</v>
      </c>
      <c r="AH86" s="2" t="str">
        <f t="shared" si="60"/>
        <v>StoreFund_3</v>
      </c>
      <c r="AI86" s="2" t="str">
        <f t="shared" si="21"/>
        <v>[24203,111,102]</v>
      </c>
      <c r="AJ86" s="2" t="str">
        <f t="shared" si="22"/>
        <v>[12,60,20000]</v>
      </c>
      <c r="AK86" s="2" t="str">
        <f t="shared" si="23"/>
        <v>[chest_shard,StoreDoubleKey_1,StoreFund_3]</v>
      </c>
      <c r="AL86" s="2" t="str">
        <f t="shared" si="24"/>
        <v>4+10+碎片礼包</v>
      </c>
      <c r="AM86" s="1" t="str">
        <f t="shared" si="73"/>
        <v>T2 Senior Shard</v>
      </c>
      <c r="AN86" s="1" t="str">
        <f t="shared" si="74"/>
        <v>DoubleKeys</v>
      </c>
      <c r="AO86" s="1" t="str">
        <f t="shared" si="61"/>
        <v>Funds</v>
      </c>
    </row>
    <row r="87" spans="2:41" x14ac:dyDescent="0.3">
      <c r="G87" s="2">
        <v>4</v>
      </c>
      <c r="H87" s="2" t="s">
        <v>2567</v>
      </c>
      <c r="I87" s="2" t="s">
        <v>578</v>
      </c>
      <c r="J87" s="2" t="s">
        <v>317</v>
      </c>
      <c r="K87" s="2" t="e">
        <f t="shared" ref="K87:K118" si="85">IFERROR(VLOOKUP(LEFT(H87,4),$B$40:$C$81,2,FALSE),VLOOKUP(H87,$B$40:$C$81,2,FALSE))</f>
        <v>#REF!</v>
      </c>
      <c r="L87" s="2">
        <f t="shared" si="68"/>
        <v>60</v>
      </c>
      <c r="M87" s="2">
        <f t="shared" si="51"/>
        <v>1</v>
      </c>
      <c r="N87" s="2">
        <v>20</v>
      </c>
      <c r="O87" s="2" t="e">
        <f>N87*#REF!</f>
        <v>#REF!</v>
      </c>
      <c r="P87" s="2">
        <v>3</v>
      </c>
      <c r="Q87" s="2" t="e">
        <f t="shared" si="80"/>
        <v>#REF!</v>
      </c>
      <c r="R87" s="2">
        <v>2</v>
      </c>
      <c r="S87" s="2" t="e">
        <f t="shared" si="81"/>
        <v>#REF!</v>
      </c>
      <c r="T87" s="2" t="e">
        <f t="shared" si="82"/>
        <v>#REF!</v>
      </c>
      <c r="U87" s="2">
        <v>10</v>
      </c>
      <c r="V87" s="2">
        <f t="shared" si="83"/>
        <v>600</v>
      </c>
      <c r="W87" s="2" t="e">
        <f t="shared" si="84"/>
        <v>#REF!</v>
      </c>
      <c r="X87" s="2">
        <v>5000</v>
      </c>
      <c r="Y87" s="2" t="e">
        <f t="shared" si="57"/>
        <v>#REF!</v>
      </c>
      <c r="Z87" s="2" t="e">
        <f t="shared" si="58"/>
        <v>#REF!</v>
      </c>
      <c r="AA87" s="2" t="e">
        <f t="shared" ref="AA87:AA118" si="86">R87*K87+U87*L87+X87*M87</f>
        <v>#REF!</v>
      </c>
      <c r="AB87" s="2" t="e">
        <f t="shared" ref="AB87:AB118" si="87">1-1/(AA87/O87)</f>
        <v>#REF!</v>
      </c>
      <c r="AC87" s="2">
        <f t="shared" si="69"/>
        <v>23204</v>
      </c>
      <c r="AD87" s="2">
        <f t="shared" si="70"/>
        <v>100302</v>
      </c>
      <c r="AE87" s="2">
        <f t="shared" si="59"/>
        <v>101</v>
      </c>
      <c r="AF87" s="2" t="str">
        <f t="shared" si="71"/>
        <v>chest_tankpart</v>
      </c>
      <c r="AG87" s="2" t="str">
        <f t="shared" si="72"/>
        <v>StoreQuikenItem_1</v>
      </c>
      <c r="AH87" s="2" t="str">
        <f t="shared" si="60"/>
        <v>StoreDiamond_1</v>
      </c>
      <c r="AI87" s="2" t="str">
        <f t="shared" si="21"/>
        <v>[23204,100302,101]</v>
      </c>
      <c r="AJ87" s="2" t="str">
        <f t="shared" si="22"/>
        <v>[2,10,5000]</v>
      </c>
      <c r="AK87" s="2" t="str">
        <f t="shared" si="23"/>
        <v>[chest_tankpart,StoreQuikenItem_1,StoreDiamond_1]</v>
      </c>
      <c r="AL87" s="2" t="str">
        <f t="shared" si="24"/>
        <v>4+20+部件礼包</v>
      </c>
      <c r="AM87" s="1" t="str">
        <f t="shared" si="73"/>
        <v>T2 Component</v>
      </c>
      <c r="AN87" s="1" t="str">
        <f t="shared" si="74"/>
        <v>1H_X3_Accelerater</v>
      </c>
      <c r="AO87" s="1" t="str">
        <f t="shared" si="61"/>
        <v>Diamond</v>
      </c>
    </row>
    <row r="88" spans="2:41" x14ac:dyDescent="0.3">
      <c r="G88" s="2">
        <v>4</v>
      </c>
      <c r="H88" s="2" t="s">
        <v>2579</v>
      </c>
      <c r="I88" s="2" t="s">
        <v>511</v>
      </c>
      <c r="J88" s="2" t="s">
        <v>268</v>
      </c>
      <c r="K88" s="2" t="e">
        <f t="shared" si="85"/>
        <v>#REF!</v>
      </c>
      <c r="L88" s="2">
        <f t="shared" si="68"/>
        <v>0.50000000000000044</v>
      </c>
      <c r="M88" s="2">
        <f t="shared" si="51"/>
        <v>3.9623576027736501E-3</v>
      </c>
      <c r="N88" s="2">
        <v>20</v>
      </c>
      <c r="O88" s="2" t="e">
        <f>N88*#REF!</f>
        <v>#REF!</v>
      </c>
      <c r="P88" s="2">
        <v>3</v>
      </c>
      <c r="Q88" s="2" t="e">
        <f t="shared" si="80"/>
        <v>#REF!</v>
      </c>
      <c r="R88" s="2">
        <v>24</v>
      </c>
      <c r="S88" s="2" t="e">
        <f t="shared" si="81"/>
        <v>#REF!</v>
      </c>
      <c r="T88" s="2" t="e">
        <f t="shared" si="82"/>
        <v>#REF!</v>
      </c>
      <c r="U88" s="2">
        <v>80</v>
      </c>
      <c r="V88" s="2">
        <f t="shared" si="83"/>
        <v>40.000000000000036</v>
      </c>
      <c r="W88" s="2" t="e">
        <f t="shared" si="84"/>
        <v>#REF!</v>
      </c>
      <c r="X88" s="2">
        <v>50000</v>
      </c>
      <c r="Y88" s="2" t="e">
        <f t="shared" si="57"/>
        <v>#REF!</v>
      </c>
      <c r="Z88" s="2" t="e">
        <f t="shared" si="58"/>
        <v>#REF!</v>
      </c>
      <c r="AA88" s="2" t="e">
        <f t="shared" si="86"/>
        <v>#REF!</v>
      </c>
      <c r="AB88" s="2" t="e">
        <f t="shared" si="87"/>
        <v>#REF!</v>
      </c>
      <c r="AC88" s="2">
        <f t="shared" si="69"/>
        <v>24203</v>
      </c>
      <c r="AD88" s="2">
        <f t="shared" si="70"/>
        <v>111</v>
      </c>
      <c r="AE88" s="2">
        <f t="shared" si="59"/>
        <v>102</v>
      </c>
      <c r="AF88" s="2" t="str">
        <f t="shared" si="71"/>
        <v>chest_shard</v>
      </c>
      <c r="AG88" s="2" t="str">
        <f t="shared" si="72"/>
        <v>StoreDoubleKey_1</v>
      </c>
      <c r="AH88" s="2" t="str">
        <f t="shared" si="60"/>
        <v>StoreFund_3</v>
      </c>
      <c r="AI88" s="2" t="str">
        <f t="shared" ref="AI88:AI151" si="88">"["&amp;AC88&amp;","&amp;AD88&amp;","&amp;AE88&amp;"]"</f>
        <v>[24203,111,102]</v>
      </c>
      <c r="AJ88" s="2" t="str">
        <f t="shared" ref="AJ88:AJ151" si="89">"["&amp;R88&amp;","&amp;U88&amp;","&amp;X88&amp;"]"</f>
        <v>[24,80,50000]</v>
      </c>
      <c r="AK88" s="2" t="str">
        <f t="shared" ref="AK88:AK151" si="90">"["&amp;AF88&amp;","&amp;AG88&amp;","&amp;AH88&amp;"]"</f>
        <v>[chest_shard,StoreDoubleKey_1,StoreFund_3]</v>
      </c>
      <c r="AL88" s="2" t="str">
        <f t="shared" ref="AL88:AL151" si="91">G88&amp;"+"&amp;N88&amp;"+"&amp;LEFT(H88,4)</f>
        <v>4+20+碎片礼包</v>
      </c>
      <c r="AM88" s="1" t="str">
        <f t="shared" si="73"/>
        <v>T2 Senior Shard</v>
      </c>
      <c r="AN88" s="1" t="str">
        <f t="shared" si="74"/>
        <v>DoubleKeys</v>
      </c>
      <c r="AO88" s="1" t="str">
        <f t="shared" si="61"/>
        <v>Funds</v>
      </c>
    </row>
    <row r="89" spans="2:41" x14ac:dyDescent="0.3">
      <c r="G89" s="2">
        <v>4</v>
      </c>
      <c r="H89" s="2" t="s">
        <v>2567</v>
      </c>
      <c r="I89" s="2" t="s">
        <v>578</v>
      </c>
      <c r="J89" s="2" t="s">
        <v>317</v>
      </c>
      <c r="K89" s="2" t="e">
        <f t="shared" si="85"/>
        <v>#REF!</v>
      </c>
      <c r="L89" s="2">
        <f t="shared" si="68"/>
        <v>60</v>
      </c>
      <c r="M89" s="2">
        <f t="shared" si="51"/>
        <v>1</v>
      </c>
      <c r="N89" s="2">
        <v>5</v>
      </c>
      <c r="O89" s="2" t="e">
        <f>N89*#REF!</f>
        <v>#REF!</v>
      </c>
      <c r="P89" s="2">
        <v>2</v>
      </c>
      <c r="Q89" s="2" t="e">
        <f t="shared" si="80"/>
        <v>#REF!</v>
      </c>
      <c r="R89" s="2">
        <v>1</v>
      </c>
      <c r="S89" s="2" t="e">
        <f t="shared" si="81"/>
        <v>#REF!</v>
      </c>
      <c r="T89" s="2" t="e">
        <f t="shared" si="82"/>
        <v>#REF!</v>
      </c>
      <c r="U89" s="2">
        <v>5</v>
      </c>
      <c r="V89" s="2">
        <f t="shared" si="83"/>
        <v>300</v>
      </c>
      <c r="W89" s="2" t="e">
        <f t="shared" si="84"/>
        <v>#REF!</v>
      </c>
      <c r="X89" s="2">
        <v>500</v>
      </c>
      <c r="Y89" s="2" t="e">
        <f t="shared" si="57"/>
        <v>#REF!</v>
      </c>
      <c r="Z89" s="2" t="e">
        <f t="shared" si="58"/>
        <v>#REF!</v>
      </c>
      <c r="AA89" s="2" t="e">
        <f t="shared" si="86"/>
        <v>#REF!</v>
      </c>
      <c r="AB89" s="2" t="e">
        <f t="shared" si="87"/>
        <v>#REF!</v>
      </c>
      <c r="AC89" s="2">
        <f t="shared" si="69"/>
        <v>23204</v>
      </c>
      <c r="AD89" s="2">
        <f t="shared" si="70"/>
        <v>100302</v>
      </c>
      <c r="AE89" s="2">
        <f t="shared" si="59"/>
        <v>101</v>
      </c>
      <c r="AF89" s="2" t="str">
        <f t="shared" si="71"/>
        <v>chest_tankpart</v>
      </c>
      <c r="AG89" s="2" t="str">
        <f t="shared" si="72"/>
        <v>StoreQuikenItem_1</v>
      </c>
      <c r="AH89" s="2" t="str">
        <f t="shared" si="60"/>
        <v>StoreDiamond_1</v>
      </c>
      <c r="AI89" s="2" t="str">
        <f t="shared" si="88"/>
        <v>[23204,100302,101]</v>
      </c>
      <c r="AJ89" s="2" t="str">
        <f t="shared" si="89"/>
        <v>[1,5,500]</v>
      </c>
      <c r="AK89" s="2" t="str">
        <f t="shared" si="90"/>
        <v>[chest_tankpart,StoreQuikenItem_1,StoreDiamond_1]</v>
      </c>
      <c r="AL89" s="2" t="str">
        <f t="shared" si="91"/>
        <v>4+5+部件礼包</v>
      </c>
      <c r="AM89" s="1" t="str">
        <f t="shared" si="73"/>
        <v>T2 Component</v>
      </c>
      <c r="AN89" s="1" t="str">
        <f t="shared" si="74"/>
        <v>1H_X3_Accelerater</v>
      </c>
      <c r="AO89" s="1" t="str">
        <f t="shared" si="61"/>
        <v>Diamond</v>
      </c>
    </row>
    <row r="90" spans="2:41" x14ac:dyDescent="0.3">
      <c r="G90" s="2">
        <v>4</v>
      </c>
      <c r="H90" s="2" t="s">
        <v>2579</v>
      </c>
      <c r="I90" s="2" t="s">
        <v>511</v>
      </c>
      <c r="J90" s="2" t="s">
        <v>268</v>
      </c>
      <c r="K90" s="2" t="e">
        <f t="shared" si="85"/>
        <v>#REF!</v>
      </c>
      <c r="L90" s="2">
        <f t="shared" si="68"/>
        <v>0.50000000000000044</v>
      </c>
      <c r="M90" s="2">
        <f t="shared" si="51"/>
        <v>3.9623576027736501E-3</v>
      </c>
      <c r="N90" s="2">
        <v>5</v>
      </c>
      <c r="O90" s="2" t="e">
        <f>N90*#REF!</f>
        <v>#REF!</v>
      </c>
      <c r="P90" s="2">
        <v>2</v>
      </c>
      <c r="Q90" s="2" t="e">
        <f t="shared" si="80"/>
        <v>#REF!</v>
      </c>
      <c r="R90" s="2">
        <v>3</v>
      </c>
      <c r="S90" s="2" t="e">
        <f t="shared" si="81"/>
        <v>#REF!</v>
      </c>
      <c r="T90" s="2" t="e">
        <f t="shared" si="82"/>
        <v>#REF!</v>
      </c>
      <c r="U90" s="2">
        <v>50</v>
      </c>
      <c r="V90" s="2">
        <f t="shared" si="83"/>
        <v>25.000000000000021</v>
      </c>
      <c r="W90" s="2" t="e">
        <f t="shared" si="84"/>
        <v>#REF!</v>
      </c>
      <c r="X90" s="2">
        <v>60000</v>
      </c>
      <c r="Y90" s="2" t="e">
        <f t="shared" si="57"/>
        <v>#REF!</v>
      </c>
      <c r="Z90" s="2" t="e">
        <f t="shared" si="58"/>
        <v>#REF!</v>
      </c>
      <c r="AA90" s="2" t="e">
        <f t="shared" si="86"/>
        <v>#REF!</v>
      </c>
      <c r="AB90" s="2" t="e">
        <f t="shared" si="87"/>
        <v>#REF!</v>
      </c>
      <c r="AC90" s="2">
        <f t="shared" si="69"/>
        <v>24203</v>
      </c>
      <c r="AD90" s="2">
        <f t="shared" si="70"/>
        <v>111</v>
      </c>
      <c r="AE90" s="2">
        <f t="shared" si="59"/>
        <v>102</v>
      </c>
      <c r="AF90" s="2" t="str">
        <f t="shared" si="71"/>
        <v>chest_shard</v>
      </c>
      <c r="AG90" s="2" t="str">
        <f t="shared" si="72"/>
        <v>StoreDoubleKey_1</v>
      </c>
      <c r="AH90" s="2" t="str">
        <f t="shared" si="60"/>
        <v>StoreFund_3</v>
      </c>
      <c r="AI90" s="2" t="str">
        <f t="shared" si="88"/>
        <v>[24203,111,102]</v>
      </c>
      <c r="AJ90" s="2" t="str">
        <f t="shared" si="89"/>
        <v>[3,50,60000]</v>
      </c>
      <c r="AK90" s="2" t="str">
        <f t="shared" si="90"/>
        <v>[chest_shard,StoreDoubleKey_1,StoreFund_3]</v>
      </c>
      <c r="AL90" s="2" t="str">
        <f t="shared" si="91"/>
        <v>4+5+碎片礼包</v>
      </c>
      <c r="AM90" s="1" t="str">
        <f t="shared" si="73"/>
        <v>T2 Senior Shard</v>
      </c>
      <c r="AN90" s="1" t="str">
        <f t="shared" si="74"/>
        <v>DoubleKeys</v>
      </c>
      <c r="AO90" s="1" t="str">
        <f t="shared" si="61"/>
        <v>Funds</v>
      </c>
    </row>
    <row r="91" spans="2:41" x14ac:dyDescent="0.3">
      <c r="G91" s="2">
        <v>4</v>
      </c>
      <c r="H91" s="2" t="s">
        <v>2567</v>
      </c>
      <c r="I91" s="2" t="s">
        <v>578</v>
      </c>
      <c r="J91" s="2" t="s">
        <v>317</v>
      </c>
      <c r="K91" s="2" t="e">
        <f t="shared" si="85"/>
        <v>#REF!</v>
      </c>
      <c r="L91" s="2">
        <f t="shared" si="68"/>
        <v>60</v>
      </c>
      <c r="M91" s="2">
        <f t="shared" ref="M91:M122" si="92">VLOOKUP(J91,$B$40:$C$81,2,FALSE)</f>
        <v>1</v>
      </c>
      <c r="N91" s="2">
        <v>10</v>
      </c>
      <c r="O91" s="2" t="e">
        <f>N91*#REF!</f>
        <v>#REF!</v>
      </c>
      <c r="P91" s="2">
        <v>2</v>
      </c>
      <c r="Q91" s="2" t="e">
        <f t="shared" si="80"/>
        <v>#REF!</v>
      </c>
      <c r="R91" s="2">
        <v>3</v>
      </c>
      <c r="S91" s="2" t="e">
        <f t="shared" si="81"/>
        <v>#REF!</v>
      </c>
      <c r="T91" s="2" t="e">
        <f t="shared" si="82"/>
        <v>#REF!</v>
      </c>
      <c r="U91" s="2">
        <v>5</v>
      </c>
      <c r="V91" s="2">
        <f t="shared" si="83"/>
        <v>300</v>
      </c>
      <c r="W91" s="2" t="e">
        <f t="shared" si="84"/>
        <v>#REF!</v>
      </c>
      <c r="X91" s="2">
        <v>1100</v>
      </c>
      <c r="Y91" s="2" t="e">
        <f t="shared" ref="Y91:Y122" si="93">Z91*Q91</f>
        <v>#REF!</v>
      </c>
      <c r="Z91" s="2" t="e">
        <f t="shared" ref="Z91:Z122" si="94">1-T91-W91</f>
        <v>#REF!</v>
      </c>
      <c r="AA91" s="2" t="e">
        <f t="shared" si="86"/>
        <v>#REF!</v>
      </c>
      <c r="AB91" s="2" t="e">
        <f t="shared" si="87"/>
        <v>#REF!</v>
      </c>
      <c r="AC91" s="2">
        <f t="shared" si="69"/>
        <v>23204</v>
      </c>
      <c r="AD91" s="2">
        <f t="shared" si="70"/>
        <v>100302</v>
      </c>
      <c r="AE91" s="2">
        <f t="shared" ref="AE91:AE122" si="95">VLOOKUP(J91,道具ID,2,FALSE)</f>
        <v>101</v>
      </c>
      <c r="AF91" s="2" t="str">
        <f t="shared" si="71"/>
        <v>chest_tankpart</v>
      </c>
      <c r="AG91" s="2" t="str">
        <f t="shared" si="72"/>
        <v>StoreQuikenItem_1</v>
      </c>
      <c r="AH91" s="2" t="str">
        <f t="shared" ref="AH91:AH122" si="96">VLOOKUP(J91,道具ID,3,FALSE)</f>
        <v>StoreDiamond_1</v>
      </c>
      <c r="AI91" s="2" t="str">
        <f t="shared" si="88"/>
        <v>[23204,100302,101]</v>
      </c>
      <c r="AJ91" s="2" t="str">
        <f t="shared" si="89"/>
        <v>[3,5,1100]</v>
      </c>
      <c r="AK91" s="2" t="str">
        <f t="shared" si="90"/>
        <v>[chest_tankpart,StoreQuikenItem_1,StoreDiamond_1]</v>
      </c>
      <c r="AL91" s="2" t="str">
        <f t="shared" si="91"/>
        <v>4+10+部件礼包</v>
      </c>
      <c r="AM91" s="1" t="str">
        <f t="shared" si="73"/>
        <v>T2 Component</v>
      </c>
      <c r="AN91" s="1" t="str">
        <f t="shared" si="74"/>
        <v>1H_X3_Accelerater</v>
      </c>
      <c r="AO91" s="1" t="str">
        <f t="shared" ref="AO91:AO122" si="97">VLOOKUP(J91,道具ID,4,FALSE)</f>
        <v>Diamond</v>
      </c>
    </row>
    <row r="92" spans="2:41" x14ac:dyDescent="0.3">
      <c r="G92" s="2">
        <v>4</v>
      </c>
      <c r="H92" s="2" t="s">
        <v>2579</v>
      </c>
      <c r="I92" s="2" t="s">
        <v>511</v>
      </c>
      <c r="J92" s="2" t="s">
        <v>268</v>
      </c>
      <c r="K92" s="2" t="e">
        <f t="shared" si="85"/>
        <v>#REF!</v>
      </c>
      <c r="L92" s="2">
        <f t="shared" si="68"/>
        <v>0.50000000000000044</v>
      </c>
      <c r="M92" s="2">
        <f t="shared" si="92"/>
        <v>3.9623576027736501E-3</v>
      </c>
      <c r="N92" s="2">
        <v>10</v>
      </c>
      <c r="O92" s="2" t="e">
        <f>N92*#REF!</f>
        <v>#REF!</v>
      </c>
      <c r="P92" s="2">
        <v>2</v>
      </c>
      <c r="Q92" s="2" t="e">
        <f t="shared" si="80"/>
        <v>#REF!</v>
      </c>
      <c r="R92" s="2">
        <v>8</v>
      </c>
      <c r="S92" s="2" t="e">
        <f t="shared" si="81"/>
        <v>#REF!</v>
      </c>
      <c r="T92" s="2" t="e">
        <f t="shared" si="82"/>
        <v>#REF!</v>
      </c>
      <c r="U92" s="2">
        <v>50</v>
      </c>
      <c r="V92" s="2">
        <f t="shared" si="83"/>
        <v>25.000000000000021</v>
      </c>
      <c r="W92" s="2" t="e">
        <f t="shared" si="84"/>
        <v>#REF!</v>
      </c>
      <c r="X92" s="2">
        <v>10000</v>
      </c>
      <c r="Y92" s="2" t="e">
        <f t="shared" si="93"/>
        <v>#REF!</v>
      </c>
      <c r="Z92" s="2" t="e">
        <f t="shared" si="94"/>
        <v>#REF!</v>
      </c>
      <c r="AA92" s="2" t="e">
        <f t="shared" si="86"/>
        <v>#REF!</v>
      </c>
      <c r="AB92" s="2" t="e">
        <f t="shared" si="87"/>
        <v>#REF!</v>
      </c>
      <c r="AC92" s="2">
        <f t="shared" si="69"/>
        <v>24203</v>
      </c>
      <c r="AD92" s="2">
        <f t="shared" si="70"/>
        <v>111</v>
      </c>
      <c r="AE92" s="2">
        <f t="shared" si="95"/>
        <v>102</v>
      </c>
      <c r="AF92" s="2" t="str">
        <f t="shared" si="71"/>
        <v>chest_shard</v>
      </c>
      <c r="AG92" s="2" t="str">
        <f t="shared" si="72"/>
        <v>StoreDoubleKey_1</v>
      </c>
      <c r="AH92" s="2" t="str">
        <f t="shared" si="96"/>
        <v>StoreFund_3</v>
      </c>
      <c r="AI92" s="2" t="str">
        <f t="shared" si="88"/>
        <v>[24203,111,102]</v>
      </c>
      <c r="AJ92" s="2" t="str">
        <f t="shared" si="89"/>
        <v>[8,50,10000]</v>
      </c>
      <c r="AK92" s="2" t="str">
        <f t="shared" si="90"/>
        <v>[chest_shard,StoreDoubleKey_1,StoreFund_3]</v>
      </c>
      <c r="AL92" s="2" t="str">
        <f t="shared" si="91"/>
        <v>4+10+碎片礼包</v>
      </c>
      <c r="AM92" s="1" t="str">
        <f t="shared" si="73"/>
        <v>T2 Senior Shard</v>
      </c>
      <c r="AN92" s="1" t="str">
        <f t="shared" si="74"/>
        <v>DoubleKeys</v>
      </c>
      <c r="AO92" s="1" t="str">
        <f t="shared" si="97"/>
        <v>Funds</v>
      </c>
    </row>
    <row r="93" spans="2:41" x14ac:dyDescent="0.3">
      <c r="G93" s="2">
        <v>4</v>
      </c>
      <c r="H93" s="2" t="s">
        <v>2567</v>
      </c>
      <c r="I93" s="2" t="s">
        <v>578</v>
      </c>
      <c r="J93" s="2" t="s">
        <v>317</v>
      </c>
      <c r="K93" s="2" t="e">
        <f t="shared" si="85"/>
        <v>#REF!</v>
      </c>
      <c r="L93" s="2">
        <f t="shared" si="68"/>
        <v>60</v>
      </c>
      <c r="M93" s="2">
        <f t="shared" si="92"/>
        <v>1</v>
      </c>
      <c r="N93" s="2">
        <v>20</v>
      </c>
      <c r="O93" s="2" t="e">
        <f>N93*#REF!</f>
        <v>#REF!</v>
      </c>
      <c r="P93" s="2">
        <v>2</v>
      </c>
      <c r="Q93" s="2" t="e">
        <f t="shared" si="80"/>
        <v>#REF!</v>
      </c>
      <c r="R93" s="2">
        <v>3</v>
      </c>
      <c r="S93" s="2" t="e">
        <f t="shared" si="81"/>
        <v>#REF!</v>
      </c>
      <c r="T93" s="2" t="e">
        <f t="shared" si="82"/>
        <v>#REF!</v>
      </c>
      <c r="U93" s="2">
        <v>10</v>
      </c>
      <c r="V93" s="2">
        <f t="shared" si="83"/>
        <v>600</v>
      </c>
      <c r="W93" s="2" t="e">
        <f t="shared" si="84"/>
        <v>#REF!</v>
      </c>
      <c r="X93" s="2">
        <v>2800</v>
      </c>
      <c r="Y93" s="2" t="e">
        <f t="shared" si="93"/>
        <v>#REF!</v>
      </c>
      <c r="Z93" s="2" t="e">
        <f t="shared" si="94"/>
        <v>#REF!</v>
      </c>
      <c r="AA93" s="2" t="e">
        <f t="shared" si="86"/>
        <v>#REF!</v>
      </c>
      <c r="AB93" s="2" t="e">
        <f t="shared" si="87"/>
        <v>#REF!</v>
      </c>
      <c r="AC93" s="2">
        <f t="shared" si="69"/>
        <v>23204</v>
      </c>
      <c r="AD93" s="2">
        <f t="shared" si="70"/>
        <v>100302</v>
      </c>
      <c r="AE93" s="2">
        <f t="shared" si="95"/>
        <v>101</v>
      </c>
      <c r="AF93" s="2" t="str">
        <f t="shared" si="71"/>
        <v>chest_tankpart</v>
      </c>
      <c r="AG93" s="2" t="str">
        <f t="shared" si="72"/>
        <v>StoreQuikenItem_1</v>
      </c>
      <c r="AH93" s="2" t="str">
        <f t="shared" si="96"/>
        <v>StoreDiamond_1</v>
      </c>
      <c r="AI93" s="2" t="str">
        <f t="shared" si="88"/>
        <v>[23204,100302,101]</v>
      </c>
      <c r="AJ93" s="2" t="str">
        <f t="shared" si="89"/>
        <v>[3,10,2800]</v>
      </c>
      <c r="AK93" s="2" t="str">
        <f t="shared" si="90"/>
        <v>[chest_tankpart,StoreQuikenItem_1,StoreDiamond_1]</v>
      </c>
      <c r="AL93" s="2" t="str">
        <f t="shared" si="91"/>
        <v>4+20+部件礼包</v>
      </c>
      <c r="AM93" s="1" t="str">
        <f t="shared" si="73"/>
        <v>T2 Component</v>
      </c>
      <c r="AN93" s="1" t="str">
        <f t="shared" si="74"/>
        <v>1H_X3_Accelerater</v>
      </c>
      <c r="AO93" s="1" t="str">
        <f t="shared" si="97"/>
        <v>Diamond</v>
      </c>
    </row>
    <row r="94" spans="2:41" x14ac:dyDescent="0.3">
      <c r="G94" s="2">
        <v>4</v>
      </c>
      <c r="H94" s="2" t="s">
        <v>2579</v>
      </c>
      <c r="I94" s="2" t="s">
        <v>511</v>
      </c>
      <c r="J94" s="2" t="s">
        <v>268</v>
      </c>
      <c r="K94" s="2" t="e">
        <f t="shared" si="85"/>
        <v>#REF!</v>
      </c>
      <c r="L94" s="2">
        <f t="shared" si="68"/>
        <v>0.50000000000000044</v>
      </c>
      <c r="M94" s="2">
        <f t="shared" si="92"/>
        <v>3.9623576027736501E-3</v>
      </c>
      <c r="N94" s="2">
        <v>20</v>
      </c>
      <c r="O94" s="2" t="e">
        <f>N94*#REF!</f>
        <v>#REF!</v>
      </c>
      <c r="P94" s="2">
        <v>2</v>
      </c>
      <c r="Q94" s="2" t="e">
        <f t="shared" si="80"/>
        <v>#REF!</v>
      </c>
      <c r="R94" s="2">
        <v>15</v>
      </c>
      <c r="S94" s="2" t="e">
        <f t="shared" si="81"/>
        <v>#REF!</v>
      </c>
      <c r="T94" s="2" t="e">
        <f t="shared" si="82"/>
        <v>#REF!</v>
      </c>
      <c r="U94" s="2">
        <v>50</v>
      </c>
      <c r="V94" s="2">
        <f t="shared" si="83"/>
        <v>25.000000000000021</v>
      </c>
      <c r="W94" s="2" t="e">
        <f t="shared" si="84"/>
        <v>#REF!</v>
      </c>
      <c r="X94" s="2">
        <v>90000</v>
      </c>
      <c r="Y94" s="2" t="e">
        <f t="shared" si="93"/>
        <v>#REF!</v>
      </c>
      <c r="Z94" s="2" t="e">
        <f t="shared" si="94"/>
        <v>#REF!</v>
      </c>
      <c r="AA94" s="2" t="e">
        <f t="shared" si="86"/>
        <v>#REF!</v>
      </c>
      <c r="AB94" s="2" t="e">
        <f t="shared" si="87"/>
        <v>#REF!</v>
      </c>
      <c r="AC94" s="2">
        <f t="shared" si="69"/>
        <v>24203</v>
      </c>
      <c r="AD94" s="2">
        <f t="shared" si="70"/>
        <v>111</v>
      </c>
      <c r="AE94" s="2">
        <f t="shared" si="95"/>
        <v>102</v>
      </c>
      <c r="AF94" s="2" t="str">
        <f t="shared" si="71"/>
        <v>chest_shard</v>
      </c>
      <c r="AG94" s="2" t="str">
        <f t="shared" si="72"/>
        <v>StoreDoubleKey_1</v>
      </c>
      <c r="AH94" s="2" t="str">
        <f t="shared" si="96"/>
        <v>StoreFund_3</v>
      </c>
      <c r="AI94" s="2" t="str">
        <f t="shared" si="88"/>
        <v>[24203,111,102]</v>
      </c>
      <c r="AJ94" s="2" t="str">
        <f t="shared" si="89"/>
        <v>[15,50,90000]</v>
      </c>
      <c r="AK94" s="2" t="str">
        <f t="shared" si="90"/>
        <v>[chest_shard,StoreDoubleKey_1,StoreFund_3]</v>
      </c>
      <c r="AL94" s="2" t="str">
        <f t="shared" si="91"/>
        <v>4+20+碎片礼包</v>
      </c>
      <c r="AM94" s="1" t="str">
        <f t="shared" si="73"/>
        <v>T2 Senior Shard</v>
      </c>
      <c r="AN94" s="1" t="str">
        <f t="shared" si="74"/>
        <v>DoubleKeys</v>
      </c>
      <c r="AO94" s="1" t="str">
        <f t="shared" si="97"/>
        <v>Funds</v>
      </c>
    </row>
    <row r="95" spans="2:41" x14ac:dyDescent="0.3">
      <c r="G95" s="2">
        <v>5</v>
      </c>
      <c r="H95" s="2" t="s">
        <v>2569</v>
      </c>
      <c r="I95" s="2" t="s">
        <v>578</v>
      </c>
      <c r="J95" s="2" t="s">
        <v>317</v>
      </c>
      <c r="K95" s="2" t="e">
        <f t="shared" si="85"/>
        <v>#REF!</v>
      </c>
      <c r="L95" s="2">
        <f t="shared" si="68"/>
        <v>60</v>
      </c>
      <c r="M95" s="2">
        <f t="shared" si="92"/>
        <v>1</v>
      </c>
      <c r="N95" s="2">
        <v>5</v>
      </c>
      <c r="O95" s="2" t="e">
        <f>N95*#REF!</f>
        <v>#REF!</v>
      </c>
      <c r="P95" s="2">
        <v>2</v>
      </c>
      <c r="Q95" s="2" t="e">
        <f t="shared" ref="Q95:Q102" si="98">O95*P95</f>
        <v>#REF!</v>
      </c>
      <c r="R95" s="2">
        <v>1</v>
      </c>
      <c r="S95" s="2" t="e">
        <f t="shared" ref="S95:S102" si="99">R95*K95</f>
        <v>#REF!</v>
      </c>
      <c r="T95" s="2" t="e">
        <f t="shared" ref="T95:T102" si="100">S95/Q95</f>
        <v>#REF!</v>
      </c>
      <c r="U95" s="2">
        <v>10</v>
      </c>
      <c r="V95" s="2">
        <f t="shared" ref="V95:V102" si="101">U95*L95</f>
        <v>600</v>
      </c>
      <c r="W95" s="2" t="e">
        <f t="shared" ref="W95:W102" si="102">V95/Q95</f>
        <v>#REF!</v>
      </c>
      <c r="X95" s="2">
        <v>200</v>
      </c>
      <c r="Y95" s="2" t="e">
        <f t="shared" si="93"/>
        <v>#REF!</v>
      </c>
      <c r="Z95" s="2" t="e">
        <f t="shared" si="94"/>
        <v>#REF!</v>
      </c>
      <c r="AA95" s="2" t="e">
        <f t="shared" si="86"/>
        <v>#REF!</v>
      </c>
      <c r="AB95" s="2" t="e">
        <f t="shared" si="87"/>
        <v>#REF!</v>
      </c>
      <c r="AC95" s="2">
        <f t="shared" si="69"/>
        <v>23205</v>
      </c>
      <c r="AD95" s="2">
        <f t="shared" si="70"/>
        <v>100302</v>
      </c>
      <c r="AE95" s="2">
        <f t="shared" si="95"/>
        <v>101</v>
      </c>
      <c r="AF95" s="2" t="str">
        <f t="shared" si="71"/>
        <v>chest_tankpart</v>
      </c>
      <c r="AG95" s="2" t="str">
        <f t="shared" si="72"/>
        <v>StoreQuikenItem_1</v>
      </c>
      <c r="AH95" s="2" t="str">
        <f t="shared" si="96"/>
        <v>StoreDiamond_1</v>
      </c>
      <c r="AI95" s="2" t="str">
        <f t="shared" si="88"/>
        <v>[23205,100302,101]</v>
      </c>
      <c r="AJ95" s="2" t="str">
        <f t="shared" si="89"/>
        <v>[1,10,200]</v>
      </c>
      <c r="AK95" s="2" t="str">
        <f t="shared" si="90"/>
        <v>[chest_tankpart,StoreQuikenItem_1,StoreDiamond_1]</v>
      </c>
      <c r="AL95" s="2" t="str">
        <f t="shared" si="91"/>
        <v>5+5+部件礼包</v>
      </c>
      <c r="AM95" s="1" t="str">
        <f t="shared" si="73"/>
        <v>T2 Component</v>
      </c>
      <c r="AN95" s="1" t="str">
        <f t="shared" si="74"/>
        <v>1H_X3_Accelerater</v>
      </c>
      <c r="AO95" s="1" t="str">
        <f t="shared" si="97"/>
        <v>Diamond</v>
      </c>
    </row>
    <row r="96" spans="2:41" x14ac:dyDescent="0.3">
      <c r="G96" s="2">
        <v>5</v>
      </c>
      <c r="H96" s="2" t="s">
        <v>2581</v>
      </c>
      <c r="I96" s="2" t="s">
        <v>511</v>
      </c>
      <c r="J96" s="2" t="s">
        <v>268</v>
      </c>
      <c r="K96" s="2" t="e">
        <f t="shared" si="85"/>
        <v>#REF!</v>
      </c>
      <c r="L96" s="2">
        <f t="shared" si="68"/>
        <v>0.50000000000000044</v>
      </c>
      <c r="M96" s="2">
        <f t="shared" si="92"/>
        <v>3.9623576027736501E-3</v>
      </c>
      <c r="N96" s="2">
        <v>5</v>
      </c>
      <c r="O96" s="2" t="e">
        <f>N96*#REF!</f>
        <v>#REF!</v>
      </c>
      <c r="P96" s="2">
        <v>2</v>
      </c>
      <c r="Q96" s="2" t="e">
        <f t="shared" si="98"/>
        <v>#REF!</v>
      </c>
      <c r="R96" s="2">
        <v>4</v>
      </c>
      <c r="S96" s="2" t="e">
        <f t="shared" si="99"/>
        <v>#REF!</v>
      </c>
      <c r="T96" s="2" t="e">
        <f t="shared" si="100"/>
        <v>#REF!</v>
      </c>
      <c r="U96" s="2">
        <v>50</v>
      </c>
      <c r="V96" s="2">
        <f t="shared" si="101"/>
        <v>25.000000000000021</v>
      </c>
      <c r="W96" s="2" t="e">
        <f t="shared" si="102"/>
        <v>#REF!</v>
      </c>
      <c r="X96" s="2">
        <v>60000</v>
      </c>
      <c r="Y96" s="2" t="e">
        <f t="shared" si="93"/>
        <v>#REF!</v>
      </c>
      <c r="Z96" s="2" t="e">
        <f t="shared" si="94"/>
        <v>#REF!</v>
      </c>
      <c r="AA96" s="2" t="e">
        <f t="shared" si="86"/>
        <v>#REF!</v>
      </c>
      <c r="AB96" s="2" t="e">
        <f t="shared" si="87"/>
        <v>#REF!</v>
      </c>
      <c r="AC96" s="2">
        <f t="shared" si="69"/>
        <v>24204</v>
      </c>
      <c r="AD96" s="2">
        <f t="shared" si="70"/>
        <v>111</v>
      </c>
      <c r="AE96" s="2">
        <f t="shared" si="95"/>
        <v>102</v>
      </c>
      <c r="AF96" s="2" t="str">
        <f t="shared" si="71"/>
        <v>chest_shard</v>
      </c>
      <c r="AG96" s="2" t="str">
        <f t="shared" si="72"/>
        <v>StoreDoubleKey_1</v>
      </c>
      <c r="AH96" s="2" t="str">
        <f t="shared" si="96"/>
        <v>StoreFund_3</v>
      </c>
      <c r="AI96" s="2" t="str">
        <f t="shared" si="88"/>
        <v>[24204,111,102]</v>
      </c>
      <c r="AJ96" s="2" t="str">
        <f t="shared" si="89"/>
        <v>[4,50,60000]</v>
      </c>
      <c r="AK96" s="2" t="str">
        <f t="shared" si="90"/>
        <v>[chest_shard,StoreDoubleKey_1,StoreFund_3]</v>
      </c>
      <c r="AL96" s="2" t="str">
        <f t="shared" si="91"/>
        <v>5+5+碎片礼包</v>
      </c>
      <c r="AM96" s="1" t="str">
        <f t="shared" si="73"/>
        <v xml:space="preserve"> T3General Shard</v>
      </c>
      <c r="AN96" s="1" t="str">
        <f t="shared" si="74"/>
        <v>DoubleKeys</v>
      </c>
      <c r="AO96" s="1" t="str">
        <f t="shared" si="97"/>
        <v>Funds</v>
      </c>
    </row>
    <row r="97" spans="7:41" x14ac:dyDescent="0.3">
      <c r="G97" s="2">
        <v>5</v>
      </c>
      <c r="H97" s="2" t="s">
        <v>2569</v>
      </c>
      <c r="I97" s="2" t="s">
        <v>578</v>
      </c>
      <c r="J97" s="2" t="s">
        <v>317</v>
      </c>
      <c r="K97" s="2" t="e">
        <f t="shared" si="85"/>
        <v>#REF!</v>
      </c>
      <c r="L97" s="2">
        <f t="shared" si="68"/>
        <v>60</v>
      </c>
      <c r="M97" s="2">
        <f t="shared" si="92"/>
        <v>1</v>
      </c>
      <c r="N97" s="2">
        <v>10</v>
      </c>
      <c r="O97" s="2" t="e">
        <f>N97*#REF!</f>
        <v>#REF!</v>
      </c>
      <c r="P97" s="2">
        <v>2</v>
      </c>
      <c r="Q97" s="2" t="e">
        <f t="shared" si="98"/>
        <v>#REF!</v>
      </c>
      <c r="R97" s="2">
        <v>3</v>
      </c>
      <c r="S97" s="2" t="e">
        <f t="shared" si="99"/>
        <v>#REF!</v>
      </c>
      <c r="T97" s="2" t="e">
        <f t="shared" si="100"/>
        <v>#REF!</v>
      </c>
      <c r="U97" s="2">
        <v>15</v>
      </c>
      <c r="V97" s="2">
        <f t="shared" si="101"/>
        <v>900</v>
      </c>
      <c r="W97" s="2" t="e">
        <f t="shared" si="102"/>
        <v>#REF!</v>
      </c>
      <c r="X97" s="2">
        <v>500</v>
      </c>
      <c r="Y97" s="2" t="e">
        <f t="shared" si="93"/>
        <v>#REF!</v>
      </c>
      <c r="Z97" s="2" t="e">
        <f t="shared" si="94"/>
        <v>#REF!</v>
      </c>
      <c r="AA97" s="2" t="e">
        <f t="shared" si="86"/>
        <v>#REF!</v>
      </c>
      <c r="AB97" s="2" t="e">
        <f t="shared" si="87"/>
        <v>#REF!</v>
      </c>
      <c r="AC97" s="2">
        <f t="shared" si="69"/>
        <v>23205</v>
      </c>
      <c r="AD97" s="2">
        <f t="shared" si="70"/>
        <v>100302</v>
      </c>
      <c r="AE97" s="2">
        <f t="shared" si="95"/>
        <v>101</v>
      </c>
      <c r="AF97" s="2" t="str">
        <f t="shared" si="71"/>
        <v>chest_tankpart</v>
      </c>
      <c r="AG97" s="2" t="str">
        <f t="shared" si="72"/>
        <v>StoreQuikenItem_1</v>
      </c>
      <c r="AH97" s="2" t="str">
        <f t="shared" si="96"/>
        <v>StoreDiamond_1</v>
      </c>
      <c r="AI97" s="2" t="str">
        <f t="shared" si="88"/>
        <v>[23205,100302,101]</v>
      </c>
      <c r="AJ97" s="2" t="str">
        <f t="shared" si="89"/>
        <v>[3,15,500]</v>
      </c>
      <c r="AK97" s="2" t="str">
        <f t="shared" si="90"/>
        <v>[chest_tankpart,StoreQuikenItem_1,StoreDiamond_1]</v>
      </c>
      <c r="AL97" s="2" t="str">
        <f t="shared" si="91"/>
        <v>5+10+部件礼包</v>
      </c>
      <c r="AM97" s="1" t="str">
        <f t="shared" si="73"/>
        <v>T2 Component</v>
      </c>
      <c r="AN97" s="1" t="str">
        <f t="shared" si="74"/>
        <v>1H_X3_Accelerater</v>
      </c>
      <c r="AO97" s="1" t="str">
        <f t="shared" si="97"/>
        <v>Diamond</v>
      </c>
    </row>
    <row r="98" spans="7:41" x14ac:dyDescent="0.3">
      <c r="G98" s="2">
        <v>5</v>
      </c>
      <c r="H98" s="2" t="s">
        <v>2581</v>
      </c>
      <c r="I98" s="2" t="s">
        <v>511</v>
      </c>
      <c r="J98" s="2" t="s">
        <v>268</v>
      </c>
      <c r="K98" s="2" t="e">
        <f t="shared" si="85"/>
        <v>#REF!</v>
      </c>
      <c r="L98" s="2">
        <f t="shared" si="68"/>
        <v>0.50000000000000044</v>
      </c>
      <c r="M98" s="2">
        <f t="shared" si="92"/>
        <v>3.9623576027736501E-3</v>
      </c>
      <c r="N98" s="2">
        <v>10</v>
      </c>
      <c r="O98" s="2" t="e">
        <f>N98*#REF!</f>
        <v>#REF!</v>
      </c>
      <c r="P98" s="2">
        <v>2</v>
      </c>
      <c r="Q98" s="2" t="e">
        <f t="shared" si="98"/>
        <v>#REF!</v>
      </c>
      <c r="R98" s="2">
        <v>10</v>
      </c>
      <c r="S98" s="2" t="e">
        <f t="shared" si="99"/>
        <v>#REF!</v>
      </c>
      <c r="T98" s="2" t="e">
        <f t="shared" si="100"/>
        <v>#REF!</v>
      </c>
      <c r="U98" s="2">
        <v>50</v>
      </c>
      <c r="V98" s="2">
        <f t="shared" si="101"/>
        <v>25.000000000000021</v>
      </c>
      <c r="W98" s="2" t="e">
        <f t="shared" si="102"/>
        <v>#REF!</v>
      </c>
      <c r="X98" s="2">
        <v>40000</v>
      </c>
      <c r="Y98" s="2" t="e">
        <f t="shared" si="93"/>
        <v>#REF!</v>
      </c>
      <c r="Z98" s="2" t="e">
        <f t="shared" si="94"/>
        <v>#REF!</v>
      </c>
      <c r="AA98" s="2" t="e">
        <f t="shared" si="86"/>
        <v>#REF!</v>
      </c>
      <c r="AB98" s="2" t="e">
        <f t="shared" si="87"/>
        <v>#REF!</v>
      </c>
      <c r="AC98" s="2">
        <f t="shared" si="69"/>
        <v>24204</v>
      </c>
      <c r="AD98" s="2">
        <f t="shared" si="70"/>
        <v>111</v>
      </c>
      <c r="AE98" s="2">
        <f t="shared" si="95"/>
        <v>102</v>
      </c>
      <c r="AF98" s="2" t="str">
        <f t="shared" si="71"/>
        <v>chest_shard</v>
      </c>
      <c r="AG98" s="2" t="str">
        <f t="shared" si="72"/>
        <v>StoreDoubleKey_1</v>
      </c>
      <c r="AH98" s="2" t="str">
        <f t="shared" si="96"/>
        <v>StoreFund_3</v>
      </c>
      <c r="AI98" s="2" t="str">
        <f t="shared" si="88"/>
        <v>[24204,111,102]</v>
      </c>
      <c r="AJ98" s="2" t="str">
        <f t="shared" si="89"/>
        <v>[10,50,40000]</v>
      </c>
      <c r="AK98" s="2" t="str">
        <f t="shared" si="90"/>
        <v>[chest_shard,StoreDoubleKey_1,StoreFund_3]</v>
      </c>
      <c r="AL98" s="2" t="str">
        <f t="shared" si="91"/>
        <v>5+10+碎片礼包</v>
      </c>
      <c r="AM98" s="1" t="str">
        <f t="shared" si="73"/>
        <v xml:space="preserve"> T3General Shard</v>
      </c>
      <c r="AN98" s="1" t="str">
        <f t="shared" si="74"/>
        <v>DoubleKeys</v>
      </c>
      <c r="AO98" s="1" t="str">
        <f t="shared" si="97"/>
        <v>Funds</v>
      </c>
    </row>
    <row r="99" spans="7:41" x14ac:dyDescent="0.3">
      <c r="G99" s="2">
        <v>5</v>
      </c>
      <c r="H99" s="2" t="s">
        <v>2540</v>
      </c>
      <c r="I99" s="2" t="s">
        <v>578</v>
      </c>
      <c r="J99" s="2" t="s">
        <v>317</v>
      </c>
      <c r="K99" s="2" t="e">
        <f t="shared" si="85"/>
        <v>#N/A</v>
      </c>
      <c r="L99" s="2">
        <f t="shared" si="68"/>
        <v>60</v>
      </c>
      <c r="M99" s="2">
        <f t="shared" si="92"/>
        <v>1</v>
      </c>
      <c r="N99" s="2">
        <v>20</v>
      </c>
      <c r="O99" s="2" t="e">
        <f>N99*#REF!</f>
        <v>#REF!</v>
      </c>
      <c r="P99" s="2">
        <v>2</v>
      </c>
      <c r="Q99" s="2" t="e">
        <f t="shared" si="98"/>
        <v>#REF!</v>
      </c>
      <c r="R99" s="2">
        <v>1</v>
      </c>
      <c r="S99" s="2" t="e">
        <f t="shared" si="99"/>
        <v>#N/A</v>
      </c>
      <c r="T99" s="2" t="e">
        <f t="shared" si="100"/>
        <v>#N/A</v>
      </c>
      <c r="U99" s="2">
        <v>20</v>
      </c>
      <c r="V99" s="2">
        <f t="shared" si="101"/>
        <v>1200</v>
      </c>
      <c r="W99" s="2" t="e">
        <f t="shared" si="102"/>
        <v>#REF!</v>
      </c>
      <c r="X99" s="2">
        <v>800</v>
      </c>
      <c r="Y99" s="2" t="e">
        <f t="shared" si="93"/>
        <v>#N/A</v>
      </c>
      <c r="Z99" s="2" t="e">
        <f t="shared" si="94"/>
        <v>#N/A</v>
      </c>
      <c r="AA99" s="2" t="e">
        <f t="shared" si="86"/>
        <v>#N/A</v>
      </c>
      <c r="AB99" s="2" t="e">
        <f t="shared" si="87"/>
        <v>#N/A</v>
      </c>
      <c r="AC99" s="2">
        <f t="shared" si="69"/>
        <v>25555</v>
      </c>
      <c r="AD99" s="2">
        <f t="shared" si="70"/>
        <v>100302</v>
      </c>
      <c r="AE99" s="2">
        <f t="shared" si="95"/>
        <v>101</v>
      </c>
      <c r="AF99" s="2" t="str">
        <f>VLOOKUP(H99,道具ID,3,FALSE)</f>
        <v>chest_lv6_icon</v>
      </c>
      <c r="AG99" s="2" t="str">
        <f t="shared" si="72"/>
        <v>StoreQuikenItem_1</v>
      </c>
      <c r="AH99" s="2" t="str">
        <f t="shared" si="96"/>
        <v>StoreDiamond_1</v>
      </c>
      <c r="AI99" s="2" t="str">
        <f t="shared" si="88"/>
        <v>[25555,100302,101]</v>
      </c>
      <c r="AJ99" s="2" t="str">
        <f t="shared" si="89"/>
        <v>[1,20,800]</v>
      </c>
      <c r="AK99" s="2" t="str">
        <f t="shared" si="90"/>
        <v>[chest_lv6_icon,StoreQuikenItem_1,StoreDiamond_1]</v>
      </c>
      <c r="AL99" s="2" t="str">
        <f t="shared" si="91"/>
        <v>5+20+史诗自宝</v>
      </c>
      <c r="AM99" s="1" t="str">
        <f t="shared" si="73"/>
        <v>Rank 5 Epic Chest</v>
      </c>
      <c r="AN99" s="1" t="str">
        <f t="shared" si="74"/>
        <v>1H_X3_Accelerater</v>
      </c>
      <c r="AO99" s="1" t="str">
        <f t="shared" si="97"/>
        <v>Diamond</v>
      </c>
    </row>
    <row r="100" spans="7:41" x14ac:dyDescent="0.3">
      <c r="G100" s="2">
        <v>5</v>
      </c>
      <c r="H100" s="2" t="s">
        <v>2583</v>
      </c>
      <c r="I100" s="2" t="s">
        <v>511</v>
      </c>
      <c r="J100" s="2" t="s">
        <v>268</v>
      </c>
      <c r="K100" s="2" t="e">
        <f t="shared" si="85"/>
        <v>#REF!</v>
      </c>
      <c r="L100" s="2">
        <f t="shared" si="68"/>
        <v>0.50000000000000044</v>
      </c>
      <c r="M100" s="2">
        <f t="shared" si="92"/>
        <v>3.9623576027736501E-3</v>
      </c>
      <c r="N100" s="2">
        <v>20</v>
      </c>
      <c r="O100" s="2" t="e">
        <f>N100*#REF!</f>
        <v>#REF!</v>
      </c>
      <c r="P100" s="2">
        <v>2</v>
      </c>
      <c r="Q100" s="2" t="e">
        <f t="shared" si="98"/>
        <v>#REF!</v>
      </c>
      <c r="R100" s="2">
        <v>18</v>
      </c>
      <c r="S100" s="2" t="e">
        <f t="shared" si="99"/>
        <v>#REF!</v>
      </c>
      <c r="T100" s="2" t="e">
        <f t="shared" si="100"/>
        <v>#REF!</v>
      </c>
      <c r="U100" s="2">
        <v>50</v>
      </c>
      <c r="V100" s="2">
        <f t="shared" si="101"/>
        <v>25.000000000000021</v>
      </c>
      <c r="W100" s="2" t="e">
        <f t="shared" si="102"/>
        <v>#REF!</v>
      </c>
      <c r="X100" s="2">
        <v>50000</v>
      </c>
      <c r="Y100" s="2" t="e">
        <f t="shared" si="93"/>
        <v>#REF!</v>
      </c>
      <c r="Z100" s="2" t="e">
        <f t="shared" si="94"/>
        <v>#REF!</v>
      </c>
      <c r="AA100" s="2" t="e">
        <f t="shared" si="86"/>
        <v>#REF!</v>
      </c>
      <c r="AB100" s="2" t="e">
        <f t="shared" si="87"/>
        <v>#REF!</v>
      </c>
      <c r="AC100" s="2">
        <f t="shared" si="69"/>
        <v>24205</v>
      </c>
      <c r="AD100" s="2">
        <f t="shared" si="70"/>
        <v>111</v>
      </c>
      <c r="AE100" s="2">
        <f t="shared" si="95"/>
        <v>102</v>
      </c>
      <c r="AF100" s="2" t="str">
        <f t="shared" si="71"/>
        <v>chest_shard</v>
      </c>
      <c r="AG100" s="2" t="str">
        <f t="shared" si="72"/>
        <v>StoreDoubleKey_1</v>
      </c>
      <c r="AH100" s="2" t="str">
        <f t="shared" si="96"/>
        <v>StoreFund_3</v>
      </c>
      <c r="AI100" s="2" t="str">
        <f t="shared" si="88"/>
        <v>[24205,111,102]</v>
      </c>
      <c r="AJ100" s="2" t="str">
        <f t="shared" si="89"/>
        <v>[18,50,50000]</v>
      </c>
      <c r="AK100" s="2" t="str">
        <f t="shared" si="90"/>
        <v>[chest_shard,StoreDoubleKey_1,StoreFund_3]</v>
      </c>
      <c r="AL100" s="2" t="str">
        <f t="shared" si="91"/>
        <v>5+20+碎片礼包</v>
      </c>
      <c r="AM100" s="1" t="str">
        <f t="shared" si="73"/>
        <v>T3 Senior Shard</v>
      </c>
      <c r="AN100" s="1" t="str">
        <f t="shared" si="74"/>
        <v>DoubleKeys</v>
      </c>
      <c r="AO100" s="1" t="str">
        <f t="shared" si="97"/>
        <v>Funds</v>
      </c>
    </row>
    <row r="101" spans="7:41" x14ac:dyDescent="0.3">
      <c r="G101" s="2">
        <v>5</v>
      </c>
      <c r="H101" s="2" t="s">
        <v>2540</v>
      </c>
      <c r="I101" s="2" t="s">
        <v>578</v>
      </c>
      <c r="J101" s="2" t="s">
        <v>317</v>
      </c>
      <c r="K101" s="2" t="e">
        <f t="shared" si="85"/>
        <v>#N/A</v>
      </c>
      <c r="L101" s="2">
        <f t="shared" si="68"/>
        <v>60</v>
      </c>
      <c r="M101" s="2">
        <f t="shared" si="92"/>
        <v>1</v>
      </c>
      <c r="N101" s="2">
        <v>50</v>
      </c>
      <c r="O101" s="2" t="e">
        <f>N101*#REF!</f>
        <v>#REF!</v>
      </c>
      <c r="P101" s="2">
        <v>2</v>
      </c>
      <c r="Q101" s="2" t="e">
        <f t="shared" si="98"/>
        <v>#REF!</v>
      </c>
      <c r="R101" s="2">
        <v>1</v>
      </c>
      <c r="S101" s="2" t="e">
        <f t="shared" si="99"/>
        <v>#N/A</v>
      </c>
      <c r="T101" s="2" t="e">
        <f t="shared" si="100"/>
        <v>#N/A</v>
      </c>
      <c r="U101" s="2">
        <v>80</v>
      </c>
      <c r="V101" s="2">
        <f t="shared" si="101"/>
        <v>4800</v>
      </c>
      <c r="W101" s="2" t="e">
        <f t="shared" si="102"/>
        <v>#REF!</v>
      </c>
      <c r="X101" s="2">
        <v>3200</v>
      </c>
      <c r="Y101" s="2" t="e">
        <f t="shared" si="93"/>
        <v>#N/A</v>
      </c>
      <c r="Z101" s="2" t="e">
        <f t="shared" si="94"/>
        <v>#N/A</v>
      </c>
      <c r="AA101" s="2" t="e">
        <f t="shared" si="86"/>
        <v>#N/A</v>
      </c>
      <c r="AB101" s="2" t="e">
        <f t="shared" si="87"/>
        <v>#N/A</v>
      </c>
      <c r="AC101" s="2">
        <f t="shared" si="69"/>
        <v>25555</v>
      </c>
      <c r="AD101" s="2">
        <f t="shared" si="70"/>
        <v>100302</v>
      </c>
      <c r="AE101" s="2">
        <f t="shared" si="95"/>
        <v>101</v>
      </c>
      <c r="AF101" s="2" t="str">
        <f t="shared" si="71"/>
        <v>chest_lv6_icon</v>
      </c>
      <c r="AG101" s="2" t="str">
        <f t="shared" si="72"/>
        <v>StoreQuikenItem_1</v>
      </c>
      <c r="AH101" s="2" t="str">
        <f t="shared" si="96"/>
        <v>StoreDiamond_1</v>
      </c>
      <c r="AI101" s="2" t="str">
        <f t="shared" si="88"/>
        <v>[25555,100302,101]</v>
      </c>
      <c r="AJ101" s="2" t="str">
        <f t="shared" si="89"/>
        <v>[1,80,3200]</v>
      </c>
      <c r="AK101" s="2" t="str">
        <f t="shared" si="90"/>
        <v>[chest_lv6_icon,StoreQuikenItem_1,StoreDiamond_1]</v>
      </c>
      <c r="AL101" s="2" t="str">
        <f t="shared" si="91"/>
        <v>5+50+史诗自宝</v>
      </c>
      <c r="AM101" s="1" t="str">
        <f t="shared" si="73"/>
        <v>Rank 5 Epic Chest</v>
      </c>
      <c r="AN101" s="1" t="str">
        <f t="shared" si="74"/>
        <v>1H_X3_Accelerater</v>
      </c>
      <c r="AO101" s="1" t="str">
        <f t="shared" si="97"/>
        <v>Diamond</v>
      </c>
    </row>
    <row r="102" spans="7:41" x14ac:dyDescent="0.3">
      <c r="G102" s="2">
        <v>5</v>
      </c>
      <c r="H102" s="2" t="s">
        <v>2583</v>
      </c>
      <c r="I102" s="2" t="s">
        <v>511</v>
      </c>
      <c r="J102" s="2" t="s">
        <v>268</v>
      </c>
      <c r="K102" s="2" t="e">
        <f t="shared" si="85"/>
        <v>#REF!</v>
      </c>
      <c r="L102" s="2">
        <f t="shared" si="68"/>
        <v>0.50000000000000044</v>
      </c>
      <c r="M102" s="2">
        <f t="shared" si="92"/>
        <v>3.9623576027736501E-3</v>
      </c>
      <c r="N102" s="2">
        <v>50</v>
      </c>
      <c r="O102" s="2" t="e">
        <f>N102*#REF!</f>
        <v>#REF!</v>
      </c>
      <c r="P102" s="2">
        <v>2</v>
      </c>
      <c r="Q102" s="2" t="e">
        <f t="shared" si="98"/>
        <v>#REF!</v>
      </c>
      <c r="R102" s="2">
        <v>45</v>
      </c>
      <c r="S102" s="2" t="e">
        <f t="shared" si="99"/>
        <v>#REF!</v>
      </c>
      <c r="T102" s="2" t="e">
        <f t="shared" si="100"/>
        <v>#REF!</v>
      </c>
      <c r="U102" s="2">
        <v>200</v>
      </c>
      <c r="V102" s="2">
        <f t="shared" si="101"/>
        <v>100.00000000000009</v>
      </c>
      <c r="W102" s="2" t="e">
        <f t="shared" si="102"/>
        <v>#REF!</v>
      </c>
      <c r="X102" s="2">
        <v>100000</v>
      </c>
      <c r="Y102" s="2" t="e">
        <f t="shared" si="93"/>
        <v>#REF!</v>
      </c>
      <c r="Z102" s="2" t="e">
        <f t="shared" si="94"/>
        <v>#REF!</v>
      </c>
      <c r="AA102" s="2" t="e">
        <f t="shared" si="86"/>
        <v>#REF!</v>
      </c>
      <c r="AB102" s="2" t="e">
        <f t="shared" si="87"/>
        <v>#REF!</v>
      </c>
      <c r="AC102" s="2">
        <f t="shared" si="69"/>
        <v>24205</v>
      </c>
      <c r="AD102" s="2">
        <f t="shared" si="70"/>
        <v>111</v>
      </c>
      <c r="AE102" s="2">
        <f t="shared" si="95"/>
        <v>102</v>
      </c>
      <c r="AF102" s="2" t="str">
        <f t="shared" si="71"/>
        <v>chest_shard</v>
      </c>
      <c r="AG102" s="2" t="str">
        <f t="shared" si="72"/>
        <v>StoreDoubleKey_1</v>
      </c>
      <c r="AH102" s="2" t="str">
        <f t="shared" si="96"/>
        <v>StoreFund_3</v>
      </c>
      <c r="AI102" s="2" t="str">
        <f t="shared" si="88"/>
        <v>[24205,111,102]</v>
      </c>
      <c r="AJ102" s="2" t="str">
        <f t="shared" si="89"/>
        <v>[45,200,100000]</v>
      </c>
      <c r="AK102" s="2" t="str">
        <f t="shared" si="90"/>
        <v>[chest_shard,StoreDoubleKey_1,StoreFund_3]</v>
      </c>
      <c r="AL102" s="2" t="str">
        <f t="shared" si="91"/>
        <v>5+50+碎片礼包</v>
      </c>
      <c r="AM102" s="1" t="str">
        <f t="shared" si="73"/>
        <v>T3 Senior Shard</v>
      </c>
      <c r="AN102" s="1" t="str">
        <f t="shared" si="74"/>
        <v>DoubleKeys</v>
      </c>
      <c r="AO102" s="1" t="str">
        <f t="shared" si="97"/>
        <v>Funds</v>
      </c>
    </row>
    <row r="103" spans="7:41" x14ac:dyDescent="0.3">
      <c r="G103" s="2">
        <v>5</v>
      </c>
      <c r="H103" s="2" t="s">
        <v>2567</v>
      </c>
      <c r="I103" s="2" t="s">
        <v>578</v>
      </c>
      <c r="J103" s="2" t="s">
        <v>317</v>
      </c>
      <c r="K103" s="2" t="e">
        <f t="shared" si="85"/>
        <v>#REF!</v>
      </c>
      <c r="L103" s="2">
        <f t="shared" si="68"/>
        <v>60</v>
      </c>
      <c r="M103" s="2">
        <f t="shared" si="92"/>
        <v>1</v>
      </c>
      <c r="N103" s="2">
        <v>5</v>
      </c>
      <c r="O103" s="2" t="e">
        <f>N103*#REF!</f>
        <v>#REF!</v>
      </c>
      <c r="P103" s="2">
        <v>1.67</v>
      </c>
      <c r="Q103" s="2" t="e">
        <f t="shared" ref="Q103:Q118" si="103">O103*P103</f>
        <v>#REF!</v>
      </c>
      <c r="R103" s="2">
        <v>2</v>
      </c>
      <c r="S103" s="2" t="e">
        <f t="shared" ref="S103:S118" si="104">R103*K103</f>
        <v>#REF!</v>
      </c>
      <c r="T103" s="2" t="e">
        <f t="shared" ref="T103:T118" si="105">S103/Q103</f>
        <v>#REF!</v>
      </c>
      <c r="U103" s="2">
        <v>5</v>
      </c>
      <c r="V103" s="2">
        <f t="shared" ref="V103:V118" si="106">U103*L103</f>
        <v>300</v>
      </c>
      <c r="W103" s="2" t="e">
        <f t="shared" ref="W103:W118" si="107">V103/Q103</f>
        <v>#REF!</v>
      </c>
      <c r="X103" s="2">
        <v>200</v>
      </c>
      <c r="Y103" s="2" t="e">
        <f t="shared" si="93"/>
        <v>#REF!</v>
      </c>
      <c r="Z103" s="2" t="e">
        <f t="shared" si="94"/>
        <v>#REF!</v>
      </c>
      <c r="AA103" s="2" t="e">
        <f t="shared" si="86"/>
        <v>#REF!</v>
      </c>
      <c r="AB103" s="2" t="e">
        <f t="shared" si="87"/>
        <v>#REF!</v>
      </c>
      <c r="AC103" s="2">
        <f t="shared" si="69"/>
        <v>23204</v>
      </c>
      <c r="AD103" s="2">
        <f t="shared" si="70"/>
        <v>100302</v>
      </c>
      <c r="AE103" s="2">
        <f t="shared" si="95"/>
        <v>101</v>
      </c>
      <c r="AF103" s="2" t="str">
        <f t="shared" si="71"/>
        <v>chest_tankpart</v>
      </c>
      <c r="AG103" s="2" t="str">
        <f t="shared" si="72"/>
        <v>StoreQuikenItem_1</v>
      </c>
      <c r="AH103" s="2" t="str">
        <f t="shared" si="96"/>
        <v>StoreDiamond_1</v>
      </c>
      <c r="AI103" s="2" t="str">
        <f t="shared" si="88"/>
        <v>[23204,100302,101]</v>
      </c>
      <c r="AJ103" s="2" t="str">
        <f t="shared" si="89"/>
        <v>[2,5,200]</v>
      </c>
      <c r="AK103" s="2" t="str">
        <f t="shared" si="90"/>
        <v>[chest_tankpart,StoreQuikenItem_1,StoreDiamond_1]</v>
      </c>
      <c r="AL103" s="2" t="str">
        <f t="shared" si="91"/>
        <v>5+5+部件礼包</v>
      </c>
      <c r="AM103" s="1" t="str">
        <f t="shared" si="73"/>
        <v>T2 Component</v>
      </c>
      <c r="AN103" s="1" t="str">
        <f t="shared" si="74"/>
        <v>1H_X3_Accelerater</v>
      </c>
      <c r="AO103" s="1" t="str">
        <f t="shared" si="97"/>
        <v>Diamond</v>
      </c>
    </row>
    <row r="104" spans="7:41" x14ac:dyDescent="0.3">
      <c r="G104" s="2">
        <v>5</v>
      </c>
      <c r="H104" s="2" t="s">
        <v>2581</v>
      </c>
      <c r="I104" s="2" t="s">
        <v>511</v>
      </c>
      <c r="J104" s="2" t="s">
        <v>268</v>
      </c>
      <c r="K104" s="2" t="e">
        <f t="shared" si="85"/>
        <v>#REF!</v>
      </c>
      <c r="L104" s="2">
        <f t="shared" si="68"/>
        <v>0.50000000000000044</v>
      </c>
      <c r="M104" s="2">
        <f t="shared" si="92"/>
        <v>3.9623576027736501E-3</v>
      </c>
      <c r="N104" s="2">
        <v>5</v>
      </c>
      <c r="O104" s="2" t="e">
        <f>N104*#REF!</f>
        <v>#REF!</v>
      </c>
      <c r="P104" s="2">
        <v>1.67</v>
      </c>
      <c r="Q104" s="2" t="e">
        <f t="shared" si="103"/>
        <v>#REF!</v>
      </c>
      <c r="R104" s="2">
        <v>3</v>
      </c>
      <c r="S104" s="2" t="e">
        <f t="shared" si="104"/>
        <v>#REF!</v>
      </c>
      <c r="T104" s="2" t="e">
        <f t="shared" si="105"/>
        <v>#REF!</v>
      </c>
      <c r="U104" s="2">
        <v>50</v>
      </c>
      <c r="V104" s="2">
        <f t="shared" si="106"/>
        <v>25.000000000000021</v>
      </c>
      <c r="W104" s="2" t="e">
        <f t="shared" si="107"/>
        <v>#REF!</v>
      </c>
      <c r="X104" s="2">
        <v>60000</v>
      </c>
      <c r="Y104" s="2" t="e">
        <f t="shared" si="93"/>
        <v>#REF!</v>
      </c>
      <c r="Z104" s="2" t="e">
        <f t="shared" si="94"/>
        <v>#REF!</v>
      </c>
      <c r="AA104" s="2" t="e">
        <f t="shared" si="86"/>
        <v>#REF!</v>
      </c>
      <c r="AB104" s="2" t="e">
        <f t="shared" si="87"/>
        <v>#REF!</v>
      </c>
      <c r="AC104" s="2">
        <f t="shared" si="69"/>
        <v>24204</v>
      </c>
      <c r="AD104" s="2">
        <f t="shared" si="70"/>
        <v>111</v>
      </c>
      <c r="AE104" s="2">
        <f t="shared" si="95"/>
        <v>102</v>
      </c>
      <c r="AF104" s="2" t="str">
        <f t="shared" si="71"/>
        <v>chest_shard</v>
      </c>
      <c r="AG104" s="2" t="str">
        <f t="shared" si="72"/>
        <v>StoreDoubleKey_1</v>
      </c>
      <c r="AH104" s="2" t="str">
        <f t="shared" si="96"/>
        <v>StoreFund_3</v>
      </c>
      <c r="AI104" s="2" t="str">
        <f t="shared" si="88"/>
        <v>[24204,111,102]</v>
      </c>
      <c r="AJ104" s="2" t="str">
        <f t="shared" si="89"/>
        <v>[3,50,60000]</v>
      </c>
      <c r="AK104" s="2" t="str">
        <f t="shared" si="90"/>
        <v>[chest_shard,StoreDoubleKey_1,StoreFund_3]</v>
      </c>
      <c r="AL104" s="2" t="str">
        <f t="shared" si="91"/>
        <v>5+5+碎片礼包</v>
      </c>
      <c r="AM104" s="1" t="str">
        <f t="shared" si="73"/>
        <v xml:space="preserve"> T3General Shard</v>
      </c>
      <c r="AN104" s="1" t="str">
        <f t="shared" si="74"/>
        <v>DoubleKeys</v>
      </c>
      <c r="AO104" s="1" t="str">
        <f t="shared" si="97"/>
        <v>Funds</v>
      </c>
    </row>
    <row r="105" spans="7:41" x14ac:dyDescent="0.3">
      <c r="G105" s="2">
        <v>5</v>
      </c>
      <c r="H105" s="2" t="s">
        <v>2567</v>
      </c>
      <c r="I105" s="2" t="s">
        <v>578</v>
      </c>
      <c r="J105" s="2" t="s">
        <v>317</v>
      </c>
      <c r="K105" s="2" t="e">
        <f t="shared" si="85"/>
        <v>#REF!</v>
      </c>
      <c r="L105" s="2">
        <f t="shared" ref="L105:L136" si="108">VLOOKUP(I105,$B$40:$C$81,2,FALSE)</f>
        <v>60</v>
      </c>
      <c r="M105" s="2">
        <f t="shared" si="92"/>
        <v>1</v>
      </c>
      <c r="N105" s="2">
        <v>10</v>
      </c>
      <c r="O105" s="2" t="e">
        <f>N105*#REF!</f>
        <v>#REF!</v>
      </c>
      <c r="P105" s="2">
        <v>1.67</v>
      </c>
      <c r="Q105" s="2" t="e">
        <f t="shared" si="103"/>
        <v>#REF!</v>
      </c>
      <c r="R105" s="2">
        <v>3</v>
      </c>
      <c r="S105" s="2" t="e">
        <f t="shared" si="104"/>
        <v>#REF!</v>
      </c>
      <c r="T105" s="2" t="e">
        <f t="shared" si="105"/>
        <v>#REF!</v>
      </c>
      <c r="U105" s="2">
        <v>10</v>
      </c>
      <c r="V105" s="2">
        <f t="shared" si="106"/>
        <v>600</v>
      </c>
      <c r="W105" s="2" t="e">
        <f t="shared" si="107"/>
        <v>#REF!</v>
      </c>
      <c r="X105" s="2">
        <v>500</v>
      </c>
      <c r="Y105" s="2" t="e">
        <f t="shared" si="93"/>
        <v>#REF!</v>
      </c>
      <c r="Z105" s="2" t="e">
        <f t="shared" si="94"/>
        <v>#REF!</v>
      </c>
      <c r="AA105" s="2" t="e">
        <f t="shared" si="86"/>
        <v>#REF!</v>
      </c>
      <c r="AB105" s="2" t="e">
        <f t="shared" si="87"/>
        <v>#REF!</v>
      </c>
      <c r="AC105" s="2">
        <f t="shared" ref="AC105:AC136" si="109">VLOOKUP(H105,道具ID,2,FALSE)</f>
        <v>23204</v>
      </c>
      <c r="AD105" s="2">
        <f t="shared" ref="AD105:AD136" si="110">VLOOKUP(I105,道具ID,2,FALSE)</f>
        <v>100302</v>
      </c>
      <c r="AE105" s="2">
        <f t="shared" si="95"/>
        <v>101</v>
      </c>
      <c r="AF105" s="2" t="str">
        <f t="shared" ref="AF105:AF136" si="111">VLOOKUP(H105,道具ID,3,FALSE)</f>
        <v>chest_tankpart</v>
      </c>
      <c r="AG105" s="2" t="str">
        <f t="shared" ref="AG105:AG136" si="112">VLOOKUP(I105,道具ID,3,FALSE)</f>
        <v>StoreQuikenItem_1</v>
      </c>
      <c r="AH105" s="2" t="str">
        <f t="shared" si="96"/>
        <v>StoreDiamond_1</v>
      </c>
      <c r="AI105" s="2" t="str">
        <f t="shared" si="88"/>
        <v>[23204,100302,101]</v>
      </c>
      <c r="AJ105" s="2" t="str">
        <f t="shared" si="89"/>
        <v>[3,10,500]</v>
      </c>
      <c r="AK105" s="2" t="str">
        <f t="shared" si="90"/>
        <v>[chest_tankpart,StoreQuikenItem_1,StoreDiamond_1]</v>
      </c>
      <c r="AL105" s="2" t="str">
        <f t="shared" si="91"/>
        <v>5+10+部件礼包</v>
      </c>
      <c r="AM105" s="1" t="str">
        <f t="shared" ref="AM105:AM136" si="113">VLOOKUP(H105,道具ID,4,FALSE)</f>
        <v>T2 Component</v>
      </c>
      <c r="AN105" s="1" t="str">
        <f t="shared" ref="AN105:AN136" si="114">VLOOKUP(I105,道具ID,4,FALSE)</f>
        <v>1H_X3_Accelerater</v>
      </c>
      <c r="AO105" s="1" t="str">
        <f t="shared" si="97"/>
        <v>Diamond</v>
      </c>
    </row>
    <row r="106" spans="7:41" x14ac:dyDescent="0.3">
      <c r="G106" s="2">
        <v>5</v>
      </c>
      <c r="H106" s="2" t="s">
        <v>2581</v>
      </c>
      <c r="I106" s="2" t="s">
        <v>511</v>
      </c>
      <c r="J106" s="2" t="s">
        <v>268</v>
      </c>
      <c r="K106" s="2" t="e">
        <f t="shared" si="85"/>
        <v>#REF!</v>
      </c>
      <c r="L106" s="2">
        <f t="shared" si="108"/>
        <v>0.50000000000000044</v>
      </c>
      <c r="M106" s="2">
        <f t="shared" si="92"/>
        <v>3.9623576027736501E-3</v>
      </c>
      <c r="N106" s="2">
        <v>10</v>
      </c>
      <c r="O106" s="2" t="e">
        <f>N106*#REF!</f>
        <v>#REF!</v>
      </c>
      <c r="P106" s="2">
        <v>1.67</v>
      </c>
      <c r="Q106" s="2" t="e">
        <f t="shared" si="103"/>
        <v>#REF!</v>
      </c>
      <c r="R106" s="2">
        <v>7</v>
      </c>
      <c r="S106" s="2" t="e">
        <f t="shared" si="104"/>
        <v>#REF!</v>
      </c>
      <c r="T106" s="2" t="e">
        <f t="shared" si="105"/>
        <v>#REF!</v>
      </c>
      <c r="U106" s="2">
        <v>50</v>
      </c>
      <c r="V106" s="2">
        <f t="shared" si="106"/>
        <v>25.000000000000021</v>
      </c>
      <c r="W106" s="2" t="e">
        <f t="shared" si="107"/>
        <v>#REF!</v>
      </c>
      <c r="X106" s="2">
        <v>90000</v>
      </c>
      <c r="Y106" s="2" t="e">
        <f t="shared" si="93"/>
        <v>#REF!</v>
      </c>
      <c r="Z106" s="2" t="e">
        <f t="shared" si="94"/>
        <v>#REF!</v>
      </c>
      <c r="AA106" s="2" t="e">
        <f t="shared" si="86"/>
        <v>#REF!</v>
      </c>
      <c r="AB106" s="2" t="e">
        <f t="shared" si="87"/>
        <v>#REF!</v>
      </c>
      <c r="AC106" s="2">
        <f t="shared" si="109"/>
        <v>24204</v>
      </c>
      <c r="AD106" s="2">
        <f t="shared" si="110"/>
        <v>111</v>
      </c>
      <c r="AE106" s="2">
        <f t="shared" si="95"/>
        <v>102</v>
      </c>
      <c r="AF106" s="2" t="str">
        <f t="shared" si="111"/>
        <v>chest_shard</v>
      </c>
      <c r="AG106" s="2" t="str">
        <f t="shared" si="112"/>
        <v>StoreDoubleKey_1</v>
      </c>
      <c r="AH106" s="2" t="str">
        <f t="shared" si="96"/>
        <v>StoreFund_3</v>
      </c>
      <c r="AI106" s="2" t="str">
        <f t="shared" si="88"/>
        <v>[24204,111,102]</v>
      </c>
      <c r="AJ106" s="2" t="str">
        <f t="shared" si="89"/>
        <v>[7,50,90000]</v>
      </c>
      <c r="AK106" s="2" t="str">
        <f t="shared" si="90"/>
        <v>[chest_shard,StoreDoubleKey_1,StoreFund_3]</v>
      </c>
      <c r="AL106" s="2" t="str">
        <f t="shared" si="91"/>
        <v>5+10+碎片礼包</v>
      </c>
      <c r="AM106" s="1" t="str">
        <f t="shared" si="113"/>
        <v xml:space="preserve"> T3General Shard</v>
      </c>
      <c r="AN106" s="1" t="str">
        <f t="shared" si="114"/>
        <v>DoubleKeys</v>
      </c>
      <c r="AO106" s="1" t="str">
        <f t="shared" si="97"/>
        <v>Funds</v>
      </c>
    </row>
    <row r="107" spans="7:41" x14ac:dyDescent="0.3">
      <c r="G107" s="2">
        <v>5</v>
      </c>
      <c r="H107" s="2" t="s">
        <v>2569</v>
      </c>
      <c r="I107" s="2" t="s">
        <v>578</v>
      </c>
      <c r="J107" s="2" t="s">
        <v>317</v>
      </c>
      <c r="K107" s="2" t="e">
        <f t="shared" si="85"/>
        <v>#REF!</v>
      </c>
      <c r="L107" s="2">
        <f t="shared" si="108"/>
        <v>60</v>
      </c>
      <c r="M107" s="2">
        <f t="shared" si="92"/>
        <v>1</v>
      </c>
      <c r="N107" s="2">
        <v>20</v>
      </c>
      <c r="O107" s="2" t="e">
        <f>N107*#REF!</f>
        <v>#REF!</v>
      </c>
      <c r="P107" s="2">
        <v>1.67</v>
      </c>
      <c r="Q107" s="2" t="e">
        <f t="shared" si="103"/>
        <v>#REF!</v>
      </c>
      <c r="R107" s="2">
        <v>5</v>
      </c>
      <c r="S107" s="2" t="e">
        <f t="shared" si="104"/>
        <v>#REF!</v>
      </c>
      <c r="T107" s="2" t="e">
        <f t="shared" si="105"/>
        <v>#REF!</v>
      </c>
      <c r="U107" s="2">
        <v>20</v>
      </c>
      <c r="V107" s="2">
        <f t="shared" si="106"/>
        <v>1200</v>
      </c>
      <c r="W107" s="2" t="e">
        <f t="shared" si="107"/>
        <v>#REF!</v>
      </c>
      <c r="X107" s="2">
        <v>1200</v>
      </c>
      <c r="Y107" s="2" t="e">
        <f t="shared" si="93"/>
        <v>#REF!</v>
      </c>
      <c r="Z107" s="2" t="e">
        <f t="shared" si="94"/>
        <v>#REF!</v>
      </c>
      <c r="AA107" s="2" t="e">
        <f t="shared" si="86"/>
        <v>#REF!</v>
      </c>
      <c r="AB107" s="2" t="e">
        <f t="shared" si="87"/>
        <v>#REF!</v>
      </c>
      <c r="AC107" s="2">
        <f t="shared" si="109"/>
        <v>23205</v>
      </c>
      <c r="AD107" s="2">
        <f t="shared" si="110"/>
        <v>100302</v>
      </c>
      <c r="AE107" s="2">
        <f t="shared" si="95"/>
        <v>101</v>
      </c>
      <c r="AF107" s="2" t="str">
        <f t="shared" si="111"/>
        <v>chest_tankpart</v>
      </c>
      <c r="AG107" s="2" t="str">
        <f t="shared" si="112"/>
        <v>StoreQuikenItem_1</v>
      </c>
      <c r="AH107" s="2" t="str">
        <f t="shared" si="96"/>
        <v>StoreDiamond_1</v>
      </c>
      <c r="AI107" s="2" t="str">
        <f t="shared" si="88"/>
        <v>[23205,100302,101]</v>
      </c>
      <c r="AJ107" s="2" t="str">
        <f t="shared" si="89"/>
        <v>[5,20,1200]</v>
      </c>
      <c r="AK107" s="2" t="str">
        <f t="shared" si="90"/>
        <v>[chest_tankpart,StoreQuikenItem_1,StoreDiamond_1]</v>
      </c>
      <c r="AL107" s="2" t="str">
        <f t="shared" si="91"/>
        <v>5+20+部件礼包</v>
      </c>
      <c r="AM107" s="1" t="str">
        <f t="shared" si="113"/>
        <v>T2 Component</v>
      </c>
      <c r="AN107" s="1" t="str">
        <f t="shared" si="114"/>
        <v>1H_X3_Accelerater</v>
      </c>
      <c r="AO107" s="1" t="str">
        <f t="shared" si="97"/>
        <v>Diamond</v>
      </c>
    </row>
    <row r="108" spans="7:41" x14ac:dyDescent="0.3">
      <c r="G108" s="2">
        <v>5</v>
      </c>
      <c r="H108" s="2" t="s">
        <v>2583</v>
      </c>
      <c r="I108" s="2" t="s">
        <v>511</v>
      </c>
      <c r="J108" s="2" t="s">
        <v>268</v>
      </c>
      <c r="K108" s="2" t="e">
        <f t="shared" si="85"/>
        <v>#REF!</v>
      </c>
      <c r="L108" s="2">
        <f t="shared" si="108"/>
        <v>0.50000000000000044</v>
      </c>
      <c r="M108" s="2">
        <f t="shared" si="92"/>
        <v>3.9623576027736501E-3</v>
      </c>
      <c r="N108" s="2">
        <v>20</v>
      </c>
      <c r="O108" s="2" t="e">
        <f>N108*#REF!</f>
        <v>#REF!</v>
      </c>
      <c r="P108" s="2">
        <v>1.67</v>
      </c>
      <c r="Q108" s="2" t="e">
        <f t="shared" si="103"/>
        <v>#REF!</v>
      </c>
      <c r="R108" s="2">
        <v>15</v>
      </c>
      <c r="S108" s="2" t="e">
        <f t="shared" si="104"/>
        <v>#REF!</v>
      </c>
      <c r="T108" s="2" t="e">
        <f t="shared" si="105"/>
        <v>#REF!</v>
      </c>
      <c r="U108" s="2">
        <v>50</v>
      </c>
      <c r="V108" s="2">
        <f t="shared" si="106"/>
        <v>25.000000000000021</v>
      </c>
      <c r="W108" s="2" t="e">
        <f t="shared" si="107"/>
        <v>#REF!</v>
      </c>
      <c r="X108" s="2">
        <v>40000</v>
      </c>
      <c r="Y108" s="2" t="e">
        <f t="shared" si="93"/>
        <v>#REF!</v>
      </c>
      <c r="Z108" s="2" t="e">
        <f t="shared" si="94"/>
        <v>#REF!</v>
      </c>
      <c r="AA108" s="2" t="e">
        <f t="shared" si="86"/>
        <v>#REF!</v>
      </c>
      <c r="AB108" s="2" t="e">
        <f t="shared" si="87"/>
        <v>#REF!</v>
      </c>
      <c r="AC108" s="2">
        <f t="shared" si="109"/>
        <v>24205</v>
      </c>
      <c r="AD108" s="2">
        <f t="shared" si="110"/>
        <v>111</v>
      </c>
      <c r="AE108" s="2">
        <f t="shared" si="95"/>
        <v>102</v>
      </c>
      <c r="AF108" s="2" t="str">
        <f t="shared" si="111"/>
        <v>chest_shard</v>
      </c>
      <c r="AG108" s="2" t="str">
        <f t="shared" si="112"/>
        <v>StoreDoubleKey_1</v>
      </c>
      <c r="AH108" s="2" t="str">
        <f t="shared" si="96"/>
        <v>StoreFund_3</v>
      </c>
      <c r="AI108" s="2" t="str">
        <f t="shared" si="88"/>
        <v>[24205,111,102]</v>
      </c>
      <c r="AJ108" s="2" t="str">
        <f t="shared" si="89"/>
        <v>[15,50,40000]</v>
      </c>
      <c r="AK108" s="2" t="str">
        <f t="shared" si="90"/>
        <v>[chest_shard,StoreDoubleKey_1,StoreFund_3]</v>
      </c>
      <c r="AL108" s="2" t="str">
        <f t="shared" si="91"/>
        <v>5+20+碎片礼包</v>
      </c>
      <c r="AM108" s="1" t="str">
        <f t="shared" si="113"/>
        <v>T3 Senior Shard</v>
      </c>
      <c r="AN108" s="1" t="str">
        <f t="shared" si="114"/>
        <v>DoubleKeys</v>
      </c>
      <c r="AO108" s="1" t="str">
        <f t="shared" si="97"/>
        <v>Funds</v>
      </c>
    </row>
    <row r="109" spans="7:41" x14ac:dyDescent="0.3">
      <c r="G109" s="2">
        <v>5</v>
      </c>
      <c r="H109" s="2" t="s">
        <v>2540</v>
      </c>
      <c r="I109" s="2" t="s">
        <v>578</v>
      </c>
      <c r="J109" s="2" t="s">
        <v>317</v>
      </c>
      <c r="K109" s="2" t="e">
        <f t="shared" si="85"/>
        <v>#N/A</v>
      </c>
      <c r="L109" s="2">
        <f t="shared" si="108"/>
        <v>60</v>
      </c>
      <c r="M109" s="2">
        <f t="shared" si="92"/>
        <v>1</v>
      </c>
      <c r="N109" s="2">
        <v>50</v>
      </c>
      <c r="O109" s="2" t="e">
        <f>N109*#REF!</f>
        <v>#REF!</v>
      </c>
      <c r="P109" s="2">
        <v>1.67</v>
      </c>
      <c r="Q109" s="2" t="e">
        <f t="shared" si="103"/>
        <v>#REF!</v>
      </c>
      <c r="R109" s="2">
        <v>1</v>
      </c>
      <c r="S109" s="2" t="e">
        <f t="shared" si="104"/>
        <v>#N/A</v>
      </c>
      <c r="T109" s="2" t="e">
        <f t="shared" si="105"/>
        <v>#N/A</v>
      </c>
      <c r="U109" s="2">
        <v>30</v>
      </c>
      <c r="V109" s="2">
        <f t="shared" si="106"/>
        <v>1800</v>
      </c>
      <c r="W109" s="2" t="e">
        <f t="shared" si="107"/>
        <v>#REF!</v>
      </c>
      <c r="X109" s="2">
        <v>4600</v>
      </c>
      <c r="Y109" s="2" t="e">
        <f t="shared" si="93"/>
        <v>#N/A</v>
      </c>
      <c r="Z109" s="2" t="e">
        <f t="shared" si="94"/>
        <v>#N/A</v>
      </c>
      <c r="AA109" s="2" t="e">
        <f t="shared" si="86"/>
        <v>#N/A</v>
      </c>
      <c r="AB109" s="2" t="e">
        <f t="shared" si="87"/>
        <v>#N/A</v>
      </c>
      <c r="AC109" s="2">
        <f t="shared" si="109"/>
        <v>25555</v>
      </c>
      <c r="AD109" s="2">
        <f t="shared" si="110"/>
        <v>100302</v>
      </c>
      <c r="AE109" s="2">
        <f t="shared" si="95"/>
        <v>101</v>
      </c>
      <c r="AF109" s="2" t="str">
        <f t="shared" si="111"/>
        <v>chest_lv6_icon</v>
      </c>
      <c r="AG109" s="2" t="str">
        <f t="shared" si="112"/>
        <v>StoreQuikenItem_1</v>
      </c>
      <c r="AH109" s="2" t="str">
        <f t="shared" si="96"/>
        <v>StoreDiamond_1</v>
      </c>
      <c r="AI109" s="2" t="str">
        <f t="shared" si="88"/>
        <v>[25555,100302,101]</v>
      </c>
      <c r="AJ109" s="2" t="str">
        <f t="shared" si="89"/>
        <v>[1,30,4600]</v>
      </c>
      <c r="AK109" s="2" t="str">
        <f t="shared" si="90"/>
        <v>[chest_lv6_icon,StoreQuikenItem_1,StoreDiamond_1]</v>
      </c>
      <c r="AL109" s="2" t="str">
        <f t="shared" si="91"/>
        <v>5+50+史诗自宝</v>
      </c>
      <c r="AM109" s="1" t="str">
        <f t="shared" si="113"/>
        <v>Rank 5 Epic Chest</v>
      </c>
      <c r="AN109" s="1" t="str">
        <f t="shared" si="114"/>
        <v>1H_X3_Accelerater</v>
      </c>
      <c r="AO109" s="1" t="str">
        <f t="shared" si="97"/>
        <v>Diamond</v>
      </c>
    </row>
    <row r="110" spans="7:41" x14ac:dyDescent="0.3">
      <c r="G110" s="2">
        <v>5</v>
      </c>
      <c r="H110" s="2" t="s">
        <v>2583</v>
      </c>
      <c r="I110" s="2" t="s">
        <v>511</v>
      </c>
      <c r="J110" s="2" t="s">
        <v>268</v>
      </c>
      <c r="K110" s="2" t="e">
        <f t="shared" si="85"/>
        <v>#REF!</v>
      </c>
      <c r="L110" s="2">
        <f t="shared" si="108"/>
        <v>0.50000000000000044</v>
      </c>
      <c r="M110" s="2">
        <f t="shared" si="92"/>
        <v>3.9623576027736501E-3</v>
      </c>
      <c r="N110" s="2">
        <v>50</v>
      </c>
      <c r="O110" s="2" t="e">
        <f>N110*#REF!</f>
        <v>#REF!</v>
      </c>
      <c r="P110" s="2">
        <v>1.67</v>
      </c>
      <c r="Q110" s="2" t="e">
        <f t="shared" si="103"/>
        <v>#REF!</v>
      </c>
      <c r="R110" s="2">
        <v>38</v>
      </c>
      <c r="S110" s="2" t="e">
        <f t="shared" si="104"/>
        <v>#REF!</v>
      </c>
      <c r="T110" s="2" t="e">
        <f t="shared" si="105"/>
        <v>#REF!</v>
      </c>
      <c r="U110" s="2">
        <v>100</v>
      </c>
      <c r="V110" s="2">
        <f t="shared" si="106"/>
        <v>50.000000000000043</v>
      </c>
      <c r="W110" s="2" t="e">
        <f t="shared" si="107"/>
        <v>#REF!</v>
      </c>
      <c r="X110" s="2">
        <v>70000</v>
      </c>
      <c r="Y110" s="2" t="e">
        <f t="shared" si="93"/>
        <v>#REF!</v>
      </c>
      <c r="Z110" s="2" t="e">
        <f t="shared" si="94"/>
        <v>#REF!</v>
      </c>
      <c r="AA110" s="2" t="e">
        <f t="shared" si="86"/>
        <v>#REF!</v>
      </c>
      <c r="AB110" s="2" t="e">
        <f t="shared" si="87"/>
        <v>#REF!</v>
      </c>
      <c r="AC110" s="2">
        <f t="shared" si="109"/>
        <v>24205</v>
      </c>
      <c r="AD110" s="2">
        <f t="shared" si="110"/>
        <v>111</v>
      </c>
      <c r="AE110" s="2">
        <f t="shared" si="95"/>
        <v>102</v>
      </c>
      <c r="AF110" s="2" t="str">
        <f t="shared" si="111"/>
        <v>chest_shard</v>
      </c>
      <c r="AG110" s="2" t="str">
        <f t="shared" si="112"/>
        <v>StoreDoubleKey_1</v>
      </c>
      <c r="AH110" s="2" t="str">
        <f t="shared" si="96"/>
        <v>StoreFund_3</v>
      </c>
      <c r="AI110" s="2" t="str">
        <f t="shared" si="88"/>
        <v>[24205,111,102]</v>
      </c>
      <c r="AJ110" s="2" t="str">
        <f t="shared" si="89"/>
        <v>[38,100,70000]</v>
      </c>
      <c r="AK110" s="2" t="str">
        <f t="shared" si="90"/>
        <v>[chest_shard,StoreDoubleKey_1,StoreFund_3]</v>
      </c>
      <c r="AL110" s="2" t="str">
        <f t="shared" si="91"/>
        <v>5+50+碎片礼包</v>
      </c>
      <c r="AM110" s="1" t="str">
        <f t="shared" si="113"/>
        <v>T3 Senior Shard</v>
      </c>
      <c r="AN110" s="1" t="str">
        <f t="shared" si="114"/>
        <v>DoubleKeys</v>
      </c>
      <c r="AO110" s="1" t="str">
        <f t="shared" si="97"/>
        <v>Funds</v>
      </c>
    </row>
    <row r="111" spans="7:41" x14ac:dyDescent="0.3">
      <c r="G111" s="2">
        <v>5</v>
      </c>
      <c r="H111" s="2" t="s">
        <v>2567</v>
      </c>
      <c r="I111" s="2" t="s">
        <v>578</v>
      </c>
      <c r="J111" s="2" t="s">
        <v>317</v>
      </c>
      <c r="K111" s="2" t="e">
        <f t="shared" si="85"/>
        <v>#REF!</v>
      </c>
      <c r="L111" s="2">
        <f t="shared" si="108"/>
        <v>60</v>
      </c>
      <c r="M111" s="2">
        <f t="shared" si="92"/>
        <v>1</v>
      </c>
      <c r="N111" s="2">
        <v>5</v>
      </c>
      <c r="O111" s="2" t="e">
        <f>N111*#REF!</f>
        <v>#REF!</v>
      </c>
      <c r="P111" s="2">
        <v>1.5</v>
      </c>
      <c r="Q111" s="2" t="e">
        <f t="shared" si="103"/>
        <v>#REF!</v>
      </c>
      <c r="R111" s="2">
        <v>2</v>
      </c>
      <c r="S111" s="2" t="e">
        <f t="shared" si="104"/>
        <v>#REF!</v>
      </c>
      <c r="T111" s="2" t="e">
        <f t="shared" si="105"/>
        <v>#REF!</v>
      </c>
      <c r="U111" s="2">
        <v>2</v>
      </c>
      <c r="V111" s="2">
        <f t="shared" si="106"/>
        <v>120</v>
      </c>
      <c r="W111" s="2" t="e">
        <f t="shared" si="107"/>
        <v>#REF!</v>
      </c>
      <c r="X111" s="2">
        <v>300</v>
      </c>
      <c r="Y111" s="2" t="e">
        <f t="shared" si="93"/>
        <v>#REF!</v>
      </c>
      <c r="Z111" s="2" t="e">
        <f t="shared" si="94"/>
        <v>#REF!</v>
      </c>
      <c r="AA111" s="2" t="e">
        <f t="shared" si="86"/>
        <v>#REF!</v>
      </c>
      <c r="AB111" s="2" t="e">
        <f t="shared" si="87"/>
        <v>#REF!</v>
      </c>
      <c r="AC111" s="2">
        <f t="shared" si="109"/>
        <v>23204</v>
      </c>
      <c r="AD111" s="2">
        <f t="shared" si="110"/>
        <v>100302</v>
      </c>
      <c r="AE111" s="2">
        <f t="shared" si="95"/>
        <v>101</v>
      </c>
      <c r="AF111" s="2" t="str">
        <f t="shared" si="111"/>
        <v>chest_tankpart</v>
      </c>
      <c r="AG111" s="2" t="str">
        <f t="shared" si="112"/>
        <v>StoreQuikenItem_1</v>
      </c>
      <c r="AH111" s="2" t="str">
        <f t="shared" si="96"/>
        <v>StoreDiamond_1</v>
      </c>
      <c r="AI111" s="2" t="str">
        <f t="shared" si="88"/>
        <v>[23204,100302,101]</v>
      </c>
      <c r="AJ111" s="2" t="str">
        <f t="shared" si="89"/>
        <v>[2,2,300]</v>
      </c>
      <c r="AK111" s="2" t="str">
        <f t="shared" si="90"/>
        <v>[chest_tankpart,StoreQuikenItem_1,StoreDiamond_1]</v>
      </c>
      <c r="AL111" s="2" t="str">
        <f t="shared" si="91"/>
        <v>5+5+部件礼包</v>
      </c>
      <c r="AM111" s="1" t="str">
        <f t="shared" si="113"/>
        <v>T2 Component</v>
      </c>
      <c r="AN111" s="1" t="str">
        <f t="shared" si="114"/>
        <v>1H_X3_Accelerater</v>
      </c>
      <c r="AO111" s="1" t="str">
        <f t="shared" si="97"/>
        <v>Diamond</v>
      </c>
    </row>
    <row r="112" spans="7:41" x14ac:dyDescent="0.3">
      <c r="G112" s="2">
        <v>5</v>
      </c>
      <c r="H112" s="2" t="s">
        <v>2581</v>
      </c>
      <c r="I112" s="2" t="s">
        <v>511</v>
      </c>
      <c r="J112" s="2" t="s">
        <v>268</v>
      </c>
      <c r="K112" s="2" t="e">
        <f t="shared" si="85"/>
        <v>#REF!</v>
      </c>
      <c r="L112" s="2">
        <f t="shared" si="108"/>
        <v>0.50000000000000044</v>
      </c>
      <c r="M112" s="2">
        <f t="shared" si="92"/>
        <v>3.9623576027736501E-3</v>
      </c>
      <c r="N112" s="2">
        <v>5</v>
      </c>
      <c r="O112" s="2" t="e">
        <f>N112*#REF!</f>
        <v>#REF!</v>
      </c>
      <c r="P112" s="2">
        <v>1.5</v>
      </c>
      <c r="Q112" s="2" t="e">
        <f t="shared" si="103"/>
        <v>#REF!</v>
      </c>
      <c r="R112" s="2">
        <v>3</v>
      </c>
      <c r="S112" s="2" t="e">
        <f t="shared" si="104"/>
        <v>#REF!</v>
      </c>
      <c r="T112" s="2" t="e">
        <f t="shared" si="105"/>
        <v>#REF!</v>
      </c>
      <c r="U112" s="2">
        <v>50</v>
      </c>
      <c r="V112" s="2">
        <f t="shared" si="106"/>
        <v>25.000000000000021</v>
      </c>
      <c r="W112" s="2" t="e">
        <f t="shared" si="107"/>
        <v>#REF!</v>
      </c>
      <c r="X112" s="2">
        <v>40000</v>
      </c>
      <c r="Y112" s="2" t="e">
        <f t="shared" si="93"/>
        <v>#REF!</v>
      </c>
      <c r="Z112" s="2" t="e">
        <f t="shared" si="94"/>
        <v>#REF!</v>
      </c>
      <c r="AA112" s="2" t="e">
        <f t="shared" si="86"/>
        <v>#REF!</v>
      </c>
      <c r="AB112" s="2" t="e">
        <f t="shared" si="87"/>
        <v>#REF!</v>
      </c>
      <c r="AC112" s="2">
        <f t="shared" si="109"/>
        <v>24204</v>
      </c>
      <c r="AD112" s="2">
        <f t="shared" si="110"/>
        <v>111</v>
      </c>
      <c r="AE112" s="2">
        <f t="shared" si="95"/>
        <v>102</v>
      </c>
      <c r="AF112" s="2" t="str">
        <f t="shared" si="111"/>
        <v>chest_shard</v>
      </c>
      <c r="AG112" s="2" t="str">
        <f t="shared" si="112"/>
        <v>StoreDoubleKey_1</v>
      </c>
      <c r="AH112" s="2" t="str">
        <f t="shared" si="96"/>
        <v>StoreFund_3</v>
      </c>
      <c r="AI112" s="2" t="str">
        <f t="shared" si="88"/>
        <v>[24204,111,102]</v>
      </c>
      <c r="AJ112" s="2" t="str">
        <f t="shared" si="89"/>
        <v>[3,50,40000]</v>
      </c>
      <c r="AK112" s="2" t="str">
        <f t="shared" si="90"/>
        <v>[chest_shard,StoreDoubleKey_1,StoreFund_3]</v>
      </c>
      <c r="AL112" s="2" t="str">
        <f t="shared" si="91"/>
        <v>5+5+碎片礼包</v>
      </c>
      <c r="AM112" s="1" t="str">
        <f t="shared" si="113"/>
        <v xml:space="preserve"> T3General Shard</v>
      </c>
      <c r="AN112" s="1" t="str">
        <f t="shared" si="114"/>
        <v>DoubleKeys</v>
      </c>
      <c r="AO112" s="1" t="str">
        <f t="shared" si="97"/>
        <v>Funds</v>
      </c>
    </row>
    <row r="113" spans="7:41" x14ac:dyDescent="0.3">
      <c r="G113" s="2">
        <v>5</v>
      </c>
      <c r="H113" s="2" t="s">
        <v>2567</v>
      </c>
      <c r="I113" s="2" t="s">
        <v>578</v>
      </c>
      <c r="J113" s="2" t="s">
        <v>317</v>
      </c>
      <c r="K113" s="2" t="e">
        <f t="shared" si="85"/>
        <v>#REF!</v>
      </c>
      <c r="L113" s="2">
        <f t="shared" si="108"/>
        <v>60</v>
      </c>
      <c r="M113" s="2">
        <f t="shared" si="92"/>
        <v>1</v>
      </c>
      <c r="N113" s="2">
        <v>10</v>
      </c>
      <c r="O113" s="2" t="e">
        <f>N113*#REF!</f>
        <v>#REF!</v>
      </c>
      <c r="P113" s="2">
        <v>1.5</v>
      </c>
      <c r="Q113" s="2" t="e">
        <f t="shared" si="103"/>
        <v>#REF!</v>
      </c>
      <c r="R113" s="2">
        <v>2</v>
      </c>
      <c r="S113" s="2" t="e">
        <f t="shared" si="104"/>
        <v>#REF!</v>
      </c>
      <c r="T113" s="2" t="e">
        <f t="shared" si="105"/>
        <v>#REF!</v>
      </c>
      <c r="U113" s="2">
        <v>10</v>
      </c>
      <c r="V113" s="2">
        <f t="shared" si="106"/>
        <v>600</v>
      </c>
      <c r="W113" s="2" t="e">
        <f t="shared" si="107"/>
        <v>#REF!</v>
      </c>
      <c r="X113" s="2">
        <v>500</v>
      </c>
      <c r="Y113" s="2" t="e">
        <f t="shared" si="93"/>
        <v>#REF!</v>
      </c>
      <c r="Z113" s="2" t="e">
        <f t="shared" si="94"/>
        <v>#REF!</v>
      </c>
      <c r="AA113" s="2" t="e">
        <f t="shared" si="86"/>
        <v>#REF!</v>
      </c>
      <c r="AB113" s="2" t="e">
        <f t="shared" si="87"/>
        <v>#REF!</v>
      </c>
      <c r="AC113" s="2">
        <f t="shared" si="109"/>
        <v>23204</v>
      </c>
      <c r="AD113" s="2">
        <f t="shared" si="110"/>
        <v>100302</v>
      </c>
      <c r="AE113" s="2">
        <f t="shared" si="95"/>
        <v>101</v>
      </c>
      <c r="AF113" s="2" t="str">
        <f t="shared" si="111"/>
        <v>chest_tankpart</v>
      </c>
      <c r="AG113" s="2" t="str">
        <f t="shared" si="112"/>
        <v>StoreQuikenItem_1</v>
      </c>
      <c r="AH113" s="2" t="str">
        <f t="shared" si="96"/>
        <v>StoreDiamond_1</v>
      </c>
      <c r="AI113" s="2" t="str">
        <f t="shared" si="88"/>
        <v>[23204,100302,101]</v>
      </c>
      <c r="AJ113" s="2" t="str">
        <f t="shared" si="89"/>
        <v>[2,10,500]</v>
      </c>
      <c r="AK113" s="2" t="str">
        <f t="shared" si="90"/>
        <v>[chest_tankpart,StoreQuikenItem_1,StoreDiamond_1]</v>
      </c>
      <c r="AL113" s="2" t="str">
        <f t="shared" si="91"/>
        <v>5+10+部件礼包</v>
      </c>
      <c r="AM113" s="1" t="str">
        <f t="shared" si="113"/>
        <v>T2 Component</v>
      </c>
      <c r="AN113" s="1" t="str">
        <f t="shared" si="114"/>
        <v>1H_X3_Accelerater</v>
      </c>
      <c r="AO113" s="1" t="str">
        <f t="shared" si="97"/>
        <v>Diamond</v>
      </c>
    </row>
    <row r="114" spans="7:41" x14ac:dyDescent="0.3">
      <c r="G114" s="2">
        <v>5</v>
      </c>
      <c r="H114" s="2" t="s">
        <v>2581</v>
      </c>
      <c r="I114" s="2" t="s">
        <v>511</v>
      </c>
      <c r="J114" s="2" t="s">
        <v>268</v>
      </c>
      <c r="K114" s="2" t="e">
        <f t="shared" si="85"/>
        <v>#REF!</v>
      </c>
      <c r="L114" s="2">
        <f t="shared" si="108"/>
        <v>0.50000000000000044</v>
      </c>
      <c r="M114" s="2">
        <f t="shared" si="92"/>
        <v>3.9623576027736501E-3</v>
      </c>
      <c r="N114" s="2">
        <v>10</v>
      </c>
      <c r="O114" s="2" t="e">
        <f>N114*#REF!</f>
        <v>#REF!</v>
      </c>
      <c r="P114" s="2">
        <v>1.5</v>
      </c>
      <c r="Q114" s="2" t="e">
        <f t="shared" si="103"/>
        <v>#REF!</v>
      </c>
      <c r="R114" s="2">
        <v>7</v>
      </c>
      <c r="S114" s="2" t="e">
        <f t="shared" si="104"/>
        <v>#REF!</v>
      </c>
      <c r="T114" s="2" t="e">
        <f t="shared" si="105"/>
        <v>#REF!</v>
      </c>
      <c r="U114" s="2">
        <v>50</v>
      </c>
      <c r="V114" s="2">
        <f t="shared" si="106"/>
        <v>25.000000000000021</v>
      </c>
      <c r="W114" s="2" t="e">
        <f t="shared" si="107"/>
        <v>#REF!</v>
      </c>
      <c r="X114" s="2">
        <v>50000</v>
      </c>
      <c r="Y114" s="2" t="e">
        <f t="shared" si="93"/>
        <v>#REF!</v>
      </c>
      <c r="Z114" s="2" t="e">
        <f t="shared" si="94"/>
        <v>#REF!</v>
      </c>
      <c r="AA114" s="2" t="e">
        <f t="shared" si="86"/>
        <v>#REF!</v>
      </c>
      <c r="AB114" s="2" t="e">
        <f t="shared" si="87"/>
        <v>#REF!</v>
      </c>
      <c r="AC114" s="2">
        <f t="shared" si="109"/>
        <v>24204</v>
      </c>
      <c r="AD114" s="2">
        <f t="shared" si="110"/>
        <v>111</v>
      </c>
      <c r="AE114" s="2">
        <f t="shared" si="95"/>
        <v>102</v>
      </c>
      <c r="AF114" s="2" t="str">
        <f t="shared" si="111"/>
        <v>chest_shard</v>
      </c>
      <c r="AG114" s="2" t="str">
        <f t="shared" si="112"/>
        <v>StoreDoubleKey_1</v>
      </c>
      <c r="AH114" s="2" t="str">
        <f t="shared" si="96"/>
        <v>StoreFund_3</v>
      </c>
      <c r="AI114" s="2" t="str">
        <f t="shared" si="88"/>
        <v>[24204,111,102]</v>
      </c>
      <c r="AJ114" s="2" t="str">
        <f t="shared" si="89"/>
        <v>[7,50,50000]</v>
      </c>
      <c r="AK114" s="2" t="str">
        <f t="shared" si="90"/>
        <v>[chest_shard,StoreDoubleKey_1,StoreFund_3]</v>
      </c>
      <c r="AL114" s="2" t="str">
        <f t="shared" si="91"/>
        <v>5+10+碎片礼包</v>
      </c>
      <c r="AM114" s="1" t="str">
        <f t="shared" si="113"/>
        <v xml:space="preserve"> T3General Shard</v>
      </c>
      <c r="AN114" s="1" t="str">
        <f t="shared" si="114"/>
        <v>DoubleKeys</v>
      </c>
      <c r="AO114" s="1" t="str">
        <f t="shared" si="97"/>
        <v>Funds</v>
      </c>
    </row>
    <row r="115" spans="7:41" x14ac:dyDescent="0.3">
      <c r="G115" s="2">
        <v>5</v>
      </c>
      <c r="H115" s="2" t="s">
        <v>2569</v>
      </c>
      <c r="I115" s="2" t="s">
        <v>578</v>
      </c>
      <c r="J115" s="2" t="s">
        <v>317</v>
      </c>
      <c r="K115" s="2" t="e">
        <f t="shared" si="85"/>
        <v>#REF!</v>
      </c>
      <c r="L115" s="2">
        <f t="shared" si="108"/>
        <v>60</v>
      </c>
      <c r="M115" s="2">
        <f t="shared" si="92"/>
        <v>1</v>
      </c>
      <c r="N115" s="2">
        <v>20</v>
      </c>
      <c r="O115" s="2" t="e">
        <f>N115*#REF!</f>
        <v>#REF!</v>
      </c>
      <c r="P115" s="2">
        <v>1.5</v>
      </c>
      <c r="Q115" s="2" t="e">
        <f t="shared" si="103"/>
        <v>#REF!</v>
      </c>
      <c r="R115" s="2">
        <v>2</v>
      </c>
      <c r="S115" s="2" t="e">
        <f t="shared" si="104"/>
        <v>#REF!</v>
      </c>
      <c r="T115" s="2" t="e">
        <f t="shared" si="105"/>
        <v>#REF!</v>
      </c>
      <c r="U115" s="2">
        <v>10</v>
      </c>
      <c r="V115" s="2">
        <f t="shared" si="106"/>
        <v>600</v>
      </c>
      <c r="W115" s="2" t="e">
        <f t="shared" si="107"/>
        <v>#REF!</v>
      </c>
      <c r="X115" s="2">
        <v>2000</v>
      </c>
      <c r="Y115" s="2" t="e">
        <f t="shared" si="93"/>
        <v>#REF!</v>
      </c>
      <c r="Z115" s="2" t="e">
        <f t="shared" si="94"/>
        <v>#REF!</v>
      </c>
      <c r="AA115" s="2" t="e">
        <f t="shared" si="86"/>
        <v>#REF!</v>
      </c>
      <c r="AB115" s="2" t="e">
        <f t="shared" si="87"/>
        <v>#REF!</v>
      </c>
      <c r="AC115" s="2">
        <f t="shared" si="109"/>
        <v>23205</v>
      </c>
      <c r="AD115" s="2">
        <f t="shared" si="110"/>
        <v>100302</v>
      </c>
      <c r="AE115" s="2">
        <f t="shared" si="95"/>
        <v>101</v>
      </c>
      <c r="AF115" s="2" t="str">
        <f t="shared" si="111"/>
        <v>chest_tankpart</v>
      </c>
      <c r="AG115" s="2" t="str">
        <f t="shared" si="112"/>
        <v>StoreQuikenItem_1</v>
      </c>
      <c r="AH115" s="2" t="str">
        <f t="shared" si="96"/>
        <v>StoreDiamond_1</v>
      </c>
      <c r="AI115" s="2" t="str">
        <f t="shared" si="88"/>
        <v>[23205,100302,101]</v>
      </c>
      <c r="AJ115" s="2" t="str">
        <f t="shared" si="89"/>
        <v>[2,10,2000]</v>
      </c>
      <c r="AK115" s="2" t="str">
        <f t="shared" si="90"/>
        <v>[chest_tankpart,StoreQuikenItem_1,StoreDiamond_1]</v>
      </c>
      <c r="AL115" s="2" t="str">
        <f t="shared" si="91"/>
        <v>5+20+部件礼包</v>
      </c>
      <c r="AM115" s="1" t="str">
        <f t="shared" si="113"/>
        <v>T2 Component</v>
      </c>
      <c r="AN115" s="1" t="str">
        <f t="shared" si="114"/>
        <v>1H_X3_Accelerater</v>
      </c>
      <c r="AO115" s="1" t="str">
        <f t="shared" si="97"/>
        <v>Diamond</v>
      </c>
    </row>
    <row r="116" spans="7:41" x14ac:dyDescent="0.3">
      <c r="G116" s="2">
        <v>5</v>
      </c>
      <c r="H116" s="2" t="s">
        <v>2583</v>
      </c>
      <c r="I116" s="2" t="s">
        <v>511</v>
      </c>
      <c r="J116" s="2" t="s">
        <v>268</v>
      </c>
      <c r="K116" s="2" t="e">
        <f t="shared" si="85"/>
        <v>#REF!</v>
      </c>
      <c r="L116" s="2">
        <f t="shared" si="108"/>
        <v>0.50000000000000044</v>
      </c>
      <c r="M116" s="2">
        <f t="shared" si="92"/>
        <v>3.9623576027736501E-3</v>
      </c>
      <c r="N116" s="2">
        <v>20</v>
      </c>
      <c r="O116" s="2" t="e">
        <f>N116*#REF!</f>
        <v>#REF!</v>
      </c>
      <c r="P116" s="2">
        <v>1.5</v>
      </c>
      <c r="Q116" s="2" t="e">
        <f t="shared" si="103"/>
        <v>#REF!</v>
      </c>
      <c r="R116" s="2">
        <v>12</v>
      </c>
      <c r="S116" s="2" t="e">
        <f t="shared" si="104"/>
        <v>#REF!</v>
      </c>
      <c r="T116" s="2" t="e">
        <f t="shared" si="105"/>
        <v>#REF!</v>
      </c>
      <c r="U116" s="2">
        <v>100</v>
      </c>
      <c r="V116" s="2">
        <f t="shared" si="106"/>
        <v>50.000000000000043</v>
      </c>
      <c r="W116" s="2" t="e">
        <f t="shared" si="107"/>
        <v>#REF!</v>
      </c>
      <c r="X116" s="2">
        <v>100000</v>
      </c>
      <c r="Y116" s="2" t="e">
        <f t="shared" si="93"/>
        <v>#REF!</v>
      </c>
      <c r="Z116" s="2" t="e">
        <f t="shared" si="94"/>
        <v>#REF!</v>
      </c>
      <c r="AA116" s="2" t="e">
        <f t="shared" si="86"/>
        <v>#REF!</v>
      </c>
      <c r="AB116" s="2" t="e">
        <f t="shared" si="87"/>
        <v>#REF!</v>
      </c>
      <c r="AC116" s="2">
        <f t="shared" si="109"/>
        <v>24205</v>
      </c>
      <c r="AD116" s="2">
        <f t="shared" si="110"/>
        <v>111</v>
      </c>
      <c r="AE116" s="2">
        <f t="shared" si="95"/>
        <v>102</v>
      </c>
      <c r="AF116" s="2" t="str">
        <f t="shared" si="111"/>
        <v>chest_shard</v>
      </c>
      <c r="AG116" s="2" t="str">
        <f t="shared" si="112"/>
        <v>StoreDoubleKey_1</v>
      </c>
      <c r="AH116" s="2" t="str">
        <f t="shared" si="96"/>
        <v>StoreFund_3</v>
      </c>
      <c r="AI116" s="2" t="str">
        <f t="shared" si="88"/>
        <v>[24205,111,102]</v>
      </c>
      <c r="AJ116" s="2" t="str">
        <f t="shared" si="89"/>
        <v>[12,100,100000]</v>
      </c>
      <c r="AK116" s="2" t="str">
        <f t="shared" si="90"/>
        <v>[chest_shard,StoreDoubleKey_1,StoreFund_3]</v>
      </c>
      <c r="AL116" s="2" t="str">
        <f t="shared" si="91"/>
        <v>5+20+碎片礼包</v>
      </c>
      <c r="AM116" s="1" t="str">
        <f t="shared" si="113"/>
        <v>T3 Senior Shard</v>
      </c>
      <c r="AN116" s="1" t="str">
        <f t="shared" si="114"/>
        <v>DoubleKeys</v>
      </c>
      <c r="AO116" s="1" t="str">
        <f t="shared" si="97"/>
        <v>Funds</v>
      </c>
    </row>
    <row r="117" spans="7:41" x14ac:dyDescent="0.3">
      <c r="G117" s="2">
        <v>5</v>
      </c>
      <c r="H117" s="2" t="s">
        <v>2540</v>
      </c>
      <c r="I117" s="2" t="s">
        <v>578</v>
      </c>
      <c r="J117" s="2" t="s">
        <v>317</v>
      </c>
      <c r="K117" s="2" t="e">
        <f t="shared" si="85"/>
        <v>#N/A</v>
      </c>
      <c r="L117" s="2">
        <f t="shared" si="108"/>
        <v>60</v>
      </c>
      <c r="M117" s="2">
        <f t="shared" si="92"/>
        <v>1</v>
      </c>
      <c r="N117" s="2">
        <v>50</v>
      </c>
      <c r="O117" s="2" t="e">
        <f>N117*#REF!</f>
        <v>#REF!</v>
      </c>
      <c r="P117" s="2">
        <v>1.5</v>
      </c>
      <c r="Q117" s="2" t="e">
        <f t="shared" si="103"/>
        <v>#REF!</v>
      </c>
      <c r="R117" s="2">
        <v>1</v>
      </c>
      <c r="S117" s="2" t="e">
        <f t="shared" si="104"/>
        <v>#N/A</v>
      </c>
      <c r="T117" s="2" t="e">
        <f t="shared" si="105"/>
        <v>#N/A</v>
      </c>
      <c r="U117" s="2">
        <v>12</v>
      </c>
      <c r="V117" s="2">
        <f t="shared" si="106"/>
        <v>720</v>
      </c>
      <c r="W117" s="2" t="e">
        <f t="shared" si="107"/>
        <v>#REF!</v>
      </c>
      <c r="X117" s="2">
        <v>4800</v>
      </c>
      <c r="Y117" s="2" t="e">
        <f t="shared" si="93"/>
        <v>#N/A</v>
      </c>
      <c r="Z117" s="2" t="e">
        <f t="shared" si="94"/>
        <v>#N/A</v>
      </c>
      <c r="AA117" s="2" t="e">
        <f t="shared" si="86"/>
        <v>#N/A</v>
      </c>
      <c r="AB117" s="2" t="e">
        <f t="shared" si="87"/>
        <v>#N/A</v>
      </c>
      <c r="AC117" s="2">
        <f t="shared" si="109"/>
        <v>25555</v>
      </c>
      <c r="AD117" s="2">
        <f t="shared" si="110"/>
        <v>100302</v>
      </c>
      <c r="AE117" s="2">
        <f t="shared" si="95"/>
        <v>101</v>
      </c>
      <c r="AF117" s="2" t="str">
        <f t="shared" si="111"/>
        <v>chest_lv6_icon</v>
      </c>
      <c r="AG117" s="2" t="str">
        <f t="shared" si="112"/>
        <v>StoreQuikenItem_1</v>
      </c>
      <c r="AH117" s="2" t="str">
        <f t="shared" si="96"/>
        <v>StoreDiamond_1</v>
      </c>
      <c r="AI117" s="2" t="str">
        <f t="shared" si="88"/>
        <v>[25555,100302,101]</v>
      </c>
      <c r="AJ117" s="2" t="str">
        <f t="shared" si="89"/>
        <v>[1,12,4800]</v>
      </c>
      <c r="AK117" s="2" t="str">
        <f t="shared" si="90"/>
        <v>[chest_lv6_icon,StoreQuikenItem_1,StoreDiamond_1]</v>
      </c>
      <c r="AL117" s="2" t="str">
        <f t="shared" si="91"/>
        <v>5+50+史诗自宝</v>
      </c>
      <c r="AM117" s="1" t="str">
        <f t="shared" si="113"/>
        <v>Rank 5 Epic Chest</v>
      </c>
      <c r="AN117" s="1" t="str">
        <f t="shared" si="114"/>
        <v>1H_X3_Accelerater</v>
      </c>
      <c r="AO117" s="1" t="str">
        <f t="shared" si="97"/>
        <v>Diamond</v>
      </c>
    </row>
    <row r="118" spans="7:41" x14ac:dyDescent="0.3">
      <c r="G118" s="2">
        <v>5</v>
      </c>
      <c r="H118" s="2" t="s">
        <v>2583</v>
      </c>
      <c r="I118" s="2" t="s">
        <v>511</v>
      </c>
      <c r="J118" s="2" t="s">
        <v>268</v>
      </c>
      <c r="K118" s="2" t="e">
        <f t="shared" si="85"/>
        <v>#REF!</v>
      </c>
      <c r="L118" s="2">
        <f t="shared" si="108"/>
        <v>0.50000000000000044</v>
      </c>
      <c r="M118" s="2">
        <f t="shared" si="92"/>
        <v>3.9623576027736501E-3</v>
      </c>
      <c r="N118" s="2">
        <v>50</v>
      </c>
      <c r="O118" s="2" t="e">
        <f>N118*#REF!</f>
        <v>#REF!</v>
      </c>
      <c r="P118" s="2">
        <v>1.5</v>
      </c>
      <c r="Q118" s="2" t="e">
        <f t="shared" si="103"/>
        <v>#REF!</v>
      </c>
      <c r="R118" s="2">
        <v>34</v>
      </c>
      <c r="S118" s="2" t="e">
        <f t="shared" si="104"/>
        <v>#REF!</v>
      </c>
      <c r="T118" s="2" t="e">
        <f t="shared" si="105"/>
        <v>#REF!</v>
      </c>
      <c r="U118" s="2">
        <v>50</v>
      </c>
      <c r="V118" s="2">
        <f t="shared" si="106"/>
        <v>25.000000000000021</v>
      </c>
      <c r="W118" s="2" t="e">
        <f t="shared" si="107"/>
        <v>#REF!</v>
      </c>
      <c r="X118" s="2">
        <v>80000</v>
      </c>
      <c r="Y118" s="2" t="e">
        <f t="shared" si="93"/>
        <v>#REF!</v>
      </c>
      <c r="Z118" s="2" t="e">
        <f t="shared" si="94"/>
        <v>#REF!</v>
      </c>
      <c r="AA118" s="2" t="e">
        <f t="shared" si="86"/>
        <v>#REF!</v>
      </c>
      <c r="AB118" s="2" t="e">
        <f t="shared" si="87"/>
        <v>#REF!</v>
      </c>
      <c r="AC118" s="2">
        <f t="shared" si="109"/>
        <v>24205</v>
      </c>
      <c r="AD118" s="2">
        <f t="shared" si="110"/>
        <v>111</v>
      </c>
      <c r="AE118" s="2">
        <f t="shared" si="95"/>
        <v>102</v>
      </c>
      <c r="AF118" s="2" t="str">
        <f t="shared" si="111"/>
        <v>chest_shard</v>
      </c>
      <c r="AG118" s="2" t="str">
        <f t="shared" si="112"/>
        <v>StoreDoubleKey_1</v>
      </c>
      <c r="AH118" s="2" t="str">
        <f t="shared" si="96"/>
        <v>StoreFund_3</v>
      </c>
      <c r="AI118" s="2" t="str">
        <f t="shared" si="88"/>
        <v>[24205,111,102]</v>
      </c>
      <c r="AJ118" s="2" t="str">
        <f t="shared" si="89"/>
        <v>[34,50,80000]</v>
      </c>
      <c r="AK118" s="2" t="str">
        <f t="shared" si="90"/>
        <v>[chest_shard,StoreDoubleKey_1,StoreFund_3]</v>
      </c>
      <c r="AL118" s="2" t="str">
        <f t="shared" si="91"/>
        <v>5+50+碎片礼包</v>
      </c>
      <c r="AM118" s="1" t="str">
        <f t="shared" si="113"/>
        <v>T3 Senior Shard</v>
      </c>
      <c r="AN118" s="1" t="str">
        <f t="shared" si="114"/>
        <v>DoubleKeys</v>
      </c>
      <c r="AO118" s="1" t="str">
        <f t="shared" si="97"/>
        <v>Funds</v>
      </c>
    </row>
    <row r="119" spans="7:41" x14ac:dyDescent="0.3">
      <c r="G119" s="2">
        <v>6</v>
      </c>
      <c r="H119" s="2" t="s">
        <v>2567</v>
      </c>
      <c r="I119" s="2" t="s">
        <v>578</v>
      </c>
      <c r="J119" s="2" t="s">
        <v>317</v>
      </c>
      <c r="K119" s="2" t="e">
        <f t="shared" ref="K119:K150" si="115">IFERROR(VLOOKUP(LEFT(H119,4),$B$40:$C$81,2,FALSE),VLOOKUP(H119,$B$40:$C$81,2,FALSE))</f>
        <v>#REF!</v>
      </c>
      <c r="L119" s="2">
        <f t="shared" si="108"/>
        <v>60</v>
      </c>
      <c r="M119" s="2">
        <f t="shared" si="92"/>
        <v>1</v>
      </c>
      <c r="N119" s="2">
        <v>5</v>
      </c>
      <c r="O119" s="2" t="e">
        <f>N119*#REF!</f>
        <v>#REF!</v>
      </c>
      <c r="P119" s="34">
        <f t="shared" ref="P119:P126" si="116">1/0.6</f>
        <v>1.6666666666666667</v>
      </c>
      <c r="Q119" s="2" t="e">
        <f t="shared" ref="Q119:Q126" si="117">O119*P119</f>
        <v>#REF!</v>
      </c>
      <c r="R119" s="2">
        <v>1</v>
      </c>
      <c r="S119" s="2" t="e">
        <f t="shared" ref="S119:S126" si="118">R119*K119</f>
        <v>#REF!</v>
      </c>
      <c r="T119" s="2" t="e">
        <f t="shared" ref="T119:T126" si="119">S119/Q119</f>
        <v>#REF!</v>
      </c>
      <c r="U119" s="2">
        <v>5</v>
      </c>
      <c r="V119" s="2">
        <f t="shared" ref="V119:V126" si="120">U119*L119</f>
        <v>300</v>
      </c>
      <c r="W119" s="2" t="e">
        <f t="shared" ref="W119:W126" si="121">V119/Q119</f>
        <v>#REF!</v>
      </c>
      <c r="X119" s="2">
        <v>300</v>
      </c>
      <c r="Y119" s="2" t="e">
        <f t="shared" si="93"/>
        <v>#REF!</v>
      </c>
      <c r="Z119" s="2" t="e">
        <f t="shared" si="94"/>
        <v>#REF!</v>
      </c>
      <c r="AA119" s="2" t="e">
        <f t="shared" ref="AA119:AA150" si="122">R119*K119+U119*L119+X119*M119</f>
        <v>#REF!</v>
      </c>
      <c r="AB119" s="2" t="e">
        <f t="shared" ref="AB119:AB150" si="123">1-1/(AA119/O119)</f>
        <v>#REF!</v>
      </c>
      <c r="AC119" s="2">
        <f t="shared" si="109"/>
        <v>23204</v>
      </c>
      <c r="AD119" s="2">
        <f t="shared" si="110"/>
        <v>100302</v>
      </c>
      <c r="AE119" s="2">
        <f t="shared" si="95"/>
        <v>101</v>
      </c>
      <c r="AF119" s="2" t="str">
        <f t="shared" si="111"/>
        <v>chest_tankpart</v>
      </c>
      <c r="AG119" s="2" t="str">
        <f t="shared" si="112"/>
        <v>StoreQuikenItem_1</v>
      </c>
      <c r="AH119" s="2" t="str">
        <f t="shared" si="96"/>
        <v>StoreDiamond_1</v>
      </c>
      <c r="AI119" s="2" t="str">
        <f t="shared" si="88"/>
        <v>[23204,100302,101]</v>
      </c>
      <c r="AJ119" s="2" t="str">
        <f t="shared" si="89"/>
        <v>[1,5,300]</v>
      </c>
      <c r="AK119" s="2" t="str">
        <f t="shared" si="90"/>
        <v>[chest_tankpart,StoreQuikenItem_1,StoreDiamond_1]</v>
      </c>
      <c r="AL119" s="2" t="str">
        <f t="shared" si="91"/>
        <v>6+5+部件礼包</v>
      </c>
      <c r="AM119" s="1" t="str">
        <f t="shared" si="113"/>
        <v>T2 Component</v>
      </c>
      <c r="AN119" s="1" t="str">
        <f t="shared" si="114"/>
        <v>1H_X3_Accelerater</v>
      </c>
      <c r="AO119" s="1" t="str">
        <f t="shared" si="97"/>
        <v>Diamond</v>
      </c>
    </row>
    <row r="120" spans="7:41" x14ac:dyDescent="0.3">
      <c r="G120" s="2">
        <v>6</v>
      </c>
      <c r="H120" s="2" t="s">
        <v>2583</v>
      </c>
      <c r="I120" s="2" t="s">
        <v>511</v>
      </c>
      <c r="J120" s="2" t="s">
        <v>268</v>
      </c>
      <c r="K120" s="2" t="e">
        <f t="shared" si="115"/>
        <v>#REF!</v>
      </c>
      <c r="L120" s="2">
        <f t="shared" si="108"/>
        <v>0.50000000000000044</v>
      </c>
      <c r="M120" s="2">
        <f t="shared" si="92"/>
        <v>3.9623576027736501E-3</v>
      </c>
      <c r="N120" s="2">
        <v>5</v>
      </c>
      <c r="O120" s="2" t="e">
        <f>N120*#REF!</f>
        <v>#REF!</v>
      </c>
      <c r="P120" s="34">
        <f t="shared" si="116"/>
        <v>1.6666666666666667</v>
      </c>
      <c r="Q120" s="2" t="e">
        <f t="shared" si="117"/>
        <v>#REF!</v>
      </c>
      <c r="R120" s="2">
        <v>2</v>
      </c>
      <c r="S120" s="2" t="e">
        <f t="shared" si="118"/>
        <v>#REF!</v>
      </c>
      <c r="T120" s="2" t="e">
        <f t="shared" si="119"/>
        <v>#REF!</v>
      </c>
      <c r="U120" s="2">
        <v>50</v>
      </c>
      <c r="V120" s="2">
        <f t="shared" si="120"/>
        <v>25.000000000000021</v>
      </c>
      <c r="W120" s="2" t="e">
        <f t="shared" si="121"/>
        <v>#REF!</v>
      </c>
      <c r="X120" s="2">
        <v>90000</v>
      </c>
      <c r="Y120" s="2" t="e">
        <f t="shared" si="93"/>
        <v>#REF!</v>
      </c>
      <c r="Z120" s="2" t="e">
        <f t="shared" si="94"/>
        <v>#REF!</v>
      </c>
      <c r="AA120" s="2" t="e">
        <f t="shared" si="122"/>
        <v>#REF!</v>
      </c>
      <c r="AB120" s="2" t="e">
        <f t="shared" si="123"/>
        <v>#REF!</v>
      </c>
      <c r="AC120" s="2">
        <f t="shared" si="109"/>
        <v>24205</v>
      </c>
      <c r="AD120" s="2">
        <f t="shared" si="110"/>
        <v>111</v>
      </c>
      <c r="AE120" s="2">
        <f t="shared" si="95"/>
        <v>102</v>
      </c>
      <c r="AF120" s="2" t="str">
        <f t="shared" si="111"/>
        <v>chest_shard</v>
      </c>
      <c r="AG120" s="2" t="str">
        <f t="shared" si="112"/>
        <v>StoreDoubleKey_1</v>
      </c>
      <c r="AH120" s="2" t="str">
        <f t="shared" si="96"/>
        <v>StoreFund_3</v>
      </c>
      <c r="AI120" s="2" t="str">
        <f t="shared" si="88"/>
        <v>[24205,111,102]</v>
      </c>
      <c r="AJ120" s="2" t="str">
        <f t="shared" si="89"/>
        <v>[2,50,90000]</v>
      </c>
      <c r="AK120" s="2" t="str">
        <f t="shared" si="90"/>
        <v>[chest_shard,StoreDoubleKey_1,StoreFund_3]</v>
      </c>
      <c r="AL120" s="2" t="str">
        <f t="shared" si="91"/>
        <v>6+5+碎片礼包</v>
      </c>
      <c r="AM120" s="1" t="str">
        <f t="shared" si="113"/>
        <v>T3 Senior Shard</v>
      </c>
      <c r="AN120" s="1" t="str">
        <f t="shared" si="114"/>
        <v>DoubleKeys</v>
      </c>
      <c r="AO120" s="1" t="str">
        <f t="shared" si="97"/>
        <v>Funds</v>
      </c>
    </row>
    <row r="121" spans="7:41" x14ac:dyDescent="0.3">
      <c r="G121" s="2">
        <v>6</v>
      </c>
      <c r="H121" s="2" t="s">
        <v>2567</v>
      </c>
      <c r="I121" s="2" t="s">
        <v>578</v>
      </c>
      <c r="J121" s="2" t="s">
        <v>317</v>
      </c>
      <c r="K121" s="2" t="e">
        <f t="shared" si="115"/>
        <v>#REF!</v>
      </c>
      <c r="L121" s="2">
        <f t="shared" si="108"/>
        <v>60</v>
      </c>
      <c r="M121" s="2">
        <f t="shared" si="92"/>
        <v>1</v>
      </c>
      <c r="N121" s="2">
        <v>10</v>
      </c>
      <c r="O121" s="2" t="e">
        <f>N121*#REF!</f>
        <v>#REF!</v>
      </c>
      <c r="P121" s="34">
        <f t="shared" si="116"/>
        <v>1.6666666666666667</v>
      </c>
      <c r="Q121" s="2" t="e">
        <f t="shared" si="117"/>
        <v>#REF!</v>
      </c>
      <c r="R121" s="2">
        <v>2</v>
      </c>
      <c r="S121" s="2" t="e">
        <f t="shared" si="118"/>
        <v>#REF!</v>
      </c>
      <c r="T121" s="2" t="e">
        <f t="shared" si="119"/>
        <v>#REF!</v>
      </c>
      <c r="U121" s="2">
        <v>10</v>
      </c>
      <c r="V121" s="2">
        <f t="shared" si="120"/>
        <v>600</v>
      </c>
      <c r="W121" s="2" t="e">
        <f t="shared" si="121"/>
        <v>#REF!</v>
      </c>
      <c r="X121" s="2">
        <v>700</v>
      </c>
      <c r="Y121" s="2" t="e">
        <f t="shared" si="93"/>
        <v>#REF!</v>
      </c>
      <c r="Z121" s="2" t="e">
        <f t="shared" si="94"/>
        <v>#REF!</v>
      </c>
      <c r="AA121" s="2" t="e">
        <f t="shared" si="122"/>
        <v>#REF!</v>
      </c>
      <c r="AB121" s="2" t="e">
        <f t="shared" si="123"/>
        <v>#REF!</v>
      </c>
      <c r="AC121" s="2">
        <f t="shared" si="109"/>
        <v>23204</v>
      </c>
      <c r="AD121" s="2">
        <f t="shared" si="110"/>
        <v>100302</v>
      </c>
      <c r="AE121" s="2">
        <f t="shared" si="95"/>
        <v>101</v>
      </c>
      <c r="AF121" s="2" t="str">
        <f t="shared" si="111"/>
        <v>chest_tankpart</v>
      </c>
      <c r="AG121" s="2" t="str">
        <f t="shared" si="112"/>
        <v>StoreQuikenItem_1</v>
      </c>
      <c r="AH121" s="2" t="str">
        <f t="shared" si="96"/>
        <v>StoreDiamond_1</v>
      </c>
      <c r="AI121" s="2" t="str">
        <f t="shared" si="88"/>
        <v>[23204,100302,101]</v>
      </c>
      <c r="AJ121" s="2" t="str">
        <f t="shared" si="89"/>
        <v>[2,10,700]</v>
      </c>
      <c r="AK121" s="2" t="str">
        <f t="shared" si="90"/>
        <v>[chest_tankpart,StoreQuikenItem_1,StoreDiamond_1]</v>
      </c>
      <c r="AL121" s="2" t="str">
        <f t="shared" si="91"/>
        <v>6+10+部件礼包</v>
      </c>
      <c r="AM121" s="1" t="str">
        <f t="shared" si="113"/>
        <v>T2 Component</v>
      </c>
      <c r="AN121" s="1" t="str">
        <f t="shared" si="114"/>
        <v>1H_X3_Accelerater</v>
      </c>
      <c r="AO121" s="1" t="str">
        <f t="shared" si="97"/>
        <v>Diamond</v>
      </c>
    </row>
    <row r="122" spans="7:41" x14ac:dyDescent="0.3">
      <c r="G122" s="2">
        <v>6</v>
      </c>
      <c r="H122" s="2" t="s">
        <v>2583</v>
      </c>
      <c r="I122" s="2" t="s">
        <v>511</v>
      </c>
      <c r="J122" s="2" t="s">
        <v>268</v>
      </c>
      <c r="K122" s="2" t="e">
        <f t="shared" si="115"/>
        <v>#REF!</v>
      </c>
      <c r="L122" s="2">
        <f t="shared" si="108"/>
        <v>0.50000000000000044</v>
      </c>
      <c r="M122" s="2">
        <f t="shared" si="92"/>
        <v>3.9623576027736501E-3</v>
      </c>
      <c r="N122" s="2">
        <v>10</v>
      </c>
      <c r="O122" s="2" t="e">
        <f>N122*#REF!</f>
        <v>#REF!</v>
      </c>
      <c r="P122" s="34">
        <f t="shared" si="116"/>
        <v>1.6666666666666667</v>
      </c>
      <c r="Q122" s="2" t="e">
        <f t="shared" si="117"/>
        <v>#REF!</v>
      </c>
      <c r="R122" s="2">
        <v>6</v>
      </c>
      <c r="S122" s="2" t="e">
        <f t="shared" si="118"/>
        <v>#REF!</v>
      </c>
      <c r="T122" s="2" t="e">
        <f t="shared" si="119"/>
        <v>#REF!</v>
      </c>
      <c r="U122" s="2">
        <v>50</v>
      </c>
      <c r="V122" s="2">
        <f t="shared" si="120"/>
        <v>25.000000000000021</v>
      </c>
      <c r="W122" s="2" t="e">
        <f t="shared" si="121"/>
        <v>#REF!</v>
      </c>
      <c r="X122" s="2">
        <v>90000</v>
      </c>
      <c r="Y122" s="2" t="e">
        <f t="shared" si="93"/>
        <v>#REF!</v>
      </c>
      <c r="Z122" s="2" t="e">
        <f t="shared" si="94"/>
        <v>#REF!</v>
      </c>
      <c r="AA122" s="2" t="e">
        <f t="shared" si="122"/>
        <v>#REF!</v>
      </c>
      <c r="AB122" s="2" t="e">
        <f t="shared" si="123"/>
        <v>#REF!</v>
      </c>
      <c r="AC122" s="2">
        <f t="shared" si="109"/>
        <v>24205</v>
      </c>
      <c r="AD122" s="2">
        <f t="shared" si="110"/>
        <v>111</v>
      </c>
      <c r="AE122" s="2">
        <f t="shared" si="95"/>
        <v>102</v>
      </c>
      <c r="AF122" s="2" t="str">
        <f t="shared" si="111"/>
        <v>chest_shard</v>
      </c>
      <c r="AG122" s="2" t="str">
        <f t="shared" si="112"/>
        <v>StoreDoubleKey_1</v>
      </c>
      <c r="AH122" s="2" t="str">
        <f t="shared" si="96"/>
        <v>StoreFund_3</v>
      </c>
      <c r="AI122" s="2" t="str">
        <f t="shared" si="88"/>
        <v>[24205,111,102]</v>
      </c>
      <c r="AJ122" s="2" t="str">
        <f t="shared" si="89"/>
        <v>[6,50,90000]</v>
      </c>
      <c r="AK122" s="2" t="str">
        <f t="shared" si="90"/>
        <v>[chest_shard,StoreDoubleKey_1,StoreFund_3]</v>
      </c>
      <c r="AL122" s="2" t="str">
        <f t="shared" si="91"/>
        <v>6+10+碎片礼包</v>
      </c>
      <c r="AM122" s="1" t="str">
        <f t="shared" si="113"/>
        <v>T3 Senior Shard</v>
      </c>
      <c r="AN122" s="1" t="str">
        <f t="shared" si="114"/>
        <v>DoubleKeys</v>
      </c>
      <c r="AO122" s="1" t="str">
        <f t="shared" si="97"/>
        <v>Funds</v>
      </c>
    </row>
    <row r="123" spans="7:41" x14ac:dyDescent="0.3">
      <c r="G123" s="2">
        <v>6</v>
      </c>
      <c r="H123" s="2" t="s">
        <v>2569</v>
      </c>
      <c r="I123" s="2" t="s">
        <v>578</v>
      </c>
      <c r="J123" s="2" t="s">
        <v>317</v>
      </c>
      <c r="K123" s="2" t="e">
        <f t="shared" si="115"/>
        <v>#REF!</v>
      </c>
      <c r="L123" s="2">
        <f t="shared" si="108"/>
        <v>60</v>
      </c>
      <c r="M123" s="2">
        <f t="shared" ref="M123:M154" si="124">VLOOKUP(J123,$B$40:$C$81,2,FALSE)</f>
        <v>1</v>
      </c>
      <c r="N123" s="2">
        <v>20</v>
      </c>
      <c r="O123" s="2" t="e">
        <f>N123*#REF!</f>
        <v>#REF!</v>
      </c>
      <c r="P123" s="34">
        <f t="shared" si="116"/>
        <v>1.6666666666666667</v>
      </c>
      <c r="Q123" s="2" t="e">
        <f t="shared" si="117"/>
        <v>#REF!</v>
      </c>
      <c r="R123" s="2">
        <v>2</v>
      </c>
      <c r="S123" s="2" t="e">
        <f t="shared" si="118"/>
        <v>#REF!</v>
      </c>
      <c r="T123" s="2" t="e">
        <f t="shared" si="119"/>
        <v>#REF!</v>
      </c>
      <c r="U123" s="2">
        <v>12</v>
      </c>
      <c r="V123" s="2">
        <f t="shared" si="120"/>
        <v>720</v>
      </c>
      <c r="W123" s="2" t="e">
        <f t="shared" si="121"/>
        <v>#REF!</v>
      </c>
      <c r="X123" s="2">
        <v>2200</v>
      </c>
      <c r="Y123" s="2" t="e">
        <f t="shared" ref="Y123:Y154" si="125">Z123*Q123</f>
        <v>#REF!</v>
      </c>
      <c r="Z123" s="2" t="e">
        <f t="shared" ref="Z123:Z154" si="126">1-T123-W123</f>
        <v>#REF!</v>
      </c>
      <c r="AA123" s="2" t="e">
        <f t="shared" si="122"/>
        <v>#REF!</v>
      </c>
      <c r="AB123" s="2" t="e">
        <f t="shared" si="123"/>
        <v>#REF!</v>
      </c>
      <c r="AC123" s="2">
        <f t="shared" si="109"/>
        <v>23205</v>
      </c>
      <c r="AD123" s="2">
        <f t="shared" si="110"/>
        <v>100302</v>
      </c>
      <c r="AE123" s="2">
        <f t="shared" ref="AE123:AE154" si="127">VLOOKUP(J123,道具ID,2,FALSE)</f>
        <v>101</v>
      </c>
      <c r="AF123" s="2" t="str">
        <f t="shared" si="111"/>
        <v>chest_tankpart</v>
      </c>
      <c r="AG123" s="2" t="str">
        <f t="shared" si="112"/>
        <v>StoreQuikenItem_1</v>
      </c>
      <c r="AH123" s="2" t="str">
        <f t="shared" ref="AH123:AH154" si="128">VLOOKUP(J123,道具ID,3,FALSE)</f>
        <v>StoreDiamond_1</v>
      </c>
      <c r="AI123" s="2" t="str">
        <f t="shared" si="88"/>
        <v>[23205,100302,101]</v>
      </c>
      <c r="AJ123" s="2" t="str">
        <f t="shared" si="89"/>
        <v>[2,12,2200]</v>
      </c>
      <c r="AK123" s="2" t="str">
        <f t="shared" si="90"/>
        <v>[chest_tankpart,StoreQuikenItem_1,StoreDiamond_1]</v>
      </c>
      <c r="AL123" s="2" t="str">
        <f t="shared" si="91"/>
        <v>6+20+部件礼包</v>
      </c>
      <c r="AM123" s="1" t="str">
        <f t="shared" si="113"/>
        <v>T2 Component</v>
      </c>
      <c r="AN123" s="1" t="str">
        <f t="shared" si="114"/>
        <v>1H_X3_Accelerater</v>
      </c>
      <c r="AO123" s="1" t="str">
        <f t="shared" ref="AO123:AO154" si="129">VLOOKUP(J123,道具ID,4,FALSE)</f>
        <v>Diamond</v>
      </c>
    </row>
    <row r="124" spans="7:41" x14ac:dyDescent="0.3">
      <c r="G124" s="2">
        <v>6</v>
      </c>
      <c r="H124" s="2" t="s">
        <v>2583</v>
      </c>
      <c r="I124" s="2" t="s">
        <v>511</v>
      </c>
      <c r="J124" s="2" t="s">
        <v>268</v>
      </c>
      <c r="K124" s="2" t="e">
        <f t="shared" si="115"/>
        <v>#REF!</v>
      </c>
      <c r="L124" s="2">
        <f t="shared" si="108"/>
        <v>0.50000000000000044</v>
      </c>
      <c r="M124" s="2">
        <f t="shared" si="124"/>
        <v>3.9623576027736501E-3</v>
      </c>
      <c r="N124" s="2">
        <v>20</v>
      </c>
      <c r="O124" s="2" t="e">
        <f>N124*#REF!</f>
        <v>#REF!</v>
      </c>
      <c r="P124" s="34">
        <f t="shared" si="116"/>
        <v>1.6666666666666667</v>
      </c>
      <c r="Q124" s="2" t="e">
        <f t="shared" si="117"/>
        <v>#REF!</v>
      </c>
      <c r="R124" s="2">
        <v>15</v>
      </c>
      <c r="S124" s="2" t="e">
        <f t="shared" si="118"/>
        <v>#REF!</v>
      </c>
      <c r="T124" s="2" t="e">
        <f t="shared" si="119"/>
        <v>#REF!</v>
      </c>
      <c r="U124" s="2">
        <v>50</v>
      </c>
      <c r="V124" s="2">
        <f t="shared" si="120"/>
        <v>25.000000000000021</v>
      </c>
      <c r="W124" s="2" t="e">
        <f t="shared" si="121"/>
        <v>#REF!</v>
      </c>
      <c r="X124" s="2">
        <v>40000</v>
      </c>
      <c r="Y124" s="2" t="e">
        <f t="shared" si="125"/>
        <v>#REF!</v>
      </c>
      <c r="Z124" s="2" t="e">
        <f t="shared" si="126"/>
        <v>#REF!</v>
      </c>
      <c r="AA124" s="2" t="e">
        <f t="shared" si="122"/>
        <v>#REF!</v>
      </c>
      <c r="AB124" s="2" t="e">
        <f t="shared" si="123"/>
        <v>#REF!</v>
      </c>
      <c r="AC124" s="2">
        <f t="shared" si="109"/>
        <v>24205</v>
      </c>
      <c r="AD124" s="2">
        <f t="shared" si="110"/>
        <v>111</v>
      </c>
      <c r="AE124" s="2">
        <f t="shared" si="127"/>
        <v>102</v>
      </c>
      <c r="AF124" s="2" t="str">
        <f t="shared" si="111"/>
        <v>chest_shard</v>
      </c>
      <c r="AG124" s="2" t="str">
        <f t="shared" si="112"/>
        <v>StoreDoubleKey_1</v>
      </c>
      <c r="AH124" s="2" t="str">
        <f t="shared" si="128"/>
        <v>StoreFund_3</v>
      </c>
      <c r="AI124" s="2" t="str">
        <f t="shared" si="88"/>
        <v>[24205,111,102]</v>
      </c>
      <c r="AJ124" s="2" t="str">
        <f t="shared" si="89"/>
        <v>[15,50,40000]</v>
      </c>
      <c r="AK124" s="2" t="str">
        <f t="shared" si="90"/>
        <v>[chest_shard,StoreDoubleKey_1,StoreFund_3]</v>
      </c>
      <c r="AL124" s="2" t="str">
        <f t="shared" si="91"/>
        <v>6+20+碎片礼包</v>
      </c>
      <c r="AM124" s="1" t="str">
        <f t="shared" si="113"/>
        <v>T3 Senior Shard</v>
      </c>
      <c r="AN124" s="1" t="str">
        <f t="shared" si="114"/>
        <v>DoubleKeys</v>
      </c>
      <c r="AO124" s="1" t="str">
        <f t="shared" si="129"/>
        <v>Funds</v>
      </c>
    </row>
    <row r="125" spans="7:41" x14ac:dyDescent="0.3">
      <c r="G125" s="2">
        <v>6</v>
      </c>
      <c r="H125" s="2" t="s">
        <v>2541</v>
      </c>
      <c r="I125" s="2" t="s">
        <v>578</v>
      </c>
      <c r="J125" s="2" t="s">
        <v>317</v>
      </c>
      <c r="K125" s="2" t="e">
        <f t="shared" si="115"/>
        <v>#N/A</v>
      </c>
      <c r="L125" s="2">
        <f t="shared" si="108"/>
        <v>60</v>
      </c>
      <c r="M125" s="2">
        <f t="shared" si="124"/>
        <v>1</v>
      </c>
      <c r="N125" s="2">
        <v>50</v>
      </c>
      <c r="O125" s="2" t="e">
        <f>N125*#REF!</f>
        <v>#REF!</v>
      </c>
      <c r="P125" s="34">
        <f t="shared" si="116"/>
        <v>1.6666666666666667</v>
      </c>
      <c r="Q125" s="2" t="e">
        <f t="shared" si="117"/>
        <v>#REF!</v>
      </c>
      <c r="R125" s="2">
        <v>1</v>
      </c>
      <c r="S125" s="2" t="e">
        <f t="shared" si="118"/>
        <v>#N/A</v>
      </c>
      <c r="T125" s="2" t="e">
        <f t="shared" si="119"/>
        <v>#N/A</v>
      </c>
      <c r="U125" s="2">
        <v>15</v>
      </c>
      <c r="V125" s="2">
        <f t="shared" si="120"/>
        <v>900</v>
      </c>
      <c r="W125" s="2" t="e">
        <f t="shared" si="121"/>
        <v>#REF!</v>
      </c>
      <c r="X125" s="2">
        <v>5400</v>
      </c>
      <c r="Y125" s="2" t="e">
        <f t="shared" si="125"/>
        <v>#N/A</v>
      </c>
      <c r="Z125" s="2" t="e">
        <f t="shared" si="126"/>
        <v>#N/A</v>
      </c>
      <c r="AA125" s="2" t="e">
        <f t="shared" si="122"/>
        <v>#N/A</v>
      </c>
      <c r="AB125" s="2" t="e">
        <f t="shared" si="123"/>
        <v>#N/A</v>
      </c>
      <c r="AC125" s="2">
        <f t="shared" si="109"/>
        <v>25556</v>
      </c>
      <c r="AD125" s="2">
        <f t="shared" si="110"/>
        <v>100302</v>
      </c>
      <c r="AE125" s="2">
        <f t="shared" si="127"/>
        <v>101</v>
      </c>
      <c r="AF125" s="2" t="str">
        <f t="shared" si="111"/>
        <v>chest_lv6_icon</v>
      </c>
      <c r="AG125" s="2" t="str">
        <f t="shared" si="112"/>
        <v>StoreQuikenItem_1</v>
      </c>
      <c r="AH125" s="2" t="str">
        <f t="shared" si="128"/>
        <v>StoreDiamond_1</v>
      </c>
      <c r="AI125" s="2" t="str">
        <f t="shared" si="88"/>
        <v>[25556,100302,101]</v>
      </c>
      <c r="AJ125" s="2" t="str">
        <f t="shared" si="89"/>
        <v>[1,15,5400]</v>
      </c>
      <c r="AK125" s="2" t="str">
        <f t="shared" si="90"/>
        <v>[chest_lv6_icon,StoreQuikenItem_1,StoreDiamond_1]</v>
      </c>
      <c r="AL125" s="2" t="str">
        <f t="shared" si="91"/>
        <v>6+50+史诗自宝</v>
      </c>
      <c r="AM125" s="1" t="str">
        <f t="shared" si="113"/>
        <v>Rank 6 Epic Chest</v>
      </c>
      <c r="AN125" s="1" t="str">
        <f t="shared" si="114"/>
        <v>1H_X3_Accelerater</v>
      </c>
      <c r="AO125" s="1" t="str">
        <f t="shared" si="129"/>
        <v>Diamond</v>
      </c>
    </row>
    <row r="126" spans="7:41" x14ac:dyDescent="0.3">
      <c r="G126" s="2">
        <v>6</v>
      </c>
      <c r="H126" s="2" t="s">
        <v>2583</v>
      </c>
      <c r="I126" s="2" t="s">
        <v>511</v>
      </c>
      <c r="J126" s="2" t="s">
        <v>268</v>
      </c>
      <c r="K126" s="2" t="e">
        <f t="shared" si="115"/>
        <v>#REF!</v>
      </c>
      <c r="L126" s="2">
        <f t="shared" si="108"/>
        <v>0.50000000000000044</v>
      </c>
      <c r="M126" s="2">
        <f t="shared" si="124"/>
        <v>3.9623576027736501E-3</v>
      </c>
      <c r="N126" s="2">
        <v>50</v>
      </c>
      <c r="O126" s="2" t="e">
        <f>N126*#REF!</f>
        <v>#REF!</v>
      </c>
      <c r="P126" s="34">
        <f t="shared" si="116"/>
        <v>1.6666666666666667</v>
      </c>
      <c r="Q126" s="2" t="e">
        <f t="shared" si="117"/>
        <v>#REF!</v>
      </c>
      <c r="R126" s="2">
        <v>38</v>
      </c>
      <c r="S126" s="2" t="e">
        <f t="shared" si="118"/>
        <v>#REF!</v>
      </c>
      <c r="T126" s="2" t="e">
        <f t="shared" si="119"/>
        <v>#REF!</v>
      </c>
      <c r="U126" s="2">
        <v>100</v>
      </c>
      <c r="V126" s="2">
        <f t="shared" si="120"/>
        <v>50.000000000000043</v>
      </c>
      <c r="W126" s="2" t="e">
        <f t="shared" si="121"/>
        <v>#REF!</v>
      </c>
      <c r="X126" s="2">
        <v>70000</v>
      </c>
      <c r="Y126" s="2" t="e">
        <f t="shared" si="125"/>
        <v>#REF!</v>
      </c>
      <c r="Z126" s="2" t="e">
        <f t="shared" si="126"/>
        <v>#REF!</v>
      </c>
      <c r="AA126" s="2" t="e">
        <f t="shared" si="122"/>
        <v>#REF!</v>
      </c>
      <c r="AB126" s="2" t="e">
        <f t="shared" si="123"/>
        <v>#REF!</v>
      </c>
      <c r="AC126" s="2">
        <f t="shared" si="109"/>
        <v>24205</v>
      </c>
      <c r="AD126" s="2">
        <f t="shared" si="110"/>
        <v>111</v>
      </c>
      <c r="AE126" s="2">
        <f t="shared" si="127"/>
        <v>102</v>
      </c>
      <c r="AF126" s="2" t="str">
        <f t="shared" si="111"/>
        <v>chest_shard</v>
      </c>
      <c r="AG126" s="2" t="str">
        <f t="shared" si="112"/>
        <v>StoreDoubleKey_1</v>
      </c>
      <c r="AH126" s="2" t="str">
        <f t="shared" si="128"/>
        <v>StoreFund_3</v>
      </c>
      <c r="AI126" s="2" t="str">
        <f t="shared" si="88"/>
        <v>[24205,111,102]</v>
      </c>
      <c r="AJ126" s="2" t="str">
        <f t="shared" si="89"/>
        <v>[38,100,70000]</v>
      </c>
      <c r="AK126" s="2" t="str">
        <f t="shared" si="90"/>
        <v>[chest_shard,StoreDoubleKey_1,StoreFund_3]</v>
      </c>
      <c r="AL126" s="2" t="str">
        <f t="shared" si="91"/>
        <v>6+50+碎片礼包</v>
      </c>
      <c r="AM126" s="1" t="str">
        <f t="shared" si="113"/>
        <v>T3 Senior Shard</v>
      </c>
      <c r="AN126" s="1" t="str">
        <f t="shared" si="114"/>
        <v>DoubleKeys</v>
      </c>
      <c r="AO126" s="1" t="str">
        <f t="shared" si="129"/>
        <v>Funds</v>
      </c>
    </row>
    <row r="127" spans="7:41" x14ac:dyDescent="0.3">
      <c r="G127" s="2">
        <v>6</v>
      </c>
      <c r="H127" s="2" t="s">
        <v>2566</v>
      </c>
      <c r="I127" s="2" t="s">
        <v>578</v>
      </c>
      <c r="J127" s="2" t="s">
        <v>317</v>
      </c>
      <c r="K127" s="2" t="e">
        <f t="shared" si="115"/>
        <v>#REF!</v>
      </c>
      <c r="L127" s="2">
        <f t="shared" si="108"/>
        <v>60</v>
      </c>
      <c r="M127" s="2">
        <f t="shared" si="124"/>
        <v>1</v>
      </c>
      <c r="N127" s="2">
        <v>5</v>
      </c>
      <c r="O127" s="2" t="e">
        <f>N127*#REF!</f>
        <v>#REF!</v>
      </c>
      <c r="P127" s="34">
        <f>3/2</f>
        <v>1.5</v>
      </c>
      <c r="Q127" s="2" t="e">
        <f t="shared" ref="Q127:Q142" si="130">O127*P127</f>
        <v>#REF!</v>
      </c>
      <c r="R127" s="2">
        <v>2</v>
      </c>
      <c r="S127" s="2" t="e">
        <f t="shared" ref="S127:S142" si="131">R127*K127</f>
        <v>#REF!</v>
      </c>
      <c r="T127" s="2" t="e">
        <f t="shared" ref="T127:T142" si="132">S127/Q127</f>
        <v>#REF!</v>
      </c>
      <c r="U127" s="2">
        <v>5</v>
      </c>
      <c r="V127" s="2">
        <f t="shared" ref="V127:V142" si="133">U127*L127</f>
        <v>300</v>
      </c>
      <c r="W127" s="2" t="e">
        <f t="shared" ref="W127:W142" si="134">V127/Q127</f>
        <v>#REF!</v>
      </c>
      <c r="X127" s="2">
        <v>200</v>
      </c>
      <c r="Y127" s="2" t="e">
        <f t="shared" si="125"/>
        <v>#REF!</v>
      </c>
      <c r="Z127" s="2" t="e">
        <f t="shared" si="126"/>
        <v>#REF!</v>
      </c>
      <c r="AA127" s="2" t="e">
        <f t="shared" si="122"/>
        <v>#REF!</v>
      </c>
      <c r="AB127" s="2" t="e">
        <f t="shared" si="123"/>
        <v>#REF!</v>
      </c>
      <c r="AC127" s="2">
        <f t="shared" si="109"/>
        <v>23203</v>
      </c>
      <c r="AD127" s="2">
        <f t="shared" si="110"/>
        <v>100302</v>
      </c>
      <c r="AE127" s="2">
        <f t="shared" si="127"/>
        <v>101</v>
      </c>
      <c r="AF127" s="2" t="str">
        <f t="shared" si="111"/>
        <v>chest_tankpart</v>
      </c>
      <c r="AG127" s="2" t="str">
        <f t="shared" si="112"/>
        <v>StoreQuikenItem_1</v>
      </c>
      <c r="AH127" s="2" t="str">
        <f t="shared" si="128"/>
        <v>StoreDiamond_1</v>
      </c>
      <c r="AI127" s="2" t="str">
        <f t="shared" si="88"/>
        <v>[23203,100302,101]</v>
      </c>
      <c r="AJ127" s="2" t="str">
        <f t="shared" si="89"/>
        <v>[2,5,200]</v>
      </c>
      <c r="AK127" s="2" t="str">
        <f t="shared" si="90"/>
        <v>[chest_tankpart,StoreQuikenItem_1,StoreDiamond_1]</v>
      </c>
      <c r="AL127" s="2" t="str">
        <f t="shared" si="91"/>
        <v>6+5+部件礼包</v>
      </c>
      <c r="AM127" s="1" t="str">
        <f t="shared" si="113"/>
        <v>T1 Component</v>
      </c>
      <c r="AN127" s="1" t="str">
        <f t="shared" si="114"/>
        <v>1H_X3_Accelerater</v>
      </c>
      <c r="AO127" s="1" t="str">
        <f t="shared" si="129"/>
        <v>Diamond</v>
      </c>
    </row>
    <row r="128" spans="7:41" x14ac:dyDescent="0.3">
      <c r="G128" s="2">
        <v>6</v>
      </c>
      <c r="H128" s="2" t="s">
        <v>2583</v>
      </c>
      <c r="I128" s="2" t="s">
        <v>511</v>
      </c>
      <c r="J128" s="2" t="s">
        <v>268</v>
      </c>
      <c r="K128" s="2" t="e">
        <f t="shared" si="115"/>
        <v>#REF!</v>
      </c>
      <c r="L128" s="2">
        <f t="shared" si="108"/>
        <v>0.50000000000000044</v>
      </c>
      <c r="M128" s="2">
        <f t="shared" si="124"/>
        <v>3.9623576027736501E-3</v>
      </c>
      <c r="N128" s="2">
        <v>5</v>
      </c>
      <c r="O128" s="2" t="e">
        <f>N128*#REF!</f>
        <v>#REF!</v>
      </c>
      <c r="P128" s="34">
        <f t="shared" ref="P128:P134" si="135">3/2</f>
        <v>1.5</v>
      </c>
      <c r="Q128" s="2" t="e">
        <f t="shared" si="130"/>
        <v>#REF!</v>
      </c>
      <c r="R128" s="2">
        <v>2</v>
      </c>
      <c r="S128" s="2" t="e">
        <f t="shared" si="131"/>
        <v>#REF!</v>
      </c>
      <c r="T128" s="2" t="e">
        <f t="shared" si="132"/>
        <v>#REF!</v>
      </c>
      <c r="U128" s="2">
        <v>50</v>
      </c>
      <c r="V128" s="2">
        <f t="shared" si="133"/>
        <v>25.000000000000021</v>
      </c>
      <c r="W128" s="2" t="e">
        <f t="shared" si="134"/>
        <v>#REF!</v>
      </c>
      <c r="X128" s="2">
        <v>70000</v>
      </c>
      <c r="Y128" s="2" t="e">
        <f t="shared" si="125"/>
        <v>#REF!</v>
      </c>
      <c r="Z128" s="2" t="e">
        <f t="shared" si="126"/>
        <v>#REF!</v>
      </c>
      <c r="AA128" s="2" t="e">
        <f t="shared" si="122"/>
        <v>#REF!</v>
      </c>
      <c r="AB128" s="2" t="e">
        <f t="shared" si="123"/>
        <v>#REF!</v>
      </c>
      <c r="AC128" s="2">
        <f t="shared" si="109"/>
        <v>24205</v>
      </c>
      <c r="AD128" s="2">
        <f t="shared" si="110"/>
        <v>111</v>
      </c>
      <c r="AE128" s="2">
        <f t="shared" si="127"/>
        <v>102</v>
      </c>
      <c r="AF128" s="2" t="str">
        <f t="shared" si="111"/>
        <v>chest_shard</v>
      </c>
      <c r="AG128" s="2" t="str">
        <f t="shared" si="112"/>
        <v>StoreDoubleKey_1</v>
      </c>
      <c r="AH128" s="2" t="str">
        <f t="shared" si="128"/>
        <v>StoreFund_3</v>
      </c>
      <c r="AI128" s="2" t="str">
        <f t="shared" si="88"/>
        <v>[24205,111,102]</v>
      </c>
      <c r="AJ128" s="2" t="str">
        <f t="shared" si="89"/>
        <v>[2,50,70000]</v>
      </c>
      <c r="AK128" s="2" t="str">
        <f t="shared" si="90"/>
        <v>[chest_shard,StoreDoubleKey_1,StoreFund_3]</v>
      </c>
      <c r="AL128" s="2" t="str">
        <f t="shared" si="91"/>
        <v>6+5+碎片礼包</v>
      </c>
      <c r="AM128" s="1" t="str">
        <f t="shared" si="113"/>
        <v>T3 Senior Shard</v>
      </c>
      <c r="AN128" s="1" t="str">
        <f t="shared" si="114"/>
        <v>DoubleKeys</v>
      </c>
      <c r="AO128" s="1" t="str">
        <f t="shared" si="129"/>
        <v>Funds</v>
      </c>
    </row>
    <row r="129" spans="7:41" x14ac:dyDescent="0.3">
      <c r="G129" s="2">
        <v>6</v>
      </c>
      <c r="H129" s="2" t="s">
        <v>2567</v>
      </c>
      <c r="I129" s="2" t="s">
        <v>578</v>
      </c>
      <c r="J129" s="2" t="s">
        <v>317</v>
      </c>
      <c r="K129" s="2" t="e">
        <f t="shared" si="115"/>
        <v>#REF!</v>
      </c>
      <c r="L129" s="2">
        <f t="shared" si="108"/>
        <v>60</v>
      </c>
      <c r="M129" s="2">
        <f t="shared" si="124"/>
        <v>1</v>
      </c>
      <c r="N129" s="2">
        <v>10</v>
      </c>
      <c r="O129" s="2" t="e">
        <f>N129*#REF!</f>
        <v>#REF!</v>
      </c>
      <c r="P129" s="34">
        <f t="shared" si="135"/>
        <v>1.5</v>
      </c>
      <c r="Q129" s="2" t="e">
        <f t="shared" si="130"/>
        <v>#REF!</v>
      </c>
      <c r="R129" s="2">
        <v>2</v>
      </c>
      <c r="S129" s="2" t="e">
        <f t="shared" si="131"/>
        <v>#REF!</v>
      </c>
      <c r="T129" s="2" t="e">
        <f t="shared" si="132"/>
        <v>#REF!</v>
      </c>
      <c r="U129" s="2">
        <v>10</v>
      </c>
      <c r="V129" s="2">
        <f t="shared" si="133"/>
        <v>600</v>
      </c>
      <c r="W129" s="2" t="e">
        <f t="shared" si="134"/>
        <v>#REF!</v>
      </c>
      <c r="X129" s="2">
        <v>500</v>
      </c>
      <c r="Y129" s="2" t="e">
        <f t="shared" si="125"/>
        <v>#REF!</v>
      </c>
      <c r="Z129" s="2" t="e">
        <f t="shared" si="126"/>
        <v>#REF!</v>
      </c>
      <c r="AA129" s="2" t="e">
        <f t="shared" si="122"/>
        <v>#REF!</v>
      </c>
      <c r="AB129" s="2" t="e">
        <f t="shared" si="123"/>
        <v>#REF!</v>
      </c>
      <c r="AC129" s="2">
        <f t="shared" si="109"/>
        <v>23204</v>
      </c>
      <c r="AD129" s="2">
        <f t="shared" si="110"/>
        <v>100302</v>
      </c>
      <c r="AE129" s="2">
        <f t="shared" si="127"/>
        <v>101</v>
      </c>
      <c r="AF129" s="2" t="str">
        <f t="shared" si="111"/>
        <v>chest_tankpart</v>
      </c>
      <c r="AG129" s="2" t="str">
        <f t="shared" si="112"/>
        <v>StoreQuikenItem_1</v>
      </c>
      <c r="AH129" s="2" t="str">
        <f t="shared" si="128"/>
        <v>StoreDiamond_1</v>
      </c>
      <c r="AI129" s="2" t="str">
        <f t="shared" si="88"/>
        <v>[23204,100302,101]</v>
      </c>
      <c r="AJ129" s="2" t="str">
        <f t="shared" si="89"/>
        <v>[2,10,500]</v>
      </c>
      <c r="AK129" s="2" t="str">
        <f t="shared" si="90"/>
        <v>[chest_tankpart,StoreQuikenItem_1,StoreDiamond_1]</v>
      </c>
      <c r="AL129" s="2" t="str">
        <f t="shared" si="91"/>
        <v>6+10+部件礼包</v>
      </c>
      <c r="AM129" s="1" t="str">
        <f t="shared" si="113"/>
        <v>T2 Component</v>
      </c>
      <c r="AN129" s="1" t="str">
        <f t="shared" si="114"/>
        <v>1H_X3_Accelerater</v>
      </c>
      <c r="AO129" s="1" t="str">
        <f t="shared" si="129"/>
        <v>Diamond</v>
      </c>
    </row>
    <row r="130" spans="7:41" x14ac:dyDescent="0.3">
      <c r="G130" s="2">
        <v>6</v>
      </c>
      <c r="H130" s="2" t="s">
        <v>2583</v>
      </c>
      <c r="I130" s="2" t="s">
        <v>511</v>
      </c>
      <c r="J130" s="2" t="s">
        <v>268</v>
      </c>
      <c r="K130" s="2" t="e">
        <f t="shared" si="115"/>
        <v>#REF!</v>
      </c>
      <c r="L130" s="2">
        <f t="shared" si="108"/>
        <v>0.50000000000000044</v>
      </c>
      <c r="M130" s="2">
        <f t="shared" si="124"/>
        <v>3.9623576027736501E-3</v>
      </c>
      <c r="N130" s="2">
        <v>10</v>
      </c>
      <c r="O130" s="2" t="e">
        <f>N130*#REF!</f>
        <v>#REF!</v>
      </c>
      <c r="P130" s="34">
        <f t="shared" si="135"/>
        <v>1.5</v>
      </c>
      <c r="Q130" s="2" t="e">
        <f t="shared" si="130"/>
        <v>#REF!</v>
      </c>
      <c r="R130" s="2">
        <v>5</v>
      </c>
      <c r="S130" s="2" t="e">
        <f t="shared" si="131"/>
        <v>#REF!</v>
      </c>
      <c r="T130" s="2" t="e">
        <f t="shared" si="132"/>
        <v>#REF!</v>
      </c>
      <c r="U130" s="2">
        <v>50</v>
      </c>
      <c r="V130" s="2">
        <f t="shared" si="133"/>
        <v>25.000000000000021</v>
      </c>
      <c r="W130" s="2" t="e">
        <f t="shared" si="134"/>
        <v>#REF!</v>
      </c>
      <c r="X130" s="2">
        <v>100000</v>
      </c>
      <c r="Y130" s="2" t="e">
        <f t="shared" si="125"/>
        <v>#REF!</v>
      </c>
      <c r="Z130" s="2" t="e">
        <f t="shared" si="126"/>
        <v>#REF!</v>
      </c>
      <c r="AA130" s="2" t="e">
        <f t="shared" si="122"/>
        <v>#REF!</v>
      </c>
      <c r="AB130" s="2" t="e">
        <f t="shared" si="123"/>
        <v>#REF!</v>
      </c>
      <c r="AC130" s="2">
        <f t="shared" si="109"/>
        <v>24205</v>
      </c>
      <c r="AD130" s="2">
        <f t="shared" si="110"/>
        <v>111</v>
      </c>
      <c r="AE130" s="2">
        <f t="shared" si="127"/>
        <v>102</v>
      </c>
      <c r="AF130" s="2" t="str">
        <f t="shared" si="111"/>
        <v>chest_shard</v>
      </c>
      <c r="AG130" s="2" t="str">
        <f t="shared" si="112"/>
        <v>StoreDoubleKey_1</v>
      </c>
      <c r="AH130" s="2" t="str">
        <f t="shared" si="128"/>
        <v>StoreFund_3</v>
      </c>
      <c r="AI130" s="2" t="str">
        <f t="shared" si="88"/>
        <v>[24205,111,102]</v>
      </c>
      <c r="AJ130" s="2" t="str">
        <f t="shared" si="89"/>
        <v>[5,50,100000]</v>
      </c>
      <c r="AK130" s="2" t="str">
        <f t="shared" si="90"/>
        <v>[chest_shard,StoreDoubleKey_1,StoreFund_3]</v>
      </c>
      <c r="AL130" s="2" t="str">
        <f t="shared" si="91"/>
        <v>6+10+碎片礼包</v>
      </c>
      <c r="AM130" s="1" t="str">
        <f t="shared" si="113"/>
        <v>T3 Senior Shard</v>
      </c>
      <c r="AN130" s="1" t="str">
        <f t="shared" si="114"/>
        <v>DoubleKeys</v>
      </c>
      <c r="AO130" s="1" t="str">
        <f t="shared" si="129"/>
        <v>Funds</v>
      </c>
    </row>
    <row r="131" spans="7:41" x14ac:dyDescent="0.3">
      <c r="G131" s="2">
        <v>6</v>
      </c>
      <c r="H131" s="2" t="s">
        <v>2569</v>
      </c>
      <c r="I131" s="2" t="s">
        <v>578</v>
      </c>
      <c r="J131" s="2" t="s">
        <v>317</v>
      </c>
      <c r="K131" s="2" t="e">
        <f t="shared" si="115"/>
        <v>#REF!</v>
      </c>
      <c r="L131" s="2">
        <f t="shared" si="108"/>
        <v>60</v>
      </c>
      <c r="M131" s="2">
        <f t="shared" si="124"/>
        <v>1</v>
      </c>
      <c r="N131" s="2">
        <v>20</v>
      </c>
      <c r="O131" s="2" t="e">
        <f>N131*#REF!</f>
        <v>#REF!</v>
      </c>
      <c r="P131" s="34">
        <f t="shared" si="135"/>
        <v>1.5</v>
      </c>
      <c r="Q131" s="2" t="e">
        <f t="shared" si="130"/>
        <v>#REF!</v>
      </c>
      <c r="R131" s="2">
        <v>1</v>
      </c>
      <c r="S131" s="2" t="e">
        <f t="shared" si="131"/>
        <v>#REF!</v>
      </c>
      <c r="T131" s="2" t="e">
        <f t="shared" si="132"/>
        <v>#REF!</v>
      </c>
      <c r="U131" s="2">
        <v>10</v>
      </c>
      <c r="V131" s="2">
        <f t="shared" si="133"/>
        <v>600</v>
      </c>
      <c r="W131" s="2" t="e">
        <f t="shared" si="134"/>
        <v>#REF!</v>
      </c>
      <c r="X131" s="2">
        <v>2200</v>
      </c>
      <c r="Y131" s="2" t="e">
        <f t="shared" si="125"/>
        <v>#REF!</v>
      </c>
      <c r="Z131" s="2" t="e">
        <f t="shared" si="126"/>
        <v>#REF!</v>
      </c>
      <c r="AA131" s="2" t="e">
        <f t="shared" si="122"/>
        <v>#REF!</v>
      </c>
      <c r="AB131" s="2" t="e">
        <f t="shared" si="123"/>
        <v>#REF!</v>
      </c>
      <c r="AC131" s="2">
        <f t="shared" si="109"/>
        <v>23205</v>
      </c>
      <c r="AD131" s="2">
        <f t="shared" si="110"/>
        <v>100302</v>
      </c>
      <c r="AE131" s="2">
        <f t="shared" si="127"/>
        <v>101</v>
      </c>
      <c r="AF131" s="2" t="str">
        <f t="shared" si="111"/>
        <v>chest_tankpart</v>
      </c>
      <c r="AG131" s="2" t="str">
        <f t="shared" si="112"/>
        <v>StoreQuikenItem_1</v>
      </c>
      <c r="AH131" s="2" t="str">
        <f t="shared" si="128"/>
        <v>StoreDiamond_1</v>
      </c>
      <c r="AI131" s="2" t="str">
        <f t="shared" si="88"/>
        <v>[23205,100302,101]</v>
      </c>
      <c r="AJ131" s="2" t="str">
        <f t="shared" si="89"/>
        <v>[1,10,2200]</v>
      </c>
      <c r="AK131" s="2" t="str">
        <f t="shared" si="90"/>
        <v>[chest_tankpart,StoreQuikenItem_1,StoreDiamond_1]</v>
      </c>
      <c r="AL131" s="2" t="str">
        <f t="shared" si="91"/>
        <v>6+20+部件礼包</v>
      </c>
      <c r="AM131" s="1" t="str">
        <f t="shared" si="113"/>
        <v>T2 Component</v>
      </c>
      <c r="AN131" s="1" t="str">
        <f t="shared" si="114"/>
        <v>1H_X3_Accelerater</v>
      </c>
      <c r="AO131" s="1" t="str">
        <f t="shared" si="129"/>
        <v>Diamond</v>
      </c>
    </row>
    <row r="132" spans="7:41" x14ac:dyDescent="0.3">
      <c r="G132" s="2">
        <v>6</v>
      </c>
      <c r="H132" s="2" t="s">
        <v>2583</v>
      </c>
      <c r="I132" s="2" t="s">
        <v>511</v>
      </c>
      <c r="J132" s="2" t="s">
        <v>268</v>
      </c>
      <c r="K132" s="2" t="e">
        <f t="shared" si="115"/>
        <v>#REF!</v>
      </c>
      <c r="L132" s="2">
        <f t="shared" si="108"/>
        <v>0.50000000000000044</v>
      </c>
      <c r="M132" s="2">
        <f t="shared" si="124"/>
        <v>3.9623576027736501E-3</v>
      </c>
      <c r="N132" s="2">
        <v>20</v>
      </c>
      <c r="O132" s="2" t="e">
        <f>N132*#REF!</f>
        <v>#REF!</v>
      </c>
      <c r="P132" s="34">
        <f t="shared" si="135"/>
        <v>1.5</v>
      </c>
      <c r="Q132" s="2" t="e">
        <f t="shared" si="130"/>
        <v>#REF!</v>
      </c>
      <c r="R132" s="2">
        <v>12</v>
      </c>
      <c r="S132" s="2" t="e">
        <f t="shared" si="131"/>
        <v>#REF!</v>
      </c>
      <c r="T132" s="2" t="e">
        <f t="shared" si="132"/>
        <v>#REF!</v>
      </c>
      <c r="U132" s="2">
        <v>100</v>
      </c>
      <c r="V132" s="2">
        <f t="shared" si="133"/>
        <v>50.000000000000043</v>
      </c>
      <c r="W132" s="2" t="e">
        <f t="shared" si="134"/>
        <v>#REF!</v>
      </c>
      <c r="X132" s="2">
        <v>100000</v>
      </c>
      <c r="Y132" s="2" t="e">
        <f t="shared" si="125"/>
        <v>#REF!</v>
      </c>
      <c r="Z132" s="2" t="e">
        <f t="shared" si="126"/>
        <v>#REF!</v>
      </c>
      <c r="AA132" s="2" t="e">
        <f t="shared" si="122"/>
        <v>#REF!</v>
      </c>
      <c r="AB132" s="2" t="e">
        <f t="shared" si="123"/>
        <v>#REF!</v>
      </c>
      <c r="AC132" s="2">
        <f t="shared" si="109"/>
        <v>24205</v>
      </c>
      <c r="AD132" s="2">
        <f t="shared" si="110"/>
        <v>111</v>
      </c>
      <c r="AE132" s="2">
        <f t="shared" si="127"/>
        <v>102</v>
      </c>
      <c r="AF132" s="2" t="str">
        <f t="shared" si="111"/>
        <v>chest_shard</v>
      </c>
      <c r="AG132" s="2" t="str">
        <f t="shared" si="112"/>
        <v>StoreDoubleKey_1</v>
      </c>
      <c r="AH132" s="2" t="str">
        <f t="shared" si="128"/>
        <v>StoreFund_3</v>
      </c>
      <c r="AI132" s="2" t="str">
        <f t="shared" si="88"/>
        <v>[24205,111,102]</v>
      </c>
      <c r="AJ132" s="2" t="str">
        <f t="shared" si="89"/>
        <v>[12,100,100000]</v>
      </c>
      <c r="AK132" s="2" t="str">
        <f t="shared" si="90"/>
        <v>[chest_shard,StoreDoubleKey_1,StoreFund_3]</v>
      </c>
      <c r="AL132" s="2" t="str">
        <f t="shared" si="91"/>
        <v>6+20+碎片礼包</v>
      </c>
      <c r="AM132" s="1" t="str">
        <f t="shared" si="113"/>
        <v>T3 Senior Shard</v>
      </c>
      <c r="AN132" s="1" t="str">
        <f t="shared" si="114"/>
        <v>DoubleKeys</v>
      </c>
      <c r="AO132" s="1" t="str">
        <f t="shared" si="129"/>
        <v>Funds</v>
      </c>
    </row>
    <row r="133" spans="7:41" x14ac:dyDescent="0.3">
      <c r="G133" s="2">
        <v>6</v>
      </c>
      <c r="H133" s="2" t="s">
        <v>2541</v>
      </c>
      <c r="I133" s="2" t="s">
        <v>578</v>
      </c>
      <c r="J133" s="2" t="s">
        <v>317</v>
      </c>
      <c r="K133" s="2" t="e">
        <f t="shared" si="115"/>
        <v>#N/A</v>
      </c>
      <c r="L133" s="2">
        <f t="shared" si="108"/>
        <v>60</v>
      </c>
      <c r="M133" s="2">
        <f t="shared" si="124"/>
        <v>1</v>
      </c>
      <c r="N133" s="2">
        <v>50</v>
      </c>
      <c r="O133" s="2" t="e">
        <f>N133*#REF!</f>
        <v>#REF!</v>
      </c>
      <c r="P133" s="34">
        <f t="shared" si="135"/>
        <v>1.5</v>
      </c>
      <c r="Q133" s="2" t="e">
        <f t="shared" si="130"/>
        <v>#REF!</v>
      </c>
      <c r="R133" s="2">
        <v>2</v>
      </c>
      <c r="S133" s="2" t="e">
        <f t="shared" si="131"/>
        <v>#N/A</v>
      </c>
      <c r="T133" s="2" t="e">
        <f t="shared" si="132"/>
        <v>#N/A</v>
      </c>
      <c r="U133" s="2">
        <v>15</v>
      </c>
      <c r="V133" s="2">
        <f t="shared" si="133"/>
        <v>900</v>
      </c>
      <c r="W133" s="2" t="e">
        <f t="shared" si="134"/>
        <v>#REF!</v>
      </c>
      <c r="X133" s="2">
        <v>2600</v>
      </c>
      <c r="Y133" s="2" t="e">
        <f t="shared" si="125"/>
        <v>#N/A</v>
      </c>
      <c r="Z133" s="2" t="e">
        <f t="shared" si="126"/>
        <v>#N/A</v>
      </c>
      <c r="AA133" s="2" t="e">
        <f t="shared" si="122"/>
        <v>#N/A</v>
      </c>
      <c r="AB133" s="2" t="e">
        <f t="shared" si="123"/>
        <v>#N/A</v>
      </c>
      <c r="AC133" s="2">
        <f t="shared" si="109"/>
        <v>25556</v>
      </c>
      <c r="AD133" s="2">
        <f t="shared" si="110"/>
        <v>100302</v>
      </c>
      <c r="AE133" s="2">
        <f t="shared" si="127"/>
        <v>101</v>
      </c>
      <c r="AF133" s="2" t="str">
        <f t="shared" si="111"/>
        <v>chest_lv6_icon</v>
      </c>
      <c r="AG133" s="2" t="str">
        <f t="shared" si="112"/>
        <v>StoreQuikenItem_1</v>
      </c>
      <c r="AH133" s="2" t="str">
        <f t="shared" si="128"/>
        <v>StoreDiamond_1</v>
      </c>
      <c r="AI133" s="2" t="str">
        <f t="shared" si="88"/>
        <v>[25556,100302,101]</v>
      </c>
      <c r="AJ133" s="2" t="str">
        <f t="shared" si="89"/>
        <v>[2,15,2600]</v>
      </c>
      <c r="AK133" s="2" t="str">
        <f t="shared" si="90"/>
        <v>[chest_lv6_icon,StoreQuikenItem_1,StoreDiamond_1]</v>
      </c>
      <c r="AL133" s="2" t="str">
        <f t="shared" si="91"/>
        <v>6+50+史诗自宝</v>
      </c>
      <c r="AM133" s="1" t="str">
        <f t="shared" si="113"/>
        <v>Rank 6 Epic Chest</v>
      </c>
      <c r="AN133" s="1" t="str">
        <f t="shared" si="114"/>
        <v>1H_X3_Accelerater</v>
      </c>
      <c r="AO133" s="1" t="str">
        <f t="shared" si="129"/>
        <v>Diamond</v>
      </c>
    </row>
    <row r="134" spans="7:41" x14ac:dyDescent="0.3">
      <c r="G134" s="2">
        <v>6</v>
      </c>
      <c r="H134" s="2" t="s">
        <v>2583</v>
      </c>
      <c r="I134" s="2" t="s">
        <v>511</v>
      </c>
      <c r="J134" s="2" t="s">
        <v>268</v>
      </c>
      <c r="K134" s="2" t="e">
        <f t="shared" si="115"/>
        <v>#REF!</v>
      </c>
      <c r="L134" s="2">
        <f t="shared" si="108"/>
        <v>0.50000000000000044</v>
      </c>
      <c r="M134" s="2">
        <f t="shared" si="124"/>
        <v>3.9623576027736501E-3</v>
      </c>
      <c r="N134" s="2">
        <v>50</v>
      </c>
      <c r="O134" s="2" t="e">
        <f>N134*#REF!</f>
        <v>#REF!</v>
      </c>
      <c r="P134" s="34">
        <f t="shared" si="135"/>
        <v>1.5</v>
      </c>
      <c r="Q134" s="2" t="e">
        <f t="shared" si="130"/>
        <v>#REF!</v>
      </c>
      <c r="R134" s="2">
        <v>35</v>
      </c>
      <c r="S134" s="2" t="e">
        <f t="shared" si="131"/>
        <v>#REF!</v>
      </c>
      <c r="T134" s="2" t="e">
        <f t="shared" si="132"/>
        <v>#REF!</v>
      </c>
      <c r="U134" s="2">
        <v>50</v>
      </c>
      <c r="V134" s="2">
        <f t="shared" si="133"/>
        <v>25.000000000000021</v>
      </c>
      <c r="W134" s="2" t="e">
        <f t="shared" si="134"/>
        <v>#REF!</v>
      </c>
      <c r="X134" s="2">
        <v>30000</v>
      </c>
      <c r="Y134" s="2" t="e">
        <f t="shared" si="125"/>
        <v>#REF!</v>
      </c>
      <c r="Z134" s="2" t="e">
        <f t="shared" si="126"/>
        <v>#REF!</v>
      </c>
      <c r="AA134" s="2" t="e">
        <f t="shared" si="122"/>
        <v>#REF!</v>
      </c>
      <c r="AB134" s="2" t="e">
        <f t="shared" si="123"/>
        <v>#REF!</v>
      </c>
      <c r="AC134" s="2">
        <f t="shared" si="109"/>
        <v>24205</v>
      </c>
      <c r="AD134" s="2">
        <f t="shared" si="110"/>
        <v>111</v>
      </c>
      <c r="AE134" s="2">
        <f t="shared" si="127"/>
        <v>102</v>
      </c>
      <c r="AF134" s="2" t="str">
        <f t="shared" si="111"/>
        <v>chest_shard</v>
      </c>
      <c r="AG134" s="2" t="str">
        <f t="shared" si="112"/>
        <v>StoreDoubleKey_1</v>
      </c>
      <c r="AH134" s="2" t="str">
        <f t="shared" si="128"/>
        <v>StoreFund_3</v>
      </c>
      <c r="AI134" s="2" t="str">
        <f t="shared" si="88"/>
        <v>[24205,111,102]</v>
      </c>
      <c r="AJ134" s="2" t="str">
        <f t="shared" si="89"/>
        <v>[35,50,30000]</v>
      </c>
      <c r="AK134" s="2" t="str">
        <f t="shared" si="90"/>
        <v>[chest_shard,StoreDoubleKey_1,StoreFund_3]</v>
      </c>
      <c r="AL134" s="2" t="str">
        <f t="shared" si="91"/>
        <v>6+50+碎片礼包</v>
      </c>
      <c r="AM134" s="1" t="str">
        <f t="shared" si="113"/>
        <v>T3 Senior Shard</v>
      </c>
      <c r="AN134" s="1" t="str">
        <f t="shared" si="114"/>
        <v>DoubleKeys</v>
      </c>
      <c r="AO134" s="1" t="str">
        <f t="shared" si="129"/>
        <v>Funds</v>
      </c>
    </row>
    <row r="135" spans="7:41" x14ac:dyDescent="0.3">
      <c r="G135" s="2">
        <v>6</v>
      </c>
      <c r="H135" s="2" t="s">
        <v>2566</v>
      </c>
      <c r="I135" s="2" t="s">
        <v>578</v>
      </c>
      <c r="J135" s="2" t="s">
        <v>317</v>
      </c>
      <c r="K135" s="2" t="e">
        <f t="shared" si="115"/>
        <v>#REF!</v>
      </c>
      <c r="L135" s="2">
        <f t="shared" si="108"/>
        <v>60</v>
      </c>
      <c r="M135" s="2">
        <f t="shared" si="124"/>
        <v>1</v>
      </c>
      <c r="N135" s="2">
        <v>5</v>
      </c>
      <c r="O135" s="2" t="e">
        <f>N135*#REF!</f>
        <v>#REF!</v>
      </c>
      <c r="P135" s="34">
        <f>1/0.75</f>
        <v>1.3333333333333333</v>
      </c>
      <c r="Q135" s="2" t="e">
        <f t="shared" si="130"/>
        <v>#REF!</v>
      </c>
      <c r="R135" s="2">
        <v>2</v>
      </c>
      <c r="S135" s="2" t="e">
        <f t="shared" si="131"/>
        <v>#REF!</v>
      </c>
      <c r="T135" s="2" t="e">
        <f t="shared" si="132"/>
        <v>#REF!</v>
      </c>
      <c r="U135" s="2">
        <v>2</v>
      </c>
      <c r="V135" s="2">
        <f t="shared" si="133"/>
        <v>120</v>
      </c>
      <c r="W135" s="2" t="e">
        <f t="shared" si="134"/>
        <v>#REF!</v>
      </c>
      <c r="X135" s="2">
        <v>300</v>
      </c>
      <c r="Y135" s="2" t="e">
        <f t="shared" si="125"/>
        <v>#REF!</v>
      </c>
      <c r="Z135" s="2" t="e">
        <f t="shared" si="126"/>
        <v>#REF!</v>
      </c>
      <c r="AA135" s="2" t="e">
        <f t="shared" si="122"/>
        <v>#REF!</v>
      </c>
      <c r="AB135" s="2" t="e">
        <f t="shared" si="123"/>
        <v>#REF!</v>
      </c>
      <c r="AC135" s="2">
        <f t="shared" si="109"/>
        <v>23203</v>
      </c>
      <c r="AD135" s="2">
        <f t="shared" si="110"/>
        <v>100302</v>
      </c>
      <c r="AE135" s="2">
        <f t="shared" si="127"/>
        <v>101</v>
      </c>
      <c r="AF135" s="2" t="str">
        <f t="shared" si="111"/>
        <v>chest_tankpart</v>
      </c>
      <c r="AG135" s="2" t="str">
        <f t="shared" si="112"/>
        <v>StoreQuikenItem_1</v>
      </c>
      <c r="AH135" s="2" t="str">
        <f t="shared" si="128"/>
        <v>StoreDiamond_1</v>
      </c>
      <c r="AI135" s="2" t="str">
        <f t="shared" si="88"/>
        <v>[23203,100302,101]</v>
      </c>
      <c r="AJ135" s="2" t="str">
        <f t="shared" si="89"/>
        <v>[2,2,300]</v>
      </c>
      <c r="AK135" s="2" t="str">
        <f t="shared" si="90"/>
        <v>[chest_tankpart,StoreQuikenItem_1,StoreDiamond_1]</v>
      </c>
      <c r="AL135" s="2" t="str">
        <f t="shared" si="91"/>
        <v>6+5+部件礼包</v>
      </c>
      <c r="AM135" s="1" t="str">
        <f t="shared" si="113"/>
        <v>T1 Component</v>
      </c>
      <c r="AN135" s="1" t="str">
        <f t="shared" si="114"/>
        <v>1H_X3_Accelerater</v>
      </c>
      <c r="AO135" s="1" t="str">
        <f t="shared" si="129"/>
        <v>Diamond</v>
      </c>
    </row>
    <row r="136" spans="7:41" x14ac:dyDescent="0.3">
      <c r="G136" s="2">
        <v>6</v>
      </c>
      <c r="H136" s="2" t="s">
        <v>2583</v>
      </c>
      <c r="I136" s="2" t="s">
        <v>511</v>
      </c>
      <c r="J136" s="2" t="s">
        <v>268</v>
      </c>
      <c r="K136" s="2" t="e">
        <f t="shared" si="115"/>
        <v>#REF!</v>
      </c>
      <c r="L136" s="2">
        <f t="shared" si="108"/>
        <v>0.50000000000000044</v>
      </c>
      <c r="M136" s="2">
        <f t="shared" si="124"/>
        <v>3.9623576027736501E-3</v>
      </c>
      <c r="N136" s="2">
        <v>5</v>
      </c>
      <c r="O136" s="2" t="e">
        <f>N136*#REF!</f>
        <v>#REF!</v>
      </c>
      <c r="P136" s="34">
        <f t="shared" ref="P136:P160" si="136">1/0.75</f>
        <v>1.3333333333333333</v>
      </c>
      <c r="Q136" s="2" t="e">
        <f t="shared" si="130"/>
        <v>#REF!</v>
      </c>
      <c r="R136" s="2">
        <v>2</v>
      </c>
      <c r="S136" s="2" t="e">
        <f t="shared" si="131"/>
        <v>#REF!</v>
      </c>
      <c r="T136" s="2" t="e">
        <f t="shared" si="132"/>
        <v>#REF!</v>
      </c>
      <c r="U136" s="2">
        <v>50</v>
      </c>
      <c r="V136" s="2">
        <f t="shared" si="133"/>
        <v>25.000000000000021</v>
      </c>
      <c r="W136" s="2" t="e">
        <f t="shared" si="134"/>
        <v>#REF!</v>
      </c>
      <c r="X136" s="2">
        <v>50000</v>
      </c>
      <c r="Y136" s="2" t="e">
        <f t="shared" si="125"/>
        <v>#REF!</v>
      </c>
      <c r="Z136" s="2" t="e">
        <f t="shared" si="126"/>
        <v>#REF!</v>
      </c>
      <c r="AA136" s="2" t="e">
        <f t="shared" si="122"/>
        <v>#REF!</v>
      </c>
      <c r="AB136" s="2" t="e">
        <f t="shared" si="123"/>
        <v>#REF!</v>
      </c>
      <c r="AC136" s="2">
        <f t="shared" si="109"/>
        <v>24205</v>
      </c>
      <c r="AD136" s="2">
        <f t="shared" si="110"/>
        <v>111</v>
      </c>
      <c r="AE136" s="2">
        <f t="shared" si="127"/>
        <v>102</v>
      </c>
      <c r="AF136" s="2" t="str">
        <f t="shared" si="111"/>
        <v>chest_shard</v>
      </c>
      <c r="AG136" s="2" t="str">
        <f t="shared" si="112"/>
        <v>StoreDoubleKey_1</v>
      </c>
      <c r="AH136" s="2" t="str">
        <f t="shared" si="128"/>
        <v>StoreFund_3</v>
      </c>
      <c r="AI136" s="2" t="str">
        <f t="shared" si="88"/>
        <v>[24205,111,102]</v>
      </c>
      <c r="AJ136" s="2" t="str">
        <f t="shared" si="89"/>
        <v>[2,50,50000]</v>
      </c>
      <c r="AK136" s="2" t="str">
        <f t="shared" si="90"/>
        <v>[chest_shard,StoreDoubleKey_1,StoreFund_3]</v>
      </c>
      <c r="AL136" s="2" t="str">
        <f t="shared" si="91"/>
        <v>6+5+碎片礼包</v>
      </c>
      <c r="AM136" s="1" t="str">
        <f t="shared" si="113"/>
        <v>T3 Senior Shard</v>
      </c>
      <c r="AN136" s="1" t="str">
        <f t="shared" si="114"/>
        <v>DoubleKeys</v>
      </c>
      <c r="AO136" s="1" t="str">
        <f t="shared" si="129"/>
        <v>Funds</v>
      </c>
    </row>
    <row r="137" spans="7:41" x14ac:dyDescent="0.3">
      <c r="G137" s="2">
        <v>6</v>
      </c>
      <c r="H137" s="2" t="s">
        <v>2567</v>
      </c>
      <c r="I137" s="2" t="s">
        <v>578</v>
      </c>
      <c r="J137" s="2" t="s">
        <v>317</v>
      </c>
      <c r="K137" s="2" t="e">
        <f t="shared" si="115"/>
        <v>#REF!</v>
      </c>
      <c r="L137" s="2">
        <f t="shared" ref="L137:L160" si="137">VLOOKUP(I137,$B$40:$C$81,2,FALSE)</f>
        <v>60</v>
      </c>
      <c r="M137" s="2">
        <f t="shared" si="124"/>
        <v>1</v>
      </c>
      <c r="N137" s="2">
        <v>10</v>
      </c>
      <c r="O137" s="2" t="e">
        <f>N137*#REF!</f>
        <v>#REF!</v>
      </c>
      <c r="P137" s="34">
        <f t="shared" si="136"/>
        <v>1.3333333333333333</v>
      </c>
      <c r="Q137" s="2" t="e">
        <f t="shared" si="130"/>
        <v>#REF!</v>
      </c>
      <c r="R137" s="2">
        <v>1</v>
      </c>
      <c r="S137" s="2" t="e">
        <f t="shared" si="131"/>
        <v>#REF!</v>
      </c>
      <c r="T137" s="2" t="e">
        <f t="shared" si="132"/>
        <v>#REF!</v>
      </c>
      <c r="U137" s="2">
        <v>10</v>
      </c>
      <c r="V137" s="2">
        <f t="shared" si="133"/>
        <v>600</v>
      </c>
      <c r="W137" s="2" t="e">
        <f t="shared" si="134"/>
        <v>#REF!</v>
      </c>
      <c r="X137" s="2">
        <v>500</v>
      </c>
      <c r="Y137" s="2" t="e">
        <f t="shared" si="125"/>
        <v>#REF!</v>
      </c>
      <c r="Z137" s="2" t="e">
        <f t="shared" si="126"/>
        <v>#REF!</v>
      </c>
      <c r="AA137" s="2" t="e">
        <f t="shared" si="122"/>
        <v>#REF!</v>
      </c>
      <c r="AB137" s="2" t="e">
        <f t="shared" si="123"/>
        <v>#REF!</v>
      </c>
      <c r="AC137" s="2">
        <f t="shared" ref="AC137:AC160" si="138">VLOOKUP(H137,道具ID,2,FALSE)</f>
        <v>23204</v>
      </c>
      <c r="AD137" s="2">
        <f t="shared" ref="AD137:AD160" si="139">VLOOKUP(I137,道具ID,2,FALSE)</f>
        <v>100302</v>
      </c>
      <c r="AE137" s="2">
        <f t="shared" si="127"/>
        <v>101</v>
      </c>
      <c r="AF137" s="2" t="str">
        <f t="shared" ref="AF137:AF160" si="140">VLOOKUP(H137,道具ID,3,FALSE)</f>
        <v>chest_tankpart</v>
      </c>
      <c r="AG137" s="2" t="str">
        <f t="shared" ref="AG137:AG160" si="141">VLOOKUP(I137,道具ID,3,FALSE)</f>
        <v>StoreQuikenItem_1</v>
      </c>
      <c r="AH137" s="2" t="str">
        <f t="shared" si="128"/>
        <v>StoreDiamond_1</v>
      </c>
      <c r="AI137" s="2" t="str">
        <f t="shared" si="88"/>
        <v>[23204,100302,101]</v>
      </c>
      <c r="AJ137" s="2" t="str">
        <f t="shared" si="89"/>
        <v>[1,10,500]</v>
      </c>
      <c r="AK137" s="2" t="str">
        <f t="shared" si="90"/>
        <v>[chest_tankpart,StoreQuikenItem_1,StoreDiamond_1]</v>
      </c>
      <c r="AL137" s="2" t="str">
        <f t="shared" si="91"/>
        <v>6+10+部件礼包</v>
      </c>
      <c r="AM137" s="1" t="str">
        <f t="shared" ref="AM137:AM160" si="142">VLOOKUP(H137,道具ID,4,FALSE)</f>
        <v>T2 Component</v>
      </c>
      <c r="AN137" s="1" t="str">
        <f t="shared" ref="AN137:AN160" si="143">VLOOKUP(I137,道具ID,4,FALSE)</f>
        <v>1H_X3_Accelerater</v>
      </c>
      <c r="AO137" s="1" t="str">
        <f t="shared" si="129"/>
        <v>Diamond</v>
      </c>
    </row>
    <row r="138" spans="7:41" x14ac:dyDescent="0.3">
      <c r="G138" s="2">
        <v>6</v>
      </c>
      <c r="H138" s="2" t="s">
        <v>2583</v>
      </c>
      <c r="I138" s="2" t="s">
        <v>511</v>
      </c>
      <c r="J138" s="2" t="s">
        <v>268</v>
      </c>
      <c r="K138" s="2" t="e">
        <f t="shared" si="115"/>
        <v>#REF!</v>
      </c>
      <c r="L138" s="2">
        <f t="shared" si="137"/>
        <v>0.50000000000000044</v>
      </c>
      <c r="M138" s="2">
        <f t="shared" si="124"/>
        <v>3.9623576027736501E-3</v>
      </c>
      <c r="N138" s="2">
        <v>10</v>
      </c>
      <c r="O138" s="2" t="e">
        <f>N138*#REF!</f>
        <v>#REF!</v>
      </c>
      <c r="P138" s="34">
        <f t="shared" si="136"/>
        <v>1.3333333333333333</v>
      </c>
      <c r="Q138" s="2" t="e">
        <f t="shared" si="130"/>
        <v>#REF!</v>
      </c>
      <c r="R138" s="2">
        <v>5</v>
      </c>
      <c r="S138" s="2" t="e">
        <f t="shared" si="131"/>
        <v>#REF!</v>
      </c>
      <c r="T138" s="2" t="e">
        <f t="shared" si="132"/>
        <v>#REF!</v>
      </c>
      <c r="U138" s="2">
        <v>50</v>
      </c>
      <c r="V138" s="2">
        <f t="shared" si="133"/>
        <v>25.000000000000021</v>
      </c>
      <c r="W138" s="2" t="e">
        <f t="shared" si="134"/>
        <v>#REF!</v>
      </c>
      <c r="X138" s="2">
        <v>60000</v>
      </c>
      <c r="Y138" s="2" t="e">
        <f t="shared" si="125"/>
        <v>#REF!</v>
      </c>
      <c r="Z138" s="2" t="e">
        <f t="shared" si="126"/>
        <v>#REF!</v>
      </c>
      <c r="AA138" s="2" t="e">
        <f t="shared" si="122"/>
        <v>#REF!</v>
      </c>
      <c r="AB138" s="2" t="e">
        <f t="shared" si="123"/>
        <v>#REF!</v>
      </c>
      <c r="AC138" s="2">
        <f t="shared" si="138"/>
        <v>24205</v>
      </c>
      <c r="AD138" s="2">
        <f t="shared" si="139"/>
        <v>111</v>
      </c>
      <c r="AE138" s="2">
        <f t="shared" si="127"/>
        <v>102</v>
      </c>
      <c r="AF138" s="2" t="str">
        <f t="shared" si="140"/>
        <v>chest_shard</v>
      </c>
      <c r="AG138" s="2" t="str">
        <f t="shared" si="141"/>
        <v>StoreDoubleKey_1</v>
      </c>
      <c r="AH138" s="2" t="str">
        <f t="shared" si="128"/>
        <v>StoreFund_3</v>
      </c>
      <c r="AI138" s="2" t="str">
        <f t="shared" si="88"/>
        <v>[24205,111,102]</v>
      </c>
      <c r="AJ138" s="2" t="str">
        <f t="shared" si="89"/>
        <v>[5,50,60000]</v>
      </c>
      <c r="AK138" s="2" t="str">
        <f t="shared" si="90"/>
        <v>[chest_shard,StoreDoubleKey_1,StoreFund_3]</v>
      </c>
      <c r="AL138" s="2" t="str">
        <f t="shared" si="91"/>
        <v>6+10+碎片礼包</v>
      </c>
      <c r="AM138" s="1" t="str">
        <f t="shared" si="142"/>
        <v>T3 Senior Shard</v>
      </c>
      <c r="AN138" s="1" t="str">
        <f t="shared" si="143"/>
        <v>DoubleKeys</v>
      </c>
      <c r="AO138" s="1" t="str">
        <f t="shared" si="129"/>
        <v>Funds</v>
      </c>
    </row>
    <row r="139" spans="7:41" x14ac:dyDescent="0.3">
      <c r="G139" s="2">
        <v>6</v>
      </c>
      <c r="H139" s="2" t="s">
        <v>2569</v>
      </c>
      <c r="I139" s="2" t="s">
        <v>578</v>
      </c>
      <c r="J139" s="2" t="s">
        <v>317</v>
      </c>
      <c r="K139" s="2" t="e">
        <f t="shared" si="115"/>
        <v>#REF!</v>
      </c>
      <c r="L139" s="2">
        <f t="shared" si="137"/>
        <v>60</v>
      </c>
      <c r="M139" s="2">
        <f t="shared" si="124"/>
        <v>1</v>
      </c>
      <c r="N139" s="2">
        <v>20</v>
      </c>
      <c r="O139" s="2" t="e">
        <f>N139*#REF!</f>
        <v>#REF!</v>
      </c>
      <c r="P139" s="34">
        <f t="shared" si="136"/>
        <v>1.3333333333333333</v>
      </c>
      <c r="Q139" s="2" t="e">
        <f t="shared" si="130"/>
        <v>#REF!</v>
      </c>
      <c r="R139" s="2">
        <v>1</v>
      </c>
      <c r="S139" s="2" t="e">
        <f t="shared" si="131"/>
        <v>#REF!</v>
      </c>
      <c r="T139" s="2" t="e">
        <f t="shared" si="132"/>
        <v>#REF!</v>
      </c>
      <c r="U139" s="2">
        <v>10</v>
      </c>
      <c r="V139" s="2">
        <f t="shared" si="133"/>
        <v>600</v>
      </c>
      <c r="W139" s="2" t="e">
        <f t="shared" si="134"/>
        <v>#REF!</v>
      </c>
      <c r="X139" s="2">
        <v>1900</v>
      </c>
      <c r="Y139" s="2" t="e">
        <f t="shared" si="125"/>
        <v>#REF!</v>
      </c>
      <c r="Z139" s="2" t="e">
        <f t="shared" si="126"/>
        <v>#REF!</v>
      </c>
      <c r="AA139" s="2" t="e">
        <f t="shared" si="122"/>
        <v>#REF!</v>
      </c>
      <c r="AB139" s="2" t="e">
        <f t="shared" si="123"/>
        <v>#REF!</v>
      </c>
      <c r="AC139" s="2">
        <f t="shared" si="138"/>
        <v>23205</v>
      </c>
      <c r="AD139" s="2">
        <f t="shared" si="139"/>
        <v>100302</v>
      </c>
      <c r="AE139" s="2">
        <f t="shared" si="127"/>
        <v>101</v>
      </c>
      <c r="AF139" s="2" t="str">
        <f t="shared" si="140"/>
        <v>chest_tankpart</v>
      </c>
      <c r="AG139" s="2" t="str">
        <f t="shared" si="141"/>
        <v>StoreQuikenItem_1</v>
      </c>
      <c r="AH139" s="2" t="str">
        <f t="shared" si="128"/>
        <v>StoreDiamond_1</v>
      </c>
      <c r="AI139" s="2" t="str">
        <f t="shared" si="88"/>
        <v>[23205,100302,101]</v>
      </c>
      <c r="AJ139" s="2" t="str">
        <f t="shared" si="89"/>
        <v>[1,10,1900]</v>
      </c>
      <c r="AK139" s="2" t="str">
        <f t="shared" si="90"/>
        <v>[chest_tankpart,StoreQuikenItem_1,StoreDiamond_1]</v>
      </c>
      <c r="AL139" s="2" t="str">
        <f t="shared" si="91"/>
        <v>6+20+部件礼包</v>
      </c>
      <c r="AM139" s="1" t="str">
        <f t="shared" si="142"/>
        <v>T2 Component</v>
      </c>
      <c r="AN139" s="1" t="str">
        <f t="shared" si="143"/>
        <v>1H_X3_Accelerater</v>
      </c>
      <c r="AO139" s="1" t="str">
        <f t="shared" si="129"/>
        <v>Diamond</v>
      </c>
    </row>
    <row r="140" spans="7:41" x14ac:dyDescent="0.3">
      <c r="G140" s="2">
        <v>6</v>
      </c>
      <c r="H140" s="2" t="s">
        <v>2583</v>
      </c>
      <c r="I140" s="2" t="s">
        <v>511</v>
      </c>
      <c r="J140" s="2" t="s">
        <v>268</v>
      </c>
      <c r="K140" s="2" t="e">
        <f t="shared" si="115"/>
        <v>#REF!</v>
      </c>
      <c r="L140" s="2">
        <f t="shared" si="137"/>
        <v>0.50000000000000044</v>
      </c>
      <c r="M140" s="2">
        <f t="shared" si="124"/>
        <v>3.9623576027736501E-3</v>
      </c>
      <c r="N140" s="2">
        <v>20</v>
      </c>
      <c r="O140" s="2" t="e">
        <f>N140*#REF!</f>
        <v>#REF!</v>
      </c>
      <c r="P140" s="34">
        <f t="shared" si="136"/>
        <v>1.3333333333333333</v>
      </c>
      <c r="Q140" s="2" t="e">
        <f t="shared" si="130"/>
        <v>#REF!</v>
      </c>
      <c r="R140" s="2">
        <v>12</v>
      </c>
      <c r="S140" s="2" t="e">
        <f t="shared" si="131"/>
        <v>#REF!</v>
      </c>
      <c r="T140" s="2" t="e">
        <f t="shared" si="132"/>
        <v>#REF!</v>
      </c>
      <c r="U140" s="2">
        <v>50</v>
      </c>
      <c r="V140" s="2">
        <f t="shared" si="133"/>
        <v>25.000000000000021</v>
      </c>
      <c r="W140" s="2" t="e">
        <f t="shared" si="134"/>
        <v>#REF!</v>
      </c>
      <c r="X140" s="2">
        <v>30000</v>
      </c>
      <c r="Y140" s="2" t="e">
        <f t="shared" si="125"/>
        <v>#REF!</v>
      </c>
      <c r="Z140" s="2" t="e">
        <f t="shared" si="126"/>
        <v>#REF!</v>
      </c>
      <c r="AA140" s="2" t="e">
        <f t="shared" si="122"/>
        <v>#REF!</v>
      </c>
      <c r="AB140" s="2" t="e">
        <f t="shared" si="123"/>
        <v>#REF!</v>
      </c>
      <c r="AC140" s="2">
        <f t="shared" si="138"/>
        <v>24205</v>
      </c>
      <c r="AD140" s="2">
        <f t="shared" si="139"/>
        <v>111</v>
      </c>
      <c r="AE140" s="2">
        <f t="shared" si="127"/>
        <v>102</v>
      </c>
      <c r="AF140" s="2" t="str">
        <f t="shared" si="140"/>
        <v>chest_shard</v>
      </c>
      <c r="AG140" s="2" t="str">
        <f t="shared" si="141"/>
        <v>StoreDoubleKey_1</v>
      </c>
      <c r="AH140" s="2" t="str">
        <f t="shared" si="128"/>
        <v>StoreFund_3</v>
      </c>
      <c r="AI140" s="2" t="str">
        <f t="shared" si="88"/>
        <v>[24205,111,102]</v>
      </c>
      <c r="AJ140" s="2" t="str">
        <f t="shared" si="89"/>
        <v>[12,50,30000]</v>
      </c>
      <c r="AK140" s="2" t="str">
        <f t="shared" si="90"/>
        <v>[chest_shard,StoreDoubleKey_1,StoreFund_3]</v>
      </c>
      <c r="AL140" s="2" t="str">
        <f t="shared" si="91"/>
        <v>6+20+碎片礼包</v>
      </c>
      <c r="AM140" s="1" t="str">
        <f t="shared" si="142"/>
        <v>T3 Senior Shard</v>
      </c>
      <c r="AN140" s="1" t="str">
        <f t="shared" si="143"/>
        <v>DoubleKeys</v>
      </c>
      <c r="AO140" s="1" t="str">
        <f t="shared" si="129"/>
        <v>Funds</v>
      </c>
    </row>
    <row r="141" spans="7:41" x14ac:dyDescent="0.3">
      <c r="G141" s="2">
        <v>6</v>
      </c>
      <c r="H141" s="2" t="s">
        <v>2569</v>
      </c>
      <c r="I141" s="2" t="s">
        <v>578</v>
      </c>
      <c r="J141" s="2" t="s">
        <v>317</v>
      </c>
      <c r="K141" s="2" t="e">
        <f t="shared" si="115"/>
        <v>#REF!</v>
      </c>
      <c r="L141" s="2">
        <f t="shared" si="137"/>
        <v>60</v>
      </c>
      <c r="M141" s="2">
        <f t="shared" si="124"/>
        <v>1</v>
      </c>
      <c r="N141" s="2">
        <v>50</v>
      </c>
      <c r="O141" s="2" t="e">
        <f>N141*#REF!</f>
        <v>#REF!</v>
      </c>
      <c r="P141" s="34">
        <f t="shared" si="136"/>
        <v>1.3333333333333333</v>
      </c>
      <c r="Q141" s="2" t="e">
        <f t="shared" si="130"/>
        <v>#REF!</v>
      </c>
      <c r="R141" s="2">
        <v>4</v>
      </c>
      <c r="S141" s="2" t="e">
        <f t="shared" si="131"/>
        <v>#REF!</v>
      </c>
      <c r="T141" s="2" t="e">
        <f t="shared" si="132"/>
        <v>#REF!</v>
      </c>
      <c r="U141" s="2">
        <v>20</v>
      </c>
      <c r="V141" s="2">
        <f t="shared" si="133"/>
        <v>1200</v>
      </c>
      <c r="W141" s="2" t="e">
        <f t="shared" si="134"/>
        <v>#REF!</v>
      </c>
      <c r="X141" s="2">
        <v>4700</v>
      </c>
      <c r="Y141" s="2" t="e">
        <f t="shared" si="125"/>
        <v>#REF!</v>
      </c>
      <c r="Z141" s="2" t="e">
        <f t="shared" si="126"/>
        <v>#REF!</v>
      </c>
      <c r="AA141" s="2" t="e">
        <f t="shared" si="122"/>
        <v>#REF!</v>
      </c>
      <c r="AB141" s="2" t="e">
        <f t="shared" si="123"/>
        <v>#REF!</v>
      </c>
      <c r="AC141" s="2">
        <f t="shared" si="138"/>
        <v>23205</v>
      </c>
      <c r="AD141" s="2">
        <f t="shared" si="139"/>
        <v>100302</v>
      </c>
      <c r="AE141" s="2">
        <f t="shared" si="127"/>
        <v>101</v>
      </c>
      <c r="AF141" s="2" t="str">
        <f t="shared" si="140"/>
        <v>chest_tankpart</v>
      </c>
      <c r="AG141" s="2" t="str">
        <f t="shared" si="141"/>
        <v>StoreQuikenItem_1</v>
      </c>
      <c r="AH141" s="2" t="str">
        <f t="shared" si="128"/>
        <v>StoreDiamond_1</v>
      </c>
      <c r="AI141" s="2" t="str">
        <f t="shared" si="88"/>
        <v>[23205,100302,101]</v>
      </c>
      <c r="AJ141" s="2" t="str">
        <f t="shared" si="89"/>
        <v>[4,20,4700]</v>
      </c>
      <c r="AK141" s="2" t="str">
        <f t="shared" si="90"/>
        <v>[chest_tankpart,StoreQuikenItem_1,StoreDiamond_1]</v>
      </c>
      <c r="AL141" s="2" t="str">
        <f t="shared" si="91"/>
        <v>6+50+部件礼包</v>
      </c>
      <c r="AM141" s="1" t="str">
        <f t="shared" si="142"/>
        <v>T2 Component</v>
      </c>
      <c r="AN141" s="1" t="str">
        <f t="shared" si="143"/>
        <v>1H_X3_Accelerater</v>
      </c>
      <c r="AO141" s="1" t="str">
        <f t="shared" si="129"/>
        <v>Diamond</v>
      </c>
    </row>
    <row r="142" spans="7:41" x14ac:dyDescent="0.3">
      <c r="G142" s="2">
        <v>6</v>
      </c>
      <c r="H142" s="2" t="s">
        <v>2583</v>
      </c>
      <c r="I142" s="2" t="s">
        <v>511</v>
      </c>
      <c r="J142" s="2" t="s">
        <v>268</v>
      </c>
      <c r="K142" s="2" t="e">
        <f t="shared" si="115"/>
        <v>#REF!</v>
      </c>
      <c r="L142" s="2">
        <f t="shared" si="137"/>
        <v>0.50000000000000044</v>
      </c>
      <c r="M142" s="2">
        <f t="shared" si="124"/>
        <v>3.9623576027736501E-3</v>
      </c>
      <c r="N142" s="2">
        <v>50</v>
      </c>
      <c r="O142" s="2" t="e">
        <f>N142*#REF!</f>
        <v>#REF!</v>
      </c>
      <c r="P142" s="34">
        <f t="shared" si="136"/>
        <v>1.3333333333333333</v>
      </c>
      <c r="Q142" s="2" t="e">
        <f t="shared" si="130"/>
        <v>#REF!</v>
      </c>
      <c r="R142" s="2">
        <v>30</v>
      </c>
      <c r="S142" s="2" t="e">
        <f t="shared" si="131"/>
        <v>#REF!</v>
      </c>
      <c r="T142" s="2" t="e">
        <f t="shared" si="132"/>
        <v>#REF!</v>
      </c>
      <c r="U142" s="2">
        <v>50</v>
      </c>
      <c r="V142" s="2">
        <f t="shared" si="133"/>
        <v>25.000000000000021</v>
      </c>
      <c r="W142" s="2" t="e">
        <f t="shared" si="134"/>
        <v>#REF!</v>
      </c>
      <c r="X142" s="2">
        <v>80000</v>
      </c>
      <c r="Y142" s="2" t="e">
        <f t="shared" si="125"/>
        <v>#REF!</v>
      </c>
      <c r="Z142" s="2" t="e">
        <f t="shared" si="126"/>
        <v>#REF!</v>
      </c>
      <c r="AA142" s="2" t="e">
        <f t="shared" si="122"/>
        <v>#REF!</v>
      </c>
      <c r="AB142" s="2" t="e">
        <f t="shared" si="123"/>
        <v>#REF!</v>
      </c>
      <c r="AC142" s="2">
        <f t="shared" si="138"/>
        <v>24205</v>
      </c>
      <c r="AD142" s="2">
        <f t="shared" si="139"/>
        <v>111</v>
      </c>
      <c r="AE142" s="2">
        <f t="shared" si="127"/>
        <v>102</v>
      </c>
      <c r="AF142" s="2" t="str">
        <f t="shared" si="140"/>
        <v>chest_shard</v>
      </c>
      <c r="AG142" s="2" t="str">
        <f t="shared" si="141"/>
        <v>StoreDoubleKey_1</v>
      </c>
      <c r="AH142" s="2" t="str">
        <f t="shared" si="128"/>
        <v>StoreFund_3</v>
      </c>
      <c r="AI142" s="2" t="str">
        <f t="shared" si="88"/>
        <v>[24205,111,102]</v>
      </c>
      <c r="AJ142" s="2" t="str">
        <f t="shared" si="89"/>
        <v>[30,50,80000]</v>
      </c>
      <c r="AK142" s="2" t="str">
        <f t="shared" si="90"/>
        <v>[chest_shard,StoreDoubleKey_1,StoreFund_3]</v>
      </c>
      <c r="AL142" s="2" t="str">
        <f t="shared" si="91"/>
        <v>6+50+碎片礼包</v>
      </c>
      <c r="AM142" s="1" t="str">
        <f t="shared" si="142"/>
        <v>T3 Senior Shard</v>
      </c>
      <c r="AN142" s="1" t="str">
        <f t="shared" si="143"/>
        <v>DoubleKeys</v>
      </c>
      <c r="AO142" s="1" t="str">
        <f t="shared" si="129"/>
        <v>Funds</v>
      </c>
    </row>
    <row r="143" spans="7:41" x14ac:dyDescent="0.3">
      <c r="G143" s="2">
        <v>7</v>
      </c>
      <c r="H143" s="2" t="s">
        <v>2567</v>
      </c>
      <c r="I143" s="2" t="s">
        <v>578</v>
      </c>
      <c r="J143" s="2" t="s">
        <v>317</v>
      </c>
      <c r="K143" s="2" t="e">
        <f t="shared" si="115"/>
        <v>#REF!</v>
      </c>
      <c r="L143" s="2">
        <f t="shared" si="137"/>
        <v>60</v>
      </c>
      <c r="M143" s="2">
        <f t="shared" si="124"/>
        <v>1</v>
      </c>
      <c r="N143" s="2">
        <v>10</v>
      </c>
      <c r="O143" s="2" t="e">
        <f>N143*#REF!</f>
        <v>#REF!</v>
      </c>
      <c r="P143" s="34">
        <f t="shared" ref="P143:P148" si="144">1/0.6</f>
        <v>1.6666666666666667</v>
      </c>
      <c r="Q143" s="2" t="e">
        <f t="shared" ref="Q143:Q148" si="145">O143*P143</f>
        <v>#REF!</v>
      </c>
      <c r="R143" s="2">
        <v>2</v>
      </c>
      <c r="S143" s="2" t="e">
        <f t="shared" ref="S143:S148" si="146">R143*K143</f>
        <v>#REF!</v>
      </c>
      <c r="T143" s="2" t="e">
        <f t="shared" ref="T143:T148" si="147">S143/Q143</f>
        <v>#REF!</v>
      </c>
      <c r="U143" s="2">
        <v>10</v>
      </c>
      <c r="V143" s="2">
        <f t="shared" ref="V143:V148" si="148">U143*L143</f>
        <v>600</v>
      </c>
      <c r="W143" s="2" t="e">
        <f t="shared" ref="W143:W148" si="149">V143/Q143</f>
        <v>#REF!</v>
      </c>
      <c r="X143" s="2">
        <v>700</v>
      </c>
      <c r="Y143" s="2" t="e">
        <f t="shared" si="125"/>
        <v>#REF!</v>
      </c>
      <c r="Z143" s="2" t="e">
        <f t="shared" si="126"/>
        <v>#REF!</v>
      </c>
      <c r="AA143" s="2" t="e">
        <f t="shared" si="122"/>
        <v>#REF!</v>
      </c>
      <c r="AB143" s="2" t="e">
        <f t="shared" si="123"/>
        <v>#REF!</v>
      </c>
      <c r="AC143" s="2">
        <f t="shared" si="138"/>
        <v>23204</v>
      </c>
      <c r="AD143" s="2">
        <f t="shared" si="139"/>
        <v>100302</v>
      </c>
      <c r="AE143" s="2">
        <f t="shared" si="127"/>
        <v>101</v>
      </c>
      <c r="AF143" s="2" t="str">
        <f t="shared" si="140"/>
        <v>chest_tankpart</v>
      </c>
      <c r="AG143" s="2" t="str">
        <f t="shared" si="141"/>
        <v>StoreQuikenItem_1</v>
      </c>
      <c r="AH143" s="2" t="str">
        <f t="shared" si="128"/>
        <v>StoreDiamond_1</v>
      </c>
      <c r="AI143" s="2" t="str">
        <f t="shared" si="88"/>
        <v>[23204,100302,101]</v>
      </c>
      <c r="AJ143" s="2" t="str">
        <f t="shared" si="89"/>
        <v>[2,10,700]</v>
      </c>
      <c r="AK143" s="2" t="str">
        <f t="shared" si="90"/>
        <v>[chest_tankpart,StoreQuikenItem_1,StoreDiamond_1]</v>
      </c>
      <c r="AL143" s="2" t="str">
        <f t="shared" si="91"/>
        <v>7+10+部件礼包</v>
      </c>
      <c r="AM143" s="1" t="str">
        <f t="shared" si="142"/>
        <v>T2 Component</v>
      </c>
      <c r="AN143" s="1" t="str">
        <f t="shared" si="143"/>
        <v>1H_X3_Accelerater</v>
      </c>
      <c r="AO143" s="1" t="str">
        <f t="shared" si="129"/>
        <v>Diamond</v>
      </c>
    </row>
    <row r="144" spans="7:41" x14ac:dyDescent="0.3">
      <c r="G144" s="2">
        <v>7</v>
      </c>
      <c r="H144" s="2" t="s">
        <v>2583</v>
      </c>
      <c r="I144" s="2" t="s">
        <v>511</v>
      </c>
      <c r="J144" s="2" t="s">
        <v>268</v>
      </c>
      <c r="K144" s="2" t="e">
        <f t="shared" si="115"/>
        <v>#REF!</v>
      </c>
      <c r="L144" s="2">
        <f t="shared" si="137"/>
        <v>0.50000000000000044</v>
      </c>
      <c r="M144" s="2">
        <f t="shared" si="124"/>
        <v>3.9623576027736501E-3</v>
      </c>
      <c r="N144" s="2">
        <v>10</v>
      </c>
      <c r="O144" s="2" t="e">
        <f>N144*#REF!</f>
        <v>#REF!</v>
      </c>
      <c r="P144" s="34">
        <f t="shared" si="144"/>
        <v>1.6666666666666667</v>
      </c>
      <c r="Q144" s="2" t="e">
        <f t="shared" si="145"/>
        <v>#REF!</v>
      </c>
      <c r="R144" s="2">
        <v>7</v>
      </c>
      <c r="S144" s="2" t="e">
        <f t="shared" si="146"/>
        <v>#REF!</v>
      </c>
      <c r="T144" s="2" t="e">
        <f t="shared" si="147"/>
        <v>#REF!</v>
      </c>
      <c r="U144" s="2">
        <v>77</v>
      </c>
      <c r="V144" s="2">
        <f t="shared" si="148"/>
        <v>38.500000000000036</v>
      </c>
      <c r="W144" s="2" t="e">
        <f t="shared" si="149"/>
        <v>#REF!</v>
      </c>
      <c r="X144" s="2">
        <v>40000</v>
      </c>
      <c r="Y144" s="2" t="e">
        <f t="shared" si="125"/>
        <v>#REF!</v>
      </c>
      <c r="Z144" s="2" t="e">
        <f t="shared" si="126"/>
        <v>#REF!</v>
      </c>
      <c r="AA144" s="2" t="e">
        <f t="shared" si="122"/>
        <v>#REF!</v>
      </c>
      <c r="AB144" s="2" t="e">
        <f t="shared" si="123"/>
        <v>#REF!</v>
      </c>
      <c r="AC144" s="2">
        <f t="shared" si="138"/>
        <v>24205</v>
      </c>
      <c r="AD144" s="2">
        <f t="shared" si="139"/>
        <v>111</v>
      </c>
      <c r="AE144" s="2">
        <f t="shared" si="127"/>
        <v>102</v>
      </c>
      <c r="AF144" s="2" t="str">
        <f t="shared" si="140"/>
        <v>chest_shard</v>
      </c>
      <c r="AG144" s="2" t="str">
        <f t="shared" si="141"/>
        <v>StoreDoubleKey_1</v>
      </c>
      <c r="AH144" s="2" t="str">
        <f t="shared" si="128"/>
        <v>StoreFund_3</v>
      </c>
      <c r="AI144" s="2" t="str">
        <f t="shared" si="88"/>
        <v>[24205,111,102]</v>
      </c>
      <c r="AJ144" s="2" t="str">
        <f t="shared" si="89"/>
        <v>[7,77,40000]</v>
      </c>
      <c r="AK144" s="2" t="str">
        <f t="shared" si="90"/>
        <v>[chest_shard,StoreDoubleKey_1,StoreFund_3]</v>
      </c>
      <c r="AL144" s="2" t="str">
        <f t="shared" si="91"/>
        <v>7+10+碎片礼包</v>
      </c>
      <c r="AM144" s="1" t="str">
        <f t="shared" si="142"/>
        <v>T3 Senior Shard</v>
      </c>
      <c r="AN144" s="1" t="str">
        <f t="shared" si="143"/>
        <v>DoubleKeys</v>
      </c>
      <c r="AO144" s="1" t="str">
        <f t="shared" si="129"/>
        <v>Funds</v>
      </c>
    </row>
    <row r="145" spans="7:41" x14ac:dyDescent="0.3">
      <c r="G145" s="2">
        <v>7</v>
      </c>
      <c r="H145" s="2" t="s">
        <v>2569</v>
      </c>
      <c r="I145" s="2" t="s">
        <v>578</v>
      </c>
      <c r="J145" s="2" t="s">
        <v>317</v>
      </c>
      <c r="K145" s="2" t="e">
        <f t="shared" si="115"/>
        <v>#REF!</v>
      </c>
      <c r="L145" s="2">
        <f t="shared" si="137"/>
        <v>60</v>
      </c>
      <c r="M145" s="2">
        <f t="shared" si="124"/>
        <v>1</v>
      </c>
      <c r="N145" s="2">
        <v>20</v>
      </c>
      <c r="O145" s="2" t="e">
        <f>N145*#REF!</f>
        <v>#REF!</v>
      </c>
      <c r="P145" s="34">
        <f t="shared" si="144"/>
        <v>1.6666666666666667</v>
      </c>
      <c r="Q145" s="2" t="e">
        <f t="shared" si="145"/>
        <v>#REF!</v>
      </c>
      <c r="R145" s="2">
        <v>3</v>
      </c>
      <c r="S145" s="2" t="e">
        <f t="shared" si="146"/>
        <v>#REF!</v>
      </c>
      <c r="T145" s="2" t="e">
        <f t="shared" si="147"/>
        <v>#REF!</v>
      </c>
      <c r="U145" s="2">
        <v>15</v>
      </c>
      <c r="V145" s="2">
        <f t="shared" si="148"/>
        <v>900</v>
      </c>
      <c r="W145" s="2" t="e">
        <f t="shared" si="149"/>
        <v>#REF!</v>
      </c>
      <c r="X145" s="2">
        <v>1900</v>
      </c>
      <c r="Y145" s="2" t="e">
        <f t="shared" si="125"/>
        <v>#REF!</v>
      </c>
      <c r="Z145" s="2" t="e">
        <f t="shared" si="126"/>
        <v>#REF!</v>
      </c>
      <c r="AA145" s="2" t="e">
        <f t="shared" si="122"/>
        <v>#REF!</v>
      </c>
      <c r="AB145" s="2" t="e">
        <f t="shared" si="123"/>
        <v>#REF!</v>
      </c>
      <c r="AC145" s="2">
        <f t="shared" si="138"/>
        <v>23205</v>
      </c>
      <c r="AD145" s="2">
        <f t="shared" si="139"/>
        <v>100302</v>
      </c>
      <c r="AE145" s="2">
        <f t="shared" si="127"/>
        <v>101</v>
      </c>
      <c r="AF145" s="2" t="str">
        <f t="shared" si="140"/>
        <v>chest_tankpart</v>
      </c>
      <c r="AG145" s="2" t="str">
        <f t="shared" si="141"/>
        <v>StoreQuikenItem_1</v>
      </c>
      <c r="AH145" s="2" t="str">
        <f t="shared" si="128"/>
        <v>StoreDiamond_1</v>
      </c>
      <c r="AI145" s="2" t="str">
        <f t="shared" si="88"/>
        <v>[23205,100302,101]</v>
      </c>
      <c r="AJ145" s="2" t="str">
        <f t="shared" si="89"/>
        <v>[3,15,1900]</v>
      </c>
      <c r="AK145" s="2" t="str">
        <f t="shared" si="90"/>
        <v>[chest_tankpart,StoreQuikenItem_1,StoreDiamond_1]</v>
      </c>
      <c r="AL145" s="2" t="str">
        <f t="shared" si="91"/>
        <v>7+20+部件礼包</v>
      </c>
      <c r="AM145" s="1" t="str">
        <f t="shared" si="142"/>
        <v>T2 Component</v>
      </c>
      <c r="AN145" s="1" t="str">
        <f t="shared" si="143"/>
        <v>1H_X3_Accelerater</v>
      </c>
      <c r="AO145" s="1" t="str">
        <f t="shared" si="129"/>
        <v>Diamond</v>
      </c>
    </row>
    <row r="146" spans="7:41" x14ac:dyDescent="0.3">
      <c r="G146" s="2">
        <v>7</v>
      </c>
      <c r="H146" s="2" t="s">
        <v>2583</v>
      </c>
      <c r="I146" s="2" t="s">
        <v>511</v>
      </c>
      <c r="J146" s="2" t="s">
        <v>268</v>
      </c>
      <c r="K146" s="2" t="e">
        <f t="shared" si="115"/>
        <v>#REF!</v>
      </c>
      <c r="L146" s="2">
        <f t="shared" si="137"/>
        <v>0.50000000000000044</v>
      </c>
      <c r="M146" s="2">
        <f t="shared" si="124"/>
        <v>3.9623576027736501E-3</v>
      </c>
      <c r="N146" s="2">
        <v>20</v>
      </c>
      <c r="O146" s="2" t="e">
        <f>N146*#REF!</f>
        <v>#REF!</v>
      </c>
      <c r="P146" s="34">
        <f t="shared" si="144"/>
        <v>1.6666666666666667</v>
      </c>
      <c r="Q146" s="2" t="e">
        <f t="shared" si="145"/>
        <v>#REF!</v>
      </c>
      <c r="R146" s="2">
        <v>15</v>
      </c>
      <c r="S146" s="2" t="e">
        <f t="shared" si="146"/>
        <v>#REF!</v>
      </c>
      <c r="T146" s="2" t="e">
        <f t="shared" si="147"/>
        <v>#REF!</v>
      </c>
      <c r="U146" s="2">
        <v>50</v>
      </c>
      <c r="V146" s="2">
        <f t="shared" si="148"/>
        <v>25.000000000000021</v>
      </c>
      <c r="W146" s="2" t="e">
        <f t="shared" si="149"/>
        <v>#REF!</v>
      </c>
      <c r="X146" s="2">
        <v>40000</v>
      </c>
      <c r="Y146" s="2" t="e">
        <f t="shared" si="125"/>
        <v>#REF!</v>
      </c>
      <c r="Z146" s="2" t="e">
        <f t="shared" si="126"/>
        <v>#REF!</v>
      </c>
      <c r="AA146" s="2" t="e">
        <f t="shared" si="122"/>
        <v>#REF!</v>
      </c>
      <c r="AB146" s="2" t="e">
        <f t="shared" si="123"/>
        <v>#REF!</v>
      </c>
      <c r="AC146" s="2">
        <f t="shared" si="138"/>
        <v>24205</v>
      </c>
      <c r="AD146" s="2">
        <f t="shared" si="139"/>
        <v>111</v>
      </c>
      <c r="AE146" s="2">
        <f t="shared" si="127"/>
        <v>102</v>
      </c>
      <c r="AF146" s="2" t="str">
        <f t="shared" si="140"/>
        <v>chest_shard</v>
      </c>
      <c r="AG146" s="2" t="str">
        <f t="shared" si="141"/>
        <v>StoreDoubleKey_1</v>
      </c>
      <c r="AH146" s="2" t="str">
        <f t="shared" si="128"/>
        <v>StoreFund_3</v>
      </c>
      <c r="AI146" s="2" t="str">
        <f t="shared" si="88"/>
        <v>[24205,111,102]</v>
      </c>
      <c r="AJ146" s="2" t="str">
        <f t="shared" si="89"/>
        <v>[15,50,40000]</v>
      </c>
      <c r="AK146" s="2" t="str">
        <f t="shared" si="90"/>
        <v>[chest_shard,StoreDoubleKey_1,StoreFund_3]</v>
      </c>
      <c r="AL146" s="2" t="str">
        <f t="shared" si="91"/>
        <v>7+20+碎片礼包</v>
      </c>
      <c r="AM146" s="1" t="str">
        <f t="shared" si="142"/>
        <v>T3 Senior Shard</v>
      </c>
      <c r="AN146" s="1" t="str">
        <f t="shared" si="143"/>
        <v>DoubleKeys</v>
      </c>
      <c r="AO146" s="1" t="str">
        <f t="shared" si="129"/>
        <v>Funds</v>
      </c>
    </row>
    <row r="147" spans="7:41" x14ac:dyDescent="0.3">
      <c r="G147" s="2">
        <v>7</v>
      </c>
      <c r="H147" s="2" t="s">
        <v>2542</v>
      </c>
      <c r="I147" s="2" t="s">
        <v>578</v>
      </c>
      <c r="J147" s="2" t="s">
        <v>317</v>
      </c>
      <c r="K147" s="2" t="e">
        <f t="shared" si="115"/>
        <v>#N/A</v>
      </c>
      <c r="L147" s="2">
        <f t="shared" si="137"/>
        <v>60</v>
      </c>
      <c r="M147" s="2">
        <f t="shared" si="124"/>
        <v>1</v>
      </c>
      <c r="N147" s="2">
        <v>50</v>
      </c>
      <c r="O147" s="2" t="e">
        <f>N147*#REF!</f>
        <v>#REF!</v>
      </c>
      <c r="P147" s="34">
        <f t="shared" si="144"/>
        <v>1.6666666666666667</v>
      </c>
      <c r="Q147" s="2" t="e">
        <f t="shared" si="145"/>
        <v>#REF!</v>
      </c>
      <c r="R147" s="2">
        <v>2</v>
      </c>
      <c r="S147" s="2" t="e">
        <f t="shared" si="146"/>
        <v>#N/A</v>
      </c>
      <c r="T147" s="2" t="e">
        <f t="shared" si="147"/>
        <v>#N/A</v>
      </c>
      <c r="U147" s="2">
        <v>20</v>
      </c>
      <c r="V147" s="2">
        <f t="shared" si="148"/>
        <v>1200</v>
      </c>
      <c r="W147" s="2" t="e">
        <f t="shared" si="149"/>
        <v>#REF!</v>
      </c>
      <c r="X147" s="2">
        <v>3100</v>
      </c>
      <c r="Y147" s="2" t="e">
        <f t="shared" si="125"/>
        <v>#N/A</v>
      </c>
      <c r="Z147" s="2" t="e">
        <f t="shared" si="126"/>
        <v>#N/A</v>
      </c>
      <c r="AA147" s="2" t="e">
        <f t="shared" si="122"/>
        <v>#N/A</v>
      </c>
      <c r="AB147" s="2" t="e">
        <f t="shared" si="123"/>
        <v>#N/A</v>
      </c>
      <c r="AC147" s="2">
        <f t="shared" si="138"/>
        <v>25557</v>
      </c>
      <c r="AD147" s="2">
        <f t="shared" si="139"/>
        <v>100302</v>
      </c>
      <c r="AE147" s="2">
        <f t="shared" si="127"/>
        <v>101</v>
      </c>
      <c r="AF147" s="2" t="str">
        <f t="shared" si="140"/>
        <v>chest_lv6_icon</v>
      </c>
      <c r="AG147" s="2" t="str">
        <f t="shared" si="141"/>
        <v>StoreQuikenItem_1</v>
      </c>
      <c r="AH147" s="2" t="str">
        <f t="shared" si="128"/>
        <v>StoreDiamond_1</v>
      </c>
      <c r="AI147" s="2" t="str">
        <f t="shared" si="88"/>
        <v>[25557,100302,101]</v>
      </c>
      <c r="AJ147" s="2" t="str">
        <f t="shared" si="89"/>
        <v>[2,20,3100]</v>
      </c>
      <c r="AK147" s="2" t="str">
        <f t="shared" si="90"/>
        <v>[chest_lv6_icon,StoreQuikenItem_1,StoreDiamond_1]</v>
      </c>
      <c r="AL147" s="2" t="str">
        <f t="shared" si="91"/>
        <v>7+50+史诗自宝</v>
      </c>
      <c r="AM147" s="1" t="str">
        <f t="shared" si="142"/>
        <v>Rank 7 Epic Chest</v>
      </c>
      <c r="AN147" s="1" t="str">
        <f t="shared" si="143"/>
        <v>1H_X3_Accelerater</v>
      </c>
      <c r="AO147" s="1" t="str">
        <f t="shared" si="129"/>
        <v>Diamond</v>
      </c>
    </row>
    <row r="148" spans="7:41" x14ac:dyDescent="0.3">
      <c r="G148" s="2">
        <v>7</v>
      </c>
      <c r="H148" s="2" t="s">
        <v>2583</v>
      </c>
      <c r="I148" s="2" t="s">
        <v>511</v>
      </c>
      <c r="J148" s="2" t="s">
        <v>268</v>
      </c>
      <c r="K148" s="2" t="e">
        <f t="shared" si="115"/>
        <v>#REF!</v>
      </c>
      <c r="L148" s="2">
        <f t="shared" si="137"/>
        <v>0.50000000000000044</v>
      </c>
      <c r="M148" s="2">
        <f t="shared" si="124"/>
        <v>3.9623576027736501E-3</v>
      </c>
      <c r="N148" s="2">
        <v>50</v>
      </c>
      <c r="O148" s="2" t="e">
        <f>N148*#REF!</f>
        <v>#REF!</v>
      </c>
      <c r="P148" s="34">
        <f t="shared" si="144"/>
        <v>1.6666666666666667</v>
      </c>
      <c r="Q148" s="2" t="e">
        <f t="shared" si="145"/>
        <v>#REF!</v>
      </c>
      <c r="R148" s="2">
        <v>38</v>
      </c>
      <c r="S148" s="2" t="e">
        <f t="shared" si="146"/>
        <v>#REF!</v>
      </c>
      <c r="T148" s="2" t="e">
        <f t="shared" si="147"/>
        <v>#REF!</v>
      </c>
      <c r="U148" s="2">
        <v>50</v>
      </c>
      <c r="V148" s="2">
        <f t="shared" si="148"/>
        <v>25.000000000000021</v>
      </c>
      <c r="W148" s="2" t="e">
        <f t="shared" si="149"/>
        <v>#REF!</v>
      </c>
      <c r="X148" s="2">
        <v>80000</v>
      </c>
      <c r="Y148" s="2" t="e">
        <f t="shared" si="125"/>
        <v>#REF!</v>
      </c>
      <c r="Z148" s="2" t="e">
        <f t="shared" si="126"/>
        <v>#REF!</v>
      </c>
      <c r="AA148" s="2" t="e">
        <f t="shared" si="122"/>
        <v>#REF!</v>
      </c>
      <c r="AB148" s="2" t="e">
        <f t="shared" si="123"/>
        <v>#REF!</v>
      </c>
      <c r="AC148" s="2">
        <f t="shared" si="138"/>
        <v>24205</v>
      </c>
      <c r="AD148" s="2">
        <f t="shared" si="139"/>
        <v>111</v>
      </c>
      <c r="AE148" s="2">
        <f t="shared" si="127"/>
        <v>102</v>
      </c>
      <c r="AF148" s="2" t="str">
        <f t="shared" si="140"/>
        <v>chest_shard</v>
      </c>
      <c r="AG148" s="2" t="str">
        <f t="shared" si="141"/>
        <v>StoreDoubleKey_1</v>
      </c>
      <c r="AH148" s="2" t="str">
        <f t="shared" si="128"/>
        <v>StoreFund_3</v>
      </c>
      <c r="AI148" s="2" t="str">
        <f t="shared" si="88"/>
        <v>[24205,111,102]</v>
      </c>
      <c r="AJ148" s="2" t="str">
        <f t="shared" si="89"/>
        <v>[38,50,80000]</v>
      </c>
      <c r="AK148" s="2" t="str">
        <f t="shared" si="90"/>
        <v>[chest_shard,StoreDoubleKey_1,StoreFund_3]</v>
      </c>
      <c r="AL148" s="2" t="str">
        <f t="shared" si="91"/>
        <v>7+50+碎片礼包</v>
      </c>
      <c r="AM148" s="1" t="str">
        <f t="shared" si="142"/>
        <v>T3 Senior Shard</v>
      </c>
      <c r="AN148" s="1" t="str">
        <f t="shared" si="143"/>
        <v>DoubleKeys</v>
      </c>
      <c r="AO148" s="1" t="str">
        <f t="shared" si="129"/>
        <v>Funds</v>
      </c>
    </row>
    <row r="149" spans="7:41" x14ac:dyDescent="0.3">
      <c r="G149" s="2">
        <v>7</v>
      </c>
      <c r="H149" s="2" t="s">
        <v>2567</v>
      </c>
      <c r="I149" s="2" t="s">
        <v>578</v>
      </c>
      <c r="J149" s="2" t="s">
        <v>317</v>
      </c>
      <c r="K149" s="2" t="e">
        <f t="shared" si="115"/>
        <v>#REF!</v>
      </c>
      <c r="L149" s="2">
        <f t="shared" si="137"/>
        <v>60</v>
      </c>
      <c r="M149" s="2">
        <f t="shared" si="124"/>
        <v>1</v>
      </c>
      <c r="N149" s="2">
        <v>10</v>
      </c>
      <c r="O149" s="2" t="e">
        <f>N149*#REF!</f>
        <v>#REF!</v>
      </c>
      <c r="P149" s="34">
        <f t="shared" ref="P149:P154" si="150">3/2</f>
        <v>1.5</v>
      </c>
      <c r="Q149" s="2" t="e">
        <f t="shared" ref="Q149:Q160" si="151">O149*P149</f>
        <v>#REF!</v>
      </c>
      <c r="R149" s="2">
        <v>2</v>
      </c>
      <c r="S149" s="2" t="e">
        <f t="shared" ref="S149:S160" si="152">R149*K149</f>
        <v>#REF!</v>
      </c>
      <c r="T149" s="2" t="e">
        <f t="shared" ref="T149:T160" si="153">S149/Q149</f>
        <v>#REF!</v>
      </c>
      <c r="U149" s="2">
        <v>10</v>
      </c>
      <c r="V149" s="2">
        <f t="shared" ref="V149:V160" si="154">U149*L149</f>
        <v>600</v>
      </c>
      <c r="W149" s="2" t="e">
        <f t="shared" ref="W149:W160" si="155">V149/Q149</f>
        <v>#REF!</v>
      </c>
      <c r="X149" s="2">
        <v>500</v>
      </c>
      <c r="Y149" s="2" t="e">
        <f t="shared" si="125"/>
        <v>#REF!</v>
      </c>
      <c r="Z149" s="2" t="e">
        <f t="shared" si="126"/>
        <v>#REF!</v>
      </c>
      <c r="AA149" s="2" t="e">
        <f t="shared" si="122"/>
        <v>#REF!</v>
      </c>
      <c r="AB149" s="2" t="e">
        <f t="shared" si="123"/>
        <v>#REF!</v>
      </c>
      <c r="AC149" s="2">
        <f t="shared" si="138"/>
        <v>23204</v>
      </c>
      <c r="AD149" s="2">
        <f t="shared" si="139"/>
        <v>100302</v>
      </c>
      <c r="AE149" s="2">
        <f t="shared" si="127"/>
        <v>101</v>
      </c>
      <c r="AF149" s="2" t="str">
        <f t="shared" si="140"/>
        <v>chest_tankpart</v>
      </c>
      <c r="AG149" s="2" t="str">
        <f t="shared" si="141"/>
        <v>StoreQuikenItem_1</v>
      </c>
      <c r="AH149" s="2" t="str">
        <f t="shared" si="128"/>
        <v>StoreDiamond_1</v>
      </c>
      <c r="AI149" s="2" t="str">
        <f t="shared" si="88"/>
        <v>[23204,100302,101]</v>
      </c>
      <c r="AJ149" s="2" t="str">
        <f t="shared" si="89"/>
        <v>[2,10,500]</v>
      </c>
      <c r="AK149" s="2" t="str">
        <f t="shared" si="90"/>
        <v>[chest_tankpart,StoreQuikenItem_1,StoreDiamond_1]</v>
      </c>
      <c r="AL149" s="2" t="str">
        <f t="shared" si="91"/>
        <v>7+10+部件礼包</v>
      </c>
      <c r="AM149" s="1" t="str">
        <f t="shared" si="142"/>
        <v>T2 Component</v>
      </c>
      <c r="AN149" s="1" t="str">
        <f t="shared" si="143"/>
        <v>1H_X3_Accelerater</v>
      </c>
      <c r="AO149" s="1" t="str">
        <f t="shared" si="129"/>
        <v>Diamond</v>
      </c>
    </row>
    <row r="150" spans="7:41" x14ac:dyDescent="0.3">
      <c r="G150" s="2">
        <v>7</v>
      </c>
      <c r="H150" s="2" t="s">
        <v>2583</v>
      </c>
      <c r="I150" s="2" t="s">
        <v>511</v>
      </c>
      <c r="J150" s="2" t="s">
        <v>268</v>
      </c>
      <c r="K150" s="2" t="e">
        <f t="shared" si="115"/>
        <v>#REF!</v>
      </c>
      <c r="L150" s="2">
        <f t="shared" si="137"/>
        <v>0.50000000000000044</v>
      </c>
      <c r="M150" s="2">
        <f t="shared" si="124"/>
        <v>3.9623576027736501E-3</v>
      </c>
      <c r="N150" s="2">
        <v>10</v>
      </c>
      <c r="O150" s="2" t="e">
        <f>N150*#REF!</f>
        <v>#REF!</v>
      </c>
      <c r="P150" s="34">
        <f t="shared" si="150"/>
        <v>1.5</v>
      </c>
      <c r="Q150" s="2" t="e">
        <f t="shared" si="151"/>
        <v>#REF!</v>
      </c>
      <c r="R150" s="2">
        <v>5</v>
      </c>
      <c r="S150" s="2" t="e">
        <f t="shared" si="152"/>
        <v>#REF!</v>
      </c>
      <c r="T150" s="2" t="e">
        <f t="shared" si="153"/>
        <v>#REF!</v>
      </c>
      <c r="U150" s="2">
        <v>50</v>
      </c>
      <c r="V150" s="2">
        <f t="shared" si="154"/>
        <v>25.000000000000021</v>
      </c>
      <c r="W150" s="2" t="e">
        <f t="shared" si="155"/>
        <v>#REF!</v>
      </c>
      <c r="X150" s="2">
        <v>100000</v>
      </c>
      <c r="Y150" s="2" t="e">
        <f t="shared" si="125"/>
        <v>#REF!</v>
      </c>
      <c r="Z150" s="2" t="e">
        <f t="shared" si="126"/>
        <v>#REF!</v>
      </c>
      <c r="AA150" s="2" t="e">
        <f t="shared" si="122"/>
        <v>#REF!</v>
      </c>
      <c r="AB150" s="2" t="e">
        <f t="shared" si="123"/>
        <v>#REF!</v>
      </c>
      <c r="AC150" s="2">
        <f t="shared" si="138"/>
        <v>24205</v>
      </c>
      <c r="AD150" s="2">
        <f t="shared" si="139"/>
        <v>111</v>
      </c>
      <c r="AE150" s="2">
        <f t="shared" si="127"/>
        <v>102</v>
      </c>
      <c r="AF150" s="2" t="str">
        <f t="shared" si="140"/>
        <v>chest_shard</v>
      </c>
      <c r="AG150" s="2" t="str">
        <f t="shared" si="141"/>
        <v>StoreDoubleKey_1</v>
      </c>
      <c r="AH150" s="2" t="str">
        <f t="shared" si="128"/>
        <v>StoreFund_3</v>
      </c>
      <c r="AI150" s="2" t="str">
        <f t="shared" si="88"/>
        <v>[24205,111,102]</v>
      </c>
      <c r="AJ150" s="2" t="str">
        <f t="shared" si="89"/>
        <v>[5,50,100000]</v>
      </c>
      <c r="AK150" s="2" t="str">
        <f t="shared" si="90"/>
        <v>[chest_shard,StoreDoubleKey_1,StoreFund_3]</v>
      </c>
      <c r="AL150" s="2" t="str">
        <f t="shared" si="91"/>
        <v>7+10+碎片礼包</v>
      </c>
      <c r="AM150" s="1" t="str">
        <f t="shared" si="142"/>
        <v>T3 Senior Shard</v>
      </c>
      <c r="AN150" s="1" t="str">
        <f t="shared" si="143"/>
        <v>DoubleKeys</v>
      </c>
      <c r="AO150" s="1" t="str">
        <f t="shared" si="129"/>
        <v>Funds</v>
      </c>
    </row>
    <row r="151" spans="7:41" x14ac:dyDescent="0.3">
      <c r="G151" s="2">
        <v>7</v>
      </c>
      <c r="H151" s="2" t="s">
        <v>2569</v>
      </c>
      <c r="I151" s="2" t="s">
        <v>578</v>
      </c>
      <c r="J151" s="2" t="s">
        <v>317</v>
      </c>
      <c r="K151" s="2" t="e">
        <f t="shared" ref="K151:K160" si="156">IFERROR(VLOOKUP(LEFT(H151,4),$B$40:$C$81,2,FALSE),VLOOKUP(H151,$B$40:$C$81,2,FALSE))</f>
        <v>#REF!</v>
      </c>
      <c r="L151" s="2">
        <f t="shared" si="137"/>
        <v>60</v>
      </c>
      <c r="M151" s="2">
        <f t="shared" si="124"/>
        <v>1</v>
      </c>
      <c r="N151" s="2">
        <v>20</v>
      </c>
      <c r="O151" s="2" t="e">
        <f>N151*#REF!</f>
        <v>#REF!</v>
      </c>
      <c r="P151" s="34">
        <f t="shared" si="150"/>
        <v>1.5</v>
      </c>
      <c r="Q151" s="2" t="e">
        <f t="shared" si="151"/>
        <v>#REF!</v>
      </c>
      <c r="R151" s="2">
        <v>1</v>
      </c>
      <c r="S151" s="2" t="e">
        <f t="shared" si="152"/>
        <v>#REF!</v>
      </c>
      <c r="T151" s="2" t="e">
        <f t="shared" si="153"/>
        <v>#REF!</v>
      </c>
      <c r="U151" s="2">
        <v>10</v>
      </c>
      <c r="V151" s="2">
        <f t="shared" si="154"/>
        <v>600</v>
      </c>
      <c r="W151" s="2" t="e">
        <f t="shared" si="155"/>
        <v>#REF!</v>
      </c>
      <c r="X151" s="2">
        <v>2200</v>
      </c>
      <c r="Y151" s="2" t="e">
        <f t="shared" si="125"/>
        <v>#REF!</v>
      </c>
      <c r="Z151" s="2" t="e">
        <f t="shared" si="126"/>
        <v>#REF!</v>
      </c>
      <c r="AA151" s="2" t="e">
        <f t="shared" ref="AA151:AA160" si="157">R151*K151+U151*L151+X151*M151</f>
        <v>#REF!</v>
      </c>
      <c r="AB151" s="2" t="e">
        <f t="shared" ref="AB151:AB160" si="158">1-1/(AA151/O151)</f>
        <v>#REF!</v>
      </c>
      <c r="AC151" s="2">
        <f t="shared" si="138"/>
        <v>23205</v>
      </c>
      <c r="AD151" s="2">
        <f t="shared" si="139"/>
        <v>100302</v>
      </c>
      <c r="AE151" s="2">
        <f t="shared" si="127"/>
        <v>101</v>
      </c>
      <c r="AF151" s="2" t="str">
        <f t="shared" si="140"/>
        <v>chest_tankpart</v>
      </c>
      <c r="AG151" s="2" t="str">
        <f t="shared" si="141"/>
        <v>StoreQuikenItem_1</v>
      </c>
      <c r="AH151" s="2" t="str">
        <f t="shared" si="128"/>
        <v>StoreDiamond_1</v>
      </c>
      <c r="AI151" s="2" t="str">
        <f t="shared" si="88"/>
        <v>[23205,100302,101]</v>
      </c>
      <c r="AJ151" s="2" t="str">
        <f t="shared" si="89"/>
        <v>[1,10,2200]</v>
      </c>
      <c r="AK151" s="2" t="str">
        <f t="shared" si="90"/>
        <v>[chest_tankpart,StoreQuikenItem_1,StoreDiamond_1]</v>
      </c>
      <c r="AL151" s="2" t="str">
        <f t="shared" si="91"/>
        <v>7+20+部件礼包</v>
      </c>
      <c r="AM151" s="1" t="str">
        <f t="shared" si="142"/>
        <v>T2 Component</v>
      </c>
      <c r="AN151" s="1" t="str">
        <f t="shared" si="143"/>
        <v>1H_X3_Accelerater</v>
      </c>
      <c r="AO151" s="1" t="str">
        <f t="shared" si="129"/>
        <v>Diamond</v>
      </c>
    </row>
    <row r="152" spans="7:41" x14ac:dyDescent="0.3">
      <c r="G152" s="2">
        <v>7</v>
      </c>
      <c r="H152" s="2" t="s">
        <v>2583</v>
      </c>
      <c r="I152" s="2" t="s">
        <v>511</v>
      </c>
      <c r="J152" s="2" t="s">
        <v>268</v>
      </c>
      <c r="K152" s="2" t="e">
        <f t="shared" si="156"/>
        <v>#REF!</v>
      </c>
      <c r="L152" s="2">
        <f t="shared" si="137"/>
        <v>0.50000000000000044</v>
      </c>
      <c r="M152" s="2">
        <f t="shared" si="124"/>
        <v>3.9623576027736501E-3</v>
      </c>
      <c r="N152" s="2">
        <v>20</v>
      </c>
      <c r="O152" s="2" t="e">
        <f>N152*#REF!</f>
        <v>#REF!</v>
      </c>
      <c r="P152" s="34">
        <f t="shared" si="150"/>
        <v>1.5</v>
      </c>
      <c r="Q152" s="2" t="e">
        <f t="shared" si="151"/>
        <v>#REF!</v>
      </c>
      <c r="R152" s="2">
        <v>12</v>
      </c>
      <c r="S152" s="2" t="e">
        <f t="shared" si="152"/>
        <v>#REF!</v>
      </c>
      <c r="T152" s="2" t="e">
        <f t="shared" si="153"/>
        <v>#REF!</v>
      </c>
      <c r="U152" s="2">
        <v>100</v>
      </c>
      <c r="V152" s="2">
        <f t="shared" si="154"/>
        <v>50.000000000000043</v>
      </c>
      <c r="W152" s="2" t="e">
        <f t="shared" si="155"/>
        <v>#REF!</v>
      </c>
      <c r="X152" s="2">
        <v>100000</v>
      </c>
      <c r="Y152" s="2" t="e">
        <f t="shared" si="125"/>
        <v>#REF!</v>
      </c>
      <c r="Z152" s="2" t="e">
        <f t="shared" si="126"/>
        <v>#REF!</v>
      </c>
      <c r="AA152" s="2" t="e">
        <f t="shared" si="157"/>
        <v>#REF!</v>
      </c>
      <c r="AB152" s="2" t="e">
        <f t="shared" si="158"/>
        <v>#REF!</v>
      </c>
      <c r="AC152" s="2">
        <f t="shared" si="138"/>
        <v>24205</v>
      </c>
      <c r="AD152" s="2">
        <f t="shared" si="139"/>
        <v>111</v>
      </c>
      <c r="AE152" s="2">
        <f t="shared" si="127"/>
        <v>102</v>
      </c>
      <c r="AF152" s="2" t="str">
        <f t="shared" si="140"/>
        <v>chest_shard</v>
      </c>
      <c r="AG152" s="2" t="str">
        <f t="shared" si="141"/>
        <v>StoreDoubleKey_1</v>
      </c>
      <c r="AH152" s="2" t="str">
        <f t="shared" si="128"/>
        <v>StoreFund_3</v>
      </c>
      <c r="AI152" s="2" t="str">
        <f t="shared" ref="AI152:AI160" si="159">"["&amp;AC152&amp;","&amp;AD152&amp;","&amp;AE152&amp;"]"</f>
        <v>[24205,111,102]</v>
      </c>
      <c r="AJ152" s="2" t="str">
        <f t="shared" ref="AJ152:AJ160" si="160">"["&amp;R152&amp;","&amp;U152&amp;","&amp;X152&amp;"]"</f>
        <v>[12,100,100000]</v>
      </c>
      <c r="AK152" s="2" t="str">
        <f t="shared" ref="AK152:AK160" si="161">"["&amp;AF152&amp;","&amp;AG152&amp;","&amp;AH152&amp;"]"</f>
        <v>[chest_shard,StoreDoubleKey_1,StoreFund_3]</v>
      </c>
      <c r="AL152" s="2" t="str">
        <f t="shared" ref="AL152:AL160" si="162">G152&amp;"+"&amp;N152&amp;"+"&amp;LEFT(H152,4)</f>
        <v>7+20+碎片礼包</v>
      </c>
      <c r="AM152" s="1" t="str">
        <f t="shared" si="142"/>
        <v>T3 Senior Shard</v>
      </c>
      <c r="AN152" s="1" t="str">
        <f t="shared" si="143"/>
        <v>DoubleKeys</v>
      </c>
      <c r="AO152" s="1" t="str">
        <f t="shared" si="129"/>
        <v>Funds</v>
      </c>
    </row>
    <row r="153" spans="7:41" x14ac:dyDescent="0.3">
      <c r="G153" s="2">
        <v>7</v>
      </c>
      <c r="H153" s="2" t="s">
        <v>2542</v>
      </c>
      <c r="I153" s="2" t="s">
        <v>578</v>
      </c>
      <c r="J153" s="2" t="s">
        <v>317</v>
      </c>
      <c r="K153" s="2" t="e">
        <f t="shared" si="156"/>
        <v>#N/A</v>
      </c>
      <c r="L153" s="2">
        <f t="shared" si="137"/>
        <v>60</v>
      </c>
      <c r="M153" s="2">
        <f t="shared" si="124"/>
        <v>1</v>
      </c>
      <c r="N153" s="2">
        <v>50</v>
      </c>
      <c r="O153" s="2" t="e">
        <f>N153*#REF!</f>
        <v>#REF!</v>
      </c>
      <c r="P153" s="34">
        <f t="shared" si="150"/>
        <v>1.5</v>
      </c>
      <c r="Q153" s="2" t="e">
        <f t="shared" si="151"/>
        <v>#REF!</v>
      </c>
      <c r="R153" s="2">
        <v>2</v>
      </c>
      <c r="S153" s="2" t="e">
        <f t="shared" si="152"/>
        <v>#N/A</v>
      </c>
      <c r="T153" s="2" t="e">
        <f t="shared" si="153"/>
        <v>#N/A</v>
      </c>
      <c r="U153" s="2">
        <v>20</v>
      </c>
      <c r="V153" s="2">
        <f t="shared" si="154"/>
        <v>1200</v>
      </c>
      <c r="W153" s="2" t="e">
        <f t="shared" si="155"/>
        <v>#REF!</v>
      </c>
      <c r="X153" s="2">
        <v>2300</v>
      </c>
      <c r="Y153" s="2" t="e">
        <f t="shared" si="125"/>
        <v>#N/A</v>
      </c>
      <c r="Z153" s="2" t="e">
        <f t="shared" si="126"/>
        <v>#N/A</v>
      </c>
      <c r="AA153" s="2" t="e">
        <f t="shared" si="157"/>
        <v>#N/A</v>
      </c>
      <c r="AB153" s="2" t="e">
        <f t="shared" si="158"/>
        <v>#N/A</v>
      </c>
      <c r="AC153" s="2">
        <f t="shared" si="138"/>
        <v>25557</v>
      </c>
      <c r="AD153" s="2">
        <f t="shared" si="139"/>
        <v>100302</v>
      </c>
      <c r="AE153" s="2">
        <f t="shared" si="127"/>
        <v>101</v>
      </c>
      <c r="AF153" s="2" t="str">
        <f t="shared" si="140"/>
        <v>chest_lv6_icon</v>
      </c>
      <c r="AG153" s="2" t="str">
        <f t="shared" si="141"/>
        <v>StoreQuikenItem_1</v>
      </c>
      <c r="AH153" s="2" t="str">
        <f t="shared" si="128"/>
        <v>StoreDiamond_1</v>
      </c>
      <c r="AI153" s="2" t="str">
        <f t="shared" si="159"/>
        <v>[25557,100302,101]</v>
      </c>
      <c r="AJ153" s="2" t="str">
        <f t="shared" si="160"/>
        <v>[2,20,2300]</v>
      </c>
      <c r="AK153" s="2" t="str">
        <f t="shared" si="161"/>
        <v>[chest_lv6_icon,StoreQuikenItem_1,StoreDiamond_1]</v>
      </c>
      <c r="AL153" s="2" t="str">
        <f t="shared" si="162"/>
        <v>7+50+史诗自宝</v>
      </c>
      <c r="AM153" s="1" t="str">
        <f t="shared" si="142"/>
        <v>Rank 7 Epic Chest</v>
      </c>
      <c r="AN153" s="1" t="str">
        <f t="shared" si="143"/>
        <v>1H_X3_Accelerater</v>
      </c>
      <c r="AO153" s="1" t="str">
        <f t="shared" si="129"/>
        <v>Diamond</v>
      </c>
    </row>
    <row r="154" spans="7:41" x14ac:dyDescent="0.3">
      <c r="G154" s="2">
        <v>7</v>
      </c>
      <c r="H154" s="2" t="s">
        <v>2583</v>
      </c>
      <c r="I154" s="2" t="s">
        <v>511</v>
      </c>
      <c r="J154" s="2" t="s">
        <v>268</v>
      </c>
      <c r="K154" s="2" t="e">
        <f t="shared" si="156"/>
        <v>#REF!</v>
      </c>
      <c r="L154" s="2">
        <f t="shared" si="137"/>
        <v>0.50000000000000044</v>
      </c>
      <c r="M154" s="2">
        <f t="shared" si="124"/>
        <v>3.9623576027736501E-3</v>
      </c>
      <c r="N154" s="2">
        <v>50</v>
      </c>
      <c r="O154" s="2" t="e">
        <f>N154*#REF!</f>
        <v>#REF!</v>
      </c>
      <c r="P154" s="34">
        <f t="shared" si="150"/>
        <v>1.5</v>
      </c>
      <c r="Q154" s="2" t="e">
        <f t="shared" si="151"/>
        <v>#REF!</v>
      </c>
      <c r="R154" s="2">
        <v>35</v>
      </c>
      <c r="S154" s="2" t="e">
        <f t="shared" si="152"/>
        <v>#REF!</v>
      </c>
      <c r="T154" s="2" t="e">
        <f t="shared" si="153"/>
        <v>#REF!</v>
      </c>
      <c r="U154" s="2">
        <v>50</v>
      </c>
      <c r="V154" s="2">
        <f t="shared" si="154"/>
        <v>25.000000000000021</v>
      </c>
      <c r="W154" s="2" t="e">
        <f t="shared" si="155"/>
        <v>#REF!</v>
      </c>
      <c r="X154" s="2">
        <v>30000</v>
      </c>
      <c r="Y154" s="2" t="e">
        <f t="shared" si="125"/>
        <v>#REF!</v>
      </c>
      <c r="Z154" s="2" t="e">
        <f t="shared" si="126"/>
        <v>#REF!</v>
      </c>
      <c r="AA154" s="2" t="e">
        <f t="shared" si="157"/>
        <v>#REF!</v>
      </c>
      <c r="AB154" s="2" t="e">
        <f t="shared" si="158"/>
        <v>#REF!</v>
      </c>
      <c r="AC154" s="2">
        <f t="shared" si="138"/>
        <v>24205</v>
      </c>
      <c r="AD154" s="2">
        <f t="shared" si="139"/>
        <v>111</v>
      </c>
      <c r="AE154" s="2">
        <f t="shared" si="127"/>
        <v>102</v>
      </c>
      <c r="AF154" s="2" t="str">
        <f t="shared" si="140"/>
        <v>chest_shard</v>
      </c>
      <c r="AG154" s="2" t="str">
        <f t="shared" si="141"/>
        <v>StoreDoubleKey_1</v>
      </c>
      <c r="AH154" s="2" t="str">
        <f t="shared" si="128"/>
        <v>StoreFund_3</v>
      </c>
      <c r="AI154" s="2" t="str">
        <f t="shared" si="159"/>
        <v>[24205,111,102]</v>
      </c>
      <c r="AJ154" s="2" t="str">
        <f t="shared" si="160"/>
        <v>[35,50,30000]</v>
      </c>
      <c r="AK154" s="2" t="str">
        <f t="shared" si="161"/>
        <v>[chest_shard,StoreDoubleKey_1,StoreFund_3]</v>
      </c>
      <c r="AL154" s="2" t="str">
        <f t="shared" si="162"/>
        <v>7+50+碎片礼包</v>
      </c>
      <c r="AM154" s="1" t="str">
        <f t="shared" si="142"/>
        <v>T3 Senior Shard</v>
      </c>
      <c r="AN154" s="1" t="str">
        <f t="shared" si="143"/>
        <v>DoubleKeys</v>
      </c>
      <c r="AO154" s="1" t="str">
        <f t="shared" si="129"/>
        <v>Funds</v>
      </c>
    </row>
    <row r="155" spans="7:41" x14ac:dyDescent="0.3">
      <c r="G155" s="2">
        <v>7</v>
      </c>
      <c r="H155" s="2" t="s">
        <v>2567</v>
      </c>
      <c r="I155" s="2" t="s">
        <v>578</v>
      </c>
      <c r="J155" s="2" t="s">
        <v>317</v>
      </c>
      <c r="K155" s="2" t="e">
        <f t="shared" si="156"/>
        <v>#REF!</v>
      </c>
      <c r="L155" s="2">
        <f t="shared" si="137"/>
        <v>60</v>
      </c>
      <c r="M155" s="2">
        <f t="shared" ref="M155:M160" si="163">VLOOKUP(J155,$B$40:$C$81,2,FALSE)</f>
        <v>1</v>
      </c>
      <c r="N155" s="2">
        <v>10</v>
      </c>
      <c r="O155" s="2" t="e">
        <f>N155*#REF!</f>
        <v>#REF!</v>
      </c>
      <c r="P155" s="34">
        <f t="shared" si="136"/>
        <v>1.3333333333333333</v>
      </c>
      <c r="Q155" s="2" t="e">
        <f t="shared" si="151"/>
        <v>#REF!</v>
      </c>
      <c r="R155" s="2">
        <v>2</v>
      </c>
      <c r="S155" s="2" t="e">
        <f t="shared" si="152"/>
        <v>#REF!</v>
      </c>
      <c r="T155" s="2" t="e">
        <f t="shared" si="153"/>
        <v>#REF!</v>
      </c>
      <c r="U155" s="2">
        <v>10</v>
      </c>
      <c r="V155" s="2">
        <f t="shared" si="154"/>
        <v>600</v>
      </c>
      <c r="W155" s="2" t="e">
        <f t="shared" si="155"/>
        <v>#REF!</v>
      </c>
      <c r="X155" s="2">
        <v>400</v>
      </c>
      <c r="Y155" s="2" t="e">
        <f t="shared" ref="Y155:Y160" si="164">Z155*Q155</f>
        <v>#REF!</v>
      </c>
      <c r="Z155" s="2" t="e">
        <f t="shared" ref="Z155:Z160" si="165">1-T155-W155</f>
        <v>#REF!</v>
      </c>
      <c r="AA155" s="2" t="e">
        <f t="shared" si="157"/>
        <v>#REF!</v>
      </c>
      <c r="AB155" s="2" t="e">
        <f t="shared" si="158"/>
        <v>#REF!</v>
      </c>
      <c r="AC155" s="2">
        <f t="shared" si="138"/>
        <v>23204</v>
      </c>
      <c r="AD155" s="2">
        <f t="shared" si="139"/>
        <v>100302</v>
      </c>
      <c r="AE155" s="2">
        <f t="shared" ref="AE155:AE160" si="166">VLOOKUP(J155,道具ID,2,FALSE)</f>
        <v>101</v>
      </c>
      <c r="AF155" s="2" t="str">
        <f t="shared" si="140"/>
        <v>chest_tankpart</v>
      </c>
      <c r="AG155" s="2" t="str">
        <f t="shared" si="141"/>
        <v>StoreQuikenItem_1</v>
      </c>
      <c r="AH155" s="2" t="str">
        <f t="shared" ref="AH155:AH160" si="167">VLOOKUP(J155,道具ID,3,FALSE)</f>
        <v>StoreDiamond_1</v>
      </c>
      <c r="AI155" s="2" t="str">
        <f t="shared" si="159"/>
        <v>[23204,100302,101]</v>
      </c>
      <c r="AJ155" s="2" t="str">
        <f t="shared" si="160"/>
        <v>[2,10,400]</v>
      </c>
      <c r="AK155" s="2" t="str">
        <f t="shared" si="161"/>
        <v>[chest_tankpart,StoreQuikenItem_1,StoreDiamond_1]</v>
      </c>
      <c r="AL155" s="2" t="str">
        <f t="shared" si="162"/>
        <v>7+10+部件礼包</v>
      </c>
      <c r="AM155" s="1" t="str">
        <f t="shared" si="142"/>
        <v>T2 Component</v>
      </c>
      <c r="AN155" s="1" t="str">
        <f t="shared" si="143"/>
        <v>1H_X3_Accelerater</v>
      </c>
      <c r="AO155" s="1" t="str">
        <f t="shared" ref="AO155:AO160" si="168">VLOOKUP(J155,道具ID,4,FALSE)</f>
        <v>Diamond</v>
      </c>
    </row>
    <row r="156" spans="7:41" x14ac:dyDescent="0.3">
      <c r="G156" s="2">
        <v>7</v>
      </c>
      <c r="H156" s="2" t="s">
        <v>2583</v>
      </c>
      <c r="I156" s="2" t="s">
        <v>511</v>
      </c>
      <c r="J156" s="2" t="s">
        <v>268</v>
      </c>
      <c r="K156" s="2" t="e">
        <f t="shared" si="156"/>
        <v>#REF!</v>
      </c>
      <c r="L156" s="2">
        <f t="shared" si="137"/>
        <v>0.50000000000000044</v>
      </c>
      <c r="M156" s="2">
        <f t="shared" si="163"/>
        <v>3.9623576027736501E-3</v>
      </c>
      <c r="N156" s="2">
        <v>10</v>
      </c>
      <c r="O156" s="2" t="e">
        <f>N156*#REF!</f>
        <v>#REF!</v>
      </c>
      <c r="P156" s="34">
        <f t="shared" si="136"/>
        <v>1.3333333333333333</v>
      </c>
      <c r="Q156" s="2" t="e">
        <f t="shared" si="151"/>
        <v>#REF!</v>
      </c>
      <c r="R156" s="2">
        <v>5</v>
      </c>
      <c r="S156" s="2" t="e">
        <f t="shared" si="152"/>
        <v>#REF!</v>
      </c>
      <c r="T156" s="2" t="e">
        <f t="shared" si="153"/>
        <v>#REF!</v>
      </c>
      <c r="U156" s="2">
        <v>50</v>
      </c>
      <c r="V156" s="2">
        <f t="shared" si="154"/>
        <v>25.000000000000021</v>
      </c>
      <c r="W156" s="2" t="e">
        <f t="shared" si="155"/>
        <v>#REF!</v>
      </c>
      <c r="X156" s="2">
        <v>60000</v>
      </c>
      <c r="Y156" s="2" t="e">
        <f t="shared" si="164"/>
        <v>#REF!</v>
      </c>
      <c r="Z156" s="2" t="e">
        <f t="shared" si="165"/>
        <v>#REF!</v>
      </c>
      <c r="AA156" s="2" t="e">
        <f t="shared" si="157"/>
        <v>#REF!</v>
      </c>
      <c r="AB156" s="2" t="e">
        <f t="shared" si="158"/>
        <v>#REF!</v>
      </c>
      <c r="AC156" s="2">
        <f t="shared" si="138"/>
        <v>24205</v>
      </c>
      <c r="AD156" s="2">
        <f t="shared" si="139"/>
        <v>111</v>
      </c>
      <c r="AE156" s="2">
        <f t="shared" si="166"/>
        <v>102</v>
      </c>
      <c r="AF156" s="2" t="str">
        <f t="shared" si="140"/>
        <v>chest_shard</v>
      </c>
      <c r="AG156" s="2" t="str">
        <f t="shared" si="141"/>
        <v>StoreDoubleKey_1</v>
      </c>
      <c r="AH156" s="2" t="str">
        <f t="shared" si="167"/>
        <v>StoreFund_3</v>
      </c>
      <c r="AI156" s="2" t="str">
        <f t="shared" si="159"/>
        <v>[24205,111,102]</v>
      </c>
      <c r="AJ156" s="2" t="str">
        <f t="shared" si="160"/>
        <v>[5,50,60000]</v>
      </c>
      <c r="AK156" s="2" t="str">
        <f t="shared" si="161"/>
        <v>[chest_shard,StoreDoubleKey_1,StoreFund_3]</v>
      </c>
      <c r="AL156" s="2" t="str">
        <f t="shared" si="162"/>
        <v>7+10+碎片礼包</v>
      </c>
      <c r="AM156" s="1" t="str">
        <f t="shared" si="142"/>
        <v>T3 Senior Shard</v>
      </c>
      <c r="AN156" s="1" t="str">
        <f t="shared" si="143"/>
        <v>DoubleKeys</v>
      </c>
      <c r="AO156" s="1" t="str">
        <f t="shared" si="168"/>
        <v>Funds</v>
      </c>
    </row>
    <row r="157" spans="7:41" x14ac:dyDescent="0.3">
      <c r="G157" s="2">
        <v>7</v>
      </c>
      <c r="H157" s="2" t="s">
        <v>2569</v>
      </c>
      <c r="I157" s="2" t="s">
        <v>578</v>
      </c>
      <c r="J157" s="2" t="s">
        <v>317</v>
      </c>
      <c r="K157" s="2" t="e">
        <f t="shared" si="156"/>
        <v>#REF!</v>
      </c>
      <c r="L157" s="2">
        <f t="shared" si="137"/>
        <v>60</v>
      </c>
      <c r="M157" s="2">
        <f t="shared" si="163"/>
        <v>1</v>
      </c>
      <c r="N157" s="2">
        <v>20</v>
      </c>
      <c r="O157" s="2" t="e">
        <f>N157*#REF!</f>
        <v>#REF!</v>
      </c>
      <c r="P157" s="34">
        <f t="shared" si="136"/>
        <v>1.3333333333333333</v>
      </c>
      <c r="Q157" s="2" t="e">
        <f t="shared" si="151"/>
        <v>#REF!</v>
      </c>
      <c r="R157" s="2">
        <v>1</v>
      </c>
      <c r="S157" s="2" t="e">
        <f t="shared" si="152"/>
        <v>#REF!</v>
      </c>
      <c r="T157" s="2" t="e">
        <f t="shared" si="153"/>
        <v>#REF!</v>
      </c>
      <c r="U157" s="2">
        <v>10</v>
      </c>
      <c r="V157" s="2">
        <f t="shared" si="154"/>
        <v>600</v>
      </c>
      <c r="W157" s="2" t="e">
        <f t="shared" si="155"/>
        <v>#REF!</v>
      </c>
      <c r="X157" s="2">
        <v>1900</v>
      </c>
      <c r="Y157" s="2" t="e">
        <f t="shared" si="164"/>
        <v>#REF!</v>
      </c>
      <c r="Z157" s="2" t="e">
        <f t="shared" si="165"/>
        <v>#REF!</v>
      </c>
      <c r="AA157" s="2" t="e">
        <f t="shared" si="157"/>
        <v>#REF!</v>
      </c>
      <c r="AB157" s="2" t="e">
        <f t="shared" si="158"/>
        <v>#REF!</v>
      </c>
      <c r="AC157" s="2">
        <f t="shared" si="138"/>
        <v>23205</v>
      </c>
      <c r="AD157" s="2">
        <f t="shared" si="139"/>
        <v>100302</v>
      </c>
      <c r="AE157" s="2">
        <f t="shared" si="166"/>
        <v>101</v>
      </c>
      <c r="AF157" s="2" t="str">
        <f t="shared" si="140"/>
        <v>chest_tankpart</v>
      </c>
      <c r="AG157" s="2" t="str">
        <f t="shared" si="141"/>
        <v>StoreQuikenItem_1</v>
      </c>
      <c r="AH157" s="2" t="str">
        <f t="shared" si="167"/>
        <v>StoreDiamond_1</v>
      </c>
      <c r="AI157" s="2" t="str">
        <f t="shared" si="159"/>
        <v>[23205,100302,101]</v>
      </c>
      <c r="AJ157" s="2" t="str">
        <f t="shared" si="160"/>
        <v>[1,10,1900]</v>
      </c>
      <c r="AK157" s="2" t="str">
        <f t="shared" si="161"/>
        <v>[chest_tankpart,StoreQuikenItem_1,StoreDiamond_1]</v>
      </c>
      <c r="AL157" s="2" t="str">
        <f t="shared" si="162"/>
        <v>7+20+部件礼包</v>
      </c>
      <c r="AM157" s="1" t="str">
        <f t="shared" si="142"/>
        <v>T2 Component</v>
      </c>
      <c r="AN157" s="1" t="str">
        <f t="shared" si="143"/>
        <v>1H_X3_Accelerater</v>
      </c>
      <c r="AO157" s="1" t="str">
        <f t="shared" si="168"/>
        <v>Diamond</v>
      </c>
    </row>
    <row r="158" spans="7:41" x14ac:dyDescent="0.3">
      <c r="G158" s="2">
        <v>7</v>
      </c>
      <c r="H158" s="2" t="s">
        <v>2583</v>
      </c>
      <c r="I158" s="2" t="s">
        <v>511</v>
      </c>
      <c r="J158" s="2" t="s">
        <v>268</v>
      </c>
      <c r="K158" s="2" t="e">
        <f t="shared" si="156"/>
        <v>#REF!</v>
      </c>
      <c r="L158" s="2">
        <f t="shared" si="137"/>
        <v>0.50000000000000044</v>
      </c>
      <c r="M158" s="2">
        <f t="shared" si="163"/>
        <v>3.9623576027736501E-3</v>
      </c>
      <c r="N158" s="2">
        <v>20</v>
      </c>
      <c r="O158" s="2" t="e">
        <f>N158*#REF!</f>
        <v>#REF!</v>
      </c>
      <c r="P158" s="34">
        <f t="shared" si="136"/>
        <v>1.3333333333333333</v>
      </c>
      <c r="Q158" s="2" t="e">
        <f t="shared" si="151"/>
        <v>#REF!</v>
      </c>
      <c r="R158" s="2">
        <v>12</v>
      </c>
      <c r="S158" s="2" t="e">
        <f t="shared" si="152"/>
        <v>#REF!</v>
      </c>
      <c r="T158" s="2" t="e">
        <f t="shared" si="153"/>
        <v>#REF!</v>
      </c>
      <c r="U158" s="2">
        <v>20</v>
      </c>
      <c r="V158" s="2">
        <f t="shared" si="154"/>
        <v>10.000000000000009</v>
      </c>
      <c r="W158" s="2" t="e">
        <f t="shared" si="155"/>
        <v>#REF!</v>
      </c>
      <c r="X158" s="2">
        <v>30000</v>
      </c>
      <c r="Y158" s="2" t="e">
        <f t="shared" si="164"/>
        <v>#REF!</v>
      </c>
      <c r="Z158" s="2" t="e">
        <f t="shared" si="165"/>
        <v>#REF!</v>
      </c>
      <c r="AA158" s="2" t="e">
        <f t="shared" si="157"/>
        <v>#REF!</v>
      </c>
      <c r="AB158" s="2" t="e">
        <f t="shared" si="158"/>
        <v>#REF!</v>
      </c>
      <c r="AC158" s="2">
        <f t="shared" si="138"/>
        <v>24205</v>
      </c>
      <c r="AD158" s="2">
        <f t="shared" si="139"/>
        <v>111</v>
      </c>
      <c r="AE158" s="2">
        <f t="shared" si="166"/>
        <v>102</v>
      </c>
      <c r="AF158" s="2" t="str">
        <f t="shared" si="140"/>
        <v>chest_shard</v>
      </c>
      <c r="AG158" s="2" t="str">
        <f t="shared" si="141"/>
        <v>StoreDoubleKey_1</v>
      </c>
      <c r="AH158" s="2" t="str">
        <f t="shared" si="167"/>
        <v>StoreFund_3</v>
      </c>
      <c r="AI158" s="2" t="str">
        <f t="shared" si="159"/>
        <v>[24205,111,102]</v>
      </c>
      <c r="AJ158" s="2" t="str">
        <f t="shared" si="160"/>
        <v>[12,20,30000]</v>
      </c>
      <c r="AK158" s="2" t="str">
        <f t="shared" si="161"/>
        <v>[chest_shard,StoreDoubleKey_1,StoreFund_3]</v>
      </c>
      <c r="AL158" s="2" t="str">
        <f t="shared" si="162"/>
        <v>7+20+碎片礼包</v>
      </c>
      <c r="AM158" s="1" t="str">
        <f t="shared" si="142"/>
        <v>T3 Senior Shard</v>
      </c>
      <c r="AN158" s="1" t="str">
        <f t="shared" si="143"/>
        <v>DoubleKeys</v>
      </c>
      <c r="AO158" s="1" t="str">
        <f t="shared" si="168"/>
        <v>Funds</v>
      </c>
    </row>
    <row r="159" spans="7:41" x14ac:dyDescent="0.3">
      <c r="G159" s="2">
        <v>7</v>
      </c>
      <c r="H159" s="2" t="s">
        <v>2569</v>
      </c>
      <c r="I159" s="2" t="s">
        <v>578</v>
      </c>
      <c r="J159" s="2" t="s">
        <v>317</v>
      </c>
      <c r="K159" s="2" t="e">
        <f t="shared" si="156"/>
        <v>#REF!</v>
      </c>
      <c r="L159" s="2">
        <f t="shared" si="137"/>
        <v>60</v>
      </c>
      <c r="M159" s="2">
        <f t="shared" si="163"/>
        <v>1</v>
      </c>
      <c r="N159" s="2">
        <v>50</v>
      </c>
      <c r="O159" s="2" t="e">
        <f>N159*#REF!</f>
        <v>#REF!</v>
      </c>
      <c r="P159" s="34">
        <f t="shared" si="136"/>
        <v>1.3333333333333333</v>
      </c>
      <c r="Q159" s="2" t="e">
        <f t="shared" si="151"/>
        <v>#REF!</v>
      </c>
      <c r="R159" s="2">
        <v>4</v>
      </c>
      <c r="S159" s="2" t="e">
        <f t="shared" si="152"/>
        <v>#REF!</v>
      </c>
      <c r="T159" s="2" t="e">
        <f t="shared" si="153"/>
        <v>#REF!</v>
      </c>
      <c r="U159" s="2">
        <v>20</v>
      </c>
      <c r="V159" s="2">
        <f t="shared" si="154"/>
        <v>1200</v>
      </c>
      <c r="W159" s="2" t="e">
        <f t="shared" si="155"/>
        <v>#REF!</v>
      </c>
      <c r="X159" s="2">
        <v>4700</v>
      </c>
      <c r="Y159" s="2" t="e">
        <f t="shared" si="164"/>
        <v>#REF!</v>
      </c>
      <c r="Z159" s="2" t="e">
        <f t="shared" si="165"/>
        <v>#REF!</v>
      </c>
      <c r="AA159" s="2" t="e">
        <f t="shared" si="157"/>
        <v>#REF!</v>
      </c>
      <c r="AB159" s="2" t="e">
        <f t="shared" si="158"/>
        <v>#REF!</v>
      </c>
      <c r="AC159" s="2">
        <f t="shared" si="138"/>
        <v>23205</v>
      </c>
      <c r="AD159" s="2">
        <f t="shared" si="139"/>
        <v>100302</v>
      </c>
      <c r="AE159" s="2">
        <f t="shared" si="166"/>
        <v>101</v>
      </c>
      <c r="AF159" s="2" t="str">
        <f t="shared" si="140"/>
        <v>chest_tankpart</v>
      </c>
      <c r="AG159" s="2" t="str">
        <f t="shared" si="141"/>
        <v>StoreQuikenItem_1</v>
      </c>
      <c r="AH159" s="2" t="str">
        <f t="shared" si="167"/>
        <v>StoreDiamond_1</v>
      </c>
      <c r="AI159" s="2" t="str">
        <f t="shared" si="159"/>
        <v>[23205,100302,101]</v>
      </c>
      <c r="AJ159" s="2" t="str">
        <f t="shared" si="160"/>
        <v>[4,20,4700]</v>
      </c>
      <c r="AK159" s="2" t="str">
        <f t="shared" si="161"/>
        <v>[chest_tankpart,StoreQuikenItem_1,StoreDiamond_1]</v>
      </c>
      <c r="AL159" s="2" t="str">
        <f t="shared" si="162"/>
        <v>7+50+部件礼包</v>
      </c>
      <c r="AM159" s="1" t="str">
        <f t="shared" si="142"/>
        <v>T2 Component</v>
      </c>
      <c r="AN159" s="1" t="str">
        <f t="shared" si="143"/>
        <v>1H_X3_Accelerater</v>
      </c>
      <c r="AO159" s="1" t="str">
        <f t="shared" si="168"/>
        <v>Diamond</v>
      </c>
    </row>
    <row r="160" spans="7:41" x14ac:dyDescent="0.3">
      <c r="G160" s="2">
        <v>7</v>
      </c>
      <c r="H160" s="2" t="s">
        <v>2583</v>
      </c>
      <c r="I160" s="2" t="s">
        <v>511</v>
      </c>
      <c r="J160" s="2" t="s">
        <v>268</v>
      </c>
      <c r="K160" s="2" t="e">
        <f t="shared" si="156"/>
        <v>#REF!</v>
      </c>
      <c r="L160" s="2">
        <f t="shared" si="137"/>
        <v>0.50000000000000044</v>
      </c>
      <c r="M160" s="2">
        <f t="shared" si="163"/>
        <v>3.9623576027736501E-3</v>
      </c>
      <c r="N160" s="2">
        <v>50</v>
      </c>
      <c r="O160" s="2" t="e">
        <f>N160*#REF!</f>
        <v>#REF!</v>
      </c>
      <c r="P160" s="34">
        <f t="shared" si="136"/>
        <v>1.3333333333333333</v>
      </c>
      <c r="Q160" s="2" t="e">
        <f t="shared" si="151"/>
        <v>#REF!</v>
      </c>
      <c r="R160" s="2">
        <v>30</v>
      </c>
      <c r="S160" s="2" t="e">
        <f t="shared" si="152"/>
        <v>#REF!</v>
      </c>
      <c r="T160" s="2" t="e">
        <f t="shared" si="153"/>
        <v>#REF!</v>
      </c>
      <c r="U160" s="2">
        <v>30</v>
      </c>
      <c r="V160" s="2">
        <f t="shared" si="154"/>
        <v>15.000000000000014</v>
      </c>
      <c r="W160" s="2" t="e">
        <f t="shared" si="155"/>
        <v>#REF!</v>
      </c>
      <c r="X160" s="2">
        <v>90000</v>
      </c>
      <c r="Y160" s="2" t="e">
        <f t="shared" si="164"/>
        <v>#REF!</v>
      </c>
      <c r="Z160" s="2" t="e">
        <f t="shared" si="165"/>
        <v>#REF!</v>
      </c>
      <c r="AA160" s="2" t="e">
        <f t="shared" si="157"/>
        <v>#REF!</v>
      </c>
      <c r="AB160" s="2" t="e">
        <f t="shared" si="158"/>
        <v>#REF!</v>
      </c>
      <c r="AC160" s="2">
        <f t="shared" si="138"/>
        <v>24205</v>
      </c>
      <c r="AD160" s="2">
        <f t="shared" si="139"/>
        <v>111</v>
      </c>
      <c r="AE160" s="2">
        <f t="shared" si="166"/>
        <v>102</v>
      </c>
      <c r="AF160" s="2" t="str">
        <f t="shared" si="140"/>
        <v>chest_shard</v>
      </c>
      <c r="AG160" s="2" t="str">
        <f t="shared" si="141"/>
        <v>StoreDoubleKey_1</v>
      </c>
      <c r="AH160" s="2" t="str">
        <f t="shared" si="167"/>
        <v>StoreFund_3</v>
      </c>
      <c r="AI160" s="2" t="str">
        <f t="shared" si="159"/>
        <v>[24205,111,102]</v>
      </c>
      <c r="AJ160" s="2" t="str">
        <f t="shared" si="160"/>
        <v>[30,30,90000]</v>
      </c>
      <c r="AK160" s="2" t="str">
        <f t="shared" si="161"/>
        <v>[chest_shard,StoreDoubleKey_1,StoreFund_3]</v>
      </c>
      <c r="AL160" s="2" t="str">
        <f t="shared" si="162"/>
        <v>7+50+碎片礼包</v>
      </c>
      <c r="AM160" s="1" t="str">
        <f t="shared" si="142"/>
        <v>T3 Senior Shard</v>
      </c>
      <c r="AN160" s="1" t="str">
        <f t="shared" si="143"/>
        <v>DoubleKeys</v>
      </c>
      <c r="AO160" s="1" t="str">
        <f t="shared" si="168"/>
        <v>Funds</v>
      </c>
    </row>
    <row r="163" spans="2:7" ht="15.75" x14ac:dyDescent="0.3">
      <c r="B163" s="261" t="s">
        <v>2856</v>
      </c>
      <c r="C163" s="25"/>
      <c r="D163" s="25"/>
      <c r="E163" s="25"/>
      <c r="F163" s="25"/>
      <c r="G163" s="25"/>
    </row>
    <row r="164" spans="2:7" x14ac:dyDescent="0.3">
      <c r="B164" s="101" t="s">
        <v>2828</v>
      </c>
      <c r="C164" s="101" t="s">
        <v>2829</v>
      </c>
      <c r="D164" s="101" t="s">
        <v>570</v>
      </c>
      <c r="E164" s="101" t="s">
        <v>2830</v>
      </c>
      <c r="F164" s="101" t="s">
        <v>569</v>
      </c>
      <c r="G164" s="25"/>
    </row>
    <row r="165" spans="2:7" x14ac:dyDescent="0.3">
      <c r="B165" s="2" t="s">
        <v>2842</v>
      </c>
      <c r="C165" s="2"/>
      <c r="D165" s="2">
        <v>1</v>
      </c>
      <c r="E165" s="2"/>
      <c r="F165" s="2">
        <v>23201</v>
      </c>
      <c r="G165" s="25"/>
    </row>
    <row r="166" spans="2:7" x14ac:dyDescent="0.3">
      <c r="B166" s="2" t="s">
        <v>317</v>
      </c>
      <c r="C166" s="2"/>
      <c r="D166" s="2">
        <v>50</v>
      </c>
      <c r="E166" s="2"/>
      <c r="F166" s="2">
        <v>101</v>
      </c>
      <c r="G166" s="25"/>
    </row>
    <row r="167" spans="2:7" x14ac:dyDescent="0.3">
      <c r="B167" s="2" t="s">
        <v>2857</v>
      </c>
      <c r="C167" s="2"/>
      <c r="D167" s="2">
        <v>1</v>
      </c>
      <c r="E167" s="2">
        <v>0</v>
      </c>
      <c r="F167" s="2">
        <v>140108</v>
      </c>
      <c r="G167" s="25"/>
    </row>
    <row r="168" spans="2:7" x14ac:dyDescent="0.3">
      <c r="B168" s="25"/>
      <c r="C168" s="25"/>
      <c r="D168" s="25"/>
      <c r="E168" s="25"/>
      <c r="F168" s="25"/>
      <c r="G168" s="25"/>
    </row>
    <row r="169" spans="2:7" x14ac:dyDescent="0.3">
      <c r="B169" s="25"/>
      <c r="C169" s="25"/>
      <c r="D169" s="25"/>
      <c r="E169" s="25"/>
      <c r="F169" s="25"/>
      <c r="G169" s="25"/>
    </row>
    <row r="170" spans="2:7" x14ac:dyDescent="0.3">
      <c r="B170" s="25"/>
      <c r="C170" s="25"/>
      <c r="D170" s="1" t="str">
        <f>"["&amp;D165&amp;","&amp;D166&amp;","&amp;D167&amp;"]"</f>
        <v>[1,50,1]</v>
      </c>
      <c r="E170" s="25"/>
      <c r="F170" s="1" t="str">
        <f>"["&amp;F165&amp;","&amp;F166&amp;","&amp;F167&amp;"]"</f>
        <v>[23201,101,140108]</v>
      </c>
      <c r="G170" s="25"/>
    </row>
    <row r="173" spans="2:7" ht="15.75" x14ac:dyDescent="0.3">
      <c r="B173" s="261" t="s">
        <v>2823</v>
      </c>
      <c r="C173" s="25"/>
      <c r="D173" s="25"/>
      <c r="E173" s="25"/>
      <c r="F173" s="25"/>
      <c r="G173" s="25"/>
    </row>
    <row r="174" spans="2:7" x14ac:dyDescent="0.3">
      <c r="B174" s="101" t="s">
        <v>2828</v>
      </c>
      <c r="C174" s="101" t="s">
        <v>2829</v>
      </c>
      <c r="D174" s="101" t="s">
        <v>570</v>
      </c>
      <c r="E174" s="101" t="s">
        <v>2830</v>
      </c>
      <c r="F174" s="101" t="s">
        <v>569</v>
      </c>
      <c r="G174" s="25"/>
    </row>
    <row r="175" spans="2:7" x14ac:dyDescent="0.3">
      <c r="B175" s="3" t="s">
        <v>317</v>
      </c>
      <c r="C175" s="3">
        <v>1</v>
      </c>
      <c r="D175" s="3">
        <v>500</v>
      </c>
      <c r="E175" s="2">
        <f>C175*D175</f>
        <v>500</v>
      </c>
      <c r="F175" s="2">
        <v>101</v>
      </c>
      <c r="G175" s="25"/>
    </row>
    <row r="176" spans="2:7" x14ac:dyDescent="0.3">
      <c r="B176" s="3" t="s">
        <v>2836</v>
      </c>
      <c r="C176" s="3">
        <v>200</v>
      </c>
      <c r="D176" s="3">
        <v>1</v>
      </c>
      <c r="E176" s="2">
        <v>0</v>
      </c>
      <c r="F176" s="2">
        <v>180025</v>
      </c>
      <c r="G176" s="25"/>
    </row>
    <row r="177" spans="2:17" x14ac:dyDescent="0.3">
      <c r="B177" s="3" t="s">
        <v>1763</v>
      </c>
      <c r="C177" s="3">
        <v>60</v>
      </c>
      <c r="D177" s="3">
        <v>6</v>
      </c>
      <c r="E177" s="2">
        <f>C177*D177</f>
        <v>360</v>
      </c>
      <c r="F177" s="2">
        <v>53211</v>
      </c>
      <c r="G177" s="25"/>
    </row>
    <row r="178" spans="2:17" x14ac:dyDescent="0.3">
      <c r="B178" s="3" t="s">
        <v>268</v>
      </c>
      <c r="C178" s="3">
        <v>2.1999999999999999E-2</v>
      </c>
      <c r="D178" s="3">
        <v>12500</v>
      </c>
      <c r="E178" s="2">
        <f>C178*D178</f>
        <v>275</v>
      </c>
      <c r="F178" s="2">
        <v>102</v>
      </c>
      <c r="G178" s="25"/>
    </row>
    <row r="179" spans="2:17" x14ac:dyDescent="0.3">
      <c r="B179" s="117"/>
      <c r="C179" s="117"/>
      <c r="D179" s="117"/>
      <c r="E179" s="25">
        <f>SUM(E175:E178)</f>
        <v>1135</v>
      </c>
      <c r="F179" s="25">
        <f>0.99*道具价值!E80</f>
        <v>99.009900990099013</v>
      </c>
      <c r="G179" s="118">
        <f>(E179-F179)/E179</f>
        <v>0.9127666070571816</v>
      </c>
    </row>
    <row r="181" spans="2:17" x14ac:dyDescent="0.3">
      <c r="D181" s="1" t="str">
        <f>"["&amp;D175&amp;","&amp;D176&amp;","&amp;D177&amp;","&amp;D178&amp;"]"</f>
        <v>[500,1,6,12500]</v>
      </c>
      <c r="F181" s="1" t="str">
        <f>"["&amp;F175&amp;","&amp;F176&amp;","&amp;F177&amp;","&amp;F178&amp;"]"</f>
        <v>[101,180025,53211,102]</v>
      </c>
    </row>
    <row r="182" spans="2:17" x14ac:dyDescent="0.3">
      <c r="B182" s="25"/>
      <c r="C182" s="25"/>
      <c r="D182" s="25"/>
      <c r="E182" s="25"/>
      <c r="F182" s="25"/>
      <c r="G182" s="25"/>
    </row>
    <row r="183" spans="2:17" x14ac:dyDescent="0.3">
      <c r="B183" s="25"/>
      <c r="C183" s="25"/>
      <c r="D183" s="25"/>
      <c r="E183" s="25"/>
      <c r="F183" s="25"/>
      <c r="G183" s="25"/>
    </row>
    <row r="184" spans="2:17" ht="15.75" x14ac:dyDescent="0.3">
      <c r="B184" s="261" t="s">
        <v>3724</v>
      </c>
    </row>
    <row r="185" spans="2:17" ht="15.75" x14ac:dyDescent="0.3">
      <c r="B185" s="11"/>
      <c r="C185" s="11" t="s">
        <v>2824</v>
      </c>
      <c r="D185" s="11" t="s">
        <v>570</v>
      </c>
      <c r="E185" s="11" t="s">
        <v>2825</v>
      </c>
      <c r="F185" s="11" t="s">
        <v>2824</v>
      </c>
      <c r="G185" s="11" t="s">
        <v>570</v>
      </c>
      <c r="H185" s="11" t="s">
        <v>2825</v>
      </c>
      <c r="I185" s="11" t="s">
        <v>2824</v>
      </c>
      <c r="J185" s="11" t="s">
        <v>570</v>
      </c>
      <c r="K185" s="11" t="s">
        <v>2825</v>
      </c>
      <c r="L185" s="11" t="s">
        <v>2824</v>
      </c>
      <c r="M185" s="11" t="s">
        <v>570</v>
      </c>
      <c r="N185" s="11" t="s">
        <v>2825</v>
      </c>
      <c r="O185" s="11" t="s">
        <v>2826</v>
      </c>
      <c r="P185" s="11" t="s">
        <v>1787</v>
      </c>
      <c r="Q185" s="11" t="s">
        <v>2827</v>
      </c>
    </row>
    <row r="186" spans="2:17" ht="15.75" x14ac:dyDescent="0.3">
      <c r="B186" s="11" t="s">
        <v>2831</v>
      </c>
      <c r="C186" s="7" t="s">
        <v>317</v>
      </c>
      <c r="D186" s="7">
        <v>500</v>
      </c>
      <c r="E186" s="7">
        <v>1</v>
      </c>
      <c r="F186" s="7" t="s">
        <v>268</v>
      </c>
      <c r="G186" s="7">
        <v>12500</v>
      </c>
      <c r="H186" s="7">
        <v>2.2200000000000001E-2</v>
      </c>
      <c r="I186" s="7" t="s">
        <v>644</v>
      </c>
      <c r="J186" s="7">
        <v>6</v>
      </c>
      <c r="K186" s="7">
        <v>60</v>
      </c>
      <c r="L186" s="7" t="s">
        <v>2832</v>
      </c>
      <c r="M186" s="7">
        <v>1</v>
      </c>
      <c r="N186" s="7">
        <v>0</v>
      </c>
      <c r="O186" s="7">
        <f>(D186*E186+G186*H186+J186*K186+M186*N186)/道具价值!$E$80</f>
        <v>11.3738625</v>
      </c>
      <c r="P186" s="67">
        <v>0.99</v>
      </c>
      <c r="Q186" s="119">
        <f>P186/O186-1</f>
        <v>-0.91295832879991301</v>
      </c>
    </row>
    <row r="187" spans="2:17" ht="15.75" x14ac:dyDescent="0.3">
      <c r="B187" s="11" t="s">
        <v>2831</v>
      </c>
      <c r="C187" s="7" t="s">
        <v>317</v>
      </c>
      <c r="D187" s="7">
        <v>600</v>
      </c>
      <c r="E187" s="7">
        <v>1</v>
      </c>
      <c r="F187" s="7" t="s">
        <v>268</v>
      </c>
      <c r="G187" s="7">
        <v>15000</v>
      </c>
      <c r="H187" s="7">
        <v>2.2200000000000001E-2</v>
      </c>
      <c r="I187" s="7" t="s">
        <v>516</v>
      </c>
      <c r="J187" s="7">
        <v>6</v>
      </c>
      <c r="K187" s="7">
        <v>60</v>
      </c>
      <c r="L187" s="7" t="s">
        <v>2834</v>
      </c>
      <c r="M187" s="7">
        <v>1</v>
      </c>
      <c r="N187" s="7">
        <v>0</v>
      </c>
      <c r="O187" s="7">
        <f>(D187*E187+G187*H187+J187*K187+M187*N187)/道具价值!$E$80</f>
        <v>12.928706999999999</v>
      </c>
      <c r="P187" s="67">
        <v>2.99</v>
      </c>
      <c r="Q187" s="119">
        <f t="shared" ref="Q187:Q194" si="169">P187/O187-1</f>
        <v>-0.76873170689072001</v>
      </c>
    </row>
    <row r="188" spans="2:17" ht="15.75" x14ac:dyDescent="0.3">
      <c r="B188" s="11" t="s">
        <v>2831</v>
      </c>
      <c r="C188" s="7" t="s">
        <v>317</v>
      </c>
      <c r="D188" s="7">
        <v>600</v>
      </c>
      <c r="E188" s="7">
        <v>1</v>
      </c>
      <c r="F188" s="7" t="s">
        <v>268</v>
      </c>
      <c r="G188" s="7">
        <v>15000</v>
      </c>
      <c r="H188" s="7">
        <v>2.2200000000000001E-2</v>
      </c>
      <c r="I188" s="7" t="s">
        <v>518</v>
      </c>
      <c r="J188" s="7">
        <v>6</v>
      </c>
      <c r="K188" s="7">
        <v>60</v>
      </c>
      <c r="L188" s="7" t="s">
        <v>2837</v>
      </c>
      <c r="M188" s="7">
        <v>1</v>
      </c>
      <c r="N188" s="7">
        <v>0</v>
      </c>
      <c r="O188" s="7">
        <f>(D188*E188+G188*H188+J188*K188+M188*N188)/道具价值!$E$80</f>
        <v>12.928706999999999</v>
      </c>
      <c r="P188" s="67">
        <v>2.99</v>
      </c>
      <c r="Q188" s="119">
        <f t="shared" si="169"/>
        <v>-0.76873170689072001</v>
      </c>
    </row>
    <row r="189" spans="2:17" ht="15.75" x14ac:dyDescent="0.3">
      <c r="B189" s="11" t="s">
        <v>2839</v>
      </c>
      <c r="C189" s="7" t="s">
        <v>516</v>
      </c>
      <c r="D189" s="7">
        <v>30</v>
      </c>
      <c r="E189" s="7">
        <v>60</v>
      </c>
      <c r="F189" s="7" t="s">
        <v>2840</v>
      </c>
      <c r="G189" s="7">
        <v>3</v>
      </c>
      <c r="H189" s="7">
        <v>70</v>
      </c>
      <c r="I189" s="7" t="s">
        <v>2841</v>
      </c>
      <c r="J189" s="7">
        <v>3</v>
      </c>
      <c r="K189" s="7">
        <v>70</v>
      </c>
      <c r="L189" s="7" t="s">
        <v>268</v>
      </c>
      <c r="M189" s="7">
        <v>18000</v>
      </c>
      <c r="N189" s="7">
        <v>2.2200000000000001E-2</v>
      </c>
      <c r="O189" s="7">
        <f>(D189*E189+G189*H189+J189*K189+M189*N189)/道具价值!$E$80</f>
        <v>26.193380399999995</v>
      </c>
      <c r="P189" s="67">
        <v>9.99</v>
      </c>
      <c r="Q189" s="119">
        <f t="shared" si="169"/>
        <v>-0.61860592838944906</v>
      </c>
    </row>
    <row r="190" spans="2:17" ht="15.75" x14ac:dyDescent="0.3">
      <c r="B190" s="11" t="s">
        <v>2839</v>
      </c>
      <c r="C190" s="7" t="s">
        <v>518</v>
      </c>
      <c r="D190" s="7">
        <v>30</v>
      </c>
      <c r="E190" s="7">
        <v>60</v>
      </c>
      <c r="F190" s="7" t="s">
        <v>2843</v>
      </c>
      <c r="G190" s="7">
        <v>3</v>
      </c>
      <c r="H190" s="7">
        <v>70</v>
      </c>
      <c r="I190" s="7" t="s">
        <v>2844</v>
      </c>
      <c r="J190" s="7">
        <v>3</v>
      </c>
      <c r="K190" s="7">
        <v>70</v>
      </c>
      <c r="L190" s="7" t="s">
        <v>268</v>
      </c>
      <c r="M190" s="7">
        <v>18000</v>
      </c>
      <c r="N190" s="7">
        <v>2.2200000000000001E-2</v>
      </c>
      <c r="O190" s="7">
        <f>(D190*E190+G190*H190+J190*K190+M190*N190)/道具价值!$E$80</f>
        <v>26.193380399999995</v>
      </c>
      <c r="P190" s="67">
        <v>9.99</v>
      </c>
      <c r="Q190" s="119">
        <f t="shared" si="169"/>
        <v>-0.61860592838944906</v>
      </c>
    </row>
    <row r="191" spans="2:17" ht="15.75" x14ac:dyDescent="0.3">
      <c r="B191" s="11" t="s">
        <v>2839</v>
      </c>
      <c r="C191" s="7" t="s">
        <v>644</v>
      </c>
      <c r="D191" s="7">
        <v>30</v>
      </c>
      <c r="E191" s="7">
        <v>60</v>
      </c>
      <c r="F191" s="7" t="s">
        <v>2845</v>
      </c>
      <c r="G191" s="7">
        <v>3</v>
      </c>
      <c r="H191" s="7">
        <v>70</v>
      </c>
      <c r="I191" s="7" t="s">
        <v>2846</v>
      </c>
      <c r="J191" s="7">
        <v>3</v>
      </c>
      <c r="K191" s="7">
        <v>70</v>
      </c>
      <c r="L191" s="7" t="s">
        <v>268</v>
      </c>
      <c r="M191" s="7">
        <v>18000</v>
      </c>
      <c r="N191" s="7">
        <v>2.2200000000000001E-2</v>
      </c>
      <c r="O191" s="7">
        <f>(D191*E191+G191*H191+J191*K191+M191*N191)/道具价值!$E$80</f>
        <v>26.193380399999995</v>
      </c>
      <c r="P191" s="67">
        <v>9.99</v>
      </c>
      <c r="Q191" s="119">
        <f t="shared" si="169"/>
        <v>-0.61860592838944906</v>
      </c>
    </row>
    <row r="192" spans="2:17" ht="15.75" x14ac:dyDescent="0.3">
      <c r="B192" s="11" t="s">
        <v>2847</v>
      </c>
      <c r="C192" s="7" t="s">
        <v>529</v>
      </c>
      <c r="D192" s="7">
        <v>20</v>
      </c>
      <c r="E192" s="7">
        <v>120</v>
      </c>
      <c r="F192" s="7" t="s">
        <v>2848</v>
      </c>
      <c r="G192" s="7">
        <v>3</v>
      </c>
      <c r="H192" s="7">
        <v>120</v>
      </c>
      <c r="I192" s="7" t="s">
        <v>2849</v>
      </c>
      <c r="J192" s="7">
        <v>3</v>
      </c>
      <c r="K192" s="7">
        <v>120</v>
      </c>
      <c r="L192" s="7" t="s">
        <v>2674</v>
      </c>
      <c r="M192" s="7">
        <v>1</v>
      </c>
      <c r="N192" s="7">
        <v>0</v>
      </c>
      <c r="O192" s="7">
        <f>(D192*E192+G192*H192+J192*K192+M192*N192)/道具价值!$E$80</f>
        <v>31.196879999999997</v>
      </c>
      <c r="P192" s="67">
        <v>19.989999999999998</v>
      </c>
      <c r="Q192" s="119">
        <f t="shared" si="169"/>
        <v>-0.35923079487435916</v>
      </c>
    </row>
    <row r="193" spans="2:21" ht="15.75" x14ac:dyDescent="0.3">
      <c r="B193" s="11" t="s">
        <v>2847</v>
      </c>
      <c r="C193" s="7" t="s">
        <v>526</v>
      </c>
      <c r="D193" s="7">
        <v>20</v>
      </c>
      <c r="E193" s="7">
        <v>120</v>
      </c>
      <c r="F193" s="7" t="s">
        <v>2851</v>
      </c>
      <c r="G193" s="7">
        <v>3</v>
      </c>
      <c r="H193" s="7">
        <v>120</v>
      </c>
      <c r="I193" s="7" t="s">
        <v>2852</v>
      </c>
      <c r="J193" s="7">
        <v>3</v>
      </c>
      <c r="K193" s="7">
        <v>120</v>
      </c>
      <c r="L193" s="7" t="s">
        <v>2676</v>
      </c>
      <c r="M193" s="7">
        <v>1</v>
      </c>
      <c r="N193" s="7">
        <v>0</v>
      </c>
      <c r="O193" s="7">
        <f>(D193*E193+G193*H193+J193*K193+M193*N193)/道具价值!$E$80</f>
        <v>31.196879999999997</v>
      </c>
      <c r="P193" s="67">
        <v>19.989999999999998</v>
      </c>
      <c r="Q193" s="119">
        <f t="shared" si="169"/>
        <v>-0.35923079487435916</v>
      </c>
    </row>
    <row r="194" spans="2:21" ht="15.75" x14ac:dyDescent="0.3">
      <c r="B194" s="11" t="s">
        <v>2847</v>
      </c>
      <c r="C194" s="7" t="s">
        <v>522</v>
      </c>
      <c r="D194" s="7">
        <v>20</v>
      </c>
      <c r="E194" s="7">
        <v>120</v>
      </c>
      <c r="F194" s="7" t="s">
        <v>2854</v>
      </c>
      <c r="G194" s="7">
        <v>3</v>
      </c>
      <c r="H194" s="7">
        <v>120</v>
      </c>
      <c r="I194" s="7" t="s">
        <v>2855</v>
      </c>
      <c r="J194" s="7">
        <v>3</v>
      </c>
      <c r="K194" s="7">
        <v>120</v>
      </c>
      <c r="L194" s="7" t="s">
        <v>2678</v>
      </c>
      <c r="M194" s="7">
        <v>1</v>
      </c>
      <c r="N194" s="7">
        <v>0</v>
      </c>
      <c r="O194" s="7">
        <f>(D194*E194+G194*H194+J194*K194+M194*N194)/道具价值!$E$80</f>
        <v>31.196879999999997</v>
      </c>
      <c r="P194" s="67">
        <v>19.989999999999998</v>
      </c>
      <c r="Q194" s="119">
        <f t="shared" si="169"/>
        <v>-0.35923079487435916</v>
      </c>
    </row>
    <row r="196" spans="2:21" x14ac:dyDescent="0.3">
      <c r="F196" s="260"/>
      <c r="G196" s="260"/>
      <c r="H196" s="260"/>
      <c r="I196" s="260"/>
      <c r="J196" s="260" t="s">
        <v>3746</v>
      </c>
      <c r="K196" s="260" t="s">
        <v>3747</v>
      </c>
      <c r="L196" s="260" t="s">
        <v>3748</v>
      </c>
      <c r="M196" s="260" t="s">
        <v>3749</v>
      </c>
    </row>
    <row r="197" spans="2:21" x14ac:dyDescent="0.3">
      <c r="B197" s="1" t="s">
        <v>3726</v>
      </c>
      <c r="C197" s="1">
        <v>200</v>
      </c>
      <c r="F197" s="260" t="s">
        <v>3744</v>
      </c>
      <c r="G197" s="260">
        <v>6000</v>
      </c>
      <c r="H197" s="260" t="s">
        <v>3745</v>
      </c>
      <c r="I197" s="260">
        <v>1</v>
      </c>
      <c r="J197" s="260">
        <f>G197*道具价值!$AB$76+I197*$C$198</f>
        <v>320</v>
      </c>
      <c r="K197" s="260">
        <f>J197/道具价值!$E$80</f>
        <v>3.1996799999999999</v>
      </c>
      <c r="L197" s="260">
        <v>2.99</v>
      </c>
      <c r="M197" s="31">
        <f>K197/L197</f>
        <v>1.0701270903010032</v>
      </c>
    </row>
    <row r="198" spans="2:21" x14ac:dyDescent="0.3">
      <c r="B198" s="1" t="s">
        <v>3727</v>
      </c>
      <c r="C198" s="1">
        <v>200</v>
      </c>
      <c r="F198" s="260" t="s">
        <v>3744</v>
      </c>
      <c r="G198" s="260">
        <v>50000</v>
      </c>
      <c r="H198" s="260" t="s">
        <v>3745</v>
      </c>
      <c r="I198" s="260">
        <v>8</v>
      </c>
      <c r="J198" s="260">
        <f>G198*道具价值!$AB$76+I198*$C$198</f>
        <v>2600</v>
      </c>
      <c r="K198" s="260">
        <f>J198/道具价值!$E$80</f>
        <v>25.997399999999999</v>
      </c>
      <c r="L198" s="260">
        <v>19.989999999999998</v>
      </c>
      <c r="M198" s="31">
        <f>K198/L198</f>
        <v>1.3005202601300652</v>
      </c>
    </row>
    <row r="199" spans="2:21" x14ac:dyDescent="0.3">
      <c r="B199" s="1" t="s">
        <v>3742</v>
      </c>
      <c r="C199" s="1">
        <f>1/C200</f>
        <v>2.5000000000000001E-2</v>
      </c>
    </row>
    <row r="200" spans="2:21" x14ac:dyDescent="0.3">
      <c r="B200" s="1" t="s">
        <v>3743</v>
      </c>
      <c r="C200" s="1">
        <v>40</v>
      </c>
    </row>
    <row r="204" spans="2:21" x14ac:dyDescent="0.3">
      <c r="B204" s="44" t="s">
        <v>3734</v>
      </c>
      <c r="C204" s="44" t="s">
        <v>3735</v>
      </c>
      <c r="D204" s="44" t="s">
        <v>3736</v>
      </c>
      <c r="E204" s="44" t="s">
        <v>3737</v>
      </c>
      <c r="F204" s="44" t="s">
        <v>3738</v>
      </c>
      <c r="G204" s="44" t="s">
        <v>3739</v>
      </c>
      <c r="H204" s="44" t="s">
        <v>3741</v>
      </c>
    </row>
    <row r="205" spans="2:21" x14ac:dyDescent="0.3">
      <c r="B205" s="260" t="s">
        <v>3740</v>
      </c>
      <c r="C205" s="260">
        <v>94003</v>
      </c>
      <c r="D205" s="260">
        <v>145</v>
      </c>
      <c r="E205" s="260">
        <v>1</v>
      </c>
      <c r="F205" s="260">
        <v>2</v>
      </c>
      <c r="G205" s="260">
        <v>2</v>
      </c>
      <c r="H205" s="110">
        <f>D205/SUM($D$205:$D$253)</f>
        <v>2.517798228859177E-2</v>
      </c>
      <c r="I205" s="1" t="str">
        <f>D205&amp;","</f>
        <v>145,</v>
      </c>
      <c r="J205" s="1" t="str">
        <f>"("&amp;E205&amp;","&amp;F205&amp;")"&amp;","</f>
        <v>(1,2),</v>
      </c>
      <c r="K205" s="1" t="str">
        <f>C205&amp;","</f>
        <v>94003,</v>
      </c>
      <c r="L205" s="1" t="str">
        <f>L204&amp;I205</f>
        <v>145,</v>
      </c>
      <c r="M205" s="1" t="str">
        <f t="shared" ref="M205:N220" si="170">M204&amp;J205</f>
        <v>(1,2),</v>
      </c>
      <c r="N205" s="1" t="str">
        <f t="shared" si="170"/>
        <v>94003,</v>
      </c>
      <c r="P205" s="1">
        <f>AVERAGE(E205:F205)</f>
        <v>1.5</v>
      </c>
      <c r="Q205" s="1">
        <f>P205*1.5</f>
        <v>2.25</v>
      </c>
      <c r="R205" s="1">
        <v>2</v>
      </c>
      <c r="S205" s="1">
        <v>3</v>
      </c>
      <c r="T205" s="1" t="str">
        <f>"("&amp;R205&amp;","&amp;S205&amp;")"&amp;","</f>
        <v>(2,3),</v>
      </c>
      <c r="U205" s="1" t="str">
        <f>U204&amp;T205</f>
        <v>(2,3),</v>
      </c>
    </row>
    <row r="206" spans="2:21" x14ac:dyDescent="0.3">
      <c r="B206" s="260" t="s">
        <v>718</v>
      </c>
      <c r="C206" s="260">
        <v>51211</v>
      </c>
      <c r="D206" s="260">
        <v>172</v>
      </c>
      <c r="E206" s="260">
        <v>1</v>
      </c>
      <c r="F206" s="260">
        <v>2</v>
      </c>
      <c r="G206" s="260">
        <v>2</v>
      </c>
      <c r="H206" s="110">
        <f t="shared" ref="H206:H253" si="171">D206/SUM($D$205:$D$253)</f>
        <v>2.986629623198472E-2</v>
      </c>
      <c r="I206" s="1" t="str">
        <f t="shared" ref="I206:I253" si="172">D206&amp;","</f>
        <v>172,</v>
      </c>
      <c r="J206" s="1" t="str">
        <f t="shared" ref="J206:J253" si="173">"("&amp;E206&amp;","&amp;F206&amp;")"&amp;","</f>
        <v>(1,2),</v>
      </c>
      <c r="K206" s="1" t="str">
        <f t="shared" ref="K206:K253" si="174">C206&amp;","</f>
        <v>51211,</v>
      </c>
      <c r="L206" s="1" t="str">
        <f>L205&amp;I206</f>
        <v>145,172,</v>
      </c>
      <c r="M206" s="1" t="str">
        <f t="shared" si="170"/>
        <v>(1,2),(1,2),</v>
      </c>
      <c r="N206" s="1" t="str">
        <f t="shared" si="170"/>
        <v>94003,51211,</v>
      </c>
      <c r="P206" s="1">
        <f t="shared" ref="P206:P253" si="175">AVERAGE(E206:F206)</f>
        <v>1.5</v>
      </c>
      <c r="Q206" s="1">
        <f t="shared" ref="Q206:Q253" si="176">P206*1.5</f>
        <v>2.25</v>
      </c>
      <c r="R206" s="1">
        <v>2</v>
      </c>
      <c r="S206" s="1">
        <v>3</v>
      </c>
      <c r="T206" s="1" t="str">
        <f t="shared" ref="T206:T253" si="177">"("&amp;R206&amp;","&amp;S206&amp;")"&amp;","</f>
        <v>(2,3),</v>
      </c>
      <c r="U206" s="1" t="str">
        <f t="shared" ref="U206:U253" si="178">U205&amp;T206</f>
        <v>(2,3),(2,3),</v>
      </c>
    </row>
    <row r="207" spans="2:21" x14ac:dyDescent="0.3">
      <c r="B207" s="260" t="s">
        <v>719</v>
      </c>
      <c r="C207" s="260">
        <v>52211</v>
      </c>
      <c r="D207" s="260">
        <v>172</v>
      </c>
      <c r="E207" s="260">
        <v>1</v>
      </c>
      <c r="F207" s="260">
        <v>2</v>
      </c>
      <c r="G207" s="260">
        <v>2</v>
      </c>
      <c r="H207" s="110">
        <f t="shared" si="171"/>
        <v>2.986629623198472E-2</v>
      </c>
      <c r="I207" s="1" t="str">
        <f t="shared" si="172"/>
        <v>172,</v>
      </c>
      <c r="J207" s="1" t="str">
        <f t="shared" si="173"/>
        <v>(1,2),</v>
      </c>
      <c r="K207" s="1" t="str">
        <f t="shared" si="174"/>
        <v>52211,</v>
      </c>
      <c r="L207" s="1" t="str">
        <f t="shared" ref="L207:L253" si="179">L206&amp;I207</f>
        <v>145,172,172,</v>
      </c>
      <c r="M207" s="1" t="str">
        <f t="shared" si="170"/>
        <v>(1,2),(1,2),(1,2),</v>
      </c>
      <c r="N207" s="1" t="str">
        <f t="shared" si="170"/>
        <v>94003,51211,52211,</v>
      </c>
      <c r="P207" s="1">
        <f t="shared" si="175"/>
        <v>1.5</v>
      </c>
      <c r="Q207" s="1">
        <f t="shared" si="176"/>
        <v>2.25</v>
      </c>
      <c r="R207" s="1">
        <v>2</v>
      </c>
      <c r="S207" s="1">
        <v>3</v>
      </c>
      <c r="T207" s="1" t="str">
        <f t="shared" si="177"/>
        <v>(2,3),</v>
      </c>
      <c r="U207" s="1" t="str">
        <f t="shared" si="178"/>
        <v>(2,3),(2,3),(2,3),</v>
      </c>
    </row>
    <row r="208" spans="2:21" x14ac:dyDescent="0.3">
      <c r="B208" s="260" t="s">
        <v>720</v>
      </c>
      <c r="C208" s="260">
        <v>53211</v>
      </c>
      <c r="D208" s="260">
        <v>172</v>
      </c>
      <c r="E208" s="260">
        <v>1</v>
      </c>
      <c r="F208" s="260">
        <v>2</v>
      </c>
      <c r="G208" s="260">
        <v>2</v>
      </c>
      <c r="H208" s="110">
        <f t="shared" si="171"/>
        <v>2.986629623198472E-2</v>
      </c>
      <c r="I208" s="1" t="str">
        <f t="shared" si="172"/>
        <v>172,</v>
      </c>
      <c r="J208" s="1" t="str">
        <f t="shared" si="173"/>
        <v>(1,2),</v>
      </c>
      <c r="K208" s="1" t="str">
        <f t="shared" si="174"/>
        <v>53211,</v>
      </c>
      <c r="L208" s="1" t="str">
        <f t="shared" si="179"/>
        <v>145,172,172,172,</v>
      </c>
      <c r="M208" s="1" t="str">
        <f t="shared" si="170"/>
        <v>(1,2),(1,2),(1,2),(1,2),</v>
      </c>
      <c r="N208" s="1" t="str">
        <f t="shared" si="170"/>
        <v>94003,51211,52211,53211,</v>
      </c>
      <c r="P208" s="1">
        <f t="shared" si="175"/>
        <v>1.5</v>
      </c>
      <c r="Q208" s="1">
        <f t="shared" si="176"/>
        <v>2.25</v>
      </c>
      <c r="R208" s="1">
        <v>2</v>
      </c>
      <c r="S208" s="1">
        <v>3</v>
      </c>
      <c r="T208" s="1" t="str">
        <f t="shared" si="177"/>
        <v>(2,3),</v>
      </c>
      <c r="U208" s="1" t="str">
        <f t="shared" si="178"/>
        <v>(2,3),(2,3),(2,3),(2,3),</v>
      </c>
    </row>
    <row r="209" spans="2:21" x14ac:dyDescent="0.3">
      <c r="B209" s="260" t="s">
        <v>3728</v>
      </c>
      <c r="C209" s="260">
        <v>51221</v>
      </c>
      <c r="D209" s="260">
        <v>138</v>
      </c>
      <c r="E209" s="260">
        <v>1</v>
      </c>
      <c r="F209" s="260">
        <v>3</v>
      </c>
      <c r="G209" s="260">
        <v>2</v>
      </c>
      <c r="H209" s="110">
        <f t="shared" si="171"/>
        <v>2.3962493488452856E-2</v>
      </c>
      <c r="I209" s="1" t="str">
        <f t="shared" si="172"/>
        <v>138,</v>
      </c>
      <c r="J209" s="1" t="str">
        <f t="shared" si="173"/>
        <v>(1,3),</v>
      </c>
      <c r="K209" s="1" t="str">
        <f t="shared" si="174"/>
        <v>51221,</v>
      </c>
      <c r="L209" s="1" t="str">
        <f t="shared" si="179"/>
        <v>145,172,172,172,138,</v>
      </c>
      <c r="M209" s="1" t="str">
        <f t="shared" si="170"/>
        <v>(1,2),(1,2),(1,2),(1,2),(1,3),</v>
      </c>
      <c r="N209" s="1" t="str">
        <f t="shared" si="170"/>
        <v>94003,51211,52211,53211,51221,</v>
      </c>
      <c r="P209" s="1">
        <f t="shared" si="175"/>
        <v>2</v>
      </c>
      <c r="Q209" s="1">
        <f t="shared" si="176"/>
        <v>3</v>
      </c>
      <c r="R209" s="1">
        <v>2</v>
      </c>
      <c r="S209" s="1">
        <v>4</v>
      </c>
      <c r="T209" s="1" t="str">
        <f t="shared" si="177"/>
        <v>(2,4),</v>
      </c>
      <c r="U209" s="1" t="str">
        <f t="shared" si="178"/>
        <v>(2,3),(2,3),(2,3),(2,3),(2,4),</v>
      </c>
    </row>
    <row r="210" spans="2:21" x14ac:dyDescent="0.3">
      <c r="B210" s="260" t="s">
        <v>3729</v>
      </c>
      <c r="C210" s="260">
        <v>52221</v>
      </c>
      <c r="D210" s="260">
        <v>138</v>
      </c>
      <c r="E210" s="260">
        <v>1</v>
      </c>
      <c r="F210" s="260">
        <v>3</v>
      </c>
      <c r="G210" s="260">
        <v>2</v>
      </c>
      <c r="H210" s="110">
        <f t="shared" si="171"/>
        <v>2.3962493488452856E-2</v>
      </c>
      <c r="I210" s="1" t="str">
        <f t="shared" si="172"/>
        <v>138,</v>
      </c>
      <c r="J210" s="1" t="str">
        <f t="shared" si="173"/>
        <v>(1,3),</v>
      </c>
      <c r="K210" s="1" t="str">
        <f t="shared" si="174"/>
        <v>52221,</v>
      </c>
      <c r="L210" s="1" t="str">
        <f t="shared" si="179"/>
        <v>145,172,172,172,138,138,</v>
      </c>
      <c r="M210" s="1" t="str">
        <f t="shared" si="170"/>
        <v>(1,2),(1,2),(1,2),(1,2),(1,3),(1,3),</v>
      </c>
      <c r="N210" s="1" t="str">
        <f t="shared" si="170"/>
        <v>94003,51211,52211,53211,51221,52221,</v>
      </c>
      <c r="P210" s="1">
        <f t="shared" si="175"/>
        <v>2</v>
      </c>
      <c r="Q210" s="1">
        <f t="shared" si="176"/>
        <v>3</v>
      </c>
      <c r="R210" s="1">
        <v>2</v>
      </c>
      <c r="S210" s="1">
        <v>4</v>
      </c>
      <c r="T210" s="1" t="str">
        <f t="shared" si="177"/>
        <v>(2,4),</v>
      </c>
      <c r="U210" s="1" t="str">
        <f t="shared" si="178"/>
        <v>(2,3),(2,3),(2,3),(2,3),(2,4),(2,4),</v>
      </c>
    </row>
    <row r="211" spans="2:21" x14ac:dyDescent="0.3">
      <c r="B211" s="260" t="s">
        <v>3730</v>
      </c>
      <c r="C211" s="260">
        <v>53221</v>
      </c>
      <c r="D211" s="260">
        <v>138</v>
      </c>
      <c r="E211" s="260">
        <v>1</v>
      </c>
      <c r="F211" s="260">
        <v>3</v>
      </c>
      <c r="G211" s="260">
        <v>2</v>
      </c>
      <c r="H211" s="110">
        <f t="shared" si="171"/>
        <v>2.3962493488452856E-2</v>
      </c>
      <c r="I211" s="1" t="str">
        <f t="shared" si="172"/>
        <v>138,</v>
      </c>
      <c r="J211" s="1" t="str">
        <f t="shared" si="173"/>
        <v>(1,3),</v>
      </c>
      <c r="K211" s="1" t="str">
        <f t="shared" si="174"/>
        <v>53221,</v>
      </c>
      <c r="L211" s="1" t="str">
        <f t="shared" si="179"/>
        <v>145,172,172,172,138,138,138,</v>
      </c>
      <c r="M211" s="1" t="str">
        <f t="shared" si="170"/>
        <v>(1,2),(1,2),(1,2),(1,2),(1,3),(1,3),(1,3),</v>
      </c>
      <c r="N211" s="1" t="str">
        <f t="shared" si="170"/>
        <v>94003,51211,52211,53211,51221,52221,53221,</v>
      </c>
      <c r="P211" s="1">
        <f t="shared" si="175"/>
        <v>2</v>
      </c>
      <c r="Q211" s="1">
        <f t="shared" si="176"/>
        <v>3</v>
      </c>
      <c r="R211" s="1">
        <v>2</v>
      </c>
      <c r="S211" s="1">
        <v>4</v>
      </c>
      <c r="T211" s="1" t="str">
        <f t="shared" si="177"/>
        <v>(2,4),</v>
      </c>
      <c r="U211" s="1" t="str">
        <f t="shared" si="178"/>
        <v>(2,3),(2,3),(2,3),(2,3),(2,4),(2,4),(2,4),</v>
      </c>
    </row>
    <row r="212" spans="2:21" x14ac:dyDescent="0.3">
      <c r="B212" s="260" t="s">
        <v>721</v>
      </c>
      <c r="C212" s="260">
        <v>51311</v>
      </c>
      <c r="D212" s="260">
        <v>200</v>
      </c>
      <c r="E212" s="260">
        <v>1</v>
      </c>
      <c r="F212" s="260">
        <v>2</v>
      </c>
      <c r="G212" s="260">
        <v>2</v>
      </c>
      <c r="H212" s="110">
        <f t="shared" si="171"/>
        <v>3.4728251432540373E-2</v>
      </c>
      <c r="I212" s="1" t="str">
        <f t="shared" si="172"/>
        <v>200,</v>
      </c>
      <c r="J212" s="1" t="str">
        <f t="shared" si="173"/>
        <v>(1,2),</v>
      </c>
      <c r="K212" s="1" t="str">
        <f t="shared" si="174"/>
        <v>51311,</v>
      </c>
      <c r="L212" s="1" t="str">
        <f t="shared" si="179"/>
        <v>145,172,172,172,138,138,138,200,</v>
      </c>
      <c r="M212" s="1" t="str">
        <f t="shared" si="170"/>
        <v>(1,2),(1,2),(1,2),(1,2),(1,3),(1,3),(1,3),(1,2),</v>
      </c>
      <c r="N212" s="1" t="str">
        <f t="shared" si="170"/>
        <v>94003,51211,52211,53211,51221,52221,53221,51311,</v>
      </c>
      <c r="P212" s="1">
        <f t="shared" si="175"/>
        <v>1.5</v>
      </c>
      <c r="Q212" s="1">
        <f t="shared" si="176"/>
        <v>2.25</v>
      </c>
      <c r="R212" s="1">
        <v>2</v>
      </c>
      <c r="S212" s="1">
        <v>3</v>
      </c>
      <c r="T212" s="1" t="str">
        <f t="shared" si="177"/>
        <v>(2,3),</v>
      </c>
      <c r="U212" s="1" t="str">
        <f t="shared" si="178"/>
        <v>(2,3),(2,3),(2,3),(2,3),(2,4),(2,4),(2,4),(2,3),</v>
      </c>
    </row>
    <row r="213" spans="2:21" x14ac:dyDescent="0.3">
      <c r="B213" s="260" t="s">
        <v>722</v>
      </c>
      <c r="C213" s="260">
        <v>52311</v>
      </c>
      <c r="D213" s="260">
        <v>200</v>
      </c>
      <c r="E213" s="260">
        <v>1</v>
      </c>
      <c r="F213" s="260">
        <v>2</v>
      </c>
      <c r="G213" s="260">
        <v>2</v>
      </c>
      <c r="H213" s="110">
        <f t="shared" si="171"/>
        <v>3.4728251432540373E-2</v>
      </c>
      <c r="I213" s="1" t="str">
        <f t="shared" si="172"/>
        <v>200,</v>
      </c>
      <c r="J213" s="1" t="str">
        <f t="shared" si="173"/>
        <v>(1,2),</v>
      </c>
      <c r="K213" s="1" t="str">
        <f t="shared" si="174"/>
        <v>52311,</v>
      </c>
      <c r="L213" s="1" t="str">
        <f t="shared" si="179"/>
        <v>145,172,172,172,138,138,138,200,200,</v>
      </c>
      <c r="M213" s="1" t="str">
        <f t="shared" si="170"/>
        <v>(1,2),(1,2),(1,2),(1,2),(1,3),(1,3),(1,3),(1,2),(1,2),</v>
      </c>
      <c r="N213" s="1" t="str">
        <f t="shared" si="170"/>
        <v>94003,51211,52211,53211,51221,52221,53221,51311,52311,</v>
      </c>
      <c r="P213" s="1">
        <f t="shared" si="175"/>
        <v>1.5</v>
      </c>
      <c r="Q213" s="1">
        <f t="shared" si="176"/>
        <v>2.25</v>
      </c>
      <c r="R213" s="1">
        <v>2</v>
      </c>
      <c r="S213" s="1">
        <v>3</v>
      </c>
      <c r="T213" s="1" t="str">
        <f t="shared" si="177"/>
        <v>(2,3),</v>
      </c>
      <c r="U213" s="1" t="str">
        <f t="shared" si="178"/>
        <v>(2,3),(2,3),(2,3),(2,3),(2,4),(2,4),(2,4),(2,3),(2,3),</v>
      </c>
    </row>
    <row r="214" spans="2:21" x14ac:dyDescent="0.3">
      <c r="B214" s="260" t="s">
        <v>723</v>
      </c>
      <c r="C214" s="260">
        <v>53311</v>
      </c>
      <c r="D214" s="260">
        <v>200</v>
      </c>
      <c r="E214" s="260">
        <v>1</v>
      </c>
      <c r="F214" s="260">
        <v>2</v>
      </c>
      <c r="G214" s="260">
        <v>2</v>
      </c>
      <c r="H214" s="110">
        <f t="shared" si="171"/>
        <v>3.4728251432540373E-2</v>
      </c>
      <c r="I214" s="1" t="str">
        <f t="shared" si="172"/>
        <v>200,</v>
      </c>
      <c r="J214" s="1" t="str">
        <f t="shared" si="173"/>
        <v>(1,2),</v>
      </c>
      <c r="K214" s="1" t="str">
        <f t="shared" si="174"/>
        <v>53311,</v>
      </c>
      <c r="L214" s="1" t="str">
        <f t="shared" si="179"/>
        <v>145,172,172,172,138,138,138,200,200,200,</v>
      </c>
      <c r="M214" s="1" t="str">
        <f t="shared" si="170"/>
        <v>(1,2),(1,2),(1,2),(1,2),(1,3),(1,3),(1,3),(1,2),(1,2),(1,2),</v>
      </c>
      <c r="N214" s="1" t="str">
        <f t="shared" si="170"/>
        <v>94003,51211,52211,53211,51221,52221,53221,51311,52311,53311,</v>
      </c>
      <c r="P214" s="1">
        <f t="shared" si="175"/>
        <v>1.5</v>
      </c>
      <c r="Q214" s="1">
        <f t="shared" si="176"/>
        <v>2.25</v>
      </c>
      <c r="R214" s="1">
        <v>2</v>
      </c>
      <c r="S214" s="1">
        <v>3</v>
      </c>
      <c r="T214" s="1" t="str">
        <f t="shared" si="177"/>
        <v>(2,3),</v>
      </c>
      <c r="U214" s="1" t="str">
        <f t="shared" si="178"/>
        <v>(2,3),(2,3),(2,3),(2,3),(2,4),(2,4),(2,4),(2,3),(2,3),(2,3),</v>
      </c>
    </row>
    <row r="215" spans="2:21" x14ac:dyDescent="0.3">
      <c r="B215" s="260" t="s">
        <v>3731</v>
      </c>
      <c r="C215" s="260">
        <v>51321</v>
      </c>
      <c r="D215" s="260">
        <v>200</v>
      </c>
      <c r="E215" s="260">
        <v>1</v>
      </c>
      <c r="F215" s="260">
        <v>2</v>
      </c>
      <c r="G215" s="260">
        <v>2</v>
      </c>
      <c r="H215" s="110">
        <f t="shared" si="171"/>
        <v>3.4728251432540373E-2</v>
      </c>
      <c r="I215" s="1" t="str">
        <f t="shared" si="172"/>
        <v>200,</v>
      </c>
      <c r="J215" s="1" t="str">
        <f t="shared" si="173"/>
        <v>(1,2),</v>
      </c>
      <c r="K215" s="1" t="str">
        <f t="shared" si="174"/>
        <v>51321,</v>
      </c>
      <c r="L215" s="1" t="str">
        <f t="shared" si="179"/>
        <v>145,172,172,172,138,138,138,200,200,200,200,</v>
      </c>
      <c r="M215" s="1" t="str">
        <f t="shared" si="170"/>
        <v>(1,2),(1,2),(1,2),(1,2),(1,3),(1,3),(1,3),(1,2),(1,2),(1,2),(1,2),</v>
      </c>
      <c r="N215" s="1" t="str">
        <f t="shared" si="170"/>
        <v>94003,51211,52211,53211,51221,52221,53221,51311,52311,53311,51321,</v>
      </c>
      <c r="P215" s="1">
        <f t="shared" si="175"/>
        <v>1.5</v>
      </c>
      <c r="Q215" s="1">
        <f t="shared" si="176"/>
        <v>2.25</v>
      </c>
      <c r="R215" s="1">
        <v>2</v>
      </c>
      <c r="S215" s="1">
        <v>3</v>
      </c>
      <c r="T215" s="1" t="str">
        <f t="shared" si="177"/>
        <v>(2,3),</v>
      </c>
      <c r="U215" s="1" t="str">
        <f t="shared" si="178"/>
        <v>(2,3),(2,3),(2,3),(2,3),(2,4),(2,4),(2,4),(2,3),(2,3),(2,3),(2,3),</v>
      </c>
    </row>
    <row r="216" spans="2:21" x14ac:dyDescent="0.3">
      <c r="B216" s="260" t="s">
        <v>3732</v>
      </c>
      <c r="C216" s="260">
        <v>52321</v>
      </c>
      <c r="D216" s="260">
        <v>200</v>
      </c>
      <c r="E216" s="260">
        <v>1</v>
      </c>
      <c r="F216" s="260">
        <v>2</v>
      </c>
      <c r="G216" s="260">
        <v>2</v>
      </c>
      <c r="H216" s="110">
        <f t="shared" si="171"/>
        <v>3.4728251432540373E-2</v>
      </c>
      <c r="I216" s="1" t="str">
        <f t="shared" si="172"/>
        <v>200,</v>
      </c>
      <c r="J216" s="1" t="str">
        <f t="shared" si="173"/>
        <v>(1,2),</v>
      </c>
      <c r="K216" s="1" t="str">
        <f t="shared" si="174"/>
        <v>52321,</v>
      </c>
      <c r="L216" s="1" t="str">
        <f t="shared" si="179"/>
        <v>145,172,172,172,138,138,138,200,200,200,200,200,</v>
      </c>
      <c r="M216" s="1" t="str">
        <f t="shared" si="170"/>
        <v>(1,2),(1,2),(1,2),(1,2),(1,3),(1,3),(1,3),(1,2),(1,2),(1,2),(1,2),(1,2),</v>
      </c>
      <c r="N216" s="1" t="str">
        <f t="shared" si="170"/>
        <v>94003,51211,52211,53211,51221,52221,53221,51311,52311,53311,51321,52321,</v>
      </c>
      <c r="P216" s="1">
        <f t="shared" si="175"/>
        <v>1.5</v>
      </c>
      <c r="Q216" s="1">
        <f t="shared" si="176"/>
        <v>2.25</v>
      </c>
      <c r="R216" s="1">
        <v>2</v>
      </c>
      <c r="S216" s="1">
        <v>3</v>
      </c>
      <c r="T216" s="1" t="str">
        <f t="shared" si="177"/>
        <v>(2,3),</v>
      </c>
      <c r="U216" s="1" t="str">
        <f t="shared" si="178"/>
        <v>(2,3),(2,3),(2,3),(2,3),(2,4),(2,4),(2,4),(2,3),(2,3),(2,3),(2,3),(2,3),</v>
      </c>
    </row>
    <row r="217" spans="2:21" x14ac:dyDescent="0.3">
      <c r="B217" s="260" t="s">
        <v>3733</v>
      </c>
      <c r="C217" s="260">
        <v>53321</v>
      </c>
      <c r="D217" s="260">
        <v>200</v>
      </c>
      <c r="E217" s="260">
        <v>1</v>
      </c>
      <c r="F217" s="260">
        <v>2</v>
      </c>
      <c r="G217" s="260">
        <v>2</v>
      </c>
      <c r="H217" s="110">
        <f t="shared" si="171"/>
        <v>3.4728251432540373E-2</v>
      </c>
      <c r="I217" s="1" t="str">
        <f t="shared" si="172"/>
        <v>200,</v>
      </c>
      <c r="J217" s="1" t="str">
        <f t="shared" si="173"/>
        <v>(1,2),</v>
      </c>
      <c r="K217" s="1" t="str">
        <f t="shared" si="174"/>
        <v>53321,</v>
      </c>
      <c r="L217" s="1" t="str">
        <f t="shared" si="179"/>
        <v>145,172,172,172,138,138,138,200,200,200,200,200,200,</v>
      </c>
      <c r="M217" s="1" t="str">
        <f t="shared" si="170"/>
        <v>(1,2),(1,2),(1,2),(1,2),(1,3),(1,3),(1,3),(1,2),(1,2),(1,2),(1,2),(1,2),(1,2),</v>
      </c>
      <c r="N217" s="1" t="str">
        <f t="shared" si="170"/>
        <v>94003,51211,52211,53211,51221,52221,53221,51311,52311,53311,51321,52321,53321,</v>
      </c>
      <c r="P217" s="1">
        <f t="shared" si="175"/>
        <v>1.5</v>
      </c>
      <c r="Q217" s="1">
        <f t="shared" si="176"/>
        <v>2.25</v>
      </c>
      <c r="R217" s="1">
        <v>2</v>
      </c>
      <c r="S217" s="1">
        <v>3</v>
      </c>
      <c r="T217" s="1" t="str">
        <f t="shared" si="177"/>
        <v>(2,3),</v>
      </c>
      <c r="U217" s="1" t="str">
        <f t="shared" si="178"/>
        <v>(2,3),(2,3),(2,3),(2,3),(2,4),(2,4),(2,4),(2,3),(2,3),(2,3),(2,3),(2,3),(2,3),</v>
      </c>
    </row>
    <row r="218" spans="2:21" x14ac:dyDescent="0.3">
      <c r="B218" s="260" t="s">
        <v>425</v>
      </c>
      <c r="C218" s="260">
        <v>91001</v>
      </c>
      <c r="D218" s="260">
        <v>108</v>
      </c>
      <c r="E218" s="260">
        <v>1</v>
      </c>
      <c r="F218" s="260">
        <v>1</v>
      </c>
      <c r="G218" s="260">
        <v>2</v>
      </c>
      <c r="H218" s="110">
        <f t="shared" si="171"/>
        <v>1.87532557735718E-2</v>
      </c>
      <c r="I218" s="1" t="str">
        <f t="shared" si="172"/>
        <v>108,</v>
      </c>
      <c r="J218" s="1" t="str">
        <f t="shared" si="173"/>
        <v>(1,1),</v>
      </c>
      <c r="K218" s="1" t="str">
        <f t="shared" si="174"/>
        <v>91001,</v>
      </c>
      <c r="L218" s="1" t="str">
        <f t="shared" si="179"/>
        <v>145,172,172,172,138,138,138,200,200,200,200,200,200,108,</v>
      </c>
      <c r="M218" s="1" t="str">
        <f t="shared" si="170"/>
        <v>(1,2),(1,2),(1,2),(1,2),(1,3),(1,3),(1,3),(1,2),(1,2),(1,2),(1,2),(1,2),(1,2),(1,1),</v>
      </c>
      <c r="N218" s="1" t="str">
        <f t="shared" si="170"/>
        <v>94003,51211,52211,53211,51221,52221,53221,51311,52311,53311,51321,52321,53321,91001,</v>
      </c>
      <c r="P218" s="1">
        <f t="shared" si="175"/>
        <v>1</v>
      </c>
      <c r="Q218" s="1">
        <f t="shared" si="176"/>
        <v>1.5</v>
      </c>
      <c r="R218" s="1">
        <v>1</v>
      </c>
      <c r="S218" s="1">
        <v>2</v>
      </c>
      <c r="T218" s="1" t="str">
        <f t="shared" si="177"/>
        <v>(1,2),</v>
      </c>
      <c r="U218" s="1" t="str">
        <f t="shared" si="178"/>
        <v>(2,3),(2,3),(2,3),(2,3),(2,4),(2,4),(2,4),(2,3),(2,3),(2,3),(2,3),(2,3),(2,3),(1,2),</v>
      </c>
    </row>
    <row r="219" spans="2:21" x14ac:dyDescent="0.3">
      <c r="B219" s="260" t="s">
        <v>426</v>
      </c>
      <c r="C219" s="260">
        <v>91003</v>
      </c>
      <c r="D219" s="260">
        <v>108</v>
      </c>
      <c r="E219" s="260">
        <v>1</v>
      </c>
      <c r="F219" s="260">
        <v>1</v>
      </c>
      <c r="G219" s="260">
        <v>2</v>
      </c>
      <c r="H219" s="110">
        <f t="shared" si="171"/>
        <v>1.87532557735718E-2</v>
      </c>
      <c r="I219" s="1" t="str">
        <f t="shared" si="172"/>
        <v>108,</v>
      </c>
      <c r="J219" s="1" t="str">
        <f t="shared" si="173"/>
        <v>(1,1),</v>
      </c>
      <c r="K219" s="1" t="str">
        <f t="shared" si="174"/>
        <v>91003,</v>
      </c>
      <c r="L219" s="1" t="str">
        <f t="shared" si="179"/>
        <v>145,172,172,172,138,138,138,200,200,200,200,200,200,108,108,</v>
      </c>
      <c r="M219" s="1" t="str">
        <f t="shared" si="170"/>
        <v>(1,2),(1,2),(1,2),(1,2),(1,3),(1,3),(1,3),(1,2),(1,2),(1,2),(1,2),(1,2),(1,2),(1,1),(1,1),</v>
      </c>
      <c r="N219" s="1" t="str">
        <f t="shared" si="170"/>
        <v>94003,51211,52211,53211,51221,52221,53221,51311,52311,53311,51321,52321,53321,91001,91003,</v>
      </c>
      <c r="P219" s="1">
        <f t="shared" si="175"/>
        <v>1</v>
      </c>
      <c r="Q219" s="1">
        <f t="shared" si="176"/>
        <v>1.5</v>
      </c>
      <c r="R219" s="1">
        <v>1</v>
      </c>
      <c r="S219" s="1">
        <v>2</v>
      </c>
      <c r="T219" s="1" t="str">
        <f t="shared" si="177"/>
        <v>(1,2),</v>
      </c>
      <c r="U219" s="1" t="str">
        <f t="shared" si="178"/>
        <v>(2,3),(2,3),(2,3),(2,3),(2,4),(2,4),(2,4),(2,3),(2,3),(2,3),(2,3),(2,3),(2,3),(1,2),(1,2),</v>
      </c>
    </row>
    <row r="220" spans="2:21" x14ac:dyDescent="0.3">
      <c r="B220" s="260" t="s">
        <v>427</v>
      </c>
      <c r="C220" s="260">
        <v>91005</v>
      </c>
      <c r="D220" s="260">
        <v>108</v>
      </c>
      <c r="E220" s="260">
        <v>1</v>
      </c>
      <c r="F220" s="260">
        <v>1</v>
      </c>
      <c r="G220" s="260">
        <v>2</v>
      </c>
      <c r="H220" s="110">
        <f t="shared" si="171"/>
        <v>1.87532557735718E-2</v>
      </c>
      <c r="I220" s="1" t="str">
        <f t="shared" si="172"/>
        <v>108,</v>
      </c>
      <c r="J220" s="1" t="str">
        <f t="shared" si="173"/>
        <v>(1,1),</v>
      </c>
      <c r="K220" s="1" t="str">
        <f t="shared" si="174"/>
        <v>91005,</v>
      </c>
      <c r="L220" s="1" t="str">
        <f t="shared" si="179"/>
        <v>145,172,172,172,138,138,138,200,200,200,200,200,200,108,108,108,</v>
      </c>
      <c r="M220" s="1" t="str">
        <f t="shared" si="170"/>
        <v>(1,2),(1,2),(1,2),(1,2),(1,3),(1,3),(1,3),(1,2),(1,2),(1,2),(1,2),(1,2),(1,2),(1,1),(1,1),(1,1),</v>
      </c>
      <c r="N220" s="1" t="str">
        <f t="shared" si="170"/>
        <v>94003,51211,52211,53211,51221,52221,53221,51311,52311,53311,51321,52321,53321,91001,91003,91005,</v>
      </c>
      <c r="P220" s="1">
        <f t="shared" si="175"/>
        <v>1</v>
      </c>
      <c r="Q220" s="1">
        <f t="shared" si="176"/>
        <v>1.5</v>
      </c>
      <c r="R220" s="1">
        <v>1</v>
      </c>
      <c r="S220" s="1">
        <v>2</v>
      </c>
      <c r="T220" s="1" t="str">
        <f t="shared" si="177"/>
        <v>(1,2),</v>
      </c>
      <c r="U220" s="1" t="str">
        <f t="shared" si="178"/>
        <v>(2,3),(2,3),(2,3),(2,3),(2,4),(2,4),(2,4),(2,3),(2,3),(2,3),(2,3),(2,3),(2,3),(1,2),(1,2),(1,2),</v>
      </c>
    </row>
    <row r="221" spans="2:21" x14ac:dyDescent="0.3">
      <c r="B221" s="260" t="s">
        <v>428</v>
      </c>
      <c r="C221" s="260">
        <v>91101</v>
      </c>
      <c r="D221" s="260">
        <v>108</v>
      </c>
      <c r="E221" s="260">
        <v>1</v>
      </c>
      <c r="F221" s="260">
        <v>1</v>
      </c>
      <c r="G221" s="260">
        <v>2</v>
      </c>
      <c r="H221" s="110">
        <f t="shared" si="171"/>
        <v>1.87532557735718E-2</v>
      </c>
      <c r="I221" s="1" t="str">
        <f t="shared" si="172"/>
        <v>108,</v>
      </c>
      <c r="J221" s="1" t="str">
        <f t="shared" si="173"/>
        <v>(1,1),</v>
      </c>
      <c r="K221" s="1" t="str">
        <f t="shared" si="174"/>
        <v>91101,</v>
      </c>
      <c r="L221" s="1" t="str">
        <f t="shared" si="179"/>
        <v>145,172,172,172,138,138,138,200,200,200,200,200,200,108,108,108,108,</v>
      </c>
      <c r="M221" s="1" t="str">
        <f t="shared" ref="M221:M253" si="180">M220&amp;J221</f>
        <v>(1,2),(1,2),(1,2),(1,2),(1,3),(1,3),(1,3),(1,2),(1,2),(1,2),(1,2),(1,2),(1,2),(1,1),(1,1),(1,1),(1,1),</v>
      </c>
      <c r="N221" s="1" t="str">
        <f t="shared" ref="N221:N253" si="181">N220&amp;K221</f>
        <v>94003,51211,52211,53211,51221,52221,53221,51311,52311,53311,51321,52321,53321,91001,91003,91005,91101,</v>
      </c>
      <c r="P221" s="1">
        <f t="shared" si="175"/>
        <v>1</v>
      </c>
      <c r="Q221" s="1">
        <f t="shared" si="176"/>
        <v>1.5</v>
      </c>
      <c r="R221" s="1">
        <v>1</v>
      </c>
      <c r="S221" s="1">
        <v>2</v>
      </c>
      <c r="T221" s="1" t="str">
        <f t="shared" si="177"/>
        <v>(1,2),</v>
      </c>
      <c r="U221" s="1" t="str">
        <f t="shared" si="178"/>
        <v>(2,3),(2,3),(2,3),(2,3),(2,4),(2,4),(2,4),(2,3),(2,3),(2,3),(2,3),(2,3),(2,3),(1,2),(1,2),(1,2),(1,2),</v>
      </c>
    </row>
    <row r="222" spans="2:21" x14ac:dyDescent="0.3">
      <c r="B222" s="260" t="s">
        <v>429</v>
      </c>
      <c r="C222" s="260">
        <v>91103</v>
      </c>
      <c r="D222" s="260">
        <v>108</v>
      </c>
      <c r="E222" s="260">
        <v>1</v>
      </c>
      <c r="F222" s="260">
        <v>1</v>
      </c>
      <c r="G222" s="260">
        <v>2</v>
      </c>
      <c r="H222" s="110">
        <f t="shared" si="171"/>
        <v>1.87532557735718E-2</v>
      </c>
      <c r="I222" s="1" t="str">
        <f t="shared" si="172"/>
        <v>108,</v>
      </c>
      <c r="J222" s="1" t="str">
        <f t="shared" si="173"/>
        <v>(1,1),</v>
      </c>
      <c r="K222" s="1" t="str">
        <f t="shared" si="174"/>
        <v>91103,</v>
      </c>
      <c r="L222" s="1" t="str">
        <f t="shared" si="179"/>
        <v>145,172,172,172,138,138,138,200,200,200,200,200,200,108,108,108,108,108,</v>
      </c>
      <c r="M222" s="1" t="str">
        <f t="shared" si="180"/>
        <v>(1,2),(1,2),(1,2),(1,2),(1,3),(1,3),(1,3),(1,2),(1,2),(1,2),(1,2),(1,2),(1,2),(1,1),(1,1),(1,1),(1,1),(1,1),</v>
      </c>
      <c r="N222" s="1" t="str">
        <f t="shared" si="181"/>
        <v>94003,51211,52211,53211,51221,52221,53221,51311,52311,53311,51321,52321,53321,91001,91003,91005,91101,91103,</v>
      </c>
      <c r="P222" s="1">
        <f t="shared" si="175"/>
        <v>1</v>
      </c>
      <c r="Q222" s="1">
        <f t="shared" si="176"/>
        <v>1.5</v>
      </c>
      <c r="R222" s="1">
        <v>1</v>
      </c>
      <c r="S222" s="1">
        <v>2</v>
      </c>
      <c r="T222" s="1" t="str">
        <f t="shared" si="177"/>
        <v>(1,2),</v>
      </c>
      <c r="U222" s="1" t="str">
        <f t="shared" si="178"/>
        <v>(2,3),(2,3),(2,3),(2,3),(2,4),(2,4),(2,4),(2,3),(2,3),(2,3),(2,3),(2,3),(2,3),(1,2),(1,2),(1,2),(1,2),(1,2),</v>
      </c>
    </row>
    <row r="223" spans="2:21" x14ac:dyDescent="0.3">
      <c r="B223" s="260" t="s">
        <v>430</v>
      </c>
      <c r="C223" s="260">
        <v>91105</v>
      </c>
      <c r="D223" s="260">
        <v>108</v>
      </c>
      <c r="E223" s="260">
        <v>1</v>
      </c>
      <c r="F223" s="260">
        <v>1</v>
      </c>
      <c r="G223" s="260">
        <v>2</v>
      </c>
      <c r="H223" s="110">
        <f t="shared" si="171"/>
        <v>1.87532557735718E-2</v>
      </c>
      <c r="I223" s="1" t="str">
        <f t="shared" si="172"/>
        <v>108,</v>
      </c>
      <c r="J223" s="1" t="str">
        <f t="shared" si="173"/>
        <v>(1,1),</v>
      </c>
      <c r="K223" s="1" t="str">
        <f t="shared" si="174"/>
        <v>91105,</v>
      </c>
      <c r="L223" s="1" t="str">
        <f t="shared" si="179"/>
        <v>145,172,172,172,138,138,138,200,200,200,200,200,200,108,108,108,108,108,108,</v>
      </c>
      <c r="M223" s="1" t="str">
        <f t="shared" si="180"/>
        <v>(1,2),(1,2),(1,2),(1,2),(1,3),(1,3),(1,3),(1,2),(1,2),(1,2),(1,2),(1,2),(1,2),(1,1),(1,1),(1,1),(1,1),(1,1),(1,1),</v>
      </c>
      <c r="N223" s="1" t="str">
        <f t="shared" si="181"/>
        <v>94003,51211,52211,53211,51221,52221,53221,51311,52311,53311,51321,52321,53321,91001,91003,91005,91101,91103,91105,</v>
      </c>
      <c r="P223" s="1">
        <f t="shared" si="175"/>
        <v>1</v>
      </c>
      <c r="Q223" s="1">
        <f t="shared" si="176"/>
        <v>1.5</v>
      </c>
      <c r="R223" s="1">
        <v>1</v>
      </c>
      <c r="S223" s="1">
        <v>2</v>
      </c>
      <c r="T223" s="1" t="str">
        <f t="shared" si="177"/>
        <v>(1,2),</v>
      </c>
      <c r="U223" s="1" t="str">
        <f t="shared" si="178"/>
        <v>(2,3),(2,3),(2,3),(2,3),(2,4),(2,4),(2,4),(2,3),(2,3),(2,3),(2,3),(2,3),(2,3),(1,2),(1,2),(1,2),(1,2),(1,2),(1,2),</v>
      </c>
    </row>
    <row r="224" spans="2:21" x14ac:dyDescent="0.3">
      <c r="B224" s="260" t="s">
        <v>431</v>
      </c>
      <c r="C224" s="260">
        <v>91201</v>
      </c>
      <c r="D224" s="260">
        <v>108</v>
      </c>
      <c r="E224" s="260">
        <v>1</v>
      </c>
      <c r="F224" s="260">
        <v>1</v>
      </c>
      <c r="G224" s="260">
        <v>2</v>
      </c>
      <c r="H224" s="110">
        <f t="shared" si="171"/>
        <v>1.87532557735718E-2</v>
      </c>
      <c r="I224" s="1" t="str">
        <f t="shared" si="172"/>
        <v>108,</v>
      </c>
      <c r="J224" s="1" t="str">
        <f t="shared" si="173"/>
        <v>(1,1),</v>
      </c>
      <c r="K224" s="1" t="str">
        <f t="shared" si="174"/>
        <v>91201,</v>
      </c>
      <c r="L224" s="1" t="str">
        <f t="shared" si="179"/>
        <v>145,172,172,172,138,138,138,200,200,200,200,200,200,108,108,108,108,108,108,108,</v>
      </c>
      <c r="M224" s="1" t="str">
        <f t="shared" si="180"/>
        <v>(1,2),(1,2),(1,2),(1,2),(1,3),(1,3),(1,3),(1,2),(1,2),(1,2),(1,2),(1,2),(1,2),(1,1),(1,1),(1,1),(1,1),(1,1),(1,1),(1,1),</v>
      </c>
      <c r="N224" s="1" t="str">
        <f t="shared" si="181"/>
        <v>94003,51211,52211,53211,51221,52221,53221,51311,52311,53311,51321,52321,53321,91001,91003,91005,91101,91103,91105,91201,</v>
      </c>
      <c r="P224" s="1">
        <f t="shared" si="175"/>
        <v>1</v>
      </c>
      <c r="Q224" s="1">
        <f t="shared" si="176"/>
        <v>1.5</v>
      </c>
      <c r="R224" s="1">
        <v>1</v>
      </c>
      <c r="S224" s="1">
        <v>2</v>
      </c>
      <c r="T224" s="1" t="str">
        <f t="shared" si="177"/>
        <v>(1,2),</v>
      </c>
      <c r="U224" s="1" t="str">
        <f t="shared" si="178"/>
        <v>(2,3),(2,3),(2,3),(2,3),(2,4),(2,4),(2,4),(2,3),(2,3),(2,3),(2,3),(2,3),(2,3),(1,2),(1,2),(1,2),(1,2),(1,2),(1,2),(1,2),</v>
      </c>
    </row>
    <row r="225" spans="2:21" x14ac:dyDescent="0.3">
      <c r="B225" s="260" t="s">
        <v>432</v>
      </c>
      <c r="C225" s="260">
        <v>91203</v>
      </c>
      <c r="D225" s="260">
        <v>108</v>
      </c>
      <c r="E225" s="260">
        <v>1</v>
      </c>
      <c r="F225" s="260">
        <v>1</v>
      </c>
      <c r="G225" s="260">
        <v>2</v>
      </c>
      <c r="H225" s="110">
        <f t="shared" si="171"/>
        <v>1.87532557735718E-2</v>
      </c>
      <c r="I225" s="1" t="str">
        <f t="shared" si="172"/>
        <v>108,</v>
      </c>
      <c r="J225" s="1" t="str">
        <f t="shared" si="173"/>
        <v>(1,1),</v>
      </c>
      <c r="K225" s="1" t="str">
        <f t="shared" si="174"/>
        <v>91203,</v>
      </c>
      <c r="L225" s="1" t="str">
        <f t="shared" si="179"/>
        <v>145,172,172,172,138,138,138,200,200,200,200,200,200,108,108,108,108,108,108,108,108,</v>
      </c>
      <c r="M225" s="1" t="str">
        <f t="shared" si="180"/>
        <v>(1,2),(1,2),(1,2),(1,2),(1,3),(1,3),(1,3),(1,2),(1,2),(1,2),(1,2),(1,2),(1,2),(1,1),(1,1),(1,1),(1,1),(1,1),(1,1),(1,1),(1,1),</v>
      </c>
      <c r="N225" s="1" t="str">
        <f t="shared" si="181"/>
        <v>94003,51211,52211,53211,51221,52221,53221,51311,52311,53311,51321,52321,53321,91001,91003,91005,91101,91103,91105,91201,91203,</v>
      </c>
      <c r="P225" s="1">
        <f t="shared" si="175"/>
        <v>1</v>
      </c>
      <c r="Q225" s="1">
        <f t="shared" si="176"/>
        <v>1.5</v>
      </c>
      <c r="R225" s="1">
        <v>1</v>
      </c>
      <c r="S225" s="1">
        <v>2</v>
      </c>
      <c r="T225" s="1" t="str">
        <f t="shared" si="177"/>
        <v>(1,2),</v>
      </c>
      <c r="U225" s="1" t="str">
        <f t="shared" si="178"/>
        <v>(2,3),(2,3),(2,3),(2,3),(2,4),(2,4),(2,4),(2,3),(2,3),(2,3),(2,3),(2,3),(2,3),(1,2),(1,2),(1,2),(1,2),(1,2),(1,2),(1,2),(1,2),</v>
      </c>
    </row>
    <row r="226" spans="2:21" x14ac:dyDescent="0.3">
      <c r="B226" s="260" t="s">
        <v>433</v>
      </c>
      <c r="C226" s="260">
        <v>91205</v>
      </c>
      <c r="D226" s="260">
        <v>108</v>
      </c>
      <c r="E226" s="260">
        <v>1</v>
      </c>
      <c r="F226" s="260">
        <v>1</v>
      </c>
      <c r="G226" s="260">
        <v>2</v>
      </c>
      <c r="H226" s="110">
        <f t="shared" si="171"/>
        <v>1.87532557735718E-2</v>
      </c>
      <c r="I226" s="1" t="str">
        <f t="shared" si="172"/>
        <v>108,</v>
      </c>
      <c r="J226" s="1" t="str">
        <f t="shared" si="173"/>
        <v>(1,1),</v>
      </c>
      <c r="K226" s="1" t="str">
        <f t="shared" si="174"/>
        <v>91205,</v>
      </c>
      <c r="L226" s="1" t="str">
        <f t="shared" si="179"/>
        <v>145,172,172,172,138,138,138,200,200,200,200,200,200,108,108,108,108,108,108,108,108,108,</v>
      </c>
      <c r="M226" s="1" t="str">
        <f t="shared" si="180"/>
        <v>(1,2),(1,2),(1,2),(1,2),(1,3),(1,3),(1,3),(1,2),(1,2),(1,2),(1,2),(1,2),(1,2),(1,1),(1,1),(1,1),(1,1),(1,1),(1,1),(1,1),(1,1),(1,1),</v>
      </c>
      <c r="N226" s="1" t="str">
        <f t="shared" si="181"/>
        <v>94003,51211,52211,53211,51221,52221,53221,51311,52311,53311,51321,52321,53321,91001,91003,91005,91101,91103,91105,91201,91203,91205,</v>
      </c>
      <c r="P226" s="1">
        <f t="shared" si="175"/>
        <v>1</v>
      </c>
      <c r="Q226" s="1">
        <f t="shared" si="176"/>
        <v>1.5</v>
      </c>
      <c r="R226" s="1">
        <v>1</v>
      </c>
      <c r="S226" s="1">
        <v>2</v>
      </c>
      <c r="T226" s="1" t="str">
        <f t="shared" si="177"/>
        <v>(1,2),</v>
      </c>
      <c r="U226" s="1" t="str">
        <f t="shared" si="178"/>
        <v>(2,3),(2,3),(2,3),(2,3),(2,4),(2,4),(2,4),(2,3),(2,3),(2,3),(2,3),(2,3),(2,3),(1,2),(1,2),(1,2),(1,2),(1,2),(1,2),(1,2),(1,2),(1,2),</v>
      </c>
    </row>
    <row r="227" spans="2:21" x14ac:dyDescent="0.3">
      <c r="B227" s="260" t="s">
        <v>434</v>
      </c>
      <c r="C227" s="260">
        <v>91002</v>
      </c>
      <c r="D227" s="260">
        <v>108</v>
      </c>
      <c r="E227" s="260">
        <v>1</v>
      </c>
      <c r="F227" s="260">
        <v>1</v>
      </c>
      <c r="G227" s="260">
        <v>2</v>
      </c>
      <c r="H227" s="110">
        <f t="shared" si="171"/>
        <v>1.87532557735718E-2</v>
      </c>
      <c r="I227" s="1" t="str">
        <f t="shared" si="172"/>
        <v>108,</v>
      </c>
      <c r="J227" s="1" t="str">
        <f t="shared" si="173"/>
        <v>(1,1),</v>
      </c>
      <c r="K227" s="1" t="str">
        <f t="shared" si="174"/>
        <v>91002,</v>
      </c>
      <c r="L227" s="1" t="str">
        <f t="shared" si="179"/>
        <v>145,172,172,172,138,138,138,200,200,200,200,200,200,108,108,108,108,108,108,108,108,108,108,</v>
      </c>
      <c r="M227" s="1" t="str">
        <f t="shared" si="180"/>
        <v>(1,2),(1,2),(1,2),(1,2),(1,3),(1,3),(1,3),(1,2),(1,2),(1,2),(1,2),(1,2),(1,2),(1,1),(1,1),(1,1),(1,1),(1,1),(1,1),(1,1),(1,1),(1,1),(1,1),</v>
      </c>
      <c r="N227" s="1" t="str">
        <f t="shared" si="181"/>
        <v>94003,51211,52211,53211,51221,52221,53221,51311,52311,53311,51321,52321,53321,91001,91003,91005,91101,91103,91105,91201,91203,91205,91002,</v>
      </c>
      <c r="P227" s="1">
        <f t="shared" si="175"/>
        <v>1</v>
      </c>
      <c r="Q227" s="1">
        <f t="shared" si="176"/>
        <v>1.5</v>
      </c>
      <c r="R227" s="1">
        <v>1</v>
      </c>
      <c r="S227" s="1">
        <v>2</v>
      </c>
      <c r="T227" s="1" t="str">
        <f t="shared" si="177"/>
        <v>(1,2),</v>
      </c>
      <c r="U227" s="1" t="str">
        <f t="shared" si="178"/>
        <v>(2,3),(2,3),(2,3),(2,3),(2,4),(2,4),(2,4),(2,3),(2,3),(2,3),(2,3),(2,3),(2,3),(1,2),(1,2),(1,2),(1,2),(1,2),(1,2),(1,2),(1,2),(1,2),(1,2),</v>
      </c>
    </row>
    <row r="228" spans="2:21" x14ac:dyDescent="0.3">
      <c r="B228" s="260" t="s">
        <v>435</v>
      </c>
      <c r="C228" s="260">
        <v>91004</v>
      </c>
      <c r="D228" s="260">
        <v>108</v>
      </c>
      <c r="E228" s="260">
        <v>1</v>
      </c>
      <c r="F228" s="260">
        <v>1</v>
      </c>
      <c r="G228" s="260">
        <v>2</v>
      </c>
      <c r="H228" s="110">
        <f t="shared" si="171"/>
        <v>1.87532557735718E-2</v>
      </c>
      <c r="I228" s="1" t="str">
        <f t="shared" si="172"/>
        <v>108,</v>
      </c>
      <c r="J228" s="1" t="str">
        <f t="shared" si="173"/>
        <v>(1,1),</v>
      </c>
      <c r="K228" s="1" t="str">
        <f t="shared" si="174"/>
        <v>91004,</v>
      </c>
      <c r="L228" s="1" t="str">
        <f t="shared" si="179"/>
        <v>145,172,172,172,138,138,138,200,200,200,200,200,200,108,108,108,108,108,108,108,108,108,108,108,</v>
      </c>
      <c r="M228" s="1" t="str">
        <f t="shared" si="180"/>
        <v>(1,2),(1,2),(1,2),(1,2),(1,3),(1,3),(1,3),(1,2),(1,2),(1,2),(1,2),(1,2),(1,2),(1,1),(1,1),(1,1),(1,1),(1,1),(1,1),(1,1),(1,1),(1,1),(1,1),(1,1),</v>
      </c>
      <c r="N228" s="1" t="str">
        <f t="shared" si="181"/>
        <v>94003,51211,52211,53211,51221,52221,53221,51311,52311,53311,51321,52321,53321,91001,91003,91005,91101,91103,91105,91201,91203,91205,91002,91004,</v>
      </c>
      <c r="P228" s="1">
        <f t="shared" si="175"/>
        <v>1</v>
      </c>
      <c r="Q228" s="1">
        <f t="shared" si="176"/>
        <v>1.5</v>
      </c>
      <c r="R228" s="1">
        <v>1</v>
      </c>
      <c r="S228" s="1">
        <v>2</v>
      </c>
      <c r="T228" s="1" t="str">
        <f t="shared" si="177"/>
        <v>(1,2),</v>
      </c>
      <c r="U228" s="1" t="str">
        <f t="shared" si="178"/>
        <v>(2,3),(2,3),(2,3),(2,3),(2,4),(2,4),(2,4),(2,3),(2,3),(2,3),(2,3),(2,3),(2,3),(1,2),(1,2),(1,2),(1,2),(1,2),(1,2),(1,2),(1,2),(1,2),(1,2),(1,2),</v>
      </c>
    </row>
    <row r="229" spans="2:21" x14ac:dyDescent="0.3">
      <c r="B229" s="260" t="s">
        <v>436</v>
      </c>
      <c r="C229" s="260">
        <v>91006</v>
      </c>
      <c r="D229" s="260">
        <v>108</v>
      </c>
      <c r="E229" s="260">
        <v>1</v>
      </c>
      <c r="F229" s="260">
        <v>1</v>
      </c>
      <c r="G229" s="260">
        <v>2</v>
      </c>
      <c r="H229" s="110">
        <f t="shared" si="171"/>
        <v>1.87532557735718E-2</v>
      </c>
      <c r="I229" s="1" t="str">
        <f t="shared" si="172"/>
        <v>108,</v>
      </c>
      <c r="J229" s="1" t="str">
        <f t="shared" si="173"/>
        <v>(1,1),</v>
      </c>
      <c r="K229" s="1" t="str">
        <f t="shared" si="174"/>
        <v>91006,</v>
      </c>
      <c r="L229" s="1" t="str">
        <f t="shared" si="179"/>
        <v>145,172,172,172,138,138,138,200,200,200,200,200,200,108,108,108,108,108,108,108,108,108,108,108,108,</v>
      </c>
      <c r="M229" s="1" t="str">
        <f t="shared" si="180"/>
        <v>(1,2),(1,2),(1,2),(1,2),(1,3),(1,3),(1,3),(1,2),(1,2),(1,2),(1,2),(1,2),(1,2),(1,1),(1,1),(1,1),(1,1),(1,1),(1,1),(1,1),(1,1),(1,1),(1,1),(1,1),(1,1),</v>
      </c>
      <c r="N229" s="1" t="str">
        <f t="shared" si="181"/>
        <v>94003,51211,52211,53211,51221,52221,53221,51311,52311,53311,51321,52321,53321,91001,91003,91005,91101,91103,91105,91201,91203,91205,91002,91004,91006,</v>
      </c>
      <c r="P229" s="1">
        <f t="shared" si="175"/>
        <v>1</v>
      </c>
      <c r="Q229" s="1">
        <f t="shared" si="176"/>
        <v>1.5</v>
      </c>
      <c r="R229" s="1">
        <v>1</v>
      </c>
      <c r="S229" s="1">
        <v>2</v>
      </c>
      <c r="T229" s="1" t="str">
        <f t="shared" si="177"/>
        <v>(1,2),</v>
      </c>
      <c r="U229" s="1" t="str">
        <f t="shared" si="178"/>
        <v>(2,3),(2,3),(2,3),(2,3),(2,4),(2,4),(2,4),(2,3),(2,3),(2,3),(2,3),(2,3),(2,3),(1,2),(1,2),(1,2),(1,2),(1,2),(1,2),(1,2),(1,2),(1,2),(1,2),(1,2),(1,2),</v>
      </c>
    </row>
    <row r="230" spans="2:21" x14ac:dyDescent="0.3">
      <c r="B230" s="260" t="s">
        <v>437</v>
      </c>
      <c r="C230" s="260">
        <v>91102</v>
      </c>
      <c r="D230" s="260">
        <v>108</v>
      </c>
      <c r="E230" s="260">
        <v>1</v>
      </c>
      <c r="F230" s="260">
        <v>1</v>
      </c>
      <c r="G230" s="260">
        <v>2</v>
      </c>
      <c r="H230" s="110">
        <f t="shared" si="171"/>
        <v>1.87532557735718E-2</v>
      </c>
      <c r="I230" s="1" t="str">
        <f t="shared" si="172"/>
        <v>108,</v>
      </c>
      <c r="J230" s="1" t="str">
        <f t="shared" si="173"/>
        <v>(1,1),</v>
      </c>
      <c r="K230" s="1" t="str">
        <f t="shared" si="174"/>
        <v>91102,</v>
      </c>
      <c r="L230" s="1" t="str">
        <f t="shared" si="179"/>
        <v>145,172,172,172,138,138,138,200,200,200,200,200,200,108,108,108,108,108,108,108,108,108,108,108,108,108,</v>
      </c>
      <c r="M230" s="1" t="str">
        <f t="shared" si="180"/>
        <v>(1,2),(1,2),(1,2),(1,2),(1,3),(1,3),(1,3),(1,2),(1,2),(1,2),(1,2),(1,2),(1,2),(1,1),(1,1),(1,1),(1,1),(1,1),(1,1),(1,1),(1,1),(1,1),(1,1),(1,1),(1,1),(1,1),</v>
      </c>
      <c r="N230" s="1" t="str">
        <f t="shared" si="181"/>
        <v>94003,51211,52211,53211,51221,52221,53221,51311,52311,53311,51321,52321,53321,91001,91003,91005,91101,91103,91105,91201,91203,91205,91002,91004,91006,91102,</v>
      </c>
      <c r="P230" s="1">
        <f t="shared" si="175"/>
        <v>1</v>
      </c>
      <c r="Q230" s="1">
        <f t="shared" si="176"/>
        <v>1.5</v>
      </c>
      <c r="R230" s="1">
        <v>1</v>
      </c>
      <c r="S230" s="1">
        <v>2</v>
      </c>
      <c r="T230" s="1" t="str">
        <f t="shared" si="177"/>
        <v>(1,2),</v>
      </c>
      <c r="U230" s="1" t="str">
        <f t="shared" si="178"/>
        <v>(2,3),(2,3),(2,3),(2,3),(2,4),(2,4),(2,4),(2,3),(2,3),(2,3),(2,3),(2,3),(2,3),(1,2),(1,2),(1,2),(1,2),(1,2),(1,2),(1,2),(1,2),(1,2),(1,2),(1,2),(1,2),(1,2),</v>
      </c>
    </row>
    <row r="231" spans="2:21" x14ac:dyDescent="0.3">
      <c r="B231" s="260" t="s">
        <v>438</v>
      </c>
      <c r="C231" s="260">
        <v>91104</v>
      </c>
      <c r="D231" s="260">
        <v>108</v>
      </c>
      <c r="E231" s="260">
        <v>1</v>
      </c>
      <c r="F231" s="260">
        <v>1</v>
      </c>
      <c r="G231" s="260">
        <v>2</v>
      </c>
      <c r="H231" s="110">
        <f t="shared" si="171"/>
        <v>1.87532557735718E-2</v>
      </c>
      <c r="I231" s="1" t="str">
        <f t="shared" si="172"/>
        <v>108,</v>
      </c>
      <c r="J231" s="1" t="str">
        <f t="shared" si="173"/>
        <v>(1,1),</v>
      </c>
      <c r="K231" s="1" t="str">
        <f t="shared" si="174"/>
        <v>91104,</v>
      </c>
      <c r="L231" s="1" t="str">
        <f t="shared" si="179"/>
        <v>145,172,172,172,138,138,138,200,200,200,200,200,200,108,108,108,108,108,108,108,108,108,108,108,108,108,108,</v>
      </c>
      <c r="M231" s="1" t="str">
        <f t="shared" si="180"/>
        <v>(1,2),(1,2),(1,2),(1,2),(1,3),(1,3),(1,3),(1,2),(1,2),(1,2),(1,2),(1,2),(1,2),(1,1),(1,1),(1,1),(1,1),(1,1),(1,1),(1,1),(1,1),(1,1),(1,1),(1,1),(1,1),(1,1),(1,1),</v>
      </c>
      <c r="N231" s="1" t="str">
        <f t="shared" si="181"/>
        <v>94003,51211,52211,53211,51221,52221,53221,51311,52311,53311,51321,52321,53321,91001,91003,91005,91101,91103,91105,91201,91203,91205,91002,91004,91006,91102,91104,</v>
      </c>
      <c r="P231" s="1">
        <f t="shared" si="175"/>
        <v>1</v>
      </c>
      <c r="Q231" s="1">
        <f t="shared" si="176"/>
        <v>1.5</v>
      </c>
      <c r="R231" s="1">
        <v>1</v>
      </c>
      <c r="S231" s="1">
        <v>2</v>
      </c>
      <c r="T231" s="1" t="str">
        <f t="shared" si="177"/>
        <v>(1,2),</v>
      </c>
      <c r="U231" s="1" t="str">
        <f t="shared" si="178"/>
        <v>(2,3),(2,3),(2,3),(2,3),(2,4),(2,4),(2,4),(2,3),(2,3),(2,3),(2,3),(2,3),(2,3),(1,2),(1,2),(1,2),(1,2),(1,2),(1,2),(1,2),(1,2),(1,2),(1,2),(1,2),(1,2),(1,2),(1,2),</v>
      </c>
    </row>
    <row r="232" spans="2:21" x14ac:dyDescent="0.3">
      <c r="B232" s="260" t="s">
        <v>439</v>
      </c>
      <c r="C232" s="260">
        <v>91106</v>
      </c>
      <c r="D232" s="260">
        <v>108</v>
      </c>
      <c r="E232" s="260">
        <v>1</v>
      </c>
      <c r="F232" s="260">
        <v>1</v>
      </c>
      <c r="G232" s="260">
        <v>2</v>
      </c>
      <c r="H232" s="110">
        <f t="shared" si="171"/>
        <v>1.87532557735718E-2</v>
      </c>
      <c r="I232" s="1" t="str">
        <f t="shared" si="172"/>
        <v>108,</v>
      </c>
      <c r="J232" s="1" t="str">
        <f t="shared" si="173"/>
        <v>(1,1),</v>
      </c>
      <c r="K232" s="1" t="str">
        <f t="shared" si="174"/>
        <v>91106,</v>
      </c>
      <c r="L232" s="1" t="str">
        <f t="shared" si="179"/>
        <v>145,172,172,172,138,138,138,200,200,200,200,200,200,108,108,108,108,108,108,108,108,108,108,108,108,108,108,108,</v>
      </c>
      <c r="M232" s="1" t="str">
        <f t="shared" si="180"/>
        <v>(1,2),(1,2),(1,2),(1,2),(1,3),(1,3),(1,3),(1,2),(1,2),(1,2),(1,2),(1,2),(1,2),(1,1),(1,1),(1,1),(1,1),(1,1),(1,1),(1,1),(1,1),(1,1),(1,1),(1,1),(1,1),(1,1),(1,1),(1,1),</v>
      </c>
      <c r="N232" s="1" t="str">
        <f t="shared" si="181"/>
        <v>94003,51211,52211,53211,51221,52221,53221,51311,52311,53311,51321,52321,53321,91001,91003,91005,91101,91103,91105,91201,91203,91205,91002,91004,91006,91102,91104,91106,</v>
      </c>
      <c r="P232" s="1">
        <f t="shared" si="175"/>
        <v>1</v>
      </c>
      <c r="Q232" s="1">
        <f t="shared" si="176"/>
        <v>1.5</v>
      </c>
      <c r="R232" s="1">
        <v>1</v>
      </c>
      <c r="S232" s="1">
        <v>2</v>
      </c>
      <c r="T232" s="1" t="str">
        <f t="shared" si="177"/>
        <v>(1,2),</v>
      </c>
      <c r="U232" s="1" t="str">
        <f t="shared" si="178"/>
        <v>(2,3),(2,3),(2,3),(2,3),(2,4),(2,4),(2,4),(2,3),(2,3),(2,3),(2,3),(2,3),(2,3),(1,2),(1,2),(1,2),(1,2),(1,2),(1,2),(1,2),(1,2),(1,2),(1,2),(1,2),(1,2),(1,2),(1,2),(1,2),</v>
      </c>
    </row>
    <row r="233" spans="2:21" x14ac:dyDescent="0.3">
      <c r="B233" s="260" t="s">
        <v>440</v>
      </c>
      <c r="C233" s="260">
        <v>91202</v>
      </c>
      <c r="D233" s="260">
        <v>108</v>
      </c>
      <c r="E233" s="260">
        <v>1</v>
      </c>
      <c r="F233" s="260">
        <v>1</v>
      </c>
      <c r="G233" s="260">
        <v>2</v>
      </c>
      <c r="H233" s="110">
        <f t="shared" si="171"/>
        <v>1.87532557735718E-2</v>
      </c>
      <c r="I233" s="1" t="str">
        <f t="shared" si="172"/>
        <v>108,</v>
      </c>
      <c r="J233" s="1" t="str">
        <f t="shared" si="173"/>
        <v>(1,1),</v>
      </c>
      <c r="K233" s="1" t="str">
        <f t="shared" si="174"/>
        <v>91202,</v>
      </c>
      <c r="L233" s="1" t="str">
        <f t="shared" si="179"/>
        <v>145,172,172,172,138,138,138,200,200,200,200,200,200,108,108,108,108,108,108,108,108,108,108,108,108,108,108,108,108,</v>
      </c>
      <c r="M233" s="1" t="str">
        <f t="shared" si="180"/>
        <v>(1,2),(1,2),(1,2),(1,2),(1,3),(1,3),(1,3),(1,2),(1,2),(1,2),(1,2),(1,2),(1,2),(1,1),(1,1),(1,1),(1,1),(1,1),(1,1),(1,1),(1,1),(1,1),(1,1),(1,1),(1,1),(1,1),(1,1),(1,1),(1,1),</v>
      </c>
      <c r="N233" s="1" t="str">
        <f t="shared" si="181"/>
        <v>94003,51211,52211,53211,51221,52221,53221,51311,52311,53311,51321,52321,53321,91001,91003,91005,91101,91103,91105,91201,91203,91205,91002,91004,91006,91102,91104,91106,91202,</v>
      </c>
      <c r="P233" s="1">
        <f>AVERAGE(E233:F233)</f>
        <v>1</v>
      </c>
      <c r="Q233" s="1">
        <f t="shared" si="176"/>
        <v>1.5</v>
      </c>
      <c r="R233" s="1">
        <v>1</v>
      </c>
      <c r="S233" s="1">
        <v>2</v>
      </c>
      <c r="T233" s="1" t="str">
        <f t="shared" si="177"/>
        <v>(1,2),</v>
      </c>
      <c r="U233" s="1" t="str">
        <f t="shared" si="178"/>
        <v>(2,3),(2,3),(2,3),(2,3),(2,4),(2,4),(2,4),(2,3),(2,3),(2,3),(2,3),(2,3),(2,3),(1,2),(1,2),(1,2),(1,2),(1,2),(1,2),(1,2),(1,2),(1,2),(1,2),(1,2),(1,2),(1,2),(1,2),(1,2),(1,2),</v>
      </c>
    </row>
    <row r="234" spans="2:21" x14ac:dyDescent="0.3">
      <c r="B234" s="260" t="s">
        <v>441</v>
      </c>
      <c r="C234" s="260">
        <v>91204</v>
      </c>
      <c r="D234" s="260">
        <v>108</v>
      </c>
      <c r="E234" s="260">
        <v>1</v>
      </c>
      <c r="F234" s="260">
        <v>1</v>
      </c>
      <c r="G234" s="260">
        <v>2</v>
      </c>
      <c r="H234" s="110">
        <f t="shared" si="171"/>
        <v>1.87532557735718E-2</v>
      </c>
      <c r="I234" s="1" t="str">
        <f t="shared" si="172"/>
        <v>108,</v>
      </c>
      <c r="J234" s="1" t="str">
        <f t="shared" si="173"/>
        <v>(1,1),</v>
      </c>
      <c r="K234" s="1" t="str">
        <f t="shared" si="174"/>
        <v>91204,</v>
      </c>
      <c r="L234" s="1" t="str">
        <f t="shared" si="179"/>
        <v>145,172,172,172,138,138,138,200,200,200,200,200,200,108,108,108,108,108,108,108,108,108,108,108,108,108,108,108,108,108,</v>
      </c>
      <c r="M234" s="1" t="str">
        <f t="shared" si="180"/>
        <v>(1,2),(1,2),(1,2),(1,2),(1,3),(1,3),(1,3),(1,2),(1,2),(1,2),(1,2),(1,2),(1,2),(1,1),(1,1),(1,1),(1,1),(1,1),(1,1),(1,1),(1,1),(1,1),(1,1),(1,1),(1,1),(1,1),(1,1),(1,1),(1,1),(1,1),</v>
      </c>
      <c r="N234" s="1" t="str">
        <f t="shared" si="181"/>
        <v>94003,51211,52211,53211,51221,52221,53221,51311,52311,53311,51321,52321,53321,91001,91003,91005,91101,91103,91105,91201,91203,91205,91002,91004,91006,91102,91104,91106,91202,91204,</v>
      </c>
      <c r="P234" s="1">
        <f t="shared" si="175"/>
        <v>1</v>
      </c>
      <c r="Q234" s="1">
        <f t="shared" si="176"/>
        <v>1.5</v>
      </c>
      <c r="R234" s="1">
        <v>1</v>
      </c>
      <c r="S234" s="1">
        <v>2</v>
      </c>
      <c r="T234" s="1" t="str">
        <f t="shared" si="177"/>
        <v>(1,2),</v>
      </c>
      <c r="U234" s="1" t="str">
        <f t="shared" si="178"/>
        <v>(2,3),(2,3),(2,3),(2,3),(2,4),(2,4),(2,4),(2,3),(2,3),(2,3),(2,3),(2,3),(2,3),(1,2),(1,2),(1,2),(1,2),(1,2),(1,2),(1,2),(1,2),(1,2),(1,2),(1,2),(1,2),(1,2),(1,2),(1,2),(1,2),(1,2),</v>
      </c>
    </row>
    <row r="235" spans="2:21" x14ac:dyDescent="0.3">
      <c r="B235" s="260" t="s">
        <v>442</v>
      </c>
      <c r="C235" s="260">
        <v>91206</v>
      </c>
      <c r="D235" s="260">
        <v>108</v>
      </c>
      <c r="E235" s="260">
        <v>1</v>
      </c>
      <c r="F235" s="260">
        <v>1</v>
      </c>
      <c r="G235" s="260">
        <v>2</v>
      </c>
      <c r="H235" s="110">
        <f t="shared" si="171"/>
        <v>1.87532557735718E-2</v>
      </c>
      <c r="I235" s="1" t="str">
        <f t="shared" si="172"/>
        <v>108,</v>
      </c>
      <c r="J235" s="1" t="str">
        <f t="shared" si="173"/>
        <v>(1,1),</v>
      </c>
      <c r="K235" s="1" t="str">
        <f t="shared" si="174"/>
        <v>91206,</v>
      </c>
      <c r="L235" s="1" t="str">
        <f t="shared" si="179"/>
        <v>145,172,172,172,138,138,138,200,200,200,200,200,200,108,108,108,108,108,108,108,108,108,108,108,108,108,108,108,108,108,108,</v>
      </c>
      <c r="M235" s="1" t="str">
        <f t="shared" si="180"/>
        <v>(1,2),(1,2),(1,2),(1,2),(1,3),(1,3),(1,3),(1,2),(1,2),(1,2),(1,2),(1,2),(1,2),(1,1),(1,1),(1,1),(1,1),(1,1),(1,1),(1,1),(1,1),(1,1),(1,1),(1,1),(1,1),(1,1),(1,1),(1,1),(1,1),(1,1),(1,1),</v>
      </c>
      <c r="N235" s="1" t="str">
        <f t="shared" si="181"/>
        <v>94003,51211,52211,53211,51221,52221,53221,51311,52311,53311,51321,52321,53321,91001,91003,91005,91101,91103,91105,91201,91203,91205,91002,91004,91006,91102,91104,91106,91202,91204,91206,</v>
      </c>
      <c r="P235" s="1">
        <f t="shared" si="175"/>
        <v>1</v>
      </c>
      <c r="Q235" s="1">
        <f t="shared" si="176"/>
        <v>1.5</v>
      </c>
      <c r="R235" s="1">
        <v>1</v>
      </c>
      <c r="S235" s="1">
        <v>2</v>
      </c>
      <c r="T235" s="1" t="str">
        <f t="shared" si="177"/>
        <v>(1,2),</v>
      </c>
      <c r="U235" s="1" t="str">
        <f t="shared" si="178"/>
        <v>(2,3),(2,3),(2,3),(2,3),(2,4),(2,4),(2,4),(2,3),(2,3),(2,3),(2,3),(2,3),(2,3),(1,2),(1,2),(1,2),(1,2),(1,2),(1,2),(1,2),(1,2),(1,2),(1,2),(1,2),(1,2),(1,2),(1,2),(1,2),(1,2),(1,2),(1,2),</v>
      </c>
    </row>
    <row r="236" spans="2:21" x14ac:dyDescent="0.3">
      <c r="B236" s="260" t="s">
        <v>444</v>
      </c>
      <c r="C236" s="260">
        <v>92001</v>
      </c>
      <c r="D236" s="260">
        <v>80</v>
      </c>
      <c r="E236" s="260">
        <v>1</v>
      </c>
      <c r="F236" s="260">
        <v>1</v>
      </c>
      <c r="G236" s="260">
        <v>2</v>
      </c>
      <c r="H236" s="110">
        <f t="shared" si="171"/>
        <v>1.3891300573016149E-2</v>
      </c>
      <c r="I236" s="1" t="str">
        <f t="shared" si="172"/>
        <v>80,</v>
      </c>
      <c r="J236" s="1" t="str">
        <f t="shared" si="173"/>
        <v>(1,1),</v>
      </c>
      <c r="K236" s="1" t="str">
        <f t="shared" si="174"/>
        <v>92001,</v>
      </c>
      <c r="L236" s="1" t="str">
        <f t="shared" si="179"/>
        <v>145,172,172,172,138,138,138,200,200,200,200,200,200,108,108,108,108,108,108,108,108,108,108,108,108,108,108,108,108,108,108,80,</v>
      </c>
      <c r="M236" s="1" t="str">
        <f t="shared" si="180"/>
        <v>(1,2),(1,2),(1,2),(1,2),(1,3),(1,3),(1,3),(1,2),(1,2),(1,2),(1,2),(1,2),(1,2),(1,1),(1,1),(1,1),(1,1),(1,1),(1,1),(1,1),(1,1),(1,1),(1,1),(1,1),(1,1),(1,1),(1,1),(1,1),(1,1),(1,1),(1,1),(1,1),</v>
      </c>
      <c r="N236" s="1" t="str">
        <f t="shared" si="181"/>
        <v>94003,51211,52211,53211,51221,52221,53221,51311,52311,53311,51321,52321,53321,91001,91003,91005,91101,91103,91105,91201,91203,91205,91002,91004,91006,91102,91104,91106,91202,91204,91206,92001,</v>
      </c>
      <c r="P236" s="1">
        <f t="shared" si="175"/>
        <v>1</v>
      </c>
      <c r="Q236" s="1">
        <f t="shared" si="176"/>
        <v>1.5</v>
      </c>
      <c r="R236" s="1">
        <v>1</v>
      </c>
      <c r="S236" s="1">
        <v>2</v>
      </c>
      <c r="T236" s="1" t="str">
        <f t="shared" si="177"/>
        <v>(1,2),</v>
      </c>
      <c r="U236" s="1" t="str">
        <f t="shared" si="178"/>
        <v>(2,3),(2,3),(2,3),(2,3),(2,4),(2,4),(2,4),(2,3),(2,3),(2,3),(2,3),(2,3),(2,3),(1,2),(1,2),(1,2),(1,2),(1,2),(1,2),(1,2),(1,2),(1,2),(1,2),(1,2),(1,2),(1,2),(1,2),(1,2),(1,2),(1,2),(1,2),(1,2),</v>
      </c>
    </row>
    <row r="237" spans="2:21" x14ac:dyDescent="0.3">
      <c r="B237" s="260" t="s">
        <v>445</v>
      </c>
      <c r="C237" s="260">
        <v>92003</v>
      </c>
      <c r="D237" s="260">
        <v>80</v>
      </c>
      <c r="E237" s="260">
        <v>1</v>
      </c>
      <c r="F237" s="260">
        <v>1</v>
      </c>
      <c r="G237" s="260">
        <v>2</v>
      </c>
      <c r="H237" s="110">
        <f t="shared" si="171"/>
        <v>1.3891300573016149E-2</v>
      </c>
      <c r="I237" s="1" t="str">
        <f t="shared" si="172"/>
        <v>80,</v>
      </c>
      <c r="J237" s="1" t="str">
        <f t="shared" si="173"/>
        <v>(1,1),</v>
      </c>
      <c r="K237" s="1" t="str">
        <f t="shared" si="174"/>
        <v>92003,</v>
      </c>
      <c r="L237" s="1" t="str">
        <f t="shared" si="179"/>
        <v>145,172,172,172,138,138,138,200,200,200,200,200,200,108,108,108,108,108,108,108,108,108,108,108,108,108,108,108,108,108,108,80,80,</v>
      </c>
      <c r="M237" s="1" t="str">
        <f t="shared" si="180"/>
        <v>(1,2),(1,2),(1,2),(1,2),(1,3),(1,3),(1,3),(1,2),(1,2),(1,2),(1,2),(1,2),(1,2),(1,1),(1,1),(1,1),(1,1),(1,1),(1,1),(1,1),(1,1),(1,1),(1,1),(1,1),(1,1),(1,1),(1,1),(1,1),(1,1),(1,1),(1,1),(1,1),(1,1),</v>
      </c>
      <c r="N237" s="1" t="str">
        <f t="shared" si="181"/>
        <v>94003,51211,52211,53211,51221,52221,53221,51311,52311,53311,51321,52321,53321,91001,91003,91005,91101,91103,91105,91201,91203,91205,91002,91004,91006,91102,91104,91106,91202,91204,91206,92001,92003,</v>
      </c>
      <c r="P237" s="1">
        <f t="shared" si="175"/>
        <v>1</v>
      </c>
      <c r="Q237" s="1">
        <f t="shared" si="176"/>
        <v>1.5</v>
      </c>
      <c r="R237" s="1">
        <v>1</v>
      </c>
      <c r="S237" s="1">
        <v>2</v>
      </c>
      <c r="T237" s="1" t="str">
        <f t="shared" si="177"/>
        <v>(1,2),</v>
      </c>
      <c r="U237" s="1" t="str">
        <f t="shared" si="178"/>
        <v>(2,3),(2,3),(2,3),(2,3),(2,4),(2,4),(2,4),(2,3),(2,3),(2,3),(2,3),(2,3),(2,3),(1,2),(1,2),(1,2),(1,2),(1,2),(1,2),(1,2),(1,2),(1,2),(1,2),(1,2),(1,2),(1,2),(1,2),(1,2),(1,2),(1,2),(1,2),(1,2),(1,2),</v>
      </c>
    </row>
    <row r="238" spans="2:21" x14ac:dyDescent="0.3">
      <c r="B238" s="260" t="s">
        <v>446</v>
      </c>
      <c r="C238" s="260">
        <v>92005</v>
      </c>
      <c r="D238" s="260">
        <v>80</v>
      </c>
      <c r="E238" s="260">
        <v>1</v>
      </c>
      <c r="F238" s="260">
        <v>1</v>
      </c>
      <c r="G238" s="260">
        <v>2</v>
      </c>
      <c r="H238" s="110">
        <f t="shared" si="171"/>
        <v>1.3891300573016149E-2</v>
      </c>
      <c r="I238" s="1" t="str">
        <f t="shared" si="172"/>
        <v>80,</v>
      </c>
      <c r="J238" s="1" t="str">
        <f t="shared" si="173"/>
        <v>(1,1),</v>
      </c>
      <c r="K238" s="1" t="str">
        <f t="shared" si="174"/>
        <v>92005,</v>
      </c>
      <c r="L238" s="1" t="str">
        <f t="shared" si="179"/>
        <v>145,172,172,172,138,138,138,200,200,200,200,200,200,108,108,108,108,108,108,108,108,108,108,108,108,108,108,108,108,108,108,80,80,80,</v>
      </c>
      <c r="M238" s="1" t="str">
        <f t="shared" si="180"/>
        <v>(1,2),(1,2),(1,2),(1,2),(1,3),(1,3),(1,3),(1,2),(1,2),(1,2),(1,2),(1,2),(1,2),(1,1),(1,1),(1,1),(1,1),(1,1),(1,1),(1,1),(1,1),(1,1),(1,1),(1,1),(1,1),(1,1),(1,1),(1,1),(1,1),(1,1),(1,1),(1,1),(1,1),(1,1),</v>
      </c>
      <c r="N238" s="1" t="str">
        <f t="shared" si="181"/>
        <v>94003,51211,52211,53211,51221,52221,53221,51311,52311,53311,51321,52321,53321,91001,91003,91005,91101,91103,91105,91201,91203,91205,91002,91004,91006,91102,91104,91106,91202,91204,91206,92001,92003,92005,</v>
      </c>
      <c r="P238" s="1">
        <f t="shared" si="175"/>
        <v>1</v>
      </c>
      <c r="Q238" s="1">
        <f t="shared" si="176"/>
        <v>1.5</v>
      </c>
      <c r="R238" s="1">
        <v>1</v>
      </c>
      <c r="S238" s="1">
        <v>2</v>
      </c>
      <c r="T238" s="1" t="str">
        <f t="shared" si="177"/>
        <v>(1,2),</v>
      </c>
      <c r="U238" s="1" t="str">
        <f t="shared" si="178"/>
        <v>(2,3),(2,3),(2,3),(2,3),(2,4),(2,4),(2,4),(2,3),(2,3),(2,3),(2,3),(2,3),(2,3),(1,2),(1,2),(1,2),(1,2),(1,2),(1,2),(1,2),(1,2),(1,2),(1,2),(1,2),(1,2),(1,2),(1,2),(1,2),(1,2),(1,2),(1,2),(1,2),(1,2),(1,2),</v>
      </c>
    </row>
    <row r="239" spans="2:21" x14ac:dyDescent="0.3">
      <c r="B239" s="260" t="s">
        <v>447</v>
      </c>
      <c r="C239" s="260">
        <v>92101</v>
      </c>
      <c r="D239" s="260">
        <v>80</v>
      </c>
      <c r="E239" s="260">
        <v>1</v>
      </c>
      <c r="F239" s="260">
        <v>1</v>
      </c>
      <c r="G239" s="260">
        <v>2</v>
      </c>
      <c r="H239" s="110">
        <f t="shared" si="171"/>
        <v>1.3891300573016149E-2</v>
      </c>
      <c r="I239" s="1" t="str">
        <f t="shared" si="172"/>
        <v>80,</v>
      </c>
      <c r="J239" s="1" t="str">
        <f t="shared" si="173"/>
        <v>(1,1),</v>
      </c>
      <c r="K239" s="1" t="str">
        <f t="shared" si="174"/>
        <v>92101,</v>
      </c>
      <c r="L239" s="1" t="str">
        <f t="shared" si="179"/>
        <v>145,172,172,172,138,138,138,200,200,200,200,200,200,108,108,108,108,108,108,108,108,108,108,108,108,108,108,108,108,108,108,80,80,80,80,</v>
      </c>
      <c r="M239" s="1" t="str">
        <f t="shared" si="180"/>
        <v>(1,2),(1,2),(1,2),(1,2),(1,3),(1,3),(1,3),(1,2),(1,2),(1,2),(1,2),(1,2),(1,2),(1,1),(1,1),(1,1),(1,1),(1,1),(1,1),(1,1),(1,1),(1,1),(1,1),(1,1),(1,1),(1,1),(1,1),(1,1),(1,1),(1,1),(1,1),(1,1),(1,1),(1,1),(1,1),</v>
      </c>
      <c r="N239" s="1" t="str">
        <f t="shared" si="181"/>
        <v>94003,51211,52211,53211,51221,52221,53221,51311,52311,53311,51321,52321,53321,91001,91003,91005,91101,91103,91105,91201,91203,91205,91002,91004,91006,91102,91104,91106,91202,91204,91206,92001,92003,92005,92101,</v>
      </c>
      <c r="P239" s="1">
        <f t="shared" si="175"/>
        <v>1</v>
      </c>
      <c r="Q239" s="1">
        <f t="shared" si="176"/>
        <v>1.5</v>
      </c>
      <c r="R239" s="1">
        <v>1</v>
      </c>
      <c r="S239" s="1">
        <v>2</v>
      </c>
      <c r="T239" s="1" t="str">
        <f t="shared" si="177"/>
        <v>(1,2),</v>
      </c>
      <c r="U239" s="1" t="str">
        <f t="shared" si="178"/>
        <v>(2,3),(2,3),(2,3),(2,3),(2,4),(2,4),(2,4),(2,3),(2,3),(2,3),(2,3),(2,3),(2,3),(1,2),(1,2),(1,2),(1,2),(1,2),(1,2),(1,2),(1,2),(1,2),(1,2),(1,2),(1,2),(1,2),(1,2),(1,2),(1,2),(1,2),(1,2),(1,2),(1,2),(1,2),(1,2),</v>
      </c>
    </row>
    <row r="240" spans="2:21" x14ac:dyDescent="0.3">
      <c r="B240" s="260" t="s">
        <v>448</v>
      </c>
      <c r="C240" s="260">
        <v>92103</v>
      </c>
      <c r="D240" s="260">
        <v>80</v>
      </c>
      <c r="E240" s="260">
        <v>1</v>
      </c>
      <c r="F240" s="260">
        <v>1</v>
      </c>
      <c r="G240" s="260">
        <v>2</v>
      </c>
      <c r="H240" s="110">
        <f t="shared" si="171"/>
        <v>1.3891300573016149E-2</v>
      </c>
      <c r="I240" s="1" t="str">
        <f t="shared" si="172"/>
        <v>80,</v>
      </c>
      <c r="J240" s="1" t="str">
        <f t="shared" si="173"/>
        <v>(1,1),</v>
      </c>
      <c r="K240" s="1" t="str">
        <f t="shared" si="174"/>
        <v>92103,</v>
      </c>
      <c r="L240" s="1" t="str">
        <f t="shared" si="179"/>
        <v>145,172,172,172,138,138,138,200,200,200,200,200,200,108,108,108,108,108,108,108,108,108,108,108,108,108,108,108,108,108,108,80,80,80,80,80,</v>
      </c>
      <c r="M240" s="1" t="str">
        <f t="shared" si="180"/>
        <v>(1,2),(1,2),(1,2),(1,2),(1,3),(1,3),(1,3),(1,2),(1,2),(1,2),(1,2),(1,2),(1,2),(1,1),(1,1),(1,1),(1,1),(1,1),(1,1),(1,1),(1,1),(1,1),(1,1),(1,1),(1,1),(1,1),(1,1),(1,1),(1,1),(1,1),(1,1),(1,1),(1,1),(1,1),(1,1),(1,1),</v>
      </c>
      <c r="N240" s="1" t="str">
        <f t="shared" si="181"/>
        <v>94003,51211,52211,53211,51221,52221,53221,51311,52311,53311,51321,52321,53321,91001,91003,91005,91101,91103,91105,91201,91203,91205,91002,91004,91006,91102,91104,91106,91202,91204,91206,92001,92003,92005,92101,92103,</v>
      </c>
      <c r="P240" s="1">
        <f t="shared" si="175"/>
        <v>1</v>
      </c>
      <c r="Q240" s="1">
        <f t="shared" si="176"/>
        <v>1.5</v>
      </c>
      <c r="R240" s="1">
        <v>1</v>
      </c>
      <c r="S240" s="1">
        <v>2</v>
      </c>
      <c r="T240" s="1" t="str">
        <f t="shared" si="177"/>
        <v>(1,2),</v>
      </c>
      <c r="U240" s="1" t="str">
        <f t="shared" si="178"/>
        <v>(2,3),(2,3),(2,3),(2,3),(2,4),(2,4),(2,4),(2,3),(2,3),(2,3),(2,3),(2,3),(2,3),(1,2),(1,2),(1,2),(1,2),(1,2),(1,2),(1,2),(1,2),(1,2),(1,2),(1,2),(1,2),(1,2),(1,2),(1,2),(1,2),(1,2),(1,2),(1,2),(1,2),(1,2),(1,2),(1,2),</v>
      </c>
    </row>
    <row r="241" spans="2:21" x14ac:dyDescent="0.3">
      <c r="B241" s="260" t="s">
        <v>449</v>
      </c>
      <c r="C241" s="260">
        <v>92105</v>
      </c>
      <c r="D241" s="260">
        <v>80</v>
      </c>
      <c r="E241" s="260">
        <v>1</v>
      </c>
      <c r="F241" s="260">
        <v>1</v>
      </c>
      <c r="G241" s="260">
        <v>2</v>
      </c>
      <c r="H241" s="110">
        <f t="shared" si="171"/>
        <v>1.3891300573016149E-2</v>
      </c>
      <c r="I241" s="1" t="str">
        <f t="shared" si="172"/>
        <v>80,</v>
      </c>
      <c r="J241" s="1" t="str">
        <f t="shared" si="173"/>
        <v>(1,1),</v>
      </c>
      <c r="K241" s="1" t="str">
        <f t="shared" si="174"/>
        <v>92105,</v>
      </c>
      <c r="L241" s="1" t="str">
        <f t="shared" si="179"/>
        <v>145,172,172,172,138,138,138,200,200,200,200,200,200,108,108,108,108,108,108,108,108,108,108,108,108,108,108,108,108,108,108,80,80,80,80,80,80,</v>
      </c>
      <c r="M241" s="1" t="str">
        <f t="shared" si="180"/>
        <v>(1,2),(1,2),(1,2),(1,2),(1,3),(1,3),(1,3),(1,2),(1,2),(1,2),(1,2),(1,2),(1,2),(1,1),(1,1),(1,1),(1,1),(1,1),(1,1),(1,1),(1,1),(1,1),(1,1),(1,1),(1,1),(1,1),(1,1),(1,1),(1,1),(1,1),(1,1),(1,1),(1,1),(1,1),(1,1),(1,1),(1,1),</v>
      </c>
      <c r="N241" s="1" t="str">
        <f t="shared" si="181"/>
        <v>94003,51211,52211,53211,51221,52221,53221,51311,52311,53311,51321,52321,53321,91001,91003,91005,91101,91103,91105,91201,91203,91205,91002,91004,91006,91102,91104,91106,91202,91204,91206,92001,92003,92005,92101,92103,92105,</v>
      </c>
      <c r="P241" s="1">
        <f t="shared" si="175"/>
        <v>1</v>
      </c>
      <c r="Q241" s="1">
        <f t="shared" si="176"/>
        <v>1.5</v>
      </c>
      <c r="R241" s="1">
        <v>1</v>
      </c>
      <c r="S241" s="1">
        <v>2</v>
      </c>
      <c r="T241" s="1" t="str">
        <f t="shared" si="177"/>
        <v>(1,2),</v>
      </c>
      <c r="U241" s="1" t="str">
        <f t="shared" si="178"/>
        <v>(2,3),(2,3),(2,3),(2,3),(2,4),(2,4),(2,4),(2,3),(2,3),(2,3),(2,3),(2,3),(2,3),(1,2),(1,2),(1,2),(1,2),(1,2),(1,2),(1,2),(1,2),(1,2),(1,2),(1,2),(1,2),(1,2),(1,2),(1,2),(1,2),(1,2),(1,2),(1,2),(1,2),(1,2),(1,2),(1,2),(1,2),</v>
      </c>
    </row>
    <row r="242" spans="2:21" x14ac:dyDescent="0.3">
      <c r="B242" s="260" t="s">
        <v>450</v>
      </c>
      <c r="C242" s="260">
        <v>92201</v>
      </c>
      <c r="D242" s="260">
        <v>80</v>
      </c>
      <c r="E242" s="260">
        <v>1</v>
      </c>
      <c r="F242" s="260">
        <v>1</v>
      </c>
      <c r="G242" s="260">
        <v>2</v>
      </c>
      <c r="H242" s="110">
        <f t="shared" si="171"/>
        <v>1.3891300573016149E-2</v>
      </c>
      <c r="I242" s="1" t="str">
        <f t="shared" si="172"/>
        <v>80,</v>
      </c>
      <c r="J242" s="1" t="str">
        <f t="shared" si="173"/>
        <v>(1,1),</v>
      </c>
      <c r="K242" s="1" t="str">
        <f t="shared" si="174"/>
        <v>92201,</v>
      </c>
      <c r="L242" s="1" t="str">
        <f t="shared" si="179"/>
        <v>145,172,172,172,138,138,138,200,200,200,200,200,200,108,108,108,108,108,108,108,108,108,108,108,108,108,108,108,108,108,108,80,80,80,80,80,80,80,</v>
      </c>
      <c r="M242" s="1" t="str">
        <f t="shared" si="180"/>
        <v>(1,2),(1,2),(1,2),(1,2),(1,3),(1,3),(1,3),(1,2),(1,2),(1,2),(1,2),(1,2),(1,2),(1,1),(1,1),(1,1),(1,1),(1,1),(1,1),(1,1),(1,1),(1,1),(1,1),(1,1),(1,1),(1,1),(1,1),(1,1),(1,1),(1,1),(1,1),(1,1),(1,1),(1,1),(1,1),(1,1),(1,1),(1,1),</v>
      </c>
      <c r="N242" s="1" t="str">
        <f t="shared" si="181"/>
        <v>94003,51211,52211,53211,51221,52221,53221,51311,52311,53311,51321,52321,53321,91001,91003,91005,91101,91103,91105,91201,91203,91205,91002,91004,91006,91102,91104,91106,91202,91204,91206,92001,92003,92005,92101,92103,92105,92201,</v>
      </c>
      <c r="P242" s="1">
        <f t="shared" si="175"/>
        <v>1</v>
      </c>
      <c r="Q242" s="1">
        <f t="shared" si="176"/>
        <v>1.5</v>
      </c>
      <c r="R242" s="1">
        <v>1</v>
      </c>
      <c r="S242" s="1">
        <v>2</v>
      </c>
      <c r="T242" s="1" t="str">
        <f t="shared" si="177"/>
        <v>(1,2),</v>
      </c>
      <c r="U242" s="1" t="str">
        <f t="shared" si="178"/>
        <v>(2,3),(2,3),(2,3),(2,3),(2,4),(2,4),(2,4),(2,3),(2,3),(2,3),(2,3),(2,3),(2,3),(1,2),(1,2),(1,2),(1,2),(1,2),(1,2),(1,2),(1,2),(1,2),(1,2),(1,2),(1,2),(1,2),(1,2),(1,2),(1,2),(1,2),(1,2),(1,2),(1,2),(1,2),(1,2),(1,2),(1,2),(1,2),</v>
      </c>
    </row>
    <row r="243" spans="2:21" x14ac:dyDescent="0.3">
      <c r="B243" s="260" t="s">
        <v>451</v>
      </c>
      <c r="C243" s="260">
        <v>92203</v>
      </c>
      <c r="D243" s="260">
        <v>90</v>
      </c>
      <c r="E243" s="260">
        <v>1</v>
      </c>
      <c r="F243" s="260">
        <v>1</v>
      </c>
      <c r="G243" s="260">
        <v>2</v>
      </c>
      <c r="H243" s="110">
        <f t="shared" si="171"/>
        <v>1.5627713144643167E-2</v>
      </c>
      <c r="I243" s="1" t="str">
        <f t="shared" si="172"/>
        <v>90,</v>
      </c>
      <c r="J243" s="1" t="str">
        <f t="shared" si="173"/>
        <v>(1,1),</v>
      </c>
      <c r="K243" s="1" t="str">
        <f t="shared" si="174"/>
        <v>92203,</v>
      </c>
      <c r="L243" s="1" t="str">
        <f t="shared" si="179"/>
        <v>145,172,172,172,138,138,138,200,200,200,200,200,200,108,108,108,108,108,108,108,108,108,108,108,108,108,108,108,108,108,108,80,80,80,80,80,80,80,90,</v>
      </c>
      <c r="M243" s="1" t="str">
        <f t="shared" si="180"/>
        <v>(1,2),(1,2),(1,2),(1,2),(1,3),(1,3),(1,3),(1,2),(1,2),(1,2),(1,2),(1,2),(1,2),(1,1),(1,1),(1,1),(1,1),(1,1),(1,1),(1,1),(1,1),(1,1),(1,1),(1,1),(1,1),(1,1),(1,1),(1,1),(1,1),(1,1),(1,1),(1,1),(1,1),(1,1),(1,1),(1,1),(1,1),(1,1),(1,1),</v>
      </c>
      <c r="N243" s="1" t="str">
        <f t="shared" si="181"/>
        <v>94003,51211,52211,53211,51221,52221,53221,51311,52311,53311,51321,52321,53321,91001,91003,91005,91101,91103,91105,91201,91203,91205,91002,91004,91006,91102,91104,91106,91202,91204,91206,92001,92003,92005,92101,92103,92105,92201,92203,</v>
      </c>
      <c r="P243" s="1">
        <f t="shared" si="175"/>
        <v>1</v>
      </c>
      <c r="Q243" s="1">
        <f t="shared" si="176"/>
        <v>1.5</v>
      </c>
      <c r="R243" s="1">
        <v>1</v>
      </c>
      <c r="S243" s="1">
        <v>2</v>
      </c>
      <c r="T243" s="1" t="str">
        <f t="shared" si="177"/>
        <v>(1,2),</v>
      </c>
      <c r="U243" s="1" t="str">
        <f t="shared" si="178"/>
        <v>(2,3),(2,3),(2,3),(2,3),(2,4),(2,4),(2,4),(2,3),(2,3),(2,3),(2,3),(2,3),(2,3),(1,2),(1,2),(1,2),(1,2),(1,2),(1,2),(1,2),(1,2),(1,2),(1,2),(1,2),(1,2),(1,2),(1,2),(1,2),(1,2),(1,2),(1,2),(1,2),(1,2),(1,2),(1,2),(1,2),(1,2),(1,2),(1,2),</v>
      </c>
    </row>
    <row r="244" spans="2:21" x14ac:dyDescent="0.3">
      <c r="B244" s="260" t="s">
        <v>452</v>
      </c>
      <c r="C244" s="260">
        <v>92205</v>
      </c>
      <c r="D244" s="260">
        <v>90</v>
      </c>
      <c r="E244" s="260">
        <v>1</v>
      </c>
      <c r="F244" s="260">
        <v>1</v>
      </c>
      <c r="G244" s="260">
        <v>2</v>
      </c>
      <c r="H244" s="110">
        <f t="shared" si="171"/>
        <v>1.5627713144643167E-2</v>
      </c>
      <c r="I244" s="1" t="str">
        <f t="shared" si="172"/>
        <v>90,</v>
      </c>
      <c r="J244" s="1" t="str">
        <f t="shared" si="173"/>
        <v>(1,1),</v>
      </c>
      <c r="K244" s="1" t="str">
        <f t="shared" si="174"/>
        <v>92205,</v>
      </c>
      <c r="L244" s="1" t="str">
        <f t="shared" si="179"/>
        <v>145,172,172,172,138,138,138,200,200,200,200,200,200,108,108,108,108,108,108,108,108,108,108,108,108,108,108,108,108,108,108,80,80,80,80,80,80,80,90,90,</v>
      </c>
      <c r="M244" s="1" t="str">
        <f t="shared" si="180"/>
        <v>(1,2),(1,2),(1,2),(1,2),(1,3),(1,3),(1,3),(1,2),(1,2),(1,2),(1,2),(1,2),(1,2),(1,1),(1,1),(1,1),(1,1),(1,1),(1,1),(1,1),(1,1),(1,1),(1,1),(1,1),(1,1),(1,1),(1,1),(1,1),(1,1),(1,1),(1,1),(1,1),(1,1),(1,1),(1,1),(1,1),(1,1),(1,1),(1,1),(1,1),</v>
      </c>
      <c r="N244" s="1" t="str">
        <f t="shared" si="181"/>
        <v>94003,51211,52211,53211,51221,52221,53221,51311,52311,53311,51321,52321,53321,91001,91003,91005,91101,91103,91105,91201,91203,91205,91002,91004,91006,91102,91104,91106,91202,91204,91206,92001,92003,92005,92101,92103,92105,92201,92203,92205,</v>
      </c>
      <c r="P244" s="1">
        <f t="shared" si="175"/>
        <v>1</v>
      </c>
      <c r="Q244" s="1">
        <f t="shared" si="176"/>
        <v>1.5</v>
      </c>
      <c r="R244" s="1">
        <v>1</v>
      </c>
      <c r="S244" s="1">
        <v>2</v>
      </c>
      <c r="T244" s="1" t="str">
        <f t="shared" si="177"/>
        <v>(1,2),</v>
      </c>
      <c r="U244" s="1" t="str">
        <f t="shared" si="178"/>
        <v>(2,3),(2,3),(2,3),(2,3),(2,4),(2,4),(2,4),(2,3),(2,3),(2,3),(2,3),(2,3),(2,3),(1,2),(1,2),(1,2),(1,2),(1,2),(1,2),(1,2),(1,2),(1,2),(1,2),(1,2),(1,2),(1,2),(1,2),(1,2),(1,2),(1,2),(1,2),(1,2),(1,2),(1,2),(1,2),(1,2),(1,2),(1,2),(1,2),(1,2),</v>
      </c>
    </row>
    <row r="245" spans="2:21" x14ac:dyDescent="0.3">
      <c r="B245" s="260" t="s">
        <v>453</v>
      </c>
      <c r="C245" s="260">
        <v>92002</v>
      </c>
      <c r="D245" s="260">
        <v>90</v>
      </c>
      <c r="E245" s="260">
        <v>1</v>
      </c>
      <c r="F245" s="260">
        <v>1</v>
      </c>
      <c r="G245" s="260">
        <v>2</v>
      </c>
      <c r="H245" s="110">
        <f t="shared" si="171"/>
        <v>1.5627713144643167E-2</v>
      </c>
      <c r="I245" s="1" t="str">
        <f t="shared" si="172"/>
        <v>90,</v>
      </c>
      <c r="J245" s="1" t="str">
        <f t="shared" si="173"/>
        <v>(1,1),</v>
      </c>
      <c r="K245" s="1" t="str">
        <f t="shared" si="174"/>
        <v>92002,</v>
      </c>
      <c r="L245" s="1" t="str">
        <f t="shared" si="179"/>
        <v>145,172,172,172,138,138,138,200,200,200,200,200,200,108,108,108,108,108,108,108,108,108,108,108,108,108,108,108,108,108,108,80,80,80,80,80,80,80,90,90,90,</v>
      </c>
      <c r="M245" s="1" t="str">
        <f t="shared" si="180"/>
        <v>(1,2),(1,2),(1,2),(1,2),(1,3),(1,3),(1,3),(1,2),(1,2),(1,2),(1,2),(1,2),(1,2),(1,1),(1,1),(1,1),(1,1),(1,1),(1,1),(1,1),(1,1),(1,1),(1,1),(1,1),(1,1),(1,1),(1,1),(1,1),(1,1),(1,1),(1,1),(1,1),(1,1),(1,1),(1,1),(1,1),(1,1),(1,1),(1,1),(1,1),(1,1),</v>
      </c>
      <c r="N245" s="1" t="str">
        <f t="shared" si="181"/>
        <v>94003,51211,52211,53211,51221,52221,53221,51311,52311,53311,51321,52321,53321,91001,91003,91005,91101,91103,91105,91201,91203,91205,91002,91004,91006,91102,91104,91106,91202,91204,91206,92001,92003,92005,92101,92103,92105,92201,92203,92205,92002,</v>
      </c>
      <c r="P245" s="1">
        <f t="shared" si="175"/>
        <v>1</v>
      </c>
      <c r="Q245" s="1">
        <f t="shared" si="176"/>
        <v>1.5</v>
      </c>
      <c r="R245" s="1">
        <v>1</v>
      </c>
      <c r="S245" s="1">
        <v>2</v>
      </c>
      <c r="T245" s="1" t="str">
        <f t="shared" si="177"/>
        <v>(1,2),</v>
      </c>
      <c r="U245" s="1" t="str">
        <f t="shared" si="178"/>
        <v>(2,3),(2,3),(2,3),(2,3),(2,4),(2,4),(2,4),(2,3),(2,3),(2,3),(2,3),(2,3),(2,3),(1,2),(1,2),(1,2),(1,2),(1,2),(1,2),(1,2),(1,2),(1,2),(1,2),(1,2),(1,2),(1,2),(1,2),(1,2),(1,2),(1,2),(1,2),(1,2),(1,2),(1,2),(1,2),(1,2),(1,2),(1,2),(1,2),(1,2),(1,2),</v>
      </c>
    </row>
    <row r="246" spans="2:21" x14ac:dyDescent="0.3">
      <c r="B246" s="260" t="s">
        <v>454</v>
      </c>
      <c r="C246" s="260">
        <v>92004</v>
      </c>
      <c r="D246" s="260">
        <v>90</v>
      </c>
      <c r="E246" s="260">
        <v>1</v>
      </c>
      <c r="F246" s="260">
        <v>1</v>
      </c>
      <c r="G246" s="260">
        <v>2</v>
      </c>
      <c r="H246" s="110">
        <f t="shared" si="171"/>
        <v>1.5627713144643167E-2</v>
      </c>
      <c r="I246" s="1" t="str">
        <f t="shared" si="172"/>
        <v>90,</v>
      </c>
      <c r="J246" s="1" t="str">
        <f t="shared" si="173"/>
        <v>(1,1),</v>
      </c>
      <c r="K246" s="1" t="str">
        <f t="shared" si="174"/>
        <v>92004,</v>
      </c>
      <c r="L246" s="1" t="str">
        <f t="shared" si="179"/>
        <v>145,172,172,172,138,138,138,200,200,200,200,200,200,108,108,108,108,108,108,108,108,108,108,108,108,108,108,108,108,108,108,80,80,80,80,80,80,80,90,90,90,90,</v>
      </c>
      <c r="M246" s="1" t="str">
        <f t="shared" si="180"/>
        <v>(1,2),(1,2),(1,2),(1,2),(1,3),(1,3),(1,3),(1,2),(1,2),(1,2),(1,2),(1,2),(1,2),(1,1),(1,1),(1,1),(1,1),(1,1),(1,1),(1,1),(1,1),(1,1),(1,1),(1,1),(1,1),(1,1),(1,1),(1,1),(1,1),(1,1),(1,1),(1,1),(1,1),(1,1),(1,1),(1,1),(1,1),(1,1),(1,1),(1,1),(1,1),(1,1),</v>
      </c>
      <c r="N246" s="1" t="str">
        <f t="shared" si="181"/>
        <v>94003,51211,52211,53211,51221,52221,53221,51311,52311,53311,51321,52321,53321,91001,91003,91005,91101,91103,91105,91201,91203,91205,91002,91004,91006,91102,91104,91106,91202,91204,91206,92001,92003,92005,92101,92103,92105,92201,92203,92205,92002,92004,</v>
      </c>
      <c r="P246" s="1">
        <f t="shared" si="175"/>
        <v>1</v>
      </c>
      <c r="Q246" s="1">
        <f t="shared" si="176"/>
        <v>1.5</v>
      </c>
      <c r="R246" s="1">
        <v>1</v>
      </c>
      <c r="S246" s="1">
        <v>2</v>
      </c>
      <c r="T246" s="1" t="str">
        <f t="shared" si="177"/>
        <v>(1,2),</v>
      </c>
      <c r="U246" s="1" t="str">
        <f t="shared" si="178"/>
        <v>(2,3),(2,3),(2,3),(2,3),(2,4),(2,4),(2,4),(2,3),(2,3),(2,3),(2,3),(2,3),(2,3),(1,2),(1,2),(1,2),(1,2),(1,2),(1,2),(1,2),(1,2),(1,2),(1,2),(1,2),(1,2),(1,2),(1,2),(1,2),(1,2),(1,2),(1,2),(1,2),(1,2),(1,2),(1,2),(1,2),(1,2),(1,2),(1,2),(1,2),(1,2),(1,2),</v>
      </c>
    </row>
    <row r="247" spans="2:21" x14ac:dyDescent="0.3">
      <c r="B247" s="260" t="s">
        <v>455</v>
      </c>
      <c r="C247" s="260">
        <v>92006</v>
      </c>
      <c r="D247" s="260">
        <v>90</v>
      </c>
      <c r="E247" s="260">
        <v>1</v>
      </c>
      <c r="F247" s="260">
        <v>1</v>
      </c>
      <c r="G247" s="260">
        <v>2</v>
      </c>
      <c r="H247" s="110">
        <f t="shared" si="171"/>
        <v>1.5627713144643167E-2</v>
      </c>
      <c r="I247" s="1" t="str">
        <f t="shared" si="172"/>
        <v>90,</v>
      </c>
      <c r="J247" s="1" t="str">
        <f t="shared" si="173"/>
        <v>(1,1),</v>
      </c>
      <c r="K247" s="1" t="str">
        <f t="shared" si="174"/>
        <v>92006,</v>
      </c>
      <c r="L247" s="1" t="str">
        <f t="shared" si="179"/>
        <v>145,172,172,172,138,138,138,200,200,200,200,200,200,108,108,108,108,108,108,108,108,108,108,108,108,108,108,108,108,108,108,80,80,80,80,80,80,80,90,90,90,90,90,</v>
      </c>
      <c r="M247" s="1" t="str">
        <f t="shared" si="180"/>
        <v>(1,2),(1,2),(1,2),(1,2),(1,3),(1,3),(1,3),(1,2),(1,2),(1,2),(1,2),(1,2),(1,2),(1,1),(1,1),(1,1),(1,1),(1,1),(1,1),(1,1),(1,1),(1,1),(1,1),(1,1),(1,1),(1,1),(1,1),(1,1),(1,1),(1,1),(1,1),(1,1),(1,1),(1,1),(1,1),(1,1),(1,1),(1,1),(1,1),(1,1),(1,1),(1,1),(1,1),</v>
      </c>
      <c r="N247" s="1" t="str">
        <f t="shared" si="181"/>
        <v>94003,51211,52211,53211,51221,52221,53221,51311,52311,53311,51321,52321,53321,91001,91003,91005,91101,91103,91105,91201,91203,91205,91002,91004,91006,91102,91104,91106,91202,91204,91206,92001,92003,92005,92101,92103,92105,92201,92203,92205,92002,92004,92006,</v>
      </c>
      <c r="P247" s="1">
        <f t="shared" si="175"/>
        <v>1</v>
      </c>
      <c r="Q247" s="1">
        <f t="shared" si="176"/>
        <v>1.5</v>
      </c>
      <c r="R247" s="1">
        <v>1</v>
      </c>
      <c r="S247" s="1">
        <v>2</v>
      </c>
      <c r="T247" s="1" t="str">
        <f t="shared" si="177"/>
        <v>(1,2),</v>
      </c>
      <c r="U247" s="1" t="str">
        <f t="shared" si="178"/>
        <v>(2,3),(2,3),(2,3),(2,3),(2,4),(2,4),(2,4),(2,3),(2,3),(2,3),(2,3),(2,3),(2,3),(1,2),(1,2),(1,2),(1,2),(1,2),(1,2),(1,2),(1,2),(1,2),(1,2),(1,2),(1,2),(1,2),(1,2),(1,2),(1,2),(1,2),(1,2),(1,2),(1,2),(1,2),(1,2),(1,2),(1,2),(1,2),(1,2),(1,2),(1,2),(1,2),(1,2),</v>
      </c>
    </row>
    <row r="248" spans="2:21" x14ac:dyDescent="0.3">
      <c r="B248" s="260" t="s">
        <v>456</v>
      </c>
      <c r="C248" s="260">
        <v>92102</v>
      </c>
      <c r="D248" s="260">
        <v>90</v>
      </c>
      <c r="E248" s="260">
        <v>1</v>
      </c>
      <c r="F248" s="260">
        <v>1</v>
      </c>
      <c r="G248" s="260">
        <v>2</v>
      </c>
      <c r="H248" s="110">
        <f t="shared" si="171"/>
        <v>1.5627713144643167E-2</v>
      </c>
      <c r="I248" s="1" t="str">
        <f t="shared" si="172"/>
        <v>90,</v>
      </c>
      <c r="J248" s="1" t="str">
        <f t="shared" si="173"/>
        <v>(1,1),</v>
      </c>
      <c r="K248" s="1" t="str">
        <f t="shared" si="174"/>
        <v>92102,</v>
      </c>
      <c r="L248" s="1" t="str">
        <f t="shared" si="179"/>
        <v>145,172,172,172,138,138,138,200,200,200,200,200,200,108,108,108,108,108,108,108,108,108,108,108,108,108,108,108,108,108,108,80,80,80,80,80,80,80,90,90,90,90,90,90,</v>
      </c>
      <c r="M248" s="1" t="str">
        <f t="shared" si="180"/>
        <v>(1,2),(1,2),(1,2),(1,2),(1,3),(1,3),(1,3),(1,2),(1,2),(1,2),(1,2),(1,2),(1,2),(1,1),(1,1),(1,1),(1,1),(1,1),(1,1),(1,1),(1,1),(1,1),(1,1),(1,1),(1,1),(1,1),(1,1),(1,1),(1,1),(1,1),(1,1),(1,1),(1,1),(1,1),(1,1),(1,1),(1,1),(1,1),(1,1),(1,1),(1,1),(1,1),(1,1),(1,1),</v>
      </c>
      <c r="N248" s="1" t="str">
        <f t="shared" si="181"/>
        <v>94003,51211,52211,53211,51221,52221,53221,51311,52311,53311,51321,52321,53321,91001,91003,91005,91101,91103,91105,91201,91203,91205,91002,91004,91006,91102,91104,91106,91202,91204,91206,92001,92003,92005,92101,92103,92105,92201,92203,92205,92002,92004,92006,92102,</v>
      </c>
      <c r="P248" s="1">
        <f t="shared" si="175"/>
        <v>1</v>
      </c>
      <c r="Q248" s="1">
        <f t="shared" si="176"/>
        <v>1.5</v>
      </c>
      <c r="R248" s="1">
        <v>1</v>
      </c>
      <c r="S248" s="1">
        <v>2</v>
      </c>
      <c r="T248" s="1" t="str">
        <f t="shared" si="177"/>
        <v>(1,2),</v>
      </c>
      <c r="U248" s="1" t="str">
        <f t="shared" si="178"/>
        <v>(2,3),(2,3),(2,3),(2,3),(2,4),(2,4),(2,4),(2,3),(2,3),(2,3),(2,3),(2,3),(2,3),(1,2),(1,2),(1,2),(1,2),(1,2),(1,2),(1,2),(1,2),(1,2),(1,2),(1,2),(1,2),(1,2),(1,2),(1,2),(1,2),(1,2),(1,2),(1,2),(1,2),(1,2),(1,2),(1,2),(1,2),(1,2),(1,2),(1,2),(1,2),(1,2),(1,2),(1,2),</v>
      </c>
    </row>
    <row r="249" spans="2:21" x14ac:dyDescent="0.3">
      <c r="B249" s="260" t="s">
        <v>457</v>
      </c>
      <c r="C249" s="260">
        <v>92104</v>
      </c>
      <c r="D249" s="260">
        <v>90</v>
      </c>
      <c r="E249" s="260">
        <v>1</v>
      </c>
      <c r="F249" s="260">
        <v>1</v>
      </c>
      <c r="G249" s="260">
        <v>2</v>
      </c>
      <c r="H249" s="110">
        <f t="shared" si="171"/>
        <v>1.5627713144643167E-2</v>
      </c>
      <c r="I249" s="1" t="str">
        <f t="shared" si="172"/>
        <v>90,</v>
      </c>
      <c r="J249" s="1" t="str">
        <f t="shared" si="173"/>
        <v>(1,1),</v>
      </c>
      <c r="K249" s="1" t="str">
        <f t="shared" si="174"/>
        <v>92104,</v>
      </c>
      <c r="L249" s="1" t="str">
        <f t="shared" si="179"/>
        <v>145,172,172,172,138,138,138,200,200,200,200,200,200,108,108,108,108,108,108,108,108,108,108,108,108,108,108,108,108,108,108,80,80,80,80,80,80,80,90,90,90,90,90,90,90,</v>
      </c>
      <c r="M249" s="1" t="str">
        <f t="shared" si="180"/>
        <v>(1,2),(1,2),(1,2),(1,2),(1,3),(1,3),(1,3),(1,2),(1,2),(1,2),(1,2),(1,2),(1,2),(1,1),(1,1),(1,1),(1,1),(1,1),(1,1),(1,1),(1,1),(1,1),(1,1),(1,1),(1,1),(1,1),(1,1),(1,1),(1,1),(1,1),(1,1),(1,1),(1,1),(1,1),(1,1),(1,1),(1,1),(1,1),(1,1),(1,1),(1,1),(1,1),(1,1),(1,1),(1,1),</v>
      </c>
      <c r="N249" s="1" t="str">
        <f t="shared" si="181"/>
        <v>94003,51211,52211,53211,51221,52221,53221,51311,52311,53311,51321,52321,53321,91001,91003,91005,91101,91103,91105,91201,91203,91205,91002,91004,91006,91102,91104,91106,91202,91204,91206,92001,92003,92005,92101,92103,92105,92201,92203,92205,92002,92004,92006,92102,92104,</v>
      </c>
      <c r="P249" s="1">
        <f>AVERAGE(E249:F249)</f>
        <v>1</v>
      </c>
      <c r="Q249" s="1">
        <f t="shared" si="176"/>
        <v>1.5</v>
      </c>
      <c r="R249" s="1">
        <v>1</v>
      </c>
      <c r="S249" s="1">
        <v>2</v>
      </c>
      <c r="T249" s="1" t="str">
        <f t="shared" si="177"/>
        <v>(1,2),</v>
      </c>
      <c r="U249" s="1" t="str">
        <f t="shared" si="178"/>
        <v>(2,3),(2,3),(2,3),(2,3),(2,4),(2,4),(2,4),(2,3),(2,3),(2,3),(2,3),(2,3),(2,3),(1,2),(1,2),(1,2),(1,2),(1,2),(1,2),(1,2),(1,2),(1,2),(1,2),(1,2),(1,2),(1,2),(1,2),(1,2),(1,2),(1,2),(1,2),(1,2),(1,2),(1,2),(1,2),(1,2),(1,2),(1,2),(1,2),(1,2),(1,2),(1,2),(1,2),(1,2),(1,2),</v>
      </c>
    </row>
    <row r="250" spans="2:21" x14ac:dyDescent="0.3">
      <c r="B250" s="260" t="s">
        <v>458</v>
      </c>
      <c r="C250" s="260">
        <v>92106</v>
      </c>
      <c r="D250" s="260">
        <v>90</v>
      </c>
      <c r="E250" s="260">
        <v>1</v>
      </c>
      <c r="F250" s="260">
        <v>1</v>
      </c>
      <c r="G250" s="260">
        <v>2</v>
      </c>
      <c r="H250" s="110">
        <f t="shared" si="171"/>
        <v>1.5627713144643167E-2</v>
      </c>
      <c r="I250" s="1" t="str">
        <f t="shared" si="172"/>
        <v>90,</v>
      </c>
      <c r="J250" s="1" t="str">
        <f t="shared" si="173"/>
        <v>(1,1),</v>
      </c>
      <c r="K250" s="1" t="str">
        <f t="shared" si="174"/>
        <v>92106,</v>
      </c>
      <c r="L250" s="1" t="str">
        <f t="shared" si="179"/>
        <v>145,172,172,172,138,138,138,200,200,200,200,200,200,108,108,108,108,108,108,108,108,108,108,108,108,108,108,108,108,108,108,80,80,80,80,80,80,80,90,90,90,90,90,90,90,90,</v>
      </c>
      <c r="M250" s="1" t="str">
        <f t="shared" si="180"/>
        <v>(1,2),(1,2),(1,2),(1,2),(1,3),(1,3),(1,3),(1,2),(1,2),(1,2),(1,2),(1,2),(1,2),(1,1),(1,1),(1,1),(1,1),(1,1),(1,1),(1,1),(1,1),(1,1),(1,1),(1,1),(1,1),(1,1),(1,1),(1,1),(1,1),(1,1),(1,1),(1,1),(1,1),(1,1),(1,1),(1,1),(1,1),(1,1),(1,1),(1,1),(1,1),(1,1),(1,1),(1,1),(1,1),(1,1),</v>
      </c>
      <c r="N250" s="1" t="str">
        <f t="shared" si="181"/>
        <v>94003,51211,52211,53211,51221,52221,53221,51311,52311,53311,51321,52321,53321,91001,91003,91005,91101,91103,91105,91201,91203,91205,91002,91004,91006,91102,91104,91106,91202,91204,91206,92001,92003,92005,92101,92103,92105,92201,92203,92205,92002,92004,92006,92102,92104,92106,</v>
      </c>
      <c r="P250" s="1">
        <f t="shared" si="175"/>
        <v>1</v>
      </c>
      <c r="Q250" s="1">
        <f t="shared" si="176"/>
        <v>1.5</v>
      </c>
      <c r="R250" s="1">
        <v>1</v>
      </c>
      <c r="S250" s="1">
        <v>2</v>
      </c>
      <c r="T250" s="1" t="str">
        <f t="shared" si="177"/>
        <v>(1,2),</v>
      </c>
      <c r="U250" s="1" t="str">
        <f t="shared" si="178"/>
        <v>(2,3),(2,3),(2,3),(2,3),(2,4),(2,4),(2,4),(2,3),(2,3),(2,3),(2,3),(2,3),(2,3),(1,2),(1,2),(1,2),(1,2),(1,2),(1,2),(1,2),(1,2),(1,2),(1,2),(1,2),(1,2),(1,2),(1,2),(1,2),(1,2),(1,2),(1,2),(1,2),(1,2),(1,2),(1,2),(1,2),(1,2),(1,2),(1,2),(1,2),(1,2),(1,2),(1,2),(1,2),(1,2),(1,2),</v>
      </c>
    </row>
    <row r="251" spans="2:21" x14ac:dyDescent="0.3">
      <c r="B251" s="260" t="s">
        <v>459</v>
      </c>
      <c r="C251" s="260">
        <v>92202</v>
      </c>
      <c r="D251" s="260">
        <v>90</v>
      </c>
      <c r="E251" s="260">
        <v>1</v>
      </c>
      <c r="F251" s="260">
        <v>1</v>
      </c>
      <c r="G251" s="260">
        <v>2</v>
      </c>
      <c r="H251" s="110">
        <f t="shared" si="171"/>
        <v>1.5627713144643167E-2</v>
      </c>
      <c r="I251" s="1" t="str">
        <f t="shared" si="172"/>
        <v>90,</v>
      </c>
      <c r="J251" s="1" t="str">
        <f t="shared" si="173"/>
        <v>(1,1),</v>
      </c>
      <c r="K251" s="1" t="str">
        <f t="shared" si="174"/>
        <v>92202,</v>
      </c>
      <c r="L251" s="1" t="str">
        <f t="shared" si="179"/>
        <v>145,172,172,172,138,138,138,200,200,200,200,200,200,108,108,108,108,108,108,108,108,108,108,108,108,108,108,108,108,108,108,80,80,80,80,80,80,80,90,90,90,90,90,90,90,90,90,</v>
      </c>
      <c r="M251" s="1" t="str">
        <f t="shared" si="180"/>
        <v>(1,2),(1,2),(1,2),(1,2),(1,3),(1,3),(1,3),(1,2),(1,2),(1,2),(1,2),(1,2),(1,2),(1,1),(1,1),(1,1),(1,1),(1,1),(1,1),(1,1),(1,1),(1,1),(1,1),(1,1),(1,1),(1,1),(1,1),(1,1),(1,1),(1,1),(1,1),(1,1),(1,1),(1,1),(1,1),(1,1),(1,1),(1,1),(1,1),(1,1),(1,1),(1,1),(1,1),(1,1),(1,1),(1,1),(1,1),</v>
      </c>
      <c r="N251" s="1" t="str">
        <f t="shared" si="181"/>
        <v>94003,51211,52211,53211,51221,52221,53221,51311,52311,53311,51321,52321,53321,91001,91003,91005,91101,91103,91105,91201,91203,91205,91002,91004,91006,91102,91104,91106,91202,91204,91206,92001,92003,92005,92101,92103,92105,92201,92203,92205,92002,92004,92006,92102,92104,92106,92202,</v>
      </c>
      <c r="P251" s="1">
        <f t="shared" si="175"/>
        <v>1</v>
      </c>
      <c r="Q251" s="1">
        <f t="shared" si="176"/>
        <v>1.5</v>
      </c>
      <c r="R251" s="1">
        <v>1</v>
      </c>
      <c r="S251" s="1">
        <v>2</v>
      </c>
      <c r="T251" s="1" t="str">
        <f t="shared" si="177"/>
        <v>(1,2),</v>
      </c>
      <c r="U251" s="1" t="str">
        <f t="shared" si="178"/>
        <v>(2,3),(2,3),(2,3),(2,3),(2,4),(2,4),(2,4),(2,3),(2,3),(2,3),(2,3),(2,3),(2,3),(1,2),(1,2),(1,2),(1,2),(1,2),(1,2),(1,2),(1,2),(1,2),(1,2),(1,2),(1,2),(1,2),(1,2),(1,2),(1,2),(1,2),(1,2),(1,2),(1,2),(1,2),(1,2),(1,2),(1,2),(1,2),(1,2),(1,2),(1,2),(1,2),(1,2),(1,2),(1,2),(1,2),(1,2),</v>
      </c>
    </row>
    <row r="252" spans="2:21" x14ac:dyDescent="0.3">
      <c r="B252" s="260" t="s">
        <v>460</v>
      </c>
      <c r="C252" s="260">
        <v>92204</v>
      </c>
      <c r="D252" s="260">
        <v>90</v>
      </c>
      <c r="E252" s="260">
        <v>1</v>
      </c>
      <c r="F252" s="260">
        <v>1</v>
      </c>
      <c r="G252" s="260">
        <v>2</v>
      </c>
      <c r="H252" s="110">
        <f t="shared" si="171"/>
        <v>1.5627713144643167E-2</v>
      </c>
      <c r="I252" s="1" t="str">
        <f t="shared" si="172"/>
        <v>90,</v>
      </c>
      <c r="J252" s="1" t="str">
        <f t="shared" si="173"/>
        <v>(1,1),</v>
      </c>
      <c r="K252" s="1" t="str">
        <f t="shared" si="174"/>
        <v>92204,</v>
      </c>
      <c r="L252" s="1" t="str">
        <f t="shared" si="179"/>
        <v>145,172,172,172,138,138,138,200,200,200,200,200,200,108,108,108,108,108,108,108,108,108,108,108,108,108,108,108,108,108,108,80,80,80,80,80,80,80,90,90,90,90,90,90,90,90,90,90,</v>
      </c>
      <c r="M252" s="1" t="str">
        <f t="shared" si="180"/>
        <v>(1,2),(1,2),(1,2),(1,2),(1,3),(1,3),(1,3),(1,2),(1,2),(1,2),(1,2),(1,2),(1,2),(1,1),(1,1),(1,1),(1,1),(1,1),(1,1),(1,1),(1,1),(1,1),(1,1),(1,1),(1,1),(1,1),(1,1),(1,1),(1,1),(1,1),(1,1),(1,1),(1,1),(1,1),(1,1),(1,1),(1,1),(1,1),(1,1),(1,1),(1,1),(1,1),(1,1),(1,1),(1,1),(1,1),(1,1),(1,1),</v>
      </c>
      <c r="N252" s="1" t="str">
        <f t="shared" si="181"/>
        <v>94003,51211,52211,53211,51221,52221,53221,51311,52311,53311,51321,52321,53321,91001,91003,91005,91101,91103,91105,91201,91203,91205,91002,91004,91006,91102,91104,91106,91202,91204,91206,92001,92003,92005,92101,92103,92105,92201,92203,92205,92002,92004,92006,92102,92104,92106,92202,92204,</v>
      </c>
      <c r="P252" s="1">
        <f t="shared" si="175"/>
        <v>1</v>
      </c>
      <c r="Q252" s="1">
        <f t="shared" si="176"/>
        <v>1.5</v>
      </c>
      <c r="R252" s="1">
        <v>1</v>
      </c>
      <c r="S252" s="1">
        <v>2</v>
      </c>
      <c r="T252" s="1" t="str">
        <f t="shared" si="177"/>
        <v>(1,2),</v>
      </c>
      <c r="U252" s="1" t="str">
        <f t="shared" si="178"/>
        <v>(2,3),(2,3),(2,3),(2,3),(2,4),(2,4),(2,4),(2,3),(2,3),(2,3),(2,3),(2,3),(2,3),(1,2),(1,2),(1,2),(1,2),(1,2),(1,2),(1,2),(1,2),(1,2),(1,2),(1,2),(1,2),(1,2),(1,2),(1,2),(1,2),(1,2),(1,2),(1,2),(1,2),(1,2),(1,2),(1,2),(1,2),(1,2),(1,2),(1,2),(1,2),(1,2),(1,2),(1,2),(1,2),(1,2),(1,2),(1,2),</v>
      </c>
    </row>
    <row r="253" spans="2:21" x14ac:dyDescent="0.3">
      <c r="B253" s="260" t="s">
        <v>461</v>
      </c>
      <c r="C253" s="260">
        <v>92206</v>
      </c>
      <c r="D253" s="260">
        <v>80</v>
      </c>
      <c r="E253" s="260">
        <v>1</v>
      </c>
      <c r="F253" s="260">
        <v>1</v>
      </c>
      <c r="G253" s="260">
        <v>2</v>
      </c>
      <c r="H253" s="110">
        <f t="shared" si="171"/>
        <v>1.3891300573016149E-2</v>
      </c>
      <c r="I253" s="1" t="str">
        <f t="shared" si="172"/>
        <v>80,</v>
      </c>
      <c r="J253" s="1" t="str">
        <f t="shared" si="173"/>
        <v>(1,1),</v>
      </c>
      <c r="K253" s="1" t="str">
        <f t="shared" si="174"/>
        <v>92206,</v>
      </c>
      <c r="L253" s="1" t="str">
        <f t="shared" si="179"/>
        <v>145,172,172,172,138,138,138,200,200,200,200,200,200,108,108,108,108,108,108,108,108,108,108,108,108,108,108,108,108,108,108,80,80,80,80,80,80,80,90,90,90,90,90,90,90,90,90,90,80,</v>
      </c>
      <c r="M253" s="1" t="str">
        <f t="shared" si="180"/>
        <v>(1,2),(1,2),(1,2),(1,2),(1,3),(1,3),(1,3),(1,2),(1,2),(1,2),(1,2),(1,2),(1,2),(1,1),(1,1),(1,1),(1,1),(1,1),(1,1),(1,1),(1,1),(1,1),(1,1),(1,1),(1,1),(1,1),(1,1),(1,1),(1,1),(1,1),(1,1),(1,1),(1,1),(1,1),(1,1),(1,1),(1,1),(1,1),(1,1),(1,1),(1,1),(1,1),(1,1),(1,1),(1,1),(1,1),(1,1),(1,1),(1,1),</v>
      </c>
      <c r="N253" s="1" t="str">
        <f t="shared" si="181"/>
        <v>94003,51211,52211,53211,51221,52221,53221,51311,52311,53311,51321,52321,53321,91001,91003,91005,91101,91103,91105,91201,91203,91205,91002,91004,91006,91102,91104,91106,91202,91204,91206,92001,92003,92005,92101,92103,92105,92201,92203,92205,92002,92004,92006,92102,92104,92106,92202,92204,92206,</v>
      </c>
      <c r="P253" s="1">
        <f t="shared" si="175"/>
        <v>1</v>
      </c>
      <c r="Q253" s="1">
        <f t="shared" si="176"/>
        <v>1.5</v>
      </c>
      <c r="R253" s="1">
        <v>1</v>
      </c>
      <c r="S253" s="1">
        <v>2</v>
      </c>
      <c r="T253" s="1" t="str">
        <f t="shared" si="177"/>
        <v>(1,2),</v>
      </c>
      <c r="U253" s="1" t="str">
        <f t="shared" si="178"/>
        <v>(2,3),(2,3),(2,3),(2,3),(2,4),(2,4),(2,4),(2,3),(2,3),(2,3),(2,3),(2,3),(2,3),(1,2),(1,2),(1,2),(1,2),(1,2),(1,2),(1,2),(1,2),(1,2),(1,2),(1,2),(1,2),(1,2),(1,2),(1,2),(1,2),(1,2),(1,2),(1,2),(1,2),(1,2),(1,2),(1,2),(1,2),(1,2),(1,2),(1,2),(1,2),(1,2),(1,2),(1,2),(1,2),(1,2),(1,2),(1,2),(1,2),</v>
      </c>
    </row>
    <row r="254" spans="2:21" x14ac:dyDescent="0.3">
      <c r="L254" s="1" t="str">
        <f>"["&amp;LEFT(L253,LEN(L253)-1)&amp;"]"</f>
        <v>[145,172,172,172,138,138,138,200,200,200,200,200,200,108,108,108,108,108,108,108,108,108,108,108,108,108,108,108,108,108,108,80,80,80,80,80,80,80,90,90,90,90,90,90,90,90,90,90,80]</v>
      </c>
      <c r="M254" s="1" t="str">
        <f>"["&amp;LEFT(M253,LEN(M253)-1)&amp;"]"</f>
        <v>[(1,2),(1,2),(1,2),(1,2),(1,3),(1,3),(1,3),(1,2),(1,2),(1,2),(1,2),(1,2),(1,2),(1,1),(1,1),(1,1),(1,1),(1,1),(1,1),(1,1),(1,1),(1,1),(1,1),(1,1),(1,1),(1,1),(1,1),(1,1),(1,1),(1,1),(1,1),(1,1),(1,1),(1,1),(1,1),(1,1),(1,1),(1,1),(1,1),(1,1),(1,1),(1,1),(1,1),(1,1),(1,1),(1,1),(1,1),(1,1),(1,1)]</v>
      </c>
      <c r="N254" s="1" t="str">
        <f>"["&amp;LEFT(N253,LEN(N253)-1)&amp;"]"</f>
        <v>[94003,51211,52211,53211,51221,52221,53221,51311,52311,53311,51321,52321,53321,91001,91003,91005,91101,91103,91105,91201,91203,91205,91002,91004,91006,91102,91104,91106,91202,91204,91206,92001,92003,92005,92101,92103,92105,92201,92203,92205,92002,92004,92006,92102,92104,92106,92202,92204,92206]</v>
      </c>
      <c r="U254" s="1" t="str">
        <f>"["&amp;LEFT(U253,LEN(U253)-1)&amp;"]"</f>
        <v>[(2,3),(2,3),(2,3),(2,3),(2,4),(2,4),(2,4),(2,3),(2,3),(2,3),(2,3),(2,3),(2,3),(1,2),(1,2),(1,2),(1,2),(1,2),(1,2),(1,2),(1,2),(1,2),(1,2),(1,2),(1,2),(1,2),(1,2),(1,2),(1,2),(1,2),(1,2),(1,2),(1,2),(1,2),(1,2),(1,2),(1,2),(1,2),(1,2),(1,2),(1,2),(1,2),(1,2),(1,2),(1,2),(1,2),(1,2),(1,2),(1,2)]</v>
      </c>
    </row>
    <row r="257" spans="2:24" x14ac:dyDescent="0.3">
      <c r="B257" s="107" t="s">
        <v>4037</v>
      </c>
      <c r="F257" s="310" t="s">
        <v>4080</v>
      </c>
      <c r="N257" s="310" t="s">
        <v>4036</v>
      </c>
      <c r="W257" s="318" t="s">
        <v>4087</v>
      </c>
      <c r="X257" s="318" t="s">
        <v>4090</v>
      </c>
    </row>
    <row r="258" spans="2:24" ht="15.75" x14ac:dyDescent="0.3">
      <c r="B258" s="44" t="s">
        <v>4017</v>
      </c>
      <c r="C258" s="44" t="s">
        <v>4018</v>
      </c>
      <c r="D258" s="44" t="s">
        <v>4019</v>
      </c>
      <c r="F258" s="44" t="s">
        <v>4026</v>
      </c>
      <c r="G258" s="44">
        <v>0</v>
      </c>
      <c r="H258" s="44" t="s">
        <v>4023</v>
      </c>
      <c r="I258" s="301" t="s">
        <v>4031</v>
      </c>
      <c r="J258" s="44" t="s">
        <v>4032</v>
      </c>
      <c r="K258" s="44" t="s">
        <v>4024</v>
      </c>
      <c r="L258" s="44" t="s">
        <v>4025</v>
      </c>
      <c r="N258" s="44" t="s">
        <v>4033</v>
      </c>
      <c r="O258" s="298" t="s">
        <v>4034</v>
      </c>
      <c r="P258" s="298" t="s">
        <v>4035</v>
      </c>
      <c r="Q258" s="298" t="s">
        <v>4035</v>
      </c>
      <c r="R258" s="298" t="s">
        <v>4039</v>
      </c>
      <c r="S258" s="298" t="s">
        <v>4040</v>
      </c>
      <c r="T258" s="298" t="s">
        <v>4041</v>
      </c>
      <c r="U258" s="298" t="s">
        <v>4045</v>
      </c>
      <c r="W258" s="48" t="s">
        <v>4088</v>
      </c>
      <c r="X258" s="318" t="s">
        <v>4089</v>
      </c>
    </row>
    <row r="259" spans="2:24" x14ac:dyDescent="0.3">
      <c r="B259" s="298">
        <v>0.99</v>
      </c>
      <c r="C259" s="298">
        <f>B259*道具价值!$E$80</f>
        <v>99.009900990099013</v>
      </c>
      <c r="D259" s="42">
        <f>C259*道具价值!$AA$76</f>
        <v>4950.4950495049507</v>
      </c>
      <c r="E259" s="131"/>
      <c r="F259" s="302" t="s">
        <v>4020</v>
      </c>
      <c r="G259" s="298">
        <v>0.99</v>
      </c>
      <c r="H259" s="303">
        <v>2.99</v>
      </c>
      <c r="I259" s="304">
        <v>9.99</v>
      </c>
      <c r="J259" s="305">
        <v>19.989999999999998</v>
      </c>
      <c r="K259" s="211">
        <v>99.99</v>
      </c>
      <c r="L259" s="102">
        <v>99.99</v>
      </c>
      <c r="N259" s="302" t="s">
        <v>4020</v>
      </c>
      <c r="O259" s="298" t="s">
        <v>4038</v>
      </c>
      <c r="P259" s="298" t="s">
        <v>4038</v>
      </c>
      <c r="Q259" s="298" t="s">
        <v>4038</v>
      </c>
      <c r="R259" s="298">
        <v>6</v>
      </c>
      <c r="S259" s="298">
        <v>0</v>
      </c>
      <c r="T259" s="298">
        <v>0</v>
      </c>
      <c r="U259" s="31">
        <f>(VLOOKUP(O259,游戏付费深度!$B$1:$C$11,2,FALSE)+VLOOKUP(推送礼包!P259,游戏付费深度!$B$1:$C$11,2,FALSE)+VLOOKUP(推送礼包!Q259,游戏付费深度!$B$1:$C$11,2,FALSE)+推送礼包!R259*VLOOKUP(LEFT(推送礼包!R$258,1)+0,游戏付费深度!$G$1:$H$4,2,FALSE)+S259*VLOOKUP(LEFT(S$258,1)+0,游戏付费深度!$G$1:$H$4,2,FALSE)+T259*VLOOKUP(LEFT(T$258,1)+0,游戏付费深度!$G$1:$H$4,2,FALSE))/10000</f>
        <v>29.035499999999999</v>
      </c>
      <c r="W259" s="167" t="s">
        <v>4022</v>
      </c>
      <c r="X259" s="319">
        <v>-0.499165275459099</v>
      </c>
    </row>
    <row r="260" spans="2:24" x14ac:dyDescent="0.3">
      <c r="B260" s="298">
        <v>1.99</v>
      </c>
      <c r="C260" s="298">
        <f>B260*道具价值!$E$80</f>
        <v>199.01990199019903</v>
      </c>
      <c r="D260" s="42">
        <f>C260*道具价值!$AA$76</f>
        <v>9950.9950995099516</v>
      </c>
      <c r="E260" s="131"/>
      <c r="F260" s="298">
        <v>3</v>
      </c>
      <c r="G260" s="298">
        <v>0.99</v>
      </c>
      <c r="H260" s="309">
        <v>4.99</v>
      </c>
      <c r="I260" s="304">
        <v>9.99</v>
      </c>
      <c r="J260" s="305">
        <v>19.989999999999998</v>
      </c>
      <c r="K260" s="211">
        <v>99.99</v>
      </c>
      <c r="L260" s="102">
        <v>99.99</v>
      </c>
      <c r="N260" s="298">
        <v>3</v>
      </c>
      <c r="O260" s="298" t="s">
        <v>4038</v>
      </c>
      <c r="P260" s="298" t="s">
        <v>4038</v>
      </c>
      <c r="Q260" s="298" t="s">
        <v>4042</v>
      </c>
      <c r="R260" s="298">
        <v>10</v>
      </c>
      <c r="S260" s="298">
        <v>3</v>
      </c>
      <c r="T260" s="298">
        <v>0</v>
      </c>
      <c r="U260" s="31">
        <f>(VLOOKUP(O260,游戏付费深度!$B$1:$C$11,2,FALSE)+VLOOKUP(推送礼包!P260,游戏付费深度!$B$1:$C$11,2,FALSE)+VLOOKUP(推送礼包!Q260,游戏付费深度!$B$1:$C$11,2,FALSE)+推送礼包!R260*VLOOKUP(LEFT(推送礼包!R$258,1)+0,游戏付费深度!$G$1:$H$4,2,FALSE)+S260*VLOOKUP(LEFT(S$258,1)+0,游戏付费深度!$G$1:$H$4,2,FALSE)+T260*VLOOKUP(LEFT(T$258,1)+0,游戏付费深度!$G$1:$H$4,2,FALSE))/10000</f>
        <v>88.128</v>
      </c>
      <c r="W260" s="167" t="s">
        <v>4022</v>
      </c>
      <c r="X260" s="319">
        <v>-0.499165275459099</v>
      </c>
    </row>
    <row r="261" spans="2:24" x14ac:dyDescent="0.3">
      <c r="B261" s="298">
        <v>2.99</v>
      </c>
      <c r="C261" s="298">
        <f>B261*道具价值!$E$80</f>
        <v>299.02990299029909</v>
      </c>
      <c r="D261" s="42">
        <f>C261*道具价值!$AA$76</f>
        <v>14951.495149514954</v>
      </c>
      <c r="E261" s="131"/>
      <c r="F261" s="298" t="s">
        <v>4028</v>
      </c>
      <c r="G261" s="298">
        <v>1.99</v>
      </c>
      <c r="H261" s="309">
        <v>4.99</v>
      </c>
      <c r="I261" s="304">
        <v>9.99</v>
      </c>
      <c r="J261" s="306">
        <v>49.99</v>
      </c>
      <c r="K261" s="211">
        <v>99.99</v>
      </c>
      <c r="L261" s="102">
        <v>99.99</v>
      </c>
      <c r="N261" s="298" t="s">
        <v>4028</v>
      </c>
      <c r="O261" s="298" t="s">
        <v>4038</v>
      </c>
      <c r="P261" s="298" t="s">
        <v>4042</v>
      </c>
      <c r="Q261" s="298" t="s">
        <v>4042</v>
      </c>
      <c r="R261" s="298">
        <v>8</v>
      </c>
      <c r="S261" s="298">
        <v>8</v>
      </c>
      <c r="T261" s="298">
        <v>0</v>
      </c>
      <c r="U261" s="31">
        <f>(VLOOKUP(O261,游戏付费深度!$B$1:$C$11,2,FALSE)+VLOOKUP(推送礼包!P261,游戏付费深度!$B$1:$C$11,2,FALSE)+VLOOKUP(推送礼包!Q261,游戏付费深度!$B$1:$C$11,2,FALSE)+推送礼包!R261*VLOOKUP(LEFT(推送礼包!R$258,1)+0,游戏付费深度!$G$1:$H$4,2,FALSE)+S261*VLOOKUP(LEFT(S$258,1)+0,游戏付费深度!$G$1:$H$4,2,FALSE)+T261*VLOOKUP(LEFT(T$258,1)+0,游戏付费深度!$G$1:$H$4,2,FALSE))/10000</f>
        <v>144.84450000000001</v>
      </c>
      <c r="W261" s="167" t="s">
        <v>4022</v>
      </c>
      <c r="X261" s="319">
        <v>-0.499165275459099</v>
      </c>
    </row>
    <row r="262" spans="2:24" x14ac:dyDescent="0.3">
      <c r="B262" s="298">
        <v>4.99</v>
      </c>
      <c r="C262" s="298">
        <f>B262*道具价值!$E$80</f>
        <v>499.0499049904991</v>
      </c>
      <c r="D262" s="42">
        <f>C262*道具价值!$AA$76</f>
        <v>24952.495249524956</v>
      </c>
      <c r="F262" s="298" t="s">
        <v>4030</v>
      </c>
      <c r="G262" s="298">
        <v>2.99</v>
      </c>
      <c r="H262" s="307">
        <v>9.99</v>
      </c>
      <c r="I262" s="304">
        <v>9.99</v>
      </c>
      <c r="J262" s="306">
        <v>49.99</v>
      </c>
      <c r="K262" s="211">
        <v>99.99</v>
      </c>
      <c r="L262" s="102">
        <v>99.99</v>
      </c>
      <c r="N262" s="298" t="s">
        <v>4030</v>
      </c>
      <c r="O262" s="298" t="s">
        <v>4043</v>
      </c>
      <c r="P262" s="298" t="s">
        <v>4043</v>
      </c>
      <c r="Q262" s="298" t="s">
        <v>4042</v>
      </c>
      <c r="R262" s="298">
        <v>4</v>
      </c>
      <c r="S262" s="298">
        <v>10</v>
      </c>
      <c r="T262" s="298">
        <v>4</v>
      </c>
      <c r="U262" s="31">
        <f>(VLOOKUP(O262,游戏付费深度!$B$1:$C$11,2,FALSE)+VLOOKUP(推送礼包!P262,游戏付费深度!$B$1:$C$11,2,FALSE)+VLOOKUP(推送礼包!Q262,游戏付费深度!$B$1:$C$11,2,FALSE)+推送礼包!R262*VLOOKUP(LEFT(推送礼包!R$258,1)+0,游戏付费深度!$G$1:$H$4,2,FALSE)+S262*VLOOKUP(LEFT(S$258,1)+0,游戏付费深度!$G$1:$H$4,2,FALSE)+T262*VLOOKUP(LEFT(T$258,1)+0,游戏付费深度!$G$1:$H$4,2,FALSE))/10000</f>
        <v>394.92200000000003</v>
      </c>
      <c r="W262" s="167" t="s">
        <v>4051</v>
      </c>
      <c r="X262" s="319">
        <v>-0.4</v>
      </c>
    </row>
    <row r="263" spans="2:24" x14ac:dyDescent="0.3">
      <c r="B263" s="298">
        <v>9.99</v>
      </c>
      <c r="C263" s="298">
        <f>B263*道具价值!$E$80</f>
        <v>999.09990999099921</v>
      </c>
      <c r="D263" s="42">
        <f>C263*道具价值!$AA$76</f>
        <v>49954.995499549957</v>
      </c>
      <c r="F263" s="298">
        <v>8</v>
      </c>
      <c r="G263" s="298">
        <v>4.99</v>
      </c>
      <c r="H263" s="307">
        <v>9.99</v>
      </c>
      <c r="I263" s="212">
        <v>19.989999999999998</v>
      </c>
      <c r="J263" s="308">
        <v>49.99</v>
      </c>
      <c r="K263" s="211">
        <v>99.99</v>
      </c>
      <c r="L263" s="102">
        <v>99.99</v>
      </c>
      <c r="N263" s="298">
        <v>8</v>
      </c>
      <c r="O263" s="298" t="s">
        <v>4043</v>
      </c>
      <c r="P263" s="298" t="s">
        <v>4043</v>
      </c>
      <c r="Q263" s="298" t="s">
        <v>4043</v>
      </c>
      <c r="R263" s="298">
        <v>4</v>
      </c>
      <c r="S263" s="298">
        <v>6</v>
      </c>
      <c r="T263" s="298">
        <v>8</v>
      </c>
      <c r="U263" s="31">
        <f>(VLOOKUP(O263,游戏付费深度!$B$1:$C$11,2,FALSE)+VLOOKUP(推送礼包!P263,游戏付费深度!$B$1:$C$11,2,FALSE)+VLOOKUP(推送礼包!Q263,游戏付费深度!$B$1:$C$11,2,FALSE)+推送礼包!R263*VLOOKUP(LEFT(推送礼包!R$258,1)+0,游戏付费深度!$G$1:$H$4,2,FALSE)+S263*VLOOKUP(LEFT(S$258,1)+0,游戏付费深度!$G$1:$H$4,2,FALSE)+T263*VLOOKUP(LEFT(T$258,1)+0,游戏付费深度!$G$1:$H$4,2,FALSE))/10000</f>
        <v>559.11699999999996</v>
      </c>
      <c r="W263" s="167" t="s">
        <v>4051</v>
      </c>
      <c r="X263" s="319">
        <v>-0.4</v>
      </c>
    </row>
    <row r="264" spans="2:24" x14ac:dyDescent="0.3">
      <c r="B264" s="298">
        <v>11.99</v>
      </c>
      <c r="C264" s="298">
        <f>B264*道具价值!$E$80</f>
        <v>1199.1199119911992</v>
      </c>
      <c r="D264" s="42">
        <f>C264*道具价值!$AA$76</f>
        <v>59955.995599559959</v>
      </c>
      <c r="E264" s="299"/>
      <c r="F264" s="298" t="s">
        <v>4021</v>
      </c>
      <c r="G264" s="298">
        <v>4.99</v>
      </c>
      <c r="H264" s="307">
        <v>9.99</v>
      </c>
      <c r="I264" s="212">
        <v>19.989999999999998</v>
      </c>
      <c r="J264" s="308">
        <v>49.99</v>
      </c>
      <c r="K264" s="211">
        <v>99.99</v>
      </c>
      <c r="L264" s="102">
        <v>99.99</v>
      </c>
      <c r="N264" s="298" t="s">
        <v>4021</v>
      </c>
      <c r="O264" s="298" t="s">
        <v>4044</v>
      </c>
      <c r="P264" s="298" t="s">
        <v>4044</v>
      </c>
      <c r="Q264" s="298" t="s">
        <v>4043</v>
      </c>
      <c r="R264" s="298">
        <v>0</v>
      </c>
      <c r="S264" s="298">
        <v>6</v>
      </c>
      <c r="T264" s="298">
        <v>12</v>
      </c>
      <c r="U264" s="31">
        <f>(VLOOKUP(O264,游戏付费深度!$B$1:$C$11,2,FALSE)+VLOOKUP(推送礼包!P264,游戏付费深度!$B$1:$C$11,2,FALSE)+VLOOKUP(推送礼包!Q264,游戏付费深度!$B$1:$C$11,2,FALSE)+推送礼包!R264*VLOOKUP(LEFT(推送礼包!R$258,1)+0,游戏付费深度!$G$1:$H$4,2,FALSE)+S264*VLOOKUP(LEFT(S$258,1)+0,游戏付费深度!$G$1:$H$4,2,FALSE)+T264*VLOOKUP(LEFT(T$258,1)+0,游戏付费深度!$G$1:$H$4,2,FALSE))/10000</f>
        <v>772.17700000000002</v>
      </c>
      <c r="W264" s="167" t="s">
        <v>4054</v>
      </c>
      <c r="X264" s="319">
        <v>-0.4</v>
      </c>
    </row>
    <row r="265" spans="2:24" x14ac:dyDescent="0.3">
      <c r="B265" s="313">
        <v>29.99</v>
      </c>
      <c r="C265" s="313">
        <f>B265*道具价值!$E$80</f>
        <v>2999.2999299929993</v>
      </c>
      <c r="D265" s="42">
        <f>C265*道具价值!$AA$76</f>
        <v>149964.99649964998</v>
      </c>
      <c r="E265" s="314"/>
      <c r="F265" s="314"/>
      <c r="G265" s="314"/>
      <c r="H265" s="23"/>
      <c r="I265" s="23"/>
      <c r="J265" s="315"/>
      <c r="K265" s="23"/>
      <c r="L265" s="23"/>
      <c r="N265" s="314"/>
      <c r="O265" s="314"/>
      <c r="P265" s="314"/>
      <c r="Q265" s="314"/>
      <c r="R265" s="314"/>
      <c r="S265" s="314"/>
      <c r="T265" s="314"/>
      <c r="U265" s="40"/>
      <c r="W265" s="167" t="s">
        <v>4054</v>
      </c>
      <c r="X265" s="320">
        <v>-0.30003000300030003</v>
      </c>
    </row>
    <row r="266" spans="2:24" x14ac:dyDescent="0.3">
      <c r="B266" s="313">
        <v>35.99</v>
      </c>
      <c r="C266" s="313">
        <f>B266*道具价值!$E$80</f>
        <v>3599.3599359935997</v>
      </c>
      <c r="D266" s="42">
        <f>C266*道具价值!$AA$76</f>
        <v>179967.99679968</v>
      </c>
      <c r="E266" s="314"/>
      <c r="F266" s="314"/>
      <c r="G266" s="314"/>
      <c r="H266" s="23"/>
      <c r="I266" s="23"/>
      <c r="J266" s="315"/>
      <c r="K266" s="23"/>
      <c r="L266" s="23"/>
      <c r="N266" s="314"/>
      <c r="O266" s="314"/>
      <c r="P266" s="314"/>
      <c r="Q266" s="314"/>
      <c r="R266" s="314"/>
      <c r="S266" s="314"/>
      <c r="T266" s="314"/>
      <c r="U266" s="40"/>
      <c r="W266" s="167" t="s">
        <v>4057</v>
      </c>
      <c r="X266" s="320">
        <v>-0.28000000000000003</v>
      </c>
    </row>
    <row r="267" spans="2:24" x14ac:dyDescent="0.3">
      <c r="B267" s="316">
        <v>38.99</v>
      </c>
      <c r="C267" s="316">
        <f>B267*道具价值!$E$80</f>
        <v>3899.3899389938997</v>
      </c>
      <c r="D267" s="42">
        <f>C267*道具价值!$AA$76</f>
        <v>194969.49694969499</v>
      </c>
      <c r="E267" s="317"/>
      <c r="F267" s="317"/>
      <c r="G267" s="317"/>
      <c r="H267" s="23"/>
      <c r="I267" s="23"/>
      <c r="J267" s="315"/>
      <c r="K267" s="23"/>
      <c r="L267" s="23"/>
      <c r="N267" s="317"/>
      <c r="O267" s="317"/>
      <c r="P267" s="317"/>
      <c r="Q267" s="317"/>
      <c r="R267" s="317"/>
      <c r="S267" s="317"/>
      <c r="T267" s="317"/>
      <c r="U267" s="40"/>
      <c r="W267" s="167"/>
      <c r="X267" s="320"/>
    </row>
    <row r="268" spans="2:24" x14ac:dyDescent="0.3">
      <c r="B268" s="313">
        <v>42.99</v>
      </c>
      <c r="C268" s="316">
        <f>B268*道具价值!$E$80</f>
        <v>4299.4299429943003</v>
      </c>
      <c r="D268" s="42">
        <f>C268*道具价值!$AA$76</f>
        <v>214971.49714971503</v>
      </c>
      <c r="E268" s="314"/>
      <c r="F268" s="314"/>
      <c r="G268" s="314"/>
      <c r="H268" s="23"/>
      <c r="I268" s="23"/>
      <c r="J268" s="315"/>
      <c r="K268" s="23"/>
      <c r="L268" s="23"/>
      <c r="N268" s="314"/>
      <c r="O268" s="314"/>
      <c r="P268" s="314"/>
      <c r="Q268" s="314"/>
      <c r="R268" s="314"/>
      <c r="S268" s="314"/>
      <c r="T268" s="314"/>
      <c r="U268" s="40"/>
      <c r="W268" s="167" t="s">
        <v>4057</v>
      </c>
      <c r="X268" s="320">
        <v>-0.25</v>
      </c>
    </row>
    <row r="269" spans="2:24" x14ac:dyDescent="0.3">
      <c r="B269" s="313">
        <v>43.99</v>
      </c>
      <c r="C269" s="316">
        <f>B269*道具价值!$E$80</f>
        <v>4399.4399439944</v>
      </c>
      <c r="D269" s="42">
        <f>C269*道具价值!$AA$76</f>
        <v>219971.99719972</v>
      </c>
      <c r="E269" s="314"/>
      <c r="F269" s="314"/>
      <c r="G269" s="314"/>
      <c r="H269" s="314"/>
      <c r="I269" s="314"/>
      <c r="J269" s="314"/>
      <c r="K269" s="314"/>
      <c r="L269" s="314"/>
      <c r="N269" s="314"/>
      <c r="O269" s="314"/>
      <c r="P269" s="314"/>
      <c r="Q269" s="314"/>
      <c r="R269" s="314"/>
      <c r="S269" s="314"/>
      <c r="T269" s="314"/>
      <c r="U269" s="40"/>
      <c r="W269" s="167" t="s">
        <v>4058</v>
      </c>
      <c r="X269" s="320">
        <v>-0.22</v>
      </c>
    </row>
    <row r="270" spans="2:24" x14ac:dyDescent="0.3">
      <c r="B270" s="313">
        <v>69.989999999999995</v>
      </c>
      <c r="C270" s="316">
        <f>B270*道具价值!$E$80</f>
        <v>6999.6999699970002</v>
      </c>
      <c r="D270" s="42">
        <f>C270*道具价值!$AA$76</f>
        <v>349984.99849984999</v>
      </c>
      <c r="E270" s="314"/>
      <c r="F270" s="314"/>
      <c r="G270" s="314"/>
      <c r="H270" s="314"/>
      <c r="I270" s="314"/>
      <c r="J270" s="314"/>
      <c r="K270" s="314"/>
      <c r="L270" s="314"/>
      <c r="N270" s="314"/>
      <c r="O270" s="314"/>
      <c r="P270" s="314"/>
      <c r="Q270" s="314"/>
      <c r="R270" s="314"/>
      <c r="S270" s="314"/>
      <c r="T270" s="314"/>
      <c r="U270" s="40"/>
      <c r="W270" s="167" t="s">
        <v>4058</v>
      </c>
      <c r="X270" s="320">
        <v>-0.2</v>
      </c>
    </row>
    <row r="271" spans="2:24" x14ac:dyDescent="0.3">
      <c r="B271" s="298">
        <v>74.989999999999995</v>
      </c>
      <c r="C271" s="316">
        <f>B271*道具价值!$E$80</f>
        <v>7499.7499749974995</v>
      </c>
      <c r="D271" s="42">
        <f>C271*道具价值!$AA$76</f>
        <v>374987.498749875</v>
      </c>
      <c r="E271" s="299"/>
    </row>
    <row r="272" spans="2:24" x14ac:dyDescent="0.3">
      <c r="B272" s="316">
        <v>79.989999999999995</v>
      </c>
      <c r="C272" s="316">
        <f>B272*道具价值!$E$80</f>
        <v>7999.7999799979998</v>
      </c>
      <c r="D272" s="42">
        <f>C272*道具价值!$AA$76</f>
        <v>399989.99899990001</v>
      </c>
      <c r="E272" s="317"/>
    </row>
    <row r="273" spans="1:26" x14ac:dyDescent="0.3">
      <c r="B273" s="298">
        <v>89.99</v>
      </c>
      <c r="C273" s="298">
        <f>B273*道具价值!$E$80</f>
        <v>8999.8999899989994</v>
      </c>
      <c r="D273" s="42">
        <f>C273*道具价值!$AA$76</f>
        <v>449994.99949994998</v>
      </c>
      <c r="E273" s="299"/>
    </row>
    <row r="274" spans="1:26" x14ac:dyDescent="0.3">
      <c r="B274" s="299"/>
      <c r="C274" s="299"/>
      <c r="D274" s="299"/>
      <c r="E274" s="299"/>
      <c r="F274" s="299"/>
      <c r="G274" s="299"/>
      <c r="H274" s="299"/>
      <c r="I274" s="299"/>
      <c r="J274" s="224"/>
    </row>
    <row r="275" spans="1:26" x14ac:dyDescent="0.3">
      <c r="B275" s="299"/>
      <c r="C275" s="299"/>
      <c r="D275" s="299"/>
      <c r="E275" s="299"/>
      <c r="F275" s="299"/>
      <c r="G275" s="299"/>
      <c r="H275" s="299"/>
      <c r="I275" s="299"/>
      <c r="J275" s="224"/>
    </row>
    <row r="276" spans="1:26" x14ac:dyDescent="0.3">
      <c r="B276" s="108" t="s">
        <v>4071</v>
      </c>
      <c r="C276" s="299"/>
      <c r="D276" s="299"/>
      <c r="E276" s="299"/>
      <c r="G276" s="299"/>
      <c r="H276" s="299"/>
      <c r="I276" s="299"/>
      <c r="J276" s="299"/>
      <c r="K276" s="224"/>
      <c r="M276" s="107" t="s">
        <v>4072</v>
      </c>
    </row>
    <row r="277" spans="1:26" x14ac:dyDescent="0.3">
      <c r="B277" s="44" t="s">
        <v>4076</v>
      </c>
      <c r="C277" s="44" t="s">
        <v>4033</v>
      </c>
      <c r="D277" s="44" t="s">
        <v>4046</v>
      </c>
      <c r="E277" s="44" t="s">
        <v>4048</v>
      </c>
      <c r="F277" s="44" t="s">
        <v>4075</v>
      </c>
      <c r="G277" s="44" t="s">
        <v>4062</v>
      </c>
      <c r="H277" s="44" t="s">
        <v>4060</v>
      </c>
      <c r="I277" s="44" t="s">
        <v>4061</v>
      </c>
      <c r="J277" s="44" t="s">
        <v>4063</v>
      </c>
      <c r="L277" s="224"/>
      <c r="N277" s="44" t="s">
        <v>4076</v>
      </c>
      <c r="O277" s="44" t="s">
        <v>4033</v>
      </c>
      <c r="P277" s="44" t="s">
        <v>4065</v>
      </c>
      <c r="Q277" s="44" t="s">
        <v>4048</v>
      </c>
      <c r="R277" s="44" t="s">
        <v>4074</v>
      </c>
      <c r="S277" s="44" t="s">
        <v>4062</v>
      </c>
      <c r="T277" s="44" t="s">
        <v>4069</v>
      </c>
      <c r="U277" s="44" t="s">
        <v>4068</v>
      </c>
      <c r="V277" s="44" t="s">
        <v>4070</v>
      </c>
      <c r="W277" s="44" t="s">
        <v>4067</v>
      </c>
      <c r="X277" s="44" t="s">
        <v>4063</v>
      </c>
    </row>
    <row r="278" spans="1:26" x14ac:dyDescent="0.3">
      <c r="A278" s="1" t="str">
        <f>B278&amp;"_"&amp;C278&amp;"_"&amp;D278</f>
        <v>0_1,2,3_军费</v>
      </c>
      <c r="B278" s="39">
        <v>0</v>
      </c>
      <c r="C278" s="298" t="s">
        <v>4055</v>
      </c>
      <c r="D278" s="300" t="s">
        <v>4047</v>
      </c>
      <c r="E278" s="300">
        <v>0.99</v>
      </c>
      <c r="F278" s="312">
        <v>2.99</v>
      </c>
      <c r="G278" s="142">
        <f>E278/F278</f>
        <v>0.33110367892976583</v>
      </c>
      <c r="H278" s="300">
        <f>IF(D278="军费",VLOOKUP(E278,$B$259:$D$273,3,FALSE)/G278,IF(D278="钻石",VLOOKUP(E278,$B$259:$D$273,2,FALSE)/G278))</f>
        <v>14951.495149514954</v>
      </c>
      <c r="I278" s="300">
        <v>15000</v>
      </c>
      <c r="J278" s="110">
        <f>(H278*G278)/I278</f>
        <v>0.33003300330033003</v>
      </c>
      <c r="K278" s="1" t="str">
        <f>"["&amp;I278&amp;"]"</f>
        <v>[15000]</v>
      </c>
      <c r="L278" s="132">
        <f>1/J278</f>
        <v>3.0300000000000002</v>
      </c>
      <c r="M278" s="1" t="str">
        <f>N278&amp;"_"&amp;O278&amp;"_"&amp;P278</f>
        <v>0_1,2,3_混合</v>
      </c>
      <c r="N278" s="300">
        <v>0</v>
      </c>
      <c r="O278" s="300" t="s">
        <v>4055</v>
      </c>
      <c r="P278" s="300" t="s">
        <v>4066</v>
      </c>
      <c r="Q278" s="300">
        <v>0.99</v>
      </c>
      <c r="R278" s="312">
        <v>2.99</v>
      </c>
      <c r="S278" s="142">
        <f>Q278/R278</f>
        <v>0.33110367892976583</v>
      </c>
      <c r="T278" s="300">
        <f t="shared" ref="T278:T287" si="182">(VLOOKUP(Q278,$B$259:$D$273,2,FALSE)/S278)/2</f>
        <v>149.51495149514955</v>
      </c>
      <c r="U278" s="300">
        <f t="shared" ref="U278:U287" si="183">(VLOOKUP(Q278,$B$259:$D$273,3,FALSE)/S278)/2</f>
        <v>7475.7475747574772</v>
      </c>
      <c r="V278" s="300">
        <v>150</v>
      </c>
      <c r="W278" s="300">
        <v>7500</v>
      </c>
      <c r="X278" s="110">
        <f>Q278/((V278/道具价值!$E$80)+(W278*道具价值!$AB$76/道具价值!$E$80))</f>
        <v>0.33003300330033003</v>
      </c>
      <c r="Y278" s="1" t="str">
        <f>"["&amp;V278&amp;","&amp;W278&amp;"]"</f>
        <v>[150,7500]</v>
      </c>
      <c r="Z278" s="321">
        <f>1/X278</f>
        <v>3.0300000000000002</v>
      </c>
    </row>
    <row r="279" spans="1:26" x14ac:dyDescent="0.3">
      <c r="A279" s="1" t="str">
        <f t="shared" ref="A279:A309" si="184">B279&amp;"_"&amp;C279&amp;"_"&amp;D279</f>
        <v>0_4,5_军费</v>
      </c>
      <c r="B279" s="298">
        <v>0</v>
      </c>
      <c r="C279" s="298" t="s">
        <v>4027</v>
      </c>
      <c r="D279" s="300" t="s">
        <v>4047</v>
      </c>
      <c r="E279" s="300">
        <v>1.99</v>
      </c>
      <c r="F279" s="312">
        <v>4.99</v>
      </c>
      <c r="G279" s="142">
        <f t="shared" ref="G279:G309" si="185">E279/F279</f>
        <v>0.39879759519038072</v>
      </c>
      <c r="H279" s="300">
        <f>IF(D279="军费",VLOOKUP(E279,$B$259:$D$273,3,FALSE)/G279,IF(D279="钻石",VLOOKUP(E279,$B$259:$D$273,2,FALSE)/G279))</f>
        <v>24952.495249524956</v>
      </c>
      <c r="I279" s="300">
        <v>25000</v>
      </c>
      <c r="J279" s="110">
        <f t="shared" ref="J279:J309" si="186">(H279*G279)/I279</f>
        <v>0.39803980398039807</v>
      </c>
      <c r="K279" s="1" t="str">
        <f t="shared" ref="K279:K309" si="187">"["&amp;I279&amp;"]"</f>
        <v>[25000]</v>
      </c>
      <c r="L279" s="132">
        <f t="shared" ref="L279:L309" si="188">1/J279</f>
        <v>2.5123115577889448</v>
      </c>
      <c r="M279" s="1" t="str">
        <f t="shared" ref="M279:M287" si="189">N279&amp;"_"&amp;O279&amp;"_"&amp;P279</f>
        <v>0_4,5_混合</v>
      </c>
      <c r="N279" s="300">
        <v>0</v>
      </c>
      <c r="O279" s="300" t="s">
        <v>4027</v>
      </c>
      <c r="P279" s="300" t="s">
        <v>4066</v>
      </c>
      <c r="Q279" s="300">
        <v>1.99</v>
      </c>
      <c r="R279" s="312">
        <v>4.99</v>
      </c>
      <c r="S279" s="142">
        <f t="shared" ref="S279:S287" si="190">Q279/R279</f>
        <v>0.39879759519038072</v>
      </c>
      <c r="T279" s="300">
        <f t="shared" si="182"/>
        <v>249.52495249524958</v>
      </c>
      <c r="U279" s="300">
        <f t="shared" si="183"/>
        <v>12476.247624762478</v>
      </c>
      <c r="V279" s="300">
        <v>250</v>
      </c>
      <c r="W279" s="300">
        <v>12500</v>
      </c>
      <c r="X279" s="110">
        <f>Q279/((V279/道具价值!$E$80)+(W279*道具价值!$AB$76/道具价值!$E$80))</f>
        <v>0.39803980398039807</v>
      </c>
      <c r="Y279" s="1" t="str">
        <f t="shared" ref="Y279:Y287" si="191">"["&amp;V279&amp;","&amp;W279&amp;"]"</f>
        <v>[250,12500]</v>
      </c>
      <c r="Z279" s="321">
        <f t="shared" ref="Z279:Z287" si="192">1/X279</f>
        <v>2.5123115577889448</v>
      </c>
    </row>
    <row r="280" spans="1:26" x14ac:dyDescent="0.3">
      <c r="A280" s="1" t="str">
        <f t="shared" si="184"/>
        <v>0_6,7_军费</v>
      </c>
      <c r="B280" s="298">
        <v>0</v>
      </c>
      <c r="C280" s="298" t="s">
        <v>4029</v>
      </c>
      <c r="D280" s="300" t="s">
        <v>4047</v>
      </c>
      <c r="E280" s="300">
        <v>2.99</v>
      </c>
      <c r="F280" s="312">
        <v>6.99</v>
      </c>
      <c r="G280" s="142">
        <f t="shared" si="185"/>
        <v>0.42775393419170243</v>
      </c>
      <c r="H280" s="300">
        <f>IF(D280="军费",VLOOKUP(E280,$B$259:$D$273,3,FALSE)/G280,IF(D280="钻石",VLOOKUP(E280,$B$259:$D$273,2,FALSE)/G280))</f>
        <v>34953.495349534962</v>
      </c>
      <c r="I280" s="300">
        <v>35000</v>
      </c>
      <c r="J280" s="110">
        <f t="shared" si="186"/>
        <v>0.42718557570042726</v>
      </c>
      <c r="K280" s="1" t="str">
        <f t="shared" si="187"/>
        <v>[35000]</v>
      </c>
      <c r="L280" s="132">
        <f t="shared" si="188"/>
        <v>2.3409030100334443</v>
      </c>
      <c r="M280" s="1" t="str">
        <f t="shared" si="189"/>
        <v>0_6,7_混合</v>
      </c>
      <c r="N280" s="300">
        <v>0</v>
      </c>
      <c r="O280" s="300" t="s">
        <v>4029</v>
      </c>
      <c r="P280" s="300" t="s">
        <v>4066</v>
      </c>
      <c r="Q280" s="300">
        <v>2.99</v>
      </c>
      <c r="R280" s="312">
        <v>6.99</v>
      </c>
      <c r="S280" s="142">
        <f t="shared" si="190"/>
        <v>0.42775393419170243</v>
      </c>
      <c r="T280" s="300">
        <f t="shared" si="182"/>
        <v>349.53495349534961</v>
      </c>
      <c r="U280" s="300">
        <f t="shared" si="183"/>
        <v>17476.747674767481</v>
      </c>
      <c r="V280" s="300">
        <v>350</v>
      </c>
      <c r="W280" s="300">
        <v>17500</v>
      </c>
      <c r="X280" s="110">
        <f>Q280/((V280/道具价值!$E$80)+(W280*道具价值!$AB$76/道具价值!$E$80))</f>
        <v>0.42718557570042726</v>
      </c>
      <c r="Y280" s="1" t="str">
        <f t="shared" si="191"/>
        <v>[350,17500]</v>
      </c>
      <c r="Z280" s="321">
        <f t="shared" si="192"/>
        <v>2.3409030100334443</v>
      </c>
    </row>
    <row r="281" spans="1:26" x14ac:dyDescent="0.3">
      <c r="A281" s="1" t="str">
        <f t="shared" si="184"/>
        <v>0_8,9_军费</v>
      </c>
      <c r="B281" s="298">
        <v>0</v>
      </c>
      <c r="C281" s="298" t="s">
        <v>4078</v>
      </c>
      <c r="D281" s="300" t="s">
        <v>4047</v>
      </c>
      <c r="E281" s="300">
        <v>4.99</v>
      </c>
      <c r="F281" s="312">
        <v>11.99</v>
      </c>
      <c r="G281" s="142">
        <f t="shared" si="185"/>
        <v>0.41618015012510429</v>
      </c>
      <c r="H281" s="312">
        <f t="shared" ref="H281:H309" si="193">IF(D281="军费",VLOOKUP(E281,$B$259:$D$273,3,FALSE)/G281,IF(D281="钻石",VLOOKUP(E281,$B$259:$D$273,2,FALSE)/G281))</f>
        <v>59955.995599559959</v>
      </c>
      <c r="I281" s="300">
        <v>60000</v>
      </c>
      <c r="J281" s="110">
        <f t="shared" si="186"/>
        <v>0.41587492082541594</v>
      </c>
      <c r="K281" s="1" t="str">
        <f t="shared" si="187"/>
        <v>[60000]</v>
      </c>
      <c r="L281" s="132">
        <f t="shared" si="188"/>
        <v>2.4045691382765528</v>
      </c>
      <c r="M281" s="1" t="str">
        <f t="shared" si="189"/>
        <v>0_8,9_混合</v>
      </c>
      <c r="N281" s="300">
        <v>0</v>
      </c>
      <c r="O281" s="300" t="s">
        <v>4078</v>
      </c>
      <c r="P281" s="300" t="s">
        <v>4066</v>
      </c>
      <c r="Q281" s="300">
        <v>4.99</v>
      </c>
      <c r="R281" s="312">
        <v>11.99</v>
      </c>
      <c r="S281" s="142">
        <f t="shared" si="190"/>
        <v>0.41618015012510429</v>
      </c>
      <c r="T281" s="300">
        <f t="shared" si="182"/>
        <v>599.55995599559958</v>
      </c>
      <c r="U281" s="300">
        <f t="shared" si="183"/>
        <v>29977.99779977998</v>
      </c>
      <c r="V281" s="300">
        <v>600</v>
      </c>
      <c r="W281" s="300">
        <v>30000</v>
      </c>
      <c r="X281" s="110">
        <f>Q281/((V281/道具价值!$E$80)+(W281*道具价值!$AB$76/道具价值!$E$80))</f>
        <v>0.41587492082541594</v>
      </c>
      <c r="Y281" s="1" t="str">
        <f t="shared" si="191"/>
        <v>[600,30000]</v>
      </c>
      <c r="Z281" s="321">
        <f t="shared" si="192"/>
        <v>2.4045691382765528</v>
      </c>
    </row>
    <row r="282" spans="1:26" x14ac:dyDescent="0.3">
      <c r="A282" s="1" t="str">
        <f t="shared" si="184"/>
        <v>0_10_军费</v>
      </c>
      <c r="B282" s="311">
        <v>0</v>
      </c>
      <c r="C282" s="311">
        <v>10</v>
      </c>
      <c r="D282" s="300" t="s">
        <v>4047</v>
      </c>
      <c r="E282" s="300">
        <v>4.99</v>
      </c>
      <c r="F282" s="312">
        <v>19.989999999999998</v>
      </c>
      <c r="G282" s="142">
        <f t="shared" si="185"/>
        <v>0.24962481240620313</v>
      </c>
      <c r="H282" s="312">
        <f t="shared" si="193"/>
        <v>99959.995999599967</v>
      </c>
      <c r="I282" s="300">
        <v>100000</v>
      </c>
      <c r="J282" s="110">
        <f t="shared" si="186"/>
        <v>0.24952495249524956</v>
      </c>
      <c r="K282" s="1" t="str">
        <f t="shared" si="187"/>
        <v>[100000]</v>
      </c>
      <c r="L282" s="132">
        <f t="shared" si="188"/>
        <v>4.0076152304609209</v>
      </c>
      <c r="M282" s="1" t="str">
        <f t="shared" si="189"/>
        <v>0_10_混合</v>
      </c>
      <c r="N282" s="300">
        <v>0</v>
      </c>
      <c r="O282" s="300">
        <v>10</v>
      </c>
      <c r="P282" s="300" t="s">
        <v>4066</v>
      </c>
      <c r="Q282" s="300">
        <v>4.99</v>
      </c>
      <c r="R282" s="312">
        <v>19.989999999999998</v>
      </c>
      <c r="S282" s="142">
        <f t="shared" si="190"/>
        <v>0.24962481240620313</v>
      </c>
      <c r="T282" s="300">
        <f t="shared" si="182"/>
        <v>999.5999599959996</v>
      </c>
      <c r="U282" s="300">
        <f t="shared" si="183"/>
        <v>49979.997999799984</v>
      </c>
      <c r="V282" s="300">
        <v>1000</v>
      </c>
      <c r="W282" s="300">
        <v>50000</v>
      </c>
      <c r="X282" s="110">
        <f>Q282/((V282/道具价值!$E$80)+(W282*道具价值!$AB$76/道具价值!$E$80))</f>
        <v>0.24952495249524956</v>
      </c>
      <c r="Y282" s="1" t="str">
        <f t="shared" si="191"/>
        <v>[1000,50000]</v>
      </c>
      <c r="Z282" s="321">
        <f t="shared" si="192"/>
        <v>4.0076152304609209</v>
      </c>
    </row>
    <row r="283" spans="1:26" x14ac:dyDescent="0.3">
      <c r="A283" s="1" t="str">
        <f t="shared" si="184"/>
        <v>0 to 5_1,2_军费</v>
      </c>
      <c r="B283" s="300" t="s">
        <v>4022</v>
      </c>
      <c r="C283" s="300" t="s">
        <v>4020</v>
      </c>
      <c r="D283" s="300" t="s">
        <v>3744</v>
      </c>
      <c r="E283" s="300">
        <v>2.99</v>
      </c>
      <c r="F283" s="312">
        <v>5.99</v>
      </c>
      <c r="G283" s="142">
        <f t="shared" si="185"/>
        <v>0.4991652754590985</v>
      </c>
      <c r="H283" s="312">
        <f t="shared" si="193"/>
        <v>29952.995299529957</v>
      </c>
      <c r="I283" s="300">
        <v>30000</v>
      </c>
      <c r="J283" s="110">
        <f t="shared" si="186"/>
        <v>0.4983831716504985</v>
      </c>
      <c r="K283" s="1" t="str">
        <f t="shared" si="187"/>
        <v>[30000]</v>
      </c>
      <c r="L283" s="132">
        <f t="shared" si="188"/>
        <v>2.0064882943143809</v>
      </c>
      <c r="M283" s="1" t="str">
        <f t="shared" si="189"/>
        <v>0 to 5_all_混合</v>
      </c>
      <c r="N283" s="300" t="s">
        <v>4022</v>
      </c>
      <c r="O283" s="300" t="s">
        <v>4064</v>
      </c>
      <c r="P283" s="300" t="s">
        <v>4066</v>
      </c>
      <c r="Q283" s="300">
        <v>9.99</v>
      </c>
      <c r="R283" s="312">
        <v>19.989999999999998</v>
      </c>
      <c r="S283" s="142">
        <f t="shared" si="190"/>
        <v>0.49974987493746881</v>
      </c>
      <c r="T283" s="300">
        <f t="shared" si="182"/>
        <v>999.5999599959996</v>
      </c>
      <c r="U283" s="300">
        <f t="shared" si="183"/>
        <v>49979.997999799976</v>
      </c>
      <c r="V283" s="300">
        <v>1000</v>
      </c>
      <c r="W283" s="300">
        <v>50000</v>
      </c>
      <c r="X283" s="110">
        <f>Q283/((V283/道具价值!$E$80)+(W283*道具价值!$AB$76/道具价值!$E$80))</f>
        <v>0.49954995499549965</v>
      </c>
      <c r="Y283" s="1" t="str">
        <f t="shared" si="191"/>
        <v>[1000,50000]</v>
      </c>
      <c r="Z283" s="321">
        <f t="shared" si="192"/>
        <v>2.0018018018018013</v>
      </c>
    </row>
    <row r="284" spans="1:26" x14ac:dyDescent="0.3">
      <c r="A284" s="1" t="str">
        <f t="shared" si="184"/>
        <v>0 to 5_3,4,5_军费</v>
      </c>
      <c r="B284" s="300" t="s">
        <v>4022</v>
      </c>
      <c r="C284" s="300" t="s">
        <v>4049</v>
      </c>
      <c r="D284" s="300" t="s">
        <v>3744</v>
      </c>
      <c r="E284" s="300">
        <v>4.99</v>
      </c>
      <c r="F284" s="312">
        <v>9.99</v>
      </c>
      <c r="G284" s="142">
        <f t="shared" si="185"/>
        <v>0.49949949949949951</v>
      </c>
      <c r="H284" s="312">
        <f t="shared" si="193"/>
        <v>49954.995499549965</v>
      </c>
      <c r="I284" s="300">
        <v>50000</v>
      </c>
      <c r="J284" s="110">
        <f t="shared" si="186"/>
        <v>0.49904990499049912</v>
      </c>
      <c r="K284" s="1" t="str">
        <f t="shared" si="187"/>
        <v>[50000]</v>
      </c>
      <c r="L284" s="132">
        <f t="shared" si="188"/>
        <v>2.0038076152304605</v>
      </c>
      <c r="M284" s="1" t="str">
        <f t="shared" si="189"/>
        <v>5 to 15_all_混合</v>
      </c>
      <c r="N284" s="300" t="s">
        <v>4051</v>
      </c>
      <c r="O284" s="300" t="s">
        <v>4064</v>
      </c>
      <c r="P284" s="300" t="s">
        <v>4066</v>
      </c>
      <c r="Q284" s="300">
        <v>11.99</v>
      </c>
      <c r="R284" s="312">
        <v>19.989999999999998</v>
      </c>
      <c r="S284" s="142">
        <f t="shared" si="190"/>
        <v>0.59979989994997507</v>
      </c>
      <c r="T284" s="300">
        <f t="shared" si="182"/>
        <v>999.59995999599948</v>
      </c>
      <c r="U284" s="300">
        <f t="shared" si="183"/>
        <v>49979.997999799976</v>
      </c>
      <c r="V284" s="300">
        <v>1000</v>
      </c>
      <c r="W284" s="300">
        <v>50000</v>
      </c>
      <c r="X284" s="110">
        <f>Q284/((V284/道具价值!$E$80)+(W284*道具价值!$AB$76/道具价值!$E$80))</f>
        <v>0.59955995599559964</v>
      </c>
      <c r="Y284" s="1" t="str">
        <f t="shared" si="191"/>
        <v>[1000,50000]</v>
      </c>
      <c r="Z284" s="321">
        <f t="shared" si="192"/>
        <v>1.6678899082568805</v>
      </c>
    </row>
    <row r="285" spans="1:26" x14ac:dyDescent="0.3">
      <c r="A285" s="1" t="str">
        <f t="shared" si="184"/>
        <v>0 to 5_6,7,8,9,10_军费</v>
      </c>
      <c r="B285" s="300" t="s">
        <v>4022</v>
      </c>
      <c r="C285" s="300" t="s">
        <v>4050</v>
      </c>
      <c r="D285" s="300" t="s">
        <v>3744</v>
      </c>
      <c r="E285" s="300">
        <v>9.99</v>
      </c>
      <c r="F285" s="312">
        <v>19.989999999999998</v>
      </c>
      <c r="G285" s="142">
        <f t="shared" si="185"/>
        <v>0.49974987493746881</v>
      </c>
      <c r="H285" s="312">
        <f t="shared" si="193"/>
        <v>99959.995999599952</v>
      </c>
      <c r="I285" s="300">
        <v>100000</v>
      </c>
      <c r="J285" s="110">
        <f t="shared" si="186"/>
        <v>0.49954995499549959</v>
      </c>
      <c r="K285" s="1" t="str">
        <f t="shared" si="187"/>
        <v>[100000]</v>
      </c>
      <c r="L285" s="132">
        <f t="shared" si="188"/>
        <v>2.0018018018018018</v>
      </c>
      <c r="M285" s="1" t="str">
        <f t="shared" si="189"/>
        <v>15 to 50_all_混合</v>
      </c>
      <c r="N285" s="300" t="s">
        <v>4054</v>
      </c>
      <c r="O285" s="300" t="s">
        <v>4064</v>
      </c>
      <c r="P285" s="300" t="s">
        <v>4066</v>
      </c>
      <c r="Q285" s="300">
        <v>35.99</v>
      </c>
      <c r="R285" s="312">
        <v>49.99</v>
      </c>
      <c r="S285" s="142">
        <f t="shared" si="190"/>
        <v>0.71994398879775956</v>
      </c>
      <c r="T285" s="300">
        <f t="shared" si="182"/>
        <v>2499.7499749975</v>
      </c>
      <c r="U285" s="300">
        <f t="shared" si="183"/>
        <v>124987.49874987501</v>
      </c>
      <c r="V285" s="300">
        <v>2500</v>
      </c>
      <c r="W285" s="300">
        <v>125000</v>
      </c>
      <c r="X285" s="110">
        <f>Q285/((V285/道具价值!$E$80)+(W285*道具价值!$AB$76/道具价值!$E$80))</f>
        <v>0.71987198719871992</v>
      </c>
      <c r="Y285" s="1" t="str">
        <f t="shared" si="191"/>
        <v>[2500,125000]</v>
      </c>
      <c r="Z285" s="321">
        <f t="shared" si="192"/>
        <v>1.3891358710752986</v>
      </c>
    </row>
    <row r="286" spans="1:26" x14ac:dyDescent="0.3">
      <c r="A286" s="1" t="str">
        <f t="shared" si="184"/>
        <v>5 to 15_1,2,3,4,5,6,7_军费</v>
      </c>
      <c r="B286" s="300" t="s">
        <v>4051</v>
      </c>
      <c r="C286" s="300" t="s">
        <v>4052</v>
      </c>
      <c r="D286" s="300" t="s">
        <v>3744</v>
      </c>
      <c r="E286" s="300">
        <v>11.99</v>
      </c>
      <c r="F286" s="312">
        <v>19.989999999999998</v>
      </c>
      <c r="G286" s="142">
        <f t="shared" si="185"/>
        <v>0.59979989994997507</v>
      </c>
      <c r="H286" s="312">
        <f t="shared" si="193"/>
        <v>99959.995999599952</v>
      </c>
      <c r="I286" s="300">
        <v>100000</v>
      </c>
      <c r="J286" s="110">
        <f t="shared" si="186"/>
        <v>0.59955995599559964</v>
      </c>
      <c r="K286" s="1" t="str">
        <f t="shared" si="187"/>
        <v>[100000]</v>
      </c>
      <c r="L286" s="132">
        <f t="shared" si="188"/>
        <v>1.6678899082568805</v>
      </c>
      <c r="M286" s="1" t="str">
        <f t="shared" si="189"/>
        <v>50 to 100_all_混合</v>
      </c>
      <c r="N286" s="300" t="s">
        <v>4057</v>
      </c>
      <c r="O286" s="300" t="s">
        <v>4064</v>
      </c>
      <c r="P286" s="300" t="s">
        <v>4066</v>
      </c>
      <c r="Q286" s="300">
        <v>74.989999999999995</v>
      </c>
      <c r="R286" s="312">
        <v>99.99</v>
      </c>
      <c r="S286" s="142">
        <f t="shared" si="190"/>
        <v>0.74997499749974994</v>
      </c>
      <c r="T286" s="300">
        <f t="shared" si="182"/>
        <v>5000</v>
      </c>
      <c r="U286" s="300">
        <f t="shared" si="183"/>
        <v>250000.00000000003</v>
      </c>
      <c r="V286" s="300">
        <v>5000</v>
      </c>
      <c r="W286" s="300">
        <v>250000</v>
      </c>
      <c r="X286" s="110">
        <f>Q286/((V286/道具价值!$E$80)+(W286*道具价值!$AB$76/道具价值!$E$80))</f>
        <v>0.74997499749974994</v>
      </c>
      <c r="Y286" s="1" t="str">
        <f t="shared" si="191"/>
        <v>[5000,250000]</v>
      </c>
      <c r="Z286" s="321">
        <f t="shared" si="192"/>
        <v>1.333377783704494</v>
      </c>
    </row>
    <row r="287" spans="1:26" x14ac:dyDescent="0.3">
      <c r="A287" s="1" t="str">
        <f t="shared" si="184"/>
        <v>5 to 15_8,9_军费</v>
      </c>
      <c r="B287" s="300" t="s">
        <v>4051</v>
      </c>
      <c r="C287" s="300" t="s">
        <v>4053</v>
      </c>
      <c r="D287" s="300" t="s">
        <v>3744</v>
      </c>
      <c r="E287" s="300">
        <v>29.99</v>
      </c>
      <c r="F287" s="312">
        <v>49.99</v>
      </c>
      <c r="G287" s="142">
        <f t="shared" si="185"/>
        <v>0.59991998399679936</v>
      </c>
      <c r="H287" s="312">
        <f t="shared" si="193"/>
        <v>249974.99749975</v>
      </c>
      <c r="I287" s="300">
        <v>250000</v>
      </c>
      <c r="J287" s="110">
        <f t="shared" si="186"/>
        <v>0.59985998599859991</v>
      </c>
      <c r="K287" s="1" t="str">
        <f t="shared" si="187"/>
        <v>[250000]</v>
      </c>
      <c r="L287" s="132">
        <f t="shared" si="188"/>
        <v>1.6670556852284093</v>
      </c>
      <c r="M287" s="1" t="str">
        <f t="shared" si="189"/>
        <v>100 above_all_混合</v>
      </c>
      <c r="N287" s="300" t="s">
        <v>4058</v>
      </c>
      <c r="O287" s="300" t="s">
        <v>4064</v>
      </c>
      <c r="P287" s="300" t="s">
        <v>4066</v>
      </c>
      <c r="Q287" s="300">
        <v>79.989999999999995</v>
      </c>
      <c r="R287" s="312">
        <v>99.99</v>
      </c>
      <c r="S287" s="142">
        <f t="shared" si="190"/>
        <v>0.79997999799980002</v>
      </c>
      <c r="T287" s="300">
        <f t="shared" si="182"/>
        <v>5000</v>
      </c>
      <c r="U287" s="300">
        <f t="shared" si="183"/>
        <v>250000</v>
      </c>
      <c r="V287" s="300">
        <v>5000</v>
      </c>
      <c r="W287" s="300">
        <v>250000</v>
      </c>
      <c r="X287" s="110">
        <f>Q287/((V287/道具价值!$E$80)+(W287*道具价值!$AB$76/道具价值!$E$80))</f>
        <v>0.79997999799980002</v>
      </c>
      <c r="Y287" s="1" t="str">
        <f t="shared" si="191"/>
        <v>[5000,250000]</v>
      </c>
      <c r="Z287" s="321">
        <f t="shared" si="192"/>
        <v>1.2500312539067382</v>
      </c>
    </row>
    <row r="288" spans="1:26" x14ac:dyDescent="0.3">
      <c r="A288" s="1" t="str">
        <f t="shared" si="184"/>
        <v>15 to 50_1,2,3_军费</v>
      </c>
      <c r="B288" s="300" t="s">
        <v>4054</v>
      </c>
      <c r="C288" s="300" t="s">
        <v>4055</v>
      </c>
      <c r="D288" s="300" t="s">
        <v>3744</v>
      </c>
      <c r="E288" s="300">
        <v>29.99</v>
      </c>
      <c r="F288" s="312">
        <v>49.99</v>
      </c>
      <c r="G288" s="142">
        <f t="shared" si="185"/>
        <v>0.59991998399679936</v>
      </c>
      <c r="H288" s="312">
        <f t="shared" si="193"/>
        <v>249974.99749975</v>
      </c>
      <c r="I288" s="300">
        <v>250000</v>
      </c>
      <c r="J288" s="110">
        <f t="shared" si="186"/>
        <v>0.59985998599859991</v>
      </c>
      <c r="K288" s="1" t="str">
        <f t="shared" si="187"/>
        <v>[250000]</v>
      </c>
      <c r="L288" s="132">
        <f t="shared" si="188"/>
        <v>1.6670556852284093</v>
      </c>
    </row>
    <row r="289" spans="1:12" x14ac:dyDescent="0.3">
      <c r="A289" s="1" t="str">
        <f t="shared" si="184"/>
        <v>15 to 50_4,5,6,7,8,9,10_军费</v>
      </c>
      <c r="B289" s="300" t="s">
        <v>4054</v>
      </c>
      <c r="C289" s="300" t="s">
        <v>4056</v>
      </c>
      <c r="D289" s="300" t="s">
        <v>3744</v>
      </c>
      <c r="E289" s="300">
        <v>69.989999999999995</v>
      </c>
      <c r="F289" s="312">
        <v>99.99</v>
      </c>
      <c r="G289" s="142">
        <f t="shared" si="185"/>
        <v>0.69996999699969997</v>
      </c>
      <c r="H289" s="312">
        <f t="shared" si="193"/>
        <v>500000</v>
      </c>
      <c r="I289" s="300">
        <v>500000</v>
      </c>
      <c r="J289" s="110">
        <f t="shared" si="186"/>
        <v>0.69996999699969997</v>
      </c>
      <c r="K289" s="1" t="str">
        <f t="shared" si="187"/>
        <v>[500000]</v>
      </c>
      <c r="L289" s="132">
        <f t="shared" si="188"/>
        <v>1.4286326618088299</v>
      </c>
    </row>
    <row r="290" spans="1:12" x14ac:dyDescent="0.3">
      <c r="A290" s="1" t="str">
        <f t="shared" si="184"/>
        <v>50 to 100_all_军费</v>
      </c>
      <c r="B290" s="312" t="s">
        <v>4057</v>
      </c>
      <c r="C290" s="312" t="s">
        <v>4064</v>
      </c>
      <c r="D290" s="312" t="s">
        <v>3744</v>
      </c>
      <c r="E290" s="312">
        <v>35.99</v>
      </c>
      <c r="F290" s="312">
        <v>49.99</v>
      </c>
      <c r="G290" s="142">
        <f t="shared" si="185"/>
        <v>0.71994398879775956</v>
      </c>
      <c r="H290" s="312">
        <f t="shared" si="193"/>
        <v>249974.99749975002</v>
      </c>
      <c r="I290" s="312">
        <v>250000</v>
      </c>
      <c r="J290" s="110">
        <f t="shared" si="186"/>
        <v>0.71987198719872003</v>
      </c>
      <c r="K290" s="1" t="str">
        <f t="shared" si="187"/>
        <v>[250000]</v>
      </c>
      <c r="L290" s="132">
        <f t="shared" si="188"/>
        <v>1.3891358710752983</v>
      </c>
    </row>
    <row r="291" spans="1:12" x14ac:dyDescent="0.3">
      <c r="A291" s="1" t="str">
        <f t="shared" si="184"/>
        <v>50 to 100_all_军费</v>
      </c>
      <c r="B291" s="300" t="s">
        <v>4057</v>
      </c>
      <c r="C291" s="300" t="s">
        <v>4064</v>
      </c>
      <c r="D291" s="312" t="s">
        <v>3744</v>
      </c>
      <c r="E291" s="300">
        <v>74.989999999999995</v>
      </c>
      <c r="F291" s="312">
        <v>99.99</v>
      </c>
      <c r="G291" s="142">
        <f t="shared" si="185"/>
        <v>0.74997499749974994</v>
      </c>
      <c r="H291" s="312">
        <f t="shared" si="193"/>
        <v>500000.00000000006</v>
      </c>
      <c r="I291" s="300">
        <v>500000</v>
      </c>
      <c r="J291" s="110">
        <f t="shared" si="186"/>
        <v>0.74997499749975005</v>
      </c>
      <c r="K291" s="1" t="str">
        <f t="shared" si="187"/>
        <v>[500000]</v>
      </c>
      <c r="L291" s="132">
        <f t="shared" si="188"/>
        <v>1.3333777837044938</v>
      </c>
    </row>
    <row r="292" spans="1:12" x14ac:dyDescent="0.3">
      <c r="A292" s="1" t="str">
        <f t="shared" si="184"/>
        <v>100 above_all_军费</v>
      </c>
      <c r="B292" s="312" t="s">
        <v>4058</v>
      </c>
      <c r="C292" s="312" t="s">
        <v>4064</v>
      </c>
      <c r="D292" s="312" t="s">
        <v>3744</v>
      </c>
      <c r="E292" s="312">
        <v>38.99</v>
      </c>
      <c r="F292" s="312">
        <v>49.99</v>
      </c>
      <c r="G292" s="142">
        <f t="shared" si="185"/>
        <v>0.77995599119823966</v>
      </c>
      <c r="H292" s="312">
        <f t="shared" si="193"/>
        <v>249974.99749975</v>
      </c>
      <c r="I292" s="312">
        <v>250000</v>
      </c>
      <c r="J292" s="110">
        <f t="shared" si="186"/>
        <v>0.77987798779877993</v>
      </c>
      <c r="K292" s="1" t="str">
        <f t="shared" si="187"/>
        <v>[250000]</v>
      </c>
      <c r="L292" s="132">
        <f t="shared" si="188"/>
        <v>1.2822518594511412</v>
      </c>
    </row>
    <row r="293" spans="1:12" x14ac:dyDescent="0.3">
      <c r="A293" s="1" t="str">
        <f t="shared" si="184"/>
        <v>100 above_all_军费</v>
      </c>
      <c r="B293" s="300" t="s">
        <v>4058</v>
      </c>
      <c r="C293" s="300" t="s">
        <v>4064</v>
      </c>
      <c r="D293" s="300" t="s">
        <v>3744</v>
      </c>
      <c r="E293" s="300">
        <v>79.989999999999995</v>
      </c>
      <c r="F293" s="312">
        <v>99.99</v>
      </c>
      <c r="G293" s="142">
        <f t="shared" si="185"/>
        <v>0.79997999799980002</v>
      </c>
      <c r="H293" s="312">
        <f t="shared" si="193"/>
        <v>500000</v>
      </c>
      <c r="I293" s="300">
        <v>500000</v>
      </c>
      <c r="J293" s="110">
        <f t="shared" si="186"/>
        <v>0.79997999799980002</v>
      </c>
      <c r="K293" s="1" t="str">
        <f t="shared" si="187"/>
        <v>[500000]</v>
      </c>
      <c r="L293" s="132">
        <f t="shared" si="188"/>
        <v>1.2500312539067382</v>
      </c>
    </row>
    <row r="294" spans="1:12" x14ac:dyDescent="0.3">
      <c r="A294" s="1" t="str">
        <f t="shared" si="184"/>
        <v>0_1,2,3_钻石</v>
      </c>
      <c r="B294" s="300">
        <v>0</v>
      </c>
      <c r="C294" s="300" t="s">
        <v>4079</v>
      </c>
      <c r="D294" s="300" t="s">
        <v>4059</v>
      </c>
      <c r="E294" s="300">
        <v>0.99</v>
      </c>
      <c r="F294" s="312">
        <v>2.99</v>
      </c>
      <c r="G294" s="142">
        <f t="shared" si="185"/>
        <v>0.33110367892976583</v>
      </c>
      <c r="H294" s="312">
        <f t="shared" si="193"/>
        <v>299.02990299029909</v>
      </c>
      <c r="I294" s="300">
        <v>300</v>
      </c>
      <c r="J294" s="110">
        <f t="shared" si="186"/>
        <v>0.33003300330033003</v>
      </c>
      <c r="K294" s="1" t="str">
        <f t="shared" si="187"/>
        <v>[300]</v>
      </c>
      <c r="L294" s="132">
        <f t="shared" si="188"/>
        <v>3.0300000000000002</v>
      </c>
    </row>
    <row r="295" spans="1:12" x14ac:dyDescent="0.3">
      <c r="A295" s="1" t="str">
        <f t="shared" si="184"/>
        <v>0_4,5_钻石</v>
      </c>
      <c r="B295" s="300">
        <v>0</v>
      </c>
      <c r="C295" s="300" t="s">
        <v>4027</v>
      </c>
      <c r="D295" s="300" t="s">
        <v>4059</v>
      </c>
      <c r="E295" s="300">
        <v>1.99</v>
      </c>
      <c r="F295" s="312">
        <v>4.99</v>
      </c>
      <c r="G295" s="142">
        <f t="shared" si="185"/>
        <v>0.39879759519038072</v>
      </c>
      <c r="H295" s="312">
        <f t="shared" si="193"/>
        <v>499.04990499049916</v>
      </c>
      <c r="I295" s="300">
        <v>500</v>
      </c>
      <c r="J295" s="110">
        <f t="shared" si="186"/>
        <v>0.39803980398039807</v>
      </c>
      <c r="K295" s="1" t="str">
        <f t="shared" si="187"/>
        <v>[500]</v>
      </c>
      <c r="L295" s="132">
        <f t="shared" si="188"/>
        <v>2.5123115577889448</v>
      </c>
    </row>
    <row r="296" spans="1:12" x14ac:dyDescent="0.3">
      <c r="A296" s="1" t="str">
        <f t="shared" si="184"/>
        <v>0_6,7_钻石</v>
      </c>
      <c r="B296" s="300">
        <v>0</v>
      </c>
      <c r="C296" s="300" t="s">
        <v>4029</v>
      </c>
      <c r="D296" s="300" t="s">
        <v>4059</v>
      </c>
      <c r="E296" s="300">
        <v>2.99</v>
      </c>
      <c r="F296" s="312">
        <v>6.99</v>
      </c>
      <c r="G296" s="142">
        <f t="shared" si="185"/>
        <v>0.42775393419170243</v>
      </c>
      <c r="H296" s="312">
        <f t="shared" si="193"/>
        <v>699.06990699069922</v>
      </c>
      <c r="I296" s="300">
        <v>700</v>
      </c>
      <c r="J296" s="110">
        <f t="shared" si="186"/>
        <v>0.42718557570042726</v>
      </c>
      <c r="K296" s="1" t="str">
        <f t="shared" si="187"/>
        <v>[700]</v>
      </c>
      <c r="L296" s="132">
        <f t="shared" si="188"/>
        <v>2.3409030100334443</v>
      </c>
    </row>
    <row r="297" spans="1:12" x14ac:dyDescent="0.3">
      <c r="A297" s="1" t="str">
        <f t="shared" si="184"/>
        <v>0_8,9_钻石</v>
      </c>
      <c r="B297" s="300">
        <v>0</v>
      </c>
      <c r="C297" s="300" t="s">
        <v>4077</v>
      </c>
      <c r="D297" s="300" t="s">
        <v>4059</v>
      </c>
      <c r="E297" s="300">
        <v>4.99</v>
      </c>
      <c r="F297" s="312">
        <v>11.99</v>
      </c>
      <c r="G297" s="142">
        <f t="shared" si="185"/>
        <v>0.41618015012510429</v>
      </c>
      <c r="H297" s="312">
        <f t="shared" si="193"/>
        <v>1199.1199119911992</v>
      </c>
      <c r="I297" s="300">
        <v>1200</v>
      </c>
      <c r="J297" s="110">
        <f t="shared" si="186"/>
        <v>0.41587492082541594</v>
      </c>
      <c r="K297" s="1" t="str">
        <f t="shared" si="187"/>
        <v>[1200]</v>
      </c>
      <c r="L297" s="132">
        <f t="shared" si="188"/>
        <v>2.4045691382765528</v>
      </c>
    </row>
    <row r="298" spans="1:12" x14ac:dyDescent="0.3">
      <c r="A298" s="1" t="str">
        <f t="shared" si="184"/>
        <v>0_10_钻石</v>
      </c>
      <c r="B298" s="300">
        <v>0</v>
      </c>
      <c r="C298" s="300">
        <v>10</v>
      </c>
      <c r="D298" s="300" t="s">
        <v>4059</v>
      </c>
      <c r="E298" s="300">
        <v>4.99</v>
      </c>
      <c r="F298" s="312">
        <v>19.989999999999998</v>
      </c>
      <c r="G298" s="142">
        <f t="shared" si="185"/>
        <v>0.24962481240620313</v>
      </c>
      <c r="H298" s="312">
        <f t="shared" si="193"/>
        <v>1999.1999199919992</v>
      </c>
      <c r="I298" s="300">
        <v>2000</v>
      </c>
      <c r="J298" s="110">
        <f>(H298*G298)/I298</f>
        <v>0.24952495249524956</v>
      </c>
      <c r="K298" s="1" t="str">
        <f t="shared" si="187"/>
        <v>[2000]</v>
      </c>
      <c r="L298" s="132">
        <f t="shared" si="188"/>
        <v>4.0076152304609209</v>
      </c>
    </row>
    <row r="299" spans="1:12" x14ac:dyDescent="0.3">
      <c r="A299" s="1" t="str">
        <f t="shared" si="184"/>
        <v>0 to 5_1,2_钻石</v>
      </c>
      <c r="B299" s="300" t="s">
        <v>4022</v>
      </c>
      <c r="C299" s="300" t="s">
        <v>4020</v>
      </c>
      <c r="D299" s="300" t="s">
        <v>4059</v>
      </c>
      <c r="E299" s="300">
        <v>2.99</v>
      </c>
      <c r="F299" s="312">
        <v>5.99</v>
      </c>
      <c r="G299" s="142">
        <f t="shared" si="185"/>
        <v>0.4991652754590985</v>
      </c>
      <c r="H299" s="312">
        <f t="shared" si="193"/>
        <v>599.05990599059919</v>
      </c>
      <c r="I299" s="300">
        <v>600</v>
      </c>
      <c r="J299" s="110">
        <f t="shared" si="186"/>
        <v>0.4983831716504985</v>
      </c>
      <c r="K299" s="1" t="str">
        <f t="shared" si="187"/>
        <v>[600]</v>
      </c>
      <c r="L299" s="132">
        <f t="shared" si="188"/>
        <v>2.0064882943143809</v>
      </c>
    </row>
    <row r="300" spans="1:12" x14ac:dyDescent="0.3">
      <c r="A300" s="1" t="str">
        <f t="shared" si="184"/>
        <v>0 to 5_3,4,5_钻石</v>
      </c>
      <c r="B300" s="300" t="s">
        <v>4022</v>
      </c>
      <c r="C300" s="300" t="s">
        <v>4049</v>
      </c>
      <c r="D300" s="300" t="s">
        <v>4059</v>
      </c>
      <c r="E300" s="300">
        <v>4.99</v>
      </c>
      <c r="F300" s="312">
        <v>9.99</v>
      </c>
      <c r="G300" s="142">
        <f t="shared" si="185"/>
        <v>0.49949949949949951</v>
      </c>
      <c r="H300" s="312">
        <f t="shared" si="193"/>
        <v>999.09990999099921</v>
      </c>
      <c r="I300" s="300">
        <v>1000</v>
      </c>
      <c r="J300" s="110">
        <f t="shared" si="186"/>
        <v>0.49904990499049912</v>
      </c>
      <c r="K300" s="1" t="str">
        <f t="shared" si="187"/>
        <v>[1000]</v>
      </c>
      <c r="L300" s="132">
        <f t="shared" si="188"/>
        <v>2.0038076152304605</v>
      </c>
    </row>
    <row r="301" spans="1:12" x14ac:dyDescent="0.3">
      <c r="A301" s="1" t="str">
        <f t="shared" si="184"/>
        <v>0 to 5_6,7,8,9,10_钻石</v>
      </c>
      <c r="B301" s="300" t="s">
        <v>4022</v>
      </c>
      <c r="C301" s="300" t="s">
        <v>4050</v>
      </c>
      <c r="D301" s="300" t="s">
        <v>4059</v>
      </c>
      <c r="E301" s="300">
        <v>9.99</v>
      </c>
      <c r="F301" s="312">
        <v>19.989999999999998</v>
      </c>
      <c r="G301" s="142">
        <f t="shared" si="185"/>
        <v>0.49974987493746881</v>
      </c>
      <c r="H301" s="312">
        <f t="shared" si="193"/>
        <v>1999.1999199919992</v>
      </c>
      <c r="I301" s="300">
        <v>2000</v>
      </c>
      <c r="J301" s="110">
        <f t="shared" si="186"/>
        <v>0.49954995499549959</v>
      </c>
      <c r="K301" s="1" t="str">
        <f t="shared" si="187"/>
        <v>[2000]</v>
      </c>
      <c r="L301" s="132">
        <f t="shared" si="188"/>
        <v>2.0018018018018018</v>
      </c>
    </row>
    <row r="302" spans="1:12" x14ac:dyDescent="0.3">
      <c r="A302" s="1" t="str">
        <f t="shared" si="184"/>
        <v>5 to 15_1,2,3,4,5,6,7_钻石</v>
      </c>
      <c r="B302" s="300" t="s">
        <v>4051</v>
      </c>
      <c r="C302" s="300" t="s">
        <v>4052</v>
      </c>
      <c r="D302" s="300" t="s">
        <v>4059</v>
      </c>
      <c r="E302" s="300">
        <v>11.99</v>
      </c>
      <c r="F302" s="312">
        <v>19.989999999999998</v>
      </c>
      <c r="G302" s="142">
        <f t="shared" si="185"/>
        <v>0.59979989994997507</v>
      </c>
      <c r="H302" s="312">
        <f t="shared" si="193"/>
        <v>1999.199919991999</v>
      </c>
      <c r="I302" s="300">
        <v>2000</v>
      </c>
      <c r="J302" s="110">
        <f t="shared" si="186"/>
        <v>0.59955995599559953</v>
      </c>
      <c r="K302" s="1" t="str">
        <f t="shared" si="187"/>
        <v>[2000]</v>
      </c>
      <c r="L302" s="132">
        <f t="shared" si="188"/>
        <v>1.6678899082568808</v>
      </c>
    </row>
    <row r="303" spans="1:12" x14ac:dyDescent="0.3">
      <c r="A303" s="1" t="str">
        <f t="shared" si="184"/>
        <v>5 to 15_8,9_钻石</v>
      </c>
      <c r="B303" s="300" t="s">
        <v>4051</v>
      </c>
      <c r="C303" s="300" t="s">
        <v>4053</v>
      </c>
      <c r="D303" s="300" t="s">
        <v>4059</v>
      </c>
      <c r="E303" s="300">
        <v>29.99</v>
      </c>
      <c r="F303" s="312">
        <v>49.99</v>
      </c>
      <c r="G303" s="142">
        <f t="shared" si="185"/>
        <v>0.59991998399679936</v>
      </c>
      <c r="H303" s="312">
        <f t="shared" si="193"/>
        <v>4999.499949995</v>
      </c>
      <c r="I303" s="300">
        <v>5000</v>
      </c>
      <c r="J303" s="110">
        <f t="shared" si="186"/>
        <v>0.59985998599859991</v>
      </c>
      <c r="K303" s="1" t="str">
        <f t="shared" si="187"/>
        <v>[5000]</v>
      </c>
      <c r="L303" s="132">
        <f t="shared" si="188"/>
        <v>1.6670556852284093</v>
      </c>
    </row>
    <row r="304" spans="1:12" x14ac:dyDescent="0.3">
      <c r="A304" s="1" t="str">
        <f t="shared" si="184"/>
        <v>15 to 50_1,2,3_钻石</v>
      </c>
      <c r="B304" s="300" t="s">
        <v>4054</v>
      </c>
      <c r="C304" s="300" t="s">
        <v>4055</v>
      </c>
      <c r="D304" s="300" t="s">
        <v>4059</v>
      </c>
      <c r="E304" s="300">
        <v>29.99</v>
      </c>
      <c r="F304" s="312">
        <v>49.99</v>
      </c>
      <c r="G304" s="142">
        <f t="shared" si="185"/>
        <v>0.59991998399679936</v>
      </c>
      <c r="H304" s="312">
        <f t="shared" si="193"/>
        <v>4999.499949995</v>
      </c>
      <c r="I304" s="300">
        <v>5000</v>
      </c>
      <c r="J304" s="110">
        <f t="shared" si="186"/>
        <v>0.59985998599859991</v>
      </c>
      <c r="K304" s="1" t="str">
        <f t="shared" si="187"/>
        <v>[5000]</v>
      </c>
      <c r="L304" s="132">
        <f t="shared" si="188"/>
        <v>1.6670556852284093</v>
      </c>
    </row>
    <row r="305" spans="1:12" x14ac:dyDescent="0.3">
      <c r="A305" s="1" t="str">
        <f t="shared" si="184"/>
        <v>15 to 50_4,5,6,7,8,9,10_钻石</v>
      </c>
      <c r="B305" s="300" t="s">
        <v>4054</v>
      </c>
      <c r="C305" s="300" t="s">
        <v>4056</v>
      </c>
      <c r="D305" s="300" t="s">
        <v>4059</v>
      </c>
      <c r="E305" s="300">
        <v>69.989999999999995</v>
      </c>
      <c r="F305" s="312">
        <v>99.99</v>
      </c>
      <c r="G305" s="142">
        <f t="shared" si="185"/>
        <v>0.69996999699969997</v>
      </c>
      <c r="H305" s="312">
        <f t="shared" si="193"/>
        <v>10000</v>
      </c>
      <c r="I305" s="300">
        <v>10000</v>
      </c>
      <c r="J305" s="110">
        <f t="shared" si="186"/>
        <v>0.69996999699969997</v>
      </c>
      <c r="K305" s="1" t="str">
        <f t="shared" si="187"/>
        <v>[10000]</v>
      </c>
      <c r="L305" s="132">
        <f t="shared" si="188"/>
        <v>1.4286326618088299</v>
      </c>
    </row>
    <row r="306" spans="1:12" x14ac:dyDescent="0.3">
      <c r="A306" s="1" t="str">
        <f t="shared" si="184"/>
        <v>50 to 100_all_钻石</v>
      </c>
      <c r="B306" s="312" t="s">
        <v>4057</v>
      </c>
      <c r="C306" s="312" t="s">
        <v>4064</v>
      </c>
      <c r="D306" s="312" t="s">
        <v>4059</v>
      </c>
      <c r="E306" s="312">
        <v>35.99</v>
      </c>
      <c r="F306" s="312">
        <v>49.99</v>
      </c>
      <c r="G306" s="142">
        <f t="shared" si="185"/>
        <v>0.71994398879775956</v>
      </c>
      <c r="H306" s="312">
        <f t="shared" si="193"/>
        <v>4999.499949995</v>
      </c>
      <c r="I306" s="312">
        <v>5000</v>
      </c>
      <c r="J306" s="110">
        <f t="shared" si="186"/>
        <v>0.71987198719871992</v>
      </c>
      <c r="K306" s="1" t="str">
        <f t="shared" si="187"/>
        <v>[5000]</v>
      </c>
      <c r="L306" s="132">
        <f t="shared" si="188"/>
        <v>1.3891358710752986</v>
      </c>
    </row>
    <row r="307" spans="1:12" x14ac:dyDescent="0.3">
      <c r="A307" s="1" t="str">
        <f t="shared" si="184"/>
        <v>50 to 100_all_钻石</v>
      </c>
      <c r="B307" s="300" t="s">
        <v>4057</v>
      </c>
      <c r="C307" s="300" t="s">
        <v>4064</v>
      </c>
      <c r="D307" s="300" t="s">
        <v>4059</v>
      </c>
      <c r="E307" s="300">
        <v>74.989999999999995</v>
      </c>
      <c r="F307" s="312">
        <v>99.99</v>
      </c>
      <c r="G307" s="142">
        <f t="shared" si="185"/>
        <v>0.74997499749974994</v>
      </c>
      <c r="H307" s="312">
        <f t="shared" si="193"/>
        <v>10000</v>
      </c>
      <c r="I307" s="300">
        <v>10000</v>
      </c>
      <c r="J307" s="110">
        <f t="shared" si="186"/>
        <v>0.74997499749974994</v>
      </c>
      <c r="K307" s="1" t="str">
        <f t="shared" si="187"/>
        <v>[10000]</v>
      </c>
      <c r="L307" s="132">
        <f t="shared" si="188"/>
        <v>1.333377783704494</v>
      </c>
    </row>
    <row r="308" spans="1:12" x14ac:dyDescent="0.3">
      <c r="A308" s="1" t="str">
        <f t="shared" si="184"/>
        <v>100 above_all_钻石</v>
      </c>
      <c r="B308" s="312" t="s">
        <v>4058</v>
      </c>
      <c r="C308" s="312" t="s">
        <v>4064</v>
      </c>
      <c r="D308" s="312" t="s">
        <v>4059</v>
      </c>
      <c r="E308" s="312">
        <v>38.99</v>
      </c>
      <c r="F308" s="312">
        <v>49.99</v>
      </c>
      <c r="G308" s="142">
        <f t="shared" si="185"/>
        <v>0.77995599119823966</v>
      </c>
      <c r="H308" s="312">
        <f t="shared" si="193"/>
        <v>4999.499949995</v>
      </c>
      <c r="I308" s="312">
        <v>5000</v>
      </c>
      <c r="J308" s="110">
        <f t="shared" si="186"/>
        <v>0.77987798779877993</v>
      </c>
      <c r="K308" s="1" t="str">
        <f t="shared" si="187"/>
        <v>[5000]</v>
      </c>
      <c r="L308" s="132">
        <f t="shared" si="188"/>
        <v>1.2822518594511412</v>
      </c>
    </row>
    <row r="309" spans="1:12" x14ac:dyDescent="0.3">
      <c r="A309" s="1" t="str">
        <f t="shared" si="184"/>
        <v>100 above_all_钻石</v>
      </c>
      <c r="B309" s="300" t="s">
        <v>4058</v>
      </c>
      <c r="C309" s="300" t="s">
        <v>4064</v>
      </c>
      <c r="D309" s="300" t="s">
        <v>4059</v>
      </c>
      <c r="E309" s="300">
        <v>79.989999999999995</v>
      </c>
      <c r="F309" s="312">
        <v>99.99</v>
      </c>
      <c r="G309" s="142">
        <f t="shared" si="185"/>
        <v>0.79997999799980002</v>
      </c>
      <c r="H309" s="312">
        <f t="shared" si="193"/>
        <v>10000</v>
      </c>
      <c r="I309" s="300">
        <v>10000</v>
      </c>
      <c r="J309" s="110">
        <f t="shared" si="186"/>
        <v>0.79997999799980002</v>
      </c>
      <c r="K309" s="1" t="str">
        <f t="shared" si="187"/>
        <v>[10000]</v>
      </c>
      <c r="L309" s="132">
        <f t="shared" si="188"/>
        <v>1.2500312539067382</v>
      </c>
    </row>
    <row r="312" spans="1:12" x14ac:dyDescent="0.3">
      <c r="B312" s="36" t="s">
        <v>4073</v>
      </c>
    </row>
  </sheetData>
  <mergeCells count="2">
    <mergeCell ref="B13:E13"/>
    <mergeCell ref="B26:D26"/>
  </mergeCells>
  <phoneticPr fontId="32" type="noConversion"/>
  <conditionalFormatting sqref="E278:E309">
    <cfRule type="colorScale" priority="3">
      <colorScale>
        <cfvo type="min"/>
        <cfvo type="max"/>
        <color rgb="FFFCFCFF"/>
        <color theme="9" tint="0.39997558519241921"/>
      </colorScale>
    </cfRule>
  </conditionalFormatting>
  <conditionalFormatting sqref="G278:G309">
    <cfRule type="dataBar" priority="2">
      <dataBar>
        <cfvo type="min"/>
        <cfvo type="max"/>
        <color rgb="FF6DD9FF"/>
      </dataBar>
      <extLst>
        <ext xmlns:x14="http://schemas.microsoft.com/office/spreadsheetml/2009/9/main" uri="{B025F937-C7B1-47D3-B67F-A62EFF666E3E}">
          <x14:id>{6659A78F-EA9F-4260-B8B7-A5F0DDD168EA}</x14:id>
        </ext>
      </extLst>
    </cfRule>
  </conditionalFormatting>
  <conditionalFormatting sqref="Q278:Q287">
    <cfRule type="colorScale" priority="1">
      <colorScale>
        <cfvo type="min"/>
        <cfvo type="max"/>
        <color rgb="FFFCFCFF"/>
        <color theme="9" tint="0.39997558519241921"/>
      </colorScale>
    </cfRule>
  </conditionalFormatting>
  <pageMargins left="0.7" right="0.7" top="0.75" bottom="0.75"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6659A78F-EA9F-4260-B8B7-A5F0DDD168EA}">
            <x14:dataBar minLength="0" maxLength="100" gradient="0">
              <x14:cfvo type="autoMin"/>
              <x14:cfvo type="autoMax"/>
              <x14:negativeFillColor rgb="FFFF0000"/>
              <x14:axisColor rgb="FF000000"/>
            </x14:dataBar>
          </x14:cfRule>
          <xm:sqref>G278:G309</xm:sqref>
        </x14:conditionalFormatting>
      </x14:conditionalFormattings>
    </ext>
  </extLs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30"/>
  <dimension ref="A1:AC422"/>
  <sheetViews>
    <sheetView workbookViewId="0">
      <pane xSplit="2" ySplit="2" topLeftCell="I157" activePane="bottomRight" state="frozen"/>
      <selection pane="topRight"/>
      <selection pane="bottomLeft"/>
      <selection pane="bottomRight" activeCell="V172" sqref="V172"/>
    </sheetView>
  </sheetViews>
  <sheetFormatPr defaultColWidth="9" defaultRowHeight="13.5" x14ac:dyDescent="0.15"/>
  <cols>
    <col min="1" max="1" width="6" customWidth="1"/>
    <col min="2" max="2" width="6.375" customWidth="1"/>
    <col min="3" max="3" width="23.625" customWidth="1"/>
    <col min="4" max="4" width="4.875" customWidth="1"/>
    <col min="6" max="6" width="9" style="56"/>
    <col min="7" max="7" width="23.625" customWidth="1"/>
    <col min="8" max="8" width="5.625" customWidth="1"/>
    <col min="10" max="10" width="8.5" style="56" customWidth="1"/>
    <col min="11" max="11" width="27.625" customWidth="1"/>
    <col min="12" max="12" width="4.625" customWidth="1"/>
    <col min="14" max="14" width="9" style="56"/>
    <col min="15" max="15" width="9" style="57"/>
    <col min="16" max="16" width="4.5" customWidth="1"/>
    <col min="17" max="17" width="16" customWidth="1"/>
    <col min="18" max="18" width="11.125" style="57" customWidth="1"/>
    <col min="19" max="20" width="10.5" style="58" customWidth="1"/>
    <col min="21" max="21" width="4.5" customWidth="1"/>
    <col min="22" max="22" width="21.625" customWidth="1"/>
    <col min="24" max="24" width="12.125" bestFit="1" customWidth="1"/>
    <col min="25" max="26" width="9.125" customWidth="1"/>
    <col min="27" max="27" width="4" customWidth="1"/>
    <col min="28" max="28" width="16.125" customWidth="1"/>
    <col min="29" max="29" width="24" customWidth="1"/>
    <col min="30" max="30" width="3.625" customWidth="1"/>
    <col min="33" max="33" width="3.625" customWidth="1"/>
    <col min="34" max="34" width="8" customWidth="1"/>
    <col min="37" max="37" width="6.125" customWidth="1"/>
    <col min="39" max="39" width="15.875" customWidth="1"/>
    <col min="45" max="45" width="22.875" customWidth="1"/>
    <col min="46" max="46" width="19.125" customWidth="1"/>
    <col min="47" max="47" width="9" customWidth="1"/>
    <col min="48" max="48" width="11.875" customWidth="1"/>
    <col min="49" max="49" width="29.375" customWidth="1"/>
    <col min="50" max="50" width="13" customWidth="1"/>
    <col min="51" max="51" width="9" customWidth="1"/>
    <col min="52" max="52" width="15.125" customWidth="1"/>
    <col min="53" max="53" width="11" customWidth="1"/>
    <col min="54" max="54" width="9" customWidth="1"/>
    <col min="55" max="55" width="9.875" customWidth="1"/>
    <col min="56" max="56" width="8" customWidth="1"/>
    <col min="57" max="57" width="9.5" customWidth="1"/>
    <col min="58" max="58" width="9.625" customWidth="1"/>
    <col min="59" max="59" width="8" customWidth="1"/>
    <col min="62" max="63" width="12.875" customWidth="1"/>
    <col min="64" max="64" width="5.125" customWidth="1"/>
    <col min="67" max="67" width="44.625" customWidth="1"/>
    <col min="68" max="68" width="20.125" customWidth="1"/>
    <col min="69" max="69" width="15.875" customWidth="1"/>
    <col min="70" max="70" width="12" customWidth="1"/>
  </cols>
  <sheetData>
    <row r="1" spans="1:29" x14ac:dyDescent="0.15">
      <c r="A1" s="11"/>
      <c r="B1" s="59"/>
      <c r="C1" s="60" t="s">
        <v>2974</v>
      </c>
      <c r="D1" s="61"/>
      <c r="E1" s="61"/>
      <c r="F1" s="62"/>
      <c r="G1" s="63" t="s">
        <v>2975</v>
      </c>
      <c r="H1" s="64"/>
      <c r="I1" s="64"/>
      <c r="J1" s="64"/>
      <c r="K1" s="64"/>
      <c r="L1" s="64"/>
      <c r="M1" s="64"/>
      <c r="N1" s="72"/>
      <c r="O1" s="73"/>
      <c r="Q1" s="48" t="s">
        <v>2966</v>
      </c>
      <c r="R1" s="78"/>
      <c r="S1" s="79"/>
      <c r="T1" s="79"/>
      <c r="V1" s="48" t="s">
        <v>2976</v>
      </c>
      <c r="AB1" s="48" t="s">
        <v>2977</v>
      </c>
    </row>
    <row r="2" spans="1:29" x14ac:dyDescent="0.15">
      <c r="A2" s="51" t="s">
        <v>2978</v>
      </c>
      <c r="B2" s="51" t="s">
        <v>2979</v>
      </c>
      <c r="C2" s="65" t="s">
        <v>2955</v>
      </c>
      <c r="D2" s="65" t="s">
        <v>717</v>
      </c>
      <c r="E2" s="65" t="s">
        <v>2980</v>
      </c>
      <c r="F2" s="66" t="s">
        <v>2825</v>
      </c>
      <c r="G2" s="67" t="s">
        <v>2955</v>
      </c>
      <c r="H2" s="67" t="s">
        <v>717</v>
      </c>
      <c r="I2" s="67" t="s">
        <v>2980</v>
      </c>
      <c r="J2" s="74" t="s">
        <v>2825</v>
      </c>
      <c r="K2" s="67" t="s">
        <v>2955</v>
      </c>
      <c r="L2" s="67" t="s">
        <v>717</v>
      </c>
      <c r="M2" s="67" t="s">
        <v>2980</v>
      </c>
      <c r="N2" s="74" t="s">
        <v>2825</v>
      </c>
      <c r="O2" s="75" t="s">
        <v>2981</v>
      </c>
      <c r="V2" s="80" t="s">
        <v>1783</v>
      </c>
      <c r="W2" s="80" t="s">
        <v>2982</v>
      </c>
      <c r="X2" s="80" t="s">
        <v>717</v>
      </c>
      <c r="Y2" s="80" t="s">
        <v>2983</v>
      </c>
      <c r="Z2" s="80" t="s">
        <v>2931</v>
      </c>
      <c r="AB2" s="54" t="s">
        <v>2984</v>
      </c>
      <c r="AC2" s="54" t="s">
        <v>2985</v>
      </c>
    </row>
    <row r="3" spans="1:29" ht="15.75" x14ac:dyDescent="0.3">
      <c r="A3" s="7">
        <v>1</v>
      </c>
      <c r="B3" s="7">
        <v>1</v>
      </c>
      <c r="C3" s="7" t="s">
        <v>268</v>
      </c>
      <c r="D3" s="7" t="str">
        <f t="shared" ref="D3:D66" si="0">IF(C3="","",VLOOKUP(C3,$V:$X,3,FALSE))</f>
        <v>军费</v>
      </c>
      <c r="E3" s="7">
        <v>30</v>
      </c>
      <c r="F3" s="68">
        <f t="shared" ref="F3:F66" si="1">IF(C3="",0,VLOOKUP(C3,$V:$W,2,FALSE)*E3)</f>
        <v>0.6</v>
      </c>
      <c r="G3" s="7" t="s">
        <v>2670</v>
      </c>
      <c r="H3" s="7" t="str">
        <f t="shared" ref="H3:H66" si="2">IF(G3="","",VLOOKUP(G3,$V:$X,3,FALSE))</f>
        <v>涂装</v>
      </c>
      <c r="I3" s="7">
        <v>1</v>
      </c>
      <c r="J3" s="68">
        <f t="shared" ref="J3:J66" si="3">IF(G3="",0,VLOOKUP(G3,$V:$W,2,FALSE)*I3)</f>
        <v>200</v>
      </c>
      <c r="K3" s="7" t="s">
        <v>2592</v>
      </c>
      <c r="L3" s="7" t="str">
        <f t="shared" ref="L3:L66" si="4">IF(K3="","",VLOOKUP(K3,$V:$X,3,FALSE))</f>
        <v>涂鸦</v>
      </c>
      <c r="M3" s="7">
        <v>1</v>
      </c>
      <c r="N3" s="68">
        <f t="shared" ref="N3:N66" si="5">IF(K3="",0,VLOOKUP(K3,$V:$W,2,FALSE)*M3)</f>
        <v>500</v>
      </c>
      <c r="O3" s="76"/>
      <c r="Q3" s="81"/>
      <c r="R3" s="82" t="s">
        <v>1806</v>
      </c>
      <c r="S3" s="83" t="s">
        <v>705</v>
      </c>
      <c r="T3" s="83" t="s">
        <v>706</v>
      </c>
      <c r="V3" s="84" t="s">
        <v>2691</v>
      </c>
      <c r="W3" s="2">
        <v>200</v>
      </c>
      <c r="X3" s="2" t="s">
        <v>2986</v>
      </c>
      <c r="Y3" s="2">
        <f t="shared" ref="Y3:Y34" si="6">IF(Z3="",SUMIFS(E:E,C:C,V3)+SUMIFS(I:I,G:G,V3)+SUMIFS(M:M,K:K,V3),1)</f>
        <v>1</v>
      </c>
      <c r="Z3" s="2"/>
      <c r="AB3" s="7" t="str">
        <f t="shared" ref="AB3:AB34" si="7">IF(C3="","[]","["&amp;"("&amp;VLOOKUP(C3,道具ID,2,FALSE)&amp;","&amp;E3&amp;")"&amp;"]")</f>
        <v>[(102,30)]</v>
      </c>
      <c r="AC3" s="7" t="str">
        <f t="shared" ref="AC3:AC34" si="8">IF(G3="","[]",IF(K3="","["&amp;"("&amp;VLOOKUP(G3,道具ID,2,FALSE)&amp;","&amp;I3&amp;")"&amp;"]","["&amp;"("&amp;VLOOKUP(G3,道具ID,2,FALSE)&amp;","&amp;I3&amp;")"&amp;","&amp;"("&amp;VLOOKUP(K3,道具ID,2,FALSE)&amp;","&amp;M3&amp;")"&amp;"]"))</f>
        <v>[(180010,1),(150102,1)]</v>
      </c>
    </row>
    <row r="4" spans="1:29" ht="15.75" x14ac:dyDescent="0.3">
      <c r="A4" s="7">
        <v>2</v>
      </c>
      <c r="B4" s="7">
        <v>1</v>
      </c>
      <c r="C4" s="7" t="s">
        <v>2705</v>
      </c>
      <c r="D4" s="7" t="str">
        <f t="shared" si="0"/>
        <v>头像</v>
      </c>
      <c r="E4" s="7">
        <v>1</v>
      </c>
      <c r="F4" s="68">
        <f t="shared" si="1"/>
        <v>100</v>
      </c>
      <c r="G4" s="7" t="s">
        <v>317</v>
      </c>
      <c r="H4" s="7" t="str">
        <f t="shared" si="2"/>
        <v>钻石</v>
      </c>
      <c r="I4" s="7">
        <v>20</v>
      </c>
      <c r="J4" s="68">
        <f t="shared" si="3"/>
        <v>20</v>
      </c>
      <c r="K4" s="7"/>
      <c r="L4" s="7" t="str">
        <f t="shared" si="4"/>
        <v/>
      </c>
      <c r="M4" s="7"/>
      <c r="N4" s="68">
        <f t="shared" si="5"/>
        <v>0</v>
      </c>
      <c r="O4" s="76"/>
      <c r="Q4" s="7" t="s">
        <v>2987</v>
      </c>
      <c r="R4" s="76">
        <f>SUM(F3:F102)</f>
        <v>2386.7000000000007</v>
      </c>
      <c r="S4" s="85">
        <f>R4/VLOOKUP(1,道具价值!$B$74:$E$80,4,FALSE)</f>
        <v>31.716591111111125</v>
      </c>
      <c r="T4" s="85">
        <f>R4/VLOOKUP(6,道具价值!$B$74:$E$80,4,FALSE)</f>
        <v>23.864613300000006</v>
      </c>
      <c r="V4" s="84" t="s">
        <v>2693</v>
      </c>
      <c r="W4" s="2">
        <v>200</v>
      </c>
      <c r="X4" s="2" t="s">
        <v>2986</v>
      </c>
      <c r="Y4" s="255">
        <f t="shared" si="6"/>
        <v>1</v>
      </c>
      <c r="Z4" s="2"/>
      <c r="AB4" s="7" t="str">
        <f t="shared" si="7"/>
        <v>[(140110,1)]</v>
      </c>
      <c r="AC4" s="7" t="str">
        <f t="shared" si="8"/>
        <v>[(101,20)]</v>
      </c>
    </row>
    <row r="5" spans="1:29" ht="15.75" x14ac:dyDescent="0.3">
      <c r="A5" s="7">
        <v>3</v>
      </c>
      <c r="B5" s="7">
        <v>1</v>
      </c>
      <c r="C5" s="7" t="s">
        <v>317</v>
      </c>
      <c r="D5" s="7" t="str">
        <f t="shared" si="0"/>
        <v>钻石</v>
      </c>
      <c r="E5" s="7">
        <v>20</v>
      </c>
      <c r="F5" s="68">
        <f t="shared" si="1"/>
        <v>20</v>
      </c>
      <c r="G5" s="7" t="s">
        <v>2686</v>
      </c>
      <c r="H5" s="7" t="str">
        <f t="shared" si="2"/>
        <v>BattlePass货币</v>
      </c>
      <c r="I5" s="7">
        <v>20</v>
      </c>
      <c r="J5" s="68">
        <f t="shared" si="3"/>
        <v>28</v>
      </c>
      <c r="K5" s="7" t="s">
        <v>268</v>
      </c>
      <c r="L5" s="7" t="str">
        <f t="shared" si="4"/>
        <v>军费</v>
      </c>
      <c r="M5" s="7">
        <v>250</v>
      </c>
      <c r="N5" s="68">
        <f t="shared" si="5"/>
        <v>5</v>
      </c>
      <c r="O5" s="76"/>
      <c r="Q5" s="7" t="s">
        <v>2988</v>
      </c>
      <c r="R5" s="76">
        <f>SUM(J3:J102)+SUM(N3:N102)</f>
        <v>17533.5</v>
      </c>
      <c r="S5" s="86">
        <f>R5/VLOOKUP(1,道具价值!$B$74:$E$80,4,FALSE)</f>
        <v>233.00073333333336</v>
      </c>
      <c r="T5" s="86">
        <f>R5/VLOOKUP(6,道具价值!$B$74:$E$80,4,FALSE)</f>
        <v>175.31746649999999</v>
      </c>
      <c r="V5" s="84" t="s">
        <v>2703</v>
      </c>
      <c r="W5" s="2">
        <v>100</v>
      </c>
      <c r="X5" s="2" t="s">
        <v>2986</v>
      </c>
      <c r="Y5" s="255">
        <f t="shared" si="6"/>
        <v>1</v>
      </c>
      <c r="Z5" s="2"/>
      <c r="AB5" s="7" t="str">
        <f t="shared" si="7"/>
        <v>[(101,20)]</v>
      </c>
      <c r="AC5" s="7" t="str">
        <f t="shared" si="8"/>
        <v>[(113,20),(102,250)]</v>
      </c>
    </row>
    <row r="6" spans="1:29" ht="15.75" x14ac:dyDescent="0.3">
      <c r="A6" s="7">
        <v>4</v>
      </c>
      <c r="B6" s="7">
        <v>1</v>
      </c>
      <c r="C6" s="7" t="s">
        <v>2434</v>
      </c>
      <c r="D6" s="7" t="str">
        <f t="shared" si="0"/>
        <v>宝箱</v>
      </c>
      <c r="E6" s="69">
        <v>1</v>
      </c>
      <c r="F6" s="68">
        <f t="shared" si="1"/>
        <v>200</v>
      </c>
      <c r="G6" s="7" t="s">
        <v>2699</v>
      </c>
      <c r="H6" s="7" t="str">
        <f t="shared" si="2"/>
        <v>头像</v>
      </c>
      <c r="I6" s="7">
        <v>1</v>
      </c>
      <c r="J6" s="68">
        <f t="shared" si="3"/>
        <v>200</v>
      </c>
      <c r="K6" s="7"/>
      <c r="L6" s="7" t="str">
        <f t="shared" si="4"/>
        <v/>
      </c>
      <c r="M6" s="7"/>
      <c r="N6" s="68">
        <f t="shared" si="5"/>
        <v>0</v>
      </c>
      <c r="O6" s="76"/>
      <c r="Q6" s="7" t="s">
        <v>2989</v>
      </c>
      <c r="R6" s="76">
        <f>R4+R5</f>
        <v>19920.2</v>
      </c>
      <c r="S6" s="86">
        <f>R6/VLOOKUP(1,道具价值!$B$74:$E$80,4,FALSE)</f>
        <v>264.7173244444445</v>
      </c>
      <c r="T6" s="86">
        <f>R6/VLOOKUP(6,道具价值!$B$74:$E$80,4,FALSE)</f>
        <v>199.1820798</v>
      </c>
      <c r="V6" s="84" t="s">
        <v>2699</v>
      </c>
      <c r="W6" s="2">
        <v>200</v>
      </c>
      <c r="X6" s="2" t="s">
        <v>2986</v>
      </c>
      <c r="Y6" s="255">
        <f t="shared" si="6"/>
        <v>1</v>
      </c>
      <c r="Z6" s="2"/>
      <c r="AB6" s="7" t="str">
        <f t="shared" si="7"/>
        <v>[(25052,1)]</v>
      </c>
      <c r="AC6" s="7" t="str">
        <f t="shared" si="8"/>
        <v>[(140107,1)]</v>
      </c>
    </row>
    <row r="7" spans="1:29" ht="15.75" x14ac:dyDescent="0.3">
      <c r="A7" s="7">
        <v>5</v>
      </c>
      <c r="B7" s="7">
        <v>1</v>
      </c>
      <c r="C7" s="7" t="s">
        <v>2618</v>
      </c>
      <c r="D7" s="7" t="str">
        <f t="shared" si="0"/>
        <v>摆件</v>
      </c>
      <c r="E7" s="7">
        <v>1</v>
      </c>
      <c r="F7" s="68">
        <f t="shared" si="1"/>
        <v>200</v>
      </c>
      <c r="G7" s="7" t="s">
        <v>2628</v>
      </c>
      <c r="H7" s="7" t="str">
        <f t="shared" si="2"/>
        <v>战旗</v>
      </c>
      <c r="I7" s="7">
        <v>1</v>
      </c>
      <c r="J7" s="68">
        <f t="shared" si="3"/>
        <v>50</v>
      </c>
      <c r="K7" s="7" t="s">
        <v>2636</v>
      </c>
      <c r="L7" s="7" t="str">
        <f t="shared" si="4"/>
        <v>战旗</v>
      </c>
      <c r="M7" s="7">
        <v>1</v>
      </c>
      <c r="N7" s="68">
        <f t="shared" si="5"/>
        <v>50</v>
      </c>
      <c r="O7" s="76"/>
      <c r="Q7" s="7" t="s">
        <v>2990</v>
      </c>
      <c r="R7" s="76">
        <v>11</v>
      </c>
      <c r="S7" s="85"/>
      <c r="T7" s="85"/>
      <c r="V7" s="84" t="s">
        <v>2705</v>
      </c>
      <c r="W7" s="2">
        <v>100</v>
      </c>
      <c r="X7" s="2" t="s">
        <v>2986</v>
      </c>
      <c r="Y7" s="255">
        <f t="shared" si="6"/>
        <v>1</v>
      </c>
      <c r="Z7" s="2"/>
      <c r="AB7" s="7" t="str">
        <f t="shared" si="7"/>
        <v>[(110101,1)]</v>
      </c>
      <c r="AC7" s="7" t="str">
        <f t="shared" si="8"/>
        <v>[(120101,1),(120201,1)]</v>
      </c>
    </row>
    <row r="8" spans="1:29" ht="15.75" x14ac:dyDescent="0.3">
      <c r="A8" s="7">
        <v>6</v>
      </c>
      <c r="B8" s="7">
        <v>1</v>
      </c>
      <c r="C8" s="7" t="s">
        <v>2604</v>
      </c>
      <c r="D8" s="7" t="str">
        <f t="shared" si="0"/>
        <v>头像框</v>
      </c>
      <c r="E8" s="7">
        <v>1</v>
      </c>
      <c r="F8" s="68">
        <f t="shared" si="1"/>
        <v>50</v>
      </c>
      <c r="G8" s="7" t="s">
        <v>2620</v>
      </c>
      <c r="H8" s="7" t="str">
        <f t="shared" si="2"/>
        <v>摆件</v>
      </c>
      <c r="I8" s="7">
        <v>1</v>
      </c>
      <c r="J8" s="68">
        <f t="shared" si="3"/>
        <v>500</v>
      </c>
      <c r="K8" s="7"/>
      <c r="L8" s="7" t="str">
        <f t="shared" si="4"/>
        <v/>
      </c>
      <c r="M8" s="7"/>
      <c r="N8" s="68">
        <f t="shared" si="5"/>
        <v>0</v>
      </c>
      <c r="O8" s="76"/>
      <c r="Q8" s="7" t="s">
        <v>2991</v>
      </c>
      <c r="R8" s="76">
        <f>SUMIFS($F$3:$F$102,$A$3:$A$102,"&lt;="&amp;R7)+SUMIFS($J$3:$J$102,$A$3:$A$102,"&lt;="&amp;R7)+SUMIFS($N$3:$N$102,$A$3:$A$102,"&lt;="&amp;R7)</f>
        <v>3881.4666666666672</v>
      </c>
      <c r="S8" s="85">
        <f>R8/VLOOKUP(1,道具价值!$B$74:$E$80,4,FALSE)</f>
        <v>51.580379259259267</v>
      </c>
      <c r="T8" s="85">
        <f>R8/VLOOKUP(6,道具价值!$B$74:$E$80,4,FALSE)</f>
        <v>38.810785199999998</v>
      </c>
      <c r="V8" s="84" t="s">
        <v>4127</v>
      </c>
      <c r="W8" s="2">
        <v>200</v>
      </c>
      <c r="X8" s="2" t="s">
        <v>2986</v>
      </c>
      <c r="Y8" s="255">
        <f t="shared" si="6"/>
        <v>1</v>
      </c>
      <c r="Z8" s="2"/>
      <c r="AB8" s="7" t="str">
        <f t="shared" si="7"/>
        <v>[(130102,1)]</v>
      </c>
      <c r="AC8" s="7" t="str">
        <f t="shared" si="8"/>
        <v>[(110102,1)]</v>
      </c>
    </row>
    <row r="9" spans="1:29" ht="15.75" x14ac:dyDescent="0.3">
      <c r="A9" s="7">
        <v>7</v>
      </c>
      <c r="B9" s="7">
        <v>1</v>
      </c>
      <c r="C9" s="7" t="s">
        <v>268</v>
      </c>
      <c r="D9" s="7" t="str">
        <f t="shared" si="0"/>
        <v>军费</v>
      </c>
      <c r="E9" s="7">
        <v>60</v>
      </c>
      <c r="F9" s="68">
        <f t="shared" si="1"/>
        <v>1.2</v>
      </c>
      <c r="G9" s="7" t="s">
        <v>317</v>
      </c>
      <c r="H9" s="7" t="str">
        <f t="shared" si="2"/>
        <v>钻石</v>
      </c>
      <c r="I9" s="7">
        <v>20</v>
      </c>
      <c r="J9" s="68">
        <f t="shared" si="3"/>
        <v>20</v>
      </c>
      <c r="K9" s="7"/>
      <c r="L9" s="7" t="str">
        <f t="shared" si="4"/>
        <v/>
      </c>
      <c r="M9" s="7"/>
      <c r="N9" s="68">
        <f t="shared" si="5"/>
        <v>0</v>
      </c>
      <c r="O9" s="76"/>
      <c r="Q9" s="7" t="s">
        <v>2992</v>
      </c>
      <c r="R9" s="14">
        <f>R8/R6</f>
        <v>0.19485078797736302</v>
      </c>
      <c r="S9" s="87">
        <f>S8/S6</f>
        <v>0.19485078797736299</v>
      </c>
      <c r="T9" s="87">
        <f>T8/T6</f>
        <v>0.19485078797736299</v>
      </c>
      <c r="V9" s="84" t="s">
        <v>2713</v>
      </c>
      <c r="W9" s="2">
        <v>200</v>
      </c>
      <c r="X9" s="2" t="s">
        <v>2986</v>
      </c>
      <c r="Y9" s="255">
        <f t="shared" si="6"/>
        <v>1</v>
      </c>
      <c r="Z9" s="2"/>
      <c r="AB9" s="7" t="str">
        <f t="shared" si="7"/>
        <v>[(102,60)]</v>
      </c>
      <c r="AC9" s="7" t="str">
        <f t="shared" si="8"/>
        <v>[(101,20)]</v>
      </c>
    </row>
    <row r="10" spans="1:29" ht="15.75" x14ac:dyDescent="0.3">
      <c r="A10" s="7">
        <v>8</v>
      </c>
      <c r="B10" s="7">
        <v>1</v>
      </c>
      <c r="C10" s="7" t="s">
        <v>2590</v>
      </c>
      <c r="D10" s="7" t="str">
        <f t="shared" si="0"/>
        <v>涂鸦</v>
      </c>
      <c r="E10" s="7">
        <v>1</v>
      </c>
      <c r="F10" s="68">
        <f t="shared" si="1"/>
        <v>500</v>
      </c>
      <c r="G10" s="7" t="s">
        <v>2644</v>
      </c>
      <c r="H10" s="7" t="str">
        <f t="shared" si="2"/>
        <v>战旗</v>
      </c>
      <c r="I10" s="7">
        <v>1</v>
      </c>
      <c r="J10" s="68">
        <f t="shared" si="3"/>
        <v>50</v>
      </c>
      <c r="K10" s="7"/>
      <c r="L10" s="7" t="str">
        <f t="shared" si="4"/>
        <v/>
      </c>
      <c r="M10" s="7"/>
      <c r="N10" s="68">
        <f t="shared" si="5"/>
        <v>0</v>
      </c>
      <c r="O10" s="76"/>
      <c r="Q10" s="13" t="s">
        <v>2928</v>
      </c>
      <c r="R10" s="76">
        <v>70</v>
      </c>
      <c r="S10" s="85"/>
      <c r="T10" s="85"/>
      <c r="V10" s="84" t="s">
        <v>2590</v>
      </c>
      <c r="W10" s="2">
        <v>500</v>
      </c>
      <c r="X10" s="2" t="s">
        <v>2993</v>
      </c>
      <c r="Y10" s="255">
        <f t="shared" si="6"/>
        <v>1</v>
      </c>
      <c r="Z10" s="2"/>
      <c r="AB10" s="7" t="str">
        <f t="shared" si="7"/>
        <v>[(150101,1)]</v>
      </c>
      <c r="AC10" s="7" t="str">
        <f t="shared" si="8"/>
        <v>[(120301,1)]</v>
      </c>
    </row>
    <row r="11" spans="1:29" ht="15.75" x14ac:dyDescent="0.3">
      <c r="A11" s="7">
        <v>9</v>
      </c>
      <c r="B11" s="7">
        <v>1</v>
      </c>
      <c r="C11" s="7" t="s">
        <v>273</v>
      </c>
      <c r="D11" s="7" t="str">
        <f t="shared" si="0"/>
        <v>钥匙</v>
      </c>
      <c r="E11" s="7">
        <v>20</v>
      </c>
      <c r="F11" s="68">
        <f t="shared" si="1"/>
        <v>16.666666666666682</v>
      </c>
      <c r="G11" s="7" t="s">
        <v>514</v>
      </c>
      <c r="H11" s="7" t="str">
        <f t="shared" si="2"/>
        <v>宝箱</v>
      </c>
      <c r="I11" s="7">
        <v>1</v>
      </c>
      <c r="J11" s="68">
        <f t="shared" si="3"/>
        <v>600</v>
      </c>
      <c r="K11" s="7"/>
      <c r="L11" s="7" t="str">
        <f t="shared" si="4"/>
        <v/>
      </c>
      <c r="M11" s="7"/>
      <c r="N11" s="68">
        <f t="shared" si="5"/>
        <v>0</v>
      </c>
      <c r="O11" s="76"/>
      <c r="Q11" s="13" t="s">
        <v>2921</v>
      </c>
      <c r="R11" s="76">
        <f>R6/R10</f>
        <v>284.57428571428574</v>
      </c>
      <c r="S11" s="88">
        <f>R11/VLOOKUP(1,道具价值!$B$74:$E$80,4,FALSE)</f>
        <v>3.7816760634920641</v>
      </c>
      <c r="T11" s="88">
        <f>R11/VLOOKUP(6,道具价值!$B$74:$E$80,4,FALSE)</f>
        <v>2.8454582828571429</v>
      </c>
      <c r="V11" s="84" t="s">
        <v>2592</v>
      </c>
      <c r="W11" s="2">
        <v>500</v>
      </c>
      <c r="X11" s="2" t="s">
        <v>2993</v>
      </c>
      <c r="Y11" s="255">
        <f t="shared" si="6"/>
        <v>1</v>
      </c>
      <c r="Z11" s="2"/>
      <c r="AB11" s="7" t="str">
        <f t="shared" si="7"/>
        <v>[(105,20)]</v>
      </c>
      <c r="AC11" s="7" t="str">
        <f t="shared" si="8"/>
        <v>[(25152,1)]</v>
      </c>
    </row>
    <row r="12" spans="1:29" ht="15.75" x14ac:dyDescent="0.3">
      <c r="A12" s="70">
        <v>10</v>
      </c>
      <c r="B12" s="7">
        <v>1</v>
      </c>
      <c r="C12" s="70" t="s">
        <v>2652</v>
      </c>
      <c r="D12" s="7" t="str">
        <f t="shared" si="0"/>
        <v>涂装</v>
      </c>
      <c r="E12" s="70">
        <v>1</v>
      </c>
      <c r="F12" s="71">
        <f t="shared" si="1"/>
        <v>50</v>
      </c>
      <c r="G12" s="70" t="s">
        <v>2608</v>
      </c>
      <c r="H12" s="7" t="str">
        <f t="shared" si="2"/>
        <v>头像框</v>
      </c>
      <c r="I12" s="70">
        <v>1</v>
      </c>
      <c r="J12" s="68">
        <f t="shared" si="3"/>
        <v>300</v>
      </c>
      <c r="K12" s="70" t="s">
        <v>2656</v>
      </c>
      <c r="L12" s="7" t="str">
        <f t="shared" si="4"/>
        <v>涂装</v>
      </c>
      <c r="M12" s="70">
        <v>1</v>
      </c>
      <c r="N12" s="68">
        <f t="shared" si="5"/>
        <v>200</v>
      </c>
      <c r="O12" s="77">
        <f>SUM(N3:N12)+SUM(J3:J12)+SUM(F3:F12)</f>
        <v>3861.4666666666672</v>
      </c>
      <c r="V12" s="84" t="s">
        <v>2594</v>
      </c>
      <c r="W12" s="2">
        <v>500</v>
      </c>
      <c r="X12" s="2" t="s">
        <v>2993</v>
      </c>
      <c r="Y12" s="255">
        <f t="shared" si="6"/>
        <v>1</v>
      </c>
      <c r="Z12" s="2"/>
      <c r="AB12" s="7" t="str">
        <f t="shared" si="7"/>
        <v>[(180001,1)]</v>
      </c>
      <c r="AC12" s="7" t="str">
        <f t="shared" si="8"/>
        <v>[(130104,1),(180003,1)]</v>
      </c>
    </row>
    <row r="13" spans="1:29" ht="15.75" x14ac:dyDescent="0.3">
      <c r="A13" s="7">
        <v>11</v>
      </c>
      <c r="B13" s="7">
        <v>1</v>
      </c>
      <c r="C13" s="7" t="s">
        <v>511</v>
      </c>
      <c r="D13" s="7" t="str">
        <f t="shared" si="0"/>
        <v>双倍钥匙</v>
      </c>
      <c r="E13" s="7">
        <v>30</v>
      </c>
      <c r="F13" s="68">
        <f t="shared" si="1"/>
        <v>15.000000000000014</v>
      </c>
      <c r="G13" s="7" t="s">
        <v>268</v>
      </c>
      <c r="H13" s="7" t="str">
        <f t="shared" si="2"/>
        <v>军费</v>
      </c>
      <c r="I13" s="7">
        <v>250</v>
      </c>
      <c r="J13" s="68">
        <f t="shared" si="3"/>
        <v>5</v>
      </c>
      <c r="K13" s="7"/>
      <c r="L13" s="7" t="str">
        <f t="shared" si="4"/>
        <v/>
      </c>
      <c r="M13" s="7"/>
      <c r="N13" s="68">
        <f t="shared" si="5"/>
        <v>0</v>
      </c>
      <c r="O13" s="76"/>
      <c r="Q13" s="11" t="s">
        <v>2994</v>
      </c>
      <c r="R13" s="89" t="s">
        <v>2995</v>
      </c>
      <c r="S13" s="90" t="s">
        <v>2996</v>
      </c>
      <c r="T13" s="90" t="s">
        <v>2997</v>
      </c>
      <c r="V13" s="84" t="s">
        <v>2596</v>
      </c>
      <c r="W13" s="2">
        <v>500</v>
      </c>
      <c r="X13" s="2" t="s">
        <v>2993</v>
      </c>
      <c r="Y13" s="255">
        <f t="shared" si="6"/>
        <v>0</v>
      </c>
      <c r="Z13" s="2"/>
      <c r="AB13" s="7" t="str">
        <f t="shared" si="7"/>
        <v>[(111,30)]</v>
      </c>
      <c r="AC13" s="7" t="str">
        <f t="shared" si="8"/>
        <v>[(102,250)]</v>
      </c>
    </row>
    <row r="14" spans="1:29" ht="15.75" x14ac:dyDescent="0.3">
      <c r="A14" s="7">
        <v>12</v>
      </c>
      <c r="B14" s="7">
        <v>1</v>
      </c>
      <c r="C14" s="7" t="s">
        <v>268</v>
      </c>
      <c r="D14" s="7" t="str">
        <f t="shared" si="0"/>
        <v>军费</v>
      </c>
      <c r="E14" s="7">
        <v>60</v>
      </c>
      <c r="F14" s="68">
        <f t="shared" si="1"/>
        <v>1.2</v>
      </c>
      <c r="G14" s="7" t="s">
        <v>2686</v>
      </c>
      <c r="H14" s="7" t="str">
        <f t="shared" si="2"/>
        <v>BattlePass货币</v>
      </c>
      <c r="I14" s="7">
        <v>20</v>
      </c>
      <c r="J14" s="68">
        <f t="shared" si="3"/>
        <v>28</v>
      </c>
      <c r="K14" s="7"/>
      <c r="L14" s="7" t="str">
        <f t="shared" si="4"/>
        <v/>
      </c>
      <c r="M14" s="7"/>
      <c r="N14" s="68">
        <f t="shared" si="5"/>
        <v>0</v>
      </c>
      <c r="O14" s="76"/>
      <c r="Q14" s="91" t="s">
        <v>2993</v>
      </c>
      <c r="R14" s="92">
        <f t="shared" ref="R14:R27" si="9">SUMIFS($E$3:$E$102,$D$3:$D$102,Q14)+SUMIFS($I$3:$I$102,$H$3:$H$102,Q14)+SUMIFS($M$3:$M$102,$L$3:$L$102,Q14)</f>
        <v>5</v>
      </c>
      <c r="S14" s="93">
        <f t="shared" ref="S14:S27" si="10">SUMIFS($E$3:$E$102,$D$3:$D$102,Q14)</f>
        <v>1</v>
      </c>
      <c r="T14" s="93">
        <f t="shared" ref="T14:T27" si="11">COUNTIF($X$3:$X$112,Q14)</f>
        <v>7</v>
      </c>
      <c r="V14" s="84" t="s">
        <v>2598</v>
      </c>
      <c r="W14" s="2">
        <v>500</v>
      </c>
      <c r="X14" s="2" t="s">
        <v>2993</v>
      </c>
      <c r="Y14" s="255">
        <f t="shared" si="6"/>
        <v>1</v>
      </c>
      <c r="Z14" s="2"/>
      <c r="AB14" s="7" t="str">
        <f t="shared" si="7"/>
        <v>[(102,60)]</v>
      </c>
      <c r="AC14" s="7" t="str">
        <f t="shared" si="8"/>
        <v>[(113,20)]</v>
      </c>
    </row>
    <row r="15" spans="1:29" ht="15.75" x14ac:dyDescent="0.3">
      <c r="A15" s="7">
        <v>13</v>
      </c>
      <c r="B15" s="7">
        <v>1</v>
      </c>
      <c r="C15" s="7" t="s">
        <v>4217</v>
      </c>
      <c r="D15" s="7" t="str">
        <f t="shared" si="0"/>
        <v>新加速道具</v>
      </c>
      <c r="E15" s="7">
        <v>1</v>
      </c>
      <c r="F15" s="68">
        <f t="shared" si="1"/>
        <v>4</v>
      </c>
      <c r="G15" s="7" t="s">
        <v>268</v>
      </c>
      <c r="H15" s="7" t="str">
        <f t="shared" si="2"/>
        <v>军费</v>
      </c>
      <c r="I15" s="7">
        <v>250</v>
      </c>
      <c r="J15" s="68">
        <f t="shared" si="3"/>
        <v>5</v>
      </c>
      <c r="K15" s="7" t="s">
        <v>2638</v>
      </c>
      <c r="L15" s="7" t="str">
        <f t="shared" si="4"/>
        <v>战旗</v>
      </c>
      <c r="M15" s="7">
        <v>1</v>
      </c>
      <c r="N15" s="68">
        <f t="shared" si="5"/>
        <v>100</v>
      </c>
      <c r="O15" s="76"/>
      <c r="Q15" s="91" t="s">
        <v>2986</v>
      </c>
      <c r="R15" s="92">
        <f t="shared" si="9"/>
        <v>6</v>
      </c>
      <c r="S15" s="93">
        <f t="shared" si="10"/>
        <v>2</v>
      </c>
      <c r="T15" s="93">
        <f t="shared" si="11"/>
        <v>7</v>
      </c>
      <c r="V15" s="84" t="s">
        <v>2600</v>
      </c>
      <c r="W15" s="2">
        <v>500</v>
      </c>
      <c r="X15" s="2" t="s">
        <v>2993</v>
      </c>
      <c r="Y15" s="255">
        <f t="shared" si="6"/>
        <v>1</v>
      </c>
      <c r="Z15" s="2"/>
      <c r="AB15" s="7" t="str">
        <f t="shared" si="7"/>
        <v>[(100202,1)]</v>
      </c>
      <c r="AC15" s="7" t="str">
        <f t="shared" si="8"/>
        <v>[(102,250),(120202,1)]</v>
      </c>
    </row>
    <row r="16" spans="1:29" ht="15.75" x14ac:dyDescent="0.3">
      <c r="A16" s="7">
        <v>14</v>
      </c>
      <c r="B16" s="7">
        <v>1</v>
      </c>
      <c r="C16" s="7" t="s">
        <v>268</v>
      </c>
      <c r="D16" s="7" t="str">
        <f t="shared" si="0"/>
        <v>军费</v>
      </c>
      <c r="E16" s="7">
        <v>60</v>
      </c>
      <c r="F16" s="68">
        <f t="shared" si="1"/>
        <v>1.2</v>
      </c>
      <c r="G16" s="7" t="s">
        <v>273</v>
      </c>
      <c r="H16" s="7" t="str">
        <f t="shared" si="2"/>
        <v>钥匙</v>
      </c>
      <c r="I16" s="7">
        <v>30</v>
      </c>
      <c r="J16" s="68">
        <f t="shared" si="3"/>
        <v>25.000000000000021</v>
      </c>
      <c r="K16" s="7"/>
      <c r="L16" s="7" t="str">
        <f t="shared" si="4"/>
        <v/>
      </c>
      <c r="M16" s="7"/>
      <c r="N16" s="68">
        <f t="shared" si="5"/>
        <v>0</v>
      </c>
      <c r="O16" s="76"/>
      <c r="Q16" s="91" t="s">
        <v>2998</v>
      </c>
      <c r="R16" s="92">
        <f t="shared" si="9"/>
        <v>7</v>
      </c>
      <c r="S16" s="93">
        <f t="shared" si="10"/>
        <v>2</v>
      </c>
      <c r="T16" s="93">
        <f t="shared" si="11"/>
        <v>7</v>
      </c>
      <c r="V16" s="84" t="s">
        <v>2602</v>
      </c>
      <c r="W16" s="2">
        <v>500</v>
      </c>
      <c r="X16" s="2" t="s">
        <v>2993</v>
      </c>
      <c r="Y16" s="255">
        <f t="shared" si="6"/>
        <v>1</v>
      </c>
      <c r="Z16" s="2"/>
      <c r="AB16" s="7" t="str">
        <f t="shared" si="7"/>
        <v>[(102,60)]</v>
      </c>
      <c r="AC16" s="7" t="str">
        <f t="shared" si="8"/>
        <v>[(105,30)]</v>
      </c>
    </row>
    <row r="17" spans="1:29" ht="15.75" x14ac:dyDescent="0.3">
      <c r="A17" s="7">
        <v>15</v>
      </c>
      <c r="B17" s="7">
        <v>1</v>
      </c>
      <c r="C17" s="7" t="s">
        <v>317</v>
      </c>
      <c r="D17" s="7" t="str">
        <f t="shared" si="0"/>
        <v>钻石</v>
      </c>
      <c r="E17" s="7">
        <v>10</v>
      </c>
      <c r="F17" s="68">
        <f t="shared" si="1"/>
        <v>10</v>
      </c>
      <c r="G17" s="7" t="s">
        <v>317</v>
      </c>
      <c r="H17" s="7" t="str">
        <f t="shared" si="2"/>
        <v>钻石</v>
      </c>
      <c r="I17" s="7">
        <v>20</v>
      </c>
      <c r="J17" s="68">
        <f t="shared" si="3"/>
        <v>20</v>
      </c>
      <c r="K17" s="7"/>
      <c r="L17" s="7" t="str">
        <f t="shared" si="4"/>
        <v/>
      </c>
      <c r="M17" s="7"/>
      <c r="N17" s="68">
        <f t="shared" si="5"/>
        <v>0</v>
      </c>
      <c r="O17" s="76"/>
      <c r="Q17" s="91" t="s">
        <v>2999</v>
      </c>
      <c r="R17" s="92">
        <f t="shared" si="9"/>
        <v>4</v>
      </c>
      <c r="S17" s="93">
        <f t="shared" si="10"/>
        <v>1</v>
      </c>
      <c r="T17" s="93">
        <f t="shared" si="11"/>
        <v>5</v>
      </c>
      <c r="V17" s="84" t="s">
        <v>2604</v>
      </c>
      <c r="W17" s="2">
        <v>50</v>
      </c>
      <c r="X17" s="2" t="s">
        <v>2998</v>
      </c>
      <c r="Y17" s="255">
        <f t="shared" si="6"/>
        <v>1</v>
      </c>
      <c r="Z17" s="2"/>
      <c r="AB17" s="7" t="str">
        <f t="shared" si="7"/>
        <v>[(101,10)]</v>
      </c>
      <c r="AC17" s="7" t="str">
        <f t="shared" si="8"/>
        <v>[(101,20)]</v>
      </c>
    </row>
    <row r="18" spans="1:29" ht="15.75" x14ac:dyDescent="0.3">
      <c r="A18" s="7">
        <v>16</v>
      </c>
      <c r="B18" s="7">
        <v>1</v>
      </c>
      <c r="C18" s="7" t="s">
        <v>2382</v>
      </c>
      <c r="D18" s="7" t="str">
        <f t="shared" si="0"/>
        <v>宝箱</v>
      </c>
      <c r="E18" s="7">
        <v>1</v>
      </c>
      <c r="F18" s="68">
        <f t="shared" si="1"/>
        <v>100</v>
      </c>
      <c r="G18" s="7" t="s">
        <v>2594</v>
      </c>
      <c r="H18" s="7" t="str">
        <f t="shared" si="2"/>
        <v>涂鸦</v>
      </c>
      <c r="I18" s="7">
        <v>1</v>
      </c>
      <c r="J18" s="68">
        <f t="shared" si="3"/>
        <v>500</v>
      </c>
      <c r="K18" s="7" t="s">
        <v>2646</v>
      </c>
      <c r="L18" s="7" t="str">
        <f t="shared" si="4"/>
        <v>战旗</v>
      </c>
      <c r="M18" s="7">
        <v>1</v>
      </c>
      <c r="N18" s="68">
        <f t="shared" si="5"/>
        <v>100</v>
      </c>
      <c r="O18" s="76"/>
      <c r="Q18" s="91" t="s">
        <v>3000</v>
      </c>
      <c r="R18" s="92">
        <f t="shared" si="9"/>
        <v>7</v>
      </c>
      <c r="S18" s="93">
        <f t="shared" si="10"/>
        <v>0</v>
      </c>
      <c r="T18" s="93">
        <f t="shared" si="11"/>
        <v>12</v>
      </c>
      <c r="V18" s="84" t="s">
        <v>2606</v>
      </c>
      <c r="W18" s="2">
        <v>100</v>
      </c>
      <c r="X18" s="2" t="s">
        <v>2998</v>
      </c>
      <c r="Y18" s="255">
        <f t="shared" si="6"/>
        <v>1</v>
      </c>
      <c r="Z18" s="2"/>
      <c r="AB18" s="7" t="str">
        <f t="shared" si="7"/>
        <v>[(23004,1)]</v>
      </c>
      <c r="AC18" s="7" t="str">
        <f t="shared" si="8"/>
        <v>[(150103,1),(120302,1)]</v>
      </c>
    </row>
    <row r="19" spans="1:29" ht="15.75" x14ac:dyDescent="0.3">
      <c r="A19" s="7">
        <v>17</v>
      </c>
      <c r="B19" s="7">
        <v>1</v>
      </c>
      <c r="C19" s="7" t="s">
        <v>511</v>
      </c>
      <c r="D19" s="7" t="str">
        <f t="shared" si="0"/>
        <v>双倍钥匙</v>
      </c>
      <c r="E19" s="7">
        <v>40</v>
      </c>
      <c r="F19" s="68">
        <f t="shared" si="1"/>
        <v>20.000000000000018</v>
      </c>
      <c r="G19" s="7" t="s">
        <v>2434</v>
      </c>
      <c r="H19" s="7" t="str">
        <f t="shared" si="2"/>
        <v>宝箱</v>
      </c>
      <c r="I19" s="7">
        <v>1</v>
      </c>
      <c r="J19" s="68">
        <f t="shared" si="3"/>
        <v>200</v>
      </c>
      <c r="K19" s="7"/>
      <c r="L19" s="7" t="str">
        <f t="shared" si="4"/>
        <v/>
      </c>
      <c r="M19" s="7"/>
      <c r="N19" s="68">
        <f t="shared" si="5"/>
        <v>0</v>
      </c>
      <c r="O19" s="76"/>
      <c r="Q19" s="91" t="s">
        <v>3001</v>
      </c>
      <c r="R19" s="92">
        <f t="shared" si="9"/>
        <v>10</v>
      </c>
      <c r="S19" s="93">
        <f t="shared" si="10"/>
        <v>2</v>
      </c>
      <c r="T19" s="93">
        <f t="shared" si="11"/>
        <v>20</v>
      </c>
      <c r="V19" s="84" t="s">
        <v>2608</v>
      </c>
      <c r="W19" s="2">
        <v>300</v>
      </c>
      <c r="X19" s="2" t="s">
        <v>2998</v>
      </c>
      <c r="Y19" s="255">
        <f t="shared" si="6"/>
        <v>1</v>
      </c>
      <c r="Z19" s="2"/>
      <c r="AB19" s="7" t="str">
        <f t="shared" si="7"/>
        <v>[(111,40)]</v>
      </c>
      <c r="AC19" s="7" t="str">
        <f t="shared" si="8"/>
        <v>[(25052,1)]</v>
      </c>
    </row>
    <row r="20" spans="1:29" ht="15.75" x14ac:dyDescent="0.3">
      <c r="A20" s="7">
        <v>18</v>
      </c>
      <c r="B20" s="7">
        <v>1</v>
      </c>
      <c r="C20" s="7" t="s">
        <v>268</v>
      </c>
      <c r="D20" s="7" t="str">
        <f t="shared" si="0"/>
        <v>军费</v>
      </c>
      <c r="E20" s="7">
        <v>125</v>
      </c>
      <c r="F20" s="68">
        <f t="shared" si="1"/>
        <v>2.5</v>
      </c>
      <c r="G20" s="7" t="s">
        <v>511</v>
      </c>
      <c r="H20" s="7" t="str">
        <f t="shared" si="2"/>
        <v>双倍钥匙</v>
      </c>
      <c r="I20" s="7">
        <v>20</v>
      </c>
      <c r="J20" s="68">
        <f t="shared" si="3"/>
        <v>10.000000000000009</v>
      </c>
      <c r="K20" s="7"/>
      <c r="L20" s="7" t="str">
        <f t="shared" si="4"/>
        <v/>
      </c>
      <c r="M20" s="7"/>
      <c r="N20" s="68">
        <f t="shared" si="5"/>
        <v>0</v>
      </c>
      <c r="O20" s="76"/>
      <c r="Q20" s="91" t="s">
        <v>3002</v>
      </c>
      <c r="R20" s="92">
        <f t="shared" si="9"/>
        <v>2</v>
      </c>
      <c r="S20" s="93">
        <f t="shared" si="10"/>
        <v>0</v>
      </c>
      <c r="T20" s="93">
        <f t="shared" si="11"/>
        <v>3</v>
      </c>
      <c r="V20" s="84" t="s">
        <v>2610</v>
      </c>
      <c r="W20" s="2">
        <v>500</v>
      </c>
      <c r="X20" s="2" t="s">
        <v>2998</v>
      </c>
      <c r="Y20" s="255">
        <f t="shared" si="6"/>
        <v>1</v>
      </c>
      <c r="Z20" s="2"/>
      <c r="AB20" s="7" t="str">
        <f t="shared" si="7"/>
        <v>[(102,125)]</v>
      </c>
      <c r="AC20" s="7" t="str">
        <f t="shared" si="8"/>
        <v>[(111,20)]</v>
      </c>
    </row>
    <row r="21" spans="1:29" ht="15.75" x14ac:dyDescent="0.3">
      <c r="A21" s="7">
        <v>19</v>
      </c>
      <c r="B21" s="7">
        <v>1</v>
      </c>
      <c r="C21" s="7" t="s">
        <v>273</v>
      </c>
      <c r="D21" s="7" t="str">
        <f t="shared" si="0"/>
        <v>钥匙</v>
      </c>
      <c r="E21" s="7">
        <v>20</v>
      </c>
      <c r="F21" s="68">
        <f t="shared" si="1"/>
        <v>16.666666666666682</v>
      </c>
      <c r="G21" s="7" t="s">
        <v>317</v>
      </c>
      <c r="H21" s="7" t="str">
        <f t="shared" si="2"/>
        <v>钻石</v>
      </c>
      <c r="I21" s="7">
        <v>20</v>
      </c>
      <c r="J21" s="68">
        <f t="shared" si="3"/>
        <v>20</v>
      </c>
      <c r="K21" s="7"/>
      <c r="L21" s="7" t="str">
        <f t="shared" si="4"/>
        <v/>
      </c>
      <c r="M21" s="7"/>
      <c r="N21" s="68">
        <f t="shared" si="5"/>
        <v>0</v>
      </c>
      <c r="O21" s="76"/>
      <c r="Q21" s="13" t="s">
        <v>268</v>
      </c>
      <c r="R21" s="76">
        <f t="shared" si="9"/>
        <v>10110</v>
      </c>
      <c r="S21" s="69">
        <f t="shared" si="10"/>
        <v>1435</v>
      </c>
      <c r="T21" s="69">
        <f t="shared" si="11"/>
        <v>1</v>
      </c>
      <c r="V21" s="84" t="s">
        <v>2612</v>
      </c>
      <c r="W21" s="2">
        <v>600</v>
      </c>
      <c r="X21" s="2" t="s">
        <v>2998</v>
      </c>
      <c r="Y21" s="255">
        <f t="shared" si="6"/>
        <v>1</v>
      </c>
      <c r="Z21" s="2"/>
      <c r="AB21" s="7" t="str">
        <f t="shared" si="7"/>
        <v>[(105,20)]</v>
      </c>
      <c r="AC21" s="7" t="str">
        <f t="shared" si="8"/>
        <v>[(101,20)]</v>
      </c>
    </row>
    <row r="22" spans="1:29" ht="15.75" x14ac:dyDescent="0.3">
      <c r="A22" s="70">
        <v>20</v>
      </c>
      <c r="B22" s="7">
        <v>1</v>
      </c>
      <c r="C22" s="70" t="s">
        <v>2703</v>
      </c>
      <c r="D22" s="7" t="str">
        <f t="shared" si="0"/>
        <v>头像</v>
      </c>
      <c r="E22" s="70">
        <v>1</v>
      </c>
      <c r="F22" s="71">
        <f t="shared" si="1"/>
        <v>100</v>
      </c>
      <c r="G22" s="70" t="s">
        <v>2713</v>
      </c>
      <c r="H22" s="7" t="str">
        <f t="shared" si="2"/>
        <v>头像</v>
      </c>
      <c r="I22" s="70">
        <v>1</v>
      </c>
      <c r="J22" s="68">
        <f t="shared" si="3"/>
        <v>200</v>
      </c>
      <c r="K22" s="70" t="s">
        <v>2622</v>
      </c>
      <c r="L22" s="7" t="str">
        <f t="shared" si="4"/>
        <v>摆件</v>
      </c>
      <c r="M22" s="70">
        <v>1</v>
      </c>
      <c r="N22" s="68">
        <f t="shared" si="5"/>
        <v>500</v>
      </c>
      <c r="O22" s="77">
        <f>SUM(N13:N22)+SUM(J13:J22)+SUM(F13:F22)</f>
        <v>1983.5666666666666</v>
      </c>
      <c r="Q22" s="13" t="s">
        <v>273</v>
      </c>
      <c r="R22" s="76">
        <f t="shared" si="9"/>
        <v>300</v>
      </c>
      <c r="S22" s="69">
        <f t="shared" si="10"/>
        <v>90</v>
      </c>
      <c r="T22" s="69">
        <f t="shared" si="11"/>
        <v>1</v>
      </c>
      <c r="V22" s="84" t="s">
        <v>2614</v>
      </c>
      <c r="W22" s="2">
        <v>600</v>
      </c>
      <c r="X22" s="2" t="s">
        <v>2998</v>
      </c>
      <c r="Y22" s="255">
        <f t="shared" si="6"/>
        <v>1</v>
      </c>
      <c r="Z22" s="2"/>
      <c r="AB22" s="7" t="str">
        <f t="shared" si="7"/>
        <v>[(140109,1)]</v>
      </c>
      <c r="AC22" s="7" t="str">
        <f t="shared" si="8"/>
        <v>[(140114,1),(110103,1)]</v>
      </c>
    </row>
    <row r="23" spans="1:29" ht="15.75" x14ac:dyDescent="0.3">
      <c r="A23" s="7">
        <v>21</v>
      </c>
      <c r="B23" s="7">
        <v>1</v>
      </c>
      <c r="C23" s="7" t="s">
        <v>268</v>
      </c>
      <c r="D23" s="7" t="str">
        <f t="shared" si="0"/>
        <v>军费</v>
      </c>
      <c r="E23" s="69">
        <v>125</v>
      </c>
      <c r="F23" s="68">
        <f t="shared" si="1"/>
        <v>2.5</v>
      </c>
      <c r="G23" s="7" t="s">
        <v>273</v>
      </c>
      <c r="H23" s="7" t="str">
        <f t="shared" si="2"/>
        <v>钥匙</v>
      </c>
      <c r="I23" s="7">
        <v>20</v>
      </c>
      <c r="J23" s="68">
        <f t="shared" si="3"/>
        <v>16.666666666666682</v>
      </c>
      <c r="K23" s="7"/>
      <c r="L23" s="7" t="str">
        <f t="shared" si="4"/>
        <v/>
      </c>
      <c r="M23" s="7"/>
      <c r="N23" s="68">
        <f t="shared" si="5"/>
        <v>0</v>
      </c>
      <c r="O23" s="76"/>
      <c r="Q23" s="13" t="s">
        <v>511</v>
      </c>
      <c r="R23" s="76">
        <f t="shared" si="9"/>
        <v>200</v>
      </c>
      <c r="S23" s="69">
        <f t="shared" si="10"/>
        <v>70</v>
      </c>
      <c r="T23" s="69">
        <f t="shared" si="11"/>
        <v>1</v>
      </c>
      <c r="V23" s="84" t="s">
        <v>2616</v>
      </c>
      <c r="W23" s="2">
        <v>600</v>
      </c>
      <c r="X23" s="2" t="s">
        <v>2998</v>
      </c>
      <c r="Y23" s="255">
        <f t="shared" si="6"/>
        <v>1</v>
      </c>
      <c r="Z23" s="2"/>
      <c r="AB23" s="7" t="str">
        <f t="shared" si="7"/>
        <v>[(102,125)]</v>
      </c>
      <c r="AC23" s="7" t="str">
        <f t="shared" si="8"/>
        <v>[(105,20)]</v>
      </c>
    </row>
    <row r="24" spans="1:29" ht="15.75" x14ac:dyDescent="0.3">
      <c r="A24" s="7">
        <v>22</v>
      </c>
      <c r="B24" s="7">
        <v>1</v>
      </c>
      <c r="C24" s="7" t="s">
        <v>268</v>
      </c>
      <c r="D24" s="7" t="str">
        <f t="shared" si="0"/>
        <v>军费</v>
      </c>
      <c r="E24" s="7">
        <v>125</v>
      </c>
      <c r="F24" s="68">
        <f t="shared" si="1"/>
        <v>2.5</v>
      </c>
      <c r="G24" s="7" t="s">
        <v>317</v>
      </c>
      <c r="H24" s="7" t="str">
        <f t="shared" si="2"/>
        <v>钻石</v>
      </c>
      <c r="I24" s="7">
        <v>20</v>
      </c>
      <c r="J24" s="68">
        <f t="shared" si="3"/>
        <v>20</v>
      </c>
      <c r="K24" s="7"/>
      <c r="L24" s="7" t="str">
        <f t="shared" si="4"/>
        <v/>
      </c>
      <c r="M24" s="7"/>
      <c r="N24" s="68">
        <f t="shared" si="5"/>
        <v>0</v>
      </c>
      <c r="O24" s="76"/>
      <c r="Q24" s="7" t="s">
        <v>3003</v>
      </c>
      <c r="R24" s="76">
        <f t="shared" si="9"/>
        <v>0</v>
      </c>
      <c r="S24" s="69">
        <f t="shared" si="10"/>
        <v>0</v>
      </c>
      <c r="T24" s="69">
        <f t="shared" si="11"/>
        <v>0</v>
      </c>
      <c r="V24" s="84" t="s">
        <v>2618</v>
      </c>
      <c r="W24" s="2">
        <v>200</v>
      </c>
      <c r="X24" s="2" t="s">
        <v>2999</v>
      </c>
      <c r="Y24" s="255">
        <f t="shared" si="6"/>
        <v>1</v>
      </c>
      <c r="Z24" s="2"/>
      <c r="AB24" s="7" t="str">
        <f t="shared" si="7"/>
        <v>[(102,125)]</v>
      </c>
      <c r="AC24" s="7" t="str">
        <f t="shared" si="8"/>
        <v>[(101,20)]</v>
      </c>
    </row>
    <row r="25" spans="1:29" ht="15.75" x14ac:dyDescent="0.3">
      <c r="A25" s="7">
        <v>23</v>
      </c>
      <c r="B25" s="7">
        <v>1</v>
      </c>
      <c r="C25" s="7" t="s">
        <v>268</v>
      </c>
      <c r="D25" s="7" t="str">
        <f t="shared" si="0"/>
        <v>军费</v>
      </c>
      <c r="E25" s="7">
        <v>200</v>
      </c>
      <c r="F25" s="68">
        <f t="shared" si="1"/>
        <v>4</v>
      </c>
      <c r="G25" s="7" t="s">
        <v>268</v>
      </c>
      <c r="H25" s="7" t="str">
        <f t="shared" si="2"/>
        <v>军费</v>
      </c>
      <c r="I25" s="7">
        <v>250</v>
      </c>
      <c r="J25" s="68">
        <f t="shared" si="3"/>
        <v>5</v>
      </c>
      <c r="K25" s="7"/>
      <c r="L25" s="7" t="str">
        <f t="shared" si="4"/>
        <v/>
      </c>
      <c r="M25" s="7"/>
      <c r="N25" s="68">
        <f t="shared" si="5"/>
        <v>0</v>
      </c>
      <c r="O25" s="76"/>
      <c r="Q25" s="13" t="s">
        <v>3004</v>
      </c>
      <c r="R25" s="76">
        <f t="shared" si="9"/>
        <v>17</v>
      </c>
      <c r="S25" s="69">
        <f t="shared" si="10"/>
        <v>4</v>
      </c>
      <c r="T25" s="69">
        <f t="shared" si="11"/>
        <v>41</v>
      </c>
      <c r="V25" s="84" t="s">
        <v>2620</v>
      </c>
      <c r="W25" s="2">
        <v>500</v>
      </c>
      <c r="X25" s="2" t="s">
        <v>2999</v>
      </c>
      <c r="Y25" s="255">
        <f t="shared" si="6"/>
        <v>1</v>
      </c>
      <c r="Z25" s="2"/>
      <c r="AB25" s="7" t="str">
        <f t="shared" si="7"/>
        <v>[(102,200)]</v>
      </c>
      <c r="AC25" s="7" t="str">
        <f t="shared" si="8"/>
        <v>[(102,250)]</v>
      </c>
    </row>
    <row r="26" spans="1:29" ht="15.75" x14ac:dyDescent="0.3">
      <c r="A26" s="7">
        <v>24</v>
      </c>
      <c r="B26" s="7">
        <v>1</v>
      </c>
      <c r="C26" s="7" t="s">
        <v>317</v>
      </c>
      <c r="D26" s="7" t="str">
        <f t="shared" si="0"/>
        <v>钻石</v>
      </c>
      <c r="E26" s="7">
        <v>10</v>
      </c>
      <c r="F26" s="68">
        <f t="shared" si="1"/>
        <v>10</v>
      </c>
      <c r="G26" s="7" t="s">
        <v>273</v>
      </c>
      <c r="H26" s="7" t="str">
        <f t="shared" si="2"/>
        <v>钥匙</v>
      </c>
      <c r="I26" s="7">
        <v>30</v>
      </c>
      <c r="J26" s="68">
        <f t="shared" si="3"/>
        <v>25.000000000000021</v>
      </c>
      <c r="K26" s="7"/>
      <c r="L26" s="7" t="str">
        <f t="shared" si="4"/>
        <v/>
      </c>
      <c r="M26" s="7"/>
      <c r="N26" s="68">
        <f t="shared" si="5"/>
        <v>0</v>
      </c>
      <c r="O26" s="76"/>
      <c r="Q26" s="7" t="s">
        <v>2686</v>
      </c>
      <c r="R26" s="76">
        <f t="shared" si="9"/>
        <v>600</v>
      </c>
      <c r="S26" s="69">
        <f t="shared" si="10"/>
        <v>0</v>
      </c>
      <c r="T26" s="69">
        <f t="shared" si="11"/>
        <v>1</v>
      </c>
      <c r="V26" s="84" t="s">
        <v>2622</v>
      </c>
      <c r="W26" s="2">
        <v>500</v>
      </c>
      <c r="X26" s="2" t="s">
        <v>2999</v>
      </c>
      <c r="Y26" s="255">
        <f t="shared" si="6"/>
        <v>1</v>
      </c>
      <c r="Z26" s="2"/>
      <c r="AB26" s="7" t="str">
        <f t="shared" si="7"/>
        <v>[(101,10)]</v>
      </c>
      <c r="AC26" s="7" t="str">
        <f t="shared" si="8"/>
        <v>[(105,30)]</v>
      </c>
    </row>
    <row r="27" spans="1:29" ht="15.75" x14ac:dyDescent="0.3">
      <c r="A27" s="7">
        <v>25</v>
      </c>
      <c r="B27" s="7">
        <v>1</v>
      </c>
      <c r="C27" s="7" t="s">
        <v>4217</v>
      </c>
      <c r="D27" s="7" t="str">
        <f t="shared" si="0"/>
        <v>新加速道具</v>
      </c>
      <c r="E27" s="7">
        <v>1</v>
      </c>
      <c r="F27" s="68">
        <f t="shared" si="1"/>
        <v>4</v>
      </c>
      <c r="G27" s="7" t="s">
        <v>4217</v>
      </c>
      <c r="H27" s="7" t="str">
        <f t="shared" si="2"/>
        <v>新加速道具</v>
      </c>
      <c r="I27" s="7">
        <v>1</v>
      </c>
      <c r="J27" s="68">
        <f t="shared" si="3"/>
        <v>4</v>
      </c>
      <c r="K27" s="7"/>
      <c r="L27" s="7" t="str">
        <f t="shared" si="4"/>
        <v/>
      </c>
      <c r="M27" s="7"/>
      <c r="N27" s="68">
        <f t="shared" si="5"/>
        <v>0</v>
      </c>
      <c r="O27" s="76"/>
      <c r="Q27" s="7" t="s">
        <v>317</v>
      </c>
      <c r="R27" s="76">
        <f t="shared" si="9"/>
        <v>1030</v>
      </c>
      <c r="S27" s="69">
        <f t="shared" si="10"/>
        <v>90</v>
      </c>
      <c r="T27" s="69">
        <f t="shared" si="11"/>
        <v>1</v>
      </c>
      <c r="V27" s="84" t="s">
        <v>2624</v>
      </c>
      <c r="W27" s="2">
        <v>500</v>
      </c>
      <c r="X27" s="2" t="s">
        <v>2999</v>
      </c>
      <c r="Y27" s="255">
        <f t="shared" si="6"/>
        <v>1</v>
      </c>
      <c r="Z27" s="2"/>
      <c r="AB27" s="7" t="str">
        <f t="shared" si="7"/>
        <v>[(100202,1)]</v>
      </c>
      <c r="AC27" s="7" t="str">
        <f t="shared" si="8"/>
        <v>[(100202,1)]</v>
      </c>
    </row>
    <row r="28" spans="1:29" ht="15.75" x14ac:dyDescent="0.3">
      <c r="A28" s="7">
        <v>26</v>
      </c>
      <c r="B28" s="7">
        <v>1</v>
      </c>
      <c r="C28" s="7" t="s">
        <v>273</v>
      </c>
      <c r="D28" s="7" t="str">
        <f t="shared" si="0"/>
        <v>钥匙</v>
      </c>
      <c r="E28" s="7">
        <v>20</v>
      </c>
      <c r="F28" s="68">
        <f t="shared" si="1"/>
        <v>16.666666666666682</v>
      </c>
      <c r="G28" s="7" t="s">
        <v>268</v>
      </c>
      <c r="H28" s="7" t="str">
        <f t="shared" si="2"/>
        <v>军费</v>
      </c>
      <c r="I28" s="7">
        <v>250</v>
      </c>
      <c r="J28" s="68">
        <f t="shared" si="3"/>
        <v>5</v>
      </c>
      <c r="K28" s="7"/>
      <c r="L28" s="7" t="str">
        <f t="shared" si="4"/>
        <v/>
      </c>
      <c r="M28" s="7"/>
      <c r="N28" s="68">
        <f t="shared" si="5"/>
        <v>0</v>
      </c>
      <c r="O28" s="76"/>
      <c r="V28" s="84" t="s">
        <v>2626</v>
      </c>
      <c r="W28" s="2">
        <v>500</v>
      </c>
      <c r="X28" s="2" t="s">
        <v>2999</v>
      </c>
      <c r="Y28" s="255">
        <f t="shared" si="6"/>
        <v>1</v>
      </c>
      <c r="Z28" s="2"/>
      <c r="AB28" s="7" t="str">
        <f t="shared" si="7"/>
        <v>[(105,20)]</v>
      </c>
      <c r="AC28" s="7" t="str">
        <f t="shared" si="8"/>
        <v>[(102,250)]</v>
      </c>
    </row>
    <row r="29" spans="1:29" ht="15.75" x14ac:dyDescent="0.3">
      <c r="A29" s="7">
        <v>27</v>
      </c>
      <c r="B29" s="7">
        <v>1</v>
      </c>
      <c r="C29" s="7" t="s">
        <v>268</v>
      </c>
      <c r="D29" s="7" t="str">
        <f t="shared" si="0"/>
        <v>军费</v>
      </c>
      <c r="E29" s="7">
        <v>200</v>
      </c>
      <c r="F29" s="68">
        <f t="shared" si="1"/>
        <v>4</v>
      </c>
      <c r="G29" s="7" t="s">
        <v>2686</v>
      </c>
      <c r="H29" s="7" t="str">
        <f t="shared" si="2"/>
        <v>BattlePass货币</v>
      </c>
      <c r="I29" s="7">
        <v>30</v>
      </c>
      <c r="J29" s="68">
        <f t="shared" si="3"/>
        <v>42</v>
      </c>
      <c r="K29" s="7"/>
      <c r="L29" s="7" t="str">
        <f t="shared" si="4"/>
        <v/>
      </c>
      <c r="M29" s="7"/>
      <c r="N29" s="68">
        <f t="shared" si="5"/>
        <v>0</v>
      </c>
      <c r="O29" s="76"/>
      <c r="V29" s="84" t="s">
        <v>2628</v>
      </c>
      <c r="W29" s="2">
        <v>50</v>
      </c>
      <c r="X29" s="2" t="s">
        <v>3000</v>
      </c>
      <c r="Y29" s="255">
        <f t="shared" si="6"/>
        <v>1</v>
      </c>
      <c r="Z29" s="2"/>
      <c r="AB29" s="7" t="str">
        <f t="shared" si="7"/>
        <v>[(102,200)]</v>
      </c>
      <c r="AC29" s="7" t="str">
        <f t="shared" si="8"/>
        <v>[(113,30)]</v>
      </c>
    </row>
    <row r="30" spans="1:29" ht="15.75" x14ac:dyDescent="0.3">
      <c r="A30" s="7">
        <v>28</v>
      </c>
      <c r="B30" s="7">
        <v>1</v>
      </c>
      <c r="C30" s="7" t="s">
        <v>317</v>
      </c>
      <c r="D30" s="7" t="str">
        <f t="shared" si="0"/>
        <v>钻石</v>
      </c>
      <c r="E30" s="7">
        <v>20</v>
      </c>
      <c r="F30" s="68">
        <f t="shared" si="1"/>
        <v>20</v>
      </c>
      <c r="G30" s="7" t="s">
        <v>2648</v>
      </c>
      <c r="H30" s="7" t="str">
        <f t="shared" si="2"/>
        <v>战旗</v>
      </c>
      <c r="I30" s="7">
        <v>1</v>
      </c>
      <c r="J30" s="68">
        <f t="shared" si="3"/>
        <v>150</v>
      </c>
      <c r="K30" s="7"/>
      <c r="L30" s="7" t="str">
        <f t="shared" si="4"/>
        <v/>
      </c>
      <c r="M30" s="7"/>
      <c r="N30" s="68">
        <f t="shared" si="5"/>
        <v>0</v>
      </c>
      <c r="O30" s="76"/>
      <c r="Q30" s="48" t="s">
        <v>3005</v>
      </c>
      <c r="V30" s="84" t="s">
        <v>2630</v>
      </c>
      <c r="W30" s="2">
        <v>100</v>
      </c>
      <c r="X30" s="2" t="s">
        <v>3000</v>
      </c>
      <c r="Y30" s="255">
        <f t="shared" si="6"/>
        <v>1</v>
      </c>
      <c r="Z30" s="2"/>
      <c r="AB30" s="7" t="str">
        <f t="shared" si="7"/>
        <v>[(101,20)]</v>
      </c>
      <c r="AC30" s="7" t="str">
        <f t="shared" si="8"/>
        <v>[(120303,1)]</v>
      </c>
    </row>
    <row r="31" spans="1:29" ht="15.75" x14ac:dyDescent="0.3">
      <c r="A31" s="7">
        <v>29</v>
      </c>
      <c r="B31" s="7">
        <v>1</v>
      </c>
      <c r="C31" s="7" t="s">
        <v>268</v>
      </c>
      <c r="D31" s="7" t="str">
        <f t="shared" si="0"/>
        <v>军费</v>
      </c>
      <c r="E31" s="7">
        <v>250</v>
      </c>
      <c r="F31" s="68">
        <f t="shared" si="1"/>
        <v>5</v>
      </c>
      <c r="G31" s="7" t="s">
        <v>2437</v>
      </c>
      <c r="H31" s="7" t="str">
        <f t="shared" si="2"/>
        <v>宝箱</v>
      </c>
      <c r="I31" s="7">
        <v>1</v>
      </c>
      <c r="J31" s="68">
        <f t="shared" si="3"/>
        <v>200</v>
      </c>
      <c r="K31" s="7"/>
      <c r="L31" s="7" t="str">
        <f t="shared" si="4"/>
        <v/>
      </c>
      <c r="M31" s="7"/>
      <c r="N31" s="68">
        <f t="shared" si="5"/>
        <v>0</v>
      </c>
      <c r="O31" s="76"/>
      <c r="Q31" s="7" t="s">
        <v>2686</v>
      </c>
      <c r="R31" s="76">
        <f>SUMIFS($F$3:$F$102,$D$3:$D$102,Q31)+SUMIFS($J$3:$J$102,$H$3:$H$102,Q31)+SUMIFS($N$3:$N$102,$L$3:$L$102,Q31)</f>
        <v>840</v>
      </c>
      <c r="S31" s="85">
        <f>R31/VLOOKUP(1,道具价值!$B$74:$E$80,4,FALSE)</f>
        <v>11.162666666666668</v>
      </c>
      <c r="T31" s="85">
        <f>R31/VLOOKUP(6,道具价值!$B$74:$E$80,4,FALSE)</f>
        <v>8.3991599999999984</v>
      </c>
      <c r="V31" s="84" t="s">
        <v>2632</v>
      </c>
      <c r="W31" s="2">
        <v>150</v>
      </c>
      <c r="X31" s="2" t="s">
        <v>3000</v>
      </c>
      <c r="Y31" s="255">
        <f t="shared" si="6"/>
        <v>1</v>
      </c>
      <c r="Z31" s="2"/>
      <c r="AB31" s="7" t="str">
        <f t="shared" si="7"/>
        <v>[(102,250)]</v>
      </c>
      <c r="AC31" s="7" t="str">
        <f t="shared" si="8"/>
        <v>[(25054,1)]</v>
      </c>
    </row>
    <row r="32" spans="1:29" ht="15.75" x14ac:dyDescent="0.3">
      <c r="A32" s="70">
        <v>30</v>
      </c>
      <c r="B32" s="7">
        <v>1</v>
      </c>
      <c r="C32" s="70" t="s">
        <v>533</v>
      </c>
      <c r="D32" s="7" t="str">
        <f t="shared" si="0"/>
        <v>宝箱</v>
      </c>
      <c r="E32" s="70">
        <v>1</v>
      </c>
      <c r="F32" s="71">
        <f t="shared" si="1"/>
        <v>100</v>
      </c>
      <c r="G32" s="70" t="s">
        <v>2610</v>
      </c>
      <c r="H32" s="7" t="str">
        <f t="shared" si="2"/>
        <v>头像框</v>
      </c>
      <c r="I32" s="70">
        <v>1</v>
      </c>
      <c r="J32" s="68">
        <f t="shared" si="3"/>
        <v>500</v>
      </c>
      <c r="K32" s="70" t="s">
        <v>2660</v>
      </c>
      <c r="L32" s="7" t="str">
        <f t="shared" si="4"/>
        <v>涂装</v>
      </c>
      <c r="M32" s="70">
        <v>1</v>
      </c>
      <c r="N32" s="68">
        <f t="shared" si="5"/>
        <v>200</v>
      </c>
      <c r="O32" s="77">
        <f>SUM(N23:N32)+SUM(J23:J32)+SUM(F23:F32)</f>
        <v>1336.3333333333335</v>
      </c>
      <c r="Q32" s="7" t="s">
        <v>317</v>
      </c>
      <c r="R32" s="76">
        <f>SUMIFS($F$3:$F$102,$D$3:$D$102,Q32)+SUMIFS($J$3:$J$102,$H$3:$H$102,Q32)+SUMIFS($N$3:$N$102,$L$3:$L$102,Q32)</f>
        <v>1030</v>
      </c>
      <c r="S32" s="85">
        <f>R32/VLOOKUP(1,道具价值!$B$74:$E$80,4,FALSE)</f>
        <v>13.687555555555557</v>
      </c>
      <c r="T32" s="85">
        <f>R32/VLOOKUP(6,道具价值!$B$74:$E$80,4,FALSE)</f>
        <v>10.298969999999999</v>
      </c>
      <c r="V32" s="84" t="s">
        <v>2634</v>
      </c>
      <c r="W32" s="2">
        <v>200</v>
      </c>
      <c r="X32" s="2" t="s">
        <v>3000</v>
      </c>
      <c r="Y32" s="255">
        <f t="shared" si="6"/>
        <v>0</v>
      </c>
      <c r="Z32" s="2"/>
      <c r="AB32" s="7" t="str">
        <f t="shared" si="7"/>
        <v>[(24007,1)]</v>
      </c>
      <c r="AC32" s="7" t="str">
        <f t="shared" si="8"/>
        <v>[(130105,1),(180005,1)]</v>
      </c>
    </row>
    <row r="33" spans="1:29" ht="15.75" x14ac:dyDescent="0.3">
      <c r="A33" s="7">
        <v>31</v>
      </c>
      <c r="B33" s="7">
        <v>1</v>
      </c>
      <c r="C33" s="7" t="s">
        <v>3006</v>
      </c>
      <c r="D33" s="7" t="str">
        <f t="shared" si="0"/>
        <v/>
      </c>
      <c r="E33" s="7" t="s">
        <v>3006</v>
      </c>
      <c r="F33" s="68">
        <f t="shared" si="1"/>
        <v>0</v>
      </c>
      <c r="G33" s="7" t="s">
        <v>268</v>
      </c>
      <c r="H33" s="7" t="str">
        <f t="shared" si="2"/>
        <v>军费</v>
      </c>
      <c r="I33" s="7">
        <v>250</v>
      </c>
      <c r="J33" s="68">
        <f t="shared" si="3"/>
        <v>5</v>
      </c>
      <c r="K33" s="7"/>
      <c r="L33" s="7" t="str">
        <f t="shared" si="4"/>
        <v/>
      </c>
      <c r="M33" s="7"/>
      <c r="N33" s="68">
        <f t="shared" si="5"/>
        <v>0</v>
      </c>
      <c r="O33" s="76"/>
      <c r="Q33" s="7" t="s">
        <v>3004</v>
      </c>
      <c r="R33" s="76">
        <f t="shared" ref="R33:R44" si="12">SUMIFS($F$3:$F$102,$D$3:$D$102,Q33)+SUMIFS($J$3:$J$102,$H$3:$H$102,Q33)+SUMIFS($N$3:$N$102,$L$3:$L$102,Q33)</f>
        <v>5500</v>
      </c>
      <c r="S33" s="85">
        <f>R33/VLOOKUP(1,道具价值!$B$74:$E$80,4,FALSE)</f>
        <v>73.088888888888889</v>
      </c>
      <c r="T33" s="85">
        <f>R33/VLOOKUP(6,道具价值!$B$74:$E$80,4,FALSE)</f>
        <v>54.994499999999995</v>
      </c>
      <c r="V33" s="84" t="s">
        <v>2636</v>
      </c>
      <c r="W33" s="2">
        <v>50</v>
      </c>
      <c r="X33" s="2" t="s">
        <v>3000</v>
      </c>
      <c r="Y33" s="255">
        <f t="shared" si="6"/>
        <v>1</v>
      </c>
      <c r="Z33" s="2"/>
      <c r="AB33" s="7" t="str">
        <f t="shared" si="7"/>
        <v>[]</v>
      </c>
      <c r="AC33" s="7" t="str">
        <f t="shared" si="8"/>
        <v>[(102,250)]</v>
      </c>
    </row>
    <row r="34" spans="1:29" ht="15.75" x14ac:dyDescent="0.3">
      <c r="A34" s="7">
        <v>32</v>
      </c>
      <c r="B34" s="7">
        <v>1</v>
      </c>
      <c r="C34" s="7" t="s">
        <v>3006</v>
      </c>
      <c r="D34" s="7" t="str">
        <f t="shared" si="0"/>
        <v/>
      </c>
      <c r="E34" s="7" t="s">
        <v>3006</v>
      </c>
      <c r="F34" s="68">
        <f t="shared" si="1"/>
        <v>0</v>
      </c>
      <c r="G34" s="7" t="s">
        <v>273</v>
      </c>
      <c r="H34" s="7" t="str">
        <f t="shared" si="2"/>
        <v>钥匙</v>
      </c>
      <c r="I34" s="7">
        <v>40</v>
      </c>
      <c r="J34" s="68">
        <f t="shared" si="3"/>
        <v>33.333333333333364</v>
      </c>
      <c r="K34" s="7"/>
      <c r="L34" s="7" t="str">
        <f t="shared" si="4"/>
        <v/>
      </c>
      <c r="M34" s="7"/>
      <c r="N34" s="68">
        <f t="shared" si="5"/>
        <v>0</v>
      </c>
      <c r="O34" s="76"/>
      <c r="Q34" s="13" t="s">
        <v>268</v>
      </c>
      <c r="R34" s="76">
        <f t="shared" si="12"/>
        <v>202.2</v>
      </c>
      <c r="S34" s="85">
        <f>R34/VLOOKUP(1,道具价值!$B$74:$E$80,4,FALSE)</f>
        <v>2.6870133333333333</v>
      </c>
      <c r="T34" s="85">
        <f>R34/VLOOKUP(6,道具价值!$B$74:$E$80,4,FALSE)</f>
        <v>2.0217977999999999</v>
      </c>
      <c r="V34" s="84" t="s">
        <v>2638</v>
      </c>
      <c r="W34" s="2">
        <v>100</v>
      </c>
      <c r="X34" s="2" t="s">
        <v>3000</v>
      </c>
      <c r="Y34" s="255">
        <f t="shared" si="6"/>
        <v>1</v>
      </c>
      <c r="Z34" s="2"/>
      <c r="AB34" s="7" t="str">
        <f t="shared" si="7"/>
        <v>[]</v>
      </c>
      <c r="AC34" s="7" t="str">
        <f t="shared" si="8"/>
        <v>[(105,40)]</v>
      </c>
    </row>
    <row r="35" spans="1:29" ht="15.75" x14ac:dyDescent="0.3">
      <c r="A35" s="7">
        <v>33</v>
      </c>
      <c r="B35" s="7">
        <v>1</v>
      </c>
      <c r="C35" s="7" t="s">
        <v>3006</v>
      </c>
      <c r="D35" s="7" t="str">
        <f t="shared" si="0"/>
        <v/>
      </c>
      <c r="E35" s="7" t="s">
        <v>3006</v>
      </c>
      <c r="F35" s="68">
        <f t="shared" si="1"/>
        <v>0</v>
      </c>
      <c r="G35" s="7" t="s">
        <v>268</v>
      </c>
      <c r="H35" s="7" t="str">
        <f t="shared" si="2"/>
        <v>军费</v>
      </c>
      <c r="I35" s="7">
        <v>250</v>
      </c>
      <c r="J35" s="68">
        <f t="shared" si="3"/>
        <v>5</v>
      </c>
      <c r="K35" s="7"/>
      <c r="L35" s="7" t="str">
        <f t="shared" si="4"/>
        <v/>
      </c>
      <c r="M35" s="7"/>
      <c r="N35" s="68">
        <f t="shared" si="5"/>
        <v>0</v>
      </c>
      <c r="O35" s="76"/>
      <c r="Q35" s="13" t="s">
        <v>273</v>
      </c>
      <c r="R35" s="76">
        <f t="shared" si="12"/>
        <v>250.00000000000023</v>
      </c>
      <c r="S35" s="85">
        <f>R35/VLOOKUP(1,道具价值!$B$74:$E$80,4,FALSE)</f>
        <v>3.3222222222222255</v>
      </c>
      <c r="T35" s="85">
        <f>R35/VLOOKUP(6,道具价值!$B$74:$E$80,4,FALSE)</f>
        <v>2.4997500000000019</v>
      </c>
      <c r="V35" s="84" t="s">
        <v>2640</v>
      </c>
      <c r="W35" s="2">
        <v>150</v>
      </c>
      <c r="X35" s="2" t="s">
        <v>3000</v>
      </c>
      <c r="Y35" s="255">
        <f t="shared" ref="Y35:Y66" si="13">IF(Z35="",SUMIFS(E:E,C:C,V35)+SUMIFS(I:I,G:G,V35)+SUMIFS(M:M,K:K,V35),1)</f>
        <v>1</v>
      </c>
      <c r="Z35" s="2"/>
      <c r="AB35" s="7" t="str">
        <f t="shared" ref="AB35:AB66" si="14">IF(C35="","[]","["&amp;"("&amp;VLOOKUP(C35,道具ID,2,FALSE)&amp;","&amp;E35&amp;")"&amp;"]")</f>
        <v>[]</v>
      </c>
      <c r="AC35" s="7" t="str">
        <f t="shared" ref="AC35:AC66" si="15">IF(G35="","[]",IF(K35="","["&amp;"("&amp;VLOOKUP(G35,道具ID,2,FALSE)&amp;","&amp;I35&amp;")"&amp;"]","["&amp;"("&amp;VLOOKUP(G35,道具ID,2,FALSE)&amp;","&amp;I35&amp;")"&amp;","&amp;"("&amp;VLOOKUP(K35,道具ID,2,FALSE)&amp;","&amp;M35&amp;")"&amp;"]"))</f>
        <v>[(102,250)]</v>
      </c>
    </row>
    <row r="36" spans="1:29" ht="15.75" x14ac:dyDescent="0.3">
      <c r="A36" s="7">
        <v>34</v>
      </c>
      <c r="B36" s="7">
        <v>1</v>
      </c>
      <c r="C36" s="7" t="s">
        <v>317</v>
      </c>
      <c r="D36" s="7" t="str">
        <f t="shared" si="0"/>
        <v>钻石</v>
      </c>
      <c r="E36" s="7">
        <v>30</v>
      </c>
      <c r="F36" s="68">
        <f t="shared" si="1"/>
        <v>30</v>
      </c>
      <c r="G36" s="7" t="s">
        <v>2686</v>
      </c>
      <c r="H36" s="7" t="str">
        <f t="shared" si="2"/>
        <v>BattlePass货币</v>
      </c>
      <c r="I36" s="7">
        <v>30</v>
      </c>
      <c r="J36" s="68">
        <f t="shared" si="3"/>
        <v>42</v>
      </c>
      <c r="K36" s="7"/>
      <c r="L36" s="7" t="str">
        <f t="shared" si="4"/>
        <v/>
      </c>
      <c r="M36" s="7"/>
      <c r="N36" s="68">
        <f t="shared" si="5"/>
        <v>0</v>
      </c>
      <c r="O36" s="76"/>
      <c r="Q36" s="13" t="s">
        <v>511</v>
      </c>
      <c r="R36" s="76">
        <f t="shared" si="12"/>
        <v>100.00000000000009</v>
      </c>
      <c r="S36" s="85">
        <f>R36/VLOOKUP(1,道具价值!$B$74:$E$80,4,FALSE)</f>
        <v>1.3288888888888901</v>
      </c>
      <c r="T36" s="85">
        <f>R36/VLOOKUP(6,道具价值!$B$74:$E$80,4,FALSE)</f>
        <v>0.99990000000000079</v>
      </c>
      <c r="V36" s="84" t="s">
        <v>2642</v>
      </c>
      <c r="W36" s="2">
        <v>200</v>
      </c>
      <c r="X36" s="2" t="s">
        <v>3000</v>
      </c>
      <c r="Y36" s="255">
        <f t="shared" si="13"/>
        <v>1</v>
      </c>
      <c r="Z36" s="2"/>
      <c r="AB36" s="7" t="str">
        <f t="shared" si="14"/>
        <v>[(101,30)]</v>
      </c>
      <c r="AC36" s="7" t="str">
        <f t="shared" si="15"/>
        <v>[(113,30)]</v>
      </c>
    </row>
    <row r="37" spans="1:29" ht="15.75" x14ac:dyDescent="0.3">
      <c r="A37" s="7">
        <v>35</v>
      </c>
      <c r="B37" s="7">
        <v>1</v>
      </c>
      <c r="C37" s="7" t="s">
        <v>3006</v>
      </c>
      <c r="D37" s="7" t="str">
        <f t="shared" si="0"/>
        <v/>
      </c>
      <c r="E37" s="7" t="s">
        <v>3006</v>
      </c>
      <c r="F37" s="68">
        <f t="shared" si="1"/>
        <v>0</v>
      </c>
      <c r="G37" s="7" t="s">
        <v>317</v>
      </c>
      <c r="H37" s="7" t="str">
        <f t="shared" si="2"/>
        <v>钻石</v>
      </c>
      <c r="I37" s="7">
        <v>30</v>
      </c>
      <c r="J37" s="68">
        <f t="shared" si="3"/>
        <v>30</v>
      </c>
      <c r="K37" s="7"/>
      <c r="L37" s="7" t="str">
        <f t="shared" si="4"/>
        <v/>
      </c>
      <c r="M37" s="7"/>
      <c r="N37" s="68">
        <f t="shared" si="5"/>
        <v>0</v>
      </c>
      <c r="O37" s="76"/>
      <c r="Q37" s="7" t="s">
        <v>3003</v>
      </c>
      <c r="R37" s="76">
        <f t="shared" si="12"/>
        <v>0</v>
      </c>
      <c r="S37" s="85">
        <f>R37/VLOOKUP(1,道具价值!$B$74:$E$80,4,FALSE)</f>
        <v>0</v>
      </c>
      <c r="T37" s="85">
        <f>R37/VLOOKUP(6,道具价值!$B$74:$E$80,4,FALSE)</f>
        <v>0</v>
      </c>
      <c r="V37" s="84" t="s">
        <v>2644</v>
      </c>
      <c r="W37" s="2">
        <v>50</v>
      </c>
      <c r="X37" s="2" t="s">
        <v>3000</v>
      </c>
      <c r="Y37" s="255">
        <f t="shared" si="13"/>
        <v>1</v>
      </c>
      <c r="Z37" s="2"/>
      <c r="AB37" s="7" t="str">
        <f t="shared" si="14"/>
        <v>[]</v>
      </c>
      <c r="AC37" s="7" t="str">
        <f t="shared" si="15"/>
        <v>[(101,30)]</v>
      </c>
    </row>
    <row r="38" spans="1:29" ht="15.75" x14ac:dyDescent="0.3">
      <c r="A38" s="7">
        <v>36</v>
      </c>
      <c r="B38" s="7">
        <v>1</v>
      </c>
      <c r="C38" s="7" t="s">
        <v>3006</v>
      </c>
      <c r="D38" s="7" t="str">
        <f t="shared" si="0"/>
        <v/>
      </c>
      <c r="E38" s="7" t="s">
        <v>3006</v>
      </c>
      <c r="F38" s="68">
        <f t="shared" si="1"/>
        <v>0</v>
      </c>
      <c r="G38" s="7" t="s">
        <v>2382</v>
      </c>
      <c r="H38" s="7" t="str">
        <f t="shared" si="2"/>
        <v>宝箱</v>
      </c>
      <c r="I38" s="7">
        <v>1</v>
      </c>
      <c r="J38" s="68">
        <f t="shared" si="3"/>
        <v>100</v>
      </c>
      <c r="K38" s="7"/>
      <c r="L38" s="7" t="str">
        <f t="shared" si="4"/>
        <v/>
      </c>
      <c r="M38" s="7"/>
      <c r="N38" s="68">
        <f t="shared" si="5"/>
        <v>0</v>
      </c>
      <c r="O38" s="76"/>
      <c r="Q38" s="13" t="s">
        <v>3002</v>
      </c>
      <c r="R38" s="76">
        <f t="shared" si="12"/>
        <v>600</v>
      </c>
      <c r="S38" s="85">
        <f>R38/VLOOKUP(1,道具价值!$B$74:$E$80,4,FALSE)</f>
        <v>7.9733333333333336</v>
      </c>
      <c r="T38" s="85">
        <f>R38/VLOOKUP(6,道具价值!$B$74:$E$80,4,FALSE)</f>
        <v>5.9993999999999996</v>
      </c>
      <c r="V38" s="84" t="s">
        <v>2646</v>
      </c>
      <c r="W38" s="2">
        <v>100</v>
      </c>
      <c r="X38" s="2" t="s">
        <v>3000</v>
      </c>
      <c r="Y38" s="255">
        <f t="shared" si="13"/>
        <v>1</v>
      </c>
      <c r="Z38" s="2"/>
      <c r="AB38" s="7" t="str">
        <f t="shared" si="14"/>
        <v>[]</v>
      </c>
      <c r="AC38" s="7" t="str">
        <f t="shared" si="15"/>
        <v>[(23004,1)]</v>
      </c>
    </row>
    <row r="39" spans="1:29" ht="15.75" x14ac:dyDescent="0.3">
      <c r="A39" s="7">
        <v>37</v>
      </c>
      <c r="B39" s="7">
        <v>1</v>
      </c>
      <c r="C39" s="7" t="s">
        <v>268</v>
      </c>
      <c r="D39" s="7" t="str">
        <f t="shared" si="0"/>
        <v>军费</v>
      </c>
      <c r="E39" s="7">
        <v>200</v>
      </c>
      <c r="F39" s="68">
        <f t="shared" si="1"/>
        <v>4</v>
      </c>
      <c r="G39" s="7" t="s">
        <v>511</v>
      </c>
      <c r="H39" s="7" t="str">
        <f t="shared" si="2"/>
        <v>双倍钥匙</v>
      </c>
      <c r="I39" s="7">
        <v>20</v>
      </c>
      <c r="J39" s="68">
        <f t="shared" si="3"/>
        <v>10.000000000000009</v>
      </c>
      <c r="K39" s="7"/>
      <c r="L39" s="7" t="str">
        <f t="shared" si="4"/>
        <v/>
      </c>
      <c r="M39" s="7"/>
      <c r="N39" s="68">
        <f t="shared" si="5"/>
        <v>0</v>
      </c>
      <c r="O39" s="76"/>
      <c r="Q39" s="7" t="s">
        <v>2993</v>
      </c>
      <c r="R39" s="76">
        <f t="shared" si="12"/>
        <v>2500</v>
      </c>
      <c r="S39" s="85">
        <f>R39/VLOOKUP(1,道具价值!$B$74:$E$80,4,FALSE)</f>
        <v>33.222222222222229</v>
      </c>
      <c r="T39" s="85">
        <f>R39/VLOOKUP(6,道具价值!$B$74:$E$80,4,FALSE)</f>
        <v>24.997499999999999</v>
      </c>
      <c r="V39" s="84" t="s">
        <v>2648</v>
      </c>
      <c r="W39" s="2">
        <v>150</v>
      </c>
      <c r="X39" s="2" t="s">
        <v>3000</v>
      </c>
      <c r="Y39" s="255">
        <f t="shared" si="13"/>
        <v>1</v>
      </c>
      <c r="Z39" s="2"/>
      <c r="AB39" s="7" t="str">
        <f t="shared" si="14"/>
        <v>[(102,200)]</v>
      </c>
      <c r="AC39" s="7" t="str">
        <f t="shared" si="15"/>
        <v>[(111,20)]</v>
      </c>
    </row>
    <row r="40" spans="1:29" ht="15.75" x14ac:dyDescent="0.3">
      <c r="A40" s="7">
        <v>38</v>
      </c>
      <c r="B40" s="7">
        <v>1</v>
      </c>
      <c r="C40" s="7"/>
      <c r="D40" s="7" t="str">
        <f t="shared" si="0"/>
        <v/>
      </c>
      <c r="E40" s="7"/>
      <c r="F40" s="68">
        <f t="shared" si="1"/>
        <v>0</v>
      </c>
      <c r="G40" s="7" t="s">
        <v>2686</v>
      </c>
      <c r="H40" s="7" t="str">
        <f t="shared" si="2"/>
        <v>BattlePass货币</v>
      </c>
      <c r="I40" s="7">
        <v>30</v>
      </c>
      <c r="J40" s="68">
        <f t="shared" si="3"/>
        <v>42</v>
      </c>
      <c r="K40" s="7"/>
      <c r="L40" s="7" t="str">
        <f t="shared" si="4"/>
        <v/>
      </c>
      <c r="M40" s="7"/>
      <c r="N40" s="68">
        <f t="shared" si="5"/>
        <v>0</v>
      </c>
      <c r="O40" s="76"/>
      <c r="Q40" s="7" t="s">
        <v>2986</v>
      </c>
      <c r="R40" s="76">
        <f t="shared" si="12"/>
        <v>1000</v>
      </c>
      <c r="S40" s="85">
        <f>R40/VLOOKUP(1,道具价值!$B$74:$E$80,4,FALSE)</f>
        <v>13.28888888888889</v>
      </c>
      <c r="T40" s="85">
        <f>R40/VLOOKUP(6,道具价值!$B$74:$E$80,4,FALSE)</f>
        <v>9.9989999999999988</v>
      </c>
      <c r="V40" s="84" t="s">
        <v>2650</v>
      </c>
      <c r="W40" s="2">
        <v>200</v>
      </c>
      <c r="X40" s="2" t="s">
        <v>3000</v>
      </c>
      <c r="Y40" s="255">
        <f t="shared" si="13"/>
        <v>1</v>
      </c>
      <c r="Z40" s="2"/>
      <c r="AB40" s="7" t="str">
        <f t="shared" si="14"/>
        <v>[]</v>
      </c>
      <c r="AC40" s="7" t="str">
        <f t="shared" si="15"/>
        <v>[(113,30)]</v>
      </c>
    </row>
    <row r="41" spans="1:29" ht="15.75" x14ac:dyDescent="0.3">
      <c r="A41" s="7">
        <v>39</v>
      </c>
      <c r="B41" s="7">
        <v>1</v>
      </c>
      <c r="C41" s="7" t="s">
        <v>3006</v>
      </c>
      <c r="D41" s="7" t="str">
        <f t="shared" si="0"/>
        <v/>
      </c>
      <c r="E41" s="7" t="s">
        <v>3006</v>
      </c>
      <c r="F41" s="68">
        <f t="shared" si="1"/>
        <v>0</v>
      </c>
      <c r="G41" s="7" t="s">
        <v>317</v>
      </c>
      <c r="H41" s="7" t="str">
        <f t="shared" si="2"/>
        <v>钻石</v>
      </c>
      <c r="I41" s="7">
        <v>30</v>
      </c>
      <c r="J41" s="68">
        <f t="shared" si="3"/>
        <v>30</v>
      </c>
      <c r="K41" s="7"/>
      <c r="L41" s="7" t="str">
        <f t="shared" si="4"/>
        <v/>
      </c>
      <c r="M41" s="7"/>
      <c r="N41" s="68">
        <f t="shared" si="5"/>
        <v>0</v>
      </c>
      <c r="O41" s="76"/>
      <c r="Q41" s="7" t="s">
        <v>2998</v>
      </c>
      <c r="R41" s="76">
        <f t="shared" si="12"/>
        <v>2750</v>
      </c>
      <c r="S41" s="85">
        <f>R41/VLOOKUP(1,道具价值!$B$74:$E$80,4,FALSE)</f>
        <v>36.544444444444444</v>
      </c>
      <c r="T41" s="85">
        <f>R41/VLOOKUP(6,道具价值!$B$74:$E$80,4,FALSE)</f>
        <v>27.497249999999998</v>
      </c>
      <c r="V41" s="84" t="s">
        <v>2652</v>
      </c>
      <c r="W41" s="2">
        <v>50</v>
      </c>
      <c r="X41" s="2" t="s">
        <v>3001</v>
      </c>
      <c r="Y41" s="255">
        <f t="shared" si="13"/>
        <v>1</v>
      </c>
      <c r="Z41" s="2"/>
      <c r="AB41" s="7" t="str">
        <f t="shared" si="14"/>
        <v>[]</v>
      </c>
      <c r="AC41" s="7" t="str">
        <f t="shared" si="15"/>
        <v>[(101,30)]</v>
      </c>
    </row>
    <row r="42" spans="1:29" ht="15.75" x14ac:dyDescent="0.3">
      <c r="A42" s="70">
        <v>40</v>
      </c>
      <c r="B42" s="7">
        <v>1</v>
      </c>
      <c r="C42" s="70" t="s">
        <v>2654</v>
      </c>
      <c r="D42" s="7" t="str">
        <f t="shared" si="0"/>
        <v>涂装</v>
      </c>
      <c r="E42" s="70">
        <v>1</v>
      </c>
      <c r="F42" s="71">
        <f t="shared" si="1"/>
        <v>50</v>
      </c>
      <c r="G42" s="70" t="s">
        <v>2612</v>
      </c>
      <c r="H42" s="7" t="str">
        <f t="shared" si="2"/>
        <v>头像框</v>
      </c>
      <c r="I42" s="70">
        <v>1</v>
      </c>
      <c r="J42" s="68">
        <f t="shared" si="3"/>
        <v>600</v>
      </c>
      <c r="K42" s="70" t="s">
        <v>2600</v>
      </c>
      <c r="L42" s="7" t="str">
        <f t="shared" si="4"/>
        <v>涂鸦</v>
      </c>
      <c r="M42" s="70">
        <v>1</v>
      </c>
      <c r="N42" s="68">
        <f t="shared" si="5"/>
        <v>500</v>
      </c>
      <c r="O42" s="77">
        <f>SUM(N33:N42)+SUM(J33:J42)+SUM(F33:F42)</f>
        <v>1481.3333333333335</v>
      </c>
      <c r="Q42" s="7" t="s">
        <v>2999</v>
      </c>
      <c r="R42" s="76">
        <f t="shared" si="12"/>
        <v>1700</v>
      </c>
      <c r="S42" s="85">
        <f>R42/VLOOKUP(1,道具价值!$B$74:$E$80,4,FALSE)</f>
        <v>22.591111111111115</v>
      </c>
      <c r="T42" s="85">
        <f>R42/VLOOKUP(6,道具价值!$B$74:$E$80,4,FALSE)</f>
        <v>16.998299999999997</v>
      </c>
      <c r="V42" s="84" t="s">
        <v>2654</v>
      </c>
      <c r="W42" s="2">
        <v>50</v>
      </c>
      <c r="X42" s="2" t="s">
        <v>3001</v>
      </c>
      <c r="Y42" s="255">
        <f t="shared" si="13"/>
        <v>1</v>
      </c>
      <c r="Z42" s="2"/>
      <c r="AB42" s="7" t="str">
        <f t="shared" si="14"/>
        <v>[(180002,1)]</v>
      </c>
      <c r="AC42" s="7" t="str">
        <f t="shared" si="15"/>
        <v>[(130106,1),(150106,1)]</v>
      </c>
    </row>
    <row r="43" spans="1:29" ht="15.75" x14ac:dyDescent="0.3">
      <c r="A43" s="7">
        <v>41</v>
      </c>
      <c r="B43" s="7">
        <v>1</v>
      </c>
      <c r="C43" s="7" t="s">
        <v>3006</v>
      </c>
      <c r="D43" s="7" t="str">
        <f t="shared" si="0"/>
        <v/>
      </c>
      <c r="E43" s="7" t="s">
        <v>3006</v>
      </c>
      <c r="F43" s="68">
        <f t="shared" si="1"/>
        <v>0</v>
      </c>
      <c r="G43" s="7" t="s">
        <v>511</v>
      </c>
      <c r="H43" s="7" t="str">
        <f t="shared" si="2"/>
        <v>双倍钥匙</v>
      </c>
      <c r="I43" s="7">
        <v>30</v>
      </c>
      <c r="J43" s="68">
        <f t="shared" si="3"/>
        <v>15.000000000000014</v>
      </c>
      <c r="K43" s="7"/>
      <c r="L43" s="7" t="str">
        <f t="shared" si="4"/>
        <v/>
      </c>
      <c r="M43" s="7"/>
      <c r="N43" s="68">
        <f t="shared" si="5"/>
        <v>0</v>
      </c>
      <c r="O43" s="76"/>
      <c r="Q43" s="7" t="s">
        <v>3000</v>
      </c>
      <c r="R43" s="76">
        <f t="shared" si="12"/>
        <v>700</v>
      </c>
      <c r="S43" s="85">
        <f>R43/VLOOKUP(1,道具价值!$B$74:$E$80,4,FALSE)</f>
        <v>9.3022222222222233</v>
      </c>
      <c r="T43" s="85">
        <f>R43/VLOOKUP(6,道具价值!$B$74:$E$80,4,FALSE)</f>
        <v>6.999299999999999</v>
      </c>
      <c r="V43" s="84" t="s">
        <v>2656</v>
      </c>
      <c r="W43" s="2">
        <v>200</v>
      </c>
      <c r="X43" s="2" t="s">
        <v>3001</v>
      </c>
      <c r="Y43" s="255">
        <f t="shared" si="13"/>
        <v>1</v>
      </c>
      <c r="Z43" s="2"/>
      <c r="AB43" s="7" t="str">
        <f t="shared" si="14"/>
        <v>[]</v>
      </c>
      <c r="AC43" s="7" t="str">
        <f t="shared" si="15"/>
        <v>[(111,30)]</v>
      </c>
    </row>
    <row r="44" spans="1:29" ht="15.75" x14ac:dyDescent="0.3">
      <c r="A44" s="7">
        <v>42</v>
      </c>
      <c r="B44" s="7">
        <v>1</v>
      </c>
      <c r="C44" s="7" t="s">
        <v>3006</v>
      </c>
      <c r="D44" s="7" t="str">
        <f t="shared" si="0"/>
        <v/>
      </c>
      <c r="E44" s="7" t="s">
        <v>3006</v>
      </c>
      <c r="F44" s="68">
        <f t="shared" si="1"/>
        <v>0</v>
      </c>
      <c r="G44" s="7" t="s">
        <v>268</v>
      </c>
      <c r="H44" s="7" t="str">
        <f t="shared" si="2"/>
        <v>军费</v>
      </c>
      <c r="I44" s="7">
        <v>250</v>
      </c>
      <c r="J44" s="68">
        <f t="shared" si="3"/>
        <v>5</v>
      </c>
      <c r="K44" s="7"/>
      <c r="L44" s="7" t="str">
        <f t="shared" si="4"/>
        <v/>
      </c>
      <c r="M44" s="7"/>
      <c r="N44" s="68">
        <f t="shared" si="5"/>
        <v>0</v>
      </c>
      <c r="O44" s="76"/>
      <c r="Q44" s="7" t="s">
        <v>3001</v>
      </c>
      <c r="R44" s="76">
        <f t="shared" si="12"/>
        <v>2700</v>
      </c>
      <c r="S44" s="85">
        <f>R44/VLOOKUP(1,道具价值!$B$74:$E$80,4,FALSE)</f>
        <v>35.880000000000003</v>
      </c>
      <c r="T44" s="85">
        <f>R44/VLOOKUP(6,道具价值!$B$74:$E$80,4,FALSE)</f>
        <v>26.997299999999999</v>
      </c>
      <c r="V44" s="84" t="s">
        <v>2658</v>
      </c>
      <c r="W44" s="2">
        <v>200</v>
      </c>
      <c r="X44" s="2" t="s">
        <v>3001</v>
      </c>
      <c r="Y44" s="255">
        <f t="shared" si="13"/>
        <v>1</v>
      </c>
      <c r="Z44" s="2"/>
      <c r="AB44" s="7" t="str">
        <f t="shared" si="14"/>
        <v>[]</v>
      </c>
      <c r="AC44" s="7" t="str">
        <f t="shared" si="15"/>
        <v>[(102,250)]</v>
      </c>
    </row>
    <row r="45" spans="1:29" ht="15.75" x14ac:dyDescent="0.3">
      <c r="A45" s="7">
        <v>43</v>
      </c>
      <c r="B45" s="7">
        <v>1</v>
      </c>
      <c r="C45" s="7" t="s">
        <v>273</v>
      </c>
      <c r="D45" s="7" t="str">
        <f t="shared" si="0"/>
        <v>钥匙</v>
      </c>
      <c r="E45" s="7">
        <v>30</v>
      </c>
      <c r="F45" s="68">
        <f t="shared" si="1"/>
        <v>25.000000000000021</v>
      </c>
      <c r="G45" s="7" t="s">
        <v>2686</v>
      </c>
      <c r="H45" s="7" t="str">
        <f t="shared" si="2"/>
        <v>BattlePass货币</v>
      </c>
      <c r="I45" s="7">
        <v>30</v>
      </c>
      <c r="J45" s="68">
        <f t="shared" si="3"/>
        <v>42</v>
      </c>
      <c r="K45" s="7"/>
      <c r="L45" s="7" t="str">
        <f t="shared" si="4"/>
        <v/>
      </c>
      <c r="M45" s="7"/>
      <c r="N45" s="68">
        <f t="shared" si="5"/>
        <v>0</v>
      </c>
      <c r="O45" s="76"/>
      <c r="V45" s="84" t="s">
        <v>2660</v>
      </c>
      <c r="W45" s="2">
        <v>200</v>
      </c>
      <c r="X45" s="2" t="s">
        <v>3001</v>
      </c>
      <c r="Y45" s="255">
        <f t="shared" si="13"/>
        <v>1</v>
      </c>
      <c r="Z45" s="2"/>
      <c r="AB45" s="7" t="str">
        <f t="shared" si="14"/>
        <v>[(105,30)]</v>
      </c>
      <c r="AC45" s="7" t="str">
        <f t="shared" si="15"/>
        <v>[(113,30)]</v>
      </c>
    </row>
    <row r="46" spans="1:29" ht="15.75" x14ac:dyDescent="0.3">
      <c r="A46" s="7">
        <v>44</v>
      </c>
      <c r="B46" s="7">
        <v>1</v>
      </c>
      <c r="C46" s="7" t="s">
        <v>3006</v>
      </c>
      <c r="D46" s="7" t="str">
        <f t="shared" si="0"/>
        <v/>
      </c>
      <c r="E46" s="7" t="s">
        <v>3006</v>
      </c>
      <c r="F46" s="68">
        <f t="shared" si="1"/>
        <v>0</v>
      </c>
      <c r="G46" s="7" t="s">
        <v>2397</v>
      </c>
      <c r="H46" s="7" t="str">
        <f t="shared" si="2"/>
        <v>宝箱</v>
      </c>
      <c r="I46" s="7">
        <v>1</v>
      </c>
      <c r="J46" s="68">
        <f t="shared" si="3"/>
        <v>100</v>
      </c>
      <c r="K46" s="7"/>
      <c r="L46" s="7" t="str">
        <f t="shared" si="4"/>
        <v/>
      </c>
      <c r="M46" s="7"/>
      <c r="N46" s="68">
        <f t="shared" si="5"/>
        <v>0</v>
      </c>
      <c r="O46" s="76"/>
      <c r="Q46" s="7" t="s">
        <v>3007</v>
      </c>
      <c r="R46" s="76">
        <f>SUM(R38:R44)</f>
        <v>11950</v>
      </c>
      <c r="S46" s="85">
        <f>R46/VLOOKUP(1,道具价值!$B$74:$E$80,4,FALSE)</f>
        <v>158.80222222222224</v>
      </c>
      <c r="T46" s="85">
        <f>R46/VLOOKUP(6,道具价值!$B$74:$E$80,4,FALSE)</f>
        <v>119.48804999999999</v>
      </c>
      <c r="V46" s="84" t="s">
        <v>2662</v>
      </c>
      <c r="W46" s="2">
        <v>200</v>
      </c>
      <c r="X46" s="2" t="s">
        <v>3001</v>
      </c>
      <c r="Y46" s="255">
        <f t="shared" si="13"/>
        <v>1</v>
      </c>
      <c r="Z46" s="2"/>
      <c r="AB46" s="7" t="str">
        <f t="shared" si="14"/>
        <v>[]</v>
      </c>
      <c r="AC46" s="7" t="str">
        <f t="shared" si="15"/>
        <v>[(24005,1)]</v>
      </c>
    </row>
    <row r="47" spans="1:29" ht="15.75" x14ac:dyDescent="0.3">
      <c r="A47" s="7">
        <v>45</v>
      </c>
      <c r="B47" s="7">
        <v>1</v>
      </c>
      <c r="C47" s="7" t="s">
        <v>3006</v>
      </c>
      <c r="D47" s="7" t="str">
        <f t="shared" si="0"/>
        <v/>
      </c>
      <c r="E47" s="7" t="s">
        <v>3006</v>
      </c>
      <c r="F47" s="68">
        <f t="shared" si="1"/>
        <v>0</v>
      </c>
      <c r="G47" s="7" t="s">
        <v>2686</v>
      </c>
      <c r="H47" s="7" t="str">
        <f t="shared" si="2"/>
        <v>BattlePass货币</v>
      </c>
      <c r="I47" s="7">
        <v>30</v>
      </c>
      <c r="J47" s="68">
        <f t="shared" si="3"/>
        <v>42</v>
      </c>
      <c r="K47" s="7"/>
      <c r="L47" s="7" t="str">
        <f t="shared" si="4"/>
        <v/>
      </c>
      <c r="M47" s="7"/>
      <c r="N47" s="68">
        <f t="shared" si="5"/>
        <v>0</v>
      </c>
      <c r="O47" s="76"/>
      <c r="Q47" s="7" t="s">
        <v>3008</v>
      </c>
      <c r="R47" s="76">
        <f>SUM(R31:R37)</f>
        <v>7922.2</v>
      </c>
      <c r="S47" s="85">
        <f>R47/VLOOKUP(1,道具价值!$B$74:$E$80,4,FALSE)</f>
        <v>105.27723555555556</v>
      </c>
      <c r="T47" s="85">
        <f>R47/VLOOKUP(6,道具价值!$B$74:$E$80,4,FALSE)</f>
        <v>79.214077799999998</v>
      </c>
      <c r="V47" s="84" t="s">
        <v>2664</v>
      </c>
      <c r="W47" s="2">
        <v>200</v>
      </c>
      <c r="X47" s="2" t="s">
        <v>3001</v>
      </c>
      <c r="Y47" s="255">
        <f t="shared" si="13"/>
        <v>1</v>
      </c>
      <c r="Z47" s="2"/>
      <c r="AB47" s="7" t="str">
        <f t="shared" si="14"/>
        <v>[]</v>
      </c>
      <c r="AC47" s="7" t="str">
        <f t="shared" si="15"/>
        <v>[(113,30)]</v>
      </c>
    </row>
    <row r="48" spans="1:29" ht="15.75" x14ac:dyDescent="0.3">
      <c r="A48" s="7">
        <v>46</v>
      </c>
      <c r="B48" s="7">
        <v>1</v>
      </c>
      <c r="C48" s="7" t="s">
        <v>3006</v>
      </c>
      <c r="D48" s="7" t="str">
        <f t="shared" si="0"/>
        <v/>
      </c>
      <c r="E48" s="7" t="s">
        <v>3006</v>
      </c>
      <c r="F48" s="68">
        <f t="shared" si="1"/>
        <v>0</v>
      </c>
      <c r="G48" s="7" t="s">
        <v>317</v>
      </c>
      <c r="H48" s="7" t="str">
        <f t="shared" si="2"/>
        <v>钻石</v>
      </c>
      <c r="I48" s="7">
        <v>30</v>
      </c>
      <c r="J48" s="68">
        <f t="shared" si="3"/>
        <v>30</v>
      </c>
      <c r="K48" s="7"/>
      <c r="L48" s="7" t="str">
        <f t="shared" si="4"/>
        <v/>
      </c>
      <c r="M48" s="7"/>
      <c r="N48" s="68">
        <f t="shared" si="5"/>
        <v>0</v>
      </c>
      <c r="O48" s="76"/>
      <c r="V48" s="84" t="s">
        <v>2666</v>
      </c>
      <c r="W48" s="2">
        <v>200</v>
      </c>
      <c r="X48" s="2" t="s">
        <v>3001</v>
      </c>
      <c r="Y48" s="255">
        <f t="shared" si="13"/>
        <v>1</v>
      </c>
      <c r="Z48" s="2" t="s">
        <v>3009</v>
      </c>
      <c r="AB48" s="7" t="str">
        <f t="shared" si="14"/>
        <v>[]</v>
      </c>
      <c r="AC48" s="7" t="str">
        <f t="shared" si="15"/>
        <v>[(101,30)]</v>
      </c>
    </row>
    <row r="49" spans="1:29" ht="15.75" x14ac:dyDescent="0.3">
      <c r="A49" s="7">
        <v>47</v>
      </c>
      <c r="B49" s="7">
        <v>1</v>
      </c>
      <c r="C49" s="7" t="s">
        <v>2457</v>
      </c>
      <c r="D49" s="7" t="str">
        <f t="shared" si="0"/>
        <v>宝箱</v>
      </c>
      <c r="E49" s="7">
        <v>1</v>
      </c>
      <c r="F49" s="68">
        <f t="shared" si="1"/>
        <v>600</v>
      </c>
      <c r="G49" s="7" t="s">
        <v>273</v>
      </c>
      <c r="H49" s="7" t="str">
        <f t="shared" si="2"/>
        <v>钥匙</v>
      </c>
      <c r="I49" s="7">
        <v>30</v>
      </c>
      <c r="J49" s="68">
        <f t="shared" si="3"/>
        <v>25.000000000000021</v>
      </c>
      <c r="K49" s="7"/>
      <c r="L49" s="7" t="str">
        <f t="shared" si="4"/>
        <v/>
      </c>
      <c r="M49" s="7"/>
      <c r="N49" s="68">
        <f t="shared" si="5"/>
        <v>0</v>
      </c>
      <c r="O49" s="76"/>
      <c r="V49" s="84" t="s">
        <v>2668</v>
      </c>
      <c r="W49" s="2">
        <v>200</v>
      </c>
      <c r="X49" s="2" t="s">
        <v>3001</v>
      </c>
      <c r="Y49" s="255">
        <f t="shared" si="13"/>
        <v>1</v>
      </c>
      <c r="Z49" s="2"/>
      <c r="AB49" s="7" t="str">
        <f t="shared" si="14"/>
        <v>[(25154,1)]</v>
      </c>
      <c r="AC49" s="7" t="str">
        <f t="shared" si="15"/>
        <v>[(105,30)]</v>
      </c>
    </row>
    <row r="50" spans="1:29" ht="15.75" x14ac:dyDescent="0.3">
      <c r="A50" s="7">
        <v>48</v>
      </c>
      <c r="B50" s="7">
        <v>1</v>
      </c>
      <c r="C50" s="7" t="s">
        <v>3006</v>
      </c>
      <c r="D50" s="7" t="str">
        <f t="shared" si="0"/>
        <v/>
      </c>
      <c r="E50" s="7" t="s">
        <v>3006</v>
      </c>
      <c r="F50" s="68">
        <f t="shared" si="1"/>
        <v>0</v>
      </c>
      <c r="G50" s="7" t="s">
        <v>268</v>
      </c>
      <c r="H50" s="7" t="str">
        <f t="shared" si="2"/>
        <v>军费</v>
      </c>
      <c r="I50" s="7">
        <v>250</v>
      </c>
      <c r="J50" s="68">
        <f t="shared" si="3"/>
        <v>5</v>
      </c>
      <c r="K50" s="7"/>
      <c r="L50" s="7" t="str">
        <f t="shared" si="4"/>
        <v/>
      </c>
      <c r="M50" s="7"/>
      <c r="N50" s="68">
        <f t="shared" si="5"/>
        <v>0</v>
      </c>
      <c r="O50" s="76"/>
      <c r="V50" s="84" t="s">
        <v>2670</v>
      </c>
      <c r="W50" s="2">
        <v>200</v>
      </c>
      <c r="X50" s="2" t="s">
        <v>3001</v>
      </c>
      <c r="Y50" s="255">
        <f t="shared" si="13"/>
        <v>1</v>
      </c>
      <c r="Z50" s="2"/>
      <c r="AB50" s="7" t="str">
        <f t="shared" si="14"/>
        <v>[]</v>
      </c>
      <c r="AC50" s="7" t="str">
        <f t="shared" si="15"/>
        <v>[(102,250)]</v>
      </c>
    </row>
    <row r="51" spans="1:29" ht="15.75" x14ac:dyDescent="0.3">
      <c r="A51" s="7">
        <v>49</v>
      </c>
      <c r="B51" s="7">
        <v>1</v>
      </c>
      <c r="C51" s="7" t="s">
        <v>3006</v>
      </c>
      <c r="D51" s="7" t="str">
        <f t="shared" si="0"/>
        <v/>
      </c>
      <c r="E51" s="7" t="s">
        <v>3006</v>
      </c>
      <c r="F51" s="68">
        <f t="shared" si="1"/>
        <v>0</v>
      </c>
      <c r="G51" s="7" t="s">
        <v>4217</v>
      </c>
      <c r="H51" s="7" t="str">
        <f t="shared" si="2"/>
        <v>新加速道具</v>
      </c>
      <c r="I51" s="7">
        <v>2</v>
      </c>
      <c r="J51" s="68">
        <f t="shared" si="3"/>
        <v>8</v>
      </c>
      <c r="K51" s="7"/>
      <c r="L51" s="7" t="str">
        <f t="shared" si="4"/>
        <v/>
      </c>
      <c r="M51" s="7"/>
      <c r="N51" s="68">
        <f t="shared" si="5"/>
        <v>0</v>
      </c>
      <c r="O51" s="76"/>
      <c r="V51" s="257" t="s">
        <v>3718</v>
      </c>
      <c r="W51" s="2">
        <v>200</v>
      </c>
      <c r="X51" s="2" t="s">
        <v>3001</v>
      </c>
      <c r="Y51" s="255">
        <f t="shared" si="13"/>
        <v>1</v>
      </c>
      <c r="Z51" s="2"/>
      <c r="AB51" s="7" t="str">
        <f t="shared" si="14"/>
        <v>[]</v>
      </c>
      <c r="AC51" s="7" t="str">
        <f t="shared" si="15"/>
        <v>[(100202,2)]</v>
      </c>
    </row>
    <row r="52" spans="1:29" ht="15.75" x14ac:dyDescent="0.3">
      <c r="A52" s="70">
        <v>50</v>
      </c>
      <c r="B52" s="7">
        <v>1</v>
      </c>
      <c r="C52" s="70" t="s">
        <v>2606</v>
      </c>
      <c r="D52" s="7" t="str">
        <f t="shared" si="0"/>
        <v>头像框</v>
      </c>
      <c r="E52" s="70">
        <v>1</v>
      </c>
      <c r="F52" s="71">
        <f t="shared" si="1"/>
        <v>100</v>
      </c>
      <c r="G52" s="70" t="s">
        <v>2693</v>
      </c>
      <c r="H52" s="7" t="str">
        <f t="shared" si="2"/>
        <v>头像</v>
      </c>
      <c r="I52" s="70">
        <v>1</v>
      </c>
      <c r="J52" s="68">
        <f t="shared" si="3"/>
        <v>200</v>
      </c>
      <c r="K52" s="70" t="s">
        <v>2682</v>
      </c>
      <c r="L52" s="7" t="str">
        <f t="shared" si="4"/>
        <v>流光</v>
      </c>
      <c r="M52" s="70">
        <v>1</v>
      </c>
      <c r="N52" s="68">
        <f t="shared" si="5"/>
        <v>300</v>
      </c>
      <c r="O52" s="77">
        <f>SUM(N43:N52)+SUM(J43:J52)+SUM(F43:F52)</f>
        <v>1497</v>
      </c>
      <c r="V52" s="84" t="s">
        <v>2674</v>
      </c>
      <c r="W52" s="2">
        <v>200</v>
      </c>
      <c r="X52" s="2" t="s">
        <v>3001</v>
      </c>
      <c r="Y52" s="255">
        <f t="shared" si="13"/>
        <v>1</v>
      </c>
      <c r="Z52" s="2" t="s">
        <v>3723</v>
      </c>
      <c r="AB52" s="7" t="str">
        <f t="shared" si="14"/>
        <v>[(130103,1)]</v>
      </c>
      <c r="AC52" s="7" t="str">
        <f t="shared" si="15"/>
        <v>[(140104,1),(190002,1)]</v>
      </c>
    </row>
    <row r="53" spans="1:29" ht="15.75" x14ac:dyDescent="0.3">
      <c r="A53" s="7">
        <v>51</v>
      </c>
      <c r="B53" s="7">
        <v>1</v>
      </c>
      <c r="C53" s="7"/>
      <c r="D53" s="7" t="str">
        <f t="shared" si="0"/>
        <v/>
      </c>
      <c r="E53" s="7"/>
      <c r="F53" s="68">
        <f t="shared" si="1"/>
        <v>0</v>
      </c>
      <c r="G53" s="7" t="s">
        <v>2457</v>
      </c>
      <c r="H53" s="7" t="str">
        <f t="shared" si="2"/>
        <v>宝箱</v>
      </c>
      <c r="I53" s="7">
        <v>1</v>
      </c>
      <c r="J53" s="68">
        <f t="shared" si="3"/>
        <v>600</v>
      </c>
      <c r="K53" s="7"/>
      <c r="L53" s="7" t="str">
        <f t="shared" si="4"/>
        <v/>
      </c>
      <c r="M53" s="7"/>
      <c r="N53" s="68">
        <f t="shared" si="5"/>
        <v>0</v>
      </c>
      <c r="O53" s="76"/>
      <c r="V53" s="84" t="s">
        <v>2676</v>
      </c>
      <c r="W53" s="2">
        <v>200</v>
      </c>
      <c r="X53" s="2" t="s">
        <v>3001</v>
      </c>
      <c r="Y53" s="255">
        <f t="shared" si="13"/>
        <v>1</v>
      </c>
      <c r="Z53" s="259" t="s">
        <v>3723</v>
      </c>
      <c r="AB53" s="7" t="str">
        <f t="shared" si="14"/>
        <v>[]</v>
      </c>
      <c r="AC53" s="7" t="str">
        <f t="shared" si="15"/>
        <v>[(25154,1)]</v>
      </c>
    </row>
    <row r="54" spans="1:29" ht="15.75" x14ac:dyDescent="0.3">
      <c r="A54" s="7">
        <v>52</v>
      </c>
      <c r="B54" s="7">
        <v>1</v>
      </c>
      <c r="C54" s="7"/>
      <c r="D54" s="7" t="str">
        <f t="shared" si="0"/>
        <v/>
      </c>
      <c r="E54" s="7"/>
      <c r="F54" s="68">
        <f t="shared" si="1"/>
        <v>0</v>
      </c>
      <c r="G54" s="7" t="s">
        <v>268</v>
      </c>
      <c r="H54" s="7" t="str">
        <f t="shared" si="2"/>
        <v>军费</v>
      </c>
      <c r="I54" s="7">
        <v>375</v>
      </c>
      <c r="J54" s="68">
        <f t="shared" si="3"/>
        <v>7.5</v>
      </c>
      <c r="K54" s="7"/>
      <c r="L54" s="7" t="str">
        <f t="shared" si="4"/>
        <v/>
      </c>
      <c r="M54" s="7"/>
      <c r="N54" s="68">
        <f t="shared" si="5"/>
        <v>0</v>
      </c>
      <c r="O54" s="76"/>
      <c r="V54" s="84" t="s">
        <v>2678</v>
      </c>
      <c r="W54" s="2">
        <v>200</v>
      </c>
      <c r="X54" s="2" t="s">
        <v>3001</v>
      </c>
      <c r="Y54" s="255">
        <f t="shared" si="13"/>
        <v>1</v>
      </c>
      <c r="Z54" s="259" t="s">
        <v>3723</v>
      </c>
      <c r="AB54" s="7" t="str">
        <f t="shared" si="14"/>
        <v>[]</v>
      </c>
      <c r="AC54" s="7" t="str">
        <f t="shared" si="15"/>
        <v>[(102,375)]</v>
      </c>
    </row>
    <row r="55" spans="1:29" ht="15.75" x14ac:dyDescent="0.3">
      <c r="A55" s="7">
        <v>53</v>
      </c>
      <c r="B55" s="7">
        <v>1</v>
      </c>
      <c r="C55" s="7"/>
      <c r="D55" s="7" t="str">
        <f t="shared" si="0"/>
        <v/>
      </c>
      <c r="E55" s="7"/>
      <c r="F55" s="68">
        <f t="shared" si="1"/>
        <v>0</v>
      </c>
      <c r="G55" s="7" t="s">
        <v>317</v>
      </c>
      <c r="H55" s="7" t="str">
        <f t="shared" si="2"/>
        <v>钻石</v>
      </c>
      <c r="I55" s="7">
        <v>50</v>
      </c>
      <c r="J55" s="68">
        <f t="shared" si="3"/>
        <v>50</v>
      </c>
      <c r="K55" s="7"/>
      <c r="L55" s="7" t="str">
        <f t="shared" si="4"/>
        <v/>
      </c>
      <c r="M55" s="7"/>
      <c r="N55" s="68">
        <f t="shared" si="5"/>
        <v>0</v>
      </c>
      <c r="O55" s="76"/>
      <c r="V55" s="257" t="s">
        <v>3717</v>
      </c>
      <c r="W55" s="2">
        <v>300</v>
      </c>
      <c r="X55" s="2" t="s">
        <v>3001</v>
      </c>
      <c r="Y55" s="255">
        <f t="shared" si="13"/>
        <v>1</v>
      </c>
      <c r="Z55" s="2" t="s">
        <v>3722</v>
      </c>
      <c r="AB55" s="7" t="str">
        <f t="shared" si="14"/>
        <v>[]</v>
      </c>
      <c r="AC55" s="7" t="str">
        <f t="shared" si="15"/>
        <v>[(101,50)]</v>
      </c>
    </row>
    <row r="56" spans="1:29" ht="15.75" x14ac:dyDescent="0.3">
      <c r="A56" s="7">
        <v>54</v>
      </c>
      <c r="B56" s="7">
        <v>1</v>
      </c>
      <c r="C56" s="7"/>
      <c r="D56" s="7" t="str">
        <f t="shared" si="0"/>
        <v/>
      </c>
      <c r="E56" s="7"/>
      <c r="F56" s="68">
        <f t="shared" si="1"/>
        <v>0</v>
      </c>
      <c r="G56" s="7" t="s">
        <v>4217</v>
      </c>
      <c r="H56" s="7" t="str">
        <f t="shared" si="2"/>
        <v>新加速道具</v>
      </c>
      <c r="I56" s="7">
        <v>2</v>
      </c>
      <c r="J56" s="68">
        <f t="shared" si="3"/>
        <v>8</v>
      </c>
      <c r="K56" s="7"/>
      <c r="L56" s="7" t="str">
        <f t="shared" si="4"/>
        <v/>
      </c>
      <c r="M56" s="7"/>
      <c r="N56" s="68">
        <f t="shared" si="5"/>
        <v>0</v>
      </c>
      <c r="O56" s="76"/>
      <c r="V56" s="84" t="s">
        <v>2717</v>
      </c>
      <c r="W56" s="2">
        <v>500</v>
      </c>
      <c r="X56" s="2" t="s">
        <v>3001</v>
      </c>
      <c r="Y56" s="255">
        <f t="shared" si="13"/>
        <v>1</v>
      </c>
      <c r="Z56" s="2"/>
      <c r="AB56" s="7" t="str">
        <f t="shared" si="14"/>
        <v>[]</v>
      </c>
      <c r="AC56" s="7" t="str">
        <f t="shared" si="15"/>
        <v>[(100202,2)]</v>
      </c>
    </row>
    <row r="57" spans="1:29" ht="15.75" x14ac:dyDescent="0.3">
      <c r="A57" s="7">
        <v>55</v>
      </c>
      <c r="B57" s="7">
        <v>1</v>
      </c>
      <c r="C57" s="7"/>
      <c r="D57" s="7" t="str">
        <f t="shared" si="0"/>
        <v/>
      </c>
      <c r="E57" s="7"/>
      <c r="F57" s="68">
        <f t="shared" si="1"/>
        <v>0</v>
      </c>
      <c r="G57" s="7" t="s">
        <v>2686</v>
      </c>
      <c r="H57" s="7" t="str">
        <f t="shared" si="2"/>
        <v>BattlePass货币</v>
      </c>
      <c r="I57" s="7">
        <v>50</v>
      </c>
      <c r="J57" s="68">
        <f t="shared" si="3"/>
        <v>70</v>
      </c>
      <c r="K57" s="7"/>
      <c r="L57" s="7" t="str">
        <f t="shared" si="4"/>
        <v/>
      </c>
      <c r="M57" s="7"/>
      <c r="N57" s="68">
        <f t="shared" si="5"/>
        <v>0</v>
      </c>
      <c r="O57" s="76"/>
      <c r="V57" s="84" t="s">
        <v>2719</v>
      </c>
      <c r="W57" s="2">
        <v>300</v>
      </c>
      <c r="X57" s="2" t="s">
        <v>3001</v>
      </c>
      <c r="Y57" s="255">
        <f t="shared" si="13"/>
        <v>1</v>
      </c>
      <c r="Z57" s="2"/>
      <c r="AB57" s="7" t="str">
        <f t="shared" si="14"/>
        <v>[]</v>
      </c>
      <c r="AC57" s="7" t="str">
        <f t="shared" si="15"/>
        <v>[(113,50)]</v>
      </c>
    </row>
    <row r="58" spans="1:29" ht="15.75" x14ac:dyDescent="0.3">
      <c r="A58" s="7">
        <v>56</v>
      </c>
      <c r="B58" s="7">
        <v>1</v>
      </c>
      <c r="C58" s="7"/>
      <c r="D58" s="7" t="str">
        <f t="shared" si="0"/>
        <v/>
      </c>
      <c r="E58" s="7"/>
      <c r="F58" s="68">
        <f t="shared" si="1"/>
        <v>0</v>
      </c>
      <c r="G58" s="13" t="s">
        <v>268</v>
      </c>
      <c r="H58" s="7" t="str">
        <f t="shared" si="2"/>
        <v>军费</v>
      </c>
      <c r="I58" s="7">
        <v>375</v>
      </c>
      <c r="J58" s="68">
        <f t="shared" si="3"/>
        <v>7.5</v>
      </c>
      <c r="K58" s="7"/>
      <c r="L58" s="7" t="str">
        <f t="shared" si="4"/>
        <v/>
      </c>
      <c r="M58" s="7"/>
      <c r="N58" s="68">
        <f t="shared" si="5"/>
        <v>0</v>
      </c>
      <c r="O58" s="76"/>
      <c r="V58" s="84" t="s">
        <v>2721</v>
      </c>
      <c r="W58" s="2">
        <v>500</v>
      </c>
      <c r="X58" s="2" t="s">
        <v>3001</v>
      </c>
      <c r="Y58" s="255">
        <f t="shared" si="13"/>
        <v>1</v>
      </c>
      <c r="Z58" s="2"/>
      <c r="AB58" s="7" t="str">
        <f t="shared" si="14"/>
        <v>[]</v>
      </c>
      <c r="AC58" s="7" t="str">
        <f t="shared" si="15"/>
        <v>[(102,375)]</v>
      </c>
    </row>
    <row r="59" spans="1:29" ht="15.75" x14ac:dyDescent="0.3">
      <c r="A59" s="7">
        <v>57</v>
      </c>
      <c r="B59" s="7">
        <v>1</v>
      </c>
      <c r="C59" s="7"/>
      <c r="D59" s="7" t="str">
        <f t="shared" si="0"/>
        <v/>
      </c>
      <c r="E59" s="7"/>
      <c r="F59" s="68">
        <f t="shared" si="1"/>
        <v>0</v>
      </c>
      <c r="G59" s="7" t="s">
        <v>521</v>
      </c>
      <c r="H59" s="7" t="str">
        <f t="shared" si="2"/>
        <v>宝箱</v>
      </c>
      <c r="I59" s="7">
        <v>1</v>
      </c>
      <c r="J59" s="68">
        <f t="shared" si="3"/>
        <v>100</v>
      </c>
      <c r="K59" s="7"/>
      <c r="L59" s="7" t="str">
        <f t="shared" si="4"/>
        <v/>
      </c>
      <c r="M59" s="7"/>
      <c r="N59" s="68">
        <f t="shared" si="5"/>
        <v>0</v>
      </c>
      <c r="O59" s="76"/>
      <c r="V59" s="84" t="s">
        <v>2723</v>
      </c>
      <c r="W59" s="2">
        <v>300</v>
      </c>
      <c r="X59" s="2" t="s">
        <v>3001</v>
      </c>
      <c r="Y59" s="255">
        <f t="shared" si="13"/>
        <v>1</v>
      </c>
      <c r="Z59" s="2"/>
      <c r="AB59" s="7" t="str">
        <f t="shared" si="14"/>
        <v>[]</v>
      </c>
      <c r="AC59" s="7" t="str">
        <f t="shared" si="15"/>
        <v>[(24004,1)]</v>
      </c>
    </row>
    <row r="60" spans="1:29" ht="15.75" x14ac:dyDescent="0.3">
      <c r="A60" s="7">
        <v>58</v>
      </c>
      <c r="B60" s="7">
        <v>1</v>
      </c>
      <c r="C60" s="7"/>
      <c r="D60" s="7" t="str">
        <f t="shared" si="0"/>
        <v/>
      </c>
      <c r="E60" s="7"/>
      <c r="F60" s="68">
        <f t="shared" si="1"/>
        <v>0</v>
      </c>
      <c r="G60" s="7" t="s">
        <v>268</v>
      </c>
      <c r="H60" s="7" t="str">
        <f t="shared" si="2"/>
        <v>军费</v>
      </c>
      <c r="I60" s="7">
        <v>375</v>
      </c>
      <c r="J60" s="68">
        <f t="shared" si="3"/>
        <v>7.5</v>
      </c>
      <c r="K60" s="7"/>
      <c r="L60" s="7" t="str">
        <f t="shared" si="4"/>
        <v/>
      </c>
      <c r="M60" s="7"/>
      <c r="N60" s="68">
        <f t="shared" si="5"/>
        <v>0</v>
      </c>
      <c r="O60" s="76"/>
      <c r="V60" s="84" t="s">
        <v>2725</v>
      </c>
      <c r="W60" s="2">
        <v>500</v>
      </c>
      <c r="X60" s="2" t="s">
        <v>3001</v>
      </c>
      <c r="Y60" s="255">
        <f t="shared" si="13"/>
        <v>1</v>
      </c>
      <c r="Z60" s="2"/>
      <c r="AB60" s="7" t="str">
        <f t="shared" si="14"/>
        <v>[]</v>
      </c>
      <c r="AC60" s="7" t="str">
        <f t="shared" si="15"/>
        <v>[(102,375)]</v>
      </c>
    </row>
    <row r="61" spans="1:29" ht="15.75" x14ac:dyDescent="0.3">
      <c r="A61" s="7">
        <v>59</v>
      </c>
      <c r="B61" s="7">
        <v>1</v>
      </c>
      <c r="C61" s="7"/>
      <c r="D61" s="7" t="str">
        <f t="shared" si="0"/>
        <v/>
      </c>
      <c r="E61" s="7"/>
      <c r="F61" s="68">
        <f t="shared" si="1"/>
        <v>0</v>
      </c>
      <c r="G61" s="7" t="s">
        <v>317</v>
      </c>
      <c r="H61" s="7" t="str">
        <f t="shared" si="2"/>
        <v>钻石</v>
      </c>
      <c r="I61" s="7">
        <v>50</v>
      </c>
      <c r="J61" s="68">
        <f t="shared" si="3"/>
        <v>50</v>
      </c>
      <c r="K61" s="7"/>
      <c r="L61" s="7" t="str">
        <f t="shared" si="4"/>
        <v/>
      </c>
      <c r="M61" s="7">
        <v>1</v>
      </c>
      <c r="N61" s="68">
        <f t="shared" si="5"/>
        <v>0</v>
      </c>
      <c r="O61" s="76"/>
      <c r="V61" s="84" t="s">
        <v>2680</v>
      </c>
      <c r="W61" s="2">
        <v>600</v>
      </c>
      <c r="X61" s="2" t="s">
        <v>3002</v>
      </c>
      <c r="Y61" s="255">
        <f t="shared" si="13"/>
        <v>1</v>
      </c>
      <c r="Z61" s="2" t="s">
        <v>3010</v>
      </c>
      <c r="AB61" s="7" t="str">
        <f t="shared" si="14"/>
        <v>[]</v>
      </c>
      <c r="AC61" s="7" t="str">
        <f t="shared" si="15"/>
        <v>[(101,50)]</v>
      </c>
    </row>
    <row r="62" spans="1:29" ht="15.75" x14ac:dyDescent="0.3">
      <c r="A62" s="70">
        <v>60</v>
      </c>
      <c r="B62" s="7">
        <v>1</v>
      </c>
      <c r="C62" s="70"/>
      <c r="D62" s="7" t="str">
        <f t="shared" si="0"/>
        <v/>
      </c>
      <c r="E62" s="70"/>
      <c r="F62" s="71">
        <f t="shared" si="1"/>
        <v>0</v>
      </c>
      <c r="G62" s="70" t="s">
        <v>2650</v>
      </c>
      <c r="H62" s="7" t="str">
        <f t="shared" si="2"/>
        <v>战旗</v>
      </c>
      <c r="I62" s="70">
        <v>1</v>
      </c>
      <c r="J62" s="68">
        <f t="shared" si="3"/>
        <v>200</v>
      </c>
      <c r="K62" s="70" t="s">
        <v>2662</v>
      </c>
      <c r="L62" s="7" t="str">
        <f t="shared" si="4"/>
        <v>涂装</v>
      </c>
      <c r="M62" s="70">
        <v>1</v>
      </c>
      <c r="N62" s="68">
        <f t="shared" si="5"/>
        <v>200</v>
      </c>
      <c r="O62" s="77">
        <f>SUM(N53:N62)+SUM(J53:J62)+SUM(F53:F62)</f>
        <v>1300.5</v>
      </c>
      <c r="V62" s="84" t="s">
        <v>2682</v>
      </c>
      <c r="W62" s="2">
        <v>300</v>
      </c>
      <c r="X62" s="2" t="s">
        <v>3002</v>
      </c>
      <c r="Y62" s="255">
        <f t="shared" si="13"/>
        <v>1</v>
      </c>
      <c r="Z62" s="2"/>
      <c r="AB62" s="7" t="str">
        <f t="shared" si="14"/>
        <v>[]</v>
      </c>
      <c r="AC62" s="7" t="str">
        <f t="shared" si="15"/>
        <v>[(120304,1),(180006,1)]</v>
      </c>
    </row>
    <row r="63" spans="1:29" ht="15.75" x14ac:dyDescent="0.3">
      <c r="A63" s="7">
        <v>61</v>
      </c>
      <c r="B63" s="7">
        <v>1</v>
      </c>
      <c r="C63" s="7"/>
      <c r="D63" s="7" t="str">
        <f t="shared" si="0"/>
        <v/>
      </c>
      <c r="E63" s="7"/>
      <c r="F63" s="68">
        <f t="shared" si="1"/>
        <v>0</v>
      </c>
      <c r="G63" s="7" t="s">
        <v>2686</v>
      </c>
      <c r="H63" s="7" t="str">
        <f t="shared" si="2"/>
        <v>BattlePass货币</v>
      </c>
      <c r="I63" s="7">
        <v>50</v>
      </c>
      <c r="J63" s="68">
        <f t="shared" si="3"/>
        <v>70</v>
      </c>
      <c r="K63" s="7"/>
      <c r="L63" s="7" t="str">
        <f t="shared" si="4"/>
        <v/>
      </c>
      <c r="M63" s="7"/>
      <c r="N63" s="68">
        <f t="shared" si="5"/>
        <v>0</v>
      </c>
      <c r="O63" s="76"/>
      <c r="V63" s="84" t="s">
        <v>2684</v>
      </c>
      <c r="W63" s="2">
        <v>300</v>
      </c>
      <c r="X63" s="2" t="s">
        <v>3002</v>
      </c>
      <c r="Y63" s="255">
        <f t="shared" si="13"/>
        <v>1</v>
      </c>
      <c r="Z63" s="2"/>
      <c r="AB63" s="7" t="str">
        <f t="shared" si="14"/>
        <v>[]</v>
      </c>
      <c r="AC63" s="7" t="str">
        <f t="shared" si="15"/>
        <v>[(113,50)]</v>
      </c>
    </row>
    <row r="64" spans="1:29" ht="15.75" x14ac:dyDescent="0.3">
      <c r="A64" s="7">
        <v>62</v>
      </c>
      <c r="B64" s="7">
        <v>1</v>
      </c>
      <c r="C64" s="7"/>
      <c r="D64" s="7" t="str">
        <f t="shared" si="0"/>
        <v/>
      </c>
      <c r="E64" s="7"/>
      <c r="F64" s="68">
        <f t="shared" si="1"/>
        <v>0</v>
      </c>
      <c r="G64" s="7" t="s">
        <v>268</v>
      </c>
      <c r="H64" s="7" t="str">
        <f t="shared" si="2"/>
        <v>军费</v>
      </c>
      <c r="I64" s="7">
        <v>375</v>
      </c>
      <c r="J64" s="68">
        <f t="shared" si="3"/>
        <v>7.5</v>
      </c>
      <c r="K64" s="7"/>
      <c r="L64" s="7" t="str">
        <f t="shared" si="4"/>
        <v/>
      </c>
      <c r="M64" s="7"/>
      <c r="N64" s="68">
        <f t="shared" si="5"/>
        <v>0</v>
      </c>
      <c r="O64" s="76"/>
      <c r="V64" s="2" t="s">
        <v>268</v>
      </c>
      <c r="W64" s="2">
        <f>道具价值!$AB$76</f>
        <v>0.02</v>
      </c>
      <c r="X64" s="2" t="s">
        <v>268</v>
      </c>
      <c r="Y64" s="255">
        <f t="shared" si="13"/>
        <v>45475</v>
      </c>
      <c r="Z64" s="2"/>
      <c r="AB64" s="7" t="str">
        <f t="shared" si="14"/>
        <v>[]</v>
      </c>
      <c r="AC64" s="7" t="str">
        <f t="shared" si="15"/>
        <v>[(102,375)]</v>
      </c>
    </row>
    <row r="65" spans="1:29" ht="15.75" x14ac:dyDescent="0.3">
      <c r="A65" s="7">
        <v>63</v>
      </c>
      <c r="B65" s="7">
        <v>1</v>
      </c>
      <c r="C65" s="7"/>
      <c r="D65" s="7" t="str">
        <f t="shared" si="0"/>
        <v/>
      </c>
      <c r="E65" s="7"/>
      <c r="F65" s="68">
        <f t="shared" si="1"/>
        <v>0</v>
      </c>
      <c r="G65" s="7" t="s">
        <v>2382</v>
      </c>
      <c r="H65" s="7" t="str">
        <f t="shared" si="2"/>
        <v>宝箱</v>
      </c>
      <c r="I65" s="7">
        <v>1</v>
      </c>
      <c r="J65" s="68">
        <f t="shared" si="3"/>
        <v>100</v>
      </c>
      <c r="K65" s="7"/>
      <c r="L65" s="7" t="str">
        <f t="shared" si="4"/>
        <v/>
      </c>
      <c r="M65" s="7"/>
      <c r="N65" s="68">
        <f t="shared" si="5"/>
        <v>0</v>
      </c>
      <c r="O65" s="76"/>
      <c r="V65" s="2" t="s">
        <v>273</v>
      </c>
      <c r="W65" s="2">
        <f>道具价值!$O$73</f>
        <v>0.83333333333333404</v>
      </c>
      <c r="X65" s="2" t="s">
        <v>273</v>
      </c>
      <c r="Y65" s="255">
        <f t="shared" si="13"/>
        <v>1080</v>
      </c>
      <c r="Z65" s="2"/>
      <c r="AB65" s="7" t="str">
        <f t="shared" si="14"/>
        <v>[]</v>
      </c>
      <c r="AC65" s="7" t="str">
        <f t="shared" si="15"/>
        <v>[(23004,1)]</v>
      </c>
    </row>
    <row r="66" spans="1:29" ht="15.75" x14ac:dyDescent="0.3">
      <c r="A66" s="7">
        <v>64</v>
      </c>
      <c r="B66" s="7">
        <v>1</v>
      </c>
      <c r="C66" s="7"/>
      <c r="D66" s="7" t="str">
        <f t="shared" si="0"/>
        <v/>
      </c>
      <c r="E66" s="7"/>
      <c r="F66" s="68">
        <f t="shared" si="1"/>
        <v>0</v>
      </c>
      <c r="G66" s="13" t="s">
        <v>268</v>
      </c>
      <c r="H66" s="7" t="str">
        <f t="shared" si="2"/>
        <v>军费</v>
      </c>
      <c r="I66" s="7">
        <v>375</v>
      </c>
      <c r="J66" s="68">
        <f t="shared" si="3"/>
        <v>7.5</v>
      </c>
      <c r="K66" s="7"/>
      <c r="L66" s="7" t="str">
        <f t="shared" si="4"/>
        <v/>
      </c>
      <c r="M66" s="7"/>
      <c r="N66" s="68">
        <f t="shared" si="5"/>
        <v>0</v>
      </c>
      <c r="O66" s="76"/>
      <c r="V66" s="2" t="s">
        <v>317</v>
      </c>
      <c r="W66" s="2">
        <v>1</v>
      </c>
      <c r="X66" s="2" t="s">
        <v>317</v>
      </c>
      <c r="Y66" s="255">
        <f t="shared" si="13"/>
        <v>4520</v>
      </c>
      <c r="Z66" s="2"/>
      <c r="AB66" s="7" t="str">
        <f t="shared" si="14"/>
        <v>[]</v>
      </c>
      <c r="AC66" s="7" t="str">
        <f t="shared" si="15"/>
        <v>[(102,375)]</v>
      </c>
    </row>
    <row r="67" spans="1:29" ht="15.75" x14ac:dyDescent="0.3">
      <c r="A67" s="7">
        <v>65</v>
      </c>
      <c r="B67" s="7">
        <v>1</v>
      </c>
      <c r="C67" s="7"/>
      <c r="D67" s="7" t="str">
        <f t="shared" ref="D67:D130" si="16">IF(C67="","",VLOOKUP(C67,$V:$X,3,FALSE))</f>
        <v/>
      </c>
      <c r="E67" s="7"/>
      <c r="F67" s="68">
        <f t="shared" ref="F67:F130" si="17">IF(C67="",0,VLOOKUP(C67,$V:$W,2,FALSE)*E67)</f>
        <v>0</v>
      </c>
      <c r="G67" s="7" t="s">
        <v>317</v>
      </c>
      <c r="H67" s="7" t="str">
        <f t="shared" ref="H67:H130" si="18">IF(G67="","",VLOOKUP(G67,$V:$X,3,FALSE))</f>
        <v>钻石</v>
      </c>
      <c r="I67" s="7">
        <v>50</v>
      </c>
      <c r="J67" s="68">
        <f t="shared" ref="J67:J130" si="19">IF(G67="",0,VLOOKUP(G67,$V:$W,2,FALSE)*I67)</f>
        <v>50</v>
      </c>
      <c r="K67" s="7"/>
      <c r="L67" s="7" t="str">
        <f t="shared" ref="L67:L130" si="20">IF(K67="","",VLOOKUP(K67,$V:$X,3,FALSE))</f>
        <v/>
      </c>
      <c r="M67" s="7"/>
      <c r="N67" s="68">
        <f t="shared" ref="N67:N130" si="21">IF(K67="",0,VLOOKUP(K67,$V:$W,2,FALSE)*M67)</f>
        <v>0</v>
      </c>
      <c r="O67" s="76"/>
      <c r="V67" s="2" t="s">
        <v>511</v>
      </c>
      <c r="W67" s="2">
        <f>道具价值!$P$73</f>
        <v>0.50000000000000044</v>
      </c>
      <c r="X67" s="2" t="s">
        <v>511</v>
      </c>
      <c r="Y67" s="255">
        <f t="shared" ref="Y67" si="22">IF(Z67="",SUMIFS(E:E,C:C,V67)+SUMIFS(I:I,G:G,V67)+SUMIFS(M:M,K:K,V67),1)</f>
        <v>770</v>
      </c>
      <c r="Z67" s="2"/>
      <c r="AB67" s="7" t="str">
        <f t="shared" ref="AB67:AB102" si="23">IF(C67="","[]","["&amp;"("&amp;VLOOKUP(C67,道具ID,2,FALSE)&amp;","&amp;E67&amp;")"&amp;"]")</f>
        <v>[]</v>
      </c>
      <c r="AC67" s="7" t="str">
        <f t="shared" ref="AC67:AC102" si="24">IF(G67="","[]",IF(K67="","["&amp;"("&amp;VLOOKUP(G67,道具ID,2,FALSE)&amp;","&amp;I67&amp;")"&amp;"]","["&amp;"("&amp;VLOOKUP(G67,道具ID,2,FALSE)&amp;","&amp;I67&amp;")"&amp;","&amp;"("&amp;VLOOKUP(K67,道具ID,2,FALSE)&amp;","&amp;M67&amp;")"&amp;"]"))</f>
        <v>[(101,50)]</v>
      </c>
    </row>
    <row r="68" spans="1:29" ht="15.75" x14ac:dyDescent="0.3">
      <c r="A68" s="7">
        <v>66</v>
      </c>
      <c r="B68" s="7">
        <v>1</v>
      </c>
      <c r="C68" s="7"/>
      <c r="D68" s="7" t="str">
        <f t="shared" si="16"/>
        <v/>
      </c>
      <c r="E68" s="7"/>
      <c r="F68" s="68">
        <f t="shared" si="17"/>
        <v>0</v>
      </c>
      <c r="G68" s="7" t="s">
        <v>2457</v>
      </c>
      <c r="H68" s="7" t="str">
        <f t="shared" si="18"/>
        <v>宝箱</v>
      </c>
      <c r="I68" s="7">
        <v>1</v>
      </c>
      <c r="J68" s="68">
        <f t="shared" si="19"/>
        <v>600</v>
      </c>
      <c r="K68" s="7"/>
      <c r="L68" s="7" t="str">
        <f t="shared" si="20"/>
        <v/>
      </c>
      <c r="M68" s="7"/>
      <c r="N68" s="68">
        <f t="shared" si="21"/>
        <v>0</v>
      </c>
      <c r="O68" s="76"/>
      <c r="V68" s="2"/>
      <c r="W68" s="2"/>
      <c r="X68" s="2"/>
      <c r="Y68" s="255"/>
      <c r="Z68" s="2"/>
      <c r="AB68" s="7" t="str">
        <f t="shared" si="23"/>
        <v>[]</v>
      </c>
      <c r="AC68" s="7" t="str">
        <f t="shared" si="24"/>
        <v>[(25154,1)]</v>
      </c>
    </row>
    <row r="69" spans="1:29" ht="15.75" x14ac:dyDescent="0.3">
      <c r="A69" s="7">
        <v>67</v>
      </c>
      <c r="B69" s="7">
        <v>1</v>
      </c>
      <c r="C69" s="7"/>
      <c r="D69" s="7" t="str">
        <f t="shared" si="16"/>
        <v/>
      </c>
      <c r="E69" s="69"/>
      <c r="F69" s="68">
        <f t="shared" si="17"/>
        <v>0</v>
      </c>
      <c r="G69" s="7" t="s">
        <v>2686</v>
      </c>
      <c r="H69" s="7" t="str">
        <f t="shared" si="18"/>
        <v>BattlePass货币</v>
      </c>
      <c r="I69" s="7">
        <v>50</v>
      </c>
      <c r="J69" s="68">
        <f t="shared" si="19"/>
        <v>70</v>
      </c>
      <c r="K69" s="7"/>
      <c r="L69" s="7" t="str">
        <f t="shared" si="20"/>
        <v/>
      </c>
      <c r="M69" s="7"/>
      <c r="N69" s="68">
        <f t="shared" si="21"/>
        <v>0</v>
      </c>
      <c r="O69" s="76"/>
      <c r="V69" s="2"/>
      <c r="W69" s="2"/>
      <c r="X69" s="2"/>
      <c r="Y69" s="255"/>
      <c r="Z69" s="2"/>
      <c r="AB69" s="7" t="str">
        <f t="shared" si="23"/>
        <v>[]</v>
      </c>
      <c r="AC69" s="7" t="str">
        <f t="shared" si="24"/>
        <v>[(113,50)]</v>
      </c>
    </row>
    <row r="70" spans="1:29" ht="15.75" x14ac:dyDescent="0.3">
      <c r="A70" s="7">
        <v>68</v>
      </c>
      <c r="B70" s="7">
        <v>1</v>
      </c>
      <c r="C70" s="7"/>
      <c r="D70" s="7" t="str">
        <f t="shared" si="16"/>
        <v/>
      </c>
      <c r="E70" s="7"/>
      <c r="F70" s="68">
        <f t="shared" si="17"/>
        <v>0</v>
      </c>
      <c r="G70" s="7" t="s">
        <v>4217</v>
      </c>
      <c r="H70" s="7" t="str">
        <f t="shared" si="18"/>
        <v>新加速道具</v>
      </c>
      <c r="I70" s="7">
        <v>2</v>
      </c>
      <c r="J70" s="68">
        <f t="shared" si="19"/>
        <v>8</v>
      </c>
      <c r="K70" s="7"/>
      <c r="L70" s="7" t="str">
        <f t="shared" si="20"/>
        <v/>
      </c>
      <c r="M70" s="7"/>
      <c r="N70" s="68">
        <f t="shared" si="21"/>
        <v>0</v>
      </c>
      <c r="O70" s="76"/>
      <c r="V70" s="2" t="s">
        <v>2433</v>
      </c>
      <c r="W70" s="2">
        <f>[1]宝箱设定!$C$9</f>
        <v>200</v>
      </c>
      <c r="X70" s="2" t="s">
        <v>3004</v>
      </c>
      <c r="Y70" s="255">
        <f t="shared" ref="Y70:Y101" si="25">IF(Z70="",SUMIFS(E:E,C:C,V70)+SUMIFS(I:I,G:G,V70)+SUMIFS(M:M,K:K,V70),1)</f>
        <v>0</v>
      </c>
      <c r="Z70" s="2"/>
      <c r="AB70" s="7" t="str">
        <f t="shared" si="23"/>
        <v>[]</v>
      </c>
      <c r="AC70" s="7" t="str">
        <f t="shared" si="24"/>
        <v>[(100202,2)]</v>
      </c>
    </row>
    <row r="71" spans="1:29" ht="15.75" x14ac:dyDescent="0.3">
      <c r="A71" s="7">
        <v>69</v>
      </c>
      <c r="B71" s="7">
        <v>1</v>
      </c>
      <c r="C71" s="7"/>
      <c r="D71" s="7" t="str">
        <f t="shared" si="16"/>
        <v/>
      </c>
      <c r="E71" s="7"/>
      <c r="F71" s="68">
        <f t="shared" si="17"/>
        <v>0</v>
      </c>
      <c r="G71" s="7" t="s">
        <v>268</v>
      </c>
      <c r="H71" s="7" t="str">
        <f t="shared" si="18"/>
        <v>军费</v>
      </c>
      <c r="I71" s="7">
        <v>625</v>
      </c>
      <c r="J71" s="68">
        <f t="shared" si="19"/>
        <v>12.5</v>
      </c>
      <c r="K71" s="7"/>
      <c r="L71" s="7" t="str">
        <f t="shared" si="20"/>
        <v/>
      </c>
      <c r="M71" s="7"/>
      <c r="N71" s="68">
        <f t="shared" si="21"/>
        <v>0</v>
      </c>
      <c r="O71" s="76"/>
      <c r="V71" s="2" t="s">
        <v>2434</v>
      </c>
      <c r="W71" s="2">
        <f>[1]宝箱设定!$C$9</f>
        <v>200</v>
      </c>
      <c r="X71" s="2" t="s">
        <v>3004</v>
      </c>
      <c r="Y71" s="255">
        <f t="shared" si="25"/>
        <v>8</v>
      </c>
      <c r="Z71" s="2"/>
      <c r="AB71" s="7" t="str">
        <f t="shared" si="23"/>
        <v>[]</v>
      </c>
      <c r="AC71" s="7" t="str">
        <f t="shared" si="24"/>
        <v>[(102,625)]</v>
      </c>
    </row>
    <row r="72" spans="1:29" ht="15.75" x14ac:dyDescent="0.3">
      <c r="A72" s="70">
        <v>70</v>
      </c>
      <c r="B72" s="7">
        <v>1</v>
      </c>
      <c r="C72" s="70"/>
      <c r="D72" s="7" t="str">
        <f t="shared" si="16"/>
        <v/>
      </c>
      <c r="E72" s="70"/>
      <c r="F72" s="71">
        <f t="shared" si="17"/>
        <v>0</v>
      </c>
      <c r="G72" s="70" t="s">
        <v>2614</v>
      </c>
      <c r="H72" s="7" t="str">
        <f t="shared" si="18"/>
        <v>头像框</v>
      </c>
      <c r="I72" s="70">
        <v>1</v>
      </c>
      <c r="J72" s="68">
        <f t="shared" si="19"/>
        <v>600</v>
      </c>
      <c r="K72" s="70" t="s">
        <v>2725</v>
      </c>
      <c r="L72" s="7" t="str">
        <f t="shared" si="20"/>
        <v>涂装</v>
      </c>
      <c r="M72" s="70">
        <v>1</v>
      </c>
      <c r="N72" s="68">
        <f t="shared" si="21"/>
        <v>500</v>
      </c>
      <c r="O72" s="77">
        <f>SUM(N63:N72)+SUM(J63:J72)+SUM(F63:F72)</f>
        <v>2025.5</v>
      </c>
      <c r="V72" s="2" t="s">
        <v>2435</v>
      </c>
      <c r="W72" s="2">
        <f>[1]宝箱设定!$C$9</f>
        <v>200</v>
      </c>
      <c r="X72" s="2" t="s">
        <v>3004</v>
      </c>
      <c r="Y72" s="255">
        <f t="shared" si="25"/>
        <v>0</v>
      </c>
      <c r="Z72" s="2"/>
      <c r="AB72" s="7" t="str">
        <f t="shared" si="23"/>
        <v>[]</v>
      </c>
      <c r="AC72" s="7" t="str">
        <f t="shared" si="24"/>
        <v>[(130107,1),(180024,1)]</v>
      </c>
    </row>
    <row r="73" spans="1:29" ht="15.75" x14ac:dyDescent="0.3">
      <c r="A73" s="7">
        <v>71</v>
      </c>
      <c r="B73" s="7">
        <v>1</v>
      </c>
      <c r="C73" s="7"/>
      <c r="D73" s="7" t="str">
        <f t="shared" si="16"/>
        <v/>
      </c>
      <c r="E73" s="7"/>
      <c r="F73" s="68">
        <f t="shared" si="17"/>
        <v>0</v>
      </c>
      <c r="G73" s="7" t="s">
        <v>273</v>
      </c>
      <c r="H73" s="7" t="str">
        <f t="shared" si="18"/>
        <v>钥匙</v>
      </c>
      <c r="I73" s="7">
        <v>30</v>
      </c>
      <c r="J73" s="68">
        <f t="shared" si="19"/>
        <v>25.000000000000021</v>
      </c>
      <c r="K73" s="7"/>
      <c r="L73" s="7" t="str">
        <f t="shared" si="20"/>
        <v/>
      </c>
      <c r="M73" s="7"/>
      <c r="N73" s="68">
        <f t="shared" si="21"/>
        <v>0</v>
      </c>
      <c r="O73" s="76"/>
      <c r="V73" s="2" t="s">
        <v>2437</v>
      </c>
      <c r="W73" s="2">
        <f>[1]宝箱设定!$C$9</f>
        <v>200</v>
      </c>
      <c r="X73" s="2" t="s">
        <v>3004</v>
      </c>
      <c r="Y73" s="255">
        <f t="shared" si="25"/>
        <v>4</v>
      </c>
      <c r="Z73" s="2"/>
      <c r="AB73" s="7" t="str">
        <f t="shared" si="23"/>
        <v>[]</v>
      </c>
      <c r="AC73" s="7" t="str">
        <f t="shared" si="24"/>
        <v>[(105,30)]</v>
      </c>
    </row>
    <row r="74" spans="1:29" ht="15.75" x14ac:dyDescent="0.3">
      <c r="A74" s="7">
        <v>72</v>
      </c>
      <c r="B74" s="7">
        <v>1</v>
      </c>
      <c r="C74" s="7"/>
      <c r="D74" s="7" t="str">
        <f t="shared" si="16"/>
        <v/>
      </c>
      <c r="E74" s="7"/>
      <c r="F74" s="68">
        <f t="shared" si="17"/>
        <v>0</v>
      </c>
      <c r="G74" s="7" t="s">
        <v>268</v>
      </c>
      <c r="H74" s="7" t="str">
        <f t="shared" si="18"/>
        <v>军费</v>
      </c>
      <c r="I74" s="7">
        <v>625</v>
      </c>
      <c r="J74" s="68">
        <f t="shared" si="19"/>
        <v>12.5</v>
      </c>
      <c r="K74" s="7"/>
      <c r="L74" s="7" t="str">
        <f t="shared" si="20"/>
        <v/>
      </c>
      <c r="M74" s="7"/>
      <c r="N74" s="68">
        <f t="shared" si="21"/>
        <v>0</v>
      </c>
      <c r="O74" s="76"/>
      <c r="V74" s="2" t="s">
        <v>2438</v>
      </c>
      <c r="W74" s="2">
        <f>[1]宝箱设定!$C$9</f>
        <v>200</v>
      </c>
      <c r="X74" s="2" t="s">
        <v>3004</v>
      </c>
      <c r="Y74" s="255">
        <f t="shared" si="25"/>
        <v>0</v>
      </c>
      <c r="Z74" s="2"/>
      <c r="AB74" s="7" t="str">
        <f t="shared" si="23"/>
        <v>[]</v>
      </c>
      <c r="AC74" s="7" t="str">
        <f t="shared" si="24"/>
        <v>[(102,625)]</v>
      </c>
    </row>
    <row r="75" spans="1:29" ht="15.75" x14ac:dyDescent="0.3">
      <c r="A75" s="7">
        <v>73</v>
      </c>
      <c r="B75" s="7">
        <v>1</v>
      </c>
      <c r="C75" s="7"/>
      <c r="D75" s="7" t="str">
        <f t="shared" si="16"/>
        <v/>
      </c>
      <c r="E75" s="7"/>
      <c r="F75" s="68">
        <f t="shared" si="17"/>
        <v>0</v>
      </c>
      <c r="G75" s="13" t="s">
        <v>317</v>
      </c>
      <c r="H75" s="7" t="str">
        <f t="shared" si="18"/>
        <v>钻石</v>
      </c>
      <c r="I75" s="7">
        <v>50</v>
      </c>
      <c r="J75" s="68">
        <f t="shared" si="19"/>
        <v>50</v>
      </c>
      <c r="K75" s="7"/>
      <c r="L75" s="7" t="str">
        <f t="shared" si="20"/>
        <v/>
      </c>
      <c r="M75" s="7"/>
      <c r="N75" s="68">
        <f t="shared" si="21"/>
        <v>0</v>
      </c>
      <c r="O75" s="76"/>
      <c r="V75" s="2" t="s">
        <v>2439</v>
      </c>
      <c r="W75" s="2">
        <f>[1]宝箱设定!$C$9</f>
        <v>200</v>
      </c>
      <c r="X75" s="2" t="s">
        <v>3004</v>
      </c>
      <c r="Y75" s="255">
        <f t="shared" si="25"/>
        <v>0</v>
      </c>
      <c r="Z75" s="2"/>
      <c r="AB75" s="7" t="str">
        <f t="shared" si="23"/>
        <v>[]</v>
      </c>
      <c r="AC75" s="7" t="str">
        <f t="shared" si="24"/>
        <v>[(101,50)]</v>
      </c>
    </row>
    <row r="76" spans="1:29" ht="15.75" x14ac:dyDescent="0.3">
      <c r="A76" s="7">
        <v>74</v>
      </c>
      <c r="B76" s="7">
        <v>1</v>
      </c>
      <c r="C76" s="7"/>
      <c r="D76" s="7" t="str">
        <f t="shared" si="16"/>
        <v/>
      </c>
      <c r="E76" s="7"/>
      <c r="F76" s="68">
        <f t="shared" si="17"/>
        <v>0</v>
      </c>
      <c r="G76" s="7" t="s">
        <v>268</v>
      </c>
      <c r="H76" s="7" t="str">
        <f t="shared" si="18"/>
        <v>军费</v>
      </c>
      <c r="I76" s="7">
        <v>625</v>
      </c>
      <c r="J76" s="68">
        <f t="shared" si="19"/>
        <v>12.5</v>
      </c>
      <c r="K76" s="7"/>
      <c r="L76" s="7" t="str">
        <f t="shared" si="20"/>
        <v/>
      </c>
      <c r="M76" s="7"/>
      <c r="N76" s="68">
        <f t="shared" si="21"/>
        <v>0</v>
      </c>
      <c r="O76" s="76"/>
      <c r="V76" s="2" t="s">
        <v>2440</v>
      </c>
      <c r="W76" s="2">
        <f>[1]宝箱设定!$C$9</f>
        <v>200</v>
      </c>
      <c r="X76" s="2" t="s">
        <v>3004</v>
      </c>
      <c r="Y76" s="255">
        <f t="shared" si="25"/>
        <v>0</v>
      </c>
      <c r="Z76" s="2"/>
      <c r="AB76" s="7" t="str">
        <f t="shared" si="23"/>
        <v>[]</v>
      </c>
      <c r="AC76" s="7" t="str">
        <f t="shared" si="24"/>
        <v>[(102,625)]</v>
      </c>
    </row>
    <row r="77" spans="1:29" ht="15.75" x14ac:dyDescent="0.3">
      <c r="A77" s="7">
        <v>75</v>
      </c>
      <c r="B77" s="7">
        <v>1</v>
      </c>
      <c r="C77" s="7"/>
      <c r="D77" s="7" t="str">
        <f t="shared" si="16"/>
        <v/>
      </c>
      <c r="E77" s="7"/>
      <c r="F77" s="68">
        <f t="shared" si="17"/>
        <v>0</v>
      </c>
      <c r="G77" s="7" t="s">
        <v>2626</v>
      </c>
      <c r="H77" s="7" t="str">
        <f t="shared" si="18"/>
        <v>摆件</v>
      </c>
      <c r="I77" s="7">
        <v>1</v>
      </c>
      <c r="J77" s="68">
        <f t="shared" si="19"/>
        <v>500</v>
      </c>
      <c r="K77" s="7"/>
      <c r="L77" s="7" t="str">
        <f t="shared" si="20"/>
        <v/>
      </c>
      <c r="M77" s="7"/>
      <c r="N77" s="68">
        <f t="shared" si="21"/>
        <v>0</v>
      </c>
      <c r="O77" s="76"/>
      <c r="V77" s="2" t="s">
        <v>2441</v>
      </c>
      <c r="W77" s="2">
        <f>[1]宝箱设定!$C$9</f>
        <v>200</v>
      </c>
      <c r="X77" s="2" t="s">
        <v>3004</v>
      </c>
      <c r="Y77" s="255">
        <f t="shared" si="25"/>
        <v>0</v>
      </c>
      <c r="Z77" s="2"/>
      <c r="AB77" s="7" t="str">
        <f t="shared" si="23"/>
        <v>[]</v>
      </c>
      <c r="AC77" s="7" t="str">
        <f t="shared" si="24"/>
        <v>[(110105,1)]</v>
      </c>
    </row>
    <row r="78" spans="1:29" ht="15.75" x14ac:dyDescent="0.3">
      <c r="A78" s="7">
        <v>76</v>
      </c>
      <c r="B78" s="7">
        <v>1</v>
      </c>
      <c r="C78" s="7"/>
      <c r="D78" s="7" t="str">
        <f t="shared" si="16"/>
        <v/>
      </c>
      <c r="E78" s="7"/>
      <c r="F78" s="68">
        <f t="shared" si="17"/>
        <v>0</v>
      </c>
      <c r="G78" s="7" t="s">
        <v>511</v>
      </c>
      <c r="H78" s="7" t="str">
        <f t="shared" si="18"/>
        <v>双倍钥匙</v>
      </c>
      <c r="I78" s="7">
        <v>30</v>
      </c>
      <c r="J78" s="68">
        <f t="shared" si="19"/>
        <v>15.000000000000014</v>
      </c>
      <c r="K78" s="7"/>
      <c r="L78" s="7" t="str">
        <f t="shared" si="20"/>
        <v/>
      </c>
      <c r="M78" s="7"/>
      <c r="N78" s="68">
        <f t="shared" si="21"/>
        <v>0</v>
      </c>
      <c r="O78" s="76"/>
      <c r="V78" s="2" t="s">
        <v>2442</v>
      </c>
      <c r="W78" s="2">
        <f>[1]宝箱设定!$C$9</f>
        <v>200</v>
      </c>
      <c r="X78" s="2" t="s">
        <v>3004</v>
      </c>
      <c r="Y78" s="255">
        <f t="shared" si="25"/>
        <v>0</v>
      </c>
      <c r="Z78" s="2"/>
      <c r="AB78" s="7" t="str">
        <f t="shared" si="23"/>
        <v>[]</v>
      </c>
      <c r="AC78" s="7" t="str">
        <f t="shared" si="24"/>
        <v>[(111,30)]</v>
      </c>
    </row>
    <row r="79" spans="1:29" ht="15.75" x14ac:dyDescent="0.3">
      <c r="A79" s="7">
        <v>77</v>
      </c>
      <c r="B79" s="7">
        <v>1</v>
      </c>
      <c r="C79" s="7"/>
      <c r="D79" s="7" t="str">
        <f t="shared" si="16"/>
        <v/>
      </c>
      <c r="E79" s="7"/>
      <c r="F79" s="68">
        <f t="shared" si="17"/>
        <v>0</v>
      </c>
      <c r="G79" s="7" t="s">
        <v>317</v>
      </c>
      <c r="H79" s="7" t="str">
        <f t="shared" si="18"/>
        <v>钻石</v>
      </c>
      <c r="I79" s="7">
        <v>50</v>
      </c>
      <c r="J79" s="68">
        <f t="shared" si="19"/>
        <v>50</v>
      </c>
      <c r="K79" s="7"/>
      <c r="L79" s="7" t="str">
        <f t="shared" si="20"/>
        <v/>
      </c>
      <c r="M79" s="7"/>
      <c r="N79" s="68">
        <f t="shared" si="21"/>
        <v>0</v>
      </c>
      <c r="O79" s="76"/>
      <c r="V79" s="2" t="s">
        <v>2443</v>
      </c>
      <c r="W79" s="2">
        <f>[1]宝箱设定!$C$9</f>
        <v>200</v>
      </c>
      <c r="X79" s="2" t="s">
        <v>3004</v>
      </c>
      <c r="Y79" s="255">
        <f t="shared" si="25"/>
        <v>0</v>
      </c>
      <c r="Z79" s="2"/>
      <c r="AB79" s="7" t="str">
        <f t="shared" si="23"/>
        <v>[]</v>
      </c>
      <c r="AC79" s="7" t="str">
        <f t="shared" si="24"/>
        <v>[(101,50)]</v>
      </c>
    </row>
    <row r="80" spans="1:29" ht="15.75" x14ac:dyDescent="0.3">
      <c r="A80" s="7">
        <v>78</v>
      </c>
      <c r="B80" s="7">
        <v>1</v>
      </c>
      <c r="C80" s="7"/>
      <c r="D80" s="7" t="str">
        <f t="shared" si="16"/>
        <v/>
      </c>
      <c r="E80" s="7"/>
      <c r="F80" s="68">
        <f t="shared" si="17"/>
        <v>0</v>
      </c>
      <c r="G80" s="7" t="s">
        <v>521</v>
      </c>
      <c r="H80" s="7" t="str">
        <f t="shared" si="18"/>
        <v>宝箱</v>
      </c>
      <c r="I80" s="7">
        <v>1</v>
      </c>
      <c r="J80" s="68">
        <f t="shared" si="19"/>
        <v>100</v>
      </c>
      <c r="K80" s="7"/>
      <c r="L80" s="7" t="str">
        <f t="shared" si="20"/>
        <v/>
      </c>
      <c r="M80" s="7"/>
      <c r="N80" s="68">
        <f t="shared" si="21"/>
        <v>0</v>
      </c>
      <c r="O80" s="76"/>
      <c r="V80" s="2" t="s">
        <v>2378</v>
      </c>
      <c r="W80" s="2">
        <f>[1]宝箱设定!$C$12</f>
        <v>100</v>
      </c>
      <c r="X80" s="2" t="s">
        <v>3004</v>
      </c>
      <c r="Y80" s="255">
        <f t="shared" si="25"/>
        <v>0</v>
      </c>
      <c r="Z80" s="2"/>
      <c r="AB80" s="7" t="str">
        <f t="shared" si="23"/>
        <v>[]</v>
      </c>
      <c r="AC80" s="7" t="str">
        <f t="shared" si="24"/>
        <v>[(24004,1)]</v>
      </c>
    </row>
    <row r="81" spans="1:29" ht="15.75" x14ac:dyDescent="0.3">
      <c r="A81" s="7">
        <v>79</v>
      </c>
      <c r="B81" s="7">
        <v>1</v>
      </c>
      <c r="C81" s="7"/>
      <c r="D81" s="7" t="str">
        <f t="shared" si="16"/>
        <v/>
      </c>
      <c r="E81" s="7"/>
      <c r="F81" s="68">
        <f t="shared" si="17"/>
        <v>0</v>
      </c>
      <c r="G81" s="7" t="s">
        <v>2686</v>
      </c>
      <c r="H81" s="7" t="str">
        <f t="shared" si="18"/>
        <v>BattlePass货币</v>
      </c>
      <c r="I81" s="7">
        <v>60</v>
      </c>
      <c r="J81" s="68">
        <f t="shared" si="19"/>
        <v>84</v>
      </c>
      <c r="K81" s="7"/>
      <c r="L81" s="7" t="str">
        <f t="shared" si="20"/>
        <v/>
      </c>
      <c r="M81" s="7"/>
      <c r="N81" s="68">
        <f t="shared" si="21"/>
        <v>0</v>
      </c>
      <c r="O81" s="76"/>
      <c r="V81" s="2" t="s">
        <v>515</v>
      </c>
      <c r="W81" s="2">
        <f>[1]宝箱设定!$C$12</f>
        <v>100</v>
      </c>
      <c r="X81" s="2" t="s">
        <v>3004</v>
      </c>
      <c r="Y81" s="255">
        <f t="shared" si="25"/>
        <v>0</v>
      </c>
      <c r="Z81" s="2"/>
      <c r="AB81" s="7" t="str">
        <f t="shared" si="23"/>
        <v>[]</v>
      </c>
      <c r="AC81" s="7" t="str">
        <f t="shared" si="24"/>
        <v>[(113,60)]</v>
      </c>
    </row>
    <row r="82" spans="1:29" ht="15.75" x14ac:dyDescent="0.3">
      <c r="A82" s="70">
        <v>80</v>
      </c>
      <c r="B82" s="7">
        <v>1</v>
      </c>
      <c r="C82" s="70"/>
      <c r="D82" s="7" t="str">
        <f t="shared" si="16"/>
        <v/>
      </c>
      <c r="E82" s="70"/>
      <c r="F82" s="71">
        <f t="shared" si="17"/>
        <v>0</v>
      </c>
      <c r="G82" s="70" t="s">
        <v>2691</v>
      </c>
      <c r="H82" s="7" t="str">
        <f t="shared" si="18"/>
        <v>头像</v>
      </c>
      <c r="I82" s="70">
        <v>1</v>
      </c>
      <c r="J82" s="68">
        <f t="shared" si="19"/>
        <v>200</v>
      </c>
      <c r="K82" s="70" t="s">
        <v>2717</v>
      </c>
      <c r="L82" s="7" t="str">
        <f t="shared" si="20"/>
        <v>涂装</v>
      </c>
      <c r="M82" s="70">
        <v>1</v>
      </c>
      <c r="N82" s="68">
        <f t="shared" si="21"/>
        <v>500</v>
      </c>
      <c r="O82" s="77">
        <f>SUM(N73:N82)+SUM(J73:J82)+SUM(F73:F82)</f>
        <v>1549</v>
      </c>
      <c r="V82" s="2" t="s">
        <v>517</v>
      </c>
      <c r="W82" s="2">
        <f>[1]宝箱设定!$C$12</f>
        <v>100</v>
      </c>
      <c r="X82" s="2" t="s">
        <v>3004</v>
      </c>
      <c r="Y82" s="255">
        <f t="shared" si="25"/>
        <v>0</v>
      </c>
      <c r="Z82" s="2"/>
      <c r="AB82" s="7" t="str">
        <f t="shared" si="23"/>
        <v>[]</v>
      </c>
      <c r="AC82" s="7" t="str">
        <f t="shared" si="24"/>
        <v>[(140103,1),(180018,1)]</v>
      </c>
    </row>
    <row r="83" spans="1:29" ht="15.75" x14ac:dyDescent="0.3">
      <c r="A83" s="7">
        <v>81</v>
      </c>
      <c r="B83" s="7">
        <v>1</v>
      </c>
      <c r="C83" s="7"/>
      <c r="D83" s="7" t="str">
        <f t="shared" si="16"/>
        <v/>
      </c>
      <c r="E83" s="7"/>
      <c r="F83" s="68">
        <f t="shared" si="17"/>
        <v>0</v>
      </c>
      <c r="G83" s="7" t="s">
        <v>268</v>
      </c>
      <c r="H83" s="7" t="str">
        <f t="shared" si="18"/>
        <v>军费</v>
      </c>
      <c r="I83" s="7">
        <v>625</v>
      </c>
      <c r="J83" s="68">
        <f t="shared" si="19"/>
        <v>12.5</v>
      </c>
      <c r="K83" s="7"/>
      <c r="L83" s="7" t="str">
        <f t="shared" si="20"/>
        <v/>
      </c>
      <c r="M83" s="7"/>
      <c r="N83" s="68">
        <f t="shared" si="21"/>
        <v>0</v>
      </c>
      <c r="O83" s="76"/>
      <c r="V83" s="2" t="s">
        <v>2382</v>
      </c>
      <c r="W83" s="2">
        <f>[1]宝箱设定!$C$12</f>
        <v>100</v>
      </c>
      <c r="X83" s="2" t="s">
        <v>3004</v>
      </c>
      <c r="Y83" s="255">
        <f t="shared" si="25"/>
        <v>12</v>
      </c>
      <c r="Z83" s="2"/>
      <c r="AB83" s="7" t="str">
        <f t="shared" si="23"/>
        <v>[]</v>
      </c>
      <c r="AC83" s="7" t="str">
        <f t="shared" si="24"/>
        <v>[(102,625)]</v>
      </c>
    </row>
    <row r="84" spans="1:29" ht="15.75" x14ac:dyDescent="0.3">
      <c r="A84" s="7">
        <v>82</v>
      </c>
      <c r="B84" s="7">
        <v>1</v>
      </c>
      <c r="C84" s="7"/>
      <c r="D84" s="7" t="str">
        <f t="shared" si="16"/>
        <v/>
      </c>
      <c r="E84" s="7"/>
      <c r="F84" s="68">
        <f t="shared" si="17"/>
        <v>0</v>
      </c>
      <c r="G84" s="7" t="s">
        <v>317</v>
      </c>
      <c r="H84" s="7" t="str">
        <f t="shared" si="18"/>
        <v>钻石</v>
      </c>
      <c r="I84" s="7">
        <v>100</v>
      </c>
      <c r="J84" s="68">
        <f t="shared" si="19"/>
        <v>100</v>
      </c>
      <c r="K84" s="7"/>
      <c r="L84" s="7" t="str">
        <f t="shared" si="20"/>
        <v/>
      </c>
      <c r="M84" s="7"/>
      <c r="N84" s="68">
        <f t="shared" si="21"/>
        <v>0</v>
      </c>
      <c r="O84" s="76"/>
      <c r="V84" s="2" t="s">
        <v>525</v>
      </c>
      <c r="W84" s="2">
        <f>[1]宝箱设定!$C$12</f>
        <v>100</v>
      </c>
      <c r="X84" s="2" t="s">
        <v>3004</v>
      </c>
      <c r="Y84" s="255">
        <f t="shared" si="25"/>
        <v>0</v>
      </c>
      <c r="Z84" s="2"/>
      <c r="AB84" s="7" t="str">
        <f t="shared" si="23"/>
        <v>[]</v>
      </c>
      <c r="AC84" s="7" t="str">
        <f t="shared" si="24"/>
        <v>[(101,100)]</v>
      </c>
    </row>
    <row r="85" spans="1:29" ht="15.75" x14ac:dyDescent="0.3">
      <c r="A85" s="7">
        <v>83</v>
      </c>
      <c r="B85" s="7">
        <v>1</v>
      </c>
      <c r="C85" s="7"/>
      <c r="D85" s="7" t="str">
        <f t="shared" si="16"/>
        <v/>
      </c>
      <c r="E85" s="7"/>
      <c r="F85" s="68">
        <f t="shared" si="17"/>
        <v>0</v>
      </c>
      <c r="G85" s="7" t="s">
        <v>273</v>
      </c>
      <c r="H85" s="7" t="str">
        <f t="shared" si="18"/>
        <v>钥匙</v>
      </c>
      <c r="I85" s="7">
        <v>30</v>
      </c>
      <c r="J85" s="68">
        <f t="shared" si="19"/>
        <v>25.000000000000021</v>
      </c>
      <c r="K85" s="7"/>
      <c r="L85" s="7" t="str">
        <f t="shared" si="20"/>
        <v/>
      </c>
      <c r="M85" s="7"/>
      <c r="N85" s="68">
        <f t="shared" si="21"/>
        <v>0</v>
      </c>
      <c r="O85" s="76"/>
      <c r="V85" s="2" t="s">
        <v>532</v>
      </c>
      <c r="W85" s="2">
        <f>[1]宝箱设定!$C$12</f>
        <v>100</v>
      </c>
      <c r="X85" s="2" t="s">
        <v>3004</v>
      </c>
      <c r="Y85" s="255">
        <f t="shared" si="25"/>
        <v>0</v>
      </c>
      <c r="Z85" s="2"/>
      <c r="AB85" s="7" t="str">
        <f t="shared" si="23"/>
        <v>[]</v>
      </c>
      <c r="AC85" s="7" t="str">
        <f t="shared" si="24"/>
        <v>[(105,30)]</v>
      </c>
    </row>
    <row r="86" spans="1:29" ht="15.75" x14ac:dyDescent="0.3">
      <c r="A86" s="7">
        <v>84</v>
      </c>
      <c r="B86" s="7">
        <v>1</v>
      </c>
      <c r="C86" s="7"/>
      <c r="D86" s="7" t="str">
        <f t="shared" si="16"/>
        <v/>
      </c>
      <c r="E86" s="7"/>
      <c r="F86" s="68">
        <f t="shared" si="17"/>
        <v>0</v>
      </c>
      <c r="G86" s="7" t="s">
        <v>2686</v>
      </c>
      <c r="H86" s="7" t="str">
        <f t="shared" si="18"/>
        <v>BattlePass货币</v>
      </c>
      <c r="I86" s="7">
        <v>100</v>
      </c>
      <c r="J86" s="68">
        <f t="shared" si="19"/>
        <v>140</v>
      </c>
      <c r="K86" s="7"/>
      <c r="L86" s="7" t="str">
        <f t="shared" si="20"/>
        <v/>
      </c>
      <c r="M86" s="7"/>
      <c r="N86" s="68">
        <f t="shared" si="21"/>
        <v>0</v>
      </c>
      <c r="O86" s="76"/>
      <c r="V86" s="2" t="s">
        <v>2386</v>
      </c>
      <c r="W86" s="2">
        <f>[1]宝箱设定!$C$12</f>
        <v>100</v>
      </c>
      <c r="X86" s="2" t="s">
        <v>3004</v>
      </c>
      <c r="Y86" s="255">
        <f t="shared" si="25"/>
        <v>0</v>
      </c>
      <c r="Z86" s="2"/>
      <c r="AB86" s="7" t="str">
        <f t="shared" si="23"/>
        <v>[]</v>
      </c>
      <c r="AC86" s="7" t="str">
        <f t="shared" si="24"/>
        <v>[(113,100)]</v>
      </c>
    </row>
    <row r="87" spans="1:29" ht="15.75" x14ac:dyDescent="0.3">
      <c r="A87" s="7">
        <v>85</v>
      </c>
      <c r="B87" s="7">
        <v>1</v>
      </c>
      <c r="C87" s="7"/>
      <c r="D87" s="7" t="str">
        <f t="shared" si="16"/>
        <v/>
      </c>
      <c r="E87" s="7"/>
      <c r="F87" s="68">
        <f t="shared" si="17"/>
        <v>0</v>
      </c>
      <c r="G87" s="7" t="s">
        <v>268</v>
      </c>
      <c r="H87" s="7" t="str">
        <f t="shared" si="18"/>
        <v>军费</v>
      </c>
      <c r="I87" s="7">
        <v>625</v>
      </c>
      <c r="J87" s="68">
        <f t="shared" si="19"/>
        <v>12.5</v>
      </c>
      <c r="K87" s="7"/>
      <c r="L87" s="7" t="str">
        <f t="shared" si="20"/>
        <v/>
      </c>
      <c r="M87" s="7"/>
      <c r="N87" s="68">
        <f t="shared" si="21"/>
        <v>0</v>
      </c>
      <c r="O87" s="76"/>
      <c r="V87" s="2" t="s">
        <v>2388</v>
      </c>
      <c r="W87" s="2">
        <f>[1]宝箱设定!$C$12</f>
        <v>100</v>
      </c>
      <c r="X87" s="2" t="s">
        <v>3004</v>
      </c>
      <c r="Y87" s="255">
        <f t="shared" si="25"/>
        <v>0</v>
      </c>
      <c r="Z87" s="2"/>
      <c r="AB87" s="7" t="str">
        <f t="shared" si="23"/>
        <v>[]</v>
      </c>
      <c r="AC87" s="7" t="str">
        <f t="shared" si="24"/>
        <v>[(102,625)]</v>
      </c>
    </row>
    <row r="88" spans="1:29" ht="15.75" x14ac:dyDescent="0.3">
      <c r="A88" s="7">
        <v>86</v>
      </c>
      <c r="B88" s="7">
        <v>1</v>
      </c>
      <c r="C88" s="7"/>
      <c r="D88" s="7" t="str">
        <f t="shared" si="16"/>
        <v/>
      </c>
      <c r="E88" s="7"/>
      <c r="F88" s="68">
        <f t="shared" si="17"/>
        <v>0</v>
      </c>
      <c r="G88" s="7" t="s">
        <v>511</v>
      </c>
      <c r="H88" s="7" t="str">
        <f t="shared" si="18"/>
        <v>双倍钥匙</v>
      </c>
      <c r="I88" s="7">
        <v>30</v>
      </c>
      <c r="J88" s="68">
        <f t="shared" si="19"/>
        <v>15.000000000000014</v>
      </c>
      <c r="K88" s="7"/>
      <c r="L88" s="7" t="str">
        <f t="shared" si="20"/>
        <v/>
      </c>
      <c r="M88" s="7"/>
      <c r="N88" s="68">
        <f t="shared" si="21"/>
        <v>0</v>
      </c>
      <c r="O88" s="76"/>
      <c r="V88" s="2" t="s">
        <v>2390</v>
      </c>
      <c r="W88" s="2">
        <f>[1]宝箱设定!$C$12</f>
        <v>100</v>
      </c>
      <c r="X88" s="2" t="s">
        <v>3004</v>
      </c>
      <c r="Y88" s="255">
        <f t="shared" si="25"/>
        <v>0</v>
      </c>
      <c r="Z88" s="2"/>
      <c r="AB88" s="7" t="str">
        <f t="shared" si="23"/>
        <v>[]</v>
      </c>
      <c r="AC88" s="7" t="str">
        <f t="shared" si="24"/>
        <v>[(111,30)]</v>
      </c>
    </row>
    <row r="89" spans="1:29" ht="15.75" x14ac:dyDescent="0.3">
      <c r="A89" s="7">
        <v>87</v>
      </c>
      <c r="B89" s="7">
        <v>1</v>
      </c>
      <c r="C89" s="7"/>
      <c r="D89" s="7" t="str">
        <f t="shared" si="16"/>
        <v/>
      </c>
      <c r="E89" s="7"/>
      <c r="F89" s="68">
        <f t="shared" si="17"/>
        <v>0</v>
      </c>
      <c r="G89" s="7" t="s">
        <v>317</v>
      </c>
      <c r="H89" s="7" t="str">
        <f t="shared" si="18"/>
        <v>钻石</v>
      </c>
      <c r="I89" s="7">
        <v>100</v>
      </c>
      <c r="J89" s="68">
        <f t="shared" si="19"/>
        <v>100</v>
      </c>
      <c r="K89" s="7"/>
      <c r="L89" s="7" t="str">
        <f t="shared" si="20"/>
        <v/>
      </c>
      <c r="M89" s="7"/>
      <c r="N89" s="68">
        <f t="shared" si="21"/>
        <v>0</v>
      </c>
      <c r="O89" s="76"/>
      <c r="V89" s="2" t="s">
        <v>2392</v>
      </c>
      <c r="W89" s="2">
        <f>[1]宝箱设定!$C$12</f>
        <v>100</v>
      </c>
      <c r="X89" s="2" t="s">
        <v>3004</v>
      </c>
      <c r="Y89" s="255">
        <f t="shared" si="25"/>
        <v>0</v>
      </c>
      <c r="Z89" s="2"/>
      <c r="AB89" s="7" t="str">
        <f t="shared" si="23"/>
        <v>[]</v>
      </c>
      <c r="AC89" s="7" t="str">
        <f t="shared" si="24"/>
        <v>[(101,100)]</v>
      </c>
    </row>
    <row r="90" spans="1:29" ht="15.75" x14ac:dyDescent="0.3">
      <c r="A90" s="7">
        <v>88</v>
      </c>
      <c r="B90" s="7">
        <v>1</v>
      </c>
      <c r="C90" s="7"/>
      <c r="D90" s="7" t="str">
        <f t="shared" si="16"/>
        <v/>
      </c>
      <c r="E90" s="7"/>
      <c r="F90" s="68">
        <f t="shared" si="17"/>
        <v>0</v>
      </c>
      <c r="G90" s="7" t="s">
        <v>4217</v>
      </c>
      <c r="H90" s="7" t="str">
        <f t="shared" si="18"/>
        <v>新加速道具</v>
      </c>
      <c r="I90" s="7">
        <v>1</v>
      </c>
      <c r="J90" s="68">
        <f t="shared" si="19"/>
        <v>4</v>
      </c>
      <c r="K90" s="7"/>
      <c r="L90" s="7" t="str">
        <f t="shared" si="20"/>
        <v/>
      </c>
      <c r="M90" s="7"/>
      <c r="N90" s="68">
        <f t="shared" si="21"/>
        <v>0</v>
      </c>
      <c r="O90" s="76"/>
      <c r="V90" s="2" t="s">
        <v>2455</v>
      </c>
      <c r="W90" s="2">
        <f>[1]宝箱设定!$C$10</f>
        <v>600</v>
      </c>
      <c r="X90" s="2" t="s">
        <v>3004</v>
      </c>
      <c r="Y90" s="255">
        <f t="shared" si="25"/>
        <v>0</v>
      </c>
      <c r="Z90" s="2"/>
      <c r="AB90" s="7" t="str">
        <f t="shared" si="23"/>
        <v>[]</v>
      </c>
      <c r="AC90" s="7" t="str">
        <f t="shared" si="24"/>
        <v>[(100202,1)]</v>
      </c>
    </row>
    <row r="91" spans="1:29" ht="15.75" x14ac:dyDescent="0.3">
      <c r="A91" s="7">
        <v>89</v>
      </c>
      <c r="B91" s="7">
        <v>1</v>
      </c>
      <c r="C91" s="7"/>
      <c r="D91" s="7" t="str">
        <f t="shared" si="16"/>
        <v/>
      </c>
      <c r="E91" s="7"/>
      <c r="F91" s="68">
        <f t="shared" si="17"/>
        <v>0</v>
      </c>
      <c r="G91" s="7" t="s">
        <v>2457</v>
      </c>
      <c r="H91" s="7" t="str">
        <f t="shared" si="18"/>
        <v>宝箱</v>
      </c>
      <c r="I91" s="7">
        <v>1</v>
      </c>
      <c r="J91" s="68">
        <f t="shared" si="19"/>
        <v>600</v>
      </c>
      <c r="K91" s="7"/>
      <c r="L91" s="7" t="str">
        <f t="shared" si="20"/>
        <v/>
      </c>
      <c r="M91" s="7"/>
      <c r="N91" s="68">
        <f t="shared" si="21"/>
        <v>0</v>
      </c>
      <c r="O91" s="76"/>
      <c r="V91" s="2" t="s">
        <v>514</v>
      </c>
      <c r="W91" s="2">
        <f>[1]宝箱设定!$C$10</f>
        <v>600</v>
      </c>
      <c r="X91" s="2" t="s">
        <v>3004</v>
      </c>
      <c r="Y91" s="255">
        <f t="shared" si="25"/>
        <v>4</v>
      </c>
      <c r="Z91" s="2"/>
      <c r="AB91" s="7" t="str">
        <f t="shared" si="23"/>
        <v>[]</v>
      </c>
      <c r="AC91" s="7" t="str">
        <f t="shared" si="24"/>
        <v>[(25154,1)]</v>
      </c>
    </row>
    <row r="92" spans="1:29" ht="15.75" x14ac:dyDescent="0.3">
      <c r="A92" s="70">
        <v>90</v>
      </c>
      <c r="B92" s="7">
        <v>1</v>
      </c>
      <c r="C92" s="70"/>
      <c r="D92" s="7" t="str">
        <f t="shared" si="16"/>
        <v/>
      </c>
      <c r="E92" s="70"/>
      <c r="F92" s="71">
        <f t="shared" si="17"/>
        <v>0</v>
      </c>
      <c r="G92" s="70" t="s">
        <v>2602</v>
      </c>
      <c r="H92" s="7" t="str">
        <f t="shared" si="18"/>
        <v>涂鸦</v>
      </c>
      <c r="I92" s="70">
        <v>1</v>
      </c>
      <c r="J92" s="68">
        <f t="shared" si="19"/>
        <v>500</v>
      </c>
      <c r="K92" s="70" t="s">
        <v>2719</v>
      </c>
      <c r="L92" s="7" t="str">
        <f t="shared" si="20"/>
        <v>涂装</v>
      </c>
      <c r="M92" s="70">
        <v>1</v>
      </c>
      <c r="N92" s="68">
        <f t="shared" si="21"/>
        <v>300</v>
      </c>
      <c r="O92" s="77">
        <f>SUM(N83:N92)+SUM(J83:J92)+SUM(F83:F92)</f>
        <v>1809</v>
      </c>
      <c r="V92" s="2" t="s">
        <v>2456</v>
      </c>
      <c r="W92" s="2">
        <f>[1]宝箱设定!$C$10</f>
        <v>600</v>
      </c>
      <c r="X92" s="2" t="s">
        <v>3004</v>
      </c>
      <c r="Y92" s="255">
        <f t="shared" si="25"/>
        <v>0</v>
      </c>
      <c r="Z92" s="2"/>
      <c r="AB92" s="7" t="str">
        <f t="shared" si="23"/>
        <v>[]</v>
      </c>
      <c r="AC92" s="7" t="str">
        <f t="shared" si="24"/>
        <v>[(150107,1),(180020,1)]</v>
      </c>
    </row>
    <row r="93" spans="1:29" ht="15.75" x14ac:dyDescent="0.3">
      <c r="A93" s="7">
        <v>91</v>
      </c>
      <c r="B93" s="7">
        <v>1</v>
      </c>
      <c r="C93" s="7"/>
      <c r="D93" s="7" t="str">
        <f t="shared" si="16"/>
        <v/>
      </c>
      <c r="E93" s="7"/>
      <c r="F93" s="68">
        <f t="shared" si="17"/>
        <v>0</v>
      </c>
      <c r="G93" s="7" t="s">
        <v>2457</v>
      </c>
      <c r="H93" s="7" t="str">
        <f t="shared" si="18"/>
        <v>宝箱</v>
      </c>
      <c r="I93" s="7">
        <v>1</v>
      </c>
      <c r="J93" s="68">
        <f t="shared" si="19"/>
        <v>600</v>
      </c>
      <c r="K93" s="7"/>
      <c r="L93" s="7" t="str">
        <f t="shared" si="20"/>
        <v/>
      </c>
      <c r="M93" s="7"/>
      <c r="N93" s="68">
        <f t="shared" si="21"/>
        <v>0</v>
      </c>
      <c r="O93" s="76"/>
      <c r="V93" s="2" t="s">
        <v>2457</v>
      </c>
      <c r="W93" s="2">
        <f>[1]宝箱设定!$C$10</f>
        <v>600</v>
      </c>
      <c r="X93" s="2" t="s">
        <v>3004</v>
      </c>
      <c r="Y93" s="255">
        <f t="shared" si="25"/>
        <v>24</v>
      </c>
      <c r="Z93" s="2"/>
      <c r="AB93" s="7" t="str">
        <f t="shared" si="23"/>
        <v>[]</v>
      </c>
      <c r="AC93" s="7" t="str">
        <f t="shared" si="24"/>
        <v>[(25154,1)]</v>
      </c>
    </row>
    <row r="94" spans="1:29" ht="15.75" x14ac:dyDescent="0.3">
      <c r="A94" s="7">
        <v>92</v>
      </c>
      <c r="B94" s="7">
        <v>1</v>
      </c>
      <c r="C94" s="7"/>
      <c r="D94" s="7" t="str">
        <f t="shared" si="16"/>
        <v/>
      </c>
      <c r="E94" s="7"/>
      <c r="F94" s="68">
        <f t="shared" si="17"/>
        <v>0</v>
      </c>
      <c r="G94" s="7" t="s">
        <v>268</v>
      </c>
      <c r="H94" s="7" t="str">
        <f t="shared" si="18"/>
        <v>军费</v>
      </c>
      <c r="I94" s="7">
        <v>625</v>
      </c>
      <c r="J94" s="68">
        <f t="shared" si="19"/>
        <v>12.5</v>
      </c>
      <c r="K94" s="7"/>
      <c r="L94" s="7" t="str">
        <f t="shared" si="20"/>
        <v/>
      </c>
      <c r="M94" s="7"/>
      <c r="N94" s="68">
        <f t="shared" si="21"/>
        <v>0</v>
      </c>
      <c r="O94" s="76"/>
      <c r="V94" s="2" t="s">
        <v>2458</v>
      </c>
      <c r="W94" s="2">
        <f>[1]宝箱设定!$C$10</f>
        <v>600</v>
      </c>
      <c r="X94" s="2" t="s">
        <v>3004</v>
      </c>
      <c r="Y94" s="255">
        <f t="shared" si="25"/>
        <v>2</v>
      </c>
      <c r="Z94" s="2"/>
      <c r="AB94" s="7" t="str">
        <f t="shared" si="23"/>
        <v>[]</v>
      </c>
      <c r="AC94" s="7" t="str">
        <f t="shared" si="24"/>
        <v>[(102,625)]</v>
      </c>
    </row>
    <row r="95" spans="1:29" ht="15.75" x14ac:dyDescent="0.3">
      <c r="A95" s="7">
        <v>93</v>
      </c>
      <c r="B95" s="7">
        <v>1</v>
      </c>
      <c r="C95" s="7"/>
      <c r="D95" s="7" t="str">
        <f t="shared" si="16"/>
        <v/>
      </c>
      <c r="E95" s="69"/>
      <c r="F95" s="68">
        <f t="shared" si="17"/>
        <v>0</v>
      </c>
      <c r="G95" s="7" t="s">
        <v>4217</v>
      </c>
      <c r="H95" s="7" t="str">
        <f t="shared" si="18"/>
        <v>新加速道具</v>
      </c>
      <c r="I95" s="7">
        <v>2</v>
      </c>
      <c r="J95" s="68">
        <f t="shared" si="19"/>
        <v>8</v>
      </c>
      <c r="K95" s="7"/>
      <c r="L95" s="7" t="str">
        <f t="shared" si="20"/>
        <v/>
      </c>
      <c r="M95" s="7"/>
      <c r="N95" s="68">
        <f t="shared" si="21"/>
        <v>0</v>
      </c>
      <c r="O95" s="76"/>
      <c r="V95" s="2" t="s">
        <v>2459</v>
      </c>
      <c r="W95" s="2">
        <f>[1]宝箱设定!$C$10</f>
        <v>600</v>
      </c>
      <c r="X95" s="2" t="s">
        <v>3004</v>
      </c>
      <c r="Y95" s="255">
        <f t="shared" si="25"/>
        <v>0</v>
      </c>
      <c r="Z95" s="2"/>
      <c r="AB95" s="7" t="str">
        <f t="shared" si="23"/>
        <v>[]</v>
      </c>
      <c r="AC95" s="7" t="str">
        <f t="shared" si="24"/>
        <v>[(100202,2)]</v>
      </c>
    </row>
    <row r="96" spans="1:29" ht="15.75" x14ac:dyDescent="0.3">
      <c r="A96" s="7">
        <v>94</v>
      </c>
      <c r="B96" s="7">
        <v>1</v>
      </c>
      <c r="C96" s="7"/>
      <c r="D96" s="7" t="str">
        <f t="shared" si="16"/>
        <v/>
      </c>
      <c r="E96" s="7"/>
      <c r="F96" s="68">
        <f t="shared" si="17"/>
        <v>0</v>
      </c>
      <c r="G96" s="7" t="s">
        <v>2684</v>
      </c>
      <c r="H96" s="7" t="str">
        <f t="shared" si="18"/>
        <v>流光</v>
      </c>
      <c r="I96" s="7">
        <v>1</v>
      </c>
      <c r="J96" s="68">
        <f t="shared" si="19"/>
        <v>300</v>
      </c>
      <c r="K96" s="7"/>
      <c r="L96" s="7" t="str">
        <f t="shared" si="20"/>
        <v/>
      </c>
      <c r="M96" s="7"/>
      <c r="N96" s="68">
        <f t="shared" si="21"/>
        <v>0</v>
      </c>
      <c r="O96" s="76"/>
      <c r="V96" s="2" t="s">
        <v>2460</v>
      </c>
      <c r="W96" s="2">
        <f>[1]宝箱设定!$C$10</f>
        <v>600</v>
      </c>
      <c r="X96" s="2" t="s">
        <v>3004</v>
      </c>
      <c r="Y96" s="255">
        <f t="shared" si="25"/>
        <v>0</v>
      </c>
      <c r="Z96" s="2"/>
      <c r="AB96" s="7" t="str">
        <f t="shared" si="23"/>
        <v>[]</v>
      </c>
      <c r="AC96" s="7" t="str">
        <f t="shared" si="24"/>
        <v>[(190003,1)]</v>
      </c>
    </row>
    <row r="97" spans="1:29" ht="15.75" x14ac:dyDescent="0.3">
      <c r="A97" s="7">
        <v>95</v>
      </c>
      <c r="B97" s="7">
        <v>1</v>
      </c>
      <c r="C97" s="7"/>
      <c r="D97" s="7" t="str">
        <f t="shared" si="16"/>
        <v/>
      </c>
      <c r="E97" s="7"/>
      <c r="F97" s="68">
        <f t="shared" si="17"/>
        <v>0</v>
      </c>
      <c r="G97" s="7" t="s">
        <v>268</v>
      </c>
      <c r="H97" s="7" t="str">
        <f t="shared" si="18"/>
        <v>军费</v>
      </c>
      <c r="I97" s="7">
        <v>800</v>
      </c>
      <c r="J97" s="68">
        <f t="shared" si="19"/>
        <v>16</v>
      </c>
      <c r="K97" s="7"/>
      <c r="L97" s="7" t="str">
        <f t="shared" si="20"/>
        <v/>
      </c>
      <c r="M97" s="7"/>
      <c r="N97" s="68">
        <f t="shared" si="21"/>
        <v>0</v>
      </c>
      <c r="O97" s="76"/>
      <c r="V97" s="2" t="s">
        <v>2461</v>
      </c>
      <c r="W97" s="2">
        <f>[1]宝箱设定!$C$10</f>
        <v>600</v>
      </c>
      <c r="X97" s="2" t="s">
        <v>3004</v>
      </c>
      <c r="Y97" s="255">
        <f t="shared" si="25"/>
        <v>0</v>
      </c>
      <c r="Z97" s="2"/>
      <c r="AB97" s="7" t="str">
        <f t="shared" si="23"/>
        <v>[]</v>
      </c>
      <c r="AC97" s="7" t="str">
        <f t="shared" si="24"/>
        <v>[(102,800)]</v>
      </c>
    </row>
    <row r="98" spans="1:29" ht="15.75" x14ac:dyDescent="0.3">
      <c r="A98" s="7">
        <v>96</v>
      </c>
      <c r="B98" s="7">
        <v>1</v>
      </c>
      <c r="C98" s="7"/>
      <c r="D98" s="7" t="str">
        <f t="shared" si="16"/>
        <v/>
      </c>
      <c r="E98" s="7"/>
      <c r="F98" s="68">
        <f t="shared" si="17"/>
        <v>0</v>
      </c>
      <c r="G98" s="7" t="s">
        <v>317</v>
      </c>
      <c r="H98" s="7" t="str">
        <f t="shared" si="18"/>
        <v>钻石</v>
      </c>
      <c r="I98" s="7">
        <v>150</v>
      </c>
      <c r="J98" s="68">
        <f t="shared" si="19"/>
        <v>150</v>
      </c>
      <c r="K98" s="7"/>
      <c r="L98" s="7" t="str">
        <f t="shared" si="20"/>
        <v/>
      </c>
      <c r="M98" s="7"/>
      <c r="N98" s="68">
        <f t="shared" si="21"/>
        <v>0</v>
      </c>
      <c r="O98" s="76"/>
      <c r="V98" s="2" t="s">
        <v>2462</v>
      </c>
      <c r="W98" s="2">
        <f>[1]宝箱设定!$C$10</f>
        <v>600</v>
      </c>
      <c r="X98" s="2" t="s">
        <v>3004</v>
      </c>
      <c r="Y98" s="255">
        <f t="shared" si="25"/>
        <v>0</v>
      </c>
      <c r="Z98" s="2"/>
      <c r="AB98" s="7" t="str">
        <f t="shared" si="23"/>
        <v>[]</v>
      </c>
      <c r="AC98" s="7" t="str">
        <f t="shared" si="24"/>
        <v>[(101,150)]</v>
      </c>
    </row>
    <row r="99" spans="1:29" ht="15.75" x14ac:dyDescent="0.3">
      <c r="A99" s="7">
        <v>97</v>
      </c>
      <c r="B99" s="7">
        <v>1</v>
      </c>
      <c r="C99" s="7"/>
      <c r="D99" s="7" t="str">
        <f t="shared" si="16"/>
        <v/>
      </c>
      <c r="E99" s="7"/>
      <c r="F99" s="68">
        <f t="shared" si="17"/>
        <v>0</v>
      </c>
      <c r="G99" s="7" t="s">
        <v>2686</v>
      </c>
      <c r="H99" s="7" t="str">
        <f t="shared" si="18"/>
        <v>BattlePass货币</v>
      </c>
      <c r="I99" s="7">
        <v>100</v>
      </c>
      <c r="J99" s="68">
        <f t="shared" si="19"/>
        <v>140</v>
      </c>
      <c r="K99" s="7"/>
      <c r="L99" s="7" t="str">
        <f t="shared" si="20"/>
        <v/>
      </c>
      <c r="M99" s="7"/>
      <c r="N99" s="68">
        <f t="shared" si="21"/>
        <v>0</v>
      </c>
      <c r="O99" s="76"/>
      <c r="V99" s="2" t="s">
        <v>2463</v>
      </c>
      <c r="W99" s="2">
        <f>[1]宝箱设定!$C$10</f>
        <v>600</v>
      </c>
      <c r="X99" s="2" t="s">
        <v>3004</v>
      </c>
      <c r="Y99" s="255">
        <f t="shared" si="25"/>
        <v>0</v>
      </c>
      <c r="Z99" s="2"/>
      <c r="AB99" s="7" t="str">
        <f t="shared" si="23"/>
        <v>[]</v>
      </c>
      <c r="AC99" s="7" t="str">
        <f t="shared" si="24"/>
        <v>[(113,100)]</v>
      </c>
    </row>
    <row r="100" spans="1:29" ht="15.75" x14ac:dyDescent="0.3">
      <c r="A100" s="7">
        <v>98</v>
      </c>
      <c r="B100" s="7">
        <v>1</v>
      </c>
      <c r="C100" s="7"/>
      <c r="D100" s="7" t="str">
        <f t="shared" si="16"/>
        <v/>
      </c>
      <c r="E100" s="7"/>
      <c r="F100" s="68">
        <f t="shared" si="17"/>
        <v>0</v>
      </c>
      <c r="G100" s="7" t="s">
        <v>317</v>
      </c>
      <c r="H100" s="7" t="str">
        <f t="shared" si="18"/>
        <v>钻石</v>
      </c>
      <c r="I100" s="7">
        <v>150</v>
      </c>
      <c r="J100" s="68">
        <f t="shared" si="19"/>
        <v>150</v>
      </c>
      <c r="K100" s="7"/>
      <c r="L100" s="7" t="str">
        <f t="shared" si="20"/>
        <v/>
      </c>
      <c r="M100" s="7"/>
      <c r="N100" s="68">
        <f t="shared" si="21"/>
        <v>0</v>
      </c>
      <c r="O100" s="76"/>
      <c r="V100" s="2" t="s">
        <v>2394</v>
      </c>
      <c r="W100" s="2">
        <f>[1]宝箱设定!C$13</f>
        <v>100</v>
      </c>
      <c r="X100" s="2" t="s">
        <v>3004</v>
      </c>
      <c r="Y100" s="255">
        <f t="shared" si="25"/>
        <v>0</v>
      </c>
      <c r="Z100" s="2"/>
      <c r="AB100" s="7" t="str">
        <f t="shared" si="23"/>
        <v>[]</v>
      </c>
      <c r="AC100" s="7" t="str">
        <f t="shared" si="24"/>
        <v>[(101,150)]</v>
      </c>
    </row>
    <row r="101" spans="1:29" ht="15.75" x14ac:dyDescent="0.3">
      <c r="A101" s="7">
        <v>99</v>
      </c>
      <c r="B101" s="7">
        <v>1</v>
      </c>
      <c r="C101" s="7"/>
      <c r="D101" s="7" t="str">
        <f t="shared" si="16"/>
        <v/>
      </c>
      <c r="E101" s="69"/>
      <c r="F101" s="68">
        <f t="shared" si="17"/>
        <v>0</v>
      </c>
      <c r="G101" s="7" t="s">
        <v>2457</v>
      </c>
      <c r="H101" s="7" t="str">
        <f t="shared" si="18"/>
        <v>宝箱</v>
      </c>
      <c r="I101" s="7">
        <v>1</v>
      </c>
      <c r="J101" s="68">
        <f t="shared" si="19"/>
        <v>600</v>
      </c>
      <c r="K101" s="7"/>
      <c r="L101" s="7" t="str">
        <f t="shared" si="20"/>
        <v/>
      </c>
      <c r="M101" s="7"/>
      <c r="N101" s="68">
        <f t="shared" si="21"/>
        <v>0</v>
      </c>
      <c r="O101" s="76"/>
      <c r="V101" s="2" t="s">
        <v>513</v>
      </c>
      <c r="W101" s="2">
        <f>[1]宝箱设定!C$13</f>
        <v>100</v>
      </c>
      <c r="X101" s="2" t="s">
        <v>3004</v>
      </c>
      <c r="Y101" s="255">
        <f t="shared" si="25"/>
        <v>0</v>
      </c>
      <c r="Z101" s="2"/>
      <c r="AB101" s="7" t="str">
        <f t="shared" si="23"/>
        <v>[]</v>
      </c>
      <c r="AC101" s="7" t="str">
        <f t="shared" si="24"/>
        <v>[(25154,1)]</v>
      </c>
    </row>
    <row r="102" spans="1:29" ht="15.75" x14ac:dyDescent="0.3">
      <c r="A102" s="70">
        <v>100</v>
      </c>
      <c r="B102" s="7">
        <v>1</v>
      </c>
      <c r="C102" s="70"/>
      <c r="D102" s="7" t="str">
        <f t="shared" si="16"/>
        <v/>
      </c>
      <c r="E102" s="94"/>
      <c r="F102" s="71">
        <f t="shared" si="17"/>
        <v>0</v>
      </c>
      <c r="G102" s="70" t="s">
        <v>2616</v>
      </c>
      <c r="H102" s="7" t="str">
        <f t="shared" si="18"/>
        <v>头像框</v>
      </c>
      <c r="I102" s="70">
        <v>1</v>
      </c>
      <c r="J102" s="68">
        <f t="shared" si="19"/>
        <v>600</v>
      </c>
      <c r="K102" s="70" t="s">
        <v>2721</v>
      </c>
      <c r="L102" s="7" t="str">
        <f t="shared" si="20"/>
        <v>涂装</v>
      </c>
      <c r="M102" s="70">
        <v>1</v>
      </c>
      <c r="N102" s="68">
        <f t="shared" si="21"/>
        <v>500</v>
      </c>
      <c r="O102" s="77">
        <f>SUM(N93:N102)+SUM(J93:J102)+SUM(F93:F102)</f>
        <v>3076.5</v>
      </c>
      <c r="V102" s="2" t="s">
        <v>2396</v>
      </c>
      <c r="W102" s="2">
        <f>[1]宝箱设定!C$13</f>
        <v>100</v>
      </c>
      <c r="X102" s="2" t="s">
        <v>3004</v>
      </c>
      <c r="Y102" s="255">
        <f t="shared" ref="Y102:Y133" si="26">IF(Z102="",SUMIFS(E:E,C:C,V102)+SUMIFS(I:I,G:G,V102)+SUMIFS(M:M,K:K,V102),1)</f>
        <v>0</v>
      </c>
      <c r="Z102" s="2"/>
      <c r="AB102" s="7" t="str">
        <f t="shared" si="23"/>
        <v>[]</v>
      </c>
      <c r="AC102" s="7" t="str">
        <f t="shared" si="24"/>
        <v>[(130108,1),(180021,1)]</v>
      </c>
    </row>
    <row r="103" spans="1:29" ht="15.75" x14ac:dyDescent="0.3">
      <c r="A103" s="18">
        <v>1</v>
      </c>
      <c r="B103" s="18">
        <v>2</v>
      </c>
      <c r="C103" s="7" t="s">
        <v>268</v>
      </c>
      <c r="D103" s="7" t="str">
        <f t="shared" si="16"/>
        <v>军费</v>
      </c>
      <c r="E103" s="7">
        <v>30</v>
      </c>
      <c r="F103" s="68">
        <f t="shared" si="17"/>
        <v>0.6</v>
      </c>
      <c r="G103" s="7" t="s">
        <v>632</v>
      </c>
      <c r="H103" s="7" t="str">
        <f t="shared" si="18"/>
        <v>坦克</v>
      </c>
      <c r="I103" s="7">
        <v>1</v>
      </c>
      <c r="J103" s="68">
        <f t="shared" si="19"/>
        <v>2400</v>
      </c>
      <c r="K103" s="7" t="s">
        <v>2812</v>
      </c>
      <c r="L103" s="7" t="str">
        <f t="shared" si="20"/>
        <v>摆件</v>
      </c>
      <c r="M103" s="7">
        <v>1</v>
      </c>
      <c r="N103" s="68">
        <f t="shared" si="21"/>
        <v>300</v>
      </c>
      <c r="O103" s="76"/>
      <c r="Q103" s="81"/>
      <c r="R103" s="82" t="s">
        <v>1806</v>
      </c>
      <c r="S103" s="83" t="s">
        <v>705</v>
      </c>
      <c r="T103" s="83" t="s">
        <v>706</v>
      </c>
      <c r="V103" s="2" t="s">
        <v>521</v>
      </c>
      <c r="W103" s="2">
        <f>[1]宝箱设定!C$13</f>
        <v>100</v>
      </c>
      <c r="X103" s="2" t="s">
        <v>3004</v>
      </c>
      <c r="Y103" s="255">
        <f t="shared" si="26"/>
        <v>8</v>
      </c>
      <c r="Z103" s="2"/>
      <c r="AB103" s="7" t="str">
        <f t="shared" ref="AB103:AB131" si="27">IF(C103="","[]","["&amp;"("&amp;VLOOKUP(C103,道具ID,2,FALSE)&amp;","&amp;E103&amp;")"&amp;"]")</f>
        <v>[(102,30)]</v>
      </c>
      <c r="AC103" s="7" t="str">
        <f t="shared" ref="AC103:AC131" si="28">IF(G103="","[]",IF(K103="","["&amp;"("&amp;VLOOKUP(G103,道具ID,2,FALSE)&amp;","&amp;I103&amp;")"&amp;"]","["&amp;"("&amp;VLOOKUP(G103,道具ID,2,FALSE)&amp;","&amp;I103&amp;")"&amp;","&amp;"("&amp;VLOOKUP(K103,道具ID,2,FALSE)&amp;","&amp;M103&amp;")"&amp;"]"))</f>
        <v>[(12331,1),(110109,1)]</v>
      </c>
    </row>
    <row r="104" spans="1:29" ht="15.75" x14ac:dyDescent="0.3">
      <c r="A104" s="18">
        <v>2</v>
      </c>
      <c r="B104" s="18">
        <v>2</v>
      </c>
      <c r="C104" s="7" t="s">
        <v>2776</v>
      </c>
      <c r="D104" s="7" t="str">
        <f t="shared" si="16"/>
        <v>头像</v>
      </c>
      <c r="E104" s="7">
        <v>1</v>
      </c>
      <c r="F104" s="68">
        <f t="shared" si="17"/>
        <v>200</v>
      </c>
      <c r="G104" s="7" t="s">
        <v>317</v>
      </c>
      <c r="H104" s="7" t="str">
        <f t="shared" si="18"/>
        <v>钻石</v>
      </c>
      <c r="I104" s="7">
        <v>20</v>
      </c>
      <c r="J104" s="68">
        <f t="shared" si="19"/>
        <v>20</v>
      </c>
      <c r="K104" s="7"/>
      <c r="L104" s="7" t="str">
        <f t="shared" si="20"/>
        <v/>
      </c>
      <c r="M104" s="7"/>
      <c r="N104" s="68">
        <f t="shared" si="21"/>
        <v>0</v>
      </c>
      <c r="O104" s="76"/>
      <c r="Q104" s="7" t="s">
        <v>2987</v>
      </c>
      <c r="R104" s="76">
        <f>SUMIFS(F:F,B:B,2)</f>
        <v>3932.7000000000003</v>
      </c>
      <c r="S104" s="85">
        <f>R104/VLOOKUP(1,道具价值!$B$74:$E$80,4,FALSE)</f>
        <v>52.261213333333345</v>
      </c>
      <c r="T104" s="85">
        <f>R104/VLOOKUP(6,道具价值!$B$74:$E$80,4,FALSE)</f>
        <v>39.323067299999998</v>
      </c>
      <c r="V104" s="2" t="s">
        <v>2397</v>
      </c>
      <c r="W104" s="2">
        <f>[1]宝箱设定!C$13</f>
        <v>100</v>
      </c>
      <c r="X104" s="2" t="s">
        <v>3004</v>
      </c>
      <c r="Y104" s="255">
        <f t="shared" si="26"/>
        <v>6</v>
      </c>
      <c r="Z104" s="2"/>
      <c r="AB104" s="7" t="str">
        <f t="shared" si="27"/>
        <v>[(140123,1)]</v>
      </c>
      <c r="AC104" s="7" t="str">
        <f t="shared" si="28"/>
        <v>[(101,20)]</v>
      </c>
    </row>
    <row r="105" spans="1:29" ht="15.75" x14ac:dyDescent="0.3">
      <c r="A105" s="18">
        <v>3</v>
      </c>
      <c r="B105" s="18">
        <v>2</v>
      </c>
      <c r="C105" s="7" t="s">
        <v>317</v>
      </c>
      <c r="D105" s="7" t="str">
        <f t="shared" si="16"/>
        <v>钻石</v>
      </c>
      <c r="E105" s="7">
        <v>20</v>
      </c>
      <c r="F105" s="68">
        <f t="shared" si="17"/>
        <v>20</v>
      </c>
      <c r="G105" s="7" t="s">
        <v>2686</v>
      </c>
      <c r="H105" s="7" t="str">
        <f t="shared" si="18"/>
        <v>BattlePass货币</v>
      </c>
      <c r="I105" s="7">
        <v>20</v>
      </c>
      <c r="J105" s="68">
        <f t="shared" si="19"/>
        <v>28</v>
      </c>
      <c r="K105" s="7" t="s">
        <v>268</v>
      </c>
      <c r="L105" s="7" t="str">
        <f t="shared" si="20"/>
        <v>军费</v>
      </c>
      <c r="M105" s="7">
        <v>250</v>
      </c>
      <c r="N105" s="68">
        <f t="shared" si="21"/>
        <v>5</v>
      </c>
      <c r="O105" s="76"/>
      <c r="Q105" s="7" t="s">
        <v>2988</v>
      </c>
      <c r="R105" s="76">
        <f>SUMIFS(J:J,B:B,2)+SUMIFS(N:N,B:B,2)</f>
        <v>26208.5</v>
      </c>
      <c r="S105" s="86">
        <f>R105/VLOOKUP(1,道具价值!$B$74:$E$80,4,FALSE)</f>
        <v>348.28184444444446</v>
      </c>
      <c r="T105" s="86">
        <f>R105/VLOOKUP(6,道具价值!$B$74:$E$80,4,FALSE)</f>
        <v>262.05879149999998</v>
      </c>
      <c r="V105" s="2" t="s">
        <v>528</v>
      </c>
      <c r="W105" s="2">
        <f>[1]宝箱设定!C$13</f>
        <v>100</v>
      </c>
      <c r="X105" s="2" t="s">
        <v>3004</v>
      </c>
      <c r="Y105" s="255">
        <f t="shared" si="26"/>
        <v>0</v>
      </c>
      <c r="Z105" s="2"/>
      <c r="AB105" s="7" t="str">
        <f t="shared" si="27"/>
        <v>[(101,20)]</v>
      </c>
      <c r="AC105" s="7" t="str">
        <f t="shared" si="28"/>
        <v>[(113,20),(102,250)]</v>
      </c>
    </row>
    <row r="106" spans="1:29" ht="15.75" x14ac:dyDescent="0.3">
      <c r="A106" s="18">
        <v>4</v>
      </c>
      <c r="B106" s="18">
        <v>2</v>
      </c>
      <c r="C106" s="7" t="s">
        <v>2434</v>
      </c>
      <c r="D106" s="7" t="str">
        <f t="shared" si="16"/>
        <v>宝箱</v>
      </c>
      <c r="E106" s="69">
        <v>1</v>
      </c>
      <c r="F106" s="68">
        <f t="shared" si="17"/>
        <v>200</v>
      </c>
      <c r="G106" s="7" t="s">
        <v>2668</v>
      </c>
      <c r="H106" s="7" t="str">
        <f t="shared" si="18"/>
        <v>涂装</v>
      </c>
      <c r="I106" s="7">
        <v>1</v>
      </c>
      <c r="J106" s="68">
        <f t="shared" si="19"/>
        <v>200</v>
      </c>
      <c r="K106" s="7"/>
      <c r="L106" s="7" t="str">
        <f t="shared" si="20"/>
        <v/>
      </c>
      <c r="M106" s="7"/>
      <c r="N106" s="68">
        <f t="shared" si="21"/>
        <v>0</v>
      </c>
      <c r="O106" s="76"/>
      <c r="Q106" s="7" t="s">
        <v>2989</v>
      </c>
      <c r="R106" s="76">
        <f>R104+R105</f>
        <v>30141.200000000001</v>
      </c>
      <c r="S106" s="86">
        <f>R106/VLOOKUP(1,道具价值!$B$74:$E$80,4,FALSE)</f>
        <v>400.54305777777785</v>
      </c>
      <c r="T106" s="86">
        <f>R106/VLOOKUP(6,道具价值!$B$74:$E$80,4,FALSE)</f>
        <v>301.38185879999997</v>
      </c>
      <c r="V106" s="2" t="s">
        <v>533</v>
      </c>
      <c r="W106" s="2">
        <f>[1]宝箱设定!C$13</f>
        <v>100</v>
      </c>
      <c r="X106" s="2" t="s">
        <v>3004</v>
      </c>
      <c r="Y106" s="255">
        <f t="shared" si="26"/>
        <v>4</v>
      </c>
      <c r="Z106" s="2"/>
      <c r="AB106" s="7" t="str">
        <f t="shared" si="27"/>
        <v>[(25052,1)]</v>
      </c>
      <c r="AC106" s="7" t="str">
        <f t="shared" si="28"/>
        <v>[(180009,1)]</v>
      </c>
    </row>
    <row r="107" spans="1:29" ht="15.75" x14ac:dyDescent="0.3">
      <c r="A107" s="18">
        <v>5</v>
      </c>
      <c r="B107" s="18">
        <v>2</v>
      </c>
      <c r="C107" s="7" t="s">
        <v>2808</v>
      </c>
      <c r="D107" s="7" t="str">
        <f t="shared" si="16"/>
        <v>摆件</v>
      </c>
      <c r="E107" s="7">
        <v>1</v>
      </c>
      <c r="F107" s="68">
        <f t="shared" si="17"/>
        <v>300</v>
      </c>
      <c r="G107" s="7" t="s">
        <v>1936</v>
      </c>
      <c r="H107" s="7" t="str">
        <f t="shared" si="18"/>
        <v>坦克碎片</v>
      </c>
      <c r="I107" s="7">
        <v>6</v>
      </c>
      <c r="J107" s="68">
        <f t="shared" si="19"/>
        <v>600</v>
      </c>
      <c r="K107" s="7"/>
      <c r="L107" s="7" t="str">
        <f t="shared" si="20"/>
        <v/>
      </c>
      <c r="M107" s="7">
        <v>1</v>
      </c>
      <c r="N107" s="68">
        <f t="shared" si="21"/>
        <v>0</v>
      </c>
      <c r="O107" s="76"/>
      <c r="Q107" s="7" t="s">
        <v>2990</v>
      </c>
      <c r="R107" s="76">
        <v>11</v>
      </c>
      <c r="S107" s="85"/>
      <c r="T107" s="85"/>
      <c r="V107" s="2" t="s">
        <v>2398</v>
      </c>
      <c r="W107" s="2">
        <f>[1]宝箱设定!C$13</f>
        <v>100</v>
      </c>
      <c r="X107" s="2" t="s">
        <v>3004</v>
      </c>
      <c r="Y107" s="255">
        <f t="shared" si="26"/>
        <v>0</v>
      </c>
      <c r="Z107" s="2"/>
      <c r="AB107" s="7" t="str">
        <f t="shared" si="27"/>
        <v>[(110107,1)]</v>
      </c>
      <c r="AC107" s="7" t="str">
        <f t="shared" si="28"/>
        <v>[(52331,6)]</v>
      </c>
    </row>
    <row r="108" spans="1:29" ht="15.75" x14ac:dyDescent="0.3">
      <c r="A108" s="18">
        <v>6</v>
      </c>
      <c r="B108" s="18">
        <v>2</v>
      </c>
      <c r="C108" s="7" t="s">
        <v>2804</v>
      </c>
      <c r="D108" s="7" t="str">
        <f t="shared" si="16"/>
        <v>涂鸦</v>
      </c>
      <c r="E108" s="7">
        <v>1</v>
      </c>
      <c r="F108" s="68">
        <f t="shared" si="17"/>
        <v>300</v>
      </c>
      <c r="G108" s="7" t="s">
        <v>2802</v>
      </c>
      <c r="H108" s="7" t="str">
        <f t="shared" si="18"/>
        <v>涂鸦</v>
      </c>
      <c r="I108" s="7">
        <v>1</v>
      </c>
      <c r="J108" s="68">
        <f t="shared" si="19"/>
        <v>300</v>
      </c>
      <c r="K108" s="7"/>
      <c r="L108" s="7" t="str">
        <f t="shared" si="20"/>
        <v/>
      </c>
      <c r="M108" s="7"/>
      <c r="N108" s="68">
        <f t="shared" si="21"/>
        <v>0</v>
      </c>
      <c r="O108" s="76"/>
      <c r="Q108" s="7" t="s">
        <v>2991</v>
      </c>
      <c r="R108" s="76">
        <f>SUMIFS(F:F,A:A,"&lt;="&amp;R107,B:B,2)+SUMIFS(J:J,A:A,"&lt;="&amp;R107,B:B,2)+SUMIFS(N:N,A:A,"&lt;="&amp;R107,B:B,2)</f>
        <v>6881.4666666666672</v>
      </c>
      <c r="S108" s="85">
        <f>R108/VLOOKUP(1,道具价值!$B$74:$E$80,4,FALSE)</f>
        <v>91.447045925925934</v>
      </c>
      <c r="T108" s="85">
        <f>R108/VLOOKUP(6,道具价值!$B$74:$E$80,4,FALSE)</f>
        <v>68.807785199999998</v>
      </c>
      <c r="V108" s="2" t="s">
        <v>2399</v>
      </c>
      <c r="W108" s="2">
        <f>[1]宝箱设定!C$13</f>
        <v>100</v>
      </c>
      <c r="X108" s="2" t="s">
        <v>3004</v>
      </c>
      <c r="Y108" s="255">
        <f t="shared" si="26"/>
        <v>0</v>
      </c>
      <c r="Z108" s="2"/>
      <c r="AB108" s="7" t="str">
        <f t="shared" si="27"/>
        <v>[(150111,1)]</v>
      </c>
      <c r="AC108" s="7" t="str">
        <f t="shared" si="28"/>
        <v>[(150110,1)]</v>
      </c>
    </row>
    <row r="109" spans="1:29" ht="15.75" x14ac:dyDescent="0.3">
      <c r="A109" s="18">
        <v>7</v>
      </c>
      <c r="B109" s="18">
        <v>2</v>
      </c>
      <c r="C109" s="7" t="s">
        <v>268</v>
      </c>
      <c r="D109" s="7" t="str">
        <f t="shared" si="16"/>
        <v>军费</v>
      </c>
      <c r="E109" s="7">
        <v>60</v>
      </c>
      <c r="F109" s="68">
        <f t="shared" si="17"/>
        <v>1.2</v>
      </c>
      <c r="G109" s="7" t="s">
        <v>317</v>
      </c>
      <c r="H109" s="7" t="str">
        <f t="shared" si="18"/>
        <v>钻石</v>
      </c>
      <c r="I109" s="7">
        <v>20</v>
      </c>
      <c r="J109" s="68">
        <f t="shared" si="19"/>
        <v>20</v>
      </c>
      <c r="K109" s="7"/>
      <c r="L109" s="7" t="str">
        <f t="shared" si="20"/>
        <v/>
      </c>
      <c r="M109" s="7"/>
      <c r="N109" s="68">
        <f t="shared" si="21"/>
        <v>0</v>
      </c>
      <c r="O109" s="76"/>
      <c r="Q109" s="7" t="s">
        <v>2992</v>
      </c>
      <c r="R109" s="14">
        <f>R108/R106</f>
        <v>0.22830765419647084</v>
      </c>
      <c r="S109" s="87">
        <f>S108/S106</f>
        <v>0.22830765419647081</v>
      </c>
      <c r="T109" s="87">
        <f>T108/T106</f>
        <v>0.22830765419647084</v>
      </c>
      <c r="V109" s="2" t="s">
        <v>2400</v>
      </c>
      <c r="W109" s="2">
        <f>[1]宝箱设定!C$13</f>
        <v>100</v>
      </c>
      <c r="X109" s="2" t="s">
        <v>3004</v>
      </c>
      <c r="Y109" s="255">
        <f t="shared" si="26"/>
        <v>0</v>
      </c>
      <c r="Z109" s="2"/>
      <c r="AB109" s="7" t="str">
        <f t="shared" si="27"/>
        <v>[(102,60)]</v>
      </c>
      <c r="AC109" s="7" t="str">
        <f t="shared" si="28"/>
        <v>[(101,20)]</v>
      </c>
    </row>
    <row r="110" spans="1:29" ht="15.75" x14ac:dyDescent="0.3">
      <c r="A110" s="18">
        <v>8</v>
      </c>
      <c r="B110" s="18">
        <v>2</v>
      </c>
      <c r="C110" s="7" t="s">
        <v>2658</v>
      </c>
      <c r="D110" s="7" t="str">
        <f t="shared" si="16"/>
        <v>涂装</v>
      </c>
      <c r="E110" s="7">
        <v>1</v>
      </c>
      <c r="F110" s="68">
        <f t="shared" si="17"/>
        <v>200</v>
      </c>
      <c r="G110" s="7" t="s">
        <v>2798</v>
      </c>
      <c r="H110" s="7" t="str">
        <f t="shared" si="18"/>
        <v>头像框</v>
      </c>
      <c r="I110" s="7">
        <v>1</v>
      </c>
      <c r="J110" s="68">
        <f t="shared" si="19"/>
        <v>300</v>
      </c>
      <c r="K110" s="7" t="s">
        <v>2630</v>
      </c>
      <c r="L110" s="7" t="str">
        <f t="shared" si="20"/>
        <v>战旗</v>
      </c>
      <c r="M110" s="7">
        <v>1</v>
      </c>
      <c r="N110" s="68">
        <f t="shared" si="21"/>
        <v>100</v>
      </c>
      <c r="O110" s="76"/>
      <c r="Q110" s="13" t="s">
        <v>2928</v>
      </c>
      <c r="R110" s="76">
        <v>70</v>
      </c>
      <c r="S110" s="85"/>
      <c r="T110" s="85"/>
      <c r="V110" s="2" t="s">
        <v>4263</v>
      </c>
      <c r="W110" s="2">
        <f>[1]宝箱设定!$C$11</f>
        <v>2000</v>
      </c>
      <c r="X110" s="2" t="s">
        <v>3004</v>
      </c>
      <c r="Y110" s="255">
        <f t="shared" si="26"/>
        <v>1</v>
      </c>
      <c r="Z110" s="2"/>
      <c r="AB110" s="7" t="str">
        <f t="shared" si="27"/>
        <v>[(180004,1)]</v>
      </c>
      <c r="AC110" s="7" t="str">
        <f t="shared" si="28"/>
        <v>[(130120,1),(120102,1)]</v>
      </c>
    </row>
    <row r="111" spans="1:29" ht="15.75" x14ac:dyDescent="0.3">
      <c r="A111" s="18">
        <v>9</v>
      </c>
      <c r="B111" s="18">
        <v>2</v>
      </c>
      <c r="C111" s="7" t="s">
        <v>273</v>
      </c>
      <c r="D111" s="7" t="str">
        <f t="shared" si="16"/>
        <v>钥匙</v>
      </c>
      <c r="E111" s="7">
        <v>20</v>
      </c>
      <c r="F111" s="68">
        <f t="shared" si="17"/>
        <v>16.666666666666682</v>
      </c>
      <c r="G111" s="7" t="s">
        <v>514</v>
      </c>
      <c r="H111" s="7" t="str">
        <f t="shared" si="18"/>
        <v>宝箱</v>
      </c>
      <c r="I111" s="7">
        <v>1</v>
      </c>
      <c r="J111" s="68">
        <f t="shared" si="19"/>
        <v>600</v>
      </c>
      <c r="K111" s="7"/>
      <c r="L111" s="7" t="str">
        <f t="shared" si="20"/>
        <v/>
      </c>
      <c r="M111" s="7"/>
      <c r="N111" s="68">
        <f t="shared" si="21"/>
        <v>0</v>
      </c>
      <c r="O111" s="76"/>
      <c r="Q111" s="13" t="s">
        <v>2921</v>
      </c>
      <c r="R111" s="76">
        <f>R106/R110</f>
        <v>430.58857142857141</v>
      </c>
      <c r="S111" s="88">
        <f>R111/VLOOKUP(1,道具价值!$B$74:$E$80,4,FALSE)</f>
        <v>5.7220436825396828</v>
      </c>
      <c r="T111" s="88">
        <f>R111/VLOOKUP(6,道具价值!$B$74:$E$80,4,FALSE)</f>
        <v>4.3054551257142855</v>
      </c>
      <c r="V111" s="2" t="s">
        <v>2686</v>
      </c>
      <c r="W111" s="2">
        <v>1.4</v>
      </c>
      <c r="X111" s="2" t="s">
        <v>2686</v>
      </c>
      <c r="Y111" s="255">
        <f t="shared" si="26"/>
        <v>1500</v>
      </c>
      <c r="Z111" s="2"/>
      <c r="AB111" s="7" t="str">
        <f t="shared" si="27"/>
        <v>[(105,20)]</v>
      </c>
      <c r="AC111" s="7" t="str">
        <f t="shared" si="28"/>
        <v>[(25152,1)]</v>
      </c>
    </row>
    <row r="112" spans="1:29" ht="15.75" x14ac:dyDescent="0.3">
      <c r="A112" s="18">
        <v>10</v>
      </c>
      <c r="B112" s="18">
        <v>2</v>
      </c>
      <c r="C112" s="70" t="s">
        <v>1936</v>
      </c>
      <c r="D112" s="7" t="str">
        <f t="shared" si="16"/>
        <v>坦克碎片</v>
      </c>
      <c r="E112" s="70">
        <v>3</v>
      </c>
      <c r="F112" s="71">
        <f t="shared" si="17"/>
        <v>300</v>
      </c>
      <c r="G112" s="70" t="s">
        <v>2814</v>
      </c>
      <c r="H112" s="7" t="str">
        <f t="shared" si="18"/>
        <v>流光</v>
      </c>
      <c r="I112" s="70">
        <v>1</v>
      </c>
      <c r="J112" s="68">
        <f t="shared" si="19"/>
        <v>300</v>
      </c>
      <c r="K112" s="70" t="s">
        <v>2640</v>
      </c>
      <c r="L112" s="7" t="str">
        <f t="shared" si="20"/>
        <v>战旗</v>
      </c>
      <c r="M112" s="70">
        <v>1</v>
      </c>
      <c r="N112" s="68">
        <f t="shared" si="21"/>
        <v>150</v>
      </c>
      <c r="O112" s="77">
        <f>SUM(N103:N112)+SUM(J103:J112)+SUM(F103:F112)</f>
        <v>6861.4666666666672</v>
      </c>
      <c r="V112" s="22" t="s">
        <v>2727</v>
      </c>
      <c r="W112" s="22">
        <v>0</v>
      </c>
      <c r="X112" s="22" t="s">
        <v>2727</v>
      </c>
      <c r="Y112" s="255">
        <f t="shared" si="26"/>
        <v>0</v>
      </c>
      <c r="Z112" s="2"/>
      <c r="AB112" s="7" t="str">
        <f t="shared" si="27"/>
        <v>[(52331,3)]</v>
      </c>
      <c r="AC112" s="7" t="str">
        <f t="shared" si="28"/>
        <v>[(190004,1),(120203,1)]</v>
      </c>
    </row>
    <row r="113" spans="1:29" ht="15.75" x14ac:dyDescent="0.3">
      <c r="A113" s="18">
        <v>11</v>
      </c>
      <c r="B113" s="18">
        <v>2</v>
      </c>
      <c r="C113" s="7" t="s">
        <v>511</v>
      </c>
      <c r="D113" s="7" t="str">
        <f t="shared" si="16"/>
        <v>双倍钥匙</v>
      </c>
      <c r="E113" s="7">
        <v>30</v>
      </c>
      <c r="F113" s="68">
        <f t="shared" si="17"/>
        <v>15.000000000000014</v>
      </c>
      <c r="G113" s="7" t="s">
        <v>268</v>
      </c>
      <c r="H113" s="7" t="str">
        <f t="shared" si="18"/>
        <v>军费</v>
      </c>
      <c r="I113" s="7">
        <v>250</v>
      </c>
      <c r="J113" s="68">
        <f t="shared" si="19"/>
        <v>5</v>
      </c>
      <c r="K113" s="7"/>
      <c r="L113" s="7" t="str">
        <f t="shared" si="20"/>
        <v/>
      </c>
      <c r="M113" s="7"/>
      <c r="N113" s="68">
        <f t="shared" si="21"/>
        <v>0</v>
      </c>
      <c r="O113" s="76"/>
      <c r="Q113" s="11" t="s">
        <v>2994</v>
      </c>
      <c r="R113" s="89" t="s">
        <v>2995</v>
      </c>
      <c r="S113" s="90" t="s">
        <v>2996</v>
      </c>
      <c r="T113" s="90" t="s">
        <v>3011</v>
      </c>
      <c r="V113" s="22" t="s">
        <v>2776</v>
      </c>
      <c r="W113" s="22">
        <v>200</v>
      </c>
      <c r="X113" s="22" t="s">
        <v>2986</v>
      </c>
      <c r="Y113" s="255">
        <f t="shared" si="26"/>
        <v>1</v>
      </c>
      <c r="Z113" s="22"/>
      <c r="AB113" s="7" t="str">
        <f t="shared" si="27"/>
        <v>[(111,30)]</v>
      </c>
      <c r="AC113" s="7" t="str">
        <f t="shared" si="28"/>
        <v>[(102,250)]</v>
      </c>
    </row>
    <row r="114" spans="1:29" ht="15.75" x14ac:dyDescent="0.3">
      <c r="A114" s="18">
        <v>12</v>
      </c>
      <c r="B114" s="18">
        <v>2</v>
      </c>
      <c r="C114" s="7" t="s">
        <v>268</v>
      </c>
      <c r="D114" s="7" t="str">
        <f t="shared" si="16"/>
        <v>军费</v>
      </c>
      <c r="E114" s="7">
        <v>60</v>
      </c>
      <c r="F114" s="68">
        <f t="shared" si="17"/>
        <v>1.2</v>
      </c>
      <c r="G114" s="7" t="s">
        <v>2686</v>
      </c>
      <c r="H114" s="7" t="str">
        <f t="shared" si="18"/>
        <v>BattlePass货币</v>
      </c>
      <c r="I114" s="7">
        <v>20</v>
      </c>
      <c r="J114" s="68">
        <f t="shared" si="19"/>
        <v>28</v>
      </c>
      <c r="K114" s="7"/>
      <c r="L114" s="7" t="str">
        <f t="shared" si="20"/>
        <v/>
      </c>
      <c r="M114" s="7"/>
      <c r="N114" s="68">
        <f t="shared" si="21"/>
        <v>0</v>
      </c>
      <c r="O114" s="76"/>
      <c r="Q114" s="91" t="s">
        <v>2993</v>
      </c>
      <c r="R114" s="92">
        <f t="shared" ref="R114:R128" si="29">SUMIFS(E:E,D:D,Q114,B:B,2)+SUMIFS(I:I,H:H,Q114,B:B,2)+SUMIFS(M:M,L:L,Q114,B:B,2)</f>
        <v>3</v>
      </c>
      <c r="S114" s="93">
        <f t="shared" ref="S114:S128" si="30">SUMIFS(E:E,D:D,Q114,B:B,2)</f>
        <v>2</v>
      </c>
      <c r="T114" s="93">
        <f t="shared" ref="T114:T120" si="31">COUNTIF(X:X,Q114)</f>
        <v>14</v>
      </c>
      <c r="V114" s="22" t="s">
        <v>2778</v>
      </c>
      <c r="W114" s="22">
        <v>200</v>
      </c>
      <c r="X114" s="22" t="s">
        <v>2986</v>
      </c>
      <c r="Y114" s="255">
        <f t="shared" si="26"/>
        <v>1</v>
      </c>
      <c r="Z114" s="22"/>
      <c r="AB114" s="7" t="str">
        <f t="shared" si="27"/>
        <v>[(102,60)]</v>
      </c>
      <c r="AC114" s="7" t="str">
        <f t="shared" si="28"/>
        <v>[(113,20)]</v>
      </c>
    </row>
    <row r="115" spans="1:29" ht="15.75" x14ac:dyDescent="0.3">
      <c r="A115" s="18">
        <v>13</v>
      </c>
      <c r="B115" s="18">
        <v>2</v>
      </c>
      <c r="C115" s="7" t="s">
        <v>2786</v>
      </c>
      <c r="D115" s="7" t="str">
        <f t="shared" si="16"/>
        <v>头像框</v>
      </c>
      <c r="E115" s="7">
        <v>1</v>
      </c>
      <c r="F115" s="68">
        <f t="shared" si="17"/>
        <v>300</v>
      </c>
      <c r="G115" s="7" t="s">
        <v>268</v>
      </c>
      <c r="H115" s="7" t="str">
        <f t="shared" si="18"/>
        <v>军费</v>
      </c>
      <c r="I115" s="7">
        <v>250</v>
      </c>
      <c r="J115" s="68">
        <f t="shared" si="19"/>
        <v>5</v>
      </c>
      <c r="K115" s="7"/>
      <c r="L115" s="7" t="str">
        <f t="shared" si="20"/>
        <v/>
      </c>
      <c r="M115" s="7"/>
      <c r="N115" s="68">
        <f t="shared" si="21"/>
        <v>0</v>
      </c>
      <c r="O115" s="76"/>
      <c r="Q115" s="91" t="s">
        <v>2986</v>
      </c>
      <c r="R115" s="92">
        <f t="shared" si="29"/>
        <v>5</v>
      </c>
      <c r="S115" s="93">
        <f t="shared" si="30"/>
        <v>1</v>
      </c>
      <c r="T115" s="93">
        <f t="shared" si="31"/>
        <v>18</v>
      </c>
      <c r="V115" s="22" t="s">
        <v>2780</v>
      </c>
      <c r="W115" s="22">
        <v>200</v>
      </c>
      <c r="X115" s="22" t="s">
        <v>2986</v>
      </c>
      <c r="Y115" s="255">
        <f t="shared" si="26"/>
        <v>1</v>
      </c>
      <c r="Z115" s="22"/>
      <c r="AB115" s="7" t="str">
        <f t="shared" si="27"/>
        <v>[(130114,1)]</v>
      </c>
      <c r="AC115" s="7" t="str">
        <f t="shared" si="28"/>
        <v>[(102,250)]</v>
      </c>
    </row>
    <row r="116" spans="1:29" ht="15.75" x14ac:dyDescent="0.3">
      <c r="A116" s="18">
        <v>14</v>
      </c>
      <c r="B116" s="18">
        <v>2</v>
      </c>
      <c r="C116" s="7" t="s">
        <v>268</v>
      </c>
      <c r="D116" s="7" t="str">
        <f t="shared" si="16"/>
        <v>军费</v>
      </c>
      <c r="E116" s="7">
        <v>60</v>
      </c>
      <c r="F116" s="68">
        <f t="shared" si="17"/>
        <v>1.2</v>
      </c>
      <c r="G116" s="7" t="s">
        <v>273</v>
      </c>
      <c r="H116" s="7" t="str">
        <f t="shared" si="18"/>
        <v>钥匙</v>
      </c>
      <c r="I116" s="7">
        <v>30</v>
      </c>
      <c r="J116" s="68">
        <f t="shared" si="19"/>
        <v>25.000000000000021</v>
      </c>
      <c r="K116" s="7"/>
      <c r="L116" s="7" t="str">
        <f t="shared" si="20"/>
        <v/>
      </c>
      <c r="M116" s="7"/>
      <c r="N116" s="68">
        <f t="shared" si="21"/>
        <v>0</v>
      </c>
      <c r="O116" s="76"/>
      <c r="Q116" s="91" t="s">
        <v>2998</v>
      </c>
      <c r="R116" s="92">
        <f t="shared" si="29"/>
        <v>7</v>
      </c>
      <c r="S116" s="93">
        <f t="shared" si="30"/>
        <v>2</v>
      </c>
      <c r="T116" s="93">
        <f t="shared" si="31"/>
        <v>19</v>
      </c>
      <c r="V116" s="22" t="s">
        <v>2782</v>
      </c>
      <c r="W116" s="22">
        <v>200</v>
      </c>
      <c r="X116" s="22" t="s">
        <v>2986</v>
      </c>
      <c r="Y116" s="255">
        <f t="shared" si="26"/>
        <v>1</v>
      </c>
      <c r="Z116" s="22"/>
      <c r="AB116" s="7" t="str">
        <f t="shared" si="27"/>
        <v>[(102,60)]</v>
      </c>
      <c r="AC116" s="7" t="str">
        <f t="shared" si="28"/>
        <v>[(105,30)]</v>
      </c>
    </row>
    <row r="117" spans="1:29" ht="15.75" x14ac:dyDescent="0.3">
      <c r="A117" s="18">
        <v>15</v>
      </c>
      <c r="B117" s="18">
        <v>2</v>
      </c>
      <c r="C117" s="7" t="s">
        <v>317</v>
      </c>
      <c r="D117" s="7" t="str">
        <f t="shared" si="16"/>
        <v>钻石</v>
      </c>
      <c r="E117" s="7">
        <v>10</v>
      </c>
      <c r="F117" s="68">
        <f t="shared" si="17"/>
        <v>10</v>
      </c>
      <c r="G117" s="7" t="s">
        <v>317</v>
      </c>
      <c r="H117" s="7" t="str">
        <f t="shared" si="18"/>
        <v>钻石</v>
      </c>
      <c r="I117" s="7">
        <v>20</v>
      </c>
      <c r="J117" s="68">
        <f t="shared" si="19"/>
        <v>20</v>
      </c>
      <c r="K117" s="7"/>
      <c r="L117" s="7" t="str">
        <f t="shared" si="20"/>
        <v/>
      </c>
      <c r="M117" s="7"/>
      <c r="N117" s="68">
        <f t="shared" si="21"/>
        <v>0</v>
      </c>
      <c r="O117" s="76"/>
      <c r="Q117" s="91" t="s">
        <v>2999</v>
      </c>
      <c r="R117" s="92">
        <f t="shared" si="29"/>
        <v>3</v>
      </c>
      <c r="S117" s="93">
        <f t="shared" si="30"/>
        <v>2</v>
      </c>
      <c r="T117" s="93">
        <f t="shared" si="31"/>
        <v>11</v>
      </c>
      <c r="V117" s="22" t="s">
        <v>2784</v>
      </c>
      <c r="W117" s="22">
        <v>200</v>
      </c>
      <c r="X117" s="22" t="s">
        <v>2986</v>
      </c>
      <c r="Y117" s="255">
        <f t="shared" si="26"/>
        <v>1</v>
      </c>
      <c r="Z117" s="22"/>
      <c r="AB117" s="7" t="str">
        <f t="shared" si="27"/>
        <v>[(101,10)]</v>
      </c>
      <c r="AC117" s="7" t="str">
        <f t="shared" si="28"/>
        <v>[(101,20)]</v>
      </c>
    </row>
    <row r="118" spans="1:29" ht="15.75" x14ac:dyDescent="0.3">
      <c r="A118" s="18">
        <v>16</v>
      </c>
      <c r="B118" s="18">
        <v>2</v>
      </c>
      <c r="C118" s="7" t="s">
        <v>2382</v>
      </c>
      <c r="D118" s="7" t="str">
        <f t="shared" si="16"/>
        <v>宝箱</v>
      </c>
      <c r="E118" s="7">
        <v>1</v>
      </c>
      <c r="F118" s="68">
        <f t="shared" si="17"/>
        <v>100</v>
      </c>
      <c r="G118" s="7" t="s">
        <v>1936</v>
      </c>
      <c r="H118" s="7" t="str">
        <f t="shared" si="18"/>
        <v>坦克碎片</v>
      </c>
      <c r="I118" s="7">
        <v>8</v>
      </c>
      <c r="J118" s="68">
        <f t="shared" si="19"/>
        <v>800</v>
      </c>
      <c r="K118" s="7"/>
      <c r="L118" s="7" t="str">
        <f t="shared" si="20"/>
        <v/>
      </c>
      <c r="M118" s="7"/>
      <c r="N118" s="68">
        <f t="shared" si="21"/>
        <v>0</v>
      </c>
      <c r="O118" s="76"/>
      <c r="Q118" s="91" t="s">
        <v>3000</v>
      </c>
      <c r="R118" s="92">
        <f t="shared" si="29"/>
        <v>4</v>
      </c>
      <c r="S118" s="93">
        <f t="shared" si="30"/>
        <v>0</v>
      </c>
      <c r="T118" s="93">
        <f t="shared" si="31"/>
        <v>15</v>
      </c>
      <c r="V118" s="22" t="s">
        <v>2786</v>
      </c>
      <c r="W118" s="22">
        <v>300</v>
      </c>
      <c r="X118" s="22" t="s">
        <v>2998</v>
      </c>
      <c r="Y118" s="255">
        <f t="shared" si="26"/>
        <v>1</v>
      </c>
      <c r="Z118" s="22"/>
      <c r="AB118" s="7" t="str">
        <f t="shared" si="27"/>
        <v>[(23004,1)]</v>
      </c>
      <c r="AC118" s="7" t="str">
        <f t="shared" si="28"/>
        <v>[(52331,8)]</v>
      </c>
    </row>
    <row r="119" spans="1:29" ht="15.75" x14ac:dyDescent="0.3">
      <c r="A119" s="18">
        <v>17</v>
      </c>
      <c r="B119" s="18">
        <v>2</v>
      </c>
      <c r="C119" s="7" t="s">
        <v>511</v>
      </c>
      <c r="D119" s="7" t="str">
        <f t="shared" si="16"/>
        <v>双倍钥匙</v>
      </c>
      <c r="E119" s="7">
        <v>40</v>
      </c>
      <c r="F119" s="68">
        <f t="shared" si="17"/>
        <v>20.000000000000018</v>
      </c>
      <c r="G119" s="7" t="s">
        <v>2434</v>
      </c>
      <c r="H119" s="7" t="str">
        <f t="shared" si="18"/>
        <v>宝箱</v>
      </c>
      <c r="I119" s="7">
        <v>1</v>
      </c>
      <c r="J119" s="68">
        <f t="shared" si="19"/>
        <v>200</v>
      </c>
      <c r="K119" s="7"/>
      <c r="L119" s="7" t="str">
        <f t="shared" si="20"/>
        <v/>
      </c>
      <c r="M119" s="7"/>
      <c r="N119" s="68">
        <f t="shared" si="21"/>
        <v>0</v>
      </c>
      <c r="O119" s="76"/>
      <c r="Q119" s="91" t="s">
        <v>3001</v>
      </c>
      <c r="R119" s="92">
        <f t="shared" si="29"/>
        <v>6</v>
      </c>
      <c r="S119" s="93">
        <f t="shared" si="30"/>
        <v>2</v>
      </c>
      <c r="T119" s="93">
        <f t="shared" si="31"/>
        <v>23</v>
      </c>
      <c r="V119" s="22" t="s">
        <v>2788</v>
      </c>
      <c r="W119" s="22">
        <v>300</v>
      </c>
      <c r="X119" s="22" t="s">
        <v>2998</v>
      </c>
      <c r="Y119" s="255">
        <f t="shared" si="26"/>
        <v>1</v>
      </c>
      <c r="Z119" s="22"/>
      <c r="AB119" s="7" t="str">
        <f t="shared" si="27"/>
        <v>[(111,40)]</v>
      </c>
      <c r="AC119" s="7" t="str">
        <f t="shared" si="28"/>
        <v>[(25052,1)]</v>
      </c>
    </row>
    <row r="120" spans="1:29" ht="15.75" x14ac:dyDescent="0.3">
      <c r="A120" s="18">
        <v>18</v>
      </c>
      <c r="B120" s="18">
        <v>2</v>
      </c>
      <c r="C120" s="7" t="s">
        <v>268</v>
      </c>
      <c r="D120" s="7" t="str">
        <f t="shared" si="16"/>
        <v>军费</v>
      </c>
      <c r="E120" s="7">
        <v>125</v>
      </c>
      <c r="F120" s="68">
        <f t="shared" si="17"/>
        <v>2.5</v>
      </c>
      <c r="G120" s="7" t="s">
        <v>511</v>
      </c>
      <c r="H120" s="7" t="str">
        <f t="shared" si="18"/>
        <v>双倍钥匙</v>
      </c>
      <c r="I120" s="7">
        <v>20</v>
      </c>
      <c r="J120" s="68">
        <f t="shared" si="19"/>
        <v>10.000000000000009</v>
      </c>
      <c r="K120" s="7"/>
      <c r="L120" s="7" t="str">
        <f t="shared" si="20"/>
        <v/>
      </c>
      <c r="M120" s="7"/>
      <c r="N120" s="68">
        <f t="shared" si="21"/>
        <v>0</v>
      </c>
      <c r="O120" s="76"/>
      <c r="Q120" s="91" t="s">
        <v>3002</v>
      </c>
      <c r="R120" s="92">
        <f t="shared" si="29"/>
        <v>2</v>
      </c>
      <c r="S120" s="93">
        <f t="shared" si="30"/>
        <v>0</v>
      </c>
      <c r="T120" s="93">
        <f t="shared" si="31"/>
        <v>7</v>
      </c>
      <c r="V120" s="22" t="s">
        <v>2790</v>
      </c>
      <c r="W120" s="22">
        <v>300</v>
      </c>
      <c r="X120" s="22" t="s">
        <v>2998</v>
      </c>
      <c r="Y120" s="255">
        <f t="shared" si="26"/>
        <v>1</v>
      </c>
      <c r="Z120" s="22"/>
      <c r="AB120" s="7" t="str">
        <f t="shared" si="27"/>
        <v>[(102,125)]</v>
      </c>
      <c r="AC120" s="7" t="str">
        <f t="shared" si="28"/>
        <v>[(111,20)]</v>
      </c>
    </row>
    <row r="121" spans="1:29" ht="15.75" x14ac:dyDescent="0.3">
      <c r="A121" s="18">
        <v>19</v>
      </c>
      <c r="B121" s="18">
        <v>2</v>
      </c>
      <c r="C121" s="7" t="s">
        <v>273</v>
      </c>
      <c r="D121" s="7" t="str">
        <f t="shared" si="16"/>
        <v>钥匙</v>
      </c>
      <c r="E121" s="7">
        <v>20</v>
      </c>
      <c r="F121" s="68">
        <f t="shared" si="17"/>
        <v>16.666666666666682</v>
      </c>
      <c r="G121" s="7" t="s">
        <v>317</v>
      </c>
      <c r="H121" s="7" t="str">
        <f t="shared" si="18"/>
        <v>钻石</v>
      </c>
      <c r="I121" s="7">
        <v>20</v>
      </c>
      <c r="J121" s="68">
        <f t="shared" si="19"/>
        <v>20</v>
      </c>
      <c r="K121" s="7"/>
      <c r="L121" s="7" t="str">
        <f t="shared" si="20"/>
        <v/>
      </c>
      <c r="M121" s="7"/>
      <c r="N121" s="68">
        <f t="shared" si="21"/>
        <v>0</v>
      </c>
      <c r="O121" s="76"/>
      <c r="Q121" s="13" t="s">
        <v>268</v>
      </c>
      <c r="R121" s="95">
        <f t="shared" si="29"/>
        <v>10110</v>
      </c>
      <c r="S121" s="96">
        <f t="shared" si="30"/>
        <v>1435</v>
      </c>
      <c r="T121" s="69">
        <f t="shared" ref="T121:T128" si="32">COUNTIF($X$3:$X$112,Q121)</f>
        <v>1</v>
      </c>
      <c r="V121" s="22" t="s">
        <v>2792</v>
      </c>
      <c r="W121" s="22">
        <v>300</v>
      </c>
      <c r="X121" s="22" t="s">
        <v>2998</v>
      </c>
      <c r="Y121" s="255">
        <f t="shared" si="26"/>
        <v>1</v>
      </c>
      <c r="Z121" s="22"/>
      <c r="AB121" s="7" t="str">
        <f t="shared" si="27"/>
        <v>[(105,20)]</v>
      </c>
      <c r="AC121" s="7" t="str">
        <f t="shared" si="28"/>
        <v>[(101,20)]</v>
      </c>
    </row>
    <row r="122" spans="1:29" ht="15.75" x14ac:dyDescent="0.3">
      <c r="A122" s="18">
        <v>20</v>
      </c>
      <c r="B122" s="18">
        <v>2</v>
      </c>
      <c r="C122" s="70" t="s">
        <v>2664</v>
      </c>
      <c r="D122" s="7" t="str">
        <f t="shared" si="16"/>
        <v>涂装</v>
      </c>
      <c r="E122" s="70">
        <v>1</v>
      </c>
      <c r="F122" s="71">
        <f t="shared" si="17"/>
        <v>200</v>
      </c>
      <c r="G122" s="70" t="s">
        <v>2784</v>
      </c>
      <c r="H122" s="7" t="str">
        <f t="shared" si="18"/>
        <v>头像</v>
      </c>
      <c r="I122" s="70">
        <v>1</v>
      </c>
      <c r="J122" s="68">
        <f t="shared" si="19"/>
        <v>200</v>
      </c>
      <c r="K122" s="70"/>
      <c r="L122" s="7" t="str">
        <f t="shared" si="20"/>
        <v/>
      </c>
      <c r="M122" s="70"/>
      <c r="N122" s="68">
        <f t="shared" si="21"/>
        <v>0</v>
      </c>
      <c r="O122" s="77">
        <f>SUM(N113:N122)+SUM(J113:J122)+SUM(F113:F122)</f>
        <v>1979.5666666666666</v>
      </c>
      <c r="Q122" s="13" t="s">
        <v>273</v>
      </c>
      <c r="R122" s="95">
        <f t="shared" si="29"/>
        <v>270</v>
      </c>
      <c r="S122" s="96">
        <f t="shared" si="30"/>
        <v>90</v>
      </c>
      <c r="T122" s="69">
        <f t="shared" si="32"/>
        <v>1</v>
      </c>
      <c r="V122" s="22" t="s">
        <v>2794</v>
      </c>
      <c r="W122" s="22">
        <v>300</v>
      </c>
      <c r="X122" s="22" t="s">
        <v>2998</v>
      </c>
      <c r="Y122" s="255">
        <f t="shared" si="26"/>
        <v>1</v>
      </c>
      <c r="Z122" s="22"/>
      <c r="AB122" s="7" t="str">
        <f t="shared" si="27"/>
        <v>[(180007,1)]</v>
      </c>
      <c r="AC122" s="7" t="str">
        <f t="shared" si="28"/>
        <v>[(140127,1)]</v>
      </c>
    </row>
    <row r="123" spans="1:29" ht="15.75" x14ac:dyDescent="0.3">
      <c r="A123" s="18">
        <v>21</v>
      </c>
      <c r="B123" s="18">
        <v>2</v>
      </c>
      <c r="C123" s="7" t="s">
        <v>268</v>
      </c>
      <c r="D123" s="7" t="str">
        <f t="shared" si="16"/>
        <v>军费</v>
      </c>
      <c r="E123" s="69">
        <v>125</v>
      </c>
      <c r="F123" s="68">
        <f t="shared" si="17"/>
        <v>2.5</v>
      </c>
      <c r="G123" s="7" t="s">
        <v>273</v>
      </c>
      <c r="H123" s="7" t="str">
        <f t="shared" si="18"/>
        <v>钥匙</v>
      </c>
      <c r="I123" s="7">
        <v>20</v>
      </c>
      <c r="J123" s="68">
        <f t="shared" si="19"/>
        <v>16.666666666666682</v>
      </c>
      <c r="K123" s="7"/>
      <c r="L123" s="7" t="str">
        <f t="shared" si="20"/>
        <v/>
      </c>
      <c r="M123" s="7"/>
      <c r="N123" s="68">
        <f t="shared" si="21"/>
        <v>0</v>
      </c>
      <c r="O123" s="76"/>
      <c r="Q123" s="13" t="s">
        <v>511</v>
      </c>
      <c r="R123" s="95">
        <f t="shared" si="29"/>
        <v>200</v>
      </c>
      <c r="S123" s="96">
        <f t="shared" si="30"/>
        <v>70</v>
      </c>
      <c r="T123" s="69">
        <f t="shared" si="32"/>
        <v>1</v>
      </c>
      <c r="V123" s="22" t="s">
        <v>2796</v>
      </c>
      <c r="W123" s="22">
        <v>300</v>
      </c>
      <c r="X123" s="22" t="s">
        <v>2998</v>
      </c>
      <c r="Y123" s="255">
        <f t="shared" si="26"/>
        <v>1</v>
      </c>
      <c r="Z123" s="22"/>
      <c r="AB123" s="7" t="str">
        <f t="shared" si="27"/>
        <v>[(102,125)]</v>
      </c>
      <c r="AC123" s="7" t="str">
        <f t="shared" si="28"/>
        <v>[(105,20)]</v>
      </c>
    </row>
    <row r="124" spans="1:29" ht="15.75" x14ac:dyDescent="0.3">
      <c r="A124" s="18">
        <v>22</v>
      </c>
      <c r="B124" s="18">
        <v>2</v>
      </c>
      <c r="C124" s="7" t="s">
        <v>268</v>
      </c>
      <c r="D124" s="7" t="str">
        <f t="shared" si="16"/>
        <v>军费</v>
      </c>
      <c r="E124" s="7">
        <v>125</v>
      </c>
      <c r="F124" s="68">
        <f t="shared" si="17"/>
        <v>2.5</v>
      </c>
      <c r="G124" s="7" t="s">
        <v>317</v>
      </c>
      <c r="H124" s="7" t="str">
        <f t="shared" si="18"/>
        <v>钻石</v>
      </c>
      <c r="I124" s="7">
        <v>20</v>
      </c>
      <c r="J124" s="68">
        <f t="shared" si="19"/>
        <v>20</v>
      </c>
      <c r="K124" s="7"/>
      <c r="L124" s="7" t="str">
        <f t="shared" si="20"/>
        <v/>
      </c>
      <c r="M124" s="7"/>
      <c r="N124" s="68">
        <f t="shared" si="21"/>
        <v>0</v>
      </c>
      <c r="O124" s="76"/>
      <c r="Q124" s="7" t="s">
        <v>3003</v>
      </c>
      <c r="R124" s="95">
        <f t="shared" si="29"/>
        <v>0</v>
      </c>
      <c r="S124" s="96">
        <f t="shared" si="30"/>
        <v>0</v>
      </c>
      <c r="T124" s="69">
        <f t="shared" si="32"/>
        <v>0</v>
      </c>
      <c r="V124" s="22" t="s">
        <v>2798</v>
      </c>
      <c r="W124" s="22">
        <v>300</v>
      </c>
      <c r="X124" s="22" t="s">
        <v>2998</v>
      </c>
      <c r="Y124" s="255">
        <f t="shared" si="26"/>
        <v>1</v>
      </c>
      <c r="Z124" s="22"/>
      <c r="AB124" s="7" t="str">
        <f t="shared" si="27"/>
        <v>[(102,125)]</v>
      </c>
      <c r="AC124" s="7" t="str">
        <f t="shared" si="28"/>
        <v>[(101,20)]</v>
      </c>
    </row>
    <row r="125" spans="1:29" ht="15.75" x14ac:dyDescent="0.3">
      <c r="A125" s="18">
        <v>23</v>
      </c>
      <c r="B125" s="18">
        <v>2</v>
      </c>
      <c r="C125" s="7" t="s">
        <v>268</v>
      </c>
      <c r="D125" s="7" t="str">
        <f t="shared" si="16"/>
        <v>军费</v>
      </c>
      <c r="E125" s="7">
        <v>200</v>
      </c>
      <c r="F125" s="68">
        <f t="shared" si="17"/>
        <v>4</v>
      </c>
      <c r="G125" s="7" t="s">
        <v>268</v>
      </c>
      <c r="H125" s="7" t="str">
        <f t="shared" si="18"/>
        <v>军费</v>
      </c>
      <c r="I125" s="7">
        <v>250</v>
      </c>
      <c r="J125" s="68">
        <f t="shared" si="19"/>
        <v>5</v>
      </c>
      <c r="K125" s="7"/>
      <c r="L125" s="7" t="str">
        <f t="shared" si="20"/>
        <v/>
      </c>
      <c r="M125" s="7"/>
      <c r="N125" s="68">
        <f t="shared" si="21"/>
        <v>0</v>
      </c>
      <c r="O125" s="76"/>
      <c r="Q125" s="13" t="s">
        <v>3004</v>
      </c>
      <c r="R125" s="95">
        <f t="shared" si="29"/>
        <v>17</v>
      </c>
      <c r="S125" s="96">
        <f t="shared" si="30"/>
        <v>4</v>
      </c>
      <c r="T125" s="69">
        <f t="shared" si="32"/>
        <v>41</v>
      </c>
      <c r="V125" s="22" t="s">
        <v>632</v>
      </c>
      <c r="W125" s="22">
        <v>2400</v>
      </c>
      <c r="X125" s="22" t="s">
        <v>320</v>
      </c>
      <c r="Y125" s="255">
        <f t="shared" si="26"/>
        <v>1</v>
      </c>
      <c r="Z125" s="22"/>
      <c r="AB125" s="7" t="str">
        <f t="shared" si="27"/>
        <v>[(102,200)]</v>
      </c>
      <c r="AC125" s="7" t="str">
        <f t="shared" si="28"/>
        <v>[(102,250)]</v>
      </c>
    </row>
    <row r="126" spans="1:29" ht="15.75" x14ac:dyDescent="0.3">
      <c r="A126" s="18">
        <v>24</v>
      </c>
      <c r="B126" s="18">
        <v>2</v>
      </c>
      <c r="C126" s="7" t="s">
        <v>317</v>
      </c>
      <c r="D126" s="7" t="str">
        <f t="shared" si="16"/>
        <v>钻石</v>
      </c>
      <c r="E126" s="7">
        <v>10</v>
      </c>
      <c r="F126" s="68">
        <f t="shared" si="17"/>
        <v>10</v>
      </c>
      <c r="G126" s="7" t="s">
        <v>273</v>
      </c>
      <c r="H126" s="7" t="str">
        <f t="shared" si="18"/>
        <v>钥匙</v>
      </c>
      <c r="I126" s="7">
        <v>30</v>
      </c>
      <c r="J126" s="68">
        <f t="shared" si="19"/>
        <v>25.000000000000021</v>
      </c>
      <c r="K126" s="7"/>
      <c r="L126" s="7" t="str">
        <f t="shared" si="20"/>
        <v/>
      </c>
      <c r="M126" s="7"/>
      <c r="N126" s="68">
        <f t="shared" si="21"/>
        <v>0</v>
      </c>
      <c r="O126" s="76"/>
      <c r="Q126" s="7" t="s">
        <v>2686</v>
      </c>
      <c r="R126" s="95">
        <f t="shared" si="29"/>
        <v>600</v>
      </c>
      <c r="S126" s="96">
        <f t="shared" si="30"/>
        <v>0</v>
      </c>
      <c r="T126" s="69">
        <f t="shared" si="32"/>
        <v>1</v>
      </c>
      <c r="V126" s="22" t="s">
        <v>1936</v>
      </c>
      <c r="W126" s="22">
        <v>100</v>
      </c>
      <c r="X126" s="22" t="s">
        <v>1726</v>
      </c>
      <c r="Y126" s="255">
        <f t="shared" si="26"/>
        <v>120</v>
      </c>
      <c r="Z126" s="22"/>
      <c r="AB126" s="7" t="str">
        <f t="shared" si="27"/>
        <v>[(101,10)]</v>
      </c>
      <c r="AC126" s="7" t="str">
        <f t="shared" si="28"/>
        <v>[(105,30)]</v>
      </c>
    </row>
    <row r="127" spans="1:29" ht="15.75" x14ac:dyDescent="0.3">
      <c r="A127" s="18">
        <v>25</v>
      </c>
      <c r="B127" s="18">
        <v>2</v>
      </c>
      <c r="C127" s="7" t="s">
        <v>4217</v>
      </c>
      <c r="D127" s="7" t="str">
        <f t="shared" si="16"/>
        <v>新加速道具</v>
      </c>
      <c r="E127" s="7">
        <v>1</v>
      </c>
      <c r="F127" s="68">
        <f t="shared" si="17"/>
        <v>4</v>
      </c>
      <c r="G127" s="7" t="s">
        <v>4217</v>
      </c>
      <c r="H127" s="7" t="str">
        <f t="shared" si="18"/>
        <v>新加速道具</v>
      </c>
      <c r="I127" s="7">
        <v>1</v>
      </c>
      <c r="J127" s="68">
        <f t="shared" si="19"/>
        <v>4</v>
      </c>
      <c r="K127" s="7"/>
      <c r="L127" s="7" t="str">
        <f t="shared" si="20"/>
        <v/>
      </c>
      <c r="M127" s="7"/>
      <c r="N127" s="68">
        <f t="shared" si="21"/>
        <v>0</v>
      </c>
      <c r="O127" s="76"/>
      <c r="Q127" s="7" t="s">
        <v>317</v>
      </c>
      <c r="R127" s="95">
        <f t="shared" si="29"/>
        <v>1030</v>
      </c>
      <c r="S127" s="96">
        <f t="shared" si="30"/>
        <v>90</v>
      </c>
      <c r="T127" s="69">
        <f t="shared" si="32"/>
        <v>1</v>
      </c>
      <c r="V127" s="22" t="s">
        <v>2800</v>
      </c>
      <c r="W127" s="22">
        <v>600</v>
      </c>
      <c r="X127" s="22" t="s">
        <v>3001</v>
      </c>
      <c r="Y127" s="255">
        <f t="shared" si="26"/>
        <v>1</v>
      </c>
      <c r="Z127" s="22"/>
      <c r="AB127" s="7" t="str">
        <f t="shared" si="27"/>
        <v>[(100202,1)]</v>
      </c>
      <c r="AC127" s="7" t="str">
        <f t="shared" si="28"/>
        <v>[(100202,1)]</v>
      </c>
    </row>
    <row r="128" spans="1:29" ht="15.75" x14ac:dyDescent="0.3">
      <c r="A128" s="18">
        <v>26</v>
      </c>
      <c r="B128" s="18">
        <v>2</v>
      </c>
      <c r="C128" s="7" t="s">
        <v>273</v>
      </c>
      <c r="D128" s="7" t="str">
        <f t="shared" si="16"/>
        <v>钥匙</v>
      </c>
      <c r="E128" s="7">
        <v>20</v>
      </c>
      <c r="F128" s="68">
        <f t="shared" si="17"/>
        <v>16.666666666666682</v>
      </c>
      <c r="G128" s="7" t="s">
        <v>268</v>
      </c>
      <c r="H128" s="7" t="str">
        <f t="shared" si="18"/>
        <v>军费</v>
      </c>
      <c r="I128" s="7">
        <v>250</v>
      </c>
      <c r="J128" s="68">
        <f t="shared" si="19"/>
        <v>5</v>
      </c>
      <c r="K128" s="7"/>
      <c r="L128" s="7" t="str">
        <f t="shared" si="20"/>
        <v/>
      </c>
      <c r="M128" s="7"/>
      <c r="N128" s="68">
        <f t="shared" si="21"/>
        <v>0</v>
      </c>
      <c r="O128" s="76"/>
      <c r="Q128" s="13" t="s">
        <v>1726</v>
      </c>
      <c r="R128" s="76">
        <f t="shared" si="29"/>
        <v>120</v>
      </c>
      <c r="S128" s="96">
        <f t="shared" si="30"/>
        <v>3</v>
      </c>
      <c r="T128" s="69">
        <f t="shared" si="32"/>
        <v>0</v>
      </c>
      <c r="V128" s="22" t="s">
        <v>2802</v>
      </c>
      <c r="W128" s="22">
        <v>300</v>
      </c>
      <c r="X128" s="22" t="s">
        <v>2993</v>
      </c>
      <c r="Y128" s="255">
        <f t="shared" si="26"/>
        <v>1</v>
      </c>
      <c r="Z128" s="22"/>
      <c r="AB128" s="7" t="str">
        <f t="shared" si="27"/>
        <v>[(105,20)]</v>
      </c>
      <c r="AC128" s="7" t="str">
        <f t="shared" si="28"/>
        <v>[(102,250)]</v>
      </c>
    </row>
    <row r="129" spans="1:29" ht="15.75" x14ac:dyDescent="0.3">
      <c r="A129" s="18">
        <v>27</v>
      </c>
      <c r="B129" s="18">
        <v>2</v>
      </c>
      <c r="C129" s="7" t="s">
        <v>268</v>
      </c>
      <c r="D129" s="7" t="str">
        <f t="shared" si="16"/>
        <v>军费</v>
      </c>
      <c r="E129" s="7">
        <v>200</v>
      </c>
      <c r="F129" s="68">
        <f t="shared" si="17"/>
        <v>4</v>
      </c>
      <c r="G129" s="7" t="s">
        <v>2686</v>
      </c>
      <c r="H129" s="7" t="str">
        <f t="shared" si="18"/>
        <v>BattlePass货币</v>
      </c>
      <c r="I129" s="7">
        <v>30</v>
      </c>
      <c r="J129" s="68">
        <f t="shared" si="19"/>
        <v>42</v>
      </c>
      <c r="K129" s="7"/>
      <c r="L129" s="7" t="str">
        <f t="shared" si="20"/>
        <v/>
      </c>
      <c r="M129" s="7"/>
      <c r="N129" s="68">
        <f t="shared" si="21"/>
        <v>0</v>
      </c>
      <c r="O129" s="76"/>
      <c r="V129" s="22" t="s">
        <v>2804</v>
      </c>
      <c r="W129" s="22">
        <v>300</v>
      </c>
      <c r="X129" s="22" t="s">
        <v>2993</v>
      </c>
      <c r="Y129" s="255">
        <f t="shared" si="26"/>
        <v>1</v>
      </c>
      <c r="Z129" s="22"/>
      <c r="AB129" s="7" t="str">
        <f t="shared" si="27"/>
        <v>[(102,200)]</v>
      </c>
      <c r="AC129" s="7" t="str">
        <f t="shared" si="28"/>
        <v>[(113,30)]</v>
      </c>
    </row>
    <row r="130" spans="1:29" ht="15.75" x14ac:dyDescent="0.3">
      <c r="A130" s="18">
        <v>28</v>
      </c>
      <c r="B130" s="18">
        <v>2</v>
      </c>
      <c r="C130" s="7" t="s">
        <v>317</v>
      </c>
      <c r="D130" s="7" t="str">
        <f t="shared" si="16"/>
        <v>钻石</v>
      </c>
      <c r="E130" s="7">
        <v>20</v>
      </c>
      <c r="F130" s="68">
        <f t="shared" si="17"/>
        <v>20</v>
      </c>
      <c r="G130" s="7" t="s">
        <v>2780</v>
      </c>
      <c r="H130" s="7" t="str">
        <f t="shared" si="18"/>
        <v>头像</v>
      </c>
      <c r="I130" s="7">
        <v>1</v>
      </c>
      <c r="J130" s="68">
        <f t="shared" si="19"/>
        <v>200</v>
      </c>
      <c r="K130" s="7"/>
      <c r="L130" s="7" t="str">
        <f t="shared" si="20"/>
        <v/>
      </c>
      <c r="M130" s="7"/>
      <c r="N130" s="68">
        <f t="shared" si="21"/>
        <v>0</v>
      </c>
      <c r="O130" s="76"/>
      <c r="Q130" s="48" t="s">
        <v>3005</v>
      </c>
      <c r="V130" s="22" t="s">
        <v>2806</v>
      </c>
      <c r="W130" s="22">
        <v>300</v>
      </c>
      <c r="X130" s="22" t="s">
        <v>2993</v>
      </c>
      <c r="Y130" s="255">
        <f t="shared" si="26"/>
        <v>1</v>
      </c>
      <c r="Z130" s="22"/>
      <c r="AB130" s="7" t="str">
        <f t="shared" si="27"/>
        <v>[(101,20)]</v>
      </c>
      <c r="AC130" s="7" t="str">
        <f t="shared" si="28"/>
        <v>[(140125,1)]</v>
      </c>
    </row>
    <row r="131" spans="1:29" ht="15.75" x14ac:dyDescent="0.3">
      <c r="A131" s="18">
        <v>29</v>
      </c>
      <c r="B131" s="18">
        <v>2</v>
      </c>
      <c r="C131" s="7" t="s">
        <v>268</v>
      </c>
      <c r="D131" s="7" t="str">
        <f t="shared" ref="D131:D194" si="33">IF(C131="","",VLOOKUP(C131,$V:$X,3,FALSE))</f>
        <v>军费</v>
      </c>
      <c r="E131" s="7">
        <v>250</v>
      </c>
      <c r="F131" s="68">
        <f t="shared" ref="F131:F194" si="34">IF(C131="",0,VLOOKUP(C131,$V:$W,2,FALSE)*E131)</f>
        <v>5</v>
      </c>
      <c r="G131" s="7" t="s">
        <v>2437</v>
      </c>
      <c r="H131" s="7" t="str">
        <f t="shared" ref="H131:H194" si="35">IF(G131="","",VLOOKUP(G131,$V:$X,3,FALSE))</f>
        <v>宝箱</v>
      </c>
      <c r="I131" s="7">
        <v>1</v>
      </c>
      <c r="J131" s="68">
        <f t="shared" ref="J131:J194" si="36">IF(G131="",0,VLOOKUP(G131,$V:$W,2,FALSE)*I131)</f>
        <v>200</v>
      </c>
      <c r="K131" s="7"/>
      <c r="L131" s="7" t="str">
        <f t="shared" ref="L131:L194" si="37">IF(K131="","",VLOOKUP(K131,$V:$X,3,FALSE))</f>
        <v/>
      </c>
      <c r="M131" s="7"/>
      <c r="N131" s="68">
        <f t="shared" ref="N131:N194" si="38">IF(K131="",0,VLOOKUP(K131,$V:$W,2,FALSE)*M131)</f>
        <v>0</v>
      </c>
      <c r="O131" s="76"/>
      <c r="Q131" s="7" t="s">
        <v>2686</v>
      </c>
      <c r="R131" s="76">
        <f t="shared" ref="R131:R146" si="39">SUMIFS(F:F,D:D,Q131,B:B,2)+SUMIFS(J:J,H:H,Q131,B:B,2)+SUMIFS(N:N,L:L,Q131,B:B,2)</f>
        <v>840</v>
      </c>
      <c r="S131" s="85">
        <f>R131/VLOOKUP(1,道具价值!$B$74:$E$80,4,FALSE)</f>
        <v>11.162666666666668</v>
      </c>
      <c r="T131" s="85">
        <f>R131/VLOOKUP(6,道具价值!$B$74:$E$80,4,FALSE)</f>
        <v>8.3991599999999984</v>
      </c>
      <c r="V131" s="22" t="s">
        <v>2808</v>
      </c>
      <c r="W131" s="22">
        <v>300</v>
      </c>
      <c r="X131" s="22" t="s">
        <v>2999</v>
      </c>
      <c r="Y131" s="255">
        <f t="shared" si="26"/>
        <v>1</v>
      </c>
      <c r="Z131" s="22"/>
      <c r="AB131" s="7" t="str">
        <f t="shared" si="27"/>
        <v>[(102,250)]</v>
      </c>
      <c r="AC131" s="7" t="str">
        <f t="shared" si="28"/>
        <v>[(25054,1)]</v>
      </c>
    </row>
    <row r="132" spans="1:29" ht="15.75" x14ac:dyDescent="0.3">
      <c r="A132" s="18">
        <v>30</v>
      </c>
      <c r="B132" s="18">
        <v>2</v>
      </c>
      <c r="C132" s="70" t="s">
        <v>2790</v>
      </c>
      <c r="D132" s="7" t="str">
        <f t="shared" si="33"/>
        <v>头像框</v>
      </c>
      <c r="E132" s="70">
        <v>1</v>
      </c>
      <c r="F132" s="71">
        <f t="shared" si="34"/>
        <v>300</v>
      </c>
      <c r="G132" s="258" t="s">
        <v>3719</v>
      </c>
      <c r="H132" s="7" t="str">
        <f t="shared" si="35"/>
        <v>涂装</v>
      </c>
      <c r="I132" s="70">
        <v>1</v>
      </c>
      <c r="J132" s="68">
        <f t="shared" si="36"/>
        <v>200</v>
      </c>
      <c r="K132" s="70" t="s">
        <v>1936</v>
      </c>
      <c r="L132" s="7" t="str">
        <f t="shared" si="37"/>
        <v>坦克碎片</v>
      </c>
      <c r="M132" s="70">
        <v>10</v>
      </c>
      <c r="N132" s="68">
        <f t="shared" si="38"/>
        <v>1000</v>
      </c>
      <c r="O132" s="77">
        <f>SUM(N123:N132)+SUM(J123:J132)+SUM(F123:F132)</f>
        <v>2086.3333333333335</v>
      </c>
      <c r="Q132" s="7" t="s">
        <v>317</v>
      </c>
      <c r="R132" s="76">
        <f t="shared" si="39"/>
        <v>1030</v>
      </c>
      <c r="S132" s="85">
        <f>R132/VLOOKUP(1,道具价值!$B$74:$E$80,4,FALSE)</f>
        <v>13.687555555555557</v>
      </c>
      <c r="T132" s="85">
        <f>R132/VLOOKUP(6,道具价值!$B$74:$E$80,4,FALSE)</f>
        <v>10.298969999999999</v>
      </c>
      <c r="V132" s="22" t="s">
        <v>2810</v>
      </c>
      <c r="W132" s="22">
        <v>300</v>
      </c>
      <c r="X132" s="22" t="s">
        <v>2999</v>
      </c>
      <c r="Y132" s="255">
        <f t="shared" si="26"/>
        <v>1</v>
      </c>
      <c r="Z132" s="22"/>
      <c r="AB132" s="7" t="str">
        <f t="shared" ref="AB132:AB174" si="40">IF(C132="","[]","["&amp;"("&amp;VLOOKUP(C132,道具ID,2,FALSE)&amp;","&amp;E132&amp;")"&amp;"]")</f>
        <v>[(130116,1)]</v>
      </c>
      <c r="AC132" s="7" t="str">
        <f t="shared" ref="AC132:AC174" si="41">IF(G132="","[]",IF(K132="","["&amp;"("&amp;VLOOKUP(G132,道具ID,2,FALSE)&amp;","&amp;I132&amp;")"&amp;"]","["&amp;"("&amp;VLOOKUP(G132,道具ID,2,FALSE)&amp;","&amp;I132&amp;")"&amp;","&amp;"("&amp;VLOOKUP(K132,道具ID,2,FALSE)&amp;","&amp;M132&amp;")"&amp;"]"))</f>
        <v>[(180013,1),(52331,10)]</v>
      </c>
    </row>
    <row r="133" spans="1:29" ht="15.75" x14ac:dyDescent="0.3">
      <c r="A133" s="18">
        <v>31</v>
      </c>
      <c r="B133" s="18">
        <v>2</v>
      </c>
      <c r="C133" s="7" t="s">
        <v>533</v>
      </c>
      <c r="D133" s="7" t="str">
        <f t="shared" si="33"/>
        <v>宝箱</v>
      </c>
      <c r="E133" s="7">
        <v>1</v>
      </c>
      <c r="F133" s="68">
        <f t="shared" si="34"/>
        <v>100</v>
      </c>
      <c r="G133" s="7" t="s">
        <v>268</v>
      </c>
      <c r="H133" s="7" t="str">
        <f t="shared" si="35"/>
        <v>军费</v>
      </c>
      <c r="I133" s="7">
        <v>250</v>
      </c>
      <c r="J133" s="68">
        <f t="shared" si="36"/>
        <v>5</v>
      </c>
      <c r="K133" s="7"/>
      <c r="L133" s="7" t="str">
        <f t="shared" si="37"/>
        <v/>
      </c>
      <c r="M133" s="7"/>
      <c r="N133" s="68">
        <f t="shared" si="38"/>
        <v>0</v>
      </c>
      <c r="O133" s="76"/>
      <c r="Q133" s="7" t="s">
        <v>3004</v>
      </c>
      <c r="R133" s="76">
        <f t="shared" si="39"/>
        <v>5500</v>
      </c>
      <c r="S133" s="85">
        <f>R133/VLOOKUP(1,道具价值!$B$74:$E$80,4,FALSE)</f>
        <v>73.088888888888889</v>
      </c>
      <c r="T133" s="85">
        <f>R133/VLOOKUP(6,道具价值!$B$74:$E$80,4,FALSE)</f>
        <v>54.994499999999995</v>
      </c>
      <c r="V133" s="22" t="s">
        <v>2812</v>
      </c>
      <c r="W133" s="22">
        <v>300</v>
      </c>
      <c r="X133" s="22" t="s">
        <v>2999</v>
      </c>
      <c r="Y133" s="255">
        <f t="shared" si="26"/>
        <v>1</v>
      </c>
      <c r="Z133" s="22"/>
      <c r="AB133" s="7" t="str">
        <f t="shared" si="40"/>
        <v>[(24007,1)]</v>
      </c>
      <c r="AC133" s="7" t="str">
        <f t="shared" si="41"/>
        <v>[(102,250)]</v>
      </c>
    </row>
    <row r="134" spans="1:29" ht="15.75" x14ac:dyDescent="0.3">
      <c r="A134" s="18">
        <v>32</v>
      </c>
      <c r="B134" s="18">
        <v>2</v>
      </c>
      <c r="C134" s="7" t="s">
        <v>3006</v>
      </c>
      <c r="D134" s="7" t="str">
        <f t="shared" si="33"/>
        <v/>
      </c>
      <c r="E134" s="7" t="s">
        <v>3006</v>
      </c>
      <c r="F134" s="68">
        <f t="shared" si="34"/>
        <v>0</v>
      </c>
      <c r="G134" s="7" t="s">
        <v>273</v>
      </c>
      <c r="H134" s="7" t="str">
        <f t="shared" si="35"/>
        <v>钥匙</v>
      </c>
      <c r="I134" s="7">
        <v>40</v>
      </c>
      <c r="J134" s="68">
        <f t="shared" si="36"/>
        <v>33.333333333333364</v>
      </c>
      <c r="K134" s="7"/>
      <c r="L134" s="7" t="str">
        <f t="shared" si="37"/>
        <v/>
      </c>
      <c r="M134" s="7"/>
      <c r="N134" s="68">
        <f t="shared" si="38"/>
        <v>0</v>
      </c>
      <c r="O134" s="76"/>
      <c r="Q134" s="13" t="s">
        <v>268</v>
      </c>
      <c r="R134" s="76">
        <f t="shared" si="39"/>
        <v>202.2</v>
      </c>
      <c r="S134" s="85">
        <f>R134/VLOOKUP(1,道具价值!$B$74:$E$80,4,FALSE)</f>
        <v>2.6870133333333333</v>
      </c>
      <c r="T134" s="85">
        <f>R134/VLOOKUP(6,道具价值!$B$74:$E$80,4,FALSE)</f>
        <v>2.0217977999999999</v>
      </c>
      <c r="V134" s="22" t="s">
        <v>2814</v>
      </c>
      <c r="W134" s="22">
        <v>300</v>
      </c>
      <c r="X134" s="22" t="s">
        <v>3002</v>
      </c>
      <c r="Y134" s="255">
        <f t="shared" ref="Y134:Y160" si="42">IF(Z134="",SUMIFS(E:E,C:C,V134)+SUMIFS(I:I,G:G,V134)+SUMIFS(M:M,K:K,V134),1)</f>
        <v>1</v>
      </c>
      <c r="Z134" s="22"/>
      <c r="AB134" s="7" t="str">
        <f t="shared" si="40"/>
        <v>[]</v>
      </c>
      <c r="AC134" s="7" t="str">
        <f t="shared" si="41"/>
        <v>[(105,40)]</v>
      </c>
    </row>
    <row r="135" spans="1:29" ht="15.75" x14ac:dyDescent="0.3">
      <c r="A135" s="18">
        <v>33</v>
      </c>
      <c r="B135" s="18">
        <v>2</v>
      </c>
      <c r="C135" s="7"/>
      <c r="D135" s="7" t="str">
        <f t="shared" si="33"/>
        <v/>
      </c>
      <c r="E135" s="7" t="s">
        <v>3006</v>
      </c>
      <c r="F135" s="68">
        <f t="shared" si="34"/>
        <v>0</v>
      </c>
      <c r="G135" s="7" t="s">
        <v>268</v>
      </c>
      <c r="H135" s="7" t="str">
        <f t="shared" si="35"/>
        <v>军费</v>
      </c>
      <c r="I135" s="7">
        <v>250</v>
      </c>
      <c r="J135" s="68">
        <f t="shared" si="36"/>
        <v>5</v>
      </c>
      <c r="K135" s="7"/>
      <c r="L135" s="7" t="str">
        <f t="shared" si="37"/>
        <v/>
      </c>
      <c r="M135" s="7"/>
      <c r="N135" s="68">
        <f t="shared" si="38"/>
        <v>0</v>
      </c>
      <c r="O135" s="76"/>
      <c r="Q135" s="13" t="s">
        <v>273</v>
      </c>
      <c r="R135" s="76">
        <f t="shared" si="39"/>
        <v>225.0000000000002</v>
      </c>
      <c r="S135" s="85">
        <f>R135/VLOOKUP(1,道具价值!$B$74:$E$80,4,FALSE)</f>
        <v>2.9900000000000029</v>
      </c>
      <c r="T135" s="85">
        <f>R135/VLOOKUP(6,道具价值!$B$74:$E$80,4,FALSE)</f>
        <v>2.2497750000000019</v>
      </c>
      <c r="V135" s="22" t="s">
        <v>2816</v>
      </c>
      <c r="W135" s="22">
        <v>300</v>
      </c>
      <c r="X135" s="22" t="s">
        <v>3002</v>
      </c>
      <c r="Y135" s="255">
        <f t="shared" si="42"/>
        <v>1</v>
      </c>
      <c r="Z135" s="22"/>
      <c r="AB135" s="7" t="str">
        <f t="shared" si="40"/>
        <v>[]</v>
      </c>
      <c r="AC135" s="7" t="str">
        <f t="shared" si="41"/>
        <v>[(102,250)]</v>
      </c>
    </row>
    <row r="136" spans="1:29" ht="15.75" x14ac:dyDescent="0.3">
      <c r="A136" s="18">
        <v>34</v>
      </c>
      <c r="B136" s="18">
        <v>2</v>
      </c>
      <c r="C136" s="7" t="s">
        <v>317</v>
      </c>
      <c r="D136" s="7" t="str">
        <f t="shared" si="33"/>
        <v>钻石</v>
      </c>
      <c r="E136" s="7">
        <v>30</v>
      </c>
      <c r="F136" s="68">
        <f t="shared" si="34"/>
        <v>30</v>
      </c>
      <c r="G136" s="7" t="s">
        <v>2686</v>
      </c>
      <c r="H136" s="7" t="str">
        <f t="shared" si="35"/>
        <v>BattlePass货币</v>
      </c>
      <c r="I136" s="7">
        <v>30</v>
      </c>
      <c r="J136" s="68">
        <f t="shared" si="36"/>
        <v>42</v>
      </c>
      <c r="K136" s="7"/>
      <c r="L136" s="7" t="str">
        <f t="shared" si="37"/>
        <v/>
      </c>
      <c r="M136" s="7"/>
      <c r="N136" s="68">
        <f t="shared" si="38"/>
        <v>0</v>
      </c>
      <c r="O136" s="76"/>
      <c r="Q136" s="13" t="s">
        <v>511</v>
      </c>
      <c r="R136" s="76">
        <f t="shared" si="39"/>
        <v>100.00000000000009</v>
      </c>
      <c r="S136" s="85">
        <f>R136/VLOOKUP(1,道具价值!$B$74:$E$80,4,FALSE)</f>
        <v>1.3288888888888901</v>
      </c>
      <c r="T136" s="85">
        <f>R136/VLOOKUP(6,道具价值!$B$74:$E$80,4,FALSE)</f>
        <v>0.99990000000000079</v>
      </c>
      <c r="V136" s="292" t="s">
        <v>3870</v>
      </c>
      <c r="W136" s="292">
        <v>200</v>
      </c>
      <c r="X136" s="292" t="s">
        <v>3000</v>
      </c>
      <c r="Y136" s="291">
        <f t="shared" si="42"/>
        <v>1</v>
      </c>
      <c r="Z136" s="292"/>
      <c r="AB136" s="7" t="str">
        <f t="shared" si="40"/>
        <v>[(101,30)]</v>
      </c>
      <c r="AC136" s="7" t="str">
        <f t="shared" si="41"/>
        <v>[(113,30)]</v>
      </c>
    </row>
    <row r="137" spans="1:29" ht="15.75" x14ac:dyDescent="0.3">
      <c r="A137" s="18">
        <v>35</v>
      </c>
      <c r="B137" s="18">
        <v>2</v>
      </c>
      <c r="C137" s="7" t="s">
        <v>3006</v>
      </c>
      <c r="D137" s="7" t="str">
        <f t="shared" si="33"/>
        <v/>
      </c>
      <c r="E137" s="7" t="s">
        <v>3006</v>
      </c>
      <c r="F137" s="68">
        <f t="shared" si="34"/>
        <v>0</v>
      </c>
      <c r="G137" s="7" t="s">
        <v>317</v>
      </c>
      <c r="H137" s="7" t="str">
        <f t="shared" si="35"/>
        <v>钻石</v>
      </c>
      <c r="I137" s="7">
        <v>30</v>
      </c>
      <c r="J137" s="68">
        <f t="shared" si="36"/>
        <v>30</v>
      </c>
      <c r="K137" s="7"/>
      <c r="L137" s="7" t="str">
        <f t="shared" si="37"/>
        <v/>
      </c>
      <c r="M137" s="7"/>
      <c r="N137" s="68">
        <f t="shared" si="38"/>
        <v>0</v>
      </c>
      <c r="O137" s="76"/>
      <c r="Q137" s="7" t="s">
        <v>3003</v>
      </c>
      <c r="R137" s="76">
        <f t="shared" si="39"/>
        <v>0</v>
      </c>
      <c r="S137" s="85">
        <f>R137/VLOOKUP(1,道具价值!$B$74:$E$80,4,FALSE)</f>
        <v>0</v>
      </c>
      <c r="T137" s="85">
        <f>R137/VLOOKUP(6,道具价值!$B$74:$E$80,4,FALSE)</f>
        <v>0</v>
      </c>
      <c r="V137" s="22" t="s">
        <v>3871</v>
      </c>
      <c r="W137" s="22">
        <v>200</v>
      </c>
      <c r="X137" s="22" t="s">
        <v>3000</v>
      </c>
      <c r="Y137" s="291">
        <f t="shared" si="42"/>
        <v>1</v>
      </c>
      <c r="Z137" s="22"/>
      <c r="AB137" s="7" t="str">
        <f t="shared" si="40"/>
        <v>[]</v>
      </c>
      <c r="AC137" s="7" t="str">
        <f t="shared" si="41"/>
        <v>[(101,30)]</v>
      </c>
    </row>
    <row r="138" spans="1:29" ht="15.75" x14ac:dyDescent="0.3">
      <c r="A138" s="18">
        <v>36</v>
      </c>
      <c r="B138" s="18">
        <v>2</v>
      </c>
      <c r="C138" s="7" t="s">
        <v>3006</v>
      </c>
      <c r="D138" s="7" t="str">
        <f t="shared" si="33"/>
        <v/>
      </c>
      <c r="E138" s="7" t="s">
        <v>3006</v>
      </c>
      <c r="F138" s="68">
        <f t="shared" si="34"/>
        <v>0</v>
      </c>
      <c r="G138" s="7" t="s">
        <v>2382</v>
      </c>
      <c r="H138" s="7" t="str">
        <f t="shared" si="35"/>
        <v>宝箱</v>
      </c>
      <c r="I138" s="7">
        <v>1</v>
      </c>
      <c r="J138" s="68">
        <f t="shared" si="36"/>
        <v>100</v>
      </c>
      <c r="K138" s="7"/>
      <c r="L138" s="7" t="str">
        <f t="shared" si="37"/>
        <v/>
      </c>
      <c r="M138" s="7"/>
      <c r="N138" s="68">
        <f t="shared" si="38"/>
        <v>0</v>
      </c>
      <c r="O138" s="76"/>
      <c r="Q138" s="13" t="s">
        <v>320</v>
      </c>
      <c r="R138" s="76">
        <f t="shared" si="39"/>
        <v>2400</v>
      </c>
      <c r="S138" s="85">
        <f>R138/VLOOKUP(1,道具价值!$B$74:$E$80,4,FALSE)</f>
        <v>31.893333333333334</v>
      </c>
      <c r="T138" s="85">
        <f>R138/VLOOKUP(6,道具价值!$B$74:$E$80,4,FALSE)</f>
        <v>23.997599999999998</v>
      </c>
      <c r="V138" s="22" t="s">
        <v>3866</v>
      </c>
      <c r="W138" s="22">
        <v>200</v>
      </c>
      <c r="X138" s="22" t="s">
        <v>3000</v>
      </c>
      <c r="Y138" s="291">
        <f t="shared" si="42"/>
        <v>1</v>
      </c>
      <c r="Z138" s="22"/>
      <c r="AB138" s="7" t="str">
        <f t="shared" si="40"/>
        <v>[]</v>
      </c>
      <c r="AC138" s="7" t="str">
        <f t="shared" si="41"/>
        <v>[(23004,1)]</v>
      </c>
    </row>
    <row r="139" spans="1:29" ht="15.75" x14ac:dyDescent="0.3">
      <c r="A139" s="18">
        <v>37</v>
      </c>
      <c r="B139" s="18">
        <v>2</v>
      </c>
      <c r="C139" s="7" t="s">
        <v>268</v>
      </c>
      <c r="D139" s="7" t="str">
        <f t="shared" si="33"/>
        <v>军费</v>
      </c>
      <c r="E139" s="7">
        <v>200</v>
      </c>
      <c r="F139" s="68">
        <f t="shared" si="34"/>
        <v>4</v>
      </c>
      <c r="G139" s="7" t="s">
        <v>511</v>
      </c>
      <c r="H139" s="7" t="str">
        <f t="shared" si="35"/>
        <v>双倍钥匙</v>
      </c>
      <c r="I139" s="7">
        <v>20</v>
      </c>
      <c r="J139" s="68">
        <f t="shared" si="36"/>
        <v>10.000000000000009</v>
      </c>
      <c r="K139" s="7"/>
      <c r="L139" s="7" t="str">
        <f t="shared" si="37"/>
        <v/>
      </c>
      <c r="M139" s="7"/>
      <c r="N139" s="68">
        <f t="shared" si="38"/>
        <v>0</v>
      </c>
      <c r="O139" s="76"/>
      <c r="Q139" s="13" t="s">
        <v>1726</v>
      </c>
      <c r="R139" s="76">
        <f t="shared" si="39"/>
        <v>12000</v>
      </c>
      <c r="S139" s="85">
        <f>R139/VLOOKUP(1,道具价值!$B$74:$E$80,4,FALSE)</f>
        <v>159.46666666666667</v>
      </c>
      <c r="T139" s="85">
        <f>R139/VLOOKUP(6,道具价值!$B$74:$E$80,4,FALSE)</f>
        <v>119.98799999999999</v>
      </c>
      <c r="V139" s="22" t="s">
        <v>3875</v>
      </c>
      <c r="W139" s="22">
        <v>200</v>
      </c>
      <c r="X139" s="22" t="s">
        <v>3912</v>
      </c>
      <c r="Y139" s="291">
        <f t="shared" si="42"/>
        <v>1</v>
      </c>
      <c r="Z139" s="22"/>
      <c r="AB139" s="7" t="str">
        <f t="shared" si="40"/>
        <v>[(102,200)]</v>
      </c>
      <c r="AC139" s="7" t="str">
        <f t="shared" si="41"/>
        <v>[(111,20)]</v>
      </c>
    </row>
    <row r="140" spans="1:29" ht="15.75" x14ac:dyDescent="0.3">
      <c r="A140" s="18">
        <v>38</v>
      </c>
      <c r="B140" s="18">
        <v>2</v>
      </c>
      <c r="C140" s="7"/>
      <c r="D140" s="7" t="str">
        <f t="shared" si="33"/>
        <v/>
      </c>
      <c r="E140" s="7"/>
      <c r="F140" s="68">
        <f t="shared" si="34"/>
        <v>0</v>
      </c>
      <c r="G140" s="7" t="s">
        <v>2686</v>
      </c>
      <c r="H140" s="7" t="str">
        <f t="shared" si="35"/>
        <v>BattlePass货币</v>
      </c>
      <c r="I140" s="7">
        <v>30</v>
      </c>
      <c r="J140" s="68">
        <f t="shared" si="36"/>
        <v>42</v>
      </c>
      <c r="K140" s="7"/>
      <c r="L140" s="7" t="str">
        <f t="shared" si="37"/>
        <v/>
      </c>
      <c r="M140" s="7"/>
      <c r="N140" s="68">
        <f t="shared" si="38"/>
        <v>0</v>
      </c>
      <c r="O140" s="76"/>
      <c r="Q140" s="13" t="s">
        <v>3002</v>
      </c>
      <c r="R140" s="76">
        <f t="shared" si="39"/>
        <v>600</v>
      </c>
      <c r="S140" s="85">
        <f>R140/VLOOKUP(1,道具价值!$B$74:$E$80,4,FALSE)</f>
        <v>7.9733333333333336</v>
      </c>
      <c r="T140" s="85">
        <f>R140/VLOOKUP(6,道具价值!$B$74:$E$80,4,FALSE)</f>
        <v>5.9993999999999996</v>
      </c>
      <c r="V140" s="22" t="s">
        <v>3876</v>
      </c>
      <c r="W140" s="22">
        <v>200</v>
      </c>
      <c r="X140" s="22" t="s">
        <v>3912</v>
      </c>
      <c r="Y140" s="291">
        <f t="shared" si="42"/>
        <v>1</v>
      </c>
      <c r="Z140" s="22"/>
      <c r="AB140" s="7" t="str">
        <f t="shared" si="40"/>
        <v>[]</v>
      </c>
      <c r="AC140" s="7" t="str">
        <f t="shared" si="41"/>
        <v>[(113,30)]</v>
      </c>
    </row>
    <row r="141" spans="1:29" ht="15.75" x14ac:dyDescent="0.3">
      <c r="A141" s="18">
        <v>39</v>
      </c>
      <c r="B141" s="18">
        <v>2</v>
      </c>
      <c r="C141" s="7" t="s">
        <v>3006</v>
      </c>
      <c r="D141" s="7" t="str">
        <f t="shared" si="33"/>
        <v/>
      </c>
      <c r="E141" s="7" t="s">
        <v>3006</v>
      </c>
      <c r="F141" s="68">
        <f t="shared" si="34"/>
        <v>0</v>
      </c>
      <c r="G141" s="7" t="s">
        <v>317</v>
      </c>
      <c r="H141" s="7" t="str">
        <f t="shared" si="35"/>
        <v>钻石</v>
      </c>
      <c r="I141" s="7">
        <v>30</v>
      </c>
      <c r="J141" s="68">
        <f t="shared" si="36"/>
        <v>30</v>
      </c>
      <c r="K141" s="7"/>
      <c r="L141" s="7" t="str">
        <f t="shared" si="37"/>
        <v/>
      </c>
      <c r="M141" s="7"/>
      <c r="N141" s="68">
        <f t="shared" si="38"/>
        <v>0</v>
      </c>
      <c r="O141" s="76"/>
      <c r="Q141" s="7" t="s">
        <v>2993</v>
      </c>
      <c r="R141" s="76">
        <f t="shared" si="39"/>
        <v>900</v>
      </c>
      <c r="S141" s="85">
        <f>R141/VLOOKUP(1,道具价值!$B$74:$E$80,4,FALSE)</f>
        <v>11.96</v>
      </c>
      <c r="T141" s="85">
        <f>R141/VLOOKUP(6,道具价值!$B$74:$E$80,4,FALSE)</f>
        <v>8.9990999999999985</v>
      </c>
      <c r="V141" s="22" t="s">
        <v>3877</v>
      </c>
      <c r="W141" s="292">
        <v>200</v>
      </c>
      <c r="X141" s="22" t="s">
        <v>3912</v>
      </c>
      <c r="Y141" s="291">
        <f t="shared" si="42"/>
        <v>1</v>
      </c>
      <c r="Z141" s="22"/>
      <c r="AB141" s="7" t="str">
        <f t="shared" si="40"/>
        <v>[]</v>
      </c>
      <c r="AC141" s="7" t="str">
        <f t="shared" si="41"/>
        <v>[(101,30)]</v>
      </c>
    </row>
    <row r="142" spans="1:29" ht="15.75" x14ac:dyDescent="0.3">
      <c r="A142" s="18">
        <v>40</v>
      </c>
      <c r="B142" s="18">
        <v>2</v>
      </c>
      <c r="C142" s="70" t="s">
        <v>2806</v>
      </c>
      <c r="D142" s="7" t="str">
        <f t="shared" si="33"/>
        <v>涂鸦</v>
      </c>
      <c r="E142" s="70">
        <v>1</v>
      </c>
      <c r="F142" s="71">
        <f t="shared" si="34"/>
        <v>300</v>
      </c>
      <c r="G142" s="70" t="s">
        <v>2794</v>
      </c>
      <c r="H142" s="7" t="str">
        <f t="shared" si="35"/>
        <v>头像框</v>
      </c>
      <c r="I142" s="70">
        <v>1</v>
      </c>
      <c r="J142" s="68">
        <f t="shared" si="36"/>
        <v>300</v>
      </c>
      <c r="K142" s="70" t="s">
        <v>1936</v>
      </c>
      <c r="L142" s="7" t="str">
        <f t="shared" si="37"/>
        <v>坦克碎片</v>
      </c>
      <c r="M142" s="70">
        <v>12</v>
      </c>
      <c r="N142" s="68">
        <f t="shared" si="38"/>
        <v>1200</v>
      </c>
      <c r="O142" s="77">
        <f>SUM(N133:N142)+SUM(J133:J142)+SUM(F133:F142)</f>
        <v>2231.3333333333335</v>
      </c>
      <c r="Q142" s="7" t="s">
        <v>2986</v>
      </c>
      <c r="R142" s="76">
        <f t="shared" si="39"/>
        <v>1000</v>
      </c>
      <c r="S142" s="85">
        <f>R142/VLOOKUP(1,道具价值!$B$74:$E$80,4,FALSE)</f>
        <v>13.28888888888889</v>
      </c>
      <c r="T142" s="85">
        <f>R142/VLOOKUP(6,道具价值!$B$74:$E$80,4,FALSE)</f>
        <v>9.9989999999999988</v>
      </c>
      <c r="V142" s="22" t="s">
        <v>3881</v>
      </c>
      <c r="W142" s="292">
        <v>200</v>
      </c>
      <c r="X142" s="22" t="s">
        <v>3913</v>
      </c>
      <c r="Y142" s="291">
        <f t="shared" si="42"/>
        <v>1</v>
      </c>
      <c r="Z142" s="22"/>
      <c r="AB142" s="7" t="str">
        <f t="shared" si="40"/>
        <v>[(150112,1)]</v>
      </c>
      <c r="AC142" s="7" t="str">
        <f t="shared" si="41"/>
        <v>[(130118,1),(52331,12)]</v>
      </c>
    </row>
    <row r="143" spans="1:29" ht="15.75" x14ac:dyDescent="0.3">
      <c r="A143" s="18">
        <v>41</v>
      </c>
      <c r="B143" s="18">
        <v>2</v>
      </c>
      <c r="C143" s="7" t="s">
        <v>3006</v>
      </c>
      <c r="D143" s="7" t="str">
        <f t="shared" si="33"/>
        <v/>
      </c>
      <c r="E143" s="7" t="s">
        <v>3006</v>
      </c>
      <c r="F143" s="68">
        <f t="shared" si="34"/>
        <v>0</v>
      </c>
      <c r="G143" s="7" t="s">
        <v>511</v>
      </c>
      <c r="H143" s="7" t="str">
        <f t="shared" si="35"/>
        <v>双倍钥匙</v>
      </c>
      <c r="I143" s="7">
        <v>30</v>
      </c>
      <c r="J143" s="68">
        <f t="shared" si="36"/>
        <v>15.000000000000014</v>
      </c>
      <c r="K143" s="7"/>
      <c r="L143" s="7" t="str">
        <f t="shared" si="37"/>
        <v/>
      </c>
      <c r="M143" s="7"/>
      <c r="N143" s="68">
        <f t="shared" si="38"/>
        <v>0</v>
      </c>
      <c r="O143" s="76"/>
      <c r="Q143" s="7" t="s">
        <v>2998</v>
      </c>
      <c r="R143" s="76">
        <f t="shared" si="39"/>
        <v>2100</v>
      </c>
      <c r="S143" s="85">
        <f>R143/VLOOKUP(1,道具价值!$B$74:$E$80,4,FALSE)</f>
        <v>27.90666666666667</v>
      </c>
      <c r="T143" s="85">
        <f>R143/VLOOKUP(6,道具价值!$B$74:$E$80,4,FALSE)</f>
        <v>20.997899999999998</v>
      </c>
      <c r="V143" s="22" t="s">
        <v>3882</v>
      </c>
      <c r="W143" s="292">
        <v>200</v>
      </c>
      <c r="X143" s="22" t="s">
        <v>3913</v>
      </c>
      <c r="Y143" s="291">
        <f t="shared" si="42"/>
        <v>1</v>
      </c>
      <c r="Z143" s="22"/>
      <c r="AB143" s="7" t="str">
        <f t="shared" si="40"/>
        <v>[]</v>
      </c>
      <c r="AC143" s="7" t="str">
        <f t="shared" si="41"/>
        <v>[(111,30)]</v>
      </c>
    </row>
    <row r="144" spans="1:29" ht="15.75" x14ac:dyDescent="0.3">
      <c r="A144" s="18">
        <v>42</v>
      </c>
      <c r="B144" s="18">
        <v>2</v>
      </c>
      <c r="C144" s="7" t="s">
        <v>3006</v>
      </c>
      <c r="D144" s="7" t="str">
        <f t="shared" si="33"/>
        <v/>
      </c>
      <c r="E144" s="7" t="s">
        <v>3006</v>
      </c>
      <c r="F144" s="68">
        <f t="shared" si="34"/>
        <v>0</v>
      </c>
      <c r="G144" s="7" t="s">
        <v>268</v>
      </c>
      <c r="H144" s="7" t="str">
        <f t="shared" si="35"/>
        <v>军费</v>
      </c>
      <c r="I144" s="7">
        <v>250</v>
      </c>
      <c r="J144" s="68">
        <f t="shared" si="36"/>
        <v>5</v>
      </c>
      <c r="K144" s="7"/>
      <c r="L144" s="7" t="str">
        <f t="shared" si="37"/>
        <v/>
      </c>
      <c r="M144" s="7"/>
      <c r="N144" s="68">
        <f t="shared" si="38"/>
        <v>0</v>
      </c>
      <c r="O144" s="76"/>
      <c r="Q144" s="7" t="s">
        <v>2999</v>
      </c>
      <c r="R144" s="76">
        <f t="shared" si="39"/>
        <v>900</v>
      </c>
      <c r="S144" s="85">
        <f>R144/VLOOKUP(1,道具价值!$B$74:$E$80,4,FALSE)</f>
        <v>11.96</v>
      </c>
      <c r="T144" s="85">
        <f>R144/VLOOKUP(6,道具价值!$B$74:$E$80,4,FALSE)</f>
        <v>8.9990999999999985</v>
      </c>
      <c r="V144" s="22" t="s">
        <v>4086</v>
      </c>
      <c r="W144" s="292">
        <v>200</v>
      </c>
      <c r="X144" s="22" t="s">
        <v>3913</v>
      </c>
      <c r="Y144" s="291">
        <f t="shared" si="42"/>
        <v>1</v>
      </c>
      <c r="Z144" s="22"/>
      <c r="AB144" s="7" t="str">
        <f t="shared" si="40"/>
        <v>[]</v>
      </c>
      <c r="AC144" s="7" t="str">
        <f t="shared" si="41"/>
        <v>[(102,250)]</v>
      </c>
    </row>
    <row r="145" spans="1:29" ht="15.75" x14ac:dyDescent="0.3">
      <c r="A145" s="18">
        <v>43</v>
      </c>
      <c r="B145" s="18">
        <v>2</v>
      </c>
      <c r="C145" s="7" t="s">
        <v>273</v>
      </c>
      <c r="D145" s="7" t="str">
        <f t="shared" si="33"/>
        <v>钥匙</v>
      </c>
      <c r="E145" s="7">
        <v>30</v>
      </c>
      <c r="F145" s="68">
        <f t="shared" si="34"/>
        <v>25.000000000000021</v>
      </c>
      <c r="G145" s="7" t="s">
        <v>2686</v>
      </c>
      <c r="H145" s="7" t="str">
        <f t="shared" si="35"/>
        <v>BattlePass货币</v>
      </c>
      <c r="I145" s="7">
        <v>30</v>
      </c>
      <c r="J145" s="68">
        <f t="shared" si="36"/>
        <v>42</v>
      </c>
      <c r="K145" s="7"/>
      <c r="L145" s="7" t="str">
        <f t="shared" si="37"/>
        <v/>
      </c>
      <c r="M145" s="7"/>
      <c r="N145" s="68">
        <f t="shared" si="38"/>
        <v>0</v>
      </c>
      <c r="O145" s="76"/>
      <c r="Q145" s="7" t="s">
        <v>3000</v>
      </c>
      <c r="R145" s="76">
        <f t="shared" si="39"/>
        <v>600</v>
      </c>
      <c r="S145" s="85">
        <f>R145/VLOOKUP(1,道具价值!$B$74:$E$80,4,FALSE)</f>
        <v>7.9733333333333336</v>
      </c>
      <c r="T145" s="85">
        <f>R145/VLOOKUP(6,道具价值!$B$74:$E$80,4,FALSE)</f>
        <v>5.9993999999999996</v>
      </c>
      <c r="V145" s="22" t="s">
        <v>3884</v>
      </c>
      <c r="W145" s="292">
        <v>200</v>
      </c>
      <c r="X145" s="22" t="s">
        <v>3913</v>
      </c>
      <c r="Y145" s="291">
        <f t="shared" si="42"/>
        <v>1</v>
      </c>
      <c r="Z145" s="22"/>
      <c r="AB145" s="7" t="str">
        <f t="shared" si="40"/>
        <v>[(105,30)]</v>
      </c>
      <c r="AC145" s="7" t="str">
        <f t="shared" si="41"/>
        <v>[(113,30)]</v>
      </c>
    </row>
    <row r="146" spans="1:29" ht="15.75" x14ac:dyDescent="0.3">
      <c r="A146" s="18">
        <v>44</v>
      </c>
      <c r="B146" s="18">
        <v>2</v>
      </c>
      <c r="C146" s="7" t="s">
        <v>3006</v>
      </c>
      <c r="D146" s="7" t="str">
        <f t="shared" si="33"/>
        <v/>
      </c>
      <c r="E146" s="7" t="s">
        <v>3006</v>
      </c>
      <c r="F146" s="68">
        <f t="shared" si="34"/>
        <v>0</v>
      </c>
      <c r="G146" s="7" t="s">
        <v>2397</v>
      </c>
      <c r="H146" s="7" t="str">
        <f t="shared" si="35"/>
        <v>宝箱</v>
      </c>
      <c r="I146" s="7">
        <v>1</v>
      </c>
      <c r="J146" s="68">
        <f t="shared" si="36"/>
        <v>100</v>
      </c>
      <c r="K146" s="7"/>
      <c r="L146" s="7" t="str">
        <f t="shared" si="37"/>
        <v/>
      </c>
      <c r="M146" s="7"/>
      <c r="N146" s="68">
        <f t="shared" si="38"/>
        <v>0</v>
      </c>
      <c r="O146" s="76"/>
      <c r="Q146" s="7" t="s">
        <v>3001</v>
      </c>
      <c r="R146" s="76">
        <f t="shared" si="39"/>
        <v>1700</v>
      </c>
      <c r="S146" s="85">
        <f>R146/VLOOKUP(1,道具价值!$B$74:$E$80,4,FALSE)</f>
        <v>22.591111111111115</v>
      </c>
      <c r="T146" s="85">
        <f>R146/VLOOKUP(6,道具价值!$B$74:$E$80,4,FALSE)</f>
        <v>16.998299999999997</v>
      </c>
      <c r="V146" s="22" t="s">
        <v>3885</v>
      </c>
      <c r="W146" s="292">
        <v>200</v>
      </c>
      <c r="X146" s="22" t="s">
        <v>3913</v>
      </c>
      <c r="Y146" s="291">
        <f t="shared" si="42"/>
        <v>1</v>
      </c>
      <c r="Z146" s="22"/>
      <c r="AB146" s="7" t="str">
        <f t="shared" si="40"/>
        <v>[]</v>
      </c>
      <c r="AC146" s="7" t="str">
        <f t="shared" si="41"/>
        <v>[(24005,1)]</v>
      </c>
    </row>
    <row r="147" spans="1:29" ht="15.75" x14ac:dyDescent="0.3">
      <c r="A147" s="18">
        <v>45</v>
      </c>
      <c r="B147" s="18">
        <v>2</v>
      </c>
      <c r="C147" s="7" t="s">
        <v>3006</v>
      </c>
      <c r="D147" s="7" t="str">
        <f t="shared" si="33"/>
        <v/>
      </c>
      <c r="E147" s="7" t="s">
        <v>3006</v>
      </c>
      <c r="F147" s="68">
        <f t="shared" si="34"/>
        <v>0</v>
      </c>
      <c r="G147" s="7" t="s">
        <v>2686</v>
      </c>
      <c r="H147" s="7" t="str">
        <f t="shared" si="35"/>
        <v>BattlePass货币</v>
      </c>
      <c r="I147" s="7">
        <v>30</v>
      </c>
      <c r="J147" s="68">
        <f t="shared" si="36"/>
        <v>42</v>
      </c>
      <c r="K147" s="7"/>
      <c r="L147" s="7" t="str">
        <f t="shared" si="37"/>
        <v/>
      </c>
      <c r="M147" s="7"/>
      <c r="N147" s="68">
        <f t="shared" si="38"/>
        <v>0</v>
      </c>
      <c r="O147" s="76"/>
      <c r="V147" s="22" t="s">
        <v>3891</v>
      </c>
      <c r="W147" s="292">
        <v>200</v>
      </c>
      <c r="X147" s="22" t="s">
        <v>3914</v>
      </c>
      <c r="Y147" s="291">
        <f t="shared" si="42"/>
        <v>1</v>
      </c>
      <c r="Z147" s="22"/>
      <c r="AB147" s="7" t="str">
        <f t="shared" si="40"/>
        <v>[]</v>
      </c>
      <c r="AC147" s="7" t="str">
        <f t="shared" si="41"/>
        <v>[(113,30)]</v>
      </c>
    </row>
    <row r="148" spans="1:29" ht="15.75" x14ac:dyDescent="0.3">
      <c r="A148" s="18">
        <v>46</v>
      </c>
      <c r="B148" s="18">
        <v>2</v>
      </c>
      <c r="C148" s="7" t="s">
        <v>3006</v>
      </c>
      <c r="D148" s="7" t="str">
        <f t="shared" si="33"/>
        <v/>
      </c>
      <c r="E148" s="7" t="s">
        <v>3006</v>
      </c>
      <c r="F148" s="68">
        <f t="shared" si="34"/>
        <v>0</v>
      </c>
      <c r="G148" s="7" t="s">
        <v>317</v>
      </c>
      <c r="H148" s="7" t="str">
        <f t="shared" si="35"/>
        <v>钻石</v>
      </c>
      <c r="I148" s="7">
        <v>30</v>
      </c>
      <c r="J148" s="68">
        <f t="shared" si="36"/>
        <v>30</v>
      </c>
      <c r="K148" s="7"/>
      <c r="L148" s="7" t="str">
        <f t="shared" si="37"/>
        <v/>
      </c>
      <c r="M148" s="7"/>
      <c r="N148" s="68">
        <f t="shared" si="38"/>
        <v>0</v>
      </c>
      <c r="O148" s="76"/>
      <c r="Q148" s="7" t="s">
        <v>3007</v>
      </c>
      <c r="R148" s="76">
        <f>SUM(R140:R146)</f>
        <v>7800</v>
      </c>
      <c r="S148" s="85">
        <f>R148/VLOOKUP(1,道具价值!$B$74:$E$80,4,FALSE)</f>
        <v>103.65333333333334</v>
      </c>
      <c r="T148" s="85">
        <f>R148/VLOOKUP(6,道具价值!$B$74:$E$80,4,FALSE)</f>
        <v>77.992199999999997</v>
      </c>
      <c r="V148" s="22" t="s">
        <v>3892</v>
      </c>
      <c r="W148" s="292">
        <v>200</v>
      </c>
      <c r="X148" s="292" t="s">
        <v>3914</v>
      </c>
      <c r="Y148" s="291">
        <f t="shared" si="42"/>
        <v>1</v>
      </c>
      <c r="Z148" s="22"/>
      <c r="AB148" s="7" t="str">
        <f t="shared" si="40"/>
        <v>[]</v>
      </c>
      <c r="AC148" s="7" t="str">
        <f t="shared" si="41"/>
        <v>[(101,30)]</v>
      </c>
    </row>
    <row r="149" spans="1:29" ht="15.75" x14ac:dyDescent="0.3">
      <c r="A149" s="18">
        <v>47</v>
      </c>
      <c r="B149" s="18">
        <v>2</v>
      </c>
      <c r="C149" s="7" t="s">
        <v>2457</v>
      </c>
      <c r="D149" s="7" t="str">
        <f t="shared" si="33"/>
        <v>宝箱</v>
      </c>
      <c r="E149" s="7">
        <v>1</v>
      </c>
      <c r="F149" s="68">
        <f t="shared" si="34"/>
        <v>600</v>
      </c>
      <c r="G149" s="7" t="s">
        <v>1936</v>
      </c>
      <c r="H149" s="7" t="str">
        <f t="shared" si="35"/>
        <v>坦克碎片</v>
      </c>
      <c r="I149" s="7">
        <v>12</v>
      </c>
      <c r="J149" s="68">
        <f t="shared" si="36"/>
        <v>1200</v>
      </c>
      <c r="K149" s="7"/>
      <c r="L149" s="7" t="str">
        <f t="shared" si="37"/>
        <v/>
      </c>
      <c r="M149" s="7"/>
      <c r="N149" s="68">
        <f t="shared" si="38"/>
        <v>0</v>
      </c>
      <c r="O149" s="76"/>
      <c r="Q149" s="7" t="s">
        <v>3008</v>
      </c>
      <c r="R149" s="76">
        <f>SUM(R131:R139)</f>
        <v>22297.200000000001</v>
      </c>
      <c r="S149" s="85">
        <f>R149/VLOOKUP(1,道具价值!$B$74:$E$80,4,FALSE)</f>
        <v>296.30501333333336</v>
      </c>
      <c r="T149" s="85">
        <f>R149/VLOOKUP(6,道具价值!$B$74:$E$80,4,FALSE)</f>
        <v>222.94970279999998</v>
      </c>
      <c r="V149" s="22" t="s">
        <v>3893</v>
      </c>
      <c r="W149" s="292">
        <v>200</v>
      </c>
      <c r="X149" s="292" t="s">
        <v>3914</v>
      </c>
      <c r="Y149" s="291">
        <f t="shared" si="42"/>
        <v>1</v>
      </c>
      <c r="Z149" s="22"/>
      <c r="AB149" s="7" t="str">
        <f t="shared" si="40"/>
        <v>[(25154,1)]</v>
      </c>
      <c r="AC149" s="7" t="str">
        <f t="shared" si="41"/>
        <v>[(52331,12)]</v>
      </c>
    </row>
    <row r="150" spans="1:29" ht="15.75" x14ac:dyDescent="0.3">
      <c r="A150" s="18">
        <v>48</v>
      </c>
      <c r="B150" s="18">
        <v>2</v>
      </c>
      <c r="C150" s="7" t="s">
        <v>3006</v>
      </c>
      <c r="D150" s="7" t="str">
        <f t="shared" si="33"/>
        <v/>
      </c>
      <c r="E150" s="7" t="s">
        <v>3006</v>
      </c>
      <c r="F150" s="68">
        <f t="shared" si="34"/>
        <v>0</v>
      </c>
      <c r="G150" s="7" t="s">
        <v>268</v>
      </c>
      <c r="H150" s="7" t="str">
        <f t="shared" si="35"/>
        <v>军费</v>
      </c>
      <c r="I150" s="7">
        <v>250</v>
      </c>
      <c r="J150" s="68">
        <f t="shared" si="36"/>
        <v>5</v>
      </c>
      <c r="K150" s="7"/>
      <c r="L150" s="7" t="str">
        <f t="shared" si="37"/>
        <v/>
      </c>
      <c r="M150" s="7"/>
      <c r="N150" s="68">
        <f t="shared" si="38"/>
        <v>0</v>
      </c>
      <c r="O150" s="76"/>
      <c r="V150" s="22" t="s">
        <v>3894</v>
      </c>
      <c r="W150" s="292">
        <v>200</v>
      </c>
      <c r="X150" s="292" t="s">
        <v>3914</v>
      </c>
      <c r="Y150" s="291">
        <f t="shared" si="42"/>
        <v>1</v>
      </c>
      <c r="Z150" s="22"/>
      <c r="AB150" s="7" t="str">
        <f t="shared" si="40"/>
        <v>[]</v>
      </c>
      <c r="AC150" s="7" t="str">
        <f t="shared" si="41"/>
        <v>[(102,250)]</v>
      </c>
    </row>
    <row r="151" spans="1:29" ht="15.75" x14ac:dyDescent="0.3">
      <c r="A151" s="18">
        <v>49</v>
      </c>
      <c r="B151" s="18">
        <v>2</v>
      </c>
      <c r="C151" s="7" t="s">
        <v>3006</v>
      </c>
      <c r="D151" s="7" t="str">
        <f t="shared" si="33"/>
        <v/>
      </c>
      <c r="E151" s="7" t="s">
        <v>3006</v>
      </c>
      <c r="F151" s="68">
        <f t="shared" si="34"/>
        <v>0</v>
      </c>
      <c r="G151" s="7" t="s">
        <v>4217</v>
      </c>
      <c r="H151" s="7" t="str">
        <f t="shared" si="35"/>
        <v>新加速道具</v>
      </c>
      <c r="I151" s="7">
        <v>2</v>
      </c>
      <c r="J151" s="68">
        <f t="shared" si="36"/>
        <v>8</v>
      </c>
      <c r="K151" s="7"/>
      <c r="L151" s="7" t="str">
        <f t="shared" si="37"/>
        <v/>
      </c>
      <c r="M151" s="7"/>
      <c r="N151" s="68">
        <f t="shared" si="38"/>
        <v>0</v>
      </c>
      <c r="O151" s="76"/>
      <c r="V151" s="22" t="s">
        <v>3895</v>
      </c>
      <c r="W151" s="292">
        <v>200</v>
      </c>
      <c r="X151" s="292" t="s">
        <v>3914</v>
      </c>
      <c r="Y151" s="291">
        <f t="shared" si="42"/>
        <v>1</v>
      </c>
      <c r="Z151" s="22"/>
      <c r="AB151" s="7" t="str">
        <f t="shared" si="40"/>
        <v>[]</v>
      </c>
      <c r="AC151" s="7" t="str">
        <f t="shared" si="41"/>
        <v>[(100202,2)]</v>
      </c>
    </row>
    <row r="152" spans="1:29" ht="15.75" x14ac:dyDescent="0.3">
      <c r="A152" s="18">
        <v>50</v>
      </c>
      <c r="B152" s="18">
        <v>2</v>
      </c>
      <c r="C152" s="70" t="s">
        <v>2810</v>
      </c>
      <c r="D152" s="7" t="str">
        <f t="shared" si="33"/>
        <v>摆件</v>
      </c>
      <c r="E152" s="70">
        <v>1</v>
      </c>
      <c r="F152" s="71">
        <f t="shared" si="34"/>
        <v>300</v>
      </c>
      <c r="G152" s="70" t="s">
        <v>2816</v>
      </c>
      <c r="H152" s="7" t="str">
        <f t="shared" si="35"/>
        <v>流光</v>
      </c>
      <c r="I152" s="70">
        <v>1</v>
      </c>
      <c r="J152" s="68">
        <f t="shared" si="36"/>
        <v>300</v>
      </c>
      <c r="K152" s="70" t="s">
        <v>2778</v>
      </c>
      <c r="L152" s="7" t="str">
        <f t="shared" si="37"/>
        <v>头像</v>
      </c>
      <c r="M152" s="70">
        <v>1</v>
      </c>
      <c r="N152" s="68">
        <f t="shared" si="38"/>
        <v>200</v>
      </c>
      <c r="O152" s="77">
        <f>SUM(N143:N152)+SUM(J143:J152)+SUM(F143:F152)</f>
        <v>2872</v>
      </c>
      <c r="V152" s="22" t="s">
        <v>3867</v>
      </c>
      <c r="W152" s="292">
        <v>200</v>
      </c>
      <c r="X152" s="22" t="s">
        <v>3915</v>
      </c>
      <c r="Y152" s="291">
        <f t="shared" si="42"/>
        <v>1</v>
      </c>
      <c r="Z152" s="22"/>
      <c r="AB152" s="7" t="str">
        <f t="shared" si="40"/>
        <v>[(110108,1)]</v>
      </c>
      <c r="AC152" s="7" t="str">
        <f t="shared" si="41"/>
        <v>[(190005,1),(140124,1)]</v>
      </c>
    </row>
    <row r="153" spans="1:29" ht="15.75" x14ac:dyDescent="0.3">
      <c r="A153" s="18">
        <v>51</v>
      </c>
      <c r="B153" s="18">
        <v>2</v>
      </c>
      <c r="C153" s="7"/>
      <c r="D153" s="7" t="str">
        <f t="shared" si="33"/>
        <v/>
      </c>
      <c r="E153" s="7"/>
      <c r="F153" s="68">
        <f t="shared" si="34"/>
        <v>0</v>
      </c>
      <c r="G153" s="7" t="s">
        <v>2457</v>
      </c>
      <c r="H153" s="7" t="str">
        <f t="shared" si="35"/>
        <v>宝箱</v>
      </c>
      <c r="I153" s="7">
        <v>1</v>
      </c>
      <c r="J153" s="68">
        <f t="shared" si="36"/>
        <v>600</v>
      </c>
      <c r="K153" s="7"/>
      <c r="L153" s="7" t="str">
        <f t="shared" si="37"/>
        <v/>
      </c>
      <c r="M153" s="7"/>
      <c r="N153" s="68">
        <f t="shared" si="38"/>
        <v>0</v>
      </c>
      <c r="O153" s="76"/>
      <c r="V153" s="22" t="s">
        <v>3868</v>
      </c>
      <c r="W153" s="292">
        <v>200</v>
      </c>
      <c r="X153" s="22" t="s">
        <v>3915</v>
      </c>
      <c r="Y153" s="291">
        <f t="shared" si="42"/>
        <v>1</v>
      </c>
      <c r="Z153" s="22" t="s">
        <v>4126</v>
      </c>
      <c r="AB153" s="7" t="str">
        <f t="shared" si="40"/>
        <v>[]</v>
      </c>
      <c r="AC153" s="7" t="str">
        <f t="shared" si="41"/>
        <v>[(25154,1)]</v>
      </c>
    </row>
    <row r="154" spans="1:29" ht="15.75" x14ac:dyDescent="0.3">
      <c r="A154" s="18">
        <v>52</v>
      </c>
      <c r="B154" s="18">
        <v>2</v>
      </c>
      <c r="C154" s="7"/>
      <c r="D154" s="7" t="str">
        <f t="shared" si="33"/>
        <v/>
      </c>
      <c r="E154" s="7"/>
      <c r="F154" s="68">
        <f t="shared" si="34"/>
        <v>0</v>
      </c>
      <c r="G154" s="7" t="s">
        <v>268</v>
      </c>
      <c r="H154" s="7" t="str">
        <f t="shared" si="35"/>
        <v>军费</v>
      </c>
      <c r="I154" s="7">
        <v>375</v>
      </c>
      <c r="J154" s="68">
        <f t="shared" si="36"/>
        <v>7.5</v>
      </c>
      <c r="K154" s="7"/>
      <c r="L154" s="7" t="str">
        <f t="shared" si="37"/>
        <v/>
      </c>
      <c r="M154" s="7"/>
      <c r="N154" s="68">
        <f t="shared" si="38"/>
        <v>0</v>
      </c>
      <c r="O154" s="76"/>
      <c r="V154" s="22" t="s">
        <v>3869</v>
      </c>
      <c r="W154" s="292">
        <v>200</v>
      </c>
      <c r="X154" s="292" t="s">
        <v>3915</v>
      </c>
      <c r="Y154" s="291">
        <f t="shared" si="42"/>
        <v>1</v>
      </c>
      <c r="Z154" s="22"/>
      <c r="AB154" s="7" t="str">
        <f t="shared" si="40"/>
        <v>[]</v>
      </c>
      <c r="AC154" s="7" t="str">
        <f t="shared" si="41"/>
        <v>[(102,375)]</v>
      </c>
    </row>
    <row r="155" spans="1:29" ht="15.75" x14ac:dyDescent="0.3">
      <c r="A155" s="18">
        <v>53</v>
      </c>
      <c r="B155" s="18">
        <v>2</v>
      </c>
      <c r="C155" s="7"/>
      <c r="D155" s="7" t="str">
        <f t="shared" si="33"/>
        <v/>
      </c>
      <c r="E155" s="7"/>
      <c r="F155" s="68">
        <f t="shared" si="34"/>
        <v>0</v>
      </c>
      <c r="G155" s="7" t="s">
        <v>317</v>
      </c>
      <c r="H155" s="7" t="str">
        <f t="shared" si="35"/>
        <v>钻石</v>
      </c>
      <c r="I155" s="7">
        <v>50</v>
      </c>
      <c r="J155" s="68">
        <f t="shared" si="36"/>
        <v>50</v>
      </c>
      <c r="K155" s="7"/>
      <c r="L155" s="7" t="str">
        <f t="shared" si="37"/>
        <v/>
      </c>
      <c r="M155" s="7"/>
      <c r="N155" s="68">
        <f t="shared" si="38"/>
        <v>0</v>
      </c>
      <c r="O155" s="76"/>
      <c r="V155" s="22" t="s">
        <v>3904</v>
      </c>
      <c r="W155" s="292">
        <v>200</v>
      </c>
      <c r="X155" s="22" t="s">
        <v>3001</v>
      </c>
      <c r="Y155" s="291">
        <f t="shared" si="42"/>
        <v>1</v>
      </c>
      <c r="Z155" s="22"/>
      <c r="AB155" s="7" t="str">
        <f t="shared" si="40"/>
        <v>[]</v>
      </c>
      <c r="AC155" s="7" t="str">
        <f t="shared" si="41"/>
        <v>[(101,50)]</v>
      </c>
    </row>
    <row r="156" spans="1:29" ht="15.75" x14ac:dyDescent="0.3">
      <c r="A156" s="18">
        <v>54</v>
      </c>
      <c r="B156" s="18">
        <v>2</v>
      </c>
      <c r="C156" s="7"/>
      <c r="D156" s="7" t="str">
        <f t="shared" si="33"/>
        <v/>
      </c>
      <c r="E156" s="7"/>
      <c r="F156" s="68">
        <f t="shared" si="34"/>
        <v>0</v>
      </c>
      <c r="G156" s="7" t="s">
        <v>4217</v>
      </c>
      <c r="H156" s="7" t="str">
        <f t="shared" si="35"/>
        <v>新加速道具</v>
      </c>
      <c r="I156" s="7">
        <v>2</v>
      </c>
      <c r="J156" s="68">
        <f t="shared" si="36"/>
        <v>8</v>
      </c>
      <c r="K156" s="7"/>
      <c r="L156" s="7" t="str">
        <f t="shared" si="37"/>
        <v/>
      </c>
      <c r="M156" s="7"/>
      <c r="N156" s="68">
        <f t="shared" si="38"/>
        <v>0</v>
      </c>
      <c r="O156" s="76"/>
      <c r="V156" s="22" t="s">
        <v>3906</v>
      </c>
      <c r="W156" s="22">
        <v>500</v>
      </c>
      <c r="X156" s="22" t="s">
        <v>3001</v>
      </c>
      <c r="Y156" s="291">
        <f t="shared" si="42"/>
        <v>1</v>
      </c>
      <c r="Z156" s="22"/>
      <c r="AB156" s="7" t="str">
        <f t="shared" si="40"/>
        <v>[]</v>
      </c>
      <c r="AC156" s="7" t="str">
        <f t="shared" si="41"/>
        <v>[(100202,2)]</v>
      </c>
    </row>
    <row r="157" spans="1:29" ht="15.75" x14ac:dyDescent="0.3">
      <c r="A157" s="18">
        <v>55</v>
      </c>
      <c r="B157" s="18">
        <v>2</v>
      </c>
      <c r="C157" s="7"/>
      <c r="D157" s="7" t="str">
        <f t="shared" si="33"/>
        <v/>
      </c>
      <c r="E157" s="7"/>
      <c r="F157" s="68">
        <f t="shared" si="34"/>
        <v>0</v>
      </c>
      <c r="G157" s="7" t="s">
        <v>2686</v>
      </c>
      <c r="H157" s="7" t="str">
        <f t="shared" si="35"/>
        <v>BattlePass货币</v>
      </c>
      <c r="I157" s="7">
        <v>50</v>
      </c>
      <c r="J157" s="68">
        <f t="shared" si="36"/>
        <v>70</v>
      </c>
      <c r="K157" s="7"/>
      <c r="L157" s="7" t="str">
        <f t="shared" si="37"/>
        <v/>
      </c>
      <c r="M157" s="7"/>
      <c r="N157" s="68">
        <f t="shared" si="38"/>
        <v>0</v>
      </c>
      <c r="O157" s="76"/>
      <c r="V157" s="22" t="s">
        <v>3908</v>
      </c>
      <c r="W157" s="22">
        <v>300</v>
      </c>
      <c r="X157" s="22" t="s">
        <v>3916</v>
      </c>
      <c r="Y157" s="291">
        <f t="shared" si="42"/>
        <v>1</v>
      </c>
      <c r="Z157" s="22"/>
      <c r="AB157" s="7" t="str">
        <f t="shared" si="40"/>
        <v>[]</v>
      </c>
      <c r="AC157" s="7" t="str">
        <f t="shared" si="41"/>
        <v>[(113,50)]</v>
      </c>
    </row>
    <row r="158" spans="1:29" ht="15.75" x14ac:dyDescent="0.3">
      <c r="A158" s="18">
        <v>56</v>
      </c>
      <c r="B158" s="18">
        <v>2</v>
      </c>
      <c r="C158" s="7"/>
      <c r="D158" s="7" t="str">
        <f t="shared" si="33"/>
        <v/>
      </c>
      <c r="E158" s="7"/>
      <c r="F158" s="68">
        <f t="shared" si="34"/>
        <v>0</v>
      </c>
      <c r="G158" s="13" t="s">
        <v>268</v>
      </c>
      <c r="H158" s="7" t="str">
        <f t="shared" si="35"/>
        <v>军费</v>
      </c>
      <c r="I158" s="7">
        <v>375</v>
      </c>
      <c r="J158" s="68">
        <f t="shared" si="36"/>
        <v>7.5</v>
      </c>
      <c r="K158" s="7"/>
      <c r="L158" s="7" t="str">
        <f t="shared" si="37"/>
        <v/>
      </c>
      <c r="M158" s="7"/>
      <c r="N158" s="68">
        <f t="shared" si="38"/>
        <v>0</v>
      </c>
      <c r="O158" s="76"/>
      <c r="V158" s="22" t="s">
        <v>3910</v>
      </c>
      <c r="W158" s="22">
        <v>300</v>
      </c>
      <c r="X158" s="22" t="s">
        <v>3916</v>
      </c>
      <c r="Y158" s="291">
        <f t="shared" si="42"/>
        <v>1</v>
      </c>
      <c r="Z158" s="22"/>
      <c r="AB158" s="7" t="str">
        <f t="shared" si="40"/>
        <v>[]</v>
      </c>
      <c r="AC158" s="7" t="str">
        <f t="shared" si="41"/>
        <v>[(102,375)]</v>
      </c>
    </row>
    <row r="159" spans="1:29" ht="15.75" x14ac:dyDescent="0.3">
      <c r="A159" s="18">
        <v>57</v>
      </c>
      <c r="B159" s="18">
        <v>2</v>
      </c>
      <c r="C159" s="7"/>
      <c r="D159" s="7" t="str">
        <f t="shared" si="33"/>
        <v/>
      </c>
      <c r="E159" s="7"/>
      <c r="F159" s="68">
        <f t="shared" si="34"/>
        <v>0</v>
      </c>
      <c r="G159" s="7" t="s">
        <v>521</v>
      </c>
      <c r="H159" s="7" t="str">
        <f t="shared" si="35"/>
        <v>宝箱</v>
      </c>
      <c r="I159" s="7">
        <v>1</v>
      </c>
      <c r="J159" s="68">
        <f t="shared" si="36"/>
        <v>100</v>
      </c>
      <c r="K159" s="7"/>
      <c r="L159" s="7" t="str">
        <f t="shared" si="37"/>
        <v/>
      </c>
      <c r="M159" s="7"/>
      <c r="N159" s="68">
        <f t="shared" si="38"/>
        <v>0</v>
      </c>
      <c r="O159" s="76"/>
      <c r="V159" s="22" t="s">
        <v>649</v>
      </c>
      <c r="W159" s="22">
        <v>2400</v>
      </c>
      <c r="X159" s="22" t="s">
        <v>3921</v>
      </c>
      <c r="Y159" s="291">
        <f t="shared" si="42"/>
        <v>1</v>
      </c>
      <c r="Z159" s="22"/>
      <c r="AB159" s="7" t="str">
        <f t="shared" si="40"/>
        <v>[]</v>
      </c>
      <c r="AC159" s="7" t="str">
        <f t="shared" si="41"/>
        <v>[(24004,1)]</v>
      </c>
    </row>
    <row r="160" spans="1:29" ht="15.75" x14ac:dyDescent="0.3">
      <c r="A160" s="18">
        <v>58</v>
      </c>
      <c r="B160" s="18">
        <v>2</v>
      </c>
      <c r="C160" s="7"/>
      <c r="D160" s="7" t="str">
        <f t="shared" si="33"/>
        <v/>
      </c>
      <c r="E160" s="7"/>
      <c r="F160" s="68">
        <f t="shared" si="34"/>
        <v>0</v>
      </c>
      <c r="G160" s="7" t="s">
        <v>268</v>
      </c>
      <c r="H160" s="7" t="str">
        <f t="shared" si="35"/>
        <v>军费</v>
      </c>
      <c r="I160" s="7">
        <v>375</v>
      </c>
      <c r="J160" s="68">
        <f t="shared" si="36"/>
        <v>7.5</v>
      </c>
      <c r="K160" s="7"/>
      <c r="L160" s="7" t="str">
        <f t="shared" si="37"/>
        <v/>
      </c>
      <c r="M160" s="7"/>
      <c r="N160" s="68">
        <f t="shared" si="38"/>
        <v>0</v>
      </c>
      <c r="O160" s="76"/>
      <c r="V160" s="22" t="s">
        <v>1972</v>
      </c>
      <c r="W160" s="22">
        <v>100</v>
      </c>
      <c r="X160" s="22" t="s">
        <v>1726</v>
      </c>
      <c r="Y160" s="291">
        <f t="shared" si="42"/>
        <v>120</v>
      </c>
      <c r="Z160" s="22"/>
      <c r="AB160" s="7" t="str">
        <f t="shared" si="40"/>
        <v>[]</v>
      </c>
      <c r="AC160" s="7" t="str">
        <f t="shared" si="41"/>
        <v>[(102,375)]</v>
      </c>
    </row>
    <row r="161" spans="1:29" ht="15.75" x14ac:dyDescent="0.3">
      <c r="A161" s="18">
        <v>59</v>
      </c>
      <c r="B161" s="18">
        <v>2</v>
      </c>
      <c r="C161" s="7"/>
      <c r="D161" s="7" t="str">
        <f t="shared" si="33"/>
        <v/>
      </c>
      <c r="E161" s="7"/>
      <c r="F161" s="68">
        <f t="shared" si="34"/>
        <v>0</v>
      </c>
      <c r="G161" s="7" t="s">
        <v>317</v>
      </c>
      <c r="H161" s="7" t="str">
        <f t="shared" si="35"/>
        <v>钻石</v>
      </c>
      <c r="I161" s="7">
        <v>50</v>
      </c>
      <c r="J161" s="68">
        <f t="shared" si="36"/>
        <v>50</v>
      </c>
      <c r="K161" s="7"/>
      <c r="L161" s="7" t="str">
        <f t="shared" si="37"/>
        <v/>
      </c>
      <c r="M161" s="7"/>
      <c r="N161" s="68">
        <f t="shared" si="38"/>
        <v>0</v>
      </c>
      <c r="O161" s="76"/>
      <c r="V161" s="22" t="s">
        <v>2311</v>
      </c>
      <c r="W161" s="22">
        <v>200</v>
      </c>
      <c r="X161" s="22" t="s">
        <v>4225</v>
      </c>
      <c r="Y161" s="22"/>
      <c r="Z161" s="22"/>
      <c r="AB161" s="7" t="str">
        <f t="shared" si="40"/>
        <v>[]</v>
      </c>
      <c r="AC161" s="7" t="str">
        <f t="shared" si="41"/>
        <v>[(101,50)]</v>
      </c>
    </row>
    <row r="162" spans="1:29" ht="15.75" x14ac:dyDescent="0.3">
      <c r="A162" s="18">
        <v>60</v>
      </c>
      <c r="B162" s="18">
        <v>2</v>
      </c>
      <c r="C162" s="70"/>
      <c r="D162" s="7" t="str">
        <f t="shared" si="33"/>
        <v/>
      </c>
      <c r="E162" s="70"/>
      <c r="F162" s="71">
        <f t="shared" si="34"/>
        <v>0</v>
      </c>
      <c r="G162" s="70" t="s">
        <v>1936</v>
      </c>
      <c r="H162" s="7" t="str">
        <f t="shared" si="35"/>
        <v>坦克碎片</v>
      </c>
      <c r="I162" s="70">
        <v>12</v>
      </c>
      <c r="J162" s="68">
        <f t="shared" si="36"/>
        <v>1200</v>
      </c>
      <c r="K162" s="70" t="s">
        <v>2792</v>
      </c>
      <c r="L162" s="7" t="str">
        <f t="shared" si="37"/>
        <v>头像框</v>
      </c>
      <c r="M162" s="70">
        <v>1</v>
      </c>
      <c r="N162" s="68">
        <f t="shared" si="38"/>
        <v>300</v>
      </c>
      <c r="O162" s="77">
        <f>SUM(N153:N162)+SUM(J153:J162)+SUM(F153:F162)</f>
        <v>2400.5</v>
      </c>
      <c r="V162" s="22" t="s">
        <v>2313</v>
      </c>
      <c r="W162" s="22">
        <v>200</v>
      </c>
      <c r="X162" s="22" t="s">
        <v>4225</v>
      </c>
      <c r="Y162" s="22"/>
      <c r="Z162" s="22"/>
      <c r="AB162" s="7" t="str">
        <f t="shared" si="40"/>
        <v>[]</v>
      </c>
      <c r="AC162" s="7" t="str">
        <f t="shared" si="41"/>
        <v>[(52331,12),(130117,1)]</v>
      </c>
    </row>
    <row r="163" spans="1:29" ht="15.75" x14ac:dyDescent="0.3">
      <c r="A163" s="18">
        <v>61</v>
      </c>
      <c r="B163" s="18">
        <v>2</v>
      </c>
      <c r="C163" s="7"/>
      <c r="D163" s="7" t="str">
        <f t="shared" si="33"/>
        <v/>
      </c>
      <c r="E163" s="7"/>
      <c r="F163" s="68">
        <f t="shared" si="34"/>
        <v>0</v>
      </c>
      <c r="G163" s="7" t="s">
        <v>2686</v>
      </c>
      <c r="H163" s="7" t="str">
        <f t="shared" si="35"/>
        <v>BattlePass货币</v>
      </c>
      <c r="I163" s="7">
        <v>50</v>
      </c>
      <c r="J163" s="68">
        <f t="shared" si="36"/>
        <v>70</v>
      </c>
      <c r="K163" s="7"/>
      <c r="L163" s="7" t="str">
        <f t="shared" si="37"/>
        <v/>
      </c>
      <c r="M163" s="7"/>
      <c r="N163" s="68">
        <f t="shared" si="38"/>
        <v>0</v>
      </c>
      <c r="O163" s="76"/>
      <c r="V163" s="22" t="s">
        <v>4217</v>
      </c>
      <c r="W163" s="22">
        <v>4</v>
      </c>
      <c r="X163" s="22" t="s">
        <v>4226</v>
      </c>
      <c r="Y163" s="22"/>
      <c r="Z163" s="22"/>
      <c r="AB163" s="7" t="str">
        <f t="shared" si="40"/>
        <v>[]</v>
      </c>
      <c r="AC163" s="7" t="str">
        <f t="shared" si="41"/>
        <v>[(113,50)]</v>
      </c>
    </row>
    <row r="164" spans="1:29" ht="15.75" x14ac:dyDescent="0.3">
      <c r="A164" s="18">
        <v>62</v>
      </c>
      <c r="B164" s="18">
        <v>2</v>
      </c>
      <c r="C164" s="7"/>
      <c r="D164" s="7" t="str">
        <f t="shared" si="33"/>
        <v/>
      </c>
      <c r="E164" s="7"/>
      <c r="F164" s="68">
        <f t="shared" si="34"/>
        <v>0</v>
      </c>
      <c r="G164" s="7" t="s">
        <v>268</v>
      </c>
      <c r="H164" s="7" t="str">
        <f t="shared" si="35"/>
        <v>军费</v>
      </c>
      <c r="I164" s="7">
        <v>375</v>
      </c>
      <c r="J164" s="68">
        <f t="shared" si="36"/>
        <v>7.5</v>
      </c>
      <c r="K164" s="7"/>
      <c r="L164" s="7" t="str">
        <f t="shared" si="37"/>
        <v/>
      </c>
      <c r="M164" s="7"/>
      <c r="N164" s="68">
        <f t="shared" si="38"/>
        <v>0</v>
      </c>
      <c r="O164" s="76"/>
      <c r="V164" s="22" t="s">
        <v>4218</v>
      </c>
      <c r="W164" s="22">
        <v>24</v>
      </c>
      <c r="X164" s="341" t="s">
        <v>4226</v>
      </c>
      <c r="Y164" s="22"/>
      <c r="Z164" s="22"/>
      <c r="AB164" s="7" t="str">
        <f t="shared" si="40"/>
        <v>[]</v>
      </c>
      <c r="AC164" s="7" t="str">
        <f t="shared" si="41"/>
        <v>[(102,375)]</v>
      </c>
    </row>
    <row r="165" spans="1:29" ht="15.75" x14ac:dyDescent="0.3">
      <c r="A165" s="18">
        <v>63</v>
      </c>
      <c r="B165" s="18">
        <v>2</v>
      </c>
      <c r="C165" s="7"/>
      <c r="D165" s="7" t="str">
        <f t="shared" si="33"/>
        <v/>
      </c>
      <c r="E165" s="7"/>
      <c r="F165" s="68">
        <f t="shared" si="34"/>
        <v>0</v>
      </c>
      <c r="G165" s="7" t="s">
        <v>2382</v>
      </c>
      <c r="H165" s="7" t="str">
        <f t="shared" si="35"/>
        <v>宝箱</v>
      </c>
      <c r="I165" s="7">
        <v>1</v>
      </c>
      <c r="J165" s="68">
        <f t="shared" si="36"/>
        <v>100</v>
      </c>
      <c r="K165" s="7"/>
      <c r="L165" s="7" t="str">
        <f t="shared" si="37"/>
        <v/>
      </c>
      <c r="M165" s="7"/>
      <c r="N165" s="68">
        <f t="shared" si="38"/>
        <v>0</v>
      </c>
      <c r="O165" s="76"/>
      <c r="V165" s="22" t="s">
        <v>4219</v>
      </c>
      <c r="W165" s="22">
        <v>48</v>
      </c>
      <c r="X165" s="341" t="s">
        <v>4226</v>
      </c>
      <c r="Y165" s="22"/>
      <c r="Z165" s="22"/>
      <c r="AB165" s="7" t="str">
        <f t="shared" si="40"/>
        <v>[]</v>
      </c>
      <c r="AC165" s="7" t="str">
        <f t="shared" si="41"/>
        <v>[(23004,1)]</v>
      </c>
    </row>
    <row r="166" spans="1:29" ht="15.75" x14ac:dyDescent="0.3">
      <c r="A166" s="18">
        <v>64</v>
      </c>
      <c r="B166" s="18">
        <v>2</v>
      </c>
      <c r="C166" s="7"/>
      <c r="D166" s="7" t="str">
        <f t="shared" si="33"/>
        <v/>
      </c>
      <c r="E166" s="7"/>
      <c r="F166" s="68">
        <f t="shared" si="34"/>
        <v>0</v>
      </c>
      <c r="G166" s="13" t="s">
        <v>268</v>
      </c>
      <c r="H166" s="7" t="str">
        <f t="shared" si="35"/>
        <v>军费</v>
      </c>
      <c r="I166" s="7">
        <v>375</v>
      </c>
      <c r="J166" s="68">
        <f t="shared" si="36"/>
        <v>7.5</v>
      </c>
      <c r="K166" s="7"/>
      <c r="L166" s="7" t="str">
        <f t="shared" si="37"/>
        <v/>
      </c>
      <c r="M166" s="7"/>
      <c r="N166" s="68">
        <f t="shared" si="38"/>
        <v>0</v>
      </c>
      <c r="O166" s="76"/>
      <c r="V166" s="22" t="s">
        <v>2711</v>
      </c>
      <c r="W166" s="22">
        <v>200</v>
      </c>
      <c r="X166" s="22" t="s">
        <v>4227</v>
      </c>
      <c r="Y166" s="22"/>
      <c r="Z166" s="22"/>
      <c r="AB166" s="7" t="str">
        <f t="shared" si="40"/>
        <v>[]</v>
      </c>
      <c r="AC166" s="7" t="str">
        <f t="shared" si="41"/>
        <v>[(102,375)]</v>
      </c>
    </row>
    <row r="167" spans="1:29" ht="15.75" x14ac:dyDescent="0.3">
      <c r="A167" s="18">
        <v>65</v>
      </c>
      <c r="B167" s="18">
        <v>2</v>
      </c>
      <c r="C167" s="7"/>
      <c r="D167" s="7" t="str">
        <f t="shared" si="33"/>
        <v/>
      </c>
      <c r="E167" s="7"/>
      <c r="F167" s="68">
        <f t="shared" si="34"/>
        <v>0</v>
      </c>
      <c r="G167" s="7" t="s">
        <v>317</v>
      </c>
      <c r="H167" s="7" t="str">
        <f t="shared" si="35"/>
        <v>钻石</v>
      </c>
      <c r="I167" s="7">
        <v>50</v>
      </c>
      <c r="J167" s="68">
        <f t="shared" si="36"/>
        <v>50</v>
      </c>
      <c r="K167" s="7"/>
      <c r="L167" s="7" t="str">
        <f t="shared" si="37"/>
        <v/>
      </c>
      <c r="M167" s="7"/>
      <c r="N167" s="68">
        <f t="shared" si="38"/>
        <v>0</v>
      </c>
      <c r="O167" s="76"/>
      <c r="V167" s="22" t="s">
        <v>2598</v>
      </c>
      <c r="W167" s="22">
        <v>200</v>
      </c>
      <c r="X167" s="22" t="s">
        <v>4228</v>
      </c>
      <c r="Y167" s="22"/>
      <c r="Z167" s="22"/>
      <c r="AB167" s="7" t="str">
        <f t="shared" si="40"/>
        <v>[]</v>
      </c>
      <c r="AC167" s="7" t="str">
        <f t="shared" si="41"/>
        <v>[(101,50)]</v>
      </c>
    </row>
    <row r="168" spans="1:29" ht="15.75" x14ac:dyDescent="0.3">
      <c r="A168" s="18">
        <v>66</v>
      </c>
      <c r="B168" s="18">
        <v>2</v>
      </c>
      <c r="C168" s="7"/>
      <c r="D168" s="7" t="str">
        <f t="shared" si="33"/>
        <v/>
      </c>
      <c r="E168" s="7"/>
      <c r="F168" s="68">
        <f t="shared" si="34"/>
        <v>0</v>
      </c>
      <c r="G168" s="7" t="s">
        <v>2457</v>
      </c>
      <c r="H168" s="7" t="str">
        <f t="shared" si="35"/>
        <v>宝箱</v>
      </c>
      <c r="I168" s="7">
        <v>1</v>
      </c>
      <c r="J168" s="68">
        <f t="shared" si="36"/>
        <v>600</v>
      </c>
      <c r="K168" s="7"/>
      <c r="L168" s="7" t="str">
        <f t="shared" si="37"/>
        <v/>
      </c>
      <c r="M168" s="7"/>
      <c r="N168" s="68">
        <f t="shared" si="38"/>
        <v>0</v>
      </c>
      <c r="O168" s="76"/>
      <c r="V168" s="22" t="s">
        <v>4214</v>
      </c>
      <c r="W168" s="22">
        <v>100</v>
      </c>
      <c r="X168" s="22" t="s">
        <v>4229</v>
      </c>
      <c r="Y168" s="22"/>
      <c r="Z168" s="22"/>
      <c r="AB168" s="7" t="str">
        <f t="shared" si="40"/>
        <v>[]</v>
      </c>
      <c r="AC168" s="7" t="str">
        <f t="shared" si="41"/>
        <v>[(25154,1)]</v>
      </c>
    </row>
    <row r="169" spans="1:29" ht="15.75" x14ac:dyDescent="0.3">
      <c r="A169" s="18">
        <v>67</v>
      </c>
      <c r="B169" s="18">
        <v>2</v>
      </c>
      <c r="C169" s="7"/>
      <c r="D169" s="7" t="str">
        <f t="shared" si="33"/>
        <v/>
      </c>
      <c r="E169" s="69"/>
      <c r="F169" s="68">
        <f t="shared" si="34"/>
        <v>0</v>
      </c>
      <c r="G169" s="7" t="s">
        <v>2686</v>
      </c>
      <c r="H169" s="7" t="str">
        <f t="shared" si="35"/>
        <v>BattlePass货币</v>
      </c>
      <c r="I169" s="7">
        <v>50</v>
      </c>
      <c r="J169" s="68">
        <f t="shared" si="36"/>
        <v>70</v>
      </c>
      <c r="K169" s="7"/>
      <c r="L169" s="7" t="str">
        <f t="shared" si="37"/>
        <v/>
      </c>
      <c r="M169" s="7"/>
      <c r="N169" s="68">
        <f t="shared" si="38"/>
        <v>0</v>
      </c>
      <c r="O169" s="76"/>
      <c r="V169" s="22" t="s">
        <v>314</v>
      </c>
      <c r="W169" s="22">
        <v>120</v>
      </c>
      <c r="X169" s="22" t="s">
        <v>4230</v>
      </c>
      <c r="Y169" s="22"/>
      <c r="Z169" s="22"/>
      <c r="AB169" s="7" t="str">
        <f t="shared" si="40"/>
        <v>[]</v>
      </c>
      <c r="AC169" s="7" t="str">
        <f t="shared" si="41"/>
        <v>[(113,50)]</v>
      </c>
    </row>
    <row r="170" spans="1:29" ht="15.75" x14ac:dyDescent="0.3">
      <c r="A170" s="18">
        <v>68</v>
      </c>
      <c r="B170" s="18">
        <v>2</v>
      </c>
      <c r="C170" s="7"/>
      <c r="D170" s="7" t="str">
        <f t="shared" si="33"/>
        <v/>
      </c>
      <c r="E170" s="7"/>
      <c r="F170" s="68">
        <f t="shared" si="34"/>
        <v>0</v>
      </c>
      <c r="G170" s="7" t="s">
        <v>4217</v>
      </c>
      <c r="H170" s="7" t="str">
        <f t="shared" si="35"/>
        <v>新加速道具</v>
      </c>
      <c r="I170" s="7">
        <v>2</v>
      </c>
      <c r="J170" s="68">
        <f t="shared" si="36"/>
        <v>8</v>
      </c>
      <c r="K170" s="7"/>
      <c r="L170" s="7" t="str">
        <f t="shared" si="37"/>
        <v/>
      </c>
      <c r="M170" s="7"/>
      <c r="N170" s="68">
        <f t="shared" si="38"/>
        <v>0</v>
      </c>
      <c r="O170" s="76"/>
      <c r="V170" s="22" t="s">
        <v>4231</v>
      </c>
      <c r="W170" s="22">
        <v>100</v>
      </c>
      <c r="X170" s="22" t="s">
        <v>4243</v>
      </c>
      <c r="Y170" s="22"/>
      <c r="Z170" s="22"/>
      <c r="AB170" s="7" t="str">
        <f t="shared" si="40"/>
        <v>[]</v>
      </c>
      <c r="AC170" s="7" t="str">
        <f t="shared" si="41"/>
        <v>[(100202,2)]</v>
      </c>
    </row>
    <row r="171" spans="1:29" ht="15.75" x14ac:dyDescent="0.3">
      <c r="A171" s="18">
        <v>69</v>
      </c>
      <c r="B171" s="18">
        <v>2</v>
      </c>
      <c r="C171" s="7"/>
      <c r="D171" s="7" t="str">
        <f t="shared" si="33"/>
        <v/>
      </c>
      <c r="E171" s="7"/>
      <c r="F171" s="68">
        <f t="shared" si="34"/>
        <v>0</v>
      </c>
      <c r="G171" s="7" t="s">
        <v>268</v>
      </c>
      <c r="H171" s="7" t="str">
        <f t="shared" si="35"/>
        <v>军费</v>
      </c>
      <c r="I171" s="7">
        <v>625</v>
      </c>
      <c r="J171" s="68">
        <f t="shared" si="36"/>
        <v>12.5</v>
      </c>
      <c r="K171" s="7"/>
      <c r="L171" s="7" t="str">
        <f t="shared" si="37"/>
        <v/>
      </c>
      <c r="M171" s="7"/>
      <c r="N171" s="68">
        <f t="shared" si="38"/>
        <v>0</v>
      </c>
      <c r="O171" s="76"/>
      <c r="V171" s="22" t="s">
        <v>4232</v>
      </c>
      <c r="W171" s="22">
        <v>100</v>
      </c>
      <c r="X171" s="341" t="s">
        <v>4243</v>
      </c>
      <c r="Y171" s="22"/>
      <c r="Z171" s="22"/>
      <c r="AB171" s="7" t="str">
        <f t="shared" si="40"/>
        <v>[]</v>
      </c>
      <c r="AC171" s="7" t="str">
        <f t="shared" si="41"/>
        <v>[(102,625)]</v>
      </c>
    </row>
    <row r="172" spans="1:29" ht="15.75" x14ac:dyDescent="0.3">
      <c r="A172" s="18">
        <v>70</v>
      </c>
      <c r="B172" s="18">
        <v>2</v>
      </c>
      <c r="C172" s="70"/>
      <c r="D172" s="7" t="str">
        <f t="shared" si="33"/>
        <v/>
      </c>
      <c r="E172" s="70"/>
      <c r="F172" s="71">
        <f t="shared" si="34"/>
        <v>0</v>
      </c>
      <c r="G172" s="70" t="s">
        <v>2723</v>
      </c>
      <c r="H172" s="7" t="str">
        <f t="shared" si="35"/>
        <v>涂装</v>
      </c>
      <c r="I172" s="70">
        <v>1</v>
      </c>
      <c r="J172" s="68">
        <f t="shared" si="36"/>
        <v>300</v>
      </c>
      <c r="K172" s="70" t="s">
        <v>1936</v>
      </c>
      <c r="L172" s="7" t="str">
        <f t="shared" si="37"/>
        <v>坦克碎片</v>
      </c>
      <c r="M172" s="70">
        <v>12</v>
      </c>
      <c r="N172" s="68">
        <f t="shared" si="38"/>
        <v>1200</v>
      </c>
      <c r="O172" s="77">
        <f>SUM(N163:N172)+SUM(J163:J172)+SUM(F163:F172)</f>
        <v>2425.5</v>
      </c>
      <c r="V172" s="22" t="s">
        <v>4233</v>
      </c>
      <c r="W172" s="22">
        <v>200</v>
      </c>
      <c r="X172" s="341" t="s">
        <v>4243</v>
      </c>
      <c r="Y172" s="22"/>
      <c r="Z172" s="22"/>
      <c r="AB172" s="7" t="str">
        <f t="shared" si="40"/>
        <v>[]</v>
      </c>
      <c r="AC172" s="7" t="str">
        <f t="shared" si="41"/>
        <v>[(180023,1),(52331,12)]</v>
      </c>
    </row>
    <row r="173" spans="1:29" ht="15.75" x14ac:dyDescent="0.3">
      <c r="A173" s="18">
        <v>71</v>
      </c>
      <c r="B173" s="18">
        <v>2</v>
      </c>
      <c r="C173" s="7"/>
      <c r="D173" s="7" t="str">
        <f t="shared" si="33"/>
        <v/>
      </c>
      <c r="E173" s="7"/>
      <c r="F173" s="68">
        <f t="shared" si="34"/>
        <v>0</v>
      </c>
      <c r="G173" s="7" t="s">
        <v>273</v>
      </c>
      <c r="H173" s="7" t="str">
        <f t="shared" si="35"/>
        <v>钥匙</v>
      </c>
      <c r="I173" s="7">
        <v>30</v>
      </c>
      <c r="J173" s="68">
        <f t="shared" si="36"/>
        <v>25.000000000000021</v>
      </c>
      <c r="K173" s="7"/>
      <c r="L173" s="7" t="str">
        <f t="shared" si="37"/>
        <v/>
      </c>
      <c r="M173" s="7"/>
      <c r="N173" s="68">
        <f t="shared" si="38"/>
        <v>0</v>
      </c>
      <c r="O173" s="76"/>
      <c r="V173" s="22" t="s">
        <v>4234</v>
      </c>
      <c r="W173" s="22">
        <v>200</v>
      </c>
      <c r="X173" s="341" t="s">
        <v>4243</v>
      </c>
      <c r="Y173" s="22"/>
      <c r="Z173" s="22"/>
      <c r="AB173" s="7" t="str">
        <f t="shared" si="40"/>
        <v>[]</v>
      </c>
      <c r="AC173" s="7" t="str">
        <f t="shared" si="41"/>
        <v>[(105,30)]</v>
      </c>
    </row>
    <row r="174" spans="1:29" ht="15.75" x14ac:dyDescent="0.3">
      <c r="A174" s="18">
        <v>72</v>
      </c>
      <c r="B174" s="18">
        <v>2</v>
      </c>
      <c r="C174" s="7"/>
      <c r="D174" s="7" t="str">
        <f t="shared" si="33"/>
        <v/>
      </c>
      <c r="E174" s="7"/>
      <c r="F174" s="68">
        <f t="shared" si="34"/>
        <v>0</v>
      </c>
      <c r="G174" s="7" t="s">
        <v>268</v>
      </c>
      <c r="H174" s="7" t="str">
        <f t="shared" si="35"/>
        <v>军费</v>
      </c>
      <c r="I174" s="7">
        <v>625</v>
      </c>
      <c r="J174" s="68">
        <f t="shared" si="36"/>
        <v>12.5</v>
      </c>
      <c r="K174" s="7"/>
      <c r="L174" s="7" t="str">
        <f t="shared" si="37"/>
        <v/>
      </c>
      <c r="M174" s="7"/>
      <c r="N174" s="68">
        <f t="shared" si="38"/>
        <v>0</v>
      </c>
      <c r="O174" s="76"/>
      <c r="V174" s="22" t="s">
        <v>4235</v>
      </c>
      <c r="W174" s="22">
        <v>1000</v>
      </c>
      <c r="X174" s="341" t="s">
        <v>4243</v>
      </c>
      <c r="Y174" s="22"/>
      <c r="Z174" s="22"/>
      <c r="AB174" s="7" t="str">
        <f t="shared" si="40"/>
        <v>[]</v>
      </c>
      <c r="AC174" s="7" t="str">
        <f t="shared" si="41"/>
        <v>[(102,625)]</v>
      </c>
    </row>
    <row r="175" spans="1:29" ht="15.75" x14ac:dyDescent="0.3">
      <c r="A175" s="18">
        <v>73</v>
      </c>
      <c r="B175" s="18">
        <v>2</v>
      </c>
      <c r="C175" s="7"/>
      <c r="D175" s="7" t="str">
        <f t="shared" si="33"/>
        <v/>
      </c>
      <c r="E175" s="7"/>
      <c r="F175" s="68">
        <f t="shared" si="34"/>
        <v>0</v>
      </c>
      <c r="G175" s="13" t="s">
        <v>317</v>
      </c>
      <c r="H175" s="7" t="str">
        <f t="shared" si="35"/>
        <v>钻石</v>
      </c>
      <c r="I175" s="7">
        <v>50</v>
      </c>
      <c r="J175" s="68">
        <f t="shared" si="36"/>
        <v>50</v>
      </c>
      <c r="K175" s="7"/>
      <c r="L175" s="7" t="str">
        <f t="shared" si="37"/>
        <v/>
      </c>
      <c r="M175" s="7"/>
      <c r="N175" s="68">
        <f t="shared" si="38"/>
        <v>0</v>
      </c>
      <c r="O175" s="76"/>
      <c r="V175" s="22" t="s">
        <v>4236</v>
      </c>
      <c r="W175" s="22">
        <v>1000</v>
      </c>
      <c r="X175" s="341" t="s">
        <v>4243</v>
      </c>
      <c r="Y175" s="22"/>
      <c r="Z175" s="22"/>
      <c r="AB175" s="7" t="str">
        <f t="shared" ref="AB175:AB202" si="43">IF(C175="","[]","["&amp;"("&amp;VLOOKUP(C175,道具ID,2,FALSE)&amp;","&amp;E175&amp;")"&amp;"]")</f>
        <v>[]</v>
      </c>
      <c r="AC175" s="7" t="str">
        <f t="shared" ref="AC175:AC202" si="44">IF(G175="","[]",IF(K175="","["&amp;"("&amp;VLOOKUP(G175,道具ID,2,FALSE)&amp;","&amp;I175&amp;")"&amp;"]","["&amp;"("&amp;VLOOKUP(G175,道具ID,2,FALSE)&amp;","&amp;I175&amp;")"&amp;","&amp;"("&amp;VLOOKUP(K175,道具ID,2,FALSE)&amp;","&amp;M175&amp;")"&amp;"]"))</f>
        <v>[(101,50)]</v>
      </c>
    </row>
    <row r="176" spans="1:29" ht="15.75" x14ac:dyDescent="0.3">
      <c r="A176" s="18">
        <v>74</v>
      </c>
      <c r="B176" s="18">
        <v>2</v>
      </c>
      <c r="C176" s="7"/>
      <c r="D176" s="7" t="str">
        <f t="shared" si="33"/>
        <v/>
      </c>
      <c r="E176" s="7"/>
      <c r="F176" s="68">
        <f t="shared" si="34"/>
        <v>0</v>
      </c>
      <c r="G176" s="7" t="s">
        <v>268</v>
      </c>
      <c r="H176" s="7" t="str">
        <f t="shared" si="35"/>
        <v>军费</v>
      </c>
      <c r="I176" s="7">
        <v>625</v>
      </c>
      <c r="J176" s="68">
        <f t="shared" si="36"/>
        <v>12.5</v>
      </c>
      <c r="K176" s="7"/>
      <c r="L176" s="7" t="str">
        <f t="shared" si="37"/>
        <v/>
      </c>
      <c r="M176" s="7"/>
      <c r="N176" s="68">
        <f t="shared" si="38"/>
        <v>0</v>
      </c>
      <c r="O176" s="76"/>
      <c r="V176" s="22" t="s">
        <v>4249</v>
      </c>
      <c r="W176" s="22">
        <v>300</v>
      </c>
      <c r="X176" s="22" t="s">
        <v>4230</v>
      </c>
      <c r="Y176" s="22"/>
      <c r="Z176" s="22"/>
      <c r="AB176" s="7" t="str">
        <f t="shared" si="43"/>
        <v>[]</v>
      </c>
      <c r="AC176" s="7" t="str">
        <f t="shared" si="44"/>
        <v>[(102,625)]</v>
      </c>
    </row>
    <row r="177" spans="1:29" ht="15.75" x14ac:dyDescent="0.3">
      <c r="A177" s="18">
        <v>75</v>
      </c>
      <c r="B177" s="18">
        <v>2</v>
      </c>
      <c r="C177" s="7"/>
      <c r="D177" s="7" t="str">
        <f t="shared" si="33"/>
        <v/>
      </c>
      <c r="E177" s="7"/>
      <c r="F177" s="68">
        <f t="shared" si="34"/>
        <v>0</v>
      </c>
      <c r="G177" s="7" t="s">
        <v>2632</v>
      </c>
      <c r="H177" s="7" t="str">
        <f t="shared" si="35"/>
        <v>战旗</v>
      </c>
      <c r="I177" s="7">
        <v>1</v>
      </c>
      <c r="J177" s="68">
        <f t="shared" si="36"/>
        <v>150</v>
      </c>
      <c r="K177" s="7"/>
      <c r="L177" s="7" t="str">
        <f t="shared" si="37"/>
        <v/>
      </c>
      <c r="M177" s="7"/>
      <c r="N177" s="68">
        <f t="shared" si="38"/>
        <v>0</v>
      </c>
      <c r="O177" s="76"/>
      <c r="V177" s="22"/>
      <c r="W177" s="22"/>
      <c r="X177" s="22"/>
      <c r="Y177" s="22"/>
      <c r="Z177" s="22"/>
      <c r="AB177" s="7" t="str">
        <f t="shared" si="43"/>
        <v>[]</v>
      </c>
      <c r="AC177" s="7" t="str">
        <f t="shared" si="44"/>
        <v>[(120103,1)]</v>
      </c>
    </row>
    <row r="178" spans="1:29" ht="15.75" x14ac:dyDescent="0.3">
      <c r="A178" s="18">
        <v>76</v>
      </c>
      <c r="B178" s="18">
        <v>2</v>
      </c>
      <c r="C178" s="7"/>
      <c r="D178" s="7" t="str">
        <f t="shared" si="33"/>
        <v/>
      </c>
      <c r="E178" s="7"/>
      <c r="F178" s="68">
        <f t="shared" si="34"/>
        <v>0</v>
      </c>
      <c r="G178" s="7" t="s">
        <v>511</v>
      </c>
      <c r="H178" s="7" t="str">
        <f t="shared" si="35"/>
        <v>双倍钥匙</v>
      </c>
      <c r="I178" s="7">
        <v>30</v>
      </c>
      <c r="J178" s="68">
        <f t="shared" si="36"/>
        <v>15.000000000000014</v>
      </c>
      <c r="K178" s="7"/>
      <c r="L178" s="7" t="str">
        <f t="shared" si="37"/>
        <v/>
      </c>
      <c r="M178" s="7"/>
      <c r="N178" s="68">
        <f t="shared" si="38"/>
        <v>0</v>
      </c>
      <c r="O178" s="76"/>
      <c r="V178" s="22"/>
      <c r="W178" s="22"/>
      <c r="X178" s="22"/>
      <c r="Y178" s="22"/>
      <c r="Z178" s="22"/>
      <c r="AB178" s="7" t="str">
        <f t="shared" si="43"/>
        <v>[]</v>
      </c>
      <c r="AC178" s="7" t="str">
        <f t="shared" si="44"/>
        <v>[(111,30)]</v>
      </c>
    </row>
    <row r="179" spans="1:29" ht="15.75" x14ac:dyDescent="0.3">
      <c r="A179" s="18">
        <v>77</v>
      </c>
      <c r="B179" s="18">
        <v>2</v>
      </c>
      <c r="C179" s="7"/>
      <c r="D179" s="7" t="str">
        <f t="shared" si="33"/>
        <v/>
      </c>
      <c r="E179" s="7"/>
      <c r="F179" s="68">
        <f t="shared" si="34"/>
        <v>0</v>
      </c>
      <c r="G179" s="7" t="s">
        <v>317</v>
      </c>
      <c r="H179" s="7" t="str">
        <f t="shared" si="35"/>
        <v>钻石</v>
      </c>
      <c r="I179" s="7">
        <v>50</v>
      </c>
      <c r="J179" s="68">
        <f t="shared" si="36"/>
        <v>50</v>
      </c>
      <c r="K179" s="7"/>
      <c r="L179" s="7" t="str">
        <f t="shared" si="37"/>
        <v/>
      </c>
      <c r="M179" s="7"/>
      <c r="N179" s="68">
        <f t="shared" si="38"/>
        <v>0</v>
      </c>
      <c r="O179" s="76"/>
      <c r="V179" s="22"/>
      <c r="W179" s="22"/>
      <c r="X179" s="22"/>
      <c r="Y179" s="22"/>
      <c r="Z179" s="22"/>
      <c r="AB179" s="7" t="str">
        <f t="shared" si="43"/>
        <v>[]</v>
      </c>
      <c r="AC179" s="7" t="str">
        <f t="shared" si="44"/>
        <v>[(101,50)]</v>
      </c>
    </row>
    <row r="180" spans="1:29" ht="15.75" x14ac:dyDescent="0.3">
      <c r="A180" s="18">
        <v>78</v>
      </c>
      <c r="B180" s="18">
        <v>2</v>
      </c>
      <c r="C180" s="7"/>
      <c r="D180" s="7" t="str">
        <f t="shared" si="33"/>
        <v/>
      </c>
      <c r="E180" s="7"/>
      <c r="F180" s="68">
        <f t="shared" si="34"/>
        <v>0</v>
      </c>
      <c r="G180" s="7" t="s">
        <v>521</v>
      </c>
      <c r="H180" s="7" t="str">
        <f t="shared" si="35"/>
        <v>宝箱</v>
      </c>
      <c r="I180" s="7">
        <v>1</v>
      </c>
      <c r="J180" s="68">
        <f t="shared" si="36"/>
        <v>100</v>
      </c>
      <c r="K180" s="7"/>
      <c r="L180" s="7" t="str">
        <f t="shared" si="37"/>
        <v/>
      </c>
      <c r="M180" s="7"/>
      <c r="N180" s="68">
        <f t="shared" si="38"/>
        <v>0</v>
      </c>
      <c r="O180" s="76"/>
      <c r="V180" s="22"/>
      <c r="W180" s="22"/>
      <c r="X180" s="22"/>
      <c r="Y180" s="22"/>
      <c r="Z180" s="22"/>
      <c r="AB180" s="7" t="str">
        <f t="shared" si="43"/>
        <v>[]</v>
      </c>
      <c r="AC180" s="7" t="str">
        <f t="shared" si="44"/>
        <v>[(24004,1)]</v>
      </c>
    </row>
    <row r="181" spans="1:29" ht="15.75" x14ac:dyDescent="0.3">
      <c r="A181" s="18">
        <v>79</v>
      </c>
      <c r="B181" s="18">
        <v>2</v>
      </c>
      <c r="C181" s="7"/>
      <c r="D181" s="7" t="str">
        <f t="shared" si="33"/>
        <v/>
      </c>
      <c r="E181" s="7"/>
      <c r="F181" s="68">
        <f t="shared" si="34"/>
        <v>0</v>
      </c>
      <c r="G181" s="7" t="s">
        <v>2686</v>
      </c>
      <c r="H181" s="7" t="str">
        <f t="shared" si="35"/>
        <v>BattlePass货币</v>
      </c>
      <c r="I181" s="7">
        <v>60</v>
      </c>
      <c r="J181" s="68">
        <f t="shared" si="36"/>
        <v>84</v>
      </c>
      <c r="K181" s="7"/>
      <c r="L181" s="7" t="str">
        <f t="shared" si="37"/>
        <v/>
      </c>
      <c r="M181" s="7"/>
      <c r="N181" s="68">
        <f t="shared" si="38"/>
        <v>0</v>
      </c>
      <c r="O181" s="76"/>
      <c r="V181" s="22"/>
      <c r="W181" s="22"/>
      <c r="X181" s="22"/>
      <c r="Y181" s="22"/>
      <c r="Z181" s="22"/>
      <c r="AB181" s="7" t="str">
        <f t="shared" si="43"/>
        <v>[]</v>
      </c>
      <c r="AC181" s="7" t="str">
        <f t="shared" si="44"/>
        <v>[(113,60)]</v>
      </c>
    </row>
    <row r="182" spans="1:29" ht="15.75" x14ac:dyDescent="0.3">
      <c r="A182" s="18">
        <v>80</v>
      </c>
      <c r="B182" s="18">
        <v>2</v>
      </c>
      <c r="C182" s="70"/>
      <c r="D182" s="7" t="str">
        <f t="shared" si="33"/>
        <v/>
      </c>
      <c r="E182" s="70"/>
      <c r="F182" s="71">
        <f t="shared" si="34"/>
        <v>0</v>
      </c>
      <c r="G182" s="70" t="s">
        <v>2642</v>
      </c>
      <c r="H182" s="7" t="str">
        <f t="shared" si="35"/>
        <v>战旗</v>
      </c>
      <c r="I182" s="70">
        <v>1</v>
      </c>
      <c r="J182" s="68">
        <f t="shared" si="36"/>
        <v>200</v>
      </c>
      <c r="K182" s="70" t="s">
        <v>1936</v>
      </c>
      <c r="L182" s="7" t="str">
        <f t="shared" si="37"/>
        <v>坦克碎片</v>
      </c>
      <c r="M182" s="70">
        <v>15</v>
      </c>
      <c r="N182" s="68">
        <f t="shared" si="38"/>
        <v>1500</v>
      </c>
      <c r="O182" s="77">
        <f>SUM(N173:N182)+SUM(J173:J182)+SUM(F173:F182)</f>
        <v>2199</v>
      </c>
      <c r="V182" s="22"/>
      <c r="W182" s="22"/>
      <c r="X182" s="22"/>
      <c r="Y182" s="22"/>
      <c r="Z182" s="22"/>
      <c r="AB182" s="7" t="str">
        <f t="shared" si="43"/>
        <v>[]</v>
      </c>
      <c r="AC182" s="7" t="str">
        <f t="shared" si="44"/>
        <v>[(120204,1),(52331,15)]</v>
      </c>
    </row>
    <row r="183" spans="1:29" ht="15.75" x14ac:dyDescent="0.3">
      <c r="A183" s="18">
        <v>81</v>
      </c>
      <c r="B183" s="18">
        <v>2</v>
      </c>
      <c r="C183" s="7"/>
      <c r="D183" s="7" t="str">
        <f t="shared" si="33"/>
        <v/>
      </c>
      <c r="E183" s="7"/>
      <c r="F183" s="68">
        <f t="shared" si="34"/>
        <v>0</v>
      </c>
      <c r="G183" s="7" t="s">
        <v>268</v>
      </c>
      <c r="H183" s="7" t="str">
        <f t="shared" si="35"/>
        <v>军费</v>
      </c>
      <c r="I183" s="7">
        <v>625</v>
      </c>
      <c r="J183" s="68">
        <f t="shared" si="36"/>
        <v>12.5</v>
      </c>
      <c r="K183" s="7"/>
      <c r="L183" s="7" t="str">
        <f t="shared" si="37"/>
        <v/>
      </c>
      <c r="M183" s="7"/>
      <c r="N183" s="68">
        <f t="shared" si="38"/>
        <v>0</v>
      </c>
      <c r="O183" s="76"/>
      <c r="V183" s="22"/>
      <c r="W183" s="22"/>
      <c r="X183" s="22"/>
      <c r="Y183" s="22"/>
      <c r="Z183" s="22"/>
      <c r="AB183" s="7" t="str">
        <f t="shared" si="43"/>
        <v>[]</v>
      </c>
      <c r="AC183" s="7" t="str">
        <f t="shared" si="44"/>
        <v>[(102,625)]</v>
      </c>
    </row>
    <row r="184" spans="1:29" ht="15.75" x14ac:dyDescent="0.3">
      <c r="A184" s="18">
        <v>82</v>
      </c>
      <c r="B184" s="18">
        <v>2</v>
      </c>
      <c r="C184" s="7"/>
      <c r="D184" s="7" t="str">
        <f t="shared" si="33"/>
        <v/>
      </c>
      <c r="E184" s="7"/>
      <c r="F184" s="68">
        <f t="shared" si="34"/>
        <v>0</v>
      </c>
      <c r="G184" s="7" t="s">
        <v>317</v>
      </c>
      <c r="H184" s="7" t="str">
        <f t="shared" si="35"/>
        <v>钻石</v>
      </c>
      <c r="I184" s="7">
        <v>100</v>
      </c>
      <c r="J184" s="68">
        <f t="shared" si="36"/>
        <v>100</v>
      </c>
      <c r="K184" s="7"/>
      <c r="L184" s="7" t="str">
        <f t="shared" si="37"/>
        <v/>
      </c>
      <c r="M184" s="7"/>
      <c r="N184" s="68">
        <f t="shared" si="38"/>
        <v>0</v>
      </c>
      <c r="O184" s="76"/>
      <c r="V184" s="22"/>
      <c r="W184" s="22"/>
      <c r="X184" s="22"/>
      <c r="Y184" s="22"/>
      <c r="Z184" s="22"/>
      <c r="AB184" s="7" t="str">
        <f t="shared" si="43"/>
        <v>[]</v>
      </c>
      <c r="AC184" s="7" t="str">
        <f t="shared" si="44"/>
        <v>[(101,100)]</v>
      </c>
    </row>
    <row r="185" spans="1:29" ht="15.75" x14ac:dyDescent="0.3">
      <c r="A185" s="18">
        <v>83</v>
      </c>
      <c r="B185" s="18">
        <v>2</v>
      </c>
      <c r="C185" s="7"/>
      <c r="D185" s="7" t="str">
        <f t="shared" si="33"/>
        <v/>
      </c>
      <c r="E185" s="7"/>
      <c r="F185" s="68">
        <f t="shared" si="34"/>
        <v>0</v>
      </c>
      <c r="G185" s="7" t="s">
        <v>273</v>
      </c>
      <c r="H185" s="7" t="str">
        <f t="shared" si="35"/>
        <v>钥匙</v>
      </c>
      <c r="I185" s="7">
        <v>30</v>
      </c>
      <c r="J185" s="68">
        <f t="shared" si="36"/>
        <v>25.000000000000021</v>
      </c>
      <c r="K185" s="7"/>
      <c r="L185" s="7" t="str">
        <f t="shared" si="37"/>
        <v/>
      </c>
      <c r="M185" s="7"/>
      <c r="N185" s="68">
        <f t="shared" si="38"/>
        <v>0</v>
      </c>
      <c r="O185" s="76"/>
      <c r="V185" s="22"/>
      <c r="W185" s="22"/>
      <c r="X185" s="22"/>
      <c r="Y185" s="22"/>
      <c r="Z185" s="22"/>
      <c r="AB185" s="7" t="str">
        <f t="shared" si="43"/>
        <v>[]</v>
      </c>
      <c r="AC185" s="7" t="str">
        <f t="shared" si="44"/>
        <v>[(105,30)]</v>
      </c>
    </row>
    <row r="186" spans="1:29" ht="15.75" x14ac:dyDescent="0.3">
      <c r="A186" s="18">
        <v>84</v>
      </c>
      <c r="B186" s="18">
        <v>2</v>
      </c>
      <c r="C186" s="7"/>
      <c r="D186" s="7" t="str">
        <f t="shared" si="33"/>
        <v/>
      </c>
      <c r="E186" s="7"/>
      <c r="F186" s="68">
        <f t="shared" si="34"/>
        <v>0</v>
      </c>
      <c r="G186" s="7" t="s">
        <v>2686</v>
      </c>
      <c r="H186" s="7" t="str">
        <f t="shared" si="35"/>
        <v>BattlePass货币</v>
      </c>
      <c r="I186" s="7">
        <v>100</v>
      </c>
      <c r="J186" s="68">
        <f t="shared" si="36"/>
        <v>140</v>
      </c>
      <c r="K186" s="7"/>
      <c r="L186" s="7" t="str">
        <f t="shared" si="37"/>
        <v/>
      </c>
      <c r="M186" s="7"/>
      <c r="N186" s="68">
        <f t="shared" si="38"/>
        <v>0</v>
      </c>
      <c r="O186" s="76"/>
      <c r="V186" s="22"/>
      <c r="W186" s="22"/>
      <c r="X186" s="22"/>
      <c r="Y186" s="22"/>
      <c r="Z186" s="22"/>
      <c r="AB186" s="7" t="str">
        <f t="shared" si="43"/>
        <v>[]</v>
      </c>
      <c r="AC186" s="7" t="str">
        <f t="shared" si="44"/>
        <v>[(113,100)]</v>
      </c>
    </row>
    <row r="187" spans="1:29" ht="15.75" x14ac:dyDescent="0.3">
      <c r="A187" s="18">
        <v>85</v>
      </c>
      <c r="B187" s="18">
        <v>2</v>
      </c>
      <c r="C187" s="7"/>
      <c r="D187" s="7" t="str">
        <f t="shared" si="33"/>
        <v/>
      </c>
      <c r="E187" s="7"/>
      <c r="F187" s="68">
        <f t="shared" si="34"/>
        <v>0</v>
      </c>
      <c r="G187" s="7" t="s">
        <v>268</v>
      </c>
      <c r="H187" s="7" t="str">
        <f t="shared" si="35"/>
        <v>军费</v>
      </c>
      <c r="I187" s="7">
        <v>625</v>
      </c>
      <c r="J187" s="68">
        <f t="shared" si="36"/>
        <v>12.5</v>
      </c>
      <c r="K187" s="7"/>
      <c r="L187" s="7" t="str">
        <f t="shared" si="37"/>
        <v/>
      </c>
      <c r="M187" s="7"/>
      <c r="N187" s="68">
        <f t="shared" si="38"/>
        <v>0</v>
      </c>
      <c r="O187" s="76"/>
      <c r="V187" s="22"/>
      <c r="W187" s="22"/>
      <c r="X187" s="22"/>
      <c r="Y187" s="22"/>
      <c r="Z187" s="22"/>
      <c r="AB187" s="7" t="str">
        <f t="shared" si="43"/>
        <v>[]</v>
      </c>
      <c r="AC187" s="7" t="str">
        <f t="shared" si="44"/>
        <v>[(102,625)]</v>
      </c>
    </row>
    <row r="188" spans="1:29" ht="15.75" x14ac:dyDescent="0.3">
      <c r="A188" s="18">
        <v>86</v>
      </c>
      <c r="B188" s="18">
        <v>2</v>
      </c>
      <c r="C188" s="7"/>
      <c r="D188" s="7" t="str">
        <f t="shared" si="33"/>
        <v/>
      </c>
      <c r="E188" s="7"/>
      <c r="F188" s="68">
        <f t="shared" si="34"/>
        <v>0</v>
      </c>
      <c r="G188" s="7" t="s">
        <v>511</v>
      </c>
      <c r="H188" s="7" t="str">
        <f t="shared" si="35"/>
        <v>双倍钥匙</v>
      </c>
      <c r="I188" s="7">
        <v>30</v>
      </c>
      <c r="J188" s="68">
        <f t="shared" si="36"/>
        <v>15.000000000000014</v>
      </c>
      <c r="K188" s="7"/>
      <c r="L188" s="7" t="str">
        <f t="shared" si="37"/>
        <v/>
      </c>
      <c r="M188" s="7"/>
      <c r="N188" s="68">
        <f t="shared" si="38"/>
        <v>0</v>
      </c>
      <c r="O188" s="76"/>
      <c r="V188" s="22"/>
      <c r="W188" s="22"/>
      <c r="X188" s="22"/>
      <c r="Y188" s="22"/>
      <c r="Z188" s="22"/>
      <c r="AB188" s="7" t="str">
        <f t="shared" si="43"/>
        <v>[]</v>
      </c>
      <c r="AC188" s="7" t="str">
        <f t="shared" si="44"/>
        <v>[(111,30)]</v>
      </c>
    </row>
    <row r="189" spans="1:29" ht="15.75" x14ac:dyDescent="0.3">
      <c r="A189" s="18">
        <v>87</v>
      </c>
      <c r="B189" s="18">
        <v>2</v>
      </c>
      <c r="C189" s="7"/>
      <c r="D189" s="7" t="str">
        <f t="shared" si="33"/>
        <v/>
      </c>
      <c r="E189" s="7"/>
      <c r="F189" s="68">
        <f t="shared" si="34"/>
        <v>0</v>
      </c>
      <c r="G189" s="7" t="s">
        <v>317</v>
      </c>
      <c r="H189" s="7" t="str">
        <f t="shared" si="35"/>
        <v>钻石</v>
      </c>
      <c r="I189" s="7">
        <v>100</v>
      </c>
      <c r="J189" s="68">
        <f t="shared" si="36"/>
        <v>100</v>
      </c>
      <c r="K189" s="7"/>
      <c r="L189" s="7" t="str">
        <f t="shared" si="37"/>
        <v/>
      </c>
      <c r="M189" s="7"/>
      <c r="N189" s="68">
        <f t="shared" si="38"/>
        <v>0</v>
      </c>
      <c r="O189" s="76"/>
      <c r="V189" s="22"/>
      <c r="W189" s="22"/>
      <c r="X189" s="22"/>
      <c r="Y189" s="22"/>
      <c r="Z189" s="22"/>
      <c r="AB189" s="7" t="str">
        <f t="shared" si="43"/>
        <v>[]</v>
      </c>
      <c r="AC189" s="7" t="str">
        <f t="shared" si="44"/>
        <v>[(101,100)]</v>
      </c>
    </row>
    <row r="190" spans="1:29" ht="15.75" x14ac:dyDescent="0.3">
      <c r="A190" s="18">
        <v>88</v>
      </c>
      <c r="B190" s="18">
        <v>2</v>
      </c>
      <c r="C190" s="7"/>
      <c r="D190" s="7" t="str">
        <f t="shared" si="33"/>
        <v/>
      </c>
      <c r="E190" s="7"/>
      <c r="F190" s="68">
        <f t="shared" si="34"/>
        <v>0</v>
      </c>
      <c r="G190" s="7" t="s">
        <v>4217</v>
      </c>
      <c r="H190" s="7" t="str">
        <f t="shared" si="35"/>
        <v>新加速道具</v>
      </c>
      <c r="I190" s="7">
        <v>1</v>
      </c>
      <c r="J190" s="68">
        <f t="shared" si="36"/>
        <v>4</v>
      </c>
      <c r="K190" s="7"/>
      <c r="L190" s="7" t="str">
        <f t="shared" si="37"/>
        <v/>
      </c>
      <c r="M190" s="7"/>
      <c r="N190" s="68">
        <f t="shared" si="38"/>
        <v>0</v>
      </c>
      <c r="O190" s="76"/>
      <c r="V190" s="22"/>
      <c r="W190" s="22"/>
      <c r="X190" s="22"/>
      <c r="Y190" s="22"/>
      <c r="Z190" s="22"/>
      <c r="AB190" s="7" t="str">
        <f t="shared" si="43"/>
        <v>[]</v>
      </c>
      <c r="AC190" s="7" t="str">
        <f t="shared" si="44"/>
        <v>[(100202,1)]</v>
      </c>
    </row>
    <row r="191" spans="1:29" ht="15.75" x14ac:dyDescent="0.3">
      <c r="A191" s="18">
        <v>89</v>
      </c>
      <c r="B191" s="18">
        <v>2</v>
      </c>
      <c r="C191" s="7"/>
      <c r="D191" s="7" t="str">
        <f t="shared" si="33"/>
        <v/>
      </c>
      <c r="E191" s="7"/>
      <c r="F191" s="68">
        <f t="shared" si="34"/>
        <v>0</v>
      </c>
      <c r="G191" s="7" t="s">
        <v>2457</v>
      </c>
      <c r="H191" s="7" t="str">
        <f t="shared" si="35"/>
        <v>宝箱</v>
      </c>
      <c r="I191" s="7">
        <v>1</v>
      </c>
      <c r="J191" s="68">
        <f t="shared" si="36"/>
        <v>600</v>
      </c>
      <c r="K191" s="7"/>
      <c r="L191" s="7" t="str">
        <f t="shared" si="37"/>
        <v/>
      </c>
      <c r="M191" s="7"/>
      <c r="N191" s="68">
        <f t="shared" si="38"/>
        <v>0</v>
      </c>
      <c r="O191" s="76"/>
      <c r="V191" s="22"/>
      <c r="W191" s="22"/>
      <c r="X191" s="22"/>
      <c r="Y191" s="22"/>
      <c r="Z191" s="22"/>
      <c r="AB191" s="7" t="str">
        <f t="shared" si="43"/>
        <v>[]</v>
      </c>
      <c r="AC191" s="7" t="str">
        <f t="shared" si="44"/>
        <v>[(25154,1)]</v>
      </c>
    </row>
    <row r="192" spans="1:29" ht="15.75" x14ac:dyDescent="0.3">
      <c r="A192" s="18">
        <v>90</v>
      </c>
      <c r="B192" s="18">
        <v>2</v>
      </c>
      <c r="C192" s="70"/>
      <c r="D192" s="7" t="str">
        <f t="shared" si="33"/>
        <v/>
      </c>
      <c r="E192" s="70"/>
      <c r="F192" s="71">
        <f t="shared" si="34"/>
        <v>0</v>
      </c>
      <c r="G192" s="70" t="s">
        <v>2788</v>
      </c>
      <c r="H192" s="7" t="str">
        <f t="shared" si="35"/>
        <v>头像框</v>
      </c>
      <c r="I192" s="70">
        <v>1</v>
      </c>
      <c r="J192" s="68">
        <f t="shared" si="36"/>
        <v>300</v>
      </c>
      <c r="K192" s="70" t="s">
        <v>1936</v>
      </c>
      <c r="L192" s="7" t="str">
        <f t="shared" si="37"/>
        <v>坦克碎片</v>
      </c>
      <c r="M192" s="70">
        <v>15</v>
      </c>
      <c r="N192" s="68">
        <f t="shared" si="38"/>
        <v>1500</v>
      </c>
      <c r="O192" s="77">
        <f>SUM(N183:N192)+SUM(J183:J192)+SUM(F183:F192)</f>
        <v>2809</v>
      </c>
      <c r="V192" s="22"/>
      <c r="W192" s="22"/>
      <c r="X192" s="22"/>
      <c r="Y192" s="22"/>
      <c r="Z192" s="22"/>
      <c r="AB192" s="7" t="str">
        <f t="shared" si="43"/>
        <v>[]</v>
      </c>
      <c r="AC192" s="7" t="str">
        <f t="shared" si="44"/>
        <v>[(130115,1),(52331,15)]</v>
      </c>
    </row>
    <row r="193" spans="1:29" x14ac:dyDescent="0.15">
      <c r="A193" s="18">
        <v>91</v>
      </c>
      <c r="B193" s="18">
        <v>2</v>
      </c>
      <c r="C193" s="7"/>
      <c r="D193" s="7" t="str">
        <f t="shared" si="33"/>
        <v/>
      </c>
      <c r="E193" s="7"/>
      <c r="F193" s="68">
        <f t="shared" si="34"/>
        <v>0</v>
      </c>
      <c r="G193" s="7" t="s">
        <v>2457</v>
      </c>
      <c r="H193" s="7" t="str">
        <f t="shared" si="35"/>
        <v>宝箱</v>
      </c>
      <c r="I193" s="7">
        <v>1</v>
      </c>
      <c r="J193" s="68">
        <f t="shared" si="36"/>
        <v>600</v>
      </c>
      <c r="K193" s="7"/>
      <c r="L193" s="7" t="str">
        <f t="shared" si="37"/>
        <v/>
      </c>
      <c r="M193" s="7"/>
      <c r="N193" s="68">
        <f t="shared" si="38"/>
        <v>0</v>
      </c>
      <c r="O193" s="76"/>
      <c r="AB193" s="7" t="str">
        <f t="shared" si="43"/>
        <v>[]</v>
      </c>
      <c r="AC193" s="7" t="str">
        <f t="shared" si="44"/>
        <v>[(25154,1)]</v>
      </c>
    </row>
    <row r="194" spans="1:29" x14ac:dyDescent="0.15">
      <c r="A194" s="18">
        <v>92</v>
      </c>
      <c r="B194" s="18">
        <v>2</v>
      </c>
      <c r="C194" s="7"/>
      <c r="D194" s="7" t="str">
        <f t="shared" si="33"/>
        <v/>
      </c>
      <c r="E194" s="7"/>
      <c r="F194" s="68">
        <f t="shared" si="34"/>
        <v>0</v>
      </c>
      <c r="G194" s="7" t="s">
        <v>268</v>
      </c>
      <c r="H194" s="7" t="str">
        <f t="shared" si="35"/>
        <v>军费</v>
      </c>
      <c r="I194" s="7">
        <v>625</v>
      </c>
      <c r="J194" s="68">
        <f t="shared" si="36"/>
        <v>12.5</v>
      </c>
      <c r="K194" s="7"/>
      <c r="L194" s="7" t="str">
        <f t="shared" si="37"/>
        <v/>
      </c>
      <c r="M194" s="7"/>
      <c r="N194" s="68">
        <f t="shared" si="38"/>
        <v>0</v>
      </c>
      <c r="O194" s="76"/>
      <c r="AB194" s="7" t="str">
        <f t="shared" si="43"/>
        <v>[]</v>
      </c>
      <c r="AC194" s="7" t="str">
        <f t="shared" si="44"/>
        <v>[(102,625)]</v>
      </c>
    </row>
    <row r="195" spans="1:29" x14ac:dyDescent="0.15">
      <c r="A195" s="18">
        <v>93</v>
      </c>
      <c r="B195" s="18">
        <v>2</v>
      </c>
      <c r="C195" s="7"/>
      <c r="D195" s="7" t="str">
        <f t="shared" ref="D195:D258" si="45">IF(C195="","",VLOOKUP(C195,$V:$X,3,FALSE))</f>
        <v/>
      </c>
      <c r="E195" s="69"/>
      <c r="F195" s="68">
        <f t="shared" ref="F195:F258" si="46">IF(C195="",0,VLOOKUP(C195,$V:$W,2,FALSE)*E195)</f>
        <v>0</v>
      </c>
      <c r="G195" s="7" t="s">
        <v>4217</v>
      </c>
      <c r="H195" s="7" t="str">
        <f t="shared" ref="H195:H258" si="47">IF(G195="","",VLOOKUP(G195,$V:$X,3,FALSE))</f>
        <v>新加速道具</v>
      </c>
      <c r="I195" s="7">
        <v>2</v>
      </c>
      <c r="J195" s="68">
        <f t="shared" ref="J195:J258" si="48">IF(G195="",0,VLOOKUP(G195,$V:$W,2,FALSE)*I195)</f>
        <v>8</v>
      </c>
      <c r="K195" s="7"/>
      <c r="L195" s="7" t="str">
        <f t="shared" ref="L195:L258" si="49">IF(K195="","",VLOOKUP(K195,$V:$X,3,FALSE))</f>
        <v/>
      </c>
      <c r="M195" s="7"/>
      <c r="N195" s="68">
        <f t="shared" ref="N195:N258" si="50">IF(K195="",0,VLOOKUP(K195,$V:$W,2,FALSE)*M195)</f>
        <v>0</v>
      </c>
      <c r="O195" s="76"/>
      <c r="AB195" s="7" t="str">
        <f t="shared" si="43"/>
        <v>[]</v>
      </c>
      <c r="AC195" s="7" t="str">
        <f t="shared" si="44"/>
        <v>[(100202,2)]</v>
      </c>
    </row>
    <row r="196" spans="1:29" x14ac:dyDescent="0.15">
      <c r="A196" s="18">
        <v>94</v>
      </c>
      <c r="B196" s="18">
        <v>2</v>
      </c>
      <c r="C196" s="7"/>
      <c r="D196" s="7" t="str">
        <f t="shared" si="45"/>
        <v/>
      </c>
      <c r="E196" s="7"/>
      <c r="F196" s="68">
        <f t="shared" si="46"/>
        <v>0</v>
      </c>
      <c r="G196" s="7" t="s">
        <v>2782</v>
      </c>
      <c r="H196" s="7" t="str">
        <f t="shared" si="47"/>
        <v>头像</v>
      </c>
      <c r="I196" s="7">
        <v>1</v>
      </c>
      <c r="J196" s="68">
        <f t="shared" si="48"/>
        <v>200</v>
      </c>
      <c r="K196" s="7"/>
      <c r="L196" s="7" t="str">
        <f t="shared" si="49"/>
        <v/>
      </c>
      <c r="M196" s="7"/>
      <c r="N196" s="68">
        <f t="shared" si="50"/>
        <v>0</v>
      </c>
      <c r="O196" s="76"/>
      <c r="AB196" s="7" t="str">
        <f t="shared" si="43"/>
        <v>[]</v>
      </c>
      <c r="AC196" s="7" t="str">
        <f t="shared" si="44"/>
        <v>[(140126,1)]</v>
      </c>
    </row>
    <row r="197" spans="1:29" x14ac:dyDescent="0.15">
      <c r="A197" s="18">
        <v>95</v>
      </c>
      <c r="B197" s="18">
        <v>2</v>
      </c>
      <c r="C197" s="7"/>
      <c r="D197" s="7" t="str">
        <f t="shared" si="45"/>
        <v/>
      </c>
      <c r="E197" s="7"/>
      <c r="F197" s="68">
        <f t="shared" si="46"/>
        <v>0</v>
      </c>
      <c r="G197" s="7" t="s">
        <v>268</v>
      </c>
      <c r="H197" s="7" t="str">
        <f t="shared" si="47"/>
        <v>军费</v>
      </c>
      <c r="I197" s="7">
        <v>800</v>
      </c>
      <c r="J197" s="68">
        <f t="shared" si="48"/>
        <v>16</v>
      </c>
      <c r="K197" s="7"/>
      <c r="L197" s="7" t="str">
        <f t="shared" si="49"/>
        <v/>
      </c>
      <c r="M197" s="7"/>
      <c r="N197" s="68">
        <f t="shared" si="50"/>
        <v>0</v>
      </c>
      <c r="O197" s="76"/>
      <c r="AB197" s="7" t="str">
        <f t="shared" si="43"/>
        <v>[]</v>
      </c>
      <c r="AC197" s="7" t="str">
        <f t="shared" si="44"/>
        <v>[(102,800)]</v>
      </c>
    </row>
    <row r="198" spans="1:29" x14ac:dyDescent="0.15">
      <c r="A198" s="18">
        <v>96</v>
      </c>
      <c r="B198" s="18">
        <v>2</v>
      </c>
      <c r="C198" s="7"/>
      <c r="D198" s="7" t="str">
        <f t="shared" si="45"/>
        <v/>
      </c>
      <c r="E198" s="7"/>
      <c r="F198" s="68">
        <f t="shared" si="46"/>
        <v>0</v>
      </c>
      <c r="G198" s="7" t="s">
        <v>317</v>
      </c>
      <c r="H198" s="7" t="str">
        <f t="shared" si="47"/>
        <v>钻石</v>
      </c>
      <c r="I198" s="7">
        <v>150</v>
      </c>
      <c r="J198" s="68">
        <f t="shared" si="48"/>
        <v>150</v>
      </c>
      <c r="K198" s="7"/>
      <c r="L198" s="7" t="str">
        <f t="shared" si="49"/>
        <v/>
      </c>
      <c r="M198" s="7"/>
      <c r="N198" s="68">
        <f t="shared" si="50"/>
        <v>0</v>
      </c>
      <c r="O198" s="76"/>
      <c r="AB198" s="7" t="str">
        <f t="shared" si="43"/>
        <v>[]</v>
      </c>
      <c r="AC198" s="7" t="str">
        <f t="shared" si="44"/>
        <v>[(101,150)]</v>
      </c>
    </row>
    <row r="199" spans="1:29" x14ac:dyDescent="0.15">
      <c r="A199" s="18">
        <v>97</v>
      </c>
      <c r="B199" s="18">
        <v>2</v>
      </c>
      <c r="C199" s="7"/>
      <c r="D199" s="7" t="str">
        <f t="shared" si="45"/>
        <v/>
      </c>
      <c r="E199" s="7"/>
      <c r="F199" s="68">
        <f t="shared" si="46"/>
        <v>0</v>
      </c>
      <c r="G199" s="7" t="s">
        <v>2686</v>
      </c>
      <c r="H199" s="7" t="str">
        <f t="shared" si="47"/>
        <v>BattlePass货币</v>
      </c>
      <c r="I199" s="7">
        <v>100</v>
      </c>
      <c r="J199" s="68">
        <f t="shared" si="48"/>
        <v>140</v>
      </c>
      <c r="K199" s="7" t="s">
        <v>2796</v>
      </c>
      <c r="L199" s="7" t="str">
        <f t="shared" si="49"/>
        <v>头像框</v>
      </c>
      <c r="M199" s="7">
        <v>1</v>
      </c>
      <c r="N199" s="68">
        <f t="shared" si="50"/>
        <v>300</v>
      </c>
      <c r="O199" s="76"/>
      <c r="AB199" s="7" t="str">
        <f t="shared" si="43"/>
        <v>[]</v>
      </c>
      <c r="AC199" s="7" t="str">
        <f t="shared" si="44"/>
        <v>[(113,100),(130119,1)]</v>
      </c>
    </row>
    <row r="200" spans="1:29" x14ac:dyDescent="0.15">
      <c r="A200" s="18">
        <v>98</v>
      </c>
      <c r="B200" s="18">
        <v>2</v>
      </c>
      <c r="C200" s="7"/>
      <c r="D200" s="7" t="str">
        <f t="shared" si="45"/>
        <v/>
      </c>
      <c r="E200" s="7"/>
      <c r="F200" s="68">
        <f t="shared" si="46"/>
        <v>0</v>
      </c>
      <c r="G200" s="7" t="s">
        <v>317</v>
      </c>
      <c r="H200" s="7" t="str">
        <f t="shared" si="47"/>
        <v>钻石</v>
      </c>
      <c r="I200" s="7">
        <v>150</v>
      </c>
      <c r="J200" s="68">
        <f t="shared" si="48"/>
        <v>150</v>
      </c>
      <c r="K200" s="7"/>
      <c r="L200" s="7" t="str">
        <f t="shared" si="49"/>
        <v/>
      </c>
      <c r="M200" s="7"/>
      <c r="N200" s="68">
        <f t="shared" si="50"/>
        <v>0</v>
      </c>
      <c r="O200" s="76"/>
      <c r="AB200" s="7" t="str">
        <f t="shared" si="43"/>
        <v>[]</v>
      </c>
      <c r="AC200" s="7" t="str">
        <f t="shared" si="44"/>
        <v>[(101,150)]</v>
      </c>
    </row>
    <row r="201" spans="1:29" x14ac:dyDescent="0.15">
      <c r="A201" s="18">
        <v>99</v>
      </c>
      <c r="B201" s="18">
        <v>2</v>
      </c>
      <c r="C201" s="7"/>
      <c r="D201" s="7" t="str">
        <f t="shared" si="45"/>
        <v/>
      </c>
      <c r="E201" s="69"/>
      <c r="F201" s="68">
        <f t="shared" si="46"/>
        <v>0</v>
      </c>
      <c r="G201" s="7" t="s">
        <v>2457</v>
      </c>
      <c r="H201" s="7" t="str">
        <f t="shared" si="47"/>
        <v>宝箱</v>
      </c>
      <c r="I201" s="7">
        <v>1</v>
      </c>
      <c r="J201" s="68">
        <f t="shared" si="48"/>
        <v>600</v>
      </c>
      <c r="K201" s="7"/>
      <c r="L201" s="7" t="str">
        <f t="shared" si="49"/>
        <v/>
      </c>
      <c r="M201" s="7"/>
      <c r="N201" s="68">
        <f t="shared" si="50"/>
        <v>0</v>
      </c>
      <c r="O201" s="76"/>
      <c r="AB201" s="7" t="str">
        <f t="shared" si="43"/>
        <v>[]</v>
      </c>
      <c r="AC201" s="7" t="str">
        <f t="shared" si="44"/>
        <v>[(25154,1)]</v>
      </c>
    </row>
    <row r="202" spans="1:29" x14ac:dyDescent="0.15">
      <c r="A202" s="18">
        <v>100</v>
      </c>
      <c r="B202" s="18">
        <v>2</v>
      </c>
      <c r="C202" s="70"/>
      <c r="D202" s="7" t="str">
        <f t="shared" si="45"/>
        <v/>
      </c>
      <c r="E202" s="94"/>
      <c r="F202" s="71">
        <f t="shared" si="46"/>
        <v>0</v>
      </c>
      <c r="G202" s="70" t="s">
        <v>2800</v>
      </c>
      <c r="H202" s="7" t="str">
        <f t="shared" si="47"/>
        <v>涂装</v>
      </c>
      <c r="I202" s="70">
        <v>1</v>
      </c>
      <c r="J202" s="68">
        <f t="shared" si="48"/>
        <v>600</v>
      </c>
      <c r="K202" s="70" t="s">
        <v>1936</v>
      </c>
      <c r="L202" s="7" t="str">
        <f t="shared" si="49"/>
        <v>坦克碎片</v>
      </c>
      <c r="M202" s="70">
        <v>15</v>
      </c>
      <c r="N202" s="68">
        <f t="shared" si="50"/>
        <v>1500</v>
      </c>
      <c r="O202" s="77">
        <f>SUM(N193:N202)+SUM(J193:J202)+SUM(F193:F202)</f>
        <v>4276.5</v>
      </c>
      <c r="AB202" s="7" t="str">
        <f t="shared" si="43"/>
        <v>[]</v>
      </c>
      <c r="AC202" s="7" t="str">
        <f t="shared" si="44"/>
        <v>[(180035,1),(52331,15)]</v>
      </c>
    </row>
    <row r="203" spans="1:29" x14ac:dyDescent="0.15">
      <c r="A203" s="293">
        <v>1</v>
      </c>
      <c r="B203" s="293">
        <v>3</v>
      </c>
      <c r="C203" s="7" t="s">
        <v>268</v>
      </c>
      <c r="D203" s="7" t="str">
        <f t="shared" si="45"/>
        <v>军费</v>
      </c>
      <c r="E203" s="7">
        <v>30</v>
      </c>
      <c r="F203" s="68">
        <f t="shared" si="46"/>
        <v>0.6</v>
      </c>
      <c r="G203" s="283" t="s">
        <v>3923</v>
      </c>
      <c r="H203" s="7" t="str">
        <f t="shared" si="47"/>
        <v>坦克</v>
      </c>
      <c r="I203" s="7">
        <v>1</v>
      </c>
      <c r="J203" s="68">
        <f t="shared" si="48"/>
        <v>2400</v>
      </c>
      <c r="K203" s="283" t="s">
        <v>4081</v>
      </c>
      <c r="L203" s="7" t="str">
        <f t="shared" si="49"/>
        <v>战旗</v>
      </c>
      <c r="M203" s="7">
        <v>1</v>
      </c>
      <c r="N203" s="68">
        <f t="shared" si="50"/>
        <v>200</v>
      </c>
      <c r="O203" s="76"/>
      <c r="Q203" s="81"/>
      <c r="R203" s="82" t="s">
        <v>1806</v>
      </c>
      <c r="S203" s="83" t="s">
        <v>705</v>
      </c>
      <c r="T203" s="83" t="s">
        <v>706</v>
      </c>
      <c r="AB203" s="7" t="str">
        <f t="shared" ref="AB203:AB228" si="51">IF(C203="","[]","["&amp;"("&amp;VLOOKUP(C203,道具ID,2,FALSE)&amp;","&amp;E203&amp;")"&amp;"]")</f>
        <v>[(102,30)]</v>
      </c>
      <c r="AC203" s="7" t="str">
        <f t="shared" ref="AC203:AC228" si="52">IF(G203="","[]",IF(K203="","["&amp;"("&amp;VLOOKUP(G203,道具ID,2,FALSE)&amp;","&amp;I203&amp;")"&amp;"]","["&amp;"("&amp;VLOOKUP(G203,道具ID,2,FALSE)&amp;","&amp;I203&amp;")"&amp;","&amp;"("&amp;VLOOKUP(K203,道具ID,2,FALSE)&amp;","&amp;M203&amp;")"&amp;"]"))</f>
        <v>[(13321,1),(120105,1)]</v>
      </c>
    </row>
    <row r="204" spans="1:29" x14ac:dyDescent="0.15">
      <c r="A204" s="293">
        <v>2</v>
      </c>
      <c r="B204" s="293">
        <v>3</v>
      </c>
      <c r="C204" s="7" t="s">
        <v>3891</v>
      </c>
      <c r="D204" s="7" t="str">
        <f t="shared" si="45"/>
        <v>头像框</v>
      </c>
      <c r="E204" s="7">
        <v>1</v>
      </c>
      <c r="F204" s="68">
        <f t="shared" si="46"/>
        <v>200</v>
      </c>
      <c r="G204" s="7" t="s">
        <v>317</v>
      </c>
      <c r="H204" s="7" t="str">
        <f t="shared" si="47"/>
        <v>钻石</v>
      </c>
      <c r="I204" s="7">
        <v>20</v>
      </c>
      <c r="J204" s="68">
        <f t="shared" si="48"/>
        <v>20</v>
      </c>
      <c r="K204" s="7"/>
      <c r="L204" s="7" t="str">
        <f t="shared" si="49"/>
        <v/>
      </c>
      <c r="M204" s="7"/>
      <c r="N204" s="68">
        <f t="shared" si="50"/>
        <v>0</v>
      </c>
      <c r="O204" s="76"/>
      <c r="Q204" s="7" t="s">
        <v>2987</v>
      </c>
      <c r="R204" s="76">
        <f>SUMIFS(F:F,B:B,3)</f>
        <v>3732.7000000000003</v>
      </c>
      <c r="S204" s="85">
        <f>R204/VLOOKUP(1,道具价值!$B$74:$E$80,4,FALSE)</f>
        <v>49.603435555555563</v>
      </c>
      <c r="T204" s="85">
        <f>R204/VLOOKUP(6,道具价值!$B$74:$E$80,4,FALSE)</f>
        <v>37.323267299999998</v>
      </c>
      <c r="AB204" s="7" t="str">
        <f t="shared" si="51"/>
        <v>[(130121,1)]</v>
      </c>
      <c r="AC204" s="7" t="str">
        <f t="shared" si="52"/>
        <v>[(101,20)]</v>
      </c>
    </row>
    <row r="205" spans="1:29" x14ac:dyDescent="0.15">
      <c r="A205" s="293">
        <v>3</v>
      </c>
      <c r="B205" s="293">
        <v>3</v>
      </c>
      <c r="C205" s="7" t="s">
        <v>317</v>
      </c>
      <c r="D205" s="7" t="str">
        <f t="shared" si="45"/>
        <v>钻石</v>
      </c>
      <c r="E205" s="7">
        <v>20</v>
      </c>
      <c r="F205" s="68">
        <f t="shared" si="46"/>
        <v>20</v>
      </c>
      <c r="G205" s="7" t="s">
        <v>2686</v>
      </c>
      <c r="H205" s="7" t="str">
        <f t="shared" si="47"/>
        <v>BattlePass货币</v>
      </c>
      <c r="I205" s="7">
        <v>10</v>
      </c>
      <c r="J205" s="68">
        <f t="shared" si="48"/>
        <v>14</v>
      </c>
      <c r="K205" s="7" t="s">
        <v>268</v>
      </c>
      <c r="L205" s="7" t="str">
        <f t="shared" si="49"/>
        <v>军费</v>
      </c>
      <c r="M205" s="7">
        <v>250</v>
      </c>
      <c r="N205" s="68">
        <f t="shared" si="50"/>
        <v>5</v>
      </c>
      <c r="O205" s="76"/>
      <c r="Q205" s="7" t="s">
        <v>2988</v>
      </c>
      <c r="R205" s="76">
        <f>SUMIFS(J:J,B:B,3)+SUMIFS(N:N,B:B,3)</f>
        <v>24288.5</v>
      </c>
      <c r="S205" s="86">
        <f>R205/VLOOKUP(1,道具价值!$B$74:$E$80,4,FALSE)</f>
        <v>322.76717777777782</v>
      </c>
      <c r="T205" s="86">
        <f>R205/VLOOKUP(6,道具价值!$B$74:$E$80,4,FALSE)</f>
        <v>242.86071149999998</v>
      </c>
      <c r="AB205" s="7" t="str">
        <f t="shared" si="51"/>
        <v>[(101,20)]</v>
      </c>
      <c r="AC205" s="7" t="str">
        <f t="shared" si="52"/>
        <v>[(113,10),(102,250)]</v>
      </c>
    </row>
    <row r="206" spans="1:29" x14ac:dyDescent="0.15">
      <c r="A206" s="293">
        <v>4</v>
      </c>
      <c r="B206" s="293">
        <v>3</v>
      </c>
      <c r="C206" s="7" t="s">
        <v>2434</v>
      </c>
      <c r="D206" s="7" t="str">
        <f t="shared" si="45"/>
        <v>宝箱</v>
      </c>
      <c r="E206" s="69">
        <v>1</v>
      </c>
      <c r="F206" s="68">
        <f t="shared" si="46"/>
        <v>200</v>
      </c>
      <c r="G206" s="283" t="s">
        <v>3925</v>
      </c>
      <c r="H206" s="7" t="str">
        <f t="shared" si="47"/>
        <v>头像</v>
      </c>
      <c r="I206" s="7">
        <v>1</v>
      </c>
      <c r="J206" s="68">
        <f t="shared" si="48"/>
        <v>200</v>
      </c>
      <c r="K206" s="7"/>
      <c r="L206" s="7" t="str">
        <f t="shared" si="49"/>
        <v/>
      </c>
      <c r="M206" s="7"/>
      <c r="N206" s="68">
        <f t="shared" si="50"/>
        <v>0</v>
      </c>
      <c r="O206" s="76"/>
      <c r="Q206" s="7" t="s">
        <v>2989</v>
      </c>
      <c r="R206" s="76">
        <f>R204+R205</f>
        <v>28021.200000000001</v>
      </c>
      <c r="S206" s="86">
        <f>R206/VLOOKUP(1,道具价值!$B$74:$E$80,4,FALSE)</f>
        <v>372.37061333333338</v>
      </c>
      <c r="T206" s="86">
        <f>R206/VLOOKUP(6,道具价值!$B$74:$E$80,4,FALSE)</f>
        <v>280.18397879999998</v>
      </c>
      <c r="AB206" s="7" t="str">
        <f t="shared" si="51"/>
        <v>[(25052,1)]</v>
      </c>
      <c r="AC206" s="7" t="str">
        <f t="shared" si="52"/>
        <v>[(140129,1)]</v>
      </c>
    </row>
    <row r="207" spans="1:29" x14ac:dyDescent="0.15">
      <c r="A207" s="293">
        <v>5</v>
      </c>
      <c r="B207" s="293">
        <v>3</v>
      </c>
      <c r="C207" s="283" t="s">
        <v>4093</v>
      </c>
      <c r="D207" s="7" t="str">
        <f t="shared" si="45"/>
        <v>涂鸦</v>
      </c>
      <c r="E207" s="7">
        <v>1</v>
      </c>
      <c r="F207" s="68">
        <f t="shared" si="46"/>
        <v>200</v>
      </c>
      <c r="G207" s="283" t="s">
        <v>3924</v>
      </c>
      <c r="H207" s="7" t="str">
        <f t="shared" si="47"/>
        <v>坦克碎片</v>
      </c>
      <c r="I207" s="7">
        <v>6</v>
      </c>
      <c r="J207" s="68">
        <f t="shared" si="48"/>
        <v>600</v>
      </c>
      <c r="K207" s="7"/>
      <c r="L207" s="7" t="str">
        <f t="shared" si="49"/>
        <v/>
      </c>
      <c r="M207" s="7">
        <v>1</v>
      </c>
      <c r="N207" s="68">
        <f t="shared" si="50"/>
        <v>0</v>
      </c>
      <c r="O207" s="76"/>
      <c r="Q207" s="7" t="s">
        <v>2990</v>
      </c>
      <c r="R207" s="76">
        <v>11</v>
      </c>
      <c r="S207" s="85"/>
      <c r="T207" s="85"/>
      <c r="AB207" s="7" t="str">
        <f t="shared" si="51"/>
        <v>[(150113,1)]</v>
      </c>
      <c r="AC207" s="7" t="str">
        <f t="shared" si="52"/>
        <v>[(53321,6)]</v>
      </c>
    </row>
    <row r="208" spans="1:29" x14ac:dyDescent="0.15">
      <c r="A208" s="293">
        <v>6</v>
      </c>
      <c r="B208" s="293">
        <v>3</v>
      </c>
      <c r="C208" s="7" t="s">
        <v>2624</v>
      </c>
      <c r="D208" s="7" t="str">
        <f t="shared" si="45"/>
        <v>摆件</v>
      </c>
      <c r="E208" s="7">
        <v>1</v>
      </c>
      <c r="F208" s="68">
        <f t="shared" si="46"/>
        <v>500</v>
      </c>
      <c r="G208" s="283" t="s">
        <v>3926</v>
      </c>
      <c r="H208" s="7" t="str">
        <f t="shared" si="47"/>
        <v>涂鸦</v>
      </c>
      <c r="I208" s="7">
        <v>1</v>
      </c>
      <c r="J208" s="68">
        <f t="shared" si="48"/>
        <v>200</v>
      </c>
      <c r="K208" s="7"/>
      <c r="L208" s="7" t="str">
        <f t="shared" si="49"/>
        <v/>
      </c>
      <c r="M208" s="7"/>
      <c r="N208" s="68">
        <f t="shared" si="50"/>
        <v>0</v>
      </c>
      <c r="O208" s="76"/>
      <c r="Q208" s="7" t="s">
        <v>2991</v>
      </c>
      <c r="R208" s="76">
        <f>SUMIFS(F:F,A:A,"&lt;="&amp;R207,B:B,3)+SUMIFS(J:J,A:A,"&lt;="&amp;R207,B:B,3)+SUMIFS(N:N,A:A,"&lt;="&amp;R207,B:B,3)</f>
        <v>6317.4666666666672</v>
      </c>
      <c r="S208" s="85">
        <f>R208/VLOOKUP(1,道具价值!$B$74:$E$80,4,FALSE)</f>
        <v>83.952112592592613</v>
      </c>
      <c r="T208" s="85">
        <f>R208/VLOOKUP(6,道具价值!$B$74:$E$80,4,FALSE)</f>
        <v>63.168349200000002</v>
      </c>
      <c r="AB208" s="7" t="str">
        <f t="shared" si="51"/>
        <v>[(110104,1)]</v>
      </c>
      <c r="AC208" s="7" t="str">
        <f t="shared" si="52"/>
        <v>[(150114,1)]</v>
      </c>
    </row>
    <row r="209" spans="1:29" x14ac:dyDescent="0.15">
      <c r="A209" s="293">
        <v>7</v>
      </c>
      <c r="B209" s="293">
        <v>3</v>
      </c>
      <c r="C209" s="7" t="s">
        <v>268</v>
      </c>
      <c r="D209" s="7" t="str">
        <f t="shared" si="45"/>
        <v>军费</v>
      </c>
      <c r="E209" s="7">
        <v>60</v>
      </c>
      <c r="F209" s="68">
        <f t="shared" si="46"/>
        <v>1.2</v>
      </c>
      <c r="G209" s="7" t="s">
        <v>317</v>
      </c>
      <c r="H209" s="7" t="str">
        <f t="shared" si="47"/>
        <v>钻石</v>
      </c>
      <c r="I209" s="7">
        <v>20</v>
      </c>
      <c r="J209" s="68">
        <f t="shared" si="48"/>
        <v>20</v>
      </c>
      <c r="K209" s="7"/>
      <c r="L209" s="7" t="str">
        <f t="shared" si="49"/>
        <v/>
      </c>
      <c r="M209" s="7"/>
      <c r="N209" s="68">
        <f t="shared" si="50"/>
        <v>0</v>
      </c>
      <c r="O209" s="76"/>
      <c r="Q209" s="7" t="s">
        <v>2992</v>
      </c>
      <c r="R209" s="14">
        <f>R208/R206</f>
        <v>0.22545310931247295</v>
      </c>
      <c r="S209" s="87">
        <f>S208/S206</f>
        <v>0.22545310931247295</v>
      </c>
      <c r="T209" s="87">
        <f>T208/T206</f>
        <v>0.22545310931247295</v>
      </c>
      <c r="AB209" s="7" t="str">
        <f t="shared" si="51"/>
        <v>[(102,60)]</v>
      </c>
      <c r="AC209" s="7" t="str">
        <f t="shared" si="52"/>
        <v>[(101,20)]</v>
      </c>
    </row>
    <row r="210" spans="1:29" x14ac:dyDescent="0.15">
      <c r="A210" s="293">
        <v>8</v>
      </c>
      <c r="B210" s="293">
        <v>3</v>
      </c>
      <c r="C210" s="7" t="s">
        <v>1972</v>
      </c>
      <c r="D210" s="7" t="str">
        <f t="shared" si="45"/>
        <v>坦克碎片</v>
      </c>
      <c r="E210" s="7">
        <v>3</v>
      </c>
      <c r="F210" s="68">
        <f t="shared" si="46"/>
        <v>300</v>
      </c>
      <c r="G210" s="283" t="s">
        <v>3935</v>
      </c>
      <c r="H210" s="7" t="str">
        <f t="shared" si="47"/>
        <v>摆件</v>
      </c>
      <c r="I210" s="7">
        <v>1</v>
      </c>
      <c r="J210" s="68">
        <f t="shared" si="48"/>
        <v>200</v>
      </c>
      <c r="K210" s="283"/>
      <c r="L210" s="7" t="str">
        <f t="shared" si="49"/>
        <v/>
      </c>
      <c r="M210" s="7"/>
      <c r="N210" s="68">
        <f t="shared" si="50"/>
        <v>0</v>
      </c>
      <c r="O210" s="76"/>
      <c r="Q210" s="13" t="s">
        <v>2928</v>
      </c>
      <c r="R210" s="76">
        <v>70</v>
      </c>
      <c r="S210" s="85"/>
      <c r="T210" s="85"/>
      <c r="AB210" s="7" t="str">
        <f t="shared" si="51"/>
        <v>[(53321,3)]</v>
      </c>
      <c r="AC210" s="7" t="str">
        <f t="shared" si="52"/>
        <v>[(110110,1)]</v>
      </c>
    </row>
    <row r="211" spans="1:29" x14ac:dyDescent="0.15">
      <c r="A211" s="293">
        <v>9</v>
      </c>
      <c r="B211" s="293">
        <v>3</v>
      </c>
      <c r="C211" s="7" t="s">
        <v>273</v>
      </c>
      <c r="D211" s="7" t="str">
        <f t="shared" si="45"/>
        <v>钥匙</v>
      </c>
      <c r="E211" s="7">
        <v>20</v>
      </c>
      <c r="F211" s="68">
        <f t="shared" si="46"/>
        <v>16.666666666666682</v>
      </c>
      <c r="G211" s="7" t="s">
        <v>514</v>
      </c>
      <c r="H211" s="7" t="str">
        <f t="shared" si="47"/>
        <v>宝箱</v>
      </c>
      <c r="I211" s="7">
        <v>1</v>
      </c>
      <c r="J211" s="68">
        <f t="shared" si="48"/>
        <v>600</v>
      </c>
      <c r="K211" s="7"/>
      <c r="L211" s="7" t="str">
        <f t="shared" si="49"/>
        <v/>
      </c>
      <c r="M211" s="7"/>
      <c r="N211" s="68">
        <f t="shared" si="50"/>
        <v>0</v>
      </c>
      <c r="O211" s="76"/>
      <c r="Q211" s="13" t="s">
        <v>2921</v>
      </c>
      <c r="R211" s="76">
        <f>R206/R210</f>
        <v>400.30285714285714</v>
      </c>
      <c r="S211" s="88">
        <f>R211/VLOOKUP(1,道具价值!$B$74:$E$80,4,FALSE)</f>
        <v>5.3195801904761906</v>
      </c>
      <c r="T211" s="88">
        <f>R211/VLOOKUP(6,道具价值!$B$74:$E$80,4,FALSE)</f>
        <v>4.0026282685714278</v>
      </c>
      <c r="AB211" s="7" t="str">
        <f t="shared" si="51"/>
        <v>[(105,20)]</v>
      </c>
      <c r="AC211" s="7" t="str">
        <f t="shared" si="52"/>
        <v>[(25152,1)]</v>
      </c>
    </row>
    <row r="212" spans="1:29" x14ac:dyDescent="0.15">
      <c r="A212" s="293">
        <v>10</v>
      </c>
      <c r="B212" s="293">
        <v>3</v>
      </c>
      <c r="C212" s="70" t="s">
        <v>3883</v>
      </c>
      <c r="D212" s="7" t="str">
        <f t="shared" si="45"/>
        <v>头像</v>
      </c>
      <c r="E212" s="70">
        <v>1</v>
      </c>
      <c r="F212" s="71">
        <f t="shared" si="46"/>
        <v>200</v>
      </c>
      <c r="G212" s="294" t="s">
        <v>3927</v>
      </c>
      <c r="H212" s="7" t="str">
        <f t="shared" si="47"/>
        <v>头像框</v>
      </c>
      <c r="I212" s="70">
        <v>1</v>
      </c>
      <c r="J212" s="68">
        <f t="shared" si="48"/>
        <v>200</v>
      </c>
      <c r="K212" s="70"/>
      <c r="L212" s="7" t="str">
        <f t="shared" si="49"/>
        <v/>
      </c>
      <c r="M212" s="70"/>
      <c r="N212" s="68">
        <f t="shared" si="50"/>
        <v>0</v>
      </c>
      <c r="O212" s="77">
        <f>SUM(N203:N212)+SUM(J203:J212)+SUM(F203:F212)</f>
        <v>6297.4666666666672</v>
      </c>
      <c r="AB212" s="7" t="str">
        <f t="shared" si="51"/>
        <v>[(140131,1)]</v>
      </c>
      <c r="AC212" s="7" t="str">
        <f t="shared" si="52"/>
        <v>[(130125,1)]</v>
      </c>
    </row>
    <row r="213" spans="1:29" x14ac:dyDescent="0.15">
      <c r="A213" s="293">
        <v>11</v>
      </c>
      <c r="B213" s="293">
        <v>3</v>
      </c>
      <c r="C213" s="7" t="s">
        <v>511</v>
      </c>
      <c r="D213" s="7" t="str">
        <f t="shared" si="45"/>
        <v>双倍钥匙</v>
      </c>
      <c r="E213" s="7">
        <v>30</v>
      </c>
      <c r="F213" s="68">
        <f t="shared" si="46"/>
        <v>15.000000000000014</v>
      </c>
      <c r="G213" s="7" t="s">
        <v>268</v>
      </c>
      <c r="H213" s="7" t="str">
        <f t="shared" si="47"/>
        <v>军费</v>
      </c>
      <c r="I213" s="7">
        <v>250</v>
      </c>
      <c r="J213" s="68">
        <f t="shared" si="48"/>
        <v>5</v>
      </c>
      <c r="K213" s="7"/>
      <c r="L213" s="7" t="str">
        <f t="shared" si="49"/>
        <v/>
      </c>
      <c r="M213" s="7"/>
      <c r="N213" s="68">
        <f t="shared" si="50"/>
        <v>0</v>
      </c>
      <c r="O213" s="76"/>
      <c r="Q213" s="11" t="s">
        <v>2994</v>
      </c>
      <c r="R213" s="89" t="s">
        <v>2995</v>
      </c>
      <c r="S213" s="90" t="s">
        <v>2996</v>
      </c>
      <c r="T213" s="90" t="s">
        <v>3011</v>
      </c>
      <c r="AB213" s="7" t="str">
        <f t="shared" si="51"/>
        <v>[(111,30)]</v>
      </c>
      <c r="AC213" s="7" t="str">
        <f t="shared" si="52"/>
        <v>[(102,250)]</v>
      </c>
    </row>
    <row r="214" spans="1:29" x14ac:dyDescent="0.15">
      <c r="A214" s="293">
        <v>12</v>
      </c>
      <c r="B214" s="293">
        <v>3</v>
      </c>
      <c r="C214" s="7" t="s">
        <v>268</v>
      </c>
      <c r="D214" s="7" t="str">
        <f t="shared" si="45"/>
        <v>军费</v>
      </c>
      <c r="E214" s="7">
        <v>60</v>
      </c>
      <c r="F214" s="68">
        <f t="shared" si="46"/>
        <v>1.2</v>
      </c>
      <c r="G214" s="7" t="s">
        <v>2686</v>
      </c>
      <c r="H214" s="7" t="str">
        <f t="shared" si="47"/>
        <v>BattlePass货币</v>
      </c>
      <c r="I214" s="7">
        <v>10</v>
      </c>
      <c r="J214" s="68">
        <f t="shared" si="48"/>
        <v>14</v>
      </c>
      <c r="K214" s="7"/>
      <c r="L214" s="7" t="str">
        <f t="shared" si="49"/>
        <v/>
      </c>
      <c r="M214" s="7"/>
      <c r="N214" s="68">
        <f t="shared" si="50"/>
        <v>0</v>
      </c>
      <c r="O214" s="76"/>
      <c r="Q214" s="91" t="s">
        <v>2993</v>
      </c>
      <c r="R214" s="92">
        <f t="shared" ref="R214:R228" si="53">SUMIFS(E:E,D:D,Q214,B:B,3)+SUMIFS(I:I,H:H,Q214,B:B,3)+SUMIFS(M:M,L:L,Q214,B:B,3)</f>
        <v>3</v>
      </c>
      <c r="S214" s="93">
        <f t="shared" ref="S214:S228" si="54">SUMIFS(E:E,D:D,Q214,B:B,3)</f>
        <v>1</v>
      </c>
      <c r="T214" s="93">
        <f t="shared" ref="T214:T220" si="55">COUNTIF(X:X,Q214)</f>
        <v>14</v>
      </c>
      <c r="AB214" s="7" t="str">
        <f t="shared" si="51"/>
        <v>[(102,60)]</v>
      </c>
      <c r="AC214" s="7" t="str">
        <f t="shared" si="52"/>
        <v>[(113,10)]</v>
      </c>
    </row>
    <row r="215" spans="1:29" x14ac:dyDescent="0.15">
      <c r="A215" s="293">
        <v>13</v>
      </c>
      <c r="B215" s="293">
        <v>3</v>
      </c>
      <c r="C215" s="283" t="s">
        <v>4083</v>
      </c>
      <c r="D215" s="7" t="str">
        <f t="shared" si="45"/>
        <v>宝箱</v>
      </c>
      <c r="E215" s="7">
        <v>1</v>
      </c>
      <c r="F215" s="68">
        <f t="shared" si="46"/>
        <v>100</v>
      </c>
      <c r="G215" s="7" t="s">
        <v>268</v>
      </c>
      <c r="H215" s="7" t="str">
        <f t="shared" si="47"/>
        <v>军费</v>
      </c>
      <c r="I215" s="7">
        <v>250</v>
      </c>
      <c r="J215" s="68">
        <f t="shared" si="48"/>
        <v>5</v>
      </c>
      <c r="K215" s="7"/>
      <c r="L215" s="7" t="str">
        <f t="shared" si="49"/>
        <v/>
      </c>
      <c r="M215" s="7"/>
      <c r="N215" s="68">
        <f t="shared" si="50"/>
        <v>0</v>
      </c>
      <c r="O215" s="76"/>
      <c r="Q215" s="91" t="s">
        <v>2986</v>
      </c>
      <c r="R215" s="92">
        <f t="shared" si="53"/>
        <v>5</v>
      </c>
      <c r="S215" s="93">
        <f t="shared" si="54"/>
        <v>2</v>
      </c>
      <c r="T215" s="93">
        <f t="shared" si="55"/>
        <v>18</v>
      </c>
      <c r="AB215" s="7" t="str">
        <f t="shared" si="51"/>
        <v>[(24005,1)]</v>
      </c>
      <c r="AC215" s="7" t="str">
        <f t="shared" si="52"/>
        <v>[(102,250)]</v>
      </c>
    </row>
    <row r="216" spans="1:29" x14ac:dyDescent="0.15">
      <c r="A216" s="293">
        <v>14</v>
      </c>
      <c r="B216" s="293">
        <v>3</v>
      </c>
      <c r="C216" s="7" t="s">
        <v>268</v>
      </c>
      <c r="D216" s="7" t="str">
        <f t="shared" si="45"/>
        <v>军费</v>
      </c>
      <c r="E216" s="7">
        <v>60</v>
      </c>
      <c r="F216" s="68">
        <f t="shared" si="46"/>
        <v>1.2</v>
      </c>
      <c r="G216" s="7" t="s">
        <v>273</v>
      </c>
      <c r="H216" s="7" t="str">
        <f t="shared" si="47"/>
        <v>钥匙</v>
      </c>
      <c r="I216" s="7">
        <v>30</v>
      </c>
      <c r="J216" s="68">
        <f t="shared" si="48"/>
        <v>25.000000000000021</v>
      </c>
      <c r="K216" s="7"/>
      <c r="L216" s="7" t="str">
        <f t="shared" si="49"/>
        <v/>
      </c>
      <c r="M216" s="7"/>
      <c r="N216" s="68">
        <f t="shared" si="50"/>
        <v>0</v>
      </c>
      <c r="O216" s="76"/>
      <c r="Q216" s="91" t="s">
        <v>2998</v>
      </c>
      <c r="R216" s="92">
        <f t="shared" si="53"/>
        <v>5</v>
      </c>
      <c r="S216" s="93">
        <f t="shared" si="54"/>
        <v>1</v>
      </c>
      <c r="T216" s="93">
        <f t="shared" si="55"/>
        <v>19</v>
      </c>
      <c r="AB216" s="7" t="str">
        <f t="shared" si="51"/>
        <v>[(102,60)]</v>
      </c>
      <c r="AC216" s="7" t="str">
        <f t="shared" si="52"/>
        <v>[(105,30)]</v>
      </c>
    </row>
    <row r="217" spans="1:29" x14ac:dyDescent="0.15">
      <c r="A217" s="293">
        <v>15</v>
      </c>
      <c r="B217" s="293">
        <v>3</v>
      </c>
      <c r="C217" s="7" t="s">
        <v>317</v>
      </c>
      <c r="D217" s="7" t="str">
        <f t="shared" si="45"/>
        <v>钻石</v>
      </c>
      <c r="E217" s="7">
        <v>10</v>
      </c>
      <c r="F217" s="68">
        <f t="shared" si="46"/>
        <v>10</v>
      </c>
      <c r="G217" s="7" t="s">
        <v>317</v>
      </c>
      <c r="H217" s="7" t="str">
        <f t="shared" si="47"/>
        <v>钻石</v>
      </c>
      <c r="I217" s="7">
        <v>20</v>
      </c>
      <c r="J217" s="68">
        <f t="shared" si="48"/>
        <v>20</v>
      </c>
      <c r="K217" s="7"/>
      <c r="L217" s="7" t="str">
        <f t="shared" si="49"/>
        <v/>
      </c>
      <c r="M217" s="7"/>
      <c r="N217" s="68">
        <f t="shared" si="50"/>
        <v>0</v>
      </c>
      <c r="O217" s="76"/>
      <c r="Q217" s="91" t="s">
        <v>2999</v>
      </c>
      <c r="R217" s="92">
        <f t="shared" si="53"/>
        <v>3</v>
      </c>
      <c r="S217" s="93">
        <f t="shared" si="54"/>
        <v>1</v>
      </c>
      <c r="T217" s="93">
        <f t="shared" si="55"/>
        <v>11</v>
      </c>
      <c r="AB217" s="7" t="str">
        <f t="shared" si="51"/>
        <v>[(101,10)]</v>
      </c>
      <c r="AC217" s="7" t="str">
        <f t="shared" si="52"/>
        <v>[(101,20)]</v>
      </c>
    </row>
    <row r="218" spans="1:29" x14ac:dyDescent="0.15">
      <c r="A218" s="293">
        <v>16</v>
      </c>
      <c r="B218" s="293">
        <v>3</v>
      </c>
      <c r="C218" s="7" t="s">
        <v>2382</v>
      </c>
      <c r="D218" s="7" t="str">
        <f t="shared" si="45"/>
        <v>宝箱</v>
      </c>
      <c r="E218" s="7">
        <v>1</v>
      </c>
      <c r="F218" s="68">
        <f t="shared" si="46"/>
        <v>100</v>
      </c>
      <c r="G218" s="283" t="s">
        <v>3924</v>
      </c>
      <c r="H218" s="7" t="str">
        <f t="shared" si="47"/>
        <v>坦克碎片</v>
      </c>
      <c r="I218" s="7">
        <v>8</v>
      </c>
      <c r="J218" s="68">
        <f t="shared" si="48"/>
        <v>800</v>
      </c>
      <c r="K218" s="7"/>
      <c r="L218" s="7" t="str">
        <f t="shared" si="49"/>
        <v/>
      </c>
      <c r="M218" s="7"/>
      <c r="N218" s="68">
        <f t="shared" si="50"/>
        <v>0</v>
      </c>
      <c r="O218" s="76"/>
      <c r="Q218" s="91" t="s">
        <v>3000</v>
      </c>
      <c r="R218" s="92">
        <f t="shared" si="53"/>
        <v>3</v>
      </c>
      <c r="S218" s="93">
        <f t="shared" si="54"/>
        <v>0</v>
      </c>
      <c r="T218" s="93">
        <f t="shared" si="55"/>
        <v>15</v>
      </c>
      <c r="AB218" s="7" t="str">
        <f t="shared" si="51"/>
        <v>[(23004,1)]</v>
      </c>
      <c r="AC218" s="7" t="str">
        <f t="shared" si="52"/>
        <v>[(53321,8)]</v>
      </c>
    </row>
    <row r="219" spans="1:29" x14ac:dyDescent="0.15">
      <c r="A219" s="293">
        <v>17</v>
      </c>
      <c r="B219" s="293">
        <v>3</v>
      </c>
      <c r="C219" s="7" t="s">
        <v>511</v>
      </c>
      <c r="D219" s="7" t="str">
        <f t="shared" si="45"/>
        <v>双倍钥匙</v>
      </c>
      <c r="E219" s="7">
        <v>40</v>
      </c>
      <c r="F219" s="68">
        <f t="shared" si="46"/>
        <v>20.000000000000018</v>
      </c>
      <c r="G219" s="7" t="s">
        <v>2434</v>
      </c>
      <c r="H219" s="7" t="str">
        <f t="shared" si="47"/>
        <v>宝箱</v>
      </c>
      <c r="I219" s="7">
        <v>1</v>
      </c>
      <c r="J219" s="68">
        <f t="shared" si="48"/>
        <v>200</v>
      </c>
      <c r="K219" s="7"/>
      <c r="L219" s="7" t="str">
        <f t="shared" si="49"/>
        <v/>
      </c>
      <c r="M219" s="7"/>
      <c r="N219" s="68">
        <f t="shared" si="50"/>
        <v>0</v>
      </c>
      <c r="O219" s="76"/>
      <c r="Q219" s="91" t="s">
        <v>3001</v>
      </c>
      <c r="R219" s="92">
        <f t="shared" si="53"/>
        <v>2</v>
      </c>
      <c r="S219" s="93">
        <f t="shared" si="54"/>
        <v>1</v>
      </c>
      <c r="T219" s="93">
        <f t="shared" si="55"/>
        <v>23</v>
      </c>
      <c r="AB219" s="7" t="str">
        <f t="shared" si="51"/>
        <v>[(111,40)]</v>
      </c>
      <c r="AC219" s="7" t="str">
        <f t="shared" si="52"/>
        <v>[(25052,1)]</v>
      </c>
    </row>
    <row r="220" spans="1:29" x14ac:dyDescent="0.15">
      <c r="A220" s="293">
        <v>18</v>
      </c>
      <c r="B220" s="293">
        <v>3</v>
      </c>
      <c r="C220" s="7" t="s">
        <v>268</v>
      </c>
      <c r="D220" s="7" t="str">
        <f t="shared" si="45"/>
        <v>军费</v>
      </c>
      <c r="E220" s="7">
        <v>125</v>
      </c>
      <c r="F220" s="68">
        <f t="shared" si="46"/>
        <v>2.5</v>
      </c>
      <c r="G220" s="7" t="s">
        <v>511</v>
      </c>
      <c r="H220" s="7" t="str">
        <f t="shared" si="47"/>
        <v>双倍钥匙</v>
      </c>
      <c r="I220" s="7">
        <v>20</v>
      </c>
      <c r="J220" s="68">
        <f t="shared" si="48"/>
        <v>10.000000000000009</v>
      </c>
      <c r="K220" s="7"/>
      <c r="L220" s="7" t="str">
        <f t="shared" si="49"/>
        <v/>
      </c>
      <c r="M220" s="7"/>
      <c r="N220" s="68">
        <f t="shared" si="50"/>
        <v>0</v>
      </c>
      <c r="O220" s="76"/>
      <c r="Q220" s="91" t="s">
        <v>3002</v>
      </c>
      <c r="R220" s="92">
        <f t="shared" si="53"/>
        <v>2</v>
      </c>
      <c r="S220" s="93">
        <f t="shared" si="54"/>
        <v>0</v>
      </c>
      <c r="T220" s="93">
        <f t="shared" si="55"/>
        <v>7</v>
      </c>
      <c r="AB220" s="7" t="str">
        <f t="shared" si="51"/>
        <v>[(102,125)]</v>
      </c>
      <c r="AC220" s="7" t="str">
        <f t="shared" si="52"/>
        <v>[(111,20)]</v>
      </c>
    </row>
    <row r="221" spans="1:29" x14ac:dyDescent="0.15">
      <c r="A221" s="293">
        <v>19</v>
      </c>
      <c r="B221" s="293">
        <v>3</v>
      </c>
      <c r="C221" s="7" t="s">
        <v>273</v>
      </c>
      <c r="D221" s="7" t="str">
        <f t="shared" si="45"/>
        <v>钥匙</v>
      </c>
      <c r="E221" s="7">
        <v>20</v>
      </c>
      <c r="F221" s="68">
        <f t="shared" si="46"/>
        <v>16.666666666666682</v>
      </c>
      <c r="G221" s="7" t="s">
        <v>317</v>
      </c>
      <c r="H221" s="7" t="str">
        <f t="shared" si="47"/>
        <v>钻石</v>
      </c>
      <c r="I221" s="7">
        <v>20</v>
      </c>
      <c r="J221" s="68">
        <f t="shared" si="48"/>
        <v>20</v>
      </c>
      <c r="K221" s="283"/>
      <c r="L221" s="7" t="str">
        <f t="shared" si="49"/>
        <v/>
      </c>
      <c r="M221" s="7"/>
      <c r="N221" s="68">
        <f t="shared" si="50"/>
        <v>0</v>
      </c>
      <c r="O221" s="76"/>
      <c r="Q221" s="13" t="s">
        <v>268</v>
      </c>
      <c r="R221" s="95">
        <f t="shared" si="53"/>
        <v>10110</v>
      </c>
      <c r="S221" s="96">
        <f t="shared" si="54"/>
        <v>1435</v>
      </c>
      <c r="T221" s="69">
        <f t="shared" ref="T221:T228" si="56">COUNTIF($X$3:$X$112,Q221)</f>
        <v>1</v>
      </c>
      <c r="AB221" s="7" t="str">
        <f t="shared" si="51"/>
        <v>[(105,20)]</v>
      </c>
      <c r="AC221" s="7" t="str">
        <f t="shared" si="52"/>
        <v>[(101,20)]</v>
      </c>
    </row>
    <row r="222" spans="1:29" x14ac:dyDescent="0.15">
      <c r="A222" s="293">
        <v>20</v>
      </c>
      <c r="B222" s="293">
        <v>3</v>
      </c>
      <c r="C222" s="70" t="s">
        <v>3904</v>
      </c>
      <c r="D222" s="7" t="str">
        <f t="shared" si="45"/>
        <v>涂装</v>
      </c>
      <c r="E222" s="70">
        <v>1</v>
      </c>
      <c r="F222" s="71">
        <f t="shared" si="46"/>
        <v>200</v>
      </c>
      <c r="G222" s="294" t="s">
        <v>3928</v>
      </c>
      <c r="H222" s="7" t="str">
        <f t="shared" si="47"/>
        <v>战旗</v>
      </c>
      <c r="I222" s="70">
        <v>1</v>
      </c>
      <c r="J222" s="68">
        <f t="shared" si="48"/>
        <v>200</v>
      </c>
      <c r="K222" s="294" t="s">
        <v>3930</v>
      </c>
      <c r="L222" s="7" t="str">
        <f t="shared" si="49"/>
        <v>涂鸦</v>
      </c>
      <c r="M222" s="70">
        <v>1</v>
      </c>
      <c r="N222" s="68">
        <f t="shared" si="50"/>
        <v>200</v>
      </c>
      <c r="O222" s="77">
        <f>SUM(N213:N222)+SUM(J213:J222)+SUM(F213:F222)</f>
        <v>1965.5666666666666</v>
      </c>
      <c r="Q222" s="13" t="s">
        <v>273</v>
      </c>
      <c r="R222" s="95">
        <f t="shared" si="53"/>
        <v>270</v>
      </c>
      <c r="S222" s="96">
        <f t="shared" si="54"/>
        <v>90</v>
      </c>
      <c r="T222" s="69">
        <f t="shared" si="56"/>
        <v>1</v>
      </c>
      <c r="AB222" s="7" t="str">
        <f t="shared" si="51"/>
        <v>[(180037,1)]</v>
      </c>
      <c r="AC222" s="7" t="str">
        <f t="shared" si="52"/>
        <v>[(120205,1),(150115,1)]</v>
      </c>
    </row>
    <row r="223" spans="1:29" x14ac:dyDescent="0.15">
      <c r="A223" s="293">
        <v>21</v>
      </c>
      <c r="B223" s="293">
        <v>3</v>
      </c>
      <c r="C223" s="7" t="s">
        <v>268</v>
      </c>
      <c r="D223" s="7" t="str">
        <f t="shared" si="45"/>
        <v>军费</v>
      </c>
      <c r="E223" s="69">
        <v>125</v>
      </c>
      <c r="F223" s="68">
        <f t="shared" si="46"/>
        <v>2.5</v>
      </c>
      <c r="G223" s="7" t="s">
        <v>273</v>
      </c>
      <c r="H223" s="7" t="str">
        <f t="shared" si="47"/>
        <v>钥匙</v>
      </c>
      <c r="I223" s="7">
        <v>20</v>
      </c>
      <c r="J223" s="68">
        <f t="shared" si="48"/>
        <v>16.666666666666682</v>
      </c>
      <c r="K223" s="7"/>
      <c r="L223" s="7" t="str">
        <f t="shared" si="49"/>
        <v/>
      </c>
      <c r="M223" s="7"/>
      <c r="N223" s="68">
        <f t="shared" si="50"/>
        <v>0</v>
      </c>
      <c r="O223" s="76"/>
      <c r="Q223" s="13" t="s">
        <v>511</v>
      </c>
      <c r="R223" s="95">
        <f t="shared" si="53"/>
        <v>200</v>
      </c>
      <c r="S223" s="96">
        <f t="shared" si="54"/>
        <v>70</v>
      </c>
      <c r="T223" s="69">
        <f t="shared" si="56"/>
        <v>1</v>
      </c>
      <c r="AB223" s="7" t="str">
        <f t="shared" si="51"/>
        <v>[(102,125)]</v>
      </c>
      <c r="AC223" s="7" t="str">
        <f t="shared" si="52"/>
        <v>[(105,20)]</v>
      </c>
    </row>
    <row r="224" spans="1:29" x14ac:dyDescent="0.15">
      <c r="A224" s="293">
        <v>22</v>
      </c>
      <c r="B224" s="293">
        <v>3</v>
      </c>
      <c r="C224" s="7" t="s">
        <v>268</v>
      </c>
      <c r="D224" s="7" t="str">
        <f t="shared" si="45"/>
        <v>军费</v>
      </c>
      <c r="E224" s="7">
        <v>125</v>
      </c>
      <c r="F224" s="68">
        <f t="shared" si="46"/>
        <v>2.5</v>
      </c>
      <c r="G224" s="7" t="s">
        <v>317</v>
      </c>
      <c r="H224" s="7" t="str">
        <f t="shared" si="47"/>
        <v>钻石</v>
      </c>
      <c r="I224" s="7">
        <v>20</v>
      </c>
      <c r="J224" s="68">
        <f t="shared" si="48"/>
        <v>20</v>
      </c>
      <c r="K224" s="7"/>
      <c r="L224" s="7" t="str">
        <f t="shared" si="49"/>
        <v/>
      </c>
      <c r="M224" s="7"/>
      <c r="N224" s="68">
        <f t="shared" si="50"/>
        <v>0</v>
      </c>
      <c r="O224" s="76"/>
      <c r="Q224" s="7" t="s">
        <v>3003</v>
      </c>
      <c r="R224" s="95">
        <f t="shared" si="53"/>
        <v>0</v>
      </c>
      <c r="S224" s="96">
        <f t="shared" si="54"/>
        <v>0</v>
      </c>
      <c r="T224" s="69">
        <f t="shared" si="56"/>
        <v>0</v>
      </c>
      <c r="AB224" s="7" t="str">
        <f t="shared" si="51"/>
        <v>[(102,125)]</v>
      </c>
      <c r="AC224" s="7" t="str">
        <f t="shared" si="52"/>
        <v>[(101,20)]</v>
      </c>
    </row>
    <row r="225" spans="1:29" x14ac:dyDescent="0.15">
      <c r="A225" s="293">
        <v>23</v>
      </c>
      <c r="B225" s="293">
        <v>3</v>
      </c>
      <c r="C225" s="7" t="s">
        <v>268</v>
      </c>
      <c r="D225" s="7" t="str">
        <f t="shared" si="45"/>
        <v>军费</v>
      </c>
      <c r="E225" s="7">
        <v>200</v>
      </c>
      <c r="F225" s="68">
        <f t="shared" si="46"/>
        <v>4</v>
      </c>
      <c r="G225" s="7" t="s">
        <v>268</v>
      </c>
      <c r="H225" s="7" t="str">
        <f t="shared" si="47"/>
        <v>军费</v>
      </c>
      <c r="I225" s="7">
        <v>250</v>
      </c>
      <c r="J225" s="68">
        <f t="shared" si="48"/>
        <v>5</v>
      </c>
      <c r="K225" s="7"/>
      <c r="L225" s="7" t="str">
        <f t="shared" si="49"/>
        <v/>
      </c>
      <c r="M225" s="7"/>
      <c r="N225" s="68">
        <f t="shared" si="50"/>
        <v>0</v>
      </c>
      <c r="O225" s="76"/>
      <c r="Q225" s="13" t="s">
        <v>3004</v>
      </c>
      <c r="R225" s="95">
        <f t="shared" si="53"/>
        <v>19</v>
      </c>
      <c r="S225" s="96">
        <f t="shared" si="54"/>
        <v>6</v>
      </c>
      <c r="T225" s="69">
        <f t="shared" si="56"/>
        <v>41</v>
      </c>
      <c r="AB225" s="7" t="str">
        <f t="shared" si="51"/>
        <v>[(102,200)]</v>
      </c>
      <c r="AC225" s="7" t="str">
        <f t="shared" si="52"/>
        <v>[(102,250)]</v>
      </c>
    </row>
    <row r="226" spans="1:29" x14ac:dyDescent="0.15">
      <c r="A226" s="293">
        <v>24</v>
      </c>
      <c r="B226" s="293">
        <v>3</v>
      </c>
      <c r="C226" s="7" t="s">
        <v>317</v>
      </c>
      <c r="D226" s="7" t="str">
        <f t="shared" si="45"/>
        <v>钻石</v>
      </c>
      <c r="E226" s="7">
        <v>10</v>
      </c>
      <c r="F226" s="68">
        <f t="shared" si="46"/>
        <v>10</v>
      </c>
      <c r="G226" s="7" t="s">
        <v>273</v>
      </c>
      <c r="H226" s="7" t="str">
        <f t="shared" si="47"/>
        <v>钥匙</v>
      </c>
      <c r="I226" s="7">
        <v>30</v>
      </c>
      <c r="J226" s="68">
        <f t="shared" si="48"/>
        <v>25.000000000000021</v>
      </c>
      <c r="K226" s="7"/>
      <c r="L226" s="7" t="str">
        <f t="shared" si="49"/>
        <v/>
      </c>
      <c r="M226" s="7"/>
      <c r="N226" s="68">
        <f t="shared" si="50"/>
        <v>0</v>
      </c>
      <c r="O226" s="76"/>
      <c r="Q226" s="283" t="s">
        <v>4091</v>
      </c>
      <c r="R226" s="95">
        <f t="shared" si="53"/>
        <v>300</v>
      </c>
      <c r="S226" s="96">
        <f t="shared" si="54"/>
        <v>0</v>
      </c>
      <c r="T226" s="69">
        <f t="shared" si="56"/>
        <v>1</v>
      </c>
      <c r="AB226" s="7" t="str">
        <f t="shared" si="51"/>
        <v>[(101,10)]</v>
      </c>
      <c r="AC226" s="7" t="str">
        <f t="shared" si="52"/>
        <v>[(105,30)]</v>
      </c>
    </row>
    <row r="227" spans="1:29" x14ac:dyDescent="0.15">
      <c r="A227" s="293">
        <v>25</v>
      </c>
      <c r="B227" s="293">
        <v>3</v>
      </c>
      <c r="C227" s="7" t="s">
        <v>4217</v>
      </c>
      <c r="D227" s="7" t="str">
        <f t="shared" si="45"/>
        <v>新加速道具</v>
      </c>
      <c r="E227" s="7">
        <v>1</v>
      </c>
      <c r="F227" s="68">
        <f t="shared" si="46"/>
        <v>4</v>
      </c>
      <c r="G227" s="7" t="s">
        <v>4217</v>
      </c>
      <c r="H227" s="7" t="str">
        <f t="shared" si="47"/>
        <v>新加速道具</v>
      </c>
      <c r="I227" s="7">
        <v>1</v>
      </c>
      <c r="J227" s="68">
        <f t="shared" si="48"/>
        <v>4</v>
      </c>
      <c r="K227" s="7"/>
      <c r="L227" s="7" t="str">
        <f t="shared" si="49"/>
        <v/>
      </c>
      <c r="M227" s="7"/>
      <c r="N227" s="68">
        <f t="shared" si="50"/>
        <v>0</v>
      </c>
      <c r="O227" s="76"/>
      <c r="Q227" s="7" t="s">
        <v>317</v>
      </c>
      <c r="R227" s="95">
        <f t="shared" si="53"/>
        <v>1030</v>
      </c>
      <c r="S227" s="96">
        <f t="shared" si="54"/>
        <v>90</v>
      </c>
      <c r="T227" s="69">
        <f t="shared" si="56"/>
        <v>1</v>
      </c>
      <c r="AB227" s="7" t="str">
        <f t="shared" si="51"/>
        <v>[(100202,1)]</v>
      </c>
      <c r="AC227" s="7" t="str">
        <f t="shared" si="52"/>
        <v>[(100202,1)]</v>
      </c>
    </row>
    <row r="228" spans="1:29" x14ac:dyDescent="0.15">
      <c r="A228" s="293">
        <v>26</v>
      </c>
      <c r="B228" s="293">
        <v>3</v>
      </c>
      <c r="C228" s="7" t="s">
        <v>273</v>
      </c>
      <c r="D228" s="7" t="str">
        <f t="shared" si="45"/>
        <v>钥匙</v>
      </c>
      <c r="E228" s="7">
        <v>20</v>
      </c>
      <c r="F228" s="68">
        <f t="shared" si="46"/>
        <v>16.666666666666682</v>
      </c>
      <c r="G228" s="7" t="s">
        <v>268</v>
      </c>
      <c r="H228" s="7" t="str">
        <f t="shared" si="47"/>
        <v>军费</v>
      </c>
      <c r="I228" s="7">
        <v>250</v>
      </c>
      <c r="J228" s="68">
        <f t="shared" si="48"/>
        <v>5</v>
      </c>
      <c r="K228" s="7"/>
      <c r="L228" s="7" t="str">
        <f t="shared" si="49"/>
        <v/>
      </c>
      <c r="M228" s="7"/>
      <c r="N228" s="68">
        <f t="shared" si="50"/>
        <v>0</v>
      </c>
      <c r="O228" s="76"/>
      <c r="Q228" s="13" t="s">
        <v>1726</v>
      </c>
      <c r="R228" s="95">
        <f t="shared" si="53"/>
        <v>120</v>
      </c>
      <c r="S228" s="96">
        <f t="shared" si="54"/>
        <v>3</v>
      </c>
      <c r="T228" s="69">
        <f t="shared" si="56"/>
        <v>0</v>
      </c>
      <c r="AB228" s="7" t="str">
        <f t="shared" si="51"/>
        <v>[(105,20)]</v>
      </c>
      <c r="AC228" s="7" t="str">
        <f t="shared" si="52"/>
        <v>[(102,250)]</v>
      </c>
    </row>
    <row r="229" spans="1:29" x14ac:dyDescent="0.15">
      <c r="A229" s="293">
        <v>27</v>
      </c>
      <c r="B229" s="293">
        <v>3</v>
      </c>
      <c r="C229" s="7" t="s">
        <v>268</v>
      </c>
      <c r="D229" s="7" t="str">
        <f t="shared" si="45"/>
        <v>军费</v>
      </c>
      <c r="E229" s="7">
        <v>200</v>
      </c>
      <c r="F229" s="68">
        <f t="shared" si="46"/>
        <v>4</v>
      </c>
      <c r="G229" s="7" t="s">
        <v>2686</v>
      </c>
      <c r="H229" s="7" t="str">
        <f t="shared" si="47"/>
        <v>BattlePass货币</v>
      </c>
      <c r="I229" s="7">
        <v>15</v>
      </c>
      <c r="J229" s="68">
        <f t="shared" si="48"/>
        <v>21</v>
      </c>
      <c r="K229" s="7"/>
      <c r="L229" s="7" t="str">
        <f t="shared" si="49"/>
        <v/>
      </c>
      <c r="M229" s="7"/>
      <c r="N229" s="68">
        <f t="shared" si="50"/>
        <v>0</v>
      </c>
      <c r="O229" s="76"/>
      <c r="AB229" s="7" t="str">
        <f t="shared" ref="AB229:AB292" si="57">IF(C229="","[]","["&amp;"("&amp;VLOOKUP(C229,道具ID,2,FALSE)&amp;","&amp;E229&amp;")"&amp;"]")</f>
        <v>[(102,200)]</v>
      </c>
      <c r="AC229" s="7" t="str">
        <f t="shared" ref="AC229:AC292" si="58">IF(G229="","[]",IF(K229="","["&amp;"("&amp;VLOOKUP(G229,道具ID,2,FALSE)&amp;","&amp;I229&amp;")"&amp;"]","["&amp;"("&amp;VLOOKUP(G229,道具ID,2,FALSE)&amp;","&amp;I229&amp;")"&amp;","&amp;"("&amp;VLOOKUP(K229,道具ID,2,FALSE)&amp;","&amp;M229&amp;")"&amp;"]"))</f>
        <v>[(113,15)]</v>
      </c>
    </row>
    <row r="230" spans="1:29" x14ac:dyDescent="0.15">
      <c r="A230" s="293">
        <v>28</v>
      </c>
      <c r="B230" s="293">
        <v>3</v>
      </c>
      <c r="C230" s="7" t="s">
        <v>317</v>
      </c>
      <c r="D230" s="7" t="str">
        <f t="shared" si="45"/>
        <v>钻石</v>
      </c>
      <c r="E230" s="7">
        <v>20</v>
      </c>
      <c r="F230" s="68">
        <f t="shared" si="46"/>
        <v>20</v>
      </c>
      <c r="G230" s="283" t="s">
        <v>3931</v>
      </c>
      <c r="H230" s="7" t="str">
        <f t="shared" si="47"/>
        <v>头像</v>
      </c>
      <c r="I230" s="7">
        <v>1</v>
      </c>
      <c r="J230" s="68">
        <f t="shared" si="48"/>
        <v>200</v>
      </c>
      <c r="K230" s="7"/>
      <c r="L230" s="7" t="str">
        <f t="shared" si="49"/>
        <v/>
      </c>
      <c r="M230" s="7"/>
      <c r="N230" s="68">
        <f t="shared" si="50"/>
        <v>0</v>
      </c>
      <c r="O230" s="76"/>
      <c r="Q230" s="48" t="s">
        <v>3005</v>
      </c>
      <c r="AB230" s="7" t="str">
        <f t="shared" si="57"/>
        <v>[(101,20)]</v>
      </c>
      <c r="AC230" s="7" t="str">
        <f t="shared" si="58"/>
        <v>[(140130,1)]</v>
      </c>
    </row>
    <row r="231" spans="1:29" x14ac:dyDescent="0.15">
      <c r="A231" s="293">
        <v>29</v>
      </c>
      <c r="B231" s="293">
        <v>3</v>
      </c>
      <c r="C231" s="7" t="s">
        <v>268</v>
      </c>
      <c r="D231" s="7" t="str">
        <f t="shared" si="45"/>
        <v>军费</v>
      </c>
      <c r="E231" s="7">
        <v>250</v>
      </c>
      <c r="F231" s="68">
        <f t="shared" si="46"/>
        <v>5</v>
      </c>
      <c r="G231" s="7" t="s">
        <v>2437</v>
      </c>
      <c r="H231" s="7" t="str">
        <f t="shared" si="47"/>
        <v>宝箱</v>
      </c>
      <c r="I231" s="7">
        <v>1</v>
      </c>
      <c r="J231" s="68">
        <f t="shared" si="48"/>
        <v>200</v>
      </c>
      <c r="K231" s="7"/>
      <c r="L231" s="7" t="str">
        <f t="shared" si="49"/>
        <v/>
      </c>
      <c r="M231" s="7"/>
      <c r="N231" s="68">
        <f t="shared" si="50"/>
        <v>0</v>
      </c>
      <c r="O231" s="76"/>
      <c r="Q231" s="7" t="s">
        <v>2686</v>
      </c>
      <c r="R231" s="76">
        <f t="shared" ref="R231:R246" si="59">SUMIFS(F:F,D:D,Q231,B:B,3)+SUMIFS(J:J,H:H,Q231,B:B,3)+SUMIFS(N:N,L:L,Q231,B:B,3)</f>
        <v>420</v>
      </c>
      <c r="S231" s="85">
        <f>R231/VLOOKUP(1,道具价值!$B$74:$E$80,4,FALSE)</f>
        <v>5.5813333333333341</v>
      </c>
      <c r="T231" s="85">
        <f>R231/VLOOKUP(6,道具价值!$B$74:$E$80,4,FALSE)</f>
        <v>4.1995799999999992</v>
      </c>
      <c r="AB231" s="7" t="str">
        <f t="shared" si="57"/>
        <v>[(102,250)]</v>
      </c>
      <c r="AC231" s="7" t="str">
        <f t="shared" si="58"/>
        <v>[(25054,1)]</v>
      </c>
    </row>
    <row r="232" spans="1:29" x14ac:dyDescent="0.15">
      <c r="A232" s="293">
        <v>30</v>
      </c>
      <c r="B232" s="293">
        <v>3</v>
      </c>
      <c r="C232" s="294" t="s">
        <v>3922</v>
      </c>
      <c r="D232" s="7" t="str">
        <f t="shared" si="45"/>
        <v>宝箱</v>
      </c>
      <c r="E232" s="70">
        <v>1</v>
      </c>
      <c r="F232" s="71">
        <f t="shared" si="46"/>
        <v>600</v>
      </c>
      <c r="G232" s="294" t="s">
        <v>3932</v>
      </c>
      <c r="H232" s="7" t="str">
        <f t="shared" si="47"/>
        <v>头像框</v>
      </c>
      <c r="I232" s="70">
        <v>1</v>
      </c>
      <c r="J232" s="68">
        <f t="shared" si="48"/>
        <v>200</v>
      </c>
      <c r="K232" s="294" t="s">
        <v>3924</v>
      </c>
      <c r="L232" s="7" t="str">
        <f t="shared" si="49"/>
        <v>坦克碎片</v>
      </c>
      <c r="M232" s="70">
        <v>10</v>
      </c>
      <c r="N232" s="68">
        <f t="shared" si="50"/>
        <v>1000</v>
      </c>
      <c r="O232" s="77">
        <f>SUM(N223:N232)+SUM(J223:J232)+SUM(F223:F232)</f>
        <v>2365.3333333333335</v>
      </c>
      <c r="Q232" s="7" t="s">
        <v>317</v>
      </c>
      <c r="R232" s="76">
        <f t="shared" si="59"/>
        <v>1030</v>
      </c>
      <c r="S232" s="85">
        <f>R232/VLOOKUP(1,道具价值!$B$74:$E$80,4,FALSE)</f>
        <v>13.687555555555557</v>
      </c>
      <c r="T232" s="85">
        <f>R232/VLOOKUP(6,道具价值!$B$74:$E$80,4,FALSE)</f>
        <v>10.298969999999999</v>
      </c>
      <c r="AB232" s="7" t="str">
        <f t="shared" si="57"/>
        <v>[(25154,1)]</v>
      </c>
      <c r="AC232" s="7" t="str">
        <f t="shared" si="58"/>
        <v>[(130122,1),(53321,10)]</v>
      </c>
    </row>
    <row r="233" spans="1:29" x14ac:dyDescent="0.15">
      <c r="A233" s="293">
        <v>31</v>
      </c>
      <c r="B233" s="293">
        <v>3</v>
      </c>
      <c r="C233" s="283" t="s">
        <v>4082</v>
      </c>
      <c r="D233" s="7" t="str">
        <f t="shared" si="45"/>
        <v>宝箱</v>
      </c>
      <c r="E233" s="7">
        <v>1</v>
      </c>
      <c r="F233" s="68">
        <f t="shared" si="46"/>
        <v>100</v>
      </c>
      <c r="G233" s="7" t="s">
        <v>268</v>
      </c>
      <c r="H233" s="7" t="str">
        <f t="shared" si="47"/>
        <v>军费</v>
      </c>
      <c r="I233" s="7">
        <v>250</v>
      </c>
      <c r="J233" s="68">
        <f t="shared" si="48"/>
        <v>5</v>
      </c>
      <c r="K233" s="7"/>
      <c r="L233" s="7" t="str">
        <f t="shared" si="49"/>
        <v/>
      </c>
      <c r="M233" s="7"/>
      <c r="N233" s="68">
        <f t="shared" si="50"/>
        <v>0</v>
      </c>
      <c r="O233" s="76"/>
      <c r="Q233" s="7" t="s">
        <v>3004</v>
      </c>
      <c r="R233" s="76">
        <f t="shared" si="59"/>
        <v>6200</v>
      </c>
      <c r="S233" s="85">
        <f>R233/VLOOKUP(1,道具价值!$B$74:$E$80,4,FALSE)</f>
        <v>82.391111111111115</v>
      </c>
      <c r="T233" s="85">
        <f>R233/VLOOKUP(6,道具价值!$B$74:$E$80,4,FALSE)</f>
        <v>61.993799999999993</v>
      </c>
      <c r="AB233" s="7" t="str">
        <f t="shared" si="57"/>
        <v>[(24007,1)]</v>
      </c>
      <c r="AC233" s="7" t="str">
        <f t="shared" si="58"/>
        <v>[(102,250)]</v>
      </c>
    </row>
    <row r="234" spans="1:29" x14ac:dyDescent="0.15">
      <c r="A234" s="293">
        <v>32</v>
      </c>
      <c r="B234" s="293">
        <v>3</v>
      </c>
      <c r="C234" s="7" t="s">
        <v>3006</v>
      </c>
      <c r="D234" s="7" t="str">
        <f t="shared" si="45"/>
        <v/>
      </c>
      <c r="E234" s="7" t="s">
        <v>3006</v>
      </c>
      <c r="F234" s="68">
        <f t="shared" si="46"/>
        <v>0</v>
      </c>
      <c r="G234" s="7" t="s">
        <v>273</v>
      </c>
      <c r="H234" s="7" t="str">
        <f t="shared" si="47"/>
        <v>钥匙</v>
      </c>
      <c r="I234" s="7">
        <v>40</v>
      </c>
      <c r="J234" s="68">
        <f t="shared" si="48"/>
        <v>33.333333333333364</v>
      </c>
      <c r="K234" s="7"/>
      <c r="L234" s="7" t="str">
        <f t="shared" si="49"/>
        <v/>
      </c>
      <c r="M234" s="7"/>
      <c r="N234" s="68">
        <f t="shared" si="50"/>
        <v>0</v>
      </c>
      <c r="O234" s="76"/>
      <c r="Q234" s="13" t="s">
        <v>268</v>
      </c>
      <c r="R234" s="76">
        <f t="shared" si="59"/>
        <v>202.2</v>
      </c>
      <c r="S234" s="85">
        <f>R234/VLOOKUP(1,道具价值!$B$74:$E$80,4,FALSE)</f>
        <v>2.6870133333333333</v>
      </c>
      <c r="T234" s="85">
        <f>R234/VLOOKUP(6,道具价值!$B$74:$E$80,4,FALSE)</f>
        <v>2.0217977999999999</v>
      </c>
      <c r="AB234" s="7" t="str">
        <f t="shared" si="57"/>
        <v>[]</v>
      </c>
      <c r="AC234" s="7" t="str">
        <f t="shared" si="58"/>
        <v>[(105,40)]</v>
      </c>
    </row>
    <row r="235" spans="1:29" x14ac:dyDescent="0.15">
      <c r="A235" s="293">
        <v>33</v>
      </c>
      <c r="B235" s="293">
        <v>3</v>
      </c>
      <c r="C235" s="7"/>
      <c r="D235" s="7" t="str">
        <f t="shared" si="45"/>
        <v/>
      </c>
      <c r="E235" s="7" t="s">
        <v>3006</v>
      </c>
      <c r="F235" s="68">
        <f t="shared" si="46"/>
        <v>0</v>
      </c>
      <c r="G235" s="7" t="s">
        <v>268</v>
      </c>
      <c r="H235" s="7" t="str">
        <f t="shared" si="47"/>
        <v>军费</v>
      </c>
      <c r="I235" s="7">
        <v>250</v>
      </c>
      <c r="J235" s="68">
        <f t="shared" si="48"/>
        <v>5</v>
      </c>
      <c r="K235" s="7"/>
      <c r="L235" s="7" t="str">
        <f t="shared" si="49"/>
        <v/>
      </c>
      <c r="M235" s="7"/>
      <c r="N235" s="68">
        <f t="shared" si="50"/>
        <v>0</v>
      </c>
      <c r="O235" s="76"/>
      <c r="Q235" s="13" t="s">
        <v>273</v>
      </c>
      <c r="R235" s="76">
        <f t="shared" si="59"/>
        <v>225.0000000000002</v>
      </c>
      <c r="S235" s="85">
        <f>R235/VLOOKUP(1,道具价值!$B$74:$E$80,4,FALSE)</f>
        <v>2.9900000000000029</v>
      </c>
      <c r="T235" s="85">
        <f>R235/VLOOKUP(6,道具价值!$B$74:$E$80,4,FALSE)</f>
        <v>2.2497750000000019</v>
      </c>
      <c r="AB235" s="7" t="str">
        <f t="shared" si="57"/>
        <v>[]</v>
      </c>
      <c r="AC235" s="7" t="str">
        <f t="shared" si="58"/>
        <v>[(102,250)]</v>
      </c>
    </row>
    <row r="236" spans="1:29" x14ac:dyDescent="0.15">
      <c r="A236" s="293">
        <v>34</v>
      </c>
      <c r="B236" s="293">
        <v>3</v>
      </c>
      <c r="C236" s="7" t="s">
        <v>317</v>
      </c>
      <c r="D236" s="7" t="str">
        <f t="shared" si="45"/>
        <v>钻石</v>
      </c>
      <c r="E236" s="7">
        <v>30</v>
      </c>
      <c r="F236" s="68">
        <f t="shared" si="46"/>
        <v>30</v>
      </c>
      <c r="G236" s="7" t="s">
        <v>2686</v>
      </c>
      <c r="H236" s="7" t="str">
        <f t="shared" si="47"/>
        <v>BattlePass货币</v>
      </c>
      <c r="I236" s="7">
        <v>15</v>
      </c>
      <c r="J236" s="68">
        <f t="shared" si="48"/>
        <v>21</v>
      </c>
      <c r="K236" s="7"/>
      <c r="L236" s="7" t="str">
        <f t="shared" si="49"/>
        <v/>
      </c>
      <c r="M236" s="7"/>
      <c r="N236" s="68">
        <f t="shared" si="50"/>
        <v>0</v>
      </c>
      <c r="O236" s="76"/>
      <c r="Q236" s="13" t="s">
        <v>511</v>
      </c>
      <c r="R236" s="76">
        <f t="shared" si="59"/>
        <v>100.00000000000009</v>
      </c>
      <c r="S236" s="85">
        <f>R236/VLOOKUP(1,道具价值!$B$74:$E$80,4,FALSE)</f>
        <v>1.3288888888888901</v>
      </c>
      <c r="T236" s="85">
        <f>R236/VLOOKUP(6,道具价值!$B$74:$E$80,4,FALSE)</f>
        <v>0.99990000000000079</v>
      </c>
      <c r="AB236" s="7" t="str">
        <f t="shared" si="57"/>
        <v>[(101,30)]</v>
      </c>
      <c r="AC236" s="7" t="str">
        <f t="shared" si="58"/>
        <v>[(113,15)]</v>
      </c>
    </row>
    <row r="237" spans="1:29" x14ac:dyDescent="0.15">
      <c r="A237" s="293">
        <v>35</v>
      </c>
      <c r="B237" s="293">
        <v>3</v>
      </c>
      <c r="C237" s="7" t="s">
        <v>3006</v>
      </c>
      <c r="D237" s="7" t="str">
        <f t="shared" si="45"/>
        <v/>
      </c>
      <c r="E237" s="7" t="s">
        <v>3006</v>
      </c>
      <c r="F237" s="68">
        <f t="shared" si="46"/>
        <v>0</v>
      </c>
      <c r="G237" s="7" t="s">
        <v>317</v>
      </c>
      <c r="H237" s="7" t="str">
        <f t="shared" si="47"/>
        <v>钻石</v>
      </c>
      <c r="I237" s="7">
        <v>30</v>
      </c>
      <c r="J237" s="68">
        <f t="shared" si="48"/>
        <v>30</v>
      </c>
      <c r="K237" s="7"/>
      <c r="L237" s="7" t="str">
        <f t="shared" si="49"/>
        <v/>
      </c>
      <c r="M237" s="7"/>
      <c r="N237" s="68">
        <f t="shared" si="50"/>
        <v>0</v>
      </c>
      <c r="O237" s="76"/>
      <c r="Q237" s="7" t="s">
        <v>3003</v>
      </c>
      <c r="R237" s="76">
        <f t="shared" si="59"/>
        <v>0</v>
      </c>
      <c r="S237" s="85">
        <f>R237/VLOOKUP(1,道具价值!$B$74:$E$80,4,FALSE)</f>
        <v>0</v>
      </c>
      <c r="T237" s="85">
        <f>R237/VLOOKUP(6,道具价值!$B$74:$E$80,4,FALSE)</f>
        <v>0</v>
      </c>
      <c r="AB237" s="7" t="str">
        <f t="shared" si="57"/>
        <v>[]</v>
      </c>
      <c r="AC237" s="7" t="str">
        <f t="shared" si="58"/>
        <v>[(101,30)]</v>
      </c>
    </row>
    <row r="238" spans="1:29" x14ac:dyDescent="0.15">
      <c r="A238" s="293">
        <v>36</v>
      </c>
      <c r="B238" s="293">
        <v>3</v>
      </c>
      <c r="C238" s="7" t="s">
        <v>3006</v>
      </c>
      <c r="D238" s="7" t="str">
        <f t="shared" si="45"/>
        <v/>
      </c>
      <c r="E238" s="7" t="s">
        <v>3006</v>
      </c>
      <c r="F238" s="68">
        <f t="shared" si="46"/>
        <v>0</v>
      </c>
      <c r="G238" s="7" t="s">
        <v>2382</v>
      </c>
      <c r="H238" s="7" t="str">
        <f t="shared" si="47"/>
        <v>宝箱</v>
      </c>
      <c r="I238" s="7">
        <v>1</v>
      </c>
      <c r="J238" s="68">
        <f t="shared" si="48"/>
        <v>100</v>
      </c>
      <c r="K238" s="7"/>
      <c r="L238" s="7" t="str">
        <f t="shared" si="49"/>
        <v/>
      </c>
      <c r="M238" s="7"/>
      <c r="N238" s="68">
        <f t="shared" si="50"/>
        <v>0</v>
      </c>
      <c r="O238" s="76"/>
      <c r="Q238" s="13" t="s">
        <v>320</v>
      </c>
      <c r="R238" s="76">
        <f t="shared" si="59"/>
        <v>2400</v>
      </c>
      <c r="S238" s="85">
        <f>R238/VLOOKUP(1,道具价值!$B$74:$E$80,4,FALSE)</f>
        <v>31.893333333333334</v>
      </c>
      <c r="T238" s="85">
        <f>R238/VLOOKUP(6,道具价值!$B$74:$E$80,4,FALSE)</f>
        <v>23.997599999999998</v>
      </c>
      <c r="AB238" s="7" t="str">
        <f t="shared" si="57"/>
        <v>[]</v>
      </c>
      <c r="AC238" s="7" t="str">
        <f t="shared" si="58"/>
        <v>[(23004,1)]</v>
      </c>
    </row>
    <row r="239" spans="1:29" x14ac:dyDescent="0.15">
      <c r="A239" s="293">
        <v>37</v>
      </c>
      <c r="B239" s="293">
        <v>3</v>
      </c>
      <c r="C239" s="7" t="s">
        <v>268</v>
      </c>
      <c r="D239" s="7" t="str">
        <f t="shared" si="45"/>
        <v>军费</v>
      </c>
      <c r="E239" s="7">
        <v>200</v>
      </c>
      <c r="F239" s="68">
        <f t="shared" si="46"/>
        <v>4</v>
      </c>
      <c r="G239" s="7" t="s">
        <v>511</v>
      </c>
      <c r="H239" s="7" t="str">
        <f t="shared" si="47"/>
        <v>双倍钥匙</v>
      </c>
      <c r="I239" s="7">
        <v>20</v>
      </c>
      <c r="J239" s="68">
        <f t="shared" si="48"/>
        <v>10.000000000000009</v>
      </c>
      <c r="K239" s="7"/>
      <c r="L239" s="7" t="str">
        <f t="shared" si="49"/>
        <v/>
      </c>
      <c r="M239" s="7"/>
      <c r="N239" s="68">
        <f t="shared" si="50"/>
        <v>0</v>
      </c>
      <c r="O239" s="76"/>
      <c r="Q239" s="13" t="s">
        <v>1726</v>
      </c>
      <c r="R239" s="76">
        <f t="shared" si="59"/>
        <v>12000</v>
      </c>
      <c r="S239" s="85">
        <f>R239/VLOOKUP(1,道具价值!$B$74:$E$80,4,FALSE)</f>
        <v>159.46666666666667</v>
      </c>
      <c r="T239" s="85">
        <f>R239/VLOOKUP(6,道具价值!$B$74:$E$80,4,FALSE)</f>
        <v>119.98799999999999</v>
      </c>
      <c r="AB239" s="7" t="str">
        <f t="shared" si="57"/>
        <v>[(102,200)]</v>
      </c>
      <c r="AC239" s="7" t="str">
        <f t="shared" si="58"/>
        <v>[(111,20)]</v>
      </c>
    </row>
    <row r="240" spans="1:29" x14ac:dyDescent="0.15">
      <c r="A240" s="293">
        <v>38</v>
      </c>
      <c r="B240" s="293">
        <v>3</v>
      </c>
      <c r="C240" s="7"/>
      <c r="D240" s="7" t="str">
        <f t="shared" si="45"/>
        <v/>
      </c>
      <c r="E240" s="7"/>
      <c r="F240" s="68">
        <f t="shared" si="46"/>
        <v>0</v>
      </c>
      <c r="G240" s="7" t="s">
        <v>2686</v>
      </c>
      <c r="H240" s="7" t="str">
        <f t="shared" si="47"/>
        <v>BattlePass货币</v>
      </c>
      <c r="I240" s="7">
        <v>15</v>
      </c>
      <c r="J240" s="68">
        <f t="shared" si="48"/>
        <v>21</v>
      </c>
      <c r="K240" s="7"/>
      <c r="L240" s="7" t="str">
        <f t="shared" si="49"/>
        <v/>
      </c>
      <c r="M240" s="7"/>
      <c r="N240" s="68">
        <f t="shared" si="50"/>
        <v>0</v>
      </c>
      <c r="O240" s="76"/>
      <c r="Q240" s="13" t="s">
        <v>3002</v>
      </c>
      <c r="R240" s="76">
        <f t="shared" si="59"/>
        <v>600</v>
      </c>
      <c r="S240" s="85">
        <f>R240/VLOOKUP(1,道具价值!$B$74:$E$80,4,FALSE)</f>
        <v>7.9733333333333336</v>
      </c>
      <c r="T240" s="85">
        <f>R240/VLOOKUP(6,道具价值!$B$74:$E$80,4,FALSE)</f>
        <v>5.9993999999999996</v>
      </c>
      <c r="AB240" s="7" t="str">
        <f t="shared" si="57"/>
        <v>[]</v>
      </c>
      <c r="AC240" s="7" t="str">
        <f t="shared" si="58"/>
        <v>[(113,15)]</v>
      </c>
    </row>
    <row r="241" spans="1:29" x14ac:dyDescent="0.15">
      <c r="A241" s="293">
        <v>39</v>
      </c>
      <c r="B241" s="293">
        <v>3</v>
      </c>
      <c r="C241" s="7" t="s">
        <v>3006</v>
      </c>
      <c r="D241" s="7" t="str">
        <f t="shared" si="45"/>
        <v/>
      </c>
      <c r="E241" s="7" t="s">
        <v>3006</v>
      </c>
      <c r="F241" s="68">
        <f t="shared" si="46"/>
        <v>0</v>
      </c>
      <c r="G241" s="7" t="s">
        <v>317</v>
      </c>
      <c r="H241" s="7" t="str">
        <f t="shared" si="47"/>
        <v>钻石</v>
      </c>
      <c r="I241" s="7">
        <v>30</v>
      </c>
      <c r="J241" s="68">
        <f t="shared" si="48"/>
        <v>30</v>
      </c>
      <c r="K241" s="7"/>
      <c r="L241" s="7" t="str">
        <f t="shared" si="49"/>
        <v/>
      </c>
      <c r="M241" s="7"/>
      <c r="N241" s="68">
        <f t="shared" si="50"/>
        <v>0</v>
      </c>
      <c r="O241" s="76"/>
      <c r="Q241" s="7" t="s">
        <v>2993</v>
      </c>
      <c r="R241" s="76">
        <f t="shared" si="59"/>
        <v>600</v>
      </c>
      <c r="S241" s="85">
        <f>R241/VLOOKUP(1,道具价值!$B$74:$E$80,4,FALSE)</f>
        <v>7.9733333333333336</v>
      </c>
      <c r="T241" s="85">
        <f>R241/VLOOKUP(6,道具价值!$B$74:$E$80,4,FALSE)</f>
        <v>5.9993999999999996</v>
      </c>
      <c r="AB241" s="7" t="str">
        <f t="shared" si="57"/>
        <v>[]</v>
      </c>
      <c r="AC241" s="7" t="str">
        <f t="shared" si="58"/>
        <v>[(101,30)]</v>
      </c>
    </row>
    <row r="242" spans="1:29" x14ac:dyDescent="0.15">
      <c r="A242" s="293">
        <v>40</v>
      </c>
      <c r="B242" s="293">
        <v>3</v>
      </c>
      <c r="C242" s="70" t="s">
        <v>3885</v>
      </c>
      <c r="D242" s="7" t="str">
        <f t="shared" si="45"/>
        <v>头像</v>
      </c>
      <c r="E242" s="70">
        <v>1</v>
      </c>
      <c r="F242" s="71">
        <f t="shared" si="46"/>
        <v>200</v>
      </c>
      <c r="G242" s="294" t="s">
        <v>4085</v>
      </c>
      <c r="H242" s="7" t="str">
        <f t="shared" si="47"/>
        <v>坦克碎片</v>
      </c>
      <c r="I242" s="70">
        <v>12</v>
      </c>
      <c r="J242" s="68">
        <f t="shared" si="48"/>
        <v>1200</v>
      </c>
      <c r="K242" s="294"/>
      <c r="L242" s="7" t="str">
        <f t="shared" si="49"/>
        <v/>
      </c>
      <c r="M242" s="70"/>
      <c r="N242" s="68">
        <f t="shared" si="50"/>
        <v>0</v>
      </c>
      <c r="O242" s="77">
        <f>SUM(N233:N242)+SUM(J233:J242)+SUM(F233:F242)</f>
        <v>1789.3333333333335</v>
      </c>
      <c r="Q242" s="7" t="s">
        <v>2986</v>
      </c>
      <c r="R242" s="76">
        <f t="shared" si="59"/>
        <v>1000</v>
      </c>
      <c r="S242" s="85">
        <f>R242/VLOOKUP(1,道具价值!$B$74:$E$80,4,FALSE)</f>
        <v>13.28888888888889</v>
      </c>
      <c r="T242" s="85">
        <f>R242/VLOOKUP(6,道具价值!$B$74:$E$80,4,FALSE)</f>
        <v>9.9989999999999988</v>
      </c>
      <c r="AB242" s="7" t="str">
        <f t="shared" si="57"/>
        <v>[(140133,1)]</v>
      </c>
      <c r="AC242" s="7" t="str">
        <f t="shared" si="58"/>
        <v>[(53321,12)]</v>
      </c>
    </row>
    <row r="243" spans="1:29" x14ac:dyDescent="0.15">
      <c r="A243" s="293">
        <v>41</v>
      </c>
      <c r="B243" s="293">
        <v>3</v>
      </c>
      <c r="C243" s="7" t="s">
        <v>3006</v>
      </c>
      <c r="D243" s="7" t="str">
        <f t="shared" si="45"/>
        <v/>
      </c>
      <c r="E243" s="7" t="s">
        <v>3006</v>
      </c>
      <c r="F243" s="68">
        <f t="shared" si="46"/>
        <v>0</v>
      </c>
      <c r="G243" s="7" t="s">
        <v>511</v>
      </c>
      <c r="H243" s="7" t="str">
        <f t="shared" si="47"/>
        <v>双倍钥匙</v>
      </c>
      <c r="I243" s="7">
        <v>30</v>
      </c>
      <c r="J243" s="68">
        <f t="shared" si="48"/>
        <v>15.000000000000014</v>
      </c>
      <c r="K243" s="7"/>
      <c r="L243" s="7" t="str">
        <f t="shared" si="49"/>
        <v/>
      </c>
      <c r="M243" s="7"/>
      <c r="N243" s="68">
        <f t="shared" si="50"/>
        <v>0</v>
      </c>
      <c r="O243" s="76"/>
      <c r="Q243" s="7" t="s">
        <v>2998</v>
      </c>
      <c r="R243" s="76">
        <f t="shared" si="59"/>
        <v>1000</v>
      </c>
      <c r="S243" s="85">
        <f>R243/VLOOKUP(1,道具价值!$B$74:$E$80,4,FALSE)</f>
        <v>13.28888888888889</v>
      </c>
      <c r="T243" s="85">
        <f>R243/VLOOKUP(6,道具价值!$B$74:$E$80,4,FALSE)</f>
        <v>9.9989999999999988</v>
      </c>
      <c r="AB243" s="7" t="str">
        <f t="shared" si="57"/>
        <v>[]</v>
      </c>
      <c r="AC243" s="7" t="str">
        <f t="shared" si="58"/>
        <v>[(111,30)]</v>
      </c>
    </row>
    <row r="244" spans="1:29" x14ac:dyDescent="0.15">
      <c r="A244" s="293">
        <v>42</v>
      </c>
      <c r="B244" s="293">
        <v>3</v>
      </c>
      <c r="C244" s="7" t="s">
        <v>3006</v>
      </c>
      <c r="D244" s="7" t="str">
        <f t="shared" si="45"/>
        <v/>
      </c>
      <c r="E244" s="7" t="s">
        <v>3006</v>
      </c>
      <c r="F244" s="68">
        <f t="shared" si="46"/>
        <v>0</v>
      </c>
      <c r="G244" s="7" t="s">
        <v>268</v>
      </c>
      <c r="H244" s="7" t="str">
        <f t="shared" si="47"/>
        <v>军费</v>
      </c>
      <c r="I244" s="7">
        <v>250</v>
      </c>
      <c r="J244" s="68">
        <f t="shared" si="48"/>
        <v>5</v>
      </c>
      <c r="K244" s="7"/>
      <c r="L244" s="7" t="str">
        <f t="shared" si="49"/>
        <v/>
      </c>
      <c r="M244" s="7"/>
      <c r="N244" s="68">
        <f t="shared" si="50"/>
        <v>0</v>
      </c>
      <c r="O244" s="76"/>
      <c r="Q244" s="7" t="s">
        <v>2999</v>
      </c>
      <c r="R244" s="76">
        <f t="shared" si="59"/>
        <v>900</v>
      </c>
      <c r="S244" s="85">
        <f>R244/VLOOKUP(1,道具价值!$B$74:$E$80,4,FALSE)</f>
        <v>11.96</v>
      </c>
      <c r="T244" s="85">
        <f>R244/VLOOKUP(6,道具价值!$B$74:$E$80,4,FALSE)</f>
        <v>8.9990999999999985</v>
      </c>
      <c r="AB244" s="7" t="str">
        <f t="shared" si="57"/>
        <v>[]</v>
      </c>
      <c r="AC244" s="7" t="str">
        <f t="shared" si="58"/>
        <v>[(102,250)]</v>
      </c>
    </row>
    <row r="245" spans="1:29" x14ac:dyDescent="0.15">
      <c r="A245" s="293">
        <v>43</v>
      </c>
      <c r="B245" s="293">
        <v>3</v>
      </c>
      <c r="C245" s="7" t="s">
        <v>273</v>
      </c>
      <c r="D245" s="7" t="str">
        <f t="shared" si="45"/>
        <v>钥匙</v>
      </c>
      <c r="E245" s="7">
        <v>30</v>
      </c>
      <c r="F245" s="68">
        <f t="shared" si="46"/>
        <v>25.000000000000021</v>
      </c>
      <c r="G245" s="7" t="s">
        <v>2686</v>
      </c>
      <c r="H245" s="7" t="str">
        <f t="shared" si="47"/>
        <v>BattlePass货币</v>
      </c>
      <c r="I245" s="7">
        <v>15</v>
      </c>
      <c r="J245" s="68">
        <f t="shared" si="48"/>
        <v>21</v>
      </c>
      <c r="K245" s="7"/>
      <c r="L245" s="7" t="str">
        <f t="shared" si="49"/>
        <v/>
      </c>
      <c r="M245" s="7"/>
      <c r="N245" s="68">
        <f t="shared" si="50"/>
        <v>0</v>
      </c>
      <c r="O245" s="76"/>
      <c r="Q245" s="7" t="s">
        <v>3000</v>
      </c>
      <c r="R245" s="76">
        <f t="shared" si="59"/>
        <v>600</v>
      </c>
      <c r="S245" s="85">
        <f>R245/VLOOKUP(1,道具价值!$B$74:$E$80,4,FALSE)</f>
        <v>7.9733333333333336</v>
      </c>
      <c r="T245" s="85">
        <f>R245/VLOOKUP(6,道具价值!$B$74:$E$80,4,FALSE)</f>
        <v>5.9993999999999996</v>
      </c>
      <c r="AB245" s="7" t="str">
        <f t="shared" si="57"/>
        <v>[(105,30)]</v>
      </c>
      <c r="AC245" s="7" t="str">
        <f t="shared" si="58"/>
        <v>[(113,15)]</v>
      </c>
    </row>
    <row r="246" spans="1:29" x14ac:dyDescent="0.15">
      <c r="A246" s="293">
        <v>44</v>
      </c>
      <c r="B246" s="293">
        <v>3</v>
      </c>
      <c r="C246" s="7" t="s">
        <v>3006</v>
      </c>
      <c r="D246" s="7" t="str">
        <f t="shared" si="45"/>
        <v/>
      </c>
      <c r="E246" s="7" t="s">
        <v>3006</v>
      </c>
      <c r="F246" s="68">
        <f t="shared" si="46"/>
        <v>0</v>
      </c>
      <c r="G246" s="7" t="s">
        <v>2397</v>
      </c>
      <c r="H246" s="7" t="str">
        <f t="shared" si="47"/>
        <v>宝箱</v>
      </c>
      <c r="I246" s="7">
        <v>1</v>
      </c>
      <c r="J246" s="68">
        <f t="shared" si="48"/>
        <v>100</v>
      </c>
      <c r="K246" s="7"/>
      <c r="L246" s="7" t="str">
        <f t="shared" si="49"/>
        <v/>
      </c>
      <c r="M246" s="7"/>
      <c r="N246" s="68">
        <f t="shared" si="50"/>
        <v>0</v>
      </c>
      <c r="O246" s="76"/>
      <c r="Q246" s="7" t="s">
        <v>3001</v>
      </c>
      <c r="R246" s="76">
        <f t="shared" si="59"/>
        <v>700</v>
      </c>
      <c r="S246" s="85">
        <f>R246/VLOOKUP(1,道具价值!$B$74:$E$80,4,FALSE)</f>
        <v>9.3022222222222233</v>
      </c>
      <c r="T246" s="85">
        <f>R246/VLOOKUP(6,道具价值!$B$74:$E$80,4,FALSE)</f>
        <v>6.999299999999999</v>
      </c>
      <c r="AB246" s="7" t="str">
        <f t="shared" si="57"/>
        <v>[]</v>
      </c>
      <c r="AC246" s="7" t="str">
        <f t="shared" si="58"/>
        <v>[(24005,1)]</v>
      </c>
    </row>
    <row r="247" spans="1:29" x14ac:dyDescent="0.15">
      <c r="A247" s="293">
        <v>45</v>
      </c>
      <c r="B247" s="293">
        <v>3</v>
      </c>
      <c r="C247" s="7" t="s">
        <v>3006</v>
      </c>
      <c r="D247" s="7" t="str">
        <f t="shared" si="45"/>
        <v/>
      </c>
      <c r="E247" s="7" t="s">
        <v>3006</v>
      </c>
      <c r="F247" s="68">
        <f t="shared" si="46"/>
        <v>0</v>
      </c>
      <c r="G247" s="7" t="s">
        <v>2686</v>
      </c>
      <c r="H247" s="7" t="str">
        <f t="shared" si="47"/>
        <v>BattlePass货币</v>
      </c>
      <c r="I247" s="7">
        <v>15</v>
      </c>
      <c r="J247" s="68">
        <f t="shared" si="48"/>
        <v>21</v>
      </c>
      <c r="K247" s="7"/>
      <c r="L247" s="7" t="str">
        <f t="shared" si="49"/>
        <v/>
      </c>
      <c r="M247" s="7"/>
      <c r="N247" s="68">
        <f t="shared" si="50"/>
        <v>0</v>
      </c>
      <c r="O247" s="76"/>
      <c r="AB247" s="7" t="str">
        <f t="shared" si="57"/>
        <v>[]</v>
      </c>
      <c r="AC247" s="7" t="str">
        <f t="shared" si="58"/>
        <v>[(113,15)]</v>
      </c>
    </row>
    <row r="248" spans="1:29" x14ac:dyDescent="0.15">
      <c r="A248" s="293">
        <v>46</v>
      </c>
      <c r="B248" s="293">
        <v>3</v>
      </c>
      <c r="C248" s="7" t="s">
        <v>3006</v>
      </c>
      <c r="D248" s="7" t="str">
        <f t="shared" si="45"/>
        <v/>
      </c>
      <c r="E248" s="7" t="s">
        <v>3006</v>
      </c>
      <c r="F248" s="68">
        <f t="shared" si="46"/>
        <v>0</v>
      </c>
      <c r="G248" s="7" t="s">
        <v>317</v>
      </c>
      <c r="H248" s="7" t="str">
        <f t="shared" si="47"/>
        <v>钻石</v>
      </c>
      <c r="I248" s="7">
        <v>30</v>
      </c>
      <c r="J248" s="68">
        <f t="shared" si="48"/>
        <v>30</v>
      </c>
      <c r="K248" s="7"/>
      <c r="L248" s="7" t="str">
        <f t="shared" si="49"/>
        <v/>
      </c>
      <c r="M248" s="7"/>
      <c r="N248" s="68">
        <f t="shared" si="50"/>
        <v>0</v>
      </c>
      <c r="O248" s="76"/>
      <c r="Q248" s="7" t="s">
        <v>3007</v>
      </c>
      <c r="R248" s="76">
        <f>SUM(R240:R246)</f>
        <v>5400</v>
      </c>
      <c r="S248" s="85">
        <f>R248/VLOOKUP(1,道具价值!$B$74:$E$80,4,FALSE)</f>
        <v>71.760000000000005</v>
      </c>
      <c r="T248" s="85">
        <f>R248/VLOOKUP(6,道具价值!$B$74:$E$80,4,FALSE)</f>
        <v>53.994599999999998</v>
      </c>
      <c r="AB248" s="7" t="str">
        <f t="shared" si="57"/>
        <v>[]</v>
      </c>
      <c r="AC248" s="7" t="str">
        <f t="shared" si="58"/>
        <v>[(101,30)]</v>
      </c>
    </row>
    <row r="249" spans="1:29" x14ac:dyDescent="0.15">
      <c r="A249" s="293">
        <v>47</v>
      </c>
      <c r="B249" s="293">
        <v>3</v>
      </c>
      <c r="C249" s="7"/>
      <c r="D249" s="7" t="str">
        <f t="shared" si="45"/>
        <v/>
      </c>
      <c r="E249" s="7"/>
      <c r="F249" s="68">
        <f t="shared" si="46"/>
        <v>0</v>
      </c>
      <c r="G249" s="283" t="s">
        <v>3924</v>
      </c>
      <c r="H249" s="7" t="str">
        <f t="shared" si="47"/>
        <v>坦克碎片</v>
      </c>
      <c r="I249" s="7">
        <v>12</v>
      </c>
      <c r="J249" s="68">
        <f t="shared" si="48"/>
        <v>1200</v>
      </c>
      <c r="K249" s="7"/>
      <c r="L249" s="7" t="str">
        <f t="shared" si="49"/>
        <v/>
      </c>
      <c r="M249" s="7"/>
      <c r="N249" s="68">
        <f t="shared" si="50"/>
        <v>0</v>
      </c>
      <c r="O249" s="76"/>
      <c r="Q249" s="7" t="s">
        <v>3008</v>
      </c>
      <c r="R249" s="76">
        <f>SUM(R231:R239)</f>
        <v>22577.200000000001</v>
      </c>
      <c r="S249" s="85">
        <f>R249/VLOOKUP(1,道具价值!$B$74:$E$80,4,FALSE)</f>
        <v>300.02590222222227</v>
      </c>
      <c r="T249" s="85">
        <f>R249/VLOOKUP(6,道具价值!$B$74:$E$80,4,FALSE)</f>
        <v>225.74942279999999</v>
      </c>
      <c r="AB249" s="7" t="str">
        <f t="shared" si="57"/>
        <v>[]</v>
      </c>
      <c r="AC249" s="7" t="str">
        <f t="shared" si="58"/>
        <v>[(53321,12)]</v>
      </c>
    </row>
    <row r="250" spans="1:29" x14ac:dyDescent="0.15">
      <c r="A250" s="293">
        <v>48</v>
      </c>
      <c r="B250" s="293">
        <v>3</v>
      </c>
      <c r="C250" s="7" t="s">
        <v>3006</v>
      </c>
      <c r="D250" s="7" t="str">
        <f t="shared" si="45"/>
        <v/>
      </c>
      <c r="E250" s="7" t="s">
        <v>3006</v>
      </c>
      <c r="F250" s="68">
        <f t="shared" si="46"/>
        <v>0</v>
      </c>
      <c r="G250" s="7" t="s">
        <v>268</v>
      </c>
      <c r="H250" s="7" t="str">
        <f t="shared" si="47"/>
        <v>军费</v>
      </c>
      <c r="I250" s="7">
        <v>250</v>
      </c>
      <c r="J250" s="68">
        <f t="shared" si="48"/>
        <v>5</v>
      </c>
      <c r="K250" s="7"/>
      <c r="L250" s="7" t="str">
        <f t="shared" si="49"/>
        <v/>
      </c>
      <c r="M250" s="7"/>
      <c r="N250" s="68">
        <f t="shared" si="50"/>
        <v>0</v>
      </c>
      <c r="O250" s="76"/>
      <c r="AB250" s="7" t="str">
        <f t="shared" si="57"/>
        <v>[]</v>
      </c>
      <c r="AC250" s="7" t="str">
        <f t="shared" si="58"/>
        <v>[(102,250)]</v>
      </c>
    </row>
    <row r="251" spans="1:29" x14ac:dyDescent="0.15">
      <c r="A251" s="293">
        <v>49</v>
      </c>
      <c r="B251" s="293">
        <v>3</v>
      </c>
      <c r="C251" s="7" t="s">
        <v>3006</v>
      </c>
      <c r="D251" s="7" t="str">
        <f t="shared" si="45"/>
        <v/>
      </c>
      <c r="E251" s="7" t="s">
        <v>3006</v>
      </c>
      <c r="F251" s="68">
        <f t="shared" si="46"/>
        <v>0</v>
      </c>
      <c r="G251" s="7" t="s">
        <v>4217</v>
      </c>
      <c r="H251" s="7" t="str">
        <f t="shared" si="47"/>
        <v>新加速道具</v>
      </c>
      <c r="I251" s="7">
        <v>2</v>
      </c>
      <c r="J251" s="68">
        <f t="shared" si="48"/>
        <v>8</v>
      </c>
      <c r="K251" s="7"/>
      <c r="L251" s="7" t="str">
        <f t="shared" si="49"/>
        <v/>
      </c>
      <c r="M251" s="7"/>
      <c r="N251" s="68">
        <f t="shared" si="50"/>
        <v>0</v>
      </c>
      <c r="O251" s="76"/>
      <c r="AB251" s="7" t="str">
        <f t="shared" si="57"/>
        <v>[]</v>
      </c>
      <c r="AC251" s="7" t="str">
        <f t="shared" si="58"/>
        <v>[(100202,2)]</v>
      </c>
    </row>
    <row r="252" spans="1:29" x14ac:dyDescent="0.15">
      <c r="A252" s="293">
        <v>50</v>
      </c>
      <c r="B252" s="293">
        <v>3</v>
      </c>
      <c r="C252" s="294" t="s">
        <v>4084</v>
      </c>
      <c r="D252" s="7" t="str">
        <f t="shared" si="45"/>
        <v>宝箱</v>
      </c>
      <c r="E252" s="70">
        <v>1</v>
      </c>
      <c r="F252" s="71">
        <f t="shared" si="46"/>
        <v>600</v>
      </c>
      <c r="G252" s="294" t="s">
        <v>3929</v>
      </c>
      <c r="H252" s="7" t="str">
        <f t="shared" si="47"/>
        <v>战旗</v>
      </c>
      <c r="I252" s="70">
        <v>1</v>
      </c>
      <c r="J252" s="68">
        <f t="shared" si="48"/>
        <v>200</v>
      </c>
      <c r="K252" s="294" t="s">
        <v>3934</v>
      </c>
      <c r="L252" s="7" t="str">
        <f t="shared" si="49"/>
        <v>头像框</v>
      </c>
      <c r="M252" s="70">
        <v>1</v>
      </c>
      <c r="N252" s="68">
        <f t="shared" si="50"/>
        <v>200</v>
      </c>
      <c r="O252" s="77">
        <f>SUM(N243:N252)+SUM(J243:J252)+SUM(F243:F252)</f>
        <v>2430</v>
      </c>
      <c r="AB252" s="7" t="str">
        <f t="shared" si="57"/>
        <v>[(25155,1)]</v>
      </c>
      <c r="AC252" s="7" t="str">
        <f t="shared" si="58"/>
        <v>[(120305,1),(130124,1)]</v>
      </c>
    </row>
    <row r="253" spans="1:29" x14ac:dyDescent="0.15">
      <c r="A253" s="293">
        <v>51</v>
      </c>
      <c r="B253" s="293">
        <v>3</v>
      </c>
      <c r="C253" s="7"/>
      <c r="D253" s="7" t="str">
        <f t="shared" si="45"/>
        <v/>
      </c>
      <c r="E253" s="7"/>
      <c r="F253" s="68">
        <f t="shared" si="46"/>
        <v>0</v>
      </c>
      <c r="G253" s="7" t="s">
        <v>2457</v>
      </c>
      <c r="H253" s="7" t="str">
        <f t="shared" si="47"/>
        <v>宝箱</v>
      </c>
      <c r="I253" s="7">
        <v>1</v>
      </c>
      <c r="J253" s="68">
        <f t="shared" si="48"/>
        <v>600</v>
      </c>
      <c r="K253" s="7"/>
      <c r="L253" s="7" t="str">
        <f t="shared" si="49"/>
        <v/>
      </c>
      <c r="M253" s="7"/>
      <c r="N253" s="68">
        <f t="shared" si="50"/>
        <v>0</v>
      </c>
      <c r="O253" s="76"/>
      <c r="AB253" s="7" t="str">
        <f t="shared" si="57"/>
        <v>[]</v>
      </c>
      <c r="AC253" s="7" t="str">
        <f t="shared" si="58"/>
        <v>[(25154,1)]</v>
      </c>
    </row>
    <row r="254" spans="1:29" x14ac:dyDescent="0.15">
      <c r="A254" s="293">
        <v>52</v>
      </c>
      <c r="B254" s="293">
        <v>3</v>
      </c>
      <c r="C254" s="7"/>
      <c r="D254" s="7" t="str">
        <f t="shared" si="45"/>
        <v/>
      </c>
      <c r="E254" s="7"/>
      <c r="F254" s="68">
        <f t="shared" si="46"/>
        <v>0</v>
      </c>
      <c r="G254" s="7" t="s">
        <v>268</v>
      </c>
      <c r="H254" s="7" t="str">
        <f t="shared" si="47"/>
        <v>军费</v>
      </c>
      <c r="I254" s="7">
        <v>375</v>
      </c>
      <c r="J254" s="68">
        <f t="shared" si="48"/>
        <v>7.5</v>
      </c>
      <c r="K254" s="7"/>
      <c r="L254" s="7" t="str">
        <f t="shared" si="49"/>
        <v/>
      </c>
      <c r="M254" s="7"/>
      <c r="N254" s="68">
        <f t="shared" si="50"/>
        <v>0</v>
      </c>
      <c r="O254" s="76"/>
      <c r="AB254" s="7" t="str">
        <f t="shared" si="57"/>
        <v>[]</v>
      </c>
      <c r="AC254" s="7" t="str">
        <f t="shared" si="58"/>
        <v>[(102,375)]</v>
      </c>
    </row>
    <row r="255" spans="1:29" x14ac:dyDescent="0.15">
      <c r="A255" s="293">
        <v>53</v>
      </c>
      <c r="B255" s="293">
        <v>3</v>
      </c>
      <c r="C255" s="7"/>
      <c r="D255" s="7" t="str">
        <f t="shared" si="45"/>
        <v/>
      </c>
      <c r="E255" s="7"/>
      <c r="F255" s="68">
        <f t="shared" si="46"/>
        <v>0</v>
      </c>
      <c r="G255" s="7" t="s">
        <v>317</v>
      </c>
      <c r="H255" s="7" t="str">
        <f t="shared" si="47"/>
        <v>钻石</v>
      </c>
      <c r="I255" s="7">
        <v>50</v>
      </c>
      <c r="J255" s="68">
        <f t="shared" si="48"/>
        <v>50</v>
      </c>
      <c r="K255" s="7"/>
      <c r="L255" s="7" t="str">
        <f t="shared" si="49"/>
        <v/>
      </c>
      <c r="M255" s="7"/>
      <c r="N255" s="68">
        <f t="shared" si="50"/>
        <v>0</v>
      </c>
      <c r="O255" s="76"/>
      <c r="AB255" s="7" t="str">
        <f t="shared" si="57"/>
        <v>[]</v>
      </c>
      <c r="AC255" s="7" t="str">
        <f t="shared" si="58"/>
        <v>[(101,50)]</v>
      </c>
    </row>
    <row r="256" spans="1:29" x14ac:dyDescent="0.15">
      <c r="A256" s="293">
        <v>54</v>
      </c>
      <c r="B256" s="293">
        <v>3</v>
      </c>
      <c r="C256" s="7"/>
      <c r="D256" s="7" t="str">
        <f t="shared" si="45"/>
        <v/>
      </c>
      <c r="E256" s="7"/>
      <c r="F256" s="68">
        <f t="shared" si="46"/>
        <v>0</v>
      </c>
      <c r="G256" s="7" t="s">
        <v>4217</v>
      </c>
      <c r="H256" s="7" t="str">
        <f t="shared" si="47"/>
        <v>新加速道具</v>
      </c>
      <c r="I256" s="7">
        <v>2</v>
      </c>
      <c r="J256" s="68">
        <f t="shared" si="48"/>
        <v>8</v>
      </c>
      <c r="K256" s="7"/>
      <c r="L256" s="7" t="str">
        <f t="shared" si="49"/>
        <v/>
      </c>
      <c r="M256" s="7"/>
      <c r="N256" s="68">
        <f t="shared" si="50"/>
        <v>0</v>
      </c>
      <c r="O256" s="76"/>
      <c r="AB256" s="7" t="str">
        <f t="shared" si="57"/>
        <v>[]</v>
      </c>
      <c r="AC256" s="7" t="str">
        <f t="shared" si="58"/>
        <v>[(100202,2)]</v>
      </c>
    </row>
    <row r="257" spans="1:29" x14ac:dyDescent="0.15">
      <c r="A257" s="293">
        <v>55</v>
      </c>
      <c r="B257" s="293">
        <v>3</v>
      </c>
      <c r="C257" s="7"/>
      <c r="D257" s="7" t="str">
        <f t="shared" si="45"/>
        <v/>
      </c>
      <c r="E257" s="7"/>
      <c r="F257" s="68">
        <f t="shared" si="46"/>
        <v>0</v>
      </c>
      <c r="G257" s="7" t="s">
        <v>2686</v>
      </c>
      <c r="H257" s="7" t="str">
        <f t="shared" si="47"/>
        <v>BattlePass货币</v>
      </c>
      <c r="I257" s="7">
        <v>25</v>
      </c>
      <c r="J257" s="68">
        <f t="shared" si="48"/>
        <v>35</v>
      </c>
      <c r="K257" s="7"/>
      <c r="L257" s="7" t="str">
        <f t="shared" si="49"/>
        <v/>
      </c>
      <c r="M257" s="7"/>
      <c r="N257" s="68">
        <f t="shared" si="50"/>
        <v>0</v>
      </c>
      <c r="O257" s="76"/>
      <c r="AB257" s="7" t="str">
        <f t="shared" si="57"/>
        <v>[]</v>
      </c>
      <c r="AC257" s="7" t="str">
        <f t="shared" si="58"/>
        <v>[(113,25)]</v>
      </c>
    </row>
    <row r="258" spans="1:29" x14ac:dyDescent="0.15">
      <c r="A258" s="293">
        <v>56</v>
      </c>
      <c r="B258" s="293">
        <v>3</v>
      </c>
      <c r="C258" s="7"/>
      <c r="D258" s="7" t="str">
        <f t="shared" si="45"/>
        <v/>
      </c>
      <c r="E258" s="7"/>
      <c r="F258" s="68">
        <f t="shared" si="46"/>
        <v>0</v>
      </c>
      <c r="G258" s="13" t="s">
        <v>268</v>
      </c>
      <c r="H258" s="7" t="str">
        <f t="shared" si="47"/>
        <v>军费</v>
      </c>
      <c r="I258" s="7">
        <v>375</v>
      </c>
      <c r="J258" s="68">
        <f t="shared" si="48"/>
        <v>7.5</v>
      </c>
      <c r="K258" s="7"/>
      <c r="L258" s="7" t="str">
        <f t="shared" si="49"/>
        <v/>
      </c>
      <c r="M258" s="7"/>
      <c r="N258" s="68">
        <f t="shared" si="50"/>
        <v>0</v>
      </c>
      <c r="O258" s="76"/>
      <c r="AB258" s="7" t="str">
        <f t="shared" si="57"/>
        <v>[]</v>
      </c>
      <c r="AC258" s="7" t="str">
        <f t="shared" si="58"/>
        <v>[(102,375)]</v>
      </c>
    </row>
    <row r="259" spans="1:29" x14ac:dyDescent="0.15">
      <c r="A259" s="293">
        <v>57</v>
      </c>
      <c r="B259" s="293">
        <v>3</v>
      </c>
      <c r="C259" s="7"/>
      <c r="D259" s="7" t="str">
        <f t="shared" ref="D259:D322" si="60">IF(C259="","",VLOOKUP(C259,$V:$X,3,FALSE))</f>
        <v/>
      </c>
      <c r="E259" s="7"/>
      <c r="F259" s="68">
        <f t="shared" ref="F259:F322" si="61">IF(C259="",0,VLOOKUP(C259,$V:$W,2,FALSE)*E259)</f>
        <v>0</v>
      </c>
      <c r="G259" s="7" t="s">
        <v>521</v>
      </c>
      <c r="H259" s="7" t="str">
        <f t="shared" ref="H259:H322" si="62">IF(G259="","",VLOOKUP(G259,$V:$X,3,FALSE))</f>
        <v>宝箱</v>
      </c>
      <c r="I259" s="7">
        <v>1</v>
      </c>
      <c r="J259" s="68">
        <f t="shared" ref="J259:J322" si="63">IF(G259="",0,VLOOKUP(G259,$V:$W,2,FALSE)*I259)</f>
        <v>100</v>
      </c>
      <c r="K259" s="7"/>
      <c r="L259" s="7" t="str">
        <f t="shared" ref="L259:L322" si="64">IF(K259="","",VLOOKUP(K259,$V:$X,3,FALSE))</f>
        <v/>
      </c>
      <c r="M259" s="7"/>
      <c r="N259" s="68">
        <f t="shared" ref="N259:N322" si="65">IF(K259="",0,VLOOKUP(K259,$V:$W,2,FALSE)*M259)</f>
        <v>0</v>
      </c>
      <c r="O259" s="76"/>
      <c r="AB259" s="7" t="str">
        <f t="shared" si="57"/>
        <v>[]</v>
      </c>
      <c r="AC259" s="7" t="str">
        <f t="shared" si="58"/>
        <v>[(24004,1)]</v>
      </c>
    </row>
    <row r="260" spans="1:29" x14ac:dyDescent="0.15">
      <c r="A260" s="293">
        <v>58</v>
      </c>
      <c r="B260" s="293">
        <v>3</v>
      </c>
      <c r="C260" s="7"/>
      <c r="D260" s="7" t="str">
        <f t="shared" si="60"/>
        <v/>
      </c>
      <c r="E260" s="7"/>
      <c r="F260" s="68">
        <f t="shared" si="61"/>
        <v>0</v>
      </c>
      <c r="G260" s="7" t="s">
        <v>268</v>
      </c>
      <c r="H260" s="7" t="str">
        <f t="shared" si="62"/>
        <v>军费</v>
      </c>
      <c r="I260" s="7">
        <v>375</v>
      </c>
      <c r="J260" s="68">
        <f t="shared" si="63"/>
        <v>7.5</v>
      </c>
      <c r="K260" s="7"/>
      <c r="L260" s="7" t="str">
        <f t="shared" si="64"/>
        <v/>
      </c>
      <c r="M260" s="7"/>
      <c r="N260" s="68">
        <f t="shared" si="65"/>
        <v>0</v>
      </c>
      <c r="O260" s="76"/>
      <c r="AB260" s="7" t="str">
        <f t="shared" si="57"/>
        <v>[]</v>
      </c>
      <c r="AC260" s="7" t="str">
        <f t="shared" si="58"/>
        <v>[(102,375)]</v>
      </c>
    </row>
    <row r="261" spans="1:29" x14ac:dyDescent="0.15">
      <c r="A261" s="293">
        <v>59</v>
      </c>
      <c r="B261" s="293">
        <v>3</v>
      </c>
      <c r="C261" s="7"/>
      <c r="D261" s="7" t="str">
        <f t="shared" si="60"/>
        <v/>
      </c>
      <c r="E261" s="7"/>
      <c r="F261" s="68">
        <f t="shared" si="61"/>
        <v>0</v>
      </c>
      <c r="G261" s="7" t="s">
        <v>317</v>
      </c>
      <c r="H261" s="7" t="str">
        <f t="shared" si="62"/>
        <v>钻石</v>
      </c>
      <c r="I261" s="7">
        <v>50</v>
      </c>
      <c r="J261" s="68">
        <f t="shared" si="63"/>
        <v>50</v>
      </c>
      <c r="K261" s="7"/>
      <c r="L261" s="7" t="str">
        <f t="shared" si="64"/>
        <v/>
      </c>
      <c r="M261" s="7"/>
      <c r="N261" s="68">
        <f t="shared" si="65"/>
        <v>0</v>
      </c>
      <c r="O261" s="76"/>
      <c r="AB261" s="7" t="str">
        <f t="shared" si="57"/>
        <v>[]</v>
      </c>
      <c r="AC261" s="7" t="str">
        <f t="shared" si="58"/>
        <v>[(101,50)]</v>
      </c>
    </row>
    <row r="262" spans="1:29" x14ac:dyDescent="0.15">
      <c r="A262" s="293">
        <v>60</v>
      </c>
      <c r="B262" s="293">
        <v>3</v>
      </c>
      <c r="C262" s="70"/>
      <c r="D262" s="7" t="str">
        <f t="shared" si="60"/>
        <v/>
      </c>
      <c r="E262" s="70"/>
      <c r="F262" s="71">
        <f t="shared" si="61"/>
        <v>0</v>
      </c>
      <c r="G262" s="294" t="s">
        <v>3924</v>
      </c>
      <c r="H262" s="7" t="str">
        <f t="shared" si="62"/>
        <v>坦克碎片</v>
      </c>
      <c r="I262" s="70">
        <v>12</v>
      </c>
      <c r="J262" s="68">
        <f t="shared" si="63"/>
        <v>1200</v>
      </c>
      <c r="K262" s="294"/>
      <c r="L262" s="7" t="str">
        <f t="shared" si="64"/>
        <v/>
      </c>
      <c r="M262" s="70">
        <v>1</v>
      </c>
      <c r="N262" s="68">
        <f t="shared" si="65"/>
        <v>0</v>
      </c>
      <c r="O262" s="77">
        <f>SUM(N253:N262)+SUM(J253:J262)+SUM(F253:F262)</f>
        <v>2065.5</v>
      </c>
      <c r="AB262" s="7" t="str">
        <f t="shared" si="57"/>
        <v>[]</v>
      </c>
      <c r="AC262" s="7" t="str">
        <f t="shared" si="58"/>
        <v>[(53321,12)]</v>
      </c>
    </row>
    <row r="263" spans="1:29" x14ac:dyDescent="0.15">
      <c r="A263" s="293">
        <v>61</v>
      </c>
      <c r="B263" s="293">
        <v>3</v>
      </c>
      <c r="C263" s="7"/>
      <c r="D263" s="7" t="str">
        <f t="shared" si="60"/>
        <v/>
      </c>
      <c r="E263" s="7"/>
      <c r="F263" s="68">
        <f t="shared" si="61"/>
        <v>0</v>
      </c>
      <c r="G263" s="7" t="s">
        <v>2686</v>
      </c>
      <c r="H263" s="7" t="str">
        <f t="shared" si="62"/>
        <v>BattlePass货币</v>
      </c>
      <c r="I263" s="7">
        <v>25</v>
      </c>
      <c r="J263" s="68">
        <f t="shared" si="63"/>
        <v>35</v>
      </c>
      <c r="K263" s="7"/>
      <c r="L263" s="7" t="str">
        <f t="shared" si="64"/>
        <v/>
      </c>
      <c r="M263" s="7"/>
      <c r="N263" s="68">
        <f t="shared" si="65"/>
        <v>0</v>
      </c>
      <c r="O263" s="76"/>
      <c r="AB263" s="7" t="str">
        <f t="shared" si="57"/>
        <v>[]</v>
      </c>
      <c r="AC263" s="7" t="str">
        <f t="shared" si="58"/>
        <v>[(113,25)]</v>
      </c>
    </row>
    <row r="264" spans="1:29" x14ac:dyDescent="0.15">
      <c r="A264" s="293">
        <v>62</v>
      </c>
      <c r="B264" s="293">
        <v>3</v>
      </c>
      <c r="C264" s="7"/>
      <c r="D264" s="7" t="str">
        <f t="shared" si="60"/>
        <v/>
      </c>
      <c r="E264" s="7"/>
      <c r="F264" s="68">
        <f t="shared" si="61"/>
        <v>0</v>
      </c>
      <c r="G264" s="7" t="s">
        <v>268</v>
      </c>
      <c r="H264" s="7" t="str">
        <f t="shared" si="62"/>
        <v>军费</v>
      </c>
      <c r="I264" s="7">
        <v>375</v>
      </c>
      <c r="J264" s="68">
        <f t="shared" si="63"/>
        <v>7.5</v>
      </c>
      <c r="K264" s="7"/>
      <c r="L264" s="7" t="str">
        <f t="shared" si="64"/>
        <v/>
      </c>
      <c r="M264" s="7"/>
      <c r="N264" s="68">
        <f t="shared" si="65"/>
        <v>0</v>
      </c>
      <c r="O264" s="76"/>
      <c r="AB264" s="7" t="str">
        <f t="shared" si="57"/>
        <v>[]</v>
      </c>
      <c r="AC264" s="7" t="str">
        <f t="shared" si="58"/>
        <v>[(102,375)]</v>
      </c>
    </row>
    <row r="265" spans="1:29" x14ac:dyDescent="0.15">
      <c r="A265" s="293">
        <v>63</v>
      </c>
      <c r="B265" s="293">
        <v>3</v>
      </c>
      <c r="C265" s="7"/>
      <c r="D265" s="7" t="str">
        <f t="shared" si="60"/>
        <v/>
      </c>
      <c r="E265" s="7"/>
      <c r="F265" s="68">
        <f t="shared" si="61"/>
        <v>0</v>
      </c>
      <c r="G265" s="7" t="s">
        <v>2382</v>
      </c>
      <c r="H265" s="7" t="str">
        <f t="shared" si="62"/>
        <v>宝箱</v>
      </c>
      <c r="I265" s="7">
        <v>1</v>
      </c>
      <c r="J265" s="68">
        <f t="shared" si="63"/>
        <v>100</v>
      </c>
      <c r="K265" s="7"/>
      <c r="L265" s="7" t="str">
        <f t="shared" si="64"/>
        <v/>
      </c>
      <c r="M265" s="7"/>
      <c r="N265" s="68">
        <f t="shared" si="65"/>
        <v>0</v>
      </c>
      <c r="O265" s="76"/>
      <c r="AB265" s="7" t="str">
        <f t="shared" si="57"/>
        <v>[]</v>
      </c>
      <c r="AC265" s="7" t="str">
        <f t="shared" si="58"/>
        <v>[(23004,1)]</v>
      </c>
    </row>
    <row r="266" spans="1:29" x14ac:dyDescent="0.15">
      <c r="A266" s="293">
        <v>64</v>
      </c>
      <c r="B266" s="293">
        <v>3</v>
      </c>
      <c r="C266" s="7"/>
      <c r="D266" s="7" t="str">
        <f t="shared" si="60"/>
        <v/>
      </c>
      <c r="E266" s="7"/>
      <c r="F266" s="68">
        <f t="shared" si="61"/>
        <v>0</v>
      </c>
      <c r="G266" s="13" t="s">
        <v>268</v>
      </c>
      <c r="H266" s="7" t="str">
        <f t="shared" si="62"/>
        <v>军费</v>
      </c>
      <c r="I266" s="7">
        <v>375</v>
      </c>
      <c r="J266" s="68">
        <f t="shared" si="63"/>
        <v>7.5</v>
      </c>
      <c r="K266" s="7"/>
      <c r="L266" s="7" t="str">
        <f t="shared" si="64"/>
        <v/>
      </c>
      <c r="M266" s="7"/>
      <c r="N266" s="68">
        <f t="shared" si="65"/>
        <v>0</v>
      </c>
      <c r="O266" s="76"/>
      <c r="AB266" s="7" t="str">
        <f t="shared" si="57"/>
        <v>[]</v>
      </c>
      <c r="AC266" s="7" t="str">
        <f t="shared" si="58"/>
        <v>[(102,375)]</v>
      </c>
    </row>
    <row r="267" spans="1:29" x14ac:dyDescent="0.15">
      <c r="A267" s="293">
        <v>65</v>
      </c>
      <c r="B267" s="293">
        <v>3</v>
      </c>
      <c r="C267" s="7"/>
      <c r="D267" s="7" t="str">
        <f t="shared" si="60"/>
        <v/>
      </c>
      <c r="E267" s="7"/>
      <c r="F267" s="68">
        <f t="shared" si="61"/>
        <v>0</v>
      </c>
      <c r="G267" s="7" t="s">
        <v>317</v>
      </c>
      <c r="H267" s="7" t="str">
        <f t="shared" si="62"/>
        <v>钻石</v>
      </c>
      <c r="I267" s="7">
        <v>50</v>
      </c>
      <c r="J267" s="68">
        <f t="shared" si="63"/>
        <v>50</v>
      </c>
      <c r="K267" s="7"/>
      <c r="L267" s="7" t="str">
        <f t="shared" si="64"/>
        <v/>
      </c>
      <c r="M267" s="7"/>
      <c r="N267" s="68">
        <f t="shared" si="65"/>
        <v>0</v>
      </c>
      <c r="O267" s="76"/>
      <c r="AB267" s="7" t="str">
        <f t="shared" si="57"/>
        <v>[]</v>
      </c>
      <c r="AC267" s="7" t="str">
        <f t="shared" si="58"/>
        <v>[(101,50)]</v>
      </c>
    </row>
    <row r="268" spans="1:29" x14ac:dyDescent="0.15">
      <c r="A268" s="293">
        <v>66</v>
      </c>
      <c r="B268" s="293">
        <v>3</v>
      </c>
      <c r="C268" s="7"/>
      <c r="D268" s="7" t="str">
        <f t="shared" si="60"/>
        <v/>
      </c>
      <c r="E268" s="7"/>
      <c r="F268" s="68">
        <f t="shared" si="61"/>
        <v>0</v>
      </c>
      <c r="G268" s="7" t="s">
        <v>2457</v>
      </c>
      <c r="H268" s="7" t="str">
        <f t="shared" si="62"/>
        <v>宝箱</v>
      </c>
      <c r="I268" s="7">
        <v>1</v>
      </c>
      <c r="J268" s="68">
        <f t="shared" si="63"/>
        <v>600</v>
      </c>
      <c r="K268" s="7"/>
      <c r="L268" s="7" t="str">
        <f t="shared" si="64"/>
        <v/>
      </c>
      <c r="M268" s="7"/>
      <c r="N268" s="68">
        <f t="shared" si="65"/>
        <v>0</v>
      </c>
      <c r="O268" s="76"/>
      <c r="AB268" s="7" t="str">
        <f t="shared" si="57"/>
        <v>[]</v>
      </c>
      <c r="AC268" s="7" t="str">
        <f t="shared" si="58"/>
        <v>[(25154,1)]</v>
      </c>
    </row>
    <row r="269" spans="1:29" x14ac:dyDescent="0.15">
      <c r="A269" s="293">
        <v>67</v>
      </c>
      <c r="B269" s="293">
        <v>3</v>
      </c>
      <c r="C269" s="7"/>
      <c r="D269" s="7" t="str">
        <f t="shared" si="60"/>
        <v/>
      </c>
      <c r="E269" s="69"/>
      <c r="F269" s="68">
        <f t="shared" si="61"/>
        <v>0</v>
      </c>
      <c r="G269" s="7" t="s">
        <v>2686</v>
      </c>
      <c r="H269" s="7" t="str">
        <f t="shared" si="62"/>
        <v>BattlePass货币</v>
      </c>
      <c r="I269" s="7">
        <v>25</v>
      </c>
      <c r="J269" s="68">
        <f t="shared" si="63"/>
        <v>35</v>
      </c>
      <c r="K269" s="7"/>
      <c r="L269" s="7" t="str">
        <f t="shared" si="64"/>
        <v/>
      </c>
      <c r="M269" s="7"/>
      <c r="N269" s="68">
        <f t="shared" si="65"/>
        <v>0</v>
      </c>
      <c r="O269" s="76"/>
      <c r="AB269" s="7" t="str">
        <f t="shared" si="57"/>
        <v>[]</v>
      </c>
      <c r="AC269" s="7" t="str">
        <f t="shared" si="58"/>
        <v>[(113,25)]</v>
      </c>
    </row>
    <row r="270" spans="1:29" x14ac:dyDescent="0.15">
      <c r="A270" s="293">
        <v>68</v>
      </c>
      <c r="B270" s="293">
        <v>3</v>
      </c>
      <c r="C270" s="7"/>
      <c r="D270" s="7" t="str">
        <f t="shared" si="60"/>
        <v/>
      </c>
      <c r="E270" s="7"/>
      <c r="F270" s="68">
        <f t="shared" si="61"/>
        <v>0</v>
      </c>
      <c r="G270" s="7" t="s">
        <v>4217</v>
      </c>
      <c r="H270" s="7" t="str">
        <f t="shared" si="62"/>
        <v>新加速道具</v>
      </c>
      <c r="I270" s="7">
        <v>2</v>
      </c>
      <c r="J270" s="68">
        <f t="shared" si="63"/>
        <v>8</v>
      </c>
      <c r="K270" s="7"/>
      <c r="L270" s="7" t="str">
        <f t="shared" si="64"/>
        <v/>
      </c>
      <c r="M270" s="7"/>
      <c r="N270" s="68">
        <f t="shared" si="65"/>
        <v>0</v>
      </c>
      <c r="O270" s="76"/>
      <c r="AB270" s="7" t="str">
        <f t="shared" si="57"/>
        <v>[]</v>
      </c>
      <c r="AC270" s="7" t="str">
        <f t="shared" si="58"/>
        <v>[(100202,2)]</v>
      </c>
    </row>
    <row r="271" spans="1:29" x14ac:dyDescent="0.15">
      <c r="A271" s="293">
        <v>69</v>
      </c>
      <c r="B271" s="293">
        <v>3</v>
      </c>
      <c r="C271" s="7"/>
      <c r="D271" s="7" t="str">
        <f t="shared" si="60"/>
        <v/>
      </c>
      <c r="E271" s="7"/>
      <c r="F271" s="68">
        <f t="shared" si="61"/>
        <v>0</v>
      </c>
      <c r="G271" s="7" t="s">
        <v>268</v>
      </c>
      <c r="H271" s="7" t="str">
        <f t="shared" si="62"/>
        <v>军费</v>
      </c>
      <c r="I271" s="7">
        <v>625</v>
      </c>
      <c r="J271" s="68">
        <f t="shared" si="63"/>
        <v>12.5</v>
      </c>
      <c r="K271" s="7"/>
      <c r="L271" s="7" t="str">
        <f t="shared" si="64"/>
        <v/>
      </c>
      <c r="M271" s="7"/>
      <c r="N271" s="68">
        <f t="shared" si="65"/>
        <v>0</v>
      </c>
      <c r="O271" s="76"/>
      <c r="AB271" s="7" t="str">
        <f t="shared" si="57"/>
        <v>[]</v>
      </c>
      <c r="AC271" s="7" t="str">
        <f t="shared" si="58"/>
        <v>[(102,625)]</v>
      </c>
    </row>
    <row r="272" spans="1:29" x14ac:dyDescent="0.15">
      <c r="A272" s="293">
        <v>70</v>
      </c>
      <c r="B272" s="293">
        <v>3</v>
      </c>
      <c r="C272" s="70"/>
      <c r="D272" s="7" t="str">
        <f t="shared" si="60"/>
        <v/>
      </c>
      <c r="E272" s="70"/>
      <c r="F272" s="71">
        <f t="shared" si="61"/>
        <v>0</v>
      </c>
      <c r="G272" s="294" t="s">
        <v>3909</v>
      </c>
      <c r="H272" s="7" t="str">
        <f t="shared" si="62"/>
        <v>流光</v>
      </c>
      <c r="I272" s="70">
        <v>1</v>
      </c>
      <c r="J272" s="68">
        <f t="shared" si="63"/>
        <v>300</v>
      </c>
      <c r="K272" s="294" t="s">
        <v>3924</v>
      </c>
      <c r="L272" s="7" t="str">
        <f t="shared" si="64"/>
        <v>坦克碎片</v>
      </c>
      <c r="M272" s="70">
        <v>12</v>
      </c>
      <c r="N272" s="68">
        <f t="shared" si="65"/>
        <v>1200</v>
      </c>
      <c r="O272" s="77">
        <f>SUM(N263:N272)+SUM(J263:J272)+SUM(F263:F272)</f>
        <v>2355.5</v>
      </c>
      <c r="AB272" s="7" t="str">
        <f t="shared" si="57"/>
        <v>[]</v>
      </c>
      <c r="AC272" s="7" t="str">
        <f t="shared" si="58"/>
        <v>[(190006,1),(53321,12)]</v>
      </c>
    </row>
    <row r="273" spans="1:29" x14ac:dyDescent="0.15">
      <c r="A273" s="293">
        <v>71</v>
      </c>
      <c r="B273" s="293">
        <v>3</v>
      </c>
      <c r="C273" s="7"/>
      <c r="D273" s="7" t="str">
        <f t="shared" si="60"/>
        <v/>
      </c>
      <c r="E273" s="7"/>
      <c r="F273" s="68">
        <f t="shared" si="61"/>
        <v>0</v>
      </c>
      <c r="G273" s="7" t="s">
        <v>273</v>
      </c>
      <c r="H273" s="7" t="str">
        <f t="shared" si="62"/>
        <v>钥匙</v>
      </c>
      <c r="I273" s="7">
        <v>30</v>
      </c>
      <c r="J273" s="68">
        <f t="shared" si="63"/>
        <v>25.000000000000021</v>
      </c>
      <c r="K273" s="7"/>
      <c r="L273" s="7" t="str">
        <f t="shared" si="64"/>
        <v/>
      </c>
      <c r="M273" s="7"/>
      <c r="N273" s="68">
        <f t="shared" si="65"/>
        <v>0</v>
      </c>
      <c r="O273" s="76"/>
      <c r="AB273" s="7" t="str">
        <f t="shared" si="57"/>
        <v>[]</v>
      </c>
      <c r="AC273" s="7" t="str">
        <f t="shared" si="58"/>
        <v>[(105,30)]</v>
      </c>
    </row>
    <row r="274" spans="1:29" x14ac:dyDescent="0.15">
      <c r="A274" s="293">
        <v>72</v>
      </c>
      <c r="B274" s="293">
        <v>3</v>
      </c>
      <c r="C274" s="7"/>
      <c r="D274" s="7" t="str">
        <f t="shared" si="60"/>
        <v/>
      </c>
      <c r="E274" s="7"/>
      <c r="F274" s="68">
        <f t="shared" si="61"/>
        <v>0</v>
      </c>
      <c r="G274" s="7" t="s">
        <v>268</v>
      </c>
      <c r="H274" s="7" t="str">
        <f t="shared" si="62"/>
        <v>军费</v>
      </c>
      <c r="I274" s="7">
        <v>625</v>
      </c>
      <c r="J274" s="68">
        <f t="shared" si="63"/>
        <v>12.5</v>
      </c>
      <c r="K274" s="7"/>
      <c r="L274" s="7" t="str">
        <f t="shared" si="64"/>
        <v/>
      </c>
      <c r="M274" s="7"/>
      <c r="N274" s="68">
        <f t="shared" si="65"/>
        <v>0</v>
      </c>
      <c r="O274" s="76"/>
      <c r="AB274" s="7" t="str">
        <f t="shared" si="57"/>
        <v>[]</v>
      </c>
      <c r="AC274" s="7" t="str">
        <f t="shared" si="58"/>
        <v>[(102,625)]</v>
      </c>
    </row>
    <row r="275" spans="1:29" x14ac:dyDescent="0.15">
      <c r="A275" s="293">
        <v>73</v>
      </c>
      <c r="B275" s="293">
        <v>3</v>
      </c>
      <c r="C275" s="7"/>
      <c r="D275" s="7" t="str">
        <f t="shared" si="60"/>
        <v/>
      </c>
      <c r="E275" s="7"/>
      <c r="F275" s="68">
        <f t="shared" si="61"/>
        <v>0</v>
      </c>
      <c r="G275" s="13" t="s">
        <v>317</v>
      </c>
      <c r="H275" s="7" t="str">
        <f t="shared" si="62"/>
        <v>钻石</v>
      </c>
      <c r="I275" s="7">
        <v>50</v>
      </c>
      <c r="J275" s="68">
        <f t="shared" si="63"/>
        <v>50</v>
      </c>
      <c r="K275" s="7"/>
      <c r="L275" s="7" t="str">
        <f t="shared" si="64"/>
        <v/>
      </c>
      <c r="M275" s="7"/>
      <c r="N275" s="68">
        <f t="shared" si="65"/>
        <v>0</v>
      </c>
      <c r="O275" s="76"/>
      <c r="AB275" s="7" t="str">
        <f t="shared" si="57"/>
        <v>[]</v>
      </c>
      <c r="AC275" s="7" t="str">
        <f t="shared" si="58"/>
        <v>[(101,50)]</v>
      </c>
    </row>
    <row r="276" spans="1:29" x14ac:dyDescent="0.15">
      <c r="A276" s="293">
        <v>74</v>
      </c>
      <c r="B276" s="293">
        <v>3</v>
      </c>
      <c r="C276" s="7"/>
      <c r="D276" s="7" t="str">
        <f t="shared" si="60"/>
        <v/>
      </c>
      <c r="E276" s="7"/>
      <c r="F276" s="68">
        <f t="shared" si="61"/>
        <v>0</v>
      </c>
      <c r="G276" s="7" t="s">
        <v>268</v>
      </c>
      <c r="H276" s="7" t="str">
        <f t="shared" si="62"/>
        <v>军费</v>
      </c>
      <c r="I276" s="7">
        <v>625</v>
      </c>
      <c r="J276" s="68">
        <f t="shared" si="63"/>
        <v>12.5</v>
      </c>
      <c r="K276" s="7"/>
      <c r="L276" s="7" t="str">
        <f t="shared" si="64"/>
        <v/>
      </c>
      <c r="M276" s="7"/>
      <c r="N276" s="68">
        <f t="shared" si="65"/>
        <v>0</v>
      </c>
      <c r="O276" s="76"/>
      <c r="AB276" s="7" t="str">
        <f t="shared" si="57"/>
        <v>[]</v>
      </c>
      <c r="AC276" s="7" t="str">
        <f t="shared" si="58"/>
        <v>[(102,625)]</v>
      </c>
    </row>
    <row r="277" spans="1:29" x14ac:dyDescent="0.15">
      <c r="A277" s="293">
        <v>75</v>
      </c>
      <c r="B277" s="293">
        <v>3</v>
      </c>
      <c r="C277" s="7"/>
      <c r="D277" s="7" t="str">
        <f t="shared" si="60"/>
        <v/>
      </c>
      <c r="E277" s="7"/>
      <c r="F277" s="68">
        <f t="shared" si="61"/>
        <v>0</v>
      </c>
      <c r="G277" s="283" t="s">
        <v>4095</v>
      </c>
      <c r="H277" s="7" t="str">
        <f t="shared" si="62"/>
        <v>头像</v>
      </c>
      <c r="I277" s="7">
        <v>1</v>
      </c>
      <c r="J277" s="68">
        <f t="shared" si="63"/>
        <v>200</v>
      </c>
      <c r="K277" s="283"/>
      <c r="L277" s="7" t="str">
        <f t="shared" si="64"/>
        <v/>
      </c>
      <c r="M277" s="7"/>
      <c r="N277" s="68">
        <f t="shared" si="65"/>
        <v>0</v>
      </c>
      <c r="O277" s="76"/>
      <c r="AB277" s="7" t="str">
        <f t="shared" si="57"/>
        <v>[]</v>
      </c>
      <c r="AC277" s="7" t="str">
        <f t="shared" si="58"/>
        <v>[(140132,1)]</v>
      </c>
    </row>
    <row r="278" spans="1:29" x14ac:dyDescent="0.15">
      <c r="A278" s="293">
        <v>76</v>
      </c>
      <c r="B278" s="293">
        <v>3</v>
      </c>
      <c r="C278" s="7"/>
      <c r="D278" s="7" t="str">
        <f t="shared" si="60"/>
        <v/>
      </c>
      <c r="E278" s="7"/>
      <c r="F278" s="68">
        <f t="shared" si="61"/>
        <v>0</v>
      </c>
      <c r="G278" s="7" t="s">
        <v>511</v>
      </c>
      <c r="H278" s="7" t="str">
        <f t="shared" si="62"/>
        <v>双倍钥匙</v>
      </c>
      <c r="I278" s="7">
        <v>30</v>
      </c>
      <c r="J278" s="68">
        <f t="shared" si="63"/>
        <v>15.000000000000014</v>
      </c>
      <c r="K278" s="7"/>
      <c r="L278" s="7" t="str">
        <f t="shared" si="64"/>
        <v/>
      </c>
      <c r="M278" s="7"/>
      <c r="N278" s="68">
        <f t="shared" si="65"/>
        <v>0</v>
      </c>
      <c r="O278" s="76"/>
      <c r="AB278" s="7" t="str">
        <f t="shared" si="57"/>
        <v>[]</v>
      </c>
      <c r="AC278" s="7" t="str">
        <f t="shared" si="58"/>
        <v>[(111,30)]</v>
      </c>
    </row>
    <row r="279" spans="1:29" x14ac:dyDescent="0.15">
      <c r="A279" s="293">
        <v>77</v>
      </c>
      <c r="B279" s="293">
        <v>3</v>
      </c>
      <c r="C279" s="7"/>
      <c r="D279" s="7" t="str">
        <f t="shared" si="60"/>
        <v/>
      </c>
      <c r="E279" s="7"/>
      <c r="F279" s="68">
        <f t="shared" si="61"/>
        <v>0</v>
      </c>
      <c r="G279" s="7" t="s">
        <v>317</v>
      </c>
      <c r="H279" s="7" t="str">
        <f t="shared" si="62"/>
        <v>钻石</v>
      </c>
      <c r="I279" s="7">
        <v>50</v>
      </c>
      <c r="J279" s="68">
        <f t="shared" si="63"/>
        <v>50</v>
      </c>
      <c r="K279" s="7"/>
      <c r="L279" s="7" t="str">
        <f t="shared" si="64"/>
        <v/>
      </c>
      <c r="M279" s="7"/>
      <c r="N279" s="68">
        <f t="shared" si="65"/>
        <v>0</v>
      </c>
      <c r="O279" s="76"/>
      <c r="AB279" s="7" t="str">
        <f t="shared" si="57"/>
        <v>[]</v>
      </c>
      <c r="AC279" s="7" t="str">
        <f t="shared" si="58"/>
        <v>[(101,50)]</v>
      </c>
    </row>
    <row r="280" spans="1:29" x14ac:dyDescent="0.15">
      <c r="A280" s="293">
        <v>78</v>
      </c>
      <c r="B280" s="293">
        <v>3</v>
      </c>
      <c r="C280" s="7"/>
      <c r="D280" s="7" t="str">
        <f t="shared" si="60"/>
        <v/>
      </c>
      <c r="E280" s="7"/>
      <c r="F280" s="68">
        <f t="shared" si="61"/>
        <v>0</v>
      </c>
      <c r="G280" s="7" t="s">
        <v>521</v>
      </c>
      <c r="H280" s="7" t="str">
        <f t="shared" si="62"/>
        <v>宝箱</v>
      </c>
      <c r="I280" s="7">
        <v>1</v>
      </c>
      <c r="J280" s="68">
        <f t="shared" si="63"/>
        <v>100</v>
      </c>
      <c r="K280" s="7"/>
      <c r="L280" s="7" t="str">
        <f t="shared" si="64"/>
        <v/>
      </c>
      <c r="M280" s="7"/>
      <c r="N280" s="68">
        <f t="shared" si="65"/>
        <v>0</v>
      </c>
      <c r="O280" s="76"/>
      <c r="AB280" s="7" t="str">
        <f t="shared" si="57"/>
        <v>[]</v>
      </c>
      <c r="AC280" s="7" t="str">
        <f t="shared" si="58"/>
        <v>[(24004,1)]</v>
      </c>
    </row>
    <row r="281" spans="1:29" x14ac:dyDescent="0.15">
      <c r="A281" s="293">
        <v>79</v>
      </c>
      <c r="B281" s="293">
        <v>3</v>
      </c>
      <c r="C281" s="7"/>
      <c r="D281" s="7" t="str">
        <f t="shared" si="60"/>
        <v/>
      </c>
      <c r="E281" s="7"/>
      <c r="F281" s="68">
        <f t="shared" si="61"/>
        <v>0</v>
      </c>
      <c r="G281" s="7" t="s">
        <v>2686</v>
      </c>
      <c r="H281" s="7" t="str">
        <f t="shared" si="62"/>
        <v>BattlePass货币</v>
      </c>
      <c r="I281" s="7">
        <v>30</v>
      </c>
      <c r="J281" s="68">
        <f t="shared" si="63"/>
        <v>42</v>
      </c>
      <c r="K281" s="7"/>
      <c r="L281" s="7" t="str">
        <f t="shared" si="64"/>
        <v/>
      </c>
      <c r="M281" s="7"/>
      <c r="N281" s="68">
        <f t="shared" si="65"/>
        <v>0</v>
      </c>
      <c r="O281" s="76"/>
      <c r="AB281" s="7" t="str">
        <f t="shared" si="57"/>
        <v>[]</v>
      </c>
      <c r="AC281" s="7" t="str">
        <f t="shared" si="58"/>
        <v>[(113,30)]</v>
      </c>
    </row>
    <row r="282" spans="1:29" x14ac:dyDescent="0.15">
      <c r="A282" s="293">
        <v>80</v>
      </c>
      <c r="B282" s="293">
        <v>3</v>
      </c>
      <c r="C282" s="70"/>
      <c r="D282" s="7" t="str">
        <f t="shared" si="60"/>
        <v/>
      </c>
      <c r="E282" s="70"/>
      <c r="F282" s="71">
        <f t="shared" si="61"/>
        <v>0</v>
      </c>
      <c r="G282" s="294" t="s">
        <v>4094</v>
      </c>
      <c r="H282" s="7" t="str">
        <f t="shared" si="62"/>
        <v>摆件</v>
      </c>
      <c r="I282" s="70">
        <v>1</v>
      </c>
      <c r="J282" s="68">
        <f t="shared" si="63"/>
        <v>200</v>
      </c>
      <c r="K282" s="294" t="s">
        <v>3924</v>
      </c>
      <c r="L282" s="7" t="str">
        <f t="shared" si="64"/>
        <v>坦克碎片</v>
      </c>
      <c r="M282" s="70">
        <v>15</v>
      </c>
      <c r="N282" s="68">
        <f t="shared" si="65"/>
        <v>1500</v>
      </c>
      <c r="O282" s="77">
        <f>SUM(N273:N282)+SUM(J273:J282)+SUM(F273:F282)</f>
        <v>2207</v>
      </c>
      <c r="AB282" s="7" t="str">
        <f t="shared" si="57"/>
        <v>[]</v>
      </c>
      <c r="AC282" s="7" t="str">
        <f t="shared" si="58"/>
        <v>[(110112,1),(53321,15)]</v>
      </c>
    </row>
    <row r="283" spans="1:29" x14ac:dyDescent="0.15">
      <c r="A283" s="293">
        <v>81</v>
      </c>
      <c r="B283" s="293">
        <v>3</v>
      </c>
      <c r="C283" s="7"/>
      <c r="D283" s="7" t="str">
        <f t="shared" si="60"/>
        <v/>
      </c>
      <c r="E283" s="7"/>
      <c r="F283" s="68">
        <f t="shared" si="61"/>
        <v>0</v>
      </c>
      <c r="G283" s="7" t="s">
        <v>268</v>
      </c>
      <c r="H283" s="7" t="str">
        <f t="shared" si="62"/>
        <v>军费</v>
      </c>
      <c r="I283" s="7">
        <v>625</v>
      </c>
      <c r="J283" s="68">
        <f t="shared" si="63"/>
        <v>12.5</v>
      </c>
      <c r="K283" s="7"/>
      <c r="L283" s="7" t="str">
        <f t="shared" si="64"/>
        <v/>
      </c>
      <c r="M283" s="7"/>
      <c r="N283" s="68">
        <f t="shared" si="65"/>
        <v>0</v>
      </c>
      <c r="O283" s="76"/>
      <c r="AB283" s="7" t="str">
        <f t="shared" si="57"/>
        <v>[]</v>
      </c>
      <c r="AC283" s="7" t="str">
        <f t="shared" si="58"/>
        <v>[(102,625)]</v>
      </c>
    </row>
    <row r="284" spans="1:29" x14ac:dyDescent="0.15">
      <c r="A284" s="293">
        <v>82</v>
      </c>
      <c r="B284" s="293">
        <v>3</v>
      </c>
      <c r="C284" s="7"/>
      <c r="D284" s="7" t="str">
        <f t="shared" si="60"/>
        <v/>
      </c>
      <c r="E284" s="7"/>
      <c r="F284" s="68">
        <f t="shared" si="61"/>
        <v>0</v>
      </c>
      <c r="G284" s="7" t="s">
        <v>317</v>
      </c>
      <c r="H284" s="7" t="str">
        <f t="shared" si="62"/>
        <v>钻石</v>
      </c>
      <c r="I284" s="7">
        <v>100</v>
      </c>
      <c r="J284" s="68">
        <f t="shared" si="63"/>
        <v>100</v>
      </c>
      <c r="K284" s="7"/>
      <c r="L284" s="7" t="str">
        <f t="shared" si="64"/>
        <v/>
      </c>
      <c r="M284" s="7"/>
      <c r="N284" s="68">
        <f t="shared" si="65"/>
        <v>0</v>
      </c>
      <c r="O284" s="76"/>
      <c r="AB284" s="7" t="str">
        <f t="shared" si="57"/>
        <v>[]</v>
      </c>
      <c r="AC284" s="7" t="str">
        <f t="shared" si="58"/>
        <v>[(101,100)]</v>
      </c>
    </row>
    <row r="285" spans="1:29" x14ac:dyDescent="0.15">
      <c r="A285" s="293">
        <v>83</v>
      </c>
      <c r="B285" s="293">
        <v>3</v>
      </c>
      <c r="C285" s="7"/>
      <c r="D285" s="7" t="str">
        <f t="shared" si="60"/>
        <v/>
      </c>
      <c r="E285" s="7"/>
      <c r="F285" s="68">
        <f t="shared" si="61"/>
        <v>0</v>
      </c>
      <c r="G285" s="7" t="s">
        <v>273</v>
      </c>
      <c r="H285" s="7" t="str">
        <f t="shared" si="62"/>
        <v>钥匙</v>
      </c>
      <c r="I285" s="7">
        <v>30</v>
      </c>
      <c r="J285" s="68">
        <f t="shared" si="63"/>
        <v>25.000000000000021</v>
      </c>
      <c r="K285" s="7"/>
      <c r="L285" s="7" t="str">
        <f t="shared" si="64"/>
        <v/>
      </c>
      <c r="M285" s="7"/>
      <c r="N285" s="68">
        <f t="shared" si="65"/>
        <v>0</v>
      </c>
      <c r="O285" s="76"/>
      <c r="AB285" s="7" t="str">
        <f t="shared" si="57"/>
        <v>[]</v>
      </c>
      <c r="AC285" s="7" t="str">
        <f t="shared" si="58"/>
        <v>[(105,30)]</v>
      </c>
    </row>
    <row r="286" spans="1:29" x14ac:dyDescent="0.15">
      <c r="A286" s="293">
        <v>84</v>
      </c>
      <c r="B286" s="293">
        <v>3</v>
      </c>
      <c r="C286" s="7"/>
      <c r="D286" s="7" t="str">
        <f t="shared" si="60"/>
        <v/>
      </c>
      <c r="E286" s="7"/>
      <c r="F286" s="68">
        <f t="shared" si="61"/>
        <v>0</v>
      </c>
      <c r="G286" s="7" t="s">
        <v>2686</v>
      </c>
      <c r="H286" s="7" t="str">
        <f t="shared" si="62"/>
        <v>BattlePass货币</v>
      </c>
      <c r="I286" s="7">
        <v>50</v>
      </c>
      <c r="J286" s="68">
        <f t="shared" si="63"/>
        <v>70</v>
      </c>
      <c r="K286" s="7"/>
      <c r="L286" s="7" t="str">
        <f t="shared" si="64"/>
        <v/>
      </c>
      <c r="M286" s="7"/>
      <c r="N286" s="68">
        <f t="shared" si="65"/>
        <v>0</v>
      </c>
      <c r="O286" s="76"/>
      <c r="AB286" s="7" t="str">
        <f t="shared" si="57"/>
        <v>[]</v>
      </c>
      <c r="AC286" s="7" t="str">
        <f t="shared" si="58"/>
        <v>[(113,50)]</v>
      </c>
    </row>
    <row r="287" spans="1:29" x14ac:dyDescent="0.15">
      <c r="A287" s="293">
        <v>85</v>
      </c>
      <c r="B287" s="293">
        <v>3</v>
      </c>
      <c r="C287" s="7"/>
      <c r="D287" s="7" t="str">
        <f t="shared" si="60"/>
        <v/>
      </c>
      <c r="E287" s="7"/>
      <c r="F287" s="68">
        <f t="shared" si="61"/>
        <v>0</v>
      </c>
      <c r="G287" s="7" t="s">
        <v>268</v>
      </c>
      <c r="H287" s="7" t="str">
        <f t="shared" si="62"/>
        <v>军费</v>
      </c>
      <c r="I287" s="7">
        <v>625</v>
      </c>
      <c r="J287" s="68">
        <f t="shared" si="63"/>
        <v>12.5</v>
      </c>
      <c r="K287" s="7"/>
      <c r="L287" s="7" t="str">
        <f t="shared" si="64"/>
        <v/>
      </c>
      <c r="M287" s="7"/>
      <c r="N287" s="68">
        <f t="shared" si="65"/>
        <v>0</v>
      </c>
      <c r="O287" s="76"/>
      <c r="AB287" s="7" t="str">
        <f t="shared" si="57"/>
        <v>[]</v>
      </c>
      <c r="AC287" s="7" t="str">
        <f t="shared" si="58"/>
        <v>[(102,625)]</v>
      </c>
    </row>
    <row r="288" spans="1:29" x14ac:dyDescent="0.15">
      <c r="A288" s="293">
        <v>86</v>
      </c>
      <c r="B288" s="293">
        <v>3</v>
      </c>
      <c r="C288" s="7"/>
      <c r="D288" s="7" t="str">
        <f t="shared" si="60"/>
        <v/>
      </c>
      <c r="E288" s="7"/>
      <c r="F288" s="68">
        <f t="shared" si="61"/>
        <v>0</v>
      </c>
      <c r="G288" s="7" t="s">
        <v>511</v>
      </c>
      <c r="H288" s="7" t="str">
        <f t="shared" si="62"/>
        <v>双倍钥匙</v>
      </c>
      <c r="I288" s="7">
        <v>30</v>
      </c>
      <c r="J288" s="68">
        <f t="shared" si="63"/>
        <v>15.000000000000014</v>
      </c>
      <c r="K288" s="7"/>
      <c r="L288" s="7" t="str">
        <f t="shared" si="64"/>
        <v/>
      </c>
      <c r="M288" s="7"/>
      <c r="N288" s="68">
        <f t="shared" si="65"/>
        <v>0</v>
      </c>
      <c r="O288" s="76"/>
      <c r="AB288" s="7" t="str">
        <f t="shared" si="57"/>
        <v>[]</v>
      </c>
      <c r="AC288" s="7" t="str">
        <f t="shared" si="58"/>
        <v>[(111,30)]</v>
      </c>
    </row>
    <row r="289" spans="1:29" x14ac:dyDescent="0.15">
      <c r="A289" s="293">
        <v>87</v>
      </c>
      <c r="B289" s="293">
        <v>3</v>
      </c>
      <c r="C289" s="7"/>
      <c r="D289" s="7" t="str">
        <f t="shared" si="60"/>
        <v/>
      </c>
      <c r="E289" s="7"/>
      <c r="F289" s="68">
        <f t="shared" si="61"/>
        <v>0</v>
      </c>
      <c r="G289" s="7" t="s">
        <v>317</v>
      </c>
      <c r="H289" s="7" t="str">
        <f t="shared" si="62"/>
        <v>钻石</v>
      </c>
      <c r="I289" s="7">
        <v>100</v>
      </c>
      <c r="J289" s="68">
        <f t="shared" si="63"/>
        <v>100</v>
      </c>
      <c r="K289" s="7"/>
      <c r="L289" s="7" t="str">
        <f t="shared" si="64"/>
        <v/>
      </c>
      <c r="M289" s="7"/>
      <c r="N289" s="68">
        <f t="shared" si="65"/>
        <v>0</v>
      </c>
      <c r="O289" s="76"/>
      <c r="AB289" s="7" t="str">
        <f t="shared" si="57"/>
        <v>[]</v>
      </c>
      <c r="AC289" s="7" t="str">
        <f t="shared" si="58"/>
        <v>[(101,100)]</v>
      </c>
    </row>
    <row r="290" spans="1:29" x14ac:dyDescent="0.15">
      <c r="A290" s="293">
        <v>88</v>
      </c>
      <c r="B290" s="293">
        <v>3</v>
      </c>
      <c r="C290" s="7"/>
      <c r="D290" s="7" t="str">
        <f t="shared" si="60"/>
        <v/>
      </c>
      <c r="E290" s="7"/>
      <c r="F290" s="68">
        <f t="shared" si="61"/>
        <v>0</v>
      </c>
      <c r="G290" s="7" t="s">
        <v>4217</v>
      </c>
      <c r="H290" s="7" t="str">
        <f t="shared" si="62"/>
        <v>新加速道具</v>
      </c>
      <c r="I290" s="7">
        <v>1</v>
      </c>
      <c r="J290" s="68">
        <f t="shared" si="63"/>
        <v>4</v>
      </c>
      <c r="K290" s="7"/>
      <c r="L290" s="7" t="str">
        <f t="shared" si="64"/>
        <v/>
      </c>
      <c r="M290" s="7"/>
      <c r="N290" s="68">
        <f t="shared" si="65"/>
        <v>0</v>
      </c>
      <c r="O290" s="76"/>
      <c r="AB290" s="7" t="str">
        <f t="shared" si="57"/>
        <v>[]</v>
      </c>
      <c r="AC290" s="7" t="str">
        <f t="shared" si="58"/>
        <v>[(100202,1)]</v>
      </c>
    </row>
    <row r="291" spans="1:29" x14ac:dyDescent="0.15">
      <c r="A291" s="293">
        <v>89</v>
      </c>
      <c r="B291" s="293">
        <v>3</v>
      </c>
      <c r="C291" s="7"/>
      <c r="D291" s="7" t="str">
        <f t="shared" si="60"/>
        <v/>
      </c>
      <c r="E291" s="7"/>
      <c r="F291" s="68">
        <f t="shared" si="61"/>
        <v>0</v>
      </c>
      <c r="G291" s="7" t="s">
        <v>2457</v>
      </c>
      <c r="H291" s="7" t="str">
        <f t="shared" si="62"/>
        <v>宝箱</v>
      </c>
      <c r="I291" s="7">
        <v>1</v>
      </c>
      <c r="J291" s="68">
        <f t="shared" si="63"/>
        <v>600</v>
      </c>
      <c r="K291" s="7"/>
      <c r="L291" s="7" t="str">
        <f t="shared" si="64"/>
        <v/>
      </c>
      <c r="M291" s="7"/>
      <c r="N291" s="68">
        <f t="shared" si="65"/>
        <v>0</v>
      </c>
      <c r="O291" s="76"/>
      <c r="AB291" s="7" t="str">
        <f t="shared" si="57"/>
        <v>[]</v>
      </c>
      <c r="AC291" s="7" t="str">
        <f t="shared" si="58"/>
        <v>[(25154,1)]</v>
      </c>
    </row>
    <row r="292" spans="1:29" x14ac:dyDescent="0.15">
      <c r="A292" s="293">
        <v>90</v>
      </c>
      <c r="B292" s="293">
        <v>3</v>
      </c>
      <c r="C292" s="70"/>
      <c r="D292" s="7" t="str">
        <f t="shared" si="60"/>
        <v/>
      </c>
      <c r="E292" s="70"/>
      <c r="F292" s="71">
        <f t="shared" si="61"/>
        <v>0</v>
      </c>
      <c r="G292" s="294" t="s">
        <v>3911</v>
      </c>
      <c r="H292" s="7" t="str">
        <f t="shared" si="62"/>
        <v>流光</v>
      </c>
      <c r="I292" s="70">
        <v>1</v>
      </c>
      <c r="J292" s="68">
        <f t="shared" si="63"/>
        <v>300</v>
      </c>
      <c r="K292" s="294" t="s">
        <v>3924</v>
      </c>
      <c r="L292" s="7" t="str">
        <f t="shared" si="64"/>
        <v>坦克碎片</v>
      </c>
      <c r="M292" s="70">
        <v>15</v>
      </c>
      <c r="N292" s="68">
        <f t="shared" si="65"/>
        <v>1500</v>
      </c>
      <c r="O292" s="77">
        <f>SUM(N283:N292)+SUM(J283:J292)+SUM(F283:F292)</f>
        <v>2739</v>
      </c>
      <c r="AB292" s="7" t="str">
        <f t="shared" si="57"/>
        <v>[]</v>
      </c>
      <c r="AC292" s="7" t="str">
        <f t="shared" si="58"/>
        <v>[(190007,1),(53321,15)]</v>
      </c>
    </row>
    <row r="293" spans="1:29" x14ac:dyDescent="0.15">
      <c r="A293" s="293">
        <v>91</v>
      </c>
      <c r="B293" s="293">
        <v>3</v>
      </c>
      <c r="C293" s="7"/>
      <c r="D293" s="7" t="str">
        <f t="shared" si="60"/>
        <v/>
      </c>
      <c r="E293" s="7"/>
      <c r="F293" s="68">
        <f t="shared" si="61"/>
        <v>0</v>
      </c>
      <c r="G293" s="7" t="s">
        <v>2457</v>
      </c>
      <c r="H293" s="7" t="str">
        <f t="shared" si="62"/>
        <v>宝箱</v>
      </c>
      <c r="I293" s="7">
        <v>1</v>
      </c>
      <c r="J293" s="68">
        <f t="shared" si="63"/>
        <v>600</v>
      </c>
      <c r="K293" s="7"/>
      <c r="L293" s="7" t="str">
        <f t="shared" si="64"/>
        <v/>
      </c>
      <c r="M293" s="7"/>
      <c r="N293" s="68">
        <f t="shared" si="65"/>
        <v>0</v>
      </c>
      <c r="O293" s="76"/>
      <c r="AB293" s="7" t="str">
        <f t="shared" ref="AB293:AB302" si="66">IF(C293="","[]","["&amp;"("&amp;VLOOKUP(C293,道具ID,2,FALSE)&amp;","&amp;E293&amp;")"&amp;"]")</f>
        <v>[]</v>
      </c>
      <c r="AC293" s="7" t="str">
        <f t="shared" ref="AC293:AC302" si="67">IF(G293="","[]",IF(K293="","["&amp;"("&amp;VLOOKUP(G293,道具ID,2,FALSE)&amp;","&amp;I293&amp;")"&amp;"]","["&amp;"("&amp;VLOOKUP(G293,道具ID,2,FALSE)&amp;","&amp;I293&amp;")"&amp;","&amp;"("&amp;VLOOKUP(K293,道具ID,2,FALSE)&amp;","&amp;M293&amp;")"&amp;"]"))</f>
        <v>[(25154,1)]</v>
      </c>
    </row>
    <row r="294" spans="1:29" x14ac:dyDescent="0.15">
      <c r="A294" s="293">
        <v>92</v>
      </c>
      <c r="B294" s="293">
        <v>3</v>
      </c>
      <c r="C294" s="7"/>
      <c r="D294" s="7" t="str">
        <f t="shared" si="60"/>
        <v/>
      </c>
      <c r="E294" s="7"/>
      <c r="F294" s="68">
        <f t="shared" si="61"/>
        <v>0</v>
      </c>
      <c r="G294" s="7" t="s">
        <v>268</v>
      </c>
      <c r="H294" s="7" t="str">
        <f t="shared" si="62"/>
        <v>军费</v>
      </c>
      <c r="I294" s="7">
        <v>625</v>
      </c>
      <c r="J294" s="68">
        <f t="shared" si="63"/>
        <v>12.5</v>
      </c>
      <c r="K294" s="7"/>
      <c r="L294" s="7" t="str">
        <f t="shared" si="64"/>
        <v/>
      </c>
      <c r="M294" s="7"/>
      <c r="N294" s="68">
        <f t="shared" si="65"/>
        <v>0</v>
      </c>
      <c r="O294" s="76"/>
      <c r="AB294" s="7" t="str">
        <f t="shared" si="66"/>
        <v>[]</v>
      </c>
      <c r="AC294" s="7" t="str">
        <f t="shared" si="67"/>
        <v>[(102,625)]</v>
      </c>
    </row>
    <row r="295" spans="1:29" x14ac:dyDescent="0.15">
      <c r="A295" s="293">
        <v>93</v>
      </c>
      <c r="B295" s="293">
        <v>3</v>
      </c>
      <c r="C295" s="7"/>
      <c r="D295" s="7" t="str">
        <f t="shared" si="60"/>
        <v/>
      </c>
      <c r="E295" s="69"/>
      <c r="F295" s="68">
        <f t="shared" si="61"/>
        <v>0</v>
      </c>
      <c r="G295" s="7" t="s">
        <v>4217</v>
      </c>
      <c r="H295" s="7" t="str">
        <f t="shared" si="62"/>
        <v>新加速道具</v>
      </c>
      <c r="I295" s="7">
        <v>2</v>
      </c>
      <c r="J295" s="68">
        <f t="shared" si="63"/>
        <v>8</v>
      </c>
      <c r="K295" s="7"/>
      <c r="L295" s="7" t="str">
        <f t="shared" si="64"/>
        <v/>
      </c>
      <c r="M295" s="7"/>
      <c r="N295" s="68">
        <f t="shared" si="65"/>
        <v>0</v>
      </c>
      <c r="O295" s="76"/>
      <c r="AB295" s="7" t="str">
        <f t="shared" si="66"/>
        <v>[]</v>
      </c>
      <c r="AC295" s="7" t="str">
        <f t="shared" si="67"/>
        <v>[(100202,2)]</v>
      </c>
    </row>
    <row r="296" spans="1:29" x14ac:dyDescent="0.15">
      <c r="A296" s="293">
        <v>94</v>
      </c>
      <c r="B296" s="293">
        <v>3</v>
      </c>
      <c r="C296" s="7"/>
      <c r="D296" s="7" t="str">
        <f t="shared" si="60"/>
        <v/>
      </c>
      <c r="E296" s="7"/>
      <c r="F296" s="68">
        <f t="shared" si="61"/>
        <v>0</v>
      </c>
      <c r="G296" s="283" t="s">
        <v>3933</v>
      </c>
      <c r="H296" s="7" t="str">
        <f t="shared" si="62"/>
        <v>头像框</v>
      </c>
      <c r="I296" s="7">
        <v>1</v>
      </c>
      <c r="J296" s="68">
        <f t="shared" si="63"/>
        <v>200</v>
      </c>
      <c r="K296" s="7"/>
      <c r="L296" s="7" t="str">
        <f t="shared" si="64"/>
        <v/>
      </c>
      <c r="M296" s="7"/>
      <c r="N296" s="68">
        <f t="shared" si="65"/>
        <v>0</v>
      </c>
      <c r="O296" s="76"/>
      <c r="AB296" s="7" t="str">
        <f t="shared" si="66"/>
        <v>[]</v>
      </c>
      <c r="AC296" s="7" t="str">
        <f t="shared" si="67"/>
        <v>[(130123,1)]</v>
      </c>
    </row>
    <row r="297" spans="1:29" x14ac:dyDescent="0.15">
      <c r="A297" s="293">
        <v>95</v>
      </c>
      <c r="B297" s="293">
        <v>3</v>
      </c>
      <c r="C297" s="7"/>
      <c r="D297" s="7" t="str">
        <f t="shared" si="60"/>
        <v/>
      </c>
      <c r="E297" s="7"/>
      <c r="F297" s="68">
        <f t="shared" si="61"/>
        <v>0</v>
      </c>
      <c r="G297" s="7" t="s">
        <v>268</v>
      </c>
      <c r="H297" s="7" t="str">
        <f t="shared" si="62"/>
        <v>军费</v>
      </c>
      <c r="I297" s="7">
        <v>800</v>
      </c>
      <c r="J297" s="68">
        <f t="shared" si="63"/>
        <v>16</v>
      </c>
      <c r="K297" s="7"/>
      <c r="L297" s="7" t="str">
        <f t="shared" si="64"/>
        <v/>
      </c>
      <c r="M297" s="7"/>
      <c r="N297" s="68">
        <f t="shared" si="65"/>
        <v>0</v>
      </c>
      <c r="O297" s="76"/>
      <c r="AB297" s="7" t="str">
        <f t="shared" si="66"/>
        <v>[]</v>
      </c>
      <c r="AC297" s="7" t="str">
        <f t="shared" si="67"/>
        <v>[(102,800)]</v>
      </c>
    </row>
    <row r="298" spans="1:29" x14ac:dyDescent="0.15">
      <c r="A298" s="293">
        <v>96</v>
      </c>
      <c r="B298" s="293">
        <v>3</v>
      </c>
      <c r="C298" s="7"/>
      <c r="D298" s="7" t="str">
        <f t="shared" si="60"/>
        <v/>
      </c>
      <c r="E298" s="7"/>
      <c r="F298" s="68">
        <f t="shared" si="61"/>
        <v>0</v>
      </c>
      <c r="G298" s="7" t="s">
        <v>317</v>
      </c>
      <c r="H298" s="7" t="str">
        <f t="shared" si="62"/>
        <v>钻石</v>
      </c>
      <c r="I298" s="7">
        <v>150</v>
      </c>
      <c r="J298" s="68">
        <f t="shared" si="63"/>
        <v>150</v>
      </c>
      <c r="K298" s="7"/>
      <c r="L298" s="7" t="str">
        <f t="shared" si="64"/>
        <v/>
      </c>
      <c r="M298" s="7"/>
      <c r="N298" s="68">
        <f t="shared" si="65"/>
        <v>0</v>
      </c>
      <c r="O298" s="76"/>
      <c r="AB298" s="7" t="str">
        <f t="shared" si="66"/>
        <v>[]</v>
      </c>
      <c r="AC298" s="7" t="str">
        <f t="shared" si="67"/>
        <v>[(101,150)]</v>
      </c>
    </row>
    <row r="299" spans="1:29" x14ac:dyDescent="0.15">
      <c r="A299" s="293">
        <v>97</v>
      </c>
      <c r="B299" s="293">
        <v>3</v>
      </c>
      <c r="C299" s="7"/>
      <c r="D299" s="7" t="str">
        <f t="shared" si="60"/>
        <v/>
      </c>
      <c r="E299" s="7"/>
      <c r="F299" s="68">
        <f t="shared" si="61"/>
        <v>0</v>
      </c>
      <c r="G299" s="7" t="s">
        <v>2686</v>
      </c>
      <c r="H299" s="7" t="str">
        <f t="shared" si="62"/>
        <v>BattlePass货币</v>
      </c>
      <c r="I299" s="7">
        <v>50</v>
      </c>
      <c r="J299" s="68">
        <f t="shared" si="63"/>
        <v>70</v>
      </c>
      <c r="K299" s="7"/>
      <c r="L299" s="7" t="str">
        <f t="shared" si="64"/>
        <v/>
      </c>
      <c r="M299" s="7">
        <v>1</v>
      </c>
      <c r="N299" s="68">
        <f t="shared" si="65"/>
        <v>0</v>
      </c>
      <c r="O299" s="76"/>
      <c r="AB299" s="7" t="str">
        <f t="shared" si="66"/>
        <v>[]</v>
      </c>
      <c r="AC299" s="7" t="str">
        <f t="shared" si="67"/>
        <v>[(113,50)]</v>
      </c>
    </row>
    <row r="300" spans="1:29" x14ac:dyDescent="0.15">
      <c r="A300" s="293">
        <v>98</v>
      </c>
      <c r="B300" s="293">
        <v>3</v>
      </c>
      <c r="C300" s="7"/>
      <c r="D300" s="7" t="str">
        <f t="shared" si="60"/>
        <v/>
      </c>
      <c r="E300" s="7"/>
      <c r="F300" s="68">
        <f t="shared" si="61"/>
        <v>0</v>
      </c>
      <c r="G300" s="7" t="s">
        <v>317</v>
      </c>
      <c r="H300" s="7" t="str">
        <f t="shared" si="62"/>
        <v>钻石</v>
      </c>
      <c r="I300" s="7">
        <v>150</v>
      </c>
      <c r="J300" s="68">
        <f t="shared" si="63"/>
        <v>150</v>
      </c>
      <c r="K300" s="7"/>
      <c r="L300" s="7" t="str">
        <f t="shared" si="64"/>
        <v/>
      </c>
      <c r="M300" s="7"/>
      <c r="N300" s="68">
        <f t="shared" si="65"/>
        <v>0</v>
      </c>
      <c r="O300" s="76"/>
      <c r="AB300" s="7" t="str">
        <f t="shared" si="66"/>
        <v>[]</v>
      </c>
      <c r="AC300" s="7" t="str">
        <f t="shared" si="67"/>
        <v>[(101,150)]</v>
      </c>
    </row>
    <row r="301" spans="1:29" x14ac:dyDescent="0.15">
      <c r="A301" s="293">
        <v>99</v>
      </c>
      <c r="B301" s="293">
        <v>3</v>
      </c>
      <c r="C301" s="7"/>
      <c r="D301" s="7" t="str">
        <f t="shared" si="60"/>
        <v/>
      </c>
      <c r="E301" s="69"/>
      <c r="F301" s="68">
        <f t="shared" si="61"/>
        <v>0</v>
      </c>
      <c r="G301" s="7" t="s">
        <v>2457</v>
      </c>
      <c r="H301" s="7" t="str">
        <f t="shared" si="62"/>
        <v>宝箱</v>
      </c>
      <c r="I301" s="7">
        <v>1</v>
      </c>
      <c r="J301" s="68">
        <f t="shared" si="63"/>
        <v>600</v>
      </c>
      <c r="K301" s="7"/>
      <c r="L301" s="7" t="str">
        <f t="shared" si="64"/>
        <v/>
      </c>
      <c r="M301" s="7"/>
      <c r="N301" s="68">
        <f t="shared" si="65"/>
        <v>0</v>
      </c>
      <c r="O301" s="76"/>
      <c r="AB301" s="7" t="str">
        <f t="shared" si="66"/>
        <v>[]</v>
      </c>
      <c r="AC301" s="7" t="str">
        <f t="shared" si="67"/>
        <v>[(25154,1)]</v>
      </c>
    </row>
    <row r="302" spans="1:29" x14ac:dyDescent="0.15">
      <c r="A302" s="293">
        <v>100</v>
      </c>
      <c r="B302" s="293">
        <v>3</v>
      </c>
      <c r="C302" s="70"/>
      <c r="D302" s="7" t="str">
        <f t="shared" si="60"/>
        <v/>
      </c>
      <c r="E302" s="94"/>
      <c r="F302" s="71">
        <f t="shared" si="61"/>
        <v>0</v>
      </c>
      <c r="G302" s="294" t="s">
        <v>3907</v>
      </c>
      <c r="H302" s="7" t="str">
        <f t="shared" si="62"/>
        <v>涂装</v>
      </c>
      <c r="I302" s="70">
        <v>1</v>
      </c>
      <c r="J302" s="68">
        <f t="shared" si="63"/>
        <v>500</v>
      </c>
      <c r="K302" s="294" t="s">
        <v>3924</v>
      </c>
      <c r="L302" s="7" t="str">
        <f t="shared" si="64"/>
        <v>坦克碎片</v>
      </c>
      <c r="M302" s="70">
        <v>15</v>
      </c>
      <c r="N302" s="68">
        <f t="shared" si="65"/>
        <v>1500</v>
      </c>
      <c r="O302" s="77">
        <f>SUM(N293:N302)+SUM(J293:J302)+SUM(F293:F302)</f>
        <v>3806.5</v>
      </c>
      <c r="AB302" s="7" t="str">
        <f t="shared" si="66"/>
        <v>[]</v>
      </c>
      <c r="AC302" s="7" t="str">
        <f t="shared" si="67"/>
        <v>[(180038,1),(53321,15)]</v>
      </c>
    </row>
    <row r="303" spans="1:29" x14ac:dyDescent="0.15">
      <c r="A303" s="328">
        <v>1</v>
      </c>
      <c r="B303" s="328">
        <v>4</v>
      </c>
      <c r="C303" s="7" t="s">
        <v>268</v>
      </c>
      <c r="D303" s="7" t="str">
        <f t="shared" si="60"/>
        <v>军费</v>
      </c>
      <c r="E303" s="7">
        <v>30</v>
      </c>
      <c r="F303" s="68">
        <f t="shared" si="61"/>
        <v>0.6</v>
      </c>
      <c r="G303" s="283" t="s">
        <v>4215</v>
      </c>
      <c r="H303" s="7" t="str">
        <f t="shared" si="62"/>
        <v>坦克碎片</v>
      </c>
      <c r="I303" s="7">
        <v>6</v>
      </c>
      <c r="J303" s="68">
        <f t="shared" si="63"/>
        <v>600</v>
      </c>
      <c r="K303" s="283"/>
      <c r="L303" s="7" t="str">
        <f t="shared" si="64"/>
        <v/>
      </c>
      <c r="M303" s="7"/>
      <c r="N303" s="68">
        <f t="shared" si="65"/>
        <v>0</v>
      </c>
      <c r="O303" s="76"/>
      <c r="Q303" s="81"/>
      <c r="R303" s="82" t="s">
        <v>1806</v>
      </c>
      <c r="S303" s="83" t="s">
        <v>705</v>
      </c>
      <c r="T303" s="83" t="s">
        <v>706</v>
      </c>
      <c r="AB303" s="7" t="str">
        <f t="shared" ref="AB303:AB340" si="68">IF(C303="","[]","["&amp;"("&amp;VLOOKUP(C303,道具ID,2,FALSE)&amp;","&amp;E303&amp;")"&amp;"]")</f>
        <v>[(102,30)]</v>
      </c>
      <c r="AC303" s="7" t="str">
        <f t="shared" ref="AC303:AC340" si="69">IF(G303="","[]",IF(K303="","["&amp;"("&amp;VLOOKUP(G303,道具ID,2,FALSE)&amp;","&amp;I303&amp;")"&amp;"]","["&amp;"("&amp;VLOOKUP(G303,道具ID,2,FALSE)&amp;","&amp;I303&amp;")"&amp;","&amp;"("&amp;VLOOKUP(K303,道具ID,2,FALSE)&amp;","&amp;M303&amp;")"&amp;"]"))</f>
        <v>[(52341,6)]</v>
      </c>
    </row>
    <row r="304" spans="1:29" x14ac:dyDescent="0.15">
      <c r="A304" s="328">
        <v>2</v>
      </c>
      <c r="B304" s="328">
        <v>4</v>
      </c>
      <c r="C304" s="283" t="s">
        <v>4244</v>
      </c>
      <c r="D304" s="7" t="str">
        <f t="shared" si="60"/>
        <v>宝箱</v>
      </c>
      <c r="E304" s="7">
        <v>1</v>
      </c>
      <c r="F304" s="68">
        <f t="shared" si="61"/>
        <v>120</v>
      </c>
      <c r="G304" s="7" t="s">
        <v>317</v>
      </c>
      <c r="H304" s="7" t="str">
        <f t="shared" si="62"/>
        <v>钻石</v>
      </c>
      <c r="I304" s="7">
        <v>20</v>
      </c>
      <c r="J304" s="68">
        <f t="shared" si="63"/>
        <v>20</v>
      </c>
      <c r="K304" s="7"/>
      <c r="L304" s="7" t="str">
        <f t="shared" si="64"/>
        <v/>
      </c>
      <c r="M304" s="7"/>
      <c r="N304" s="68">
        <f t="shared" si="65"/>
        <v>0</v>
      </c>
      <c r="O304" s="76"/>
      <c r="Q304" s="7" t="s">
        <v>2987</v>
      </c>
      <c r="R304" s="76">
        <f>SUMIFS(F:F,B:B,4)</f>
        <v>3157.9000000000005</v>
      </c>
      <c r="S304" s="85">
        <f>R304/VLOOKUP(1,道具价值!$B$74:$E$80,4,FALSE)</f>
        <v>41.964982222222233</v>
      </c>
      <c r="T304" s="85">
        <f>R304/VLOOKUP(6,道具价值!$B$74:$E$80,4,FALSE)</f>
        <v>31.575842100000003</v>
      </c>
      <c r="AB304" s="7" t="str">
        <f t="shared" si="68"/>
        <v>[(40001,1)]</v>
      </c>
      <c r="AC304" s="7" t="str">
        <f t="shared" si="69"/>
        <v>[(101,20)]</v>
      </c>
    </row>
    <row r="305" spans="1:29" x14ac:dyDescent="0.15">
      <c r="A305" s="328">
        <v>3</v>
      </c>
      <c r="B305" s="328">
        <v>4</v>
      </c>
      <c r="C305" s="7" t="s">
        <v>317</v>
      </c>
      <c r="D305" s="7" t="str">
        <f t="shared" si="60"/>
        <v>钻石</v>
      </c>
      <c r="E305" s="7">
        <v>20</v>
      </c>
      <c r="F305" s="68">
        <f t="shared" si="61"/>
        <v>20</v>
      </c>
      <c r="G305" s="283" t="s">
        <v>4253</v>
      </c>
      <c r="H305" s="7" t="str">
        <f t="shared" si="62"/>
        <v>贴花</v>
      </c>
      <c r="I305" s="7">
        <v>1</v>
      </c>
      <c r="J305" s="68">
        <f t="shared" si="63"/>
        <v>100</v>
      </c>
      <c r="K305" s="7"/>
      <c r="L305" s="7" t="str">
        <f t="shared" si="64"/>
        <v/>
      </c>
      <c r="M305" s="7"/>
      <c r="N305" s="68">
        <f t="shared" si="65"/>
        <v>0</v>
      </c>
      <c r="O305" s="76"/>
      <c r="Q305" s="7" t="s">
        <v>2988</v>
      </c>
      <c r="R305" s="76">
        <f>SUMIFS(J:J,B:B,4)+SUMIFS(N:N,B:B,4)</f>
        <v>29484</v>
      </c>
      <c r="S305" s="86">
        <f>R305/VLOOKUP(1,道具价值!$B$74:$E$80,4,FALSE)</f>
        <v>391.80960000000005</v>
      </c>
      <c r="T305" s="86">
        <f>R305/VLOOKUP(6,道具价值!$B$74:$E$80,4,FALSE)</f>
        <v>294.81051599999995</v>
      </c>
      <c r="AB305" s="7" t="str">
        <f t="shared" si="68"/>
        <v>[(101,20)]</v>
      </c>
      <c r="AC305" s="7" t="str">
        <f t="shared" si="69"/>
        <v>[(280002,1)]</v>
      </c>
    </row>
    <row r="306" spans="1:29" x14ac:dyDescent="0.15">
      <c r="A306" s="328">
        <v>4</v>
      </c>
      <c r="B306" s="328">
        <v>4</v>
      </c>
      <c r="C306" s="7" t="s">
        <v>2434</v>
      </c>
      <c r="D306" s="7" t="str">
        <f t="shared" si="60"/>
        <v>宝箱</v>
      </c>
      <c r="E306" s="69">
        <v>1</v>
      </c>
      <c r="F306" s="68">
        <f t="shared" si="61"/>
        <v>200</v>
      </c>
      <c r="G306" s="283" t="s">
        <v>4245</v>
      </c>
      <c r="H306" s="7" t="str">
        <f t="shared" si="62"/>
        <v>军费</v>
      </c>
      <c r="I306" s="7">
        <v>200</v>
      </c>
      <c r="J306" s="68">
        <f t="shared" si="63"/>
        <v>4</v>
      </c>
      <c r="K306" s="7"/>
      <c r="L306" s="7" t="str">
        <f t="shared" si="64"/>
        <v/>
      </c>
      <c r="M306" s="7"/>
      <c r="N306" s="68">
        <f t="shared" si="65"/>
        <v>0</v>
      </c>
      <c r="O306" s="76"/>
      <c r="Q306" s="7" t="s">
        <v>2989</v>
      </c>
      <c r="R306" s="76">
        <f>R304+R305</f>
        <v>32641.9</v>
      </c>
      <c r="S306" s="86">
        <f>R306/VLOOKUP(1,道具价值!$B$74:$E$80,4,FALSE)</f>
        <v>433.77458222222231</v>
      </c>
      <c r="T306" s="86">
        <f>R306/VLOOKUP(6,道具价值!$B$74:$E$80,4,FALSE)</f>
        <v>326.3863581</v>
      </c>
      <c r="AB306" s="7" t="str">
        <f t="shared" si="68"/>
        <v>[(25052,1)]</v>
      </c>
      <c r="AC306" s="7" t="str">
        <f t="shared" si="69"/>
        <v>[(102,200)]</v>
      </c>
    </row>
    <row r="307" spans="1:29" x14ac:dyDescent="0.15">
      <c r="A307" s="328">
        <v>5</v>
      </c>
      <c r="B307" s="328">
        <v>4</v>
      </c>
      <c r="C307" s="283" t="s">
        <v>4245</v>
      </c>
      <c r="D307" s="7" t="str">
        <f t="shared" si="60"/>
        <v>军费</v>
      </c>
      <c r="E307" s="7">
        <v>60</v>
      </c>
      <c r="F307" s="68">
        <f t="shared" si="61"/>
        <v>1.2</v>
      </c>
      <c r="G307" s="283" t="s">
        <v>4215</v>
      </c>
      <c r="H307" s="7" t="str">
        <f t="shared" si="62"/>
        <v>坦克碎片</v>
      </c>
      <c r="I307" s="7">
        <v>6</v>
      </c>
      <c r="J307" s="68">
        <f t="shared" si="63"/>
        <v>600</v>
      </c>
      <c r="K307" s="7"/>
      <c r="L307" s="7" t="str">
        <f t="shared" si="64"/>
        <v/>
      </c>
      <c r="M307" s="7"/>
      <c r="N307" s="68">
        <f t="shared" si="65"/>
        <v>0</v>
      </c>
      <c r="O307" s="76"/>
      <c r="Q307" s="7" t="s">
        <v>2990</v>
      </c>
      <c r="R307" s="76">
        <v>11</v>
      </c>
      <c r="S307" s="85"/>
      <c r="T307" s="85"/>
      <c r="AB307" s="7" t="str">
        <f t="shared" si="68"/>
        <v>[(102,60)]</v>
      </c>
      <c r="AC307" s="7" t="str">
        <f t="shared" si="69"/>
        <v>[(52341,6)]</v>
      </c>
    </row>
    <row r="308" spans="1:29" x14ac:dyDescent="0.15">
      <c r="A308" s="328">
        <v>6</v>
      </c>
      <c r="B308" s="328">
        <v>4</v>
      </c>
      <c r="C308" s="283" t="s">
        <v>4251</v>
      </c>
      <c r="D308" s="7" t="str">
        <f t="shared" si="60"/>
        <v>贴花</v>
      </c>
      <c r="E308" s="7">
        <v>1</v>
      </c>
      <c r="F308" s="68">
        <f t="shared" si="61"/>
        <v>100</v>
      </c>
      <c r="G308" s="283" t="s">
        <v>4244</v>
      </c>
      <c r="H308" s="7" t="str">
        <f t="shared" si="62"/>
        <v>宝箱</v>
      </c>
      <c r="I308" s="7">
        <v>1</v>
      </c>
      <c r="J308" s="68">
        <f t="shared" si="63"/>
        <v>120</v>
      </c>
      <c r="K308" s="7"/>
      <c r="L308" s="7" t="str">
        <f t="shared" si="64"/>
        <v/>
      </c>
      <c r="M308" s="7"/>
      <c r="N308" s="68">
        <f t="shared" si="65"/>
        <v>0</v>
      </c>
      <c r="O308" s="76"/>
      <c r="Q308" s="7" t="s">
        <v>2991</v>
      </c>
      <c r="R308" s="76">
        <f>SUMIFS(F:F,A:A,"&lt;="&amp;R307,B:B,4)+SUMIFS(J:J,A:A,"&lt;="&amp;R307,B:B,4)+SUMIFS(N:N,A:A,"&lt;="&amp;R307,B:B,4)</f>
        <v>3566.666666666667</v>
      </c>
      <c r="S308" s="85">
        <f>R308/VLOOKUP(1,道具价值!$B$74:$E$80,4,FALSE)</f>
        <v>47.397037037037045</v>
      </c>
      <c r="T308" s="85">
        <f>R308/VLOOKUP(6,道具价值!$B$74:$E$80,4,FALSE)</f>
        <v>35.6631</v>
      </c>
      <c r="AB308" s="7" t="str">
        <f t="shared" si="68"/>
        <v>[(280001,1)]</v>
      </c>
      <c r="AC308" s="7" t="str">
        <f t="shared" si="69"/>
        <v>[(40001,1)]</v>
      </c>
    </row>
    <row r="309" spans="1:29" x14ac:dyDescent="0.15">
      <c r="A309" s="328">
        <v>7</v>
      </c>
      <c r="B309" s="328">
        <v>4</v>
      </c>
      <c r="C309" s="7" t="s">
        <v>268</v>
      </c>
      <c r="D309" s="7" t="str">
        <f t="shared" si="60"/>
        <v>军费</v>
      </c>
      <c r="E309" s="7">
        <v>60</v>
      </c>
      <c r="F309" s="68">
        <f t="shared" si="61"/>
        <v>1.2</v>
      </c>
      <c r="G309" s="7" t="s">
        <v>317</v>
      </c>
      <c r="H309" s="7" t="str">
        <f t="shared" si="62"/>
        <v>钻石</v>
      </c>
      <c r="I309" s="7">
        <v>20</v>
      </c>
      <c r="J309" s="68">
        <f t="shared" si="63"/>
        <v>20</v>
      </c>
      <c r="K309" s="7"/>
      <c r="L309" s="7" t="str">
        <f t="shared" si="64"/>
        <v/>
      </c>
      <c r="M309" s="7"/>
      <c r="N309" s="68">
        <f t="shared" si="65"/>
        <v>0</v>
      </c>
      <c r="O309" s="76"/>
      <c r="Q309" s="7" t="s">
        <v>2992</v>
      </c>
      <c r="R309" s="14">
        <f>R308/R306</f>
        <v>0.10926651532743703</v>
      </c>
      <c r="S309" s="87">
        <f>S308/S306</f>
        <v>0.10926651532743702</v>
      </c>
      <c r="T309" s="87">
        <f>T308/T306</f>
        <v>0.10926651532743703</v>
      </c>
      <c r="AB309" s="7" t="str">
        <f t="shared" si="68"/>
        <v>[(102,60)]</v>
      </c>
      <c r="AC309" s="7" t="str">
        <f t="shared" si="69"/>
        <v>[(101,20)]</v>
      </c>
    </row>
    <row r="310" spans="1:29" x14ac:dyDescent="0.15">
      <c r="A310" s="328">
        <v>8</v>
      </c>
      <c r="B310" s="328">
        <v>4</v>
      </c>
      <c r="C310" s="283" t="s">
        <v>4252</v>
      </c>
      <c r="D310" s="7" t="str">
        <f t="shared" si="60"/>
        <v>新加速道具</v>
      </c>
      <c r="E310" s="7">
        <v>1</v>
      </c>
      <c r="F310" s="68">
        <f t="shared" si="61"/>
        <v>4</v>
      </c>
      <c r="G310" s="283" t="s">
        <v>4254</v>
      </c>
      <c r="H310" s="7" t="str">
        <f t="shared" si="62"/>
        <v>新加速道具</v>
      </c>
      <c r="I310" s="7">
        <v>1</v>
      </c>
      <c r="J310" s="68">
        <f t="shared" si="63"/>
        <v>24</v>
      </c>
      <c r="K310" s="283"/>
      <c r="L310" s="7" t="str">
        <f t="shared" si="64"/>
        <v/>
      </c>
      <c r="M310" s="7"/>
      <c r="N310" s="68">
        <f t="shared" si="65"/>
        <v>0</v>
      </c>
      <c r="O310" s="76"/>
      <c r="Q310" s="13" t="s">
        <v>2928</v>
      </c>
      <c r="R310" s="76">
        <v>70</v>
      </c>
      <c r="S310" s="85"/>
      <c r="T310" s="85"/>
      <c r="AB310" s="7" t="str">
        <f t="shared" si="68"/>
        <v>[(100202,1)]</v>
      </c>
      <c r="AC310" s="7" t="str">
        <f t="shared" si="69"/>
        <v>[(100203,1)]</v>
      </c>
    </row>
    <row r="311" spans="1:29" x14ac:dyDescent="0.15">
      <c r="A311" s="328">
        <v>9</v>
      </c>
      <c r="B311" s="328">
        <v>4</v>
      </c>
      <c r="C311" s="7" t="s">
        <v>273</v>
      </c>
      <c r="D311" s="7" t="str">
        <f t="shared" si="60"/>
        <v>钥匙</v>
      </c>
      <c r="E311" s="7">
        <v>20</v>
      </c>
      <c r="F311" s="68">
        <f t="shared" si="61"/>
        <v>16.666666666666682</v>
      </c>
      <c r="G311" s="7" t="s">
        <v>514</v>
      </c>
      <c r="H311" s="7" t="str">
        <f t="shared" si="62"/>
        <v>宝箱</v>
      </c>
      <c r="I311" s="7">
        <v>1</v>
      </c>
      <c r="J311" s="68">
        <f t="shared" si="63"/>
        <v>600</v>
      </c>
      <c r="K311" s="7"/>
      <c r="L311" s="7" t="str">
        <f t="shared" si="64"/>
        <v/>
      </c>
      <c r="M311" s="7"/>
      <c r="N311" s="68">
        <f t="shared" si="65"/>
        <v>0</v>
      </c>
      <c r="O311" s="76"/>
      <c r="Q311" s="13" t="s">
        <v>2921</v>
      </c>
      <c r="R311" s="76">
        <f>R306/R310</f>
        <v>466.31285714285718</v>
      </c>
      <c r="S311" s="88">
        <f>R311/VLOOKUP(1,道具价值!$B$74:$E$80,4,FALSE)</f>
        <v>6.1967797460317469</v>
      </c>
      <c r="T311" s="88">
        <f>R311/VLOOKUP(6,道具价值!$B$74:$E$80,4,FALSE)</f>
        <v>4.6626622585714284</v>
      </c>
      <c r="AB311" s="7" t="str">
        <f t="shared" si="68"/>
        <v>[(105,20)]</v>
      </c>
      <c r="AC311" s="7" t="str">
        <f t="shared" si="69"/>
        <v>[(25152,1)]</v>
      </c>
    </row>
    <row r="312" spans="1:29" x14ac:dyDescent="0.15">
      <c r="A312" s="328">
        <v>10</v>
      </c>
      <c r="B312" s="328">
        <v>4</v>
      </c>
      <c r="C312" s="294" t="s">
        <v>4249</v>
      </c>
      <c r="D312" s="7" t="str">
        <f t="shared" si="60"/>
        <v>宝箱</v>
      </c>
      <c r="E312" s="70">
        <v>1</v>
      </c>
      <c r="F312" s="71">
        <f t="shared" si="61"/>
        <v>300</v>
      </c>
      <c r="G312" s="294" t="s">
        <v>4215</v>
      </c>
      <c r="H312" s="7" t="str">
        <f t="shared" si="62"/>
        <v>坦克碎片</v>
      </c>
      <c r="I312" s="70">
        <v>6</v>
      </c>
      <c r="J312" s="68">
        <f t="shared" si="63"/>
        <v>600</v>
      </c>
      <c r="K312" s="70"/>
      <c r="L312" s="7" t="str">
        <f t="shared" si="64"/>
        <v/>
      </c>
      <c r="M312" s="70"/>
      <c r="N312" s="68">
        <f t="shared" si="65"/>
        <v>0</v>
      </c>
      <c r="O312" s="77">
        <f>SUM(N303:N312)+SUM(J303:J312)+SUM(F303:F312)</f>
        <v>3451.666666666667</v>
      </c>
      <c r="AB312" s="7" t="str">
        <f t="shared" si="68"/>
        <v>[(40007,1)]</v>
      </c>
      <c r="AC312" s="7" t="str">
        <f t="shared" si="69"/>
        <v>[(52341,6)]</v>
      </c>
    </row>
    <row r="313" spans="1:29" x14ac:dyDescent="0.15">
      <c r="A313" s="328">
        <v>11</v>
      </c>
      <c r="B313" s="328">
        <v>4</v>
      </c>
      <c r="C313" s="7" t="s">
        <v>511</v>
      </c>
      <c r="D313" s="7" t="str">
        <f t="shared" si="60"/>
        <v>双倍钥匙</v>
      </c>
      <c r="E313" s="7">
        <v>30</v>
      </c>
      <c r="F313" s="68">
        <f t="shared" si="61"/>
        <v>15.000000000000014</v>
      </c>
      <c r="G313" s="283" t="s">
        <v>4251</v>
      </c>
      <c r="H313" s="7" t="str">
        <f t="shared" si="62"/>
        <v>贴花</v>
      </c>
      <c r="I313" s="7">
        <v>1</v>
      </c>
      <c r="J313" s="68">
        <f t="shared" si="63"/>
        <v>100</v>
      </c>
      <c r="K313" s="7"/>
      <c r="L313" s="7" t="str">
        <f t="shared" si="64"/>
        <v/>
      </c>
      <c r="M313" s="7"/>
      <c r="N313" s="68">
        <f t="shared" si="65"/>
        <v>0</v>
      </c>
      <c r="O313" s="76"/>
      <c r="Q313" s="11" t="s">
        <v>2994</v>
      </c>
      <c r="R313" s="89" t="s">
        <v>2995</v>
      </c>
      <c r="S313" s="90" t="s">
        <v>2996</v>
      </c>
      <c r="T313" s="90" t="s">
        <v>3011</v>
      </c>
      <c r="AB313" s="7" t="str">
        <f t="shared" si="68"/>
        <v>[(111,30)]</v>
      </c>
      <c r="AC313" s="7" t="str">
        <f t="shared" si="69"/>
        <v>[(280001,1)]</v>
      </c>
    </row>
    <row r="314" spans="1:29" x14ac:dyDescent="0.15">
      <c r="A314" s="328">
        <v>12</v>
      </c>
      <c r="B314" s="328">
        <v>4</v>
      </c>
      <c r="C314" s="7" t="s">
        <v>268</v>
      </c>
      <c r="D314" s="7" t="str">
        <f t="shared" si="60"/>
        <v>军费</v>
      </c>
      <c r="E314" s="7">
        <v>60</v>
      </c>
      <c r="F314" s="68">
        <f t="shared" si="61"/>
        <v>1.2</v>
      </c>
      <c r="G314" s="283" t="s">
        <v>4215</v>
      </c>
      <c r="H314" s="7" t="str">
        <f t="shared" si="62"/>
        <v>坦克碎片</v>
      </c>
      <c r="I314" s="7">
        <v>12</v>
      </c>
      <c r="J314" s="68">
        <f t="shared" si="63"/>
        <v>1200</v>
      </c>
      <c r="K314" s="7"/>
      <c r="L314" s="7" t="str">
        <f t="shared" si="64"/>
        <v/>
      </c>
      <c r="M314" s="7"/>
      <c r="N314" s="68">
        <f t="shared" si="65"/>
        <v>0</v>
      </c>
      <c r="O314" s="76"/>
      <c r="Q314" s="91" t="s">
        <v>2993</v>
      </c>
      <c r="R314" s="92">
        <f t="shared" ref="R314:R328" si="70">SUMIFS(E:E,D:D,Q314,B:B,4)+SUMIFS(I:I,H:H,Q314,B:B,4)+SUMIFS(M:M,L:L,Q314,B:B,4)</f>
        <v>1</v>
      </c>
      <c r="S314" s="93">
        <f t="shared" ref="S314:S328" si="71">SUMIFS(E:E,D:D,Q314,B:B,3)</f>
        <v>1</v>
      </c>
      <c r="T314" s="93">
        <f t="shared" ref="T314:T320" si="72">COUNTIF(X:X,Q314)</f>
        <v>14</v>
      </c>
      <c r="AB314" s="7" t="str">
        <f t="shared" si="68"/>
        <v>[(102,60)]</v>
      </c>
      <c r="AC314" s="7" t="str">
        <f t="shared" si="69"/>
        <v>[(52341,12)]</v>
      </c>
    </row>
    <row r="315" spans="1:29" x14ac:dyDescent="0.15">
      <c r="A315" s="328">
        <v>13</v>
      </c>
      <c r="B315" s="328">
        <v>4</v>
      </c>
      <c r="C315" s="283" t="s">
        <v>4083</v>
      </c>
      <c r="D315" s="7" t="str">
        <f t="shared" si="60"/>
        <v>宝箱</v>
      </c>
      <c r="E315" s="7">
        <v>1</v>
      </c>
      <c r="F315" s="68">
        <f t="shared" si="61"/>
        <v>100</v>
      </c>
      <c r="G315" s="7" t="s">
        <v>268</v>
      </c>
      <c r="H315" s="7" t="str">
        <f t="shared" si="62"/>
        <v>军费</v>
      </c>
      <c r="I315" s="7">
        <v>250</v>
      </c>
      <c r="J315" s="68">
        <f t="shared" si="63"/>
        <v>5</v>
      </c>
      <c r="K315" s="7"/>
      <c r="L315" s="7" t="str">
        <f t="shared" si="64"/>
        <v/>
      </c>
      <c r="M315" s="7"/>
      <c r="N315" s="68">
        <f t="shared" si="65"/>
        <v>0</v>
      </c>
      <c r="O315" s="76"/>
      <c r="Q315" s="91" t="s">
        <v>2986</v>
      </c>
      <c r="R315" s="92">
        <f t="shared" si="70"/>
        <v>1</v>
      </c>
      <c r="S315" s="93">
        <f t="shared" si="71"/>
        <v>2</v>
      </c>
      <c r="T315" s="93">
        <f t="shared" si="72"/>
        <v>18</v>
      </c>
      <c r="AB315" s="7" t="str">
        <f t="shared" si="68"/>
        <v>[(24005,1)]</v>
      </c>
      <c r="AC315" s="7" t="str">
        <f t="shared" si="69"/>
        <v>[(102,250)]</v>
      </c>
    </row>
    <row r="316" spans="1:29" x14ac:dyDescent="0.15">
      <c r="A316" s="328">
        <v>14</v>
      </c>
      <c r="B316" s="328">
        <v>4</v>
      </c>
      <c r="C316" s="7" t="s">
        <v>268</v>
      </c>
      <c r="D316" s="7" t="str">
        <f t="shared" si="60"/>
        <v>军费</v>
      </c>
      <c r="E316" s="7">
        <v>60</v>
      </c>
      <c r="F316" s="68">
        <f t="shared" si="61"/>
        <v>1.2</v>
      </c>
      <c r="G316" s="7" t="s">
        <v>273</v>
      </c>
      <c r="H316" s="7" t="str">
        <f t="shared" si="62"/>
        <v>钥匙</v>
      </c>
      <c r="I316" s="7">
        <v>30</v>
      </c>
      <c r="J316" s="68">
        <f t="shared" si="63"/>
        <v>25.000000000000021</v>
      </c>
      <c r="K316" s="7"/>
      <c r="L316" s="7" t="str">
        <f t="shared" si="64"/>
        <v/>
      </c>
      <c r="M316" s="7"/>
      <c r="N316" s="68">
        <f t="shared" si="65"/>
        <v>0</v>
      </c>
      <c r="O316" s="76"/>
      <c r="Q316" s="91" t="s">
        <v>2998</v>
      </c>
      <c r="R316" s="92">
        <f t="shared" si="70"/>
        <v>0</v>
      </c>
      <c r="S316" s="93">
        <f t="shared" si="71"/>
        <v>1</v>
      </c>
      <c r="T316" s="93">
        <f t="shared" si="72"/>
        <v>19</v>
      </c>
      <c r="AB316" s="7" t="str">
        <f t="shared" si="68"/>
        <v>[(102,60)]</v>
      </c>
      <c r="AC316" s="7" t="str">
        <f t="shared" si="69"/>
        <v>[(105,30)]</v>
      </c>
    </row>
    <row r="317" spans="1:29" x14ac:dyDescent="0.15">
      <c r="A317" s="328">
        <v>15</v>
      </c>
      <c r="B317" s="328">
        <v>4</v>
      </c>
      <c r="C317" s="7" t="s">
        <v>317</v>
      </c>
      <c r="D317" s="7" t="str">
        <f t="shared" si="60"/>
        <v>钻石</v>
      </c>
      <c r="E317" s="7">
        <v>10</v>
      </c>
      <c r="F317" s="68">
        <f t="shared" si="61"/>
        <v>10</v>
      </c>
      <c r="G317" s="7" t="s">
        <v>317</v>
      </c>
      <c r="H317" s="7" t="str">
        <f t="shared" si="62"/>
        <v>钻石</v>
      </c>
      <c r="I317" s="7">
        <v>20</v>
      </c>
      <c r="J317" s="68">
        <f t="shared" si="63"/>
        <v>20</v>
      </c>
      <c r="K317" s="7"/>
      <c r="L317" s="7" t="str">
        <f t="shared" si="64"/>
        <v/>
      </c>
      <c r="M317" s="7"/>
      <c r="N317" s="68">
        <f t="shared" si="65"/>
        <v>0</v>
      </c>
      <c r="O317" s="76"/>
      <c r="Q317" s="91" t="s">
        <v>2999</v>
      </c>
      <c r="R317" s="92">
        <f t="shared" si="70"/>
        <v>0</v>
      </c>
      <c r="S317" s="93">
        <f t="shared" si="71"/>
        <v>1</v>
      </c>
      <c r="T317" s="93">
        <f t="shared" si="72"/>
        <v>11</v>
      </c>
      <c r="AB317" s="7" t="str">
        <f t="shared" si="68"/>
        <v>[(101,10)]</v>
      </c>
      <c r="AC317" s="7" t="str">
        <f t="shared" si="69"/>
        <v>[(101,20)]</v>
      </c>
    </row>
    <row r="318" spans="1:29" x14ac:dyDescent="0.15">
      <c r="A318" s="328">
        <v>16</v>
      </c>
      <c r="B318" s="328">
        <v>4</v>
      </c>
      <c r="C318" s="7" t="s">
        <v>2382</v>
      </c>
      <c r="D318" s="7" t="str">
        <f t="shared" si="60"/>
        <v>宝箱</v>
      </c>
      <c r="E318" s="7">
        <v>1</v>
      </c>
      <c r="F318" s="68">
        <f t="shared" si="61"/>
        <v>100</v>
      </c>
      <c r="G318" s="283" t="s">
        <v>4245</v>
      </c>
      <c r="H318" s="7" t="str">
        <f t="shared" si="62"/>
        <v>军费</v>
      </c>
      <c r="I318" s="7">
        <v>300</v>
      </c>
      <c r="J318" s="68">
        <f t="shared" si="63"/>
        <v>6</v>
      </c>
      <c r="K318" s="7"/>
      <c r="L318" s="7" t="str">
        <f t="shared" si="64"/>
        <v/>
      </c>
      <c r="M318" s="7"/>
      <c r="N318" s="68">
        <f t="shared" si="65"/>
        <v>0</v>
      </c>
      <c r="O318" s="76"/>
      <c r="Q318" s="91" t="s">
        <v>3000</v>
      </c>
      <c r="R318" s="92">
        <f t="shared" si="70"/>
        <v>0</v>
      </c>
      <c r="S318" s="93">
        <f t="shared" si="71"/>
        <v>0</v>
      </c>
      <c r="T318" s="93">
        <f t="shared" si="72"/>
        <v>15</v>
      </c>
      <c r="AB318" s="7" t="str">
        <f t="shared" si="68"/>
        <v>[(23004,1)]</v>
      </c>
      <c r="AC318" s="7" t="str">
        <f t="shared" si="69"/>
        <v>[(102,300)]</v>
      </c>
    </row>
    <row r="319" spans="1:29" x14ac:dyDescent="0.15">
      <c r="A319" s="328">
        <v>17</v>
      </c>
      <c r="B319" s="328">
        <v>4</v>
      </c>
      <c r="C319" s="7" t="s">
        <v>511</v>
      </c>
      <c r="D319" s="7" t="str">
        <f t="shared" si="60"/>
        <v>双倍钥匙</v>
      </c>
      <c r="E319" s="7">
        <v>40</v>
      </c>
      <c r="F319" s="68">
        <f t="shared" si="61"/>
        <v>20.000000000000018</v>
      </c>
      <c r="G319" s="7" t="s">
        <v>2434</v>
      </c>
      <c r="H319" s="7" t="str">
        <f t="shared" si="62"/>
        <v>宝箱</v>
      </c>
      <c r="I319" s="7">
        <v>1</v>
      </c>
      <c r="J319" s="68">
        <f t="shared" si="63"/>
        <v>200</v>
      </c>
      <c r="K319" s="7"/>
      <c r="L319" s="7" t="str">
        <f t="shared" si="64"/>
        <v/>
      </c>
      <c r="M319" s="7"/>
      <c r="N319" s="68">
        <f t="shared" si="65"/>
        <v>0</v>
      </c>
      <c r="O319" s="76"/>
      <c r="Q319" s="91" t="s">
        <v>3001</v>
      </c>
      <c r="R319" s="92">
        <f t="shared" si="70"/>
        <v>0</v>
      </c>
      <c r="S319" s="93">
        <f t="shared" si="71"/>
        <v>1</v>
      </c>
      <c r="T319" s="93">
        <f t="shared" si="72"/>
        <v>23</v>
      </c>
      <c r="AB319" s="7" t="str">
        <f t="shared" si="68"/>
        <v>[(111,40)]</v>
      </c>
      <c r="AC319" s="7" t="str">
        <f t="shared" si="69"/>
        <v>[(25052,1)]</v>
      </c>
    </row>
    <row r="320" spans="1:29" x14ac:dyDescent="0.15">
      <c r="A320" s="328">
        <v>18</v>
      </c>
      <c r="B320" s="328">
        <v>4</v>
      </c>
      <c r="C320" s="7" t="s">
        <v>268</v>
      </c>
      <c r="D320" s="7" t="str">
        <f t="shared" si="60"/>
        <v>军费</v>
      </c>
      <c r="E320" s="7">
        <v>125</v>
      </c>
      <c r="F320" s="68">
        <f t="shared" si="61"/>
        <v>2.5</v>
      </c>
      <c r="G320" s="7" t="s">
        <v>511</v>
      </c>
      <c r="H320" s="7" t="str">
        <f t="shared" si="62"/>
        <v>双倍钥匙</v>
      </c>
      <c r="I320" s="7">
        <v>20</v>
      </c>
      <c r="J320" s="68">
        <f t="shared" si="63"/>
        <v>10.000000000000009</v>
      </c>
      <c r="K320" s="7"/>
      <c r="L320" s="7" t="str">
        <f t="shared" si="64"/>
        <v/>
      </c>
      <c r="M320" s="7"/>
      <c r="N320" s="68">
        <f t="shared" si="65"/>
        <v>0</v>
      </c>
      <c r="O320" s="76"/>
      <c r="Q320" s="91" t="s">
        <v>3002</v>
      </c>
      <c r="R320" s="92">
        <f t="shared" si="70"/>
        <v>0</v>
      </c>
      <c r="S320" s="93">
        <f t="shared" si="71"/>
        <v>0</v>
      </c>
      <c r="T320" s="93">
        <f t="shared" si="72"/>
        <v>7</v>
      </c>
      <c r="AB320" s="7" t="str">
        <f t="shared" si="68"/>
        <v>[(102,125)]</v>
      </c>
      <c r="AC320" s="7" t="str">
        <f t="shared" si="69"/>
        <v>[(111,20)]</v>
      </c>
    </row>
    <row r="321" spans="1:29" x14ac:dyDescent="0.15">
      <c r="A321" s="328">
        <v>19</v>
      </c>
      <c r="B321" s="328">
        <v>4</v>
      </c>
      <c r="C321" s="7" t="s">
        <v>273</v>
      </c>
      <c r="D321" s="7" t="str">
        <f t="shared" si="60"/>
        <v>钥匙</v>
      </c>
      <c r="E321" s="7">
        <v>20</v>
      </c>
      <c r="F321" s="68">
        <f t="shared" si="61"/>
        <v>16.666666666666682</v>
      </c>
      <c r="G321" s="7" t="s">
        <v>317</v>
      </c>
      <c r="H321" s="7" t="str">
        <f t="shared" si="62"/>
        <v>钻石</v>
      </c>
      <c r="I321" s="7">
        <v>20</v>
      </c>
      <c r="J321" s="68">
        <f t="shared" si="63"/>
        <v>20</v>
      </c>
      <c r="K321" s="283"/>
      <c r="L321" s="7" t="str">
        <f t="shared" si="64"/>
        <v/>
      </c>
      <c r="M321" s="7"/>
      <c r="N321" s="68">
        <f t="shared" si="65"/>
        <v>0</v>
      </c>
      <c r="O321" s="76"/>
      <c r="Q321" s="13" t="s">
        <v>268</v>
      </c>
      <c r="R321" s="95">
        <f t="shared" si="70"/>
        <v>15145</v>
      </c>
      <c r="S321" s="96">
        <f t="shared" si="71"/>
        <v>1435</v>
      </c>
      <c r="T321" s="69">
        <f t="shared" ref="T321:T328" si="73">COUNTIF($X$3:$X$112,Q321)</f>
        <v>1</v>
      </c>
      <c r="AB321" s="7" t="str">
        <f t="shared" si="68"/>
        <v>[(105,20)]</v>
      </c>
      <c r="AC321" s="7" t="str">
        <f t="shared" si="69"/>
        <v>[(101,20)]</v>
      </c>
    </row>
    <row r="322" spans="1:29" x14ac:dyDescent="0.15">
      <c r="A322" s="328">
        <v>20</v>
      </c>
      <c r="B322" s="328">
        <v>4</v>
      </c>
      <c r="C322" s="294" t="s">
        <v>4223</v>
      </c>
      <c r="D322" s="7" t="str">
        <f t="shared" si="60"/>
        <v>宝箱</v>
      </c>
      <c r="E322" s="70">
        <v>1</v>
      </c>
      <c r="F322" s="71">
        <f t="shared" si="61"/>
        <v>600</v>
      </c>
      <c r="G322" s="294" t="s">
        <v>4255</v>
      </c>
      <c r="H322" s="7" t="str">
        <f t="shared" si="62"/>
        <v>部件</v>
      </c>
      <c r="I322" s="70">
        <v>1</v>
      </c>
      <c r="J322" s="68">
        <f t="shared" si="63"/>
        <v>200</v>
      </c>
      <c r="K322" s="294"/>
      <c r="L322" s="7" t="str">
        <f t="shared" si="64"/>
        <v/>
      </c>
      <c r="M322" s="70"/>
      <c r="N322" s="68">
        <f t="shared" si="65"/>
        <v>0</v>
      </c>
      <c r="O322" s="77">
        <f>SUM(N313:N322)+SUM(J313:J322)+SUM(F313:F322)</f>
        <v>2652.5666666666666</v>
      </c>
      <c r="Q322" s="13" t="s">
        <v>273</v>
      </c>
      <c r="R322" s="95">
        <f t="shared" si="70"/>
        <v>240</v>
      </c>
      <c r="S322" s="96">
        <f t="shared" si="71"/>
        <v>90</v>
      </c>
      <c r="T322" s="69">
        <f t="shared" si="73"/>
        <v>1</v>
      </c>
      <c r="AB322" s="7" t="str">
        <f t="shared" si="68"/>
        <v>[(25154,1)]</v>
      </c>
      <c r="AC322" s="7" t="str">
        <f t="shared" si="69"/>
        <v>[(94101,1)]</v>
      </c>
    </row>
    <row r="323" spans="1:29" x14ac:dyDescent="0.15">
      <c r="A323" s="328">
        <v>21</v>
      </c>
      <c r="B323" s="328">
        <v>4</v>
      </c>
      <c r="C323" s="7" t="s">
        <v>268</v>
      </c>
      <c r="D323" s="7" t="str">
        <f t="shared" ref="D323:D386" si="74">IF(C323="","",VLOOKUP(C323,$V:$X,3,FALSE))</f>
        <v>军费</v>
      </c>
      <c r="E323" s="69">
        <v>125</v>
      </c>
      <c r="F323" s="68">
        <f t="shared" ref="F323:F386" si="75">IF(C323="",0,VLOOKUP(C323,$V:$W,2,FALSE)*E323)</f>
        <v>2.5</v>
      </c>
      <c r="G323" s="7" t="s">
        <v>273</v>
      </c>
      <c r="H323" s="7" t="str">
        <f t="shared" ref="H323:H386" si="76">IF(G323="","",VLOOKUP(G323,$V:$X,3,FALSE))</f>
        <v>钥匙</v>
      </c>
      <c r="I323" s="7">
        <v>20</v>
      </c>
      <c r="J323" s="68">
        <f t="shared" ref="J323:J386" si="77">IF(G323="",0,VLOOKUP(G323,$V:$W,2,FALSE)*I323)</f>
        <v>16.666666666666682</v>
      </c>
      <c r="K323" s="7"/>
      <c r="L323" s="7" t="str">
        <f t="shared" ref="L323:L386" si="78">IF(K323="","",VLOOKUP(K323,$V:$X,3,FALSE))</f>
        <v/>
      </c>
      <c r="M323" s="7"/>
      <c r="N323" s="68">
        <f t="shared" ref="N323:N386" si="79">IF(K323="",0,VLOOKUP(K323,$V:$W,2,FALSE)*M323)</f>
        <v>0</v>
      </c>
      <c r="O323" s="76"/>
      <c r="Q323" s="13" t="s">
        <v>511</v>
      </c>
      <c r="R323" s="95">
        <f t="shared" si="70"/>
        <v>170</v>
      </c>
      <c r="S323" s="96">
        <f t="shared" si="71"/>
        <v>70</v>
      </c>
      <c r="T323" s="69">
        <f t="shared" si="73"/>
        <v>1</v>
      </c>
      <c r="AB323" s="7" t="str">
        <f t="shared" si="68"/>
        <v>[(102,125)]</v>
      </c>
      <c r="AC323" s="7" t="str">
        <f t="shared" si="69"/>
        <v>[(105,20)]</v>
      </c>
    </row>
    <row r="324" spans="1:29" x14ac:dyDescent="0.15">
      <c r="A324" s="328">
        <v>22</v>
      </c>
      <c r="B324" s="328">
        <v>4</v>
      </c>
      <c r="C324" s="7" t="s">
        <v>268</v>
      </c>
      <c r="D324" s="7" t="str">
        <f t="shared" si="74"/>
        <v>军费</v>
      </c>
      <c r="E324" s="7">
        <v>125</v>
      </c>
      <c r="F324" s="68">
        <f t="shared" si="75"/>
        <v>2.5</v>
      </c>
      <c r="G324" s="7" t="s">
        <v>317</v>
      </c>
      <c r="H324" s="7" t="str">
        <f t="shared" si="76"/>
        <v>钻石</v>
      </c>
      <c r="I324" s="7">
        <v>20</v>
      </c>
      <c r="J324" s="68">
        <f t="shared" si="77"/>
        <v>20</v>
      </c>
      <c r="K324" s="7"/>
      <c r="L324" s="7" t="str">
        <f t="shared" si="78"/>
        <v/>
      </c>
      <c r="M324" s="7"/>
      <c r="N324" s="68">
        <f t="shared" si="79"/>
        <v>0</v>
      </c>
      <c r="O324" s="76"/>
      <c r="Q324" s="7" t="s">
        <v>3003</v>
      </c>
      <c r="R324" s="95">
        <f t="shared" si="70"/>
        <v>0</v>
      </c>
      <c r="S324" s="96">
        <f t="shared" si="71"/>
        <v>0</v>
      </c>
      <c r="T324" s="69">
        <f t="shared" si="73"/>
        <v>0</v>
      </c>
      <c r="AB324" s="7" t="str">
        <f t="shared" si="68"/>
        <v>[(102,125)]</v>
      </c>
      <c r="AC324" s="7" t="str">
        <f t="shared" si="69"/>
        <v>[(101,20)]</v>
      </c>
    </row>
    <row r="325" spans="1:29" x14ac:dyDescent="0.15">
      <c r="A325" s="328">
        <v>23</v>
      </c>
      <c r="B325" s="328">
        <v>4</v>
      </c>
      <c r="C325" s="7" t="s">
        <v>268</v>
      </c>
      <c r="D325" s="7" t="str">
        <f t="shared" si="74"/>
        <v>军费</v>
      </c>
      <c r="E325" s="7">
        <v>200</v>
      </c>
      <c r="F325" s="68">
        <f t="shared" si="75"/>
        <v>4</v>
      </c>
      <c r="G325" s="283" t="s">
        <v>4245</v>
      </c>
      <c r="H325" s="7" t="str">
        <f t="shared" si="76"/>
        <v>军费</v>
      </c>
      <c r="I325" s="7">
        <v>250</v>
      </c>
      <c r="J325" s="68">
        <f t="shared" si="77"/>
        <v>5</v>
      </c>
      <c r="K325" s="7"/>
      <c r="L325" s="7" t="str">
        <f t="shared" si="78"/>
        <v/>
      </c>
      <c r="M325" s="7"/>
      <c r="N325" s="68">
        <f t="shared" si="79"/>
        <v>0</v>
      </c>
      <c r="O325" s="76"/>
      <c r="Q325" s="13" t="s">
        <v>3004</v>
      </c>
      <c r="R325" s="95">
        <f t="shared" si="70"/>
        <v>35</v>
      </c>
      <c r="S325" s="96">
        <f t="shared" si="71"/>
        <v>6</v>
      </c>
      <c r="T325" s="69">
        <f t="shared" si="73"/>
        <v>41</v>
      </c>
      <c r="AB325" s="7" t="str">
        <f t="shared" si="68"/>
        <v>[(102,200)]</v>
      </c>
      <c r="AC325" s="7" t="str">
        <f t="shared" si="69"/>
        <v>[(102,250)]</v>
      </c>
    </row>
    <row r="326" spans="1:29" x14ac:dyDescent="0.15">
      <c r="A326" s="328">
        <v>24</v>
      </c>
      <c r="B326" s="328">
        <v>4</v>
      </c>
      <c r="C326" s="7" t="s">
        <v>317</v>
      </c>
      <c r="D326" s="7" t="str">
        <f t="shared" si="74"/>
        <v>钻石</v>
      </c>
      <c r="E326" s="7">
        <v>10</v>
      </c>
      <c r="F326" s="68">
        <f t="shared" si="75"/>
        <v>10</v>
      </c>
      <c r="G326" s="283" t="s">
        <v>4253</v>
      </c>
      <c r="H326" s="7" t="str">
        <f t="shared" si="76"/>
        <v>贴花</v>
      </c>
      <c r="I326" s="7">
        <v>1</v>
      </c>
      <c r="J326" s="68">
        <f t="shared" si="77"/>
        <v>100</v>
      </c>
      <c r="K326" s="7"/>
      <c r="L326" s="7" t="str">
        <f t="shared" si="78"/>
        <v/>
      </c>
      <c r="M326" s="7"/>
      <c r="N326" s="68">
        <f t="shared" si="79"/>
        <v>0</v>
      </c>
      <c r="O326" s="76"/>
      <c r="Q326" s="283" t="s">
        <v>4091</v>
      </c>
      <c r="R326" s="95">
        <f t="shared" si="70"/>
        <v>0</v>
      </c>
      <c r="S326" s="96">
        <f t="shared" si="71"/>
        <v>0</v>
      </c>
      <c r="T326" s="69">
        <f t="shared" si="73"/>
        <v>1</v>
      </c>
      <c r="AB326" s="7" t="str">
        <f t="shared" si="68"/>
        <v>[(101,10)]</v>
      </c>
      <c r="AC326" s="7" t="str">
        <f t="shared" si="69"/>
        <v>[(280002,1)]</v>
      </c>
    </row>
    <row r="327" spans="1:29" x14ac:dyDescent="0.15">
      <c r="A327" s="328">
        <v>25</v>
      </c>
      <c r="B327" s="328">
        <v>4</v>
      </c>
      <c r="C327" s="7" t="s">
        <v>4217</v>
      </c>
      <c r="D327" s="7" t="str">
        <f t="shared" si="74"/>
        <v>新加速道具</v>
      </c>
      <c r="E327" s="7">
        <v>1</v>
      </c>
      <c r="F327" s="68">
        <f t="shared" si="75"/>
        <v>4</v>
      </c>
      <c r="G327" s="7" t="s">
        <v>4217</v>
      </c>
      <c r="H327" s="7" t="str">
        <f t="shared" si="76"/>
        <v>新加速道具</v>
      </c>
      <c r="I327" s="7">
        <v>5</v>
      </c>
      <c r="J327" s="68">
        <f t="shared" si="77"/>
        <v>20</v>
      </c>
      <c r="K327" s="7"/>
      <c r="L327" s="7" t="str">
        <f t="shared" si="78"/>
        <v/>
      </c>
      <c r="M327" s="7"/>
      <c r="N327" s="68">
        <f t="shared" si="79"/>
        <v>0</v>
      </c>
      <c r="O327" s="76"/>
      <c r="Q327" s="7" t="s">
        <v>317</v>
      </c>
      <c r="R327" s="95">
        <f t="shared" si="70"/>
        <v>1430</v>
      </c>
      <c r="S327" s="96">
        <f t="shared" si="71"/>
        <v>90</v>
      </c>
      <c r="T327" s="69">
        <f t="shared" si="73"/>
        <v>1</v>
      </c>
      <c r="AB327" s="7" t="str">
        <f t="shared" si="68"/>
        <v>[(100202,1)]</v>
      </c>
      <c r="AC327" s="7" t="str">
        <f t="shared" si="69"/>
        <v>[(100202,5)]</v>
      </c>
    </row>
    <row r="328" spans="1:29" x14ac:dyDescent="0.15">
      <c r="A328" s="328">
        <v>26</v>
      </c>
      <c r="B328" s="328">
        <v>4</v>
      </c>
      <c r="C328" s="7" t="s">
        <v>273</v>
      </c>
      <c r="D328" s="7" t="str">
        <f t="shared" si="74"/>
        <v>钥匙</v>
      </c>
      <c r="E328" s="7">
        <v>20</v>
      </c>
      <c r="F328" s="68">
        <f t="shared" si="75"/>
        <v>16.666666666666682</v>
      </c>
      <c r="G328" s="7" t="s">
        <v>268</v>
      </c>
      <c r="H328" s="7" t="str">
        <f t="shared" si="76"/>
        <v>军费</v>
      </c>
      <c r="I328" s="7">
        <v>250</v>
      </c>
      <c r="J328" s="68">
        <f t="shared" si="77"/>
        <v>5</v>
      </c>
      <c r="K328" s="7"/>
      <c r="L328" s="7" t="str">
        <f t="shared" si="78"/>
        <v/>
      </c>
      <c r="M328" s="7"/>
      <c r="N328" s="68">
        <f t="shared" si="79"/>
        <v>0</v>
      </c>
      <c r="O328" s="76"/>
      <c r="Q328" s="13" t="s">
        <v>1726</v>
      </c>
      <c r="R328" s="95">
        <f t="shared" si="70"/>
        <v>132</v>
      </c>
      <c r="S328" s="96">
        <f t="shared" si="71"/>
        <v>3</v>
      </c>
      <c r="T328" s="69">
        <f t="shared" si="73"/>
        <v>0</v>
      </c>
      <c r="AB328" s="7" t="str">
        <f t="shared" si="68"/>
        <v>[(105,20)]</v>
      </c>
      <c r="AC328" s="7" t="str">
        <f t="shared" si="69"/>
        <v>[(102,250)]</v>
      </c>
    </row>
    <row r="329" spans="1:29" x14ac:dyDescent="0.15">
      <c r="A329" s="328">
        <v>27</v>
      </c>
      <c r="B329" s="328">
        <v>4</v>
      </c>
      <c r="C329" s="7" t="s">
        <v>268</v>
      </c>
      <c r="D329" s="7" t="str">
        <f t="shared" si="74"/>
        <v>军费</v>
      </c>
      <c r="E329" s="7">
        <v>200</v>
      </c>
      <c r="F329" s="68">
        <f t="shared" si="75"/>
        <v>4</v>
      </c>
      <c r="G329" s="283" t="s">
        <v>4252</v>
      </c>
      <c r="H329" s="7" t="str">
        <f t="shared" si="76"/>
        <v>新加速道具</v>
      </c>
      <c r="I329" s="7">
        <v>5</v>
      </c>
      <c r="J329" s="68">
        <f t="shared" si="77"/>
        <v>20</v>
      </c>
      <c r="K329" s="7"/>
      <c r="L329" s="7" t="str">
        <f t="shared" si="78"/>
        <v/>
      </c>
      <c r="M329" s="7"/>
      <c r="N329" s="68">
        <f t="shared" si="79"/>
        <v>0</v>
      </c>
      <c r="O329" s="76"/>
      <c r="AB329" s="7" t="str">
        <f t="shared" si="68"/>
        <v>[(102,200)]</v>
      </c>
      <c r="AC329" s="7" t="str">
        <f t="shared" si="69"/>
        <v>[(100202,5)]</v>
      </c>
    </row>
    <row r="330" spans="1:29" x14ac:dyDescent="0.15">
      <c r="A330" s="328">
        <v>28</v>
      </c>
      <c r="B330" s="328">
        <v>4</v>
      </c>
      <c r="C330" s="7" t="s">
        <v>317</v>
      </c>
      <c r="D330" s="7" t="str">
        <f t="shared" si="74"/>
        <v>钻石</v>
      </c>
      <c r="E330" s="7">
        <v>20</v>
      </c>
      <c r="F330" s="68">
        <f t="shared" si="75"/>
        <v>20</v>
      </c>
      <c r="G330" s="283" t="s">
        <v>4244</v>
      </c>
      <c r="H330" s="7" t="str">
        <f t="shared" si="76"/>
        <v>宝箱</v>
      </c>
      <c r="I330" s="7">
        <v>1</v>
      </c>
      <c r="J330" s="68">
        <f t="shared" si="77"/>
        <v>120</v>
      </c>
      <c r="K330" s="7"/>
      <c r="L330" s="7" t="str">
        <f t="shared" si="78"/>
        <v/>
      </c>
      <c r="M330" s="7"/>
      <c r="N330" s="68">
        <f t="shared" si="79"/>
        <v>0</v>
      </c>
      <c r="O330" s="76"/>
      <c r="Q330" s="48" t="s">
        <v>3005</v>
      </c>
      <c r="AB330" s="7" t="str">
        <f t="shared" si="68"/>
        <v>[(101,20)]</v>
      </c>
      <c r="AC330" s="7" t="str">
        <f t="shared" si="69"/>
        <v>[(40001,1)]</v>
      </c>
    </row>
    <row r="331" spans="1:29" x14ac:dyDescent="0.15">
      <c r="A331" s="328">
        <v>29</v>
      </c>
      <c r="B331" s="328">
        <v>4</v>
      </c>
      <c r="C331" s="7" t="s">
        <v>268</v>
      </c>
      <c r="D331" s="7" t="str">
        <f t="shared" si="74"/>
        <v>军费</v>
      </c>
      <c r="E331" s="7">
        <v>250</v>
      </c>
      <c r="F331" s="68">
        <f t="shared" si="75"/>
        <v>5</v>
      </c>
      <c r="G331" s="7" t="s">
        <v>2437</v>
      </c>
      <c r="H331" s="7" t="str">
        <f t="shared" si="76"/>
        <v>宝箱</v>
      </c>
      <c r="I331" s="7">
        <v>1</v>
      </c>
      <c r="J331" s="68">
        <f t="shared" si="77"/>
        <v>200</v>
      </c>
      <c r="K331" s="7"/>
      <c r="L331" s="7" t="str">
        <f t="shared" si="78"/>
        <v/>
      </c>
      <c r="M331" s="7"/>
      <c r="N331" s="68">
        <f t="shared" si="79"/>
        <v>0</v>
      </c>
      <c r="O331" s="76"/>
      <c r="Q331" s="7" t="s">
        <v>2686</v>
      </c>
      <c r="R331" s="76">
        <f t="shared" ref="R331:R346" si="80">SUMIFS(F:F,D:D,Q331,B:B,4)+SUMIFS(J:J,H:H,Q331,B:B,4)+SUMIFS(N:N,L:L,Q331,B:B,4)</f>
        <v>0</v>
      </c>
      <c r="S331" s="85">
        <f>R331/VLOOKUP(1,道具价值!$B$74:$E$80,4,FALSE)</f>
        <v>0</v>
      </c>
      <c r="T331" s="85">
        <f>R331/VLOOKUP(6,道具价值!$B$74:$E$80,4,FALSE)</f>
        <v>0</v>
      </c>
      <c r="AB331" s="7" t="str">
        <f t="shared" si="68"/>
        <v>[(102,250)]</v>
      </c>
      <c r="AC331" s="7" t="str">
        <f t="shared" si="69"/>
        <v>[(25054,1)]</v>
      </c>
    </row>
    <row r="332" spans="1:29" x14ac:dyDescent="0.15">
      <c r="A332" s="328">
        <v>30</v>
      </c>
      <c r="B332" s="328">
        <v>4</v>
      </c>
      <c r="C332" s="294" t="s">
        <v>4224</v>
      </c>
      <c r="D332" s="7" t="str">
        <f t="shared" si="74"/>
        <v>部件</v>
      </c>
      <c r="E332" s="70">
        <v>1</v>
      </c>
      <c r="F332" s="71">
        <f t="shared" si="75"/>
        <v>200</v>
      </c>
      <c r="G332" s="294" t="s">
        <v>4254</v>
      </c>
      <c r="H332" s="7" t="str">
        <f t="shared" si="76"/>
        <v>新加速道具</v>
      </c>
      <c r="I332" s="70">
        <v>2</v>
      </c>
      <c r="J332" s="68">
        <f t="shared" si="77"/>
        <v>48</v>
      </c>
      <c r="K332" s="294"/>
      <c r="L332" s="7" t="str">
        <f t="shared" si="78"/>
        <v/>
      </c>
      <c r="M332" s="70"/>
      <c r="N332" s="68">
        <f t="shared" si="79"/>
        <v>0</v>
      </c>
      <c r="O332" s="77">
        <f>SUM(N323:N332)+SUM(J323:J332)+SUM(F323:F332)</f>
        <v>823.33333333333348</v>
      </c>
      <c r="Q332" s="7" t="s">
        <v>317</v>
      </c>
      <c r="R332" s="76">
        <f t="shared" si="80"/>
        <v>1430</v>
      </c>
      <c r="S332" s="85">
        <f>R332/VLOOKUP(1,道具价值!$B$74:$E$80,4,FALSE)</f>
        <v>19.003111111111114</v>
      </c>
      <c r="T332" s="85">
        <f>R332/VLOOKUP(6,道具价值!$B$74:$E$80,4,FALSE)</f>
        <v>14.298569999999998</v>
      </c>
      <c r="AB332" s="7" t="str">
        <f t="shared" si="68"/>
        <v>[(94102,1)]</v>
      </c>
      <c r="AC332" s="7" t="str">
        <f t="shared" si="69"/>
        <v>[(100203,2)]</v>
      </c>
    </row>
    <row r="333" spans="1:29" x14ac:dyDescent="0.15">
      <c r="A333" s="328">
        <v>31</v>
      </c>
      <c r="B333" s="328">
        <v>4</v>
      </c>
      <c r="C333" s="283" t="s">
        <v>4082</v>
      </c>
      <c r="D333" s="7" t="str">
        <f t="shared" si="74"/>
        <v>宝箱</v>
      </c>
      <c r="E333" s="7">
        <v>1</v>
      </c>
      <c r="F333" s="68">
        <f t="shared" si="75"/>
        <v>100</v>
      </c>
      <c r="G333" s="7" t="s">
        <v>268</v>
      </c>
      <c r="H333" s="7" t="str">
        <f t="shared" si="76"/>
        <v>军费</v>
      </c>
      <c r="I333" s="7">
        <v>250</v>
      </c>
      <c r="J333" s="68">
        <f t="shared" si="77"/>
        <v>5</v>
      </c>
      <c r="K333" s="7"/>
      <c r="L333" s="7" t="str">
        <f t="shared" si="78"/>
        <v/>
      </c>
      <c r="M333" s="7"/>
      <c r="N333" s="68">
        <f t="shared" si="79"/>
        <v>0</v>
      </c>
      <c r="O333" s="76"/>
      <c r="Q333" s="7" t="s">
        <v>3004</v>
      </c>
      <c r="R333" s="76">
        <f t="shared" si="80"/>
        <v>10720</v>
      </c>
      <c r="S333" s="85">
        <f>R333/VLOOKUP(1,道具价值!$B$74:$E$80,4,FALSE)</f>
        <v>142.4568888888889</v>
      </c>
      <c r="T333" s="85">
        <f>R333/VLOOKUP(6,道具价值!$B$74:$E$80,4,FALSE)</f>
        <v>107.18928</v>
      </c>
      <c r="AB333" s="7" t="str">
        <f t="shared" si="68"/>
        <v>[(24007,1)]</v>
      </c>
      <c r="AC333" s="7" t="str">
        <f t="shared" si="69"/>
        <v>[(102,250)]</v>
      </c>
    </row>
    <row r="334" spans="1:29" x14ac:dyDescent="0.15">
      <c r="A334" s="328">
        <v>32</v>
      </c>
      <c r="B334" s="328">
        <v>4</v>
      </c>
      <c r="C334" s="7" t="s">
        <v>3006</v>
      </c>
      <c r="D334" s="7" t="str">
        <f t="shared" si="74"/>
        <v/>
      </c>
      <c r="E334" s="7" t="s">
        <v>3006</v>
      </c>
      <c r="F334" s="68">
        <f t="shared" si="75"/>
        <v>0</v>
      </c>
      <c r="G334" s="7" t="s">
        <v>273</v>
      </c>
      <c r="H334" s="7" t="str">
        <f t="shared" si="76"/>
        <v>钥匙</v>
      </c>
      <c r="I334" s="7">
        <v>40</v>
      </c>
      <c r="J334" s="68">
        <f t="shared" si="77"/>
        <v>33.333333333333364</v>
      </c>
      <c r="K334" s="7"/>
      <c r="L334" s="7" t="str">
        <f t="shared" si="78"/>
        <v/>
      </c>
      <c r="M334" s="7"/>
      <c r="N334" s="68">
        <f t="shared" si="79"/>
        <v>0</v>
      </c>
      <c r="O334" s="76"/>
      <c r="Q334" s="13" t="s">
        <v>268</v>
      </c>
      <c r="R334" s="76">
        <f t="shared" si="80"/>
        <v>302.89999999999998</v>
      </c>
      <c r="S334" s="85">
        <f>R334/VLOOKUP(1,道具价值!$B$74:$E$80,4,FALSE)</f>
        <v>4.0252044444444444</v>
      </c>
      <c r="T334" s="85">
        <f>R334/VLOOKUP(6,道具价值!$B$74:$E$80,4,FALSE)</f>
        <v>3.0286970999999996</v>
      </c>
      <c r="AB334" s="7" t="str">
        <f t="shared" si="68"/>
        <v>[]</v>
      </c>
      <c r="AC334" s="7" t="str">
        <f t="shared" si="69"/>
        <v>[(105,40)]</v>
      </c>
    </row>
    <row r="335" spans="1:29" x14ac:dyDescent="0.15">
      <c r="A335" s="328">
        <v>33</v>
      </c>
      <c r="B335" s="328">
        <v>4</v>
      </c>
      <c r="C335" s="7"/>
      <c r="D335" s="7" t="str">
        <f t="shared" si="74"/>
        <v/>
      </c>
      <c r="E335" s="7" t="s">
        <v>3006</v>
      </c>
      <c r="F335" s="68">
        <f t="shared" si="75"/>
        <v>0</v>
      </c>
      <c r="G335" s="7" t="s">
        <v>268</v>
      </c>
      <c r="H335" s="7" t="str">
        <f t="shared" si="76"/>
        <v>军费</v>
      </c>
      <c r="I335" s="7">
        <v>250</v>
      </c>
      <c r="J335" s="68">
        <f t="shared" si="77"/>
        <v>5</v>
      </c>
      <c r="K335" s="7"/>
      <c r="L335" s="7" t="str">
        <f t="shared" si="78"/>
        <v/>
      </c>
      <c r="M335" s="7"/>
      <c r="N335" s="68">
        <f t="shared" si="79"/>
        <v>0</v>
      </c>
      <c r="O335" s="76"/>
      <c r="Q335" s="13" t="s">
        <v>273</v>
      </c>
      <c r="R335" s="76">
        <f t="shared" si="80"/>
        <v>200.00000000000017</v>
      </c>
      <c r="S335" s="85">
        <f>R335/VLOOKUP(1,道具价值!$B$74:$E$80,4,FALSE)</f>
        <v>2.6577777777777802</v>
      </c>
      <c r="T335" s="85">
        <f>R335/VLOOKUP(6,道具价值!$B$74:$E$80,4,FALSE)</f>
        <v>1.9998000000000016</v>
      </c>
      <c r="AB335" s="7" t="str">
        <f t="shared" si="68"/>
        <v>[]</v>
      </c>
      <c r="AC335" s="7" t="str">
        <f t="shared" si="69"/>
        <v>[(102,250)]</v>
      </c>
    </row>
    <row r="336" spans="1:29" x14ac:dyDescent="0.15">
      <c r="A336" s="328">
        <v>34</v>
      </c>
      <c r="B336" s="328">
        <v>4</v>
      </c>
      <c r="C336" s="7" t="s">
        <v>317</v>
      </c>
      <c r="D336" s="7" t="str">
        <f t="shared" si="74"/>
        <v>钻石</v>
      </c>
      <c r="E336" s="7">
        <v>30</v>
      </c>
      <c r="F336" s="68">
        <f t="shared" si="75"/>
        <v>30</v>
      </c>
      <c r="G336" s="283" t="s">
        <v>4244</v>
      </c>
      <c r="H336" s="7" t="str">
        <f t="shared" si="76"/>
        <v>宝箱</v>
      </c>
      <c r="I336" s="7">
        <v>1</v>
      </c>
      <c r="J336" s="68">
        <f t="shared" si="77"/>
        <v>120</v>
      </c>
      <c r="K336" s="7"/>
      <c r="L336" s="7" t="str">
        <f t="shared" si="78"/>
        <v/>
      </c>
      <c r="M336" s="7"/>
      <c r="N336" s="68">
        <f t="shared" si="79"/>
        <v>0</v>
      </c>
      <c r="O336" s="76"/>
      <c r="Q336" s="13" t="s">
        <v>511</v>
      </c>
      <c r="R336" s="76">
        <f t="shared" si="80"/>
        <v>85.000000000000071</v>
      </c>
      <c r="S336" s="85">
        <f>R336/VLOOKUP(1,道具价值!$B$74:$E$80,4,FALSE)</f>
        <v>1.1295555555555565</v>
      </c>
      <c r="T336" s="85">
        <f>R336/VLOOKUP(6,道具价值!$B$74:$E$80,4,FALSE)</f>
        <v>0.84991500000000064</v>
      </c>
      <c r="AB336" s="7" t="str">
        <f t="shared" si="68"/>
        <v>[(101,30)]</v>
      </c>
      <c r="AC336" s="7" t="str">
        <f t="shared" si="69"/>
        <v>[(40001,1)]</v>
      </c>
    </row>
    <row r="337" spans="1:29" x14ac:dyDescent="0.15">
      <c r="A337" s="328">
        <v>35</v>
      </c>
      <c r="B337" s="328">
        <v>4</v>
      </c>
      <c r="C337" s="7" t="s">
        <v>3006</v>
      </c>
      <c r="D337" s="7" t="str">
        <f t="shared" si="74"/>
        <v/>
      </c>
      <c r="E337" s="7" t="s">
        <v>3006</v>
      </c>
      <c r="F337" s="68">
        <f t="shared" si="75"/>
        <v>0</v>
      </c>
      <c r="G337" s="7" t="s">
        <v>317</v>
      </c>
      <c r="H337" s="7" t="str">
        <f t="shared" si="76"/>
        <v>钻石</v>
      </c>
      <c r="I337" s="7">
        <v>30</v>
      </c>
      <c r="J337" s="68">
        <f t="shared" si="77"/>
        <v>30</v>
      </c>
      <c r="K337" s="7"/>
      <c r="L337" s="7" t="str">
        <f t="shared" si="78"/>
        <v/>
      </c>
      <c r="M337" s="7"/>
      <c r="N337" s="68">
        <f t="shared" si="79"/>
        <v>0</v>
      </c>
      <c r="O337" s="76"/>
      <c r="Q337" s="7" t="s">
        <v>3003</v>
      </c>
      <c r="R337" s="76">
        <f t="shared" si="80"/>
        <v>0</v>
      </c>
      <c r="S337" s="85">
        <f>R337/VLOOKUP(1,道具价值!$B$74:$E$80,4,FALSE)</f>
        <v>0</v>
      </c>
      <c r="T337" s="85">
        <f>R337/VLOOKUP(6,道具价值!$B$74:$E$80,4,FALSE)</f>
        <v>0</v>
      </c>
      <c r="AB337" s="7" t="str">
        <f t="shared" si="68"/>
        <v>[]</v>
      </c>
      <c r="AC337" s="7" t="str">
        <f t="shared" si="69"/>
        <v>[(101,30)]</v>
      </c>
    </row>
    <row r="338" spans="1:29" x14ac:dyDescent="0.15">
      <c r="A338" s="328">
        <v>36</v>
      </c>
      <c r="B338" s="328">
        <v>4</v>
      </c>
      <c r="C338" s="7" t="s">
        <v>3006</v>
      </c>
      <c r="D338" s="7" t="str">
        <f t="shared" si="74"/>
        <v/>
      </c>
      <c r="E338" s="7" t="s">
        <v>3006</v>
      </c>
      <c r="F338" s="68">
        <f t="shared" si="75"/>
        <v>0</v>
      </c>
      <c r="G338" s="7" t="s">
        <v>2382</v>
      </c>
      <c r="H338" s="7" t="str">
        <f t="shared" si="76"/>
        <v>宝箱</v>
      </c>
      <c r="I338" s="7">
        <v>1</v>
      </c>
      <c r="J338" s="68">
        <f t="shared" si="77"/>
        <v>100</v>
      </c>
      <c r="K338" s="7"/>
      <c r="L338" s="7" t="str">
        <f t="shared" si="78"/>
        <v/>
      </c>
      <c r="M338" s="7"/>
      <c r="N338" s="68">
        <f t="shared" si="79"/>
        <v>0</v>
      </c>
      <c r="O338" s="76"/>
      <c r="Q338" s="13" t="s">
        <v>320</v>
      </c>
      <c r="R338" s="76">
        <f t="shared" si="80"/>
        <v>0</v>
      </c>
      <c r="S338" s="85">
        <f>R338/VLOOKUP(1,道具价值!$B$74:$E$80,4,FALSE)</f>
        <v>0</v>
      </c>
      <c r="T338" s="85">
        <f>R338/VLOOKUP(6,道具价值!$B$74:$E$80,4,FALSE)</f>
        <v>0</v>
      </c>
      <c r="AB338" s="7" t="str">
        <f t="shared" si="68"/>
        <v>[]</v>
      </c>
      <c r="AC338" s="7" t="str">
        <f t="shared" si="69"/>
        <v>[(23004,1)]</v>
      </c>
    </row>
    <row r="339" spans="1:29" x14ac:dyDescent="0.15">
      <c r="A339" s="328">
        <v>37</v>
      </c>
      <c r="B339" s="328">
        <v>4</v>
      </c>
      <c r="C339" s="7" t="s">
        <v>268</v>
      </c>
      <c r="D339" s="7" t="str">
        <f t="shared" si="74"/>
        <v>军费</v>
      </c>
      <c r="E339" s="7">
        <v>200</v>
      </c>
      <c r="F339" s="68">
        <f t="shared" si="75"/>
        <v>4</v>
      </c>
      <c r="G339" s="7" t="s">
        <v>511</v>
      </c>
      <c r="H339" s="7" t="str">
        <f t="shared" si="76"/>
        <v>双倍钥匙</v>
      </c>
      <c r="I339" s="7">
        <v>20</v>
      </c>
      <c r="J339" s="68">
        <f t="shared" si="77"/>
        <v>10.000000000000009</v>
      </c>
      <c r="K339" s="7"/>
      <c r="L339" s="7" t="str">
        <f t="shared" si="78"/>
        <v/>
      </c>
      <c r="M339" s="7"/>
      <c r="N339" s="68">
        <f t="shared" si="79"/>
        <v>0</v>
      </c>
      <c r="O339" s="76"/>
      <c r="Q339" s="13" t="s">
        <v>1726</v>
      </c>
      <c r="R339" s="76">
        <f t="shared" si="80"/>
        <v>13200</v>
      </c>
      <c r="S339" s="85">
        <f>R339/VLOOKUP(1,道具价值!$B$74:$E$80,4,FALSE)</f>
        <v>175.41333333333336</v>
      </c>
      <c r="T339" s="85">
        <f>R339/VLOOKUP(6,道具价值!$B$74:$E$80,4,FALSE)</f>
        <v>131.98679999999999</v>
      </c>
      <c r="AB339" s="7" t="str">
        <f t="shared" si="68"/>
        <v>[(102,200)]</v>
      </c>
      <c r="AC339" s="7" t="str">
        <f t="shared" si="69"/>
        <v>[(111,20)]</v>
      </c>
    </row>
    <row r="340" spans="1:29" x14ac:dyDescent="0.15">
      <c r="A340" s="328">
        <v>38</v>
      </c>
      <c r="B340" s="328">
        <v>4</v>
      </c>
      <c r="C340" s="7"/>
      <c r="D340" s="7" t="str">
        <f t="shared" si="74"/>
        <v/>
      </c>
      <c r="E340" s="7"/>
      <c r="F340" s="68">
        <f t="shared" si="75"/>
        <v>0</v>
      </c>
      <c r="G340" s="283" t="s">
        <v>4257</v>
      </c>
      <c r="H340" s="7" t="str">
        <f t="shared" si="76"/>
        <v>贴花</v>
      </c>
      <c r="I340" s="7">
        <v>1</v>
      </c>
      <c r="J340" s="68">
        <f t="shared" si="77"/>
        <v>200</v>
      </c>
      <c r="K340" s="7"/>
      <c r="L340" s="7" t="str">
        <f t="shared" si="78"/>
        <v/>
      </c>
      <c r="M340" s="7"/>
      <c r="N340" s="68">
        <f t="shared" si="79"/>
        <v>0</v>
      </c>
      <c r="O340" s="76"/>
      <c r="Q340" s="13" t="s">
        <v>3002</v>
      </c>
      <c r="R340" s="76">
        <f t="shared" si="80"/>
        <v>0</v>
      </c>
      <c r="S340" s="85">
        <f>R340/VLOOKUP(1,道具价值!$B$74:$E$80,4,FALSE)</f>
        <v>0</v>
      </c>
      <c r="T340" s="85">
        <f>R340/VLOOKUP(6,道具价值!$B$74:$E$80,4,FALSE)</f>
        <v>0</v>
      </c>
      <c r="AB340" s="7" t="str">
        <f t="shared" si="68"/>
        <v>[]</v>
      </c>
      <c r="AC340" s="7" t="str">
        <f t="shared" si="69"/>
        <v>[(280003,1)]</v>
      </c>
    </row>
    <row r="341" spans="1:29" x14ac:dyDescent="0.15">
      <c r="A341" s="328">
        <v>39</v>
      </c>
      <c r="B341" s="328">
        <v>4</v>
      </c>
      <c r="C341" s="7" t="s">
        <v>3006</v>
      </c>
      <c r="D341" s="7" t="str">
        <f t="shared" si="74"/>
        <v/>
      </c>
      <c r="E341" s="7" t="s">
        <v>3006</v>
      </c>
      <c r="F341" s="68">
        <f t="shared" si="75"/>
        <v>0</v>
      </c>
      <c r="G341" s="7" t="s">
        <v>317</v>
      </c>
      <c r="H341" s="7" t="str">
        <f t="shared" si="76"/>
        <v>钻石</v>
      </c>
      <c r="I341" s="7">
        <v>30</v>
      </c>
      <c r="J341" s="68">
        <f t="shared" si="77"/>
        <v>30</v>
      </c>
      <c r="K341" s="7"/>
      <c r="L341" s="7" t="str">
        <f t="shared" si="78"/>
        <v/>
      </c>
      <c r="M341" s="7"/>
      <c r="N341" s="68">
        <f t="shared" si="79"/>
        <v>0</v>
      </c>
      <c r="O341" s="76"/>
      <c r="Q341" s="7" t="s">
        <v>2993</v>
      </c>
      <c r="R341" s="76">
        <f t="shared" si="80"/>
        <v>500</v>
      </c>
      <c r="S341" s="85">
        <f>R341/VLOOKUP(1,道具价值!$B$74:$E$80,4,FALSE)</f>
        <v>6.6444444444444448</v>
      </c>
      <c r="T341" s="85">
        <f>R341/VLOOKUP(6,道具价值!$B$74:$E$80,4,FALSE)</f>
        <v>4.9994999999999994</v>
      </c>
      <c r="AB341" s="7" t="str">
        <f t="shared" ref="AB341:AB402" si="81">IF(C341="","[]","["&amp;"("&amp;VLOOKUP(C341,道具ID,2,FALSE)&amp;","&amp;E341&amp;")"&amp;"]")</f>
        <v>[]</v>
      </c>
      <c r="AC341" s="7" t="str">
        <f t="shared" ref="AC341:AC402" si="82">IF(G341="","[]",IF(K341="","["&amp;"("&amp;VLOOKUP(G341,道具ID,2,FALSE)&amp;","&amp;I341&amp;")"&amp;"]","["&amp;"("&amp;VLOOKUP(G341,道具ID,2,FALSE)&amp;","&amp;I341&amp;")"&amp;","&amp;"("&amp;VLOOKUP(K341,道具ID,2,FALSE)&amp;","&amp;M341&amp;")"&amp;"]"))</f>
        <v>[(101,30)]</v>
      </c>
    </row>
    <row r="342" spans="1:29" x14ac:dyDescent="0.15">
      <c r="A342" s="328">
        <v>40</v>
      </c>
      <c r="B342" s="328">
        <v>4</v>
      </c>
      <c r="C342" s="294" t="s">
        <v>4250</v>
      </c>
      <c r="D342" s="7" t="str">
        <f t="shared" si="74"/>
        <v>涂鸦</v>
      </c>
      <c r="E342" s="70">
        <v>1</v>
      </c>
      <c r="F342" s="71">
        <f t="shared" si="75"/>
        <v>500</v>
      </c>
      <c r="G342" s="294" t="s">
        <v>4256</v>
      </c>
      <c r="H342" s="7" t="str">
        <f t="shared" si="76"/>
        <v>新加速道具</v>
      </c>
      <c r="I342" s="70">
        <v>2</v>
      </c>
      <c r="J342" s="68">
        <f t="shared" si="77"/>
        <v>96</v>
      </c>
      <c r="K342" s="294"/>
      <c r="L342" s="7" t="str">
        <f t="shared" si="78"/>
        <v/>
      </c>
      <c r="M342" s="70"/>
      <c r="N342" s="68">
        <f t="shared" si="79"/>
        <v>0</v>
      </c>
      <c r="O342" s="77">
        <f>SUM(N333:N342)+SUM(J333:J342)+SUM(F333:F342)</f>
        <v>1263.3333333333335</v>
      </c>
      <c r="Q342" s="7" t="s">
        <v>2986</v>
      </c>
      <c r="R342" s="76">
        <f t="shared" si="80"/>
        <v>200</v>
      </c>
      <c r="S342" s="85">
        <f>R342/VLOOKUP(1,道具价值!$B$74:$E$80,4,FALSE)</f>
        <v>2.657777777777778</v>
      </c>
      <c r="T342" s="85">
        <f>R342/VLOOKUP(6,道具价值!$B$74:$E$80,4,FALSE)</f>
        <v>1.9997999999999998</v>
      </c>
      <c r="AB342" s="7" t="str">
        <f t="shared" si="81"/>
        <v>[(150105,1)]</v>
      </c>
      <c r="AC342" s="7" t="str">
        <f t="shared" si="82"/>
        <v>[(100204,2)]</v>
      </c>
    </row>
    <row r="343" spans="1:29" x14ac:dyDescent="0.15">
      <c r="A343" s="328">
        <v>41</v>
      </c>
      <c r="B343" s="328">
        <v>4</v>
      </c>
      <c r="C343" s="7" t="s">
        <v>3006</v>
      </c>
      <c r="D343" s="7" t="str">
        <f t="shared" si="74"/>
        <v/>
      </c>
      <c r="E343" s="7" t="s">
        <v>3006</v>
      </c>
      <c r="F343" s="68">
        <f t="shared" si="75"/>
        <v>0</v>
      </c>
      <c r="G343" s="7" t="s">
        <v>511</v>
      </c>
      <c r="H343" s="7" t="str">
        <f t="shared" si="76"/>
        <v>双倍钥匙</v>
      </c>
      <c r="I343" s="7">
        <v>30</v>
      </c>
      <c r="J343" s="68">
        <f t="shared" si="77"/>
        <v>15.000000000000014</v>
      </c>
      <c r="K343" s="7"/>
      <c r="L343" s="7" t="str">
        <f t="shared" si="78"/>
        <v/>
      </c>
      <c r="M343" s="7"/>
      <c r="N343" s="68">
        <f t="shared" si="79"/>
        <v>0</v>
      </c>
      <c r="O343" s="76"/>
      <c r="Q343" s="7" t="s">
        <v>2998</v>
      </c>
      <c r="R343" s="76">
        <f t="shared" si="80"/>
        <v>0</v>
      </c>
      <c r="S343" s="85">
        <f>R343/VLOOKUP(1,道具价值!$B$74:$E$80,4,FALSE)</f>
        <v>0</v>
      </c>
      <c r="T343" s="85">
        <f>R343/VLOOKUP(6,道具价值!$B$74:$E$80,4,FALSE)</f>
        <v>0</v>
      </c>
      <c r="AB343" s="7" t="str">
        <f t="shared" si="81"/>
        <v>[]</v>
      </c>
      <c r="AC343" s="7" t="str">
        <f t="shared" si="82"/>
        <v>[(111,30)]</v>
      </c>
    </row>
    <row r="344" spans="1:29" x14ac:dyDescent="0.15">
      <c r="A344" s="328">
        <v>42</v>
      </c>
      <c r="B344" s="328">
        <v>4</v>
      </c>
      <c r="C344" s="7" t="s">
        <v>3006</v>
      </c>
      <c r="D344" s="7" t="str">
        <f t="shared" si="74"/>
        <v/>
      </c>
      <c r="E344" s="7" t="s">
        <v>3006</v>
      </c>
      <c r="F344" s="68">
        <f t="shared" si="75"/>
        <v>0</v>
      </c>
      <c r="G344" s="7" t="s">
        <v>268</v>
      </c>
      <c r="H344" s="7" t="str">
        <f t="shared" si="76"/>
        <v>军费</v>
      </c>
      <c r="I344" s="7">
        <v>300</v>
      </c>
      <c r="J344" s="68">
        <f t="shared" si="77"/>
        <v>6</v>
      </c>
      <c r="K344" s="7"/>
      <c r="L344" s="7" t="str">
        <f t="shared" si="78"/>
        <v/>
      </c>
      <c r="M344" s="7"/>
      <c r="N344" s="68">
        <f t="shared" si="79"/>
        <v>0</v>
      </c>
      <c r="O344" s="76"/>
      <c r="Q344" s="7" t="s">
        <v>2999</v>
      </c>
      <c r="R344" s="76">
        <f t="shared" si="80"/>
        <v>0</v>
      </c>
      <c r="S344" s="85">
        <f>R344/VLOOKUP(1,道具价值!$B$74:$E$80,4,FALSE)</f>
        <v>0</v>
      </c>
      <c r="T344" s="85">
        <f>R344/VLOOKUP(6,道具价值!$B$74:$E$80,4,FALSE)</f>
        <v>0</v>
      </c>
      <c r="AB344" s="7" t="str">
        <f t="shared" si="81"/>
        <v>[]</v>
      </c>
      <c r="AC344" s="7" t="str">
        <f t="shared" si="82"/>
        <v>[(102,300)]</v>
      </c>
    </row>
    <row r="345" spans="1:29" x14ac:dyDescent="0.15">
      <c r="A345" s="328">
        <v>43</v>
      </c>
      <c r="B345" s="328">
        <v>4</v>
      </c>
      <c r="C345" s="7" t="s">
        <v>273</v>
      </c>
      <c r="D345" s="7" t="str">
        <f t="shared" si="74"/>
        <v>钥匙</v>
      </c>
      <c r="E345" s="7">
        <v>30</v>
      </c>
      <c r="F345" s="68">
        <f t="shared" si="75"/>
        <v>25.000000000000021</v>
      </c>
      <c r="G345" s="283" t="s">
        <v>4244</v>
      </c>
      <c r="H345" s="7" t="str">
        <f t="shared" si="76"/>
        <v>宝箱</v>
      </c>
      <c r="I345" s="7">
        <v>1</v>
      </c>
      <c r="J345" s="68">
        <f t="shared" si="77"/>
        <v>120</v>
      </c>
      <c r="K345" s="7"/>
      <c r="L345" s="7" t="str">
        <f t="shared" si="78"/>
        <v/>
      </c>
      <c r="M345" s="7"/>
      <c r="N345" s="68">
        <f t="shared" si="79"/>
        <v>0</v>
      </c>
      <c r="O345" s="76"/>
      <c r="Q345" s="7" t="s">
        <v>3000</v>
      </c>
      <c r="R345" s="76">
        <f t="shared" si="80"/>
        <v>0</v>
      </c>
      <c r="S345" s="85">
        <f>R345/VLOOKUP(1,道具价值!$B$74:$E$80,4,FALSE)</f>
        <v>0</v>
      </c>
      <c r="T345" s="85">
        <f>R345/VLOOKUP(6,道具价值!$B$74:$E$80,4,FALSE)</f>
        <v>0</v>
      </c>
      <c r="AB345" s="7" t="str">
        <f t="shared" si="81"/>
        <v>[(105,30)]</v>
      </c>
      <c r="AC345" s="7" t="str">
        <f t="shared" si="82"/>
        <v>[(40001,1)]</v>
      </c>
    </row>
    <row r="346" spans="1:29" x14ac:dyDescent="0.15">
      <c r="A346" s="328">
        <v>44</v>
      </c>
      <c r="B346" s="328">
        <v>4</v>
      </c>
      <c r="C346" s="7" t="s">
        <v>3006</v>
      </c>
      <c r="D346" s="7" t="str">
        <f t="shared" si="74"/>
        <v/>
      </c>
      <c r="E346" s="7" t="s">
        <v>3006</v>
      </c>
      <c r="F346" s="68">
        <f t="shared" si="75"/>
        <v>0</v>
      </c>
      <c r="G346" s="7" t="s">
        <v>2397</v>
      </c>
      <c r="H346" s="7" t="str">
        <f t="shared" si="76"/>
        <v>宝箱</v>
      </c>
      <c r="I346" s="7">
        <v>1</v>
      </c>
      <c r="J346" s="68">
        <f t="shared" si="77"/>
        <v>100</v>
      </c>
      <c r="K346" s="7"/>
      <c r="L346" s="7" t="str">
        <f t="shared" si="78"/>
        <v/>
      </c>
      <c r="M346" s="7"/>
      <c r="N346" s="68">
        <f t="shared" si="79"/>
        <v>0</v>
      </c>
      <c r="O346" s="76"/>
      <c r="Q346" s="7" t="s">
        <v>3001</v>
      </c>
      <c r="R346" s="76">
        <f t="shared" si="80"/>
        <v>0</v>
      </c>
      <c r="S346" s="85">
        <f>R346/VLOOKUP(1,道具价值!$B$74:$E$80,4,FALSE)</f>
        <v>0</v>
      </c>
      <c r="T346" s="85">
        <f>R346/VLOOKUP(6,道具价值!$B$74:$E$80,4,FALSE)</f>
        <v>0</v>
      </c>
      <c r="AB346" s="7" t="str">
        <f t="shared" si="81"/>
        <v>[]</v>
      </c>
      <c r="AC346" s="7" t="str">
        <f t="shared" si="82"/>
        <v>[(24005,1)]</v>
      </c>
    </row>
    <row r="347" spans="1:29" x14ac:dyDescent="0.15">
      <c r="A347" s="328">
        <v>45</v>
      </c>
      <c r="B347" s="328">
        <v>4</v>
      </c>
      <c r="C347" s="7" t="s">
        <v>3006</v>
      </c>
      <c r="D347" s="7" t="str">
        <f t="shared" si="74"/>
        <v/>
      </c>
      <c r="E347" s="7" t="s">
        <v>3006</v>
      </c>
      <c r="F347" s="68">
        <f t="shared" si="75"/>
        <v>0</v>
      </c>
      <c r="G347" s="283" t="s">
        <v>4245</v>
      </c>
      <c r="H347" s="7" t="str">
        <f t="shared" si="76"/>
        <v>军费</v>
      </c>
      <c r="I347" s="7">
        <v>300</v>
      </c>
      <c r="J347" s="68">
        <f t="shared" si="77"/>
        <v>6</v>
      </c>
      <c r="K347" s="7"/>
      <c r="L347" s="7" t="str">
        <f t="shared" si="78"/>
        <v/>
      </c>
      <c r="M347" s="7"/>
      <c r="N347" s="68">
        <f t="shared" si="79"/>
        <v>0</v>
      </c>
      <c r="O347" s="76"/>
      <c r="AB347" s="7" t="str">
        <f t="shared" si="81"/>
        <v>[]</v>
      </c>
      <c r="AC347" s="7" t="str">
        <f t="shared" si="82"/>
        <v>[(102,300)]</v>
      </c>
    </row>
    <row r="348" spans="1:29" x14ac:dyDescent="0.15">
      <c r="A348" s="328">
        <v>46</v>
      </c>
      <c r="B348" s="328">
        <v>4</v>
      </c>
      <c r="C348" s="7" t="s">
        <v>3006</v>
      </c>
      <c r="D348" s="7" t="str">
        <f t="shared" si="74"/>
        <v/>
      </c>
      <c r="E348" s="7" t="s">
        <v>3006</v>
      </c>
      <c r="F348" s="68">
        <f t="shared" si="75"/>
        <v>0</v>
      </c>
      <c r="G348" s="7" t="s">
        <v>317</v>
      </c>
      <c r="H348" s="7" t="str">
        <f t="shared" si="76"/>
        <v>钻石</v>
      </c>
      <c r="I348" s="7">
        <v>30</v>
      </c>
      <c r="J348" s="68">
        <f t="shared" si="77"/>
        <v>30</v>
      </c>
      <c r="K348" s="7"/>
      <c r="L348" s="7" t="str">
        <f t="shared" si="78"/>
        <v/>
      </c>
      <c r="M348" s="7"/>
      <c r="N348" s="68">
        <f t="shared" si="79"/>
        <v>0</v>
      </c>
      <c r="O348" s="76"/>
      <c r="Q348" s="7" t="s">
        <v>3007</v>
      </c>
      <c r="R348" s="76">
        <f>SUM(R340:R346)</f>
        <v>700</v>
      </c>
      <c r="S348" s="85">
        <f>R348/VLOOKUP(1,道具价值!$B$74:$E$80,4,FALSE)</f>
        <v>9.3022222222222233</v>
      </c>
      <c r="T348" s="85">
        <f>R348/VLOOKUP(6,道具价值!$B$74:$E$80,4,FALSE)</f>
        <v>6.999299999999999</v>
      </c>
      <c r="AB348" s="7" t="str">
        <f t="shared" si="81"/>
        <v>[]</v>
      </c>
      <c r="AC348" s="7" t="str">
        <f t="shared" si="82"/>
        <v>[(101,30)]</v>
      </c>
    </row>
    <row r="349" spans="1:29" x14ac:dyDescent="0.15">
      <c r="A349" s="328">
        <v>47</v>
      </c>
      <c r="B349" s="328">
        <v>4</v>
      </c>
      <c r="C349" s="7"/>
      <c r="D349" s="7" t="str">
        <f t="shared" si="74"/>
        <v/>
      </c>
      <c r="E349" s="7"/>
      <c r="F349" s="68">
        <f t="shared" si="75"/>
        <v>0</v>
      </c>
      <c r="G349" s="283" t="s">
        <v>4258</v>
      </c>
      <c r="H349" s="7" t="str">
        <f t="shared" si="76"/>
        <v>贴花</v>
      </c>
      <c r="I349" s="7">
        <v>1</v>
      </c>
      <c r="J349" s="68">
        <f t="shared" si="77"/>
        <v>200</v>
      </c>
      <c r="K349" s="7"/>
      <c r="L349" s="7" t="str">
        <f t="shared" si="78"/>
        <v/>
      </c>
      <c r="M349" s="7"/>
      <c r="N349" s="68">
        <f t="shared" si="79"/>
        <v>0</v>
      </c>
      <c r="O349" s="76"/>
      <c r="Q349" s="7" t="s">
        <v>3008</v>
      </c>
      <c r="R349" s="76">
        <f>SUM(R331:R339)</f>
        <v>25937.9</v>
      </c>
      <c r="S349" s="85">
        <f>R349/VLOOKUP(1,道具价值!$B$74:$E$80,4,FALSE)</f>
        <v>344.68587111111117</v>
      </c>
      <c r="T349" s="85">
        <f>R349/VLOOKUP(6,道具价值!$B$74:$E$80,4,FALSE)</f>
        <v>259.35306209999999</v>
      </c>
      <c r="AB349" s="7" t="str">
        <f t="shared" si="81"/>
        <v>[]</v>
      </c>
      <c r="AC349" s="7" t="str">
        <f t="shared" si="82"/>
        <v>[(280004,1)]</v>
      </c>
    </row>
    <row r="350" spans="1:29" x14ac:dyDescent="0.15">
      <c r="A350" s="328">
        <v>48</v>
      </c>
      <c r="B350" s="328">
        <v>4</v>
      </c>
      <c r="C350" s="7" t="s">
        <v>3006</v>
      </c>
      <c r="D350" s="7" t="str">
        <f t="shared" si="74"/>
        <v/>
      </c>
      <c r="E350" s="7" t="s">
        <v>3006</v>
      </c>
      <c r="F350" s="68">
        <f t="shared" si="75"/>
        <v>0</v>
      </c>
      <c r="G350" s="7" t="s">
        <v>268</v>
      </c>
      <c r="H350" s="7" t="str">
        <f t="shared" si="76"/>
        <v>军费</v>
      </c>
      <c r="I350" s="7">
        <v>250</v>
      </c>
      <c r="J350" s="68">
        <f t="shared" si="77"/>
        <v>5</v>
      </c>
      <c r="K350" s="7"/>
      <c r="L350" s="7" t="str">
        <f t="shared" si="78"/>
        <v/>
      </c>
      <c r="M350" s="7"/>
      <c r="N350" s="68">
        <f t="shared" si="79"/>
        <v>0</v>
      </c>
      <c r="O350" s="76"/>
      <c r="AB350" s="7" t="str">
        <f t="shared" si="81"/>
        <v>[]</v>
      </c>
      <c r="AC350" s="7" t="str">
        <f t="shared" si="82"/>
        <v>[(102,250)]</v>
      </c>
    </row>
    <row r="351" spans="1:29" x14ac:dyDescent="0.15">
      <c r="A351" s="328">
        <v>49</v>
      </c>
      <c r="B351" s="328">
        <v>4</v>
      </c>
      <c r="C351" s="7" t="s">
        <v>3006</v>
      </c>
      <c r="D351" s="7" t="str">
        <f t="shared" si="74"/>
        <v/>
      </c>
      <c r="E351" s="7" t="s">
        <v>3006</v>
      </c>
      <c r="F351" s="68">
        <f t="shared" si="75"/>
        <v>0</v>
      </c>
      <c r="G351" s="283" t="s">
        <v>4217</v>
      </c>
      <c r="H351" s="7" t="str">
        <f t="shared" si="76"/>
        <v>新加速道具</v>
      </c>
      <c r="I351" s="7">
        <v>10</v>
      </c>
      <c r="J351" s="68">
        <f t="shared" si="77"/>
        <v>40</v>
      </c>
      <c r="K351" s="7"/>
      <c r="L351" s="7" t="str">
        <f t="shared" si="78"/>
        <v/>
      </c>
      <c r="M351" s="7"/>
      <c r="N351" s="68">
        <f t="shared" si="79"/>
        <v>0</v>
      </c>
      <c r="O351" s="76"/>
      <c r="AB351" s="7" t="str">
        <f t="shared" si="81"/>
        <v>[]</v>
      </c>
      <c r="AC351" s="7" t="str">
        <f t="shared" si="82"/>
        <v>[(100202,10)]</v>
      </c>
    </row>
    <row r="352" spans="1:29" x14ac:dyDescent="0.15">
      <c r="A352" s="328">
        <v>50</v>
      </c>
      <c r="B352" s="328">
        <v>4</v>
      </c>
      <c r="C352" s="294" t="s">
        <v>4084</v>
      </c>
      <c r="D352" s="7" t="str">
        <f t="shared" si="74"/>
        <v>宝箱</v>
      </c>
      <c r="E352" s="70">
        <v>1</v>
      </c>
      <c r="F352" s="71">
        <f t="shared" si="75"/>
        <v>600</v>
      </c>
      <c r="G352" s="294" t="s">
        <v>4215</v>
      </c>
      <c r="H352" s="7" t="str">
        <f t="shared" si="76"/>
        <v>坦克碎片</v>
      </c>
      <c r="I352" s="70">
        <v>18</v>
      </c>
      <c r="J352" s="68">
        <f t="shared" si="77"/>
        <v>1800</v>
      </c>
      <c r="K352" s="294"/>
      <c r="L352" s="7" t="str">
        <f t="shared" si="78"/>
        <v/>
      </c>
      <c r="M352" s="70"/>
      <c r="N352" s="68">
        <f t="shared" si="79"/>
        <v>0</v>
      </c>
      <c r="O352" s="77">
        <f>SUM(N343:N352)+SUM(J343:J352)+SUM(F343:F352)</f>
        <v>2947</v>
      </c>
      <c r="AB352" s="7" t="str">
        <f t="shared" si="81"/>
        <v>[(25155,1)]</v>
      </c>
      <c r="AC352" s="7" t="str">
        <f t="shared" si="82"/>
        <v>[(52341,18)]</v>
      </c>
    </row>
    <row r="353" spans="1:29" x14ac:dyDescent="0.15">
      <c r="A353" s="328">
        <v>51</v>
      </c>
      <c r="B353" s="328">
        <v>4</v>
      </c>
      <c r="C353" s="7"/>
      <c r="D353" s="7" t="str">
        <f t="shared" si="74"/>
        <v/>
      </c>
      <c r="E353" s="7"/>
      <c r="F353" s="68">
        <f t="shared" si="75"/>
        <v>0</v>
      </c>
      <c r="G353" s="7" t="s">
        <v>2457</v>
      </c>
      <c r="H353" s="7" t="str">
        <f t="shared" si="76"/>
        <v>宝箱</v>
      </c>
      <c r="I353" s="7">
        <v>1</v>
      </c>
      <c r="J353" s="68">
        <f t="shared" si="77"/>
        <v>600</v>
      </c>
      <c r="K353" s="7"/>
      <c r="L353" s="7" t="str">
        <f t="shared" si="78"/>
        <v/>
      </c>
      <c r="M353" s="7"/>
      <c r="N353" s="68">
        <f t="shared" si="79"/>
        <v>0</v>
      </c>
      <c r="O353" s="76"/>
      <c r="AB353" s="7" t="str">
        <f t="shared" si="81"/>
        <v>[]</v>
      </c>
      <c r="AC353" s="7" t="str">
        <f t="shared" si="82"/>
        <v>[(25154,1)]</v>
      </c>
    </row>
    <row r="354" spans="1:29" x14ac:dyDescent="0.15">
      <c r="A354" s="328">
        <v>52</v>
      </c>
      <c r="B354" s="328">
        <v>4</v>
      </c>
      <c r="C354" s="7"/>
      <c r="D354" s="7" t="str">
        <f t="shared" si="74"/>
        <v/>
      </c>
      <c r="E354" s="7"/>
      <c r="F354" s="68">
        <f t="shared" si="75"/>
        <v>0</v>
      </c>
      <c r="G354" s="7" t="s">
        <v>268</v>
      </c>
      <c r="H354" s="7" t="str">
        <f t="shared" si="76"/>
        <v>军费</v>
      </c>
      <c r="I354" s="7">
        <v>375</v>
      </c>
      <c r="J354" s="68">
        <f t="shared" si="77"/>
        <v>7.5</v>
      </c>
      <c r="K354" s="7"/>
      <c r="L354" s="7" t="str">
        <f t="shared" si="78"/>
        <v/>
      </c>
      <c r="M354" s="7"/>
      <c r="N354" s="68">
        <f t="shared" si="79"/>
        <v>0</v>
      </c>
      <c r="O354" s="76"/>
      <c r="AB354" s="7" t="str">
        <f t="shared" si="81"/>
        <v>[]</v>
      </c>
      <c r="AC354" s="7" t="str">
        <f t="shared" si="82"/>
        <v>[(102,375)]</v>
      </c>
    </row>
    <row r="355" spans="1:29" x14ac:dyDescent="0.15">
      <c r="A355" s="328">
        <v>53</v>
      </c>
      <c r="B355" s="328">
        <v>4</v>
      </c>
      <c r="C355" s="7"/>
      <c r="D355" s="7" t="str">
        <f t="shared" si="74"/>
        <v/>
      </c>
      <c r="E355" s="7"/>
      <c r="F355" s="68">
        <f t="shared" si="75"/>
        <v>0</v>
      </c>
      <c r="G355" s="7" t="s">
        <v>317</v>
      </c>
      <c r="H355" s="7" t="str">
        <f t="shared" si="76"/>
        <v>钻石</v>
      </c>
      <c r="I355" s="7">
        <v>50</v>
      </c>
      <c r="J355" s="68">
        <f t="shared" si="77"/>
        <v>50</v>
      </c>
      <c r="K355" s="7"/>
      <c r="L355" s="7" t="str">
        <f t="shared" si="78"/>
        <v/>
      </c>
      <c r="M355" s="7"/>
      <c r="N355" s="68">
        <f t="shared" si="79"/>
        <v>0</v>
      </c>
      <c r="O355" s="76"/>
      <c r="AB355" s="7" t="str">
        <f t="shared" si="81"/>
        <v>[]</v>
      </c>
      <c r="AC355" s="7" t="str">
        <f t="shared" si="82"/>
        <v>[(101,50)]</v>
      </c>
    </row>
    <row r="356" spans="1:29" x14ac:dyDescent="0.15">
      <c r="A356" s="328">
        <v>54</v>
      </c>
      <c r="B356" s="328">
        <v>4</v>
      </c>
      <c r="C356" s="7"/>
      <c r="D356" s="7" t="str">
        <f t="shared" si="74"/>
        <v/>
      </c>
      <c r="E356" s="7"/>
      <c r="F356" s="68">
        <f t="shared" si="75"/>
        <v>0</v>
      </c>
      <c r="G356" s="7" t="s">
        <v>4217</v>
      </c>
      <c r="H356" s="7" t="str">
        <f t="shared" si="76"/>
        <v>新加速道具</v>
      </c>
      <c r="I356" s="7">
        <v>2</v>
      </c>
      <c r="J356" s="68">
        <f t="shared" si="77"/>
        <v>8</v>
      </c>
      <c r="K356" s="7"/>
      <c r="L356" s="7" t="str">
        <f t="shared" si="78"/>
        <v/>
      </c>
      <c r="M356" s="7"/>
      <c r="N356" s="68">
        <f t="shared" si="79"/>
        <v>0</v>
      </c>
      <c r="O356" s="76"/>
      <c r="AB356" s="7" t="str">
        <f t="shared" si="81"/>
        <v>[]</v>
      </c>
      <c r="AC356" s="7" t="str">
        <f t="shared" si="82"/>
        <v>[(100202,2)]</v>
      </c>
    </row>
    <row r="357" spans="1:29" x14ac:dyDescent="0.15">
      <c r="A357" s="328">
        <v>55</v>
      </c>
      <c r="B357" s="328">
        <v>4</v>
      </c>
      <c r="C357" s="7"/>
      <c r="D357" s="7" t="str">
        <f t="shared" si="74"/>
        <v/>
      </c>
      <c r="E357" s="7"/>
      <c r="F357" s="68">
        <f t="shared" si="75"/>
        <v>0</v>
      </c>
      <c r="G357" s="283" t="s">
        <v>4257</v>
      </c>
      <c r="H357" s="7" t="str">
        <f t="shared" si="76"/>
        <v>贴花</v>
      </c>
      <c r="I357" s="7">
        <v>1</v>
      </c>
      <c r="J357" s="68">
        <f t="shared" si="77"/>
        <v>200</v>
      </c>
      <c r="K357" s="7"/>
      <c r="L357" s="7" t="str">
        <f t="shared" si="78"/>
        <v/>
      </c>
      <c r="M357" s="7"/>
      <c r="N357" s="68">
        <f t="shared" si="79"/>
        <v>0</v>
      </c>
      <c r="O357" s="76"/>
      <c r="AB357" s="7" t="str">
        <f t="shared" si="81"/>
        <v>[]</v>
      </c>
      <c r="AC357" s="7" t="str">
        <f t="shared" si="82"/>
        <v>[(280003,1)]</v>
      </c>
    </row>
    <row r="358" spans="1:29" x14ac:dyDescent="0.15">
      <c r="A358" s="328">
        <v>56</v>
      </c>
      <c r="B358" s="328">
        <v>4</v>
      </c>
      <c r="C358" s="7"/>
      <c r="D358" s="7" t="str">
        <f t="shared" si="74"/>
        <v/>
      </c>
      <c r="E358" s="7"/>
      <c r="F358" s="68">
        <f t="shared" si="75"/>
        <v>0</v>
      </c>
      <c r="G358" s="13" t="s">
        <v>268</v>
      </c>
      <c r="H358" s="7" t="str">
        <f t="shared" si="76"/>
        <v>军费</v>
      </c>
      <c r="I358" s="7">
        <v>375</v>
      </c>
      <c r="J358" s="68">
        <f t="shared" si="77"/>
        <v>7.5</v>
      </c>
      <c r="K358" s="7"/>
      <c r="L358" s="7" t="str">
        <f t="shared" si="78"/>
        <v/>
      </c>
      <c r="M358" s="7"/>
      <c r="N358" s="68">
        <f t="shared" si="79"/>
        <v>0</v>
      </c>
      <c r="O358" s="76"/>
      <c r="AB358" s="7" t="str">
        <f t="shared" si="81"/>
        <v>[]</v>
      </c>
      <c r="AC358" s="7" t="str">
        <f t="shared" si="82"/>
        <v>[(102,375)]</v>
      </c>
    </row>
    <row r="359" spans="1:29" x14ac:dyDescent="0.15">
      <c r="A359" s="328">
        <v>57</v>
      </c>
      <c r="B359" s="328">
        <v>4</v>
      </c>
      <c r="C359" s="7"/>
      <c r="D359" s="7" t="str">
        <f t="shared" si="74"/>
        <v/>
      </c>
      <c r="E359" s="7"/>
      <c r="F359" s="68">
        <f t="shared" si="75"/>
        <v>0</v>
      </c>
      <c r="G359" s="7" t="s">
        <v>521</v>
      </c>
      <c r="H359" s="7" t="str">
        <f t="shared" si="76"/>
        <v>宝箱</v>
      </c>
      <c r="I359" s="7">
        <v>1</v>
      </c>
      <c r="J359" s="68">
        <f t="shared" si="77"/>
        <v>100</v>
      </c>
      <c r="K359" s="7"/>
      <c r="L359" s="7" t="str">
        <f t="shared" si="78"/>
        <v/>
      </c>
      <c r="M359" s="7"/>
      <c r="N359" s="68">
        <f t="shared" si="79"/>
        <v>0</v>
      </c>
      <c r="O359" s="76"/>
      <c r="AB359" s="7" t="str">
        <f t="shared" si="81"/>
        <v>[]</v>
      </c>
      <c r="AC359" s="7" t="str">
        <f t="shared" si="82"/>
        <v>[(24004,1)]</v>
      </c>
    </row>
    <row r="360" spans="1:29" x14ac:dyDescent="0.15">
      <c r="A360" s="328">
        <v>58</v>
      </c>
      <c r="B360" s="328">
        <v>4</v>
      </c>
      <c r="C360" s="7"/>
      <c r="D360" s="7" t="str">
        <f t="shared" si="74"/>
        <v/>
      </c>
      <c r="E360" s="7"/>
      <c r="F360" s="68">
        <f t="shared" si="75"/>
        <v>0</v>
      </c>
      <c r="G360" s="7" t="s">
        <v>268</v>
      </c>
      <c r="H360" s="7" t="str">
        <f t="shared" si="76"/>
        <v>军费</v>
      </c>
      <c r="I360" s="7">
        <v>375</v>
      </c>
      <c r="J360" s="68">
        <f t="shared" si="77"/>
        <v>7.5</v>
      </c>
      <c r="K360" s="7"/>
      <c r="L360" s="7" t="str">
        <f t="shared" si="78"/>
        <v/>
      </c>
      <c r="M360" s="7"/>
      <c r="N360" s="68">
        <f t="shared" si="79"/>
        <v>0</v>
      </c>
      <c r="O360" s="76"/>
      <c r="AB360" s="7" t="str">
        <f t="shared" si="81"/>
        <v>[]</v>
      </c>
      <c r="AC360" s="7" t="str">
        <f t="shared" si="82"/>
        <v>[(102,375)]</v>
      </c>
    </row>
    <row r="361" spans="1:29" x14ac:dyDescent="0.15">
      <c r="A361" s="328">
        <v>59</v>
      </c>
      <c r="B361" s="328">
        <v>4</v>
      </c>
      <c r="C361" s="7"/>
      <c r="D361" s="7" t="str">
        <f t="shared" si="74"/>
        <v/>
      </c>
      <c r="E361" s="7"/>
      <c r="F361" s="68">
        <f t="shared" si="75"/>
        <v>0</v>
      </c>
      <c r="G361" s="7" t="s">
        <v>317</v>
      </c>
      <c r="H361" s="7" t="str">
        <f t="shared" si="76"/>
        <v>钻石</v>
      </c>
      <c r="I361" s="7">
        <v>50</v>
      </c>
      <c r="J361" s="68">
        <f t="shared" si="77"/>
        <v>50</v>
      </c>
      <c r="K361" s="7"/>
      <c r="L361" s="7" t="str">
        <f t="shared" si="78"/>
        <v/>
      </c>
      <c r="M361" s="7"/>
      <c r="N361" s="68">
        <f t="shared" si="79"/>
        <v>0</v>
      </c>
      <c r="O361" s="76"/>
      <c r="AB361" s="7" t="str">
        <f t="shared" si="81"/>
        <v>[]</v>
      </c>
      <c r="AC361" s="7" t="str">
        <f t="shared" si="82"/>
        <v>[(101,50)]</v>
      </c>
    </row>
    <row r="362" spans="1:29" x14ac:dyDescent="0.15">
      <c r="A362" s="328">
        <v>60</v>
      </c>
      <c r="B362" s="328">
        <v>4</v>
      </c>
      <c r="C362" s="70"/>
      <c r="D362" s="7" t="str">
        <f t="shared" si="74"/>
        <v/>
      </c>
      <c r="E362" s="70"/>
      <c r="F362" s="71">
        <f t="shared" si="75"/>
        <v>0</v>
      </c>
      <c r="G362" s="294" t="s">
        <v>4215</v>
      </c>
      <c r="H362" s="7" t="str">
        <f t="shared" si="76"/>
        <v>坦克碎片</v>
      </c>
      <c r="I362" s="70">
        <v>24</v>
      </c>
      <c r="J362" s="68">
        <f t="shared" si="77"/>
        <v>2400</v>
      </c>
      <c r="K362" s="294"/>
      <c r="L362" s="7" t="str">
        <f t="shared" si="78"/>
        <v/>
      </c>
      <c r="M362" s="70"/>
      <c r="N362" s="68">
        <f t="shared" si="79"/>
        <v>0</v>
      </c>
      <c r="O362" s="77">
        <f>SUM(N353:N362)+SUM(J353:J362)+SUM(F353:F362)</f>
        <v>3430.5</v>
      </c>
      <c r="AB362" s="7" t="str">
        <f t="shared" si="81"/>
        <v>[]</v>
      </c>
      <c r="AC362" s="7" t="str">
        <f t="shared" si="82"/>
        <v>[(52341,24)]</v>
      </c>
    </row>
    <row r="363" spans="1:29" x14ac:dyDescent="0.15">
      <c r="A363" s="328">
        <v>61</v>
      </c>
      <c r="B363" s="328">
        <v>4</v>
      </c>
      <c r="C363" s="7"/>
      <c r="D363" s="7" t="str">
        <f t="shared" si="74"/>
        <v/>
      </c>
      <c r="E363" s="7"/>
      <c r="F363" s="68">
        <f t="shared" si="75"/>
        <v>0</v>
      </c>
      <c r="G363" s="283" t="s">
        <v>4252</v>
      </c>
      <c r="H363" s="7" t="str">
        <f t="shared" si="76"/>
        <v>新加速道具</v>
      </c>
      <c r="I363" s="7">
        <v>5</v>
      </c>
      <c r="J363" s="68">
        <f t="shared" si="77"/>
        <v>20</v>
      </c>
      <c r="K363" s="7"/>
      <c r="L363" s="7" t="str">
        <f t="shared" si="78"/>
        <v/>
      </c>
      <c r="M363" s="7"/>
      <c r="N363" s="68">
        <f t="shared" si="79"/>
        <v>0</v>
      </c>
      <c r="O363" s="76"/>
      <c r="AB363" s="7" t="str">
        <f t="shared" si="81"/>
        <v>[]</v>
      </c>
      <c r="AC363" s="7" t="str">
        <f t="shared" si="82"/>
        <v>[(100202,5)]</v>
      </c>
    </row>
    <row r="364" spans="1:29" x14ac:dyDescent="0.15">
      <c r="A364" s="328">
        <v>62</v>
      </c>
      <c r="B364" s="328">
        <v>4</v>
      </c>
      <c r="C364" s="7"/>
      <c r="D364" s="7" t="str">
        <f t="shared" si="74"/>
        <v/>
      </c>
      <c r="E364" s="7"/>
      <c r="F364" s="68">
        <f t="shared" si="75"/>
        <v>0</v>
      </c>
      <c r="G364" s="7" t="s">
        <v>268</v>
      </c>
      <c r="H364" s="7" t="str">
        <f t="shared" si="76"/>
        <v>军费</v>
      </c>
      <c r="I364" s="7">
        <v>375</v>
      </c>
      <c r="J364" s="68">
        <f t="shared" si="77"/>
        <v>7.5</v>
      </c>
      <c r="K364" s="7"/>
      <c r="L364" s="7" t="str">
        <f t="shared" si="78"/>
        <v/>
      </c>
      <c r="M364" s="7"/>
      <c r="N364" s="68">
        <f t="shared" si="79"/>
        <v>0</v>
      </c>
      <c r="O364" s="76"/>
      <c r="AB364" s="7" t="str">
        <f t="shared" si="81"/>
        <v>[]</v>
      </c>
      <c r="AC364" s="7" t="str">
        <f t="shared" si="82"/>
        <v>[(102,375)]</v>
      </c>
    </row>
    <row r="365" spans="1:29" x14ac:dyDescent="0.15">
      <c r="A365" s="328">
        <v>63</v>
      </c>
      <c r="B365" s="328">
        <v>4</v>
      </c>
      <c r="C365" s="7"/>
      <c r="D365" s="7" t="str">
        <f t="shared" si="74"/>
        <v/>
      </c>
      <c r="E365" s="7"/>
      <c r="F365" s="68">
        <f t="shared" si="75"/>
        <v>0</v>
      </c>
      <c r="G365" s="7" t="s">
        <v>2382</v>
      </c>
      <c r="H365" s="7" t="str">
        <f t="shared" si="76"/>
        <v>宝箱</v>
      </c>
      <c r="I365" s="7">
        <v>1</v>
      </c>
      <c r="J365" s="68">
        <f t="shared" si="77"/>
        <v>100</v>
      </c>
      <c r="K365" s="7"/>
      <c r="L365" s="7" t="str">
        <f t="shared" si="78"/>
        <v/>
      </c>
      <c r="M365" s="7"/>
      <c r="N365" s="68">
        <f t="shared" si="79"/>
        <v>0</v>
      </c>
      <c r="O365" s="76"/>
      <c r="AB365" s="7" t="str">
        <f t="shared" si="81"/>
        <v>[]</v>
      </c>
      <c r="AC365" s="7" t="str">
        <f t="shared" si="82"/>
        <v>[(23004,1)]</v>
      </c>
    </row>
    <row r="366" spans="1:29" x14ac:dyDescent="0.15">
      <c r="A366" s="328">
        <v>64</v>
      </c>
      <c r="B366" s="328">
        <v>4</v>
      </c>
      <c r="C366" s="7"/>
      <c r="D366" s="7" t="str">
        <f t="shared" si="74"/>
        <v/>
      </c>
      <c r="E366" s="7"/>
      <c r="F366" s="68">
        <f t="shared" si="75"/>
        <v>0</v>
      </c>
      <c r="G366" s="13" t="s">
        <v>268</v>
      </c>
      <c r="H366" s="7" t="str">
        <f t="shared" si="76"/>
        <v>军费</v>
      </c>
      <c r="I366" s="7">
        <v>375</v>
      </c>
      <c r="J366" s="68">
        <f t="shared" si="77"/>
        <v>7.5</v>
      </c>
      <c r="K366" s="7"/>
      <c r="L366" s="7" t="str">
        <f t="shared" si="78"/>
        <v/>
      </c>
      <c r="M366" s="7"/>
      <c r="N366" s="68">
        <f t="shared" si="79"/>
        <v>0</v>
      </c>
      <c r="O366" s="76"/>
      <c r="AB366" s="7" t="str">
        <f t="shared" si="81"/>
        <v>[]</v>
      </c>
      <c r="AC366" s="7" t="str">
        <f t="shared" si="82"/>
        <v>[(102,375)]</v>
      </c>
    </row>
    <row r="367" spans="1:29" x14ac:dyDescent="0.15">
      <c r="A367" s="328">
        <v>65</v>
      </c>
      <c r="B367" s="328">
        <v>4</v>
      </c>
      <c r="C367" s="7"/>
      <c r="D367" s="7" t="str">
        <f t="shared" si="74"/>
        <v/>
      </c>
      <c r="E367" s="7"/>
      <c r="F367" s="68">
        <f t="shared" si="75"/>
        <v>0</v>
      </c>
      <c r="G367" s="7" t="s">
        <v>317</v>
      </c>
      <c r="H367" s="7" t="str">
        <f t="shared" si="76"/>
        <v>钻石</v>
      </c>
      <c r="I367" s="7">
        <v>50</v>
      </c>
      <c r="J367" s="68">
        <f t="shared" si="77"/>
        <v>50</v>
      </c>
      <c r="K367" s="7"/>
      <c r="L367" s="7" t="str">
        <f t="shared" si="78"/>
        <v/>
      </c>
      <c r="M367" s="7"/>
      <c r="N367" s="68">
        <f t="shared" si="79"/>
        <v>0</v>
      </c>
      <c r="O367" s="76"/>
      <c r="AB367" s="7" t="str">
        <f t="shared" si="81"/>
        <v>[]</v>
      </c>
      <c r="AC367" s="7" t="str">
        <f t="shared" si="82"/>
        <v>[(101,50)]</v>
      </c>
    </row>
    <row r="368" spans="1:29" x14ac:dyDescent="0.15">
      <c r="A368" s="328">
        <v>66</v>
      </c>
      <c r="B368" s="328">
        <v>4</v>
      </c>
      <c r="C368" s="7"/>
      <c r="D368" s="7" t="str">
        <f t="shared" si="74"/>
        <v/>
      </c>
      <c r="E368" s="7"/>
      <c r="F368" s="68">
        <f t="shared" si="75"/>
        <v>0</v>
      </c>
      <c r="G368" s="7" t="s">
        <v>2457</v>
      </c>
      <c r="H368" s="7" t="str">
        <f t="shared" si="76"/>
        <v>宝箱</v>
      </c>
      <c r="I368" s="7">
        <v>1</v>
      </c>
      <c r="J368" s="68">
        <f t="shared" si="77"/>
        <v>600</v>
      </c>
      <c r="K368" s="7"/>
      <c r="L368" s="7" t="str">
        <f t="shared" si="78"/>
        <v/>
      </c>
      <c r="M368" s="7"/>
      <c r="N368" s="68">
        <f t="shared" si="79"/>
        <v>0</v>
      </c>
      <c r="O368" s="76"/>
      <c r="AB368" s="7" t="str">
        <f t="shared" si="81"/>
        <v>[]</v>
      </c>
      <c r="AC368" s="7" t="str">
        <f t="shared" si="82"/>
        <v>[(25154,1)]</v>
      </c>
    </row>
    <row r="369" spans="1:29" x14ac:dyDescent="0.15">
      <c r="A369" s="328">
        <v>67</v>
      </c>
      <c r="B369" s="328">
        <v>4</v>
      </c>
      <c r="C369" s="7"/>
      <c r="D369" s="7" t="str">
        <f t="shared" si="74"/>
        <v/>
      </c>
      <c r="E369" s="69"/>
      <c r="F369" s="68">
        <f t="shared" si="75"/>
        <v>0</v>
      </c>
      <c r="G369" s="283" t="s">
        <v>4258</v>
      </c>
      <c r="H369" s="7" t="str">
        <f t="shared" si="76"/>
        <v>贴花</v>
      </c>
      <c r="I369" s="7">
        <v>1</v>
      </c>
      <c r="J369" s="68">
        <f t="shared" si="77"/>
        <v>200</v>
      </c>
      <c r="K369" s="7"/>
      <c r="L369" s="7" t="str">
        <f t="shared" si="78"/>
        <v/>
      </c>
      <c r="M369" s="7"/>
      <c r="N369" s="68">
        <f t="shared" si="79"/>
        <v>0</v>
      </c>
      <c r="O369" s="76"/>
      <c r="AB369" s="7" t="str">
        <f t="shared" si="81"/>
        <v>[]</v>
      </c>
      <c r="AC369" s="7" t="str">
        <f t="shared" si="82"/>
        <v>[(280004,1)]</v>
      </c>
    </row>
    <row r="370" spans="1:29" x14ac:dyDescent="0.15">
      <c r="A370" s="328">
        <v>68</v>
      </c>
      <c r="B370" s="328">
        <v>4</v>
      </c>
      <c r="C370" s="7"/>
      <c r="D370" s="7" t="str">
        <f t="shared" si="74"/>
        <v/>
      </c>
      <c r="E370" s="7"/>
      <c r="F370" s="68">
        <f t="shared" si="75"/>
        <v>0</v>
      </c>
      <c r="G370" s="283" t="s">
        <v>4244</v>
      </c>
      <c r="H370" s="7" t="str">
        <f t="shared" si="76"/>
        <v>宝箱</v>
      </c>
      <c r="I370" s="7">
        <v>1</v>
      </c>
      <c r="J370" s="68">
        <f t="shared" si="77"/>
        <v>120</v>
      </c>
      <c r="K370" s="7"/>
      <c r="L370" s="7" t="str">
        <f t="shared" si="78"/>
        <v/>
      </c>
      <c r="M370" s="7"/>
      <c r="N370" s="68">
        <f t="shared" si="79"/>
        <v>0</v>
      </c>
      <c r="O370" s="76"/>
      <c r="AB370" s="7" t="str">
        <f t="shared" si="81"/>
        <v>[]</v>
      </c>
      <c r="AC370" s="7" t="str">
        <f t="shared" si="82"/>
        <v>[(40001,1)]</v>
      </c>
    </row>
    <row r="371" spans="1:29" x14ac:dyDescent="0.15">
      <c r="A371" s="328">
        <v>69</v>
      </c>
      <c r="B371" s="328">
        <v>4</v>
      </c>
      <c r="C371" s="7"/>
      <c r="D371" s="7" t="str">
        <f t="shared" si="74"/>
        <v/>
      </c>
      <c r="E371" s="7"/>
      <c r="F371" s="68">
        <f t="shared" si="75"/>
        <v>0</v>
      </c>
      <c r="G371" s="7" t="s">
        <v>268</v>
      </c>
      <c r="H371" s="7" t="str">
        <f t="shared" si="76"/>
        <v>军费</v>
      </c>
      <c r="I371" s="7">
        <v>625</v>
      </c>
      <c r="J371" s="68">
        <f t="shared" si="77"/>
        <v>12.5</v>
      </c>
      <c r="K371" s="7"/>
      <c r="L371" s="7" t="str">
        <f t="shared" si="78"/>
        <v/>
      </c>
      <c r="M371" s="7"/>
      <c r="N371" s="68">
        <f t="shared" si="79"/>
        <v>0</v>
      </c>
      <c r="O371" s="76"/>
      <c r="AB371" s="7" t="str">
        <f t="shared" si="81"/>
        <v>[]</v>
      </c>
      <c r="AC371" s="7" t="str">
        <f t="shared" si="82"/>
        <v>[(102,625)]</v>
      </c>
    </row>
    <row r="372" spans="1:29" x14ac:dyDescent="0.15">
      <c r="A372" s="328">
        <v>70</v>
      </c>
      <c r="B372" s="328">
        <v>4</v>
      </c>
      <c r="C372" s="70"/>
      <c r="D372" s="7" t="str">
        <f t="shared" si="74"/>
        <v/>
      </c>
      <c r="E372" s="70"/>
      <c r="F372" s="71">
        <f t="shared" si="75"/>
        <v>0</v>
      </c>
      <c r="G372" s="294" t="s">
        <v>4259</v>
      </c>
      <c r="H372" s="7" t="str">
        <f t="shared" si="76"/>
        <v>头像</v>
      </c>
      <c r="I372" s="70">
        <v>1</v>
      </c>
      <c r="J372" s="68">
        <f t="shared" si="77"/>
        <v>200</v>
      </c>
      <c r="K372" s="294"/>
      <c r="L372" s="7" t="str">
        <f t="shared" si="78"/>
        <v/>
      </c>
      <c r="M372" s="70"/>
      <c r="N372" s="68">
        <f t="shared" si="79"/>
        <v>0</v>
      </c>
      <c r="O372" s="77">
        <f>SUM(N363:N372)+SUM(J363:J372)+SUM(F363:F372)</f>
        <v>1317.5</v>
      </c>
      <c r="AB372" s="7" t="str">
        <f t="shared" si="81"/>
        <v>[]</v>
      </c>
      <c r="AC372" s="7" t="str">
        <f t="shared" si="82"/>
        <v>[(140113,1)]</v>
      </c>
    </row>
    <row r="373" spans="1:29" x14ac:dyDescent="0.15">
      <c r="A373" s="328">
        <v>71</v>
      </c>
      <c r="B373" s="328">
        <v>4</v>
      </c>
      <c r="C373" s="7"/>
      <c r="D373" s="7" t="str">
        <f t="shared" si="74"/>
        <v/>
      </c>
      <c r="E373" s="7"/>
      <c r="F373" s="68">
        <f t="shared" si="75"/>
        <v>0</v>
      </c>
      <c r="G373" s="7" t="s">
        <v>273</v>
      </c>
      <c r="H373" s="7" t="str">
        <f t="shared" si="76"/>
        <v>钥匙</v>
      </c>
      <c r="I373" s="7">
        <v>30</v>
      </c>
      <c r="J373" s="68">
        <f t="shared" si="77"/>
        <v>25.000000000000021</v>
      </c>
      <c r="K373" s="7"/>
      <c r="L373" s="7" t="str">
        <f t="shared" si="78"/>
        <v/>
      </c>
      <c r="M373" s="7"/>
      <c r="N373" s="68">
        <f t="shared" si="79"/>
        <v>0</v>
      </c>
      <c r="O373" s="76"/>
      <c r="AB373" s="7" t="str">
        <f t="shared" si="81"/>
        <v>[]</v>
      </c>
      <c r="AC373" s="7" t="str">
        <f t="shared" si="82"/>
        <v>[(105,30)]</v>
      </c>
    </row>
    <row r="374" spans="1:29" x14ac:dyDescent="0.15">
      <c r="A374" s="328">
        <v>72</v>
      </c>
      <c r="B374" s="328">
        <v>4</v>
      </c>
      <c r="C374" s="7"/>
      <c r="D374" s="7" t="str">
        <f t="shared" si="74"/>
        <v/>
      </c>
      <c r="E374" s="7"/>
      <c r="F374" s="68">
        <f t="shared" si="75"/>
        <v>0</v>
      </c>
      <c r="G374" s="7" t="s">
        <v>268</v>
      </c>
      <c r="H374" s="7" t="str">
        <f t="shared" si="76"/>
        <v>军费</v>
      </c>
      <c r="I374" s="7">
        <v>625</v>
      </c>
      <c r="J374" s="68">
        <f t="shared" si="77"/>
        <v>12.5</v>
      </c>
      <c r="K374" s="7"/>
      <c r="L374" s="7" t="str">
        <f t="shared" si="78"/>
        <v/>
      </c>
      <c r="M374" s="7"/>
      <c r="N374" s="68">
        <f t="shared" si="79"/>
        <v>0</v>
      </c>
      <c r="O374" s="76"/>
      <c r="AB374" s="7" t="str">
        <f t="shared" si="81"/>
        <v>[]</v>
      </c>
      <c r="AC374" s="7" t="str">
        <f t="shared" si="82"/>
        <v>[(102,625)]</v>
      </c>
    </row>
    <row r="375" spans="1:29" x14ac:dyDescent="0.15">
      <c r="A375" s="328">
        <v>73</v>
      </c>
      <c r="B375" s="328">
        <v>4</v>
      </c>
      <c r="C375" s="7"/>
      <c r="D375" s="7" t="str">
        <f t="shared" si="74"/>
        <v/>
      </c>
      <c r="E375" s="7"/>
      <c r="F375" s="68">
        <f t="shared" si="75"/>
        <v>0</v>
      </c>
      <c r="G375" s="13" t="s">
        <v>317</v>
      </c>
      <c r="H375" s="7" t="str">
        <f t="shared" si="76"/>
        <v>钻石</v>
      </c>
      <c r="I375" s="7">
        <v>50</v>
      </c>
      <c r="J375" s="68">
        <f t="shared" si="77"/>
        <v>50</v>
      </c>
      <c r="K375" s="7"/>
      <c r="L375" s="7" t="str">
        <f t="shared" si="78"/>
        <v/>
      </c>
      <c r="M375" s="7"/>
      <c r="N375" s="68">
        <f t="shared" si="79"/>
        <v>0</v>
      </c>
      <c r="O375" s="76"/>
      <c r="AB375" s="7" t="str">
        <f t="shared" si="81"/>
        <v>[]</v>
      </c>
      <c r="AC375" s="7" t="str">
        <f t="shared" si="82"/>
        <v>[(101,50)]</v>
      </c>
    </row>
    <row r="376" spans="1:29" x14ac:dyDescent="0.15">
      <c r="A376" s="328">
        <v>74</v>
      </c>
      <c r="B376" s="328">
        <v>4</v>
      </c>
      <c r="C376" s="7"/>
      <c r="D376" s="7" t="str">
        <f t="shared" si="74"/>
        <v/>
      </c>
      <c r="E376" s="7"/>
      <c r="F376" s="68">
        <f t="shared" si="75"/>
        <v>0</v>
      </c>
      <c r="G376" s="7" t="s">
        <v>268</v>
      </c>
      <c r="H376" s="7" t="str">
        <f t="shared" si="76"/>
        <v>军费</v>
      </c>
      <c r="I376" s="7">
        <v>625</v>
      </c>
      <c r="J376" s="68">
        <f t="shared" si="77"/>
        <v>12.5</v>
      </c>
      <c r="K376" s="7"/>
      <c r="L376" s="7" t="str">
        <f t="shared" si="78"/>
        <v/>
      </c>
      <c r="M376" s="7"/>
      <c r="N376" s="68">
        <f t="shared" si="79"/>
        <v>0</v>
      </c>
      <c r="O376" s="76"/>
      <c r="AB376" s="7" t="str">
        <f t="shared" si="81"/>
        <v>[]</v>
      </c>
      <c r="AC376" s="7" t="str">
        <f t="shared" si="82"/>
        <v>[(102,625)]</v>
      </c>
    </row>
    <row r="377" spans="1:29" x14ac:dyDescent="0.15">
      <c r="A377" s="328">
        <v>75</v>
      </c>
      <c r="B377" s="328">
        <v>4</v>
      </c>
      <c r="C377" s="7"/>
      <c r="D377" s="7" t="str">
        <f t="shared" si="74"/>
        <v/>
      </c>
      <c r="E377" s="7"/>
      <c r="F377" s="68">
        <f t="shared" si="75"/>
        <v>0</v>
      </c>
      <c r="G377" s="283" t="s">
        <v>4257</v>
      </c>
      <c r="H377" s="7" t="str">
        <f t="shared" si="76"/>
        <v>贴花</v>
      </c>
      <c r="I377" s="7">
        <v>1</v>
      </c>
      <c r="J377" s="68">
        <f t="shared" si="77"/>
        <v>200</v>
      </c>
      <c r="K377" s="283"/>
      <c r="L377" s="7" t="str">
        <f t="shared" si="78"/>
        <v/>
      </c>
      <c r="M377" s="7"/>
      <c r="N377" s="68">
        <f t="shared" si="79"/>
        <v>0</v>
      </c>
      <c r="O377" s="76"/>
      <c r="AB377" s="7" t="str">
        <f t="shared" si="81"/>
        <v>[]</v>
      </c>
      <c r="AC377" s="7" t="str">
        <f t="shared" si="82"/>
        <v>[(280003,1)]</v>
      </c>
    </row>
    <row r="378" spans="1:29" x14ac:dyDescent="0.15">
      <c r="A378" s="328">
        <v>76</v>
      </c>
      <c r="B378" s="328">
        <v>4</v>
      </c>
      <c r="C378" s="7"/>
      <c r="D378" s="7" t="str">
        <f t="shared" si="74"/>
        <v/>
      </c>
      <c r="E378" s="7"/>
      <c r="F378" s="68">
        <f t="shared" si="75"/>
        <v>0</v>
      </c>
      <c r="G378" s="7" t="s">
        <v>511</v>
      </c>
      <c r="H378" s="7" t="str">
        <f t="shared" si="76"/>
        <v>双倍钥匙</v>
      </c>
      <c r="I378" s="7">
        <v>30</v>
      </c>
      <c r="J378" s="68">
        <f t="shared" si="77"/>
        <v>15.000000000000014</v>
      </c>
      <c r="K378" s="7"/>
      <c r="L378" s="7" t="str">
        <f t="shared" si="78"/>
        <v/>
      </c>
      <c r="M378" s="7"/>
      <c r="N378" s="68">
        <f t="shared" si="79"/>
        <v>0</v>
      </c>
      <c r="O378" s="76"/>
      <c r="AB378" s="7" t="str">
        <f t="shared" si="81"/>
        <v>[]</v>
      </c>
      <c r="AC378" s="7" t="str">
        <f t="shared" si="82"/>
        <v>[(111,30)]</v>
      </c>
    </row>
    <row r="379" spans="1:29" x14ac:dyDescent="0.15">
      <c r="A379" s="328">
        <v>77</v>
      </c>
      <c r="B379" s="328">
        <v>4</v>
      </c>
      <c r="C379" s="7"/>
      <c r="D379" s="7" t="str">
        <f t="shared" si="74"/>
        <v/>
      </c>
      <c r="E379" s="7"/>
      <c r="F379" s="68">
        <f t="shared" si="75"/>
        <v>0</v>
      </c>
      <c r="G379" s="7" t="s">
        <v>317</v>
      </c>
      <c r="H379" s="7" t="str">
        <f t="shared" si="76"/>
        <v>钻石</v>
      </c>
      <c r="I379" s="7">
        <v>50</v>
      </c>
      <c r="J379" s="68">
        <f t="shared" si="77"/>
        <v>50</v>
      </c>
      <c r="K379" s="7"/>
      <c r="L379" s="7" t="str">
        <f t="shared" si="78"/>
        <v/>
      </c>
      <c r="M379" s="7"/>
      <c r="N379" s="68">
        <f t="shared" si="79"/>
        <v>0</v>
      </c>
      <c r="O379" s="76"/>
      <c r="AB379" s="7" t="str">
        <f t="shared" si="81"/>
        <v>[]</v>
      </c>
      <c r="AC379" s="7" t="str">
        <f t="shared" si="82"/>
        <v>[(101,50)]</v>
      </c>
    </row>
    <row r="380" spans="1:29" x14ac:dyDescent="0.15">
      <c r="A380" s="328">
        <v>78</v>
      </c>
      <c r="B380" s="328">
        <v>4</v>
      </c>
      <c r="C380" s="7"/>
      <c r="D380" s="7" t="str">
        <f t="shared" si="74"/>
        <v/>
      </c>
      <c r="E380" s="7"/>
      <c r="F380" s="68">
        <f t="shared" si="75"/>
        <v>0</v>
      </c>
      <c r="G380" s="7" t="s">
        <v>521</v>
      </c>
      <c r="H380" s="7" t="str">
        <f t="shared" si="76"/>
        <v>宝箱</v>
      </c>
      <c r="I380" s="7">
        <v>1</v>
      </c>
      <c r="J380" s="68">
        <f t="shared" si="77"/>
        <v>100</v>
      </c>
      <c r="K380" s="7"/>
      <c r="L380" s="7" t="str">
        <f t="shared" si="78"/>
        <v/>
      </c>
      <c r="M380" s="7"/>
      <c r="N380" s="68">
        <f t="shared" si="79"/>
        <v>0</v>
      </c>
      <c r="O380" s="76"/>
      <c r="AB380" s="7" t="str">
        <f t="shared" si="81"/>
        <v>[]</v>
      </c>
      <c r="AC380" s="7" t="str">
        <f t="shared" si="82"/>
        <v>[(24004,1)]</v>
      </c>
    </row>
    <row r="381" spans="1:29" x14ac:dyDescent="0.15">
      <c r="A381" s="328">
        <v>79</v>
      </c>
      <c r="B381" s="328">
        <v>4</v>
      </c>
      <c r="C381" s="7"/>
      <c r="D381" s="7" t="str">
        <f t="shared" si="74"/>
        <v/>
      </c>
      <c r="E381" s="7"/>
      <c r="F381" s="68">
        <f t="shared" si="75"/>
        <v>0</v>
      </c>
      <c r="G381" s="283" t="s">
        <v>4245</v>
      </c>
      <c r="H381" s="7" t="str">
        <f t="shared" si="76"/>
        <v>军费</v>
      </c>
      <c r="I381" s="7">
        <v>625</v>
      </c>
      <c r="J381" s="68">
        <f t="shared" si="77"/>
        <v>12.5</v>
      </c>
      <c r="K381" s="7"/>
      <c r="L381" s="7" t="str">
        <f t="shared" si="78"/>
        <v/>
      </c>
      <c r="M381" s="7"/>
      <c r="N381" s="68">
        <f t="shared" si="79"/>
        <v>0</v>
      </c>
      <c r="O381" s="76"/>
      <c r="AB381" s="7" t="str">
        <f t="shared" si="81"/>
        <v>[]</v>
      </c>
      <c r="AC381" s="7" t="str">
        <f t="shared" si="82"/>
        <v>[(102,625)]</v>
      </c>
    </row>
    <row r="382" spans="1:29" x14ac:dyDescent="0.15">
      <c r="A382" s="328">
        <v>80</v>
      </c>
      <c r="B382" s="328">
        <v>4</v>
      </c>
      <c r="C382" s="70"/>
      <c r="D382" s="7" t="str">
        <f t="shared" si="74"/>
        <v/>
      </c>
      <c r="E382" s="70"/>
      <c r="F382" s="71">
        <f t="shared" si="75"/>
        <v>0</v>
      </c>
      <c r="G382" s="294" t="s">
        <v>4215</v>
      </c>
      <c r="H382" s="7" t="str">
        <f t="shared" si="76"/>
        <v>坦克碎片</v>
      </c>
      <c r="I382" s="70">
        <v>30</v>
      </c>
      <c r="J382" s="68">
        <f t="shared" si="77"/>
        <v>3000</v>
      </c>
      <c r="K382" s="294"/>
      <c r="L382" s="7" t="str">
        <f t="shared" si="78"/>
        <v/>
      </c>
      <c r="M382" s="70"/>
      <c r="N382" s="68">
        <f t="shared" si="79"/>
        <v>0</v>
      </c>
      <c r="O382" s="77">
        <f>SUM(N373:N382)+SUM(J373:J382)+SUM(F373:F382)</f>
        <v>3477.5</v>
      </c>
      <c r="AB382" s="7" t="str">
        <f t="shared" si="81"/>
        <v>[]</v>
      </c>
      <c r="AC382" s="7" t="str">
        <f t="shared" si="82"/>
        <v>[(52341,30)]</v>
      </c>
    </row>
    <row r="383" spans="1:29" x14ac:dyDescent="0.15">
      <c r="A383" s="328">
        <v>81</v>
      </c>
      <c r="B383" s="328">
        <v>4</v>
      </c>
      <c r="C383" s="7"/>
      <c r="D383" s="7" t="str">
        <f t="shared" si="74"/>
        <v/>
      </c>
      <c r="E383" s="7"/>
      <c r="F383" s="68">
        <f t="shared" si="75"/>
        <v>0</v>
      </c>
      <c r="G383" s="7" t="s">
        <v>268</v>
      </c>
      <c r="H383" s="7" t="str">
        <f t="shared" si="76"/>
        <v>军费</v>
      </c>
      <c r="I383" s="7">
        <v>625</v>
      </c>
      <c r="J383" s="68">
        <f t="shared" si="77"/>
        <v>12.5</v>
      </c>
      <c r="K383" s="7"/>
      <c r="L383" s="7" t="str">
        <f t="shared" si="78"/>
        <v/>
      </c>
      <c r="M383" s="7"/>
      <c r="N383" s="68">
        <f t="shared" si="79"/>
        <v>0</v>
      </c>
      <c r="O383" s="76"/>
      <c r="AB383" s="7" t="str">
        <f t="shared" si="81"/>
        <v>[]</v>
      </c>
      <c r="AC383" s="7" t="str">
        <f t="shared" si="82"/>
        <v>[(102,625)]</v>
      </c>
    </row>
    <row r="384" spans="1:29" x14ac:dyDescent="0.15">
      <c r="A384" s="328">
        <v>82</v>
      </c>
      <c r="B384" s="328">
        <v>4</v>
      </c>
      <c r="C384" s="7"/>
      <c r="D384" s="7" t="str">
        <f t="shared" si="74"/>
        <v/>
      </c>
      <c r="E384" s="7"/>
      <c r="F384" s="68">
        <f t="shared" si="75"/>
        <v>0</v>
      </c>
      <c r="G384" s="7" t="s">
        <v>317</v>
      </c>
      <c r="H384" s="7" t="str">
        <f t="shared" si="76"/>
        <v>钻石</v>
      </c>
      <c r="I384" s="7">
        <v>100</v>
      </c>
      <c r="J384" s="68">
        <f t="shared" si="77"/>
        <v>100</v>
      </c>
      <c r="K384" s="7"/>
      <c r="L384" s="7" t="str">
        <f t="shared" si="78"/>
        <v/>
      </c>
      <c r="M384" s="7"/>
      <c r="N384" s="68">
        <f t="shared" si="79"/>
        <v>0</v>
      </c>
      <c r="O384" s="76"/>
      <c r="AB384" s="7" t="str">
        <f t="shared" si="81"/>
        <v>[]</v>
      </c>
      <c r="AC384" s="7" t="str">
        <f t="shared" si="82"/>
        <v>[(101,100)]</v>
      </c>
    </row>
    <row r="385" spans="1:29" x14ac:dyDescent="0.15">
      <c r="A385" s="328">
        <v>83</v>
      </c>
      <c r="B385" s="328">
        <v>4</v>
      </c>
      <c r="C385" s="7"/>
      <c r="D385" s="7" t="str">
        <f t="shared" si="74"/>
        <v/>
      </c>
      <c r="E385" s="7"/>
      <c r="F385" s="68">
        <f t="shared" si="75"/>
        <v>0</v>
      </c>
      <c r="G385" s="7" t="s">
        <v>273</v>
      </c>
      <c r="H385" s="7" t="str">
        <f t="shared" si="76"/>
        <v>钥匙</v>
      </c>
      <c r="I385" s="7">
        <v>30</v>
      </c>
      <c r="J385" s="68">
        <f t="shared" si="77"/>
        <v>25.000000000000021</v>
      </c>
      <c r="K385" s="7"/>
      <c r="L385" s="7" t="str">
        <f t="shared" si="78"/>
        <v/>
      </c>
      <c r="M385" s="7"/>
      <c r="N385" s="68">
        <f t="shared" si="79"/>
        <v>0</v>
      </c>
      <c r="O385" s="76"/>
      <c r="AB385" s="7" t="str">
        <f t="shared" si="81"/>
        <v>[]</v>
      </c>
      <c r="AC385" s="7" t="str">
        <f t="shared" si="82"/>
        <v>[(105,30)]</v>
      </c>
    </row>
    <row r="386" spans="1:29" x14ac:dyDescent="0.15">
      <c r="A386" s="328">
        <v>84</v>
      </c>
      <c r="B386" s="328">
        <v>4</v>
      </c>
      <c r="C386" s="7"/>
      <c r="D386" s="7" t="str">
        <f t="shared" si="74"/>
        <v/>
      </c>
      <c r="E386" s="7"/>
      <c r="F386" s="68">
        <f t="shared" si="75"/>
        <v>0</v>
      </c>
      <c r="G386" s="283" t="s">
        <v>4244</v>
      </c>
      <c r="H386" s="7" t="str">
        <f t="shared" si="76"/>
        <v>宝箱</v>
      </c>
      <c r="I386" s="7">
        <v>1</v>
      </c>
      <c r="J386" s="68">
        <f t="shared" si="77"/>
        <v>120</v>
      </c>
      <c r="K386" s="7"/>
      <c r="L386" s="7" t="str">
        <f t="shared" si="78"/>
        <v/>
      </c>
      <c r="M386" s="7"/>
      <c r="N386" s="68">
        <f t="shared" si="79"/>
        <v>0</v>
      </c>
      <c r="O386" s="76"/>
      <c r="AB386" s="7" t="str">
        <f t="shared" si="81"/>
        <v>[]</v>
      </c>
      <c r="AC386" s="7" t="str">
        <f t="shared" si="82"/>
        <v>[(40001,1)]</v>
      </c>
    </row>
    <row r="387" spans="1:29" x14ac:dyDescent="0.15">
      <c r="A387" s="328">
        <v>85</v>
      </c>
      <c r="B387" s="328">
        <v>4</v>
      </c>
      <c r="C387" s="7"/>
      <c r="D387" s="7" t="str">
        <f t="shared" ref="D387:D402" si="83">IF(C387="","",VLOOKUP(C387,$V:$X,3,FALSE))</f>
        <v/>
      </c>
      <c r="E387" s="7"/>
      <c r="F387" s="68">
        <f t="shared" ref="F387:F402" si="84">IF(C387="",0,VLOOKUP(C387,$V:$W,2,FALSE)*E387)</f>
        <v>0</v>
      </c>
      <c r="G387" s="7" t="s">
        <v>268</v>
      </c>
      <c r="H387" s="7" t="str">
        <f t="shared" ref="H387:H402" si="85">IF(G387="","",VLOOKUP(G387,$V:$X,3,FALSE))</f>
        <v>军费</v>
      </c>
      <c r="I387" s="7">
        <v>625</v>
      </c>
      <c r="J387" s="68">
        <f t="shared" ref="J387:J402" si="86">IF(G387="",0,VLOOKUP(G387,$V:$W,2,FALSE)*I387)</f>
        <v>12.5</v>
      </c>
      <c r="K387" s="7"/>
      <c r="L387" s="7" t="str">
        <f t="shared" ref="L387:L402" si="87">IF(K387="","",VLOOKUP(K387,$V:$X,3,FALSE))</f>
        <v/>
      </c>
      <c r="M387" s="7"/>
      <c r="N387" s="68">
        <f t="shared" ref="N387:N402" si="88">IF(K387="",0,VLOOKUP(K387,$V:$W,2,FALSE)*M387)</f>
        <v>0</v>
      </c>
      <c r="O387" s="76"/>
      <c r="AB387" s="7" t="str">
        <f t="shared" si="81"/>
        <v>[]</v>
      </c>
      <c r="AC387" s="7" t="str">
        <f t="shared" si="82"/>
        <v>[(102,625)]</v>
      </c>
    </row>
    <row r="388" spans="1:29" x14ac:dyDescent="0.15">
      <c r="A388" s="328">
        <v>86</v>
      </c>
      <c r="B388" s="328">
        <v>4</v>
      </c>
      <c r="C388" s="7"/>
      <c r="D388" s="7" t="str">
        <f t="shared" si="83"/>
        <v/>
      </c>
      <c r="E388" s="7"/>
      <c r="F388" s="68">
        <f t="shared" si="84"/>
        <v>0</v>
      </c>
      <c r="G388" s="283" t="s">
        <v>4258</v>
      </c>
      <c r="H388" s="7" t="str">
        <f t="shared" si="85"/>
        <v>贴花</v>
      </c>
      <c r="I388" s="7">
        <v>1</v>
      </c>
      <c r="J388" s="68">
        <f t="shared" si="86"/>
        <v>200</v>
      </c>
      <c r="K388" s="7"/>
      <c r="L388" s="7" t="str">
        <f t="shared" si="87"/>
        <v/>
      </c>
      <c r="M388" s="7"/>
      <c r="N388" s="68">
        <f t="shared" si="88"/>
        <v>0</v>
      </c>
      <c r="O388" s="76"/>
      <c r="AB388" s="7" t="str">
        <f t="shared" si="81"/>
        <v>[]</v>
      </c>
      <c r="AC388" s="7" t="str">
        <f t="shared" si="82"/>
        <v>[(280004,1)]</v>
      </c>
    </row>
    <row r="389" spans="1:29" x14ac:dyDescent="0.15">
      <c r="A389" s="328">
        <v>87</v>
      </c>
      <c r="B389" s="328">
        <v>4</v>
      </c>
      <c r="C389" s="7"/>
      <c r="D389" s="7" t="str">
        <f t="shared" si="83"/>
        <v/>
      </c>
      <c r="E389" s="7"/>
      <c r="F389" s="68">
        <f t="shared" si="84"/>
        <v>0</v>
      </c>
      <c r="G389" s="7" t="s">
        <v>317</v>
      </c>
      <c r="H389" s="7" t="str">
        <f t="shared" si="85"/>
        <v>钻石</v>
      </c>
      <c r="I389" s="7">
        <v>100</v>
      </c>
      <c r="J389" s="68">
        <f t="shared" si="86"/>
        <v>100</v>
      </c>
      <c r="K389" s="7"/>
      <c r="L389" s="7" t="str">
        <f t="shared" si="87"/>
        <v/>
      </c>
      <c r="M389" s="7"/>
      <c r="N389" s="68">
        <f t="shared" si="88"/>
        <v>0</v>
      </c>
      <c r="O389" s="76"/>
      <c r="AB389" s="7" t="str">
        <f t="shared" si="81"/>
        <v>[]</v>
      </c>
      <c r="AC389" s="7" t="str">
        <f t="shared" si="82"/>
        <v>[(101,100)]</v>
      </c>
    </row>
    <row r="390" spans="1:29" x14ac:dyDescent="0.15">
      <c r="A390" s="328">
        <v>88</v>
      </c>
      <c r="B390" s="328">
        <v>4</v>
      </c>
      <c r="C390" s="7"/>
      <c r="D390" s="7" t="str">
        <f t="shared" si="83"/>
        <v/>
      </c>
      <c r="E390" s="7"/>
      <c r="F390" s="68">
        <f t="shared" si="84"/>
        <v>0</v>
      </c>
      <c r="G390" s="283" t="s">
        <v>4254</v>
      </c>
      <c r="H390" s="7" t="str">
        <f t="shared" si="85"/>
        <v>新加速道具</v>
      </c>
      <c r="I390" s="7">
        <v>2</v>
      </c>
      <c r="J390" s="68">
        <f t="shared" si="86"/>
        <v>48</v>
      </c>
      <c r="K390" s="7"/>
      <c r="L390" s="7" t="str">
        <f t="shared" si="87"/>
        <v/>
      </c>
      <c r="M390" s="7"/>
      <c r="N390" s="68">
        <f t="shared" si="88"/>
        <v>0</v>
      </c>
      <c r="O390" s="76"/>
      <c r="AB390" s="7" t="str">
        <f t="shared" si="81"/>
        <v>[]</v>
      </c>
      <c r="AC390" s="7" t="str">
        <f t="shared" si="82"/>
        <v>[(100203,2)]</v>
      </c>
    </row>
    <row r="391" spans="1:29" x14ac:dyDescent="0.15">
      <c r="A391" s="328">
        <v>89</v>
      </c>
      <c r="B391" s="328">
        <v>4</v>
      </c>
      <c r="C391" s="7"/>
      <c r="D391" s="7" t="str">
        <f t="shared" si="83"/>
        <v/>
      </c>
      <c r="E391" s="7"/>
      <c r="F391" s="68">
        <f t="shared" si="84"/>
        <v>0</v>
      </c>
      <c r="G391" s="7" t="s">
        <v>2457</v>
      </c>
      <c r="H391" s="7" t="str">
        <f t="shared" si="85"/>
        <v>宝箱</v>
      </c>
      <c r="I391" s="7">
        <v>1</v>
      </c>
      <c r="J391" s="68">
        <f t="shared" si="86"/>
        <v>600</v>
      </c>
      <c r="K391" s="7"/>
      <c r="L391" s="7" t="str">
        <f t="shared" si="87"/>
        <v/>
      </c>
      <c r="M391" s="7"/>
      <c r="N391" s="68">
        <f t="shared" si="88"/>
        <v>0</v>
      </c>
      <c r="O391" s="76"/>
      <c r="AB391" s="7" t="str">
        <f t="shared" si="81"/>
        <v>[]</v>
      </c>
      <c r="AC391" s="7" t="str">
        <f t="shared" si="82"/>
        <v>[(25154,1)]</v>
      </c>
    </row>
    <row r="392" spans="1:29" x14ac:dyDescent="0.15">
      <c r="A392" s="328">
        <v>90</v>
      </c>
      <c r="B392" s="328">
        <v>4</v>
      </c>
      <c r="C392" s="70"/>
      <c r="D392" s="7" t="str">
        <f t="shared" si="83"/>
        <v/>
      </c>
      <c r="E392" s="70"/>
      <c r="F392" s="71">
        <f t="shared" si="84"/>
        <v>0</v>
      </c>
      <c r="G392" s="294" t="s">
        <v>4263</v>
      </c>
      <c r="H392" s="7" t="str">
        <f t="shared" si="85"/>
        <v>宝箱</v>
      </c>
      <c r="I392" s="70">
        <v>1</v>
      </c>
      <c r="J392" s="68">
        <f t="shared" si="86"/>
        <v>2000</v>
      </c>
      <c r="K392" s="294"/>
      <c r="L392" s="7" t="str">
        <f t="shared" si="87"/>
        <v/>
      </c>
      <c r="M392" s="70"/>
      <c r="N392" s="68">
        <f t="shared" si="88"/>
        <v>0</v>
      </c>
      <c r="O392" s="77">
        <f>SUM(N383:N392)+SUM(J383:J392)+SUM(F383:F392)</f>
        <v>3218</v>
      </c>
      <c r="AB392" s="7" t="str">
        <f t="shared" si="81"/>
        <v>[]</v>
      </c>
      <c r="AC392" s="7" t="str">
        <f t="shared" si="82"/>
        <v>[(25260,1)]</v>
      </c>
    </row>
    <row r="393" spans="1:29" x14ac:dyDescent="0.15">
      <c r="A393" s="328">
        <v>91</v>
      </c>
      <c r="B393" s="328">
        <v>4</v>
      </c>
      <c r="C393" s="7"/>
      <c r="D393" s="7" t="str">
        <f t="shared" si="83"/>
        <v/>
      </c>
      <c r="E393" s="7"/>
      <c r="F393" s="68">
        <f t="shared" si="84"/>
        <v>0</v>
      </c>
      <c r="G393" s="7" t="s">
        <v>2457</v>
      </c>
      <c r="H393" s="7" t="str">
        <f t="shared" si="85"/>
        <v>宝箱</v>
      </c>
      <c r="I393" s="7">
        <v>1</v>
      </c>
      <c r="J393" s="68">
        <f t="shared" si="86"/>
        <v>600</v>
      </c>
      <c r="K393" s="7"/>
      <c r="L393" s="7" t="str">
        <f t="shared" si="87"/>
        <v/>
      </c>
      <c r="M393" s="7"/>
      <c r="N393" s="68">
        <f t="shared" si="88"/>
        <v>0</v>
      </c>
      <c r="O393" s="76"/>
      <c r="AB393" s="7" t="str">
        <f t="shared" si="81"/>
        <v>[]</v>
      </c>
      <c r="AC393" s="7" t="str">
        <f t="shared" si="82"/>
        <v>[(25154,1)]</v>
      </c>
    </row>
    <row r="394" spans="1:29" x14ac:dyDescent="0.15">
      <c r="A394" s="328">
        <v>92</v>
      </c>
      <c r="B394" s="328">
        <v>4</v>
      </c>
      <c r="C394" s="7"/>
      <c r="D394" s="7" t="str">
        <f t="shared" si="83"/>
        <v/>
      </c>
      <c r="E394" s="7"/>
      <c r="F394" s="68">
        <f t="shared" si="84"/>
        <v>0</v>
      </c>
      <c r="G394" s="7" t="s">
        <v>268</v>
      </c>
      <c r="H394" s="7" t="str">
        <f t="shared" si="85"/>
        <v>军费</v>
      </c>
      <c r="I394" s="7">
        <v>625</v>
      </c>
      <c r="J394" s="68">
        <f t="shared" si="86"/>
        <v>12.5</v>
      </c>
      <c r="K394" s="7"/>
      <c r="L394" s="7" t="str">
        <f t="shared" si="87"/>
        <v/>
      </c>
      <c r="M394" s="7"/>
      <c r="N394" s="68">
        <f t="shared" si="88"/>
        <v>0</v>
      </c>
      <c r="O394" s="76"/>
      <c r="AB394" s="7" t="str">
        <f t="shared" si="81"/>
        <v>[]</v>
      </c>
      <c r="AC394" s="7" t="str">
        <f t="shared" si="82"/>
        <v>[(102,625)]</v>
      </c>
    </row>
    <row r="395" spans="1:29" x14ac:dyDescent="0.15">
      <c r="A395" s="328">
        <v>93</v>
      </c>
      <c r="B395" s="328">
        <v>4</v>
      </c>
      <c r="C395" s="7"/>
      <c r="D395" s="7" t="str">
        <f t="shared" si="83"/>
        <v/>
      </c>
      <c r="E395" s="69"/>
      <c r="F395" s="68">
        <f t="shared" si="84"/>
        <v>0</v>
      </c>
      <c r="G395" s="7" t="s">
        <v>4217</v>
      </c>
      <c r="H395" s="7" t="str">
        <f t="shared" si="85"/>
        <v>新加速道具</v>
      </c>
      <c r="I395" s="7">
        <v>20</v>
      </c>
      <c r="J395" s="68">
        <f t="shared" si="86"/>
        <v>80</v>
      </c>
      <c r="K395" s="7"/>
      <c r="L395" s="7" t="str">
        <f t="shared" si="87"/>
        <v/>
      </c>
      <c r="M395" s="7"/>
      <c r="N395" s="68">
        <f t="shared" si="88"/>
        <v>0</v>
      </c>
      <c r="O395" s="76"/>
      <c r="AB395" s="7" t="str">
        <f t="shared" si="81"/>
        <v>[]</v>
      </c>
      <c r="AC395" s="7" t="str">
        <f t="shared" si="82"/>
        <v>[(100202,20)]</v>
      </c>
    </row>
    <row r="396" spans="1:29" x14ac:dyDescent="0.15">
      <c r="A396" s="328">
        <v>94</v>
      </c>
      <c r="B396" s="328">
        <v>4</v>
      </c>
      <c r="C396" s="7"/>
      <c r="D396" s="7" t="str">
        <f t="shared" si="83"/>
        <v/>
      </c>
      <c r="E396" s="7"/>
      <c r="F396" s="68">
        <f t="shared" si="84"/>
        <v>0</v>
      </c>
      <c r="G396" s="283" t="s">
        <v>4249</v>
      </c>
      <c r="H396" s="7" t="str">
        <f t="shared" si="85"/>
        <v>宝箱</v>
      </c>
      <c r="I396" s="7">
        <v>1</v>
      </c>
      <c r="J396" s="68">
        <f t="shared" si="86"/>
        <v>300</v>
      </c>
      <c r="K396" s="7"/>
      <c r="L396" s="7" t="str">
        <f t="shared" si="87"/>
        <v/>
      </c>
      <c r="M396" s="7"/>
      <c r="N396" s="68">
        <f t="shared" si="88"/>
        <v>0</v>
      </c>
      <c r="O396" s="76"/>
      <c r="AB396" s="7" t="str">
        <f t="shared" si="81"/>
        <v>[]</v>
      </c>
      <c r="AC396" s="7" t="str">
        <f t="shared" si="82"/>
        <v>[(40007,1)]</v>
      </c>
    </row>
    <row r="397" spans="1:29" x14ac:dyDescent="0.15">
      <c r="A397" s="328">
        <v>95</v>
      </c>
      <c r="B397" s="328">
        <v>4</v>
      </c>
      <c r="C397" s="7"/>
      <c r="D397" s="7" t="str">
        <f t="shared" si="83"/>
        <v/>
      </c>
      <c r="E397" s="7"/>
      <c r="F397" s="68">
        <f t="shared" si="84"/>
        <v>0</v>
      </c>
      <c r="G397" s="7" t="s">
        <v>268</v>
      </c>
      <c r="H397" s="7" t="str">
        <f t="shared" si="85"/>
        <v>军费</v>
      </c>
      <c r="I397" s="7">
        <v>800</v>
      </c>
      <c r="J397" s="68">
        <f t="shared" si="86"/>
        <v>16</v>
      </c>
      <c r="K397" s="7"/>
      <c r="L397" s="7" t="str">
        <f t="shared" si="87"/>
        <v/>
      </c>
      <c r="M397" s="7"/>
      <c r="N397" s="68">
        <f t="shared" si="88"/>
        <v>0</v>
      </c>
      <c r="O397" s="76"/>
      <c r="AB397" s="7" t="str">
        <f t="shared" si="81"/>
        <v>[]</v>
      </c>
      <c r="AC397" s="7" t="str">
        <f t="shared" si="82"/>
        <v>[(102,800)]</v>
      </c>
    </row>
    <row r="398" spans="1:29" x14ac:dyDescent="0.15">
      <c r="A398" s="328">
        <v>96</v>
      </c>
      <c r="B398" s="328">
        <v>4</v>
      </c>
      <c r="C398" s="7"/>
      <c r="D398" s="7" t="str">
        <f t="shared" si="83"/>
        <v/>
      </c>
      <c r="E398" s="7"/>
      <c r="F398" s="68">
        <f t="shared" si="84"/>
        <v>0</v>
      </c>
      <c r="G398" s="7" t="s">
        <v>317</v>
      </c>
      <c r="H398" s="7" t="str">
        <f t="shared" si="85"/>
        <v>钻石</v>
      </c>
      <c r="I398" s="7">
        <v>150</v>
      </c>
      <c r="J398" s="68">
        <f t="shared" si="86"/>
        <v>150</v>
      </c>
      <c r="K398" s="7"/>
      <c r="L398" s="7" t="str">
        <f t="shared" si="87"/>
        <v/>
      </c>
      <c r="M398" s="7"/>
      <c r="N398" s="68">
        <f t="shared" si="88"/>
        <v>0</v>
      </c>
      <c r="O398" s="76"/>
      <c r="AB398" s="7" t="str">
        <f t="shared" si="81"/>
        <v>[]</v>
      </c>
      <c r="AC398" s="7" t="str">
        <f t="shared" si="82"/>
        <v>[(101,150)]</v>
      </c>
    </row>
    <row r="399" spans="1:29" x14ac:dyDescent="0.15">
      <c r="A399" s="328">
        <v>97</v>
      </c>
      <c r="B399" s="328">
        <v>4</v>
      </c>
      <c r="C399" s="7"/>
      <c r="D399" s="7" t="str">
        <f t="shared" si="83"/>
        <v/>
      </c>
      <c r="E399" s="7"/>
      <c r="F399" s="68">
        <f t="shared" si="84"/>
        <v>0</v>
      </c>
      <c r="G399" s="283" t="s">
        <v>4257</v>
      </c>
      <c r="H399" s="7" t="str">
        <f t="shared" si="85"/>
        <v>贴花</v>
      </c>
      <c r="I399" s="7">
        <v>1</v>
      </c>
      <c r="J399" s="68">
        <f t="shared" si="86"/>
        <v>200</v>
      </c>
      <c r="K399" s="7"/>
      <c r="L399" s="7" t="str">
        <f t="shared" si="87"/>
        <v/>
      </c>
      <c r="M399" s="7"/>
      <c r="N399" s="68">
        <f t="shared" si="88"/>
        <v>0</v>
      </c>
      <c r="O399" s="76"/>
      <c r="AB399" s="7" t="str">
        <f t="shared" si="81"/>
        <v>[]</v>
      </c>
      <c r="AC399" s="7" t="str">
        <f t="shared" si="82"/>
        <v>[(280003,1)]</v>
      </c>
    </row>
    <row r="400" spans="1:29" x14ac:dyDescent="0.15">
      <c r="A400" s="328">
        <v>98</v>
      </c>
      <c r="B400" s="328">
        <v>4</v>
      </c>
      <c r="C400" s="7"/>
      <c r="D400" s="7" t="str">
        <f t="shared" si="83"/>
        <v/>
      </c>
      <c r="E400" s="7"/>
      <c r="F400" s="68">
        <f t="shared" si="84"/>
        <v>0</v>
      </c>
      <c r="G400" s="7" t="s">
        <v>317</v>
      </c>
      <c r="H400" s="7" t="str">
        <f t="shared" si="85"/>
        <v>钻石</v>
      </c>
      <c r="I400" s="7">
        <v>150</v>
      </c>
      <c r="J400" s="68">
        <f t="shared" si="86"/>
        <v>150</v>
      </c>
      <c r="K400" s="7"/>
      <c r="L400" s="7" t="str">
        <f t="shared" si="87"/>
        <v/>
      </c>
      <c r="M400" s="7"/>
      <c r="N400" s="68">
        <f t="shared" si="88"/>
        <v>0</v>
      </c>
      <c r="O400" s="76"/>
      <c r="AB400" s="7" t="str">
        <f t="shared" si="81"/>
        <v>[]</v>
      </c>
      <c r="AC400" s="7" t="str">
        <f t="shared" si="82"/>
        <v>[(101,150)]</v>
      </c>
    </row>
    <row r="401" spans="1:29" x14ac:dyDescent="0.15">
      <c r="A401" s="328">
        <v>99</v>
      </c>
      <c r="B401" s="328">
        <v>4</v>
      </c>
      <c r="C401" s="7"/>
      <c r="D401" s="7" t="str">
        <f t="shared" si="83"/>
        <v/>
      </c>
      <c r="E401" s="69"/>
      <c r="F401" s="68">
        <f t="shared" si="84"/>
        <v>0</v>
      </c>
      <c r="G401" s="7" t="s">
        <v>2457</v>
      </c>
      <c r="H401" s="7" t="str">
        <f t="shared" si="85"/>
        <v>宝箱</v>
      </c>
      <c r="I401" s="7">
        <v>1</v>
      </c>
      <c r="J401" s="68">
        <f t="shared" si="86"/>
        <v>600</v>
      </c>
      <c r="K401" s="7"/>
      <c r="L401" s="7" t="str">
        <f t="shared" si="87"/>
        <v/>
      </c>
      <c r="M401" s="7"/>
      <c r="N401" s="68">
        <f t="shared" si="88"/>
        <v>0</v>
      </c>
      <c r="O401" s="76"/>
      <c r="AB401" s="7" t="str">
        <f t="shared" si="81"/>
        <v>[]</v>
      </c>
      <c r="AC401" s="7" t="str">
        <f t="shared" si="82"/>
        <v>[(25154,1)]</v>
      </c>
    </row>
    <row r="402" spans="1:29" x14ac:dyDescent="0.15">
      <c r="A402" s="328">
        <v>100</v>
      </c>
      <c r="B402" s="328">
        <v>4</v>
      </c>
      <c r="C402" s="70"/>
      <c r="D402" s="7" t="str">
        <f t="shared" si="83"/>
        <v/>
      </c>
      <c r="E402" s="94"/>
      <c r="F402" s="71">
        <f t="shared" si="84"/>
        <v>0</v>
      </c>
      <c r="G402" s="294" t="s">
        <v>4215</v>
      </c>
      <c r="H402" s="7" t="str">
        <f t="shared" si="85"/>
        <v>坦克碎片</v>
      </c>
      <c r="I402" s="70">
        <v>30</v>
      </c>
      <c r="J402" s="68">
        <f t="shared" si="86"/>
        <v>3000</v>
      </c>
      <c r="K402" s="294"/>
      <c r="L402" s="7" t="str">
        <f t="shared" si="87"/>
        <v/>
      </c>
      <c r="M402" s="70"/>
      <c r="N402" s="68">
        <f t="shared" si="88"/>
        <v>0</v>
      </c>
      <c r="O402" s="77">
        <f>SUM(N393:N402)+SUM(J393:J402)+SUM(F393:F402)</f>
        <v>5108.5</v>
      </c>
      <c r="AB402" s="7" t="str">
        <f t="shared" si="81"/>
        <v>[]</v>
      </c>
      <c r="AC402" s="7" t="str">
        <f t="shared" si="82"/>
        <v>[(52341,30)]</v>
      </c>
    </row>
    <row r="403" spans="1:29" x14ac:dyDescent="0.15">
      <c r="A403" s="328">
        <v>101</v>
      </c>
      <c r="B403" s="328">
        <v>4</v>
      </c>
      <c r="C403" s="7"/>
      <c r="D403" s="7" t="str">
        <f t="shared" ref="D403:D422" si="89">IF(C403="","",VLOOKUP(C403,$V:$X,3,FALSE))</f>
        <v/>
      </c>
      <c r="E403" s="7"/>
      <c r="F403" s="68">
        <f t="shared" ref="F403:F422" si="90">IF(C403="",0,VLOOKUP(C403,$V:$W,2,FALSE)*E403)</f>
        <v>0</v>
      </c>
      <c r="G403" s="283" t="s">
        <v>4245</v>
      </c>
      <c r="H403" s="7" t="str">
        <f t="shared" ref="H403:H422" si="91">IF(G403="","",VLOOKUP(G403,$V:$X,3,FALSE))</f>
        <v>军费</v>
      </c>
      <c r="I403" s="7">
        <v>1000</v>
      </c>
      <c r="J403" s="68">
        <f t="shared" ref="J403:J422" si="92">IF(G403="",0,VLOOKUP(G403,$V:$W,2,FALSE)*I403)</f>
        <v>20</v>
      </c>
      <c r="K403" s="7"/>
      <c r="L403" s="7" t="str">
        <f t="shared" ref="L403:L422" si="93">IF(K403="","",VLOOKUP(K403,$V:$X,3,FALSE))</f>
        <v/>
      </c>
      <c r="M403" s="7"/>
      <c r="N403" s="68">
        <f t="shared" ref="N403:N422" si="94">IF(K403="",0,VLOOKUP(K403,$V:$W,2,FALSE)*M403)</f>
        <v>0</v>
      </c>
      <c r="O403" s="76"/>
      <c r="AB403" s="7" t="str">
        <f t="shared" ref="AB403:AB422" si="95">IF(C403="","[]","["&amp;"("&amp;VLOOKUP(C403,道具ID,2,FALSE)&amp;","&amp;E403&amp;")"&amp;"]")</f>
        <v>[]</v>
      </c>
      <c r="AC403" s="7" t="str">
        <f t="shared" ref="AC403:AC422" si="96">IF(G403="","[]",IF(K403="","["&amp;"("&amp;VLOOKUP(G403,道具ID,2,FALSE)&amp;","&amp;I403&amp;")"&amp;"]","["&amp;"("&amp;VLOOKUP(G403,道具ID,2,FALSE)&amp;","&amp;I403&amp;")"&amp;","&amp;"("&amp;VLOOKUP(K403,道具ID,2,FALSE)&amp;","&amp;M403&amp;")"&amp;"]"))</f>
        <v>[(102,1000)]</v>
      </c>
    </row>
    <row r="404" spans="1:29" x14ac:dyDescent="0.15">
      <c r="A404" s="328">
        <v>102</v>
      </c>
      <c r="B404" s="328">
        <v>4</v>
      </c>
      <c r="C404" s="7"/>
      <c r="D404" s="7" t="str">
        <f t="shared" si="89"/>
        <v/>
      </c>
      <c r="E404" s="7"/>
      <c r="F404" s="68">
        <f t="shared" si="90"/>
        <v>0</v>
      </c>
      <c r="G404" s="283" t="s">
        <v>4244</v>
      </c>
      <c r="H404" s="7" t="str">
        <f t="shared" si="91"/>
        <v>宝箱</v>
      </c>
      <c r="I404" s="7">
        <v>1</v>
      </c>
      <c r="J404" s="68">
        <f t="shared" si="92"/>
        <v>120</v>
      </c>
      <c r="K404" s="7"/>
      <c r="L404" s="7" t="str">
        <f t="shared" si="93"/>
        <v/>
      </c>
      <c r="M404" s="7"/>
      <c r="N404" s="68">
        <f t="shared" si="94"/>
        <v>0</v>
      </c>
      <c r="O404" s="76"/>
      <c r="AB404" s="7" t="str">
        <f t="shared" si="95"/>
        <v>[]</v>
      </c>
      <c r="AC404" s="7" t="str">
        <f t="shared" si="96"/>
        <v>[(40001,1)]</v>
      </c>
    </row>
    <row r="405" spans="1:29" x14ac:dyDescent="0.15">
      <c r="A405" s="328">
        <v>103</v>
      </c>
      <c r="B405" s="328">
        <v>4</v>
      </c>
      <c r="C405" s="7"/>
      <c r="D405" s="7" t="str">
        <f t="shared" si="89"/>
        <v/>
      </c>
      <c r="E405" s="7"/>
      <c r="F405" s="68">
        <f t="shared" si="90"/>
        <v>0</v>
      </c>
      <c r="G405" s="283" t="s">
        <v>4254</v>
      </c>
      <c r="H405" s="7" t="str">
        <f t="shared" si="91"/>
        <v>新加速道具</v>
      </c>
      <c r="I405" s="7">
        <v>3</v>
      </c>
      <c r="J405" s="68">
        <f t="shared" si="92"/>
        <v>72</v>
      </c>
      <c r="K405" s="7"/>
      <c r="L405" s="7" t="str">
        <f t="shared" si="93"/>
        <v/>
      </c>
      <c r="M405" s="7"/>
      <c r="N405" s="68">
        <f t="shared" si="94"/>
        <v>0</v>
      </c>
      <c r="O405" s="76"/>
      <c r="AB405" s="7" t="str">
        <f t="shared" si="95"/>
        <v>[]</v>
      </c>
      <c r="AC405" s="7" t="str">
        <f t="shared" si="96"/>
        <v>[(100203,3)]</v>
      </c>
    </row>
    <row r="406" spans="1:29" x14ac:dyDescent="0.15">
      <c r="A406" s="328">
        <v>104</v>
      </c>
      <c r="B406" s="328">
        <v>4</v>
      </c>
      <c r="C406" s="7"/>
      <c r="D406" s="7" t="str">
        <f t="shared" si="89"/>
        <v/>
      </c>
      <c r="E406" s="7"/>
      <c r="F406" s="68">
        <f t="shared" si="90"/>
        <v>0</v>
      </c>
      <c r="G406" s="283" t="s">
        <v>4262</v>
      </c>
      <c r="H406" s="7" t="str">
        <f t="shared" si="91"/>
        <v>钻石</v>
      </c>
      <c r="I406" s="7">
        <v>200</v>
      </c>
      <c r="J406" s="68">
        <f t="shared" si="92"/>
        <v>200</v>
      </c>
      <c r="K406" s="7"/>
      <c r="L406" s="7" t="str">
        <f t="shared" si="93"/>
        <v/>
      </c>
      <c r="M406" s="7"/>
      <c r="N406" s="68">
        <f t="shared" si="94"/>
        <v>0</v>
      </c>
      <c r="O406" s="76"/>
      <c r="AB406" s="7" t="str">
        <f t="shared" si="95"/>
        <v>[]</v>
      </c>
      <c r="AC406" s="7" t="str">
        <f t="shared" si="96"/>
        <v>[(101,200)]</v>
      </c>
    </row>
    <row r="407" spans="1:29" x14ac:dyDescent="0.15">
      <c r="A407" s="328">
        <v>105</v>
      </c>
      <c r="B407" s="328">
        <v>4</v>
      </c>
      <c r="C407" s="7"/>
      <c r="D407" s="7" t="str">
        <f t="shared" si="89"/>
        <v/>
      </c>
      <c r="E407" s="7"/>
      <c r="F407" s="68">
        <f t="shared" si="90"/>
        <v>0</v>
      </c>
      <c r="G407" s="283" t="s">
        <v>4244</v>
      </c>
      <c r="H407" s="7" t="str">
        <f t="shared" si="91"/>
        <v>宝箱</v>
      </c>
      <c r="I407" s="7">
        <v>1</v>
      </c>
      <c r="J407" s="68">
        <f t="shared" si="92"/>
        <v>120</v>
      </c>
      <c r="K407" s="7"/>
      <c r="L407" s="7" t="str">
        <f t="shared" si="93"/>
        <v/>
      </c>
      <c r="M407" s="7"/>
      <c r="N407" s="68">
        <f t="shared" si="94"/>
        <v>0</v>
      </c>
      <c r="O407" s="76"/>
      <c r="AB407" s="7" t="str">
        <f t="shared" si="95"/>
        <v>[]</v>
      </c>
      <c r="AC407" s="7" t="str">
        <f t="shared" si="96"/>
        <v>[(40001,1)]</v>
      </c>
    </row>
    <row r="408" spans="1:29" x14ac:dyDescent="0.15">
      <c r="A408" s="328">
        <v>106</v>
      </c>
      <c r="B408" s="328">
        <v>4</v>
      </c>
      <c r="C408" s="7"/>
      <c r="D408" s="7" t="str">
        <f t="shared" si="89"/>
        <v/>
      </c>
      <c r="E408" s="69"/>
      <c r="F408" s="68">
        <f t="shared" si="90"/>
        <v>0</v>
      </c>
      <c r="G408" s="283" t="s">
        <v>4245</v>
      </c>
      <c r="H408" s="7" t="str">
        <f t="shared" si="91"/>
        <v>军费</v>
      </c>
      <c r="I408" s="7">
        <v>1000</v>
      </c>
      <c r="J408" s="68">
        <f t="shared" si="92"/>
        <v>20</v>
      </c>
      <c r="K408" s="7"/>
      <c r="L408" s="7" t="str">
        <f t="shared" si="93"/>
        <v/>
      </c>
      <c r="M408" s="7"/>
      <c r="N408" s="68">
        <f t="shared" si="94"/>
        <v>0</v>
      </c>
      <c r="O408" s="76"/>
      <c r="AB408" s="7" t="str">
        <f t="shared" si="95"/>
        <v>[]</v>
      </c>
      <c r="AC408" s="7" t="str">
        <f t="shared" si="96"/>
        <v>[(102,1000)]</v>
      </c>
    </row>
    <row r="409" spans="1:29" x14ac:dyDescent="0.15">
      <c r="A409" s="328">
        <v>107</v>
      </c>
      <c r="B409" s="328">
        <v>4</v>
      </c>
      <c r="C409" s="13"/>
      <c r="D409" s="13" t="str">
        <f t="shared" si="89"/>
        <v/>
      </c>
      <c r="E409" s="96"/>
      <c r="F409" s="342">
        <f t="shared" si="90"/>
        <v>0</v>
      </c>
      <c r="G409" s="284" t="s">
        <v>4258</v>
      </c>
      <c r="H409" s="13" t="str">
        <f t="shared" si="91"/>
        <v>贴花</v>
      </c>
      <c r="I409" s="13">
        <v>1</v>
      </c>
      <c r="J409" s="342">
        <f t="shared" si="92"/>
        <v>200</v>
      </c>
      <c r="K409" s="284"/>
      <c r="L409" s="13" t="str">
        <f t="shared" si="93"/>
        <v/>
      </c>
      <c r="M409" s="13"/>
      <c r="N409" s="342">
        <f t="shared" si="94"/>
        <v>0</v>
      </c>
      <c r="O409" s="95">
        <f t="shared" ref="O409" si="97">SUM(N400:N409)+SUM(J400:J409)+SUM(F400:F409)</f>
        <v>4502</v>
      </c>
      <c r="AB409" s="7" t="str">
        <f t="shared" si="95"/>
        <v>[]</v>
      </c>
      <c r="AC409" s="7" t="str">
        <f t="shared" si="96"/>
        <v>[(280004,1)]</v>
      </c>
    </row>
    <row r="410" spans="1:29" x14ac:dyDescent="0.15">
      <c r="A410" s="328">
        <v>108</v>
      </c>
      <c r="B410" s="328">
        <v>4</v>
      </c>
      <c r="C410" s="7"/>
      <c r="D410" s="7" t="str">
        <f t="shared" si="89"/>
        <v/>
      </c>
      <c r="E410" s="7"/>
      <c r="F410" s="68">
        <f t="shared" si="90"/>
        <v>0</v>
      </c>
      <c r="G410" s="283" t="s">
        <v>4249</v>
      </c>
      <c r="H410" s="7" t="str">
        <f t="shared" si="91"/>
        <v>宝箱</v>
      </c>
      <c r="I410" s="7">
        <v>1</v>
      </c>
      <c r="J410" s="68">
        <f t="shared" si="92"/>
        <v>300</v>
      </c>
      <c r="K410" s="7"/>
      <c r="L410" s="7" t="str">
        <f t="shared" si="93"/>
        <v/>
      </c>
      <c r="M410" s="7"/>
      <c r="N410" s="68">
        <f t="shared" si="94"/>
        <v>0</v>
      </c>
      <c r="O410" s="76"/>
      <c r="AB410" s="7" t="str">
        <f t="shared" si="95"/>
        <v>[]</v>
      </c>
      <c r="AC410" s="7" t="str">
        <f t="shared" si="96"/>
        <v>[(40007,1)]</v>
      </c>
    </row>
    <row r="411" spans="1:29" x14ac:dyDescent="0.15">
      <c r="A411" s="328">
        <v>109</v>
      </c>
      <c r="B411" s="328">
        <v>4</v>
      </c>
      <c r="C411" s="7"/>
      <c r="D411" s="7" t="str">
        <f t="shared" si="89"/>
        <v/>
      </c>
      <c r="E411" s="7"/>
      <c r="F411" s="68">
        <f t="shared" si="90"/>
        <v>0</v>
      </c>
      <c r="G411" s="283" t="s">
        <v>4255</v>
      </c>
      <c r="H411" s="7" t="str">
        <f t="shared" si="91"/>
        <v>部件</v>
      </c>
      <c r="I411" s="7">
        <v>2</v>
      </c>
      <c r="J411" s="68">
        <f t="shared" si="92"/>
        <v>400</v>
      </c>
      <c r="K411" s="7"/>
      <c r="L411" s="7" t="str">
        <f t="shared" si="93"/>
        <v/>
      </c>
      <c r="M411" s="7"/>
      <c r="N411" s="68">
        <f t="shared" si="94"/>
        <v>0</v>
      </c>
      <c r="O411" s="76"/>
      <c r="AB411" s="7" t="str">
        <f t="shared" si="95"/>
        <v>[]</v>
      </c>
      <c r="AC411" s="7" t="str">
        <f t="shared" si="96"/>
        <v>[(94101,2)]</v>
      </c>
    </row>
    <row r="412" spans="1:29" x14ac:dyDescent="0.15">
      <c r="A412" s="328">
        <v>110</v>
      </c>
      <c r="B412" s="328">
        <v>4</v>
      </c>
      <c r="C412" s="343"/>
      <c r="D412" s="343" t="str">
        <f t="shared" si="89"/>
        <v/>
      </c>
      <c r="E412" s="343"/>
      <c r="F412" s="344">
        <f t="shared" si="90"/>
        <v>0</v>
      </c>
      <c r="G412" s="345" t="s">
        <v>4260</v>
      </c>
      <c r="H412" s="343" t="str">
        <f t="shared" si="91"/>
        <v>贴花</v>
      </c>
      <c r="I412" s="343">
        <v>1</v>
      </c>
      <c r="J412" s="344">
        <f t="shared" si="92"/>
        <v>1000</v>
      </c>
      <c r="K412" s="343"/>
      <c r="L412" s="343" t="str">
        <f t="shared" si="93"/>
        <v/>
      </c>
      <c r="M412" s="343"/>
      <c r="N412" s="344">
        <f t="shared" si="94"/>
        <v>0</v>
      </c>
      <c r="O412" s="346"/>
      <c r="AB412" s="7" t="str">
        <f t="shared" si="95"/>
        <v>[]</v>
      </c>
      <c r="AC412" s="7" t="str">
        <f t="shared" si="96"/>
        <v>[(280005,1)]</v>
      </c>
    </row>
    <row r="413" spans="1:29" x14ac:dyDescent="0.15">
      <c r="A413" s="328">
        <v>111</v>
      </c>
      <c r="B413" s="328">
        <v>4</v>
      </c>
      <c r="C413" s="7"/>
      <c r="D413" s="7" t="str">
        <f t="shared" si="89"/>
        <v/>
      </c>
      <c r="E413" s="7"/>
      <c r="F413" s="68">
        <f t="shared" si="90"/>
        <v>0</v>
      </c>
      <c r="G413" s="283" t="s">
        <v>4224</v>
      </c>
      <c r="H413" s="7" t="str">
        <f t="shared" si="91"/>
        <v>部件</v>
      </c>
      <c r="I413" s="7">
        <v>2</v>
      </c>
      <c r="J413" s="68">
        <f t="shared" si="92"/>
        <v>400</v>
      </c>
      <c r="K413" s="7"/>
      <c r="L413" s="7" t="str">
        <f t="shared" si="93"/>
        <v/>
      </c>
      <c r="M413" s="7"/>
      <c r="N413" s="68">
        <f t="shared" si="94"/>
        <v>0</v>
      </c>
      <c r="O413" s="76"/>
      <c r="AB413" s="7" t="str">
        <f t="shared" si="95"/>
        <v>[]</v>
      </c>
      <c r="AC413" s="7" t="str">
        <f t="shared" si="96"/>
        <v>[(94102,2)]</v>
      </c>
    </row>
    <row r="414" spans="1:29" x14ac:dyDescent="0.15">
      <c r="A414" s="328">
        <v>112</v>
      </c>
      <c r="B414" s="328">
        <v>4</v>
      </c>
      <c r="C414" s="7"/>
      <c r="D414" s="7" t="str">
        <f t="shared" si="89"/>
        <v/>
      </c>
      <c r="E414" s="7"/>
      <c r="F414" s="68">
        <f t="shared" si="90"/>
        <v>0</v>
      </c>
      <c r="G414" s="283" t="s">
        <v>4245</v>
      </c>
      <c r="H414" s="7" t="str">
        <f t="shared" si="91"/>
        <v>军费</v>
      </c>
      <c r="I414" s="7">
        <v>1000</v>
      </c>
      <c r="J414" s="68">
        <f t="shared" si="92"/>
        <v>20</v>
      </c>
      <c r="K414" s="7"/>
      <c r="L414" s="7" t="str">
        <f t="shared" si="93"/>
        <v/>
      </c>
      <c r="M414" s="7"/>
      <c r="N414" s="68">
        <f t="shared" si="94"/>
        <v>0</v>
      </c>
      <c r="O414" s="76"/>
      <c r="AB414" s="7" t="str">
        <f t="shared" si="95"/>
        <v>[]</v>
      </c>
      <c r="AC414" s="7" t="str">
        <f t="shared" si="96"/>
        <v>[(102,1000)]</v>
      </c>
    </row>
    <row r="415" spans="1:29" x14ac:dyDescent="0.15">
      <c r="A415" s="328">
        <v>113</v>
      </c>
      <c r="B415" s="328">
        <v>4</v>
      </c>
      <c r="C415" s="7"/>
      <c r="D415" s="7" t="str">
        <f t="shared" si="89"/>
        <v/>
      </c>
      <c r="E415" s="69"/>
      <c r="F415" s="68">
        <f t="shared" si="90"/>
        <v>0</v>
      </c>
      <c r="G415" s="283" t="s">
        <v>4244</v>
      </c>
      <c r="H415" s="7" t="str">
        <f t="shared" si="91"/>
        <v>宝箱</v>
      </c>
      <c r="I415" s="7">
        <v>1</v>
      </c>
      <c r="J415" s="68">
        <f t="shared" si="92"/>
        <v>120</v>
      </c>
      <c r="K415" s="7"/>
      <c r="L415" s="7" t="str">
        <f t="shared" si="93"/>
        <v/>
      </c>
      <c r="M415" s="7"/>
      <c r="N415" s="68">
        <f t="shared" si="94"/>
        <v>0</v>
      </c>
      <c r="O415" s="76"/>
      <c r="AB415" s="7" t="str">
        <f t="shared" si="95"/>
        <v>[]</v>
      </c>
      <c r="AC415" s="7" t="str">
        <f t="shared" si="96"/>
        <v>[(40001,1)]</v>
      </c>
    </row>
    <row r="416" spans="1:29" x14ac:dyDescent="0.15">
      <c r="A416" s="328">
        <v>114</v>
      </c>
      <c r="B416" s="328">
        <v>4</v>
      </c>
      <c r="C416" s="13"/>
      <c r="D416" s="13" t="str">
        <f t="shared" si="89"/>
        <v/>
      </c>
      <c r="E416" s="96"/>
      <c r="F416" s="342">
        <f t="shared" si="90"/>
        <v>0</v>
      </c>
      <c r="G416" s="284" t="s">
        <v>4254</v>
      </c>
      <c r="H416" s="13" t="str">
        <f t="shared" si="91"/>
        <v>新加速道具</v>
      </c>
      <c r="I416" s="13">
        <v>5</v>
      </c>
      <c r="J416" s="342">
        <f t="shared" si="92"/>
        <v>120</v>
      </c>
      <c r="K416" s="284"/>
      <c r="L416" s="13" t="str">
        <f t="shared" si="93"/>
        <v/>
      </c>
      <c r="M416" s="13"/>
      <c r="N416" s="342">
        <f t="shared" si="94"/>
        <v>0</v>
      </c>
      <c r="O416" s="95">
        <f t="shared" ref="O416" si="98">SUM(N407:N416)+SUM(J407:J416)+SUM(F407:F416)</f>
        <v>2700</v>
      </c>
      <c r="AB416" s="7" t="str">
        <f t="shared" si="95"/>
        <v>[]</v>
      </c>
      <c r="AC416" s="7" t="str">
        <f t="shared" si="96"/>
        <v>[(100203,5)]</v>
      </c>
    </row>
    <row r="417" spans="1:29" x14ac:dyDescent="0.15">
      <c r="A417" s="328">
        <v>115</v>
      </c>
      <c r="B417" s="328">
        <v>4</v>
      </c>
      <c r="C417" s="7"/>
      <c r="D417" s="7" t="str">
        <f t="shared" si="89"/>
        <v/>
      </c>
      <c r="E417" s="7"/>
      <c r="F417" s="68">
        <f t="shared" si="90"/>
        <v>0</v>
      </c>
      <c r="G417" s="283" t="s">
        <v>4244</v>
      </c>
      <c r="H417" s="7" t="str">
        <f t="shared" si="91"/>
        <v>宝箱</v>
      </c>
      <c r="I417" s="7">
        <v>1</v>
      </c>
      <c r="J417" s="68">
        <f t="shared" si="92"/>
        <v>120</v>
      </c>
      <c r="K417" s="7"/>
      <c r="L417" s="7" t="str">
        <f t="shared" si="93"/>
        <v/>
      </c>
      <c r="M417" s="7"/>
      <c r="N417" s="68">
        <f t="shared" si="94"/>
        <v>0</v>
      </c>
      <c r="O417" s="76"/>
      <c r="AB417" s="7" t="str">
        <f t="shared" si="95"/>
        <v>[]</v>
      </c>
      <c r="AC417" s="7" t="str">
        <f t="shared" si="96"/>
        <v>[(40001,1)]</v>
      </c>
    </row>
    <row r="418" spans="1:29" x14ac:dyDescent="0.15">
      <c r="A418" s="328">
        <v>116</v>
      </c>
      <c r="B418" s="328">
        <v>4</v>
      </c>
      <c r="C418" s="7"/>
      <c r="D418" s="7" t="str">
        <f t="shared" si="89"/>
        <v/>
      </c>
      <c r="E418" s="7"/>
      <c r="F418" s="68">
        <f t="shared" si="90"/>
        <v>0</v>
      </c>
      <c r="G418" s="283" t="s">
        <v>4249</v>
      </c>
      <c r="H418" s="7" t="str">
        <f t="shared" si="91"/>
        <v>宝箱</v>
      </c>
      <c r="I418" s="7">
        <v>1</v>
      </c>
      <c r="J418" s="68">
        <f t="shared" si="92"/>
        <v>300</v>
      </c>
      <c r="K418" s="7"/>
      <c r="L418" s="7" t="str">
        <f t="shared" si="93"/>
        <v/>
      </c>
      <c r="M418" s="7"/>
      <c r="N418" s="68">
        <f t="shared" si="94"/>
        <v>0</v>
      </c>
      <c r="O418" s="76"/>
      <c r="AB418" s="7" t="str">
        <f t="shared" si="95"/>
        <v>[]</v>
      </c>
      <c r="AC418" s="7" t="str">
        <f t="shared" si="96"/>
        <v>[(40007,1)]</v>
      </c>
    </row>
    <row r="419" spans="1:29" x14ac:dyDescent="0.15">
      <c r="A419" s="328">
        <v>117</v>
      </c>
      <c r="B419" s="328">
        <v>4</v>
      </c>
      <c r="C419" s="7"/>
      <c r="D419" s="7" t="str">
        <f t="shared" si="89"/>
        <v/>
      </c>
      <c r="E419" s="7"/>
      <c r="F419" s="68">
        <f t="shared" si="90"/>
        <v>0</v>
      </c>
      <c r="G419" s="283" t="s">
        <v>4257</v>
      </c>
      <c r="H419" s="7" t="str">
        <f t="shared" si="91"/>
        <v>贴花</v>
      </c>
      <c r="I419" s="7">
        <v>1</v>
      </c>
      <c r="J419" s="68">
        <f t="shared" si="92"/>
        <v>200</v>
      </c>
      <c r="K419" s="7"/>
      <c r="L419" s="7" t="str">
        <f t="shared" si="93"/>
        <v/>
      </c>
      <c r="M419" s="7"/>
      <c r="N419" s="68">
        <f t="shared" si="94"/>
        <v>0</v>
      </c>
      <c r="O419" s="76"/>
      <c r="AB419" s="7" t="str">
        <f t="shared" si="95"/>
        <v>[]</v>
      </c>
      <c r="AC419" s="7" t="str">
        <f t="shared" si="96"/>
        <v>[(280003,1)]</v>
      </c>
    </row>
    <row r="420" spans="1:29" x14ac:dyDescent="0.15">
      <c r="A420" s="328">
        <v>118</v>
      </c>
      <c r="B420" s="328">
        <v>4</v>
      </c>
      <c r="C420" s="7"/>
      <c r="D420" s="7" t="str">
        <f t="shared" si="89"/>
        <v/>
      </c>
      <c r="E420" s="7"/>
      <c r="F420" s="68">
        <f t="shared" si="90"/>
        <v>0</v>
      </c>
      <c r="G420" s="283" t="s">
        <v>4245</v>
      </c>
      <c r="H420" s="7" t="str">
        <f t="shared" si="91"/>
        <v>军费</v>
      </c>
      <c r="I420" s="7">
        <v>1000</v>
      </c>
      <c r="J420" s="68">
        <f t="shared" si="92"/>
        <v>20</v>
      </c>
      <c r="K420" s="7"/>
      <c r="L420" s="7" t="str">
        <f t="shared" si="93"/>
        <v/>
      </c>
      <c r="M420" s="7"/>
      <c r="N420" s="68">
        <f t="shared" si="94"/>
        <v>0</v>
      </c>
      <c r="O420" s="76"/>
      <c r="AB420" s="7" t="str">
        <f t="shared" si="95"/>
        <v>[]</v>
      </c>
      <c r="AC420" s="7" t="str">
        <f t="shared" si="96"/>
        <v>[(102,1000)]</v>
      </c>
    </row>
    <row r="421" spans="1:29" x14ac:dyDescent="0.15">
      <c r="A421" s="328">
        <v>119</v>
      </c>
      <c r="B421" s="328">
        <v>4</v>
      </c>
      <c r="C421" s="7"/>
      <c r="D421" s="7" t="str">
        <f t="shared" si="89"/>
        <v/>
      </c>
      <c r="E421" s="7"/>
      <c r="F421" s="68">
        <f t="shared" si="90"/>
        <v>0</v>
      </c>
      <c r="G421" s="283" t="s">
        <v>4262</v>
      </c>
      <c r="H421" s="7" t="str">
        <f t="shared" si="91"/>
        <v>钻石</v>
      </c>
      <c r="I421" s="7">
        <v>200</v>
      </c>
      <c r="J421" s="68">
        <f t="shared" si="92"/>
        <v>200</v>
      </c>
      <c r="K421" s="7"/>
      <c r="L421" s="7" t="str">
        <f t="shared" si="93"/>
        <v/>
      </c>
      <c r="M421" s="7"/>
      <c r="N421" s="68">
        <f t="shared" si="94"/>
        <v>0</v>
      </c>
      <c r="O421" s="76"/>
      <c r="AB421" s="7" t="str">
        <f t="shared" si="95"/>
        <v>[]</v>
      </c>
      <c r="AC421" s="7" t="str">
        <f t="shared" si="96"/>
        <v>[(101,200)]</v>
      </c>
    </row>
    <row r="422" spans="1:29" x14ac:dyDescent="0.15">
      <c r="A422" s="328">
        <v>120</v>
      </c>
      <c r="B422" s="328">
        <v>4</v>
      </c>
      <c r="C422" s="343"/>
      <c r="D422" s="343" t="str">
        <f t="shared" si="89"/>
        <v/>
      </c>
      <c r="E422" s="347"/>
      <c r="F422" s="344">
        <f t="shared" si="90"/>
        <v>0</v>
      </c>
      <c r="G422" s="345" t="s">
        <v>4261</v>
      </c>
      <c r="H422" s="343" t="str">
        <f t="shared" si="91"/>
        <v>贴花</v>
      </c>
      <c r="I422" s="343">
        <v>1</v>
      </c>
      <c r="J422" s="344">
        <f t="shared" si="92"/>
        <v>1000</v>
      </c>
      <c r="K422" s="343"/>
      <c r="L422" s="343" t="str">
        <f t="shared" si="93"/>
        <v/>
      </c>
      <c r="M422" s="343"/>
      <c r="N422" s="344">
        <f t="shared" si="94"/>
        <v>0</v>
      </c>
      <c r="O422" s="346"/>
      <c r="AB422" s="7" t="str">
        <f t="shared" si="95"/>
        <v>[]</v>
      </c>
      <c r="AC422" s="7" t="str">
        <f t="shared" si="96"/>
        <v>[(280006,1)]</v>
      </c>
    </row>
  </sheetData>
  <phoneticPr fontId="32" type="noConversion"/>
  <conditionalFormatting sqref="G3:G102">
    <cfRule type="containsBlanks" dxfId="10" priority="24">
      <formula>LEN(TRIM(G3))=0</formula>
    </cfRule>
    <cfRule type="cellIs" dxfId="9" priority="25" operator="equal">
      <formula>""""""</formula>
    </cfRule>
  </conditionalFormatting>
  <conditionalFormatting sqref="G103:G202">
    <cfRule type="containsBlanks" dxfId="8" priority="12">
      <formula>LEN(TRIM(G103))=0</formula>
    </cfRule>
    <cfRule type="cellIs" dxfId="7" priority="13" operator="equal">
      <formula>""""""</formula>
    </cfRule>
  </conditionalFormatting>
  <conditionalFormatting sqref="R31:R44">
    <cfRule type="dataBar" priority="23">
      <dataBar>
        <cfvo type="min"/>
        <cfvo type="max"/>
        <color rgb="FFFFB628"/>
      </dataBar>
      <extLst>
        <ext xmlns:x14="http://schemas.microsoft.com/office/spreadsheetml/2009/9/main" uri="{B025F937-C7B1-47D3-B67F-A62EFF666E3E}">
          <x14:id>{DFA4E158-FB91-4807-AA79-42E44494923E}</x14:id>
        </ext>
      </extLst>
    </cfRule>
  </conditionalFormatting>
  <conditionalFormatting sqref="R131:R146">
    <cfRule type="dataBar" priority="29">
      <dataBar>
        <cfvo type="min"/>
        <cfvo type="max"/>
        <color rgb="FFFFB628"/>
      </dataBar>
      <extLst>
        <ext xmlns:x14="http://schemas.microsoft.com/office/spreadsheetml/2009/9/main" uri="{B025F937-C7B1-47D3-B67F-A62EFF666E3E}">
          <x14:id>{CA3A1A18-24F9-463B-9664-25CFB8576775}</x14:id>
        </ext>
      </extLst>
    </cfRule>
  </conditionalFormatting>
  <conditionalFormatting sqref="Y3:Y160">
    <cfRule type="cellIs" dxfId="6" priority="16" operator="equal">
      <formula>0</formula>
    </cfRule>
  </conditionalFormatting>
  <conditionalFormatting sqref="Q46:R47">
    <cfRule type="dataBar" priority="22">
      <dataBar>
        <cfvo type="min"/>
        <cfvo type="max"/>
        <color rgb="FFFF555A"/>
      </dataBar>
      <extLst>
        <ext xmlns:x14="http://schemas.microsoft.com/office/spreadsheetml/2009/9/main" uri="{B025F937-C7B1-47D3-B67F-A62EFF666E3E}">
          <x14:id>{53179EBE-FF5F-4944-98A6-6E9E8EE1DAC7}</x14:id>
        </ext>
      </extLst>
    </cfRule>
  </conditionalFormatting>
  <conditionalFormatting sqref="Q148:R149">
    <cfRule type="dataBar" priority="14">
      <dataBar>
        <cfvo type="min"/>
        <cfvo type="max"/>
        <color rgb="FFFF555A"/>
      </dataBar>
      <extLst>
        <ext xmlns:x14="http://schemas.microsoft.com/office/spreadsheetml/2009/9/main" uri="{B025F937-C7B1-47D3-B67F-A62EFF666E3E}">
          <x14:id>{1F6504D7-0265-4738-9CC6-D3AACEE43470}</x14:id>
        </ext>
      </extLst>
    </cfRule>
  </conditionalFormatting>
  <conditionalFormatting sqref="G203:G302">
    <cfRule type="containsBlanks" dxfId="5" priority="10">
      <formula>LEN(TRIM(G203))=0</formula>
    </cfRule>
    <cfRule type="cellIs" dxfId="4" priority="11" operator="equal">
      <formula>""""""</formula>
    </cfRule>
  </conditionalFormatting>
  <conditionalFormatting sqref="R231:R246">
    <cfRule type="dataBar" priority="9">
      <dataBar>
        <cfvo type="min"/>
        <cfvo type="max"/>
        <color rgb="FFFFB628"/>
      </dataBar>
      <extLst>
        <ext xmlns:x14="http://schemas.microsoft.com/office/spreadsheetml/2009/9/main" uri="{B025F937-C7B1-47D3-B67F-A62EFF666E3E}">
          <x14:id>{56A5C217-4E7B-449F-A095-0C68697932D0}</x14:id>
        </ext>
      </extLst>
    </cfRule>
  </conditionalFormatting>
  <conditionalFormatting sqref="Q248:R249">
    <cfRule type="dataBar" priority="8">
      <dataBar>
        <cfvo type="min"/>
        <cfvo type="max"/>
        <color rgb="FFFF555A"/>
      </dataBar>
      <extLst>
        <ext xmlns:x14="http://schemas.microsoft.com/office/spreadsheetml/2009/9/main" uri="{B025F937-C7B1-47D3-B67F-A62EFF666E3E}">
          <x14:id>{D7EF3BA9-0F85-4F93-B925-AEB2CCBAC44C}</x14:id>
        </ext>
      </extLst>
    </cfRule>
  </conditionalFormatting>
  <conditionalFormatting sqref="R331:R346">
    <cfRule type="dataBar" priority="5">
      <dataBar>
        <cfvo type="min"/>
        <cfvo type="max"/>
        <color rgb="FFFFB628"/>
      </dataBar>
      <extLst>
        <ext xmlns:x14="http://schemas.microsoft.com/office/spreadsheetml/2009/9/main" uri="{B025F937-C7B1-47D3-B67F-A62EFF666E3E}">
          <x14:id>{37767104-5F6F-4228-B412-792C944CDF36}</x14:id>
        </ext>
      </extLst>
    </cfRule>
  </conditionalFormatting>
  <conditionalFormatting sqref="Q348:R349">
    <cfRule type="dataBar" priority="4">
      <dataBar>
        <cfvo type="min"/>
        <cfvo type="max"/>
        <color rgb="FFFF555A"/>
      </dataBar>
      <extLst>
        <ext xmlns:x14="http://schemas.microsoft.com/office/spreadsheetml/2009/9/main" uri="{B025F937-C7B1-47D3-B67F-A62EFF666E3E}">
          <x14:id>{2C1CFBF0-2F7D-4524-9A9D-886D1F2E1A3D}</x14:id>
        </ext>
      </extLst>
    </cfRule>
  </conditionalFormatting>
  <conditionalFormatting sqref="G303:G422">
    <cfRule type="containsBlanks" dxfId="3" priority="2">
      <formula>LEN(TRIM(G303))=0</formula>
    </cfRule>
    <cfRule type="cellIs" dxfId="2" priority="3" operator="equal">
      <formula>""""""</formula>
    </cfRule>
  </conditionalFormatting>
  <conditionalFormatting sqref="J303:J422">
    <cfRule type="dataBar" priority="1">
      <dataBar>
        <cfvo type="min"/>
        <cfvo type="max"/>
        <color rgb="FFFFB628"/>
      </dataBar>
      <extLst>
        <ext xmlns:x14="http://schemas.microsoft.com/office/spreadsheetml/2009/9/main" uri="{B025F937-C7B1-47D3-B67F-A62EFF666E3E}">
          <x14:id>{39177743-B9C3-4093-B8F3-8D47A086615E}</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DFA4E158-FB91-4807-AA79-42E44494923E}">
            <x14:dataBar minLength="0" maxLength="100" gradient="0">
              <x14:cfvo type="autoMin"/>
              <x14:cfvo type="autoMax"/>
              <x14:negativeFillColor rgb="FFFF0000"/>
              <x14:axisColor rgb="FF000000"/>
            </x14:dataBar>
          </x14:cfRule>
          <xm:sqref>R31:R44</xm:sqref>
        </x14:conditionalFormatting>
        <x14:conditionalFormatting xmlns:xm="http://schemas.microsoft.com/office/excel/2006/main">
          <x14:cfRule type="dataBar" id="{CA3A1A18-24F9-463B-9664-25CFB8576775}">
            <x14:dataBar minLength="0" maxLength="100" gradient="0">
              <x14:cfvo type="autoMin"/>
              <x14:cfvo type="autoMax"/>
              <x14:negativeFillColor rgb="FFFF0000"/>
              <x14:axisColor rgb="FF000000"/>
            </x14:dataBar>
          </x14:cfRule>
          <xm:sqref>R131:R146</xm:sqref>
        </x14:conditionalFormatting>
        <x14:conditionalFormatting xmlns:xm="http://schemas.microsoft.com/office/excel/2006/main">
          <x14:cfRule type="dataBar" id="{53179EBE-FF5F-4944-98A6-6E9E8EE1DAC7}">
            <x14:dataBar minLength="0" maxLength="100" gradient="0">
              <x14:cfvo type="autoMin"/>
              <x14:cfvo type="autoMax"/>
              <x14:negativeFillColor rgb="FFFF0000"/>
              <x14:axisColor rgb="FF000000"/>
            </x14:dataBar>
          </x14:cfRule>
          <xm:sqref>Q46:R47</xm:sqref>
        </x14:conditionalFormatting>
        <x14:conditionalFormatting xmlns:xm="http://schemas.microsoft.com/office/excel/2006/main">
          <x14:cfRule type="dataBar" id="{1F6504D7-0265-4738-9CC6-D3AACEE43470}">
            <x14:dataBar minLength="0" maxLength="100" gradient="0">
              <x14:cfvo type="autoMin"/>
              <x14:cfvo type="autoMax"/>
              <x14:negativeFillColor rgb="FFFF0000"/>
              <x14:axisColor rgb="FF000000"/>
            </x14:dataBar>
          </x14:cfRule>
          <xm:sqref>Q148:R149</xm:sqref>
        </x14:conditionalFormatting>
        <x14:conditionalFormatting xmlns:xm="http://schemas.microsoft.com/office/excel/2006/main">
          <x14:cfRule type="dataBar" id="{56A5C217-4E7B-449F-A095-0C68697932D0}">
            <x14:dataBar minLength="0" maxLength="100" gradient="0">
              <x14:cfvo type="autoMin"/>
              <x14:cfvo type="autoMax"/>
              <x14:negativeFillColor rgb="FFFF0000"/>
              <x14:axisColor rgb="FF000000"/>
            </x14:dataBar>
          </x14:cfRule>
          <xm:sqref>R231:R246</xm:sqref>
        </x14:conditionalFormatting>
        <x14:conditionalFormatting xmlns:xm="http://schemas.microsoft.com/office/excel/2006/main">
          <x14:cfRule type="dataBar" id="{D7EF3BA9-0F85-4F93-B925-AEB2CCBAC44C}">
            <x14:dataBar minLength="0" maxLength="100" gradient="0">
              <x14:cfvo type="autoMin"/>
              <x14:cfvo type="autoMax"/>
              <x14:negativeFillColor rgb="FFFF0000"/>
              <x14:axisColor rgb="FF000000"/>
            </x14:dataBar>
          </x14:cfRule>
          <xm:sqref>Q248:R249</xm:sqref>
        </x14:conditionalFormatting>
        <x14:conditionalFormatting xmlns:xm="http://schemas.microsoft.com/office/excel/2006/main">
          <x14:cfRule type="dataBar" id="{37767104-5F6F-4228-B412-792C944CDF36}">
            <x14:dataBar minLength="0" maxLength="100" gradient="0">
              <x14:cfvo type="autoMin"/>
              <x14:cfvo type="autoMax"/>
              <x14:negativeFillColor rgb="FFFF0000"/>
              <x14:axisColor rgb="FF000000"/>
            </x14:dataBar>
          </x14:cfRule>
          <xm:sqref>R331:R346</xm:sqref>
        </x14:conditionalFormatting>
        <x14:conditionalFormatting xmlns:xm="http://schemas.microsoft.com/office/excel/2006/main">
          <x14:cfRule type="dataBar" id="{2C1CFBF0-2F7D-4524-9A9D-886D1F2E1A3D}">
            <x14:dataBar minLength="0" maxLength="100" gradient="0">
              <x14:cfvo type="autoMin"/>
              <x14:cfvo type="autoMax"/>
              <x14:negativeFillColor rgb="FFFF0000"/>
              <x14:axisColor rgb="FF000000"/>
            </x14:dataBar>
          </x14:cfRule>
          <xm:sqref>Q348:R349</xm:sqref>
        </x14:conditionalFormatting>
        <x14:conditionalFormatting xmlns:xm="http://schemas.microsoft.com/office/excel/2006/main">
          <x14:cfRule type="dataBar" id="{39177743-B9C3-4093-B8F3-8D47A086615E}">
            <x14:dataBar minLength="0" maxLength="100" gradient="0">
              <x14:cfvo type="autoMin"/>
              <x14:cfvo type="autoMax"/>
              <x14:negativeFillColor rgb="FFFF0000"/>
              <x14:axisColor rgb="FF000000"/>
            </x14:dataBar>
          </x14:cfRule>
          <xm:sqref>J303:J422</xm:sqref>
        </x14:conditionalFormatting>
      </x14:conditionalFormattings>
    </ext>
  </extLs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907F42-3B7C-4CEC-8E51-EEE01A121319}">
  <dimension ref="A1:E6"/>
  <sheetViews>
    <sheetView workbookViewId="0">
      <selection sqref="A1:E9"/>
    </sheetView>
  </sheetViews>
  <sheetFormatPr defaultRowHeight="13.5" x14ac:dyDescent="0.15"/>
  <cols>
    <col min="1" max="1" width="17.5" bestFit="1" customWidth="1"/>
    <col min="2" max="2" width="10.5" customWidth="1"/>
    <col min="3" max="3" width="3.75" customWidth="1"/>
    <col min="4" max="4" width="16.25" bestFit="1" customWidth="1"/>
  </cols>
  <sheetData>
    <row r="1" spans="1:5" x14ac:dyDescent="0.15">
      <c r="A1" s="283" t="s">
        <v>4128</v>
      </c>
      <c r="B1" s="7">
        <v>1.5</v>
      </c>
      <c r="D1" s="283" t="s">
        <v>4132</v>
      </c>
      <c r="E1" s="20">
        <f>B4*B2/(B1*B5)</f>
        <v>66.666666666666671</v>
      </c>
    </row>
    <row r="2" spans="1:5" x14ac:dyDescent="0.15">
      <c r="A2" s="283" t="s">
        <v>4129</v>
      </c>
      <c r="B2" s="7">
        <v>10</v>
      </c>
      <c r="D2" s="283" t="s">
        <v>4135</v>
      </c>
      <c r="E2" s="20">
        <f>B4*B2/(B3*B6)</f>
        <v>6.666666666666667</v>
      </c>
    </row>
    <row r="3" spans="1:5" x14ac:dyDescent="0.15">
      <c r="A3" s="283" t="s">
        <v>4130</v>
      </c>
      <c r="B3" s="7">
        <v>3</v>
      </c>
    </row>
    <row r="4" spans="1:5" x14ac:dyDescent="0.15">
      <c r="A4" s="283" t="s">
        <v>4131</v>
      </c>
      <c r="B4" s="7">
        <v>100</v>
      </c>
    </row>
    <row r="5" spans="1:5" x14ac:dyDescent="0.15">
      <c r="A5" s="283" t="s">
        <v>4133</v>
      </c>
      <c r="B5" s="7">
        <v>10</v>
      </c>
    </row>
    <row r="6" spans="1:5" x14ac:dyDescent="0.15">
      <c r="A6" s="283" t="s">
        <v>4134</v>
      </c>
      <c r="B6" s="7">
        <v>50</v>
      </c>
    </row>
  </sheetData>
  <phoneticPr fontId="32" type="noConversion"/>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31"/>
  <dimension ref="A1:AZ315"/>
  <sheetViews>
    <sheetView workbookViewId="0">
      <pane xSplit="2" ySplit="2" topLeftCell="C27" activePane="bottomRight" state="frozen"/>
      <selection pane="topRight"/>
      <selection pane="bottomLeft"/>
      <selection pane="bottomRight" activeCell="B6" sqref="B6"/>
    </sheetView>
  </sheetViews>
  <sheetFormatPr defaultColWidth="9" defaultRowHeight="13.5" x14ac:dyDescent="0.15"/>
  <cols>
    <col min="2" max="2" width="37.5" customWidth="1"/>
    <col min="6" max="6" width="29.375" customWidth="1"/>
    <col min="13" max="14" width="13.625" customWidth="1"/>
    <col min="17" max="17" width="12.5" customWidth="1"/>
    <col min="29" max="30" width="13" customWidth="1"/>
    <col min="31" max="31" width="11.625" customWidth="1"/>
    <col min="33" max="33" width="43.625" customWidth="1"/>
    <col min="36" max="37" width="13.625" customWidth="1"/>
    <col min="39" max="39" width="22.375" customWidth="1"/>
  </cols>
  <sheetData>
    <row r="1" spans="1:52" x14ac:dyDescent="0.15">
      <c r="A1" s="368" t="s">
        <v>3012</v>
      </c>
      <c r="B1" s="368" t="s">
        <v>3013</v>
      </c>
      <c r="C1" s="368" t="s">
        <v>3014</v>
      </c>
      <c r="D1" s="368" t="s">
        <v>3015</v>
      </c>
      <c r="E1" s="368" t="s">
        <v>3016</v>
      </c>
      <c r="F1" s="368" t="s">
        <v>3017</v>
      </c>
      <c r="G1" s="368" t="s">
        <v>3018</v>
      </c>
      <c r="H1" s="368" t="s">
        <v>3019</v>
      </c>
      <c r="I1" s="368" t="s">
        <v>3020</v>
      </c>
      <c r="J1" s="368" t="s">
        <v>3021</v>
      </c>
      <c r="K1" s="368" t="s">
        <v>3022</v>
      </c>
      <c r="L1" s="368" t="s">
        <v>3023</v>
      </c>
      <c r="M1" s="369" t="s">
        <v>3024</v>
      </c>
      <c r="N1" s="368" t="s">
        <v>3025</v>
      </c>
      <c r="O1" s="368" t="s">
        <v>3026</v>
      </c>
      <c r="P1" s="368" t="s">
        <v>3027</v>
      </c>
      <c r="Q1" s="368" t="s">
        <v>3028</v>
      </c>
      <c r="S1" s="48" t="s">
        <v>3029</v>
      </c>
      <c r="X1" s="48" t="s">
        <v>3030</v>
      </c>
      <c r="AG1" s="48" t="s">
        <v>3031</v>
      </c>
      <c r="AH1" s="48" t="s">
        <v>3032</v>
      </c>
      <c r="AI1" s="48" t="s">
        <v>3033</v>
      </c>
      <c r="AJ1" s="48" t="s">
        <v>3034</v>
      </c>
      <c r="AK1" s="48" t="s">
        <v>568</v>
      </c>
      <c r="AL1" s="48"/>
      <c r="AM1" t="s">
        <v>3035</v>
      </c>
      <c r="AN1">
        <v>4</v>
      </c>
      <c r="AP1" s="48" t="s">
        <v>565</v>
      </c>
      <c r="AW1" s="48" t="s">
        <v>3015</v>
      </c>
      <c r="AX1" s="53" t="s">
        <v>3036</v>
      </c>
    </row>
    <row r="2" spans="1:52" x14ac:dyDescent="0.15">
      <c r="A2" s="368"/>
      <c r="B2" s="368"/>
      <c r="C2" s="368"/>
      <c r="D2" s="368"/>
      <c r="E2" s="368"/>
      <c r="F2" s="368"/>
      <c r="G2" s="368"/>
      <c r="H2" s="368"/>
      <c r="I2" s="368"/>
      <c r="J2" s="368"/>
      <c r="K2" s="368"/>
      <c r="L2" s="368"/>
      <c r="M2" s="369"/>
      <c r="N2" s="368"/>
      <c r="O2" s="368"/>
      <c r="P2" s="368"/>
      <c r="Q2" s="368"/>
      <c r="S2" t="s">
        <v>2979</v>
      </c>
      <c r="T2" t="s">
        <v>3015</v>
      </c>
      <c r="U2" t="s">
        <v>3037</v>
      </c>
      <c r="V2" s="50" t="s">
        <v>3038</v>
      </c>
      <c r="W2" s="50"/>
      <c r="X2" s="50" t="s">
        <v>2979</v>
      </c>
      <c r="Y2" s="50" t="s">
        <v>3015</v>
      </c>
      <c r="Z2" s="50" t="s">
        <v>3039</v>
      </c>
      <c r="AA2" s="50" t="s">
        <v>3040</v>
      </c>
      <c r="AB2" s="50" t="s">
        <v>3041</v>
      </c>
      <c r="AC2" s="50" t="s">
        <v>3042</v>
      </c>
      <c r="AD2" s="50" t="s">
        <v>3043</v>
      </c>
      <c r="AE2" s="50" t="s">
        <v>1073</v>
      </c>
      <c r="AF2" s="50"/>
      <c r="AM2" t="s">
        <v>3044</v>
      </c>
      <c r="AN2">
        <v>30</v>
      </c>
      <c r="AP2" s="51" t="s">
        <v>2978</v>
      </c>
      <c r="AQ2" s="51" t="s">
        <v>3045</v>
      </c>
      <c r="AS2" s="52" t="s">
        <v>3015</v>
      </c>
      <c r="AT2" s="52" t="s">
        <v>3046</v>
      </c>
      <c r="AU2" s="52" t="s">
        <v>3047</v>
      </c>
      <c r="AW2" s="54">
        <v>1</v>
      </c>
      <c r="AX2" s="7" t="s">
        <v>2727</v>
      </c>
      <c r="AY2" s="7">
        <v>20</v>
      </c>
      <c r="AZ2" t="str">
        <f t="shared" ref="AZ2:AZ11" si="0">IF(AX2="","[]","["&amp;"("&amp;VLOOKUP(AX2,道具ID,2,FALSE)&amp;","&amp;AY2&amp;")"&amp;"]")</f>
        <v>[(112,20)]</v>
      </c>
    </row>
    <row r="3" spans="1:52" x14ac:dyDescent="0.15">
      <c r="A3">
        <v>1</v>
      </c>
      <c r="B3" t="s">
        <v>3048</v>
      </c>
      <c r="C3" t="s">
        <v>3049</v>
      </c>
      <c r="D3">
        <v>1</v>
      </c>
      <c r="E3" t="s">
        <v>1580</v>
      </c>
      <c r="F3" t="s">
        <v>3050</v>
      </c>
      <c r="G3">
        <v>1</v>
      </c>
      <c r="H3">
        <v>1</v>
      </c>
      <c r="I3" t="s">
        <v>3051</v>
      </c>
      <c r="J3" t="s">
        <v>3052</v>
      </c>
      <c r="K3" t="s">
        <v>3053</v>
      </c>
      <c r="L3" t="s">
        <v>3054</v>
      </c>
      <c r="M3">
        <v>1</v>
      </c>
      <c r="N3">
        <v>1</v>
      </c>
      <c r="O3">
        <v>15</v>
      </c>
      <c r="P3" t="str">
        <f t="shared" ref="P3:P66" si="1">"[("&amp;"112,"&amp;O3&amp;")]"</f>
        <v>[(112,15)]</v>
      </c>
      <c r="Q3">
        <f t="shared" ref="Q3:Q66" si="2">IF((N3/VLOOKUP(B3,AG:AJ,MATCH("单场参数换算",$AG$1:$AJ$1,0),FALSE))/($AN$2/$AN$1)&gt;7,7,(N3/VLOOKUP(B3,AG:AJ,MATCH("单场参数换算",$AG$1:$AJ$1,0),FALSE))/($AN$2/$AN$1))</f>
        <v>2</v>
      </c>
      <c r="S3">
        <v>1</v>
      </c>
      <c r="T3">
        <v>1</v>
      </c>
      <c r="U3">
        <f t="shared" ref="U3:U22" si="3">COUNTIFS(D:D,T3,A:A,S3)</f>
        <v>10</v>
      </c>
      <c r="V3" s="50">
        <f t="shared" ref="V3:V22" si="4">COUNTIFS(D:D,T3,H:H,1,A:A,S3)</f>
        <v>6</v>
      </c>
      <c r="W3" s="50"/>
      <c r="X3" s="50">
        <v>2</v>
      </c>
      <c r="Y3" s="50">
        <f>ROUNDUP(Z3/7,0)</f>
        <v>1</v>
      </c>
      <c r="Z3" s="50">
        <v>1</v>
      </c>
      <c r="AA3" s="50">
        <f>IF(MOD(Z3,7)=0,7,MOD(Z3,7))</f>
        <v>1</v>
      </c>
      <c r="AB3" s="50">
        <f t="shared" ref="AB3:AB34" si="5">SUMIFS(O:O,A:A,X3,D:D,Y3,Q:Q,"&lt;="&amp;AA3)</f>
        <v>5</v>
      </c>
      <c r="AC3" s="50">
        <f t="shared" ref="AC3:AC34" si="6">IF(Y3=1,AB3,SUMIFS(AB:AB,Y:Y,"&lt;"&amp;Y3,AA:AA,7)+AB3)</f>
        <v>5</v>
      </c>
      <c r="AD3" s="50">
        <f>AC3+SUMIFS($AY$2:$AY$11,$AX$2:$AX$11,"BattlePass经验",$AW$2:$AW$11,"&lt;"&amp;Y3)+1*Z3+Z3*$AN$5</f>
        <v>10.5</v>
      </c>
      <c r="AE3" s="50">
        <f>ROUNDDOWN(AD3/10,0)</f>
        <v>1</v>
      </c>
      <c r="AF3" s="50"/>
      <c r="AG3" t="s">
        <v>3055</v>
      </c>
      <c r="AH3" t="s">
        <v>3056</v>
      </c>
      <c r="AI3">
        <v>3</v>
      </c>
      <c r="AJ3">
        <f>IF(AH3="单场",AI3,IF(AH3="多场",1/AI3,IF(AH3="单天",AI3/($AN$2/$AN$1),1/(AI3*($AN$2/$AN$1)))))</f>
        <v>3</v>
      </c>
      <c r="AK3">
        <v>5</v>
      </c>
      <c r="AM3" t="s">
        <v>3057</v>
      </c>
      <c r="AN3">
        <v>0.1</v>
      </c>
      <c r="AP3" s="7">
        <v>1</v>
      </c>
      <c r="AQ3" s="7">
        <v>10</v>
      </c>
      <c r="AS3" s="7">
        <v>1</v>
      </c>
      <c r="AT3" s="7">
        <f t="shared" ref="AT3:AT12" si="7">(SUMIFS($O$3:$O$105,$H$3:$H$105,1,$D$3:$D$105,"&lt;="&amp;AS3)+SUMIFS($AY$2:$AY$11,$AX$2:$AX$11,"BattlePass经验",$AW$2:$AW$11,"&lt;="&amp;AS3))/10</f>
        <v>8.5</v>
      </c>
      <c r="AU3" s="7">
        <f t="shared" ref="AU3:AU12" si="8">(SUMIFS($O$3:$O$105,$D$3:$D$105,"&lt;="&amp;AS3)++SUMIFS($AY$2:$AY$11,$AX$2:$AX$11,"BattlePass经验",$AW$2:$AW$11,"&lt;="&amp;AS3))/10</f>
        <v>12</v>
      </c>
      <c r="AW3" s="7">
        <v>2</v>
      </c>
      <c r="AX3" s="7" t="s">
        <v>268</v>
      </c>
      <c r="AY3" s="7">
        <v>50</v>
      </c>
      <c r="AZ3" t="str">
        <f t="shared" si="0"/>
        <v>[(102,50)]</v>
      </c>
    </row>
    <row r="4" spans="1:52" x14ac:dyDescent="0.15">
      <c r="A4">
        <v>1</v>
      </c>
      <c r="B4" t="s">
        <v>3058</v>
      </c>
      <c r="C4" t="s">
        <v>3059</v>
      </c>
      <c r="D4">
        <v>1</v>
      </c>
      <c r="E4" t="s">
        <v>3060</v>
      </c>
      <c r="F4" t="s">
        <v>3061</v>
      </c>
      <c r="G4">
        <v>6</v>
      </c>
      <c r="H4">
        <v>1</v>
      </c>
      <c r="I4" t="s">
        <v>3062</v>
      </c>
      <c r="J4" t="s">
        <v>3063</v>
      </c>
      <c r="K4" t="s">
        <v>3064</v>
      </c>
      <c r="L4" t="s">
        <v>3065</v>
      </c>
      <c r="M4">
        <v>7</v>
      </c>
      <c r="N4">
        <v>6</v>
      </c>
      <c r="O4">
        <v>5</v>
      </c>
      <c r="P4" t="str">
        <f t="shared" si="1"/>
        <v>[(112,5)]</v>
      </c>
      <c r="Q4">
        <f t="shared" si="2"/>
        <v>3</v>
      </c>
      <c r="S4">
        <v>1</v>
      </c>
      <c r="T4">
        <v>2</v>
      </c>
      <c r="U4">
        <f t="shared" si="3"/>
        <v>10</v>
      </c>
      <c r="V4" s="50">
        <f t="shared" si="4"/>
        <v>5</v>
      </c>
      <c r="W4" s="50"/>
      <c r="X4" s="50">
        <v>2</v>
      </c>
      <c r="Y4" s="50">
        <f t="shared" ref="Y4:Y10" si="9">ROUNDUP(Z4/7,0)</f>
        <v>1</v>
      </c>
      <c r="Z4" s="50">
        <v>2</v>
      </c>
      <c r="AA4" s="50">
        <f t="shared" ref="AA4:AA35" si="10">IF(MOD(Z4,7)=0,7,MOD(Z4,7))</f>
        <v>2</v>
      </c>
      <c r="AB4" s="50">
        <f t="shared" si="5"/>
        <v>40</v>
      </c>
      <c r="AC4" s="50">
        <f t="shared" si="6"/>
        <v>40</v>
      </c>
      <c r="AD4" s="50">
        <f t="shared" ref="AD4:AD35" si="11">AC4+SUMIFS($AY$2:$AY$11,$AX$2:$AX$11,"BattlePass经验",$AW$2:$AW$11,"&lt;"&amp;Y4)+1*Z4+Z4*$AN$5</f>
        <v>51</v>
      </c>
      <c r="AE4" s="50">
        <f t="shared" ref="AE4:AE35" si="12">ROUNDDOWN(AD4/10,0)</f>
        <v>5</v>
      </c>
      <c r="AF4" s="50"/>
      <c r="AG4" t="s">
        <v>3066</v>
      </c>
      <c r="AH4" t="s">
        <v>3067</v>
      </c>
      <c r="AI4">
        <v>3</v>
      </c>
      <c r="AJ4">
        <f t="shared" ref="AJ4:AJ35" si="13">IF(AH4="单场",AI4,IF(AH4="多场",1/AI4,IF(AH4="单天",AI4/($AN$2/$AN$1),1/(AI4*($AN$2/$AN$1)))))</f>
        <v>4.4444444444444446E-2</v>
      </c>
      <c r="AK4">
        <v>10</v>
      </c>
      <c r="AM4" t="s">
        <v>3068</v>
      </c>
      <c r="AN4">
        <v>6</v>
      </c>
      <c r="AP4" s="7">
        <v>2</v>
      </c>
      <c r="AQ4" s="7">
        <v>20</v>
      </c>
      <c r="AS4" s="7">
        <v>2</v>
      </c>
      <c r="AT4" s="7">
        <f t="shared" si="7"/>
        <v>13</v>
      </c>
      <c r="AU4" s="7">
        <f t="shared" si="8"/>
        <v>21</v>
      </c>
      <c r="AW4" s="54">
        <v>3</v>
      </c>
      <c r="AX4" s="7" t="s">
        <v>2727</v>
      </c>
      <c r="AY4" s="7">
        <v>20</v>
      </c>
      <c r="AZ4" t="str">
        <f t="shared" si="0"/>
        <v>[(112,20)]</v>
      </c>
    </row>
    <row r="5" spans="1:52" x14ac:dyDescent="0.15">
      <c r="A5">
        <v>1</v>
      </c>
      <c r="B5" t="s">
        <v>3066</v>
      </c>
      <c r="C5" t="s">
        <v>3069</v>
      </c>
      <c r="D5">
        <v>1</v>
      </c>
      <c r="E5" t="s">
        <v>3070</v>
      </c>
      <c r="F5" t="s">
        <v>3071</v>
      </c>
      <c r="G5">
        <v>1</v>
      </c>
      <c r="H5">
        <v>1</v>
      </c>
      <c r="I5" t="s">
        <v>3072</v>
      </c>
      <c r="J5" t="s">
        <v>3073</v>
      </c>
      <c r="K5" t="s">
        <v>3074</v>
      </c>
      <c r="L5" t="s">
        <v>3075</v>
      </c>
      <c r="M5">
        <v>1</v>
      </c>
      <c r="N5">
        <v>1</v>
      </c>
      <c r="O5">
        <v>15</v>
      </c>
      <c r="P5" t="str">
        <f t="shared" si="1"/>
        <v>[(112,15)]</v>
      </c>
      <c r="Q5">
        <f t="shared" si="2"/>
        <v>3</v>
      </c>
      <c r="S5">
        <v>1</v>
      </c>
      <c r="T5">
        <v>3</v>
      </c>
      <c r="U5">
        <f t="shared" si="3"/>
        <v>10</v>
      </c>
      <c r="V5" s="50">
        <f t="shared" si="4"/>
        <v>4</v>
      </c>
      <c r="W5" s="50"/>
      <c r="X5" s="50">
        <v>2</v>
      </c>
      <c r="Y5" s="50">
        <f t="shared" si="9"/>
        <v>1</v>
      </c>
      <c r="Z5" s="50">
        <v>3</v>
      </c>
      <c r="AA5" s="50">
        <f t="shared" si="10"/>
        <v>3</v>
      </c>
      <c r="AB5" s="50">
        <f t="shared" si="5"/>
        <v>55</v>
      </c>
      <c r="AC5" s="50">
        <f t="shared" si="6"/>
        <v>55</v>
      </c>
      <c r="AD5" s="50">
        <f t="shared" si="11"/>
        <v>71.5</v>
      </c>
      <c r="AE5" s="50">
        <f t="shared" si="12"/>
        <v>7</v>
      </c>
      <c r="AF5" s="50"/>
      <c r="AG5" t="s">
        <v>3076</v>
      </c>
      <c r="AH5" t="s">
        <v>3077</v>
      </c>
      <c r="AI5">
        <v>1</v>
      </c>
      <c r="AJ5">
        <f t="shared" si="13"/>
        <v>0.13333333333333333</v>
      </c>
      <c r="AK5">
        <v>10</v>
      </c>
      <c r="AM5" t="s">
        <v>3078</v>
      </c>
      <c r="AN5">
        <f>AN2/AN1*AN4*AN3</f>
        <v>4.5</v>
      </c>
      <c r="AP5" s="7">
        <v>3</v>
      </c>
      <c r="AQ5" s="7">
        <v>30</v>
      </c>
      <c r="AS5" s="7">
        <v>3</v>
      </c>
      <c r="AT5" s="7">
        <f t="shared" si="7"/>
        <v>21</v>
      </c>
      <c r="AU5" s="7">
        <f t="shared" si="8"/>
        <v>35.5</v>
      </c>
      <c r="AW5" s="7">
        <v>4</v>
      </c>
      <c r="AX5" s="7" t="s">
        <v>317</v>
      </c>
      <c r="AY5" s="7">
        <v>5</v>
      </c>
      <c r="AZ5" t="str">
        <f t="shared" si="0"/>
        <v>[(101,5)]</v>
      </c>
    </row>
    <row r="6" spans="1:52" x14ac:dyDescent="0.15">
      <c r="A6">
        <v>1</v>
      </c>
      <c r="B6" t="s">
        <v>3079</v>
      </c>
      <c r="C6" t="s">
        <v>3080</v>
      </c>
      <c r="D6">
        <v>1</v>
      </c>
      <c r="E6" t="s">
        <v>1576</v>
      </c>
      <c r="F6" t="s">
        <v>3081</v>
      </c>
      <c r="G6">
        <v>1</v>
      </c>
      <c r="H6">
        <v>2</v>
      </c>
      <c r="I6" t="s">
        <v>3082</v>
      </c>
      <c r="J6" t="s">
        <v>3083</v>
      </c>
      <c r="K6" t="s">
        <v>3084</v>
      </c>
      <c r="L6" t="s">
        <v>3085</v>
      </c>
      <c r="M6">
        <v>1</v>
      </c>
      <c r="N6">
        <v>1</v>
      </c>
      <c r="O6">
        <v>5</v>
      </c>
      <c r="P6" t="str">
        <f t="shared" si="1"/>
        <v>[(112,5)]</v>
      </c>
      <c r="Q6">
        <f t="shared" si="2"/>
        <v>6.9999999999999991</v>
      </c>
      <c r="S6">
        <v>1</v>
      </c>
      <c r="T6">
        <v>4</v>
      </c>
      <c r="U6">
        <f t="shared" si="3"/>
        <v>11</v>
      </c>
      <c r="V6" s="50">
        <f t="shared" si="4"/>
        <v>4</v>
      </c>
      <c r="W6" s="50"/>
      <c r="X6" s="50">
        <v>2</v>
      </c>
      <c r="Y6" s="50">
        <f t="shared" si="9"/>
        <v>1</v>
      </c>
      <c r="Z6" s="50">
        <v>4</v>
      </c>
      <c r="AA6" s="50">
        <f t="shared" si="10"/>
        <v>4</v>
      </c>
      <c r="AB6" s="50">
        <f t="shared" si="5"/>
        <v>90</v>
      </c>
      <c r="AC6" s="50">
        <f t="shared" si="6"/>
        <v>90</v>
      </c>
      <c r="AD6" s="50">
        <f t="shared" si="11"/>
        <v>112</v>
      </c>
      <c r="AE6" s="50">
        <f t="shared" si="12"/>
        <v>11</v>
      </c>
      <c r="AF6" s="50"/>
      <c r="AG6" s="256" t="s">
        <v>3716</v>
      </c>
      <c r="AH6" t="s">
        <v>3087</v>
      </c>
      <c r="AI6">
        <v>5</v>
      </c>
      <c r="AJ6">
        <f t="shared" si="13"/>
        <v>0.2</v>
      </c>
      <c r="AK6">
        <v>20</v>
      </c>
      <c r="AP6" s="7">
        <v>4</v>
      </c>
      <c r="AQ6" s="7">
        <v>40</v>
      </c>
      <c r="AS6" s="7">
        <v>4</v>
      </c>
      <c r="AT6" s="7">
        <f t="shared" si="7"/>
        <v>26</v>
      </c>
      <c r="AU6" s="7">
        <f t="shared" si="8"/>
        <v>45.5</v>
      </c>
      <c r="AW6" s="54">
        <v>5</v>
      </c>
      <c r="AX6" s="7" t="s">
        <v>2727</v>
      </c>
      <c r="AY6" s="7">
        <v>20</v>
      </c>
      <c r="AZ6" t="str">
        <f t="shared" si="0"/>
        <v>[(112,20)]</v>
      </c>
    </row>
    <row r="7" spans="1:52" x14ac:dyDescent="0.15">
      <c r="A7">
        <v>1</v>
      </c>
      <c r="B7" t="s">
        <v>3088</v>
      </c>
      <c r="C7" t="s">
        <v>3089</v>
      </c>
      <c r="D7">
        <v>1</v>
      </c>
      <c r="E7" t="s">
        <v>3090</v>
      </c>
      <c r="F7" t="s">
        <v>3061</v>
      </c>
      <c r="G7">
        <v>10</v>
      </c>
      <c r="H7">
        <v>1</v>
      </c>
      <c r="I7" t="s">
        <v>3091</v>
      </c>
      <c r="J7" t="s">
        <v>3092</v>
      </c>
      <c r="K7" t="s">
        <v>3093</v>
      </c>
      <c r="L7" t="s">
        <v>3094</v>
      </c>
      <c r="M7">
        <v>1</v>
      </c>
      <c r="N7">
        <v>10</v>
      </c>
      <c r="O7">
        <v>5</v>
      </c>
      <c r="P7" t="str">
        <f t="shared" si="1"/>
        <v>[(112,5)]</v>
      </c>
      <c r="Q7">
        <f t="shared" si="2"/>
        <v>2.2266666666666666</v>
      </c>
      <c r="S7">
        <v>1</v>
      </c>
      <c r="T7">
        <v>5</v>
      </c>
      <c r="U7">
        <f t="shared" si="3"/>
        <v>10</v>
      </c>
      <c r="V7" s="50">
        <f t="shared" si="4"/>
        <v>5</v>
      </c>
      <c r="W7" s="50"/>
      <c r="X7" s="50">
        <v>2</v>
      </c>
      <c r="Y7" s="50">
        <f t="shared" si="9"/>
        <v>1</v>
      </c>
      <c r="Z7" s="50">
        <v>5</v>
      </c>
      <c r="AA7" s="50">
        <f t="shared" si="10"/>
        <v>5</v>
      </c>
      <c r="AB7" s="50">
        <f t="shared" si="5"/>
        <v>110</v>
      </c>
      <c r="AC7" s="50">
        <f t="shared" si="6"/>
        <v>110</v>
      </c>
      <c r="AD7" s="50">
        <f t="shared" si="11"/>
        <v>137.5</v>
      </c>
      <c r="AE7" s="50">
        <f t="shared" si="12"/>
        <v>13</v>
      </c>
      <c r="AF7" s="50"/>
      <c r="AG7" t="s">
        <v>3079</v>
      </c>
      <c r="AH7" t="s">
        <v>3067</v>
      </c>
      <c r="AI7">
        <v>7</v>
      </c>
      <c r="AJ7">
        <f t="shared" si="13"/>
        <v>1.9047619047619049E-2</v>
      </c>
      <c r="AK7">
        <v>10</v>
      </c>
      <c r="AP7" s="7">
        <v>5</v>
      </c>
      <c r="AQ7" s="7">
        <v>50</v>
      </c>
      <c r="AS7" s="7">
        <v>5</v>
      </c>
      <c r="AT7" s="7">
        <f t="shared" si="7"/>
        <v>33</v>
      </c>
      <c r="AU7" s="7">
        <f t="shared" si="8"/>
        <v>58.5</v>
      </c>
      <c r="AW7" s="7">
        <v>6</v>
      </c>
      <c r="AX7" s="7" t="s">
        <v>273</v>
      </c>
      <c r="AY7" s="7">
        <v>10</v>
      </c>
      <c r="AZ7" t="str">
        <f t="shared" si="0"/>
        <v>[(105,10)]</v>
      </c>
    </row>
    <row r="8" spans="1:52" x14ac:dyDescent="0.15">
      <c r="A8">
        <v>1</v>
      </c>
      <c r="B8" t="s">
        <v>3086</v>
      </c>
      <c r="C8" t="s">
        <v>3095</v>
      </c>
      <c r="D8">
        <v>1</v>
      </c>
      <c r="E8" t="s">
        <v>1580</v>
      </c>
      <c r="F8" t="s">
        <v>3061</v>
      </c>
      <c r="G8">
        <v>3</v>
      </c>
      <c r="H8">
        <v>2</v>
      </c>
      <c r="I8" t="s">
        <v>3096</v>
      </c>
      <c r="J8" t="s">
        <v>3097</v>
      </c>
      <c r="K8" t="s">
        <v>3098</v>
      </c>
      <c r="L8" t="s">
        <v>3099</v>
      </c>
      <c r="M8">
        <v>1</v>
      </c>
      <c r="N8">
        <v>3</v>
      </c>
      <c r="O8">
        <v>10</v>
      </c>
      <c r="P8" t="str">
        <f t="shared" si="1"/>
        <v>[(112,10)]</v>
      </c>
      <c r="Q8">
        <f t="shared" si="2"/>
        <v>2</v>
      </c>
      <c r="S8">
        <v>1</v>
      </c>
      <c r="T8">
        <v>6</v>
      </c>
      <c r="U8">
        <f t="shared" si="3"/>
        <v>10</v>
      </c>
      <c r="V8" s="50">
        <f t="shared" si="4"/>
        <v>7</v>
      </c>
      <c r="W8" s="50"/>
      <c r="X8" s="50">
        <v>2</v>
      </c>
      <c r="Y8" s="50">
        <f t="shared" si="9"/>
        <v>1</v>
      </c>
      <c r="Z8" s="50">
        <v>6</v>
      </c>
      <c r="AA8" s="50">
        <f t="shared" si="10"/>
        <v>6</v>
      </c>
      <c r="AB8" s="50">
        <f t="shared" si="5"/>
        <v>110</v>
      </c>
      <c r="AC8" s="50">
        <f t="shared" si="6"/>
        <v>110</v>
      </c>
      <c r="AD8" s="50">
        <f t="shared" si="11"/>
        <v>143</v>
      </c>
      <c r="AE8" s="50">
        <f t="shared" si="12"/>
        <v>14</v>
      </c>
      <c r="AF8" s="50"/>
      <c r="AG8" t="s">
        <v>3100</v>
      </c>
      <c r="AH8" t="s">
        <v>3056</v>
      </c>
      <c r="AI8">
        <v>5</v>
      </c>
      <c r="AJ8">
        <f t="shared" si="13"/>
        <v>5</v>
      </c>
      <c r="AK8">
        <v>10</v>
      </c>
      <c r="AP8" s="7">
        <v>6</v>
      </c>
      <c r="AQ8" s="7">
        <v>60</v>
      </c>
      <c r="AS8" s="7">
        <v>6</v>
      </c>
      <c r="AT8" s="7">
        <f t="shared" si="7"/>
        <v>42.5</v>
      </c>
      <c r="AU8" s="7">
        <f t="shared" si="8"/>
        <v>70</v>
      </c>
      <c r="AW8" s="54">
        <v>7</v>
      </c>
      <c r="AX8" s="7" t="s">
        <v>2727</v>
      </c>
      <c r="AY8" s="7">
        <v>20</v>
      </c>
      <c r="AZ8" t="str">
        <f t="shared" si="0"/>
        <v>[(112,20)]</v>
      </c>
    </row>
    <row r="9" spans="1:52" x14ac:dyDescent="0.15">
      <c r="A9">
        <v>1</v>
      </c>
      <c r="B9" t="s">
        <v>3100</v>
      </c>
      <c r="C9" t="s">
        <v>3101</v>
      </c>
      <c r="D9">
        <v>1</v>
      </c>
      <c r="E9" t="s">
        <v>3102</v>
      </c>
      <c r="F9" t="s">
        <v>3061</v>
      </c>
      <c r="G9">
        <v>30</v>
      </c>
      <c r="H9">
        <v>1</v>
      </c>
      <c r="I9" t="s">
        <v>3103</v>
      </c>
      <c r="J9" t="s">
        <v>3104</v>
      </c>
      <c r="K9" t="s">
        <v>3105</v>
      </c>
      <c r="L9" t="s">
        <v>3106</v>
      </c>
      <c r="M9">
        <v>1</v>
      </c>
      <c r="N9">
        <v>30</v>
      </c>
      <c r="O9">
        <v>10</v>
      </c>
      <c r="P9" t="str">
        <f t="shared" si="1"/>
        <v>[(112,10)]</v>
      </c>
      <c r="Q9">
        <f t="shared" si="2"/>
        <v>0.8</v>
      </c>
      <c r="S9">
        <v>1</v>
      </c>
      <c r="T9">
        <v>7</v>
      </c>
      <c r="U9">
        <f t="shared" si="3"/>
        <v>11</v>
      </c>
      <c r="V9" s="50">
        <f t="shared" si="4"/>
        <v>4</v>
      </c>
      <c r="W9" s="50"/>
      <c r="X9" s="50">
        <v>2</v>
      </c>
      <c r="Y9" s="50">
        <f t="shared" si="9"/>
        <v>1</v>
      </c>
      <c r="Z9" s="50">
        <v>7</v>
      </c>
      <c r="AA9" s="50">
        <f t="shared" si="10"/>
        <v>7</v>
      </c>
      <c r="AB9" s="50">
        <f t="shared" si="5"/>
        <v>120</v>
      </c>
      <c r="AC9" s="50">
        <f t="shared" si="6"/>
        <v>120</v>
      </c>
      <c r="AD9" s="50">
        <f t="shared" si="11"/>
        <v>158.5</v>
      </c>
      <c r="AE9" s="50">
        <f t="shared" si="12"/>
        <v>15</v>
      </c>
      <c r="AF9" s="50"/>
      <c r="AG9" t="s">
        <v>3048</v>
      </c>
      <c r="AH9" t="s">
        <v>3067</v>
      </c>
      <c r="AI9">
        <v>2</v>
      </c>
      <c r="AJ9">
        <f t="shared" si="13"/>
        <v>6.6666666666666666E-2</v>
      </c>
      <c r="AK9">
        <v>10</v>
      </c>
      <c r="AP9" s="7">
        <v>7</v>
      </c>
      <c r="AQ9" s="7">
        <v>70</v>
      </c>
      <c r="AS9" s="7">
        <v>7</v>
      </c>
      <c r="AT9" s="7">
        <f t="shared" si="7"/>
        <v>49.5</v>
      </c>
      <c r="AU9" s="7">
        <f t="shared" si="8"/>
        <v>83.5</v>
      </c>
      <c r="AW9" s="7">
        <v>8</v>
      </c>
      <c r="AX9" s="7" t="s">
        <v>268</v>
      </c>
      <c r="AY9" s="7">
        <v>100</v>
      </c>
      <c r="AZ9" t="str">
        <f t="shared" si="0"/>
        <v>[(102,100)]</v>
      </c>
    </row>
    <row r="10" spans="1:52" x14ac:dyDescent="0.15">
      <c r="A10">
        <v>1</v>
      </c>
      <c r="B10" t="s">
        <v>3055</v>
      </c>
      <c r="C10" t="s">
        <v>3107</v>
      </c>
      <c r="D10">
        <v>1</v>
      </c>
      <c r="E10" t="s">
        <v>3102</v>
      </c>
      <c r="F10" t="s">
        <v>3061</v>
      </c>
      <c r="G10">
        <v>30</v>
      </c>
      <c r="H10">
        <v>1</v>
      </c>
      <c r="I10" t="s">
        <v>3108</v>
      </c>
      <c r="J10" t="s">
        <v>3109</v>
      </c>
      <c r="K10" t="s">
        <v>3110</v>
      </c>
      <c r="L10" t="s">
        <v>3111</v>
      </c>
      <c r="M10">
        <v>1</v>
      </c>
      <c r="N10">
        <v>30</v>
      </c>
      <c r="O10">
        <v>15</v>
      </c>
      <c r="P10" t="str">
        <f t="shared" si="1"/>
        <v>[(112,15)]</v>
      </c>
      <c r="Q10">
        <f t="shared" si="2"/>
        <v>1.3333333333333333</v>
      </c>
      <c r="S10">
        <v>1</v>
      </c>
      <c r="T10">
        <v>8</v>
      </c>
      <c r="U10">
        <f t="shared" si="3"/>
        <v>10</v>
      </c>
      <c r="V10" s="50">
        <f t="shared" si="4"/>
        <v>6</v>
      </c>
      <c r="W10" s="50"/>
      <c r="X10" s="50">
        <v>2</v>
      </c>
      <c r="Y10" s="50">
        <f t="shared" si="9"/>
        <v>2</v>
      </c>
      <c r="Z10" s="50">
        <v>8</v>
      </c>
      <c r="AA10" s="50">
        <f t="shared" si="10"/>
        <v>1</v>
      </c>
      <c r="AB10" s="50">
        <f t="shared" si="5"/>
        <v>35</v>
      </c>
      <c r="AC10" s="50">
        <f t="shared" si="6"/>
        <v>155</v>
      </c>
      <c r="AD10" s="50">
        <f t="shared" si="11"/>
        <v>219</v>
      </c>
      <c r="AE10" s="50">
        <f t="shared" si="12"/>
        <v>21</v>
      </c>
      <c r="AF10" s="50"/>
      <c r="AG10" t="s">
        <v>3112</v>
      </c>
      <c r="AH10" t="s">
        <v>3067</v>
      </c>
      <c r="AI10">
        <v>2</v>
      </c>
      <c r="AJ10">
        <f t="shared" si="13"/>
        <v>6.6666666666666666E-2</v>
      </c>
      <c r="AK10">
        <v>10</v>
      </c>
      <c r="AP10" s="7">
        <v>8</v>
      </c>
      <c r="AQ10" s="7">
        <v>80</v>
      </c>
      <c r="AS10" s="7">
        <v>8</v>
      </c>
      <c r="AT10" s="7">
        <f t="shared" si="7"/>
        <v>56.5</v>
      </c>
      <c r="AU10" s="7">
        <f t="shared" si="8"/>
        <v>93.5</v>
      </c>
      <c r="AW10" s="54">
        <v>9</v>
      </c>
      <c r="AX10" s="7" t="s">
        <v>2727</v>
      </c>
      <c r="AY10" s="7">
        <v>30</v>
      </c>
      <c r="AZ10" t="str">
        <f t="shared" si="0"/>
        <v>[(112,30)]</v>
      </c>
    </row>
    <row r="11" spans="1:52" x14ac:dyDescent="0.15">
      <c r="A11">
        <v>1</v>
      </c>
      <c r="B11" t="s">
        <v>3113</v>
      </c>
      <c r="C11" t="s">
        <v>3114</v>
      </c>
      <c r="D11">
        <v>1</v>
      </c>
      <c r="E11" t="s">
        <v>1580</v>
      </c>
      <c r="F11" t="s">
        <v>3061</v>
      </c>
      <c r="G11">
        <v>3</v>
      </c>
      <c r="H11">
        <v>2</v>
      </c>
      <c r="I11" t="s">
        <v>3115</v>
      </c>
      <c r="J11" t="s">
        <v>3116</v>
      </c>
      <c r="K11" t="s">
        <v>3117</v>
      </c>
      <c r="L11" t="s">
        <v>3118</v>
      </c>
      <c r="M11">
        <v>13</v>
      </c>
      <c r="N11">
        <v>3</v>
      </c>
      <c r="O11">
        <v>5</v>
      </c>
      <c r="P11" t="str">
        <f t="shared" si="1"/>
        <v>[(112,5)]</v>
      </c>
      <c r="Q11">
        <f t="shared" si="2"/>
        <v>1.5</v>
      </c>
      <c r="S11">
        <v>1</v>
      </c>
      <c r="T11">
        <v>9</v>
      </c>
      <c r="U11">
        <f t="shared" si="3"/>
        <v>10</v>
      </c>
      <c r="V11" s="50">
        <f t="shared" si="4"/>
        <v>4</v>
      </c>
      <c r="W11" s="50"/>
      <c r="X11" s="50">
        <v>2</v>
      </c>
      <c r="Y11" s="50">
        <f t="shared" ref="Y11:Y42" si="14">ROUNDUP(Z11/7,0)</f>
        <v>2</v>
      </c>
      <c r="Z11" s="50">
        <v>9</v>
      </c>
      <c r="AA11" s="50">
        <f t="shared" si="10"/>
        <v>2</v>
      </c>
      <c r="AB11" s="50">
        <f t="shared" si="5"/>
        <v>35</v>
      </c>
      <c r="AC11" s="50">
        <f t="shared" si="6"/>
        <v>155</v>
      </c>
      <c r="AD11" s="50">
        <f t="shared" si="11"/>
        <v>224.5</v>
      </c>
      <c r="AE11" s="50">
        <f t="shared" si="12"/>
        <v>22</v>
      </c>
      <c r="AF11" s="50"/>
      <c r="AG11" t="s">
        <v>3119</v>
      </c>
      <c r="AH11" t="s">
        <v>3056</v>
      </c>
      <c r="AI11">
        <v>1</v>
      </c>
      <c r="AJ11">
        <f t="shared" si="13"/>
        <v>1</v>
      </c>
      <c r="AK11">
        <v>10</v>
      </c>
      <c r="AP11" s="7">
        <v>9</v>
      </c>
      <c r="AQ11" s="7">
        <v>90</v>
      </c>
      <c r="AS11" s="7">
        <v>9</v>
      </c>
      <c r="AT11" s="7">
        <f t="shared" si="7"/>
        <v>63</v>
      </c>
      <c r="AU11" s="7">
        <f t="shared" si="8"/>
        <v>106</v>
      </c>
      <c r="AW11" s="7">
        <v>10</v>
      </c>
      <c r="AX11" s="7" t="s">
        <v>2727</v>
      </c>
      <c r="AY11" s="7">
        <v>30</v>
      </c>
      <c r="AZ11" t="str">
        <f t="shared" si="0"/>
        <v>[(112,30)]</v>
      </c>
    </row>
    <row r="12" spans="1:52" x14ac:dyDescent="0.15">
      <c r="A12">
        <v>1</v>
      </c>
      <c r="B12" t="s">
        <v>3120</v>
      </c>
      <c r="C12" t="s">
        <v>3121</v>
      </c>
      <c r="D12">
        <v>1</v>
      </c>
      <c r="E12" t="s">
        <v>3060</v>
      </c>
      <c r="F12" t="s">
        <v>3061</v>
      </c>
      <c r="G12">
        <v>6</v>
      </c>
      <c r="H12">
        <v>2</v>
      </c>
      <c r="I12" t="s">
        <v>3122</v>
      </c>
      <c r="J12" t="s">
        <v>3123</v>
      </c>
      <c r="K12" t="s">
        <v>3124</v>
      </c>
      <c r="L12" t="s">
        <v>3125</v>
      </c>
      <c r="M12">
        <v>1</v>
      </c>
      <c r="N12">
        <v>6</v>
      </c>
      <c r="O12">
        <v>15</v>
      </c>
      <c r="P12" t="str">
        <f t="shared" si="1"/>
        <v>[(112,15)]</v>
      </c>
      <c r="Q12">
        <f t="shared" si="2"/>
        <v>1.6</v>
      </c>
      <c r="S12">
        <v>1</v>
      </c>
      <c r="T12">
        <v>10</v>
      </c>
      <c r="U12">
        <f t="shared" si="3"/>
        <v>11</v>
      </c>
      <c r="V12" s="50">
        <f t="shared" si="4"/>
        <v>5</v>
      </c>
      <c r="W12" s="50"/>
      <c r="X12" s="50">
        <v>2</v>
      </c>
      <c r="Y12" s="50">
        <f t="shared" si="14"/>
        <v>2</v>
      </c>
      <c r="Z12" s="50">
        <v>10</v>
      </c>
      <c r="AA12" s="50">
        <f t="shared" si="10"/>
        <v>3</v>
      </c>
      <c r="AB12" s="50">
        <f t="shared" si="5"/>
        <v>35</v>
      </c>
      <c r="AC12" s="50">
        <f t="shared" si="6"/>
        <v>155</v>
      </c>
      <c r="AD12" s="50">
        <f t="shared" si="11"/>
        <v>230</v>
      </c>
      <c r="AE12" s="50">
        <f t="shared" si="12"/>
        <v>23</v>
      </c>
      <c r="AF12" s="50"/>
      <c r="AG12" t="s">
        <v>3126</v>
      </c>
      <c r="AH12" t="s">
        <v>3056</v>
      </c>
      <c r="AI12">
        <v>1</v>
      </c>
      <c r="AJ12">
        <f t="shared" si="13"/>
        <v>1</v>
      </c>
      <c r="AK12">
        <v>10</v>
      </c>
      <c r="AP12" s="7">
        <v>10</v>
      </c>
      <c r="AQ12" s="7">
        <v>100</v>
      </c>
      <c r="AS12" s="7">
        <v>10</v>
      </c>
      <c r="AT12" s="7">
        <f t="shared" si="7"/>
        <v>70.5</v>
      </c>
      <c r="AU12" s="7">
        <f t="shared" si="8"/>
        <v>119</v>
      </c>
    </row>
    <row r="13" spans="1:52" x14ac:dyDescent="0.15">
      <c r="A13">
        <v>1</v>
      </c>
      <c r="B13" t="s">
        <v>3126</v>
      </c>
      <c r="C13" t="s">
        <v>3127</v>
      </c>
      <c r="D13">
        <v>2</v>
      </c>
      <c r="E13" t="s">
        <v>3128</v>
      </c>
      <c r="F13" t="s">
        <v>3129</v>
      </c>
      <c r="G13">
        <v>5</v>
      </c>
      <c r="H13">
        <v>1</v>
      </c>
      <c r="I13" t="s">
        <v>3130</v>
      </c>
      <c r="J13" t="s">
        <v>3131</v>
      </c>
      <c r="K13" t="s">
        <v>3132</v>
      </c>
      <c r="L13" t="s">
        <v>3133</v>
      </c>
      <c r="M13">
        <v>1</v>
      </c>
      <c r="N13">
        <v>5</v>
      </c>
      <c r="O13">
        <v>10</v>
      </c>
      <c r="P13" t="str">
        <f t="shared" si="1"/>
        <v>[(112,10)]</v>
      </c>
      <c r="Q13">
        <f t="shared" si="2"/>
        <v>0.66666666666666663</v>
      </c>
      <c r="S13">
        <v>2</v>
      </c>
      <c r="T13">
        <v>1</v>
      </c>
      <c r="U13">
        <f t="shared" si="3"/>
        <v>13</v>
      </c>
      <c r="V13" s="50">
        <f t="shared" si="4"/>
        <v>9</v>
      </c>
      <c r="X13" s="50">
        <v>2</v>
      </c>
      <c r="Y13" s="50">
        <f t="shared" si="14"/>
        <v>2</v>
      </c>
      <c r="Z13" s="50">
        <v>11</v>
      </c>
      <c r="AA13" s="50">
        <f t="shared" si="10"/>
        <v>4</v>
      </c>
      <c r="AB13" s="50">
        <f t="shared" si="5"/>
        <v>60</v>
      </c>
      <c r="AC13" s="50">
        <f t="shared" si="6"/>
        <v>180</v>
      </c>
      <c r="AD13" s="50">
        <f t="shared" si="11"/>
        <v>260.5</v>
      </c>
      <c r="AE13" s="50">
        <f t="shared" si="12"/>
        <v>26</v>
      </c>
      <c r="AG13" t="s">
        <v>3088</v>
      </c>
      <c r="AH13" t="s">
        <v>3087</v>
      </c>
      <c r="AI13">
        <v>1.67</v>
      </c>
      <c r="AJ13">
        <f t="shared" si="13"/>
        <v>0.5988023952095809</v>
      </c>
      <c r="AK13">
        <v>15</v>
      </c>
      <c r="AP13" s="7">
        <v>11</v>
      </c>
      <c r="AQ13" s="7">
        <v>110</v>
      </c>
    </row>
    <row r="14" spans="1:52" x14ac:dyDescent="0.15">
      <c r="A14">
        <v>1</v>
      </c>
      <c r="B14" t="s">
        <v>3134</v>
      </c>
      <c r="C14" t="s">
        <v>3135</v>
      </c>
      <c r="D14">
        <v>2</v>
      </c>
      <c r="E14" t="s">
        <v>3102</v>
      </c>
      <c r="F14" t="s">
        <v>3136</v>
      </c>
      <c r="G14">
        <v>30</v>
      </c>
      <c r="H14">
        <v>2</v>
      </c>
      <c r="I14" t="s">
        <v>3137</v>
      </c>
      <c r="J14" t="s">
        <v>3138</v>
      </c>
      <c r="K14" t="s">
        <v>3139</v>
      </c>
      <c r="L14" t="s">
        <v>3140</v>
      </c>
      <c r="M14">
        <v>1</v>
      </c>
      <c r="N14">
        <v>30</v>
      </c>
      <c r="O14">
        <v>10</v>
      </c>
      <c r="P14" t="str">
        <f t="shared" si="1"/>
        <v>[(112,10)]</v>
      </c>
      <c r="Q14">
        <f t="shared" si="2"/>
        <v>4</v>
      </c>
      <c r="S14">
        <v>2</v>
      </c>
      <c r="T14">
        <v>2</v>
      </c>
      <c r="U14">
        <f t="shared" si="3"/>
        <v>10</v>
      </c>
      <c r="V14" s="50">
        <f t="shared" si="4"/>
        <v>5</v>
      </c>
      <c r="X14" s="50">
        <v>2</v>
      </c>
      <c r="Y14" s="50">
        <f t="shared" si="14"/>
        <v>2</v>
      </c>
      <c r="Z14" s="50">
        <v>12</v>
      </c>
      <c r="AA14" s="50">
        <f t="shared" si="10"/>
        <v>5</v>
      </c>
      <c r="AB14" s="50">
        <f t="shared" si="5"/>
        <v>60</v>
      </c>
      <c r="AC14" s="50">
        <f t="shared" si="6"/>
        <v>180</v>
      </c>
      <c r="AD14" s="50">
        <f t="shared" si="11"/>
        <v>266</v>
      </c>
      <c r="AE14" s="50">
        <f t="shared" si="12"/>
        <v>26</v>
      </c>
      <c r="AG14" t="s">
        <v>3141</v>
      </c>
      <c r="AH14" t="s">
        <v>3067</v>
      </c>
      <c r="AI14">
        <v>3</v>
      </c>
      <c r="AJ14">
        <f t="shared" si="13"/>
        <v>4.4444444444444446E-2</v>
      </c>
      <c r="AK14">
        <v>15</v>
      </c>
      <c r="AP14" s="7">
        <v>12</v>
      </c>
      <c r="AQ14" s="7">
        <v>120</v>
      </c>
    </row>
    <row r="15" spans="1:52" x14ac:dyDescent="0.15">
      <c r="A15">
        <v>1</v>
      </c>
      <c r="B15" t="s">
        <v>3142</v>
      </c>
      <c r="C15" t="s">
        <v>3143</v>
      </c>
      <c r="D15">
        <v>2</v>
      </c>
      <c r="E15" t="s">
        <v>1582</v>
      </c>
      <c r="F15" t="s">
        <v>3144</v>
      </c>
      <c r="G15">
        <v>5</v>
      </c>
      <c r="H15">
        <v>1</v>
      </c>
      <c r="I15" t="s">
        <v>3145</v>
      </c>
      <c r="J15" t="s">
        <v>3146</v>
      </c>
      <c r="K15" t="s">
        <v>3147</v>
      </c>
      <c r="L15" t="s">
        <v>3148</v>
      </c>
      <c r="M15">
        <v>1</v>
      </c>
      <c r="N15">
        <v>5</v>
      </c>
      <c r="O15">
        <v>15</v>
      </c>
      <c r="P15" t="str">
        <f t="shared" si="1"/>
        <v>[(112,15)]</v>
      </c>
      <c r="Q15">
        <f t="shared" si="2"/>
        <v>7</v>
      </c>
      <c r="S15">
        <v>2</v>
      </c>
      <c r="T15">
        <v>3</v>
      </c>
      <c r="U15">
        <f t="shared" si="3"/>
        <v>10</v>
      </c>
      <c r="V15" s="50">
        <f t="shared" si="4"/>
        <v>4</v>
      </c>
      <c r="X15" s="50">
        <v>2</v>
      </c>
      <c r="Y15" s="50">
        <f t="shared" si="14"/>
        <v>2</v>
      </c>
      <c r="Z15" s="50">
        <v>13</v>
      </c>
      <c r="AA15" s="50">
        <f t="shared" si="10"/>
        <v>6</v>
      </c>
      <c r="AB15" s="50">
        <f t="shared" si="5"/>
        <v>90</v>
      </c>
      <c r="AC15" s="50">
        <f t="shared" si="6"/>
        <v>210</v>
      </c>
      <c r="AD15" s="50">
        <f t="shared" si="11"/>
        <v>301.5</v>
      </c>
      <c r="AE15" s="50">
        <f t="shared" si="12"/>
        <v>30</v>
      </c>
      <c r="AG15" t="s">
        <v>3120</v>
      </c>
      <c r="AH15" t="s">
        <v>3087</v>
      </c>
      <c r="AI15">
        <v>2</v>
      </c>
      <c r="AJ15">
        <f t="shared" si="13"/>
        <v>0.5</v>
      </c>
      <c r="AK15">
        <v>15</v>
      </c>
      <c r="AP15" s="7">
        <v>13</v>
      </c>
      <c r="AQ15" s="7">
        <v>130</v>
      </c>
    </row>
    <row r="16" spans="1:52" x14ac:dyDescent="0.15">
      <c r="A16">
        <v>1</v>
      </c>
      <c r="B16" t="s">
        <v>3149</v>
      </c>
      <c r="C16" t="s">
        <v>3150</v>
      </c>
      <c r="D16">
        <v>2</v>
      </c>
      <c r="E16" t="s">
        <v>1644</v>
      </c>
      <c r="F16" t="s">
        <v>3061</v>
      </c>
      <c r="G16">
        <v>150</v>
      </c>
      <c r="H16">
        <v>1</v>
      </c>
      <c r="I16" t="s">
        <v>3151</v>
      </c>
      <c r="J16" t="s">
        <v>3152</v>
      </c>
      <c r="K16" t="s">
        <v>3153</v>
      </c>
      <c r="L16" t="s">
        <v>3154</v>
      </c>
      <c r="M16">
        <v>1</v>
      </c>
      <c r="N16">
        <v>150</v>
      </c>
      <c r="O16">
        <v>5</v>
      </c>
      <c r="P16" t="str">
        <f t="shared" si="1"/>
        <v>[(112,5)]</v>
      </c>
      <c r="Q16">
        <f t="shared" si="2"/>
        <v>0.8</v>
      </c>
      <c r="S16">
        <v>2</v>
      </c>
      <c r="T16">
        <v>4</v>
      </c>
      <c r="U16">
        <f t="shared" si="3"/>
        <v>11</v>
      </c>
      <c r="V16" s="50">
        <f t="shared" si="4"/>
        <v>4</v>
      </c>
      <c r="X16" s="50">
        <v>2</v>
      </c>
      <c r="Y16" s="50">
        <f t="shared" si="14"/>
        <v>2</v>
      </c>
      <c r="Z16" s="50">
        <v>14</v>
      </c>
      <c r="AA16" s="50">
        <f t="shared" si="10"/>
        <v>7</v>
      </c>
      <c r="AB16" s="50">
        <f t="shared" si="5"/>
        <v>100</v>
      </c>
      <c r="AC16" s="50">
        <f t="shared" si="6"/>
        <v>220</v>
      </c>
      <c r="AD16" s="50">
        <f t="shared" si="11"/>
        <v>317</v>
      </c>
      <c r="AE16" s="50">
        <f t="shared" si="12"/>
        <v>31</v>
      </c>
      <c r="AG16" t="s">
        <v>3155</v>
      </c>
      <c r="AH16" t="s">
        <v>3077</v>
      </c>
      <c r="AI16">
        <v>1</v>
      </c>
      <c r="AJ16">
        <f t="shared" si="13"/>
        <v>0.13333333333333333</v>
      </c>
      <c r="AK16">
        <v>20</v>
      </c>
      <c r="AP16" s="7">
        <v>14</v>
      </c>
      <c r="AQ16" s="7">
        <v>140</v>
      </c>
    </row>
    <row r="17" spans="1:43" x14ac:dyDescent="0.15">
      <c r="A17">
        <v>1</v>
      </c>
      <c r="B17" t="s">
        <v>3088</v>
      </c>
      <c r="C17" t="s">
        <v>3089</v>
      </c>
      <c r="D17">
        <v>2</v>
      </c>
      <c r="E17" t="s">
        <v>3156</v>
      </c>
      <c r="F17" t="s">
        <v>3061</v>
      </c>
      <c r="G17">
        <v>15</v>
      </c>
      <c r="H17">
        <v>1</v>
      </c>
      <c r="I17" t="s">
        <v>3091</v>
      </c>
      <c r="J17" t="s">
        <v>3092</v>
      </c>
      <c r="K17" t="s">
        <v>3093</v>
      </c>
      <c r="L17" t="s">
        <v>3094</v>
      </c>
      <c r="M17">
        <v>1</v>
      </c>
      <c r="N17">
        <v>15</v>
      </c>
      <c r="O17">
        <v>5</v>
      </c>
      <c r="P17" t="str">
        <f t="shared" si="1"/>
        <v>[(112,5)]</v>
      </c>
      <c r="Q17">
        <f t="shared" si="2"/>
        <v>3.3399999999999994</v>
      </c>
      <c r="S17">
        <v>2</v>
      </c>
      <c r="T17">
        <v>5</v>
      </c>
      <c r="U17">
        <f t="shared" si="3"/>
        <v>10</v>
      </c>
      <c r="V17" s="50">
        <f t="shared" si="4"/>
        <v>5</v>
      </c>
      <c r="X17" s="50">
        <v>2</v>
      </c>
      <c r="Y17" s="50">
        <f t="shared" si="14"/>
        <v>3</v>
      </c>
      <c r="Z17" s="50">
        <v>15</v>
      </c>
      <c r="AA17" s="50">
        <f t="shared" si="10"/>
        <v>1</v>
      </c>
      <c r="AB17" s="50">
        <f t="shared" si="5"/>
        <v>0</v>
      </c>
      <c r="AC17" s="50">
        <f t="shared" si="6"/>
        <v>220</v>
      </c>
      <c r="AD17" s="50">
        <f t="shared" si="11"/>
        <v>322.5</v>
      </c>
      <c r="AE17" s="50">
        <f t="shared" si="12"/>
        <v>32</v>
      </c>
      <c r="AG17" t="s">
        <v>3157</v>
      </c>
      <c r="AH17" t="s">
        <v>3067</v>
      </c>
      <c r="AI17">
        <v>7</v>
      </c>
      <c r="AJ17">
        <f t="shared" si="13"/>
        <v>1.9047619047619049E-2</v>
      </c>
      <c r="AK17">
        <v>10</v>
      </c>
      <c r="AP17" s="7">
        <v>15</v>
      </c>
      <c r="AQ17" s="7">
        <v>150</v>
      </c>
    </row>
    <row r="18" spans="1:43" x14ac:dyDescent="0.15">
      <c r="A18">
        <v>1</v>
      </c>
      <c r="B18" t="s">
        <v>3100</v>
      </c>
      <c r="C18" t="s">
        <v>3101</v>
      </c>
      <c r="D18">
        <v>2</v>
      </c>
      <c r="E18" t="s">
        <v>1650</v>
      </c>
      <c r="F18" t="s">
        <v>3061</v>
      </c>
      <c r="G18">
        <v>50</v>
      </c>
      <c r="H18">
        <v>1</v>
      </c>
      <c r="I18" t="s">
        <v>3103</v>
      </c>
      <c r="J18" t="s">
        <v>3104</v>
      </c>
      <c r="K18" t="s">
        <v>3105</v>
      </c>
      <c r="L18" t="s">
        <v>3106</v>
      </c>
      <c r="M18">
        <v>1</v>
      </c>
      <c r="N18">
        <v>50</v>
      </c>
      <c r="O18">
        <v>10</v>
      </c>
      <c r="P18" t="str">
        <f t="shared" si="1"/>
        <v>[(112,10)]</v>
      </c>
      <c r="Q18">
        <f t="shared" si="2"/>
        <v>1.3333333333333333</v>
      </c>
      <c r="S18">
        <v>2</v>
      </c>
      <c r="T18">
        <v>6</v>
      </c>
      <c r="U18">
        <f t="shared" si="3"/>
        <v>10</v>
      </c>
      <c r="V18" s="50">
        <f t="shared" si="4"/>
        <v>5</v>
      </c>
      <c r="X18" s="50">
        <v>2</v>
      </c>
      <c r="Y18" s="50">
        <f t="shared" si="14"/>
        <v>3</v>
      </c>
      <c r="Z18" s="50">
        <v>16</v>
      </c>
      <c r="AA18" s="50">
        <f t="shared" si="10"/>
        <v>2</v>
      </c>
      <c r="AB18" s="50">
        <f t="shared" si="5"/>
        <v>15</v>
      </c>
      <c r="AC18" s="50">
        <f t="shared" si="6"/>
        <v>235</v>
      </c>
      <c r="AD18" s="50">
        <f t="shared" si="11"/>
        <v>343</v>
      </c>
      <c r="AE18" s="50">
        <f t="shared" si="12"/>
        <v>34</v>
      </c>
      <c r="AG18" t="s">
        <v>3113</v>
      </c>
      <c r="AH18" t="s">
        <v>3077</v>
      </c>
      <c r="AI18">
        <v>2</v>
      </c>
      <c r="AJ18">
        <f t="shared" si="13"/>
        <v>0.26666666666666666</v>
      </c>
      <c r="AK18">
        <v>5</v>
      </c>
      <c r="AP18" s="7">
        <v>16</v>
      </c>
      <c r="AQ18" s="7">
        <v>160</v>
      </c>
    </row>
    <row r="19" spans="1:43" x14ac:dyDescent="0.15">
      <c r="A19">
        <v>1</v>
      </c>
      <c r="B19" t="s">
        <v>3112</v>
      </c>
      <c r="C19" t="s">
        <v>3158</v>
      </c>
      <c r="D19">
        <v>2</v>
      </c>
      <c r="E19" t="s">
        <v>1580</v>
      </c>
      <c r="F19" t="s">
        <v>3061</v>
      </c>
      <c r="G19">
        <v>3</v>
      </c>
      <c r="H19">
        <v>2</v>
      </c>
      <c r="I19" t="s">
        <v>3159</v>
      </c>
      <c r="J19" t="s">
        <v>3160</v>
      </c>
      <c r="K19" t="s">
        <v>3161</v>
      </c>
      <c r="L19" t="s">
        <v>3162</v>
      </c>
      <c r="M19">
        <v>14</v>
      </c>
      <c r="N19">
        <v>3</v>
      </c>
      <c r="O19">
        <v>5</v>
      </c>
      <c r="P19" t="str">
        <f t="shared" si="1"/>
        <v>[(112,5)]</v>
      </c>
      <c r="Q19">
        <f t="shared" si="2"/>
        <v>6</v>
      </c>
      <c r="S19">
        <v>2</v>
      </c>
      <c r="T19">
        <v>7</v>
      </c>
      <c r="U19">
        <f t="shared" si="3"/>
        <v>11</v>
      </c>
      <c r="V19" s="50">
        <f t="shared" si="4"/>
        <v>5</v>
      </c>
      <c r="X19" s="50">
        <v>2</v>
      </c>
      <c r="Y19" s="50">
        <f t="shared" si="14"/>
        <v>3</v>
      </c>
      <c r="Z19" s="50">
        <v>17</v>
      </c>
      <c r="AA19" s="50">
        <f t="shared" si="10"/>
        <v>3</v>
      </c>
      <c r="AB19" s="50">
        <f t="shared" si="5"/>
        <v>40</v>
      </c>
      <c r="AC19" s="50">
        <f t="shared" si="6"/>
        <v>260</v>
      </c>
      <c r="AD19" s="50">
        <f t="shared" si="11"/>
        <v>373.5</v>
      </c>
      <c r="AE19" s="50">
        <f t="shared" si="12"/>
        <v>37</v>
      </c>
      <c r="AG19" t="s">
        <v>3163</v>
      </c>
      <c r="AH19" t="s">
        <v>3067</v>
      </c>
      <c r="AI19">
        <v>10</v>
      </c>
      <c r="AJ19">
        <f t="shared" si="13"/>
        <v>1.3333333333333334E-2</v>
      </c>
      <c r="AK19">
        <v>15</v>
      </c>
      <c r="AP19" s="7">
        <v>17</v>
      </c>
      <c r="AQ19" s="7">
        <v>170</v>
      </c>
    </row>
    <row r="20" spans="1:43" x14ac:dyDescent="0.15">
      <c r="A20">
        <v>1</v>
      </c>
      <c r="B20" t="s">
        <v>3119</v>
      </c>
      <c r="C20" t="s">
        <v>3164</v>
      </c>
      <c r="D20">
        <v>2</v>
      </c>
      <c r="E20" t="s">
        <v>1580</v>
      </c>
      <c r="F20" t="s">
        <v>3165</v>
      </c>
      <c r="G20">
        <v>1</v>
      </c>
      <c r="H20">
        <v>2</v>
      </c>
      <c r="I20" t="s">
        <v>3166</v>
      </c>
      <c r="J20" t="s">
        <v>3167</v>
      </c>
      <c r="K20" t="s">
        <v>3168</v>
      </c>
      <c r="L20" t="s">
        <v>3169</v>
      </c>
      <c r="M20">
        <v>1</v>
      </c>
      <c r="N20">
        <v>1</v>
      </c>
      <c r="O20">
        <v>10</v>
      </c>
      <c r="P20" t="str">
        <f t="shared" si="1"/>
        <v>[(112,10)]</v>
      </c>
      <c r="Q20">
        <f t="shared" si="2"/>
        <v>0.13333333333333333</v>
      </c>
      <c r="S20">
        <v>2</v>
      </c>
      <c r="T20">
        <v>8</v>
      </c>
      <c r="U20">
        <f t="shared" si="3"/>
        <v>9</v>
      </c>
      <c r="V20" s="50">
        <f t="shared" si="4"/>
        <v>4</v>
      </c>
      <c r="X20" s="50">
        <v>2</v>
      </c>
      <c r="Y20" s="50">
        <f t="shared" si="14"/>
        <v>3</v>
      </c>
      <c r="Z20" s="50">
        <v>18</v>
      </c>
      <c r="AA20" s="50">
        <f t="shared" si="10"/>
        <v>4</v>
      </c>
      <c r="AB20" s="50">
        <f t="shared" si="5"/>
        <v>90</v>
      </c>
      <c r="AC20" s="50">
        <f t="shared" si="6"/>
        <v>310</v>
      </c>
      <c r="AD20" s="50">
        <f t="shared" si="11"/>
        <v>429</v>
      </c>
      <c r="AE20" s="50">
        <f t="shared" si="12"/>
        <v>42</v>
      </c>
      <c r="AG20" t="s">
        <v>3170</v>
      </c>
      <c r="AH20" t="s">
        <v>3067</v>
      </c>
      <c r="AI20">
        <v>1</v>
      </c>
      <c r="AJ20">
        <f t="shared" si="13"/>
        <v>0.13333333333333333</v>
      </c>
      <c r="AK20">
        <v>10</v>
      </c>
      <c r="AP20" s="7">
        <v>18</v>
      </c>
      <c r="AQ20" s="7">
        <v>180</v>
      </c>
    </row>
    <row r="21" spans="1:43" x14ac:dyDescent="0.15">
      <c r="A21">
        <v>1</v>
      </c>
      <c r="B21" t="s">
        <v>3170</v>
      </c>
      <c r="C21" t="s">
        <v>3171</v>
      </c>
      <c r="D21">
        <v>2</v>
      </c>
      <c r="E21" t="s">
        <v>3090</v>
      </c>
      <c r="F21" t="s">
        <v>3061</v>
      </c>
      <c r="G21">
        <v>10</v>
      </c>
      <c r="H21">
        <v>2</v>
      </c>
      <c r="I21" t="s">
        <v>3172</v>
      </c>
      <c r="J21" t="s">
        <v>3173</v>
      </c>
      <c r="K21" t="s">
        <v>3174</v>
      </c>
      <c r="L21" t="s">
        <v>3175</v>
      </c>
      <c r="M21">
        <v>17</v>
      </c>
      <c r="N21">
        <v>10</v>
      </c>
      <c r="O21">
        <v>10</v>
      </c>
      <c r="P21" t="str">
        <f t="shared" si="1"/>
        <v>[(112,10)]</v>
      </c>
      <c r="Q21">
        <f t="shared" si="2"/>
        <v>7</v>
      </c>
      <c r="S21">
        <v>2</v>
      </c>
      <c r="T21">
        <v>9</v>
      </c>
      <c r="U21">
        <f t="shared" si="3"/>
        <v>10</v>
      </c>
      <c r="V21" s="50">
        <f t="shared" si="4"/>
        <v>5</v>
      </c>
      <c r="X21" s="50">
        <v>2</v>
      </c>
      <c r="Y21" s="50">
        <f t="shared" si="14"/>
        <v>3</v>
      </c>
      <c r="Z21" s="50">
        <v>19</v>
      </c>
      <c r="AA21" s="50">
        <f t="shared" si="10"/>
        <v>5</v>
      </c>
      <c r="AB21" s="50">
        <f t="shared" si="5"/>
        <v>105</v>
      </c>
      <c r="AC21" s="50">
        <f t="shared" si="6"/>
        <v>325</v>
      </c>
      <c r="AD21" s="50">
        <f t="shared" si="11"/>
        <v>449.5</v>
      </c>
      <c r="AE21" s="50">
        <f t="shared" si="12"/>
        <v>44</v>
      </c>
      <c r="AG21" t="s">
        <v>3149</v>
      </c>
      <c r="AH21" t="s">
        <v>3056</v>
      </c>
      <c r="AI21">
        <v>25</v>
      </c>
      <c r="AJ21">
        <f t="shared" si="13"/>
        <v>25</v>
      </c>
      <c r="AK21">
        <v>5</v>
      </c>
      <c r="AP21" s="7">
        <v>19</v>
      </c>
      <c r="AQ21" s="7">
        <v>190</v>
      </c>
    </row>
    <row r="22" spans="1:43" x14ac:dyDescent="0.15">
      <c r="A22">
        <v>1</v>
      </c>
      <c r="B22" t="s">
        <v>3076</v>
      </c>
      <c r="C22" t="s">
        <v>3176</v>
      </c>
      <c r="D22">
        <v>2</v>
      </c>
      <c r="E22" t="s">
        <v>3090</v>
      </c>
      <c r="F22" t="s">
        <v>3061</v>
      </c>
      <c r="G22">
        <v>10</v>
      </c>
      <c r="H22">
        <v>2</v>
      </c>
      <c r="I22" t="s">
        <v>3177</v>
      </c>
      <c r="J22" t="s">
        <v>3178</v>
      </c>
      <c r="K22" t="s">
        <v>3721</v>
      </c>
      <c r="L22" s="256" t="s">
        <v>3720</v>
      </c>
      <c r="M22">
        <v>16</v>
      </c>
      <c r="N22">
        <v>10</v>
      </c>
      <c r="O22">
        <v>10</v>
      </c>
      <c r="P22" t="str">
        <f t="shared" si="1"/>
        <v>[(112,10)]</v>
      </c>
      <c r="Q22">
        <f t="shared" si="2"/>
        <v>7</v>
      </c>
      <c r="S22">
        <v>2</v>
      </c>
      <c r="T22">
        <v>10</v>
      </c>
      <c r="U22">
        <f t="shared" si="3"/>
        <v>11</v>
      </c>
      <c r="V22" s="50">
        <f t="shared" si="4"/>
        <v>5</v>
      </c>
      <c r="X22" s="50">
        <v>2</v>
      </c>
      <c r="Y22" s="50">
        <f t="shared" si="14"/>
        <v>3</v>
      </c>
      <c r="Z22" s="50">
        <v>20</v>
      </c>
      <c r="AA22" s="50">
        <f t="shared" si="10"/>
        <v>6</v>
      </c>
      <c r="AB22" s="50">
        <f t="shared" si="5"/>
        <v>120</v>
      </c>
      <c r="AC22" s="50">
        <f t="shared" si="6"/>
        <v>340</v>
      </c>
      <c r="AD22" s="50">
        <f t="shared" si="11"/>
        <v>470</v>
      </c>
      <c r="AE22" s="50">
        <f t="shared" si="12"/>
        <v>47</v>
      </c>
      <c r="AG22" t="s">
        <v>3179</v>
      </c>
      <c r="AH22" t="s">
        <v>3077</v>
      </c>
      <c r="AI22">
        <v>2</v>
      </c>
      <c r="AJ22">
        <f t="shared" si="13"/>
        <v>0.26666666666666666</v>
      </c>
      <c r="AK22">
        <v>15</v>
      </c>
      <c r="AP22" s="7">
        <v>20</v>
      </c>
      <c r="AQ22" s="7">
        <v>200</v>
      </c>
    </row>
    <row r="23" spans="1:43" x14ac:dyDescent="0.15">
      <c r="A23">
        <v>1</v>
      </c>
      <c r="B23" t="s">
        <v>3180</v>
      </c>
      <c r="C23" t="s">
        <v>3181</v>
      </c>
      <c r="D23">
        <v>3</v>
      </c>
      <c r="E23" t="s">
        <v>3070</v>
      </c>
      <c r="F23" t="s">
        <v>3061</v>
      </c>
      <c r="G23">
        <v>4</v>
      </c>
      <c r="H23">
        <v>2</v>
      </c>
      <c r="I23" t="s">
        <v>3182</v>
      </c>
      <c r="J23" t="s">
        <v>3183</v>
      </c>
      <c r="K23" t="s">
        <v>3184</v>
      </c>
      <c r="L23" t="s">
        <v>3185</v>
      </c>
      <c r="M23">
        <v>8</v>
      </c>
      <c r="N23">
        <v>4</v>
      </c>
      <c r="O23">
        <v>5</v>
      </c>
      <c r="P23" t="str">
        <f t="shared" si="1"/>
        <v>[(112,5)]</v>
      </c>
      <c r="Q23">
        <f t="shared" si="2"/>
        <v>2</v>
      </c>
      <c r="X23" s="50">
        <v>2</v>
      </c>
      <c r="Y23" s="50">
        <f t="shared" si="14"/>
        <v>3</v>
      </c>
      <c r="Z23" s="50">
        <v>21</v>
      </c>
      <c r="AA23" s="50">
        <f t="shared" si="10"/>
        <v>7</v>
      </c>
      <c r="AB23" s="50">
        <f t="shared" si="5"/>
        <v>120</v>
      </c>
      <c r="AC23" s="50">
        <f t="shared" si="6"/>
        <v>340</v>
      </c>
      <c r="AD23" s="50">
        <f t="shared" si="11"/>
        <v>475.5</v>
      </c>
      <c r="AE23" s="50">
        <f t="shared" si="12"/>
        <v>47</v>
      </c>
      <c r="AG23" t="s">
        <v>3142</v>
      </c>
      <c r="AH23" t="s">
        <v>3067</v>
      </c>
      <c r="AI23">
        <v>3</v>
      </c>
      <c r="AJ23">
        <f t="shared" si="13"/>
        <v>4.4444444444444446E-2</v>
      </c>
      <c r="AK23">
        <v>10</v>
      </c>
      <c r="AP23" s="7">
        <v>21</v>
      </c>
      <c r="AQ23" s="7">
        <v>210</v>
      </c>
    </row>
    <row r="24" spans="1:43" x14ac:dyDescent="0.15">
      <c r="A24">
        <v>1</v>
      </c>
      <c r="B24" t="s">
        <v>3066</v>
      </c>
      <c r="C24" t="s">
        <v>3069</v>
      </c>
      <c r="D24">
        <v>3</v>
      </c>
      <c r="E24" t="s">
        <v>3060</v>
      </c>
      <c r="F24" t="s">
        <v>3186</v>
      </c>
      <c r="G24">
        <v>1</v>
      </c>
      <c r="H24">
        <v>2</v>
      </c>
      <c r="I24" t="s">
        <v>3072</v>
      </c>
      <c r="J24" t="s">
        <v>3073</v>
      </c>
      <c r="K24" t="s">
        <v>3074</v>
      </c>
      <c r="L24" t="s">
        <v>3075</v>
      </c>
      <c r="M24">
        <v>1</v>
      </c>
      <c r="N24">
        <v>1</v>
      </c>
      <c r="O24">
        <v>15</v>
      </c>
      <c r="P24" t="str">
        <f t="shared" si="1"/>
        <v>[(112,15)]</v>
      </c>
      <c r="Q24">
        <f t="shared" si="2"/>
        <v>3</v>
      </c>
      <c r="X24" s="50">
        <v>2</v>
      </c>
      <c r="Y24" s="50">
        <f t="shared" si="14"/>
        <v>4</v>
      </c>
      <c r="Z24" s="50">
        <v>22</v>
      </c>
      <c r="AA24" s="50">
        <f t="shared" si="10"/>
        <v>1</v>
      </c>
      <c r="AB24" s="50">
        <f t="shared" si="5"/>
        <v>10</v>
      </c>
      <c r="AC24" s="50">
        <f t="shared" si="6"/>
        <v>350</v>
      </c>
      <c r="AD24" s="50">
        <f t="shared" si="11"/>
        <v>511</v>
      </c>
      <c r="AE24" s="50">
        <f t="shared" si="12"/>
        <v>51</v>
      </c>
      <c r="AG24" t="s">
        <v>3058</v>
      </c>
      <c r="AH24" t="s">
        <v>3077</v>
      </c>
      <c r="AI24">
        <v>2</v>
      </c>
      <c r="AJ24">
        <f t="shared" si="13"/>
        <v>0.26666666666666666</v>
      </c>
      <c r="AK24">
        <v>5</v>
      </c>
      <c r="AP24" s="7">
        <v>22</v>
      </c>
      <c r="AQ24" s="7">
        <v>220</v>
      </c>
    </row>
    <row r="25" spans="1:43" x14ac:dyDescent="0.15">
      <c r="A25">
        <v>1</v>
      </c>
      <c r="B25" t="s">
        <v>3088</v>
      </c>
      <c r="C25" t="s">
        <v>3089</v>
      </c>
      <c r="D25">
        <v>3</v>
      </c>
      <c r="E25" t="s">
        <v>3187</v>
      </c>
      <c r="F25" t="s">
        <v>3061</v>
      </c>
      <c r="G25">
        <v>25</v>
      </c>
      <c r="H25">
        <v>1</v>
      </c>
      <c r="I25" t="s">
        <v>3091</v>
      </c>
      <c r="J25" t="s">
        <v>3092</v>
      </c>
      <c r="K25" t="s">
        <v>3093</v>
      </c>
      <c r="L25" t="s">
        <v>3094</v>
      </c>
      <c r="M25">
        <v>1</v>
      </c>
      <c r="N25">
        <v>25</v>
      </c>
      <c r="O25">
        <v>5</v>
      </c>
      <c r="P25" t="str">
        <f t="shared" si="1"/>
        <v>[(112,5)]</v>
      </c>
      <c r="Q25">
        <f t="shared" si="2"/>
        <v>5.5666666666666655</v>
      </c>
      <c r="X25" s="50">
        <v>2</v>
      </c>
      <c r="Y25" s="50">
        <f t="shared" si="14"/>
        <v>4</v>
      </c>
      <c r="Z25" s="50">
        <v>23</v>
      </c>
      <c r="AA25" s="50">
        <f t="shared" si="10"/>
        <v>2</v>
      </c>
      <c r="AB25" s="50">
        <f t="shared" si="5"/>
        <v>50</v>
      </c>
      <c r="AC25" s="50">
        <f t="shared" si="6"/>
        <v>390</v>
      </c>
      <c r="AD25" s="50">
        <f t="shared" si="11"/>
        <v>556.5</v>
      </c>
      <c r="AE25" s="50">
        <f t="shared" si="12"/>
        <v>55</v>
      </c>
      <c r="AG25" t="s">
        <v>3134</v>
      </c>
      <c r="AH25" t="s">
        <v>3056</v>
      </c>
      <c r="AI25">
        <v>1</v>
      </c>
      <c r="AJ25">
        <f t="shared" si="13"/>
        <v>1</v>
      </c>
      <c r="AK25">
        <v>10</v>
      </c>
      <c r="AP25" s="7">
        <v>23</v>
      </c>
      <c r="AQ25" s="7">
        <v>230</v>
      </c>
    </row>
    <row r="26" spans="1:43" x14ac:dyDescent="0.15">
      <c r="A26">
        <v>1</v>
      </c>
      <c r="B26" t="s">
        <v>3086</v>
      </c>
      <c r="C26" t="s">
        <v>3095</v>
      </c>
      <c r="D26">
        <v>3</v>
      </c>
      <c r="E26" t="s">
        <v>3060</v>
      </c>
      <c r="F26" t="s">
        <v>3061</v>
      </c>
      <c r="G26">
        <v>6</v>
      </c>
      <c r="H26">
        <v>2</v>
      </c>
      <c r="I26" t="s">
        <v>3096</v>
      </c>
      <c r="J26" t="s">
        <v>3097</v>
      </c>
      <c r="K26" t="s">
        <v>3098</v>
      </c>
      <c r="L26" t="s">
        <v>3099</v>
      </c>
      <c r="M26">
        <v>1</v>
      </c>
      <c r="N26">
        <v>6</v>
      </c>
      <c r="O26">
        <v>10</v>
      </c>
      <c r="P26" t="str">
        <f t="shared" si="1"/>
        <v>[(112,10)]</v>
      </c>
      <c r="Q26">
        <f t="shared" si="2"/>
        <v>4</v>
      </c>
      <c r="X26" s="50">
        <v>2</v>
      </c>
      <c r="Y26" s="50">
        <f t="shared" si="14"/>
        <v>4</v>
      </c>
      <c r="Z26" s="50">
        <v>24</v>
      </c>
      <c r="AA26" s="50">
        <f t="shared" si="10"/>
        <v>3</v>
      </c>
      <c r="AB26" s="50">
        <f t="shared" si="5"/>
        <v>65</v>
      </c>
      <c r="AC26" s="50">
        <f t="shared" si="6"/>
        <v>405</v>
      </c>
      <c r="AD26" s="50">
        <f t="shared" si="11"/>
        <v>577</v>
      </c>
      <c r="AE26" s="50">
        <f t="shared" si="12"/>
        <v>57</v>
      </c>
      <c r="AG26" t="s">
        <v>3180</v>
      </c>
      <c r="AH26" t="s">
        <v>3077</v>
      </c>
      <c r="AI26">
        <v>2</v>
      </c>
      <c r="AJ26">
        <f t="shared" si="13"/>
        <v>0.26666666666666666</v>
      </c>
      <c r="AK26">
        <v>10</v>
      </c>
      <c r="AP26" s="7">
        <v>24</v>
      </c>
      <c r="AQ26" s="7">
        <v>240</v>
      </c>
    </row>
    <row r="27" spans="1:43" x14ac:dyDescent="0.15">
      <c r="A27">
        <v>1</v>
      </c>
      <c r="B27" t="s">
        <v>3055</v>
      </c>
      <c r="C27" t="s">
        <v>3107</v>
      </c>
      <c r="D27">
        <v>3</v>
      </c>
      <c r="E27" t="s">
        <v>3188</v>
      </c>
      <c r="F27" t="s">
        <v>3061</v>
      </c>
      <c r="G27">
        <v>80</v>
      </c>
      <c r="H27">
        <v>1</v>
      </c>
      <c r="I27" t="s">
        <v>3108</v>
      </c>
      <c r="J27" t="s">
        <v>3109</v>
      </c>
      <c r="K27" t="s">
        <v>3110</v>
      </c>
      <c r="L27" t="s">
        <v>3111</v>
      </c>
      <c r="M27">
        <v>1</v>
      </c>
      <c r="N27">
        <v>80</v>
      </c>
      <c r="O27">
        <v>15</v>
      </c>
      <c r="P27" t="str">
        <f t="shared" si="1"/>
        <v>[(112,15)]</v>
      </c>
      <c r="Q27">
        <f t="shared" si="2"/>
        <v>3.5555555555555558</v>
      </c>
      <c r="X27" s="50">
        <v>2</v>
      </c>
      <c r="Y27" s="50">
        <f t="shared" si="14"/>
        <v>4</v>
      </c>
      <c r="Z27" s="50">
        <v>25</v>
      </c>
      <c r="AA27" s="50">
        <f t="shared" si="10"/>
        <v>4</v>
      </c>
      <c r="AB27" s="50">
        <f t="shared" si="5"/>
        <v>70</v>
      </c>
      <c r="AC27" s="50">
        <f t="shared" si="6"/>
        <v>410</v>
      </c>
      <c r="AD27" s="50">
        <f t="shared" si="11"/>
        <v>587.5</v>
      </c>
      <c r="AE27" s="50">
        <f t="shared" si="12"/>
        <v>58</v>
      </c>
      <c r="AG27" t="s">
        <v>3189</v>
      </c>
      <c r="AH27" t="s">
        <v>3067</v>
      </c>
      <c r="AI27">
        <v>7</v>
      </c>
      <c r="AJ27">
        <f t="shared" si="13"/>
        <v>1.9047619047619049E-2</v>
      </c>
      <c r="AK27">
        <v>15</v>
      </c>
      <c r="AP27" s="7">
        <v>25</v>
      </c>
      <c r="AQ27" s="7">
        <v>250</v>
      </c>
    </row>
    <row r="28" spans="1:43" x14ac:dyDescent="0.15">
      <c r="A28">
        <v>1</v>
      </c>
      <c r="B28" t="s">
        <v>3190</v>
      </c>
      <c r="C28" t="s">
        <v>3191</v>
      </c>
      <c r="D28">
        <v>3</v>
      </c>
      <c r="E28" t="s">
        <v>3156</v>
      </c>
      <c r="F28" t="s">
        <v>3061</v>
      </c>
      <c r="G28">
        <v>15</v>
      </c>
      <c r="H28">
        <v>1</v>
      </c>
      <c r="I28" t="s">
        <v>3192</v>
      </c>
      <c r="J28" t="s">
        <v>3193</v>
      </c>
      <c r="K28" t="s">
        <v>3194</v>
      </c>
      <c r="L28" t="s">
        <v>3195</v>
      </c>
      <c r="M28">
        <v>11</v>
      </c>
      <c r="N28">
        <v>15</v>
      </c>
      <c r="O28">
        <v>15</v>
      </c>
      <c r="P28" t="str">
        <f t="shared" si="1"/>
        <v>[(112,15)]</v>
      </c>
      <c r="Q28">
        <f t="shared" si="2"/>
        <v>3.75</v>
      </c>
      <c r="X28" s="50">
        <v>2</v>
      </c>
      <c r="Y28" s="50">
        <f t="shared" si="14"/>
        <v>4</v>
      </c>
      <c r="Z28" s="50">
        <v>26</v>
      </c>
      <c r="AA28" s="50">
        <f t="shared" si="10"/>
        <v>5</v>
      </c>
      <c r="AB28" s="50">
        <f t="shared" si="5"/>
        <v>85</v>
      </c>
      <c r="AC28" s="50">
        <f t="shared" si="6"/>
        <v>425</v>
      </c>
      <c r="AD28" s="50">
        <f t="shared" si="11"/>
        <v>608</v>
      </c>
      <c r="AE28" s="50">
        <f t="shared" si="12"/>
        <v>60</v>
      </c>
      <c r="AG28" t="s">
        <v>3196</v>
      </c>
      <c r="AH28" t="s">
        <v>3067</v>
      </c>
      <c r="AI28">
        <v>7</v>
      </c>
      <c r="AJ28">
        <f t="shared" si="13"/>
        <v>1.9047619047619049E-2</v>
      </c>
      <c r="AK28">
        <v>15</v>
      </c>
      <c r="AP28" s="7">
        <v>26</v>
      </c>
      <c r="AQ28" s="7">
        <v>260</v>
      </c>
    </row>
    <row r="29" spans="1:43" x14ac:dyDescent="0.15">
      <c r="A29">
        <v>1</v>
      </c>
      <c r="B29" t="s">
        <v>3197</v>
      </c>
      <c r="C29" t="s">
        <v>3198</v>
      </c>
      <c r="D29">
        <v>3</v>
      </c>
      <c r="E29" t="s">
        <v>3199</v>
      </c>
      <c r="F29" t="s">
        <v>3061</v>
      </c>
      <c r="G29">
        <v>20000</v>
      </c>
      <c r="H29">
        <v>2</v>
      </c>
      <c r="I29" t="s">
        <v>3200</v>
      </c>
      <c r="J29" t="s">
        <v>3201</v>
      </c>
      <c r="K29" t="s">
        <v>3202</v>
      </c>
      <c r="L29" t="s">
        <v>3203</v>
      </c>
      <c r="M29">
        <v>17</v>
      </c>
      <c r="N29">
        <v>20000</v>
      </c>
      <c r="O29">
        <v>5</v>
      </c>
      <c r="P29" t="str">
        <f t="shared" si="1"/>
        <v>[(112,5)]</v>
      </c>
      <c r="Q29">
        <f t="shared" si="2"/>
        <v>5</v>
      </c>
      <c r="X29" s="50">
        <v>2</v>
      </c>
      <c r="Y29" s="50">
        <f t="shared" si="14"/>
        <v>4</v>
      </c>
      <c r="Z29" s="50">
        <v>27</v>
      </c>
      <c r="AA29" s="50">
        <f t="shared" si="10"/>
        <v>6</v>
      </c>
      <c r="AB29" s="50">
        <f t="shared" si="5"/>
        <v>95</v>
      </c>
      <c r="AC29" s="50">
        <f t="shared" si="6"/>
        <v>435</v>
      </c>
      <c r="AD29" s="50">
        <f t="shared" si="11"/>
        <v>623.5</v>
      </c>
      <c r="AE29" s="50">
        <f t="shared" si="12"/>
        <v>62</v>
      </c>
      <c r="AG29" t="s">
        <v>3204</v>
      </c>
      <c r="AH29" t="s">
        <v>3077</v>
      </c>
      <c r="AI29">
        <v>1</v>
      </c>
      <c r="AJ29">
        <f t="shared" si="13"/>
        <v>0.13333333333333333</v>
      </c>
      <c r="AK29">
        <v>5</v>
      </c>
      <c r="AP29" s="7">
        <v>27</v>
      </c>
      <c r="AQ29" s="7">
        <v>270</v>
      </c>
    </row>
    <row r="30" spans="1:43" x14ac:dyDescent="0.15">
      <c r="A30">
        <v>1</v>
      </c>
      <c r="B30" t="s">
        <v>3205</v>
      </c>
      <c r="C30" t="s">
        <v>3206</v>
      </c>
      <c r="D30">
        <v>3</v>
      </c>
      <c r="E30" t="s">
        <v>3156</v>
      </c>
      <c r="F30" t="s">
        <v>3207</v>
      </c>
      <c r="G30">
        <v>15</v>
      </c>
      <c r="H30">
        <v>2</v>
      </c>
      <c r="I30" t="s">
        <v>3208</v>
      </c>
      <c r="J30" t="s">
        <v>3209</v>
      </c>
      <c r="K30" t="s">
        <v>3210</v>
      </c>
      <c r="L30" t="s">
        <v>3211</v>
      </c>
      <c r="M30">
        <v>1</v>
      </c>
      <c r="N30">
        <v>15</v>
      </c>
      <c r="O30">
        <v>15</v>
      </c>
      <c r="P30" t="str">
        <f t="shared" si="1"/>
        <v>[(112,15)]</v>
      </c>
      <c r="Q30">
        <f t="shared" si="2"/>
        <v>7</v>
      </c>
      <c r="X30" s="50">
        <v>2</v>
      </c>
      <c r="Y30" s="50">
        <f t="shared" si="14"/>
        <v>4</v>
      </c>
      <c r="Z30" s="50">
        <v>28</v>
      </c>
      <c r="AA30" s="50">
        <f t="shared" si="10"/>
        <v>7</v>
      </c>
      <c r="AB30" s="50">
        <f t="shared" si="5"/>
        <v>105</v>
      </c>
      <c r="AC30" s="50">
        <f t="shared" si="6"/>
        <v>445</v>
      </c>
      <c r="AD30" s="50">
        <f t="shared" si="11"/>
        <v>639</v>
      </c>
      <c r="AE30" s="50">
        <f t="shared" si="12"/>
        <v>63</v>
      </c>
      <c r="AG30" t="s">
        <v>3212</v>
      </c>
      <c r="AH30" t="s">
        <v>3077</v>
      </c>
      <c r="AI30">
        <v>5</v>
      </c>
      <c r="AJ30">
        <f t="shared" si="13"/>
        <v>0.66666666666666663</v>
      </c>
      <c r="AK30">
        <v>10</v>
      </c>
      <c r="AP30" s="7">
        <v>28</v>
      </c>
      <c r="AQ30" s="7">
        <v>280</v>
      </c>
    </row>
    <row r="31" spans="1:43" x14ac:dyDescent="0.15">
      <c r="A31">
        <v>1</v>
      </c>
      <c r="B31" t="s">
        <v>3120</v>
      </c>
      <c r="C31" t="s">
        <v>3121</v>
      </c>
      <c r="D31">
        <v>3</v>
      </c>
      <c r="E31" t="s">
        <v>3156</v>
      </c>
      <c r="F31" t="s">
        <v>3061</v>
      </c>
      <c r="G31">
        <v>15</v>
      </c>
      <c r="H31">
        <v>2</v>
      </c>
      <c r="I31" t="s">
        <v>3122</v>
      </c>
      <c r="J31" t="s">
        <v>3123</v>
      </c>
      <c r="K31" t="s">
        <v>3124</v>
      </c>
      <c r="L31" t="s">
        <v>3125</v>
      </c>
      <c r="M31">
        <v>1</v>
      </c>
      <c r="N31">
        <v>15</v>
      </c>
      <c r="O31">
        <v>15</v>
      </c>
      <c r="P31" t="str">
        <f t="shared" si="1"/>
        <v>[(112,15)]</v>
      </c>
      <c r="Q31">
        <f t="shared" si="2"/>
        <v>4</v>
      </c>
      <c r="X31" s="50">
        <v>2</v>
      </c>
      <c r="Y31" s="50">
        <f t="shared" si="14"/>
        <v>5</v>
      </c>
      <c r="Z31" s="50">
        <v>29</v>
      </c>
      <c r="AA31" s="50">
        <f t="shared" si="10"/>
        <v>1</v>
      </c>
      <c r="AB31" s="50">
        <f t="shared" si="5"/>
        <v>0</v>
      </c>
      <c r="AC31" s="50">
        <f t="shared" si="6"/>
        <v>445</v>
      </c>
      <c r="AD31" s="50">
        <f t="shared" si="11"/>
        <v>644.5</v>
      </c>
      <c r="AE31" s="50">
        <f t="shared" si="12"/>
        <v>64</v>
      </c>
      <c r="AG31" t="s">
        <v>3213</v>
      </c>
      <c r="AH31" t="s">
        <v>3077</v>
      </c>
      <c r="AI31">
        <v>2</v>
      </c>
      <c r="AJ31">
        <f t="shared" si="13"/>
        <v>0.26666666666666666</v>
      </c>
      <c r="AK31">
        <v>10</v>
      </c>
      <c r="AP31" s="7">
        <v>29</v>
      </c>
      <c r="AQ31" s="7">
        <v>290</v>
      </c>
    </row>
    <row r="32" spans="1:43" x14ac:dyDescent="0.15">
      <c r="A32">
        <v>1</v>
      </c>
      <c r="B32" t="s">
        <v>3141</v>
      </c>
      <c r="C32" t="s">
        <v>3214</v>
      </c>
      <c r="D32">
        <v>3</v>
      </c>
      <c r="E32" t="s">
        <v>3061</v>
      </c>
      <c r="F32" t="s">
        <v>3061</v>
      </c>
      <c r="G32">
        <v>1</v>
      </c>
      <c r="H32">
        <v>1</v>
      </c>
      <c r="I32" t="s">
        <v>3215</v>
      </c>
      <c r="J32" t="s">
        <v>3216</v>
      </c>
      <c r="K32" t="s">
        <v>3217</v>
      </c>
      <c r="L32" t="s">
        <v>3218</v>
      </c>
      <c r="M32">
        <v>1</v>
      </c>
      <c r="N32">
        <v>1</v>
      </c>
      <c r="O32">
        <v>25</v>
      </c>
      <c r="P32" t="str">
        <f t="shared" si="1"/>
        <v>[(112,25)]</v>
      </c>
      <c r="Q32">
        <f t="shared" si="2"/>
        <v>3</v>
      </c>
      <c r="X32" s="50">
        <v>2</v>
      </c>
      <c r="Y32" s="50">
        <f t="shared" si="14"/>
        <v>5</v>
      </c>
      <c r="Z32" s="50">
        <v>30</v>
      </c>
      <c r="AA32" s="50">
        <f t="shared" si="10"/>
        <v>2</v>
      </c>
      <c r="AB32" s="50">
        <f t="shared" si="5"/>
        <v>5</v>
      </c>
      <c r="AC32" s="50">
        <f t="shared" si="6"/>
        <v>450</v>
      </c>
      <c r="AD32" s="50">
        <f t="shared" si="11"/>
        <v>655</v>
      </c>
      <c r="AE32" s="50">
        <f t="shared" si="12"/>
        <v>65</v>
      </c>
      <c r="AG32" t="s">
        <v>3205</v>
      </c>
      <c r="AH32" t="s">
        <v>3077</v>
      </c>
      <c r="AI32">
        <v>1</v>
      </c>
      <c r="AJ32">
        <f t="shared" si="13"/>
        <v>0.13333333333333333</v>
      </c>
      <c r="AK32">
        <v>15</v>
      </c>
      <c r="AP32" s="7">
        <v>30</v>
      </c>
      <c r="AQ32" s="7">
        <v>300</v>
      </c>
    </row>
    <row r="33" spans="1:43" x14ac:dyDescent="0.15">
      <c r="A33">
        <v>1</v>
      </c>
      <c r="B33" t="s">
        <v>3048</v>
      </c>
      <c r="C33" t="s">
        <v>3049</v>
      </c>
      <c r="D33">
        <v>4</v>
      </c>
      <c r="E33" t="s">
        <v>1580</v>
      </c>
      <c r="F33" t="s">
        <v>3050</v>
      </c>
      <c r="G33">
        <v>1</v>
      </c>
      <c r="H33">
        <v>1</v>
      </c>
      <c r="I33" t="s">
        <v>3051</v>
      </c>
      <c r="J33" t="s">
        <v>3052</v>
      </c>
      <c r="K33" t="s">
        <v>3053</v>
      </c>
      <c r="L33" t="s">
        <v>3054</v>
      </c>
      <c r="M33">
        <v>1</v>
      </c>
      <c r="N33">
        <v>1</v>
      </c>
      <c r="O33">
        <v>15</v>
      </c>
      <c r="P33" t="str">
        <f t="shared" si="1"/>
        <v>[(112,15)]</v>
      </c>
      <c r="Q33">
        <f t="shared" si="2"/>
        <v>2</v>
      </c>
      <c r="X33" s="50">
        <v>2</v>
      </c>
      <c r="Y33" s="50">
        <f t="shared" si="14"/>
        <v>5</v>
      </c>
      <c r="Z33" s="50">
        <v>31</v>
      </c>
      <c r="AA33" s="50">
        <f t="shared" si="10"/>
        <v>3</v>
      </c>
      <c r="AB33" s="50">
        <f t="shared" si="5"/>
        <v>15</v>
      </c>
      <c r="AC33" s="50">
        <f t="shared" si="6"/>
        <v>460</v>
      </c>
      <c r="AD33" s="50">
        <f t="shared" si="11"/>
        <v>670.5</v>
      </c>
      <c r="AE33" s="50">
        <f t="shared" si="12"/>
        <v>67</v>
      </c>
      <c r="AG33" t="s">
        <v>3219</v>
      </c>
      <c r="AH33" t="s">
        <v>3077</v>
      </c>
      <c r="AI33">
        <v>100</v>
      </c>
      <c r="AJ33">
        <f t="shared" si="13"/>
        <v>13.333333333333334</v>
      </c>
      <c r="AK33">
        <v>15</v>
      </c>
      <c r="AP33" s="7">
        <v>31</v>
      </c>
      <c r="AQ33" s="7">
        <v>310</v>
      </c>
    </row>
    <row r="34" spans="1:43" x14ac:dyDescent="0.15">
      <c r="A34">
        <v>1</v>
      </c>
      <c r="B34" t="s">
        <v>3126</v>
      </c>
      <c r="C34" t="s">
        <v>3127</v>
      </c>
      <c r="D34">
        <v>4</v>
      </c>
      <c r="E34" t="s">
        <v>3220</v>
      </c>
      <c r="F34" t="s">
        <v>3129</v>
      </c>
      <c r="G34">
        <v>15</v>
      </c>
      <c r="H34">
        <v>1</v>
      </c>
      <c r="I34" t="s">
        <v>3130</v>
      </c>
      <c r="J34" t="s">
        <v>3131</v>
      </c>
      <c r="K34" t="s">
        <v>3132</v>
      </c>
      <c r="L34" t="s">
        <v>3133</v>
      </c>
      <c r="M34">
        <v>1</v>
      </c>
      <c r="N34">
        <v>15</v>
      </c>
      <c r="O34">
        <v>10</v>
      </c>
      <c r="P34" t="str">
        <f t="shared" si="1"/>
        <v>[(112,10)]</v>
      </c>
      <c r="Q34">
        <f t="shared" si="2"/>
        <v>2</v>
      </c>
      <c r="X34" s="50">
        <v>2</v>
      </c>
      <c r="Y34" s="50">
        <f t="shared" si="14"/>
        <v>5</v>
      </c>
      <c r="Z34" s="50">
        <v>32</v>
      </c>
      <c r="AA34" s="50">
        <f t="shared" si="10"/>
        <v>4</v>
      </c>
      <c r="AB34" s="50">
        <f t="shared" si="5"/>
        <v>40</v>
      </c>
      <c r="AC34" s="50">
        <f t="shared" si="6"/>
        <v>485</v>
      </c>
      <c r="AD34" s="50">
        <f t="shared" si="11"/>
        <v>701</v>
      </c>
      <c r="AE34" s="50">
        <f t="shared" si="12"/>
        <v>70</v>
      </c>
      <c r="AG34" t="s">
        <v>3190</v>
      </c>
      <c r="AH34" t="s">
        <v>3077</v>
      </c>
      <c r="AI34">
        <v>4</v>
      </c>
      <c r="AJ34">
        <f t="shared" si="13"/>
        <v>0.53333333333333333</v>
      </c>
      <c r="AK34">
        <v>10</v>
      </c>
      <c r="AP34" s="7">
        <v>32</v>
      </c>
      <c r="AQ34" s="7">
        <v>320</v>
      </c>
    </row>
    <row r="35" spans="1:43" x14ac:dyDescent="0.15">
      <c r="A35">
        <v>1</v>
      </c>
      <c r="B35" t="s">
        <v>3180</v>
      </c>
      <c r="C35" t="s">
        <v>3181</v>
      </c>
      <c r="D35">
        <v>4</v>
      </c>
      <c r="E35" t="s">
        <v>3221</v>
      </c>
      <c r="F35" t="s">
        <v>3061</v>
      </c>
      <c r="G35">
        <v>5</v>
      </c>
      <c r="H35">
        <v>2</v>
      </c>
      <c r="I35" t="s">
        <v>3182</v>
      </c>
      <c r="J35" t="s">
        <v>3183</v>
      </c>
      <c r="K35" t="s">
        <v>3184</v>
      </c>
      <c r="L35" t="s">
        <v>3185</v>
      </c>
      <c r="M35">
        <v>8</v>
      </c>
      <c r="N35">
        <v>5</v>
      </c>
      <c r="O35">
        <v>5</v>
      </c>
      <c r="P35" t="str">
        <f t="shared" si="1"/>
        <v>[(112,5)]</v>
      </c>
      <c r="Q35">
        <f t="shared" si="2"/>
        <v>2.5</v>
      </c>
      <c r="X35" s="50">
        <v>2</v>
      </c>
      <c r="Y35" s="50">
        <f t="shared" si="14"/>
        <v>5</v>
      </c>
      <c r="Z35" s="50">
        <v>33</v>
      </c>
      <c r="AA35" s="50">
        <f t="shared" si="10"/>
        <v>5</v>
      </c>
      <c r="AB35" s="50">
        <f t="shared" ref="AB35:AB66" si="15">SUMIFS(O:O,A:A,X35,D:D,Y35,Q:Q,"&lt;="&amp;AA35)</f>
        <v>65</v>
      </c>
      <c r="AC35" s="50">
        <f t="shared" ref="AC35:AC66" si="16">IF(Y35=1,AB35,SUMIFS(AB:AB,Y:Y,"&lt;"&amp;Y35,AA:AA,7)+AB35)</f>
        <v>510</v>
      </c>
      <c r="AD35" s="50">
        <f t="shared" si="11"/>
        <v>731.5</v>
      </c>
      <c r="AE35" s="50">
        <f t="shared" si="12"/>
        <v>73</v>
      </c>
      <c r="AG35" t="s">
        <v>3197</v>
      </c>
      <c r="AH35" t="s">
        <v>3077</v>
      </c>
      <c r="AI35">
        <v>4000</v>
      </c>
      <c r="AJ35">
        <f t="shared" si="13"/>
        <v>533.33333333333337</v>
      </c>
      <c r="AK35">
        <v>5</v>
      </c>
      <c r="AP35" s="7">
        <v>33</v>
      </c>
      <c r="AQ35" s="7">
        <v>330</v>
      </c>
    </row>
    <row r="36" spans="1:43" x14ac:dyDescent="0.15">
      <c r="A36">
        <v>1</v>
      </c>
      <c r="B36" t="s">
        <v>3134</v>
      </c>
      <c r="C36" t="s">
        <v>3135</v>
      </c>
      <c r="D36">
        <v>4</v>
      </c>
      <c r="E36" t="s">
        <v>1648</v>
      </c>
      <c r="F36" t="s">
        <v>3136</v>
      </c>
      <c r="G36">
        <v>100</v>
      </c>
      <c r="H36">
        <v>2</v>
      </c>
      <c r="I36" t="s">
        <v>3137</v>
      </c>
      <c r="J36" t="s">
        <v>3138</v>
      </c>
      <c r="K36" t="s">
        <v>3139</v>
      </c>
      <c r="L36" t="s">
        <v>3140</v>
      </c>
      <c r="M36">
        <v>1</v>
      </c>
      <c r="N36">
        <v>100</v>
      </c>
      <c r="O36">
        <v>10</v>
      </c>
      <c r="P36" t="str">
        <f t="shared" si="1"/>
        <v>[(112,10)]</v>
      </c>
      <c r="Q36">
        <f t="shared" si="2"/>
        <v>7</v>
      </c>
      <c r="X36" s="50">
        <v>2</v>
      </c>
      <c r="Y36" s="50">
        <f t="shared" si="14"/>
        <v>5</v>
      </c>
      <c r="Z36" s="50">
        <v>34</v>
      </c>
      <c r="AA36" s="50">
        <f t="shared" ref="AA36:AA72" si="17">IF(MOD(Z36,7)=0,7,MOD(Z36,7))</f>
        <v>6</v>
      </c>
      <c r="AB36" s="50">
        <f t="shared" si="15"/>
        <v>80</v>
      </c>
      <c r="AC36" s="50">
        <f t="shared" si="16"/>
        <v>525</v>
      </c>
      <c r="AD36" s="50">
        <f t="shared" ref="AD36:AD72" si="18">AC36+SUMIFS($AY$2:$AY$11,$AX$2:$AX$11,"BattlePass经验",$AW$2:$AW$11,"&lt;"&amp;Y36)+1*Z36+Z36*$AN$5</f>
        <v>752</v>
      </c>
      <c r="AE36" s="50">
        <f t="shared" ref="AE36:AE72" si="19">ROUNDDOWN(AD36/10,0)</f>
        <v>75</v>
      </c>
      <c r="AG36" t="s">
        <v>3222</v>
      </c>
      <c r="AH36" t="s">
        <v>3067</v>
      </c>
      <c r="AI36">
        <v>7</v>
      </c>
      <c r="AJ36">
        <f t="shared" ref="AJ36:AJ48" si="20">IF(AH36="单场",AI36,IF(AH36="多场",1/AI36,IF(AH36="单天",AI36/($AN$2/$AN$1),1/(AI36*($AN$2/$AN$1)))))</f>
        <v>1.9047619047619049E-2</v>
      </c>
      <c r="AK36">
        <v>20</v>
      </c>
      <c r="AP36" s="7">
        <v>34</v>
      </c>
      <c r="AQ36" s="7">
        <v>340</v>
      </c>
    </row>
    <row r="37" spans="1:43" x14ac:dyDescent="0.15">
      <c r="A37">
        <v>1</v>
      </c>
      <c r="B37" t="s">
        <v>3100</v>
      </c>
      <c r="C37" t="s">
        <v>3101</v>
      </c>
      <c r="D37">
        <v>4</v>
      </c>
      <c r="E37" t="s">
        <v>1648</v>
      </c>
      <c r="F37" t="s">
        <v>3061</v>
      </c>
      <c r="G37">
        <v>100</v>
      </c>
      <c r="H37">
        <v>1</v>
      </c>
      <c r="I37" t="s">
        <v>3103</v>
      </c>
      <c r="J37" t="s">
        <v>3104</v>
      </c>
      <c r="K37" t="s">
        <v>3105</v>
      </c>
      <c r="L37" t="s">
        <v>3106</v>
      </c>
      <c r="M37">
        <v>1</v>
      </c>
      <c r="N37">
        <v>100</v>
      </c>
      <c r="O37">
        <v>10</v>
      </c>
      <c r="P37" t="str">
        <f t="shared" si="1"/>
        <v>[(112,10)]</v>
      </c>
      <c r="Q37">
        <f t="shared" si="2"/>
        <v>2.6666666666666665</v>
      </c>
      <c r="X37" s="50">
        <v>2</v>
      </c>
      <c r="Y37" s="50">
        <f t="shared" si="14"/>
        <v>5</v>
      </c>
      <c r="Z37" s="50">
        <v>35</v>
      </c>
      <c r="AA37" s="50">
        <f t="shared" si="17"/>
        <v>7</v>
      </c>
      <c r="AB37" s="50">
        <f t="shared" si="15"/>
        <v>120</v>
      </c>
      <c r="AC37" s="50">
        <f t="shared" si="16"/>
        <v>565</v>
      </c>
      <c r="AD37" s="50">
        <f t="shared" si="18"/>
        <v>797.5</v>
      </c>
      <c r="AE37" s="50">
        <f t="shared" si="19"/>
        <v>79</v>
      </c>
      <c r="AG37" s="287" t="s">
        <v>3937</v>
      </c>
      <c r="AH37" s="287" t="s">
        <v>3960</v>
      </c>
      <c r="AI37">
        <v>1</v>
      </c>
      <c r="AJ37">
        <f t="shared" si="20"/>
        <v>0.13333333333333333</v>
      </c>
      <c r="AK37">
        <v>15</v>
      </c>
      <c r="AP37" s="7">
        <v>35</v>
      </c>
      <c r="AQ37" s="7">
        <v>350</v>
      </c>
    </row>
    <row r="38" spans="1:43" x14ac:dyDescent="0.15">
      <c r="A38">
        <v>1</v>
      </c>
      <c r="B38" t="s">
        <v>3219</v>
      </c>
      <c r="C38" t="s">
        <v>3223</v>
      </c>
      <c r="D38">
        <v>4</v>
      </c>
      <c r="E38" t="s">
        <v>3224</v>
      </c>
      <c r="F38" t="s">
        <v>3061</v>
      </c>
      <c r="G38">
        <v>500</v>
      </c>
      <c r="H38">
        <v>1</v>
      </c>
      <c r="I38" t="s">
        <v>3225</v>
      </c>
      <c r="J38" t="s">
        <v>3226</v>
      </c>
      <c r="K38" t="s">
        <v>3227</v>
      </c>
      <c r="L38" t="s">
        <v>3228</v>
      </c>
      <c r="M38">
        <v>17</v>
      </c>
      <c r="N38">
        <v>500</v>
      </c>
      <c r="O38">
        <v>15</v>
      </c>
      <c r="P38" t="str">
        <f t="shared" si="1"/>
        <v>[(112,15)]</v>
      </c>
      <c r="Q38">
        <f t="shared" si="2"/>
        <v>5</v>
      </c>
      <c r="X38" s="50">
        <v>2</v>
      </c>
      <c r="Y38" s="50">
        <f t="shared" si="14"/>
        <v>6</v>
      </c>
      <c r="Z38" s="50">
        <v>36</v>
      </c>
      <c r="AA38" s="50">
        <f t="shared" si="17"/>
        <v>1</v>
      </c>
      <c r="AB38" s="50">
        <f t="shared" si="15"/>
        <v>35</v>
      </c>
      <c r="AC38" s="50">
        <f t="shared" si="16"/>
        <v>600</v>
      </c>
      <c r="AD38" s="50">
        <f t="shared" si="18"/>
        <v>858</v>
      </c>
      <c r="AE38" s="50">
        <f t="shared" si="19"/>
        <v>85</v>
      </c>
      <c r="AG38" s="287" t="s">
        <v>3939</v>
      </c>
      <c r="AH38" s="287" t="s">
        <v>3960</v>
      </c>
      <c r="AI38">
        <v>1</v>
      </c>
      <c r="AJ38">
        <f t="shared" si="20"/>
        <v>0.13333333333333333</v>
      </c>
      <c r="AK38">
        <v>5</v>
      </c>
      <c r="AP38" s="7">
        <v>36</v>
      </c>
      <c r="AQ38" s="7">
        <v>360</v>
      </c>
    </row>
    <row r="39" spans="1:43" x14ac:dyDescent="0.15">
      <c r="A39">
        <v>1</v>
      </c>
      <c r="B39" t="s">
        <v>3204</v>
      </c>
      <c r="C39" t="s">
        <v>3229</v>
      </c>
      <c r="D39">
        <v>4</v>
      </c>
      <c r="E39" t="s">
        <v>3070</v>
      </c>
      <c r="F39" t="s">
        <v>3061</v>
      </c>
      <c r="G39">
        <v>4</v>
      </c>
      <c r="H39">
        <v>2</v>
      </c>
      <c r="I39" t="s">
        <v>3230</v>
      </c>
      <c r="J39" t="s">
        <v>3231</v>
      </c>
      <c r="K39" t="s">
        <v>3232</v>
      </c>
      <c r="L39" t="s">
        <v>3233</v>
      </c>
      <c r="M39">
        <v>0</v>
      </c>
      <c r="N39">
        <v>4</v>
      </c>
      <c r="O39">
        <v>5</v>
      </c>
      <c r="P39" t="str">
        <f t="shared" si="1"/>
        <v>[(112,5)]</v>
      </c>
      <c r="Q39">
        <f t="shared" si="2"/>
        <v>4</v>
      </c>
      <c r="X39" s="50">
        <v>2</v>
      </c>
      <c r="Y39" s="50">
        <f t="shared" si="14"/>
        <v>6</v>
      </c>
      <c r="Z39" s="50">
        <v>37</v>
      </c>
      <c r="AA39" s="50">
        <f t="shared" si="17"/>
        <v>2</v>
      </c>
      <c r="AB39" s="50">
        <f t="shared" si="15"/>
        <v>55</v>
      </c>
      <c r="AC39" s="50">
        <f t="shared" si="16"/>
        <v>620</v>
      </c>
      <c r="AD39" s="50">
        <f t="shared" si="18"/>
        <v>883.5</v>
      </c>
      <c r="AE39" s="50">
        <f t="shared" si="19"/>
        <v>88</v>
      </c>
      <c r="AG39" s="287" t="s">
        <v>3941</v>
      </c>
      <c r="AH39" s="287" t="s">
        <v>3960</v>
      </c>
      <c r="AI39">
        <v>1</v>
      </c>
      <c r="AJ39">
        <f t="shared" si="20"/>
        <v>0.13333333333333333</v>
      </c>
      <c r="AK39">
        <v>5</v>
      </c>
      <c r="AP39" s="7">
        <v>37</v>
      </c>
      <c r="AQ39" s="7">
        <v>370</v>
      </c>
    </row>
    <row r="40" spans="1:43" x14ac:dyDescent="0.15">
      <c r="A40">
        <v>1</v>
      </c>
      <c r="B40" t="s">
        <v>3112</v>
      </c>
      <c r="C40" t="s">
        <v>3158</v>
      </c>
      <c r="D40">
        <v>4</v>
      </c>
      <c r="E40" t="s">
        <v>3221</v>
      </c>
      <c r="F40" t="s">
        <v>3061</v>
      </c>
      <c r="G40">
        <v>5</v>
      </c>
      <c r="H40">
        <v>2</v>
      </c>
      <c r="I40" t="s">
        <v>3159</v>
      </c>
      <c r="J40" t="s">
        <v>3160</v>
      </c>
      <c r="K40" t="s">
        <v>3161</v>
      </c>
      <c r="L40" t="s">
        <v>3162</v>
      </c>
      <c r="M40">
        <v>14</v>
      </c>
      <c r="N40">
        <v>5</v>
      </c>
      <c r="O40">
        <v>5</v>
      </c>
      <c r="P40" t="str">
        <f t="shared" si="1"/>
        <v>[(112,5)]</v>
      </c>
      <c r="Q40">
        <f t="shared" si="2"/>
        <v>7</v>
      </c>
      <c r="X40" s="50">
        <v>2</v>
      </c>
      <c r="Y40" s="50">
        <f t="shared" si="14"/>
        <v>6</v>
      </c>
      <c r="Z40" s="50">
        <v>38</v>
      </c>
      <c r="AA40" s="50">
        <f t="shared" si="17"/>
        <v>3</v>
      </c>
      <c r="AB40" s="50">
        <f t="shared" si="15"/>
        <v>80</v>
      </c>
      <c r="AC40" s="50">
        <f t="shared" si="16"/>
        <v>645</v>
      </c>
      <c r="AD40" s="50">
        <f t="shared" si="18"/>
        <v>914</v>
      </c>
      <c r="AE40" s="50">
        <f t="shared" si="19"/>
        <v>91</v>
      </c>
      <c r="AG40" s="287" t="s">
        <v>3943</v>
      </c>
      <c r="AH40" s="287" t="s">
        <v>3960</v>
      </c>
      <c r="AI40">
        <v>1</v>
      </c>
      <c r="AJ40">
        <f t="shared" si="20"/>
        <v>0.13333333333333333</v>
      </c>
      <c r="AK40">
        <v>5</v>
      </c>
      <c r="AP40" s="7">
        <v>38</v>
      </c>
      <c r="AQ40" s="7">
        <v>380</v>
      </c>
    </row>
    <row r="41" spans="1:43" x14ac:dyDescent="0.15">
      <c r="A41">
        <v>1</v>
      </c>
      <c r="B41" t="s">
        <v>3113</v>
      </c>
      <c r="C41" t="s">
        <v>3114</v>
      </c>
      <c r="D41">
        <v>4</v>
      </c>
      <c r="E41" t="s">
        <v>3090</v>
      </c>
      <c r="F41" t="s">
        <v>3061</v>
      </c>
      <c r="G41">
        <v>10</v>
      </c>
      <c r="H41">
        <v>2</v>
      </c>
      <c r="I41" t="s">
        <v>3115</v>
      </c>
      <c r="J41" t="s">
        <v>3116</v>
      </c>
      <c r="K41" t="s">
        <v>3117</v>
      </c>
      <c r="L41" t="s">
        <v>3118</v>
      </c>
      <c r="M41">
        <v>13</v>
      </c>
      <c r="N41">
        <v>10</v>
      </c>
      <c r="O41">
        <v>5</v>
      </c>
      <c r="P41" t="str">
        <f t="shared" si="1"/>
        <v>[(112,5)]</v>
      </c>
      <c r="Q41">
        <f t="shared" si="2"/>
        <v>5</v>
      </c>
      <c r="X41" s="50">
        <v>2</v>
      </c>
      <c r="Y41" s="50">
        <f t="shared" si="14"/>
        <v>6</v>
      </c>
      <c r="Z41" s="50">
        <v>39</v>
      </c>
      <c r="AA41" s="50">
        <f t="shared" si="17"/>
        <v>4</v>
      </c>
      <c r="AB41" s="50">
        <f t="shared" si="15"/>
        <v>80</v>
      </c>
      <c r="AC41" s="50">
        <f t="shared" si="16"/>
        <v>645</v>
      </c>
      <c r="AD41" s="50">
        <f t="shared" si="18"/>
        <v>919.5</v>
      </c>
      <c r="AE41" s="50">
        <f t="shared" si="19"/>
        <v>91</v>
      </c>
      <c r="AG41" s="287" t="s">
        <v>3945</v>
      </c>
      <c r="AH41" s="287" t="s">
        <v>3961</v>
      </c>
      <c r="AI41">
        <v>1</v>
      </c>
      <c r="AJ41">
        <f t="shared" si="20"/>
        <v>0.13333333333333333</v>
      </c>
      <c r="AK41">
        <v>15</v>
      </c>
      <c r="AP41" s="7">
        <v>39</v>
      </c>
      <c r="AQ41" s="7">
        <v>390</v>
      </c>
    </row>
    <row r="42" spans="1:43" x14ac:dyDescent="0.15">
      <c r="A42">
        <v>1</v>
      </c>
      <c r="B42" t="s">
        <v>3119</v>
      </c>
      <c r="C42" t="s">
        <v>3164</v>
      </c>
      <c r="D42">
        <v>4</v>
      </c>
      <c r="E42" t="s">
        <v>1580</v>
      </c>
      <c r="F42" t="s">
        <v>3165</v>
      </c>
      <c r="G42">
        <v>1</v>
      </c>
      <c r="H42">
        <v>2</v>
      </c>
      <c r="I42" t="s">
        <v>3166</v>
      </c>
      <c r="J42" t="s">
        <v>3167</v>
      </c>
      <c r="K42" t="s">
        <v>3168</v>
      </c>
      <c r="L42" t="s">
        <v>3169</v>
      </c>
      <c r="M42">
        <v>1</v>
      </c>
      <c r="N42">
        <v>1</v>
      </c>
      <c r="O42">
        <v>10</v>
      </c>
      <c r="P42" t="str">
        <f t="shared" si="1"/>
        <v>[(112,10)]</v>
      </c>
      <c r="Q42">
        <f t="shared" si="2"/>
        <v>0.13333333333333333</v>
      </c>
      <c r="X42" s="50">
        <v>2</v>
      </c>
      <c r="Y42" s="50">
        <f t="shared" si="14"/>
        <v>6</v>
      </c>
      <c r="Z42" s="50">
        <v>40</v>
      </c>
      <c r="AA42" s="50">
        <f t="shared" si="17"/>
        <v>5</v>
      </c>
      <c r="AB42" s="50">
        <f t="shared" si="15"/>
        <v>90</v>
      </c>
      <c r="AC42" s="50">
        <f t="shared" si="16"/>
        <v>655</v>
      </c>
      <c r="AD42" s="50">
        <f t="shared" si="18"/>
        <v>935</v>
      </c>
      <c r="AE42" s="50">
        <f t="shared" si="19"/>
        <v>93</v>
      </c>
      <c r="AG42" s="287" t="s">
        <v>3947</v>
      </c>
      <c r="AH42" s="287" t="s">
        <v>3961</v>
      </c>
      <c r="AI42">
        <v>2</v>
      </c>
      <c r="AJ42">
        <f t="shared" si="20"/>
        <v>0.26666666666666666</v>
      </c>
      <c r="AK42">
        <v>10</v>
      </c>
      <c r="AP42" s="7">
        <v>40</v>
      </c>
      <c r="AQ42" s="7">
        <v>400</v>
      </c>
    </row>
    <row r="43" spans="1:43" x14ac:dyDescent="0.15">
      <c r="A43">
        <v>1</v>
      </c>
      <c r="B43" t="s">
        <v>3157</v>
      </c>
      <c r="C43" t="s">
        <v>3234</v>
      </c>
      <c r="D43">
        <v>4</v>
      </c>
      <c r="E43" t="s">
        <v>3235</v>
      </c>
      <c r="F43" t="s">
        <v>3236</v>
      </c>
      <c r="G43">
        <v>1</v>
      </c>
      <c r="H43">
        <v>2</v>
      </c>
      <c r="I43" t="s">
        <v>3237</v>
      </c>
      <c r="J43" t="s">
        <v>3238</v>
      </c>
      <c r="K43" t="s">
        <v>3239</v>
      </c>
      <c r="L43" t="s">
        <v>3240</v>
      </c>
      <c r="M43">
        <v>1</v>
      </c>
      <c r="N43">
        <v>1</v>
      </c>
      <c r="O43">
        <v>10</v>
      </c>
      <c r="P43" t="str">
        <f t="shared" si="1"/>
        <v>[(112,10)]</v>
      </c>
      <c r="Q43">
        <f t="shared" si="2"/>
        <v>6.9999999999999991</v>
      </c>
      <c r="X43" s="50">
        <v>2</v>
      </c>
      <c r="Y43" s="50">
        <f t="shared" ref="Y43:Y72" si="21">ROUNDUP(Z43/7,0)</f>
        <v>6</v>
      </c>
      <c r="Z43" s="50">
        <v>41</v>
      </c>
      <c r="AA43" s="50">
        <f t="shared" si="17"/>
        <v>6</v>
      </c>
      <c r="AB43" s="50">
        <f t="shared" si="15"/>
        <v>90</v>
      </c>
      <c r="AC43" s="50">
        <f t="shared" si="16"/>
        <v>655</v>
      </c>
      <c r="AD43" s="50">
        <f t="shared" si="18"/>
        <v>940.5</v>
      </c>
      <c r="AE43" s="50">
        <f t="shared" si="19"/>
        <v>94</v>
      </c>
      <c r="AG43" s="287" t="s">
        <v>3949</v>
      </c>
      <c r="AH43" s="287" t="s">
        <v>3961</v>
      </c>
      <c r="AI43">
        <v>2</v>
      </c>
      <c r="AJ43">
        <f t="shared" si="20"/>
        <v>0.26666666666666666</v>
      </c>
      <c r="AK43">
        <v>10</v>
      </c>
      <c r="AP43" s="7">
        <v>41</v>
      </c>
      <c r="AQ43" s="7">
        <v>410</v>
      </c>
    </row>
    <row r="44" spans="1:43" x14ac:dyDescent="0.15">
      <c r="A44">
        <v>1</v>
      </c>
      <c r="B44" t="s">
        <v>3134</v>
      </c>
      <c r="C44" t="s">
        <v>3135</v>
      </c>
      <c r="D44">
        <v>5</v>
      </c>
      <c r="E44" t="s">
        <v>1648</v>
      </c>
      <c r="F44" t="s">
        <v>3136</v>
      </c>
      <c r="G44">
        <v>100</v>
      </c>
      <c r="H44">
        <v>2</v>
      </c>
      <c r="I44" t="s">
        <v>3137</v>
      </c>
      <c r="J44" t="s">
        <v>3138</v>
      </c>
      <c r="K44" t="s">
        <v>3139</v>
      </c>
      <c r="L44" t="s">
        <v>3140</v>
      </c>
      <c r="M44">
        <v>1</v>
      </c>
      <c r="N44">
        <v>100</v>
      </c>
      <c r="O44">
        <v>10</v>
      </c>
      <c r="P44" t="str">
        <f t="shared" si="1"/>
        <v>[(112,10)]</v>
      </c>
      <c r="Q44">
        <f t="shared" si="2"/>
        <v>7</v>
      </c>
      <c r="X44" s="50">
        <v>2</v>
      </c>
      <c r="Y44" s="50">
        <f t="shared" si="21"/>
        <v>6</v>
      </c>
      <c r="Z44" s="50">
        <v>42</v>
      </c>
      <c r="AA44" s="50">
        <f t="shared" si="17"/>
        <v>7</v>
      </c>
      <c r="AB44" s="50">
        <f t="shared" si="15"/>
        <v>110</v>
      </c>
      <c r="AC44" s="50">
        <f t="shared" si="16"/>
        <v>675</v>
      </c>
      <c r="AD44" s="50">
        <f t="shared" si="18"/>
        <v>966</v>
      </c>
      <c r="AE44" s="50">
        <f t="shared" si="19"/>
        <v>96</v>
      </c>
      <c r="AG44" s="287" t="s">
        <v>3951</v>
      </c>
      <c r="AH44" s="287" t="s">
        <v>3961</v>
      </c>
      <c r="AI44">
        <v>2</v>
      </c>
      <c r="AJ44">
        <f t="shared" si="20"/>
        <v>0.26666666666666666</v>
      </c>
      <c r="AK44">
        <v>10</v>
      </c>
      <c r="AP44" s="7">
        <v>42</v>
      </c>
      <c r="AQ44" s="7">
        <v>420</v>
      </c>
    </row>
    <row r="45" spans="1:43" x14ac:dyDescent="0.15">
      <c r="A45">
        <v>1</v>
      </c>
      <c r="B45" t="s">
        <v>3149</v>
      </c>
      <c r="C45" t="s">
        <v>3150</v>
      </c>
      <c r="D45">
        <v>5</v>
      </c>
      <c r="E45" t="s">
        <v>3224</v>
      </c>
      <c r="F45" t="s">
        <v>3061</v>
      </c>
      <c r="G45">
        <v>500</v>
      </c>
      <c r="H45">
        <v>1</v>
      </c>
      <c r="I45" t="s">
        <v>3151</v>
      </c>
      <c r="J45" t="s">
        <v>3152</v>
      </c>
      <c r="K45" t="s">
        <v>3153</v>
      </c>
      <c r="L45" t="s">
        <v>3154</v>
      </c>
      <c r="M45">
        <v>1</v>
      </c>
      <c r="N45">
        <v>500</v>
      </c>
      <c r="O45">
        <v>5</v>
      </c>
      <c r="P45" t="str">
        <f t="shared" si="1"/>
        <v>[(112,5)]</v>
      </c>
      <c r="Q45">
        <f t="shared" si="2"/>
        <v>2.6666666666666665</v>
      </c>
      <c r="X45" s="50">
        <v>2</v>
      </c>
      <c r="Y45" s="50">
        <f t="shared" si="21"/>
        <v>7</v>
      </c>
      <c r="Z45" s="50">
        <v>43</v>
      </c>
      <c r="AA45" s="50">
        <f t="shared" si="17"/>
        <v>1</v>
      </c>
      <c r="AB45" s="50">
        <f t="shared" si="15"/>
        <v>10</v>
      </c>
      <c r="AC45" s="50">
        <f t="shared" si="16"/>
        <v>685</v>
      </c>
      <c r="AD45" s="50">
        <f t="shared" si="18"/>
        <v>981.5</v>
      </c>
      <c r="AE45" s="50">
        <f t="shared" si="19"/>
        <v>98</v>
      </c>
      <c r="AG45" s="287" t="s">
        <v>3953</v>
      </c>
      <c r="AH45" s="287" t="s">
        <v>3067</v>
      </c>
      <c r="AI45">
        <v>3</v>
      </c>
      <c r="AJ45">
        <f t="shared" si="20"/>
        <v>4.4444444444444446E-2</v>
      </c>
      <c r="AK45">
        <v>10</v>
      </c>
      <c r="AP45" s="7">
        <v>43</v>
      </c>
      <c r="AQ45" s="7">
        <v>430</v>
      </c>
    </row>
    <row r="46" spans="1:43" x14ac:dyDescent="0.15">
      <c r="A46">
        <v>1</v>
      </c>
      <c r="B46" t="s">
        <v>3088</v>
      </c>
      <c r="C46" t="s">
        <v>3089</v>
      </c>
      <c r="D46">
        <v>5</v>
      </c>
      <c r="E46" t="s">
        <v>3102</v>
      </c>
      <c r="F46" t="s">
        <v>3061</v>
      </c>
      <c r="G46">
        <v>30</v>
      </c>
      <c r="H46">
        <v>1</v>
      </c>
      <c r="I46" t="s">
        <v>3091</v>
      </c>
      <c r="J46" t="s">
        <v>3092</v>
      </c>
      <c r="K46" t="s">
        <v>3093</v>
      </c>
      <c r="L46" t="s">
        <v>3094</v>
      </c>
      <c r="M46">
        <v>1</v>
      </c>
      <c r="N46">
        <v>30</v>
      </c>
      <c r="O46">
        <v>5</v>
      </c>
      <c r="P46" t="str">
        <f t="shared" si="1"/>
        <v>[(112,5)]</v>
      </c>
      <c r="Q46">
        <f t="shared" si="2"/>
        <v>6.6799999999999988</v>
      </c>
      <c r="X46" s="50">
        <v>2</v>
      </c>
      <c r="Y46" s="50">
        <f t="shared" si="21"/>
        <v>7</v>
      </c>
      <c r="Z46" s="50">
        <v>44</v>
      </c>
      <c r="AA46" s="50">
        <f t="shared" si="17"/>
        <v>2</v>
      </c>
      <c r="AB46" s="50">
        <f t="shared" si="15"/>
        <v>25</v>
      </c>
      <c r="AC46" s="50">
        <f t="shared" si="16"/>
        <v>700</v>
      </c>
      <c r="AD46" s="50">
        <f t="shared" si="18"/>
        <v>1002</v>
      </c>
      <c r="AE46" s="50">
        <f t="shared" si="19"/>
        <v>100</v>
      </c>
      <c r="AG46" s="287" t="s">
        <v>3955</v>
      </c>
      <c r="AH46" s="287" t="s">
        <v>3067</v>
      </c>
      <c r="AI46">
        <v>3</v>
      </c>
      <c r="AJ46">
        <f t="shared" si="20"/>
        <v>4.4444444444444446E-2</v>
      </c>
      <c r="AK46">
        <v>10</v>
      </c>
      <c r="AP46" s="7">
        <v>44</v>
      </c>
      <c r="AQ46" s="7">
        <v>440</v>
      </c>
    </row>
    <row r="47" spans="1:43" x14ac:dyDescent="0.15">
      <c r="A47">
        <v>1</v>
      </c>
      <c r="B47" t="s">
        <v>3086</v>
      </c>
      <c r="C47" t="s">
        <v>3095</v>
      </c>
      <c r="D47">
        <v>5</v>
      </c>
      <c r="E47" t="s">
        <v>3241</v>
      </c>
      <c r="F47" t="s">
        <v>3061</v>
      </c>
      <c r="G47">
        <v>8</v>
      </c>
      <c r="H47">
        <v>2</v>
      </c>
      <c r="I47" t="s">
        <v>3096</v>
      </c>
      <c r="J47" t="s">
        <v>3097</v>
      </c>
      <c r="K47" t="s">
        <v>3098</v>
      </c>
      <c r="L47" t="s">
        <v>3099</v>
      </c>
      <c r="M47">
        <v>1</v>
      </c>
      <c r="N47">
        <v>8</v>
      </c>
      <c r="O47">
        <v>10</v>
      </c>
      <c r="P47" t="str">
        <f t="shared" si="1"/>
        <v>[(112,10)]</v>
      </c>
      <c r="Q47">
        <f t="shared" si="2"/>
        <v>5.333333333333333</v>
      </c>
      <c r="X47" s="50">
        <v>2</v>
      </c>
      <c r="Y47" s="50">
        <f t="shared" si="21"/>
        <v>7</v>
      </c>
      <c r="Z47" s="50">
        <v>45</v>
      </c>
      <c r="AA47" s="50">
        <f t="shared" si="17"/>
        <v>3</v>
      </c>
      <c r="AB47" s="50">
        <f t="shared" si="15"/>
        <v>30</v>
      </c>
      <c r="AC47" s="50">
        <f t="shared" si="16"/>
        <v>705</v>
      </c>
      <c r="AD47" s="50">
        <f t="shared" si="18"/>
        <v>1012.5</v>
      </c>
      <c r="AE47" s="50">
        <f t="shared" si="19"/>
        <v>101</v>
      </c>
      <c r="AG47" s="287" t="s">
        <v>3957</v>
      </c>
      <c r="AH47" s="287" t="s">
        <v>3067</v>
      </c>
      <c r="AI47">
        <v>3</v>
      </c>
      <c r="AJ47">
        <f t="shared" si="20"/>
        <v>4.4444444444444446E-2</v>
      </c>
      <c r="AK47">
        <v>10</v>
      </c>
      <c r="AP47" s="7">
        <v>45</v>
      </c>
      <c r="AQ47" s="7">
        <v>450</v>
      </c>
    </row>
    <row r="48" spans="1:43" x14ac:dyDescent="0.15">
      <c r="A48">
        <v>1</v>
      </c>
      <c r="B48" t="s">
        <v>3055</v>
      </c>
      <c r="C48" t="s">
        <v>3107</v>
      </c>
      <c r="D48">
        <v>5</v>
      </c>
      <c r="E48" t="s">
        <v>1648</v>
      </c>
      <c r="F48" t="s">
        <v>3061</v>
      </c>
      <c r="G48">
        <v>100</v>
      </c>
      <c r="H48">
        <v>1</v>
      </c>
      <c r="I48" t="s">
        <v>3108</v>
      </c>
      <c r="J48" t="s">
        <v>3109</v>
      </c>
      <c r="K48" t="s">
        <v>3110</v>
      </c>
      <c r="L48" t="s">
        <v>3111</v>
      </c>
      <c r="M48">
        <v>1</v>
      </c>
      <c r="N48">
        <v>100</v>
      </c>
      <c r="O48">
        <v>15</v>
      </c>
      <c r="P48" t="str">
        <f t="shared" si="1"/>
        <v>[(112,15)]</v>
      </c>
      <c r="Q48">
        <f t="shared" si="2"/>
        <v>4.4444444444444446</v>
      </c>
      <c r="X48" s="50">
        <v>2</v>
      </c>
      <c r="Y48" s="50">
        <f t="shared" si="21"/>
        <v>7</v>
      </c>
      <c r="Z48" s="50">
        <v>46</v>
      </c>
      <c r="AA48" s="50">
        <f t="shared" si="17"/>
        <v>4</v>
      </c>
      <c r="AB48" s="50">
        <f t="shared" si="15"/>
        <v>50</v>
      </c>
      <c r="AC48" s="50">
        <f t="shared" si="16"/>
        <v>725</v>
      </c>
      <c r="AD48" s="50">
        <f t="shared" si="18"/>
        <v>1038</v>
      </c>
      <c r="AE48" s="50">
        <f t="shared" si="19"/>
        <v>103</v>
      </c>
      <c r="AG48" s="287" t="s">
        <v>3959</v>
      </c>
      <c r="AH48" s="287" t="s">
        <v>3961</v>
      </c>
      <c r="AI48">
        <v>1</v>
      </c>
      <c r="AJ48">
        <f t="shared" si="20"/>
        <v>0.13333333333333333</v>
      </c>
      <c r="AK48">
        <v>10</v>
      </c>
      <c r="AP48" s="7">
        <v>46</v>
      </c>
      <c r="AQ48" s="7">
        <v>460</v>
      </c>
    </row>
    <row r="49" spans="1:43" x14ac:dyDescent="0.15">
      <c r="A49">
        <v>1</v>
      </c>
      <c r="B49" t="s">
        <v>3219</v>
      </c>
      <c r="C49" t="s">
        <v>3223</v>
      </c>
      <c r="D49">
        <v>5</v>
      </c>
      <c r="E49" t="s">
        <v>3224</v>
      </c>
      <c r="F49" t="s">
        <v>3061</v>
      </c>
      <c r="G49">
        <v>500</v>
      </c>
      <c r="H49">
        <v>1</v>
      </c>
      <c r="I49" t="s">
        <v>3225</v>
      </c>
      <c r="J49" t="s">
        <v>3226</v>
      </c>
      <c r="K49" t="s">
        <v>3227</v>
      </c>
      <c r="L49" t="s">
        <v>3228</v>
      </c>
      <c r="M49">
        <v>17</v>
      </c>
      <c r="N49">
        <v>500</v>
      </c>
      <c r="O49">
        <v>15</v>
      </c>
      <c r="P49" t="str">
        <f t="shared" si="1"/>
        <v>[(112,15)]</v>
      </c>
      <c r="Q49">
        <f t="shared" si="2"/>
        <v>5</v>
      </c>
      <c r="X49" s="50">
        <v>2</v>
      </c>
      <c r="Y49" s="50">
        <f t="shared" si="21"/>
        <v>7</v>
      </c>
      <c r="Z49" s="50">
        <v>47</v>
      </c>
      <c r="AA49" s="50">
        <f t="shared" si="17"/>
        <v>5</v>
      </c>
      <c r="AB49" s="50">
        <f t="shared" si="15"/>
        <v>80</v>
      </c>
      <c r="AC49" s="50">
        <f t="shared" si="16"/>
        <v>755</v>
      </c>
      <c r="AD49" s="50">
        <f t="shared" si="18"/>
        <v>1073.5</v>
      </c>
      <c r="AE49" s="50">
        <f t="shared" si="19"/>
        <v>107</v>
      </c>
      <c r="AP49" s="7">
        <v>47</v>
      </c>
      <c r="AQ49" s="7">
        <v>470</v>
      </c>
    </row>
    <row r="50" spans="1:43" x14ac:dyDescent="0.15">
      <c r="A50">
        <v>1</v>
      </c>
      <c r="B50" t="s">
        <v>3163</v>
      </c>
      <c r="C50" t="s">
        <v>3242</v>
      </c>
      <c r="D50">
        <v>5</v>
      </c>
      <c r="E50" t="s">
        <v>3243</v>
      </c>
      <c r="F50" t="s">
        <v>3061</v>
      </c>
      <c r="G50">
        <v>1</v>
      </c>
      <c r="H50">
        <v>2</v>
      </c>
      <c r="I50" t="s">
        <v>3244</v>
      </c>
      <c r="J50" t="s">
        <v>3245</v>
      </c>
      <c r="K50" t="s">
        <v>3246</v>
      </c>
      <c r="L50" t="s">
        <v>3247</v>
      </c>
      <c r="M50">
        <v>1</v>
      </c>
      <c r="N50">
        <v>1</v>
      </c>
      <c r="O50">
        <v>15</v>
      </c>
      <c r="P50" t="str">
        <f t="shared" si="1"/>
        <v>[(112,15)]</v>
      </c>
      <c r="Q50">
        <f t="shared" si="2"/>
        <v>7</v>
      </c>
      <c r="X50" s="50">
        <v>2</v>
      </c>
      <c r="Y50" s="50">
        <f t="shared" si="21"/>
        <v>7</v>
      </c>
      <c r="Z50" s="50">
        <v>48</v>
      </c>
      <c r="AA50" s="50">
        <f t="shared" si="17"/>
        <v>6</v>
      </c>
      <c r="AB50" s="50">
        <f t="shared" si="15"/>
        <v>80</v>
      </c>
      <c r="AC50" s="50">
        <f t="shared" si="16"/>
        <v>755</v>
      </c>
      <c r="AD50" s="50">
        <f t="shared" si="18"/>
        <v>1079</v>
      </c>
      <c r="AE50" s="50">
        <f t="shared" si="19"/>
        <v>107</v>
      </c>
      <c r="AP50" s="7">
        <v>48</v>
      </c>
      <c r="AQ50" s="7">
        <v>480</v>
      </c>
    </row>
    <row r="51" spans="1:43" x14ac:dyDescent="0.15">
      <c r="A51">
        <v>1</v>
      </c>
      <c r="B51" t="s">
        <v>3120</v>
      </c>
      <c r="C51" t="s">
        <v>3121</v>
      </c>
      <c r="D51">
        <v>5</v>
      </c>
      <c r="E51" t="s">
        <v>3248</v>
      </c>
      <c r="F51" t="s">
        <v>3061</v>
      </c>
      <c r="G51">
        <v>20</v>
      </c>
      <c r="H51">
        <v>2</v>
      </c>
      <c r="I51" t="s">
        <v>3122</v>
      </c>
      <c r="J51" t="s">
        <v>3123</v>
      </c>
      <c r="K51" t="s">
        <v>3124</v>
      </c>
      <c r="L51" t="s">
        <v>3125</v>
      </c>
      <c r="M51">
        <v>1</v>
      </c>
      <c r="N51">
        <v>20</v>
      </c>
      <c r="O51">
        <v>15</v>
      </c>
      <c r="P51" t="str">
        <f t="shared" si="1"/>
        <v>[(112,15)]</v>
      </c>
      <c r="Q51">
        <f t="shared" si="2"/>
        <v>5.333333333333333</v>
      </c>
      <c r="X51" s="50">
        <v>2</v>
      </c>
      <c r="Y51" s="50">
        <f t="shared" si="21"/>
        <v>7</v>
      </c>
      <c r="Z51" s="50">
        <v>49</v>
      </c>
      <c r="AA51" s="50">
        <f t="shared" si="17"/>
        <v>7</v>
      </c>
      <c r="AB51" s="50">
        <f t="shared" si="15"/>
        <v>125</v>
      </c>
      <c r="AC51" s="50">
        <f t="shared" si="16"/>
        <v>800</v>
      </c>
      <c r="AD51" s="50">
        <f t="shared" si="18"/>
        <v>1129.5</v>
      </c>
      <c r="AE51" s="50">
        <f t="shared" si="19"/>
        <v>112</v>
      </c>
      <c r="AP51" s="7">
        <v>49</v>
      </c>
      <c r="AQ51" s="7">
        <v>490</v>
      </c>
    </row>
    <row r="52" spans="1:43" x14ac:dyDescent="0.15">
      <c r="A52">
        <v>1</v>
      </c>
      <c r="B52" t="s">
        <v>3170</v>
      </c>
      <c r="C52" t="s">
        <v>3171</v>
      </c>
      <c r="D52">
        <v>5</v>
      </c>
      <c r="E52" t="s">
        <v>3156</v>
      </c>
      <c r="F52" t="s">
        <v>3061</v>
      </c>
      <c r="G52">
        <v>15</v>
      </c>
      <c r="H52">
        <v>2</v>
      </c>
      <c r="I52" t="s">
        <v>3172</v>
      </c>
      <c r="J52" t="s">
        <v>3173</v>
      </c>
      <c r="K52" t="s">
        <v>3174</v>
      </c>
      <c r="L52" t="s">
        <v>3175</v>
      </c>
      <c r="M52">
        <v>17</v>
      </c>
      <c r="N52">
        <v>15</v>
      </c>
      <c r="O52">
        <v>10</v>
      </c>
      <c r="P52" t="str">
        <f t="shared" si="1"/>
        <v>[(112,10)]</v>
      </c>
      <c r="Q52">
        <f t="shared" si="2"/>
        <v>7</v>
      </c>
      <c r="X52" s="50">
        <v>2</v>
      </c>
      <c r="Y52" s="50">
        <f t="shared" si="21"/>
        <v>8</v>
      </c>
      <c r="Z52" s="50">
        <v>50</v>
      </c>
      <c r="AA52" s="50">
        <f t="shared" si="17"/>
        <v>1</v>
      </c>
      <c r="AB52" s="50">
        <f t="shared" si="15"/>
        <v>10</v>
      </c>
      <c r="AC52" s="50">
        <f t="shared" si="16"/>
        <v>810</v>
      </c>
      <c r="AD52" s="50">
        <f t="shared" si="18"/>
        <v>1165</v>
      </c>
      <c r="AE52" s="50">
        <f t="shared" si="19"/>
        <v>116</v>
      </c>
      <c r="AP52" s="7">
        <v>50</v>
      </c>
      <c r="AQ52" s="7">
        <v>500</v>
      </c>
    </row>
    <row r="53" spans="1:43" x14ac:dyDescent="0.15">
      <c r="A53">
        <v>1</v>
      </c>
      <c r="B53" t="s">
        <v>3076</v>
      </c>
      <c r="C53" t="s">
        <v>3176</v>
      </c>
      <c r="D53">
        <v>5</v>
      </c>
      <c r="E53" t="s">
        <v>3248</v>
      </c>
      <c r="F53" t="s">
        <v>3061</v>
      </c>
      <c r="G53">
        <v>20</v>
      </c>
      <c r="H53">
        <v>1</v>
      </c>
      <c r="I53" t="s">
        <v>3177</v>
      </c>
      <c r="J53" t="s">
        <v>3178</v>
      </c>
      <c r="K53" t="s">
        <v>3721</v>
      </c>
      <c r="L53" t="s">
        <v>3720</v>
      </c>
      <c r="M53">
        <v>16</v>
      </c>
      <c r="N53">
        <v>20</v>
      </c>
      <c r="O53">
        <v>10</v>
      </c>
      <c r="P53" t="str">
        <f t="shared" si="1"/>
        <v>[(112,10)]</v>
      </c>
      <c r="Q53">
        <f t="shared" si="2"/>
        <v>7</v>
      </c>
      <c r="X53" s="50">
        <v>2</v>
      </c>
      <c r="Y53" s="50">
        <f t="shared" si="21"/>
        <v>8</v>
      </c>
      <c r="Z53" s="50">
        <v>51</v>
      </c>
      <c r="AA53" s="50">
        <f t="shared" si="17"/>
        <v>2</v>
      </c>
      <c r="AB53" s="50">
        <f t="shared" si="15"/>
        <v>20</v>
      </c>
      <c r="AC53" s="50">
        <f t="shared" si="16"/>
        <v>820</v>
      </c>
      <c r="AD53" s="50">
        <f t="shared" si="18"/>
        <v>1180.5</v>
      </c>
      <c r="AE53" s="50">
        <f t="shared" si="19"/>
        <v>118</v>
      </c>
      <c r="AP53" s="7">
        <v>51</v>
      </c>
      <c r="AQ53" s="7">
        <v>510</v>
      </c>
    </row>
    <row r="54" spans="1:43" x14ac:dyDescent="0.15">
      <c r="A54">
        <v>1</v>
      </c>
      <c r="B54" t="s">
        <v>3126</v>
      </c>
      <c r="C54" t="s">
        <v>3127</v>
      </c>
      <c r="D54">
        <v>6</v>
      </c>
      <c r="E54" t="s">
        <v>3220</v>
      </c>
      <c r="F54" t="s">
        <v>3129</v>
      </c>
      <c r="G54">
        <v>15</v>
      </c>
      <c r="H54">
        <v>1</v>
      </c>
      <c r="I54" t="s">
        <v>3130</v>
      </c>
      <c r="J54" t="s">
        <v>3131</v>
      </c>
      <c r="K54" t="s">
        <v>3132</v>
      </c>
      <c r="L54" t="s">
        <v>3133</v>
      </c>
      <c r="M54">
        <v>1</v>
      </c>
      <c r="N54">
        <v>15</v>
      </c>
      <c r="O54">
        <v>10</v>
      </c>
      <c r="P54" t="str">
        <f t="shared" si="1"/>
        <v>[(112,10)]</v>
      </c>
      <c r="Q54">
        <f t="shared" si="2"/>
        <v>2</v>
      </c>
      <c r="X54" s="50">
        <v>2</v>
      </c>
      <c r="Y54" s="50">
        <f t="shared" si="21"/>
        <v>8</v>
      </c>
      <c r="Z54" s="50">
        <v>52</v>
      </c>
      <c r="AA54" s="50">
        <f t="shared" si="17"/>
        <v>3</v>
      </c>
      <c r="AB54" s="50">
        <f t="shared" si="15"/>
        <v>30</v>
      </c>
      <c r="AC54" s="50">
        <f t="shared" si="16"/>
        <v>830</v>
      </c>
      <c r="AD54" s="50">
        <f t="shared" si="18"/>
        <v>1196</v>
      </c>
      <c r="AE54" s="50">
        <f t="shared" si="19"/>
        <v>119</v>
      </c>
      <c r="AP54" s="7">
        <v>52</v>
      </c>
      <c r="AQ54" s="7">
        <v>520</v>
      </c>
    </row>
    <row r="55" spans="1:43" x14ac:dyDescent="0.15">
      <c r="A55">
        <v>1</v>
      </c>
      <c r="B55" t="s">
        <v>3180</v>
      </c>
      <c r="C55" t="s">
        <v>3181</v>
      </c>
      <c r="D55">
        <v>6</v>
      </c>
      <c r="E55" t="s">
        <v>3221</v>
      </c>
      <c r="F55" t="s">
        <v>3061</v>
      </c>
      <c r="G55">
        <v>5</v>
      </c>
      <c r="H55">
        <v>2</v>
      </c>
      <c r="I55" t="s">
        <v>3182</v>
      </c>
      <c r="J55" t="s">
        <v>3183</v>
      </c>
      <c r="K55" t="s">
        <v>3184</v>
      </c>
      <c r="L55" t="s">
        <v>3185</v>
      </c>
      <c r="M55">
        <v>8</v>
      </c>
      <c r="N55">
        <v>5</v>
      </c>
      <c r="O55">
        <v>5</v>
      </c>
      <c r="P55" t="str">
        <f t="shared" si="1"/>
        <v>[(112,5)]</v>
      </c>
      <c r="Q55">
        <f t="shared" si="2"/>
        <v>2.5</v>
      </c>
      <c r="X55" s="50">
        <v>2</v>
      </c>
      <c r="Y55" s="50">
        <f t="shared" si="21"/>
        <v>8</v>
      </c>
      <c r="Z55" s="50">
        <v>53</v>
      </c>
      <c r="AA55" s="50">
        <f t="shared" si="17"/>
        <v>4</v>
      </c>
      <c r="AB55" s="50">
        <f t="shared" si="15"/>
        <v>40</v>
      </c>
      <c r="AC55" s="50">
        <f t="shared" si="16"/>
        <v>840</v>
      </c>
      <c r="AD55" s="50">
        <f t="shared" si="18"/>
        <v>1211.5</v>
      </c>
      <c r="AE55" s="50">
        <f t="shared" si="19"/>
        <v>121</v>
      </c>
      <c r="AP55" s="7">
        <v>53</v>
      </c>
      <c r="AQ55" s="7">
        <v>530</v>
      </c>
    </row>
    <row r="56" spans="1:43" x14ac:dyDescent="0.15">
      <c r="A56">
        <v>1</v>
      </c>
      <c r="B56" t="s">
        <v>3134</v>
      </c>
      <c r="C56" t="s">
        <v>3135</v>
      </c>
      <c r="D56">
        <v>6</v>
      </c>
      <c r="E56" t="s">
        <v>1648</v>
      </c>
      <c r="F56" t="s">
        <v>3136</v>
      </c>
      <c r="G56">
        <v>100</v>
      </c>
      <c r="H56">
        <v>2</v>
      </c>
      <c r="I56" t="s">
        <v>3137</v>
      </c>
      <c r="J56" t="s">
        <v>3138</v>
      </c>
      <c r="K56" t="s">
        <v>3139</v>
      </c>
      <c r="L56" t="s">
        <v>3140</v>
      </c>
      <c r="M56">
        <v>1</v>
      </c>
      <c r="N56">
        <v>100</v>
      </c>
      <c r="O56">
        <v>10</v>
      </c>
      <c r="P56" t="str">
        <f t="shared" si="1"/>
        <v>[(112,10)]</v>
      </c>
      <c r="Q56">
        <f t="shared" si="2"/>
        <v>7</v>
      </c>
      <c r="X56" s="50">
        <v>2</v>
      </c>
      <c r="Y56" s="50">
        <f t="shared" si="21"/>
        <v>8</v>
      </c>
      <c r="Z56" s="50">
        <v>54</v>
      </c>
      <c r="AA56" s="50">
        <f t="shared" si="17"/>
        <v>5</v>
      </c>
      <c r="AB56" s="50">
        <f t="shared" si="15"/>
        <v>60</v>
      </c>
      <c r="AC56" s="50">
        <f t="shared" si="16"/>
        <v>860</v>
      </c>
      <c r="AD56" s="50">
        <f t="shared" si="18"/>
        <v>1237</v>
      </c>
      <c r="AE56" s="50">
        <f t="shared" si="19"/>
        <v>123</v>
      </c>
      <c r="AP56" s="7">
        <v>54</v>
      </c>
      <c r="AQ56" s="7">
        <v>540</v>
      </c>
    </row>
    <row r="57" spans="1:43" x14ac:dyDescent="0.15">
      <c r="A57">
        <v>1</v>
      </c>
      <c r="B57" t="s">
        <v>3142</v>
      </c>
      <c r="C57" t="s">
        <v>3143</v>
      </c>
      <c r="D57">
        <v>6</v>
      </c>
      <c r="E57" t="s">
        <v>3249</v>
      </c>
      <c r="F57" t="s">
        <v>3144</v>
      </c>
      <c r="G57">
        <v>10</v>
      </c>
      <c r="H57">
        <v>1</v>
      </c>
      <c r="I57" t="s">
        <v>3145</v>
      </c>
      <c r="J57" t="s">
        <v>3146</v>
      </c>
      <c r="K57" t="s">
        <v>3147</v>
      </c>
      <c r="L57" t="s">
        <v>3148</v>
      </c>
      <c r="M57">
        <v>1</v>
      </c>
      <c r="N57">
        <v>10</v>
      </c>
      <c r="O57">
        <v>15</v>
      </c>
      <c r="P57" t="str">
        <f t="shared" si="1"/>
        <v>[(112,15)]</v>
      </c>
      <c r="Q57">
        <f t="shared" si="2"/>
        <v>7</v>
      </c>
      <c r="X57" s="50">
        <v>2</v>
      </c>
      <c r="Y57" s="50">
        <f t="shared" si="21"/>
        <v>8</v>
      </c>
      <c r="Z57" s="50">
        <v>55</v>
      </c>
      <c r="AA57" s="50">
        <f t="shared" si="17"/>
        <v>6</v>
      </c>
      <c r="AB57" s="50">
        <f t="shared" si="15"/>
        <v>60</v>
      </c>
      <c r="AC57" s="50">
        <f t="shared" si="16"/>
        <v>860</v>
      </c>
      <c r="AD57" s="50">
        <f t="shared" si="18"/>
        <v>1242.5</v>
      </c>
      <c r="AE57" s="50">
        <f t="shared" si="19"/>
        <v>124</v>
      </c>
      <c r="AP57" s="7">
        <v>55</v>
      </c>
      <c r="AQ57" s="7">
        <v>550</v>
      </c>
    </row>
    <row r="58" spans="1:43" x14ac:dyDescent="0.15">
      <c r="A58">
        <v>1</v>
      </c>
      <c r="B58" t="s">
        <v>3149</v>
      </c>
      <c r="C58" t="s">
        <v>3150</v>
      </c>
      <c r="D58">
        <v>6</v>
      </c>
      <c r="E58" t="s">
        <v>3224</v>
      </c>
      <c r="F58" t="s">
        <v>3061</v>
      </c>
      <c r="G58">
        <v>500</v>
      </c>
      <c r="H58">
        <v>1</v>
      </c>
      <c r="I58" t="s">
        <v>3151</v>
      </c>
      <c r="J58" t="s">
        <v>3152</v>
      </c>
      <c r="K58" t="s">
        <v>3153</v>
      </c>
      <c r="L58" t="s">
        <v>3154</v>
      </c>
      <c r="M58">
        <v>1</v>
      </c>
      <c r="N58">
        <v>500</v>
      </c>
      <c r="O58">
        <v>5</v>
      </c>
      <c r="P58" t="str">
        <f t="shared" si="1"/>
        <v>[(112,5)]</v>
      </c>
      <c r="Q58">
        <f t="shared" si="2"/>
        <v>2.6666666666666665</v>
      </c>
      <c r="X58" s="50">
        <v>2</v>
      </c>
      <c r="Y58" s="50">
        <f t="shared" si="21"/>
        <v>8</v>
      </c>
      <c r="Z58" s="50">
        <v>56</v>
      </c>
      <c r="AA58" s="50">
        <f t="shared" si="17"/>
        <v>7</v>
      </c>
      <c r="AB58" s="50">
        <f t="shared" si="15"/>
        <v>85</v>
      </c>
      <c r="AC58" s="50">
        <f t="shared" si="16"/>
        <v>885</v>
      </c>
      <c r="AD58" s="50">
        <f t="shared" si="18"/>
        <v>1273</v>
      </c>
      <c r="AE58" s="50">
        <f t="shared" si="19"/>
        <v>127</v>
      </c>
      <c r="AP58" s="7">
        <v>56</v>
      </c>
      <c r="AQ58" s="7">
        <v>560</v>
      </c>
    </row>
    <row r="59" spans="1:43" x14ac:dyDescent="0.15">
      <c r="A59">
        <v>1</v>
      </c>
      <c r="B59" t="s">
        <v>3100</v>
      </c>
      <c r="C59" t="s">
        <v>3101</v>
      </c>
      <c r="D59">
        <v>6</v>
      </c>
      <c r="E59" t="s">
        <v>1648</v>
      </c>
      <c r="F59" t="s">
        <v>3061</v>
      </c>
      <c r="G59">
        <v>100</v>
      </c>
      <c r="H59">
        <v>1</v>
      </c>
      <c r="I59" t="s">
        <v>3103</v>
      </c>
      <c r="J59" t="s">
        <v>3104</v>
      </c>
      <c r="K59" t="s">
        <v>3105</v>
      </c>
      <c r="L59" t="s">
        <v>3106</v>
      </c>
      <c r="M59">
        <v>1</v>
      </c>
      <c r="N59">
        <v>100</v>
      </c>
      <c r="O59">
        <v>10</v>
      </c>
      <c r="P59" t="str">
        <f t="shared" si="1"/>
        <v>[(112,10)]</v>
      </c>
      <c r="Q59">
        <f t="shared" si="2"/>
        <v>2.6666666666666665</v>
      </c>
      <c r="X59" s="50">
        <v>2</v>
      </c>
      <c r="Y59" s="50">
        <f t="shared" si="21"/>
        <v>9</v>
      </c>
      <c r="Z59" s="50">
        <v>57</v>
      </c>
      <c r="AA59" s="50">
        <f t="shared" si="17"/>
        <v>1</v>
      </c>
      <c r="AB59" s="50">
        <f t="shared" si="15"/>
        <v>10</v>
      </c>
      <c r="AC59" s="50">
        <f t="shared" si="16"/>
        <v>895</v>
      </c>
      <c r="AD59" s="50">
        <f t="shared" si="18"/>
        <v>1288.5</v>
      </c>
      <c r="AE59" s="50">
        <f t="shared" si="19"/>
        <v>128</v>
      </c>
      <c r="AP59" s="7">
        <v>57</v>
      </c>
      <c r="AQ59" s="7">
        <v>570</v>
      </c>
    </row>
    <row r="60" spans="1:43" x14ac:dyDescent="0.15">
      <c r="A60">
        <v>1</v>
      </c>
      <c r="B60" t="s">
        <v>3190</v>
      </c>
      <c r="C60" t="s">
        <v>3191</v>
      </c>
      <c r="D60">
        <v>6</v>
      </c>
      <c r="E60" t="s">
        <v>3248</v>
      </c>
      <c r="F60" t="s">
        <v>3061</v>
      </c>
      <c r="G60">
        <v>20</v>
      </c>
      <c r="H60">
        <v>1</v>
      </c>
      <c r="I60" t="s">
        <v>3192</v>
      </c>
      <c r="J60" t="s">
        <v>3193</v>
      </c>
      <c r="K60" t="s">
        <v>3194</v>
      </c>
      <c r="L60" t="s">
        <v>3195</v>
      </c>
      <c r="M60">
        <v>11</v>
      </c>
      <c r="N60">
        <v>20</v>
      </c>
      <c r="O60">
        <v>15</v>
      </c>
      <c r="P60" t="str">
        <f t="shared" si="1"/>
        <v>[(112,15)]</v>
      </c>
      <c r="Q60">
        <f t="shared" si="2"/>
        <v>5</v>
      </c>
      <c r="X60" s="50">
        <v>2</v>
      </c>
      <c r="Y60" s="50">
        <f t="shared" si="21"/>
        <v>9</v>
      </c>
      <c r="Z60" s="50">
        <v>58</v>
      </c>
      <c r="AA60" s="50">
        <f t="shared" si="17"/>
        <v>2</v>
      </c>
      <c r="AB60" s="50">
        <f t="shared" si="15"/>
        <v>10</v>
      </c>
      <c r="AC60" s="50">
        <f t="shared" si="16"/>
        <v>895</v>
      </c>
      <c r="AD60" s="50">
        <f t="shared" si="18"/>
        <v>1294</v>
      </c>
      <c r="AE60" s="50">
        <f t="shared" si="19"/>
        <v>129</v>
      </c>
      <c r="AP60" s="7">
        <v>58</v>
      </c>
      <c r="AQ60" s="7">
        <v>580</v>
      </c>
    </row>
    <row r="61" spans="1:43" x14ac:dyDescent="0.15">
      <c r="A61">
        <v>1</v>
      </c>
      <c r="B61" t="s">
        <v>3113</v>
      </c>
      <c r="C61" t="s">
        <v>3114</v>
      </c>
      <c r="D61">
        <v>6</v>
      </c>
      <c r="E61" t="s">
        <v>3090</v>
      </c>
      <c r="F61" t="s">
        <v>3061</v>
      </c>
      <c r="G61">
        <v>10</v>
      </c>
      <c r="H61">
        <v>2</v>
      </c>
      <c r="I61" t="s">
        <v>3115</v>
      </c>
      <c r="J61" t="s">
        <v>3116</v>
      </c>
      <c r="K61" t="s">
        <v>3117</v>
      </c>
      <c r="L61" t="s">
        <v>3118</v>
      </c>
      <c r="M61">
        <v>13</v>
      </c>
      <c r="N61">
        <v>10</v>
      </c>
      <c r="O61">
        <v>5</v>
      </c>
      <c r="P61" t="str">
        <f t="shared" si="1"/>
        <v>[(112,5)]</v>
      </c>
      <c r="Q61">
        <f t="shared" si="2"/>
        <v>5</v>
      </c>
      <c r="X61" s="50">
        <v>2</v>
      </c>
      <c r="Y61" s="50">
        <f t="shared" si="21"/>
        <v>9</v>
      </c>
      <c r="Z61" s="50">
        <v>59</v>
      </c>
      <c r="AA61" s="50">
        <f t="shared" si="17"/>
        <v>3</v>
      </c>
      <c r="AB61" s="50">
        <f t="shared" si="15"/>
        <v>35</v>
      </c>
      <c r="AC61" s="50">
        <f t="shared" si="16"/>
        <v>920</v>
      </c>
      <c r="AD61" s="50">
        <f t="shared" si="18"/>
        <v>1324.5</v>
      </c>
      <c r="AE61" s="50">
        <f t="shared" si="19"/>
        <v>132</v>
      </c>
      <c r="AP61" s="7">
        <v>59</v>
      </c>
      <c r="AQ61" s="7">
        <v>590</v>
      </c>
    </row>
    <row r="62" spans="1:43" x14ac:dyDescent="0.15">
      <c r="A62">
        <v>1</v>
      </c>
      <c r="B62" t="s">
        <v>3179</v>
      </c>
      <c r="C62" t="s">
        <v>3250</v>
      </c>
      <c r="D62">
        <v>6</v>
      </c>
      <c r="E62" t="s">
        <v>3061</v>
      </c>
      <c r="F62" t="s">
        <v>3136</v>
      </c>
      <c r="G62">
        <v>1</v>
      </c>
      <c r="H62">
        <v>1</v>
      </c>
      <c r="I62" t="s">
        <v>3251</v>
      </c>
      <c r="J62" t="s">
        <v>3252</v>
      </c>
      <c r="K62" t="s">
        <v>3253</v>
      </c>
      <c r="L62" t="s">
        <v>3254</v>
      </c>
      <c r="M62">
        <v>1</v>
      </c>
      <c r="N62">
        <v>1</v>
      </c>
      <c r="O62">
        <v>20</v>
      </c>
      <c r="P62" t="str">
        <f t="shared" si="1"/>
        <v>[(112,20)]</v>
      </c>
      <c r="Q62">
        <f t="shared" si="2"/>
        <v>0.5</v>
      </c>
      <c r="X62" s="50">
        <v>2</v>
      </c>
      <c r="Y62" s="50">
        <f t="shared" si="21"/>
        <v>9</v>
      </c>
      <c r="Z62" s="50">
        <v>60</v>
      </c>
      <c r="AA62" s="50">
        <f t="shared" si="17"/>
        <v>4</v>
      </c>
      <c r="AB62" s="50">
        <f t="shared" si="15"/>
        <v>60</v>
      </c>
      <c r="AC62" s="50">
        <f t="shared" si="16"/>
        <v>945</v>
      </c>
      <c r="AD62" s="50">
        <f t="shared" si="18"/>
        <v>1355</v>
      </c>
      <c r="AE62" s="50">
        <f t="shared" si="19"/>
        <v>135</v>
      </c>
      <c r="AP62" s="7">
        <v>60</v>
      </c>
      <c r="AQ62" s="7">
        <v>600</v>
      </c>
    </row>
    <row r="63" spans="1:43" x14ac:dyDescent="0.15">
      <c r="A63">
        <v>1</v>
      </c>
      <c r="B63" t="s">
        <v>3155</v>
      </c>
      <c r="C63" t="s">
        <v>3255</v>
      </c>
      <c r="D63">
        <v>6</v>
      </c>
      <c r="E63" t="s">
        <v>1650</v>
      </c>
      <c r="F63" s="287" t="s">
        <v>3849</v>
      </c>
      <c r="G63">
        <v>1</v>
      </c>
      <c r="H63">
        <v>1</v>
      </c>
      <c r="I63" t="s">
        <v>3256</v>
      </c>
      <c r="J63" t="s">
        <v>3257</v>
      </c>
      <c r="K63" t="s">
        <v>3258</v>
      </c>
      <c r="L63" t="s">
        <v>3259</v>
      </c>
      <c r="M63">
        <v>1</v>
      </c>
      <c r="N63">
        <v>1</v>
      </c>
      <c r="O63">
        <v>20</v>
      </c>
      <c r="P63" t="str">
        <f t="shared" si="1"/>
        <v>[(112,20)]</v>
      </c>
      <c r="Q63">
        <f t="shared" si="2"/>
        <v>1</v>
      </c>
      <c r="X63" s="50">
        <v>2</v>
      </c>
      <c r="Y63" s="50">
        <f t="shared" si="21"/>
        <v>9</v>
      </c>
      <c r="Z63" s="50">
        <v>61</v>
      </c>
      <c r="AA63" s="50">
        <f t="shared" si="17"/>
        <v>5</v>
      </c>
      <c r="AB63" s="50">
        <f t="shared" si="15"/>
        <v>65</v>
      </c>
      <c r="AC63" s="50">
        <f t="shared" si="16"/>
        <v>950</v>
      </c>
      <c r="AD63" s="50">
        <f t="shared" si="18"/>
        <v>1365.5</v>
      </c>
      <c r="AE63" s="50">
        <f t="shared" si="19"/>
        <v>136</v>
      </c>
      <c r="AP63" s="7">
        <v>61</v>
      </c>
      <c r="AQ63" s="7">
        <v>610</v>
      </c>
    </row>
    <row r="64" spans="1:43" x14ac:dyDescent="0.15">
      <c r="A64">
        <v>1</v>
      </c>
      <c r="B64" t="s">
        <v>3149</v>
      </c>
      <c r="C64" t="s">
        <v>3150</v>
      </c>
      <c r="D64">
        <v>7</v>
      </c>
      <c r="E64" t="s">
        <v>3224</v>
      </c>
      <c r="F64" t="s">
        <v>3061</v>
      </c>
      <c r="G64">
        <v>500</v>
      </c>
      <c r="H64">
        <v>1</v>
      </c>
      <c r="I64" t="s">
        <v>3151</v>
      </c>
      <c r="J64" t="s">
        <v>3152</v>
      </c>
      <c r="K64" t="s">
        <v>3153</v>
      </c>
      <c r="L64" t="s">
        <v>3154</v>
      </c>
      <c r="M64">
        <v>1</v>
      </c>
      <c r="N64">
        <v>500</v>
      </c>
      <c r="O64">
        <v>5</v>
      </c>
      <c r="P64" t="str">
        <f t="shared" si="1"/>
        <v>[(112,5)]</v>
      </c>
      <c r="Q64">
        <f t="shared" si="2"/>
        <v>2.6666666666666665</v>
      </c>
      <c r="X64" s="50">
        <v>2</v>
      </c>
      <c r="Y64" s="50">
        <f t="shared" si="21"/>
        <v>9</v>
      </c>
      <c r="Z64" s="50">
        <v>62</v>
      </c>
      <c r="AA64" s="50">
        <f t="shared" si="17"/>
        <v>6</v>
      </c>
      <c r="AB64" s="50">
        <f t="shared" si="15"/>
        <v>65</v>
      </c>
      <c r="AC64" s="50">
        <f t="shared" si="16"/>
        <v>950</v>
      </c>
      <c r="AD64" s="50">
        <f t="shared" si="18"/>
        <v>1371</v>
      </c>
      <c r="AE64" s="50">
        <f t="shared" si="19"/>
        <v>137</v>
      </c>
      <c r="AP64" s="7">
        <v>62</v>
      </c>
      <c r="AQ64" s="7">
        <v>620</v>
      </c>
    </row>
    <row r="65" spans="1:43" x14ac:dyDescent="0.15">
      <c r="A65">
        <v>1</v>
      </c>
      <c r="B65" t="s">
        <v>3088</v>
      </c>
      <c r="C65" t="s">
        <v>3089</v>
      </c>
      <c r="D65">
        <v>7</v>
      </c>
      <c r="E65" t="s">
        <v>3102</v>
      </c>
      <c r="F65" t="s">
        <v>3061</v>
      </c>
      <c r="G65">
        <v>30</v>
      </c>
      <c r="H65">
        <v>1</v>
      </c>
      <c r="I65" t="s">
        <v>3091</v>
      </c>
      <c r="J65" t="s">
        <v>3092</v>
      </c>
      <c r="K65" t="s">
        <v>3093</v>
      </c>
      <c r="L65" t="s">
        <v>3094</v>
      </c>
      <c r="M65">
        <v>1</v>
      </c>
      <c r="N65">
        <v>30</v>
      </c>
      <c r="O65">
        <v>5</v>
      </c>
      <c r="P65" t="str">
        <f t="shared" si="1"/>
        <v>[(112,5)]</v>
      </c>
      <c r="Q65">
        <f t="shared" si="2"/>
        <v>6.6799999999999988</v>
      </c>
      <c r="X65" s="50">
        <v>2</v>
      </c>
      <c r="Y65" s="50">
        <f t="shared" si="21"/>
        <v>9</v>
      </c>
      <c r="Z65" s="50">
        <v>63</v>
      </c>
      <c r="AA65" s="50">
        <f t="shared" si="17"/>
        <v>7</v>
      </c>
      <c r="AB65" s="50">
        <f t="shared" si="15"/>
        <v>100</v>
      </c>
      <c r="AC65" s="50">
        <f t="shared" si="16"/>
        <v>985</v>
      </c>
      <c r="AD65" s="50">
        <f t="shared" si="18"/>
        <v>1411.5</v>
      </c>
      <c r="AE65" s="50">
        <f t="shared" si="19"/>
        <v>141</v>
      </c>
      <c r="AP65" s="7">
        <v>63</v>
      </c>
      <c r="AQ65" s="7">
        <v>630</v>
      </c>
    </row>
    <row r="66" spans="1:43" x14ac:dyDescent="0.15">
      <c r="A66">
        <v>1</v>
      </c>
      <c r="B66" t="s">
        <v>3086</v>
      </c>
      <c r="C66" t="s">
        <v>3095</v>
      </c>
      <c r="D66">
        <v>7</v>
      </c>
      <c r="E66" t="s">
        <v>3241</v>
      </c>
      <c r="F66" t="s">
        <v>3061</v>
      </c>
      <c r="G66">
        <v>8</v>
      </c>
      <c r="H66">
        <v>2</v>
      </c>
      <c r="I66" t="s">
        <v>3096</v>
      </c>
      <c r="J66" t="s">
        <v>3097</v>
      </c>
      <c r="K66" t="s">
        <v>3098</v>
      </c>
      <c r="L66" t="s">
        <v>3099</v>
      </c>
      <c r="M66">
        <v>1</v>
      </c>
      <c r="N66">
        <v>8</v>
      </c>
      <c r="O66">
        <v>10</v>
      </c>
      <c r="P66" t="str">
        <f t="shared" si="1"/>
        <v>[(112,10)]</v>
      </c>
      <c r="Q66">
        <f t="shared" si="2"/>
        <v>5.333333333333333</v>
      </c>
      <c r="X66" s="50">
        <v>2</v>
      </c>
      <c r="Y66" s="50">
        <f t="shared" si="21"/>
        <v>10</v>
      </c>
      <c r="Z66" s="50">
        <v>64</v>
      </c>
      <c r="AA66" s="50">
        <f t="shared" si="17"/>
        <v>1</v>
      </c>
      <c r="AB66" s="50">
        <f t="shared" si="15"/>
        <v>10</v>
      </c>
      <c r="AC66" s="50">
        <f t="shared" si="16"/>
        <v>995</v>
      </c>
      <c r="AD66" s="50">
        <f t="shared" si="18"/>
        <v>1457</v>
      </c>
      <c r="AE66" s="50">
        <f t="shared" si="19"/>
        <v>145</v>
      </c>
      <c r="AP66" s="7">
        <v>64</v>
      </c>
      <c r="AQ66" s="7">
        <v>640</v>
      </c>
    </row>
    <row r="67" spans="1:43" x14ac:dyDescent="0.15">
      <c r="A67">
        <v>1</v>
      </c>
      <c r="B67" t="s">
        <v>3204</v>
      </c>
      <c r="C67" t="s">
        <v>3229</v>
      </c>
      <c r="D67">
        <v>7</v>
      </c>
      <c r="E67" t="s">
        <v>1580</v>
      </c>
      <c r="F67" t="s">
        <v>3061</v>
      </c>
      <c r="G67">
        <v>3</v>
      </c>
      <c r="H67">
        <v>2</v>
      </c>
      <c r="I67" t="s">
        <v>3230</v>
      </c>
      <c r="J67" t="s">
        <v>3231</v>
      </c>
      <c r="K67" t="s">
        <v>3232</v>
      </c>
      <c r="L67" t="s">
        <v>3233</v>
      </c>
      <c r="M67">
        <v>0</v>
      </c>
      <c r="N67">
        <v>3</v>
      </c>
      <c r="O67">
        <v>5</v>
      </c>
      <c r="P67" t="str">
        <f t="shared" ref="P67:P129" si="22">"[("&amp;"112,"&amp;O67&amp;")]"</f>
        <v>[(112,5)]</v>
      </c>
      <c r="Q67">
        <f t="shared" ref="Q67:Q130" si="23">IF((N67/VLOOKUP(B67,AG:AJ,MATCH("单场参数换算",$AG$1:$AJ$1,0),FALSE))/($AN$2/$AN$1)&gt;7,7,(N67/VLOOKUP(B67,AG:AJ,MATCH("单场参数换算",$AG$1:$AJ$1,0),FALSE))/($AN$2/$AN$1))</f>
        <v>3</v>
      </c>
      <c r="X67" s="50">
        <v>2</v>
      </c>
      <c r="Y67" s="50">
        <f t="shared" si="21"/>
        <v>10</v>
      </c>
      <c r="Z67" s="50">
        <v>65</v>
      </c>
      <c r="AA67" s="50">
        <f t="shared" si="17"/>
        <v>2</v>
      </c>
      <c r="AB67" s="50">
        <f t="shared" ref="AB67:AB72" si="24">SUMIFS(O:O,A:A,X67,D:D,Y67,Q:Q,"&lt;="&amp;AA67)</f>
        <v>35</v>
      </c>
      <c r="AC67" s="50">
        <f t="shared" ref="AC67:AC72" si="25">IF(Y67=1,AB67,SUMIFS(AB:AB,Y:Y,"&lt;"&amp;Y67,AA:AA,7)+AB67)</f>
        <v>1020</v>
      </c>
      <c r="AD67" s="50">
        <f t="shared" si="18"/>
        <v>1487.5</v>
      </c>
      <c r="AE67" s="50">
        <f t="shared" si="19"/>
        <v>148</v>
      </c>
      <c r="AP67" s="7">
        <v>65</v>
      </c>
      <c r="AQ67" s="7">
        <v>650</v>
      </c>
    </row>
    <row r="68" spans="1:43" x14ac:dyDescent="0.15">
      <c r="A68">
        <v>1</v>
      </c>
      <c r="B68" t="s">
        <v>3212</v>
      </c>
      <c r="C68" t="s">
        <v>3260</v>
      </c>
      <c r="D68">
        <v>7</v>
      </c>
      <c r="E68" t="s">
        <v>3090</v>
      </c>
      <c r="F68" t="s">
        <v>3207</v>
      </c>
      <c r="G68">
        <v>10</v>
      </c>
      <c r="H68">
        <v>2</v>
      </c>
      <c r="I68" t="s">
        <v>3261</v>
      </c>
      <c r="J68" t="s">
        <v>3262</v>
      </c>
      <c r="K68" t="s">
        <v>3263</v>
      </c>
      <c r="L68" t="s">
        <v>3264</v>
      </c>
      <c r="M68">
        <v>1</v>
      </c>
      <c r="N68">
        <v>10</v>
      </c>
      <c r="O68">
        <v>10</v>
      </c>
      <c r="P68" t="str">
        <f t="shared" si="22"/>
        <v>[(112,10)]</v>
      </c>
      <c r="Q68">
        <f t="shared" si="23"/>
        <v>2</v>
      </c>
      <c r="X68" s="50">
        <v>2</v>
      </c>
      <c r="Y68" s="50">
        <f t="shared" si="21"/>
        <v>10</v>
      </c>
      <c r="Z68" s="50">
        <v>66</v>
      </c>
      <c r="AA68" s="50">
        <f t="shared" si="17"/>
        <v>3</v>
      </c>
      <c r="AB68" s="50">
        <f t="shared" si="24"/>
        <v>45</v>
      </c>
      <c r="AC68" s="50">
        <f t="shared" si="25"/>
        <v>1030</v>
      </c>
      <c r="AD68" s="50">
        <f t="shared" si="18"/>
        <v>1503</v>
      </c>
      <c r="AE68" s="50">
        <f t="shared" si="19"/>
        <v>150</v>
      </c>
      <c r="AP68" s="7">
        <v>66</v>
      </c>
      <c r="AQ68" s="7">
        <v>660</v>
      </c>
    </row>
    <row r="69" spans="1:43" x14ac:dyDescent="0.15">
      <c r="A69">
        <v>1</v>
      </c>
      <c r="B69" t="s">
        <v>3205</v>
      </c>
      <c r="C69" t="s">
        <v>3206</v>
      </c>
      <c r="D69">
        <v>7</v>
      </c>
      <c r="E69" t="s">
        <v>3221</v>
      </c>
      <c r="F69" t="s">
        <v>3207</v>
      </c>
      <c r="G69">
        <v>5</v>
      </c>
      <c r="H69">
        <v>2</v>
      </c>
      <c r="I69" t="s">
        <v>3208</v>
      </c>
      <c r="J69" t="s">
        <v>3209</v>
      </c>
      <c r="K69" t="s">
        <v>3210</v>
      </c>
      <c r="L69" t="s">
        <v>3211</v>
      </c>
      <c r="M69">
        <v>1</v>
      </c>
      <c r="N69">
        <v>5</v>
      </c>
      <c r="O69">
        <v>15</v>
      </c>
      <c r="P69" t="str">
        <f t="shared" si="22"/>
        <v>[(112,15)]</v>
      </c>
      <c r="Q69">
        <f t="shared" si="23"/>
        <v>5</v>
      </c>
      <c r="X69" s="50">
        <v>2</v>
      </c>
      <c r="Y69" s="50">
        <f t="shared" si="21"/>
        <v>10</v>
      </c>
      <c r="Z69" s="50">
        <v>67</v>
      </c>
      <c r="AA69" s="50">
        <f t="shared" si="17"/>
        <v>4</v>
      </c>
      <c r="AB69" s="50">
        <f t="shared" si="24"/>
        <v>45</v>
      </c>
      <c r="AC69" s="50">
        <f t="shared" si="25"/>
        <v>1030</v>
      </c>
      <c r="AD69" s="50">
        <f t="shared" si="18"/>
        <v>1508.5</v>
      </c>
      <c r="AE69" s="50">
        <f t="shared" si="19"/>
        <v>150</v>
      </c>
      <c r="AP69" s="7">
        <v>67</v>
      </c>
      <c r="AQ69" s="7">
        <v>670</v>
      </c>
    </row>
    <row r="70" spans="1:43" x14ac:dyDescent="0.15">
      <c r="A70">
        <v>1</v>
      </c>
      <c r="B70" t="s">
        <v>3113</v>
      </c>
      <c r="C70" t="s">
        <v>3114</v>
      </c>
      <c r="D70">
        <v>7</v>
      </c>
      <c r="E70" t="s">
        <v>3090</v>
      </c>
      <c r="F70" t="s">
        <v>3061</v>
      </c>
      <c r="G70">
        <v>10</v>
      </c>
      <c r="H70">
        <v>2</v>
      </c>
      <c r="I70" t="s">
        <v>3265</v>
      </c>
      <c r="J70" t="s">
        <v>3266</v>
      </c>
      <c r="K70" t="s">
        <v>3117</v>
      </c>
      <c r="L70" t="s">
        <v>3118</v>
      </c>
      <c r="M70">
        <v>13</v>
      </c>
      <c r="N70">
        <v>10</v>
      </c>
      <c r="O70">
        <v>5</v>
      </c>
      <c r="P70" t="str">
        <f t="shared" si="22"/>
        <v>[(112,5)]</v>
      </c>
      <c r="Q70">
        <f t="shared" si="23"/>
        <v>5</v>
      </c>
      <c r="X70" s="50">
        <v>2</v>
      </c>
      <c r="Y70" s="50">
        <f t="shared" si="21"/>
        <v>10</v>
      </c>
      <c r="Z70" s="50">
        <v>68</v>
      </c>
      <c r="AA70" s="50">
        <f t="shared" si="17"/>
        <v>5</v>
      </c>
      <c r="AB70" s="50">
        <f t="shared" si="24"/>
        <v>50</v>
      </c>
      <c r="AC70" s="50">
        <f t="shared" si="25"/>
        <v>1035</v>
      </c>
      <c r="AD70" s="50">
        <f t="shared" si="18"/>
        <v>1519</v>
      </c>
      <c r="AE70" s="50">
        <f t="shared" si="19"/>
        <v>151</v>
      </c>
      <c r="AP70" s="7">
        <v>68</v>
      </c>
      <c r="AQ70" s="7">
        <v>680</v>
      </c>
    </row>
    <row r="71" spans="1:43" x14ac:dyDescent="0.15">
      <c r="A71">
        <v>1</v>
      </c>
      <c r="B71" t="s">
        <v>3189</v>
      </c>
      <c r="C71" s="287" t="s">
        <v>3850</v>
      </c>
      <c r="D71">
        <v>7</v>
      </c>
      <c r="E71" t="s">
        <v>3248</v>
      </c>
      <c r="F71" s="287" t="s">
        <v>3851</v>
      </c>
      <c r="G71">
        <v>1</v>
      </c>
      <c r="H71">
        <v>1</v>
      </c>
      <c r="I71" t="s">
        <v>3268</v>
      </c>
      <c r="J71" t="s">
        <v>3269</v>
      </c>
      <c r="K71" t="s">
        <v>3270</v>
      </c>
      <c r="L71" t="s">
        <v>3271</v>
      </c>
      <c r="M71">
        <v>1</v>
      </c>
      <c r="N71">
        <v>1</v>
      </c>
      <c r="O71">
        <v>20</v>
      </c>
      <c r="P71" t="str">
        <f t="shared" si="22"/>
        <v>[(112,20)]</v>
      </c>
      <c r="Q71">
        <f t="shared" si="23"/>
        <v>6.9999999999999991</v>
      </c>
      <c r="X71" s="50">
        <v>2</v>
      </c>
      <c r="Y71" s="50">
        <f t="shared" si="21"/>
        <v>10</v>
      </c>
      <c r="Z71" s="50">
        <v>69</v>
      </c>
      <c r="AA71" s="50">
        <f t="shared" si="17"/>
        <v>6</v>
      </c>
      <c r="AB71" s="50">
        <f t="shared" si="24"/>
        <v>80</v>
      </c>
      <c r="AC71" s="50">
        <f t="shared" si="25"/>
        <v>1065</v>
      </c>
      <c r="AD71" s="50">
        <f t="shared" si="18"/>
        <v>1554.5</v>
      </c>
      <c r="AE71" s="50">
        <f t="shared" si="19"/>
        <v>155</v>
      </c>
      <c r="AP71" s="7">
        <v>69</v>
      </c>
      <c r="AQ71" s="7">
        <v>690</v>
      </c>
    </row>
    <row r="72" spans="1:43" x14ac:dyDescent="0.15">
      <c r="A72">
        <v>1</v>
      </c>
      <c r="B72" t="s">
        <v>3196</v>
      </c>
      <c r="C72" t="s">
        <v>3272</v>
      </c>
      <c r="D72">
        <v>7</v>
      </c>
      <c r="E72" t="s">
        <v>3248</v>
      </c>
      <c r="F72" t="s">
        <v>3273</v>
      </c>
      <c r="G72">
        <v>1</v>
      </c>
      <c r="H72">
        <v>1</v>
      </c>
      <c r="I72" t="s">
        <v>3274</v>
      </c>
      <c r="J72" t="s">
        <v>3275</v>
      </c>
      <c r="K72" t="s">
        <v>3276</v>
      </c>
      <c r="L72" t="s">
        <v>3277</v>
      </c>
      <c r="M72">
        <v>1</v>
      </c>
      <c r="N72">
        <v>1</v>
      </c>
      <c r="O72">
        <v>20</v>
      </c>
      <c r="P72" t="str">
        <f t="shared" si="22"/>
        <v>[(112,20)]</v>
      </c>
      <c r="Q72">
        <f t="shared" si="23"/>
        <v>6.9999999999999991</v>
      </c>
      <c r="X72" s="50">
        <v>2</v>
      </c>
      <c r="Y72" s="50">
        <f t="shared" si="21"/>
        <v>10</v>
      </c>
      <c r="Z72" s="50">
        <v>70</v>
      </c>
      <c r="AA72" s="50">
        <f t="shared" si="17"/>
        <v>7</v>
      </c>
      <c r="AB72" s="50">
        <f t="shared" si="24"/>
        <v>110</v>
      </c>
      <c r="AC72" s="50">
        <f t="shared" si="25"/>
        <v>1095</v>
      </c>
      <c r="AD72" s="50">
        <f t="shared" si="18"/>
        <v>1590</v>
      </c>
      <c r="AE72" s="50">
        <f t="shared" si="19"/>
        <v>159</v>
      </c>
      <c r="AP72" s="7">
        <v>70</v>
      </c>
      <c r="AQ72" s="7">
        <v>700</v>
      </c>
    </row>
    <row r="73" spans="1:43" x14ac:dyDescent="0.15">
      <c r="A73">
        <v>1</v>
      </c>
      <c r="B73" t="s">
        <v>3213</v>
      </c>
      <c r="C73" t="s">
        <v>3278</v>
      </c>
      <c r="D73">
        <v>7</v>
      </c>
      <c r="E73" t="s">
        <v>1580</v>
      </c>
      <c r="F73" t="s">
        <v>3061</v>
      </c>
      <c r="G73">
        <v>3</v>
      </c>
      <c r="H73">
        <v>2</v>
      </c>
      <c r="I73" t="s">
        <v>3279</v>
      </c>
      <c r="J73" t="s">
        <v>3279</v>
      </c>
      <c r="K73" t="s">
        <v>3280</v>
      </c>
      <c r="L73" t="s">
        <v>3281</v>
      </c>
      <c r="M73">
        <v>1</v>
      </c>
      <c r="N73">
        <v>3</v>
      </c>
      <c r="O73">
        <v>10</v>
      </c>
      <c r="P73" t="str">
        <f t="shared" si="22"/>
        <v>[(112,10)]</v>
      </c>
      <c r="Q73">
        <f t="shared" si="23"/>
        <v>1.5</v>
      </c>
      <c r="Z73" s="50"/>
      <c r="AA73" s="50"/>
      <c r="AP73" s="7">
        <v>71</v>
      </c>
      <c r="AQ73" s="7">
        <v>710</v>
      </c>
    </row>
    <row r="74" spans="1:43" x14ac:dyDescent="0.15">
      <c r="A74">
        <v>1</v>
      </c>
      <c r="B74" t="s">
        <v>3170</v>
      </c>
      <c r="C74" t="s">
        <v>3171</v>
      </c>
      <c r="D74">
        <v>7</v>
      </c>
      <c r="E74" t="s">
        <v>3156</v>
      </c>
      <c r="F74" t="s">
        <v>3061</v>
      </c>
      <c r="G74">
        <v>15</v>
      </c>
      <c r="H74">
        <v>2</v>
      </c>
      <c r="I74" t="s">
        <v>3172</v>
      </c>
      <c r="J74" t="s">
        <v>3173</v>
      </c>
      <c r="K74" t="s">
        <v>3174</v>
      </c>
      <c r="L74" t="s">
        <v>3175</v>
      </c>
      <c r="M74">
        <v>17</v>
      </c>
      <c r="N74">
        <v>15</v>
      </c>
      <c r="O74">
        <v>10</v>
      </c>
      <c r="P74" t="str">
        <f t="shared" si="22"/>
        <v>[(112,10)]</v>
      </c>
      <c r="Q74">
        <f t="shared" si="23"/>
        <v>7</v>
      </c>
      <c r="AP74" s="7">
        <v>72</v>
      </c>
      <c r="AQ74" s="7">
        <v>720</v>
      </c>
    </row>
    <row r="75" spans="1:43" x14ac:dyDescent="0.15">
      <c r="A75">
        <v>1</v>
      </c>
      <c r="B75" t="s">
        <v>3058</v>
      </c>
      <c r="C75" t="s">
        <v>3059</v>
      </c>
      <c r="D75">
        <v>8</v>
      </c>
      <c r="E75" t="s">
        <v>3248</v>
      </c>
      <c r="F75" t="s">
        <v>3061</v>
      </c>
      <c r="G75">
        <v>20</v>
      </c>
      <c r="H75">
        <v>1</v>
      </c>
      <c r="I75" t="s">
        <v>3062</v>
      </c>
      <c r="J75" t="s">
        <v>3063</v>
      </c>
      <c r="K75" t="s">
        <v>3064</v>
      </c>
      <c r="L75" t="s">
        <v>3065</v>
      </c>
      <c r="M75">
        <v>7</v>
      </c>
      <c r="N75">
        <v>20</v>
      </c>
      <c r="O75">
        <v>5</v>
      </c>
      <c r="P75" t="str">
        <f t="shared" si="22"/>
        <v>[(112,5)]</v>
      </c>
      <c r="Q75">
        <f t="shared" si="23"/>
        <v>7</v>
      </c>
      <c r="AP75" s="7">
        <v>73</v>
      </c>
      <c r="AQ75" s="7">
        <v>730</v>
      </c>
    </row>
    <row r="76" spans="1:43" x14ac:dyDescent="0.15">
      <c r="A76">
        <v>1</v>
      </c>
      <c r="B76" t="s">
        <v>3134</v>
      </c>
      <c r="C76" t="s">
        <v>3135</v>
      </c>
      <c r="D76">
        <v>8</v>
      </c>
      <c r="E76" t="s">
        <v>1648</v>
      </c>
      <c r="F76" t="s">
        <v>3136</v>
      </c>
      <c r="G76">
        <v>100</v>
      </c>
      <c r="H76">
        <v>2</v>
      </c>
      <c r="I76" t="s">
        <v>3137</v>
      </c>
      <c r="J76" t="s">
        <v>3138</v>
      </c>
      <c r="K76" t="s">
        <v>3139</v>
      </c>
      <c r="L76" t="s">
        <v>3140</v>
      </c>
      <c r="M76">
        <v>1</v>
      </c>
      <c r="N76">
        <v>100</v>
      </c>
      <c r="O76">
        <v>10</v>
      </c>
      <c r="P76" t="str">
        <f t="shared" si="22"/>
        <v>[(112,10)]</v>
      </c>
      <c r="Q76">
        <f t="shared" si="23"/>
        <v>7</v>
      </c>
      <c r="AP76" s="7">
        <v>74</v>
      </c>
      <c r="AQ76" s="7">
        <v>740</v>
      </c>
    </row>
    <row r="77" spans="1:43" x14ac:dyDescent="0.15">
      <c r="A77">
        <v>1</v>
      </c>
      <c r="B77" t="s">
        <v>3142</v>
      </c>
      <c r="C77" t="s">
        <v>3143</v>
      </c>
      <c r="D77">
        <v>8</v>
      </c>
      <c r="E77" t="s">
        <v>3249</v>
      </c>
      <c r="F77" t="s">
        <v>3144</v>
      </c>
      <c r="G77">
        <v>10</v>
      </c>
      <c r="H77">
        <v>1</v>
      </c>
      <c r="I77" t="s">
        <v>3145</v>
      </c>
      <c r="J77" t="s">
        <v>3146</v>
      </c>
      <c r="K77" t="s">
        <v>3147</v>
      </c>
      <c r="L77" t="s">
        <v>3148</v>
      </c>
      <c r="M77">
        <v>1</v>
      </c>
      <c r="N77">
        <v>10</v>
      </c>
      <c r="O77">
        <v>15</v>
      </c>
      <c r="P77" t="str">
        <f t="shared" si="22"/>
        <v>[(112,15)]</v>
      </c>
      <c r="Q77">
        <f t="shared" si="23"/>
        <v>7</v>
      </c>
      <c r="AP77" s="7">
        <v>75</v>
      </c>
      <c r="AQ77" s="7">
        <v>750</v>
      </c>
    </row>
    <row r="78" spans="1:43" x14ac:dyDescent="0.15">
      <c r="A78">
        <v>1</v>
      </c>
      <c r="B78" t="s">
        <v>3149</v>
      </c>
      <c r="C78" t="s">
        <v>3150</v>
      </c>
      <c r="D78">
        <v>8</v>
      </c>
      <c r="E78" t="s">
        <v>3282</v>
      </c>
      <c r="F78" t="s">
        <v>3061</v>
      </c>
      <c r="G78">
        <v>1000</v>
      </c>
      <c r="H78">
        <v>1</v>
      </c>
      <c r="I78" t="s">
        <v>3151</v>
      </c>
      <c r="J78" t="s">
        <v>3152</v>
      </c>
      <c r="K78" t="s">
        <v>3153</v>
      </c>
      <c r="L78" t="s">
        <v>3154</v>
      </c>
      <c r="M78">
        <v>1</v>
      </c>
      <c r="N78">
        <v>1000</v>
      </c>
      <c r="O78">
        <v>5</v>
      </c>
      <c r="P78" t="str">
        <f t="shared" si="22"/>
        <v>[(112,5)]</v>
      </c>
      <c r="Q78">
        <f t="shared" si="23"/>
        <v>5.333333333333333</v>
      </c>
      <c r="AP78" s="7">
        <v>76</v>
      </c>
      <c r="AQ78" s="7">
        <v>760</v>
      </c>
    </row>
    <row r="79" spans="1:43" x14ac:dyDescent="0.15">
      <c r="A79">
        <v>1</v>
      </c>
      <c r="B79" t="s">
        <v>3100</v>
      </c>
      <c r="C79" t="s">
        <v>3101</v>
      </c>
      <c r="D79">
        <v>8</v>
      </c>
      <c r="E79" t="s">
        <v>1648</v>
      </c>
      <c r="F79" t="s">
        <v>3061</v>
      </c>
      <c r="G79">
        <v>100</v>
      </c>
      <c r="H79">
        <v>1</v>
      </c>
      <c r="I79" t="s">
        <v>3103</v>
      </c>
      <c r="J79" t="s">
        <v>3104</v>
      </c>
      <c r="K79" t="s">
        <v>3105</v>
      </c>
      <c r="L79" t="s">
        <v>3106</v>
      </c>
      <c r="M79">
        <v>1</v>
      </c>
      <c r="N79">
        <v>100</v>
      </c>
      <c r="O79">
        <v>10</v>
      </c>
      <c r="P79" t="str">
        <f t="shared" si="22"/>
        <v>[(112,10)]</v>
      </c>
      <c r="Q79">
        <f t="shared" si="23"/>
        <v>2.6666666666666665</v>
      </c>
      <c r="AP79" s="7">
        <v>77</v>
      </c>
      <c r="AQ79" s="7">
        <v>770</v>
      </c>
    </row>
    <row r="80" spans="1:43" x14ac:dyDescent="0.15">
      <c r="A80">
        <v>1</v>
      </c>
      <c r="B80" t="s">
        <v>3197</v>
      </c>
      <c r="C80" t="s">
        <v>3198</v>
      </c>
      <c r="D80">
        <v>8</v>
      </c>
      <c r="E80" t="s">
        <v>3199</v>
      </c>
      <c r="F80" t="s">
        <v>3061</v>
      </c>
      <c r="G80">
        <v>20000</v>
      </c>
      <c r="H80">
        <v>2</v>
      </c>
      <c r="I80" t="s">
        <v>3200</v>
      </c>
      <c r="J80" t="s">
        <v>3201</v>
      </c>
      <c r="K80" t="s">
        <v>3202</v>
      </c>
      <c r="L80" t="s">
        <v>3203</v>
      </c>
      <c r="M80">
        <v>17</v>
      </c>
      <c r="N80">
        <v>20000</v>
      </c>
      <c r="O80">
        <v>5</v>
      </c>
      <c r="P80" t="str">
        <f t="shared" si="22"/>
        <v>[(112,5)]</v>
      </c>
      <c r="Q80">
        <f t="shared" si="23"/>
        <v>5</v>
      </c>
      <c r="AP80" s="7">
        <v>78</v>
      </c>
      <c r="AQ80" s="7">
        <v>780</v>
      </c>
    </row>
    <row r="81" spans="1:43" x14ac:dyDescent="0.15">
      <c r="A81">
        <v>1</v>
      </c>
      <c r="B81" t="s">
        <v>3219</v>
      </c>
      <c r="C81" t="s">
        <v>3223</v>
      </c>
      <c r="D81">
        <v>8</v>
      </c>
      <c r="E81" t="s">
        <v>3224</v>
      </c>
      <c r="F81" t="s">
        <v>3061</v>
      </c>
      <c r="G81">
        <v>500</v>
      </c>
      <c r="H81">
        <v>1</v>
      </c>
      <c r="I81" t="s">
        <v>3225</v>
      </c>
      <c r="J81" t="s">
        <v>3226</v>
      </c>
      <c r="K81" t="s">
        <v>3227</v>
      </c>
      <c r="L81" t="s">
        <v>3228</v>
      </c>
      <c r="M81">
        <v>17</v>
      </c>
      <c r="N81">
        <v>500</v>
      </c>
      <c r="O81">
        <v>15</v>
      </c>
      <c r="P81" t="str">
        <f t="shared" si="22"/>
        <v>[(112,15)]</v>
      </c>
      <c r="Q81">
        <f t="shared" si="23"/>
        <v>5</v>
      </c>
      <c r="AP81" s="7">
        <v>79</v>
      </c>
      <c r="AQ81" s="7">
        <v>790</v>
      </c>
    </row>
    <row r="82" spans="1:43" x14ac:dyDescent="0.15">
      <c r="A82">
        <v>1</v>
      </c>
      <c r="B82" t="s">
        <v>3212</v>
      </c>
      <c r="C82" t="s">
        <v>3260</v>
      </c>
      <c r="D82">
        <v>8</v>
      </c>
      <c r="E82" t="s">
        <v>3102</v>
      </c>
      <c r="F82" t="s">
        <v>3207</v>
      </c>
      <c r="G82">
        <v>30</v>
      </c>
      <c r="H82">
        <v>2</v>
      </c>
      <c r="I82" t="s">
        <v>3261</v>
      </c>
      <c r="J82" t="s">
        <v>3262</v>
      </c>
      <c r="K82" t="s">
        <v>3263</v>
      </c>
      <c r="L82" t="s">
        <v>3264</v>
      </c>
      <c r="M82">
        <v>1</v>
      </c>
      <c r="N82">
        <v>30</v>
      </c>
      <c r="O82">
        <v>10</v>
      </c>
      <c r="P82" t="str">
        <f t="shared" si="22"/>
        <v>[(112,10)]</v>
      </c>
      <c r="Q82">
        <f t="shared" si="23"/>
        <v>6</v>
      </c>
      <c r="AP82" s="7">
        <v>80</v>
      </c>
      <c r="AQ82" s="7">
        <v>800</v>
      </c>
    </row>
    <row r="83" spans="1:43" x14ac:dyDescent="0.15">
      <c r="A83">
        <v>1</v>
      </c>
      <c r="B83" t="s">
        <v>3113</v>
      </c>
      <c r="C83" t="s">
        <v>3114</v>
      </c>
      <c r="D83">
        <v>8</v>
      </c>
      <c r="E83" t="s">
        <v>3090</v>
      </c>
      <c r="F83" t="s">
        <v>3061</v>
      </c>
      <c r="G83">
        <v>10</v>
      </c>
      <c r="H83">
        <v>2</v>
      </c>
      <c r="I83" t="s">
        <v>3265</v>
      </c>
      <c r="J83" t="s">
        <v>3266</v>
      </c>
      <c r="K83" t="s">
        <v>3117</v>
      </c>
      <c r="L83" t="s">
        <v>3118</v>
      </c>
      <c r="M83">
        <v>13</v>
      </c>
      <c r="N83">
        <v>10</v>
      </c>
      <c r="O83">
        <v>5</v>
      </c>
      <c r="P83" t="str">
        <f t="shared" si="22"/>
        <v>[(112,5)]</v>
      </c>
      <c r="Q83">
        <f t="shared" si="23"/>
        <v>5</v>
      </c>
      <c r="AP83" s="7">
        <v>81</v>
      </c>
      <c r="AQ83" s="7">
        <v>810</v>
      </c>
    </row>
    <row r="84" spans="1:43" x14ac:dyDescent="0.15">
      <c r="A84">
        <v>1</v>
      </c>
      <c r="B84" t="s">
        <v>3189</v>
      </c>
      <c r="C84" t="s">
        <v>3267</v>
      </c>
      <c r="D84">
        <v>8</v>
      </c>
      <c r="E84" t="s">
        <v>3248</v>
      </c>
      <c r="F84" s="287" t="s">
        <v>3851</v>
      </c>
      <c r="G84">
        <v>1</v>
      </c>
      <c r="H84">
        <v>1</v>
      </c>
      <c r="I84" t="s">
        <v>3268</v>
      </c>
      <c r="J84" t="s">
        <v>3269</v>
      </c>
      <c r="K84" t="s">
        <v>3270</v>
      </c>
      <c r="L84" t="s">
        <v>3271</v>
      </c>
      <c r="M84">
        <v>1</v>
      </c>
      <c r="N84">
        <v>1</v>
      </c>
      <c r="O84">
        <v>20</v>
      </c>
      <c r="P84" t="str">
        <f t="shared" si="22"/>
        <v>[(112,20)]</v>
      </c>
      <c r="Q84">
        <f t="shared" si="23"/>
        <v>6.9999999999999991</v>
      </c>
      <c r="AP84" s="7">
        <v>82</v>
      </c>
      <c r="AQ84" s="7">
        <v>820</v>
      </c>
    </row>
    <row r="85" spans="1:43" x14ac:dyDescent="0.15">
      <c r="A85">
        <v>1</v>
      </c>
      <c r="B85" t="s">
        <v>3079</v>
      </c>
      <c r="C85" t="s">
        <v>3080</v>
      </c>
      <c r="D85">
        <v>9</v>
      </c>
      <c r="E85" t="s">
        <v>1580</v>
      </c>
      <c r="F85" t="s">
        <v>3283</v>
      </c>
      <c r="G85">
        <v>1</v>
      </c>
      <c r="H85">
        <v>1</v>
      </c>
      <c r="I85" t="s">
        <v>3082</v>
      </c>
      <c r="J85" t="s">
        <v>3083</v>
      </c>
      <c r="K85" t="s">
        <v>3084</v>
      </c>
      <c r="L85" t="s">
        <v>3085</v>
      </c>
      <c r="M85">
        <v>1</v>
      </c>
      <c r="N85">
        <v>1</v>
      </c>
      <c r="O85">
        <v>5</v>
      </c>
      <c r="P85" t="str">
        <f t="shared" si="22"/>
        <v>[(112,5)]</v>
      </c>
      <c r="Q85">
        <f t="shared" si="23"/>
        <v>6.9999999999999991</v>
      </c>
      <c r="AP85" s="7">
        <v>83</v>
      </c>
      <c r="AQ85" s="7">
        <v>830</v>
      </c>
    </row>
    <row r="86" spans="1:43" x14ac:dyDescent="0.15">
      <c r="A86">
        <v>1</v>
      </c>
      <c r="B86" t="s">
        <v>3088</v>
      </c>
      <c r="C86" t="s">
        <v>3089</v>
      </c>
      <c r="D86">
        <v>9</v>
      </c>
      <c r="E86" t="s">
        <v>3102</v>
      </c>
      <c r="F86" t="s">
        <v>3061</v>
      </c>
      <c r="G86">
        <v>30</v>
      </c>
      <c r="H86">
        <v>1</v>
      </c>
      <c r="I86" t="s">
        <v>3091</v>
      </c>
      <c r="J86" t="s">
        <v>3092</v>
      </c>
      <c r="K86" t="s">
        <v>3093</v>
      </c>
      <c r="L86" t="s">
        <v>3094</v>
      </c>
      <c r="M86">
        <v>1</v>
      </c>
      <c r="N86">
        <v>30</v>
      </c>
      <c r="O86">
        <v>5</v>
      </c>
      <c r="P86" t="str">
        <f t="shared" si="22"/>
        <v>[(112,5)]</v>
      </c>
      <c r="Q86">
        <f t="shared" si="23"/>
        <v>6.6799999999999988</v>
      </c>
      <c r="AP86" s="7">
        <v>84</v>
      </c>
      <c r="AQ86" s="7">
        <v>840</v>
      </c>
    </row>
    <row r="87" spans="1:43" x14ac:dyDescent="0.15">
      <c r="A87">
        <v>1</v>
      </c>
      <c r="B87" t="s">
        <v>3086</v>
      </c>
      <c r="C87" t="s">
        <v>3095</v>
      </c>
      <c r="D87">
        <v>9</v>
      </c>
      <c r="E87" t="s">
        <v>3241</v>
      </c>
      <c r="F87" t="s">
        <v>3061</v>
      </c>
      <c r="G87">
        <v>8</v>
      </c>
      <c r="H87">
        <v>2</v>
      </c>
      <c r="I87" t="s">
        <v>3096</v>
      </c>
      <c r="J87" t="s">
        <v>3097</v>
      </c>
      <c r="K87" t="s">
        <v>3098</v>
      </c>
      <c r="L87" t="s">
        <v>3099</v>
      </c>
      <c r="M87">
        <v>1</v>
      </c>
      <c r="N87">
        <v>8</v>
      </c>
      <c r="O87">
        <v>10</v>
      </c>
      <c r="P87" t="str">
        <f t="shared" si="22"/>
        <v>[(112,10)]</v>
      </c>
      <c r="Q87">
        <f t="shared" si="23"/>
        <v>5.333333333333333</v>
      </c>
      <c r="AP87" s="7">
        <v>85</v>
      </c>
      <c r="AQ87" s="7">
        <v>850</v>
      </c>
    </row>
    <row r="88" spans="1:43" x14ac:dyDescent="0.15">
      <c r="A88">
        <v>1</v>
      </c>
      <c r="B88" t="s">
        <v>3222</v>
      </c>
      <c r="C88" t="s">
        <v>3284</v>
      </c>
      <c r="D88">
        <v>9</v>
      </c>
      <c r="E88" t="s">
        <v>1580</v>
      </c>
      <c r="F88" t="s">
        <v>3061</v>
      </c>
      <c r="G88">
        <v>3</v>
      </c>
      <c r="H88">
        <v>2</v>
      </c>
      <c r="I88" t="s">
        <v>3285</v>
      </c>
      <c r="J88" t="s">
        <v>3286</v>
      </c>
      <c r="K88" t="s">
        <v>3287</v>
      </c>
      <c r="L88" t="s">
        <v>3288</v>
      </c>
      <c r="M88">
        <v>15</v>
      </c>
      <c r="N88">
        <v>3</v>
      </c>
      <c r="O88">
        <v>20</v>
      </c>
      <c r="P88" t="str">
        <f t="shared" si="22"/>
        <v>[(112,20)]</v>
      </c>
      <c r="Q88">
        <f t="shared" si="23"/>
        <v>7</v>
      </c>
      <c r="AP88" s="7">
        <v>86</v>
      </c>
      <c r="AQ88" s="7">
        <v>860</v>
      </c>
    </row>
    <row r="89" spans="1:43" x14ac:dyDescent="0.15">
      <c r="A89">
        <v>1</v>
      </c>
      <c r="B89" t="s">
        <v>3190</v>
      </c>
      <c r="C89" t="s">
        <v>3191</v>
      </c>
      <c r="D89">
        <v>9</v>
      </c>
      <c r="E89" t="s">
        <v>3248</v>
      </c>
      <c r="F89" t="s">
        <v>3061</v>
      </c>
      <c r="G89">
        <v>20</v>
      </c>
      <c r="H89">
        <v>1</v>
      </c>
      <c r="I89" t="s">
        <v>3192</v>
      </c>
      <c r="J89" t="s">
        <v>3193</v>
      </c>
      <c r="K89" t="s">
        <v>3194</v>
      </c>
      <c r="L89" t="s">
        <v>3195</v>
      </c>
      <c r="M89">
        <v>11</v>
      </c>
      <c r="N89">
        <v>20</v>
      </c>
      <c r="O89">
        <v>15</v>
      </c>
      <c r="P89" t="str">
        <f t="shared" si="22"/>
        <v>[(112,15)]</v>
      </c>
      <c r="Q89">
        <f t="shared" si="23"/>
        <v>5</v>
      </c>
      <c r="AP89" s="7">
        <v>87</v>
      </c>
      <c r="AQ89" s="7">
        <v>870</v>
      </c>
    </row>
    <row r="90" spans="1:43" x14ac:dyDescent="0.15">
      <c r="A90">
        <v>1</v>
      </c>
      <c r="B90" t="s">
        <v>3204</v>
      </c>
      <c r="C90" t="s">
        <v>3229</v>
      </c>
      <c r="D90">
        <v>9</v>
      </c>
      <c r="E90" t="s">
        <v>3070</v>
      </c>
      <c r="F90" t="s">
        <v>3061</v>
      </c>
      <c r="G90">
        <v>4</v>
      </c>
      <c r="H90">
        <v>2</v>
      </c>
      <c r="I90" t="s">
        <v>3230</v>
      </c>
      <c r="J90" t="s">
        <v>3231</v>
      </c>
      <c r="K90" t="s">
        <v>3232</v>
      </c>
      <c r="L90" t="s">
        <v>3233</v>
      </c>
      <c r="M90">
        <v>0</v>
      </c>
      <c r="N90">
        <v>4</v>
      </c>
      <c r="O90">
        <v>5</v>
      </c>
      <c r="P90" t="str">
        <f t="shared" si="22"/>
        <v>[(112,5)]</v>
      </c>
      <c r="Q90">
        <f t="shared" si="23"/>
        <v>4</v>
      </c>
      <c r="AP90" s="7">
        <v>88</v>
      </c>
      <c r="AQ90" s="7">
        <v>880</v>
      </c>
    </row>
    <row r="91" spans="1:43" x14ac:dyDescent="0.15">
      <c r="A91">
        <v>1</v>
      </c>
      <c r="B91" t="s">
        <v>3212</v>
      </c>
      <c r="C91" t="s">
        <v>3260</v>
      </c>
      <c r="D91">
        <v>9</v>
      </c>
      <c r="E91" t="s">
        <v>3102</v>
      </c>
      <c r="F91" t="s">
        <v>3207</v>
      </c>
      <c r="G91">
        <v>30</v>
      </c>
      <c r="H91">
        <v>2</v>
      </c>
      <c r="I91" t="s">
        <v>3261</v>
      </c>
      <c r="J91" t="s">
        <v>3262</v>
      </c>
      <c r="K91" t="s">
        <v>3263</v>
      </c>
      <c r="L91" t="s">
        <v>3264</v>
      </c>
      <c r="M91">
        <v>1</v>
      </c>
      <c r="N91">
        <v>30</v>
      </c>
      <c r="O91">
        <v>10</v>
      </c>
      <c r="P91" t="str">
        <f t="shared" si="22"/>
        <v>[(112,10)]</v>
      </c>
      <c r="Q91">
        <f t="shared" si="23"/>
        <v>6</v>
      </c>
      <c r="AP91" s="7">
        <v>89</v>
      </c>
      <c r="AQ91" s="7">
        <v>890</v>
      </c>
    </row>
    <row r="92" spans="1:43" x14ac:dyDescent="0.15">
      <c r="A92">
        <v>1</v>
      </c>
      <c r="B92" t="s">
        <v>3113</v>
      </c>
      <c r="C92" t="s">
        <v>3114</v>
      </c>
      <c r="D92">
        <v>9</v>
      </c>
      <c r="E92" t="s">
        <v>3090</v>
      </c>
      <c r="F92" t="s">
        <v>3061</v>
      </c>
      <c r="G92">
        <v>10</v>
      </c>
      <c r="H92">
        <v>2</v>
      </c>
      <c r="I92" t="s">
        <v>3265</v>
      </c>
      <c r="J92" t="s">
        <v>3266</v>
      </c>
      <c r="K92" t="s">
        <v>3117</v>
      </c>
      <c r="L92" t="s">
        <v>3118</v>
      </c>
      <c r="M92">
        <v>13</v>
      </c>
      <c r="N92">
        <v>10</v>
      </c>
      <c r="O92">
        <v>5</v>
      </c>
      <c r="P92" t="str">
        <f t="shared" si="22"/>
        <v>[(112,5)]</v>
      </c>
      <c r="Q92">
        <f t="shared" si="23"/>
        <v>5</v>
      </c>
      <c r="AP92" s="7">
        <v>90</v>
      </c>
      <c r="AQ92" s="7">
        <v>900</v>
      </c>
    </row>
    <row r="93" spans="1:43" x14ac:dyDescent="0.15">
      <c r="A93">
        <v>1</v>
      </c>
      <c r="B93" t="s">
        <v>3213</v>
      </c>
      <c r="C93" t="s">
        <v>3278</v>
      </c>
      <c r="D93">
        <v>9</v>
      </c>
      <c r="E93" t="s">
        <v>3156</v>
      </c>
      <c r="F93" t="s">
        <v>3061</v>
      </c>
      <c r="G93">
        <v>15</v>
      </c>
      <c r="H93">
        <v>2</v>
      </c>
      <c r="I93" t="s">
        <v>3279</v>
      </c>
      <c r="J93" t="s">
        <v>3279</v>
      </c>
      <c r="K93" t="s">
        <v>3280</v>
      </c>
      <c r="L93" t="s">
        <v>3281</v>
      </c>
      <c r="M93">
        <v>1</v>
      </c>
      <c r="N93">
        <v>15</v>
      </c>
      <c r="O93">
        <v>10</v>
      </c>
      <c r="P93" t="str">
        <f t="shared" si="22"/>
        <v>[(112,10)]</v>
      </c>
      <c r="Q93">
        <f t="shared" si="23"/>
        <v>7</v>
      </c>
      <c r="AP93" s="7">
        <v>91</v>
      </c>
      <c r="AQ93" s="7">
        <v>910</v>
      </c>
    </row>
    <row r="94" spans="1:43" x14ac:dyDescent="0.15">
      <c r="A94">
        <v>1</v>
      </c>
      <c r="B94" t="s">
        <v>3076</v>
      </c>
      <c r="C94" t="s">
        <v>3176</v>
      </c>
      <c r="D94">
        <v>9</v>
      </c>
      <c r="E94" t="s">
        <v>3248</v>
      </c>
      <c r="F94" t="s">
        <v>3061</v>
      </c>
      <c r="G94">
        <v>20</v>
      </c>
      <c r="H94">
        <v>1</v>
      </c>
      <c r="I94" t="s">
        <v>3177</v>
      </c>
      <c r="J94" t="s">
        <v>3178</v>
      </c>
      <c r="K94" t="s">
        <v>3721</v>
      </c>
      <c r="L94" t="s">
        <v>3720</v>
      </c>
      <c r="M94">
        <v>16</v>
      </c>
      <c r="N94">
        <v>20</v>
      </c>
      <c r="O94">
        <v>10</v>
      </c>
      <c r="P94" t="str">
        <f t="shared" si="22"/>
        <v>[(112,10)]</v>
      </c>
      <c r="Q94">
        <f t="shared" si="23"/>
        <v>7</v>
      </c>
      <c r="AP94" s="7">
        <v>92</v>
      </c>
      <c r="AQ94" s="7">
        <v>920</v>
      </c>
    </row>
    <row r="95" spans="1:43" x14ac:dyDescent="0.15">
      <c r="A95">
        <v>1</v>
      </c>
      <c r="B95" t="s">
        <v>3048</v>
      </c>
      <c r="C95" t="s">
        <v>3049</v>
      </c>
      <c r="D95">
        <v>10</v>
      </c>
      <c r="E95" t="s">
        <v>1580</v>
      </c>
      <c r="F95" t="s">
        <v>3050</v>
      </c>
      <c r="G95">
        <v>1</v>
      </c>
      <c r="H95">
        <v>1</v>
      </c>
      <c r="I95" t="s">
        <v>3051</v>
      </c>
      <c r="J95" t="s">
        <v>3052</v>
      </c>
      <c r="K95" t="s">
        <v>3053</v>
      </c>
      <c r="L95" t="s">
        <v>3054</v>
      </c>
      <c r="M95">
        <v>1</v>
      </c>
      <c r="N95">
        <v>1</v>
      </c>
      <c r="O95">
        <v>15</v>
      </c>
      <c r="P95" t="str">
        <f t="shared" si="22"/>
        <v>[(112,15)]</v>
      </c>
      <c r="Q95">
        <f t="shared" si="23"/>
        <v>2</v>
      </c>
      <c r="AP95" s="7">
        <v>93</v>
      </c>
      <c r="AQ95" s="7">
        <v>930</v>
      </c>
    </row>
    <row r="96" spans="1:43" x14ac:dyDescent="0.15">
      <c r="A96">
        <v>1</v>
      </c>
      <c r="B96" t="s">
        <v>3058</v>
      </c>
      <c r="C96" t="s">
        <v>3059</v>
      </c>
      <c r="D96">
        <v>10</v>
      </c>
      <c r="E96" t="s">
        <v>3248</v>
      </c>
      <c r="F96" t="s">
        <v>3061</v>
      </c>
      <c r="G96">
        <v>20</v>
      </c>
      <c r="H96">
        <v>1</v>
      </c>
      <c r="I96" t="s">
        <v>3062</v>
      </c>
      <c r="J96" t="s">
        <v>3063</v>
      </c>
      <c r="K96" t="s">
        <v>3064</v>
      </c>
      <c r="L96" t="s">
        <v>3065</v>
      </c>
      <c r="M96">
        <v>7</v>
      </c>
      <c r="N96">
        <v>20</v>
      </c>
      <c r="O96">
        <v>5</v>
      </c>
      <c r="P96" t="str">
        <f t="shared" si="22"/>
        <v>[(112,5)]</v>
      </c>
      <c r="Q96">
        <f t="shared" si="23"/>
        <v>7</v>
      </c>
      <c r="AP96" s="7">
        <v>94</v>
      </c>
      <c r="AQ96" s="7">
        <v>940</v>
      </c>
    </row>
    <row r="97" spans="1:43" x14ac:dyDescent="0.15">
      <c r="A97">
        <v>1</v>
      </c>
      <c r="B97" t="s">
        <v>3134</v>
      </c>
      <c r="C97" t="s">
        <v>3135</v>
      </c>
      <c r="D97">
        <v>10</v>
      </c>
      <c r="E97" t="s">
        <v>1648</v>
      </c>
      <c r="F97" t="s">
        <v>3136</v>
      </c>
      <c r="G97">
        <v>100</v>
      </c>
      <c r="H97">
        <v>2</v>
      </c>
      <c r="I97" t="s">
        <v>3137</v>
      </c>
      <c r="J97" t="s">
        <v>3138</v>
      </c>
      <c r="K97" t="s">
        <v>3139</v>
      </c>
      <c r="L97" t="s">
        <v>3140</v>
      </c>
      <c r="M97">
        <v>1</v>
      </c>
      <c r="N97">
        <v>100</v>
      </c>
      <c r="O97">
        <v>10</v>
      </c>
      <c r="P97" t="str">
        <f t="shared" si="22"/>
        <v>[(112,10)]</v>
      </c>
      <c r="Q97">
        <f t="shared" si="23"/>
        <v>7</v>
      </c>
      <c r="AP97" s="7">
        <v>95</v>
      </c>
      <c r="AQ97" s="7">
        <v>950</v>
      </c>
    </row>
    <row r="98" spans="1:43" x14ac:dyDescent="0.15">
      <c r="A98">
        <v>1</v>
      </c>
      <c r="B98" t="s">
        <v>3149</v>
      </c>
      <c r="C98" t="s">
        <v>3150</v>
      </c>
      <c r="D98">
        <v>10</v>
      </c>
      <c r="E98" t="s">
        <v>3282</v>
      </c>
      <c r="F98" t="s">
        <v>3061</v>
      </c>
      <c r="G98">
        <v>1000</v>
      </c>
      <c r="H98">
        <v>1</v>
      </c>
      <c r="I98" t="s">
        <v>3151</v>
      </c>
      <c r="J98" t="s">
        <v>3152</v>
      </c>
      <c r="K98" t="s">
        <v>3153</v>
      </c>
      <c r="L98" t="s">
        <v>3154</v>
      </c>
      <c r="M98">
        <v>1</v>
      </c>
      <c r="N98">
        <v>1000</v>
      </c>
      <c r="O98">
        <v>5</v>
      </c>
      <c r="P98" t="str">
        <f t="shared" si="22"/>
        <v>[(112,5)]</v>
      </c>
      <c r="Q98">
        <f t="shared" si="23"/>
        <v>5.333333333333333</v>
      </c>
      <c r="AP98" s="7">
        <v>96</v>
      </c>
      <c r="AQ98" s="7">
        <v>960</v>
      </c>
    </row>
    <row r="99" spans="1:43" x14ac:dyDescent="0.15">
      <c r="A99">
        <v>1</v>
      </c>
      <c r="B99" t="s">
        <v>3086</v>
      </c>
      <c r="C99" t="s">
        <v>3095</v>
      </c>
      <c r="D99">
        <v>10</v>
      </c>
      <c r="E99" t="s">
        <v>3241</v>
      </c>
      <c r="F99" t="s">
        <v>3061</v>
      </c>
      <c r="G99">
        <v>8</v>
      </c>
      <c r="H99">
        <v>2</v>
      </c>
      <c r="I99" t="s">
        <v>3096</v>
      </c>
      <c r="J99" t="s">
        <v>3097</v>
      </c>
      <c r="K99" t="s">
        <v>3098</v>
      </c>
      <c r="L99" t="s">
        <v>3099</v>
      </c>
      <c r="M99">
        <v>1</v>
      </c>
      <c r="N99">
        <v>8</v>
      </c>
      <c r="O99">
        <v>10</v>
      </c>
      <c r="P99" t="str">
        <f t="shared" si="22"/>
        <v>[(112,10)]</v>
      </c>
      <c r="Q99">
        <f t="shared" si="23"/>
        <v>5.333333333333333</v>
      </c>
      <c r="AP99" s="7">
        <v>97</v>
      </c>
      <c r="AQ99" s="7">
        <v>970</v>
      </c>
    </row>
    <row r="100" spans="1:43" x14ac:dyDescent="0.15">
      <c r="A100">
        <v>1</v>
      </c>
      <c r="B100" t="s">
        <v>3100</v>
      </c>
      <c r="C100" t="s">
        <v>3101</v>
      </c>
      <c r="D100">
        <v>10</v>
      </c>
      <c r="E100" t="s">
        <v>1648</v>
      </c>
      <c r="F100" t="s">
        <v>3061</v>
      </c>
      <c r="G100">
        <v>100</v>
      </c>
      <c r="H100">
        <v>1</v>
      </c>
      <c r="I100" t="s">
        <v>3103</v>
      </c>
      <c r="J100" t="s">
        <v>3104</v>
      </c>
      <c r="K100" t="s">
        <v>3105</v>
      </c>
      <c r="L100" t="s">
        <v>3106</v>
      </c>
      <c r="M100">
        <v>1</v>
      </c>
      <c r="N100">
        <v>100</v>
      </c>
      <c r="O100">
        <v>10</v>
      </c>
      <c r="P100" t="str">
        <f t="shared" si="22"/>
        <v>[(112,10)]</v>
      </c>
      <c r="Q100">
        <f t="shared" si="23"/>
        <v>2.6666666666666665</v>
      </c>
      <c r="AP100" s="7">
        <v>98</v>
      </c>
      <c r="AQ100" s="7">
        <v>980</v>
      </c>
    </row>
    <row r="101" spans="1:43" x14ac:dyDescent="0.15">
      <c r="A101">
        <v>1</v>
      </c>
      <c r="B101" t="s">
        <v>3197</v>
      </c>
      <c r="C101" t="s">
        <v>3198</v>
      </c>
      <c r="D101">
        <v>10</v>
      </c>
      <c r="E101" t="s">
        <v>3199</v>
      </c>
      <c r="F101" t="s">
        <v>3061</v>
      </c>
      <c r="G101">
        <v>20000</v>
      </c>
      <c r="H101">
        <v>2</v>
      </c>
      <c r="I101" t="s">
        <v>3200</v>
      </c>
      <c r="J101" t="s">
        <v>3201</v>
      </c>
      <c r="K101" t="s">
        <v>3202</v>
      </c>
      <c r="L101" t="s">
        <v>3203</v>
      </c>
      <c r="M101">
        <v>17</v>
      </c>
      <c r="N101">
        <v>20000</v>
      </c>
      <c r="O101">
        <v>5</v>
      </c>
      <c r="P101" t="str">
        <f t="shared" si="22"/>
        <v>[(112,5)]</v>
      </c>
      <c r="Q101">
        <f t="shared" si="23"/>
        <v>5</v>
      </c>
      <c r="AP101" s="7">
        <v>99</v>
      </c>
      <c r="AQ101" s="7">
        <v>990</v>
      </c>
    </row>
    <row r="102" spans="1:43" x14ac:dyDescent="0.15">
      <c r="A102">
        <v>1</v>
      </c>
      <c r="B102" t="s">
        <v>3205</v>
      </c>
      <c r="C102" t="s">
        <v>3206</v>
      </c>
      <c r="D102">
        <v>10</v>
      </c>
      <c r="E102" t="s">
        <v>3248</v>
      </c>
      <c r="F102" t="s">
        <v>3207</v>
      </c>
      <c r="G102">
        <v>20</v>
      </c>
      <c r="H102">
        <v>2</v>
      </c>
      <c r="I102" t="s">
        <v>3208</v>
      </c>
      <c r="J102" t="s">
        <v>3209</v>
      </c>
      <c r="K102" t="s">
        <v>3210</v>
      </c>
      <c r="L102" t="s">
        <v>3211</v>
      </c>
      <c r="M102">
        <v>1</v>
      </c>
      <c r="N102">
        <v>20</v>
      </c>
      <c r="O102">
        <v>15</v>
      </c>
      <c r="P102" t="str">
        <f t="shared" si="22"/>
        <v>[(112,15)]</v>
      </c>
      <c r="Q102">
        <f t="shared" si="23"/>
        <v>7</v>
      </c>
      <c r="AP102" s="7">
        <v>100</v>
      </c>
      <c r="AQ102" s="7">
        <v>1000</v>
      </c>
    </row>
    <row r="103" spans="1:43" x14ac:dyDescent="0.15">
      <c r="A103">
        <v>1</v>
      </c>
      <c r="B103" t="s">
        <v>3112</v>
      </c>
      <c r="C103" t="s">
        <v>3158</v>
      </c>
      <c r="D103">
        <v>10</v>
      </c>
      <c r="E103" t="s">
        <v>3221</v>
      </c>
      <c r="F103" t="s">
        <v>3061</v>
      </c>
      <c r="G103">
        <v>5</v>
      </c>
      <c r="H103">
        <v>2</v>
      </c>
      <c r="I103" t="s">
        <v>3159</v>
      </c>
      <c r="J103" t="s">
        <v>3160</v>
      </c>
      <c r="K103" t="s">
        <v>3161</v>
      </c>
      <c r="L103" t="s">
        <v>3162</v>
      </c>
      <c r="M103">
        <v>14</v>
      </c>
      <c r="N103">
        <v>5</v>
      </c>
      <c r="O103">
        <v>5</v>
      </c>
      <c r="P103" t="str">
        <f t="shared" si="22"/>
        <v>[(112,5)]</v>
      </c>
      <c r="Q103">
        <f t="shared" si="23"/>
        <v>7</v>
      </c>
    </row>
    <row r="104" spans="1:43" x14ac:dyDescent="0.15">
      <c r="A104">
        <v>1</v>
      </c>
      <c r="B104" t="s">
        <v>3213</v>
      </c>
      <c r="C104" t="s">
        <v>3278</v>
      </c>
      <c r="D104">
        <v>10</v>
      </c>
      <c r="E104" t="s">
        <v>3156</v>
      </c>
      <c r="F104" t="s">
        <v>3061</v>
      </c>
      <c r="G104">
        <v>15</v>
      </c>
      <c r="H104">
        <v>2</v>
      </c>
      <c r="I104" t="s">
        <v>3279</v>
      </c>
      <c r="J104" t="s">
        <v>3279</v>
      </c>
      <c r="K104" t="s">
        <v>3280</v>
      </c>
      <c r="L104" t="s">
        <v>3281</v>
      </c>
      <c r="M104">
        <v>1</v>
      </c>
      <c r="N104">
        <v>15</v>
      </c>
      <c r="O104">
        <v>10</v>
      </c>
      <c r="P104" t="str">
        <f t="shared" si="22"/>
        <v>[(112,10)]</v>
      </c>
      <c r="Q104">
        <f t="shared" si="23"/>
        <v>7</v>
      </c>
    </row>
    <row r="105" spans="1:43" x14ac:dyDescent="0.15">
      <c r="A105">
        <v>1</v>
      </c>
      <c r="B105" t="s">
        <v>3119</v>
      </c>
      <c r="C105" t="s">
        <v>3164</v>
      </c>
      <c r="D105">
        <v>10</v>
      </c>
      <c r="E105" t="s">
        <v>1580</v>
      </c>
      <c r="F105" t="s">
        <v>3165</v>
      </c>
      <c r="G105">
        <v>1</v>
      </c>
      <c r="H105">
        <v>1</v>
      </c>
      <c r="I105" t="s">
        <v>3166</v>
      </c>
      <c r="J105" t="s">
        <v>3167</v>
      </c>
      <c r="K105" t="s">
        <v>3168</v>
      </c>
      <c r="L105" t="s">
        <v>3169</v>
      </c>
      <c r="M105">
        <v>1</v>
      </c>
      <c r="N105">
        <v>1</v>
      </c>
      <c r="O105">
        <v>10</v>
      </c>
      <c r="P105" t="str">
        <f t="shared" si="22"/>
        <v>[(112,10)]</v>
      </c>
      <c r="Q105">
        <f t="shared" si="23"/>
        <v>0.13333333333333333</v>
      </c>
    </row>
    <row r="106" spans="1:43" x14ac:dyDescent="0.15">
      <c r="A106" s="55">
        <v>2</v>
      </c>
      <c r="B106" s="55" t="s">
        <v>3197</v>
      </c>
      <c r="C106" s="55" t="s">
        <v>3198</v>
      </c>
      <c r="D106" s="55">
        <v>1</v>
      </c>
      <c r="E106" s="55" t="s">
        <v>3289</v>
      </c>
      <c r="F106" s="55" t="s">
        <v>3061</v>
      </c>
      <c r="G106" s="55">
        <v>2000</v>
      </c>
      <c r="H106" s="55">
        <v>1</v>
      </c>
      <c r="I106" s="55" t="s">
        <v>3200</v>
      </c>
      <c r="J106" s="55" t="s">
        <v>3201</v>
      </c>
      <c r="K106" s="55" t="s">
        <v>3202</v>
      </c>
      <c r="L106" s="55" t="s">
        <v>3203</v>
      </c>
      <c r="M106" s="55">
        <v>17</v>
      </c>
      <c r="N106" s="55">
        <v>2000</v>
      </c>
      <c r="O106" s="55">
        <f t="shared" ref="O106:O137" si="26">VLOOKUP(B106,AG:AK,5,FALSE)</f>
        <v>5</v>
      </c>
      <c r="P106" s="55" t="str">
        <f t="shared" si="22"/>
        <v>[(112,5)]</v>
      </c>
      <c r="Q106">
        <f t="shared" si="23"/>
        <v>0.49999999999999994</v>
      </c>
    </row>
    <row r="107" spans="1:43" x14ac:dyDescent="0.15">
      <c r="A107" s="55">
        <v>2</v>
      </c>
      <c r="B107" s="55" t="s">
        <v>3197</v>
      </c>
      <c r="C107" s="55" t="s">
        <v>3198</v>
      </c>
      <c r="D107" s="55">
        <v>1</v>
      </c>
      <c r="E107" s="254" t="s">
        <v>3290</v>
      </c>
      <c r="F107" s="55" t="s">
        <v>3061</v>
      </c>
      <c r="G107" s="55">
        <v>5000</v>
      </c>
      <c r="H107" s="55">
        <v>1</v>
      </c>
      <c r="I107" s="55" t="s">
        <v>3200</v>
      </c>
      <c r="J107" s="55" t="s">
        <v>3201</v>
      </c>
      <c r="K107" s="55" t="s">
        <v>3202</v>
      </c>
      <c r="L107" s="55" t="s">
        <v>3203</v>
      </c>
      <c r="M107" s="55">
        <v>17</v>
      </c>
      <c r="N107" s="55">
        <v>5000</v>
      </c>
      <c r="O107" s="55">
        <f t="shared" si="26"/>
        <v>5</v>
      </c>
      <c r="P107" s="55" t="str">
        <f t="shared" si="22"/>
        <v>[(112,5)]</v>
      </c>
      <c r="Q107">
        <f t="shared" si="23"/>
        <v>1.25</v>
      </c>
    </row>
    <row r="108" spans="1:43" x14ac:dyDescent="0.15">
      <c r="A108" s="55">
        <v>2</v>
      </c>
      <c r="B108" s="55" t="s">
        <v>3055</v>
      </c>
      <c r="C108" s="55" t="s">
        <v>3107</v>
      </c>
      <c r="D108" s="55">
        <v>1</v>
      </c>
      <c r="E108" s="55" t="s">
        <v>3102</v>
      </c>
      <c r="F108" s="55" t="s">
        <v>3061</v>
      </c>
      <c r="G108" s="55">
        <v>30</v>
      </c>
      <c r="H108" s="55">
        <v>1</v>
      </c>
      <c r="I108" s="55" t="s">
        <v>3108</v>
      </c>
      <c r="J108" s="55" t="s">
        <v>3109</v>
      </c>
      <c r="K108" s="55" t="s">
        <v>3110</v>
      </c>
      <c r="L108" s="55" t="s">
        <v>3111</v>
      </c>
      <c r="M108" s="55">
        <v>1</v>
      </c>
      <c r="N108" s="55">
        <v>30</v>
      </c>
      <c r="O108" s="55">
        <f t="shared" si="26"/>
        <v>5</v>
      </c>
      <c r="P108" s="55" t="str">
        <f t="shared" si="22"/>
        <v>[(112,5)]</v>
      </c>
      <c r="Q108">
        <f t="shared" si="23"/>
        <v>1.3333333333333333</v>
      </c>
    </row>
    <row r="109" spans="1:43" x14ac:dyDescent="0.15">
      <c r="A109" s="55">
        <v>2</v>
      </c>
      <c r="B109" s="55" t="s">
        <v>3055</v>
      </c>
      <c r="C109" s="55" t="s">
        <v>3107</v>
      </c>
      <c r="D109" s="55">
        <v>1</v>
      </c>
      <c r="E109" s="55" t="s">
        <v>1647</v>
      </c>
      <c r="F109" s="55" t="s">
        <v>3061</v>
      </c>
      <c r="G109" s="55">
        <v>60</v>
      </c>
      <c r="H109" s="55">
        <v>1</v>
      </c>
      <c r="I109" s="55" t="s">
        <v>3108</v>
      </c>
      <c r="J109" s="55" t="s">
        <v>3109</v>
      </c>
      <c r="K109" s="55" t="s">
        <v>3110</v>
      </c>
      <c r="L109" s="55" t="s">
        <v>3111</v>
      </c>
      <c r="M109" s="55">
        <v>1</v>
      </c>
      <c r="N109" s="55">
        <v>60</v>
      </c>
      <c r="O109" s="55">
        <f t="shared" si="26"/>
        <v>5</v>
      </c>
      <c r="P109" s="55" t="str">
        <f t="shared" si="22"/>
        <v>[(112,5)]</v>
      </c>
      <c r="Q109">
        <f t="shared" si="23"/>
        <v>2.6666666666666665</v>
      </c>
    </row>
    <row r="110" spans="1:43" x14ac:dyDescent="0.15">
      <c r="A110" s="55">
        <v>2</v>
      </c>
      <c r="B110" s="55" t="s">
        <v>3055</v>
      </c>
      <c r="C110" s="55" t="s">
        <v>3107</v>
      </c>
      <c r="D110" s="55">
        <v>1</v>
      </c>
      <c r="E110" s="55" t="s">
        <v>1648</v>
      </c>
      <c r="F110" s="55" t="s">
        <v>3061</v>
      </c>
      <c r="G110" s="55">
        <v>100</v>
      </c>
      <c r="H110" s="55">
        <v>1</v>
      </c>
      <c r="I110" s="55" t="s">
        <v>3108</v>
      </c>
      <c r="J110" s="55" t="s">
        <v>3109</v>
      </c>
      <c r="K110" s="55" t="s">
        <v>3110</v>
      </c>
      <c r="L110" s="55" t="s">
        <v>3111</v>
      </c>
      <c r="M110" s="55">
        <v>1</v>
      </c>
      <c r="N110" s="55">
        <v>100</v>
      </c>
      <c r="O110" s="55">
        <f t="shared" si="26"/>
        <v>5</v>
      </c>
      <c r="P110" s="55" t="str">
        <f t="shared" si="22"/>
        <v>[(112,5)]</v>
      </c>
      <c r="Q110">
        <f t="shared" si="23"/>
        <v>4.4444444444444446</v>
      </c>
    </row>
    <row r="111" spans="1:43" x14ac:dyDescent="0.15">
      <c r="A111" s="55">
        <v>2</v>
      </c>
      <c r="B111" s="55" t="s">
        <v>3048</v>
      </c>
      <c r="C111" s="55" t="s">
        <v>3049</v>
      </c>
      <c r="D111" s="55">
        <v>1</v>
      </c>
      <c r="E111" s="55" t="s">
        <v>1580</v>
      </c>
      <c r="F111" s="55" t="s">
        <v>3050</v>
      </c>
      <c r="G111" s="55">
        <v>1</v>
      </c>
      <c r="H111" s="55">
        <v>1</v>
      </c>
      <c r="I111" s="55" t="s">
        <v>3051</v>
      </c>
      <c r="J111" s="55" t="s">
        <v>3052</v>
      </c>
      <c r="K111" s="55" t="s">
        <v>3053</v>
      </c>
      <c r="L111" s="55" t="s">
        <v>3054</v>
      </c>
      <c r="M111" s="55">
        <v>1</v>
      </c>
      <c r="N111" s="55">
        <v>1</v>
      </c>
      <c r="O111" s="55">
        <f t="shared" si="26"/>
        <v>10</v>
      </c>
      <c r="P111" s="55" t="str">
        <f t="shared" si="22"/>
        <v>[(112,10)]</v>
      </c>
      <c r="Q111">
        <f t="shared" si="23"/>
        <v>2</v>
      </c>
    </row>
    <row r="112" spans="1:43" x14ac:dyDescent="0.15">
      <c r="A112" s="55">
        <v>2</v>
      </c>
      <c r="B112" s="55" t="s">
        <v>3180</v>
      </c>
      <c r="C112" s="55" t="s">
        <v>3181</v>
      </c>
      <c r="D112" s="55">
        <v>1</v>
      </c>
      <c r="E112" s="55" t="s">
        <v>3070</v>
      </c>
      <c r="F112" s="55" t="s">
        <v>3061</v>
      </c>
      <c r="G112" s="55">
        <v>4</v>
      </c>
      <c r="H112" s="55">
        <v>1</v>
      </c>
      <c r="I112" s="55" t="s">
        <v>3182</v>
      </c>
      <c r="J112" s="55" t="s">
        <v>3183</v>
      </c>
      <c r="K112" s="55" t="s">
        <v>3184</v>
      </c>
      <c r="L112" s="55" t="s">
        <v>3185</v>
      </c>
      <c r="M112" s="55">
        <v>8</v>
      </c>
      <c r="N112" s="55">
        <v>4</v>
      </c>
      <c r="O112" s="55">
        <f t="shared" si="26"/>
        <v>10</v>
      </c>
      <c r="P112" s="55" t="str">
        <f t="shared" si="22"/>
        <v>[(112,10)]</v>
      </c>
      <c r="Q112">
        <f t="shared" si="23"/>
        <v>2</v>
      </c>
    </row>
    <row r="113" spans="1:17" x14ac:dyDescent="0.15">
      <c r="A113" s="55">
        <v>2</v>
      </c>
      <c r="B113" s="55" t="s">
        <v>3066</v>
      </c>
      <c r="C113" s="55" t="s">
        <v>3069</v>
      </c>
      <c r="D113" s="55">
        <v>1</v>
      </c>
      <c r="E113" s="55" t="s">
        <v>3070</v>
      </c>
      <c r="F113" s="55" t="s">
        <v>3071</v>
      </c>
      <c r="G113" s="55">
        <v>1</v>
      </c>
      <c r="H113" s="55">
        <v>1</v>
      </c>
      <c r="I113" s="55" t="s">
        <v>3072</v>
      </c>
      <c r="J113" s="55" t="s">
        <v>3073</v>
      </c>
      <c r="K113" s="55" t="s">
        <v>3074</v>
      </c>
      <c r="L113" s="55" t="s">
        <v>3075</v>
      </c>
      <c r="M113" s="55">
        <v>1</v>
      </c>
      <c r="N113" s="55">
        <v>1</v>
      </c>
      <c r="O113" s="55">
        <f t="shared" si="26"/>
        <v>10</v>
      </c>
      <c r="P113" s="55" t="str">
        <f t="shared" si="22"/>
        <v>[(112,10)]</v>
      </c>
      <c r="Q113">
        <f t="shared" si="23"/>
        <v>3</v>
      </c>
    </row>
    <row r="114" spans="1:17" x14ac:dyDescent="0.15">
      <c r="A114" s="55">
        <v>2</v>
      </c>
      <c r="B114" s="55" t="s">
        <v>3088</v>
      </c>
      <c r="C114" s="55" t="s">
        <v>3089</v>
      </c>
      <c r="D114" s="55">
        <v>1</v>
      </c>
      <c r="E114" s="55" t="s">
        <v>3248</v>
      </c>
      <c r="F114" s="55" t="s">
        <v>3061</v>
      </c>
      <c r="G114" s="55">
        <v>20</v>
      </c>
      <c r="H114" s="55">
        <v>1</v>
      </c>
      <c r="I114" s="55" t="s">
        <v>3091</v>
      </c>
      <c r="J114" s="55" t="s">
        <v>3092</v>
      </c>
      <c r="K114" s="55" t="s">
        <v>3093</v>
      </c>
      <c r="L114" s="55" t="s">
        <v>3094</v>
      </c>
      <c r="M114" s="55">
        <v>1</v>
      </c>
      <c r="N114" s="55">
        <v>20</v>
      </c>
      <c r="O114" s="55">
        <f t="shared" si="26"/>
        <v>15</v>
      </c>
      <c r="P114" s="55" t="str">
        <f t="shared" si="22"/>
        <v>[(112,15)]</v>
      </c>
      <c r="Q114">
        <f t="shared" si="23"/>
        <v>4.4533333333333331</v>
      </c>
    </row>
    <row r="115" spans="1:17" x14ac:dyDescent="0.15">
      <c r="A115" s="55">
        <v>2</v>
      </c>
      <c r="B115" s="55" t="s">
        <v>3113</v>
      </c>
      <c r="C115" s="55" t="s">
        <v>3114</v>
      </c>
      <c r="D115" s="55">
        <v>1</v>
      </c>
      <c r="E115" s="55" t="s">
        <v>1580</v>
      </c>
      <c r="F115" s="55" t="s">
        <v>3061</v>
      </c>
      <c r="G115" s="55">
        <v>3</v>
      </c>
      <c r="H115" s="55">
        <v>2</v>
      </c>
      <c r="I115" s="55" t="s">
        <v>3115</v>
      </c>
      <c r="J115" s="55" t="s">
        <v>3116</v>
      </c>
      <c r="K115" s="55" t="s">
        <v>3117</v>
      </c>
      <c r="L115" s="55" t="s">
        <v>3118</v>
      </c>
      <c r="M115" s="55">
        <v>13</v>
      </c>
      <c r="N115" s="55">
        <v>3</v>
      </c>
      <c r="O115" s="55">
        <f t="shared" si="26"/>
        <v>5</v>
      </c>
      <c r="P115" s="55" t="str">
        <f t="shared" si="22"/>
        <v>[(112,5)]</v>
      </c>
      <c r="Q115">
        <f t="shared" si="23"/>
        <v>1.5</v>
      </c>
    </row>
    <row r="116" spans="1:17" x14ac:dyDescent="0.15">
      <c r="A116" s="55">
        <v>2</v>
      </c>
      <c r="B116" s="55" t="s">
        <v>3079</v>
      </c>
      <c r="C116" s="55" t="s">
        <v>3080</v>
      </c>
      <c r="D116" s="55">
        <v>1</v>
      </c>
      <c r="E116" s="55" t="s">
        <v>1576</v>
      </c>
      <c r="F116" s="55" t="s">
        <v>3081</v>
      </c>
      <c r="G116" s="55">
        <v>1</v>
      </c>
      <c r="H116" s="55">
        <v>2</v>
      </c>
      <c r="I116" s="55" t="s">
        <v>3082</v>
      </c>
      <c r="J116" s="55" t="s">
        <v>3083</v>
      </c>
      <c r="K116" s="55" t="s">
        <v>3084</v>
      </c>
      <c r="L116" s="55" t="s">
        <v>3085</v>
      </c>
      <c r="M116" s="55">
        <v>1</v>
      </c>
      <c r="N116" s="55">
        <v>1</v>
      </c>
      <c r="O116" s="55">
        <f t="shared" si="26"/>
        <v>10</v>
      </c>
      <c r="P116" s="55" t="str">
        <f t="shared" si="22"/>
        <v>[(112,10)]</v>
      </c>
      <c r="Q116">
        <f t="shared" si="23"/>
        <v>6.9999999999999991</v>
      </c>
    </row>
    <row r="117" spans="1:17" x14ac:dyDescent="0.15">
      <c r="A117" s="55">
        <v>2</v>
      </c>
      <c r="B117" s="55" t="s">
        <v>3120</v>
      </c>
      <c r="C117" s="55" t="s">
        <v>3121</v>
      </c>
      <c r="D117" s="55">
        <v>1</v>
      </c>
      <c r="E117" s="55" t="s">
        <v>3156</v>
      </c>
      <c r="F117" s="55" t="s">
        <v>3061</v>
      </c>
      <c r="G117" s="55">
        <v>15</v>
      </c>
      <c r="H117" s="55">
        <v>2</v>
      </c>
      <c r="I117" s="55" t="s">
        <v>3122</v>
      </c>
      <c r="J117" s="55" t="s">
        <v>3123</v>
      </c>
      <c r="K117" s="55" t="s">
        <v>3124</v>
      </c>
      <c r="L117" s="55" t="s">
        <v>3125</v>
      </c>
      <c r="M117" s="55">
        <v>1</v>
      </c>
      <c r="N117" s="55">
        <v>15</v>
      </c>
      <c r="O117" s="55">
        <f t="shared" si="26"/>
        <v>15</v>
      </c>
      <c r="P117" s="55" t="str">
        <f t="shared" si="22"/>
        <v>[(112,15)]</v>
      </c>
      <c r="Q117">
        <f t="shared" si="23"/>
        <v>4</v>
      </c>
    </row>
    <row r="118" spans="1:17" x14ac:dyDescent="0.15">
      <c r="A118" s="55">
        <v>2</v>
      </c>
      <c r="B118" s="55" t="s">
        <v>3086</v>
      </c>
      <c r="C118" s="55" t="s">
        <v>3095</v>
      </c>
      <c r="D118" s="55">
        <v>1</v>
      </c>
      <c r="E118" s="55" t="s">
        <v>3060</v>
      </c>
      <c r="F118" s="55" t="s">
        <v>3061</v>
      </c>
      <c r="G118" s="55">
        <v>6</v>
      </c>
      <c r="H118" s="55">
        <v>2</v>
      </c>
      <c r="I118" s="55" t="s">
        <v>3096</v>
      </c>
      <c r="J118" s="55" t="s">
        <v>3097</v>
      </c>
      <c r="K118" s="55" t="s">
        <v>3098</v>
      </c>
      <c r="L118" s="55" t="s">
        <v>3099</v>
      </c>
      <c r="M118" s="55">
        <v>1</v>
      </c>
      <c r="N118" s="55">
        <v>6</v>
      </c>
      <c r="O118" s="55">
        <f t="shared" si="26"/>
        <v>20</v>
      </c>
      <c r="P118" s="55" t="str">
        <f t="shared" si="22"/>
        <v>[(112,20)]</v>
      </c>
      <c r="Q118">
        <f t="shared" si="23"/>
        <v>4</v>
      </c>
    </row>
    <row r="119" spans="1:17" x14ac:dyDescent="0.15">
      <c r="A119" s="55">
        <v>2</v>
      </c>
      <c r="B119" s="55" t="s">
        <v>3149</v>
      </c>
      <c r="C119" s="55" t="s">
        <v>3150</v>
      </c>
      <c r="D119" s="55">
        <v>2</v>
      </c>
      <c r="E119" s="55" t="s">
        <v>1644</v>
      </c>
      <c r="F119" s="55" t="s">
        <v>3061</v>
      </c>
      <c r="G119" s="55">
        <v>150</v>
      </c>
      <c r="H119" s="55">
        <v>1</v>
      </c>
      <c r="I119" s="55" t="s">
        <v>3151</v>
      </c>
      <c r="J119" s="55" t="s">
        <v>3152</v>
      </c>
      <c r="K119" s="55" t="s">
        <v>3153</v>
      </c>
      <c r="L119" s="55" t="s">
        <v>3154</v>
      </c>
      <c r="M119" s="55">
        <v>1</v>
      </c>
      <c r="N119" s="55">
        <v>150</v>
      </c>
      <c r="O119" s="55">
        <f t="shared" si="26"/>
        <v>5</v>
      </c>
      <c r="P119" s="55" t="str">
        <f t="shared" si="22"/>
        <v>[(112,5)]</v>
      </c>
      <c r="Q119">
        <f t="shared" si="23"/>
        <v>0.8</v>
      </c>
    </row>
    <row r="120" spans="1:17" x14ac:dyDescent="0.15">
      <c r="A120" s="55">
        <v>2</v>
      </c>
      <c r="B120" s="55" t="s">
        <v>3126</v>
      </c>
      <c r="C120" s="55" t="s">
        <v>3127</v>
      </c>
      <c r="D120" s="55">
        <v>2</v>
      </c>
      <c r="E120" s="55" t="s">
        <v>3128</v>
      </c>
      <c r="F120" s="55" t="s">
        <v>3129</v>
      </c>
      <c r="G120" s="55">
        <v>5</v>
      </c>
      <c r="H120" s="55">
        <v>1</v>
      </c>
      <c r="I120" s="55" t="s">
        <v>3130</v>
      </c>
      <c r="J120" s="55" t="s">
        <v>3131</v>
      </c>
      <c r="K120" s="55" t="s">
        <v>3132</v>
      </c>
      <c r="L120" s="55" t="s">
        <v>3133</v>
      </c>
      <c r="M120" s="55">
        <v>1</v>
      </c>
      <c r="N120" s="55">
        <v>5</v>
      </c>
      <c r="O120" s="55">
        <f t="shared" si="26"/>
        <v>10</v>
      </c>
      <c r="P120" s="55" t="str">
        <f t="shared" si="22"/>
        <v>[(112,10)]</v>
      </c>
      <c r="Q120">
        <f t="shared" si="23"/>
        <v>0.66666666666666663</v>
      </c>
    </row>
    <row r="121" spans="1:17" x14ac:dyDescent="0.15">
      <c r="A121" s="55">
        <v>2</v>
      </c>
      <c r="B121" s="55" t="s">
        <v>3100</v>
      </c>
      <c r="C121" s="55" t="s">
        <v>3101</v>
      </c>
      <c r="D121" s="55">
        <v>2</v>
      </c>
      <c r="E121" s="55" t="s">
        <v>3102</v>
      </c>
      <c r="F121" s="55" t="s">
        <v>3061</v>
      </c>
      <c r="G121" s="55">
        <v>30</v>
      </c>
      <c r="H121" s="55">
        <v>1</v>
      </c>
      <c r="I121" s="55" t="s">
        <v>3103</v>
      </c>
      <c r="J121" s="55" t="s">
        <v>3104</v>
      </c>
      <c r="K121" s="55" t="s">
        <v>3105</v>
      </c>
      <c r="L121" s="55" t="s">
        <v>3106</v>
      </c>
      <c r="M121" s="55">
        <v>1</v>
      </c>
      <c r="N121" s="55">
        <v>30</v>
      </c>
      <c r="O121" s="55">
        <f t="shared" si="26"/>
        <v>10</v>
      </c>
      <c r="P121" s="55" t="str">
        <f t="shared" si="22"/>
        <v>[(112,10)]</v>
      </c>
      <c r="Q121">
        <f t="shared" si="23"/>
        <v>0.8</v>
      </c>
    </row>
    <row r="122" spans="1:17" x14ac:dyDescent="0.15">
      <c r="A122" s="55">
        <v>2</v>
      </c>
      <c r="B122" s="55" t="s">
        <v>3142</v>
      </c>
      <c r="C122" s="55" t="s">
        <v>3143</v>
      </c>
      <c r="D122" s="55">
        <v>2</v>
      </c>
      <c r="E122" s="55" t="s">
        <v>1582</v>
      </c>
      <c r="F122" s="55" t="s">
        <v>3144</v>
      </c>
      <c r="G122" s="55">
        <v>5</v>
      </c>
      <c r="H122" s="55">
        <v>1</v>
      </c>
      <c r="I122" s="55" t="s">
        <v>3145</v>
      </c>
      <c r="J122" s="55" t="s">
        <v>3146</v>
      </c>
      <c r="K122" s="55" t="s">
        <v>3147</v>
      </c>
      <c r="L122" s="55" t="s">
        <v>3148</v>
      </c>
      <c r="M122" s="55">
        <v>1</v>
      </c>
      <c r="N122" s="55">
        <v>5</v>
      </c>
      <c r="O122" s="55">
        <f t="shared" si="26"/>
        <v>10</v>
      </c>
      <c r="P122" s="55" t="str">
        <f t="shared" si="22"/>
        <v>[(112,10)]</v>
      </c>
      <c r="Q122">
        <f t="shared" si="23"/>
        <v>7</v>
      </c>
    </row>
    <row r="123" spans="1:17" x14ac:dyDescent="0.15">
      <c r="A123" s="55">
        <v>2</v>
      </c>
      <c r="B123" s="55" t="s">
        <v>3088</v>
      </c>
      <c r="C123" s="55" t="s">
        <v>3089</v>
      </c>
      <c r="D123" s="55">
        <v>2</v>
      </c>
      <c r="E123" s="55" t="s">
        <v>3156</v>
      </c>
      <c r="F123" s="55" t="s">
        <v>3061</v>
      </c>
      <c r="G123" s="55">
        <v>15</v>
      </c>
      <c r="H123" s="55">
        <v>1</v>
      </c>
      <c r="I123" s="55" t="s">
        <v>3091</v>
      </c>
      <c r="J123" s="55" t="s">
        <v>3092</v>
      </c>
      <c r="K123" s="55" t="s">
        <v>3093</v>
      </c>
      <c r="L123" s="55" t="s">
        <v>3094</v>
      </c>
      <c r="M123" s="55">
        <v>1</v>
      </c>
      <c r="N123" s="55">
        <v>15</v>
      </c>
      <c r="O123" s="55">
        <f t="shared" si="26"/>
        <v>15</v>
      </c>
      <c r="P123" s="55" t="str">
        <f t="shared" si="22"/>
        <v>[(112,15)]</v>
      </c>
      <c r="Q123">
        <f t="shared" si="23"/>
        <v>3.3399999999999994</v>
      </c>
    </row>
    <row r="124" spans="1:17" x14ac:dyDescent="0.15">
      <c r="A124" s="55">
        <v>2</v>
      </c>
      <c r="B124" s="55" t="s">
        <v>3119</v>
      </c>
      <c r="C124" s="55" t="s">
        <v>3164</v>
      </c>
      <c r="D124" s="55">
        <v>2</v>
      </c>
      <c r="E124" s="55" t="s">
        <v>1580</v>
      </c>
      <c r="F124" s="55" t="s">
        <v>3165</v>
      </c>
      <c r="G124" s="55">
        <v>1</v>
      </c>
      <c r="H124" s="55">
        <v>2</v>
      </c>
      <c r="I124" s="55" t="s">
        <v>3166</v>
      </c>
      <c r="J124" s="55" t="s">
        <v>3167</v>
      </c>
      <c r="K124" s="55" t="s">
        <v>3168</v>
      </c>
      <c r="L124" s="55" t="s">
        <v>3169</v>
      </c>
      <c r="M124" s="55">
        <v>1</v>
      </c>
      <c r="N124" s="55">
        <v>1</v>
      </c>
      <c r="O124" s="55">
        <f t="shared" si="26"/>
        <v>10</v>
      </c>
      <c r="P124" s="55" t="str">
        <f t="shared" si="22"/>
        <v>[(112,10)]</v>
      </c>
      <c r="Q124">
        <f t="shared" si="23"/>
        <v>0.13333333333333333</v>
      </c>
    </row>
    <row r="125" spans="1:17" x14ac:dyDescent="0.15">
      <c r="A125" s="55">
        <v>2</v>
      </c>
      <c r="B125" s="55" t="s">
        <v>3134</v>
      </c>
      <c r="C125" s="55" t="s">
        <v>3135</v>
      </c>
      <c r="D125" s="55">
        <v>2</v>
      </c>
      <c r="E125" s="55" t="s">
        <v>3090</v>
      </c>
      <c r="F125" s="55" t="s">
        <v>3136</v>
      </c>
      <c r="G125" s="55">
        <v>10</v>
      </c>
      <c r="H125" s="55">
        <v>2</v>
      </c>
      <c r="I125" s="55" t="s">
        <v>3137</v>
      </c>
      <c r="J125" s="55" t="s">
        <v>3138</v>
      </c>
      <c r="K125" s="55" t="s">
        <v>3139</v>
      </c>
      <c r="L125" s="55" t="s">
        <v>3140</v>
      </c>
      <c r="M125" s="55">
        <v>1</v>
      </c>
      <c r="N125" s="55">
        <v>30</v>
      </c>
      <c r="O125" s="55">
        <f t="shared" si="26"/>
        <v>10</v>
      </c>
      <c r="P125" s="55" t="str">
        <f t="shared" si="22"/>
        <v>[(112,10)]</v>
      </c>
      <c r="Q125">
        <f t="shared" si="23"/>
        <v>4</v>
      </c>
    </row>
    <row r="126" spans="1:17" x14ac:dyDescent="0.15">
      <c r="A126" s="55">
        <v>2</v>
      </c>
      <c r="B126" s="55" t="s">
        <v>3112</v>
      </c>
      <c r="C126" s="55" t="s">
        <v>3158</v>
      </c>
      <c r="D126" s="55">
        <v>2</v>
      </c>
      <c r="E126" s="55" t="s">
        <v>1580</v>
      </c>
      <c r="F126" s="55" t="s">
        <v>3061</v>
      </c>
      <c r="G126" s="55">
        <v>3</v>
      </c>
      <c r="H126" s="55">
        <v>2</v>
      </c>
      <c r="I126" s="55" t="s">
        <v>3159</v>
      </c>
      <c r="J126" s="55" t="s">
        <v>3160</v>
      </c>
      <c r="K126" s="55" t="s">
        <v>3161</v>
      </c>
      <c r="L126" s="55" t="s">
        <v>3162</v>
      </c>
      <c r="M126" s="55">
        <v>14</v>
      </c>
      <c r="N126" s="55">
        <v>3</v>
      </c>
      <c r="O126" s="55">
        <f t="shared" si="26"/>
        <v>10</v>
      </c>
      <c r="P126" s="55" t="str">
        <f t="shared" si="22"/>
        <v>[(112,10)]</v>
      </c>
      <c r="Q126">
        <f t="shared" si="23"/>
        <v>6</v>
      </c>
    </row>
    <row r="127" spans="1:17" x14ac:dyDescent="0.15">
      <c r="A127" s="55">
        <v>2</v>
      </c>
      <c r="B127" s="55" t="s">
        <v>3170</v>
      </c>
      <c r="C127" s="55" t="s">
        <v>3171</v>
      </c>
      <c r="D127" s="55">
        <v>2</v>
      </c>
      <c r="E127" s="55" t="s">
        <v>3060</v>
      </c>
      <c r="F127" s="55" t="s">
        <v>3061</v>
      </c>
      <c r="G127" s="55">
        <v>6</v>
      </c>
      <c r="H127" s="55">
        <v>2</v>
      </c>
      <c r="I127" s="55" t="s">
        <v>3172</v>
      </c>
      <c r="J127" s="55" t="s">
        <v>3173</v>
      </c>
      <c r="K127" s="55" t="s">
        <v>3174</v>
      </c>
      <c r="L127" s="55" t="s">
        <v>3175</v>
      </c>
      <c r="M127" s="55">
        <v>17</v>
      </c>
      <c r="N127" s="55">
        <v>6</v>
      </c>
      <c r="O127" s="55">
        <f t="shared" si="26"/>
        <v>10</v>
      </c>
      <c r="P127" s="55" t="str">
        <f t="shared" si="22"/>
        <v>[(112,10)]</v>
      </c>
      <c r="Q127">
        <f t="shared" si="23"/>
        <v>6</v>
      </c>
    </row>
    <row r="128" spans="1:17" x14ac:dyDescent="0.15">
      <c r="A128" s="55">
        <v>2</v>
      </c>
      <c r="B128" s="55" t="s">
        <v>3076</v>
      </c>
      <c r="C128" s="55" t="s">
        <v>3176</v>
      </c>
      <c r="D128" s="55">
        <v>2</v>
      </c>
      <c r="E128" s="55" t="s">
        <v>3060</v>
      </c>
      <c r="F128" s="55" t="s">
        <v>3061</v>
      </c>
      <c r="G128" s="55">
        <v>6</v>
      </c>
      <c r="H128" s="55">
        <v>2</v>
      </c>
      <c r="I128" s="55" t="s">
        <v>3177</v>
      </c>
      <c r="J128" s="55" t="s">
        <v>3178</v>
      </c>
      <c r="K128" s="55" t="s">
        <v>3721</v>
      </c>
      <c r="L128" s="55" t="s">
        <v>3720</v>
      </c>
      <c r="M128" s="55">
        <v>16</v>
      </c>
      <c r="N128" s="55">
        <v>6</v>
      </c>
      <c r="O128" s="55">
        <f t="shared" si="26"/>
        <v>10</v>
      </c>
      <c r="P128" s="55" t="str">
        <f t="shared" si="22"/>
        <v>[(112,10)]</v>
      </c>
      <c r="Q128">
        <f t="shared" si="23"/>
        <v>6</v>
      </c>
    </row>
    <row r="129" spans="1:17" x14ac:dyDescent="0.15">
      <c r="A129" s="55">
        <v>2</v>
      </c>
      <c r="B129" s="55" t="s">
        <v>3055</v>
      </c>
      <c r="C129" s="55" t="s">
        <v>3107</v>
      </c>
      <c r="D129" s="55">
        <v>3</v>
      </c>
      <c r="E129" s="55" t="s">
        <v>3102</v>
      </c>
      <c r="F129" s="55" t="s">
        <v>3061</v>
      </c>
      <c r="G129" s="55">
        <v>30</v>
      </c>
      <c r="H129" s="55">
        <v>1</v>
      </c>
      <c r="I129" s="55" t="s">
        <v>3108</v>
      </c>
      <c r="J129" s="55" t="s">
        <v>3109</v>
      </c>
      <c r="K129" s="55" t="s">
        <v>3110</v>
      </c>
      <c r="L129" s="55" t="s">
        <v>3111</v>
      </c>
      <c r="M129" s="55">
        <v>1</v>
      </c>
      <c r="N129" s="55">
        <v>80</v>
      </c>
      <c r="O129" s="55">
        <f t="shared" si="26"/>
        <v>5</v>
      </c>
      <c r="P129" s="55" t="str">
        <f t="shared" si="22"/>
        <v>[(112,5)]</v>
      </c>
      <c r="Q129">
        <f t="shared" si="23"/>
        <v>3.5555555555555558</v>
      </c>
    </row>
    <row r="130" spans="1:17" x14ac:dyDescent="0.15">
      <c r="A130" s="55">
        <v>2</v>
      </c>
      <c r="B130" s="55" t="s">
        <v>3190</v>
      </c>
      <c r="C130" s="55" t="s">
        <v>3191</v>
      </c>
      <c r="D130" s="55">
        <v>3</v>
      </c>
      <c r="E130" s="55" t="s">
        <v>3156</v>
      </c>
      <c r="F130" s="55" t="s">
        <v>3061</v>
      </c>
      <c r="G130" s="55">
        <v>15</v>
      </c>
      <c r="H130" s="55">
        <v>1</v>
      </c>
      <c r="I130" s="55" t="s">
        <v>3192</v>
      </c>
      <c r="J130" s="55" t="s">
        <v>3193</v>
      </c>
      <c r="K130" s="55" t="s">
        <v>3194</v>
      </c>
      <c r="L130" s="55" t="s">
        <v>3195</v>
      </c>
      <c r="M130" s="55">
        <v>11</v>
      </c>
      <c r="N130" s="55">
        <v>15</v>
      </c>
      <c r="O130" s="55">
        <f t="shared" si="26"/>
        <v>10</v>
      </c>
      <c r="P130" s="55" t="str">
        <f t="shared" ref="P130:P193" si="27">"[("&amp;"112,"&amp;O130&amp;")]"</f>
        <v>[(112,10)]</v>
      </c>
      <c r="Q130">
        <f t="shared" si="23"/>
        <v>3.75</v>
      </c>
    </row>
    <row r="131" spans="1:17" x14ac:dyDescent="0.15">
      <c r="A131" s="55">
        <v>2</v>
      </c>
      <c r="B131" s="55" t="s">
        <v>3141</v>
      </c>
      <c r="C131" s="55" t="s">
        <v>3214</v>
      </c>
      <c r="D131" s="55">
        <v>3</v>
      </c>
      <c r="E131" s="55" t="s">
        <v>3061</v>
      </c>
      <c r="F131" s="55" t="s">
        <v>3061</v>
      </c>
      <c r="G131" s="55">
        <v>1</v>
      </c>
      <c r="H131" s="55">
        <v>1</v>
      </c>
      <c r="I131" s="55" t="s">
        <v>3215</v>
      </c>
      <c r="J131" s="55" t="s">
        <v>3216</v>
      </c>
      <c r="K131" s="55" t="s">
        <v>3217</v>
      </c>
      <c r="L131" s="55" t="s">
        <v>3218</v>
      </c>
      <c r="M131" s="55">
        <v>1</v>
      </c>
      <c r="N131" s="55">
        <v>1</v>
      </c>
      <c r="O131" s="55">
        <f t="shared" si="26"/>
        <v>15</v>
      </c>
      <c r="P131" s="55" t="str">
        <f>"[("&amp;"112,"&amp;O131&amp;")]"</f>
        <v>[(112,15)]</v>
      </c>
      <c r="Q131">
        <f t="shared" ref="Q131:Q194" si="28">IF((N131/VLOOKUP(B131,AG:AJ,MATCH("单场参数换算",$AG$1:$AJ$1,0),FALSE))/($AN$2/$AN$1)&gt;7,7,(N131/VLOOKUP(B131,AG:AJ,MATCH("单场参数换算",$AG$1:$AJ$1,0),FALSE))/($AN$2/$AN$1))</f>
        <v>3</v>
      </c>
    </row>
    <row r="132" spans="1:17" x14ac:dyDescent="0.15">
      <c r="A132" s="55">
        <v>2</v>
      </c>
      <c r="B132" s="55" t="s">
        <v>3088</v>
      </c>
      <c r="C132" s="55" t="s">
        <v>3089</v>
      </c>
      <c r="D132" s="55">
        <v>3</v>
      </c>
      <c r="E132" s="55" t="s">
        <v>3187</v>
      </c>
      <c r="F132" s="55" t="s">
        <v>3061</v>
      </c>
      <c r="G132" s="55">
        <v>25</v>
      </c>
      <c r="H132" s="55">
        <v>1</v>
      </c>
      <c r="I132" s="55" t="s">
        <v>3091</v>
      </c>
      <c r="J132" s="55" t="s">
        <v>3092</v>
      </c>
      <c r="K132" s="55" t="s">
        <v>3093</v>
      </c>
      <c r="L132" s="55" t="s">
        <v>3094</v>
      </c>
      <c r="M132" s="55">
        <v>1</v>
      </c>
      <c r="N132" s="55">
        <v>25</v>
      </c>
      <c r="O132" s="55">
        <f t="shared" si="26"/>
        <v>15</v>
      </c>
      <c r="P132" s="55" t="str">
        <f t="shared" si="27"/>
        <v>[(112,15)]</v>
      </c>
      <c r="Q132">
        <f t="shared" si="28"/>
        <v>5.5666666666666655</v>
      </c>
    </row>
    <row r="133" spans="1:17" x14ac:dyDescent="0.15">
      <c r="A133" s="55">
        <v>2</v>
      </c>
      <c r="B133" s="55" t="s">
        <v>3197</v>
      </c>
      <c r="C133" s="55" t="s">
        <v>3198</v>
      </c>
      <c r="D133" s="55">
        <v>3</v>
      </c>
      <c r="E133" s="55" t="s">
        <v>3290</v>
      </c>
      <c r="F133" s="55" t="s">
        <v>3061</v>
      </c>
      <c r="G133" s="55">
        <v>5000</v>
      </c>
      <c r="H133" s="55">
        <v>2</v>
      </c>
      <c r="I133" s="55" t="s">
        <v>3200</v>
      </c>
      <c r="J133" s="55" t="s">
        <v>3201</v>
      </c>
      <c r="K133" s="55" t="s">
        <v>3202</v>
      </c>
      <c r="L133" s="55" t="s">
        <v>3203</v>
      </c>
      <c r="M133" s="55">
        <v>17</v>
      </c>
      <c r="N133" s="55">
        <v>5000</v>
      </c>
      <c r="O133" s="55">
        <f t="shared" si="26"/>
        <v>5</v>
      </c>
      <c r="P133" s="55" t="str">
        <f t="shared" si="27"/>
        <v>[(112,5)]</v>
      </c>
      <c r="Q133">
        <f t="shared" si="28"/>
        <v>1.25</v>
      </c>
    </row>
    <row r="134" spans="1:17" x14ac:dyDescent="0.15">
      <c r="A134" s="55">
        <v>2</v>
      </c>
      <c r="B134" s="55" t="s">
        <v>3180</v>
      </c>
      <c r="C134" s="55" t="s">
        <v>3181</v>
      </c>
      <c r="D134" s="55">
        <v>3</v>
      </c>
      <c r="E134" s="55" t="s">
        <v>3070</v>
      </c>
      <c r="F134" s="55" t="s">
        <v>3061</v>
      </c>
      <c r="G134" s="55">
        <v>4</v>
      </c>
      <c r="H134" s="55">
        <v>2</v>
      </c>
      <c r="I134" s="55" t="s">
        <v>3182</v>
      </c>
      <c r="J134" s="55" t="s">
        <v>3183</v>
      </c>
      <c r="K134" s="55" t="s">
        <v>3184</v>
      </c>
      <c r="L134" s="55" t="s">
        <v>3185</v>
      </c>
      <c r="M134" s="55">
        <v>8</v>
      </c>
      <c r="N134" s="55">
        <v>4</v>
      </c>
      <c r="O134" s="55">
        <f t="shared" si="26"/>
        <v>10</v>
      </c>
      <c r="P134" s="55" t="str">
        <f t="shared" si="27"/>
        <v>[(112,10)]</v>
      </c>
      <c r="Q134">
        <f t="shared" si="28"/>
        <v>2</v>
      </c>
    </row>
    <row r="135" spans="1:17" x14ac:dyDescent="0.15">
      <c r="A135" s="55">
        <v>2</v>
      </c>
      <c r="B135" s="55" t="s">
        <v>3066</v>
      </c>
      <c r="C135" s="55" t="s">
        <v>3069</v>
      </c>
      <c r="D135" s="55">
        <v>3</v>
      </c>
      <c r="E135" s="55" t="s">
        <v>3060</v>
      </c>
      <c r="F135" s="55" t="s">
        <v>3186</v>
      </c>
      <c r="G135" s="55">
        <v>1</v>
      </c>
      <c r="H135" s="55">
        <v>2</v>
      </c>
      <c r="I135" s="55" t="s">
        <v>3072</v>
      </c>
      <c r="J135" s="55" t="s">
        <v>3073</v>
      </c>
      <c r="K135" s="55" t="s">
        <v>3074</v>
      </c>
      <c r="L135" s="55" t="s">
        <v>3075</v>
      </c>
      <c r="M135" s="55">
        <v>1</v>
      </c>
      <c r="N135" s="55">
        <v>1</v>
      </c>
      <c r="O135" s="55">
        <f t="shared" si="26"/>
        <v>10</v>
      </c>
      <c r="P135" s="55" t="str">
        <f t="shared" si="27"/>
        <v>[(112,10)]</v>
      </c>
      <c r="Q135">
        <f t="shared" si="28"/>
        <v>3</v>
      </c>
    </row>
    <row r="136" spans="1:17" x14ac:dyDescent="0.15">
      <c r="A136" s="55">
        <v>2</v>
      </c>
      <c r="B136" s="55" t="s">
        <v>3120</v>
      </c>
      <c r="C136" s="55" t="s">
        <v>3121</v>
      </c>
      <c r="D136" s="55">
        <v>3</v>
      </c>
      <c r="E136" s="55" t="s">
        <v>3156</v>
      </c>
      <c r="F136" s="55" t="s">
        <v>3061</v>
      </c>
      <c r="G136" s="55">
        <v>15</v>
      </c>
      <c r="H136" s="55">
        <v>2</v>
      </c>
      <c r="I136" s="55" t="s">
        <v>3122</v>
      </c>
      <c r="J136" s="55" t="s">
        <v>3123</v>
      </c>
      <c r="K136" s="55" t="s">
        <v>3124</v>
      </c>
      <c r="L136" s="55" t="s">
        <v>3125</v>
      </c>
      <c r="M136" s="55">
        <v>1</v>
      </c>
      <c r="N136" s="55">
        <v>15</v>
      </c>
      <c r="O136" s="55">
        <f t="shared" si="26"/>
        <v>15</v>
      </c>
      <c r="P136" s="55" t="str">
        <f t="shared" si="27"/>
        <v>[(112,15)]</v>
      </c>
      <c r="Q136">
        <f t="shared" si="28"/>
        <v>4</v>
      </c>
    </row>
    <row r="137" spans="1:17" x14ac:dyDescent="0.15">
      <c r="A137" s="55">
        <v>2</v>
      </c>
      <c r="B137" s="55" t="s">
        <v>3205</v>
      </c>
      <c r="C137" s="55" t="s">
        <v>3206</v>
      </c>
      <c r="D137" s="55">
        <v>3</v>
      </c>
      <c r="E137" s="55" t="s">
        <v>3221</v>
      </c>
      <c r="F137" s="55" t="s">
        <v>3207</v>
      </c>
      <c r="G137" s="55">
        <v>5</v>
      </c>
      <c r="H137" s="55">
        <v>2</v>
      </c>
      <c r="I137" s="55" t="s">
        <v>3208</v>
      </c>
      <c r="J137" s="55" t="s">
        <v>3209</v>
      </c>
      <c r="K137" s="55" t="s">
        <v>3210</v>
      </c>
      <c r="L137" s="55" t="s">
        <v>3211</v>
      </c>
      <c r="M137" s="55">
        <v>1</v>
      </c>
      <c r="N137" s="55">
        <v>5</v>
      </c>
      <c r="O137" s="55">
        <f t="shared" si="26"/>
        <v>15</v>
      </c>
      <c r="P137" s="55" t="str">
        <f t="shared" si="27"/>
        <v>[(112,15)]</v>
      </c>
      <c r="Q137">
        <f t="shared" si="28"/>
        <v>5</v>
      </c>
    </row>
    <row r="138" spans="1:17" x14ac:dyDescent="0.15">
      <c r="A138" s="55">
        <v>2</v>
      </c>
      <c r="B138" s="55" t="s">
        <v>3086</v>
      </c>
      <c r="C138" s="55" t="s">
        <v>3095</v>
      </c>
      <c r="D138" s="55">
        <v>3</v>
      </c>
      <c r="E138" s="55" t="s">
        <v>3060</v>
      </c>
      <c r="F138" s="55" t="s">
        <v>3061</v>
      </c>
      <c r="G138" s="55">
        <v>6</v>
      </c>
      <c r="H138" s="55">
        <v>2</v>
      </c>
      <c r="I138" s="55" t="s">
        <v>3096</v>
      </c>
      <c r="J138" s="55" t="s">
        <v>3097</v>
      </c>
      <c r="K138" s="55" t="s">
        <v>3098</v>
      </c>
      <c r="L138" s="55" t="s">
        <v>3099</v>
      </c>
      <c r="M138" s="55">
        <v>1</v>
      </c>
      <c r="N138" s="55">
        <v>6</v>
      </c>
      <c r="O138" s="55">
        <f t="shared" ref="O138:O169" si="29">VLOOKUP(B138,AG:AK,5,FALSE)</f>
        <v>20</v>
      </c>
      <c r="P138" s="55" t="str">
        <f t="shared" si="27"/>
        <v>[(112,20)]</v>
      </c>
      <c r="Q138">
        <f t="shared" si="28"/>
        <v>4</v>
      </c>
    </row>
    <row r="139" spans="1:17" x14ac:dyDescent="0.15">
      <c r="A139" s="55">
        <v>2</v>
      </c>
      <c r="B139" s="55" t="s">
        <v>3100</v>
      </c>
      <c r="C139" s="55" t="s">
        <v>3101</v>
      </c>
      <c r="D139" s="55">
        <v>4</v>
      </c>
      <c r="E139" s="55" t="s">
        <v>1650</v>
      </c>
      <c r="F139" s="55" t="s">
        <v>3061</v>
      </c>
      <c r="G139" s="55">
        <v>50</v>
      </c>
      <c r="H139" s="55">
        <v>1</v>
      </c>
      <c r="I139" s="55" t="s">
        <v>3103</v>
      </c>
      <c r="J139" s="55" t="s">
        <v>3104</v>
      </c>
      <c r="K139" s="55" t="s">
        <v>3105</v>
      </c>
      <c r="L139" s="55" t="s">
        <v>3106</v>
      </c>
      <c r="M139" s="55">
        <v>1</v>
      </c>
      <c r="N139" s="55">
        <v>50</v>
      </c>
      <c r="O139" s="55">
        <f t="shared" si="29"/>
        <v>10</v>
      </c>
      <c r="P139" s="55" t="str">
        <f t="shared" si="27"/>
        <v>[(112,10)]</v>
      </c>
      <c r="Q139">
        <f t="shared" si="28"/>
        <v>1.3333333333333333</v>
      </c>
    </row>
    <row r="140" spans="1:17" x14ac:dyDescent="0.15">
      <c r="A140" s="55">
        <v>2</v>
      </c>
      <c r="B140" s="55" t="s">
        <v>3048</v>
      </c>
      <c r="C140" s="55" t="s">
        <v>3049</v>
      </c>
      <c r="D140" s="55">
        <v>4</v>
      </c>
      <c r="E140" s="55" t="s">
        <v>1580</v>
      </c>
      <c r="F140" s="55" t="s">
        <v>3050</v>
      </c>
      <c r="G140" s="55">
        <v>1</v>
      </c>
      <c r="H140" s="55">
        <v>1</v>
      </c>
      <c r="I140" s="55" t="s">
        <v>3051</v>
      </c>
      <c r="J140" s="55" t="s">
        <v>3052</v>
      </c>
      <c r="K140" s="55" t="s">
        <v>3053</v>
      </c>
      <c r="L140" s="55" t="s">
        <v>3054</v>
      </c>
      <c r="M140" s="55">
        <v>1</v>
      </c>
      <c r="N140" s="55">
        <v>1</v>
      </c>
      <c r="O140" s="55">
        <f t="shared" si="29"/>
        <v>10</v>
      </c>
      <c r="P140" s="55" t="str">
        <f t="shared" si="27"/>
        <v>[(112,10)]</v>
      </c>
      <c r="Q140">
        <f t="shared" si="28"/>
        <v>2</v>
      </c>
    </row>
    <row r="141" spans="1:17" x14ac:dyDescent="0.15">
      <c r="A141" s="55">
        <v>2</v>
      </c>
      <c r="B141" s="55" t="s">
        <v>3126</v>
      </c>
      <c r="C141" s="55" t="s">
        <v>3127</v>
      </c>
      <c r="D141" s="55">
        <v>4</v>
      </c>
      <c r="E141" s="55" t="s">
        <v>3220</v>
      </c>
      <c r="F141" s="55" t="s">
        <v>3129</v>
      </c>
      <c r="G141" s="55">
        <v>15</v>
      </c>
      <c r="H141" s="55">
        <v>1</v>
      </c>
      <c r="I141" s="55" t="s">
        <v>3130</v>
      </c>
      <c r="J141" s="55" t="s">
        <v>3131</v>
      </c>
      <c r="K141" s="55" t="s">
        <v>3132</v>
      </c>
      <c r="L141" s="55" t="s">
        <v>3133</v>
      </c>
      <c r="M141" s="55">
        <v>1</v>
      </c>
      <c r="N141" s="55">
        <v>15</v>
      </c>
      <c r="O141" s="55">
        <f t="shared" si="29"/>
        <v>10</v>
      </c>
      <c r="P141" s="55" t="str">
        <f t="shared" si="27"/>
        <v>[(112,10)]</v>
      </c>
      <c r="Q141">
        <f t="shared" si="28"/>
        <v>2</v>
      </c>
    </row>
    <row r="142" spans="1:17" x14ac:dyDescent="0.15">
      <c r="A142" s="55">
        <v>2</v>
      </c>
      <c r="B142" s="55" t="s">
        <v>3219</v>
      </c>
      <c r="C142" s="55" t="s">
        <v>3223</v>
      </c>
      <c r="D142" s="55">
        <v>4</v>
      </c>
      <c r="E142" s="55" t="s">
        <v>3224</v>
      </c>
      <c r="F142" s="55" t="s">
        <v>3061</v>
      </c>
      <c r="G142" s="55">
        <v>500</v>
      </c>
      <c r="H142" s="55">
        <v>1</v>
      </c>
      <c r="I142" s="55" t="s">
        <v>3225</v>
      </c>
      <c r="J142" s="55" t="s">
        <v>3226</v>
      </c>
      <c r="K142" s="55" t="s">
        <v>3227</v>
      </c>
      <c r="L142" s="55" t="s">
        <v>3228</v>
      </c>
      <c r="M142" s="55">
        <v>17</v>
      </c>
      <c r="N142" s="55">
        <v>500</v>
      </c>
      <c r="O142" s="55">
        <f t="shared" si="29"/>
        <v>15</v>
      </c>
      <c r="P142" s="55" t="str">
        <f t="shared" si="27"/>
        <v>[(112,15)]</v>
      </c>
      <c r="Q142">
        <f t="shared" si="28"/>
        <v>5</v>
      </c>
    </row>
    <row r="143" spans="1:17" x14ac:dyDescent="0.15">
      <c r="A143" s="55">
        <v>2</v>
      </c>
      <c r="B143" s="55" t="s">
        <v>3113</v>
      </c>
      <c r="C143" s="55" t="s">
        <v>3114</v>
      </c>
      <c r="D143" s="55">
        <v>4</v>
      </c>
      <c r="E143" s="55" t="s">
        <v>3221</v>
      </c>
      <c r="F143" s="55" t="s">
        <v>3061</v>
      </c>
      <c r="G143" s="55">
        <v>5</v>
      </c>
      <c r="H143" s="55">
        <v>2</v>
      </c>
      <c r="I143" s="55" t="s">
        <v>3115</v>
      </c>
      <c r="J143" s="55" t="s">
        <v>3116</v>
      </c>
      <c r="K143" s="55" t="s">
        <v>3117</v>
      </c>
      <c r="L143" s="55" t="s">
        <v>3118</v>
      </c>
      <c r="M143" s="55">
        <v>13</v>
      </c>
      <c r="N143" s="55">
        <v>5</v>
      </c>
      <c r="O143" s="55">
        <f t="shared" si="29"/>
        <v>5</v>
      </c>
      <c r="P143" s="55" t="str">
        <f t="shared" si="27"/>
        <v>[(112,5)]</v>
      </c>
      <c r="Q143">
        <f t="shared" si="28"/>
        <v>2.5</v>
      </c>
    </row>
    <row r="144" spans="1:17" x14ac:dyDescent="0.15">
      <c r="A144" s="55">
        <v>2</v>
      </c>
      <c r="B144" s="55" t="s">
        <v>3204</v>
      </c>
      <c r="C144" s="55" t="s">
        <v>3229</v>
      </c>
      <c r="D144" s="55">
        <v>4</v>
      </c>
      <c r="E144" s="55" t="s">
        <v>3070</v>
      </c>
      <c r="F144" s="55" t="s">
        <v>3061</v>
      </c>
      <c r="G144" s="55">
        <v>4</v>
      </c>
      <c r="H144" s="55">
        <v>2</v>
      </c>
      <c r="I144" s="55" t="s">
        <v>3230</v>
      </c>
      <c r="J144" s="55" t="s">
        <v>3231</v>
      </c>
      <c r="K144" s="55" t="s">
        <v>3232</v>
      </c>
      <c r="L144" s="55" t="s">
        <v>3233</v>
      </c>
      <c r="M144" s="55">
        <v>0</v>
      </c>
      <c r="N144" s="55">
        <v>4</v>
      </c>
      <c r="O144" s="55">
        <f t="shared" si="29"/>
        <v>5</v>
      </c>
      <c r="P144" s="55" t="str">
        <f t="shared" si="27"/>
        <v>[(112,5)]</v>
      </c>
      <c r="Q144">
        <f t="shared" si="28"/>
        <v>4</v>
      </c>
    </row>
    <row r="145" spans="1:17" x14ac:dyDescent="0.15">
      <c r="A145" s="55">
        <v>2</v>
      </c>
      <c r="B145" s="55" t="s">
        <v>3119</v>
      </c>
      <c r="C145" s="55" t="s">
        <v>3164</v>
      </c>
      <c r="D145" s="55">
        <v>4</v>
      </c>
      <c r="E145" s="55" t="s">
        <v>1580</v>
      </c>
      <c r="F145" s="55" t="s">
        <v>3165</v>
      </c>
      <c r="G145" s="55">
        <v>1</v>
      </c>
      <c r="H145" s="55">
        <v>2</v>
      </c>
      <c r="I145" s="55" t="s">
        <v>3166</v>
      </c>
      <c r="J145" s="55" t="s">
        <v>3167</v>
      </c>
      <c r="K145" s="55" t="s">
        <v>3168</v>
      </c>
      <c r="L145" s="55" t="s">
        <v>3169</v>
      </c>
      <c r="M145" s="55">
        <v>1</v>
      </c>
      <c r="N145" s="55">
        <v>1</v>
      </c>
      <c r="O145" s="55">
        <f t="shared" si="29"/>
        <v>10</v>
      </c>
      <c r="P145" s="55" t="str">
        <f t="shared" si="27"/>
        <v>[(112,10)]</v>
      </c>
      <c r="Q145">
        <f t="shared" si="28"/>
        <v>0.13333333333333333</v>
      </c>
    </row>
    <row r="146" spans="1:17" x14ac:dyDescent="0.15">
      <c r="A146" s="55">
        <v>2</v>
      </c>
      <c r="B146" s="55" t="s">
        <v>3134</v>
      </c>
      <c r="C146" s="55" t="s">
        <v>3135</v>
      </c>
      <c r="D146" s="55">
        <v>4</v>
      </c>
      <c r="E146" s="55" t="s">
        <v>3156</v>
      </c>
      <c r="F146" s="55" t="s">
        <v>3136</v>
      </c>
      <c r="G146" s="55">
        <v>15</v>
      </c>
      <c r="H146" s="55">
        <v>2</v>
      </c>
      <c r="I146" s="55" t="s">
        <v>3137</v>
      </c>
      <c r="J146" s="55" t="s">
        <v>3138</v>
      </c>
      <c r="K146" s="55" t="s">
        <v>3139</v>
      </c>
      <c r="L146" s="55" t="s">
        <v>3140</v>
      </c>
      <c r="M146" s="55">
        <v>1</v>
      </c>
      <c r="N146" s="55">
        <v>15</v>
      </c>
      <c r="O146" s="55">
        <f t="shared" si="29"/>
        <v>10</v>
      </c>
      <c r="P146" s="55" t="str">
        <f t="shared" si="27"/>
        <v>[(112,10)]</v>
      </c>
      <c r="Q146">
        <f t="shared" si="28"/>
        <v>2</v>
      </c>
    </row>
    <row r="147" spans="1:17" x14ac:dyDescent="0.15">
      <c r="A147" s="55">
        <v>2</v>
      </c>
      <c r="B147" s="55" t="s">
        <v>3180</v>
      </c>
      <c r="C147" s="55" t="s">
        <v>3181</v>
      </c>
      <c r="D147" s="55">
        <v>4</v>
      </c>
      <c r="E147" s="55" t="s">
        <v>3221</v>
      </c>
      <c r="F147" s="55" t="s">
        <v>3061</v>
      </c>
      <c r="G147" s="55">
        <v>5</v>
      </c>
      <c r="H147" s="55">
        <v>2</v>
      </c>
      <c r="I147" s="55" t="s">
        <v>3182</v>
      </c>
      <c r="J147" s="55" t="s">
        <v>3183</v>
      </c>
      <c r="K147" s="55" t="s">
        <v>3184</v>
      </c>
      <c r="L147" s="55" t="s">
        <v>3185</v>
      </c>
      <c r="M147" s="55">
        <v>8</v>
      </c>
      <c r="N147" s="55">
        <v>5</v>
      </c>
      <c r="O147" s="55">
        <f t="shared" si="29"/>
        <v>10</v>
      </c>
      <c r="P147" s="55" t="str">
        <f t="shared" si="27"/>
        <v>[(112,10)]</v>
      </c>
      <c r="Q147">
        <f t="shared" si="28"/>
        <v>2.5</v>
      </c>
    </row>
    <row r="148" spans="1:17" x14ac:dyDescent="0.15">
      <c r="A148" s="55">
        <v>2</v>
      </c>
      <c r="B148" s="55" t="s">
        <v>3112</v>
      </c>
      <c r="C148" s="55" t="s">
        <v>3158</v>
      </c>
      <c r="D148" s="55">
        <v>4</v>
      </c>
      <c r="E148" s="55" t="s">
        <v>1580</v>
      </c>
      <c r="F148" s="55" t="s">
        <v>3061</v>
      </c>
      <c r="G148" s="55">
        <v>3</v>
      </c>
      <c r="H148" s="55">
        <v>2</v>
      </c>
      <c r="I148" s="55" t="s">
        <v>3159</v>
      </c>
      <c r="J148" s="55" t="s">
        <v>3160</v>
      </c>
      <c r="K148" s="55" t="s">
        <v>3161</v>
      </c>
      <c r="L148" s="55" t="s">
        <v>3162</v>
      </c>
      <c r="M148" s="55">
        <v>14</v>
      </c>
      <c r="N148" s="55">
        <v>3</v>
      </c>
      <c r="O148" s="55">
        <f t="shared" si="29"/>
        <v>10</v>
      </c>
      <c r="P148" s="55" t="str">
        <f t="shared" si="27"/>
        <v>[(112,10)]</v>
      </c>
      <c r="Q148">
        <f t="shared" si="28"/>
        <v>6</v>
      </c>
    </row>
    <row r="149" spans="1:17" x14ac:dyDescent="0.15">
      <c r="A149" s="55">
        <v>2</v>
      </c>
      <c r="B149" s="55" t="s">
        <v>3157</v>
      </c>
      <c r="C149" s="55" t="s">
        <v>3234</v>
      </c>
      <c r="D149" s="55">
        <v>4</v>
      </c>
      <c r="E149" s="55" t="s">
        <v>3235</v>
      </c>
      <c r="F149" s="55" t="s">
        <v>3236</v>
      </c>
      <c r="G149" s="55">
        <v>1</v>
      </c>
      <c r="H149" s="55">
        <v>2</v>
      </c>
      <c r="I149" s="55" t="s">
        <v>3237</v>
      </c>
      <c r="J149" s="55" t="s">
        <v>3238</v>
      </c>
      <c r="K149" s="55" t="s">
        <v>3239</v>
      </c>
      <c r="L149" s="55" t="s">
        <v>3240</v>
      </c>
      <c r="M149" s="55">
        <v>1</v>
      </c>
      <c r="N149" s="55">
        <v>1</v>
      </c>
      <c r="O149" s="55">
        <f t="shared" si="29"/>
        <v>10</v>
      </c>
      <c r="P149" s="55" t="str">
        <f t="shared" si="27"/>
        <v>[(112,10)]</v>
      </c>
      <c r="Q149">
        <f t="shared" si="28"/>
        <v>6.9999999999999991</v>
      </c>
    </row>
    <row r="150" spans="1:17" x14ac:dyDescent="0.15">
      <c r="A150" s="55">
        <v>2</v>
      </c>
      <c r="B150" s="55" t="s">
        <v>3149</v>
      </c>
      <c r="C150" s="55" t="s">
        <v>3150</v>
      </c>
      <c r="D150" s="55">
        <v>5</v>
      </c>
      <c r="E150" s="55" t="s">
        <v>3291</v>
      </c>
      <c r="F150" s="55" t="s">
        <v>3061</v>
      </c>
      <c r="G150" s="55">
        <v>300</v>
      </c>
      <c r="H150" s="55">
        <v>1</v>
      </c>
      <c r="I150" s="55" t="s">
        <v>3151</v>
      </c>
      <c r="J150" s="55" t="s">
        <v>3152</v>
      </c>
      <c r="K150" s="55" t="s">
        <v>3153</v>
      </c>
      <c r="L150" s="55" t="s">
        <v>3154</v>
      </c>
      <c r="M150" s="55">
        <v>1</v>
      </c>
      <c r="N150" s="55">
        <v>300</v>
      </c>
      <c r="O150" s="55">
        <f t="shared" si="29"/>
        <v>5</v>
      </c>
      <c r="P150" s="55" t="str">
        <f t="shared" si="27"/>
        <v>[(112,5)]</v>
      </c>
      <c r="Q150">
        <f t="shared" si="28"/>
        <v>1.6</v>
      </c>
    </row>
    <row r="151" spans="1:17" x14ac:dyDescent="0.15">
      <c r="A151" s="55">
        <v>2</v>
      </c>
      <c r="B151" s="55" t="s">
        <v>3055</v>
      </c>
      <c r="C151" s="55" t="s">
        <v>3107</v>
      </c>
      <c r="D151" s="55">
        <v>5</v>
      </c>
      <c r="E151" s="55" t="s">
        <v>3188</v>
      </c>
      <c r="F151" s="55" t="s">
        <v>3061</v>
      </c>
      <c r="G151" s="55">
        <v>80</v>
      </c>
      <c r="H151" s="55">
        <v>1</v>
      </c>
      <c r="I151" s="55" t="s">
        <v>3108</v>
      </c>
      <c r="J151" s="55" t="s">
        <v>3109</v>
      </c>
      <c r="K151" s="55" t="s">
        <v>3110</v>
      </c>
      <c r="L151" s="55" t="s">
        <v>3111</v>
      </c>
      <c r="M151" s="55">
        <v>1</v>
      </c>
      <c r="N151" s="55">
        <v>80</v>
      </c>
      <c r="O151" s="55">
        <f t="shared" si="29"/>
        <v>5</v>
      </c>
      <c r="P151" s="55" t="str">
        <f t="shared" si="27"/>
        <v>[(112,5)]</v>
      </c>
      <c r="Q151">
        <f t="shared" si="28"/>
        <v>3.5555555555555558</v>
      </c>
    </row>
    <row r="152" spans="1:17" x14ac:dyDescent="0.15">
      <c r="A152" s="55">
        <v>2</v>
      </c>
      <c r="B152" s="55" t="s">
        <v>3076</v>
      </c>
      <c r="C152" s="55" t="s">
        <v>3176</v>
      </c>
      <c r="D152" s="55">
        <v>5</v>
      </c>
      <c r="E152" s="55" t="s">
        <v>3221</v>
      </c>
      <c r="F152" s="55" t="s">
        <v>3061</v>
      </c>
      <c r="G152" s="55">
        <v>5</v>
      </c>
      <c r="H152" s="55">
        <v>1</v>
      </c>
      <c r="I152" s="55" t="s">
        <v>3177</v>
      </c>
      <c r="J152" s="55" t="s">
        <v>3178</v>
      </c>
      <c r="K152" s="55" t="s">
        <v>3721</v>
      </c>
      <c r="L152" s="55" t="s">
        <v>3720</v>
      </c>
      <c r="M152" s="55">
        <v>16</v>
      </c>
      <c r="N152" s="55">
        <v>5</v>
      </c>
      <c r="O152" s="55">
        <f t="shared" si="29"/>
        <v>10</v>
      </c>
      <c r="P152" s="55" t="str">
        <f t="shared" si="27"/>
        <v>[(112,10)]</v>
      </c>
      <c r="Q152">
        <f t="shared" si="28"/>
        <v>5</v>
      </c>
    </row>
    <row r="153" spans="1:17" x14ac:dyDescent="0.15">
      <c r="A153" s="55">
        <v>2</v>
      </c>
      <c r="B153" s="55" t="s">
        <v>3219</v>
      </c>
      <c r="C153" s="55" t="s">
        <v>3223</v>
      </c>
      <c r="D153" s="55">
        <v>5</v>
      </c>
      <c r="E153" s="55" t="s">
        <v>3224</v>
      </c>
      <c r="F153" s="55" t="s">
        <v>3061</v>
      </c>
      <c r="G153" s="55">
        <v>500</v>
      </c>
      <c r="H153" s="55">
        <v>1</v>
      </c>
      <c r="I153" s="55" t="s">
        <v>3225</v>
      </c>
      <c r="J153" s="55" t="s">
        <v>3226</v>
      </c>
      <c r="K153" s="55" t="s">
        <v>3227</v>
      </c>
      <c r="L153" s="55" t="s">
        <v>3228</v>
      </c>
      <c r="M153" s="55">
        <v>17</v>
      </c>
      <c r="N153" s="55">
        <v>500</v>
      </c>
      <c r="O153" s="55">
        <f t="shared" si="29"/>
        <v>15</v>
      </c>
      <c r="P153" s="55" t="str">
        <f t="shared" si="27"/>
        <v>[(112,15)]</v>
      </c>
      <c r="Q153">
        <f t="shared" si="28"/>
        <v>5</v>
      </c>
    </row>
    <row r="154" spans="1:17" x14ac:dyDescent="0.15">
      <c r="A154" s="55">
        <v>2</v>
      </c>
      <c r="B154" s="55" t="s">
        <v>3088</v>
      </c>
      <c r="C154" s="55" t="s">
        <v>3089</v>
      </c>
      <c r="D154" s="55">
        <v>5</v>
      </c>
      <c r="E154" s="55" t="s">
        <v>3102</v>
      </c>
      <c r="F154" s="55" t="s">
        <v>3061</v>
      </c>
      <c r="G154" s="55">
        <v>30</v>
      </c>
      <c r="H154" s="55">
        <v>1</v>
      </c>
      <c r="I154" s="55" t="s">
        <v>3091</v>
      </c>
      <c r="J154" s="55" t="s">
        <v>3092</v>
      </c>
      <c r="K154" s="55" t="s">
        <v>3093</v>
      </c>
      <c r="L154" s="55" t="s">
        <v>3094</v>
      </c>
      <c r="M154" s="55">
        <v>1</v>
      </c>
      <c r="N154" s="55">
        <v>30</v>
      </c>
      <c r="O154" s="55">
        <f t="shared" si="29"/>
        <v>15</v>
      </c>
      <c r="P154" s="55" t="str">
        <f t="shared" si="27"/>
        <v>[(112,15)]</v>
      </c>
      <c r="Q154">
        <f t="shared" si="28"/>
        <v>6.6799999999999988</v>
      </c>
    </row>
    <row r="155" spans="1:17" x14ac:dyDescent="0.15">
      <c r="A155" s="55">
        <v>2</v>
      </c>
      <c r="B155" s="55" t="s">
        <v>3134</v>
      </c>
      <c r="C155" s="55" t="s">
        <v>3135</v>
      </c>
      <c r="D155" s="55">
        <v>5</v>
      </c>
      <c r="E155" s="55" t="s">
        <v>3248</v>
      </c>
      <c r="F155" s="55" t="s">
        <v>3136</v>
      </c>
      <c r="G155" s="55">
        <v>20</v>
      </c>
      <c r="H155" s="55">
        <v>2</v>
      </c>
      <c r="I155" s="55" t="s">
        <v>3137</v>
      </c>
      <c r="J155" s="55" t="s">
        <v>3138</v>
      </c>
      <c r="K155" s="55" t="s">
        <v>3139</v>
      </c>
      <c r="L155" s="55" t="s">
        <v>3140</v>
      </c>
      <c r="M155" s="55">
        <v>1</v>
      </c>
      <c r="N155" s="55">
        <v>20</v>
      </c>
      <c r="O155" s="55">
        <f t="shared" si="29"/>
        <v>10</v>
      </c>
      <c r="P155" s="55" t="str">
        <f t="shared" si="27"/>
        <v>[(112,10)]</v>
      </c>
      <c r="Q155">
        <f t="shared" si="28"/>
        <v>2.6666666666666665</v>
      </c>
    </row>
    <row r="156" spans="1:17" x14ac:dyDescent="0.15">
      <c r="A156" s="55">
        <v>2</v>
      </c>
      <c r="B156" s="55" t="s">
        <v>3170</v>
      </c>
      <c r="C156" s="55" t="s">
        <v>3171</v>
      </c>
      <c r="D156" s="55">
        <v>5</v>
      </c>
      <c r="E156" s="55" t="s">
        <v>3156</v>
      </c>
      <c r="F156" s="55" t="s">
        <v>3061</v>
      </c>
      <c r="G156" s="55">
        <v>15</v>
      </c>
      <c r="H156" s="55">
        <v>2</v>
      </c>
      <c r="I156" s="55" t="s">
        <v>3172</v>
      </c>
      <c r="J156" s="55" t="s">
        <v>3173</v>
      </c>
      <c r="K156" s="55" t="s">
        <v>3174</v>
      </c>
      <c r="L156" s="55" t="s">
        <v>3175</v>
      </c>
      <c r="M156" s="55">
        <v>17</v>
      </c>
      <c r="N156" s="55">
        <v>15</v>
      </c>
      <c r="O156" s="55">
        <f t="shared" si="29"/>
        <v>10</v>
      </c>
      <c r="P156" s="55" t="str">
        <f t="shared" si="27"/>
        <v>[(112,10)]</v>
      </c>
      <c r="Q156">
        <f t="shared" si="28"/>
        <v>7</v>
      </c>
    </row>
    <row r="157" spans="1:17" x14ac:dyDescent="0.15">
      <c r="A157" s="55">
        <v>2</v>
      </c>
      <c r="B157" s="55" t="s">
        <v>3120</v>
      </c>
      <c r="C157" s="55" t="s">
        <v>3121</v>
      </c>
      <c r="D157" s="55">
        <v>5</v>
      </c>
      <c r="E157" s="55" t="s">
        <v>3248</v>
      </c>
      <c r="F157" s="55" t="s">
        <v>3061</v>
      </c>
      <c r="G157" s="55">
        <v>20</v>
      </c>
      <c r="H157" s="55">
        <v>2</v>
      </c>
      <c r="I157" s="55" t="s">
        <v>3122</v>
      </c>
      <c r="J157" s="55" t="s">
        <v>3123</v>
      </c>
      <c r="K157" s="55" t="s">
        <v>3124</v>
      </c>
      <c r="L157" s="55" t="s">
        <v>3125</v>
      </c>
      <c r="M157" s="55">
        <v>1</v>
      </c>
      <c r="N157" s="55">
        <v>20</v>
      </c>
      <c r="O157" s="55">
        <f t="shared" si="29"/>
        <v>15</v>
      </c>
      <c r="P157" s="55" t="str">
        <f t="shared" si="27"/>
        <v>[(112,15)]</v>
      </c>
      <c r="Q157">
        <f t="shared" si="28"/>
        <v>5.333333333333333</v>
      </c>
    </row>
    <row r="158" spans="1:17" x14ac:dyDescent="0.15">
      <c r="A158" s="55">
        <v>2</v>
      </c>
      <c r="B158" s="55" t="s">
        <v>3163</v>
      </c>
      <c r="C158" s="55" t="s">
        <v>3242</v>
      </c>
      <c r="D158" s="55">
        <v>5</v>
      </c>
      <c r="E158" s="55" t="s">
        <v>3243</v>
      </c>
      <c r="F158" s="55" t="s">
        <v>3061</v>
      </c>
      <c r="G158" s="55">
        <v>1</v>
      </c>
      <c r="H158" s="55">
        <v>2</v>
      </c>
      <c r="I158" s="55" t="s">
        <v>3244</v>
      </c>
      <c r="J158" s="55" t="s">
        <v>3245</v>
      </c>
      <c r="K158" s="55" t="s">
        <v>3246</v>
      </c>
      <c r="L158" s="55" t="s">
        <v>3247</v>
      </c>
      <c r="M158" s="55">
        <v>1</v>
      </c>
      <c r="N158" s="55">
        <v>1</v>
      </c>
      <c r="O158" s="55">
        <f t="shared" si="29"/>
        <v>15</v>
      </c>
      <c r="P158" s="55" t="str">
        <f t="shared" si="27"/>
        <v>[(112,15)]</v>
      </c>
      <c r="Q158">
        <f t="shared" si="28"/>
        <v>7</v>
      </c>
    </row>
    <row r="159" spans="1:17" x14ac:dyDescent="0.15">
      <c r="A159" s="55">
        <v>2</v>
      </c>
      <c r="B159" s="55" t="s">
        <v>3086</v>
      </c>
      <c r="C159" s="55" t="s">
        <v>3095</v>
      </c>
      <c r="D159" s="55">
        <v>5</v>
      </c>
      <c r="E159" s="55" t="s">
        <v>3060</v>
      </c>
      <c r="F159" s="55" t="s">
        <v>3061</v>
      </c>
      <c r="G159" s="55">
        <v>6</v>
      </c>
      <c r="H159" s="55">
        <v>2</v>
      </c>
      <c r="I159" s="55" t="s">
        <v>3096</v>
      </c>
      <c r="J159" s="55" t="s">
        <v>3097</v>
      </c>
      <c r="K159" s="55" t="s">
        <v>3098</v>
      </c>
      <c r="L159" s="55" t="s">
        <v>3099</v>
      </c>
      <c r="M159" s="55">
        <v>1</v>
      </c>
      <c r="N159" s="55">
        <v>6</v>
      </c>
      <c r="O159" s="55">
        <f t="shared" si="29"/>
        <v>20</v>
      </c>
      <c r="P159" s="55" t="str">
        <f t="shared" si="27"/>
        <v>[(112,20)]</v>
      </c>
      <c r="Q159">
        <f t="shared" si="28"/>
        <v>4</v>
      </c>
    </row>
    <row r="160" spans="1:17" x14ac:dyDescent="0.15">
      <c r="A160" s="55">
        <v>2</v>
      </c>
      <c r="B160" s="55" t="s">
        <v>3100</v>
      </c>
      <c r="C160" s="55" t="s">
        <v>3101</v>
      </c>
      <c r="D160" s="55">
        <v>6</v>
      </c>
      <c r="E160" s="55" t="s">
        <v>1650</v>
      </c>
      <c r="F160" s="55" t="s">
        <v>3061</v>
      </c>
      <c r="G160" s="55">
        <v>50</v>
      </c>
      <c r="H160" s="55">
        <v>1</v>
      </c>
      <c r="I160" s="55" t="s">
        <v>3103</v>
      </c>
      <c r="J160" s="55" t="s">
        <v>3104</v>
      </c>
      <c r="K160" s="55" t="s">
        <v>3105</v>
      </c>
      <c r="L160" s="55" t="s">
        <v>3106</v>
      </c>
      <c r="M160" s="55">
        <v>1</v>
      </c>
      <c r="N160" s="55">
        <v>50</v>
      </c>
      <c r="O160" s="55">
        <f t="shared" si="29"/>
        <v>10</v>
      </c>
      <c r="P160" s="55" t="str">
        <f t="shared" si="27"/>
        <v>[(112,10)]</v>
      </c>
      <c r="Q160">
        <f t="shared" si="28"/>
        <v>1.3333333333333333</v>
      </c>
    </row>
    <row r="161" spans="1:17" x14ac:dyDescent="0.15">
      <c r="A161" s="55">
        <v>2</v>
      </c>
      <c r="B161" s="55" t="s">
        <v>3126</v>
      </c>
      <c r="C161" s="55" t="s">
        <v>3127</v>
      </c>
      <c r="D161" s="55">
        <v>6</v>
      </c>
      <c r="E161" s="55" t="s">
        <v>3220</v>
      </c>
      <c r="F161" s="55" t="s">
        <v>3129</v>
      </c>
      <c r="G161" s="55">
        <v>15</v>
      </c>
      <c r="H161" s="55">
        <v>1</v>
      </c>
      <c r="I161" s="55" t="s">
        <v>3130</v>
      </c>
      <c r="J161" s="55" t="s">
        <v>3131</v>
      </c>
      <c r="K161" s="55" t="s">
        <v>3132</v>
      </c>
      <c r="L161" s="55" t="s">
        <v>3133</v>
      </c>
      <c r="M161" s="55">
        <v>1</v>
      </c>
      <c r="N161" s="55">
        <v>15</v>
      </c>
      <c r="O161" s="55">
        <f t="shared" si="29"/>
        <v>10</v>
      </c>
      <c r="P161" s="55" t="str">
        <f t="shared" si="27"/>
        <v>[(112,10)]</v>
      </c>
      <c r="Q161">
        <f t="shared" si="28"/>
        <v>2</v>
      </c>
    </row>
    <row r="162" spans="1:17" x14ac:dyDescent="0.15">
      <c r="A162" s="55">
        <v>2</v>
      </c>
      <c r="B162" s="55" t="s">
        <v>3180</v>
      </c>
      <c r="C162" s="55" t="s">
        <v>3181</v>
      </c>
      <c r="D162" s="55">
        <v>6</v>
      </c>
      <c r="E162" s="55" t="s">
        <v>3221</v>
      </c>
      <c r="F162" s="55" t="s">
        <v>3061</v>
      </c>
      <c r="G162" s="55">
        <v>5</v>
      </c>
      <c r="H162" s="55">
        <v>1</v>
      </c>
      <c r="I162" s="55" t="s">
        <v>3182</v>
      </c>
      <c r="J162" s="55" t="s">
        <v>3183</v>
      </c>
      <c r="K162" s="55" t="s">
        <v>3184</v>
      </c>
      <c r="L162" s="55" t="s">
        <v>3185</v>
      </c>
      <c r="M162" s="55">
        <v>8</v>
      </c>
      <c r="N162" s="55">
        <v>5</v>
      </c>
      <c r="O162" s="55">
        <f t="shared" si="29"/>
        <v>10</v>
      </c>
      <c r="P162" s="55" t="str">
        <f t="shared" si="27"/>
        <v>[(112,10)]</v>
      </c>
      <c r="Q162">
        <f t="shared" si="28"/>
        <v>2.5</v>
      </c>
    </row>
    <row r="163" spans="1:17" x14ac:dyDescent="0.15">
      <c r="A163" s="55">
        <v>2</v>
      </c>
      <c r="B163" s="55" t="s">
        <v>3179</v>
      </c>
      <c r="C163" s="55" t="s">
        <v>3250</v>
      </c>
      <c r="D163" s="55">
        <v>6</v>
      </c>
      <c r="E163" s="55" t="s">
        <v>3061</v>
      </c>
      <c r="F163" s="55" t="s">
        <v>3136</v>
      </c>
      <c r="G163" s="55">
        <v>1</v>
      </c>
      <c r="H163" s="55">
        <v>1</v>
      </c>
      <c r="I163" s="55" t="s">
        <v>3251</v>
      </c>
      <c r="J163" s="55" t="s">
        <v>3252</v>
      </c>
      <c r="K163" s="55" t="s">
        <v>3253</v>
      </c>
      <c r="L163" s="55" t="s">
        <v>3254</v>
      </c>
      <c r="M163" s="55">
        <v>1</v>
      </c>
      <c r="N163" s="55">
        <v>1</v>
      </c>
      <c r="O163" s="55">
        <f t="shared" si="29"/>
        <v>15</v>
      </c>
      <c r="P163" s="55" t="str">
        <f t="shared" si="27"/>
        <v>[(112,15)]</v>
      </c>
      <c r="Q163">
        <f t="shared" si="28"/>
        <v>0.5</v>
      </c>
    </row>
    <row r="164" spans="1:17" x14ac:dyDescent="0.15">
      <c r="A164" s="55">
        <v>2</v>
      </c>
      <c r="B164" s="55" t="s">
        <v>3155</v>
      </c>
      <c r="C164" s="55" t="s">
        <v>3255</v>
      </c>
      <c r="D164" s="55">
        <v>6</v>
      </c>
      <c r="E164" s="55" t="s">
        <v>1650</v>
      </c>
      <c r="F164" s="55" t="s">
        <v>3849</v>
      </c>
      <c r="G164" s="55">
        <v>1</v>
      </c>
      <c r="H164" s="55">
        <v>1</v>
      </c>
      <c r="I164" s="55" t="s">
        <v>3256</v>
      </c>
      <c r="J164" s="55" t="s">
        <v>3257</v>
      </c>
      <c r="K164" s="55" t="s">
        <v>3258</v>
      </c>
      <c r="L164" s="55" t="s">
        <v>3259</v>
      </c>
      <c r="M164" s="55">
        <v>1</v>
      </c>
      <c r="N164" s="55">
        <v>1</v>
      </c>
      <c r="O164" s="55">
        <f t="shared" si="29"/>
        <v>20</v>
      </c>
      <c r="P164" s="55" t="str">
        <f t="shared" si="27"/>
        <v>[(112,20)]</v>
      </c>
      <c r="Q164">
        <f t="shared" si="28"/>
        <v>1</v>
      </c>
    </row>
    <row r="165" spans="1:17" x14ac:dyDescent="0.15">
      <c r="A165" s="55">
        <v>2</v>
      </c>
      <c r="B165" s="55" t="s">
        <v>3113</v>
      </c>
      <c r="C165" s="55" t="s">
        <v>3114</v>
      </c>
      <c r="D165" s="55">
        <v>6</v>
      </c>
      <c r="E165" s="55" t="s">
        <v>3221</v>
      </c>
      <c r="F165" s="55" t="s">
        <v>3061</v>
      </c>
      <c r="G165" s="55">
        <v>5</v>
      </c>
      <c r="H165" s="55">
        <v>2</v>
      </c>
      <c r="I165" s="55" t="s">
        <v>3115</v>
      </c>
      <c r="J165" s="55" t="s">
        <v>3116</v>
      </c>
      <c r="K165" s="55" t="s">
        <v>3117</v>
      </c>
      <c r="L165" s="55" t="s">
        <v>3118</v>
      </c>
      <c r="M165" s="55">
        <v>13</v>
      </c>
      <c r="N165" s="55">
        <v>5</v>
      </c>
      <c r="O165" s="55">
        <f t="shared" si="29"/>
        <v>5</v>
      </c>
      <c r="P165" s="55" t="str">
        <f t="shared" si="27"/>
        <v>[(112,5)]</v>
      </c>
      <c r="Q165">
        <f t="shared" si="28"/>
        <v>2.5</v>
      </c>
    </row>
    <row r="166" spans="1:17" x14ac:dyDescent="0.15">
      <c r="A166" s="55">
        <v>2</v>
      </c>
      <c r="B166" s="55" t="s">
        <v>3180</v>
      </c>
      <c r="C166" s="55" t="s">
        <v>3181</v>
      </c>
      <c r="D166" s="55">
        <v>6</v>
      </c>
      <c r="E166" s="55" t="s">
        <v>3221</v>
      </c>
      <c r="F166" s="55" t="s">
        <v>3061</v>
      </c>
      <c r="G166" s="55">
        <v>5</v>
      </c>
      <c r="H166" s="55">
        <v>2</v>
      </c>
      <c r="I166" s="55" t="s">
        <v>3182</v>
      </c>
      <c r="J166" s="55" t="s">
        <v>3183</v>
      </c>
      <c r="K166" s="55" t="s">
        <v>3184</v>
      </c>
      <c r="L166" s="55" t="s">
        <v>3185</v>
      </c>
      <c r="M166" s="55">
        <v>8</v>
      </c>
      <c r="N166" s="55">
        <v>5</v>
      </c>
      <c r="O166" s="55">
        <f t="shared" si="29"/>
        <v>10</v>
      </c>
      <c r="P166" s="55" t="str">
        <f t="shared" si="27"/>
        <v>[(112,10)]</v>
      </c>
      <c r="Q166">
        <f t="shared" si="28"/>
        <v>2.5</v>
      </c>
    </row>
    <row r="167" spans="1:17" x14ac:dyDescent="0.15">
      <c r="A167" s="55">
        <v>2</v>
      </c>
      <c r="B167" s="55" t="s">
        <v>3190</v>
      </c>
      <c r="C167" s="55" t="s">
        <v>3191</v>
      </c>
      <c r="D167" s="55">
        <v>6</v>
      </c>
      <c r="E167" s="55" t="s">
        <v>3248</v>
      </c>
      <c r="F167" s="55" t="s">
        <v>3061</v>
      </c>
      <c r="G167" s="55">
        <v>20</v>
      </c>
      <c r="H167" s="55">
        <v>2</v>
      </c>
      <c r="I167" s="55" t="s">
        <v>3192</v>
      </c>
      <c r="J167" s="55" t="s">
        <v>3193</v>
      </c>
      <c r="K167" s="55" t="s">
        <v>3194</v>
      </c>
      <c r="L167" s="55" t="s">
        <v>3195</v>
      </c>
      <c r="M167" s="55">
        <v>11</v>
      </c>
      <c r="N167" s="55">
        <v>20</v>
      </c>
      <c r="O167" s="55">
        <f t="shared" si="29"/>
        <v>10</v>
      </c>
      <c r="P167" s="55" t="str">
        <f t="shared" si="27"/>
        <v>[(112,10)]</v>
      </c>
      <c r="Q167">
        <f t="shared" si="28"/>
        <v>5</v>
      </c>
    </row>
    <row r="168" spans="1:17" x14ac:dyDescent="0.15">
      <c r="A168" s="55">
        <v>2</v>
      </c>
      <c r="B168" s="55" t="s">
        <v>3142</v>
      </c>
      <c r="C168" s="55" t="s">
        <v>3143</v>
      </c>
      <c r="D168" s="55">
        <v>6</v>
      </c>
      <c r="E168" s="55" t="s">
        <v>3249</v>
      </c>
      <c r="F168" s="55" t="s">
        <v>3144</v>
      </c>
      <c r="G168" s="55">
        <v>10</v>
      </c>
      <c r="H168" s="55">
        <v>2</v>
      </c>
      <c r="I168" s="55" t="s">
        <v>3145</v>
      </c>
      <c r="J168" s="55" t="s">
        <v>3146</v>
      </c>
      <c r="K168" s="55" t="s">
        <v>3147</v>
      </c>
      <c r="L168" s="55" t="s">
        <v>3148</v>
      </c>
      <c r="M168" s="55">
        <v>1</v>
      </c>
      <c r="N168" s="55">
        <v>10</v>
      </c>
      <c r="O168" s="55">
        <f t="shared" si="29"/>
        <v>10</v>
      </c>
      <c r="P168" s="55" t="str">
        <f t="shared" si="27"/>
        <v>[(112,10)]</v>
      </c>
      <c r="Q168">
        <f t="shared" si="28"/>
        <v>7</v>
      </c>
    </row>
    <row r="169" spans="1:17" x14ac:dyDescent="0.15">
      <c r="A169" s="55">
        <v>2</v>
      </c>
      <c r="B169" s="55" t="s">
        <v>3134</v>
      </c>
      <c r="C169" s="55" t="s">
        <v>3135</v>
      </c>
      <c r="D169" s="55">
        <v>6</v>
      </c>
      <c r="E169" s="55" t="s">
        <v>3187</v>
      </c>
      <c r="F169" s="55" t="s">
        <v>3136</v>
      </c>
      <c r="G169" s="55">
        <v>25</v>
      </c>
      <c r="H169" s="55">
        <v>2</v>
      </c>
      <c r="I169" s="55" t="s">
        <v>3137</v>
      </c>
      <c r="J169" s="55" t="s">
        <v>3138</v>
      </c>
      <c r="K169" s="55" t="s">
        <v>3139</v>
      </c>
      <c r="L169" s="55" t="s">
        <v>3140</v>
      </c>
      <c r="M169" s="55">
        <v>1</v>
      </c>
      <c r="N169" s="55">
        <v>100</v>
      </c>
      <c r="O169" s="55">
        <f t="shared" si="29"/>
        <v>10</v>
      </c>
      <c r="P169" s="55" t="str">
        <f t="shared" si="27"/>
        <v>[(112,10)]</v>
      </c>
      <c r="Q169">
        <f t="shared" si="28"/>
        <v>7</v>
      </c>
    </row>
    <row r="170" spans="1:17" x14ac:dyDescent="0.15">
      <c r="A170" s="55">
        <v>2</v>
      </c>
      <c r="B170" s="55" t="s">
        <v>3149</v>
      </c>
      <c r="C170" s="55" t="s">
        <v>3150</v>
      </c>
      <c r="D170" s="55">
        <v>7</v>
      </c>
      <c r="E170" s="55" t="s">
        <v>3291</v>
      </c>
      <c r="F170" s="55" t="s">
        <v>3061</v>
      </c>
      <c r="G170" s="55">
        <v>300</v>
      </c>
      <c r="H170" s="55">
        <v>1</v>
      </c>
      <c r="I170" s="55" t="s">
        <v>3151</v>
      </c>
      <c r="J170" s="55" t="s">
        <v>3152</v>
      </c>
      <c r="K170" s="55" t="s">
        <v>3153</v>
      </c>
      <c r="L170" s="55" t="s">
        <v>3154</v>
      </c>
      <c r="M170" s="55">
        <v>1</v>
      </c>
      <c r="N170" s="55">
        <v>300</v>
      </c>
      <c r="O170" s="55">
        <f t="shared" ref="O170:O201" si="30">VLOOKUP(B170,AG:AK,5,FALSE)</f>
        <v>5</v>
      </c>
      <c r="P170" s="55" t="str">
        <f t="shared" si="27"/>
        <v>[(112,5)]</v>
      </c>
      <c r="Q170">
        <f t="shared" si="28"/>
        <v>1.6</v>
      </c>
    </row>
    <row r="171" spans="1:17" x14ac:dyDescent="0.15">
      <c r="A171" s="55">
        <v>2</v>
      </c>
      <c r="B171" s="55" t="s">
        <v>3212</v>
      </c>
      <c r="C171" s="55" t="s">
        <v>3260</v>
      </c>
      <c r="D171" s="55">
        <v>7</v>
      </c>
      <c r="E171" s="55" t="s">
        <v>3221</v>
      </c>
      <c r="F171" s="55" t="s">
        <v>3207</v>
      </c>
      <c r="G171" s="55">
        <v>5</v>
      </c>
      <c r="H171" s="55">
        <v>1</v>
      </c>
      <c r="I171" s="55" t="s">
        <v>3261</v>
      </c>
      <c r="J171" s="55" t="s">
        <v>3262</v>
      </c>
      <c r="K171" s="55" t="s">
        <v>3263</v>
      </c>
      <c r="L171" s="55" t="s">
        <v>3264</v>
      </c>
      <c r="M171" s="55">
        <v>1</v>
      </c>
      <c r="N171" s="55">
        <v>5</v>
      </c>
      <c r="O171" s="55">
        <f t="shared" si="30"/>
        <v>10</v>
      </c>
      <c r="P171" s="55" t="str">
        <f t="shared" si="27"/>
        <v>[(112,10)]</v>
      </c>
      <c r="Q171">
        <f t="shared" si="28"/>
        <v>1</v>
      </c>
    </row>
    <row r="172" spans="1:17" x14ac:dyDescent="0.15">
      <c r="A172" s="55">
        <v>2</v>
      </c>
      <c r="B172" s="55" t="s">
        <v>3088</v>
      </c>
      <c r="C172" s="55" t="s">
        <v>3089</v>
      </c>
      <c r="D172" s="55">
        <v>7</v>
      </c>
      <c r="E172" s="55" t="s">
        <v>3102</v>
      </c>
      <c r="F172" s="55" t="s">
        <v>3061</v>
      </c>
      <c r="G172" s="55">
        <v>30</v>
      </c>
      <c r="H172" s="55">
        <v>1</v>
      </c>
      <c r="I172" s="55" t="s">
        <v>3091</v>
      </c>
      <c r="J172" s="55" t="s">
        <v>3092</v>
      </c>
      <c r="K172" s="55" t="s">
        <v>3093</v>
      </c>
      <c r="L172" s="55" t="s">
        <v>3094</v>
      </c>
      <c r="M172" s="55">
        <v>1</v>
      </c>
      <c r="N172" s="55">
        <v>30</v>
      </c>
      <c r="O172" s="55">
        <f t="shared" si="30"/>
        <v>15</v>
      </c>
      <c r="P172" s="55" t="str">
        <f t="shared" si="27"/>
        <v>[(112,15)]</v>
      </c>
      <c r="Q172">
        <f t="shared" si="28"/>
        <v>6.6799999999999988</v>
      </c>
    </row>
    <row r="173" spans="1:17" x14ac:dyDescent="0.15">
      <c r="A173" s="55">
        <v>2</v>
      </c>
      <c r="B173" s="55" t="s">
        <v>3189</v>
      </c>
      <c r="C173" s="55" t="s">
        <v>3267</v>
      </c>
      <c r="D173" s="55">
        <v>7</v>
      </c>
      <c r="E173" s="55" t="s">
        <v>3248</v>
      </c>
      <c r="F173" s="288" t="s">
        <v>3851</v>
      </c>
      <c r="G173" s="55">
        <v>1</v>
      </c>
      <c r="H173" s="55">
        <v>1</v>
      </c>
      <c r="I173" s="55" t="s">
        <v>3268</v>
      </c>
      <c r="J173" s="55" t="s">
        <v>3269</v>
      </c>
      <c r="K173" s="55" t="s">
        <v>3270</v>
      </c>
      <c r="L173" s="55" t="s">
        <v>3271</v>
      </c>
      <c r="M173" s="55">
        <v>1</v>
      </c>
      <c r="N173" s="55">
        <v>1</v>
      </c>
      <c r="O173" s="55">
        <f t="shared" si="30"/>
        <v>15</v>
      </c>
      <c r="P173" s="55" t="str">
        <f t="shared" si="27"/>
        <v>[(112,15)]</v>
      </c>
      <c r="Q173">
        <f t="shared" si="28"/>
        <v>6.9999999999999991</v>
      </c>
    </row>
    <row r="174" spans="1:17" x14ac:dyDescent="0.15">
      <c r="A174" s="55">
        <v>2</v>
      </c>
      <c r="B174" s="55" t="s">
        <v>3196</v>
      </c>
      <c r="C174" s="55" t="s">
        <v>3272</v>
      </c>
      <c r="D174" s="55">
        <v>7</v>
      </c>
      <c r="E174" s="55" t="s">
        <v>3090</v>
      </c>
      <c r="F174" s="55" t="s">
        <v>3292</v>
      </c>
      <c r="G174" s="55">
        <v>1</v>
      </c>
      <c r="H174" s="55">
        <v>1</v>
      </c>
      <c r="I174" s="55" t="s">
        <v>3274</v>
      </c>
      <c r="J174" s="55" t="s">
        <v>3275</v>
      </c>
      <c r="K174" s="55" t="s">
        <v>3276</v>
      </c>
      <c r="L174" s="55" t="s">
        <v>3277</v>
      </c>
      <c r="M174" s="55">
        <v>1</v>
      </c>
      <c r="N174" s="55">
        <v>1</v>
      </c>
      <c r="O174" s="55">
        <f t="shared" si="30"/>
        <v>15</v>
      </c>
      <c r="P174" s="55" t="str">
        <f t="shared" si="27"/>
        <v>[(112,15)]</v>
      </c>
      <c r="Q174">
        <f t="shared" si="28"/>
        <v>6.9999999999999991</v>
      </c>
    </row>
    <row r="175" spans="1:17" x14ac:dyDescent="0.15">
      <c r="A175" s="55">
        <v>2</v>
      </c>
      <c r="B175" s="55" t="s">
        <v>3204</v>
      </c>
      <c r="C175" s="55" t="s">
        <v>3229</v>
      </c>
      <c r="D175" s="55">
        <v>7</v>
      </c>
      <c r="E175" s="55" t="s">
        <v>1580</v>
      </c>
      <c r="F175" s="55" t="s">
        <v>3061</v>
      </c>
      <c r="G175" s="55">
        <v>3</v>
      </c>
      <c r="H175" s="55">
        <v>2</v>
      </c>
      <c r="I175" s="55" t="s">
        <v>3230</v>
      </c>
      <c r="J175" s="55" t="s">
        <v>3231</v>
      </c>
      <c r="K175" s="55" t="s">
        <v>3232</v>
      </c>
      <c r="L175" s="55" t="s">
        <v>3233</v>
      </c>
      <c r="M175" s="55">
        <v>0</v>
      </c>
      <c r="N175" s="55">
        <v>3</v>
      </c>
      <c r="O175" s="55">
        <f t="shared" si="30"/>
        <v>5</v>
      </c>
      <c r="P175" s="55" t="str">
        <f t="shared" si="27"/>
        <v>[(112,5)]</v>
      </c>
      <c r="Q175">
        <f t="shared" si="28"/>
        <v>3</v>
      </c>
    </row>
    <row r="176" spans="1:17" x14ac:dyDescent="0.15">
      <c r="A176" s="55">
        <v>2</v>
      </c>
      <c r="B176" s="55" t="s">
        <v>3113</v>
      </c>
      <c r="C176" s="55" t="s">
        <v>3114</v>
      </c>
      <c r="D176" s="55">
        <v>7</v>
      </c>
      <c r="E176" s="55" t="s">
        <v>3090</v>
      </c>
      <c r="F176" s="55" t="s">
        <v>3061</v>
      </c>
      <c r="G176" s="55">
        <v>10</v>
      </c>
      <c r="H176" s="55">
        <v>2</v>
      </c>
      <c r="I176" s="55" t="s">
        <v>3265</v>
      </c>
      <c r="J176" s="55" t="s">
        <v>3266</v>
      </c>
      <c r="K176" s="55" t="s">
        <v>3117</v>
      </c>
      <c r="L176" s="55" t="s">
        <v>3118</v>
      </c>
      <c r="M176" s="55">
        <v>13</v>
      </c>
      <c r="N176" s="55">
        <v>10</v>
      </c>
      <c r="O176" s="55">
        <f t="shared" si="30"/>
        <v>5</v>
      </c>
      <c r="P176" s="55" t="str">
        <f t="shared" si="27"/>
        <v>[(112,5)]</v>
      </c>
      <c r="Q176">
        <f t="shared" si="28"/>
        <v>5</v>
      </c>
    </row>
    <row r="177" spans="1:17" x14ac:dyDescent="0.15">
      <c r="A177" s="55">
        <v>2</v>
      </c>
      <c r="B177" s="55" t="s">
        <v>3213</v>
      </c>
      <c r="C177" s="55" t="s">
        <v>3278</v>
      </c>
      <c r="D177" s="55">
        <v>7</v>
      </c>
      <c r="E177" s="55" t="s">
        <v>1580</v>
      </c>
      <c r="F177" s="55" t="s">
        <v>3061</v>
      </c>
      <c r="G177" s="55">
        <v>3</v>
      </c>
      <c r="H177" s="55">
        <v>2</v>
      </c>
      <c r="I177" s="55" t="s">
        <v>3279</v>
      </c>
      <c r="J177" s="55" t="s">
        <v>3279</v>
      </c>
      <c r="K177" s="55" t="s">
        <v>3280</v>
      </c>
      <c r="L177" s="55" t="s">
        <v>3281</v>
      </c>
      <c r="M177" s="55">
        <v>1</v>
      </c>
      <c r="N177" s="55">
        <v>3</v>
      </c>
      <c r="O177" s="55">
        <f t="shared" si="30"/>
        <v>10</v>
      </c>
      <c r="P177" s="55" t="str">
        <f t="shared" si="27"/>
        <v>[(112,10)]</v>
      </c>
      <c r="Q177">
        <f t="shared" si="28"/>
        <v>1.5</v>
      </c>
    </row>
    <row r="178" spans="1:17" x14ac:dyDescent="0.15">
      <c r="A178" s="55">
        <v>2</v>
      </c>
      <c r="B178" s="55" t="s">
        <v>3170</v>
      </c>
      <c r="C178" s="55" t="s">
        <v>3171</v>
      </c>
      <c r="D178" s="55">
        <v>7</v>
      </c>
      <c r="E178" s="55" t="s">
        <v>3221</v>
      </c>
      <c r="F178" s="55" t="s">
        <v>3061</v>
      </c>
      <c r="G178" s="55">
        <v>5</v>
      </c>
      <c r="H178" s="55">
        <v>2</v>
      </c>
      <c r="I178" s="55" t="s">
        <v>3172</v>
      </c>
      <c r="J178" s="55" t="s">
        <v>3173</v>
      </c>
      <c r="K178" s="55" t="s">
        <v>3174</v>
      </c>
      <c r="L178" s="55" t="s">
        <v>3175</v>
      </c>
      <c r="M178" s="55">
        <v>17</v>
      </c>
      <c r="N178" s="55">
        <v>5</v>
      </c>
      <c r="O178" s="55">
        <f t="shared" si="30"/>
        <v>10</v>
      </c>
      <c r="P178" s="55" t="str">
        <f t="shared" si="27"/>
        <v>[(112,10)]</v>
      </c>
      <c r="Q178">
        <f t="shared" si="28"/>
        <v>5</v>
      </c>
    </row>
    <row r="179" spans="1:17" x14ac:dyDescent="0.15">
      <c r="A179" s="55">
        <v>2</v>
      </c>
      <c r="B179" s="55" t="s">
        <v>3205</v>
      </c>
      <c r="C179" s="55" t="s">
        <v>3206</v>
      </c>
      <c r="D179" s="55">
        <v>7</v>
      </c>
      <c r="E179" s="55" t="s">
        <v>3221</v>
      </c>
      <c r="F179" s="55" t="s">
        <v>3207</v>
      </c>
      <c r="G179" s="55">
        <v>5</v>
      </c>
      <c r="H179" s="55">
        <v>2</v>
      </c>
      <c r="I179" s="55" t="s">
        <v>3208</v>
      </c>
      <c r="J179" s="55" t="s">
        <v>3209</v>
      </c>
      <c r="K179" s="55" t="s">
        <v>3210</v>
      </c>
      <c r="L179" s="55" t="s">
        <v>3211</v>
      </c>
      <c r="M179" s="55">
        <v>1</v>
      </c>
      <c r="N179" s="55">
        <v>5</v>
      </c>
      <c r="O179" s="55">
        <f t="shared" si="30"/>
        <v>15</v>
      </c>
      <c r="P179" s="55" t="str">
        <f t="shared" si="27"/>
        <v>[(112,15)]</v>
      </c>
      <c r="Q179">
        <f t="shared" si="28"/>
        <v>5</v>
      </c>
    </row>
    <row r="180" spans="1:17" x14ac:dyDescent="0.15">
      <c r="A180" s="55">
        <v>2</v>
      </c>
      <c r="B180" s="55" t="s">
        <v>3086</v>
      </c>
      <c r="C180" s="55" t="s">
        <v>3095</v>
      </c>
      <c r="D180" s="55">
        <v>7</v>
      </c>
      <c r="E180" s="55" t="s">
        <v>3060</v>
      </c>
      <c r="F180" s="55" t="s">
        <v>3061</v>
      </c>
      <c r="G180" s="55">
        <v>6</v>
      </c>
      <c r="H180" s="55">
        <v>2</v>
      </c>
      <c r="I180" s="55" t="s">
        <v>3096</v>
      </c>
      <c r="J180" s="55" t="s">
        <v>3097</v>
      </c>
      <c r="K180" s="55" t="s">
        <v>3098</v>
      </c>
      <c r="L180" s="55" t="s">
        <v>3099</v>
      </c>
      <c r="M180" s="55">
        <v>1</v>
      </c>
      <c r="N180" s="55">
        <v>6</v>
      </c>
      <c r="O180" s="55">
        <f t="shared" si="30"/>
        <v>20</v>
      </c>
      <c r="P180" s="55" t="str">
        <f t="shared" si="27"/>
        <v>[(112,20)]</v>
      </c>
      <c r="Q180">
        <f t="shared" si="28"/>
        <v>4</v>
      </c>
    </row>
    <row r="181" spans="1:17" x14ac:dyDescent="0.15">
      <c r="A181" s="55">
        <v>2</v>
      </c>
      <c r="B181" s="55" t="s">
        <v>3058</v>
      </c>
      <c r="C181" s="55" t="s">
        <v>3059</v>
      </c>
      <c r="D181" s="55">
        <v>8</v>
      </c>
      <c r="E181" s="55" t="s">
        <v>3221</v>
      </c>
      <c r="F181" s="55" t="s">
        <v>3061</v>
      </c>
      <c r="G181" s="55">
        <v>20</v>
      </c>
      <c r="H181" s="55">
        <v>1</v>
      </c>
      <c r="I181" s="55" t="s">
        <v>3062</v>
      </c>
      <c r="J181" s="55" t="s">
        <v>3063</v>
      </c>
      <c r="K181" s="55" t="s">
        <v>3064</v>
      </c>
      <c r="L181" s="55" t="s">
        <v>3065</v>
      </c>
      <c r="M181" s="55">
        <v>7</v>
      </c>
      <c r="N181" s="55">
        <v>5</v>
      </c>
      <c r="O181" s="55">
        <f t="shared" si="30"/>
        <v>5</v>
      </c>
      <c r="P181" s="55" t="str">
        <f t="shared" si="27"/>
        <v>[(112,5)]</v>
      </c>
      <c r="Q181">
        <f t="shared" si="28"/>
        <v>2.5</v>
      </c>
    </row>
    <row r="182" spans="1:17" x14ac:dyDescent="0.15">
      <c r="A182" s="55">
        <v>2</v>
      </c>
      <c r="B182" s="55" t="s">
        <v>3100</v>
      </c>
      <c r="C182" s="55" t="s">
        <v>3101</v>
      </c>
      <c r="D182" s="55">
        <v>8</v>
      </c>
      <c r="E182" s="55" t="s">
        <v>1650</v>
      </c>
      <c r="F182" s="55" t="s">
        <v>3061</v>
      </c>
      <c r="G182" s="55">
        <v>50</v>
      </c>
      <c r="H182" s="55">
        <v>1</v>
      </c>
      <c r="I182" s="55" t="s">
        <v>3103</v>
      </c>
      <c r="J182" s="55" t="s">
        <v>3104</v>
      </c>
      <c r="K182" s="55" t="s">
        <v>3105</v>
      </c>
      <c r="L182" s="55" t="s">
        <v>3106</v>
      </c>
      <c r="M182" s="55">
        <v>1</v>
      </c>
      <c r="N182" s="55">
        <v>50</v>
      </c>
      <c r="O182" s="55">
        <f t="shared" si="30"/>
        <v>10</v>
      </c>
      <c r="P182" s="55" t="str">
        <f t="shared" si="27"/>
        <v>[(112,10)]</v>
      </c>
      <c r="Q182">
        <f t="shared" si="28"/>
        <v>1.3333333333333333</v>
      </c>
    </row>
    <row r="183" spans="1:17" x14ac:dyDescent="0.15">
      <c r="A183" s="55">
        <v>2</v>
      </c>
      <c r="B183" s="55" t="s">
        <v>3142</v>
      </c>
      <c r="C183" s="55" t="s">
        <v>3143</v>
      </c>
      <c r="D183" s="55">
        <v>8</v>
      </c>
      <c r="E183" s="55" t="s">
        <v>3249</v>
      </c>
      <c r="F183" s="55" t="s">
        <v>3144</v>
      </c>
      <c r="G183" s="55">
        <v>10</v>
      </c>
      <c r="H183" s="55">
        <v>1</v>
      </c>
      <c r="I183" s="55" t="s">
        <v>3145</v>
      </c>
      <c r="J183" s="55" t="s">
        <v>3146</v>
      </c>
      <c r="K183" s="55" t="s">
        <v>3147</v>
      </c>
      <c r="L183" s="55" t="s">
        <v>3148</v>
      </c>
      <c r="M183" s="55">
        <v>1</v>
      </c>
      <c r="N183" s="55">
        <v>10</v>
      </c>
      <c r="O183" s="55">
        <f t="shared" si="30"/>
        <v>10</v>
      </c>
      <c r="P183" s="55" t="str">
        <f t="shared" si="27"/>
        <v>[(112,10)]</v>
      </c>
      <c r="Q183">
        <f t="shared" si="28"/>
        <v>7</v>
      </c>
    </row>
    <row r="184" spans="1:17" x14ac:dyDescent="0.15">
      <c r="A184" s="55">
        <v>2</v>
      </c>
      <c r="B184" s="55" t="s">
        <v>3189</v>
      </c>
      <c r="C184" s="55" t="s">
        <v>3267</v>
      </c>
      <c r="D184" s="55">
        <v>8</v>
      </c>
      <c r="E184" s="55" t="s">
        <v>3248</v>
      </c>
      <c r="F184" s="288" t="s">
        <v>3851</v>
      </c>
      <c r="G184" s="55">
        <v>1</v>
      </c>
      <c r="H184" s="55">
        <v>1</v>
      </c>
      <c r="I184" s="55" t="s">
        <v>3268</v>
      </c>
      <c r="J184" s="55" t="s">
        <v>3269</v>
      </c>
      <c r="K184" s="55" t="s">
        <v>3270</v>
      </c>
      <c r="L184" s="55" t="s">
        <v>3271</v>
      </c>
      <c r="M184" s="55">
        <v>1</v>
      </c>
      <c r="N184" s="55">
        <v>1</v>
      </c>
      <c r="O184" s="55">
        <f t="shared" si="30"/>
        <v>15</v>
      </c>
      <c r="P184" s="55" t="str">
        <f t="shared" si="27"/>
        <v>[(112,15)]</v>
      </c>
      <c r="Q184">
        <f t="shared" si="28"/>
        <v>6.9999999999999991</v>
      </c>
    </row>
    <row r="185" spans="1:17" x14ac:dyDescent="0.15">
      <c r="A185" s="55">
        <v>2</v>
      </c>
      <c r="B185" s="55" t="s">
        <v>3113</v>
      </c>
      <c r="C185" s="55" t="s">
        <v>3114</v>
      </c>
      <c r="D185" s="55">
        <v>8</v>
      </c>
      <c r="E185" s="55" t="s">
        <v>3221</v>
      </c>
      <c r="F185" s="55" t="s">
        <v>3061</v>
      </c>
      <c r="G185" s="55">
        <v>5</v>
      </c>
      <c r="H185" s="55">
        <v>2</v>
      </c>
      <c r="I185" s="55" t="s">
        <v>3265</v>
      </c>
      <c r="J185" s="55" t="s">
        <v>3266</v>
      </c>
      <c r="K185" s="55" t="s">
        <v>3117</v>
      </c>
      <c r="L185" s="55" t="s">
        <v>3118</v>
      </c>
      <c r="M185" s="55">
        <v>13</v>
      </c>
      <c r="N185" s="55">
        <v>5</v>
      </c>
      <c r="O185" s="55">
        <f t="shared" si="30"/>
        <v>5</v>
      </c>
      <c r="P185" s="55" t="str">
        <f t="shared" si="27"/>
        <v>[(112,5)]</v>
      </c>
      <c r="Q185">
        <f t="shared" si="28"/>
        <v>2.5</v>
      </c>
    </row>
    <row r="186" spans="1:17" x14ac:dyDescent="0.15">
      <c r="A186" s="55">
        <v>2</v>
      </c>
      <c r="B186" s="55" t="s">
        <v>3197</v>
      </c>
      <c r="C186" s="55" t="s">
        <v>3198</v>
      </c>
      <c r="D186" s="55">
        <v>8</v>
      </c>
      <c r="E186" s="55" t="s">
        <v>3199</v>
      </c>
      <c r="F186" s="55" t="s">
        <v>3061</v>
      </c>
      <c r="G186" s="55">
        <v>20000</v>
      </c>
      <c r="H186" s="55">
        <v>2</v>
      </c>
      <c r="I186" s="55" t="s">
        <v>3200</v>
      </c>
      <c r="J186" s="55" t="s">
        <v>3201</v>
      </c>
      <c r="K186" s="55" t="s">
        <v>3202</v>
      </c>
      <c r="L186" s="55" t="s">
        <v>3203</v>
      </c>
      <c r="M186" s="55">
        <v>17</v>
      </c>
      <c r="N186" s="55">
        <v>20000</v>
      </c>
      <c r="O186" s="55">
        <f t="shared" si="30"/>
        <v>5</v>
      </c>
      <c r="P186" s="55" t="str">
        <f t="shared" si="27"/>
        <v>[(112,5)]</v>
      </c>
      <c r="Q186">
        <f t="shared" si="28"/>
        <v>5</v>
      </c>
    </row>
    <row r="187" spans="1:17" x14ac:dyDescent="0.15">
      <c r="A187" s="55">
        <v>2</v>
      </c>
      <c r="B187" s="55" t="s">
        <v>3212</v>
      </c>
      <c r="C187" s="55" t="s">
        <v>3260</v>
      </c>
      <c r="D187" s="55">
        <v>8</v>
      </c>
      <c r="E187" s="55" t="s">
        <v>3221</v>
      </c>
      <c r="F187" s="55" t="s">
        <v>3207</v>
      </c>
      <c r="G187" s="55">
        <v>5</v>
      </c>
      <c r="H187" s="55">
        <v>2</v>
      </c>
      <c r="I187" s="55" t="s">
        <v>3261</v>
      </c>
      <c r="J187" s="55" t="s">
        <v>3262</v>
      </c>
      <c r="K187" s="55" t="s">
        <v>3263</v>
      </c>
      <c r="L187" s="55" t="s">
        <v>3264</v>
      </c>
      <c r="M187" s="55">
        <v>1</v>
      </c>
      <c r="N187" s="55">
        <v>5</v>
      </c>
      <c r="O187" s="55">
        <f t="shared" si="30"/>
        <v>10</v>
      </c>
      <c r="P187" s="55" t="str">
        <f t="shared" si="27"/>
        <v>[(112,10)]</v>
      </c>
      <c r="Q187">
        <f t="shared" si="28"/>
        <v>1</v>
      </c>
    </row>
    <row r="188" spans="1:17" x14ac:dyDescent="0.15">
      <c r="A188" s="55">
        <v>2</v>
      </c>
      <c r="B188" s="55" t="s">
        <v>3134</v>
      </c>
      <c r="C188" s="55" t="s">
        <v>3135</v>
      </c>
      <c r="D188" s="55">
        <v>8</v>
      </c>
      <c r="E188" s="55" t="s">
        <v>3187</v>
      </c>
      <c r="F188" s="55" t="s">
        <v>3136</v>
      </c>
      <c r="G188" s="55">
        <v>25</v>
      </c>
      <c r="H188" s="55">
        <v>2</v>
      </c>
      <c r="I188" s="55" t="s">
        <v>3137</v>
      </c>
      <c r="J188" s="55" t="s">
        <v>3138</v>
      </c>
      <c r="K188" s="55" t="s">
        <v>3139</v>
      </c>
      <c r="L188" s="55" t="s">
        <v>3140</v>
      </c>
      <c r="M188" s="55">
        <v>1</v>
      </c>
      <c r="N188" s="55">
        <v>25</v>
      </c>
      <c r="O188" s="55">
        <f t="shared" si="30"/>
        <v>10</v>
      </c>
      <c r="P188" s="55" t="str">
        <f t="shared" si="27"/>
        <v>[(112,10)]</v>
      </c>
      <c r="Q188">
        <f t="shared" si="28"/>
        <v>3.3333333333333335</v>
      </c>
    </row>
    <row r="189" spans="1:17" x14ac:dyDescent="0.15">
      <c r="A189" s="55">
        <v>2</v>
      </c>
      <c r="B189" s="55" t="s">
        <v>3219</v>
      </c>
      <c r="C189" s="55" t="s">
        <v>3223</v>
      </c>
      <c r="D189" s="55">
        <v>8</v>
      </c>
      <c r="E189" s="55" t="s">
        <v>3224</v>
      </c>
      <c r="F189" s="55" t="s">
        <v>3061</v>
      </c>
      <c r="G189" s="55">
        <v>500</v>
      </c>
      <c r="H189" s="55">
        <v>2</v>
      </c>
      <c r="I189" s="55" t="s">
        <v>3225</v>
      </c>
      <c r="J189" s="55" t="s">
        <v>3226</v>
      </c>
      <c r="K189" s="55" t="s">
        <v>3227</v>
      </c>
      <c r="L189" s="55" t="s">
        <v>3228</v>
      </c>
      <c r="M189" s="55">
        <v>17</v>
      </c>
      <c r="N189" s="55">
        <v>500</v>
      </c>
      <c r="O189" s="55">
        <f t="shared" si="30"/>
        <v>15</v>
      </c>
      <c r="P189" s="55" t="str">
        <f t="shared" si="27"/>
        <v>[(112,15)]</v>
      </c>
      <c r="Q189">
        <f t="shared" si="28"/>
        <v>5</v>
      </c>
    </row>
    <row r="190" spans="1:17" x14ac:dyDescent="0.15">
      <c r="A190" s="55">
        <v>2</v>
      </c>
      <c r="B190" s="55" t="s">
        <v>3055</v>
      </c>
      <c r="C190" s="55" t="s">
        <v>3107</v>
      </c>
      <c r="D190" s="55">
        <v>9</v>
      </c>
      <c r="E190" s="55" t="s">
        <v>3188</v>
      </c>
      <c r="F190" s="55" t="s">
        <v>3061</v>
      </c>
      <c r="G190" s="55">
        <v>80</v>
      </c>
      <c r="H190" s="55">
        <v>1</v>
      </c>
      <c r="I190" s="55" t="s">
        <v>3108</v>
      </c>
      <c r="J190" s="55" t="s">
        <v>3109</v>
      </c>
      <c r="K190" s="55" t="s">
        <v>3110</v>
      </c>
      <c r="L190" s="55" t="s">
        <v>3111</v>
      </c>
      <c r="M190" s="55">
        <v>1</v>
      </c>
      <c r="N190" s="55">
        <v>80</v>
      </c>
      <c r="O190" s="55">
        <f t="shared" si="30"/>
        <v>5</v>
      </c>
      <c r="P190" s="55" t="str">
        <f t="shared" si="27"/>
        <v>[(112,5)]</v>
      </c>
      <c r="Q190">
        <f t="shared" si="28"/>
        <v>3.5555555555555558</v>
      </c>
    </row>
    <row r="191" spans="1:17" x14ac:dyDescent="0.15">
      <c r="A191" s="55">
        <v>2</v>
      </c>
      <c r="B191" s="55" t="s">
        <v>3190</v>
      </c>
      <c r="C191" s="55" t="s">
        <v>3191</v>
      </c>
      <c r="D191" s="55">
        <v>9</v>
      </c>
      <c r="E191" s="55" t="s">
        <v>3090</v>
      </c>
      <c r="F191" s="55" t="s">
        <v>3061</v>
      </c>
      <c r="G191" s="55">
        <v>10</v>
      </c>
      <c r="H191" s="55">
        <v>1</v>
      </c>
      <c r="I191" s="55" t="s">
        <v>3192</v>
      </c>
      <c r="J191" s="55" t="s">
        <v>3193</v>
      </c>
      <c r="K191" s="55" t="s">
        <v>3194</v>
      </c>
      <c r="L191" s="55" t="s">
        <v>3195</v>
      </c>
      <c r="M191" s="55">
        <v>11</v>
      </c>
      <c r="N191" s="55">
        <v>10</v>
      </c>
      <c r="O191" s="55">
        <f t="shared" si="30"/>
        <v>10</v>
      </c>
      <c r="P191" s="55" t="str">
        <f t="shared" si="27"/>
        <v>[(112,10)]</v>
      </c>
      <c r="Q191">
        <f t="shared" si="28"/>
        <v>2.5</v>
      </c>
    </row>
    <row r="192" spans="1:17" x14ac:dyDescent="0.15">
      <c r="A192" s="55">
        <v>2</v>
      </c>
      <c r="B192" s="55" t="s">
        <v>3079</v>
      </c>
      <c r="C192" s="55" t="s">
        <v>3080</v>
      </c>
      <c r="D192" s="55">
        <v>9</v>
      </c>
      <c r="E192" s="55" t="s">
        <v>1580</v>
      </c>
      <c r="F192" s="55" t="s">
        <v>3283</v>
      </c>
      <c r="G192" s="55">
        <v>1</v>
      </c>
      <c r="H192" s="55">
        <v>1</v>
      </c>
      <c r="I192" s="55" t="s">
        <v>3082</v>
      </c>
      <c r="J192" s="55" t="s">
        <v>3083</v>
      </c>
      <c r="K192" s="55" t="s">
        <v>3084</v>
      </c>
      <c r="L192" s="55" t="s">
        <v>3085</v>
      </c>
      <c r="M192" s="55">
        <v>1</v>
      </c>
      <c r="N192" s="55">
        <v>1</v>
      </c>
      <c r="O192" s="55">
        <f t="shared" si="30"/>
        <v>10</v>
      </c>
      <c r="P192" s="55" t="str">
        <f t="shared" si="27"/>
        <v>[(112,10)]</v>
      </c>
      <c r="Q192">
        <f t="shared" si="28"/>
        <v>6.9999999999999991</v>
      </c>
    </row>
    <row r="193" spans="1:17" x14ac:dyDescent="0.15">
      <c r="A193" s="55">
        <v>2</v>
      </c>
      <c r="B193" s="55" t="s">
        <v>3076</v>
      </c>
      <c r="C193" s="55" t="s">
        <v>3176</v>
      </c>
      <c r="D193" s="55">
        <v>9</v>
      </c>
      <c r="E193" s="55" t="s">
        <v>3248</v>
      </c>
      <c r="F193" s="55" t="s">
        <v>3061</v>
      </c>
      <c r="G193" s="55">
        <v>20</v>
      </c>
      <c r="H193" s="55">
        <v>1</v>
      </c>
      <c r="I193" s="55" t="s">
        <v>3177</v>
      </c>
      <c r="J193" s="55" t="s">
        <v>3178</v>
      </c>
      <c r="K193" s="55" t="s">
        <v>3721</v>
      </c>
      <c r="L193" s="55" t="s">
        <v>3720</v>
      </c>
      <c r="M193" s="55">
        <v>16</v>
      </c>
      <c r="N193" s="55">
        <v>20</v>
      </c>
      <c r="O193" s="55">
        <f t="shared" si="30"/>
        <v>10</v>
      </c>
      <c r="P193" s="55" t="str">
        <f t="shared" si="27"/>
        <v>[(112,10)]</v>
      </c>
      <c r="Q193">
        <f t="shared" si="28"/>
        <v>7</v>
      </c>
    </row>
    <row r="194" spans="1:17" x14ac:dyDescent="0.15">
      <c r="A194" s="55">
        <v>2</v>
      </c>
      <c r="B194" s="55" t="s">
        <v>3088</v>
      </c>
      <c r="C194" s="55" t="s">
        <v>3089</v>
      </c>
      <c r="D194" s="55">
        <v>9</v>
      </c>
      <c r="E194" s="55" t="s">
        <v>3102</v>
      </c>
      <c r="F194" s="55" t="s">
        <v>3061</v>
      </c>
      <c r="G194" s="55">
        <v>30</v>
      </c>
      <c r="H194" s="55">
        <v>1</v>
      </c>
      <c r="I194" s="55" t="s">
        <v>3091</v>
      </c>
      <c r="J194" s="55" t="s">
        <v>3092</v>
      </c>
      <c r="K194" s="55" t="s">
        <v>3093</v>
      </c>
      <c r="L194" s="55" t="s">
        <v>3094</v>
      </c>
      <c r="M194" s="55">
        <v>1</v>
      </c>
      <c r="N194" s="55">
        <v>30</v>
      </c>
      <c r="O194" s="55">
        <f t="shared" si="30"/>
        <v>15</v>
      </c>
      <c r="P194" s="55" t="str">
        <f t="shared" ref="P194:P235" si="31">"[("&amp;"112,"&amp;O194&amp;")]"</f>
        <v>[(112,15)]</v>
      </c>
      <c r="Q194">
        <f t="shared" si="28"/>
        <v>6.6799999999999988</v>
      </c>
    </row>
    <row r="195" spans="1:17" x14ac:dyDescent="0.15">
      <c r="A195" s="55">
        <v>2</v>
      </c>
      <c r="B195" s="55" t="s">
        <v>3204</v>
      </c>
      <c r="C195" s="55" t="s">
        <v>3229</v>
      </c>
      <c r="D195" s="55">
        <v>9</v>
      </c>
      <c r="E195" s="55" t="s">
        <v>1580</v>
      </c>
      <c r="F195" s="55" t="s">
        <v>3061</v>
      </c>
      <c r="G195" s="55">
        <v>3</v>
      </c>
      <c r="H195" s="55">
        <v>2</v>
      </c>
      <c r="I195" s="55" t="s">
        <v>3230</v>
      </c>
      <c r="J195" s="55" t="s">
        <v>3231</v>
      </c>
      <c r="K195" s="55" t="s">
        <v>3232</v>
      </c>
      <c r="L195" s="55" t="s">
        <v>3233</v>
      </c>
      <c r="M195" s="55">
        <v>0</v>
      </c>
      <c r="N195" s="55">
        <v>3</v>
      </c>
      <c r="O195" s="55">
        <f t="shared" si="30"/>
        <v>5</v>
      </c>
      <c r="P195" s="55" t="str">
        <f t="shared" si="31"/>
        <v>[(112,5)]</v>
      </c>
      <c r="Q195">
        <f t="shared" ref="Q195:Q258" si="32">IF((N195/VLOOKUP(B195,AG:AJ,MATCH("单场参数换算",$AG$1:$AJ$1,0),FALSE))/($AN$2/$AN$1)&gt;7,7,(N195/VLOOKUP(B195,AG:AJ,MATCH("单场参数换算",$AG$1:$AJ$1,0),FALSE))/($AN$2/$AN$1))</f>
        <v>3</v>
      </c>
    </row>
    <row r="196" spans="1:17" x14ac:dyDescent="0.15">
      <c r="A196" s="55">
        <v>2</v>
      </c>
      <c r="B196" s="55" t="s">
        <v>3113</v>
      </c>
      <c r="C196" s="55" t="s">
        <v>3114</v>
      </c>
      <c r="D196" s="55">
        <v>9</v>
      </c>
      <c r="E196" s="55" t="s">
        <v>3090</v>
      </c>
      <c r="F196" s="55" t="s">
        <v>3061</v>
      </c>
      <c r="G196" s="55">
        <v>10</v>
      </c>
      <c r="H196" s="55">
        <v>2</v>
      </c>
      <c r="I196" s="55" t="s">
        <v>3265</v>
      </c>
      <c r="J196" s="55" t="s">
        <v>3266</v>
      </c>
      <c r="K196" s="55" t="s">
        <v>3117</v>
      </c>
      <c r="L196" s="55" t="s">
        <v>3118</v>
      </c>
      <c r="M196" s="55">
        <v>13</v>
      </c>
      <c r="N196" s="55">
        <v>10</v>
      </c>
      <c r="O196" s="55">
        <f t="shared" si="30"/>
        <v>5</v>
      </c>
      <c r="P196" s="55" t="str">
        <f t="shared" si="31"/>
        <v>[(112,5)]</v>
      </c>
      <c r="Q196">
        <f t="shared" si="32"/>
        <v>5</v>
      </c>
    </row>
    <row r="197" spans="1:17" x14ac:dyDescent="0.15">
      <c r="A197" s="55">
        <v>2</v>
      </c>
      <c r="B197" s="55" t="s">
        <v>3212</v>
      </c>
      <c r="C197" s="55" t="s">
        <v>3260</v>
      </c>
      <c r="D197" s="55">
        <v>9</v>
      </c>
      <c r="E197" s="55" t="s">
        <v>3221</v>
      </c>
      <c r="F197" s="55" t="s">
        <v>3207</v>
      </c>
      <c r="G197" s="55">
        <v>5</v>
      </c>
      <c r="H197" s="55">
        <v>2</v>
      </c>
      <c r="I197" s="55" t="s">
        <v>3261</v>
      </c>
      <c r="J197" s="55" t="s">
        <v>3262</v>
      </c>
      <c r="K197" s="55" t="s">
        <v>3263</v>
      </c>
      <c r="L197" s="55" t="s">
        <v>3264</v>
      </c>
      <c r="M197" s="55">
        <v>1</v>
      </c>
      <c r="N197" s="55">
        <v>5</v>
      </c>
      <c r="O197" s="55">
        <f t="shared" si="30"/>
        <v>10</v>
      </c>
      <c r="P197" s="55" t="str">
        <f t="shared" si="31"/>
        <v>[(112,10)]</v>
      </c>
      <c r="Q197">
        <f t="shared" si="32"/>
        <v>1</v>
      </c>
    </row>
    <row r="198" spans="1:17" x14ac:dyDescent="0.15">
      <c r="A198" s="55">
        <v>2</v>
      </c>
      <c r="B198" s="55" t="s">
        <v>3213</v>
      </c>
      <c r="C198" s="55" t="s">
        <v>3278</v>
      </c>
      <c r="D198" s="55">
        <v>9</v>
      </c>
      <c r="E198" s="55" t="s">
        <v>3221</v>
      </c>
      <c r="F198" s="55" t="s">
        <v>3061</v>
      </c>
      <c r="G198" s="55">
        <v>5</v>
      </c>
      <c r="H198" s="55">
        <v>2</v>
      </c>
      <c r="I198" s="55" t="s">
        <v>3279</v>
      </c>
      <c r="J198" s="55" t="s">
        <v>3279</v>
      </c>
      <c r="K198" s="55" t="s">
        <v>3280</v>
      </c>
      <c r="L198" s="55" t="s">
        <v>3281</v>
      </c>
      <c r="M198" s="55">
        <v>1</v>
      </c>
      <c r="N198" s="55">
        <v>5</v>
      </c>
      <c r="O198" s="55">
        <f t="shared" si="30"/>
        <v>10</v>
      </c>
      <c r="P198" s="55" t="str">
        <f t="shared" si="31"/>
        <v>[(112,10)]</v>
      </c>
      <c r="Q198">
        <f t="shared" si="32"/>
        <v>2.5</v>
      </c>
    </row>
    <row r="199" spans="1:17" x14ac:dyDescent="0.15">
      <c r="A199" s="55">
        <v>2</v>
      </c>
      <c r="B199" s="55" t="s">
        <v>3086</v>
      </c>
      <c r="C199" s="55" t="s">
        <v>3095</v>
      </c>
      <c r="D199" s="55">
        <v>9</v>
      </c>
      <c r="E199" s="55" t="s">
        <v>3060</v>
      </c>
      <c r="F199" s="55" t="s">
        <v>3061</v>
      </c>
      <c r="G199" s="55">
        <v>6</v>
      </c>
      <c r="H199" s="55">
        <v>2</v>
      </c>
      <c r="I199" s="55" t="s">
        <v>3096</v>
      </c>
      <c r="J199" s="55" t="s">
        <v>3097</v>
      </c>
      <c r="K199" s="55" t="s">
        <v>3098</v>
      </c>
      <c r="L199" s="55" t="s">
        <v>3099</v>
      </c>
      <c r="M199" s="55">
        <v>1</v>
      </c>
      <c r="N199" s="55">
        <v>6</v>
      </c>
      <c r="O199" s="55">
        <f t="shared" si="30"/>
        <v>20</v>
      </c>
      <c r="P199" s="55" t="str">
        <f t="shared" si="31"/>
        <v>[(112,20)]</v>
      </c>
      <c r="Q199">
        <f t="shared" si="32"/>
        <v>4</v>
      </c>
    </row>
    <row r="200" spans="1:17" x14ac:dyDescent="0.15">
      <c r="A200" s="55">
        <v>2</v>
      </c>
      <c r="B200" s="55" t="s">
        <v>3149</v>
      </c>
      <c r="C200" s="55" t="s">
        <v>3150</v>
      </c>
      <c r="D200" s="55">
        <v>10</v>
      </c>
      <c r="E200" s="55" t="s">
        <v>3291</v>
      </c>
      <c r="F200" s="55" t="s">
        <v>3061</v>
      </c>
      <c r="G200" s="55">
        <v>300</v>
      </c>
      <c r="H200" s="55">
        <v>1</v>
      </c>
      <c r="I200" s="55" t="s">
        <v>3151</v>
      </c>
      <c r="J200" s="55" t="s">
        <v>3152</v>
      </c>
      <c r="K200" s="55" t="s">
        <v>3153</v>
      </c>
      <c r="L200" s="55" t="s">
        <v>3154</v>
      </c>
      <c r="M200" s="55">
        <v>1</v>
      </c>
      <c r="N200" s="55">
        <v>300</v>
      </c>
      <c r="O200" s="55">
        <f t="shared" si="30"/>
        <v>5</v>
      </c>
      <c r="P200" s="55" t="str">
        <f t="shared" si="31"/>
        <v>[(112,5)]</v>
      </c>
      <c r="Q200">
        <f t="shared" si="32"/>
        <v>1.6</v>
      </c>
    </row>
    <row r="201" spans="1:17" x14ac:dyDescent="0.15">
      <c r="A201" s="55">
        <v>2</v>
      </c>
      <c r="B201" s="55" t="s">
        <v>3058</v>
      </c>
      <c r="C201" s="55" t="s">
        <v>3059</v>
      </c>
      <c r="D201" s="55">
        <v>10</v>
      </c>
      <c r="E201" s="55" t="s">
        <v>3248</v>
      </c>
      <c r="F201" s="55" t="s">
        <v>3061</v>
      </c>
      <c r="G201" s="55">
        <v>20</v>
      </c>
      <c r="H201" s="55">
        <v>1</v>
      </c>
      <c r="I201" s="55" t="s">
        <v>3062</v>
      </c>
      <c r="J201" s="55" t="s">
        <v>3063</v>
      </c>
      <c r="K201" s="55" t="s">
        <v>3064</v>
      </c>
      <c r="L201" s="55" t="s">
        <v>3065</v>
      </c>
      <c r="M201" s="55">
        <v>7</v>
      </c>
      <c r="N201" s="55">
        <v>20</v>
      </c>
      <c r="O201" s="55">
        <f t="shared" si="30"/>
        <v>5</v>
      </c>
      <c r="P201" s="55" t="str">
        <f t="shared" si="31"/>
        <v>[(112,5)]</v>
      </c>
      <c r="Q201">
        <f t="shared" si="32"/>
        <v>7</v>
      </c>
    </row>
    <row r="202" spans="1:17" x14ac:dyDescent="0.15">
      <c r="A202" s="55">
        <v>2</v>
      </c>
      <c r="B202" s="55" t="s">
        <v>3119</v>
      </c>
      <c r="C202" s="55" t="s">
        <v>3164</v>
      </c>
      <c r="D202" s="55">
        <v>10</v>
      </c>
      <c r="E202" s="55" t="s">
        <v>1580</v>
      </c>
      <c r="F202" s="55" t="s">
        <v>3165</v>
      </c>
      <c r="G202" s="55">
        <v>1</v>
      </c>
      <c r="H202" s="55">
        <v>1</v>
      </c>
      <c r="I202" s="55" t="s">
        <v>3166</v>
      </c>
      <c r="J202" s="55" t="s">
        <v>3167</v>
      </c>
      <c r="K202" s="55" t="s">
        <v>3168</v>
      </c>
      <c r="L202" s="55" t="s">
        <v>3169</v>
      </c>
      <c r="M202" s="55">
        <v>1</v>
      </c>
      <c r="N202" s="55">
        <v>1</v>
      </c>
      <c r="O202" s="55">
        <f t="shared" ref="O202:O265" si="33">VLOOKUP(B202,AG:AK,5,FALSE)</f>
        <v>10</v>
      </c>
      <c r="P202" s="55" t="str">
        <f t="shared" si="31"/>
        <v>[(112,10)]</v>
      </c>
      <c r="Q202">
        <f t="shared" si="32"/>
        <v>0.13333333333333333</v>
      </c>
    </row>
    <row r="203" spans="1:17" x14ac:dyDescent="0.15">
      <c r="A203" s="55">
        <v>2</v>
      </c>
      <c r="B203" s="55" t="s">
        <v>3100</v>
      </c>
      <c r="C203" s="55" t="s">
        <v>3101</v>
      </c>
      <c r="D203" s="55">
        <v>10</v>
      </c>
      <c r="E203" s="55" t="s">
        <v>1650</v>
      </c>
      <c r="F203" s="55" t="s">
        <v>3061</v>
      </c>
      <c r="G203" s="55">
        <v>50</v>
      </c>
      <c r="H203" s="55">
        <v>1</v>
      </c>
      <c r="I203" s="55" t="s">
        <v>3103</v>
      </c>
      <c r="J203" s="55" t="s">
        <v>3104</v>
      </c>
      <c r="K203" s="55" t="s">
        <v>3105</v>
      </c>
      <c r="L203" s="55" t="s">
        <v>3106</v>
      </c>
      <c r="M203" s="55">
        <v>1</v>
      </c>
      <c r="N203" s="55">
        <v>50</v>
      </c>
      <c r="O203" s="55">
        <f t="shared" si="33"/>
        <v>10</v>
      </c>
      <c r="P203" s="55" t="str">
        <f t="shared" si="31"/>
        <v>[(112,10)]</v>
      </c>
      <c r="Q203">
        <f t="shared" si="32"/>
        <v>1.3333333333333333</v>
      </c>
    </row>
    <row r="204" spans="1:17" x14ac:dyDescent="0.15">
      <c r="A204" s="55">
        <v>2</v>
      </c>
      <c r="B204" s="55" t="s">
        <v>3048</v>
      </c>
      <c r="C204" s="55" t="s">
        <v>3049</v>
      </c>
      <c r="D204" s="55">
        <v>10</v>
      </c>
      <c r="E204" s="55" t="s">
        <v>1580</v>
      </c>
      <c r="F204" s="55" t="s">
        <v>3050</v>
      </c>
      <c r="G204" s="55">
        <v>1</v>
      </c>
      <c r="H204" s="55">
        <v>1</v>
      </c>
      <c r="I204" s="55" t="s">
        <v>3051</v>
      </c>
      <c r="J204" s="55" t="s">
        <v>3052</v>
      </c>
      <c r="K204" s="55" t="s">
        <v>3053</v>
      </c>
      <c r="L204" s="55" t="s">
        <v>3054</v>
      </c>
      <c r="M204" s="55">
        <v>1</v>
      </c>
      <c r="N204" s="55">
        <v>1</v>
      </c>
      <c r="O204" s="55">
        <f t="shared" si="33"/>
        <v>10</v>
      </c>
      <c r="P204" s="55" t="str">
        <f t="shared" si="31"/>
        <v>[(112,10)]</v>
      </c>
      <c r="Q204">
        <f t="shared" si="32"/>
        <v>2</v>
      </c>
    </row>
    <row r="205" spans="1:17" x14ac:dyDescent="0.15">
      <c r="A205" s="55">
        <v>2</v>
      </c>
      <c r="B205" s="55" t="s">
        <v>3197</v>
      </c>
      <c r="C205" s="55" t="s">
        <v>3198</v>
      </c>
      <c r="D205" s="55">
        <v>10</v>
      </c>
      <c r="E205" s="55" t="s">
        <v>3199</v>
      </c>
      <c r="F205" s="55" t="s">
        <v>3061</v>
      </c>
      <c r="G205" s="55">
        <v>20000</v>
      </c>
      <c r="H205" s="55">
        <v>2</v>
      </c>
      <c r="I205" s="55" t="s">
        <v>3200</v>
      </c>
      <c r="J205" s="55" t="s">
        <v>3201</v>
      </c>
      <c r="K205" s="55" t="s">
        <v>3202</v>
      </c>
      <c r="L205" s="55" t="s">
        <v>3203</v>
      </c>
      <c r="M205" s="55">
        <v>17</v>
      </c>
      <c r="N205" s="55">
        <v>20000</v>
      </c>
      <c r="O205" s="55">
        <f t="shared" si="33"/>
        <v>5</v>
      </c>
      <c r="P205" s="55" t="str">
        <f t="shared" si="31"/>
        <v>[(112,5)]</v>
      </c>
      <c r="Q205">
        <f t="shared" si="32"/>
        <v>5</v>
      </c>
    </row>
    <row r="206" spans="1:17" x14ac:dyDescent="0.15">
      <c r="A206" s="55">
        <v>2</v>
      </c>
      <c r="B206" s="55" t="s">
        <v>3213</v>
      </c>
      <c r="C206" s="55" t="s">
        <v>3278</v>
      </c>
      <c r="D206" s="55">
        <v>10</v>
      </c>
      <c r="E206" s="55" t="s">
        <v>3221</v>
      </c>
      <c r="F206" s="55" t="s">
        <v>3061</v>
      </c>
      <c r="G206" s="55">
        <v>5</v>
      </c>
      <c r="H206" s="55">
        <v>2</v>
      </c>
      <c r="I206" s="55" t="s">
        <v>3279</v>
      </c>
      <c r="J206" s="55" t="s">
        <v>3279</v>
      </c>
      <c r="K206" s="55" t="s">
        <v>3280</v>
      </c>
      <c r="L206" s="55" t="s">
        <v>3281</v>
      </c>
      <c r="M206" s="55">
        <v>1</v>
      </c>
      <c r="N206" s="55">
        <v>5</v>
      </c>
      <c r="O206" s="55">
        <f t="shared" si="33"/>
        <v>10</v>
      </c>
      <c r="P206" s="55" t="str">
        <f t="shared" si="31"/>
        <v>[(112,10)]</v>
      </c>
      <c r="Q206">
        <f t="shared" si="32"/>
        <v>2.5</v>
      </c>
    </row>
    <row r="207" spans="1:17" x14ac:dyDescent="0.15">
      <c r="A207" s="55">
        <v>2</v>
      </c>
      <c r="B207" s="55" t="s">
        <v>3112</v>
      </c>
      <c r="C207" s="55" t="s">
        <v>3158</v>
      </c>
      <c r="D207" s="55">
        <v>10</v>
      </c>
      <c r="E207" s="55" t="s">
        <v>1580</v>
      </c>
      <c r="F207" s="55" t="s">
        <v>3061</v>
      </c>
      <c r="G207" s="55">
        <v>3</v>
      </c>
      <c r="H207" s="55">
        <v>2</v>
      </c>
      <c r="I207" s="55" t="s">
        <v>3159</v>
      </c>
      <c r="J207" s="55" t="s">
        <v>3160</v>
      </c>
      <c r="K207" s="55" t="s">
        <v>3161</v>
      </c>
      <c r="L207" s="55" t="s">
        <v>3162</v>
      </c>
      <c r="M207" s="55">
        <v>14</v>
      </c>
      <c r="N207" s="55">
        <v>3</v>
      </c>
      <c r="O207" s="55">
        <f t="shared" si="33"/>
        <v>10</v>
      </c>
      <c r="P207" s="55" t="str">
        <f t="shared" si="31"/>
        <v>[(112,10)]</v>
      </c>
      <c r="Q207">
        <f t="shared" si="32"/>
        <v>6</v>
      </c>
    </row>
    <row r="208" spans="1:17" x14ac:dyDescent="0.15">
      <c r="A208" s="55">
        <v>2</v>
      </c>
      <c r="B208" s="55" t="s">
        <v>3134</v>
      </c>
      <c r="C208" s="55" t="s">
        <v>3135</v>
      </c>
      <c r="D208" s="55">
        <v>10</v>
      </c>
      <c r="E208" s="55" t="s">
        <v>1650</v>
      </c>
      <c r="F208" s="55" t="s">
        <v>3136</v>
      </c>
      <c r="G208" s="55">
        <v>50</v>
      </c>
      <c r="H208" s="55">
        <v>2</v>
      </c>
      <c r="I208" s="55" t="s">
        <v>3137</v>
      </c>
      <c r="J208" s="55" t="s">
        <v>3138</v>
      </c>
      <c r="K208" s="55" t="s">
        <v>3139</v>
      </c>
      <c r="L208" s="55" t="s">
        <v>3140</v>
      </c>
      <c r="M208" s="55">
        <v>1</v>
      </c>
      <c r="N208" s="55">
        <v>50</v>
      </c>
      <c r="O208" s="55">
        <f t="shared" si="33"/>
        <v>10</v>
      </c>
      <c r="P208" s="55" t="str">
        <f t="shared" si="31"/>
        <v>[(112,10)]</v>
      </c>
      <c r="Q208">
        <f t="shared" si="32"/>
        <v>6.666666666666667</v>
      </c>
    </row>
    <row r="209" spans="1:17" x14ac:dyDescent="0.15">
      <c r="A209" s="55">
        <v>2</v>
      </c>
      <c r="B209" s="55" t="s">
        <v>3205</v>
      </c>
      <c r="C209" s="55" t="s">
        <v>3206</v>
      </c>
      <c r="D209" s="55">
        <v>10</v>
      </c>
      <c r="E209" s="55" t="s">
        <v>3248</v>
      </c>
      <c r="F209" s="55" t="s">
        <v>3207</v>
      </c>
      <c r="G209" s="55">
        <v>20</v>
      </c>
      <c r="H209" s="55">
        <v>2</v>
      </c>
      <c r="I209" s="55" t="s">
        <v>3208</v>
      </c>
      <c r="J209" s="55" t="s">
        <v>3209</v>
      </c>
      <c r="K209" s="55" t="s">
        <v>3210</v>
      </c>
      <c r="L209" s="55" t="s">
        <v>3211</v>
      </c>
      <c r="M209" s="55">
        <v>1</v>
      </c>
      <c r="N209" s="55">
        <v>20</v>
      </c>
      <c r="O209" s="55">
        <f t="shared" si="33"/>
        <v>15</v>
      </c>
      <c r="P209" s="55" t="str">
        <f t="shared" si="31"/>
        <v>[(112,15)]</v>
      </c>
      <c r="Q209">
        <f t="shared" si="32"/>
        <v>7</v>
      </c>
    </row>
    <row r="210" spans="1:17" x14ac:dyDescent="0.15">
      <c r="A210" s="55">
        <v>2</v>
      </c>
      <c r="B210" s="55" t="s">
        <v>3086</v>
      </c>
      <c r="C210" s="55" t="s">
        <v>3095</v>
      </c>
      <c r="D210" s="55">
        <v>10</v>
      </c>
      <c r="E210" s="55" t="s">
        <v>3241</v>
      </c>
      <c r="F210" s="55" t="s">
        <v>3061</v>
      </c>
      <c r="G210" s="55">
        <v>8</v>
      </c>
      <c r="H210" s="55">
        <v>2</v>
      </c>
      <c r="I210" s="55" t="s">
        <v>3096</v>
      </c>
      <c r="J210" s="55" t="s">
        <v>3097</v>
      </c>
      <c r="K210" s="55" t="s">
        <v>3098</v>
      </c>
      <c r="L210" s="55" t="s">
        <v>3099</v>
      </c>
      <c r="M210" s="55">
        <v>1</v>
      </c>
      <c r="N210" s="55">
        <v>8</v>
      </c>
      <c r="O210" s="55">
        <f t="shared" si="33"/>
        <v>20</v>
      </c>
      <c r="P210" s="55" t="str">
        <f t="shared" si="31"/>
        <v>[(112,20)]</v>
      </c>
      <c r="Q210">
        <f t="shared" si="32"/>
        <v>5.333333333333333</v>
      </c>
    </row>
    <row r="211" spans="1:17" x14ac:dyDescent="0.15">
      <c r="A211" s="295">
        <v>3</v>
      </c>
      <c r="B211" s="295" t="s">
        <v>3197</v>
      </c>
      <c r="C211" s="295" t="s">
        <v>3198</v>
      </c>
      <c r="D211" s="295">
        <v>1</v>
      </c>
      <c r="E211" s="295" t="s">
        <v>3289</v>
      </c>
      <c r="F211" s="295" t="s">
        <v>3061</v>
      </c>
      <c r="G211" s="295">
        <v>2000</v>
      </c>
      <c r="H211" s="295">
        <v>1</v>
      </c>
      <c r="I211" s="295" t="s">
        <v>3200</v>
      </c>
      <c r="J211" s="295" t="s">
        <v>3201</v>
      </c>
      <c r="K211" s="295" t="s">
        <v>3202</v>
      </c>
      <c r="L211" s="295" t="s">
        <v>3203</v>
      </c>
      <c r="M211" s="295">
        <v>17</v>
      </c>
      <c r="N211" s="295">
        <v>2000</v>
      </c>
      <c r="O211" s="295">
        <f t="shared" si="33"/>
        <v>5</v>
      </c>
      <c r="P211" s="295" t="str">
        <f t="shared" si="31"/>
        <v>[(112,5)]</v>
      </c>
      <c r="Q211">
        <f t="shared" si="32"/>
        <v>0.49999999999999994</v>
      </c>
    </row>
    <row r="212" spans="1:17" x14ac:dyDescent="0.15">
      <c r="A212" s="295">
        <v>3</v>
      </c>
      <c r="B212" s="295" t="s">
        <v>3197</v>
      </c>
      <c r="C212" s="295" t="s">
        <v>3198</v>
      </c>
      <c r="D212" s="295">
        <v>1</v>
      </c>
      <c r="E212" s="296" t="s">
        <v>3290</v>
      </c>
      <c r="F212" s="295" t="s">
        <v>3061</v>
      </c>
      <c r="G212" s="295">
        <v>5000</v>
      </c>
      <c r="H212" s="295">
        <v>1</v>
      </c>
      <c r="I212" s="295" t="s">
        <v>3200</v>
      </c>
      <c r="J212" s="295" t="s">
        <v>3201</v>
      </c>
      <c r="K212" s="295" t="s">
        <v>3202</v>
      </c>
      <c r="L212" s="295" t="s">
        <v>3203</v>
      </c>
      <c r="M212" s="295">
        <v>17</v>
      </c>
      <c r="N212" s="295">
        <v>5000</v>
      </c>
      <c r="O212" s="295">
        <f t="shared" si="33"/>
        <v>5</v>
      </c>
      <c r="P212" s="295" t="str">
        <f t="shared" si="31"/>
        <v>[(112,5)]</v>
      </c>
      <c r="Q212">
        <f t="shared" si="32"/>
        <v>1.25</v>
      </c>
    </row>
    <row r="213" spans="1:17" x14ac:dyDescent="0.15">
      <c r="A213" s="295">
        <v>3</v>
      </c>
      <c r="B213" s="295" t="s">
        <v>3055</v>
      </c>
      <c r="C213" s="295" t="s">
        <v>3107</v>
      </c>
      <c r="D213" s="295">
        <v>1</v>
      </c>
      <c r="E213" s="295" t="s">
        <v>3102</v>
      </c>
      <c r="F213" s="295" t="s">
        <v>3061</v>
      </c>
      <c r="G213" s="295">
        <v>30</v>
      </c>
      <c r="H213" s="295">
        <v>1</v>
      </c>
      <c r="I213" s="295" t="s">
        <v>3108</v>
      </c>
      <c r="J213" s="295" t="s">
        <v>3109</v>
      </c>
      <c r="K213" s="295" t="s">
        <v>3110</v>
      </c>
      <c r="L213" s="295" t="s">
        <v>3111</v>
      </c>
      <c r="M213" s="295">
        <v>1</v>
      </c>
      <c r="N213" s="295">
        <v>30</v>
      </c>
      <c r="O213" s="295">
        <f t="shared" si="33"/>
        <v>5</v>
      </c>
      <c r="P213" s="295" t="str">
        <f t="shared" si="31"/>
        <v>[(112,5)]</v>
      </c>
      <c r="Q213">
        <f t="shared" si="32"/>
        <v>1.3333333333333333</v>
      </c>
    </row>
    <row r="214" spans="1:17" x14ac:dyDescent="0.15">
      <c r="A214" s="295">
        <v>3</v>
      </c>
      <c r="B214" s="295" t="s">
        <v>3055</v>
      </c>
      <c r="C214" s="295" t="s">
        <v>3107</v>
      </c>
      <c r="D214" s="295">
        <v>1</v>
      </c>
      <c r="E214" s="295" t="s">
        <v>1647</v>
      </c>
      <c r="F214" s="295" t="s">
        <v>3061</v>
      </c>
      <c r="G214" s="295">
        <v>60</v>
      </c>
      <c r="H214" s="295">
        <v>1</v>
      </c>
      <c r="I214" s="295" t="s">
        <v>3108</v>
      </c>
      <c r="J214" s="295" t="s">
        <v>3109</v>
      </c>
      <c r="K214" s="295" t="s">
        <v>3110</v>
      </c>
      <c r="L214" s="295" t="s">
        <v>3111</v>
      </c>
      <c r="M214" s="295">
        <v>1</v>
      </c>
      <c r="N214" s="295">
        <v>60</v>
      </c>
      <c r="O214" s="295">
        <f t="shared" si="33"/>
        <v>5</v>
      </c>
      <c r="P214" s="295" t="str">
        <f t="shared" si="31"/>
        <v>[(112,5)]</v>
      </c>
      <c r="Q214">
        <f t="shared" si="32"/>
        <v>2.6666666666666665</v>
      </c>
    </row>
    <row r="215" spans="1:17" x14ac:dyDescent="0.15">
      <c r="A215" s="295">
        <v>3</v>
      </c>
      <c r="B215" s="295" t="s">
        <v>3055</v>
      </c>
      <c r="C215" s="295" t="s">
        <v>3107</v>
      </c>
      <c r="D215" s="295">
        <v>1</v>
      </c>
      <c r="E215" s="295" t="s">
        <v>1648</v>
      </c>
      <c r="F215" s="295" t="s">
        <v>3061</v>
      </c>
      <c r="G215" s="295">
        <v>100</v>
      </c>
      <c r="H215" s="295">
        <v>1</v>
      </c>
      <c r="I215" s="295" t="s">
        <v>3108</v>
      </c>
      <c r="J215" s="295" t="s">
        <v>3109</v>
      </c>
      <c r="K215" s="295" t="s">
        <v>3110</v>
      </c>
      <c r="L215" s="295" t="s">
        <v>3111</v>
      </c>
      <c r="M215" s="295">
        <v>1</v>
      </c>
      <c r="N215" s="295">
        <v>100</v>
      </c>
      <c r="O215" s="295">
        <f t="shared" si="33"/>
        <v>5</v>
      </c>
      <c r="P215" s="295" t="str">
        <f t="shared" si="31"/>
        <v>[(112,5)]</v>
      </c>
      <c r="Q215">
        <f t="shared" si="32"/>
        <v>4.4444444444444446</v>
      </c>
    </row>
    <row r="216" spans="1:17" x14ac:dyDescent="0.15">
      <c r="A216" s="295">
        <v>3</v>
      </c>
      <c r="B216" s="295" t="s">
        <v>3048</v>
      </c>
      <c r="C216" s="295" t="s">
        <v>3049</v>
      </c>
      <c r="D216" s="295">
        <v>1</v>
      </c>
      <c r="E216" s="295" t="s">
        <v>1580</v>
      </c>
      <c r="F216" s="295" t="s">
        <v>3050</v>
      </c>
      <c r="G216" s="295">
        <v>1</v>
      </c>
      <c r="H216" s="295">
        <v>1</v>
      </c>
      <c r="I216" s="295" t="s">
        <v>3051</v>
      </c>
      <c r="J216" s="295" t="s">
        <v>3052</v>
      </c>
      <c r="K216" s="295" t="s">
        <v>3053</v>
      </c>
      <c r="L216" s="295" t="s">
        <v>3054</v>
      </c>
      <c r="M216" s="295">
        <v>1</v>
      </c>
      <c r="N216" s="295">
        <v>1</v>
      </c>
      <c r="O216" s="295">
        <f t="shared" si="33"/>
        <v>10</v>
      </c>
      <c r="P216" s="295" t="str">
        <f t="shared" si="31"/>
        <v>[(112,10)]</v>
      </c>
      <c r="Q216">
        <f t="shared" si="32"/>
        <v>2</v>
      </c>
    </row>
    <row r="217" spans="1:17" x14ac:dyDescent="0.15">
      <c r="A217" s="295">
        <v>3</v>
      </c>
      <c r="B217" s="295" t="s">
        <v>3180</v>
      </c>
      <c r="C217" s="295" t="s">
        <v>3181</v>
      </c>
      <c r="D217" s="295">
        <v>1</v>
      </c>
      <c r="E217" s="295" t="s">
        <v>3070</v>
      </c>
      <c r="F217" s="295" t="s">
        <v>3061</v>
      </c>
      <c r="G217" s="295">
        <v>4</v>
      </c>
      <c r="H217" s="295">
        <v>1</v>
      </c>
      <c r="I217" s="295" t="s">
        <v>3182</v>
      </c>
      <c r="J217" s="295" t="s">
        <v>3183</v>
      </c>
      <c r="K217" s="295" t="s">
        <v>3184</v>
      </c>
      <c r="L217" s="295" t="s">
        <v>3185</v>
      </c>
      <c r="M217" s="295">
        <v>8</v>
      </c>
      <c r="N217" s="295">
        <v>4</v>
      </c>
      <c r="O217" s="295">
        <f t="shared" si="33"/>
        <v>10</v>
      </c>
      <c r="P217" s="295" t="str">
        <f t="shared" si="31"/>
        <v>[(112,10)]</v>
      </c>
      <c r="Q217">
        <f t="shared" si="32"/>
        <v>2</v>
      </c>
    </row>
    <row r="218" spans="1:17" x14ac:dyDescent="0.15">
      <c r="A218" s="295">
        <v>3</v>
      </c>
      <c r="B218" s="297" t="s">
        <v>3968</v>
      </c>
      <c r="C218" s="295" t="s">
        <v>3069</v>
      </c>
      <c r="D218" s="295">
        <v>1</v>
      </c>
      <c r="E218" s="295" t="s">
        <v>3070</v>
      </c>
      <c r="F218" s="295" t="s">
        <v>3071</v>
      </c>
      <c r="G218" s="295">
        <v>1</v>
      </c>
      <c r="H218" s="295">
        <v>1</v>
      </c>
      <c r="I218" s="295" t="s">
        <v>3072</v>
      </c>
      <c r="J218" s="295" t="s">
        <v>3073</v>
      </c>
      <c r="K218" s="295" t="s">
        <v>3074</v>
      </c>
      <c r="L218" s="295" t="s">
        <v>3075</v>
      </c>
      <c r="M218" s="295">
        <v>1</v>
      </c>
      <c r="N218" s="295">
        <v>1</v>
      </c>
      <c r="O218" s="295">
        <f t="shared" si="33"/>
        <v>10</v>
      </c>
      <c r="P218" s="295" t="str">
        <f t="shared" si="31"/>
        <v>[(112,10)]</v>
      </c>
      <c r="Q218">
        <f t="shared" si="32"/>
        <v>3</v>
      </c>
    </row>
    <row r="219" spans="1:17" x14ac:dyDescent="0.15">
      <c r="A219" s="295">
        <v>3</v>
      </c>
      <c r="B219" s="295" t="s">
        <v>3088</v>
      </c>
      <c r="C219" s="295" t="s">
        <v>3089</v>
      </c>
      <c r="D219" s="295">
        <v>1</v>
      </c>
      <c r="E219" s="295" t="s">
        <v>3248</v>
      </c>
      <c r="F219" s="295" t="s">
        <v>3061</v>
      </c>
      <c r="G219" s="295">
        <v>20</v>
      </c>
      <c r="H219" s="295">
        <v>1</v>
      </c>
      <c r="I219" s="295" t="s">
        <v>3091</v>
      </c>
      <c r="J219" s="295" t="s">
        <v>3092</v>
      </c>
      <c r="K219" s="295" t="s">
        <v>3093</v>
      </c>
      <c r="L219" s="295" t="s">
        <v>3094</v>
      </c>
      <c r="M219" s="295">
        <v>1</v>
      </c>
      <c r="N219" s="295">
        <v>20</v>
      </c>
      <c r="O219" s="295">
        <f t="shared" si="33"/>
        <v>15</v>
      </c>
      <c r="P219" s="295" t="str">
        <f t="shared" si="31"/>
        <v>[(112,15)]</v>
      </c>
      <c r="Q219">
        <f t="shared" si="32"/>
        <v>4.4533333333333331</v>
      </c>
    </row>
    <row r="220" spans="1:17" x14ac:dyDescent="0.15">
      <c r="A220" s="295">
        <v>3</v>
      </c>
      <c r="B220" s="295" t="s">
        <v>3113</v>
      </c>
      <c r="C220" s="295" t="s">
        <v>3114</v>
      </c>
      <c r="D220" s="295">
        <v>1</v>
      </c>
      <c r="E220" s="295" t="s">
        <v>1580</v>
      </c>
      <c r="F220" s="295" t="s">
        <v>3061</v>
      </c>
      <c r="G220" s="295">
        <v>3</v>
      </c>
      <c r="H220" s="295">
        <v>2</v>
      </c>
      <c r="I220" s="295" t="s">
        <v>3115</v>
      </c>
      <c r="J220" s="295" t="s">
        <v>3116</v>
      </c>
      <c r="K220" s="295" t="s">
        <v>3117</v>
      </c>
      <c r="L220" s="295" t="s">
        <v>3118</v>
      </c>
      <c r="M220" s="295">
        <v>13</v>
      </c>
      <c r="N220" s="295">
        <v>3</v>
      </c>
      <c r="O220" s="295">
        <f t="shared" si="33"/>
        <v>5</v>
      </c>
      <c r="P220" s="295" t="str">
        <f t="shared" si="31"/>
        <v>[(112,5)]</v>
      </c>
      <c r="Q220">
        <f t="shared" si="32"/>
        <v>1.5</v>
      </c>
    </row>
    <row r="221" spans="1:17" x14ac:dyDescent="0.15">
      <c r="A221" s="295">
        <v>3</v>
      </c>
      <c r="B221" s="295" t="s">
        <v>3946</v>
      </c>
      <c r="C221" s="295" t="s">
        <v>3962</v>
      </c>
      <c r="D221" s="295">
        <v>1</v>
      </c>
      <c r="E221" s="295" t="s">
        <v>3221</v>
      </c>
      <c r="F221" s="295" t="s">
        <v>3963</v>
      </c>
      <c r="G221" s="295">
        <v>5</v>
      </c>
      <c r="H221" s="295">
        <v>2</v>
      </c>
      <c r="I221" s="295" t="s">
        <v>3964</v>
      </c>
      <c r="J221" s="295" t="s">
        <v>3965</v>
      </c>
      <c r="K221" s="295" t="s">
        <v>3966</v>
      </c>
      <c r="L221" s="295" t="s">
        <v>3967</v>
      </c>
      <c r="M221" s="295">
        <v>1</v>
      </c>
      <c r="N221" s="295">
        <v>5</v>
      </c>
      <c r="O221" s="295">
        <f t="shared" si="33"/>
        <v>10</v>
      </c>
      <c r="P221" s="295" t="str">
        <f t="shared" si="31"/>
        <v>[(112,10)]</v>
      </c>
      <c r="Q221">
        <f t="shared" si="32"/>
        <v>2.5</v>
      </c>
    </row>
    <row r="222" spans="1:17" x14ac:dyDescent="0.15">
      <c r="A222" s="295">
        <v>3</v>
      </c>
      <c r="B222" s="295" t="s">
        <v>3120</v>
      </c>
      <c r="C222" s="295" t="s">
        <v>3121</v>
      </c>
      <c r="D222" s="295">
        <v>1</v>
      </c>
      <c r="E222" s="295" t="s">
        <v>3156</v>
      </c>
      <c r="F222" s="295" t="s">
        <v>3061</v>
      </c>
      <c r="G222" s="295">
        <v>15</v>
      </c>
      <c r="H222" s="295">
        <v>2</v>
      </c>
      <c r="I222" s="295" t="s">
        <v>3122</v>
      </c>
      <c r="J222" s="295" t="s">
        <v>3123</v>
      </c>
      <c r="K222" s="295" t="s">
        <v>3124</v>
      </c>
      <c r="L222" s="295" t="s">
        <v>3125</v>
      </c>
      <c r="M222" s="295">
        <v>1</v>
      </c>
      <c r="N222" s="295">
        <v>15</v>
      </c>
      <c r="O222" s="295">
        <f t="shared" si="33"/>
        <v>15</v>
      </c>
      <c r="P222" s="295" t="str">
        <f t="shared" si="31"/>
        <v>[(112,15)]</v>
      </c>
      <c r="Q222">
        <f t="shared" si="32"/>
        <v>4</v>
      </c>
    </row>
    <row r="223" spans="1:17" x14ac:dyDescent="0.15">
      <c r="A223" s="295">
        <v>3</v>
      </c>
      <c r="B223" s="295" t="s">
        <v>3086</v>
      </c>
      <c r="C223" s="295" t="s">
        <v>3095</v>
      </c>
      <c r="D223" s="295">
        <v>1</v>
      </c>
      <c r="E223" s="295" t="s">
        <v>3060</v>
      </c>
      <c r="F223" s="295" t="s">
        <v>3061</v>
      </c>
      <c r="G223" s="295">
        <v>6</v>
      </c>
      <c r="H223" s="295">
        <v>2</v>
      </c>
      <c r="I223" s="295" t="s">
        <v>3096</v>
      </c>
      <c r="J223" s="295" t="s">
        <v>3097</v>
      </c>
      <c r="K223" s="295" t="s">
        <v>3098</v>
      </c>
      <c r="L223" s="295" t="s">
        <v>3099</v>
      </c>
      <c r="M223" s="295">
        <v>1</v>
      </c>
      <c r="N223" s="295">
        <v>6</v>
      </c>
      <c r="O223" s="295">
        <f t="shared" si="33"/>
        <v>20</v>
      </c>
      <c r="P223" s="295" t="str">
        <f t="shared" si="31"/>
        <v>[(112,20)]</v>
      </c>
      <c r="Q223">
        <f t="shared" si="32"/>
        <v>4</v>
      </c>
    </row>
    <row r="224" spans="1:17" x14ac:dyDescent="0.15">
      <c r="A224" s="295">
        <v>3</v>
      </c>
      <c r="B224" s="295" t="s">
        <v>3149</v>
      </c>
      <c r="C224" s="295" t="s">
        <v>3150</v>
      </c>
      <c r="D224" s="295">
        <v>2</v>
      </c>
      <c r="E224" s="295" t="s">
        <v>1644</v>
      </c>
      <c r="F224" s="295" t="s">
        <v>3061</v>
      </c>
      <c r="G224" s="295">
        <v>150</v>
      </c>
      <c r="H224" s="295">
        <v>1</v>
      </c>
      <c r="I224" s="295" t="s">
        <v>3151</v>
      </c>
      <c r="J224" s="295" t="s">
        <v>3152</v>
      </c>
      <c r="K224" s="295" t="s">
        <v>3153</v>
      </c>
      <c r="L224" s="295" t="s">
        <v>3154</v>
      </c>
      <c r="M224" s="295">
        <v>1</v>
      </c>
      <c r="N224" s="295">
        <v>150</v>
      </c>
      <c r="O224" s="295">
        <f t="shared" si="33"/>
        <v>5</v>
      </c>
      <c r="P224" s="295" t="str">
        <f t="shared" si="31"/>
        <v>[(112,5)]</v>
      </c>
      <c r="Q224">
        <f t="shared" si="32"/>
        <v>0.8</v>
      </c>
    </row>
    <row r="225" spans="1:17" x14ac:dyDescent="0.15">
      <c r="A225" s="295">
        <v>3</v>
      </c>
      <c r="B225" s="295" t="s">
        <v>3126</v>
      </c>
      <c r="C225" s="295" t="s">
        <v>3127</v>
      </c>
      <c r="D225" s="295">
        <v>2</v>
      </c>
      <c r="E225" s="295" t="s">
        <v>3128</v>
      </c>
      <c r="F225" s="295" t="s">
        <v>3129</v>
      </c>
      <c r="G225" s="295">
        <v>5</v>
      </c>
      <c r="H225" s="295">
        <v>1</v>
      </c>
      <c r="I225" s="295" t="s">
        <v>3130</v>
      </c>
      <c r="J225" s="295" t="s">
        <v>3131</v>
      </c>
      <c r="K225" s="295" t="s">
        <v>3132</v>
      </c>
      <c r="L225" s="295" t="s">
        <v>3133</v>
      </c>
      <c r="M225" s="295">
        <v>1</v>
      </c>
      <c r="N225" s="295">
        <v>5</v>
      </c>
      <c r="O225" s="295">
        <f t="shared" si="33"/>
        <v>10</v>
      </c>
      <c r="P225" s="295" t="str">
        <f t="shared" si="31"/>
        <v>[(112,10)]</v>
      </c>
      <c r="Q225">
        <f t="shared" si="32"/>
        <v>0.66666666666666663</v>
      </c>
    </row>
    <row r="226" spans="1:17" x14ac:dyDescent="0.15">
      <c r="A226" s="295">
        <v>3</v>
      </c>
      <c r="B226" s="295" t="s">
        <v>3944</v>
      </c>
      <c r="C226" s="295" t="s">
        <v>3242</v>
      </c>
      <c r="D226" s="295">
        <v>2</v>
      </c>
      <c r="E226" s="295" t="s">
        <v>3061</v>
      </c>
      <c r="F226" s="295" t="s">
        <v>3969</v>
      </c>
      <c r="G226" s="295">
        <v>1</v>
      </c>
      <c r="H226" s="295">
        <v>1</v>
      </c>
      <c r="I226" s="295" t="s">
        <v>3970</v>
      </c>
      <c r="J226" s="295" t="s">
        <v>3971</v>
      </c>
      <c r="K226" s="295" t="s">
        <v>3972</v>
      </c>
      <c r="L226" s="295" t="s">
        <v>3973</v>
      </c>
      <c r="M226" s="295">
        <v>1</v>
      </c>
      <c r="N226" s="295">
        <v>1</v>
      </c>
      <c r="O226" s="295">
        <f t="shared" si="33"/>
        <v>15</v>
      </c>
      <c r="P226" s="295" t="str">
        <f t="shared" si="31"/>
        <v>[(112,15)]</v>
      </c>
      <c r="Q226">
        <f t="shared" si="32"/>
        <v>1</v>
      </c>
    </row>
    <row r="227" spans="1:17" x14ac:dyDescent="0.15">
      <c r="A227" s="295">
        <v>3</v>
      </c>
      <c r="B227" s="295" t="s">
        <v>3142</v>
      </c>
      <c r="C227" s="295" t="s">
        <v>3143</v>
      </c>
      <c r="D227" s="295">
        <v>2</v>
      </c>
      <c r="E227" s="295" t="s">
        <v>1582</v>
      </c>
      <c r="F227" s="295" t="s">
        <v>3144</v>
      </c>
      <c r="G227" s="295">
        <v>5</v>
      </c>
      <c r="H227" s="295">
        <v>1</v>
      </c>
      <c r="I227" s="295" t="s">
        <v>3145</v>
      </c>
      <c r="J227" s="295" t="s">
        <v>3146</v>
      </c>
      <c r="K227" s="295" t="s">
        <v>3147</v>
      </c>
      <c r="L227" s="295" t="s">
        <v>3148</v>
      </c>
      <c r="M227" s="295">
        <v>1</v>
      </c>
      <c r="N227" s="295">
        <v>5</v>
      </c>
      <c r="O227" s="295">
        <f t="shared" si="33"/>
        <v>10</v>
      </c>
      <c r="P227" s="295" t="str">
        <f t="shared" si="31"/>
        <v>[(112,10)]</v>
      </c>
      <c r="Q227">
        <f t="shared" si="32"/>
        <v>7</v>
      </c>
    </row>
    <row r="228" spans="1:17" x14ac:dyDescent="0.15">
      <c r="A228" s="295">
        <v>3</v>
      </c>
      <c r="B228" s="295" t="s">
        <v>3088</v>
      </c>
      <c r="C228" s="295" t="s">
        <v>3089</v>
      </c>
      <c r="D228" s="295">
        <v>2</v>
      </c>
      <c r="E228" s="295" t="s">
        <v>3156</v>
      </c>
      <c r="F228" s="295" t="s">
        <v>3061</v>
      </c>
      <c r="G228" s="295">
        <v>15</v>
      </c>
      <c r="H228" s="295">
        <v>1</v>
      </c>
      <c r="I228" s="295" t="s">
        <v>3091</v>
      </c>
      <c r="J228" s="295" t="s">
        <v>3092</v>
      </c>
      <c r="K228" s="295" t="s">
        <v>3093</v>
      </c>
      <c r="L228" s="295" t="s">
        <v>3094</v>
      </c>
      <c r="M228" s="295">
        <v>1</v>
      </c>
      <c r="N228" s="295">
        <v>15</v>
      </c>
      <c r="O228" s="295">
        <f t="shared" si="33"/>
        <v>15</v>
      </c>
      <c r="P228" s="295" t="str">
        <f t="shared" si="31"/>
        <v>[(112,15)]</v>
      </c>
      <c r="Q228">
        <f t="shared" si="32"/>
        <v>3.3399999999999994</v>
      </c>
    </row>
    <row r="229" spans="1:17" x14ac:dyDescent="0.15">
      <c r="A229" s="295">
        <v>3</v>
      </c>
      <c r="B229" s="295" t="s">
        <v>3119</v>
      </c>
      <c r="C229" s="295" t="s">
        <v>3164</v>
      </c>
      <c r="D229" s="295">
        <v>2</v>
      </c>
      <c r="E229" s="295" t="s">
        <v>1580</v>
      </c>
      <c r="F229" s="295" t="s">
        <v>3165</v>
      </c>
      <c r="G229" s="295">
        <v>1</v>
      </c>
      <c r="H229" s="295">
        <v>2</v>
      </c>
      <c r="I229" s="295" t="s">
        <v>3166</v>
      </c>
      <c r="J229" s="295" t="s">
        <v>3167</v>
      </c>
      <c r="K229" s="295" t="s">
        <v>3168</v>
      </c>
      <c r="L229" s="295" t="s">
        <v>3169</v>
      </c>
      <c r="M229" s="295">
        <v>1</v>
      </c>
      <c r="N229" s="295">
        <v>1</v>
      </c>
      <c r="O229" s="295">
        <f t="shared" si="33"/>
        <v>10</v>
      </c>
      <c r="P229" s="295" t="str">
        <f t="shared" si="31"/>
        <v>[(112,10)]</v>
      </c>
      <c r="Q229">
        <f t="shared" si="32"/>
        <v>0.13333333333333333</v>
      </c>
    </row>
    <row r="230" spans="1:17" x14ac:dyDescent="0.15">
      <c r="A230" s="295">
        <v>3</v>
      </c>
      <c r="B230" s="295" t="s">
        <v>3134</v>
      </c>
      <c r="C230" s="295" t="s">
        <v>3135</v>
      </c>
      <c r="D230" s="295">
        <v>2</v>
      </c>
      <c r="E230" s="295" t="s">
        <v>3090</v>
      </c>
      <c r="F230" s="295" t="s">
        <v>3136</v>
      </c>
      <c r="G230" s="295">
        <v>10</v>
      </c>
      <c r="H230" s="295">
        <v>2</v>
      </c>
      <c r="I230" s="295" t="s">
        <v>3137</v>
      </c>
      <c r="J230" s="295" t="s">
        <v>3138</v>
      </c>
      <c r="K230" s="295" t="s">
        <v>3139</v>
      </c>
      <c r="L230" s="295" t="s">
        <v>3140</v>
      </c>
      <c r="M230" s="295">
        <v>1</v>
      </c>
      <c r="N230" s="295">
        <v>30</v>
      </c>
      <c r="O230" s="295">
        <f t="shared" si="33"/>
        <v>10</v>
      </c>
      <c r="P230" s="295" t="str">
        <f t="shared" si="31"/>
        <v>[(112,10)]</v>
      </c>
      <c r="Q230">
        <f t="shared" si="32"/>
        <v>4</v>
      </c>
    </row>
    <row r="231" spans="1:17" x14ac:dyDescent="0.15">
      <c r="A231" s="295">
        <v>3</v>
      </c>
      <c r="B231" s="295" t="s">
        <v>3112</v>
      </c>
      <c r="C231" s="295" t="s">
        <v>3158</v>
      </c>
      <c r="D231" s="295">
        <v>2</v>
      </c>
      <c r="E231" s="295" t="s">
        <v>1580</v>
      </c>
      <c r="F231" s="295" t="s">
        <v>3061</v>
      </c>
      <c r="G231" s="295">
        <v>3</v>
      </c>
      <c r="H231" s="295">
        <v>2</v>
      </c>
      <c r="I231" s="295" t="s">
        <v>3159</v>
      </c>
      <c r="J231" s="295" t="s">
        <v>3160</v>
      </c>
      <c r="K231" s="295" t="s">
        <v>3161</v>
      </c>
      <c r="L231" s="295" t="s">
        <v>3162</v>
      </c>
      <c r="M231" s="295">
        <v>14</v>
      </c>
      <c r="N231" s="295">
        <v>3</v>
      </c>
      <c r="O231" s="295">
        <f t="shared" si="33"/>
        <v>10</v>
      </c>
      <c r="P231" s="295" t="str">
        <f t="shared" si="31"/>
        <v>[(112,10)]</v>
      </c>
      <c r="Q231">
        <f t="shared" si="32"/>
        <v>6</v>
      </c>
    </row>
    <row r="232" spans="1:17" x14ac:dyDescent="0.15">
      <c r="A232" s="295">
        <v>3</v>
      </c>
      <c r="B232" s="295" t="s">
        <v>3170</v>
      </c>
      <c r="C232" s="295" t="s">
        <v>3171</v>
      </c>
      <c r="D232" s="295">
        <v>2</v>
      </c>
      <c r="E232" s="295" t="s">
        <v>3060</v>
      </c>
      <c r="F232" s="295" t="s">
        <v>3061</v>
      </c>
      <c r="G232" s="295">
        <v>6</v>
      </c>
      <c r="H232" s="295">
        <v>2</v>
      </c>
      <c r="I232" s="295" t="s">
        <v>3172</v>
      </c>
      <c r="J232" s="295" t="s">
        <v>3173</v>
      </c>
      <c r="K232" s="295" t="s">
        <v>3174</v>
      </c>
      <c r="L232" s="295" t="s">
        <v>3175</v>
      </c>
      <c r="M232" s="295">
        <v>17</v>
      </c>
      <c r="N232" s="295">
        <v>6</v>
      </c>
      <c r="O232" s="295">
        <f t="shared" si="33"/>
        <v>10</v>
      </c>
      <c r="P232" s="295" t="str">
        <f t="shared" si="31"/>
        <v>[(112,10)]</v>
      </c>
      <c r="Q232">
        <f t="shared" si="32"/>
        <v>6</v>
      </c>
    </row>
    <row r="233" spans="1:17" x14ac:dyDescent="0.15">
      <c r="A233" s="295">
        <v>3</v>
      </c>
      <c r="B233" s="295" t="s">
        <v>3076</v>
      </c>
      <c r="C233" s="295" t="s">
        <v>3176</v>
      </c>
      <c r="D233" s="295">
        <v>2</v>
      </c>
      <c r="E233" s="295" t="s">
        <v>3060</v>
      </c>
      <c r="F233" s="295" t="s">
        <v>3061</v>
      </c>
      <c r="G233" s="295">
        <v>6</v>
      </c>
      <c r="H233" s="295">
        <v>2</v>
      </c>
      <c r="I233" s="295" t="s">
        <v>3177</v>
      </c>
      <c r="J233" s="295" t="s">
        <v>3178</v>
      </c>
      <c r="K233" s="295" t="s">
        <v>3721</v>
      </c>
      <c r="L233" s="295" t="s">
        <v>3720</v>
      </c>
      <c r="M233" s="295">
        <v>16</v>
      </c>
      <c r="N233" s="295">
        <v>6</v>
      </c>
      <c r="O233" s="295">
        <f t="shared" si="33"/>
        <v>10</v>
      </c>
      <c r="P233" s="295" t="str">
        <f t="shared" si="31"/>
        <v>[(112,10)]</v>
      </c>
      <c r="Q233">
        <f t="shared" si="32"/>
        <v>6</v>
      </c>
    </row>
    <row r="234" spans="1:17" x14ac:dyDescent="0.15">
      <c r="A234" s="295">
        <v>3</v>
      </c>
      <c r="B234" s="295" t="s">
        <v>3938</v>
      </c>
      <c r="C234" s="295" t="s">
        <v>3974</v>
      </c>
      <c r="D234" s="295">
        <v>3</v>
      </c>
      <c r="E234" s="295" t="s">
        <v>3221</v>
      </c>
      <c r="F234" s="295" t="s">
        <v>3975</v>
      </c>
      <c r="G234" s="295">
        <v>5</v>
      </c>
      <c r="H234" s="295">
        <v>1</v>
      </c>
      <c r="I234" s="295" t="s">
        <v>3976</v>
      </c>
      <c r="J234" s="295" t="s">
        <v>3977</v>
      </c>
      <c r="K234" s="295" t="s">
        <v>3966</v>
      </c>
      <c r="L234" s="295" t="s">
        <v>3967</v>
      </c>
      <c r="M234" s="295">
        <v>1</v>
      </c>
      <c r="N234" s="295">
        <v>5</v>
      </c>
      <c r="O234" s="295">
        <f t="shared" si="33"/>
        <v>5</v>
      </c>
      <c r="P234" s="295" t="str">
        <f t="shared" si="31"/>
        <v>[(112,5)]</v>
      </c>
      <c r="Q234">
        <f t="shared" si="32"/>
        <v>5</v>
      </c>
    </row>
    <row r="235" spans="1:17" x14ac:dyDescent="0.15">
      <c r="A235" s="295">
        <v>3</v>
      </c>
      <c r="B235" s="295" t="s">
        <v>3190</v>
      </c>
      <c r="C235" s="295" t="s">
        <v>3191</v>
      </c>
      <c r="D235" s="295">
        <v>3</v>
      </c>
      <c r="E235" s="295" t="s">
        <v>3156</v>
      </c>
      <c r="F235" s="295" t="s">
        <v>3061</v>
      </c>
      <c r="G235" s="295">
        <v>15</v>
      </c>
      <c r="H235" s="295">
        <v>1</v>
      </c>
      <c r="I235" s="295" t="s">
        <v>3192</v>
      </c>
      <c r="J235" s="295" t="s">
        <v>3193</v>
      </c>
      <c r="K235" s="295" t="s">
        <v>3194</v>
      </c>
      <c r="L235" s="295" t="s">
        <v>3195</v>
      </c>
      <c r="M235" s="295">
        <v>11</v>
      </c>
      <c r="N235" s="295">
        <v>15</v>
      </c>
      <c r="O235" s="295">
        <f t="shared" si="33"/>
        <v>10</v>
      </c>
      <c r="P235" s="295" t="str">
        <f t="shared" si="31"/>
        <v>[(112,10)]</v>
      </c>
      <c r="Q235">
        <f t="shared" si="32"/>
        <v>3.75</v>
      </c>
    </row>
    <row r="236" spans="1:17" x14ac:dyDescent="0.15">
      <c r="A236" s="295">
        <v>3</v>
      </c>
      <c r="B236" s="295" t="s">
        <v>3141</v>
      </c>
      <c r="C236" s="295" t="s">
        <v>3214</v>
      </c>
      <c r="D236" s="295">
        <v>3</v>
      </c>
      <c r="E236" s="295" t="s">
        <v>3061</v>
      </c>
      <c r="F236" s="295" t="s">
        <v>3061</v>
      </c>
      <c r="G236" s="295">
        <v>1</v>
      </c>
      <c r="H236" s="295">
        <v>1</v>
      </c>
      <c r="I236" s="295" t="s">
        <v>3215</v>
      </c>
      <c r="J236" s="295" t="s">
        <v>3216</v>
      </c>
      <c r="K236" s="295" t="s">
        <v>3217</v>
      </c>
      <c r="L236" s="295" t="s">
        <v>3218</v>
      </c>
      <c r="M236" s="295">
        <v>1</v>
      </c>
      <c r="N236" s="295">
        <v>1</v>
      </c>
      <c r="O236" s="295">
        <f t="shared" si="33"/>
        <v>15</v>
      </c>
      <c r="P236" s="295" t="str">
        <f>"[("&amp;"112,"&amp;O236&amp;")]"</f>
        <v>[(112,15)]</v>
      </c>
      <c r="Q236">
        <f t="shared" si="32"/>
        <v>3</v>
      </c>
    </row>
    <row r="237" spans="1:17" x14ac:dyDescent="0.15">
      <c r="A237" s="295">
        <v>3</v>
      </c>
      <c r="B237" s="295" t="s">
        <v>3088</v>
      </c>
      <c r="C237" s="295" t="s">
        <v>3089</v>
      </c>
      <c r="D237" s="295">
        <v>3</v>
      </c>
      <c r="E237" s="295" t="s">
        <v>3187</v>
      </c>
      <c r="F237" s="295" t="s">
        <v>3061</v>
      </c>
      <c r="G237" s="295">
        <v>25</v>
      </c>
      <c r="H237" s="295">
        <v>1</v>
      </c>
      <c r="I237" s="295" t="s">
        <v>3091</v>
      </c>
      <c r="J237" s="295" t="s">
        <v>3092</v>
      </c>
      <c r="K237" s="295" t="s">
        <v>3093</v>
      </c>
      <c r="L237" s="295" t="s">
        <v>3094</v>
      </c>
      <c r="M237" s="295">
        <v>1</v>
      </c>
      <c r="N237" s="295">
        <v>25</v>
      </c>
      <c r="O237" s="295">
        <f t="shared" si="33"/>
        <v>15</v>
      </c>
      <c r="P237" s="295" t="str">
        <f t="shared" ref="P237:P300" si="34">"[("&amp;"112,"&amp;O237&amp;")]"</f>
        <v>[(112,15)]</v>
      </c>
      <c r="Q237">
        <f t="shared" si="32"/>
        <v>5.5666666666666655</v>
      </c>
    </row>
    <row r="238" spans="1:17" x14ac:dyDescent="0.15">
      <c r="A238" s="295">
        <v>3</v>
      </c>
      <c r="B238" s="295" t="s">
        <v>3197</v>
      </c>
      <c r="C238" s="295" t="s">
        <v>3198</v>
      </c>
      <c r="D238" s="295">
        <v>3</v>
      </c>
      <c r="E238" s="295" t="s">
        <v>3290</v>
      </c>
      <c r="F238" s="295" t="s">
        <v>3061</v>
      </c>
      <c r="G238" s="295">
        <v>5000</v>
      </c>
      <c r="H238" s="295">
        <v>2</v>
      </c>
      <c r="I238" s="295" t="s">
        <v>3200</v>
      </c>
      <c r="J238" s="295" t="s">
        <v>3201</v>
      </c>
      <c r="K238" s="295" t="s">
        <v>3202</v>
      </c>
      <c r="L238" s="295" t="s">
        <v>3203</v>
      </c>
      <c r="M238" s="295">
        <v>17</v>
      </c>
      <c r="N238" s="295">
        <v>5000</v>
      </c>
      <c r="O238" s="295">
        <f t="shared" si="33"/>
        <v>5</v>
      </c>
      <c r="P238" s="295" t="str">
        <f t="shared" si="34"/>
        <v>[(112,5)]</v>
      </c>
      <c r="Q238">
        <f t="shared" si="32"/>
        <v>1.25</v>
      </c>
    </row>
    <row r="239" spans="1:17" x14ac:dyDescent="0.15">
      <c r="A239" s="295">
        <v>3</v>
      </c>
      <c r="B239" s="295" t="s">
        <v>3180</v>
      </c>
      <c r="C239" s="295" t="s">
        <v>3181</v>
      </c>
      <c r="D239" s="295">
        <v>3</v>
      </c>
      <c r="E239" s="295" t="s">
        <v>3070</v>
      </c>
      <c r="F239" s="295" t="s">
        <v>3061</v>
      </c>
      <c r="G239" s="295">
        <v>4</v>
      </c>
      <c r="H239" s="295">
        <v>2</v>
      </c>
      <c r="I239" s="295" t="s">
        <v>3182</v>
      </c>
      <c r="J239" s="295" t="s">
        <v>3183</v>
      </c>
      <c r="K239" s="295" t="s">
        <v>3184</v>
      </c>
      <c r="L239" s="295" t="s">
        <v>3185</v>
      </c>
      <c r="M239" s="295">
        <v>8</v>
      </c>
      <c r="N239" s="295">
        <v>4</v>
      </c>
      <c r="O239" s="295">
        <f t="shared" si="33"/>
        <v>10</v>
      </c>
      <c r="P239" s="295" t="str">
        <f t="shared" si="34"/>
        <v>[(112,10)]</v>
      </c>
      <c r="Q239">
        <f t="shared" si="32"/>
        <v>2</v>
      </c>
    </row>
    <row r="240" spans="1:17" x14ac:dyDescent="0.15">
      <c r="A240" s="295">
        <v>3</v>
      </c>
      <c r="B240" s="295" t="s">
        <v>3066</v>
      </c>
      <c r="C240" s="295" t="s">
        <v>3069</v>
      </c>
      <c r="D240" s="295">
        <v>3</v>
      </c>
      <c r="E240" s="295" t="s">
        <v>3060</v>
      </c>
      <c r="F240" s="295" t="s">
        <v>3186</v>
      </c>
      <c r="G240" s="295">
        <v>1</v>
      </c>
      <c r="H240" s="295">
        <v>2</v>
      </c>
      <c r="I240" s="295" t="s">
        <v>3072</v>
      </c>
      <c r="J240" s="295" t="s">
        <v>3073</v>
      </c>
      <c r="K240" s="295" t="s">
        <v>3074</v>
      </c>
      <c r="L240" s="295" t="s">
        <v>3075</v>
      </c>
      <c r="M240" s="295">
        <v>1</v>
      </c>
      <c r="N240" s="295">
        <v>1</v>
      </c>
      <c r="O240" s="295">
        <f t="shared" si="33"/>
        <v>10</v>
      </c>
      <c r="P240" s="295" t="str">
        <f t="shared" si="34"/>
        <v>[(112,10)]</v>
      </c>
      <c r="Q240">
        <f t="shared" si="32"/>
        <v>3</v>
      </c>
    </row>
    <row r="241" spans="1:17" x14ac:dyDescent="0.15">
      <c r="A241" s="295">
        <v>3</v>
      </c>
      <c r="B241" s="295" t="s">
        <v>3120</v>
      </c>
      <c r="C241" s="295" t="s">
        <v>3121</v>
      </c>
      <c r="D241" s="295">
        <v>3</v>
      </c>
      <c r="E241" s="295" t="s">
        <v>3156</v>
      </c>
      <c r="F241" s="295" t="s">
        <v>3061</v>
      </c>
      <c r="G241" s="295">
        <v>15</v>
      </c>
      <c r="H241" s="295">
        <v>2</v>
      </c>
      <c r="I241" s="295" t="s">
        <v>3122</v>
      </c>
      <c r="J241" s="295" t="s">
        <v>3123</v>
      </c>
      <c r="K241" s="295" t="s">
        <v>3124</v>
      </c>
      <c r="L241" s="295" t="s">
        <v>3125</v>
      </c>
      <c r="M241" s="295">
        <v>1</v>
      </c>
      <c r="N241" s="295">
        <v>15</v>
      </c>
      <c r="O241" s="295">
        <f t="shared" si="33"/>
        <v>15</v>
      </c>
      <c r="P241" s="295" t="str">
        <f t="shared" si="34"/>
        <v>[(112,15)]</v>
      </c>
      <c r="Q241">
        <f t="shared" si="32"/>
        <v>4</v>
      </c>
    </row>
    <row r="242" spans="1:17" x14ac:dyDescent="0.15">
      <c r="A242" s="295">
        <v>3</v>
      </c>
      <c r="B242" s="295" t="s">
        <v>3205</v>
      </c>
      <c r="C242" s="295" t="s">
        <v>3206</v>
      </c>
      <c r="D242" s="295">
        <v>3</v>
      </c>
      <c r="E242" s="295" t="s">
        <v>3221</v>
      </c>
      <c r="F242" s="295" t="s">
        <v>3207</v>
      </c>
      <c r="G242" s="295">
        <v>5</v>
      </c>
      <c r="H242" s="295">
        <v>2</v>
      </c>
      <c r="I242" s="295" t="s">
        <v>3208</v>
      </c>
      <c r="J242" s="295" t="s">
        <v>3209</v>
      </c>
      <c r="K242" s="295" t="s">
        <v>3210</v>
      </c>
      <c r="L242" s="295" t="s">
        <v>3211</v>
      </c>
      <c r="M242" s="295">
        <v>1</v>
      </c>
      <c r="N242" s="295">
        <v>5</v>
      </c>
      <c r="O242" s="295">
        <f t="shared" si="33"/>
        <v>15</v>
      </c>
      <c r="P242" s="295" t="str">
        <f t="shared" si="34"/>
        <v>[(112,15)]</v>
      </c>
      <c r="Q242">
        <f t="shared" si="32"/>
        <v>5</v>
      </c>
    </row>
    <row r="243" spans="1:17" x14ac:dyDescent="0.15">
      <c r="A243" s="295">
        <v>3</v>
      </c>
      <c r="B243" s="295" t="s">
        <v>3948</v>
      </c>
      <c r="C243" s="295" t="s">
        <v>3978</v>
      </c>
      <c r="D243" s="295">
        <v>3</v>
      </c>
      <c r="E243" s="295" t="s">
        <v>3221</v>
      </c>
      <c r="F243" s="295" t="s">
        <v>3979</v>
      </c>
      <c r="G243" s="295">
        <v>5</v>
      </c>
      <c r="H243" s="295">
        <v>1</v>
      </c>
      <c r="I243" s="295" t="s">
        <v>3980</v>
      </c>
      <c r="J243" s="295" t="s">
        <v>3981</v>
      </c>
      <c r="K243" s="295" t="s">
        <v>3966</v>
      </c>
      <c r="L243" s="295" t="s">
        <v>3967</v>
      </c>
      <c r="M243" s="295">
        <v>1</v>
      </c>
      <c r="N243" s="295">
        <v>5</v>
      </c>
      <c r="O243" s="295">
        <f t="shared" si="33"/>
        <v>10</v>
      </c>
      <c r="P243" s="295" t="str">
        <f t="shared" si="34"/>
        <v>[(112,10)]</v>
      </c>
      <c r="Q243">
        <f t="shared" si="32"/>
        <v>2.5</v>
      </c>
    </row>
    <row r="244" spans="1:17" x14ac:dyDescent="0.15">
      <c r="A244" s="295">
        <v>3</v>
      </c>
      <c r="B244" s="295" t="s">
        <v>3100</v>
      </c>
      <c r="C244" s="295" t="s">
        <v>3101</v>
      </c>
      <c r="D244" s="295">
        <v>4</v>
      </c>
      <c r="E244" s="295" t="s">
        <v>1650</v>
      </c>
      <c r="F244" s="295" t="s">
        <v>3061</v>
      </c>
      <c r="G244" s="295">
        <v>50</v>
      </c>
      <c r="H244" s="295">
        <v>1</v>
      </c>
      <c r="I244" s="295" t="s">
        <v>3103</v>
      </c>
      <c r="J244" s="295" t="s">
        <v>3104</v>
      </c>
      <c r="K244" s="295" t="s">
        <v>3105</v>
      </c>
      <c r="L244" s="295" t="s">
        <v>3106</v>
      </c>
      <c r="M244" s="295">
        <v>1</v>
      </c>
      <c r="N244" s="295">
        <v>50</v>
      </c>
      <c r="O244" s="295">
        <f t="shared" si="33"/>
        <v>10</v>
      </c>
      <c r="P244" s="295" t="str">
        <f t="shared" si="34"/>
        <v>[(112,10)]</v>
      </c>
      <c r="Q244">
        <f t="shared" si="32"/>
        <v>1.3333333333333333</v>
      </c>
    </row>
    <row r="245" spans="1:17" x14ac:dyDescent="0.15">
      <c r="A245" s="295">
        <v>3</v>
      </c>
      <c r="B245" s="295" t="s">
        <v>3048</v>
      </c>
      <c r="C245" s="295" t="s">
        <v>3049</v>
      </c>
      <c r="D245" s="295">
        <v>4</v>
      </c>
      <c r="E245" s="295" t="s">
        <v>1580</v>
      </c>
      <c r="F245" s="295" t="s">
        <v>3050</v>
      </c>
      <c r="G245" s="295">
        <v>1</v>
      </c>
      <c r="H245" s="295">
        <v>1</v>
      </c>
      <c r="I245" s="295" t="s">
        <v>3051</v>
      </c>
      <c r="J245" s="295" t="s">
        <v>3052</v>
      </c>
      <c r="K245" s="295" t="s">
        <v>3053</v>
      </c>
      <c r="L245" s="295" t="s">
        <v>3054</v>
      </c>
      <c r="M245" s="295">
        <v>1</v>
      </c>
      <c r="N245" s="295">
        <v>1</v>
      </c>
      <c r="O245" s="295">
        <f t="shared" si="33"/>
        <v>10</v>
      </c>
      <c r="P245" s="295" t="str">
        <f t="shared" si="34"/>
        <v>[(112,10)]</v>
      </c>
      <c r="Q245">
        <f t="shared" si="32"/>
        <v>2</v>
      </c>
    </row>
    <row r="246" spans="1:17" x14ac:dyDescent="0.15">
      <c r="A246" s="295">
        <v>3</v>
      </c>
      <c r="B246" s="295" t="s">
        <v>3126</v>
      </c>
      <c r="C246" s="295" t="s">
        <v>3127</v>
      </c>
      <c r="D246" s="295">
        <v>4</v>
      </c>
      <c r="E246" s="295" t="s">
        <v>3220</v>
      </c>
      <c r="F246" s="295" t="s">
        <v>3129</v>
      </c>
      <c r="G246" s="295">
        <v>15</v>
      </c>
      <c r="H246" s="295">
        <v>1</v>
      </c>
      <c r="I246" s="295" t="s">
        <v>3130</v>
      </c>
      <c r="J246" s="295" t="s">
        <v>3131</v>
      </c>
      <c r="K246" s="295" t="s">
        <v>3132</v>
      </c>
      <c r="L246" s="295" t="s">
        <v>3133</v>
      </c>
      <c r="M246" s="295">
        <v>1</v>
      </c>
      <c r="N246" s="295">
        <v>15</v>
      </c>
      <c r="O246" s="295">
        <f t="shared" si="33"/>
        <v>10</v>
      </c>
      <c r="P246" s="295" t="str">
        <f t="shared" si="34"/>
        <v>[(112,10)]</v>
      </c>
      <c r="Q246">
        <f t="shared" si="32"/>
        <v>2</v>
      </c>
    </row>
    <row r="247" spans="1:17" x14ac:dyDescent="0.15">
      <c r="A247" s="295">
        <v>3</v>
      </c>
      <c r="B247" s="295" t="s">
        <v>3219</v>
      </c>
      <c r="C247" s="295" t="s">
        <v>3223</v>
      </c>
      <c r="D247" s="295">
        <v>4</v>
      </c>
      <c r="E247" s="295" t="s">
        <v>3224</v>
      </c>
      <c r="F247" s="295" t="s">
        <v>3061</v>
      </c>
      <c r="G247" s="295">
        <v>500</v>
      </c>
      <c r="H247" s="295">
        <v>1</v>
      </c>
      <c r="I247" s="295" t="s">
        <v>3225</v>
      </c>
      <c r="J247" s="295" t="s">
        <v>3226</v>
      </c>
      <c r="K247" s="295" t="s">
        <v>3227</v>
      </c>
      <c r="L247" s="295" t="s">
        <v>3228</v>
      </c>
      <c r="M247" s="295">
        <v>17</v>
      </c>
      <c r="N247" s="295">
        <v>500</v>
      </c>
      <c r="O247" s="295">
        <f t="shared" si="33"/>
        <v>15</v>
      </c>
      <c r="P247" s="295" t="str">
        <f t="shared" si="34"/>
        <v>[(112,15)]</v>
      </c>
      <c r="Q247">
        <f t="shared" si="32"/>
        <v>5</v>
      </c>
    </row>
    <row r="248" spans="1:17" x14ac:dyDescent="0.15">
      <c r="A248" s="295">
        <v>3</v>
      </c>
      <c r="B248" s="295" t="s">
        <v>3936</v>
      </c>
      <c r="C248" s="295" t="s">
        <v>3982</v>
      </c>
      <c r="D248" s="295">
        <v>4</v>
      </c>
      <c r="E248" s="295" t="s">
        <v>1580</v>
      </c>
      <c r="F248" s="295" t="s">
        <v>3983</v>
      </c>
      <c r="G248" s="295">
        <v>3</v>
      </c>
      <c r="H248" s="295">
        <v>1</v>
      </c>
      <c r="I248" s="295" t="s">
        <v>3984</v>
      </c>
      <c r="J248" s="295" t="s">
        <v>3985</v>
      </c>
      <c r="K248" s="295" t="s">
        <v>3093</v>
      </c>
      <c r="L248" s="295" t="s">
        <v>3094</v>
      </c>
      <c r="M248" s="295">
        <v>1</v>
      </c>
      <c r="N248" s="295">
        <v>3</v>
      </c>
      <c r="O248" s="295">
        <f t="shared" si="33"/>
        <v>15</v>
      </c>
      <c r="P248" s="295" t="str">
        <f t="shared" si="34"/>
        <v>[(112,15)]</v>
      </c>
      <c r="Q248">
        <f t="shared" si="32"/>
        <v>3</v>
      </c>
    </row>
    <row r="249" spans="1:17" x14ac:dyDescent="0.15">
      <c r="A249" s="295">
        <v>3</v>
      </c>
      <c r="B249" s="295" t="s">
        <v>3204</v>
      </c>
      <c r="C249" s="295" t="s">
        <v>3229</v>
      </c>
      <c r="D249" s="295">
        <v>4</v>
      </c>
      <c r="E249" s="295" t="s">
        <v>3070</v>
      </c>
      <c r="F249" s="295" t="s">
        <v>3061</v>
      </c>
      <c r="G249" s="295">
        <v>4</v>
      </c>
      <c r="H249" s="295">
        <v>2</v>
      </c>
      <c r="I249" s="295" t="s">
        <v>3230</v>
      </c>
      <c r="J249" s="295" t="s">
        <v>3231</v>
      </c>
      <c r="K249" s="295" t="s">
        <v>3232</v>
      </c>
      <c r="L249" s="295" t="s">
        <v>3233</v>
      </c>
      <c r="M249" s="295">
        <v>0</v>
      </c>
      <c r="N249" s="295">
        <v>4</v>
      </c>
      <c r="O249" s="295">
        <f t="shared" si="33"/>
        <v>5</v>
      </c>
      <c r="P249" s="295" t="str">
        <f t="shared" si="34"/>
        <v>[(112,5)]</v>
      </c>
      <c r="Q249">
        <f t="shared" si="32"/>
        <v>4</v>
      </c>
    </row>
    <row r="250" spans="1:17" x14ac:dyDescent="0.15">
      <c r="A250" s="295">
        <v>3</v>
      </c>
      <c r="B250" s="295" t="s">
        <v>3119</v>
      </c>
      <c r="C250" s="295" t="s">
        <v>3164</v>
      </c>
      <c r="D250" s="295">
        <v>4</v>
      </c>
      <c r="E250" s="295" t="s">
        <v>1580</v>
      </c>
      <c r="F250" s="295" t="s">
        <v>3165</v>
      </c>
      <c r="G250" s="295">
        <v>1</v>
      </c>
      <c r="H250" s="295">
        <v>2</v>
      </c>
      <c r="I250" s="295" t="s">
        <v>3166</v>
      </c>
      <c r="J250" s="295" t="s">
        <v>3167</v>
      </c>
      <c r="K250" s="295" t="s">
        <v>3168</v>
      </c>
      <c r="L250" s="295" t="s">
        <v>3169</v>
      </c>
      <c r="M250" s="295">
        <v>1</v>
      </c>
      <c r="N250" s="295">
        <v>1</v>
      </c>
      <c r="O250" s="295">
        <f t="shared" si="33"/>
        <v>10</v>
      </c>
      <c r="P250" s="295" t="str">
        <f t="shared" si="34"/>
        <v>[(112,10)]</v>
      </c>
      <c r="Q250">
        <f t="shared" si="32"/>
        <v>0.13333333333333333</v>
      </c>
    </row>
    <row r="251" spans="1:17" x14ac:dyDescent="0.15">
      <c r="A251" s="295">
        <v>3</v>
      </c>
      <c r="B251" s="295" t="s">
        <v>3134</v>
      </c>
      <c r="C251" s="295" t="s">
        <v>3135</v>
      </c>
      <c r="D251" s="295">
        <v>4</v>
      </c>
      <c r="E251" s="295" t="s">
        <v>3156</v>
      </c>
      <c r="F251" s="295" t="s">
        <v>3136</v>
      </c>
      <c r="G251" s="295">
        <v>15</v>
      </c>
      <c r="H251" s="295">
        <v>2</v>
      </c>
      <c r="I251" s="295" t="s">
        <v>3137</v>
      </c>
      <c r="J251" s="295" t="s">
        <v>3138</v>
      </c>
      <c r="K251" s="295" t="s">
        <v>3139</v>
      </c>
      <c r="L251" s="295" t="s">
        <v>3140</v>
      </c>
      <c r="M251" s="295">
        <v>1</v>
      </c>
      <c r="N251" s="295">
        <v>15</v>
      </c>
      <c r="O251" s="295">
        <f t="shared" si="33"/>
        <v>10</v>
      </c>
      <c r="P251" s="295" t="str">
        <f t="shared" si="34"/>
        <v>[(112,10)]</v>
      </c>
      <c r="Q251">
        <f t="shared" si="32"/>
        <v>2</v>
      </c>
    </row>
    <row r="252" spans="1:17" x14ac:dyDescent="0.15">
      <c r="A252" s="295">
        <v>3</v>
      </c>
      <c r="B252" s="295" t="s">
        <v>3180</v>
      </c>
      <c r="C252" s="295" t="s">
        <v>3181</v>
      </c>
      <c r="D252" s="295">
        <v>4</v>
      </c>
      <c r="E252" s="295" t="s">
        <v>3221</v>
      </c>
      <c r="F252" s="295" t="s">
        <v>3061</v>
      </c>
      <c r="G252" s="295">
        <v>5</v>
      </c>
      <c r="H252" s="295">
        <v>2</v>
      </c>
      <c r="I252" s="295" t="s">
        <v>3182</v>
      </c>
      <c r="J252" s="295" t="s">
        <v>3183</v>
      </c>
      <c r="K252" s="295" t="s">
        <v>3184</v>
      </c>
      <c r="L252" s="295" t="s">
        <v>3185</v>
      </c>
      <c r="M252" s="295">
        <v>8</v>
      </c>
      <c r="N252" s="295">
        <v>5</v>
      </c>
      <c r="O252" s="295">
        <f t="shared" si="33"/>
        <v>10</v>
      </c>
      <c r="P252" s="295" t="str">
        <f t="shared" si="34"/>
        <v>[(112,10)]</v>
      </c>
      <c r="Q252">
        <f t="shared" si="32"/>
        <v>2.5</v>
      </c>
    </row>
    <row r="253" spans="1:17" x14ac:dyDescent="0.15">
      <c r="A253" s="295">
        <v>3</v>
      </c>
      <c r="B253" s="295" t="s">
        <v>3112</v>
      </c>
      <c r="C253" s="295" t="s">
        <v>3158</v>
      </c>
      <c r="D253" s="295">
        <v>4</v>
      </c>
      <c r="E253" s="295" t="s">
        <v>1580</v>
      </c>
      <c r="F253" s="295" t="s">
        <v>3061</v>
      </c>
      <c r="G253" s="295">
        <v>3</v>
      </c>
      <c r="H253" s="295">
        <v>2</v>
      </c>
      <c r="I253" s="295" t="s">
        <v>3159</v>
      </c>
      <c r="J253" s="295" t="s">
        <v>3160</v>
      </c>
      <c r="K253" s="295" t="s">
        <v>3161</v>
      </c>
      <c r="L253" s="295" t="s">
        <v>3162</v>
      </c>
      <c r="M253" s="295">
        <v>14</v>
      </c>
      <c r="N253" s="295">
        <v>3</v>
      </c>
      <c r="O253" s="295">
        <f t="shared" si="33"/>
        <v>10</v>
      </c>
      <c r="P253" s="295" t="str">
        <f t="shared" si="34"/>
        <v>[(112,10)]</v>
      </c>
      <c r="Q253">
        <f t="shared" si="32"/>
        <v>6</v>
      </c>
    </row>
    <row r="254" spans="1:17" x14ac:dyDescent="0.15">
      <c r="A254" s="295">
        <v>3</v>
      </c>
      <c r="B254" s="295" t="s">
        <v>3157</v>
      </c>
      <c r="C254" s="295" t="s">
        <v>3234</v>
      </c>
      <c r="D254" s="295">
        <v>4</v>
      </c>
      <c r="E254" s="295" t="s">
        <v>3235</v>
      </c>
      <c r="F254" s="295" t="s">
        <v>3236</v>
      </c>
      <c r="G254" s="295">
        <v>1</v>
      </c>
      <c r="H254" s="295">
        <v>2</v>
      </c>
      <c r="I254" s="295" t="s">
        <v>3237</v>
      </c>
      <c r="J254" s="295" t="s">
        <v>3238</v>
      </c>
      <c r="K254" s="295" t="s">
        <v>3239</v>
      </c>
      <c r="L254" s="295" t="s">
        <v>3240</v>
      </c>
      <c r="M254" s="295">
        <v>1</v>
      </c>
      <c r="N254" s="295">
        <v>1</v>
      </c>
      <c r="O254" s="295">
        <f t="shared" si="33"/>
        <v>10</v>
      </c>
      <c r="P254" s="295" t="str">
        <f t="shared" si="34"/>
        <v>[(112,10)]</v>
      </c>
      <c r="Q254">
        <f t="shared" si="32"/>
        <v>6.9999999999999991</v>
      </c>
    </row>
    <row r="255" spans="1:17" x14ac:dyDescent="0.15">
      <c r="A255" s="295">
        <v>3</v>
      </c>
      <c r="B255" s="295" t="s">
        <v>3149</v>
      </c>
      <c r="C255" s="295" t="s">
        <v>3150</v>
      </c>
      <c r="D255" s="295">
        <v>5</v>
      </c>
      <c r="E255" s="295" t="s">
        <v>3291</v>
      </c>
      <c r="F255" s="295" t="s">
        <v>3061</v>
      </c>
      <c r="G255" s="295">
        <v>300</v>
      </c>
      <c r="H255" s="295">
        <v>1</v>
      </c>
      <c r="I255" s="295" t="s">
        <v>3151</v>
      </c>
      <c r="J255" s="295" t="s">
        <v>3152</v>
      </c>
      <c r="K255" s="295" t="s">
        <v>3153</v>
      </c>
      <c r="L255" s="295" t="s">
        <v>3154</v>
      </c>
      <c r="M255" s="295">
        <v>1</v>
      </c>
      <c r="N255" s="295">
        <v>300</v>
      </c>
      <c r="O255" s="295">
        <f t="shared" si="33"/>
        <v>5</v>
      </c>
      <c r="P255" s="295" t="str">
        <f t="shared" si="34"/>
        <v>[(112,5)]</v>
      </c>
      <c r="Q255">
        <f t="shared" si="32"/>
        <v>1.6</v>
      </c>
    </row>
    <row r="256" spans="1:17" x14ac:dyDescent="0.15">
      <c r="A256" s="295">
        <v>3</v>
      </c>
      <c r="B256" s="295" t="s">
        <v>3055</v>
      </c>
      <c r="C256" s="295" t="s">
        <v>3107</v>
      </c>
      <c r="D256" s="295">
        <v>5</v>
      </c>
      <c r="E256" s="295" t="s">
        <v>3188</v>
      </c>
      <c r="F256" s="295" t="s">
        <v>3061</v>
      </c>
      <c r="G256" s="295">
        <v>80</v>
      </c>
      <c r="H256" s="295">
        <v>1</v>
      </c>
      <c r="I256" s="295" t="s">
        <v>3108</v>
      </c>
      <c r="J256" s="295" t="s">
        <v>3109</v>
      </c>
      <c r="K256" s="295" t="s">
        <v>3110</v>
      </c>
      <c r="L256" s="295" t="s">
        <v>3111</v>
      </c>
      <c r="M256" s="295">
        <v>1</v>
      </c>
      <c r="N256" s="295">
        <v>80</v>
      </c>
      <c r="O256" s="295">
        <f t="shared" si="33"/>
        <v>5</v>
      </c>
      <c r="P256" s="295" t="str">
        <f t="shared" si="34"/>
        <v>[(112,5)]</v>
      </c>
      <c r="Q256">
        <f t="shared" si="32"/>
        <v>3.5555555555555558</v>
      </c>
    </row>
    <row r="257" spans="1:17" x14ac:dyDescent="0.15">
      <c r="A257" s="295">
        <v>3</v>
      </c>
      <c r="B257" s="295" t="s">
        <v>3076</v>
      </c>
      <c r="C257" s="295" t="s">
        <v>3176</v>
      </c>
      <c r="D257" s="295">
        <v>5</v>
      </c>
      <c r="E257" s="295" t="s">
        <v>3221</v>
      </c>
      <c r="F257" s="295" t="s">
        <v>3061</v>
      </c>
      <c r="G257" s="295">
        <v>5</v>
      </c>
      <c r="H257" s="295">
        <v>1</v>
      </c>
      <c r="I257" s="295" t="s">
        <v>3177</v>
      </c>
      <c r="J257" s="295" t="s">
        <v>3178</v>
      </c>
      <c r="K257" s="295" t="s">
        <v>3721</v>
      </c>
      <c r="L257" s="295" t="s">
        <v>3720</v>
      </c>
      <c r="M257" s="295">
        <v>16</v>
      </c>
      <c r="N257" s="295">
        <v>5</v>
      </c>
      <c r="O257" s="295">
        <f t="shared" si="33"/>
        <v>10</v>
      </c>
      <c r="P257" s="295" t="str">
        <f t="shared" si="34"/>
        <v>[(112,10)]</v>
      </c>
      <c r="Q257">
        <f t="shared" si="32"/>
        <v>5</v>
      </c>
    </row>
    <row r="258" spans="1:17" x14ac:dyDescent="0.15">
      <c r="A258" s="295">
        <v>3</v>
      </c>
      <c r="B258" s="295" t="s">
        <v>3219</v>
      </c>
      <c r="C258" s="295" t="s">
        <v>3223</v>
      </c>
      <c r="D258" s="295">
        <v>5</v>
      </c>
      <c r="E258" s="295" t="s">
        <v>3224</v>
      </c>
      <c r="F258" s="295" t="s">
        <v>3061</v>
      </c>
      <c r="G258" s="295">
        <v>500</v>
      </c>
      <c r="H258" s="295">
        <v>1</v>
      </c>
      <c r="I258" s="295" t="s">
        <v>3225</v>
      </c>
      <c r="J258" s="295" t="s">
        <v>3226</v>
      </c>
      <c r="K258" s="295" t="s">
        <v>3227</v>
      </c>
      <c r="L258" s="295" t="s">
        <v>3228</v>
      </c>
      <c r="M258" s="295">
        <v>17</v>
      </c>
      <c r="N258" s="295">
        <v>500</v>
      </c>
      <c r="O258" s="295">
        <f t="shared" si="33"/>
        <v>15</v>
      </c>
      <c r="P258" s="295" t="str">
        <f t="shared" si="34"/>
        <v>[(112,15)]</v>
      </c>
      <c r="Q258">
        <f t="shared" si="32"/>
        <v>5</v>
      </c>
    </row>
    <row r="259" spans="1:17" x14ac:dyDescent="0.15">
      <c r="A259" s="295">
        <v>3</v>
      </c>
      <c r="B259" s="295" t="s">
        <v>3940</v>
      </c>
      <c r="C259" s="295" t="s">
        <v>3986</v>
      </c>
      <c r="D259" s="295">
        <v>5</v>
      </c>
      <c r="E259" s="295" t="s">
        <v>3221</v>
      </c>
      <c r="F259" s="295" t="s">
        <v>3987</v>
      </c>
      <c r="G259" s="295">
        <v>5</v>
      </c>
      <c r="H259" s="295">
        <v>1</v>
      </c>
      <c r="I259" s="295" t="s">
        <v>3988</v>
      </c>
      <c r="J259" s="295" t="s">
        <v>3989</v>
      </c>
      <c r="K259" s="295" t="s">
        <v>3966</v>
      </c>
      <c r="L259" s="295" t="s">
        <v>3967</v>
      </c>
      <c r="M259" s="295">
        <v>1</v>
      </c>
      <c r="N259" s="295">
        <v>5</v>
      </c>
      <c r="O259" s="295">
        <f t="shared" si="33"/>
        <v>5</v>
      </c>
      <c r="P259" s="295" t="str">
        <f t="shared" si="34"/>
        <v>[(112,5)]</v>
      </c>
      <c r="Q259">
        <f t="shared" ref="Q259:Q315" si="35">IF((N259/VLOOKUP(B259,AG:AJ,MATCH("单场参数换算",$AG$1:$AJ$1,0),FALSE))/($AN$2/$AN$1)&gt;7,7,(N259/VLOOKUP(B259,AG:AJ,MATCH("单场参数换算",$AG$1:$AJ$1,0),FALSE))/($AN$2/$AN$1))</f>
        <v>5</v>
      </c>
    </row>
    <row r="260" spans="1:17" x14ac:dyDescent="0.15">
      <c r="A260" s="295">
        <v>3</v>
      </c>
      <c r="B260" s="295" t="s">
        <v>3134</v>
      </c>
      <c r="C260" s="295" t="s">
        <v>3135</v>
      </c>
      <c r="D260" s="295">
        <v>5</v>
      </c>
      <c r="E260" s="295" t="s">
        <v>3248</v>
      </c>
      <c r="F260" s="295" t="s">
        <v>3136</v>
      </c>
      <c r="G260" s="295">
        <v>20</v>
      </c>
      <c r="H260" s="295">
        <v>2</v>
      </c>
      <c r="I260" s="295" t="s">
        <v>3137</v>
      </c>
      <c r="J260" s="295" t="s">
        <v>3138</v>
      </c>
      <c r="K260" s="295" t="s">
        <v>3139</v>
      </c>
      <c r="L260" s="295" t="s">
        <v>3140</v>
      </c>
      <c r="M260" s="295">
        <v>1</v>
      </c>
      <c r="N260" s="295">
        <v>20</v>
      </c>
      <c r="O260" s="295">
        <f t="shared" si="33"/>
        <v>10</v>
      </c>
      <c r="P260" s="295" t="str">
        <f t="shared" si="34"/>
        <v>[(112,10)]</v>
      </c>
      <c r="Q260">
        <f t="shared" si="35"/>
        <v>2.6666666666666665</v>
      </c>
    </row>
    <row r="261" spans="1:17" x14ac:dyDescent="0.15">
      <c r="A261" s="295">
        <v>3</v>
      </c>
      <c r="B261" s="295" t="s">
        <v>3170</v>
      </c>
      <c r="C261" s="295" t="s">
        <v>3171</v>
      </c>
      <c r="D261" s="295">
        <v>5</v>
      </c>
      <c r="E261" s="295" t="s">
        <v>3156</v>
      </c>
      <c r="F261" s="295" t="s">
        <v>3061</v>
      </c>
      <c r="G261" s="295">
        <v>15</v>
      </c>
      <c r="H261" s="295">
        <v>2</v>
      </c>
      <c r="I261" s="295" t="s">
        <v>3172</v>
      </c>
      <c r="J261" s="295" t="s">
        <v>3173</v>
      </c>
      <c r="K261" s="295" t="s">
        <v>3174</v>
      </c>
      <c r="L261" s="295" t="s">
        <v>3175</v>
      </c>
      <c r="M261" s="295">
        <v>17</v>
      </c>
      <c r="N261" s="295">
        <v>15</v>
      </c>
      <c r="O261" s="295">
        <f t="shared" si="33"/>
        <v>10</v>
      </c>
      <c r="P261" s="295" t="str">
        <f t="shared" si="34"/>
        <v>[(112,10)]</v>
      </c>
      <c r="Q261">
        <f t="shared" si="35"/>
        <v>7</v>
      </c>
    </row>
    <row r="262" spans="1:17" x14ac:dyDescent="0.15">
      <c r="A262" s="295">
        <v>3</v>
      </c>
      <c r="B262" s="295" t="s">
        <v>3120</v>
      </c>
      <c r="C262" s="295" t="s">
        <v>3121</v>
      </c>
      <c r="D262" s="295">
        <v>5</v>
      </c>
      <c r="E262" s="295" t="s">
        <v>3248</v>
      </c>
      <c r="F262" s="295" t="s">
        <v>3061</v>
      </c>
      <c r="G262" s="295">
        <v>20</v>
      </c>
      <c r="H262" s="295">
        <v>2</v>
      </c>
      <c r="I262" s="295" t="s">
        <v>3122</v>
      </c>
      <c r="J262" s="295" t="s">
        <v>3123</v>
      </c>
      <c r="K262" s="295" t="s">
        <v>3124</v>
      </c>
      <c r="L262" s="295" t="s">
        <v>3125</v>
      </c>
      <c r="M262" s="295">
        <v>1</v>
      </c>
      <c r="N262" s="295">
        <v>20</v>
      </c>
      <c r="O262" s="295">
        <f t="shared" si="33"/>
        <v>15</v>
      </c>
      <c r="P262" s="295" t="str">
        <f t="shared" si="34"/>
        <v>[(112,15)]</v>
      </c>
      <c r="Q262">
        <f t="shared" si="35"/>
        <v>5.333333333333333</v>
      </c>
    </row>
    <row r="263" spans="1:17" x14ac:dyDescent="0.15">
      <c r="A263" s="295">
        <v>3</v>
      </c>
      <c r="B263" s="295" t="s">
        <v>3163</v>
      </c>
      <c r="C263" s="295" t="s">
        <v>3242</v>
      </c>
      <c r="D263" s="295">
        <v>5</v>
      </c>
      <c r="E263" s="295" t="s">
        <v>3243</v>
      </c>
      <c r="F263" s="295" t="s">
        <v>3061</v>
      </c>
      <c r="G263" s="295">
        <v>1</v>
      </c>
      <c r="H263" s="295">
        <v>2</v>
      </c>
      <c r="I263" s="295" t="s">
        <v>3244</v>
      </c>
      <c r="J263" s="295" t="s">
        <v>3245</v>
      </c>
      <c r="K263" s="295" t="s">
        <v>3246</v>
      </c>
      <c r="L263" s="295" t="s">
        <v>3247</v>
      </c>
      <c r="M263" s="295">
        <v>1</v>
      </c>
      <c r="N263" s="295">
        <v>1</v>
      </c>
      <c r="O263" s="295">
        <f t="shared" si="33"/>
        <v>15</v>
      </c>
      <c r="P263" s="295" t="str">
        <f t="shared" si="34"/>
        <v>[(112,15)]</v>
      </c>
      <c r="Q263">
        <f t="shared" si="35"/>
        <v>7</v>
      </c>
    </row>
    <row r="264" spans="1:17" x14ac:dyDescent="0.15">
      <c r="A264" s="295">
        <v>3</v>
      </c>
      <c r="B264" s="295" t="s">
        <v>3086</v>
      </c>
      <c r="C264" s="295" t="s">
        <v>3095</v>
      </c>
      <c r="D264" s="295">
        <v>5</v>
      </c>
      <c r="E264" s="295" t="s">
        <v>3060</v>
      </c>
      <c r="F264" s="295" t="s">
        <v>3061</v>
      </c>
      <c r="G264" s="295">
        <v>6</v>
      </c>
      <c r="H264" s="295">
        <v>2</v>
      </c>
      <c r="I264" s="295" t="s">
        <v>3096</v>
      </c>
      <c r="J264" s="295" t="s">
        <v>3097</v>
      </c>
      <c r="K264" s="295" t="s">
        <v>3098</v>
      </c>
      <c r="L264" s="295" t="s">
        <v>3099</v>
      </c>
      <c r="M264" s="295">
        <v>1</v>
      </c>
      <c r="N264" s="295">
        <v>6</v>
      </c>
      <c r="O264" s="295">
        <f t="shared" si="33"/>
        <v>20</v>
      </c>
      <c r="P264" s="295" t="str">
        <f t="shared" si="34"/>
        <v>[(112,20)]</v>
      </c>
      <c r="Q264">
        <f t="shared" si="35"/>
        <v>4</v>
      </c>
    </row>
    <row r="265" spans="1:17" x14ac:dyDescent="0.15">
      <c r="A265" s="295">
        <v>3</v>
      </c>
      <c r="B265" s="295" t="s">
        <v>3100</v>
      </c>
      <c r="C265" s="295" t="s">
        <v>3101</v>
      </c>
      <c r="D265" s="295">
        <v>6</v>
      </c>
      <c r="E265" s="295" t="s">
        <v>1650</v>
      </c>
      <c r="F265" s="295" t="s">
        <v>3061</v>
      </c>
      <c r="G265" s="295">
        <v>50</v>
      </c>
      <c r="H265" s="295">
        <v>1</v>
      </c>
      <c r="I265" s="295" t="s">
        <v>3103</v>
      </c>
      <c r="J265" s="295" t="s">
        <v>3104</v>
      </c>
      <c r="K265" s="295" t="s">
        <v>3105</v>
      </c>
      <c r="L265" s="295" t="s">
        <v>3106</v>
      </c>
      <c r="M265" s="295">
        <v>1</v>
      </c>
      <c r="N265" s="295">
        <v>50</v>
      </c>
      <c r="O265" s="295">
        <f t="shared" si="33"/>
        <v>10</v>
      </c>
      <c r="P265" s="295" t="str">
        <f t="shared" si="34"/>
        <v>[(112,10)]</v>
      </c>
      <c r="Q265">
        <f t="shared" si="35"/>
        <v>1.3333333333333333</v>
      </c>
    </row>
    <row r="266" spans="1:17" x14ac:dyDescent="0.15">
      <c r="A266" s="295">
        <v>3</v>
      </c>
      <c r="B266" s="295" t="s">
        <v>3126</v>
      </c>
      <c r="C266" s="295" t="s">
        <v>3127</v>
      </c>
      <c r="D266" s="295">
        <v>6</v>
      </c>
      <c r="E266" s="295" t="s">
        <v>3220</v>
      </c>
      <c r="F266" s="295" t="s">
        <v>3129</v>
      </c>
      <c r="G266" s="295">
        <v>15</v>
      </c>
      <c r="H266" s="295">
        <v>1</v>
      </c>
      <c r="I266" s="295" t="s">
        <v>3130</v>
      </c>
      <c r="J266" s="295" t="s">
        <v>3131</v>
      </c>
      <c r="K266" s="295" t="s">
        <v>3132</v>
      </c>
      <c r="L266" s="295" t="s">
        <v>3133</v>
      </c>
      <c r="M266" s="295">
        <v>1</v>
      </c>
      <c r="N266" s="295">
        <v>15</v>
      </c>
      <c r="O266" s="295">
        <f t="shared" ref="O266:O315" si="36">VLOOKUP(B266,AG:AK,5,FALSE)</f>
        <v>10</v>
      </c>
      <c r="P266" s="295" t="str">
        <f t="shared" si="34"/>
        <v>[(112,10)]</v>
      </c>
      <c r="Q266">
        <f t="shared" si="35"/>
        <v>2</v>
      </c>
    </row>
    <row r="267" spans="1:17" x14ac:dyDescent="0.15">
      <c r="A267" s="295">
        <v>3</v>
      </c>
      <c r="B267" s="295" t="s">
        <v>3180</v>
      </c>
      <c r="C267" s="295" t="s">
        <v>3181</v>
      </c>
      <c r="D267" s="295">
        <v>6</v>
      </c>
      <c r="E267" s="295" t="s">
        <v>3221</v>
      </c>
      <c r="F267" s="295" t="s">
        <v>3061</v>
      </c>
      <c r="G267" s="295">
        <v>5</v>
      </c>
      <c r="H267" s="295">
        <v>1</v>
      </c>
      <c r="I267" s="295" t="s">
        <v>3182</v>
      </c>
      <c r="J267" s="295" t="s">
        <v>3183</v>
      </c>
      <c r="K267" s="295" t="s">
        <v>3184</v>
      </c>
      <c r="L267" s="295" t="s">
        <v>3185</v>
      </c>
      <c r="M267" s="295">
        <v>8</v>
      </c>
      <c r="N267" s="295">
        <v>5</v>
      </c>
      <c r="O267" s="295">
        <f t="shared" si="36"/>
        <v>10</v>
      </c>
      <c r="P267" s="295" t="str">
        <f t="shared" si="34"/>
        <v>[(112,10)]</v>
      </c>
      <c r="Q267">
        <f t="shared" si="35"/>
        <v>2.5</v>
      </c>
    </row>
    <row r="268" spans="1:17" x14ac:dyDescent="0.15">
      <c r="A268" s="295">
        <v>3</v>
      </c>
      <c r="B268" s="295" t="s">
        <v>3179</v>
      </c>
      <c r="C268" s="295" t="s">
        <v>3250</v>
      </c>
      <c r="D268" s="295">
        <v>6</v>
      </c>
      <c r="E268" s="295" t="s">
        <v>3061</v>
      </c>
      <c r="F268" s="295" t="s">
        <v>3136</v>
      </c>
      <c r="G268" s="295">
        <v>1</v>
      </c>
      <c r="H268" s="295">
        <v>1</v>
      </c>
      <c r="I268" s="295" t="s">
        <v>3251</v>
      </c>
      <c r="J268" s="295" t="s">
        <v>3252</v>
      </c>
      <c r="K268" s="295" t="s">
        <v>3253</v>
      </c>
      <c r="L268" s="295" t="s">
        <v>3254</v>
      </c>
      <c r="M268" s="295">
        <v>1</v>
      </c>
      <c r="N268" s="295">
        <v>1</v>
      </c>
      <c r="O268" s="295">
        <f t="shared" si="36"/>
        <v>15</v>
      </c>
      <c r="P268" s="295" t="str">
        <f t="shared" si="34"/>
        <v>[(112,15)]</v>
      </c>
      <c r="Q268">
        <f t="shared" si="35"/>
        <v>0.5</v>
      </c>
    </row>
    <row r="269" spans="1:17" x14ac:dyDescent="0.15">
      <c r="A269" s="295">
        <v>3</v>
      </c>
      <c r="B269" s="295" t="s">
        <v>3155</v>
      </c>
      <c r="C269" s="295" t="s">
        <v>3255</v>
      </c>
      <c r="D269" s="295">
        <v>6</v>
      </c>
      <c r="E269" s="295" t="s">
        <v>1650</v>
      </c>
      <c r="F269" s="295" t="s">
        <v>3849</v>
      </c>
      <c r="G269" s="295">
        <v>1</v>
      </c>
      <c r="H269" s="295">
        <v>1</v>
      </c>
      <c r="I269" s="295" t="s">
        <v>3256</v>
      </c>
      <c r="J269" s="295" t="s">
        <v>3257</v>
      </c>
      <c r="K269" s="295" t="s">
        <v>3258</v>
      </c>
      <c r="L269" s="295" t="s">
        <v>3259</v>
      </c>
      <c r="M269" s="295">
        <v>1</v>
      </c>
      <c r="N269" s="295">
        <v>1</v>
      </c>
      <c r="O269" s="295">
        <f t="shared" si="36"/>
        <v>20</v>
      </c>
      <c r="P269" s="295" t="str">
        <f t="shared" si="34"/>
        <v>[(112,20)]</v>
      </c>
      <c r="Q269">
        <f t="shared" si="35"/>
        <v>1</v>
      </c>
    </row>
    <row r="270" spans="1:17" x14ac:dyDescent="0.15">
      <c r="A270" s="295">
        <v>3</v>
      </c>
      <c r="B270" s="295" t="s">
        <v>3113</v>
      </c>
      <c r="C270" s="295" t="s">
        <v>3114</v>
      </c>
      <c r="D270" s="295">
        <v>6</v>
      </c>
      <c r="E270" s="295" t="s">
        <v>3221</v>
      </c>
      <c r="F270" s="295" t="s">
        <v>3061</v>
      </c>
      <c r="G270" s="295">
        <v>5</v>
      </c>
      <c r="H270" s="295">
        <v>2</v>
      </c>
      <c r="I270" s="295" t="s">
        <v>3115</v>
      </c>
      <c r="J270" s="295" t="s">
        <v>3116</v>
      </c>
      <c r="K270" s="295" t="s">
        <v>3117</v>
      </c>
      <c r="L270" s="295" t="s">
        <v>3118</v>
      </c>
      <c r="M270" s="295">
        <v>13</v>
      </c>
      <c r="N270" s="295">
        <v>5</v>
      </c>
      <c r="O270" s="295">
        <f t="shared" si="36"/>
        <v>5</v>
      </c>
      <c r="P270" s="295" t="str">
        <f t="shared" si="34"/>
        <v>[(112,5)]</v>
      </c>
      <c r="Q270">
        <f t="shared" si="35"/>
        <v>2.5</v>
      </c>
    </row>
    <row r="271" spans="1:17" x14ac:dyDescent="0.15">
      <c r="A271" s="295">
        <v>3</v>
      </c>
      <c r="B271" s="295" t="s">
        <v>3958</v>
      </c>
      <c r="C271" s="295" t="s">
        <v>4006</v>
      </c>
      <c r="D271" s="295">
        <v>6</v>
      </c>
      <c r="E271" s="295" t="s">
        <v>1580</v>
      </c>
      <c r="F271" s="295" t="s">
        <v>4007</v>
      </c>
      <c r="G271" s="295">
        <v>3</v>
      </c>
      <c r="H271" s="295">
        <v>2</v>
      </c>
      <c r="I271" s="295" t="s">
        <v>4008</v>
      </c>
      <c r="J271" s="295" t="s">
        <v>4009</v>
      </c>
      <c r="K271" s="295" t="s">
        <v>4010</v>
      </c>
      <c r="L271" s="295" t="s">
        <v>4011</v>
      </c>
      <c r="M271" s="295">
        <v>1</v>
      </c>
      <c r="N271" s="295">
        <v>5</v>
      </c>
      <c r="O271" s="295">
        <f t="shared" si="36"/>
        <v>10</v>
      </c>
      <c r="P271" s="295" t="str">
        <f t="shared" si="34"/>
        <v>[(112,10)]</v>
      </c>
      <c r="Q271">
        <f t="shared" si="35"/>
        <v>5</v>
      </c>
    </row>
    <row r="272" spans="1:17" x14ac:dyDescent="0.15">
      <c r="A272" s="295">
        <v>3</v>
      </c>
      <c r="B272" s="295" t="s">
        <v>3190</v>
      </c>
      <c r="C272" s="295" t="s">
        <v>3191</v>
      </c>
      <c r="D272" s="295">
        <v>6</v>
      </c>
      <c r="E272" s="295" t="s">
        <v>3248</v>
      </c>
      <c r="F272" s="295" t="s">
        <v>3061</v>
      </c>
      <c r="G272" s="295">
        <v>20</v>
      </c>
      <c r="H272" s="295">
        <v>2</v>
      </c>
      <c r="I272" s="295" t="s">
        <v>3192</v>
      </c>
      <c r="J272" s="295" t="s">
        <v>3193</v>
      </c>
      <c r="K272" s="295" t="s">
        <v>3194</v>
      </c>
      <c r="L272" s="295" t="s">
        <v>3195</v>
      </c>
      <c r="M272" s="295">
        <v>11</v>
      </c>
      <c r="N272" s="295">
        <v>20</v>
      </c>
      <c r="O272" s="295">
        <f t="shared" si="36"/>
        <v>10</v>
      </c>
      <c r="P272" s="295" t="str">
        <f t="shared" si="34"/>
        <v>[(112,10)]</v>
      </c>
      <c r="Q272">
        <f t="shared" si="35"/>
        <v>5</v>
      </c>
    </row>
    <row r="273" spans="1:17" x14ac:dyDescent="0.15">
      <c r="A273" s="295">
        <v>3</v>
      </c>
      <c r="B273" s="295" t="s">
        <v>3142</v>
      </c>
      <c r="C273" s="295" t="s">
        <v>3143</v>
      </c>
      <c r="D273" s="295">
        <v>6</v>
      </c>
      <c r="E273" s="295" t="s">
        <v>3249</v>
      </c>
      <c r="F273" s="295" t="s">
        <v>3144</v>
      </c>
      <c r="G273" s="295">
        <v>10</v>
      </c>
      <c r="H273" s="295">
        <v>2</v>
      </c>
      <c r="I273" s="295" t="s">
        <v>3145</v>
      </c>
      <c r="J273" s="295" t="s">
        <v>3146</v>
      </c>
      <c r="K273" s="295" t="s">
        <v>3147</v>
      </c>
      <c r="L273" s="295" t="s">
        <v>3148</v>
      </c>
      <c r="M273" s="295">
        <v>1</v>
      </c>
      <c r="N273" s="295">
        <v>10</v>
      </c>
      <c r="O273" s="295">
        <f t="shared" si="36"/>
        <v>10</v>
      </c>
      <c r="P273" s="295" t="str">
        <f t="shared" si="34"/>
        <v>[(112,10)]</v>
      </c>
      <c r="Q273">
        <f t="shared" si="35"/>
        <v>7</v>
      </c>
    </row>
    <row r="274" spans="1:17" x14ac:dyDescent="0.15">
      <c r="A274" s="295">
        <v>3</v>
      </c>
      <c r="B274" s="295" t="s">
        <v>3952</v>
      </c>
      <c r="C274" s="295" t="s">
        <v>3990</v>
      </c>
      <c r="D274" s="295">
        <v>6</v>
      </c>
      <c r="E274" s="297" t="s">
        <v>3994</v>
      </c>
      <c r="F274" s="295" t="s">
        <v>3963</v>
      </c>
      <c r="G274" s="295">
        <v>12</v>
      </c>
      <c r="H274" s="295">
        <v>1</v>
      </c>
      <c r="I274" s="295" t="s">
        <v>3991</v>
      </c>
      <c r="J274" s="295" t="s">
        <v>3992</v>
      </c>
      <c r="K274" s="295" t="s">
        <v>3110</v>
      </c>
      <c r="L274" s="295" t="s">
        <v>3111</v>
      </c>
      <c r="M274" s="295">
        <v>1</v>
      </c>
      <c r="N274" s="295">
        <v>15</v>
      </c>
      <c r="O274" s="295">
        <f t="shared" si="36"/>
        <v>10</v>
      </c>
      <c r="P274" s="295" t="str">
        <f t="shared" si="34"/>
        <v>[(112,10)]</v>
      </c>
      <c r="Q274">
        <f t="shared" si="35"/>
        <v>7</v>
      </c>
    </row>
    <row r="275" spans="1:17" x14ac:dyDescent="0.15">
      <c r="A275" s="295">
        <v>3</v>
      </c>
      <c r="B275" s="295" t="s">
        <v>3149</v>
      </c>
      <c r="C275" s="295" t="s">
        <v>3150</v>
      </c>
      <c r="D275" s="295">
        <v>7</v>
      </c>
      <c r="E275" s="295" t="s">
        <v>3291</v>
      </c>
      <c r="F275" s="295" t="s">
        <v>3061</v>
      </c>
      <c r="G275" s="295">
        <v>300</v>
      </c>
      <c r="H275" s="295">
        <v>1</v>
      </c>
      <c r="I275" s="295" t="s">
        <v>3151</v>
      </c>
      <c r="J275" s="295" t="s">
        <v>3152</v>
      </c>
      <c r="K275" s="295" t="s">
        <v>3153</v>
      </c>
      <c r="L275" s="295" t="s">
        <v>3154</v>
      </c>
      <c r="M275" s="295">
        <v>1</v>
      </c>
      <c r="N275" s="295">
        <v>300</v>
      </c>
      <c r="O275" s="295">
        <f t="shared" si="36"/>
        <v>5</v>
      </c>
      <c r="P275" s="295" t="str">
        <f t="shared" si="34"/>
        <v>[(112,5)]</v>
      </c>
      <c r="Q275">
        <f t="shared" si="35"/>
        <v>1.6</v>
      </c>
    </row>
    <row r="276" spans="1:17" x14ac:dyDescent="0.15">
      <c r="A276" s="295">
        <v>3</v>
      </c>
      <c r="B276" s="295" t="s">
        <v>3212</v>
      </c>
      <c r="C276" s="295" t="s">
        <v>3260</v>
      </c>
      <c r="D276" s="295">
        <v>7</v>
      </c>
      <c r="E276" s="295" t="s">
        <v>3221</v>
      </c>
      <c r="F276" s="295" t="s">
        <v>3207</v>
      </c>
      <c r="G276" s="295">
        <v>5</v>
      </c>
      <c r="H276" s="295">
        <v>1</v>
      </c>
      <c r="I276" s="295" t="s">
        <v>3261</v>
      </c>
      <c r="J276" s="295" t="s">
        <v>3262</v>
      </c>
      <c r="K276" s="295" t="s">
        <v>3263</v>
      </c>
      <c r="L276" s="295" t="s">
        <v>3264</v>
      </c>
      <c r="M276" s="295">
        <v>1</v>
      </c>
      <c r="N276" s="295">
        <v>5</v>
      </c>
      <c r="O276" s="295">
        <f t="shared" si="36"/>
        <v>10</v>
      </c>
      <c r="P276" s="295" t="str">
        <f t="shared" si="34"/>
        <v>[(112,10)]</v>
      </c>
      <c r="Q276">
        <f t="shared" si="35"/>
        <v>1</v>
      </c>
    </row>
    <row r="277" spans="1:17" x14ac:dyDescent="0.15">
      <c r="A277" s="295">
        <v>3</v>
      </c>
      <c r="B277" s="295" t="s">
        <v>3942</v>
      </c>
      <c r="C277" s="295" t="s">
        <v>3995</v>
      </c>
      <c r="D277" s="295">
        <v>7</v>
      </c>
      <c r="E277" s="295" t="s">
        <v>3221</v>
      </c>
      <c r="F277" s="295" t="s">
        <v>3996</v>
      </c>
      <c r="G277" s="295">
        <v>5</v>
      </c>
      <c r="H277" s="295">
        <v>1</v>
      </c>
      <c r="I277" s="295" t="s">
        <v>3997</v>
      </c>
      <c r="J277" s="295" t="s">
        <v>3998</v>
      </c>
      <c r="K277" s="295" t="s">
        <v>3966</v>
      </c>
      <c r="L277" s="295" t="s">
        <v>3967</v>
      </c>
      <c r="M277" s="295">
        <v>1</v>
      </c>
      <c r="N277" s="295">
        <v>5</v>
      </c>
      <c r="O277" s="295">
        <f t="shared" si="36"/>
        <v>5</v>
      </c>
      <c r="P277" s="295" t="str">
        <f t="shared" si="34"/>
        <v>[(112,5)]</v>
      </c>
      <c r="Q277">
        <f t="shared" si="35"/>
        <v>5</v>
      </c>
    </row>
    <row r="278" spans="1:17" x14ac:dyDescent="0.15">
      <c r="A278" s="295">
        <v>3</v>
      </c>
      <c r="B278" s="295" t="s">
        <v>3189</v>
      </c>
      <c r="C278" s="295" t="s">
        <v>3267</v>
      </c>
      <c r="D278" s="295">
        <v>7</v>
      </c>
      <c r="E278" s="295" t="s">
        <v>3248</v>
      </c>
      <c r="F278" s="297" t="s">
        <v>3851</v>
      </c>
      <c r="G278" s="295">
        <v>1</v>
      </c>
      <c r="H278" s="295">
        <v>1</v>
      </c>
      <c r="I278" s="295" t="s">
        <v>3268</v>
      </c>
      <c r="J278" s="295" t="s">
        <v>3269</v>
      </c>
      <c r="K278" s="295" t="s">
        <v>3270</v>
      </c>
      <c r="L278" s="295" t="s">
        <v>3271</v>
      </c>
      <c r="M278" s="295">
        <v>1</v>
      </c>
      <c r="N278" s="295">
        <v>1</v>
      </c>
      <c r="O278" s="295">
        <f t="shared" si="36"/>
        <v>15</v>
      </c>
      <c r="P278" s="295" t="str">
        <f t="shared" si="34"/>
        <v>[(112,15)]</v>
      </c>
      <c r="Q278">
        <f t="shared" si="35"/>
        <v>6.9999999999999991</v>
      </c>
    </row>
    <row r="279" spans="1:17" x14ac:dyDescent="0.15">
      <c r="A279" s="295">
        <v>3</v>
      </c>
      <c r="B279" s="295" t="s">
        <v>3196</v>
      </c>
      <c r="C279" s="295" t="s">
        <v>3272</v>
      </c>
      <c r="D279" s="295">
        <v>7</v>
      </c>
      <c r="E279" s="295" t="s">
        <v>3090</v>
      </c>
      <c r="F279" s="295" t="s">
        <v>3292</v>
      </c>
      <c r="G279" s="295">
        <v>1</v>
      </c>
      <c r="H279" s="295">
        <v>1</v>
      </c>
      <c r="I279" s="295" t="s">
        <v>3274</v>
      </c>
      <c r="J279" s="295" t="s">
        <v>3275</v>
      </c>
      <c r="K279" s="295" t="s">
        <v>3276</v>
      </c>
      <c r="L279" s="295" t="s">
        <v>3277</v>
      </c>
      <c r="M279" s="295">
        <v>1</v>
      </c>
      <c r="N279" s="295">
        <v>1</v>
      </c>
      <c r="O279" s="295">
        <f t="shared" si="36"/>
        <v>15</v>
      </c>
      <c r="P279" s="295" t="str">
        <f t="shared" si="34"/>
        <v>[(112,15)]</v>
      </c>
      <c r="Q279">
        <f t="shared" si="35"/>
        <v>6.9999999999999991</v>
      </c>
    </row>
    <row r="280" spans="1:17" x14ac:dyDescent="0.15">
      <c r="A280" s="295">
        <v>3</v>
      </c>
      <c r="B280" s="295" t="s">
        <v>3204</v>
      </c>
      <c r="C280" s="295" t="s">
        <v>3229</v>
      </c>
      <c r="D280" s="295">
        <v>7</v>
      </c>
      <c r="E280" s="297" t="s">
        <v>4092</v>
      </c>
      <c r="F280" s="295" t="s">
        <v>3061</v>
      </c>
      <c r="G280" s="295">
        <v>5</v>
      </c>
      <c r="H280" s="295">
        <v>2</v>
      </c>
      <c r="I280" s="295" t="s">
        <v>3230</v>
      </c>
      <c r="J280" s="295" t="s">
        <v>3231</v>
      </c>
      <c r="K280" s="295" t="s">
        <v>3232</v>
      </c>
      <c r="L280" s="295" t="s">
        <v>3233</v>
      </c>
      <c r="M280" s="295">
        <v>0</v>
      </c>
      <c r="N280" s="295">
        <v>5</v>
      </c>
      <c r="O280" s="295">
        <f t="shared" si="36"/>
        <v>5</v>
      </c>
      <c r="P280" s="295" t="str">
        <f t="shared" si="34"/>
        <v>[(112,5)]</v>
      </c>
      <c r="Q280">
        <f t="shared" si="35"/>
        <v>5</v>
      </c>
    </row>
    <row r="281" spans="1:17" x14ac:dyDescent="0.15">
      <c r="A281" s="295">
        <v>3</v>
      </c>
      <c r="B281" s="295" t="s">
        <v>3950</v>
      </c>
      <c r="C281" s="295" t="s">
        <v>3999</v>
      </c>
      <c r="D281" s="295">
        <v>7</v>
      </c>
      <c r="E281" s="295" t="s">
        <v>3221</v>
      </c>
      <c r="F281" s="295" t="s">
        <v>4000</v>
      </c>
      <c r="G281" s="295">
        <v>5</v>
      </c>
      <c r="H281" s="295">
        <v>2</v>
      </c>
      <c r="I281" s="295" t="s">
        <v>4001</v>
      </c>
      <c r="J281" s="295" t="s">
        <v>4002</v>
      </c>
      <c r="K281" s="295" t="s">
        <v>3966</v>
      </c>
      <c r="L281" s="295" t="s">
        <v>3967</v>
      </c>
      <c r="M281" s="295">
        <v>1</v>
      </c>
      <c r="N281" s="295">
        <v>5</v>
      </c>
      <c r="O281" s="295">
        <f t="shared" si="36"/>
        <v>10</v>
      </c>
      <c r="P281" s="295" t="str">
        <f t="shared" si="34"/>
        <v>[(112,10)]</v>
      </c>
      <c r="Q281">
        <f t="shared" si="35"/>
        <v>2.5</v>
      </c>
    </row>
    <row r="282" spans="1:17" x14ac:dyDescent="0.15">
      <c r="A282" s="295">
        <v>3</v>
      </c>
      <c r="B282" s="295" t="s">
        <v>3213</v>
      </c>
      <c r="C282" s="295" t="s">
        <v>3278</v>
      </c>
      <c r="D282" s="295">
        <v>7</v>
      </c>
      <c r="E282" s="295" t="s">
        <v>1580</v>
      </c>
      <c r="F282" s="295" t="s">
        <v>3061</v>
      </c>
      <c r="G282" s="295">
        <v>3</v>
      </c>
      <c r="H282" s="295">
        <v>2</v>
      </c>
      <c r="I282" s="295" t="s">
        <v>3279</v>
      </c>
      <c r="J282" s="295" t="s">
        <v>3279</v>
      </c>
      <c r="K282" s="295" t="s">
        <v>3280</v>
      </c>
      <c r="L282" s="295" t="s">
        <v>3281</v>
      </c>
      <c r="M282" s="295">
        <v>1</v>
      </c>
      <c r="N282" s="295">
        <v>3</v>
      </c>
      <c r="O282" s="295">
        <f t="shared" si="36"/>
        <v>10</v>
      </c>
      <c r="P282" s="295" t="str">
        <f t="shared" si="34"/>
        <v>[(112,10)]</v>
      </c>
      <c r="Q282">
        <f t="shared" si="35"/>
        <v>1.5</v>
      </c>
    </row>
    <row r="283" spans="1:17" x14ac:dyDescent="0.15">
      <c r="A283" s="295">
        <v>3</v>
      </c>
      <c r="B283" s="295" t="s">
        <v>3170</v>
      </c>
      <c r="C283" s="295" t="s">
        <v>3171</v>
      </c>
      <c r="D283" s="295">
        <v>7</v>
      </c>
      <c r="E283" s="295" t="s">
        <v>3221</v>
      </c>
      <c r="F283" s="295" t="s">
        <v>3061</v>
      </c>
      <c r="G283" s="295">
        <v>5</v>
      </c>
      <c r="H283" s="295">
        <v>2</v>
      </c>
      <c r="I283" s="295" t="s">
        <v>3172</v>
      </c>
      <c r="J283" s="295" t="s">
        <v>3173</v>
      </c>
      <c r="K283" s="295" t="s">
        <v>3174</v>
      </c>
      <c r="L283" s="295" t="s">
        <v>3175</v>
      </c>
      <c r="M283" s="295">
        <v>17</v>
      </c>
      <c r="N283" s="295">
        <v>5</v>
      </c>
      <c r="O283" s="295">
        <f t="shared" si="36"/>
        <v>10</v>
      </c>
      <c r="P283" s="295" t="str">
        <f t="shared" si="34"/>
        <v>[(112,10)]</v>
      </c>
      <c r="Q283">
        <f t="shared" si="35"/>
        <v>5</v>
      </c>
    </row>
    <row r="284" spans="1:17" x14ac:dyDescent="0.15">
      <c r="A284" s="295">
        <v>3</v>
      </c>
      <c r="B284" s="295" t="s">
        <v>3205</v>
      </c>
      <c r="C284" s="295" t="s">
        <v>3206</v>
      </c>
      <c r="D284" s="295">
        <v>7</v>
      </c>
      <c r="E284" s="295" t="s">
        <v>3221</v>
      </c>
      <c r="F284" s="295" t="s">
        <v>3207</v>
      </c>
      <c r="G284" s="295">
        <v>5</v>
      </c>
      <c r="H284" s="295">
        <v>2</v>
      </c>
      <c r="I284" s="295" t="s">
        <v>3208</v>
      </c>
      <c r="J284" s="295" t="s">
        <v>3209</v>
      </c>
      <c r="K284" s="295" t="s">
        <v>3210</v>
      </c>
      <c r="L284" s="295" t="s">
        <v>3211</v>
      </c>
      <c r="M284" s="295">
        <v>1</v>
      </c>
      <c r="N284" s="295">
        <v>5</v>
      </c>
      <c r="O284" s="295">
        <f t="shared" si="36"/>
        <v>15</v>
      </c>
      <c r="P284" s="295" t="str">
        <f t="shared" si="34"/>
        <v>[(112,15)]</v>
      </c>
      <c r="Q284">
        <f t="shared" si="35"/>
        <v>5</v>
      </c>
    </row>
    <row r="285" spans="1:17" x14ac:dyDescent="0.15">
      <c r="A285" s="295">
        <v>3</v>
      </c>
      <c r="B285" s="295" t="s">
        <v>3086</v>
      </c>
      <c r="C285" s="295" t="s">
        <v>3095</v>
      </c>
      <c r="D285" s="295">
        <v>7</v>
      </c>
      <c r="E285" s="295" t="s">
        <v>3060</v>
      </c>
      <c r="F285" s="295" t="s">
        <v>3061</v>
      </c>
      <c r="G285" s="295">
        <v>6</v>
      </c>
      <c r="H285" s="295">
        <v>2</v>
      </c>
      <c r="I285" s="295" t="s">
        <v>3096</v>
      </c>
      <c r="J285" s="295" t="s">
        <v>3097</v>
      </c>
      <c r="K285" s="295" t="s">
        <v>3098</v>
      </c>
      <c r="L285" s="295" t="s">
        <v>3099</v>
      </c>
      <c r="M285" s="295">
        <v>1</v>
      </c>
      <c r="N285" s="295">
        <v>6</v>
      </c>
      <c r="O285" s="295">
        <f t="shared" si="36"/>
        <v>20</v>
      </c>
      <c r="P285" s="295" t="str">
        <f t="shared" si="34"/>
        <v>[(112,20)]</v>
      </c>
      <c r="Q285">
        <f t="shared" si="35"/>
        <v>4</v>
      </c>
    </row>
    <row r="286" spans="1:17" x14ac:dyDescent="0.15">
      <c r="A286" s="295">
        <v>3</v>
      </c>
      <c r="B286" s="295" t="s">
        <v>3058</v>
      </c>
      <c r="C286" s="295" t="s">
        <v>3059</v>
      </c>
      <c r="D286" s="295">
        <v>8</v>
      </c>
      <c r="E286" s="295" t="s">
        <v>3221</v>
      </c>
      <c r="F286" s="295" t="s">
        <v>3061</v>
      </c>
      <c r="G286" s="295">
        <v>20</v>
      </c>
      <c r="H286" s="295">
        <v>1</v>
      </c>
      <c r="I286" s="295" t="s">
        <v>3062</v>
      </c>
      <c r="J286" s="295" t="s">
        <v>3063</v>
      </c>
      <c r="K286" s="295" t="s">
        <v>3064</v>
      </c>
      <c r="L286" s="295" t="s">
        <v>3065</v>
      </c>
      <c r="M286" s="295">
        <v>7</v>
      </c>
      <c r="N286" s="295">
        <v>5</v>
      </c>
      <c r="O286" s="295">
        <f t="shared" si="36"/>
        <v>5</v>
      </c>
      <c r="P286" s="295" t="str">
        <f t="shared" si="34"/>
        <v>[(112,5)]</v>
      </c>
      <c r="Q286">
        <f t="shared" si="35"/>
        <v>2.5</v>
      </c>
    </row>
    <row r="287" spans="1:17" x14ac:dyDescent="0.15">
      <c r="A287" s="295">
        <v>3</v>
      </c>
      <c r="B287" s="295" t="s">
        <v>3100</v>
      </c>
      <c r="C287" s="295" t="s">
        <v>3101</v>
      </c>
      <c r="D287" s="295">
        <v>8</v>
      </c>
      <c r="E287" s="295" t="s">
        <v>1650</v>
      </c>
      <c r="F287" s="295" t="s">
        <v>3061</v>
      </c>
      <c r="G287" s="295">
        <v>50</v>
      </c>
      <c r="H287" s="295">
        <v>1</v>
      </c>
      <c r="I287" s="295" t="s">
        <v>3103</v>
      </c>
      <c r="J287" s="295" t="s">
        <v>3104</v>
      </c>
      <c r="K287" s="295" t="s">
        <v>3105</v>
      </c>
      <c r="L287" s="295" t="s">
        <v>3106</v>
      </c>
      <c r="M287" s="295">
        <v>1</v>
      </c>
      <c r="N287" s="295">
        <v>50</v>
      </c>
      <c r="O287" s="295">
        <f t="shared" si="36"/>
        <v>10</v>
      </c>
      <c r="P287" s="295" t="str">
        <f t="shared" si="34"/>
        <v>[(112,10)]</v>
      </c>
      <c r="Q287">
        <f t="shared" si="35"/>
        <v>1.3333333333333333</v>
      </c>
    </row>
    <row r="288" spans="1:17" x14ac:dyDescent="0.15">
      <c r="A288" s="295">
        <v>3</v>
      </c>
      <c r="B288" s="295" t="s">
        <v>3142</v>
      </c>
      <c r="C288" s="295" t="s">
        <v>3143</v>
      </c>
      <c r="D288" s="295">
        <v>8</v>
      </c>
      <c r="E288" s="295" t="s">
        <v>3249</v>
      </c>
      <c r="F288" s="295" t="s">
        <v>3144</v>
      </c>
      <c r="G288" s="295">
        <v>10</v>
      </c>
      <c r="H288" s="295">
        <v>1</v>
      </c>
      <c r="I288" s="295" t="s">
        <v>3145</v>
      </c>
      <c r="J288" s="295" t="s">
        <v>3146</v>
      </c>
      <c r="K288" s="295" t="s">
        <v>3147</v>
      </c>
      <c r="L288" s="295" t="s">
        <v>3148</v>
      </c>
      <c r="M288" s="295">
        <v>1</v>
      </c>
      <c r="N288" s="295">
        <v>10</v>
      </c>
      <c r="O288" s="295">
        <f t="shared" si="36"/>
        <v>10</v>
      </c>
      <c r="P288" s="295" t="str">
        <f t="shared" si="34"/>
        <v>[(112,10)]</v>
      </c>
      <c r="Q288">
        <f t="shared" si="35"/>
        <v>7</v>
      </c>
    </row>
    <row r="289" spans="1:17" x14ac:dyDescent="0.15">
      <c r="A289" s="295">
        <v>3</v>
      </c>
      <c r="B289" s="295" t="s">
        <v>3189</v>
      </c>
      <c r="C289" s="295" t="s">
        <v>3267</v>
      </c>
      <c r="D289" s="295">
        <v>8</v>
      </c>
      <c r="E289" s="295" t="s">
        <v>3248</v>
      </c>
      <c r="F289" s="297" t="s">
        <v>3851</v>
      </c>
      <c r="G289" s="295">
        <v>1</v>
      </c>
      <c r="H289" s="295">
        <v>1</v>
      </c>
      <c r="I289" s="295" t="s">
        <v>3268</v>
      </c>
      <c r="J289" s="295" t="s">
        <v>3269</v>
      </c>
      <c r="K289" s="295" t="s">
        <v>3270</v>
      </c>
      <c r="L289" s="295" t="s">
        <v>3271</v>
      </c>
      <c r="M289" s="295">
        <v>1</v>
      </c>
      <c r="N289" s="295">
        <v>1</v>
      </c>
      <c r="O289" s="295">
        <f t="shared" si="36"/>
        <v>15</v>
      </c>
      <c r="P289" s="295" t="str">
        <f t="shared" si="34"/>
        <v>[(112,15)]</v>
      </c>
      <c r="Q289">
        <f t="shared" si="35"/>
        <v>6.9999999999999991</v>
      </c>
    </row>
    <row r="290" spans="1:17" x14ac:dyDescent="0.15">
      <c r="A290" s="295">
        <v>3</v>
      </c>
      <c r="B290" s="295" t="s">
        <v>3113</v>
      </c>
      <c r="C290" s="295" t="s">
        <v>3114</v>
      </c>
      <c r="D290" s="295">
        <v>8</v>
      </c>
      <c r="E290" s="295" t="s">
        <v>3221</v>
      </c>
      <c r="F290" s="295" t="s">
        <v>3061</v>
      </c>
      <c r="G290" s="295">
        <v>5</v>
      </c>
      <c r="H290" s="295">
        <v>2</v>
      </c>
      <c r="I290" s="295" t="s">
        <v>3265</v>
      </c>
      <c r="J290" s="295" t="s">
        <v>3266</v>
      </c>
      <c r="K290" s="295" t="s">
        <v>3117</v>
      </c>
      <c r="L290" s="295" t="s">
        <v>3118</v>
      </c>
      <c r="M290" s="295">
        <v>13</v>
      </c>
      <c r="N290" s="295">
        <v>5</v>
      </c>
      <c r="O290" s="295">
        <f t="shared" si="36"/>
        <v>5</v>
      </c>
      <c r="P290" s="295" t="str">
        <f t="shared" si="34"/>
        <v>[(112,5)]</v>
      </c>
      <c r="Q290">
        <f t="shared" si="35"/>
        <v>2.5</v>
      </c>
    </row>
    <row r="291" spans="1:17" x14ac:dyDescent="0.15">
      <c r="A291" s="295">
        <v>3</v>
      </c>
      <c r="B291" s="295" t="s">
        <v>3956</v>
      </c>
      <c r="C291" s="295" t="s">
        <v>4014</v>
      </c>
      <c r="D291" s="295">
        <v>1</v>
      </c>
      <c r="E291" s="295" t="s">
        <v>3993</v>
      </c>
      <c r="F291" s="295" t="s">
        <v>4000</v>
      </c>
      <c r="G291" s="295">
        <v>12</v>
      </c>
      <c r="H291" s="295">
        <v>2</v>
      </c>
      <c r="I291" s="295" t="s">
        <v>4015</v>
      </c>
      <c r="J291" s="295" t="s">
        <v>4016</v>
      </c>
      <c r="K291" s="295" t="s">
        <v>3110</v>
      </c>
      <c r="L291" s="295" t="s">
        <v>3111</v>
      </c>
      <c r="M291" s="295">
        <v>1</v>
      </c>
      <c r="N291" s="295">
        <v>12</v>
      </c>
      <c r="O291" s="295">
        <f t="shared" si="36"/>
        <v>10</v>
      </c>
      <c r="P291" s="295" t="str">
        <f t="shared" si="34"/>
        <v>[(112,10)]</v>
      </c>
      <c r="Q291">
        <f t="shared" si="35"/>
        <v>7</v>
      </c>
    </row>
    <row r="292" spans="1:17" x14ac:dyDescent="0.15">
      <c r="A292" s="295">
        <v>3</v>
      </c>
      <c r="B292" s="295" t="s">
        <v>3212</v>
      </c>
      <c r="C292" s="295" t="s">
        <v>3260</v>
      </c>
      <c r="D292" s="295">
        <v>8</v>
      </c>
      <c r="E292" s="295" t="s">
        <v>3221</v>
      </c>
      <c r="F292" s="295" t="s">
        <v>3207</v>
      </c>
      <c r="G292" s="295">
        <v>5</v>
      </c>
      <c r="H292" s="295">
        <v>2</v>
      </c>
      <c r="I292" s="295" t="s">
        <v>3261</v>
      </c>
      <c r="J292" s="295" t="s">
        <v>3262</v>
      </c>
      <c r="K292" s="295" t="s">
        <v>3263</v>
      </c>
      <c r="L292" s="295" t="s">
        <v>3264</v>
      </c>
      <c r="M292" s="295">
        <v>1</v>
      </c>
      <c r="N292" s="295">
        <v>5</v>
      </c>
      <c r="O292" s="295">
        <f t="shared" si="36"/>
        <v>10</v>
      </c>
      <c r="P292" s="295" t="str">
        <f t="shared" si="34"/>
        <v>[(112,10)]</v>
      </c>
      <c r="Q292">
        <f t="shared" si="35"/>
        <v>1</v>
      </c>
    </row>
    <row r="293" spans="1:17" x14ac:dyDescent="0.15">
      <c r="A293" s="295">
        <v>3</v>
      </c>
      <c r="B293" s="295" t="s">
        <v>3958</v>
      </c>
      <c r="C293" s="295" t="s">
        <v>4006</v>
      </c>
      <c r="D293" s="295">
        <v>8</v>
      </c>
      <c r="E293" s="297" t="s">
        <v>4012</v>
      </c>
      <c r="F293" s="295" t="s">
        <v>4007</v>
      </c>
      <c r="G293" s="295">
        <v>5</v>
      </c>
      <c r="H293" s="295">
        <v>2</v>
      </c>
      <c r="I293" s="295" t="s">
        <v>4008</v>
      </c>
      <c r="J293" s="295" t="s">
        <v>4009</v>
      </c>
      <c r="K293" s="295" t="s">
        <v>4010</v>
      </c>
      <c r="L293" s="295" t="s">
        <v>4011</v>
      </c>
      <c r="M293" s="295">
        <v>1</v>
      </c>
      <c r="N293" s="295">
        <v>5</v>
      </c>
      <c r="O293" s="295">
        <f t="shared" si="36"/>
        <v>10</v>
      </c>
      <c r="P293" s="295" t="str">
        <f t="shared" si="34"/>
        <v>[(112,10)]</v>
      </c>
      <c r="Q293">
        <f t="shared" si="35"/>
        <v>5</v>
      </c>
    </row>
    <row r="294" spans="1:17" x14ac:dyDescent="0.15">
      <c r="A294" s="295">
        <v>3</v>
      </c>
      <c r="B294" s="295" t="s">
        <v>3219</v>
      </c>
      <c r="C294" s="295" t="s">
        <v>3223</v>
      </c>
      <c r="D294" s="295">
        <v>8</v>
      </c>
      <c r="E294" s="295" t="s">
        <v>3224</v>
      </c>
      <c r="F294" s="295" t="s">
        <v>3061</v>
      </c>
      <c r="G294" s="295">
        <v>500</v>
      </c>
      <c r="H294" s="295">
        <v>2</v>
      </c>
      <c r="I294" s="295" t="s">
        <v>3225</v>
      </c>
      <c r="J294" s="295" t="s">
        <v>3226</v>
      </c>
      <c r="K294" s="295" t="s">
        <v>3227</v>
      </c>
      <c r="L294" s="295" t="s">
        <v>3228</v>
      </c>
      <c r="M294" s="295">
        <v>17</v>
      </c>
      <c r="N294" s="295">
        <v>500</v>
      </c>
      <c r="O294" s="295">
        <f t="shared" si="36"/>
        <v>15</v>
      </c>
      <c r="P294" s="295" t="str">
        <f t="shared" si="34"/>
        <v>[(112,15)]</v>
      </c>
      <c r="Q294">
        <f t="shared" si="35"/>
        <v>5</v>
      </c>
    </row>
    <row r="295" spans="1:17" x14ac:dyDescent="0.15">
      <c r="A295" s="295">
        <v>3</v>
      </c>
      <c r="B295" s="295" t="s">
        <v>3954</v>
      </c>
      <c r="C295" s="295" t="s">
        <v>4003</v>
      </c>
      <c r="D295" s="295">
        <v>9</v>
      </c>
      <c r="E295" s="295" t="s">
        <v>3993</v>
      </c>
      <c r="F295" s="295" t="s">
        <v>3979</v>
      </c>
      <c r="G295" s="295">
        <v>12</v>
      </c>
      <c r="H295" s="295">
        <v>1</v>
      </c>
      <c r="I295" s="295" t="s">
        <v>4004</v>
      </c>
      <c r="J295" s="295" t="s">
        <v>4005</v>
      </c>
      <c r="K295" s="295" t="s">
        <v>3110</v>
      </c>
      <c r="L295" s="295" t="s">
        <v>3111</v>
      </c>
      <c r="M295" s="295">
        <v>1</v>
      </c>
      <c r="N295" s="295">
        <v>12</v>
      </c>
      <c r="O295" s="295">
        <f t="shared" si="36"/>
        <v>10</v>
      </c>
      <c r="P295" s="295" t="str">
        <f t="shared" si="34"/>
        <v>[(112,10)]</v>
      </c>
      <c r="Q295">
        <f t="shared" si="35"/>
        <v>7</v>
      </c>
    </row>
    <row r="296" spans="1:17" x14ac:dyDescent="0.15">
      <c r="A296" s="295">
        <v>3</v>
      </c>
      <c r="B296" s="295" t="s">
        <v>3190</v>
      </c>
      <c r="C296" s="295" t="s">
        <v>3191</v>
      </c>
      <c r="D296" s="295">
        <v>9</v>
      </c>
      <c r="E296" s="295" t="s">
        <v>3090</v>
      </c>
      <c r="F296" s="295" t="s">
        <v>3061</v>
      </c>
      <c r="G296" s="295">
        <v>10</v>
      </c>
      <c r="H296" s="295">
        <v>1</v>
      </c>
      <c r="I296" s="295" t="s">
        <v>3192</v>
      </c>
      <c r="J296" s="295" t="s">
        <v>3193</v>
      </c>
      <c r="K296" s="295" t="s">
        <v>3194</v>
      </c>
      <c r="L296" s="295" t="s">
        <v>3195</v>
      </c>
      <c r="M296" s="295">
        <v>11</v>
      </c>
      <c r="N296" s="295">
        <v>10</v>
      </c>
      <c r="O296" s="295">
        <f t="shared" si="36"/>
        <v>10</v>
      </c>
      <c r="P296" s="295" t="str">
        <f t="shared" si="34"/>
        <v>[(112,10)]</v>
      </c>
      <c r="Q296">
        <f t="shared" si="35"/>
        <v>2.5</v>
      </c>
    </row>
    <row r="297" spans="1:17" x14ac:dyDescent="0.15">
      <c r="A297" s="295">
        <v>3</v>
      </c>
      <c r="B297" s="295" t="s">
        <v>3079</v>
      </c>
      <c r="C297" s="295" t="s">
        <v>3080</v>
      </c>
      <c r="D297" s="295">
        <v>9</v>
      </c>
      <c r="E297" s="295" t="s">
        <v>1580</v>
      </c>
      <c r="F297" s="295" t="s">
        <v>3283</v>
      </c>
      <c r="G297" s="295">
        <v>1</v>
      </c>
      <c r="H297" s="295">
        <v>1</v>
      </c>
      <c r="I297" s="295" t="s">
        <v>3082</v>
      </c>
      <c r="J297" s="295" t="s">
        <v>3083</v>
      </c>
      <c r="K297" s="295" t="s">
        <v>3084</v>
      </c>
      <c r="L297" s="295" t="s">
        <v>3085</v>
      </c>
      <c r="M297" s="295">
        <v>1</v>
      </c>
      <c r="N297" s="295">
        <v>1</v>
      </c>
      <c r="O297" s="295">
        <f t="shared" si="36"/>
        <v>10</v>
      </c>
      <c r="P297" s="295" t="str">
        <f t="shared" si="34"/>
        <v>[(112,10)]</v>
      </c>
      <c r="Q297">
        <f t="shared" si="35"/>
        <v>6.9999999999999991</v>
      </c>
    </row>
    <row r="298" spans="1:17" x14ac:dyDescent="0.15">
      <c r="A298" s="295">
        <v>3</v>
      </c>
      <c r="B298" s="295" t="s">
        <v>3076</v>
      </c>
      <c r="C298" s="295" t="s">
        <v>3176</v>
      </c>
      <c r="D298" s="295">
        <v>9</v>
      </c>
      <c r="E298" s="295" t="s">
        <v>3248</v>
      </c>
      <c r="F298" s="295" t="s">
        <v>3061</v>
      </c>
      <c r="G298" s="295">
        <v>20</v>
      </c>
      <c r="H298" s="295">
        <v>1</v>
      </c>
      <c r="I298" s="295" t="s">
        <v>3177</v>
      </c>
      <c r="J298" s="295" t="s">
        <v>3178</v>
      </c>
      <c r="K298" s="295" t="s">
        <v>3721</v>
      </c>
      <c r="L298" s="295" t="s">
        <v>3720</v>
      </c>
      <c r="M298" s="295">
        <v>16</v>
      </c>
      <c r="N298" s="295">
        <v>20</v>
      </c>
      <c r="O298" s="295">
        <f t="shared" si="36"/>
        <v>10</v>
      </c>
      <c r="P298" s="295" t="str">
        <f t="shared" si="34"/>
        <v>[(112,10)]</v>
      </c>
      <c r="Q298">
        <f t="shared" si="35"/>
        <v>7</v>
      </c>
    </row>
    <row r="299" spans="1:17" x14ac:dyDescent="0.15">
      <c r="A299" s="295">
        <v>3</v>
      </c>
      <c r="B299" s="295" t="s">
        <v>3088</v>
      </c>
      <c r="C299" s="295" t="s">
        <v>3089</v>
      </c>
      <c r="D299" s="295">
        <v>9</v>
      </c>
      <c r="E299" s="295" t="s">
        <v>3102</v>
      </c>
      <c r="F299" s="295" t="s">
        <v>3061</v>
      </c>
      <c r="G299" s="295">
        <v>30</v>
      </c>
      <c r="H299" s="295">
        <v>1</v>
      </c>
      <c r="I299" s="295" t="s">
        <v>3091</v>
      </c>
      <c r="J299" s="295" t="s">
        <v>3092</v>
      </c>
      <c r="K299" s="295" t="s">
        <v>3093</v>
      </c>
      <c r="L299" s="295" t="s">
        <v>3094</v>
      </c>
      <c r="M299" s="295">
        <v>1</v>
      </c>
      <c r="N299" s="295">
        <v>30</v>
      </c>
      <c r="O299" s="295">
        <f t="shared" si="36"/>
        <v>15</v>
      </c>
      <c r="P299" s="295" t="str">
        <f t="shared" si="34"/>
        <v>[(112,15)]</v>
      </c>
      <c r="Q299">
        <f t="shared" si="35"/>
        <v>6.6799999999999988</v>
      </c>
    </row>
    <row r="300" spans="1:17" x14ac:dyDescent="0.15">
      <c r="A300" s="295">
        <v>3</v>
      </c>
      <c r="B300" s="295" t="s">
        <v>3204</v>
      </c>
      <c r="C300" s="295" t="s">
        <v>3229</v>
      </c>
      <c r="D300" s="295">
        <v>9</v>
      </c>
      <c r="E300" s="297" t="s">
        <v>4092</v>
      </c>
      <c r="F300" s="295" t="s">
        <v>3061</v>
      </c>
      <c r="G300" s="295">
        <v>5</v>
      </c>
      <c r="H300" s="295">
        <v>2</v>
      </c>
      <c r="I300" s="295" t="s">
        <v>3230</v>
      </c>
      <c r="J300" s="295" t="s">
        <v>3231</v>
      </c>
      <c r="K300" s="295" t="s">
        <v>3232</v>
      </c>
      <c r="L300" s="295" t="s">
        <v>3233</v>
      </c>
      <c r="M300" s="295">
        <v>0</v>
      </c>
      <c r="N300" s="295">
        <v>5</v>
      </c>
      <c r="O300" s="295">
        <f t="shared" si="36"/>
        <v>5</v>
      </c>
      <c r="P300" s="295" t="str">
        <f t="shared" si="34"/>
        <v>[(112,5)]</v>
      </c>
      <c r="Q300">
        <f t="shared" si="35"/>
        <v>5</v>
      </c>
    </row>
    <row r="301" spans="1:17" x14ac:dyDescent="0.15">
      <c r="A301" s="295">
        <v>3</v>
      </c>
      <c r="B301" s="295" t="s">
        <v>3113</v>
      </c>
      <c r="C301" s="295" t="s">
        <v>3114</v>
      </c>
      <c r="D301" s="295">
        <v>9</v>
      </c>
      <c r="E301" s="295" t="s">
        <v>3090</v>
      </c>
      <c r="F301" s="295" t="s">
        <v>3061</v>
      </c>
      <c r="G301" s="295">
        <v>10</v>
      </c>
      <c r="H301" s="295">
        <v>2</v>
      </c>
      <c r="I301" s="295" t="s">
        <v>3265</v>
      </c>
      <c r="J301" s="295" t="s">
        <v>3266</v>
      </c>
      <c r="K301" s="295" t="s">
        <v>3117</v>
      </c>
      <c r="L301" s="295" t="s">
        <v>3118</v>
      </c>
      <c r="M301" s="295">
        <v>13</v>
      </c>
      <c r="N301" s="295">
        <v>10</v>
      </c>
      <c r="O301" s="295">
        <f t="shared" si="36"/>
        <v>5</v>
      </c>
      <c r="P301" s="295" t="str">
        <f t="shared" ref="P301:P315" si="37">"[("&amp;"112,"&amp;O301&amp;")]"</f>
        <v>[(112,5)]</v>
      </c>
      <c r="Q301">
        <f t="shared" si="35"/>
        <v>5</v>
      </c>
    </row>
    <row r="302" spans="1:17" x14ac:dyDescent="0.15">
      <c r="A302" s="295">
        <v>3</v>
      </c>
      <c r="B302" s="295" t="s">
        <v>3212</v>
      </c>
      <c r="C302" s="295" t="s">
        <v>3260</v>
      </c>
      <c r="D302" s="295">
        <v>9</v>
      </c>
      <c r="E302" s="295" t="s">
        <v>3221</v>
      </c>
      <c r="F302" s="295" t="s">
        <v>3207</v>
      </c>
      <c r="G302" s="295">
        <v>5</v>
      </c>
      <c r="H302" s="295">
        <v>2</v>
      </c>
      <c r="I302" s="295" t="s">
        <v>3261</v>
      </c>
      <c r="J302" s="295" t="s">
        <v>3262</v>
      </c>
      <c r="K302" s="295" t="s">
        <v>3263</v>
      </c>
      <c r="L302" s="295" t="s">
        <v>3264</v>
      </c>
      <c r="M302" s="295">
        <v>1</v>
      </c>
      <c r="N302" s="295">
        <v>5</v>
      </c>
      <c r="O302" s="295">
        <f t="shared" si="36"/>
        <v>10</v>
      </c>
      <c r="P302" s="295" t="str">
        <f t="shared" si="37"/>
        <v>[(112,10)]</v>
      </c>
      <c r="Q302">
        <f t="shared" si="35"/>
        <v>1</v>
      </c>
    </row>
    <row r="303" spans="1:17" x14ac:dyDescent="0.15">
      <c r="A303" s="295">
        <v>3</v>
      </c>
      <c r="B303" s="295" t="s">
        <v>3213</v>
      </c>
      <c r="C303" s="295" t="s">
        <v>3278</v>
      </c>
      <c r="D303" s="295">
        <v>9</v>
      </c>
      <c r="E303" s="295" t="s">
        <v>3221</v>
      </c>
      <c r="F303" s="295" t="s">
        <v>3061</v>
      </c>
      <c r="G303" s="295">
        <v>5</v>
      </c>
      <c r="H303" s="295">
        <v>2</v>
      </c>
      <c r="I303" s="295" t="s">
        <v>3279</v>
      </c>
      <c r="J303" s="295" t="s">
        <v>3279</v>
      </c>
      <c r="K303" s="295" t="s">
        <v>3280</v>
      </c>
      <c r="L303" s="295" t="s">
        <v>3281</v>
      </c>
      <c r="M303" s="295">
        <v>1</v>
      </c>
      <c r="N303" s="295">
        <v>5</v>
      </c>
      <c r="O303" s="295">
        <f t="shared" si="36"/>
        <v>10</v>
      </c>
      <c r="P303" s="295" t="str">
        <f t="shared" si="37"/>
        <v>[(112,10)]</v>
      </c>
      <c r="Q303">
        <f t="shared" si="35"/>
        <v>2.5</v>
      </c>
    </row>
    <row r="304" spans="1:17" x14ac:dyDescent="0.15">
      <c r="A304" s="295">
        <v>3</v>
      </c>
      <c r="B304" s="295" t="s">
        <v>3086</v>
      </c>
      <c r="C304" s="295" t="s">
        <v>3095</v>
      </c>
      <c r="D304" s="295">
        <v>9</v>
      </c>
      <c r="E304" s="295" t="s">
        <v>3060</v>
      </c>
      <c r="F304" s="295" t="s">
        <v>3061</v>
      </c>
      <c r="G304" s="295">
        <v>6</v>
      </c>
      <c r="H304" s="295">
        <v>2</v>
      </c>
      <c r="I304" s="295" t="s">
        <v>3096</v>
      </c>
      <c r="J304" s="295" t="s">
        <v>3097</v>
      </c>
      <c r="K304" s="295" t="s">
        <v>3098</v>
      </c>
      <c r="L304" s="295" t="s">
        <v>3099</v>
      </c>
      <c r="M304" s="295">
        <v>1</v>
      </c>
      <c r="N304" s="295">
        <v>6</v>
      </c>
      <c r="O304" s="295">
        <f t="shared" si="36"/>
        <v>20</v>
      </c>
      <c r="P304" s="295" t="str">
        <f t="shared" si="37"/>
        <v>[(112,20)]</v>
      </c>
      <c r="Q304">
        <f t="shared" si="35"/>
        <v>4</v>
      </c>
    </row>
    <row r="305" spans="1:17" x14ac:dyDescent="0.15">
      <c r="A305" s="295">
        <v>3</v>
      </c>
      <c r="B305" s="295" t="s">
        <v>3149</v>
      </c>
      <c r="C305" s="295" t="s">
        <v>3150</v>
      </c>
      <c r="D305" s="295">
        <v>10</v>
      </c>
      <c r="E305" s="295" t="s">
        <v>3291</v>
      </c>
      <c r="F305" s="295" t="s">
        <v>3061</v>
      </c>
      <c r="G305" s="295">
        <v>300</v>
      </c>
      <c r="H305" s="295">
        <v>1</v>
      </c>
      <c r="I305" s="295" t="s">
        <v>3151</v>
      </c>
      <c r="J305" s="295" t="s">
        <v>3152</v>
      </c>
      <c r="K305" s="295" t="s">
        <v>3153</v>
      </c>
      <c r="L305" s="295" t="s">
        <v>3154</v>
      </c>
      <c r="M305" s="295">
        <v>1</v>
      </c>
      <c r="N305" s="295">
        <v>300</v>
      </c>
      <c r="O305" s="295">
        <f t="shared" si="36"/>
        <v>5</v>
      </c>
      <c r="P305" s="295" t="str">
        <f t="shared" si="37"/>
        <v>[(112,5)]</v>
      </c>
      <c r="Q305">
        <f t="shared" si="35"/>
        <v>1.6</v>
      </c>
    </row>
    <row r="306" spans="1:17" x14ac:dyDescent="0.15">
      <c r="A306" s="295">
        <v>3</v>
      </c>
      <c r="B306" s="295" t="s">
        <v>3058</v>
      </c>
      <c r="C306" s="295" t="s">
        <v>3059</v>
      </c>
      <c r="D306" s="295">
        <v>10</v>
      </c>
      <c r="E306" s="295" t="s">
        <v>3248</v>
      </c>
      <c r="F306" s="295" t="s">
        <v>3061</v>
      </c>
      <c r="G306" s="295">
        <v>20</v>
      </c>
      <c r="H306" s="295">
        <v>1</v>
      </c>
      <c r="I306" s="295" t="s">
        <v>3062</v>
      </c>
      <c r="J306" s="295" t="s">
        <v>3063</v>
      </c>
      <c r="K306" s="295" t="s">
        <v>3064</v>
      </c>
      <c r="L306" s="295" t="s">
        <v>3065</v>
      </c>
      <c r="M306" s="295">
        <v>7</v>
      </c>
      <c r="N306" s="295">
        <v>20</v>
      </c>
      <c r="O306" s="295">
        <f t="shared" si="36"/>
        <v>5</v>
      </c>
      <c r="P306" s="295" t="str">
        <f t="shared" si="37"/>
        <v>[(112,5)]</v>
      </c>
      <c r="Q306">
        <f t="shared" si="35"/>
        <v>7</v>
      </c>
    </row>
    <row r="307" spans="1:17" x14ac:dyDescent="0.15">
      <c r="A307" s="295">
        <v>3</v>
      </c>
      <c r="B307" s="295" t="s">
        <v>3119</v>
      </c>
      <c r="C307" s="295" t="s">
        <v>3164</v>
      </c>
      <c r="D307" s="295">
        <v>10</v>
      </c>
      <c r="E307" s="295" t="s">
        <v>1580</v>
      </c>
      <c r="F307" s="297" t="s">
        <v>4013</v>
      </c>
      <c r="G307" s="295">
        <v>1</v>
      </c>
      <c r="H307" s="295">
        <v>1</v>
      </c>
      <c r="I307" s="295" t="s">
        <v>3166</v>
      </c>
      <c r="J307" s="295" t="s">
        <v>3167</v>
      </c>
      <c r="K307" s="295" t="s">
        <v>3168</v>
      </c>
      <c r="L307" s="295" t="s">
        <v>3169</v>
      </c>
      <c r="M307" s="295">
        <v>1</v>
      </c>
      <c r="N307" s="295">
        <v>1</v>
      </c>
      <c r="O307" s="295">
        <f t="shared" si="36"/>
        <v>10</v>
      </c>
      <c r="P307" s="295" t="str">
        <f t="shared" si="37"/>
        <v>[(112,10)]</v>
      </c>
      <c r="Q307">
        <f t="shared" si="35"/>
        <v>0.13333333333333333</v>
      </c>
    </row>
    <row r="308" spans="1:17" x14ac:dyDescent="0.15">
      <c r="A308" s="295">
        <v>3</v>
      </c>
      <c r="B308" s="295" t="s">
        <v>3100</v>
      </c>
      <c r="C308" s="295" t="s">
        <v>3101</v>
      </c>
      <c r="D308" s="295">
        <v>10</v>
      </c>
      <c r="E308" s="295" t="s">
        <v>1650</v>
      </c>
      <c r="F308" s="295" t="s">
        <v>3061</v>
      </c>
      <c r="G308" s="295">
        <v>50</v>
      </c>
      <c r="H308" s="295">
        <v>1</v>
      </c>
      <c r="I308" s="295" t="s">
        <v>3103</v>
      </c>
      <c r="J308" s="295" t="s">
        <v>3104</v>
      </c>
      <c r="K308" s="295" t="s">
        <v>3105</v>
      </c>
      <c r="L308" s="295" t="s">
        <v>3106</v>
      </c>
      <c r="M308" s="295">
        <v>1</v>
      </c>
      <c r="N308" s="295">
        <v>50</v>
      </c>
      <c r="O308" s="295">
        <f t="shared" si="36"/>
        <v>10</v>
      </c>
      <c r="P308" s="295" t="str">
        <f t="shared" si="37"/>
        <v>[(112,10)]</v>
      </c>
      <c r="Q308">
        <f t="shared" si="35"/>
        <v>1.3333333333333333</v>
      </c>
    </row>
    <row r="309" spans="1:17" x14ac:dyDescent="0.15">
      <c r="A309" s="295">
        <v>3</v>
      </c>
      <c r="B309" s="295" t="s">
        <v>3048</v>
      </c>
      <c r="C309" s="295" t="s">
        <v>3049</v>
      </c>
      <c r="D309" s="295">
        <v>10</v>
      </c>
      <c r="E309" s="295" t="s">
        <v>1580</v>
      </c>
      <c r="F309" s="295" t="s">
        <v>3050</v>
      </c>
      <c r="G309" s="295">
        <v>1</v>
      </c>
      <c r="H309" s="295">
        <v>1</v>
      </c>
      <c r="I309" s="295" t="s">
        <v>3051</v>
      </c>
      <c r="J309" s="295" t="s">
        <v>3052</v>
      </c>
      <c r="K309" s="295" t="s">
        <v>3053</v>
      </c>
      <c r="L309" s="295" t="s">
        <v>3054</v>
      </c>
      <c r="M309" s="295">
        <v>1</v>
      </c>
      <c r="N309" s="295">
        <v>1</v>
      </c>
      <c r="O309" s="295">
        <f t="shared" si="36"/>
        <v>10</v>
      </c>
      <c r="P309" s="295" t="str">
        <f t="shared" si="37"/>
        <v>[(112,10)]</v>
      </c>
      <c r="Q309">
        <f t="shared" si="35"/>
        <v>2</v>
      </c>
    </row>
    <row r="310" spans="1:17" x14ac:dyDescent="0.15">
      <c r="A310" s="295">
        <v>3</v>
      </c>
      <c r="B310" s="295" t="s">
        <v>3197</v>
      </c>
      <c r="C310" s="295" t="s">
        <v>3198</v>
      </c>
      <c r="D310" s="295">
        <v>10</v>
      </c>
      <c r="E310" s="295" t="s">
        <v>3199</v>
      </c>
      <c r="F310" s="295" t="s">
        <v>3061</v>
      </c>
      <c r="G310" s="295">
        <v>20000</v>
      </c>
      <c r="H310" s="295">
        <v>2</v>
      </c>
      <c r="I310" s="295" t="s">
        <v>3200</v>
      </c>
      <c r="J310" s="295" t="s">
        <v>3201</v>
      </c>
      <c r="K310" s="295" t="s">
        <v>3202</v>
      </c>
      <c r="L310" s="295" t="s">
        <v>3203</v>
      </c>
      <c r="M310" s="295">
        <v>17</v>
      </c>
      <c r="N310" s="295">
        <v>20000</v>
      </c>
      <c r="O310" s="295">
        <f t="shared" si="36"/>
        <v>5</v>
      </c>
      <c r="P310" s="295" t="str">
        <f t="shared" si="37"/>
        <v>[(112,5)]</v>
      </c>
      <c r="Q310">
        <f t="shared" si="35"/>
        <v>5</v>
      </c>
    </row>
    <row r="311" spans="1:17" x14ac:dyDescent="0.15">
      <c r="A311" s="295">
        <v>3</v>
      </c>
      <c r="B311" s="295" t="s">
        <v>3213</v>
      </c>
      <c r="C311" s="295" t="s">
        <v>3278</v>
      </c>
      <c r="D311" s="295">
        <v>10</v>
      </c>
      <c r="E311" s="295" t="s">
        <v>3221</v>
      </c>
      <c r="F311" s="295" t="s">
        <v>3061</v>
      </c>
      <c r="G311" s="295">
        <v>5</v>
      </c>
      <c r="H311" s="295">
        <v>2</v>
      </c>
      <c r="I311" s="295" t="s">
        <v>3279</v>
      </c>
      <c r="J311" s="295" t="s">
        <v>3279</v>
      </c>
      <c r="K311" s="295" t="s">
        <v>3280</v>
      </c>
      <c r="L311" s="295" t="s">
        <v>3281</v>
      </c>
      <c r="M311" s="295">
        <v>1</v>
      </c>
      <c r="N311" s="295">
        <v>5</v>
      </c>
      <c r="O311" s="295">
        <f t="shared" si="36"/>
        <v>10</v>
      </c>
      <c r="P311" s="295" t="str">
        <f t="shared" si="37"/>
        <v>[(112,10)]</v>
      </c>
      <c r="Q311">
        <f t="shared" si="35"/>
        <v>2.5</v>
      </c>
    </row>
    <row r="312" spans="1:17" x14ac:dyDescent="0.15">
      <c r="A312" s="295">
        <v>3</v>
      </c>
      <c r="B312" s="295" t="s">
        <v>3112</v>
      </c>
      <c r="C312" s="295" t="s">
        <v>3158</v>
      </c>
      <c r="D312" s="295">
        <v>10</v>
      </c>
      <c r="E312" s="295" t="s">
        <v>1580</v>
      </c>
      <c r="F312" s="295" t="s">
        <v>3061</v>
      </c>
      <c r="G312" s="295">
        <v>3</v>
      </c>
      <c r="H312" s="295">
        <v>2</v>
      </c>
      <c r="I312" s="295" t="s">
        <v>3159</v>
      </c>
      <c r="J312" s="295" t="s">
        <v>3160</v>
      </c>
      <c r="K312" s="295" t="s">
        <v>3161</v>
      </c>
      <c r="L312" s="295" t="s">
        <v>3162</v>
      </c>
      <c r="M312" s="295">
        <v>14</v>
      </c>
      <c r="N312" s="295">
        <v>3</v>
      </c>
      <c r="O312" s="295">
        <f t="shared" si="36"/>
        <v>10</v>
      </c>
      <c r="P312" s="295" t="str">
        <f t="shared" si="37"/>
        <v>[(112,10)]</v>
      </c>
      <c r="Q312">
        <f t="shared" si="35"/>
        <v>6</v>
      </c>
    </row>
    <row r="313" spans="1:17" x14ac:dyDescent="0.15">
      <c r="A313" s="295">
        <v>3</v>
      </c>
      <c r="B313" s="295" t="s">
        <v>3134</v>
      </c>
      <c r="C313" s="295" t="s">
        <v>3135</v>
      </c>
      <c r="D313" s="295">
        <v>10</v>
      </c>
      <c r="E313" s="295" t="s">
        <v>1650</v>
      </c>
      <c r="F313" s="295" t="s">
        <v>3136</v>
      </c>
      <c r="G313" s="295">
        <v>50</v>
      </c>
      <c r="H313" s="295">
        <v>2</v>
      </c>
      <c r="I313" s="295" t="s">
        <v>3137</v>
      </c>
      <c r="J313" s="295" t="s">
        <v>3138</v>
      </c>
      <c r="K313" s="295" t="s">
        <v>3139</v>
      </c>
      <c r="L313" s="295" t="s">
        <v>3140</v>
      </c>
      <c r="M313" s="295">
        <v>1</v>
      </c>
      <c r="N313" s="295">
        <v>50</v>
      </c>
      <c r="O313" s="295">
        <f t="shared" si="36"/>
        <v>10</v>
      </c>
      <c r="P313" s="295" t="str">
        <f t="shared" si="37"/>
        <v>[(112,10)]</v>
      </c>
      <c r="Q313">
        <f t="shared" si="35"/>
        <v>6.666666666666667</v>
      </c>
    </row>
    <row r="314" spans="1:17" x14ac:dyDescent="0.15">
      <c r="A314" s="295">
        <v>3</v>
      </c>
      <c r="B314" s="295" t="s">
        <v>3205</v>
      </c>
      <c r="C314" s="295" t="s">
        <v>3206</v>
      </c>
      <c r="D314" s="295">
        <v>10</v>
      </c>
      <c r="E314" s="295" t="s">
        <v>3248</v>
      </c>
      <c r="F314" s="295" t="s">
        <v>3207</v>
      </c>
      <c r="G314" s="295">
        <v>20</v>
      </c>
      <c r="H314" s="295">
        <v>2</v>
      </c>
      <c r="I314" s="295" t="s">
        <v>3208</v>
      </c>
      <c r="J314" s="295" t="s">
        <v>3209</v>
      </c>
      <c r="K314" s="295" t="s">
        <v>3210</v>
      </c>
      <c r="L314" s="295" t="s">
        <v>3211</v>
      </c>
      <c r="M314" s="295">
        <v>1</v>
      </c>
      <c r="N314" s="295">
        <v>20</v>
      </c>
      <c r="O314" s="295">
        <f t="shared" si="36"/>
        <v>15</v>
      </c>
      <c r="P314" s="295" t="str">
        <f t="shared" si="37"/>
        <v>[(112,15)]</v>
      </c>
      <c r="Q314">
        <f t="shared" si="35"/>
        <v>7</v>
      </c>
    </row>
    <row r="315" spans="1:17" x14ac:dyDescent="0.15">
      <c r="A315" s="295">
        <v>3</v>
      </c>
      <c r="B315" s="295" t="s">
        <v>3086</v>
      </c>
      <c r="C315" s="295" t="s">
        <v>3095</v>
      </c>
      <c r="D315" s="295">
        <v>10</v>
      </c>
      <c r="E315" s="295" t="s">
        <v>3241</v>
      </c>
      <c r="F315" s="295" t="s">
        <v>3061</v>
      </c>
      <c r="G315" s="295">
        <v>8</v>
      </c>
      <c r="H315" s="295">
        <v>2</v>
      </c>
      <c r="I315" s="295" t="s">
        <v>3096</v>
      </c>
      <c r="J315" s="295" t="s">
        <v>3097</v>
      </c>
      <c r="K315" s="295" t="s">
        <v>3098</v>
      </c>
      <c r="L315" s="295" t="s">
        <v>3099</v>
      </c>
      <c r="M315" s="295">
        <v>1</v>
      </c>
      <c r="N315" s="295">
        <v>8</v>
      </c>
      <c r="O315" s="295">
        <f t="shared" si="36"/>
        <v>20</v>
      </c>
      <c r="P315" s="295" t="str">
        <f t="shared" si="37"/>
        <v>[(112,20)]</v>
      </c>
      <c r="Q315">
        <f t="shared" si="35"/>
        <v>5.333333333333333</v>
      </c>
    </row>
  </sheetData>
  <mergeCells count="17">
    <mergeCell ref="A1:A2"/>
    <mergeCell ref="B1:B2"/>
    <mergeCell ref="C1:C2"/>
    <mergeCell ref="D1:D2"/>
    <mergeCell ref="E1:E2"/>
    <mergeCell ref="F1:F2"/>
    <mergeCell ref="G1:G2"/>
    <mergeCell ref="H1:H2"/>
    <mergeCell ref="I1:I2"/>
    <mergeCell ref="J1:J2"/>
    <mergeCell ref="P1:P2"/>
    <mergeCell ref="Q1:Q2"/>
    <mergeCell ref="K1:K2"/>
    <mergeCell ref="L1:L2"/>
    <mergeCell ref="M1:M2"/>
    <mergeCell ref="N1:N2"/>
    <mergeCell ref="O1:O2"/>
  </mergeCells>
  <phoneticPr fontId="32" type="noConversion"/>
  <conditionalFormatting sqref="B106:B118">
    <cfRule type="duplicateValues" dxfId="1" priority="5"/>
  </conditionalFormatting>
  <conditionalFormatting sqref="U3:U22">
    <cfRule type="dataBar" priority="11">
      <dataBar>
        <cfvo type="min"/>
        <cfvo type="max"/>
        <color rgb="FF63C384"/>
      </dataBar>
      <extLst>
        <ext xmlns:x14="http://schemas.microsoft.com/office/spreadsheetml/2009/9/main" uri="{B025F937-C7B1-47D3-B67F-A62EFF666E3E}">
          <x14:id>{FAAE73EF-FDE7-4FBD-A278-1581504C1452}</x14:id>
        </ext>
      </extLst>
    </cfRule>
  </conditionalFormatting>
  <conditionalFormatting sqref="V3:V22">
    <cfRule type="dataBar" priority="9">
      <dataBar>
        <cfvo type="min"/>
        <cfvo type="max"/>
        <color rgb="FFFFB628"/>
      </dataBar>
      <extLst>
        <ext xmlns:x14="http://schemas.microsoft.com/office/spreadsheetml/2009/9/main" uri="{B025F937-C7B1-47D3-B67F-A62EFF666E3E}">
          <x14:id>{D776A1D9-81C6-4EB9-8A71-5C1560099D7B}</x14:id>
        </ext>
      </extLst>
    </cfRule>
  </conditionalFormatting>
  <conditionalFormatting sqref="AD3:AD72">
    <cfRule type="dataBar" priority="4">
      <dataBar>
        <cfvo type="min"/>
        <cfvo type="max"/>
        <color rgb="FF63C384"/>
      </dataBar>
      <extLst>
        <ext xmlns:x14="http://schemas.microsoft.com/office/spreadsheetml/2009/9/main" uri="{B025F937-C7B1-47D3-B67F-A62EFF666E3E}">
          <x14:id>{45B44CC6-960D-4F68-8C75-A411AEDDF039}</x14:id>
        </ext>
      </extLst>
    </cfRule>
  </conditionalFormatting>
  <conditionalFormatting sqref="AE3:AE72">
    <cfRule type="dataBar" priority="3">
      <dataBar>
        <cfvo type="min"/>
        <cfvo type="max"/>
        <color rgb="FFFFB628"/>
      </dataBar>
      <extLst>
        <ext xmlns:x14="http://schemas.microsoft.com/office/spreadsheetml/2009/9/main" uri="{B025F937-C7B1-47D3-B67F-A62EFF666E3E}">
          <x14:id>{73CBAC78-5041-41D2-9E19-FBD6ADDFF0E0}</x14:id>
        </ext>
      </extLst>
    </cfRule>
  </conditionalFormatting>
  <conditionalFormatting sqref="AB3:AE72 AF3:AF4">
    <cfRule type="dataBar" priority="10">
      <dataBar>
        <cfvo type="min"/>
        <cfvo type="max"/>
        <color rgb="FFFF555A"/>
      </dataBar>
      <extLst>
        <ext xmlns:x14="http://schemas.microsoft.com/office/spreadsheetml/2009/9/main" uri="{B025F937-C7B1-47D3-B67F-A62EFF666E3E}">
          <x14:id>{D4AADC90-4C5B-420B-8769-974BA96C7F44}</x14:id>
        </ext>
      </extLst>
    </cfRule>
  </conditionalFormatting>
  <conditionalFormatting sqref="AT3:AU12">
    <cfRule type="dataBar" priority="12">
      <dataBar>
        <cfvo type="min"/>
        <cfvo type="max"/>
        <color rgb="FFCCECD7"/>
      </dataBar>
      <extLst>
        <ext xmlns:x14="http://schemas.microsoft.com/office/spreadsheetml/2009/9/main" uri="{B025F937-C7B1-47D3-B67F-A62EFF666E3E}">
          <x14:id>{3889B8B2-0C3E-486B-9B25-F34EBE719F2B}</x14:id>
        </ext>
      </extLst>
    </cfRule>
  </conditionalFormatting>
  <conditionalFormatting sqref="Q3:Q210">
    <cfRule type="dataBar" priority="21">
      <dataBar>
        <cfvo type="min"/>
        <cfvo type="max"/>
        <color rgb="FF63C384"/>
      </dataBar>
      <extLst>
        <ext xmlns:x14="http://schemas.microsoft.com/office/spreadsheetml/2009/9/main" uri="{B025F937-C7B1-47D3-B67F-A62EFF666E3E}">
          <x14:id>{1A389E76-79B6-40EB-8571-148ECF965B69}</x14:id>
        </ext>
      </extLst>
    </cfRule>
  </conditionalFormatting>
  <conditionalFormatting sqref="B211:B223">
    <cfRule type="duplicateValues" dxfId="0" priority="1"/>
  </conditionalFormatting>
  <conditionalFormatting sqref="Q211:Q315">
    <cfRule type="dataBar" priority="2">
      <dataBar>
        <cfvo type="min"/>
        <cfvo type="max"/>
        <color rgb="FF63C384"/>
      </dataBar>
      <extLst>
        <ext xmlns:x14="http://schemas.microsoft.com/office/spreadsheetml/2009/9/main" uri="{B025F937-C7B1-47D3-B67F-A62EFF666E3E}">
          <x14:id>{276328C5-A62C-4A6B-9DD7-73E029E6DFC7}</x14:id>
        </ext>
      </extLst>
    </cfRule>
  </conditionalFormatting>
  <pageMargins left="0.75" right="0.75" top="1" bottom="1" header="0.5" footer="0.5"/>
  <extLst>
    <ext xmlns:x14="http://schemas.microsoft.com/office/spreadsheetml/2009/9/main" uri="{78C0D931-6437-407d-A8EE-F0AAD7539E65}">
      <x14:conditionalFormattings>
        <x14:conditionalFormatting xmlns:xm="http://schemas.microsoft.com/office/excel/2006/main">
          <x14:cfRule type="dataBar" id="{FAAE73EF-FDE7-4FBD-A278-1581504C1452}">
            <x14:dataBar minLength="0" maxLength="100" gradient="0">
              <x14:cfvo type="autoMin"/>
              <x14:cfvo type="autoMax"/>
              <x14:negativeFillColor rgb="FFFF0000"/>
              <x14:axisColor rgb="FF000000"/>
            </x14:dataBar>
          </x14:cfRule>
          <xm:sqref>U3:U22</xm:sqref>
        </x14:conditionalFormatting>
        <x14:conditionalFormatting xmlns:xm="http://schemas.microsoft.com/office/excel/2006/main">
          <x14:cfRule type="dataBar" id="{D776A1D9-81C6-4EB9-8A71-5C1560099D7B}">
            <x14:dataBar minLength="0" maxLength="100" gradient="0">
              <x14:cfvo type="autoMin"/>
              <x14:cfvo type="autoMax"/>
              <x14:negativeFillColor rgb="FFFF0000"/>
              <x14:axisColor rgb="FF000000"/>
            </x14:dataBar>
          </x14:cfRule>
          <xm:sqref>V3:V22</xm:sqref>
        </x14:conditionalFormatting>
        <x14:conditionalFormatting xmlns:xm="http://schemas.microsoft.com/office/excel/2006/main">
          <x14:cfRule type="dataBar" id="{45B44CC6-960D-4F68-8C75-A411AEDDF039}">
            <x14:dataBar minLength="0" maxLength="100" gradient="0">
              <x14:cfvo type="autoMin"/>
              <x14:cfvo type="autoMax"/>
              <x14:negativeFillColor rgb="FFFF0000"/>
              <x14:axisColor rgb="FF000000"/>
            </x14:dataBar>
          </x14:cfRule>
          <xm:sqref>AD3:AD72</xm:sqref>
        </x14:conditionalFormatting>
        <x14:conditionalFormatting xmlns:xm="http://schemas.microsoft.com/office/excel/2006/main">
          <x14:cfRule type="dataBar" id="{73CBAC78-5041-41D2-9E19-FBD6ADDFF0E0}">
            <x14:dataBar minLength="0" maxLength="100" gradient="0">
              <x14:cfvo type="autoMin"/>
              <x14:cfvo type="autoMax"/>
              <x14:negativeFillColor rgb="FFFF0000"/>
              <x14:axisColor rgb="FF000000"/>
            </x14:dataBar>
          </x14:cfRule>
          <xm:sqref>AE3:AE72</xm:sqref>
        </x14:conditionalFormatting>
        <x14:conditionalFormatting xmlns:xm="http://schemas.microsoft.com/office/excel/2006/main">
          <x14:cfRule type="dataBar" id="{D4AADC90-4C5B-420B-8769-974BA96C7F44}">
            <x14:dataBar minLength="0" maxLength="100" gradient="0">
              <x14:cfvo type="autoMin"/>
              <x14:cfvo type="autoMax"/>
              <x14:negativeFillColor rgb="FFFF0000"/>
              <x14:axisColor rgb="FF000000"/>
            </x14:dataBar>
          </x14:cfRule>
          <xm:sqref>AB3:AE72 AF3:AF4</xm:sqref>
        </x14:conditionalFormatting>
        <x14:conditionalFormatting xmlns:xm="http://schemas.microsoft.com/office/excel/2006/main">
          <x14:cfRule type="dataBar" id="{3889B8B2-0C3E-486B-9B25-F34EBE719F2B}">
            <x14:dataBar minLength="0" maxLength="100" gradient="0">
              <x14:cfvo type="autoMin"/>
              <x14:cfvo type="autoMax"/>
              <x14:negativeFillColor rgb="FFFF0000"/>
              <x14:axisColor rgb="FF000000"/>
            </x14:dataBar>
          </x14:cfRule>
          <xm:sqref>AT3:AU12</xm:sqref>
        </x14:conditionalFormatting>
        <x14:conditionalFormatting xmlns:xm="http://schemas.microsoft.com/office/excel/2006/main">
          <x14:cfRule type="dataBar" id="{1A389E76-79B6-40EB-8571-148ECF965B69}">
            <x14:dataBar minLength="0" maxLength="100" gradient="0">
              <x14:cfvo type="autoMin"/>
              <x14:cfvo type="autoMax"/>
              <x14:negativeFillColor rgb="FFFF0000"/>
              <x14:axisColor rgb="FF000000"/>
            </x14:dataBar>
          </x14:cfRule>
          <xm:sqref>Q3:Q210</xm:sqref>
        </x14:conditionalFormatting>
        <x14:conditionalFormatting xmlns:xm="http://schemas.microsoft.com/office/excel/2006/main">
          <x14:cfRule type="dataBar" id="{276328C5-A62C-4A6B-9DD7-73E029E6DFC7}">
            <x14:dataBar minLength="0" maxLength="100" gradient="0">
              <x14:cfvo type="autoMin"/>
              <x14:cfvo type="autoMax"/>
              <x14:negativeFillColor rgb="FFFF0000"/>
              <x14:axisColor rgb="FF000000"/>
            </x14:dataBar>
          </x14:cfRule>
          <xm:sqref>Q211:Q315</xm:sqref>
        </x14:conditionalFormatting>
      </x14:conditionalFormattings>
    </ext>
  </extLst>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32"/>
  <dimension ref="A1:AM124"/>
  <sheetViews>
    <sheetView workbookViewId="0">
      <pane xSplit="1" ySplit="1" topLeftCell="B2" activePane="bottomRight" state="frozen"/>
      <selection pane="topRight"/>
      <selection pane="bottomLeft"/>
      <selection pane="bottomRight" activeCell="M2" sqref="M2"/>
    </sheetView>
  </sheetViews>
  <sheetFormatPr defaultColWidth="9" defaultRowHeight="13.5" x14ac:dyDescent="0.15"/>
  <cols>
    <col min="1" max="1" width="28.125" customWidth="1"/>
    <col min="2" max="2" width="11.375" customWidth="1"/>
    <col min="3" max="3" width="8.125" customWidth="1"/>
    <col min="4" max="4" width="12.125" customWidth="1"/>
    <col min="6" max="7" width="10.5" customWidth="1"/>
    <col min="11" max="11" width="9.625" customWidth="1"/>
    <col min="12" max="13" width="12.125" style="45" customWidth="1"/>
    <col min="14" max="15" width="11" customWidth="1"/>
    <col min="16" max="16" width="5" customWidth="1"/>
    <col min="17" max="17" width="11" customWidth="1"/>
    <col min="19" max="19" width="4.125" customWidth="1"/>
    <col min="20" max="20" width="14.125" customWidth="1"/>
    <col min="22" max="22" width="12.625" customWidth="1"/>
    <col min="23" max="23" width="11.125" customWidth="1"/>
    <col min="28" max="28" width="7" customWidth="1"/>
    <col min="30" max="30" width="9.625" customWidth="1"/>
    <col min="31" max="31" width="34.5" customWidth="1"/>
    <col min="32" max="32" width="9.625" customWidth="1"/>
    <col min="33" max="34" width="9.125" customWidth="1"/>
    <col min="35" max="36" width="13" customWidth="1"/>
    <col min="37" max="37" width="58.375" customWidth="1"/>
    <col min="38" max="38" width="22.5" customWidth="1"/>
  </cols>
  <sheetData>
    <row r="1" spans="1:39" ht="15.75" x14ac:dyDescent="0.3">
      <c r="A1" s="46" t="s">
        <v>3293</v>
      </c>
      <c r="B1" s="46" t="s">
        <v>3294</v>
      </c>
      <c r="C1" s="46" t="s">
        <v>3295</v>
      </c>
      <c r="D1" s="46" t="s">
        <v>3296</v>
      </c>
      <c r="E1" s="46" t="s">
        <v>3297</v>
      </c>
      <c r="F1" s="46" t="s">
        <v>3298</v>
      </c>
      <c r="G1" s="46" t="s">
        <v>3299</v>
      </c>
      <c r="H1" s="46" t="s">
        <v>3300</v>
      </c>
      <c r="I1" s="46" t="s">
        <v>3301</v>
      </c>
      <c r="J1" s="46" t="s">
        <v>3302</v>
      </c>
      <c r="K1" s="46" t="s">
        <v>3303</v>
      </c>
      <c r="L1" s="47" t="s">
        <v>3304</v>
      </c>
      <c r="M1" s="47" t="s">
        <v>3305</v>
      </c>
      <c r="N1" s="46" t="s">
        <v>3306</v>
      </c>
      <c r="O1" s="46" t="s">
        <v>3307</v>
      </c>
      <c r="T1" t="s">
        <v>3308</v>
      </c>
      <c r="U1" t="s">
        <v>3309</v>
      </c>
      <c r="V1" t="s">
        <v>3306</v>
      </c>
      <c r="W1" t="s">
        <v>3310</v>
      </c>
      <c r="AC1" t="s">
        <v>3311</v>
      </c>
      <c r="AL1" t="s">
        <v>3035</v>
      </c>
      <c r="AM1">
        <v>4</v>
      </c>
    </row>
    <row r="2" spans="1:39" ht="15.75" x14ac:dyDescent="0.3">
      <c r="A2" s="15" t="s">
        <v>3312</v>
      </c>
      <c r="B2" s="15">
        <f>(M2*($AM$2/$AM$1)*VLOOKUP(A2,$AE:$AI,MATCH("单场参数换算",$AE$2:$AI$2,0),FALSE))</f>
        <v>450</v>
      </c>
      <c r="C2" s="15">
        <v>0</v>
      </c>
      <c r="D2" s="15">
        <f>IF(C2=0,IF(B2&gt;1000,ROUNDUP(B2/1000,0)*1000,IF(B2&gt;100,ROUNDUP(B2/100,0)*100,IF(B2&gt;20,ROUNDUP(B2/5,0)*5,ROUNDUP(B2,0)))),C2)</f>
        <v>500</v>
      </c>
      <c r="E2" s="15" t="s">
        <v>3313</v>
      </c>
      <c r="F2" s="15">
        <f>VLOOKUP(K2,$U$9:$V$12,2,FALSE)</f>
        <v>10</v>
      </c>
      <c r="G2" s="15" t="str">
        <f>"["&amp;F2&amp;"]"</f>
        <v>[10]</v>
      </c>
      <c r="H2">
        <v>1</v>
      </c>
      <c r="I2">
        <f>VLOOKUP(A2,$AE:$AJ,MATCH("类型查找用",$AE$2:$AJ$2,0),FALSE)</f>
        <v>1</v>
      </c>
      <c r="J2">
        <v>1</v>
      </c>
      <c r="K2">
        <f>VLOOKUP(A2,$AE:$AJ,MATCH("难度设定",$AE$2:$AJ$2,0),FALSE)</f>
        <v>2</v>
      </c>
      <c r="L2" s="45">
        <f>IF(H2=1,(D2/VLOOKUP(I2,$AD:$AI,MATCH("单场参数换算",$AD$2:$AI$2,0),FALSE))/($AM$2/$AM$1),0)</f>
        <v>33.333333333333336</v>
      </c>
      <c r="M2" s="45">
        <f>VLOOKUP(K2&amp;"-"&amp;J2,$W$14:$X$23,MATCH("预期天数",$W$14:$X$14,0),FALSE)</f>
        <v>30</v>
      </c>
      <c r="N2">
        <f>VLOOKUP(K2&amp;"-"&amp;J2,$W$14:$Y$23,MATCH("对应积分",$W$14:$Y$14,0),FALSE)</f>
        <v>10</v>
      </c>
      <c r="O2" t="str">
        <f>IF(H2=1,"true","false")</f>
        <v>true</v>
      </c>
      <c r="Q2" t="s">
        <v>3314</v>
      </c>
      <c r="R2">
        <f>SUMIFS($F$2:$F$124,$H$2:$H$124,1)+SUM(Y2:Y6)+SUM(AA2:AA6)*道具价值!$AB$73</f>
        <v>2746.1111111111113</v>
      </c>
      <c r="T2">
        <v>1</v>
      </c>
      <c r="U2">
        <v>60</v>
      </c>
      <c r="V2">
        <f>SUMIFS($N$2:$N$124,$H$2:$H$124,1,$L$2:$L$124,"&lt;="&amp;U2)</f>
        <v>535</v>
      </c>
      <c r="W2">
        <v>500</v>
      </c>
      <c r="X2" t="s">
        <v>317</v>
      </c>
      <c r="Y2">
        <v>100</v>
      </c>
      <c r="Z2" t="s">
        <v>268</v>
      </c>
      <c r="AA2">
        <v>10000</v>
      </c>
      <c r="AD2" s="48" t="s">
        <v>3301</v>
      </c>
      <c r="AE2" s="48" t="s">
        <v>3315</v>
      </c>
      <c r="AF2" s="48" t="s">
        <v>3316</v>
      </c>
      <c r="AG2" s="48" t="s">
        <v>3032</v>
      </c>
      <c r="AH2" s="48" t="s">
        <v>3317</v>
      </c>
      <c r="AI2" s="48" t="s">
        <v>3034</v>
      </c>
      <c r="AJ2" s="48" t="s">
        <v>3318</v>
      </c>
      <c r="AL2" t="s">
        <v>3044</v>
      </c>
      <c r="AM2">
        <v>30</v>
      </c>
    </row>
    <row r="3" spans="1:39" ht="15.75" x14ac:dyDescent="0.3">
      <c r="A3" s="15" t="s">
        <v>3312</v>
      </c>
      <c r="B3" s="15">
        <f t="shared" ref="B3:B66" si="0">(M3*($AM$2/$AM$1)*VLOOKUP(A3,$AE:$AI,MATCH("单场参数换算",$AE$2:$AI$2,0),FALSE))</f>
        <v>1200</v>
      </c>
      <c r="C3" s="15">
        <v>0</v>
      </c>
      <c r="D3" s="15">
        <f t="shared" ref="D3:D66" si="1">IF(C3=0,IF(B3&gt;1000,ROUNDUP(B3/1000,0)*1000,IF(B3&gt;100,ROUNDUP(B3/100,0)*100,IF(B3&gt;20,ROUNDUP(B3/5,0)*5,ROUNDUP(B3,0)))),C3)</f>
        <v>2000</v>
      </c>
      <c r="E3" s="15" t="s">
        <v>3313</v>
      </c>
      <c r="F3" s="15">
        <f t="shared" ref="F3:F66" si="2">VLOOKUP(K3,$U$9:$V$12,2,FALSE)</f>
        <v>10</v>
      </c>
      <c r="G3" s="15" t="str">
        <f t="shared" ref="G3:G66" si="3">"["&amp;F3&amp;"]"</f>
        <v>[10]</v>
      </c>
      <c r="H3">
        <v>1</v>
      </c>
      <c r="I3">
        <f t="shared" ref="I3:I66" si="4">VLOOKUP(A3,$AE:$AJ,MATCH("类型查找用",$AE$2:$AJ$2,0),FALSE)</f>
        <v>1</v>
      </c>
      <c r="J3">
        <v>2</v>
      </c>
      <c r="K3">
        <f t="shared" ref="K3:K66" si="5">VLOOKUP(A3,$AE:$AJ,MATCH("难度设定",$AE$2:$AJ$2,0),FALSE)</f>
        <v>2</v>
      </c>
      <c r="L3" s="45">
        <f t="shared" ref="L3:L66" si="6">IF(H3=1,(D3/VLOOKUP(I3,$AD:$AI,MATCH("单场参数换算",$AD$2:$AI$2,0),FALSE))/($AM$2/$AM$1),0)</f>
        <v>133.33333333333334</v>
      </c>
      <c r="M3" s="45">
        <f t="shared" ref="M3:M66" si="7">VLOOKUP(K3&amp;"-"&amp;J3,$W$14:$X$23,MATCH("预期天数",$W$14:$X$14,0),FALSE)</f>
        <v>80</v>
      </c>
      <c r="N3">
        <f t="shared" ref="N3:N66" si="8">VLOOKUP(K3&amp;"-"&amp;J3,$W$14:$Y$23,MATCH("对应积分",$W$14:$Y$14,0),FALSE)</f>
        <v>15</v>
      </c>
      <c r="O3" t="str">
        <f t="shared" ref="O3:O66" si="9">IF(H3=1,"true","false")</f>
        <v>true</v>
      </c>
      <c r="Q3" t="s">
        <v>3319</v>
      </c>
      <c r="R3">
        <f>MAX(L2:L124)</f>
        <v>500</v>
      </c>
      <c r="T3">
        <v>2</v>
      </c>
      <c r="U3">
        <v>150</v>
      </c>
      <c r="V3">
        <f>SUMIFS($N$2:$N$124,$H$2:$H$124,1,$L$2:$L$124,"&lt;="&amp;U3)</f>
        <v>1135</v>
      </c>
      <c r="W3">
        <v>800</v>
      </c>
      <c r="X3" t="s">
        <v>317</v>
      </c>
      <c r="Y3">
        <v>100</v>
      </c>
      <c r="Z3" t="s">
        <v>268</v>
      </c>
      <c r="AA3">
        <v>10000</v>
      </c>
      <c r="AD3">
        <v>1</v>
      </c>
      <c r="AE3" t="s">
        <v>3312</v>
      </c>
      <c r="AF3">
        <v>2</v>
      </c>
      <c r="AG3" t="s">
        <v>3056</v>
      </c>
      <c r="AH3">
        <v>2</v>
      </c>
      <c r="AI3">
        <f>IF(AG3="单场",AH3,IF(AG3="多场",1/AH3,IF(AG3="单天",AH3/($AM$2/$AM$1),1/(AH3*($AM$2/$AM$1)))))</f>
        <v>2</v>
      </c>
      <c r="AJ3">
        <f>AD3</f>
        <v>1</v>
      </c>
    </row>
    <row r="4" spans="1:39" ht="15.75" x14ac:dyDescent="0.3">
      <c r="A4" s="15" t="s">
        <v>3312</v>
      </c>
      <c r="B4" s="15">
        <f t="shared" si="0"/>
        <v>3000</v>
      </c>
      <c r="C4" s="15">
        <v>0</v>
      </c>
      <c r="D4" s="15">
        <f t="shared" si="1"/>
        <v>3000</v>
      </c>
      <c r="E4" s="15" t="s">
        <v>3313</v>
      </c>
      <c r="F4" s="15">
        <f t="shared" si="2"/>
        <v>10</v>
      </c>
      <c r="G4" s="15" t="str">
        <f t="shared" si="3"/>
        <v>[10]</v>
      </c>
      <c r="H4">
        <v>1</v>
      </c>
      <c r="I4">
        <f t="shared" si="4"/>
        <v>1</v>
      </c>
      <c r="J4">
        <v>3</v>
      </c>
      <c r="K4">
        <f t="shared" si="5"/>
        <v>2</v>
      </c>
      <c r="L4" s="45">
        <f t="shared" si="6"/>
        <v>200</v>
      </c>
      <c r="M4" s="45">
        <f t="shared" si="7"/>
        <v>200</v>
      </c>
      <c r="N4">
        <f t="shared" si="8"/>
        <v>20</v>
      </c>
      <c r="O4" t="str">
        <f t="shared" si="9"/>
        <v>true</v>
      </c>
      <c r="Q4" t="s">
        <v>3320</v>
      </c>
      <c r="R4">
        <f>R2/R3</f>
        <v>5.4922222222222228</v>
      </c>
      <c r="T4">
        <v>3</v>
      </c>
      <c r="U4">
        <v>240</v>
      </c>
      <c r="V4">
        <f>SUMIFS($N$2:$N$124,$H$2:$H$124,1,$L$2:$L$124,"&lt;="&amp;U4)</f>
        <v>1435</v>
      </c>
      <c r="W4">
        <v>1000</v>
      </c>
      <c r="X4" t="s">
        <v>317</v>
      </c>
      <c r="Y4">
        <v>100</v>
      </c>
      <c r="Z4" t="s">
        <v>268</v>
      </c>
      <c r="AA4">
        <v>10000</v>
      </c>
      <c r="AD4">
        <v>2</v>
      </c>
      <c r="AE4" t="s">
        <v>3321</v>
      </c>
      <c r="AF4">
        <v>3</v>
      </c>
      <c r="AG4" t="s">
        <v>3087</v>
      </c>
      <c r="AH4">
        <v>5</v>
      </c>
      <c r="AI4">
        <f t="shared" ref="AI4:AI43" si="10">IF(AG4="单场",AH4,IF(AG4="多场",1/AH4,IF(AG4="单天",AH4/($AM$2/$AM$1),1/(AH4*($AM$2/$AM$1)))))</f>
        <v>0.2</v>
      </c>
      <c r="AJ4">
        <f t="shared" ref="AJ4:AJ43" si="11">AD4</f>
        <v>2</v>
      </c>
    </row>
    <row r="5" spans="1:39" ht="15.75" x14ac:dyDescent="0.3">
      <c r="A5" s="15" t="s">
        <v>3321</v>
      </c>
      <c r="B5" s="15">
        <f t="shared" si="0"/>
        <v>60</v>
      </c>
      <c r="C5" s="15">
        <v>0</v>
      </c>
      <c r="D5" s="15">
        <f t="shared" si="1"/>
        <v>60</v>
      </c>
      <c r="E5" s="15" t="s">
        <v>3313</v>
      </c>
      <c r="F5" s="15">
        <f t="shared" si="2"/>
        <v>20</v>
      </c>
      <c r="G5" s="15" t="str">
        <f t="shared" si="3"/>
        <v>[20]</v>
      </c>
      <c r="H5">
        <v>1</v>
      </c>
      <c r="I5">
        <f t="shared" si="4"/>
        <v>2</v>
      </c>
      <c r="J5">
        <v>1</v>
      </c>
      <c r="K5">
        <f t="shared" si="5"/>
        <v>3</v>
      </c>
      <c r="L5" s="45">
        <f t="shared" si="6"/>
        <v>40</v>
      </c>
      <c r="M5" s="45">
        <f t="shared" si="7"/>
        <v>40</v>
      </c>
      <c r="N5">
        <f t="shared" si="8"/>
        <v>20</v>
      </c>
      <c r="O5" t="str">
        <f t="shared" si="9"/>
        <v>true</v>
      </c>
      <c r="T5">
        <v>4</v>
      </c>
      <c r="U5">
        <v>320</v>
      </c>
      <c r="V5">
        <f>SUMIFS($N$2:$N$124,$H$2:$H$124,1,$L$2:$L$124,"&lt;="&amp;U5)</f>
        <v>1525</v>
      </c>
      <c r="W5">
        <v>1200</v>
      </c>
      <c r="X5" t="s">
        <v>317</v>
      </c>
      <c r="Y5">
        <v>100</v>
      </c>
      <c r="Z5" t="s">
        <v>268</v>
      </c>
      <c r="AA5">
        <v>10000</v>
      </c>
      <c r="AD5">
        <v>3</v>
      </c>
      <c r="AE5" t="s">
        <v>3322</v>
      </c>
      <c r="AF5">
        <v>2</v>
      </c>
      <c r="AG5" t="s">
        <v>3087</v>
      </c>
      <c r="AH5">
        <v>2</v>
      </c>
      <c r="AI5">
        <f t="shared" si="10"/>
        <v>0.5</v>
      </c>
      <c r="AJ5">
        <f t="shared" si="11"/>
        <v>3</v>
      </c>
    </row>
    <row r="6" spans="1:39" ht="15.75" x14ac:dyDescent="0.3">
      <c r="A6" s="15" t="s">
        <v>3321</v>
      </c>
      <c r="B6" s="15">
        <f t="shared" si="0"/>
        <v>180</v>
      </c>
      <c r="C6" s="15">
        <v>0</v>
      </c>
      <c r="D6" s="15">
        <f t="shared" si="1"/>
        <v>200</v>
      </c>
      <c r="E6" s="15" t="s">
        <v>3313</v>
      </c>
      <c r="F6" s="15">
        <f t="shared" si="2"/>
        <v>20</v>
      </c>
      <c r="G6" s="15" t="str">
        <f t="shared" si="3"/>
        <v>[20]</v>
      </c>
      <c r="H6">
        <v>1</v>
      </c>
      <c r="I6">
        <f t="shared" si="4"/>
        <v>2</v>
      </c>
      <c r="J6">
        <v>2</v>
      </c>
      <c r="K6">
        <f t="shared" si="5"/>
        <v>3</v>
      </c>
      <c r="L6" s="45">
        <f t="shared" si="6"/>
        <v>133.33333333333334</v>
      </c>
      <c r="M6" s="45">
        <f t="shared" si="7"/>
        <v>120</v>
      </c>
      <c r="N6">
        <f t="shared" si="8"/>
        <v>25</v>
      </c>
      <c r="O6" t="str">
        <f t="shared" si="9"/>
        <v>true</v>
      </c>
      <c r="T6">
        <v>5</v>
      </c>
      <c r="U6">
        <v>100000</v>
      </c>
      <c r="V6">
        <f>SUMIFS($N$2:$N$124,$H$2:$H$124,1,$L$2:$L$124,"&lt;="&amp;U6)</f>
        <v>1665</v>
      </c>
      <c r="W6">
        <v>1600</v>
      </c>
      <c r="X6" t="s">
        <v>317</v>
      </c>
      <c r="Y6">
        <v>100</v>
      </c>
      <c r="Z6" t="s">
        <v>268</v>
      </c>
      <c r="AA6">
        <v>10000</v>
      </c>
      <c r="AD6">
        <v>4</v>
      </c>
      <c r="AE6" t="s">
        <v>3149</v>
      </c>
      <c r="AF6">
        <v>1</v>
      </c>
      <c r="AG6" t="s">
        <v>3056</v>
      </c>
      <c r="AH6">
        <v>25</v>
      </c>
      <c r="AI6">
        <f t="shared" si="10"/>
        <v>25</v>
      </c>
      <c r="AJ6">
        <f t="shared" si="11"/>
        <v>4</v>
      </c>
    </row>
    <row r="7" spans="1:39" ht="15.75" x14ac:dyDescent="0.3">
      <c r="A7" s="15" t="s">
        <v>3321</v>
      </c>
      <c r="B7" s="15">
        <f t="shared" si="0"/>
        <v>540</v>
      </c>
      <c r="C7" s="15">
        <v>0</v>
      </c>
      <c r="D7" s="15">
        <f t="shared" si="1"/>
        <v>600</v>
      </c>
      <c r="E7" s="15" t="s">
        <v>3313</v>
      </c>
      <c r="F7" s="15">
        <f t="shared" si="2"/>
        <v>20</v>
      </c>
      <c r="G7" s="15" t="str">
        <f t="shared" si="3"/>
        <v>[20]</v>
      </c>
      <c r="H7">
        <v>1</v>
      </c>
      <c r="I7">
        <f t="shared" si="4"/>
        <v>2</v>
      </c>
      <c r="J7">
        <v>3</v>
      </c>
      <c r="K7">
        <f t="shared" si="5"/>
        <v>3</v>
      </c>
      <c r="L7" s="45">
        <f t="shared" si="6"/>
        <v>400</v>
      </c>
      <c r="M7" s="45">
        <f t="shared" si="7"/>
        <v>360</v>
      </c>
      <c r="N7">
        <f t="shared" si="8"/>
        <v>30</v>
      </c>
      <c r="O7" t="str">
        <f t="shared" si="9"/>
        <v>true</v>
      </c>
      <c r="AD7">
        <v>5</v>
      </c>
      <c r="AE7" t="s">
        <v>3180</v>
      </c>
      <c r="AF7">
        <v>2</v>
      </c>
      <c r="AG7" t="s">
        <v>3077</v>
      </c>
      <c r="AH7">
        <v>5</v>
      </c>
      <c r="AI7">
        <f t="shared" si="10"/>
        <v>0.66666666666666663</v>
      </c>
      <c r="AJ7">
        <f t="shared" si="11"/>
        <v>5</v>
      </c>
    </row>
    <row r="8" spans="1:39" ht="15.75" x14ac:dyDescent="0.3">
      <c r="A8" s="15" t="s">
        <v>3322</v>
      </c>
      <c r="B8" s="15">
        <f t="shared" si="0"/>
        <v>112.5</v>
      </c>
      <c r="C8" s="15">
        <v>0</v>
      </c>
      <c r="D8" s="15">
        <f t="shared" si="1"/>
        <v>200</v>
      </c>
      <c r="E8" s="15" t="s">
        <v>3313</v>
      </c>
      <c r="F8" s="15">
        <f t="shared" si="2"/>
        <v>10</v>
      </c>
      <c r="G8" s="15" t="str">
        <f t="shared" si="3"/>
        <v>[10]</v>
      </c>
      <c r="H8">
        <v>1</v>
      </c>
      <c r="I8">
        <f t="shared" si="4"/>
        <v>3</v>
      </c>
      <c r="J8">
        <v>1</v>
      </c>
      <c r="K8">
        <f t="shared" si="5"/>
        <v>2</v>
      </c>
      <c r="L8" s="45">
        <f t="shared" si="6"/>
        <v>53.333333333333336</v>
      </c>
      <c r="M8" s="45">
        <f t="shared" si="7"/>
        <v>30</v>
      </c>
      <c r="N8">
        <f t="shared" si="8"/>
        <v>10</v>
      </c>
      <c r="O8" t="str">
        <f t="shared" si="9"/>
        <v>true</v>
      </c>
      <c r="AD8">
        <v>6</v>
      </c>
      <c r="AE8" t="s">
        <v>3323</v>
      </c>
      <c r="AF8">
        <v>1</v>
      </c>
      <c r="AG8" t="s">
        <v>3077</v>
      </c>
      <c r="AH8">
        <v>20</v>
      </c>
      <c r="AI8">
        <f t="shared" si="10"/>
        <v>2.6666666666666665</v>
      </c>
      <c r="AJ8">
        <f t="shared" si="11"/>
        <v>6</v>
      </c>
    </row>
    <row r="9" spans="1:39" ht="15.75" x14ac:dyDescent="0.3">
      <c r="A9" s="15" t="s">
        <v>3322</v>
      </c>
      <c r="B9" s="15">
        <f t="shared" si="0"/>
        <v>300</v>
      </c>
      <c r="C9" s="15">
        <v>0</v>
      </c>
      <c r="D9" s="15">
        <f t="shared" si="1"/>
        <v>300</v>
      </c>
      <c r="E9" s="15" t="s">
        <v>3313</v>
      </c>
      <c r="F9" s="15">
        <f t="shared" si="2"/>
        <v>10</v>
      </c>
      <c r="G9" s="15" t="str">
        <f t="shared" si="3"/>
        <v>[10]</v>
      </c>
      <c r="H9">
        <v>1</v>
      </c>
      <c r="I9">
        <f t="shared" si="4"/>
        <v>3</v>
      </c>
      <c r="J9">
        <v>2</v>
      </c>
      <c r="K9">
        <f t="shared" si="5"/>
        <v>2</v>
      </c>
      <c r="L9" s="45">
        <f t="shared" si="6"/>
        <v>80</v>
      </c>
      <c r="M9" s="45">
        <f t="shared" si="7"/>
        <v>80</v>
      </c>
      <c r="N9">
        <f t="shared" si="8"/>
        <v>15</v>
      </c>
      <c r="O9" t="str">
        <f t="shared" si="9"/>
        <v>true</v>
      </c>
      <c r="T9" t="s">
        <v>3324</v>
      </c>
      <c r="U9" s="7" t="s">
        <v>3325</v>
      </c>
      <c r="V9" s="7" t="s">
        <v>568</v>
      </c>
      <c r="AD9">
        <v>7</v>
      </c>
      <c r="AE9" s="49" t="s">
        <v>3219</v>
      </c>
      <c r="AF9" s="49">
        <v>3</v>
      </c>
      <c r="AG9" s="49" t="s">
        <v>3077</v>
      </c>
      <c r="AH9" s="49">
        <v>100</v>
      </c>
      <c r="AI9">
        <f t="shared" si="10"/>
        <v>13.333333333333334</v>
      </c>
      <c r="AJ9">
        <f t="shared" si="11"/>
        <v>7</v>
      </c>
    </row>
    <row r="10" spans="1:39" ht="15.75" x14ac:dyDescent="0.3">
      <c r="A10" s="15" t="s">
        <v>3322</v>
      </c>
      <c r="B10" s="15">
        <f t="shared" si="0"/>
        <v>750</v>
      </c>
      <c r="C10" s="15">
        <v>0</v>
      </c>
      <c r="D10" s="15">
        <f t="shared" si="1"/>
        <v>800</v>
      </c>
      <c r="E10" s="15" t="s">
        <v>3313</v>
      </c>
      <c r="F10" s="15">
        <f t="shared" si="2"/>
        <v>10</v>
      </c>
      <c r="G10" s="15" t="str">
        <f t="shared" si="3"/>
        <v>[10]</v>
      </c>
      <c r="H10">
        <v>1</v>
      </c>
      <c r="I10">
        <f t="shared" si="4"/>
        <v>3</v>
      </c>
      <c r="J10">
        <v>3</v>
      </c>
      <c r="K10">
        <f t="shared" si="5"/>
        <v>2</v>
      </c>
      <c r="L10" s="45">
        <f t="shared" si="6"/>
        <v>213.33333333333334</v>
      </c>
      <c r="M10" s="45">
        <f t="shared" si="7"/>
        <v>200</v>
      </c>
      <c r="N10">
        <f t="shared" si="8"/>
        <v>20</v>
      </c>
      <c r="O10" t="str">
        <f t="shared" si="9"/>
        <v>true</v>
      </c>
      <c r="U10" s="7">
        <v>1</v>
      </c>
      <c r="V10" s="7">
        <v>5</v>
      </c>
      <c r="AD10">
        <v>8</v>
      </c>
      <c r="AE10" t="s">
        <v>3326</v>
      </c>
      <c r="AF10">
        <v>2</v>
      </c>
      <c r="AG10" t="s">
        <v>3056</v>
      </c>
      <c r="AH10">
        <v>5</v>
      </c>
      <c r="AI10">
        <f t="shared" si="10"/>
        <v>5</v>
      </c>
      <c r="AJ10">
        <f t="shared" si="11"/>
        <v>8</v>
      </c>
    </row>
    <row r="11" spans="1:39" ht="15.75" x14ac:dyDescent="0.3">
      <c r="A11" s="15" t="s">
        <v>3149</v>
      </c>
      <c r="B11" s="15">
        <f t="shared" si="0"/>
        <v>3750</v>
      </c>
      <c r="C11" s="15">
        <v>0</v>
      </c>
      <c r="D11" s="15">
        <f t="shared" si="1"/>
        <v>4000</v>
      </c>
      <c r="E11" s="15" t="s">
        <v>3313</v>
      </c>
      <c r="F11" s="15">
        <f t="shared" si="2"/>
        <v>5</v>
      </c>
      <c r="G11" s="15" t="str">
        <f t="shared" si="3"/>
        <v>[5]</v>
      </c>
      <c r="H11">
        <v>1</v>
      </c>
      <c r="I11">
        <f t="shared" si="4"/>
        <v>4</v>
      </c>
      <c r="J11">
        <v>1</v>
      </c>
      <c r="K11">
        <f t="shared" si="5"/>
        <v>1</v>
      </c>
      <c r="L11" s="45">
        <f t="shared" si="6"/>
        <v>21.333333333333332</v>
      </c>
      <c r="M11" s="45">
        <f t="shared" si="7"/>
        <v>20</v>
      </c>
      <c r="N11">
        <f t="shared" si="8"/>
        <v>5</v>
      </c>
      <c r="O11" t="str">
        <f t="shared" si="9"/>
        <v>true</v>
      </c>
      <c r="U11" s="7">
        <v>2</v>
      </c>
      <c r="V11" s="7">
        <v>10</v>
      </c>
      <c r="AD11">
        <v>9</v>
      </c>
      <c r="AE11" t="s">
        <v>3197</v>
      </c>
      <c r="AF11">
        <v>2</v>
      </c>
      <c r="AG11" t="s">
        <v>3077</v>
      </c>
      <c r="AH11">
        <v>4000</v>
      </c>
      <c r="AI11">
        <f t="shared" si="10"/>
        <v>533.33333333333337</v>
      </c>
      <c r="AJ11">
        <f t="shared" si="11"/>
        <v>9</v>
      </c>
    </row>
    <row r="12" spans="1:39" ht="15.75" x14ac:dyDescent="0.3">
      <c r="A12" s="15" t="s">
        <v>3149</v>
      </c>
      <c r="B12" s="15">
        <f t="shared" si="0"/>
        <v>11250</v>
      </c>
      <c r="C12" s="15">
        <v>0</v>
      </c>
      <c r="D12" s="15">
        <f t="shared" si="1"/>
        <v>12000</v>
      </c>
      <c r="E12" s="15" t="s">
        <v>3313</v>
      </c>
      <c r="F12" s="15">
        <f t="shared" si="2"/>
        <v>5</v>
      </c>
      <c r="G12" s="15" t="str">
        <f t="shared" si="3"/>
        <v>[5]</v>
      </c>
      <c r="H12">
        <v>1</v>
      </c>
      <c r="I12">
        <f t="shared" si="4"/>
        <v>4</v>
      </c>
      <c r="J12">
        <v>2</v>
      </c>
      <c r="K12">
        <f t="shared" si="5"/>
        <v>1</v>
      </c>
      <c r="L12" s="45">
        <f t="shared" si="6"/>
        <v>64</v>
      </c>
      <c r="M12" s="45">
        <f t="shared" si="7"/>
        <v>60</v>
      </c>
      <c r="N12">
        <f t="shared" si="8"/>
        <v>10</v>
      </c>
      <c r="O12" t="str">
        <f t="shared" si="9"/>
        <v>true</v>
      </c>
      <c r="U12" s="7">
        <v>3</v>
      </c>
      <c r="V12" s="7">
        <v>20</v>
      </c>
      <c r="AD12">
        <v>10</v>
      </c>
      <c r="AE12" t="s">
        <v>3190</v>
      </c>
      <c r="AF12">
        <v>2</v>
      </c>
      <c r="AG12" t="s">
        <v>3077</v>
      </c>
      <c r="AH12">
        <v>4</v>
      </c>
      <c r="AI12">
        <f t="shared" si="10"/>
        <v>0.53333333333333333</v>
      </c>
      <c r="AJ12">
        <f t="shared" si="11"/>
        <v>10</v>
      </c>
    </row>
    <row r="13" spans="1:39" ht="15.75" x14ac:dyDescent="0.3">
      <c r="A13" s="15" t="s">
        <v>3149</v>
      </c>
      <c r="B13" s="15">
        <f t="shared" si="0"/>
        <v>28125</v>
      </c>
      <c r="C13" s="15">
        <v>30000</v>
      </c>
      <c r="D13" s="15">
        <f t="shared" si="1"/>
        <v>30000</v>
      </c>
      <c r="E13" s="15" t="s">
        <v>3313</v>
      </c>
      <c r="F13" s="15">
        <f t="shared" si="2"/>
        <v>5</v>
      </c>
      <c r="G13" s="15" t="str">
        <f t="shared" si="3"/>
        <v>[5]</v>
      </c>
      <c r="H13">
        <v>1</v>
      </c>
      <c r="I13">
        <f t="shared" si="4"/>
        <v>4</v>
      </c>
      <c r="J13">
        <v>3</v>
      </c>
      <c r="K13">
        <f t="shared" si="5"/>
        <v>1</v>
      </c>
      <c r="L13" s="45">
        <f t="shared" si="6"/>
        <v>160</v>
      </c>
      <c r="M13" s="45">
        <f t="shared" si="7"/>
        <v>150</v>
      </c>
      <c r="N13">
        <f t="shared" si="8"/>
        <v>15</v>
      </c>
      <c r="O13" t="str">
        <f t="shared" si="9"/>
        <v>true</v>
      </c>
      <c r="AD13">
        <v>11</v>
      </c>
      <c r="AE13" t="s">
        <v>3134</v>
      </c>
      <c r="AF13">
        <v>1</v>
      </c>
      <c r="AG13" t="s">
        <v>3056</v>
      </c>
      <c r="AH13">
        <v>2</v>
      </c>
      <c r="AI13">
        <f t="shared" si="10"/>
        <v>2</v>
      </c>
      <c r="AJ13">
        <f t="shared" si="11"/>
        <v>11</v>
      </c>
    </row>
    <row r="14" spans="1:39" ht="15.75" x14ac:dyDescent="0.3">
      <c r="A14" s="15" t="s">
        <v>3180</v>
      </c>
      <c r="B14" s="15">
        <f t="shared" si="0"/>
        <v>150</v>
      </c>
      <c r="C14" s="15">
        <v>0</v>
      </c>
      <c r="D14" s="15">
        <f t="shared" si="1"/>
        <v>200</v>
      </c>
      <c r="E14" s="15" t="s">
        <v>3313</v>
      </c>
      <c r="F14" s="15">
        <f t="shared" si="2"/>
        <v>10</v>
      </c>
      <c r="G14" s="15" t="str">
        <f t="shared" si="3"/>
        <v>[10]</v>
      </c>
      <c r="H14">
        <v>1</v>
      </c>
      <c r="I14">
        <f t="shared" si="4"/>
        <v>5</v>
      </c>
      <c r="J14">
        <v>1</v>
      </c>
      <c r="K14">
        <f t="shared" si="5"/>
        <v>2</v>
      </c>
      <c r="L14" s="45">
        <f t="shared" si="6"/>
        <v>40</v>
      </c>
      <c r="M14" s="45">
        <f t="shared" si="7"/>
        <v>30</v>
      </c>
      <c r="N14">
        <f t="shared" si="8"/>
        <v>10</v>
      </c>
      <c r="O14" t="str">
        <f t="shared" si="9"/>
        <v>true</v>
      </c>
      <c r="T14" t="s">
        <v>3327</v>
      </c>
      <c r="U14" s="7" t="s">
        <v>3325</v>
      </c>
      <c r="V14" s="7" t="s">
        <v>816</v>
      </c>
      <c r="W14" s="7" t="s">
        <v>3328</v>
      </c>
      <c r="X14" s="7" t="s">
        <v>585</v>
      </c>
      <c r="Y14" s="13" t="s">
        <v>3306</v>
      </c>
      <c r="AD14">
        <v>12</v>
      </c>
      <c r="AE14" t="s">
        <v>3204</v>
      </c>
      <c r="AF14">
        <v>2</v>
      </c>
      <c r="AG14" t="s">
        <v>3077</v>
      </c>
      <c r="AH14">
        <v>0.6</v>
      </c>
      <c r="AI14">
        <f t="shared" si="10"/>
        <v>0.08</v>
      </c>
      <c r="AJ14">
        <f t="shared" si="11"/>
        <v>12</v>
      </c>
    </row>
    <row r="15" spans="1:39" ht="15.75" x14ac:dyDescent="0.3">
      <c r="A15" s="15" t="s">
        <v>3180</v>
      </c>
      <c r="B15" s="15">
        <f t="shared" si="0"/>
        <v>400</v>
      </c>
      <c r="C15" s="15">
        <v>0</v>
      </c>
      <c r="D15" s="15">
        <f t="shared" si="1"/>
        <v>400</v>
      </c>
      <c r="E15" s="15" t="s">
        <v>3313</v>
      </c>
      <c r="F15" s="15">
        <f t="shared" si="2"/>
        <v>10</v>
      </c>
      <c r="G15" s="15" t="str">
        <f t="shared" si="3"/>
        <v>[10]</v>
      </c>
      <c r="H15">
        <v>1</v>
      </c>
      <c r="I15">
        <f t="shared" si="4"/>
        <v>5</v>
      </c>
      <c r="J15">
        <v>2</v>
      </c>
      <c r="K15">
        <f t="shared" si="5"/>
        <v>2</v>
      </c>
      <c r="L15" s="45">
        <f t="shared" si="6"/>
        <v>80</v>
      </c>
      <c r="M15" s="45">
        <f t="shared" si="7"/>
        <v>80</v>
      </c>
      <c r="N15">
        <f t="shared" si="8"/>
        <v>15</v>
      </c>
      <c r="O15" t="str">
        <f t="shared" si="9"/>
        <v>true</v>
      </c>
      <c r="U15" s="7">
        <v>1</v>
      </c>
      <c r="V15" s="7">
        <v>1</v>
      </c>
      <c r="W15" s="7" t="str">
        <f>U15&amp;"-"&amp;V15</f>
        <v>1-1</v>
      </c>
      <c r="X15" s="7">
        <v>20</v>
      </c>
      <c r="Y15" s="7">
        <v>5</v>
      </c>
      <c r="AD15">
        <v>13</v>
      </c>
      <c r="AE15" t="s">
        <v>3329</v>
      </c>
      <c r="AF15">
        <v>2</v>
      </c>
      <c r="AG15" t="s">
        <v>3056</v>
      </c>
      <c r="AH15">
        <v>1</v>
      </c>
      <c r="AI15">
        <f t="shared" si="10"/>
        <v>1</v>
      </c>
      <c r="AJ15">
        <f t="shared" si="11"/>
        <v>13</v>
      </c>
    </row>
    <row r="16" spans="1:39" ht="15.75" x14ac:dyDescent="0.3">
      <c r="A16" s="15" t="s">
        <v>3180</v>
      </c>
      <c r="B16" s="15">
        <f t="shared" si="0"/>
        <v>1000</v>
      </c>
      <c r="C16" s="15">
        <v>0</v>
      </c>
      <c r="D16" s="15">
        <f t="shared" si="1"/>
        <v>1000</v>
      </c>
      <c r="E16" s="15" t="s">
        <v>3313</v>
      </c>
      <c r="F16" s="15">
        <f t="shared" si="2"/>
        <v>10</v>
      </c>
      <c r="G16" s="15" t="str">
        <f t="shared" si="3"/>
        <v>[10]</v>
      </c>
      <c r="H16">
        <v>1</v>
      </c>
      <c r="I16">
        <f t="shared" si="4"/>
        <v>5</v>
      </c>
      <c r="J16">
        <v>3</v>
      </c>
      <c r="K16">
        <f t="shared" si="5"/>
        <v>2</v>
      </c>
      <c r="L16" s="45">
        <f t="shared" si="6"/>
        <v>200</v>
      </c>
      <c r="M16" s="45">
        <f t="shared" si="7"/>
        <v>200</v>
      </c>
      <c r="N16">
        <f t="shared" si="8"/>
        <v>20</v>
      </c>
      <c r="O16" t="str">
        <f t="shared" si="9"/>
        <v>true</v>
      </c>
      <c r="U16" s="7">
        <v>1</v>
      </c>
      <c r="V16" s="7">
        <v>2</v>
      </c>
      <c r="W16" s="7" t="str">
        <f t="shared" ref="W16:W23" si="12">U16&amp;"-"&amp;V16</f>
        <v>1-2</v>
      </c>
      <c r="X16" s="7">
        <v>60</v>
      </c>
      <c r="Y16" s="7">
        <v>10</v>
      </c>
      <c r="AD16">
        <v>14</v>
      </c>
      <c r="AE16" t="s">
        <v>3330</v>
      </c>
      <c r="AF16">
        <v>2</v>
      </c>
      <c r="AG16" t="s">
        <v>3056</v>
      </c>
      <c r="AH16">
        <v>1</v>
      </c>
      <c r="AI16">
        <f t="shared" si="10"/>
        <v>1</v>
      </c>
      <c r="AJ16">
        <f t="shared" si="11"/>
        <v>14</v>
      </c>
    </row>
    <row r="17" spans="1:36" ht="15.75" x14ac:dyDescent="0.3">
      <c r="A17" s="15" t="s">
        <v>3323</v>
      </c>
      <c r="B17" s="15">
        <f t="shared" si="0"/>
        <v>400</v>
      </c>
      <c r="C17" s="15">
        <v>0</v>
      </c>
      <c r="D17" s="15">
        <f t="shared" si="1"/>
        <v>400</v>
      </c>
      <c r="E17" s="15" t="s">
        <v>3313</v>
      </c>
      <c r="F17" s="15">
        <f t="shared" si="2"/>
        <v>5</v>
      </c>
      <c r="G17" s="15" t="str">
        <f t="shared" si="3"/>
        <v>[5]</v>
      </c>
      <c r="H17">
        <v>1</v>
      </c>
      <c r="I17">
        <f t="shared" si="4"/>
        <v>6</v>
      </c>
      <c r="J17">
        <v>1</v>
      </c>
      <c r="K17">
        <f t="shared" si="5"/>
        <v>1</v>
      </c>
      <c r="L17" s="45">
        <f t="shared" si="6"/>
        <v>20</v>
      </c>
      <c r="M17" s="45">
        <f t="shared" si="7"/>
        <v>20</v>
      </c>
      <c r="N17">
        <f t="shared" si="8"/>
        <v>5</v>
      </c>
      <c r="O17" t="str">
        <f t="shared" si="9"/>
        <v>true</v>
      </c>
      <c r="U17" s="7">
        <v>1</v>
      </c>
      <c r="V17" s="7">
        <v>3</v>
      </c>
      <c r="W17" s="7" t="str">
        <f t="shared" si="12"/>
        <v>1-3</v>
      </c>
      <c r="X17" s="7">
        <v>150</v>
      </c>
      <c r="Y17" s="7">
        <v>15</v>
      </c>
      <c r="AD17">
        <v>15</v>
      </c>
      <c r="AE17" t="s">
        <v>3331</v>
      </c>
      <c r="AF17">
        <v>2</v>
      </c>
      <c r="AG17" t="s">
        <v>3056</v>
      </c>
      <c r="AH17">
        <v>1</v>
      </c>
      <c r="AI17">
        <f t="shared" si="10"/>
        <v>1</v>
      </c>
      <c r="AJ17">
        <f t="shared" si="11"/>
        <v>15</v>
      </c>
    </row>
    <row r="18" spans="1:36" ht="15.75" x14ac:dyDescent="0.3">
      <c r="A18" s="15" t="s">
        <v>3323</v>
      </c>
      <c r="B18" s="15">
        <f t="shared" si="0"/>
        <v>1200</v>
      </c>
      <c r="C18" s="15">
        <v>0</v>
      </c>
      <c r="D18" s="15">
        <f t="shared" si="1"/>
        <v>2000</v>
      </c>
      <c r="E18" s="15" t="s">
        <v>3313</v>
      </c>
      <c r="F18" s="15">
        <f t="shared" si="2"/>
        <v>5</v>
      </c>
      <c r="G18" s="15" t="str">
        <f t="shared" si="3"/>
        <v>[5]</v>
      </c>
      <c r="H18">
        <v>1</v>
      </c>
      <c r="I18">
        <f t="shared" si="4"/>
        <v>6</v>
      </c>
      <c r="J18">
        <v>2</v>
      </c>
      <c r="K18">
        <f t="shared" si="5"/>
        <v>1</v>
      </c>
      <c r="L18" s="45">
        <f t="shared" si="6"/>
        <v>100</v>
      </c>
      <c r="M18" s="45">
        <f t="shared" si="7"/>
        <v>60</v>
      </c>
      <c r="N18">
        <f t="shared" si="8"/>
        <v>10</v>
      </c>
      <c r="O18" t="str">
        <f t="shared" si="9"/>
        <v>true</v>
      </c>
      <c r="U18" s="7">
        <v>2</v>
      </c>
      <c r="V18" s="7">
        <v>1</v>
      </c>
      <c r="W18" s="7" t="str">
        <f t="shared" si="12"/>
        <v>2-1</v>
      </c>
      <c r="X18" s="7">
        <v>30</v>
      </c>
      <c r="Y18" s="7">
        <v>10</v>
      </c>
      <c r="AD18">
        <v>16</v>
      </c>
      <c r="AE18" t="s">
        <v>3058</v>
      </c>
      <c r="AF18">
        <v>2</v>
      </c>
      <c r="AG18" t="s">
        <v>3077</v>
      </c>
      <c r="AH18">
        <v>1</v>
      </c>
      <c r="AI18">
        <f t="shared" si="10"/>
        <v>0.13333333333333333</v>
      </c>
      <c r="AJ18">
        <f t="shared" si="11"/>
        <v>16</v>
      </c>
    </row>
    <row r="19" spans="1:36" ht="15.75" x14ac:dyDescent="0.3">
      <c r="A19" s="15" t="s">
        <v>3323</v>
      </c>
      <c r="B19" s="15">
        <f t="shared" si="0"/>
        <v>3000</v>
      </c>
      <c r="C19" s="15">
        <v>0</v>
      </c>
      <c r="D19" s="15">
        <f t="shared" si="1"/>
        <v>3000</v>
      </c>
      <c r="E19" s="15" t="s">
        <v>3313</v>
      </c>
      <c r="F19" s="15">
        <f t="shared" si="2"/>
        <v>5</v>
      </c>
      <c r="G19" s="15" t="str">
        <f t="shared" si="3"/>
        <v>[5]</v>
      </c>
      <c r="H19">
        <v>1</v>
      </c>
      <c r="I19">
        <f t="shared" si="4"/>
        <v>6</v>
      </c>
      <c r="J19">
        <v>3</v>
      </c>
      <c r="K19">
        <f t="shared" si="5"/>
        <v>1</v>
      </c>
      <c r="L19" s="45">
        <f t="shared" si="6"/>
        <v>150</v>
      </c>
      <c r="M19" s="45">
        <f t="shared" si="7"/>
        <v>150</v>
      </c>
      <c r="N19">
        <f t="shared" si="8"/>
        <v>15</v>
      </c>
      <c r="O19" t="str">
        <f t="shared" si="9"/>
        <v>true</v>
      </c>
      <c r="U19" s="7">
        <v>2</v>
      </c>
      <c r="V19" s="7">
        <v>2</v>
      </c>
      <c r="W19" s="7" t="str">
        <f t="shared" si="12"/>
        <v>2-2</v>
      </c>
      <c r="X19" s="7">
        <v>80</v>
      </c>
      <c r="Y19" s="7">
        <v>15</v>
      </c>
      <c r="AD19">
        <v>17</v>
      </c>
      <c r="AE19" t="s">
        <v>3170</v>
      </c>
      <c r="AF19">
        <v>1</v>
      </c>
      <c r="AG19" t="s">
        <v>3077</v>
      </c>
      <c r="AH19">
        <v>2</v>
      </c>
      <c r="AI19">
        <f t="shared" si="10"/>
        <v>0.26666666666666666</v>
      </c>
      <c r="AJ19">
        <f t="shared" si="11"/>
        <v>17</v>
      </c>
    </row>
    <row r="20" spans="1:36" ht="15.75" x14ac:dyDescent="0.3">
      <c r="A20" s="15" t="s">
        <v>3219</v>
      </c>
      <c r="B20" s="15">
        <f t="shared" si="0"/>
        <v>4000</v>
      </c>
      <c r="C20" s="15">
        <v>5000</v>
      </c>
      <c r="D20" s="15">
        <f t="shared" si="1"/>
        <v>5000</v>
      </c>
      <c r="E20" s="15" t="s">
        <v>3313</v>
      </c>
      <c r="F20" s="15">
        <f t="shared" si="2"/>
        <v>20</v>
      </c>
      <c r="G20" s="15" t="str">
        <f t="shared" si="3"/>
        <v>[20]</v>
      </c>
      <c r="H20">
        <v>1</v>
      </c>
      <c r="I20">
        <f t="shared" si="4"/>
        <v>7</v>
      </c>
      <c r="J20">
        <v>1</v>
      </c>
      <c r="K20">
        <f t="shared" si="5"/>
        <v>3</v>
      </c>
      <c r="L20" s="45">
        <f t="shared" si="6"/>
        <v>50</v>
      </c>
      <c r="M20" s="45">
        <f t="shared" si="7"/>
        <v>40</v>
      </c>
      <c r="N20">
        <f t="shared" si="8"/>
        <v>20</v>
      </c>
      <c r="O20" t="str">
        <f t="shared" si="9"/>
        <v>true</v>
      </c>
      <c r="U20" s="7">
        <v>2</v>
      </c>
      <c r="V20" s="7">
        <v>3</v>
      </c>
      <c r="W20" s="7" t="str">
        <f t="shared" si="12"/>
        <v>2-3</v>
      </c>
      <c r="X20" s="7">
        <v>200</v>
      </c>
      <c r="Y20" s="7">
        <v>20</v>
      </c>
      <c r="AD20">
        <v>18</v>
      </c>
      <c r="AE20" t="s">
        <v>3163</v>
      </c>
      <c r="AF20">
        <v>1</v>
      </c>
      <c r="AG20" t="s">
        <v>3067</v>
      </c>
      <c r="AH20">
        <v>10</v>
      </c>
      <c r="AI20">
        <f t="shared" si="10"/>
        <v>1.3333333333333334E-2</v>
      </c>
      <c r="AJ20">
        <f t="shared" si="11"/>
        <v>18</v>
      </c>
    </row>
    <row r="21" spans="1:36" ht="15.75" x14ac:dyDescent="0.3">
      <c r="A21" s="15" t="s">
        <v>3219</v>
      </c>
      <c r="B21" s="15">
        <f t="shared" si="0"/>
        <v>12000</v>
      </c>
      <c r="C21" s="15">
        <v>20000</v>
      </c>
      <c r="D21" s="15">
        <f t="shared" si="1"/>
        <v>20000</v>
      </c>
      <c r="E21" s="15" t="s">
        <v>3313</v>
      </c>
      <c r="F21" s="15">
        <f t="shared" si="2"/>
        <v>20</v>
      </c>
      <c r="G21" s="15" t="str">
        <f t="shared" si="3"/>
        <v>[20]</v>
      </c>
      <c r="H21">
        <v>1</v>
      </c>
      <c r="I21">
        <f t="shared" si="4"/>
        <v>7</v>
      </c>
      <c r="J21">
        <v>2</v>
      </c>
      <c r="K21">
        <f t="shared" si="5"/>
        <v>3</v>
      </c>
      <c r="L21" s="45">
        <f t="shared" si="6"/>
        <v>200</v>
      </c>
      <c r="M21" s="45">
        <f t="shared" si="7"/>
        <v>120</v>
      </c>
      <c r="N21">
        <f t="shared" si="8"/>
        <v>25</v>
      </c>
      <c r="O21" t="str">
        <f t="shared" si="9"/>
        <v>true</v>
      </c>
      <c r="U21" s="7">
        <v>3</v>
      </c>
      <c r="V21" s="7">
        <v>1</v>
      </c>
      <c r="W21" s="7" t="str">
        <f t="shared" si="12"/>
        <v>3-1</v>
      </c>
      <c r="X21" s="7">
        <v>40</v>
      </c>
      <c r="Y21" s="7">
        <v>20</v>
      </c>
      <c r="AD21">
        <v>19</v>
      </c>
      <c r="AE21" t="s">
        <v>3332</v>
      </c>
      <c r="AF21">
        <v>2</v>
      </c>
      <c r="AG21" t="s">
        <v>3056</v>
      </c>
      <c r="AH21">
        <v>3</v>
      </c>
      <c r="AI21">
        <f t="shared" si="10"/>
        <v>3</v>
      </c>
      <c r="AJ21">
        <f t="shared" si="11"/>
        <v>19</v>
      </c>
    </row>
    <row r="22" spans="1:36" ht="15.75" x14ac:dyDescent="0.3">
      <c r="A22" s="15" t="s">
        <v>3219</v>
      </c>
      <c r="B22" s="15">
        <f t="shared" si="0"/>
        <v>36000</v>
      </c>
      <c r="C22" s="15">
        <v>50000</v>
      </c>
      <c r="D22" s="15">
        <f t="shared" si="1"/>
        <v>50000</v>
      </c>
      <c r="E22" s="15" t="s">
        <v>3313</v>
      </c>
      <c r="F22" s="15">
        <f t="shared" si="2"/>
        <v>20</v>
      </c>
      <c r="G22" s="15" t="str">
        <f t="shared" si="3"/>
        <v>[20]</v>
      </c>
      <c r="H22">
        <v>1</v>
      </c>
      <c r="I22">
        <f t="shared" si="4"/>
        <v>7</v>
      </c>
      <c r="J22">
        <v>3</v>
      </c>
      <c r="K22">
        <f t="shared" si="5"/>
        <v>3</v>
      </c>
      <c r="L22" s="45">
        <f t="shared" si="6"/>
        <v>500</v>
      </c>
      <c r="M22" s="45">
        <f t="shared" si="7"/>
        <v>360</v>
      </c>
      <c r="N22">
        <f t="shared" si="8"/>
        <v>30</v>
      </c>
      <c r="O22" t="str">
        <f t="shared" si="9"/>
        <v>true</v>
      </c>
      <c r="U22" s="7">
        <v>3</v>
      </c>
      <c r="V22" s="7">
        <v>2</v>
      </c>
      <c r="W22" s="7" t="str">
        <f t="shared" si="12"/>
        <v>3-2</v>
      </c>
      <c r="X22" s="7">
        <v>120</v>
      </c>
      <c r="Y22" s="7">
        <v>25</v>
      </c>
      <c r="AD22">
        <v>20</v>
      </c>
      <c r="AE22" t="s">
        <v>3333</v>
      </c>
      <c r="AF22">
        <v>1</v>
      </c>
      <c r="AG22" t="s">
        <v>3077</v>
      </c>
      <c r="AH22">
        <v>1</v>
      </c>
      <c r="AI22">
        <f t="shared" si="10"/>
        <v>0.13333333333333333</v>
      </c>
      <c r="AJ22">
        <f t="shared" si="11"/>
        <v>20</v>
      </c>
    </row>
    <row r="23" spans="1:36" ht="15.75" x14ac:dyDescent="0.3">
      <c r="A23" s="15" t="s">
        <v>3326</v>
      </c>
      <c r="B23" s="15">
        <f t="shared" si="0"/>
        <v>1125</v>
      </c>
      <c r="C23" s="15">
        <v>0</v>
      </c>
      <c r="D23" s="15">
        <f t="shared" si="1"/>
        <v>2000</v>
      </c>
      <c r="E23" s="15" t="s">
        <v>3313</v>
      </c>
      <c r="F23" s="15">
        <f t="shared" si="2"/>
        <v>10</v>
      </c>
      <c r="G23" s="15" t="str">
        <f t="shared" si="3"/>
        <v>[10]</v>
      </c>
      <c r="H23">
        <v>1</v>
      </c>
      <c r="I23">
        <f t="shared" si="4"/>
        <v>8</v>
      </c>
      <c r="J23">
        <v>1</v>
      </c>
      <c r="K23">
        <f t="shared" si="5"/>
        <v>2</v>
      </c>
      <c r="L23" s="45">
        <f t="shared" si="6"/>
        <v>53.333333333333336</v>
      </c>
      <c r="M23" s="45">
        <f t="shared" si="7"/>
        <v>30</v>
      </c>
      <c r="N23">
        <f t="shared" si="8"/>
        <v>10</v>
      </c>
      <c r="O23" t="str">
        <f t="shared" si="9"/>
        <v>true</v>
      </c>
      <c r="U23" s="7">
        <v>3</v>
      </c>
      <c r="V23" s="7">
        <v>3</v>
      </c>
      <c r="W23" s="7" t="str">
        <f t="shared" si="12"/>
        <v>3-3</v>
      </c>
      <c r="X23" s="7">
        <v>360</v>
      </c>
      <c r="Y23" s="7">
        <v>30</v>
      </c>
      <c r="AD23">
        <v>21</v>
      </c>
      <c r="AE23" t="s">
        <v>3334</v>
      </c>
      <c r="AF23">
        <v>1</v>
      </c>
      <c r="AG23" t="s">
        <v>3056</v>
      </c>
      <c r="AH23">
        <v>1</v>
      </c>
      <c r="AI23">
        <f t="shared" si="10"/>
        <v>1</v>
      </c>
      <c r="AJ23">
        <f t="shared" si="11"/>
        <v>21</v>
      </c>
    </row>
    <row r="24" spans="1:36" ht="15.75" x14ac:dyDescent="0.3">
      <c r="A24" s="15" t="s">
        <v>3326</v>
      </c>
      <c r="B24" s="15">
        <f t="shared" si="0"/>
        <v>3000</v>
      </c>
      <c r="C24" s="15">
        <v>0</v>
      </c>
      <c r="D24" s="15">
        <f t="shared" si="1"/>
        <v>3000</v>
      </c>
      <c r="E24" s="15" t="s">
        <v>3313</v>
      </c>
      <c r="F24" s="15">
        <f t="shared" si="2"/>
        <v>10</v>
      </c>
      <c r="G24" s="15" t="str">
        <f t="shared" si="3"/>
        <v>[10]</v>
      </c>
      <c r="H24">
        <v>1</v>
      </c>
      <c r="I24">
        <f t="shared" si="4"/>
        <v>8</v>
      </c>
      <c r="J24">
        <v>2</v>
      </c>
      <c r="K24">
        <f t="shared" si="5"/>
        <v>2</v>
      </c>
      <c r="L24" s="45">
        <f t="shared" si="6"/>
        <v>80</v>
      </c>
      <c r="M24" s="45">
        <f t="shared" si="7"/>
        <v>80</v>
      </c>
      <c r="N24">
        <f t="shared" si="8"/>
        <v>15</v>
      </c>
      <c r="O24" t="str">
        <f t="shared" si="9"/>
        <v>true</v>
      </c>
      <c r="AD24">
        <v>22</v>
      </c>
      <c r="AE24" t="s">
        <v>3335</v>
      </c>
      <c r="AF24">
        <v>2</v>
      </c>
      <c r="AG24" t="s">
        <v>3056</v>
      </c>
      <c r="AH24">
        <v>1000</v>
      </c>
      <c r="AI24">
        <f t="shared" si="10"/>
        <v>1000</v>
      </c>
      <c r="AJ24">
        <f t="shared" si="11"/>
        <v>22</v>
      </c>
    </row>
    <row r="25" spans="1:36" ht="15.75" x14ac:dyDescent="0.3">
      <c r="A25" s="15" t="s">
        <v>3326</v>
      </c>
      <c r="B25" s="15">
        <f t="shared" si="0"/>
        <v>7500</v>
      </c>
      <c r="C25" s="15">
        <v>0</v>
      </c>
      <c r="D25" s="15">
        <f t="shared" si="1"/>
        <v>8000</v>
      </c>
      <c r="E25" s="15" t="s">
        <v>3313</v>
      </c>
      <c r="F25" s="15">
        <f t="shared" si="2"/>
        <v>10</v>
      </c>
      <c r="G25" s="15" t="str">
        <f t="shared" si="3"/>
        <v>[10]</v>
      </c>
      <c r="H25">
        <v>1</v>
      </c>
      <c r="I25">
        <f t="shared" si="4"/>
        <v>8</v>
      </c>
      <c r="J25">
        <v>3</v>
      </c>
      <c r="K25">
        <f t="shared" si="5"/>
        <v>2</v>
      </c>
      <c r="L25" s="45">
        <f t="shared" si="6"/>
        <v>213.33333333333334</v>
      </c>
      <c r="M25" s="45">
        <f t="shared" si="7"/>
        <v>200</v>
      </c>
      <c r="N25">
        <f t="shared" si="8"/>
        <v>20</v>
      </c>
      <c r="O25" t="str">
        <f t="shared" si="9"/>
        <v>true</v>
      </c>
      <c r="AD25">
        <v>23</v>
      </c>
      <c r="AE25" t="s">
        <v>3336</v>
      </c>
      <c r="AF25">
        <v>1</v>
      </c>
      <c r="AG25" t="s">
        <v>3077</v>
      </c>
      <c r="AH25">
        <v>1</v>
      </c>
      <c r="AI25">
        <f t="shared" si="10"/>
        <v>0.13333333333333333</v>
      </c>
      <c r="AJ25">
        <f t="shared" si="11"/>
        <v>23</v>
      </c>
    </row>
    <row r="26" spans="1:36" ht="15.75" x14ac:dyDescent="0.3">
      <c r="A26" s="15" t="s">
        <v>3197</v>
      </c>
      <c r="B26" s="15">
        <f t="shared" si="0"/>
        <v>120000.00000000001</v>
      </c>
      <c r="C26" s="15">
        <v>0</v>
      </c>
      <c r="D26" s="15">
        <f t="shared" si="1"/>
        <v>120000</v>
      </c>
      <c r="E26" s="15" t="s">
        <v>3313</v>
      </c>
      <c r="F26" s="15">
        <f t="shared" si="2"/>
        <v>10</v>
      </c>
      <c r="G26" s="15" t="str">
        <f t="shared" si="3"/>
        <v>[10]</v>
      </c>
      <c r="H26">
        <v>1</v>
      </c>
      <c r="I26">
        <f t="shared" si="4"/>
        <v>9</v>
      </c>
      <c r="J26">
        <v>1</v>
      </c>
      <c r="K26">
        <f t="shared" si="5"/>
        <v>2</v>
      </c>
      <c r="L26" s="45">
        <f t="shared" si="6"/>
        <v>29.999999999999996</v>
      </c>
      <c r="M26" s="45">
        <f t="shared" si="7"/>
        <v>30</v>
      </c>
      <c r="N26">
        <f t="shared" si="8"/>
        <v>10</v>
      </c>
      <c r="O26" t="str">
        <f t="shared" si="9"/>
        <v>true</v>
      </c>
      <c r="AD26">
        <v>24</v>
      </c>
      <c r="AE26" t="s">
        <v>3337</v>
      </c>
      <c r="AF26">
        <v>3</v>
      </c>
      <c r="AG26" t="s">
        <v>3067</v>
      </c>
      <c r="AH26">
        <v>10</v>
      </c>
      <c r="AI26">
        <f t="shared" si="10"/>
        <v>1.3333333333333334E-2</v>
      </c>
      <c r="AJ26">
        <f t="shared" si="11"/>
        <v>24</v>
      </c>
    </row>
    <row r="27" spans="1:36" ht="15.75" x14ac:dyDescent="0.3">
      <c r="A27" s="15" t="s">
        <v>3197</v>
      </c>
      <c r="B27" s="15">
        <f t="shared" si="0"/>
        <v>320000</v>
      </c>
      <c r="C27" s="15">
        <v>0</v>
      </c>
      <c r="D27" s="15">
        <f t="shared" si="1"/>
        <v>320000</v>
      </c>
      <c r="E27" s="15" t="s">
        <v>3313</v>
      </c>
      <c r="F27" s="15">
        <f t="shared" si="2"/>
        <v>10</v>
      </c>
      <c r="G27" s="15" t="str">
        <f t="shared" si="3"/>
        <v>[10]</v>
      </c>
      <c r="H27">
        <v>1</v>
      </c>
      <c r="I27">
        <f t="shared" si="4"/>
        <v>9</v>
      </c>
      <c r="J27">
        <v>2</v>
      </c>
      <c r="K27">
        <f t="shared" si="5"/>
        <v>2</v>
      </c>
      <c r="L27" s="45">
        <f t="shared" si="6"/>
        <v>80</v>
      </c>
      <c r="M27" s="45">
        <f t="shared" si="7"/>
        <v>80</v>
      </c>
      <c r="N27">
        <f t="shared" si="8"/>
        <v>15</v>
      </c>
      <c r="O27" t="str">
        <f t="shared" si="9"/>
        <v>true</v>
      </c>
      <c r="AD27">
        <v>25</v>
      </c>
      <c r="AE27" t="s">
        <v>3338</v>
      </c>
      <c r="AF27">
        <v>3</v>
      </c>
      <c r="AG27" t="s">
        <v>3067</v>
      </c>
      <c r="AH27">
        <v>10</v>
      </c>
      <c r="AI27">
        <f t="shared" si="10"/>
        <v>1.3333333333333334E-2</v>
      </c>
      <c r="AJ27">
        <f t="shared" si="11"/>
        <v>25</v>
      </c>
    </row>
    <row r="28" spans="1:36" ht="15.75" x14ac:dyDescent="0.3">
      <c r="A28" s="15" t="s">
        <v>3197</v>
      </c>
      <c r="B28" s="15">
        <f t="shared" si="0"/>
        <v>800000</v>
      </c>
      <c r="C28" s="15">
        <v>0</v>
      </c>
      <c r="D28" s="15">
        <f t="shared" si="1"/>
        <v>800000</v>
      </c>
      <c r="E28" s="15" t="s">
        <v>3313</v>
      </c>
      <c r="F28" s="15">
        <f t="shared" si="2"/>
        <v>10</v>
      </c>
      <c r="G28" s="15" t="str">
        <f t="shared" si="3"/>
        <v>[10]</v>
      </c>
      <c r="H28">
        <v>1</v>
      </c>
      <c r="I28">
        <f t="shared" si="4"/>
        <v>9</v>
      </c>
      <c r="J28">
        <v>3</v>
      </c>
      <c r="K28">
        <f t="shared" si="5"/>
        <v>2</v>
      </c>
      <c r="L28" s="45">
        <f t="shared" si="6"/>
        <v>200</v>
      </c>
      <c r="M28" s="45">
        <f t="shared" si="7"/>
        <v>200</v>
      </c>
      <c r="N28">
        <f t="shared" si="8"/>
        <v>20</v>
      </c>
      <c r="O28" t="str">
        <f t="shared" si="9"/>
        <v>true</v>
      </c>
      <c r="AD28">
        <v>26</v>
      </c>
      <c r="AE28" t="s">
        <v>3339</v>
      </c>
      <c r="AF28">
        <v>3</v>
      </c>
      <c r="AG28" t="s">
        <v>3067</v>
      </c>
      <c r="AH28">
        <v>10</v>
      </c>
      <c r="AI28">
        <f t="shared" si="10"/>
        <v>1.3333333333333334E-2</v>
      </c>
      <c r="AJ28">
        <f t="shared" si="11"/>
        <v>26</v>
      </c>
    </row>
    <row r="29" spans="1:36" ht="15.75" x14ac:dyDescent="0.3">
      <c r="A29" s="15" t="s">
        <v>3190</v>
      </c>
      <c r="B29" s="15">
        <f t="shared" si="0"/>
        <v>120</v>
      </c>
      <c r="C29" s="15">
        <v>0</v>
      </c>
      <c r="D29" s="15">
        <f t="shared" si="1"/>
        <v>200</v>
      </c>
      <c r="E29" s="15" t="s">
        <v>3313</v>
      </c>
      <c r="F29" s="15">
        <f t="shared" si="2"/>
        <v>10</v>
      </c>
      <c r="G29" s="15" t="str">
        <f t="shared" si="3"/>
        <v>[10]</v>
      </c>
      <c r="H29">
        <v>1</v>
      </c>
      <c r="I29">
        <f t="shared" si="4"/>
        <v>10</v>
      </c>
      <c r="J29">
        <v>1</v>
      </c>
      <c r="K29">
        <f t="shared" si="5"/>
        <v>2</v>
      </c>
      <c r="L29" s="45">
        <f t="shared" si="6"/>
        <v>50</v>
      </c>
      <c r="M29" s="45">
        <f t="shared" si="7"/>
        <v>30</v>
      </c>
      <c r="N29">
        <f t="shared" si="8"/>
        <v>10</v>
      </c>
      <c r="O29" t="str">
        <f t="shared" si="9"/>
        <v>true</v>
      </c>
      <c r="AD29">
        <v>27</v>
      </c>
      <c r="AE29" s="49" t="s">
        <v>3340</v>
      </c>
      <c r="AF29" s="49">
        <v>1</v>
      </c>
      <c r="AG29" s="49" t="s">
        <v>3067</v>
      </c>
      <c r="AH29" s="49">
        <v>6.66</v>
      </c>
      <c r="AI29">
        <f t="shared" si="10"/>
        <v>2.002002002002002E-2</v>
      </c>
      <c r="AJ29">
        <f t="shared" si="11"/>
        <v>27</v>
      </c>
    </row>
    <row r="30" spans="1:36" ht="15.75" x14ac:dyDescent="0.3">
      <c r="A30" s="15" t="s">
        <v>3190</v>
      </c>
      <c r="B30" s="15">
        <f t="shared" si="0"/>
        <v>320</v>
      </c>
      <c r="C30" s="15">
        <v>0</v>
      </c>
      <c r="D30" s="15">
        <f t="shared" si="1"/>
        <v>400</v>
      </c>
      <c r="E30" s="15" t="s">
        <v>3313</v>
      </c>
      <c r="F30" s="15">
        <f t="shared" si="2"/>
        <v>10</v>
      </c>
      <c r="G30" s="15" t="str">
        <f t="shared" si="3"/>
        <v>[10]</v>
      </c>
      <c r="H30">
        <v>1</v>
      </c>
      <c r="I30">
        <f t="shared" si="4"/>
        <v>10</v>
      </c>
      <c r="J30">
        <v>2</v>
      </c>
      <c r="K30">
        <f t="shared" si="5"/>
        <v>2</v>
      </c>
      <c r="L30" s="45">
        <f t="shared" si="6"/>
        <v>100</v>
      </c>
      <c r="M30" s="45">
        <f t="shared" si="7"/>
        <v>80</v>
      </c>
      <c r="N30">
        <f t="shared" si="8"/>
        <v>15</v>
      </c>
      <c r="O30" t="str">
        <f t="shared" si="9"/>
        <v>true</v>
      </c>
      <c r="AD30">
        <v>28</v>
      </c>
      <c r="AE30" s="49" t="s">
        <v>3341</v>
      </c>
      <c r="AF30" s="49">
        <v>1</v>
      </c>
      <c r="AG30" s="49" t="s">
        <v>3067</v>
      </c>
      <c r="AH30" s="49">
        <v>6.66</v>
      </c>
      <c r="AI30">
        <f t="shared" si="10"/>
        <v>2.002002002002002E-2</v>
      </c>
      <c r="AJ30">
        <f t="shared" si="11"/>
        <v>28</v>
      </c>
    </row>
    <row r="31" spans="1:36" ht="15.75" x14ac:dyDescent="0.3">
      <c r="A31" s="15" t="s">
        <v>3190</v>
      </c>
      <c r="B31" s="15">
        <f t="shared" si="0"/>
        <v>800</v>
      </c>
      <c r="C31" s="15">
        <v>0</v>
      </c>
      <c r="D31" s="15">
        <f t="shared" si="1"/>
        <v>800</v>
      </c>
      <c r="E31" s="15" t="s">
        <v>3313</v>
      </c>
      <c r="F31" s="15">
        <f t="shared" si="2"/>
        <v>10</v>
      </c>
      <c r="G31" s="15" t="str">
        <f t="shared" si="3"/>
        <v>[10]</v>
      </c>
      <c r="H31">
        <v>1</v>
      </c>
      <c r="I31">
        <f t="shared" si="4"/>
        <v>10</v>
      </c>
      <c r="J31">
        <v>3</v>
      </c>
      <c r="K31">
        <f t="shared" si="5"/>
        <v>2</v>
      </c>
      <c r="L31" s="45">
        <f t="shared" si="6"/>
        <v>200</v>
      </c>
      <c r="M31" s="45">
        <f t="shared" si="7"/>
        <v>200</v>
      </c>
      <c r="N31">
        <f t="shared" si="8"/>
        <v>20</v>
      </c>
      <c r="O31" t="str">
        <f t="shared" si="9"/>
        <v>true</v>
      </c>
      <c r="AD31">
        <v>29</v>
      </c>
      <c r="AE31" s="49" t="s">
        <v>3342</v>
      </c>
      <c r="AF31" s="49">
        <v>1</v>
      </c>
      <c r="AG31" s="49" t="s">
        <v>3067</v>
      </c>
      <c r="AH31" s="49">
        <v>13.33</v>
      </c>
      <c r="AI31">
        <f t="shared" si="10"/>
        <v>1.0002500625156289E-2</v>
      </c>
      <c r="AJ31">
        <f t="shared" si="11"/>
        <v>29</v>
      </c>
    </row>
    <row r="32" spans="1:36" ht="15.75" x14ac:dyDescent="0.3">
      <c r="A32" s="15" t="s">
        <v>3134</v>
      </c>
      <c r="B32" s="15">
        <f t="shared" si="0"/>
        <v>300</v>
      </c>
      <c r="C32" s="15">
        <v>0</v>
      </c>
      <c r="D32" s="15">
        <f t="shared" si="1"/>
        <v>300</v>
      </c>
      <c r="E32" s="15" t="s">
        <v>3313</v>
      </c>
      <c r="F32" s="15">
        <f t="shared" si="2"/>
        <v>5</v>
      </c>
      <c r="G32" s="15" t="str">
        <f t="shared" si="3"/>
        <v>[5]</v>
      </c>
      <c r="H32">
        <v>1</v>
      </c>
      <c r="I32">
        <f t="shared" si="4"/>
        <v>11</v>
      </c>
      <c r="J32">
        <v>1</v>
      </c>
      <c r="K32">
        <f t="shared" si="5"/>
        <v>1</v>
      </c>
      <c r="L32" s="45">
        <f t="shared" si="6"/>
        <v>20</v>
      </c>
      <c r="M32" s="45">
        <f t="shared" si="7"/>
        <v>20</v>
      </c>
      <c r="N32">
        <f t="shared" si="8"/>
        <v>5</v>
      </c>
      <c r="O32" t="str">
        <f t="shared" si="9"/>
        <v>true</v>
      </c>
      <c r="AD32">
        <v>30</v>
      </c>
      <c r="AE32" s="49" t="s">
        <v>3343</v>
      </c>
      <c r="AF32" s="49">
        <v>1</v>
      </c>
      <c r="AG32" s="49" t="s">
        <v>3067</v>
      </c>
      <c r="AH32" s="49">
        <v>20</v>
      </c>
      <c r="AI32">
        <f t="shared" si="10"/>
        <v>6.6666666666666671E-3</v>
      </c>
      <c r="AJ32">
        <f t="shared" si="11"/>
        <v>30</v>
      </c>
    </row>
    <row r="33" spans="1:36" ht="15.75" x14ac:dyDescent="0.3">
      <c r="A33" s="15" t="s">
        <v>3134</v>
      </c>
      <c r="B33" s="15">
        <f t="shared" si="0"/>
        <v>900</v>
      </c>
      <c r="C33" s="15">
        <v>0</v>
      </c>
      <c r="D33" s="15">
        <f t="shared" si="1"/>
        <v>900</v>
      </c>
      <c r="E33" s="15" t="s">
        <v>3313</v>
      </c>
      <c r="F33" s="15">
        <f t="shared" si="2"/>
        <v>5</v>
      </c>
      <c r="G33" s="15" t="str">
        <f t="shared" si="3"/>
        <v>[5]</v>
      </c>
      <c r="H33">
        <v>1</v>
      </c>
      <c r="I33">
        <f t="shared" si="4"/>
        <v>11</v>
      </c>
      <c r="J33">
        <v>2</v>
      </c>
      <c r="K33">
        <f t="shared" si="5"/>
        <v>1</v>
      </c>
      <c r="L33" s="45">
        <f t="shared" si="6"/>
        <v>60</v>
      </c>
      <c r="M33" s="45">
        <f t="shared" si="7"/>
        <v>60</v>
      </c>
      <c r="N33">
        <f t="shared" si="8"/>
        <v>10</v>
      </c>
      <c r="O33" t="str">
        <f t="shared" si="9"/>
        <v>true</v>
      </c>
      <c r="AD33">
        <v>31</v>
      </c>
      <c r="AE33" t="s">
        <v>3344</v>
      </c>
      <c r="AF33">
        <v>3</v>
      </c>
      <c r="AG33" t="s">
        <v>3067</v>
      </c>
      <c r="AH33">
        <v>2</v>
      </c>
      <c r="AI33">
        <f t="shared" si="10"/>
        <v>6.6666666666666666E-2</v>
      </c>
      <c r="AJ33">
        <f t="shared" si="11"/>
        <v>31</v>
      </c>
    </row>
    <row r="34" spans="1:36" ht="15.75" x14ac:dyDescent="0.3">
      <c r="A34" s="15" t="s">
        <v>3134</v>
      </c>
      <c r="B34" s="15">
        <f t="shared" si="0"/>
        <v>2250</v>
      </c>
      <c r="C34" s="15">
        <v>0</v>
      </c>
      <c r="D34" s="15">
        <f t="shared" si="1"/>
        <v>3000</v>
      </c>
      <c r="E34" s="15" t="s">
        <v>3313</v>
      </c>
      <c r="F34" s="15">
        <f t="shared" si="2"/>
        <v>5</v>
      </c>
      <c r="G34" s="15" t="str">
        <f t="shared" si="3"/>
        <v>[5]</v>
      </c>
      <c r="H34">
        <v>1</v>
      </c>
      <c r="I34">
        <f t="shared" si="4"/>
        <v>11</v>
      </c>
      <c r="J34">
        <v>3</v>
      </c>
      <c r="K34">
        <f t="shared" si="5"/>
        <v>1</v>
      </c>
      <c r="L34" s="45">
        <f t="shared" si="6"/>
        <v>200</v>
      </c>
      <c r="M34" s="45">
        <f t="shared" si="7"/>
        <v>150</v>
      </c>
      <c r="N34">
        <f t="shared" si="8"/>
        <v>15</v>
      </c>
      <c r="O34" t="str">
        <f t="shared" si="9"/>
        <v>true</v>
      </c>
      <c r="AD34">
        <v>32</v>
      </c>
      <c r="AE34" t="s">
        <v>3345</v>
      </c>
      <c r="AF34">
        <v>3</v>
      </c>
      <c r="AG34" t="s">
        <v>3067</v>
      </c>
      <c r="AH34">
        <v>8</v>
      </c>
      <c r="AI34">
        <f t="shared" si="10"/>
        <v>1.6666666666666666E-2</v>
      </c>
      <c r="AJ34">
        <f t="shared" si="11"/>
        <v>32</v>
      </c>
    </row>
    <row r="35" spans="1:36" ht="15.75" x14ac:dyDescent="0.3">
      <c r="A35" s="15" t="s">
        <v>3204</v>
      </c>
      <c r="B35" s="15">
        <f t="shared" si="0"/>
        <v>18</v>
      </c>
      <c r="C35" s="15">
        <v>0</v>
      </c>
      <c r="D35" s="15">
        <f t="shared" si="1"/>
        <v>18</v>
      </c>
      <c r="E35" s="15" t="s">
        <v>3313</v>
      </c>
      <c r="F35" s="15">
        <f t="shared" si="2"/>
        <v>10</v>
      </c>
      <c r="G35" s="15" t="str">
        <f t="shared" si="3"/>
        <v>[10]</v>
      </c>
      <c r="H35">
        <v>1</v>
      </c>
      <c r="I35">
        <f t="shared" si="4"/>
        <v>12</v>
      </c>
      <c r="J35">
        <v>1</v>
      </c>
      <c r="K35">
        <f t="shared" si="5"/>
        <v>2</v>
      </c>
      <c r="L35" s="45">
        <f t="shared" si="6"/>
        <v>30</v>
      </c>
      <c r="M35" s="45">
        <f t="shared" si="7"/>
        <v>30</v>
      </c>
      <c r="N35">
        <f t="shared" si="8"/>
        <v>10</v>
      </c>
      <c r="O35" t="str">
        <f t="shared" si="9"/>
        <v>true</v>
      </c>
      <c r="AD35">
        <v>33</v>
      </c>
      <c r="AE35" t="s">
        <v>3346</v>
      </c>
      <c r="AF35">
        <v>3</v>
      </c>
      <c r="AG35" t="s">
        <v>3067</v>
      </c>
      <c r="AH35">
        <v>16</v>
      </c>
      <c r="AI35">
        <f t="shared" si="10"/>
        <v>8.3333333333333332E-3</v>
      </c>
      <c r="AJ35">
        <f t="shared" si="11"/>
        <v>33</v>
      </c>
    </row>
    <row r="36" spans="1:36" ht="15.75" x14ac:dyDescent="0.3">
      <c r="A36" s="15" t="s">
        <v>3204</v>
      </c>
      <c r="B36" s="15">
        <f t="shared" si="0"/>
        <v>48</v>
      </c>
      <c r="C36" s="15">
        <v>0</v>
      </c>
      <c r="D36" s="15">
        <f t="shared" si="1"/>
        <v>50</v>
      </c>
      <c r="E36" s="15" t="s">
        <v>3313</v>
      </c>
      <c r="F36" s="15">
        <f t="shared" si="2"/>
        <v>10</v>
      </c>
      <c r="G36" s="15" t="str">
        <f t="shared" si="3"/>
        <v>[10]</v>
      </c>
      <c r="H36">
        <v>1</v>
      </c>
      <c r="I36">
        <f t="shared" si="4"/>
        <v>12</v>
      </c>
      <c r="J36">
        <v>2</v>
      </c>
      <c r="K36">
        <f t="shared" si="5"/>
        <v>2</v>
      </c>
      <c r="L36" s="45">
        <f t="shared" si="6"/>
        <v>83.333333333333329</v>
      </c>
      <c r="M36" s="45">
        <f t="shared" si="7"/>
        <v>80</v>
      </c>
      <c r="N36">
        <f t="shared" si="8"/>
        <v>15</v>
      </c>
      <c r="O36" t="str">
        <f t="shared" si="9"/>
        <v>true</v>
      </c>
      <c r="AD36">
        <v>34</v>
      </c>
      <c r="AE36" t="s">
        <v>3347</v>
      </c>
      <c r="AF36">
        <v>3</v>
      </c>
      <c r="AG36" t="s">
        <v>3067</v>
      </c>
      <c r="AH36">
        <v>30</v>
      </c>
      <c r="AI36">
        <f t="shared" si="10"/>
        <v>4.4444444444444444E-3</v>
      </c>
      <c r="AJ36">
        <f t="shared" si="11"/>
        <v>34</v>
      </c>
    </row>
    <row r="37" spans="1:36" ht="15.75" x14ac:dyDescent="0.3">
      <c r="A37" s="15" t="s">
        <v>3204</v>
      </c>
      <c r="B37" s="15">
        <f t="shared" si="0"/>
        <v>120</v>
      </c>
      <c r="C37" s="15">
        <v>0</v>
      </c>
      <c r="D37" s="15">
        <f t="shared" si="1"/>
        <v>200</v>
      </c>
      <c r="E37" s="15" t="s">
        <v>3313</v>
      </c>
      <c r="F37" s="15">
        <f t="shared" si="2"/>
        <v>10</v>
      </c>
      <c r="G37" s="15" t="str">
        <f t="shared" si="3"/>
        <v>[10]</v>
      </c>
      <c r="H37">
        <v>1</v>
      </c>
      <c r="I37">
        <f t="shared" si="4"/>
        <v>12</v>
      </c>
      <c r="J37">
        <v>3</v>
      </c>
      <c r="K37">
        <f t="shared" si="5"/>
        <v>2</v>
      </c>
      <c r="L37" s="45">
        <f t="shared" si="6"/>
        <v>333.33333333333331</v>
      </c>
      <c r="M37" s="45">
        <f t="shared" si="7"/>
        <v>200</v>
      </c>
      <c r="N37">
        <f t="shared" si="8"/>
        <v>20</v>
      </c>
      <c r="O37" t="str">
        <f t="shared" si="9"/>
        <v>true</v>
      </c>
      <c r="AD37">
        <v>35</v>
      </c>
      <c r="AE37" s="49" t="s">
        <v>3348</v>
      </c>
      <c r="AF37" s="49">
        <v>3</v>
      </c>
      <c r="AG37" s="49" t="s">
        <v>3067</v>
      </c>
      <c r="AH37" s="49">
        <v>5</v>
      </c>
      <c r="AI37">
        <f t="shared" si="10"/>
        <v>2.6666666666666668E-2</v>
      </c>
      <c r="AJ37">
        <f t="shared" si="11"/>
        <v>35</v>
      </c>
    </row>
    <row r="38" spans="1:36" ht="15.75" x14ac:dyDescent="0.3">
      <c r="A38" s="15" t="s">
        <v>3329</v>
      </c>
      <c r="B38" s="15">
        <f t="shared" si="0"/>
        <v>225</v>
      </c>
      <c r="C38" s="15">
        <v>0</v>
      </c>
      <c r="D38" s="15">
        <f t="shared" si="1"/>
        <v>300</v>
      </c>
      <c r="E38" s="15" t="s">
        <v>3313</v>
      </c>
      <c r="F38" s="15">
        <f t="shared" si="2"/>
        <v>10</v>
      </c>
      <c r="G38" s="15" t="str">
        <f t="shared" si="3"/>
        <v>[10]</v>
      </c>
      <c r="H38">
        <v>1</v>
      </c>
      <c r="I38">
        <f t="shared" si="4"/>
        <v>13</v>
      </c>
      <c r="J38">
        <v>1</v>
      </c>
      <c r="K38">
        <f t="shared" si="5"/>
        <v>2</v>
      </c>
      <c r="L38" s="45">
        <f t="shared" si="6"/>
        <v>40</v>
      </c>
      <c r="M38" s="45">
        <f t="shared" si="7"/>
        <v>30</v>
      </c>
      <c r="N38">
        <f t="shared" si="8"/>
        <v>10</v>
      </c>
      <c r="O38" t="str">
        <f t="shared" si="9"/>
        <v>true</v>
      </c>
      <c r="AD38">
        <v>36</v>
      </c>
      <c r="AE38" s="49" t="s">
        <v>3349</v>
      </c>
      <c r="AF38" s="49">
        <v>3</v>
      </c>
      <c r="AG38" s="49" t="s">
        <v>3067</v>
      </c>
      <c r="AH38" s="49">
        <v>10</v>
      </c>
      <c r="AI38">
        <f t="shared" si="10"/>
        <v>1.3333333333333334E-2</v>
      </c>
      <c r="AJ38">
        <f t="shared" si="11"/>
        <v>36</v>
      </c>
    </row>
    <row r="39" spans="1:36" ht="15.75" x14ac:dyDescent="0.3">
      <c r="A39" s="15" t="s">
        <v>3329</v>
      </c>
      <c r="B39" s="15">
        <f t="shared" si="0"/>
        <v>600</v>
      </c>
      <c r="C39" s="15">
        <v>0</v>
      </c>
      <c r="D39" s="15">
        <f t="shared" si="1"/>
        <v>600</v>
      </c>
      <c r="E39" s="15" t="s">
        <v>3313</v>
      </c>
      <c r="F39" s="15">
        <f t="shared" si="2"/>
        <v>10</v>
      </c>
      <c r="G39" s="15" t="str">
        <f t="shared" si="3"/>
        <v>[10]</v>
      </c>
      <c r="H39">
        <v>1</v>
      </c>
      <c r="I39">
        <f t="shared" si="4"/>
        <v>13</v>
      </c>
      <c r="J39">
        <v>2</v>
      </c>
      <c r="K39">
        <f t="shared" si="5"/>
        <v>2</v>
      </c>
      <c r="L39" s="45">
        <f t="shared" si="6"/>
        <v>80</v>
      </c>
      <c r="M39" s="45">
        <f t="shared" si="7"/>
        <v>80</v>
      </c>
      <c r="N39">
        <f t="shared" si="8"/>
        <v>15</v>
      </c>
      <c r="O39" t="str">
        <f t="shared" si="9"/>
        <v>true</v>
      </c>
      <c r="AD39">
        <v>37</v>
      </c>
      <c r="AE39" s="49" t="s">
        <v>3350</v>
      </c>
      <c r="AF39" s="49">
        <v>1</v>
      </c>
      <c r="AG39" s="49" t="s">
        <v>3077</v>
      </c>
      <c r="AH39" s="49">
        <v>150</v>
      </c>
      <c r="AI39">
        <f t="shared" si="10"/>
        <v>20</v>
      </c>
      <c r="AJ39">
        <f t="shared" si="11"/>
        <v>37</v>
      </c>
    </row>
    <row r="40" spans="1:36" ht="15.75" x14ac:dyDescent="0.3">
      <c r="A40" s="15" t="s">
        <v>3329</v>
      </c>
      <c r="B40" s="15">
        <f t="shared" si="0"/>
        <v>1500</v>
      </c>
      <c r="C40" s="15">
        <v>0</v>
      </c>
      <c r="D40" s="15">
        <f t="shared" si="1"/>
        <v>2000</v>
      </c>
      <c r="E40" s="15" t="s">
        <v>3313</v>
      </c>
      <c r="F40" s="15">
        <f t="shared" si="2"/>
        <v>10</v>
      </c>
      <c r="G40" s="15" t="str">
        <f t="shared" si="3"/>
        <v>[10]</v>
      </c>
      <c r="H40">
        <v>1</v>
      </c>
      <c r="I40">
        <f t="shared" si="4"/>
        <v>13</v>
      </c>
      <c r="J40">
        <v>3</v>
      </c>
      <c r="K40">
        <f t="shared" si="5"/>
        <v>2</v>
      </c>
      <c r="L40" s="45">
        <f t="shared" si="6"/>
        <v>266.66666666666669</v>
      </c>
      <c r="M40" s="45">
        <f t="shared" si="7"/>
        <v>200</v>
      </c>
      <c r="N40">
        <f t="shared" si="8"/>
        <v>20</v>
      </c>
      <c r="O40" t="str">
        <f t="shared" si="9"/>
        <v>true</v>
      </c>
      <c r="AD40">
        <v>38</v>
      </c>
      <c r="AE40" t="s">
        <v>3112</v>
      </c>
      <c r="AF40">
        <v>1</v>
      </c>
      <c r="AG40" t="s">
        <v>3077</v>
      </c>
      <c r="AH40">
        <v>1</v>
      </c>
      <c r="AI40">
        <f t="shared" si="10"/>
        <v>0.13333333333333333</v>
      </c>
      <c r="AJ40">
        <f t="shared" si="11"/>
        <v>38</v>
      </c>
    </row>
    <row r="41" spans="1:36" ht="15.75" x14ac:dyDescent="0.3">
      <c r="A41" s="15" t="s">
        <v>3330</v>
      </c>
      <c r="B41" s="15">
        <f t="shared" si="0"/>
        <v>225</v>
      </c>
      <c r="C41" s="15">
        <v>0</v>
      </c>
      <c r="D41" s="15">
        <f t="shared" si="1"/>
        <v>300</v>
      </c>
      <c r="E41" s="15" t="s">
        <v>3313</v>
      </c>
      <c r="F41" s="15">
        <f t="shared" si="2"/>
        <v>10</v>
      </c>
      <c r="G41" s="15" t="str">
        <f t="shared" si="3"/>
        <v>[10]</v>
      </c>
      <c r="H41">
        <v>1</v>
      </c>
      <c r="I41">
        <f t="shared" si="4"/>
        <v>14</v>
      </c>
      <c r="J41">
        <v>1</v>
      </c>
      <c r="K41">
        <f t="shared" si="5"/>
        <v>2</v>
      </c>
      <c r="L41" s="45">
        <f t="shared" si="6"/>
        <v>40</v>
      </c>
      <c r="M41" s="45">
        <f t="shared" si="7"/>
        <v>30</v>
      </c>
      <c r="N41">
        <f t="shared" si="8"/>
        <v>10</v>
      </c>
      <c r="O41" t="str">
        <f t="shared" si="9"/>
        <v>true</v>
      </c>
      <c r="AD41">
        <v>39</v>
      </c>
      <c r="AE41" t="s">
        <v>3351</v>
      </c>
      <c r="AF41">
        <v>3</v>
      </c>
      <c r="AG41" t="s">
        <v>3067</v>
      </c>
      <c r="AH41">
        <v>100</v>
      </c>
      <c r="AI41">
        <f t="shared" si="10"/>
        <v>1.3333333333333333E-3</v>
      </c>
      <c r="AJ41">
        <f t="shared" si="11"/>
        <v>39</v>
      </c>
    </row>
    <row r="42" spans="1:36" ht="15.75" x14ac:dyDescent="0.3">
      <c r="A42" s="15" t="s">
        <v>3330</v>
      </c>
      <c r="B42" s="15">
        <f t="shared" si="0"/>
        <v>600</v>
      </c>
      <c r="C42" s="15">
        <v>0</v>
      </c>
      <c r="D42" s="15">
        <f t="shared" si="1"/>
        <v>600</v>
      </c>
      <c r="E42" s="15" t="s">
        <v>3313</v>
      </c>
      <c r="F42" s="15">
        <f t="shared" si="2"/>
        <v>10</v>
      </c>
      <c r="G42" s="15" t="str">
        <f t="shared" si="3"/>
        <v>[10]</v>
      </c>
      <c r="H42">
        <v>1</v>
      </c>
      <c r="I42">
        <f t="shared" si="4"/>
        <v>14</v>
      </c>
      <c r="J42">
        <v>2</v>
      </c>
      <c r="K42">
        <f t="shared" si="5"/>
        <v>2</v>
      </c>
      <c r="L42" s="45">
        <f t="shared" si="6"/>
        <v>80</v>
      </c>
      <c r="M42" s="45">
        <f t="shared" si="7"/>
        <v>80</v>
      </c>
      <c r="N42">
        <f t="shared" si="8"/>
        <v>15</v>
      </c>
      <c r="O42" t="str">
        <f t="shared" si="9"/>
        <v>true</v>
      </c>
      <c r="AD42">
        <v>40</v>
      </c>
      <c r="AE42" t="s">
        <v>3352</v>
      </c>
      <c r="AF42">
        <v>3</v>
      </c>
      <c r="AG42" t="s">
        <v>3067</v>
      </c>
      <c r="AH42">
        <v>100</v>
      </c>
      <c r="AI42">
        <f t="shared" si="10"/>
        <v>1.3333333333333333E-3</v>
      </c>
      <c r="AJ42">
        <f t="shared" si="11"/>
        <v>40</v>
      </c>
    </row>
    <row r="43" spans="1:36" ht="15.75" x14ac:dyDescent="0.3">
      <c r="A43" s="15" t="s">
        <v>3330</v>
      </c>
      <c r="B43" s="15">
        <f t="shared" si="0"/>
        <v>1500</v>
      </c>
      <c r="C43" s="15">
        <v>0</v>
      </c>
      <c r="D43" s="15">
        <f t="shared" si="1"/>
        <v>2000</v>
      </c>
      <c r="E43" s="15" t="s">
        <v>3313</v>
      </c>
      <c r="F43" s="15">
        <f t="shared" si="2"/>
        <v>10</v>
      </c>
      <c r="G43" s="15" t="str">
        <f t="shared" si="3"/>
        <v>[10]</v>
      </c>
      <c r="H43">
        <v>1</v>
      </c>
      <c r="I43">
        <f t="shared" si="4"/>
        <v>14</v>
      </c>
      <c r="J43">
        <v>3</v>
      </c>
      <c r="K43">
        <f t="shared" si="5"/>
        <v>2</v>
      </c>
      <c r="L43" s="45">
        <f t="shared" si="6"/>
        <v>266.66666666666669</v>
      </c>
      <c r="M43" s="45">
        <f t="shared" si="7"/>
        <v>200</v>
      </c>
      <c r="N43">
        <f t="shared" si="8"/>
        <v>20</v>
      </c>
      <c r="O43" t="str">
        <f t="shared" si="9"/>
        <v>true</v>
      </c>
      <c r="AD43">
        <v>41</v>
      </c>
      <c r="AE43" t="s">
        <v>3353</v>
      </c>
      <c r="AF43">
        <v>2</v>
      </c>
      <c r="AG43" t="s">
        <v>3077</v>
      </c>
      <c r="AH43">
        <v>1</v>
      </c>
      <c r="AI43">
        <f t="shared" si="10"/>
        <v>0.13333333333333333</v>
      </c>
      <c r="AJ43">
        <f t="shared" si="11"/>
        <v>41</v>
      </c>
    </row>
    <row r="44" spans="1:36" ht="15.75" x14ac:dyDescent="0.3">
      <c r="A44" s="15" t="s">
        <v>3331</v>
      </c>
      <c r="B44" s="15">
        <f t="shared" si="0"/>
        <v>225</v>
      </c>
      <c r="C44" s="15">
        <v>0</v>
      </c>
      <c r="D44" s="15">
        <f t="shared" si="1"/>
        <v>300</v>
      </c>
      <c r="E44" s="15" t="s">
        <v>3313</v>
      </c>
      <c r="F44" s="15">
        <f t="shared" si="2"/>
        <v>10</v>
      </c>
      <c r="G44" s="15" t="str">
        <f t="shared" si="3"/>
        <v>[10]</v>
      </c>
      <c r="H44">
        <v>1</v>
      </c>
      <c r="I44">
        <f t="shared" si="4"/>
        <v>15</v>
      </c>
      <c r="J44">
        <v>1</v>
      </c>
      <c r="K44">
        <f t="shared" si="5"/>
        <v>2</v>
      </c>
      <c r="L44" s="45">
        <f t="shared" si="6"/>
        <v>40</v>
      </c>
      <c r="M44" s="45">
        <f t="shared" si="7"/>
        <v>30</v>
      </c>
      <c r="N44">
        <f t="shared" si="8"/>
        <v>10</v>
      </c>
      <c r="O44" t="str">
        <f t="shared" si="9"/>
        <v>true</v>
      </c>
    </row>
    <row r="45" spans="1:36" ht="15.75" x14ac:dyDescent="0.3">
      <c r="A45" s="15" t="s">
        <v>3331</v>
      </c>
      <c r="B45" s="15">
        <f t="shared" si="0"/>
        <v>600</v>
      </c>
      <c r="C45" s="15">
        <v>0</v>
      </c>
      <c r="D45" s="15">
        <f t="shared" si="1"/>
        <v>600</v>
      </c>
      <c r="E45" s="15" t="s">
        <v>3313</v>
      </c>
      <c r="F45" s="15">
        <f t="shared" si="2"/>
        <v>10</v>
      </c>
      <c r="G45" s="15" t="str">
        <f t="shared" si="3"/>
        <v>[10]</v>
      </c>
      <c r="H45">
        <v>1</v>
      </c>
      <c r="I45">
        <f t="shared" si="4"/>
        <v>15</v>
      </c>
      <c r="J45">
        <v>2</v>
      </c>
      <c r="K45">
        <f t="shared" si="5"/>
        <v>2</v>
      </c>
      <c r="L45" s="45">
        <f t="shared" si="6"/>
        <v>80</v>
      </c>
      <c r="M45" s="45">
        <f t="shared" si="7"/>
        <v>80</v>
      </c>
      <c r="N45">
        <f t="shared" si="8"/>
        <v>15</v>
      </c>
      <c r="O45" t="str">
        <f t="shared" si="9"/>
        <v>true</v>
      </c>
    </row>
    <row r="46" spans="1:36" ht="15.75" x14ac:dyDescent="0.3">
      <c r="A46" s="15" t="s">
        <v>3331</v>
      </c>
      <c r="B46" s="15">
        <f t="shared" si="0"/>
        <v>1500</v>
      </c>
      <c r="C46" s="15">
        <v>0</v>
      </c>
      <c r="D46" s="15">
        <f t="shared" si="1"/>
        <v>2000</v>
      </c>
      <c r="E46" s="15" t="s">
        <v>3313</v>
      </c>
      <c r="F46" s="15">
        <f t="shared" si="2"/>
        <v>10</v>
      </c>
      <c r="G46" s="15" t="str">
        <f t="shared" si="3"/>
        <v>[10]</v>
      </c>
      <c r="H46">
        <v>1</v>
      </c>
      <c r="I46">
        <f t="shared" si="4"/>
        <v>15</v>
      </c>
      <c r="J46">
        <v>3</v>
      </c>
      <c r="K46">
        <f t="shared" si="5"/>
        <v>2</v>
      </c>
      <c r="L46" s="45">
        <f t="shared" si="6"/>
        <v>266.66666666666669</v>
      </c>
      <c r="M46" s="45">
        <f t="shared" si="7"/>
        <v>200</v>
      </c>
      <c r="N46">
        <f t="shared" si="8"/>
        <v>20</v>
      </c>
      <c r="O46" t="str">
        <f t="shared" si="9"/>
        <v>true</v>
      </c>
    </row>
    <row r="47" spans="1:36" ht="15.75" x14ac:dyDescent="0.3">
      <c r="A47" s="15" t="s">
        <v>3058</v>
      </c>
      <c r="B47" s="15">
        <f t="shared" si="0"/>
        <v>30</v>
      </c>
      <c r="C47" s="15">
        <v>0</v>
      </c>
      <c r="D47" s="15">
        <f t="shared" si="1"/>
        <v>30</v>
      </c>
      <c r="E47" s="15" t="s">
        <v>3313</v>
      </c>
      <c r="F47" s="15">
        <f t="shared" si="2"/>
        <v>10</v>
      </c>
      <c r="G47" s="15" t="str">
        <f t="shared" si="3"/>
        <v>[10]</v>
      </c>
      <c r="H47">
        <v>1</v>
      </c>
      <c r="I47">
        <f t="shared" si="4"/>
        <v>16</v>
      </c>
      <c r="J47">
        <v>1</v>
      </c>
      <c r="K47">
        <f t="shared" si="5"/>
        <v>2</v>
      </c>
      <c r="L47" s="45">
        <f t="shared" si="6"/>
        <v>30</v>
      </c>
      <c r="M47" s="45">
        <f t="shared" si="7"/>
        <v>30</v>
      </c>
      <c r="N47">
        <f t="shared" si="8"/>
        <v>10</v>
      </c>
      <c r="O47" t="str">
        <f t="shared" si="9"/>
        <v>true</v>
      </c>
    </row>
    <row r="48" spans="1:36" ht="15.75" x14ac:dyDescent="0.3">
      <c r="A48" s="15" t="s">
        <v>3058</v>
      </c>
      <c r="B48" s="15">
        <f t="shared" si="0"/>
        <v>80</v>
      </c>
      <c r="C48" s="15">
        <v>0</v>
      </c>
      <c r="D48" s="15">
        <f t="shared" si="1"/>
        <v>80</v>
      </c>
      <c r="E48" s="15" t="s">
        <v>3313</v>
      </c>
      <c r="F48" s="15">
        <f t="shared" si="2"/>
        <v>10</v>
      </c>
      <c r="G48" s="15" t="str">
        <f t="shared" si="3"/>
        <v>[10]</v>
      </c>
      <c r="H48">
        <v>1</v>
      </c>
      <c r="I48">
        <f t="shared" si="4"/>
        <v>16</v>
      </c>
      <c r="J48">
        <v>2</v>
      </c>
      <c r="K48">
        <f t="shared" si="5"/>
        <v>2</v>
      </c>
      <c r="L48" s="45">
        <f t="shared" si="6"/>
        <v>80</v>
      </c>
      <c r="M48" s="45">
        <f t="shared" si="7"/>
        <v>80</v>
      </c>
      <c r="N48">
        <f t="shared" si="8"/>
        <v>15</v>
      </c>
      <c r="O48" t="str">
        <f t="shared" si="9"/>
        <v>true</v>
      </c>
    </row>
    <row r="49" spans="1:15" ht="15.75" x14ac:dyDescent="0.3">
      <c r="A49" s="15" t="s">
        <v>3058</v>
      </c>
      <c r="B49" s="15">
        <f t="shared" si="0"/>
        <v>200</v>
      </c>
      <c r="C49" s="15">
        <v>0</v>
      </c>
      <c r="D49" s="15">
        <f t="shared" si="1"/>
        <v>200</v>
      </c>
      <c r="E49" s="15" t="s">
        <v>3313</v>
      </c>
      <c r="F49" s="15">
        <f t="shared" si="2"/>
        <v>10</v>
      </c>
      <c r="G49" s="15" t="str">
        <f t="shared" si="3"/>
        <v>[10]</v>
      </c>
      <c r="H49">
        <v>1</v>
      </c>
      <c r="I49">
        <f t="shared" si="4"/>
        <v>16</v>
      </c>
      <c r="J49">
        <v>3</v>
      </c>
      <c r="K49">
        <f t="shared" si="5"/>
        <v>2</v>
      </c>
      <c r="L49" s="45">
        <f t="shared" si="6"/>
        <v>200</v>
      </c>
      <c r="M49" s="45">
        <f t="shared" si="7"/>
        <v>200</v>
      </c>
      <c r="N49">
        <f t="shared" si="8"/>
        <v>20</v>
      </c>
      <c r="O49" t="str">
        <f t="shared" si="9"/>
        <v>true</v>
      </c>
    </row>
    <row r="50" spans="1:15" ht="15.75" x14ac:dyDescent="0.3">
      <c r="A50" s="15" t="s">
        <v>3170</v>
      </c>
      <c r="B50" s="15">
        <f t="shared" si="0"/>
        <v>40</v>
      </c>
      <c r="C50" s="15">
        <v>0</v>
      </c>
      <c r="D50" s="15">
        <f t="shared" si="1"/>
        <v>40</v>
      </c>
      <c r="E50" s="15" t="s">
        <v>3313</v>
      </c>
      <c r="F50" s="15">
        <f t="shared" si="2"/>
        <v>5</v>
      </c>
      <c r="G50" s="15" t="str">
        <f t="shared" si="3"/>
        <v>[5]</v>
      </c>
      <c r="H50">
        <v>1</v>
      </c>
      <c r="I50">
        <f t="shared" si="4"/>
        <v>17</v>
      </c>
      <c r="J50">
        <v>1</v>
      </c>
      <c r="K50">
        <f t="shared" si="5"/>
        <v>1</v>
      </c>
      <c r="L50" s="45">
        <f t="shared" si="6"/>
        <v>20</v>
      </c>
      <c r="M50" s="45">
        <f t="shared" si="7"/>
        <v>20</v>
      </c>
      <c r="N50">
        <f t="shared" si="8"/>
        <v>5</v>
      </c>
      <c r="O50" t="str">
        <f t="shared" si="9"/>
        <v>true</v>
      </c>
    </row>
    <row r="51" spans="1:15" ht="15.75" x14ac:dyDescent="0.3">
      <c r="A51" s="15" t="s">
        <v>3170</v>
      </c>
      <c r="B51" s="15">
        <f t="shared" si="0"/>
        <v>120</v>
      </c>
      <c r="C51" s="15">
        <v>0</v>
      </c>
      <c r="D51" s="15">
        <f t="shared" si="1"/>
        <v>200</v>
      </c>
      <c r="E51" s="15" t="s">
        <v>3313</v>
      </c>
      <c r="F51" s="15">
        <f t="shared" si="2"/>
        <v>5</v>
      </c>
      <c r="G51" s="15" t="str">
        <f t="shared" si="3"/>
        <v>[5]</v>
      </c>
      <c r="H51">
        <v>1</v>
      </c>
      <c r="I51">
        <f t="shared" si="4"/>
        <v>17</v>
      </c>
      <c r="J51">
        <v>2</v>
      </c>
      <c r="K51">
        <f t="shared" si="5"/>
        <v>1</v>
      </c>
      <c r="L51" s="45">
        <f t="shared" si="6"/>
        <v>100</v>
      </c>
      <c r="M51" s="45">
        <f t="shared" si="7"/>
        <v>60</v>
      </c>
      <c r="N51">
        <f t="shared" si="8"/>
        <v>10</v>
      </c>
      <c r="O51" t="str">
        <f t="shared" si="9"/>
        <v>true</v>
      </c>
    </row>
    <row r="52" spans="1:15" ht="15.75" x14ac:dyDescent="0.3">
      <c r="A52" s="15" t="s">
        <v>3170</v>
      </c>
      <c r="B52" s="15">
        <f t="shared" si="0"/>
        <v>300</v>
      </c>
      <c r="C52" s="15">
        <v>0</v>
      </c>
      <c r="D52" s="15">
        <f t="shared" si="1"/>
        <v>300</v>
      </c>
      <c r="E52" s="15" t="s">
        <v>3313</v>
      </c>
      <c r="F52" s="15">
        <f t="shared" si="2"/>
        <v>5</v>
      </c>
      <c r="G52" s="15" t="str">
        <f t="shared" si="3"/>
        <v>[5]</v>
      </c>
      <c r="H52">
        <v>1</v>
      </c>
      <c r="I52">
        <f t="shared" si="4"/>
        <v>17</v>
      </c>
      <c r="J52">
        <v>3</v>
      </c>
      <c r="K52">
        <f t="shared" si="5"/>
        <v>1</v>
      </c>
      <c r="L52" s="45">
        <f t="shared" si="6"/>
        <v>150</v>
      </c>
      <c r="M52" s="45">
        <f t="shared" si="7"/>
        <v>150</v>
      </c>
      <c r="N52">
        <f t="shared" si="8"/>
        <v>15</v>
      </c>
      <c r="O52" t="str">
        <f t="shared" si="9"/>
        <v>true</v>
      </c>
    </row>
    <row r="53" spans="1:15" ht="15.75" x14ac:dyDescent="0.3">
      <c r="A53" s="15" t="s">
        <v>3163</v>
      </c>
      <c r="B53" s="15">
        <f t="shared" si="0"/>
        <v>2</v>
      </c>
      <c r="C53" s="15">
        <v>5</v>
      </c>
      <c r="D53" s="15">
        <f t="shared" si="1"/>
        <v>5</v>
      </c>
      <c r="E53" s="15" t="s">
        <v>3313</v>
      </c>
      <c r="F53" s="15">
        <f t="shared" si="2"/>
        <v>5</v>
      </c>
      <c r="G53" s="15" t="str">
        <f t="shared" si="3"/>
        <v>[5]</v>
      </c>
      <c r="H53">
        <v>1</v>
      </c>
      <c r="I53">
        <f t="shared" si="4"/>
        <v>18</v>
      </c>
      <c r="J53">
        <v>1</v>
      </c>
      <c r="K53">
        <f t="shared" si="5"/>
        <v>1</v>
      </c>
      <c r="L53" s="45">
        <f t="shared" si="6"/>
        <v>50</v>
      </c>
      <c r="M53" s="45">
        <f t="shared" si="7"/>
        <v>20</v>
      </c>
      <c r="N53">
        <f t="shared" si="8"/>
        <v>5</v>
      </c>
      <c r="O53" t="str">
        <f t="shared" si="9"/>
        <v>true</v>
      </c>
    </row>
    <row r="54" spans="1:15" ht="15.75" x14ac:dyDescent="0.3">
      <c r="A54" s="15" t="s">
        <v>3163</v>
      </c>
      <c r="B54" s="15">
        <f t="shared" si="0"/>
        <v>6</v>
      </c>
      <c r="C54" s="15">
        <v>8</v>
      </c>
      <c r="D54" s="15">
        <f t="shared" si="1"/>
        <v>8</v>
      </c>
      <c r="E54" s="15" t="s">
        <v>3313</v>
      </c>
      <c r="F54" s="15">
        <f t="shared" si="2"/>
        <v>5</v>
      </c>
      <c r="G54" s="15" t="str">
        <f t="shared" si="3"/>
        <v>[5]</v>
      </c>
      <c r="H54">
        <v>1</v>
      </c>
      <c r="I54">
        <f t="shared" si="4"/>
        <v>18</v>
      </c>
      <c r="J54">
        <v>2</v>
      </c>
      <c r="K54">
        <f t="shared" si="5"/>
        <v>1</v>
      </c>
      <c r="L54" s="45">
        <f t="shared" si="6"/>
        <v>80</v>
      </c>
      <c r="M54" s="45">
        <f t="shared" si="7"/>
        <v>60</v>
      </c>
      <c r="N54">
        <f t="shared" si="8"/>
        <v>10</v>
      </c>
      <c r="O54" t="str">
        <f t="shared" si="9"/>
        <v>true</v>
      </c>
    </row>
    <row r="55" spans="1:15" ht="15.75" x14ac:dyDescent="0.3">
      <c r="A55" s="15" t="s">
        <v>3163</v>
      </c>
      <c r="B55" s="15">
        <f t="shared" si="0"/>
        <v>15.000000000000002</v>
      </c>
      <c r="C55" s="15">
        <v>10</v>
      </c>
      <c r="D55" s="15">
        <f t="shared" si="1"/>
        <v>10</v>
      </c>
      <c r="E55" s="15" t="s">
        <v>3313</v>
      </c>
      <c r="F55" s="15">
        <f t="shared" si="2"/>
        <v>5</v>
      </c>
      <c r="G55" s="15" t="str">
        <f t="shared" si="3"/>
        <v>[5]</v>
      </c>
      <c r="H55">
        <v>1</v>
      </c>
      <c r="I55">
        <f t="shared" si="4"/>
        <v>18</v>
      </c>
      <c r="J55">
        <v>3</v>
      </c>
      <c r="K55">
        <f t="shared" si="5"/>
        <v>1</v>
      </c>
      <c r="L55" s="45">
        <f t="shared" si="6"/>
        <v>100</v>
      </c>
      <c r="M55" s="45">
        <f t="shared" si="7"/>
        <v>150</v>
      </c>
      <c r="N55">
        <f t="shared" si="8"/>
        <v>15</v>
      </c>
      <c r="O55" t="str">
        <f t="shared" si="9"/>
        <v>true</v>
      </c>
    </row>
    <row r="56" spans="1:15" ht="15.75" x14ac:dyDescent="0.3">
      <c r="A56" s="15" t="s">
        <v>3332</v>
      </c>
      <c r="B56" s="15">
        <f t="shared" si="0"/>
        <v>675</v>
      </c>
      <c r="C56" s="15">
        <v>0</v>
      </c>
      <c r="D56" s="15">
        <f t="shared" si="1"/>
        <v>700</v>
      </c>
      <c r="E56" s="15" t="s">
        <v>3313</v>
      </c>
      <c r="F56" s="15">
        <f t="shared" si="2"/>
        <v>10</v>
      </c>
      <c r="G56" s="15" t="str">
        <f t="shared" si="3"/>
        <v>[10]</v>
      </c>
      <c r="H56">
        <v>1</v>
      </c>
      <c r="I56">
        <f t="shared" si="4"/>
        <v>19</v>
      </c>
      <c r="J56">
        <v>1</v>
      </c>
      <c r="K56">
        <f t="shared" si="5"/>
        <v>2</v>
      </c>
      <c r="L56" s="45">
        <f t="shared" si="6"/>
        <v>31.111111111111111</v>
      </c>
      <c r="M56" s="45">
        <f t="shared" si="7"/>
        <v>30</v>
      </c>
      <c r="N56">
        <f t="shared" si="8"/>
        <v>10</v>
      </c>
      <c r="O56" t="str">
        <f t="shared" si="9"/>
        <v>true</v>
      </c>
    </row>
    <row r="57" spans="1:15" ht="15.75" x14ac:dyDescent="0.3">
      <c r="A57" s="15" t="s">
        <v>3332</v>
      </c>
      <c r="B57" s="15">
        <f t="shared" si="0"/>
        <v>1800</v>
      </c>
      <c r="C57" s="15">
        <v>0</v>
      </c>
      <c r="D57" s="15">
        <f t="shared" si="1"/>
        <v>2000</v>
      </c>
      <c r="E57" s="15" t="s">
        <v>3313</v>
      </c>
      <c r="F57" s="15">
        <f t="shared" si="2"/>
        <v>10</v>
      </c>
      <c r="G57" s="15" t="str">
        <f t="shared" si="3"/>
        <v>[10]</v>
      </c>
      <c r="H57">
        <v>1</v>
      </c>
      <c r="I57">
        <f t="shared" si="4"/>
        <v>19</v>
      </c>
      <c r="J57">
        <v>2</v>
      </c>
      <c r="K57">
        <f t="shared" si="5"/>
        <v>2</v>
      </c>
      <c r="L57" s="45">
        <f t="shared" si="6"/>
        <v>88.888888888888886</v>
      </c>
      <c r="M57" s="45">
        <f t="shared" si="7"/>
        <v>80</v>
      </c>
      <c r="N57">
        <f t="shared" si="8"/>
        <v>15</v>
      </c>
      <c r="O57" t="str">
        <f t="shared" si="9"/>
        <v>true</v>
      </c>
    </row>
    <row r="58" spans="1:15" ht="15.75" x14ac:dyDescent="0.3">
      <c r="A58" s="15" t="s">
        <v>3332</v>
      </c>
      <c r="B58" s="15">
        <f t="shared" si="0"/>
        <v>4500</v>
      </c>
      <c r="C58" s="15">
        <v>0</v>
      </c>
      <c r="D58" s="15">
        <f t="shared" si="1"/>
        <v>5000</v>
      </c>
      <c r="E58" s="15" t="s">
        <v>3313</v>
      </c>
      <c r="F58" s="15">
        <f t="shared" si="2"/>
        <v>10</v>
      </c>
      <c r="G58" s="15" t="str">
        <f t="shared" si="3"/>
        <v>[10]</v>
      </c>
      <c r="H58">
        <v>1</v>
      </c>
      <c r="I58">
        <f t="shared" si="4"/>
        <v>19</v>
      </c>
      <c r="J58">
        <v>3</v>
      </c>
      <c r="K58">
        <f t="shared" si="5"/>
        <v>2</v>
      </c>
      <c r="L58" s="45">
        <f t="shared" si="6"/>
        <v>222.22222222222223</v>
      </c>
      <c r="M58" s="45">
        <f t="shared" si="7"/>
        <v>200</v>
      </c>
      <c r="N58">
        <f t="shared" si="8"/>
        <v>20</v>
      </c>
      <c r="O58" t="str">
        <f t="shared" si="9"/>
        <v>true</v>
      </c>
    </row>
    <row r="59" spans="1:15" ht="15.75" x14ac:dyDescent="0.3">
      <c r="A59" s="15" t="s">
        <v>3333</v>
      </c>
      <c r="B59" s="15">
        <f t="shared" si="0"/>
        <v>20</v>
      </c>
      <c r="C59" s="15">
        <v>0</v>
      </c>
      <c r="D59" s="15">
        <f t="shared" si="1"/>
        <v>20</v>
      </c>
      <c r="E59" s="15" t="s">
        <v>3313</v>
      </c>
      <c r="F59" s="15">
        <f t="shared" si="2"/>
        <v>5</v>
      </c>
      <c r="G59" s="15" t="str">
        <f t="shared" si="3"/>
        <v>[5]</v>
      </c>
      <c r="H59">
        <v>1</v>
      </c>
      <c r="I59">
        <f t="shared" si="4"/>
        <v>20</v>
      </c>
      <c r="J59">
        <v>1</v>
      </c>
      <c r="K59">
        <f t="shared" si="5"/>
        <v>1</v>
      </c>
      <c r="L59" s="45">
        <f t="shared" si="6"/>
        <v>20</v>
      </c>
      <c r="M59" s="45">
        <f t="shared" si="7"/>
        <v>20</v>
      </c>
      <c r="N59">
        <f t="shared" si="8"/>
        <v>5</v>
      </c>
      <c r="O59" t="str">
        <f t="shared" si="9"/>
        <v>true</v>
      </c>
    </row>
    <row r="60" spans="1:15" ht="15.75" x14ac:dyDescent="0.3">
      <c r="A60" s="15" t="s">
        <v>3333</v>
      </c>
      <c r="B60" s="15">
        <f t="shared" si="0"/>
        <v>60</v>
      </c>
      <c r="C60" s="15">
        <v>0</v>
      </c>
      <c r="D60" s="15">
        <f t="shared" si="1"/>
        <v>60</v>
      </c>
      <c r="E60" s="15" t="s">
        <v>3313</v>
      </c>
      <c r="F60" s="15">
        <f t="shared" si="2"/>
        <v>5</v>
      </c>
      <c r="G60" s="15" t="str">
        <f t="shared" si="3"/>
        <v>[5]</v>
      </c>
      <c r="H60">
        <v>1</v>
      </c>
      <c r="I60">
        <f t="shared" si="4"/>
        <v>20</v>
      </c>
      <c r="J60">
        <v>2</v>
      </c>
      <c r="K60">
        <f t="shared" si="5"/>
        <v>1</v>
      </c>
      <c r="L60" s="45">
        <f t="shared" si="6"/>
        <v>60</v>
      </c>
      <c r="M60" s="45">
        <f t="shared" si="7"/>
        <v>60</v>
      </c>
      <c r="N60">
        <f t="shared" si="8"/>
        <v>10</v>
      </c>
      <c r="O60" t="str">
        <f t="shared" si="9"/>
        <v>true</v>
      </c>
    </row>
    <row r="61" spans="1:15" ht="15.75" x14ac:dyDescent="0.3">
      <c r="A61" s="15" t="s">
        <v>3333</v>
      </c>
      <c r="B61" s="15">
        <f t="shared" si="0"/>
        <v>150</v>
      </c>
      <c r="C61" s="15">
        <v>0</v>
      </c>
      <c r="D61" s="15">
        <f t="shared" si="1"/>
        <v>200</v>
      </c>
      <c r="E61" s="15" t="s">
        <v>3313</v>
      </c>
      <c r="F61" s="15">
        <f t="shared" si="2"/>
        <v>5</v>
      </c>
      <c r="G61" s="15" t="str">
        <f t="shared" si="3"/>
        <v>[5]</v>
      </c>
      <c r="H61">
        <v>1</v>
      </c>
      <c r="I61">
        <f t="shared" si="4"/>
        <v>20</v>
      </c>
      <c r="J61">
        <v>3</v>
      </c>
      <c r="K61">
        <f t="shared" si="5"/>
        <v>1</v>
      </c>
      <c r="L61" s="45">
        <f t="shared" si="6"/>
        <v>200</v>
      </c>
      <c r="M61" s="45">
        <f t="shared" si="7"/>
        <v>150</v>
      </c>
      <c r="N61">
        <f t="shared" si="8"/>
        <v>15</v>
      </c>
      <c r="O61" t="str">
        <f t="shared" si="9"/>
        <v>true</v>
      </c>
    </row>
    <row r="62" spans="1:15" ht="15.75" x14ac:dyDescent="0.3">
      <c r="A62" s="15" t="s">
        <v>3334</v>
      </c>
      <c r="B62" s="15">
        <f t="shared" si="0"/>
        <v>150</v>
      </c>
      <c r="C62" s="15">
        <v>0</v>
      </c>
      <c r="D62" s="15">
        <f t="shared" si="1"/>
        <v>200</v>
      </c>
      <c r="E62" s="15" t="s">
        <v>3313</v>
      </c>
      <c r="F62" s="15">
        <f t="shared" si="2"/>
        <v>5</v>
      </c>
      <c r="G62" s="15" t="str">
        <f t="shared" si="3"/>
        <v>[5]</v>
      </c>
      <c r="H62">
        <v>1</v>
      </c>
      <c r="I62">
        <f t="shared" si="4"/>
        <v>21</v>
      </c>
      <c r="J62">
        <v>1</v>
      </c>
      <c r="K62">
        <f t="shared" si="5"/>
        <v>1</v>
      </c>
      <c r="L62" s="45">
        <f t="shared" si="6"/>
        <v>26.666666666666668</v>
      </c>
      <c r="M62" s="45">
        <f t="shared" si="7"/>
        <v>20</v>
      </c>
      <c r="N62">
        <f t="shared" si="8"/>
        <v>5</v>
      </c>
      <c r="O62" t="str">
        <f t="shared" si="9"/>
        <v>true</v>
      </c>
    </row>
    <row r="63" spans="1:15" ht="15.75" x14ac:dyDescent="0.3">
      <c r="A63" s="15" t="s">
        <v>3334</v>
      </c>
      <c r="B63" s="15">
        <f t="shared" si="0"/>
        <v>450</v>
      </c>
      <c r="C63" s="15">
        <v>0</v>
      </c>
      <c r="D63" s="15">
        <f t="shared" si="1"/>
        <v>500</v>
      </c>
      <c r="E63" s="15" t="s">
        <v>3313</v>
      </c>
      <c r="F63" s="15">
        <f t="shared" si="2"/>
        <v>5</v>
      </c>
      <c r="G63" s="15" t="str">
        <f t="shared" si="3"/>
        <v>[5]</v>
      </c>
      <c r="H63">
        <v>1</v>
      </c>
      <c r="I63">
        <f t="shared" si="4"/>
        <v>21</v>
      </c>
      <c r="J63">
        <v>2</v>
      </c>
      <c r="K63">
        <f t="shared" si="5"/>
        <v>1</v>
      </c>
      <c r="L63" s="45">
        <f t="shared" si="6"/>
        <v>66.666666666666671</v>
      </c>
      <c r="M63" s="45">
        <f t="shared" si="7"/>
        <v>60</v>
      </c>
      <c r="N63">
        <f t="shared" si="8"/>
        <v>10</v>
      </c>
      <c r="O63" t="str">
        <f t="shared" si="9"/>
        <v>true</v>
      </c>
    </row>
    <row r="64" spans="1:15" ht="15.75" x14ac:dyDescent="0.3">
      <c r="A64" s="15" t="s">
        <v>3334</v>
      </c>
      <c r="B64" s="15">
        <f t="shared" si="0"/>
        <v>1125</v>
      </c>
      <c r="C64" s="15">
        <v>0</v>
      </c>
      <c r="D64" s="15">
        <f t="shared" si="1"/>
        <v>2000</v>
      </c>
      <c r="E64" s="15" t="s">
        <v>3313</v>
      </c>
      <c r="F64" s="15">
        <f t="shared" si="2"/>
        <v>5</v>
      </c>
      <c r="G64" s="15" t="str">
        <f t="shared" si="3"/>
        <v>[5]</v>
      </c>
      <c r="H64">
        <v>1</v>
      </c>
      <c r="I64">
        <f t="shared" si="4"/>
        <v>21</v>
      </c>
      <c r="J64">
        <v>3</v>
      </c>
      <c r="K64">
        <f t="shared" si="5"/>
        <v>1</v>
      </c>
      <c r="L64" s="45">
        <f t="shared" si="6"/>
        <v>266.66666666666669</v>
      </c>
      <c r="M64" s="45">
        <f t="shared" si="7"/>
        <v>150</v>
      </c>
      <c r="N64">
        <f t="shared" si="8"/>
        <v>15</v>
      </c>
      <c r="O64" t="str">
        <f t="shared" si="9"/>
        <v>true</v>
      </c>
    </row>
    <row r="65" spans="1:15" ht="15.75" x14ac:dyDescent="0.3">
      <c r="A65" s="15" t="s">
        <v>3335</v>
      </c>
      <c r="B65" s="15">
        <f t="shared" si="0"/>
        <v>225000</v>
      </c>
      <c r="C65" s="15">
        <v>0</v>
      </c>
      <c r="D65" s="15">
        <f t="shared" si="1"/>
        <v>225000</v>
      </c>
      <c r="E65" s="15" t="s">
        <v>3313</v>
      </c>
      <c r="F65" s="15">
        <f t="shared" si="2"/>
        <v>10</v>
      </c>
      <c r="G65" s="15" t="str">
        <f t="shared" si="3"/>
        <v>[10]</v>
      </c>
      <c r="H65">
        <v>1</v>
      </c>
      <c r="I65">
        <f t="shared" si="4"/>
        <v>22</v>
      </c>
      <c r="J65">
        <v>1</v>
      </c>
      <c r="K65">
        <f t="shared" si="5"/>
        <v>2</v>
      </c>
      <c r="L65" s="45">
        <f t="shared" si="6"/>
        <v>30</v>
      </c>
      <c r="M65" s="45">
        <f t="shared" si="7"/>
        <v>30</v>
      </c>
      <c r="N65">
        <f t="shared" si="8"/>
        <v>10</v>
      </c>
      <c r="O65" t="str">
        <f t="shared" si="9"/>
        <v>true</v>
      </c>
    </row>
    <row r="66" spans="1:15" ht="15.75" x14ac:dyDescent="0.3">
      <c r="A66" s="15" t="s">
        <v>3335</v>
      </c>
      <c r="B66" s="15">
        <f t="shared" si="0"/>
        <v>600000</v>
      </c>
      <c r="C66" s="15">
        <v>0</v>
      </c>
      <c r="D66" s="15">
        <f t="shared" si="1"/>
        <v>600000</v>
      </c>
      <c r="E66" s="15" t="s">
        <v>3313</v>
      </c>
      <c r="F66" s="15">
        <f t="shared" si="2"/>
        <v>10</v>
      </c>
      <c r="G66" s="15" t="str">
        <f t="shared" si="3"/>
        <v>[10]</v>
      </c>
      <c r="H66">
        <v>1</v>
      </c>
      <c r="I66">
        <f t="shared" si="4"/>
        <v>22</v>
      </c>
      <c r="J66">
        <v>2</v>
      </c>
      <c r="K66">
        <f t="shared" si="5"/>
        <v>2</v>
      </c>
      <c r="L66" s="45">
        <f t="shared" si="6"/>
        <v>80</v>
      </c>
      <c r="M66" s="45">
        <f t="shared" si="7"/>
        <v>80</v>
      </c>
      <c r="N66">
        <f t="shared" si="8"/>
        <v>15</v>
      </c>
      <c r="O66" t="str">
        <f t="shared" si="9"/>
        <v>true</v>
      </c>
    </row>
    <row r="67" spans="1:15" ht="15.75" x14ac:dyDescent="0.3">
      <c r="A67" s="15" t="s">
        <v>3335</v>
      </c>
      <c r="B67" s="15">
        <f t="shared" ref="B67:B124" si="13">(M67*($AM$2/$AM$1)*VLOOKUP(A67,$AE:$AI,MATCH("单场参数换算",$AE$2:$AI$2,0),FALSE))</f>
        <v>1500000</v>
      </c>
      <c r="C67" s="15">
        <v>0</v>
      </c>
      <c r="D67" s="15">
        <f t="shared" ref="D67:D124" si="14">IF(C67=0,IF(B67&gt;1000,ROUNDUP(B67/1000,0)*1000,IF(B67&gt;100,ROUNDUP(B67/100,0)*100,IF(B67&gt;20,ROUNDUP(B67/5,0)*5,ROUNDUP(B67,0)))),C67)</f>
        <v>1500000</v>
      </c>
      <c r="E67" s="15" t="s">
        <v>3313</v>
      </c>
      <c r="F67" s="15">
        <f t="shared" ref="F67:F124" si="15">VLOOKUP(K67,$U$9:$V$12,2,FALSE)</f>
        <v>10</v>
      </c>
      <c r="G67" s="15" t="str">
        <f t="shared" ref="G67:G124" si="16">"["&amp;F67&amp;"]"</f>
        <v>[10]</v>
      </c>
      <c r="H67">
        <v>1</v>
      </c>
      <c r="I67">
        <f t="shared" ref="I67:I124" si="17">VLOOKUP(A67,$AE:$AJ,MATCH("类型查找用",$AE$2:$AJ$2,0),FALSE)</f>
        <v>22</v>
      </c>
      <c r="J67">
        <v>3</v>
      </c>
      <c r="K67">
        <f t="shared" ref="K67:K124" si="18">VLOOKUP(A67,$AE:$AJ,MATCH("难度设定",$AE$2:$AJ$2,0),FALSE)</f>
        <v>2</v>
      </c>
      <c r="L67" s="45">
        <f t="shared" ref="L67:L124" si="19">IF(H67=1,(D67/VLOOKUP(I67,$AD:$AI,MATCH("单场参数换算",$AD$2:$AI$2,0),FALSE))/($AM$2/$AM$1),0)</f>
        <v>200</v>
      </c>
      <c r="M67" s="45">
        <f t="shared" ref="M67:M124" si="20">VLOOKUP(K67&amp;"-"&amp;J67,$W$14:$X$23,MATCH("预期天数",$W$14:$X$14,0),FALSE)</f>
        <v>200</v>
      </c>
      <c r="N67">
        <f t="shared" ref="N67:N124" si="21">VLOOKUP(K67&amp;"-"&amp;J67,$W$14:$Y$23,MATCH("对应积分",$W$14:$Y$14,0),FALSE)</f>
        <v>20</v>
      </c>
      <c r="O67" t="str">
        <f t="shared" ref="O67:O124" si="22">IF(H67=1,"true","false")</f>
        <v>true</v>
      </c>
    </row>
    <row r="68" spans="1:15" ht="15.75" x14ac:dyDescent="0.3">
      <c r="A68" s="15" t="s">
        <v>3336</v>
      </c>
      <c r="B68" s="15">
        <f t="shared" si="13"/>
        <v>20</v>
      </c>
      <c r="C68" s="15">
        <v>0</v>
      </c>
      <c r="D68" s="15">
        <f t="shared" si="14"/>
        <v>20</v>
      </c>
      <c r="E68" s="15" t="s">
        <v>3313</v>
      </c>
      <c r="F68" s="15">
        <f t="shared" si="15"/>
        <v>5</v>
      </c>
      <c r="G68" s="15" t="str">
        <f t="shared" si="16"/>
        <v>[5]</v>
      </c>
      <c r="H68">
        <v>1</v>
      </c>
      <c r="I68">
        <f t="shared" si="17"/>
        <v>23</v>
      </c>
      <c r="J68">
        <v>1</v>
      </c>
      <c r="K68">
        <f t="shared" si="18"/>
        <v>1</v>
      </c>
      <c r="L68" s="45">
        <f t="shared" si="19"/>
        <v>20</v>
      </c>
      <c r="M68" s="45">
        <f t="shared" si="20"/>
        <v>20</v>
      </c>
      <c r="N68">
        <f t="shared" si="21"/>
        <v>5</v>
      </c>
      <c r="O68" t="str">
        <f t="shared" si="22"/>
        <v>true</v>
      </c>
    </row>
    <row r="69" spans="1:15" ht="15.75" x14ac:dyDescent="0.3">
      <c r="A69" s="15" t="s">
        <v>3336</v>
      </c>
      <c r="B69" s="15">
        <f t="shared" si="13"/>
        <v>60</v>
      </c>
      <c r="C69" s="15">
        <v>0</v>
      </c>
      <c r="D69" s="15">
        <f t="shared" si="14"/>
        <v>60</v>
      </c>
      <c r="E69" s="15" t="s">
        <v>3313</v>
      </c>
      <c r="F69" s="15">
        <f t="shared" si="15"/>
        <v>5</v>
      </c>
      <c r="G69" s="15" t="str">
        <f t="shared" si="16"/>
        <v>[5]</v>
      </c>
      <c r="H69">
        <v>1</v>
      </c>
      <c r="I69">
        <f t="shared" si="17"/>
        <v>23</v>
      </c>
      <c r="J69">
        <v>2</v>
      </c>
      <c r="K69">
        <f t="shared" si="18"/>
        <v>1</v>
      </c>
      <c r="L69" s="45">
        <f t="shared" si="19"/>
        <v>60</v>
      </c>
      <c r="M69" s="45">
        <f t="shared" si="20"/>
        <v>60</v>
      </c>
      <c r="N69">
        <f t="shared" si="21"/>
        <v>10</v>
      </c>
      <c r="O69" t="str">
        <f t="shared" si="22"/>
        <v>true</v>
      </c>
    </row>
    <row r="70" spans="1:15" ht="15.75" x14ac:dyDescent="0.3">
      <c r="A70" s="15" t="s">
        <v>3336</v>
      </c>
      <c r="B70" s="15">
        <f t="shared" si="13"/>
        <v>150</v>
      </c>
      <c r="C70" s="15">
        <v>0</v>
      </c>
      <c r="D70" s="15">
        <f t="shared" si="14"/>
        <v>200</v>
      </c>
      <c r="E70" s="15" t="s">
        <v>3313</v>
      </c>
      <c r="F70" s="15">
        <f t="shared" si="15"/>
        <v>5</v>
      </c>
      <c r="G70" s="15" t="str">
        <f t="shared" si="16"/>
        <v>[5]</v>
      </c>
      <c r="H70">
        <v>1</v>
      </c>
      <c r="I70">
        <f t="shared" si="17"/>
        <v>23</v>
      </c>
      <c r="J70">
        <v>3</v>
      </c>
      <c r="K70">
        <f t="shared" si="18"/>
        <v>1</v>
      </c>
      <c r="L70" s="45">
        <f t="shared" si="19"/>
        <v>200</v>
      </c>
      <c r="M70" s="45">
        <f t="shared" si="20"/>
        <v>150</v>
      </c>
      <c r="N70">
        <f t="shared" si="21"/>
        <v>15</v>
      </c>
      <c r="O70" t="str">
        <f t="shared" si="22"/>
        <v>true</v>
      </c>
    </row>
    <row r="71" spans="1:15" ht="15.75" x14ac:dyDescent="0.3">
      <c r="A71" s="15" t="s">
        <v>3337</v>
      </c>
      <c r="B71" s="15">
        <f t="shared" si="13"/>
        <v>4</v>
      </c>
      <c r="C71" s="15">
        <v>3</v>
      </c>
      <c r="D71" s="15">
        <f t="shared" si="14"/>
        <v>3</v>
      </c>
      <c r="E71" s="15" t="s">
        <v>3313</v>
      </c>
      <c r="F71" s="15">
        <f t="shared" si="15"/>
        <v>20</v>
      </c>
      <c r="G71" s="15" t="str">
        <f t="shared" si="16"/>
        <v>[20]</v>
      </c>
      <c r="H71">
        <v>1</v>
      </c>
      <c r="I71">
        <f t="shared" si="17"/>
        <v>24</v>
      </c>
      <c r="J71">
        <v>1</v>
      </c>
      <c r="K71">
        <f t="shared" si="18"/>
        <v>3</v>
      </c>
      <c r="L71" s="45">
        <f t="shared" si="19"/>
        <v>29.999999999999996</v>
      </c>
      <c r="M71" s="45">
        <f t="shared" si="20"/>
        <v>40</v>
      </c>
      <c r="N71">
        <f t="shared" si="21"/>
        <v>20</v>
      </c>
      <c r="O71" t="str">
        <f t="shared" si="22"/>
        <v>true</v>
      </c>
    </row>
    <row r="72" spans="1:15" ht="15.75" x14ac:dyDescent="0.3">
      <c r="A72" s="15" t="s">
        <v>3337</v>
      </c>
      <c r="B72" s="15">
        <f t="shared" si="13"/>
        <v>12</v>
      </c>
      <c r="C72" s="15">
        <v>5</v>
      </c>
      <c r="D72" s="15">
        <f t="shared" si="14"/>
        <v>5</v>
      </c>
      <c r="E72" s="15" t="s">
        <v>3313</v>
      </c>
      <c r="F72" s="15">
        <f t="shared" si="15"/>
        <v>20</v>
      </c>
      <c r="G72" s="15" t="str">
        <f t="shared" si="16"/>
        <v>[20]</v>
      </c>
      <c r="H72">
        <v>1</v>
      </c>
      <c r="I72">
        <f t="shared" si="17"/>
        <v>24</v>
      </c>
      <c r="J72">
        <v>2</v>
      </c>
      <c r="K72">
        <f t="shared" si="18"/>
        <v>3</v>
      </c>
      <c r="L72" s="45">
        <f t="shared" si="19"/>
        <v>50</v>
      </c>
      <c r="M72" s="45">
        <f t="shared" si="20"/>
        <v>120</v>
      </c>
      <c r="N72">
        <f t="shared" si="21"/>
        <v>25</v>
      </c>
      <c r="O72" t="str">
        <f t="shared" si="22"/>
        <v>true</v>
      </c>
    </row>
    <row r="73" spans="1:15" ht="15.75" x14ac:dyDescent="0.3">
      <c r="A73" s="15" t="s">
        <v>3337</v>
      </c>
      <c r="B73" s="15">
        <f t="shared" si="13"/>
        <v>36</v>
      </c>
      <c r="C73" s="15">
        <v>10</v>
      </c>
      <c r="D73" s="15">
        <f t="shared" si="14"/>
        <v>10</v>
      </c>
      <c r="E73" s="15" t="s">
        <v>3313</v>
      </c>
      <c r="F73" s="15">
        <f t="shared" si="15"/>
        <v>20</v>
      </c>
      <c r="G73" s="15" t="str">
        <f t="shared" si="16"/>
        <v>[20]</v>
      </c>
      <c r="H73">
        <v>1</v>
      </c>
      <c r="I73">
        <f t="shared" si="17"/>
        <v>24</v>
      </c>
      <c r="J73">
        <v>3</v>
      </c>
      <c r="K73">
        <f t="shared" si="18"/>
        <v>3</v>
      </c>
      <c r="L73" s="45">
        <f t="shared" si="19"/>
        <v>100</v>
      </c>
      <c r="M73" s="45">
        <f t="shared" si="20"/>
        <v>360</v>
      </c>
      <c r="N73">
        <f t="shared" si="21"/>
        <v>30</v>
      </c>
      <c r="O73" t="str">
        <f t="shared" si="22"/>
        <v>true</v>
      </c>
    </row>
    <row r="74" spans="1:15" ht="15.75" x14ac:dyDescent="0.3">
      <c r="A74" s="15" t="s">
        <v>3338</v>
      </c>
      <c r="B74" s="15">
        <f t="shared" si="13"/>
        <v>4</v>
      </c>
      <c r="C74" s="15">
        <v>3</v>
      </c>
      <c r="D74" s="15">
        <f t="shared" si="14"/>
        <v>3</v>
      </c>
      <c r="E74" s="15" t="s">
        <v>3313</v>
      </c>
      <c r="F74" s="15">
        <f t="shared" si="15"/>
        <v>20</v>
      </c>
      <c r="G74" s="15" t="str">
        <f t="shared" si="16"/>
        <v>[20]</v>
      </c>
      <c r="H74">
        <v>1</v>
      </c>
      <c r="I74">
        <f t="shared" si="17"/>
        <v>25</v>
      </c>
      <c r="J74">
        <v>1</v>
      </c>
      <c r="K74">
        <f t="shared" si="18"/>
        <v>3</v>
      </c>
      <c r="L74" s="45">
        <f t="shared" si="19"/>
        <v>29.999999999999996</v>
      </c>
      <c r="M74" s="45">
        <f t="shared" si="20"/>
        <v>40</v>
      </c>
      <c r="N74">
        <f t="shared" si="21"/>
        <v>20</v>
      </c>
      <c r="O74" t="str">
        <f t="shared" si="22"/>
        <v>true</v>
      </c>
    </row>
    <row r="75" spans="1:15" ht="15.75" x14ac:dyDescent="0.3">
      <c r="A75" s="15" t="s">
        <v>3338</v>
      </c>
      <c r="B75" s="15">
        <f t="shared" si="13"/>
        <v>12</v>
      </c>
      <c r="C75" s="15">
        <v>5</v>
      </c>
      <c r="D75" s="15">
        <f t="shared" si="14"/>
        <v>5</v>
      </c>
      <c r="E75" s="15" t="s">
        <v>3313</v>
      </c>
      <c r="F75" s="15">
        <f t="shared" si="15"/>
        <v>20</v>
      </c>
      <c r="G75" s="15" t="str">
        <f t="shared" si="16"/>
        <v>[20]</v>
      </c>
      <c r="H75">
        <v>1</v>
      </c>
      <c r="I75">
        <f t="shared" si="17"/>
        <v>25</v>
      </c>
      <c r="J75">
        <v>2</v>
      </c>
      <c r="K75">
        <f t="shared" si="18"/>
        <v>3</v>
      </c>
      <c r="L75" s="45">
        <f t="shared" si="19"/>
        <v>50</v>
      </c>
      <c r="M75" s="45">
        <f t="shared" si="20"/>
        <v>120</v>
      </c>
      <c r="N75">
        <f t="shared" si="21"/>
        <v>25</v>
      </c>
      <c r="O75" t="str">
        <f t="shared" si="22"/>
        <v>true</v>
      </c>
    </row>
    <row r="76" spans="1:15" ht="15.75" x14ac:dyDescent="0.3">
      <c r="A76" s="15" t="s">
        <v>3338</v>
      </c>
      <c r="B76" s="15">
        <f t="shared" si="13"/>
        <v>36</v>
      </c>
      <c r="C76" s="15">
        <v>10</v>
      </c>
      <c r="D76" s="15">
        <f t="shared" si="14"/>
        <v>10</v>
      </c>
      <c r="E76" s="15" t="s">
        <v>3313</v>
      </c>
      <c r="F76" s="15">
        <f t="shared" si="15"/>
        <v>20</v>
      </c>
      <c r="G76" s="15" t="str">
        <f t="shared" si="16"/>
        <v>[20]</v>
      </c>
      <c r="H76">
        <v>1</v>
      </c>
      <c r="I76">
        <f t="shared" si="17"/>
        <v>25</v>
      </c>
      <c r="J76">
        <v>3</v>
      </c>
      <c r="K76">
        <f t="shared" si="18"/>
        <v>3</v>
      </c>
      <c r="L76" s="45">
        <f t="shared" si="19"/>
        <v>100</v>
      </c>
      <c r="M76" s="45">
        <f t="shared" si="20"/>
        <v>360</v>
      </c>
      <c r="N76">
        <f t="shared" si="21"/>
        <v>30</v>
      </c>
      <c r="O76" t="str">
        <f t="shared" si="22"/>
        <v>true</v>
      </c>
    </row>
    <row r="77" spans="1:15" ht="15.75" x14ac:dyDescent="0.3">
      <c r="A77" s="15" t="s">
        <v>3339</v>
      </c>
      <c r="B77" s="15">
        <f t="shared" si="13"/>
        <v>4</v>
      </c>
      <c r="C77" s="15">
        <v>3</v>
      </c>
      <c r="D77" s="15">
        <f t="shared" si="14"/>
        <v>3</v>
      </c>
      <c r="E77" s="15" t="s">
        <v>3313</v>
      </c>
      <c r="F77" s="15">
        <f t="shared" si="15"/>
        <v>20</v>
      </c>
      <c r="G77" s="15" t="str">
        <f t="shared" si="16"/>
        <v>[20]</v>
      </c>
      <c r="H77">
        <v>1</v>
      </c>
      <c r="I77">
        <f t="shared" si="17"/>
        <v>26</v>
      </c>
      <c r="J77">
        <v>1</v>
      </c>
      <c r="K77">
        <f t="shared" si="18"/>
        <v>3</v>
      </c>
      <c r="L77" s="45">
        <f t="shared" si="19"/>
        <v>29.999999999999996</v>
      </c>
      <c r="M77" s="45">
        <f t="shared" si="20"/>
        <v>40</v>
      </c>
      <c r="N77">
        <f t="shared" si="21"/>
        <v>20</v>
      </c>
      <c r="O77" t="str">
        <f t="shared" si="22"/>
        <v>true</v>
      </c>
    </row>
    <row r="78" spans="1:15" ht="15.75" x14ac:dyDescent="0.3">
      <c r="A78" s="15" t="s">
        <v>3339</v>
      </c>
      <c r="B78" s="15">
        <f t="shared" si="13"/>
        <v>12</v>
      </c>
      <c r="C78" s="15">
        <v>5</v>
      </c>
      <c r="D78" s="15">
        <f t="shared" si="14"/>
        <v>5</v>
      </c>
      <c r="E78" s="15" t="s">
        <v>3313</v>
      </c>
      <c r="F78" s="15">
        <f t="shared" si="15"/>
        <v>20</v>
      </c>
      <c r="G78" s="15" t="str">
        <f t="shared" si="16"/>
        <v>[20]</v>
      </c>
      <c r="H78">
        <v>1</v>
      </c>
      <c r="I78">
        <f t="shared" si="17"/>
        <v>26</v>
      </c>
      <c r="J78">
        <v>2</v>
      </c>
      <c r="K78">
        <f t="shared" si="18"/>
        <v>3</v>
      </c>
      <c r="L78" s="45">
        <f t="shared" si="19"/>
        <v>50</v>
      </c>
      <c r="M78" s="45">
        <f t="shared" si="20"/>
        <v>120</v>
      </c>
      <c r="N78">
        <f t="shared" si="21"/>
        <v>25</v>
      </c>
      <c r="O78" t="str">
        <f t="shared" si="22"/>
        <v>true</v>
      </c>
    </row>
    <row r="79" spans="1:15" ht="15.75" x14ac:dyDescent="0.3">
      <c r="A79" s="15" t="s">
        <v>3339</v>
      </c>
      <c r="B79" s="15">
        <f t="shared" si="13"/>
        <v>36</v>
      </c>
      <c r="C79" s="15">
        <v>10</v>
      </c>
      <c r="D79" s="15">
        <f t="shared" si="14"/>
        <v>10</v>
      </c>
      <c r="E79" s="15" t="s">
        <v>3313</v>
      </c>
      <c r="F79" s="15">
        <f t="shared" si="15"/>
        <v>20</v>
      </c>
      <c r="G79" s="15" t="str">
        <f t="shared" si="16"/>
        <v>[20]</v>
      </c>
      <c r="H79">
        <v>1</v>
      </c>
      <c r="I79">
        <f t="shared" si="17"/>
        <v>26</v>
      </c>
      <c r="J79">
        <v>3</v>
      </c>
      <c r="K79">
        <f t="shared" si="18"/>
        <v>3</v>
      </c>
      <c r="L79" s="45">
        <f t="shared" si="19"/>
        <v>100</v>
      </c>
      <c r="M79" s="45">
        <f t="shared" si="20"/>
        <v>360</v>
      </c>
      <c r="N79">
        <f t="shared" si="21"/>
        <v>30</v>
      </c>
      <c r="O79" t="str">
        <f t="shared" si="22"/>
        <v>true</v>
      </c>
    </row>
    <row r="80" spans="1:15" ht="15.75" x14ac:dyDescent="0.3">
      <c r="A80" s="15" t="s">
        <v>3340</v>
      </c>
      <c r="B80" s="15">
        <f t="shared" si="13"/>
        <v>3.0030030030030028</v>
      </c>
      <c r="C80" s="15">
        <v>5</v>
      </c>
      <c r="D80" s="15">
        <f t="shared" si="14"/>
        <v>5</v>
      </c>
      <c r="E80" s="15" t="s">
        <v>3313</v>
      </c>
      <c r="F80" s="15">
        <f t="shared" si="15"/>
        <v>5</v>
      </c>
      <c r="G80" s="15" t="str">
        <f t="shared" si="16"/>
        <v>[5]</v>
      </c>
      <c r="H80">
        <v>1</v>
      </c>
      <c r="I80">
        <f t="shared" si="17"/>
        <v>27</v>
      </c>
      <c r="J80">
        <v>1</v>
      </c>
      <c r="K80">
        <f t="shared" si="18"/>
        <v>1</v>
      </c>
      <c r="L80" s="45">
        <f t="shared" si="19"/>
        <v>33.299999999999997</v>
      </c>
      <c r="M80" s="45">
        <f t="shared" si="20"/>
        <v>20</v>
      </c>
      <c r="N80">
        <f t="shared" si="21"/>
        <v>5</v>
      </c>
      <c r="O80" t="str">
        <f t="shared" si="22"/>
        <v>true</v>
      </c>
    </row>
    <row r="81" spans="1:15" ht="15.75" x14ac:dyDescent="0.3">
      <c r="A81" s="15" t="s">
        <v>3340</v>
      </c>
      <c r="B81" s="15">
        <f t="shared" si="13"/>
        <v>9.0090090090090094</v>
      </c>
      <c r="C81" s="15">
        <v>10</v>
      </c>
      <c r="D81" s="15">
        <f t="shared" si="14"/>
        <v>10</v>
      </c>
      <c r="E81" s="15" t="s">
        <v>3313</v>
      </c>
      <c r="F81" s="15">
        <f t="shared" si="15"/>
        <v>5</v>
      </c>
      <c r="G81" s="15" t="str">
        <f t="shared" si="16"/>
        <v>[5]</v>
      </c>
      <c r="H81">
        <v>1</v>
      </c>
      <c r="I81">
        <f t="shared" si="17"/>
        <v>27</v>
      </c>
      <c r="J81">
        <v>2</v>
      </c>
      <c r="K81">
        <f t="shared" si="18"/>
        <v>1</v>
      </c>
      <c r="L81" s="45">
        <f t="shared" si="19"/>
        <v>66.599999999999994</v>
      </c>
      <c r="M81" s="45">
        <f t="shared" si="20"/>
        <v>60</v>
      </c>
      <c r="N81">
        <f t="shared" si="21"/>
        <v>10</v>
      </c>
      <c r="O81" t="str">
        <f t="shared" si="22"/>
        <v>true</v>
      </c>
    </row>
    <row r="82" spans="1:15" ht="15.75" x14ac:dyDescent="0.3">
      <c r="A82" s="15" t="s">
        <v>3340</v>
      </c>
      <c r="B82" s="15">
        <f t="shared" si="13"/>
        <v>22.522522522522522</v>
      </c>
      <c r="C82" s="15">
        <v>15</v>
      </c>
      <c r="D82" s="15">
        <f t="shared" si="14"/>
        <v>15</v>
      </c>
      <c r="E82" s="15" t="s">
        <v>3313</v>
      </c>
      <c r="F82" s="15">
        <f t="shared" si="15"/>
        <v>5</v>
      </c>
      <c r="G82" s="15" t="str">
        <f t="shared" si="16"/>
        <v>[5]</v>
      </c>
      <c r="H82">
        <v>1</v>
      </c>
      <c r="I82">
        <f t="shared" si="17"/>
        <v>27</v>
      </c>
      <c r="J82">
        <v>3</v>
      </c>
      <c r="K82">
        <f t="shared" si="18"/>
        <v>1</v>
      </c>
      <c r="L82" s="45">
        <f t="shared" si="19"/>
        <v>99.9</v>
      </c>
      <c r="M82" s="45">
        <f t="shared" si="20"/>
        <v>150</v>
      </c>
      <c r="N82">
        <f t="shared" si="21"/>
        <v>15</v>
      </c>
      <c r="O82" t="str">
        <f t="shared" si="22"/>
        <v>true</v>
      </c>
    </row>
    <row r="83" spans="1:15" ht="15.75" x14ac:dyDescent="0.3">
      <c r="A83" s="15" t="s">
        <v>3341</v>
      </c>
      <c r="B83" s="15">
        <f t="shared" si="13"/>
        <v>3.0030030030030028</v>
      </c>
      <c r="C83" s="15">
        <v>4</v>
      </c>
      <c r="D83" s="15">
        <f t="shared" si="14"/>
        <v>4</v>
      </c>
      <c r="E83" s="15" t="s">
        <v>3313</v>
      </c>
      <c r="F83" s="15">
        <f t="shared" si="15"/>
        <v>5</v>
      </c>
      <c r="G83" s="15" t="str">
        <f t="shared" si="16"/>
        <v>[5]</v>
      </c>
      <c r="H83">
        <v>1</v>
      </c>
      <c r="I83">
        <f t="shared" si="17"/>
        <v>28</v>
      </c>
      <c r="J83">
        <v>1</v>
      </c>
      <c r="K83">
        <f t="shared" si="18"/>
        <v>1</v>
      </c>
      <c r="L83" s="45">
        <f t="shared" si="19"/>
        <v>26.64</v>
      </c>
      <c r="M83" s="45">
        <f t="shared" si="20"/>
        <v>20</v>
      </c>
      <c r="N83">
        <f t="shared" si="21"/>
        <v>5</v>
      </c>
      <c r="O83" t="str">
        <f t="shared" si="22"/>
        <v>true</v>
      </c>
    </row>
    <row r="84" spans="1:15" ht="15.75" x14ac:dyDescent="0.3">
      <c r="A84" s="15" t="s">
        <v>3341</v>
      </c>
      <c r="B84" s="15">
        <f t="shared" si="13"/>
        <v>9.0090090090090094</v>
      </c>
      <c r="C84" s="15">
        <v>8</v>
      </c>
      <c r="D84" s="15">
        <f t="shared" si="14"/>
        <v>8</v>
      </c>
      <c r="E84" s="15" t="s">
        <v>3313</v>
      </c>
      <c r="F84" s="15">
        <f t="shared" si="15"/>
        <v>5</v>
      </c>
      <c r="G84" s="15" t="str">
        <f t="shared" si="16"/>
        <v>[5]</v>
      </c>
      <c r="H84">
        <v>1</v>
      </c>
      <c r="I84">
        <f t="shared" si="17"/>
        <v>28</v>
      </c>
      <c r="J84">
        <v>2</v>
      </c>
      <c r="K84">
        <f t="shared" si="18"/>
        <v>1</v>
      </c>
      <c r="L84" s="45">
        <f t="shared" si="19"/>
        <v>53.28</v>
      </c>
      <c r="M84" s="45">
        <f t="shared" si="20"/>
        <v>60</v>
      </c>
      <c r="N84">
        <f t="shared" si="21"/>
        <v>10</v>
      </c>
      <c r="O84" t="str">
        <f t="shared" si="22"/>
        <v>true</v>
      </c>
    </row>
    <row r="85" spans="1:15" ht="15.75" x14ac:dyDescent="0.3">
      <c r="A85" s="15" t="s">
        <v>3341</v>
      </c>
      <c r="B85" s="15">
        <f t="shared" si="13"/>
        <v>22.522522522522522</v>
      </c>
      <c r="C85" s="15">
        <v>12</v>
      </c>
      <c r="D85" s="15">
        <f t="shared" si="14"/>
        <v>12</v>
      </c>
      <c r="E85" s="15" t="s">
        <v>3313</v>
      </c>
      <c r="F85" s="15">
        <f t="shared" si="15"/>
        <v>5</v>
      </c>
      <c r="G85" s="15" t="str">
        <f t="shared" si="16"/>
        <v>[5]</v>
      </c>
      <c r="H85">
        <v>1</v>
      </c>
      <c r="I85">
        <f t="shared" si="17"/>
        <v>28</v>
      </c>
      <c r="J85">
        <v>3</v>
      </c>
      <c r="K85">
        <f t="shared" si="18"/>
        <v>1</v>
      </c>
      <c r="L85" s="45">
        <f t="shared" si="19"/>
        <v>79.92</v>
      </c>
      <c r="M85" s="45">
        <f t="shared" si="20"/>
        <v>150</v>
      </c>
      <c r="N85">
        <f t="shared" si="21"/>
        <v>15</v>
      </c>
      <c r="O85" t="str">
        <f t="shared" si="22"/>
        <v>true</v>
      </c>
    </row>
    <row r="86" spans="1:15" ht="15.75" x14ac:dyDescent="0.3">
      <c r="A86" s="15" t="s">
        <v>3342</v>
      </c>
      <c r="B86" s="15">
        <f t="shared" si="13"/>
        <v>1.5003750937734432</v>
      </c>
      <c r="C86" s="15">
        <v>4</v>
      </c>
      <c r="D86" s="15">
        <f t="shared" si="14"/>
        <v>4</v>
      </c>
      <c r="E86" s="15" t="s">
        <v>3313</v>
      </c>
      <c r="F86" s="15">
        <f t="shared" si="15"/>
        <v>5</v>
      </c>
      <c r="G86" s="15" t="str">
        <f t="shared" si="16"/>
        <v>[5]</v>
      </c>
      <c r="H86">
        <v>1</v>
      </c>
      <c r="I86">
        <f t="shared" si="17"/>
        <v>29</v>
      </c>
      <c r="J86">
        <v>1</v>
      </c>
      <c r="K86">
        <f t="shared" si="18"/>
        <v>1</v>
      </c>
      <c r="L86" s="45">
        <f t="shared" si="19"/>
        <v>53.320000000000007</v>
      </c>
      <c r="M86" s="45">
        <f t="shared" si="20"/>
        <v>20</v>
      </c>
      <c r="N86">
        <f t="shared" si="21"/>
        <v>5</v>
      </c>
      <c r="O86" t="str">
        <f t="shared" si="22"/>
        <v>true</v>
      </c>
    </row>
    <row r="87" spans="1:15" ht="15.75" x14ac:dyDescent="0.3">
      <c r="A87" s="15" t="s">
        <v>3342</v>
      </c>
      <c r="B87" s="15">
        <f t="shared" si="13"/>
        <v>4.5011252813203297</v>
      </c>
      <c r="C87" s="15">
        <v>10</v>
      </c>
      <c r="D87" s="15">
        <f t="shared" si="14"/>
        <v>10</v>
      </c>
      <c r="E87" s="15" t="s">
        <v>3313</v>
      </c>
      <c r="F87" s="15">
        <f t="shared" si="15"/>
        <v>5</v>
      </c>
      <c r="G87" s="15" t="str">
        <f t="shared" si="16"/>
        <v>[5]</v>
      </c>
      <c r="H87">
        <v>1</v>
      </c>
      <c r="I87">
        <f t="shared" si="17"/>
        <v>29</v>
      </c>
      <c r="J87">
        <v>2</v>
      </c>
      <c r="K87">
        <f t="shared" si="18"/>
        <v>1</v>
      </c>
      <c r="L87" s="45">
        <f t="shared" si="19"/>
        <v>133.30000000000001</v>
      </c>
      <c r="M87" s="45">
        <f t="shared" si="20"/>
        <v>60</v>
      </c>
      <c r="N87">
        <f t="shared" si="21"/>
        <v>10</v>
      </c>
      <c r="O87" t="str">
        <f t="shared" si="22"/>
        <v>true</v>
      </c>
    </row>
    <row r="88" spans="1:15" ht="15.75" x14ac:dyDescent="0.3">
      <c r="A88" s="15" t="s">
        <v>3342</v>
      </c>
      <c r="B88" s="15">
        <f t="shared" si="13"/>
        <v>11.252813203300825</v>
      </c>
      <c r="C88" s="15">
        <v>21</v>
      </c>
      <c r="D88" s="15">
        <f t="shared" si="14"/>
        <v>21</v>
      </c>
      <c r="E88" s="15" t="s">
        <v>3313</v>
      </c>
      <c r="F88" s="15">
        <f t="shared" si="15"/>
        <v>5</v>
      </c>
      <c r="G88" s="15" t="str">
        <f t="shared" si="16"/>
        <v>[5]</v>
      </c>
      <c r="H88">
        <v>1</v>
      </c>
      <c r="I88">
        <f t="shared" si="17"/>
        <v>29</v>
      </c>
      <c r="J88">
        <v>3</v>
      </c>
      <c r="K88">
        <f t="shared" si="18"/>
        <v>1</v>
      </c>
      <c r="L88" s="45">
        <f t="shared" si="19"/>
        <v>279.93</v>
      </c>
      <c r="M88" s="45">
        <f t="shared" si="20"/>
        <v>150</v>
      </c>
      <c r="N88">
        <f t="shared" si="21"/>
        <v>15</v>
      </c>
      <c r="O88" t="str">
        <f t="shared" si="22"/>
        <v>true</v>
      </c>
    </row>
    <row r="89" spans="1:15" ht="15.75" x14ac:dyDescent="0.3">
      <c r="A89" s="15" t="s">
        <v>3343</v>
      </c>
      <c r="B89" s="15">
        <f t="shared" si="13"/>
        <v>1</v>
      </c>
      <c r="C89" s="15">
        <v>4</v>
      </c>
      <c r="D89" s="15">
        <f t="shared" si="14"/>
        <v>4</v>
      </c>
      <c r="E89" s="15" t="s">
        <v>3313</v>
      </c>
      <c r="F89" s="15">
        <f t="shared" si="15"/>
        <v>5</v>
      </c>
      <c r="G89" s="15" t="str">
        <f t="shared" si="16"/>
        <v>[5]</v>
      </c>
      <c r="H89">
        <v>0</v>
      </c>
      <c r="I89">
        <f t="shared" si="17"/>
        <v>30</v>
      </c>
      <c r="J89">
        <v>1</v>
      </c>
      <c r="K89">
        <f t="shared" si="18"/>
        <v>1</v>
      </c>
      <c r="L89" s="45">
        <f t="shared" si="19"/>
        <v>0</v>
      </c>
      <c r="M89" s="45">
        <f t="shared" si="20"/>
        <v>20</v>
      </c>
      <c r="N89">
        <f t="shared" si="21"/>
        <v>5</v>
      </c>
      <c r="O89" t="str">
        <f t="shared" si="22"/>
        <v>false</v>
      </c>
    </row>
    <row r="90" spans="1:15" ht="15.75" x14ac:dyDescent="0.3">
      <c r="A90" s="15" t="s">
        <v>3343</v>
      </c>
      <c r="B90" s="15">
        <f t="shared" si="13"/>
        <v>3</v>
      </c>
      <c r="C90" s="15">
        <v>15</v>
      </c>
      <c r="D90" s="15">
        <f t="shared" si="14"/>
        <v>15</v>
      </c>
      <c r="E90" s="15" t="s">
        <v>3313</v>
      </c>
      <c r="F90" s="15">
        <f t="shared" si="15"/>
        <v>5</v>
      </c>
      <c r="G90" s="15" t="str">
        <f t="shared" si="16"/>
        <v>[5]</v>
      </c>
      <c r="H90">
        <v>0</v>
      </c>
      <c r="I90">
        <f t="shared" si="17"/>
        <v>30</v>
      </c>
      <c r="J90">
        <v>2</v>
      </c>
      <c r="K90">
        <f t="shared" si="18"/>
        <v>1</v>
      </c>
      <c r="L90" s="45">
        <f t="shared" si="19"/>
        <v>0</v>
      </c>
      <c r="M90" s="45">
        <f t="shared" si="20"/>
        <v>60</v>
      </c>
      <c r="N90">
        <f t="shared" si="21"/>
        <v>10</v>
      </c>
      <c r="O90" t="str">
        <f t="shared" si="22"/>
        <v>false</v>
      </c>
    </row>
    <row r="91" spans="1:15" ht="15.75" x14ac:dyDescent="0.3">
      <c r="A91" s="15" t="s">
        <v>3343</v>
      </c>
      <c r="B91" s="15">
        <f t="shared" si="13"/>
        <v>7.5000000000000009</v>
      </c>
      <c r="C91" s="15">
        <v>30</v>
      </c>
      <c r="D91" s="15">
        <f t="shared" si="14"/>
        <v>30</v>
      </c>
      <c r="E91" s="15" t="s">
        <v>3313</v>
      </c>
      <c r="F91" s="15">
        <f t="shared" si="15"/>
        <v>5</v>
      </c>
      <c r="G91" s="15" t="str">
        <f t="shared" si="16"/>
        <v>[5]</v>
      </c>
      <c r="H91">
        <v>0</v>
      </c>
      <c r="I91">
        <f t="shared" si="17"/>
        <v>30</v>
      </c>
      <c r="J91">
        <v>3</v>
      </c>
      <c r="K91">
        <f t="shared" si="18"/>
        <v>1</v>
      </c>
      <c r="L91" s="45">
        <f t="shared" si="19"/>
        <v>0</v>
      </c>
      <c r="M91" s="45">
        <f t="shared" si="20"/>
        <v>150</v>
      </c>
      <c r="N91">
        <f t="shared" si="21"/>
        <v>15</v>
      </c>
      <c r="O91" t="str">
        <f t="shared" si="22"/>
        <v>false</v>
      </c>
    </row>
    <row r="92" spans="1:15" ht="15.75" x14ac:dyDescent="0.3">
      <c r="A92" s="15" t="s">
        <v>3344</v>
      </c>
      <c r="B92" s="15">
        <f t="shared" si="13"/>
        <v>20</v>
      </c>
      <c r="C92" s="15">
        <v>3</v>
      </c>
      <c r="D92" s="15">
        <f t="shared" si="14"/>
        <v>3</v>
      </c>
      <c r="E92" s="15" t="s">
        <v>3313</v>
      </c>
      <c r="F92" s="15">
        <f t="shared" si="15"/>
        <v>20</v>
      </c>
      <c r="G92" s="15" t="str">
        <f t="shared" si="16"/>
        <v>[20]</v>
      </c>
      <c r="H92">
        <v>0</v>
      </c>
      <c r="I92">
        <f t="shared" si="17"/>
        <v>31</v>
      </c>
      <c r="J92">
        <v>1</v>
      </c>
      <c r="K92">
        <f t="shared" si="18"/>
        <v>3</v>
      </c>
      <c r="L92" s="45">
        <f t="shared" si="19"/>
        <v>0</v>
      </c>
      <c r="M92" s="45">
        <f t="shared" si="20"/>
        <v>40</v>
      </c>
      <c r="N92">
        <f t="shared" si="21"/>
        <v>20</v>
      </c>
      <c r="O92" t="str">
        <f t="shared" si="22"/>
        <v>false</v>
      </c>
    </row>
    <row r="93" spans="1:15" ht="15.75" x14ac:dyDescent="0.3">
      <c r="A93" s="15" t="s">
        <v>3344</v>
      </c>
      <c r="B93" s="15">
        <f t="shared" si="13"/>
        <v>60</v>
      </c>
      <c r="C93" s="15">
        <v>6</v>
      </c>
      <c r="D93" s="15">
        <f t="shared" si="14"/>
        <v>6</v>
      </c>
      <c r="E93" s="15" t="s">
        <v>3313</v>
      </c>
      <c r="F93" s="15">
        <f t="shared" si="15"/>
        <v>20</v>
      </c>
      <c r="G93" s="15" t="str">
        <f t="shared" si="16"/>
        <v>[20]</v>
      </c>
      <c r="H93">
        <v>0</v>
      </c>
      <c r="I93">
        <f t="shared" si="17"/>
        <v>31</v>
      </c>
      <c r="J93">
        <v>2</v>
      </c>
      <c r="K93">
        <f t="shared" si="18"/>
        <v>3</v>
      </c>
      <c r="L93" s="45">
        <f t="shared" si="19"/>
        <v>0</v>
      </c>
      <c r="M93" s="45">
        <f t="shared" si="20"/>
        <v>120</v>
      </c>
      <c r="N93">
        <f t="shared" si="21"/>
        <v>25</v>
      </c>
      <c r="O93" t="str">
        <f t="shared" si="22"/>
        <v>false</v>
      </c>
    </row>
    <row r="94" spans="1:15" ht="15.75" x14ac:dyDescent="0.3">
      <c r="A94" s="15" t="s">
        <v>3344</v>
      </c>
      <c r="B94" s="15">
        <f t="shared" si="13"/>
        <v>180</v>
      </c>
      <c r="C94" s="15">
        <v>9</v>
      </c>
      <c r="D94" s="15">
        <f t="shared" si="14"/>
        <v>9</v>
      </c>
      <c r="E94" s="15" t="s">
        <v>3313</v>
      </c>
      <c r="F94" s="15">
        <f t="shared" si="15"/>
        <v>20</v>
      </c>
      <c r="G94" s="15" t="str">
        <f t="shared" si="16"/>
        <v>[20]</v>
      </c>
      <c r="H94">
        <v>0</v>
      </c>
      <c r="I94">
        <f t="shared" si="17"/>
        <v>31</v>
      </c>
      <c r="J94">
        <v>3</v>
      </c>
      <c r="K94">
        <f t="shared" si="18"/>
        <v>3</v>
      </c>
      <c r="L94" s="45">
        <f t="shared" si="19"/>
        <v>0</v>
      </c>
      <c r="M94" s="45">
        <f t="shared" si="20"/>
        <v>360</v>
      </c>
      <c r="N94">
        <f t="shared" si="21"/>
        <v>30</v>
      </c>
      <c r="O94" t="str">
        <f t="shared" si="22"/>
        <v>false</v>
      </c>
    </row>
    <row r="95" spans="1:15" ht="15.75" x14ac:dyDescent="0.3">
      <c r="A95" s="15" t="s">
        <v>3345</v>
      </c>
      <c r="B95" s="15">
        <f t="shared" si="13"/>
        <v>5</v>
      </c>
      <c r="C95" s="15">
        <v>3</v>
      </c>
      <c r="D95" s="15">
        <f t="shared" si="14"/>
        <v>3</v>
      </c>
      <c r="E95" s="15" t="s">
        <v>3313</v>
      </c>
      <c r="F95" s="15">
        <f t="shared" si="15"/>
        <v>20</v>
      </c>
      <c r="G95" s="15" t="str">
        <f t="shared" si="16"/>
        <v>[20]</v>
      </c>
      <c r="H95">
        <v>1</v>
      </c>
      <c r="I95">
        <f t="shared" si="17"/>
        <v>32</v>
      </c>
      <c r="J95">
        <v>1</v>
      </c>
      <c r="K95">
        <f t="shared" si="18"/>
        <v>3</v>
      </c>
      <c r="L95" s="45">
        <f t="shared" si="19"/>
        <v>24</v>
      </c>
      <c r="M95" s="45">
        <f t="shared" si="20"/>
        <v>40</v>
      </c>
      <c r="N95">
        <f t="shared" si="21"/>
        <v>20</v>
      </c>
      <c r="O95" t="str">
        <f t="shared" si="22"/>
        <v>true</v>
      </c>
    </row>
    <row r="96" spans="1:15" ht="15.75" x14ac:dyDescent="0.3">
      <c r="A96" s="15" t="s">
        <v>3345</v>
      </c>
      <c r="B96" s="15">
        <f t="shared" si="13"/>
        <v>15</v>
      </c>
      <c r="C96" s="15">
        <v>6</v>
      </c>
      <c r="D96" s="15">
        <f t="shared" si="14"/>
        <v>6</v>
      </c>
      <c r="E96" s="15" t="s">
        <v>3313</v>
      </c>
      <c r="F96" s="15">
        <f t="shared" si="15"/>
        <v>20</v>
      </c>
      <c r="G96" s="15" t="str">
        <f t="shared" si="16"/>
        <v>[20]</v>
      </c>
      <c r="H96">
        <v>1</v>
      </c>
      <c r="I96">
        <f t="shared" si="17"/>
        <v>32</v>
      </c>
      <c r="J96">
        <v>2</v>
      </c>
      <c r="K96">
        <f t="shared" si="18"/>
        <v>3</v>
      </c>
      <c r="L96" s="45">
        <f t="shared" si="19"/>
        <v>48</v>
      </c>
      <c r="M96" s="45">
        <f t="shared" si="20"/>
        <v>120</v>
      </c>
      <c r="N96">
        <f t="shared" si="21"/>
        <v>25</v>
      </c>
      <c r="O96" t="str">
        <f t="shared" si="22"/>
        <v>true</v>
      </c>
    </row>
    <row r="97" spans="1:15" ht="15.75" x14ac:dyDescent="0.3">
      <c r="A97" s="15" t="s">
        <v>3345</v>
      </c>
      <c r="B97" s="15">
        <f t="shared" si="13"/>
        <v>45</v>
      </c>
      <c r="C97" s="15">
        <v>9</v>
      </c>
      <c r="D97" s="15">
        <f t="shared" si="14"/>
        <v>9</v>
      </c>
      <c r="E97" s="15" t="s">
        <v>3313</v>
      </c>
      <c r="F97" s="15">
        <f t="shared" si="15"/>
        <v>20</v>
      </c>
      <c r="G97" s="15" t="str">
        <f t="shared" si="16"/>
        <v>[20]</v>
      </c>
      <c r="H97">
        <v>0</v>
      </c>
      <c r="I97">
        <f t="shared" si="17"/>
        <v>32</v>
      </c>
      <c r="J97">
        <v>3</v>
      </c>
      <c r="K97">
        <f t="shared" si="18"/>
        <v>3</v>
      </c>
      <c r="L97" s="45">
        <f t="shared" si="19"/>
        <v>0</v>
      </c>
      <c r="M97" s="45">
        <f t="shared" si="20"/>
        <v>360</v>
      </c>
      <c r="N97">
        <f t="shared" si="21"/>
        <v>30</v>
      </c>
      <c r="O97" t="str">
        <f t="shared" si="22"/>
        <v>false</v>
      </c>
    </row>
    <row r="98" spans="1:15" ht="15.75" x14ac:dyDescent="0.3">
      <c r="A98" s="15" t="s">
        <v>3346</v>
      </c>
      <c r="B98" s="15">
        <f t="shared" si="13"/>
        <v>2.5</v>
      </c>
      <c r="C98" s="15">
        <v>3</v>
      </c>
      <c r="D98" s="15">
        <f t="shared" si="14"/>
        <v>3</v>
      </c>
      <c r="E98" s="15" t="s">
        <v>3313</v>
      </c>
      <c r="F98" s="15">
        <f t="shared" si="15"/>
        <v>20</v>
      </c>
      <c r="G98" s="15" t="str">
        <f t="shared" si="16"/>
        <v>[20]</v>
      </c>
      <c r="H98">
        <v>1</v>
      </c>
      <c r="I98">
        <f t="shared" si="17"/>
        <v>33</v>
      </c>
      <c r="J98">
        <v>1</v>
      </c>
      <c r="K98">
        <f t="shared" si="18"/>
        <v>3</v>
      </c>
      <c r="L98" s="45">
        <f t="shared" si="19"/>
        <v>48</v>
      </c>
      <c r="M98" s="45">
        <f t="shared" si="20"/>
        <v>40</v>
      </c>
      <c r="N98">
        <f t="shared" si="21"/>
        <v>20</v>
      </c>
      <c r="O98" t="str">
        <f t="shared" si="22"/>
        <v>true</v>
      </c>
    </row>
    <row r="99" spans="1:15" ht="15.75" x14ac:dyDescent="0.3">
      <c r="A99" s="15" t="s">
        <v>3346</v>
      </c>
      <c r="B99" s="15">
        <f t="shared" si="13"/>
        <v>7.5</v>
      </c>
      <c r="C99" s="15">
        <v>6</v>
      </c>
      <c r="D99" s="15">
        <f t="shared" si="14"/>
        <v>6</v>
      </c>
      <c r="E99" s="15" t="s">
        <v>3313</v>
      </c>
      <c r="F99" s="15">
        <f t="shared" si="15"/>
        <v>20</v>
      </c>
      <c r="G99" s="15" t="str">
        <f t="shared" si="16"/>
        <v>[20]</v>
      </c>
      <c r="H99">
        <v>1</v>
      </c>
      <c r="I99">
        <f t="shared" si="17"/>
        <v>33</v>
      </c>
      <c r="J99">
        <v>2</v>
      </c>
      <c r="K99">
        <f t="shared" si="18"/>
        <v>3</v>
      </c>
      <c r="L99" s="45">
        <f t="shared" si="19"/>
        <v>96</v>
      </c>
      <c r="M99" s="45">
        <f t="shared" si="20"/>
        <v>120</v>
      </c>
      <c r="N99">
        <f t="shared" si="21"/>
        <v>25</v>
      </c>
      <c r="O99" t="str">
        <f t="shared" si="22"/>
        <v>true</v>
      </c>
    </row>
    <row r="100" spans="1:15" ht="15.75" x14ac:dyDescent="0.3">
      <c r="A100" s="15" t="s">
        <v>3346</v>
      </c>
      <c r="B100" s="15">
        <f t="shared" si="13"/>
        <v>22.5</v>
      </c>
      <c r="C100" s="15">
        <v>9</v>
      </c>
      <c r="D100" s="15">
        <f t="shared" si="14"/>
        <v>9</v>
      </c>
      <c r="E100" s="15" t="s">
        <v>3313</v>
      </c>
      <c r="F100" s="15">
        <f t="shared" si="15"/>
        <v>20</v>
      </c>
      <c r="G100" s="15" t="str">
        <f t="shared" si="16"/>
        <v>[20]</v>
      </c>
      <c r="H100">
        <v>1</v>
      </c>
      <c r="I100">
        <f t="shared" si="17"/>
        <v>33</v>
      </c>
      <c r="J100">
        <v>3</v>
      </c>
      <c r="K100">
        <f t="shared" si="18"/>
        <v>3</v>
      </c>
      <c r="L100" s="45">
        <f t="shared" si="19"/>
        <v>144</v>
      </c>
      <c r="M100" s="45">
        <f t="shared" si="20"/>
        <v>360</v>
      </c>
      <c r="N100">
        <f t="shared" si="21"/>
        <v>30</v>
      </c>
      <c r="O100" t="str">
        <f t="shared" si="22"/>
        <v>true</v>
      </c>
    </row>
    <row r="101" spans="1:15" ht="15.75" x14ac:dyDescent="0.3">
      <c r="A101" s="15" t="s">
        <v>3347</v>
      </c>
      <c r="B101" s="15">
        <f t="shared" si="13"/>
        <v>1.3333333333333333</v>
      </c>
      <c r="C101" s="15">
        <v>3</v>
      </c>
      <c r="D101" s="15">
        <f t="shared" si="14"/>
        <v>3</v>
      </c>
      <c r="E101" s="15" t="s">
        <v>3313</v>
      </c>
      <c r="F101" s="15">
        <f t="shared" si="15"/>
        <v>20</v>
      </c>
      <c r="G101" s="15" t="str">
        <f t="shared" si="16"/>
        <v>[20]</v>
      </c>
      <c r="H101">
        <v>0</v>
      </c>
      <c r="I101">
        <f t="shared" si="17"/>
        <v>34</v>
      </c>
      <c r="J101">
        <v>1</v>
      </c>
      <c r="K101">
        <f t="shared" si="18"/>
        <v>3</v>
      </c>
      <c r="L101" s="45">
        <f t="shared" si="19"/>
        <v>0</v>
      </c>
      <c r="M101" s="45">
        <f t="shared" si="20"/>
        <v>40</v>
      </c>
      <c r="N101">
        <f t="shared" si="21"/>
        <v>20</v>
      </c>
      <c r="O101" t="str">
        <f t="shared" si="22"/>
        <v>false</v>
      </c>
    </row>
    <row r="102" spans="1:15" ht="15.75" x14ac:dyDescent="0.3">
      <c r="A102" s="15" t="s">
        <v>3347</v>
      </c>
      <c r="B102" s="15">
        <f t="shared" si="13"/>
        <v>4</v>
      </c>
      <c r="C102" s="15">
        <v>6</v>
      </c>
      <c r="D102" s="15">
        <f t="shared" si="14"/>
        <v>6</v>
      </c>
      <c r="E102" s="15" t="s">
        <v>3313</v>
      </c>
      <c r="F102" s="15">
        <f t="shared" si="15"/>
        <v>20</v>
      </c>
      <c r="G102" s="15" t="str">
        <f t="shared" si="16"/>
        <v>[20]</v>
      </c>
      <c r="H102">
        <v>0</v>
      </c>
      <c r="I102">
        <f t="shared" si="17"/>
        <v>34</v>
      </c>
      <c r="J102">
        <v>2</v>
      </c>
      <c r="K102">
        <f t="shared" si="18"/>
        <v>3</v>
      </c>
      <c r="L102" s="45">
        <f t="shared" si="19"/>
        <v>0</v>
      </c>
      <c r="M102" s="45">
        <f t="shared" si="20"/>
        <v>120</v>
      </c>
      <c r="N102">
        <f t="shared" si="21"/>
        <v>25</v>
      </c>
      <c r="O102" t="str">
        <f t="shared" si="22"/>
        <v>false</v>
      </c>
    </row>
    <row r="103" spans="1:15" ht="15.75" x14ac:dyDescent="0.3">
      <c r="A103" s="15" t="s">
        <v>3347</v>
      </c>
      <c r="B103" s="15">
        <f t="shared" si="13"/>
        <v>12</v>
      </c>
      <c r="C103" s="15">
        <v>9</v>
      </c>
      <c r="D103" s="15">
        <f t="shared" si="14"/>
        <v>9</v>
      </c>
      <c r="E103" s="15" t="s">
        <v>3313</v>
      </c>
      <c r="F103" s="15">
        <f t="shared" si="15"/>
        <v>20</v>
      </c>
      <c r="G103" s="15" t="str">
        <f t="shared" si="16"/>
        <v>[20]</v>
      </c>
      <c r="H103">
        <v>0</v>
      </c>
      <c r="I103">
        <f t="shared" si="17"/>
        <v>34</v>
      </c>
      <c r="J103">
        <v>3</v>
      </c>
      <c r="K103">
        <f t="shared" si="18"/>
        <v>3</v>
      </c>
      <c r="L103" s="45">
        <f t="shared" si="19"/>
        <v>0</v>
      </c>
      <c r="M103" s="45">
        <f t="shared" si="20"/>
        <v>360</v>
      </c>
      <c r="N103">
        <f t="shared" si="21"/>
        <v>30</v>
      </c>
      <c r="O103" t="str">
        <f t="shared" si="22"/>
        <v>false</v>
      </c>
    </row>
    <row r="104" spans="1:15" ht="15.75" x14ac:dyDescent="0.3">
      <c r="A104" s="15" t="s">
        <v>3348</v>
      </c>
      <c r="B104" s="15">
        <f t="shared" si="13"/>
        <v>8</v>
      </c>
      <c r="C104" s="15">
        <v>0</v>
      </c>
      <c r="D104" s="15">
        <f t="shared" si="14"/>
        <v>8</v>
      </c>
      <c r="E104" s="15" t="s">
        <v>3313</v>
      </c>
      <c r="F104" s="15">
        <f t="shared" si="15"/>
        <v>20</v>
      </c>
      <c r="G104" s="15" t="str">
        <f t="shared" si="16"/>
        <v>[20]</v>
      </c>
      <c r="H104">
        <v>1</v>
      </c>
      <c r="I104">
        <f t="shared" si="17"/>
        <v>35</v>
      </c>
      <c r="J104">
        <v>1</v>
      </c>
      <c r="K104">
        <f t="shared" si="18"/>
        <v>3</v>
      </c>
      <c r="L104" s="45">
        <f t="shared" si="19"/>
        <v>40</v>
      </c>
      <c r="M104" s="45">
        <f t="shared" si="20"/>
        <v>40</v>
      </c>
      <c r="N104">
        <f t="shared" si="21"/>
        <v>20</v>
      </c>
      <c r="O104" t="str">
        <f t="shared" si="22"/>
        <v>true</v>
      </c>
    </row>
    <row r="105" spans="1:15" ht="15.75" x14ac:dyDescent="0.3">
      <c r="A105" s="15" t="s">
        <v>3348</v>
      </c>
      <c r="B105" s="15">
        <f t="shared" si="13"/>
        <v>24</v>
      </c>
      <c r="C105" s="15">
        <v>0</v>
      </c>
      <c r="D105" s="15">
        <f t="shared" si="14"/>
        <v>25</v>
      </c>
      <c r="E105" s="15" t="s">
        <v>3313</v>
      </c>
      <c r="F105" s="15">
        <f t="shared" si="15"/>
        <v>20</v>
      </c>
      <c r="G105" s="15" t="str">
        <f t="shared" si="16"/>
        <v>[20]</v>
      </c>
      <c r="H105">
        <v>1</v>
      </c>
      <c r="I105">
        <f t="shared" si="17"/>
        <v>35</v>
      </c>
      <c r="J105">
        <v>2</v>
      </c>
      <c r="K105">
        <f t="shared" si="18"/>
        <v>3</v>
      </c>
      <c r="L105" s="45">
        <f t="shared" si="19"/>
        <v>124.99999999999999</v>
      </c>
      <c r="M105" s="45">
        <f t="shared" si="20"/>
        <v>120</v>
      </c>
      <c r="N105">
        <f t="shared" si="21"/>
        <v>25</v>
      </c>
      <c r="O105" t="str">
        <f t="shared" si="22"/>
        <v>true</v>
      </c>
    </row>
    <row r="106" spans="1:15" ht="15.75" x14ac:dyDescent="0.3">
      <c r="A106" s="15" t="s">
        <v>3348</v>
      </c>
      <c r="B106" s="15">
        <f t="shared" si="13"/>
        <v>72</v>
      </c>
      <c r="C106" s="15">
        <v>0</v>
      </c>
      <c r="D106" s="15">
        <f t="shared" si="14"/>
        <v>75</v>
      </c>
      <c r="E106" s="15" t="s">
        <v>3313</v>
      </c>
      <c r="F106" s="15">
        <f t="shared" si="15"/>
        <v>20</v>
      </c>
      <c r="G106" s="15" t="str">
        <f t="shared" si="16"/>
        <v>[20]</v>
      </c>
      <c r="H106">
        <v>1</v>
      </c>
      <c r="I106">
        <f t="shared" si="17"/>
        <v>35</v>
      </c>
      <c r="J106">
        <v>3</v>
      </c>
      <c r="K106">
        <f t="shared" si="18"/>
        <v>3</v>
      </c>
      <c r="L106" s="45">
        <f t="shared" si="19"/>
        <v>375</v>
      </c>
      <c r="M106" s="45">
        <f t="shared" si="20"/>
        <v>360</v>
      </c>
      <c r="N106">
        <f t="shared" si="21"/>
        <v>30</v>
      </c>
      <c r="O106" t="str">
        <f t="shared" si="22"/>
        <v>true</v>
      </c>
    </row>
    <row r="107" spans="1:15" ht="15.75" x14ac:dyDescent="0.3">
      <c r="A107" s="15" t="s">
        <v>3349</v>
      </c>
      <c r="B107" s="15">
        <f t="shared" si="13"/>
        <v>4</v>
      </c>
      <c r="C107" s="15">
        <v>0</v>
      </c>
      <c r="D107" s="15">
        <f t="shared" si="14"/>
        <v>4</v>
      </c>
      <c r="E107" s="15" t="s">
        <v>3313</v>
      </c>
      <c r="F107" s="15">
        <f t="shared" si="15"/>
        <v>20</v>
      </c>
      <c r="G107" s="15" t="str">
        <f t="shared" si="16"/>
        <v>[20]</v>
      </c>
      <c r="H107">
        <v>1</v>
      </c>
      <c r="I107">
        <f t="shared" si="17"/>
        <v>36</v>
      </c>
      <c r="J107">
        <v>1</v>
      </c>
      <c r="K107">
        <f t="shared" si="18"/>
        <v>3</v>
      </c>
      <c r="L107" s="45">
        <f t="shared" si="19"/>
        <v>40</v>
      </c>
      <c r="M107" s="45">
        <f t="shared" si="20"/>
        <v>40</v>
      </c>
      <c r="N107">
        <f t="shared" si="21"/>
        <v>20</v>
      </c>
      <c r="O107" t="str">
        <f t="shared" si="22"/>
        <v>true</v>
      </c>
    </row>
    <row r="108" spans="1:15" ht="15.75" x14ac:dyDescent="0.3">
      <c r="A108" s="15" t="s">
        <v>3349</v>
      </c>
      <c r="B108" s="15">
        <f t="shared" si="13"/>
        <v>12</v>
      </c>
      <c r="C108" s="15">
        <v>0</v>
      </c>
      <c r="D108" s="15">
        <f t="shared" si="14"/>
        <v>12</v>
      </c>
      <c r="E108" s="15" t="s">
        <v>3313</v>
      </c>
      <c r="F108" s="15">
        <f t="shared" si="15"/>
        <v>20</v>
      </c>
      <c r="G108" s="15" t="str">
        <f t="shared" si="16"/>
        <v>[20]</v>
      </c>
      <c r="H108">
        <v>1</v>
      </c>
      <c r="I108">
        <f t="shared" si="17"/>
        <v>36</v>
      </c>
      <c r="J108">
        <v>2</v>
      </c>
      <c r="K108">
        <f t="shared" si="18"/>
        <v>3</v>
      </c>
      <c r="L108" s="45">
        <f t="shared" si="19"/>
        <v>119.99999999999999</v>
      </c>
      <c r="M108" s="45">
        <f t="shared" si="20"/>
        <v>120</v>
      </c>
      <c r="N108">
        <f t="shared" si="21"/>
        <v>25</v>
      </c>
      <c r="O108" t="str">
        <f t="shared" si="22"/>
        <v>true</v>
      </c>
    </row>
    <row r="109" spans="1:15" ht="15.75" x14ac:dyDescent="0.3">
      <c r="A109" s="15" t="s">
        <v>3349</v>
      </c>
      <c r="B109" s="15">
        <f t="shared" si="13"/>
        <v>36</v>
      </c>
      <c r="C109" s="15">
        <v>0</v>
      </c>
      <c r="D109" s="15">
        <f t="shared" si="14"/>
        <v>40</v>
      </c>
      <c r="E109" s="15" t="s">
        <v>3313</v>
      </c>
      <c r="F109" s="15">
        <f t="shared" si="15"/>
        <v>20</v>
      </c>
      <c r="G109" s="15" t="str">
        <f t="shared" si="16"/>
        <v>[20]</v>
      </c>
      <c r="H109">
        <v>1</v>
      </c>
      <c r="I109">
        <f t="shared" si="17"/>
        <v>36</v>
      </c>
      <c r="J109">
        <v>3</v>
      </c>
      <c r="K109">
        <f t="shared" si="18"/>
        <v>3</v>
      </c>
      <c r="L109" s="45">
        <f t="shared" si="19"/>
        <v>400</v>
      </c>
      <c r="M109" s="45">
        <f t="shared" si="20"/>
        <v>360</v>
      </c>
      <c r="N109">
        <f t="shared" si="21"/>
        <v>30</v>
      </c>
      <c r="O109" t="str">
        <f t="shared" si="22"/>
        <v>true</v>
      </c>
    </row>
    <row r="110" spans="1:15" ht="15.75" x14ac:dyDescent="0.3">
      <c r="A110" s="15" t="s">
        <v>3350</v>
      </c>
      <c r="B110" s="15">
        <f t="shared" si="13"/>
        <v>3000</v>
      </c>
      <c r="C110" s="15">
        <v>6000</v>
      </c>
      <c r="D110" s="15">
        <f t="shared" si="14"/>
        <v>6000</v>
      </c>
      <c r="E110" s="15" t="s">
        <v>3313</v>
      </c>
      <c r="F110" s="15">
        <f t="shared" si="15"/>
        <v>5</v>
      </c>
      <c r="G110" s="15" t="str">
        <f t="shared" si="16"/>
        <v>[5]</v>
      </c>
      <c r="H110">
        <v>1</v>
      </c>
      <c r="I110">
        <f t="shared" si="17"/>
        <v>37</v>
      </c>
      <c r="J110">
        <v>1</v>
      </c>
      <c r="K110">
        <f t="shared" si="18"/>
        <v>1</v>
      </c>
      <c r="L110" s="45">
        <f t="shared" si="19"/>
        <v>40</v>
      </c>
      <c r="M110" s="45">
        <f t="shared" si="20"/>
        <v>20</v>
      </c>
      <c r="N110">
        <f t="shared" si="21"/>
        <v>5</v>
      </c>
      <c r="O110" t="str">
        <f t="shared" si="22"/>
        <v>true</v>
      </c>
    </row>
    <row r="111" spans="1:15" ht="15.75" x14ac:dyDescent="0.3">
      <c r="A111" s="15" t="s">
        <v>3350</v>
      </c>
      <c r="B111" s="15">
        <f t="shared" si="13"/>
        <v>9000</v>
      </c>
      <c r="C111" s="15">
        <v>10000</v>
      </c>
      <c r="D111" s="15">
        <f t="shared" si="14"/>
        <v>10000</v>
      </c>
      <c r="E111" s="15" t="s">
        <v>3313</v>
      </c>
      <c r="F111" s="15">
        <f t="shared" si="15"/>
        <v>5</v>
      </c>
      <c r="G111" s="15" t="str">
        <f t="shared" si="16"/>
        <v>[5]</v>
      </c>
      <c r="H111">
        <v>1</v>
      </c>
      <c r="I111">
        <f t="shared" si="17"/>
        <v>37</v>
      </c>
      <c r="J111">
        <v>2</v>
      </c>
      <c r="K111">
        <f t="shared" si="18"/>
        <v>1</v>
      </c>
      <c r="L111" s="45">
        <f t="shared" si="19"/>
        <v>66.666666666666671</v>
      </c>
      <c r="M111" s="45">
        <f t="shared" si="20"/>
        <v>60</v>
      </c>
      <c r="N111">
        <f t="shared" si="21"/>
        <v>10</v>
      </c>
      <c r="O111" t="str">
        <f t="shared" si="22"/>
        <v>true</v>
      </c>
    </row>
    <row r="112" spans="1:15" ht="15.75" x14ac:dyDescent="0.3">
      <c r="A112" s="15" t="s">
        <v>3350</v>
      </c>
      <c r="B112" s="15">
        <f t="shared" si="13"/>
        <v>22500</v>
      </c>
      <c r="C112" s="15">
        <v>20000</v>
      </c>
      <c r="D112" s="15">
        <f t="shared" si="14"/>
        <v>20000</v>
      </c>
      <c r="E112" s="15" t="s">
        <v>3313</v>
      </c>
      <c r="F112" s="15">
        <f t="shared" si="15"/>
        <v>5</v>
      </c>
      <c r="G112" s="15" t="str">
        <f t="shared" si="16"/>
        <v>[5]</v>
      </c>
      <c r="H112">
        <v>1</v>
      </c>
      <c r="I112">
        <f t="shared" si="17"/>
        <v>37</v>
      </c>
      <c r="J112">
        <v>3</v>
      </c>
      <c r="K112">
        <f t="shared" si="18"/>
        <v>1</v>
      </c>
      <c r="L112" s="45">
        <f t="shared" si="19"/>
        <v>133.33333333333334</v>
      </c>
      <c r="M112" s="45">
        <f t="shared" si="20"/>
        <v>150</v>
      </c>
      <c r="N112">
        <f t="shared" si="21"/>
        <v>15</v>
      </c>
      <c r="O112" t="str">
        <f t="shared" si="22"/>
        <v>true</v>
      </c>
    </row>
    <row r="113" spans="1:15" ht="15.75" x14ac:dyDescent="0.3">
      <c r="A113" s="15" t="s">
        <v>3112</v>
      </c>
      <c r="B113" s="15">
        <f t="shared" si="13"/>
        <v>20</v>
      </c>
      <c r="C113" s="15">
        <v>0</v>
      </c>
      <c r="D113" s="15">
        <f t="shared" si="14"/>
        <v>20</v>
      </c>
      <c r="E113" s="15" t="s">
        <v>3313</v>
      </c>
      <c r="F113" s="15">
        <f t="shared" si="15"/>
        <v>5</v>
      </c>
      <c r="G113" s="15" t="str">
        <f t="shared" si="16"/>
        <v>[5]</v>
      </c>
      <c r="H113">
        <v>1</v>
      </c>
      <c r="I113">
        <f t="shared" si="17"/>
        <v>38</v>
      </c>
      <c r="J113">
        <v>1</v>
      </c>
      <c r="K113">
        <f t="shared" si="18"/>
        <v>1</v>
      </c>
      <c r="L113" s="45">
        <f t="shared" si="19"/>
        <v>20</v>
      </c>
      <c r="M113" s="45">
        <f t="shared" si="20"/>
        <v>20</v>
      </c>
      <c r="N113">
        <f t="shared" si="21"/>
        <v>5</v>
      </c>
      <c r="O113" t="str">
        <f t="shared" si="22"/>
        <v>true</v>
      </c>
    </row>
    <row r="114" spans="1:15" ht="15.75" x14ac:dyDescent="0.3">
      <c r="A114" s="15" t="s">
        <v>3112</v>
      </c>
      <c r="B114" s="15">
        <f t="shared" si="13"/>
        <v>60</v>
      </c>
      <c r="C114" s="15">
        <v>0</v>
      </c>
      <c r="D114" s="15">
        <f t="shared" si="14"/>
        <v>60</v>
      </c>
      <c r="E114" s="15" t="s">
        <v>3313</v>
      </c>
      <c r="F114" s="15">
        <f t="shared" si="15"/>
        <v>5</v>
      </c>
      <c r="G114" s="15" t="str">
        <f t="shared" si="16"/>
        <v>[5]</v>
      </c>
      <c r="H114">
        <v>1</v>
      </c>
      <c r="I114">
        <f t="shared" si="17"/>
        <v>38</v>
      </c>
      <c r="J114">
        <v>2</v>
      </c>
      <c r="K114">
        <f t="shared" si="18"/>
        <v>1</v>
      </c>
      <c r="L114" s="45">
        <f t="shared" si="19"/>
        <v>60</v>
      </c>
      <c r="M114" s="45">
        <f t="shared" si="20"/>
        <v>60</v>
      </c>
      <c r="N114">
        <f t="shared" si="21"/>
        <v>10</v>
      </c>
      <c r="O114" t="str">
        <f t="shared" si="22"/>
        <v>true</v>
      </c>
    </row>
    <row r="115" spans="1:15" ht="15.75" x14ac:dyDescent="0.3">
      <c r="A115" s="15" t="s">
        <v>3112</v>
      </c>
      <c r="B115" s="15">
        <f t="shared" si="13"/>
        <v>150</v>
      </c>
      <c r="C115" s="15">
        <v>0</v>
      </c>
      <c r="D115" s="15">
        <f t="shared" si="14"/>
        <v>200</v>
      </c>
      <c r="E115" s="15" t="s">
        <v>3313</v>
      </c>
      <c r="F115" s="15">
        <f t="shared" si="15"/>
        <v>5</v>
      </c>
      <c r="G115" s="15" t="str">
        <f t="shared" si="16"/>
        <v>[5]</v>
      </c>
      <c r="H115">
        <v>1</v>
      </c>
      <c r="I115">
        <f t="shared" si="17"/>
        <v>38</v>
      </c>
      <c r="J115">
        <v>3</v>
      </c>
      <c r="K115">
        <f t="shared" si="18"/>
        <v>1</v>
      </c>
      <c r="L115" s="45">
        <f t="shared" si="19"/>
        <v>200</v>
      </c>
      <c r="M115" s="45">
        <f t="shared" si="20"/>
        <v>150</v>
      </c>
      <c r="N115">
        <f t="shared" si="21"/>
        <v>15</v>
      </c>
      <c r="O115" t="str">
        <f t="shared" si="22"/>
        <v>true</v>
      </c>
    </row>
    <row r="116" spans="1:15" ht="15.75" x14ac:dyDescent="0.3">
      <c r="A116" s="15" t="s">
        <v>3351</v>
      </c>
      <c r="B116" s="15">
        <f t="shared" si="13"/>
        <v>0.39999999999999997</v>
      </c>
      <c r="C116" s="15">
        <v>0</v>
      </c>
      <c r="D116" s="15">
        <f t="shared" si="14"/>
        <v>1</v>
      </c>
      <c r="E116" s="15" t="s">
        <v>3313</v>
      </c>
      <c r="F116" s="15">
        <f t="shared" si="15"/>
        <v>20</v>
      </c>
      <c r="G116" s="15" t="str">
        <f t="shared" si="16"/>
        <v>[20]</v>
      </c>
      <c r="H116">
        <v>0</v>
      </c>
      <c r="I116">
        <f t="shared" si="17"/>
        <v>39</v>
      </c>
      <c r="J116">
        <v>1</v>
      </c>
      <c r="K116">
        <f t="shared" si="18"/>
        <v>3</v>
      </c>
      <c r="L116" s="45">
        <f t="shared" si="19"/>
        <v>0</v>
      </c>
      <c r="M116" s="45">
        <f t="shared" si="20"/>
        <v>40</v>
      </c>
      <c r="N116">
        <f t="shared" si="21"/>
        <v>20</v>
      </c>
      <c r="O116" t="str">
        <f t="shared" si="22"/>
        <v>false</v>
      </c>
    </row>
    <row r="117" spans="1:15" ht="15.75" x14ac:dyDescent="0.3">
      <c r="A117" s="15" t="s">
        <v>3351</v>
      </c>
      <c r="B117" s="15">
        <f t="shared" si="13"/>
        <v>1.2</v>
      </c>
      <c r="C117" s="15">
        <v>0</v>
      </c>
      <c r="D117" s="15">
        <f t="shared" si="14"/>
        <v>2</v>
      </c>
      <c r="E117" s="15" t="s">
        <v>3313</v>
      </c>
      <c r="F117" s="15">
        <f t="shared" si="15"/>
        <v>20</v>
      </c>
      <c r="G117" s="15" t="str">
        <f t="shared" si="16"/>
        <v>[20]</v>
      </c>
      <c r="H117">
        <v>0</v>
      </c>
      <c r="I117">
        <f t="shared" si="17"/>
        <v>39</v>
      </c>
      <c r="J117">
        <v>2</v>
      </c>
      <c r="K117">
        <f t="shared" si="18"/>
        <v>3</v>
      </c>
      <c r="L117" s="45">
        <f t="shared" si="19"/>
        <v>0</v>
      </c>
      <c r="M117" s="45">
        <f t="shared" si="20"/>
        <v>120</v>
      </c>
      <c r="N117">
        <f t="shared" si="21"/>
        <v>25</v>
      </c>
      <c r="O117" t="str">
        <f t="shared" si="22"/>
        <v>false</v>
      </c>
    </row>
    <row r="118" spans="1:15" ht="15.75" x14ac:dyDescent="0.3">
      <c r="A118" s="15" t="s">
        <v>3351</v>
      </c>
      <c r="B118" s="15">
        <f t="shared" si="13"/>
        <v>3.6</v>
      </c>
      <c r="C118" s="15">
        <v>0</v>
      </c>
      <c r="D118" s="15">
        <f t="shared" si="14"/>
        <v>4</v>
      </c>
      <c r="E118" s="15" t="s">
        <v>3313</v>
      </c>
      <c r="F118" s="15">
        <f t="shared" si="15"/>
        <v>20</v>
      </c>
      <c r="G118" s="15" t="str">
        <f t="shared" si="16"/>
        <v>[20]</v>
      </c>
      <c r="H118">
        <v>0</v>
      </c>
      <c r="I118">
        <f t="shared" si="17"/>
        <v>39</v>
      </c>
      <c r="J118">
        <v>3</v>
      </c>
      <c r="K118">
        <f t="shared" si="18"/>
        <v>3</v>
      </c>
      <c r="L118" s="45">
        <f t="shared" si="19"/>
        <v>0</v>
      </c>
      <c r="M118" s="45">
        <f t="shared" si="20"/>
        <v>360</v>
      </c>
      <c r="N118">
        <f t="shared" si="21"/>
        <v>30</v>
      </c>
      <c r="O118" t="str">
        <f t="shared" si="22"/>
        <v>false</v>
      </c>
    </row>
    <row r="119" spans="1:15" ht="15.75" x14ac:dyDescent="0.3">
      <c r="A119" s="15" t="s">
        <v>3352</v>
      </c>
      <c r="B119" s="15">
        <f t="shared" si="13"/>
        <v>0.39999999999999997</v>
      </c>
      <c r="C119" s="15">
        <v>0</v>
      </c>
      <c r="D119" s="15">
        <f t="shared" si="14"/>
        <v>1</v>
      </c>
      <c r="E119" s="15" t="s">
        <v>3313</v>
      </c>
      <c r="F119" s="15">
        <f t="shared" si="15"/>
        <v>20</v>
      </c>
      <c r="G119" s="15" t="str">
        <f t="shared" si="16"/>
        <v>[20]</v>
      </c>
      <c r="H119">
        <v>0</v>
      </c>
      <c r="I119">
        <f t="shared" si="17"/>
        <v>40</v>
      </c>
      <c r="J119">
        <v>1</v>
      </c>
      <c r="K119">
        <f t="shared" si="18"/>
        <v>3</v>
      </c>
      <c r="L119" s="45">
        <f t="shared" si="19"/>
        <v>0</v>
      </c>
      <c r="M119" s="45">
        <f t="shared" si="20"/>
        <v>40</v>
      </c>
      <c r="N119">
        <f t="shared" si="21"/>
        <v>20</v>
      </c>
      <c r="O119" t="str">
        <f t="shared" si="22"/>
        <v>false</v>
      </c>
    </row>
    <row r="120" spans="1:15" ht="15.75" x14ac:dyDescent="0.3">
      <c r="A120" s="15" t="s">
        <v>3352</v>
      </c>
      <c r="B120" s="15">
        <f t="shared" si="13"/>
        <v>1.2</v>
      </c>
      <c r="C120" s="15">
        <v>0</v>
      </c>
      <c r="D120" s="15">
        <f t="shared" si="14"/>
        <v>2</v>
      </c>
      <c r="E120" s="15" t="s">
        <v>3313</v>
      </c>
      <c r="F120" s="15">
        <f t="shared" si="15"/>
        <v>20</v>
      </c>
      <c r="G120" s="15" t="str">
        <f t="shared" si="16"/>
        <v>[20]</v>
      </c>
      <c r="H120">
        <v>0</v>
      </c>
      <c r="I120">
        <f t="shared" si="17"/>
        <v>40</v>
      </c>
      <c r="J120">
        <v>2</v>
      </c>
      <c r="K120">
        <f t="shared" si="18"/>
        <v>3</v>
      </c>
      <c r="L120" s="45">
        <f t="shared" si="19"/>
        <v>0</v>
      </c>
      <c r="M120" s="45">
        <f t="shared" si="20"/>
        <v>120</v>
      </c>
      <c r="N120">
        <f t="shared" si="21"/>
        <v>25</v>
      </c>
      <c r="O120" t="str">
        <f t="shared" si="22"/>
        <v>false</v>
      </c>
    </row>
    <row r="121" spans="1:15" ht="15.75" x14ac:dyDescent="0.3">
      <c r="A121" s="15" t="s">
        <v>3352</v>
      </c>
      <c r="B121" s="15">
        <f t="shared" si="13"/>
        <v>3.6</v>
      </c>
      <c r="C121" s="15">
        <v>0</v>
      </c>
      <c r="D121" s="15">
        <f t="shared" si="14"/>
        <v>4</v>
      </c>
      <c r="E121" s="15" t="s">
        <v>3313</v>
      </c>
      <c r="F121" s="15">
        <f t="shared" si="15"/>
        <v>20</v>
      </c>
      <c r="G121" s="15" t="str">
        <f t="shared" si="16"/>
        <v>[20]</v>
      </c>
      <c r="H121">
        <v>0</v>
      </c>
      <c r="I121">
        <f t="shared" si="17"/>
        <v>40</v>
      </c>
      <c r="J121">
        <v>3</v>
      </c>
      <c r="K121">
        <f t="shared" si="18"/>
        <v>3</v>
      </c>
      <c r="L121" s="45">
        <f t="shared" si="19"/>
        <v>0</v>
      </c>
      <c r="M121" s="45">
        <f t="shared" si="20"/>
        <v>360</v>
      </c>
      <c r="N121">
        <f t="shared" si="21"/>
        <v>30</v>
      </c>
      <c r="O121" t="str">
        <f t="shared" si="22"/>
        <v>false</v>
      </c>
    </row>
    <row r="122" spans="1:15" ht="15.75" x14ac:dyDescent="0.3">
      <c r="A122" s="15" t="s">
        <v>3353</v>
      </c>
      <c r="B122" s="15">
        <f t="shared" si="13"/>
        <v>30</v>
      </c>
      <c r="C122" s="15">
        <v>0</v>
      </c>
      <c r="D122" s="15">
        <f t="shared" si="14"/>
        <v>30</v>
      </c>
      <c r="E122" s="15" t="s">
        <v>3313</v>
      </c>
      <c r="F122" s="15">
        <f t="shared" si="15"/>
        <v>10</v>
      </c>
      <c r="G122" s="15" t="str">
        <f t="shared" si="16"/>
        <v>[10]</v>
      </c>
      <c r="H122">
        <v>1</v>
      </c>
      <c r="I122">
        <f t="shared" si="17"/>
        <v>41</v>
      </c>
      <c r="J122">
        <v>1</v>
      </c>
      <c r="K122">
        <f t="shared" si="18"/>
        <v>2</v>
      </c>
      <c r="L122" s="45">
        <f t="shared" si="19"/>
        <v>30</v>
      </c>
      <c r="M122" s="45">
        <f t="shared" si="20"/>
        <v>30</v>
      </c>
      <c r="N122">
        <f t="shared" si="21"/>
        <v>10</v>
      </c>
      <c r="O122" t="str">
        <f t="shared" si="22"/>
        <v>true</v>
      </c>
    </row>
    <row r="123" spans="1:15" ht="15.75" x14ac:dyDescent="0.3">
      <c r="A123" s="15" t="s">
        <v>3353</v>
      </c>
      <c r="B123" s="15">
        <f t="shared" si="13"/>
        <v>80</v>
      </c>
      <c r="C123" s="15">
        <v>0</v>
      </c>
      <c r="D123" s="15">
        <f t="shared" si="14"/>
        <v>80</v>
      </c>
      <c r="E123" s="15" t="s">
        <v>3313</v>
      </c>
      <c r="F123" s="15">
        <f t="shared" si="15"/>
        <v>10</v>
      </c>
      <c r="G123" s="15" t="str">
        <f t="shared" si="16"/>
        <v>[10]</v>
      </c>
      <c r="H123">
        <v>1</v>
      </c>
      <c r="I123">
        <f t="shared" si="17"/>
        <v>41</v>
      </c>
      <c r="J123">
        <v>2</v>
      </c>
      <c r="K123">
        <f t="shared" si="18"/>
        <v>2</v>
      </c>
      <c r="L123" s="45">
        <f t="shared" si="19"/>
        <v>80</v>
      </c>
      <c r="M123" s="45">
        <f t="shared" si="20"/>
        <v>80</v>
      </c>
      <c r="N123">
        <f t="shared" si="21"/>
        <v>15</v>
      </c>
      <c r="O123" t="str">
        <f t="shared" si="22"/>
        <v>true</v>
      </c>
    </row>
    <row r="124" spans="1:15" ht="15.75" x14ac:dyDescent="0.3">
      <c r="A124" s="15" t="s">
        <v>3353</v>
      </c>
      <c r="B124" s="15">
        <f t="shared" si="13"/>
        <v>200</v>
      </c>
      <c r="C124" s="15">
        <v>0</v>
      </c>
      <c r="D124" s="15">
        <f t="shared" si="14"/>
        <v>200</v>
      </c>
      <c r="E124" s="15" t="s">
        <v>3313</v>
      </c>
      <c r="F124" s="15">
        <f t="shared" si="15"/>
        <v>10</v>
      </c>
      <c r="G124" s="15" t="str">
        <f t="shared" si="16"/>
        <v>[10]</v>
      </c>
      <c r="H124">
        <v>1</v>
      </c>
      <c r="I124">
        <f t="shared" si="17"/>
        <v>41</v>
      </c>
      <c r="J124">
        <v>3</v>
      </c>
      <c r="K124">
        <f t="shared" si="18"/>
        <v>2</v>
      </c>
      <c r="L124" s="45">
        <f t="shared" si="19"/>
        <v>200</v>
      </c>
      <c r="M124" s="45">
        <f t="shared" si="20"/>
        <v>200</v>
      </c>
      <c r="N124">
        <f t="shared" si="21"/>
        <v>20</v>
      </c>
      <c r="O124" t="str">
        <f t="shared" si="22"/>
        <v>true</v>
      </c>
    </row>
  </sheetData>
  <phoneticPr fontId="32" type="noConversion"/>
  <conditionalFormatting sqref="L2:L124">
    <cfRule type="dataBar" priority="1">
      <dataBar>
        <cfvo type="min"/>
        <cfvo type="max"/>
        <color rgb="FFFFB628"/>
      </dataBar>
      <extLst>
        <ext xmlns:x14="http://schemas.microsoft.com/office/spreadsheetml/2009/9/main" uri="{B025F937-C7B1-47D3-B67F-A62EFF666E3E}">
          <x14:id>{B3AFA7DC-CEB4-41C4-B2A3-EE2923158E98}</x14:id>
        </ext>
      </extLst>
    </cfRule>
  </conditionalFormatting>
  <conditionalFormatting sqref="V2:V6">
    <cfRule type="dataBar" priority="2">
      <dataBar>
        <cfvo type="min"/>
        <cfvo type="max"/>
        <color rgb="FF63C384"/>
      </dataBar>
      <extLst>
        <ext xmlns:x14="http://schemas.microsoft.com/office/spreadsheetml/2009/9/main" uri="{B025F937-C7B1-47D3-B67F-A62EFF666E3E}">
          <x14:id>{76B698DB-1BF0-45B9-845A-1943665C12A5}</x14:id>
        </ext>
      </extLst>
    </cfRule>
  </conditionalFormatting>
  <conditionalFormatting sqref="L2:M124">
    <cfRule type="dataBar" priority="3">
      <dataBar>
        <cfvo type="min"/>
        <cfvo type="max"/>
        <color theme="8" tint="0.39994506668294322"/>
      </dataBar>
      <extLst>
        <ext xmlns:x14="http://schemas.microsoft.com/office/spreadsheetml/2009/9/main" uri="{B025F937-C7B1-47D3-B67F-A62EFF666E3E}">
          <x14:id>{3D08C00B-2AF1-4EB2-9061-A5742E59F830}</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B3AFA7DC-CEB4-41C4-B2A3-EE2923158E98}">
            <x14:dataBar minLength="0" maxLength="100" gradient="0">
              <x14:cfvo type="autoMin"/>
              <x14:cfvo type="autoMax"/>
              <x14:negativeFillColor rgb="FFFF0000"/>
              <x14:axisColor rgb="FF000000"/>
            </x14:dataBar>
          </x14:cfRule>
          <xm:sqref>L2:L124</xm:sqref>
        </x14:conditionalFormatting>
        <x14:conditionalFormatting xmlns:xm="http://schemas.microsoft.com/office/excel/2006/main">
          <x14:cfRule type="dataBar" id="{76B698DB-1BF0-45B9-845A-1943665C12A5}">
            <x14:dataBar minLength="0" maxLength="100" gradient="0">
              <x14:cfvo type="autoMin"/>
              <x14:cfvo type="autoMax"/>
              <x14:negativeFillColor rgb="FFFF0000"/>
              <x14:axisColor rgb="FF000000"/>
            </x14:dataBar>
          </x14:cfRule>
          <xm:sqref>V2:V6</xm:sqref>
        </x14:conditionalFormatting>
        <x14:conditionalFormatting xmlns:xm="http://schemas.microsoft.com/office/excel/2006/main">
          <x14:cfRule type="dataBar" id="{3D08C00B-2AF1-4EB2-9061-A5742E59F830}">
            <x14:dataBar minLength="0" maxLength="100" gradient="0">
              <x14:cfvo type="autoMin"/>
              <x14:cfvo type="autoMax"/>
              <x14:negativeFillColor rgb="FFFF0000"/>
              <x14:axisColor rgb="FF000000"/>
            </x14:dataBar>
          </x14:cfRule>
          <xm:sqref>L2:M124</xm:sqref>
        </x14:conditionalFormatting>
      </x14:conditionalFormattings>
    </ext>
  </extLst>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33"/>
  <dimension ref="A1:BB47"/>
  <sheetViews>
    <sheetView tabSelected="1" topLeftCell="AA1" workbookViewId="0">
      <selection activeCell="AM1" sqref="AM1"/>
    </sheetView>
  </sheetViews>
  <sheetFormatPr defaultColWidth="9" defaultRowHeight="14.25" x14ac:dyDescent="0.3"/>
  <cols>
    <col min="1" max="25" width="9" style="1" hidden="1" customWidth="1"/>
    <col min="26" max="26" width="2.875" style="1" hidden="1" customWidth="1"/>
    <col min="27" max="27" width="34.875" style="1" customWidth="1"/>
    <col min="28" max="38" width="9" style="1"/>
    <col min="39" max="39" width="23.125" style="1" bestFit="1" customWidth="1"/>
    <col min="40" max="41" width="9" style="1"/>
    <col min="42" max="43" width="11" style="1" customWidth="1"/>
    <col min="44" max="47" width="9" style="1"/>
    <col min="48" max="48" width="29.125" style="1" customWidth="1"/>
    <col min="49" max="16384" width="9" style="1"/>
  </cols>
  <sheetData>
    <row r="1" spans="2:54" x14ac:dyDescent="0.3">
      <c r="AA1" s="43" t="s">
        <v>3014</v>
      </c>
      <c r="AB1" s="43" t="s">
        <v>268</v>
      </c>
      <c r="AM1" s="107" t="s">
        <v>4136</v>
      </c>
      <c r="AR1" s="337" t="s">
        <v>4172</v>
      </c>
      <c r="AS1" s="337">
        <v>10</v>
      </c>
      <c r="AV1" s="44" t="s">
        <v>4205</v>
      </c>
      <c r="AW1" s="44" t="s">
        <v>4206</v>
      </c>
      <c r="AX1" s="44" t="s">
        <v>4207</v>
      </c>
      <c r="AY1" s="44" t="s">
        <v>4208</v>
      </c>
      <c r="BA1" s="337" t="s">
        <v>4191</v>
      </c>
      <c r="BB1" s="337">
        <v>10</v>
      </c>
    </row>
    <row r="2" spans="2:54" x14ac:dyDescent="0.3">
      <c r="B2" s="2" t="s">
        <v>3354</v>
      </c>
      <c r="C2" s="2">
        <f>SUM(C12:E15)</f>
        <v>600</v>
      </c>
      <c r="AA2" s="3" t="s">
        <v>3355</v>
      </c>
      <c r="AB2" s="2">
        <v>100</v>
      </c>
      <c r="AC2" s="1" t="str">
        <f t="shared" ref="AC2:AC17" si="0">"[10,"&amp;AB2&amp;"]"</f>
        <v>[10,100]</v>
      </c>
      <c r="AR2" s="337" t="s">
        <v>4174</v>
      </c>
      <c r="AS2" s="337">
        <v>0.7</v>
      </c>
      <c r="AV2" s="337" t="s">
        <v>4192</v>
      </c>
      <c r="AW2" s="337">
        <v>10</v>
      </c>
      <c r="AX2" s="337">
        <f>AW2*$BB$1</f>
        <v>100</v>
      </c>
      <c r="AY2" s="142">
        <v>0.03</v>
      </c>
    </row>
    <row r="3" spans="2:54" x14ac:dyDescent="0.3">
      <c r="B3" s="2" t="s">
        <v>3356</v>
      </c>
      <c r="C3" s="41">
        <v>0.3</v>
      </c>
      <c r="AA3" s="3" t="s">
        <v>3357</v>
      </c>
      <c r="AB3" s="2">
        <v>120</v>
      </c>
      <c r="AC3" s="1" t="str">
        <f t="shared" si="0"/>
        <v>[10,120]</v>
      </c>
      <c r="AM3" s="44" t="s">
        <v>4169</v>
      </c>
      <c r="AN3" s="44" t="s">
        <v>4170</v>
      </c>
      <c r="AO3" s="44" t="s">
        <v>4171</v>
      </c>
      <c r="AP3" s="337" t="s">
        <v>4173</v>
      </c>
      <c r="AR3" s="337" t="s">
        <v>4175</v>
      </c>
      <c r="AS3" s="337">
        <v>0.2</v>
      </c>
      <c r="AV3" s="337" t="s">
        <v>4193</v>
      </c>
      <c r="AW3" s="337">
        <v>10</v>
      </c>
      <c r="AX3" s="337">
        <f t="shared" ref="AX3:AX13" si="1">AW3*$BB$1</f>
        <v>100</v>
      </c>
      <c r="AY3" s="142">
        <v>0.03</v>
      </c>
    </row>
    <row r="4" spans="2:54" x14ac:dyDescent="0.3">
      <c r="B4" s="2" t="s">
        <v>3358</v>
      </c>
      <c r="C4" s="42">
        <f>C3*C2</f>
        <v>180</v>
      </c>
      <c r="AA4" s="3" t="s">
        <v>3359</v>
      </c>
      <c r="AB4" s="2">
        <v>200</v>
      </c>
      <c r="AC4" s="1" t="str">
        <f t="shared" si="0"/>
        <v>[10,200]</v>
      </c>
      <c r="AM4" s="3" t="s">
        <v>4162</v>
      </c>
      <c r="AN4" s="337">
        <v>3</v>
      </c>
      <c r="AO4" s="337">
        <v>1</v>
      </c>
      <c r="AP4" s="337">
        <v>0.7</v>
      </c>
      <c r="AQ4" s="1">
        <f>1-AP4</f>
        <v>0.30000000000000004</v>
      </c>
      <c r="AR4" s="337" t="s">
        <v>4185</v>
      </c>
      <c r="AS4" s="337">
        <v>0.2</v>
      </c>
      <c r="AV4" s="337" t="s">
        <v>4194</v>
      </c>
      <c r="AW4" s="337">
        <v>20</v>
      </c>
      <c r="AX4" s="337">
        <f t="shared" si="1"/>
        <v>200</v>
      </c>
      <c r="AY4" s="142">
        <v>0.08</v>
      </c>
    </row>
    <row r="5" spans="2:54" x14ac:dyDescent="0.3">
      <c r="B5" s="2" t="s">
        <v>3360</v>
      </c>
      <c r="C5" s="42" t="e">
        <f>#REF!</f>
        <v>#REF!</v>
      </c>
      <c r="AA5" s="3" t="s">
        <v>3361</v>
      </c>
      <c r="AB5" s="2">
        <v>800</v>
      </c>
      <c r="AC5" s="1" t="str">
        <f t="shared" si="0"/>
        <v>[10,800]</v>
      </c>
      <c r="AM5" s="3" t="s">
        <v>4163</v>
      </c>
      <c r="AN5" s="337">
        <v>3</v>
      </c>
      <c r="AO5" s="337">
        <v>1</v>
      </c>
      <c r="AP5" s="337">
        <f>AS2</f>
        <v>0.7</v>
      </c>
      <c r="AQ5" s="1">
        <f t="shared" ref="AQ5:AQ10" si="2">1-AP5</f>
        <v>0.30000000000000004</v>
      </c>
      <c r="AV5" s="337" t="s">
        <v>4196</v>
      </c>
      <c r="AW5" s="337">
        <v>20</v>
      </c>
      <c r="AX5" s="337">
        <f t="shared" si="1"/>
        <v>200</v>
      </c>
      <c r="AY5" s="142">
        <v>0.08</v>
      </c>
    </row>
    <row r="6" spans="2:54" x14ac:dyDescent="0.3">
      <c r="B6" s="2" t="s">
        <v>3362</v>
      </c>
      <c r="C6" s="2">
        <f>(H19*D19+H20*D20+H21*D21+H22*D22)/(C19*D19+C20*D20+C21*D21+C22*D22)</f>
        <v>5.416666666666667</v>
      </c>
      <c r="AA6" s="3" t="s">
        <v>3363</v>
      </c>
      <c r="AB6" s="2">
        <v>150</v>
      </c>
      <c r="AC6" s="1" t="str">
        <f t="shared" si="0"/>
        <v>[10,150]</v>
      </c>
      <c r="AM6" s="3" t="s">
        <v>4164</v>
      </c>
      <c r="AN6" s="337">
        <v>3</v>
      </c>
      <c r="AO6" s="337">
        <v>1</v>
      </c>
      <c r="AP6" s="337">
        <f>AS2</f>
        <v>0.7</v>
      </c>
      <c r="AQ6" s="1">
        <f t="shared" si="2"/>
        <v>0.30000000000000004</v>
      </c>
      <c r="AV6" s="337" t="s">
        <v>4195</v>
      </c>
      <c r="AW6" s="337">
        <v>100</v>
      </c>
      <c r="AX6" s="337">
        <f t="shared" si="1"/>
        <v>1000</v>
      </c>
      <c r="AY6" s="142">
        <v>0.2</v>
      </c>
    </row>
    <row r="7" spans="2:54" x14ac:dyDescent="0.3">
      <c r="B7" s="2" t="s">
        <v>3364</v>
      </c>
      <c r="C7" s="42" t="e">
        <f>C2/C5</f>
        <v>#REF!</v>
      </c>
      <c r="AA7" s="3" t="s">
        <v>3365</v>
      </c>
      <c r="AB7" s="2">
        <v>500</v>
      </c>
      <c r="AC7" s="1" t="str">
        <f t="shared" si="0"/>
        <v>[10,500]</v>
      </c>
      <c r="AM7" s="3" t="s">
        <v>4165</v>
      </c>
      <c r="AN7" s="337">
        <v>10</v>
      </c>
      <c r="AO7" s="337">
        <v>0</v>
      </c>
      <c r="AP7" s="337">
        <f>POWER($AS$2,3)/3</f>
        <v>0.1143333333333333</v>
      </c>
      <c r="AQ7" s="1">
        <f t="shared" si="2"/>
        <v>0.88566666666666671</v>
      </c>
      <c r="AV7" s="337" t="s">
        <v>4197</v>
      </c>
      <c r="AW7" s="337">
        <v>100</v>
      </c>
      <c r="AX7" s="337">
        <f t="shared" si="1"/>
        <v>1000</v>
      </c>
      <c r="AY7" s="142">
        <v>0.2</v>
      </c>
    </row>
    <row r="8" spans="2:54" x14ac:dyDescent="0.3">
      <c r="B8" s="2" t="s">
        <v>3366</v>
      </c>
      <c r="C8" s="33">
        <v>3</v>
      </c>
      <c r="AA8" s="3" t="s">
        <v>3367</v>
      </c>
      <c r="AB8" s="2">
        <v>300</v>
      </c>
      <c r="AC8" s="1" t="str">
        <f t="shared" si="0"/>
        <v>[10,300]</v>
      </c>
      <c r="AM8" s="3" t="s">
        <v>4166</v>
      </c>
      <c r="AN8" s="337">
        <v>0</v>
      </c>
      <c r="AO8" s="337">
        <v>0</v>
      </c>
      <c r="AP8" s="337">
        <f>POWER($AS$2,3)/3</f>
        <v>0.1143333333333333</v>
      </c>
      <c r="AQ8" s="1">
        <f t="shared" si="2"/>
        <v>0.88566666666666671</v>
      </c>
      <c r="AV8" s="337" t="s">
        <v>4199</v>
      </c>
      <c r="AW8" s="337">
        <v>10</v>
      </c>
      <c r="AX8" s="337">
        <f>AW8*$BB$1</f>
        <v>100</v>
      </c>
      <c r="AY8" s="142">
        <v>0.03</v>
      </c>
    </row>
    <row r="9" spans="2:54" x14ac:dyDescent="0.3">
      <c r="AA9" s="3" t="s">
        <v>3368</v>
      </c>
      <c r="AB9" s="2">
        <v>250</v>
      </c>
      <c r="AC9" s="1" t="str">
        <f t="shared" si="0"/>
        <v>[10,250]</v>
      </c>
      <c r="AM9" s="3" t="s">
        <v>4167</v>
      </c>
      <c r="AN9" s="337">
        <v>15</v>
      </c>
      <c r="AO9" s="337">
        <v>0</v>
      </c>
      <c r="AP9" s="337">
        <v>0.1</v>
      </c>
      <c r="AQ9" s="1">
        <f t="shared" si="2"/>
        <v>0.9</v>
      </c>
      <c r="AV9" s="337" t="s">
        <v>4200</v>
      </c>
      <c r="AW9" s="337">
        <v>8</v>
      </c>
      <c r="AX9" s="337">
        <f t="shared" si="1"/>
        <v>80</v>
      </c>
      <c r="AY9" s="142">
        <v>0.03</v>
      </c>
    </row>
    <row r="10" spans="2:54" x14ac:dyDescent="0.3">
      <c r="B10" s="352" t="s">
        <v>3369</v>
      </c>
      <c r="C10" s="353"/>
      <c r="D10" s="353"/>
      <c r="E10" s="353"/>
      <c r="F10" s="354"/>
      <c r="G10" s="352" t="s">
        <v>3370</v>
      </c>
      <c r="H10" s="353"/>
      <c r="I10" s="354"/>
      <c r="AA10" s="3" t="s">
        <v>3371</v>
      </c>
      <c r="AB10" s="2">
        <v>200</v>
      </c>
      <c r="AC10" s="1" t="str">
        <f t="shared" si="0"/>
        <v>[10,200]</v>
      </c>
      <c r="AM10" s="3" t="s">
        <v>4168</v>
      </c>
      <c r="AN10" s="337">
        <v>30</v>
      </c>
      <c r="AO10" s="337">
        <v>0</v>
      </c>
      <c r="AP10" s="337">
        <f>POWER(AS4,3)/3</f>
        <v>2.6666666666666674E-3</v>
      </c>
      <c r="AQ10" s="1">
        <f t="shared" si="2"/>
        <v>0.99733333333333329</v>
      </c>
      <c r="AV10" s="337" t="s">
        <v>4201</v>
      </c>
      <c r="AW10" s="337">
        <v>20</v>
      </c>
      <c r="AX10" s="337">
        <f t="shared" si="1"/>
        <v>200</v>
      </c>
      <c r="AY10" s="142">
        <v>0.08</v>
      </c>
    </row>
    <row r="11" spans="2:54" x14ac:dyDescent="0.3">
      <c r="B11" s="2" t="s">
        <v>3031</v>
      </c>
      <c r="C11" s="2" t="s">
        <v>3372</v>
      </c>
      <c r="D11" s="2" t="s">
        <v>3373</v>
      </c>
      <c r="E11" s="2" t="s">
        <v>3374</v>
      </c>
      <c r="F11" s="2" t="s">
        <v>3375</v>
      </c>
      <c r="G11" s="2" t="s">
        <v>3376</v>
      </c>
      <c r="H11" s="2" t="s">
        <v>3377</v>
      </c>
      <c r="I11" s="2" t="s">
        <v>3378</v>
      </c>
      <c r="AA11" s="3" t="s">
        <v>3379</v>
      </c>
      <c r="AB11" s="2">
        <v>300</v>
      </c>
      <c r="AC11" s="1" t="str">
        <f t="shared" si="0"/>
        <v>[10,300]</v>
      </c>
      <c r="AV11" s="337" t="s">
        <v>4202</v>
      </c>
      <c r="AW11" s="337">
        <v>15</v>
      </c>
      <c r="AX11" s="337">
        <f t="shared" si="1"/>
        <v>150</v>
      </c>
      <c r="AY11" s="142">
        <v>0.08</v>
      </c>
    </row>
    <row r="12" spans="2:54" x14ac:dyDescent="0.3">
      <c r="B12" s="2" t="s">
        <v>3380</v>
      </c>
      <c r="C12" s="21">
        <v>10</v>
      </c>
      <c r="D12" s="21">
        <v>10</v>
      </c>
      <c r="E12" s="21">
        <v>10</v>
      </c>
      <c r="F12" s="2">
        <f>C12+D12+E12</f>
        <v>30</v>
      </c>
      <c r="G12" s="2"/>
      <c r="H12" s="2"/>
      <c r="I12" s="2"/>
      <c r="AA12" s="3" t="s">
        <v>3381</v>
      </c>
      <c r="AB12" s="2">
        <v>1000</v>
      </c>
      <c r="AC12" s="1" t="str">
        <f t="shared" si="0"/>
        <v>[10,1000]</v>
      </c>
      <c r="AV12" s="337" t="s">
        <v>4203</v>
      </c>
      <c r="AW12" s="337">
        <v>100</v>
      </c>
      <c r="AX12" s="337">
        <f t="shared" si="1"/>
        <v>1000</v>
      </c>
      <c r="AY12" s="142">
        <v>0.2</v>
      </c>
    </row>
    <row r="13" spans="2:54" x14ac:dyDescent="0.3">
      <c r="B13" s="2" t="s">
        <v>3382</v>
      </c>
      <c r="C13" s="21">
        <v>50</v>
      </c>
      <c r="D13" s="21">
        <v>50</v>
      </c>
      <c r="E13" s="21">
        <v>50</v>
      </c>
      <c r="F13" s="2">
        <f>C13+D13+E13</f>
        <v>150</v>
      </c>
      <c r="G13" s="34">
        <f>G14*$F$13/$F$14</f>
        <v>0.27777777777777779</v>
      </c>
      <c r="H13" s="34">
        <f>H14*$F$13/$F$14</f>
        <v>0.27777777777777779</v>
      </c>
      <c r="I13" s="34">
        <f>I14*$F$13/$F$14</f>
        <v>0.27777777777777779</v>
      </c>
      <c r="AA13" s="3" t="s">
        <v>3383</v>
      </c>
      <c r="AB13" s="2">
        <v>150</v>
      </c>
      <c r="AC13" s="1" t="str">
        <f t="shared" si="0"/>
        <v>[10,150]</v>
      </c>
      <c r="AM13" s="337" t="s">
        <v>4186</v>
      </c>
      <c r="AN13" s="42">
        <f>SUMPRODUCT(AN4:AN10,AP4:AP10)*7*AS1+SUMPRODUCT(AO4:AO10,AQ4:AQ10)*7*AS1</f>
        <v>694.63333333333321</v>
      </c>
      <c r="AV13" s="337" t="s">
        <v>4204</v>
      </c>
      <c r="AW13" s="337">
        <v>80</v>
      </c>
      <c r="AX13" s="337">
        <f t="shared" si="1"/>
        <v>800</v>
      </c>
      <c r="AY13" s="142">
        <v>0.2</v>
      </c>
    </row>
    <row r="14" spans="2:54" x14ac:dyDescent="0.3">
      <c r="B14" s="2" t="s">
        <v>3384</v>
      </c>
      <c r="C14" s="21">
        <v>60</v>
      </c>
      <c r="D14" s="21">
        <v>60</v>
      </c>
      <c r="E14" s="21">
        <v>60</v>
      </c>
      <c r="F14" s="2">
        <f>C14+D14+E14</f>
        <v>180</v>
      </c>
      <c r="G14" s="34">
        <f>C14/$F$14</f>
        <v>0.33333333333333331</v>
      </c>
      <c r="H14" s="34">
        <f>D14/$F$14</f>
        <v>0.33333333333333331</v>
      </c>
      <c r="I14" s="34">
        <f>E14/$F$14</f>
        <v>0.33333333333333331</v>
      </c>
      <c r="AA14" s="3" t="s">
        <v>3385</v>
      </c>
      <c r="AB14" s="2">
        <v>300</v>
      </c>
      <c r="AC14" s="1" t="str">
        <f t="shared" si="0"/>
        <v>[10,300]</v>
      </c>
      <c r="AM14" s="337" t="s">
        <v>4187</v>
      </c>
      <c r="AN14" s="337">
        <v>1000</v>
      </c>
      <c r="AV14" s="337" t="s">
        <v>4198</v>
      </c>
      <c r="AW14" s="337">
        <v>200</v>
      </c>
      <c r="AX14" s="337">
        <f>AW14*$BB$1</f>
        <v>2000</v>
      </c>
      <c r="AY14" s="142">
        <v>0.25</v>
      </c>
    </row>
    <row r="15" spans="2:54" x14ac:dyDescent="0.3">
      <c r="B15" s="2" t="s">
        <v>3386</v>
      </c>
      <c r="C15" s="21">
        <v>80</v>
      </c>
      <c r="D15" s="21">
        <v>80</v>
      </c>
      <c r="E15" s="21">
        <v>80</v>
      </c>
      <c r="F15" s="2">
        <f>C15+D15+E15</f>
        <v>240</v>
      </c>
      <c r="G15" s="34">
        <f>G14*$F$15/$F$14</f>
        <v>0.44444444444444442</v>
      </c>
      <c r="H15" s="34">
        <f>H14*$F$15/$F$14</f>
        <v>0.44444444444444442</v>
      </c>
      <c r="I15" s="34">
        <f>I14*$F$15/$F$14</f>
        <v>0.44444444444444442</v>
      </c>
      <c r="AA15" s="3" t="s">
        <v>3387</v>
      </c>
      <c r="AB15" s="2">
        <v>500</v>
      </c>
      <c r="AC15" s="1" t="str">
        <f t="shared" si="0"/>
        <v>[10,500]</v>
      </c>
    </row>
    <row r="16" spans="2:54" x14ac:dyDescent="0.3">
      <c r="AA16" s="3" t="s">
        <v>3388</v>
      </c>
      <c r="AB16" s="2">
        <v>200</v>
      </c>
      <c r="AC16" s="1" t="str">
        <f t="shared" si="0"/>
        <v>[10,200]</v>
      </c>
      <c r="AM16" s="334" t="s">
        <v>4188</v>
      </c>
      <c r="AN16" s="334" t="s">
        <v>4189</v>
      </c>
      <c r="AO16" s="334" t="s">
        <v>4190</v>
      </c>
    </row>
    <row r="17" spans="2:42" x14ac:dyDescent="0.3">
      <c r="B17" s="352" t="s">
        <v>3389</v>
      </c>
      <c r="C17" s="353"/>
      <c r="D17" s="353"/>
      <c r="E17" s="353"/>
      <c r="F17" s="353"/>
      <c r="G17" s="353"/>
      <c r="H17" s="354"/>
      <c r="AA17" s="3" t="s">
        <v>3390</v>
      </c>
      <c r="AB17" s="2">
        <v>400</v>
      </c>
      <c r="AC17" s="1" t="str">
        <f t="shared" si="0"/>
        <v>[10,400]</v>
      </c>
      <c r="AM17" s="334">
        <v>200</v>
      </c>
      <c r="AN17" s="334">
        <v>15</v>
      </c>
      <c r="AO17" s="334">
        <v>50</v>
      </c>
      <c r="AP17" s="1">
        <f>SUM($AN$17:AN17)</f>
        <v>15</v>
      </c>
    </row>
    <row r="18" spans="2:42" x14ac:dyDescent="0.3">
      <c r="B18" s="2" t="s">
        <v>3391</v>
      </c>
      <c r="C18" s="2" t="s">
        <v>3392</v>
      </c>
      <c r="D18" s="2" t="s">
        <v>3393</v>
      </c>
      <c r="E18" s="2" t="s">
        <v>3394</v>
      </c>
      <c r="F18" s="2" t="s">
        <v>3395</v>
      </c>
      <c r="G18" s="2" t="s">
        <v>3396</v>
      </c>
      <c r="H18" s="2" t="s">
        <v>309</v>
      </c>
      <c r="AM18" s="334">
        <v>400</v>
      </c>
      <c r="AN18" s="334">
        <v>15</v>
      </c>
      <c r="AO18" s="334">
        <v>100</v>
      </c>
      <c r="AP18" s="1">
        <f>SUM($AN$17:AN18)</f>
        <v>30</v>
      </c>
    </row>
    <row r="19" spans="2:42" x14ac:dyDescent="0.3">
      <c r="B19" s="2" t="s">
        <v>2755</v>
      </c>
      <c r="C19" s="41">
        <v>0.3</v>
      </c>
      <c r="D19" s="21">
        <v>8</v>
      </c>
      <c r="E19" s="2">
        <f>ROUND(C19*$C$2,0)</f>
        <v>180</v>
      </c>
      <c r="F19" s="42">
        <f>E19*$C$3</f>
        <v>54</v>
      </c>
      <c r="G19" s="2" t="e">
        <f>ROUND(E19/$C$7,0)</f>
        <v>#REF!</v>
      </c>
      <c r="H19" s="21">
        <v>2</v>
      </c>
      <c r="AA19" s="43" t="s">
        <v>3397</v>
      </c>
      <c r="AB19" s="44" t="s">
        <v>268</v>
      </c>
      <c r="AC19" s="44" t="s">
        <v>3398</v>
      </c>
      <c r="AD19" s="2" t="s">
        <v>569</v>
      </c>
      <c r="AE19" s="2" t="s">
        <v>570</v>
      </c>
      <c r="AM19" s="334">
        <v>600</v>
      </c>
      <c r="AN19" s="334">
        <v>20</v>
      </c>
      <c r="AO19" s="334">
        <v>150</v>
      </c>
      <c r="AP19" s="1">
        <f>SUM($AN$17:AN19)</f>
        <v>50</v>
      </c>
    </row>
    <row r="20" spans="2:42" x14ac:dyDescent="0.3">
      <c r="B20" s="2" t="s">
        <v>2757</v>
      </c>
      <c r="C20" s="41">
        <v>0.6</v>
      </c>
      <c r="D20" s="21">
        <v>4</v>
      </c>
      <c r="E20" s="2">
        <f>ROUND(C20*$C$2,0)</f>
        <v>360</v>
      </c>
      <c r="F20" s="42">
        <f>E20*$C$3</f>
        <v>108</v>
      </c>
      <c r="G20" s="2" t="e">
        <f>ROUND(E20/$C$7,0)</f>
        <v>#REF!</v>
      </c>
      <c r="H20" s="21">
        <v>4</v>
      </c>
      <c r="AA20" s="3">
        <v>30</v>
      </c>
      <c r="AB20" s="2">
        <v>500</v>
      </c>
      <c r="AC20" s="2" t="s">
        <v>2755</v>
      </c>
      <c r="AD20" s="2">
        <v>40002</v>
      </c>
      <c r="AE20" s="2">
        <v>1</v>
      </c>
      <c r="AF20" s="1" t="str">
        <f>"[102,"&amp;AD20&amp;"]"</f>
        <v>[102,40002]</v>
      </c>
      <c r="AG20" s="1" t="str">
        <f>"["&amp;AB20&amp;","&amp;AE20&amp;"]"</f>
        <v>[500,1]</v>
      </c>
      <c r="AM20" s="334">
        <v>800</v>
      </c>
      <c r="AN20" s="334">
        <v>30</v>
      </c>
      <c r="AO20" s="334">
        <v>200</v>
      </c>
      <c r="AP20" s="1">
        <f>SUM($AN$17:AN20)</f>
        <v>80</v>
      </c>
    </row>
    <row r="21" spans="2:42" x14ac:dyDescent="0.3">
      <c r="B21" s="2" t="s">
        <v>2758</v>
      </c>
      <c r="C21" s="41">
        <v>1.2</v>
      </c>
      <c r="D21" s="21">
        <v>2</v>
      </c>
      <c r="E21" s="2">
        <f>ROUND(C21*$C$2,0)</f>
        <v>720</v>
      </c>
      <c r="F21" s="42">
        <f>E21*$C$3</f>
        <v>216</v>
      </c>
      <c r="G21" s="2" t="e">
        <f>ROUND(E21/$C$7,0)</f>
        <v>#REF!</v>
      </c>
      <c r="H21" s="21">
        <v>6</v>
      </c>
      <c r="AA21" s="3">
        <v>60</v>
      </c>
      <c r="AB21" s="2">
        <v>1000</v>
      </c>
      <c r="AC21" s="2" t="s">
        <v>273</v>
      </c>
      <c r="AD21" s="2">
        <v>105</v>
      </c>
      <c r="AE21" s="2">
        <v>10</v>
      </c>
      <c r="AF21" s="1" t="str">
        <f>"[102,"&amp;AD21&amp;"]"</f>
        <v>[102,105]</v>
      </c>
      <c r="AG21" s="1" t="str">
        <f>"["&amp;AB21&amp;","&amp;AE21&amp;"]"</f>
        <v>[1000,10]</v>
      </c>
      <c r="AM21" s="334">
        <v>1000</v>
      </c>
      <c r="AN21" s="334">
        <v>50</v>
      </c>
      <c r="AO21" s="334">
        <v>500</v>
      </c>
      <c r="AP21" s="1">
        <f>SUM($AN$17:AN21)</f>
        <v>130</v>
      </c>
    </row>
    <row r="22" spans="2:42" x14ac:dyDescent="0.3">
      <c r="B22" s="2" t="s">
        <v>2760</v>
      </c>
      <c r="C22" s="41">
        <v>2.4</v>
      </c>
      <c r="D22" s="21">
        <v>1</v>
      </c>
      <c r="E22" s="2">
        <f>ROUND(C22*$C$2,0)</f>
        <v>1440</v>
      </c>
      <c r="F22" s="42">
        <f>E22*$C$3</f>
        <v>432</v>
      </c>
      <c r="G22" s="2" t="e">
        <f>ROUND(E22/$C$7,0)</f>
        <v>#REF!</v>
      </c>
      <c r="H22" s="21">
        <v>8</v>
      </c>
      <c r="AA22" s="3">
        <v>90</v>
      </c>
      <c r="AB22" s="2">
        <v>1500</v>
      </c>
      <c r="AC22" s="2" t="s">
        <v>2755</v>
      </c>
      <c r="AD22" s="2">
        <v>40002</v>
      </c>
      <c r="AE22" s="2">
        <v>1</v>
      </c>
      <c r="AF22" s="1" t="str">
        <f>"[102,"&amp;AD22&amp;"]"</f>
        <v>[102,40002]</v>
      </c>
      <c r="AG22" s="1" t="str">
        <f>"["&amp;AB22&amp;","&amp;AE22&amp;"]"</f>
        <v>[1500,1]</v>
      </c>
    </row>
    <row r="23" spans="2:42" x14ac:dyDescent="0.3">
      <c r="AA23" s="3">
        <v>120</v>
      </c>
      <c r="AB23" s="2">
        <v>2000</v>
      </c>
      <c r="AC23" s="2" t="s">
        <v>511</v>
      </c>
      <c r="AD23" s="2">
        <v>111</v>
      </c>
      <c r="AE23" s="2">
        <v>20</v>
      </c>
      <c r="AF23" s="1" t="str">
        <f>"[102,"&amp;AD23&amp;"]"</f>
        <v>[102,111]</v>
      </c>
      <c r="AG23" s="1" t="str">
        <f>"["&amp;AB23&amp;","&amp;AE23&amp;"]"</f>
        <v>[2000,20]</v>
      </c>
    </row>
    <row r="24" spans="2:42" x14ac:dyDescent="0.3">
      <c r="AA24" s="3">
        <v>150</v>
      </c>
      <c r="AB24" s="2">
        <v>3000</v>
      </c>
      <c r="AC24" s="2" t="s">
        <v>2757</v>
      </c>
      <c r="AD24" s="2">
        <v>40003</v>
      </c>
      <c r="AE24" s="2">
        <v>1</v>
      </c>
      <c r="AF24" s="1" t="str">
        <f>"[102,"&amp;AD24&amp;"]"</f>
        <v>[102,40003]</v>
      </c>
      <c r="AG24" s="1" t="str">
        <f>"["&amp;AB24&amp;","&amp;AE24&amp;"]"</f>
        <v>[3000,1]</v>
      </c>
    </row>
    <row r="25" spans="2:42" x14ac:dyDescent="0.3">
      <c r="B25" s="2" t="s">
        <v>3399</v>
      </c>
      <c r="C25" s="2" t="s">
        <v>3400</v>
      </c>
      <c r="D25" s="2" t="s">
        <v>3401</v>
      </c>
      <c r="E25" s="2" t="s">
        <v>3402</v>
      </c>
      <c r="F25" s="2" t="s">
        <v>3403</v>
      </c>
      <c r="G25" s="2" t="s">
        <v>3404</v>
      </c>
      <c r="H25" s="2" t="s">
        <v>3405</v>
      </c>
      <c r="I25" s="2" t="s">
        <v>3406</v>
      </c>
      <c r="J25" s="2" t="s">
        <v>3407</v>
      </c>
      <c r="K25" s="2" t="s">
        <v>3408</v>
      </c>
      <c r="L25" s="2" t="s">
        <v>3409</v>
      </c>
      <c r="M25" s="2" t="s">
        <v>3410</v>
      </c>
      <c r="N25" s="2" t="s">
        <v>3411</v>
      </c>
      <c r="O25" s="2" t="s">
        <v>3412</v>
      </c>
      <c r="P25" s="2" t="s">
        <v>3413</v>
      </c>
      <c r="Q25" s="2" t="s">
        <v>3414</v>
      </c>
    </row>
    <row r="26" spans="2:42" x14ac:dyDescent="0.3">
      <c r="B26" s="2">
        <v>1</v>
      </c>
      <c r="C26" s="2">
        <v>40002</v>
      </c>
      <c r="D26" s="2">
        <v>40003</v>
      </c>
      <c r="E26" s="2">
        <v>40003</v>
      </c>
      <c r="F26" s="2">
        <v>40005</v>
      </c>
      <c r="G26" s="2">
        <v>40003</v>
      </c>
      <c r="H26" s="2">
        <v>40002</v>
      </c>
      <c r="I26" s="2">
        <v>40002</v>
      </c>
      <c r="J26" s="2">
        <v>40003</v>
      </c>
      <c r="K26" s="2">
        <v>40004</v>
      </c>
      <c r="L26" s="2">
        <v>40002</v>
      </c>
      <c r="M26" s="2">
        <v>40002</v>
      </c>
      <c r="N26" s="2">
        <v>40002</v>
      </c>
      <c r="O26" s="2">
        <v>40002</v>
      </c>
      <c r="P26" s="2">
        <v>40004</v>
      </c>
      <c r="Q26" s="2">
        <v>40002</v>
      </c>
      <c r="R26" s="36" t="str">
        <f>CONCATENATE("[",C26,",",D26,",",E26,",",F26,",",G26,",",H26,",",I26,",",J26,",",K26,",",L26,",",M26,",",N26,",",O26,",",P26,",",Q26,"]")</f>
        <v>[40002,40003,40003,40005,40003,40002,40002,40003,40004,40002,40002,40002,40002,40004,40002]</v>
      </c>
      <c r="AA26" s="43" t="s">
        <v>3415</v>
      </c>
      <c r="AB26" s="2" t="s">
        <v>268</v>
      </c>
      <c r="AC26" s="2" t="s">
        <v>3398</v>
      </c>
      <c r="AD26" s="2" t="s">
        <v>569</v>
      </c>
      <c r="AE26" s="2" t="s">
        <v>570</v>
      </c>
      <c r="AF26" s="2" t="s">
        <v>3398</v>
      </c>
      <c r="AG26" s="2" t="s">
        <v>569</v>
      </c>
      <c r="AH26" s="2" t="s">
        <v>570</v>
      </c>
    </row>
    <row r="27" spans="2:42" x14ac:dyDescent="0.3">
      <c r="B27" s="2">
        <v>2</v>
      </c>
      <c r="C27" s="2">
        <v>40002</v>
      </c>
      <c r="D27" s="2">
        <v>40003</v>
      </c>
      <c r="E27" s="2">
        <v>40002</v>
      </c>
      <c r="F27" s="2">
        <v>40003</v>
      </c>
      <c r="G27" s="2">
        <v>40002</v>
      </c>
      <c r="H27" s="2">
        <v>40004</v>
      </c>
      <c r="I27" s="2">
        <v>40002</v>
      </c>
      <c r="J27" s="2">
        <v>40002</v>
      </c>
      <c r="K27" s="2">
        <v>40002</v>
      </c>
      <c r="L27" s="2">
        <v>40005</v>
      </c>
      <c r="M27" s="2">
        <v>40002</v>
      </c>
      <c r="N27" s="2">
        <v>40003</v>
      </c>
      <c r="O27" s="2">
        <v>40003</v>
      </c>
      <c r="P27" s="2">
        <v>40004</v>
      </c>
      <c r="Q27" s="2">
        <v>40002</v>
      </c>
      <c r="R27" s="36" t="str">
        <f t="shared" ref="R27:R35" si="3">CONCATENATE("[",C27,",",D27,",",E27,",",F27,",",G27,",",H27,",",I27,",",J27,",",K27,",",L27,",",M27,",",N27,",",O27,",",P27,",",Q27,"]")</f>
        <v>[40002,40003,40002,40003,40002,40004,40002,40002,40002,40005,40002,40003,40003,40004,40002]</v>
      </c>
      <c r="AA27" s="3">
        <v>500</v>
      </c>
      <c r="AB27" s="2">
        <v>5000</v>
      </c>
      <c r="AC27" s="2" t="s">
        <v>2758</v>
      </c>
      <c r="AD27" s="2">
        <v>40004</v>
      </c>
      <c r="AE27" s="2">
        <v>1</v>
      </c>
      <c r="AF27" s="2"/>
      <c r="AG27" s="2"/>
      <c r="AH27" s="2"/>
      <c r="AI27" s="1" t="str">
        <f>"[102,"&amp;AD27&amp;"]"</f>
        <v>[102,40004]</v>
      </c>
      <c r="AJ27" s="1" t="str">
        <f>"["&amp;AB27&amp;","&amp;AE27&amp;"]"</f>
        <v>[5000,1]</v>
      </c>
    </row>
    <row r="28" spans="2:42" x14ac:dyDescent="0.3">
      <c r="B28" s="2">
        <v>3</v>
      </c>
      <c r="C28" s="2">
        <v>40002</v>
      </c>
      <c r="D28" s="2">
        <v>40003</v>
      </c>
      <c r="E28" s="2">
        <v>40002</v>
      </c>
      <c r="F28" s="2">
        <v>40004</v>
      </c>
      <c r="G28" s="2">
        <v>40003</v>
      </c>
      <c r="H28" s="2">
        <v>40004</v>
      </c>
      <c r="I28" s="2">
        <v>40002</v>
      </c>
      <c r="J28" s="2">
        <v>40005</v>
      </c>
      <c r="K28" s="2">
        <v>40002</v>
      </c>
      <c r="L28" s="2">
        <v>40002</v>
      </c>
      <c r="M28" s="2">
        <v>40002</v>
      </c>
      <c r="N28" s="2">
        <v>40002</v>
      </c>
      <c r="O28" s="2">
        <v>40003</v>
      </c>
      <c r="P28" s="2">
        <v>40003</v>
      </c>
      <c r="Q28" s="2">
        <v>40002</v>
      </c>
      <c r="R28" s="36" t="str">
        <f t="shared" si="3"/>
        <v>[40002,40003,40002,40004,40003,40004,40002,40005,40002,40002,40002,40002,40003,40003,40002]</v>
      </c>
      <c r="AA28" s="3">
        <v>1000</v>
      </c>
      <c r="AB28" s="2">
        <v>10000</v>
      </c>
      <c r="AC28" s="2" t="s">
        <v>317</v>
      </c>
      <c r="AD28" s="2">
        <v>101</v>
      </c>
      <c r="AE28" s="2">
        <v>50</v>
      </c>
      <c r="AF28" s="2" t="s">
        <v>2760</v>
      </c>
      <c r="AG28" s="2">
        <v>40005</v>
      </c>
      <c r="AH28" s="2">
        <v>1</v>
      </c>
      <c r="AI28" s="1" t="s">
        <v>3416</v>
      </c>
      <c r="AJ28" s="1" t="s">
        <v>3417</v>
      </c>
    </row>
    <row r="29" spans="2:42" x14ac:dyDescent="0.3">
      <c r="B29" s="2">
        <v>4</v>
      </c>
      <c r="C29" s="2">
        <v>40002</v>
      </c>
      <c r="D29" s="2">
        <v>40002</v>
      </c>
      <c r="E29" s="2">
        <v>40003</v>
      </c>
      <c r="F29" s="2">
        <v>40002</v>
      </c>
      <c r="G29" s="2">
        <v>40003</v>
      </c>
      <c r="H29" s="2">
        <v>40002</v>
      </c>
      <c r="I29" s="2">
        <v>40004</v>
      </c>
      <c r="J29" s="2">
        <v>40002</v>
      </c>
      <c r="K29" s="2">
        <v>40002</v>
      </c>
      <c r="L29" s="2">
        <v>40002</v>
      </c>
      <c r="M29" s="2">
        <v>40003</v>
      </c>
      <c r="N29" s="2">
        <v>40002</v>
      </c>
      <c r="O29" s="2">
        <v>40004</v>
      </c>
      <c r="P29" s="2">
        <v>40005</v>
      </c>
      <c r="Q29" s="2">
        <v>40003</v>
      </c>
      <c r="R29" s="36" t="str">
        <f t="shared" si="3"/>
        <v>[40002,40002,40003,40002,40003,40002,40004,40002,40002,40002,40003,40002,40004,40005,40003]</v>
      </c>
    </row>
    <row r="30" spans="2:42" x14ac:dyDescent="0.3">
      <c r="B30" s="2">
        <v>5</v>
      </c>
      <c r="C30" s="2">
        <v>40002</v>
      </c>
      <c r="D30" s="2">
        <v>40003</v>
      </c>
      <c r="E30" s="2">
        <v>40002</v>
      </c>
      <c r="F30" s="2">
        <v>40003</v>
      </c>
      <c r="G30" s="2">
        <v>40004</v>
      </c>
      <c r="H30" s="2">
        <v>40005</v>
      </c>
      <c r="I30" s="2">
        <v>40003</v>
      </c>
      <c r="J30" s="2">
        <v>40004</v>
      </c>
      <c r="K30" s="2">
        <v>40002</v>
      </c>
      <c r="L30" s="2">
        <v>40002</v>
      </c>
      <c r="M30" s="2">
        <v>40002</v>
      </c>
      <c r="N30" s="2">
        <v>40003</v>
      </c>
      <c r="O30" s="2">
        <v>40002</v>
      </c>
      <c r="P30" s="2">
        <v>40002</v>
      </c>
      <c r="Q30" s="2">
        <v>40002</v>
      </c>
      <c r="R30" s="36" t="str">
        <f t="shared" si="3"/>
        <v>[40002,40003,40002,40003,40004,40005,40003,40004,40002,40002,40002,40003,40002,40002,40002]</v>
      </c>
    </row>
    <row r="31" spans="2:42" x14ac:dyDescent="0.3">
      <c r="B31" s="2">
        <v>6</v>
      </c>
      <c r="C31" s="2">
        <v>40002</v>
      </c>
      <c r="D31" s="2">
        <v>40005</v>
      </c>
      <c r="E31" s="2">
        <v>40003</v>
      </c>
      <c r="F31" s="2">
        <v>40003</v>
      </c>
      <c r="G31" s="2">
        <v>40004</v>
      </c>
      <c r="H31" s="2">
        <v>40003</v>
      </c>
      <c r="I31" s="2">
        <v>40002</v>
      </c>
      <c r="J31" s="2">
        <v>40002</v>
      </c>
      <c r="K31" s="2">
        <v>40004</v>
      </c>
      <c r="L31" s="2">
        <v>40002</v>
      </c>
      <c r="M31" s="2">
        <v>40002</v>
      </c>
      <c r="N31" s="2">
        <v>40002</v>
      </c>
      <c r="O31" s="2">
        <v>40002</v>
      </c>
      <c r="P31" s="2">
        <v>40003</v>
      </c>
      <c r="Q31" s="2">
        <v>40002</v>
      </c>
      <c r="R31" s="36" t="str">
        <f t="shared" si="3"/>
        <v>[40002,40005,40003,40003,40004,40003,40002,40002,40004,40002,40002,40002,40002,40003,40002]</v>
      </c>
    </row>
    <row r="32" spans="2:42" x14ac:dyDescent="0.3">
      <c r="B32" s="2">
        <v>7</v>
      </c>
      <c r="C32" s="2">
        <v>40002</v>
      </c>
      <c r="D32" s="2">
        <v>40003</v>
      </c>
      <c r="E32" s="2">
        <v>40002</v>
      </c>
      <c r="F32" s="2">
        <v>40002</v>
      </c>
      <c r="G32" s="2">
        <v>40002</v>
      </c>
      <c r="H32" s="2">
        <v>40003</v>
      </c>
      <c r="I32" s="2">
        <v>40005</v>
      </c>
      <c r="J32" s="2">
        <v>40002</v>
      </c>
      <c r="K32" s="2">
        <v>40002</v>
      </c>
      <c r="L32" s="2">
        <v>40004</v>
      </c>
      <c r="M32" s="2">
        <v>40003</v>
      </c>
      <c r="N32" s="2">
        <v>40002</v>
      </c>
      <c r="O32" s="2">
        <v>40002</v>
      </c>
      <c r="P32" s="2">
        <v>40004</v>
      </c>
      <c r="Q32" s="2">
        <v>40003</v>
      </c>
      <c r="R32" s="36" t="str">
        <f t="shared" si="3"/>
        <v>[40002,40003,40002,40002,40002,40003,40005,40002,40002,40004,40003,40002,40002,40004,40003]</v>
      </c>
    </row>
    <row r="33" spans="2:18" x14ac:dyDescent="0.3">
      <c r="B33" s="2">
        <v>8</v>
      </c>
      <c r="C33" s="2">
        <v>40002</v>
      </c>
      <c r="D33" s="2">
        <v>40003</v>
      </c>
      <c r="E33" s="2">
        <v>40004</v>
      </c>
      <c r="F33" s="2">
        <v>40002</v>
      </c>
      <c r="G33" s="2">
        <v>40002</v>
      </c>
      <c r="H33" s="2">
        <v>40003</v>
      </c>
      <c r="I33" s="2">
        <v>40002</v>
      </c>
      <c r="J33" s="2">
        <v>40002</v>
      </c>
      <c r="K33" s="2">
        <v>40002</v>
      </c>
      <c r="L33" s="2">
        <v>40004</v>
      </c>
      <c r="M33" s="2">
        <v>40003</v>
      </c>
      <c r="N33" s="2">
        <v>40002</v>
      </c>
      <c r="O33" s="2">
        <v>40005</v>
      </c>
      <c r="P33" s="2">
        <v>40003</v>
      </c>
      <c r="Q33" s="2">
        <v>40002</v>
      </c>
      <c r="R33" s="36" t="str">
        <f t="shared" si="3"/>
        <v>[40002,40003,40004,40002,40002,40003,40002,40002,40002,40004,40003,40002,40005,40003,40002]</v>
      </c>
    </row>
    <row r="34" spans="2:18" x14ac:dyDescent="0.3">
      <c r="B34" s="2">
        <v>9</v>
      </c>
      <c r="C34" s="2">
        <v>40002</v>
      </c>
      <c r="D34" s="2">
        <v>40002</v>
      </c>
      <c r="E34" s="2">
        <v>40002</v>
      </c>
      <c r="F34" s="2">
        <v>40004</v>
      </c>
      <c r="G34" s="2">
        <v>40003</v>
      </c>
      <c r="H34" s="2">
        <v>40002</v>
      </c>
      <c r="I34" s="2">
        <v>40004</v>
      </c>
      <c r="J34" s="2">
        <v>40003</v>
      </c>
      <c r="K34" s="2">
        <v>40002</v>
      </c>
      <c r="L34" s="2">
        <v>40005</v>
      </c>
      <c r="M34" s="2">
        <v>40003</v>
      </c>
      <c r="N34" s="2">
        <v>40002</v>
      </c>
      <c r="O34" s="2">
        <v>40003</v>
      </c>
      <c r="P34" s="2">
        <v>40002</v>
      </c>
      <c r="Q34" s="2">
        <v>40002</v>
      </c>
      <c r="R34" s="36" t="str">
        <f t="shared" si="3"/>
        <v>[40002,40002,40002,40004,40003,40002,40004,40003,40002,40005,40003,40002,40003,40002,40002]</v>
      </c>
    </row>
    <row r="35" spans="2:18" x14ac:dyDescent="0.3">
      <c r="B35" s="2">
        <v>10</v>
      </c>
      <c r="C35" s="2">
        <v>40002</v>
      </c>
      <c r="D35" s="2">
        <v>40003</v>
      </c>
      <c r="E35" s="2">
        <v>40002</v>
      </c>
      <c r="F35" s="2">
        <v>40002</v>
      </c>
      <c r="G35" s="2">
        <v>40002</v>
      </c>
      <c r="H35" s="2">
        <v>40004</v>
      </c>
      <c r="I35" s="2">
        <v>40005</v>
      </c>
      <c r="J35" s="2">
        <v>40002</v>
      </c>
      <c r="K35" s="2">
        <v>40002</v>
      </c>
      <c r="L35" s="2">
        <v>40003</v>
      </c>
      <c r="M35" s="2">
        <v>40002</v>
      </c>
      <c r="N35" s="2">
        <v>40004</v>
      </c>
      <c r="O35" s="2">
        <v>40003</v>
      </c>
      <c r="P35" s="2">
        <v>40002</v>
      </c>
      <c r="Q35" s="2">
        <v>40003</v>
      </c>
      <c r="R35" s="36" t="str">
        <f t="shared" si="3"/>
        <v>[40002,40003,40002,40002,40002,40004,40005,40002,40002,40003,40002,40004,40003,40002,40003]</v>
      </c>
    </row>
    <row r="36" spans="2:18" x14ac:dyDescent="0.3">
      <c r="B36" s="25"/>
      <c r="C36" s="25"/>
      <c r="D36" s="25"/>
      <c r="E36" s="25"/>
      <c r="F36" s="25"/>
      <c r="G36" s="25"/>
      <c r="H36" s="25"/>
      <c r="I36" s="25"/>
      <c r="J36" s="25"/>
      <c r="K36" s="25"/>
      <c r="L36" s="25"/>
      <c r="M36" s="25"/>
      <c r="N36" s="25"/>
      <c r="O36" s="25"/>
      <c r="P36" s="25"/>
      <c r="Q36" s="25"/>
      <c r="R36" s="36"/>
    </row>
    <row r="37" spans="2:18" x14ac:dyDescent="0.3">
      <c r="B37" s="2" t="s">
        <v>3418</v>
      </c>
      <c r="C37" s="2">
        <v>40002</v>
      </c>
      <c r="D37" s="2">
        <v>40003</v>
      </c>
      <c r="E37" s="2">
        <v>40002</v>
      </c>
      <c r="F37" s="2">
        <v>40004</v>
      </c>
      <c r="G37" s="2">
        <v>40002</v>
      </c>
      <c r="H37" s="2">
        <v>40005</v>
      </c>
      <c r="I37" s="2">
        <v>40002</v>
      </c>
      <c r="J37" s="2">
        <v>40003</v>
      </c>
      <c r="K37" s="2">
        <v>40002</v>
      </c>
      <c r="L37" s="2">
        <v>40004</v>
      </c>
      <c r="M37" s="2">
        <v>40002</v>
      </c>
      <c r="N37" s="2">
        <v>40003</v>
      </c>
      <c r="O37" s="2">
        <v>40002</v>
      </c>
      <c r="P37" s="2">
        <v>40003</v>
      </c>
      <c r="Q37" s="2">
        <v>40002</v>
      </c>
      <c r="R37" s="36"/>
    </row>
    <row r="38" spans="2:18" x14ac:dyDescent="0.3">
      <c r="C38" s="1">
        <v>0.3</v>
      </c>
      <c r="D38" s="1">
        <v>0.6</v>
      </c>
      <c r="E38" s="1">
        <v>0.3</v>
      </c>
      <c r="F38" s="1">
        <v>1.2</v>
      </c>
      <c r="G38" s="1">
        <v>0.3</v>
      </c>
      <c r="H38" s="1">
        <v>2.4</v>
      </c>
    </row>
    <row r="40" spans="2:18" x14ac:dyDescent="0.3">
      <c r="B40" s="2" t="s">
        <v>3419</v>
      </c>
      <c r="C40" s="2" t="s">
        <v>3031</v>
      </c>
      <c r="D40" s="2" t="s">
        <v>3420</v>
      </c>
      <c r="E40" s="2" t="s">
        <v>3421</v>
      </c>
      <c r="F40" s="2" t="s">
        <v>3422</v>
      </c>
      <c r="G40" s="2" t="s">
        <v>3423</v>
      </c>
      <c r="H40" s="2" t="s">
        <v>3424</v>
      </c>
      <c r="I40" s="2" t="s">
        <v>3376</v>
      </c>
      <c r="J40" s="2" t="s">
        <v>3377</v>
      </c>
      <c r="K40" s="2" t="s">
        <v>3378</v>
      </c>
      <c r="L40" s="2" t="s">
        <v>3425</v>
      </c>
      <c r="M40" s="2" t="s">
        <v>3426</v>
      </c>
      <c r="N40" s="2" t="s">
        <v>3427</v>
      </c>
      <c r="O40" s="2" t="s">
        <v>3428</v>
      </c>
      <c r="P40" s="2" t="s">
        <v>3429</v>
      </c>
      <c r="Q40" s="2" t="s">
        <v>3430</v>
      </c>
    </row>
    <row r="41" spans="2:18" x14ac:dyDescent="0.3">
      <c r="B41" s="2">
        <v>1</v>
      </c>
      <c r="C41" s="2" t="s">
        <v>3431</v>
      </c>
      <c r="D41" s="2" t="s">
        <v>3432</v>
      </c>
      <c r="E41" s="2" t="s">
        <v>3433</v>
      </c>
      <c r="F41" s="2">
        <v>3</v>
      </c>
      <c r="G41" s="2">
        <v>5</v>
      </c>
      <c r="H41" s="2">
        <v>10</v>
      </c>
      <c r="I41" s="34">
        <f t="shared" ref="I41:K43" si="4">G13</f>
        <v>0.27777777777777779</v>
      </c>
      <c r="J41" s="34">
        <f t="shared" si="4"/>
        <v>0.27777777777777779</v>
      </c>
      <c r="K41" s="34">
        <f t="shared" si="4"/>
        <v>0.27777777777777779</v>
      </c>
      <c r="L41" s="2" t="e">
        <f>ROUND(#REF!/$C$8*I41/50,0)*50</f>
        <v>#REF!</v>
      </c>
      <c r="M41" s="2" t="e">
        <f>ROUND(#REF!/$C$8*J41/50,0)*50</f>
        <v>#REF!</v>
      </c>
      <c r="N41" s="2" t="e">
        <f>ROUND(#REF!/$C$8*K41/50,0)*50</f>
        <v>#REF!</v>
      </c>
      <c r="O41" s="2">
        <f t="shared" ref="O41:Q43" si="5">C13</f>
        <v>50</v>
      </c>
      <c r="P41" s="2">
        <f t="shared" si="5"/>
        <v>50</v>
      </c>
      <c r="Q41" s="2">
        <f t="shared" si="5"/>
        <v>50</v>
      </c>
      <c r="R41" s="36" t="e">
        <f>CONCATENATE("[(",O41,",",L41,"),(",P41,",",M41,"),(",Q41,",",N41,")]",)</f>
        <v>#REF!</v>
      </c>
    </row>
    <row r="42" spans="2:18" x14ac:dyDescent="0.3">
      <c r="B42" s="2">
        <v>2</v>
      </c>
      <c r="C42" s="2" t="s">
        <v>3434</v>
      </c>
      <c r="D42" s="2" t="s">
        <v>177</v>
      </c>
      <c r="E42" s="2" t="s">
        <v>3433</v>
      </c>
      <c r="F42" s="2">
        <v>1</v>
      </c>
      <c r="G42" s="2">
        <v>3</v>
      </c>
      <c r="H42" s="2">
        <v>5</v>
      </c>
      <c r="I42" s="34">
        <f t="shared" si="4"/>
        <v>0.33333333333333331</v>
      </c>
      <c r="J42" s="34">
        <f t="shared" si="4"/>
        <v>0.33333333333333331</v>
      </c>
      <c r="K42" s="34">
        <f t="shared" si="4"/>
        <v>0.33333333333333331</v>
      </c>
      <c r="L42" s="2" t="e">
        <f>ROUND(#REF!/$C$8*I42/50,0)*50</f>
        <v>#REF!</v>
      </c>
      <c r="M42" s="2" t="e">
        <f>ROUND(#REF!/$C$8*J42/50,0)*50</f>
        <v>#REF!</v>
      </c>
      <c r="N42" s="2" t="e">
        <f>ROUND(#REF!/$C$8*K42/50,0)*50</f>
        <v>#REF!</v>
      </c>
      <c r="O42" s="2">
        <f t="shared" si="5"/>
        <v>60</v>
      </c>
      <c r="P42" s="2">
        <f t="shared" si="5"/>
        <v>60</v>
      </c>
      <c r="Q42" s="2">
        <f t="shared" si="5"/>
        <v>60</v>
      </c>
      <c r="R42" s="36" t="e">
        <f t="shared" ref="R42:R47" si="6">CONCATENATE("[(",O42,",",L42,"),(",P42,",",M42,"),(",Q42,",",N42,")]",)</f>
        <v>#REF!</v>
      </c>
    </row>
    <row r="43" spans="2:18" x14ac:dyDescent="0.3">
      <c r="B43" s="2">
        <v>3</v>
      </c>
      <c r="C43" s="2" t="s">
        <v>3435</v>
      </c>
      <c r="D43" s="2" t="s">
        <v>3436</v>
      </c>
      <c r="E43" s="2" t="s">
        <v>3433</v>
      </c>
      <c r="F43" s="2">
        <v>1</v>
      </c>
      <c r="G43" s="2">
        <v>2</v>
      </c>
      <c r="H43" s="2">
        <v>3</v>
      </c>
      <c r="I43" s="34">
        <f t="shared" si="4"/>
        <v>0.44444444444444442</v>
      </c>
      <c r="J43" s="34">
        <f t="shared" si="4"/>
        <v>0.44444444444444442</v>
      </c>
      <c r="K43" s="34">
        <f t="shared" si="4"/>
        <v>0.44444444444444442</v>
      </c>
      <c r="L43" s="2" t="e">
        <f>ROUND(#REF!/$C$8*I43/50,0)*50</f>
        <v>#REF!</v>
      </c>
      <c r="M43" s="2" t="e">
        <f>ROUND(#REF!/$C$8*J43/50,0)*50</f>
        <v>#REF!</v>
      </c>
      <c r="N43" s="2" t="e">
        <f>ROUND(#REF!/$C$8*K43/50,0)*50</f>
        <v>#REF!</v>
      </c>
      <c r="O43" s="2">
        <f t="shared" si="5"/>
        <v>80</v>
      </c>
      <c r="P43" s="2">
        <f t="shared" si="5"/>
        <v>80</v>
      </c>
      <c r="Q43" s="2">
        <f t="shared" si="5"/>
        <v>80</v>
      </c>
      <c r="R43" s="36" t="e">
        <f t="shared" si="6"/>
        <v>#REF!</v>
      </c>
    </row>
    <row r="44" spans="2:18" x14ac:dyDescent="0.3">
      <c r="B44" s="2">
        <v>4</v>
      </c>
      <c r="C44" s="2" t="s">
        <v>3437</v>
      </c>
      <c r="D44" s="2" t="s">
        <v>177</v>
      </c>
      <c r="E44" s="2" t="s">
        <v>3433</v>
      </c>
      <c r="F44" s="2">
        <v>5</v>
      </c>
      <c r="G44" s="2">
        <v>10</v>
      </c>
      <c r="H44" s="2">
        <v>15</v>
      </c>
      <c r="I44" s="34">
        <f t="shared" ref="I44:K45" si="7">G14</f>
        <v>0.33333333333333331</v>
      </c>
      <c r="J44" s="34">
        <f t="shared" si="7"/>
        <v>0.33333333333333331</v>
      </c>
      <c r="K44" s="34">
        <f t="shared" si="7"/>
        <v>0.33333333333333331</v>
      </c>
      <c r="L44" s="2" t="e">
        <f>ROUND(#REF!/$C$8*I44/50,0)*50</f>
        <v>#REF!</v>
      </c>
      <c r="M44" s="2" t="e">
        <f>ROUND(#REF!/$C$8*J44/50,0)*50</f>
        <v>#REF!</v>
      </c>
      <c r="N44" s="2" t="e">
        <f>ROUND(#REF!/$C$8*K44/50,0)*50</f>
        <v>#REF!</v>
      </c>
      <c r="O44" s="2">
        <f t="shared" ref="O44:Q45" si="8">O42</f>
        <v>60</v>
      </c>
      <c r="P44" s="2">
        <f t="shared" si="8"/>
        <v>60</v>
      </c>
      <c r="Q44" s="2">
        <f t="shared" si="8"/>
        <v>60</v>
      </c>
      <c r="R44" s="36" t="e">
        <f t="shared" si="6"/>
        <v>#REF!</v>
      </c>
    </row>
    <row r="45" spans="2:18" x14ac:dyDescent="0.3">
      <c r="B45" s="2">
        <v>5</v>
      </c>
      <c r="C45" s="2" t="s">
        <v>3438</v>
      </c>
      <c r="D45" s="2" t="s">
        <v>3436</v>
      </c>
      <c r="E45" s="2" t="s">
        <v>3439</v>
      </c>
      <c r="F45" s="2">
        <v>1</v>
      </c>
      <c r="G45" s="2">
        <v>3</v>
      </c>
      <c r="H45" s="2">
        <v>5</v>
      </c>
      <c r="I45" s="34">
        <f t="shared" si="7"/>
        <v>0.44444444444444442</v>
      </c>
      <c r="J45" s="34">
        <f t="shared" si="7"/>
        <v>0.44444444444444442</v>
      </c>
      <c r="K45" s="34">
        <f t="shared" si="7"/>
        <v>0.44444444444444442</v>
      </c>
      <c r="L45" s="2" t="e">
        <f>ROUND(#REF!/$C$8*I45/50,0)*50</f>
        <v>#REF!</v>
      </c>
      <c r="M45" s="2" t="e">
        <f>ROUND(#REF!/$C$8*J45/50,0)*50</f>
        <v>#REF!</v>
      </c>
      <c r="N45" s="2" t="e">
        <f>ROUND(#REF!/$C$8*K45/50,0)*50</f>
        <v>#REF!</v>
      </c>
      <c r="O45" s="2">
        <f t="shared" si="8"/>
        <v>80</v>
      </c>
      <c r="P45" s="2">
        <f t="shared" si="8"/>
        <v>80</v>
      </c>
      <c r="Q45" s="2">
        <f t="shared" si="8"/>
        <v>80</v>
      </c>
      <c r="R45" s="36" t="e">
        <f t="shared" si="6"/>
        <v>#REF!</v>
      </c>
    </row>
    <row r="46" spans="2:18" x14ac:dyDescent="0.3">
      <c r="B46" s="2">
        <v>6</v>
      </c>
      <c r="C46" s="2" t="s">
        <v>666</v>
      </c>
      <c r="D46" s="2" t="s">
        <v>177</v>
      </c>
      <c r="E46" s="2" t="s">
        <v>3439</v>
      </c>
      <c r="F46" s="2">
        <v>1</v>
      </c>
      <c r="G46" s="2">
        <v>3</v>
      </c>
      <c r="H46" s="2">
        <v>5</v>
      </c>
      <c r="I46" s="34">
        <f>G14</f>
        <v>0.33333333333333331</v>
      </c>
      <c r="J46" s="34">
        <f>H14</f>
        <v>0.33333333333333331</v>
      </c>
      <c r="K46" s="34">
        <f>I14</f>
        <v>0.33333333333333331</v>
      </c>
      <c r="L46" s="2" t="e">
        <f>ROUND(#REF!/$C$8*I46/50,0)*50</f>
        <v>#REF!</v>
      </c>
      <c r="M46" s="2" t="e">
        <f>ROUND(#REF!/$C$8*J46/50,0)*50</f>
        <v>#REF!</v>
      </c>
      <c r="N46" s="2" t="e">
        <f>ROUND(#REF!/$C$8*K46/50,0)*50</f>
        <v>#REF!</v>
      </c>
      <c r="O46" s="2">
        <f>O42</f>
        <v>60</v>
      </c>
      <c r="P46" s="2">
        <f>P42</f>
        <v>60</v>
      </c>
      <c r="Q46" s="2">
        <f>Q42</f>
        <v>60</v>
      </c>
      <c r="R46" s="36" t="e">
        <f t="shared" si="6"/>
        <v>#REF!</v>
      </c>
    </row>
    <row r="47" spans="2:18" x14ac:dyDescent="0.3">
      <c r="B47" s="2">
        <v>7</v>
      </c>
      <c r="C47" s="2" t="s">
        <v>3440</v>
      </c>
      <c r="D47" s="2" t="s">
        <v>3432</v>
      </c>
      <c r="E47" s="2" t="s">
        <v>3433</v>
      </c>
      <c r="F47" s="2">
        <v>30</v>
      </c>
      <c r="G47" s="2">
        <v>60</v>
      </c>
      <c r="H47" s="2">
        <v>90</v>
      </c>
      <c r="I47" s="34">
        <f>G13</f>
        <v>0.27777777777777779</v>
      </c>
      <c r="J47" s="34">
        <f>H13</f>
        <v>0.27777777777777779</v>
      </c>
      <c r="K47" s="34">
        <f>I13</f>
        <v>0.27777777777777779</v>
      </c>
      <c r="L47" s="2" t="e">
        <f>ROUND(#REF!/$C$8*I47/50,0)*50</f>
        <v>#REF!</v>
      </c>
      <c r="M47" s="2" t="e">
        <f>ROUND(#REF!/$C$8*J47/50,0)*50</f>
        <v>#REF!</v>
      </c>
      <c r="N47" s="2" t="e">
        <f>ROUND(#REF!/$C$8*K47/50,0)*50</f>
        <v>#REF!</v>
      </c>
      <c r="O47" s="2">
        <f>O41</f>
        <v>50</v>
      </c>
      <c r="P47" s="2">
        <f>P41</f>
        <v>50</v>
      </c>
      <c r="Q47" s="2">
        <f>Q41</f>
        <v>50</v>
      </c>
      <c r="R47" s="36" t="e">
        <f t="shared" si="6"/>
        <v>#REF!</v>
      </c>
    </row>
  </sheetData>
  <mergeCells count="3">
    <mergeCell ref="B10:F10"/>
    <mergeCell ref="G10:I10"/>
    <mergeCell ref="B17:H17"/>
  </mergeCells>
  <phoneticPr fontId="32" type="noConversion"/>
  <conditionalFormatting sqref="C36:Q36">
    <cfRule type="colorScale" priority="2">
      <colorScale>
        <cfvo type="min"/>
        <cfvo type="percentile" val="50"/>
        <cfvo type="max"/>
        <color rgb="FF63BE7B"/>
        <color rgb="FFFFEB84"/>
        <color rgb="FFF8696B"/>
      </colorScale>
    </cfRule>
  </conditionalFormatting>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8C89D-DF8B-4B62-AC2A-8753B58BAE38}">
  <dimension ref="A1:M10"/>
  <sheetViews>
    <sheetView workbookViewId="0">
      <selection activeCell="F12" sqref="F12"/>
    </sheetView>
  </sheetViews>
  <sheetFormatPr defaultRowHeight="13.5" x14ac:dyDescent="0.15"/>
  <cols>
    <col min="1" max="1" width="25" customWidth="1"/>
    <col min="2" max="2" width="11.625" customWidth="1"/>
    <col min="4" max="4" width="29" bestFit="1" customWidth="1"/>
    <col min="6" max="6" width="13.875" customWidth="1"/>
    <col min="7" max="7" width="17" customWidth="1"/>
    <col min="8" max="8" width="11" customWidth="1"/>
    <col min="9" max="9" width="15.125" bestFit="1" customWidth="1"/>
    <col min="10" max="10" width="15.25" customWidth="1"/>
    <col min="11" max="11" width="21.375" bestFit="1" customWidth="1"/>
    <col min="12" max="12" width="25" customWidth="1"/>
    <col min="13" max="13" width="10.5" customWidth="1"/>
  </cols>
  <sheetData>
    <row r="1" spans="1:13" x14ac:dyDescent="0.15">
      <c r="A1" s="287" t="s">
        <v>4137</v>
      </c>
      <c r="B1">
        <v>3000</v>
      </c>
      <c r="D1" s="48" t="s">
        <v>4144</v>
      </c>
      <c r="E1" s="283" t="s">
        <v>4145</v>
      </c>
      <c r="F1" s="283" t="s">
        <v>4152</v>
      </c>
      <c r="G1" s="283" t="s">
        <v>4150</v>
      </c>
      <c r="H1" s="283" t="s">
        <v>4151</v>
      </c>
      <c r="I1" s="283" t="s">
        <v>4153</v>
      </c>
      <c r="J1" s="283" t="s">
        <v>4156</v>
      </c>
      <c r="K1" s="283" t="s">
        <v>4154</v>
      </c>
      <c r="L1" s="283" t="s">
        <v>4155</v>
      </c>
      <c r="M1" s="283" t="s">
        <v>4158</v>
      </c>
    </row>
    <row r="2" spans="1:13" x14ac:dyDescent="0.15">
      <c r="A2" s="287" t="s">
        <v>4138</v>
      </c>
      <c r="B2">
        <v>5</v>
      </c>
      <c r="D2" s="287" t="s">
        <v>4157</v>
      </c>
      <c r="E2" s="283" t="s">
        <v>4147</v>
      </c>
      <c r="F2" s="283">
        <v>10000</v>
      </c>
      <c r="G2" s="14">
        <v>0.7</v>
      </c>
      <c r="H2" s="7">
        <f>G2*50</f>
        <v>35</v>
      </c>
      <c r="I2" s="7">
        <f>H2*0.2</f>
        <v>7</v>
      </c>
      <c r="J2" s="7">
        <f>H2-I2</f>
        <v>28</v>
      </c>
      <c r="K2" s="330">
        <f>F2*0.8/I2</f>
        <v>1142.8571428571429</v>
      </c>
      <c r="L2" s="330">
        <f>F2*0.2/J2</f>
        <v>71.428571428571431</v>
      </c>
      <c r="M2" s="7">
        <v>1</v>
      </c>
    </row>
    <row r="3" spans="1:13" x14ac:dyDescent="0.15">
      <c r="A3" s="287" t="s">
        <v>4139</v>
      </c>
      <c r="B3">
        <v>500</v>
      </c>
      <c r="E3" s="283" t="s">
        <v>4148</v>
      </c>
      <c r="F3" s="283">
        <v>5000</v>
      </c>
      <c r="G3" s="14">
        <v>0.7</v>
      </c>
      <c r="H3" s="7">
        <f t="shared" ref="H3:H5" si="0">G3*50</f>
        <v>35</v>
      </c>
      <c r="I3" s="7">
        <f t="shared" ref="I3:I5" si="1">H3*0.2</f>
        <v>7</v>
      </c>
      <c r="J3" s="7">
        <f t="shared" ref="J3:J5" si="2">H3-I3</f>
        <v>28</v>
      </c>
      <c r="K3" s="330">
        <f t="shared" ref="K3:K5" si="3">F3*0.8/I3</f>
        <v>571.42857142857144</v>
      </c>
      <c r="L3" s="330">
        <f t="shared" ref="L3:L5" si="4">F3*0.2/J3</f>
        <v>35.714285714285715</v>
      </c>
      <c r="M3" s="7">
        <v>1</v>
      </c>
    </row>
    <row r="4" spans="1:13" x14ac:dyDescent="0.15">
      <c r="A4" s="287" t="s">
        <v>4140</v>
      </c>
      <c r="B4">
        <f>ROUNDUP(18/B2,0)*14</f>
        <v>56</v>
      </c>
      <c r="E4" s="283" t="s">
        <v>4149</v>
      </c>
      <c r="F4" s="283">
        <v>2000</v>
      </c>
      <c r="G4" s="14">
        <v>0.7</v>
      </c>
      <c r="H4" s="7">
        <f t="shared" si="0"/>
        <v>35</v>
      </c>
      <c r="I4" s="7">
        <f t="shared" si="1"/>
        <v>7</v>
      </c>
      <c r="J4" s="7">
        <f t="shared" si="2"/>
        <v>28</v>
      </c>
      <c r="K4" s="330">
        <f t="shared" si="3"/>
        <v>228.57142857142858</v>
      </c>
      <c r="L4" s="330">
        <f t="shared" si="4"/>
        <v>14.285714285714286</v>
      </c>
      <c r="M4" s="7">
        <v>1</v>
      </c>
    </row>
    <row r="5" spans="1:13" x14ac:dyDescent="0.15">
      <c r="A5" s="287" t="s">
        <v>4141</v>
      </c>
      <c r="B5">
        <f>ROUNDUP(390/B2,0)*14</f>
        <v>1092</v>
      </c>
      <c r="E5" s="331" t="s">
        <v>4146</v>
      </c>
      <c r="F5" s="332">
        <v>1000</v>
      </c>
      <c r="G5" s="14">
        <v>0.7</v>
      </c>
      <c r="H5" s="7">
        <f t="shared" si="0"/>
        <v>35</v>
      </c>
      <c r="I5" s="7">
        <f t="shared" si="1"/>
        <v>7</v>
      </c>
      <c r="J5" s="7">
        <f t="shared" si="2"/>
        <v>28</v>
      </c>
      <c r="K5" s="330">
        <f t="shared" si="3"/>
        <v>114.28571428571429</v>
      </c>
      <c r="L5" s="330">
        <f t="shared" si="4"/>
        <v>7.1428571428571432</v>
      </c>
      <c r="M5" s="7">
        <v>7</v>
      </c>
    </row>
    <row r="6" spans="1:13" x14ac:dyDescent="0.15">
      <c r="A6" s="287" t="s">
        <v>4142</v>
      </c>
      <c r="B6">
        <v>0.5</v>
      </c>
    </row>
    <row r="7" spans="1:13" x14ac:dyDescent="0.15">
      <c r="A7" s="287" t="s">
        <v>4143</v>
      </c>
      <c r="B7">
        <v>3</v>
      </c>
    </row>
    <row r="8" spans="1:13" x14ac:dyDescent="0.15">
      <c r="D8" s="283" t="s">
        <v>4159</v>
      </c>
      <c r="E8" s="7">
        <f>SUMPRODUCT(F2:F5,M2:M5)/10000</f>
        <v>2.4</v>
      </c>
      <c r="F8" s="333">
        <f>E8/E9</f>
        <v>1.2E-2</v>
      </c>
    </row>
    <row r="9" spans="1:13" x14ac:dyDescent="0.15">
      <c r="D9" s="283" t="s">
        <v>4161</v>
      </c>
      <c r="E9" s="7">
        <v>200</v>
      </c>
    </row>
    <row r="10" spans="1:13" x14ac:dyDescent="0.15">
      <c r="D10" s="283" t="s">
        <v>4160</v>
      </c>
      <c r="E10" s="7">
        <f>SUMPRODUCT(H2:H5,M2:M5)+SUMPRODUCT(I2:I5,M2:M5)</f>
        <v>420</v>
      </c>
    </row>
  </sheetData>
  <phoneticPr fontId="32" type="noConversion"/>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34"/>
  <dimension ref="A1:O119"/>
  <sheetViews>
    <sheetView workbookViewId="0">
      <selection activeCell="N23" sqref="N23"/>
    </sheetView>
  </sheetViews>
  <sheetFormatPr defaultColWidth="9" defaultRowHeight="13.5" x14ac:dyDescent="0.15"/>
  <cols>
    <col min="15" max="15" width="9" style="38"/>
  </cols>
  <sheetData>
    <row r="1" spans="1:15" ht="15.75" x14ac:dyDescent="0.3">
      <c r="A1" s="2" t="s">
        <v>599</v>
      </c>
      <c r="B1" s="2" t="s">
        <v>861</v>
      </c>
      <c r="D1">
        <v>1</v>
      </c>
      <c r="E1">
        <v>2</v>
      </c>
      <c r="F1">
        <v>3</v>
      </c>
      <c r="G1">
        <v>4</v>
      </c>
      <c r="H1">
        <v>5</v>
      </c>
      <c r="I1">
        <v>6</v>
      </c>
      <c r="J1">
        <v>7</v>
      </c>
      <c r="K1">
        <v>8</v>
      </c>
      <c r="L1">
        <v>9</v>
      </c>
      <c r="M1">
        <v>10</v>
      </c>
    </row>
    <row r="2" spans="1:15" ht="15.75" x14ac:dyDescent="0.3">
      <c r="A2" s="39" t="s">
        <v>510</v>
      </c>
      <c r="B2" s="2">
        <v>51111</v>
      </c>
      <c r="C2" t="str">
        <f>A2</f>
        <v>雷诺FT</v>
      </c>
      <c r="D2" s="25">
        <v>60</v>
      </c>
      <c r="E2" s="25">
        <v>56.4</v>
      </c>
      <c r="F2" s="25">
        <v>52.8</v>
      </c>
      <c r="G2" s="25">
        <v>49.2</v>
      </c>
      <c r="H2" s="25">
        <v>45.6</v>
      </c>
      <c r="I2" s="25">
        <v>42</v>
      </c>
      <c r="J2" s="25">
        <v>38.4</v>
      </c>
      <c r="K2" s="25">
        <v>34.799999999999997</v>
      </c>
      <c r="L2" s="25">
        <v>31.2</v>
      </c>
      <c r="M2" s="25">
        <v>27.6</v>
      </c>
      <c r="O2" s="25"/>
    </row>
    <row r="3" spans="1:15" ht="15.75" x14ac:dyDescent="0.3">
      <c r="A3" s="2" t="s">
        <v>516</v>
      </c>
      <c r="B3" s="2">
        <v>51211</v>
      </c>
      <c r="C3" t="str">
        <f t="shared" ref="C3:C66" si="0">A3</f>
        <v>二号</v>
      </c>
      <c r="D3" s="25">
        <v>60</v>
      </c>
      <c r="E3" s="40">
        <v>60</v>
      </c>
      <c r="F3" s="40">
        <v>56.4</v>
      </c>
      <c r="G3" s="40">
        <v>52.8</v>
      </c>
      <c r="H3" s="40">
        <v>49.2</v>
      </c>
      <c r="I3" s="40">
        <v>45.6</v>
      </c>
      <c r="J3" s="40">
        <v>42</v>
      </c>
      <c r="K3" s="40">
        <v>38.4</v>
      </c>
      <c r="L3" s="40">
        <v>34.799999999999997</v>
      </c>
      <c r="M3" s="40">
        <v>31.2</v>
      </c>
      <c r="O3" s="40"/>
    </row>
    <row r="4" spans="1:15" ht="15.75" x14ac:dyDescent="0.3">
      <c r="A4" s="2" t="s">
        <v>607</v>
      </c>
      <c r="B4" s="2">
        <v>51221</v>
      </c>
      <c r="C4" t="str">
        <f t="shared" si="0"/>
        <v>Puma</v>
      </c>
      <c r="D4" s="25">
        <v>80</v>
      </c>
      <c r="E4" s="40">
        <v>80</v>
      </c>
      <c r="F4" s="40">
        <v>80</v>
      </c>
      <c r="G4" s="40">
        <v>76.8</v>
      </c>
      <c r="H4" s="40">
        <v>73.599999999999994</v>
      </c>
      <c r="I4" s="40">
        <v>70.400000000000006</v>
      </c>
      <c r="J4" s="40">
        <v>67.2</v>
      </c>
      <c r="K4" s="40">
        <v>64</v>
      </c>
      <c r="L4" s="40">
        <v>60.8</v>
      </c>
      <c r="M4" s="40">
        <v>57.6</v>
      </c>
      <c r="O4" s="40"/>
    </row>
    <row r="5" spans="1:15" ht="15.75" x14ac:dyDescent="0.3">
      <c r="A5" s="2" t="s">
        <v>522</v>
      </c>
      <c r="B5" s="2">
        <v>51311</v>
      </c>
      <c r="C5" t="str">
        <f t="shared" si="0"/>
        <v>35(t)</v>
      </c>
      <c r="D5" s="25">
        <v>55</v>
      </c>
      <c r="E5" s="40">
        <v>55</v>
      </c>
      <c r="F5" s="40">
        <v>55</v>
      </c>
      <c r="G5" s="40">
        <v>55</v>
      </c>
      <c r="H5" s="40">
        <v>55</v>
      </c>
      <c r="I5" s="40">
        <v>51.7</v>
      </c>
      <c r="J5" s="40">
        <v>48.4</v>
      </c>
      <c r="K5" s="40">
        <v>45.1</v>
      </c>
      <c r="L5" s="40">
        <v>41.8</v>
      </c>
      <c r="M5" s="40">
        <v>38.5</v>
      </c>
      <c r="O5" s="40"/>
    </row>
    <row r="6" spans="1:15" ht="15.75" x14ac:dyDescent="0.3">
      <c r="A6" s="2" t="s">
        <v>611</v>
      </c>
      <c r="B6" s="2">
        <v>51321</v>
      </c>
      <c r="C6" t="str">
        <f t="shared" si="0"/>
        <v>十字军</v>
      </c>
      <c r="D6" s="25">
        <v>70</v>
      </c>
      <c r="E6" s="40">
        <v>70</v>
      </c>
      <c r="F6" s="40">
        <v>70</v>
      </c>
      <c r="G6" s="40">
        <v>70</v>
      </c>
      <c r="H6" s="40">
        <v>70</v>
      </c>
      <c r="I6" s="40">
        <v>67.2</v>
      </c>
      <c r="J6" s="40">
        <v>64.400000000000006</v>
      </c>
      <c r="K6" s="40">
        <v>61.6</v>
      </c>
      <c r="L6" s="40">
        <v>58.8</v>
      </c>
      <c r="M6" s="40">
        <v>56</v>
      </c>
      <c r="O6" s="40"/>
    </row>
    <row r="7" spans="1:15" ht="15.75" x14ac:dyDescent="0.3">
      <c r="A7" s="2" t="s">
        <v>613</v>
      </c>
      <c r="B7" s="2">
        <v>51331</v>
      </c>
      <c r="C7" t="str">
        <f t="shared" si="0"/>
        <v>AMX-13</v>
      </c>
      <c r="D7" s="25">
        <v>80</v>
      </c>
      <c r="E7" s="40">
        <v>80</v>
      </c>
      <c r="F7" s="40">
        <v>80</v>
      </c>
      <c r="G7" s="40">
        <v>80</v>
      </c>
      <c r="H7" s="40">
        <v>80</v>
      </c>
      <c r="I7" s="40">
        <v>76.8</v>
      </c>
      <c r="J7" s="40">
        <v>73.599999999999994</v>
      </c>
      <c r="K7" s="40">
        <v>70.400000000000006</v>
      </c>
      <c r="L7" s="40">
        <v>67.2</v>
      </c>
      <c r="M7" s="40">
        <v>64</v>
      </c>
      <c r="O7" s="40"/>
    </row>
    <row r="8" spans="1:15" ht="15.75" x14ac:dyDescent="0.3">
      <c r="A8" s="2" t="s">
        <v>615</v>
      </c>
      <c r="B8" s="2">
        <v>51411</v>
      </c>
      <c r="C8" t="str">
        <f t="shared" si="0"/>
        <v>霞飞</v>
      </c>
      <c r="D8" s="25">
        <v>105</v>
      </c>
      <c r="E8" s="40">
        <v>105</v>
      </c>
      <c r="F8" s="40">
        <v>105</v>
      </c>
      <c r="G8" s="40">
        <v>105</v>
      </c>
      <c r="H8" s="40">
        <v>105</v>
      </c>
      <c r="I8" s="40">
        <v>105</v>
      </c>
      <c r="J8" s="40">
        <v>105</v>
      </c>
      <c r="K8" s="40">
        <v>105</v>
      </c>
      <c r="L8" s="40">
        <v>100.8</v>
      </c>
      <c r="M8" s="40">
        <v>96.6</v>
      </c>
      <c r="O8" s="40"/>
    </row>
    <row r="9" spans="1:15" ht="15.75" x14ac:dyDescent="0.3">
      <c r="A9" s="2" t="s">
        <v>618</v>
      </c>
      <c r="B9" s="2">
        <v>51421</v>
      </c>
      <c r="C9" t="str">
        <f t="shared" si="0"/>
        <v>M-41</v>
      </c>
      <c r="D9" s="25">
        <v>130</v>
      </c>
      <c r="E9" s="40">
        <v>130</v>
      </c>
      <c r="F9" s="40">
        <v>130</v>
      </c>
      <c r="G9" s="40">
        <v>130</v>
      </c>
      <c r="H9" s="40">
        <v>130</v>
      </c>
      <c r="I9" s="40">
        <v>130</v>
      </c>
      <c r="J9" s="40">
        <v>130</v>
      </c>
      <c r="K9" s="40">
        <v>130</v>
      </c>
      <c r="L9" s="40">
        <v>124.8</v>
      </c>
      <c r="M9" s="40">
        <v>119.6</v>
      </c>
      <c r="O9" s="40"/>
    </row>
    <row r="10" spans="1:15" ht="15.75" x14ac:dyDescent="0.3">
      <c r="A10" s="2" t="s">
        <v>620</v>
      </c>
      <c r="B10" s="2">
        <v>51431</v>
      </c>
      <c r="C10" t="str">
        <f t="shared" si="0"/>
        <v>BMP-3</v>
      </c>
      <c r="D10" s="25">
        <v>145</v>
      </c>
      <c r="E10" s="40">
        <v>145</v>
      </c>
      <c r="F10" s="40">
        <v>145</v>
      </c>
      <c r="G10" s="40">
        <v>145</v>
      </c>
      <c r="H10" s="40">
        <v>145</v>
      </c>
      <c r="I10" s="40">
        <v>145</v>
      </c>
      <c r="J10" s="40">
        <v>145</v>
      </c>
      <c r="K10" s="40">
        <v>145</v>
      </c>
      <c r="L10" s="40">
        <v>139.19999999999999</v>
      </c>
      <c r="M10" s="40">
        <v>133.4</v>
      </c>
      <c r="O10" s="40"/>
    </row>
    <row r="11" spans="1:15" ht="15.75" x14ac:dyDescent="0.3">
      <c r="A11" s="2" t="s">
        <v>622</v>
      </c>
      <c r="B11" s="2">
        <v>51511</v>
      </c>
      <c r="C11" t="str">
        <f t="shared" si="0"/>
        <v>59式</v>
      </c>
      <c r="D11" s="25">
        <v>195</v>
      </c>
      <c r="E11" s="40">
        <v>195</v>
      </c>
      <c r="F11" s="40">
        <v>195</v>
      </c>
      <c r="G11" s="40">
        <v>195</v>
      </c>
      <c r="H11" s="40">
        <v>195</v>
      </c>
      <c r="I11" s="40">
        <v>195</v>
      </c>
      <c r="J11" s="40">
        <v>195</v>
      </c>
      <c r="K11" s="40">
        <v>195</v>
      </c>
      <c r="L11" s="40">
        <v>195</v>
      </c>
      <c r="M11" s="40">
        <v>195</v>
      </c>
      <c r="O11" s="40"/>
    </row>
    <row r="12" spans="1:15" ht="15.75" x14ac:dyDescent="0.3">
      <c r="A12" s="2" t="s">
        <v>512</v>
      </c>
      <c r="B12" s="2">
        <v>52111</v>
      </c>
      <c r="C12" t="str">
        <f t="shared" si="0"/>
        <v>Stuart</v>
      </c>
      <c r="D12" s="25">
        <v>60</v>
      </c>
      <c r="E12" s="40">
        <v>56.4</v>
      </c>
      <c r="F12" s="40">
        <v>52.8</v>
      </c>
      <c r="G12" s="40">
        <v>49.2</v>
      </c>
      <c r="H12" s="40">
        <v>45.6</v>
      </c>
      <c r="I12" s="40">
        <v>42</v>
      </c>
      <c r="J12" s="40">
        <v>38.4</v>
      </c>
      <c r="K12" s="40">
        <v>34.799999999999997</v>
      </c>
      <c r="L12" s="40">
        <v>31.2</v>
      </c>
      <c r="M12" s="40">
        <v>27.6</v>
      </c>
      <c r="O12" s="40"/>
    </row>
    <row r="13" spans="1:15" ht="15.75" x14ac:dyDescent="0.3">
      <c r="A13" s="2" t="s">
        <v>518</v>
      </c>
      <c r="B13" s="2">
        <v>52211</v>
      </c>
      <c r="C13" t="str">
        <f t="shared" si="0"/>
        <v>T-34</v>
      </c>
      <c r="D13" s="25">
        <v>60</v>
      </c>
      <c r="E13" s="40">
        <v>60</v>
      </c>
      <c r="F13" s="40">
        <v>56.4</v>
      </c>
      <c r="G13" s="40">
        <v>52.8</v>
      </c>
      <c r="H13" s="40">
        <v>49.2</v>
      </c>
      <c r="I13" s="40">
        <v>45.6</v>
      </c>
      <c r="J13" s="40">
        <v>42</v>
      </c>
      <c r="K13" s="40">
        <v>38.4</v>
      </c>
      <c r="L13" s="40">
        <v>34.799999999999997</v>
      </c>
      <c r="M13" s="40">
        <v>31.2</v>
      </c>
      <c r="O13" s="40"/>
    </row>
    <row r="14" spans="1:15" ht="15.75" x14ac:dyDescent="0.3">
      <c r="A14" s="2" t="s">
        <v>627</v>
      </c>
      <c r="B14" s="2">
        <v>52221</v>
      </c>
      <c r="C14" t="str">
        <f t="shared" si="0"/>
        <v>四号</v>
      </c>
      <c r="D14" s="25">
        <v>80</v>
      </c>
      <c r="E14" s="40">
        <v>80</v>
      </c>
      <c r="F14" s="40">
        <v>80</v>
      </c>
      <c r="G14" s="40">
        <v>76.8</v>
      </c>
      <c r="H14" s="40">
        <v>73.599999999999994</v>
      </c>
      <c r="I14" s="40">
        <v>70.400000000000006</v>
      </c>
      <c r="J14" s="40">
        <v>67.2</v>
      </c>
      <c r="K14" s="40">
        <v>64</v>
      </c>
      <c r="L14" s="40">
        <v>60.8</v>
      </c>
      <c r="M14" s="40">
        <v>57.6</v>
      </c>
      <c r="O14" s="40"/>
    </row>
    <row r="15" spans="1:15" ht="15.75" x14ac:dyDescent="0.3">
      <c r="A15" s="2" t="s">
        <v>526</v>
      </c>
      <c r="B15" s="2">
        <v>52311</v>
      </c>
      <c r="C15" t="str">
        <f t="shared" si="0"/>
        <v>玛蒂尔达</v>
      </c>
      <c r="D15" s="25">
        <v>55</v>
      </c>
      <c r="E15" s="40">
        <v>55</v>
      </c>
      <c r="F15" s="40">
        <v>55</v>
      </c>
      <c r="G15" s="40">
        <v>55</v>
      </c>
      <c r="H15" s="40">
        <v>55</v>
      </c>
      <c r="I15" s="40">
        <v>51.7</v>
      </c>
      <c r="J15" s="40">
        <v>48.4</v>
      </c>
      <c r="K15" s="40">
        <v>45.1</v>
      </c>
      <c r="L15" s="40">
        <v>41.8</v>
      </c>
      <c r="M15" s="40">
        <v>38.5</v>
      </c>
      <c r="O15" s="40"/>
    </row>
    <row r="16" spans="1:15" ht="15.75" x14ac:dyDescent="0.3">
      <c r="A16" s="2" t="s">
        <v>630</v>
      </c>
      <c r="B16" s="2">
        <v>52321</v>
      </c>
      <c r="C16" t="str">
        <f t="shared" si="0"/>
        <v>谢尔曼</v>
      </c>
      <c r="D16" s="25">
        <v>70</v>
      </c>
      <c r="E16" s="40">
        <v>70</v>
      </c>
      <c r="F16" s="40">
        <v>70</v>
      </c>
      <c r="G16" s="40">
        <v>70</v>
      </c>
      <c r="H16" s="40">
        <v>70</v>
      </c>
      <c r="I16" s="40">
        <v>67.2</v>
      </c>
      <c r="J16" s="40">
        <v>64.400000000000006</v>
      </c>
      <c r="K16" s="40">
        <v>61.6</v>
      </c>
      <c r="L16" s="40">
        <v>58.8</v>
      </c>
      <c r="M16" s="40">
        <v>56</v>
      </c>
      <c r="O16" s="40"/>
    </row>
    <row r="17" spans="1:15" ht="15.75" x14ac:dyDescent="0.3">
      <c r="A17" s="2" t="s">
        <v>632</v>
      </c>
      <c r="B17" s="2">
        <v>52331</v>
      </c>
      <c r="C17" t="str">
        <f t="shared" si="0"/>
        <v>彗星</v>
      </c>
      <c r="D17" s="25">
        <v>80</v>
      </c>
      <c r="E17" s="40">
        <v>80</v>
      </c>
      <c r="F17" s="40">
        <v>80</v>
      </c>
      <c r="G17" s="40">
        <v>80</v>
      </c>
      <c r="H17" s="40">
        <v>80</v>
      </c>
      <c r="I17" s="40">
        <v>76.8</v>
      </c>
      <c r="J17" s="40">
        <v>73.599999999999994</v>
      </c>
      <c r="K17" s="40">
        <v>70.400000000000006</v>
      </c>
      <c r="L17" s="40">
        <v>67.2</v>
      </c>
      <c r="M17" s="40">
        <v>64</v>
      </c>
      <c r="O17" s="40"/>
    </row>
    <row r="18" spans="1:15" ht="15.75" x14ac:dyDescent="0.3">
      <c r="A18" s="2" t="s">
        <v>634</v>
      </c>
      <c r="B18" s="2">
        <v>52411</v>
      </c>
      <c r="C18" t="str">
        <f t="shared" si="0"/>
        <v>M-48</v>
      </c>
      <c r="D18" s="25">
        <v>105</v>
      </c>
      <c r="E18" s="40">
        <v>105</v>
      </c>
      <c r="F18" s="40">
        <v>105</v>
      </c>
      <c r="G18" s="40">
        <v>105</v>
      </c>
      <c r="H18" s="40">
        <v>105</v>
      </c>
      <c r="I18" s="40">
        <v>105</v>
      </c>
      <c r="J18" s="40">
        <v>105</v>
      </c>
      <c r="K18" s="40">
        <v>105</v>
      </c>
      <c r="L18" s="40">
        <v>100.8</v>
      </c>
      <c r="M18" s="40">
        <v>96.6</v>
      </c>
      <c r="O18" s="40"/>
    </row>
    <row r="19" spans="1:15" ht="15.75" x14ac:dyDescent="0.3">
      <c r="A19" s="2" t="s">
        <v>636</v>
      </c>
      <c r="B19" s="2">
        <v>52421</v>
      </c>
      <c r="C19" t="str">
        <f t="shared" si="0"/>
        <v>潘兴</v>
      </c>
      <c r="D19" s="25">
        <v>130</v>
      </c>
      <c r="E19" s="40">
        <v>130</v>
      </c>
      <c r="F19" s="40">
        <v>130</v>
      </c>
      <c r="G19" s="40">
        <v>130</v>
      </c>
      <c r="H19" s="40">
        <v>130</v>
      </c>
      <c r="I19" s="40">
        <v>130</v>
      </c>
      <c r="J19" s="40">
        <v>130</v>
      </c>
      <c r="K19" s="40">
        <v>130</v>
      </c>
      <c r="L19" s="40">
        <v>124.8</v>
      </c>
      <c r="M19" s="40">
        <v>119.6</v>
      </c>
      <c r="O19" s="40"/>
    </row>
    <row r="20" spans="1:15" ht="15.75" x14ac:dyDescent="0.3">
      <c r="A20" s="2" t="s">
        <v>638</v>
      </c>
      <c r="B20" s="2">
        <v>52431</v>
      </c>
      <c r="C20" t="str">
        <f t="shared" si="0"/>
        <v>百夫长</v>
      </c>
      <c r="D20" s="25">
        <v>145</v>
      </c>
      <c r="E20" s="40">
        <v>145</v>
      </c>
      <c r="F20" s="40">
        <v>145</v>
      </c>
      <c r="G20" s="40">
        <v>145</v>
      </c>
      <c r="H20" s="40">
        <v>145</v>
      </c>
      <c r="I20" s="40">
        <v>145</v>
      </c>
      <c r="J20" s="40">
        <v>145</v>
      </c>
      <c r="K20" s="40">
        <v>145</v>
      </c>
      <c r="L20" s="40">
        <v>139.19999999999999</v>
      </c>
      <c r="M20" s="40">
        <v>133.4</v>
      </c>
      <c r="O20" s="40"/>
    </row>
    <row r="21" spans="1:15" ht="15.75" x14ac:dyDescent="0.3">
      <c r="A21" s="2" t="s">
        <v>640</v>
      </c>
      <c r="B21" s="2">
        <v>52511</v>
      </c>
      <c r="C21" t="str">
        <f t="shared" si="0"/>
        <v>挑战者</v>
      </c>
      <c r="D21" s="25">
        <v>195</v>
      </c>
      <c r="E21" s="40">
        <v>195</v>
      </c>
      <c r="F21" s="40">
        <v>195</v>
      </c>
      <c r="G21" s="40">
        <v>195</v>
      </c>
      <c r="H21" s="40">
        <v>195</v>
      </c>
      <c r="I21" s="40">
        <v>195</v>
      </c>
      <c r="J21" s="40">
        <v>195</v>
      </c>
      <c r="K21" s="40">
        <v>195</v>
      </c>
      <c r="L21" s="40">
        <v>195</v>
      </c>
      <c r="M21" s="40">
        <v>195</v>
      </c>
      <c r="O21" s="40"/>
    </row>
    <row r="22" spans="1:15" ht="15.75" x14ac:dyDescent="0.3">
      <c r="A22" s="2" t="s">
        <v>642</v>
      </c>
      <c r="B22" s="2">
        <v>53111</v>
      </c>
      <c r="C22" t="str">
        <f t="shared" si="0"/>
        <v>B-1</v>
      </c>
      <c r="D22" s="25">
        <v>60</v>
      </c>
      <c r="E22" s="40">
        <v>56.4</v>
      </c>
      <c r="F22" s="40">
        <v>52.8</v>
      </c>
      <c r="G22" s="40">
        <v>49.2</v>
      </c>
      <c r="H22" s="40">
        <v>45.6</v>
      </c>
      <c r="I22" s="40">
        <v>42</v>
      </c>
      <c r="J22" s="40">
        <v>38.4</v>
      </c>
      <c r="K22" s="40">
        <v>34.799999999999997</v>
      </c>
      <c r="L22" s="40">
        <v>31.2</v>
      </c>
      <c r="M22" s="40">
        <v>27.6</v>
      </c>
      <c r="O22" s="40"/>
    </row>
    <row r="23" spans="1:15" ht="15.75" x14ac:dyDescent="0.3">
      <c r="A23" s="2" t="s">
        <v>644</v>
      </c>
      <c r="B23" s="2">
        <v>53211</v>
      </c>
      <c r="C23" t="str">
        <f t="shared" si="0"/>
        <v>KV-1</v>
      </c>
      <c r="D23" s="25">
        <v>60</v>
      </c>
      <c r="E23" s="40">
        <v>60</v>
      </c>
      <c r="F23" s="40">
        <v>56.4</v>
      </c>
      <c r="G23" s="40">
        <v>52.8</v>
      </c>
      <c r="H23" s="40">
        <v>49.2</v>
      </c>
      <c r="I23" s="40">
        <v>45.6</v>
      </c>
      <c r="J23" s="40">
        <v>42</v>
      </c>
      <c r="K23" s="40">
        <v>38.4</v>
      </c>
      <c r="L23" s="40">
        <v>34.799999999999997</v>
      </c>
      <c r="M23" s="40">
        <v>31.2</v>
      </c>
      <c r="O23" s="40"/>
    </row>
    <row r="24" spans="1:15" ht="15.75" x14ac:dyDescent="0.3">
      <c r="A24" s="2" t="s">
        <v>646</v>
      </c>
      <c r="B24" s="2">
        <v>53221</v>
      </c>
      <c r="C24" t="str">
        <f t="shared" si="0"/>
        <v>丘吉尔</v>
      </c>
      <c r="D24" s="25">
        <v>80</v>
      </c>
      <c r="E24" s="40">
        <v>80</v>
      </c>
      <c r="F24" s="40">
        <v>80</v>
      </c>
      <c r="G24" s="40">
        <v>76.8</v>
      </c>
      <c r="H24" s="40">
        <v>73.599999999999994</v>
      </c>
      <c r="I24" s="40">
        <v>70.400000000000006</v>
      </c>
      <c r="J24" s="40">
        <v>67.2</v>
      </c>
      <c r="K24" s="40">
        <v>64</v>
      </c>
      <c r="L24" s="40">
        <v>60.8</v>
      </c>
      <c r="M24" s="40">
        <v>57.6</v>
      </c>
      <c r="O24" s="40"/>
    </row>
    <row r="25" spans="1:15" ht="15.75" x14ac:dyDescent="0.3">
      <c r="A25" s="2" t="s">
        <v>529</v>
      </c>
      <c r="B25" s="2">
        <v>53311</v>
      </c>
      <c r="C25" t="str">
        <f t="shared" si="0"/>
        <v>黑豹</v>
      </c>
      <c r="D25" s="25">
        <v>55</v>
      </c>
      <c r="E25" s="40">
        <v>55</v>
      </c>
      <c r="F25" s="40">
        <v>55</v>
      </c>
      <c r="G25" s="40">
        <v>55</v>
      </c>
      <c r="H25" s="40">
        <v>55</v>
      </c>
      <c r="I25" s="40">
        <v>51.7</v>
      </c>
      <c r="J25" s="40">
        <v>48.4</v>
      </c>
      <c r="K25" s="40">
        <v>45.1</v>
      </c>
      <c r="L25" s="40">
        <v>41.8</v>
      </c>
      <c r="M25" s="40">
        <v>38.5</v>
      </c>
      <c r="O25" s="40"/>
    </row>
    <row r="26" spans="1:15" ht="15.75" x14ac:dyDescent="0.3">
      <c r="A26" s="2" t="s">
        <v>649</v>
      </c>
      <c r="B26" s="2">
        <v>53321</v>
      </c>
      <c r="C26" t="str">
        <f t="shared" si="0"/>
        <v>虎式</v>
      </c>
      <c r="D26" s="25">
        <v>70</v>
      </c>
      <c r="E26" s="40">
        <v>70</v>
      </c>
      <c r="F26" s="40">
        <v>70</v>
      </c>
      <c r="G26" s="40">
        <v>70</v>
      </c>
      <c r="H26" s="40">
        <v>70</v>
      </c>
      <c r="I26" s="40">
        <v>67.2</v>
      </c>
      <c r="J26" s="40">
        <v>64.400000000000006</v>
      </c>
      <c r="K26" s="40">
        <v>61.6</v>
      </c>
      <c r="L26" s="40">
        <v>58.8</v>
      </c>
      <c r="M26" s="40">
        <v>56</v>
      </c>
      <c r="O26" s="40"/>
    </row>
    <row r="27" spans="1:15" ht="15.75" x14ac:dyDescent="0.3">
      <c r="A27" s="2" t="s">
        <v>651</v>
      </c>
      <c r="B27" s="2">
        <v>53331</v>
      </c>
      <c r="C27" t="str">
        <f t="shared" si="0"/>
        <v>KV-2</v>
      </c>
      <c r="D27">
        <v>80</v>
      </c>
      <c r="E27">
        <v>80</v>
      </c>
      <c r="F27">
        <v>80</v>
      </c>
      <c r="G27">
        <v>80</v>
      </c>
      <c r="H27">
        <v>80</v>
      </c>
      <c r="I27">
        <v>76.8</v>
      </c>
      <c r="J27">
        <v>73.599999999999994</v>
      </c>
      <c r="K27">
        <v>70.400000000000006</v>
      </c>
      <c r="L27">
        <v>67.2</v>
      </c>
      <c r="M27">
        <v>64</v>
      </c>
      <c r="O27" s="40"/>
    </row>
    <row r="28" spans="1:15" ht="15.75" x14ac:dyDescent="0.3">
      <c r="A28" s="2" t="s">
        <v>653</v>
      </c>
      <c r="B28" s="2">
        <v>53411</v>
      </c>
      <c r="C28" t="str">
        <f t="shared" si="0"/>
        <v>征服者</v>
      </c>
      <c r="D28">
        <v>105</v>
      </c>
      <c r="E28">
        <v>105</v>
      </c>
      <c r="F28">
        <v>105</v>
      </c>
      <c r="G28">
        <v>105</v>
      </c>
      <c r="H28">
        <v>105</v>
      </c>
      <c r="I28">
        <v>105</v>
      </c>
      <c r="J28">
        <v>105</v>
      </c>
      <c r="K28">
        <v>105</v>
      </c>
      <c r="L28">
        <v>100.8</v>
      </c>
      <c r="M28">
        <v>96.6</v>
      </c>
      <c r="O28" s="40"/>
    </row>
    <row r="29" spans="1:15" ht="15.75" x14ac:dyDescent="0.3">
      <c r="A29" s="2" t="s">
        <v>655</v>
      </c>
      <c r="B29" s="2">
        <v>53421</v>
      </c>
      <c r="C29" t="str">
        <f t="shared" si="0"/>
        <v>IS-4</v>
      </c>
      <c r="D29">
        <v>130</v>
      </c>
      <c r="E29">
        <v>130</v>
      </c>
      <c r="F29">
        <v>130</v>
      </c>
      <c r="G29">
        <v>130</v>
      </c>
      <c r="H29">
        <v>130</v>
      </c>
      <c r="I29">
        <v>130</v>
      </c>
      <c r="J29">
        <v>130</v>
      </c>
      <c r="K29">
        <v>130</v>
      </c>
      <c r="L29">
        <v>124.8</v>
      </c>
      <c r="M29">
        <v>119.6</v>
      </c>
      <c r="O29" s="40"/>
    </row>
    <row r="30" spans="1:15" ht="15.75" x14ac:dyDescent="0.3">
      <c r="A30" s="2" t="s">
        <v>657</v>
      </c>
      <c r="B30" s="2">
        <v>53431</v>
      </c>
      <c r="C30" t="str">
        <f t="shared" si="0"/>
        <v>T-32</v>
      </c>
      <c r="D30">
        <v>145</v>
      </c>
      <c r="E30">
        <v>145</v>
      </c>
      <c r="F30">
        <v>145</v>
      </c>
      <c r="G30">
        <v>145</v>
      </c>
      <c r="H30">
        <v>145</v>
      </c>
      <c r="I30">
        <v>145</v>
      </c>
      <c r="J30">
        <v>145</v>
      </c>
      <c r="K30">
        <v>145</v>
      </c>
      <c r="L30">
        <v>139.19999999999999</v>
      </c>
      <c r="M30">
        <v>133.4</v>
      </c>
      <c r="O30" s="40"/>
    </row>
    <row r="31" spans="1:15" ht="15.75" x14ac:dyDescent="0.3">
      <c r="A31" s="2" t="s">
        <v>659</v>
      </c>
      <c r="B31" s="2">
        <v>53511</v>
      </c>
      <c r="C31" t="str">
        <f t="shared" si="0"/>
        <v>M1A2</v>
      </c>
      <c r="D31">
        <v>195</v>
      </c>
      <c r="E31">
        <v>195</v>
      </c>
      <c r="F31">
        <v>195</v>
      </c>
      <c r="G31">
        <v>195</v>
      </c>
      <c r="H31">
        <v>195</v>
      </c>
      <c r="I31">
        <v>195</v>
      </c>
      <c r="J31">
        <v>195</v>
      </c>
      <c r="K31">
        <v>195</v>
      </c>
      <c r="L31">
        <v>195</v>
      </c>
      <c r="M31">
        <v>195</v>
      </c>
      <c r="O31" s="40"/>
    </row>
    <row r="32" spans="1:15" ht="15.75" x14ac:dyDescent="0.3">
      <c r="A32" s="2" t="s">
        <v>425</v>
      </c>
      <c r="B32" s="2">
        <v>91001</v>
      </c>
      <c r="C32" t="str">
        <f t="shared" si="0"/>
        <v>T1LP1</v>
      </c>
      <c r="D32">
        <v>40</v>
      </c>
      <c r="E32">
        <v>38</v>
      </c>
      <c r="F32">
        <v>36</v>
      </c>
      <c r="G32">
        <v>34</v>
      </c>
      <c r="H32">
        <v>32</v>
      </c>
      <c r="I32">
        <v>30</v>
      </c>
      <c r="J32">
        <v>28</v>
      </c>
      <c r="K32">
        <v>26</v>
      </c>
      <c r="L32">
        <v>24</v>
      </c>
      <c r="M32">
        <v>22</v>
      </c>
      <c r="O32" s="40"/>
    </row>
    <row r="33" spans="1:13" ht="15.75" x14ac:dyDescent="0.3">
      <c r="A33" s="2" t="s">
        <v>434</v>
      </c>
      <c r="B33" s="2">
        <v>91002</v>
      </c>
      <c r="C33" t="str">
        <f t="shared" si="0"/>
        <v>T1LP2</v>
      </c>
      <c r="D33">
        <v>40</v>
      </c>
      <c r="E33">
        <v>38</v>
      </c>
      <c r="F33">
        <v>36</v>
      </c>
      <c r="G33">
        <v>34</v>
      </c>
      <c r="H33">
        <v>32</v>
      </c>
      <c r="I33">
        <v>30</v>
      </c>
      <c r="J33">
        <v>28</v>
      </c>
      <c r="K33">
        <v>26</v>
      </c>
      <c r="L33">
        <v>24</v>
      </c>
      <c r="M33">
        <v>22</v>
      </c>
    </row>
    <row r="34" spans="1:13" ht="15.75" x14ac:dyDescent="0.3">
      <c r="A34" s="2" t="s">
        <v>426</v>
      </c>
      <c r="B34" s="2">
        <v>91003</v>
      </c>
      <c r="C34" t="str">
        <f t="shared" si="0"/>
        <v>T1LP3</v>
      </c>
      <c r="D34">
        <v>40</v>
      </c>
      <c r="E34">
        <v>38</v>
      </c>
      <c r="F34">
        <v>36</v>
      </c>
      <c r="G34">
        <v>34</v>
      </c>
      <c r="H34">
        <v>32</v>
      </c>
      <c r="I34">
        <v>30</v>
      </c>
      <c r="J34">
        <v>28</v>
      </c>
      <c r="K34">
        <v>26</v>
      </c>
      <c r="L34">
        <v>24</v>
      </c>
      <c r="M34">
        <v>22</v>
      </c>
    </row>
    <row r="35" spans="1:13" ht="15.75" x14ac:dyDescent="0.3">
      <c r="A35" s="2" t="s">
        <v>435</v>
      </c>
      <c r="B35" s="2">
        <v>91004</v>
      </c>
      <c r="C35" t="str">
        <f t="shared" si="0"/>
        <v>T1LP4</v>
      </c>
      <c r="D35">
        <v>40</v>
      </c>
      <c r="E35">
        <v>38</v>
      </c>
      <c r="F35">
        <v>36</v>
      </c>
      <c r="G35">
        <v>34</v>
      </c>
      <c r="H35">
        <v>32</v>
      </c>
      <c r="I35">
        <v>30</v>
      </c>
      <c r="J35">
        <v>28</v>
      </c>
      <c r="K35">
        <v>26</v>
      </c>
      <c r="L35">
        <v>24</v>
      </c>
      <c r="M35">
        <v>22</v>
      </c>
    </row>
    <row r="36" spans="1:13" ht="15.75" x14ac:dyDescent="0.3">
      <c r="A36" s="2" t="s">
        <v>427</v>
      </c>
      <c r="B36" s="2">
        <v>91005</v>
      </c>
      <c r="C36" t="str">
        <f t="shared" si="0"/>
        <v>T1LP5</v>
      </c>
      <c r="D36">
        <v>40</v>
      </c>
      <c r="E36">
        <v>38</v>
      </c>
      <c r="F36">
        <v>36</v>
      </c>
      <c r="G36">
        <v>34</v>
      </c>
      <c r="H36">
        <v>32</v>
      </c>
      <c r="I36">
        <v>30</v>
      </c>
      <c r="J36">
        <v>28</v>
      </c>
      <c r="K36">
        <v>26</v>
      </c>
      <c r="L36">
        <v>24</v>
      </c>
      <c r="M36">
        <v>22</v>
      </c>
    </row>
    <row r="37" spans="1:13" ht="15.75" x14ac:dyDescent="0.3">
      <c r="A37" s="2" t="s">
        <v>436</v>
      </c>
      <c r="B37" s="2">
        <v>91006</v>
      </c>
      <c r="C37" t="str">
        <f t="shared" si="0"/>
        <v>T1LP6</v>
      </c>
      <c r="D37">
        <v>40</v>
      </c>
      <c r="E37">
        <v>38</v>
      </c>
      <c r="F37">
        <v>36</v>
      </c>
      <c r="G37">
        <v>34</v>
      </c>
      <c r="H37">
        <v>32</v>
      </c>
      <c r="I37">
        <v>30</v>
      </c>
      <c r="J37">
        <v>28</v>
      </c>
      <c r="K37">
        <v>26</v>
      </c>
      <c r="L37">
        <v>24</v>
      </c>
      <c r="M37">
        <v>22</v>
      </c>
    </row>
    <row r="38" spans="1:13" ht="15.75" x14ac:dyDescent="0.3">
      <c r="A38" s="2" t="s">
        <v>428</v>
      </c>
      <c r="B38" s="2">
        <v>91101</v>
      </c>
      <c r="C38" t="str">
        <f t="shared" si="0"/>
        <v>T1MP1</v>
      </c>
      <c r="D38">
        <v>40</v>
      </c>
      <c r="E38">
        <v>38</v>
      </c>
      <c r="F38">
        <v>36</v>
      </c>
      <c r="G38">
        <v>34</v>
      </c>
      <c r="H38">
        <v>32</v>
      </c>
      <c r="I38">
        <v>30</v>
      </c>
      <c r="J38">
        <v>28</v>
      </c>
      <c r="K38">
        <v>26</v>
      </c>
      <c r="L38">
        <v>24</v>
      </c>
      <c r="M38">
        <v>22</v>
      </c>
    </row>
    <row r="39" spans="1:13" ht="15.75" x14ac:dyDescent="0.3">
      <c r="A39" s="2" t="s">
        <v>437</v>
      </c>
      <c r="B39" s="2">
        <v>91102</v>
      </c>
      <c r="C39" t="str">
        <f t="shared" si="0"/>
        <v>T1MP2</v>
      </c>
      <c r="D39">
        <v>40</v>
      </c>
      <c r="E39">
        <v>38</v>
      </c>
      <c r="F39">
        <v>36</v>
      </c>
      <c r="G39">
        <v>34</v>
      </c>
      <c r="H39">
        <v>32</v>
      </c>
      <c r="I39">
        <v>30</v>
      </c>
      <c r="J39">
        <v>28</v>
      </c>
      <c r="K39">
        <v>26</v>
      </c>
      <c r="L39">
        <v>24</v>
      </c>
      <c r="M39">
        <v>22</v>
      </c>
    </row>
    <row r="40" spans="1:13" ht="15.75" x14ac:dyDescent="0.3">
      <c r="A40" s="2" t="s">
        <v>429</v>
      </c>
      <c r="B40" s="2">
        <v>91103</v>
      </c>
      <c r="C40" t="str">
        <f t="shared" si="0"/>
        <v>T1MP3</v>
      </c>
      <c r="D40">
        <v>40</v>
      </c>
      <c r="E40">
        <v>38</v>
      </c>
      <c r="F40">
        <v>36</v>
      </c>
      <c r="G40">
        <v>34</v>
      </c>
      <c r="H40">
        <v>32</v>
      </c>
      <c r="I40">
        <v>30</v>
      </c>
      <c r="J40">
        <v>28</v>
      </c>
      <c r="K40">
        <v>26</v>
      </c>
      <c r="L40">
        <v>24</v>
      </c>
      <c r="M40">
        <v>22</v>
      </c>
    </row>
    <row r="41" spans="1:13" ht="15.75" x14ac:dyDescent="0.3">
      <c r="A41" s="2" t="s">
        <v>438</v>
      </c>
      <c r="B41" s="2">
        <v>91104</v>
      </c>
      <c r="C41" t="str">
        <f t="shared" si="0"/>
        <v>T1MP4</v>
      </c>
      <c r="D41">
        <v>40</v>
      </c>
      <c r="E41">
        <v>38</v>
      </c>
      <c r="F41">
        <v>36</v>
      </c>
      <c r="G41">
        <v>34</v>
      </c>
      <c r="H41">
        <v>32</v>
      </c>
      <c r="I41">
        <v>30</v>
      </c>
      <c r="J41">
        <v>28</v>
      </c>
      <c r="K41">
        <v>26</v>
      </c>
      <c r="L41">
        <v>24</v>
      </c>
      <c r="M41">
        <v>22</v>
      </c>
    </row>
    <row r="42" spans="1:13" ht="15.75" x14ac:dyDescent="0.3">
      <c r="A42" s="2" t="s">
        <v>430</v>
      </c>
      <c r="B42" s="2">
        <v>91105</v>
      </c>
      <c r="C42" t="str">
        <f t="shared" si="0"/>
        <v>T1MP5</v>
      </c>
      <c r="D42">
        <v>40</v>
      </c>
      <c r="E42">
        <v>38</v>
      </c>
      <c r="F42">
        <v>36</v>
      </c>
      <c r="G42">
        <v>34</v>
      </c>
      <c r="H42">
        <v>32</v>
      </c>
      <c r="I42">
        <v>30</v>
      </c>
      <c r="J42">
        <v>28</v>
      </c>
      <c r="K42">
        <v>26</v>
      </c>
      <c r="L42">
        <v>24</v>
      </c>
      <c r="M42">
        <v>22</v>
      </c>
    </row>
    <row r="43" spans="1:13" ht="15.75" x14ac:dyDescent="0.3">
      <c r="A43" s="2" t="s">
        <v>439</v>
      </c>
      <c r="B43" s="2">
        <v>91106</v>
      </c>
      <c r="C43" t="str">
        <f t="shared" si="0"/>
        <v>T1MP6</v>
      </c>
      <c r="D43">
        <v>40</v>
      </c>
      <c r="E43">
        <v>38</v>
      </c>
      <c r="F43">
        <v>36</v>
      </c>
      <c r="G43">
        <v>34</v>
      </c>
      <c r="H43">
        <v>32</v>
      </c>
      <c r="I43">
        <v>30</v>
      </c>
      <c r="J43">
        <v>28</v>
      </c>
      <c r="K43">
        <v>26</v>
      </c>
      <c r="L43">
        <v>24</v>
      </c>
      <c r="M43">
        <v>22</v>
      </c>
    </row>
    <row r="44" spans="1:13" ht="15.75" x14ac:dyDescent="0.3">
      <c r="A44" s="2" t="s">
        <v>431</v>
      </c>
      <c r="B44" s="2">
        <v>91201</v>
      </c>
      <c r="C44" t="str">
        <f t="shared" si="0"/>
        <v>T1HP1</v>
      </c>
      <c r="D44">
        <v>40</v>
      </c>
      <c r="E44">
        <v>38</v>
      </c>
      <c r="F44">
        <v>36</v>
      </c>
      <c r="G44">
        <v>34</v>
      </c>
      <c r="H44">
        <v>32</v>
      </c>
      <c r="I44">
        <v>30</v>
      </c>
      <c r="J44">
        <v>28</v>
      </c>
      <c r="K44">
        <v>26</v>
      </c>
      <c r="L44">
        <v>24</v>
      </c>
      <c r="M44">
        <v>22</v>
      </c>
    </row>
    <row r="45" spans="1:13" ht="15.75" x14ac:dyDescent="0.3">
      <c r="A45" s="2" t="s">
        <v>440</v>
      </c>
      <c r="B45" s="2">
        <v>91202</v>
      </c>
      <c r="C45" t="str">
        <f t="shared" si="0"/>
        <v>T1HP2</v>
      </c>
      <c r="D45">
        <v>40</v>
      </c>
      <c r="E45">
        <v>38</v>
      </c>
      <c r="F45">
        <v>36</v>
      </c>
      <c r="G45">
        <v>34</v>
      </c>
      <c r="H45">
        <v>32</v>
      </c>
      <c r="I45">
        <v>30</v>
      </c>
      <c r="J45">
        <v>28</v>
      </c>
      <c r="K45">
        <v>26</v>
      </c>
      <c r="L45">
        <v>24</v>
      </c>
      <c r="M45">
        <v>22</v>
      </c>
    </row>
    <row r="46" spans="1:13" ht="15.75" x14ac:dyDescent="0.3">
      <c r="A46" s="2" t="s">
        <v>432</v>
      </c>
      <c r="B46" s="2">
        <v>91203</v>
      </c>
      <c r="C46" t="str">
        <f t="shared" si="0"/>
        <v>T1HP3</v>
      </c>
      <c r="D46">
        <v>40</v>
      </c>
      <c r="E46">
        <v>38</v>
      </c>
      <c r="F46">
        <v>36</v>
      </c>
      <c r="G46">
        <v>34</v>
      </c>
      <c r="H46">
        <v>32</v>
      </c>
      <c r="I46">
        <v>30</v>
      </c>
      <c r="J46">
        <v>28</v>
      </c>
      <c r="K46">
        <v>26</v>
      </c>
      <c r="L46">
        <v>24</v>
      </c>
      <c r="M46">
        <v>22</v>
      </c>
    </row>
    <row r="47" spans="1:13" ht="15.75" x14ac:dyDescent="0.3">
      <c r="A47" s="2" t="s">
        <v>441</v>
      </c>
      <c r="B47" s="2">
        <v>91204</v>
      </c>
      <c r="C47" t="str">
        <f t="shared" si="0"/>
        <v>T1HP4</v>
      </c>
      <c r="D47">
        <v>40</v>
      </c>
      <c r="E47">
        <v>38</v>
      </c>
      <c r="F47">
        <v>36</v>
      </c>
      <c r="G47">
        <v>34</v>
      </c>
      <c r="H47">
        <v>32</v>
      </c>
      <c r="I47">
        <v>30</v>
      </c>
      <c r="J47">
        <v>28</v>
      </c>
      <c r="K47">
        <v>26</v>
      </c>
      <c r="L47">
        <v>24</v>
      </c>
      <c r="M47">
        <v>22</v>
      </c>
    </row>
    <row r="48" spans="1:13" ht="15.75" x14ac:dyDescent="0.3">
      <c r="A48" s="2" t="s">
        <v>433</v>
      </c>
      <c r="B48" s="2">
        <v>91205</v>
      </c>
      <c r="C48" t="str">
        <f t="shared" si="0"/>
        <v>T1HP5</v>
      </c>
      <c r="D48">
        <v>40</v>
      </c>
      <c r="E48">
        <v>38</v>
      </c>
      <c r="F48">
        <v>36</v>
      </c>
      <c r="G48">
        <v>34</v>
      </c>
      <c r="H48">
        <v>32</v>
      </c>
      <c r="I48">
        <v>30</v>
      </c>
      <c r="J48">
        <v>28</v>
      </c>
      <c r="K48">
        <v>26</v>
      </c>
      <c r="L48">
        <v>24</v>
      </c>
      <c r="M48">
        <v>22</v>
      </c>
    </row>
    <row r="49" spans="1:13" ht="15.75" x14ac:dyDescent="0.3">
      <c r="A49" s="2" t="s">
        <v>442</v>
      </c>
      <c r="B49" s="2">
        <v>91206</v>
      </c>
      <c r="C49" t="str">
        <f t="shared" si="0"/>
        <v>T1HP6</v>
      </c>
      <c r="D49">
        <v>40</v>
      </c>
      <c r="E49">
        <v>38</v>
      </c>
      <c r="F49">
        <v>36</v>
      </c>
      <c r="G49">
        <v>34</v>
      </c>
      <c r="H49">
        <v>32</v>
      </c>
      <c r="I49">
        <v>30</v>
      </c>
      <c r="J49">
        <v>28</v>
      </c>
      <c r="K49">
        <v>26</v>
      </c>
      <c r="L49">
        <v>24</v>
      </c>
      <c r="M49">
        <v>22</v>
      </c>
    </row>
    <row r="50" spans="1:13" ht="15.75" x14ac:dyDescent="0.3">
      <c r="A50" s="2" t="s">
        <v>444</v>
      </c>
      <c r="B50" s="2">
        <v>92001</v>
      </c>
      <c r="C50" t="str">
        <f t="shared" si="0"/>
        <v>T2LP1</v>
      </c>
      <c r="D50">
        <v>70</v>
      </c>
      <c r="E50">
        <v>70</v>
      </c>
      <c r="F50">
        <v>70</v>
      </c>
      <c r="G50">
        <v>67.55</v>
      </c>
      <c r="H50">
        <v>65.099999999999994</v>
      </c>
      <c r="I50">
        <v>62.65</v>
      </c>
      <c r="J50">
        <v>60.2</v>
      </c>
      <c r="K50">
        <v>57.75</v>
      </c>
      <c r="L50">
        <v>55.3</v>
      </c>
      <c r="M50">
        <v>52.85</v>
      </c>
    </row>
    <row r="51" spans="1:13" ht="15.75" x14ac:dyDescent="0.3">
      <c r="A51" s="2" t="s">
        <v>453</v>
      </c>
      <c r="B51" s="2">
        <v>92002</v>
      </c>
      <c r="C51" t="str">
        <f t="shared" si="0"/>
        <v>T2LP2</v>
      </c>
      <c r="D51">
        <v>70</v>
      </c>
      <c r="E51">
        <v>70</v>
      </c>
      <c r="F51">
        <v>70</v>
      </c>
      <c r="G51">
        <v>67.55</v>
      </c>
      <c r="H51">
        <v>65.099999999999994</v>
      </c>
      <c r="I51">
        <v>62.65</v>
      </c>
      <c r="J51">
        <v>60.2</v>
      </c>
      <c r="K51">
        <v>57.75</v>
      </c>
      <c r="L51">
        <v>55.3</v>
      </c>
      <c r="M51">
        <v>52.85</v>
      </c>
    </row>
    <row r="52" spans="1:13" ht="15.75" x14ac:dyDescent="0.3">
      <c r="A52" s="2" t="s">
        <v>445</v>
      </c>
      <c r="B52" s="2">
        <v>92003</v>
      </c>
      <c r="C52" t="str">
        <f t="shared" si="0"/>
        <v>T2LP3</v>
      </c>
      <c r="D52">
        <v>70</v>
      </c>
      <c r="E52">
        <v>70</v>
      </c>
      <c r="F52">
        <v>70</v>
      </c>
      <c r="G52">
        <v>67.55</v>
      </c>
      <c r="H52">
        <v>65.099999999999994</v>
      </c>
      <c r="I52">
        <v>62.65</v>
      </c>
      <c r="J52">
        <v>60.2</v>
      </c>
      <c r="K52">
        <v>57.75</v>
      </c>
      <c r="L52">
        <v>55.3</v>
      </c>
      <c r="M52">
        <v>52.85</v>
      </c>
    </row>
    <row r="53" spans="1:13" ht="15.75" x14ac:dyDescent="0.3">
      <c r="A53" s="2" t="s">
        <v>454</v>
      </c>
      <c r="B53" s="2">
        <v>92004</v>
      </c>
      <c r="C53" t="str">
        <f t="shared" si="0"/>
        <v>T2LP4</v>
      </c>
      <c r="D53">
        <v>70</v>
      </c>
      <c r="E53">
        <v>70</v>
      </c>
      <c r="F53">
        <v>70</v>
      </c>
      <c r="G53">
        <v>67.55</v>
      </c>
      <c r="H53">
        <v>65.099999999999994</v>
      </c>
      <c r="I53">
        <v>62.65</v>
      </c>
      <c r="J53">
        <v>60.2</v>
      </c>
      <c r="K53">
        <v>57.75</v>
      </c>
      <c r="L53">
        <v>55.3</v>
      </c>
      <c r="M53">
        <v>52.85</v>
      </c>
    </row>
    <row r="54" spans="1:13" ht="15.75" x14ac:dyDescent="0.3">
      <c r="A54" s="2" t="s">
        <v>446</v>
      </c>
      <c r="B54" s="2">
        <v>92005</v>
      </c>
      <c r="C54" t="str">
        <f t="shared" si="0"/>
        <v>T2LP5</v>
      </c>
      <c r="D54">
        <v>70</v>
      </c>
      <c r="E54">
        <v>70</v>
      </c>
      <c r="F54">
        <v>70</v>
      </c>
      <c r="G54">
        <v>67.55</v>
      </c>
      <c r="H54">
        <v>65.099999999999994</v>
      </c>
      <c r="I54">
        <v>62.65</v>
      </c>
      <c r="J54">
        <v>60.2</v>
      </c>
      <c r="K54">
        <v>57.75</v>
      </c>
      <c r="L54">
        <v>55.3</v>
      </c>
      <c r="M54">
        <v>52.85</v>
      </c>
    </row>
    <row r="55" spans="1:13" ht="15.75" x14ac:dyDescent="0.3">
      <c r="A55" s="2" t="s">
        <v>455</v>
      </c>
      <c r="B55" s="2">
        <v>92006</v>
      </c>
      <c r="C55" t="str">
        <f t="shared" si="0"/>
        <v>T2LP6</v>
      </c>
      <c r="D55">
        <v>70</v>
      </c>
      <c r="E55">
        <v>70</v>
      </c>
      <c r="F55">
        <v>70</v>
      </c>
      <c r="G55">
        <v>67.55</v>
      </c>
      <c r="H55">
        <v>65.099999999999994</v>
      </c>
      <c r="I55">
        <v>62.65</v>
      </c>
      <c r="J55">
        <v>60.2</v>
      </c>
      <c r="K55">
        <v>57.75</v>
      </c>
      <c r="L55">
        <v>55.3</v>
      </c>
      <c r="M55">
        <v>52.85</v>
      </c>
    </row>
    <row r="56" spans="1:13" ht="15.75" x14ac:dyDescent="0.3">
      <c r="A56" s="2" t="s">
        <v>447</v>
      </c>
      <c r="B56" s="2">
        <v>92101</v>
      </c>
      <c r="C56" t="str">
        <f t="shared" si="0"/>
        <v>T2MP1</v>
      </c>
      <c r="D56">
        <v>70</v>
      </c>
      <c r="E56">
        <v>70</v>
      </c>
      <c r="F56">
        <v>70</v>
      </c>
      <c r="G56">
        <v>67.55</v>
      </c>
      <c r="H56">
        <v>65.099999999999994</v>
      </c>
      <c r="I56">
        <v>62.65</v>
      </c>
      <c r="J56">
        <v>60.2</v>
      </c>
      <c r="K56">
        <v>57.75</v>
      </c>
      <c r="L56">
        <v>55.3</v>
      </c>
      <c r="M56">
        <v>52.85</v>
      </c>
    </row>
    <row r="57" spans="1:13" ht="15.75" x14ac:dyDescent="0.3">
      <c r="A57" s="2" t="s">
        <v>456</v>
      </c>
      <c r="B57" s="2">
        <v>92102</v>
      </c>
      <c r="C57" t="str">
        <f t="shared" si="0"/>
        <v>T2MP2</v>
      </c>
      <c r="D57">
        <v>70</v>
      </c>
      <c r="E57">
        <v>70</v>
      </c>
      <c r="F57">
        <v>70</v>
      </c>
      <c r="G57">
        <v>67.55</v>
      </c>
      <c r="H57">
        <v>65.099999999999994</v>
      </c>
      <c r="I57">
        <v>62.65</v>
      </c>
      <c r="J57">
        <v>60.2</v>
      </c>
      <c r="K57">
        <v>57.75</v>
      </c>
      <c r="L57">
        <v>55.3</v>
      </c>
      <c r="M57">
        <v>52.85</v>
      </c>
    </row>
    <row r="58" spans="1:13" ht="15.75" x14ac:dyDescent="0.3">
      <c r="A58" s="2" t="s">
        <v>448</v>
      </c>
      <c r="B58" s="2">
        <v>92103</v>
      </c>
      <c r="C58" t="str">
        <f t="shared" si="0"/>
        <v>T2MP3</v>
      </c>
      <c r="D58">
        <v>70</v>
      </c>
      <c r="E58">
        <v>70</v>
      </c>
      <c r="F58">
        <v>70</v>
      </c>
      <c r="G58">
        <v>67.55</v>
      </c>
      <c r="H58">
        <v>65.099999999999994</v>
      </c>
      <c r="I58">
        <v>62.65</v>
      </c>
      <c r="J58">
        <v>60.2</v>
      </c>
      <c r="K58">
        <v>57.75</v>
      </c>
      <c r="L58">
        <v>55.3</v>
      </c>
      <c r="M58">
        <v>52.85</v>
      </c>
    </row>
    <row r="59" spans="1:13" ht="15.75" x14ac:dyDescent="0.3">
      <c r="A59" s="2" t="s">
        <v>457</v>
      </c>
      <c r="B59" s="2">
        <v>92104</v>
      </c>
      <c r="C59" t="str">
        <f t="shared" si="0"/>
        <v>T2MP4</v>
      </c>
      <c r="D59">
        <v>70</v>
      </c>
      <c r="E59">
        <v>70</v>
      </c>
      <c r="F59">
        <v>70</v>
      </c>
      <c r="G59">
        <v>67.55</v>
      </c>
      <c r="H59">
        <v>65.099999999999994</v>
      </c>
      <c r="I59">
        <v>62.65</v>
      </c>
      <c r="J59">
        <v>60.2</v>
      </c>
      <c r="K59">
        <v>57.75</v>
      </c>
      <c r="L59">
        <v>55.3</v>
      </c>
      <c r="M59">
        <v>52.85</v>
      </c>
    </row>
    <row r="60" spans="1:13" ht="15.75" x14ac:dyDescent="0.3">
      <c r="A60" s="2" t="s">
        <v>449</v>
      </c>
      <c r="B60" s="2">
        <v>92105</v>
      </c>
      <c r="C60" t="str">
        <f t="shared" si="0"/>
        <v>T2MP5</v>
      </c>
      <c r="D60">
        <v>70</v>
      </c>
      <c r="E60">
        <v>70</v>
      </c>
      <c r="F60">
        <v>70</v>
      </c>
      <c r="G60">
        <v>67.55</v>
      </c>
      <c r="H60">
        <v>65.099999999999994</v>
      </c>
      <c r="I60">
        <v>62.65</v>
      </c>
      <c r="J60">
        <v>60.2</v>
      </c>
      <c r="K60">
        <v>57.75</v>
      </c>
      <c r="L60">
        <v>55.3</v>
      </c>
      <c r="M60">
        <v>52.85</v>
      </c>
    </row>
    <row r="61" spans="1:13" ht="15.75" x14ac:dyDescent="0.3">
      <c r="A61" s="2" t="s">
        <v>458</v>
      </c>
      <c r="B61" s="2">
        <v>92106</v>
      </c>
      <c r="C61" t="str">
        <f t="shared" si="0"/>
        <v>T2MP6</v>
      </c>
      <c r="D61">
        <v>70</v>
      </c>
      <c r="E61">
        <v>70</v>
      </c>
      <c r="F61">
        <v>70</v>
      </c>
      <c r="G61">
        <v>67.55</v>
      </c>
      <c r="H61">
        <v>65.099999999999994</v>
      </c>
      <c r="I61">
        <v>62.65</v>
      </c>
      <c r="J61">
        <v>60.2</v>
      </c>
      <c r="K61">
        <v>57.75</v>
      </c>
      <c r="L61">
        <v>55.3</v>
      </c>
      <c r="M61">
        <v>52.85</v>
      </c>
    </row>
    <row r="62" spans="1:13" ht="15.75" x14ac:dyDescent="0.3">
      <c r="A62" s="2" t="s">
        <v>450</v>
      </c>
      <c r="B62" s="2">
        <v>92201</v>
      </c>
      <c r="C62" t="str">
        <f t="shared" si="0"/>
        <v>T2HP1</v>
      </c>
      <c r="D62">
        <v>70</v>
      </c>
      <c r="E62">
        <v>70</v>
      </c>
      <c r="F62">
        <v>70</v>
      </c>
      <c r="G62">
        <v>67.55</v>
      </c>
      <c r="H62">
        <v>65.099999999999994</v>
      </c>
      <c r="I62">
        <v>62.65</v>
      </c>
      <c r="J62">
        <v>60.2</v>
      </c>
      <c r="K62">
        <v>57.75</v>
      </c>
      <c r="L62">
        <v>55.3</v>
      </c>
      <c r="M62">
        <v>52.85</v>
      </c>
    </row>
    <row r="63" spans="1:13" ht="15.75" x14ac:dyDescent="0.3">
      <c r="A63" s="2" t="s">
        <v>459</v>
      </c>
      <c r="B63" s="2">
        <v>92202</v>
      </c>
      <c r="C63" t="str">
        <f t="shared" si="0"/>
        <v>T2HP2</v>
      </c>
      <c r="D63">
        <v>70</v>
      </c>
      <c r="E63">
        <v>70</v>
      </c>
      <c r="F63">
        <v>70</v>
      </c>
      <c r="G63">
        <v>67.55</v>
      </c>
      <c r="H63">
        <v>65.099999999999994</v>
      </c>
      <c r="I63">
        <v>62.65</v>
      </c>
      <c r="J63">
        <v>60.2</v>
      </c>
      <c r="K63">
        <v>57.75</v>
      </c>
      <c r="L63">
        <v>55.3</v>
      </c>
      <c r="M63">
        <v>52.85</v>
      </c>
    </row>
    <row r="64" spans="1:13" ht="15.75" x14ac:dyDescent="0.3">
      <c r="A64" s="2" t="s">
        <v>451</v>
      </c>
      <c r="B64" s="2">
        <v>92203</v>
      </c>
      <c r="C64" t="str">
        <f t="shared" si="0"/>
        <v>T2HP3</v>
      </c>
      <c r="D64">
        <v>70</v>
      </c>
      <c r="E64">
        <v>70</v>
      </c>
      <c r="F64">
        <v>70</v>
      </c>
      <c r="G64">
        <v>67.55</v>
      </c>
      <c r="H64">
        <v>65.099999999999994</v>
      </c>
      <c r="I64">
        <v>62.65</v>
      </c>
      <c r="J64">
        <v>60.2</v>
      </c>
      <c r="K64">
        <v>57.75</v>
      </c>
      <c r="L64">
        <v>55.3</v>
      </c>
      <c r="M64">
        <v>52.85</v>
      </c>
    </row>
    <row r="65" spans="1:13" ht="15.75" x14ac:dyDescent="0.3">
      <c r="A65" s="2" t="s">
        <v>460</v>
      </c>
      <c r="B65" s="2">
        <v>92204</v>
      </c>
      <c r="C65" t="str">
        <f t="shared" si="0"/>
        <v>T2HP4</v>
      </c>
      <c r="D65">
        <v>70</v>
      </c>
      <c r="E65">
        <v>70</v>
      </c>
      <c r="F65">
        <v>70</v>
      </c>
      <c r="G65">
        <v>67.55</v>
      </c>
      <c r="H65">
        <v>65.099999999999994</v>
      </c>
      <c r="I65">
        <v>62.65</v>
      </c>
      <c r="J65">
        <v>60.2</v>
      </c>
      <c r="K65">
        <v>57.75</v>
      </c>
      <c r="L65">
        <v>55.3</v>
      </c>
      <c r="M65">
        <v>52.85</v>
      </c>
    </row>
    <row r="66" spans="1:13" ht="15.75" x14ac:dyDescent="0.3">
      <c r="A66" s="2" t="s">
        <v>452</v>
      </c>
      <c r="B66" s="2">
        <v>92205</v>
      </c>
      <c r="C66" t="str">
        <f t="shared" si="0"/>
        <v>T2HP5</v>
      </c>
      <c r="D66">
        <v>70</v>
      </c>
      <c r="E66">
        <v>70</v>
      </c>
      <c r="F66">
        <v>70</v>
      </c>
      <c r="G66">
        <v>67.55</v>
      </c>
      <c r="H66">
        <v>65.099999999999994</v>
      </c>
      <c r="I66">
        <v>62.65</v>
      </c>
      <c r="J66">
        <v>60.2</v>
      </c>
      <c r="K66">
        <v>57.75</v>
      </c>
      <c r="L66">
        <v>55.3</v>
      </c>
      <c r="M66">
        <v>52.85</v>
      </c>
    </row>
    <row r="67" spans="1:13" ht="15.75" x14ac:dyDescent="0.3">
      <c r="A67" s="2" t="s">
        <v>461</v>
      </c>
      <c r="B67" s="2">
        <v>92206</v>
      </c>
      <c r="C67" t="str">
        <f t="shared" ref="C67:C115" si="1">A67</f>
        <v>T2HP6</v>
      </c>
      <c r="D67">
        <v>70</v>
      </c>
      <c r="E67">
        <v>70</v>
      </c>
      <c r="F67">
        <v>70</v>
      </c>
      <c r="G67">
        <v>67.55</v>
      </c>
      <c r="H67">
        <v>65.099999999999994</v>
      </c>
      <c r="I67">
        <v>62.65</v>
      </c>
      <c r="J67">
        <v>60.2</v>
      </c>
      <c r="K67">
        <v>57.75</v>
      </c>
      <c r="L67">
        <v>55.3</v>
      </c>
      <c r="M67">
        <v>52.85</v>
      </c>
    </row>
    <row r="68" spans="1:13" ht="15.75" x14ac:dyDescent="0.3">
      <c r="A68" s="2" t="s">
        <v>463</v>
      </c>
      <c r="B68" s="2">
        <v>93001</v>
      </c>
      <c r="C68" t="str">
        <f t="shared" si="1"/>
        <v>T3LP1</v>
      </c>
      <c r="D68">
        <v>120</v>
      </c>
      <c r="E68">
        <v>120</v>
      </c>
      <c r="F68">
        <v>120</v>
      </c>
      <c r="G68">
        <v>120</v>
      </c>
      <c r="H68">
        <v>120</v>
      </c>
      <c r="I68">
        <v>117.6</v>
      </c>
      <c r="J68">
        <v>115.2</v>
      </c>
      <c r="K68">
        <v>112.8</v>
      </c>
      <c r="L68">
        <v>110.4</v>
      </c>
      <c r="M68">
        <v>108</v>
      </c>
    </row>
    <row r="69" spans="1:13" ht="15.75" x14ac:dyDescent="0.3">
      <c r="A69" s="2" t="s">
        <v>472</v>
      </c>
      <c r="B69" s="2">
        <v>93002</v>
      </c>
      <c r="C69" t="str">
        <f t="shared" si="1"/>
        <v>T3LP2</v>
      </c>
      <c r="D69">
        <v>120</v>
      </c>
      <c r="E69">
        <v>120</v>
      </c>
      <c r="F69">
        <v>120</v>
      </c>
      <c r="G69">
        <v>120</v>
      </c>
      <c r="H69">
        <v>120</v>
      </c>
      <c r="I69">
        <v>117.6</v>
      </c>
      <c r="J69">
        <v>115.2</v>
      </c>
      <c r="K69">
        <v>112.8</v>
      </c>
      <c r="L69">
        <v>110.4</v>
      </c>
      <c r="M69">
        <v>108</v>
      </c>
    </row>
    <row r="70" spans="1:13" ht="15.75" x14ac:dyDescent="0.3">
      <c r="A70" s="2" t="s">
        <v>464</v>
      </c>
      <c r="B70" s="2">
        <v>93003</v>
      </c>
      <c r="C70" t="str">
        <f t="shared" si="1"/>
        <v>T3LP3</v>
      </c>
      <c r="D70">
        <v>120</v>
      </c>
      <c r="E70">
        <v>120</v>
      </c>
      <c r="F70">
        <v>120</v>
      </c>
      <c r="G70">
        <v>120</v>
      </c>
      <c r="H70">
        <v>120</v>
      </c>
      <c r="I70">
        <v>117.6</v>
      </c>
      <c r="J70">
        <v>115.2</v>
      </c>
      <c r="K70">
        <v>112.8</v>
      </c>
      <c r="L70">
        <v>110.4</v>
      </c>
      <c r="M70">
        <v>108</v>
      </c>
    </row>
    <row r="71" spans="1:13" ht="15.75" x14ac:dyDescent="0.3">
      <c r="A71" s="2" t="s">
        <v>473</v>
      </c>
      <c r="B71" s="2">
        <v>93004</v>
      </c>
      <c r="C71" t="str">
        <f t="shared" si="1"/>
        <v>T3LP4</v>
      </c>
      <c r="D71">
        <v>120</v>
      </c>
      <c r="E71">
        <v>120</v>
      </c>
      <c r="F71">
        <v>120</v>
      </c>
      <c r="G71">
        <v>120</v>
      </c>
      <c r="H71">
        <v>120</v>
      </c>
      <c r="I71">
        <v>117.6</v>
      </c>
      <c r="J71">
        <v>115.2</v>
      </c>
      <c r="K71">
        <v>112.8</v>
      </c>
      <c r="L71">
        <v>110.4</v>
      </c>
      <c r="M71">
        <v>108</v>
      </c>
    </row>
    <row r="72" spans="1:13" ht="15.75" x14ac:dyDescent="0.3">
      <c r="A72" s="2" t="s">
        <v>465</v>
      </c>
      <c r="B72" s="2">
        <v>93005</v>
      </c>
      <c r="C72" t="str">
        <f t="shared" si="1"/>
        <v>T3LP5</v>
      </c>
      <c r="D72">
        <v>120</v>
      </c>
      <c r="E72">
        <v>120</v>
      </c>
      <c r="F72">
        <v>120</v>
      </c>
      <c r="G72">
        <v>120</v>
      </c>
      <c r="H72">
        <v>120</v>
      </c>
      <c r="I72">
        <v>117.6</v>
      </c>
      <c r="J72">
        <v>115.2</v>
      </c>
      <c r="K72">
        <v>112.8</v>
      </c>
      <c r="L72">
        <v>110.4</v>
      </c>
      <c r="M72">
        <v>108</v>
      </c>
    </row>
    <row r="73" spans="1:13" ht="15.75" x14ac:dyDescent="0.3">
      <c r="A73" s="2" t="s">
        <v>474</v>
      </c>
      <c r="B73" s="2">
        <v>93006</v>
      </c>
      <c r="C73" t="str">
        <f t="shared" si="1"/>
        <v>T3LP6</v>
      </c>
      <c r="D73">
        <v>120</v>
      </c>
      <c r="E73">
        <v>120</v>
      </c>
      <c r="F73">
        <v>120</v>
      </c>
      <c r="G73">
        <v>120</v>
      </c>
      <c r="H73">
        <v>120</v>
      </c>
      <c r="I73">
        <v>117.6</v>
      </c>
      <c r="J73">
        <v>115.2</v>
      </c>
      <c r="K73">
        <v>112.8</v>
      </c>
      <c r="L73">
        <v>110.4</v>
      </c>
      <c r="M73">
        <v>108</v>
      </c>
    </row>
    <row r="74" spans="1:13" ht="15.75" x14ac:dyDescent="0.3">
      <c r="A74" s="2" t="s">
        <v>466</v>
      </c>
      <c r="B74" s="2">
        <v>93101</v>
      </c>
      <c r="C74" t="str">
        <f t="shared" si="1"/>
        <v>T3MP1</v>
      </c>
      <c r="D74">
        <v>120</v>
      </c>
      <c r="E74">
        <v>120</v>
      </c>
      <c r="F74">
        <v>120</v>
      </c>
      <c r="G74">
        <v>120</v>
      </c>
      <c r="H74">
        <v>120</v>
      </c>
      <c r="I74">
        <v>117.6</v>
      </c>
      <c r="J74">
        <v>115.2</v>
      </c>
      <c r="K74">
        <v>112.8</v>
      </c>
      <c r="L74">
        <v>110.4</v>
      </c>
      <c r="M74">
        <v>108</v>
      </c>
    </row>
    <row r="75" spans="1:13" ht="15.75" x14ac:dyDescent="0.3">
      <c r="A75" s="2" t="s">
        <v>475</v>
      </c>
      <c r="B75" s="2">
        <v>93102</v>
      </c>
      <c r="C75" t="str">
        <f t="shared" si="1"/>
        <v>T3MP2</v>
      </c>
      <c r="D75">
        <v>120</v>
      </c>
      <c r="E75">
        <v>120</v>
      </c>
      <c r="F75">
        <v>120</v>
      </c>
      <c r="G75">
        <v>120</v>
      </c>
      <c r="H75">
        <v>120</v>
      </c>
      <c r="I75">
        <v>117.6</v>
      </c>
      <c r="J75">
        <v>115.2</v>
      </c>
      <c r="K75">
        <v>112.8</v>
      </c>
      <c r="L75">
        <v>110.4</v>
      </c>
      <c r="M75">
        <v>108</v>
      </c>
    </row>
    <row r="76" spans="1:13" ht="15.75" x14ac:dyDescent="0.3">
      <c r="A76" s="2" t="s">
        <v>467</v>
      </c>
      <c r="B76" s="2">
        <v>93103</v>
      </c>
      <c r="C76" t="str">
        <f t="shared" si="1"/>
        <v>T3MP3</v>
      </c>
      <c r="D76">
        <v>120</v>
      </c>
      <c r="E76">
        <v>120</v>
      </c>
      <c r="F76">
        <v>120</v>
      </c>
      <c r="G76">
        <v>120</v>
      </c>
      <c r="H76">
        <v>120</v>
      </c>
      <c r="I76">
        <v>117.6</v>
      </c>
      <c r="J76">
        <v>115.2</v>
      </c>
      <c r="K76">
        <v>112.8</v>
      </c>
      <c r="L76">
        <v>110.4</v>
      </c>
      <c r="M76">
        <v>108</v>
      </c>
    </row>
    <row r="77" spans="1:13" ht="15.75" x14ac:dyDescent="0.3">
      <c r="A77" s="2" t="s">
        <v>476</v>
      </c>
      <c r="B77" s="2">
        <v>93104</v>
      </c>
      <c r="C77" t="str">
        <f t="shared" si="1"/>
        <v>T3MP4</v>
      </c>
      <c r="D77">
        <v>120</v>
      </c>
      <c r="E77">
        <v>120</v>
      </c>
      <c r="F77">
        <v>120</v>
      </c>
      <c r="G77">
        <v>120</v>
      </c>
      <c r="H77">
        <v>120</v>
      </c>
      <c r="I77">
        <v>117.6</v>
      </c>
      <c r="J77">
        <v>115.2</v>
      </c>
      <c r="K77">
        <v>112.8</v>
      </c>
      <c r="L77">
        <v>110.4</v>
      </c>
      <c r="M77">
        <v>108</v>
      </c>
    </row>
    <row r="78" spans="1:13" ht="15.75" x14ac:dyDescent="0.3">
      <c r="A78" s="2" t="s">
        <v>468</v>
      </c>
      <c r="B78" s="2">
        <v>93105</v>
      </c>
      <c r="C78" t="str">
        <f t="shared" si="1"/>
        <v>T3MP5</v>
      </c>
      <c r="D78">
        <v>120</v>
      </c>
      <c r="E78">
        <v>120</v>
      </c>
      <c r="F78">
        <v>120</v>
      </c>
      <c r="G78">
        <v>120</v>
      </c>
      <c r="H78">
        <v>120</v>
      </c>
      <c r="I78">
        <v>117.6</v>
      </c>
      <c r="J78">
        <v>115.2</v>
      </c>
      <c r="K78">
        <v>112.8</v>
      </c>
      <c r="L78">
        <v>110.4</v>
      </c>
      <c r="M78">
        <v>108</v>
      </c>
    </row>
    <row r="79" spans="1:13" ht="15.75" x14ac:dyDescent="0.3">
      <c r="A79" s="2" t="s">
        <v>477</v>
      </c>
      <c r="B79" s="2">
        <v>93106</v>
      </c>
      <c r="C79" t="str">
        <f t="shared" si="1"/>
        <v>T3MP6</v>
      </c>
      <c r="D79">
        <v>120</v>
      </c>
      <c r="E79">
        <v>120</v>
      </c>
      <c r="F79">
        <v>120</v>
      </c>
      <c r="G79">
        <v>120</v>
      </c>
      <c r="H79">
        <v>120</v>
      </c>
      <c r="I79">
        <v>117.6</v>
      </c>
      <c r="J79">
        <v>115.2</v>
      </c>
      <c r="K79">
        <v>112.8</v>
      </c>
      <c r="L79">
        <v>110.4</v>
      </c>
      <c r="M79">
        <v>108</v>
      </c>
    </row>
    <row r="80" spans="1:13" ht="15.75" x14ac:dyDescent="0.3">
      <c r="A80" s="2" t="s">
        <v>469</v>
      </c>
      <c r="B80" s="2">
        <v>93201</v>
      </c>
      <c r="C80" t="str">
        <f t="shared" si="1"/>
        <v>T3HP1</v>
      </c>
      <c r="D80">
        <v>120</v>
      </c>
      <c r="E80">
        <v>120</v>
      </c>
      <c r="F80">
        <v>120</v>
      </c>
      <c r="G80">
        <v>120</v>
      </c>
      <c r="H80">
        <v>120</v>
      </c>
      <c r="I80">
        <v>117.6</v>
      </c>
      <c r="J80">
        <v>115.2</v>
      </c>
      <c r="K80">
        <v>112.8</v>
      </c>
      <c r="L80">
        <v>110.4</v>
      </c>
      <c r="M80">
        <v>108</v>
      </c>
    </row>
    <row r="81" spans="1:13" ht="15.75" x14ac:dyDescent="0.3">
      <c r="A81" s="2" t="s">
        <v>478</v>
      </c>
      <c r="B81" s="2">
        <v>93202</v>
      </c>
      <c r="C81" t="str">
        <f t="shared" si="1"/>
        <v>T3HP2</v>
      </c>
      <c r="D81">
        <v>120</v>
      </c>
      <c r="E81">
        <v>120</v>
      </c>
      <c r="F81">
        <v>120</v>
      </c>
      <c r="G81">
        <v>120</v>
      </c>
      <c r="H81">
        <v>120</v>
      </c>
      <c r="I81">
        <v>117.6</v>
      </c>
      <c r="J81">
        <v>115.2</v>
      </c>
      <c r="K81">
        <v>112.8</v>
      </c>
      <c r="L81">
        <v>110.4</v>
      </c>
      <c r="M81">
        <v>108</v>
      </c>
    </row>
    <row r="82" spans="1:13" ht="15.75" x14ac:dyDescent="0.3">
      <c r="A82" s="2" t="s">
        <v>470</v>
      </c>
      <c r="B82" s="2">
        <v>93203</v>
      </c>
      <c r="C82" t="str">
        <f t="shared" si="1"/>
        <v>T3HP3</v>
      </c>
      <c r="D82">
        <v>120</v>
      </c>
      <c r="E82">
        <v>120</v>
      </c>
      <c r="F82">
        <v>120</v>
      </c>
      <c r="G82">
        <v>120</v>
      </c>
      <c r="H82">
        <v>120</v>
      </c>
      <c r="I82">
        <v>117.6</v>
      </c>
      <c r="J82">
        <v>115.2</v>
      </c>
      <c r="K82">
        <v>112.8</v>
      </c>
      <c r="L82">
        <v>110.4</v>
      </c>
      <c r="M82">
        <v>108</v>
      </c>
    </row>
    <row r="83" spans="1:13" ht="15.75" x14ac:dyDescent="0.3">
      <c r="A83" s="2" t="s">
        <v>479</v>
      </c>
      <c r="B83" s="2">
        <v>93204</v>
      </c>
      <c r="C83" t="str">
        <f t="shared" si="1"/>
        <v>T3HP4</v>
      </c>
      <c r="D83">
        <v>120</v>
      </c>
      <c r="E83">
        <v>120</v>
      </c>
      <c r="F83">
        <v>120</v>
      </c>
      <c r="G83">
        <v>120</v>
      </c>
      <c r="H83">
        <v>120</v>
      </c>
      <c r="I83">
        <v>117.6</v>
      </c>
      <c r="J83">
        <v>115.2</v>
      </c>
      <c r="K83">
        <v>112.8</v>
      </c>
      <c r="L83">
        <v>110.4</v>
      </c>
      <c r="M83">
        <v>108</v>
      </c>
    </row>
    <row r="84" spans="1:13" ht="15.75" x14ac:dyDescent="0.3">
      <c r="A84" s="2" t="s">
        <v>471</v>
      </c>
      <c r="B84" s="2">
        <v>93205</v>
      </c>
      <c r="C84" t="str">
        <f t="shared" si="1"/>
        <v>T3HP5</v>
      </c>
      <c r="D84">
        <v>120</v>
      </c>
      <c r="E84">
        <v>120</v>
      </c>
      <c r="F84">
        <v>120</v>
      </c>
      <c r="G84">
        <v>120</v>
      </c>
      <c r="H84">
        <v>120</v>
      </c>
      <c r="I84">
        <v>117.6</v>
      </c>
      <c r="J84">
        <v>115.2</v>
      </c>
      <c r="K84">
        <v>112.8</v>
      </c>
      <c r="L84">
        <v>110.4</v>
      </c>
      <c r="M84">
        <v>108</v>
      </c>
    </row>
    <row r="85" spans="1:13" ht="15.75" x14ac:dyDescent="0.3">
      <c r="A85" s="2" t="s">
        <v>480</v>
      </c>
      <c r="B85" s="2">
        <v>93206</v>
      </c>
      <c r="C85" t="str">
        <f t="shared" si="1"/>
        <v>T3HP6</v>
      </c>
      <c r="D85">
        <v>120</v>
      </c>
      <c r="E85">
        <v>120</v>
      </c>
      <c r="F85">
        <v>120</v>
      </c>
      <c r="G85">
        <v>120</v>
      </c>
      <c r="H85">
        <v>120</v>
      </c>
      <c r="I85">
        <v>117.6</v>
      </c>
      <c r="J85">
        <v>115.2</v>
      </c>
      <c r="K85">
        <v>112.8</v>
      </c>
      <c r="L85">
        <v>110.4</v>
      </c>
      <c r="M85">
        <v>108</v>
      </c>
    </row>
    <row r="86" spans="1:13" x14ac:dyDescent="0.15">
      <c r="A86" t="s">
        <v>510</v>
      </c>
      <c r="B86">
        <v>11111</v>
      </c>
      <c r="C86" t="str">
        <f t="shared" si="1"/>
        <v>雷诺FT</v>
      </c>
      <c r="D86">
        <v>300</v>
      </c>
      <c r="E86">
        <v>282</v>
      </c>
      <c r="F86">
        <v>264</v>
      </c>
      <c r="G86">
        <v>246</v>
      </c>
      <c r="H86">
        <v>228</v>
      </c>
      <c r="I86">
        <v>210</v>
      </c>
      <c r="J86">
        <v>192</v>
      </c>
      <c r="K86">
        <v>174</v>
      </c>
      <c r="L86">
        <v>156</v>
      </c>
      <c r="M86">
        <v>138</v>
      </c>
    </row>
    <row r="87" spans="1:13" x14ac:dyDescent="0.15">
      <c r="A87" t="s">
        <v>516</v>
      </c>
      <c r="B87">
        <v>11211</v>
      </c>
      <c r="C87" t="str">
        <f t="shared" si="1"/>
        <v>二号</v>
      </c>
      <c r="D87">
        <v>600</v>
      </c>
      <c r="E87">
        <v>600</v>
      </c>
      <c r="F87">
        <v>564</v>
      </c>
      <c r="G87">
        <v>528</v>
      </c>
      <c r="H87">
        <v>492</v>
      </c>
      <c r="I87">
        <v>456</v>
      </c>
      <c r="J87">
        <v>420</v>
      </c>
      <c r="K87">
        <v>384</v>
      </c>
      <c r="L87">
        <v>348</v>
      </c>
      <c r="M87">
        <v>312</v>
      </c>
    </row>
    <row r="88" spans="1:13" x14ac:dyDescent="0.15">
      <c r="A88" t="s">
        <v>607</v>
      </c>
      <c r="B88">
        <v>11221</v>
      </c>
      <c r="C88" t="str">
        <f t="shared" si="1"/>
        <v>Puma</v>
      </c>
      <c r="D88">
        <v>800</v>
      </c>
      <c r="E88">
        <v>800</v>
      </c>
      <c r="F88">
        <v>800</v>
      </c>
      <c r="G88">
        <v>768</v>
      </c>
      <c r="H88">
        <v>736</v>
      </c>
      <c r="I88">
        <v>704</v>
      </c>
      <c r="J88">
        <v>672</v>
      </c>
      <c r="K88">
        <v>640</v>
      </c>
      <c r="L88">
        <v>608</v>
      </c>
      <c r="M88">
        <v>576</v>
      </c>
    </row>
    <row r="89" spans="1:13" x14ac:dyDescent="0.15">
      <c r="A89" t="s">
        <v>522</v>
      </c>
      <c r="B89">
        <v>11311</v>
      </c>
      <c r="C89" t="str">
        <f t="shared" si="1"/>
        <v>35(t)</v>
      </c>
      <c r="D89">
        <v>1650</v>
      </c>
      <c r="E89">
        <v>1650</v>
      </c>
      <c r="F89">
        <v>1650</v>
      </c>
      <c r="G89">
        <v>1650</v>
      </c>
      <c r="H89">
        <v>1650</v>
      </c>
      <c r="I89">
        <v>1551</v>
      </c>
      <c r="J89">
        <v>1452</v>
      </c>
      <c r="K89">
        <v>1353</v>
      </c>
      <c r="L89">
        <v>1254</v>
      </c>
      <c r="M89">
        <v>1155</v>
      </c>
    </row>
    <row r="90" spans="1:13" x14ac:dyDescent="0.15">
      <c r="A90" t="s">
        <v>611</v>
      </c>
      <c r="B90">
        <v>11321</v>
      </c>
      <c r="C90" t="str">
        <f t="shared" si="1"/>
        <v>十字军</v>
      </c>
      <c r="D90">
        <v>2100</v>
      </c>
      <c r="E90">
        <v>2100</v>
      </c>
      <c r="F90">
        <v>2100</v>
      </c>
      <c r="G90">
        <v>2100</v>
      </c>
      <c r="H90">
        <v>2100</v>
      </c>
      <c r="I90">
        <v>2016</v>
      </c>
      <c r="J90">
        <v>1932</v>
      </c>
      <c r="K90">
        <v>1848</v>
      </c>
      <c r="L90">
        <v>1764</v>
      </c>
      <c r="M90">
        <v>1680</v>
      </c>
    </row>
    <row r="91" spans="1:13" x14ac:dyDescent="0.15">
      <c r="A91" t="s">
        <v>613</v>
      </c>
      <c r="B91">
        <v>11331</v>
      </c>
      <c r="C91" t="str">
        <f t="shared" si="1"/>
        <v>AMX-13</v>
      </c>
      <c r="D91">
        <v>2400</v>
      </c>
      <c r="E91">
        <v>2400</v>
      </c>
      <c r="F91">
        <v>2400</v>
      </c>
      <c r="G91">
        <v>2400</v>
      </c>
      <c r="H91">
        <v>2400</v>
      </c>
      <c r="I91">
        <v>2304</v>
      </c>
      <c r="J91">
        <v>2208</v>
      </c>
      <c r="K91">
        <v>2112</v>
      </c>
      <c r="L91">
        <v>2016</v>
      </c>
      <c r="M91">
        <v>1920</v>
      </c>
    </row>
    <row r="92" spans="1:13" x14ac:dyDescent="0.15">
      <c r="A92" t="s">
        <v>615</v>
      </c>
      <c r="B92">
        <v>11411</v>
      </c>
      <c r="C92" t="str">
        <f t="shared" si="1"/>
        <v>霞飞</v>
      </c>
      <c r="D92">
        <v>5250</v>
      </c>
      <c r="E92">
        <v>5250</v>
      </c>
      <c r="F92">
        <v>5250</v>
      </c>
      <c r="G92">
        <v>5250</v>
      </c>
      <c r="H92">
        <v>5250</v>
      </c>
      <c r="I92">
        <v>5250</v>
      </c>
      <c r="J92">
        <v>5250</v>
      </c>
      <c r="K92">
        <v>5250</v>
      </c>
      <c r="L92">
        <v>5040</v>
      </c>
      <c r="M92">
        <v>4830</v>
      </c>
    </row>
    <row r="93" spans="1:13" x14ac:dyDescent="0.15">
      <c r="A93" t="s">
        <v>618</v>
      </c>
      <c r="B93">
        <v>11421</v>
      </c>
      <c r="C93" t="str">
        <f t="shared" si="1"/>
        <v>M-41</v>
      </c>
      <c r="D93">
        <v>6500</v>
      </c>
      <c r="E93">
        <v>6500</v>
      </c>
      <c r="F93">
        <v>6500</v>
      </c>
      <c r="G93">
        <v>6500</v>
      </c>
      <c r="H93">
        <v>6500</v>
      </c>
      <c r="I93">
        <v>6500</v>
      </c>
      <c r="J93">
        <v>6500</v>
      </c>
      <c r="K93">
        <v>6500</v>
      </c>
      <c r="L93">
        <v>6240</v>
      </c>
      <c r="M93">
        <v>5980</v>
      </c>
    </row>
    <row r="94" spans="1:13" x14ac:dyDescent="0.15">
      <c r="A94" t="s">
        <v>620</v>
      </c>
      <c r="B94">
        <v>11431</v>
      </c>
      <c r="C94" t="str">
        <f t="shared" si="1"/>
        <v>BMP-3</v>
      </c>
      <c r="D94">
        <v>7250</v>
      </c>
      <c r="E94">
        <v>7250</v>
      </c>
      <c r="F94">
        <v>7250</v>
      </c>
      <c r="G94">
        <v>7250</v>
      </c>
      <c r="H94">
        <v>7250</v>
      </c>
      <c r="I94">
        <v>7250</v>
      </c>
      <c r="J94">
        <v>7250</v>
      </c>
      <c r="K94">
        <v>7250</v>
      </c>
      <c r="L94">
        <v>6960</v>
      </c>
      <c r="M94">
        <v>6670</v>
      </c>
    </row>
    <row r="95" spans="1:13" x14ac:dyDescent="0.15">
      <c r="A95" t="s">
        <v>622</v>
      </c>
      <c r="B95">
        <v>11511</v>
      </c>
      <c r="C95" t="str">
        <f t="shared" si="1"/>
        <v>59式</v>
      </c>
      <c r="D95">
        <v>15600</v>
      </c>
      <c r="E95">
        <v>15600</v>
      </c>
      <c r="F95">
        <v>15600</v>
      </c>
      <c r="G95">
        <v>15600</v>
      </c>
      <c r="H95">
        <v>15600</v>
      </c>
      <c r="I95">
        <v>15600</v>
      </c>
      <c r="J95">
        <v>15600</v>
      </c>
      <c r="K95">
        <v>15600</v>
      </c>
      <c r="L95">
        <v>15600</v>
      </c>
      <c r="M95">
        <v>15600</v>
      </c>
    </row>
    <row r="96" spans="1:13" x14ac:dyDescent="0.15">
      <c r="A96" t="s">
        <v>512</v>
      </c>
      <c r="B96">
        <v>12111</v>
      </c>
      <c r="C96" t="str">
        <f t="shared" si="1"/>
        <v>Stuart</v>
      </c>
      <c r="D96">
        <v>300</v>
      </c>
      <c r="E96">
        <v>282</v>
      </c>
      <c r="F96">
        <v>264</v>
      </c>
      <c r="G96">
        <v>246</v>
      </c>
      <c r="H96">
        <v>228</v>
      </c>
      <c r="I96">
        <v>210</v>
      </c>
      <c r="J96">
        <v>192</v>
      </c>
      <c r="K96">
        <v>174</v>
      </c>
      <c r="L96">
        <v>156</v>
      </c>
      <c r="M96">
        <v>138</v>
      </c>
    </row>
    <row r="97" spans="1:13" x14ac:dyDescent="0.15">
      <c r="A97" t="s">
        <v>518</v>
      </c>
      <c r="B97">
        <v>12211</v>
      </c>
      <c r="C97" t="str">
        <f t="shared" si="1"/>
        <v>T-34</v>
      </c>
      <c r="D97">
        <v>600</v>
      </c>
      <c r="E97">
        <v>600</v>
      </c>
      <c r="F97">
        <v>564</v>
      </c>
      <c r="G97">
        <v>528</v>
      </c>
      <c r="H97">
        <v>492</v>
      </c>
      <c r="I97">
        <v>456</v>
      </c>
      <c r="J97">
        <v>420</v>
      </c>
      <c r="K97">
        <v>384</v>
      </c>
      <c r="L97">
        <v>348</v>
      </c>
      <c r="M97">
        <v>312</v>
      </c>
    </row>
    <row r="98" spans="1:13" x14ac:dyDescent="0.15">
      <c r="A98" t="s">
        <v>627</v>
      </c>
      <c r="B98">
        <v>12221</v>
      </c>
      <c r="C98" t="str">
        <f t="shared" si="1"/>
        <v>四号</v>
      </c>
      <c r="D98">
        <v>800</v>
      </c>
      <c r="E98">
        <v>800</v>
      </c>
      <c r="F98">
        <v>800</v>
      </c>
      <c r="G98">
        <v>768</v>
      </c>
      <c r="H98">
        <v>736</v>
      </c>
      <c r="I98">
        <v>704</v>
      </c>
      <c r="J98">
        <v>672</v>
      </c>
      <c r="K98">
        <v>640</v>
      </c>
      <c r="L98">
        <v>608</v>
      </c>
      <c r="M98">
        <v>576</v>
      </c>
    </row>
    <row r="99" spans="1:13" x14ac:dyDescent="0.15">
      <c r="A99" t="s">
        <v>526</v>
      </c>
      <c r="B99">
        <v>12311</v>
      </c>
      <c r="C99" t="str">
        <f t="shared" si="1"/>
        <v>玛蒂尔达</v>
      </c>
      <c r="D99">
        <v>1650</v>
      </c>
      <c r="E99">
        <v>1650</v>
      </c>
      <c r="F99">
        <v>1650</v>
      </c>
      <c r="G99">
        <v>1650</v>
      </c>
      <c r="H99">
        <v>1650</v>
      </c>
      <c r="I99">
        <v>1551</v>
      </c>
      <c r="J99">
        <v>1452</v>
      </c>
      <c r="K99">
        <v>1353</v>
      </c>
      <c r="L99">
        <v>1254</v>
      </c>
      <c r="M99">
        <v>1155</v>
      </c>
    </row>
    <row r="100" spans="1:13" x14ac:dyDescent="0.15">
      <c r="A100" t="s">
        <v>630</v>
      </c>
      <c r="B100">
        <v>12321</v>
      </c>
      <c r="C100" t="str">
        <f t="shared" si="1"/>
        <v>谢尔曼</v>
      </c>
      <c r="D100">
        <v>2100</v>
      </c>
      <c r="E100">
        <v>2100</v>
      </c>
      <c r="F100">
        <v>2100</v>
      </c>
      <c r="G100">
        <v>2100</v>
      </c>
      <c r="H100">
        <v>2100</v>
      </c>
      <c r="I100">
        <v>2016</v>
      </c>
      <c r="J100">
        <v>1932</v>
      </c>
      <c r="K100">
        <v>1848</v>
      </c>
      <c r="L100">
        <v>1764</v>
      </c>
      <c r="M100">
        <v>1680</v>
      </c>
    </row>
    <row r="101" spans="1:13" x14ac:dyDescent="0.15">
      <c r="A101" t="s">
        <v>632</v>
      </c>
      <c r="B101">
        <v>12331</v>
      </c>
      <c r="C101" t="str">
        <f t="shared" si="1"/>
        <v>彗星</v>
      </c>
      <c r="D101">
        <v>2400</v>
      </c>
      <c r="E101">
        <v>2400</v>
      </c>
      <c r="F101">
        <v>2400</v>
      </c>
      <c r="G101">
        <v>2400</v>
      </c>
      <c r="H101">
        <v>2400</v>
      </c>
      <c r="I101">
        <v>2304</v>
      </c>
      <c r="J101">
        <v>2208</v>
      </c>
      <c r="K101">
        <v>2112</v>
      </c>
      <c r="L101">
        <v>2016</v>
      </c>
      <c r="M101">
        <v>1920</v>
      </c>
    </row>
    <row r="102" spans="1:13" x14ac:dyDescent="0.15">
      <c r="A102" t="s">
        <v>634</v>
      </c>
      <c r="B102">
        <v>12411</v>
      </c>
      <c r="C102" t="str">
        <f t="shared" si="1"/>
        <v>M-48</v>
      </c>
      <c r="D102">
        <v>5250</v>
      </c>
      <c r="E102">
        <v>5250</v>
      </c>
      <c r="F102">
        <v>5250</v>
      </c>
      <c r="G102">
        <v>5250</v>
      </c>
      <c r="H102">
        <v>5250</v>
      </c>
      <c r="I102">
        <v>5250</v>
      </c>
      <c r="J102">
        <v>5250</v>
      </c>
      <c r="K102">
        <v>5250</v>
      </c>
      <c r="L102">
        <v>5040</v>
      </c>
      <c r="M102">
        <v>4830</v>
      </c>
    </row>
    <row r="103" spans="1:13" x14ac:dyDescent="0.15">
      <c r="A103" t="s">
        <v>636</v>
      </c>
      <c r="B103">
        <v>12421</v>
      </c>
      <c r="C103" t="str">
        <f t="shared" si="1"/>
        <v>潘兴</v>
      </c>
      <c r="D103">
        <v>6500</v>
      </c>
      <c r="E103">
        <v>6500</v>
      </c>
      <c r="F103">
        <v>6500</v>
      </c>
      <c r="G103">
        <v>6500</v>
      </c>
      <c r="H103">
        <v>6500</v>
      </c>
      <c r="I103">
        <v>6500</v>
      </c>
      <c r="J103">
        <v>6500</v>
      </c>
      <c r="K103">
        <v>6500</v>
      </c>
      <c r="L103">
        <v>6240</v>
      </c>
      <c r="M103">
        <v>5980</v>
      </c>
    </row>
    <row r="104" spans="1:13" x14ac:dyDescent="0.15">
      <c r="A104" t="s">
        <v>638</v>
      </c>
      <c r="B104">
        <v>12431</v>
      </c>
      <c r="C104" t="str">
        <f t="shared" si="1"/>
        <v>百夫长</v>
      </c>
      <c r="D104">
        <v>7250</v>
      </c>
      <c r="E104">
        <v>7250</v>
      </c>
      <c r="F104">
        <v>7250</v>
      </c>
      <c r="G104">
        <v>7250</v>
      </c>
      <c r="H104">
        <v>7250</v>
      </c>
      <c r="I104">
        <v>7250</v>
      </c>
      <c r="J104">
        <v>7250</v>
      </c>
      <c r="K104">
        <v>7250</v>
      </c>
      <c r="L104">
        <v>6960</v>
      </c>
      <c r="M104">
        <v>6670</v>
      </c>
    </row>
    <row r="105" spans="1:13" x14ac:dyDescent="0.15">
      <c r="A105" t="s">
        <v>640</v>
      </c>
      <c r="B105">
        <v>12511</v>
      </c>
      <c r="C105" t="str">
        <f t="shared" si="1"/>
        <v>挑战者</v>
      </c>
      <c r="D105">
        <v>15600</v>
      </c>
      <c r="E105">
        <v>15600</v>
      </c>
      <c r="F105">
        <v>15600</v>
      </c>
      <c r="G105">
        <v>15600</v>
      </c>
      <c r="H105">
        <v>15600</v>
      </c>
      <c r="I105">
        <v>15600</v>
      </c>
      <c r="J105">
        <v>15600</v>
      </c>
      <c r="K105">
        <v>15600</v>
      </c>
      <c r="L105">
        <v>15600</v>
      </c>
      <c r="M105">
        <v>15600</v>
      </c>
    </row>
    <row r="106" spans="1:13" x14ac:dyDescent="0.15">
      <c r="A106" t="s">
        <v>642</v>
      </c>
      <c r="B106">
        <v>13111</v>
      </c>
      <c r="C106" t="str">
        <f t="shared" si="1"/>
        <v>B-1</v>
      </c>
      <c r="D106">
        <v>300</v>
      </c>
      <c r="E106">
        <v>282</v>
      </c>
      <c r="F106">
        <v>264</v>
      </c>
      <c r="G106">
        <v>246</v>
      </c>
      <c r="H106">
        <v>228</v>
      </c>
      <c r="I106">
        <v>210</v>
      </c>
      <c r="J106">
        <v>192</v>
      </c>
      <c r="K106">
        <v>174</v>
      </c>
      <c r="L106">
        <v>156</v>
      </c>
      <c r="M106">
        <v>138</v>
      </c>
    </row>
    <row r="107" spans="1:13" x14ac:dyDescent="0.15">
      <c r="A107" t="s">
        <v>644</v>
      </c>
      <c r="B107">
        <v>13211</v>
      </c>
      <c r="C107" t="str">
        <f t="shared" si="1"/>
        <v>KV-1</v>
      </c>
      <c r="D107">
        <v>600</v>
      </c>
      <c r="E107">
        <v>600</v>
      </c>
      <c r="F107">
        <v>564</v>
      </c>
      <c r="G107">
        <v>528</v>
      </c>
      <c r="H107">
        <v>492</v>
      </c>
      <c r="I107">
        <v>456</v>
      </c>
      <c r="J107">
        <v>420</v>
      </c>
      <c r="K107">
        <v>384</v>
      </c>
      <c r="L107">
        <v>348</v>
      </c>
      <c r="M107">
        <v>312</v>
      </c>
    </row>
    <row r="108" spans="1:13" x14ac:dyDescent="0.15">
      <c r="A108" t="s">
        <v>646</v>
      </c>
      <c r="B108">
        <v>13221</v>
      </c>
      <c r="C108" t="str">
        <f t="shared" si="1"/>
        <v>丘吉尔</v>
      </c>
      <c r="D108">
        <v>800</v>
      </c>
      <c r="E108">
        <v>800</v>
      </c>
      <c r="F108">
        <v>800</v>
      </c>
      <c r="G108">
        <v>768</v>
      </c>
      <c r="H108">
        <v>736</v>
      </c>
      <c r="I108">
        <v>704</v>
      </c>
      <c r="J108">
        <v>672</v>
      </c>
      <c r="K108">
        <v>640</v>
      </c>
      <c r="L108">
        <v>608</v>
      </c>
      <c r="M108">
        <v>576</v>
      </c>
    </row>
    <row r="109" spans="1:13" x14ac:dyDescent="0.15">
      <c r="A109" t="s">
        <v>529</v>
      </c>
      <c r="B109">
        <v>13311</v>
      </c>
      <c r="C109" t="str">
        <f t="shared" si="1"/>
        <v>黑豹</v>
      </c>
      <c r="D109">
        <v>1650</v>
      </c>
      <c r="E109">
        <v>1650</v>
      </c>
      <c r="F109">
        <v>1650</v>
      </c>
      <c r="G109">
        <v>1650</v>
      </c>
      <c r="H109">
        <v>1650</v>
      </c>
      <c r="I109">
        <v>1551</v>
      </c>
      <c r="J109">
        <v>1452</v>
      </c>
      <c r="K109">
        <v>1353</v>
      </c>
      <c r="L109">
        <v>1254</v>
      </c>
      <c r="M109">
        <v>1155</v>
      </c>
    </row>
    <row r="110" spans="1:13" x14ac:dyDescent="0.15">
      <c r="A110" t="s">
        <v>649</v>
      </c>
      <c r="B110">
        <v>13321</v>
      </c>
      <c r="C110" t="str">
        <f t="shared" si="1"/>
        <v>虎式</v>
      </c>
      <c r="D110">
        <v>2100</v>
      </c>
      <c r="E110">
        <v>2100</v>
      </c>
      <c r="F110">
        <v>2100</v>
      </c>
      <c r="G110">
        <v>2100</v>
      </c>
      <c r="H110">
        <v>2100</v>
      </c>
      <c r="I110">
        <v>2016</v>
      </c>
      <c r="J110">
        <v>1932</v>
      </c>
      <c r="K110">
        <v>1848</v>
      </c>
      <c r="L110">
        <v>1764</v>
      </c>
      <c r="M110">
        <v>1680</v>
      </c>
    </row>
    <row r="111" spans="1:13" x14ac:dyDescent="0.15">
      <c r="A111" t="s">
        <v>651</v>
      </c>
      <c r="B111">
        <v>13331</v>
      </c>
      <c r="C111" t="str">
        <f t="shared" si="1"/>
        <v>KV-2</v>
      </c>
      <c r="D111">
        <v>2400</v>
      </c>
      <c r="E111">
        <v>2400</v>
      </c>
      <c r="F111">
        <v>2400</v>
      </c>
      <c r="G111">
        <v>2400</v>
      </c>
      <c r="H111">
        <v>2400</v>
      </c>
      <c r="I111">
        <v>2304</v>
      </c>
      <c r="J111">
        <v>2208</v>
      </c>
      <c r="K111">
        <v>2112</v>
      </c>
      <c r="L111">
        <v>2016</v>
      </c>
      <c r="M111">
        <v>1920</v>
      </c>
    </row>
    <row r="112" spans="1:13" x14ac:dyDescent="0.15">
      <c r="A112" t="s">
        <v>653</v>
      </c>
      <c r="B112">
        <v>13411</v>
      </c>
      <c r="C112" t="str">
        <f t="shared" si="1"/>
        <v>征服者</v>
      </c>
      <c r="D112">
        <v>5250</v>
      </c>
      <c r="E112">
        <v>5250</v>
      </c>
      <c r="F112">
        <v>5250</v>
      </c>
      <c r="G112">
        <v>5250</v>
      </c>
      <c r="H112">
        <v>5250</v>
      </c>
      <c r="I112">
        <v>5250</v>
      </c>
      <c r="J112">
        <v>5250</v>
      </c>
      <c r="K112">
        <v>5250</v>
      </c>
      <c r="L112">
        <v>5040</v>
      </c>
      <c r="M112">
        <v>4830</v>
      </c>
    </row>
    <row r="113" spans="1:13" x14ac:dyDescent="0.15">
      <c r="A113" t="s">
        <v>655</v>
      </c>
      <c r="B113">
        <v>13421</v>
      </c>
      <c r="C113" t="str">
        <f t="shared" si="1"/>
        <v>IS-4</v>
      </c>
      <c r="D113">
        <v>6500</v>
      </c>
      <c r="E113">
        <v>6500</v>
      </c>
      <c r="F113">
        <v>6500</v>
      </c>
      <c r="G113">
        <v>6500</v>
      </c>
      <c r="H113">
        <v>6500</v>
      </c>
      <c r="I113">
        <v>6500</v>
      </c>
      <c r="J113">
        <v>6500</v>
      </c>
      <c r="K113">
        <v>6500</v>
      </c>
      <c r="L113">
        <v>6240</v>
      </c>
      <c r="M113">
        <v>5980</v>
      </c>
    </row>
    <row r="114" spans="1:13" x14ac:dyDescent="0.15">
      <c r="A114" t="s">
        <v>657</v>
      </c>
      <c r="B114">
        <v>13431</v>
      </c>
      <c r="C114" t="str">
        <f t="shared" si="1"/>
        <v>T-32</v>
      </c>
      <c r="D114">
        <v>7250</v>
      </c>
      <c r="E114">
        <v>7250</v>
      </c>
      <c r="F114">
        <v>7250</v>
      </c>
      <c r="G114">
        <v>7250</v>
      </c>
      <c r="H114">
        <v>7250</v>
      </c>
      <c r="I114">
        <v>7250</v>
      </c>
      <c r="J114">
        <v>7250</v>
      </c>
      <c r="K114">
        <v>7250</v>
      </c>
      <c r="L114">
        <v>6960</v>
      </c>
      <c r="M114">
        <v>6670</v>
      </c>
    </row>
    <row r="115" spans="1:13" x14ac:dyDescent="0.15">
      <c r="A115" t="s">
        <v>659</v>
      </c>
      <c r="B115">
        <v>13511</v>
      </c>
      <c r="C115" t="str">
        <f t="shared" si="1"/>
        <v>M1A2</v>
      </c>
      <c r="D115">
        <v>15600</v>
      </c>
      <c r="E115">
        <v>15600</v>
      </c>
      <c r="F115">
        <v>15600</v>
      </c>
      <c r="G115">
        <v>15600</v>
      </c>
      <c r="H115">
        <v>15600</v>
      </c>
      <c r="I115">
        <v>15600</v>
      </c>
      <c r="J115">
        <v>15600</v>
      </c>
      <c r="K115">
        <v>15600</v>
      </c>
      <c r="L115">
        <v>15600</v>
      </c>
      <c r="M115">
        <v>15600</v>
      </c>
    </row>
    <row r="116" spans="1:13" x14ac:dyDescent="0.15">
      <c r="A116" t="s">
        <v>4217</v>
      </c>
      <c r="B116">
        <v>100301</v>
      </c>
      <c r="C116" t="s">
        <v>4217</v>
      </c>
      <c r="D116">
        <v>35</v>
      </c>
      <c r="E116">
        <v>35</v>
      </c>
      <c r="F116">
        <v>35</v>
      </c>
      <c r="G116">
        <v>35</v>
      </c>
      <c r="H116">
        <v>35</v>
      </c>
      <c r="I116">
        <v>35</v>
      </c>
      <c r="J116">
        <v>35</v>
      </c>
      <c r="K116">
        <v>35</v>
      </c>
      <c r="L116">
        <v>35</v>
      </c>
      <c r="M116">
        <v>35</v>
      </c>
    </row>
    <row r="117" spans="1:13" x14ac:dyDescent="0.15">
      <c r="A117" t="s">
        <v>578</v>
      </c>
      <c r="B117">
        <v>100302</v>
      </c>
      <c r="C117" t="s">
        <v>578</v>
      </c>
      <c r="D117">
        <v>60</v>
      </c>
      <c r="E117">
        <v>60</v>
      </c>
      <c r="F117">
        <v>60</v>
      </c>
      <c r="G117">
        <v>60</v>
      </c>
      <c r="H117">
        <v>60</v>
      </c>
      <c r="I117">
        <v>60</v>
      </c>
      <c r="J117">
        <v>60</v>
      </c>
      <c r="K117">
        <v>60</v>
      </c>
      <c r="L117">
        <v>60</v>
      </c>
      <c r="M117">
        <v>60</v>
      </c>
    </row>
    <row r="118" spans="1:13" x14ac:dyDescent="0.15">
      <c r="A118" t="s">
        <v>1790</v>
      </c>
      <c r="B118">
        <v>100501</v>
      </c>
      <c r="C118" t="s">
        <v>1790</v>
      </c>
      <c r="D118">
        <v>70</v>
      </c>
      <c r="E118">
        <v>70</v>
      </c>
      <c r="F118">
        <v>70</v>
      </c>
      <c r="G118">
        <v>70</v>
      </c>
      <c r="H118">
        <v>70</v>
      </c>
      <c r="I118">
        <v>70</v>
      </c>
      <c r="J118">
        <v>70</v>
      </c>
      <c r="K118">
        <v>70</v>
      </c>
      <c r="L118">
        <v>70</v>
      </c>
      <c r="M118">
        <v>70</v>
      </c>
    </row>
    <row r="119" spans="1:13" x14ac:dyDescent="0.15">
      <c r="A119" t="s">
        <v>1791</v>
      </c>
      <c r="B119">
        <v>100502</v>
      </c>
      <c r="C119" t="s">
        <v>1791</v>
      </c>
      <c r="D119">
        <v>125</v>
      </c>
      <c r="E119">
        <v>125</v>
      </c>
      <c r="F119">
        <v>125</v>
      </c>
      <c r="G119">
        <v>125</v>
      </c>
      <c r="H119">
        <v>125</v>
      </c>
      <c r="I119">
        <v>125</v>
      </c>
      <c r="J119">
        <v>125</v>
      </c>
      <c r="K119">
        <v>125</v>
      </c>
      <c r="L119">
        <v>125</v>
      </c>
      <c r="M119">
        <v>125</v>
      </c>
    </row>
  </sheetData>
  <phoneticPr fontId="32" type="noConversion"/>
  <pageMargins left="0.7" right="0.7" top="0.75" bottom="0.75" header="0.3" footer="0.3"/>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35"/>
  <dimension ref="A2:Y269"/>
  <sheetViews>
    <sheetView workbookViewId="0">
      <selection activeCell="I22" sqref="I22"/>
    </sheetView>
  </sheetViews>
  <sheetFormatPr defaultColWidth="9" defaultRowHeight="14.25" x14ac:dyDescent="0.3"/>
  <cols>
    <col min="1" max="3" width="9" style="1"/>
    <col min="4" max="4" width="10.875" style="1" customWidth="1"/>
    <col min="5" max="5" width="13.875" style="1" customWidth="1"/>
    <col min="6" max="16384" width="9" style="1"/>
  </cols>
  <sheetData>
    <row r="2" spans="1:14" x14ac:dyDescent="0.3">
      <c r="B2" s="351" t="s">
        <v>3441</v>
      </c>
      <c r="C2" s="351"/>
      <c r="D2" s="351"/>
      <c r="E2" s="351"/>
      <c r="F2" s="351"/>
      <c r="G2" s="351"/>
      <c r="H2" s="351"/>
      <c r="I2" s="352" t="s">
        <v>3442</v>
      </c>
      <c r="J2" s="354"/>
      <c r="K2" s="351" t="s">
        <v>3443</v>
      </c>
      <c r="L2" s="351"/>
      <c r="N2" s="27" t="s">
        <v>3444</v>
      </c>
    </row>
    <row r="3" spans="1:14" x14ac:dyDescent="0.3">
      <c r="B3" s="2" t="s">
        <v>2888</v>
      </c>
      <c r="C3" s="2" t="s">
        <v>2889</v>
      </c>
      <c r="D3" s="2" t="s">
        <v>2822</v>
      </c>
      <c r="E3" s="2" t="s">
        <v>372</v>
      </c>
      <c r="F3" s="2" t="s">
        <v>309</v>
      </c>
      <c r="G3" s="2" t="s">
        <v>308</v>
      </c>
      <c r="H3" s="2" t="s">
        <v>3445</v>
      </c>
      <c r="I3" s="2" t="s">
        <v>3446</v>
      </c>
      <c r="J3" s="2" t="s">
        <v>3447</v>
      </c>
      <c r="K3" s="2" t="s">
        <v>3448</v>
      </c>
      <c r="L3" s="2" t="s">
        <v>885</v>
      </c>
    </row>
    <row r="4" spans="1:14" x14ac:dyDescent="0.3">
      <c r="A4" s="1">
        <f t="shared" ref="A4:A13" si="0">C4/D4</f>
        <v>62.5</v>
      </c>
      <c r="B4" s="2" t="s">
        <v>314</v>
      </c>
      <c r="C4" s="2">
        <f>[1]基础经济系数!F15</f>
        <v>125</v>
      </c>
      <c r="D4" s="21">
        <v>2</v>
      </c>
      <c r="E4" s="2">
        <f>[1]基础经济系数!L15/[1]基础经济系数!E15</f>
        <v>2.5</v>
      </c>
      <c r="F4" s="2">
        <f>[1]基础经济系数!N15/[1]基础经济系数!E15</f>
        <v>5</v>
      </c>
      <c r="G4" s="2">
        <f>C4-E4-F4</f>
        <v>117.5</v>
      </c>
      <c r="H4" s="2">
        <f>G4/D4</f>
        <v>58.75</v>
      </c>
      <c r="I4" s="2" t="s">
        <v>3449</v>
      </c>
      <c r="J4" s="2" t="s">
        <v>3450</v>
      </c>
      <c r="K4" s="28">
        <f>[1]基础经济系数!$C$21</f>
        <v>0.7</v>
      </c>
      <c r="L4" s="28">
        <f>[1]基础经济系数!$C$22</f>
        <v>0.3</v>
      </c>
    </row>
    <row r="5" spans="1:14" x14ac:dyDescent="0.3">
      <c r="A5" s="1">
        <f t="shared" si="0"/>
        <v>54</v>
      </c>
      <c r="B5" s="2" t="s">
        <v>2755</v>
      </c>
      <c r="C5" s="2">
        <f>[1]任务设定!F19</f>
        <v>54</v>
      </c>
      <c r="D5" s="21">
        <v>1</v>
      </c>
      <c r="E5" s="2">
        <f>[1]任务设定!G19</f>
        <v>5</v>
      </c>
      <c r="F5" s="2">
        <f>[1]任务设定!H19</f>
        <v>2</v>
      </c>
      <c r="G5" s="2">
        <f t="shared" ref="G5:G13" si="1">C5-E5-F5</f>
        <v>47</v>
      </c>
      <c r="H5" s="2">
        <f t="shared" ref="H5:H13" si="2">G5/D5</f>
        <v>47</v>
      </c>
      <c r="I5" s="2" t="s">
        <v>3451</v>
      </c>
      <c r="J5" s="2" t="s">
        <v>3452</v>
      </c>
      <c r="K5" s="28">
        <f>[1]基础经济系数!$C$21</f>
        <v>0.7</v>
      </c>
      <c r="L5" s="28">
        <f>[1]基础经济系数!$C$22</f>
        <v>0.3</v>
      </c>
    </row>
    <row r="6" spans="1:14" x14ac:dyDescent="0.3">
      <c r="A6" s="1">
        <f t="shared" si="0"/>
        <v>54</v>
      </c>
      <c r="B6" s="2" t="s">
        <v>2757</v>
      </c>
      <c r="C6" s="2">
        <f>[1]任务设定!F20</f>
        <v>108</v>
      </c>
      <c r="D6" s="21">
        <v>2</v>
      </c>
      <c r="E6" s="2">
        <f>[1]任务设定!G20</f>
        <v>9</v>
      </c>
      <c r="F6" s="2">
        <f>[1]任务设定!H20</f>
        <v>4</v>
      </c>
      <c r="G6" s="2">
        <f t="shared" si="1"/>
        <v>95</v>
      </c>
      <c r="H6" s="2">
        <f t="shared" si="2"/>
        <v>47.5</v>
      </c>
      <c r="I6" s="2" t="s">
        <v>3451</v>
      </c>
      <c r="J6" s="2" t="s">
        <v>3452</v>
      </c>
      <c r="K6" s="28">
        <f>[1]基础经济系数!$C$21</f>
        <v>0.7</v>
      </c>
      <c r="L6" s="28">
        <f>[1]基础经济系数!$C$22</f>
        <v>0.3</v>
      </c>
    </row>
    <row r="7" spans="1:14" x14ac:dyDescent="0.3">
      <c r="A7" s="1">
        <f t="shared" si="0"/>
        <v>72</v>
      </c>
      <c r="B7" s="2" t="s">
        <v>2758</v>
      </c>
      <c r="C7" s="2">
        <f>[1]任务设定!F21</f>
        <v>216</v>
      </c>
      <c r="D7" s="21">
        <v>3</v>
      </c>
      <c r="E7" s="2">
        <f>[1]任务设定!G21</f>
        <v>18</v>
      </c>
      <c r="F7" s="2">
        <f>[1]任务设定!H21</f>
        <v>6</v>
      </c>
      <c r="G7" s="2">
        <f t="shared" si="1"/>
        <v>192</v>
      </c>
      <c r="H7" s="2">
        <f t="shared" si="2"/>
        <v>64</v>
      </c>
      <c r="I7" s="2" t="s">
        <v>3451</v>
      </c>
      <c r="J7" s="2" t="s">
        <v>3452</v>
      </c>
      <c r="K7" s="28">
        <f>[1]基础经济系数!$C$21</f>
        <v>0.7</v>
      </c>
      <c r="L7" s="28">
        <f>[1]基础经济系数!$C$22</f>
        <v>0.3</v>
      </c>
    </row>
    <row r="8" spans="1:14" x14ac:dyDescent="0.3">
      <c r="A8" s="1">
        <f t="shared" si="0"/>
        <v>108</v>
      </c>
      <c r="B8" s="2" t="s">
        <v>2760</v>
      </c>
      <c r="C8" s="2">
        <f>[1]任务设定!F22</f>
        <v>432</v>
      </c>
      <c r="D8" s="21">
        <v>4</v>
      </c>
      <c r="E8" s="2">
        <f>[1]任务设定!G22</f>
        <v>36</v>
      </c>
      <c r="F8" s="2">
        <f>[1]任务设定!H22</f>
        <v>8</v>
      </c>
      <c r="G8" s="2">
        <f t="shared" si="1"/>
        <v>388</v>
      </c>
      <c r="H8" s="2">
        <f t="shared" si="2"/>
        <v>97</v>
      </c>
      <c r="I8" s="2" t="s">
        <v>3451</v>
      </c>
      <c r="J8" s="2" t="s">
        <v>3452</v>
      </c>
      <c r="K8" s="28">
        <f>[1]基础经济系数!$C$21</f>
        <v>0.7</v>
      </c>
      <c r="L8" s="28">
        <f>[1]基础经济系数!$C$22</f>
        <v>0.3</v>
      </c>
    </row>
    <row r="9" spans="1:14" x14ac:dyDescent="0.3">
      <c r="A9" s="1">
        <f t="shared" si="0"/>
        <v>66.666666666666671</v>
      </c>
      <c r="B9" s="22" t="s">
        <v>3453</v>
      </c>
      <c r="C9" s="21">
        <v>200</v>
      </c>
      <c r="D9" s="21">
        <v>3</v>
      </c>
      <c r="E9" s="2">
        <v>0</v>
      </c>
      <c r="F9" s="21">
        <v>5</v>
      </c>
      <c r="G9" s="2">
        <f t="shared" si="1"/>
        <v>195</v>
      </c>
      <c r="H9" s="2">
        <f t="shared" si="2"/>
        <v>65</v>
      </c>
      <c r="I9" s="2" t="s">
        <v>3454</v>
      </c>
      <c r="J9" s="2" t="s">
        <v>3455</v>
      </c>
      <c r="K9" s="28">
        <f>[1]基础经济系数!$C$21</f>
        <v>0.7</v>
      </c>
      <c r="L9" s="28">
        <f>[1]基础经济系数!$C$22</f>
        <v>0.3</v>
      </c>
    </row>
    <row r="10" spans="1:14" x14ac:dyDescent="0.3">
      <c r="A10" s="1">
        <f t="shared" si="0"/>
        <v>150</v>
      </c>
      <c r="B10" s="22" t="s">
        <v>3456</v>
      </c>
      <c r="C10" s="21">
        <v>600</v>
      </c>
      <c r="D10" s="21">
        <v>4</v>
      </c>
      <c r="E10" s="2">
        <v>0</v>
      </c>
      <c r="F10" s="21">
        <v>10</v>
      </c>
      <c r="G10" s="2">
        <f t="shared" si="1"/>
        <v>590</v>
      </c>
      <c r="H10" s="2">
        <f t="shared" si="2"/>
        <v>147.5</v>
      </c>
      <c r="I10" s="2" t="s">
        <v>3454</v>
      </c>
      <c r="J10" s="2" t="s">
        <v>3455</v>
      </c>
      <c r="K10" s="28">
        <f>[1]基础经济系数!$C$21</f>
        <v>0.7</v>
      </c>
      <c r="L10" s="28">
        <f>[1]基础经济系数!$C$22</f>
        <v>0.3</v>
      </c>
    </row>
    <row r="11" spans="1:14" x14ac:dyDescent="0.3">
      <c r="A11" s="1">
        <f t="shared" si="0"/>
        <v>333.33333333333331</v>
      </c>
      <c r="B11" s="22" t="s">
        <v>3457</v>
      </c>
      <c r="C11" s="21">
        <v>2000</v>
      </c>
      <c r="D11" s="21">
        <v>6</v>
      </c>
      <c r="E11" s="2">
        <v>0</v>
      </c>
      <c r="F11" s="21">
        <v>20</v>
      </c>
      <c r="G11" s="2">
        <f t="shared" si="1"/>
        <v>1980</v>
      </c>
      <c r="H11" s="2">
        <f t="shared" si="2"/>
        <v>330</v>
      </c>
      <c r="I11" s="2" t="s">
        <v>3454</v>
      </c>
      <c r="J11" s="2" t="s">
        <v>3455</v>
      </c>
      <c r="K11" s="28">
        <f>[1]基础经济系数!$C$21</f>
        <v>0.7</v>
      </c>
      <c r="L11" s="28">
        <f>[1]基础经济系数!$C$22</f>
        <v>0.3</v>
      </c>
    </row>
    <row r="12" spans="1:14" x14ac:dyDescent="0.3">
      <c r="A12" s="1">
        <f t="shared" si="0"/>
        <v>50</v>
      </c>
      <c r="B12" s="22" t="s">
        <v>2842</v>
      </c>
      <c r="C12" s="21">
        <v>100</v>
      </c>
      <c r="D12" s="21">
        <v>2</v>
      </c>
      <c r="E12" s="2">
        <v>0</v>
      </c>
      <c r="F12" s="21">
        <v>0</v>
      </c>
      <c r="G12" s="2">
        <f t="shared" si="1"/>
        <v>100</v>
      </c>
      <c r="H12" s="2">
        <f t="shared" si="2"/>
        <v>50</v>
      </c>
      <c r="I12" s="2" t="s">
        <v>3449</v>
      </c>
      <c r="J12" s="2" t="s">
        <v>3450</v>
      </c>
      <c r="K12" s="29">
        <v>0</v>
      </c>
      <c r="L12" s="29">
        <v>1</v>
      </c>
    </row>
    <row r="13" spans="1:14" x14ac:dyDescent="0.3">
      <c r="A13" s="1">
        <f t="shared" si="0"/>
        <v>50</v>
      </c>
      <c r="B13" s="22" t="s">
        <v>2838</v>
      </c>
      <c r="C13" s="21">
        <v>100</v>
      </c>
      <c r="D13" s="21">
        <v>2</v>
      </c>
      <c r="E13" s="2">
        <v>0</v>
      </c>
      <c r="F13" s="21">
        <v>0</v>
      </c>
      <c r="G13" s="2">
        <f t="shared" si="1"/>
        <v>100</v>
      </c>
      <c r="H13" s="2">
        <f t="shared" si="2"/>
        <v>50</v>
      </c>
      <c r="I13" s="2" t="s">
        <v>3449</v>
      </c>
      <c r="J13" s="2" t="s">
        <v>3450</v>
      </c>
      <c r="K13" s="29">
        <v>1</v>
      </c>
      <c r="L13" s="29">
        <v>0</v>
      </c>
    </row>
    <row r="14" spans="1:14" x14ac:dyDescent="0.3">
      <c r="B14" s="23"/>
      <c r="C14" s="24"/>
      <c r="D14" s="24"/>
      <c r="E14" s="25"/>
      <c r="F14" s="24"/>
      <c r="G14" s="25"/>
      <c r="H14" s="25"/>
      <c r="I14" s="25"/>
      <c r="J14" s="25"/>
      <c r="K14" s="30"/>
      <c r="L14" s="30"/>
    </row>
    <row r="15" spans="1:14" x14ac:dyDescent="0.3">
      <c r="B15" s="23"/>
      <c r="C15" s="24"/>
      <c r="D15" s="24"/>
      <c r="E15" s="25"/>
      <c r="F15" s="25"/>
      <c r="G15" s="25"/>
      <c r="H15" s="25"/>
      <c r="I15" s="25"/>
      <c r="J15" s="25"/>
      <c r="K15" s="30"/>
      <c r="L15" s="30"/>
    </row>
    <row r="16" spans="1:14" x14ac:dyDescent="0.3">
      <c r="B16" s="2" t="s">
        <v>3458</v>
      </c>
      <c r="C16" s="2" t="s">
        <v>667</v>
      </c>
      <c r="D16" s="2" t="s">
        <v>3459</v>
      </c>
      <c r="E16" s="2" t="s">
        <v>667</v>
      </c>
      <c r="F16" s="2" t="s">
        <v>3459</v>
      </c>
      <c r="G16" s="2" t="s">
        <v>2830</v>
      </c>
      <c r="H16" s="2" t="s">
        <v>1776</v>
      </c>
      <c r="I16" s="2" t="s">
        <v>3460</v>
      </c>
      <c r="J16" s="2" t="s">
        <v>2822</v>
      </c>
      <c r="K16" s="2" t="s">
        <v>500</v>
      </c>
      <c r="L16" s="30"/>
    </row>
    <row r="17" spans="2:12" x14ac:dyDescent="0.3">
      <c r="B17" s="2" t="s">
        <v>2563</v>
      </c>
      <c r="C17" s="2" t="s">
        <v>495</v>
      </c>
      <c r="D17" s="2">
        <v>2</v>
      </c>
      <c r="E17" s="2"/>
      <c r="F17" s="2"/>
      <c r="G17" s="2">
        <f>VLOOKUP(C17,[1]道具价值!$B$28:$C$30,2,FALSE)*D17+IFERROR(VLOOKUP(E17,[1]道具价值!$B$28:$C$30,2,FALSE)*F17,0)</f>
        <v>80</v>
      </c>
      <c r="H17" s="2">
        <f>VLOOKUP(C17,[1]道具价值!$V$99:$Y$102,4,FALSE)*D17+IFERROR(VLOOKUP(E17,[1]道具价值!$V$99:$Y$102,4,FALSE)*F17,0)</f>
        <v>106.6666666666666</v>
      </c>
      <c r="I17" s="2">
        <f>D17+F17</f>
        <v>2</v>
      </c>
      <c r="J17" s="2">
        <v>4</v>
      </c>
      <c r="K17" s="2">
        <v>1</v>
      </c>
      <c r="L17" s="30"/>
    </row>
    <row r="18" spans="2:12" x14ac:dyDescent="0.3">
      <c r="B18" s="2" t="s">
        <v>2565</v>
      </c>
      <c r="C18" s="2" t="s">
        <v>495</v>
      </c>
      <c r="D18" s="2">
        <v>2</v>
      </c>
      <c r="E18" s="2"/>
      <c r="F18" s="2"/>
      <c r="G18" s="2">
        <f>VLOOKUP(C18,[1]道具价值!$B$28:$C$30,2,FALSE)*D18+IFERROR(VLOOKUP(E18,[1]道具价值!$B$28:$C$30,2,FALSE)*F18,0)</f>
        <v>80</v>
      </c>
      <c r="H18" s="2">
        <f>VLOOKUP(C18,[1]道具价值!$V$99:$Y$102,4,FALSE)*D18+IFERROR(VLOOKUP(E18,[1]道具价值!$V$99:$Y$102,4,FALSE)*F18,0)</f>
        <v>106.6666666666666</v>
      </c>
      <c r="I18" s="2">
        <f>D18+F18</f>
        <v>2</v>
      </c>
      <c r="J18" s="2">
        <v>4</v>
      </c>
      <c r="K18" s="2">
        <v>2</v>
      </c>
      <c r="L18" s="30"/>
    </row>
    <row r="19" spans="2:12" x14ac:dyDescent="0.3">
      <c r="B19" s="2" t="s">
        <v>2566</v>
      </c>
      <c r="C19" s="2" t="s">
        <v>495</v>
      </c>
      <c r="D19" s="2">
        <v>1</v>
      </c>
      <c r="E19" s="2" t="s">
        <v>3461</v>
      </c>
      <c r="F19" s="2">
        <v>1</v>
      </c>
      <c r="G19" s="2">
        <f>VLOOKUP(C19,[1]道具价值!$B$28:$C$30,2,FALSE)*D19+IFERROR(VLOOKUP(E19,[1]道具价值!$B$28:$C$30,2,FALSE)*F19,0)</f>
        <v>110</v>
      </c>
      <c r="H19" s="2">
        <f>VLOOKUP(C19,[1]道具价值!$V$99:$Y$102,4,FALSE)*D19+IFERROR(VLOOKUP(E19,[1]道具价值!$V$99:$Y$102,4,FALSE)*F19,0)</f>
        <v>146.6666666666666</v>
      </c>
      <c r="I19" s="2">
        <f t="shared" ref="I19:I25" si="3">D19+F19</f>
        <v>2</v>
      </c>
      <c r="J19" s="2">
        <v>4</v>
      </c>
      <c r="K19" s="2">
        <v>3</v>
      </c>
      <c r="L19" s="30"/>
    </row>
    <row r="20" spans="2:12" x14ac:dyDescent="0.3">
      <c r="B20" s="2" t="s">
        <v>2567</v>
      </c>
      <c r="C20" s="2" t="s">
        <v>3461</v>
      </c>
      <c r="D20" s="2">
        <v>2</v>
      </c>
      <c r="E20" s="2"/>
      <c r="F20" s="2"/>
      <c r="G20" s="2">
        <f>VLOOKUP(C20,[1]道具价值!$B$28:$C$30,2,FALSE)*D20+IFERROR(VLOOKUP(E20,[1]道具价值!$B$28:$C$30,2,FALSE)*F20,0)</f>
        <v>140</v>
      </c>
      <c r="H20" s="2">
        <f>VLOOKUP(C20,[1]道具价值!$V$99:$Y$102,4,FALSE)*D20+IFERROR(VLOOKUP(E20,[1]道具价值!$V$99:$Y$102,4,FALSE)*F20,0)</f>
        <v>186.6666666666666</v>
      </c>
      <c r="I20" s="2">
        <f t="shared" si="3"/>
        <v>2</v>
      </c>
      <c r="J20" s="2">
        <v>4</v>
      </c>
      <c r="K20" s="2">
        <v>4</v>
      </c>
      <c r="L20" s="30"/>
    </row>
    <row r="21" spans="2:12" x14ac:dyDescent="0.3">
      <c r="B21" s="2" t="s">
        <v>2569</v>
      </c>
      <c r="C21" s="2" t="s">
        <v>3461</v>
      </c>
      <c r="D21" s="2">
        <v>2</v>
      </c>
      <c r="E21" s="2"/>
      <c r="F21" s="2"/>
      <c r="G21" s="2">
        <f>VLOOKUP(C21,[1]道具价值!$B$28:$C$30,2,FALSE)*D21+IFERROR(VLOOKUP(E21,[1]道具价值!$B$28:$C$30,2,FALSE)*F21,0)</f>
        <v>140</v>
      </c>
      <c r="H21" s="2">
        <f>VLOOKUP(C21,[1]道具价值!$V$99:$Y$102,4,FALSE)*D21+IFERROR(VLOOKUP(E21,[1]道具价值!$V$99:$Y$102,4,FALSE)*F21,0)</f>
        <v>186.6666666666666</v>
      </c>
      <c r="I21" s="2">
        <f t="shared" si="3"/>
        <v>2</v>
      </c>
      <c r="J21" s="2">
        <v>3</v>
      </c>
      <c r="K21" s="2">
        <v>5</v>
      </c>
      <c r="L21" s="30"/>
    </row>
    <row r="22" spans="2:12" x14ac:dyDescent="0.3">
      <c r="B22" s="2" t="s">
        <v>2570</v>
      </c>
      <c r="C22" s="2" t="s">
        <v>3461</v>
      </c>
      <c r="D22" s="2">
        <v>1</v>
      </c>
      <c r="E22" s="2" t="s">
        <v>3462</v>
      </c>
      <c r="F22" s="2">
        <v>1</v>
      </c>
      <c r="G22" s="2">
        <f>VLOOKUP(C22,[1]道具价值!$B$28:$C$30,2,FALSE)*D22+IFERROR(VLOOKUP(E22,[1]道具价值!$B$28:$C$30,2,FALSE)*F22,0)</f>
        <v>190</v>
      </c>
      <c r="H22" s="2">
        <f>VLOOKUP(C22,[1]道具价值!$V$99:$Y$102,4,FALSE)*D22+IFERROR(VLOOKUP(E22,[1]道具价值!$V$99:$Y$102,4,FALSE)*F22,0)</f>
        <v>253.33333333333331</v>
      </c>
      <c r="I22" s="2">
        <f t="shared" si="3"/>
        <v>2</v>
      </c>
      <c r="J22" s="2">
        <v>3</v>
      </c>
      <c r="K22" s="2">
        <v>6</v>
      </c>
      <c r="L22" s="30"/>
    </row>
    <row r="23" spans="2:12" x14ac:dyDescent="0.3">
      <c r="B23" s="2" t="s">
        <v>2571</v>
      </c>
      <c r="C23" s="2" t="s">
        <v>3462</v>
      </c>
      <c r="D23" s="2">
        <v>2</v>
      </c>
      <c r="E23" s="2"/>
      <c r="F23" s="2"/>
      <c r="G23" s="2">
        <f>VLOOKUP(C23,[1]道具价值!$B$28:$C$30,2,FALSE)*D23+IFERROR(VLOOKUP(E23,[1]道具价值!$B$28:$C$30,2,FALSE)*F23,0)</f>
        <v>240</v>
      </c>
      <c r="H23" s="2">
        <f>VLOOKUP(C23,[1]道具价值!$V$99:$Y$102,4,FALSE)*D23+IFERROR(VLOOKUP(E23,[1]道具价值!$V$99:$Y$102,4,FALSE)*F23,0)</f>
        <v>320</v>
      </c>
      <c r="I23" s="2">
        <f t="shared" si="3"/>
        <v>2</v>
      </c>
      <c r="J23" s="2">
        <v>3</v>
      </c>
      <c r="K23" s="2">
        <v>7</v>
      </c>
      <c r="L23" s="30"/>
    </row>
    <row r="24" spans="2:12" x14ac:dyDescent="0.3">
      <c r="B24" s="2" t="s">
        <v>2573</v>
      </c>
      <c r="C24" s="2" t="s">
        <v>3462</v>
      </c>
      <c r="D24" s="2">
        <v>2</v>
      </c>
      <c r="E24" s="2"/>
      <c r="F24" s="2"/>
      <c r="G24" s="2">
        <f>VLOOKUP(C24,[1]道具价值!$B$28:$C$30,2,FALSE)*D24+IFERROR(VLOOKUP(E24,[1]道具价值!$B$28:$C$30,2,FALSE)*F24,0)</f>
        <v>240</v>
      </c>
      <c r="H24" s="2">
        <f>VLOOKUP(C24,[1]道具价值!$V$99:$Y$102,4,FALSE)*D24+IFERROR(VLOOKUP(E24,[1]道具价值!$V$99:$Y$102,4,FALSE)*F24,0)</f>
        <v>320</v>
      </c>
      <c r="I24" s="2">
        <f t="shared" si="3"/>
        <v>2</v>
      </c>
      <c r="J24" s="2">
        <v>4</v>
      </c>
      <c r="K24" s="2">
        <v>8</v>
      </c>
      <c r="L24" s="30"/>
    </row>
    <row r="25" spans="2:12" x14ac:dyDescent="0.3">
      <c r="B25" s="2" t="s">
        <v>2574</v>
      </c>
      <c r="C25" s="2" t="s">
        <v>3462</v>
      </c>
      <c r="D25" s="2">
        <v>1</v>
      </c>
      <c r="E25" s="2" t="s">
        <v>3463</v>
      </c>
      <c r="F25" s="2">
        <v>1</v>
      </c>
      <c r="G25" s="2">
        <f>VLOOKUP(C25,[1]道具价值!$B$28:$C$30,2,FALSE)*D25+IFERROR(VLOOKUP(E25,[1]道具价值!$B$28:$C$30,2,FALSE)*F25,0)</f>
        <v>120</v>
      </c>
      <c r="H25" s="2">
        <f>VLOOKUP(C25,[1]道具价值!$V$99:$Y$102,4,FALSE)*D25+IFERROR(VLOOKUP(E25,[1]道具价值!$V$99:$Y$102,4,FALSE)*F25,0)</f>
        <v>160</v>
      </c>
      <c r="I25" s="2">
        <f t="shared" si="3"/>
        <v>2</v>
      </c>
      <c r="J25" s="2">
        <v>2</v>
      </c>
      <c r="K25" s="2">
        <v>9</v>
      </c>
      <c r="L25" s="30"/>
    </row>
    <row r="26" spans="2:12" x14ac:dyDescent="0.3">
      <c r="L26" s="30"/>
    </row>
    <row r="27" spans="2:12" x14ac:dyDescent="0.3">
      <c r="L27" s="30"/>
    </row>
    <row r="28" spans="2:12" x14ac:dyDescent="0.3">
      <c r="B28" s="2" t="s">
        <v>3458</v>
      </c>
      <c r="C28" s="2" t="s">
        <v>3464</v>
      </c>
      <c r="D28" s="2" t="s">
        <v>3465</v>
      </c>
      <c r="E28" s="2" t="s">
        <v>3464</v>
      </c>
      <c r="F28" s="2" t="s">
        <v>3465</v>
      </c>
      <c r="G28" s="2" t="s">
        <v>2830</v>
      </c>
      <c r="H28" s="2" t="s">
        <v>1776</v>
      </c>
      <c r="I28" s="2" t="s">
        <v>3460</v>
      </c>
      <c r="J28" s="2" t="s">
        <v>2822</v>
      </c>
      <c r="K28" s="2" t="s">
        <v>500</v>
      </c>
      <c r="L28" s="30"/>
    </row>
    <row r="29" spans="2:12" x14ac:dyDescent="0.3">
      <c r="B29" s="2" t="s">
        <v>2575</v>
      </c>
      <c r="C29" s="2" t="s">
        <v>1762</v>
      </c>
      <c r="D29" s="2">
        <v>3</v>
      </c>
      <c r="E29" s="2"/>
      <c r="F29" s="2"/>
      <c r="G29" s="2">
        <f>VLOOKUP(C29,[1]道具价值!$B$16:$C$27,2,FALSE)*D29+IFERROR(VLOOKUP(E29,[1]道具价值!$B$16:$C$27,2,FALSE)*F29,0)</f>
        <v>180</v>
      </c>
      <c r="H29" s="2">
        <f>VLOOKUP(C29,[1]道具价值!$B$33:$E$45,4,FALSE)*D29+IFERROR(VLOOKUP(E29,[1]道具价值!$B$33:$E$45,4,FALSE)*F29,0)</f>
        <v>180</v>
      </c>
      <c r="I29" s="2">
        <f>D29+F29</f>
        <v>3</v>
      </c>
      <c r="J29" s="2">
        <v>1</v>
      </c>
      <c r="K29" s="2">
        <v>1</v>
      </c>
      <c r="L29" s="30"/>
    </row>
    <row r="30" spans="2:12" x14ac:dyDescent="0.3">
      <c r="B30" s="2" t="s">
        <v>2577</v>
      </c>
      <c r="C30" s="2" t="s">
        <v>1763</v>
      </c>
      <c r="D30" s="2">
        <v>3</v>
      </c>
      <c r="E30" s="2"/>
      <c r="F30" s="2"/>
      <c r="G30" s="2">
        <f>VLOOKUP(C30,[1]道具价值!$B$16:$C$27,2,FALSE)*D30+IFERROR(VLOOKUP(E30,[1]道具价值!$B$16:$C$27,2,FALSE)*F30,0)</f>
        <v>180</v>
      </c>
      <c r="H30" s="2">
        <f>VLOOKUP(C30,[1]道具价值!$B$33:$E$45,4,FALSE)*D30+IFERROR(VLOOKUP(E30,[1]道具价值!$B$33:$E$45,4,FALSE)*F30,0)</f>
        <v>180</v>
      </c>
      <c r="I30" s="2">
        <f>D30+F30</f>
        <v>3</v>
      </c>
      <c r="J30" s="2">
        <v>1</v>
      </c>
      <c r="K30" s="2">
        <v>2</v>
      </c>
      <c r="L30" s="30"/>
    </row>
    <row r="31" spans="2:12" x14ac:dyDescent="0.3">
      <c r="B31" s="2" t="s">
        <v>2579</v>
      </c>
      <c r="C31" s="2" t="s">
        <v>1765</v>
      </c>
      <c r="D31" s="2">
        <v>3</v>
      </c>
      <c r="E31" s="2"/>
      <c r="F31" s="2"/>
      <c r="G31" s="2">
        <f>VLOOKUP(C31,[1]道具价值!$B$16:$C$27,2,FALSE)*D31+IFERROR(VLOOKUP(E31,[1]道具价值!$B$16:$C$27,2,FALSE)*F31,0)</f>
        <v>240</v>
      </c>
      <c r="H31" s="2">
        <f>VLOOKUP(C31,[1]道具价值!$B$33:$E$45,4,FALSE)*D31+IFERROR(VLOOKUP(E31,[1]道具价值!$B$33:$E$45,4,FALSE)*F31,0)</f>
        <v>240</v>
      </c>
      <c r="I31" s="2">
        <f t="shared" ref="I31:I36" si="4">D31+F31</f>
        <v>3</v>
      </c>
      <c r="J31" s="2">
        <v>1</v>
      </c>
      <c r="K31" s="2">
        <v>3</v>
      </c>
      <c r="L31" s="30"/>
    </row>
    <row r="32" spans="2:12" x14ac:dyDescent="0.3">
      <c r="B32" s="2" t="s">
        <v>2581</v>
      </c>
      <c r="C32" s="2" t="s">
        <v>1766</v>
      </c>
      <c r="D32" s="2">
        <v>3</v>
      </c>
      <c r="E32" s="2"/>
      <c r="F32" s="2"/>
      <c r="G32" s="2">
        <f>VLOOKUP(C32,[1]道具价值!$B$16:$C$27,2,FALSE)*D32+IFERROR(VLOOKUP(E32,[1]道具价值!$B$16:$C$27,2,FALSE)*F32,0)</f>
        <v>165</v>
      </c>
      <c r="H32" s="2">
        <f>VLOOKUP(C32,[1]道具价值!$B$33:$E$45,4,FALSE)*D32+IFERROR(VLOOKUP(E32,[1]道具价值!$B$33:$E$45,4,FALSE)*F32,0)</f>
        <v>180</v>
      </c>
      <c r="I32" s="2">
        <f t="shared" si="4"/>
        <v>3</v>
      </c>
      <c r="J32" s="2">
        <v>1</v>
      </c>
      <c r="K32" s="2">
        <v>5</v>
      </c>
      <c r="L32" s="30"/>
    </row>
    <row r="33" spans="2:20" x14ac:dyDescent="0.3">
      <c r="B33" s="2" t="s">
        <v>2583</v>
      </c>
      <c r="C33" s="2" t="s">
        <v>1767</v>
      </c>
      <c r="D33" s="2">
        <v>3</v>
      </c>
      <c r="E33" s="2"/>
      <c r="F33" s="2"/>
      <c r="G33" s="2">
        <f>VLOOKUP(C33,[1]道具价值!$B$16:$C$27,2,FALSE)*D33+IFERROR(VLOOKUP(E33,[1]道具价值!$B$16:$C$27,2,FALSE)*F33,0)</f>
        <v>210</v>
      </c>
      <c r="H33" s="2">
        <f>VLOOKUP(C33,[1]道具价值!$B$33:$E$45,4,FALSE)*D33+IFERROR(VLOOKUP(E33,[1]道具价值!$B$33:$E$45,4,FALSE)*F33,0)</f>
        <v>210</v>
      </c>
      <c r="I33" s="2">
        <f t="shared" si="4"/>
        <v>3</v>
      </c>
      <c r="J33" s="2">
        <v>1</v>
      </c>
      <c r="K33" s="2">
        <v>5</v>
      </c>
      <c r="L33" s="30"/>
    </row>
    <row r="34" spans="2:20" x14ac:dyDescent="0.3">
      <c r="B34" s="2" t="s">
        <v>2585</v>
      </c>
      <c r="C34" s="2" t="s">
        <v>1769</v>
      </c>
      <c r="D34" s="2">
        <v>2</v>
      </c>
      <c r="E34" s="2"/>
      <c r="F34" s="2"/>
      <c r="G34" s="2">
        <f>VLOOKUP(C34,[1]道具价值!$B$16:$C$27,2,FALSE)*D34+IFERROR(VLOOKUP(E34,[1]道具价值!$B$16:$C$27,2,FALSE)*F34,0)</f>
        <v>210</v>
      </c>
      <c r="H34" s="2">
        <f>VLOOKUP(C34,[1]道具价值!$B$33:$E$45,4,FALSE)*D34+IFERROR(VLOOKUP(E34,[1]道具价值!$B$33:$E$45,4,FALSE)*F34,0)</f>
        <v>220</v>
      </c>
      <c r="I34" s="2">
        <f t="shared" si="4"/>
        <v>2</v>
      </c>
      <c r="J34" s="2">
        <v>1</v>
      </c>
      <c r="K34" s="2">
        <v>8</v>
      </c>
      <c r="L34" s="30"/>
    </row>
    <row r="35" spans="2:20" x14ac:dyDescent="0.3">
      <c r="B35" s="2" t="s">
        <v>2587</v>
      </c>
      <c r="C35" s="2" t="s">
        <v>1770</v>
      </c>
      <c r="D35" s="2">
        <v>2</v>
      </c>
      <c r="E35" s="2"/>
      <c r="F35" s="2"/>
      <c r="G35" s="2">
        <f>VLOOKUP(C35,[1]道具价值!$B$16:$C$27,2,FALSE)*D35+IFERROR(VLOOKUP(E35,[1]道具价值!$B$16:$C$27,2,FALSE)*F35,0)</f>
        <v>260</v>
      </c>
      <c r="H35" s="2">
        <f>VLOOKUP(C35,[1]道具价值!$B$33:$E$45,4,FALSE)*D35+IFERROR(VLOOKUP(E35,[1]道具价值!$B$33:$E$45,4,FALSE)*F35,0)</f>
        <v>260</v>
      </c>
      <c r="I35" s="2">
        <f t="shared" si="4"/>
        <v>2</v>
      </c>
      <c r="J35" s="2">
        <v>1</v>
      </c>
      <c r="K35" s="2">
        <v>10</v>
      </c>
      <c r="L35" s="30"/>
    </row>
    <row r="36" spans="2:20" x14ac:dyDescent="0.3">
      <c r="B36" s="2" t="s">
        <v>2589</v>
      </c>
      <c r="C36" s="2" t="s">
        <v>1771</v>
      </c>
      <c r="D36" s="2">
        <v>2</v>
      </c>
      <c r="E36" s="2"/>
      <c r="F36" s="2"/>
      <c r="G36" s="2">
        <f>VLOOKUP(C36,[1]道具价值!$B$16:$C$27,2,FALSE)*D36+IFERROR(VLOOKUP(E36,[1]道具价值!$B$16:$C$27,2,FALSE)*F36,0)</f>
        <v>290</v>
      </c>
      <c r="H36" s="2">
        <f>VLOOKUP(C36,[1]道具价值!$B$33:$E$45,4,FALSE)*D36+IFERROR(VLOOKUP(E36,[1]道具价值!$B$33:$E$45,4,FALSE)*F36,0)</f>
        <v>300</v>
      </c>
      <c r="I36" s="2">
        <f t="shared" si="4"/>
        <v>2</v>
      </c>
      <c r="J36" s="2">
        <v>1</v>
      </c>
      <c r="K36" s="2">
        <v>10</v>
      </c>
      <c r="L36" s="30"/>
    </row>
    <row r="37" spans="2:20" x14ac:dyDescent="0.3">
      <c r="B37" s="23"/>
      <c r="C37" s="24"/>
      <c r="D37" s="24"/>
      <c r="E37" s="25"/>
      <c r="F37" s="25"/>
      <c r="G37" s="25"/>
      <c r="H37" s="25"/>
      <c r="I37" s="25"/>
      <c r="J37" s="25"/>
      <c r="K37" s="30"/>
      <c r="L37" s="30"/>
    </row>
    <row r="38" spans="2:20" x14ac:dyDescent="0.3">
      <c r="B38" s="23"/>
      <c r="C38" s="24"/>
      <c r="D38" s="24"/>
      <c r="E38" s="25"/>
      <c r="F38" s="25"/>
      <c r="G38" s="25"/>
      <c r="H38" s="25"/>
      <c r="I38" s="25"/>
      <c r="J38" s="25"/>
      <c r="K38" s="30"/>
      <c r="L38" s="30"/>
    </row>
    <row r="39" spans="2:20" x14ac:dyDescent="0.3">
      <c r="B39" s="351" t="s">
        <v>375</v>
      </c>
      <c r="C39" s="351"/>
      <c r="D39" s="351"/>
      <c r="E39" s="351"/>
      <c r="F39" s="351"/>
      <c r="G39" s="351"/>
      <c r="H39" s="351"/>
      <c r="I39" s="351"/>
      <c r="J39" s="351"/>
      <c r="K39" s="351"/>
      <c r="L39" s="351"/>
      <c r="M39" s="351"/>
      <c r="N39" s="351"/>
      <c r="P39" s="351" t="s">
        <v>3466</v>
      </c>
      <c r="Q39" s="351"/>
      <c r="R39" s="351"/>
      <c r="S39" s="351"/>
      <c r="T39" s="351"/>
    </row>
    <row r="40" spans="2:20" x14ac:dyDescent="0.3">
      <c r="B40" s="2" t="str">
        <f>[1]基础经济系数!B56</f>
        <v>联赛等级</v>
      </c>
      <c r="C40" s="2" t="str">
        <f>[1]基础经济系数!C56</f>
        <v>T1低</v>
      </c>
      <c r="D40" s="2" t="str">
        <f>[1]基础经济系数!D56</f>
        <v>T2低</v>
      </c>
      <c r="E40" s="2" t="str">
        <f>[1]基础经济系数!E56</f>
        <v>T2中</v>
      </c>
      <c r="F40" s="2" t="str">
        <f>[1]基础经济系数!F56</f>
        <v>T3低</v>
      </c>
      <c r="G40" s="2" t="str">
        <f>[1]基础经济系数!G56</f>
        <v>T3中</v>
      </c>
      <c r="H40" s="2" t="str">
        <f>[1]基础经济系数!H56</f>
        <v>T3高</v>
      </c>
      <c r="I40" s="2" t="str">
        <f>[1]基础经济系数!I56</f>
        <v>T4低</v>
      </c>
      <c r="J40" s="2" t="str">
        <f>[1]基础经济系数!J56</f>
        <v>T4中</v>
      </c>
      <c r="K40" s="2" t="str">
        <f>[1]基础经济系数!K56</f>
        <v>T4高</v>
      </c>
      <c r="L40" s="2" t="str">
        <f>[1]基础经济系数!L56</f>
        <v>T5低</v>
      </c>
      <c r="M40" s="2" t="str">
        <f>[1]基础经济系数!M56</f>
        <v>T5中</v>
      </c>
      <c r="N40" s="2" t="str">
        <f>[1]基础经济系数!N56</f>
        <v>T5高</v>
      </c>
      <c r="P40" s="2" t="str">
        <f>B40</f>
        <v>联赛等级</v>
      </c>
      <c r="Q40" s="22" t="s">
        <v>3456</v>
      </c>
      <c r="R40" s="2" t="s">
        <v>3457</v>
      </c>
      <c r="S40" s="2" t="s">
        <v>3467</v>
      </c>
      <c r="T40" s="2" t="s">
        <v>3468</v>
      </c>
    </row>
    <row r="41" spans="2:20" x14ac:dyDescent="0.3">
      <c r="B41" s="2">
        <f>[1]基础经济系数!B57</f>
        <v>1</v>
      </c>
      <c r="C41" s="2" t="str">
        <f>[1]基础经济系数!C57</f>
        <v>All</v>
      </c>
      <c r="D41" s="2" t="str">
        <f>[1]基础经济系数!D57</f>
        <v>None</v>
      </c>
      <c r="E41" s="2" t="str">
        <f>[1]基础经济系数!E57</f>
        <v>None</v>
      </c>
      <c r="F41" s="2" t="str">
        <f>[1]基础经济系数!F57</f>
        <v>None</v>
      </c>
      <c r="G41" s="2" t="str">
        <f>[1]基础经济系数!G57</f>
        <v>None</v>
      </c>
      <c r="H41" s="2" t="str">
        <f>[1]基础经济系数!H57</f>
        <v>None</v>
      </c>
      <c r="I41" s="2" t="str">
        <f>[1]基础经济系数!I57</f>
        <v>None</v>
      </c>
      <c r="J41" s="2" t="str">
        <f>[1]基础经济系数!J57</f>
        <v>None</v>
      </c>
      <c r="K41" s="2" t="str">
        <f>[1]基础经济系数!K57</f>
        <v>None</v>
      </c>
      <c r="L41" s="2" t="str">
        <f>[1]基础经济系数!L57</f>
        <v>None</v>
      </c>
      <c r="M41" s="2" t="str">
        <f>[1]基础经济系数!M57</f>
        <v>None</v>
      </c>
      <c r="N41" s="2" t="str">
        <f>[1]基础经济系数!N57</f>
        <v>None</v>
      </c>
      <c r="P41" s="2">
        <f t="shared" ref="P41:P50" si="5">B41</f>
        <v>1</v>
      </c>
      <c r="Q41" s="2" t="b">
        <v>1</v>
      </c>
      <c r="R41" s="2" t="b">
        <v>1</v>
      </c>
      <c r="S41" s="2" t="b">
        <v>1</v>
      </c>
      <c r="T41" s="2" t="b">
        <v>0</v>
      </c>
    </row>
    <row r="42" spans="2:20" x14ac:dyDescent="0.3">
      <c r="B42" s="2">
        <f>[1]基础经济系数!B58</f>
        <v>2</v>
      </c>
      <c r="C42" s="2" t="str">
        <f>[1]基础经济系数!C58</f>
        <v>All</v>
      </c>
      <c r="D42" s="2" t="str">
        <f>[1]基础经济系数!D58</f>
        <v>All</v>
      </c>
      <c r="E42" s="2" t="str">
        <f>[1]基础经济系数!E58</f>
        <v>None</v>
      </c>
      <c r="F42" s="2" t="str">
        <f>[1]基础经济系数!F58</f>
        <v>None</v>
      </c>
      <c r="G42" s="2" t="str">
        <f>[1]基础经济系数!G58</f>
        <v>None</v>
      </c>
      <c r="H42" s="2" t="str">
        <f>[1]基础经济系数!H58</f>
        <v>None</v>
      </c>
      <c r="I42" s="2" t="str">
        <f>[1]基础经济系数!I58</f>
        <v>None</v>
      </c>
      <c r="J42" s="2" t="str">
        <f>[1]基础经济系数!J58</f>
        <v>None</v>
      </c>
      <c r="K42" s="2" t="str">
        <f>[1]基础经济系数!K58</f>
        <v>None</v>
      </c>
      <c r="L42" s="2" t="str">
        <f>[1]基础经济系数!L58</f>
        <v>None</v>
      </c>
      <c r="M42" s="2" t="str">
        <f>[1]基础经济系数!M58</f>
        <v>None</v>
      </c>
      <c r="N42" s="2" t="str">
        <f>[1]基础经济系数!N58</f>
        <v>None</v>
      </c>
      <c r="P42" s="2">
        <f t="shared" si="5"/>
        <v>2</v>
      </c>
      <c r="Q42" s="2" t="b">
        <v>0</v>
      </c>
      <c r="R42" s="2" t="b">
        <v>1</v>
      </c>
      <c r="S42" s="2" t="b">
        <v>1</v>
      </c>
      <c r="T42" s="2" t="b">
        <v>1</v>
      </c>
    </row>
    <row r="43" spans="2:20" x14ac:dyDescent="0.3">
      <c r="B43" s="2">
        <f>[1]基础经济系数!B59</f>
        <v>3</v>
      </c>
      <c r="C43" s="2" t="str">
        <f>[1]基础经济系数!C59</f>
        <v>All</v>
      </c>
      <c r="D43" s="2" t="str">
        <f>[1]基础经济系数!D59</f>
        <v>All</v>
      </c>
      <c r="E43" s="2" t="str">
        <f>[1]基础经济系数!E59</f>
        <v>All</v>
      </c>
      <c r="F43" s="2" t="str">
        <f>[1]基础经济系数!F59</f>
        <v>None</v>
      </c>
      <c r="G43" s="2" t="str">
        <f>[1]基础经济系数!G59</f>
        <v>None</v>
      </c>
      <c r="H43" s="2" t="str">
        <f>[1]基础经济系数!H59</f>
        <v>None</v>
      </c>
      <c r="I43" s="2" t="str">
        <f>[1]基础经济系数!I59</f>
        <v>None</v>
      </c>
      <c r="J43" s="2" t="str">
        <f>[1]基础经济系数!J59</f>
        <v>None</v>
      </c>
      <c r="K43" s="2" t="str">
        <f>[1]基础经济系数!K59</f>
        <v>None</v>
      </c>
      <c r="L43" s="2" t="str">
        <f>[1]基础经济系数!L59</f>
        <v>None</v>
      </c>
      <c r="M43" s="2" t="str">
        <f>[1]基础经济系数!M59</f>
        <v>None</v>
      </c>
      <c r="N43" s="2" t="str">
        <f>[1]基础经济系数!N59</f>
        <v>None</v>
      </c>
      <c r="P43" s="2">
        <f t="shared" si="5"/>
        <v>3</v>
      </c>
      <c r="Q43" s="2" t="b">
        <v>0</v>
      </c>
      <c r="R43" s="2" t="b">
        <v>1</v>
      </c>
      <c r="S43" s="2" t="b">
        <v>1</v>
      </c>
      <c r="T43" s="2" t="b">
        <v>1</v>
      </c>
    </row>
    <row r="44" spans="2:20" x14ac:dyDescent="0.3">
      <c r="B44" s="2">
        <f>[1]基础经济系数!B60</f>
        <v>4</v>
      </c>
      <c r="C44" s="2" t="str">
        <f>[1]基础经济系数!C60</f>
        <v>All</v>
      </c>
      <c r="D44" s="2" t="str">
        <f>[1]基础经济系数!D60</f>
        <v>All</v>
      </c>
      <c r="E44" s="2" t="str">
        <f>[1]基础经济系数!E60</f>
        <v>All</v>
      </c>
      <c r="F44" s="2" t="str">
        <f>[1]基础经济系数!F60</f>
        <v>None</v>
      </c>
      <c r="G44" s="2" t="str">
        <f>[1]基础经济系数!G60</f>
        <v>None</v>
      </c>
      <c r="H44" s="2" t="str">
        <f>[1]基础经济系数!H60</f>
        <v>None</v>
      </c>
      <c r="I44" s="2" t="str">
        <f>[1]基础经济系数!I60</f>
        <v>None</v>
      </c>
      <c r="J44" s="2" t="str">
        <f>[1]基础经济系数!J60</f>
        <v>None</v>
      </c>
      <c r="K44" s="2" t="str">
        <f>[1]基础经济系数!K60</f>
        <v>None</v>
      </c>
      <c r="L44" s="2" t="str">
        <f>[1]基础经济系数!L60</f>
        <v>None</v>
      </c>
      <c r="M44" s="2" t="str">
        <f>[1]基础经济系数!M60</f>
        <v>None</v>
      </c>
      <c r="N44" s="2" t="str">
        <f>[1]基础经济系数!N60</f>
        <v>None</v>
      </c>
      <c r="P44" s="2">
        <f t="shared" si="5"/>
        <v>4</v>
      </c>
      <c r="Q44" s="2" t="b">
        <v>0</v>
      </c>
      <c r="R44" s="2" t="b">
        <v>1</v>
      </c>
      <c r="S44" s="2" t="b">
        <v>1</v>
      </c>
      <c r="T44" s="2" t="b">
        <v>1</v>
      </c>
    </row>
    <row r="45" spans="2:20" x14ac:dyDescent="0.3">
      <c r="B45" s="2">
        <f>[1]基础经济系数!B61</f>
        <v>5</v>
      </c>
      <c r="C45" s="2" t="str">
        <f>[1]基础经济系数!C61</f>
        <v>All</v>
      </c>
      <c r="D45" s="2" t="str">
        <f>[1]基础经济系数!D61</f>
        <v>All</v>
      </c>
      <c r="E45" s="2" t="str">
        <f>[1]基础经济系数!E61</f>
        <v>All</v>
      </c>
      <c r="F45" s="2" t="str">
        <f>[1]基础经济系数!F61</f>
        <v>All</v>
      </c>
      <c r="G45" s="2" t="str">
        <f>[1]基础经济系数!G61</f>
        <v>All</v>
      </c>
      <c r="H45" s="2" t="str">
        <f>[1]基础经济系数!H61</f>
        <v>None</v>
      </c>
      <c r="I45" s="2" t="str">
        <f>[1]基础经济系数!I61</f>
        <v>None</v>
      </c>
      <c r="J45" s="2" t="str">
        <f>[1]基础经济系数!J61</f>
        <v>None</v>
      </c>
      <c r="K45" s="2" t="str">
        <f>[1]基础经济系数!K61</f>
        <v>None</v>
      </c>
      <c r="L45" s="2" t="str">
        <f>[1]基础经济系数!L61</f>
        <v>None</v>
      </c>
      <c r="M45" s="2" t="str">
        <f>[1]基础经济系数!M61</f>
        <v>None</v>
      </c>
      <c r="N45" s="2" t="str">
        <f>[1]基础经济系数!N61</f>
        <v>None</v>
      </c>
      <c r="P45" s="2">
        <f t="shared" si="5"/>
        <v>5</v>
      </c>
      <c r="Q45" s="2" t="b">
        <v>0</v>
      </c>
      <c r="R45" s="2" t="b">
        <v>1</v>
      </c>
      <c r="S45" s="2" t="b">
        <v>1</v>
      </c>
      <c r="T45" s="2" t="b">
        <v>1</v>
      </c>
    </row>
    <row r="46" spans="2:20" x14ac:dyDescent="0.3">
      <c r="B46" s="2">
        <f>[1]基础经济系数!B62</f>
        <v>6</v>
      </c>
      <c r="C46" s="2" t="str">
        <f>[1]基础经济系数!C62</f>
        <v>All</v>
      </c>
      <c r="D46" s="2" t="str">
        <f>[1]基础经济系数!D62</f>
        <v>All</v>
      </c>
      <c r="E46" s="2" t="str">
        <f>[1]基础经济系数!E62</f>
        <v>All</v>
      </c>
      <c r="F46" s="2" t="str">
        <f>[1]基础经济系数!F62</f>
        <v>All</v>
      </c>
      <c r="G46" s="2" t="str">
        <f>[1]基础经济系数!G62</f>
        <v>All</v>
      </c>
      <c r="H46" s="2" t="str">
        <f>[1]基础经济系数!H62</f>
        <v>None</v>
      </c>
      <c r="I46" s="2" t="str">
        <f>[1]基础经济系数!I62</f>
        <v>None</v>
      </c>
      <c r="J46" s="2" t="str">
        <f>[1]基础经济系数!J62</f>
        <v>None</v>
      </c>
      <c r="K46" s="2" t="str">
        <f>[1]基础经济系数!K62</f>
        <v>None</v>
      </c>
      <c r="L46" s="2" t="str">
        <f>[1]基础经济系数!L62</f>
        <v>None</v>
      </c>
      <c r="M46" s="2" t="str">
        <f>[1]基础经济系数!M62</f>
        <v>None</v>
      </c>
      <c r="N46" s="2" t="str">
        <f>[1]基础经济系数!N62</f>
        <v>None</v>
      </c>
      <c r="P46" s="2">
        <f t="shared" si="5"/>
        <v>6</v>
      </c>
      <c r="Q46" s="2" t="b">
        <v>0</v>
      </c>
      <c r="R46" s="2" t="b">
        <v>1</v>
      </c>
      <c r="S46" s="2" t="b">
        <v>1</v>
      </c>
      <c r="T46" s="2" t="b">
        <v>1</v>
      </c>
    </row>
    <row r="47" spans="2:20" x14ac:dyDescent="0.3">
      <c r="B47" s="2">
        <f>[1]基础经济系数!B63</f>
        <v>7</v>
      </c>
      <c r="C47" s="2" t="str">
        <f>[1]基础经济系数!C63</f>
        <v>All</v>
      </c>
      <c r="D47" s="2" t="str">
        <f>[1]基础经济系数!D63</f>
        <v>All</v>
      </c>
      <c r="E47" s="2" t="str">
        <f>[1]基础经济系数!E63</f>
        <v>All</v>
      </c>
      <c r="F47" s="2" t="str">
        <f>[1]基础经济系数!F63</f>
        <v>All</v>
      </c>
      <c r="G47" s="2" t="str">
        <f>[1]基础经济系数!G63</f>
        <v>All</v>
      </c>
      <c r="H47" s="2" t="str">
        <f>[1]基础经济系数!H63</f>
        <v>None</v>
      </c>
      <c r="I47" s="2" t="str">
        <f>[1]基础经济系数!I63</f>
        <v>None</v>
      </c>
      <c r="J47" s="2" t="str">
        <f>[1]基础经济系数!J63</f>
        <v>None</v>
      </c>
      <c r="K47" s="2" t="str">
        <f>[1]基础经济系数!K63</f>
        <v>None</v>
      </c>
      <c r="L47" s="2" t="str">
        <f>[1]基础经济系数!L63</f>
        <v>None</v>
      </c>
      <c r="M47" s="2" t="str">
        <f>[1]基础经济系数!M63</f>
        <v>None</v>
      </c>
      <c r="N47" s="2" t="str">
        <f>[1]基础经济系数!N63</f>
        <v>None</v>
      </c>
      <c r="P47" s="2">
        <f t="shared" si="5"/>
        <v>7</v>
      </c>
      <c r="Q47" s="2" t="b">
        <v>0</v>
      </c>
      <c r="R47" s="2" t="b">
        <v>1</v>
      </c>
      <c r="S47" s="2" t="b">
        <v>1</v>
      </c>
      <c r="T47" s="2" t="b">
        <v>1</v>
      </c>
    </row>
    <row r="48" spans="2:20" x14ac:dyDescent="0.3">
      <c r="B48" s="2">
        <f>[1]基础经济系数!B64</f>
        <v>8</v>
      </c>
      <c r="C48" s="2" t="str">
        <f>[1]基础经济系数!C64</f>
        <v>All</v>
      </c>
      <c r="D48" s="2" t="str">
        <f>[1]基础经济系数!D64</f>
        <v>All</v>
      </c>
      <c r="E48" s="2" t="str">
        <f>[1]基础经济系数!E64</f>
        <v>All</v>
      </c>
      <c r="F48" s="2" t="str">
        <f>[1]基础经济系数!F64</f>
        <v>All</v>
      </c>
      <c r="G48" s="2" t="str">
        <f>[1]基础经济系数!G64</f>
        <v>All</v>
      </c>
      <c r="H48" s="2" t="str">
        <f>[1]基础经济系数!H64</f>
        <v>None</v>
      </c>
      <c r="I48" s="2" t="str">
        <f>[1]基础经济系数!I64</f>
        <v>All</v>
      </c>
      <c r="J48" s="2" t="str">
        <f>[1]基础经济系数!J64</f>
        <v>part</v>
      </c>
      <c r="K48" s="2" t="str">
        <f>[1]基础经济系数!K64</f>
        <v>part</v>
      </c>
      <c r="L48" s="2" t="str">
        <f>[1]基础经济系数!L64</f>
        <v>None</v>
      </c>
      <c r="M48" s="2" t="str">
        <f>[1]基础经济系数!M64</f>
        <v>None</v>
      </c>
      <c r="N48" s="2" t="str">
        <f>[1]基础经济系数!N64</f>
        <v>None</v>
      </c>
      <c r="P48" s="2">
        <f t="shared" si="5"/>
        <v>8</v>
      </c>
      <c r="Q48" s="2" t="b">
        <v>0</v>
      </c>
      <c r="R48" s="2" t="b">
        <v>1</v>
      </c>
      <c r="S48" s="2" t="b">
        <v>1</v>
      </c>
      <c r="T48" s="2" t="b">
        <v>1</v>
      </c>
    </row>
    <row r="49" spans="2:22" x14ac:dyDescent="0.3">
      <c r="B49" s="2">
        <f>[1]基础经济系数!B65</f>
        <v>9</v>
      </c>
      <c r="C49" s="2" t="str">
        <f>[1]基础经济系数!C65</f>
        <v>All</v>
      </c>
      <c r="D49" s="2" t="str">
        <f>[1]基础经济系数!D65</f>
        <v>All</v>
      </c>
      <c r="E49" s="2" t="str">
        <f>[1]基础经济系数!E65</f>
        <v>All</v>
      </c>
      <c r="F49" s="2" t="str">
        <f>[1]基础经济系数!F65</f>
        <v>All</v>
      </c>
      <c r="G49" s="2" t="str">
        <f>[1]基础经济系数!G65</f>
        <v>All</v>
      </c>
      <c r="H49" s="2" t="str">
        <f>[1]基础经济系数!H65</f>
        <v>None</v>
      </c>
      <c r="I49" s="2" t="str">
        <f>[1]基础经济系数!I65</f>
        <v>All</v>
      </c>
      <c r="J49" s="2" t="str">
        <f>[1]基础经济系数!J65</f>
        <v>part</v>
      </c>
      <c r="K49" s="2" t="str">
        <f>[1]基础经济系数!K65</f>
        <v>part</v>
      </c>
      <c r="L49" s="2" t="str">
        <f>[1]基础经济系数!L65</f>
        <v>None</v>
      </c>
      <c r="M49" s="2" t="str">
        <f>[1]基础经济系数!M65</f>
        <v>None</v>
      </c>
      <c r="N49" s="2" t="str">
        <f>[1]基础经济系数!N65</f>
        <v>None</v>
      </c>
      <c r="P49" s="2">
        <f t="shared" si="5"/>
        <v>9</v>
      </c>
      <c r="Q49" s="2" t="b">
        <v>0</v>
      </c>
      <c r="R49" s="2" t="b">
        <v>1</v>
      </c>
      <c r="S49" s="2" t="b">
        <v>1</v>
      </c>
      <c r="T49" s="2" t="b">
        <v>1</v>
      </c>
    </row>
    <row r="50" spans="2:22" x14ac:dyDescent="0.3">
      <c r="B50" s="2">
        <f>[1]基础经济系数!B66</f>
        <v>10</v>
      </c>
      <c r="C50" s="2" t="str">
        <f>[1]基础经济系数!C66</f>
        <v>All</v>
      </c>
      <c r="D50" s="2" t="str">
        <f>[1]基础经济系数!D66</f>
        <v>All</v>
      </c>
      <c r="E50" s="2" t="str">
        <f>[1]基础经济系数!E66</f>
        <v>All</v>
      </c>
      <c r="F50" s="2" t="str">
        <f>[1]基础经济系数!F66</f>
        <v>All</v>
      </c>
      <c r="G50" s="2" t="str">
        <f>[1]基础经济系数!G66</f>
        <v>All</v>
      </c>
      <c r="H50" s="2" t="str">
        <f>[1]基础经济系数!H66</f>
        <v>None</v>
      </c>
      <c r="I50" s="2" t="str">
        <f>[1]基础经济系数!I66</f>
        <v>All</v>
      </c>
      <c r="J50" s="2" t="str">
        <f>[1]基础经济系数!J66</f>
        <v>All</v>
      </c>
      <c r="K50" s="2" t="str">
        <f>[1]基础经济系数!K66</f>
        <v>All</v>
      </c>
      <c r="L50" s="2" t="str">
        <f>[1]基础经济系数!L66</f>
        <v>None</v>
      </c>
      <c r="M50" s="2" t="str">
        <f>[1]基础经济系数!M66</f>
        <v>None</v>
      </c>
      <c r="N50" s="2" t="str">
        <f>[1]基础经济系数!N66</f>
        <v>None</v>
      </c>
      <c r="P50" s="2">
        <f t="shared" si="5"/>
        <v>10</v>
      </c>
      <c r="Q50" s="2" t="b">
        <v>0</v>
      </c>
      <c r="R50" s="2" t="b">
        <v>1</v>
      </c>
      <c r="S50" s="2" t="b">
        <v>1</v>
      </c>
      <c r="T50" s="2" t="b">
        <v>1</v>
      </c>
    </row>
    <row r="53" spans="2:22" x14ac:dyDescent="0.3">
      <c r="B53" s="2" t="s">
        <v>886</v>
      </c>
      <c r="C53" s="2" t="s">
        <v>344</v>
      </c>
      <c r="D53" s="2" t="s">
        <v>775</v>
      </c>
      <c r="E53" s="2" t="s">
        <v>3469</v>
      </c>
      <c r="F53" s="2" t="s">
        <v>3470</v>
      </c>
      <c r="G53" s="2" t="s">
        <v>319</v>
      </c>
      <c r="H53" s="2" t="s">
        <v>3453</v>
      </c>
      <c r="I53" s="2" t="s">
        <v>3456</v>
      </c>
      <c r="J53" s="2" t="s">
        <v>3457</v>
      </c>
      <c r="K53" s="2" t="s">
        <v>3467</v>
      </c>
    </row>
    <row r="54" spans="2:22" x14ac:dyDescent="0.3">
      <c r="B54" s="2" t="str">
        <f>C54&amp;D54</f>
        <v>T1低</v>
      </c>
      <c r="C54" s="2" t="s">
        <v>604</v>
      </c>
      <c r="D54" s="2" t="s">
        <v>175</v>
      </c>
      <c r="E54" s="2">
        <f>[1]坦克升星消耗!L21</f>
        <v>2700</v>
      </c>
      <c r="F54" s="2">
        <v>1</v>
      </c>
      <c r="G54" s="2">
        <v>1</v>
      </c>
      <c r="H54" s="2">
        <v>1</v>
      </c>
      <c r="I54" s="2">
        <v>1</v>
      </c>
      <c r="J54" s="31">
        <f>POWER(E54/$E$54,0.1)</f>
        <v>1</v>
      </c>
      <c r="K54" s="31">
        <f t="shared" ref="K54:K65" si="6">E54/$E$54</f>
        <v>1</v>
      </c>
    </row>
    <row r="55" spans="2:22" x14ac:dyDescent="0.3">
      <c r="B55" s="2" t="str">
        <f t="shared" ref="B55:B65" si="7">C55&amp;D55</f>
        <v>T2低</v>
      </c>
      <c r="C55" s="2" t="s">
        <v>606</v>
      </c>
      <c r="D55" s="2" t="s">
        <v>175</v>
      </c>
      <c r="E55" s="2">
        <f>[1]坦克升星消耗!L22</f>
        <v>12000</v>
      </c>
      <c r="F55" s="2">
        <v>1</v>
      </c>
      <c r="G55" s="2">
        <v>1</v>
      </c>
      <c r="H55" s="2">
        <v>1</v>
      </c>
      <c r="I55" s="2">
        <v>1</v>
      </c>
      <c r="J55" s="31">
        <f t="shared" ref="J55:J65" si="8">POWER(E55/$E$54,0.1)</f>
        <v>1.1608650821807935</v>
      </c>
      <c r="K55" s="31">
        <f t="shared" si="6"/>
        <v>4.4444444444444446</v>
      </c>
      <c r="M55" s="1">
        <f t="shared" ref="M55:N57" si="9">J55/J54</f>
        <v>1.1608650821807935</v>
      </c>
      <c r="N55" s="1">
        <f t="shared" si="9"/>
        <v>4.4444444444444446</v>
      </c>
    </row>
    <row r="56" spans="2:22" x14ac:dyDescent="0.3">
      <c r="B56" s="2" t="str">
        <f t="shared" si="7"/>
        <v>T2中</v>
      </c>
      <c r="C56" s="2" t="s">
        <v>606</v>
      </c>
      <c r="D56" s="2" t="s">
        <v>177</v>
      </c>
      <c r="E56" s="2">
        <f>[1]坦克升星消耗!L23</f>
        <v>24200</v>
      </c>
      <c r="F56" s="2">
        <v>1</v>
      </c>
      <c r="G56" s="2">
        <v>1</v>
      </c>
      <c r="H56" s="2">
        <v>1</v>
      </c>
      <c r="I56" s="2">
        <v>1</v>
      </c>
      <c r="J56" s="31">
        <f t="shared" si="8"/>
        <v>1.245217341311287</v>
      </c>
      <c r="K56" s="31">
        <f t="shared" si="6"/>
        <v>8.9629629629629637</v>
      </c>
      <c r="M56" s="1">
        <f t="shared" si="9"/>
        <v>1.0726632753670478</v>
      </c>
      <c r="N56" s="1">
        <f t="shared" si="9"/>
        <v>2.0166666666666666</v>
      </c>
    </row>
    <row r="57" spans="2:22" x14ac:dyDescent="0.3">
      <c r="B57" s="2" t="str">
        <f t="shared" si="7"/>
        <v>T3低</v>
      </c>
      <c r="C57" s="2" t="s">
        <v>610</v>
      </c>
      <c r="D57" s="2" t="s">
        <v>175</v>
      </c>
      <c r="E57" s="2">
        <f>[1]坦克升星消耗!L24</f>
        <v>45400</v>
      </c>
      <c r="F57" s="2">
        <v>1</v>
      </c>
      <c r="G57" s="2">
        <v>1</v>
      </c>
      <c r="H57" s="2">
        <v>1</v>
      </c>
      <c r="I57" s="2">
        <v>1</v>
      </c>
      <c r="J57" s="31">
        <f t="shared" si="8"/>
        <v>1.3260784238685086</v>
      </c>
      <c r="K57" s="31">
        <f t="shared" si="6"/>
        <v>16.814814814814813</v>
      </c>
      <c r="M57" s="1">
        <f t="shared" si="9"/>
        <v>1.0649373244931444</v>
      </c>
      <c r="N57" s="1">
        <f t="shared" si="9"/>
        <v>1.8760330578512394</v>
      </c>
    </row>
    <row r="58" spans="2:22" x14ac:dyDescent="0.3">
      <c r="B58" s="2" t="str">
        <f t="shared" si="7"/>
        <v>T3中</v>
      </c>
      <c r="C58" s="2" t="s">
        <v>610</v>
      </c>
      <c r="D58" s="2" t="s">
        <v>177</v>
      </c>
      <c r="E58" s="2">
        <f>[1]坦克升星消耗!L25</f>
        <v>71750</v>
      </c>
      <c r="F58" s="2">
        <v>1</v>
      </c>
      <c r="G58" s="2">
        <v>1</v>
      </c>
      <c r="H58" s="2">
        <v>1</v>
      </c>
      <c r="I58" s="2">
        <v>1</v>
      </c>
      <c r="J58" s="31">
        <f t="shared" si="8"/>
        <v>1.3881800992400573</v>
      </c>
      <c r="K58" s="31">
        <f t="shared" si="6"/>
        <v>26.574074074074073</v>
      </c>
      <c r="M58" s="1">
        <f>J58/J56</f>
        <v>1.1148094819963092</v>
      </c>
      <c r="N58" s="1">
        <f>K58/K56</f>
        <v>2.964876033057851</v>
      </c>
      <c r="O58" s="1">
        <f>J58/J57</f>
        <v>1.0468310729243164</v>
      </c>
      <c r="P58" s="1">
        <f>K58/K57</f>
        <v>1.5803964757709252</v>
      </c>
    </row>
    <row r="59" spans="2:22" x14ac:dyDescent="0.3">
      <c r="B59" s="2" t="str">
        <f t="shared" si="7"/>
        <v>T3高</v>
      </c>
      <c r="C59" s="2" t="s">
        <v>610</v>
      </c>
      <c r="D59" s="2" t="s">
        <v>176</v>
      </c>
      <c r="E59" s="2">
        <f>[1]坦克升星消耗!L26</f>
        <v>101650</v>
      </c>
      <c r="F59" s="2">
        <v>1</v>
      </c>
      <c r="G59" s="2">
        <v>1</v>
      </c>
      <c r="H59" s="2">
        <v>1</v>
      </c>
      <c r="I59" s="2">
        <v>1</v>
      </c>
      <c r="J59" s="31">
        <f t="shared" si="8"/>
        <v>1.4373891486113104</v>
      </c>
      <c r="K59" s="31">
        <f t="shared" si="6"/>
        <v>37.648148148148145</v>
      </c>
    </row>
    <row r="60" spans="2:22" x14ac:dyDescent="0.3">
      <c r="B60" s="2" t="str">
        <f t="shared" si="7"/>
        <v>T4低</v>
      </c>
      <c r="C60" s="2" t="s">
        <v>617</v>
      </c>
      <c r="D60" s="2" t="s">
        <v>175</v>
      </c>
      <c r="E60" s="2">
        <f>[1]坦克升星消耗!L27</f>
        <v>181150</v>
      </c>
      <c r="F60" s="2">
        <v>1</v>
      </c>
      <c r="G60" s="2">
        <v>1</v>
      </c>
      <c r="H60" s="2">
        <v>1</v>
      </c>
      <c r="I60" s="2">
        <v>1</v>
      </c>
      <c r="J60" s="31">
        <f t="shared" si="8"/>
        <v>1.5228862217122558</v>
      </c>
      <c r="K60" s="31">
        <f t="shared" si="6"/>
        <v>67.092592592592595</v>
      </c>
      <c r="M60" s="1">
        <f>J60/$J$58</f>
        <v>1.0970379294055157</v>
      </c>
      <c r="N60" s="1">
        <f>K60/$K$58</f>
        <v>2.5247386759581882</v>
      </c>
    </row>
    <row r="61" spans="2:22" x14ac:dyDescent="0.3">
      <c r="B61" s="2" t="str">
        <f t="shared" si="7"/>
        <v>T4中</v>
      </c>
      <c r="C61" s="2" t="s">
        <v>617</v>
      </c>
      <c r="D61" s="2" t="s">
        <v>177</v>
      </c>
      <c r="E61" s="2">
        <f>[1]坦克升星消耗!L28</f>
        <v>277300</v>
      </c>
      <c r="F61" s="2">
        <v>1</v>
      </c>
      <c r="G61" s="2">
        <v>1</v>
      </c>
      <c r="H61" s="2">
        <v>1</v>
      </c>
      <c r="I61" s="2">
        <v>1</v>
      </c>
      <c r="J61" s="31">
        <f t="shared" si="8"/>
        <v>1.5891270144921257</v>
      </c>
      <c r="K61" s="31">
        <f t="shared" si="6"/>
        <v>102.70370370370371</v>
      </c>
      <c r="M61" s="1">
        <f>J61/$J$58</f>
        <v>1.1447556519230282</v>
      </c>
      <c r="N61" s="1">
        <f>K61/$K$58</f>
        <v>3.8648083623693386</v>
      </c>
      <c r="O61" s="1">
        <f>J61/J$60</f>
        <v>1.0434968757583163</v>
      </c>
      <c r="P61" s="1">
        <f>K61/K$60</f>
        <v>1.5307756003312172</v>
      </c>
    </row>
    <row r="62" spans="2:22" x14ac:dyDescent="0.3">
      <c r="B62" s="2" t="str">
        <f t="shared" si="7"/>
        <v>T4高</v>
      </c>
      <c r="C62" s="2" t="s">
        <v>617</v>
      </c>
      <c r="D62" s="2" t="s">
        <v>176</v>
      </c>
      <c r="E62" s="2">
        <f>[1]坦克升星消耗!L29</f>
        <v>383900</v>
      </c>
      <c r="F62" s="2">
        <v>1</v>
      </c>
      <c r="G62" s="2">
        <v>1</v>
      </c>
      <c r="H62" s="2">
        <v>1</v>
      </c>
      <c r="I62" s="2">
        <v>1</v>
      </c>
      <c r="J62" s="31">
        <f t="shared" si="8"/>
        <v>1.6416683854001477</v>
      </c>
      <c r="K62" s="31">
        <f t="shared" si="6"/>
        <v>142.18518518518519</v>
      </c>
      <c r="M62" s="1">
        <f>J62/$J$58</f>
        <v>1.1826047544543101</v>
      </c>
      <c r="N62" s="1">
        <f>K62/$K$58</f>
        <v>5.3505226480836239</v>
      </c>
      <c r="O62" s="1">
        <f>J62/J$60</f>
        <v>1.0779980552679367</v>
      </c>
      <c r="P62" s="1">
        <f>K62/K$60</f>
        <v>2.1192382003864201</v>
      </c>
      <c r="R62" s="1">
        <v>1</v>
      </c>
      <c r="S62" s="1">
        <f t="shared" ref="S62:S71" si="10">SUMIF($B$74:$B$235,$R62,$F$74:$F$235)</f>
        <v>0.11099999999999999</v>
      </c>
      <c r="T62" s="1">
        <f t="shared" ref="T62:T71" si="11">SUMIF($B$74:$B$235,$R62,$H$74:$H$235)</f>
        <v>0.66599999999999993</v>
      </c>
      <c r="U62" s="1">
        <f t="shared" ref="U62:U71" si="12">SUMIF($R$74:$R$220,$R62,$V$74:$V$223)</f>
        <v>0.21899999999999997</v>
      </c>
      <c r="V62" s="1">
        <f t="shared" ref="V62:V71" si="13">SUMIF($R$74:$R$220,$R62,$X$74:$X$223)</f>
        <v>0.65699999999999992</v>
      </c>
    </row>
    <row r="63" spans="2:22" x14ac:dyDescent="0.3">
      <c r="B63" s="2" t="str">
        <f t="shared" si="7"/>
        <v>T5低</v>
      </c>
      <c r="C63" s="2" t="s">
        <v>624</v>
      </c>
      <c r="D63" s="2" t="s">
        <v>175</v>
      </c>
      <c r="E63" s="2">
        <f>[1]坦克升星消耗!L30</f>
        <v>622350</v>
      </c>
      <c r="F63" s="2">
        <v>1</v>
      </c>
      <c r="G63" s="2">
        <v>1</v>
      </c>
      <c r="H63" s="2">
        <v>1</v>
      </c>
      <c r="I63" s="2">
        <v>1</v>
      </c>
      <c r="J63" s="31">
        <f t="shared" si="8"/>
        <v>1.7229278572568092</v>
      </c>
      <c r="K63" s="31">
        <f t="shared" si="6"/>
        <v>230.5</v>
      </c>
      <c r="R63" s="1">
        <v>2</v>
      </c>
      <c r="S63" s="1">
        <f t="shared" si="10"/>
        <v>0.33299999999999996</v>
      </c>
      <c r="T63" s="1">
        <f t="shared" si="11"/>
        <v>0.66600000000000004</v>
      </c>
      <c r="U63" s="1">
        <f t="shared" si="12"/>
        <v>0.438</v>
      </c>
      <c r="V63" s="1">
        <f t="shared" si="13"/>
        <v>0.65699999999999981</v>
      </c>
    </row>
    <row r="64" spans="2:22" x14ac:dyDescent="0.3">
      <c r="B64" s="2" t="str">
        <f t="shared" si="7"/>
        <v>T5中</v>
      </c>
      <c r="C64" s="2" t="s">
        <v>624</v>
      </c>
      <c r="D64" s="2" t="s">
        <v>177</v>
      </c>
      <c r="E64" s="2">
        <f>[1]坦克升星消耗!L31</f>
        <v>902850</v>
      </c>
      <c r="F64" s="2">
        <v>1</v>
      </c>
      <c r="G64" s="2">
        <v>1</v>
      </c>
      <c r="H64" s="2">
        <v>1</v>
      </c>
      <c r="I64" s="2">
        <v>1</v>
      </c>
      <c r="J64" s="31">
        <f t="shared" si="8"/>
        <v>1.7882374418059781</v>
      </c>
      <c r="K64" s="31">
        <f t="shared" si="6"/>
        <v>334.38888888888891</v>
      </c>
      <c r="R64" s="1">
        <v>3</v>
      </c>
      <c r="S64" s="1">
        <f t="shared" si="10"/>
        <v>0.44399999999999989</v>
      </c>
      <c r="T64" s="1">
        <f t="shared" si="11"/>
        <v>0.66600000000000004</v>
      </c>
      <c r="U64" s="1">
        <f t="shared" si="12"/>
        <v>0.65699999999999992</v>
      </c>
      <c r="V64" s="1">
        <f t="shared" si="13"/>
        <v>0.65699999999999992</v>
      </c>
    </row>
    <row r="65" spans="2:25" x14ac:dyDescent="0.3">
      <c r="B65" s="2" t="str">
        <f t="shared" si="7"/>
        <v>T5高</v>
      </c>
      <c r="C65" s="2" t="s">
        <v>624</v>
      </c>
      <c r="D65" s="2" t="s">
        <v>176</v>
      </c>
      <c r="E65" s="2">
        <f>[1]坦克升星消耗!L32</f>
        <v>1199050</v>
      </c>
      <c r="F65" s="2">
        <v>1</v>
      </c>
      <c r="G65" s="2">
        <v>1</v>
      </c>
      <c r="H65" s="2">
        <v>1</v>
      </c>
      <c r="I65" s="2">
        <v>1</v>
      </c>
      <c r="J65" s="31">
        <f t="shared" si="8"/>
        <v>1.8397014596313621</v>
      </c>
      <c r="K65" s="31">
        <f t="shared" si="6"/>
        <v>444.09259259259261</v>
      </c>
      <c r="R65" s="1">
        <v>4</v>
      </c>
      <c r="S65" s="1">
        <f t="shared" si="10"/>
        <v>0.44399999999999989</v>
      </c>
      <c r="T65" s="1">
        <f t="shared" si="11"/>
        <v>0.66600000000000015</v>
      </c>
      <c r="U65" s="1">
        <f t="shared" si="12"/>
        <v>0.438</v>
      </c>
      <c r="V65" s="1">
        <f t="shared" si="13"/>
        <v>0.65700000000000003</v>
      </c>
    </row>
    <row r="66" spans="2:25" x14ac:dyDescent="0.3">
      <c r="R66" s="1">
        <v>5</v>
      </c>
      <c r="S66" s="1">
        <f t="shared" si="10"/>
        <v>0.66600000000000004</v>
      </c>
      <c r="T66" s="1">
        <f t="shared" si="11"/>
        <v>0.66599999999999993</v>
      </c>
      <c r="U66" s="1">
        <f t="shared" si="12"/>
        <v>0.65699999999999992</v>
      </c>
      <c r="V66" s="1">
        <f t="shared" si="13"/>
        <v>0.54749999999999999</v>
      </c>
    </row>
    <row r="67" spans="2:25" x14ac:dyDescent="0.3">
      <c r="R67" s="1">
        <v>6</v>
      </c>
      <c r="S67" s="1">
        <f t="shared" si="10"/>
        <v>0.55499999999999994</v>
      </c>
      <c r="T67" s="1">
        <f t="shared" si="11"/>
        <v>0.66600000000000004</v>
      </c>
      <c r="U67" s="1">
        <f t="shared" si="12"/>
        <v>0.65699999999999992</v>
      </c>
      <c r="V67" s="1">
        <f t="shared" si="13"/>
        <v>0.65700000000000003</v>
      </c>
    </row>
    <row r="68" spans="2:25" x14ac:dyDescent="0.3">
      <c r="B68" s="2" t="s">
        <v>3471</v>
      </c>
      <c r="C68" s="2" t="s">
        <v>3472</v>
      </c>
      <c r="D68" s="2" t="s">
        <v>3473</v>
      </c>
      <c r="E68" s="2" t="s">
        <v>3474</v>
      </c>
      <c r="R68" s="1">
        <v>7</v>
      </c>
      <c r="S68" s="1">
        <f t="shared" si="10"/>
        <v>0.55499999999999994</v>
      </c>
      <c r="T68" s="1">
        <f t="shared" si="11"/>
        <v>0.66600000000000004</v>
      </c>
      <c r="U68" s="1">
        <f t="shared" si="12"/>
        <v>0.438</v>
      </c>
      <c r="V68" s="1">
        <f t="shared" si="13"/>
        <v>0.65700000000000003</v>
      </c>
    </row>
    <row r="69" spans="2:25" x14ac:dyDescent="0.3">
      <c r="B69" s="2" t="s">
        <v>3475</v>
      </c>
      <c r="C69" s="32">
        <v>0.66</v>
      </c>
      <c r="D69" s="2">
        <v>18</v>
      </c>
      <c r="E69" s="2">
        <f>ROUND(C69/D69,3)</f>
        <v>3.6999999999999998E-2</v>
      </c>
      <c r="R69" s="1">
        <v>8</v>
      </c>
      <c r="S69" s="1">
        <f t="shared" si="10"/>
        <v>0.629</v>
      </c>
      <c r="T69" s="1">
        <f t="shared" si="11"/>
        <v>0.6623</v>
      </c>
      <c r="U69" s="1">
        <f t="shared" si="12"/>
        <v>0.58399999999999996</v>
      </c>
      <c r="V69" s="1">
        <f t="shared" si="13"/>
        <v>0.65700000000000003</v>
      </c>
    </row>
    <row r="70" spans="2:25" x14ac:dyDescent="0.3">
      <c r="B70" s="2" t="s">
        <v>3476</v>
      </c>
      <c r="C70" s="32">
        <v>0.66</v>
      </c>
      <c r="D70" s="2">
        <v>9</v>
      </c>
      <c r="E70" s="2">
        <f>ROUND(C70/D70,3)</f>
        <v>7.2999999999999995E-2</v>
      </c>
      <c r="R70" s="1">
        <v>9</v>
      </c>
      <c r="S70" s="1">
        <f t="shared" si="10"/>
        <v>0.59199999999999997</v>
      </c>
      <c r="T70" s="1">
        <f t="shared" si="11"/>
        <v>0.59199999999999997</v>
      </c>
      <c r="U70" s="1">
        <f t="shared" si="12"/>
        <v>0.51100000000000001</v>
      </c>
      <c r="V70" s="1">
        <f t="shared" si="13"/>
        <v>0.51100000000000001</v>
      </c>
    </row>
    <row r="71" spans="2:25" x14ac:dyDescent="0.3">
      <c r="R71" s="1">
        <v>10</v>
      </c>
      <c r="S71" s="1">
        <f t="shared" si="10"/>
        <v>0.66600000000000004</v>
      </c>
      <c r="T71" s="1">
        <f t="shared" si="11"/>
        <v>0.66600000000000004</v>
      </c>
      <c r="U71" s="1">
        <f t="shared" si="12"/>
        <v>0.65699999999999992</v>
      </c>
      <c r="V71" s="1">
        <f t="shared" si="13"/>
        <v>0.65699999999999992</v>
      </c>
    </row>
    <row r="73" spans="2:25" x14ac:dyDescent="0.3">
      <c r="B73" s="2" t="s">
        <v>377</v>
      </c>
      <c r="C73" s="2" t="s">
        <v>1783</v>
      </c>
      <c r="D73" s="2" t="s">
        <v>886</v>
      </c>
      <c r="E73" s="2" t="s">
        <v>3477</v>
      </c>
      <c r="F73" s="2" t="s">
        <v>3474</v>
      </c>
      <c r="G73" s="2" t="s">
        <v>371</v>
      </c>
      <c r="H73" s="2" t="s">
        <v>3478</v>
      </c>
      <c r="I73" s="1">
        <f>SUM(H74:H76)</f>
        <v>0.66599999999999993</v>
      </c>
      <c r="J73" s="2" t="s">
        <v>377</v>
      </c>
      <c r="K73" s="2" t="s">
        <v>1783</v>
      </c>
      <c r="L73" s="2" t="s">
        <v>886</v>
      </c>
      <c r="M73" s="2" t="s">
        <v>3477</v>
      </c>
      <c r="N73" s="2" t="s">
        <v>3474</v>
      </c>
      <c r="O73" s="2" t="s">
        <v>371</v>
      </c>
      <c r="P73" s="2" t="s">
        <v>3478</v>
      </c>
      <c r="Q73" s="1">
        <f>SUM(P74:P76)</f>
        <v>0.66599999999999993</v>
      </c>
      <c r="R73" s="2" t="s">
        <v>377</v>
      </c>
      <c r="S73" s="2" t="s">
        <v>1783</v>
      </c>
      <c r="T73" s="2" t="s">
        <v>886</v>
      </c>
      <c r="U73" s="2" t="s">
        <v>3477</v>
      </c>
      <c r="V73" s="2" t="s">
        <v>3474</v>
      </c>
      <c r="W73" s="2" t="s">
        <v>371</v>
      </c>
      <c r="X73" s="2" t="s">
        <v>3478</v>
      </c>
      <c r="Y73" s="1">
        <f>SUM(X74:X76)</f>
        <v>0.65699999999999992</v>
      </c>
    </row>
    <row r="74" spans="2:25" x14ac:dyDescent="0.3">
      <c r="B74" s="2">
        <v>1</v>
      </c>
      <c r="C74" s="2" t="s">
        <v>510</v>
      </c>
      <c r="D74" s="2" t="str">
        <f>IFERROR(VLOOKUP(C74,[1]坦克个性化设定!$B$18:$E$48,4,FALSE)&amp;VLOOKUP(C74,[1]坦克个性化细分!$I$3:$J$33,2,FALSE),"")</f>
        <v>T1低</v>
      </c>
      <c r="E74" s="2" t="s">
        <v>1726</v>
      </c>
      <c r="F74" s="2">
        <f>$E$69</f>
        <v>3.6999999999999998E-2</v>
      </c>
      <c r="G74" s="33">
        <v>6</v>
      </c>
      <c r="H74" s="2">
        <f>F74*G74</f>
        <v>0.22199999999999998</v>
      </c>
      <c r="J74" s="2">
        <v>1</v>
      </c>
      <c r="K74" s="2" t="s">
        <v>510</v>
      </c>
      <c r="L74" s="2" t="str">
        <f>IFERROR(VLOOKUP(K74,[1]坦克个性化设定!$B$18:$E$48,4,FALSE)&amp;VLOOKUP(K74,[1]坦克个性化细分!$I$3:$J$33,2,FALSE),"")</f>
        <v>T1低</v>
      </c>
      <c r="M74" s="2" t="s">
        <v>1726</v>
      </c>
      <c r="N74" s="2">
        <f>$E$69</f>
        <v>3.6999999999999998E-2</v>
      </c>
      <c r="O74" s="33">
        <v>6</v>
      </c>
      <c r="P74" s="2">
        <f>N74*O74</f>
        <v>0.22199999999999998</v>
      </c>
      <c r="R74" s="2">
        <v>1</v>
      </c>
      <c r="S74" s="2" t="s">
        <v>510</v>
      </c>
      <c r="T74" s="2" t="str">
        <f>IFERROR(VLOOKUP(S74,[1]坦克个性化设定!$B$18:$E$48,4,FALSE)&amp;VLOOKUP(S74,[1]坦克个性化细分!$I$3:$J$33,2,FALSE),"")</f>
        <v>T1低</v>
      </c>
      <c r="U74" s="2" t="s">
        <v>1726</v>
      </c>
      <c r="V74" s="2">
        <f>$E$70</f>
        <v>7.2999999999999995E-2</v>
      </c>
      <c r="W74" s="33">
        <v>3</v>
      </c>
      <c r="X74" s="2">
        <f>V74*W74</f>
        <v>0.21899999999999997</v>
      </c>
    </row>
    <row r="75" spans="2:25" x14ac:dyDescent="0.3">
      <c r="B75" s="2">
        <v>1</v>
      </c>
      <c r="C75" s="2" t="s">
        <v>512</v>
      </c>
      <c r="D75" s="2" t="str">
        <f>IFERROR(VLOOKUP(C75,[1]坦克个性化设定!$B$18:$E$48,4,FALSE)&amp;VLOOKUP(C75,[1]坦克个性化细分!$I$3:$J$33,2,FALSE),"")</f>
        <v>T1低</v>
      </c>
      <c r="E75" s="2" t="s">
        <v>1726</v>
      </c>
      <c r="F75" s="2">
        <f>$E$69</f>
        <v>3.6999999999999998E-2</v>
      </c>
      <c r="G75" s="33">
        <v>6</v>
      </c>
      <c r="H75" s="2">
        <f>F75*G75</f>
        <v>0.22199999999999998</v>
      </c>
      <c r="J75" s="2">
        <v>1</v>
      </c>
      <c r="K75" s="2" t="s">
        <v>512</v>
      </c>
      <c r="L75" s="2" t="str">
        <f>IFERROR(VLOOKUP(K75,[1]坦克个性化设定!$B$18:$E$48,4,FALSE)&amp;VLOOKUP(K75,[1]坦克个性化细分!$I$3:$J$33,2,FALSE),"")</f>
        <v>T1低</v>
      </c>
      <c r="M75" s="2" t="s">
        <v>1726</v>
      </c>
      <c r="N75" s="2">
        <f>$E$69</f>
        <v>3.6999999999999998E-2</v>
      </c>
      <c r="O75" s="33">
        <v>6</v>
      </c>
      <c r="P75" s="2">
        <f>N75*O75</f>
        <v>0.22199999999999998</v>
      </c>
      <c r="R75" s="2">
        <v>1</v>
      </c>
      <c r="S75" s="2" t="s">
        <v>512</v>
      </c>
      <c r="T75" s="2" t="str">
        <f>IFERROR(VLOOKUP(S75,[1]坦克个性化设定!$B$18:$E$48,4,FALSE)&amp;VLOOKUP(S75,[1]坦克个性化细分!$I$3:$J$33,2,FALSE),"")</f>
        <v>T1低</v>
      </c>
      <c r="U75" s="2" t="s">
        <v>1726</v>
      </c>
      <c r="V75" s="2">
        <f>$E$70</f>
        <v>7.2999999999999995E-2</v>
      </c>
      <c r="W75" s="33">
        <v>3</v>
      </c>
      <c r="X75" s="2">
        <f>V75*W75</f>
        <v>0.21899999999999997</v>
      </c>
    </row>
    <row r="76" spans="2:25" x14ac:dyDescent="0.3">
      <c r="B76" s="2">
        <v>1</v>
      </c>
      <c r="C76" s="2" t="s">
        <v>642</v>
      </c>
      <c r="D76" s="2" t="str">
        <f>IFERROR(VLOOKUP(C76,[1]坦克个性化设定!$B$18:$E$48,4,FALSE)&amp;VLOOKUP(C76,[1]坦克个性化细分!$I$3:$J$33,2,FALSE),"")</f>
        <v>T1低</v>
      </c>
      <c r="E76" s="2" t="s">
        <v>1726</v>
      </c>
      <c r="F76" s="2">
        <f>$E$69</f>
        <v>3.6999999999999998E-2</v>
      </c>
      <c r="G76" s="33">
        <v>6</v>
      </c>
      <c r="H76" s="2">
        <f>F76*G76</f>
        <v>0.22199999999999998</v>
      </c>
      <c r="J76" s="2">
        <v>1</v>
      </c>
      <c r="K76" s="2" t="s">
        <v>642</v>
      </c>
      <c r="L76" s="2" t="str">
        <f>IFERROR(VLOOKUP(K76,[1]坦克个性化设定!$B$18:$E$48,4,FALSE)&amp;VLOOKUP(K76,[1]坦克个性化细分!$I$3:$J$33,2,FALSE),"")</f>
        <v>T1低</v>
      </c>
      <c r="M76" s="2" t="s">
        <v>1726</v>
      </c>
      <c r="N76" s="2">
        <f>$E$69</f>
        <v>3.6999999999999998E-2</v>
      </c>
      <c r="O76" s="33">
        <v>6</v>
      </c>
      <c r="P76" s="2">
        <f>N76*O76</f>
        <v>0.22199999999999998</v>
      </c>
      <c r="R76" s="2">
        <v>1</v>
      </c>
      <c r="S76" s="2" t="s">
        <v>642</v>
      </c>
      <c r="T76" s="2" t="str">
        <f>IFERROR(VLOOKUP(S76,[1]坦克个性化设定!$B$18:$E$48,4,FALSE)&amp;VLOOKUP(S76,[1]坦克个性化细分!$I$3:$J$33,2,FALSE),"")</f>
        <v>T1低</v>
      </c>
      <c r="U76" s="2" t="s">
        <v>1726</v>
      </c>
      <c r="V76" s="2">
        <f>$E$70</f>
        <v>7.2999999999999995E-2</v>
      </c>
      <c r="W76" s="33">
        <v>3</v>
      </c>
      <c r="X76" s="2">
        <f>V76*W76</f>
        <v>0.21899999999999997</v>
      </c>
    </row>
    <row r="79" spans="2:25" x14ac:dyDescent="0.3">
      <c r="B79" s="2" t="s">
        <v>377</v>
      </c>
      <c r="C79" s="2" t="s">
        <v>1783</v>
      </c>
      <c r="D79" s="2" t="s">
        <v>886</v>
      </c>
      <c r="E79" s="2" t="s">
        <v>3477</v>
      </c>
      <c r="F79" s="2" t="s">
        <v>3474</v>
      </c>
      <c r="G79" s="2" t="s">
        <v>371</v>
      </c>
      <c r="H79" s="2" t="s">
        <v>3478</v>
      </c>
      <c r="I79" s="1">
        <f>SUM(H80:H88)</f>
        <v>0.66600000000000004</v>
      </c>
      <c r="J79" s="2" t="s">
        <v>377</v>
      </c>
      <c r="K79" s="2" t="s">
        <v>1783</v>
      </c>
      <c r="L79" s="2" t="s">
        <v>886</v>
      </c>
      <c r="M79" s="2" t="s">
        <v>3477</v>
      </c>
      <c r="N79" s="2" t="s">
        <v>3474</v>
      </c>
      <c r="O79" s="2" t="s">
        <v>371</v>
      </c>
      <c r="P79" s="2" t="s">
        <v>3478</v>
      </c>
      <c r="Q79" s="1">
        <f>SUM(P80:P88)</f>
        <v>0.66600000000000004</v>
      </c>
      <c r="R79" s="2" t="s">
        <v>377</v>
      </c>
      <c r="S79" s="2" t="s">
        <v>1783</v>
      </c>
      <c r="T79" s="2" t="s">
        <v>886</v>
      </c>
      <c r="U79" s="2" t="s">
        <v>3477</v>
      </c>
      <c r="V79" s="2" t="s">
        <v>3474</v>
      </c>
      <c r="W79" s="2" t="s">
        <v>371</v>
      </c>
      <c r="X79" s="2" t="s">
        <v>3478</v>
      </c>
      <c r="Y79" s="1">
        <f>SUM(X80:X85)</f>
        <v>0.65699999999999981</v>
      </c>
    </row>
    <row r="80" spans="2:25" x14ac:dyDescent="0.3">
      <c r="B80" s="2">
        <v>2</v>
      </c>
      <c r="C80" s="2" t="s">
        <v>516</v>
      </c>
      <c r="D80" s="2" t="str">
        <f>IFERROR(VLOOKUP(C80,[1]坦克个性化设定!$B$18:$E$48,4,FALSE)&amp;VLOOKUP(C80,[1]坦克个性化细分!$I$3:$J$33,2,FALSE),"")</f>
        <v>T2低</v>
      </c>
      <c r="E80" s="2" t="s">
        <v>320</v>
      </c>
      <c r="F80" s="2">
        <f t="shared" ref="F80:F88" si="14">$E$69</f>
        <v>3.6999999999999998E-2</v>
      </c>
      <c r="G80" s="33">
        <v>2</v>
      </c>
      <c r="H80" s="2">
        <f t="shared" ref="H80:H88" si="15">F80*G80</f>
        <v>7.3999999999999996E-2</v>
      </c>
      <c r="J80" s="2">
        <v>2</v>
      </c>
      <c r="K80" s="2" t="s">
        <v>516</v>
      </c>
      <c r="L80" s="2" t="str">
        <f>IFERROR(VLOOKUP(K80,[1]坦克个性化设定!$B$18:$E$48,4,FALSE)&amp;VLOOKUP(K80,[1]坦克个性化细分!$I$3:$J$33,2,FALSE),"")</f>
        <v>T2低</v>
      </c>
      <c r="M80" s="2" t="s">
        <v>320</v>
      </c>
      <c r="N80" s="2">
        <f t="shared" ref="N80:N88" si="16">$E$69</f>
        <v>3.6999999999999998E-2</v>
      </c>
      <c r="O80" s="33">
        <v>4</v>
      </c>
      <c r="P80" s="2">
        <f t="shared" ref="P80:P88" si="17">N80*O80</f>
        <v>0.14799999999999999</v>
      </c>
      <c r="R80" s="2">
        <v>2</v>
      </c>
      <c r="S80" s="2" t="s">
        <v>510</v>
      </c>
      <c r="T80" s="2" t="str">
        <f>IFERROR(VLOOKUP(S80,[1]坦克个性化设定!$B$18:$E$48,4,FALSE)&amp;VLOOKUP(S80,[1]坦克个性化细分!$I$3:$J$33,2,FALSE),"")</f>
        <v>T1低</v>
      </c>
      <c r="U80" s="2" t="s">
        <v>1726</v>
      </c>
      <c r="V80" s="2">
        <f t="shared" ref="V80:V85" si="18">$E$70</f>
        <v>7.2999999999999995E-2</v>
      </c>
      <c r="W80" s="33">
        <v>2</v>
      </c>
      <c r="X80" s="2">
        <f t="shared" ref="X80:X85" si="19">V80*W80</f>
        <v>0.14599999999999999</v>
      </c>
    </row>
    <row r="81" spans="2:25" x14ac:dyDescent="0.3">
      <c r="B81" s="2">
        <v>2</v>
      </c>
      <c r="C81" s="2" t="s">
        <v>518</v>
      </c>
      <c r="D81" s="2" t="str">
        <f>IFERROR(VLOOKUP(C81,[1]坦克个性化设定!$B$18:$E$48,4,FALSE)&amp;VLOOKUP(C81,[1]坦克个性化细分!$I$3:$J$33,2,FALSE),"")</f>
        <v>T2低</v>
      </c>
      <c r="E81" s="2" t="s">
        <v>320</v>
      </c>
      <c r="F81" s="2">
        <f t="shared" si="14"/>
        <v>3.6999999999999998E-2</v>
      </c>
      <c r="G81" s="33">
        <v>2</v>
      </c>
      <c r="H81" s="2">
        <f t="shared" si="15"/>
        <v>7.3999999999999996E-2</v>
      </c>
      <c r="J81" s="2">
        <v>2</v>
      </c>
      <c r="K81" s="2" t="s">
        <v>518</v>
      </c>
      <c r="L81" s="2" t="str">
        <f>IFERROR(VLOOKUP(K81,[1]坦克个性化设定!$B$18:$E$48,4,FALSE)&amp;VLOOKUP(K81,[1]坦克个性化细分!$I$3:$J$33,2,FALSE),"")</f>
        <v>T2低</v>
      </c>
      <c r="M81" s="2" t="s">
        <v>320</v>
      </c>
      <c r="N81" s="2">
        <f t="shared" si="16"/>
        <v>3.6999999999999998E-2</v>
      </c>
      <c r="O81" s="33">
        <v>4</v>
      </c>
      <c r="P81" s="2">
        <f t="shared" si="17"/>
        <v>0.14799999999999999</v>
      </c>
      <c r="R81" s="2">
        <v>2</v>
      </c>
      <c r="S81" s="2" t="s">
        <v>512</v>
      </c>
      <c r="T81" s="2" t="str">
        <f>IFERROR(VLOOKUP(S81,[1]坦克个性化设定!$B$18:$E$48,4,FALSE)&amp;VLOOKUP(S81,[1]坦克个性化细分!$I$3:$J$33,2,FALSE),"")</f>
        <v>T1低</v>
      </c>
      <c r="U81" s="2" t="s">
        <v>1726</v>
      </c>
      <c r="V81" s="2">
        <f t="shared" si="18"/>
        <v>7.2999999999999995E-2</v>
      </c>
      <c r="W81" s="33">
        <v>2</v>
      </c>
      <c r="X81" s="2">
        <f t="shared" si="19"/>
        <v>0.14599999999999999</v>
      </c>
    </row>
    <row r="82" spans="2:25" x14ac:dyDescent="0.3">
      <c r="B82" s="2">
        <v>2</v>
      </c>
      <c r="C82" s="2" t="s">
        <v>644</v>
      </c>
      <c r="D82" s="2" t="str">
        <f>IFERROR(VLOOKUP(C82,[1]坦克个性化设定!$B$18:$E$48,4,FALSE)&amp;VLOOKUP(C82,[1]坦克个性化细分!$I$3:$J$33,2,FALSE),"")</f>
        <v>T2低</v>
      </c>
      <c r="E82" s="2" t="s">
        <v>320</v>
      </c>
      <c r="F82" s="2">
        <f t="shared" si="14"/>
        <v>3.6999999999999998E-2</v>
      </c>
      <c r="G82" s="33">
        <v>2</v>
      </c>
      <c r="H82" s="2">
        <f t="shared" si="15"/>
        <v>7.3999999999999996E-2</v>
      </c>
      <c r="J82" s="2">
        <v>2</v>
      </c>
      <c r="K82" s="2" t="s">
        <v>644</v>
      </c>
      <c r="L82" s="2" t="str">
        <f>IFERROR(VLOOKUP(K82,[1]坦克个性化设定!$B$18:$E$48,4,FALSE)&amp;VLOOKUP(K82,[1]坦克个性化细分!$I$3:$J$33,2,FALSE),"")</f>
        <v>T2低</v>
      </c>
      <c r="M82" s="2" t="s">
        <v>320</v>
      </c>
      <c r="N82" s="2">
        <f t="shared" si="16"/>
        <v>3.6999999999999998E-2</v>
      </c>
      <c r="O82" s="33">
        <v>4</v>
      </c>
      <c r="P82" s="2">
        <f t="shared" si="17"/>
        <v>0.14799999999999999</v>
      </c>
      <c r="R82" s="2">
        <v>2</v>
      </c>
      <c r="S82" s="2" t="s">
        <v>642</v>
      </c>
      <c r="T82" s="2" t="str">
        <f>IFERROR(VLOOKUP(S82,[1]坦克个性化设定!$B$18:$E$48,4,FALSE)&amp;VLOOKUP(S82,[1]坦克个性化细分!$I$3:$J$33,2,FALSE),"")</f>
        <v>T1低</v>
      </c>
      <c r="U82" s="2" t="s">
        <v>1726</v>
      </c>
      <c r="V82" s="2">
        <f t="shared" si="18"/>
        <v>7.2999999999999995E-2</v>
      </c>
      <c r="W82" s="33">
        <v>2</v>
      </c>
      <c r="X82" s="2">
        <f t="shared" si="19"/>
        <v>0.14599999999999999</v>
      </c>
    </row>
    <row r="83" spans="2:25" x14ac:dyDescent="0.3">
      <c r="B83" s="2">
        <v>2</v>
      </c>
      <c r="C83" s="2" t="s">
        <v>510</v>
      </c>
      <c r="D83" s="2" t="str">
        <f>IFERROR(VLOOKUP(C83,[1]坦克个性化设定!$B$18:$E$48,4,FALSE)&amp;VLOOKUP(C83,[1]坦克个性化细分!$I$3:$J$33,2,FALSE),"")</f>
        <v>T1低</v>
      </c>
      <c r="E83" s="2" t="s">
        <v>1726</v>
      </c>
      <c r="F83" s="2">
        <f t="shared" si="14"/>
        <v>3.6999999999999998E-2</v>
      </c>
      <c r="G83" s="33">
        <v>3</v>
      </c>
      <c r="H83" s="2">
        <f t="shared" si="15"/>
        <v>0.11099999999999999</v>
      </c>
      <c r="J83" s="2">
        <v>2</v>
      </c>
      <c r="K83" s="2" t="s">
        <v>510</v>
      </c>
      <c r="L83" s="2" t="str">
        <f>IFERROR(VLOOKUP(K83,[1]坦克个性化设定!$B$18:$E$48,4,FALSE)&amp;VLOOKUP(K83,[1]坦克个性化细分!$I$3:$J$33,2,FALSE),"")</f>
        <v>T1低</v>
      </c>
      <c r="M83" s="2" t="s">
        <v>1726</v>
      </c>
      <c r="N83" s="2">
        <f t="shared" si="16"/>
        <v>3.6999999999999998E-2</v>
      </c>
      <c r="O83" s="33">
        <v>1</v>
      </c>
      <c r="P83" s="2">
        <f t="shared" si="17"/>
        <v>3.6999999999999998E-2</v>
      </c>
      <c r="R83" s="2">
        <v>2</v>
      </c>
      <c r="S83" s="2" t="s">
        <v>516</v>
      </c>
      <c r="T83" s="2" t="str">
        <f>IFERROR(VLOOKUP(S83,[1]坦克个性化设定!$B$18:$E$48,4,FALSE)&amp;VLOOKUP(S83,[1]坦克个性化细分!$I$3:$J$33,2,FALSE),"")</f>
        <v>T2低</v>
      </c>
      <c r="U83" s="2" t="s">
        <v>1726</v>
      </c>
      <c r="V83" s="2">
        <f t="shared" si="18"/>
        <v>7.2999999999999995E-2</v>
      </c>
      <c r="W83" s="33">
        <v>1</v>
      </c>
      <c r="X83" s="2">
        <f t="shared" si="19"/>
        <v>7.2999999999999995E-2</v>
      </c>
    </row>
    <row r="84" spans="2:25" x14ac:dyDescent="0.3">
      <c r="B84" s="2">
        <v>2</v>
      </c>
      <c r="C84" s="2" t="s">
        <v>512</v>
      </c>
      <c r="D84" s="2" t="str">
        <f>IFERROR(VLOOKUP(C84,[1]坦克个性化设定!$B$18:$E$48,4,FALSE)&amp;VLOOKUP(C84,[1]坦克个性化细分!$I$3:$J$33,2,FALSE),"")</f>
        <v>T1低</v>
      </c>
      <c r="E84" s="2" t="s">
        <v>1726</v>
      </c>
      <c r="F84" s="2">
        <f t="shared" si="14"/>
        <v>3.6999999999999998E-2</v>
      </c>
      <c r="G84" s="33">
        <v>3</v>
      </c>
      <c r="H84" s="2">
        <f t="shared" si="15"/>
        <v>0.11099999999999999</v>
      </c>
      <c r="J84" s="2">
        <v>2</v>
      </c>
      <c r="K84" s="2" t="s">
        <v>512</v>
      </c>
      <c r="L84" s="2" t="str">
        <f>IFERROR(VLOOKUP(K84,[1]坦克个性化设定!$B$18:$E$48,4,FALSE)&amp;VLOOKUP(K84,[1]坦克个性化细分!$I$3:$J$33,2,FALSE),"")</f>
        <v>T1低</v>
      </c>
      <c r="M84" s="2" t="s">
        <v>1726</v>
      </c>
      <c r="N84" s="2">
        <f t="shared" si="16"/>
        <v>3.6999999999999998E-2</v>
      </c>
      <c r="O84" s="33">
        <v>1</v>
      </c>
      <c r="P84" s="2">
        <f t="shared" si="17"/>
        <v>3.6999999999999998E-2</v>
      </c>
      <c r="R84" s="2">
        <v>2</v>
      </c>
      <c r="S84" s="2" t="s">
        <v>518</v>
      </c>
      <c r="T84" s="2" t="str">
        <f>IFERROR(VLOOKUP(S84,[1]坦克个性化设定!$B$18:$E$48,4,FALSE)&amp;VLOOKUP(S84,[1]坦克个性化细分!$I$3:$J$33,2,FALSE),"")</f>
        <v>T2低</v>
      </c>
      <c r="U84" s="2" t="s">
        <v>1726</v>
      </c>
      <c r="V84" s="2">
        <f t="shared" si="18"/>
        <v>7.2999999999999995E-2</v>
      </c>
      <c r="W84" s="33">
        <v>1</v>
      </c>
      <c r="X84" s="2">
        <f t="shared" si="19"/>
        <v>7.2999999999999995E-2</v>
      </c>
    </row>
    <row r="85" spans="2:25" x14ac:dyDescent="0.3">
      <c r="B85" s="2">
        <v>2</v>
      </c>
      <c r="C85" s="2" t="s">
        <v>642</v>
      </c>
      <c r="D85" s="2" t="str">
        <f>IFERROR(VLOOKUP(C85,[1]坦克个性化设定!$B$18:$E$48,4,FALSE)&amp;VLOOKUP(C85,[1]坦克个性化细分!$I$3:$J$33,2,FALSE),"")</f>
        <v>T1低</v>
      </c>
      <c r="E85" s="2" t="s">
        <v>1726</v>
      </c>
      <c r="F85" s="2">
        <f t="shared" si="14"/>
        <v>3.6999999999999998E-2</v>
      </c>
      <c r="G85" s="33">
        <v>3</v>
      </c>
      <c r="H85" s="2">
        <f t="shared" si="15"/>
        <v>0.11099999999999999</v>
      </c>
      <c r="J85" s="2">
        <v>2</v>
      </c>
      <c r="K85" s="2" t="s">
        <v>642</v>
      </c>
      <c r="L85" s="2" t="str">
        <f>IFERROR(VLOOKUP(K85,[1]坦克个性化设定!$B$18:$E$48,4,FALSE)&amp;VLOOKUP(K85,[1]坦克个性化细分!$I$3:$J$33,2,FALSE),"")</f>
        <v>T1低</v>
      </c>
      <c r="M85" s="2" t="s">
        <v>1726</v>
      </c>
      <c r="N85" s="2">
        <f t="shared" si="16"/>
        <v>3.6999999999999998E-2</v>
      </c>
      <c r="O85" s="33">
        <v>1</v>
      </c>
      <c r="P85" s="2">
        <f t="shared" si="17"/>
        <v>3.6999999999999998E-2</v>
      </c>
      <c r="R85" s="2">
        <v>2</v>
      </c>
      <c r="S85" s="2" t="s">
        <v>644</v>
      </c>
      <c r="T85" s="2" t="str">
        <f>IFERROR(VLOOKUP(S85,[1]坦克个性化设定!$B$18:$E$48,4,FALSE)&amp;VLOOKUP(S85,[1]坦克个性化细分!$I$3:$J$33,2,FALSE),"")</f>
        <v>T2低</v>
      </c>
      <c r="U85" s="2" t="s">
        <v>1726</v>
      </c>
      <c r="V85" s="2">
        <f t="shared" si="18"/>
        <v>7.2999999999999995E-2</v>
      </c>
      <c r="W85" s="33">
        <v>1</v>
      </c>
      <c r="X85" s="2">
        <f t="shared" si="19"/>
        <v>7.2999999999999995E-2</v>
      </c>
    </row>
    <row r="86" spans="2:25" x14ac:dyDescent="0.3">
      <c r="B86" s="2">
        <v>2</v>
      </c>
      <c r="C86" s="2" t="s">
        <v>516</v>
      </c>
      <c r="D86" s="2" t="str">
        <f>IFERROR(VLOOKUP(C86,[1]坦克个性化设定!$B$18:$E$48,4,FALSE)&amp;VLOOKUP(C86,[1]坦克个性化细分!$I$3:$J$33,2,FALSE),"")</f>
        <v>T2低</v>
      </c>
      <c r="E86" s="2" t="s">
        <v>1726</v>
      </c>
      <c r="F86" s="2">
        <f t="shared" si="14"/>
        <v>3.6999999999999998E-2</v>
      </c>
      <c r="G86" s="33">
        <v>1</v>
      </c>
      <c r="H86" s="2">
        <f t="shared" si="15"/>
        <v>3.6999999999999998E-2</v>
      </c>
      <c r="J86" s="2">
        <v>2</v>
      </c>
      <c r="K86" s="2" t="s">
        <v>516</v>
      </c>
      <c r="L86" s="2" t="str">
        <f>IFERROR(VLOOKUP(K86,[1]坦克个性化设定!$B$18:$E$48,4,FALSE)&amp;VLOOKUP(K86,[1]坦克个性化细分!$I$3:$J$33,2,FALSE),"")</f>
        <v>T2低</v>
      </c>
      <c r="M86" s="2" t="s">
        <v>1726</v>
      </c>
      <c r="N86" s="2">
        <f t="shared" si="16"/>
        <v>3.6999999999999998E-2</v>
      </c>
      <c r="O86" s="33">
        <v>1</v>
      </c>
      <c r="P86" s="2">
        <f t="shared" si="17"/>
        <v>3.6999999999999998E-2</v>
      </c>
    </row>
    <row r="87" spans="2:25" x14ac:dyDescent="0.3">
      <c r="B87" s="2">
        <v>2</v>
      </c>
      <c r="C87" s="2" t="s">
        <v>518</v>
      </c>
      <c r="D87" s="2" t="str">
        <f>IFERROR(VLOOKUP(C87,[1]坦克个性化设定!$B$18:$E$48,4,FALSE)&amp;VLOOKUP(C87,[1]坦克个性化细分!$I$3:$J$33,2,FALSE),"")</f>
        <v>T2低</v>
      </c>
      <c r="E87" s="2" t="s">
        <v>1726</v>
      </c>
      <c r="F87" s="2">
        <f t="shared" si="14"/>
        <v>3.6999999999999998E-2</v>
      </c>
      <c r="G87" s="33">
        <v>1</v>
      </c>
      <c r="H87" s="2">
        <f t="shared" si="15"/>
        <v>3.6999999999999998E-2</v>
      </c>
      <c r="J87" s="2">
        <v>2</v>
      </c>
      <c r="K87" s="2" t="s">
        <v>518</v>
      </c>
      <c r="L87" s="2" t="str">
        <f>IFERROR(VLOOKUP(K87,[1]坦克个性化设定!$B$18:$E$48,4,FALSE)&amp;VLOOKUP(K87,[1]坦克个性化细分!$I$3:$J$33,2,FALSE),"")</f>
        <v>T2低</v>
      </c>
      <c r="M87" s="2" t="s">
        <v>1726</v>
      </c>
      <c r="N87" s="2">
        <f t="shared" si="16"/>
        <v>3.6999999999999998E-2</v>
      </c>
      <c r="O87" s="33">
        <v>1</v>
      </c>
      <c r="P87" s="2">
        <f t="shared" si="17"/>
        <v>3.6999999999999998E-2</v>
      </c>
    </row>
    <row r="88" spans="2:25" x14ac:dyDescent="0.3">
      <c r="B88" s="2">
        <v>2</v>
      </c>
      <c r="C88" s="2" t="s">
        <v>644</v>
      </c>
      <c r="D88" s="2" t="str">
        <f>IFERROR(VLOOKUP(C88,[1]坦克个性化设定!$B$18:$E$48,4,FALSE)&amp;VLOOKUP(C88,[1]坦克个性化细分!$I$3:$J$33,2,FALSE),"")</f>
        <v>T2低</v>
      </c>
      <c r="E88" s="2" t="s">
        <v>1726</v>
      </c>
      <c r="F88" s="2">
        <f t="shared" si="14"/>
        <v>3.6999999999999998E-2</v>
      </c>
      <c r="G88" s="33">
        <v>1</v>
      </c>
      <c r="H88" s="2">
        <f t="shared" si="15"/>
        <v>3.6999999999999998E-2</v>
      </c>
      <c r="J88" s="2">
        <v>2</v>
      </c>
      <c r="K88" s="2" t="s">
        <v>644</v>
      </c>
      <c r="L88" s="2" t="str">
        <f>IFERROR(VLOOKUP(K88,[1]坦克个性化设定!$B$18:$E$48,4,FALSE)&amp;VLOOKUP(K88,[1]坦克个性化细分!$I$3:$J$33,2,FALSE),"")</f>
        <v>T2低</v>
      </c>
      <c r="M88" s="2" t="s">
        <v>1726</v>
      </c>
      <c r="N88" s="2">
        <f t="shared" si="16"/>
        <v>3.6999999999999998E-2</v>
      </c>
      <c r="O88" s="33">
        <v>1</v>
      </c>
      <c r="P88" s="2">
        <f t="shared" si="17"/>
        <v>3.6999999999999998E-2</v>
      </c>
      <c r="R88" s="2" t="s">
        <v>377</v>
      </c>
      <c r="S88" s="2" t="s">
        <v>1783</v>
      </c>
      <c r="T88" s="2" t="s">
        <v>886</v>
      </c>
      <c r="U88" s="2" t="s">
        <v>3477</v>
      </c>
      <c r="V88" s="2" t="s">
        <v>3474</v>
      </c>
      <c r="W88" s="2" t="s">
        <v>371</v>
      </c>
      <c r="X88" s="2" t="s">
        <v>3478</v>
      </c>
      <c r="Y88" s="1">
        <f>SUM(X89:X97)</f>
        <v>0.65699999999999992</v>
      </c>
    </row>
    <row r="89" spans="2:25" x14ac:dyDescent="0.3">
      <c r="R89" s="2">
        <v>3</v>
      </c>
      <c r="S89" s="2" t="s">
        <v>510</v>
      </c>
      <c r="T89" s="2" t="str">
        <f>IFERROR(VLOOKUP(S89,[1]坦克个性化设定!$B$18:$E$48,4,FALSE)&amp;VLOOKUP(S89,[1]坦克个性化细分!$I$3:$J$33,2,FALSE),"")</f>
        <v>T1低</v>
      </c>
      <c r="U89" s="2" t="s">
        <v>1726</v>
      </c>
      <c r="V89" s="2">
        <f t="shared" ref="V89:V97" si="20">$E$70</f>
        <v>7.2999999999999995E-2</v>
      </c>
      <c r="W89" s="33">
        <v>1</v>
      </c>
      <c r="X89" s="2">
        <f>V89*W89</f>
        <v>7.2999999999999995E-2</v>
      </c>
    </row>
    <row r="90" spans="2:25" x14ac:dyDescent="0.3">
      <c r="R90" s="2">
        <v>3</v>
      </c>
      <c r="S90" s="2" t="s">
        <v>512</v>
      </c>
      <c r="T90" s="2" t="str">
        <f>IFERROR(VLOOKUP(S90,[1]坦克个性化设定!$B$18:$E$48,4,FALSE)&amp;VLOOKUP(S90,[1]坦克个性化细分!$I$3:$J$33,2,FALSE),"")</f>
        <v>T1低</v>
      </c>
      <c r="U90" s="2" t="s">
        <v>1726</v>
      </c>
      <c r="V90" s="2">
        <f t="shared" si="20"/>
        <v>7.2999999999999995E-2</v>
      </c>
      <c r="W90" s="33">
        <v>1</v>
      </c>
      <c r="X90" s="2">
        <f>V90*W90</f>
        <v>7.2999999999999995E-2</v>
      </c>
    </row>
    <row r="91" spans="2:25" x14ac:dyDescent="0.3">
      <c r="B91" s="2" t="s">
        <v>377</v>
      </c>
      <c r="C91" s="2" t="s">
        <v>1783</v>
      </c>
      <c r="D91" s="2" t="s">
        <v>886</v>
      </c>
      <c r="E91" s="2" t="s">
        <v>3477</v>
      </c>
      <c r="F91" s="2" t="s">
        <v>3474</v>
      </c>
      <c r="G91" s="2" t="s">
        <v>371</v>
      </c>
      <c r="H91" s="2" t="s">
        <v>3478</v>
      </c>
      <c r="I91" s="1">
        <f>SUM(H92:H103)</f>
        <v>0.66600000000000004</v>
      </c>
      <c r="J91" s="2" t="s">
        <v>377</v>
      </c>
      <c r="K91" s="2" t="s">
        <v>1783</v>
      </c>
      <c r="L91" s="2" t="s">
        <v>886</v>
      </c>
      <c r="M91" s="2" t="s">
        <v>3477</v>
      </c>
      <c r="N91" s="2" t="s">
        <v>3474</v>
      </c>
      <c r="O91" s="2" t="s">
        <v>371</v>
      </c>
      <c r="P91" s="2" t="s">
        <v>3478</v>
      </c>
      <c r="Q91" s="1">
        <f>SUM(P92:P103)</f>
        <v>0.63269999999999993</v>
      </c>
      <c r="R91" s="2">
        <v>3</v>
      </c>
      <c r="S91" s="2" t="s">
        <v>642</v>
      </c>
      <c r="T91" s="2" t="str">
        <f>IFERROR(VLOOKUP(S91,[1]坦克个性化设定!$B$18:$E$48,4,FALSE)&amp;VLOOKUP(S91,[1]坦克个性化细分!$I$3:$J$33,2,FALSE),"")</f>
        <v>T1低</v>
      </c>
      <c r="U91" s="2" t="s">
        <v>1726</v>
      </c>
      <c r="V91" s="2">
        <f t="shared" si="20"/>
        <v>7.2999999999999995E-2</v>
      </c>
      <c r="W91" s="33">
        <v>1</v>
      </c>
      <c r="X91" s="2">
        <f>V91*W91</f>
        <v>7.2999999999999995E-2</v>
      </c>
    </row>
    <row r="92" spans="2:25" x14ac:dyDescent="0.3">
      <c r="B92" s="2">
        <v>3</v>
      </c>
      <c r="C92" s="2" t="s">
        <v>516</v>
      </c>
      <c r="D92" s="2" t="str">
        <f>IFERROR(VLOOKUP(C92,[1]坦克个性化设定!$B$18:$E$48,4,FALSE)&amp;VLOOKUP(C92,[1]坦克个性化细分!$I$3:$J$33,2,FALSE),"")</f>
        <v>T2低</v>
      </c>
      <c r="E92" s="2" t="s">
        <v>320</v>
      </c>
      <c r="F92" s="2">
        <f t="shared" ref="F92:F103" si="21">$E$69</f>
        <v>3.6999999999999998E-2</v>
      </c>
      <c r="G92" s="33">
        <v>1</v>
      </c>
      <c r="H92" s="2">
        <f t="shared" ref="H92:H103" si="22">F92*G92</f>
        <v>3.6999999999999998E-2</v>
      </c>
      <c r="J92" s="2">
        <v>3</v>
      </c>
      <c r="K92" s="2" t="s">
        <v>516</v>
      </c>
      <c r="L92" s="2" t="str">
        <f>IFERROR(VLOOKUP(K92,[1]坦克个性化设定!$B$18:$E$48,4,FALSE)&amp;VLOOKUP(K92,[1]坦克个性化细分!$I$3:$J$33,2,FALSE),"")</f>
        <v>T2低</v>
      </c>
      <c r="M92" s="2" t="s">
        <v>320</v>
      </c>
      <c r="N92" s="2">
        <f t="shared" ref="N92:N103" si="23">$E$69</f>
        <v>3.6999999999999998E-2</v>
      </c>
      <c r="O92" s="33">
        <v>2</v>
      </c>
      <c r="P92" s="2">
        <f t="shared" ref="P92:P103" si="24">N92*O92</f>
        <v>7.3999999999999996E-2</v>
      </c>
      <c r="R92" s="2">
        <v>3</v>
      </c>
      <c r="S92" s="2" t="s">
        <v>516</v>
      </c>
      <c r="T92" s="2" t="str">
        <f>IFERROR(VLOOKUP(S92,[1]坦克个性化设定!$B$18:$E$48,4,FALSE)&amp;VLOOKUP(S92,[1]坦克个性化细分!$I$3:$J$33,2,FALSE),"")</f>
        <v>T2低</v>
      </c>
      <c r="U92" s="2" t="s">
        <v>1726</v>
      </c>
      <c r="V92" s="2">
        <f t="shared" si="20"/>
        <v>7.2999999999999995E-2</v>
      </c>
      <c r="W92" s="33">
        <v>1</v>
      </c>
      <c r="X92" s="2">
        <f t="shared" ref="X92:X97" si="25">V92*W92</f>
        <v>7.2999999999999995E-2</v>
      </c>
    </row>
    <row r="93" spans="2:25" x14ac:dyDescent="0.3">
      <c r="B93" s="2">
        <v>3</v>
      </c>
      <c r="C93" s="2" t="s">
        <v>518</v>
      </c>
      <c r="D93" s="2" t="str">
        <f>IFERROR(VLOOKUP(C93,[1]坦克个性化设定!$B$18:$E$48,4,FALSE)&amp;VLOOKUP(C93,[1]坦克个性化细分!$I$3:$J$33,2,FALSE),"")</f>
        <v>T2低</v>
      </c>
      <c r="E93" s="2" t="s">
        <v>320</v>
      </c>
      <c r="F93" s="2">
        <f t="shared" si="21"/>
        <v>3.6999999999999998E-2</v>
      </c>
      <c r="G93" s="33">
        <v>1</v>
      </c>
      <c r="H93" s="2">
        <f t="shared" si="22"/>
        <v>3.6999999999999998E-2</v>
      </c>
      <c r="J93" s="2">
        <v>3</v>
      </c>
      <c r="K93" s="2" t="s">
        <v>518</v>
      </c>
      <c r="L93" s="2" t="str">
        <f>IFERROR(VLOOKUP(K93,[1]坦克个性化设定!$B$18:$E$48,4,FALSE)&amp;VLOOKUP(K93,[1]坦克个性化细分!$I$3:$J$33,2,FALSE),"")</f>
        <v>T2低</v>
      </c>
      <c r="M93" s="2" t="s">
        <v>320</v>
      </c>
      <c r="N93" s="2">
        <f t="shared" si="23"/>
        <v>3.6999999999999998E-2</v>
      </c>
      <c r="O93" s="33">
        <v>2</v>
      </c>
      <c r="P93" s="2">
        <f t="shared" si="24"/>
        <v>7.3999999999999996E-2</v>
      </c>
      <c r="R93" s="2">
        <v>3</v>
      </c>
      <c r="S93" s="2" t="s">
        <v>518</v>
      </c>
      <c r="T93" s="2" t="str">
        <f>IFERROR(VLOOKUP(S93,[1]坦克个性化设定!$B$18:$E$48,4,FALSE)&amp;VLOOKUP(S93,[1]坦克个性化细分!$I$3:$J$33,2,FALSE),"")</f>
        <v>T2低</v>
      </c>
      <c r="U93" s="2" t="s">
        <v>1726</v>
      </c>
      <c r="V93" s="2">
        <f t="shared" si="20"/>
        <v>7.2999999999999995E-2</v>
      </c>
      <c r="W93" s="33">
        <v>1</v>
      </c>
      <c r="X93" s="2">
        <f t="shared" si="25"/>
        <v>7.2999999999999995E-2</v>
      </c>
    </row>
    <row r="94" spans="2:25" x14ac:dyDescent="0.3">
      <c r="B94" s="2">
        <v>3</v>
      </c>
      <c r="C94" s="2" t="s">
        <v>644</v>
      </c>
      <c r="D94" s="2" t="str">
        <f>IFERROR(VLOOKUP(C94,[1]坦克个性化设定!$B$18:$E$48,4,FALSE)&amp;VLOOKUP(C94,[1]坦克个性化细分!$I$3:$J$33,2,FALSE),"")</f>
        <v>T2低</v>
      </c>
      <c r="E94" s="2" t="s">
        <v>320</v>
      </c>
      <c r="F94" s="2">
        <f t="shared" si="21"/>
        <v>3.6999999999999998E-2</v>
      </c>
      <c r="G94" s="33">
        <v>1</v>
      </c>
      <c r="H94" s="2">
        <f t="shared" si="22"/>
        <v>3.6999999999999998E-2</v>
      </c>
      <c r="J94" s="2">
        <v>3</v>
      </c>
      <c r="K94" s="2" t="s">
        <v>644</v>
      </c>
      <c r="L94" s="2" t="str">
        <f>IFERROR(VLOOKUP(K94,[1]坦克个性化设定!$B$18:$E$48,4,FALSE)&amp;VLOOKUP(K94,[1]坦克个性化细分!$I$3:$J$33,2,FALSE),"")</f>
        <v>T2低</v>
      </c>
      <c r="M94" s="2" t="s">
        <v>320</v>
      </c>
      <c r="N94" s="2">
        <f t="shared" si="23"/>
        <v>3.6999999999999998E-2</v>
      </c>
      <c r="O94" s="33">
        <v>2</v>
      </c>
      <c r="P94" s="2">
        <f t="shared" si="24"/>
        <v>7.3999999999999996E-2</v>
      </c>
      <c r="R94" s="2">
        <v>3</v>
      </c>
      <c r="S94" s="2" t="s">
        <v>644</v>
      </c>
      <c r="T94" s="2" t="str">
        <f>IFERROR(VLOOKUP(S94,[1]坦克个性化设定!$B$18:$E$48,4,FALSE)&amp;VLOOKUP(S94,[1]坦克个性化细分!$I$3:$J$33,2,FALSE),"")</f>
        <v>T2低</v>
      </c>
      <c r="U94" s="2" t="s">
        <v>1726</v>
      </c>
      <c r="V94" s="2">
        <f t="shared" si="20"/>
        <v>7.2999999999999995E-2</v>
      </c>
      <c r="W94" s="33">
        <v>1</v>
      </c>
      <c r="X94" s="2">
        <f t="shared" si="25"/>
        <v>7.2999999999999995E-2</v>
      </c>
    </row>
    <row r="95" spans="2:25" x14ac:dyDescent="0.3">
      <c r="B95" s="2">
        <v>3</v>
      </c>
      <c r="C95" s="2" t="s">
        <v>607</v>
      </c>
      <c r="D95" s="2" t="str">
        <f>IFERROR(VLOOKUP(C95,[1]坦克个性化设定!$B$18:$E$48,4,FALSE)&amp;VLOOKUP(C95,[1]坦克个性化细分!$I$3:$J$33,2,FALSE),"")</f>
        <v>T2中</v>
      </c>
      <c r="E95" s="2" t="s">
        <v>320</v>
      </c>
      <c r="F95" s="2">
        <f t="shared" si="21"/>
        <v>3.6999999999999998E-2</v>
      </c>
      <c r="G95" s="33">
        <v>1</v>
      </c>
      <c r="H95" s="2">
        <f t="shared" si="22"/>
        <v>3.6999999999999998E-2</v>
      </c>
      <c r="J95" s="2">
        <v>3</v>
      </c>
      <c r="K95" s="2" t="s">
        <v>607</v>
      </c>
      <c r="L95" s="2" t="str">
        <f>IFERROR(VLOOKUP(K95,[1]坦克个性化设定!$B$18:$E$48,4,FALSE)&amp;VLOOKUP(K95,[1]坦克个性化细分!$I$3:$J$33,2,FALSE),"")</f>
        <v>T2中</v>
      </c>
      <c r="M95" s="2" t="s">
        <v>320</v>
      </c>
      <c r="N95" s="2">
        <f t="shared" si="23"/>
        <v>3.6999999999999998E-2</v>
      </c>
      <c r="O95" s="33">
        <v>1.8</v>
      </c>
      <c r="P95" s="2">
        <f t="shared" si="24"/>
        <v>6.6599999999999993E-2</v>
      </c>
      <c r="R95" s="2">
        <v>3</v>
      </c>
      <c r="S95" s="2" t="s">
        <v>607</v>
      </c>
      <c r="T95" s="2" t="str">
        <f>IFERROR(VLOOKUP(S95,[1]坦克个性化设定!$B$18:$E$48,4,FALSE)&amp;VLOOKUP(S95,[1]坦克个性化细分!$I$3:$J$33,2,FALSE),"")</f>
        <v>T2中</v>
      </c>
      <c r="U95" s="2" t="s">
        <v>1726</v>
      </c>
      <c r="V95" s="2">
        <f t="shared" si="20"/>
        <v>7.2999999999999995E-2</v>
      </c>
      <c r="W95" s="33">
        <v>1</v>
      </c>
      <c r="X95" s="2">
        <f t="shared" si="25"/>
        <v>7.2999999999999995E-2</v>
      </c>
    </row>
    <row r="96" spans="2:25" x14ac:dyDescent="0.3">
      <c r="B96" s="2">
        <v>3</v>
      </c>
      <c r="C96" s="2" t="s">
        <v>627</v>
      </c>
      <c r="D96" s="2" t="str">
        <f>IFERROR(VLOOKUP(C96,[1]坦克个性化设定!$B$18:$E$48,4,FALSE)&amp;VLOOKUP(C96,[1]坦克个性化细分!$I$3:$J$33,2,FALSE),"")</f>
        <v>T2中</v>
      </c>
      <c r="E96" s="2" t="s">
        <v>320</v>
      </c>
      <c r="F96" s="2">
        <f t="shared" si="21"/>
        <v>3.6999999999999998E-2</v>
      </c>
      <c r="G96" s="33">
        <v>1</v>
      </c>
      <c r="H96" s="2">
        <f t="shared" si="22"/>
        <v>3.6999999999999998E-2</v>
      </c>
      <c r="J96" s="2">
        <v>3</v>
      </c>
      <c r="K96" s="2" t="s">
        <v>627</v>
      </c>
      <c r="L96" s="2" t="str">
        <f>IFERROR(VLOOKUP(K96,[1]坦克个性化设定!$B$18:$E$48,4,FALSE)&amp;VLOOKUP(K96,[1]坦克个性化细分!$I$3:$J$33,2,FALSE),"")</f>
        <v>T2中</v>
      </c>
      <c r="M96" s="2" t="s">
        <v>320</v>
      </c>
      <c r="N96" s="2">
        <f t="shared" si="23"/>
        <v>3.6999999999999998E-2</v>
      </c>
      <c r="O96" s="33">
        <v>1.8</v>
      </c>
      <c r="P96" s="2">
        <f t="shared" si="24"/>
        <v>6.6599999999999993E-2</v>
      </c>
      <c r="R96" s="2">
        <v>3</v>
      </c>
      <c r="S96" s="2" t="s">
        <v>627</v>
      </c>
      <c r="T96" s="2" t="str">
        <f>IFERROR(VLOOKUP(S96,[1]坦克个性化设定!$B$18:$E$48,4,FALSE)&amp;VLOOKUP(S96,[1]坦克个性化细分!$I$3:$J$33,2,FALSE),"")</f>
        <v>T2中</v>
      </c>
      <c r="U96" s="2" t="s">
        <v>1726</v>
      </c>
      <c r="V96" s="2">
        <f t="shared" si="20"/>
        <v>7.2999999999999995E-2</v>
      </c>
      <c r="W96" s="33">
        <v>1</v>
      </c>
      <c r="X96" s="2">
        <f t="shared" si="25"/>
        <v>7.2999999999999995E-2</v>
      </c>
    </row>
    <row r="97" spans="2:25" x14ac:dyDescent="0.3">
      <c r="B97" s="2">
        <v>3</v>
      </c>
      <c r="C97" s="2" t="s">
        <v>646</v>
      </c>
      <c r="D97" s="2" t="str">
        <f>IFERROR(VLOOKUP(C97,[1]坦克个性化设定!$B$18:$E$48,4,FALSE)&amp;VLOOKUP(C97,[1]坦克个性化细分!$I$3:$J$33,2,FALSE),"")</f>
        <v>T2中</v>
      </c>
      <c r="E97" s="2" t="s">
        <v>320</v>
      </c>
      <c r="F97" s="2">
        <f t="shared" si="21"/>
        <v>3.6999999999999998E-2</v>
      </c>
      <c r="G97" s="33">
        <v>1</v>
      </c>
      <c r="H97" s="2">
        <f t="shared" si="22"/>
        <v>3.6999999999999998E-2</v>
      </c>
      <c r="J97" s="2">
        <v>3</v>
      </c>
      <c r="K97" s="2" t="s">
        <v>646</v>
      </c>
      <c r="L97" s="2" t="str">
        <f>IFERROR(VLOOKUP(K97,[1]坦克个性化设定!$B$18:$E$48,4,FALSE)&amp;VLOOKUP(K97,[1]坦克个性化细分!$I$3:$J$33,2,FALSE),"")</f>
        <v>T2中</v>
      </c>
      <c r="M97" s="2" t="s">
        <v>320</v>
      </c>
      <c r="N97" s="2">
        <f t="shared" si="23"/>
        <v>3.6999999999999998E-2</v>
      </c>
      <c r="O97" s="33">
        <v>1.8</v>
      </c>
      <c r="P97" s="2">
        <f t="shared" si="24"/>
        <v>6.6599999999999993E-2</v>
      </c>
      <c r="R97" s="2">
        <v>3</v>
      </c>
      <c r="S97" s="2" t="s">
        <v>646</v>
      </c>
      <c r="T97" s="2" t="str">
        <f>IFERROR(VLOOKUP(S97,[1]坦克个性化设定!$B$18:$E$48,4,FALSE)&amp;VLOOKUP(S97,[1]坦克个性化细分!$I$3:$J$33,2,FALSE),"")</f>
        <v>T2中</v>
      </c>
      <c r="U97" s="2" t="s">
        <v>1726</v>
      </c>
      <c r="V97" s="2">
        <f t="shared" si="20"/>
        <v>7.2999999999999995E-2</v>
      </c>
      <c r="W97" s="33">
        <v>1</v>
      </c>
      <c r="X97" s="2">
        <f t="shared" si="25"/>
        <v>7.2999999999999995E-2</v>
      </c>
    </row>
    <row r="98" spans="2:25" x14ac:dyDescent="0.3">
      <c r="B98" s="2">
        <v>3</v>
      </c>
      <c r="C98" s="2" t="s">
        <v>516</v>
      </c>
      <c r="D98" s="2" t="str">
        <f>IFERROR(VLOOKUP(C98,[1]坦克个性化设定!$B$18:$E$48,4,FALSE)&amp;VLOOKUP(C98,[1]坦克个性化细分!$I$3:$J$33,2,FALSE),"")</f>
        <v>T2低</v>
      </c>
      <c r="E98" s="2" t="s">
        <v>1726</v>
      </c>
      <c r="F98" s="2">
        <f t="shared" si="21"/>
        <v>3.6999999999999998E-2</v>
      </c>
      <c r="G98" s="33">
        <v>3</v>
      </c>
      <c r="H98" s="2">
        <f t="shared" si="22"/>
        <v>0.11099999999999999</v>
      </c>
      <c r="J98" s="2">
        <v>3</v>
      </c>
      <c r="K98" s="2" t="s">
        <v>516</v>
      </c>
      <c r="L98" s="2" t="str">
        <f>IFERROR(VLOOKUP(K98,[1]坦克个性化设定!$B$18:$E$48,4,FALSE)&amp;VLOOKUP(K98,[1]坦克个性化细分!$I$3:$J$33,2,FALSE),"")</f>
        <v>T2低</v>
      </c>
      <c r="M98" s="2" t="s">
        <v>1726</v>
      </c>
      <c r="N98" s="2">
        <f t="shared" si="23"/>
        <v>3.6999999999999998E-2</v>
      </c>
      <c r="O98" s="33">
        <v>1</v>
      </c>
      <c r="P98" s="2">
        <f t="shared" si="24"/>
        <v>3.6999999999999998E-2</v>
      </c>
    </row>
    <row r="99" spans="2:25" x14ac:dyDescent="0.3">
      <c r="B99" s="2">
        <v>3</v>
      </c>
      <c r="C99" s="2" t="s">
        <v>518</v>
      </c>
      <c r="D99" s="2" t="str">
        <f>IFERROR(VLOOKUP(C99,[1]坦克个性化设定!$B$18:$E$48,4,FALSE)&amp;VLOOKUP(C99,[1]坦克个性化细分!$I$3:$J$33,2,FALSE),"")</f>
        <v>T2低</v>
      </c>
      <c r="E99" s="2" t="s">
        <v>1726</v>
      </c>
      <c r="F99" s="2">
        <f t="shared" si="21"/>
        <v>3.6999999999999998E-2</v>
      </c>
      <c r="G99" s="33">
        <v>3</v>
      </c>
      <c r="H99" s="2">
        <f t="shared" si="22"/>
        <v>0.11099999999999999</v>
      </c>
      <c r="J99" s="2">
        <v>3</v>
      </c>
      <c r="K99" s="2" t="s">
        <v>518</v>
      </c>
      <c r="L99" s="2" t="str">
        <f>IFERROR(VLOOKUP(K99,[1]坦克个性化设定!$B$18:$E$48,4,FALSE)&amp;VLOOKUP(K99,[1]坦克个性化细分!$I$3:$J$33,2,FALSE),"")</f>
        <v>T2低</v>
      </c>
      <c r="M99" s="2" t="s">
        <v>1726</v>
      </c>
      <c r="N99" s="2">
        <f t="shared" si="23"/>
        <v>3.6999999999999998E-2</v>
      </c>
      <c r="O99" s="33">
        <v>1</v>
      </c>
      <c r="P99" s="2">
        <f t="shared" si="24"/>
        <v>3.6999999999999998E-2</v>
      </c>
    </row>
    <row r="100" spans="2:25" x14ac:dyDescent="0.3">
      <c r="B100" s="2">
        <v>3</v>
      </c>
      <c r="C100" s="2" t="s">
        <v>644</v>
      </c>
      <c r="D100" s="2" t="str">
        <f>IFERROR(VLOOKUP(C100,[1]坦克个性化设定!$B$18:$E$48,4,FALSE)&amp;VLOOKUP(C100,[1]坦克个性化细分!$I$3:$J$33,2,FALSE),"")</f>
        <v>T2低</v>
      </c>
      <c r="E100" s="2" t="s">
        <v>1726</v>
      </c>
      <c r="F100" s="2">
        <f t="shared" si="21"/>
        <v>3.6999999999999998E-2</v>
      </c>
      <c r="G100" s="33">
        <v>3</v>
      </c>
      <c r="H100" s="2">
        <f t="shared" si="22"/>
        <v>0.11099999999999999</v>
      </c>
      <c r="J100" s="2">
        <v>3</v>
      </c>
      <c r="K100" s="2" t="s">
        <v>644</v>
      </c>
      <c r="L100" s="2" t="str">
        <f>IFERROR(VLOOKUP(K100,[1]坦克个性化设定!$B$18:$E$48,4,FALSE)&amp;VLOOKUP(K100,[1]坦克个性化细分!$I$3:$J$33,2,FALSE),"")</f>
        <v>T2低</v>
      </c>
      <c r="M100" s="2" t="s">
        <v>1726</v>
      </c>
      <c r="N100" s="2">
        <f t="shared" si="23"/>
        <v>3.6999999999999998E-2</v>
      </c>
      <c r="O100" s="33">
        <v>1</v>
      </c>
      <c r="P100" s="2">
        <f t="shared" si="24"/>
        <v>3.6999999999999998E-2</v>
      </c>
      <c r="R100" s="2" t="s">
        <v>377</v>
      </c>
      <c r="S100" s="2" t="s">
        <v>1783</v>
      </c>
      <c r="T100" s="2" t="s">
        <v>886</v>
      </c>
      <c r="U100" s="2" t="s">
        <v>3477</v>
      </c>
      <c r="V100" s="2" t="s">
        <v>3474</v>
      </c>
      <c r="W100" s="2" t="s">
        <v>371</v>
      </c>
      <c r="X100" s="2" t="s">
        <v>3478</v>
      </c>
      <c r="Y100" s="1">
        <f>SUM(X101:X106)</f>
        <v>0.65700000000000003</v>
      </c>
    </row>
    <row r="101" spans="2:25" x14ac:dyDescent="0.3">
      <c r="B101" s="2">
        <v>3</v>
      </c>
      <c r="C101" s="2" t="s">
        <v>607</v>
      </c>
      <c r="D101" s="2" t="str">
        <f>IFERROR(VLOOKUP(C101,[1]坦克个性化设定!$B$18:$E$48,4,FALSE)&amp;VLOOKUP(C101,[1]坦克个性化细分!$I$3:$J$33,2,FALSE),"")</f>
        <v>T2中</v>
      </c>
      <c r="E101" s="2" t="s">
        <v>1726</v>
      </c>
      <c r="F101" s="2">
        <f t="shared" si="21"/>
        <v>3.6999999999999998E-2</v>
      </c>
      <c r="G101" s="33">
        <v>1</v>
      </c>
      <c r="H101" s="2">
        <f t="shared" si="22"/>
        <v>3.6999999999999998E-2</v>
      </c>
      <c r="J101" s="2">
        <v>3</v>
      </c>
      <c r="K101" s="2" t="s">
        <v>607</v>
      </c>
      <c r="L101" s="2" t="str">
        <f>IFERROR(VLOOKUP(K101,[1]坦克个性化设定!$B$18:$E$48,4,FALSE)&amp;VLOOKUP(K101,[1]坦克个性化细分!$I$3:$J$33,2,FALSE),"")</f>
        <v>T2中</v>
      </c>
      <c r="M101" s="2" t="s">
        <v>1726</v>
      </c>
      <c r="N101" s="2">
        <f t="shared" si="23"/>
        <v>3.6999999999999998E-2</v>
      </c>
      <c r="O101" s="33">
        <v>0.9</v>
      </c>
      <c r="P101" s="2">
        <f t="shared" si="24"/>
        <v>3.3299999999999996E-2</v>
      </c>
      <c r="R101" s="2">
        <v>4</v>
      </c>
      <c r="S101" s="2" t="s">
        <v>516</v>
      </c>
      <c r="T101" s="2" t="str">
        <f>IFERROR(VLOOKUP(S101,[1]坦克个性化设定!$B$18:$E$48,4,FALSE)&amp;VLOOKUP(S101,[1]坦克个性化细分!$I$3:$J$33,2,FALSE),"")</f>
        <v>T2低</v>
      </c>
      <c r="U101" s="2" t="s">
        <v>1726</v>
      </c>
      <c r="V101" s="2">
        <f t="shared" ref="V101:V106" si="26">$E$70</f>
        <v>7.2999999999999995E-2</v>
      </c>
      <c r="W101" s="33">
        <v>1.9</v>
      </c>
      <c r="X101" s="2">
        <f t="shared" ref="X101:X106" si="27">V101*W101</f>
        <v>0.13869999999999999</v>
      </c>
    </row>
    <row r="102" spans="2:25" x14ac:dyDescent="0.3">
      <c r="B102" s="2">
        <v>3</v>
      </c>
      <c r="C102" s="2" t="s">
        <v>627</v>
      </c>
      <c r="D102" s="2" t="str">
        <f>IFERROR(VLOOKUP(C102,[1]坦克个性化设定!$B$18:$E$48,4,FALSE)&amp;VLOOKUP(C102,[1]坦克个性化细分!$I$3:$J$33,2,FALSE),"")</f>
        <v>T2中</v>
      </c>
      <c r="E102" s="2" t="s">
        <v>1726</v>
      </c>
      <c r="F102" s="2">
        <f t="shared" si="21"/>
        <v>3.6999999999999998E-2</v>
      </c>
      <c r="G102" s="33">
        <v>1</v>
      </c>
      <c r="H102" s="2">
        <f t="shared" si="22"/>
        <v>3.6999999999999998E-2</v>
      </c>
      <c r="J102" s="2">
        <v>3</v>
      </c>
      <c r="K102" s="2" t="s">
        <v>627</v>
      </c>
      <c r="L102" s="2" t="str">
        <f>IFERROR(VLOOKUP(K102,[1]坦克个性化设定!$B$18:$E$48,4,FALSE)&amp;VLOOKUP(K102,[1]坦克个性化细分!$I$3:$J$33,2,FALSE),"")</f>
        <v>T2中</v>
      </c>
      <c r="M102" s="2" t="s">
        <v>1726</v>
      </c>
      <c r="N102" s="2">
        <f t="shared" si="23"/>
        <v>3.6999999999999998E-2</v>
      </c>
      <c r="O102" s="33">
        <v>0.9</v>
      </c>
      <c r="P102" s="2">
        <f t="shared" si="24"/>
        <v>3.3299999999999996E-2</v>
      </c>
      <c r="R102" s="2">
        <v>4</v>
      </c>
      <c r="S102" s="2" t="s">
        <v>518</v>
      </c>
      <c r="T102" s="2" t="str">
        <f>IFERROR(VLOOKUP(S102,[1]坦克个性化设定!$B$18:$E$48,4,FALSE)&amp;VLOOKUP(S102,[1]坦克个性化细分!$I$3:$J$33,2,FALSE),"")</f>
        <v>T2低</v>
      </c>
      <c r="U102" s="2" t="s">
        <v>1726</v>
      </c>
      <c r="V102" s="2">
        <f t="shared" si="26"/>
        <v>7.2999999999999995E-2</v>
      </c>
      <c r="W102" s="33">
        <v>1.9</v>
      </c>
      <c r="X102" s="2">
        <f t="shared" si="27"/>
        <v>0.13869999999999999</v>
      </c>
    </row>
    <row r="103" spans="2:25" x14ac:dyDescent="0.3">
      <c r="B103" s="2">
        <v>3</v>
      </c>
      <c r="C103" s="2" t="s">
        <v>646</v>
      </c>
      <c r="D103" s="2" t="str">
        <f>IFERROR(VLOOKUP(C103,[1]坦克个性化设定!$B$18:$E$48,4,FALSE)&amp;VLOOKUP(C103,[1]坦克个性化细分!$I$3:$J$33,2,FALSE),"")</f>
        <v>T2中</v>
      </c>
      <c r="E103" s="2" t="s">
        <v>1726</v>
      </c>
      <c r="F103" s="2">
        <f t="shared" si="21"/>
        <v>3.6999999999999998E-2</v>
      </c>
      <c r="G103" s="33">
        <v>1</v>
      </c>
      <c r="H103" s="2">
        <f t="shared" si="22"/>
        <v>3.6999999999999998E-2</v>
      </c>
      <c r="J103" s="2">
        <v>3</v>
      </c>
      <c r="K103" s="2" t="s">
        <v>646</v>
      </c>
      <c r="L103" s="2" t="str">
        <f>IFERROR(VLOOKUP(K103,[1]坦克个性化设定!$B$18:$E$48,4,FALSE)&amp;VLOOKUP(K103,[1]坦克个性化细分!$I$3:$J$33,2,FALSE),"")</f>
        <v>T2中</v>
      </c>
      <c r="M103" s="2" t="s">
        <v>1726</v>
      </c>
      <c r="N103" s="2">
        <f t="shared" si="23"/>
        <v>3.6999999999999998E-2</v>
      </c>
      <c r="O103" s="33">
        <v>0.9</v>
      </c>
      <c r="P103" s="2">
        <f t="shared" si="24"/>
        <v>3.3299999999999996E-2</v>
      </c>
      <c r="R103" s="2">
        <v>4</v>
      </c>
      <c r="S103" s="2" t="s">
        <v>644</v>
      </c>
      <c r="T103" s="2" t="str">
        <f>IFERROR(VLOOKUP(S103,[1]坦克个性化设定!$B$18:$E$48,4,FALSE)&amp;VLOOKUP(S103,[1]坦克个性化细分!$I$3:$J$33,2,FALSE),"")</f>
        <v>T2低</v>
      </c>
      <c r="U103" s="2" t="s">
        <v>1726</v>
      </c>
      <c r="V103" s="2">
        <f t="shared" si="26"/>
        <v>7.2999999999999995E-2</v>
      </c>
      <c r="W103" s="33">
        <v>1.9</v>
      </c>
      <c r="X103" s="2">
        <f t="shared" si="27"/>
        <v>0.13869999999999999</v>
      </c>
    </row>
    <row r="104" spans="2:25" x14ac:dyDescent="0.3">
      <c r="R104" s="2">
        <v>4</v>
      </c>
      <c r="S104" s="2" t="s">
        <v>607</v>
      </c>
      <c r="T104" s="2" t="str">
        <f>IFERROR(VLOOKUP(S104,[1]坦克个性化设定!$B$18:$E$48,4,FALSE)&amp;VLOOKUP(S104,[1]坦克个性化细分!$I$3:$J$33,2,FALSE),"")</f>
        <v>T2中</v>
      </c>
      <c r="U104" s="2" t="s">
        <v>1726</v>
      </c>
      <c r="V104" s="2">
        <f t="shared" si="26"/>
        <v>7.2999999999999995E-2</v>
      </c>
      <c r="W104" s="33">
        <v>1.1000000000000001</v>
      </c>
      <c r="X104" s="2">
        <f t="shared" si="27"/>
        <v>8.0299999999999996E-2</v>
      </c>
    </row>
    <row r="105" spans="2:25" x14ac:dyDescent="0.3">
      <c r="R105" s="2">
        <v>4</v>
      </c>
      <c r="S105" s="2" t="s">
        <v>627</v>
      </c>
      <c r="T105" s="2" t="str">
        <f>IFERROR(VLOOKUP(S105,[1]坦克个性化设定!$B$18:$E$48,4,FALSE)&amp;VLOOKUP(S105,[1]坦克个性化细分!$I$3:$J$33,2,FALSE),"")</f>
        <v>T2中</v>
      </c>
      <c r="U105" s="2" t="s">
        <v>1726</v>
      </c>
      <c r="V105" s="2">
        <f t="shared" si="26"/>
        <v>7.2999999999999995E-2</v>
      </c>
      <c r="W105" s="33">
        <v>1.1000000000000001</v>
      </c>
      <c r="X105" s="2">
        <f t="shared" si="27"/>
        <v>8.0299999999999996E-2</v>
      </c>
    </row>
    <row r="106" spans="2:25" x14ac:dyDescent="0.3">
      <c r="B106" s="2" t="s">
        <v>377</v>
      </c>
      <c r="C106" s="2" t="s">
        <v>1783</v>
      </c>
      <c r="D106" s="2" t="s">
        <v>886</v>
      </c>
      <c r="E106" s="2" t="s">
        <v>3477</v>
      </c>
      <c r="F106" s="2" t="s">
        <v>3474</v>
      </c>
      <c r="G106" s="2" t="s">
        <v>371</v>
      </c>
      <c r="H106" s="2" t="s">
        <v>3478</v>
      </c>
      <c r="I106" s="1">
        <f>SUM(H107:H118)</f>
        <v>0.66600000000000015</v>
      </c>
      <c r="J106" s="2" t="s">
        <v>377</v>
      </c>
      <c r="K106" s="2" t="s">
        <v>1783</v>
      </c>
      <c r="L106" s="2" t="s">
        <v>886</v>
      </c>
      <c r="M106" s="2" t="s">
        <v>3477</v>
      </c>
      <c r="N106" s="2" t="s">
        <v>3474</v>
      </c>
      <c r="O106" s="2" t="s">
        <v>371</v>
      </c>
      <c r="P106" s="2" t="s">
        <v>3478</v>
      </c>
      <c r="Q106" s="1">
        <f>SUM(P107:P118)</f>
        <v>0.66600000000000004</v>
      </c>
      <c r="R106" s="2">
        <v>4</v>
      </c>
      <c r="S106" s="2" t="s">
        <v>646</v>
      </c>
      <c r="T106" s="2" t="str">
        <f>IFERROR(VLOOKUP(S106,[1]坦克个性化设定!$B$18:$E$48,4,FALSE)&amp;VLOOKUP(S106,[1]坦克个性化细分!$I$3:$J$33,2,FALSE),"")</f>
        <v>T2中</v>
      </c>
      <c r="U106" s="2" t="s">
        <v>1726</v>
      </c>
      <c r="V106" s="2">
        <f t="shared" si="26"/>
        <v>7.2999999999999995E-2</v>
      </c>
      <c r="W106" s="33">
        <v>1.1000000000000001</v>
      </c>
      <c r="X106" s="2">
        <f t="shared" si="27"/>
        <v>8.0299999999999996E-2</v>
      </c>
    </row>
    <row r="107" spans="2:25" x14ac:dyDescent="0.3">
      <c r="B107" s="2">
        <v>4</v>
      </c>
      <c r="C107" s="2" t="s">
        <v>516</v>
      </c>
      <c r="D107" s="2" t="str">
        <f>IFERROR(VLOOKUP(C107,[1]坦克个性化设定!$B$18:$E$48,4,FALSE)&amp;VLOOKUP(C107,[1]坦克个性化细分!$I$3:$J$33,2,FALSE),"")</f>
        <v>T2低</v>
      </c>
      <c r="E107" s="2" t="s">
        <v>320</v>
      </c>
      <c r="F107" s="2">
        <f t="shared" ref="F107:F118" si="28">$E$69</f>
        <v>3.6999999999999998E-2</v>
      </c>
      <c r="G107" s="33">
        <v>1</v>
      </c>
      <c r="H107" s="2">
        <f t="shared" ref="H107:H118" si="29">F107*G107</f>
        <v>3.6999999999999998E-2</v>
      </c>
      <c r="J107" s="2">
        <v>4</v>
      </c>
      <c r="K107" s="2" t="s">
        <v>516</v>
      </c>
      <c r="L107" s="2" t="str">
        <f>IFERROR(VLOOKUP(K107,[1]坦克个性化设定!$B$18:$E$48,4,FALSE)&amp;VLOOKUP(K107,[1]坦克个性化细分!$I$3:$J$33,2,FALSE),"")</f>
        <v>T2低</v>
      </c>
      <c r="M107" s="2" t="s">
        <v>320</v>
      </c>
      <c r="N107" s="2">
        <f t="shared" ref="N107:N118" si="30">$E$69</f>
        <v>3.6999999999999998E-2</v>
      </c>
      <c r="O107" s="33">
        <v>1</v>
      </c>
      <c r="P107" s="2">
        <f t="shared" ref="P107:P118" si="31">N107*O107</f>
        <v>3.6999999999999998E-2</v>
      </c>
    </row>
    <row r="108" spans="2:25" x14ac:dyDescent="0.3">
      <c r="B108" s="2">
        <v>4</v>
      </c>
      <c r="C108" s="2" t="s">
        <v>518</v>
      </c>
      <c r="D108" s="2" t="str">
        <f>IFERROR(VLOOKUP(C108,[1]坦克个性化设定!$B$18:$E$48,4,FALSE)&amp;VLOOKUP(C108,[1]坦克个性化细分!$I$3:$J$33,2,FALSE),"")</f>
        <v>T2低</v>
      </c>
      <c r="E108" s="2" t="s">
        <v>320</v>
      </c>
      <c r="F108" s="2">
        <f t="shared" si="28"/>
        <v>3.6999999999999998E-2</v>
      </c>
      <c r="G108" s="33">
        <v>1</v>
      </c>
      <c r="H108" s="2">
        <f t="shared" si="29"/>
        <v>3.6999999999999998E-2</v>
      </c>
      <c r="J108" s="2">
        <v>4</v>
      </c>
      <c r="K108" s="2" t="s">
        <v>518</v>
      </c>
      <c r="L108" s="2" t="str">
        <f>IFERROR(VLOOKUP(K108,[1]坦克个性化设定!$B$18:$E$48,4,FALSE)&amp;VLOOKUP(K108,[1]坦克个性化细分!$I$3:$J$33,2,FALSE),"")</f>
        <v>T2低</v>
      </c>
      <c r="M108" s="2" t="s">
        <v>320</v>
      </c>
      <c r="N108" s="2">
        <f t="shared" si="30"/>
        <v>3.6999999999999998E-2</v>
      </c>
      <c r="O108" s="33">
        <v>1</v>
      </c>
      <c r="P108" s="2">
        <f t="shared" si="31"/>
        <v>3.6999999999999998E-2</v>
      </c>
    </row>
    <row r="109" spans="2:25" x14ac:dyDescent="0.3">
      <c r="B109" s="2">
        <v>4</v>
      </c>
      <c r="C109" s="2" t="s">
        <v>644</v>
      </c>
      <c r="D109" s="2" t="str">
        <f>IFERROR(VLOOKUP(C109,[1]坦克个性化设定!$B$18:$E$48,4,FALSE)&amp;VLOOKUP(C109,[1]坦克个性化细分!$I$3:$J$33,2,FALSE),"")</f>
        <v>T2低</v>
      </c>
      <c r="E109" s="2" t="s">
        <v>320</v>
      </c>
      <c r="F109" s="2">
        <f t="shared" si="28"/>
        <v>3.6999999999999998E-2</v>
      </c>
      <c r="G109" s="33">
        <v>1</v>
      </c>
      <c r="H109" s="2">
        <f t="shared" si="29"/>
        <v>3.6999999999999998E-2</v>
      </c>
      <c r="J109" s="2">
        <v>4</v>
      </c>
      <c r="K109" s="2" t="s">
        <v>644</v>
      </c>
      <c r="L109" s="2" t="str">
        <f>IFERROR(VLOOKUP(K109,[1]坦克个性化设定!$B$18:$E$48,4,FALSE)&amp;VLOOKUP(K109,[1]坦克个性化细分!$I$3:$J$33,2,FALSE),"")</f>
        <v>T2低</v>
      </c>
      <c r="M109" s="2" t="s">
        <v>320</v>
      </c>
      <c r="N109" s="2">
        <f t="shared" si="30"/>
        <v>3.6999999999999998E-2</v>
      </c>
      <c r="O109" s="33">
        <v>1</v>
      </c>
      <c r="P109" s="2">
        <f t="shared" si="31"/>
        <v>3.6999999999999998E-2</v>
      </c>
      <c r="R109" s="2" t="s">
        <v>377</v>
      </c>
      <c r="S109" s="2" t="s">
        <v>1783</v>
      </c>
      <c r="T109" s="2" t="s">
        <v>886</v>
      </c>
      <c r="U109" s="2" t="s">
        <v>3477</v>
      </c>
      <c r="V109" s="2" t="s">
        <v>3474</v>
      </c>
      <c r="W109" s="2" t="s">
        <v>371</v>
      </c>
      <c r="X109" s="2" t="s">
        <v>3478</v>
      </c>
      <c r="Y109" s="1">
        <f>SUM(X110:X118)</f>
        <v>0.54749999999999999</v>
      </c>
    </row>
    <row r="110" spans="2:25" x14ac:dyDescent="0.3">
      <c r="B110" s="2">
        <v>4</v>
      </c>
      <c r="C110" s="2" t="s">
        <v>607</v>
      </c>
      <c r="D110" s="2" t="str">
        <f>IFERROR(VLOOKUP(C110,[1]坦克个性化设定!$B$18:$E$48,4,FALSE)&amp;VLOOKUP(C110,[1]坦克个性化细分!$I$3:$J$33,2,FALSE),"")</f>
        <v>T2中</v>
      </c>
      <c r="E110" s="2" t="s">
        <v>320</v>
      </c>
      <c r="F110" s="2">
        <f t="shared" si="28"/>
        <v>3.6999999999999998E-2</v>
      </c>
      <c r="G110" s="33">
        <v>0.9</v>
      </c>
      <c r="H110" s="2">
        <f t="shared" si="29"/>
        <v>3.3299999999999996E-2</v>
      </c>
      <c r="J110" s="2">
        <v>4</v>
      </c>
      <c r="K110" s="2" t="s">
        <v>607</v>
      </c>
      <c r="L110" s="2" t="str">
        <f>IFERROR(VLOOKUP(K110,[1]坦克个性化设定!$B$18:$E$48,4,FALSE)&amp;VLOOKUP(K110,[1]坦克个性化细分!$I$3:$J$33,2,FALSE),"")</f>
        <v>T2中</v>
      </c>
      <c r="M110" s="2" t="s">
        <v>320</v>
      </c>
      <c r="N110" s="2">
        <f t="shared" si="30"/>
        <v>3.6999999999999998E-2</v>
      </c>
      <c r="O110" s="33">
        <v>3</v>
      </c>
      <c r="P110" s="2">
        <f t="shared" si="31"/>
        <v>0.11099999999999999</v>
      </c>
      <c r="R110" s="2">
        <v>5</v>
      </c>
      <c r="S110" s="2" t="s">
        <v>607</v>
      </c>
      <c r="T110" s="2" t="str">
        <f>IFERROR(VLOOKUP(S110,[1]坦克个性化设定!$B$18:$E$48,4,FALSE)&amp;VLOOKUP(S110,[1]坦克个性化细分!$I$3:$J$33,2,FALSE),"")</f>
        <v>T2中</v>
      </c>
      <c r="U110" s="2" t="s">
        <v>1726</v>
      </c>
      <c r="V110" s="2">
        <f t="shared" ref="V110:V118" si="32">$E$70</f>
        <v>7.2999999999999995E-2</v>
      </c>
      <c r="W110" s="33">
        <v>1.2</v>
      </c>
      <c r="X110" s="2">
        <f t="shared" ref="X110:X118" si="33">V110*W110</f>
        <v>8.7599999999999997E-2</v>
      </c>
    </row>
    <row r="111" spans="2:25" x14ac:dyDescent="0.3">
      <c r="B111" s="2">
        <v>4</v>
      </c>
      <c r="C111" s="2" t="s">
        <v>627</v>
      </c>
      <c r="D111" s="2" t="str">
        <f>IFERROR(VLOOKUP(C111,[1]坦克个性化设定!$B$18:$E$48,4,FALSE)&amp;VLOOKUP(C111,[1]坦克个性化细分!$I$3:$J$33,2,FALSE),"")</f>
        <v>T2中</v>
      </c>
      <c r="E111" s="2" t="s">
        <v>320</v>
      </c>
      <c r="F111" s="2">
        <f t="shared" si="28"/>
        <v>3.6999999999999998E-2</v>
      </c>
      <c r="G111" s="33">
        <v>0.9</v>
      </c>
      <c r="H111" s="2">
        <f t="shared" si="29"/>
        <v>3.3299999999999996E-2</v>
      </c>
      <c r="J111" s="2">
        <v>4</v>
      </c>
      <c r="K111" s="2" t="s">
        <v>627</v>
      </c>
      <c r="L111" s="2" t="str">
        <f>IFERROR(VLOOKUP(K111,[1]坦克个性化设定!$B$18:$E$48,4,FALSE)&amp;VLOOKUP(K111,[1]坦克个性化细分!$I$3:$J$33,2,FALSE),"")</f>
        <v>T2中</v>
      </c>
      <c r="M111" s="2" t="s">
        <v>320</v>
      </c>
      <c r="N111" s="2">
        <f t="shared" si="30"/>
        <v>3.6999999999999998E-2</v>
      </c>
      <c r="O111" s="33">
        <v>3</v>
      </c>
      <c r="P111" s="2">
        <f t="shared" si="31"/>
        <v>0.11099999999999999</v>
      </c>
      <c r="R111" s="2">
        <v>5</v>
      </c>
      <c r="S111" s="2" t="s">
        <v>627</v>
      </c>
      <c r="T111" s="2" t="str">
        <f>IFERROR(VLOOKUP(S111,[1]坦克个性化设定!$B$18:$E$48,4,FALSE)&amp;VLOOKUP(S111,[1]坦克个性化细分!$I$3:$J$33,2,FALSE),"")</f>
        <v>T2中</v>
      </c>
      <c r="U111" s="2" t="s">
        <v>1726</v>
      </c>
      <c r="V111" s="2">
        <f t="shared" si="32"/>
        <v>7.2999999999999995E-2</v>
      </c>
      <c r="W111" s="33">
        <v>1.2</v>
      </c>
      <c r="X111" s="2">
        <f t="shared" si="33"/>
        <v>8.7599999999999997E-2</v>
      </c>
    </row>
    <row r="112" spans="2:25" x14ac:dyDescent="0.3">
      <c r="B112" s="2">
        <v>4</v>
      </c>
      <c r="C112" s="2" t="s">
        <v>646</v>
      </c>
      <c r="D112" s="2" t="str">
        <f>IFERROR(VLOOKUP(C112,[1]坦克个性化设定!$B$18:$E$48,4,FALSE)&amp;VLOOKUP(C112,[1]坦克个性化细分!$I$3:$J$33,2,FALSE),"")</f>
        <v>T2中</v>
      </c>
      <c r="E112" s="2" t="s">
        <v>320</v>
      </c>
      <c r="F112" s="2">
        <f t="shared" si="28"/>
        <v>3.6999999999999998E-2</v>
      </c>
      <c r="G112" s="33">
        <v>0.9</v>
      </c>
      <c r="H112" s="2">
        <f t="shared" si="29"/>
        <v>3.3299999999999996E-2</v>
      </c>
      <c r="J112" s="2">
        <v>4</v>
      </c>
      <c r="K112" s="2" t="s">
        <v>646</v>
      </c>
      <c r="L112" s="2" t="str">
        <f>IFERROR(VLOOKUP(K112,[1]坦克个性化设定!$B$18:$E$48,4,FALSE)&amp;VLOOKUP(K112,[1]坦克个性化细分!$I$3:$J$33,2,FALSE),"")</f>
        <v>T2中</v>
      </c>
      <c r="M112" s="2" t="s">
        <v>320</v>
      </c>
      <c r="N112" s="2">
        <f t="shared" si="30"/>
        <v>3.6999999999999998E-2</v>
      </c>
      <c r="O112" s="33">
        <v>3</v>
      </c>
      <c r="P112" s="2">
        <f t="shared" si="31"/>
        <v>0.11099999999999999</v>
      </c>
      <c r="R112" s="2">
        <v>5</v>
      </c>
      <c r="S112" s="2" t="s">
        <v>646</v>
      </c>
      <c r="T112" s="2" t="str">
        <f>IFERROR(VLOOKUP(S112,[1]坦克个性化设定!$B$18:$E$48,4,FALSE)&amp;VLOOKUP(S112,[1]坦克个性化细分!$I$3:$J$33,2,FALSE),"")</f>
        <v>T2中</v>
      </c>
      <c r="U112" s="2" t="s">
        <v>1726</v>
      </c>
      <c r="V112" s="2">
        <f t="shared" si="32"/>
        <v>7.2999999999999995E-2</v>
      </c>
      <c r="W112" s="33">
        <v>1.2</v>
      </c>
      <c r="X112" s="2">
        <f t="shared" si="33"/>
        <v>8.7599999999999997E-2</v>
      </c>
    </row>
    <row r="113" spans="2:25" x14ac:dyDescent="0.3">
      <c r="B113" s="2">
        <v>4</v>
      </c>
      <c r="C113" s="2" t="s">
        <v>516</v>
      </c>
      <c r="D113" s="2" t="str">
        <f>IFERROR(VLOOKUP(C113,[1]坦克个性化设定!$B$18:$E$48,4,FALSE)&amp;VLOOKUP(C113,[1]坦克个性化细分!$I$3:$J$33,2,FALSE),"")</f>
        <v>T2低</v>
      </c>
      <c r="E113" s="2" t="s">
        <v>1726</v>
      </c>
      <c r="F113" s="2">
        <f t="shared" si="28"/>
        <v>3.6999999999999998E-2</v>
      </c>
      <c r="G113" s="33">
        <v>3.1</v>
      </c>
      <c r="H113" s="2">
        <f t="shared" si="29"/>
        <v>0.1147</v>
      </c>
      <c r="J113" s="2">
        <v>4</v>
      </c>
      <c r="K113" s="2" t="s">
        <v>516</v>
      </c>
      <c r="L113" s="2" t="str">
        <f>IFERROR(VLOOKUP(K113,[1]坦克个性化设定!$B$18:$E$48,4,FALSE)&amp;VLOOKUP(K113,[1]坦克个性化细分!$I$3:$J$33,2,FALSE),"")</f>
        <v>T2低</v>
      </c>
      <c r="M113" s="2" t="s">
        <v>1726</v>
      </c>
      <c r="N113" s="2">
        <f t="shared" si="30"/>
        <v>3.6999999999999998E-2</v>
      </c>
      <c r="O113" s="33">
        <v>1</v>
      </c>
      <c r="P113" s="2">
        <f t="shared" si="31"/>
        <v>3.6999999999999998E-2</v>
      </c>
      <c r="R113" s="2">
        <v>5</v>
      </c>
      <c r="S113" s="2" t="s">
        <v>522</v>
      </c>
      <c r="T113" s="2" t="str">
        <f>IFERROR(VLOOKUP(S113,[1]坦克个性化设定!$B$18:$E$48,4,FALSE)&amp;VLOOKUP(S113,[1]坦克个性化细分!$I$3:$J$33,2,FALSE),"")</f>
        <v>T3低</v>
      </c>
      <c r="U113" s="2" t="s">
        <v>1726</v>
      </c>
      <c r="V113" s="2">
        <f t="shared" si="32"/>
        <v>7.2999999999999995E-2</v>
      </c>
      <c r="W113" s="33">
        <v>0.8</v>
      </c>
      <c r="X113" s="2">
        <f t="shared" si="33"/>
        <v>5.8400000000000001E-2</v>
      </c>
    </row>
    <row r="114" spans="2:25" x14ac:dyDescent="0.3">
      <c r="B114" s="2">
        <v>4</v>
      </c>
      <c r="C114" s="2" t="s">
        <v>518</v>
      </c>
      <c r="D114" s="2" t="str">
        <f>IFERROR(VLOOKUP(C114,[1]坦克个性化设定!$B$18:$E$48,4,FALSE)&amp;VLOOKUP(C114,[1]坦克个性化细分!$I$3:$J$33,2,FALSE),"")</f>
        <v>T2低</v>
      </c>
      <c r="E114" s="2" t="s">
        <v>1726</v>
      </c>
      <c r="F114" s="2">
        <f t="shared" si="28"/>
        <v>3.6999999999999998E-2</v>
      </c>
      <c r="G114" s="33">
        <v>3.1</v>
      </c>
      <c r="H114" s="2">
        <f t="shared" si="29"/>
        <v>0.1147</v>
      </c>
      <c r="J114" s="2">
        <v>4</v>
      </c>
      <c r="K114" s="2" t="s">
        <v>518</v>
      </c>
      <c r="L114" s="2" t="str">
        <f>IFERROR(VLOOKUP(K114,[1]坦克个性化设定!$B$18:$E$48,4,FALSE)&amp;VLOOKUP(K114,[1]坦克个性化细分!$I$3:$J$33,2,FALSE),"")</f>
        <v>T2低</v>
      </c>
      <c r="M114" s="2" t="s">
        <v>1726</v>
      </c>
      <c r="N114" s="2">
        <f t="shared" si="30"/>
        <v>3.6999999999999998E-2</v>
      </c>
      <c r="O114" s="33">
        <v>1</v>
      </c>
      <c r="P114" s="2">
        <f t="shared" si="31"/>
        <v>3.6999999999999998E-2</v>
      </c>
      <c r="R114" s="2">
        <v>5</v>
      </c>
      <c r="S114" s="2" t="s">
        <v>526</v>
      </c>
      <c r="T114" s="2" t="str">
        <f>IFERROR(VLOOKUP(S114,[1]坦克个性化设定!$B$18:$E$48,4,FALSE)&amp;VLOOKUP(S114,[1]坦克个性化细分!$I$3:$J$33,2,FALSE),"")</f>
        <v>T3低</v>
      </c>
      <c r="U114" s="2" t="s">
        <v>1726</v>
      </c>
      <c r="V114" s="2">
        <f t="shared" si="32"/>
        <v>7.2999999999999995E-2</v>
      </c>
      <c r="W114" s="33">
        <v>0.8</v>
      </c>
      <c r="X114" s="2">
        <f t="shared" si="33"/>
        <v>5.8400000000000001E-2</v>
      </c>
    </row>
    <row r="115" spans="2:25" x14ac:dyDescent="0.3">
      <c r="B115" s="2">
        <v>4</v>
      </c>
      <c r="C115" s="2" t="s">
        <v>644</v>
      </c>
      <c r="D115" s="2" t="str">
        <f>IFERROR(VLOOKUP(C115,[1]坦克个性化设定!$B$18:$E$48,4,FALSE)&amp;VLOOKUP(C115,[1]坦克个性化细分!$I$3:$J$33,2,FALSE),"")</f>
        <v>T2低</v>
      </c>
      <c r="E115" s="2" t="s">
        <v>1726</v>
      </c>
      <c r="F115" s="2">
        <f t="shared" si="28"/>
        <v>3.6999999999999998E-2</v>
      </c>
      <c r="G115" s="33">
        <v>3.1</v>
      </c>
      <c r="H115" s="2">
        <f t="shared" si="29"/>
        <v>0.1147</v>
      </c>
      <c r="J115" s="2">
        <v>4</v>
      </c>
      <c r="K115" s="2" t="s">
        <v>644</v>
      </c>
      <c r="L115" s="2" t="str">
        <f>IFERROR(VLOOKUP(K115,[1]坦克个性化设定!$B$18:$E$48,4,FALSE)&amp;VLOOKUP(K115,[1]坦克个性化细分!$I$3:$J$33,2,FALSE),"")</f>
        <v>T2低</v>
      </c>
      <c r="M115" s="2" t="s">
        <v>1726</v>
      </c>
      <c r="N115" s="2">
        <f t="shared" si="30"/>
        <v>3.6999999999999998E-2</v>
      </c>
      <c r="O115" s="33">
        <v>1</v>
      </c>
      <c r="P115" s="2">
        <f t="shared" si="31"/>
        <v>3.6999999999999998E-2</v>
      </c>
      <c r="R115" s="2">
        <v>5</v>
      </c>
      <c r="S115" s="2" t="s">
        <v>529</v>
      </c>
      <c r="T115" s="2" t="str">
        <f>IFERROR(VLOOKUP(S115,[1]坦克个性化设定!$B$18:$E$48,4,FALSE)&amp;VLOOKUP(S115,[1]坦克个性化细分!$I$3:$J$33,2,FALSE),"")</f>
        <v>T3低</v>
      </c>
      <c r="U115" s="2" t="s">
        <v>1726</v>
      </c>
      <c r="V115" s="2">
        <f t="shared" si="32"/>
        <v>7.2999999999999995E-2</v>
      </c>
      <c r="W115" s="33">
        <v>0.8</v>
      </c>
      <c r="X115" s="2">
        <f t="shared" si="33"/>
        <v>5.8400000000000001E-2</v>
      </c>
    </row>
    <row r="116" spans="2:25" x14ac:dyDescent="0.3">
      <c r="B116" s="2">
        <v>4</v>
      </c>
      <c r="C116" s="2" t="s">
        <v>607</v>
      </c>
      <c r="D116" s="2" t="str">
        <f>IFERROR(VLOOKUP(C116,[1]坦克个性化设定!$B$18:$E$48,4,FALSE)&amp;VLOOKUP(C116,[1]坦克个性化细分!$I$3:$J$33,2,FALSE),"")</f>
        <v>T2中</v>
      </c>
      <c r="E116" s="2" t="s">
        <v>1726</v>
      </c>
      <c r="F116" s="2">
        <f t="shared" si="28"/>
        <v>3.6999999999999998E-2</v>
      </c>
      <c r="G116" s="33">
        <v>1</v>
      </c>
      <c r="H116" s="2">
        <f t="shared" si="29"/>
        <v>3.6999999999999998E-2</v>
      </c>
      <c r="J116" s="2">
        <v>4</v>
      </c>
      <c r="K116" s="2" t="s">
        <v>607</v>
      </c>
      <c r="L116" s="2" t="str">
        <f>IFERROR(VLOOKUP(K116,[1]坦克个性化设定!$B$18:$E$48,4,FALSE)&amp;VLOOKUP(K116,[1]坦克个性化细分!$I$3:$J$33,2,FALSE),"")</f>
        <v>T2中</v>
      </c>
      <c r="M116" s="2" t="s">
        <v>1726</v>
      </c>
      <c r="N116" s="2">
        <f t="shared" si="30"/>
        <v>3.6999999999999998E-2</v>
      </c>
      <c r="O116" s="33">
        <v>1</v>
      </c>
      <c r="P116" s="2">
        <f t="shared" si="31"/>
        <v>3.6999999999999998E-2</v>
      </c>
      <c r="R116" s="2">
        <v>5</v>
      </c>
      <c r="S116" s="2" t="s">
        <v>611</v>
      </c>
      <c r="T116" s="2" t="str">
        <f>IFERROR(VLOOKUP(S116,[1]坦克个性化设定!$B$18:$E$48,4,FALSE)&amp;VLOOKUP(S116,[1]坦克个性化细分!$I$3:$J$33,2,FALSE),"")</f>
        <v>T3中</v>
      </c>
      <c r="U116" s="2" t="s">
        <v>1726</v>
      </c>
      <c r="V116" s="2">
        <f t="shared" si="32"/>
        <v>7.2999999999999995E-2</v>
      </c>
      <c r="W116" s="33">
        <v>0.5</v>
      </c>
      <c r="X116" s="2">
        <f t="shared" si="33"/>
        <v>3.6499999999999998E-2</v>
      </c>
    </row>
    <row r="117" spans="2:25" x14ac:dyDescent="0.3">
      <c r="B117" s="2">
        <v>4</v>
      </c>
      <c r="C117" s="2" t="s">
        <v>627</v>
      </c>
      <c r="D117" s="2" t="str">
        <f>IFERROR(VLOOKUP(C117,[1]坦克个性化设定!$B$18:$E$48,4,FALSE)&amp;VLOOKUP(C117,[1]坦克个性化细分!$I$3:$J$33,2,FALSE),"")</f>
        <v>T2中</v>
      </c>
      <c r="E117" s="2" t="s">
        <v>1726</v>
      </c>
      <c r="F117" s="2">
        <f t="shared" si="28"/>
        <v>3.6999999999999998E-2</v>
      </c>
      <c r="G117" s="33">
        <v>1</v>
      </c>
      <c r="H117" s="2">
        <f t="shared" si="29"/>
        <v>3.6999999999999998E-2</v>
      </c>
      <c r="J117" s="2">
        <v>4</v>
      </c>
      <c r="K117" s="2" t="s">
        <v>627</v>
      </c>
      <c r="L117" s="2" t="str">
        <f>IFERROR(VLOOKUP(K117,[1]坦克个性化设定!$B$18:$E$48,4,FALSE)&amp;VLOOKUP(K117,[1]坦克个性化细分!$I$3:$J$33,2,FALSE),"")</f>
        <v>T2中</v>
      </c>
      <c r="M117" s="2" t="s">
        <v>1726</v>
      </c>
      <c r="N117" s="2">
        <f t="shared" si="30"/>
        <v>3.6999999999999998E-2</v>
      </c>
      <c r="O117" s="33">
        <v>1</v>
      </c>
      <c r="P117" s="2">
        <f t="shared" si="31"/>
        <v>3.6999999999999998E-2</v>
      </c>
      <c r="R117" s="2">
        <v>5</v>
      </c>
      <c r="S117" s="2" t="s">
        <v>630</v>
      </c>
      <c r="T117" s="2" t="str">
        <f>IFERROR(VLOOKUP(S117,[1]坦克个性化设定!$B$18:$E$48,4,FALSE)&amp;VLOOKUP(S117,[1]坦克个性化细分!$I$3:$J$33,2,FALSE),"")</f>
        <v>T3中</v>
      </c>
      <c r="U117" s="2" t="s">
        <v>1726</v>
      </c>
      <c r="V117" s="2">
        <f t="shared" si="32"/>
        <v>7.2999999999999995E-2</v>
      </c>
      <c r="W117" s="33">
        <v>0.5</v>
      </c>
      <c r="X117" s="2">
        <f t="shared" si="33"/>
        <v>3.6499999999999998E-2</v>
      </c>
    </row>
    <row r="118" spans="2:25" x14ac:dyDescent="0.3">
      <c r="B118" s="2">
        <v>4</v>
      </c>
      <c r="C118" s="2" t="s">
        <v>646</v>
      </c>
      <c r="D118" s="2" t="str">
        <f>IFERROR(VLOOKUP(C118,[1]坦克个性化设定!$B$18:$E$48,4,FALSE)&amp;VLOOKUP(C118,[1]坦克个性化细分!$I$3:$J$33,2,FALSE),"")</f>
        <v>T2中</v>
      </c>
      <c r="E118" s="2" t="s">
        <v>1726</v>
      </c>
      <c r="F118" s="2">
        <f t="shared" si="28"/>
        <v>3.6999999999999998E-2</v>
      </c>
      <c r="G118" s="33">
        <v>1</v>
      </c>
      <c r="H118" s="2">
        <f t="shared" si="29"/>
        <v>3.6999999999999998E-2</v>
      </c>
      <c r="J118" s="2">
        <v>4</v>
      </c>
      <c r="K118" s="2" t="s">
        <v>646</v>
      </c>
      <c r="L118" s="2" t="str">
        <f>IFERROR(VLOOKUP(K118,[1]坦克个性化设定!$B$18:$E$48,4,FALSE)&amp;VLOOKUP(K118,[1]坦克个性化细分!$I$3:$J$33,2,FALSE),"")</f>
        <v>T2中</v>
      </c>
      <c r="M118" s="2" t="s">
        <v>1726</v>
      </c>
      <c r="N118" s="2">
        <f t="shared" si="30"/>
        <v>3.6999999999999998E-2</v>
      </c>
      <c r="O118" s="33">
        <v>1</v>
      </c>
      <c r="P118" s="2">
        <f t="shared" si="31"/>
        <v>3.6999999999999998E-2</v>
      </c>
      <c r="R118" s="2">
        <v>5</v>
      </c>
      <c r="S118" s="2" t="s">
        <v>649</v>
      </c>
      <c r="T118" s="2" t="str">
        <f>IFERROR(VLOOKUP(S118,[1]坦克个性化设定!$B$18:$E$48,4,FALSE)&amp;VLOOKUP(S118,[1]坦克个性化细分!$I$3:$J$33,2,FALSE),"")</f>
        <v>T3中</v>
      </c>
      <c r="U118" s="2" t="s">
        <v>1726</v>
      </c>
      <c r="V118" s="2">
        <f t="shared" si="32"/>
        <v>7.2999999999999995E-2</v>
      </c>
      <c r="W118" s="33">
        <v>0.5</v>
      </c>
      <c r="X118" s="2">
        <f t="shared" si="33"/>
        <v>3.6499999999999998E-2</v>
      </c>
    </row>
    <row r="121" spans="2:25" x14ac:dyDescent="0.3">
      <c r="B121" s="2" t="s">
        <v>377</v>
      </c>
      <c r="C121" s="2" t="s">
        <v>1783</v>
      </c>
      <c r="D121" s="2" t="s">
        <v>886</v>
      </c>
      <c r="E121" s="2" t="s">
        <v>3477</v>
      </c>
      <c r="F121" s="2" t="s">
        <v>3474</v>
      </c>
      <c r="G121" s="2" t="s">
        <v>371</v>
      </c>
      <c r="H121" s="2" t="s">
        <v>3478</v>
      </c>
      <c r="I121" s="1">
        <f>SUM(H122:H139)</f>
        <v>0.66599999999999993</v>
      </c>
      <c r="J121" s="2" t="s">
        <v>377</v>
      </c>
      <c r="K121" s="2" t="s">
        <v>1783</v>
      </c>
      <c r="L121" s="2" t="s">
        <v>886</v>
      </c>
      <c r="M121" s="2" t="s">
        <v>3477</v>
      </c>
      <c r="N121" s="2" t="s">
        <v>3474</v>
      </c>
      <c r="O121" s="2" t="s">
        <v>371</v>
      </c>
      <c r="P121" s="2" t="s">
        <v>3478</v>
      </c>
      <c r="Q121" s="1">
        <f>SUM(P122:P139)</f>
        <v>0.66599999999999993</v>
      </c>
      <c r="R121" s="2" t="s">
        <v>377</v>
      </c>
      <c r="S121" s="2" t="s">
        <v>1783</v>
      </c>
      <c r="T121" s="2" t="s">
        <v>886</v>
      </c>
      <c r="U121" s="2" t="s">
        <v>3477</v>
      </c>
      <c r="V121" s="2" t="s">
        <v>3474</v>
      </c>
      <c r="W121" s="2" t="s">
        <v>371</v>
      </c>
      <c r="X121" s="2" t="s">
        <v>3478</v>
      </c>
      <c r="Y121" s="1">
        <f>SUM(X122:X130)</f>
        <v>0.65700000000000003</v>
      </c>
    </row>
    <row r="122" spans="2:25" x14ac:dyDescent="0.3">
      <c r="B122" s="2">
        <v>5</v>
      </c>
      <c r="C122" s="2" t="s">
        <v>607</v>
      </c>
      <c r="D122" s="2" t="str">
        <f>IFERROR(VLOOKUP(C122,[1]坦克个性化设定!$B$18:$E$48,4,FALSE)&amp;VLOOKUP(C122,[1]坦克个性化细分!$I$3:$J$33,2,FALSE),"")</f>
        <v>T2中</v>
      </c>
      <c r="E122" s="2" t="s">
        <v>320</v>
      </c>
      <c r="F122" s="2">
        <f t="shared" ref="F122:F139" si="34">$E$69</f>
        <v>3.6999999999999998E-2</v>
      </c>
      <c r="G122" s="33">
        <v>0.8</v>
      </c>
      <c r="H122" s="2">
        <f t="shared" ref="H122:H139" si="35">F122*G122</f>
        <v>2.9600000000000001E-2</v>
      </c>
      <c r="J122" s="2">
        <v>5</v>
      </c>
      <c r="K122" s="2" t="s">
        <v>607</v>
      </c>
      <c r="L122" s="2" t="str">
        <f>IFERROR(VLOOKUP(K122,[1]坦克个性化设定!$B$18:$E$48,4,FALSE)&amp;VLOOKUP(K122,[1]坦克个性化细分!$I$3:$J$33,2,FALSE),"")</f>
        <v>T2中</v>
      </c>
      <c r="M122" s="2" t="s">
        <v>320</v>
      </c>
      <c r="N122" s="2">
        <f t="shared" ref="N122:N139" si="36">$E$69</f>
        <v>3.6999999999999998E-2</v>
      </c>
      <c r="O122" s="33">
        <v>1.6</v>
      </c>
      <c r="P122" s="2">
        <f t="shared" ref="P122:P139" si="37">N122*O122</f>
        <v>5.9200000000000003E-2</v>
      </c>
      <c r="R122" s="2">
        <v>6</v>
      </c>
      <c r="S122" s="2" t="s">
        <v>607</v>
      </c>
      <c r="T122" s="2" t="str">
        <f>IFERROR(VLOOKUP(S122,[1]坦克个性化设定!$B$18:$E$48,4,FALSE)&amp;VLOOKUP(S122,[1]坦克个性化细分!$I$3:$J$33,2,FALSE),"")</f>
        <v>T2中</v>
      </c>
      <c r="U122" s="2" t="s">
        <v>1726</v>
      </c>
      <c r="V122" s="2">
        <f t="shared" ref="V122:V130" si="38">$E$70</f>
        <v>7.2999999999999995E-2</v>
      </c>
      <c r="W122" s="33">
        <v>1.2</v>
      </c>
      <c r="X122" s="2">
        <f>V122*W122</f>
        <v>8.7599999999999997E-2</v>
      </c>
    </row>
    <row r="123" spans="2:25" x14ac:dyDescent="0.3">
      <c r="B123" s="2">
        <v>5</v>
      </c>
      <c r="C123" s="2" t="s">
        <v>627</v>
      </c>
      <c r="D123" s="2" t="str">
        <f>IFERROR(VLOOKUP(C123,[1]坦克个性化设定!$B$18:$E$48,4,FALSE)&amp;VLOOKUP(C123,[1]坦克个性化细分!$I$3:$J$33,2,FALSE),"")</f>
        <v>T2中</v>
      </c>
      <c r="E123" s="2" t="s">
        <v>320</v>
      </c>
      <c r="F123" s="2">
        <f t="shared" si="34"/>
        <v>3.6999999999999998E-2</v>
      </c>
      <c r="G123" s="33">
        <v>0.8</v>
      </c>
      <c r="H123" s="2">
        <f t="shared" si="35"/>
        <v>2.9600000000000001E-2</v>
      </c>
      <c r="J123" s="2">
        <v>5</v>
      </c>
      <c r="K123" s="2" t="s">
        <v>627</v>
      </c>
      <c r="L123" s="2" t="str">
        <f>IFERROR(VLOOKUP(K123,[1]坦克个性化设定!$B$18:$E$48,4,FALSE)&amp;VLOOKUP(K123,[1]坦克个性化细分!$I$3:$J$33,2,FALSE),"")</f>
        <v>T2中</v>
      </c>
      <c r="M123" s="2" t="s">
        <v>320</v>
      </c>
      <c r="N123" s="2">
        <f t="shared" si="36"/>
        <v>3.6999999999999998E-2</v>
      </c>
      <c r="O123" s="33">
        <v>1.6</v>
      </c>
      <c r="P123" s="2">
        <f t="shared" si="37"/>
        <v>5.9200000000000003E-2</v>
      </c>
      <c r="R123" s="2">
        <v>6</v>
      </c>
      <c r="S123" s="2" t="s">
        <v>627</v>
      </c>
      <c r="T123" s="2" t="str">
        <f>IFERROR(VLOOKUP(S123,[1]坦克个性化设定!$B$18:$E$48,4,FALSE)&amp;VLOOKUP(S123,[1]坦克个性化细分!$I$3:$J$33,2,FALSE),"")</f>
        <v>T2中</v>
      </c>
      <c r="U123" s="2" t="s">
        <v>1726</v>
      </c>
      <c r="V123" s="2">
        <f t="shared" si="38"/>
        <v>7.2999999999999995E-2</v>
      </c>
      <c r="W123" s="33">
        <v>1.2</v>
      </c>
      <c r="X123" s="2">
        <f>V123*W123</f>
        <v>8.7599999999999997E-2</v>
      </c>
    </row>
    <row r="124" spans="2:25" x14ac:dyDescent="0.3">
      <c r="B124" s="2">
        <v>5</v>
      </c>
      <c r="C124" s="2" t="s">
        <v>646</v>
      </c>
      <c r="D124" s="2" t="str">
        <f>IFERROR(VLOOKUP(C124,[1]坦克个性化设定!$B$18:$E$48,4,FALSE)&amp;VLOOKUP(C124,[1]坦克个性化细分!$I$3:$J$33,2,FALSE),"")</f>
        <v>T2中</v>
      </c>
      <c r="E124" s="2" t="s">
        <v>320</v>
      </c>
      <c r="F124" s="2">
        <f t="shared" si="34"/>
        <v>3.6999999999999998E-2</v>
      </c>
      <c r="G124" s="33">
        <v>0.8</v>
      </c>
      <c r="H124" s="2">
        <f t="shared" si="35"/>
        <v>2.9600000000000001E-2</v>
      </c>
      <c r="J124" s="2">
        <v>5</v>
      </c>
      <c r="K124" s="2" t="s">
        <v>646</v>
      </c>
      <c r="L124" s="2" t="str">
        <f>IFERROR(VLOOKUP(K124,[1]坦克个性化设定!$B$18:$E$48,4,FALSE)&amp;VLOOKUP(K124,[1]坦克个性化细分!$I$3:$J$33,2,FALSE),"")</f>
        <v>T2中</v>
      </c>
      <c r="M124" s="2" t="s">
        <v>320</v>
      </c>
      <c r="N124" s="2">
        <f t="shared" si="36"/>
        <v>3.6999999999999998E-2</v>
      </c>
      <c r="O124" s="33">
        <v>1.6</v>
      </c>
      <c r="P124" s="2">
        <f t="shared" si="37"/>
        <v>5.9200000000000003E-2</v>
      </c>
      <c r="R124" s="2">
        <v>6</v>
      </c>
      <c r="S124" s="2" t="s">
        <v>646</v>
      </c>
      <c r="T124" s="2" t="str">
        <f>IFERROR(VLOOKUP(S124,[1]坦克个性化设定!$B$18:$E$48,4,FALSE)&amp;VLOOKUP(S124,[1]坦克个性化细分!$I$3:$J$33,2,FALSE),"")</f>
        <v>T2中</v>
      </c>
      <c r="U124" s="2" t="s">
        <v>1726</v>
      </c>
      <c r="V124" s="2">
        <f t="shared" si="38"/>
        <v>7.2999999999999995E-2</v>
      </c>
      <c r="W124" s="33">
        <v>1.2</v>
      </c>
      <c r="X124" s="2">
        <f>V124*W124</f>
        <v>8.7599999999999997E-2</v>
      </c>
    </row>
    <row r="125" spans="2:25" x14ac:dyDescent="0.3">
      <c r="B125" s="2">
        <v>5</v>
      </c>
      <c r="C125" s="2" t="s">
        <v>522</v>
      </c>
      <c r="D125" s="2" t="str">
        <f>IFERROR(VLOOKUP(C125,[1]坦克个性化设定!$B$18:$E$48,4,FALSE)&amp;VLOOKUP(C125,[1]坦克个性化细分!$I$3:$J$33,2,FALSE),"")</f>
        <v>T3低</v>
      </c>
      <c r="E125" s="2" t="s">
        <v>320</v>
      </c>
      <c r="F125" s="2">
        <f t="shared" si="34"/>
        <v>3.6999999999999998E-2</v>
      </c>
      <c r="G125" s="33">
        <v>1.2</v>
      </c>
      <c r="H125" s="2">
        <f t="shared" si="35"/>
        <v>4.4399999999999995E-2</v>
      </c>
      <c r="J125" s="2">
        <v>5</v>
      </c>
      <c r="K125" s="2" t="s">
        <v>522</v>
      </c>
      <c r="L125" s="2" t="str">
        <f>IFERROR(VLOOKUP(K125,[1]坦克个性化设定!$B$18:$E$48,4,FALSE)&amp;VLOOKUP(K125,[1]坦克个性化细分!$I$3:$J$33,2,FALSE),"")</f>
        <v>T3低</v>
      </c>
      <c r="M125" s="2" t="s">
        <v>320</v>
      </c>
      <c r="N125" s="2">
        <f t="shared" si="36"/>
        <v>3.6999999999999998E-2</v>
      </c>
      <c r="O125" s="33">
        <v>1.2</v>
      </c>
      <c r="P125" s="2">
        <f t="shared" si="37"/>
        <v>4.4399999999999995E-2</v>
      </c>
      <c r="R125" s="2">
        <v>6</v>
      </c>
      <c r="S125" s="2" t="s">
        <v>522</v>
      </c>
      <c r="T125" s="2" t="str">
        <f>IFERROR(VLOOKUP(S125,[1]坦克个性化设定!$B$18:$E$48,4,FALSE)&amp;VLOOKUP(S125,[1]坦克个性化细分!$I$3:$J$33,2,FALSE),"")</f>
        <v>T3低</v>
      </c>
      <c r="U125" s="2" t="s">
        <v>1726</v>
      </c>
      <c r="V125" s="2">
        <f t="shared" si="38"/>
        <v>7.2999999999999995E-2</v>
      </c>
      <c r="W125" s="33">
        <v>1</v>
      </c>
      <c r="X125" s="2">
        <f t="shared" ref="X125:X130" si="39">V125*W125</f>
        <v>7.2999999999999995E-2</v>
      </c>
    </row>
    <row r="126" spans="2:25" x14ac:dyDescent="0.3">
      <c r="B126" s="2">
        <v>5</v>
      </c>
      <c r="C126" s="2" t="s">
        <v>526</v>
      </c>
      <c r="D126" s="2" t="str">
        <f>IFERROR(VLOOKUP(C126,[1]坦克个性化设定!$B$18:$E$48,4,FALSE)&amp;VLOOKUP(C126,[1]坦克个性化细分!$I$3:$J$33,2,FALSE),"")</f>
        <v>T3低</v>
      </c>
      <c r="E126" s="2" t="s">
        <v>320</v>
      </c>
      <c r="F126" s="2">
        <f t="shared" si="34"/>
        <v>3.6999999999999998E-2</v>
      </c>
      <c r="G126" s="33">
        <v>1.2</v>
      </c>
      <c r="H126" s="2">
        <f t="shared" si="35"/>
        <v>4.4399999999999995E-2</v>
      </c>
      <c r="J126" s="2">
        <v>5</v>
      </c>
      <c r="K126" s="2" t="s">
        <v>526</v>
      </c>
      <c r="L126" s="2" t="str">
        <f>IFERROR(VLOOKUP(K126,[1]坦克个性化设定!$B$18:$E$48,4,FALSE)&amp;VLOOKUP(K126,[1]坦克个性化细分!$I$3:$J$33,2,FALSE),"")</f>
        <v>T3低</v>
      </c>
      <c r="M126" s="2" t="s">
        <v>320</v>
      </c>
      <c r="N126" s="2">
        <f t="shared" si="36"/>
        <v>3.6999999999999998E-2</v>
      </c>
      <c r="O126" s="33">
        <v>1.2</v>
      </c>
      <c r="P126" s="2">
        <f t="shared" si="37"/>
        <v>4.4399999999999995E-2</v>
      </c>
      <c r="R126" s="2">
        <v>6</v>
      </c>
      <c r="S126" s="2" t="s">
        <v>526</v>
      </c>
      <c r="T126" s="2" t="str">
        <f>IFERROR(VLOOKUP(S126,[1]坦克个性化设定!$B$18:$E$48,4,FALSE)&amp;VLOOKUP(S126,[1]坦克个性化细分!$I$3:$J$33,2,FALSE),"")</f>
        <v>T3低</v>
      </c>
      <c r="U126" s="2" t="s">
        <v>1726</v>
      </c>
      <c r="V126" s="2">
        <f t="shared" si="38"/>
        <v>7.2999999999999995E-2</v>
      </c>
      <c r="W126" s="33">
        <v>1</v>
      </c>
      <c r="X126" s="2">
        <f t="shared" si="39"/>
        <v>7.2999999999999995E-2</v>
      </c>
    </row>
    <row r="127" spans="2:25" x14ac:dyDescent="0.3">
      <c r="B127" s="2">
        <v>5</v>
      </c>
      <c r="C127" s="2" t="s">
        <v>529</v>
      </c>
      <c r="D127" s="2" t="str">
        <f>IFERROR(VLOOKUP(C127,[1]坦克个性化设定!$B$18:$E$48,4,FALSE)&amp;VLOOKUP(C127,[1]坦克个性化细分!$I$3:$J$33,2,FALSE),"")</f>
        <v>T3低</v>
      </c>
      <c r="E127" s="2" t="s">
        <v>320</v>
      </c>
      <c r="F127" s="2">
        <f t="shared" si="34"/>
        <v>3.6999999999999998E-2</v>
      </c>
      <c r="G127" s="33">
        <v>1.2</v>
      </c>
      <c r="H127" s="2">
        <f t="shared" si="35"/>
        <v>4.4399999999999995E-2</v>
      </c>
      <c r="J127" s="2">
        <v>5</v>
      </c>
      <c r="K127" s="2" t="s">
        <v>529</v>
      </c>
      <c r="L127" s="2" t="str">
        <f>IFERROR(VLOOKUP(K127,[1]坦克个性化设定!$B$18:$E$48,4,FALSE)&amp;VLOOKUP(K127,[1]坦克个性化细分!$I$3:$J$33,2,FALSE),"")</f>
        <v>T3低</v>
      </c>
      <c r="M127" s="2" t="s">
        <v>320</v>
      </c>
      <c r="N127" s="2">
        <f t="shared" si="36"/>
        <v>3.6999999999999998E-2</v>
      </c>
      <c r="O127" s="33">
        <v>1.2</v>
      </c>
      <c r="P127" s="2">
        <f t="shared" si="37"/>
        <v>4.4399999999999995E-2</v>
      </c>
      <c r="R127" s="2">
        <v>6</v>
      </c>
      <c r="S127" s="2" t="s">
        <v>529</v>
      </c>
      <c r="T127" s="2" t="str">
        <f>IFERROR(VLOOKUP(S127,[1]坦克个性化设定!$B$18:$E$48,4,FALSE)&amp;VLOOKUP(S127,[1]坦克个性化细分!$I$3:$J$33,2,FALSE),"")</f>
        <v>T3低</v>
      </c>
      <c r="U127" s="2" t="s">
        <v>1726</v>
      </c>
      <c r="V127" s="2">
        <f t="shared" si="38"/>
        <v>7.2999999999999995E-2</v>
      </c>
      <c r="W127" s="33">
        <v>1</v>
      </c>
      <c r="X127" s="2">
        <f t="shared" si="39"/>
        <v>7.2999999999999995E-2</v>
      </c>
    </row>
    <row r="128" spans="2:25" x14ac:dyDescent="0.3">
      <c r="B128" s="2">
        <v>5</v>
      </c>
      <c r="C128" s="2" t="s">
        <v>516</v>
      </c>
      <c r="D128" s="2" t="str">
        <f>IFERROR(VLOOKUP(C128,[1]坦克个性化设定!$B$18:$E$48,4,FALSE)&amp;VLOOKUP(C128,[1]坦克个性化细分!$I$3:$J$33,2,FALSE),"")</f>
        <v>T2低</v>
      </c>
      <c r="E128" s="2" t="s">
        <v>1726</v>
      </c>
      <c r="F128" s="2">
        <f t="shared" si="34"/>
        <v>3.6999999999999998E-2</v>
      </c>
      <c r="G128" s="33">
        <v>1</v>
      </c>
      <c r="H128" s="2">
        <f t="shared" si="35"/>
        <v>3.6999999999999998E-2</v>
      </c>
      <c r="J128" s="2">
        <v>5</v>
      </c>
      <c r="K128" s="2" t="s">
        <v>611</v>
      </c>
      <c r="L128" s="2" t="str">
        <f>IFERROR(VLOOKUP(K128,[1]坦克个性化设定!$B$18:$E$48,4,FALSE)&amp;VLOOKUP(K128,[1]坦克个性化细分!$I$3:$J$33,2,FALSE),"")</f>
        <v>T3中</v>
      </c>
      <c r="M128" s="2" t="s">
        <v>320</v>
      </c>
      <c r="N128" s="2">
        <f t="shared" si="36"/>
        <v>3.6999999999999998E-2</v>
      </c>
      <c r="O128" s="33">
        <v>1.2</v>
      </c>
      <c r="P128" s="2">
        <f t="shared" si="37"/>
        <v>4.4399999999999995E-2</v>
      </c>
      <c r="R128" s="2">
        <v>6</v>
      </c>
      <c r="S128" s="2" t="s">
        <v>611</v>
      </c>
      <c r="T128" s="2" t="str">
        <f>IFERROR(VLOOKUP(S128,[1]坦克个性化设定!$B$18:$E$48,4,FALSE)&amp;VLOOKUP(S128,[1]坦克个性化细分!$I$3:$J$33,2,FALSE),"")</f>
        <v>T3中</v>
      </c>
      <c r="U128" s="2" t="s">
        <v>1726</v>
      </c>
      <c r="V128" s="2">
        <f t="shared" si="38"/>
        <v>7.2999999999999995E-2</v>
      </c>
      <c r="W128" s="33">
        <v>0.8</v>
      </c>
      <c r="X128" s="2">
        <f t="shared" si="39"/>
        <v>5.8400000000000001E-2</v>
      </c>
    </row>
    <row r="129" spans="2:25" x14ac:dyDescent="0.3">
      <c r="B129" s="2">
        <v>5</v>
      </c>
      <c r="C129" s="2" t="s">
        <v>518</v>
      </c>
      <c r="D129" s="2" t="str">
        <f>IFERROR(VLOOKUP(C129,[1]坦克个性化设定!$B$18:$E$48,4,FALSE)&amp;VLOOKUP(C129,[1]坦克个性化细分!$I$3:$J$33,2,FALSE),"")</f>
        <v>T2低</v>
      </c>
      <c r="E129" s="2" t="s">
        <v>1726</v>
      </c>
      <c r="F129" s="2">
        <f t="shared" si="34"/>
        <v>3.6999999999999998E-2</v>
      </c>
      <c r="G129" s="33">
        <v>1</v>
      </c>
      <c r="H129" s="2">
        <f t="shared" si="35"/>
        <v>3.6999999999999998E-2</v>
      </c>
      <c r="J129" s="2">
        <v>5</v>
      </c>
      <c r="K129" s="2" t="s">
        <v>630</v>
      </c>
      <c r="L129" s="2" t="str">
        <f>IFERROR(VLOOKUP(K129,[1]坦克个性化设定!$B$18:$E$48,4,FALSE)&amp;VLOOKUP(K129,[1]坦克个性化细分!$I$3:$J$33,2,FALSE),"")</f>
        <v>T3中</v>
      </c>
      <c r="M129" s="2" t="s">
        <v>320</v>
      </c>
      <c r="N129" s="2">
        <f t="shared" si="36"/>
        <v>3.6999999999999998E-2</v>
      </c>
      <c r="O129" s="33">
        <v>1.2</v>
      </c>
      <c r="P129" s="2">
        <f t="shared" si="37"/>
        <v>4.4399999999999995E-2</v>
      </c>
      <c r="R129" s="2">
        <v>6</v>
      </c>
      <c r="S129" s="2" t="s">
        <v>630</v>
      </c>
      <c r="T129" s="2" t="str">
        <f>IFERROR(VLOOKUP(S129,[1]坦克个性化设定!$B$18:$E$48,4,FALSE)&amp;VLOOKUP(S129,[1]坦克个性化细分!$I$3:$J$33,2,FALSE),"")</f>
        <v>T3中</v>
      </c>
      <c r="U129" s="2" t="s">
        <v>1726</v>
      </c>
      <c r="V129" s="2">
        <f t="shared" si="38"/>
        <v>7.2999999999999995E-2</v>
      </c>
      <c r="W129" s="33">
        <v>0.8</v>
      </c>
      <c r="X129" s="2">
        <f t="shared" si="39"/>
        <v>5.8400000000000001E-2</v>
      </c>
    </row>
    <row r="130" spans="2:25" x14ac:dyDescent="0.3">
      <c r="B130" s="2">
        <v>5</v>
      </c>
      <c r="C130" s="2" t="s">
        <v>644</v>
      </c>
      <c r="D130" s="2" t="str">
        <f>IFERROR(VLOOKUP(C130,[1]坦克个性化设定!$B$18:$E$48,4,FALSE)&amp;VLOOKUP(C130,[1]坦克个性化细分!$I$3:$J$33,2,FALSE),"")</f>
        <v>T2低</v>
      </c>
      <c r="E130" s="2" t="s">
        <v>1726</v>
      </c>
      <c r="F130" s="2">
        <f t="shared" si="34"/>
        <v>3.6999999999999998E-2</v>
      </c>
      <c r="G130" s="33">
        <v>1</v>
      </c>
      <c r="H130" s="2">
        <f t="shared" si="35"/>
        <v>3.6999999999999998E-2</v>
      </c>
      <c r="J130" s="2">
        <v>5</v>
      </c>
      <c r="K130" s="2" t="s">
        <v>649</v>
      </c>
      <c r="L130" s="2" t="str">
        <f>IFERROR(VLOOKUP(K130,[1]坦克个性化设定!$B$18:$E$48,4,FALSE)&amp;VLOOKUP(K130,[1]坦克个性化细分!$I$3:$J$33,2,FALSE),"")</f>
        <v>T3中</v>
      </c>
      <c r="M130" s="2" t="s">
        <v>320</v>
      </c>
      <c r="N130" s="2">
        <f t="shared" si="36"/>
        <v>3.6999999999999998E-2</v>
      </c>
      <c r="O130" s="33">
        <v>1.2</v>
      </c>
      <c r="P130" s="2">
        <f t="shared" si="37"/>
        <v>4.4399999999999995E-2</v>
      </c>
      <c r="R130" s="2">
        <v>6</v>
      </c>
      <c r="S130" s="2" t="s">
        <v>649</v>
      </c>
      <c r="T130" s="2" t="str">
        <f>IFERROR(VLOOKUP(S130,[1]坦克个性化设定!$B$18:$E$48,4,FALSE)&amp;VLOOKUP(S130,[1]坦克个性化细分!$I$3:$J$33,2,FALSE),"")</f>
        <v>T3中</v>
      </c>
      <c r="U130" s="2" t="s">
        <v>1726</v>
      </c>
      <c r="V130" s="2">
        <f t="shared" si="38"/>
        <v>7.2999999999999995E-2</v>
      </c>
      <c r="W130" s="33">
        <v>0.8</v>
      </c>
      <c r="X130" s="2">
        <f t="shared" si="39"/>
        <v>5.8400000000000001E-2</v>
      </c>
    </row>
    <row r="131" spans="2:25" x14ac:dyDescent="0.3">
      <c r="B131" s="2">
        <v>5</v>
      </c>
      <c r="C131" s="2" t="s">
        <v>607</v>
      </c>
      <c r="D131" s="2" t="str">
        <f>IFERROR(VLOOKUP(C131,[1]坦克个性化设定!$B$18:$E$48,4,FALSE)&amp;VLOOKUP(C131,[1]坦克个性化细分!$I$3:$J$33,2,FALSE),"")</f>
        <v>T2中</v>
      </c>
      <c r="E131" s="2" t="s">
        <v>1726</v>
      </c>
      <c r="F131" s="2">
        <f t="shared" si="34"/>
        <v>3.6999999999999998E-2</v>
      </c>
      <c r="G131" s="33">
        <v>1</v>
      </c>
      <c r="H131" s="2">
        <f t="shared" si="35"/>
        <v>3.6999999999999998E-2</v>
      </c>
      <c r="J131" s="2">
        <v>5</v>
      </c>
      <c r="K131" s="2" t="s">
        <v>607</v>
      </c>
      <c r="L131" s="2" t="str">
        <f>IFERROR(VLOOKUP(K131,[1]坦克个性化设定!$B$18:$E$48,4,FALSE)&amp;VLOOKUP(K131,[1]坦克个性化细分!$I$3:$J$33,2,FALSE),"")</f>
        <v>T2中</v>
      </c>
      <c r="M131" s="2" t="s">
        <v>1726</v>
      </c>
      <c r="N131" s="2">
        <f t="shared" si="36"/>
        <v>3.6999999999999998E-2</v>
      </c>
      <c r="O131" s="33">
        <v>0.8</v>
      </c>
      <c r="P131" s="2">
        <f t="shared" si="37"/>
        <v>2.9600000000000001E-2</v>
      </c>
    </row>
    <row r="132" spans="2:25" x14ac:dyDescent="0.3">
      <c r="B132" s="2">
        <v>5</v>
      </c>
      <c r="C132" s="2" t="s">
        <v>627</v>
      </c>
      <c r="D132" s="2" t="str">
        <f>IFERROR(VLOOKUP(C132,[1]坦克个性化设定!$B$18:$E$48,4,FALSE)&amp;VLOOKUP(C132,[1]坦克个性化细分!$I$3:$J$33,2,FALSE),"")</f>
        <v>T2中</v>
      </c>
      <c r="E132" s="2" t="s">
        <v>1726</v>
      </c>
      <c r="F132" s="2">
        <f t="shared" si="34"/>
        <v>3.6999999999999998E-2</v>
      </c>
      <c r="G132" s="33">
        <v>1</v>
      </c>
      <c r="H132" s="2">
        <f t="shared" si="35"/>
        <v>3.6999999999999998E-2</v>
      </c>
      <c r="J132" s="2">
        <v>5</v>
      </c>
      <c r="K132" s="2" t="s">
        <v>627</v>
      </c>
      <c r="L132" s="2" t="str">
        <f>IFERROR(VLOOKUP(K132,[1]坦克个性化设定!$B$18:$E$48,4,FALSE)&amp;VLOOKUP(K132,[1]坦克个性化细分!$I$3:$J$33,2,FALSE),"")</f>
        <v>T2中</v>
      </c>
      <c r="M132" s="2" t="s">
        <v>1726</v>
      </c>
      <c r="N132" s="2">
        <f t="shared" si="36"/>
        <v>3.6999999999999998E-2</v>
      </c>
      <c r="O132" s="33">
        <v>0.8</v>
      </c>
      <c r="P132" s="2">
        <f t="shared" si="37"/>
        <v>2.9600000000000001E-2</v>
      </c>
    </row>
    <row r="133" spans="2:25" x14ac:dyDescent="0.3">
      <c r="B133" s="2">
        <v>5</v>
      </c>
      <c r="C133" s="2" t="s">
        <v>646</v>
      </c>
      <c r="D133" s="2" t="str">
        <f>IFERROR(VLOOKUP(C133,[1]坦克个性化设定!$B$18:$E$48,4,FALSE)&amp;VLOOKUP(C133,[1]坦克个性化细分!$I$3:$J$33,2,FALSE),"")</f>
        <v>T2中</v>
      </c>
      <c r="E133" s="2" t="s">
        <v>1726</v>
      </c>
      <c r="F133" s="2">
        <f t="shared" si="34"/>
        <v>3.6999999999999998E-2</v>
      </c>
      <c r="G133" s="33">
        <v>1</v>
      </c>
      <c r="H133" s="2">
        <f t="shared" si="35"/>
        <v>3.6999999999999998E-2</v>
      </c>
      <c r="J133" s="2">
        <v>5</v>
      </c>
      <c r="K133" s="2" t="s">
        <v>646</v>
      </c>
      <c r="L133" s="2" t="str">
        <f>IFERROR(VLOOKUP(K133,[1]坦克个性化设定!$B$18:$E$48,4,FALSE)&amp;VLOOKUP(K133,[1]坦克个性化细分!$I$3:$J$33,2,FALSE),"")</f>
        <v>T2中</v>
      </c>
      <c r="M133" s="2" t="s">
        <v>1726</v>
      </c>
      <c r="N133" s="2">
        <f t="shared" si="36"/>
        <v>3.6999999999999998E-2</v>
      </c>
      <c r="O133" s="33">
        <v>0.8</v>
      </c>
      <c r="P133" s="2">
        <f t="shared" si="37"/>
        <v>2.9600000000000001E-2</v>
      </c>
      <c r="R133" s="2" t="s">
        <v>377</v>
      </c>
      <c r="S133" s="2" t="s">
        <v>1783</v>
      </c>
      <c r="T133" s="2" t="s">
        <v>886</v>
      </c>
      <c r="U133" s="2" t="s">
        <v>3477</v>
      </c>
      <c r="V133" s="2" t="s">
        <v>3474</v>
      </c>
      <c r="W133" s="2" t="s">
        <v>371</v>
      </c>
      <c r="X133" s="2" t="s">
        <v>3478</v>
      </c>
      <c r="Y133" s="1">
        <f>SUM(X134:X141)</f>
        <v>0.65700000000000003</v>
      </c>
    </row>
    <row r="134" spans="2:25" x14ac:dyDescent="0.3">
      <c r="B134" s="2">
        <v>5</v>
      </c>
      <c r="C134" s="2" t="s">
        <v>522</v>
      </c>
      <c r="D134" s="2" t="str">
        <f>IFERROR(VLOOKUP(C134,[1]坦克个性化设定!$B$18:$E$48,4,FALSE)&amp;VLOOKUP(C134,[1]坦克个性化细分!$I$3:$J$33,2,FALSE),"")</f>
        <v>T3低</v>
      </c>
      <c r="E134" s="2" t="s">
        <v>1726</v>
      </c>
      <c r="F134" s="2">
        <f t="shared" si="34"/>
        <v>3.6999999999999998E-2</v>
      </c>
      <c r="G134" s="33">
        <v>1</v>
      </c>
      <c r="H134" s="2">
        <f t="shared" si="35"/>
        <v>3.6999999999999998E-2</v>
      </c>
      <c r="J134" s="2">
        <v>5</v>
      </c>
      <c r="K134" s="2" t="s">
        <v>522</v>
      </c>
      <c r="L134" s="2" t="str">
        <f>IFERROR(VLOOKUP(K134,[1]坦克个性化设定!$B$18:$E$48,4,FALSE)&amp;VLOOKUP(K134,[1]坦克个性化细分!$I$3:$J$33,2,FALSE),"")</f>
        <v>T3低</v>
      </c>
      <c r="M134" s="2" t="s">
        <v>1726</v>
      </c>
      <c r="N134" s="2">
        <f t="shared" si="36"/>
        <v>3.6999999999999998E-2</v>
      </c>
      <c r="O134" s="33">
        <v>0.6</v>
      </c>
      <c r="P134" s="2">
        <f t="shared" si="37"/>
        <v>2.2199999999999998E-2</v>
      </c>
      <c r="R134" s="2">
        <v>7</v>
      </c>
      <c r="S134" s="2" t="s">
        <v>522</v>
      </c>
      <c r="T134" s="2" t="str">
        <f>IFERROR(VLOOKUP(S134,[1]坦克个性化设定!$B$18:$E$48,4,FALSE)&amp;VLOOKUP(S134,[1]坦克个性化细分!$I$3:$J$33,2,FALSE),"")</f>
        <v>T3低</v>
      </c>
      <c r="U134" s="2" t="s">
        <v>1726</v>
      </c>
      <c r="V134" s="2">
        <f t="shared" ref="V134:V139" si="40">$E$70</f>
        <v>7.2999999999999995E-2</v>
      </c>
      <c r="W134" s="33">
        <v>1.8</v>
      </c>
      <c r="X134" s="2">
        <f t="shared" ref="X134:X139" si="41">V134*W134</f>
        <v>0.13139999999999999</v>
      </c>
    </row>
    <row r="135" spans="2:25" x14ac:dyDescent="0.3">
      <c r="B135" s="2">
        <v>5</v>
      </c>
      <c r="C135" s="2" t="s">
        <v>526</v>
      </c>
      <c r="D135" s="2" t="str">
        <f>IFERROR(VLOOKUP(C135,[1]坦克个性化设定!$B$18:$E$48,4,FALSE)&amp;VLOOKUP(C135,[1]坦克个性化细分!$I$3:$J$33,2,FALSE),"")</f>
        <v>T3低</v>
      </c>
      <c r="E135" s="2" t="s">
        <v>1726</v>
      </c>
      <c r="F135" s="2">
        <f t="shared" si="34"/>
        <v>3.6999999999999998E-2</v>
      </c>
      <c r="G135" s="33">
        <v>1</v>
      </c>
      <c r="H135" s="2">
        <f t="shared" si="35"/>
        <v>3.6999999999999998E-2</v>
      </c>
      <c r="J135" s="2">
        <v>5</v>
      </c>
      <c r="K135" s="2" t="s">
        <v>526</v>
      </c>
      <c r="L135" s="2" t="str">
        <f>IFERROR(VLOOKUP(K135,[1]坦克个性化设定!$B$18:$E$48,4,FALSE)&amp;VLOOKUP(K135,[1]坦克个性化细分!$I$3:$J$33,2,FALSE),"")</f>
        <v>T3低</v>
      </c>
      <c r="M135" s="2" t="s">
        <v>1726</v>
      </c>
      <c r="N135" s="2">
        <f t="shared" si="36"/>
        <v>3.6999999999999998E-2</v>
      </c>
      <c r="O135" s="33">
        <v>0.6</v>
      </c>
      <c r="P135" s="2">
        <f t="shared" si="37"/>
        <v>2.2199999999999998E-2</v>
      </c>
      <c r="R135" s="2">
        <v>7</v>
      </c>
      <c r="S135" s="2" t="s">
        <v>526</v>
      </c>
      <c r="T135" s="2" t="str">
        <f>IFERROR(VLOOKUP(S135,[1]坦克个性化设定!$B$18:$E$48,4,FALSE)&amp;VLOOKUP(S135,[1]坦克个性化细分!$I$3:$J$33,2,FALSE),"")</f>
        <v>T3低</v>
      </c>
      <c r="U135" s="2" t="s">
        <v>1726</v>
      </c>
      <c r="V135" s="2">
        <f t="shared" si="40"/>
        <v>7.2999999999999995E-2</v>
      </c>
      <c r="W135" s="33">
        <v>1.8</v>
      </c>
      <c r="X135" s="2">
        <f t="shared" si="41"/>
        <v>0.13139999999999999</v>
      </c>
    </row>
    <row r="136" spans="2:25" x14ac:dyDescent="0.3">
      <c r="B136" s="2">
        <v>5</v>
      </c>
      <c r="C136" s="2" t="s">
        <v>529</v>
      </c>
      <c r="D136" s="2" t="str">
        <f>IFERROR(VLOOKUP(C136,[1]坦克个性化设定!$B$18:$E$48,4,FALSE)&amp;VLOOKUP(C136,[1]坦克个性化细分!$I$3:$J$33,2,FALSE),"")</f>
        <v>T3低</v>
      </c>
      <c r="E136" s="2" t="s">
        <v>1726</v>
      </c>
      <c r="F136" s="2">
        <f t="shared" si="34"/>
        <v>3.6999999999999998E-2</v>
      </c>
      <c r="G136" s="33">
        <v>1</v>
      </c>
      <c r="H136" s="2">
        <f t="shared" si="35"/>
        <v>3.6999999999999998E-2</v>
      </c>
      <c r="J136" s="2">
        <v>5</v>
      </c>
      <c r="K136" s="2" t="s">
        <v>529</v>
      </c>
      <c r="L136" s="2" t="str">
        <f>IFERROR(VLOOKUP(K136,[1]坦克个性化设定!$B$18:$E$48,4,FALSE)&amp;VLOOKUP(K136,[1]坦克个性化细分!$I$3:$J$33,2,FALSE),"")</f>
        <v>T3低</v>
      </c>
      <c r="M136" s="2" t="s">
        <v>1726</v>
      </c>
      <c r="N136" s="2">
        <f t="shared" si="36"/>
        <v>3.6999999999999998E-2</v>
      </c>
      <c r="O136" s="33">
        <v>0.6</v>
      </c>
      <c r="P136" s="2">
        <f t="shared" si="37"/>
        <v>2.2199999999999998E-2</v>
      </c>
      <c r="R136" s="2">
        <v>7</v>
      </c>
      <c r="S136" s="2" t="s">
        <v>529</v>
      </c>
      <c r="T136" s="2" t="str">
        <f>IFERROR(VLOOKUP(S136,[1]坦克个性化设定!$B$18:$E$48,4,FALSE)&amp;VLOOKUP(S136,[1]坦克个性化细分!$I$3:$J$33,2,FALSE),"")</f>
        <v>T3低</v>
      </c>
      <c r="U136" s="2" t="s">
        <v>1726</v>
      </c>
      <c r="V136" s="2">
        <f t="shared" si="40"/>
        <v>7.2999999999999995E-2</v>
      </c>
      <c r="W136" s="33">
        <v>1.8</v>
      </c>
      <c r="X136" s="2">
        <f t="shared" si="41"/>
        <v>0.13139999999999999</v>
      </c>
    </row>
    <row r="137" spans="2:25" x14ac:dyDescent="0.3">
      <c r="B137" s="2">
        <v>5</v>
      </c>
      <c r="C137" s="2" t="s">
        <v>611</v>
      </c>
      <c r="D137" s="2" t="str">
        <f>IFERROR(VLOOKUP(C137,[1]坦克个性化设定!$B$18:$E$48,4,FALSE)&amp;VLOOKUP(C137,[1]坦克个性化细分!$I$3:$J$33,2,FALSE),"")</f>
        <v>T3中</v>
      </c>
      <c r="E137" s="2" t="s">
        <v>1726</v>
      </c>
      <c r="F137" s="2">
        <f t="shared" si="34"/>
        <v>3.6999999999999998E-2</v>
      </c>
      <c r="G137" s="33">
        <v>1</v>
      </c>
      <c r="H137" s="2">
        <f t="shared" si="35"/>
        <v>3.6999999999999998E-2</v>
      </c>
      <c r="J137" s="2">
        <v>5</v>
      </c>
      <c r="K137" s="2" t="s">
        <v>611</v>
      </c>
      <c r="L137" s="2" t="str">
        <f>IFERROR(VLOOKUP(K137,[1]坦克个性化设定!$B$18:$E$48,4,FALSE)&amp;VLOOKUP(K137,[1]坦克个性化细分!$I$3:$J$33,2,FALSE),"")</f>
        <v>T3中</v>
      </c>
      <c r="M137" s="2" t="s">
        <v>1726</v>
      </c>
      <c r="N137" s="2">
        <f t="shared" si="36"/>
        <v>3.6999999999999998E-2</v>
      </c>
      <c r="O137" s="33">
        <v>0.6</v>
      </c>
      <c r="P137" s="2">
        <f t="shared" si="37"/>
        <v>2.2199999999999998E-2</v>
      </c>
      <c r="R137" s="2">
        <v>7</v>
      </c>
      <c r="S137" s="2" t="s">
        <v>611</v>
      </c>
      <c r="T137" s="2" t="str">
        <f>IFERROR(VLOOKUP(S137,[1]坦克个性化设定!$B$18:$E$48,4,FALSE)&amp;VLOOKUP(S137,[1]坦克个性化细分!$I$3:$J$33,2,FALSE),"")</f>
        <v>T3中</v>
      </c>
      <c r="U137" s="2" t="s">
        <v>1726</v>
      </c>
      <c r="V137" s="2">
        <f t="shared" si="40"/>
        <v>7.2999999999999995E-2</v>
      </c>
      <c r="W137" s="33">
        <v>1.2</v>
      </c>
      <c r="X137" s="2">
        <f t="shared" si="41"/>
        <v>8.7599999999999997E-2</v>
      </c>
    </row>
    <row r="138" spans="2:25" x14ac:dyDescent="0.3">
      <c r="B138" s="2">
        <v>5</v>
      </c>
      <c r="C138" s="2" t="s">
        <v>630</v>
      </c>
      <c r="D138" s="2" t="str">
        <f>IFERROR(VLOOKUP(C138,[1]坦克个性化设定!$B$18:$E$48,4,FALSE)&amp;VLOOKUP(C138,[1]坦克个性化细分!$I$3:$J$33,2,FALSE),"")</f>
        <v>T3中</v>
      </c>
      <c r="E138" s="2" t="s">
        <v>1726</v>
      </c>
      <c r="F138" s="2">
        <f t="shared" si="34"/>
        <v>3.6999999999999998E-2</v>
      </c>
      <c r="G138" s="33">
        <v>1</v>
      </c>
      <c r="H138" s="2">
        <f t="shared" si="35"/>
        <v>3.6999999999999998E-2</v>
      </c>
      <c r="J138" s="2">
        <v>5</v>
      </c>
      <c r="K138" s="2" t="s">
        <v>630</v>
      </c>
      <c r="L138" s="2" t="str">
        <f>IFERROR(VLOOKUP(K138,[1]坦克个性化设定!$B$18:$E$48,4,FALSE)&amp;VLOOKUP(K138,[1]坦克个性化细分!$I$3:$J$33,2,FALSE),"")</f>
        <v>T3中</v>
      </c>
      <c r="M138" s="2" t="s">
        <v>1726</v>
      </c>
      <c r="N138" s="2">
        <f t="shared" si="36"/>
        <v>3.6999999999999998E-2</v>
      </c>
      <c r="O138" s="33">
        <v>0.6</v>
      </c>
      <c r="P138" s="2">
        <f t="shared" si="37"/>
        <v>2.2199999999999998E-2</v>
      </c>
      <c r="R138" s="2">
        <v>7</v>
      </c>
      <c r="S138" s="2" t="s">
        <v>630</v>
      </c>
      <c r="T138" s="2" t="str">
        <f>IFERROR(VLOOKUP(S138,[1]坦克个性化设定!$B$18:$E$48,4,FALSE)&amp;VLOOKUP(S138,[1]坦克个性化细分!$I$3:$J$33,2,FALSE),"")</f>
        <v>T3中</v>
      </c>
      <c r="U138" s="2" t="s">
        <v>1726</v>
      </c>
      <c r="V138" s="2">
        <f t="shared" si="40"/>
        <v>7.2999999999999995E-2</v>
      </c>
      <c r="W138" s="33">
        <v>1.2</v>
      </c>
      <c r="X138" s="2">
        <f t="shared" si="41"/>
        <v>8.7599999999999997E-2</v>
      </c>
    </row>
    <row r="139" spans="2:25" x14ac:dyDescent="0.3">
      <c r="B139" s="2">
        <v>5</v>
      </c>
      <c r="C139" s="2" t="s">
        <v>649</v>
      </c>
      <c r="D139" s="2" t="str">
        <f>IFERROR(VLOOKUP(C139,[1]坦克个性化设定!$B$18:$E$48,4,FALSE)&amp;VLOOKUP(C139,[1]坦克个性化细分!$I$3:$J$33,2,FALSE),"")</f>
        <v>T3中</v>
      </c>
      <c r="E139" s="2" t="s">
        <v>1726</v>
      </c>
      <c r="F139" s="2">
        <f t="shared" si="34"/>
        <v>3.6999999999999998E-2</v>
      </c>
      <c r="G139" s="33">
        <v>1</v>
      </c>
      <c r="H139" s="2">
        <f t="shared" si="35"/>
        <v>3.6999999999999998E-2</v>
      </c>
      <c r="J139" s="2">
        <v>5</v>
      </c>
      <c r="K139" s="2" t="s">
        <v>649</v>
      </c>
      <c r="L139" s="2" t="str">
        <f>IFERROR(VLOOKUP(K139,[1]坦克个性化设定!$B$18:$E$48,4,FALSE)&amp;VLOOKUP(K139,[1]坦克个性化细分!$I$3:$J$33,2,FALSE),"")</f>
        <v>T3中</v>
      </c>
      <c r="M139" s="2" t="s">
        <v>1726</v>
      </c>
      <c r="N139" s="2">
        <f t="shared" si="36"/>
        <v>3.6999999999999998E-2</v>
      </c>
      <c r="O139" s="33">
        <v>0.6</v>
      </c>
      <c r="P139" s="2">
        <f t="shared" si="37"/>
        <v>2.2199999999999998E-2</v>
      </c>
      <c r="R139" s="2">
        <v>7</v>
      </c>
      <c r="S139" s="2" t="s">
        <v>649</v>
      </c>
      <c r="T139" s="2" t="str">
        <f>IFERROR(VLOOKUP(S139,[1]坦克个性化设定!$B$18:$E$48,4,FALSE)&amp;VLOOKUP(S139,[1]坦克个性化细分!$I$3:$J$33,2,FALSE),"")</f>
        <v>T3中</v>
      </c>
      <c r="U139" s="2" t="s">
        <v>1726</v>
      </c>
      <c r="V139" s="2">
        <f t="shared" si="40"/>
        <v>7.2999999999999995E-2</v>
      </c>
      <c r="W139" s="33">
        <v>1.2</v>
      </c>
      <c r="X139" s="2">
        <f t="shared" si="41"/>
        <v>8.7599999999999997E-2</v>
      </c>
    </row>
    <row r="142" spans="2:25" x14ac:dyDescent="0.3">
      <c r="B142" s="2" t="s">
        <v>377</v>
      </c>
      <c r="C142" s="2" t="s">
        <v>1783</v>
      </c>
      <c r="D142" s="2" t="s">
        <v>886</v>
      </c>
      <c r="E142" s="2" t="s">
        <v>3477</v>
      </c>
      <c r="F142" s="2" t="s">
        <v>3474</v>
      </c>
      <c r="G142" s="2" t="s">
        <v>371</v>
      </c>
      <c r="H142" s="2" t="s">
        <v>3478</v>
      </c>
      <c r="I142" s="1">
        <f>SUM(H143:H157)</f>
        <v>0.66600000000000004</v>
      </c>
      <c r="J142" s="2" t="s">
        <v>377</v>
      </c>
      <c r="K142" s="2" t="s">
        <v>1783</v>
      </c>
      <c r="L142" s="2" t="s">
        <v>886</v>
      </c>
      <c r="M142" s="2" t="s">
        <v>3477</v>
      </c>
      <c r="N142" s="2" t="s">
        <v>3474</v>
      </c>
      <c r="O142" s="2" t="s">
        <v>371</v>
      </c>
      <c r="P142" s="2" t="s">
        <v>3478</v>
      </c>
      <c r="Q142" s="1">
        <f>SUM(P143:P154)</f>
        <v>0.59939999999999993</v>
      </c>
      <c r="R142" s="2" t="s">
        <v>377</v>
      </c>
      <c r="S142" s="2" t="s">
        <v>1783</v>
      </c>
      <c r="T142" s="2" t="s">
        <v>886</v>
      </c>
      <c r="U142" s="2" t="s">
        <v>3477</v>
      </c>
      <c r="V142" s="2" t="s">
        <v>3474</v>
      </c>
      <c r="W142" s="2" t="s">
        <v>371</v>
      </c>
      <c r="X142" s="2" t="s">
        <v>3478</v>
      </c>
      <c r="Y142" s="1">
        <f>SUM(X143:X150)</f>
        <v>0.65700000000000003</v>
      </c>
    </row>
    <row r="143" spans="2:25" x14ac:dyDescent="0.3">
      <c r="B143" s="2">
        <v>6</v>
      </c>
      <c r="C143" s="2" t="s">
        <v>522</v>
      </c>
      <c r="D143" s="2" t="str">
        <f>IFERROR(VLOOKUP(C143,[1]坦克个性化设定!$B$18:$E$48,4,FALSE)&amp;VLOOKUP(C143,[1]坦克个性化细分!$I$3:$J$33,2,FALSE),"")</f>
        <v>T3低</v>
      </c>
      <c r="E143" s="2" t="s">
        <v>320</v>
      </c>
      <c r="F143" s="2">
        <f t="shared" ref="F143:F157" si="42">$E$69</f>
        <v>3.6999999999999998E-2</v>
      </c>
      <c r="G143" s="33">
        <v>1.6</v>
      </c>
      <c r="H143" s="2">
        <f t="shared" ref="H143:H157" si="43">F143*G143</f>
        <v>5.9200000000000003E-2</v>
      </c>
      <c r="J143" s="2">
        <v>6</v>
      </c>
      <c r="K143" s="2" t="s">
        <v>522</v>
      </c>
      <c r="L143" s="2" t="str">
        <f>IFERROR(VLOOKUP(K143,[1]坦克个性化设定!$B$18:$E$48,4,FALSE)&amp;VLOOKUP(K143,[1]坦克个性化细分!$I$3:$J$33,2,FALSE),"")</f>
        <v>T3低</v>
      </c>
      <c r="M143" s="2" t="s">
        <v>320</v>
      </c>
      <c r="N143" s="2">
        <f t="shared" ref="N143:N154" si="44">$E$69</f>
        <v>3.6999999999999998E-2</v>
      </c>
      <c r="O143" s="33">
        <v>1.8</v>
      </c>
      <c r="P143" s="2">
        <f t="shared" ref="P143:P154" si="45">N143*O143</f>
        <v>6.6599999999999993E-2</v>
      </c>
      <c r="R143" s="2">
        <v>8</v>
      </c>
      <c r="S143" s="2" t="s">
        <v>611</v>
      </c>
      <c r="T143" s="2" t="str">
        <f>IFERROR(VLOOKUP(S143,[1]坦克个性化设定!$B$18:$E$48,4,FALSE)&amp;VLOOKUP(S143,[1]坦克个性化细分!$I$3:$J$33,2,FALSE),"")</f>
        <v>T3中</v>
      </c>
      <c r="U143" s="2" t="s">
        <v>1726</v>
      </c>
      <c r="V143" s="2">
        <f t="shared" ref="V143:V150" si="46">$E$70</f>
        <v>7.2999999999999995E-2</v>
      </c>
      <c r="W143" s="33">
        <v>1.4</v>
      </c>
      <c r="X143" s="2">
        <f t="shared" ref="X143:X150" si="47">V143*W143</f>
        <v>0.10219999999999999</v>
      </c>
    </row>
    <row r="144" spans="2:25" x14ac:dyDescent="0.3">
      <c r="B144" s="2">
        <v>6</v>
      </c>
      <c r="C144" s="2" t="s">
        <v>526</v>
      </c>
      <c r="D144" s="2" t="str">
        <f>IFERROR(VLOOKUP(C144,[1]坦克个性化设定!$B$18:$E$48,4,FALSE)&amp;VLOOKUP(C144,[1]坦克个性化细分!$I$3:$J$33,2,FALSE),"")</f>
        <v>T3低</v>
      </c>
      <c r="E144" s="2" t="s">
        <v>320</v>
      </c>
      <c r="F144" s="2">
        <f t="shared" si="42"/>
        <v>3.6999999999999998E-2</v>
      </c>
      <c r="G144" s="33">
        <v>1.6</v>
      </c>
      <c r="H144" s="2">
        <f t="shared" si="43"/>
        <v>5.9200000000000003E-2</v>
      </c>
      <c r="J144" s="2">
        <v>6</v>
      </c>
      <c r="K144" s="2" t="s">
        <v>526</v>
      </c>
      <c r="L144" s="2" t="str">
        <f>IFERROR(VLOOKUP(K144,[1]坦克个性化设定!$B$18:$E$48,4,FALSE)&amp;VLOOKUP(K144,[1]坦克个性化细分!$I$3:$J$33,2,FALSE),"")</f>
        <v>T3低</v>
      </c>
      <c r="M144" s="2" t="s">
        <v>320</v>
      </c>
      <c r="N144" s="2">
        <f t="shared" si="44"/>
        <v>3.6999999999999998E-2</v>
      </c>
      <c r="O144" s="33">
        <v>1.8</v>
      </c>
      <c r="P144" s="2">
        <f t="shared" si="45"/>
        <v>6.6599999999999993E-2</v>
      </c>
      <c r="R144" s="2">
        <v>8</v>
      </c>
      <c r="S144" s="2" t="s">
        <v>630</v>
      </c>
      <c r="T144" s="2" t="str">
        <f>IFERROR(VLOOKUP(S144,[1]坦克个性化设定!$B$18:$E$48,4,FALSE)&amp;VLOOKUP(S144,[1]坦克个性化细分!$I$3:$J$33,2,FALSE),"")</f>
        <v>T3中</v>
      </c>
      <c r="U144" s="2" t="s">
        <v>1726</v>
      </c>
      <c r="V144" s="2">
        <f t="shared" si="46"/>
        <v>7.2999999999999995E-2</v>
      </c>
      <c r="W144" s="33">
        <v>1.4</v>
      </c>
      <c r="X144" s="2">
        <f t="shared" si="47"/>
        <v>0.10219999999999999</v>
      </c>
    </row>
    <row r="145" spans="2:25" x14ac:dyDescent="0.3">
      <c r="B145" s="2">
        <v>6</v>
      </c>
      <c r="C145" s="2" t="s">
        <v>529</v>
      </c>
      <c r="D145" s="2" t="str">
        <f>IFERROR(VLOOKUP(C145,[1]坦克个性化设定!$B$18:$E$48,4,FALSE)&amp;VLOOKUP(C145,[1]坦克个性化细分!$I$3:$J$33,2,FALSE),"")</f>
        <v>T3低</v>
      </c>
      <c r="E145" s="2" t="s">
        <v>320</v>
      </c>
      <c r="F145" s="2">
        <f t="shared" si="42"/>
        <v>3.6999999999999998E-2</v>
      </c>
      <c r="G145" s="33">
        <v>1.6</v>
      </c>
      <c r="H145" s="2">
        <f t="shared" si="43"/>
        <v>5.9200000000000003E-2</v>
      </c>
      <c r="J145" s="2">
        <v>6</v>
      </c>
      <c r="K145" s="2" t="s">
        <v>529</v>
      </c>
      <c r="L145" s="2" t="str">
        <f>IFERROR(VLOOKUP(K145,[1]坦克个性化设定!$B$18:$E$48,4,FALSE)&amp;VLOOKUP(K145,[1]坦克个性化细分!$I$3:$J$33,2,FALSE),"")</f>
        <v>T3低</v>
      </c>
      <c r="M145" s="2" t="s">
        <v>320</v>
      </c>
      <c r="N145" s="2">
        <f t="shared" si="44"/>
        <v>3.6999999999999998E-2</v>
      </c>
      <c r="O145" s="33">
        <v>1.8</v>
      </c>
      <c r="P145" s="2">
        <f t="shared" si="45"/>
        <v>6.6599999999999993E-2</v>
      </c>
      <c r="R145" s="2">
        <v>8</v>
      </c>
      <c r="S145" s="2" t="s">
        <v>649</v>
      </c>
      <c r="T145" s="2" t="str">
        <f>IFERROR(VLOOKUP(S145,[1]坦克个性化设定!$B$18:$E$48,4,FALSE)&amp;VLOOKUP(S145,[1]坦克个性化细分!$I$3:$J$33,2,FALSE),"")</f>
        <v>T3中</v>
      </c>
      <c r="U145" s="2" t="s">
        <v>1726</v>
      </c>
      <c r="V145" s="2">
        <f t="shared" si="46"/>
        <v>7.2999999999999995E-2</v>
      </c>
      <c r="W145" s="33">
        <v>1.4</v>
      </c>
      <c r="X145" s="2">
        <f t="shared" si="47"/>
        <v>0.10219999999999999</v>
      </c>
    </row>
    <row r="146" spans="2:25" x14ac:dyDescent="0.3">
      <c r="B146" s="2">
        <v>6</v>
      </c>
      <c r="C146" s="2" t="s">
        <v>516</v>
      </c>
      <c r="D146" s="2" t="str">
        <f>IFERROR(VLOOKUP(C146,[1]坦克个性化设定!$B$18:$E$48,4,FALSE)&amp;VLOOKUP(C146,[1]坦克个性化细分!$I$3:$J$33,2,FALSE),"")</f>
        <v>T2低</v>
      </c>
      <c r="E146" s="2" t="s">
        <v>1726</v>
      </c>
      <c r="F146" s="2">
        <f t="shared" si="42"/>
        <v>3.6999999999999998E-2</v>
      </c>
      <c r="G146" s="33">
        <v>1.4</v>
      </c>
      <c r="H146" s="2">
        <f t="shared" si="43"/>
        <v>5.1799999999999992E-2</v>
      </c>
      <c r="J146" s="2">
        <v>6</v>
      </c>
      <c r="K146" s="2" t="s">
        <v>611</v>
      </c>
      <c r="L146" s="2" t="str">
        <f>IFERROR(VLOOKUP(K146,[1]坦克个性化设定!$B$18:$E$48,4,FALSE)&amp;VLOOKUP(K146,[1]坦克个性化细分!$I$3:$J$33,2,FALSE),"")</f>
        <v>T3中</v>
      </c>
      <c r="M146" s="2" t="s">
        <v>320</v>
      </c>
      <c r="N146" s="2">
        <f t="shared" si="44"/>
        <v>3.6999999999999998E-2</v>
      </c>
      <c r="O146" s="33">
        <v>1.8</v>
      </c>
      <c r="P146" s="2">
        <f t="shared" si="45"/>
        <v>6.6599999999999993E-2</v>
      </c>
      <c r="R146" s="2">
        <v>8</v>
      </c>
      <c r="S146" s="2" t="s">
        <v>615</v>
      </c>
      <c r="T146" s="2" t="str">
        <f>IFERROR(VLOOKUP(S146,[1]坦克个性化设定!$B$18:$E$48,4,FALSE)&amp;VLOOKUP(S146,[1]坦克个性化细分!$I$3:$J$33,2,FALSE),"")</f>
        <v>T4低</v>
      </c>
      <c r="U146" s="2" t="s">
        <v>1726</v>
      </c>
      <c r="V146" s="2">
        <f t="shared" si="46"/>
        <v>7.2999999999999995E-2</v>
      </c>
      <c r="W146" s="33">
        <v>0.96</v>
      </c>
      <c r="X146" s="2">
        <f t="shared" si="47"/>
        <v>7.007999999999999E-2</v>
      </c>
    </row>
    <row r="147" spans="2:25" x14ac:dyDescent="0.3">
      <c r="B147" s="2">
        <v>6</v>
      </c>
      <c r="C147" s="2" t="s">
        <v>518</v>
      </c>
      <c r="D147" s="2" t="str">
        <f>IFERROR(VLOOKUP(C147,[1]坦克个性化设定!$B$18:$E$48,4,FALSE)&amp;VLOOKUP(C147,[1]坦克个性化细分!$I$3:$J$33,2,FALSE),"")</f>
        <v>T2低</v>
      </c>
      <c r="E147" s="2" t="s">
        <v>1726</v>
      </c>
      <c r="F147" s="2">
        <f t="shared" si="42"/>
        <v>3.6999999999999998E-2</v>
      </c>
      <c r="G147" s="33">
        <v>1.4</v>
      </c>
      <c r="H147" s="2">
        <f t="shared" si="43"/>
        <v>5.1799999999999992E-2</v>
      </c>
      <c r="J147" s="2">
        <v>6</v>
      </c>
      <c r="K147" s="2" t="s">
        <v>630</v>
      </c>
      <c r="L147" s="2" t="str">
        <f>IFERROR(VLOOKUP(K147,[1]坦克个性化设定!$B$18:$E$48,4,FALSE)&amp;VLOOKUP(K147,[1]坦克个性化细分!$I$3:$J$33,2,FALSE),"")</f>
        <v>T3中</v>
      </c>
      <c r="M147" s="2" t="s">
        <v>320</v>
      </c>
      <c r="N147" s="2">
        <f t="shared" si="44"/>
        <v>3.6999999999999998E-2</v>
      </c>
      <c r="O147" s="33">
        <v>1.8</v>
      </c>
      <c r="P147" s="2">
        <f t="shared" si="45"/>
        <v>6.6599999999999993E-2</v>
      </c>
      <c r="R147" s="2">
        <v>8</v>
      </c>
      <c r="S147" s="2" t="s">
        <v>634</v>
      </c>
      <c r="T147" s="2" t="str">
        <f>IFERROR(VLOOKUP(S147,[1]坦克个性化设定!$B$18:$E$48,4,FALSE)&amp;VLOOKUP(S147,[1]坦克个性化细分!$I$3:$J$33,2,FALSE),"")</f>
        <v>T4低</v>
      </c>
      <c r="U147" s="2" t="s">
        <v>1726</v>
      </c>
      <c r="V147" s="2">
        <f t="shared" si="46"/>
        <v>7.2999999999999995E-2</v>
      </c>
      <c r="W147" s="33">
        <v>0.96</v>
      </c>
      <c r="X147" s="2">
        <f t="shared" si="47"/>
        <v>7.007999999999999E-2</v>
      </c>
    </row>
    <row r="148" spans="2:25" x14ac:dyDescent="0.3">
      <c r="B148" s="2">
        <v>6</v>
      </c>
      <c r="C148" s="2" t="s">
        <v>644</v>
      </c>
      <c r="D148" s="2" t="str">
        <f>IFERROR(VLOOKUP(C148,[1]坦克个性化设定!$B$18:$E$48,4,FALSE)&amp;VLOOKUP(C148,[1]坦克个性化细分!$I$3:$J$33,2,FALSE),"")</f>
        <v>T2低</v>
      </c>
      <c r="E148" s="2" t="s">
        <v>1726</v>
      </c>
      <c r="F148" s="2">
        <f t="shared" si="42"/>
        <v>3.6999999999999998E-2</v>
      </c>
      <c r="G148" s="33">
        <v>1.4</v>
      </c>
      <c r="H148" s="2">
        <f t="shared" si="43"/>
        <v>5.1799999999999992E-2</v>
      </c>
      <c r="J148" s="2">
        <v>6</v>
      </c>
      <c r="K148" s="2" t="s">
        <v>649</v>
      </c>
      <c r="L148" s="2" t="str">
        <f>IFERROR(VLOOKUP(K148,[1]坦克个性化设定!$B$18:$E$48,4,FALSE)&amp;VLOOKUP(K148,[1]坦克个性化细分!$I$3:$J$33,2,FALSE),"")</f>
        <v>T3中</v>
      </c>
      <c r="M148" s="2" t="s">
        <v>320</v>
      </c>
      <c r="N148" s="2">
        <f t="shared" si="44"/>
        <v>3.6999999999999998E-2</v>
      </c>
      <c r="O148" s="33">
        <v>1.8</v>
      </c>
      <c r="P148" s="2">
        <f t="shared" si="45"/>
        <v>6.6599999999999993E-2</v>
      </c>
      <c r="R148" s="2">
        <v>8</v>
      </c>
      <c r="S148" s="2" t="s">
        <v>653</v>
      </c>
      <c r="T148" s="2" t="str">
        <f>IFERROR(VLOOKUP(S148,[1]坦克个性化设定!$B$18:$E$48,4,FALSE)&amp;VLOOKUP(S148,[1]坦克个性化细分!$I$3:$J$33,2,FALSE),"")</f>
        <v>T4低</v>
      </c>
      <c r="U148" s="2" t="s">
        <v>1726</v>
      </c>
      <c r="V148" s="2">
        <f t="shared" si="46"/>
        <v>7.2999999999999995E-2</v>
      </c>
      <c r="W148" s="33">
        <v>0.96</v>
      </c>
      <c r="X148" s="2">
        <f t="shared" si="47"/>
        <v>7.007999999999999E-2</v>
      </c>
    </row>
    <row r="149" spans="2:25" x14ac:dyDescent="0.3">
      <c r="B149" s="2">
        <v>6</v>
      </c>
      <c r="C149" s="2" t="s">
        <v>607</v>
      </c>
      <c r="D149" s="2" t="str">
        <f>IFERROR(VLOOKUP(C149,[1]坦克个性化设定!$B$18:$E$48,4,FALSE)&amp;VLOOKUP(C149,[1]坦克个性化细分!$I$3:$J$33,2,FALSE),"")</f>
        <v>T2中</v>
      </c>
      <c r="E149" s="2" t="s">
        <v>1726</v>
      </c>
      <c r="F149" s="2">
        <f t="shared" si="42"/>
        <v>3.6999999999999998E-2</v>
      </c>
      <c r="G149" s="33">
        <v>1</v>
      </c>
      <c r="H149" s="2">
        <f t="shared" si="43"/>
        <v>3.6999999999999998E-2</v>
      </c>
      <c r="J149" s="2">
        <v>6</v>
      </c>
      <c r="K149" s="2" t="s">
        <v>522</v>
      </c>
      <c r="L149" s="2" t="str">
        <f>IFERROR(VLOOKUP(K149,[1]坦克个性化设定!$B$18:$E$48,4,FALSE)&amp;VLOOKUP(K149,[1]坦克个性化细分!$I$3:$J$33,2,FALSE),"")</f>
        <v>T3低</v>
      </c>
      <c r="M149" s="2" t="s">
        <v>1726</v>
      </c>
      <c r="N149" s="2">
        <f t="shared" si="44"/>
        <v>3.6999999999999998E-2</v>
      </c>
      <c r="O149" s="33">
        <v>0.9</v>
      </c>
      <c r="P149" s="2">
        <f t="shared" si="45"/>
        <v>3.3299999999999996E-2</v>
      </c>
      <c r="R149" s="2">
        <v>8</v>
      </c>
      <c r="S149" s="2" t="s">
        <v>618</v>
      </c>
      <c r="T149" s="2" t="str">
        <f>IFERROR(VLOOKUP(S149,[1]坦克个性化设定!$B$18:$E$48,4,FALSE)&amp;VLOOKUP(S149,[1]坦克个性化细分!$I$3:$J$33,2,FALSE),"")</f>
        <v>T4中</v>
      </c>
      <c r="U149" s="2" t="s">
        <v>1726</v>
      </c>
      <c r="V149" s="2">
        <f t="shared" si="46"/>
        <v>7.2999999999999995E-2</v>
      </c>
      <c r="W149" s="33">
        <v>0.96</v>
      </c>
      <c r="X149" s="2">
        <f t="shared" si="47"/>
        <v>7.007999999999999E-2</v>
      </c>
    </row>
    <row r="150" spans="2:25" x14ac:dyDescent="0.3">
      <c r="B150" s="2">
        <v>6</v>
      </c>
      <c r="C150" s="2" t="s">
        <v>627</v>
      </c>
      <c r="D150" s="2" t="str">
        <f>IFERROR(VLOOKUP(C150,[1]坦克个性化设定!$B$18:$E$48,4,FALSE)&amp;VLOOKUP(C150,[1]坦克个性化细分!$I$3:$J$33,2,FALSE),"")</f>
        <v>T2中</v>
      </c>
      <c r="E150" s="2" t="s">
        <v>1726</v>
      </c>
      <c r="F150" s="2">
        <f t="shared" si="42"/>
        <v>3.6999999999999998E-2</v>
      </c>
      <c r="G150" s="33">
        <v>1</v>
      </c>
      <c r="H150" s="2">
        <f t="shared" si="43"/>
        <v>3.6999999999999998E-2</v>
      </c>
      <c r="J150" s="2">
        <v>6</v>
      </c>
      <c r="K150" s="2" t="s">
        <v>526</v>
      </c>
      <c r="L150" s="2" t="str">
        <f>IFERROR(VLOOKUP(K150,[1]坦克个性化设定!$B$18:$E$48,4,FALSE)&amp;VLOOKUP(K150,[1]坦克个性化细分!$I$3:$J$33,2,FALSE),"")</f>
        <v>T3低</v>
      </c>
      <c r="M150" s="2" t="s">
        <v>1726</v>
      </c>
      <c r="N150" s="2">
        <f t="shared" si="44"/>
        <v>3.6999999999999998E-2</v>
      </c>
      <c r="O150" s="33">
        <v>0.9</v>
      </c>
      <c r="P150" s="2">
        <f t="shared" si="45"/>
        <v>3.3299999999999996E-2</v>
      </c>
      <c r="R150" s="2">
        <v>8</v>
      </c>
      <c r="S150" s="2" t="s">
        <v>620</v>
      </c>
      <c r="T150" s="2" t="str">
        <f>IFERROR(VLOOKUP(S150,[1]坦克个性化设定!$B$18:$E$48,4,FALSE)&amp;VLOOKUP(S150,[1]坦克个性化细分!$I$3:$J$33,2,FALSE),"")</f>
        <v>T4高</v>
      </c>
      <c r="U150" s="2" t="s">
        <v>1726</v>
      </c>
      <c r="V150" s="2">
        <f t="shared" si="46"/>
        <v>7.2999999999999995E-2</v>
      </c>
      <c r="W150" s="33">
        <v>0.96</v>
      </c>
      <c r="X150" s="2">
        <f t="shared" si="47"/>
        <v>7.007999999999999E-2</v>
      </c>
    </row>
    <row r="151" spans="2:25" x14ac:dyDescent="0.3">
      <c r="B151" s="2">
        <v>6</v>
      </c>
      <c r="C151" s="2" t="s">
        <v>646</v>
      </c>
      <c r="D151" s="2" t="str">
        <f>IFERROR(VLOOKUP(C151,[1]坦克个性化设定!$B$18:$E$48,4,FALSE)&amp;VLOOKUP(C151,[1]坦克个性化细分!$I$3:$J$33,2,FALSE),"")</f>
        <v>T2中</v>
      </c>
      <c r="E151" s="2" t="s">
        <v>1726</v>
      </c>
      <c r="F151" s="2">
        <f t="shared" si="42"/>
        <v>3.6999999999999998E-2</v>
      </c>
      <c r="G151" s="33">
        <v>1</v>
      </c>
      <c r="H151" s="2">
        <f t="shared" si="43"/>
        <v>3.6999999999999998E-2</v>
      </c>
      <c r="J151" s="2">
        <v>6</v>
      </c>
      <c r="K151" s="2" t="s">
        <v>529</v>
      </c>
      <c r="L151" s="2" t="str">
        <f>IFERROR(VLOOKUP(K151,[1]坦克个性化设定!$B$18:$E$48,4,FALSE)&amp;VLOOKUP(K151,[1]坦克个性化细分!$I$3:$J$33,2,FALSE),"")</f>
        <v>T3低</v>
      </c>
      <c r="M151" s="2" t="s">
        <v>1726</v>
      </c>
      <c r="N151" s="2">
        <f t="shared" si="44"/>
        <v>3.6999999999999998E-2</v>
      </c>
      <c r="O151" s="33">
        <v>0.9</v>
      </c>
      <c r="P151" s="2">
        <f t="shared" si="45"/>
        <v>3.3299999999999996E-2</v>
      </c>
    </row>
    <row r="152" spans="2:25" x14ac:dyDescent="0.3">
      <c r="B152" s="2">
        <v>6</v>
      </c>
      <c r="C152" s="2" t="s">
        <v>522</v>
      </c>
      <c r="D152" s="2" t="str">
        <f>IFERROR(VLOOKUP(C152,[1]坦克个性化设定!$B$18:$E$48,4,FALSE)&amp;VLOOKUP(C152,[1]坦克个性化细分!$I$3:$J$33,2,FALSE),"")</f>
        <v>T3低</v>
      </c>
      <c r="E152" s="2" t="s">
        <v>1726</v>
      </c>
      <c r="F152" s="2">
        <f t="shared" si="42"/>
        <v>3.6999999999999998E-2</v>
      </c>
      <c r="G152" s="33">
        <v>1</v>
      </c>
      <c r="H152" s="2">
        <f t="shared" si="43"/>
        <v>3.6999999999999998E-2</v>
      </c>
      <c r="J152" s="2">
        <v>6</v>
      </c>
      <c r="K152" s="2" t="s">
        <v>611</v>
      </c>
      <c r="L152" s="2" t="str">
        <f>IFERROR(VLOOKUP(K152,[1]坦克个性化设定!$B$18:$E$48,4,FALSE)&amp;VLOOKUP(K152,[1]坦克个性化细分!$I$3:$J$33,2,FALSE),"")</f>
        <v>T3中</v>
      </c>
      <c r="M152" s="2" t="s">
        <v>1726</v>
      </c>
      <c r="N152" s="2">
        <f t="shared" si="44"/>
        <v>3.6999999999999998E-2</v>
      </c>
      <c r="O152" s="33">
        <v>0.9</v>
      </c>
      <c r="P152" s="2">
        <f t="shared" si="45"/>
        <v>3.3299999999999996E-2</v>
      </c>
    </row>
    <row r="153" spans="2:25" x14ac:dyDescent="0.3">
      <c r="B153" s="2">
        <v>6</v>
      </c>
      <c r="C153" s="2" t="s">
        <v>526</v>
      </c>
      <c r="D153" s="2" t="str">
        <f>IFERROR(VLOOKUP(C153,[1]坦克个性化设定!$B$18:$E$48,4,FALSE)&amp;VLOOKUP(C153,[1]坦克个性化细分!$I$3:$J$33,2,FALSE),"")</f>
        <v>T3低</v>
      </c>
      <c r="E153" s="2" t="s">
        <v>1726</v>
      </c>
      <c r="F153" s="2">
        <f t="shared" si="42"/>
        <v>3.6999999999999998E-2</v>
      </c>
      <c r="G153" s="33">
        <v>1</v>
      </c>
      <c r="H153" s="2">
        <f t="shared" si="43"/>
        <v>3.6999999999999998E-2</v>
      </c>
      <c r="J153" s="2">
        <v>6</v>
      </c>
      <c r="K153" s="2" t="s">
        <v>630</v>
      </c>
      <c r="L153" s="2" t="str">
        <f>IFERROR(VLOOKUP(K153,[1]坦克个性化设定!$B$18:$E$48,4,FALSE)&amp;VLOOKUP(K153,[1]坦克个性化细分!$I$3:$J$33,2,FALSE),"")</f>
        <v>T3中</v>
      </c>
      <c r="M153" s="2" t="s">
        <v>1726</v>
      </c>
      <c r="N153" s="2">
        <f t="shared" si="44"/>
        <v>3.6999999999999998E-2</v>
      </c>
      <c r="O153" s="33">
        <v>0.9</v>
      </c>
      <c r="P153" s="2">
        <f t="shared" si="45"/>
        <v>3.3299999999999996E-2</v>
      </c>
      <c r="R153" s="2" t="s">
        <v>377</v>
      </c>
      <c r="S153" s="2" t="s">
        <v>1783</v>
      </c>
      <c r="T153" s="2" t="s">
        <v>886</v>
      </c>
      <c r="U153" s="2" t="s">
        <v>3477</v>
      </c>
      <c r="V153" s="2" t="s">
        <v>3474</v>
      </c>
      <c r="W153" s="2" t="s">
        <v>371</v>
      </c>
      <c r="X153" s="2" t="s">
        <v>3478</v>
      </c>
      <c r="Y153" s="1">
        <f>SUM(X154:X160)</f>
        <v>0.51100000000000001</v>
      </c>
    </row>
    <row r="154" spans="2:25" x14ac:dyDescent="0.3">
      <c r="B154" s="2">
        <v>6</v>
      </c>
      <c r="C154" s="2" t="s">
        <v>529</v>
      </c>
      <c r="D154" s="2" t="str">
        <f>IFERROR(VLOOKUP(C154,[1]坦克个性化设定!$B$18:$E$48,4,FALSE)&amp;VLOOKUP(C154,[1]坦克个性化细分!$I$3:$J$33,2,FALSE),"")</f>
        <v>T3低</v>
      </c>
      <c r="E154" s="2" t="s">
        <v>1726</v>
      </c>
      <c r="F154" s="2">
        <f t="shared" si="42"/>
        <v>3.6999999999999998E-2</v>
      </c>
      <c r="G154" s="33">
        <v>1</v>
      </c>
      <c r="H154" s="2">
        <f t="shared" si="43"/>
        <v>3.6999999999999998E-2</v>
      </c>
      <c r="J154" s="2">
        <v>6</v>
      </c>
      <c r="K154" s="2" t="s">
        <v>649</v>
      </c>
      <c r="L154" s="2" t="str">
        <f>IFERROR(VLOOKUP(K154,[1]坦克个性化设定!$B$18:$E$48,4,FALSE)&amp;VLOOKUP(K154,[1]坦克个性化细分!$I$3:$J$33,2,FALSE),"")</f>
        <v>T3中</v>
      </c>
      <c r="M154" s="2" t="s">
        <v>1726</v>
      </c>
      <c r="N154" s="2">
        <f t="shared" si="44"/>
        <v>3.6999999999999998E-2</v>
      </c>
      <c r="O154" s="33">
        <v>0.9</v>
      </c>
      <c r="P154" s="2">
        <f t="shared" si="45"/>
        <v>3.3299999999999996E-2</v>
      </c>
      <c r="R154" s="2">
        <v>9</v>
      </c>
      <c r="S154" s="2" t="s">
        <v>615</v>
      </c>
      <c r="T154" s="2" t="str">
        <f>IFERROR(VLOOKUP(S154,[1]坦克个性化设定!$B$18:$E$48,4,FALSE)&amp;VLOOKUP(S154,[1]坦克个性化细分!$I$3:$J$33,2,FALSE),"")</f>
        <v>T4低</v>
      </c>
      <c r="U154" s="2" t="s">
        <v>1726</v>
      </c>
      <c r="V154" s="2">
        <f t="shared" ref="V154:V160" si="48">$E$70</f>
        <v>7.2999999999999995E-2</v>
      </c>
      <c r="W154" s="33">
        <v>1</v>
      </c>
      <c r="X154" s="2">
        <f t="shared" ref="X154:X160" si="49">V154*W154</f>
        <v>7.2999999999999995E-2</v>
      </c>
    </row>
    <row r="155" spans="2:25" x14ac:dyDescent="0.3">
      <c r="B155" s="2">
        <v>6</v>
      </c>
      <c r="C155" s="2" t="s">
        <v>611</v>
      </c>
      <c r="D155" s="2" t="str">
        <f>IFERROR(VLOOKUP(C155,[1]坦克个性化设定!$B$18:$E$48,4,FALSE)&amp;VLOOKUP(C155,[1]坦克个性化细分!$I$3:$J$33,2,FALSE),"")</f>
        <v>T3中</v>
      </c>
      <c r="E155" s="2" t="s">
        <v>1726</v>
      </c>
      <c r="F155" s="2">
        <f t="shared" si="42"/>
        <v>3.6999999999999998E-2</v>
      </c>
      <c r="G155" s="33">
        <v>1</v>
      </c>
      <c r="H155" s="2">
        <f t="shared" si="43"/>
        <v>3.6999999999999998E-2</v>
      </c>
      <c r="R155" s="2">
        <v>9</v>
      </c>
      <c r="S155" s="2" t="s">
        <v>634</v>
      </c>
      <c r="T155" s="2" t="str">
        <f>IFERROR(VLOOKUP(S155,[1]坦克个性化设定!$B$18:$E$48,4,FALSE)&amp;VLOOKUP(S155,[1]坦克个性化细分!$I$3:$J$33,2,FALSE),"")</f>
        <v>T4低</v>
      </c>
      <c r="U155" s="2" t="s">
        <v>1726</v>
      </c>
      <c r="V155" s="2">
        <f t="shared" si="48"/>
        <v>7.2999999999999995E-2</v>
      </c>
      <c r="W155" s="33">
        <v>1</v>
      </c>
      <c r="X155" s="2">
        <f t="shared" si="49"/>
        <v>7.2999999999999995E-2</v>
      </c>
    </row>
    <row r="156" spans="2:25" x14ac:dyDescent="0.3">
      <c r="B156" s="2">
        <v>6</v>
      </c>
      <c r="C156" s="2" t="s">
        <v>630</v>
      </c>
      <c r="D156" s="2" t="str">
        <f>IFERROR(VLOOKUP(C156,[1]坦克个性化设定!$B$18:$E$48,4,FALSE)&amp;VLOOKUP(C156,[1]坦克个性化细分!$I$3:$J$33,2,FALSE),"")</f>
        <v>T3中</v>
      </c>
      <c r="E156" s="2" t="s">
        <v>1726</v>
      </c>
      <c r="F156" s="2">
        <f t="shared" si="42"/>
        <v>3.6999999999999998E-2</v>
      </c>
      <c r="G156" s="33">
        <v>1</v>
      </c>
      <c r="H156" s="2">
        <f t="shared" si="43"/>
        <v>3.6999999999999998E-2</v>
      </c>
      <c r="R156" s="2">
        <v>9</v>
      </c>
      <c r="S156" s="2" t="s">
        <v>653</v>
      </c>
      <c r="T156" s="2" t="str">
        <f>IFERROR(VLOOKUP(S156,[1]坦克个性化设定!$B$18:$E$48,4,FALSE)&amp;VLOOKUP(S156,[1]坦克个性化细分!$I$3:$J$33,2,FALSE),"")</f>
        <v>T4低</v>
      </c>
      <c r="U156" s="2" t="s">
        <v>1726</v>
      </c>
      <c r="V156" s="2">
        <f t="shared" si="48"/>
        <v>7.2999999999999995E-2</v>
      </c>
      <c r="W156" s="33">
        <v>1</v>
      </c>
      <c r="X156" s="2">
        <f t="shared" si="49"/>
        <v>7.2999999999999995E-2</v>
      </c>
    </row>
    <row r="157" spans="2:25" x14ac:dyDescent="0.3">
      <c r="B157" s="2">
        <v>6</v>
      </c>
      <c r="C157" s="2" t="s">
        <v>649</v>
      </c>
      <c r="D157" s="2" t="str">
        <f>IFERROR(VLOOKUP(C157,[1]坦克个性化设定!$B$18:$E$48,4,FALSE)&amp;VLOOKUP(C157,[1]坦克个性化细分!$I$3:$J$33,2,FALSE),"")</f>
        <v>T3中</v>
      </c>
      <c r="E157" s="2" t="s">
        <v>1726</v>
      </c>
      <c r="F157" s="2">
        <f t="shared" si="42"/>
        <v>3.6999999999999998E-2</v>
      </c>
      <c r="G157" s="33">
        <v>1</v>
      </c>
      <c r="H157" s="2">
        <f t="shared" si="43"/>
        <v>3.6999999999999998E-2</v>
      </c>
      <c r="J157" s="2" t="s">
        <v>377</v>
      </c>
      <c r="K157" s="2" t="s">
        <v>1783</v>
      </c>
      <c r="L157" s="2" t="s">
        <v>886</v>
      </c>
      <c r="M157" s="2" t="s">
        <v>3477</v>
      </c>
      <c r="N157" s="2" t="s">
        <v>3474</v>
      </c>
      <c r="O157" s="2" t="s">
        <v>371</v>
      </c>
      <c r="P157" s="2" t="s">
        <v>3478</v>
      </c>
      <c r="Q157" s="1">
        <f>SUM(P158:P169)</f>
        <v>0.66600000000000015</v>
      </c>
      <c r="R157" s="2">
        <v>9</v>
      </c>
      <c r="S157" s="2" t="s">
        <v>618</v>
      </c>
      <c r="T157" s="2" t="str">
        <f>IFERROR(VLOOKUP(S157,[1]坦克个性化设定!$B$18:$E$48,4,FALSE)&amp;VLOOKUP(S157,[1]坦克个性化细分!$I$3:$J$33,2,FALSE),"")</f>
        <v>T4中</v>
      </c>
      <c r="U157" s="2" t="s">
        <v>1726</v>
      </c>
      <c r="V157" s="2">
        <f t="shared" si="48"/>
        <v>7.2999999999999995E-2</v>
      </c>
      <c r="W157" s="33">
        <v>1</v>
      </c>
      <c r="X157" s="2">
        <f t="shared" si="49"/>
        <v>7.2999999999999995E-2</v>
      </c>
    </row>
    <row r="158" spans="2:25" x14ac:dyDescent="0.3">
      <c r="J158" s="2">
        <v>7</v>
      </c>
      <c r="K158" s="2" t="s">
        <v>522</v>
      </c>
      <c r="L158" s="2" t="str">
        <f>IFERROR(VLOOKUP(K158,[1]坦克个性化设定!$B$18:$E$48,4,FALSE)&amp;VLOOKUP(K158,[1]坦克个性化细分!$I$3:$J$33,2,FALSE),"")</f>
        <v>T3低</v>
      </c>
      <c r="M158" s="2" t="s">
        <v>320</v>
      </c>
      <c r="N158" s="2">
        <f t="shared" ref="N158:N169" si="50">$E$69</f>
        <v>3.6999999999999998E-2</v>
      </c>
      <c r="O158" s="33">
        <v>2</v>
      </c>
      <c r="P158" s="2">
        <f t="shared" ref="P158:P169" si="51">N158*O158</f>
        <v>7.3999999999999996E-2</v>
      </c>
      <c r="R158" s="2">
        <v>9</v>
      </c>
      <c r="S158" s="2" t="s">
        <v>636</v>
      </c>
      <c r="T158" s="2" t="str">
        <f>IFERROR(VLOOKUP(S158,[1]坦克个性化设定!$B$18:$E$48,4,FALSE)&amp;VLOOKUP(S158,[1]坦克个性化细分!$I$3:$J$33,2,FALSE),"")</f>
        <v>T4中</v>
      </c>
      <c r="U158" s="2" t="s">
        <v>1726</v>
      </c>
      <c r="V158" s="2">
        <f t="shared" si="48"/>
        <v>7.2999999999999995E-2</v>
      </c>
      <c r="W158" s="33">
        <v>1</v>
      </c>
      <c r="X158" s="2">
        <f t="shared" si="49"/>
        <v>7.2999999999999995E-2</v>
      </c>
    </row>
    <row r="159" spans="2:25" x14ac:dyDescent="0.3">
      <c r="J159" s="2">
        <v>7</v>
      </c>
      <c r="K159" s="2" t="s">
        <v>526</v>
      </c>
      <c r="L159" s="2" t="str">
        <f>IFERROR(VLOOKUP(K159,[1]坦克个性化设定!$B$18:$E$48,4,FALSE)&amp;VLOOKUP(K159,[1]坦克个性化细分!$I$3:$J$33,2,FALSE),"")</f>
        <v>T3低</v>
      </c>
      <c r="M159" s="2" t="s">
        <v>320</v>
      </c>
      <c r="N159" s="2">
        <f t="shared" si="50"/>
        <v>3.6999999999999998E-2</v>
      </c>
      <c r="O159" s="33">
        <v>2</v>
      </c>
      <c r="P159" s="2">
        <f t="shared" si="51"/>
        <v>7.3999999999999996E-2</v>
      </c>
      <c r="R159" s="2">
        <v>9</v>
      </c>
      <c r="S159" s="2" t="s">
        <v>620</v>
      </c>
      <c r="T159" s="2" t="str">
        <f>IFERROR(VLOOKUP(S159,[1]坦克个性化设定!$B$18:$E$48,4,FALSE)&amp;VLOOKUP(S159,[1]坦克个性化细分!$I$3:$J$33,2,FALSE),"")</f>
        <v>T4高</v>
      </c>
      <c r="U159" s="2" t="s">
        <v>1726</v>
      </c>
      <c r="V159" s="2">
        <f t="shared" si="48"/>
        <v>7.2999999999999995E-2</v>
      </c>
      <c r="W159" s="33">
        <v>1</v>
      </c>
      <c r="X159" s="2">
        <f t="shared" si="49"/>
        <v>7.2999999999999995E-2</v>
      </c>
    </row>
    <row r="160" spans="2:25" x14ac:dyDescent="0.3">
      <c r="B160" s="2" t="s">
        <v>377</v>
      </c>
      <c r="C160" s="2" t="s">
        <v>1783</v>
      </c>
      <c r="D160" s="2" t="s">
        <v>886</v>
      </c>
      <c r="E160" s="2" t="s">
        <v>3477</v>
      </c>
      <c r="F160" s="2" t="s">
        <v>3474</v>
      </c>
      <c r="G160" s="2" t="s">
        <v>371</v>
      </c>
      <c r="H160" s="2" t="s">
        <v>3478</v>
      </c>
      <c r="I160" s="1">
        <f>SUM(H161:H175)</f>
        <v>0.66600000000000004</v>
      </c>
      <c r="J160" s="2">
        <v>7</v>
      </c>
      <c r="K160" s="2" t="s">
        <v>529</v>
      </c>
      <c r="L160" s="2" t="str">
        <f>IFERROR(VLOOKUP(K160,[1]坦克个性化设定!$B$18:$E$48,4,FALSE)&amp;VLOOKUP(K160,[1]坦克个性化细分!$I$3:$J$33,2,FALSE),"")</f>
        <v>T3低</v>
      </c>
      <c r="M160" s="2" t="s">
        <v>320</v>
      </c>
      <c r="N160" s="2">
        <f t="shared" si="50"/>
        <v>3.6999999999999998E-2</v>
      </c>
      <c r="O160" s="33">
        <v>2</v>
      </c>
      <c r="P160" s="2">
        <f t="shared" si="51"/>
        <v>7.3999999999999996E-2</v>
      </c>
      <c r="R160" s="2">
        <v>9</v>
      </c>
      <c r="S160" s="2" t="s">
        <v>638</v>
      </c>
      <c r="T160" s="2" t="str">
        <f>IFERROR(VLOOKUP(S160,[1]坦克个性化设定!$B$18:$E$48,4,FALSE)&amp;VLOOKUP(S160,[1]坦克个性化细分!$I$3:$J$33,2,FALSE),"")</f>
        <v>T4高</v>
      </c>
      <c r="U160" s="2" t="s">
        <v>1726</v>
      </c>
      <c r="V160" s="2">
        <f t="shared" si="48"/>
        <v>7.2999999999999995E-2</v>
      </c>
      <c r="W160" s="33">
        <v>1</v>
      </c>
      <c r="X160" s="2">
        <f t="shared" si="49"/>
        <v>7.2999999999999995E-2</v>
      </c>
    </row>
    <row r="161" spans="2:25" x14ac:dyDescent="0.3">
      <c r="B161" s="2">
        <v>7</v>
      </c>
      <c r="C161" s="2" t="s">
        <v>522</v>
      </c>
      <c r="D161" s="2" t="str">
        <f>IFERROR(VLOOKUP(C161,[1]坦克个性化设定!$B$18:$E$48,4,FALSE)&amp;VLOOKUP(C161,[1]坦克个性化细分!$I$3:$J$33,2,FALSE),"")</f>
        <v>T3低</v>
      </c>
      <c r="E161" s="2" t="s">
        <v>320</v>
      </c>
      <c r="F161" s="2">
        <f t="shared" ref="F161:F175" si="52">$E$69</f>
        <v>3.6999999999999998E-2</v>
      </c>
      <c r="G161" s="33">
        <v>1.7</v>
      </c>
      <c r="H161" s="2">
        <f t="shared" ref="H161:H175" si="53">F161*G161</f>
        <v>6.2899999999999998E-2</v>
      </c>
      <c r="J161" s="2">
        <v>7</v>
      </c>
      <c r="K161" s="2" t="s">
        <v>611</v>
      </c>
      <c r="L161" s="2" t="str">
        <f>IFERROR(VLOOKUP(K161,[1]坦克个性化设定!$B$18:$E$48,4,FALSE)&amp;VLOOKUP(K161,[1]坦克个性化细分!$I$3:$J$33,2,FALSE),"")</f>
        <v>T3中</v>
      </c>
      <c r="M161" s="2" t="s">
        <v>320</v>
      </c>
      <c r="N161" s="2">
        <f t="shared" si="50"/>
        <v>3.6999999999999998E-2</v>
      </c>
      <c r="O161" s="33">
        <v>2</v>
      </c>
      <c r="P161" s="2">
        <f t="shared" si="51"/>
        <v>7.3999999999999996E-2</v>
      </c>
    </row>
    <row r="162" spans="2:25" x14ac:dyDescent="0.3">
      <c r="B162" s="2">
        <v>7</v>
      </c>
      <c r="C162" s="2" t="s">
        <v>526</v>
      </c>
      <c r="D162" s="2" t="str">
        <f>IFERROR(VLOOKUP(C162,[1]坦克个性化设定!$B$18:$E$48,4,FALSE)&amp;VLOOKUP(C162,[1]坦克个性化细分!$I$3:$J$33,2,FALSE),"")</f>
        <v>T3低</v>
      </c>
      <c r="E162" s="2" t="s">
        <v>320</v>
      </c>
      <c r="F162" s="2">
        <f t="shared" si="52"/>
        <v>3.6999999999999998E-2</v>
      </c>
      <c r="G162" s="33">
        <v>1.7</v>
      </c>
      <c r="H162" s="2">
        <f t="shared" si="53"/>
        <v>6.2899999999999998E-2</v>
      </c>
      <c r="J162" s="2">
        <v>7</v>
      </c>
      <c r="K162" s="2" t="s">
        <v>630</v>
      </c>
      <c r="L162" s="2" t="str">
        <f>IFERROR(VLOOKUP(K162,[1]坦克个性化设定!$B$18:$E$48,4,FALSE)&amp;VLOOKUP(K162,[1]坦克个性化细分!$I$3:$J$33,2,FALSE),"")</f>
        <v>T3中</v>
      </c>
      <c r="M162" s="2" t="s">
        <v>320</v>
      </c>
      <c r="N162" s="2">
        <f t="shared" si="50"/>
        <v>3.6999999999999998E-2</v>
      </c>
      <c r="O162" s="33">
        <v>2</v>
      </c>
      <c r="P162" s="2">
        <f t="shared" si="51"/>
        <v>7.3999999999999996E-2</v>
      </c>
    </row>
    <row r="163" spans="2:25" x14ac:dyDescent="0.3">
      <c r="B163" s="2">
        <v>7</v>
      </c>
      <c r="C163" s="2" t="s">
        <v>529</v>
      </c>
      <c r="D163" s="2" t="str">
        <f>IFERROR(VLOOKUP(C163,[1]坦克个性化设定!$B$18:$E$48,4,FALSE)&amp;VLOOKUP(C163,[1]坦克个性化细分!$I$3:$J$33,2,FALSE),"")</f>
        <v>T3低</v>
      </c>
      <c r="E163" s="2" t="s">
        <v>320</v>
      </c>
      <c r="F163" s="2">
        <f t="shared" si="52"/>
        <v>3.6999999999999998E-2</v>
      </c>
      <c r="G163" s="33">
        <v>1.7</v>
      </c>
      <c r="H163" s="2">
        <f>F164*G163</f>
        <v>6.2899999999999998E-2</v>
      </c>
      <c r="J163" s="2">
        <v>7</v>
      </c>
      <c r="K163" s="2" t="s">
        <v>649</v>
      </c>
      <c r="L163" s="2" t="str">
        <f>IFERROR(VLOOKUP(K163,[1]坦克个性化设定!$B$18:$E$48,4,FALSE)&amp;VLOOKUP(K163,[1]坦克个性化细分!$I$3:$J$33,2,FALSE),"")</f>
        <v>T3中</v>
      </c>
      <c r="M163" s="2" t="s">
        <v>320</v>
      </c>
      <c r="N163" s="2">
        <f t="shared" si="50"/>
        <v>3.6999999999999998E-2</v>
      </c>
      <c r="O163" s="33">
        <v>2</v>
      </c>
      <c r="P163" s="2">
        <f t="shared" si="51"/>
        <v>7.3999999999999996E-2</v>
      </c>
      <c r="R163" s="2" t="s">
        <v>377</v>
      </c>
      <c r="S163" s="2" t="s">
        <v>1783</v>
      </c>
      <c r="T163" s="2" t="s">
        <v>886</v>
      </c>
      <c r="U163" s="2" t="s">
        <v>3477</v>
      </c>
      <c r="V163" s="2" t="s">
        <v>3474</v>
      </c>
      <c r="W163" s="2" t="s">
        <v>371</v>
      </c>
      <c r="X163" s="2" t="s">
        <v>3478</v>
      </c>
      <c r="Y163" s="1">
        <f>SUM(X164:X172)</f>
        <v>0.65699999999999992</v>
      </c>
    </row>
    <row r="164" spans="2:25" x14ac:dyDescent="0.3">
      <c r="B164" s="2">
        <v>7</v>
      </c>
      <c r="C164" s="2" t="s">
        <v>516</v>
      </c>
      <c r="D164" s="2" t="str">
        <f>IFERROR(VLOOKUP(C164,[1]坦克个性化设定!$B$18:$E$48,4,FALSE)&amp;VLOOKUP(C164,[1]坦克个性化细分!$I$3:$J$33,2,FALSE),"")</f>
        <v>T2低</v>
      </c>
      <c r="E164" s="2" t="s">
        <v>1726</v>
      </c>
      <c r="F164" s="2">
        <f t="shared" si="52"/>
        <v>3.6999999999999998E-2</v>
      </c>
      <c r="G164" s="33">
        <v>1.3</v>
      </c>
      <c r="H164" s="2">
        <f>F165*G164</f>
        <v>4.8099999999999997E-2</v>
      </c>
      <c r="J164" s="2">
        <v>7</v>
      </c>
      <c r="K164" s="2" t="s">
        <v>522</v>
      </c>
      <c r="L164" s="2" t="str">
        <f>IFERROR(VLOOKUP(K164,[1]坦克个性化设定!$B$18:$E$48,4,FALSE)&amp;VLOOKUP(K164,[1]坦克个性化细分!$I$3:$J$33,2,FALSE),"")</f>
        <v>T3低</v>
      </c>
      <c r="M164" s="2" t="s">
        <v>1726</v>
      </c>
      <c r="N164" s="2">
        <f t="shared" si="50"/>
        <v>3.6999999999999998E-2</v>
      </c>
      <c r="O164" s="33">
        <v>1</v>
      </c>
      <c r="P164" s="2">
        <f t="shared" si="51"/>
        <v>3.6999999999999998E-2</v>
      </c>
      <c r="R164" s="2">
        <v>10</v>
      </c>
      <c r="S164" s="2" t="s">
        <v>615</v>
      </c>
      <c r="T164" s="2" t="str">
        <f>IFERROR(VLOOKUP(S164,[1]坦克个性化设定!$B$18:$E$48,4,FALSE)&amp;VLOOKUP(S164,[1]坦克个性化细分!$I$3:$J$33,2,FALSE),"")</f>
        <v>T4低</v>
      </c>
      <c r="U164" s="2" t="s">
        <v>1726</v>
      </c>
      <c r="V164" s="2">
        <f t="shared" ref="V164:V172" si="54">$E$70</f>
        <v>7.2999999999999995E-2</v>
      </c>
      <c r="W164" s="33">
        <v>1</v>
      </c>
      <c r="X164" s="2">
        <f t="shared" ref="X164:X172" si="55">V164*W164</f>
        <v>7.2999999999999995E-2</v>
      </c>
    </row>
    <row r="165" spans="2:25" x14ac:dyDescent="0.3">
      <c r="B165" s="2">
        <v>7</v>
      </c>
      <c r="C165" s="2" t="s">
        <v>518</v>
      </c>
      <c r="D165" s="2" t="str">
        <f>IFERROR(VLOOKUP(C165,[1]坦克个性化设定!$B$18:$E$48,4,FALSE)&amp;VLOOKUP(C165,[1]坦克个性化细分!$I$3:$J$33,2,FALSE),"")</f>
        <v>T2低</v>
      </c>
      <c r="E165" s="2" t="s">
        <v>1726</v>
      </c>
      <c r="F165" s="2">
        <f t="shared" si="52"/>
        <v>3.6999999999999998E-2</v>
      </c>
      <c r="G165" s="33">
        <v>1.3</v>
      </c>
      <c r="H165" s="2">
        <f>F166*G165</f>
        <v>4.8099999999999997E-2</v>
      </c>
      <c r="J165" s="2">
        <v>7</v>
      </c>
      <c r="K165" s="2" t="s">
        <v>526</v>
      </c>
      <c r="L165" s="2" t="str">
        <f>IFERROR(VLOOKUP(K165,[1]坦克个性化设定!$B$18:$E$48,4,FALSE)&amp;VLOOKUP(K165,[1]坦克个性化细分!$I$3:$J$33,2,FALSE),"")</f>
        <v>T3低</v>
      </c>
      <c r="M165" s="2" t="s">
        <v>1726</v>
      </c>
      <c r="N165" s="2">
        <f t="shared" si="50"/>
        <v>3.6999999999999998E-2</v>
      </c>
      <c r="O165" s="33">
        <v>1</v>
      </c>
      <c r="P165" s="2">
        <f t="shared" si="51"/>
        <v>3.6999999999999998E-2</v>
      </c>
      <c r="R165" s="2">
        <v>10</v>
      </c>
      <c r="S165" s="2" t="s">
        <v>634</v>
      </c>
      <c r="T165" s="2" t="str">
        <f>IFERROR(VLOOKUP(S165,[1]坦克个性化设定!$B$18:$E$48,4,FALSE)&amp;VLOOKUP(S165,[1]坦克个性化细分!$I$3:$J$33,2,FALSE),"")</f>
        <v>T4低</v>
      </c>
      <c r="U165" s="2" t="s">
        <v>1726</v>
      </c>
      <c r="V165" s="2">
        <f t="shared" si="54"/>
        <v>7.2999999999999995E-2</v>
      </c>
      <c r="W165" s="33">
        <v>1</v>
      </c>
      <c r="X165" s="2">
        <f t="shared" si="55"/>
        <v>7.2999999999999995E-2</v>
      </c>
    </row>
    <row r="166" spans="2:25" x14ac:dyDescent="0.3">
      <c r="B166" s="2">
        <v>7</v>
      </c>
      <c r="C166" s="2" t="s">
        <v>644</v>
      </c>
      <c r="D166" s="2" t="str">
        <f>IFERROR(VLOOKUP(C166,[1]坦克个性化设定!$B$18:$E$48,4,FALSE)&amp;VLOOKUP(C166,[1]坦克个性化细分!$I$3:$J$33,2,FALSE),"")</f>
        <v>T2低</v>
      </c>
      <c r="E166" s="2" t="s">
        <v>1726</v>
      </c>
      <c r="F166" s="2">
        <f t="shared" si="52"/>
        <v>3.6999999999999998E-2</v>
      </c>
      <c r="G166" s="33">
        <v>1.3</v>
      </c>
      <c r="H166" s="2">
        <f>F167*G166</f>
        <v>4.8099999999999997E-2</v>
      </c>
      <c r="J166" s="2">
        <v>7</v>
      </c>
      <c r="K166" s="2" t="s">
        <v>529</v>
      </c>
      <c r="L166" s="2" t="str">
        <f>IFERROR(VLOOKUP(K166,[1]坦克个性化设定!$B$18:$E$48,4,FALSE)&amp;VLOOKUP(K166,[1]坦克个性化细分!$I$3:$J$33,2,FALSE),"")</f>
        <v>T3低</v>
      </c>
      <c r="M166" s="2" t="s">
        <v>1726</v>
      </c>
      <c r="N166" s="2">
        <f t="shared" si="50"/>
        <v>3.6999999999999998E-2</v>
      </c>
      <c r="O166" s="33">
        <v>1</v>
      </c>
      <c r="P166" s="2">
        <f t="shared" si="51"/>
        <v>3.6999999999999998E-2</v>
      </c>
      <c r="R166" s="2">
        <v>10</v>
      </c>
      <c r="S166" s="2" t="s">
        <v>653</v>
      </c>
      <c r="T166" s="2" t="str">
        <f>IFERROR(VLOOKUP(S166,[1]坦克个性化设定!$B$18:$E$48,4,FALSE)&amp;VLOOKUP(S166,[1]坦克个性化细分!$I$3:$J$33,2,FALSE),"")</f>
        <v>T4低</v>
      </c>
      <c r="U166" s="2" t="s">
        <v>1726</v>
      </c>
      <c r="V166" s="2">
        <f t="shared" si="54"/>
        <v>7.2999999999999995E-2</v>
      </c>
      <c r="W166" s="33">
        <v>1</v>
      </c>
      <c r="X166" s="2">
        <f t="shared" si="55"/>
        <v>7.2999999999999995E-2</v>
      </c>
    </row>
    <row r="167" spans="2:25" x14ac:dyDescent="0.3">
      <c r="B167" s="2">
        <v>7</v>
      </c>
      <c r="C167" s="2" t="s">
        <v>607</v>
      </c>
      <c r="D167" s="2" t="str">
        <f>IFERROR(VLOOKUP(C167,[1]坦克个性化设定!$B$18:$E$48,4,FALSE)&amp;VLOOKUP(C167,[1]坦克个性化细分!$I$3:$J$33,2,FALSE),"")</f>
        <v>T2中</v>
      </c>
      <c r="E167" s="2" t="s">
        <v>1726</v>
      </c>
      <c r="F167" s="2">
        <f t="shared" si="52"/>
        <v>3.6999999999999998E-2</v>
      </c>
      <c r="G167" s="33">
        <v>1</v>
      </c>
      <c r="H167" s="2">
        <f t="shared" si="53"/>
        <v>3.6999999999999998E-2</v>
      </c>
      <c r="J167" s="2">
        <v>7</v>
      </c>
      <c r="K167" s="2" t="s">
        <v>611</v>
      </c>
      <c r="L167" s="2" t="str">
        <f>IFERROR(VLOOKUP(K167,[1]坦克个性化设定!$B$18:$E$48,4,FALSE)&amp;VLOOKUP(K167,[1]坦克个性化细分!$I$3:$J$33,2,FALSE),"")</f>
        <v>T3中</v>
      </c>
      <c r="M167" s="2" t="s">
        <v>1726</v>
      </c>
      <c r="N167" s="2">
        <f t="shared" si="50"/>
        <v>3.6999999999999998E-2</v>
      </c>
      <c r="O167" s="33">
        <v>1</v>
      </c>
      <c r="P167" s="2">
        <f t="shared" si="51"/>
        <v>3.6999999999999998E-2</v>
      </c>
      <c r="R167" s="2">
        <v>10</v>
      </c>
      <c r="S167" s="2" t="s">
        <v>618</v>
      </c>
      <c r="T167" s="2" t="str">
        <f>IFERROR(VLOOKUP(S167,[1]坦克个性化设定!$B$18:$E$48,4,FALSE)&amp;VLOOKUP(S167,[1]坦克个性化细分!$I$3:$J$33,2,FALSE),"")</f>
        <v>T4中</v>
      </c>
      <c r="U167" s="2" t="s">
        <v>1726</v>
      </c>
      <c r="V167" s="2">
        <f t="shared" si="54"/>
        <v>7.2999999999999995E-2</v>
      </c>
      <c r="W167" s="33">
        <v>1</v>
      </c>
      <c r="X167" s="2">
        <f t="shared" si="55"/>
        <v>7.2999999999999995E-2</v>
      </c>
    </row>
    <row r="168" spans="2:25" x14ac:dyDescent="0.3">
      <c r="B168" s="2">
        <v>7</v>
      </c>
      <c r="C168" s="2" t="s">
        <v>627</v>
      </c>
      <c r="D168" s="2" t="str">
        <f>IFERROR(VLOOKUP(C168,[1]坦克个性化设定!$B$18:$E$48,4,FALSE)&amp;VLOOKUP(C168,[1]坦克个性化细分!$I$3:$J$33,2,FALSE),"")</f>
        <v>T2中</v>
      </c>
      <c r="E168" s="2" t="s">
        <v>1726</v>
      </c>
      <c r="F168" s="2">
        <f t="shared" si="52"/>
        <v>3.6999999999999998E-2</v>
      </c>
      <c r="G168" s="33">
        <v>1</v>
      </c>
      <c r="H168" s="2">
        <f t="shared" si="53"/>
        <v>3.6999999999999998E-2</v>
      </c>
      <c r="J168" s="2">
        <v>7</v>
      </c>
      <c r="K168" s="2" t="s">
        <v>630</v>
      </c>
      <c r="L168" s="2" t="str">
        <f>IFERROR(VLOOKUP(K168,[1]坦克个性化设定!$B$18:$E$48,4,FALSE)&amp;VLOOKUP(K168,[1]坦克个性化细分!$I$3:$J$33,2,FALSE),"")</f>
        <v>T3中</v>
      </c>
      <c r="M168" s="2" t="s">
        <v>1726</v>
      </c>
      <c r="N168" s="2">
        <f t="shared" si="50"/>
        <v>3.6999999999999998E-2</v>
      </c>
      <c r="O168" s="33">
        <v>1</v>
      </c>
      <c r="P168" s="2">
        <f t="shared" si="51"/>
        <v>3.6999999999999998E-2</v>
      </c>
      <c r="R168" s="2">
        <v>10</v>
      </c>
      <c r="S168" s="2" t="s">
        <v>636</v>
      </c>
      <c r="T168" s="2" t="str">
        <f>IFERROR(VLOOKUP(S168,[1]坦克个性化设定!$B$18:$E$48,4,FALSE)&amp;VLOOKUP(S168,[1]坦克个性化细分!$I$3:$J$33,2,FALSE),"")</f>
        <v>T4中</v>
      </c>
      <c r="U168" s="2" t="s">
        <v>1726</v>
      </c>
      <c r="V168" s="2">
        <f t="shared" si="54"/>
        <v>7.2999999999999995E-2</v>
      </c>
      <c r="W168" s="33">
        <v>1</v>
      </c>
      <c r="X168" s="2">
        <f t="shared" si="55"/>
        <v>7.2999999999999995E-2</v>
      </c>
    </row>
    <row r="169" spans="2:25" x14ac:dyDescent="0.3">
      <c r="B169" s="2">
        <v>7</v>
      </c>
      <c r="C169" s="2" t="s">
        <v>646</v>
      </c>
      <c r="D169" s="2" t="str">
        <f>IFERROR(VLOOKUP(C169,[1]坦克个性化设定!$B$18:$E$48,4,FALSE)&amp;VLOOKUP(C169,[1]坦克个性化细分!$I$3:$J$33,2,FALSE),"")</f>
        <v>T2中</v>
      </c>
      <c r="E169" s="2" t="s">
        <v>1726</v>
      </c>
      <c r="F169" s="2">
        <f t="shared" si="52"/>
        <v>3.6999999999999998E-2</v>
      </c>
      <c r="G169" s="33">
        <v>1</v>
      </c>
      <c r="H169" s="2">
        <f t="shared" si="53"/>
        <v>3.6999999999999998E-2</v>
      </c>
      <c r="J169" s="2">
        <v>7</v>
      </c>
      <c r="K169" s="2" t="s">
        <v>649</v>
      </c>
      <c r="L169" s="2" t="str">
        <f>IFERROR(VLOOKUP(K169,[1]坦克个性化设定!$B$18:$E$48,4,FALSE)&amp;VLOOKUP(K169,[1]坦克个性化细分!$I$3:$J$33,2,FALSE),"")</f>
        <v>T3中</v>
      </c>
      <c r="M169" s="2" t="s">
        <v>1726</v>
      </c>
      <c r="N169" s="2">
        <f t="shared" si="50"/>
        <v>3.6999999999999998E-2</v>
      </c>
      <c r="O169" s="33">
        <v>1</v>
      </c>
      <c r="P169" s="2">
        <f t="shared" si="51"/>
        <v>3.6999999999999998E-2</v>
      </c>
      <c r="R169" s="2">
        <v>10</v>
      </c>
      <c r="S169" s="2" t="s">
        <v>655</v>
      </c>
      <c r="T169" s="2" t="str">
        <f>IFERROR(VLOOKUP(S169,[1]坦克个性化设定!$B$18:$E$48,4,FALSE)&amp;VLOOKUP(S169,[1]坦克个性化细分!$I$3:$J$33,2,FALSE),"")</f>
        <v>T4中</v>
      </c>
      <c r="U169" s="2" t="s">
        <v>1726</v>
      </c>
      <c r="V169" s="2">
        <f t="shared" si="54"/>
        <v>7.2999999999999995E-2</v>
      </c>
      <c r="W169" s="33">
        <v>1</v>
      </c>
      <c r="X169" s="2">
        <f t="shared" si="55"/>
        <v>7.2999999999999995E-2</v>
      </c>
    </row>
    <row r="170" spans="2:25" x14ac:dyDescent="0.3">
      <c r="B170" s="2">
        <v>7</v>
      </c>
      <c r="C170" s="2" t="s">
        <v>522</v>
      </c>
      <c r="D170" s="2" t="str">
        <f>IFERROR(VLOOKUP(C170,[1]坦克个性化设定!$B$18:$E$48,4,FALSE)&amp;VLOOKUP(C170,[1]坦克个性化细分!$I$3:$J$33,2,FALSE),"")</f>
        <v>T3低</v>
      </c>
      <c r="E170" s="2" t="s">
        <v>1726</v>
      </c>
      <c r="F170" s="2">
        <f t="shared" si="52"/>
        <v>3.6999999999999998E-2</v>
      </c>
      <c r="G170" s="33">
        <v>1</v>
      </c>
      <c r="H170" s="2">
        <f t="shared" si="53"/>
        <v>3.6999999999999998E-2</v>
      </c>
      <c r="R170" s="2">
        <v>10</v>
      </c>
      <c r="S170" s="2" t="s">
        <v>620</v>
      </c>
      <c r="T170" s="2" t="str">
        <f>IFERROR(VLOOKUP(S170,[1]坦克个性化设定!$B$18:$E$48,4,FALSE)&amp;VLOOKUP(S170,[1]坦克个性化细分!$I$3:$J$33,2,FALSE),"")</f>
        <v>T4高</v>
      </c>
      <c r="U170" s="2" t="s">
        <v>1726</v>
      </c>
      <c r="V170" s="2">
        <f t="shared" si="54"/>
        <v>7.2999999999999995E-2</v>
      </c>
      <c r="W170" s="33">
        <v>1</v>
      </c>
      <c r="X170" s="2">
        <f t="shared" si="55"/>
        <v>7.2999999999999995E-2</v>
      </c>
    </row>
    <row r="171" spans="2:25" x14ac:dyDescent="0.3">
      <c r="B171" s="2">
        <v>7</v>
      </c>
      <c r="C171" s="2" t="s">
        <v>526</v>
      </c>
      <c r="D171" s="2" t="str">
        <f>IFERROR(VLOOKUP(C171,[1]坦克个性化设定!$B$18:$E$48,4,FALSE)&amp;VLOOKUP(C171,[1]坦克个性化细分!$I$3:$J$33,2,FALSE),"")</f>
        <v>T3低</v>
      </c>
      <c r="E171" s="2" t="s">
        <v>1726</v>
      </c>
      <c r="F171" s="2">
        <f t="shared" si="52"/>
        <v>3.6999999999999998E-2</v>
      </c>
      <c r="G171" s="33">
        <v>1</v>
      </c>
      <c r="H171" s="2">
        <f t="shared" si="53"/>
        <v>3.6999999999999998E-2</v>
      </c>
      <c r="R171" s="2">
        <v>10</v>
      </c>
      <c r="S171" s="2" t="s">
        <v>638</v>
      </c>
      <c r="T171" s="2" t="str">
        <f>IFERROR(VLOOKUP(S171,[1]坦克个性化设定!$B$18:$E$48,4,FALSE)&amp;VLOOKUP(S171,[1]坦克个性化细分!$I$3:$J$33,2,FALSE),"")</f>
        <v>T4高</v>
      </c>
      <c r="U171" s="2" t="s">
        <v>1726</v>
      </c>
      <c r="V171" s="2">
        <f t="shared" si="54"/>
        <v>7.2999999999999995E-2</v>
      </c>
      <c r="W171" s="33">
        <v>1</v>
      </c>
      <c r="X171" s="2">
        <f t="shared" si="55"/>
        <v>7.2999999999999995E-2</v>
      </c>
    </row>
    <row r="172" spans="2:25" x14ac:dyDescent="0.3">
      <c r="B172" s="2">
        <v>7</v>
      </c>
      <c r="C172" s="2" t="s">
        <v>529</v>
      </c>
      <c r="D172" s="2" t="str">
        <f>IFERROR(VLOOKUP(C172,[1]坦克个性化设定!$B$18:$E$48,4,FALSE)&amp;VLOOKUP(C172,[1]坦克个性化细分!$I$3:$J$33,2,FALSE),"")</f>
        <v>T3低</v>
      </c>
      <c r="E172" s="2" t="s">
        <v>1726</v>
      </c>
      <c r="F172" s="2">
        <f t="shared" si="52"/>
        <v>3.6999999999999998E-2</v>
      </c>
      <c r="G172" s="33">
        <v>1</v>
      </c>
      <c r="H172" s="2">
        <f t="shared" si="53"/>
        <v>3.6999999999999998E-2</v>
      </c>
      <c r="J172" s="2" t="s">
        <v>377</v>
      </c>
      <c r="K172" s="2" t="s">
        <v>1783</v>
      </c>
      <c r="L172" s="2" t="s">
        <v>886</v>
      </c>
      <c r="M172" s="2" t="s">
        <v>3477</v>
      </c>
      <c r="N172" s="2" t="s">
        <v>3474</v>
      </c>
      <c r="O172" s="2" t="s">
        <v>371</v>
      </c>
      <c r="P172" s="2" t="s">
        <v>3478</v>
      </c>
      <c r="Q172" s="1">
        <f>SUM(P173:P188)</f>
        <v>0.66599999999999993</v>
      </c>
      <c r="R172" s="2">
        <v>10</v>
      </c>
      <c r="S172" s="2" t="s">
        <v>657</v>
      </c>
      <c r="T172" s="2" t="str">
        <f>IFERROR(VLOOKUP(S172,[1]坦克个性化设定!$B$18:$E$48,4,FALSE)&amp;VLOOKUP(S172,[1]坦克个性化细分!$I$3:$J$33,2,FALSE),"")</f>
        <v>T4高</v>
      </c>
      <c r="U172" s="2" t="s">
        <v>1726</v>
      </c>
      <c r="V172" s="2">
        <f t="shared" si="54"/>
        <v>7.2999999999999995E-2</v>
      </c>
      <c r="W172" s="33">
        <v>1</v>
      </c>
      <c r="X172" s="2">
        <f t="shared" si="55"/>
        <v>7.2999999999999995E-2</v>
      </c>
    </row>
    <row r="173" spans="2:25" x14ac:dyDescent="0.3">
      <c r="B173" s="2">
        <v>7</v>
      </c>
      <c r="C173" s="2" t="s">
        <v>611</v>
      </c>
      <c r="D173" s="2" t="str">
        <f>IFERROR(VLOOKUP(C173,[1]坦克个性化设定!$B$18:$E$48,4,FALSE)&amp;VLOOKUP(C173,[1]坦克个性化细分!$I$3:$J$33,2,FALSE),"")</f>
        <v>T3中</v>
      </c>
      <c r="E173" s="2" t="s">
        <v>1726</v>
      </c>
      <c r="F173" s="2">
        <f t="shared" si="52"/>
        <v>3.6999999999999998E-2</v>
      </c>
      <c r="G173" s="33">
        <v>1</v>
      </c>
      <c r="H173" s="2">
        <f t="shared" si="53"/>
        <v>3.6999999999999998E-2</v>
      </c>
      <c r="J173" s="2">
        <v>8</v>
      </c>
      <c r="K173" s="2" t="s">
        <v>611</v>
      </c>
      <c r="L173" s="2" t="str">
        <f>IFERROR(VLOOKUP(K173,[1]坦克个性化设定!$B$18:$E$48,4,FALSE)&amp;VLOOKUP(K173,[1]坦克个性化细分!$I$3:$J$33,2,FALSE),"")</f>
        <v>T3中</v>
      </c>
      <c r="M173" s="2" t="s">
        <v>320</v>
      </c>
      <c r="N173" s="2">
        <f t="shared" ref="N173:N188" si="56">$E$69</f>
        <v>3.6999999999999998E-2</v>
      </c>
      <c r="O173" s="33">
        <v>2</v>
      </c>
      <c r="P173" s="2">
        <f t="shared" ref="P173:P188" si="57">N173*O173</f>
        <v>7.3999999999999996E-2</v>
      </c>
    </row>
    <row r="174" spans="2:25" x14ac:dyDescent="0.3">
      <c r="B174" s="2">
        <v>7</v>
      </c>
      <c r="C174" s="2" t="s">
        <v>630</v>
      </c>
      <c r="D174" s="2" t="str">
        <f>IFERROR(VLOOKUP(C174,[1]坦克个性化设定!$B$18:$E$48,4,FALSE)&amp;VLOOKUP(C174,[1]坦克个性化细分!$I$3:$J$33,2,FALSE),"")</f>
        <v>T3中</v>
      </c>
      <c r="E174" s="2" t="s">
        <v>1726</v>
      </c>
      <c r="F174" s="2">
        <f t="shared" si="52"/>
        <v>3.6999999999999998E-2</v>
      </c>
      <c r="G174" s="33">
        <v>1</v>
      </c>
      <c r="H174" s="2">
        <f t="shared" si="53"/>
        <v>3.6999999999999998E-2</v>
      </c>
      <c r="J174" s="2">
        <v>8</v>
      </c>
      <c r="K174" s="2" t="s">
        <v>630</v>
      </c>
      <c r="L174" s="2" t="str">
        <f>IFERROR(VLOOKUP(K174,[1]坦克个性化设定!$B$18:$E$48,4,FALSE)&amp;VLOOKUP(K174,[1]坦克个性化细分!$I$3:$J$33,2,FALSE),"")</f>
        <v>T3中</v>
      </c>
      <c r="M174" s="2" t="s">
        <v>320</v>
      </c>
      <c r="N174" s="2">
        <f t="shared" si="56"/>
        <v>3.6999999999999998E-2</v>
      </c>
      <c r="O174" s="33">
        <v>2</v>
      </c>
      <c r="P174" s="2">
        <f t="shared" si="57"/>
        <v>7.3999999999999996E-2</v>
      </c>
    </row>
    <row r="175" spans="2:25" x14ac:dyDescent="0.3">
      <c r="B175" s="2">
        <v>7</v>
      </c>
      <c r="C175" s="2" t="s">
        <v>649</v>
      </c>
      <c r="D175" s="2" t="str">
        <f>IFERROR(VLOOKUP(C175,[1]坦克个性化设定!$B$18:$E$48,4,FALSE)&amp;VLOOKUP(C175,[1]坦克个性化细分!$I$3:$J$33,2,FALSE),"")</f>
        <v>T3中</v>
      </c>
      <c r="E175" s="2" t="s">
        <v>1726</v>
      </c>
      <c r="F175" s="2">
        <f t="shared" si="52"/>
        <v>3.6999999999999998E-2</v>
      </c>
      <c r="G175" s="33">
        <v>1</v>
      </c>
      <c r="H175" s="2">
        <f t="shared" si="53"/>
        <v>3.6999999999999998E-2</v>
      </c>
      <c r="J175" s="2">
        <v>8</v>
      </c>
      <c r="K175" s="2" t="s">
        <v>649</v>
      </c>
      <c r="L175" s="2" t="str">
        <f>IFERROR(VLOOKUP(K175,[1]坦克个性化设定!$B$18:$E$48,4,FALSE)&amp;VLOOKUP(K175,[1]坦克个性化细分!$I$3:$J$33,2,FALSE),"")</f>
        <v>T3中</v>
      </c>
      <c r="M175" s="2" t="s">
        <v>320</v>
      </c>
      <c r="N175" s="2">
        <f t="shared" si="56"/>
        <v>3.6999999999999998E-2</v>
      </c>
      <c r="O175" s="33">
        <v>2</v>
      </c>
      <c r="P175" s="2">
        <f t="shared" si="57"/>
        <v>7.3999999999999996E-2</v>
      </c>
    </row>
    <row r="176" spans="2:25" x14ac:dyDescent="0.3">
      <c r="J176" s="2">
        <v>8</v>
      </c>
      <c r="K176" s="2" t="s">
        <v>615</v>
      </c>
      <c r="L176" s="2" t="str">
        <f>IFERROR(VLOOKUP(K176,[1]坦克个性化设定!$B$18:$E$48,4,FALSE)&amp;VLOOKUP(K176,[1]坦克个性化细分!$I$3:$J$33,2,FALSE),"")</f>
        <v>T4低</v>
      </c>
      <c r="M176" s="2" t="s">
        <v>320</v>
      </c>
      <c r="N176" s="2">
        <f t="shared" si="56"/>
        <v>3.6999999999999998E-2</v>
      </c>
      <c r="O176" s="33">
        <v>1.2</v>
      </c>
      <c r="P176" s="2">
        <f t="shared" si="57"/>
        <v>4.4399999999999995E-2</v>
      </c>
    </row>
    <row r="177" spans="2:17" x14ac:dyDescent="0.3">
      <c r="J177" s="2">
        <v>8</v>
      </c>
      <c r="K177" s="2" t="s">
        <v>634</v>
      </c>
      <c r="L177" s="2" t="str">
        <f>IFERROR(VLOOKUP(K177,[1]坦克个性化设定!$B$18:$E$48,4,FALSE)&amp;VLOOKUP(K177,[1]坦克个性化细分!$I$3:$J$33,2,FALSE),"")</f>
        <v>T4低</v>
      </c>
      <c r="M177" s="2" t="s">
        <v>320</v>
      </c>
      <c r="N177" s="2">
        <f t="shared" si="56"/>
        <v>3.6999999999999998E-2</v>
      </c>
      <c r="O177" s="33">
        <v>1.2</v>
      </c>
      <c r="P177" s="2">
        <f t="shared" si="57"/>
        <v>4.4399999999999995E-2</v>
      </c>
    </row>
    <row r="178" spans="2:17" x14ac:dyDescent="0.3">
      <c r="B178" s="2" t="s">
        <v>377</v>
      </c>
      <c r="C178" s="2" t="s">
        <v>1783</v>
      </c>
      <c r="D178" s="2" t="s">
        <v>886</v>
      </c>
      <c r="E178" s="2" t="s">
        <v>3477</v>
      </c>
      <c r="F178" s="2" t="s">
        <v>3474</v>
      </c>
      <c r="G178" s="2" t="s">
        <v>371</v>
      </c>
      <c r="H178" s="2" t="s">
        <v>3478</v>
      </c>
      <c r="I178" s="1">
        <f>SUM(H179:H195)</f>
        <v>0.6623</v>
      </c>
      <c r="J178" s="2">
        <v>8</v>
      </c>
      <c r="K178" s="2" t="s">
        <v>653</v>
      </c>
      <c r="L178" s="2" t="str">
        <f>IFERROR(VLOOKUP(K178,[1]坦克个性化设定!$B$18:$E$48,4,FALSE)&amp;VLOOKUP(K178,[1]坦克个性化细分!$I$3:$J$33,2,FALSE),"")</f>
        <v>T4低</v>
      </c>
      <c r="M178" s="2" t="s">
        <v>320</v>
      </c>
      <c r="N178" s="2">
        <f t="shared" si="56"/>
        <v>3.6999999999999998E-2</v>
      </c>
      <c r="O178" s="33">
        <v>1.2</v>
      </c>
      <c r="P178" s="2">
        <f t="shared" si="57"/>
        <v>4.4399999999999995E-2</v>
      </c>
    </row>
    <row r="179" spans="2:17" x14ac:dyDescent="0.3">
      <c r="B179" s="2">
        <v>8</v>
      </c>
      <c r="C179" s="2" t="s">
        <v>516</v>
      </c>
      <c r="D179" s="2" t="str">
        <f>IFERROR(VLOOKUP(C179,[1]坦克个性化设定!$B$18:$E$48,4,FALSE)&amp;VLOOKUP(C179,[1]坦克个性化细分!$I$3:$J$33,2,FALSE),"")</f>
        <v>T2低</v>
      </c>
      <c r="E179" s="2" t="s">
        <v>1726</v>
      </c>
      <c r="F179" s="2">
        <f t="shared" ref="F179:F195" si="58">$E$69</f>
        <v>3.6999999999999998E-2</v>
      </c>
      <c r="G179" s="33">
        <v>1.3</v>
      </c>
      <c r="H179" s="2">
        <f t="shared" ref="H179:H195" si="59">F179*G179</f>
        <v>4.8099999999999997E-2</v>
      </c>
      <c r="J179" s="2">
        <v>8</v>
      </c>
      <c r="K179" s="2" t="s">
        <v>636</v>
      </c>
      <c r="L179" s="2" t="str">
        <f>IFERROR(VLOOKUP(K179,[1]坦克个性化设定!$B$18:$E$48,4,FALSE)&amp;VLOOKUP(K179,[1]坦克个性化细分!$I$3:$J$33,2,FALSE),"")</f>
        <v>T4中</v>
      </c>
      <c r="M179" s="2" t="s">
        <v>320</v>
      </c>
      <c r="N179" s="2">
        <f t="shared" si="56"/>
        <v>3.6999999999999998E-2</v>
      </c>
      <c r="O179" s="33">
        <v>1.2</v>
      </c>
      <c r="P179" s="2">
        <f t="shared" si="57"/>
        <v>4.4399999999999995E-2</v>
      </c>
    </row>
    <row r="180" spans="2:17" x14ac:dyDescent="0.3">
      <c r="B180" s="2">
        <v>8</v>
      </c>
      <c r="C180" s="2" t="s">
        <v>518</v>
      </c>
      <c r="D180" s="2" t="str">
        <f>IFERROR(VLOOKUP(C180,[1]坦克个性化设定!$B$18:$E$48,4,FALSE)&amp;VLOOKUP(C180,[1]坦克个性化细分!$I$3:$J$33,2,FALSE),"")</f>
        <v>T2低</v>
      </c>
      <c r="E180" s="2" t="s">
        <v>1726</v>
      </c>
      <c r="F180" s="2">
        <f t="shared" si="58"/>
        <v>3.6999999999999998E-2</v>
      </c>
      <c r="G180" s="33">
        <v>1.3</v>
      </c>
      <c r="H180" s="2">
        <f t="shared" si="59"/>
        <v>4.8099999999999997E-2</v>
      </c>
      <c r="J180" s="2">
        <v>8</v>
      </c>
      <c r="K180" s="2" t="s">
        <v>620</v>
      </c>
      <c r="L180" s="2" t="str">
        <f>IFERROR(VLOOKUP(K180,[1]坦克个性化设定!$B$18:$E$48,4,FALSE)&amp;VLOOKUP(K180,[1]坦克个性化细分!$I$3:$J$33,2,FALSE),"")</f>
        <v>T4高</v>
      </c>
      <c r="M180" s="2" t="s">
        <v>320</v>
      </c>
      <c r="N180" s="2">
        <f t="shared" si="56"/>
        <v>3.6999999999999998E-2</v>
      </c>
      <c r="O180" s="33">
        <v>1.2</v>
      </c>
      <c r="P180" s="2">
        <f t="shared" si="57"/>
        <v>4.4399999999999995E-2</v>
      </c>
    </row>
    <row r="181" spans="2:17" x14ac:dyDescent="0.3">
      <c r="B181" s="2">
        <v>8</v>
      </c>
      <c r="C181" s="2" t="s">
        <v>644</v>
      </c>
      <c r="D181" s="2" t="str">
        <f>IFERROR(VLOOKUP(C181,[1]坦克个性化设定!$B$18:$E$48,4,FALSE)&amp;VLOOKUP(C181,[1]坦克个性化细分!$I$3:$J$33,2,FALSE),"")</f>
        <v>T2低</v>
      </c>
      <c r="E181" s="2" t="s">
        <v>1726</v>
      </c>
      <c r="F181" s="2">
        <f t="shared" si="58"/>
        <v>3.6999999999999998E-2</v>
      </c>
      <c r="G181" s="33">
        <v>1.3</v>
      </c>
      <c r="H181" s="2">
        <f t="shared" si="59"/>
        <v>4.8099999999999997E-2</v>
      </c>
      <c r="J181" s="2">
        <v>8</v>
      </c>
      <c r="K181" s="2" t="s">
        <v>611</v>
      </c>
      <c r="L181" s="2" t="str">
        <f>IFERROR(VLOOKUP(K181,[1]坦克个性化设定!$B$18:$E$48,4,FALSE)&amp;VLOOKUP(K181,[1]坦克个性化细分!$I$3:$J$33,2,FALSE),"")</f>
        <v>T3中</v>
      </c>
      <c r="M181" s="2" t="s">
        <v>1726</v>
      </c>
      <c r="N181" s="2">
        <f t="shared" si="56"/>
        <v>3.6999999999999998E-2</v>
      </c>
      <c r="O181" s="33">
        <v>1</v>
      </c>
      <c r="P181" s="2">
        <f t="shared" si="57"/>
        <v>3.6999999999999998E-2</v>
      </c>
    </row>
    <row r="182" spans="2:17" x14ac:dyDescent="0.3">
      <c r="B182" s="2">
        <v>8</v>
      </c>
      <c r="C182" s="2" t="s">
        <v>607</v>
      </c>
      <c r="D182" s="2" t="str">
        <f>IFERROR(VLOOKUP(C182,[1]坦克个性化设定!$B$18:$E$48,4,FALSE)&amp;VLOOKUP(C182,[1]坦克个性化细分!$I$3:$J$33,2,FALSE),"")</f>
        <v>T2中</v>
      </c>
      <c r="E182" s="2" t="s">
        <v>1726</v>
      </c>
      <c r="F182" s="2">
        <f t="shared" si="58"/>
        <v>3.6999999999999998E-2</v>
      </c>
      <c r="G182" s="33">
        <v>1</v>
      </c>
      <c r="H182" s="2">
        <f t="shared" si="59"/>
        <v>3.6999999999999998E-2</v>
      </c>
      <c r="J182" s="2">
        <v>8</v>
      </c>
      <c r="K182" s="2" t="s">
        <v>630</v>
      </c>
      <c r="L182" s="2" t="str">
        <f>IFERROR(VLOOKUP(K182,[1]坦克个性化设定!$B$18:$E$48,4,FALSE)&amp;VLOOKUP(K182,[1]坦克个性化细分!$I$3:$J$33,2,FALSE),"")</f>
        <v>T3中</v>
      </c>
      <c r="M182" s="2" t="s">
        <v>1726</v>
      </c>
      <c r="N182" s="2">
        <f t="shared" si="56"/>
        <v>3.6999999999999998E-2</v>
      </c>
      <c r="O182" s="33">
        <v>1</v>
      </c>
      <c r="P182" s="2">
        <f t="shared" si="57"/>
        <v>3.6999999999999998E-2</v>
      </c>
    </row>
    <row r="183" spans="2:17" x14ac:dyDescent="0.3">
      <c r="B183" s="2">
        <v>8</v>
      </c>
      <c r="C183" s="2" t="s">
        <v>627</v>
      </c>
      <c r="D183" s="2" t="str">
        <f>IFERROR(VLOOKUP(C183,[1]坦克个性化设定!$B$18:$E$48,4,FALSE)&amp;VLOOKUP(C183,[1]坦克个性化细分!$I$3:$J$33,2,FALSE),"")</f>
        <v>T2中</v>
      </c>
      <c r="E183" s="2" t="s">
        <v>1726</v>
      </c>
      <c r="F183" s="2">
        <f t="shared" si="58"/>
        <v>3.6999999999999998E-2</v>
      </c>
      <c r="G183" s="33">
        <v>1</v>
      </c>
      <c r="H183" s="2">
        <f t="shared" si="59"/>
        <v>3.6999999999999998E-2</v>
      </c>
      <c r="J183" s="2">
        <v>8</v>
      </c>
      <c r="K183" s="2" t="s">
        <v>649</v>
      </c>
      <c r="L183" s="2" t="str">
        <f>IFERROR(VLOOKUP(K183,[1]坦克个性化设定!$B$18:$E$48,4,FALSE)&amp;VLOOKUP(K183,[1]坦克个性化细分!$I$3:$J$33,2,FALSE),"")</f>
        <v>T3中</v>
      </c>
      <c r="M183" s="2" t="s">
        <v>1726</v>
      </c>
      <c r="N183" s="2">
        <f t="shared" si="56"/>
        <v>3.6999999999999998E-2</v>
      </c>
      <c r="O183" s="33">
        <v>1</v>
      </c>
      <c r="P183" s="2">
        <f t="shared" si="57"/>
        <v>3.6999999999999998E-2</v>
      </c>
    </row>
    <row r="184" spans="2:17" x14ac:dyDescent="0.3">
      <c r="B184" s="2">
        <v>8</v>
      </c>
      <c r="C184" s="2" t="s">
        <v>646</v>
      </c>
      <c r="D184" s="2" t="str">
        <f>IFERROR(VLOOKUP(C184,[1]坦克个性化设定!$B$18:$E$48,4,FALSE)&amp;VLOOKUP(C184,[1]坦克个性化细分!$I$3:$J$33,2,FALSE),"")</f>
        <v>T2中</v>
      </c>
      <c r="E184" s="2" t="s">
        <v>1726</v>
      </c>
      <c r="F184" s="2">
        <f t="shared" si="58"/>
        <v>3.6999999999999998E-2</v>
      </c>
      <c r="G184" s="33">
        <v>1</v>
      </c>
      <c r="H184" s="2">
        <f t="shared" si="59"/>
        <v>3.6999999999999998E-2</v>
      </c>
      <c r="J184" s="2">
        <v>8</v>
      </c>
      <c r="K184" s="2" t="s">
        <v>615</v>
      </c>
      <c r="L184" s="2" t="str">
        <f>IFERROR(VLOOKUP(K184,[1]坦克个性化设定!$B$18:$E$48,4,FALSE)&amp;VLOOKUP(K184,[1]坦克个性化细分!$I$3:$J$33,2,FALSE),"")</f>
        <v>T4低</v>
      </c>
      <c r="M184" s="2" t="s">
        <v>1726</v>
      </c>
      <c r="N184" s="2">
        <f t="shared" si="56"/>
        <v>3.6999999999999998E-2</v>
      </c>
      <c r="O184" s="33">
        <v>0.6</v>
      </c>
      <c r="P184" s="2">
        <f t="shared" si="57"/>
        <v>2.2199999999999998E-2</v>
      </c>
    </row>
    <row r="185" spans="2:17" x14ac:dyDescent="0.3">
      <c r="B185" s="2">
        <v>8</v>
      </c>
      <c r="C185" s="2" t="s">
        <v>522</v>
      </c>
      <c r="D185" s="2" t="str">
        <f>IFERROR(VLOOKUP(C185,[1]坦克个性化设定!$B$18:$E$48,4,FALSE)&amp;VLOOKUP(C185,[1]坦克个性化细分!$I$3:$J$33,2,FALSE),"")</f>
        <v>T3低</v>
      </c>
      <c r="E185" s="2" t="s">
        <v>1726</v>
      </c>
      <c r="F185" s="2">
        <f t="shared" si="58"/>
        <v>3.6999999999999998E-2</v>
      </c>
      <c r="G185" s="33">
        <v>1</v>
      </c>
      <c r="H185" s="2">
        <f t="shared" si="59"/>
        <v>3.6999999999999998E-2</v>
      </c>
      <c r="J185" s="2">
        <v>8</v>
      </c>
      <c r="K185" s="2" t="s">
        <v>634</v>
      </c>
      <c r="L185" s="2" t="str">
        <f>IFERROR(VLOOKUP(K185,[1]坦克个性化设定!$B$18:$E$48,4,FALSE)&amp;VLOOKUP(K185,[1]坦克个性化细分!$I$3:$J$33,2,FALSE),"")</f>
        <v>T4低</v>
      </c>
      <c r="M185" s="2" t="s">
        <v>1726</v>
      </c>
      <c r="N185" s="2">
        <f t="shared" si="56"/>
        <v>3.6999999999999998E-2</v>
      </c>
      <c r="O185" s="33">
        <v>0.6</v>
      </c>
      <c r="P185" s="2">
        <f t="shared" si="57"/>
        <v>2.2199999999999998E-2</v>
      </c>
    </row>
    <row r="186" spans="2:17" x14ac:dyDescent="0.3">
      <c r="B186" s="2">
        <v>8</v>
      </c>
      <c r="C186" s="2" t="s">
        <v>526</v>
      </c>
      <c r="D186" s="2" t="str">
        <f>IFERROR(VLOOKUP(C186,[1]坦克个性化设定!$B$18:$E$48,4,FALSE)&amp;VLOOKUP(C186,[1]坦克个性化细分!$I$3:$J$33,2,FALSE),"")</f>
        <v>T3低</v>
      </c>
      <c r="E186" s="2" t="s">
        <v>1726</v>
      </c>
      <c r="F186" s="2">
        <f t="shared" si="58"/>
        <v>3.6999999999999998E-2</v>
      </c>
      <c r="G186" s="33">
        <v>1</v>
      </c>
      <c r="H186" s="2">
        <f t="shared" si="59"/>
        <v>3.6999999999999998E-2</v>
      </c>
      <c r="J186" s="2">
        <v>8</v>
      </c>
      <c r="K186" s="2" t="s">
        <v>653</v>
      </c>
      <c r="L186" s="2" t="str">
        <f>IFERROR(VLOOKUP(K186,[1]坦克个性化设定!$B$18:$E$48,4,FALSE)&amp;VLOOKUP(K186,[1]坦克个性化细分!$I$3:$J$33,2,FALSE),"")</f>
        <v>T4低</v>
      </c>
      <c r="M186" s="2" t="s">
        <v>1726</v>
      </c>
      <c r="N186" s="2">
        <f t="shared" si="56"/>
        <v>3.6999999999999998E-2</v>
      </c>
      <c r="O186" s="33">
        <v>0.6</v>
      </c>
      <c r="P186" s="2">
        <f t="shared" si="57"/>
        <v>2.2199999999999998E-2</v>
      </c>
    </row>
    <row r="187" spans="2:17" x14ac:dyDescent="0.3">
      <c r="B187" s="2">
        <v>8</v>
      </c>
      <c r="C187" s="2" t="s">
        <v>529</v>
      </c>
      <c r="D187" s="2" t="str">
        <f>IFERROR(VLOOKUP(C187,[1]坦克个性化设定!$B$18:$E$48,4,FALSE)&amp;VLOOKUP(C187,[1]坦克个性化细分!$I$3:$J$33,2,FALSE),"")</f>
        <v>T3低</v>
      </c>
      <c r="E187" s="2" t="s">
        <v>1726</v>
      </c>
      <c r="F187" s="2">
        <f t="shared" si="58"/>
        <v>3.6999999999999998E-2</v>
      </c>
      <c r="G187" s="33">
        <v>1</v>
      </c>
      <c r="H187" s="2">
        <f t="shared" si="59"/>
        <v>3.6999999999999998E-2</v>
      </c>
      <c r="J187" s="2">
        <v>8</v>
      </c>
      <c r="K187" s="2" t="s">
        <v>618</v>
      </c>
      <c r="L187" s="2" t="str">
        <f>IFERROR(VLOOKUP(K187,[1]坦克个性化设定!$B$18:$E$48,4,FALSE)&amp;VLOOKUP(K187,[1]坦克个性化细分!$I$3:$J$33,2,FALSE),"")</f>
        <v>T4中</v>
      </c>
      <c r="M187" s="2" t="s">
        <v>1726</v>
      </c>
      <c r="N187" s="2">
        <f t="shared" si="56"/>
        <v>3.6999999999999998E-2</v>
      </c>
      <c r="O187" s="33">
        <v>0.6</v>
      </c>
      <c r="P187" s="2">
        <f t="shared" si="57"/>
        <v>2.2199999999999998E-2</v>
      </c>
    </row>
    <row r="188" spans="2:17" x14ac:dyDescent="0.3">
      <c r="B188" s="2">
        <v>8</v>
      </c>
      <c r="C188" s="2" t="s">
        <v>611</v>
      </c>
      <c r="D188" s="2" t="str">
        <f>IFERROR(VLOOKUP(C188,[1]坦克个性化设定!$B$18:$E$48,4,FALSE)&amp;VLOOKUP(C188,[1]坦克个性化细分!$I$3:$J$33,2,FALSE),"")</f>
        <v>T3中</v>
      </c>
      <c r="E188" s="2" t="s">
        <v>1726</v>
      </c>
      <c r="F188" s="2">
        <f t="shared" si="58"/>
        <v>3.6999999999999998E-2</v>
      </c>
      <c r="G188" s="33">
        <v>1</v>
      </c>
      <c r="H188" s="2">
        <f t="shared" si="59"/>
        <v>3.6999999999999998E-2</v>
      </c>
      <c r="J188" s="2">
        <v>8</v>
      </c>
      <c r="K188" s="2" t="s">
        <v>620</v>
      </c>
      <c r="L188" s="2" t="str">
        <f>IFERROR(VLOOKUP(K188,[1]坦克个性化设定!$B$18:$E$48,4,FALSE)&amp;VLOOKUP(K188,[1]坦克个性化细分!$I$3:$J$33,2,FALSE),"")</f>
        <v>T4高</v>
      </c>
      <c r="M188" s="2" t="s">
        <v>1726</v>
      </c>
      <c r="N188" s="2">
        <f t="shared" si="56"/>
        <v>3.6999999999999998E-2</v>
      </c>
      <c r="O188" s="33">
        <v>0.6</v>
      </c>
      <c r="P188" s="2">
        <f t="shared" si="57"/>
        <v>2.2199999999999998E-2</v>
      </c>
    </row>
    <row r="189" spans="2:17" x14ac:dyDescent="0.3">
      <c r="B189" s="2">
        <v>8</v>
      </c>
      <c r="C189" s="2" t="s">
        <v>630</v>
      </c>
      <c r="D189" s="2" t="str">
        <f>IFERROR(VLOOKUP(C189,[1]坦克个性化设定!$B$18:$E$48,4,FALSE)&amp;VLOOKUP(C189,[1]坦克个性化细分!$I$3:$J$33,2,FALSE),"")</f>
        <v>T3中</v>
      </c>
      <c r="E189" s="2" t="s">
        <v>1726</v>
      </c>
      <c r="F189" s="2">
        <f t="shared" si="58"/>
        <v>3.6999999999999998E-2</v>
      </c>
      <c r="G189" s="33">
        <v>1</v>
      </c>
      <c r="H189" s="2">
        <f t="shared" si="59"/>
        <v>3.6999999999999998E-2</v>
      </c>
    </row>
    <row r="190" spans="2:17" x14ac:dyDescent="0.3">
      <c r="B190" s="2">
        <v>8</v>
      </c>
      <c r="C190" s="2" t="s">
        <v>649</v>
      </c>
      <c r="D190" s="2" t="str">
        <f>IFERROR(VLOOKUP(C190,[1]坦克个性化设定!$B$18:$E$48,4,FALSE)&amp;VLOOKUP(C190,[1]坦克个性化细分!$I$3:$J$33,2,FALSE),"")</f>
        <v>T3中</v>
      </c>
      <c r="E190" s="2" t="s">
        <v>1726</v>
      </c>
      <c r="F190" s="2">
        <f t="shared" si="58"/>
        <v>3.6999999999999998E-2</v>
      </c>
      <c r="G190" s="33">
        <v>1</v>
      </c>
      <c r="H190" s="2">
        <f t="shared" si="59"/>
        <v>3.6999999999999998E-2</v>
      </c>
    </row>
    <row r="191" spans="2:17" x14ac:dyDescent="0.3">
      <c r="B191" s="2">
        <v>8</v>
      </c>
      <c r="C191" s="2" t="s">
        <v>615</v>
      </c>
      <c r="D191" s="2" t="str">
        <f>IFERROR(VLOOKUP(C191,[1]坦克个性化设定!$B$18:$E$48,4,FALSE)&amp;VLOOKUP(C191,[1]坦克个性化细分!$I$3:$J$33,2,FALSE),"")</f>
        <v>T4低</v>
      </c>
      <c r="E191" s="2" t="s">
        <v>1726</v>
      </c>
      <c r="F191" s="2">
        <f t="shared" si="58"/>
        <v>3.6999999999999998E-2</v>
      </c>
      <c r="G191" s="33">
        <v>1</v>
      </c>
      <c r="H191" s="2">
        <f t="shared" si="59"/>
        <v>3.6999999999999998E-2</v>
      </c>
      <c r="J191" s="2" t="s">
        <v>377</v>
      </c>
      <c r="K191" s="2" t="s">
        <v>1783</v>
      </c>
      <c r="L191" s="2" t="s">
        <v>886</v>
      </c>
      <c r="M191" s="2" t="s">
        <v>3477</v>
      </c>
      <c r="N191" s="2" t="s">
        <v>3474</v>
      </c>
      <c r="O191" s="2" t="s">
        <v>371</v>
      </c>
      <c r="P191" s="2" t="s">
        <v>3478</v>
      </c>
      <c r="Q191" s="1">
        <f>SUM(P192:P205)</f>
        <v>0.54389999999999994</v>
      </c>
    </row>
    <row r="192" spans="2:17" x14ac:dyDescent="0.3">
      <c r="B192" s="2">
        <v>8</v>
      </c>
      <c r="C192" s="2" t="s">
        <v>634</v>
      </c>
      <c r="D192" s="2" t="str">
        <f>IFERROR(VLOOKUP(C192,[1]坦克个性化设定!$B$18:$E$48,4,FALSE)&amp;VLOOKUP(C192,[1]坦克个性化细分!$I$3:$J$33,2,FALSE),"")</f>
        <v>T4低</v>
      </c>
      <c r="E192" s="2" t="s">
        <v>1726</v>
      </c>
      <c r="F192" s="2">
        <f t="shared" si="58"/>
        <v>3.6999999999999998E-2</v>
      </c>
      <c r="G192" s="33">
        <v>1</v>
      </c>
      <c r="H192" s="2">
        <f t="shared" si="59"/>
        <v>3.6999999999999998E-2</v>
      </c>
      <c r="J192" s="2">
        <v>9</v>
      </c>
      <c r="K192" s="2" t="s">
        <v>615</v>
      </c>
      <c r="L192" s="2" t="str">
        <f>IFERROR(VLOOKUP(K192,[1]坦克个性化设定!$B$18:$E$48,4,FALSE)&amp;VLOOKUP(K192,[1]坦克个性化细分!$I$3:$J$33,2,FALSE),"")</f>
        <v>T4低</v>
      </c>
      <c r="M192" s="2" t="s">
        <v>320</v>
      </c>
      <c r="N192" s="2">
        <f t="shared" ref="N192:N205" si="60">$E$69</f>
        <v>3.6999999999999998E-2</v>
      </c>
      <c r="O192" s="34">
        <v>1.4</v>
      </c>
      <c r="P192" s="2">
        <f t="shared" ref="P192:P205" si="61">N192*O192</f>
        <v>5.1799999999999992E-2</v>
      </c>
    </row>
    <row r="193" spans="2:17" x14ac:dyDescent="0.3">
      <c r="B193" s="2">
        <v>8</v>
      </c>
      <c r="C193" s="2" t="s">
        <v>653</v>
      </c>
      <c r="D193" s="2" t="str">
        <f>IFERROR(VLOOKUP(C193,[1]坦克个性化设定!$B$18:$E$48,4,FALSE)&amp;VLOOKUP(C193,[1]坦克个性化细分!$I$3:$J$33,2,FALSE),"")</f>
        <v>T4低</v>
      </c>
      <c r="E193" s="2" t="s">
        <v>1726</v>
      </c>
      <c r="F193" s="2">
        <f t="shared" si="58"/>
        <v>3.6999999999999998E-2</v>
      </c>
      <c r="G193" s="33">
        <v>1</v>
      </c>
      <c r="H193" s="2">
        <f t="shared" si="59"/>
        <v>3.6999999999999998E-2</v>
      </c>
      <c r="J193" s="2">
        <v>9</v>
      </c>
      <c r="K193" s="2" t="s">
        <v>634</v>
      </c>
      <c r="L193" s="2" t="str">
        <f>IFERROR(VLOOKUP(K193,[1]坦克个性化设定!$B$18:$E$48,4,FALSE)&amp;VLOOKUP(K193,[1]坦克个性化细分!$I$3:$J$33,2,FALSE),"")</f>
        <v>T4低</v>
      </c>
      <c r="M193" s="2" t="s">
        <v>320</v>
      </c>
      <c r="N193" s="2">
        <f t="shared" si="60"/>
        <v>3.6999999999999998E-2</v>
      </c>
      <c r="O193" s="34">
        <v>1.4</v>
      </c>
      <c r="P193" s="2">
        <f t="shared" si="61"/>
        <v>5.1799999999999992E-2</v>
      </c>
    </row>
    <row r="194" spans="2:17" x14ac:dyDescent="0.3">
      <c r="B194" s="2">
        <v>8</v>
      </c>
      <c r="C194" s="2" t="s">
        <v>618</v>
      </c>
      <c r="D194" s="2" t="str">
        <f>IFERROR(VLOOKUP(C194,[1]坦克个性化设定!$B$18:$E$48,4,FALSE)&amp;VLOOKUP(C194,[1]坦克个性化细分!$I$3:$J$33,2,FALSE),"")</f>
        <v>T4中</v>
      </c>
      <c r="E194" s="2" t="s">
        <v>1726</v>
      </c>
      <c r="F194" s="2">
        <f t="shared" si="58"/>
        <v>3.6999999999999998E-2</v>
      </c>
      <c r="G194" s="33">
        <v>1</v>
      </c>
      <c r="H194" s="2">
        <f t="shared" si="59"/>
        <v>3.6999999999999998E-2</v>
      </c>
      <c r="J194" s="2">
        <v>9</v>
      </c>
      <c r="K194" s="2" t="s">
        <v>653</v>
      </c>
      <c r="L194" s="2" t="str">
        <f>IFERROR(VLOOKUP(K194,[1]坦克个性化设定!$B$18:$E$48,4,FALSE)&amp;VLOOKUP(K194,[1]坦克个性化细分!$I$3:$J$33,2,FALSE),"")</f>
        <v>T4低</v>
      </c>
      <c r="M194" s="2" t="s">
        <v>320</v>
      </c>
      <c r="N194" s="2">
        <f t="shared" si="60"/>
        <v>3.6999999999999998E-2</v>
      </c>
      <c r="O194" s="34">
        <v>1.4</v>
      </c>
      <c r="P194" s="2">
        <f t="shared" si="61"/>
        <v>5.1799999999999992E-2</v>
      </c>
    </row>
    <row r="195" spans="2:17" x14ac:dyDescent="0.3">
      <c r="B195" s="2">
        <v>8</v>
      </c>
      <c r="C195" s="2" t="s">
        <v>620</v>
      </c>
      <c r="D195" s="2" t="str">
        <f>IFERROR(VLOOKUP(C195,[1]坦克个性化设定!$B$18:$E$48,4,FALSE)&amp;VLOOKUP(C195,[1]坦克个性化细分!$I$3:$J$33,2,FALSE),"")</f>
        <v>T4高</v>
      </c>
      <c r="E195" s="2" t="s">
        <v>1726</v>
      </c>
      <c r="F195" s="2">
        <f t="shared" si="58"/>
        <v>3.6999999999999998E-2</v>
      </c>
      <c r="G195" s="33">
        <v>1</v>
      </c>
      <c r="H195" s="2">
        <f t="shared" si="59"/>
        <v>3.6999999999999998E-2</v>
      </c>
      <c r="J195" s="2">
        <v>9</v>
      </c>
      <c r="K195" s="2" t="s">
        <v>618</v>
      </c>
      <c r="L195" s="2" t="str">
        <f>IFERROR(VLOOKUP(K195,[1]坦克个性化设定!$B$18:$E$48,4,FALSE)&amp;VLOOKUP(K195,[1]坦克个性化细分!$I$3:$J$33,2,FALSE),"")</f>
        <v>T4中</v>
      </c>
      <c r="M195" s="2" t="s">
        <v>320</v>
      </c>
      <c r="N195" s="2">
        <f t="shared" si="60"/>
        <v>3.6999999999999998E-2</v>
      </c>
      <c r="O195" s="34">
        <v>1.4</v>
      </c>
      <c r="P195" s="2">
        <f t="shared" si="61"/>
        <v>5.1799999999999992E-2</v>
      </c>
    </row>
    <row r="196" spans="2:17" x14ac:dyDescent="0.3">
      <c r="J196" s="2">
        <v>9</v>
      </c>
      <c r="K196" s="2" t="s">
        <v>636</v>
      </c>
      <c r="L196" s="2" t="str">
        <f>IFERROR(VLOOKUP(K196,[1]坦克个性化设定!$B$18:$E$48,4,FALSE)&amp;VLOOKUP(K196,[1]坦克个性化细分!$I$3:$J$33,2,FALSE),"")</f>
        <v>T4中</v>
      </c>
      <c r="M196" s="2" t="s">
        <v>320</v>
      </c>
      <c r="N196" s="2">
        <f t="shared" si="60"/>
        <v>3.6999999999999998E-2</v>
      </c>
      <c r="O196" s="34">
        <v>1.4</v>
      </c>
      <c r="P196" s="2">
        <f t="shared" si="61"/>
        <v>5.1799999999999992E-2</v>
      </c>
    </row>
    <row r="197" spans="2:17" x14ac:dyDescent="0.3">
      <c r="J197" s="2">
        <v>9</v>
      </c>
      <c r="K197" s="2" t="s">
        <v>620</v>
      </c>
      <c r="L197" s="2" t="str">
        <f>IFERROR(VLOOKUP(K197,[1]坦克个性化设定!$B$18:$E$48,4,FALSE)&amp;VLOOKUP(K197,[1]坦克个性化细分!$I$3:$J$33,2,FALSE),"")</f>
        <v>T4高</v>
      </c>
      <c r="M197" s="2" t="s">
        <v>320</v>
      </c>
      <c r="N197" s="2">
        <f t="shared" si="60"/>
        <v>3.6999999999999998E-2</v>
      </c>
      <c r="O197" s="34">
        <v>1.4</v>
      </c>
      <c r="P197" s="2">
        <f t="shared" si="61"/>
        <v>5.1799999999999992E-2</v>
      </c>
    </row>
    <row r="198" spans="2:17" x14ac:dyDescent="0.3">
      <c r="B198" s="2" t="s">
        <v>377</v>
      </c>
      <c r="C198" s="2" t="s">
        <v>1783</v>
      </c>
      <c r="D198" s="2" t="s">
        <v>886</v>
      </c>
      <c r="E198" s="2" t="s">
        <v>3477</v>
      </c>
      <c r="F198" s="2" t="s">
        <v>3474</v>
      </c>
      <c r="G198" s="2" t="s">
        <v>371</v>
      </c>
      <c r="H198" s="2" t="s">
        <v>3478</v>
      </c>
      <c r="I198" s="1">
        <f>SUM(H199:H214)</f>
        <v>0.59199999999999997</v>
      </c>
      <c r="J198" s="2">
        <v>9</v>
      </c>
      <c r="K198" s="2" t="s">
        <v>638</v>
      </c>
      <c r="L198" s="2" t="str">
        <f>IFERROR(VLOOKUP(K198,[1]坦克个性化设定!$B$18:$E$48,4,FALSE)&amp;VLOOKUP(K198,[1]坦克个性化细分!$I$3:$J$33,2,FALSE),"")</f>
        <v>T4高</v>
      </c>
      <c r="M198" s="2" t="s">
        <v>320</v>
      </c>
      <c r="N198" s="2">
        <f t="shared" si="60"/>
        <v>3.6999999999999998E-2</v>
      </c>
      <c r="O198" s="34">
        <v>1.4</v>
      </c>
      <c r="P198" s="2">
        <f t="shared" si="61"/>
        <v>5.1799999999999992E-2</v>
      </c>
    </row>
    <row r="199" spans="2:17" x14ac:dyDescent="0.3">
      <c r="B199" s="2">
        <v>9</v>
      </c>
      <c r="C199" s="2" t="s">
        <v>607</v>
      </c>
      <c r="D199" s="2" t="str">
        <f>IFERROR(VLOOKUP(C199,[1]坦克个性化设定!$B$18:$E$48,4,FALSE)&amp;VLOOKUP(C199,[1]坦克个性化细分!$I$3:$J$33,2,FALSE),"")</f>
        <v>T2中</v>
      </c>
      <c r="E199" s="2" t="s">
        <v>1726</v>
      </c>
      <c r="F199" s="2">
        <f t="shared" ref="F199:F214" si="62">$E$69</f>
        <v>3.6999999999999998E-2</v>
      </c>
      <c r="G199" s="33">
        <v>1</v>
      </c>
      <c r="H199" s="2">
        <f t="shared" ref="H199:H214" si="63">F199*G199</f>
        <v>3.6999999999999998E-2</v>
      </c>
      <c r="J199" s="2">
        <v>9</v>
      </c>
      <c r="K199" s="2" t="s">
        <v>615</v>
      </c>
      <c r="L199" s="2" t="str">
        <f>IFERROR(VLOOKUP(K199,[1]坦克个性化设定!$B$18:$E$48,4,FALSE)&amp;VLOOKUP(K199,[1]坦克个性化细分!$I$3:$J$33,2,FALSE),"")</f>
        <v>T4低</v>
      </c>
      <c r="M199" s="2" t="s">
        <v>1726</v>
      </c>
      <c r="N199" s="2">
        <f t="shared" si="60"/>
        <v>3.6999999999999998E-2</v>
      </c>
      <c r="O199" s="34">
        <v>0.7</v>
      </c>
      <c r="P199" s="2">
        <f t="shared" si="61"/>
        <v>2.5899999999999996E-2</v>
      </c>
    </row>
    <row r="200" spans="2:17" x14ac:dyDescent="0.3">
      <c r="B200" s="2">
        <v>9</v>
      </c>
      <c r="C200" s="2" t="s">
        <v>627</v>
      </c>
      <c r="D200" s="2" t="str">
        <f>IFERROR(VLOOKUP(C200,[1]坦克个性化设定!$B$18:$E$48,4,FALSE)&amp;VLOOKUP(C200,[1]坦克个性化细分!$I$3:$J$33,2,FALSE),"")</f>
        <v>T2中</v>
      </c>
      <c r="E200" s="2" t="s">
        <v>1726</v>
      </c>
      <c r="F200" s="2">
        <f t="shared" si="62"/>
        <v>3.6999999999999998E-2</v>
      </c>
      <c r="G200" s="33">
        <v>1</v>
      </c>
      <c r="H200" s="2">
        <f t="shared" si="63"/>
        <v>3.6999999999999998E-2</v>
      </c>
      <c r="J200" s="2">
        <v>9</v>
      </c>
      <c r="K200" s="2" t="s">
        <v>634</v>
      </c>
      <c r="L200" s="2" t="str">
        <f>IFERROR(VLOOKUP(K200,[1]坦克个性化设定!$B$18:$E$48,4,FALSE)&amp;VLOOKUP(K200,[1]坦克个性化细分!$I$3:$J$33,2,FALSE),"")</f>
        <v>T4低</v>
      </c>
      <c r="M200" s="2" t="s">
        <v>1726</v>
      </c>
      <c r="N200" s="2">
        <f t="shared" si="60"/>
        <v>3.6999999999999998E-2</v>
      </c>
      <c r="O200" s="34">
        <v>0.7</v>
      </c>
      <c r="P200" s="2">
        <f t="shared" si="61"/>
        <v>2.5899999999999996E-2</v>
      </c>
    </row>
    <row r="201" spans="2:17" x14ac:dyDescent="0.3">
      <c r="B201" s="2">
        <v>9</v>
      </c>
      <c r="C201" s="2" t="s">
        <v>646</v>
      </c>
      <c r="D201" s="2" t="str">
        <f>IFERROR(VLOOKUP(C201,[1]坦克个性化设定!$B$18:$E$48,4,FALSE)&amp;VLOOKUP(C201,[1]坦克个性化细分!$I$3:$J$33,2,FALSE),"")</f>
        <v>T2中</v>
      </c>
      <c r="E201" s="2" t="s">
        <v>1726</v>
      </c>
      <c r="F201" s="2">
        <f t="shared" si="62"/>
        <v>3.6999999999999998E-2</v>
      </c>
      <c r="G201" s="33">
        <v>1</v>
      </c>
      <c r="H201" s="2">
        <f t="shared" si="63"/>
        <v>3.6999999999999998E-2</v>
      </c>
      <c r="J201" s="2">
        <v>9</v>
      </c>
      <c r="K201" s="2" t="s">
        <v>653</v>
      </c>
      <c r="L201" s="2" t="str">
        <f>IFERROR(VLOOKUP(K201,[1]坦克个性化设定!$B$18:$E$48,4,FALSE)&amp;VLOOKUP(K201,[1]坦克个性化细分!$I$3:$J$33,2,FALSE),"")</f>
        <v>T4低</v>
      </c>
      <c r="M201" s="2" t="s">
        <v>1726</v>
      </c>
      <c r="N201" s="2">
        <f t="shared" si="60"/>
        <v>3.6999999999999998E-2</v>
      </c>
      <c r="O201" s="34">
        <v>0.7</v>
      </c>
      <c r="P201" s="2">
        <f t="shared" si="61"/>
        <v>2.5899999999999996E-2</v>
      </c>
    </row>
    <row r="202" spans="2:17" x14ac:dyDescent="0.3">
      <c r="B202" s="2">
        <v>9</v>
      </c>
      <c r="C202" s="2" t="s">
        <v>522</v>
      </c>
      <c r="D202" s="2" t="str">
        <f>IFERROR(VLOOKUP(C202,[1]坦克个性化设定!$B$18:$E$48,4,FALSE)&amp;VLOOKUP(C202,[1]坦克个性化细分!$I$3:$J$33,2,FALSE),"")</f>
        <v>T3低</v>
      </c>
      <c r="E202" s="2" t="s">
        <v>1726</v>
      </c>
      <c r="F202" s="2">
        <f t="shared" si="62"/>
        <v>3.6999999999999998E-2</v>
      </c>
      <c r="G202" s="33">
        <v>1</v>
      </c>
      <c r="H202" s="2">
        <f t="shared" si="63"/>
        <v>3.6999999999999998E-2</v>
      </c>
      <c r="J202" s="2">
        <v>9</v>
      </c>
      <c r="K202" s="2" t="s">
        <v>618</v>
      </c>
      <c r="L202" s="2" t="str">
        <f>IFERROR(VLOOKUP(K202,[1]坦克个性化设定!$B$18:$E$48,4,FALSE)&amp;VLOOKUP(K202,[1]坦克个性化细分!$I$3:$J$33,2,FALSE),"")</f>
        <v>T4中</v>
      </c>
      <c r="M202" s="2" t="s">
        <v>1726</v>
      </c>
      <c r="N202" s="2">
        <f t="shared" si="60"/>
        <v>3.6999999999999998E-2</v>
      </c>
      <c r="O202" s="34">
        <v>0.7</v>
      </c>
      <c r="P202" s="2">
        <f t="shared" si="61"/>
        <v>2.5899999999999996E-2</v>
      </c>
    </row>
    <row r="203" spans="2:17" x14ac:dyDescent="0.3">
      <c r="B203" s="2">
        <v>9</v>
      </c>
      <c r="C203" s="2" t="s">
        <v>526</v>
      </c>
      <c r="D203" s="2" t="str">
        <f>IFERROR(VLOOKUP(C203,[1]坦克个性化设定!$B$18:$E$48,4,FALSE)&amp;VLOOKUP(C203,[1]坦克个性化细分!$I$3:$J$33,2,FALSE),"")</f>
        <v>T3低</v>
      </c>
      <c r="E203" s="2" t="s">
        <v>1726</v>
      </c>
      <c r="F203" s="2">
        <f t="shared" si="62"/>
        <v>3.6999999999999998E-2</v>
      </c>
      <c r="G203" s="33">
        <v>1</v>
      </c>
      <c r="H203" s="2">
        <f t="shared" si="63"/>
        <v>3.6999999999999998E-2</v>
      </c>
      <c r="J203" s="2">
        <v>9</v>
      </c>
      <c r="K203" s="2" t="s">
        <v>636</v>
      </c>
      <c r="L203" s="2" t="str">
        <f>IFERROR(VLOOKUP(K203,[1]坦克个性化设定!$B$18:$E$48,4,FALSE)&amp;VLOOKUP(K203,[1]坦克个性化细分!$I$3:$J$33,2,FALSE),"")</f>
        <v>T4中</v>
      </c>
      <c r="M203" s="2" t="s">
        <v>1726</v>
      </c>
      <c r="N203" s="2">
        <f t="shared" si="60"/>
        <v>3.6999999999999998E-2</v>
      </c>
      <c r="O203" s="34">
        <v>0.7</v>
      </c>
      <c r="P203" s="2">
        <f t="shared" si="61"/>
        <v>2.5899999999999996E-2</v>
      </c>
    </row>
    <row r="204" spans="2:17" x14ac:dyDescent="0.3">
      <c r="B204" s="2">
        <v>9</v>
      </c>
      <c r="C204" s="2" t="s">
        <v>529</v>
      </c>
      <c r="D204" s="2" t="str">
        <f>IFERROR(VLOOKUP(C204,[1]坦克个性化设定!$B$18:$E$48,4,FALSE)&amp;VLOOKUP(C204,[1]坦克个性化细分!$I$3:$J$33,2,FALSE),"")</f>
        <v>T3低</v>
      </c>
      <c r="E204" s="2" t="s">
        <v>1726</v>
      </c>
      <c r="F204" s="2">
        <f t="shared" si="62"/>
        <v>3.6999999999999998E-2</v>
      </c>
      <c r="G204" s="33">
        <v>1</v>
      </c>
      <c r="H204" s="2">
        <f t="shared" si="63"/>
        <v>3.6999999999999998E-2</v>
      </c>
      <c r="J204" s="2">
        <v>9</v>
      </c>
      <c r="K204" s="2" t="s">
        <v>620</v>
      </c>
      <c r="L204" s="2" t="str">
        <f>IFERROR(VLOOKUP(K204,[1]坦克个性化设定!$B$18:$E$48,4,FALSE)&amp;VLOOKUP(K204,[1]坦克个性化细分!$I$3:$J$33,2,FALSE),"")</f>
        <v>T4高</v>
      </c>
      <c r="M204" s="2" t="s">
        <v>1726</v>
      </c>
      <c r="N204" s="2">
        <f t="shared" si="60"/>
        <v>3.6999999999999998E-2</v>
      </c>
      <c r="O204" s="34">
        <v>0.7</v>
      </c>
      <c r="P204" s="2">
        <f t="shared" si="61"/>
        <v>2.5899999999999996E-2</v>
      </c>
    </row>
    <row r="205" spans="2:17" x14ac:dyDescent="0.3">
      <c r="B205" s="2">
        <v>9</v>
      </c>
      <c r="C205" s="2" t="s">
        <v>611</v>
      </c>
      <c r="D205" s="2" t="str">
        <f>IFERROR(VLOOKUP(C205,[1]坦克个性化设定!$B$18:$E$48,4,FALSE)&amp;VLOOKUP(C205,[1]坦克个性化细分!$I$3:$J$33,2,FALSE),"")</f>
        <v>T3中</v>
      </c>
      <c r="E205" s="2" t="s">
        <v>1726</v>
      </c>
      <c r="F205" s="2">
        <f t="shared" si="62"/>
        <v>3.6999999999999998E-2</v>
      </c>
      <c r="G205" s="33">
        <v>1</v>
      </c>
      <c r="H205" s="2">
        <f t="shared" si="63"/>
        <v>3.6999999999999998E-2</v>
      </c>
      <c r="J205" s="2">
        <v>9</v>
      </c>
      <c r="K205" s="2" t="s">
        <v>638</v>
      </c>
      <c r="L205" s="2" t="str">
        <f>IFERROR(VLOOKUP(K205,[1]坦克个性化设定!$B$18:$E$48,4,FALSE)&amp;VLOOKUP(K205,[1]坦克个性化细分!$I$3:$J$33,2,FALSE),"")</f>
        <v>T4高</v>
      </c>
      <c r="M205" s="2" t="s">
        <v>1726</v>
      </c>
      <c r="N205" s="2">
        <f t="shared" si="60"/>
        <v>3.6999999999999998E-2</v>
      </c>
      <c r="O205" s="34">
        <v>0.7</v>
      </c>
      <c r="P205" s="2">
        <f t="shared" si="61"/>
        <v>2.5899999999999996E-2</v>
      </c>
    </row>
    <row r="206" spans="2:17" x14ac:dyDescent="0.3">
      <c r="B206" s="2">
        <v>9</v>
      </c>
      <c r="C206" s="2" t="s">
        <v>630</v>
      </c>
      <c r="D206" s="2" t="str">
        <f>IFERROR(VLOOKUP(C206,[1]坦克个性化设定!$B$18:$E$48,4,FALSE)&amp;VLOOKUP(C206,[1]坦克个性化细分!$I$3:$J$33,2,FALSE),"")</f>
        <v>T3中</v>
      </c>
      <c r="E206" s="2" t="s">
        <v>1726</v>
      </c>
      <c r="F206" s="2">
        <f t="shared" si="62"/>
        <v>3.6999999999999998E-2</v>
      </c>
      <c r="G206" s="33">
        <v>1</v>
      </c>
      <c r="H206" s="2">
        <f t="shared" si="63"/>
        <v>3.6999999999999998E-2</v>
      </c>
    </row>
    <row r="207" spans="2:17" x14ac:dyDescent="0.3">
      <c r="B207" s="2">
        <v>9</v>
      </c>
      <c r="C207" s="2" t="s">
        <v>649</v>
      </c>
      <c r="D207" s="2" t="str">
        <f>IFERROR(VLOOKUP(C207,[1]坦克个性化设定!$B$18:$E$48,4,FALSE)&amp;VLOOKUP(C207,[1]坦克个性化细分!$I$3:$J$33,2,FALSE),"")</f>
        <v>T3中</v>
      </c>
      <c r="E207" s="2" t="s">
        <v>1726</v>
      </c>
      <c r="F207" s="2">
        <f t="shared" si="62"/>
        <v>3.6999999999999998E-2</v>
      </c>
      <c r="G207" s="33">
        <v>1</v>
      </c>
      <c r="H207" s="2">
        <f t="shared" si="63"/>
        <v>3.6999999999999998E-2</v>
      </c>
    </row>
    <row r="208" spans="2:17" x14ac:dyDescent="0.3">
      <c r="B208" s="2">
        <v>9</v>
      </c>
      <c r="C208" s="2" t="s">
        <v>615</v>
      </c>
      <c r="D208" s="2" t="str">
        <f>IFERROR(VLOOKUP(C208,[1]坦克个性化设定!$B$18:$E$48,4,FALSE)&amp;VLOOKUP(C208,[1]坦克个性化细分!$I$3:$J$33,2,FALSE),"")</f>
        <v>T4低</v>
      </c>
      <c r="E208" s="2" t="s">
        <v>1726</v>
      </c>
      <c r="F208" s="2">
        <f t="shared" si="62"/>
        <v>3.6999999999999998E-2</v>
      </c>
      <c r="G208" s="33">
        <v>1</v>
      </c>
      <c r="H208" s="2">
        <f t="shared" si="63"/>
        <v>3.6999999999999998E-2</v>
      </c>
      <c r="J208" s="2" t="s">
        <v>377</v>
      </c>
      <c r="K208" s="2" t="s">
        <v>1783</v>
      </c>
      <c r="L208" s="2" t="s">
        <v>886</v>
      </c>
      <c r="M208" s="2" t="s">
        <v>3477</v>
      </c>
      <c r="N208" s="2" t="s">
        <v>3474</v>
      </c>
      <c r="O208" s="2" t="s">
        <v>371</v>
      </c>
      <c r="P208" s="2" t="s">
        <v>3478</v>
      </c>
      <c r="Q208" s="1">
        <f>SUM(P209:P226)</f>
        <v>0.6659999999999997</v>
      </c>
    </row>
    <row r="209" spans="2:16" x14ac:dyDescent="0.3">
      <c r="B209" s="2">
        <v>9</v>
      </c>
      <c r="C209" s="2" t="s">
        <v>634</v>
      </c>
      <c r="D209" s="2" t="str">
        <f>IFERROR(VLOOKUP(C209,[1]坦克个性化设定!$B$18:$E$48,4,FALSE)&amp;VLOOKUP(C209,[1]坦克个性化细分!$I$3:$J$33,2,FALSE),"")</f>
        <v>T4低</v>
      </c>
      <c r="E209" s="2" t="s">
        <v>1726</v>
      </c>
      <c r="F209" s="2">
        <f t="shared" si="62"/>
        <v>3.6999999999999998E-2</v>
      </c>
      <c r="G209" s="33">
        <v>1</v>
      </c>
      <c r="H209" s="2">
        <f t="shared" si="63"/>
        <v>3.6999999999999998E-2</v>
      </c>
      <c r="J209" s="2">
        <v>10</v>
      </c>
      <c r="K209" s="2" t="s">
        <v>615</v>
      </c>
      <c r="L209" s="2" t="str">
        <f>IFERROR(VLOOKUP(K209,[1]坦克个性化设定!$B$18:$E$48,4,FALSE)&amp;VLOOKUP(K209,[1]坦克个性化细分!$I$3:$J$33,2,FALSE),"")</f>
        <v>T4低</v>
      </c>
      <c r="M209" s="2" t="s">
        <v>320</v>
      </c>
      <c r="N209" s="2">
        <f t="shared" ref="N209:N226" si="64">$E$69</f>
        <v>3.6999999999999998E-2</v>
      </c>
      <c r="O209" s="34">
        <f>1+1/3</f>
        <v>1.3333333333333333</v>
      </c>
      <c r="P209" s="2">
        <f t="shared" ref="P209:P226" si="65">N209*O209</f>
        <v>4.9333333333333326E-2</v>
      </c>
    </row>
    <row r="210" spans="2:16" x14ac:dyDescent="0.3">
      <c r="B210" s="2">
        <v>9</v>
      </c>
      <c r="C210" s="2" t="s">
        <v>653</v>
      </c>
      <c r="D210" s="2" t="str">
        <f>IFERROR(VLOOKUP(C210,[1]坦克个性化设定!$B$18:$E$48,4,FALSE)&amp;VLOOKUP(C210,[1]坦克个性化细分!$I$3:$J$33,2,FALSE),"")</f>
        <v>T4低</v>
      </c>
      <c r="E210" s="2" t="s">
        <v>1726</v>
      </c>
      <c r="F210" s="2">
        <f t="shared" si="62"/>
        <v>3.6999999999999998E-2</v>
      </c>
      <c r="G210" s="33">
        <v>1</v>
      </c>
      <c r="H210" s="2">
        <f t="shared" si="63"/>
        <v>3.6999999999999998E-2</v>
      </c>
      <c r="J210" s="2">
        <v>10</v>
      </c>
      <c r="K210" s="2" t="s">
        <v>634</v>
      </c>
      <c r="L210" s="2" t="str">
        <f>IFERROR(VLOOKUP(K210,[1]坦克个性化设定!$B$18:$E$48,4,FALSE)&amp;VLOOKUP(K210,[1]坦克个性化细分!$I$3:$J$33,2,FALSE),"")</f>
        <v>T4低</v>
      </c>
      <c r="M210" s="2" t="s">
        <v>320</v>
      </c>
      <c r="N210" s="2">
        <f t="shared" si="64"/>
        <v>3.6999999999999998E-2</v>
      </c>
      <c r="O210" s="34">
        <f t="shared" ref="O210:O217" si="66">1+1/3</f>
        <v>1.3333333333333333</v>
      </c>
      <c r="P210" s="2">
        <f t="shared" si="65"/>
        <v>4.9333333333333326E-2</v>
      </c>
    </row>
    <row r="211" spans="2:16" x14ac:dyDescent="0.3">
      <c r="B211" s="2">
        <v>9</v>
      </c>
      <c r="C211" s="2" t="s">
        <v>618</v>
      </c>
      <c r="D211" s="2" t="str">
        <f>IFERROR(VLOOKUP(C211,[1]坦克个性化设定!$B$18:$E$48,4,FALSE)&amp;VLOOKUP(C211,[1]坦克个性化细分!$I$3:$J$33,2,FALSE),"")</f>
        <v>T4中</v>
      </c>
      <c r="E211" s="2" t="s">
        <v>1726</v>
      </c>
      <c r="F211" s="2">
        <f t="shared" si="62"/>
        <v>3.6999999999999998E-2</v>
      </c>
      <c r="G211" s="33">
        <v>1</v>
      </c>
      <c r="H211" s="2">
        <f t="shared" si="63"/>
        <v>3.6999999999999998E-2</v>
      </c>
      <c r="J211" s="2">
        <v>10</v>
      </c>
      <c r="K211" s="2" t="s">
        <v>653</v>
      </c>
      <c r="L211" s="2" t="str">
        <f>IFERROR(VLOOKUP(K211,[1]坦克个性化设定!$B$18:$E$48,4,FALSE)&amp;VLOOKUP(K211,[1]坦克个性化细分!$I$3:$J$33,2,FALSE),"")</f>
        <v>T4低</v>
      </c>
      <c r="M211" s="2" t="s">
        <v>320</v>
      </c>
      <c r="N211" s="2">
        <f t="shared" si="64"/>
        <v>3.6999999999999998E-2</v>
      </c>
      <c r="O211" s="34">
        <f t="shared" si="66"/>
        <v>1.3333333333333333</v>
      </c>
      <c r="P211" s="2">
        <f t="shared" si="65"/>
        <v>4.9333333333333326E-2</v>
      </c>
    </row>
    <row r="212" spans="2:16" x14ac:dyDescent="0.3">
      <c r="B212" s="2">
        <v>9</v>
      </c>
      <c r="C212" s="2" t="s">
        <v>636</v>
      </c>
      <c r="D212" s="2" t="str">
        <f>IFERROR(VLOOKUP(C212,[1]坦克个性化设定!$B$18:$E$48,4,FALSE)&amp;VLOOKUP(C212,[1]坦克个性化细分!$I$3:$J$33,2,FALSE),"")</f>
        <v>T4中</v>
      </c>
      <c r="E212" s="2" t="s">
        <v>1726</v>
      </c>
      <c r="F212" s="2">
        <f t="shared" si="62"/>
        <v>3.6999999999999998E-2</v>
      </c>
      <c r="G212" s="33">
        <v>1</v>
      </c>
      <c r="H212" s="2">
        <f t="shared" si="63"/>
        <v>3.6999999999999998E-2</v>
      </c>
      <c r="J212" s="2">
        <v>10</v>
      </c>
      <c r="K212" s="2" t="s">
        <v>636</v>
      </c>
      <c r="L212" s="2" t="str">
        <f>IFERROR(VLOOKUP(K212,[1]坦克个性化设定!$B$18:$E$48,4,FALSE)&amp;VLOOKUP(K212,[1]坦克个性化细分!$I$3:$J$33,2,FALSE),"")</f>
        <v>T4中</v>
      </c>
      <c r="M212" s="2" t="s">
        <v>320</v>
      </c>
      <c r="N212" s="2">
        <f t="shared" si="64"/>
        <v>3.6999999999999998E-2</v>
      </c>
      <c r="O212" s="34">
        <f t="shared" si="66"/>
        <v>1.3333333333333333</v>
      </c>
      <c r="P212" s="2">
        <f t="shared" si="65"/>
        <v>4.9333333333333326E-2</v>
      </c>
    </row>
    <row r="213" spans="2:16" x14ac:dyDescent="0.3">
      <c r="B213" s="2">
        <v>9</v>
      </c>
      <c r="C213" s="2" t="s">
        <v>620</v>
      </c>
      <c r="D213" s="2" t="str">
        <f>IFERROR(VLOOKUP(C213,[1]坦克个性化设定!$B$18:$E$48,4,FALSE)&amp;VLOOKUP(C213,[1]坦克个性化细分!$I$3:$J$33,2,FALSE),"")</f>
        <v>T4高</v>
      </c>
      <c r="E213" s="2" t="s">
        <v>1726</v>
      </c>
      <c r="F213" s="2">
        <f t="shared" si="62"/>
        <v>3.6999999999999998E-2</v>
      </c>
      <c r="G213" s="33">
        <v>1</v>
      </c>
      <c r="H213" s="2">
        <f t="shared" si="63"/>
        <v>3.6999999999999998E-2</v>
      </c>
      <c r="J213" s="2">
        <v>10</v>
      </c>
      <c r="K213" s="2" t="s">
        <v>655</v>
      </c>
      <c r="L213" s="2" t="str">
        <f>IFERROR(VLOOKUP(K213,[1]坦克个性化设定!$B$18:$E$48,4,FALSE)&amp;VLOOKUP(K213,[1]坦克个性化细分!$I$3:$J$33,2,FALSE),"")</f>
        <v>T4中</v>
      </c>
      <c r="M213" s="2" t="s">
        <v>320</v>
      </c>
      <c r="N213" s="2">
        <f t="shared" si="64"/>
        <v>3.6999999999999998E-2</v>
      </c>
      <c r="O213" s="34">
        <f t="shared" si="66"/>
        <v>1.3333333333333333</v>
      </c>
      <c r="P213" s="2">
        <f t="shared" si="65"/>
        <v>4.9333333333333326E-2</v>
      </c>
    </row>
    <row r="214" spans="2:16" x14ac:dyDescent="0.3">
      <c r="B214" s="2">
        <v>9</v>
      </c>
      <c r="C214" s="2" t="s">
        <v>638</v>
      </c>
      <c r="D214" s="2" t="str">
        <f>IFERROR(VLOOKUP(C214,[1]坦克个性化设定!$B$18:$E$48,4,FALSE)&amp;VLOOKUP(C214,[1]坦克个性化细分!$I$3:$J$33,2,FALSE),"")</f>
        <v>T4高</v>
      </c>
      <c r="E214" s="2" t="s">
        <v>1726</v>
      </c>
      <c r="F214" s="2">
        <f t="shared" si="62"/>
        <v>3.6999999999999998E-2</v>
      </c>
      <c r="G214" s="33">
        <v>1</v>
      </c>
      <c r="H214" s="2">
        <f t="shared" si="63"/>
        <v>3.6999999999999998E-2</v>
      </c>
      <c r="J214" s="2">
        <v>10</v>
      </c>
      <c r="K214" s="2" t="s">
        <v>618</v>
      </c>
      <c r="L214" s="2" t="str">
        <f>IFERROR(VLOOKUP(K214,[1]坦克个性化设定!$B$18:$E$48,4,FALSE)&amp;VLOOKUP(K214,[1]坦克个性化细分!$I$3:$J$33,2,FALSE),"")</f>
        <v>T4中</v>
      </c>
      <c r="M214" s="2" t="s">
        <v>320</v>
      </c>
      <c r="N214" s="2">
        <f t="shared" si="64"/>
        <v>3.6999999999999998E-2</v>
      </c>
      <c r="O214" s="34">
        <f t="shared" si="66"/>
        <v>1.3333333333333333</v>
      </c>
      <c r="P214" s="2">
        <f t="shared" si="65"/>
        <v>4.9333333333333326E-2</v>
      </c>
    </row>
    <row r="215" spans="2:16" x14ac:dyDescent="0.3">
      <c r="J215" s="2">
        <v>10</v>
      </c>
      <c r="K215" s="2" t="s">
        <v>620</v>
      </c>
      <c r="L215" s="2" t="str">
        <f>IFERROR(VLOOKUP(K215,[1]坦克个性化设定!$B$18:$E$48,4,FALSE)&amp;VLOOKUP(K215,[1]坦克个性化细分!$I$3:$J$33,2,FALSE),"")</f>
        <v>T4高</v>
      </c>
      <c r="M215" s="2" t="s">
        <v>320</v>
      </c>
      <c r="N215" s="2">
        <f t="shared" si="64"/>
        <v>3.6999999999999998E-2</v>
      </c>
      <c r="O215" s="34">
        <f t="shared" si="66"/>
        <v>1.3333333333333333</v>
      </c>
      <c r="P215" s="2">
        <f t="shared" si="65"/>
        <v>4.9333333333333326E-2</v>
      </c>
    </row>
    <row r="216" spans="2:16" x14ac:dyDescent="0.3">
      <c r="J216" s="2">
        <v>10</v>
      </c>
      <c r="K216" s="2" t="s">
        <v>638</v>
      </c>
      <c r="L216" s="2" t="str">
        <f>IFERROR(VLOOKUP(K216,[1]坦克个性化设定!$B$18:$E$48,4,FALSE)&amp;VLOOKUP(K216,[1]坦克个性化细分!$I$3:$J$33,2,FALSE),"")</f>
        <v>T4高</v>
      </c>
      <c r="M216" s="2" t="s">
        <v>320</v>
      </c>
      <c r="N216" s="2">
        <f t="shared" si="64"/>
        <v>3.6999999999999998E-2</v>
      </c>
      <c r="O216" s="34">
        <f t="shared" si="66"/>
        <v>1.3333333333333333</v>
      </c>
      <c r="P216" s="2">
        <f t="shared" si="65"/>
        <v>4.9333333333333326E-2</v>
      </c>
    </row>
    <row r="217" spans="2:16" x14ac:dyDescent="0.3">
      <c r="B217" s="2" t="s">
        <v>377</v>
      </c>
      <c r="C217" s="2" t="s">
        <v>1783</v>
      </c>
      <c r="D217" s="2" t="s">
        <v>886</v>
      </c>
      <c r="E217" s="2" t="s">
        <v>3477</v>
      </c>
      <c r="F217" s="2" t="s">
        <v>3474</v>
      </c>
      <c r="G217" s="2" t="s">
        <v>371</v>
      </c>
      <c r="H217" s="2" t="s">
        <v>3478</v>
      </c>
      <c r="I217" s="1">
        <f>SUM(H218:H235)</f>
        <v>0.66600000000000004</v>
      </c>
      <c r="J217" s="2">
        <v>10</v>
      </c>
      <c r="K217" s="2" t="s">
        <v>657</v>
      </c>
      <c r="L217" s="2" t="str">
        <f>IFERROR(VLOOKUP(K217,[1]坦克个性化设定!$B$18:$E$48,4,FALSE)&amp;VLOOKUP(K217,[1]坦克个性化细分!$I$3:$J$33,2,FALSE),"")</f>
        <v>T4高</v>
      </c>
      <c r="M217" s="2" t="s">
        <v>320</v>
      </c>
      <c r="N217" s="2">
        <f t="shared" si="64"/>
        <v>3.6999999999999998E-2</v>
      </c>
      <c r="O217" s="34">
        <f t="shared" si="66"/>
        <v>1.3333333333333333</v>
      </c>
      <c r="P217" s="2">
        <f t="shared" si="65"/>
        <v>4.9333333333333326E-2</v>
      </c>
    </row>
    <row r="218" spans="2:16" x14ac:dyDescent="0.3">
      <c r="B218" s="2">
        <v>10</v>
      </c>
      <c r="C218" s="2" t="s">
        <v>607</v>
      </c>
      <c r="D218" s="2" t="str">
        <f>IFERROR(VLOOKUP(C218,[1]坦克个性化设定!$B$18:$E$48,4,FALSE)&amp;VLOOKUP(C218,[1]坦克个性化细分!$I$3:$J$33,2,FALSE),"")</f>
        <v>T2中</v>
      </c>
      <c r="E218" s="2" t="s">
        <v>1726</v>
      </c>
      <c r="F218" s="2">
        <f t="shared" ref="F218:F235" si="67">$E$69</f>
        <v>3.6999999999999998E-2</v>
      </c>
      <c r="G218" s="33">
        <v>1</v>
      </c>
      <c r="H218" s="2">
        <f t="shared" ref="H218:H235" si="68">F218*G218</f>
        <v>3.6999999999999998E-2</v>
      </c>
      <c r="J218" s="2">
        <v>10</v>
      </c>
      <c r="K218" s="2" t="s">
        <v>615</v>
      </c>
      <c r="L218" s="2" t="str">
        <f>IFERROR(VLOOKUP(K218,[1]坦克个性化设定!$B$18:$E$48,4,FALSE)&amp;VLOOKUP(K218,[1]坦克个性化细分!$I$3:$J$33,2,FALSE),"")</f>
        <v>T4低</v>
      </c>
      <c r="M218" s="2" t="s">
        <v>1726</v>
      </c>
      <c r="N218" s="2">
        <f t="shared" si="64"/>
        <v>3.6999999999999998E-2</v>
      </c>
      <c r="O218" s="34">
        <f>2/3</f>
        <v>0.66666666666666663</v>
      </c>
      <c r="P218" s="2">
        <f t="shared" si="65"/>
        <v>2.4666666666666663E-2</v>
      </c>
    </row>
    <row r="219" spans="2:16" x14ac:dyDescent="0.3">
      <c r="B219" s="2">
        <v>10</v>
      </c>
      <c r="C219" s="2" t="s">
        <v>627</v>
      </c>
      <c r="D219" s="2" t="str">
        <f>IFERROR(VLOOKUP(C219,[1]坦克个性化设定!$B$18:$E$48,4,FALSE)&amp;VLOOKUP(C219,[1]坦克个性化细分!$I$3:$J$33,2,FALSE),"")</f>
        <v>T2中</v>
      </c>
      <c r="E219" s="2" t="s">
        <v>1726</v>
      </c>
      <c r="F219" s="2">
        <f t="shared" si="67"/>
        <v>3.6999999999999998E-2</v>
      </c>
      <c r="G219" s="33">
        <v>1</v>
      </c>
      <c r="H219" s="2">
        <f t="shared" si="68"/>
        <v>3.6999999999999998E-2</v>
      </c>
      <c r="J219" s="2">
        <v>10</v>
      </c>
      <c r="K219" s="2" t="s">
        <v>634</v>
      </c>
      <c r="L219" s="2" t="str">
        <f>IFERROR(VLOOKUP(K219,[1]坦克个性化设定!$B$18:$E$48,4,FALSE)&amp;VLOOKUP(K219,[1]坦克个性化细分!$I$3:$J$33,2,FALSE),"")</f>
        <v>T4低</v>
      </c>
      <c r="M219" s="2" t="s">
        <v>1726</v>
      </c>
      <c r="N219" s="2">
        <f t="shared" si="64"/>
        <v>3.6999999999999998E-2</v>
      </c>
      <c r="O219" s="34">
        <f t="shared" ref="O219:O226" si="69">2/3</f>
        <v>0.66666666666666663</v>
      </c>
      <c r="P219" s="2">
        <f t="shared" si="65"/>
        <v>2.4666666666666663E-2</v>
      </c>
    </row>
    <row r="220" spans="2:16" x14ac:dyDescent="0.3">
      <c r="B220" s="2">
        <v>10</v>
      </c>
      <c r="C220" s="2" t="s">
        <v>646</v>
      </c>
      <c r="D220" s="2" t="str">
        <f>IFERROR(VLOOKUP(C220,[1]坦克个性化设定!$B$18:$E$48,4,FALSE)&amp;VLOOKUP(C220,[1]坦克个性化细分!$I$3:$J$33,2,FALSE),"")</f>
        <v>T2中</v>
      </c>
      <c r="E220" s="2" t="s">
        <v>1726</v>
      </c>
      <c r="F220" s="2">
        <f t="shared" si="67"/>
        <v>3.6999999999999998E-2</v>
      </c>
      <c r="G220" s="33">
        <v>1</v>
      </c>
      <c r="H220" s="2">
        <f t="shared" si="68"/>
        <v>3.6999999999999998E-2</v>
      </c>
      <c r="J220" s="2">
        <v>10</v>
      </c>
      <c r="K220" s="2" t="s">
        <v>653</v>
      </c>
      <c r="L220" s="2" t="str">
        <f>IFERROR(VLOOKUP(K220,[1]坦克个性化设定!$B$18:$E$48,4,FALSE)&amp;VLOOKUP(K220,[1]坦克个性化细分!$I$3:$J$33,2,FALSE),"")</f>
        <v>T4低</v>
      </c>
      <c r="M220" s="2" t="s">
        <v>1726</v>
      </c>
      <c r="N220" s="2">
        <f t="shared" si="64"/>
        <v>3.6999999999999998E-2</v>
      </c>
      <c r="O220" s="34">
        <f t="shared" si="69"/>
        <v>0.66666666666666663</v>
      </c>
      <c r="P220" s="2">
        <f t="shared" si="65"/>
        <v>2.4666666666666663E-2</v>
      </c>
    </row>
    <row r="221" spans="2:16" x14ac:dyDescent="0.3">
      <c r="B221" s="2">
        <v>10</v>
      </c>
      <c r="C221" s="2" t="s">
        <v>522</v>
      </c>
      <c r="D221" s="2" t="str">
        <f>IFERROR(VLOOKUP(C221,[1]坦克个性化设定!$B$18:$E$48,4,FALSE)&amp;VLOOKUP(C221,[1]坦克个性化细分!$I$3:$J$33,2,FALSE),"")</f>
        <v>T3低</v>
      </c>
      <c r="E221" s="2" t="s">
        <v>1726</v>
      </c>
      <c r="F221" s="2">
        <f t="shared" si="67"/>
        <v>3.6999999999999998E-2</v>
      </c>
      <c r="G221" s="33">
        <v>1</v>
      </c>
      <c r="H221" s="2">
        <f t="shared" si="68"/>
        <v>3.6999999999999998E-2</v>
      </c>
      <c r="J221" s="2">
        <v>10</v>
      </c>
      <c r="K221" s="2" t="s">
        <v>636</v>
      </c>
      <c r="L221" s="2" t="str">
        <f>IFERROR(VLOOKUP(K221,[1]坦克个性化设定!$B$18:$E$48,4,FALSE)&amp;VLOOKUP(K221,[1]坦克个性化细分!$I$3:$J$33,2,FALSE),"")</f>
        <v>T4中</v>
      </c>
      <c r="M221" s="2" t="s">
        <v>1726</v>
      </c>
      <c r="N221" s="2">
        <f t="shared" si="64"/>
        <v>3.6999999999999998E-2</v>
      </c>
      <c r="O221" s="34">
        <f t="shared" si="69"/>
        <v>0.66666666666666663</v>
      </c>
      <c r="P221" s="2">
        <f t="shared" si="65"/>
        <v>2.4666666666666663E-2</v>
      </c>
    </row>
    <row r="222" spans="2:16" x14ac:dyDescent="0.3">
      <c r="B222" s="2">
        <v>10</v>
      </c>
      <c r="C222" s="2" t="s">
        <v>526</v>
      </c>
      <c r="D222" s="2" t="str">
        <f>IFERROR(VLOOKUP(C222,[1]坦克个性化设定!$B$18:$E$48,4,FALSE)&amp;VLOOKUP(C222,[1]坦克个性化细分!$I$3:$J$33,2,FALSE),"")</f>
        <v>T3低</v>
      </c>
      <c r="E222" s="2" t="s">
        <v>1726</v>
      </c>
      <c r="F222" s="2">
        <f t="shared" si="67"/>
        <v>3.6999999999999998E-2</v>
      </c>
      <c r="G222" s="33">
        <v>1</v>
      </c>
      <c r="H222" s="2">
        <f t="shared" si="68"/>
        <v>3.6999999999999998E-2</v>
      </c>
      <c r="J222" s="2">
        <v>10</v>
      </c>
      <c r="K222" s="2" t="s">
        <v>655</v>
      </c>
      <c r="L222" s="2" t="str">
        <f>IFERROR(VLOOKUP(K222,[1]坦克个性化设定!$B$18:$E$48,4,FALSE)&amp;VLOOKUP(K222,[1]坦克个性化细分!$I$3:$J$33,2,FALSE),"")</f>
        <v>T4中</v>
      </c>
      <c r="M222" s="2" t="s">
        <v>1726</v>
      </c>
      <c r="N222" s="2">
        <f t="shared" si="64"/>
        <v>3.6999999999999998E-2</v>
      </c>
      <c r="O222" s="34">
        <f t="shared" si="69"/>
        <v>0.66666666666666663</v>
      </c>
      <c r="P222" s="2">
        <f t="shared" si="65"/>
        <v>2.4666666666666663E-2</v>
      </c>
    </row>
    <row r="223" spans="2:16" x14ac:dyDescent="0.3">
      <c r="B223" s="2">
        <v>10</v>
      </c>
      <c r="C223" s="2" t="s">
        <v>529</v>
      </c>
      <c r="D223" s="2" t="str">
        <f>IFERROR(VLOOKUP(C223,[1]坦克个性化设定!$B$18:$E$48,4,FALSE)&amp;VLOOKUP(C223,[1]坦克个性化细分!$I$3:$J$33,2,FALSE),"")</f>
        <v>T3低</v>
      </c>
      <c r="E223" s="2" t="s">
        <v>1726</v>
      </c>
      <c r="F223" s="2">
        <f t="shared" si="67"/>
        <v>3.6999999999999998E-2</v>
      </c>
      <c r="G223" s="33">
        <v>1</v>
      </c>
      <c r="H223" s="2">
        <f t="shared" si="68"/>
        <v>3.6999999999999998E-2</v>
      </c>
      <c r="J223" s="2">
        <v>10</v>
      </c>
      <c r="K223" s="2" t="s">
        <v>618</v>
      </c>
      <c r="L223" s="2" t="str">
        <f>IFERROR(VLOOKUP(K223,[1]坦克个性化设定!$B$18:$E$48,4,FALSE)&amp;VLOOKUP(K223,[1]坦克个性化细分!$I$3:$J$33,2,FALSE),"")</f>
        <v>T4中</v>
      </c>
      <c r="M223" s="2" t="s">
        <v>1726</v>
      </c>
      <c r="N223" s="2">
        <f t="shared" si="64"/>
        <v>3.6999999999999998E-2</v>
      </c>
      <c r="O223" s="34">
        <f t="shared" si="69"/>
        <v>0.66666666666666663</v>
      </c>
      <c r="P223" s="2">
        <f t="shared" si="65"/>
        <v>2.4666666666666663E-2</v>
      </c>
    </row>
    <row r="224" spans="2:16" x14ac:dyDescent="0.3">
      <c r="B224" s="2">
        <v>10</v>
      </c>
      <c r="C224" s="2" t="s">
        <v>611</v>
      </c>
      <c r="D224" s="2" t="str">
        <f>IFERROR(VLOOKUP(C224,[1]坦克个性化设定!$B$18:$E$48,4,FALSE)&amp;VLOOKUP(C224,[1]坦克个性化细分!$I$3:$J$33,2,FALSE),"")</f>
        <v>T3中</v>
      </c>
      <c r="E224" s="2" t="s">
        <v>1726</v>
      </c>
      <c r="F224" s="2">
        <f t="shared" si="67"/>
        <v>3.6999999999999998E-2</v>
      </c>
      <c r="G224" s="33">
        <v>1</v>
      </c>
      <c r="H224" s="2">
        <f t="shared" si="68"/>
        <v>3.6999999999999998E-2</v>
      </c>
      <c r="J224" s="2">
        <v>10</v>
      </c>
      <c r="K224" s="2" t="s">
        <v>620</v>
      </c>
      <c r="L224" s="2" t="str">
        <f>IFERROR(VLOOKUP(K224,[1]坦克个性化设定!$B$18:$E$48,4,FALSE)&amp;VLOOKUP(K224,[1]坦克个性化细分!$I$3:$J$33,2,FALSE),"")</f>
        <v>T4高</v>
      </c>
      <c r="M224" s="2" t="s">
        <v>1726</v>
      </c>
      <c r="N224" s="2">
        <f t="shared" si="64"/>
        <v>3.6999999999999998E-2</v>
      </c>
      <c r="O224" s="34">
        <f t="shared" si="69"/>
        <v>0.66666666666666663</v>
      </c>
      <c r="P224" s="2">
        <f t="shared" si="65"/>
        <v>2.4666666666666663E-2</v>
      </c>
    </row>
    <row r="225" spans="2:16" x14ac:dyDescent="0.3">
      <c r="B225" s="2">
        <v>10</v>
      </c>
      <c r="C225" s="2" t="s">
        <v>630</v>
      </c>
      <c r="D225" s="2" t="str">
        <f>IFERROR(VLOOKUP(C225,[1]坦克个性化设定!$B$18:$E$48,4,FALSE)&amp;VLOOKUP(C225,[1]坦克个性化细分!$I$3:$J$33,2,FALSE),"")</f>
        <v>T3中</v>
      </c>
      <c r="E225" s="2" t="s">
        <v>1726</v>
      </c>
      <c r="F225" s="2">
        <f t="shared" si="67"/>
        <v>3.6999999999999998E-2</v>
      </c>
      <c r="G225" s="33">
        <v>1</v>
      </c>
      <c r="H225" s="2">
        <f t="shared" si="68"/>
        <v>3.6999999999999998E-2</v>
      </c>
      <c r="J225" s="2">
        <v>10</v>
      </c>
      <c r="K225" s="2" t="s">
        <v>638</v>
      </c>
      <c r="L225" s="2" t="str">
        <f>IFERROR(VLOOKUP(K225,[1]坦克个性化设定!$B$18:$E$48,4,FALSE)&amp;VLOOKUP(K225,[1]坦克个性化细分!$I$3:$J$33,2,FALSE),"")</f>
        <v>T4高</v>
      </c>
      <c r="M225" s="2" t="s">
        <v>1726</v>
      </c>
      <c r="N225" s="2">
        <f t="shared" si="64"/>
        <v>3.6999999999999998E-2</v>
      </c>
      <c r="O225" s="34">
        <f t="shared" si="69"/>
        <v>0.66666666666666663</v>
      </c>
      <c r="P225" s="2">
        <f t="shared" si="65"/>
        <v>2.4666666666666663E-2</v>
      </c>
    </row>
    <row r="226" spans="2:16" x14ac:dyDescent="0.3">
      <c r="B226" s="2">
        <v>10</v>
      </c>
      <c r="C226" s="2" t="s">
        <v>649</v>
      </c>
      <c r="D226" s="2" t="str">
        <f>IFERROR(VLOOKUP(C226,[1]坦克个性化设定!$B$18:$E$48,4,FALSE)&amp;VLOOKUP(C226,[1]坦克个性化细分!$I$3:$J$33,2,FALSE),"")</f>
        <v>T3中</v>
      </c>
      <c r="E226" s="2" t="s">
        <v>1726</v>
      </c>
      <c r="F226" s="2">
        <f t="shared" si="67"/>
        <v>3.6999999999999998E-2</v>
      </c>
      <c r="G226" s="33">
        <v>1</v>
      </c>
      <c r="H226" s="2">
        <f t="shared" si="68"/>
        <v>3.6999999999999998E-2</v>
      </c>
      <c r="J226" s="2">
        <v>10</v>
      </c>
      <c r="K226" s="2" t="s">
        <v>657</v>
      </c>
      <c r="L226" s="2" t="str">
        <f>IFERROR(VLOOKUP(K226,[1]坦克个性化设定!$B$18:$E$48,4,FALSE)&amp;VLOOKUP(K226,[1]坦克个性化细分!$I$3:$J$33,2,FALSE),"")</f>
        <v>T4高</v>
      </c>
      <c r="M226" s="2" t="s">
        <v>1726</v>
      </c>
      <c r="N226" s="2">
        <f t="shared" si="64"/>
        <v>3.6999999999999998E-2</v>
      </c>
      <c r="O226" s="34">
        <f t="shared" si="69"/>
        <v>0.66666666666666663</v>
      </c>
      <c r="P226" s="2">
        <f t="shared" si="65"/>
        <v>2.4666666666666663E-2</v>
      </c>
    </row>
    <row r="227" spans="2:16" x14ac:dyDescent="0.3">
      <c r="B227" s="2">
        <v>10</v>
      </c>
      <c r="C227" s="2" t="s">
        <v>615</v>
      </c>
      <c r="D227" s="2" t="str">
        <f>IFERROR(VLOOKUP(C227,[1]坦克个性化设定!$B$18:$E$48,4,FALSE)&amp;VLOOKUP(C227,[1]坦克个性化细分!$I$3:$J$33,2,FALSE),"")</f>
        <v>T4低</v>
      </c>
      <c r="E227" s="2" t="s">
        <v>1726</v>
      </c>
      <c r="F227" s="2">
        <f t="shared" si="67"/>
        <v>3.6999999999999998E-2</v>
      </c>
      <c r="G227" s="33">
        <v>1</v>
      </c>
      <c r="H227" s="2">
        <f t="shared" si="68"/>
        <v>3.6999999999999998E-2</v>
      </c>
    </row>
    <row r="228" spans="2:16" x14ac:dyDescent="0.3">
      <c r="B228" s="2">
        <v>10</v>
      </c>
      <c r="C228" s="2" t="s">
        <v>634</v>
      </c>
      <c r="D228" s="2" t="str">
        <f>IFERROR(VLOOKUP(C228,[1]坦克个性化设定!$B$18:$E$48,4,FALSE)&amp;VLOOKUP(C228,[1]坦克个性化细分!$I$3:$J$33,2,FALSE),"")</f>
        <v>T4低</v>
      </c>
      <c r="E228" s="2" t="s">
        <v>1726</v>
      </c>
      <c r="F228" s="2">
        <f t="shared" si="67"/>
        <v>3.6999999999999998E-2</v>
      </c>
      <c r="G228" s="33">
        <v>1</v>
      </c>
      <c r="H228" s="2">
        <f t="shared" si="68"/>
        <v>3.6999999999999998E-2</v>
      </c>
    </row>
    <row r="229" spans="2:16" x14ac:dyDescent="0.3">
      <c r="B229" s="2">
        <v>10</v>
      </c>
      <c r="C229" s="2" t="s">
        <v>653</v>
      </c>
      <c r="D229" s="2" t="str">
        <f>IFERROR(VLOOKUP(C229,[1]坦克个性化设定!$B$18:$E$48,4,FALSE)&amp;VLOOKUP(C229,[1]坦克个性化细分!$I$3:$J$33,2,FALSE),"")</f>
        <v>T4低</v>
      </c>
      <c r="E229" s="2" t="s">
        <v>1726</v>
      </c>
      <c r="F229" s="2">
        <f t="shared" si="67"/>
        <v>3.6999999999999998E-2</v>
      </c>
      <c r="G229" s="33">
        <v>1</v>
      </c>
      <c r="H229" s="2">
        <f t="shared" si="68"/>
        <v>3.6999999999999998E-2</v>
      </c>
    </row>
    <row r="230" spans="2:16" x14ac:dyDescent="0.3">
      <c r="B230" s="2">
        <v>10</v>
      </c>
      <c r="C230" s="2" t="s">
        <v>636</v>
      </c>
      <c r="D230" s="2" t="str">
        <f>IFERROR(VLOOKUP(C230,[1]坦克个性化设定!$B$18:$E$48,4,FALSE)&amp;VLOOKUP(C230,[1]坦克个性化细分!$I$3:$J$33,2,FALSE),"")</f>
        <v>T4中</v>
      </c>
      <c r="E230" s="2" t="s">
        <v>1726</v>
      </c>
      <c r="F230" s="2">
        <f t="shared" si="67"/>
        <v>3.6999999999999998E-2</v>
      </c>
      <c r="G230" s="33">
        <v>1</v>
      </c>
      <c r="H230" s="2">
        <f t="shared" si="68"/>
        <v>3.6999999999999998E-2</v>
      </c>
    </row>
    <row r="231" spans="2:16" x14ac:dyDescent="0.3">
      <c r="B231" s="2">
        <v>10</v>
      </c>
      <c r="C231" s="2" t="s">
        <v>655</v>
      </c>
      <c r="D231" s="2" t="str">
        <f>IFERROR(VLOOKUP(C231,[1]坦克个性化设定!$B$18:$E$48,4,FALSE)&amp;VLOOKUP(C231,[1]坦克个性化细分!$I$3:$J$33,2,FALSE),"")</f>
        <v>T4中</v>
      </c>
      <c r="E231" s="2" t="s">
        <v>1726</v>
      </c>
      <c r="F231" s="2">
        <f t="shared" si="67"/>
        <v>3.6999999999999998E-2</v>
      </c>
      <c r="G231" s="33">
        <v>1</v>
      </c>
      <c r="H231" s="2">
        <f t="shared" si="68"/>
        <v>3.6999999999999998E-2</v>
      </c>
    </row>
    <row r="232" spans="2:16" x14ac:dyDescent="0.3">
      <c r="B232" s="2">
        <v>10</v>
      </c>
      <c r="C232" s="2" t="s">
        <v>618</v>
      </c>
      <c r="D232" s="2" t="str">
        <f>IFERROR(VLOOKUP(C232,[1]坦克个性化设定!$B$18:$E$48,4,FALSE)&amp;VLOOKUP(C232,[1]坦克个性化细分!$I$3:$J$33,2,FALSE),"")</f>
        <v>T4中</v>
      </c>
      <c r="E232" s="2" t="s">
        <v>1726</v>
      </c>
      <c r="F232" s="2">
        <f t="shared" si="67"/>
        <v>3.6999999999999998E-2</v>
      </c>
      <c r="G232" s="33">
        <v>1</v>
      </c>
      <c r="H232" s="2">
        <f t="shared" si="68"/>
        <v>3.6999999999999998E-2</v>
      </c>
    </row>
    <row r="233" spans="2:16" x14ac:dyDescent="0.3">
      <c r="B233" s="2">
        <v>10</v>
      </c>
      <c r="C233" s="2" t="s">
        <v>620</v>
      </c>
      <c r="D233" s="2" t="str">
        <f>IFERROR(VLOOKUP(C233,[1]坦克个性化设定!$B$18:$E$48,4,FALSE)&amp;VLOOKUP(C233,[1]坦克个性化细分!$I$3:$J$33,2,FALSE),"")</f>
        <v>T4高</v>
      </c>
      <c r="E233" s="2" t="s">
        <v>1726</v>
      </c>
      <c r="F233" s="2">
        <f t="shared" si="67"/>
        <v>3.6999999999999998E-2</v>
      </c>
      <c r="G233" s="33">
        <v>1</v>
      </c>
      <c r="H233" s="2">
        <f t="shared" si="68"/>
        <v>3.6999999999999998E-2</v>
      </c>
    </row>
    <row r="234" spans="2:16" x14ac:dyDescent="0.3">
      <c r="B234" s="2">
        <v>10</v>
      </c>
      <c r="C234" s="2" t="s">
        <v>638</v>
      </c>
      <c r="D234" s="2" t="str">
        <f>IFERROR(VLOOKUP(C234,[1]坦克个性化设定!$B$18:$E$48,4,FALSE)&amp;VLOOKUP(C234,[1]坦克个性化细分!$I$3:$J$33,2,FALSE),"")</f>
        <v>T4高</v>
      </c>
      <c r="E234" s="2" t="s">
        <v>1726</v>
      </c>
      <c r="F234" s="2">
        <f t="shared" si="67"/>
        <v>3.6999999999999998E-2</v>
      </c>
      <c r="G234" s="33">
        <v>1</v>
      </c>
      <c r="H234" s="2">
        <f t="shared" si="68"/>
        <v>3.6999999999999998E-2</v>
      </c>
    </row>
    <row r="235" spans="2:16" x14ac:dyDescent="0.3">
      <c r="B235" s="2">
        <v>10</v>
      </c>
      <c r="C235" s="2" t="s">
        <v>657</v>
      </c>
      <c r="D235" s="2" t="str">
        <f>IFERROR(VLOOKUP(C235,[1]坦克个性化设定!$B$18:$E$48,4,FALSE)&amp;VLOOKUP(C235,[1]坦克个性化细分!$I$3:$J$33,2,FALSE),"")</f>
        <v>T4高</v>
      </c>
      <c r="E235" s="2" t="s">
        <v>1726</v>
      </c>
      <c r="F235" s="2">
        <f t="shared" si="67"/>
        <v>3.6999999999999998E-2</v>
      </c>
      <c r="G235" s="33">
        <v>1</v>
      </c>
      <c r="H235" s="2">
        <f t="shared" si="68"/>
        <v>3.6999999999999998E-2</v>
      </c>
    </row>
    <row r="239" spans="2:16" ht="15.75" x14ac:dyDescent="0.3">
      <c r="B239" s="35" t="s">
        <v>3479</v>
      </c>
    </row>
    <row r="240" spans="2:16" x14ac:dyDescent="0.3">
      <c r="B240" s="36" t="s">
        <v>3480</v>
      </c>
    </row>
    <row r="241" spans="2:5" x14ac:dyDescent="0.3">
      <c r="B241" s="1" t="s">
        <v>3481</v>
      </c>
      <c r="C241" s="1" t="s">
        <v>3482</v>
      </c>
    </row>
    <row r="242" spans="2:5" x14ac:dyDescent="0.3">
      <c r="B242" s="1">
        <v>2201</v>
      </c>
      <c r="C242" s="1">
        <v>2221</v>
      </c>
      <c r="D242" s="1" t="str">
        <f>"("&amp;B242&amp;","&amp;C242&amp;")"&amp;","</f>
        <v>(2201,2221),</v>
      </c>
      <c r="E242" s="36" t="str">
        <f>E241&amp;D242</f>
        <v>(2201,2221),</v>
      </c>
    </row>
    <row r="243" spans="2:5" x14ac:dyDescent="0.3">
      <c r="B243" s="1">
        <v>2202</v>
      </c>
      <c r="C243" s="1">
        <v>2222</v>
      </c>
      <c r="D243" s="1" t="str">
        <f t="shared" ref="D243:D251" si="70">"("&amp;B243&amp;","&amp;C243&amp;")"&amp;","</f>
        <v>(2202,2222),</v>
      </c>
      <c r="E243" s="36" t="str">
        <f t="shared" ref="E243:E251" si="71">E242&amp;D243</f>
        <v>(2201,2221),(2202,2222),</v>
      </c>
    </row>
    <row r="244" spans="2:5" x14ac:dyDescent="0.3">
      <c r="B244" s="1">
        <v>2203</v>
      </c>
      <c r="C244" s="1">
        <v>2223</v>
      </c>
      <c r="D244" s="1" t="str">
        <f t="shared" si="70"/>
        <v>(2203,2223),</v>
      </c>
      <c r="E244" s="36" t="str">
        <f t="shared" si="71"/>
        <v>(2201,2221),(2202,2222),(2203,2223),</v>
      </c>
    </row>
    <row r="245" spans="2:5" x14ac:dyDescent="0.3">
      <c r="B245" s="1">
        <v>2204</v>
      </c>
      <c r="C245" s="1">
        <v>2224</v>
      </c>
      <c r="D245" s="1" t="str">
        <f t="shared" si="70"/>
        <v>(2204,2224),</v>
      </c>
      <c r="E245" s="36" t="str">
        <f t="shared" si="71"/>
        <v>(2201,2221),(2202,2222),(2203,2223),(2204,2224),</v>
      </c>
    </row>
    <row r="246" spans="2:5" x14ac:dyDescent="0.3">
      <c r="B246" s="1">
        <v>2205</v>
      </c>
      <c r="C246" s="1">
        <v>2225</v>
      </c>
      <c r="D246" s="1" t="str">
        <f t="shared" si="70"/>
        <v>(2205,2225),</v>
      </c>
      <c r="E246" s="36" t="str">
        <f t="shared" si="71"/>
        <v>(2201,2221),(2202,2222),(2203,2223),(2204,2224),(2205,2225),</v>
      </c>
    </row>
    <row r="247" spans="2:5" x14ac:dyDescent="0.3">
      <c r="B247" s="1">
        <v>2206</v>
      </c>
      <c r="C247" s="1">
        <v>2226</v>
      </c>
      <c r="D247" s="1" t="str">
        <f t="shared" si="70"/>
        <v>(2206,2226),</v>
      </c>
      <c r="E247" s="36" t="str">
        <f t="shared" si="71"/>
        <v>(2201,2221),(2202,2222),(2203,2223),(2204,2224),(2205,2225),(2206,2226),</v>
      </c>
    </row>
    <row r="248" spans="2:5" x14ac:dyDescent="0.3">
      <c r="B248" s="1">
        <v>2207</v>
      </c>
      <c r="C248" s="1">
        <v>2227</v>
      </c>
      <c r="D248" s="1" t="str">
        <f t="shared" si="70"/>
        <v>(2207,2227),</v>
      </c>
      <c r="E248" s="36" t="str">
        <f t="shared" si="71"/>
        <v>(2201,2221),(2202,2222),(2203,2223),(2204,2224),(2205,2225),(2206,2226),(2207,2227),</v>
      </c>
    </row>
    <row r="249" spans="2:5" x14ac:dyDescent="0.3">
      <c r="B249" s="1">
        <v>2208</v>
      </c>
      <c r="C249" s="1">
        <v>2228</v>
      </c>
      <c r="D249" s="1" t="str">
        <f t="shared" si="70"/>
        <v>(2208,2228),</v>
      </c>
      <c r="E249" s="36" t="str">
        <f t="shared" si="71"/>
        <v>(2201,2221),(2202,2222),(2203,2223),(2204,2224),(2205,2225),(2206,2226),(2207,2227),(2208,2228),</v>
      </c>
    </row>
    <row r="250" spans="2:5" x14ac:dyDescent="0.3">
      <c r="B250" s="1">
        <v>2209</v>
      </c>
      <c r="C250" s="1">
        <v>2229</v>
      </c>
      <c r="D250" s="1" t="str">
        <f t="shared" si="70"/>
        <v>(2209,2229),</v>
      </c>
      <c r="E250" s="36" t="str">
        <f t="shared" si="71"/>
        <v>(2201,2221),(2202,2222),(2203,2223),(2204,2224),(2205,2225),(2206,2226),(2207,2227),(2208,2228),(2209,2229),</v>
      </c>
    </row>
    <row r="251" spans="2:5" x14ac:dyDescent="0.3">
      <c r="B251" s="1">
        <v>2210</v>
      </c>
      <c r="C251" s="1">
        <v>2230</v>
      </c>
      <c r="D251" s="1" t="str">
        <f t="shared" si="70"/>
        <v>(2210,2230),</v>
      </c>
      <c r="E251" s="36" t="str">
        <f t="shared" si="71"/>
        <v>(2201,2221),(2202,2222),(2203,2223),(2204,2224),(2205,2225),(2206,2226),(2207,2227),(2208,2228),(2209,2229),(2210,2230),</v>
      </c>
    </row>
    <row r="252" spans="2:5" x14ac:dyDescent="0.3">
      <c r="E252" s="36" t="str">
        <f>LEFT(E251,LEN(E251)-1)</f>
        <v>(2201,2221),(2202,2222),(2203,2223),(2204,2224),(2205,2225),(2206,2226),(2207,2227),(2208,2228),(2209,2229),(2210,2230)</v>
      </c>
    </row>
    <row r="253" spans="2:5" x14ac:dyDescent="0.3">
      <c r="E253" s="37" t="str">
        <f>"["&amp;E252&amp;"]"</f>
        <v>[(2201,2221),(2202,2222),(2203,2223),(2204,2224),(2205,2225),(2206,2226),(2207,2227),(2208,2228),(2209,2229),(2210,2230)]</v>
      </c>
    </row>
    <row r="256" spans="2:5" x14ac:dyDescent="0.3">
      <c r="B256" s="36" t="s">
        <v>3483</v>
      </c>
    </row>
    <row r="257" spans="2:5" x14ac:dyDescent="0.3">
      <c r="B257" s="1" t="s">
        <v>3481</v>
      </c>
      <c r="C257" s="1" t="s">
        <v>3482</v>
      </c>
    </row>
    <row r="258" spans="2:5" x14ac:dyDescent="0.3">
      <c r="B258" s="1">
        <v>2201</v>
      </c>
      <c r="C258" s="1">
        <v>2211</v>
      </c>
      <c r="D258" s="1" t="str">
        <f>"("&amp;B258&amp;","&amp;C258&amp;")"&amp;","</f>
        <v>(2201,2211),</v>
      </c>
      <c r="E258" s="36" t="str">
        <f>E257&amp;D258</f>
        <v>(2201,2211),</v>
      </c>
    </row>
    <row r="259" spans="2:5" x14ac:dyDescent="0.3">
      <c r="B259" s="1">
        <v>2202</v>
      </c>
      <c r="C259" s="1">
        <v>2212</v>
      </c>
      <c r="D259" s="1" t="str">
        <f t="shared" ref="D259:D267" si="72">"("&amp;B259&amp;","&amp;C259&amp;")"&amp;","</f>
        <v>(2202,2212),</v>
      </c>
      <c r="E259" s="36" t="str">
        <f t="shared" ref="E259:E267" si="73">E258&amp;D259</f>
        <v>(2201,2211),(2202,2212),</v>
      </c>
    </row>
    <row r="260" spans="2:5" x14ac:dyDescent="0.3">
      <c r="B260" s="1">
        <v>2203</v>
      </c>
      <c r="C260" s="1">
        <v>2213</v>
      </c>
      <c r="D260" s="1" t="str">
        <f t="shared" si="72"/>
        <v>(2203,2213),</v>
      </c>
      <c r="E260" s="36" t="str">
        <f t="shared" si="73"/>
        <v>(2201,2211),(2202,2212),(2203,2213),</v>
      </c>
    </row>
    <row r="261" spans="2:5" x14ac:dyDescent="0.3">
      <c r="B261" s="1">
        <v>2204</v>
      </c>
      <c r="C261" s="1">
        <v>2214</v>
      </c>
      <c r="D261" s="1" t="str">
        <f t="shared" si="72"/>
        <v>(2204,2214),</v>
      </c>
      <c r="E261" s="36" t="str">
        <f t="shared" si="73"/>
        <v>(2201,2211),(2202,2212),(2203,2213),(2204,2214),</v>
      </c>
    </row>
    <row r="262" spans="2:5" x14ac:dyDescent="0.3">
      <c r="B262" s="1">
        <v>2205</v>
      </c>
      <c r="C262" s="1">
        <v>2215</v>
      </c>
      <c r="D262" s="1" t="str">
        <f t="shared" si="72"/>
        <v>(2205,2215),</v>
      </c>
      <c r="E262" s="36" t="str">
        <f t="shared" si="73"/>
        <v>(2201,2211),(2202,2212),(2203,2213),(2204,2214),(2205,2215),</v>
      </c>
    </row>
    <row r="263" spans="2:5" x14ac:dyDescent="0.3">
      <c r="B263" s="1">
        <v>2206</v>
      </c>
      <c r="C263" s="1">
        <v>2216</v>
      </c>
      <c r="D263" s="1" t="str">
        <f t="shared" si="72"/>
        <v>(2206,2216),</v>
      </c>
      <c r="E263" s="36" t="str">
        <f t="shared" si="73"/>
        <v>(2201,2211),(2202,2212),(2203,2213),(2204,2214),(2205,2215),(2206,2216),</v>
      </c>
    </row>
    <row r="264" spans="2:5" x14ac:dyDescent="0.3">
      <c r="B264" s="1">
        <v>2207</v>
      </c>
      <c r="C264" s="1">
        <v>2217</v>
      </c>
      <c r="D264" s="1" t="str">
        <f t="shared" si="72"/>
        <v>(2207,2217),</v>
      </c>
      <c r="E264" s="36" t="str">
        <f t="shared" si="73"/>
        <v>(2201,2211),(2202,2212),(2203,2213),(2204,2214),(2205,2215),(2206,2216),(2207,2217),</v>
      </c>
    </row>
    <row r="265" spans="2:5" x14ac:dyDescent="0.3">
      <c r="B265" s="1">
        <v>2208</v>
      </c>
      <c r="C265" s="1">
        <v>2218</v>
      </c>
      <c r="D265" s="1" t="str">
        <f t="shared" si="72"/>
        <v>(2208,2218),</v>
      </c>
      <c r="E265" s="36" t="str">
        <f t="shared" si="73"/>
        <v>(2201,2211),(2202,2212),(2203,2213),(2204,2214),(2205,2215),(2206,2216),(2207,2217),(2208,2218),</v>
      </c>
    </row>
    <row r="266" spans="2:5" x14ac:dyDescent="0.3">
      <c r="B266" s="1">
        <v>2209</v>
      </c>
      <c r="C266" s="1">
        <v>2219</v>
      </c>
      <c r="D266" s="1" t="str">
        <f t="shared" si="72"/>
        <v>(2209,2219),</v>
      </c>
      <c r="E266" s="36" t="str">
        <f t="shared" si="73"/>
        <v>(2201,2211),(2202,2212),(2203,2213),(2204,2214),(2205,2215),(2206,2216),(2207,2217),(2208,2218),(2209,2219),</v>
      </c>
    </row>
    <row r="267" spans="2:5" x14ac:dyDescent="0.3">
      <c r="B267" s="1">
        <v>2210</v>
      </c>
      <c r="C267" s="1">
        <v>2220</v>
      </c>
      <c r="D267" s="1" t="str">
        <f t="shared" si="72"/>
        <v>(2210,2220),</v>
      </c>
      <c r="E267" s="36" t="str">
        <f t="shared" si="73"/>
        <v>(2201,2211),(2202,2212),(2203,2213),(2204,2214),(2205,2215),(2206,2216),(2207,2217),(2208,2218),(2209,2219),(2210,2220),</v>
      </c>
    </row>
    <row r="268" spans="2:5" x14ac:dyDescent="0.3">
      <c r="E268" s="36" t="str">
        <f>LEFT(E267,LEN(E267)-1)</f>
        <v>(2201,2211),(2202,2212),(2203,2213),(2204,2214),(2205,2215),(2206,2216),(2207,2217),(2208,2218),(2209,2219),(2210,2220)</v>
      </c>
    </row>
    <row r="269" spans="2:5" x14ac:dyDescent="0.3">
      <c r="E269" s="37" t="str">
        <f>"["&amp;E268&amp;"]"</f>
        <v>[(2201,2211),(2202,2212),(2203,2213),(2204,2214),(2205,2215),(2206,2216),(2207,2217),(2208,2218),(2209,2219),(2210,2220)]</v>
      </c>
    </row>
  </sheetData>
  <mergeCells count="5">
    <mergeCell ref="B2:H2"/>
    <mergeCell ref="I2:J2"/>
    <mergeCell ref="K2:L2"/>
    <mergeCell ref="B39:N39"/>
    <mergeCell ref="P39:T39"/>
  </mergeCells>
  <phoneticPr fontId="32" type="noConversion"/>
  <pageMargins left="0.7" right="0.7" top="0.75" bottom="0.75" header="0.3" footer="0.3"/>
  <legacyDrawing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36"/>
  <dimension ref="A1:AK21"/>
  <sheetViews>
    <sheetView topLeftCell="E1" workbookViewId="0">
      <selection activeCell="J10" sqref="J10"/>
    </sheetView>
  </sheetViews>
  <sheetFormatPr defaultColWidth="9" defaultRowHeight="13.5" x14ac:dyDescent="0.15"/>
  <cols>
    <col min="5" max="7" width="13" customWidth="1"/>
    <col min="8" max="8" width="19.625" customWidth="1"/>
    <col min="9" max="9" width="14" customWidth="1"/>
    <col min="10" max="10" width="17.125" customWidth="1"/>
    <col min="11" max="11" width="15.5" customWidth="1"/>
    <col min="12" max="12" width="12.125" customWidth="1"/>
    <col min="13" max="13" width="9.875" customWidth="1"/>
    <col min="14" max="14" width="13" customWidth="1"/>
    <col min="15" max="15" width="14.875" customWidth="1"/>
    <col min="16" max="16" width="12" customWidth="1"/>
    <col min="17" max="17" width="15.125" customWidth="1"/>
    <col min="18" max="18" width="21.375" customWidth="1"/>
    <col min="19" max="20" width="12.125" customWidth="1"/>
    <col min="21" max="21" width="15.625" customWidth="1"/>
    <col min="22" max="22" width="13" customWidth="1"/>
    <col min="23" max="23" width="11.625" customWidth="1"/>
    <col min="26" max="26" width="21.375" customWidth="1"/>
    <col min="33" max="33" width="13.375" customWidth="1"/>
  </cols>
  <sheetData>
    <row r="1" spans="1:37" x14ac:dyDescent="0.15">
      <c r="D1" t="s">
        <v>2825</v>
      </c>
      <c r="E1" t="s">
        <v>3484</v>
      </c>
      <c r="F1" t="s">
        <v>3485</v>
      </c>
      <c r="G1" t="s">
        <v>3486</v>
      </c>
      <c r="H1" t="s">
        <v>3487</v>
      </c>
      <c r="I1" t="s">
        <v>309</v>
      </c>
      <c r="J1" t="s">
        <v>3488</v>
      </c>
      <c r="K1" t="s">
        <v>3489</v>
      </c>
      <c r="L1" t="s">
        <v>3490</v>
      </c>
      <c r="N1" t="s">
        <v>3491</v>
      </c>
      <c r="O1" t="s">
        <v>3492</v>
      </c>
      <c r="P1" t="s">
        <v>3493</v>
      </c>
      <c r="Q1" t="s">
        <v>3494</v>
      </c>
      <c r="R1" t="s">
        <v>3495</v>
      </c>
      <c r="S1" t="s">
        <v>3496</v>
      </c>
      <c r="T1" t="s">
        <v>3497</v>
      </c>
      <c r="U1" t="s">
        <v>3498</v>
      </c>
      <c r="V1" t="s">
        <v>3498</v>
      </c>
      <c r="Z1" s="7" t="s">
        <v>3499</v>
      </c>
      <c r="AA1" s="18">
        <v>800</v>
      </c>
      <c r="AC1" s="7" t="s">
        <v>3500</v>
      </c>
      <c r="AD1" s="7" t="s">
        <v>3501</v>
      </c>
      <c r="AE1" s="7" t="s">
        <v>268</v>
      </c>
      <c r="AG1" t="s">
        <v>3502</v>
      </c>
      <c r="AH1" s="11" t="s">
        <v>3503</v>
      </c>
      <c r="AI1" s="11" t="s">
        <v>2997</v>
      </c>
      <c r="AJ1" s="11" t="s">
        <v>3504</v>
      </c>
      <c r="AK1" s="11" t="s">
        <v>3505</v>
      </c>
    </row>
    <row r="2" spans="1:37" ht="15.75" x14ac:dyDescent="0.3">
      <c r="A2" s="15">
        <v>51311</v>
      </c>
      <c r="B2" s="15" t="s">
        <v>522</v>
      </c>
      <c r="C2" s="15" t="s">
        <v>609</v>
      </c>
      <c r="D2">
        <f>VLOOKUP(A2,'名称-id'!B:D,3,FALSE)</f>
        <v>55</v>
      </c>
      <c r="E2">
        <v>18</v>
      </c>
      <c r="F2">
        <v>390</v>
      </c>
      <c r="G2">
        <f>'名称-id'!$K$2</f>
        <v>34.799999999999997</v>
      </c>
      <c r="H2" s="16">
        <f t="shared" ref="H2:H16" si="0">(D2+I2)/(G2*J2)</f>
        <v>4.2701149425287355E-2</v>
      </c>
      <c r="I2" s="17">
        <f t="shared" ref="I2:I16" si="1">VLOOKUP(N2,$AC$2:$AE$4,3,FALSE)*J2*$AA$3</f>
        <v>4.4400000000000004</v>
      </c>
      <c r="J2">
        <v>40</v>
      </c>
      <c r="K2">
        <v>5</v>
      </c>
      <c r="L2">
        <v>24</v>
      </c>
      <c r="M2">
        <f t="shared" ref="M2:M16" si="2">L2*3600</f>
        <v>86400</v>
      </c>
      <c r="N2">
        <v>1</v>
      </c>
      <c r="O2">
        <f t="shared" ref="O2:O16" si="3">VLOOKUP(N2,$AC$1:$AE$4,2,FALSE)</f>
        <v>10</v>
      </c>
      <c r="P2">
        <v>5</v>
      </c>
      <c r="Q2">
        <f>ROUNDUP(((O2*J2)/K2)/(P2*$AD$2),0)*P2*$AD$2</f>
        <v>100</v>
      </c>
      <c r="R2" s="9">
        <f t="shared" ref="R2:R16" si="4">Q2/$AD$2</f>
        <v>10</v>
      </c>
      <c r="S2">
        <f t="shared" ref="S2:S16" si="5">(E2*L2)/24</f>
        <v>18</v>
      </c>
      <c r="T2">
        <f t="shared" ref="T2:T16" si="6">(F2*L2)/24</f>
        <v>390</v>
      </c>
      <c r="U2">
        <f t="shared" ref="U2:U16" si="7">J2*S2</f>
        <v>720</v>
      </c>
      <c r="V2">
        <f t="shared" ref="V2:V16" si="8">T2*J2</f>
        <v>15600</v>
      </c>
      <c r="W2" t="str">
        <f>"["&amp;J2&amp;","&amp;J2&amp;","&amp;J2&amp;"]"</f>
        <v>[40,40,40]</v>
      </c>
      <c r="Z2" s="7" t="s">
        <v>3506</v>
      </c>
      <c r="AA2" s="18">
        <f>AA1*AE2/AD2</f>
        <v>400</v>
      </c>
      <c r="AC2" s="7">
        <v>1</v>
      </c>
      <c r="AD2" s="7">
        <v>10</v>
      </c>
      <c r="AE2" s="18">
        <v>5</v>
      </c>
      <c r="AH2" s="7">
        <v>1</v>
      </c>
      <c r="AI2" s="7">
        <v>13195</v>
      </c>
      <c r="AJ2" s="7">
        <v>2083</v>
      </c>
      <c r="AK2" s="7">
        <v>6.3346135381661099</v>
      </c>
    </row>
    <row r="3" spans="1:37" ht="15.75" x14ac:dyDescent="0.3">
      <c r="A3" s="15">
        <v>51321</v>
      </c>
      <c r="B3" s="15" t="s">
        <v>611</v>
      </c>
      <c r="C3" s="15" t="s">
        <v>612</v>
      </c>
      <c r="D3">
        <f>VLOOKUP(A3,'名称-id'!B:D,3,FALSE)</f>
        <v>70</v>
      </c>
      <c r="E3">
        <v>18</v>
      </c>
      <c r="F3">
        <v>390</v>
      </c>
      <c r="G3">
        <f>'名称-id'!$K$2</f>
        <v>34.799999999999997</v>
      </c>
      <c r="H3" s="16">
        <f t="shared" si="0"/>
        <v>4.3419540229885062E-2</v>
      </c>
      <c r="I3" s="17">
        <f t="shared" si="1"/>
        <v>5.55</v>
      </c>
      <c r="J3">
        <v>50</v>
      </c>
      <c r="K3">
        <v>5</v>
      </c>
      <c r="L3">
        <v>24</v>
      </c>
      <c r="M3">
        <f t="shared" si="2"/>
        <v>86400</v>
      </c>
      <c r="N3">
        <v>1</v>
      </c>
      <c r="O3">
        <f t="shared" si="3"/>
        <v>10</v>
      </c>
      <c r="P3">
        <v>5</v>
      </c>
      <c r="Q3">
        <f t="shared" ref="Q3:Q16" si="9">ROUNDUP(((O3*J3)/K3)/(P3*$AD$2),0)*P3*$AD$2</f>
        <v>100</v>
      </c>
      <c r="R3" s="9">
        <f t="shared" si="4"/>
        <v>10</v>
      </c>
      <c r="S3">
        <f t="shared" si="5"/>
        <v>18</v>
      </c>
      <c r="T3">
        <f t="shared" si="6"/>
        <v>390</v>
      </c>
      <c r="U3">
        <f t="shared" si="7"/>
        <v>900</v>
      </c>
      <c r="V3">
        <f t="shared" si="8"/>
        <v>19500</v>
      </c>
      <c r="W3" t="str">
        <f t="shared" ref="W3:W16" si="10">"["&amp;J3&amp;","&amp;J3&amp;","&amp;J3&amp;"]"</f>
        <v>[50,50,50]</v>
      </c>
      <c r="Z3" s="7" t="s">
        <v>3507</v>
      </c>
      <c r="AA3" s="18">
        <v>2.2200000000000001E-2</v>
      </c>
      <c r="AC3" s="7">
        <v>2</v>
      </c>
      <c r="AD3" s="7">
        <v>20</v>
      </c>
      <c r="AE3" s="7">
        <v>10</v>
      </c>
      <c r="AH3" s="7">
        <v>2</v>
      </c>
      <c r="AI3" s="7">
        <v>8578</v>
      </c>
      <c r="AJ3" s="7">
        <v>1296</v>
      </c>
      <c r="AK3" s="7">
        <v>6.6188271604938302</v>
      </c>
    </row>
    <row r="4" spans="1:37" ht="15.75" x14ac:dyDescent="0.3">
      <c r="A4" s="15">
        <v>51331</v>
      </c>
      <c r="B4" s="15" t="s">
        <v>613</v>
      </c>
      <c r="C4" s="15" t="s">
        <v>614</v>
      </c>
      <c r="D4">
        <f>VLOOKUP(A4,'名称-id'!B:D,3,FALSE)</f>
        <v>80</v>
      </c>
      <c r="E4">
        <v>18</v>
      </c>
      <c r="F4">
        <v>390</v>
      </c>
      <c r="G4">
        <f>'名称-id'!$K$2</f>
        <v>34.799999999999997</v>
      </c>
      <c r="H4" s="16">
        <f t="shared" si="0"/>
        <v>4.9166666666666671E-2</v>
      </c>
      <c r="I4" s="17">
        <f t="shared" si="1"/>
        <v>5.55</v>
      </c>
      <c r="J4">
        <v>50</v>
      </c>
      <c r="K4">
        <v>5</v>
      </c>
      <c r="L4">
        <v>24</v>
      </c>
      <c r="M4">
        <f t="shared" si="2"/>
        <v>86400</v>
      </c>
      <c r="N4">
        <v>1</v>
      </c>
      <c r="O4">
        <f t="shared" si="3"/>
        <v>10</v>
      </c>
      <c r="P4">
        <v>5</v>
      </c>
      <c r="Q4">
        <f t="shared" si="9"/>
        <v>100</v>
      </c>
      <c r="R4" s="9">
        <f t="shared" si="4"/>
        <v>10</v>
      </c>
      <c r="S4">
        <f t="shared" si="5"/>
        <v>18</v>
      </c>
      <c r="T4">
        <f t="shared" si="6"/>
        <v>390</v>
      </c>
      <c r="U4">
        <f t="shared" si="7"/>
        <v>900</v>
      </c>
      <c r="V4">
        <f t="shared" si="8"/>
        <v>19500</v>
      </c>
      <c r="W4" t="str">
        <f t="shared" si="10"/>
        <v>[50,50,50]</v>
      </c>
      <c r="Z4" s="7" t="s">
        <v>3508</v>
      </c>
      <c r="AA4" s="18">
        <f>AA3*AA2</f>
        <v>8.8800000000000008</v>
      </c>
      <c r="AC4" s="7">
        <v>3</v>
      </c>
      <c r="AD4" s="7">
        <v>30</v>
      </c>
      <c r="AE4" s="7">
        <v>15</v>
      </c>
      <c r="AH4" s="7">
        <v>3</v>
      </c>
      <c r="AI4" s="7">
        <v>1786</v>
      </c>
      <c r="AJ4" s="7">
        <v>539</v>
      </c>
      <c r="AK4" s="7">
        <v>3.3135435992578799</v>
      </c>
    </row>
    <row r="5" spans="1:37" ht="15.75" x14ac:dyDescent="0.3">
      <c r="A5" s="15">
        <v>52311</v>
      </c>
      <c r="B5" s="15" t="s">
        <v>526</v>
      </c>
      <c r="C5" s="15" t="s">
        <v>629</v>
      </c>
      <c r="D5">
        <f>VLOOKUP(A5,'名称-id'!B:D,3,FALSE)</f>
        <v>55</v>
      </c>
      <c r="E5">
        <v>18</v>
      </c>
      <c r="F5">
        <v>390</v>
      </c>
      <c r="G5">
        <f>'名称-id'!$K$2</f>
        <v>34.799999999999997</v>
      </c>
      <c r="H5" s="16">
        <f t="shared" si="0"/>
        <v>4.2701149425287355E-2</v>
      </c>
      <c r="I5" s="17">
        <f t="shared" si="1"/>
        <v>4.4400000000000004</v>
      </c>
      <c r="J5">
        <v>40</v>
      </c>
      <c r="K5">
        <v>5</v>
      </c>
      <c r="L5">
        <v>24</v>
      </c>
      <c r="M5">
        <f t="shared" si="2"/>
        <v>86400</v>
      </c>
      <c r="N5">
        <v>1</v>
      </c>
      <c r="O5">
        <f t="shared" si="3"/>
        <v>10</v>
      </c>
      <c r="P5">
        <v>5</v>
      </c>
      <c r="Q5">
        <f t="shared" si="9"/>
        <v>100</v>
      </c>
      <c r="R5" s="9">
        <f t="shared" si="4"/>
        <v>10</v>
      </c>
      <c r="S5">
        <f t="shared" si="5"/>
        <v>18</v>
      </c>
      <c r="T5">
        <f t="shared" si="6"/>
        <v>390</v>
      </c>
      <c r="U5">
        <f t="shared" si="7"/>
        <v>720</v>
      </c>
      <c r="V5">
        <f t="shared" si="8"/>
        <v>15600</v>
      </c>
      <c r="W5" t="str">
        <f t="shared" si="10"/>
        <v>[40,40,40]</v>
      </c>
      <c r="Z5" s="13" t="s">
        <v>3509</v>
      </c>
      <c r="AA5" s="19">
        <f>AA1/AVERAGE(Q2:Q16)</f>
        <v>8.8888888888888893</v>
      </c>
      <c r="AH5" s="7">
        <v>4</v>
      </c>
      <c r="AI5" s="7">
        <v>75</v>
      </c>
      <c r="AJ5" s="7">
        <v>528</v>
      </c>
      <c r="AK5" s="7">
        <v>0.142045454545455</v>
      </c>
    </row>
    <row r="6" spans="1:37" ht="15.75" x14ac:dyDescent="0.3">
      <c r="A6" s="15">
        <v>52321</v>
      </c>
      <c r="B6" s="15" t="s">
        <v>630</v>
      </c>
      <c r="C6" s="15" t="s">
        <v>631</v>
      </c>
      <c r="D6">
        <f>VLOOKUP(A6,'名称-id'!B:D,3,FALSE)</f>
        <v>70</v>
      </c>
      <c r="E6">
        <v>18</v>
      </c>
      <c r="F6">
        <v>390</v>
      </c>
      <c r="G6">
        <f>'名称-id'!$K$2</f>
        <v>34.799999999999997</v>
      </c>
      <c r="H6" s="16">
        <f t="shared" si="0"/>
        <v>4.3419540229885062E-2</v>
      </c>
      <c r="I6" s="17">
        <f t="shared" si="1"/>
        <v>5.55</v>
      </c>
      <c r="J6">
        <v>50</v>
      </c>
      <c r="K6">
        <v>5</v>
      </c>
      <c r="L6">
        <v>24</v>
      </c>
      <c r="M6">
        <f t="shared" si="2"/>
        <v>86400</v>
      </c>
      <c r="N6">
        <v>1</v>
      </c>
      <c r="O6">
        <f t="shared" si="3"/>
        <v>10</v>
      </c>
      <c r="P6">
        <v>5</v>
      </c>
      <c r="Q6">
        <f t="shared" si="9"/>
        <v>100</v>
      </c>
      <c r="R6" s="9">
        <f t="shared" si="4"/>
        <v>10</v>
      </c>
      <c r="S6">
        <f t="shared" si="5"/>
        <v>18</v>
      </c>
      <c r="T6">
        <f t="shared" si="6"/>
        <v>390</v>
      </c>
      <c r="U6">
        <f t="shared" si="7"/>
        <v>900</v>
      </c>
      <c r="V6">
        <f t="shared" si="8"/>
        <v>19500</v>
      </c>
      <c r="W6" t="str">
        <f t="shared" si="10"/>
        <v>[50,50,50]</v>
      </c>
      <c r="AH6" s="7">
        <v>5</v>
      </c>
      <c r="AI6" s="7">
        <v>23</v>
      </c>
      <c r="AJ6" s="7">
        <v>434</v>
      </c>
      <c r="AK6" s="7">
        <v>5.2995391705069103E-2</v>
      </c>
    </row>
    <row r="7" spans="1:37" ht="15.75" x14ac:dyDescent="0.3">
      <c r="A7" s="15">
        <v>52331</v>
      </c>
      <c r="B7" s="15" t="s">
        <v>632</v>
      </c>
      <c r="C7" s="15" t="s">
        <v>633</v>
      </c>
      <c r="D7">
        <f>VLOOKUP(A7,'名称-id'!B:D,3,FALSE)</f>
        <v>80</v>
      </c>
      <c r="E7">
        <v>18</v>
      </c>
      <c r="F7">
        <v>390</v>
      </c>
      <c r="G7">
        <f>'名称-id'!$K$2</f>
        <v>34.799999999999997</v>
      </c>
      <c r="H7" s="16">
        <f t="shared" si="0"/>
        <v>4.9166666666666671E-2</v>
      </c>
      <c r="I7" s="17">
        <f t="shared" si="1"/>
        <v>5.55</v>
      </c>
      <c r="J7">
        <v>50</v>
      </c>
      <c r="K7">
        <v>5</v>
      </c>
      <c r="L7">
        <v>24</v>
      </c>
      <c r="M7">
        <f t="shared" si="2"/>
        <v>86400</v>
      </c>
      <c r="N7">
        <v>1</v>
      </c>
      <c r="O7">
        <f t="shared" si="3"/>
        <v>10</v>
      </c>
      <c r="P7">
        <v>5</v>
      </c>
      <c r="Q7">
        <f t="shared" si="9"/>
        <v>100</v>
      </c>
      <c r="R7" s="9">
        <f t="shared" si="4"/>
        <v>10</v>
      </c>
      <c r="S7">
        <f t="shared" si="5"/>
        <v>18</v>
      </c>
      <c r="T7">
        <f t="shared" si="6"/>
        <v>390</v>
      </c>
      <c r="U7">
        <f t="shared" si="7"/>
        <v>900</v>
      </c>
      <c r="V7">
        <f t="shared" si="8"/>
        <v>19500</v>
      </c>
      <c r="W7" t="str">
        <f t="shared" si="10"/>
        <v>[50,50,50]</v>
      </c>
      <c r="AH7" s="7">
        <v>6</v>
      </c>
      <c r="AI7" s="7">
        <v>8</v>
      </c>
      <c r="AJ7" s="7">
        <v>254</v>
      </c>
      <c r="AK7" s="7">
        <v>3.1496062992125998E-2</v>
      </c>
    </row>
    <row r="8" spans="1:37" ht="15.75" x14ac:dyDescent="0.3">
      <c r="A8" s="15">
        <v>53311</v>
      </c>
      <c r="B8" s="15" t="s">
        <v>529</v>
      </c>
      <c r="C8" s="15" t="s">
        <v>648</v>
      </c>
      <c r="D8">
        <f>VLOOKUP(A8,'名称-id'!B:D,3,FALSE)</f>
        <v>55</v>
      </c>
      <c r="E8">
        <v>18</v>
      </c>
      <c r="F8">
        <v>390</v>
      </c>
      <c r="G8">
        <f>'名称-id'!$K$2</f>
        <v>34.799999999999997</v>
      </c>
      <c r="H8" s="16">
        <f t="shared" si="0"/>
        <v>4.2701149425287355E-2</v>
      </c>
      <c r="I8" s="17">
        <f t="shared" si="1"/>
        <v>4.4400000000000004</v>
      </c>
      <c r="J8">
        <v>40</v>
      </c>
      <c r="K8">
        <v>5</v>
      </c>
      <c r="L8">
        <v>24</v>
      </c>
      <c r="M8">
        <f t="shared" si="2"/>
        <v>86400</v>
      </c>
      <c r="N8">
        <v>1</v>
      </c>
      <c r="O8">
        <f t="shared" si="3"/>
        <v>10</v>
      </c>
      <c r="P8">
        <v>5</v>
      </c>
      <c r="Q8">
        <f t="shared" si="9"/>
        <v>100</v>
      </c>
      <c r="R8" s="9">
        <f t="shared" si="4"/>
        <v>10</v>
      </c>
      <c r="S8">
        <f t="shared" si="5"/>
        <v>18</v>
      </c>
      <c r="T8">
        <f t="shared" si="6"/>
        <v>390</v>
      </c>
      <c r="U8">
        <f t="shared" si="7"/>
        <v>720</v>
      </c>
      <c r="V8">
        <f t="shared" si="8"/>
        <v>15600</v>
      </c>
      <c r="W8" t="str">
        <f t="shared" si="10"/>
        <v>[40,40,40]</v>
      </c>
      <c r="AH8" s="7">
        <v>7</v>
      </c>
      <c r="AI8" s="7">
        <v>7</v>
      </c>
      <c r="AJ8" s="7">
        <v>153</v>
      </c>
      <c r="AK8" s="7">
        <v>4.5751633986928102E-2</v>
      </c>
    </row>
    <row r="9" spans="1:37" ht="15.75" x14ac:dyDescent="0.3">
      <c r="A9" s="15">
        <v>53321</v>
      </c>
      <c r="B9" s="15" t="s">
        <v>649</v>
      </c>
      <c r="C9" s="15" t="s">
        <v>650</v>
      </c>
      <c r="D9">
        <f>VLOOKUP(A9,'名称-id'!B:D,3,FALSE)</f>
        <v>70</v>
      </c>
      <c r="E9">
        <v>18</v>
      </c>
      <c r="F9">
        <v>390</v>
      </c>
      <c r="G9">
        <f>'名称-id'!$K$2</f>
        <v>34.799999999999997</v>
      </c>
      <c r="H9" s="16">
        <f t="shared" si="0"/>
        <v>4.3419540229885062E-2</v>
      </c>
      <c r="I9" s="17">
        <f t="shared" si="1"/>
        <v>5.55</v>
      </c>
      <c r="J9">
        <v>50</v>
      </c>
      <c r="K9">
        <v>5</v>
      </c>
      <c r="L9">
        <v>24</v>
      </c>
      <c r="M9">
        <f t="shared" si="2"/>
        <v>86400</v>
      </c>
      <c r="N9">
        <v>1</v>
      </c>
      <c r="O9">
        <f t="shared" si="3"/>
        <v>10</v>
      </c>
      <c r="P9">
        <v>5</v>
      </c>
      <c r="Q9">
        <f t="shared" si="9"/>
        <v>100</v>
      </c>
      <c r="R9" s="9">
        <f t="shared" si="4"/>
        <v>10</v>
      </c>
      <c r="S9">
        <f t="shared" si="5"/>
        <v>18</v>
      </c>
      <c r="T9">
        <f t="shared" si="6"/>
        <v>390</v>
      </c>
      <c r="U9">
        <f t="shared" si="7"/>
        <v>900</v>
      </c>
      <c r="V9">
        <f t="shared" si="8"/>
        <v>19500</v>
      </c>
      <c r="W9" t="str">
        <f t="shared" si="10"/>
        <v>[50,50,50]</v>
      </c>
      <c r="AH9" s="7">
        <v>8</v>
      </c>
      <c r="AI9" s="7">
        <v>7</v>
      </c>
      <c r="AJ9" s="7">
        <v>152</v>
      </c>
      <c r="AK9" s="7">
        <v>4.6052631578947401E-2</v>
      </c>
    </row>
    <row r="10" spans="1:37" ht="15.75" x14ac:dyDescent="0.3">
      <c r="A10" s="15">
        <v>53331</v>
      </c>
      <c r="B10" s="15" t="s">
        <v>651</v>
      </c>
      <c r="C10" s="15" t="s">
        <v>652</v>
      </c>
      <c r="D10">
        <f>VLOOKUP(A10,'名称-id'!B:D,3,FALSE)</f>
        <v>80</v>
      </c>
      <c r="E10">
        <v>18</v>
      </c>
      <c r="F10">
        <v>390</v>
      </c>
      <c r="G10">
        <f>'名称-id'!$K$2</f>
        <v>34.799999999999997</v>
      </c>
      <c r="H10" s="16">
        <f t="shared" si="0"/>
        <v>4.9166666666666671E-2</v>
      </c>
      <c r="I10" s="17">
        <f t="shared" si="1"/>
        <v>5.55</v>
      </c>
      <c r="J10">
        <v>50</v>
      </c>
      <c r="K10">
        <v>5</v>
      </c>
      <c r="L10">
        <v>24</v>
      </c>
      <c r="M10">
        <f t="shared" si="2"/>
        <v>86400</v>
      </c>
      <c r="N10">
        <v>1</v>
      </c>
      <c r="O10">
        <f t="shared" si="3"/>
        <v>10</v>
      </c>
      <c r="P10">
        <v>5</v>
      </c>
      <c r="Q10">
        <f t="shared" si="9"/>
        <v>100</v>
      </c>
      <c r="R10" s="9">
        <f t="shared" si="4"/>
        <v>10</v>
      </c>
      <c r="S10">
        <f t="shared" si="5"/>
        <v>18</v>
      </c>
      <c r="T10">
        <f t="shared" si="6"/>
        <v>390</v>
      </c>
      <c r="U10">
        <f t="shared" si="7"/>
        <v>900</v>
      </c>
      <c r="V10">
        <f t="shared" si="8"/>
        <v>19500</v>
      </c>
      <c r="W10" t="str">
        <f t="shared" si="10"/>
        <v>[50,50,50]</v>
      </c>
    </row>
    <row r="11" spans="1:37" ht="15.75" x14ac:dyDescent="0.3">
      <c r="A11" s="15">
        <v>51211</v>
      </c>
      <c r="B11" s="15" t="s">
        <v>516</v>
      </c>
      <c r="C11" s="15" t="s">
        <v>605</v>
      </c>
      <c r="D11">
        <f>VLOOKUP(A11,'名称-id'!B:D,3,FALSE)</f>
        <v>60</v>
      </c>
      <c r="E11">
        <v>6</v>
      </c>
      <c r="F11">
        <v>170</v>
      </c>
      <c r="G11">
        <f>'名称-id'!$K$2</f>
        <v>34.799999999999997</v>
      </c>
      <c r="H11" s="16">
        <f t="shared" si="0"/>
        <v>8.9396551724137935E-2</v>
      </c>
      <c r="I11" s="17">
        <f t="shared" si="1"/>
        <v>2.2200000000000002</v>
      </c>
      <c r="J11">
        <v>20</v>
      </c>
      <c r="K11">
        <v>5</v>
      </c>
      <c r="L11">
        <v>8</v>
      </c>
      <c r="M11">
        <f t="shared" si="2"/>
        <v>28800</v>
      </c>
      <c r="N11">
        <v>1</v>
      </c>
      <c r="O11">
        <f t="shared" si="3"/>
        <v>10</v>
      </c>
      <c r="P11">
        <v>5</v>
      </c>
      <c r="Q11">
        <f t="shared" si="9"/>
        <v>50</v>
      </c>
      <c r="R11" s="9">
        <f t="shared" si="4"/>
        <v>5</v>
      </c>
      <c r="S11">
        <f t="shared" si="5"/>
        <v>2</v>
      </c>
      <c r="T11">
        <f t="shared" si="6"/>
        <v>56.666666666666664</v>
      </c>
      <c r="U11">
        <f t="shared" si="7"/>
        <v>40</v>
      </c>
      <c r="V11">
        <f t="shared" si="8"/>
        <v>1133.3333333333333</v>
      </c>
      <c r="W11" t="str">
        <f t="shared" si="10"/>
        <v>[20,20,20]</v>
      </c>
      <c r="Z11" s="11" t="s">
        <v>3503</v>
      </c>
      <c r="AA11" s="11" t="s">
        <v>1187</v>
      </c>
      <c r="AB11" s="11" t="s">
        <v>3510</v>
      </c>
      <c r="AC11" s="11" t="s">
        <v>3511</v>
      </c>
      <c r="AD11" s="12" t="s">
        <v>3512</v>
      </c>
    </row>
    <row r="12" spans="1:37" ht="15.75" x14ac:dyDescent="0.3">
      <c r="A12" s="15">
        <v>51221</v>
      </c>
      <c r="B12" s="15" t="s">
        <v>607</v>
      </c>
      <c r="C12" s="15" t="s">
        <v>608</v>
      </c>
      <c r="D12">
        <f>VLOOKUP(A12,'名称-id'!B:D,3,FALSE)</f>
        <v>80</v>
      </c>
      <c r="E12">
        <v>6</v>
      </c>
      <c r="F12">
        <v>170</v>
      </c>
      <c r="G12">
        <f>'名称-id'!$K$2</f>
        <v>34.799999999999997</v>
      </c>
      <c r="H12" s="16">
        <f t="shared" si="0"/>
        <v>7.9818007662835241E-2</v>
      </c>
      <c r="I12" s="17">
        <f t="shared" si="1"/>
        <v>3.33</v>
      </c>
      <c r="J12">
        <v>30</v>
      </c>
      <c r="K12">
        <v>5</v>
      </c>
      <c r="L12">
        <v>8</v>
      </c>
      <c r="M12">
        <f t="shared" si="2"/>
        <v>28800</v>
      </c>
      <c r="N12">
        <v>1</v>
      </c>
      <c r="O12">
        <f t="shared" si="3"/>
        <v>10</v>
      </c>
      <c r="P12">
        <v>5</v>
      </c>
      <c r="Q12">
        <f t="shared" si="9"/>
        <v>100</v>
      </c>
      <c r="R12" s="9">
        <f t="shared" si="4"/>
        <v>10</v>
      </c>
      <c r="S12">
        <f t="shared" si="5"/>
        <v>2</v>
      </c>
      <c r="T12">
        <f t="shared" si="6"/>
        <v>56.666666666666664</v>
      </c>
      <c r="U12">
        <f t="shared" si="7"/>
        <v>60</v>
      </c>
      <c r="V12">
        <f t="shared" si="8"/>
        <v>1700</v>
      </c>
      <c r="W12" t="str">
        <f t="shared" si="10"/>
        <v>[30,30,30]</v>
      </c>
      <c r="Z12" s="7">
        <v>1</v>
      </c>
      <c r="AA12" s="7">
        <v>1</v>
      </c>
      <c r="AB12" s="7">
        <f>AA12*$AA$1</f>
        <v>800</v>
      </c>
      <c r="AC12" s="7">
        <f>AA12*$AA$2</f>
        <v>400</v>
      </c>
      <c r="AD12" s="20">
        <f>AA12*$AA$5</f>
        <v>8.8888888888888893</v>
      </c>
    </row>
    <row r="13" spans="1:37" ht="15.75" x14ac:dyDescent="0.3">
      <c r="A13" s="15">
        <v>52211</v>
      </c>
      <c r="B13" s="15" t="s">
        <v>518</v>
      </c>
      <c r="C13" s="15" t="s">
        <v>626</v>
      </c>
      <c r="D13">
        <f>VLOOKUP(A13,'名称-id'!B:D,3,FALSE)</f>
        <v>60</v>
      </c>
      <c r="E13">
        <v>6</v>
      </c>
      <c r="F13">
        <v>170</v>
      </c>
      <c r="G13">
        <f>'名称-id'!$K$2</f>
        <v>34.799999999999997</v>
      </c>
      <c r="H13" s="16">
        <f t="shared" si="0"/>
        <v>8.9396551724137935E-2</v>
      </c>
      <c r="I13" s="17">
        <f t="shared" si="1"/>
        <v>2.2200000000000002</v>
      </c>
      <c r="J13">
        <v>20</v>
      </c>
      <c r="K13">
        <v>5</v>
      </c>
      <c r="L13">
        <v>8</v>
      </c>
      <c r="M13">
        <f t="shared" si="2"/>
        <v>28800</v>
      </c>
      <c r="N13">
        <v>1</v>
      </c>
      <c r="O13">
        <f t="shared" si="3"/>
        <v>10</v>
      </c>
      <c r="P13">
        <v>5</v>
      </c>
      <c r="Q13">
        <f t="shared" si="9"/>
        <v>50</v>
      </c>
      <c r="R13" s="9">
        <f t="shared" si="4"/>
        <v>5</v>
      </c>
      <c r="S13">
        <f t="shared" si="5"/>
        <v>2</v>
      </c>
      <c r="T13">
        <f t="shared" si="6"/>
        <v>56.666666666666664</v>
      </c>
      <c r="U13">
        <f t="shared" si="7"/>
        <v>40</v>
      </c>
      <c r="V13">
        <f t="shared" si="8"/>
        <v>1133.3333333333333</v>
      </c>
      <c r="W13" t="str">
        <f t="shared" si="10"/>
        <v>[20,20,20]</v>
      </c>
      <c r="Z13" s="7">
        <v>2</v>
      </c>
      <c r="AA13" s="7">
        <v>1.08</v>
      </c>
      <c r="AB13" s="7">
        <f t="shared" ref="AB13:AB21" si="11">AA13*$AA$1</f>
        <v>864</v>
      </c>
      <c r="AC13" s="7">
        <f t="shared" ref="AC13:AC21" si="12">AA13*$AA$2</f>
        <v>432</v>
      </c>
      <c r="AD13" s="20">
        <f t="shared" ref="AD13:AD21" si="13">AA13*$AA$5</f>
        <v>9.6000000000000014</v>
      </c>
    </row>
    <row r="14" spans="1:37" ht="15.75" x14ac:dyDescent="0.3">
      <c r="A14" s="15">
        <v>52221</v>
      </c>
      <c r="B14" s="15" t="s">
        <v>627</v>
      </c>
      <c r="C14" s="15" t="s">
        <v>628</v>
      </c>
      <c r="D14">
        <f>VLOOKUP(A14,'名称-id'!B:D,3,FALSE)</f>
        <v>80</v>
      </c>
      <c r="E14">
        <v>6</v>
      </c>
      <c r="F14">
        <v>170</v>
      </c>
      <c r="G14">
        <f>'名称-id'!$K$2</f>
        <v>34.799999999999997</v>
      </c>
      <c r="H14" s="16">
        <f t="shared" si="0"/>
        <v>7.9818007662835241E-2</v>
      </c>
      <c r="I14" s="17">
        <f t="shared" si="1"/>
        <v>3.33</v>
      </c>
      <c r="J14">
        <v>30</v>
      </c>
      <c r="K14">
        <v>5</v>
      </c>
      <c r="L14">
        <v>8</v>
      </c>
      <c r="M14">
        <f t="shared" si="2"/>
        <v>28800</v>
      </c>
      <c r="N14">
        <v>1</v>
      </c>
      <c r="O14">
        <f t="shared" si="3"/>
        <v>10</v>
      </c>
      <c r="P14">
        <v>5</v>
      </c>
      <c r="Q14">
        <f t="shared" si="9"/>
        <v>100</v>
      </c>
      <c r="R14" s="9">
        <f t="shared" si="4"/>
        <v>10</v>
      </c>
      <c r="S14">
        <f t="shared" si="5"/>
        <v>2</v>
      </c>
      <c r="T14">
        <f t="shared" si="6"/>
        <v>56.666666666666664</v>
      </c>
      <c r="U14">
        <f t="shared" si="7"/>
        <v>60</v>
      </c>
      <c r="V14">
        <f t="shared" si="8"/>
        <v>1700</v>
      </c>
      <c r="W14" t="str">
        <f t="shared" si="10"/>
        <v>[30,30,30]</v>
      </c>
      <c r="Z14" s="7">
        <v>3</v>
      </c>
      <c r="AA14" s="7">
        <v>1.17</v>
      </c>
      <c r="AB14" s="7">
        <f t="shared" si="11"/>
        <v>936</v>
      </c>
      <c r="AC14" s="7">
        <f t="shared" si="12"/>
        <v>468</v>
      </c>
      <c r="AD14" s="20">
        <f t="shared" si="13"/>
        <v>10.4</v>
      </c>
    </row>
    <row r="15" spans="1:37" ht="15.75" x14ac:dyDescent="0.3">
      <c r="A15" s="15">
        <v>53211</v>
      </c>
      <c r="B15" s="15" t="s">
        <v>644</v>
      </c>
      <c r="C15" s="15" t="s">
        <v>645</v>
      </c>
      <c r="D15">
        <f>VLOOKUP(A15,'名称-id'!B:D,3,FALSE)</f>
        <v>60</v>
      </c>
      <c r="E15">
        <v>6</v>
      </c>
      <c r="F15">
        <v>170</v>
      </c>
      <c r="G15">
        <f>'名称-id'!$K$2</f>
        <v>34.799999999999997</v>
      </c>
      <c r="H15" s="16">
        <f t="shared" si="0"/>
        <v>8.9396551724137935E-2</v>
      </c>
      <c r="I15" s="17">
        <f t="shared" si="1"/>
        <v>2.2200000000000002</v>
      </c>
      <c r="J15">
        <v>20</v>
      </c>
      <c r="K15">
        <v>5</v>
      </c>
      <c r="L15">
        <v>8</v>
      </c>
      <c r="M15">
        <f t="shared" si="2"/>
        <v>28800</v>
      </c>
      <c r="N15">
        <v>1</v>
      </c>
      <c r="O15">
        <f t="shared" si="3"/>
        <v>10</v>
      </c>
      <c r="P15">
        <v>5</v>
      </c>
      <c r="Q15">
        <f t="shared" si="9"/>
        <v>50</v>
      </c>
      <c r="R15" s="9">
        <f t="shared" si="4"/>
        <v>5</v>
      </c>
      <c r="S15">
        <f t="shared" si="5"/>
        <v>2</v>
      </c>
      <c r="T15">
        <f t="shared" si="6"/>
        <v>56.666666666666664</v>
      </c>
      <c r="U15">
        <f t="shared" si="7"/>
        <v>40</v>
      </c>
      <c r="V15">
        <f t="shared" si="8"/>
        <v>1133.3333333333333</v>
      </c>
      <c r="W15" t="str">
        <f t="shared" si="10"/>
        <v>[20,20,20]</v>
      </c>
      <c r="Z15" s="7">
        <v>4</v>
      </c>
      <c r="AA15" s="7">
        <v>1.25</v>
      </c>
      <c r="AB15" s="7">
        <f t="shared" si="11"/>
        <v>1000</v>
      </c>
      <c r="AC15" s="7">
        <f t="shared" si="12"/>
        <v>500</v>
      </c>
      <c r="AD15" s="20">
        <f t="shared" si="13"/>
        <v>11.111111111111111</v>
      </c>
    </row>
    <row r="16" spans="1:37" ht="15.75" x14ac:dyDescent="0.3">
      <c r="A16" s="15">
        <v>53221</v>
      </c>
      <c r="B16" s="15" t="s">
        <v>646</v>
      </c>
      <c r="C16" s="15" t="s">
        <v>647</v>
      </c>
      <c r="D16">
        <f>VLOOKUP(A16,'名称-id'!B:D,3,FALSE)</f>
        <v>80</v>
      </c>
      <c r="E16">
        <v>6</v>
      </c>
      <c r="F16">
        <v>170</v>
      </c>
      <c r="G16">
        <f>'名称-id'!$K$2</f>
        <v>34.799999999999997</v>
      </c>
      <c r="H16" s="16">
        <f t="shared" si="0"/>
        <v>7.9818007662835241E-2</v>
      </c>
      <c r="I16" s="17">
        <f t="shared" si="1"/>
        <v>3.33</v>
      </c>
      <c r="J16">
        <v>30</v>
      </c>
      <c r="K16">
        <v>5</v>
      </c>
      <c r="L16">
        <v>8</v>
      </c>
      <c r="M16">
        <f t="shared" si="2"/>
        <v>28800</v>
      </c>
      <c r="N16">
        <v>1</v>
      </c>
      <c r="O16">
        <f t="shared" si="3"/>
        <v>10</v>
      </c>
      <c r="P16">
        <v>5</v>
      </c>
      <c r="Q16">
        <f t="shared" si="9"/>
        <v>100</v>
      </c>
      <c r="R16" s="9">
        <f t="shared" si="4"/>
        <v>10</v>
      </c>
      <c r="S16">
        <f t="shared" si="5"/>
        <v>2</v>
      </c>
      <c r="T16">
        <f t="shared" si="6"/>
        <v>56.666666666666664</v>
      </c>
      <c r="U16">
        <f t="shared" si="7"/>
        <v>60</v>
      </c>
      <c r="V16">
        <f t="shared" si="8"/>
        <v>1700</v>
      </c>
      <c r="W16" t="str">
        <f t="shared" si="10"/>
        <v>[30,30,30]</v>
      </c>
      <c r="Z16" s="7">
        <v>5</v>
      </c>
      <c r="AA16" s="7">
        <v>1.33</v>
      </c>
      <c r="AB16" s="7">
        <f t="shared" si="11"/>
        <v>1064</v>
      </c>
      <c r="AC16" s="7">
        <f t="shared" si="12"/>
        <v>532</v>
      </c>
      <c r="AD16" s="20">
        <f t="shared" si="13"/>
        <v>11.822222222222223</v>
      </c>
    </row>
    <row r="17" spans="26:30" x14ac:dyDescent="0.15">
      <c r="Z17" s="7">
        <v>6</v>
      </c>
      <c r="AA17" s="7">
        <v>1.42</v>
      </c>
      <c r="AB17" s="7">
        <f t="shared" si="11"/>
        <v>1136</v>
      </c>
      <c r="AC17" s="7">
        <f t="shared" si="12"/>
        <v>568</v>
      </c>
      <c r="AD17" s="20">
        <f t="shared" si="13"/>
        <v>12.622222222222222</v>
      </c>
    </row>
    <row r="18" spans="26:30" x14ac:dyDescent="0.15">
      <c r="Z18" s="7">
        <v>7</v>
      </c>
      <c r="AA18" s="7">
        <v>1.5</v>
      </c>
      <c r="AB18" s="7">
        <f t="shared" si="11"/>
        <v>1200</v>
      </c>
      <c r="AC18" s="7">
        <f t="shared" si="12"/>
        <v>600</v>
      </c>
      <c r="AD18" s="20">
        <f t="shared" si="13"/>
        <v>13.333333333333334</v>
      </c>
    </row>
    <row r="19" spans="26:30" x14ac:dyDescent="0.15">
      <c r="Z19" s="7">
        <v>8</v>
      </c>
      <c r="AA19" s="7">
        <v>1.58</v>
      </c>
      <c r="AB19" s="7">
        <f t="shared" si="11"/>
        <v>1264</v>
      </c>
      <c r="AC19" s="7">
        <f t="shared" si="12"/>
        <v>632</v>
      </c>
      <c r="AD19" s="20">
        <f t="shared" si="13"/>
        <v>14.044444444444446</v>
      </c>
    </row>
    <row r="20" spans="26:30" x14ac:dyDescent="0.15">
      <c r="Z20" s="7">
        <v>9</v>
      </c>
      <c r="AA20" s="7">
        <v>1.58</v>
      </c>
      <c r="AB20" s="7">
        <f t="shared" si="11"/>
        <v>1264</v>
      </c>
      <c r="AC20" s="7">
        <f t="shared" si="12"/>
        <v>632</v>
      </c>
      <c r="AD20" s="20">
        <f t="shared" si="13"/>
        <v>14.044444444444446</v>
      </c>
    </row>
    <row r="21" spans="26:30" x14ac:dyDescent="0.15">
      <c r="Z21" s="7">
        <v>10</v>
      </c>
      <c r="AA21" s="7">
        <v>1.58</v>
      </c>
      <c r="AB21" s="7">
        <f t="shared" si="11"/>
        <v>1264</v>
      </c>
      <c r="AC21" s="7">
        <f t="shared" si="12"/>
        <v>632</v>
      </c>
      <c r="AD21" s="20">
        <f t="shared" si="13"/>
        <v>14.044444444444446</v>
      </c>
    </row>
  </sheetData>
  <phoneticPr fontId="32" type="noConversion"/>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37"/>
  <dimension ref="A1:K140"/>
  <sheetViews>
    <sheetView workbookViewId="0">
      <selection activeCell="F3" sqref="F3"/>
    </sheetView>
  </sheetViews>
  <sheetFormatPr defaultColWidth="9" defaultRowHeight="13.5" x14ac:dyDescent="0.15"/>
  <cols>
    <col min="1" max="1" width="22.875" customWidth="1"/>
    <col min="2" max="2" width="19" customWidth="1"/>
    <col min="3" max="3" width="13.125" customWidth="1"/>
    <col min="4" max="4" width="18.375" customWidth="1"/>
    <col min="5" max="5" width="18.625" customWidth="1"/>
    <col min="6" max="6" width="14.5" customWidth="1"/>
    <col min="8" max="8" width="19" customWidth="1"/>
  </cols>
  <sheetData>
    <row r="1" spans="1:9" ht="18.75" x14ac:dyDescent="0.25">
      <c r="A1" s="6" t="s">
        <v>3513</v>
      </c>
    </row>
    <row r="2" spans="1:9" x14ac:dyDescent="0.15">
      <c r="A2" s="7" t="s">
        <v>3514</v>
      </c>
      <c r="B2" s="7" t="s">
        <v>3515</v>
      </c>
      <c r="C2" s="283" t="s">
        <v>3816</v>
      </c>
      <c r="D2" s="284" t="s">
        <v>3817</v>
      </c>
      <c r="E2" s="7" t="s">
        <v>3516</v>
      </c>
      <c r="F2" s="7" t="s">
        <v>3517</v>
      </c>
    </row>
    <row r="3" spans="1:9" x14ac:dyDescent="0.15">
      <c r="A3" s="7">
        <v>3</v>
      </c>
      <c r="B3" s="7">
        <v>0.32</v>
      </c>
      <c r="C3" s="7">
        <v>60</v>
      </c>
      <c r="D3" s="7">
        <f>C3/(B3*60*(A3/2))</f>
        <v>2.0833333333333335</v>
      </c>
      <c r="E3" s="8">
        <f>(C3/B3+(100-C3)/(B3*2))/60</f>
        <v>4.166666666666667</v>
      </c>
      <c r="F3" s="8">
        <f>(C3/(B3*A3)+(100-C3)/(B3*A3*2))/60</f>
        <v>1.3888888888888891</v>
      </c>
    </row>
    <row r="4" spans="1:9" x14ac:dyDescent="0.15">
      <c r="A4" s="7">
        <v>5</v>
      </c>
      <c r="B4" s="7">
        <v>0.22</v>
      </c>
      <c r="C4" s="7">
        <v>60</v>
      </c>
      <c r="D4" s="7">
        <f t="shared" ref="D4:D5" si="0">C4/(B4*60*(A4/2))</f>
        <v>1.8181818181818181</v>
      </c>
      <c r="E4" s="8">
        <f>(C4/B4+(100-C4)/(B4*2))/60</f>
        <v>6.0606060606060606</v>
      </c>
      <c r="F4" s="8">
        <f>(C4/(B4*A4)+(100-C4)/(B4*A4*2))/60</f>
        <v>1.2121212121212119</v>
      </c>
    </row>
    <row r="5" spans="1:9" x14ac:dyDescent="0.15">
      <c r="A5" s="7">
        <v>2</v>
      </c>
      <c r="B5" s="7">
        <v>0.4</v>
      </c>
      <c r="C5" s="7">
        <v>60</v>
      </c>
      <c r="D5" s="7">
        <f t="shared" si="0"/>
        <v>2.5</v>
      </c>
      <c r="E5" s="8">
        <f>(C5/B5+(100-C5)/(B5*2))/60</f>
        <v>3.3333333333333335</v>
      </c>
      <c r="F5" s="8">
        <f>(C5/(B5*A5)+(100-C5)/(B5*A5*2))/60</f>
        <v>1.6666666666666667</v>
      </c>
    </row>
    <row r="6" spans="1:9" x14ac:dyDescent="0.15">
      <c r="A6" s="38"/>
      <c r="B6" s="38"/>
      <c r="C6" s="272"/>
      <c r="D6" s="272"/>
    </row>
    <row r="8" spans="1:9" x14ac:dyDescent="0.15">
      <c r="B8" t="s">
        <v>3518</v>
      </c>
      <c r="C8" t="s">
        <v>3519</v>
      </c>
      <c r="D8" t="s">
        <v>501</v>
      </c>
    </row>
    <row r="9" spans="1:9" x14ac:dyDescent="0.15">
      <c r="A9">
        <v>0</v>
      </c>
      <c r="B9">
        <f>A9*60</f>
        <v>0</v>
      </c>
      <c r="C9">
        <f>MOD(A9,24)</f>
        <v>0</v>
      </c>
      <c r="D9">
        <f>ROUNDDOWN(A9/24,0)+1</f>
        <v>1</v>
      </c>
      <c r="E9" t="s">
        <v>3520</v>
      </c>
      <c r="F9" t="str">
        <f>IF(E9="补给争夺","("&amp;B9&amp;","&amp;B9+30&amp;")"&amp;",","")</f>
        <v>(0,30),</v>
      </c>
      <c r="G9" t="str">
        <f>IF(E9="死亡竞赛","("&amp;B9&amp;","&amp;B9+30&amp;")"&amp;",","")</f>
        <v/>
      </c>
      <c r="H9" t="str">
        <f>IF(F9="",H8,H8&amp;F9)</f>
        <v>(0,30),</v>
      </c>
    </row>
    <row r="10" spans="1:9" x14ac:dyDescent="0.15">
      <c r="A10">
        <v>2</v>
      </c>
      <c r="B10">
        <f t="shared" ref="B10:B77" si="1">A10*60</f>
        <v>120</v>
      </c>
      <c r="C10">
        <f t="shared" ref="C10:C77" si="2">MOD(A10,24)</f>
        <v>2</v>
      </c>
      <c r="D10">
        <f t="shared" ref="D10:D77" si="3">ROUNDDOWN(A10/24,0)+1</f>
        <v>1</v>
      </c>
      <c r="E10" t="s">
        <v>3521</v>
      </c>
      <c r="F10" t="str">
        <f t="shared" ref="F10:F68" si="4">IF(E10="补给争夺","("&amp;B10&amp;","&amp;B10+30&amp;")"&amp;",","")</f>
        <v/>
      </c>
      <c r="G10" t="str">
        <f t="shared" ref="G10:G68" si="5">IF(E10="死亡竞赛","("&amp;B10&amp;","&amp;B10+30&amp;")"&amp;",","")</f>
        <v>(120,150),</v>
      </c>
      <c r="H10" t="str">
        <f t="shared" ref="H10:H68" si="6">IF(F10="",H9,H9&amp;F10)</f>
        <v>(0,30),</v>
      </c>
      <c r="I10" t="str">
        <f t="shared" ref="I10:I68" si="7">IF(G10="",I9,I9&amp;G10)</f>
        <v>(120,150),</v>
      </c>
    </row>
    <row r="11" spans="1:9" x14ac:dyDescent="0.15">
      <c r="A11">
        <v>4</v>
      </c>
      <c r="B11">
        <f t="shared" si="1"/>
        <v>240</v>
      </c>
      <c r="C11">
        <f t="shared" si="2"/>
        <v>4</v>
      </c>
      <c r="D11">
        <f t="shared" si="3"/>
        <v>1</v>
      </c>
      <c r="E11" t="s">
        <v>3520</v>
      </c>
      <c r="F11" t="str">
        <f t="shared" si="4"/>
        <v>(240,270),</v>
      </c>
      <c r="G11" t="str">
        <f t="shared" si="5"/>
        <v/>
      </c>
      <c r="H11" t="str">
        <f t="shared" si="6"/>
        <v>(0,30),(240,270),</v>
      </c>
      <c r="I11" t="str">
        <f t="shared" si="7"/>
        <v>(120,150),</v>
      </c>
    </row>
    <row r="12" spans="1:9" x14ac:dyDescent="0.15">
      <c r="A12">
        <v>6</v>
      </c>
      <c r="B12">
        <f t="shared" si="1"/>
        <v>360</v>
      </c>
      <c r="C12">
        <f t="shared" si="2"/>
        <v>6</v>
      </c>
      <c r="D12">
        <f t="shared" si="3"/>
        <v>1</v>
      </c>
      <c r="E12" t="s">
        <v>3521</v>
      </c>
      <c r="F12" t="str">
        <f t="shared" si="4"/>
        <v/>
      </c>
      <c r="G12" t="str">
        <f t="shared" si="5"/>
        <v>(360,390),</v>
      </c>
      <c r="H12" t="str">
        <f t="shared" si="6"/>
        <v>(0,30),(240,270),</v>
      </c>
      <c r="I12" t="str">
        <f t="shared" si="7"/>
        <v>(120,150),(360,390),</v>
      </c>
    </row>
    <row r="13" spans="1:9" x14ac:dyDescent="0.15">
      <c r="A13">
        <v>8</v>
      </c>
      <c r="B13">
        <f t="shared" si="1"/>
        <v>480</v>
      </c>
      <c r="C13">
        <f t="shared" si="2"/>
        <v>8</v>
      </c>
      <c r="D13">
        <f t="shared" si="3"/>
        <v>1</v>
      </c>
      <c r="E13" t="s">
        <v>3520</v>
      </c>
      <c r="F13" t="str">
        <f t="shared" si="4"/>
        <v>(480,510),</v>
      </c>
      <c r="G13" t="str">
        <f t="shared" si="5"/>
        <v/>
      </c>
      <c r="H13" t="str">
        <f t="shared" si="6"/>
        <v>(0,30),(240,270),(480,510),</v>
      </c>
      <c r="I13" t="str">
        <f t="shared" si="7"/>
        <v>(120,150),(360,390),</v>
      </c>
    </row>
    <row r="14" spans="1:9" x14ac:dyDescent="0.15">
      <c r="A14">
        <v>10</v>
      </c>
      <c r="B14">
        <f t="shared" si="1"/>
        <v>600</v>
      </c>
      <c r="C14">
        <f t="shared" si="2"/>
        <v>10</v>
      </c>
      <c r="D14">
        <f t="shared" si="3"/>
        <v>1</v>
      </c>
      <c r="E14" t="s">
        <v>3521</v>
      </c>
      <c r="F14" t="str">
        <f t="shared" si="4"/>
        <v/>
      </c>
      <c r="G14" t="str">
        <f t="shared" si="5"/>
        <v>(600,630),</v>
      </c>
      <c r="H14" t="str">
        <f t="shared" si="6"/>
        <v>(0,30),(240,270),(480,510),</v>
      </c>
      <c r="I14" t="str">
        <f t="shared" si="7"/>
        <v>(120,150),(360,390),(600,630),</v>
      </c>
    </row>
    <row r="15" spans="1:9" x14ac:dyDescent="0.15">
      <c r="A15">
        <v>12</v>
      </c>
      <c r="B15">
        <f t="shared" si="1"/>
        <v>720</v>
      </c>
      <c r="C15">
        <f t="shared" si="2"/>
        <v>12</v>
      </c>
      <c r="D15">
        <f t="shared" si="3"/>
        <v>1</v>
      </c>
      <c r="E15" t="s">
        <v>3520</v>
      </c>
      <c r="F15" t="str">
        <f t="shared" si="4"/>
        <v>(720,750),</v>
      </c>
      <c r="G15" t="str">
        <f t="shared" si="5"/>
        <v/>
      </c>
      <c r="H15" t="str">
        <f t="shared" si="6"/>
        <v>(0,30),(240,270),(480,510),(720,750),</v>
      </c>
      <c r="I15" t="str">
        <f t="shared" si="7"/>
        <v>(120,150),(360,390),(600,630),</v>
      </c>
    </row>
    <row r="16" spans="1:9" x14ac:dyDescent="0.15">
      <c r="A16">
        <v>14</v>
      </c>
      <c r="B16">
        <f t="shared" si="1"/>
        <v>840</v>
      </c>
      <c r="C16">
        <f t="shared" si="2"/>
        <v>14</v>
      </c>
      <c r="D16">
        <f t="shared" si="3"/>
        <v>1</v>
      </c>
      <c r="E16" t="s">
        <v>3521</v>
      </c>
      <c r="F16" t="str">
        <f t="shared" si="4"/>
        <v/>
      </c>
      <c r="G16" t="str">
        <f t="shared" si="5"/>
        <v>(840,870),</v>
      </c>
      <c r="H16" t="str">
        <f t="shared" si="6"/>
        <v>(0,30),(240,270),(480,510),(720,750),</v>
      </c>
      <c r="I16" t="str">
        <f t="shared" si="7"/>
        <v>(120,150),(360,390),(600,630),(840,870),</v>
      </c>
    </row>
    <row r="17" spans="1:9" x14ac:dyDescent="0.15">
      <c r="A17">
        <v>16</v>
      </c>
      <c r="B17">
        <f t="shared" si="1"/>
        <v>960</v>
      </c>
      <c r="C17">
        <f t="shared" si="2"/>
        <v>16</v>
      </c>
      <c r="D17">
        <f t="shared" si="3"/>
        <v>1</v>
      </c>
      <c r="E17" t="s">
        <v>3520</v>
      </c>
      <c r="F17" t="str">
        <f t="shared" si="4"/>
        <v>(960,990),</v>
      </c>
      <c r="G17" t="str">
        <f t="shared" si="5"/>
        <v/>
      </c>
      <c r="H17" t="str">
        <f t="shared" si="6"/>
        <v>(0,30),(240,270),(480,510),(720,750),(960,990),</v>
      </c>
      <c r="I17" t="str">
        <f t="shared" si="7"/>
        <v>(120,150),(360,390),(600,630),(840,870),</v>
      </c>
    </row>
    <row r="18" spans="1:9" x14ac:dyDescent="0.15">
      <c r="A18">
        <v>18</v>
      </c>
      <c r="B18">
        <f t="shared" si="1"/>
        <v>1080</v>
      </c>
      <c r="C18">
        <f t="shared" si="2"/>
        <v>18</v>
      </c>
      <c r="D18">
        <f t="shared" si="3"/>
        <v>1</v>
      </c>
      <c r="E18" t="s">
        <v>3521</v>
      </c>
      <c r="F18" t="str">
        <f t="shared" si="4"/>
        <v/>
      </c>
      <c r="G18" t="str">
        <f t="shared" si="5"/>
        <v>(1080,1110),</v>
      </c>
      <c r="H18" t="str">
        <f t="shared" si="6"/>
        <v>(0,30),(240,270),(480,510),(720,750),(960,990),</v>
      </c>
      <c r="I18" t="str">
        <f t="shared" si="7"/>
        <v>(120,150),(360,390),(600,630),(840,870),(1080,1110),</v>
      </c>
    </row>
    <row r="19" spans="1:9" x14ac:dyDescent="0.15">
      <c r="A19">
        <v>20</v>
      </c>
      <c r="B19">
        <f t="shared" si="1"/>
        <v>1200</v>
      </c>
      <c r="C19">
        <f t="shared" si="2"/>
        <v>20</v>
      </c>
      <c r="D19">
        <f t="shared" si="3"/>
        <v>1</v>
      </c>
      <c r="E19" t="s">
        <v>3520</v>
      </c>
      <c r="F19" t="str">
        <f t="shared" si="4"/>
        <v>(1200,1230),</v>
      </c>
      <c r="G19" t="str">
        <f t="shared" si="5"/>
        <v/>
      </c>
      <c r="H19" t="str">
        <f t="shared" si="6"/>
        <v>(0,30),(240,270),(480,510),(720,750),(960,990),(1200,1230),</v>
      </c>
      <c r="I19" t="str">
        <f t="shared" si="7"/>
        <v>(120,150),(360,390),(600,630),(840,870),(1080,1110),</v>
      </c>
    </row>
    <row r="20" spans="1:9" x14ac:dyDescent="0.15">
      <c r="A20">
        <v>22</v>
      </c>
      <c r="B20">
        <f t="shared" si="1"/>
        <v>1320</v>
      </c>
      <c r="C20">
        <f t="shared" si="2"/>
        <v>22</v>
      </c>
      <c r="D20">
        <f t="shared" si="3"/>
        <v>1</v>
      </c>
      <c r="E20" t="s">
        <v>3521</v>
      </c>
      <c r="F20" t="str">
        <f t="shared" si="4"/>
        <v/>
      </c>
      <c r="G20" t="str">
        <f t="shared" si="5"/>
        <v>(1320,1350),</v>
      </c>
      <c r="H20" t="str">
        <f t="shared" si="6"/>
        <v>(0,30),(240,270),(480,510),(720,750),(960,990),(1200,1230),</v>
      </c>
      <c r="I20" t="str">
        <f t="shared" si="7"/>
        <v>(120,150),(360,390),(600,630),(840,870),(1080,1110),(1320,1350),</v>
      </c>
    </row>
    <row r="21" spans="1:9" x14ac:dyDescent="0.15">
      <c r="A21">
        <v>24</v>
      </c>
      <c r="B21">
        <f t="shared" si="1"/>
        <v>1440</v>
      </c>
      <c r="C21">
        <f t="shared" si="2"/>
        <v>0</v>
      </c>
      <c r="D21">
        <f t="shared" si="3"/>
        <v>2</v>
      </c>
      <c r="E21" t="s">
        <v>3521</v>
      </c>
      <c r="F21" t="str">
        <f t="shared" si="4"/>
        <v/>
      </c>
      <c r="G21" t="str">
        <f t="shared" si="5"/>
        <v>(1440,1470),</v>
      </c>
      <c r="H21" t="str">
        <f t="shared" si="6"/>
        <v>(0,30),(240,270),(480,510),(720,750),(960,990),(1200,1230),</v>
      </c>
      <c r="I21" t="str">
        <f t="shared" si="7"/>
        <v>(120,150),(360,390),(600,630),(840,870),(1080,1110),(1320,1350),(1440,1470),</v>
      </c>
    </row>
    <row r="22" spans="1:9" x14ac:dyDescent="0.15">
      <c r="A22">
        <v>26</v>
      </c>
      <c r="B22">
        <f t="shared" si="1"/>
        <v>1560</v>
      </c>
      <c r="C22">
        <f t="shared" si="2"/>
        <v>2</v>
      </c>
      <c r="D22">
        <f t="shared" si="3"/>
        <v>2</v>
      </c>
      <c r="E22" t="s">
        <v>3520</v>
      </c>
      <c r="F22" t="str">
        <f t="shared" si="4"/>
        <v>(1560,1590),</v>
      </c>
      <c r="G22" t="str">
        <f t="shared" si="5"/>
        <v/>
      </c>
      <c r="H22" t="str">
        <f t="shared" si="6"/>
        <v>(0,30),(240,270),(480,510),(720,750),(960,990),(1200,1230),(1560,1590),</v>
      </c>
      <c r="I22" t="str">
        <f t="shared" si="7"/>
        <v>(120,150),(360,390),(600,630),(840,870),(1080,1110),(1320,1350),(1440,1470),</v>
      </c>
    </row>
    <row r="23" spans="1:9" x14ac:dyDescent="0.15">
      <c r="A23">
        <v>28</v>
      </c>
      <c r="B23">
        <f t="shared" si="1"/>
        <v>1680</v>
      </c>
      <c r="C23">
        <f t="shared" si="2"/>
        <v>4</v>
      </c>
      <c r="D23">
        <f t="shared" si="3"/>
        <v>2</v>
      </c>
      <c r="E23" t="s">
        <v>3521</v>
      </c>
      <c r="F23" t="str">
        <f t="shared" si="4"/>
        <v/>
      </c>
      <c r="G23" t="str">
        <f t="shared" si="5"/>
        <v>(1680,1710),</v>
      </c>
      <c r="H23" t="str">
        <f t="shared" si="6"/>
        <v>(0,30),(240,270),(480,510),(720,750),(960,990),(1200,1230),(1560,1590),</v>
      </c>
      <c r="I23" t="str">
        <f t="shared" si="7"/>
        <v>(120,150),(360,390),(600,630),(840,870),(1080,1110),(1320,1350),(1440,1470),(1680,1710),</v>
      </c>
    </row>
    <row r="24" spans="1:9" x14ac:dyDescent="0.15">
      <c r="A24">
        <v>30</v>
      </c>
      <c r="B24">
        <f t="shared" si="1"/>
        <v>1800</v>
      </c>
      <c r="C24">
        <f t="shared" si="2"/>
        <v>6</v>
      </c>
      <c r="D24">
        <f t="shared" si="3"/>
        <v>2</v>
      </c>
      <c r="E24" t="s">
        <v>3520</v>
      </c>
      <c r="F24" t="str">
        <f t="shared" si="4"/>
        <v>(1800,1830),</v>
      </c>
      <c r="G24" t="str">
        <f t="shared" si="5"/>
        <v/>
      </c>
      <c r="H24" t="str">
        <f t="shared" si="6"/>
        <v>(0,30),(240,270),(480,510),(720,750),(960,990),(1200,1230),(1560,1590),(1800,1830),</v>
      </c>
      <c r="I24" t="str">
        <f t="shared" si="7"/>
        <v>(120,150),(360,390),(600,630),(840,870),(1080,1110),(1320,1350),(1440,1470),(1680,1710),</v>
      </c>
    </row>
    <row r="25" spans="1:9" x14ac:dyDescent="0.15">
      <c r="A25">
        <v>32</v>
      </c>
      <c r="B25">
        <f t="shared" si="1"/>
        <v>1920</v>
      </c>
      <c r="C25">
        <f t="shared" si="2"/>
        <v>8</v>
      </c>
      <c r="D25">
        <f t="shared" si="3"/>
        <v>2</v>
      </c>
      <c r="E25" t="s">
        <v>3521</v>
      </c>
      <c r="F25" t="str">
        <f t="shared" si="4"/>
        <v/>
      </c>
      <c r="G25" t="str">
        <f t="shared" si="5"/>
        <v>(1920,1950),</v>
      </c>
      <c r="H25" t="str">
        <f t="shared" si="6"/>
        <v>(0,30),(240,270),(480,510),(720,750),(960,990),(1200,1230),(1560,1590),(1800,1830),</v>
      </c>
      <c r="I25" t="str">
        <f t="shared" si="7"/>
        <v>(120,150),(360,390),(600,630),(840,870),(1080,1110),(1320,1350),(1440,1470),(1680,1710),(1920,1950),</v>
      </c>
    </row>
    <row r="26" spans="1:9" x14ac:dyDescent="0.15">
      <c r="A26">
        <v>34</v>
      </c>
      <c r="B26">
        <f t="shared" si="1"/>
        <v>2040</v>
      </c>
      <c r="C26">
        <f t="shared" si="2"/>
        <v>10</v>
      </c>
      <c r="D26">
        <f t="shared" si="3"/>
        <v>2</v>
      </c>
      <c r="E26" t="s">
        <v>3520</v>
      </c>
      <c r="F26" t="str">
        <f t="shared" si="4"/>
        <v>(2040,2070),</v>
      </c>
      <c r="G26" t="str">
        <f t="shared" si="5"/>
        <v/>
      </c>
      <c r="H26" t="str">
        <f t="shared" si="6"/>
        <v>(0,30),(240,270),(480,510),(720,750),(960,990),(1200,1230),(1560,1590),(1800,1830),(2040,2070),</v>
      </c>
      <c r="I26" t="str">
        <f t="shared" si="7"/>
        <v>(120,150),(360,390),(600,630),(840,870),(1080,1110),(1320,1350),(1440,1470),(1680,1710),(1920,1950),</v>
      </c>
    </row>
    <row r="27" spans="1:9" x14ac:dyDescent="0.15">
      <c r="A27">
        <v>36</v>
      </c>
      <c r="B27">
        <f t="shared" si="1"/>
        <v>2160</v>
      </c>
      <c r="C27">
        <f t="shared" si="2"/>
        <v>12</v>
      </c>
      <c r="D27">
        <f t="shared" si="3"/>
        <v>2</v>
      </c>
      <c r="E27" t="s">
        <v>3521</v>
      </c>
      <c r="F27" t="str">
        <f t="shared" si="4"/>
        <v/>
      </c>
      <c r="G27" t="str">
        <f t="shared" si="5"/>
        <v>(2160,2190),</v>
      </c>
      <c r="H27" t="str">
        <f t="shared" si="6"/>
        <v>(0,30),(240,270),(480,510),(720,750),(960,990),(1200,1230),(1560,1590),(1800,1830),(2040,2070),</v>
      </c>
      <c r="I27" t="str">
        <f t="shared" si="7"/>
        <v>(120,150),(360,390),(600,630),(840,870),(1080,1110),(1320,1350),(1440,1470),(1680,1710),(1920,1950),(2160,2190),</v>
      </c>
    </row>
    <row r="28" spans="1:9" x14ac:dyDescent="0.15">
      <c r="A28">
        <v>38</v>
      </c>
      <c r="B28">
        <f t="shared" si="1"/>
        <v>2280</v>
      </c>
      <c r="C28">
        <f t="shared" si="2"/>
        <v>14</v>
      </c>
      <c r="D28">
        <f t="shared" si="3"/>
        <v>2</v>
      </c>
      <c r="E28" t="s">
        <v>3520</v>
      </c>
      <c r="F28" t="str">
        <f t="shared" si="4"/>
        <v>(2280,2310),</v>
      </c>
      <c r="G28" t="str">
        <f t="shared" si="5"/>
        <v/>
      </c>
      <c r="H28" t="str">
        <f t="shared" si="6"/>
        <v>(0,30),(240,270),(480,510),(720,750),(960,990),(1200,1230),(1560,1590),(1800,1830),(2040,2070),(2280,2310),</v>
      </c>
      <c r="I28" t="str">
        <f t="shared" si="7"/>
        <v>(120,150),(360,390),(600,630),(840,870),(1080,1110),(1320,1350),(1440,1470),(1680,1710),(1920,1950),(2160,2190),</v>
      </c>
    </row>
    <row r="29" spans="1:9" x14ac:dyDescent="0.15">
      <c r="A29">
        <v>40</v>
      </c>
      <c r="B29">
        <f t="shared" si="1"/>
        <v>2400</v>
      </c>
      <c r="C29">
        <f t="shared" si="2"/>
        <v>16</v>
      </c>
      <c r="D29">
        <f t="shared" si="3"/>
        <v>2</v>
      </c>
      <c r="E29" t="s">
        <v>3521</v>
      </c>
      <c r="F29" t="str">
        <f t="shared" si="4"/>
        <v/>
      </c>
      <c r="G29" t="str">
        <f t="shared" si="5"/>
        <v>(2400,2430),</v>
      </c>
      <c r="H29" t="str">
        <f t="shared" si="6"/>
        <v>(0,30),(240,270),(480,510),(720,750),(960,990),(1200,1230),(1560,1590),(1800,1830),(2040,2070),(2280,2310),</v>
      </c>
      <c r="I29" t="str">
        <f t="shared" si="7"/>
        <v>(120,150),(360,390),(600,630),(840,870),(1080,1110),(1320,1350),(1440,1470),(1680,1710),(1920,1950),(2160,2190),(2400,2430),</v>
      </c>
    </row>
    <row r="30" spans="1:9" x14ac:dyDescent="0.15">
      <c r="A30">
        <v>42</v>
      </c>
      <c r="B30">
        <f t="shared" si="1"/>
        <v>2520</v>
      </c>
      <c r="C30">
        <f t="shared" si="2"/>
        <v>18</v>
      </c>
      <c r="D30">
        <f t="shared" si="3"/>
        <v>2</v>
      </c>
      <c r="E30" t="s">
        <v>3520</v>
      </c>
      <c r="F30" t="str">
        <f t="shared" si="4"/>
        <v>(2520,2550),</v>
      </c>
      <c r="G30" t="str">
        <f t="shared" si="5"/>
        <v/>
      </c>
      <c r="H30" t="str">
        <f t="shared" si="6"/>
        <v>(0,30),(240,270),(480,510),(720,750),(960,990),(1200,1230),(1560,1590),(1800,1830),(2040,2070),(2280,2310),(2520,2550),</v>
      </c>
      <c r="I30" t="str">
        <f t="shared" si="7"/>
        <v>(120,150),(360,390),(600,630),(840,870),(1080,1110),(1320,1350),(1440,1470),(1680,1710),(1920,1950),(2160,2190),(2400,2430),</v>
      </c>
    </row>
    <row r="31" spans="1:9" x14ac:dyDescent="0.15">
      <c r="A31">
        <v>44</v>
      </c>
      <c r="B31">
        <f t="shared" si="1"/>
        <v>2640</v>
      </c>
      <c r="C31">
        <f t="shared" si="2"/>
        <v>20</v>
      </c>
      <c r="D31">
        <f t="shared" si="3"/>
        <v>2</v>
      </c>
      <c r="E31" t="s">
        <v>3521</v>
      </c>
      <c r="F31" t="str">
        <f t="shared" si="4"/>
        <v/>
      </c>
      <c r="G31" t="str">
        <f t="shared" si="5"/>
        <v>(2640,2670),</v>
      </c>
      <c r="H31" t="str">
        <f t="shared" si="6"/>
        <v>(0,30),(240,270),(480,510),(720,750),(960,990),(1200,1230),(1560,1590),(1800,1830),(2040,2070),(2280,2310),(2520,2550),</v>
      </c>
      <c r="I31" t="str">
        <f t="shared" si="7"/>
        <v>(120,150),(360,390),(600,630),(840,870),(1080,1110),(1320,1350),(1440,1470),(1680,1710),(1920,1950),(2160,2190),(2400,2430),(2640,2670),</v>
      </c>
    </row>
    <row r="32" spans="1:9" x14ac:dyDescent="0.15">
      <c r="A32">
        <v>46</v>
      </c>
      <c r="B32">
        <f t="shared" si="1"/>
        <v>2760</v>
      </c>
      <c r="C32">
        <f t="shared" si="2"/>
        <v>22</v>
      </c>
      <c r="D32">
        <f t="shared" si="3"/>
        <v>2</v>
      </c>
      <c r="E32" t="s">
        <v>3520</v>
      </c>
      <c r="F32" t="str">
        <f t="shared" si="4"/>
        <v>(2760,2790),</v>
      </c>
      <c r="G32" t="str">
        <f t="shared" si="5"/>
        <v/>
      </c>
      <c r="H32" t="str">
        <f t="shared" si="6"/>
        <v>(0,30),(240,270),(480,510),(720,750),(960,990),(1200,1230),(1560,1590),(1800,1830),(2040,2070),(2280,2310),(2520,2550),(2760,2790),</v>
      </c>
      <c r="I32" t="str">
        <f t="shared" si="7"/>
        <v>(120,150),(360,390),(600,630),(840,870),(1080,1110),(1320,1350),(1440,1470),(1680,1710),(1920,1950),(2160,2190),(2400,2430),(2640,2670),</v>
      </c>
    </row>
    <row r="33" spans="1:9" x14ac:dyDescent="0.15">
      <c r="A33">
        <v>48</v>
      </c>
      <c r="B33">
        <f t="shared" si="1"/>
        <v>2880</v>
      </c>
      <c r="C33">
        <f t="shared" si="2"/>
        <v>0</v>
      </c>
      <c r="D33">
        <f t="shared" si="3"/>
        <v>3</v>
      </c>
      <c r="E33" t="s">
        <v>3520</v>
      </c>
      <c r="F33" t="str">
        <f t="shared" si="4"/>
        <v>(2880,2910),</v>
      </c>
      <c r="G33" t="str">
        <f t="shared" si="5"/>
        <v/>
      </c>
      <c r="H33" t="str">
        <f t="shared" si="6"/>
        <v>(0,30),(240,270),(480,510),(720,750),(960,990),(1200,1230),(1560,1590),(1800,1830),(2040,2070),(2280,2310),(2520,2550),(2760,2790),(2880,2910),</v>
      </c>
      <c r="I33" t="str">
        <f t="shared" si="7"/>
        <v>(120,150),(360,390),(600,630),(840,870),(1080,1110),(1320,1350),(1440,1470),(1680,1710),(1920,1950),(2160,2190),(2400,2430),(2640,2670),</v>
      </c>
    </row>
    <row r="34" spans="1:9" x14ac:dyDescent="0.15">
      <c r="A34">
        <v>50</v>
      </c>
      <c r="B34">
        <f t="shared" si="1"/>
        <v>3000</v>
      </c>
      <c r="C34">
        <f t="shared" si="2"/>
        <v>2</v>
      </c>
      <c r="D34">
        <f t="shared" si="3"/>
        <v>3</v>
      </c>
      <c r="E34" t="s">
        <v>3521</v>
      </c>
      <c r="F34" t="str">
        <f t="shared" si="4"/>
        <v/>
      </c>
      <c r="G34" t="str">
        <f t="shared" si="5"/>
        <v>(3000,3030),</v>
      </c>
      <c r="H34" t="str">
        <f t="shared" si="6"/>
        <v>(0,30),(240,270),(480,510),(720,750),(960,990),(1200,1230),(1560,1590),(1800,1830),(2040,2070),(2280,2310),(2520,2550),(2760,2790),(2880,2910),</v>
      </c>
      <c r="I34" t="str">
        <f t="shared" si="7"/>
        <v>(120,150),(360,390),(600,630),(840,870),(1080,1110),(1320,1350),(1440,1470),(1680,1710),(1920,1950),(2160,2190),(2400,2430),(2640,2670),(3000,3030),</v>
      </c>
    </row>
    <row r="35" spans="1:9" x14ac:dyDescent="0.15">
      <c r="A35">
        <v>52</v>
      </c>
      <c r="B35">
        <f t="shared" si="1"/>
        <v>3120</v>
      </c>
      <c r="C35">
        <f t="shared" si="2"/>
        <v>4</v>
      </c>
      <c r="D35">
        <f t="shared" si="3"/>
        <v>3</v>
      </c>
      <c r="E35" t="s">
        <v>3520</v>
      </c>
      <c r="F35" t="str">
        <f t="shared" si="4"/>
        <v>(3120,3150),</v>
      </c>
      <c r="G35" t="str">
        <f t="shared" si="5"/>
        <v/>
      </c>
      <c r="H35" t="str">
        <f t="shared" si="6"/>
        <v>(0,30),(240,270),(480,510),(720,750),(960,990),(1200,1230),(1560,1590),(1800,1830),(2040,2070),(2280,2310),(2520,2550),(2760,2790),(2880,2910),(3120,3150),</v>
      </c>
      <c r="I35" t="str">
        <f t="shared" si="7"/>
        <v>(120,150),(360,390),(600,630),(840,870),(1080,1110),(1320,1350),(1440,1470),(1680,1710),(1920,1950),(2160,2190),(2400,2430),(2640,2670),(3000,3030),</v>
      </c>
    </row>
    <row r="36" spans="1:9" x14ac:dyDescent="0.15">
      <c r="A36">
        <v>54</v>
      </c>
      <c r="B36">
        <f t="shared" si="1"/>
        <v>3240</v>
      </c>
      <c r="C36">
        <f t="shared" si="2"/>
        <v>6</v>
      </c>
      <c r="D36">
        <f t="shared" si="3"/>
        <v>3</v>
      </c>
      <c r="E36" t="s">
        <v>3521</v>
      </c>
      <c r="F36" t="str">
        <f t="shared" si="4"/>
        <v/>
      </c>
      <c r="G36" t="str">
        <f t="shared" si="5"/>
        <v>(3240,3270),</v>
      </c>
      <c r="H36" t="str">
        <f t="shared" si="6"/>
        <v>(0,30),(240,270),(480,510),(720,750),(960,990),(1200,1230),(1560,1590),(1800,1830),(2040,2070),(2280,2310),(2520,2550),(2760,2790),(2880,2910),(3120,3150),</v>
      </c>
      <c r="I36" t="str">
        <f t="shared" si="7"/>
        <v>(120,150),(360,390),(600,630),(840,870),(1080,1110),(1320,1350),(1440,1470),(1680,1710),(1920,1950),(2160,2190),(2400,2430),(2640,2670),(3000,3030),(3240,3270),</v>
      </c>
    </row>
    <row r="37" spans="1:9" x14ac:dyDescent="0.15">
      <c r="A37">
        <v>56</v>
      </c>
      <c r="B37">
        <f t="shared" si="1"/>
        <v>3360</v>
      </c>
      <c r="C37">
        <f t="shared" si="2"/>
        <v>8</v>
      </c>
      <c r="D37">
        <f t="shared" si="3"/>
        <v>3</v>
      </c>
      <c r="E37" t="s">
        <v>3520</v>
      </c>
      <c r="F37" t="str">
        <f t="shared" si="4"/>
        <v>(3360,3390),</v>
      </c>
      <c r="G37" t="str">
        <f t="shared" si="5"/>
        <v/>
      </c>
      <c r="H37" t="str">
        <f t="shared" si="6"/>
        <v>(0,30),(240,270),(480,510),(720,750),(960,990),(1200,1230),(1560,1590),(1800,1830),(2040,2070),(2280,2310),(2520,2550),(2760,2790),(2880,2910),(3120,3150),(3360,3390),</v>
      </c>
      <c r="I37" t="str">
        <f t="shared" si="7"/>
        <v>(120,150),(360,390),(600,630),(840,870),(1080,1110),(1320,1350),(1440,1470),(1680,1710),(1920,1950),(2160,2190),(2400,2430),(2640,2670),(3000,3030),(3240,3270),</v>
      </c>
    </row>
    <row r="38" spans="1:9" x14ac:dyDescent="0.15">
      <c r="A38">
        <v>58</v>
      </c>
      <c r="B38">
        <f t="shared" si="1"/>
        <v>3480</v>
      </c>
      <c r="C38">
        <f t="shared" si="2"/>
        <v>10</v>
      </c>
      <c r="D38">
        <f t="shared" si="3"/>
        <v>3</v>
      </c>
      <c r="E38" t="s">
        <v>3521</v>
      </c>
      <c r="F38" t="str">
        <f t="shared" si="4"/>
        <v/>
      </c>
      <c r="G38" t="str">
        <f t="shared" si="5"/>
        <v>(3480,3510),</v>
      </c>
      <c r="H38" t="str">
        <f t="shared" si="6"/>
        <v>(0,30),(240,270),(480,510),(720,750),(960,990),(1200,1230),(1560,1590),(1800,1830),(2040,2070),(2280,2310),(2520,2550),(2760,2790),(2880,2910),(3120,3150),(3360,3390),</v>
      </c>
      <c r="I38" t="str">
        <f t="shared" si="7"/>
        <v>(120,150),(360,390),(600,630),(840,870),(1080,1110),(1320,1350),(1440,1470),(1680,1710),(1920,1950),(2160,2190),(2400,2430),(2640,2670),(3000,3030),(3240,3270),(3480,3510),</v>
      </c>
    </row>
    <row r="39" spans="1:9" x14ac:dyDescent="0.15">
      <c r="A39">
        <v>60</v>
      </c>
      <c r="B39">
        <f t="shared" si="1"/>
        <v>3600</v>
      </c>
      <c r="C39">
        <f t="shared" si="2"/>
        <v>12</v>
      </c>
      <c r="D39">
        <f t="shared" si="3"/>
        <v>3</v>
      </c>
      <c r="E39" t="s">
        <v>3520</v>
      </c>
      <c r="F39" t="str">
        <f t="shared" si="4"/>
        <v>(3600,3630),</v>
      </c>
      <c r="G39" t="str">
        <f t="shared" si="5"/>
        <v/>
      </c>
      <c r="H39" t="str">
        <f t="shared" si="6"/>
        <v>(0,30),(240,270),(480,510),(720,750),(960,990),(1200,1230),(1560,1590),(1800,1830),(2040,2070),(2280,2310),(2520,2550),(2760,2790),(2880,2910),(3120,3150),(3360,3390),(3600,3630),</v>
      </c>
      <c r="I39" t="str">
        <f t="shared" si="7"/>
        <v>(120,150),(360,390),(600,630),(840,870),(1080,1110),(1320,1350),(1440,1470),(1680,1710),(1920,1950),(2160,2190),(2400,2430),(2640,2670),(3000,3030),(3240,3270),(3480,3510),</v>
      </c>
    </row>
    <row r="40" spans="1:9" x14ac:dyDescent="0.15">
      <c r="A40">
        <v>62</v>
      </c>
      <c r="B40">
        <f t="shared" si="1"/>
        <v>3720</v>
      </c>
      <c r="C40">
        <f t="shared" si="2"/>
        <v>14</v>
      </c>
      <c r="D40">
        <f t="shared" si="3"/>
        <v>3</v>
      </c>
      <c r="E40" t="s">
        <v>3521</v>
      </c>
      <c r="F40" t="str">
        <f t="shared" si="4"/>
        <v/>
      </c>
      <c r="G40" t="str">
        <f t="shared" si="5"/>
        <v>(3720,3750),</v>
      </c>
      <c r="H40" t="str">
        <f t="shared" si="6"/>
        <v>(0,30),(240,270),(480,510),(720,750),(960,990),(1200,1230),(1560,1590),(1800,1830),(2040,2070),(2280,2310),(2520,2550),(2760,2790),(2880,2910),(3120,3150),(3360,3390),(3600,3630),</v>
      </c>
      <c r="I40" t="str">
        <f t="shared" si="7"/>
        <v>(120,150),(360,390),(600,630),(840,870),(1080,1110),(1320,1350),(1440,1470),(1680,1710),(1920,1950),(2160,2190),(2400,2430),(2640,2670),(3000,3030),(3240,3270),(3480,3510),(3720,3750),</v>
      </c>
    </row>
    <row r="41" spans="1:9" x14ac:dyDescent="0.15">
      <c r="A41">
        <v>64</v>
      </c>
      <c r="B41">
        <f t="shared" si="1"/>
        <v>3840</v>
      </c>
      <c r="C41">
        <f t="shared" si="2"/>
        <v>16</v>
      </c>
      <c r="D41">
        <f t="shared" si="3"/>
        <v>3</v>
      </c>
      <c r="E41" t="s">
        <v>3520</v>
      </c>
      <c r="F41" t="str">
        <f t="shared" si="4"/>
        <v>(3840,3870),</v>
      </c>
      <c r="G41" t="str">
        <f t="shared" si="5"/>
        <v/>
      </c>
      <c r="H41" t="str">
        <f t="shared" si="6"/>
        <v>(0,30),(240,270),(480,510),(720,750),(960,990),(1200,1230),(1560,1590),(1800,1830),(2040,2070),(2280,2310),(2520,2550),(2760,2790),(2880,2910),(3120,3150),(3360,3390),(3600,3630),(3840,3870),</v>
      </c>
      <c r="I41" t="str">
        <f t="shared" si="7"/>
        <v>(120,150),(360,390),(600,630),(840,870),(1080,1110),(1320,1350),(1440,1470),(1680,1710),(1920,1950),(2160,2190),(2400,2430),(2640,2670),(3000,3030),(3240,3270),(3480,3510),(3720,3750),</v>
      </c>
    </row>
    <row r="42" spans="1:9" x14ac:dyDescent="0.15">
      <c r="A42">
        <v>66</v>
      </c>
      <c r="B42">
        <f t="shared" si="1"/>
        <v>3960</v>
      </c>
      <c r="C42">
        <f t="shared" si="2"/>
        <v>18</v>
      </c>
      <c r="D42">
        <f t="shared" si="3"/>
        <v>3</v>
      </c>
      <c r="E42" t="s">
        <v>3521</v>
      </c>
      <c r="F42" t="str">
        <f t="shared" si="4"/>
        <v/>
      </c>
      <c r="G42" t="str">
        <f t="shared" si="5"/>
        <v>(3960,3990),</v>
      </c>
      <c r="H42" t="str">
        <f t="shared" si="6"/>
        <v>(0,30),(240,270),(480,510),(720,750),(960,990),(1200,1230),(1560,1590),(1800,1830),(2040,2070),(2280,2310),(2520,2550),(2760,2790),(2880,2910),(3120,3150),(3360,3390),(3600,3630),(3840,3870),</v>
      </c>
      <c r="I42" t="str">
        <f t="shared" si="7"/>
        <v>(120,150),(360,390),(600,630),(840,870),(1080,1110),(1320,1350),(1440,1470),(1680,1710),(1920,1950),(2160,2190),(2400,2430),(2640,2670),(3000,3030),(3240,3270),(3480,3510),(3720,3750),(3960,3990),</v>
      </c>
    </row>
    <row r="43" spans="1:9" x14ac:dyDescent="0.15">
      <c r="A43">
        <v>68</v>
      </c>
      <c r="B43">
        <f t="shared" si="1"/>
        <v>4080</v>
      </c>
      <c r="C43">
        <f t="shared" si="2"/>
        <v>20</v>
      </c>
      <c r="D43">
        <f t="shared" si="3"/>
        <v>3</v>
      </c>
      <c r="E43" t="s">
        <v>3520</v>
      </c>
      <c r="F43" t="str">
        <f t="shared" si="4"/>
        <v>(4080,4110),</v>
      </c>
      <c r="G43" t="str">
        <f t="shared" si="5"/>
        <v/>
      </c>
      <c r="H43" t="str">
        <f t="shared" si="6"/>
        <v>(0,30),(240,270),(480,510),(720,750),(960,990),(1200,1230),(1560,1590),(1800,1830),(2040,2070),(2280,2310),(2520,2550),(2760,2790),(2880,2910),(3120,3150),(3360,3390),(3600,3630),(3840,3870),(4080,4110),</v>
      </c>
      <c r="I43" t="str">
        <f t="shared" si="7"/>
        <v>(120,150),(360,390),(600,630),(840,870),(1080,1110),(1320,1350),(1440,1470),(1680,1710),(1920,1950),(2160,2190),(2400,2430),(2640,2670),(3000,3030),(3240,3270),(3480,3510),(3720,3750),(3960,3990),</v>
      </c>
    </row>
    <row r="44" spans="1:9" x14ac:dyDescent="0.15">
      <c r="A44">
        <v>70</v>
      </c>
      <c r="B44">
        <f t="shared" si="1"/>
        <v>4200</v>
      </c>
      <c r="C44">
        <f t="shared" si="2"/>
        <v>22</v>
      </c>
      <c r="D44">
        <f t="shared" si="3"/>
        <v>3</v>
      </c>
      <c r="E44" t="s">
        <v>3521</v>
      </c>
      <c r="F44" t="str">
        <f t="shared" si="4"/>
        <v/>
      </c>
      <c r="G44" t="str">
        <f t="shared" si="5"/>
        <v>(4200,4230),</v>
      </c>
      <c r="H44" t="str">
        <f t="shared" si="6"/>
        <v>(0,30),(240,270),(480,510),(720,750),(960,990),(1200,1230),(1560,1590),(1800,1830),(2040,2070),(2280,2310),(2520,2550),(2760,2790),(2880,2910),(3120,3150),(3360,3390),(3600,3630),(3840,3870),(4080,4110),</v>
      </c>
      <c r="I44" t="str">
        <f t="shared" si="7"/>
        <v>(120,150),(360,390),(600,630),(840,870),(1080,1110),(1320,1350),(1440,1470),(1680,1710),(1920,1950),(2160,2190),(2400,2430),(2640,2670),(3000,3030),(3240,3270),(3480,3510),(3720,3750),(3960,3990),(4200,4230),</v>
      </c>
    </row>
    <row r="45" spans="1:9" x14ac:dyDescent="0.15">
      <c r="A45">
        <v>72</v>
      </c>
      <c r="B45">
        <f t="shared" si="1"/>
        <v>4320</v>
      </c>
      <c r="C45">
        <f t="shared" si="2"/>
        <v>0</v>
      </c>
      <c r="D45">
        <f t="shared" si="3"/>
        <v>4</v>
      </c>
      <c r="E45" t="s">
        <v>3521</v>
      </c>
      <c r="F45" t="str">
        <f t="shared" si="4"/>
        <v/>
      </c>
      <c r="G45" t="str">
        <f t="shared" si="5"/>
        <v>(4320,4350),</v>
      </c>
      <c r="H45" t="str">
        <f t="shared" si="6"/>
        <v>(0,30),(240,270),(480,510),(720,750),(960,990),(1200,1230),(1560,1590),(1800,1830),(2040,2070),(2280,2310),(2520,2550),(2760,2790),(2880,2910),(3120,3150),(3360,3390),(3600,3630),(3840,3870),(4080,4110),</v>
      </c>
      <c r="I45" t="str">
        <f t="shared" si="7"/>
        <v>(120,150),(360,390),(600,630),(840,870),(1080,1110),(1320,1350),(1440,1470),(1680,1710),(1920,1950),(2160,2190),(2400,2430),(2640,2670),(3000,3030),(3240,3270),(3480,3510),(3720,3750),(3960,3990),(4200,4230),(4320,4350),</v>
      </c>
    </row>
    <row r="46" spans="1:9" x14ac:dyDescent="0.15">
      <c r="A46">
        <v>74</v>
      </c>
      <c r="B46">
        <f t="shared" si="1"/>
        <v>4440</v>
      </c>
      <c r="C46">
        <f t="shared" si="2"/>
        <v>2</v>
      </c>
      <c r="D46">
        <f t="shared" si="3"/>
        <v>4</v>
      </c>
      <c r="E46" t="s">
        <v>3520</v>
      </c>
      <c r="F46" t="str">
        <f t="shared" si="4"/>
        <v>(4440,4470),</v>
      </c>
      <c r="G46" t="str">
        <f t="shared" si="5"/>
        <v/>
      </c>
      <c r="H46" t="str">
        <f t="shared" si="6"/>
        <v>(0,30),(240,270),(480,510),(720,750),(960,990),(1200,1230),(1560,1590),(1800,1830),(2040,2070),(2280,2310),(2520,2550),(2760,2790),(2880,2910),(3120,3150),(3360,3390),(3600,3630),(3840,3870),(4080,4110),(4440,4470),</v>
      </c>
      <c r="I46" t="str">
        <f t="shared" si="7"/>
        <v>(120,150),(360,390),(600,630),(840,870),(1080,1110),(1320,1350),(1440,1470),(1680,1710),(1920,1950),(2160,2190),(2400,2430),(2640,2670),(3000,3030),(3240,3270),(3480,3510),(3720,3750),(3960,3990),(4200,4230),(4320,4350),</v>
      </c>
    </row>
    <row r="47" spans="1:9" x14ac:dyDescent="0.15">
      <c r="A47">
        <v>76</v>
      </c>
      <c r="B47">
        <f t="shared" si="1"/>
        <v>4560</v>
      </c>
      <c r="C47">
        <f t="shared" si="2"/>
        <v>4</v>
      </c>
      <c r="D47">
        <f t="shared" si="3"/>
        <v>4</v>
      </c>
      <c r="E47" t="s">
        <v>3521</v>
      </c>
      <c r="F47" t="str">
        <f t="shared" si="4"/>
        <v/>
      </c>
      <c r="G47" t="str">
        <f t="shared" si="5"/>
        <v>(4560,4590),</v>
      </c>
      <c r="H47" t="str">
        <f t="shared" si="6"/>
        <v>(0,30),(240,270),(480,510),(720,750),(960,990),(1200,1230),(1560,1590),(1800,1830),(2040,2070),(2280,2310),(2520,2550),(2760,2790),(2880,2910),(3120,3150),(3360,3390),(3600,3630),(3840,3870),(4080,4110),(4440,4470),</v>
      </c>
      <c r="I47" t="str">
        <f t="shared" si="7"/>
        <v>(120,150),(360,390),(600,630),(840,870),(1080,1110),(1320,1350),(1440,1470),(1680,1710),(1920,1950),(2160,2190),(2400,2430),(2640,2670),(3000,3030),(3240,3270),(3480,3510),(3720,3750),(3960,3990),(4200,4230),(4320,4350),(4560,4590),</v>
      </c>
    </row>
    <row r="48" spans="1:9" x14ac:dyDescent="0.15">
      <c r="A48">
        <v>78</v>
      </c>
      <c r="B48">
        <f t="shared" si="1"/>
        <v>4680</v>
      </c>
      <c r="C48">
        <f t="shared" si="2"/>
        <v>6</v>
      </c>
      <c r="D48">
        <f t="shared" si="3"/>
        <v>4</v>
      </c>
      <c r="E48" t="s">
        <v>3520</v>
      </c>
      <c r="F48" t="str">
        <f t="shared" si="4"/>
        <v>(4680,4710),</v>
      </c>
      <c r="G48" t="str">
        <f t="shared" si="5"/>
        <v/>
      </c>
      <c r="H48" t="str">
        <f t="shared" si="6"/>
        <v>(0,30),(240,270),(480,510),(720,750),(960,990),(1200,1230),(1560,1590),(1800,1830),(2040,2070),(2280,2310),(2520,2550),(2760,2790),(2880,2910),(3120,3150),(3360,3390),(3600,3630),(3840,3870),(4080,4110),(4440,4470),(4680,4710),</v>
      </c>
      <c r="I48" t="str">
        <f t="shared" si="7"/>
        <v>(120,150),(360,390),(600,630),(840,870),(1080,1110),(1320,1350),(1440,1470),(1680,1710),(1920,1950),(2160,2190),(2400,2430),(2640,2670),(3000,3030),(3240,3270),(3480,3510),(3720,3750),(3960,3990),(4200,4230),(4320,4350),(4560,4590),</v>
      </c>
    </row>
    <row r="49" spans="1:9" x14ac:dyDescent="0.15">
      <c r="A49">
        <v>80</v>
      </c>
      <c r="B49">
        <f t="shared" si="1"/>
        <v>4800</v>
      </c>
      <c r="C49">
        <f t="shared" si="2"/>
        <v>8</v>
      </c>
      <c r="D49">
        <f t="shared" si="3"/>
        <v>4</v>
      </c>
      <c r="E49" t="s">
        <v>3521</v>
      </c>
      <c r="F49" t="str">
        <f t="shared" si="4"/>
        <v/>
      </c>
      <c r="G49" t="str">
        <f t="shared" si="5"/>
        <v>(4800,4830),</v>
      </c>
      <c r="H49" t="str">
        <f t="shared" si="6"/>
        <v>(0,30),(240,270),(480,510),(720,750),(960,990),(1200,1230),(1560,1590),(1800,1830),(2040,2070),(2280,2310),(2520,2550),(2760,2790),(2880,2910),(3120,3150),(3360,3390),(3600,3630),(3840,3870),(4080,4110),(4440,4470),(4680,4710),</v>
      </c>
      <c r="I49" t="str">
        <f t="shared" si="7"/>
        <v>(120,150),(360,390),(600,630),(840,870),(1080,1110),(1320,1350),(1440,1470),(1680,1710),(1920,1950),(2160,2190),(2400,2430),(2640,2670),(3000,3030),(3240,3270),(3480,3510),(3720,3750),(3960,3990),(4200,4230),(4320,4350),(4560,4590),(4800,4830),</v>
      </c>
    </row>
    <row r="50" spans="1:9" x14ac:dyDescent="0.15">
      <c r="A50">
        <v>82</v>
      </c>
      <c r="B50">
        <f t="shared" si="1"/>
        <v>4920</v>
      </c>
      <c r="C50">
        <f t="shared" si="2"/>
        <v>10</v>
      </c>
      <c r="D50">
        <f t="shared" si="3"/>
        <v>4</v>
      </c>
      <c r="E50" t="s">
        <v>3520</v>
      </c>
      <c r="F50" t="str">
        <f t="shared" si="4"/>
        <v>(4920,4950),</v>
      </c>
      <c r="G50" t="str">
        <f t="shared" si="5"/>
        <v/>
      </c>
      <c r="H50" t="str">
        <f t="shared" si="6"/>
        <v>(0,30),(240,270),(480,510),(720,750),(960,990),(1200,1230),(1560,1590),(1800,1830),(2040,2070),(2280,2310),(2520,2550),(2760,2790),(2880,2910),(3120,3150),(3360,3390),(3600,3630),(3840,3870),(4080,4110),(4440,4470),(4680,4710),(4920,4950),</v>
      </c>
      <c r="I50" t="str">
        <f t="shared" si="7"/>
        <v>(120,150),(360,390),(600,630),(840,870),(1080,1110),(1320,1350),(1440,1470),(1680,1710),(1920,1950),(2160,2190),(2400,2430),(2640,2670),(3000,3030),(3240,3270),(3480,3510),(3720,3750),(3960,3990),(4200,4230),(4320,4350),(4560,4590),(4800,4830),</v>
      </c>
    </row>
    <row r="51" spans="1:9" x14ac:dyDescent="0.15">
      <c r="A51">
        <v>84</v>
      </c>
      <c r="B51">
        <f t="shared" si="1"/>
        <v>5040</v>
      </c>
      <c r="C51">
        <f t="shared" si="2"/>
        <v>12</v>
      </c>
      <c r="D51">
        <f t="shared" si="3"/>
        <v>4</v>
      </c>
      <c r="E51" t="s">
        <v>3521</v>
      </c>
      <c r="F51" t="str">
        <f t="shared" si="4"/>
        <v/>
      </c>
      <c r="G51" t="str">
        <f t="shared" si="5"/>
        <v>(5040,5070),</v>
      </c>
      <c r="H51" t="str">
        <f t="shared" si="6"/>
        <v>(0,30),(240,270),(480,510),(720,750),(960,990),(1200,1230),(1560,1590),(1800,1830),(2040,2070),(2280,2310),(2520,2550),(2760,2790),(2880,2910),(3120,3150),(3360,3390),(3600,3630),(3840,3870),(4080,4110),(4440,4470),(4680,4710),(4920,4950),</v>
      </c>
      <c r="I51" t="str">
        <f t="shared" si="7"/>
        <v>(120,150),(360,390),(600,630),(840,870),(1080,1110),(1320,1350),(1440,1470),(1680,1710),(1920,1950),(2160,2190),(2400,2430),(2640,2670),(3000,3030),(3240,3270),(3480,3510),(3720,3750),(3960,3990),(4200,4230),(4320,4350),(4560,4590),(4800,4830),(5040,5070),</v>
      </c>
    </row>
    <row r="52" spans="1:9" x14ac:dyDescent="0.15">
      <c r="A52">
        <v>86</v>
      </c>
      <c r="B52">
        <f t="shared" si="1"/>
        <v>5160</v>
      </c>
      <c r="C52">
        <f t="shared" si="2"/>
        <v>14</v>
      </c>
      <c r="D52">
        <f t="shared" si="3"/>
        <v>4</v>
      </c>
      <c r="E52" t="s">
        <v>3520</v>
      </c>
      <c r="F52" t="str">
        <f t="shared" si="4"/>
        <v>(5160,5190),</v>
      </c>
      <c r="G52" t="str">
        <f t="shared" si="5"/>
        <v/>
      </c>
      <c r="H52" t="str">
        <f t="shared" si="6"/>
        <v>(0,30),(240,270),(480,510),(720,750),(960,990),(1200,1230),(1560,1590),(1800,1830),(2040,2070),(2280,2310),(2520,2550),(2760,2790),(2880,2910),(3120,3150),(3360,3390),(3600,3630),(3840,3870),(4080,4110),(4440,4470),(4680,4710),(4920,4950),(5160,5190),</v>
      </c>
      <c r="I52" t="str">
        <f t="shared" si="7"/>
        <v>(120,150),(360,390),(600,630),(840,870),(1080,1110),(1320,1350),(1440,1470),(1680,1710),(1920,1950),(2160,2190),(2400,2430),(2640,2670),(3000,3030),(3240,3270),(3480,3510),(3720,3750),(3960,3990),(4200,4230),(4320,4350),(4560,4590),(4800,4830),(5040,5070),</v>
      </c>
    </row>
    <row r="53" spans="1:9" x14ac:dyDescent="0.15">
      <c r="A53">
        <v>88</v>
      </c>
      <c r="B53">
        <f t="shared" si="1"/>
        <v>5280</v>
      </c>
      <c r="C53">
        <f t="shared" si="2"/>
        <v>16</v>
      </c>
      <c r="D53">
        <f t="shared" si="3"/>
        <v>4</v>
      </c>
      <c r="E53" t="s">
        <v>3521</v>
      </c>
      <c r="F53" t="str">
        <f t="shared" si="4"/>
        <v/>
      </c>
      <c r="G53" t="str">
        <f t="shared" si="5"/>
        <v>(5280,5310),</v>
      </c>
      <c r="H53" t="str">
        <f t="shared" si="6"/>
        <v>(0,30),(240,270),(480,510),(720,750),(960,990),(1200,1230),(1560,1590),(1800,1830),(2040,2070),(2280,2310),(2520,2550),(2760,2790),(2880,2910),(3120,3150),(3360,3390),(3600,3630),(3840,3870),(4080,4110),(4440,4470),(4680,4710),(4920,4950),(5160,5190),</v>
      </c>
      <c r="I53" t="str">
        <f t="shared" si="7"/>
        <v>(120,150),(360,390),(600,630),(840,870),(1080,1110),(1320,1350),(1440,1470),(1680,1710),(1920,1950),(2160,2190),(2400,2430),(2640,2670),(3000,3030),(3240,3270),(3480,3510),(3720,3750),(3960,3990),(4200,4230),(4320,4350),(4560,4590),(4800,4830),(5040,5070),(5280,5310),</v>
      </c>
    </row>
    <row r="54" spans="1:9" x14ac:dyDescent="0.15">
      <c r="A54">
        <v>90</v>
      </c>
      <c r="B54">
        <f t="shared" si="1"/>
        <v>5400</v>
      </c>
      <c r="C54">
        <f t="shared" si="2"/>
        <v>18</v>
      </c>
      <c r="D54">
        <f t="shared" si="3"/>
        <v>4</v>
      </c>
      <c r="E54" t="s">
        <v>3520</v>
      </c>
      <c r="F54" t="str">
        <f t="shared" si="4"/>
        <v>(5400,5430),</v>
      </c>
      <c r="G54" t="str">
        <f t="shared" si="5"/>
        <v/>
      </c>
      <c r="H54" t="str">
        <f t="shared" si="6"/>
        <v>(0,30),(240,270),(480,510),(720,750),(960,990),(1200,1230),(1560,1590),(1800,1830),(2040,2070),(2280,2310),(2520,2550),(2760,2790),(2880,2910),(3120,3150),(3360,3390),(3600,3630),(3840,3870),(4080,4110),(4440,4470),(4680,4710),(4920,4950),(5160,5190),(5400,5430),</v>
      </c>
      <c r="I54" t="str">
        <f t="shared" si="7"/>
        <v>(120,150),(360,390),(600,630),(840,870),(1080,1110),(1320,1350),(1440,1470),(1680,1710),(1920,1950),(2160,2190),(2400,2430),(2640,2670),(3000,3030),(3240,3270),(3480,3510),(3720,3750),(3960,3990),(4200,4230),(4320,4350),(4560,4590),(4800,4830),(5040,5070),(5280,5310),</v>
      </c>
    </row>
    <row r="55" spans="1:9" x14ac:dyDescent="0.15">
      <c r="A55">
        <v>92</v>
      </c>
      <c r="B55">
        <f t="shared" si="1"/>
        <v>5520</v>
      </c>
      <c r="C55">
        <f t="shared" si="2"/>
        <v>20</v>
      </c>
      <c r="D55">
        <f t="shared" si="3"/>
        <v>4</v>
      </c>
      <c r="E55" t="s">
        <v>3521</v>
      </c>
      <c r="F55" t="str">
        <f t="shared" si="4"/>
        <v/>
      </c>
      <c r="G55" t="str">
        <f t="shared" si="5"/>
        <v>(5520,5550),</v>
      </c>
      <c r="H55" t="str">
        <f t="shared" si="6"/>
        <v>(0,30),(240,270),(480,510),(720,750),(960,990),(1200,1230),(1560,1590),(1800,1830),(2040,2070),(2280,2310),(2520,2550),(2760,2790),(2880,2910),(3120,3150),(3360,3390),(3600,3630),(3840,3870),(4080,4110),(4440,4470),(4680,4710),(4920,4950),(5160,5190),(5400,5430),</v>
      </c>
      <c r="I55" t="str">
        <f t="shared" si="7"/>
        <v>(120,150),(360,390),(600,630),(840,870),(1080,1110),(1320,1350),(1440,1470),(1680,1710),(1920,1950),(2160,2190),(2400,2430),(2640,2670),(3000,3030),(3240,3270),(3480,3510),(3720,3750),(3960,3990),(4200,4230),(4320,4350),(4560,4590),(4800,4830),(5040,5070),(5280,5310),(5520,5550),</v>
      </c>
    </row>
    <row r="56" spans="1:9" x14ac:dyDescent="0.15">
      <c r="A56">
        <v>94</v>
      </c>
      <c r="B56">
        <f t="shared" si="1"/>
        <v>5640</v>
      </c>
      <c r="C56">
        <f t="shared" si="2"/>
        <v>22</v>
      </c>
      <c r="D56">
        <f t="shared" si="3"/>
        <v>4</v>
      </c>
      <c r="E56" t="s">
        <v>3520</v>
      </c>
      <c r="F56" t="str">
        <f t="shared" si="4"/>
        <v>(5640,5670),</v>
      </c>
      <c r="G56" t="str">
        <f t="shared" si="5"/>
        <v/>
      </c>
      <c r="H56" t="str">
        <f t="shared" si="6"/>
        <v>(0,30),(240,270),(480,510),(720,750),(960,990),(1200,1230),(1560,1590),(1800,1830),(2040,2070),(2280,2310),(2520,2550),(2760,2790),(2880,2910),(3120,3150),(3360,3390),(3600,3630),(3840,3870),(4080,4110),(4440,4470),(4680,4710),(4920,4950),(5160,5190),(5400,5430),(5640,5670),</v>
      </c>
      <c r="I56" t="str">
        <f t="shared" si="7"/>
        <v>(120,150),(360,390),(600,630),(840,870),(1080,1110),(1320,1350),(1440,1470),(1680,1710),(1920,1950),(2160,2190),(2400,2430),(2640,2670),(3000,3030),(3240,3270),(3480,3510),(3720,3750),(3960,3990),(4200,4230),(4320,4350),(4560,4590),(4800,4830),(5040,5070),(5280,5310),(5520,5550),</v>
      </c>
    </row>
    <row r="57" spans="1:9" x14ac:dyDescent="0.15">
      <c r="A57">
        <v>96</v>
      </c>
      <c r="B57">
        <f t="shared" si="1"/>
        <v>5760</v>
      </c>
      <c r="C57">
        <f t="shared" si="2"/>
        <v>0</v>
      </c>
      <c r="D57">
        <f t="shared" si="3"/>
        <v>5</v>
      </c>
      <c r="E57" t="s">
        <v>3520</v>
      </c>
      <c r="F57" t="str">
        <f t="shared" si="4"/>
        <v>(5760,5790),</v>
      </c>
      <c r="G57" t="str">
        <f t="shared" si="5"/>
        <v/>
      </c>
      <c r="H57" t="str">
        <f t="shared" si="6"/>
        <v>(0,30),(240,270),(480,510),(720,750),(960,990),(1200,1230),(1560,1590),(1800,1830),(2040,2070),(2280,2310),(2520,2550),(2760,2790),(2880,2910),(3120,3150),(3360,3390),(3600,3630),(3840,3870),(4080,4110),(4440,4470),(4680,4710),(4920,4950),(5160,5190),(5400,5430),(5640,5670),(5760,5790),</v>
      </c>
      <c r="I57" t="str">
        <f t="shared" si="7"/>
        <v>(120,150),(360,390),(600,630),(840,870),(1080,1110),(1320,1350),(1440,1470),(1680,1710),(1920,1950),(2160,2190),(2400,2430),(2640,2670),(3000,3030),(3240,3270),(3480,3510),(3720,3750),(3960,3990),(4200,4230),(4320,4350),(4560,4590),(4800,4830),(5040,5070),(5280,5310),(5520,5550),</v>
      </c>
    </row>
    <row r="58" spans="1:9" x14ac:dyDescent="0.15">
      <c r="A58">
        <v>98</v>
      </c>
      <c r="B58">
        <f t="shared" si="1"/>
        <v>5880</v>
      </c>
      <c r="C58">
        <f t="shared" si="2"/>
        <v>2</v>
      </c>
      <c r="D58">
        <f t="shared" si="3"/>
        <v>5</v>
      </c>
      <c r="E58" t="s">
        <v>3521</v>
      </c>
      <c r="F58" t="str">
        <f t="shared" si="4"/>
        <v/>
      </c>
      <c r="G58" t="str">
        <f t="shared" si="5"/>
        <v>(5880,5910),</v>
      </c>
      <c r="H58" t="str">
        <f t="shared" si="6"/>
        <v>(0,30),(240,270),(480,510),(720,750),(960,990),(1200,1230),(1560,1590),(1800,1830),(2040,2070),(2280,2310),(2520,2550),(2760,2790),(2880,2910),(3120,3150),(3360,3390),(3600,3630),(3840,3870),(4080,4110),(4440,4470),(4680,4710),(4920,4950),(5160,5190),(5400,5430),(5640,5670),(5760,5790),</v>
      </c>
      <c r="I58" t="str">
        <f t="shared" si="7"/>
        <v>(120,150),(360,390),(600,630),(840,870),(1080,1110),(1320,1350),(1440,1470),(1680,1710),(1920,1950),(2160,2190),(2400,2430),(2640,2670),(3000,3030),(3240,3270),(3480,3510),(3720,3750),(3960,3990),(4200,4230),(4320,4350),(4560,4590),(4800,4830),(5040,5070),(5280,5310),(5520,5550),(5880,5910),</v>
      </c>
    </row>
    <row r="59" spans="1:9" x14ac:dyDescent="0.15">
      <c r="A59">
        <v>100</v>
      </c>
      <c r="B59">
        <f t="shared" si="1"/>
        <v>6000</v>
      </c>
      <c r="C59">
        <f t="shared" si="2"/>
        <v>4</v>
      </c>
      <c r="D59">
        <f t="shared" si="3"/>
        <v>5</v>
      </c>
      <c r="E59" t="s">
        <v>3520</v>
      </c>
      <c r="F59" t="str">
        <f t="shared" si="4"/>
        <v>(6000,6030),</v>
      </c>
      <c r="G59" t="str">
        <f t="shared" si="5"/>
        <v/>
      </c>
      <c r="H59" t="str">
        <f t="shared" si="6"/>
        <v>(0,30),(240,270),(480,510),(720,750),(960,990),(1200,1230),(1560,1590),(1800,1830),(2040,2070),(2280,2310),(2520,2550),(2760,2790),(2880,2910),(3120,3150),(3360,3390),(3600,3630),(3840,3870),(4080,4110),(4440,4470),(4680,4710),(4920,4950),(5160,5190),(5400,5430),(5640,5670),(5760,5790),(6000,6030),</v>
      </c>
      <c r="I59" t="str">
        <f t="shared" si="7"/>
        <v>(120,150),(360,390),(600,630),(840,870),(1080,1110),(1320,1350),(1440,1470),(1680,1710),(1920,1950),(2160,2190),(2400,2430),(2640,2670),(3000,3030),(3240,3270),(3480,3510),(3720,3750),(3960,3990),(4200,4230),(4320,4350),(4560,4590),(4800,4830),(5040,5070),(5280,5310),(5520,5550),(5880,5910),</v>
      </c>
    </row>
    <row r="60" spans="1:9" x14ac:dyDescent="0.15">
      <c r="A60">
        <v>102</v>
      </c>
      <c r="B60">
        <f t="shared" si="1"/>
        <v>6120</v>
      </c>
      <c r="C60">
        <f t="shared" si="2"/>
        <v>6</v>
      </c>
      <c r="D60">
        <f t="shared" si="3"/>
        <v>5</v>
      </c>
      <c r="E60" t="s">
        <v>3521</v>
      </c>
      <c r="F60" t="str">
        <f t="shared" si="4"/>
        <v/>
      </c>
      <c r="G60" t="str">
        <f t="shared" si="5"/>
        <v>(6120,6150),</v>
      </c>
      <c r="H60" t="str">
        <f t="shared" si="6"/>
        <v>(0,30),(240,270),(480,510),(720,750),(960,990),(1200,1230),(1560,1590),(1800,1830),(2040,2070),(2280,2310),(2520,2550),(2760,2790),(2880,2910),(3120,3150),(3360,3390),(3600,3630),(3840,3870),(4080,4110),(4440,4470),(4680,4710),(4920,4950),(5160,5190),(5400,5430),(5640,5670),(5760,5790),(6000,6030),</v>
      </c>
      <c r="I60" t="str">
        <f t="shared" si="7"/>
        <v>(120,150),(360,390),(600,630),(840,870),(1080,1110),(1320,1350),(1440,1470),(1680,1710),(1920,1950),(2160,2190),(2400,2430),(2640,2670),(3000,3030),(3240,3270),(3480,3510),(3720,3750),(3960,3990),(4200,4230),(4320,4350),(4560,4590),(4800,4830),(5040,5070),(5280,5310),(5520,5550),(5880,5910),(6120,6150),</v>
      </c>
    </row>
    <row r="61" spans="1:9" x14ac:dyDescent="0.15">
      <c r="A61">
        <v>104</v>
      </c>
      <c r="B61">
        <f t="shared" si="1"/>
        <v>6240</v>
      </c>
      <c r="C61">
        <f t="shared" si="2"/>
        <v>8</v>
      </c>
      <c r="D61">
        <f t="shared" si="3"/>
        <v>5</v>
      </c>
      <c r="E61" t="s">
        <v>3520</v>
      </c>
      <c r="F61" t="str">
        <f t="shared" si="4"/>
        <v>(6240,6270),</v>
      </c>
      <c r="G61" t="str">
        <f t="shared" si="5"/>
        <v/>
      </c>
      <c r="H61" t="str">
        <f t="shared" si="6"/>
        <v>(0,30),(240,270),(480,510),(720,750),(960,990),(1200,1230),(1560,1590),(1800,1830),(2040,2070),(2280,2310),(2520,2550),(2760,2790),(2880,2910),(3120,3150),(3360,3390),(3600,3630),(3840,3870),(4080,4110),(4440,4470),(4680,4710),(4920,4950),(5160,5190),(5400,5430),(5640,5670),(5760,5790),(6000,6030),(6240,6270),</v>
      </c>
      <c r="I61" t="str">
        <f t="shared" si="7"/>
        <v>(120,150),(360,390),(600,630),(840,870),(1080,1110),(1320,1350),(1440,1470),(1680,1710),(1920,1950),(2160,2190),(2400,2430),(2640,2670),(3000,3030),(3240,3270),(3480,3510),(3720,3750),(3960,3990),(4200,4230),(4320,4350),(4560,4590),(4800,4830),(5040,5070),(5280,5310),(5520,5550),(5880,5910),(6120,6150),</v>
      </c>
    </row>
    <row r="62" spans="1:9" x14ac:dyDescent="0.15">
      <c r="A62">
        <v>106</v>
      </c>
      <c r="B62">
        <f t="shared" si="1"/>
        <v>6360</v>
      </c>
      <c r="C62">
        <f t="shared" si="2"/>
        <v>10</v>
      </c>
      <c r="D62">
        <f t="shared" si="3"/>
        <v>5</v>
      </c>
      <c r="E62" t="s">
        <v>3521</v>
      </c>
      <c r="F62" t="str">
        <f t="shared" si="4"/>
        <v/>
      </c>
      <c r="G62" t="str">
        <f t="shared" si="5"/>
        <v>(6360,6390),</v>
      </c>
      <c r="H62" t="str">
        <f t="shared" si="6"/>
        <v>(0,30),(240,270),(480,510),(720,750),(960,990),(1200,1230),(1560,1590),(1800,1830),(2040,2070),(2280,2310),(2520,2550),(2760,2790),(2880,2910),(3120,3150),(3360,3390),(3600,3630),(3840,3870),(4080,4110),(4440,4470),(4680,4710),(4920,4950),(5160,5190),(5400,5430),(5640,5670),(5760,5790),(6000,6030),(6240,6270),</v>
      </c>
      <c r="I62" t="str">
        <f t="shared" si="7"/>
        <v>(120,150),(360,390),(600,630),(840,870),(1080,1110),(1320,1350),(1440,1470),(1680,1710),(1920,1950),(2160,2190),(2400,2430),(2640,2670),(3000,3030),(3240,3270),(3480,3510),(3720,3750),(3960,3990),(4200,4230),(4320,4350),(4560,4590),(4800,4830),(5040,5070),(5280,5310),(5520,5550),(5880,5910),(6120,6150),(6360,6390),</v>
      </c>
    </row>
    <row r="63" spans="1:9" x14ac:dyDescent="0.15">
      <c r="A63">
        <v>108</v>
      </c>
      <c r="B63">
        <f t="shared" si="1"/>
        <v>6480</v>
      </c>
      <c r="C63">
        <f t="shared" si="2"/>
        <v>12</v>
      </c>
      <c r="D63">
        <f t="shared" si="3"/>
        <v>5</v>
      </c>
      <c r="E63" t="s">
        <v>3520</v>
      </c>
      <c r="F63" t="str">
        <f t="shared" si="4"/>
        <v>(6480,6510),</v>
      </c>
      <c r="G63" t="str">
        <f t="shared" si="5"/>
        <v/>
      </c>
      <c r="H63" t="str">
        <f t="shared" si="6"/>
        <v>(0,30),(240,270),(480,510),(720,750),(960,990),(1200,1230),(1560,1590),(1800,1830),(2040,2070),(2280,2310),(2520,2550),(2760,2790),(2880,2910),(3120,3150),(3360,3390),(3600,3630),(3840,3870),(4080,4110),(4440,4470),(4680,4710),(4920,4950),(5160,5190),(5400,5430),(5640,5670),(5760,5790),(6000,6030),(6240,6270),(6480,6510),</v>
      </c>
      <c r="I63" t="str">
        <f t="shared" si="7"/>
        <v>(120,150),(360,390),(600,630),(840,870),(1080,1110),(1320,1350),(1440,1470),(1680,1710),(1920,1950),(2160,2190),(2400,2430),(2640,2670),(3000,3030),(3240,3270),(3480,3510),(3720,3750),(3960,3990),(4200,4230),(4320,4350),(4560,4590),(4800,4830),(5040,5070),(5280,5310),(5520,5550),(5880,5910),(6120,6150),(6360,6390),</v>
      </c>
    </row>
    <row r="64" spans="1:9" x14ac:dyDescent="0.15">
      <c r="A64">
        <v>110</v>
      </c>
      <c r="B64">
        <f t="shared" si="1"/>
        <v>6600</v>
      </c>
      <c r="C64">
        <f t="shared" si="2"/>
        <v>14</v>
      </c>
      <c r="D64">
        <f t="shared" si="3"/>
        <v>5</v>
      </c>
      <c r="E64" t="s">
        <v>3521</v>
      </c>
      <c r="F64" t="str">
        <f t="shared" si="4"/>
        <v/>
      </c>
      <c r="G64" t="str">
        <f t="shared" si="5"/>
        <v>(6600,6630),</v>
      </c>
      <c r="H64" t="str">
        <f t="shared" si="6"/>
        <v>(0,30),(240,270),(480,510),(720,750),(960,990),(1200,1230),(1560,1590),(1800,1830),(2040,2070),(2280,2310),(2520,2550),(2760,2790),(2880,2910),(3120,3150),(3360,3390),(3600,3630),(3840,3870),(4080,4110),(4440,4470),(4680,4710),(4920,4950),(5160,5190),(5400,5430),(5640,5670),(5760,5790),(6000,6030),(6240,6270),(6480,6510),</v>
      </c>
      <c r="I64" t="str">
        <f t="shared" si="7"/>
        <v>(120,150),(360,390),(600,630),(840,870),(1080,1110),(1320,1350),(1440,1470),(1680,1710),(1920,1950),(2160,2190),(2400,2430),(2640,2670),(3000,3030),(3240,3270),(3480,3510),(3720,3750),(3960,3990),(4200,4230),(4320,4350),(4560,4590),(4800,4830),(5040,5070),(5280,5310),(5520,5550),(5880,5910),(6120,6150),(6360,6390),(6600,6630),</v>
      </c>
    </row>
    <row r="65" spans="1:9" x14ac:dyDescent="0.15">
      <c r="A65">
        <v>112</v>
      </c>
      <c r="B65">
        <f t="shared" si="1"/>
        <v>6720</v>
      </c>
      <c r="C65">
        <f t="shared" si="2"/>
        <v>16</v>
      </c>
      <c r="D65">
        <f t="shared" si="3"/>
        <v>5</v>
      </c>
      <c r="E65" t="s">
        <v>3520</v>
      </c>
      <c r="F65" t="str">
        <f t="shared" si="4"/>
        <v>(6720,6750),</v>
      </c>
      <c r="G65" t="str">
        <f t="shared" si="5"/>
        <v/>
      </c>
      <c r="H65" t="str">
        <f t="shared" si="6"/>
        <v>(0,30),(240,270),(480,510),(720,750),(960,990),(1200,1230),(1560,1590),(1800,1830),(2040,2070),(2280,2310),(2520,2550),(2760,2790),(2880,2910),(3120,3150),(3360,3390),(3600,3630),(3840,3870),(4080,4110),(4440,4470),(4680,4710),(4920,4950),(5160,5190),(5400,5430),(5640,5670),(5760,5790),(6000,6030),(6240,6270),(6480,6510),(6720,6750),</v>
      </c>
      <c r="I65" t="str">
        <f t="shared" si="7"/>
        <v>(120,150),(360,390),(600,630),(840,870),(1080,1110),(1320,1350),(1440,1470),(1680,1710),(1920,1950),(2160,2190),(2400,2430),(2640,2670),(3000,3030),(3240,3270),(3480,3510),(3720,3750),(3960,3990),(4200,4230),(4320,4350),(4560,4590),(4800,4830),(5040,5070),(5280,5310),(5520,5550),(5880,5910),(6120,6150),(6360,6390),(6600,6630),</v>
      </c>
    </row>
    <row r="66" spans="1:9" x14ac:dyDescent="0.15">
      <c r="A66">
        <v>114</v>
      </c>
      <c r="B66">
        <f t="shared" si="1"/>
        <v>6840</v>
      </c>
      <c r="C66">
        <f t="shared" si="2"/>
        <v>18</v>
      </c>
      <c r="D66">
        <f t="shared" si="3"/>
        <v>5</v>
      </c>
      <c r="E66" t="s">
        <v>3521</v>
      </c>
      <c r="F66" t="str">
        <f t="shared" si="4"/>
        <v/>
      </c>
      <c r="G66" t="str">
        <f t="shared" si="5"/>
        <v>(6840,6870),</v>
      </c>
      <c r="H66" t="str">
        <f t="shared" si="6"/>
        <v>(0,30),(240,270),(480,510),(720,750),(960,990),(1200,1230),(1560,1590),(1800,1830),(2040,2070),(2280,2310),(2520,2550),(2760,2790),(2880,2910),(3120,3150),(3360,3390),(3600,3630),(3840,3870),(4080,4110),(4440,4470),(4680,4710),(4920,4950),(5160,5190),(5400,5430),(5640,5670),(5760,5790),(6000,6030),(6240,6270),(6480,6510),(6720,6750),</v>
      </c>
      <c r="I66" t="str">
        <f t="shared" si="7"/>
        <v>(120,150),(360,390),(600,630),(840,870),(1080,1110),(1320,1350),(1440,1470),(1680,1710),(1920,1950),(2160,2190),(2400,2430),(2640,2670),(3000,3030),(3240,3270),(3480,3510),(3720,3750),(3960,3990),(4200,4230),(4320,4350),(4560,4590),(4800,4830),(5040,5070),(5280,5310),(5520,5550),(5880,5910),(6120,6150),(6360,6390),(6600,6630),(6840,6870),</v>
      </c>
    </row>
    <row r="67" spans="1:9" x14ac:dyDescent="0.15">
      <c r="A67">
        <v>116</v>
      </c>
      <c r="B67">
        <f t="shared" si="1"/>
        <v>6960</v>
      </c>
      <c r="C67">
        <f t="shared" si="2"/>
        <v>20</v>
      </c>
      <c r="D67">
        <f t="shared" si="3"/>
        <v>5</v>
      </c>
      <c r="E67" t="s">
        <v>3520</v>
      </c>
      <c r="F67" t="str">
        <f t="shared" si="4"/>
        <v>(6960,6990),</v>
      </c>
      <c r="G67" t="str">
        <f t="shared" si="5"/>
        <v/>
      </c>
      <c r="H67" t="str">
        <f t="shared" si="6"/>
        <v>(0,30),(240,270),(480,510),(720,750),(960,990),(1200,1230),(1560,1590),(1800,1830),(2040,2070),(2280,2310),(2520,2550),(2760,2790),(2880,2910),(3120,3150),(3360,3390),(3600,3630),(3840,3870),(4080,4110),(4440,4470),(4680,4710),(4920,4950),(5160,5190),(5400,5430),(5640,5670),(5760,5790),(6000,6030),(6240,6270),(6480,6510),(6720,6750),(6960,6990),</v>
      </c>
      <c r="I67" t="str">
        <f t="shared" si="7"/>
        <v>(120,150),(360,390),(600,630),(840,870),(1080,1110),(1320,1350),(1440,1470),(1680,1710),(1920,1950),(2160,2190),(2400,2430),(2640,2670),(3000,3030),(3240,3270),(3480,3510),(3720,3750),(3960,3990),(4200,4230),(4320,4350),(4560,4590),(4800,4830),(5040,5070),(5280,5310),(5520,5550),(5880,5910),(6120,6150),(6360,6390),(6600,6630),(6840,6870),</v>
      </c>
    </row>
    <row r="68" spans="1:9" x14ac:dyDescent="0.15">
      <c r="A68">
        <v>118</v>
      </c>
      <c r="B68">
        <f t="shared" si="1"/>
        <v>7080</v>
      </c>
      <c r="C68">
        <f t="shared" si="2"/>
        <v>22</v>
      </c>
      <c r="D68">
        <f t="shared" si="3"/>
        <v>5</v>
      </c>
      <c r="E68" t="s">
        <v>3521</v>
      </c>
      <c r="F68" t="str">
        <f t="shared" si="4"/>
        <v/>
      </c>
      <c r="G68" t="str">
        <f t="shared" si="5"/>
        <v>(7080,7110),</v>
      </c>
      <c r="H68" t="str">
        <f t="shared" si="6"/>
        <v>(0,30),(240,270),(480,510),(720,750),(960,990),(1200,1230),(1560,1590),(1800,1830),(2040,2070),(2280,2310),(2520,2550),(2760,2790),(2880,2910),(3120,3150),(3360,3390),(3600,3630),(3840,3870),(4080,4110),(4440,4470),(4680,4710),(4920,4950),(5160,5190),(5400,5430),(5640,5670),(5760,5790),(6000,6030),(6240,6270),(6480,6510),(6720,6750),(6960,6990),</v>
      </c>
      <c r="I68" t="str">
        <f t="shared" si="7"/>
        <v>(120,150),(360,390),(600,630),(840,870),(1080,1110),(1320,1350),(1440,1470),(1680,1710),(1920,1950),(2160,2190),(2400,2430),(2640,2670),(3000,3030),(3240,3270),(3480,3510),(3720,3750),(3960,3990),(4200,4230),(4320,4350),(4560,4590),(4800,4830),(5040,5070),(5280,5310),(5520,5550),(5880,5910),(6120,6150),(6360,6390),(6600,6630),(6840,6870),(7080,7110),</v>
      </c>
    </row>
    <row r="69" spans="1:9" x14ac:dyDescent="0.15">
      <c r="H69" t="str">
        <f>"["&amp;LEFT(H68,LEN(H68)-1)&amp;"]"</f>
        <v>[(0,30),(240,270),(480,510),(720,750),(960,990),(1200,1230),(1560,1590),(1800,1830),(2040,2070),(2280,2310),(2520,2550),(2760,2790),(2880,2910),(3120,3150),(3360,3390),(3600,3630),(3840,3870),(4080,4110),(4440,4470),(4680,4710),(4920,4950),(5160,5190),(5400,5430),(5640,5670),(5760,5790),(6000,6030),(6240,6270),(6480,6510),(6720,6750),(6960,6990)]</v>
      </c>
      <c r="I69" t="str">
        <f>"["&amp;LEFT(I68,LEN(I68)-1)&amp;"]"</f>
        <v>[(120,150),(360,390),(600,630),(840,870),(1080,1110),(1320,1350),(1440,1470),(1680,1710),(1920,1950),(2160,2190),(2400,2430),(2640,2670),(3000,3030),(3240,3270),(3480,3510),(3720,3750),(3960,3990),(4200,4230),(4320,4350),(4560,4590),(4800,4830),(5040,5070),(5280,5310),(5520,5550),(5880,5910),(6120,6150),(6360,6390),(6600,6630),(6840,6870),(7080,7110)]</v>
      </c>
    </row>
    <row r="70" spans="1:9" x14ac:dyDescent="0.15">
      <c r="A70">
        <v>10080</v>
      </c>
    </row>
    <row r="73" spans="1:9" x14ac:dyDescent="0.15">
      <c r="A73" s="9">
        <v>288</v>
      </c>
      <c r="B73" s="9">
        <f t="shared" si="1"/>
        <v>17280</v>
      </c>
      <c r="C73" s="9">
        <f t="shared" si="2"/>
        <v>0</v>
      </c>
      <c r="D73" s="9">
        <f t="shared" si="3"/>
        <v>13</v>
      </c>
      <c r="E73" s="9" t="s">
        <v>3522</v>
      </c>
      <c r="F73" s="9" t="str">
        <f>"("&amp;B73&amp;","&amp;B73+30&amp;")"&amp;","</f>
        <v>(17280,17310),</v>
      </c>
      <c r="G73" s="9" t="str">
        <f>G72&amp;F73</f>
        <v>(17280,17310),</v>
      </c>
    </row>
    <row r="74" spans="1:9" x14ac:dyDescent="0.15">
      <c r="A74" s="9">
        <v>290</v>
      </c>
      <c r="B74" s="9">
        <f t="shared" si="1"/>
        <v>17400</v>
      </c>
      <c r="C74" s="9">
        <f t="shared" si="2"/>
        <v>2</v>
      </c>
      <c r="D74" s="9">
        <f t="shared" si="3"/>
        <v>13</v>
      </c>
      <c r="E74" s="9" t="s">
        <v>3522</v>
      </c>
      <c r="F74" s="9" t="str">
        <f t="shared" ref="F74:F96" si="8">"("&amp;B74&amp;","&amp;B74+30&amp;")"&amp;","</f>
        <v>(17400,17430),</v>
      </c>
      <c r="G74" s="9" t="str">
        <f t="shared" ref="G74:G96" si="9">G73&amp;F74</f>
        <v>(17280,17310),(17400,17430),</v>
      </c>
    </row>
    <row r="75" spans="1:9" x14ac:dyDescent="0.15">
      <c r="A75" s="9">
        <v>292</v>
      </c>
      <c r="B75" s="9">
        <f t="shared" si="1"/>
        <v>17520</v>
      </c>
      <c r="C75" s="9">
        <f t="shared" si="2"/>
        <v>4</v>
      </c>
      <c r="D75" s="9">
        <f t="shared" si="3"/>
        <v>13</v>
      </c>
      <c r="E75" s="9" t="s">
        <v>3522</v>
      </c>
      <c r="F75" s="9" t="str">
        <f t="shared" si="8"/>
        <v>(17520,17550),</v>
      </c>
      <c r="G75" s="9" t="str">
        <f t="shared" si="9"/>
        <v>(17280,17310),(17400,17430),(17520,17550),</v>
      </c>
    </row>
    <row r="76" spans="1:9" x14ac:dyDescent="0.15">
      <c r="A76" s="9">
        <v>294</v>
      </c>
      <c r="B76" s="9">
        <f t="shared" si="1"/>
        <v>17640</v>
      </c>
      <c r="C76" s="9">
        <f t="shared" si="2"/>
        <v>6</v>
      </c>
      <c r="D76" s="9">
        <f t="shared" si="3"/>
        <v>13</v>
      </c>
      <c r="E76" s="9" t="s">
        <v>3522</v>
      </c>
      <c r="F76" s="9" t="str">
        <f t="shared" si="8"/>
        <v>(17640,17670),</v>
      </c>
      <c r="G76" s="9" t="str">
        <f t="shared" si="9"/>
        <v>(17280,17310),(17400,17430),(17520,17550),(17640,17670),</v>
      </c>
    </row>
    <row r="77" spans="1:9" x14ac:dyDescent="0.15">
      <c r="A77" s="9">
        <v>296</v>
      </c>
      <c r="B77" s="9">
        <f t="shared" si="1"/>
        <v>17760</v>
      </c>
      <c r="C77" s="9">
        <f t="shared" si="2"/>
        <v>8</v>
      </c>
      <c r="D77" s="9">
        <f t="shared" si="3"/>
        <v>13</v>
      </c>
      <c r="E77" s="9" t="s">
        <v>3522</v>
      </c>
      <c r="F77" s="9" t="str">
        <f t="shared" si="8"/>
        <v>(17760,17790),</v>
      </c>
      <c r="G77" s="9" t="str">
        <f t="shared" si="9"/>
        <v>(17280,17310),(17400,17430),(17520,17550),(17640,17670),(17760,17790),</v>
      </c>
    </row>
    <row r="78" spans="1:9" x14ac:dyDescent="0.15">
      <c r="A78" s="9">
        <v>298</v>
      </c>
      <c r="B78" s="9">
        <f t="shared" ref="B78:B89" si="10">A78*60</f>
        <v>17880</v>
      </c>
      <c r="C78" s="9">
        <f t="shared" ref="C78:C89" si="11">MOD(A78,24)</f>
        <v>10</v>
      </c>
      <c r="D78" s="9">
        <f t="shared" ref="D78:D89" si="12">ROUNDDOWN(A78/24,0)+1</f>
        <v>13</v>
      </c>
      <c r="E78" s="9" t="s">
        <v>3522</v>
      </c>
      <c r="F78" s="9" t="str">
        <f t="shared" si="8"/>
        <v>(17880,17910),</v>
      </c>
      <c r="G78" s="9" t="str">
        <f t="shared" si="9"/>
        <v>(17280,17310),(17400,17430),(17520,17550),(17640,17670),(17760,17790),(17880,17910),</v>
      </c>
    </row>
    <row r="79" spans="1:9" x14ac:dyDescent="0.15">
      <c r="A79" s="9">
        <v>300</v>
      </c>
      <c r="B79" s="9">
        <f t="shared" si="10"/>
        <v>18000</v>
      </c>
      <c r="C79" s="9">
        <f t="shared" si="11"/>
        <v>12</v>
      </c>
      <c r="D79" s="9">
        <f t="shared" si="12"/>
        <v>13</v>
      </c>
      <c r="E79" s="9" t="s">
        <v>3522</v>
      </c>
      <c r="F79" s="9" t="str">
        <f t="shared" si="8"/>
        <v>(18000,18030),</v>
      </c>
      <c r="G79" s="9" t="str">
        <f t="shared" si="9"/>
        <v>(17280,17310),(17400,17430),(17520,17550),(17640,17670),(17760,17790),(17880,17910),(18000,18030),</v>
      </c>
    </row>
    <row r="80" spans="1:9" x14ac:dyDescent="0.15">
      <c r="A80" s="9">
        <v>302</v>
      </c>
      <c r="B80" s="9">
        <f t="shared" si="10"/>
        <v>18120</v>
      </c>
      <c r="C80" s="9">
        <f t="shared" si="11"/>
        <v>14</v>
      </c>
      <c r="D80" s="9">
        <f t="shared" si="12"/>
        <v>13</v>
      </c>
      <c r="E80" s="9" t="s">
        <v>3522</v>
      </c>
      <c r="F80" s="9" t="str">
        <f t="shared" si="8"/>
        <v>(18120,18150),</v>
      </c>
      <c r="G80" s="9" t="str">
        <f t="shared" si="9"/>
        <v>(17280,17310),(17400,17430),(17520,17550),(17640,17670),(17760,17790),(17880,17910),(18000,18030),(18120,18150),</v>
      </c>
    </row>
    <row r="81" spans="1:7" x14ac:dyDescent="0.15">
      <c r="A81" s="9">
        <v>304</v>
      </c>
      <c r="B81" s="9">
        <f t="shared" si="10"/>
        <v>18240</v>
      </c>
      <c r="C81" s="9">
        <f t="shared" si="11"/>
        <v>16</v>
      </c>
      <c r="D81" s="9">
        <f t="shared" si="12"/>
        <v>13</v>
      </c>
      <c r="E81" s="9" t="s">
        <v>3522</v>
      </c>
      <c r="F81" s="9" t="str">
        <f t="shared" si="8"/>
        <v>(18240,18270),</v>
      </c>
      <c r="G81" s="9" t="str">
        <f t="shared" si="9"/>
        <v>(17280,17310),(17400,17430),(17520,17550),(17640,17670),(17760,17790),(17880,17910),(18000,18030),(18120,18150),(18240,18270),</v>
      </c>
    </row>
    <row r="82" spans="1:7" x14ac:dyDescent="0.15">
      <c r="A82" s="9">
        <v>306</v>
      </c>
      <c r="B82" s="9">
        <f t="shared" si="10"/>
        <v>18360</v>
      </c>
      <c r="C82" s="9">
        <f t="shared" si="11"/>
        <v>18</v>
      </c>
      <c r="D82" s="9">
        <f t="shared" si="12"/>
        <v>13</v>
      </c>
      <c r="E82" s="9" t="s">
        <v>3522</v>
      </c>
      <c r="F82" s="9" t="str">
        <f t="shared" si="8"/>
        <v>(18360,18390),</v>
      </c>
      <c r="G82" s="9" t="str">
        <f t="shared" si="9"/>
        <v>(17280,17310),(17400,17430),(17520,17550),(17640,17670),(17760,17790),(17880,17910),(18000,18030),(18120,18150),(18240,18270),(18360,18390),</v>
      </c>
    </row>
    <row r="83" spans="1:7" x14ac:dyDescent="0.15">
      <c r="A83" s="9">
        <v>308</v>
      </c>
      <c r="B83" s="9">
        <f t="shared" si="10"/>
        <v>18480</v>
      </c>
      <c r="C83" s="9">
        <f t="shared" si="11"/>
        <v>20</v>
      </c>
      <c r="D83" s="9">
        <f t="shared" si="12"/>
        <v>13</v>
      </c>
      <c r="E83" s="9" t="s">
        <v>3522</v>
      </c>
      <c r="F83" s="9" t="str">
        <f t="shared" si="8"/>
        <v>(18480,18510),</v>
      </c>
      <c r="G83" s="9" t="str">
        <f t="shared" si="9"/>
        <v>(17280,17310),(17400,17430),(17520,17550),(17640,17670),(17760,17790),(17880,17910),(18000,18030),(18120,18150),(18240,18270),(18360,18390),(18480,18510),</v>
      </c>
    </row>
    <row r="84" spans="1:7" x14ac:dyDescent="0.15">
      <c r="A84" s="9">
        <v>310</v>
      </c>
      <c r="B84" s="9">
        <f t="shared" si="10"/>
        <v>18600</v>
      </c>
      <c r="C84" s="9">
        <f t="shared" si="11"/>
        <v>22</v>
      </c>
      <c r="D84" s="9">
        <f t="shared" si="12"/>
        <v>13</v>
      </c>
      <c r="E84" s="9" t="s">
        <v>3522</v>
      </c>
      <c r="F84" s="9" t="str">
        <f t="shared" si="8"/>
        <v>(18600,18630),</v>
      </c>
      <c r="G84" s="9" t="str">
        <f t="shared" si="9"/>
        <v>(17280,17310),(17400,17430),(17520,17550),(17640,17670),(17760,17790),(17880,17910),(18000,18030),(18120,18150),(18240,18270),(18360,18390),(18480,18510),(18600,18630),</v>
      </c>
    </row>
    <row r="85" spans="1:7" x14ac:dyDescent="0.15">
      <c r="A85" s="9">
        <v>312</v>
      </c>
      <c r="B85" s="9">
        <f t="shared" si="10"/>
        <v>18720</v>
      </c>
      <c r="C85" s="9">
        <f t="shared" si="11"/>
        <v>0</v>
      </c>
      <c r="D85" s="9">
        <f t="shared" si="12"/>
        <v>14</v>
      </c>
      <c r="E85" s="9" t="s">
        <v>3522</v>
      </c>
      <c r="F85" s="9" t="str">
        <f t="shared" si="8"/>
        <v>(18720,18750),</v>
      </c>
      <c r="G85" s="9" t="str">
        <f t="shared" si="9"/>
        <v>(17280,17310),(17400,17430),(17520,17550),(17640,17670),(17760,17790),(17880,17910),(18000,18030),(18120,18150),(18240,18270),(18360,18390),(18480,18510),(18600,18630),(18720,18750),</v>
      </c>
    </row>
    <row r="86" spans="1:7" x14ac:dyDescent="0.15">
      <c r="A86" s="9">
        <v>314</v>
      </c>
      <c r="B86" s="9">
        <f t="shared" si="10"/>
        <v>18840</v>
      </c>
      <c r="C86" s="9">
        <f t="shared" si="11"/>
        <v>2</v>
      </c>
      <c r="D86" s="9">
        <f t="shared" si="12"/>
        <v>14</v>
      </c>
      <c r="E86" s="9" t="s">
        <v>3522</v>
      </c>
      <c r="F86" s="9" t="str">
        <f t="shared" si="8"/>
        <v>(18840,18870),</v>
      </c>
      <c r="G86" s="9" t="str">
        <f t="shared" si="9"/>
        <v>(17280,17310),(17400,17430),(17520,17550),(17640,17670),(17760,17790),(17880,17910),(18000,18030),(18120,18150),(18240,18270),(18360,18390),(18480,18510),(18600,18630),(18720,18750),(18840,18870),</v>
      </c>
    </row>
    <row r="87" spans="1:7" x14ac:dyDescent="0.15">
      <c r="A87" s="9">
        <v>316</v>
      </c>
      <c r="B87" s="9">
        <f t="shared" si="10"/>
        <v>18960</v>
      </c>
      <c r="C87" s="9">
        <f t="shared" si="11"/>
        <v>4</v>
      </c>
      <c r="D87" s="9">
        <f t="shared" si="12"/>
        <v>14</v>
      </c>
      <c r="E87" s="9" t="s">
        <v>3522</v>
      </c>
      <c r="F87" s="9" t="str">
        <f t="shared" si="8"/>
        <v>(18960,18990),</v>
      </c>
      <c r="G87" s="9" t="str">
        <f t="shared" si="9"/>
        <v>(17280,17310),(17400,17430),(17520,17550),(17640,17670),(17760,17790),(17880,17910),(18000,18030),(18120,18150),(18240,18270),(18360,18390),(18480,18510),(18600,18630),(18720,18750),(18840,18870),(18960,18990),</v>
      </c>
    </row>
    <row r="88" spans="1:7" x14ac:dyDescent="0.15">
      <c r="A88" s="9">
        <v>318</v>
      </c>
      <c r="B88" s="9">
        <f t="shared" si="10"/>
        <v>19080</v>
      </c>
      <c r="C88" s="9">
        <f t="shared" si="11"/>
        <v>6</v>
      </c>
      <c r="D88" s="9">
        <f t="shared" si="12"/>
        <v>14</v>
      </c>
      <c r="E88" s="9" t="s">
        <v>3522</v>
      </c>
      <c r="F88" s="9" t="str">
        <f t="shared" si="8"/>
        <v>(19080,19110),</v>
      </c>
      <c r="G88" s="9" t="str">
        <f t="shared" si="9"/>
        <v>(17280,17310),(17400,17430),(17520,17550),(17640,17670),(17760,17790),(17880,17910),(18000,18030),(18120,18150),(18240,18270),(18360,18390),(18480,18510),(18600,18630),(18720,18750),(18840,18870),(18960,18990),(19080,19110),</v>
      </c>
    </row>
    <row r="89" spans="1:7" x14ac:dyDescent="0.15">
      <c r="A89" s="9">
        <v>320</v>
      </c>
      <c r="B89" s="9">
        <f t="shared" si="10"/>
        <v>19200</v>
      </c>
      <c r="C89" s="9">
        <f t="shared" si="11"/>
        <v>8</v>
      </c>
      <c r="D89" s="9">
        <f t="shared" si="12"/>
        <v>14</v>
      </c>
      <c r="E89" s="9" t="s">
        <v>3522</v>
      </c>
      <c r="F89" s="9" t="str">
        <f t="shared" si="8"/>
        <v>(19200,19230),</v>
      </c>
      <c r="G89" s="9" t="str">
        <f t="shared" si="9"/>
        <v>(17280,17310),(17400,17430),(17520,17550),(17640,17670),(17760,17790),(17880,17910),(18000,18030),(18120,18150),(18240,18270),(18360,18390),(18480,18510),(18600,18630),(18720,18750),(18840,18870),(18960,18990),(19080,19110),(19200,19230),</v>
      </c>
    </row>
    <row r="90" spans="1:7" x14ac:dyDescent="0.15">
      <c r="A90" s="9">
        <v>322</v>
      </c>
      <c r="B90" s="9">
        <f t="shared" ref="B90:B96" si="13">A90*60</f>
        <v>19320</v>
      </c>
      <c r="C90" s="9">
        <f t="shared" ref="C90:C96" si="14">MOD(A90,24)</f>
        <v>10</v>
      </c>
      <c r="D90" s="9">
        <f t="shared" ref="D90:D96" si="15">ROUNDDOWN(A90/24,0)+1</f>
        <v>14</v>
      </c>
      <c r="E90" s="9" t="s">
        <v>3522</v>
      </c>
      <c r="F90" s="9" t="str">
        <f t="shared" si="8"/>
        <v>(19320,19350),</v>
      </c>
      <c r="G90" s="9" t="str">
        <f t="shared" si="9"/>
        <v>(17280,17310),(17400,17430),(17520,17550),(17640,17670),(17760,17790),(17880,17910),(18000,18030),(18120,18150),(18240,18270),(18360,18390),(18480,18510),(18600,18630),(18720,18750),(18840,18870),(18960,18990),(19080,19110),(19200,19230),(19320,19350),</v>
      </c>
    </row>
    <row r="91" spans="1:7" x14ac:dyDescent="0.15">
      <c r="A91" s="9">
        <v>324</v>
      </c>
      <c r="B91" s="9">
        <f t="shared" si="13"/>
        <v>19440</v>
      </c>
      <c r="C91" s="9">
        <f t="shared" si="14"/>
        <v>12</v>
      </c>
      <c r="D91" s="9">
        <f t="shared" si="15"/>
        <v>14</v>
      </c>
      <c r="E91" s="9" t="s">
        <v>3522</v>
      </c>
      <c r="F91" s="9" t="str">
        <f t="shared" si="8"/>
        <v>(19440,19470),</v>
      </c>
      <c r="G91" s="9" t="str">
        <f t="shared" si="9"/>
        <v>(17280,17310),(17400,17430),(17520,17550),(17640,17670),(17760,17790),(17880,17910),(18000,18030),(18120,18150),(18240,18270),(18360,18390),(18480,18510),(18600,18630),(18720,18750),(18840,18870),(18960,18990),(19080,19110),(19200,19230),(19320,19350),(19440,19470),</v>
      </c>
    </row>
    <row r="92" spans="1:7" x14ac:dyDescent="0.15">
      <c r="A92" s="9">
        <v>326</v>
      </c>
      <c r="B92" s="9">
        <f t="shared" si="13"/>
        <v>19560</v>
      </c>
      <c r="C92" s="9">
        <f t="shared" si="14"/>
        <v>14</v>
      </c>
      <c r="D92" s="9">
        <f t="shared" si="15"/>
        <v>14</v>
      </c>
      <c r="E92" s="9" t="s">
        <v>3522</v>
      </c>
      <c r="F92" s="9" t="str">
        <f t="shared" si="8"/>
        <v>(19560,19590),</v>
      </c>
      <c r="G92" s="9" t="str">
        <f t="shared" si="9"/>
        <v>(17280,17310),(17400,17430),(17520,17550),(17640,17670),(17760,17790),(17880,17910),(18000,18030),(18120,18150),(18240,18270),(18360,18390),(18480,18510),(18600,18630),(18720,18750),(18840,18870),(18960,18990),(19080,19110),(19200,19230),(19320,19350),(19440,19470),(19560,19590),</v>
      </c>
    </row>
    <row r="93" spans="1:7" x14ac:dyDescent="0.15">
      <c r="A93" s="9">
        <v>328</v>
      </c>
      <c r="B93" s="9">
        <f t="shared" si="13"/>
        <v>19680</v>
      </c>
      <c r="C93" s="9">
        <f t="shared" si="14"/>
        <v>16</v>
      </c>
      <c r="D93" s="9">
        <f t="shared" si="15"/>
        <v>14</v>
      </c>
      <c r="E93" s="9" t="s">
        <v>3522</v>
      </c>
      <c r="F93" s="9" t="str">
        <f t="shared" si="8"/>
        <v>(19680,19710),</v>
      </c>
      <c r="G93" s="9" t="str">
        <f t="shared" si="9"/>
        <v>(17280,17310),(17400,17430),(17520,17550),(17640,17670),(17760,17790),(17880,17910),(18000,18030),(18120,18150),(18240,18270),(18360,18390),(18480,18510),(18600,18630),(18720,18750),(18840,18870),(18960,18990),(19080,19110),(19200,19230),(19320,19350),(19440,19470),(19560,19590),(19680,19710),</v>
      </c>
    </row>
    <row r="94" spans="1:7" x14ac:dyDescent="0.15">
      <c r="A94" s="9">
        <v>330</v>
      </c>
      <c r="B94" s="9">
        <f t="shared" si="13"/>
        <v>19800</v>
      </c>
      <c r="C94" s="9">
        <f t="shared" si="14"/>
        <v>18</v>
      </c>
      <c r="D94" s="9">
        <f t="shared" si="15"/>
        <v>14</v>
      </c>
      <c r="E94" s="9" t="s">
        <v>3522</v>
      </c>
      <c r="F94" s="9" t="str">
        <f t="shared" si="8"/>
        <v>(19800,19830),</v>
      </c>
      <c r="G94" s="9" t="str">
        <f t="shared" si="9"/>
        <v>(17280,17310),(17400,17430),(17520,17550),(17640,17670),(17760,17790),(17880,17910),(18000,18030),(18120,18150),(18240,18270),(18360,18390),(18480,18510),(18600,18630),(18720,18750),(18840,18870),(18960,18990),(19080,19110),(19200,19230),(19320,19350),(19440,19470),(19560,19590),(19680,19710),(19800,19830),</v>
      </c>
    </row>
    <row r="95" spans="1:7" x14ac:dyDescent="0.15">
      <c r="A95" s="9">
        <v>332</v>
      </c>
      <c r="B95" s="9">
        <f t="shared" si="13"/>
        <v>19920</v>
      </c>
      <c r="C95" s="9">
        <f t="shared" si="14"/>
        <v>20</v>
      </c>
      <c r="D95" s="9">
        <f t="shared" si="15"/>
        <v>14</v>
      </c>
      <c r="E95" s="9" t="s">
        <v>3522</v>
      </c>
      <c r="F95" s="9" t="str">
        <f t="shared" si="8"/>
        <v>(19920,19950),</v>
      </c>
      <c r="G95" s="9" t="str">
        <f t="shared" si="9"/>
        <v>(17280,17310),(17400,17430),(17520,17550),(17640,17670),(17760,17790),(17880,17910),(18000,18030),(18120,18150),(18240,18270),(18360,18390),(18480,18510),(18600,18630),(18720,18750),(18840,18870),(18960,18990),(19080,19110),(19200,19230),(19320,19350),(19440,19470),(19560,19590),(19680,19710),(19800,19830),(19920,19950),</v>
      </c>
    </row>
    <row r="96" spans="1:7" x14ac:dyDescent="0.15">
      <c r="A96" s="9">
        <v>334</v>
      </c>
      <c r="B96" s="9">
        <f t="shared" si="13"/>
        <v>20040</v>
      </c>
      <c r="C96" s="9">
        <f t="shared" si="14"/>
        <v>22</v>
      </c>
      <c r="D96" s="9">
        <f t="shared" si="15"/>
        <v>14</v>
      </c>
      <c r="E96" s="9" t="s">
        <v>3522</v>
      </c>
      <c r="F96" s="9" t="str">
        <f t="shared" si="8"/>
        <v>(20040,20070),</v>
      </c>
      <c r="G96" s="9" t="str">
        <f t="shared" si="9"/>
        <v>(17280,17310),(17400,17430),(17520,17550),(17640,17670),(17760,17790),(17880,17910),(18000,18030),(18120,18150),(18240,18270),(18360,18390),(18480,18510),(18600,18630),(18720,18750),(18840,18870),(18960,18990),(19080,19110),(19200,19230),(19320,19350),(19440,19470),(19560,19590),(19680,19710),(19800,19830),(19920,19950),(20040,20070),</v>
      </c>
    </row>
    <row r="97" spans="1:7" x14ac:dyDescent="0.15">
      <c r="A97" s="9"/>
      <c r="B97" s="9"/>
      <c r="C97" s="9"/>
      <c r="D97" s="9"/>
      <c r="E97" s="9"/>
      <c r="F97" s="9"/>
      <c r="G97" s="9" t="str">
        <f>"["&amp;LEFT(G96,LEN(G96)-1)&amp;"]"</f>
        <v>[(17280,17310),(17400,17430),(17520,17550),(17640,17670),(17760,17790),(17880,17910),(18000,18030),(18120,18150),(18240,18270),(18360,18390),(18480,18510),(18600,18630),(18720,18750),(18840,18870),(18960,18990),(19080,19110),(19200,19230),(19320,19350),(19440,19470),(19560,19590),(19680,19710),(19800,19830),(19920,19950),(20040,20070)]</v>
      </c>
    </row>
    <row r="99" spans="1:7" x14ac:dyDescent="0.15">
      <c r="A99" s="10">
        <v>20160</v>
      </c>
    </row>
    <row r="103" spans="1:7" x14ac:dyDescent="0.15">
      <c r="A103">
        <v>50</v>
      </c>
      <c r="B103">
        <f>A103*2</f>
        <v>100</v>
      </c>
      <c r="C103">
        <v>30</v>
      </c>
      <c r="D103" t="str">
        <f>"["&amp;B103&amp;","&amp;C103&amp;"]"</f>
        <v>[100,30]</v>
      </c>
    </row>
    <row r="104" spans="1:7" x14ac:dyDescent="0.15">
      <c r="A104">
        <v>55</v>
      </c>
      <c r="B104">
        <f t="shared" ref="B104:B112" si="16">A104*2</f>
        <v>110</v>
      </c>
      <c r="C104">
        <v>30</v>
      </c>
      <c r="D104" t="str">
        <f t="shared" ref="D104:D112" si="17">"["&amp;B104&amp;","&amp;C104&amp;"]"</f>
        <v>[110,30]</v>
      </c>
    </row>
    <row r="105" spans="1:7" x14ac:dyDescent="0.15">
      <c r="A105">
        <v>55</v>
      </c>
      <c r="B105">
        <f t="shared" si="16"/>
        <v>110</v>
      </c>
      <c r="C105">
        <v>30</v>
      </c>
      <c r="D105" t="str">
        <f t="shared" si="17"/>
        <v>[110,30]</v>
      </c>
    </row>
    <row r="106" spans="1:7" x14ac:dyDescent="0.15">
      <c r="A106">
        <v>60</v>
      </c>
      <c r="B106">
        <f t="shared" si="16"/>
        <v>120</v>
      </c>
      <c r="C106">
        <v>30</v>
      </c>
      <c r="D106" t="str">
        <f t="shared" si="17"/>
        <v>[120,30]</v>
      </c>
    </row>
    <row r="107" spans="1:7" x14ac:dyDescent="0.15">
      <c r="A107">
        <v>65</v>
      </c>
      <c r="B107">
        <f t="shared" si="16"/>
        <v>130</v>
      </c>
      <c r="C107">
        <v>30</v>
      </c>
      <c r="D107" t="str">
        <f t="shared" si="17"/>
        <v>[130,30]</v>
      </c>
    </row>
    <row r="108" spans="1:7" x14ac:dyDescent="0.15">
      <c r="A108">
        <v>70</v>
      </c>
      <c r="B108">
        <f t="shared" si="16"/>
        <v>140</v>
      </c>
      <c r="C108">
        <v>30</v>
      </c>
      <c r="D108" t="str">
        <f t="shared" si="17"/>
        <v>[140,30]</v>
      </c>
    </row>
    <row r="109" spans="1:7" x14ac:dyDescent="0.15">
      <c r="A109">
        <v>75</v>
      </c>
      <c r="B109">
        <f t="shared" si="16"/>
        <v>150</v>
      </c>
      <c r="C109">
        <v>30</v>
      </c>
      <c r="D109" t="str">
        <f t="shared" si="17"/>
        <v>[150,30]</v>
      </c>
    </row>
    <row r="110" spans="1:7" x14ac:dyDescent="0.15">
      <c r="A110">
        <v>80</v>
      </c>
      <c r="B110">
        <f t="shared" si="16"/>
        <v>160</v>
      </c>
      <c r="C110">
        <v>30</v>
      </c>
      <c r="D110" t="str">
        <f t="shared" si="17"/>
        <v>[160,30]</v>
      </c>
    </row>
    <row r="111" spans="1:7" x14ac:dyDescent="0.15">
      <c r="A111">
        <v>80</v>
      </c>
      <c r="B111">
        <f t="shared" si="16"/>
        <v>160</v>
      </c>
      <c r="C111">
        <v>30</v>
      </c>
      <c r="D111" t="str">
        <f t="shared" si="17"/>
        <v>[160,30]</v>
      </c>
    </row>
    <row r="112" spans="1:7" x14ac:dyDescent="0.15">
      <c r="A112">
        <v>80</v>
      </c>
      <c r="B112">
        <f t="shared" si="16"/>
        <v>160</v>
      </c>
      <c r="C112">
        <v>30</v>
      </c>
      <c r="D112" t="str">
        <f t="shared" si="17"/>
        <v>[160,30]</v>
      </c>
    </row>
    <row r="115" spans="1:11" ht="18.75" x14ac:dyDescent="0.25">
      <c r="A115" s="6" t="s">
        <v>3523</v>
      </c>
    </row>
    <row r="116" spans="1:11" x14ac:dyDescent="0.15">
      <c r="A116" s="11" t="s">
        <v>3524</v>
      </c>
      <c r="B116" s="11" t="s">
        <v>2942</v>
      </c>
      <c r="C116" s="11" t="s">
        <v>3525</v>
      </c>
      <c r="D116" s="11" t="s">
        <v>2943</v>
      </c>
      <c r="E116" s="11" t="s">
        <v>3526</v>
      </c>
      <c r="H116" s="12" t="s">
        <v>2966</v>
      </c>
      <c r="J116" s="11" t="s">
        <v>1783</v>
      </c>
      <c r="K116" s="11" t="s">
        <v>47</v>
      </c>
    </row>
    <row r="117" spans="1:11" x14ac:dyDescent="0.15">
      <c r="A117" s="7">
        <v>1</v>
      </c>
      <c r="B117" s="7" t="s">
        <v>268</v>
      </c>
      <c r="C117" s="7">
        <v>30</v>
      </c>
      <c r="D117" s="7"/>
      <c r="E117" s="7"/>
      <c r="F117" t="str">
        <f>IF(D117="","["&amp;VLOOKUP(B117,道具ID!L:M,2,FALSE)&amp;"]","["&amp;VLOOKUP(B117,道具ID!L:M,2,FALSE)&amp;","&amp;VLOOKUP(D117,道具ID!L:M,2,FALSE)&amp;"]")</f>
        <v>[102]</v>
      </c>
      <c r="G117" t="str">
        <f>IF(D117="","["&amp;C117&amp;"]","["&amp;C117&amp;","&amp;E117&amp;"]")</f>
        <v>[30]</v>
      </c>
      <c r="H117" s="7">
        <f t="shared" ref="H117:H128" si="18">VLOOKUP(B117,J:K,2,FALSE)*C117+IFERROR(VLOOKUP(D117,J:K,2,FALSE),0)*E117</f>
        <v>0.6</v>
      </c>
      <c r="J117" s="7" t="s">
        <v>268</v>
      </c>
      <c r="K117" s="7">
        <v>0.02</v>
      </c>
    </row>
    <row r="118" spans="1:11" x14ac:dyDescent="0.15">
      <c r="A118" s="7">
        <v>2</v>
      </c>
      <c r="B118" s="7" t="s">
        <v>2775</v>
      </c>
      <c r="C118" s="7">
        <v>1</v>
      </c>
      <c r="D118" s="7" t="s">
        <v>268</v>
      </c>
      <c r="E118" s="7">
        <v>50</v>
      </c>
      <c r="F118" t="str">
        <f>IF(D118="","["&amp;VLOOKUP(B118,道具ID!L:M,2,FALSE)&amp;"]","["&amp;VLOOKUP(B118,道具ID!L:M,2,FALSE)&amp;","&amp;VLOOKUP(D118,道具ID!L:M,2,FALSE)&amp;"]")</f>
        <v>[20019,102]</v>
      </c>
      <c r="G118" t="str">
        <f t="shared" ref="G118:G128" si="19">IF(D118="","["&amp;C118&amp;"]","["&amp;C118&amp;","&amp;E118&amp;"]")</f>
        <v>[1,50]</v>
      </c>
      <c r="H118" s="7">
        <f t="shared" si="18"/>
        <v>101</v>
      </c>
      <c r="J118" s="7" t="s">
        <v>2775</v>
      </c>
      <c r="K118" s="7">
        <v>100</v>
      </c>
    </row>
    <row r="119" spans="1:11" x14ac:dyDescent="0.15">
      <c r="A119" s="7">
        <v>3</v>
      </c>
      <c r="B119" s="7" t="s">
        <v>268</v>
      </c>
      <c r="C119" s="7">
        <v>60</v>
      </c>
      <c r="D119" s="7"/>
      <c r="E119" s="7"/>
      <c r="F119" t="str">
        <f>IF(D119="","["&amp;VLOOKUP(B119,道具ID!L:M,2,FALSE)&amp;"]","["&amp;VLOOKUP(B119,道具ID!L:M,2,FALSE)&amp;","&amp;VLOOKUP(D119,道具ID!L:M,2,FALSE)&amp;"]")</f>
        <v>[102]</v>
      </c>
      <c r="G119" t="str">
        <f t="shared" si="19"/>
        <v>[60]</v>
      </c>
      <c r="H119" s="7">
        <f t="shared" si="18"/>
        <v>1.2</v>
      </c>
      <c r="J119" s="13" t="s">
        <v>273</v>
      </c>
      <c r="K119" s="7">
        <v>1.25</v>
      </c>
    </row>
    <row r="120" spans="1:11" x14ac:dyDescent="0.15">
      <c r="A120" s="7">
        <v>4</v>
      </c>
      <c r="B120" s="7" t="s">
        <v>268</v>
      </c>
      <c r="C120" s="7">
        <v>150</v>
      </c>
      <c r="D120" s="7"/>
      <c r="E120" s="7"/>
      <c r="F120" t="str">
        <f>IF(D120="","["&amp;VLOOKUP(B120,道具ID!L:M,2,FALSE)&amp;"]","["&amp;VLOOKUP(B120,道具ID!L:M,2,FALSE)&amp;","&amp;VLOOKUP(D120,道具ID!L:M,2,FALSE)&amp;"]")</f>
        <v>[102]</v>
      </c>
      <c r="G120" t="str">
        <f t="shared" si="19"/>
        <v>[150]</v>
      </c>
      <c r="H120" s="7">
        <f t="shared" si="18"/>
        <v>3</v>
      </c>
    </row>
    <row r="121" spans="1:11" x14ac:dyDescent="0.15">
      <c r="A121" s="7">
        <v>5</v>
      </c>
      <c r="B121" s="7" t="s">
        <v>2775</v>
      </c>
      <c r="C121" s="7">
        <v>2</v>
      </c>
      <c r="D121" s="7" t="s">
        <v>268</v>
      </c>
      <c r="E121" s="7">
        <v>200</v>
      </c>
      <c r="F121" t="str">
        <f>IF(D121="","["&amp;VLOOKUP(B121,道具ID!L:M,2,FALSE)&amp;"]","["&amp;VLOOKUP(B121,道具ID!L:M,2,FALSE)&amp;","&amp;VLOOKUP(D121,道具ID!L:M,2,FALSE)&amp;"]")</f>
        <v>[20019,102]</v>
      </c>
      <c r="G121" t="str">
        <f t="shared" si="19"/>
        <v>[2,200]</v>
      </c>
      <c r="H121" s="7">
        <f t="shared" si="18"/>
        <v>204</v>
      </c>
    </row>
    <row r="122" spans="1:11" x14ac:dyDescent="0.15">
      <c r="A122" s="7">
        <v>6</v>
      </c>
      <c r="B122" s="7" t="s">
        <v>268</v>
      </c>
      <c r="C122" s="7">
        <v>300</v>
      </c>
      <c r="D122" s="7"/>
      <c r="E122" s="7"/>
      <c r="F122" t="str">
        <f>IF(D122="","["&amp;VLOOKUP(B122,道具ID!L:M,2,FALSE)&amp;"]","["&amp;VLOOKUP(B122,道具ID!L:M,2,FALSE)&amp;","&amp;VLOOKUP(D122,道具ID!L:M,2,FALSE)&amp;"]")</f>
        <v>[102]</v>
      </c>
      <c r="G122" t="str">
        <f t="shared" si="19"/>
        <v>[300]</v>
      </c>
      <c r="H122" s="7">
        <f t="shared" si="18"/>
        <v>6</v>
      </c>
    </row>
    <row r="123" spans="1:11" x14ac:dyDescent="0.15">
      <c r="A123" s="7">
        <v>7</v>
      </c>
      <c r="B123" s="7" t="s">
        <v>268</v>
      </c>
      <c r="C123" s="7">
        <v>500</v>
      </c>
      <c r="D123" s="7"/>
      <c r="E123" s="7"/>
      <c r="F123" t="str">
        <f>IF(D123="","["&amp;VLOOKUP(B123,道具ID!L:M,2,FALSE)&amp;"]","["&amp;VLOOKUP(B123,道具ID!L:M,2,FALSE)&amp;","&amp;VLOOKUP(D123,道具ID!L:M,2,FALSE)&amp;"]")</f>
        <v>[102]</v>
      </c>
      <c r="G123" t="str">
        <f t="shared" si="19"/>
        <v>[500]</v>
      </c>
      <c r="H123" s="7">
        <f t="shared" si="18"/>
        <v>10</v>
      </c>
    </row>
    <row r="124" spans="1:11" x14ac:dyDescent="0.15">
      <c r="A124" s="7">
        <v>8</v>
      </c>
      <c r="B124" s="7" t="s">
        <v>2775</v>
      </c>
      <c r="C124" s="7">
        <v>2</v>
      </c>
      <c r="D124" s="7" t="s">
        <v>268</v>
      </c>
      <c r="E124" s="7">
        <v>500</v>
      </c>
      <c r="F124" t="str">
        <f>IF(D124="","["&amp;VLOOKUP(B124,道具ID!L:M,2,FALSE)&amp;"]","["&amp;VLOOKUP(B124,道具ID!L:M,2,FALSE)&amp;","&amp;VLOOKUP(D124,道具ID!L:M,2,FALSE)&amp;"]")</f>
        <v>[20019,102]</v>
      </c>
      <c r="G124" t="str">
        <f t="shared" si="19"/>
        <v>[2,500]</v>
      </c>
      <c r="H124" s="7">
        <f t="shared" si="18"/>
        <v>210</v>
      </c>
    </row>
    <row r="125" spans="1:11" x14ac:dyDescent="0.15">
      <c r="A125" s="7">
        <v>9</v>
      </c>
      <c r="B125" s="7" t="s">
        <v>268</v>
      </c>
      <c r="C125" s="7">
        <v>800</v>
      </c>
      <c r="D125" s="7"/>
      <c r="E125" s="7"/>
      <c r="F125" t="str">
        <f>IF(D125="","["&amp;VLOOKUP(B125,道具ID!L:M,2,FALSE)&amp;"]","["&amp;VLOOKUP(B125,道具ID!L:M,2,FALSE)&amp;","&amp;VLOOKUP(D125,道具ID!L:M,2,FALSE)&amp;"]")</f>
        <v>[102]</v>
      </c>
      <c r="G125" t="str">
        <f t="shared" si="19"/>
        <v>[800]</v>
      </c>
      <c r="H125" s="7">
        <f t="shared" si="18"/>
        <v>16</v>
      </c>
    </row>
    <row r="126" spans="1:11" x14ac:dyDescent="0.15">
      <c r="A126" s="7">
        <v>10</v>
      </c>
      <c r="B126" s="7" t="s">
        <v>273</v>
      </c>
      <c r="C126" s="7">
        <v>50</v>
      </c>
      <c r="D126" s="7"/>
      <c r="E126" s="7"/>
      <c r="F126" t="str">
        <f>IF(D126="","["&amp;VLOOKUP(B126,道具ID!L:M,2,FALSE)&amp;"]","["&amp;VLOOKUP(B126,道具ID!L:M,2,FALSE)&amp;","&amp;VLOOKUP(D126,道具ID!L:M,2,FALSE)&amp;"]")</f>
        <v>[105]</v>
      </c>
      <c r="G126" t="str">
        <f t="shared" si="19"/>
        <v>[50]</v>
      </c>
      <c r="H126" s="7">
        <f t="shared" si="18"/>
        <v>62.5</v>
      </c>
    </row>
    <row r="127" spans="1:11" x14ac:dyDescent="0.15">
      <c r="A127" s="7">
        <v>11</v>
      </c>
      <c r="B127" s="7" t="s">
        <v>268</v>
      </c>
      <c r="C127" s="7">
        <v>1500</v>
      </c>
      <c r="D127" s="7"/>
      <c r="E127" s="7"/>
      <c r="F127" t="str">
        <f>IF(D127="","["&amp;VLOOKUP(B127,道具ID!L:M,2,FALSE)&amp;"]","["&amp;VLOOKUP(B127,道具ID!L:M,2,FALSE)&amp;","&amp;VLOOKUP(D127,道具ID!L:M,2,FALSE)&amp;"]")</f>
        <v>[102]</v>
      </c>
      <c r="G127" t="str">
        <f t="shared" si="19"/>
        <v>[1500]</v>
      </c>
      <c r="H127" s="7">
        <f t="shared" si="18"/>
        <v>30</v>
      </c>
    </row>
    <row r="128" spans="1:11" x14ac:dyDescent="0.15">
      <c r="A128" s="7">
        <v>12</v>
      </c>
      <c r="B128" s="7" t="s">
        <v>2775</v>
      </c>
      <c r="C128" s="7">
        <v>5</v>
      </c>
      <c r="D128" s="7" t="s">
        <v>268</v>
      </c>
      <c r="E128" s="7">
        <v>3000</v>
      </c>
      <c r="F128" t="str">
        <f>IF(D128="","["&amp;VLOOKUP(B128,道具ID!L:M,2,FALSE)&amp;"]","["&amp;VLOOKUP(B128,道具ID!L:M,2,FALSE)&amp;","&amp;VLOOKUP(D128,道具ID!L:M,2,FALSE)&amp;"]")</f>
        <v>[20019,102]</v>
      </c>
      <c r="G128" t="str">
        <f t="shared" si="19"/>
        <v>[5,3000]</v>
      </c>
      <c r="H128" s="7">
        <f t="shared" si="18"/>
        <v>560</v>
      </c>
    </row>
    <row r="129" spans="1:8" x14ac:dyDescent="0.15">
      <c r="H129">
        <f>SUM(H117:H128)</f>
        <v>1204.3</v>
      </c>
    </row>
    <row r="131" spans="1:8" x14ac:dyDescent="0.15">
      <c r="A131" s="7" t="s">
        <v>563</v>
      </c>
      <c r="B131" s="14">
        <v>0.6</v>
      </c>
    </row>
    <row r="132" spans="1:8" x14ac:dyDescent="0.15">
      <c r="A132" s="7" t="s">
        <v>3527</v>
      </c>
      <c r="B132" s="7">
        <f>3/(1-B131)*B131</f>
        <v>4.5</v>
      </c>
    </row>
    <row r="133" spans="1:8" x14ac:dyDescent="0.15">
      <c r="A133" s="7" t="s">
        <v>3528</v>
      </c>
      <c r="B133" s="7">
        <v>100</v>
      </c>
    </row>
    <row r="134" spans="1:8" x14ac:dyDescent="0.15">
      <c r="A134" s="7" t="s">
        <v>3529</v>
      </c>
      <c r="B134" s="7">
        <v>500</v>
      </c>
    </row>
    <row r="135" spans="1:8" x14ac:dyDescent="0.15">
      <c r="A135" s="7" t="s">
        <v>3530</v>
      </c>
      <c r="B135" s="7">
        <f>12/B132*B133</f>
        <v>266.66666666666663</v>
      </c>
    </row>
    <row r="136" spans="1:8" x14ac:dyDescent="0.15">
      <c r="A136" s="7" t="s">
        <v>3531</v>
      </c>
      <c r="B136" s="7">
        <f>(C118+C121+C124+C128)*0.25</f>
        <v>2.5</v>
      </c>
    </row>
    <row r="137" spans="1:8" x14ac:dyDescent="0.15">
      <c r="A137" s="7" t="s">
        <v>3532</v>
      </c>
      <c r="B137" s="7">
        <f>B135/B136</f>
        <v>106.66666666666666</v>
      </c>
    </row>
    <row r="138" spans="1:8" x14ac:dyDescent="0.15">
      <c r="A138" s="7" t="s">
        <v>3533</v>
      </c>
      <c r="B138" s="7">
        <f>18/B136*(B134+B135)</f>
        <v>5520</v>
      </c>
    </row>
    <row r="140" spans="1:8" x14ac:dyDescent="0.15">
      <c r="A140" s="7" t="s">
        <v>3534</v>
      </c>
      <c r="B140" s="7">
        <f>18/(2*(C118+C121)*0.25)</f>
        <v>12</v>
      </c>
    </row>
  </sheetData>
  <phoneticPr fontId="32" type="noConversion"/>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Sheet38"/>
  <dimension ref="B3:H92"/>
  <sheetViews>
    <sheetView workbookViewId="0">
      <selection activeCell="F70" sqref="F70"/>
    </sheetView>
  </sheetViews>
  <sheetFormatPr defaultColWidth="9" defaultRowHeight="14.25" x14ac:dyDescent="0.3"/>
  <cols>
    <col min="1" max="2" width="9" style="1"/>
    <col min="3" max="3" width="10" style="1" customWidth="1"/>
    <col min="4" max="4" width="17" style="1" customWidth="1"/>
    <col min="5" max="5" width="18.375" style="1" customWidth="1"/>
    <col min="6" max="20" width="9" style="1"/>
    <col min="21" max="21" width="13.375" style="1" customWidth="1"/>
    <col min="22" max="16384" width="9" style="1"/>
  </cols>
  <sheetData>
    <row r="3" spans="2:8" x14ac:dyDescent="0.3">
      <c r="B3" s="2" t="s">
        <v>3535</v>
      </c>
      <c r="C3" s="2" t="s">
        <v>160</v>
      </c>
      <c r="D3" s="2" t="s">
        <v>16</v>
      </c>
      <c r="E3" s="2" t="s">
        <v>3536</v>
      </c>
      <c r="G3" s="2" t="s">
        <v>85</v>
      </c>
      <c r="H3" s="2" t="s">
        <v>3537</v>
      </c>
    </row>
    <row r="4" spans="2:8" x14ac:dyDescent="0.3">
      <c r="B4" s="2">
        <v>1</v>
      </c>
      <c r="C4" s="3" t="s">
        <v>3538</v>
      </c>
      <c r="D4" s="3" t="s">
        <v>85</v>
      </c>
      <c r="E4" s="2" t="s">
        <v>3539</v>
      </c>
      <c r="G4" s="2" t="s">
        <v>95</v>
      </c>
      <c r="H4" s="3" t="s">
        <v>3540</v>
      </c>
    </row>
    <row r="5" spans="2:8" x14ac:dyDescent="0.3">
      <c r="B5" s="2">
        <v>2</v>
      </c>
      <c r="C5" s="3" t="s">
        <v>3541</v>
      </c>
      <c r="D5" s="3" t="s">
        <v>86</v>
      </c>
      <c r="E5" s="2"/>
      <c r="G5" s="2" t="s">
        <v>93</v>
      </c>
      <c r="H5" s="3" t="s">
        <v>3542</v>
      </c>
    </row>
    <row r="6" spans="2:8" x14ac:dyDescent="0.3">
      <c r="B6" s="2">
        <v>3</v>
      </c>
      <c r="C6" s="3" t="s">
        <v>3543</v>
      </c>
      <c r="D6" s="3" t="s">
        <v>3544</v>
      </c>
      <c r="E6" s="2" t="s">
        <v>3545</v>
      </c>
      <c r="G6" s="4" t="s">
        <v>192</v>
      </c>
      <c r="H6" s="5" t="s">
        <v>3546</v>
      </c>
    </row>
    <row r="7" spans="2:8" x14ac:dyDescent="0.3">
      <c r="B7" s="2">
        <v>4</v>
      </c>
      <c r="C7" s="3" t="s">
        <v>3547</v>
      </c>
      <c r="D7" s="3" t="s">
        <v>3548</v>
      </c>
      <c r="E7" s="2" t="s">
        <v>3549</v>
      </c>
      <c r="G7" s="2" t="s">
        <v>96</v>
      </c>
      <c r="H7" s="3" t="s">
        <v>3550</v>
      </c>
    </row>
    <row r="8" spans="2:8" x14ac:dyDescent="0.3">
      <c r="B8" s="2">
        <v>5</v>
      </c>
      <c r="C8" s="3" t="s">
        <v>3551</v>
      </c>
      <c r="D8" s="3" t="s">
        <v>3552</v>
      </c>
      <c r="E8" s="2"/>
      <c r="G8" s="4" t="s">
        <v>195</v>
      </c>
      <c r="H8" s="5" t="s">
        <v>3553</v>
      </c>
    </row>
    <row r="9" spans="2:8" x14ac:dyDescent="0.3">
      <c r="B9" s="2">
        <v>7</v>
      </c>
      <c r="C9" s="3" t="s">
        <v>3554</v>
      </c>
      <c r="D9" s="3" t="s">
        <v>3555</v>
      </c>
      <c r="E9" s="2" t="s">
        <v>3549</v>
      </c>
      <c r="G9" s="2" t="s">
        <v>97</v>
      </c>
      <c r="H9" s="3" t="s">
        <v>3556</v>
      </c>
    </row>
    <row r="10" spans="2:8" x14ac:dyDescent="0.3">
      <c r="B10" s="2">
        <v>8</v>
      </c>
      <c r="C10" s="3" t="s">
        <v>3557</v>
      </c>
      <c r="D10" s="3" t="s">
        <v>3558</v>
      </c>
      <c r="E10" s="2" t="s">
        <v>3559</v>
      </c>
    </row>
    <row r="11" spans="2:8" x14ac:dyDescent="0.3">
      <c r="B11" s="2">
        <v>9</v>
      </c>
      <c r="C11" s="3" t="s">
        <v>3560</v>
      </c>
      <c r="D11" s="3" t="s">
        <v>3561</v>
      </c>
      <c r="E11" s="2" t="s">
        <v>3562</v>
      </c>
    </row>
    <row r="12" spans="2:8" x14ac:dyDescent="0.3">
      <c r="B12" s="2">
        <v>10</v>
      </c>
      <c r="C12" s="3" t="s">
        <v>3563</v>
      </c>
      <c r="D12" s="3" t="s">
        <v>3564</v>
      </c>
      <c r="E12" s="2" t="s">
        <v>3559</v>
      </c>
    </row>
    <row r="13" spans="2:8" x14ac:dyDescent="0.3">
      <c r="B13" s="2">
        <v>11</v>
      </c>
      <c r="C13" s="3" t="s">
        <v>3565</v>
      </c>
      <c r="D13" s="3" t="s">
        <v>3566</v>
      </c>
      <c r="E13" s="2" t="s">
        <v>3567</v>
      </c>
    </row>
    <row r="14" spans="2:8" x14ac:dyDescent="0.3">
      <c r="B14" s="2">
        <v>12</v>
      </c>
      <c r="C14" s="3" t="s">
        <v>3568</v>
      </c>
      <c r="D14" s="3" t="s">
        <v>3569</v>
      </c>
      <c r="E14" s="2" t="s">
        <v>3559</v>
      </c>
    </row>
    <row r="15" spans="2:8" x14ac:dyDescent="0.3">
      <c r="B15" s="2">
        <v>13</v>
      </c>
      <c r="C15" s="3" t="s">
        <v>3570</v>
      </c>
      <c r="D15" s="3" t="s">
        <v>3571</v>
      </c>
      <c r="E15" s="2"/>
    </row>
    <row r="16" spans="2:8" x14ac:dyDescent="0.3">
      <c r="B16" s="2">
        <v>14</v>
      </c>
      <c r="C16" s="3" t="s">
        <v>3572</v>
      </c>
      <c r="D16" s="3" t="s">
        <v>3573</v>
      </c>
      <c r="E16" s="2" t="s">
        <v>3559</v>
      </c>
    </row>
    <row r="17" spans="2:5" x14ac:dyDescent="0.3">
      <c r="B17" s="2">
        <v>15</v>
      </c>
      <c r="C17" s="3" t="s">
        <v>3574</v>
      </c>
      <c r="D17" s="3" t="s">
        <v>3575</v>
      </c>
      <c r="E17" s="2" t="s">
        <v>3559</v>
      </c>
    </row>
    <row r="18" spans="2:5" x14ac:dyDescent="0.3">
      <c r="B18" s="2">
        <v>16</v>
      </c>
      <c r="C18" s="3" t="s">
        <v>3576</v>
      </c>
      <c r="D18" s="3" t="s">
        <v>3577</v>
      </c>
      <c r="E18" s="2" t="s">
        <v>3567</v>
      </c>
    </row>
    <row r="19" spans="2:5" x14ac:dyDescent="0.3">
      <c r="B19" s="2">
        <v>17</v>
      </c>
      <c r="C19" s="3" t="s">
        <v>3578</v>
      </c>
      <c r="D19" s="3" t="s">
        <v>3579</v>
      </c>
      <c r="E19" s="2" t="s">
        <v>3567</v>
      </c>
    </row>
    <row r="20" spans="2:5" x14ac:dyDescent="0.3">
      <c r="B20" s="2">
        <v>18</v>
      </c>
      <c r="C20" s="3" t="s">
        <v>3580</v>
      </c>
      <c r="D20" s="3" t="s">
        <v>3581</v>
      </c>
      <c r="E20" s="2" t="s">
        <v>3567</v>
      </c>
    </row>
    <row r="21" spans="2:5" x14ac:dyDescent="0.3">
      <c r="B21" s="2">
        <v>19</v>
      </c>
      <c r="C21" s="3" t="s">
        <v>3582</v>
      </c>
      <c r="D21" s="3" t="s">
        <v>3583</v>
      </c>
      <c r="E21" s="2"/>
    </row>
    <row r="22" spans="2:5" x14ac:dyDescent="0.3">
      <c r="B22" s="2">
        <v>20</v>
      </c>
      <c r="C22" s="3" t="s">
        <v>3584</v>
      </c>
      <c r="D22" s="3" t="s">
        <v>3585</v>
      </c>
      <c r="E22" s="2"/>
    </row>
    <row r="23" spans="2:5" x14ac:dyDescent="0.3">
      <c r="B23" s="2">
        <v>21</v>
      </c>
      <c r="C23" s="3" t="s">
        <v>3586</v>
      </c>
      <c r="D23" s="3" t="s">
        <v>3587</v>
      </c>
      <c r="E23" s="2"/>
    </row>
    <row r="24" spans="2:5" x14ac:dyDescent="0.3">
      <c r="B24" s="2">
        <v>22</v>
      </c>
      <c r="C24" s="3" t="s">
        <v>3588</v>
      </c>
      <c r="D24" s="3" t="s">
        <v>3589</v>
      </c>
      <c r="E24" s="2" t="s">
        <v>3590</v>
      </c>
    </row>
    <row r="25" spans="2:5" x14ac:dyDescent="0.3">
      <c r="B25" s="2">
        <v>23</v>
      </c>
      <c r="C25" s="3" t="s">
        <v>3591</v>
      </c>
      <c r="D25" s="3" t="s">
        <v>762</v>
      </c>
      <c r="E25" s="2"/>
    </row>
    <row r="26" spans="2:5" x14ac:dyDescent="0.3">
      <c r="B26" s="2">
        <v>27</v>
      </c>
      <c r="C26" s="3" t="s">
        <v>3592</v>
      </c>
      <c r="D26" s="3" t="s">
        <v>3593</v>
      </c>
      <c r="E26" s="2" t="s">
        <v>3559</v>
      </c>
    </row>
    <row r="27" spans="2:5" x14ac:dyDescent="0.3">
      <c r="B27" s="2">
        <v>28</v>
      </c>
      <c r="C27" s="3" t="s">
        <v>3594</v>
      </c>
      <c r="D27" s="3" t="s">
        <v>3595</v>
      </c>
      <c r="E27" s="2" t="s">
        <v>3559</v>
      </c>
    </row>
    <row r="28" spans="2:5" x14ac:dyDescent="0.3">
      <c r="B28" s="2">
        <v>29</v>
      </c>
      <c r="C28" s="3" t="s">
        <v>3596</v>
      </c>
      <c r="D28" s="3" t="s">
        <v>1121</v>
      </c>
      <c r="E28" s="2" t="s">
        <v>3567</v>
      </c>
    </row>
    <row r="29" spans="2:5" x14ac:dyDescent="0.3">
      <c r="B29" s="2">
        <v>30</v>
      </c>
      <c r="C29" s="3" t="s">
        <v>3597</v>
      </c>
      <c r="D29" s="3" t="s">
        <v>1122</v>
      </c>
      <c r="E29" s="2" t="s">
        <v>3567</v>
      </c>
    </row>
    <row r="30" spans="2:5" x14ac:dyDescent="0.3">
      <c r="B30" s="2">
        <v>31</v>
      </c>
      <c r="C30" s="3" t="s">
        <v>3598</v>
      </c>
      <c r="D30" s="3" t="s">
        <v>3599</v>
      </c>
      <c r="E30" s="2"/>
    </row>
    <row r="31" spans="2:5" x14ac:dyDescent="0.3">
      <c r="B31" s="2">
        <v>32</v>
      </c>
      <c r="C31" s="3" t="s">
        <v>3600</v>
      </c>
      <c r="D31" s="3" t="s">
        <v>3601</v>
      </c>
      <c r="E31" s="2"/>
    </row>
    <row r="32" spans="2:5" x14ac:dyDescent="0.3">
      <c r="B32" s="2">
        <v>33</v>
      </c>
      <c r="C32" s="3" t="s">
        <v>3602</v>
      </c>
      <c r="D32" s="3" t="s">
        <v>3603</v>
      </c>
      <c r="E32" s="2" t="s">
        <v>3559</v>
      </c>
    </row>
    <row r="33" spans="2:5" x14ac:dyDescent="0.3">
      <c r="B33" s="2">
        <v>34</v>
      </c>
      <c r="C33" s="3" t="s">
        <v>3604</v>
      </c>
      <c r="D33" s="3" t="s">
        <v>3605</v>
      </c>
      <c r="E33" s="2" t="s">
        <v>3567</v>
      </c>
    </row>
    <row r="34" spans="2:5" x14ac:dyDescent="0.3">
      <c r="B34" s="2">
        <v>35</v>
      </c>
      <c r="C34" s="3" t="s">
        <v>3606</v>
      </c>
      <c r="D34" s="3" t="s">
        <v>3607</v>
      </c>
      <c r="E34" s="2" t="s">
        <v>3567</v>
      </c>
    </row>
    <row r="35" spans="2:5" x14ac:dyDescent="0.3">
      <c r="B35" s="2">
        <v>36</v>
      </c>
      <c r="C35" s="3" t="s">
        <v>3608</v>
      </c>
      <c r="D35" s="3" t="s">
        <v>3609</v>
      </c>
      <c r="E35" s="2" t="s">
        <v>3567</v>
      </c>
    </row>
    <row r="36" spans="2:5" x14ac:dyDescent="0.3">
      <c r="B36" s="2">
        <v>37</v>
      </c>
      <c r="C36" s="3" t="s">
        <v>3610</v>
      </c>
      <c r="D36" s="3" t="s">
        <v>3611</v>
      </c>
      <c r="E36" s="2" t="s">
        <v>3567</v>
      </c>
    </row>
    <row r="37" spans="2:5" x14ac:dyDescent="0.3">
      <c r="B37" s="2">
        <v>38</v>
      </c>
      <c r="C37" s="3" t="s">
        <v>3612</v>
      </c>
      <c r="D37" s="3" t="s">
        <v>3613</v>
      </c>
      <c r="E37" s="2"/>
    </row>
    <row r="38" spans="2:5" x14ac:dyDescent="0.3">
      <c r="B38" s="2">
        <v>39</v>
      </c>
      <c r="C38" s="3" t="s">
        <v>3614</v>
      </c>
      <c r="D38" s="3" t="s">
        <v>3615</v>
      </c>
      <c r="E38" s="2"/>
    </row>
    <row r="39" spans="2:5" x14ac:dyDescent="0.3">
      <c r="B39" s="2">
        <v>40</v>
      </c>
      <c r="C39" s="3" t="s">
        <v>3616</v>
      </c>
      <c r="D39" s="3" t="s">
        <v>3617</v>
      </c>
      <c r="E39" s="2"/>
    </row>
    <row r="40" spans="2:5" x14ac:dyDescent="0.3">
      <c r="B40" s="2">
        <v>41</v>
      </c>
      <c r="C40" s="3" t="s">
        <v>3618</v>
      </c>
      <c r="D40" s="3" t="s">
        <v>3619</v>
      </c>
      <c r="E40" s="2"/>
    </row>
    <row r="41" spans="2:5" x14ac:dyDescent="0.3">
      <c r="B41" s="2">
        <v>42</v>
      </c>
      <c r="C41" s="3" t="s">
        <v>3620</v>
      </c>
      <c r="D41" s="3" t="s">
        <v>176</v>
      </c>
      <c r="E41" s="2"/>
    </row>
    <row r="42" spans="2:5" x14ac:dyDescent="0.3">
      <c r="B42" s="2">
        <v>44</v>
      </c>
      <c r="C42" s="3" t="s">
        <v>3621</v>
      </c>
      <c r="D42" s="3" t="s">
        <v>3622</v>
      </c>
      <c r="E42" s="2"/>
    </row>
    <row r="43" spans="2:5" x14ac:dyDescent="0.3">
      <c r="B43" s="2">
        <v>45</v>
      </c>
      <c r="C43" s="3" t="s">
        <v>3623</v>
      </c>
      <c r="D43" s="3" t="s">
        <v>3624</v>
      </c>
      <c r="E43" s="2"/>
    </row>
    <row r="44" spans="2:5" x14ac:dyDescent="0.3">
      <c r="B44" s="2">
        <v>46</v>
      </c>
      <c r="C44" s="3" t="s">
        <v>3625</v>
      </c>
      <c r="D44" s="3" t="s">
        <v>3626</v>
      </c>
      <c r="E44" s="2"/>
    </row>
    <row r="45" spans="2:5" x14ac:dyDescent="0.3">
      <c r="B45" s="2">
        <v>48</v>
      </c>
      <c r="C45" s="3" t="s">
        <v>3627</v>
      </c>
      <c r="D45" s="3" t="s">
        <v>3628</v>
      </c>
      <c r="E45" s="2" t="s">
        <v>3590</v>
      </c>
    </row>
    <row r="46" spans="2:5" x14ac:dyDescent="0.3">
      <c r="B46" s="2">
        <v>49</v>
      </c>
      <c r="C46" s="3" t="s">
        <v>3629</v>
      </c>
      <c r="D46" s="3" t="s">
        <v>3630</v>
      </c>
      <c r="E46" s="2" t="s">
        <v>3567</v>
      </c>
    </row>
    <row r="47" spans="2:5" x14ac:dyDescent="0.3">
      <c r="B47" s="2">
        <v>50</v>
      </c>
      <c r="C47" s="3" t="s">
        <v>3631</v>
      </c>
      <c r="D47" s="3" t="s">
        <v>3632</v>
      </c>
      <c r="E47" s="2" t="s">
        <v>3567</v>
      </c>
    </row>
    <row r="48" spans="2:5" x14ac:dyDescent="0.3">
      <c r="B48" s="2">
        <v>51</v>
      </c>
      <c r="C48" s="3" t="s">
        <v>3633</v>
      </c>
      <c r="D48" s="3" t="s">
        <v>3634</v>
      </c>
      <c r="E48" s="2"/>
    </row>
    <row r="49" spans="2:5" x14ac:dyDescent="0.3">
      <c r="B49" s="2">
        <v>52</v>
      </c>
      <c r="C49" s="3" t="s">
        <v>3635</v>
      </c>
      <c r="D49" s="3" t="s">
        <v>3636</v>
      </c>
      <c r="E49" s="2"/>
    </row>
    <row r="50" spans="2:5" x14ac:dyDescent="0.3">
      <c r="B50" s="2">
        <v>53</v>
      </c>
      <c r="C50" s="3" t="s">
        <v>3637</v>
      </c>
      <c r="D50" s="3" t="s">
        <v>3638</v>
      </c>
      <c r="E50" s="2" t="s">
        <v>3590</v>
      </c>
    </row>
    <row r="51" spans="2:5" x14ac:dyDescent="0.3">
      <c r="B51" s="2">
        <v>54</v>
      </c>
      <c r="C51" s="3" t="s">
        <v>3639</v>
      </c>
      <c r="D51" s="3" t="s">
        <v>3640</v>
      </c>
      <c r="E51" s="2" t="s">
        <v>3590</v>
      </c>
    </row>
    <row r="52" spans="2:5" x14ac:dyDescent="0.3">
      <c r="B52" s="2">
        <v>55</v>
      </c>
      <c r="C52" s="3" t="s">
        <v>3641</v>
      </c>
      <c r="D52" s="3" t="s">
        <v>3642</v>
      </c>
      <c r="E52" s="2" t="s">
        <v>3590</v>
      </c>
    </row>
    <row r="53" spans="2:5" x14ac:dyDescent="0.3">
      <c r="B53" s="2">
        <v>57</v>
      </c>
      <c r="C53" s="3" t="s">
        <v>3643</v>
      </c>
      <c r="D53" s="3" t="s">
        <v>3644</v>
      </c>
      <c r="E53" s="2"/>
    </row>
    <row r="54" spans="2:5" x14ac:dyDescent="0.3">
      <c r="B54" s="2">
        <v>58</v>
      </c>
      <c r="C54" s="3" t="s">
        <v>3645</v>
      </c>
      <c r="D54" s="3" t="s">
        <v>3646</v>
      </c>
      <c r="E54" s="2"/>
    </row>
    <row r="55" spans="2:5" x14ac:dyDescent="0.3">
      <c r="B55" s="2">
        <v>62</v>
      </c>
      <c r="C55" s="3" t="s">
        <v>3647</v>
      </c>
      <c r="D55" s="3" t="s">
        <v>3648</v>
      </c>
      <c r="E55" s="2"/>
    </row>
    <row r="56" spans="2:5" x14ac:dyDescent="0.3">
      <c r="B56" s="2">
        <v>68</v>
      </c>
      <c r="C56" s="3" t="s">
        <v>3649</v>
      </c>
      <c r="D56" s="3" t="s">
        <v>3650</v>
      </c>
      <c r="E56" s="2"/>
    </row>
    <row r="57" spans="2:5" x14ac:dyDescent="0.3">
      <c r="B57" s="2">
        <v>69</v>
      </c>
      <c r="C57" s="3" t="s">
        <v>3651</v>
      </c>
      <c r="D57" s="3" t="s">
        <v>3652</v>
      </c>
      <c r="E57" s="2"/>
    </row>
    <row r="58" spans="2:5" x14ac:dyDescent="0.3">
      <c r="B58" s="2">
        <v>70</v>
      </c>
      <c r="C58" s="3" t="s">
        <v>3653</v>
      </c>
      <c r="D58" s="3" t="s">
        <v>3654</v>
      </c>
      <c r="E58" s="2"/>
    </row>
    <row r="59" spans="2:5" x14ac:dyDescent="0.3">
      <c r="B59" s="2">
        <v>71</v>
      </c>
      <c r="C59" s="3" t="s">
        <v>3655</v>
      </c>
      <c r="D59" s="3" t="s">
        <v>3656</v>
      </c>
      <c r="E59" s="2" t="s">
        <v>3567</v>
      </c>
    </row>
    <row r="60" spans="2:5" x14ac:dyDescent="0.3">
      <c r="B60" s="2">
        <v>72</v>
      </c>
      <c r="C60" s="3" t="s">
        <v>3657</v>
      </c>
      <c r="D60" s="3" t="s">
        <v>3658</v>
      </c>
      <c r="E60" s="2" t="s">
        <v>3567</v>
      </c>
    </row>
    <row r="61" spans="2:5" x14ac:dyDescent="0.3">
      <c r="B61" s="2">
        <v>73</v>
      </c>
      <c r="C61" s="3" t="s">
        <v>3659</v>
      </c>
      <c r="D61" s="3" t="s">
        <v>3660</v>
      </c>
      <c r="E61" s="2"/>
    </row>
    <row r="62" spans="2:5" x14ac:dyDescent="0.3">
      <c r="B62" s="2">
        <v>74</v>
      </c>
      <c r="C62" s="3" t="s">
        <v>3661</v>
      </c>
      <c r="D62" s="3" t="s">
        <v>3662</v>
      </c>
      <c r="E62" s="2"/>
    </row>
    <row r="63" spans="2:5" x14ac:dyDescent="0.3">
      <c r="B63" s="2">
        <v>75</v>
      </c>
      <c r="C63" s="3" t="s">
        <v>3663</v>
      </c>
      <c r="D63" s="3" t="s">
        <v>3664</v>
      </c>
      <c r="E63" s="2" t="s">
        <v>3590</v>
      </c>
    </row>
    <row r="64" spans="2:5" x14ac:dyDescent="0.3">
      <c r="B64" s="2">
        <v>76</v>
      </c>
      <c r="C64" s="3" t="s">
        <v>3665</v>
      </c>
      <c r="D64" s="3" t="s">
        <v>3666</v>
      </c>
      <c r="E64" s="2" t="s">
        <v>3590</v>
      </c>
    </row>
    <row r="65" spans="2:5" x14ac:dyDescent="0.3">
      <c r="B65" s="2">
        <v>77</v>
      </c>
      <c r="C65" s="3" t="s">
        <v>3667</v>
      </c>
      <c r="D65" s="3" t="s">
        <v>3668</v>
      </c>
      <c r="E65" s="2"/>
    </row>
    <row r="66" spans="2:5" x14ac:dyDescent="0.3">
      <c r="B66" s="2">
        <v>78</v>
      </c>
      <c r="C66" s="3" t="s">
        <v>3669</v>
      </c>
      <c r="D66" s="3" t="s">
        <v>3664</v>
      </c>
      <c r="E66" s="2" t="s">
        <v>3590</v>
      </c>
    </row>
    <row r="67" spans="2:5" x14ac:dyDescent="0.3">
      <c r="B67" s="2">
        <v>79</v>
      </c>
      <c r="C67" s="3" t="s">
        <v>3670</v>
      </c>
      <c r="D67" s="3" t="s">
        <v>3666</v>
      </c>
      <c r="E67" s="2" t="s">
        <v>3590</v>
      </c>
    </row>
    <row r="68" spans="2:5" x14ac:dyDescent="0.3">
      <c r="B68" s="2">
        <v>80</v>
      </c>
      <c r="C68" s="3" t="s">
        <v>3671</v>
      </c>
      <c r="D68" s="3" t="s">
        <v>3672</v>
      </c>
      <c r="E68" s="2">
        <v>0</v>
      </c>
    </row>
    <row r="69" spans="2:5" x14ac:dyDescent="0.3">
      <c r="B69" s="2">
        <v>81</v>
      </c>
      <c r="C69" s="3" t="s">
        <v>3673</v>
      </c>
      <c r="D69" s="3" t="s">
        <v>3664</v>
      </c>
      <c r="E69" s="2">
        <v>0</v>
      </c>
    </row>
    <row r="70" spans="2:5" x14ac:dyDescent="0.3">
      <c r="B70" s="2">
        <v>82</v>
      </c>
      <c r="C70" s="3" t="s">
        <v>3674</v>
      </c>
      <c r="D70" s="3" t="s">
        <v>3666</v>
      </c>
      <c r="E70" s="2">
        <v>0</v>
      </c>
    </row>
    <row r="71" spans="2:5" x14ac:dyDescent="0.3">
      <c r="B71" s="2">
        <v>83</v>
      </c>
      <c r="C71" s="3" t="s">
        <v>3675</v>
      </c>
      <c r="D71" s="3" t="s">
        <v>3676</v>
      </c>
      <c r="E71" s="2"/>
    </row>
    <row r="72" spans="2:5" x14ac:dyDescent="0.3">
      <c r="B72" s="2">
        <v>84</v>
      </c>
      <c r="C72" s="3" t="s">
        <v>3677</v>
      </c>
      <c r="D72" s="3" t="s">
        <v>3664</v>
      </c>
      <c r="E72" s="2" t="s">
        <v>3590</v>
      </c>
    </row>
    <row r="73" spans="2:5" x14ac:dyDescent="0.3">
      <c r="B73" s="2">
        <v>85</v>
      </c>
      <c r="C73" s="3" t="s">
        <v>3678</v>
      </c>
      <c r="D73" s="3" t="s">
        <v>3666</v>
      </c>
      <c r="E73" s="2" t="s">
        <v>3590</v>
      </c>
    </row>
    <row r="74" spans="2:5" x14ac:dyDescent="0.3">
      <c r="B74" s="2">
        <v>86</v>
      </c>
      <c r="C74" s="3" t="s">
        <v>3679</v>
      </c>
      <c r="D74" s="3" t="s">
        <v>3680</v>
      </c>
      <c r="E74" s="2"/>
    </row>
    <row r="75" spans="2:5" x14ac:dyDescent="0.3">
      <c r="B75" s="2">
        <v>87</v>
      </c>
      <c r="C75" s="3" t="s">
        <v>3681</v>
      </c>
      <c r="D75" s="3" t="s">
        <v>3682</v>
      </c>
      <c r="E75" s="2"/>
    </row>
    <row r="76" spans="2:5" x14ac:dyDescent="0.3">
      <c r="B76" s="2">
        <v>88</v>
      </c>
      <c r="C76" s="3" t="s">
        <v>3683</v>
      </c>
      <c r="D76" s="3" t="s">
        <v>901</v>
      </c>
      <c r="E76" s="2" t="s">
        <v>3567</v>
      </c>
    </row>
    <row r="77" spans="2:5" x14ac:dyDescent="0.3">
      <c r="B77" s="2">
        <v>89</v>
      </c>
      <c r="C77" s="3" t="s">
        <v>3684</v>
      </c>
      <c r="D77" s="3" t="s">
        <v>3685</v>
      </c>
      <c r="E77" s="2" t="s">
        <v>3567</v>
      </c>
    </row>
    <row r="78" spans="2:5" x14ac:dyDescent="0.3">
      <c r="B78" s="2">
        <v>90</v>
      </c>
      <c r="C78" s="3" t="s">
        <v>3686</v>
      </c>
      <c r="D78" s="3" t="s">
        <v>3687</v>
      </c>
      <c r="E78" s="2" t="s">
        <v>3567</v>
      </c>
    </row>
    <row r="79" spans="2:5" x14ac:dyDescent="0.3">
      <c r="B79" s="2">
        <v>91</v>
      </c>
      <c r="C79" s="3" t="s">
        <v>3688</v>
      </c>
      <c r="D79" s="3" t="s">
        <v>3689</v>
      </c>
      <c r="E79" s="2" t="s">
        <v>3567</v>
      </c>
    </row>
    <row r="80" spans="2:5" x14ac:dyDescent="0.3">
      <c r="B80" s="2">
        <v>92</v>
      </c>
      <c r="C80" s="3" t="s">
        <v>3690</v>
      </c>
      <c r="D80" s="3" t="s">
        <v>3691</v>
      </c>
      <c r="E80" s="2" t="s">
        <v>3567</v>
      </c>
    </row>
    <row r="81" spans="2:5" x14ac:dyDescent="0.3">
      <c r="B81" s="2">
        <v>93</v>
      </c>
      <c r="C81" s="2" t="s">
        <v>3692</v>
      </c>
      <c r="D81" s="3" t="s">
        <v>3693</v>
      </c>
      <c r="E81" s="2" t="s">
        <v>3567</v>
      </c>
    </row>
    <row r="82" spans="2:5" x14ac:dyDescent="0.3">
      <c r="B82" s="2">
        <v>94</v>
      </c>
      <c r="C82" s="2" t="s">
        <v>3694</v>
      </c>
      <c r="D82" s="3" t="s">
        <v>3695</v>
      </c>
      <c r="E82" s="2" t="s">
        <v>3567</v>
      </c>
    </row>
    <row r="83" spans="2:5" x14ac:dyDescent="0.3">
      <c r="B83" s="2">
        <v>95</v>
      </c>
      <c r="C83" s="2" t="s">
        <v>3696</v>
      </c>
      <c r="D83" s="3" t="s">
        <v>3697</v>
      </c>
      <c r="E83" s="2" t="s">
        <v>3567</v>
      </c>
    </row>
    <row r="84" spans="2:5" x14ac:dyDescent="0.3">
      <c r="B84" s="2">
        <v>96</v>
      </c>
      <c r="C84" s="2" t="s">
        <v>3698</v>
      </c>
      <c r="D84" s="3" t="s">
        <v>3699</v>
      </c>
      <c r="E84" s="2" t="s">
        <v>3567</v>
      </c>
    </row>
    <row r="85" spans="2:5" x14ac:dyDescent="0.3">
      <c r="B85" s="2">
        <v>97</v>
      </c>
      <c r="C85" s="2" t="s">
        <v>3700</v>
      </c>
      <c r="D85" s="3" t="s">
        <v>3701</v>
      </c>
      <c r="E85" s="2" t="s">
        <v>3567</v>
      </c>
    </row>
    <row r="86" spans="2:5" x14ac:dyDescent="0.3">
      <c r="B86" s="2">
        <v>98</v>
      </c>
      <c r="C86" s="2" t="s">
        <v>3702</v>
      </c>
      <c r="D86" s="3" t="s">
        <v>3703</v>
      </c>
      <c r="E86" s="2" t="s">
        <v>3567</v>
      </c>
    </row>
    <row r="87" spans="2:5" x14ac:dyDescent="0.3">
      <c r="B87" s="2">
        <v>99</v>
      </c>
      <c r="C87" s="2" t="s">
        <v>3704</v>
      </c>
      <c r="D87" s="3" t="s">
        <v>174</v>
      </c>
      <c r="E87" s="2"/>
    </row>
    <row r="88" spans="2:5" x14ac:dyDescent="0.3">
      <c r="B88" s="2">
        <v>100</v>
      </c>
      <c r="C88" s="2" t="s">
        <v>3705</v>
      </c>
      <c r="D88" s="3" t="s">
        <v>1203</v>
      </c>
      <c r="E88" s="2"/>
    </row>
    <row r="89" spans="2:5" x14ac:dyDescent="0.3">
      <c r="B89" s="2">
        <v>101</v>
      </c>
      <c r="C89" s="2" t="s">
        <v>3706</v>
      </c>
      <c r="D89" s="3" t="s">
        <v>1204</v>
      </c>
      <c r="E89" s="2"/>
    </row>
    <row r="90" spans="2:5" x14ac:dyDescent="0.3">
      <c r="B90" s="2">
        <v>102</v>
      </c>
      <c r="C90" s="2" t="s">
        <v>3707</v>
      </c>
      <c r="D90" s="3" t="s">
        <v>1205</v>
      </c>
      <c r="E90" s="2"/>
    </row>
    <row r="91" spans="2:5" x14ac:dyDescent="0.3">
      <c r="B91" s="2">
        <v>103</v>
      </c>
      <c r="C91" s="2" t="s">
        <v>3708</v>
      </c>
      <c r="D91" s="3" t="s">
        <v>3709</v>
      </c>
      <c r="E91" s="2"/>
    </row>
    <row r="92" spans="2:5" x14ac:dyDescent="0.3">
      <c r="B92" s="2">
        <v>104</v>
      </c>
      <c r="C92" s="2" t="s">
        <v>3710</v>
      </c>
      <c r="D92" s="3" t="s">
        <v>3711</v>
      </c>
      <c r="E92" s="2" t="s">
        <v>3567</v>
      </c>
    </row>
  </sheetData>
  <phoneticPr fontId="32"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40</vt:i4>
      </vt:variant>
      <vt:variant>
        <vt:lpstr>命名范围</vt:lpstr>
      </vt:variant>
      <vt:variant>
        <vt:i4>41</vt:i4>
      </vt:variant>
    </vt:vector>
  </HeadingPairs>
  <TitlesOfParts>
    <vt:vector size="81" baseType="lpstr">
      <vt:lpstr>说明</vt:lpstr>
      <vt:lpstr>标准坦克设计</vt:lpstr>
      <vt:lpstr>基础属性系数</vt:lpstr>
      <vt:lpstr>基础经济系数</vt:lpstr>
      <vt:lpstr>游戏时长规划</vt:lpstr>
      <vt:lpstr>坦克总规划表</vt:lpstr>
      <vt:lpstr>坦克升星消耗</vt:lpstr>
      <vt:lpstr>坦克等级成长</vt:lpstr>
      <vt:lpstr>类型坦克成长数据</vt:lpstr>
      <vt:lpstr>战斗时间模拟</vt:lpstr>
      <vt:lpstr>坦克标准养成属性</vt:lpstr>
      <vt:lpstr>坦克类型系数</vt:lpstr>
      <vt:lpstr>图鉴</vt:lpstr>
      <vt:lpstr>坦克个性化设定</vt:lpstr>
      <vt:lpstr>坦克个性化细分</vt:lpstr>
      <vt:lpstr>坦克属性统计</vt:lpstr>
      <vt:lpstr>坦克属性对比</vt:lpstr>
      <vt:lpstr>坦克部件</vt:lpstr>
      <vt:lpstr>坦克部件养成</vt:lpstr>
      <vt:lpstr>坦克部件养成-填表</vt:lpstr>
      <vt:lpstr>坦克技能</vt:lpstr>
      <vt:lpstr>战斗力计算</vt:lpstr>
      <vt:lpstr>匹配分段</vt:lpstr>
      <vt:lpstr>商店道具</vt:lpstr>
      <vt:lpstr>道具价值</vt:lpstr>
      <vt:lpstr>道具ID</vt:lpstr>
      <vt:lpstr>活动奖励</vt:lpstr>
      <vt:lpstr>游戏付费深度</vt:lpstr>
      <vt:lpstr>推送礼包</vt:lpstr>
      <vt:lpstr>BattlePass</vt:lpstr>
      <vt:lpstr>BattlePass荣耀之星</vt:lpstr>
      <vt:lpstr>BattlePass任务</vt:lpstr>
      <vt:lpstr>成就</vt:lpstr>
      <vt:lpstr>任务设定</vt:lpstr>
      <vt:lpstr>排行榜特权奖励</vt:lpstr>
      <vt:lpstr>名称-id</vt:lpstr>
      <vt:lpstr>宝箱设定</vt:lpstr>
      <vt:lpstr>碎片兑换</vt:lpstr>
      <vt:lpstr>游戏模式</vt:lpstr>
      <vt:lpstr>属性说明</vt:lpstr>
      <vt:lpstr>宝箱ID</vt:lpstr>
      <vt:lpstr>部件价值</vt:lpstr>
      <vt:lpstr>部件价值标头</vt:lpstr>
      <vt:lpstr>道具ID</vt:lpstr>
      <vt:lpstr>货币ID</vt:lpstr>
      <vt:lpstr>货币价值</vt:lpstr>
      <vt:lpstr>货币价值标头</vt:lpstr>
      <vt:lpstr>加速道具价值</vt:lpstr>
      <vt:lpstr>加速道具价值标头</vt:lpstr>
      <vt:lpstr>轻坦半自动_阶段属性</vt:lpstr>
      <vt:lpstr>轻坦半自动成长属性</vt:lpstr>
      <vt:lpstr>轻坦半自动生成成长</vt:lpstr>
      <vt:lpstr>轻坦单发_阶段属性</vt:lpstr>
      <vt:lpstr>轻坦单发成长属性</vt:lpstr>
      <vt:lpstr>轻坦单发生成成长</vt:lpstr>
      <vt:lpstr>轻坦弹夹_阶段属性</vt:lpstr>
      <vt:lpstr>轻坦弹夹成长属性</vt:lpstr>
      <vt:lpstr>轻坦弹夹生成成长</vt:lpstr>
      <vt:lpstr>属性标头_阶段属性</vt:lpstr>
      <vt:lpstr>所有坦克升星属性</vt:lpstr>
      <vt:lpstr>所有坦克升星属性标头</vt:lpstr>
      <vt:lpstr>坦克ID</vt:lpstr>
      <vt:lpstr>坦克价值</vt:lpstr>
      <vt:lpstr>坦克价值标头</vt:lpstr>
      <vt:lpstr>坦克属性分配比例</vt:lpstr>
      <vt:lpstr>坦克属性分配比例标头</vt:lpstr>
      <vt:lpstr>坦克碎片价值</vt:lpstr>
      <vt:lpstr>坦克碎片价值标头</vt:lpstr>
      <vt:lpstr>涂装ID</vt:lpstr>
      <vt:lpstr>中坦弹夹_阶段属性</vt:lpstr>
      <vt:lpstr>中坦弹夹成长属性</vt:lpstr>
      <vt:lpstr>中坦弹夹生成成长</vt:lpstr>
      <vt:lpstr>中坦自动_阶段属性</vt:lpstr>
      <vt:lpstr>中坦自动成长属性</vt:lpstr>
      <vt:lpstr>中坦自动生成成长</vt:lpstr>
      <vt:lpstr>重坦单发_阶段属性</vt:lpstr>
      <vt:lpstr>重坦单发成长属性</vt:lpstr>
      <vt:lpstr>重坦单发生成成长</vt:lpstr>
      <vt:lpstr>重坦自动_阶段属性</vt:lpstr>
      <vt:lpstr>重坦自动成长属性</vt:lpstr>
      <vt:lpstr>重坦自动生成成长</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75235</dc:creator>
  <cp:lastModifiedBy>coolfishgames</cp:lastModifiedBy>
  <cp:lastPrinted>2019-05-22T10:16:00Z</cp:lastPrinted>
  <dcterms:created xsi:type="dcterms:W3CDTF">2006-09-16T00:00:00Z</dcterms:created>
  <dcterms:modified xsi:type="dcterms:W3CDTF">2020-08-14T08:55:42Z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2052-11.1.0.9339</vt:lpwstr>
  </property>
</Properties>
</file>